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基础资料" sheetId="2" state="visible" r:id="rId2"/>
    <sheet xmlns:r="http://schemas.openxmlformats.org/officeDocument/2006/relationships" name="资金台帐" sheetId="3" state="visible" r:id="rId3"/>
    <sheet xmlns:r="http://schemas.openxmlformats.org/officeDocument/2006/relationships" name="采购进货" sheetId="4" state="visible" r:id="rId4"/>
    <sheet xmlns:r="http://schemas.openxmlformats.org/officeDocument/2006/relationships" name="总览汇总" sheetId="5" state="visible" r:id="rId5"/>
    <sheet xmlns:r="http://schemas.openxmlformats.org/officeDocument/2006/relationships" name="出库明细" sheetId="6" state="visible" r:id="rId6"/>
    <sheet xmlns:r="http://schemas.openxmlformats.org/officeDocument/2006/relationships" name="收付款明细" sheetId="7" state="visible" r:id="rId7"/>
    <sheet xmlns:r="http://schemas.openxmlformats.org/officeDocument/2006/relationships" name="存条明细" sheetId="8" state="visible" r:id="rId8"/>
    <sheet xmlns:r="http://schemas.openxmlformats.org/officeDocument/2006/relationships" name="商品库存" sheetId="9" state="visible" r:id="rId9"/>
    <sheet xmlns:r="http://schemas.openxmlformats.org/officeDocument/2006/relationships" name="客户查询" sheetId="10" state="visible" r:id="rId10"/>
    <sheet xmlns:r="http://schemas.openxmlformats.org/officeDocument/2006/relationships" name="收付款汇总" sheetId="11" state="visible" r:id="rId11"/>
    <sheet xmlns:r="http://schemas.openxmlformats.org/officeDocument/2006/relationships" name="客户对账单" sheetId="12" state="visible" r:id="rId12"/>
    <sheet xmlns:r="http://schemas.openxmlformats.org/officeDocument/2006/relationships" name="供应商对账单" sheetId="13" state="visible" r:id="rId13"/>
    <sheet xmlns:r="http://schemas.openxmlformats.org/officeDocument/2006/relationships" name="公司库存" sheetId="14" state="visible" r:id="rId14"/>
    <sheet xmlns:r="http://schemas.openxmlformats.org/officeDocument/2006/relationships" name="成本计算" sheetId="15" state="visible" r:id="rId15"/>
    <sheet xmlns:r="http://schemas.openxmlformats.org/officeDocument/2006/relationships" name="报损汇总一览" sheetId="16" state="visible" r:id="rId16"/>
    <sheet xmlns:r="http://schemas.openxmlformats.org/officeDocument/2006/relationships" name="报损明细台账" sheetId="17" state="visible" r:id="rId17"/>
    <sheet xmlns:r="http://schemas.openxmlformats.org/officeDocument/2006/relationships" name="2026年7月报损" sheetId="18" state="visible" r:id="rId18"/>
    <sheet xmlns:r="http://schemas.openxmlformats.org/officeDocument/2006/relationships" name="2026年8月报损" sheetId="19" state="visible" r:id="rId19"/>
    <sheet xmlns:r="http://schemas.openxmlformats.org/officeDocument/2006/relationships" name="2026年9月报损" sheetId="20" state="visible" r:id="rId20"/>
    <sheet xmlns:r="http://schemas.openxmlformats.org/officeDocument/2006/relationships" name="费用汇总" sheetId="21" state="visible" r:id="rId21"/>
    <sheet xmlns:r="http://schemas.openxmlformats.org/officeDocument/2006/relationships" name="利润表" sheetId="22" state="visible" r:id="rId22"/>
    <sheet xmlns:r="http://schemas.openxmlformats.org/officeDocument/2006/relationships" name="资产负债表" sheetId="23" state="visible" r:id="rId23"/>
    <sheet xmlns:r="http://schemas.openxmlformats.org/officeDocument/2006/relationships" name="数据校验" sheetId="24" state="visible" r:id="rId24"/>
    <sheet xmlns:r="http://schemas.openxmlformats.org/officeDocument/2006/relationships" name="_辅助" sheetId="25" state="hidden" r:id="rId25"/>
  </sheets>
  <definedNames>
    <definedName name="年度">基础资料!$B$5</definedName>
    <definedName name="年初日">基础资料!$B$7</definedName>
    <definedName name="年末日">基础资料!$B$8</definedName>
    <definedName name="客户列表">OFFSET(总览汇总!$B$5,0,0,MAX(1,COUNTA(总览汇总!$B$5:$B$304)),1)</definedName>
    <definedName name="商品列表">OFFSET(基础资料!$E$5,0,0,MAX(1,COUNTA(基础资料!$E$5:$E$104)),1)</definedName>
    <definedName name="供应商列表">OFFSET(基础资料!$Q$5,0,0,MAX(1,COUNTA(基础资料!$Q$5:$Q$54)),1)</definedName>
    <definedName name="账户列表">OFFSET(基础资料!$W$5,0,0,MAX(1,COUNTA(基础资料!$W$5:$W$24)),1)</definedName>
    <definedName name="收支项目列表">OFFSET(基础资料!$AC$5,0,0,MAX(1,COUNTA(基础资料!$AC$5:$AC$34)),1)</definedName>
    <definedName name="费用项目列表">OFFSET(基础资料!$AI$5,0,0,MAX(1,COUNTA(基础资料!$AI$5:$AI$54)),1)</definedName>
    <definedName name="_xlnm._FilterDatabase" localSheetId="2" hidden="1">'资金台帐'!$A$6:$N$3006</definedName>
    <definedName name="_xlnm._FilterDatabase" localSheetId="3" hidden="1">'采购进货'!$A$3:$J$1503</definedName>
    <definedName name="_xlnm._FilterDatabase" localSheetId="4" hidden="1">'总览汇总'!$A$4:$K$304</definedName>
    <definedName name="_xlnm._FilterDatabase" localSheetId="5" hidden="1">'出库明细'!$A$3:$H$3003</definedName>
    <definedName name="_xlnm._FilterDatabase" localSheetId="6" hidden="1">'收付款明细'!$A$3:$F$1003</definedName>
    <definedName name="_xlnm._FilterDatabase" localSheetId="7" hidden="1">'存条明细'!$A$3:$H$1003</definedName>
    <definedName name="_xlnm._FilterDatabase" localSheetId="8" hidden="1">'商品库存'!$A$3:$K$603</definedName>
    <definedName name="_xlnm.Print_Titles" localSheetId="11">'客户对账单'!$38:$38</definedName>
    <definedName name="_xlnm.Print_Titles" localSheetId="12">'供应商对账单'!$38:$38</definedName>
    <definedName name="_xlnm._FilterDatabase" localSheetId="13" hidden="1">'公司库存'!$A$5:$Q$105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\¥#,##0.00"/>
    <numFmt numFmtId="165" formatCode="&quot;￥&quot;#,##0.00;&quot;￥&quot;\-#,##0.00"/>
    <numFmt numFmtId="166" formatCode="yyyy/mm/dd"/>
    <numFmt numFmtId="167" formatCode="yyyy/m/d;@"/>
    <numFmt numFmtId="168" formatCode="#,##0.00;[Red]-#,##0.00;&quot;-&quot;"/>
    <numFmt numFmtId="169" formatCode="#,##0.00##"/>
    <numFmt numFmtId="170" formatCode="#,##0.##;[Red]-#,##0.##;&quot;-&quot;"/>
    <numFmt numFmtId="171" formatCode="0&quot;月&quot;"/>
    <numFmt numFmtId="172" formatCode="yyyy-mm-dd h:mm:ss"/>
    <numFmt numFmtId="173" formatCode="#,##0.##"/>
    <numFmt numFmtId="174" formatCode="yyyy/mm/dd;;"/>
    <numFmt numFmtId="175" formatCode="yyyy&quot;年&quot;m&quot;月&quot;"/>
    <numFmt numFmtId="176" formatCode="0.0%"/>
    <numFmt numFmtId="177" formatCode="0.0%;[Red]-0.0%;&quot;-&quot;"/>
    <numFmt numFmtId="178" formatCode="yyyy&quot;年&quot;m&quot;月&quot;d&quot;日&quot;"/>
    <numFmt numFmtId="179" formatCode="#,##0.##;[Red]-#,##0.##;0"/>
    <numFmt numFmtId="180" formatCode="0&quot;项&quot;"/>
  </numFmts>
  <fonts count="64">
    <font>
      <name val="等线"/>
      <charset val="134"/>
      <color theme="1"/>
      <sz val="10"/>
      <scheme val="minor"/>
    </font>
    <font>
      <name val="微软雅黑"/>
      <charset val="134"/>
      <b val="1"/>
      <color rgb="FFFFFFFF"/>
      <sz val="16"/>
    </font>
    <font>
      <name val="等线"/>
      <charset val="134"/>
      <color rgb="FF000000"/>
      <sz val="10"/>
    </font>
    <font>
      <name val="微软雅黑"/>
      <charset val="134"/>
      <color rgb="FFFF6600"/>
      <sz val="10"/>
    </font>
    <font>
      <name val="微软雅黑"/>
      <charset val="134"/>
      <b val="1"/>
      <color rgb="FF000000"/>
      <sz val="12"/>
    </font>
    <font>
      <name val="微软雅黑"/>
      <charset val="134"/>
      <b val="1"/>
      <color rgb="FFFFFFFF"/>
      <sz val="12"/>
    </font>
    <font>
      <name val="微软雅黑"/>
      <charset val="134"/>
      <b val="1"/>
      <color rgb="FFFFFFFF"/>
      <sz val="10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0"/>
    </font>
    <font>
      <name val="等线"/>
      <charset val="134"/>
      <color rgb="FFFF0000"/>
      <sz val="10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等线"/>
      <charset val="134"/>
      <color rgb="FFFF0000"/>
      <sz val="10"/>
    </font>
    <font>
      <name val="等线"/>
      <charset val="134"/>
      <b val="1"/>
      <color rgb="FFFFFFFF"/>
      <sz val="11"/>
      <scheme val="minor"/>
    </font>
    <font>
      <name val="微软雅黑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微软雅黑"/>
      <b val="1"/>
      <color rgb="FFFFFFFF"/>
      <sz val="16"/>
    </font>
    <font>
      <name val="微软雅黑"/>
      <color rgb="FFFF6600"/>
      <sz val="10"/>
    </font>
    <font>
      <name val="微软雅黑"/>
      <b val="1"/>
      <color rgb="FFFFFFFF"/>
      <sz val="11"/>
    </font>
    <font>
      <name val="微软雅黑"/>
      <b val="1"/>
      <color rgb="FF000000"/>
      <sz val="10"/>
    </font>
    <font>
      <name val="微软雅黑"/>
      <color rgb="FF1F4E79"/>
      <sz val="10"/>
    </font>
    <font>
      <name val="微软雅黑"/>
      <color rgb="FF404040"/>
      <sz val="10"/>
    </font>
    <font>
      <name val="微软雅黑"/>
      <color rgb="FF808080"/>
      <sz val="9"/>
    </font>
    <font>
      <name val="微软雅黑"/>
      <b val="1"/>
      <color rgb="FF1F3864"/>
      <sz val="11"/>
    </font>
    <font>
      <name val="微软雅黑"/>
      <b val="1"/>
      <color rgb="FF1F4E79"/>
      <sz val="13"/>
    </font>
    <font>
      <name val="微软雅黑"/>
      <b val="1"/>
      <color rgb="FFC00000"/>
      <sz val="11"/>
    </font>
    <font>
      <name val="微软雅黑"/>
      <b val="1"/>
      <color rgb="FFFFFFFF"/>
      <sz val="13"/>
    </font>
    <font>
      <name val="微软雅黑"/>
      <color rgb="FF000000"/>
      <sz val="10"/>
    </font>
    <font>
      <name val="微软雅黑"/>
      <charset val="134"/>
      <b val="1"/>
      <color rgb="FFFFFFFF"/>
      <sz val="14"/>
    </font>
    <font>
      <name val="微软雅黑"/>
      <charset val="134"/>
      <color rgb="FF333333"/>
      <sz val="11"/>
    </font>
    <font>
      <name val="等线"/>
      <charset val="134"/>
      <b val="1"/>
      <color rgb="FFFF0000"/>
      <sz val="14"/>
      <scheme val="minor"/>
    </font>
    <font>
      <name val="微软雅黑"/>
      <charset val="134"/>
      <color rgb="FFFF0000"/>
      <sz val="11"/>
    </font>
    <font>
      <name val="微软雅黑"/>
      <i val="1"/>
      <color rgb="FF7F7F7F"/>
      <sz val="9"/>
    </font>
    <font>
      <name val="微软雅黑"/>
      <b val="1"/>
      <color rgb="FFC00000"/>
      <sz val="10"/>
    </font>
    <font>
      <name val="微软雅黑"/>
      <b val="1"/>
      <color rgb="FF000000"/>
      <sz val="12"/>
    </font>
    <font>
      <name val="微软雅黑"/>
      <b val="1"/>
      <color rgb="FFFFFFFF"/>
      <sz val="12"/>
    </font>
    <font>
      <name val="微软雅黑"/>
      <b val="1"/>
      <sz val="11"/>
    </font>
    <font>
      <name val="微软雅黑"/>
      <b val="1"/>
      <sz val="12"/>
    </font>
    <font>
      <name val="微软雅黑"/>
      <color rgb="FF0563C1"/>
      <sz val="10"/>
      <u val="single"/>
    </font>
    <font>
      <name val="微软雅黑"/>
      <b val="1"/>
      <color rgb="FFFFFFFF"/>
      <sz val="20"/>
    </font>
    <font>
      <name val="微软雅黑"/>
      <b val="1"/>
      <color rgb="FF595959"/>
      <sz val="10"/>
    </font>
    <font>
      <name val="微软雅黑"/>
      <b val="1"/>
      <color rgb="FFC00000"/>
      <sz val="14"/>
    </font>
    <font>
      <name val="微软雅黑"/>
      <b val="1"/>
      <color rgb="FF1F4E79"/>
      <sz val="14"/>
    </font>
    <font>
      <name val="微软雅黑"/>
      <b val="1"/>
      <color rgb="FF0563C1"/>
      <sz val="11"/>
      <u val="single"/>
    </font>
  </fonts>
  <fills count="7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FFF7E0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2F75B5"/>
      </patternFill>
    </fill>
    <fill>
      <patternFill patternType="solid">
        <fgColor rgb="FFFCE4D6"/>
      </patternFill>
    </fill>
    <fill>
      <patternFill patternType="solid">
        <fgColor rgb="FF00B050"/>
      </patternFill>
    </fill>
    <fill>
      <patternFill patternType="solid">
        <fgColor rgb="FFC65911"/>
      </patternFill>
    </fill>
    <fill>
      <patternFill patternType="solid">
        <fgColor rgb="FF833C0C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8EA9DB"/>
      </patternFill>
    </fill>
    <fill>
      <patternFill patternType="solid">
        <fgColor rgb="FF5B9BD5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F3FAEF"/>
      </patternFill>
    </fill>
    <fill>
      <patternFill patternType="solid">
        <fgColor rgb="FFFFF8E1"/>
      </patternFill>
    </fill>
    <fill>
      <patternFill patternType="solid">
        <fgColor rgb="FF003366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48235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BF8F00"/>
      </patternFill>
    </fill>
    <fill>
      <patternFill patternType="solid">
        <fgColor rgb="FF70AD47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49">
    <xf numFmtId="0" fontId="0" fillId="0" borderId="0"/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14" borderId="1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2" applyAlignment="1">
      <alignment vertical="center"/>
    </xf>
    <xf numFmtId="0" fontId="23" fillId="0" borderId="2" applyAlignment="1">
      <alignment vertical="center"/>
    </xf>
    <xf numFmtId="0" fontId="24" fillId="0" borderId="3" applyAlignment="1">
      <alignment vertical="center"/>
    </xf>
    <xf numFmtId="0" fontId="24" fillId="0" borderId="0" applyAlignment="1">
      <alignment vertical="center"/>
    </xf>
    <xf numFmtId="0" fontId="25" fillId="15" borderId="4" applyAlignment="1">
      <alignment vertical="center"/>
    </xf>
    <xf numFmtId="0" fontId="26" fillId="12" borderId="5" applyAlignment="1">
      <alignment vertical="center"/>
    </xf>
    <xf numFmtId="0" fontId="27" fillId="12" borderId="4" applyAlignment="1">
      <alignment vertical="center"/>
    </xf>
    <xf numFmtId="0" fontId="28" fillId="16" borderId="6" applyAlignment="1">
      <alignment vertical="center"/>
    </xf>
    <xf numFmtId="0" fontId="29" fillId="0" borderId="7" applyAlignment="1">
      <alignment vertical="center"/>
    </xf>
    <xf numFmtId="0" fontId="30" fillId="0" borderId="8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5" fillId="37" borderId="0" applyAlignment="1">
      <alignment vertical="center"/>
    </xf>
    <xf numFmtId="0" fontId="35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5" fillId="41" borderId="0" applyAlignment="1">
      <alignment vertical="center"/>
    </xf>
    <xf numFmtId="0" fontId="35" fillId="42" borderId="0" applyAlignment="1">
      <alignment vertical="center"/>
    </xf>
    <xf numFmtId="0" fontId="34" fillId="43" borderId="0" applyAlignment="1">
      <alignment vertical="center"/>
    </xf>
  </cellStyleXfs>
  <cellXfs count="28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164" fontId="7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/>
    </xf>
    <xf numFmtId="164" fontId="8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165" fontId="2" fillId="0" borderId="0" pivotButton="0" quotePrefix="0" xfId="0"/>
    <xf numFmtId="0" fontId="10" fillId="7" borderId="0" applyAlignment="1" pivotButton="0" quotePrefix="0" xfId="0">
      <alignment horizontal="center" vertical="center" wrapText="1"/>
    </xf>
    <xf numFmtId="165" fontId="10" fillId="7" borderId="0" applyAlignment="1" pivotButton="0" quotePrefix="0" xfId="0">
      <alignment horizontal="center" vertical="center" wrapText="1"/>
    </xf>
    <xf numFmtId="165" fontId="8" fillId="8" borderId="0" applyAlignment="1" pivotButton="0" quotePrefix="0" xfId="0">
      <alignment horizontal="center" vertical="center"/>
    </xf>
    <xf numFmtId="166" fontId="2" fillId="0" borderId="0" pivotButton="0" quotePrefix="0" xfId="0"/>
    <xf numFmtId="165" fontId="8" fillId="0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6" fontId="13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/>
    </xf>
    <xf numFmtId="164" fontId="8" fillId="10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/>
    </xf>
    <xf numFmtId="166" fontId="12" fillId="12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164" fontId="12" fillId="12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6" fontId="8" fillId="12" borderId="0" applyAlignment="1" pivotButton="0" quotePrefix="0" xfId="0">
      <alignment horizontal="center" vertical="center"/>
    </xf>
    <xf numFmtId="164" fontId="8" fillId="12" borderId="0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14" fontId="9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 wrapText="1"/>
    </xf>
    <xf numFmtId="164" fontId="1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59" fillId="71" borderId="0" applyAlignment="1" pivotButton="0" quotePrefix="0" xfId="0">
      <alignment horizontal="center" vertical="center"/>
    </xf>
    <xf numFmtId="0" fontId="37" fillId="45" borderId="0" applyAlignment="1" pivotButton="0" quotePrefix="0" xfId="0">
      <alignment horizontal="left" vertical="center" wrapText="1"/>
    </xf>
    <xf numFmtId="0" fontId="54" fillId="0" borderId="0" pivotButton="0" quotePrefix="0" xfId="0"/>
    <xf numFmtId="0" fontId="60" fillId="49" borderId="9" applyAlignment="1" pivotButton="0" quotePrefix="0" xfId="0">
      <alignment horizontal="center" vertical="center"/>
    </xf>
    <xf numFmtId="168" fontId="61" fillId="49" borderId="9" applyAlignment="1" pivotButton="0" quotePrefix="0" xfId="0">
      <alignment horizontal="center" vertical="center"/>
    </xf>
    <xf numFmtId="180" fontId="62" fillId="49" borderId="9" applyAlignment="1" pivotButton="0" quotePrefix="0" xfId="0">
      <alignment horizontal="center" vertical="center"/>
    </xf>
    <xf numFmtId="0" fontId="42" fillId="0" borderId="0" pivotButton="0" quotePrefix="0" xfId="0"/>
    <xf numFmtId="0" fontId="38" fillId="44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0" fontId="63" fillId="0" borderId="9" applyAlignment="1" pivotButton="0" quotePrefix="0" xfId="0">
      <alignment horizontal="center" vertical="center"/>
    </xf>
    <xf numFmtId="0" fontId="47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40" fillId="48" borderId="9" applyAlignment="1" pivotButton="0" quotePrefix="0" xfId="0">
      <alignment horizontal="left" vertical="center" wrapText="1"/>
    </xf>
    <xf numFmtId="0" fontId="0" fillId="48" borderId="9" pivotButton="0" quotePrefix="0" xfId="0"/>
    <xf numFmtId="0" fontId="42" fillId="0" borderId="9" applyAlignment="1" pivotButton="0" quotePrefix="0" xfId="0">
      <alignment horizontal="left" vertical="center" wrapText="1"/>
    </xf>
    <xf numFmtId="0" fontId="47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0" fontId="0" fillId="49" borderId="9" pivotButton="0" quotePrefix="0" xfId="0"/>
    <xf numFmtId="0" fontId="0" fillId="58" borderId="9" pivotButton="0" quotePrefix="0" xfId="0"/>
    <xf numFmtId="0" fontId="0" fillId="74" borderId="9" pivotButton="0" quotePrefix="0" xfId="0"/>
    <xf numFmtId="0" fontId="36" fillId="44" borderId="0" applyAlignment="1" pivotButton="0" quotePrefix="0" xfId="0">
      <alignment horizontal="center" vertical="center"/>
    </xf>
    <xf numFmtId="0" fontId="38" fillId="50" borderId="9" applyAlignment="1" pivotButton="0" quotePrefix="0" xfId="0">
      <alignment horizontal="center" vertical="center"/>
    </xf>
    <xf numFmtId="0" fontId="38" fillId="51" borderId="9" applyAlignment="1" pivotButton="0" quotePrefix="0" xfId="0">
      <alignment horizontal="center" vertical="center"/>
    </xf>
    <xf numFmtId="0" fontId="38" fillId="52" borderId="9" applyAlignment="1" pivotButton="0" quotePrefix="0" xfId="0">
      <alignment horizontal="center" vertical="center"/>
    </xf>
    <xf numFmtId="0" fontId="38" fillId="54" borderId="9" applyAlignment="1" pivotButton="0" quotePrefix="0" xfId="0">
      <alignment horizontal="center" vertical="center"/>
    </xf>
    <xf numFmtId="0" fontId="38" fillId="55" borderId="9" applyAlignment="1" pivotButton="0" quotePrefix="0" xfId="0">
      <alignment horizontal="center" vertical="center"/>
    </xf>
    <xf numFmtId="0" fontId="38" fillId="56" borderId="9" applyAlignment="1" pivotButton="0" quotePrefix="0" xfId="0">
      <alignment horizontal="center" vertical="center"/>
    </xf>
    <xf numFmtId="0" fontId="38" fillId="46" borderId="9" applyAlignment="1" pivotButton="0" quotePrefix="0" xfId="0">
      <alignment horizontal="center" vertical="center" wrapText="1"/>
    </xf>
    <xf numFmtId="0" fontId="38" fillId="50" borderId="9" applyAlignment="1" pivotButton="0" quotePrefix="0" xfId="0">
      <alignment horizontal="center" vertical="center" wrapText="1"/>
    </xf>
    <xf numFmtId="0" fontId="38" fillId="51" borderId="9" applyAlignment="1" pivotButton="0" quotePrefix="0" xfId="0">
      <alignment horizontal="center" vertical="center" wrapText="1"/>
    </xf>
    <xf numFmtId="0" fontId="38" fillId="52" borderId="9" applyAlignment="1" pivotButton="0" quotePrefix="0" xfId="0">
      <alignment horizontal="center" vertical="center" wrapText="1"/>
    </xf>
    <xf numFmtId="0" fontId="38" fillId="54" borderId="9" applyAlignment="1" pivotButton="0" quotePrefix="0" xfId="0">
      <alignment horizontal="center" vertical="center" wrapText="1"/>
    </xf>
    <xf numFmtId="0" fontId="38" fillId="55" borderId="9" applyAlignment="1" pivotButton="0" quotePrefix="0" xfId="0">
      <alignment horizontal="center" vertical="center" wrapText="1"/>
    </xf>
    <xf numFmtId="0" fontId="38" fillId="56" borderId="9" applyAlignment="1" pivotButton="0" quotePrefix="0" xfId="0">
      <alignment horizontal="center" vertical="center" wrapText="1"/>
    </xf>
    <xf numFmtId="0" fontId="39" fillId="47" borderId="9" applyAlignment="1" pivotButton="0" quotePrefix="0" xfId="0">
      <alignment horizontal="left" vertical="center"/>
    </xf>
    <xf numFmtId="1" fontId="40" fillId="48" borderId="9" applyAlignment="1" pivotButton="0" quotePrefix="0" xfId="0">
      <alignment horizontal="center" vertical="center"/>
    </xf>
    <xf numFmtId="0" fontId="41" fillId="49" borderId="9" applyAlignment="1" pivotButton="0" quotePrefix="0" xfId="0">
      <alignment horizontal="center" vertical="center"/>
    </xf>
    <xf numFmtId="0" fontId="40" fillId="48" borderId="9" applyAlignment="1" pivotButton="0" quotePrefix="0" xfId="0">
      <alignment horizontal="center" vertical="center"/>
    </xf>
    <xf numFmtId="169" fontId="40" fillId="48" borderId="9" applyAlignment="1" pivotButton="0" quotePrefix="0" xfId="0">
      <alignment horizontal="center" vertical="center"/>
    </xf>
    <xf numFmtId="170" fontId="40" fillId="48" borderId="9" applyAlignment="1" pivotButton="0" quotePrefix="0" xfId="0">
      <alignment horizontal="center" vertical="center"/>
    </xf>
    <xf numFmtId="168" fontId="41" fillId="49" borderId="9" applyAlignment="1" pivotButton="0" quotePrefix="0" xfId="0">
      <alignment horizontal="center" vertical="center"/>
    </xf>
    <xf numFmtId="168" fontId="40" fillId="48" borderId="9" applyAlignment="1" pivotButton="0" quotePrefix="0" xfId="0">
      <alignment horizontal="center" vertical="center"/>
    </xf>
    <xf numFmtId="0" fontId="42" fillId="48" borderId="9" applyAlignment="1" pivotButton="0" quotePrefix="0" xfId="0">
      <alignment horizontal="left" vertical="center" wrapText="1"/>
    </xf>
    <xf numFmtId="171" fontId="39" fillId="49" borderId="9" applyAlignment="1" pivotButton="0" quotePrefix="0" xfId="0">
      <alignment horizontal="center" vertical="center"/>
    </xf>
    <xf numFmtId="0" fontId="42" fillId="49" borderId="9" applyAlignment="1" pivotButton="0" quotePrefix="0" xfId="0">
      <alignment horizontal="left" vertical="center"/>
    </xf>
    <xf numFmtId="166" fontId="41" fillId="49" borderId="9" applyAlignment="1" pivotButton="0" quotePrefix="0" xfId="0">
      <alignment horizontal="center" vertical="center"/>
    </xf>
    <xf numFmtId="0" fontId="39" fillId="0" borderId="9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39" fillId="53" borderId="9" applyAlignment="1" pivotButton="0" quotePrefix="0" xfId="0">
      <alignment horizontal="center" vertical="center"/>
    </xf>
    <xf numFmtId="168" fontId="39" fillId="53" borderId="9" applyAlignment="1" pivotButton="0" quotePrefix="0" xfId="0">
      <alignment horizontal="center" vertical="center"/>
    </xf>
    <xf numFmtId="0" fontId="36" fillId="52" borderId="0" applyAlignment="1" pivotButton="0" quotePrefix="0" xfId="0">
      <alignment horizontal="center" vertical="center"/>
    </xf>
    <xf numFmtId="0" fontId="43" fillId="57" borderId="0" applyAlignment="1" pivotButton="0" quotePrefix="0" xfId="0">
      <alignment horizontal="right" vertical="center"/>
    </xf>
    <xf numFmtId="171" fontId="44" fillId="58" borderId="9" applyAlignment="1" pivotButton="0" quotePrefix="0" xfId="0">
      <alignment horizontal="center" vertical="center"/>
    </xf>
    <xf numFmtId="168" fontId="45" fillId="57" borderId="0" applyAlignment="1" pivotButton="0" quotePrefix="0" xfId="0">
      <alignment horizontal="left" vertical="center"/>
    </xf>
    <xf numFmtId="0" fontId="42" fillId="57" borderId="0" applyAlignment="1" pivotButton="0" quotePrefix="0" xfId="0">
      <alignment horizontal="left" vertical="center" wrapText="1"/>
    </xf>
    <xf numFmtId="0" fontId="0" fillId="59" borderId="0" pivotButton="0" quotePrefix="0" xfId="0"/>
    <xf numFmtId="0" fontId="46" fillId="60" borderId="9" applyAlignment="1" pivotButton="0" quotePrefix="0" xfId="0">
      <alignment horizontal="center" vertical="center"/>
    </xf>
    <xf numFmtId="0" fontId="0" fillId="60" borderId="9" pivotButton="0" quotePrefix="0" xfId="0"/>
    <xf numFmtId="0" fontId="46" fillId="54" borderId="9" applyAlignment="1" pivotButton="0" quotePrefix="0" xfId="0">
      <alignment horizontal="center" vertical="center"/>
    </xf>
    <xf numFmtId="0" fontId="46" fillId="61" borderId="9" applyAlignment="1" pivotButton="0" quotePrefix="0" xfId="0">
      <alignment horizontal="center" vertical="center"/>
    </xf>
    <xf numFmtId="0" fontId="46" fillId="51" borderId="9" applyAlignment="1" pivotButton="0" quotePrefix="0" xfId="0">
      <alignment horizontal="center" vertical="center"/>
    </xf>
    <xf numFmtId="0" fontId="0" fillId="51" borderId="9" pivotButton="0" quotePrefix="0" xfId="0"/>
    <xf numFmtId="0" fontId="43" fillId="47" borderId="9" applyAlignment="1" pivotButton="0" quotePrefix="0" xfId="0">
      <alignment horizontal="center" vertical="center" wrapText="1"/>
    </xf>
    <xf numFmtId="0" fontId="43" fillId="62" borderId="9" applyAlignment="1" pivotButton="0" quotePrefix="0" xfId="0">
      <alignment horizontal="center" vertical="center" wrapText="1"/>
    </xf>
    <xf numFmtId="0" fontId="43" fillId="45" borderId="9" applyAlignment="1" pivotButton="0" quotePrefix="0" xfId="0">
      <alignment horizontal="center" vertical="center" wrapText="1"/>
    </xf>
    <xf numFmtId="0" fontId="43" fillId="63" borderId="9" applyAlignment="1" pivotButton="0" quotePrefix="0" xfId="0">
      <alignment horizontal="center" vertical="center" wrapText="1"/>
    </xf>
    <xf numFmtId="0" fontId="42" fillId="49" borderId="9" applyAlignment="1" pivotButton="0" quotePrefix="0" xfId="0">
      <alignment horizontal="center" vertical="center" wrapText="1"/>
    </xf>
    <xf numFmtId="166" fontId="47" fillId="0" borderId="9" applyAlignment="1" pivotButton="0" quotePrefix="0" xfId="0">
      <alignment horizontal="center" vertical="center"/>
    </xf>
    <xf numFmtId="0" fontId="47" fillId="0" borderId="9" applyAlignment="1" pivotButton="0" quotePrefix="0" xfId="0">
      <alignment horizontal="center" vertical="center"/>
    </xf>
    <xf numFmtId="0" fontId="47" fillId="0" borderId="9" applyAlignment="1" pivotButton="0" quotePrefix="0" xfId="0">
      <alignment horizontal="left" vertical="center"/>
    </xf>
    <xf numFmtId="168" fontId="47" fillId="64" borderId="9" applyAlignment="1" pivotButton="0" quotePrefix="0" xfId="0">
      <alignment horizontal="right" vertical="center"/>
    </xf>
    <xf numFmtId="168" fontId="47" fillId="65" borderId="9" applyAlignment="1" pivotButton="0" quotePrefix="0" xfId="0">
      <alignment horizontal="right" vertical="center"/>
    </xf>
    <xf numFmtId="168" fontId="41" fillId="49" borderId="9" applyAlignment="1" pivotButton="0" quotePrefix="0" xfId="0">
      <alignment horizontal="right" vertical="center"/>
    </xf>
    <xf numFmtId="0" fontId="41" fillId="49" borderId="9" applyAlignment="1" pivotButton="0" quotePrefix="0" xfId="0">
      <alignment horizontal="left" vertical="center"/>
    </xf>
    <xf numFmtId="0" fontId="36" fillId="51" borderId="0" applyAlignment="1" pivotButton="0" quotePrefix="0" xfId="0">
      <alignment horizontal="center" vertical="center"/>
    </xf>
    <xf numFmtId="170" fontId="47" fillId="0" borderId="9" applyAlignment="1" pivotButton="0" quotePrefix="0" xfId="0">
      <alignment horizontal="center" vertical="center"/>
    </xf>
    <xf numFmtId="169" fontId="47" fillId="0" borderId="9" applyAlignment="1" pivotButton="0" quotePrefix="0" xfId="0">
      <alignment horizontal="center" vertical="center"/>
    </xf>
    <xf numFmtId="164" fontId="41" fillId="49" borderId="9" applyAlignment="1" pivotButton="0" quotePrefix="0" xfId="0">
      <alignment horizontal="center" vertical="center"/>
    </xf>
    <xf numFmtId="173" fontId="10" fillId="13" borderId="0" applyAlignment="1" pivotButton="0" quotePrefix="0" xfId="0">
      <alignment horizontal="center" vertical="center" wrapText="1"/>
    </xf>
    <xf numFmtId="164" fontId="8" fillId="10" borderId="0" applyAlignment="1" pivotButton="0" quotePrefix="0" xfId="0">
      <alignment horizontal="center" vertical="center"/>
    </xf>
    <xf numFmtId="164" fontId="12" fillId="10" borderId="0" applyAlignment="1" pivotButton="0" quotePrefix="0" xfId="0">
      <alignment horizontal="center" vertical="center"/>
    </xf>
    <xf numFmtId="173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73" fontId="8" fillId="0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173" fontId="10" fillId="5" borderId="0" applyAlignment="1" pivotButton="0" quotePrefix="0" xfId="0">
      <alignment horizontal="center" vertical="center"/>
    </xf>
    <xf numFmtId="166" fontId="12" fillId="12" borderId="0" applyAlignment="1" pivotButton="0" quotePrefix="0" xfId="0">
      <alignment horizontal="center" vertical="center"/>
    </xf>
    <xf numFmtId="164" fontId="12" fillId="12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6" fontId="8" fillId="12" borderId="0" applyAlignment="1" pivotButton="0" quotePrefix="0" xfId="0">
      <alignment horizontal="center" vertical="center"/>
    </xf>
    <xf numFmtId="164" fontId="8" fillId="12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42" fillId="49" borderId="9" applyAlignment="1" pivotButton="0" quotePrefix="0" xfId="0">
      <alignment horizontal="center" vertical="center"/>
    </xf>
    <xf numFmtId="164" fontId="47" fillId="0" borderId="9" applyAlignment="1" pivotButton="0" quotePrefix="0" xfId="0">
      <alignment horizontal="center" vertical="center"/>
    </xf>
    <xf numFmtId="164" fontId="8" fillId="8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5" fontId="10" fillId="7" borderId="0" applyAlignment="1" pivotButton="0" quotePrefix="0" xfId="0">
      <alignment horizontal="center" vertical="center" wrapText="1"/>
    </xf>
    <xf numFmtId="174" fontId="2" fillId="0" borderId="0" pivotButton="0" quotePrefix="0" xfId="0"/>
    <xf numFmtId="165" fontId="10" fillId="5" borderId="0" applyAlignment="1" pivotButton="0" quotePrefix="0" xfId="0">
      <alignment horizontal="center" vertical="center"/>
    </xf>
    <xf numFmtId="166" fontId="2" fillId="0" borderId="0" pivotButton="0" quotePrefix="0" xfId="0"/>
    <xf numFmtId="164" fontId="7" fillId="6" borderId="0" applyAlignment="1" pivotButton="0" quotePrefix="0" xfId="0">
      <alignment horizontal="center" vertical="center"/>
    </xf>
    <xf numFmtId="0" fontId="36" fillId="70" borderId="0" applyAlignment="1" pivotButton="0" quotePrefix="0" xfId="0">
      <alignment horizontal="center" vertical="center"/>
    </xf>
    <xf numFmtId="0" fontId="55" fillId="52" borderId="9" applyAlignment="1" pivotButton="0" quotePrefix="0" xfId="0">
      <alignment horizontal="left" vertical="center"/>
    </xf>
    <xf numFmtId="171" fontId="39" fillId="47" borderId="9" applyAlignment="1" pivotButton="0" quotePrefix="0" xfId="0">
      <alignment horizontal="center" vertical="center"/>
    </xf>
    <xf numFmtId="168" fontId="47" fillId="0" borderId="9" applyAlignment="1" pivotButton="0" quotePrefix="0" xfId="0">
      <alignment horizontal="right" vertical="center"/>
    </xf>
    <xf numFmtId="168" fontId="39" fillId="0" borderId="9" applyAlignment="1" pivotButton="0" quotePrefix="0" xfId="0">
      <alignment horizontal="right" vertical="center"/>
    </xf>
    <xf numFmtId="168" fontId="39" fillId="53" borderId="9" applyAlignment="1" pivotButton="0" quotePrefix="0" xfId="0">
      <alignment horizontal="right" vertical="center"/>
    </xf>
    <xf numFmtId="0" fontId="43" fillId="0" borderId="0" applyAlignment="1" pivotButton="0" quotePrefix="0" xfId="0">
      <alignment horizontal="right" vertical="center"/>
    </xf>
    <xf numFmtId="166" fontId="56" fillId="58" borderId="9" applyAlignment="1" pivotButton="0" quotePrefix="0" xfId="0">
      <alignment horizontal="center" vertical="center"/>
    </xf>
    <xf numFmtId="0" fontId="55" fillId="71" borderId="9" applyAlignment="1" pivotButton="0" quotePrefix="0" xfId="0">
      <alignment horizontal="left" vertical="center"/>
    </xf>
    <xf numFmtId="0" fontId="55" fillId="51" borderId="9" applyAlignment="1" pivotButton="0" quotePrefix="0" xfId="0">
      <alignment horizontal="left" vertical="center"/>
    </xf>
    <xf numFmtId="0" fontId="38" fillId="71" borderId="9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/>
    </xf>
    <xf numFmtId="174" fontId="47" fillId="0" borderId="9" applyAlignment="1" pivotButton="0" quotePrefix="0" xfId="0">
      <alignment horizontal="center" vertical="center"/>
    </xf>
    <xf numFmtId="0" fontId="36" fillId="72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right" vertical="center"/>
    </xf>
    <xf numFmtId="0" fontId="57" fillId="58" borderId="9" applyAlignment="1" pivotButton="0" quotePrefix="0" xfId="0">
      <alignment horizontal="center" vertical="center"/>
    </xf>
    <xf numFmtId="0" fontId="56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horizontal="right" vertical="center"/>
    </xf>
    <xf numFmtId="166" fontId="47" fillId="0" borderId="0" applyAlignment="1" pivotButton="0" quotePrefix="0" xfId="0">
      <alignment horizontal="center" vertical="center"/>
    </xf>
    <xf numFmtId="0" fontId="55" fillId="73" borderId="9" applyAlignment="1" pivotButton="0" quotePrefix="0" xfId="0">
      <alignment horizontal="left" vertical="center"/>
    </xf>
    <xf numFmtId="0" fontId="38" fillId="73" borderId="9" applyAlignment="1" pivotButton="0" quotePrefix="0" xfId="0">
      <alignment horizontal="center" vertical="center" wrapText="1"/>
    </xf>
    <xf numFmtId="168" fontId="56" fillId="62" borderId="9" applyAlignment="1" pivotButton="0" quotePrefix="0" xfId="0">
      <alignment horizontal="center" vertical="center"/>
    </xf>
    <xf numFmtId="0" fontId="56" fillId="62" borderId="9" applyAlignment="1" pivotButton="0" quotePrefix="0" xfId="0">
      <alignment horizontal="center" vertical="center"/>
    </xf>
    <xf numFmtId="170" fontId="56" fillId="62" borderId="9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55" fillId="60" borderId="9" applyAlignment="1" pivotButton="0" quotePrefix="0" xfId="0">
      <alignment horizontal="left" vertical="center"/>
    </xf>
    <xf numFmtId="0" fontId="38" fillId="60" borderId="9" applyAlignment="1" pivotButton="0" quotePrefix="0" xfId="0">
      <alignment horizontal="center" vertical="center" wrapText="1"/>
    </xf>
    <xf numFmtId="168" fontId="47" fillId="0" borderId="9" applyAlignment="1" pivotButton="0" quotePrefix="0" xfId="0">
      <alignment horizontal="center" vertical="center"/>
    </xf>
    <xf numFmtId="0" fontId="53" fillId="0" borderId="0" applyAlignment="1" pivotButton="0" quotePrefix="0" xfId="0">
      <alignment horizontal="left" vertical="center"/>
    </xf>
    <xf numFmtId="0" fontId="55" fillId="50" borderId="9" applyAlignment="1" pivotButton="0" quotePrefix="0" xfId="0">
      <alignment horizontal="left" vertical="center"/>
    </xf>
    <xf numFmtId="0" fontId="42" fillId="0" borderId="9" applyAlignment="1" pivotButton="0" quotePrefix="0" xfId="0">
      <alignment horizontal="left" vertical="center"/>
    </xf>
    <xf numFmtId="0" fontId="0" fillId="53" borderId="9" pivotButton="0" quotePrefix="0" xfId="0"/>
    <xf numFmtId="170" fontId="39" fillId="53" borderId="9" applyAlignment="1" pivotButton="0" quotePrefix="0" xfId="0">
      <alignment horizontal="center" vertical="center"/>
    </xf>
    <xf numFmtId="168" fontId="56" fillId="63" borderId="9" applyAlignment="1" pivotButton="0" quotePrefix="0" xfId="0">
      <alignment horizontal="center" vertical="center"/>
    </xf>
    <xf numFmtId="0" fontId="56" fillId="63" borderId="9" applyAlignment="1" pivotButton="0" quotePrefix="0" xfId="0">
      <alignment horizontal="center" vertical="center"/>
    </xf>
    <xf numFmtId="170" fontId="56" fillId="63" borderId="9" applyAlignment="1" pivotButton="0" quotePrefix="0" xfId="0">
      <alignment horizontal="center" vertical="center"/>
    </xf>
    <xf numFmtId="0" fontId="38" fillId="70" borderId="9" applyAlignment="1" pivotButton="0" quotePrefix="0" xfId="0">
      <alignment horizontal="center" vertical="center" wrapText="1"/>
    </xf>
    <xf numFmtId="170" fontId="47" fillId="0" borderId="9" applyAlignment="1" pivotButton="0" quotePrefix="0" xfId="0">
      <alignment horizontal="right" vertical="center"/>
    </xf>
    <xf numFmtId="170" fontId="39" fillId="0" borderId="9" applyAlignment="1" pivotButton="0" quotePrefix="0" xfId="0">
      <alignment horizontal="right" vertical="center"/>
    </xf>
    <xf numFmtId="169" fontId="41" fillId="0" borderId="9" applyAlignment="1" pivotButton="0" quotePrefix="0" xfId="0">
      <alignment horizontal="right" vertical="center"/>
    </xf>
    <xf numFmtId="0" fontId="41" fillId="0" borderId="9" applyAlignment="1" pivotButton="0" quotePrefix="0" xfId="0">
      <alignment horizontal="left" vertical="center"/>
    </xf>
    <xf numFmtId="0" fontId="39" fillId="53" borderId="9" pivotButton="0" quotePrefix="0" xfId="0"/>
    <xf numFmtId="170" fontId="39" fillId="53" borderId="9" applyAlignment="1" pivotButton="0" quotePrefix="0" xfId="0">
      <alignment horizontal="right" vertical="center"/>
    </xf>
    <xf numFmtId="0" fontId="36" fillId="46" borderId="0" applyAlignment="1" pivotButton="0" quotePrefix="0" xfId="0">
      <alignment horizontal="center" vertical="center"/>
    </xf>
    <xf numFmtId="0" fontId="38" fillId="69" borderId="9" applyAlignment="1" pivotButton="0" quotePrefix="0" xfId="0">
      <alignment horizontal="center" vertical="center"/>
    </xf>
    <xf numFmtId="0" fontId="38" fillId="46" borderId="9" pivotButton="0" quotePrefix="0" xfId="0"/>
    <xf numFmtId="0" fontId="38" fillId="69" borderId="9" applyAlignment="1" pivotButton="0" quotePrefix="0" xfId="0">
      <alignment horizontal="center" vertical="center" wrapText="1"/>
    </xf>
    <xf numFmtId="0" fontId="42" fillId="0" borderId="9" applyAlignment="1" pivotButton="0" quotePrefix="0" xfId="0">
      <alignment horizontal="center" vertical="center"/>
    </xf>
    <xf numFmtId="169" fontId="41" fillId="0" borderId="9" applyAlignment="1" pivotButton="0" quotePrefix="0" xfId="0">
      <alignment horizontal="center" vertical="center"/>
    </xf>
    <xf numFmtId="170" fontId="41" fillId="0" borderId="9" applyAlignment="1" pivotButton="0" quotePrefix="0" xfId="0">
      <alignment horizontal="center" vertical="center"/>
    </xf>
    <xf numFmtId="168" fontId="41" fillId="0" borderId="9" applyAlignment="1" pivotButton="0" quotePrefix="0" xfId="0">
      <alignment horizontal="center" vertical="center"/>
    </xf>
    <xf numFmtId="170" fontId="41" fillId="0" borderId="9" applyAlignment="1" pivotButton="0" quotePrefix="0" xfId="0">
      <alignment horizontal="right" vertical="center"/>
    </xf>
    <xf numFmtId="168" fontId="41" fillId="0" borderId="9" applyAlignment="1" pivotButton="0" quotePrefix="0" xfId="0">
      <alignment horizontal="right" vertical="center"/>
    </xf>
    <xf numFmtId="168" fontId="52" fillId="0" borderId="9" applyAlignment="1" pivotButton="0" quotePrefix="0" xfId="0">
      <alignment horizontal="right" vertical="center"/>
    </xf>
    <xf numFmtId="0" fontId="48" fillId="66" borderId="0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164" fontId="7" fillId="58" borderId="13" applyAlignment="1" pivotButton="0" quotePrefix="0" xfId="0">
      <alignment horizontal="center" vertical="center" wrapText="1"/>
    </xf>
    <xf numFmtId="164" fontId="7" fillId="0" borderId="13" applyAlignment="1" pivotButton="0" quotePrefix="0" xfId="0">
      <alignment horizontal="center" vertical="center" wrapText="1"/>
    </xf>
    <xf numFmtId="173" fontId="7" fillId="0" borderId="13" applyAlignment="1" pivotButton="0" quotePrefix="0" xfId="0">
      <alignment horizontal="center" vertical="center" wrapText="1"/>
    </xf>
    <xf numFmtId="3" fontId="7" fillId="0" borderId="1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9" fillId="67" borderId="13" applyAlignment="1" pivotButton="0" quotePrefix="0" xfId="0">
      <alignment horizontal="center" vertical="center" wrapText="1"/>
    </xf>
    <xf numFmtId="0" fontId="49" fillId="67" borderId="13" applyAlignment="1" pivotButton="0" quotePrefix="0" xfId="0">
      <alignment horizontal="left" vertical="center" wrapText="1"/>
    </xf>
    <xf numFmtId="164" fontId="49" fillId="67" borderId="13" applyAlignment="1" pivotButton="0" quotePrefix="0" xfId="0">
      <alignment horizontal="right" vertical="center" wrapText="1"/>
    </xf>
    <xf numFmtId="176" fontId="49" fillId="67" borderId="13" applyAlignment="1" pivotButton="0" quotePrefix="0" xfId="0">
      <alignment horizontal="right" vertical="center" wrapText="1"/>
    </xf>
    <xf numFmtId="0" fontId="49" fillId="0" borderId="13" applyAlignment="1" pivotButton="0" quotePrefix="0" xfId="0">
      <alignment horizontal="center" vertical="center" wrapText="1"/>
    </xf>
    <xf numFmtId="0" fontId="49" fillId="0" borderId="13" applyAlignment="1" pivotButton="0" quotePrefix="0" xfId="0">
      <alignment horizontal="left" vertical="center" wrapText="1"/>
    </xf>
    <xf numFmtId="164" fontId="49" fillId="0" borderId="13" applyAlignment="1" pivotButton="0" quotePrefix="0" xfId="0">
      <alignment horizontal="right" vertical="center" wrapText="1"/>
    </xf>
    <xf numFmtId="176" fontId="49" fillId="0" borderId="13" applyAlignment="1" pivotButton="0" quotePrefix="0" xfId="0">
      <alignment horizontal="right" vertical="center" wrapText="1"/>
    </xf>
    <xf numFmtId="0" fontId="7" fillId="68" borderId="13" applyAlignment="1" pivotButton="0" quotePrefix="0" xfId="0">
      <alignment horizontal="center" vertical="center" wrapText="1"/>
    </xf>
    <xf numFmtId="0" fontId="0" fillId="0" borderId="14" pivotButton="0" quotePrefix="0" xfId="0"/>
    <xf numFmtId="164" fontId="7" fillId="68" borderId="13" applyAlignment="1" pivotButton="0" quotePrefix="0" xfId="0">
      <alignment horizontal="right" vertical="center" wrapText="1"/>
    </xf>
    <xf numFmtId="176" fontId="7" fillId="68" borderId="13" applyAlignment="1" pivotButton="0" quotePrefix="0" xfId="0">
      <alignment horizontal="right" vertical="center" wrapText="1"/>
    </xf>
    <xf numFmtId="0" fontId="49" fillId="0" borderId="14" applyAlignment="1" pivotButton="0" quotePrefix="0" xfId="0">
      <alignment horizontal="left" vertical="center" wrapText="1"/>
    </xf>
    <xf numFmtId="10" fontId="49" fillId="0" borderId="13" applyAlignment="1" pivotButton="0" quotePrefix="0" xfId="0">
      <alignment horizontal="right" vertical="center" wrapText="1"/>
    </xf>
    <xf numFmtId="0" fontId="49" fillId="0" borderId="15" applyAlignment="1" pivotButton="0" quotePrefix="0" xfId="0">
      <alignment horizontal="left" vertical="center" wrapText="1"/>
    </xf>
    <xf numFmtId="0" fontId="0" fillId="0" borderId="15" pivotButton="0" quotePrefix="0" xfId="0"/>
    <xf numFmtId="9" fontId="7" fillId="68" borderId="13" applyAlignment="1" pivotButton="0" quotePrefix="0" xfId="0">
      <alignment horizontal="right" vertical="center" wrapText="1"/>
    </xf>
    <xf numFmtId="175" fontId="49" fillId="0" borderId="13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center"/>
    </xf>
    <xf numFmtId="164" fontId="50" fillId="0" borderId="0" applyAlignment="1" pivotButton="0" quotePrefix="0" xfId="0">
      <alignment horizontal="center" vertical="center"/>
    </xf>
    <xf numFmtId="164" fontId="51" fillId="67" borderId="13" applyAlignment="1" pivotButton="0" quotePrefix="0" xfId="0">
      <alignment horizontal="right" vertical="center" wrapText="1"/>
    </xf>
    <xf numFmtId="177" fontId="41" fillId="0" borderId="9" applyAlignment="1" pivotButton="0" quotePrefix="0" xfId="0">
      <alignment horizontal="right" vertical="center"/>
    </xf>
    <xf numFmtId="0" fontId="53" fillId="0" borderId="9" applyAlignment="1" pivotButton="0" quotePrefix="0" xfId="0">
      <alignment horizontal="center" vertical="center"/>
    </xf>
    <xf numFmtId="0" fontId="39" fillId="47" borderId="9" applyAlignment="1" pivotButton="0" quotePrefix="0" xfId="0">
      <alignment horizontal="center" vertical="center"/>
    </xf>
    <xf numFmtId="168" fontId="47" fillId="47" borderId="9" applyAlignment="1" pivotButton="0" quotePrefix="0" xfId="0">
      <alignment horizontal="right" vertical="center"/>
    </xf>
    <xf numFmtId="168" fontId="39" fillId="47" borderId="9" applyAlignment="1" pivotButton="0" quotePrefix="0" xfId="0">
      <alignment horizontal="right" vertical="center"/>
    </xf>
    <xf numFmtId="0" fontId="43" fillId="0" borderId="0" applyAlignment="1" pivotButton="0" quotePrefix="0" xfId="0">
      <alignment horizontal="left" vertical="center"/>
    </xf>
    <xf numFmtId="0" fontId="42" fillId="47" borderId="9" applyAlignment="1" pivotButton="0" quotePrefix="0" xfId="0">
      <alignment horizontal="center" vertical="center"/>
    </xf>
    <xf numFmtId="168" fontId="47" fillId="45" borderId="9" applyAlignment="1" pivotButton="0" quotePrefix="0" xfId="0">
      <alignment horizontal="right" vertical="center"/>
    </xf>
    <xf numFmtId="0" fontId="52" fillId="0" borderId="9" applyAlignment="1" pivotButton="0" quotePrefix="0" xfId="0">
      <alignment horizontal="left" vertical="center"/>
    </xf>
    <xf numFmtId="168" fontId="52" fillId="45" borderId="9" applyAlignment="1" pivotButton="0" quotePrefix="0" xfId="0">
      <alignment horizontal="right" vertical="center"/>
    </xf>
    <xf numFmtId="177" fontId="47" fillId="0" borderId="9" applyAlignment="1" pivotButton="0" quotePrefix="0" xfId="0">
      <alignment horizontal="right" vertical="center"/>
    </xf>
    <xf numFmtId="0" fontId="45" fillId="53" borderId="9" applyAlignment="1" pivotButton="0" quotePrefix="0" xfId="0">
      <alignment horizontal="left" vertical="center"/>
    </xf>
    <xf numFmtId="0" fontId="42" fillId="53" borderId="9" applyAlignment="1" pivotButton="0" quotePrefix="0" xfId="0">
      <alignment horizontal="center" vertical="center"/>
    </xf>
    <xf numFmtId="168" fontId="45" fillId="53" borderId="9" applyAlignment="1" pivotButton="0" quotePrefix="0" xfId="0">
      <alignment horizontal="right" vertical="center"/>
    </xf>
    <xf numFmtId="170" fontId="47" fillId="45" borderId="9" applyAlignment="1" pivotButton="0" quotePrefix="0" xfId="0">
      <alignment horizontal="right" vertical="center"/>
    </xf>
    <xf numFmtId="178" fontId="43" fillId="0" borderId="0" applyAlignment="1" pivotButton="0" quotePrefix="0" xfId="0">
      <alignment horizontal="left" vertical="center"/>
    </xf>
    <xf numFmtId="168" fontId="42" fillId="0" borderId="9" applyAlignment="1" pivotButton="0" quotePrefix="0" xfId="0">
      <alignment horizontal="right" vertical="center"/>
    </xf>
    <xf numFmtId="0" fontId="36" fillId="56" borderId="0" applyAlignment="1" pivotButton="0" quotePrefix="0" xfId="0">
      <alignment horizontal="center" vertical="center"/>
    </xf>
    <xf numFmtId="179" fontId="39" fillId="0" borderId="9" applyAlignment="1" pivotButton="0" quotePrefix="0" xfId="0">
      <alignment horizontal="center" vertical="center"/>
    </xf>
    <xf numFmtId="0" fontId="58" fillId="0" borderId="9" applyAlignment="1" pivotButton="0" quotePrefix="0" xfId="0">
      <alignment horizontal="left" vertical="center"/>
    </xf>
    <xf numFmtId="0" fontId="53" fillId="53" borderId="9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fill>
        <patternFill patternType="solid">
          <fgColor rgb="FFFFC7CE"/>
        </patternFill>
      </fill>
    </dxf>
    <dxf>
      <font>
        <name val="微软雅黑"/>
        <b val="1"/>
        <color rgb="FFC00000"/>
        <sz val="10"/>
      </font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ont>
        <name val="微软雅黑"/>
        <b val="1"/>
        <color rgb="FF00B050"/>
        <sz val="10"/>
      </font>
    </dxf>
    <dxf>
      <fill>
        <patternFill patternType="solid">
          <fgColor rgb="FFE2EFDA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ont>
        <name val="微软雅黑"/>
        <b val="1"/>
        <color rgb="FFC00000"/>
        <sz val="10"/>
      </font>
    </dxf>
    <dxf>
      <fill>
        <patternFill patternType="solid">
          <fgColor rgb="FFF2F2F2"/>
        </patternFill>
      </fill>
    </dxf>
    <dxf>
      <font>
        <name val="微软雅黑"/>
        <b val="1"/>
        <color rgb="FF00B050"/>
        <sz val="11"/>
      </font>
    </dxf>
    <dxf>
      <font>
        <name val="微软雅黑"/>
        <b val="1"/>
        <color rgb="FFC00000"/>
        <sz val="11"/>
      </font>
    </dxf>
    <dxf>
      <font>
        <name val="微软雅黑"/>
        <b val="1"/>
        <color rgb="FF00B050"/>
        <sz val="10"/>
      </font>
      <fill>
        <patternFill patternType="solid">
          <fgColor rgb="FFE2EFDA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#'&#36164;&#37329;&#21488;&#24080;'!A1" TargetMode="External" Id="rId1"/><Relationship Type="http://schemas.openxmlformats.org/officeDocument/2006/relationships/hyperlink" Target="#'&#20986;&#24211;&#26126;&#32454;'!A1" TargetMode="External" Id="rId2"/><Relationship Type="http://schemas.openxmlformats.org/officeDocument/2006/relationships/hyperlink" Target="#'&#23384;&#26465;&#26126;&#32454;'!A1" TargetMode="External" Id="rId3"/><Relationship Type="http://schemas.openxmlformats.org/officeDocument/2006/relationships/hyperlink" Target="#'&#37319;&#36141;&#36827;&#36135;'!A1" TargetMode="External" Id="rId4"/><Relationship Type="http://schemas.openxmlformats.org/officeDocument/2006/relationships/hyperlink" Target="#'2026&#24180;9&#26376;&#25253;&#25439;'!A1" TargetMode="External" Id="rId5"/><Relationship Type="http://schemas.openxmlformats.org/officeDocument/2006/relationships/hyperlink" Target="#'&#22522;&#30784;&#36164;&#26009;'!A1" TargetMode="External" Id="rId6"/><Relationship Type="http://schemas.openxmlformats.org/officeDocument/2006/relationships/hyperlink" Target="#'&#24635;&#35272;&#27719;&#24635;'!A1" TargetMode="External" Id="rId7"/><Relationship Type="http://schemas.openxmlformats.org/officeDocument/2006/relationships/hyperlink" Target="#'&#21830;&#21697;&#24211;&#23384;'!A1" TargetMode="External" Id="rId8"/><Relationship Type="http://schemas.openxmlformats.org/officeDocument/2006/relationships/hyperlink" Target="#'&#25910;&#20184;&#27454;&#26126;&#32454;'!A1" TargetMode="External" Id="rId9"/><Relationship Type="http://schemas.openxmlformats.org/officeDocument/2006/relationships/hyperlink" Target="#'&#23458;&#25143;&#26597;&#35810;'!A1" TargetMode="External" Id="rId10"/><Relationship Type="http://schemas.openxmlformats.org/officeDocument/2006/relationships/hyperlink" Target="#'&#25910;&#20184;&#27454;&#27719;&#24635;'!A1" TargetMode="External" Id="rId11"/><Relationship Type="http://schemas.openxmlformats.org/officeDocument/2006/relationships/hyperlink" Target="#'&#23458;&#25143;&#23545;&#36134;&#21333;'!A1" TargetMode="External" Id="rId12"/><Relationship Type="http://schemas.openxmlformats.org/officeDocument/2006/relationships/hyperlink" Target="#'&#20379;&#24212;&#21830;&#23545;&#36134;&#21333;'!A1" TargetMode="External" Id="rId13"/><Relationship Type="http://schemas.openxmlformats.org/officeDocument/2006/relationships/hyperlink" Target="#'&#20844;&#21496;&#24211;&#23384;'!A1" TargetMode="External" Id="rId14"/><Relationship Type="http://schemas.openxmlformats.org/officeDocument/2006/relationships/hyperlink" Target="#'&#25253;&#25439;&#27719;&#24635;&#19968;&#35272;'!A1" TargetMode="External" Id="rId15"/><Relationship Type="http://schemas.openxmlformats.org/officeDocument/2006/relationships/hyperlink" Target="#'&#36153;&#29992;&#27719;&#24635;'!A1" TargetMode="External" Id="rId16"/><Relationship Type="http://schemas.openxmlformats.org/officeDocument/2006/relationships/hyperlink" Target="#'&#21033;&#28070;&#34920;'!A1" TargetMode="External" Id="rId17"/><Relationship Type="http://schemas.openxmlformats.org/officeDocument/2006/relationships/hyperlink" Target="#'&#36164;&#20135;&#36127;&#20538;&#34920;'!A1" TargetMode="External" Id="rId18"/><Relationship Type="http://schemas.openxmlformats.org/officeDocument/2006/relationships/hyperlink" Target="#'&#25968;&#25454;&#26657;&#39564;'!A1" TargetMode="External" Id="rId19"/></Relationships>
</file>

<file path=xl/worksheets/_rels/sheet24.xml.rels><Relationships xmlns="http://schemas.openxmlformats.org/package/2006/relationships"><Relationship Type="http://schemas.openxmlformats.org/officeDocument/2006/relationships/hyperlink" Target="#'&#36164;&#37329;&#21488;&#24080;'!A1" TargetMode="External" Id="rId1"/><Relationship Type="http://schemas.openxmlformats.org/officeDocument/2006/relationships/hyperlink" Target="#'&#36164;&#37329;&#21488;&#24080;'!A1" TargetMode="External" Id="rId2"/><Relationship Type="http://schemas.openxmlformats.org/officeDocument/2006/relationships/hyperlink" Target="#'&#20986;&#24211;&#26126;&#32454;'!A1" TargetMode="External" Id="rId3"/><Relationship Type="http://schemas.openxmlformats.org/officeDocument/2006/relationships/hyperlink" Target="#'&#23384;&#26465;&#26126;&#32454;'!A1" TargetMode="External" Id="rId4"/><Relationship Type="http://schemas.openxmlformats.org/officeDocument/2006/relationships/hyperlink" Target="#'&#20986;&#24211;&#26126;&#32454;'!A1" TargetMode="External" Id="rId5"/><Relationship Type="http://schemas.openxmlformats.org/officeDocument/2006/relationships/hyperlink" Target="#'&#23384;&#26465;&#26126;&#32454;'!A1" TargetMode="External" Id="rId6"/><Relationship Type="http://schemas.openxmlformats.org/officeDocument/2006/relationships/hyperlink" Target="#'&#20986;&#24211;&#26126;&#32454;'!A1" TargetMode="External" Id="rId7"/><Relationship Type="http://schemas.openxmlformats.org/officeDocument/2006/relationships/hyperlink" Target="#'&#23384;&#26465;&#26126;&#32454;'!A1" TargetMode="External" Id="rId8"/><Relationship Type="http://schemas.openxmlformats.org/officeDocument/2006/relationships/hyperlink" Target="#'&#20986;&#24211;&#26126;&#32454;'!A1" TargetMode="External" Id="rId9"/><Relationship Type="http://schemas.openxmlformats.org/officeDocument/2006/relationships/hyperlink" Target="#'&#23384;&#26465;&#26126;&#32454;'!A1" TargetMode="External" Id="rId10"/><Relationship Type="http://schemas.openxmlformats.org/officeDocument/2006/relationships/hyperlink" Target="#'&#20986;&#24211;&#26126;&#32454;'!A1" TargetMode="External" Id="rId11"/><Relationship Type="http://schemas.openxmlformats.org/officeDocument/2006/relationships/hyperlink" Target="#'&#37319;&#36141;&#36827;&#36135;'!A1" TargetMode="External" Id="rId12"/><Relationship Type="http://schemas.openxmlformats.org/officeDocument/2006/relationships/hyperlink" Target="#'&#20844;&#21496;&#24211;&#23384;'!A1" TargetMode="External" Id="rId13"/><Relationship Type="http://schemas.openxmlformats.org/officeDocument/2006/relationships/hyperlink" Target="#'&#20844;&#21496;&#24211;&#23384;'!A1" TargetMode="External" Id="rId14"/><Relationship Type="http://schemas.openxmlformats.org/officeDocument/2006/relationships/hyperlink" Target="#'&#20844;&#21496;&#24211;&#23384;'!A1" TargetMode="External" Id="rId15"/><Relationship Type="http://schemas.openxmlformats.org/officeDocument/2006/relationships/hyperlink" Target="#'&#24635;&#35272;&#27719;&#24635;'!A1" TargetMode="External" Id="rId16"/><Relationship Type="http://schemas.openxmlformats.org/officeDocument/2006/relationships/hyperlink" Target="#'&#22522;&#30784;&#36164;&#26009;'!A1" TargetMode="External" Id="rId17"/><Relationship Type="http://schemas.openxmlformats.org/officeDocument/2006/relationships/hyperlink" Target="#'&#36164;&#37329;&#21488;&#24080;'!A1" TargetMode="External" Id="rId18"/><Relationship Type="http://schemas.openxmlformats.org/officeDocument/2006/relationships/hyperlink" Target="#'&#24635;&#35272;&#27719;&#24635;'!A1" TargetMode="External" Id="rId19"/><Relationship Type="http://schemas.openxmlformats.org/officeDocument/2006/relationships/hyperlink" Target="#'&#23384;&#26465;&#26126;&#32454;'!A1" TargetMode="External" Id="rId20"/><Relationship Type="http://schemas.openxmlformats.org/officeDocument/2006/relationships/hyperlink" Target="#'&#36164;&#20135;&#36127;&#20538;&#34920;'!A1" TargetMode="External" Id="rId21"/><Relationship Type="http://schemas.openxmlformats.org/officeDocument/2006/relationships/hyperlink" Target="#'&#36164;&#37329;&#21488;&#24080;'!A1" TargetMode="External" Id="rId22"/><Relationship Type="http://schemas.openxmlformats.org/officeDocument/2006/relationships/hyperlink" Target="#'&#36164;&#37329;&#21488;&#24080;'!A1" TargetMode="External" Id="rId23"/><Relationship Type="http://schemas.openxmlformats.org/officeDocument/2006/relationships/hyperlink" Target="#'&#22522;&#30784;&#36164;&#26009;'!A1" TargetMode="External" Id="rId24"/><Relationship Type="http://schemas.openxmlformats.org/officeDocument/2006/relationships/hyperlink" Target="#'&#22522;&#30784;&#36164;&#26009;'!A1" TargetMode="External" Id="rId25"/><Relationship Type="http://schemas.openxmlformats.org/officeDocument/2006/relationships/hyperlink" Target="#'&#22522;&#30784;&#36164;&#26009;'!A1" TargetMode="External" Id="rId26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40"/>
  <sheetViews>
    <sheetView showGridLines="0" tabSelected="1" workbookViewId="0">
      <selection activeCell="A1" sqref="A1"/>
    </sheetView>
  </sheetViews>
  <sheetFormatPr baseColWidth="8" defaultRowHeight="15"/>
  <cols>
    <col width="17" customWidth="1" style="71" min="1" max="1"/>
    <col width="17" customWidth="1" style="71" min="2" max="2"/>
    <col width="17" customWidth="1" style="71" min="3" max="3"/>
    <col width="17" customWidth="1" style="71" min="4" max="4"/>
    <col width="17" customWidth="1" style="71" min="5" max="5"/>
    <col width="17" customWidth="1" style="71" min="6" max="6"/>
    <col width="17" customWidth="1" style="71" min="7" max="7"/>
    <col width="17" customWidth="1" style="71" min="8" max="8"/>
  </cols>
  <sheetData>
    <row r="1" ht="44" customHeight="1" s="71">
      <c r="A1" s="72" t="str">
        <f>IF(基础资料!B6="","饮料经销财务模板",基础资料!B6)&amp;" · "&amp;年度&amp;"年度账"</f>
        <v>饮料经销财务模板 · 2026年度账</v>
      </c>
    </row>
    <row r="2" ht="36" customHeight="1" s="71">
      <c r="A2" s="73" t="inlineStr">
        <is>
          <t>💡 日常只录四张表：资金台帐（收钱付钱）、出库明细（送货）、存条明细（客户存条）、采购进货（进货）；报损照原来每月一张。其余全部自动：总览、库存、收付款明细、对账单、利润表、资产负债表。淡黄/白格子手填，灰格子别动。</t>
        </is>
      </c>
    </row>
    <row r="4">
      <c r="A4" s="74" t="inlineStr">
        <is>
          <t>关键数（截至今天录入的数据）</t>
        </is>
      </c>
    </row>
    <row r="5">
      <c r="A5" s="75" t="inlineStr">
        <is>
          <t>本年销售额</t>
        </is>
      </c>
      <c r="B5" s="75" t="inlineStr">
        <is>
          <t>本年毛利</t>
        </is>
      </c>
      <c r="C5" s="75" t="inlineStr">
        <is>
          <t>本年净利润</t>
        </is>
      </c>
      <c r="D5" s="75" t="inlineStr">
        <is>
          <t>当前资金余额</t>
        </is>
      </c>
      <c r="E5" s="75" t="inlineStr">
        <is>
          <t>客户欠我们</t>
        </is>
      </c>
      <c r="F5" s="75" t="inlineStr">
        <is>
          <t>客户存条/预存</t>
        </is>
      </c>
      <c r="G5" s="75" t="inlineStr">
        <is>
          <t>欠厂家货款</t>
        </is>
      </c>
      <c r="H5" s="75" t="inlineStr">
        <is>
          <t>数据校验待改项</t>
        </is>
      </c>
    </row>
    <row r="6" ht="32" customHeight="1" s="71">
      <c r="A6" s="76">
        <f>利润表!Q7</f>
        <v>1707307.7</v>
      </c>
      <c r="B6" s="76">
        <f>利润表!Q12</f>
        <v>571498.9286</v>
      </c>
      <c r="C6" s="76">
        <f>利润表!Q24</f>
        <v>553843.713064</v>
      </c>
      <c r="D6" s="76">
        <f>基础资料!Y25</f>
        <v>3869309.69</v>
      </c>
      <c r="E6" s="76">
        <f>SUMIF(总览汇总!$G$5:$G$304,"&gt;0")</f>
        <v>61456.5</v>
      </c>
      <c r="F6" s="76">
        <f>-SUMIF(总览汇总!$G$5:$G$304,"&lt;0")</f>
        <v>2223458.49</v>
      </c>
      <c r="G6" s="76">
        <f>SUMIF(_辅助!$K$5:$K$54,"&gt;0")</f>
        <v>0</v>
      </c>
      <c r="H6" s="77">
        <f>数据校验!$C$32</f>
        <v>1</v>
      </c>
    </row>
    <row r="7">
      <c r="A7" s="78" t="inlineStr">
        <is>
          <t>「欠厂家货款」按资产负债表选定月份月底算；其余是全年/当前数。</t>
        </is>
      </c>
    </row>
    <row r="9">
      <c r="A9" s="74" t="inlineStr">
        <is>
          <t>表格导航（点表名直接跳过去）</t>
        </is>
      </c>
    </row>
    <row r="10">
      <c r="A10" s="79" t="inlineStr">
        <is>
          <t>表名</t>
        </is>
      </c>
      <c r="B10" s="79" t="inlineStr">
        <is>
          <t>干什么的</t>
        </is>
      </c>
      <c r="C10" s="80" t="n"/>
      <c r="D10" s="79" t="inlineStr">
        <is>
          <t>你要做什么</t>
        </is>
      </c>
      <c r="E10" s="81" t="n"/>
      <c r="F10" s="81" t="n"/>
      <c r="G10" s="81" t="n"/>
      <c r="H10" s="80" t="n"/>
    </row>
    <row r="11" ht="24" customHeight="1" s="71">
      <c r="A11" s="82" t="inlineStr">
        <is>
          <t>资金台帐</t>
        </is>
      </c>
      <c r="B11" s="83" t="inlineStr">
        <is>
          <t>收支混合录入，逐笔出账户余额和总余额</t>
        </is>
      </c>
      <c r="C11" s="84" t="n"/>
      <c r="D11" s="85" t="inlineStr">
        <is>
          <t>★ 每收/付一笔钱记一行；收客户的选客户，付厂家的选供应商，花钱的选费用项目</t>
        </is>
      </c>
      <c r="E11" s="86" t="n"/>
      <c r="F11" s="86" t="n"/>
      <c r="G11" s="86" t="n"/>
      <c r="H11" s="86" t="n"/>
    </row>
    <row r="12" ht="24" customHeight="1" s="71">
      <c r="A12" s="82" t="inlineStr">
        <is>
          <t>出库明细</t>
        </is>
      </c>
      <c r="B12" s="83" t="inlineStr">
        <is>
          <t>（原表）客户领货/送货</t>
        </is>
      </c>
      <c r="C12" s="84" t="n"/>
      <c r="D12" s="85" t="inlineStr">
        <is>
          <t>★ 每次送货记一行</t>
        </is>
      </c>
      <c r="E12" s="86" t="n"/>
      <c r="F12" s="86" t="n"/>
      <c r="G12" s="86" t="n"/>
      <c r="H12" s="86" t="n"/>
    </row>
    <row r="13" ht="24" customHeight="1" s="71">
      <c r="A13" s="82" t="inlineStr">
        <is>
          <t>存条明细</t>
        </is>
      </c>
      <c r="B13" s="83" t="inlineStr">
        <is>
          <t>（原表）客户存条（预付的货）</t>
        </is>
      </c>
      <c r="C13" s="84" t="n"/>
      <c r="D13" s="85" t="inlineStr">
        <is>
          <t>★ 客户存条时记，一个商品一行</t>
        </is>
      </c>
      <c r="E13" s="86" t="n"/>
      <c r="F13" s="86" t="n"/>
      <c r="G13" s="86" t="n"/>
      <c r="H13" s="86" t="n"/>
    </row>
    <row r="14" ht="24" customHeight="1" s="71">
      <c r="A14" s="82" t="inlineStr">
        <is>
          <t>采购进货</t>
        </is>
      </c>
      <c r="B14" s="83" t="inlineStr">
        <is>
          <t>（新）从厂家进货</t>
        </is>
      </c>
      <c r="C14" s="84" t="n"/>
      <c r="D14" s="85" t="inlineStr">
        <is>
          <t>★ 每张进货单记，厂家搭赠填赠品数量</t>
        </is>
      </c>
      <c r="E14" s="86" t="n"/>
      <c r="F14" s="86" t="n"/>
      <c r="G14" s="86" t="n"/>
      <c r="H14" s="86" t="n"/>
    </row>
    <row r="15" ht="24" customHeight="1" s="71">
      <c r="A15" s="82" t="inlineStr">
        <is>
          <t>2026年9月报损</t>
        </is>
      </c>
      <c r="B15" s="83" t="inlineStr">
        <is>
          <t>（原表）每月过期报损</t>
        </is>
      </c>
      <c r="C15" s="84" t="n"/>
      <c r="D15" s="85" t="inlineStr">
        <is>
          <t>★ 每月一张，照原来的填；新月份复制上月的表，并在基础资料登记表名</t>
        </is>
      </c>
      <c r="E15" s="86" t="n"/>
      <c r="F15" s="86" t="n"/>
      <c r="G15" s="86" t="n"/>
      <c r="H15" s="86" t="n"/>
    </row>
    <row r="16" ht="24" customHeight="1" s="71">
      <c r="A16" s="82" t="inlineStr">
        <is>
          <t>基础资料</t>
        </is>
      </c>
      <c r="B16" s="83" t="inlineStr">
        <is>
          <t>商品、供应商、资金账户、收支项目、费用项目</t>
        </is>
      </c>
      <c r="C16" s="84" t="n"/>
      <c r="D16" s="87" t="inlineStr">
        <is>
          <t>新商品/新账户先在这里加；商品的参考进价要填</t>
        </is>
      </c>
      <c r="E16" s="84" t="n"/>
      <c r="F16" s="84" t="n"/>
      <c r="G16" s="84" t="n"/>
      <c r="H16" s="84" t="n"/>
    </row>
    <row r="17" ht="24" customHeight="1" s="71">
      <c r="A17" s="82" t="inlineStr">
        <is>
          <t>总览汇总</t>
        </is>
      </c>
      <c r="B17" s="83" t="inlineStr">
        <is>
          <t>（原表）客户存条&amp;货款总览——客户名单也在这</t>
        </is>
      </c>
      <c r="C17" s="84" t="n"/>
      <c r="D17" s="87" t="inlineStr">
        <is>
          <t>新客户在 B 列加；已付款自动从资金台帐取</t>
        </is>
      </c>
      <c r="E17" s="84" t="n"/>
      <c r="F17" s="84" t="n"/>
      <c r="G17" s="84" t="n"/>
      <c r="H17" s="84" t="n"/>
    </row>
    <row r="18" ht="24" customHeight="1" s="71">
      <c r="A18" s="82" t="inlineStr">
        <is>
          <t>商品库存</t>
        </is>
      </c>
      <c r="B18" s="83" t="inlineStr">
        <is>
          <t>（原表）每个客户每个商品的存条库存</t>
        </is>
      </c>
      <c r="C18" s="84" t="n"/>
      <c r="D18" s="87" t="inlineStr">
        <is>
          <t>全自动</t>
        </is>
      </c>
      <c r="E18" s="84" t="n"/>
      <c r="F18" s="84" t="n"/>
      <c r="G18" s="84" t="n"/>
      <c r="H18" s="84" t="n"/>
    </row>
    <row r="19" ht="24" customHeight="1" s="71">
      <c r="A19" s="82" t="inlineStr">
        <is>
          <t>收付款明细</t>
        </is>
      </c>
      <c r="B19" s="83" t="inlineStr">
        <is>
          <t>（原表）收付款明细</t>
        </is>
      </c>
      <c r="C19" s="84" t="n"/>
      <c r="D19" s="87" t="inlineStr">
        <is>
          <t>全自动，从资金台帐提取</t>
        </is>
      </c>
      <c r="E19" s="84" t="n"/>
      <c r="F19" s="84" t="n"/>
      <c r="G19" s="84" t="n"/>
      <c r="H19" s="84" t="n"/>
    </row>
    <row r="20" ht="24" customHeight="1" s="71">
      <c r="A20" s="82" t="inlineStr">
        <is>
          <t>客户查询</t>
        </is>
      </c>
      <c r="B20" s="83" t="inlineStr">
        <is>
          <t>（原表）客户快速查询</t>
        </is>
      </c>
      <c r="C20" s="84" t="n"/>
      <c r="D20" s="87" t="inlineStr">
        <is>
          <t>选客户看</t>
        </is>
      </c>
      <c r="E20" s="84" t="n"/>
      <c r="F20" s="84" t="n"/>
      <c r="G20" s="84" t="n"/>
      <c r="H20" s="84" t="n"/>
    </row>
    <row r="21" ht="24" customHeight="1" s="71">
      <c r="A21" s="82" t="inlineStr">
        <is>
          <t>收付款汇总</t>
        </is>
      </c>
      <c r="B21" s="83" t="inlineStr">
        <is>
          <t>按月收付、按客户/供应商汇总</t>
        </is>
      </c>
      <c r="C21" s="84" t="n"/>
      <c r="D21" s="87" t="inlineStr">
        <is>
          <t>全自动</t>
        </is>
      </c>
      <c r="E21" s="84" t="n"/>
      <c r="F21" s="84" t="n"/>
      <c r="G21" s="84" t="n"/>
      <c r="H21" s="84" t="n"/>
    </row>
    <row r="22" ht="24" customHeight="1" s="71">
      <c r="A22" s="82" t="inlineStr">
        <is>
          <t>客户对账单</t>
        </is>
      </c>
      <c r="B22" s="83" t="inlineStr">
        <is>
          <t>给客户的对账单（可打印签字）</t>
        </is>
      </c>
      <c r="C22" s="84" t="n"/>
      <c r="D22" s="87" t="inlineStr">
        <is>
          <t>选客户、起止日期</t>
        </is>
      </c>
      <c r="E22" s="84" t="n"/>
      <c r="F22" s="84" t="n"/>
      <c r="G22" s="84" t="n"/>
      <c r="H22" s="84" t="n"/>
    </row>
    <row r="23" ht="24" customHeight="1" s="71">
      <c r="A23" s="82" t="inlineStr">
        <is>
          <t>供应商对账单</t>
        </is>
      </c>
      <c r="B23" s="83" t="inlineStr">
        <is>
          <t>和厂家的对账单</t>
        </is>
      </c>
      <c r="C23" s="84" t="n"/>
      <c r="D23" s="87" t="inlineStr">
        <is>
          <t>选供应商、起止日期</t>
        </is>
      </c>
      <c r="E23" s="84" t="n"/>
      <c r="F23" s="84" t="n"/>
      <c r="G23" s="84" t="n"/>
      <c r="H23" s="84" t="n"/>
    </row>
    <row r="24" ht="24" customHeight="1" s="71">
      <c r="A24" s="82" t="inlineStr">
        <is>
          <t>公司库存</t>
        </is>
      </c>
      <c r="B24" s="83" t="inlineStr">
        <is>
          <t>公司仓库进销存（按商品）</t>
        </is>
      </c>
      <c r="C24" s="84" t="n"/>
      <c r="D24" s="87" t="inlineStr">
        <is>
          <t>选月份看</t>
        </is>
      </c>
      <c r="E24" s="84" t="n"/>
      <c r="F24" s="84" t="n"/>
      <c r="G24" s="84" t="n"/>
      <c r="H24" s="84" t="n"/>
    </row>
    <row r="25" ht="24" customHeight="1" s="71">
      <c r="A25" s="82" t="inlineStr">
        <is>
          <t>报损汇总一览</t>
        </is>
      </c>
      <c r="B25" s="83" t="inlineStr">
        <is>
          <t>（原表）过期报损汇总</t>
        </is>
      </c>
      <c r="C25" s="84" t="n"/>
      <c r="D25" s="87" t="inlineStr">
        <is>
          <t>选全年或某月看</t>
        </is>
      </c>
      <c r="E25" s="84" t="n"/>
      <c r="F25" s="84" t="n"/>
      <c r="G25" s="84" t="n"/>
      <c r="H25" s="84" t="n"/>
    </row>
    <row r="26" ht="24" customHeight="1" s="71">
      <c r="A26" s="82" t="inlineStr">
        <is>
          <t>费用汇总</t>
        </is>
      </c>
      <c r="B26" s="83" t="inlineStr">
        <is>
          <t>费用按项目×月份</t>
        </is>
      </c>
      <c r="C26" s="84" t="n"/>
      <c r="D26" s="87" t="inlineStr">
        <is>
          <t>全自动</t>
        </is>
      </c>
      <c r="E26" s="84" t="n"/>
      <c r="F26" s="84" t="n"/>
      <c r="G26" s="84" t="n"/>
      <c r="H26" s="84" t="n"/>
    </row>
    <row r="27" ht="24" customHeight="1" s="71">
      <c r="A27" s="82" t="inlineStr">
        <is>
          <t>利润表</t>
        </is>
      </c>
      <c r="B27" s="83" t="inlineStr">
        <is>
          <t>利润表（本月 / 本年累计 / 逐月）</t>
        </is>
      </c>
      <c r="C27" s="84" t="n"/>
      <c r="D27" s="87" t="inlineStr">
        <is>
          <t>选月份看</t>
        </is>
      </c>
      <c r="E27" s="84" t="n"/>
      <c r="F27" s="84" t="n"/>
      <c r="G27" s="84" t="n"/>
      <c r="H27" s="84" t="n"/>
    </row>
    <row r="28" ht="24" customHeight="1" s="71">
      <c r="A28" s="82" t="inlineStr">
        <is>
          <t>资产负债表</t>
        </is>
      </c>
      <c r="B28" s="83" t="inlineStr">
        <is>
          <t>资产负债表（简易）</t>
        </is>
      </c>
      <c r="C28" s="84" t="n"/>
      <c r="D28" s="87" t="inlineStr">
        <is>
          <t>选月份看，平衡检查要是 √</t>
        </is>
      </c>
      <c r="E28" s="84" t="n"/>
      <c r="F28" s="84" t="n"/>
      <c r="G28" s="84" t="n"/>
      <c r="H28" s="84" t="n"/>
    </row>
    <row r="29" ht="24" customHeight="1" s="71">
      <c r="A29" s="82" t="inlineStr">
        <is>
          <t>数据校验</t>
        </is>
      </c>
      <c r="B29" s="83" t="inlineStr">
        <is>
          <t>所有数据问题一表列出</t>
        </is>
      </c>
      <c r="C29" s="84" t="n"/>
      <c r="D29" s="87" t="inlineStr">
        <is>
          <t>有 ✗ 就按提示改</t>
        </is>
      </c>
      <c r="E29" s="84" t="n"/>
      <c r="F29" s="84" t="n"/>
      <c r="G29" s="84" t="n"/>
      <c r="H29" s="84" t="n"/>
    </row>
    <row r="31">
      <c r="A31" s="74" t="inlineStr">
        <is>
          <t>钱和货是怎么流的</t>
        </is>
      </c>
    </row>
    <row r="32">
      <c r="A32" s="88" t="inlineStr">
        <is>
          <t>1. 客户付存条款/货款 → 资金台帐（选客户）→ 总览汇总「已付款」、收付款明细、客户对账单</t>
        </is>
      </c>
    </row>
    <row r="33">
      <c r="A33" s="88" t="inlineStr">
        <is>
          <t>2. 客户领货 → 出库明细 → 总览汇总「已领用」、商品库存、利润表「主营业务收入」、公司库存「出库」</t>
        </is>
      </c>
    </row>
    <row r="34">
      <c r="A34" s="88" t="inlineStr">
        <is>
          <t>3. 从厂家进货 → 采购进货 → 公司库存、成本计算（加权平均进价）、供应商对账单「进货」</t>
        </is>
      </c>
    </row>
    <row r="35">
      <c r="A35" s="88" t="inlineStr">
        <is>
          <t>4. 付厂家货款 → 资金台帐（选供应商）→ 供应商对账单「付款」、资产负债表「应付账款」</t>
        </is>
      </c>
    </row>
    <row r="36">
      <c r="A36" s="88" t="inlineStr">
        <is>
          <t>5. 各项开支 → 资金台帐（选费用项目）→ 费用汇总 → 利润表</t>
        </is>
      </c>
    </row>
    <row r="37">
      <c r="A37" s="88" t="inlineStr">
        <is>
          <t>6. 过期报损 → 各月报损表 → 报损汇总一览、利润表「商品报损损失」、公司库存「报损」</t>
        </is>
      </c>
    </row>
    <row r="39">
      <c r="A39" s="74" t="inlineStr">
        <is>
          <t>颜色</t>
        </is>
      </c>
    </row>
    <row r="40">
      <c r="A40" s="86" t="n"/>
      <c r="B40" s="89" t="inlineStr">
        <is>
          <t>淡黄：手填的格子</t>
        </is>
      </c>
      <c r="C40" s="90" t="n"/>
      <c r="D40" s="89" t="inlineStr">
        <is>
          <t>淡灰：公式自动算，别改</t>
        </is>
      </c>
      <c r="E40" s="91" t="n"/>
      <c r="F40" s="89" t="inlineStr">
        <is>
          <t>亮黄：查询/报表的选择格</t>
        </is>
      </c>
      <c r="G40" s="92" t="n"/>
      <c r="H40" s="89" t="inlineStr">
        <is>
          <t>淡红：校验发现的问题</t>
        </is>
      </c>
    </row>
  </sheetData>
  <mergeCells count="49">
    <mergeCell ref="B16:C16"/>
    <mergeCell ref="D20:H20"/>
    <mergeCell ref="B25:C25"/>
    <mergeCell ref="D10:H10"/>
    <mergeCell ref="D19:H19"/>
    <mergeCell ref="B22:C22"/>
    <mergeCell ref="A36:H36"/>
    <mergeCell ref="A1:H1"/>
    <mergeCell ref="B18:C18"/>
    <mergeCell ref="D22:H22"/>
    <mergeCell ref="B27:C27"/>
    <mergeCell ref="B12:C12"/>
    <mergeCell ref="B21:C21"/>
    <mergeCell ref="D21:H21"/>
    <mergeCell ref="A7:H7"/>
    <mergeCell ref="B11:C11"/>
    <mergeCell ref="D11:H11"/>
    <mergeCell ref="D13:H13"/>
    <mergeCell ref="B23:C23"/>
    <mergeCell ref="D27:H27"/>
    <mergeCell ref="B14:C14"/>
    <mergeCell ref="B17:C17"/>
    <mergeCell ref="A37:H37"/>
    <mergeCell ref="D17:H17"/>
    <mergeCell ref="B13:C13"/>
    <mergeCell ref="B29:C29"/>
    <mergeCell ref="D16:H16"/>
    <mergeCell ref="B19:C19"/>
    <mergeCell ref="A2:H2"/>
    <mergeCell ref="B10:C10"/>
    <mergeCell ref="B28:C28"/>
    <mergeCell ref="D28:H28"/>
    <mergeCell ref="A33:H33"/>
    <mergeCell ref="A32:H32"/>
    <mergeCell ref="D18:H18"/>
    <mergeCell ref="D12:H12"/>
    <mergeCell ref="B24:C24"/>
    <mergeCell ref="D25:H25"/>
    <mergeCell ref="B15:C15"/>
    <mergeCell ref="D15:H15"/>
    <mergeCell ref="A35:H35"/>
    <mergeCell ref="D24:H24"/>
    <mergeCell ref="B20:C20"/>
    <mergeCell ref="D29:H29"/>
    <mergeCell ref="D23:H23"/>
    <mergeCell ref="D14:H14"/>
    <mergeCell ref="B26:C26"/>
    <mergeCell ref="D26:H26"/>
    <mergeCell ref="A34:H34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/>
  </sheetPr>
  <dimension ref="A1:AO10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71" min="1" max="1"/>
    <col width="30" customWidth="1" style="71" min="2" max="2"/>
    <col width="2" customWidth="1" style="71" min="3" max="3"/>
    <col width="5" customWidth="1" style="71" min="4" max="4"/>
    <col width="16" customWidth="1" style="71" min="5" max="5"/>
    <col width="13" customWidth="1" style="71" min="6" max="6"/>
    <col width="18" customWidth="1" style="71" min="7" max="7"/>
    <col width="7" customWidth="1" style="71" min="8" max="8"/>
    <col width="6" customWidth="1" style="71" min="9" max="9"/>
    <col width="10" customWidth="1" style="71" min="10" max="10"/>
    <col width="10" customWidth="1" style="71" min="11" max="11"/>
    <col width="9" customWidth="1" style="71" min="12" max="12"/>
    <col width="9" customWidth="1" style="71" min="13" max="13"/>
    <col width="11" customWidth="1" style="71" min="14" max="14"/>
    <col width="2" customWidth="1" style="71" min="15" max="15"/>
    <col width="5" customWidth="1" style="71" min="16" max="16"/>
    <col width="16" customWidth="1" style="71" min="17" max="17"/>
    <col width="15" customWidth="1" style="71" min="18" max="18"/>
    <col width="15" customWidth="1" style="71" min="19" max="19"/>
    <col width="16" customWidth="1" style="71" min="20" max="20"/>
    <col width="2" customWidth="1" style="71" min="21" max="21"/>
    <col width="5" customWidth="1" style="71" min="22" max="22"/>
    <col width="14" customWidth="1" style="71" min="23" max="23"/>
    <col width="14" customWidth="1" style="71" min="24" max="24"/>
    <col width="15" customWidth="1" style="71" min="25" max="25"/>
    <col width="16" customWidth="1" style="71" min="26" max="26"/>
    <col width="2" customWidth="1" style="71" min="27" max="27"/>
    <col width="5" customWidth="1" style="71" min="28" max="28"/>
    <col width="12" customWidth="1" style="71" min="29" max="29"/>
    <col width="6" customWidth="1" style="71" min="30" max="30"/>
    <col width="9" customWidth="1" style="71" min="31" max="31"/>
    <col width="40" customWidth="1" style="71" min="32" max="32"/>
    <col width="2" customWidth="1" style="71" min="33" max="33"/>
    <col width="5" customWidth="1" style="71" min="34" max="34"/>
    <col width="13" customWidth="1" style="71" min="35" max="35"/>
    <col width="11" customWidth="1" style="71" min="36" max="36"/>
    <col width="28" customWidth="1" style="71" min="37" max="37"/>
    <col width="2" customWidth="1" style="71" min="38" max="38"/>
    <col width="7" customWidth="1" style="71" min="39" max="39"/>
    <col width="17" customWidth="1" style="71" min="40" max="40"/>
    <col width="22" customWidth="1" style="71" min="41" max="41"/>
  </cols>
  <sheetData>
    <row r="1" ht="33" customHeight="1" s="71">
      <c r="A1" s="93" t="inlineStr">
        <is>
          <t>基础资料（参数 · 商品 · 供应商 · 资金账户 · 收支项目 · 费用项目 · 报损月表）</t>
        </is>
      </c>
    </row>
    <row r="2" ht="24" customHeight="1" s="71">
      <c r="A2" s="73" t="inlineStr">
        <is>
          <t>💡 淡黄格子手填，灰格子自动。这里的清单就是各录入表的下拉内容——清单里没有的先在这里加一行，再去录。客户名单还在【总览汇总】B 列（跟原来一样，新客户在那里加）。不要插入或删除行，直接往下面的空行里填。</t>
        </is>
      </c>
    </row>
    <row r="3" ht="24" customHeight="1" s="71">
      <c r="A3" s="79" t="inlineStr">
        <is>
          <t>参数</t>
        </is>
      </c>
      <c r="D3" s="94" t="inlineStr">
        <is>
          <t>商品档案（出库 / 存条 / 采购 的「商品品类」都从这里选）</t>
        </is>
      </c>
      <c r="P3" s="95" t="inlineStr">
        <is>
          <t>供应商档案</t>
        </is>
      </c>
      <c r="V3" s="96" t="inlineStr">
        <is>
          <t>资金账户（资金台帐「账户」下拉）</t>
        </is>
      </c>
      <c r="AB3" s="97" t="inlineStr">
        <is>
          <t>收支项目（资金台帐「收支项目」下拉；前 6 个名称别改，公式按名字认）</t>
        </is>
      </c>
      <c r="AH3" s="98" t="inlineStr">
        <is>
          <t>费用项目（资金台帐「费用项目」下拉）</t>
        </is>
      </c>
      <c r="AM3" s="99" t="inlineStr">
        <is>
          <t>报损月表清单（几月的报损记在哪张表）</t>
        </is>
      </c>
    </row>
    <row r="4" ht="34" customHeight="1" s="71">
      <c r="A4" s="100" t="inlineStr">
        <is>
          <t>项目</t>
        </is>
      </c>
      <c r="B4" s="100" t="inlineStr">
        <is>
          <t>值</t>
        </is>
      </c>
      <c r="D4" s="101" t="inlineStr">
        <is>
          <t>序号</t>
        </is>
      </c>
      <c r="E4" s="101" t="inlineStr">
        <is>
          <t>商品名称</t>
        </is>
      </c>
      <c r="F4" s="101" t="inlineStr">
        <is>
          <t>供应商
(所属公司)</t>
        </is>
      </c>
      <c r="G4" s="101" t="inlineStr">
        <is>
          <t>报损表品名</t>
        </is>
      </c>
      <c r="H4" s="101" t="inlineStr">
        <is>
          <t>规格</t>
        </is>
      </c>
      <c r="I4" s="101" t="inlineStr">
        <is>
          <t>每件
瓶数</t>
        </is>
      </c>
      <c r="J4" s="101" t="inlineStr">
        <is>
          <t>参考进价
(元/件)</t>
        </is>
      </c>
      <c r="K4" s="101" t="inlineStr">
        <is>
          <t>参考售价
(元/件)</t>
        </is>
      </c>
      <c r="L4" s="101" t="inlineStr">
        <is>
          <t>期初库存
(件)</t>
        </is>
      </c>
      <c r="M4" s="101" t="inlineStr">
        <is>
          <t>期初单价
(元/件)</t>
        </is>
      </c>
      <c r="N4" s="101" t="inlineStr">
        <is>
          <t>期初金额
(元)</t>
        </is>
      </c>
      <c r="P4" s="102" t="inlineStr">
        <is>
          <t>序号</t>
        </is>
      </c>
      <c r="Q4" s="102" t="inlineStr">
        <is>
          <t>供应商名称</t>
        </is>
      </c>
      <c r="R4" s="102" t="inlineStr">
        <is>
          <t>年初应付(元)
正=我欠他 负=预付</t>
        </is>
      </c>
      <c r="S4" s="102" t="inlineStr">
        <is>
          <t>联系人/电话</t>
        </is>
      </c>
      <c r="T4" s="102" t="inlineStr">
        <is>
          <t>备注</t>
        </is>
      </c>
      <c r="V4" s="103" t="inlineStr">
        <is>
          <t>序号</t>
        </is>
      </c>
      <c r="W4" s="103" t="inlineStr">
        <is>
          <t>账户名称</t>
        </is>
      </c>
      <c r="X4" s="103" t="inlineStr">
        <is>
          <t>年初余额(元)</t>
        </is>
      </c>
      <c r="Y4" s="103" t="inlineStr">
        <is>
          <t>当前余额(元)
自动</t>
        </is>
      </c>
      <c r="Z4" s="103" t="inlineStr">
        <is>
          <t>备注</t>
        </is>
      </c>
      <c r="AB4" s="104" t="inlineStr">
        <is>
          <t>序号</t>
        </is>
      </c>
      <c r="AC4" s="104" t="inlineStr">
        <is>
          <t>收支项目</t>
        </is>
      </c>
      <c r="AD4" s="104" t="inlineStr">
        <is>
          <t>方向</t>
        </is>
      </c>
      <c r="AE4" s="104" t="inlineStr">
        <is>
          <t>去向</t>
        </is>
      </c>
      <c r="AF4" s="104" t="inlineStr">
        <is>
          <t>说明</t>
        </is>
      </c>
      <c r="AH4" s="105" t="inlineStr">
        <is>
          <t>序号</t>
        </is>
      </c>
      <c r="AI4" s="105" t="inlineStr">
        <is>
          <t>费用项目</t>
        </is>
      </c>
      <c r="AJ4" s="105" t="inlineStr">
        <is>
          <t>利润表归类</t>
        </is>
      </c>
      <c r="AK4" s="105" t="inlineStr">
        <is>
          <t>说明</t>
        </is>
      </c>
      <c r="AM4" s="106" t="inlineStr">
        <is>
          <t>月份</t>
        </is>
      </c>
      <c r="AN4" s="106" t="inlineStr">
        <is>
          <t>报损表名</t>
        </is>
      </c>
      <c r="AO4" s="106" t="inlineStr">
        <is>
          <t>说明</t>
        </is>
      </c>
    </row>
    <row r="5" ht="15" customHeight="1" s="71">
      <c r="A5" s="107" t="inlineStr">
        <is>
          <t>会计年度</t>
        </is>
      </c>
      <c r="B5" s="108" t="n">
        <v>2026</v>
      </c>
      <c r="D5" s="109">
        <f>IF(E5="","",ROW()-4)</f>
        <v>1</v>
      </c>
      <c r="E5" s="110" t="inlineStr">
        <is>
          <t>大东鹏</t>
        </is>
      </c>
      <c r="F5" s="110" t="inlineStr">
        <is>
          <t>东鹏公司</t>
        </is>
      </c>
      <c r="G5" s="110" t="inlineStr">
        <is>
          <t>东鹏500ML特饮</t>
        </is>
      </c>
      <c r="H5" s="110" t="inlineStr">
        <is>
          <t>1*24</t>
        </is>
      </c>
      <c r="I5" s="108" t="n">
        <v>24</v>
      </c>
      <c r="J5" s="111" t="n">
        <v>77.52</v>
      </c>
      <c r="K5" s="111" t="n">
        <v>90</v>
      </c>
      <c r="L5" s="112" t="n"/>
      <c r="M5" s="111" t="n"/>
      <c r="N5" s="113">
        <f>IF(N(L5)=0,"",L5*N(M5))</f>
      </c>
      <c r="P5" s="109">
        <f>IF(Q5="","",ROW()-4)</f>
        <v>1</v>
      </c>
      <c r="Q5" s="110" t="inlineStr">
        <is>
          <t>东鹏公司</t>
        </is>
      </c>
      <c r="R5" s="114" t="n"/>
      <c r="S5" s="110" t="n"/>
      <c r="T5" s="85" t="inlineStr">
        <is>
          <t>东鹏特饮、补水啦、果之茶、大咖等</t>
        </is>
      </c>
      <c r="V5" s="109">
        <f>IF(W5="","",ROW()-4)</f>
        <v>1</v>
      </c>
      <c r="W5" s="110" t="inlineStr">
        <is>
          <t>收款码</t>
        </is>
      </c>
      <c r="X5" s="114" t="n"/>
      <c r="Y5" s="113">
        <f>IF(W5="","",N(X5)+SUMIF(资金台帐!$C$7:$C$3006,W5,资金台帐!$F$7:$F$3006)-SUMIF(资金台帐!$C$7:$C$3006,W5,资金台帐!$G$7:$G$3006))</f>
        <v>3857959.69</v>
      </c>
      <c r="Z5" s="85" t="inlineStr">
        <is>
          <t>原收付款明细的「收款码」</t>
        </is>
      </c>
      <c r="AB5" s="109">
        <f>IF(AC5="","",ROW()-4)</f>
        <v>1</v>
      </c>
      <c r="AC5" s="110" t="inlineStr">
        <is>
          <t>客户回款</t>
        </is>
      </c>
      <c r="AD5" s="110" t="inlineStr">
        <is>
          <t>收</t>
        </is>
      </c>
      <c r="AE5" s="110" t="inlineStr">
        <is>
          <t>应收</t>
        </is>
      </c>
      <c r="AF5" s="115" t="inlineStr">
        <is>
          <t>客户付货款、存条款。要选【客户】，自动冲减他在总览汇总的未付货款</t>
        </is>
      </c>
      <c r="AH5" s="109">
        <f>IF(AI5="","",ROW()-4)</f>
        <v>1</v>
      </c>
      <c r="AI5" s="110" t="inlineStr">
        <is>
          <t>工资</t>
        </is>
      </c>
      <c r="AJ5" s="110" t="inlineStr">
        <is>
          <t>销售费用</t>
        </is>
      </c>
      <c r="AK5" s="115" t="inlineStr">
        <is>
          <t>司机、业务员、装卸工工资</t>
        </is>
      </c>
      <c r="AM5" s="116" t="n">
        <v>1</v>
      </c>
      <c r="AN5" s="110" t="n"/>
      <c r="AO5" s="117" t="str">
        <f>IF(AN5="","（这个月没有报损表）",IF(ISREF(INDIRECT("'"&amp;AN5&amp;"'!A1")),"√ 找到这张表","✗ 没有叫这个名字的表"))</f>
        <v>（这个月没有报损表）</v>
      </c>
    </row>
    <row r="6" ht="15" customHeight="1" s="71">
      <c r="A6" s="107" t="inlineStr">
        <is>
          <t>公司名称</t>
        </is>
      </c>
      <c r="B6" s="110" t="n"/>
      <c r="D6" s="109">
        <f>IF(E6="","",ROW()-4)</f>
        <v>2</v>
      </c>
      <c r="E6" s="110" t="inlineStr">
        <is>
          <t>小东鹏</t>
        </is>
      </c>
      <c r="F6" s="110" t="inlineStr">
        <is>
          <t>东鹏公司</t>
        </is>
      </c>
      <c r="G6" s="110" t="inlineStr">
        <is>
          <t>东鹏250ML特饮</t>
        </is>
      </c>
      <c r="H6" s="110" t="inlineStr">
        <is>
          <t>1*24</t>
        </is>
      </c>
      <c r="I6" s="108" t="n">
        <v>24</v>
      </c>
      <c r="J6" s="111" t="n">
        <v>37.92</v>
      </c>
      <c r="K6" s="111" t="n">
        <v>50</v>
      </c>
      <c r="L6" s="112" t="n"/>
      <c r="M6" s="111" t="n"/>
      <c r="N6" s="113">
        <f>IF(N(L6)=0,"",L6*N(M6))</f>
      </c>
      <c r="P6" s="109">
        <f>IF(Q6="","",ROW()-4)</f>
        <v>2</v>
      </c>
      <c r="Q6" s="110" t="inlineStr">
        <is>
          <t>农夫山泉公司</t>
        </is>
      </c>
      <c r="R6" s="114" t="n"/>
      <c r="S6" s="110" t="n"/>
      <c r="T6" s="85" t="inlineStr">
        <is>
          <t>农夫饮料、水</t>
        </is>
      </c>
      <c r="V6" s="109">
        <f>IF(W6="","",ROW()-4)</f>
        <v>2</v>
      </c>
      <c r="W6" s="110" t="inlineStr">
        <is>
          <t>农业工账</t>
        </is>
      </c>
      <c r="X6" s="114" t="n"/>
      <c r="Y6" s="113">
        <f>IF(W6="","",N(X6)+SUMIF(资金台帐!$C$7:$C$3006,W6,资金台帐!$F$7:$F$3006)-SUMIF(资金台帐!$C$7:$C$3006,W6,资金台帐!$G$7:$G$3006))</f>
        <v>11350</v>
      </c>
      <c r="Z6" s="85" t="inlineStr">
        <is>
          <t>原收付款明细第 39 行（阳光超市 11,350）用的账户</t>
        </is>
      </c>
      <c r="AB6" s="109">
        <f>IF(AC6="","",ROW()-4)</f>
        <v>2</v>
      </c>
      <c r="AC6" s="110" t="inlineStr">
        <is>
          <t>客户退款</t>
        </is>
      </c>
      <c r="AD6" s="110" t="inlineStr">
        <is>
          <t>支</t>
        </is>
      </c>
      <c r="AE6" s="110" t="inlineStr">
        <is>
          <t>应收</t>
        </is>
      </c>
      <c r="AF6" s="115" t="inlineStr">
        <is>
          <t>退钱给客户。要选【客户】</t>
        </is>
      </c>
      <c r="AH6" s="109">
        <f>IF(AI6="","",ROW()-4)</f>
        <v>2</v>
      </c>
      <c r="AI6" s="110" t="inlineStr">
        <is>
          <t>提成奖金</t>
        </is>
      </c>
      <c r="AJ6" s="110" t="inlineStr">
        <is>
          <t>销售费用</t>
        </is>
      </c>
      <c r="AK6" s="115" t="n"/>
      <c r="AM6" s="116" t="n">
        <v>2</v>
      </c>
      <c r="AN6" s="110" t="n"/>
      <c r="AO6" s="117" t="str">
        <f>IF(AN6="","（这个月没有报损表）",IF(ISREF(INDIRECT("'"&amp;AN6&amp;"'!A1")),"√ 找到这张表","✗ 没有叫这个名字的表"))</f>
        <v>（这个月没有报损表）</v>
      </c>
    </row>
    <row r="7" ht="15" customHeight="1" s="71">
      <c r="A7" s="107" t="inlineStr">
        <is>
          <t>年初日</t>
        </is>
      </c>
      <c r="B7" s="118">
        <f>DATE(B5,1,1)</f>
        <v>46023.0</v>
      </c>
      <c r="D7" s="109">
        <f>IF(E7="","",ROW()-4)</f>
        <v>3</v>
      </c>
      <c r="E7" s="110" t="inlineStr">
        <is>
          <t>555补水</t>
        </is>
      </c>
      <c r="F7" s="110" t="inlineStr">
        <is>
          <t>东鹏公司</t>
        </is>
      </c>
      <c r="G7" s="110" t="inlineStr">
        <is>
          <t>东鹏555补水</t>
        </is>
      </c>
      <c r="H7" s="110" t="inlineStr">
        <is>
          <t>1*24</t>
        </is>
      </c>
      <c r="I7" s="108" t="n">
        <v>24</v>
      </c>
      <c r="J7" s="111" t="n">
        <v>54.816</v>
      </c>
      <c r="K7" s="111" t="n">
        <v>65</v>
      </c>
      <c r="L7" s="112" t="n"/>
      <c r="M7" s="111" t="n"/>
      <c r="N7" s="113">
        <f>IF(N(L7)=0,"",L7*N(M7))</f>
      </c>
      <c r="P7" s="109">
        <f>IF(Q7="","",ROW()-4)</f>
        <v>3</v>
      </c>
      <c r="Q7" s="110" t="inlineStr">
        <is>
          <t>青岛公司</t>
        </is>
      </c>
      <c r="R7" s="114" t="n"/>
      <c r="S7" s="110" t="n"/>
      <c r="T7" s="85" t="inlineStr">
        <is>
          <t>青岛啤酒</t>
        </is>
      </c>
      <c r="V7" s="109">
        <f>IF(W7="","",ROW()-4)</f>
        <v>3</v>
      </c>
      <c r="W7" s="110" t="inlineStr">
        <is>
          <t>现金</t>
        </is>
      </c>
      <c r="X7" s="114" t="n"/>
      <c r="Y7" s="113">
        <f>IF(W7="","",N(X7)+SUMIF(资金台帐!$C$7:$C$3006,W7,资金台帐!$F$7:$F$3006)-SUMIF(资金台帐!$C$7:$C$3006,W7,资金台帐!$G$7:$G$3006))</f>
        <v>0</v>
      </c>
      <c r="Z7" s="85" t="n"/>
      <c r="AB7" s="109">
        <f>IF(AC7="","",ROW()-4)</f>
        <v>3</v>
      </c>
      <c r="AC7" s="110" t="inlineStr">
        <is>
          <t>供应商付款</t>
        </is>
      </c>
      <c r="AD7" s="110" t="inlineStr">
        <is>
          <t>支</t>
        </is>
      </c>
      <c r="AE7" s="110" t="inlineStr">
        <is>
          <t>应付</t>
        </is>
      </c>
      <c r="AF7" s="115" t="inlineStr">
        <is>
          <t>付厂家/供应商货款。要选【供应商】，自动冲减应付</t>
        </is>
      </c>
      <c r="AH7" s="109">
        <f>IF(AI7="","",ROW()-4)</f>
        <v>3</v>
      </c>
      <c r="AI7" s="110" t="inlineStr">
        <is>
          <t>运费油费</t>
        </is>
      </c>
      <c r="AJ7" s="110" t="inlineStr">
        <is>
          <t>销售费用</t>
        </is>
      </c>
      <c r="AK7" s="115" t="inlineStr">
        <is>
          <t>送货油费、过路费、外请运输</t>
        </is>
      </c>
      <c r="AM7" s="116" t="n">
        <v>3</v>
      </c>
      <c r="AN7" s="110" t="n"/>
      <c r="AO7" s="117" t="str">
        <f>IF(AN7="","（这个月没有报损表）",IF(ISREF(INDIRECT("'"&amp;AN7&amp;"'!A1")),"√ 找到这张表","✗ 没有叫这个名字的表"))</f>
        <v>（这个月没有报损表）</v>
      </c>
    </row>
    <row r="8" ht="15" customHeight="1" s="71">
      <c r="A8" s="107" t="inlineStr">
        <is>
          <t>年末日</t>
        </is>
      </c>
      <c r="B8" s="118">
        <f>DATE(B5,12,31)</f>
        <v>46387.0</v>
      </c>
      <c r="D8" s="109">
        <f>IF(E8="","",ROW()-4)</f>
        <v>4</v>
      </c>
      <c r="E8" s="110" t="inlineStr">
        <is>
          <t>1L补水</t>
        </is>
      </c>
      <c r="F8" s="110" t="inlineStr">
        <is>
          <t>东鹏公司</t>
        </is>
      </c>
      <c r="G8" s="110" t="inlineStr">
        <is>
          <t>东鹏1L补水</t>
        </is>
      </c>
      <c r="H8" s="110" t="inlineStr">
        <is>
          <t>1*12</t>
        </is>
      </c>
      <c r="I8" s="108" t="n">
        <v>12</v>
      </c>
      <c r="J8" s="111" t="n">
        <v>43.2696</v>
      </c>
      <c r="K8" s="111" t="n">
        <v>55</v>
      </c>
      <c r="L8" s="112" t="n"/>
      <c r="M8" s="111" t="n"/>
      <c r="N8" s="113">
        <f>IF(N(L8)=0,"",L8*N(M8))</f>
      </c>
      <c r="P8" s="109">
        <f>IF(Q8="","",ROW()-4)</f>
        <v>4</v>
      </c>
      <c r="Q8" s="110" t="inlineStr">
        <is>
          <t>其他公司</t>
        </is>
      </c>
      <c r="R8" s="114" t="n"/>
      <c r="S8" s="110" t="n"/>
      <c r="T8" s="85" t="inlineStr">
        <is>
          <t>艾精隆瓜子花生等</t>
        </is>
      </c>
      <c r="V8" s="109">
        <f>IF(W8="","",ROW()-4)</f>
        <v>4</v>
      </c>
      <c r="W8" s="110" t="inlineStr">
        <is>
          <t>微信</t>
        </is>
      </c>
      <c r="X8" s="114" t="n"/>
      <c r="Y8" s="113">
        <f>IF(W8="","",N(X8)+SUMIF(资金台帐!$C$7:$C$3006,W8,资金台帐!$F$7:$F$3006)-SUMIF(资金台帐!$C$7:$C$3006,W8,资金台帐!$G$7:$G$3006))</f>
        <v>0</v>
      </c>
      <c r="Z8" s="85" t="n"/>
      <c r="AB8" s="109">
        <f>IF(AC8="","",ROW()-4)</f>
        <v>4</v>
      </c>
      <c r="AC8" s="110" t="inlineStr">
        <is>
          <t>供应商退款</t>
        </is>
      </c>
      <c r="AD8" s="110" t="inlineStr">
        <is>
          <t>收</t>
        </is>
      </c>
      <c r="AE8" s="110" t="inlineStr">
        <is>
          <t>应付</t>
        </is>
      </c>
      <c r="AF8" s="115" t="inlineStr">
        <is>
          <t>厂家退回来的货款。要选【供应商】</t>
        </is>
      </c>
      <c r="AH8" s="109">
        <f>IF(AI8="","",ROW()-4)</f>
        <v>4</v>
      </c>
      <c r="AI8" s="110" t="inlineStr">
        <is>
          <t>车辆费用</t>
        </is>
      </c>
      <c r="AJ8" s="110" t="inlineStr">
        <is>
          <t>销售费用</t>
        </is>
      </c>
      <c r="AK8" s="115" t="inlineStr">
        <is>
          <t>车辆保养维修、保险、年检</t>
        </is>
      </c>
      <c r="AM8" s="116" t="n">
        <v>4</v>
      </c>
      <c r="AN8" s="110" t="n"/>
      <c r="AO8" s="117" t="str">
        <f>IF(AN8="","（这个月没有报损表）",IF(ISREF(INDIRECT("'"&amp;AN8&amp;"'!A1")),"√ 找到这张表","✗ 没有叫这个名字的表"))</f>
        <v>（这个月没有报损表）</v>
      </c>
    </row>
    <row r="9" ht="15" customHeight="1" s="71">
      <c r="A9" s="107" t="inlineStr">
        <is>
          <t>年初借款余额</t>
        </is>
      </c>
      <c r="B9" s="114" t="n">
        <v>0</v>
      </c>
      <c r="D9" s="109">
        <f>IF(E9="","",ROW()-4)</f>
        <v>5</v>
      </c>
      <c r="E9" s="110" t="inlineStr">
        <is>
          <t>小果之茶</t>
        </is>
      </c>
      <c r="F9" s="110" t="inlineStr">
        <is>
          <t>东鹏公司</t>
        </is>
      </c>
      <c r="G9" s="110" t="inlineStr">
        <is>
          <t>东鹏小果茶</t>
        </is>
      </c>
      <c r="H9" s="110" t="inlineStr">
        <is>
          <t>1*24</t>
        </is>
      </c>
      <c r="I9" s="108" t="n">
        <v>24</v>
      </c>
      <c r="J9" s="111" t="n"/>
      <c r="K9" s="111" t="n">
        <v>47</v>
      </c>
      <c r="L9" s="112" t="n"/>
      <c r="M9" s="111" t="n"/>
      <c r="N9" s="113">
        <f>IF(N(L9)=0,"",L9*N(M9))</f>
      </c>
      <c r="P9" s="109">
        <f>IF(Q9="","",ROW()-4)</f>
      </c>
      <c r="Q9" s="110" t="n"/>
      <c r="R9" s="114" t="n"/>
      <c r="S9" s="110" t="n"/>
      <c r="T9" s="85" t="n"/>
      <c r="V9" s="109">
        <f>IF(W9="","",ROW()-4)</f>
        <v>5</v>
      </c>
      <c r="W9" s="110" t="inlineStr">
        <is>
          <t>支付宝</t>
        </is>
      </c>
      <c r="X9" s="114" t="n"/>
      <c r="Y9" s="113">
        <f>IF(W9="","",N(X9)+SUMIF(资金台帐!$C$7:$C$3006,W9,资金台帐!$F$7:$F$3006)-SUMIF(资金台帐!$C$7:$C$3006,W9,资金台帐!$G$7:$G$3006))</f>
        <v>0</v>
      </c>
      <c r="Z9" s="85" t="n"/>
      <c r="AB9" s="109">
        <f>IF(AC9="","",ROW()-4)</f>
        <v>5</v>
      </c>
      <c r="AC9" s="110" t="inlineStr">
        <is>
          <t>厂家返利</t>
        </is>
      </c>
      <c r="AD9" s="110" t="inlineStr">
        <is>
          <t>收</t>
        </is>
      </c>
      <c r="AE9" s="110" t="inlineStr">
        <is>
          <t>返利收入</t>
        </is>
      </c>
      <c r="AF9" s="115" t="inlineStr">
        <is>
          <t>返利、陈列补贴、报损补偿等厂家给的钱，建议选上【供应商】</t>
        </is>
      </c>
      <c r="AH9" s="109">
        <f>IF(AI9="","",ROW()-4)</f>
        <v>5</v>
      </c>
      <c r="AI9" s="110" t="inlineStr">
        <is>
          <t>装卸费</t>
        </is>
      </c>
      <c r="AJ9" s="110" t="inlineStr">
        <is>
          <t>销售费用</t>
        </is>
      </c>
      <c r="AK9" s="115" t="n"/>
      <c r="AM9" s="116" t="n">
        <v>5</v>
      </c>
      <c r="AN9" s="110" t="n"/>
      <c r="AO9" s="117" t="str">
        <f>IF(AN9="","（这个月没有报损表）",IF(ISREF(INDIRECT("'"&amp;AN9&amp;"'!A1")),"√ 找到这张表","✗ 没有叫这个名字的表"))</f>
        <v>（这个月没有报损表）</v>
      </c>
    </row>
    <row r="10" ht="15" customHeight="1" s="71">
      <c r="A10" s="107" t="inlineStr">
        <is>
          <t>年初其他应收(+)/应付(-)</t>
        </is>
      </c>
      <c r="B10" s="114" t="n">
        <v>0</v>
      </c>
      <c r="D10" s="109">
        <f>IF(E10="","",ROW()-4)</f>
        <v>6</v>
      </c>
      <c r="E10" s="110" t="inlineStr">
        <is>
          <t>1L果之茶</t>
        </is>
      </c>
      <c r="F10" s="110" t="inlineStr">
        <is>
          <t>东鹏公司</t>
        </is>
      </c>
      <c r="G10" s="110" t="inlineStr">
        <is>
          <t>东鹏1L果之茶</t>
        </is>
      </c>
      <c r="H10" s="110" t="inlineStr">
        <is>
          <t>1*12</t>
        </is>
      </c>
      <c r="I10" s="108" t="n">
        <v>12</v>
      </c>
      <c r="J10" s="111" t="n"/>
      <c r="K10" s="111" t="n">
        <v>43</v>
      </c>
      <c r="L10" s="112" t="n"/>
      <c r="M10" s="111" t="n"/>
      <c r="N10" s="113">
        <f>IF(N(L10)=0,"",L10*N(M10))</f>
      </c>
      <c r="P10" s="109">
        <f>IF(Q10="","",ROW()-4)</f>
      </c>
      <c r="Q10" s="110" t="n"/>
      <c r="R10" s="114" t="n"/>
      <c r="S10" s="110" t="n"/>
      <c r="T10" s="85" t="n"/>
      <c r="V10" s="109">
        <f>IF(W10="","",ROW()-4)</f>
        <v>6</v>
      </c>
      <c r="W10" s="110" t="inlineStr">
        <is>
          <t>银行卡</t>
        </is>
      </c>
      <c r="X10" s="114" t="n"/>
      <c r="Y10" s="113">
        <f>IF(W10="","",N(X10)+SUMIF(资金台帐!$C$7:$C$3006,W10,资金台帐!$F$7:$F$3006)-SUMIF(资金台帐!$C$7:$C$3006,W10,资金台帐!$G$7:$G$3006))</f>
        <v>0</v>
      </c>
      <c r="Z10" s="85" t="n"/>
      <c r="AB10" s="109">
        <f>IF(AC10="","",ROW()-4)</f>
        <v>6</v>
      </c>
      <c r="AC10" s="110" t="inlineStr">
        <is>
          <t>费用支出</t>
        </is>
      </c>
      <c r="AD10" s="110" t="inlineStr">
        <is>
          <t>支</t>
        </is>
      </c>
      <c r="AE10" s="110" t="inlineStr">
        <is>
          <t>费用</t>
        </is>
      </c>
      <c r="AF10" s="115" t="inlineStr">
        <is>
          <t>工资、运费、房租……要选【费用项目】</t>
        </is>
      </c>
      <c r="AH10" s="109">
        <f>IF(AI10="","",ROW()-4)</f>
        <v>6</v>
      </c>
      <c r="AI10" s="110" t="inlineStr">
        <is>
          <t>促销陈列费</t>
        </is>
      </c>
      <c r="AJ10" s="110" t="inlineStr">
        <is>
          <t>销售费用</t>
        </is>
      </c>
      <c r="AK10" s="115" t="inlineStr">
        <is>
          <t>给店里的陈列费、促销品（厂家报销的记厂家返利）</t>
        </is>
      </c>
      <c r="AM10" s="116" t="n">
        <v>6</v>
      </c>
      <c r="AN10" s="110" t="inlineStr">
        <is>
          <t>报损明细台账</t>
        </is>
      </c>
      <c r="AO10" s="117" t="str">
        <f>IF(AN10="","（这个月没有报损表）",IF(ISREF(INDIRECT("'"&amp;AN10&amp;"'!A1")),"√ 找到这张表","✗ 没有叫这个名字的表"))</f>
        <v>√ 找到这张表</v>
      </c>
    </row>
    <row r="11" ht="15" customHeight="1" s="71">
      <c r="D11" s="109">
        <f>IF(E11="","",ROW()-4)</f>
        <v>7</v>
      </c>
      <c r="E11" s="110" t="inlineStr">
        <is>
          <t>港式奶茶</t>
        </is>
      </c>
      <c r="F11" s="110" t="inlineStr">
        <is>
          <t>东鹏公司</t>
        </is>
      </c>
      <c r="G11" s="110" t="inlineStr">
        <is>
          <t>东鹏港式奶茶</t>
        </is>
      </c>
      <c r="H11" s="110" t="inlineStr">
        <is>
          <t>1*24</t>
        </is>
      </c>
      <c r="I11" s="108" t="n">
        <v>24</v>
      </c>
      <c r="J11" s="111" t="n"/>
      <c r="K11" s="111" t="n">
        <v>69</v>
      </c>
      <c r="L11" s="112" t="n"/>
      <c r="M11" s="111" t="n"/>
      <c r="N11" s="113">
        <f>IF(N(L11)=0,"",L11*N(M11))</f>
      </c>
      <c r="P11" s="109">
        <f>IF(Q11="","",ROW()-4)</f>
      </c>
      <c r="Q11" s="110" t="n"/>
      <c r="R11" s="114" t="n"/>
      <c r="S11" s="110" t="n"/>
      <c r="T11" s="85" t="n"/>
      <c r="V11" s="109">
        <f>IF(W11="","",ROW()-4)</f>
      </c>
      <c r="W11" s="110" t="n"/>
      <c r="X11" s="114" t="n"/>
      <c r="Y11" s="113">
        <f>IF(W11="","",N(X11)+SUMIF(资金台帐!$C$7:$C$3006,W11,资金台帐!$F$7:$F$3006)-SUMIF(资金台帐!$C$7:$C$3006,W11,资金台帐!$G$7:$G$3006))</f>
      </c>
      <c r="Z11" s="85" t="n"/>
      <c r="AB11" s="109">
        <f>IF(AC11="","",ROW()-4)</f>
        <v>7</v>
      </c>
      <c r="AC11" s="110" t="inlineStr">
        <is>
          <t>其他收入</t>
        </is>
      </c>
      <c r="AD11" s="110" t="inlineStr">
        <is>
          <t>收</t>
        </is>
      </c>
      <c r="AE11" s="110" t="inlineStr">
        <is>
          <t>其他收入</t>
        </is>
      </c>
      <c r="AF11" s="115" t="inlineStr">
        <is>
          <t>卖废品/空箱、利息等零星收入</t>
        </is>
      </c>
      <c r="AH11" s="109">
        <f>IF(AI11="","",ROW()-4)</f>
        <v>7</v>
      </c>
      <c r="AI11" s="110" t="inlineStr">
        <is>
          <t>业务招待费</t>
        </is>
      </c>
      <c r="AJ11" s="110" t="inlineStr">
        <is>
          <t>管理费用</t>
        </is>
      </c>
      <c r="AK11" s="115" t="n"/>
      <c r="AM11" s="116" t="n">
        <v>7</v>
      </c>
      <c r="AN11" s="110" t="inlineStr">
        <is>
          <t>2026年7月报损</t>
        </is>
      </c>
      <c r="AO11" s="117" t="str">
        <f>IF(AN11="","（这个月没有报损表）",IF(ISREF(INDIRECT("'"&amp;AN11&amp;"'!A1")),"√ 找到这张表","✗ 没有叫这个名字的表"))</f>
        <v>√ 找到这张表</v>
      </c>
    </row>
    <row r="12" ht="15" customHeight="1" s="71">
      <c r="A12" s="107" t="inlineStr">
        <is>
          <t>「去向」说明（收支项目落到报表哪一行）</t>
        </is>
      </c>
      <c r="B12" s="80" t="n"/>
      <c r="D12" s="109">
        <f>IF(E12="","",ROW()-4)</f>
        <v>8</v>
      </c>
      <c r="E12" s="110" t="inlineStr">
        <is>
          <t>大咖</t>
        </is>
      </c>
      <c r="F12" s="110" t="inlineStr">
        <is>
          <t>东鹏公司</t>
        </is>
      </c>
      <c r="G12" s="110" t="inlineStr">
        <is>
          <t>东鹏500大咖</t>
        </is>
      </c>
      <c r="H12" s="110" t="inlineStr">
        <is>
          <t>1*15</t>
        </is>
      </c>
      <c r="I12" s="108" t="n">
        <v>15</v>
      </c>
      <c r="J12" s="111" t="n">
        <v>73.08</v>
      </c>
      <c r="K12" s="111" t="n">
        <v>83</v>
      </c>
      <c r="L12" s="112" t="n"/>
      <c r="M12" s="111" t="n"/>
      <c r="N12" s="113">
        <f>IF(N(L12)=0,"",L12*N(M12))</f>
      </c>
      <c r="P12" s="109">
        <f>IF(Q12="","",ROW()-4)</f>
      </c>
      <c r="Q12" s="110" t="n"/>
      <c r="R12" s="114" t="n"/>
      <c r="S12" s="110" t="n"/>
      <c r="T12" s="85" t="n"/>
      <c r="V12" s="109">
        <f>IF(W12="","",ROW()-4)</f>
      </c>
      <c r="W12" s="110" t="n"/>
      <c r="X12" s="114" t="n"/>
      <c r="Y12" s="113">
        <f>IF(W12="","",N(X12)+SUMIF(资金台帐!$C$7:$C$3006,W12,资金台帐!$F$7:$F$3006)-SUMIF(资金台帐!$C$7:$C$3006,W12,资金台帐!$G$7:$G$3006))</f>
      </c>
      <c r="Z12" s="85" t="n"/>
      <c r="AB12" s="109">
        <f>IF(AC12="","",ROW()-4)</f>
        <v>8</v>
      </c>
      <c r="AC12" s="110" t="inlineStr">
        <is>
          <t>股东投入</t>
        </is>
      </c>
      <c r="AD12" s="110" t="inlineStr">
        <is>
          <t>收</t>
        </is>
      </c>
      <c r="AE12" s="110" t="inlineStr">
        <is>
          <t>投入</t>
        </is>
      </c>
      <c r="AF12" s="115" t="inlineStr">
        <is>
          <t>老板往账上投钱</t>
        </is>
      </c>
      <c r="AH12" s="109">
        <f>IF(AI12="","",ROW()-4)</f>
        <v>8</v>
      </c>
      <c r="AI12" s="110" t="inlineStr">
        <is>
          <t>管理人员工资</t>
        </is>
      </c>
      <c r="AJ12" s="110" t="inlineStr">
        <is>
          <t>管理费用</t>
        </is>
      </c>
      <c r="AK12" s="115" t="n"/>
      <c r="AM12" s="116" t="n">
        <v>8</v>
      </c>
      <c r="AN12" s="110" t="inlineStr">
        <is>
          <t>2026年8月报损</t>
        </is>
      </c>
      <c r="AO12" s="117" t="str">
        <f>IF(AN12="","（这个月没有报损表）",IF(ISREF(INDIRECT("'"&amp;AN12&amp;"'!A1")),"√ 找到这张表","✗ 没有叫这个名字的表"))</f>
        <v>√ 找到这张表</v>
      </c>
    </row>
    <row r="13" ht="26" customHeight="1" s="71">
      <c r="A13" s="119" t="inlineStr">
        <is>
          <t>应收</t>
        </is>
      </c>
      <c r="B13" s="87" t="inlineStr">
        <is>
          <t>冲减客户未付货款（总览汇总·已付款）</t>
        </is>
      </c>
      <c r="D13" s="109">
        <f>IF(E13="","",ROW()-4)</f>
        <v>9</v>
      </c>
      <c r="E13" s="110" t="inlineStr">
        <is>
          <t>330大咖</t>
        </is>
      </c>
      <c r="F13" s="110" t="inlineStr">
        <is>
          <t>东鹏公司</t>
        </is>
      </c>
      <c r="G13" s="110" t="n"/>
      <c r="H13" s="110" t="n"/>
      <c r="I13" s="108" t="n"/>
      <c r="J13" s="111" t="n"/>
      <c r="K13" s="111" t="n">
        <v>90</v>
      </c>
      <c r="L13" s="112" t="n"/>
      <c r="M13" s="111" t="n"/>
      <c r="N13" s="113">
        <f>IF(N(L13)=0,"",L13*N(M13))</f>
      </c>
      <c r="P13" s="109">
        <f>IF(Q13="","",ROW()-4)</f>
      </c>
      <c r="Q13" s="110" t="n"/>
      <c r="R13" s="114" t="n"/>
      <c r="S13" s="110" t="n"/>
      <c r="T13" s="85" t="n"/>
      <c r="V13" s="109">
        <f>IF(W13="","",ROW()-4)</f>
      </c>
      <c r="W13" s="110" t="n"/>
      <c r="X13" s="114" t="n"/>
      <c r="Y13" s="113">
        <f>IF(W13="","",N(X13)+SUMIF(资金台帐!$C$7:$C$3006,W13,资金台帐!$F$7:$F$3006)-SUMIF(资金台帐!$C$7:$C$3006,W13,资金台帐!$G$7:$G$3006))</f>
      </c>
      <c r="Z13" s="85" t="n"/>
      <c r="AB13" s="109">
        <f>IF(AC13="","",ROW()-4)</f>
        <v>9</v>
      </c>
      <c r="AC13" s="110" t="inlineStr">
        <is>
          <t>股东提取</t>
        </is>
      </c>
      <c r="AD13" s="110" t="inlineStr">
        <is>
          <t>支</t>
        </is>
      </c>
      <c r="AE13" s="110" t="inlineStr">
        <is>
          <t>提取</t>
        </is>
      </c>
      <c r="AF13" s="115" t="inlineStr">
        <is>
          <t>老板从账上拿钱自用</t>
        </is>
      </c>
      <c r="AH13" s="109">
        <f>IF(AI13="","",ROW()-4)</f>
        <v>9</v>
      </c>
      <c r="AI13" s="110" t="inlineStr">
        <is>
          <t>仓库租金</t>
        </is>
      </c>
      <c r="AJ13" s="110" t="inlineStr">
        <is>
          <t>管理费用</t>
        </is>
      </c>
      <c r="AK13" s="115" t="n"/>
      <c r="AM13" s="116" t="n">
        <v>9</v>
      </c>
      <c r="AN13" s="110" t="inlineStr">
        <is>
          <t>2026年9月报损</t>
        </is>
      </c>
      <c r="AO13" s="117" t="str">
        <f>IF(AN13="","（这个月没有报损表）",IF(ISREF(INDIRECT("'"&amp;AN13&amp;"'!A1")),"√ 找到这张表","✗ 没有叫这个名字的表"))</f>
        <v>√ 找到这张表</v>
      </c>
    </row>
    <row r="14" ht="26" customHeight="1" s="71">
      <c r="A14" s="119" t="inlineStr">
        <is>
          <t>应付</t>
        </is>
      </c>
      <c r="B14" s="87" t="inlineStr">
        <is>
          <t>冲减欠供应商的货款</t>
        </is>
      </c>
      <c r="D14" s="109">
        <f>IF(E14="","",ROW()-4)</f>
        <v>10</v>
      </c>
      <c r="E14" s="110" t="inlineStr">
        <is>
          <t>小咖</t>
        </is>
      </c>
      <c r="F14" s="110" t="inlineStr">
        <is>
          <t>东鹏公司</t>
        </is>
      </c>
      <c r="G14" s="110" t="n"/>
      <c r="H14" s="110" t="n"/>
      <c r="I14" s="108" t="n"/>
      <c r="J14" s="111" t="n"/>
      <c r="K14" s="111" t="n">
        <v>90</v>
      </c>
      <c r="L14" s="112" t="n"/>
      <c r="M14" s="111" t="n"/>
      <c r="N14" s="113">
        <f>IF(N(L14)=0,"",L14*N(M14))</f>
      </c>
      <c r="P14" s="109">
        <f>IF(Q14="","",ROW()-4)</f>
      </c>
      <c r="Q14" s="110" t="n"/>
      <c r="R14" s="114" t="n"/>
      <c r="S14" s="110" t="n"/>
      <c r="T14" s="85" t="n"/>
      <c r="V14" s="109">
        <f>IF(W14="","",ROW()-4)</f>
      </c>
      <c r="W14" s="110" t="n"/>
      <c r="X14" s="114" t="n"/>
      <c r="Y14" s="113">
        <f>IF(W14="","",N(X14)+SUMIF(资金台帐!$C$7:$C$3006,W14,资金台帐!$F$7:$F$3006)-SUMIF(资金台帐!$C$7:$C$3006,W14,资金台帐!$G$7:$G$3006))</f>
      </c>
      <c r="Z14" s="85" t="n"/>
      <c r="AB14" s="109">
        <f>IF(AC14="","",ROW()-4)</f>
        <v>10</v>
      </c>
      <c r="AC14" s="110" t="inlineStr">
        <is>
          <t>借入款项</t>
        </is>
      </c>
      <c r="AD14" s="110" t="inlineStr">
        <is>
          <t>收</t>
        </is>
      </c>
      <c r="AE14" s="110" t="inlineStr">
        <is>
          <t>借款</t>
        </is>
      </c>
      <c r="AF14" s="115" t="inlineStr">
        <is>
          <t>借进来的钱</t>
        </is>
      </c>
      <c r="AH14" s="109">
        <f>IF(AI14="","",ROW()-4)</f>
        <v>10</v>
      </c>
      <c r="AI14" s="110" t="inlineStr">
        <is>
          <t>水电费</t>
        </is>
      </c>
      <c r="AJ14" s="110" t="inlineStr">
        <is>
          <t>管理费用</t>
        </is>
      </c>
      <c r="AK14" s="115" t="n"/>
      <c r="AM14" s="116" t="n">
        <v>10</v>
      </c>
      <c r="AN14" s="110" t="n"/>
      <c r="AO14" s="117" t="str">
        <f>IF(AN14="","（这个月没有报损表）",IF(ISREF(INDIRECT("'"&amp;AN14&amp;"'!A1")),"√ 找到这张表","✗ 没有叫这个名字的表"))</f>
        <v>（这个月没有报损表）</v>
      </c>
    </row>
    <row r="15" ht="26" customHeight="1" s="71">
      <c r="A15" s="119" t="inlineStr">
        <is>
          <t>费用</t>
        </is>
      </c>
      <c r="B15" s="87" t="inlineStr">
        <is>
          <t>按费用项目进利润表</t>
        </is>
      </c>
      <c r="D15" s="109">
        <f>IF(E15="","",ROW()-4)</f>
        <v>11</v>
      </c>
      <c r="E15" s="110" t="inlineStr">
        <is>
          <t>小海岛椰</t>
        </is>
      </c>
      <c r="F15" s="110" t="inlineStr">
        <is>
          <t>东鹏公司</t>
        </is>
      </c>
      <c r="G15" s="110" t="inlineStr">
        <is>
          <t>东鹏小海岛椰</t>
        </is>
      </c>
      <c r="H15" s="110" t="inlineStr">
        <is>
          <t>1*12</t>
        </is>
      </c>
      <c r="I15" s="108" t="n">
        <v>12</v>
      </c>
      <c r="J15" s="111" t="n">
        <v>29.52</v>
      </c>
      <c r="K15" s="111" t="n">
        <v>32</v>
      </c>
      <c r="L15" s="112" t="n"/>
      <c r="M15" s="111" t="n"/>
      <c r="N15" s="113">
        <f>IF(N(L15)=0,"",L15*N(M15))</f>
      </c>
      <c r="P15" s="109">
        <f>IF(Q15="","",ROW()-4)</f>
      </c>
      <c r="Q15" s="110" t="n"/>
      <c r="R15" s="114" t="n"/>
      <c r="S15" s="110" t="n"/>
      <c r="T15" s="85" t="n"/>
      <c r="V15" s="109">
        <f>IF(W15="","",ROW()-4)</f>
      </c>
      <c r="W15" s="110" t="n"/>
      <c r="X15" s="114" t="n"/>
      <c r="Y15" s="113">
        <f>IF(W15="","",N(X15)+SUMIF(资金台帐!$C$7:$C$3006,W15,资金台帐!$F$7:$F$3006)-SUMIF(资金台帐!$C$7:$C$3006,W15,资金台帐!$G$7:$G$3006))</f>
      </c>
      <c r="Z15" s="85" t="n"/>
      <c r="AB15" s="109">
        <f>IF(AC15="","",ROW()-4)</f>
        <v>11</v>
      </c>
      <c r="AC15" s="110" t="inlineStr">
        <is>
          <t>归还借款</t>
        </is>
      </c>
      <c r="AD15" s="110" t="inlineStr">
        <is>
          <t>支</t>
        </is>
      </c>
      <c r="AE15" s="110" t="inlineStr">
        <is>
          <t>借款</t>
        </is>
      </c>
      <c r="AF15" s="115" t="inlineStr">
        <is>
          <t>还借款本金（利息记「费用支出·利息支出」）</t>
        </is>
      </c>
      <c r="AH15" s="109">
        <f>IF(AI15="","",ROW()-4)</f>
        <v>11</v>
      </c>
      <c r="AI15" s="110" t="inlineStr">
        <is>
          <t>通讯费</t>
        </is>
      </c>
      <c r="AJ15" s="110" t="inlineStr">
        <is>
          <t>管理费用</t>
        </is>
      </c>
      <c r="AK15" s="115" t="n"/>
      <c r="AM15" s="116" t="n">
        <v>11</v>
      </c>
      <c r="AN15" s="110" t="n"/>
      <c r="AO15" s="117" t="str">
        <f>IF(AN15="","（这个月没有报损表）",IF(ISREF(INDIRECT("'"&amp;AN15&amp;"'!A1")),"√ 找到这张表","✗ 没有叫这个名字的表"))</f>
        <v>（这个月没有报损表）</v>
      </c>
    </row>
    <row r="16" ht="26" customHeight="1" s="71">
      <c r="A16" s="119" t="inlineStr">
        <is>
          <t>返利收入</t>
        </is>
      </c>
      <c r="B16" s="87" t="inlineStr">
        <is>
          <t>利润表·其他业务收入</t>
        </is>
      </c>
      <c r="D16" s="109">
        <f>IF(E16="","",ROW()-4)</f>
        <v>12</v>
      </c>
      <c r="E16" s="110" t="inlineStr">
        <is>
          <t>330海岛椰</t>
        </is>
      </c>
      <c r="F16" s="110" t="inlineStr">
        <is>
          <t>东鹏公司</t>
        </is>
      </c>
      <c r="G16" s="110" t="n"/>
      <c r="H16" s="110" t="n"/>
      <c r="I16" s="108" t="n"/>
      <c r="J16" s="111" t="n"/>
      <c r="K16" s="111" t="n">
        <v>36</v>
      </c>
      <c r="L16" s="112" t="n"/>
      <c r="M16" s="111" t="n"/>
      <c r="N16" s="113">
        <f>IF(N(L16)=0,"",L16*N(M16))</f>
      </c>
      <c r="P16" s="109">
        <f>IF(Q16="","",ROW()-4)</f>
      </c>
      <c r="Q16" s="110" t="n"/>
      <c r="R16" s="114" t="n"/>
      <c r="S16" s="110" t="n"/>
      <c r="T16" s="85" t="n"/>
      <c r="V16" s="109">
        <f>IF(W16="","",ROW()-4)</f>
      </c>
      <c r="W16" s="110" t="n"/>
      <c r="X16" s="114" t="n"/>
      <c r="Y16" s="113">
        <f>IF(W16="","",N(X16)+SUMIF(资金台帐!$C$7:$C$3006,W16,资金台帐!$F$7:$F$3006)-SUMIF(资金台帐!$C$7:$C$3006,W16,资金台帐!$G$7:$G$3006))</f>
      </c>
      <c r="Z16" s="85" t="n"/>
      <c r="AB16" s="109">
        <f>IF(AC16="","",ROW()-4)</f>
        <v>12</v>
      </c>
      <c r="AC16" s="110" t="inlineStr">
        <is>
          <t>内部转账</t>
        </is>
      </c>
      <c r="AD16" s="110" t="inlineStr">
        <is>
          <t>收支</t>
        </is>
      </c>
      <c r="AE16" s="110" t="inlineStr">
        <is>
          <t>转账</t>
        </is>
      </c>
      <c r="AF16" s="115" t="inlineStr">
        <is>
          <t>账户之间互转：转出账户记一行支出、转入账户记一行收入，两行都选这个</t>
        </is>
      </c>
      <c r="AH16" s="109">
        <f>IF(AI16="","",ROW()-4)</f>
        <v>12</v>
      </c>
      <c r="AI16" s="110" t="inlineStr">
        <is>
          <t>办公费</t>
        </is>
      </c>
      <c r="AJ16" s="110" t="inlineStr">
        <is>
          <t>管理费用</t>
        </is>
      </c>
      <c r="AK16" s="115" t="n"/>
      <c r="AM16" s="116" t="n">
        <v>12</v>
      </c>
      <c r="AN16" s="110" t="n"/>
      <c r="AO16" s="117" t="str">
        <f>IF(AN16="","（这个月没有报损表）",IF(ISREF(INDIRECT("'"&amp;AN16&amp;"'!A1")),"√ 找到这张表","✗ 没有叫这个名字的表"))</f>
        <v>（这个月没有报损表）</v>
      </c>
    </row>
    <row r="17" ht="26" customHeight="1" s="71">
      <c r="A17" s="119" t="inlineStr">
        <is>
          <t>其他收入</t>
        </is>
      </c>
      <c r="B17" s="87" t="inlineStr">
        <is>
          <t>利润表·营业外收入</t>
        </is>
      </c>
      <c r="D17" s="109">
        <f>IF(E17="","",ROW()-4)</f>
        <v>13</v>
      </c>
      <c r="E17" s="110" t="inlineStr">
        <is>
          <t>1.25海岛椰</t>
        </is>
      </c>
      <c r="F17" s="110" t="inlineStr">
        <is>
          <t>东鹏公司</t>
        </is>
      </c>
      <c r="G17" s="110" t="inlineStr">
        <is>
          <t>东鹏1.25L海岛椰</t>
        </is>
      </c>
      <c r="H17" s="110" t="inlineStr">
        <is>
          <t>1*6</t>
        </is>
      </c>
      <c r="I17" s="108" t="n">
        <v>6</v>
      </c>
      <c r="J17" s="111" t="n"/>
      <c r="K17" s="111" t="n">
        <v>51</v>
      </c>
      <c r="L17" s="112" t="n"/>
      <c r="M17" s="111" t="n"/>
      <c r="N17" s="113">
        <f>IF(N(L17)=0,"",L17*N(M17))</f>
      </c>
      <c r="P17" s="109">
        <f>IF(Q17="","",ROW()-4)</f>
      </c>
      <c r="Q17" s="110" t="n"/>
      <c r="R17" s="114" t="n"/>
      <c r="S17" s="110" t="n"/>
      <c r="T17" s="85" t="n"/>
      <c r="V17" s="109">
        <f>IF(W17="","",ROW()-4)</f>
      </c>
      <c r="W17" s="110" t="n"/>
      <c r="X17" s="114" t="n"/>
      <c r="Y17" s="113">
        <f>IF(W17="","",N(X17)+SUMIF(资金台帐!$C$7:$C$3006,W17,资金台帐!$F$7:$F$3006)-SUMIF(资金台帐!$C$7:$C$3006,W17,资金台帐!$G$7:$G$3006))</f>
      </c>
      <c r="Z17" s="85" t="n"/>
      <c r="AB17" s="109">
        <f>IF(AC17="","",ROW()-4)</f>
        <v>13</v>
      </c>
      <c r="AC17" s="110" t="inlineStr">
        <is>
          <t>其他往来</t>
        </is>
      </c>
      <c r="AD17" s="110" t="inlineStr">
        <is>
          <t>收支</t>
        </is>
      </c>
      <c r="AE17" s="110" t="inlineStr">
        <is>
          <t>其他往来</t>
        </is>
      </c>
      <c r="AF17" s="115" t="inlineStr">
        <is>
          <t>押金、代收代付等以后要收回/付出的钱</t>
        </is>
      </c>
      <c r="AH17" s="109">
        <f>IF(AI17="","",ROW()-4)</f>
        <v>13</v>
      </c>
      <c r="AI17" s="110" t="inlineStr">
        <is>
          <t>其他费用</t>
        </is>
      </c>
      <c r="AJ17" s="110" t="inlineStr">
        <is>
          <t>管理费用</t>
        </is>
      </c>
      <c r="AK17" s="115" t="n"/>
    </row>
    <row r="18" ht="26" customHeight="1" s="71">
      <c r="A18" s="119" t="inlineStr">
        <is>
          <t>投入</t>
        </is>
      </c>
      <c r="B18" s="87" t="inlineStr">
        <is>
          <t>资产负债表·股东投入</t>
        </is>
      </c>
      <c r="D18" s="109">
        <f>IF(E18="","",ROW()-4)</f>
        <v>14</v>
      </c>
      <c r="E18" s="110" t="inlineStr">
        <is>
          <t>东鹏椰子水</t>
        </is>
      </c>
      <c r="F18" s="110" t="inlineStr">
        <is>
          <t>东鹏公司</t>
        </is>
      </c>
      <c r="G18" s="110" t="n"/>
      <c r="H18" s="110" t="n"/>
      <c r="I18" s="108" t="n"/>
      <c r="J18" s="111" t="n"/>
      <c r="K18" s="111" t="n">
        <v>90</v>
      </c>
      <c r="L18" s="112" t="n"/>
      <c r="M18" s="111" t="n"/>
      <c r="N18" s="113">
        <f>IF(N(L18)=0,"",L18*N(M18))</f>
      </c>
      <c r="P18" s="109">
        <f>IF(Q18="","",ROW()-4)</f>
      </c>
      <c r="Q18" s="110" t="n"/>
      <c r="R18" s="114" t="n"/>
      <c r="S18" s="110" t="n"/>
      <c r="T18" s="85" t="n"/>
      <c r="V18" s="109">
        <f>IF(W18="","",ROW()-4)</f>
      </c>
      <c r="W18" s="110" t="n"/>
      <c r="X18" s="114" t="n"/>
      <c r="Y18" s="113">
        <f>IF(W18="","",N(X18)+SUMIF(资金台帐!$C$7:$C$3006,W18,资金台帐!$F$7:$F$3006)-SUMIF(资金台帐!$C$7:$C$3006,W18,资金台帐!$G$7:$G$3006))</f>
      </c>
      <c r="Z18" s="85" t="n"/>
      <c r="AB18" s="109">
        <f>IF(AC18="","",ROW()-4)</f>
      </c>
      <c r="AC18" s="110" t="n"/>
      <c r="AD18" s="110" t="n"/>
      <c r="AE18" s="110" t="n"/>
      <c r="AF18" s="115" t="n"/>
      <c r="AH18" s="109">
        <f>IF(AI18="","",ROW()-4)</f>
        <v>14</v>
      </c>
      <c r="AI18" s="110" t="inlineStr">
        <is>
          <t>手续费</t>
        </is>
      </c>
      <c r="AJ18" s="110" t="inlineStr">
        <is>
          <t>财务费用</t>
        </is>
      </c>
      <c r="AK18" s="115" t="inlineStr">
        <is>
          <t>收款码/银行手续费</t>
        </is>
      </c>
      <c r="AM18" s="120" t="inlineStr">
        <is>
          <t>新的一个月：右键上个月的报损表→移动或复制→建立副本，改成「2026年10月报损」这样的表名，清掉数量，再回这里填上表名。</t>
        </is>
      </c>
    </row>
    <row r="19" ht="26" customHeight="1" s="71">
      <c r="A19" s="119" t="inlineStr">
        <is>
          <t>提取</t>
        </is>
      </c>
      <c r="B19" s="87" t="inlineStr">
        <is>
          <t>资产负债表·股东提取</t>
        </is>
      </c>
      <c r="D19" s="109">
        <f>IF(E19="","",ROW()-4)</f>
        <v>15</v>
      </c>
      <c r="E19" s="110" t="inlineStr">
        <is>
          <t>555椰子水</t>
        </is>
      </c>
      <c r="F19" s="110" t="inlineStr">
        <is>
          <t>东鹏公司</t>
        </is>
      </c>
      <c r="G19" s="110" t="n"/>
      <c r="H19" s="110" t="n"/>
      <c r="I19" s="108" t="n"/>
      <c r="J19" s="111" t="n"/>
      <c r="K19" s="111" t="n">
        <v>93</v>
      </c>
      <c r="L19" s="112" t="n"/>
      <c r="M19" s="111" t="n"/>
      <c r="N19" s="113">
        <f>IF(N(L19)=0,"",L19*N(M19))</f>
      </c>
      <c r="P19" s="109">
        <f>IF(Q19="","",ROW()-4)</f>
      </c>
      <c r="Q19" s="110" t="n"/>
      <c r="R19" s="114" t="n"/>
      <c r="S19" s="110" t="n"/>
      <c r="T19" s="85" t="n"/>
      <c r="V19" s="109">
        <f>IF(W19="","",ROW()-4)</f>
      </c>
      <c r="W19" s="110" t="n"/>
      <c r="X19" s="114" t="n"/>
      <c r="Y19" s="113">
        <f>IF(W19="","",N(X19)+SUMIF(资金台帐!$C$7:$C$3006,W19,资金台帐!$F$7:$F$3006)-SUMIF(资金台帐!$C$7:$C$3006,W19,资金台帐!$G$7:$G$3006))</f>
      </c>
      <c r="Z19" s="85" t="n"/>
      <c r="AB19" s="109">
        <f>IF(AC19="","",ROW()-4)</f>
      </c>
      <c r="AC19" s="110" t="n"/>
      <c r="AD19" s="110" t="n"/>
      <c r="AE19" s="110" t="n"/>
      <c r="AF19" s="115" t="n"/>
      <c r="AH19" s="109">
        <f>IF(AI19="","",ROW()-4)</f>
        <v>15</v>
      </c>
      <c r="AI19" s="110" t="inlineStr">
        <is>
          <t>利息支出</t>
        </is>
      </c>
      <c r="AJ19" s="110" t="inlineStr">
        <is>
          <t>财务费用</t>
        </is>
      </c>
      <c r="AK19" s="115" t="n"/>
    </row>
    <row r="20" ht="26" customHeight="1" s="71">
      <c r="A20" s="119" t="inlineStr">
        <is>
          <t>借款</t>
        </is>
      </c>
      <c r="B20" s="87" t="inlineStr">
        <is>
          <t>资产负债表·短期借款</t>
        </is>
      </c>
      <c r="D20" s="109">
        <f>IF(E20="","",ROW()-4)</f>
        <v>16</v>
      </c>
      <c r="E20" s="110" t="inlineStr">
        <is>
          <t>菊花茶</t>
        </is>
      </c>
      <c r="F20" s="110" t="inlineStr">
        <is>
          <t>东鹏公司</t>
        </is>
      </c>
      <c r="G20" s="110" t="inlineStr">
        <is>
          <t>东鹏菊花茶</t>
        </is>
      </c>
      <c r="H20" s="110" t="inlineStr">
        <is>
          <t>1*24</t>
        </is>
      </c>
      <c r="I20" s="108" t="n">
        <v>24</v>
      </c>
      <c r="J20" s="111" t="n">
        <v>59.616</v>
      </c>
      <c r="K20" s="111" t="n"/>
      <c r="L20" s="112" t="n"/>
      <c r="M20" s="111" t="n"/>
      <c r="N20" s="113">
        <f>IF(N(L20)=0,"",L20*N(M20))</f>
      </c>
      <c r="P20" s="109">
        <f>IF(Q20="","",ROW()-4)</f>
      </c>
      <c r="Q20" s="110" t="n"/>
      <c r="R20" s="114" t="n"/>
      <c r="S20" s="110" t="n"/>
      <c r="T20" s="85" t="n"/>
      <c r="V20" s="109">
        <f>IF(W20="","",ROW()-4)</f>
      </c>
      <c r="W20" s="110" t="n"/>
      <c r="X20" s="114" t="n"/>
      <c r="Y20" s="113">
        <f>IF(W20="","",N(X20)+SUMIF(资金台帐!$C$7:$C$3006,W20,资金台帐!$F$7:$F$3006)-SUMIF(资金台帐!$C$7:$C$3006,W20,资金台帐!$G$7:$G$3006))</f>
      </c>
      <c r="Z20" s="85" t="n"/>
      <c r="AB20" s="109">
        <f>IF(AC20="","",ROW()-4)</f>
      </c>
      <c r="AC20" s="110" t="n"/>
      <c r="AD20" s="110" t="n"/>
      <c r="AE20" s="110" t="n"/>
      <c r="AF20" s="115" t="n"/>
      <c r="AH20" s="109">
        <f>IF(AI20="","",ROW()-4)</f>
        <v>16</v>
      </c>
      <c r="AI20" s="110" t="inlineStr">
        <is>
          <t>税费</t>
        </is>
      </c>
      <c r="AJ20" s="110" t="inlineStr">
        <is>
          <t>税金及附加</t>
        </is>
      </c>
      <c r="AK20" s="115" t="inlineStr">
        <is>
          <t>按实际交的钱计</t>
        </is>
      </c>
    </row>
    <row r="21" ht="26" customHeight="1" s="71">
      <c r="A21" s="119" t="inlineStr">
        <is>
          <t>转账</t>
        </is>
      </c>
      <c r="B21" s="87" t="inlineStr">
        <is>
          <t>账户互转，不进报表（收支要成对）</t>
        </is>
      </c>
      <c r="D21" s="109">
        <f>IF(E21="","",ROW()-4)</f>
        <v>17</v>
      </c>
      <c r="E21" s="110" t="inlineStr">
        <is>
          <t>九制陈皮</t>
        </is>
      </c>
      <c r="F21" s="110" t="n"/>
      <c r="G21" s="110" t="n"/>
      <c r="H21" s="110" t="n"/>
      <c r="I21" s="108" t="n"/>
      <c r="J21" s="111" t="n"/>
      <c r="K21" s="111" t="n">
        <v>47</v>
      </c>
      <c r="L21" s="112" t="n"/>
      <c r="M21" s="111" t="n"/>
      <c r="N21" s="113">
        <f>IF(N(L21)=0,"",L21*N(M21))</f>
      </c>
      <c r="P21" s="109">
        <f>IF(Q21="","",ROW()-4)</f>
      </c>
      <c r="Q21" s="110" t="n"/>
      <c r="R21" s="114" t="n"/>
      <c r="S21" s="110" t="n"/>
      <c r="T21" s="85" t="n"/>
      <c r="V21" s="109">
        <f>IF(W21="","",ROW()-4)</f>
      </c>
      <c r="W21" s="110" t="n"/>
      <c r="X21" s="114" t="n"/>
      <c r="Y21" s="113">
        <f>IF(W21="","",N(X21)+SUMIF(资金台帐!$C$7:$C$3006,W21,资金台帐!$F$7:$F$3006)-SUMIF(资金台帐!$C$7:$C$3006,W21,资金台帐!$G$7:$G$3006))</f>
      </c>
      <c r="Z21" s="85" t="n"/>
      <c r="AB21" s="109">
        <f>IF(AC21="","",ROW()-4)</f>
      </c>
      <c r="AC21" s="110" t="n"/>
      <c r="AD21" s="110" t="n"/>
      <c r="AE21" s="110" t="n"/>
      <c r="AF21" s="115" t="n"/>
      <c r="AH21" s="109">
        <f>IF(AI21="","",ROW()-4)</f>
        <v>17</v>
      </c>
      <c r="AI21" s="110" t="inlineStr">
        <is>
          <t>罚款赔偿</t>
        </is>
      </c>
      <c r="AJ21" s="110" t="inlineStr">
        <is>
          <t>营业外支出</t>
        </is>
      </c>
      <c r="AK21" s="115" t="n"/>
    </row>
    <row r="22" ht="26" customHeight="1" s="71">
      <c r="A22" s="119" t="inlineStr">
        <is>
          <t>其他往来</t>
        </is>
      </c>
      <c r="B22" s="87" t="inlineStr">
        <is>
          <t>其他应收 / 其他应付（押金等）</t>
        </is>
      </c>
      <c r="D22" s="109">
        <f>IF(E22="","",ROW()-4)</f>
        <v>18</v>
      </c>
      <c r="E22" s="110" t="inlineStr">
        <is>
          <t>小焙好茶</t>
        </is>
      </c>
      <c r="F22" s="110" t="n"/>
      <c r="G22" s="110" t="n"/>
      <c r="H22" s="110" t="n"/>
      <c r="I22" s="108" t="n"/>
      <c r="J22" s="111" t="n"/>
      <c r="K22" s="111" t="n">
        <v>48</v>
      </c>
      <c r="L22" s="112" t="n"/>
      <c r="M22" s="111" t="n"/>
      <c r="N22" s="113">
        <f>IF(N(L22)=0,"",L22*N(M22))</f>
      </c>
      <c r="P22" s="109">
        <f>IF(Q22="","",ROW()-4)</f>
      </c>
      <c r="Q22" s="110" t="n"/>
      <c r="R22" s="114" t="n"/>
      <c r="S22" s="110" t="n"/>
      <c r="T22" s="85" t="n"/>
      <c r="V22" s="109">
        <f>IF(W22="","",ROW()-4)</f>
      </c>
      <c r="W22" s="110" t="n"/>
      <c r="X22" s="114" t="n"/>
      <c r="Y22" s="113">
        <f>IF(W22="","",N(X22)+SUMIF(资金台帐!$C$7:$C$3006,W22,资金台帐!$F$7:$F$3006)-SUMIF(资金台帐!$C$7:$C$3006,W22,资金台帐!$G$7:$G$3006))</f>
      </c>
      <c r="Z22" s="85" t="n"/>
      <c r="AB22" s="109">
        <f>IF(AC22="","",ROW()-4)</f>
      </c>
      <c r="AC22" s="110" t="n"/>
      <c r="AD22" s="110" t="n"/>
      <c r="AE22" s="110" t="n"/>
      <c r="AF22" s="115" t="n"/>
      <c r="AH22" s="109">
        <f>IF(AI22="","",ROW()-4)</f>
        <v>18</v>
      </c>
      <c r="AI22" s="110" t="inlineStr">
        <is>
          <t>所得税</t>
        </is>
      </c>
      <c r="AJ22" s="110" t="inlineStr">
        <is>
          <t>所得税费用</t>
        </is>
      </c>
      <c r="AK22" s="115" t="n"/>
    </row>
    <row r="23" ht="15" customHeight="1" s="71">
      <c r="D23" s="109">
        <f>IF(E23="","",ROW()-4)</f>
        <v>19</v>
      </c>
      <c r="E23" s="110" t="inlineStr">
        <is>
          <t>1L焙好茶</t>
        </is>
      </c>
      <c r="F23" s="110" t="n"/>
      <c r="G23" s="110" t="n"/>
      <c r="H23" s="110" t="n"/>
      <c r="I23" s="108" t="n"/>
      <c r="J23" s="111" t="n"/>
      <c r="K23" s="111" t="n">
        <v>46</v>
      </c>
      <c r="L23" s="112" t="n"/>
      <c r="M23" s="111" t="n"/>
      <c r="N23" s="113">
        <f>IF(N(L23)=0,"",L23*N(M23))</f>
      </c>
      <c r="P23" s="109">
        <f>IF(Q23="","",ROW()-4)</f>
      </c>
      <c r="Q23" s="110" t="n"/>
      <c r="R23" s="114" t="n"/>
      <c r="S23" s="110" t="n"/>
      <c r="T23" s="85" t="n"/>
      <c r="V23" s="109">
        <f>IF(W23="","",ROW()-4)</f>
      </c>
      <c r="W23" s="110" t="n"/>
      <c r="X23" s="114" t="n"/>
      <c r="Y23" s="113">
        <f>IF(W23="","",N(X23)+SUMIF(资金台帐!$C$7:$C$3006,W23,资金台帐!$F$7:$F$3006)-SUMIF(资金台帐!$C$7:$C$3006,W23,资金台帐!$G$7:$G$3006))</f>
      </c>
      <c r="Z23" s="85" t="n"/>
      <c r="AB23" s="109">
        <f>IF(AC23="","",ROW()-4)</f>
      </c>
      <c r="AC23" s="110" t="n"/>
      <c r="AD23" s="110" t="n"/>
      <c r="AE23" s="110" t="n"/>
      <c r="AF23" s="115" t="n"/>
      <c r="AH23" s="109">
        <f>IF(AI23="","",ROW()-4)</f>
      </c>
      <c r="AI23" s="110" t="n"/>
      <c r="AJ23" s="110" t="n"/>
      <c r="AK23" s="115" t="n"/>
    </row>
    <row r="24" ht="15" customHeight="1" s="71">
      <c r="D24" s="109">
        <f>IF(E24="","",ROW()-4)</f>
        <v>20</v>
      </c>
      <c r="E24" s="110" t="inlineStr">
        <is>
          <t>大鹏</t>
        </is>
      </c>
      <c r="F24" s="110" t="n"/>
      <c r="G24" s="110" t="n"/>
      <c r="H24" s="110" t="n"/>
      <c r="I24" s="108" t="n"/>
      <c r="J24" s="111" t="n"/>
      <c r="K24" s="111" t="n">
        <v>86</v>
      </c>
      <c r="L24" s="112" t="n"/>
      <c r="M24" s="111" t="n"/>
      <c r="N24" s="113">
        <f>IF(N(L24)=0,"",L24*N(M24))</f>
      </c>
      <c r="P24" s="109">
        <f>IF(Q24="","",ROW()-4)</f>
      </c>
      <c r="Q24" s="110" t="n"/>
      <c r="R24" s="114" t="n"/>
      <c r="S24" s="110" t="n"/>
      <c r="T24" s="85" t="n"/>
      <c r="V24" s="109">
        <f>IF(W24="","",ROW()-4)</f>
      </c>
      <c r="W24" s="110" t="n"/>
      <c r="X24" s="114" t="n"/>
      <c r="Y24" s="113">
        <f>IF(W24="","",N(X24)+SUMIF(资金台帐!$C$7:$C$3006,W24,资金台帐!$F$7:$F$3006)-SUMIF(资金台帐!$C$7:$C$3006,W24,资金台帐!$G$7:$G$3006))</f>
      </c>
      <c r="Z24" s="85" t="n"/>
      <c r="AB24" s="109">
        <f>IF(AC24="","",ROW()-4)</f>
      </c>
      <c r="AC24" s="110" t="n"/>
      <c r="AD24" s="110" t="n"/>
      <c r="AE24" s="110" t="n"/>
      <c r="AF24" s="115" t="n"/>
      <c r="AH24" s="109">
        <f>IF(AI24="","",ROW()-4)</f>
      </c>
      <c r="AI24" s="110" t="n"/>
      <c r="AJ24" s="110" t="n"/>
      <c r="AK24" s="115" t="n"/>
    </row>
    <row r="25" ht="15" customHeight="1" s="71">
      <c r="D25" s="109">
        <f>IF(E25="","",ROW()-4)</f>
        <v>21</v>
      </c>
      <c r="E25" s="110" t="inlineStr">
        <is>
          <t>500农夫饮料</t>
        </is>
      </c>
      <c r="F25" s="110" t="inlineStr">
        <is>
          <t>农夫山泉公司</t>
        </is>
      </c>
      <c r="G25" s="110" t="inlineStr">
        <is>
          <t>农夫500ML饮料</t>
        </is>
      </c>
      <c r="H25" s="110" t="inlineStr">
        <is>
          <t>1*15</t>
        </is>
      </c>
      <c r="I25" s="108" t="n">
        <v>15</v>
      </c>
      <c r="J25" s="111" t="n">
        <v>46.005</v>
      </c>
      <c r="K25" s="111" t="n">
        <v>52</v>
      </c>
      <c r="L25" s="112" t="n"/>
      <c r="M25" s="111" t="n"/>
      <c r="N25" s="113">
        <f>IF(N(L25)=0,"",L25*N(M25))</f>
      </c>
      <c r="P25" s="109">
        <f>IF(Q25="","",ROW()-4)</f>
      </c>
      <c r="Q25" s="110" t="n"/>
      <c r="R25" s="114" t="n"/>
      <c r="S25" s="110" t="n"/>
      <c r="T25" s="85" t="n"/>
      <c r="W25" s="121" t="inlineStr">
        <is>
          <t>合计</t>
        </is>
      </c>
      <c r="X25" s="122">
        <f>SUM(X5:X24)</f>
        <v>0</v>
      </c>
      <c r="Y25" s="122">
        <f>SUM(Y5:Y24)</f>
        <v>3869309.69</v>
      </c>
      <c r="AB25" s="109">
        <f>IF(AC25="","",ROW()-4)</f>
      </c>
      <c r="AC25" s="110" t="n"/>
      <c r="AD25" s="110" t="n"/>
      <c r="AE25" s="110" t="n"/>
      <c r="AF25" s="115" t="n"/>
      <c r="AH25" s="109">
        <f>IF(AI25="","",ROW()-4)</f>
      </c>
      <c r="AI25" s="110" t="n"/>
      <c r="AJ25" s="110" t="n"/>
      <c r="AK25" s="115" t="n"/>
    </row>
    <row r="26" ht="15" customHeight="1" s="71">
      <c r="D26" s="109">
        <f>IF(E26="","",ROW()-4)</f>
        <v>22</v>
      </c>
      <c r="E26" s="110" t="inlineStr">
        <is>
          <t>900农夫饮料</t>
        </is>
      </c>
      <c r="F26" s="110" t="inlineStr">
        <is>
          <t>农夫山泉公司</t>
        </is>
      </c>
      <c r="G26" s="110" t="inlineStr">
        <is>
          <t>农夫900ML饮料</t>
        </is>
      </c>
      <c r="H26" s="110" t="inlineStr">
        <is>
          <t>1*12</t>
        </is>
      </c>
      <c r="I26" s="108" t="n">
        <v>12</v>
      </c>
      <c r="J26" s="111" t="n">
        <v>50.04</v>
      </c>
      <c r="K26" s="111" t="n">
        <v>62</v>
      </c>
      <c r="L26" s="112" t="n"/>
      <c r="M26" s="111" t="n"/>
      <c r="N26" s="113">
        <f>IF(N(L26)=0,"",L26*N(M26))</f>
      </c>
      <c r="P26" s="109">
        <f>IF(Q26="","",ROW()-4)</f>
      </c>
      <c r="Q26" s="110" t="n"/>
      <c r="R26" s="114" t="n"/>
      <c r="S26" s="110" t="n"/>
      <c r="T26" s="85" t="n"/>
      <c r="AB26" s="109">
        <f>IF(AC26="","",ROW()-4)</f>
      </c>
      <c r="AC26" s="110" t="n"/>
      <c r="AD26" s="110" t="n"/>
      <c r="AE26" s="110" t="n"/>
      <c r="AF26" s="115" t="n"/>
      <c r="AH26" s="109">
        <f>IF(AI26="","",ROW()-4)</f>
      </c>
      <c r="AI26" s="110" t="n"/>
      <c r="AJ26" s="110" t="n"/>
      <c r="AK26" s="115" t="n"/>
    </row>
    <row r="27" ht="15" customHeight="1" s="71">
      <c r="D27" s="109">
        <f>IF(E27="","",ROW()-4)</f>
        <v>23</v>
      </c>
      <c r="E27" s="110" t="inlineStr">
        <is>
          <t>550农夫水</t>
        </is>
      </c>
      <c r="F27" s="110" t="inlineStr">
        <is>
          <t>农夫山泉公司</t>
        </is>
      </c>
      <c r="G27" s="110" t="inlineStr">
        <is>
          <t>农夫550ML水</t>
        </is>
      </c>
      <c r="H27" s="110" t="inlineStr">
        <is>
          <t>1*24</t>
        </is>
      </c>
      <c r="I27" s="108" t="n">
        <v>24</v>
      </c>
      <c r="J27" s="111" t="n">
        <v>20.016</v>
      </c>
      <c r="K27" s="111" t="n">
        <v>20</v>
      </c>
      <c r="L27" s="112" t="n"/>
      <c r="M27" s="111" t="n"/>
      <c r="N27" s="113">
        <f>IF(N(L27)=0,"",L27*N(M27))</f>
      </c>
      <c r="P27" s="109">
        <f>IF(Q27="","",ROW()-4)</f>
      </c>
      <c r="Q27" s="110" t="n"/>
      <c r="R27" s="114" t="n"/>
      <c r="S27" s="110" t="n"/>
      <c r="T27" s="85" t="n"/>
      <c r="AB27" s="109">
        <f>IF(AC27="","",ROW()-4)</f>
      </c>
      <c r="AC27" s="110" t="n"/>
      <c r="AD27" s="110" t="n"/>
      <c r="AE27" s="110" t="n"/>
      <c r="AF27" s="115" t="n"/>
      <c r="AH27" s="109">
        <f>IF(AI27="","",ROW()-4)</f>
      </c>
      <c r="AI27" s="110" t="n"/>
      <c r="AJ27" s="110" t="n"/>
      <c r="AK27" s="115" t="n"/>
    </row>
    <row r="28" ht="15" customHeight="1" s="71">
      <c r="D28" s="109">
        <f>IF(E28="","",ROW()-4)</f>
        <v>24</v>
      </c>
      <c r="E28" s="110" t="inlineStr">
        <is>
          <t>550农夫纯净水</t>
        </is>
      </c>
      <c r="F28" s="110" t="inlineStr">
        <is>
          <t>农夫山泉公司</t>
        </is>
      </c>
      <c r="G28" s="110" t="inlineStr">
        <is>
          <t>农夫550ML纯净水</t>
        </is>
      </c>
      <c r="H28" s="110" t="inlineStr">
        <is>
          <t>1*24</t>
        </is>
      </c>
      <c r="I28" s="108" t="n">
        <v>24</v>
      </c>
      <c r="J28" s="111" t="n">
        <v>15</v>
      </c>
      <c r="K28" s="111" t="n">
        <v>14</v>
      </c>
      <c r="L28" s="112" t="n"/>
      <c r="M28" s="111" t="n"/>
      <c r="N28" s="113">
        <f>IF(N(L28)=0,"",L28*N(M28))</f>
      </c>
      <c r="P28" s="109">
        <f>IF(Q28="","",ROW()-4)</f>
      </c>
      <c r="Q28" s="110" t="n"/>
      <c r="R28" s="114" t="n"/>
      <c r="S28" s="110" t="n"/>
      <c r="T28" s="85" t="n"/>
      <c r="AB28" s="109">
        <f>IF(AC28="","",ROW()-4)</f>
      </c>
      <c r="AC28" s="110" t="n"/>
      <c r="AD28" s="110" t="n"/>
      <c r="AE28" s="110" t="n"/>
      <c r="AF28" s="115" t="n"/>
      <c r="AH28" s="109">
        <f>IF(AI28="","",ROW()-4)</f>
      </c>
      <c r="AI28" s="110" t="n"/>
      <c r="AJ28" s="110" t="n"/>
      <c r="AK28" s="115" t="n"/>
    </row>
    <row r="29" ht="15" customHeight="1" s="71">
      <c r="D29" s="109">
        <f>IF(E29="","",ROW()-4)</f>
        <v>25</v>
      </c>
      <c r="E29" s="110" t="inlineStr">
        <is>
          <t>550纯净水12入</t>
        </is>
      </c>
      <c r="F29" s="110" t="inlineStr">
        <is>
          <t>农夫山泉公司</t>
        </is>
      </c>
      <c r="G29" s="110" t="n"/>
      <c r="H29" s="110" t="inlineStr">
        <is>
          <t>1*12</t>
        </is>
      </c>
      <c r="I29" s="108" t="n">
        <v>12</v>
      </c>
      <c r="J29" s="111" t="n">
        <v>7.5</v>
      </c>
      <c r="K29" s="111" t="n">
        <v>7.6</v>
      </c>
      <c r="L29" s="112" t="n"/>
      <c r="M29" s="111" t="n"/>
      <c r="N29" s="113">
        <f>IF(N(L29)=0,"",L29*N(M29))</f>
      </c>
      <c r="P29" s="109">
        <f>IF(Q29="","",ROW()-4)</f>
      </c>
      <c r="Q29" s="110" t="n"/>
      <c r="R29" s="114" t="n"/>
      <c r="S29" s="110" t="n"/>
      <c r="T29" s="85" t="n"/>
      <c r="AB29" s="109">
        <f>IF(AC29="","",ROW()-4)</f>
      </c>
      <c r="AC29" s="110" t="n"/>
      <c r="AD29" s="110" t="n"/>
      <c r="AE29" s="110" t="n"/>
      <c r="AF29" s="115" t="n"/>
      <c r="AH29" s="109">
        <f>IF(AI29="","",ROW()-4)</f>
      </c>
      <c r="AI29" s="110" t="n"/>
      <c r="AJ29" s="110" t="n"/>
      <c r="AK29" s="115" t="n"/>
    </row>
    <row r="30" ht="15" customHeight="1" s="71">
      <c r="D30" s="109">
        <f>IF(E30="","",ROW()-4)</f>
        <v>26</v>
      </c>
      <c r="E30" s="110" t="inlineStr">
        <is>
          <t>1.5L水</t>
        </is>
      </c>
      <c r="F30" s="110" t="inlineStr">
        <is>
          <t>农夫山泉公司</t>
        </is>
      </c>
      <c r="G30" s="110" t="inlineStr">
        <is>
          <t>农夫1.5L水</t>
        </is>
      </c>
      <c r="H30" s="110" t="inlineStr">
        <is>
          <t>1*12</t>
        </is>
      </c>
      <c r="I30" s="108" t="n">
        <v>12</v>
      </c>
      <c r="J30" s="111" t="n">
        <v>20.004</v>
      </c>
      <c r="K30" s="111" t="n">
        <v>25</v>
      </c>
      <c r="L30" s="112" t="n"/>
      <c r="M30" s="111" t="n"/>
      <c r="N30" s="113">
        <f>IF(N(L30)=0,"",L30*N(M30))</f>
      </c>
      <c r="P30" s="109">
        <f>IF(Q30="","",ROW()-4)</f>
      </c>
      <c r="Q30" s="110" t="n"/>
      <c r="R30" s="114" t="n"/>
      <c r="S30" s="110" t="n"/>
      <c r="T30" s="85" t="n"/>
      <c r="AB30" s="109">
        <f>IF(AC30="","",ROW()-4)</f>
      </c>
      <c r="AC30" s="110" t="n"/>
      <c r="AD30" s="110" t="n"/>
      <c r="AE30" s="110" t="n"/>
      <c r="AF30" s="115" t="n"/>
      <c r="AH30" s="109">
        <f>IF(AI30="","",ROW()-4)</f>
      </c>
      <c r="AI30" s="110" t="n"/>
      <c r="AJ30" s="110" t="n"/>
      <c r="AK30" s="115" t="n"/>
    </row>
    <row r="31" ht="15" customHeight="1" s="71">
      <c r="D31" s="109">
        <f>IF(E31="","",ROW()-4)</f>
        <v>27</v>
      </c>
      <c r="E31" s="110" t="inlineStr">
        <is>
          <t>农夫苏打水</t>
        </is>
      </c>
      <c r="F31" s="110" t="inlineStr">
        <is>
          <t>农夫山泉公司</t>
        </is>
      </c>
      <c r="G31" s="110" t="inlineStr">
        <is>
          <t>农夫苏打水</t>
        </is>
      </c>
      <c r="H31" s="110" t="inlineStr">
        <is>
          <t>1*15</t>
        </is>
      </c>
      <c r="I31" s="108" t="n">
        <v>15</v>
      </c>
      <c r="J31" s="111" t="n">
        <v>34.05</v>
      </c>
      <c r="K31" s="111" t="n"/>
      <c r="L31" s="112" t="n"/>
      <c r="M31" s="111" t="n"/>
      <c r="N31" s="113">
        <f>IF(N(L31)=0,"",L31*N(M31))</f>
      </c>
      <c r="P31" s="109">
        <f>IF(Q31="","",ROW()-4)</f>
      </c>
      <c r="Q31" s="110" t="n"/>
      <c r="R31" s="114" t="n"/>
      <c r="S31" s="110" t="n"/>
      <c r="T31" s="85" t="n"/>
      <c r="AB31" s="109">
        <f>IF(AC31="","",ROW()-4)</f>
      </c>
      <c r="AC31" s="110" t="n"/>
      <c r="AD31" s="110" t="n"/>
      <c r="AE31" s="110" t="n"/>
      <c r="AF31" s="115" t="n"/>
      <c r="AH31" s="109">
        <f>IF(AI31="","",ROW()-4)</f>
      </c>
      <c r="AI31" s="110" t="n"/>
      <c r="AJ31" s="110" t="n"/>
      <c r="AK31" s="115" t="n"/>
    </row>
    <row r="32" ht="15" customHeight="1" s="71">
      <c r="D32" s="109">
        <f>IF(E32="","",ROW()-4)</f>
        <v>28</v>
      </c>
      <c r="E32" s="110" t="inlineStr">
        <is>
          <t>农夫2L水</t>
        </is>
      </c>
      <c r="F32" s="110" t="inlineStr">
        <is>
          <t>农夫山泉公司</t>
        </is>
      </c>
      <c r="G32" s="110" t="inlineStr">
        <is>
          <t>农夫2L水</t>
        </is>
      </c>
      <c r="H32" s="110" t="inlineStr">
        <is>
          <t>1*8</t>
        </is>
      </c>
      <c r="I32" s="108" t="n">
        <v>8</v>
      </c>
      <c r="J32" s="111" t="n">
        <v>18</v>
      </c>
      <c r="K32" s="111" t="n"/>
      <c r="L32" s="112" t="n"/>
      <c r="M32" s="111" t="n"/>
      <c r="N32" s="113">
        <f>IF(N(L32)=0,"",L32*N(M32))</f>
      </c>
      <c r="P32" s="109">
        <f>IF(Q32="","",ROW()-4)</f>
      </c>
      <c r="Q32" s="110" t="n"/>
      <c r="R32" s="114" t="n"/>
      <c r="S32" s="110" t="n"/>
      <c r="T32" s="85" t="n"/>
      <c r="AB32" s="109">
        <f>IF(AC32="","",ROW()-4)</f>
      </c>
      <c r="AC32" s="110" t="n"/>
      <c r="AD32" s="110" t="n"/>
      <c r="AE32" s="110" t="n"/>
      <c r="AF32" s="115" t="n"/>
      <c r="AH32" s="109">
        <f>IF(AI32="","",ROW()-4)</f>
      </c>
      <c r="AI32" s="110" t="n"/>
      <c r="AJ32" s="110" t="n"/>
      <c r="AK32" s="115" t="n"/>
    </row>
    <row r="33" ht="15" customHeight="1" s="71">
      <c r="D33" s="109">
        <f>IF(E33="","",ROW()-4)</f>
        <v>29</v>
      </c>
      <c r="E33" s="110" t="inlineStr">
        <is>
          <t>农夫5L水</t>
        </is>
      </c>
      <c r="F33" s="110" t="inlineStr">
        <is>
          <t>农夫山泉公司</t>
        </is>
      </c>
      <c r="G33" s="110" t="inlineStr">
        <is>
          <t>农夫5L水</t>
        </is>
      </c>
      <c r="H33" s="110" t="inlineStr">
        <is>
          <t>1*4</t>
        </is>
      </c>
      <c r="I33" s="108" t="n">
        <v>4</v>
      </c>
      <c r="J33" s="111" t="n"/>
      <c r="K33" s="111" t="n"/>
      <c r="L33" s="112" t="n"/>
      <c r="M33" s="111" t="n"/>
      <c r="N33" s="113">
        <f>IF(N(L33)=0,"",L33*N(M33))</f>
      </c>
      <c r="P33" s="109">
        <f>IF(Q33="","",ROW()-4)</f>
      </c>
      <c r="Q33" s="110" t="n"/>
      <c r="R33" s="114" t="n"/>
      <c r="S33" s="110" t="n"/>
      <c r="T33" s="85" t="n"/>
      <c r="AB33" s="109">
        <f>IF(AC33="","",ROW()-4)</f>
      </c>
      <c r="AC33" s="110" t="n"/>
      <c r="AD33" s="110" t="n"/>
      <c r="AE33" s="110" t="n"/>
      <c r="AF33" s="115" t="n"/>
      <c r="AH33" s="109">
        <f>IF(AI33="","",ROW()-4)</f>
      </c>
      <c r="AI33" s="110" t="n"/>
      <c r="AJ33" s="110" t="n"/>
      <c r="AK33" s="115" t="n"/>
    </row>
    <row r="34" ht="15" customHeight="1" s="71">
      <c r="D34" s="109">
        <f>IF(E34="","",ROW()-4)</f>
        <v>30</v>
      </c>
      <c r="E34" s="110" t="inlineStr">
        <is>
          <t>农夫12.9L水</t>
        </is>
      </c>
      <c r="F34" s="110" t="inlineStr">
        <is>
          <t>农夫山泉公司</t>
        </is>
      </c>
      <c r="G34" s="110" t="inlineStr">
        <is>
          <t>农夫12.9L水</t>
        </is>
      </c>
      <c r="H34" s="110" t="n"/>
      <c r="I34" s="108" t="n"/>
      <c r="J34" s="111" t="n"/>
      <c r="K34" s="111" t="n"/>
      <c r="L34" s="112" t="n"/>
      <c r="M34" s="111" t="n"/>
      <c r="N34" s="113">
        <f>IF(N(L34)=0,"",L34*N(M34))</f>
      </c>
      <c r="P34" s="109">
        <f>IF(Q34="","",ROW()-4)</f>
      </c>
      <c r="Q34" s="110" t="n"/>
      <c r="R34" s="114" t="n"/>
      <c r="S34" s="110" t="n"/>
      <c r="T34" s="85" t="n"/>
      <c r="AB34" s="109">
        <f>IF(AC34="","",ROW()-4)</f>
      </c>
      <c r="AC34" s="110" t="n"/>
      <c r="AD34" s="110" t="n"/>
      <c r="AE34" s="110" t="n"/>
      <c r="AF34" s="115" t="n"/>
      <c r="AH34" s="109">
        <f>IF(AI34="","",ROW()-4)</f>
      </c>
      <c r="AI34" s="110" t="n"/>
      <c r="AJ34" s="110" t="n"/>
      <c r="AK34" s="115" t="n"/>
    </row>
    <row r="35">
      <c r="D35" s="109">
        <f>IF(E35="","",ROW()-4)</f>
        <v>31</v>
      </c>
      <c r="E35" s="110" t="inlineStr">
        <is>
          <t>农夫1.25L果园</t>
        </is>
      </c>
      <c r="F35" s="110" t="inlineStr">
        <is>
          <t>农夫山泉公司</t>
        </is>
      </c>
      <c r="G35" s="110" t="inlineStr">
        <is>
          <t>农夫1.25L果园</t>
        </is>
      </c>
      <c r="H35" s="110" t="inlineStr">
        <is>
          <t>1*6</t>
        </is>
      </c>
      <c r="I35" s="108" t="n">
        <v>6</v>
      </c>
      <c r="J35" s="111" t="n">
        <v>38.5</v>
      </c>
      <c r="K35" s="111" t="n"/>
      <c r="L35" s="112" t="n"/>
      <c r="M35" s="111" t="n"/>
      <c r="N35" s="113">
        <f>IF(N(L35)=0,"",L35*N(M35))</f>
      </c>
      <c r="P35" s="109">
        <f>IF(Q35="","",ROW()-4)</f>
      </c>
      <c r="Q35" s="110" t="n"/>
      <c r="R35" s="114" t="n"/>
      <c r="S35" s="110" t="n"/>
      <c r="T35" s="85" t="n"/>
      <c r="AH35" s="109">
        <f>IF(AI35="","",ROW()-4)</f>
      </c>
      <c r="AI35" s="110" t="n"/>
      <c r="AJ35" s="110" t="n"/>
      <c r="AK35" s="115" t="n"/>
    </row>
    <row r="36">
      <c r="D36" s="109">
        <f>IF(E36="","",ROW()-4)</f>
        <v>32</v>
      </c>
      <c r="E36" s="110" t="inlineStr">
        <is>
          <t>农夫1.5L东方树叶</t>
        </is>
      </c>
      <c r="F36" s="110" t="inlineStr">
        <is>
          <t>农夫山泉公司</t>
        </is>
      </c>
      <c r="G36" s="110" t="inlineStr">
        <is>
          <t>农夫1.5L东方树叶</t>
        </is>
      </c>
      <c r="H36" s="110" t="inlineStr">
        <is>
          <t>1*6</t>
        </is>
      </c>
      <c r="I36" s="108" t="n">
        <v>6</v>
      </c>
      <c r="J36" s="111" t="n">
        <v>42</v>
      </c>
      <c r="K36" s="111" t="n"/>
      <c r="L36" s="112" t="n"/>
      <c r="M36" s="111" t="n"/>
      <c r="N36" s="113">
        <f>IF(N(L36)=0,"",L36*N(M36))</f>
      </c>
      <c r="P36" s="109">
        <f>IF(Q36="","",ROW()-4)</f>
      </c>
      <c r="Q36" s="110" t="n"/>
      <c r="R36" s="114" t="n"/>
      <c r="S36" s="110" t="n"/>
      <c r="T36" s="85" t="n"/>
      <c r="AH36" s="109">
        <f>IF(AI36="","",ROW()-4)</f>
      </c>
      <c r="AI36" s="110" t="n"/>
      <c r="AJ36" s="110" t="n"/>
      <c r="AK36" s="115" t="n"/>
    </row>
    <row r="37">
      <c r="D37" s="109">
        <f>IF(E37="","",ROW()-4)</f>
        <v>33</v>
      </c>
      <c r="E37" s="110" t="inlineStr">
        <is>
          <t>清爽</t>
        </is>
      </c>
      <c r="F37" s="110" t="inlineStr">
        <is>
          <t>青岛公司</t>
        </is>
      </c>
      <c r="G37" s="110" t="inlineStr">
        <is>
          <t>青岛清爽8</t>
        </is>
      </c>
      <c r="H37" s="110" t="inlineStr">
        <is>
          <t>1*12</t>
        </is>
      </c>
      <c r="I37" s="108" t="n">
        <v>12</v>
      </c>
      <c r="J37" s="111" t="n">
        <v>35.28</v>
      </c>
      <c r="K37" s="111" t="n">
        <v>42</v>
      </c>
      <c r="L37" s="112" t="n"/>
      <c r="M37" s="111" t="n"/>
      <c r="N37" s="113">
        <f>IF(N(L37)=0,"",L37*N(M37))</f>
      </c>
      <c r="P37" s="109">
        <f>IF(Q37="","",ROW()-4)</f>
      </c>
      <c r="Q37" s="110" t="n"/>
      <c r="R37" s="114" t="n"/>
      <c r="S37" s="110" t="n"/>
      <c r="T37" s="85" t="n"/>
      <c r="AH37" s="109">
        <f>IF(AI37="","",ROW()-4)</f>
      </c>
      <c r="AI37" s="110" t="n"/>
      <c r="AJ37" s="110" t="n"/>
      <c r="AK37" s="115" t="n"/>
    </row>
    <row r="38">
      <c r="D38" s="109">
        <f>IF(E38="","",ROW()-4)</f>
        <v>34</v>
      </c>
      <c r="E38" s="110" t="inlineStr">
        <is>
          <t>青岛清爽8奖盖过期</t>
        </is>
      </c>
      <c r="F38" s="110" t="inlineStr">
        <is>
          <t>青岛公司</t>
        </is>
      </c>
      <c r="G38" s="110" t="inlineStr">
        <is>
          <t>青岛清爽8奖盖过期</t>
        </is>
      </c>
      <c r="H38" s="110" t="inlineStr">
        <is>
          <t>1*12</t>
        </is>
      </c>
      <c r="I38" s="108" t="n">
        <v>12</v>
      </c>
      <c r="J38" s="111" t="n">
        <v>35.28</v>
      </c>
      <c r="K38" s="111" t="n"/>
      <c r="L38" s="112" t="n"/>
      <c r="M38" s="111" t="n"/>
      <c r="N38" s="113">
        <f>IF(N(L38)=0,"",L38*N(M38))</f>
      </c>
      <c r="P38" s="109">
        <f>IF(Q38="","",ROW()-4)</f>
      </c>
      <c r="Q38" s="110" t="n"/>
      <c r="R38" s="114" t="n"/>
      <c r="S38" s="110" t="n"/>
      <c r="T38" s="85" t="n"/>
      <c r="AH38" s="109">
        <f>IF(AI38="","",ROW()-4)</f>
      </c>
      <c r="AI38" s="110" t="n"/>
      <c r="AJ38" s="110" t="n"/>
      <c r="AK38" s="115" t="n"/>
    </row>
    <row r="39">
      <c r="D39" s="109">
        <f>IF(E39="","",ROW()-4)</f>
        <v>35</v>
      </c>
      <c r="E39" s="110" t="inlineStr">
        <is>
          <t>青岛经典</t>
        </is>
      </c>
      <c r="F39" s="110" t="inlineStr">
        <is>
          <t>青岛公司</t>
        </is>
      </c>
      <c r="G39" s="110" t="inlineStr">
        <is>
          <t>青岛经典</t>
        </is>
      </c>
      <c r="H39" s="110" t="inlineStr">
        <is>
          <t>1*12</t>
        </is>
      </c>
      <c r="I39" s="108" t="n">
        <v>12</v>
      </c>
      <c r="J39" s="111" t="n">
        <v>50.04</v>
      </c>
      <c r="K39" s="111" t="n"/>
      <c r="L39" s="112" t="n"/>
      <c r="M39" s="111" t="n"/>
      <c r="N39" s="113">
        <f>IF(N(L39)=0,"",L39*N(M39))</f>
      </c>
      <c r="P39" s="109">
        <f>IF(Q39="","",ROW()-4)</f>
      </c>
      <c r="Q39" s="110" t="n"/>
      <c r="R39" s="114" t="n"/>
      <c r="S39" s="110" t="n"/>
      <c r="T39" s="85" t="n"/>
      <c r="AH39" s="109">
        <f>IF(AI39="","",ROW()-4)</f>
      </c>
      <c r="AI39" s="110" t="n"/>
      <c r="AJ39" s="110" t="n"/>
      <c r="AK39" s="115" t="n"/>
    </row>
    <row r="40">
      <c r="D40" s="109">
        <f>IF(E40="","",ROW()-4)</f>
        <v>36</v>
      </c>
      <c r="E40" s="110" t="inlineStr">
        <is>
          <t>青岛崂山</t>
        </is>
      </c>
      <c r="F40" s="110" t="inlineStr">
        <is>
          <t>青岛公司</t>
        </is>
      </c>
      <c r="G40" s="110" t="inlineStr">
        <is>
          <t>青岛崂山</t>
        </is>
      </c>
      <c r="H40" s="110" t="inlineStr">
        <is>
          <t>1*12</t>
        </is>
      </c>
      <c r="I40" s="108" t="n">
        <v>12</v>
      </c>
      <c r="J40" s="111" t="n">
        <v>24</v>
      </c>
      <c r="K40" s="111" t="n"/>
      <c r="L40" s="112" t="n"/>
      <c r="M40" s="111" t="n"/>
      <c r="N40" s="113">
        <f>IF(N(L40)=0,"",L40*N(M40))</f>
      </c>
      <c r="P40" s="109">
        <f>IF(Q40="","",ROW()-4)</f>
      </c>
      <c r="Q40" s="110" t="n"/>
      <c r="R40" s="114" t="n"/>
      <c r="S40" s="110" t="n"/>
      <c r="T40" s="85" t="n"/>
      <c r="AH40" s="109">
        <f>IF(AI40="","",ROW()-4)</f>
      </c>
      <c r="AI40" s="110" t="n"/>
      <c r="AJ40" s="110" t="n"/>
      <c r="AK40" s="115" t="n"/>
    </row>
    <row r="41">
      <c r="D41" s="109">
        <f>IF(E41="","",ROW()-4)</f>
        <v>37</v>
      </c>
      <c r="E41" s="110" t="inlineStr">
        <is>
          <t>青岛白啤</t>
        </is>
      </c>
      <c r="F41" s="110" t="inlineStr">
        <is>
          <t>青岛公司</t>
        </is>
      </c>
      <c r="G41" s="110" t="inlineStr">
        <is>
          <t>青岛白啤</t>
        </is>
      </c>
      <c r="H41" s="110" t="inlineStr">
        <is>
          <t>1*12</t>
        </is>
      </c>
      <c r="I41" s="108" t="n">
        <v>12</v>
      </c>
      <c r="J41" s="111" t="n">
        <v>62.04</v>
      </c>
      <c r="K41" s="111" t="n"/>
      <c r="L41" s="112" t="n"/>
      <c r="M41" s="111" t="n"/>
      <c r="N41" s="113">
        <f>IF(N(L41)=0,"",L41*N(M41))</f>
      </c>
      <c r="P41" s="109">
        <f>IF(Q41="","",ROW()-4)</f>
      </c>
      <c r="Q41" s="110" t="n"/>
      <c r="R41" s="114" t="n"/>
      <c r="S41" s="110" t="n"/>
      <c r="T41" s="85" t="n"/>
      <c r="AH41" s="109">
        <f>IF(AI41="","",ROW()-4)</f>
      </c>
      <c r="AI41" s="110" t="n"/>
      <c r="AJ41" s="110" t="n"/>
      <c r="AK41" s="115" t="n"/>
    </row>
    <row r="42">
      <c r="D42" s="109">
        <f>IF(E42="","",ROW()-4)</f>
        <v>38</v>
      </c>
      <c r="E42" s="110" t="inlineStr">
        <is>
          <t>艾精隆155克瓜子</t>
        </is>
      </c>
      <c r="F42" s="110" t="inlineStr">
        <is>
          <t>其他公司</t>
        </is>
      </c>
      <c r="G42" s="110" t="inlineStr">
        <is>
          <t>艾精隆155克瓜子</t>
        </is>
      </c>
      <c r="H42" s="110" t="inlineStr">
        <is>
          <t>1*30</t>
        </is>
      </c>
      <c r="I42" s="108" t="n">
        <v>30</v>
      </c>
      <c r="J42" s="111" t="n">
        <v>96</v>
      </c>
      <c r="K42" s="111" t="n"/>
      <c r="L42" s="112" t="n"/>
      <c r="M42" s="111" t="n"/>
      <c r="N42" s="113">
        <f>IF(N(L42)=0,"",L42*N(M42))</f>
      </c>
      <c r="P42" s="109">
        <f>IF(Q42="","",ROW()-4)</f>
      </c>
      <c r="Q42" s="110" t="n"/>
      <c r="R42" s="114" t="n"/>
      <c r="S42" s="110" t="n"/>
      <c r="T42" s="85" t="n"/>
      <c r="AH42" s="109">
        <f>IF(AI42="","",ROW()-4)</f>
      </c>
      <c r="AI42" s="110" t="n"/>
      <c r="AJ42" s="110" t="n"/>
      <c r="AK42" s="115" t="n"/>
    </row>
    <row r="43">
      <c r="D43" s="109">
        <f>IF(E43="","",ROW()-4)</f>
        <v>39</v>
      </c>
      <c r="E43" s="110" t="inlineStr">
        <is>
          <t>艾精隆60克香瓜子</t>
        </is>
      </c>
      <c r="F43" s="110" t="inlineStr">
        <is>
          <t>其他公司</t>
        </is>
      </c>
      <c r="G43" s="110" t="inlineStr">
        <is>
          <t>艾精隆60克香瓜子</t>
        </is>
      </c>
      <c r="H43" s="110" t="inlineStr">
        <is>
          <t>1*40</t>
        </is>
      </c>
      <c r="I43" s="108" t="n">
        <v>40</v>
      </c>
      <c r="J43" s="111" t="n">
        <v>48</v>
      </c>
      <c r="K43" s="111" t="n"/>
      <c r="L43" s="112" t="n"/>
      <c r="M43" s="111" t="n"/>
      <c r="N43" s="113">
        <f>IF(N(L43)=0,"",L43*N(M43))</f>
      </c>
      <c r="P43" s="109">
        <f>IF(Q43="","",ROW()-4)</f>
      </c>
      <c r="Q43" s="110" t="n"/>
      <c r="R43" s="114" t="n"/>
      <c r="S43" s="110" t="n"/>
      <c r="T43" s="85" t="n"/>
      <c r="AH43" s="109">
        <f>IF(AI43="","",ROW()-4)</f>
      </c>
      <c r="AI43" s="110" t="n"/>
      <c r="AJ43" s="110" t="n"/>
      <c r="AK43" s="115" t="n"/>
    </row>
    <row r="44">
      <c r="D44" s="109">
        <f>IF(E44="","",ROW()-4)</f>
        <v>40</v>
      </c>
      <c r="E44" s="110" t="inlineStr">
        <is>
          <t>艾精隆60克原味瓜子</t>
        </is>
      </c>
      <c r="F44" s="110" t="inlineStr">
        <is>
          <t>其他公司</t>
        </is>
      </c>
      <c r="G44" s="110" t="inlineStr">
        <is>
          <t>艾精隆60克原味瓜子</t>
        </is>
      </c>
      <c r="H44" s="110" t="inlineStr">
        <is>
          <t>1*35</t>
        </is>
      </c>
      <c r="I44" s="108" t="n">
        <v>35</v>
      </c>
      <c r="J44" s="111" t="n">
        <v>43.9985</v>
      </c>
      <c r="K44" s="111" t="n"/>
      <c r="L44" s="112" t="n"/>
      <c r="M44" s="111" t="n"/>
      <c r="N44" s="113">
        <f>IF(N(L44)=0,"",L44*N(M44))</f>
      </c>
      <c r="P44" s="109">
        <f>IF(Q44="","",ROW()-4)</f>
      </c>
      <c r="Q44" s="110" t="n"/>
      <c r="R44" s="114" t="n"/>
      <c r="S44" s="110" t="n"/>
      <c r="T44" s="85" t="n"/>
      <c r="AH44" s="109">
        <f>IF(AI44="","",ROW()-4)</f>
      </c>
      <c r="AI44" s="110" t="n"/>
      <c r="AJ44" s="110" t="n"/>
      <c r="AK44" s="115" t="n"/>
    </row>
    <row r="45">
      <c r="D45" s="109">
        <f>IF(E45="","",ROW()-4)</f>
        <v>41</v>
      </c>
      <c r="E45" s="110" t="inlineStr">
        <is>
          <t>艾精隆208克花生</t>
        </is>
      </c>
      <c r="F45" s="110" t="inlineStr">
        <is>
          <t>其他公司</t>
        </is>
      </c>
      <c r="G45" s="110" t="inlineStr">
        <is>
          <t>艾精隆208克花生</t>
        </is>
      </c>
      <c r="H45" s="110" t="inlineStr">
        <is>
          <t>1*30</t>
        </is>
      </c>
      <c r="I45" s="108" t="n">
        <v>30</v>
      </c>
      <c r="J45" s="111" t="n">
        <v>96</v>
      </c>
      <c r="K45" s="111" t="n"/>
      <c r="L45" s="112" t="n"/>
      <c r="M45" s="111" t="n"/>
      <c r="N45" s="113">
        <f>IF(N(L45)=0,"",L45*N(M45))</f>
      </c>
      <c r="P45" s="109">
        <f>IF(Q45="","",ROW()-4)</f>
      </c>
      <c r="Q45" s="110" t="n"/>
      <c r="R45" s="114" t="n"/>
      <c r="S45" s="110" t="n"/>
      <c r="T45" s="85" t="n"/>
      <c r="AH45" s="109">
        <f>IF(AI45="","",ROW()-4)</f>
      </c>
      <c r="AI45" s="110" t="n"/>
      <c r="AJ45" s="110" t="n"/>
      <c r="AK45" s="115" t="n"/>
    </row>
    <row r="46">
      <c r="D46" s="109">
        <f>IF(E46="","",ROW()-4)</f>
        <v>42</v>
      </c>
      <c r="E46" s="110" t="inlineStr">
        <is>
          <t>艾精隆500克多味</t>
        </is>
      </c>
      <c r="F46" s="110" t="inlineStr">
        <is>
          <t>其他公司</t>
        </is>
      </c>
      <c r="G46" s="110" t="inlineStr">
        <is>
          <t>艾精隆500克多味</t>
        </is>
      </c>
      <c r="H46" s="110" t="inlineStr">
        <is>
          <t>1*20</t>
        </is>
      </c>
      <c r="I46" s="108" t="n">
        <v>20</v>
      </c>
      <c r="J46" s="111" t="n">
        <v>220</v>
      </c>
      <c r="K46" s="111" t="n"/>
      <c r="L46" s="112" t="n"/>
      <c r="M46" s="111" t="n"/>
      <c r="N46" s="113">
        <f>IF(N(L46)=0,"",L46*N(M46))</f>
      </c>
      <c r="P46" s="109">
        <f>IF(Q46="","",ROW()-4)</f>
      </c>
      <c r="Q46" s="110" t="n"/>
      <c r="R46" s="114" t="n"/>
      <c r="S46" s="110" t="n"/>
      <c r="T46" s="85" t="n"/>
      <c r="AH46" s="109">
        <f>IF(AI46="","",ROW()-4)</f>
      </c>
      <c r="AI46" s="110" t="n"/>
      <c r="AJ46" s="110" t="n"/>
      <c r="AK46" s="115" t="n"/>
    </row>
    <row r="47">
      <c r="D47" s="109">
        <f>IF(E47="","",ROW()-4)</f>
        <v>43</v>
      </c>
      <c r="E47" s="110" t="inlineStr">
        <is>
          <t>艾精隆110克瓜子</t>
        </is>
      </c>
      <c r="F47" s="110" t="inlineStr">
        <is>
          <t>其他公司</t>
        </is>
      </c>
      <c r="G47" s="110" t="inlineStr">
        <is>
          <t>艾精隆110克瓜子</t>
        </is>
      </c>
      <c r="H47" s="110" t="inlineStr">
        <is>
          <t>1*40</t>
        </is>
      </c>
      <c r="I47" s="108" t="n">
        <v>40</v>
      </c>
      <c r="J47" s="111" t="n">
        <v>128</v>
      </c>
      <c r="K47" s="111" t="n"/>
      <c r="L47" s="112" t="n"/>
      <c r="M47" s="111" t="n"/>
      <c r="N47" s="113">
        <f>IF(N(L47)=0,"",L47*N(M47))</f>
      </c>
      <c r="P47" s="109">
        <f>IF(Q47="","",ROW()-4)</f>
      </c>
      <c r="Q47" s="110" t="n"/>
      <c r="R47" s="114" t="n"/>
      <c r="S47" s="110" t="n"/>
      <c r="T47" s="85" t="n"/>
      <c r="AH47" s="109">
        <f>IF(AI47="","",ROW()-4)</f>
      </c>
      <c r="AI47" s="110" t="n"/>
      <c r="AJ47" s="110" t="n"/>
      <c r="AK47" s="115" t="n"/>
    </row>
    <row r="48">
      <c r="D48" s="109">
        <f>IF(E48="","",ROW()-4)</f>
        <v>44</v>
      </c>
      <c r="E48" s="110" t="inlineStr">
        <is>
          <t>艾精隆多味葵</t>
        </is>
      </c>
      <c r="F48" s="110" t="inlineStr">
        <is>
          <t>其他公司</t>
        </is>
      </c>
      <c r="G48" s="110" t="inlineStr">
        <is>
          <t>艾精隆多味葵</t>
        </is>
      </c>
      <c r="H48" s="110" t="inlineStr">
        <is>
          <t>1*10</t>
        </is>
      </c>
      <c r="I48" s="108" t="n">
        <v>10</v>
      </c>
      <c r="J48" s="111" t="n"/>
      <c r="K48" s="111" t="n"/>
      <c r="L48" s="112" t="n"/>
      <c r="M48" s="111" t="n"/>
      <c r="N48" s="113">
        <f>IF(N(L48)=0,"",L48*N(M48))</f>
      </c>
      <c r="P48" s="109">
        <f>IF(Q48="","",ROW()-4)</f>
      </c>
      <c r="Q48" s="110" t="n"/>
      <c r="R48" s="114" t="n"/>
      <c r="S48" s="110" t="n"/>
      <c r="T48" s="85" t="n"/>
      <c r="AH48" s="109">
        <f>IF(AI48="","",ROW()-4)</f>
      </c>
      <c r="AI48" s="110" t="n"/>
      <c r="AJ48" s="110" t="n"/>
      <c r="AK48" s="115" t="n"/>
    </row>
    <row r="49">
      <c r="D49" s="109">
        <f>IF(E49="","",ROW()-4)</f>
      </c>
      <c r="E49" s="110" t="n"/>
      <c r="F49" s="110" t="n"/>
      <c r="G49" s="110" t="n"/>
      <c r="H49" s="110" t="n"/>
      <c r="I49" s="108" t="n"/>
      <c r="J49" s="111" t="n"/>
      <c r="K49" s="111" t="n"/>
      <c r="L49" s="112" t="n"/>
      <c r="M49" s="111" t="n"/>
      <c r="N49" s="113">
        <f>IF(N(L49)=0,"",L49*N(M49))</f>
      </c>
      <c r="P49" s="109">
        <f>IF(Q49="","",ROW()-4)</f>
      </c>
      <c r="Q49" s="110" t="n"/>
      <c r="R49" s="114" t="n"/>
      <c r="S49" s="110" t="n"/>
      <c r="T49" s="85" t="n"/>
      <c r="AH49" s="109">
        <f>IF(AI49="","",ROW()-4)</f>
      </c>
      <c r="AI49" s="110" t="n"/>
      <c r="AJ49" s="110" t="n"/>
      <c r="AK49" s="115" t="n"/>
    </row>
    <row r="50">
      <c r="D50" s="109">
        <f>IF(E50="","",ROW()-4)</f>
      </c>
      <c r="E50" s="110" t="n"/>
      <c r="F50" s="110" t="n"/>
      <c r="G50" s="110" t="n"/>
      <c r="H50" s="110" t="n"/>
      <c r="I50" s="108" t="n"/>
      <c r="J50" s="111" t="n"/>
      <c r="K50" s="111" t="n"/>
      <c r="L50" s="112" t="n"/>
      <c r="M50" s="111" t="n"/>
      <c r="N50" s="113">
        <f>IF(N(L50)=0,"",L50*N(M50))</f>
      </c>
      <c r="P50" s="109">
        <f>IF(Q50="","",ROW()-4)</f>
      </c>
      <c r="Q50" s="110" t="n"/>
      <c r="R50" s="114" t="n"/>
      <c r="S50" s="110" t="n"/>
      <c r="T50" s="85" t="n"/>
      <c r="AH50" s="109">
        <f>IF(AI50="","",ROW()-4)</f>
      </c>
      <c r="AI50" s="110" t="n"/>
      <c r="AJ50" s="110" t="n"/>
      <c r="AK50" s="115" t="n"/>
    </row>
    <row r="51">
      <c r="D51" s="109">
        <f>IF(E51="","",ROW()-4)</f>
      </c>
      <c r="E51" s="110" t="n"/>
      <c r="F51" s="110" t="n"/>
      <c r="G51" s="110" t="n"/>
      <c r="H51" s="110" t="n"/>
      <c r="I51" s="108" t="n"/>
      <c r="J51" s="111" t="n"/>
      <c r="K51" s="111" t="n"/>
      <c r="L51" s="112" t="n"/>
      <c r="M51" s="111" t="n"/>
      <c r="N51" s="113">
        <f>IF(N(L51)=0,"",L51*N(M51))</f>
      </c>
      <c r="P51" s="109">
        <f>IF(Q51="","",ROW()-4)</f>
      </c>
      <c r="Q51" s="110" t="n"/>
      <c r="R51" s="114" t="n"/>
      <c r="S51" s="110" t="n"/>
      <c r="T51" s="85" t="n"/>
      <c r="AH51" s="109">
        <f>IF(AI51="","",ROW()-4)</f>
      </c>
      <c r="AI51" s="110" t="n"/>
      <c r="AJ51" s="110" t="n"/>
      <c r="AK51" s="115" t="n"/>
    </row>
    <row r="52">
      <c r="D52" s="109">
        <f>IF(E52="","",ROW()-4)</f>
      </c>
      <c r="E52" s="110" t="n"/>
      <c r="F52" s="110" t="n"/>
      <c r="G52" s="110" t="n"/>
      <c r="H52" s="110" t="n"/>
      <c r="I52" s="108" t="n"/>
      <c r="J52" s="111" t="n"/>
      <c r="K52" s="111" t="n"/>
      <c r="L52" s="112" t="n"/>
      <c r="M52" s="111" t="n"/>
      <c r="N52" s="113">
        <f>IF(N(L52)=0,"",L52*N(M52))</f>
      </c>
      <c r="P52" s="109">
        <f>IF(Q52="","",ROW()-4)</f>
      </c>
      <c r="Q52" s="110" t="n"/>
      <c r="R52" s="114" t="n"/>
      <c r="S52" s="110" t="n"/>
      <c r="T52" s="85" t="n"/>
      <c r="AH52" s="109">
        <f>IF(AI52="","",ROW()-4)</f>
      </c>
      <c r="AI52" s="110" t="n"/>
      <c r="AJ52" s="110" t="n"/>
      <c r="AK52" s="115" t="n"/>
    </row>
    <row r="53">
      <c r="D53" s="109">
        <f>IF(E53="","",ROW()-4)</f>
      </c>
      <c r="E53" s="110" t="n"/>
      <c r="F53" s="110" t="n"/>
      <c r="G53" s="110" t="n"/>
      <c r="H53" s="110" t="n"/>
      <c r="I53" s="108" t="n"/>
      <c r="J53" s="111" t="n"/>
      <c r="K53" s="111" t="n"/>
      <c r="L53" s="112" t="n"/>
      <c r="M53" s="111" t="n"/>
      <c r="N53" s="113">
        <f>IF(N(L53)=0,"",L53*N(M53))</f>
      </c>
      <c r="P53" s="109">
        <f>IF(Q53="","",ROW()-4)</f>
      </c>
      <c r="Q53" s="110" t="n"/>
      <c r="R53" s="114" t="n"/>
      <c r="S53" s="110" t="n"/>
      <c r="T53" s="85" t="n"/>
      <c r="AH53" s="109">
        <f>IF(AI53="","",ROW()-4)</f>
      </c>
      <c r="AI53" s="110" t="n"/>
      <c r="AJ53" s="110" t="n"/>
      <c r="AK53" s="115" t="n"/>
    </row>
    <row r="54">
      <c r="D54" s="109">
        <f>IF(E54="","",ROW()-4)</f>
      </c>
      <c r="E54" s="110" t="n"/>
      <c r="F54" s="110" t="n"/>
      <c r="G54" s="110" t="n"/>
      <c r="H54" s="110" t="n"/>
      <c r="I54" s="108" t="n"/>
      <c r="J54" s="111" t="n"/>
      <c r="K54" s="111" t="n"/>
      <c r="L54" s="112" t="n"/>
      <c r="M54" s="111" t="n"/>
      <c r="N54" s="113">
        <f>IF(N(L54)=0,"",L54*N(M54))</f>
      </c>
      <c r="P54" s="109">
        <f>IF(Q54="","",ROW()-4)</f>
      </c>
      <c r="Q54" s="110" t="n"/>
      <c r="R54" s="114" t="n"/>
      <c r="S54" s="110" t="n"/>
      <c r="T54" s="85" t="n"/>
      <c r="AH54" s="109">
        <f>IF(AI54="","",ROW()-4)</f>
      </c>
      <c r="AI54" s="110" t="n"/>
      <c r="AJ54" s="110" t="n"/>
      <c r="AK54" s="115" t="n"/>
    </row>
    <row r="55">
      <c r="D55" s="109">
        <f>IF(E55="","",ROW()-4)</f>
      </c>
      <c r="E55" s="110" t="n"/>
      <c r="F55" s="110" t="n"/>
      <c r="G55" s="110" t="n"/>
      <c r="H55" s="110" t="n"/>
      <c r="I55" s="108" t="n"/>
      <c r="J55" s="111" t="n"/>
      <c r="K55" s="111" t="n"/>
      <c r="L55" s="112" t="n"/>
      <c r="M55" s="111" t="n"/>
      <c r="N55" s="113">
        <f>IF(N(L55)=0,"",L55*N(M55))</f>
      </c>
    </row>
    <row r="56">
      <c r="D56" s="109">
        <f>IF(E56="","",ROW()-4)</f>
      </c>
      <c r="E56" s="110" t="n"/>
      <c r="F56" s="110" t="n"/>
      <c r="G56" s="110" t="n"/>
      <c r="H56" s="110" t="n"/>
      <c r="I56" s="108" t="n"/>
      <c r="J56" s="111" t="n"/>
      <c r="K56" s="111" t="n"/>
      <c r="L56" s="112" t="n"/>
      <c r="M56" s="111" t="n"/>
      <c r="N56" s="113">
        <f>IF(N(L56)=0,"",L56*N(M56))</f>
      </c>
    </row>
    <row r="57">
      <c r="D57" s="109">
        <f>IF(E57="","",ROW()-4)</f>
      </c>
      <c r="E57" s="110" t="n"/>
      <c r="F57" s="110" t="n"/>
      <c r="G57" s="110" t="n"/>
      <c r="H57" s="110" t="n"/>
      <c r="I57" s="108" t="n"/>
      <c r="J57" s="111" t="n"/>
      <c r="K57" s="111" t="n"/>
      <c r="L57" s="112" t="n"/>
      <c r="M57" s="111" t="n"/>
      <c r="N57" s="113">
        <f>IF(N(L57)=0,"",L57*N(M57))</f>
      </c>
    </row>
    <row r="58">
      <c r="D58" s="109">
        <f>IF(E58="","",ROW()-4)</f>
      </c>
      <c r="E58" s="110" t="n"/>
      <c r="F58" s="110" t="n"/>
      <c r="G58" s="110" t="n"/>
      <c r="H58" s="110" t="n"/>
      <c r="I58" s="108" t="n"/>
      <c r="J58" s="111" t="n"/>
      <c r="K58" s="111" t="n"/>
      <c r="L58" s="112" t="n"/>
      <c r="M58" s="111" t="n"/>
      <c r="N58" s="113">
        <f>IF(N(L58)=0,"",L58*N(M58))</f>
      </c>
    </row>
    <row r="59">
      <c r="D59" s="109">
        <f>IF(E59="","",ROW()-4)</f>
      </c>
      <c r="E59" s="110" t="n"/>
      <c r="F59" s="110" t="n"/>
      <c r="G59" s="110" t="n"/>
      <c r="H59" s="110" t="n"/>
      <c r="I59" s="108" t="n"/>
      <c r="J59" s="111" t="n"/>
      <c r="K59" s="111" t="n"/>
      <c r="L59" s="112" t="n"/>
      <c r="M59" s="111" t="n"/>
      <c r="N59" s="113">
        <f>IF(N(L59)=0,"",L59*N(M59))</f>
      </c>
    </row>
    <row r="60">
      <c r="D60" s="109">
        <f>IF(E60="","",ROW()-4)</f>
      </c>
      <c r="E60" s="110" t="n"/>
      <c r="F60" s="110" t="n"/>
      <c r="G60" s="110" t="n"/>
      <c r="H60" s="110" t="n"/>
      <c r="I60" s="108" t="n"/>
      <c r="J60" s="111" t="n"/>
      <c r="K60" s="111" t="n"/>
      <c r="L60" s="112" t="n"/>
      <c r="M60" s="111" t="n"/>
      <c r="N60" s="113">
        <f>IF(N(L60)=0,"",L60*N(M60))</f>
      </c>
    </row>
    <row r="61">
      <c r="D61" s="109">
        <f>IF(E61="","",ROW()-4)</f>
      </c>
      <c r="E61" s="110" t="n"/>
      <c r="F61" s="110" t="n"/>
      <c r="G61" s="110" t="n"/>
      <c r="H61" s="110" t="n"/>
      <c r="I61" s="108" t="n"/>
      <c r="J61" s="111" t="n"/>
      <c r="K61" s="111" t="n"/>
      <c r="L61" s="112" t="n"/>
      <c r="M61" s="111" t="n"/>
      <c r="N61" s="113">
        <f>IF(N(L61)=0,"",L61*N(M61))</f>
      </c>
    </row>
    <row r="62">
      <c r="D62" s="109">
        <f>IF(E62="","",ROW()-4)</f>
      </c>
      <c r="E62" s="110" t="n"/>
      <c r="F62" s="110" t="n"/>
      <c r="G62" s="110" t="n"/>
      <c r="H62" s="110" t="n"/>
      <c r="I62" s="108" t="n"/>
      <c r="J62" s="111" t="n"/>
      <c r="K62" s="111" t="n"/>
      <c r="L62" s="112" t="n"/>
      <c r="M62" s="111" t="n"/>
      <c r="N62" s="113">
        <f>IF(N(L62)=0,"",L62*N(M62))</f>
      </c>
    </row>
    <row r="63">
      <c r="D63" s="109">
        <f>IF(E63="","",ROW()-4)</f>
      </c>
      <c r="E63" s="110" t="n"/>
      <c r="F63" s="110" t="n"/>
      <c r="G63" s="110" t="n"/>
      <c r="H63" s="110" t="n"/>
      <c r="I63" s="108" t="n"/>
      <c r="J63" s="111" t="n"/>
      <c r="K63" s="111" t="n"/>
      <c r="L63" s="112" t="n"/>
      <c r="M63" s="111" t="n"/>
      <c r="N63" s="113">
        <f>IF(N(L63)=0,"",L63*N(M63))</f>
      </c>
    </row>
    <row r="64">
      <c r="D64" s="109">
        <f>IF(E64="","",ROW()-4)</f>
      </c>
      <c r="E64" s="110" t="n"/>
      <c r="F64" s="110" t="n"/>
      <c r="G64" s="110" t="n"/>
      <c r="H64" s="110" t="n"/>
      <c r="I64" s="108" t="n"/>
      <c r="J64" s="111" t="n"/>
      <c r="K64" s="111" t="n"/>
      <c r="L64" s="112" t="n"/>
      <c r="M64" s="111" t="n"/>
      <c r="N64" s="113">
        <f>IF(N(L64)=0,"",L64*N(M64))</f>
      </c>
    </row>
    <row r="65">
      <c r="D65" s="109">
        <f>IF(E65="","",ROW()-4)</f>
      </c>
      <c r="E65" s="110" t="n"/>
      <c r="F65" s="110" t="n"/>
      <c r="G65" s="110" t="n"/>
      <c r="H65" s="110" t="n"/>
      <c r="I65" s="108" t="n"/>
      <c r="J65" s="111" t="n"/>
      <c r="K65" s="111" t="n"/>
      <c r="L65" s="112" t="n"/>
      <c r="M65" s="111" t="n"/>
      <c r="N65" s="113">
        <f>IF(N(L65)=0,"",L65*N(M65))</f>
      </c>
    </row>
    <row r="66">
      <c r="D66" s="109">
        <f>IF(E66="","",ROW()-4)</f>
      </c>
      <c r="E66" s="110" t="n"/>
      <c r="F66" s="110" t="n"/>
      <c r="G66" s="110" t="n"/>
      <c r="H66" s="110" t="n"/>
      <c r="I66" s="108" t="n"/>
      <c r="J66" s="111" t="n"/>
      <c r="K66" s="111" t="n"/>
      <c r="L66" s="112" t="n"/>
      <c r="M66" s="111" t="n"/>
      <c r="N66" s="113">
        <f>IF(N(L66)=0,"",L66*N(M66))</f>
      </c>
    </row>
    <row r="67">
      <c r="D67" s="109">
        <f>IF(E67="","",ROW()-4)</f>
      </c>
      <c r="E67" s="110" t="n"/>
      <c r="F67" s="110" t="n"/>
      <c r="G67" s="110" t="n"/>
      <c r="H67" s="110" t="n"/>
      <c r="I67" s="108" t="n"/>
      <c r="J67" s="111" t="n"/>
      <c r="K67" s="111" t="n"/>
      <c r="L67" s="112" t="n"/>
      <c r="M67" s="111" t="n"/>
      <c r="N67" s="113">
        <f>IF(N(L67)=0,"",L67*N(M67))</f>
      </c>
    </row>
    <row r="68">
      <c r="D68" s="109">
        <f>IF(E68="","",ROW()-4)</f>
      </c>
      <c r="E68" s="110" t="n"/>
      <c r="F68" s="110" t="n"/>
      <c r="G68" s="110" t="n"/>
      <c r="H68" s="110" t="n"/>
      <c r="I68" s="108" t="n"/>
      <c r="J68" s="111" t="n"/>
      <c r="K68" s="111" t="n"/>
      <c r="L68" s="112" t="n"/>
      <c r="M68" s="111" t="n"/>
      <c r="N68" s="113">
        <f>IF(N(L68)=0,"",L68*N(M68))</f>
      </c>
    </row>
    <row r="69">
      <c r="D69" s="109">
        <f>IF(E69="","",ROW()-4)</f>
      </c>
      <c r="E69" s="110" t="n"/>
      <c r="F69" s="110" t="n"/>
      <c r="G69" s="110" t="n"/>
      <c r="H69" s="110" t="n"/>
      <c r="I69" s="108" t="n"/>
      <c r="J69" s="111" t="n"/>
      <c r="K69" s="111" t="n"/>
      <c r="L69" s="112" t="n"/>
      <c r="M69" s="111" t="n"/>
      <c r="N69" s="113">
        <f>IF(N(L69)=0,"",L69*N(M69))</f>
      </c>
    </row>
    <row r="70">
      <c r="D70" s="109">
        <f>IF(E70="","",ROW()-4)</f>
      </c>
      <c r="E70" s="110" t="n"/>
      <c r="F70" s="110" t="n"/>
      <c r="G70" s="110" t="n"/>
      <c r="H70" s="110" t="n"/>
      <c r="I70" s="108" t="n"/>
      <c r="J70" s="111" t="n"/>
      <c r="K70" s="111" t="n"/>
      <c r="L70" s="112" t="n"/>
      <c r="M70" s="111" t="n"/>
      <c r="N70" s="113">
        <f>IF(N(L70)=0,"",L70*N(M70))</f>
      </c>
    </row>
    <row r="71">
      <c r="D71" s="109">
        <f>IF(E71="","",ROW()-4)</f>
      </c>
      <c r="E71" s="110" t="n"/>
      <c r="F71" s="110" t="n"/>
      <c r="G71" s="110" t="n"/>
      <c r="H71" s="110" t="n"/>
      <c r="I71" s="108" t="n"/>
      <c r="J71" s="111" t="n"/>
      <c r="K71" s="111" t="n"/>
      <c r="L71" s="112" t="n"/>
      <c r="M71" s="111" t="n"/>
      <c r="N71" s="113">
        <f>IF(N(L71)=0,"",L71*N(M71))</f>
      </c>
    </row>
    <row r="72">
      <c r="D72" s="109">
        <f>IF(E72="","",ROW()-4)</f>
      </c>
      <c r="E72" s="110" t="n"/>
      <c r="F72" s="110" t="n"/>
      <c r="G72" s="110" t="n"/>
      <c r="H72" s="110" t="n"/>
      <c r="I72" s="108" t="n"/>
      <c r="J72" s="111" t="n"/>
      <c r="K72" s="111" t="n"/>
      <c r="L72" s="112" t="n"/>
      <c r="M72" s="111" t="n"/>
      <c r="N72" s="113">
        <f>IF(N(L72)=0,"",L72*N(M72))</f>
      </c>
    </row>
    <row r="73">
      <c r="D73" s="109">
        <f>IF(E73="","",ROW()-4)</f>
      </c>
      <c r="E73" s="110" t="n"/>
      <c r="F73" s="110" t="n"/>
      <c r="G73" s="110" t="n"/>
      <c r="H73" s="110" t="n"/>
      <c r="I73" s="108" t="n"/>
      <c r="J73" s="111" t="n"/>
      <c r="K73" s="111" t="n"/>
      <c r="L73" s="112" t="n"/>
      <c r="M73" s="111" t="n"/>
      <c r="N73" s="113">
        <f>IF(N(L73)=0,"",L73*N(M73))</f>
      </c>
    </row>
    <row r="74">
      <c r="D74" s="109">
        <f>IF(E74="","",ROW()-4)</f>
      </c>
      <c r="E74" s="110" t="n"/>
      <c r="F74" s="110" t="n"/>
      <c r="G74" s="110" t="n"/>
      <c r="H74" s="110" t="n"/>
      <c r="I74" s="108" t="n"/>
      <c r="J74" s="111" t="n"/>
      <c r="K74" s="111" t="n"/>
      <c r="L74" s="112" t="n"/>
      <c r="M74" s="111" t="n"/>
      <c r="N74" s="113">
        <f>IF(N(L74)=0,"",L74*N(M74))</f>
      </c>
    </row>
    <row r="75">
      <c r="D75" s="109">
        <f>IF(E75="","",ROW()-4)</f>
      </c>
      <c r="E75" s="110" t="n"/>
      <c r="F75" s="110" t="n"/>
      <c r="G75" s="110" t="n"/>
      <c r="H75" s="110" t="n"/>
      <c r="I75" s="108" t="n"/>
      <c r="J75" s="111" t="n"/>
      <c r="K75" s="111" t="n"/>
      <c r="L75" s="112" t="n"/>
      <c r="M75" s="111" t="n"/>
      <c r="N75" s="113">
        <f>IF(N(L75)=0,"",L75*N(M75))</f>
      </c>
    </row>
    <row r="76">
      <c r="D76" s="109">
        <f>IF(E76="","",ROW()-4)</f>
      </c>
      <c r="E76" s="110" t="n"/>
      <c r="F76" s="110" t="n"/>
      <c r="G76" s="110" t="n"/>
      <c r="H76" s="110" t="n"/>
      <c r="I76" s="108" t="n"/>
      <c r="J76" s="111" t="n"/>
      <c r="K76" s="111" t="n"/>
      <c r="L76" s="112" t="n"/>
      <c r="M76" s="111" t="n"/>
      <c r="N76" s="113">
        <f>IF(N(L76)=0,"",L76*N(M76))</f>
      </c>
    </row>
    <row r="77">
      <c r="D77" s="109">
        <f>IF(E77="","",ROW()-4)</f>
      </c>
      <c r="E77" s="110" t="n"/>
      <c r="F77" s="110" t="n"/>
      <c r="G77" s="110" t="n"/>
      <c r="H77" s="110" t="n"/>
      <c r="I77" s="108" t="n"/>
      <c r="J77" s="111" t="n"/>
      <c r="K77" s="111" t="n"/>
      <c r="L77" s="112" t="n"/>
      <c r="M77" s="111" t="n"/>
      <c r="N77" s="113">
        <f>IF(N(L77)=0,"",L77*N(M77))</f>
      </c>
    </row>
    <row r="78">
      <c r="D78" s="109">
        <f>IF(E78="","",ROW()-4)</f>
      </c>
      <c r="E78" s="110" t="n"/>
      <c r="F78" s="110" t="n"/>
      <c r="G78" s="110" t="n"/>
      <c r="H78" s="110" t="n"/>
      <c r="I78" s="108" t="n"/>
      <c r="J78" s="111" t="n"/>
      <c r="K78" s="111" t="n"/>
      <c r="L78" s="112" t="n"/>
      <c r="M78" s="111" t="n"/>
      <c r="N78" s="113">
        <f>IF(N(L78)=0,"",L78*N(M78))</f>
      </c>
    </row>
    <row r="79">
      <c r="D79" s="109">
        <f>IF(E79="","",ROW()-4)</f>
      </c>
      <c r="E79" s="110" t="n"/>
      <c r="F79" s="110" t="n"/>
      <c r="G79" s="110" t="n"/>
      <c r="H79" s="110" t="n"/>
      <c r="I79" s="108" t="n"/>
      <c r="J79" s="111" t="n"/>
      <c r="K79" s="111" t="n"/>
      <c r="L79" s="112" t="n"/>
      <c r="M79" s="111" t="n"/>
      <c r="N79" s="113">
        <f>IF(N(L79)=0,"",L79*N(M79))</f>
      </c>
    </row>
    <row r="80">
      <c r="D80" s="109">
        <f>IF(E80="","",ROW()-4)</f>
      </c>
      <c r="E80" s="110" t="n"/>
      <c r="F80" s="110" t="n"/>
      <c r="G80" s="110" t="n"/>
      <c r="H80" s="110" t="n"/>
      <c r="I80" s="108" t="n"/>
      <c r="J80" s="111" t="n"/>
      <c r="K80" s="111" t="n"/>
      <c r="L80" s="112" t="n"/>
      <c r="M80" s="111" t="n"/>
      <c r="N80" s="113">
        <f>IF(N(L80)=0,"",L80*N(M80))</f>
      </c>
    </row>
    <row r="81">
      <c r="D81" s="109">
        <f>IF(E81="","",ROW()-4)</f>
      </c>
      <c r="E81" s="110" t="n"/>
      <c r="F81" s="110" t="n"/>
      <c r="G81" s="110" t="n"/>
      <c r="H81" s="110" t="n"/>
      <c r="I81" s="108" t="n"/>
      <c r="J81" s="111" t="n"/>
      <c r="K81" s="111" t="n"/>
      <c r="L81" s="112" t="n"/>
      <c r="M81" s="111" t="n"/>
      <c r="N81" s="113">
        <f>IF(N(L81)=0,"",L81*N(M81))</f>
      </c>
    </row>
    <row r="82">
      <c r="D82" s="109">
        <f>IF(E82="","",ROW()-4)</f>
      </c>
      <c r="E82" s="110" t="n"/>
      <c r="F82" s="110" t="n"/>
      <c r="G82" s="110" t="n"/>
      <c r="H82" s="110" t="n"/>
      <c r="I82" s="108" t="n"/>
      <c r="J82" s="111" t="n"/>
      <c r="K82" s="111" t="n"/>
      <c r="L82" s="112" t="n"/>
      <c r="M82" s="111" t="n"/>
      <c r="N82" s="113">
        <f>IF(N(L82)=0,"",L82*N(M82))</f>
      </c>
    </row>
    <row r="83">
      <c r="D83" s="109">
        <f>IF(E83="","",ROW()-4)</f>
      </c>
      <c r="E83" s="110" t="n"/>
      <c r="F83" s="110" t="n"/>
      <c r="G83" s="110" t="n"/>
      <c r="H83" s="110" t="n"/>
      <c r="I83" s="108" t="n"/>
      <c r="J83" s="111" t="n"/>
      <c r="K83" s="111" t="n"/>
      <c r="L83" s="112" t="n"/>
      <c r="M83" s="111" t="n"/>
      <c r="N83" s="113">
        <f>IF(N(L83)=0,"",L83*N(M83))</f>
      </c>
    </row>
    <row r="84">
      <c r="D84" s="109">
        <f>IF(E84="","",ROW()-4)</f>
      </c>
      <c r="E84" s="110" t="n"/>
      <c r="F84" s="110" t="n"/>
      <c r="G84" s="110" t="n"/>
      <c r="H84" s="110" t="n"/>
      <c r="I84" s="108" t="n"/>
      <c r="J84" s="111" t="n"/>
      <c r="K84" s="111" t="n"/>
      <c r="L84" s="112" t="n"/>
      <c r="M84" s="111" t="n"/>
      <c r="N84" s="113">
        <f>IF(N(L84)=0,"",L84*N(M84))</f>
      </c>
    </row>
    <row r="85">
      <c r="D85" s="109">
        <f>IF(E85="","",ROW()-4)</f>
      </c>
      <c r="E85" s="110" t="n"/>
      <c r="F85" s="110" t="n"/>
      <c r="G85" s="110" t="n"/>
      <c r="H85" s="110" t="n"/>
      <c r="I85" s="108" t="n"/>
      <c r="J85" s="111" t="n"/>
      <c r="K85" s="111" t="n"/>
      <c r="L85" s="112" t="n"/>
      <c r="M85" s="111" t="n"/>
      <c r="N85" s="113">
        <f>IF(N(L85)=0,"",L85*N(M85))</f>
      </c>
    </row>
    <row r="86">
      <c r="D86" s="109">
        <f>IF(E86="","",ROW()-4)</f>
      </c>
      <c r="E86" s="110" t="n"/>
      <c r="F86" s="110" t="n"/>
      <c r="G86" s="110" t="n"/>
      <c r="H86" s="110" t="n"/>
      <c r="I86" s="108" t="n"/>
      <c r="J86" s="111" t="n"/>
      <c r="K86" s="111" t="n"/>
      <c r="L86" s="112" t="n"/>
      <c r="M86" s="111" t="n"/>
      <c r="N86" s="113">
        <f>IF(N(L86)=0,"",L86*N(M86))</f>
      </c>
    </row>
    <row r="87">
      <c r="D87" s="109">
        <f>IF(E87="","",ROW()-4)</f>
      </c>
      <c r="E87" s="110" t="n"/>
      <c r="F87" s="110" t="n"/>
      <c r="G87" s="110" t="n"/>
      <c r="H87" s="110" t="n"/>
      <c r="I87" s="108" t="n"/>
      <c r="J87" s="111" t="n"/>
      <c r="K87" s="111" t="n"/>
      <c r="L87" s="112" t="n"/>
      <c r="M87" s="111" t="n"/>
      <c r="N87" s="113">
        <f>IF(N(L87)=0,"",L87*N(M87))</f>
      </c>
    </row>
    <row r="88">
      <c r="D88" s="109">
        <f>IF(E88="","",ROW()-4)</f>
      </c>
      <c r="E88" s="110" t="n"/>
      <c r="F88" s="110" t="n"/>
      <c r="G88" s="110" t="n"/>
      <c r="H88" s="110" t="n"/>
      <c r="I88" s="108" t="n"/>
      <c r="J88" s="111" t="n"/>
      <c r="K88" s="111" t="n"/>
      <c r="L88" s="112" t="n"/>
      <c r="M88" s="111" t="n"/>
      <c r="N88" s="113">
        <f>IF(N(L88)=0,"",L88*N(M88))</f>
      </c>
    </row>
    <row r="89">
      <c r="D89" s="109">
        <f>IF(E89="","",ROW()-4)</f>
      </c>
      <c r="E89" s="110" t="n"/>
      <c r="F89" s="110" t="n"/>
      <c r="G89" s="110" t="n"/>
      <c r="H89" s="110" t="n"/>
      <c r="I89" s="108" t="n"/>
      <c r="J89" s="111" t="n"/>
      <c r="K89" s="111" t="n"/>
      <c r="L89" s="112" t="n"/>
      <c r="M89" s="111" t="n"/>
      <c r="N89" s="113">
        <f>IF(N(L89)=0,"",L89*N(M89))</f>
      </c>
    </row>
    <row r="90">
      <c r="D90" s="109">
        <f>IF(E90="","",ROW()-4)</f>
      </c>
      <c r="E90" s="110" t="n"/>
      <c r="F90" s="110" t="n"/>
      <c r="G90" s="110" t="n"/>
      <c r="H90" s="110" t="n"/>
      <c r="I90" s="108" t="n"/>
      <c r="J90" s="111" t="n"/>
      <c r="K90" s="111" t="n"/>
      <c r="L90" s="112" t="n"/>
      <c r="M90" s="111" t="n"/>
      <c r="N90" s="113">
        <f>IF(N(L90)=0,"",L90*N(M90))</f>
      </c>
    </row>
    <row r="91">
      <c r="D91" s="109">
        <f>IF(E91="","",ROW()-4)</f>
      </c>
      <c r="E91" s="110" t="n"/>
      <c r="F91" s="110" t="n"/>
      <c r="G91" s="110" t="n"/>
      <c r="H91" s="110" t="n"/>
      <c r="I91" s="108" t="n"/>
      <c r="J91" s="111" t="n"/>
      <c r="K91" s="111" t="n"/>
      <c r="L91" s="112" t="n"/>
      <c r="M91" s="111" t="n"/>
      <c r="N91" s="113">
        <f>IF(N(L91)=0,"",L91*N(M91))</f>
      </c>
    </row>
    <row r="92">
      <c r="D92" s="109">
        <f>IF(E92="","",ROW()-4)</f>
      </c>
      <c r="E92" s="110" t="n"/>
      <c r="F92" s="110" t="n"/>
      <c r="G92" s="110" t="n"/>
      <c r="H92" s="110" t="n"/>
      <c r="I92" s="108" t="n"/>
      <c r="J92" s="111" t="n"/>
      <c r="K92" s="111" t="n"/>
      <c r="L92" s="112" t="n"/>
      <c r="M92" s="111" t="n"/>
      <c r="N92" s="113">
        <f>IF(N(L92)=0,"",L92*N(M92))</f>
      </c>
    </row>
    <row r="93">
      <c r="D93" s="109">
        <f>IF(E93="","",ROW()-4)</f>
      </c>
      <c r="E93" s="110" t="n"/>
      <c r="F93" s="110" t="n"/>
      <c r="G93" s="110" t="n"/>
      <c r="H93" s="110" t="n"/>
      <c r="I93" s="108" t="n"/>
      <c r="J93" s="111" t="n"/>
      <c r="K93" s="111" t="n"/>
      <c r="L93" s="112" t="n"/>
      <c r="M93" s="111" t="n"/>
      <c r="N93" s="113">
        <f>IF(N(L93)=0,"",L93*N(M93))</f>
      </c>
    </row>
    <row r="94">
      <c r="D94" s="109">
        <f>IF(E94="","",ROW()-4)</f>
      </c>
      <c r="E94" s="110" t="n"/>
      <c r="F94" s="110" t="n"/>
      <c r="G94" s="110" t="n"/>
      <c r="H94" s="110" t="n"/>
      <c r="I94" s="108" t="n"/>
      <c r="J94" s="111" t="n"/>
      <c r="K94" s="111" t="n"/>
      <c r="L94" s="112" t="n"/>
      <c r="M94" s="111" t="n"/>
      <c r="N94" s="113">
        <f>IF(N(L94)=0,"",L94*N(M94))</f>
      </c>
    </row>
    <row r="95">
      <c r="D95" s="109">
        <f>IF(E95="","",ROW()-4)</f>
      </c>
      <c r="E95" s="110" t="n"/>
      <c r="F95" s="110" t="n"/>
      <c r="G95" s="110" t="n"/>
      <c r="H95" s="110" t="n"/>
      <c r="I95" s="108" t="n"/>
      <c r="J95" s="111" t="n"/>
      <c r="K95" s="111" t="n"/>
      <c r="L95" s="112" t="n"/>
      <c r="M95" s="111" t="n"/>
      <c r="N95" s="113">
        <f>IF(N(L95)=0,"",L95*N(M95))</f>
      </c>
    </row>
    <row r="96">
      <c r="D96" s="109">
        <f>IF(E96="","",ROW()-4)</f>
      </c>
      <c r="E96" s="110" t="n"/>
      <c r="F96" s="110" t="n"/>
      <c r="G96" s="110" t="n"/>
      <c r="H96" s="110" t="n"/>
      <c r="I96" s="108" t="n"/>
      <c r="J96" s="111" t="n"/>
      <c r="K96" s="111" t="n"/>
      <c r="L96" s="112" t="n"/>
      <c r="M96" s="111" t="n"/>
      <c r="N96" s="113">
        <f>IF(N(L96)=0,"",L96*N(M96))</f>
      </c>
    </row>
    <row r="97">
      <c r="D97" s="109">
        <f>IF(E97="","",ROW()-4)</f>
      </c>
      <c r="E97" s="110" t="n"/>
      <c r="F97" s="110" t="n"/>
      <c r="G97" s="110" t="n"/>
      <c r="H97" s="110" t="n"/>
      <c r="I97" s="108" t="n"/>
      <c r="J97" s="111" t="n"/>
      <c r="K97" s="111" t="n"/>
      <c r="L97" s="112" t="n"/>
      <c r="M97" s="111" t="n"/>
      <c r="N97" s="113">
        <f>IF(N(L97)=0,"",L97*N(M97))</f>
      </c>
    </row>
    <row r="98">
      <c r="D98" s="109">
        <f>IF(E98="","",ROW()-4)</f>
      </c>
      <c r="E98" s="110" t="n"/>
      <c r="F98" s="110" t="n"/>
      <c r="G98" s="110" t="n"/>
      <c r="H98" s="110" t="n"/>
      <c r="I98" s="108" t="n"/>
      <c r="J98" s="111" t="n"/>
      <c r="K98" s="111" t="n"/>
      <c r="L98" s="112" t="n"/>
      <c r="M98" s="111" t="n"/>
      <c r="N98" s="113">
        <f>IF(N(L98)=0,"",L98*N(M98))</f>
      </c>
    </row>
    <row r="99">
      <c r="D99" s="109">
        <f>IF(E99="","",ROW()-4)</f>
      </c>
      <c r="E99" s="110" t="n"/>
      <c r="F99" s="110" t="n"/>
      <c r="G99" s="110" t="n"/>
      <c r="H99" s="110" t="n"/>
      <c r="I99" s="108" t="n"/>
      <c r="J99" s="111" t="n"/>
      <c r="K99" s="111" t="n"/>
      <c r="L99" s="112" t="n"/>
      <c r="M99" s="111" t="n"/>
      <c r="N99" s="113">
        <f>IF(N(L99)=0,"",L99*N(M99))</f>
      </c>
    </row>
    <row r="100">
      <c r="D100" s="109">
        <f>IF(E100="","",ROW()-4)</f>
      </c>
      <c r="E100" s="110" t="n"/>
      <c r="F100" s="110" t="n"/>
      <c r="G100" s="110" t="n"/>
      <c r="H100" s="110" t="n"/>
      <c r="I100" s="108" t="n"/>
      <c r="J100" s="111" t="n"/>
      <c r="K100" s="111" t="n"/>
      <c r="L100" s="112" t="n"/>
      <c r="M100" s="111" t="n"/>
      <c r="N100" s="113">
        <f>IF(N(L100)=0,"",L100*N(M100))</f>
      </c>
    </row>
    <row r="101">
      <c r="D101" s="109">
        <f>IF(E101="","",ROW()-4)</f>
      </c>
      <c r="E101" s="110" t="n"/>
      <c r="F101" s="110" t="n"/>
      <c r="G101" s="110" t="n"/>
      <c r="H101" s="110" t="n"/>
      <c r="I101" s="108" t="n"/>
      <c r="J101" s="111" t="n"/>
      <c r="K101" s="111" t="n"/>
      <c r="L101" s="112" t="n"/>
      <c r="M101" s="111" t="n"/>
      <c r="N101" s="113">
        <f>IF(N(L101)=0,"",L101*N(M101))</f>
      </c>
    </row>
    <row r="102">
      <c r="D102" s="109">
        <f>IF(E102="","",ROW()-4)</f>
      </c>
      <c r="E102" s="110" t="n"/>
      <c r="F102" s="110" t="n"/>
      <c r="G102" s="110" t="n"/>
      <c r="H102" s="110" t="n"/>
      <c r="I102" s="108" t="n"/>
      <c r="J102" s="111" t="n"/>
      <c r="K102" s="111" t="n"/>
      <c r="L102" s="112" t="n"/>
      <c r="M102" s="111" t="n"/>
      <c r="N102" s="113">
        <f>IF(N(L102)=0,"",L102*N(M102))</f>
      </c>
    </row>
    <row r="103">
      <c r="D103" s="109">
        <f>IF(E103="","",ROW()-4)</f>
      </c>
      <c r="E103" s="110" t="n"/>
      <c r="F103" s="110" t="n"/>
      <c r="G103" s="110" t="n"/>
      <c r="H103" s="110" t="n"/>
      <c r="I103" s="108" t="n"/>
      <c r="J103" s="111" t="n"/>
      <c r="K103" s="111" t="n"/>
      <c r="L103" s="112" t="n"/>
      <c r="M103" s="111" t="n"/>
      <c r="N103" s="113">
        <f>IF(N(L103)=0,"",L103*N(M103))</f>
      </c>
    </row>
    <row r="104">
      <c r="D104" s="109">
        <f>IF(E104="","",ROW()-4)</f>
      </c>
      <c r="E104" s="110" t="n"/>
      <c r="F104" s="110" t="n"/>
      <c r="G104" s="110" t="n"/>
      <c r="H104" s="110" t="n"/>
      <c r="I104" s="108" t="n"/>
      <c r="J104" s="111" t="n"/>
      <c r="K104" s="111" t="n"/>
      <c r="L104" s="112" t="n"/>
      <c r="M104" s="111" t="n"/>
      <c r="N104" s="113">
        <f>IF(N(L104)=0,"",L104*N(M104))</f>
      </c>
    </row>
  </sheetData>
  <mergeCells count="11">
    <mergeCell ref="V3:Z3"/>
    <mergeCell ref="AB3:AF3"/>
    <mergeCell ref="A2:AO2"/>
    <mergeCell ref="P3:T3"/>
    <mergeCell ref="A1:AO1"/>
    <mergeCell ref="AH3:AK3"/>
    <mergeCell ref="AM18:AO20"/>
    <mergeCell ref="A12:B12"/>
    <mergeCell ref="A3:B3"/>
    <mergeCell ref="AM3:AO3"/>
    <mergeCell ref="D3:N3"/>
  </mergeCells>
  <conditionalFormatting sqref="J5:J104">
    <cfRule type="expression" priority="1" dxfId="0">
      <formula>AND($E5&lt;&gt;"",$J5="")</formula>
    </cfRule>
  </conditionalFormatting>
  <dataValidations count="4">
    <dataValidation sqref="F5:F104" showDropDown="0" showInputMessage="0" showErrorMessage="1" allowBlank="1" errorTitle="不在清单里" error="请从下拉里选；清单里没有的，先到【基础资料】/【总览汇总】里登记" type="list" errorStyle="stop">
      <formula1>=供应商列表</formula1>
    </dataValidation>
    <dataValidation sqref="AD5:AD34" showDropDown="0" showInputMessage="0" showErrorMessage="1" allowBlank="1" errorTitle="不在清单里" error="请从下拉里选；清单里没有的，先到【基础资料】/【总览汇总】里登记" type="list" errorStyle="stop">
      <formula1>"收,支,收支"</formula1>
    </dataValidation>
    <dataValidation sqref="AE5:AE34" showDropDown="0" showInputMessage="0" showErrorMessage="1" allowBlank="1" errorTitle="不在清单里" error="请从下拉里选；清单里没有的，先到【基础资料】/【总览汇总】里登记" type="list" errorStyle="stop">
      <formula1>"应收,应付,费用,返利收入,其他收入,投入,提取,借款,转账,其他往来"</formula1>
    </dataValidation>
    <dataValidation sqref="AJ5:AJ54" showDropDown="0" showInputMessage="0" showErrorMessage="1" allowBlank="1" errorTitle="不在清单里" error="请从下拉里选；清单里没有的，先到【基础资料】/【总览汇总】里登记" type="list" errorStyle="stop">
      <formula1>"销售费用,管理费用,财务费用,税金及附加,营业外支出,所得税费用"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S3006"/>
  <sheetViews>
    <sheetView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71" min="1" max="1"/>
    <col width="11.5" customWidth="1" style="71" min="2" max="2"/>
    <col width="11" customWidth="1" style="71" min="3" max="3"/>
    <col width="11" customWidth="1" style="71" min="4" max="4"/>
    <col width="24" customWidth="1" style="71" min="5" max="5"/>
    <col width="13" customWidth="1" style="71" min="6" max="6"/>
    <col width="13" customWidth="1" style="71" min="7" max="7"/>
    <col width="15" customWidth="1" style="71" min="8" max="8"/>
    <col width="15" customWidth="1" style="71" min="9" max="9"/>
    <col width="17" customWidth="1" style="71" min="10" max="10"/>
    <col width="14" customWidth="1" style="71" min="11" max="11"/>
    <col width="12" customWidth="1" style="71" min="12" max="12"/>
    <col width="17" customWidth="1" style="71" min="13" max="13"/>
    <col width="26" customWidth="1" style="71" min="14" max="14"/>
    <col hidden="1" width="10" customWidth="1" style="71" min="15" max="15"/>
    <col hidden="1" width="8" customWidth="1" style="71" min="16" max="16"/>
    <col hidden="1" width="6" customWidth="1" style="71" min="17" max="17"/>
    <col hidden="1" width="6" customWidth="1" style="71" min="18" max="18"/>
    <col hidden="1" width="10" customWidth="1" style="71" min="19" max="19"/>
  </cols>
  <sheetData>
    <row r="1" ht="33" customHeight="1" s="71">
      <c r="A1" s="123" t="inlineStr">
        <is>
          <t>资金台帐（收支混合录入 · 即时余额）</t>
        </is>
      </c>
    </row>
    <row r="2" ht="40" customHeight="1" s="71">
      <c r="A2" s="73" t="inlineStr">
        <is>
          <t>💡 一笔一行，按发生顺序往下记：收钱填【收入金额】，付钱填【支出金额】，右边【账户余额】【总余额】自动滚出来。收客户的钱选【客户】、付厂家货款选【供应商】、花钱选【费用项目】——总览汇总、收付款明细、对账单、利润表都从这里自动取数。选了客户/供应商/费用项目的，【收支项目】可以不选，会自动认。</t>
        </is>
      </c>
    </row>
    <row r="3" ht="30" customHeight="1" s="71">
      <c r="A3" s="124" t="inlineStr">
        <is>
          <t>月份：</t>
        </is>
      </c>
      <c r="B3" s="125" t="n">
        <v>9</v>
      </c>
      <c r="C3" s="124" t="inlineStr">
        <is>
          <t>本月收入：</t>
        </is>
      </c>
      <c r="D3" s="126">
        <f>SUMIFS($F$7:$F$3006,$B$7:$B$3006,"&gt;="&amp;DATE(年度,$B$3,1),$B$7:$B$3006,"&lt;"&amp;DATE(年度,$B$3+1,1),$P$7:$P$3006,"&lt;&gt;转账")</f>
        <v>2700</v>
      </c>
      <c r="E3" s="124" t="inlineStr">
        <is>
          <t>本月支出：</t>
        </is>
      </c>
      <c r="F3" s="126">
        <f>SUMIFS($G$7:$G$3006,$B$7:$B$3006,"&gt;="&amp;DATE(年度,$B$3,1),$B$7:$B$3006,"&lt;"&amp;DATE(年度,$B$3+1,1),$P$7:$P$3006,"&lt;&gt;转账")</f>
        <v>0</v>
      </c>
      <c r="G3" s="124" t="inlineStr">
        <is>
          <t>上月结余：</t>
        </is>
      </c>
      <c r="H3" s="126">
        <f>SUM(基础资料!$X$5:$X$24)+SUMIFS($F$7:$F$3006,$B$7:$B$3006,"&gt;="&amp;年初日,$B$7:$B$3006,"&lt;"&amp;DATE(年度,$B$3,1))-SUMIFS($G$7:$G$3006,$B$7:$B$3006,"&gt;="&amp;年初日,$B$7:$B$3006,"&lt;"&amp;DATE(年度,$B$3,1))</f>
        <v>3866609.69</v>
      </c>
      <c r="I3" s="124" t="inlineStr">
        <is>
          <t>本月结余：</t>
        </is>
      </c>
      <c r="J3" s="126">
        <f>SUM(基础资料!$X$5:$X$24)+SUMIFS($F$7:$F$3006,$B$7:$B$3006,"&gt;="&amp;年初日,$B$7:$B$3006,"&lt;"&amp;DATE(年度,$B$3+1,1))-SUMIFS($G$7:$G$3006,$B$7:$B$3006,"&gt;="&amp;年初日,$B$7:$B$3006,"&lt;"&amp;DATE(年度,$B$3+1,1))</f>
        <v>3869309.69</v>
      </c>
      <c r="K3" s="124" t="inlineStr">
        <is>
          <t>当前总余额：</t>
        </is>
      </c>
      <c r="L3" s="126">
        <f>SUM(基础资料!$X$5:$X$24)+SUM($F$7:$F$3006)-SUM($G$7:$G$3006)</f>
        <v>3869309.69</v>
      </c>
      <c r="M3" s="127" t="inlineStr">
        <is>
          <t>按日期统计，本月收入/支出不含内部转账</t>
        </is>
      </c>
    </row>
    <row r="4" ht="6" customHeight="1" s="7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</row>
    <row r="5" ht="30" customHeight="1" s="71">
      <c r="A5" s="129" t="inlineStr">
        <is>
          <t>登 记 信 息</t>
        </is>
      </c>
      <c r="B5" s="130" t="n"/>
      <c r="C5" s="130" t="n"/>
      <c r="D5" s="130" t="n"/>
      <c r="E5" s="130" t="n"/>
      <c r="F5" s="131" t="inlineStr">
        <is>
          <t>＋ 收 入</t>
        </is>
      </c>
      <c r="G5" s="132" t="inlineStr">
        <is>
          <t>＋ 支 出</t>
        </is>
      </c>
      <c r="H5" s="129" t="inlineStr">
        <is>
          <t>即时余额（自动）</t>
        </is>
      </c>
      <c r="I5" s="130" t="n"/>
      <c r="J5" s="133" t="inlineStr">
        <is>
          <t>往来 / 费用（筛选列）</t>
        </is>
      </c>
      <c r="K5" s="134" t="n"/>
      <c r="L5" s="134" t="n"/>
      <c r="M5" s="129" t="inlineStr">
        <is>
          <t>备注 / 校验</t>
        </is>
      </c>
      <c r="N5" s="130" t="n"/>
    </row>
    <row r="6" ht="32" customHeight="1" s="71">
      <c r="A6" s="135" t="inlineStr">
        <is>
          <t>序号</t>
        </is>
      </c>
      <c r="B6" s="135" t="inlineStr">
        <is>
          <t>日期</t>
        </is>
      </c>
      <c r="C6" s="135" t="inlineStr">
        <is>
          <t>账户</t>
        </is>
      </c>
      <c r="D6" s="135" t="inlineStr">
        <is>
          <t>收支项目</t>
        </is>
      </c>
      <c r="E6" s="135" t="inlineStr">
        <is>
          <t>摘要</t>
        </is>
      </c>
      <c r="F6" s="136" t="inlineStr">
        <is>
          <t>收入金额</t>
        </is>
      </c>
      <c r="G6" s="137" t="inlineStr">
        <is>
          <t>支出金额</t>
        </is>
      </c>
      <c r="H6" s="135" t="inlineStr">
        <is>
          <t>账户余额</t>
        </is>
      </c>
      <c r="I6" s="135" t="inlineStr">
        <is>
          <t>总余额</t>
        </is>
      </c>
      <c r="J6" s="138" t="inlineStr">
        <is>
          <t>客户</t>
        </is>
      </c>
      <c r="K6" s="138" t="inlineStr">
        <is>
          <t>供应商</t>
        </is>
      </c>
      <c r="L6" s="138" t="inlineStr">
        <is>
          <t>费用项目</t>
        </is>
      </c>
      <c r="M6" s="135" t="inlineStr">
        <is>
          <t>备注</t>
        </is>
      </c>
      <c r="N6" s="135" t="inlineStr">
        <is>
          <t>校验</t>
        </is>
      </c>
      <c r="O6" s="139" t="inlineStr">
        <is>
          <t>实际项目</t>
        </is>
      </c>
      <c r="P6" s="139" t="inlineStr">
        <is>
          <t>去向</t>
        </is>
      </c>
      <c r="Q6" s="139" t="inlineStr">
        <is>
          <t>客户收款序</t>
        </is>
      </c>
      <c r="R6" s="139" t="inlineStr">
        <is>
          <t>供应商付款序</t>
        </is>
      </c>
      <c r="S6" s="139" t="inlineStr">
        <is>
          <t>净额</t>
        </is>
      </c>
    </row>
    <row r="7">
      <c r="A7" s="109">
        <f>IF(AND(F7="",G7=""),"",ROW()-6)</f>
        <v>1</v>
      </c>
      <c r="B7" s="140" t="n">
        <v>46156</v>
      </c>
      <c r="C7" s="141" t="inlineStr">
        <is>
          <t>收款码</t>
        </is>
      </c>
      <c r="D7" s="141" t="inlineStr">
        <is>
          <t>客户回款</t>
        </is>
      </c>
      <c r="E7" s="142" t="inlineStr">
        <is>
          <t>收货款</t>
        </is>
      </c>
      <c r="F7" s="143" t="n">
        <v>100000</v>
      </c>
      <c r="G7" s="144" t="n"/>
      <c r="H7" s="145">
        <f>IF(OR(C7="",AND(F7="",G7="")),"",SUMIF(基础资料!$W$5:$W$24,C7,基础资料!$X$5:$X$24)+SUMIF(C$7:C7,C7,F$7:F7)-SUMIF(C$7:C7,C7,G$7:G7))</f>
        <v>100000</v>
      </c>
      <c r="I7" s="145">
        <f>IF(AND(F7="",G7=""),"",SUM(基础资料!$X$5:$X$24)+SUM(F$7:F7)-SUM(G$7:G7))</f>
        <v>100000</v>
      </c>
      <c r="J7" s="141" t="inlineStr">
        <is>
          <t>鼎龙陈财超市</t>
        </is>
      </c>
      <c r="K7" s="141" t="n"/>
      <c r="L7" s="141" t="n"/>
      <c r="M7" s="142" t="n"/>
      <c r="N7" s="146" t="str">
        <f>IF(AND(AND(F7="",G7=""),B7="",C7="",D7="",J7="",K7="",L7=""),"",IF(AND(F7="",G7=""),"✗ 没填金额",IF(AND(N(F7)&lt;&gt;0,N(G7)&lt;&gt;0),"✗ 收入、支出只能填一边",IF(NOT(ISNUMBER(B7)),"✗ 日期不是真日期（要像 2026/9/25 这样填）",IF(OR(B7&lt;年初日,B7&gt;年末日),"✗ 日期不在本会计年度",IF(C7="","✗ 没选账户",IF(COUNTIF(基础资料!$W$5:$W$24,C7)=0,"✗ 账户不在基础资料里",IF(O7="","✗ 没选收支项目",IF(P7="未知","✗ 收支项目不在基础资料里",IF(AND(P7="应收",J7=""),"✗ 这笔要选客户",IF(AND(P7="应收",COUNTIF(总览汇总!$B$5:$B$304,J7)=0),"✗ 客户不在总览汇总名单里",IF(AND(P7="应付",K7=""),"✗ 这笔要选供应商",IF(AND(P7="应付",COUNTIF(基础资料!$Q$5:$Q$54,K7)=0),"✗ 供应商不在基础资料里",IF(AND(P7="费用",L7=""),"✗ 费用支出要选费用项目",IF(AND(L7&lt;&gt;"",COUNTIF(基础资料!$AI$5:$AI$54,L7)=0),"✗ 费用项目不在基础资料里",IF(AND(IFERROR(INDEX(基础资料!$AD$5:$AD$34,MATCH(O7,基础资料!$AC$5:$AC$34,0)),"")="收",N(G7)&lt;&gt;0),"✗ 这类是收款，金额填到收入列",IF(AND(IFERROR(INDEX(基础资料!$AD$5:$AD$34,MATCH(O7,基础资料!$AC$5:$AC$34,0)),"")="支",N(F7)&lt;&gt;0),"✗ 这类是付款，金额填到支出列",IF(N(H7)&lt;0,"⚠ 账户余额成负数了，核对一下","√"))))))))))))))))))</f>
        <v>√</v>
      </c>
      <c r="O7" s="78" t="str">
        <f>IF(D7&lt;&gt;"",D7,IF(AND(F7="",G7=""),"",IF(J7&lt;&gt;"",IF(N(F7)&gt;0,"客户回款","客户退款"),IF(K7&lt;&gt;"",IF(N(G7)&gt;0,"供应商付款","供应商退款"),IF(L7&lt;&gt;"","费用支出","")))))</f>
        <v>客户回款</v>
      </c>
      <c r="P7" s="78" t="str">
        <f>IF(O7="","",IFERROR(INDEX(基础资料!$AE$5:$AE$34,MATCH(O7,基础资料!$AC$5:$AC$34,0)),"未知"))</f>
        <v>应收</v>
      </c>
      <c r="Q7" s="78">
        <f>IF(P7="应收",COUNTIF(P$7:P7,"应收"),"")</f>
        <v>1</v>
      </c>
      <c r="R7" s="78">
        <f>IF(P7="应付",COUNTIF(P$7:P7,"应付"),"")</f>
      </c>
      <c r="S7" s="78">
        <f>N(F7)-N(G7)</f>
        <v>100000</v>
      </c>
    </row>
    <row r="8">
      <c r="A8" s="109">
        <f>IF(AND(F8="",G8=""),"",ROW()-6)</f>
        <v>2</v>
      </c>
      <c r="B8" s="140" t="n">
        <v>46198</v>
      </c>
      <c r="C8" s="141" t="inlineStr">
        <is>
          <t>收款码</t>
        </is>
      </c>
      <c r="D8" s="141" t="inlineStr">
        <is>
          <t>客户回款</t>
        </is>
      </c>
      <c r="E8" s="142" t="inlineStr">
        <is>
          <t>收货款</t>
        </is>
      </c>
      <c r="F8" s="143" t="n">
        <v>39547</v>
      </c>
      <c r="G8" s="144" t="n"/>
      <c r="H8" s="145">
        <f>IF(OR(C8="",AND(F8="",G8="")),"",SUMIF(基础资料!$W$5:$W$24,C8,基础资料!$X$5:$X$24)+SUMIF(C$7:C8,C8,F$7:F8)-SUMIF(C$7:C8,C8,G$7:G8))</f>
        <v>139547</v>
      </c>
      <c r="I8" s="145">
        <f>IF(AND(F8="",G8=""),"",SUM(基础资料!$X$5:$X$24)+SUM(F$7:F8)-SUM(G$7:G8))</f>
        <v>139547</v>
      </c>
      <c r="J8" s="141" t="inlineStr">
        <is>
          <t>星海超市</t>
        </is>
      </c>
      <c r="K8" s="141" t="n"/>
      <c r="L8" s="141" t="n"/>
      <c r="M8" s="142" t="n"/>
      <c r="N8" s="146" t="str">
        <f>IF(AND(AND(F8="",G8=""),B8="",C8="",D8="",J8="",K8="",L8=""),"",IF(AND(F8="",G8=""),"✗ 没填金额",IF(AND(N(F8)&lt;&gt;0,N(G8)&lt;&gt;0),"✗ 收入、支出只能填一边",IF(NOT(ISNUMBER(B8)),"✗ 日期不是真日期（要像 2026/9/25 这样填）",IF(OR(B8&lt;年初日,B8&gt;年末日),"✗ 日期不在本会计年度",IF(C8="","✗ 没选账户",IF(COUNTIF(基础资料!$W$5:$W$24,C8)=0,"✗ 账户不在基础资料里",IF(O8="","✗ 没选收支项目",IF(P8="未知","✗ 收支项目不在基础资料里",IF(AND(P8="应收",J8=""),"✗ 这笔要选客户",IF(AND(P8="应收",COUNTIF(总览汇总!$B$5:$B$304,J8)=0),"✗ 客户不在总览汇总名单里",IF(AND(P8="应付",K8=""),"✗ 这笔要选供应商",IF(AND(P8="应付",COUNTIF(基础资料!$Q$5:$Q$54,K8)=0),"✗ 供应商不在基础资料里",IF(AND(P8="费用",L8=""),"✗ 费用支出要选费用项目",IF(AND(L8&lt;&gt;"",COUNTIF(基础资料!$AI$5:$AI$54,L8)=0),"✗ 费用项目不在基础资料里",IF(AND(IFERROR(INDEX(基础资料!$AD$5:$AD$34,MATCH(O8,基础资料!$AC$5:$AC$34,0)),"")="收",N(G8)&lt;&gt;0),"✗ 这类是收款，金额填到收入列",IF(AND(IFERROR(INDEX(基础资料!$AD$5:$AD$34,MATCH(O8,基础资料!$AC$5:$AC$34,0)),"")="支",N(F8)&lt;&gt;0),"✗ 这类是付款，金额填到支出列",IF(N(H8)&lt;0,"⚠ 账户余额成负数了，核对一下","√"))))))))))))))))))</f>
        <v>√</v>
      </c>
      <c r="O8" s="78" t="str">
        <f>IF(D8&lt;&gt;"",D8,IF(AND(F8="",G8=""),"",IF(J8&lt;&gt;"",IF(N(F8)&gt;0,"客户回款","客户退款"),IF(K8&lt;&gt;"",IF(N(G8)&gt;0,"供应商付款","供应商退款"),IF(L8&lt;&gt;"","费用支出","")))))</f>
        <v>客户回款</v>
      </c>
      <c r="P8" s="78" t="str">
        <f>IF(O8="","",IFERROR(INDEX(基础资料!$AE$5:$AE$34,MATCH(O8,基础资料!$AC$5:$AC$34,0)),"未知"))</f>
        <v>应收</v>
      </c>
      <c r="Q8" s="78">
        <f>IF(P8="应收",COUNTIF(P$7:P8,"应收"),"")</f>
        <v>2</v>
      </c>
      <c r="R8" s="78">
        <f>IF(P8="应付",COUNTIF(P$7:P8,"应付"),"")</f>
      </c>
      <c r="S8" s="78">
        <f>N(F8)-N(G8)</f>
        <v>39547</v>
      </c>
    </row>
    <row r="9">
      <c r="A9" s="109">
        <f>IF(AND(F9="",G9=""),"",ROW()-6)</f>
        <v>3</v>
      </c>
      <c r="B9" s="140" t="n">
        <v>46198</v>
      </c>
      <c r="C9" s="141" t="inlineStr">
        <is>
          <t>收款码</t>
        </is>
      </c>
      <c r="D9" s="141" t="inlineStr">
        <is>
          <t>客户回款</t>
        </is>
      </c>
      <c r="E9" s="142" t="inlineStr">
        <is>
          <t>收货款</t>
        </is>
      </c>
      <c r="F9" s="143" t="n">
        <v>99000</v>
      </c>
      <c r="G9" s="144" t="n"/>
      <c r="H9" s="145">
        <f>IF(OR(C9="",AND(F9="",G9="")),"",SUMIF(基础资料!$W$5:$W$24,C9,基础资料!$X$5:$X$24)+SUMIF(C$7:C9,C9,F$7:F9)-SUMIF(C$7:C9,C9,G$7:G9))</f>
        <v>238547</v>
      </c>
      <c r="I9" s="145">
        <f>IF(AND(F9="",G9=""),"",SUM(基础资料!$X$5:$X$24)+SUM(F$7:F9)-SUM(G$7:G9))</f>
        <v>238547</v>
      </c>
      <c r="J9" s="141" t="inlineStr">
        <is>
          <t>王玉琴</t>
        </is>
      </c>
      <c r="K9" s="141" t="n"/>
      <c r="L9" s="141" t="n"/>
      <c r="M9" s="142" t="n"/>
      <c r="N9" s="146" t="str">
        <f>IF(AND(AND(F9="",G9=""),B9="",C9="",D9="",J9="",K9="",L9=""),"",IF(AND(F9="",G9=""),"✗ 没填金额",IF(AND(N(F9)&lt;&gt;0,N(G9)&lt;&gt;0),"✗ 收入、支出只能填一边",IF(NOT(ISNUMBER(B9)),"✗ 日期不是真日期（要像 2026/9/25 这样填）",IF(OR(B9&lt;年初日,B9&gt;年末日),"✗ 日期不在本会计年度",IF(C9="","✗ 没选账户",IF(COUNTIF(基础资料!$W$5:$W$24,C9)=0,"✗ 账户不在基础资料里",IF(O9="","✗ 没选收支项目",IF(P9="未知","✗ 收支项目不在基础资料里",IF(AND(P9="应收",J9=""),"✗ 这笔要选客户",IF(AND(P9="应收",COUNTIF(总览汇总!$B$5:$B$304,J9)=0),"✗ 客户不在总览汇总名单里",IF(AND(P9="应付",K9=""),"✗ 这笔要选供应商",IF(AND(P9="应付",COUNTIF(基础资料!$Q$5:$Q$54,K9)=0),"✗ 供应商不在基础资料里",IF(AND(P9="费用",L9=""),"✗ 费用支出要选费用项目",IF(AND(L9&lt;&gt;"",COUNTIF(基础资料!$AI$5:$AI$54,L9)=0),"✗ 费用项目不在基础资料里",IF(AND(IFERROR(INDEX(基础资料!$AD$5:$AD$34,MATCH(O9,基础资料!$AC$5:$AC$34,0)),"")="收",N(G9)&lt;&gt;0),"✗ 这类是收款，金额填到收入列",IF(AND(IFERROR(INDEX(基础资料!$AD$5:$AD$34,MATCH(O9,基础资料!$AC$5:$AC$34,0)),"")="支",N(F9)&lt;&gt;0),"✗ 这类是付款，金额填到支出列",IF(N(H9)&lt;0,"⚠ 账户余额成负数了，核对一下","√"))))))))))))))))))</f>
        <v>√</v>
      </c>
      <c r="O9" s="78" t="str">
        <f>IF(D9&lt;&gt;"",D9,IF(AND(F9="",G9=""),"",IF(J9&lt;&gt;"",IF(N(F9)&gt;0,"客户回款","客户退款"),IF(K9&lt;&gt;"",IF(N(G9)&gt;0,"供应商付款","供应商退款"),IF(L9&lt;&gt;"","费用支出","")))))</f>
        <v>客户回款</v>
      </c>
      <c r="P9" s="78" t="str">
        <f>IF(O9="","",IFERROR(INDEX(基础资料!$AE$5:$AE$34,MATCH(O9,基础资料!$AC$5:$AC$34,0)),"未知"))</f>
        <v>应收</v>
      </c>
      <c r="Q9" s="78">
        <f>IF(P9="应收",COUNTIF(P$7:P9,"应收"),"")</f>
        <v>3</v>
      </c>
      <c r="R9" s="78">
        <f>IF(P9="应付",COUNTIF(P$7:P9,"应付"),"")</f>
      </c>
      <c r="S9" s="78">
        <f>N(F9)-N(G9)</f>
        <v>99000</v>
      </c>
    </row>
    <row r="10">
      <c r="A10" s="109">
        <f>IF(AND(F10="",G10=""),"",ROW()-6)</f>
        <v>4</v>
      </c>
      <c r="B10" s="140" t="n">
        <v>46198</v>
      </c>
      <c r="C10" s="141" t="inlineStr">
        <is>
          <t>收款码</t>
        </is>
      </c>
      <c r="D10" s="141" t="inlineStr">
        <is>
          <t>客户回款</t>
        </is>
      </c>
      <c r="E10" s="142" t="inlineStr">
        <is>
          <t>还差我46313元</t>
        </is>
      </c>
      <c r="F10" s="143" t="n">
        <v>700231.47</v>
      </c>
      <c r="G10" s="144" t="n"/>
      <c r="H10" s="145">
        <f>IF(OR(C10="",AND(F10="",G10="")),"",SUMIF(基础资料!$W$5:$W$24,C10,基础资料!$X$5:$X$24)+SUMIF(C$7:C10,C10,F$7:F10)-SUMIF(C$7:C10,C10,G$7:G10))</f>
        <v>938778.47</v>
      </c>
      <c r="I10" s="145">
        <f>IF(AND(F10="",G10=""),"",SUM(基础资料!$X$5:$X$24)+SUM(F$7:F10)-SUM(G$7:G10))</f>
        <v>938778.47</v>
      </c>
      <c r="J10" s="141" t="inlineStr">
        <is>
          <t>桐心源</t>
        </is>
      </c>
      <c r="K10" s="141" t="n"/>
      <c r="L10" s="141" t="n"/>
      <c r="M10" s="142" t="n"/>
      <c r="N10" s="146" t="str">
        <f>IF(AND(AND(F10="",G10=""),B10="",C10="",D10="",J10="",K10="",L10=""),"",IF(AND(F10="",G10=""),"✗ 没填金额",IF(AND(N(F10)&lt;&gt;0,N(G10)&lt;&gt;0),"✗ 收入、支出只能填一边",IF(NOT(ISNUMBER(B10)),"✗ 日期不是真日期（要像 2026/9/25 这样填）",IF(OR(B10&lt;年初日,B10&gt;年末日),"✗ 日期不在本会计年度",IF(C10="","✗ 没选账户",IF(COUNTIF(基础资料!$W$5:$W$24,C10)=0,"✗ 账户不在基础资料里",IF(O10="","✗ 没选收支项目",IF(P10="未知","✗ 收支项目不在基础资料里",IF(AND(P10="应收",J10=""),"✗ 这笔要选客户",IF(AND(P10="应收",COUNTIF(总览汇总!$B$5:$B$304,J10)=0),"✗ 客户不在总览汇总名单里",IF(AND(P10="应付",K10=""),"✗ 这笔要选供应商",IF(AND(P10="应付",COUNTIF(基础资料!$Q$5:$Q$54,K10)=0),"✗ 供应商不在基础资料里",IF(AND(P10="费用",L10=""),"✗ 费用支出要选费用项目",IF(AND(L10&lt;&gt;"",COUNTIF(基础资料!$AI$5:$AI$54,L10)=0),"✗ 费用项目不在基础资料里",IF(AND(IFERROR(INDEX(基础资料!$AD$5:$AD$34,MATCH(O10,基础资料!$AC$5:$AC$34,0)),"")="收",N(G10)&lt;&gt;0),"✗ 这类是收款，金额填到收入列",IF(AND(IFERROR(INDEX(基础资料!$AD$5:$AD$34,MATCH(O10,基础资料!$AC$5:$AC$34,0)),"")="支",N(F10)&lt;&gt;0),"✗ 这类是付款，金额填到支出列",IF(N(H10)&lt;0,"⚠ 账户余额成负数了，核对一下","√"))))))))))))))))))</f>
        <v>√</v>
      </c>
      <c r="O10" s="78" t="str">
        <f>IF(D10&lt;&gt;"",D10,IF(AND(F10="",G10=""),"",IF(J10&lt;&gt;"",IF(N(F10)&gt;0,"客户回款","客户退款"),IF(K10&lt;&gt;"",IF(N(G10)&gt;0,"供应商付款","供应商退款"),IF(L10&lt;&gt;"","费用支出","")))))</f>
        <v>客户回款</v>
      </c>
      <c r="P10" s="78" t="str">
        <f>IF(O10="","",IFERROR(INDEX(基础资料!$AE$5:$AE$34,MATCH(O10,基础资料!$AC$5:$AC$34,0)),"未知"))</f>
        <v>应收</v>
      </c>
      <c r="Q10" s="78">
        <f>IF(P10="应收",COUNTIF(P$7:P10,"应收"),"")</f>
        <v>4</v>
      </c>
      <c r="R10" s="78">
        <f>IF(P10="应付",COUNTIF(P$7:P10,"应付"),"")</f>
      </c>
      <c r="S10" s="78">
        <f>N(F10)-N(G10)</f>
        <v>700231.47</v>
      </c>
    </row>
    <row r="11">
      <c r="A11" s="109">
        <f>IF(AND(F11="",G11=""),"",ROW()-6)</f>
        <v>5</v>
      </c>
      <c r="B11" s="140" t="n">
        <v>46198</v>
      </c>
      <c r="C11" s="141" t="inlineStr">
        <is>
          <t>收款码</t>
        </is>
      </c>
      <c r="D11" s="141" t="inlineStr">
        <is>
          <t>客户回款</t>
        </is>
      </c>
      <c r="E11" s="142" t="inlineStr">
        <is>
          <t>农夫饮料</t>
        </is>
      </c>
      <c r="F11" s="143" t="n">
        <v>46360</v>
      </c>
      <c r="G11" s="144" t="n"/>
      <c r="H11" s="145">
        <f>IF(OR(C11="",AND(F11="",G11="")),"",SUMIF(基础资料!$W$5:$W$24,C11,基础资料!$X$5:$X$24)+SUMIF(C$7:C11,C11,F$7:F11)-SUMIF(C$7:C11,C11,G$7:G11))</f>
        <v>985138.47</v>
      </c>
      <c r="I11" s="145">
        <f>IF(AND(F11="",G11=""),"",SUM(基础资料!$X$5:$X$24)+SUM(F$7:F11)-SUM(G$7:G11))</f>
        <v>985138.47</v>
      </c>
      <c r="J11" s="141" t="inlineStr">
        <is>
          <t>桐心源</t>
        </is>
      </c>
      <c r="K11" s="141" t="n"/>
      <c r="L11" s="141" t="n"/>
      <c r="M11" s="142" t="n"/>
      <c r="N11" s="146" t="str">
        <f>IF(AND(AND(F11="",G11=""),B11="",C11="",D11="",J11="",K11="",L11=""),"",IF(AND(F11="",G11=""),"✗ 没填金额",IF(AND(N(F11)&lt;&gt;0,N(G11)&lt;&gt;0),"✗ 收入、支出只能填一边",IF(NOT(ISNUMBER(B11)),"✗ 日期不是真日期（要像 2026/9/25 这样填）",IF(OR(B11&lt;年初日,B11&gt;年末日),"✗ 日期不在本会计年度",IF(C11="","✗ 没选账户",IF(COUNTIF(基础资料!$W$5:$W$24,C11)=0,"✗ 账户不在基础资料里",IF(O11="","✗ 没选收支项目",IF(P11="未知","✗ 收支项目不在基础资料里",IF(AND(P11="应收",J11=""),"✗ 这笔要选客户",IF(AND(P11="应收",COUNTIF(总览汇总!$B$5:$B$304,J11)=0),"✗ 客户不在总览汇总名单里",IF(AND(P11="应付",K11=""),"✗ 这笔要选供应商",IF(AND(P11="应付",COUNTIF(基础资料!$Q$5:$Q$54,K11)=0),"✗ 供应商不在基础资料里",IF(AND(P11="费用",L11=""),"✗ 费用支出要选费用项目",IF(AND(L11&lt;&gt;"",COUNTIF(基础资料!$AI$5:$AI$54,L11)=0),"✗ 费用项目不在基础资料里",IF(AND(IFERROR(INDEX(基础资料!$AD$5:$AD$34,MATCH(O11,基础资料!$AC$5:$AC$34,0)),"")="收",N(G11)&lt;&gt;0),"✗ 这类是收款，金额填到收入列",IF(AND(IFERROR(INDEX(基础资料!$AD$5:$AD$34,MATCH(O11,基础资料!$AC$5:$AC$34,0)),"")="支",N(F11)&lt;&gt;0),"✗ 这类是付款，金额填到支出列",IF(N(H11)&lt;0,"⚠ 账户余额成负数了，核对一下","√"))))))))))))))))))</f>
        <v>√</v>
      </c>
      <c r="O11" s="78" t="str">
        <f>IF(D11&lt;&gt;"",D11,IF(AND(F11="",G11=""),"",IF(J11&lt;&gt;"",IF(N(F11)&gt;0,"客户回款","客户退款"),IF(K11&lt;&gt;"",IF(N(G11)&gt;0,"供应商付款","供应商退款"),IF(L11&lt;&gt;"","费用支出","")))))</f>
        <v>客户回款</v>
      </c>
      <c r="P11" s="78" t="str">
        <f>IF(O11="","",IFERROR(INDEX(基础资料!$AE$5:$AE$34,MATCH(O11,基础资料!$AC$5:$AC$34,0)),"未知"))</f>
        <v>应收</v>
      </c>
      <c r="Q11" s="78">
        <f>IF(P11="应收",COUNTIF(P$7:P11,"应收"),"")</f>
        <v>5</v>
      </c>
      <c r="R11" s="78">
        <f>IF(P11="应付",COUNTIF(P$7:P11,"应付"),"")</f>
      </c>
      <c r="S11" s="78">
        <f>N(F11)-N(G11)</f>
        <v>46360</v>
      </c>
    </row>
    <row r="12">
      <c r="A12" s="109">
        <f>IF(AND(F12="",G12=""),"",ROW()-6)</f>
        <v>6</v>
      </c>
      <c r="B12" s="140" t="n">
        <v>46198</v>
      </c>
      <c r="C12" s="141" t="inlineStr">
        <is>
          <t>收款码</t>
        </is>
      </c>
      <c r="D12" s="141" t="inlineStr">
        <is>
          <t>客户回款</t>
        </is>
      </c>
      <c r="E12" s="142" t="inlineStr">
        <is>
          <t>还差我37433元</t>
        </is>
      </c>
      <c r="F12" s="143" t="n">
        <v>570147.22</v>
      </c>
      <c r="G12" s="144" t="n"/>
      <c r="H12" s="145">
        <f>IF(OR(C12="",AND(F12="",G12="")),"",SUMIF(基础资料!$W$5:$W$24,C12,基础资料!$X$5:$X$24)+SUMIF(C$7:C12,C12,F$7:F12)-SUMIF(C$7:C12,C12,G$7:G12))</f>
        <v>1555285.69</v>
      </c>
      <c r="I12" s="145">
        <f>IF(AND(F12="",G12=""),"",SUM(基础资料!$X$5:$X$24)+SUM(F$7:F12)-SUM(G$7:G12))</f>
        <v>1555285.69</v>
      </c>
      <c r="J12" s="141" t="inlineStr">
        <is>
          <t>阿东副食</t>
        </is>
      </c>
      <c r="K12" s="141" t="n"/>
      <c r="L12" s="141" t="n"/>
      <c r="M12" s="142" t="n"/>
      <c r="N12" s="146" t="str">
        <f>IF(AND(AND(F12="",G12=""),B12="",C12="",D12="",J12="",K12="",L12=""),"",IF(AND(F12="",G12=""),"✗ 没填金额",IF(AND(N(F12)&lt;&gt;0,N(G12)&lt;&gt;0),"✗ 收入、支出只能填一边",IF(NOT(ISNUMBER(B12)),"✗ 日期不是真日期（要像 2026/9/25 这样填）",IF(OR(B12&lt;年初日,B12&gt;年末日),"✗ 日期不在本会计年度",IF(C12="","✗ 没选账户",IF(COUNTIF(基础资料!$W$5:$W$24,C12)=0,"✗ 账户不在基础资料里",IF(O12="","✗ 没选收支项目",IF(P12="未知","✗ 收支项目不在基础资料里",IF(AND(P12="应收",J12=""),"✗ 这笔要选客户",IF(AND(P12="应收",COUNTIF(总览汇总!$B$5:$B$304,J12)=0),"✗ 客户不在总览汇总名单里",IF(AND(P12="应付",K12=""),"✗ 这笔要选供应商",IF(AND(P12="应付",COUNTIF(基础资料!$Q$5:$Q$54,K12)=0),"✗ 供应商不在基础资料里",IF(AND(P12="费用",L12=""),"✗ 费用支出要选费用项目",IF(AND(L12&lt;&gt;"",COUNTIF(基础资料!$AI$5:$AI$54,L12)=0),"✗ 费用项目不在基础资料里",IF(AND(IFERROR(INDEX(基础资料!$AD$5:$AD$34,MATCH(O12,基础资料!$AC$5:$AC$34,0)),"")="收",N(G12)&lt;&gt;0),"✗ 这类是收款，金额填到收入列",IF(AND(IFERROR(INDEX(基础资料!$AD$5:$AD$34,MATCH(O12,基础资料!$AC$5:$AC$34,0)),"")="支",N(F12)&lt;&gt;0),"✗ 这类是付款，金额填到支出列",IF(N(H12)&lt;0,"⚠ 账户余额成负数了，核对一下","√"))))))))))))))))))</f>
        <v>√</v>
      </c>
      <c r="O12" s="78" t="str">
        <f>IF(D12&lt;&gt;"",D12,IF(AND(F12="",G12=""),"",IF(J12&lt;&gt;"",IF(N(F12)&gt;0,"客户回款","客户退款"),IF(K12&lt;&gt;"",IF(N(G12)&gt;0,"供应商付款","供应商退款"),IF(L12&lt;&gt;"","费用支出","")))))</f>
        <v>客户回款</v>
      </c>
      <c r="P12" s="78" t="str">
        <f>IF(O12="","",IFERROR(INDEX(基础资料!$AE$5:$AE$34,MATCH(O12,基础资料!$AC$5:$AC$34,0)),"未知"))</f>
        <v>应收</v>
      </c>
      <c r="Q12" s="78">
        <f>IF(P12="应收",COUNTIF(P$7:P12,"应收"),"")</f>
        <v>6</v>
      </c>
      <c r="R12" s="78">
        <f>IF(P12="应付",COUNTIF(P$7:P12,"应付"),"")</f>
      </c>
      <c r="S12" s="78">
        <f>N(F12)-N(G12)</f>
        <v>570147.22</v>
      </c>
    </row>
    <row r="13">
      <c r="A13" s="109">
        <f>IF(AND(F13="",G13=""),"",ROW()-6)</f>
        <v>7</v>
      </c>
      <c r="B13" s="140" t="n">
        <v>46199</v>
      </c>
      <c r="C13" s="141" t="inlineStr">
        <is>
          <t>收款码</t>
        </is>
      </c>
      <c r="D13" s="141" t="inlineStr">
        <is>
          <t>客户回款</t>
        </is>
      </c>
      <c r="E13" s="142" t="inlineStr">
        <is>
          <t>收货款</t>
        </is>
      </c>
      <c r="F13" s="143" t="n">
        <v>8950</v>
      </c>
      <c r="G13" s="144" t="n"/>
      <c r="H13" s="145">
        <f>IF(OR(C13="",AND(F13="",G13="")),"",SUMIF(基础资料!$W$5:$W$24,C13,基础资料!$X$5:$X$24)+SUMIF(C$7:C13,C13,F$7:F13)-SUMIF(C$7:C13,C13,G$7:G13))</f>
        <v>1564235.69</v>
      </c>
      <c r="I13" s="145">
        <f>IF(AND(F13="",G13=""),"",SUM(基础资料!$X$5:$X$24)+SUM(F$7:F13)-SUM(G$7:G13))</f>
        <v>1564235.69</v>
      </c>
      <c r="J13" s="141" t="inlineStr">
        <is>
          <t>金凤副食</t>
        </is>
      </c>
      <c r="K13" s="141" t="n"/>
      <c r="L13" s="141" t="n"/>
      <c r="M13" s="142" t="n"/>
      <c r="N13" s="146" t="str">
        <f>IF(AND(AND(F13="",G13=""),B13="",C13="",D13="",J13="",K13="",L13=""),"",IF(AND(F13="",G13=""),"✗ 没填金额",IF(AND(N(F13)&lt;&gt;0,N(G13)&lt;&gt;0),"✗ 收入、支出只能填一边",IF(NOT(ISNUMBER(B13)),"✗ 日期不是真日期（要像 2026/9/25 这样填）",IF(OR(B13&lt;年初日,B13&gt;年末日),"✗ 日期不在本会计年度",IF(C13="","✗ 没选账户",IF(COUNTIF(基础资料!$W$5:$W$24,C13)=0,"✗ 账户不在基础资料里",IF(O13="","✗ 没选收支项目",IF(P13="未知","✗ 收支项目不在基础资料里",IF(AND(P13="应收",J13=""),"✗ 这笔要选客户",IF(AND(P13="应收",COUNTIF(总览汇总!$B$5:$B$304,J13)=0),"✗ 客户不在总览汇总名单里",IF(AND(P13="应付",K13=""),"✗ 这笔要选供应商",IF(AND(P13="应付",COUNTIF(基础资料!$Q$5:$Q$54,K13)=0),"✗ 供应商不在基础资料里",IF(AND(P13="费用",L13=""),"✗ 费用支出要选费用项目",IF(AND(L13&lt;&gt;"",COUNTIF(基础资料!$AI$5:$AI$54,L13)=0),"✗ 费用项目不在基础资料里",IF(AND(IFERROR(INDEX(基础资料!$AD$5:$AD$34,MATCH(O13,基础资料!$AC$5:$AC$34,0)),"")="收",N(G13)&lt;&gt;0),"✗ 这类是收款，金额填到收入列",IF(AND(IFERROR(INDEX(基础资料!$AD$5:$AD$34,MATCH(O13,基础资料!$AC$5:$AC$34,0)),"")="支",N(F13)&lt;&gt;0),"✗ 这类是付款，金额填到支出列",IF(N(H13)&lt;0,"⚠ 账户余额成负数了，核对一下","√"))))))))))))))))))</f>
        <v>√</v>
      </c>
      <c r="O13" s="78" t="str">
        <f>IF(D13&lt;&gt;"",D13,IF(AND(F13="",G13=""),"",IF(J13&lt;&gt;"",IF(N(F13)&gt;0,"客户回款","客户退款"),IF(K13&lt;&gt;"",IF(N(G13)&gt;0,"供应商付款","供应商退款"),IF(L13&lt;&gt;"","费用支出","")))))</f>
        <v>客户回款</v>
      </c>
      <c r="P13" s="78" t="str">
        <f>IF(O13="","",IFERROR(INDEX(基础资料!$AE$5:$AE$34,MATCH(O13,基础资料!$AC$5:$AC$34,0)),"未知"))</f>
        <v>应收</v>
      </c>
      <c r="Q13" s="78">
        <f>IF(P13="应收",COUNTIF(P$7:P13,"应收"),"")</f>
        <v>7</v>
      </c>
      <c r="R13" s="78">
        <f>IF(P13="应付",COUNTIF(P$7:P13,"应付"),"")</f>
      </c>
      <c r="S13" s="78">
        <f>N(F13)-N(G13)</f>
        <v>8950</v>
      </c>
    </row>
    <row r="14">
      <c r="A14" s="109">
        <f>IF(AND(F14="",G14=""),"",ROW()-6)</f>
        <v>8</v>
      </c>
      <c r="B14" s="140" t="n">
        <v>46199</v>
      </c>
      <c r="C14" s="141" t="inlineStr">
        <is>
          <t>收款码</t>
        </is>
      </c>
      <c r="D14" s="141" t="inlineStr">
        <is>
          <t>客户回款</t>
        </is>
      </c>
      <c r="E14" s="142" t="inlineStr">
        <is>
          <t>收货款</t>
        </is>
      </c>
      <c r="F14" s="143" t="n">
        <v>437965</v>
      </c>
      <c r="G14" s="144" t="n"/>
      <c r="H14" s="145">
        <f>IF(OR(C14="",AND(F14="",G14="")),"",SUMIF(基础资料!$W$5:$W$24,C14,基础资料!$X$5:$X$24)+SUMIF(C$7:C14,C14,F$7:F14)-SUMIF(C$7:C14,C14,G$7:G14))</f>
        <v>2002200.69</v>
      </c>
      <c r="I14" s="145">
        <f>IF(AND(F14="",G14=""),"",SUM(基础资料!$X$5:$X$24)+SUM(F$7:F14)-SUM(G$7:G14))</f>
        <v>2002200.69</v>
      </c>
      <c r="J14" s="141" t="inlineStr">
        <is>
          <t>致发商行</t>
        </is>
      </c>
      <c r="K14" s="141" t="n"/>
      <c r="L14" s="141" t="n"/>
      <c r="M14" s="142" t="n"/>
      <c r="N14" s="146" t="str">
        <f>IF(AND(AND(F14="",G14=""),B14="",C14="",D14="",J14="",K14="",L14=""),"",IF(AND(F14="",G14=""),"✗ 没填金额",IF(AND(N(F14)&lt;&gt;0,N(G14)&lt;&gt;0),"✗ 收入、支出只能填一边",IF(NOT(ISNUMBER(B14)),"✗ 日期不是真日期（要像 2026/9/25 这样填）",IF(OR(B14&lt;年初日,B14&gt;年末日),"✗ 日期不在本会计年度",IF(C14="","✗ 没选账户",IF(COUNTIF(基础资料!$W$5:$W$24,C14)=0,"✗ 账户不在基础资料里",IF(O14="","✗ 没选收支项目",IF(P14="未知","✗ 收支项目不在基础资料里",IF(AND(P14="应收",J14=""),"✗ 这笔要选客户",IF(AND(P14="应收",COUNTIF(总览汇总!$B$5:$B$304,J14)=0),"✗ 客户不在总览汇总名单里",IF(AND(P14="应付",K14=""),"✗ 这笔要选供应商",IF(AND(P14="应付",COUNTIF(基础资料!$Q$5:$Q$54,K14)=0),"✗ 供应商不在基础资料里",IF(AND(P14="费用",L14=""),"✗ 费用支出要选费用项目",IF(AND(L14&lt;&gt;"",COUNTIF(基础资料!$AI$5:$AI$54,L14)=0),"✗ 费用项目不在基础资料里",IF(AND(IFERROR(INDEX(基础资料!$AD$5:$AD$34,MATCH(O14,基础资料!$AC$5:$AC$34,0)),"")="收",N(G14)&lt;&gt;0),"✗ 这类是收款，金额填到收入列",IF(AND(IFERROR(INDEX(基础资料!$AD$5:$AD$34,MATCH(O14,基础资料!$AC$5:$AC$34,0)),"")="支",N(F14)&lt;&gt;0),"✗ 这类是付款，金额填到支出列",IF(N(H14)&lt;0,"⚠ 账户余额成负数了，核对一下","√"))))))))))))))))))</f>
        <v>√</v>
      </c>
      <c r="O14" s="78" t="str">
        <f>IF(D14&lt;&gt;"",D14,IF(AND(F14="",G14=""),"",IF(J14&lt;&gt;"",IF(N(F14)&gt;0,"客户回款","客户退款"),IF(K14&lt;&gt;"",IF(N(G14)&gt;0,"供应商付款","供应商退款"),IF(L14&lt;&gt;"","费用支出","")))))</f>
        <v>客户回款</v>
      </c>
      <c r="P14" s="78" t="str">
        <f>IF(O14="","",IFERROR(INDEX(基础资料!$AE$5:$AE$34,MATCH(O14,基础资料!$AC$5:$AC$34,0)),"未知"))</f>
        <v>应收</v>
      </c>
      <c r="Q14" s="78">
        <f>IF(P14="应收",COUNTIF(P$7:P14,"应收"),"")</f>
        <v>8</v>
      </c>
      <c r="R14" s="78">
        <f>IF(P14="应付",COUNTIF(P$7:P14,"应付"),"")</f>
      </c>
      <c r="S14" s="78">
        <f>N(F14)-N(G14)</f>
        <v>437965</v>
      </c>
    </row>
    <row r="15">
      <c r="A15" s="109">
        <f>IF(AND(F15="",G15=""),"",ROW()-6)</f>
        <v>9</v>
      </c>
      <c r="B15" s="140" t="n">
        <v>46199</v>
      </c>
      <c r="C15" s="141" t="inlineStr">
        <is>
          <t>收款码</t>
        </is>
      </c>
      <c r="D15" s="141" t="inlineStr">
        <is>
          <t>客户回款</t>
        </is>
      </c>
      <c r="E15" s="142" t="inlineStr">
        <is>
          <t>收货款</t>
        </is>
      </c>
      <c r="F15" s="143" t="n">
        <v>18000</v>
      </c>
      <c r="G15" s="144" t="n"/>
      <c r="H15" s="145">
        <f>IF(OR(C15="",AND(F15="",G15="")),"",SUMIF(基础资料!$W$5:$W$24,C15,基础资料!$X$5:$X$24)+SUMIF(C$7:C15,C15,F$7:F15)-SUMIF(C$7:C15,C15,G$7:G15))</f>
        <v>2020200.69</v>
      </c>
      <c r="I15" s="145">
        <f>IF(AND(F15="",G15=""),"",SUM(基础资料!$X$5:$X$24)+SUM(F$7:F15)-SUM(G$7:G15))</f>
        <v>2020200.69</v>
      </c>
      <c r="J15" s="141" t="inlineStr">
        <is>
          <t>通达商行</t>
        </is>
      </c>
      <c r="K15" s="141" t="n"/>
      <c r="L15" s="141" t="n"/>
      <c r="M15" s="142" t="n"/>
      <c r="N15" s="146" t="str">
        <f>IF(AND(AND(F15="",G15=""),B15="",C15="",D15="",J15="",K15="",L15=""),"",IF(AND(F15="",G15=""),"✗ 没填金额",IF(AND(N(F15)&lt;&gt;0,N(G15)&lt;&gt;0),"✗ 收入、支出只能填一边",IF(NOT(ISNUMBER(B15)),"✗ 日期不是真日期（要像 2026/9/25 这样填）",IF(OR(B15&lt;年初日,B15&gt;年末日),"✗ 日期不在本会计年度",IF(C15="","✗ 没选账户",IF(COUNTIF(基础资料!$W$5:$W$24,C15)=0,"✗ 账户不在基础资料里",IF(O15="","✗ 没选收支项目",IF(P15="未知","✗ 收支项目不在基础资料里",IF(AND(P15="应收",J15=""),"✗ 这笔要选客户",IF(AND(P15="应收",COUNTIF(总览汇总!$B$5:$B$304,J15)=0),"✗ 客户不在总览汇总名单里",IF(AND(P15="应付",K15=""),"✗ 这笔要选供应商",IF(AND(P15="应付",COUNTIF(基础资料!$Q$5:$Q$54,K15)=0),"✗ 供应商不在基础资料里",IF(AND(P15="费用",L15=""),"✗ 费用支出要选费用项目",IF(AND(L15&lt;&gt;"",COUNTIF(基础资料!$AI$5:$AI$54,L15)=0),"✗ 费用项目不在基础资料里",IF(AND(IFERROR(INDEX(基础资料!$AD$5:$AD$34,MATCH(O15,基础资料!$AC$5:$AC$34,0)),"")="收",N(G15)&lt;&gt;0),"✗ 这类是收款，金额填到收入列",IF(AND(IFERROR(INDEX(基础资料!$AD$5:$AD$34,MATCH(O15,基础资料!$AC$5:$AC$34,0)),"")="支",N(F15)&lt;&gt;0),"✗ 这类是付款，金额填到支出列",IF(N(H15)&lt;0,"⚠ 账户余额成负数了，核对一下","√"))))))))))))))))))</f>
        <v>√</v>
      </c>
      <c r="O15" s="78" t="str">
        <f>IF(D15&lt;&gt;"",D15,IF(AND(F15="",G15=""),"",IF(J15&lt;&gt;"",IF(N(F15)&gt;0,"客户回款","客户退款"),IF(K15&lt;&gt;"",IF(N(G15)&gt;0,"供应商付款","供应商退款"),IF(L15&lt;&gt;"","费用支出","")))))</f>
        <v>客户回款</v>
      </c>
      <c r="P15" s="78" t="str">
        <f>IF(O15="","",IFERROR(INDEX(基础资料!$AE$5:$AE$34,MATCH(O15,基础资料!$AC$5:$AC$34,0)),"未知"))</f>
        <v>应收</v>
      </c>
      <c r="Q15" s="78">
        <f>IF(P15="应收",COUNTIF(P$7:P15,"应收"),"")</f>
        <v>9</v>
      </c>
      <c r="R15" s="78">
        <f>IF(P15="应付",COUNTIF(P$7:P15,"应付"),"")</f>
      </c>
      <c r="S15" s="78">
        <f>N(F15)-N(G15)</f>
        <v>18000</v>
      </c>
    </row>
    <row r="16">
      <c r="A16" s="109">
        <f>IF(AND(F16="",G16=""),"",ROW()-6)</f>
        <v>10</v>
      </c>
      <c r="B16" s="140" t="n">
        <v>46199</v>
      </c>
      <c r="C16" s="141" t="inlineStr">
        <is>
          <t>收款码</t>
        </is>
      </c>
      <c r="D16" s="141" t="inlineStr">
        <is>
          <t>客户回款</t>
        </is>
      </c>
      <c r="E16" s="142" t="inlineStr">
        <is>
          <t>收货款</t>
        </is>
      </c>
      <c r="F16" s="143" t="n">
        <v>54000</v>
      </c>
      <c r="G16" s="144" t="n"/>
      <c r="H16" s="145">
        <f>IF(OR(C16="",AND(F16="",G16="")),"",SUMIF(基础资料!$W$5:$W$24,C16,基础资料!$X$5:$X$24)+SUMIF(C$7:C16,C16,F$7:F16)-SUMIF(C$7:C16,C16,G$7:G16))</f>
        <v>2074200.69</v>
      </c>
      <c r="I16" s="145">
        <f>IF(AND(F16="",G16=""),"",SUM(基础资料!$X$5:$X$24)+SUM(F$7:F16)-SUM(G$7:G16))</f>
        <v>2074200.69</v>
      </c>
      <c r="J16" s="141" t="inlineStr">
        <is>
          <t>宜兴粮油</t>
        </is>
      </c>
      <c r="K16" s="141" t="n"/>
      <c r="L16" s="141" t="n"/>
      <c r="M16" s="142" t="n"/>
      <c r="N16" s="146" t="str">
        <f>IF(AND(AND(F16="",G16=""),B16="",C16="",D16="",J16="",K16="",L16=""),"",IF(AND(F16="",G16=""),"✗ 没填金额",IF(AND(N(F16)&lt;&gt;0,N(G16)&lt;&gt;0),"✗ 收入、支出只能填一边",IF(NOT(ISNUMBER(B16)),"✗ 日期不是真日期（要像 2026/9/25 这样填）",IF(OR(B16&lt;年初日,B16&gt;年末日),"✗ 日期不在本会计年度",IF(C16="","✗ 没选账户",IF(COUNTIF(基础资料!$W$5:$W$24,C16)=0,"✗ 账户不在基础资料里",IF(O16="","✗ 没选收支项目",IF(P16="未知","✗ 收支项目不在基础资料里",IF(AND(P16="应收",J16=""),"✗ 这笔要选客户",IF(AND(P16="应收",COUNTIF(总览汇总!$B$5:$B$304,J16)=0),"✗ 客户不在总览汇总名单里",IF(AND(P16="应付",K16=""),"✗ 这笔要选供应商",IF(AND(P16="应付",COUNTIF(基础资料!$Q$5:$Q$54,K16)=0),"✗ 供应商不在基础资料里",IF(AND(P16="费用",L16=""),"✗ 费用支出要选费用项目",IF(AND(L16&lt;&gt;"",COUNTIF(基础资料!$AI$5:$AI$54,L16)=0),"✗ 费用项目不在基础资料里",IF(AND(IFERROR(INDEX(基础资料!$AD$5:$AD$34,MATCH(O16,基础资料!$AC$5:$AC$34,0)),"")="收",N(G16)&lt;&gt;0),"✗ 这类是收款，金额填到收入列",IF(AND(IFERROR(INDEX(基础资料!$AD$5:$AD$34,MATCH(O16,基础资料!$AC$5:$AC$34,0)),"")="支",N(F16)&lt;&gt;0),"✗ 这类是付款，金额填到支出列",IF(N(H16)&lt;0,"⚠ 账户余额成负数了，核对一下","√"))))))))))))))))))</f>
        <v>√</v>
      </c>
      <c r="O16" s="78" t="str">
        <f>IF(D16&lt;&gt;"",D16,IF(AND(F16="",G16=""),"",IF(J16&lt;&gt;"",IF(N(F16)&gt;0,"客户回款","客户退款"),IF(K16&lt;&gt;"",IF(N(G16)&gt;0,"供应商付款","供应商退款"),IF(L16&lt;&gt;"","费用支出","")))))</f>
        <v>客户回款</v>
      </c>
      <c r="P16" s="78" t="str">
        <f>IF(O16="","",IFERROR(INDEX(基础资料!$AE$5:$AE$34,MATCH(O16,基础资料!$AC$5:$AC$34,0)),"未知"))</f>
        <v>应收</v>
      </c>
      <c r="Q16" s="78">
        <f>IF(P16="应收",COUNTIF(P$7:P16,"应收"),"")</f>
        <v>10</v>
      </c>
      <c r="R16" s="78">
        <f>IF(P16="应付",COUNTIF(P$7:P16,"应付"),"")</f>
      </c>
      <c r="S16" s="78">
        <f>N(F16)-N(G16)</f>
        <v>54000</v>
      </c>
    </row>
    <row r="17">
      <c r="A17" s="109">
        <f>IF(AND(F17="",G17=""),"",ROW()-6)</f>
        <v>11</v>
      </c>
      <c r="B17" s="140" t="n">
        <v>46200</v>
      </c>
      <c r="C17" s="141" t="inlineStr">
        <is>
          <t>收款码</t>
        </is>
      </c>
      <c r="D17" s="141" t="inlineStr">
        <is>
          <t>客户回款</t>
        </is>
      </c>
      <c r="E17" s="142" t="inlineStr">
        <is>
          <t>东鹏新品订货款</t>
        </is>
      </c>
      <c r="F17" s="143" t="n">
        <v>840</v>
      </c>
      <c r="G17" s="144" t="n"/>
      <c r="H17" s="145">
        <f>IF(OR(C17="",AND(F17="",G17="")),"",SUMIF(基础资料!$W$5:$W$24,C17,基础资料!$X$5:$X$24)+SUMIF(C$7:C17,C17,F$7:F17)-SUMIF(C$7:C17,C17,G$7:G17))</f>
        <v>2075040.69</v>
      </c>
      <c r="I17" s="145">
        <f>IF(AND(F17="",G17=""),"",SUM(基础资料!$X$5:$X$24)+SUM(F$7:F17)-SUM(G$7:G17))</f>
        <v>2075040.69</v>
      </c>
      <c r="J17" s="141" t="inlineStr">
        <is>
          <t>马路下小卖部</t>
        </is>
      </c>
      <c r="K17" s="141" t="n"/>
      <c r="L17" s="141" t="n"/>
      <c r="M17" s="142" t="n"/>
      <c r="N17" s="146" t="str">
        <f>IF(AND(AND(F17="",G17=""),B17="",C17="",D17="",J17="",K17="",L17=""),"",IF(AND(F17="",G17=""),"✗ 没填金额",IF(AND(N(F17)&lt;&gt;0,N(G17)&lt;&gt;0),"✗ 收入、支出只能填一边",IF(NOT(ISNUMBER(B17)),"✗ 日期不是真日期（要像 2026/9/25 这样填）",IF(OR(B17&lt;年初日,B17&gt;年末日),"✗ 日期不在本会计年度",IF(C17="","✗ 没选账户",IF(COUNTIF(基础资料!$W$5:$W$24,C17)=0,"✗ 账户不在基础资料里",IF(O17="","✗ 没选收支项目",IF(P17="未知","✗ 收支项目不在基础资料里",IF(AND(P17="应收",J17=""),"✗ 这笔要选客户",IF(AND(P17="应收",COUNTIF(总览汇总!$B$5:$B$304,J17)=0),"✗ 客户不在总览汇总名单里",IF(AND(P17="应付",K17=""),"✗ 这笔要选供应商",IF(AND(P17="应付",COUNTIF(基础资料!$Q$5:$Q$54,K17)=0),"✗ 供应商不在基础资料里",IF(AND(P17="费用",L17=""),"✗ 费用支出要选费用项目",IF(AND(L17&lt;&gt;"",COUNTIF(基础资料!$AI$5:$AI$54,L17)=0),"✗ 费用项目不在基础资料里",IF(AND(IFERROR(INDEX(基础资料!$AD$5:$AD$34,MATCH(O17,基础资料!$AC$5:$AC$34,0)),"")="收",N(G17)&lt;&gt;0),"✗ 这类是收款，金额填到收入列",IF(AND(IFERROR(INDEX(基础资料!$AD$5:$AD$34,MATCH(O17,基础资料!$AC$5:$AC$34,0)),"")="支",N(F17)&lt;&gt;0),"✗ 这类是付款，金额填到支出列",IF(N(H17)&lt;0,"⚠ 账户余额成负数了，核对一下","√"))))))))))))))))))</f>
        <v>√</v>
      </c>
      <c r="O17" s="78" t="str">
        <f>IF(D17&lt;&gt;"",D17,IF(AND(F17="",G17=""),"",IF(J17&lt;&gt;"",IF(N(F17)&gt;0,"客户回款","客户退款"),IF(K17&lt;&gt;"",IF(N(G17)&gt;0,"供应商付款","供应商退款"),IF(L17&lt;&gt;"","费用支出","")))))</f>
        <v>客户回款</v>
      </c>
      <c r="P17" s="78" t="str">
        <f>IF(O17="","",IFERROR(INDEX(基础资料!$AE$5:$AE$34,MATCH(O17,基础资料!$AC$5:$AC$34,0)),"未知"))</f>
        <v>应收</v>
      </c>
      <c r="Q17" s="78">
        <f>IF(P17="应收",COUNTIF(P$7:P17,"应收"),"")</f>
        <v>11</v>
      </c>
      <c r="R17" s="78">
        <f>IF(P17="应付",COUNTIF(P$7:P17,"应付"),"")</f>
      </c>
      <c r="S17" s="78">
        <f>N(F17)-N(G17)</f>
        <v>840</v>
      </c>
    </row>
    <row r="18">
      <c r="A18" s="109">
        <f>IF(AND(F18="",G18=""),"",ROW()-6)</f>
        <v>12</v>
      </c>
      <c r="B18" s="140" t="n">
        <v>46200</v>
      </c>
      <c r="C18" s="141" t="inlineStr">
        <is>
          <t>收款码</t>
        </is>
      </c>
      <c r="D18" s="141" t="inlineStr">
        <is>
          <t>客户回款</t>
        </is>
      </c>
      <c r="E18" s="142" t="inlineStr">
        <is>
          <t>收货款</t>
        </is>
      </c>
      <c r="F18" s="143" t="n">
        <v>30043</v>
      </c>
      <c r="G18" s="144" t="n"/>
      <c r="H18" s="145">
        <f>IF(OR(C18="",AND(F18="",G18="")),"",SUMIF(基础资料!$W$5:$W$24,C18,基础资料!$X$5:$X$24)+SUMIF(C$7:C18,C18,F$7:F18)-SUMIF(C$7:C18,C18,G$7:G18))</f>
        <v>2105083.69</v>
      </c>
      <c r="I18" s="145">
        <f>IF(AND(F18="",G18=""),"",SUM(基础资料!$X$5:$X$24)+SUM(F$7:F18)-SUM(G$7:G18))</f>
        <v>2105083.69</v>
      </c>
      <c r="J18" s="141" t="inlineStr">
        <is>
          <t>兴莲隆兴商行</t>
        </is>
      </c>
      <c r="K18" s="141" t="n"/>
      <c r="L18" s="141" t="n"/>
      <c r="M18" s="142" t="n"/>
      <c r="N18" s="146" t="str">
        <f>IF(AND(AND(F18="",G18=""),B18="",C18="",D18="",J18="",K18="",L18=""),"",IF(AND(F18="",G18=""),"✗ 没填金额",IF(AND(N(F18)&lt;&gt;0,N(G18)&lt;&gt;0),"✗ 收入、支出只能填一边",IF(NOT(ISNUMBER(B18)),"✗ 日期不是真日期（要像 2026/9/25 这样填）",IF(OR(B18&lt;年初日,B18&gt;年末日),"✗ 日期不在本会计年度",IF(C18="","✗ 没选账户",IF(COUNTIF(基础资料!$W$5:$W$24,C18)=0,"✗ 账户不在基础资料里",IF(O18="","✗ 没选收支项目",IF(P18="未知","✗ 收支项目不在基础资料里",IF(AND(P18="应收",J18=""),"✗ 这笔要选客户",IF(AND(P18="应收",COUNTIF(总览汇总!$B$5:$B$304,J18)=0),"✗ 客户不在总览汇总名单里",IF(AND(P18="应付",K18=""),"✗ 这笔要选供应商",IF(AND(P18="应付",COUNTIF(基础资料!$Q$5:$Q$54,K18)=0),"✗ 供应商不在基础资料里",IF(AND(P18="费用",L18=""),"✗ 费用支出要选费用项目",IF(AND(L18&lt;&gt;"",COUNTIF(基础资料!$AI$5:$AI$54,L18)=0),"✗ 费用项目不在基础资料里",IF(AND(IFERROR(INDEX(基础资料!$AD$5:$AD$34,MATCH(O18,基础资料!$AC$5:$AC$34,0)),"")="收",N(G18)&lt;&gt;0),"✗ 这类是收款，金额填到收入列",IF(AND(IFERROR(INDEX(基础资料!$AD$5:$AD$34,MATCH(O18,基础资料!$AC$5:$AC$34,0)),"")="支",N(F18)&lt;&gt;0),"✗ 这类是付款，金额填到支出列",IF(N(H18)&lt;0,"⚠ 账户余额成负数了，核对一下","√"))))))))))))))))))</f>
        <v>√</v>
      </c>
      <c r="O18" s="78" t="str">
        <f>IF(D18&lt;&gt;"",D18,IF(AND(F18="",G18=""),"",IF(J18&lt;&gt;"",IF(N(F18)&gt;0,"客户回款","客户退款"),IF(K18&lt;&gt;"",IF(N(G18)&gt;0,"供应商付款","供应商退款"),IF(L18&lt;&gt;"","费用支出","")))))</f>
        <v>客户回款</v>
      </c>
      <c r="P18" s="78" t="str">
        <f>IF(O18="","",IFERROR(INDEX(基础资料!$AE$5:$AE$34,MATCH(O18,基础资料!$AC$5:$AC$34,0)),"未知"))</f>
        <v>应收</v>
      </c>
      <c r="Q18" s="78">
        <f>IF(P18="应收",COUNTIF(P$7:P18,"应收"),"")</f>
        <v>12</v>
      </c>
      <c r="R18" s="78">
        <f>IF(P18="应付",COUNTIF(P$7:P18,"应付"),"")</f>
      </c>
      <c r="S18" s="78">
        <f>N(F18)-N(G18)</f>
        <v>30043</v>
      </c>
    </row>
    <row r="19">
      <c r="A19" s="109">
        <f>IF(AND(F19="",G19=""),"",ROW()-6)</f>
        <v>13</v>
      </c>
      <c r="B19" s="140" t="n">
        <v>46200</v>
      </c>
      <c r="C19" s="141" t="inlineStr">
        <is>
          <t>收款码</t>
        </is>
      </c>
      <c r="D19" s="141" t="inlineStr">
        <is>
          <t>客户回款</t>
        </is>
      </c>
      <c r="E19" s="142" t="inlineStr">
        <is>
          <t>收货款</t>
        </is>
      </c>
      <c r="F19" s="143" t="n">
        <v>27000</v>
      </c>
      <c r="G19" s="144" t="n"/>
      <c r="H19" s="145">
        <f>IF(OR(C19="",AND(F19="",G19="")),"",SUMIF(基础资料!$W$5:$W$24,C19,基础资料!$X$5:$X$24)+SUMIF(C$7:C19,C19,F$7:F19)-SUMIF(C$7:C19,C19,G$7:G19))</f>
        <v>2132083.69</v>
      </c>
      <c r="I19" s="145">
        <f>IF(AND(F19="",G19=""),"",SUM(基础资料!$X$5:$X$24)+SUM(F$7:F19)-SUM(G$7:G19))</f>
        <v>2132083.69</v>
      </c>
      <c r="J19" s="141" t="inlineStr">
        <is>
          <t>诚信粮油</t>
        </is>
      </c>
      <c r="K19" s="141" t="n"/>
      <c r="L19" s="141" t="n"/>
      <c r="M19" s="142" t="n"/>
      <c r="N19" s="146" t="str">
        <f>IF(AND(AND(F19="",G19=""),B19="",C19="",D19="",J19="",K19="",L19=""),"",IF(AND(F19="",G19=""),"✗ 没填金额",IF(AND(N(F19)&lt;&gt;0,N(G19)&lt;&gt;0),"✗ 收入、支出只能填一边",IF(NOT(ISNUMBER(B19)),"✗ 日期不是真日期（要像 2026/9/25 这样填）",IF(OR(B19&lt;年初日,B19&gt;年末日),"✗ 日期不在本会计年度",IF(C19="","✗ 没选账户",IF(COUNTIF(基础资料!$W$5:$W$24,C19)=0,"✗ 账户不在基础资料里",IF(O19="","✗ 没选收支项目",IF(P19="未知","✗ 收支项目不在基础资料里",IF(AND(P19="应收",J19=""),"✗ 这笔要选客户",IF(AND(P19="应收",COUNTIF(总览汇总!$B$5:$B$304,J19)=0),"✗ 客户不在总览汇总名单里",IF(AND(P19="应付",K19=""),"✗ 这笔要选供应商",IF(AND(P19="应付",COUNTIF(基础资料!$Q$5:$Q$54,K19)=0),"✗ 供应商不在基础资料里",IF(AND(P19="费用",L19=""),"✗ 费用支出要选费用项目",IF(AND(L19&lt;&gt;"",COUNTIF(基础资料!$AI$5:$AI$54,L19)=0),"✗ 费用项目不在基础资料里",IF(AND(IFERROR(INDEX(基础资料!$AD$5:$AD$34,MATCH(O19,基础资料!$AC$5:$AC$34,0)),"")="收",N(G19)&lt;&gt;0),"✗ 这类是收款，金额填到收入列",IF(AND(IFERROR(INDEX(基础资料!$AD$5:$AD$34,MATCH(O19,基础资料!$AC$5:$AC$34,0)),"")="支",N(F19)&lt;&gt;0),"✗ 这类是付款，金额填到支出列",IF(N(H19)&lt;0,"⚠ 账户余额成负数了，核对一下","√"))))))))))))))))))</f>
        <v>√</v>
      </c>
      <c r="O19" s="78" t="str">
        <f>IF(D19&lt;&gt;"",D19,IF(AND(F19="",G19=""),"",IF(J19&lt;&gt;"",IF(N(F19)&gt;0,"客户回款","客户退款"),IF(K19&lt;&gt;"",IF(N(G19)&gt;0,"供应商付款","供应商退款"),IF(L19&lt;&gt;"","费用支出","")))))</f>
        <v>客户回款</v>
      </c>
      <c r="P19" s="78" t="str">
        <f>IF(O19="","",IFERROR(INDEX(基础资料!$AE$5:$AE$34,MATCH(O19,基础资料!$AC$5:$AC$34,0)),"未知"))</f>
        <v>应收</v>
      </c>
      <c r="Q19" s="78">
        <f>IF(P19="应收",COUNTIF(P$7:P19,"应收"),"")</f>
        <v>13</v>
      </c>
      <c r="R19" s="78">
        <f>IF(P19="应付",COUNTIF(P$7:P19,"应付"),"")</f>
      </c>
      <c r="S19" s="78">
        <f>N(F19)-N(G19)</f>
        <v>27000</v>
      </c>
    </row>
    <row r="20">
      <c r="A20" s="109">
        <f>IF(AND(F20="",G20=""),"",ROW()-6)</f>
        <v>14</v>
      </c>
      <c r="B20" s="140" t="n">
        <v>46200</v>
      </c>
      <c r="C20" s="141" t="inlineStr">
        <is>
          <t>收款码</t>
        </is>
      </c>
      <c r="D20" s="141" t="inlineStr">
        <is>
          <t>客户回款</t>
        </is>
      </c>
      <c r="E20" s="142" t="inlineStr">
        <is>
          <t>东鹏新品订货款</t>
        </is>
      </c>
      <c r="F20" s="143" t="n">
        <v>2565</v>
      </c>
      <c r="G20" s="144" t="n"/>
      <c r="H20" s="145">
        <f>IF(OR(C20="",AND(F20="",G20="")),"",SUMIF(基础资料!$W$5:$W$24,C20,基础资料!$X$5:$X$24)+SUMIF(C$7:C20,C20,F$7:F20)-SUMIF(C$7:C20,C20,G$7:G20))</f>
        <v>2134648.69</v>
      </c>
      <c r="I20" s="145">
        <f>IF(AND(F20="",G20=""),"",SUM(基础资料!$X$5:$X$24)+SUM(F$7:F20)-SUM(G$7:G20))</f>
        <v>2134648.69</v>
      </c>
      <c r="J20" s="141" t="inlineStr">
        <is>
          <t>诚信粮油</t>
        </is>
      </c>
      <c r="K20" s="141" t="n"/>
      <c r="L20" s="141" t="n"/>
      <c r="M20" s="142" t="n"/>
      <c r="N20" s="146" t="str">
        <f>IF(AND(AND(F20="",G20=""),B20="",C20="",D20="",J20="",K20="",L20=""),"",IF(AND(F20="",G20=""),"✗ 没填金额",IF(AND(N(F20)&lt;&gt;0,N(G20)&lt;&gt;0),"✗ 收入、支出只能填一边",IF(NOT(ISNUMBER(B20)),"✗ 日期不是真日期（要像 2026/9/25 这样填）",IF(OR(B20&lt;年初日,B20&gt;年末日),"✗ 日期不在本会计年度",IF(C20="","✗ 没选账户",IF(COUNTIF(基础资料!$W$5:$W$24,C20)=0,"✗ 账户不在基础资料里",IF(O20="","✗ 没选收支项目",IF(P20="未知","✗ 收支项目不在基础资料里",IF(AND(P20="应收",J20=""),"✗ 这笔要选客户",IF(AND(P20="应收",COUNTIF(总览汇总!$B$5:$B$304,J20)=0),"✗ 客户不在总览汇总名单里",IF(AND(P20="应付",K20=""),"✗ 这笔要选供应商",IF(AND(P20="应付",COUNTIF(基础资料!$Q$5:$Q$54,K20)=0),"✗ 供应商不在基础资料里",IF(AND(P20="费用",L20=""),"✗ 费用支出要选费用项目",IF(AND(L20&lt;&gt;"",COUNTIF(基础资料!$AI$5:$AI$54,L20)=0),"✗ 费用项目不在基础资料里",IF(AND(IFERROR(INDEX(基础资料!$AD$5:$AD$34,MATCH(O20,基础资料!$AC$5:$AC$34,0)),"")="收",N(G20)&lt;&gt;0),"✗ 这类是收款，金额填到收入列",IF(AND(IFERROR(INDEX(基础资料!$AD$5:$AD$34,MATCH(O20,基础资料!$AC$5:$AC$34,0)),"")="支",N(F20)&lt;&gt;0),"✗ 这类是付款，金额填到支出列",IF(N(H20)&lt;0,"⚠ 账户余额成负数了，核对一下","√"))))))))))))))))))</f>
        <v>√</v>
      </c>
      <c r="O20" s="78" t="str">
        <f>IF(D20&lt;&gt;"",D20,IF(AND(F20="",G20=""),"",IF(J20&lt;&gt;"",IF(N(F20)&gt;0,"客户回款","客户退款"),IF(K20&lt;&gt;"",IF(N(G20)&gt;0,"供应商付款","供应商退款"),IF(L20&lt;&gt;"","费用支出","")))))</f>
        <v>客户回款</v>
      </c>
      <c r="P20" s="78" t="str">
        <f>IF(O20="","",IFERROR(INDEX(基础资料!$AE$5:$AE$34,MATCH(O20,基础资料!$AC$5:$AC$34,0)),"未知"))</f>
        <v>应收</v>
      </c>
      <c r="Q20" s="78">
        <f>IF(P20="应收",COUNTIF(P$7:P20,"应收"),"")</f>
        <v>14</v>
      </c>
      <c r="R20" s="78">
        <f>IF(P20="应付",COUNTIF(P$7:P20,"应付"),"")</f>
      </c>
      <c r="S20" s="78">
        <f>N(F20)-N(G20)</f>
        <v>2565</v>
      </c>
    </row>
    <row r="21">
      <c r="A21" s="109">
        <f>IF(AND(F21="",G21=""),"",ROW()-6)</f>
        <v>15</v>
      </c>
      <c r="B21" s="140" t="n">
        <v>46200</v>
      </c>
      <c r="C21" s="141" t="inlineStr">
        <is>
          <t>收款码</t>
        </is>
      </c>
      <c r="D21" s="141" t="inlineStr">
        <is>
          <t>客户回款</t>
        </is>
      </c>
      <c r="E21" s="142" t="inlineStr">
        <is>
          <t>东鹏新品订货款</t>
        </is>
      </c>
      <c r="F21" s="143" t="n">
        <v>6930</v>
      </c>
      <c r="G21" s="144" t="n"/>
      <c r="H21" s="145">
        <f>IF(OR(C21="",AND(F21="",G21="")),"",SUMIF(基础资料!$W$5:$W$24,C21,基础资料!$X$5:$X$24)+SUMIF(C$7:C21,C21,F$7:F21)-SUMIF(C$7:C21,C21,G$7:G21))</f>
        <v>2141578.69</v>
      </c>
      <c r="I21" s="145">
        <f>IF(AND(F21="",G21=""),"",SUM(基础资料!$X$5:$X$24)+SUM(F$7:F21)-SUM(G$7:G21))</f>
        <v>2141578.69</v>
      </c>
      <c r="J21" s="141" t="inlineStr">
        <is>
          <t>李记副食</t>
        </is>
      </c>
      <c r="K21" s="141" t="n"/>
      <c r="L21" s="141" t="n"/>
      <c r="M21" s="142" t="n"/>
      <c r="N21" s="146" t="str">
        <f>IF(AND(AND(F21="",G21=""),B21="",C21="",D21="",J21="",K21="",L21=""),"",IF(AND(F21="",G21=""),"✗ 没填金额",IF(AND(N(F21)&lt;&gt;0,N(G21)&lt;&gt;0),"✗ 收入、支出只能填一边",IF(NOT(ISNUMBER(B21)),"✗ 日期不是真日期（要像 2026/9/25 这样填）",IF(OR(B21&lt;年初日,B21&gt;年末日),"✗ 日期不在本会计年度",IF(C21="","✗ 没选账户",IF(COUNTIF(基础资料!$W$5:$W$24,C21)=0,"✗ 账户不在基础资料里",IF(O21="","✗ 没选收支项目",IF(P21="未知","✗ 收支项目不在基础资料里",IF(AND(P21="应收",J21=""),"✗ 这笔要选客户",IF(AND(P21="应收",COUNTIF(总览汇总!$B$5:$B$304,J21)=0),"✗ 客户不在总览汇总名单里",IF(AND(P21="应付",K21=""),"✗ 这笔要选供应商",IF(AND(P21="应付",COUNTIF(基础资料!$Q$5:$Q$54,K21)=0),"✗ 供应商不在基础资料里",IF(AND(P21="费用",L21=""),"✗ 费用支出要选费用项目",IF(AND(L21&lt;&gt;"",COUNTIF(基础资料!$AI$5:$AI$54,L21)=0),"✗ 费用项目不在基础资料里",IF(AND(IFERROR(INDEX(基础资料!$AD$5:$AD$34,MATCH(O21,基础资料!$AC$5:$AC$34,0)),"")="收",N(G21)&lt;&gt;0),"✗ 这类是收款，金额填到收入列",IF(AND(IFERROR(INDEX(基础资料!$AD$5:$AD$34,MATCH(O21,基础资料!$AC$5:$AC$34,0)),"")="支",N(F21)&lt;&gt;0),"✗ 这类是付款，金额填到支出列",IF(N(H21)&lt;0,"⚠ 账户余额成负数了，核对一下","√"))))))))))))))))))</f>
        <v>√</v>
      </c>
      <c r="O21" s="78" t="str">
        <f>IF(D21&lt;&gt;"",D21,IF(AND(F21="",G21=""),"",IF(J21&lt;&gt;"",IF(N(F21)&gt;0,"客户回款","客户退款"),IF(K21&lt;&gt;"",IF(N(G21)&gt;0,"供应商付款","供应商退款"),IF(L21&lt;&gt;"","费用支出","")))))</f>
        <v>客户回款</v>
      </c>
      <c r="P21" s="78" t="str">
        <f>IF(O21="","",IFERROR(INDEX(基础资料!$AE$5:$AE$34,MATCH(O21,基础资料!$AC$5:$AC$34,0)),"未知"))</f>
        <v>应收</v>
      </c>
      <c r="Q21" s="78">
        <f>IF(P21="应收",COUNTIF(P$7:P21,"应收"),"")</f>
        <v>15</v>
      </c>
      <c r="R21" s="78">
        <f>IF(P21="应付",COUNTIF(P$7:P21,"应付"),"")</f>
      </c>
      <c r="S21" s="78">
        <f>N(F21)-N(G21)</f>
        <v>6930</v>
      </c>
    </row>
    <row r="22">
      <c r="A22" s="109">
        <f>IF(AND(F22="",G22=""),"",ROW()-6)</f>
        <v>16</v>
      </c>
      <c r="B22" s="140" t="n">
        <v>46200</v>
      </c>
      <c r="C22" s="141" t="inlineStr">
        <is>
          <t>收款码</t>
        </is>
      </c>
      <c r="D22" s="141" t="inlineStr">
        <is>
          <t>客户回款</t>
        </is>
      </c>
      <c r="E22" s="142" t="inlineStr">
        <is>
          <t>收货款</t>
        </is>
      </c>
      <c r="F22" s="143" t="n">
        <v>32440</v>
      </c>
      <c r="G22" s="144" t="n"/>
      <c r="H22" s="145">
        <f>IF(OR(C22="",AND(F22="",G22="")),"",SUMIF(基础资料!$W$5:$W$24,C22,基础资料!$X$5:$X$24)+SUMIF(C$7:C22,C22,F$7:F22)-SUMIF(C$7:C22,C22,G$7:G22))</f>
        <v>2174018.69</v>
      </c>
      <c r="I22" s="145">
        <f>IF(AND(F22="",G22=""),"",SUM(基础资料!$X$5:$X$24)+SUM(F$7:F22)-SUM(G$7:G22))</f>
        <v>2174018.69</v>
      </c>
      <c r="J22" s="141" t="inlineStr">
        <is>
          <t>吕维春</t>
        </is>
      </c>
      <c r="K22" s="141" t="n"/>
      <c r="L22" s="141" t="n"/>
      <c r="M22" s="142" t="n"/>
      <c r="N22" s="146" t="str">
        <f>IF(AND(AND(F22="",G22=""),B22="",C22="",D22="",J22="",K22="",L22=""),"",IF(AND(F22="",G22=""),"✗ 没填金额",IF(AND(N(F22)&lt;&gt;0,N(G22)&lt;&gt;0),"✗ 收入、支出只能填一边",IF(NOT(ISNUMBER(B22)),"✗ 日期不是真日期（要像 2026/9/25 这样填）",IF(OR(B22&lt;年初日,B22&gt;年末日),"✗ 日期不在本会计年度",IF(C22="","✗ 没选账户",IF(COUNTIF(基础资料!$W$5:$W$24,C22)=0,"✗ 账户不在基础资料里",IF(O22="","✗ 没选收支项目",IF(P22="未知","✗ 收支项目不在基础资料里",IF(AND(P22="应收",J22=""),"✗ 这笔要选客户",IF(AND(P22="应收",COUNTIF(总览汇总!$B$5:$B$304,J22)=0),"✗ 客户不在总览汇总名单里",IF(AND(P22="应付",K22=""),"✗ 这笔要选供应商",IF(AND(P22="应付",COUNTIF(基础资料!$Q$5:$Q$54,K22)=0),"✗ 供应商不在基础资料里",IF(AND(P22="费用",L22=""),"✗ 费用支出要选费用项目",IF(AND(L22&lt;&gt;"",COUNTIF(基础资料!$AI$5:$AI$54,L22)=0),"✗ 费用项目不在基础资料里",IF(AND(IFERROR(INDEX(基础资料!$AD$5:$AD$34,MATCH(O22,基础资料!$AC$5:$AC$34,0)),"")="收",N(G22)&lt;&gt;0),"✗ 这类是收款，金额填到收入列",IF(AND(IFERROR(INDEX(基础资料!$AD$5:$AD$34,MATCH(O22,基础资料!$AC$5:$AC$34,0)),"")="支",N(F22)&lt;&gt;0),"✗ 这类是付款，金额填到支出列",IF(N(H22)&lt;0,"⚠ 账户余额成负数了，核对一下","√"))))))))))))))))))</f>
        <v>√</v>
      </c>
      <c r="O22" s="78" t="str">
        <f>IF(D22&lt;&gt;"",D22,IF(AND(F22="",G22=""),"",IF(J22&lt;&gt;"",IF(N(F22)&gt;0,"客户回款","客户退款"),IF(K22&lt;&gt;"",IF(N(G22)&gt;0,"供应商付款","供应商退款"),IF(L22&lt;&gt;"","费用支出","")))))</f>
        <v>客户回款</v>
      </c>
      <c r="P22" s="78" t="str">
        <f>IF(O22="","",IFERROR(INDEX(基础资料!$AE$5:$AE$34,MATCH(O22,基础资料!$AC$5:$AC$34,0)),"未知"))</f>
        <v>应收</v>
      </c>
      <c r="Q22" s="78">
        <f>IF(P22="应收",COUNTIF(P$7:P22,"应收"),"")</f>
        <v>16</v>
      </c>
      <c r="R22" s="78">
        <f>IF(P22="应付",COUNTIF(P$7:P22,"应付"),"")</f>
      </c>
      <c r="S22" s="78">
        <f>N(F22)-N(G22)</f>
        <v>32440</v>
      </c>
    </row>
    <row r="23">
      <c r="A23" s="109">
        <f>IF(AND(F23="",G23=""),"",ROW()-6)</f>
        <v>17</v>
      </c>
      <c r="B23" s="140" t="n">
        <v>46200</v>
      </c>
      <c r="C23" s="141" t="inlineStr">
        <is>
          <t>收款码</t>
        </is>
      </c>
      <c r="D23" s="141" t="inlineStr">
        <is>
          <t>客户回款</t>
        </is>
      </c>
      <c r="E23" s="142" t="inlineStr">
        <is>
          <t>收货款</t>
        </is>
      </c>
      <c r="F23" s="143" t="n">
        <v>15300</v>
      </c>
      <c r="G23" s="144" t="n"/>
      <c r="H23" s="145">
        <f>IF(OR(C23="",AND(F23="",G23="")),"",SUMIF(基础资料!$W$5:$W$24,C23,基础资料!$X$5:$X$24)+SUMIF(C$7:C23,C23,F$7:F23)-SUMIF(C$7:C23,C23,G$7:G23))</f>
        <v>2189318.69</v>
      </c>
      <c r="I23" s="145">
        <f>IF(AND(F23="",G23=""),"",SUM(基础资料!$X$5:$X$24)+SUM(F$7:F23)-SUM(G$7:G23))</f>
        <v>2189318.69</v>
      </c>
      <c r="J23" s="141" t="inlineStr">
        <is>
          <t>兴发商行</t>
        </is>
      </c>
      <c r="K23" s="141" t="n"/>
      <c r="L23" s="141" t="n"/>
      <c r="M23" s="142" t="n"/>
      <c r="N23" s="146" t="str">
        <f>IF(AND(AND(F23="",G23=""),B23="",C23="",D23="",J23="",K23="",L23=""),"",IF(AND(F23="",G23=""),"✗ 没填金额",IF(AND(N(F23)&lt;&gt;0,N(G23)&lt;&gt;0),"✗ 收入、支出只能填一边",IF(NOT(ISNUMBER(B23)),"✗ 日期不是真日期（要像 2026/9/25 这样填）",IF(OR(B23&lt;年初日,B23&gt;年末日),"✗ 日期不在本会计年度",IF(C23="","✗ 没选账户",IF(COUNTIF(基础资料!$W$5:$W$24,C23)=0,"✗ 账户不在基础资料里",IF(O23="","✗ 没选收支项目",IF(P23="未知","✗ 收支项目不在基础资料里",IF(AND(P23="应收",J23=""),"✗ 这笔要选客户",IF(AND(P23="应收",COUNTIF(总览汇总!$B$5:$B$304,J23)=0),"✗ 客户不在总览汇总名单里",IF(AND(P23="应付",K23=""),"✗ 这笔要选供应商",IF(AND(P23="应付",COUNTIF(基础资料!$Q$5:$Q$54,K23)=0),"✗ 供应商不在基础资料里",IF(AND(P23="费用",L23=""),"✗ 费用支出要选费用项目",IF(AND(L23&lt;&gt;"",COUNTIF(基础资料!$AI$5:$AI$54,L23)=0),"✗ 费用项目不在基础资料里",IF(AND(IFERROR(INDEX(基础资料!$AD$5:$AD$34,MATCH(O23,基础资料!$AC$5:$AC$34,0)),"")="收",N(G23)&lt;&gt;0),"✗ 这类是收款，金额填到收入列",IF(AND(IFERROR(INDEX(基础资料!$AD$5:$AD$34,MATCH(O23,基础资料!$AC$5:$AC$34,0)),"")="支",N(F23)&lt;&gt;0),"✗ 这类是付款，金额填到支出列",IF(N(H23)&lt;0,"⚠ 账户余额成负数了，核对一下","√"))))))))))))))))))</f>
        <v>√</v>
      </c>
      <c r="O23" s="78" t="str">
        <f>IF(D23&lt;&gt;"",D23,IF(AND(F23="",G23=""),"",IF(J23&lt;&gt;"",IF(N(F23)&gt;0,"客户回款","客户退款"),IF(K23&lt;&gt;"",IF(N(G23)&gt;0,"供应商付款","供应商退款"),IF(L23&lt;&gt;"","费用支出","")))))</f>
        <v>客户回款</v>
      </c>
      <c r="P23" s="78" t="str">
        <f>IF(O23="","",IFERROR(INDEX(基础资料!$AE$5:$AE$34,MATCH(O23,基础资料!$AC$5:$AC$34,0)),"未知"))</f>
        <v>应收</v>
      </c>
      <c r="Q23" s="78">
        <f>IF(P23="应收",COUNTIF(P$7:P23,"应收"),"")</f>
        <v>17</v>
      </c>
      <c r="R23" s="78">
        <f>IF(P23="应付",COUNTIF(P$7:P23,"应付"),"")</f>
      </c>
      <c r="S23" s="78">
        <f>N(F23)-N(G23)</f>
        <v>15300</v>
      </c>
    </row>
    <row r="24">
      <c r="A24" s="109">
        <f>IF(AND(F24="",G24=""),"",ROW()-6)</f>
        <v>18</v>
      </c>
      <c r="B24" s="140" t="n">
        <v>46200</v>
      </c>
      <c r="C24" s="141" t="inlineStr">
        <is>
          <t>收款码</t>
        </is>
      </c>
      <c r="D24" s="141" t="inlineStr">
        <is>
          <t>客户回款</t>
        </is>
      </c>
      <c r="E24" s="142" t="inlineStr">
        <is>
          <t>收货款</t>
        </is>
      </c>
      <c r="F24" s="143" t="n">
        <v>36895</v>
      </c>
      <c r="G24" s="144" t="n"/>
      <c r="H24" s="145">
        <f>IF(OR(C24="",AND(F24="",G24="")),"",SUMIF(基础资料!$W$5:$W$24,C24,基础资料!$X$5:$X$24)+SUMIF(C$7:C24,C24,F$7:F24)-SUMIF(C$7:C24,C24,G$7:G24))</f>
        <v>2226213.69</v>
      </c>
      <c r="I24" s="145">
        <f>IF(AND(F24="",G24=""),"",SUM(基础资料!$X$5:$X$24)+SUM(F$7:F24)-SUM(G$7:G24))</f>
        <v>2226213.69</v>
      </c>
      <c r="J24" s="141" t="inlineStr">
        <is>
          <t>城岗日日升超市</t>
        </is>
      </c>
      <c r="K24" s="141" t="n"/>
      <c r="L24" s="141" t="n"/>
      <c r="M24" s="142" t="n"/>
      <c r="N24" s="146" t="str">
        <f>IF(AND(AND(F24="",G24=""),B24="",C24="",D24="",J24="",K24="",L24=""),"",IF(AND(F24="",G24=""),"✗ 没填金额",IF(AND(N(F24)&lt;&gt;0,N(G24)&lt;&gt;0),"✗ 收入、支出只能填一边",IF(NOT(ISNUMBER(B24)),"✗ 日期不是真日期（要像 2026/9/25 这样填）",IF(OR(B24&lt;年初日,B24&gt;年末日),"✗ 日期不在本会计年度",IF(C24="","✗ 没选账户",IF(COUNTIF(基础资料!$W$5:$W$24,C24)=0,"✗ 账户不在基础资料里",IF(O24="","✗ 没选收支项目",IF(P24="未知","✗ 收支项目不在基础资料里",IF(AND(P24="应收",J24=""),"✗ 这笔要选客户",IF(AND(P24="应收",COUNTIF(总览汇总!$B$5:$B$304,J24)=0),"✗ 客户不在总览汇总名单里",IF(AND(P24="应付",K24=""),"✗ 这笔要选供应商",IF(AND(P24="应付",COUNTIF(基础资料!$Q$5:$Q$54,K24)=0),"✗ 供应商不在基础资料里",IF(AND(P24="费用",L24=""),"✗ 费用支出要选费用项目",IF(AND(L24&lt;&gt;"",COUNTIF(基础资料!$AI$5:$AI$54,L24)=0),"✗ 费用项目不在基础资料里",IF(AND(IFERROR(INDEX(基础资料!$AD$5:$AD$34,MATCH(O24,基础资料!$AC$5:$AC$34,0)),"")="收",N(G24)&lt;&gt;0),"✗ 这类是收款，金额填到收入列",IF(AND(IFERROR(INDEX(基础资料!$AD$5:$AD$34,MATCH(O24,基础资料!$AC$5:$AC$34,0)),"")="支",N(F24)&lt;&gt;0),"✗ 这类是付款，金额填到支出列",IF(N(H24)&lt;0,"⚠ 账户余额成负数了，核对一下","√"))))))))))))))))))</f>
        <v>√</v>
      </c>
      <c r="O24" s="78" t="str">
        <f>IF(D24&lt;&gt;"",D24,IF(AND(F24="",G24=""),"",IF(J24&lt;&gt;"",IF(N(F24)&gt;0,"客户回款","客户退款"),IF(K24&lt;&gt;"",IF(N(G24)&gt;0,"供应商付款","供应商退款"),IF(L24&lt;&gt;"","费用支出","")))))</f>
        <v>客户回款</v>
      </c>
      <c r="P24" s="78" t="str">
        <f>IF(O24="","",IFERROR(INDEX(基础资料!$AE$5:$AE$34,MATCH(O24,基础资料!$AC$5:$AC$34,0)),"未知"))</f>
        <v>应收</v>
      </c>
      <c r="Q24" s="78">
        <f>IF(P24="应收",COUNTIF(P$7:P24,"应收"),"")</f>
        <v>18</v>
      </c>
      <c r="R24" s="78">
        <f>IF(P24="应付",COUNTIF(P$7:P24,"应付"),"")</f>
      </c>
      <c r="S24" s="78">
        <f>N(F24)-N(G24)</f>
        <v>36895</v>
      </c>
    </row>
    <row r="25">
      <c r="A25" s="109">
        <f>IF(AND(F25="",G25=""),"",ROW()-6)</f>
        <v>19</v>
      </c>
      <c r="B25" s="140" t="n">
        <v>46200</v>
      </c>
      <c r="C25" s="141" t="inlineStr">
        <is>
          <t>收款码</t>
        </is>
      </c>
      <c r="D25" s="141" t="inlineStr">
        <is>
          <t>客户回款</t>
        </is>
      </c>
      <c r="E25" s="142" t="inlineStr">
        <is>
          <t>收货款</t>
        </is>
      </c>
      <c r="F25" s="143" t="n">
        <v>21620</v>
      </c>
      <c r="G25" s="144" t="n"/>
      <c r="H25" s="145">
        <f>IF(OR(C25="",AND(F25="",G25="")),"",SUMIF(基础资料!$W$5:$W$24,C25,基础资料!$X$5:$X$24)+SUMIF(C$7:C25,C25,F$7:F25)-SUMIF(C$7:C25,C25,G$7:G25))</f>
        <v>2247833.69</v>
      </c>
      <c r="I25" s="145">
        <f>IF(AND(F25="",G25=""),"",SUM(基础资料!$X$5:$X$24)+SUM(F$7:F25)-SUM(G$7:G25))</f>
        <v>2247833.69</v>
      </c>
      <c r="J25" s="141" t="inlineStr">
        <is>
          <t>江背久明商行</t>
        </is>
      </c>
      <c r="K25" s="141" t="n"/>
      <c r="L25" s="141" t="n"/>
      <c r="M25" s="142" t="n"/>
      <c r="N25" s="146" t="str">
        <f>IF(AND(AND(F25="",G25=""),B25="",C25="",D25="",J25="",K25="",L25=""),"",IF(AND(F25="",G25=""),"✗ 没填金额",IF(AND(N(F25)&lt;&gt;0,N(G25)&lt;&gt;0),"✗ 收入、支出只能填一边",IF(NOT(ISNUMBER(B25)),"✗ 日期不是真日期（要像 2026/9/25 这样填）",IF(OR(B25&lt;年初日,B25&gt;年末日),"✗ 日期不在本会计年度",IF(C25="","✗ 没选账户",IF(COUNTIF(基础资料!$W$5:$W$24,C25)=0,"✗ 账户不在基础资料里",IF(O25="","✗ 没选收支项目",IF(P25="未知","✗ 收支项目不在基础资料里",IF(AND(P25="应收",J25=""),"✗ 这笔要选客户",IF(AND(P25="应收",COUNTIF(总览汇总!$B$5:$B$304,J25)=0),"✗ 客户不在总览汇总名单里",IF(AND(P25="应付",K25=""),"✗ 这笔要选供应商",IF(AND(P25="应付",COUNTIF(基础资料!$Q$5:$Q$54,K25)=0),"✗ 供应商不在基础资料里",IF(AND(P25="费用",L25=""),"✗ 费用支出要选费用项目",IF(AND(L25&lt;&gt;"",COUNTIF(基础资料!$AI$5:$AI$54,L25)=0),"✗ 费用项目不在基础资料里",IF(AND(IFERROR(INDEX(基础资料!$AD$5:$AD$34,MATCH(O25,基础资料!$AC$5:$AC$34,0)),"")="收",N(G25)&lt;&gt;0),"✗ 这类是收款，金额填到收入列",IF(AND(IFERROR(INDEX(基础资料!$AD$5:$AD$34,MATCH(O25,基础资料!$AC$5:$AC$34,0)),"")="支",N(F25)&lt;&gt;0),"✗ 这类是付款，金额填到支出列",IF(N(H25)&lt;0,"⚠ 账户余额成负数了，核对一下","√"))))))))))))))))))</f>
        <v>√</v>
      </c>
      <c r="O25" s="78" t="str">
        <f>IF(D25&lt;&gt;"",D25,IF(AND(F25="",G25=""),"",IF(J25&lt;&gt;"",IF(N(F25)&gt;0,"客户回款","客户退款"),IF(K25&lt;&gt;"",IF(N(G25)&gt;0,"供应商付款","供应商退款"),IF(L25&lt;&gt;"","费用支出","")))))</f>
        <v>客户回款</v>
      </c>
      <c r="P25" s="78" t="str">
        <f>IF(O25="","",IFERROR(INDEX(基础资料!$AE$5:$AE$34,MATCH(O25,基础资料!$AC$5:$AC$34,0)),"未知"))</f>
        <v>应收</v>
      </c>
      <c r="Q25" s="78">
        <f>IF(P25="应收",COUNTIF(P$7:P25,"应收"),"")</f>
        <v>19</v>
      </c>
      <c r="R25" s="78">
        <f>IF(P25="应付",COUNTIF(P$7:P25,"应付"),"")</f>
      </c>
      <c r="S25" s="78">
        <f>N(F25)-N(G25)</f>
        <v>21620</v>
      </c>
    </row>
    <row r="26">
      <c r="A26" s="109">
        <f>IF(AND(F26="",G26=""),"",ROW()-6)</f>
        <v>20</v>
      </c>
      <c r="B26" s="140" t="n">
        <v>46200</v>
      </c>
      <c r="C26" s="141" t="inlineStr">
        <is>
          <t>收款码</t>
        </is>
      </c>
      <c r="D26" s="141" t="inlineStr">
        <is>
          <t>客户回款</t>
        </is>
      </c>
      <c r="E26" s="142" t="inlineStr">
        <is>
          <t>收货款</t>
        </is>
      </c>
      <c r="F26" s="143" t="n">
        <v>137732</v>
      </c>
      <c r="G26" s="144" t="n"/>
      <c r="H26" s="145">
        <f>IF(OR(C26="",AND(F26="",G26="")),"",SUMIF(基础资料!$W$5:$W$24,C26,基础资料!$X$5:$X$24)+SUMIF(C$7:C26,C26,F$7:F26)-SUMIF(C$7:C26,C26,G$7:G26))</f>
        <v>2385565.69</v>
      </c>
      <c r="I26" s="145">
        <f>IF(AND(F26="",G26=""),"",SUM(基础资料!$X$5:$X$24)+SUM(F$7:F26)-SUM(G$7:G26))</f>
        <v>2385565.69</v>
      </c>
      <c r="J26" s="141" t="inlineStr">
        <is>
          <t>龙岗好又全超市</t>
        </is>
      </c>
      <c r="K26" s="141" t="n"/>
      <c r="L26" s="141" t="n"/>
      <c r="M26" s="142" t="n"/>
      <c r="N26" s="146" t="str">
        <f>IF(AND(AND(F26="",G26=""),B26="",C26="",D26="",J26="",K26="",L26=""),"",IF(AND(F26="",G26=""),"✗ 没填金额",IF(AND(N(F26)&lt;&gt;0,N(G26)&lt;&gt;0),"✗ 收入、支出只能填一边",IF(NOT(ISNUMBER(B26)),"✗ 日期不是真日期（要像 2026/9/25 这样填）",IF(OR(B26&lt;年初日,B26&gt;年末日),"✗ 日期不在本会计年度",IF(C26="","✗ 没选账户",IF(COUNTIF(基础资料!$W$5:$W$24,C26)=0,"✗ 账户不在基础资料里",IF(O26="","✗ 没选收支项目",IF(P26="未知","✗ 收支项目不在基础资料里",IF(AND(P26="应收",J26=""),"✗ 这笔要选客户",IF(AND(P26="应收",COUNTIF(总览汇总!$B$5:$B$304,J26)=0),"✗ 客户不在总览汇总名单里",IF(AND(P26="应付",K26=""),"✗ 这笔要选供应商",IF(AND(P26="应付",COUNTIF(基础资料!$Q$5:$Q$54,K26)=0),"✗ 供应商不在基础资料里",IF(AND(P26="费用",L26=""),"✗ 费用支出要选费用项目",IF(AND(L26&lt;&gt;"",COUNTIF(基础资料!$AI$5:$AI$54,L26)=0),"✗ 费用项目不在基础资料里",IF(AND(IFERROR(INDEX(基础资料!$AD$5:$AD$34,MATCH(O26,基础资料!$AC$5:$AC$34,0)),"")="收",N(G26)&lt;&gt;0),"✗ 这类是收款，金额填到收入列",IF(AND(IFERROR(INDEX(基础资料!$AD$5:$AD$34,MATCH(O26,基础资料!$AC$5:$AC$34,0)),"")="支",N(F26)&lt;&gt;0),"✗ 这类是付款，金额填到支出列",IF(N(H26)&lt;0,"⚠ 账户余额成负数了，核对一下","√"))))))))))))))))))</f>
        <v>√</v>
      </c>
      <c r="O26" s="78" t="str">
        <f>IF(D26&lt;&gt;"",D26,IF(AND(F26="",G26=""),"",IF(J26&lt;&gt;"",IF(N(F26)&gt;0,"客户回款","客户退款"),IF(K26&lt;&gt;"",IF(N(G26)&gt;0,"供应商付款","供应商退款"),IF(L26&lt;&gt;"","费用支出","")))))</f>
        <v>客户回款</v>
      </c>
      <c r="P26" s="78" t="str">
        <f>IF(O26="","",IFERROR(INDEX(基础资料!$AE$5:$AE$34,MATCH(O26,基础资料!$AC$5:$AC$34,0)),"未知"))</f>
        <v>应收</v>
      </c>
      <c r="Q26" s="78">
        <f>IF(P26="应收",COUNTIF(P$7:P26,"应收"),"")</f>
        <v>20</v>
      </c>
      <c r="R26" s="78">
        <f>IF(P26="应付",COUNTIF(P$7:P26,"应付"),"")</f>
      </c>
      <c r="S26" s="78">
        <f>N(F26)-N(G26)</f>
        <v>137732</v>
      </c>
    </row>
    <row r="27">
      <c r="A27" s="109">
        <f>IF(AND(F27="",G27=""),"",ROW()-6)</f>
        <v>21</v>
      </c>
      <c r="B27" s="140" t="n">
        <v>46200</v>
      </c>
      <c r="C27" s="141" t="inlineStr">
        <is>
          <t>收款码</t>
        </is>
      </c>
      <c r="D27" s="141" t="inlineStr">
        <is>
          <t>客户回款</t>
        </is>
      </c>
      <c r="E27" s="142" t="inlineStr">
        <is>
          <t>收货款</t>
        </is>
      </c>
      <c r="F27" s="143" t="n">
        <v>8100</v>
      </c>
      <c r="G27" s="144" t="n"/>
      <c r="H27" s="145">
        <f>IF(OR(C27="",AND(F27="",G27="")),"",SUMIF(基础资料!$W$5:$W$24,C27,基础资料!$X$5:$X$24)+SUMIF(C$7:C27,C27,F$7:F27)-SUMIF(C$7:C27,C27,G$7:G27))</f>
        <v>2393665.69</v>
      </c>
      <c r="I27" s="145">
        <f>IF(AND(F27="",G27=""),"",SUM(基础资料!$X$5:$X$24)+SUM(F$7:F27)-SUM(G$7:G27))</f>
        <v>2393665.69</v>
      </c>
      <c r="J27" s="141" t="inlineStr">
        <is>
          <t>社富丽华超市</t>
        </is>
      </c>
      <c r="K27" s="141" t="n"/>
      <c r="L27" s="141" t="n"/>
      <c r="M27" s="142" t="n"/>
      <c r="N27" s="146" t="str">
        <f>IF(AND(AND(F27="",G27=""),B27="",C27="",D27="",J27="",K27="",L27=""),"",IF(AND(F27="",G27=""),"✗ 没填金额",IF(AND(N(F27)&lt;&gt;0,N(G27)&lt;&gt;0),"✗ 收入、支出只能填一边",IF(NOT(ISNUMBER(B27)),"✗ 日期不是真日期（要像 2026/9/25 这样填）",IF(OR(B27&lt;年初日,B27&gt;年末日),"✗ 日期不在本会计年度",IF(C27="","✗ 没选账户",IF(COUNTIF(基础资料!$W$5:$W$24,C27)=0,"✗ 账户不在基础资料里",IF(O27="","✗ 没选收支项目",IF(P27="未知","✗ 收支项目不在基础资料里",IF(AND(P27="应收",J27=""),"✗ 这笔要选客户",IF(AND(P27="应收",COUNTIF(总览汇总!$B$5:$B$304,J27)=0),"✗ 客户不在总览汇总名单里",IF(AND(P27="应付",K27=""),"✗ 这笔要选供应商",IF(AND(P27="应付",COUNTIF(基础资料!$Q$5:$Q$54,K27)=0),"✗ 供应商不在基础资料里",IF(AND(P27="费用",L27=""),"✗ 费用支出要选费用项目",IF(AND(L27&lt;&gt;"",COUNTIF(基础资料!$AI$5:$AI$54,L27)=0),"✗ 费用项目不在基础资料里",IF(AND(IFERROR(INDEX(基础资料!$AD$5:$AD$34,MATCH(O27,基础资料!$AC$5:$AC$34,0)),"")="收",N(G27)&lt;&gt;0),"✗ 这类是收款，金额填到收入列",IF(AND(IFERROR(INDEX(基础资料!$AD$5:$AD$34,MATCH(O27,基础资料!$AC$5:$AC$34,0)),"")="支",N(F27)&lt;&gt;0),"✗ 这类是付款，金额填到支出列",IF(N(H27)&lt;0,"⚠ 账户余额成负数了，核对一下","√"))))))))))))))))))</f>
        <v>√</v>
      </c>
      <c r="O27" s="78" t="str">
        <f>IF(D27&lt;&gt;"",D27,IF(AND(F27="",G27=""),"",IF(J27&lt;&gt;"",IF(N(F27)&gt;0,"客户回款","客户退款"),IF(K27&lt;&gt;"",IF(N(G27)&gt;0,"供应商付款","供应商退款"),IF(L27&lt;&gt;"","费用支出","")))))</f>
        <v>客户回款</v>
      </c>
      <c r="P27" s="78" t="str">
        <f>IF(O27="","",IFERROR(INDEX(基础资料!$AE$5:$AE$34,MATCH(O27,基础资料!$AC$5:$AC$34,0)),"未知"))</f>
        <v>应收</v>
      </c>
      <c r="Q27" s="78">
        <f>IF(P27="应收",COUNTIF(P$7:P27,"应收"),"")</f>
        <v>21</v>
      </c>
      <c r="R27" s="78">
        <f>IF(P27="应付",COUNTIF(P$7:P27,"应付"),"")</f>
      </c>
      <c r="S27" s="78">
        <f>N(F27)-N(G27)</f>
        <v>8100</v>
      </c>
    </row>
    <row r="28">
      <c r="A28" s="109">
        <f>IF(AND(F28="",G28=""),"",ROW()-6)</f>
        <v>22</v>
      </c>
      <c r="B28" s="140" t="n">
        <v>46200</v>
      </c>
      <c r="C28" s="141" t="inlineStr">
        <is>
          <t>收款码</t>
        </is>
      </c>
      <c r="D28" s="141" t="inlineStr">
        <is>
          <t>客户回款</t>
        </is>
      </c>
      <c r="E28" s="142" t="inlineStr">
        <is>
          <t>收货款</t>
        </is>
      </c>
      <c r="F28" s="143" t="n">
        <v>3150</v>
      </c>
      <c r="G28" s="144" t="n"/>
      <c r="H28" s="145">
        <f>IF(OR(C28="",AND(F28="",G28="")),"",SUMIF(基础资料!$W$5:$W$24,C28,基础资料!$X$5:$X$24)+SUMIF(C$7:C28,C28,F$7:F28)-SUMIF(C$7:C28,C28,G$7:G28))</f>
        <v>2396815.69</v>
      </c>
      <c r="I28" s="145">
        <f>IF(AND(F28="",G28=""),"",SUM(基础资料!$X$5:$X$24)+SUM(F$7:F28)-SUM(G$7:G28))</f>
        <v>2396815.69</v>
      </c>
      <c r="J28" s="141" t="inlineStr">
        <is>
          <t>九鑫粮油</t>
        </is>
      </c>
      <c r="K28" s="141" t="n"/>
      <c r="L28" s="141" t="n"/>
      <c r="M28" s="142" t="n"/>
      <c r="N28" s="146" t="str">
        <f>IF(AND(AND(F28="",G28=""),B28="",C28="",D28="",J28="",K28="",L28=""),"",IF(AND(F28="",G28=""),"✗ 没填金额",IF(AND(N(F28)&lt;&gt;0,N(G28)&lt;&gt;0),"✗ 收入、支出只能填一边",IF(NOT(ISNUMBER(B28)),"✗ 日期不是真日期（要像 2026/9/25 这样填）",IF(OR(B28&lt;年初日,B28&gt;年末日),"✗ 日期不在本会计年度",IF(C28="","✗ 没选账户",IF(COUNTIF(基础资料!$W$5:$W$24,C28)=0,"✗ 账户不在基础资料里",IF(O28="","✗ 没选收支项目",IF(P28="未知","✗ 收支项目不在基础资料里",IF(AND(P28="应收",J28=""),"✗ 这笔要选客户",IF(AND(P28="应收",COUNTIF(总览汇总!$B$5:$B$304,J28)=0),"✗ 客户不在总览汇总名单里",IF(AND(P28="应付",K28=""),"✗ 这笔要选供应商",IF(AND(P28="应付",COUNTIF(基础资料!$Q$5:$Q$54,K28)=0),"✗ 供应商不在基础资料里",IF(AND(P28="费用",L28=""),"✗ 费用支出要选费用项目",IF(AND(L28&lt;&gt;"",COUNTIF(基础资料!$AI$5:$AI$54,L28)=0),"✗ 费用项目不在基础资料里",IF(AND(IFERROR(INDEX(基础资料!$AD$5:$AD$34,MATCH(O28,基础资料!$AC$5:$AC$34,0)),"")="收",N(G28)&lt;&gt;0),"✗ 这类是收款，金额填到收入列",IF(AND(IFERROR(INDEX(基础资料!$AD$5:$AD$34,MATCH(O28,基础资料!$AC$5:$AC$34,0)),"")="支",N(F28)&lt;&gt;0),"✗ 这类是付款，金额填到支出列",IF(N(H28)&lt;0,"⚠ 账户余额成负数了，核对一下","√"))))))))))))))))))</f>
        <v>√</v>
      </c>
      <c r="O28" s="78" t="str">
        <f>IF(D28&lt;&gt;"",D28,IF(AND(F28="",G28=""),"",IF(J28&lt;&gt;"",IF(N(F28)&gt;0,"客户回款","客户退款"),IF(K28&lt;&gt;"",IF(N(G28)&gt;0,"供应商付款","供应商退款"),IF(L28&lt;&gt;"","费用支出","")))))</f>
        <v>客户回款</v>
      </c>
      <c r="P28" s="78" t="str">
        <f>IF(O28="","",IFERROR(INDEX(基础资料!$AE$5:$AE$34,MATCH(O28,基础资料!$AC$5:$AC$34,0)),"未知"))</f>
        <v>应收</v>
      </c>
      <c r="Q28" s="78">
        <f>IF(P28="应收",COUNTIF(P$7:P28,"应收"),"")</f>
        <v>22</v>
      </c>
      <c r="R28" s="78">
        <f>IF(P28="应付",COUNTIF(P$7:P28,"应付"),"")</f>
      </c>
      <c r="S28" s="78">
        <f>N(F28)-N(G28)</f>
        <v>3150</v>
      </c>
    </row>
    <row r="29">
      <c r="A29" s="109">
        <f>IF(AND(F29="",G29=""),"",ROW()-6)</f>
        <v>23</v>
      </c>
      <c r="B29" s="140" t="n">
        <v>46200</v>
      </c>
      <c r="C29" s="141" t="inlineStr">
        <is>
          <t>收款码</t>
        </is>
      </c>
      <c r="D29" s="141" t="inlineStr">
        <is>
          <t>客户回款</t>
        </is>
      </c>
      <c r="E29" s="142" t="inlineStr">
        <is>
          <t>还欠2400元</t>
        </is>
      </c>
      <c r="F29" s="143" t="n">
        <v>77682.5</v>
      </c>
      <c r="G29" s="144" t="n"/>
      <c r="H29" s="145">
        <f>IF(OR(C29="",AND(F29="",G29="")),"",SUMIF(基础资料!$W$5:$W$24,C29,基础资料!$X$5:$X$24)+SUMIF(C$7:C29,C29,F$7:F29)-SUMIF(C$7:C29,C29,G$7:G29))</f>
        <v>2474498.19</v>
      </c>
      <c r="I29" s="145">
        <f>IF(AND(F29="",G29=""),"",SUM(基础资料!$X$5:$X$24)+SUM(F$7:F29)-SUM(G$7:G29))</f>
        <v>2474498.19</v>
      </c>
      <c r="J29" s="141" t="inlineStr">
        <is>
          <t>鼎龙陈财超市</t>
        </is>
      </c>
      <c r="K29" s="141" t="n"/>
      <c r="L29" s="141" t="n"/>
      <c r="M29" s="142" t="n"/>
      <c r="N29" s="146" t="str">
        <f>IF(AND(AND(F29="",G29=""),B29="",C29="",D29="",J29="",K29="",L29=""),"",IF(AND(F29="",G29=""),"✗ 没填金额",IF(AND(N(F29)&lt;&gt;0,N(G29)&lt;&gt;0),"✗ 收入、支出只能填一边",IF(NOT(ISNUMBER(B29)),"✗ 日期不是真日期（要像 2026/9/25 这样填）",IF(OR(B29&lt;年初日,B29&gt;年末日),"✗ 日期不在本会计年度",IF(C29="","✗ 没选账户",IF(COUNTIF(基础资料!$W$5:$W$24,C29)=0,"✗ 账户不在基础资料里",IF(O29="","✗ 没选收支项目",IF(P29="未知","✗ 收支项目不在基础资料里",IF(AND(P29="应收",J29=""),"✗ 这笔要选客户",IF(AND(P29="应收",COUNTIF(总览汇总!$B$5:$B$304,J29)=0),"✗ 客户不在总览汇总名单里",IF(AND(P29="应付",K29=""),"✗ 这笔要选供应商",IF(AND(P29="应付",COUNTIF(基础资料!$Q$5:$Q$54,K29)=0),"✗ 供应商不在基础资料里",IF(AND(P29="费用",L29=""),"✗ 费用支出要选费用项目",IF(AND(L29&lt;&gt;"",COUNTIF(基础资料!$AI$5:$AI$54,L29)=0),"✗ 费用项目不在基础资料里",IF(AND(IFERROR(INDEX(基础资料!$AD$5:$AD$34,MATCH(O29,基础资料!$AC$5:$AC$34,0)),"")="收",N(G29)&lt;&gt;0),"✗ 这类是收款，金额填到收入列",IF(AND(IFERROR(INDEX(基础资料!$AD$5:$AD$34,MATCH(O29,基础资料!$AC$5:$AC$34,0)),"")="支",N(F29)&lt;&gt;0),"✗ 这类是付款，金额填到支出列",IF(N(H29)&lt;0,"⚠ 账户余额成负数了，核对一下","√"))))))))))))))))))</f>
        <v>√</v>
      </c>
      <c r="O29" s="78" t="str">
        <f>IF(D29&lt;&gt;"",D29,IF(AND(F29="",G29=""),"",IF(J29&lt;&gt;"",IF(N(F29)&gt;0,"客户回款","客户退款"),IF(K29&lt;&gt;"",IF(N(G29)&gt;0,"供应商付款","供应商退款"),IF(L29&lt;&gt;"","费用支出","")))))</f>
        <v>客户回款</v>
      </c>
      <c r="P29" s="78" t="str">
        <f>IF(O29="","",IFERROR(INDEX(基础资料!$AE$5:$AE$34,MATCH(O29,基础资料!$AC$5:$AC$34,0)),"未知"))</f>
        <v>应收</v>
      </c>
      <c r="Q29" s="78">
        <f>IF(P29="应收",COUNTIF(P$7:P29,"应收"),"")</f>
        <v>23</v>
      </c>
      <c r="R29" s="78">
        <f>IF(P29="应付",COUNTIF(P$7:P29,"应付"),"")</f>
      </c>
      <c r="S29" s="78">
        <f>N(F29)-N(G29)</f>
        <v>77682.5</v>
      </c>
    </row>
    <row r="30">
      <c r="A30" s="109">
        <f>IF(AND(F30="",G30=""),"",ROW()-6)</f>
        <v>24</v>
      </c>
      <c r="B30" s="140" t="n">
        <v>46200</v>
      </c>
      <c r="C30" s="141" t="inlineStr">
        <is>
          <t>收款码</t>
        </is>
      </c>
      <c r="D30" s="141" t="inlineStr">
        <is>
          <t>客户回款</t>
        </is>
      </c>
      <c r="E30" s="142" t="inlineStr">
        <is>
          <t>收货款</t>
        </is>
      </c>
      <c r="F30" s="143" t="n">
        <v>4500</v>
      </c>
      <c r="G30" s="144" t="n"/>
      <c r="H30" s="145">
        <f>IF(OR(C30="",AND(F30="",G30="")),"",SUMIF(基础资料!$W$5:$W$24,C30,基础资料!$X$5:$X$24)+SUMIF(C$7:C30,C30,F$7:F30)-SUMIF(C$7:C30,C30,G$7:G30))</f>
        <v>2478998.19</v>
      </c>
      <c r="I30" s="145">
        <f>IF(AND(F30="",G30=""),"",SUM(基础资料!$X$5:$X$24)+SUM(F$7:F30)-SUM(G$7:G30))</f>
        <v>2478998.19</v>
      </c>
      <c r="J30" s="141" t="inlineStr">
        <is>
          <t>洪门美群商行</t>
        </is>
      </c>
      <c r="K30" s="141" t="n"/>
      <c r="L30" s="141" t="n"/>
      <c r="M30" s="142" t="n"/>
      <c r="N30" s="146" t="str">
        <f>IF(AND(AND(F30="",G30=""),B30="",C30="",D30="",J30="",K30="",L30=""),"",IF(AND(F30="",G30=""),"✗ 没填金额",IF(AND(N(F30)&lt;&gt;0,N(G30)&lt;&gt;0),"✗ 收入、支出只能填一边",IF(NOT(ISNUMBER(B30)),"✗ 日期不是真日期（要像 2026/9/25 这样填）",IF(OR(B30&lt;年初日,B30&gt;年末日),"✗ 日期不在本会计年度",IF(C30="","✗ 没选账户",IF(COUNTIF(基础资料!$W$5:$W$24,C30)=0,"✗ 账户不在基础资料里",IF(O30="","✗ 没选收支项目",IF(P30="未知","✗ 收支项目不在基础资料里",IF(AND(P30="应收",J30=""),"✗ 这笔要选客户",IF(AND(P30="应收",COUNTIF(总览汇总!$B$5:$B$304,J30)=0),"✗ 客户不在总览汇总名单里",IF(AND(P30="应付",K30=""),"✗ 这笔要选供应商",IF(AND(P30="应付",COUNTIF(基础资料!$Q$5:$Q$54,K30)=0),"✗ 供应商不在基础资料里",IF(AND(P30="费用",L30=""),"✗ 费用支出要选费用项目",IF(AND(L30&lt;&gt;"",COUNTIF(基础资料!$AI$5:$AI$54,L30)=0),"✗ 费用项目不在基础资料里",IF(AND(IFERROR(INDEX(基础资料!$AD$5:$AD$34,MATCH(O30,基础资料!$AC$5:$AC$34,0)),"")="收",N(G30)&lt;&gt;0),"✗ 这类是收款，金额填到收入列",IF(AND(IFERROR(INDEX(基础资料!$AD$5:$AD$34,MATCH(O30,基础资料!$AC$5:$AC$34,0)),"")="支",N(F30)&lt;&gt;0),"✗ 这类是付款，金额填到支出列",IF(N(H30)&lt;0,"⚠ 账户余额成负数了，核对一下","√"))))))))))))))))))</f>
        <v>√</v>
      </c>
      <c r="O30" s="78" t="str">
        <f>IF(D30&lt;&gt;"",D30,IF(AND(F30="",G30=""),"",IF(J30&lt;&gt;"",IF(N(F30)&gt;0,"客户回款","客户退款"),IF(K30&lt;&gt;"",IF(N(G30)&gt;0,"供应商付款","供应商退款"),IF(L30&lt;&gt;"","费用支出","")))))</f>
        <v>客户回款</v>
      </c>
      <c r="P30" s="78" t="str">
        <f>IF(O30="","",IFERROR(INDEX(基础资料!$AE$5:$AE$34,MATCH(O30,基础资料!$AC$5:$AC$34,0)),"未知"))</f>
        <v>应收</v>
      </c>
      <c r="Q30" s="78">
        <f>IF(P30="应收",COUNTIF(P$7:P30,"应收"),"")</f>
        <v>24</v>
      </c>
      <c r="R30" s="78">
        <f>IF(P30="应付",COUNTIF(P$7:P30,"应付"),"")</f>
      </c>
      <c r="S30" s="78">
        <f>N(F30)-N(G30)</f>
        <v>4500</v>
      </c>
    </row>
    <row r="31">
      <c r="A31" s="109">
        <f>IF(AND(F31="",G31=""),"",ROW()-6)</f>
        <v>25</v>
      </c>
      <c r="B31" s="140" t="n">
        <v>46200</v>
      </c>
      <c r="C31" s="141" t="inlineStr">
        <is>
          <t>收款码</t>
        </is>
      </c>
      <c r="D31" s="141" t="inlineStr">
        <is>
          <t>客户回款</t>
        </is>
      </c>
      <c r="E31" s="142" t="inlineStr">
        <is>
          <t>收货款</t>
        </is>
      </c>
      <c r="F31" s="143" t="n">
        <v>1800</v>
      </c>
      <c r="G31" s="144" t="n"/>
      <c r="H31" s="145">
        <f>IF(OR(C31="",AND(F31="",G31="")),"",SUMIF(基础资料!$W$5:$W$24,C31,基础资料!$X$5:$X$24)+SUMIF(C$7:C31,C31,F$7:F31)-SUMIF(C$7:C31,C31,G$7:G31))</f>
        <v>2480798.19</v>
      </c>
      <c r="I31" s="145">
        <f>IF(AND(F31="",G31=""),"",SUM(基础资料!$X$5:$X$24)+SUM(F$7:F31)-SUM(G$7:G31))</f>
        <v>2480798.19</v>
      </c>
      <c r="J31" s="141" t="inlineStr">
        <is>
          <t>兴江家源超市</t>
        </is>
      </c>
      <c r="K31" s="141" t="n"/>
      <c r="L31" s="141" t="n"/>
      <c r="M31" s="142" t="n"/>
      <c r="N31" s="146" t="str">
        <f>IF(AND(AND(F31="",G31=""),B31="",C31="",D31="",J31="",K31="",L31=""),"",IF(AND(F31="",G31=""),"✗ 没填金额",IF(AND(N(F31)&lt;&gt;0,N(G31)&lt;&gt;0),"✗ 收入、支出只能填一边",IF(NOT(ISNUMBER(B31)),"✗ 日期不是真日期（要像 2026/9/25 这样填）",IF(OR(B31&lt;年初日,B31&gt;年末日),"✗ 日期不在本会计年度",IF(C31="","✗ 没选账户",IF(COUNTIF(基础资料!$W$5:$W$24,C31)=0,"✗ 账户不在基础资料里",IF(O31="","✗ 没选收支项目",IF(P31="未知","✗ 收支项目不在基础资料里",IF(AND(P31="应收",J31=""),"✗ 这笔要选客户",IF(AND(P31="应收",COUNTIF(总览汇总!$B$5:$B$304,J31)=0),"✗ 客户不在总览汇总名单里",IF(AND(P31="应付",K31=""),"✗ 这笔要选供应商",IF(AND(P31="应付",COUNTIF(基础资料!$Q$5:$Q$54,K31)=0),"✗ 供应商不在基础资料里",IF(AND(P31="费用",L31=""),"✗ 费用支出要选费用项目",IF(AND(L31&lt;&gt;"",COUNTIF(基础资料!$AI$5:$AI$54,L31)=0),"✗ 费用项目不在基础资料里",IF(AND(IFERROR(INDEX(基础资料!$AD$5:$AD$34,MATCH(O31,基础资料!$AC$5:$AC$34,0)),"")="收",N(G31)&lt;&gt;0),"✗ 这类是收款，金额填到收入列",IF(AND(IFERROR(INDEX(基础资料!$AD$5:$AD$34,MATCH(O31,基础资料!$AC$5:$AC$34,0)),"")="支",N(F31)&lt;&gt;0),"✗ 这类是付款，金额填到支出列",IF(N(H31)&lt;0,"⚠ 账户余额成负数了，核对一下","√"))))))))))))))))))</f>
        <v>√</v>
      </c>
      <c r="O31" s="78" t="str">
        <f>IF(D31&lt;&gt;"",D31,IF(AND(F31="",G31=""),"",IF(J31&lt;&gt;"",IF(N(F31)&gt;0,"客户回款","客户退款"),IF(K31&lt;&gt;"",IF(N(G31)&gt;0,"供应商付款","供应商退款"),IF(L31&lt;&gt;"","费用支出","")))))</f>
        <v>客户回款</v>
      </c>
      <c r="P31" s="78" t="str">
        <f>IF(O31="","",IFERROR(INDEX(基础资料!$AE$5:$AE$34,MATCH(O31,基础资料!$AC$5:$AC$34,0)),"未知"))</f>
        <v>应收</v>
      </c>
      <c r="Q31" s="78">
        <f>IF(P31="应收",COUNTIF(P$7:P31,"应收"),"")</f>
        <v>25</v>
      </c>
      <c r="R31" s="78">
        <f>IF(P31="应付",COUNTIF(P$7:P31,"应付"),"")</f>
      </c>
      <c r="S31" s="78">
        <f>N(F31)-N(G31)</f>
        <v>1800</v>
      </c>
    </row>
    <row r="32">
      <c r="A32" s="109">
        <f>IF(AND(F32="",G32=""),"",ROW()-6)</f>
        <v>26</v>
      </c>
      <c r="B32" s="140" t="n">
        <v>46200</v>
      </c>
      <c r="C32" s="141" t="inlineStr">
        <is>
          <t>收款码</t>
        </is>
      </c>
      <c r="D32" s="141" t="inlineStr">
        <is>
          <t>客户回款</t>
        </is>
      </c>
      <c r="E32" s="142" t="inlineStr">
        <is>
          <t>东鹏新品订货款</t>
        </is>
      </c>
      <c r="F32" s="143" t="n">
        <v>1067</v>
      </c>
      <c r="G32" s="144" t="n"/>
      <c r="H32" s="145">
        <f>IF(OR(C32="",AND(F32="",G32="")),"",SUMIF(基础资料!$W$5:$W$24,C32,基础资料!$X$5:$X$24)+SUMIF(C$7:C32,C32,F$7:F32)-SUMIF(C$7:C32,C32,G$7:G32))</f>
        <v>2481865.19</v>
      </c>
      <c r="I32" s="145">
        <f>IF(AND(F32="",G32=""),"",SUM(基础资料!$X$5:$X$24)+SUM(F$7:F32)-SUM(G$7:G32))</f>
        <v>2481865.19</v>
      </c>
      <c r="J32" s="141" t="inlineStr">
        <is>
          <t>永丰橙丰购物</t>
        </is>
      </c>
      <c r="K32" s="141" t="n"/>
      <c r="L32" s="141" t="n"/>
      <c r="M32" s="142" t="n"/>
      <c r="N32" s="146" t="str">
        <f>IF(AND(AND(F32="",G32=""),B32="",C32="",D32="",J32="",K32="",L32=""),"",IF(AND(F32="",G32=""),"✗ 没填金额",IF(AND(N(F32)&lt;&gt;0,N(G32)&lt;&gt;0),"✗ 收入、支出只能填一边",IF(NOT(ISNUMBER(B32)),"✗ 日期不是真日期（要像 2026/9/25 这样填）",IF(OR(B32&lt;年初日,B32&gt;年末日),"✗ 日期不在本会计年度",IF(C32="","✗ 没选账户",IF(COUNTIF(基础资料!$W$5:$W$24,C32)=0,"✗ 账户不在基础资料里",IF(O32="","✗ 没选收支项目",IF(P32="未知","✗ 收支项目不在基础资料里",IF(AND(P32="应收",J32=""),"✗ 这笔要选客户",IF(AND(P32="应收",COUNTIF(总览汇总!$B$5:$B$304,J32)=0),"✗ 客户不在总览汇总名单里",IF(AND(P32="应付",K32=""),"✗ 这笔要选供应商",IF(AND(P32="应付",COUNTIF(基础资料!$Q$5:$Q$54,K32)=0),"✗ 供应商不在基础资料里",IF(AND(P32="费用",L32=""),"✗ 费用支出要选费用项目",IF(AND(L32&lt;&gt;"",COUNTIF(基础资料!$AI$5:$AI$54,L32)=0),"✗ 费用项目不在基础资料里",IF(AND(IFERROR(INDEX(基础资料!$AD$5:$AD$34,MATCH(O32,基础资料!$AC$5:$AC$34,0)),"")="收",N(G32)&lt;&gt;0),"✗ 这类是收款，金额填到收入列",IF(AND(IFERROR(INDEX(基础资料!$AD$5:$AD$34,MATCH(O32,基础资料!$AC$5:$AC$34,0)),"")="支",N(F32)&lt;&gt;0),"✗ 这类是付款，金额填到支出列",IF(N(H32)&lt;0,"⚠ 账户余额成负数了，核对一下","√"))))))))))))))))))</f>
        <v>√</v>
      </c>
      <c r="O32" s="78" t="str">
        <f>IF(D32&lt;&gt;"",D32,IF(AND(F32="",G32=""),"",IF(J32&lt;&gt;"",IF(N(F32)&gt;0,"客户回款","客户退款"),IF(K32&lt;&gt;"",IF(N(G32)&gt;0,"供应商付款","供应商退款"),IF(L32&lt;&gt;"","费用支出","")))))</f>
        <v>客户回款</v>
      </c>
      <c r="P32" s="78" t="str">
        <f>IF(O32="","",IFERROR(INDEX(基础资料!$AE$5:$AE$34,MATCH(O32,基础资料!$AC$5:$AC$34,0)),"未知"))</f>
        <v>应收</v>
      </c>
      <c r="Q32" s="78">
        <f>IF(P32="应收",COUNTIF(P$7:P32,"应收"),"")</f>
        <v>26</v>
      </c>
      <c r="R32" s="78">
        <f>IF(P32="应付",COUNTIF(P$7:P32,"应付"),"")</f>
      </c>
      <c r="S32" s="78">
        <f>N(F32)-N(G32)</f>
        <v>1067</v>
      </c>
    </row>
    <row r="33">
      <c r="A33" s="109">
        <f>IF(AND(F33="",G33=""),"",ROW()-6)</f>
        <v>27</v>
      </c>
      <c r="B33" s="140" t="n">
        <v>46200</v>
      </c>
      <c r="C33" s="141" t="inlineStr">
        <is>
          <t>收款码</t>
        </is>
      </c>
      <c r="D33" s="141" t="inlineStr">
        <is>
          <t>客户回款</t>
        </is>
      </c>
      <c r="E33" s="142" t="inlineStr">
        <is>
          <t>收货款</t>
        </is>
      </c>
      <c r="F33" s="143" t="n">
        <v>38440</v>
      </c>
      <c r="G33" s="144" t="n"/>
      <c r="H33" s="145">
        <f>IF(OR(C33="",AND(F33="",G33="")),"",SUMIF(基础资料!$W$5:$W$24,C33,基础资料!$X$5:$X$24)+SUMIF(C$7:C33,C33,F$7:F33)-SUMIF(C$7:C33,C33,G$7:G33))</f>
        <v>2520305.19</v>
      </c>
      <c r="I33" s="145">
        <f>IF(AND(F33="",G33=""),"",SUM(基础资料!$X$5:$X$24)+SUM(F$7:F33)-SUM(G$7:G33))</f>
        <v>2520305.19</v>
      </c>
      <c r="J33" s="141" t="inlineStr">
        <is>
          <t>枫边德华超市</t>
        </is>
      </c>
      <c r="K33" s="141" t="n"/>
      <c r="L33" s="141" t="n"/>
      <c r="M33" s="142" t="n"/>
      <c r="N33" s="146" t="str">
        <f>IF(AND(AND(F33="",G33=""),B33="",C33="",D33="",J33="",K33="",L33=""),"",IF(AND(F33="",G33=""),"✗ 没填金额",IF(AND(N(F33)&lt;&gt;0,N(G33)&lt;&gt;0),"✗ 收入、支出只能填一边",IF(NOT(ISNUMBER(B33)),"✗ 日期不是真日期（要像 2026/9/25 这样填）",IF(OR(B33&lt;年初日,B33&gt;年末日),"✗ 日期不在本会计年度",IF(C33="","✗ 没选账户",IF(COUNTIF(基础资料!$W$5:$W$24,C33)=0,"✗ 账户不在基础资料里",IF(O33="","✗ 没选收支项目",IF(P33="未知","✗ 收支项目不在基础资料里",IF(AND(P33="应收",J33=""),"✗ 这笔要选客户",IF(AND(P33="应收",COUNTIF(总览汇总!$B$5:$B$304,J33)=0),"✗ 客户不在总览汇总名单里",IF(AND(P33="应付",K33=""),"✗ 这笔要选供应商",IF(AND(P33="应付",COUNTIF(基础资料!$Q$5:$Q$54,K33)=0),"✗ 供应商不在基础资料里",IF(AND(P33="费用",L33=""),"✗ 费用支出要选费用项目",IF(AND(L33&lt;&gt;"",COUNTIF(基础资料!$AI$5:$AI$54,L33)=0),"✗ 费用项目不在基础资料里",IF(AND(IFERROR(INDEX(基础资料!$AD$5:$AD$34,MATCH(O33,基础资料!$AC$5:$AC$34,0)),"")="收",N(G33)&lt;&gt;0),"✗ 这类是收款，金额填到收入列",IF(AND(IFERROR(INDEX(基础资料!$AD$5:$AD$34,MATCH(O33,基础资料!$AC$5:$AC$34,0)),"")="支",N(F33)&lt;&gt;0),"✗ 这类是付款，金额填到支出列",IF(N(H33)&lt;0,"⚠ 账户余额成负数了，核对一下","√"))))))))))))))))))</f>
        <v>√</v>
      </c>
      <c r="O33" s="78" t="str">
        <f>IF(D33&lt;&gt;"",D33,IF(AND(F33="",G33=""),"",IF(J33&lt;&gt;"",IF(N(F33)&gt;0,"客户回款","客户退款"),IF(K33&lt;&gt;"",IF(N(G33)&gt;0,"供应商付款","供应商退款"),IF(L33&lt;&gt;"","费用支出","")))))</f>
        <v>客户回款</v>
      </c>
      <c r="P33" s="78" t="str">
        <f>IF(O33="","",IFERROR(INDEX(基础资料!$AE$5:$AE$34,MATCH(O33,基础资料!$AC$5:$AC$34,0)),"未知"))</f>
        <v>应收</v>
      </c>
      <c r="Q33" s="78">
        <f>IF(P33="应收",COUNTIF(P$7:P33,"应收"),"")</f>
        <v>27</v>
      </c>
      <c r="R33" s="78">
        <f>IF(P33="应付",COUNTIF(P$7:P33,"应付"),"")</f>
      </c>
      <c r="S33" s="78">
        <f>N(F33)-N(G33)</f>
        <v>38440</v>
      </c>
    </row>
    <row r="34">
      <c r="A34" s="109">
        <f>IF(AND(F34="",G34=""),"",ROW()-6)</f>
        <v>28</v>
      </c>
      <c r="B34" s="140" t="n">
        <v>46200</v>
      </c>
      <c r="C34" s="141" t="inlineStr">
        <is>
          <t>收款码</t>
        </is>
      </c>
      <c r="D34" s="141" t="inlineStr">
        <is>
          <t>客户回款</t>
        </is>
      </c>
      <c r="E34" s="142" t="inlineStr">
        <is>
          <t>收货款</t>
        </is>
      </c>
      <c r="F34" s="143" t="n">
        <v>11740</v>
      </c>
      <c r="G34" s="144" t="n"/>
      <c r="H34" s="145">
        <f>IF(OR(C34="",AND(F34="",G34="")),"",SUMIF(基础资料!$W$5:$W$24,C34,基础资料!$X$5:$X$24)+SUMIF(C$7:C34,C34,F$7:F34)-SUMIF(C$7:C34,C34,G$7:G34))</f>
        <v>2532045.19</v>
      </c>
      <c r="I34" s="145">
        <f>IF(AND(F34="",G34=""),"",SUM(基础资料!$X$5:$X$24)+SUM(F$7:F34)-SUM(G$7:G34))</f>
        <v>2532045.19</v>
      </c>
      <c r="J34" s="141" t="inlineStr">
        <is>
          <t>梅窖建军批发</t>
        </is>
      </c>
      <c r="K34" s="141" t="n"/>
      <c r="L34" s="141" t="n"/>
      <c r="M34" s="142" t="n"/>
      <c r="N34" s="146" t="str">
        <f>IF(AND(AND(F34="",G34=""),B34="",C34="",D34="",J34="",K34="",L34=""),"",IF(AND(F34="",G34=""),"✗ 没填金额",IF(AND(N(F34)&lt;&gt;0,N(G34)&lt;&gt;0),"✗ 收入、支出只能填一边",IF(NOT(ISNUMBER(B34)),"✗ 日期不是真日期（要像 2026/9/25 这样填）",IF(OR(B34&lt;年初日,B34&gt;年末日),"✗ 日期不在本会计年度",IF(C34="","✗ 没选账户",IF(COUNTIF(基础资料!$W$5:$W$24,C34)=0,"✗ 账户不在基础资料里",IF(O34="","✗ 没选收支项目",IF(P34="未知","✗ 收支项目不在基础资料里",IF(AND(P34="应收",J34=""),"✗ 这笔要选客户",IF(AND(P34="应收",COUNTIF(总览汇总!$B$5:$B$304,J34)=0),"✗ 客户不在总览汇总名单里",IF(AND(P34="应付",K34=""),"✗ 这笔要选供应商",IF(AND(P34="应付",COUNTIF(基础资料!$Q$5:$Q$54,K34)=0),"✗ 供应商不在基础资料里",IF(AND(P34="费用",L34=""),"✗ 费用支出要选费用项目",IF(AND(L34&lt;&gt;"",COUNTIF(基础资料!$AI$5:$AI$54,L34)=0),"✗ 费用项目不在基础资料里",IF(AND(IFERROR(INDEX(基础资料!$AD$5:$AD$34,MATCH(O34,基础资料!$AC$5:$AC$34,0)),"")="收",N(G34)&lt;&gt;0),"✗ 这类是收款，金额填到收入列",IF(AND(IFERROR(INDEX(基础资料!$AD$5:$AD$34,MATCH(O34,基础资料!$AC$5:$AC$34,0)),"")="支",N(F34)&lt;&gt;0),"✗ 这类是付款，金额填到支出列",IF(N(H34)&lt;0,"⚠ 账户余额成负数了，核对一下","√"))))))))))))))))))</f>
        <v>√</v>
      </c>
      <c r="O34" s="78" t="str">
        <f>IF(D34&lt;&gt;"",D34,IF(AND(F34="",G34=""),"",IF(J34&lt;&gt;"",IF(N(F34)&gt;0,"客户回款","客户退款"),IF(K34&lt;&gt;"",IF(N(G34)&gt;0,"供应商付款","供应商退款"),IF(L34&lt;&gt;"","费用支出","")))))</f>
        <v>客户回款</v>
      </c>
      <c r="P34" s="78" t="str">
        <f>IF(O34="","",IFERROR(INDEX(基础资料!$AE$5:$AE$34,MATCH(O34,基础资料!$AC$5:$AC$34,0)),"未知"))</f>
        <v>应收</v>
      </c>
      <c r="Q34" s="78">
        <f>IF(P34="应收",COUNTIF(P$7:P34,"应收"),"")</f>
        <v>28</v>
      </c>
      <c r="R34" s="78">
        <f>IF(P34="应付",COUNTIF(P$7:P34,"应付"),"")</f>
      </c>
      <c r="S34" s="78">
        <f>N(F34)-N(G34)</f>
        <v>11740</v>
      </c>
    </row>
    <row r="35">
      <c r="A35" s="109">
        <f>IF(AND(F35="",G35=""),"",ROW()-6)</f>
        <v>29</v>
      </c>
      <c r="B35" s="140" t="n">
        <v>46200</v>
      </c>
      <c r="C35" s="141" t="inlineStr">
        <is>
          <t>收款码</t>
        </is>
      </c>
      <c r="D35" s="141" t="inlineStr">
        <is>
          <t>客户回款</t>
        </is>
      </c>
      <c r="E35" s="142" t="inlineStr">
        <is>
          <t>东鹏新品订货款</t>
        </is>
      </c>
      <c r="F35" s="143" t="n">
        <v>704</v>
      </c>
      <c r="G35" s="144" t="n"/>
      <c r="H35" s="145">
        <f>IF(OR(C35="",AND(F35="",G35="")),"",SUMIF(基础资料!$W$5:$W$24,C35,基础资料!$X$5:$X$24)+SUMIF(C$7:C35,C35,F$7:F35)-SUMIF(C$7:C35,C35,G$7:G35))</f>
        <v>2532749.19</v>
      </c>
      <c r="I35" s="145">
        <f>IF(AND(F35="",G35=""),"",SUM(基础资料!$X$5:$X$24)+SUM(F$7:F35)-SUM(G$7:G35))</f>
        <v>2532749.19</v>
      </c>
      <c r="J35" s="141" t="inlineStr">
        <is>
          <t>高兴美宜佳</t>
        </is>
      </c>
      <c r="K35" s="141" t="n"/>
      <c r="L35" s="141" t="n"/>
      <c r="M35" s="142" t="n"/>
      <c r="N35" s="146" t="str">
        <f>IF(AND(AND(F35="",G35=""),B35="",C35="",D35="",J35="",K35="",L35=""),"",IF(AND(F35="",G35=""),"✗ 没填金额",IF(AND(N(F35)&lt;&gt;0,N(G35)&lt;&gt;0),"✗ 收入、支出只能填一边",IF(NOT(ISNUMBER(B35)),"✗ 日期不是真日期（要像 2026/9/25 这样填）",IF(OR(B35&lt;年初日,B35&gt;年末日),"✗ 日期不在本会计年度",IF(C35="","✗ 没选账户",IF(COUNTIF(基础资料!$W$5:$W$24,C35)=0,"✗ 账户不在基础资料里",IF(O35="","✗ 没选收支项目",IF(P35="未知","✗ 收支项目不在基础资料里",IF(AND(P35="应收",J35=""),"✗ 这笔要选客户",IF(AND(P35="应收",COUNTIF(总览汇总!$B$5:$B$304,J35)=0),"✗ 客户不在总览汇总名单里",IF(AND(P35="应付",K35=""),"✗ 这笔要选供应商",IF(AND(P35="应付",COUNTIF(基础资料!$Q$5:$Q$54,K35)=0),"✗ 供应商不在基础资料里",IF(AND(P35="费用",L35=""),"✗ 费用支出要选费用项目",IF(AND(L35&lt;&gt;"",COUNTIF(基础资料!$AI$5:$AI$54,L35)=0),"✗ 费用项目不在基础资料里",IF(AND(IFERROR(INDEX(基础资料!$AD$5:$AD$34,MATCH(O35,基础资料!$AC$5:$AC$34,0)),"")="收",N(G35)&lt;&gt;0),"✗ 这类是收款，金额填到收入列",IF(AND(IFERROR(INDEX(基础资料!$AD$5:$AD$34,MATCH(O35,基础资料!$AC$5:$AC$34,0)),"")="支",N(F35)&lt;&gt;0),"✗ 这类是付款，金额填到支出列",IF(N(H35)&lt;0,"⚠ 账户余额成负数了，核对一下","√"))))))))))))))))))</f>
        <v>√</v>
      </c>
      <c r="O35" s="78" t="str">
        <f>IF(D35&lt;&gt;"",D35,IF(AND(F35="",G35=""),"",IF(J35&lt;&gt;"",IF(N(F35)&gt;0,"客户回款","客户退款"),IF(K35&lt;&gt;"",IF(N(G35)&gt;0,"供应商付款","供应商退款"),IF(L35&lt;&gt;"","费用支出","")))))</f>
        <v>客户回款</v>
      </c>
      <c r="P35" s="78" t="str">
        <f>IF(O35="","",IFERROR(INDEX(基础资料!$AE$5:$AE$34,MATCH(O35,基础资料!$AC$5:$AC$34,0)),"未知"))</f>
        <v>应收</v>
      </c>
      <c r="Q35" s="78">
        <f>IF(P35="应收",COUNTIF(P$7:P35,"应收"),"")</f>
        <v>29</v>
      </c>
      <c r="R35" s="78">
        <f>IF(P35="应付",COUNTIF(P$7:P35,"应付"),"")</f>
      </c>
      <c r="S35" s="78">
        <f>N(F35)-N(G35)</f>
        <v>704</v>
      </c>
    </row>
    <row r="36">
      <c r="A36" s="109">
        <f>IF(AND(F36="",G36=""),"",ROW()-6)</f>
        <v>30</v>
      </c>
      <c r="B36" s="140" t="n">
        <v>46200</v>
      </c>
      <c r="C36" s="141" t="inlineStr">
        <is>
          <t>收款码</t>
        </is>
      </c>
      <c r="D36" s="141" t="inlineStr">
        <is>
          <t>客户回款</t>
        </is>
      </c>
      <c r="E36" s="142" t="inlineStr">
        <is>
          <t>东鹏新品订货款</t>
        </is>
      </c>
      <c r="F36" s="143" t="n">
        <v>3244</v>
      </c>
      <c r="G36" s="144" t="n"/>
      <c r="H36" s="145">
        <f>IF(OR(C36="",AND(F36="",G36="")),"",SUMIF(基础资料!$W$5:$W$24,C36,基础资料!$X$5:$X$24)+SUMIF(C$7:C36,C36,F$7:F36)-SUMIF(C$7:C36,C36,G$7:G36))</f>
        <v>2535993.19</v>
      </c>
      <c r="I36" s="145">
        <f>IF(AND(F36="",G36=""),"",SUM(基础资料!$X$5:$X$24)+SUM(F$7:F36)-SUM(G$7:G36))</f>
        <v>2535993.19</v>
      </c>
      <c r="J36" s="141" t="inlineStr">
        <is>
          <t>永丰焦溪兰兰副食</t>
        </is>
      </c>
      <c r="K36" s="141" t="n"/>
      <c r="L36" s="141" t="n"/>
      <c r="M36" s="142" t="n"/>
      <c r="N36" s="146" t="str">
        <f>IF(AND(AND(F36="",G36=""),B36="",C36="",D36="",J36="",K36="",L36=""),"",IF(AND(F36="",G36=""),"✗ 没填金额",IF(AND(N(F36)&lt;&gt;0,N(G36)&lt;&gt;0),"✗ 收入、支出只能填一边",IF(NOT(ISNUMBER(B36)),"✗ 日期不是真日期（要像 2026/9/25 这样填）",IF(OR(B36&lt;年初日,B36&gt;年末日),"✗ 日期不在本会计年度",IF(C36="","✗ 没选账户",IF(COUNTIF(基础资料!$W$5:$W$24,C36)=0,"✗ 账户不在基础资料里",IF(O36="","✗ 没选收支项目",IF(P36="未知","✗ 收支项目不在基础资料里",IF(AND(P36="应收",J36=""),"✗ 这笔要选客户",IF(AND(P36="应收",COUNTIF(总览汇总!$B$5:$B$304,J36)=0),"✗ 客户不在总览汇总名单里",IF(AND(P36="应付",K36=""),"✗ 这笔要选供应商",IF(AND(P36="应付",COUNTIF(基础资料!$Q$5:$Q$54,K36)=0),"✗ 供应商不在基础资料里",IF(AND(P36="费用",L36=""),"✗ 费用支出要选费用项目",IF(AND(L36&lt;&gt;"",COUNTIF(基础资料!$AI$5:$AI$54,L36)=0),"✗ 费用项目不在基础资料里",IF(AND(IFERROR(INDEX(基础资料!$AD$5:$AD$34,MATCH(O36,基础资料!$AC$5:$AC$34,0)),"")="收",N(G36)&lt;&gt;0),"✗ 这类是收款，金额填到收入列",IF(AND(IFERROR(INDEX(基础资料!$AD$5:$AD$34,MATCH(O36,基础资料!$AC$5:$AC$34,0)),"")="支",N(F36)&lt;&gt;0),"✗ 这类是付款，金额填到支出列",IF(N(H36)&lt;0,"⚠ 账户余额成负数了，核对一下","√"))))))))))))))))))</f>
        <v>√</v>
      </c>
      <c r="O36" s="78" t="str">
        <f>IF(D36&lt;&gt;"",D36,IF(AND(F36="",G36=""),"",IF(J36&lt;&gt;"",IF(N(F36)&gt;0,"客户回款","客户退款"),IF(K36&lt;&gt;"",IF(N(G36)&gt;0,"供应商付款","供应商退款"),IF(L36&lt;&gt;"","费用支出","")))))</f>
        <v>客户回款</v>
      </c>
      <c r="P36" s="78" t="str">
        <f>IF(O36="","",IFERROR(INDEX(基础资料!$AE$5:$AE$34,MATCH(O36,基础资料!$AC$5:$AC$34,0)),"未知"))</f>
        <v>应收</v>
      </c>
      <c r="Q36" s="78">
        <f>IF(P36="应收",COUNTIF(P$7:P36,"应收"),"")</f>
        <v>30</v>
      </c>
      <c r="R36" s="78">
        <f>IF(P36="应付",COUNTIF(P$7:P36,"应付"),"")</f>
      </c>
      <c r="S36" s="78">
        <f>N(F36)-N(G36)</f>
        <v>3244</v>
      </c>
    </row>
    <row r="37">
      <c r="A37" s="109">
        <f>IF(AND(F37="",G37=""),"",ROW()-6)</f>
        <v>31</v>
      </c>
      <c r="B37" s="140" t="n">
        <v>46200</v>
      </c>
      <c r="C37" s="141" t="inlineStr">
        <is>
          <t>收款码</t>
        </is>
      </c>
      <c r="D37" s="141" t="inlineStr">
        <is>
          <t>客户回款</t>
        </is>
      </c>
      <c r="E37" s="142" t="inlineStr">
        <is>
          <t>东鹏新品订货款</t>
        </is>
      </c>
      <c r="F37" s="143" t="n">
        <v>1126</v>
      </c>
      <c r="G37" s="144" t="n"/>
      <c r="H37" s="145">
        <f>IF(OR(C37="",AND(F37="",G37="")),"",SUMIF(基础资料!$W$5:$W$24,C37,基础资料!$X$5:$X$24)+SUMIF(C$7:C37,C37,F$7:F37)-SUMIF(C$7:C37,C37,G$7:G37))</f>
        <v>2537119.19</v>
      </c>
      <c r="I37" s="145">
        <f>IF(AND(F37="",G37=""),"",SUM(基础资料!$X$5:$X$24)+SUM(F$7:F37)-SUM(G$7:G37))</f>
        <v>2537119.19</v>
      </c>
      <c r="J37" s="141" t="inlineStr">
        <is>
          <t>高兴枫树平价超市</t>
        </is>
      </c>
      <c r="K37" s="141" t="n"/>
      <c r="L37" s="141" t="n"/>
      <c r="M37" s="142" t="n"/>
      <c r="N37" s="146" t="str">
        <f>IF(AND(AND(F37="",G37=""),B37="",C37="",D37="",J37="",K37="",L37=""),"",IF(AND(F37="",G37=""),"✗ 没填金额",IF(AND(N(F37)&lt;&gt;0,N(G37)&lt;&gt;0),"✗ 收入、支出只能填一边",IF(NOT(ISNUMBER(B37)),"✗ 日期不是真日期（要像 2026/9/25 这样填）",IF(OR(B37&lt;年初日,B37&gt;年末日),"✗ 日期不在本会计年度",IF(C37="","✗ 没选账户",IF(COUNTIF(基础资料!$W$5:$W$24,C37)=0,"✗ 账户不在基础资料里",IF(O37="","✗ 没选收支项目",IF(P37="未知","✗ 收支项目不在基础资料里",IF(AND(P37="应收",J37=""),"✗ 这笔要选客户",IF(AND(P37="应收",COUNTIF(总览汇总!$B$5:$B$304,J37)=0),"✗ 客户不在总览汇总名单里",IF(AND(P37="应付",K37=""),"✗ 这笔要选供应商",IF(AND(P37="应付",COUNTIF(基础资料!$Q$5:$Q$54,K37)=0),"✗ 供应商不在基础资料里",IF(AND(P37="费用",L37=""),"✗ 费用支出要选费用项目",IF(AND(L37&lt;&gt;"",COUNTIF(基础资料!$AI$5:$AI$54,L37)=0),"✗ 费用项目不在基础资料里",IF(AND(IFERROR(INDEX(基础资料!$AD$5:$AD$34,MATCH(O37,基础资料!$AC$5:$AC$34,0)),"")="收",N(G37)&lt;&gt;0),"✗ 这类是收款，金额填到收入列",IF(AND(IFERROR(INDEX(基础资料!$AD$5:$AD$34,MATCH(O37,基础资料!$AC$5:$AC$34,0)),"")="支",N(F37)&lt;&gt;0),"✗ 这类是付款，金额填到支出列",IF(N(H37)&lt;0,"⚠ 账户余额成负数了，核对一下","√"))))))))))))))))))</f>
        <v>√</v>
      </c>
      <c r="O37" s="78" t="str">
        <f>IF(D37&lt;&gt;"",D37,IF(AND(F37="",G37=""),"",IF(J37&lt;&gt;"",IF(N(F37)&gt;0,"客户回款","客户退款"),IF(K37&lt;&gt;"",IF(N(G37)&gt;0,"供应商付款","供应商退款"),IF(L37&lt;&gt;"","费用支出","")))))</f>
        <v>客户回款</v>
      </c>
      <c r="P37" s="78" t="str">
        <f>IF(O37="","",IFERROR(INDEX(基础资料!$AE$5:$AE$34,MATCH(O37,基础资料!$AC$5:$AC$34,0)),"未知"))</f>
        <v>应收</v>
      </c>
      <c r="Q37" s="78">
        <f>IF(P37="应收",COUNTIF(P$7:P37,"应收"),"")</f>
        <v>31</v>
      </c>
      <c r="R37" s="78">
        <f>IF(P37="应付",COUNTIF(P$7:P37,"应付"),"")</f>
      </c>
      <c r="S37" s="78">
        <f>N(F37)-N(G37)</f>
        <v>1126</v>
      </c>
    </row>
    <row r="38">
      <c r="A38" s="109">
        <f>IF(AND(F38="",G38=""),"",ROW()-6)</f>
        <v>32</v>
      </c>
      <c r="B38" s="140" t="n">
        <v>46200</v>
      </c>
      <c r="C38" s="141" t="inlineStr">
        <is>
          <t>收款码</t>
        </is>
      </c>
      <c r="D38" s="141" t="inlineStr">
        <is>
          <t>客户回款</t>
        </is>
      </c>
      <c r="E38" s="142" t="inlineStr">
        <is>
          <t>东鹏新品订货款</t>
        </is>
      </c>
      <c r="F38" s="143" t="n">
        <v>2182</v>
      </c>
      <c r="G38" s="144" t="n"/>
      <c r="H38" s="145">
        <f>IF(OR(C38="",AND(F38="",G38="")),"",SUMIF(基础资料!$W$5:$W$24,C38,基础资料!$X$5:$X$24)+SUMIF(C$7:C38,C38,F$7:F38)-SUMIF(C$7:C38,C38,G$7:G38))</f>
        <v>2539301.19</v>
      </c>
      <c r="I38" s="145">
        <f>IF(AND(F38="",G38=""),"",SUM(基础资料!$X$5:$X$24)+SUM(F$7:F38)-SUM(G$7:G38))</f>
        <v>2539301.19</v>
      </c>
      <c r="J38" s="141" t="inlineStr">
        <is>
          <t>鼎龙众家乐超市</t>
        </is>
      </c>
      <c r="K38" s="141" t="n"/>
      <c r="L38" s="141" t="n"/>
      <c r="M38" s="142" t="n"/>
      <c r="N38" s="146" t="str">
        <f>IF(AND(AND(F38="",G38=""),B38="",C38="",D38="",J38="",K38="",L38=""),"",IF(AND(F38="",G38=""),"✗ 没填金额",IF(AND(N(F38)&lt;&gt;0,N(G38)&lt;&gt;0),"✗ 收入、支出只能填一边",IF(NOT(ISNUMBER(B38)),"✗ 日期不是真日期（要像 2026/9/25 这样填）",IF(OR(B38&lt;年初日,B38&gt;年末日),"✗ 日期不在本会计年度",IF(C38="","✗ 没选账户",IF(COUNTIF(基础资料!$W$5:$W$24,C38)=0,"✗ 账户不在基础资料里",IF(O38="","✗ 没选收支项目",IF(P38="未知","✗ 收支项目不在基础资料里",IF(AND(P38="应收",J38=""),"✗ 这笔要选客户",IF(AND(P38="应收",COUNTIF(总览汇总!$B$5:$B$304,J38)=0),"✗ 客户不在总览汇总名单里",IF(AND(P38="应付",K38=""),"✗ 这笔要选供应商",IF(AND(P38="应付",COUNTIF(基础资料!$Q$5:$Q$54,K38)=0),"✗ 供应商不在基础资料里",IF(AND(P38="费用",L38=""),"✗ 费用支出要选费用项目",IF(AND(L38&lt;&gt;"",COUNTIF(基础资料!$AI$5:$AI$54,L38)=0),"✗ 费用项目不在基础资料里",IF(AND(IFERROR(INDEX(基础资料!$AD$5:$AD$34,MATCH(O38,基础资料!$AC$5:$AC$34,0)),"")="收",N(G38)&lt;&gt;0),"✗ 这类是收款，金额填到收入列",IF(AND(IFERROR(INDEX(基础资料!$AD$5:$AD$34,MATCH(O38,基础资料!$AC$5:$AC$34,0)),"")="支",N(F38)&lt;&gt;0),"✗ 这类是付款，金额填到支出列",IF(N(H38)&lt;0,"⚠ 账户余额成负数了，核对一下","√"))))))))))))))))))</f>
        <v>√</v>
      </c>
      <c r="O38" s="78" t="str">
        <f>IF(D38&lt;&gt;"",D38,IF(AND(F38="",G38=""),"",IF(J38&lt;&gt;"",IF(N(F38)&gt;0,"客户回款","客户退款"),IF(K38&lt;&gt;"",IF(N(G38)&gt;0,"供应商付款","供应商退款"),IF(L38&lt;&gt;"","费用支出","")))))</f>
        <v>客户回款</v>
      </c>
      <c r="P38" s="78" t="str">
        <f>IF(O38="","",IFERROR(INDEX(基础资料!$AE$5:$AE$34,MATCH(O38,基础资料!$AC$5:$AC$34,0)),"未知"))</f>
        <v>应收</v>
      </c>
      <c r="Q38" s="78">
        <f>IF(P38="应收",COUNTIF(P$7:P38,"应收"),"")</f>
        <v>32</v>
      </c>
      <c r="R38" s="78">
        <f>IF(P38="应付",COUNTIF(P$7:P38,"应付"),"")</f>
      </c>
      <c r="S38" s="78">
        <f>N(F38)-N(G38)</f>
        <v>2182</v>
      </c>
    </row>
    <row r="39">
      <c r="A39" s="109">
        <f>IF(AND(F39="",G39=""),"",ROW()-6)</f>
        <v>33</v>
      </c>
      <c r="B39" s="140" t="n">
        <v>46200</v>
      </c>
      <c r="C39" s="141" t="inlineStr">
        <is>
          <t>收款码</t>
        </is>
      </c>
      <c r="D39" s="141" t="inlineStr">
        <is>
          <t>客户回款</t>
        </is>
      </c>
      <c r="E39" s="142" t="inlineStr">
        <is>
          <t>收货款</t>
        </is>
      </c>
      <c r="F39" s="143" t="n">
        <v>45000</v>
      </c>
      <c r="G39" s="144" t="n"/>
      <c r="H39" s="145">
        <f>IF(OR(C39="",AND(F39="",G39="")),"",SUMIF(基础资料!$W$5:$W$24,C39,基础资料!$X$5:$X$24)+SUMIF(C$7:C39,C39,F$7:F39)-SUMIF(C$7:C39,C39,G$7:G39))</f>
        <v>2584301.19</v>
      </c>
      <c r="I39" s="145">
        <f>IF(AND(F39="",G39=""),"",SUM(基础资料!$X$5:$X$24)+SUM(F$7:F39)-SUM(G$7:G39))</f>
        <v>2584301.19</v>
      </c>
      <c r="J39" s="141" t="inlineStr">
        <is>
          <t>洪门兴诚超市</t>
        </is>
      </c>
      <c r="K39" s="141" t="n"/>
      <c r="L39" s="141" t="n"/>
      <c r="M39" s="142" t="n"/>
      <c r="N39" s="146" t="str">
        <f>IF(AND(AND(F39="",G39=""),B39="",C39="",D39="",J39="",K39="",L39=""),"",IF(AND(F39="",G39=""),"✗ 没填金额",IF(AND(N(F39)&lt;&gt;0,N(G39)&lt;&gt;0),"✗ 收入、支出只能填一边",IF(NOT(ISNUMBER(B39)),"✗ 日期不是真日期（要像 2026/9/25 这样填）",IF(OR(B39&lt;年初日,B39&gt;年末日),"✗ 日期不在本会计年度",IF(C39="","✗ 没选账户",IF(COUNTIF(基础资料!$W$5:$W$24,C39)=0,"✗ 账户不在基础资料里",IF(O39="","✗ 没选收支项目",IF(P39="未知","✗ 收支项目不在基础资料里",IF(AND(P39="应收",J39=""),"✗ 这笔要选客户",IF(AND(P39="应收",COUNTIF(总览汇总!$B$5:$B$304,J39)=0),"✗ 客户不在总览汇总名单里",IF(AND(P39="应付",K39=""),"✗ 这笔要选供应商",IF(AND(P39="应付",COUNTIF(基础资料!$Q$5:$Q$54,K39)=0),"✗ 供应商不在基础资料里",IF(AND(P39="费用",L39=""),"✗ 费用支出要选费用项目",IF(AND(L39&lt;&gt;"",COUNTIF(基础资料!$AI$5:$AI$54,L39)=0),"✗ 费用项目不在基础资料里",IF(AND(IFERROR(INDEX(基础资料!$AD$5:$AD$34,MATCH(O39,基础资料!$AC$5:$AC$34,0)),"")="收",N(G39)&lt;&gt;0),"✗ 这类是收款，金额填到收入列",IF(AND(IFERROR(INDEX(基础资料!$AD$5:$AD$34,MATCH(O39,基础资料!$AC$5:$AC$34,0)),"")="支",N(F39)&lt;&gt;0),"✗ 这类是付款，金额填到支出列",IF(N(H39)&lt;0,"⚠ 账户余额成负数了，核对一下","√"))))))))))))))))))</f>
        <v>√</v>
      </c>
      <c r="O39" s="78" t="str">
        <f>IF(D39&lt;&gt;"",D39,IF(AND(F39="",G39=""),"",IF(J39&lt;&gt;"",IF(N(F39)&gt;0,"客户回款","客户退款"),IF(K39&lt;&gt;"",IF(N(G39)&gt;0,"供应商付款","供应商退款"),IF(L39&lt;&gt;"","费用支出","")))))</f>
        <v>客户回款</v>
      </c>
      <c r="P39" s="78" t="str">
        <f>IF(O39="","",IFERROR(INDEX(基础资料!$AE$5:$AE$34,MATCH(O39,基础资料!$AC$5:$AC$34,0)),"未知"))</f>
        <v>应收</v>
      </c>
      <c r="Q39" s="78">
        <f>IF(P39="应收",COUNTIF(P$7:P39,"应收"),"")</f>
        <v>33</v>
      </c>
      <c r="R39" s="78">
        <f>IF(P39="应付",COUNTIF(P$7:P39,"应付"),"")</f>
      </c>
      <c r="S39" s="78">
        <f>N(F39)-N(G39)</f>
        <v>45000</v>
      </c>
    </row>
    <row r="40">
      <c r="A40" s="109">
        <f>IF(AND(F40="",G40=""),"",ROW()-6)</f>
        <v>34</v>
      </c>
      <c r="B40" s="140" t="n">
        <v>46201</v>
      </c>
      <c r="C40" s="141" t="inlineStr">
        <is>
          <t>收款码</t>
        </is>
      </c>
      <c r="D40" s="141" t="inlineStr">
        <is>
          <t>客户回款</t>
        </is>
      </c>
      <c r="E40" s="142" t="inlineStr">
        <is>
          <t>收货款</t>
        </is>
      </c>
      <c r="F40" s="143" t="n">
        <v>7697</v>
      </c>
      <c r="G40" s="144" t="n"/>
      <c r="H40" s="145">
        <f>IF(OR(C40="",AND(F40="",G40="")),"",SUMIF(基础资料!$W$5:$W$24,C40,基础资料!$X$5:$X$24)+SUMIF(C$7:C40,C40,F$7:F40)-SUMIF(C$7:C40,C40,G$7:G40))</f>
        <v>2591998.19</v>
      </c>
      <c r="I40" s="145">
        <f>IF(AND(F40="",G40=""),"",SUM(基础资料!$X$5:$X$24)+SUM(F$7:F40)-SUM(G$7:G40))</f>
        <v>2591998.19</v>
      </c>
      <c r="J40" s="141" t="inlineStr">
        <is>
          <t>王玉琴</t>
        </is>
      </c>
      <c r="K40" s="141" t="n"/>
      <c r="L40" s="141" t="n"/>
      <c r="M40" s="142" t="n"/>
      <c r="N40" s="146" t="str">
        <f>IF(AND(AND(F40="",G40=""),B40="",C40="",D40="",J40="",K40="",L40=""),"",IF(AND(F40="",G40=""),"✗ 没填金额",IF(AND(N(F40)&lt;&gt;0,N(G40)&lt;&gt;0),"✗ 收入、支出只能填一边",IF(NOT(ISNUMBER(B40)),"✗ 日期不是真日期（要像 2026/9/25 这样填）",IF(OR(B40&lt;年初日,B40&gt;年末日),"✗ 日期不在本会计年度",IF(C40="","✗ 没选账户",IF(COUNTIF(基础资料!$W$5:$W$24,C40)=0,"✗ 账户不在基础资料里",IF(O40="","✗ 没选收支项目",IF(P40="未知","✗ 收支项目不在基础资料里",IF(AND(P40="应收",J40=""),"✗ 这笔要选客户",IF(AND(P40="应收",COUNTIF(总览汇总!$B$5:$B$304,J40)=0),"✗ 客户不在总览汇总名单里",IF(AND(P40="应付",K40=""),"✗ 这笔要选供应商",IF(AND(P40="应付",COUNTIF(基础资料!$Q$5:$Q$54,K40)=0),"✗ 供应商不在基础资料里",IF(AND(P40="费用",L40=""),"✗ 费用支出要选费用项目",IF(AND(L40&lt;&gt;"",COUNTIF(基础资料!$AI$5:$AI$54,L40)=0),"✗ 费用项目不在基础资料里",IF(AND(IFERROR(INDEX(基础资料!$AD$5:$AD$34,MATCH(O40,基础资料!$AC$5:$AC$34,0)),"")="收",N(G40)&lt;&gt;0),"✗ 这类是收款，金额填到收入列",IF(AND(IFERROR(INDEX(基础资料!$AD$5:$AD$34,MATCH(O40,基础资料!$AC$5:$AC$34,0)),"")="支",N(F40)&lt;&gt;0),"✗ 这类是付款，金额填到支出列",IF(N(H40)&lt;0,"⚠ 账户余额成负数了，核对一下","√"))))))))))))))))))</f>
        <v>√</v>
      </c>
      <c r="O40" s="78" t="str">
        <f>IF(D40&lt;&gt;"",D40,IF(AND(F40="",G40=""),"",IF(J40&lt;&gt;"",IF(N(F40)&gt;0,"客户回款","客户退款"),IF(K40&lt;&gt;"",IF(N(G40)&gt;0,"供应商付款","供应商退款"),IF(L40&lt;&gt;"","费用支出","")))))</f>
        <v>客户回款</v>
      </c>
      <c r="P40" s="78" t="str">
        <f>IF(O40="","",IFERROR(INDEX(基础资料!$AE$5:$AE$34,MATCH(O40,基础资料!$AC$5:$AC$34,0)),"未知"))</f>
        <v>应收</v>
      </c>
      <c r="Q40" s="78">
        <f>IF(P40="应收",COUNTIF(P$7:P40,"应收"),"")</f>
        <v>34</v>
      </c>
      <c r="R40" s="78">
        <f>IF(P40="应付",COUNTIF(P$7:P40,"应付"),"")</f>
      </c>
      <c r="S40" s="78">
        <f>N(F40)-N(G40)</f>
        <v>7697</v>
      </c>
    </row>
    <row r="41">
      <c r="A41" s="109">
        <f>IF(AND(F41="",G41=""),"",ROW()-6)</f>
        <v>35</v>
      </c>
      <c r="B41" s="140" t="n">
        <v>46202</v>
      </c>
      <c r="C41" s="141" t="inlineStr">
        <is>
          <t>收款码</t>
        </is>
      </c>
      <c r="D41" s="141" t="inlineStr">
        <is>
          <t>客户回款</t>
        </is>
      </c>
      <c r="E41" s="142" t="inlineStr">
        <is>
          <t>收货款</t>
        </is>
      </c>
      <c r="F41" s="143" t="n">
        <v>21135</v>
      </c>
      <c r="G41" s="144" t="n"/>
      <c r="H41" s="145">
        <f>IF(OR(C41="",AND(F41="",G41="")),"",SUMIF(基础资料!$W$5:$W$24,C41,基础资料!$X$5:$X$24)+SUMIF(C$7:C41,C41,F$7:F41)-SUMIF(C$7:C41,C41,G$7:G41))</f>
        <v>2613133.19</v>
      </c>
      <c r="I41" s="145">
        <f>IF(AND(F41="",G41=""),"",SUM(基础资料!$X$5:$X$24)+SUM(F$7:F41)-SUM(G$7:G41))</f>
        <v>2613133.19</v>
      </c>
      <c r="J41" s="141" t="inlineStr">
        <is>
          <t>兴江吴辉明</t>
        </is>
      </c>
      <c r="K41" s="141" t="n"/>
      <c r="L41" s="141" t="n"/>
      <c r="M41" s="142" t="n"/>
      <c r="N41" s="146" t="str">
        <f>IF(AND(AND(F41="",G41=""),B41="",C41="",D41="",J41="",K41="",L41=""),"",IF(AND(F41="",G41=""),"✗ 没填金额",IF(AND(N(F41)&lt;&gt;0,N(G41)&lt;&gt;0),"✗ 收入、支出只能填一边",IF(NOT(ISNUMBER(B41)),"✗ 日期不是真日期（要像 2026/9/25 这样填）",IF(OR(B41&lt;年初日,B41&gt;年末日),"✗ 日期不在本会计年度",IF(C41="","✗ 没选账户",IF(COUNTIF(基础资料!$W$5:$W$24,C41)=0,"✗ 账户不在基础资料里",IF(O41="","✗ 没选收支项目",IF(P41="未知","✗ 收支项目不在基础资料里",IF(AND(P41="应收",J41=""),"✗ 这笔要选客户",IF(AND(P41="应收",COUNTIF(总览汇总!$B$5:$B$304,J41)=0),"✗ 客户不在总览汇总名单里",IF(AND(P41="应付",K41=""),"✗ 这笔要选供应商",IF(AND(P41="应付",COUNTIF(基础资料!$Q$5:$Q$54,K41)=0),"✗ 供应商不在基础资料里",IF(AND(P41="费用",L41=""),"✗ 费用支出要选费用项目",IF(AND(L41&lt;&gt;"",COUNTIF(基础资料!$AI$5:$AI$54,L41)=0),"✗ 费用项目不在基础资料里",IF(AND(IFERROR(INDEX(基础资料!$AD$5:$AD$34,MATCH(O41,基础资料!$AC$5:$AC$34,0)),"")="收",N(G41)&lt;&gt;0),"✗ 这类是收款，金额填到收入列",IF(AND(IFERROR(INDEX(基础资料!$AD$5:$AD$34,MATCH(O41,基础资料!$AC$5:$AC$34,0)),"")="支",N(F41)&lt;&gt;0),"✗ 这类是付款，金额填到支出列",IF(N(H41)&lt;0,"⚠ 账户余额成负数了，核对一下","√"))))))))))))))))))</f>
        <v>√</v>
      </c>
      <c r="O41" s="78" t="str">
        <f>IF(D41&lt;&gt;"",D41,IF(AND(F41="",G41=""),"",IF(J41&lt;&gt;"",IF(N(F41)&gt;0,"客户回款","客户退款"),IF(K41&lt;&gt;"",IF(N(G41)&gt;0,"供应商付款","供应商退款"),IF(L41&lt;&gt;"","费用支出","")))))</f>
        <v>客户回款</v>
      </c>
      <c r="P41" s="78" t="str">
        <f>IF(O41="","",IFERROR(INDEX(基础资料!$AE$5:$AE$34,MATCH(O41,基础资料!$AC$5:$AC$34,0)),"未知"))</f>
        <v>应收</v>
      </c>
      <c r="Q41" s="78">
        <f>IF(P41="应收",COUNTIF(P$7:P41,"应收"),"")</f>
        <v>35</v>
      </c>
      <c r="R41" s="78">
        <f>IF(P41="应付",COUNTIF(P$7:P41,"应付"),"")</f>
      </c>
      <c r="S41" s="78">
        <f>N(F41)-N(G41)</f>
        <v>21135</v>
      </c>
    </row>
    <row r="42">
      <c r="A42" s="109">
        <f>IF(AND(F42="",G42=""),"",ROW()-6)</f>
        <v>36</v>
      </c>
      <c r="B42" s="140" t="n">
        <v>46202</v>
      </c>
      <c r="C42" s="141" t="inlineStr">
        <is>
          <t>收款码</t>
        </is>
      </c>
      <c r="D42" s="141" t="inlineStr">
        <is>
          <t>客户回款</t>
        </is>
      </c>
      <c r="E42" s="142" t="inlineStr">
        <is>
          <t>收货款</t>
        </is>
      </c>
      <c r="F42" s="143" t="n">
        <v>27000</v>
      </c>
      <c r="G42" s="144" t="n"/>
      <c r="H42" s="145">
        <f>IF(OR(C42="",AND(F42="",G42="")),"",SUMIF(基础资料!$W$5:$W$24,C42,基础资料!$X$5:$X$24)+SUMIF(C$7:C42,C42,F$7:F42)-SUMIF(C$7:C42,C42,G$7:G42))</f>
        <v>2640133.19</v>
      </c>
      <c r="I42" s="145">
        <f>IF(AND(F42="",G42=""),"",SUM(基础资料!$X$5:$X$24)+SUM(F$7:F42)-SUM(G$7:G42))</f>
        <v>2640133.19</v>
      </c>
      <c r="J42" s="141" t="inlineStr">
        <is>
          <t>和睦公园百顺</t>
        </is>
      </c>
      <c r="K42" s="141" t="n"/>
      <c r="L42" s="141" t="n"/>
      <c r="M42" s="142" t="n"/>
      <c r="N42" s="146" t="str">
        <f>IF(AND(AND(F42="",G42=""),B42="",C42="",D42="",J42="",K42="",L42=""),"",IF(AND(F42="",G42=""),"✗ 没填金额",IF(AND(N(F42)&lt;&gt;0,N(G42)&lt;&gt;0),"✗ 收入、支出只能填一边",IF(NOT(ISNUMBER(B42)),"✗ 日期不是真日期（要像 2026/9/25 这样填）",IF(OR(B42&lt;年初日,B42&gt;年末日),"✗ 日期不在本会计年度",IF(C42="","✗ 没选账户",IF(COUNTIF(基础资料!$W$5:$W$24,C42)=0,"✗ 账户不在基础资料里",IF(O42="","✗ 没选收支项目",IF(P42="未知","✗ 收支项目不在基础资料里",IF(AND(P42="应收",J42=""),"✗ 这笔要选客户",IF(AND(P42="应收",COUNTIF(总览汇总!$B$5:$B$304,J42)=0),"✗ 客户不在总览汇总名单里",IF(AND(P42="应付",K42=""),"✗ 这笔要选供应商",IF(AND(P42="应付",COUNTIF(基础资料!$Q$5:$Q$54,K42)=0),"✗ 供应商不在基础资料里",IF(AND(P42="费用",L42=""),"✗ 费用支出要选费用项目",IF(AND(L42&lt;&gt;"",COUNTIF(基础资料!$AI$5:$AI$54,L42)=0),"✗ 费用项目不在基础资料里",IF(AND(IFERROR(INDEX(基础资料!$AD$5:$AD$34,MATCH(O42,基础资料!$AC$5:$AC$34,0)),"")="收",N(G42)&lt;&gt;0),"✗ 这类是收款，金额填到收入列",IF(AND(IFERROR(INDEX(基础资料!$AD$5:$AD$34,MATCH(O42,基础资料!$AC$5:$AC$34,0)),"")="支",N(F42)&lt;&gt;0),"✗ 这类是付款，金额填到支出列",IF(N(H42)&lt;0,"⚠ 账户余额成负数了，核对一下","√"))))))))))))))))))</f>
        <v>√</v>
      </c>
      <c r="O42" s="78" t="str">
        <f>IF(D42&lt;&gt;"",D42,IF(AND(F42="",G42=""),"",IF(J42&lt;&gt;"",IF(N(F42)&gt;0,"客户回款","客户退款"),IF(K42&lt;&gt;"",IF(N(G42)&gt;0,"供应商付款","供应商退款"),IF(L42&lt;&gt;"","费用支出","")))))</f>
        <v>客户回款</v>
      </c>
      <c r="P42" s="78" t="str">
        <f>IF(O42="","",IFERROR(INDEX(基础资料!$AE$5:$AE$34,MATCH(O42,基础资料!$AC$5:$AC$34,0)),"未知"))</f>
        <v>应收</v>
      </c>
      <c r="Q42" s="78">
        <f>IF(P42="应收",COUNTIF(P$7:P42,"应收"),"")</f>
        <v>36</v>
      </c>
      <c r="R42" s="78">
        <f>IF(P42="应付",COUNTIF(P$7:P42,"应付"),"")</f>
      </c>
      <c r="S42" s="78">
        <f>N(F42)-N(G42)</f>
        <v>27000</v>
      </c>
    </row>
    <row r="43">
      <c r="A43" s="109">
        <f>IF(AND(F43="",G43=""),"",ROW()-6)</f>
        <v>37</v>
      </c>
      <c r="B43" s="140" t="n">
        <v>46204</v>
      </c>
      <c r="C43" s="141" t="inlineStr">
        <is>
          <t>农业工账</t>
        </is>
      </c>
      <c r="D43" s="141" t="inlineStr">
        <is>
          <t>客户回款</t>
        </is>
      </c>
      <c r="E43" s="142" t="inlineStr">
        <is>
          <t>收货款</t>
        </is>
      </c>
      <c r="F43" s="143" t="n">
        <v>11350</v>
      </c>
      <c r="G43" s="144" t="n"/>
      <c r="H43" s="145">
        <f>IF(OR(C43="",AND(F43="",G43="")),"",SUMIF(基础资料!$W$5:$W$24,C43,基础资料!$X$5:$X$24)+SUMIF(C$7:C43,C43,F$7:F43)-SUMIF(C$7:C43,C43,G$7:G43))</f>
        <v>11350</v>
      </c>
      <c r="I43" s="145">
        <f>IF(AND(F43="",G43=""),"",SUM(基础资料!$X$5:$X$24)+SUM(F$7:F43)-SUM(G$7:G43))</f>
        <v>2651483.19</v>
      </c>
      <c r="J43" s="141" t="inlineStr">
        <is>
          <t>阳光超市</t>
        </is>
      </c>
      <c r="K43" s="141" t="n"/>
      <c r="L43" s="141" t="n"/>
      <c r="M43" s="142" t="n"/>
      <c r="N43" s="146" t="str">
        <f>IF(AND(AND(F43="",G43=""),B43="",C43="",D43="",J43="",K43="",L43=""),"",IF(AND(F43="",G43=""),"✗ 没填金额",IF(AND(N(F43)&lt;&gt;0,N(G43)&lt;&gt;0),"✗ 收入、支出只能填一边",IF(NOT(ISNUMBER(B43)),"✗ 日期不是真日期（要像 2026/9/25 这样填）",IF(OR(B43&lt;年初日,B43&gt;年末日),"✗ 日期不在本会计年度",IF(C43="","✗ 没选账户",IF(COUNTIF(基础资料!$W$5:$W$24,C43)=0,"✗ 账户不在基础资料里",IF(O43="","✗ 没选收支项目",IF(P43="未知","✗ 收支项目不在基础资料里",IF(AND(P43="应收",J43=""),"✗ 这笔要选客户",IF(AND(P43="应收",COUNTIF(总览汇总!$B$5:$B$304,J43)=0),"✗ 客户不在总览汇总名单里",IF(AND(P43="应付",K43=""),"✗ 这笔要选供应商",IF(AND(P43="应付",COUNTIF(基础资料!$Q$5:$Q$54,K43)=0),"✗ 供应商不在基础资料里",IF(AND(P43="费用",L43=""),"✗ 费用支出要选费用项目",IF(AND(L43&lt;&gt;"",COUNTIF(基础资料!$AI$5:$AI$54,L43)=0),"✗ 费用项目不在基础资料里",IF(AND(IFERROR(INDEX(基础资料!$AD$5:$AD$34,MATCH(O43,基础资料!$AC$5:$AC$34,0)),"")="收",N(G43)&lt;&gt;0),"✗ 这类是收款，金额填到收入列",IF(AND(IFERROR(INDEX(基础资料!$AD$5:$AD$34,MATCH(O43,基础资料!$AC$5:$AC$34,0)),"")="支",N(F43)&lt;&gt;0),"✗ 这类是付款，金额填到支出列",IF(N(H43)&lt;0,"⚠ 账户余额成负数了，核对一下","√"))))))))))))))))))</f>
        <v>√</v>
      </c>
      <c r="O43" s="78" t="str">
        <f>IF(D43&lt;&gt;"",D43,IF(AND(F43="",G43=""),"",IF(J43&lt;&gt;"",IF(N(F43)&gt;0,"客户回款","客户退款"),IF(K43&lt;&gt;"",IF(N(G43)&gt;0,"供应商付款","供应商退款"),IF(L43&lt;&gt;"","费用支出","")))))</f>
        <v>客户回款</v>
      </c>
      <c r="P43" s="78" t="str">
        <f>IF(O43="","",IFERROR(INDEX(基础资料!$AE$5:$AE$34,MATCH(O43,基础资料!$AC$5:$AC$34,0)),"未知"))</f>
        <v>应收</v>
      </c>
      <c r="Q43" s="78">
        <f>IF(P43="应收",COUNTIF(P$7:P43,"应收"),"")</f>
        <v>37</v>
      </c>
      <c r="R43" s="78">
        <f>IF(P43="应付",COUNTIF(P$7:P43,"应付"),"")</f>
      </c>
      <c r="S43" s="78">
        <f>N(F43)-N(G43)</f>
        <v>11350</v>
      </c>
    </row>
    <row r="44">
      <c r="A44" s="109">
        <f>IF(AND(F44="",G44=""),"",ROW()-6)</f>
        <v>38</v>
      </c>
      <c r="B44" s="140" t="n">
        <v>46204</v>
      </c>
      <c r="C44" s="141" t="inlineStr">
        <is>
          <t>收款码</t>
        </is>
      </c>
      <c r="D44" s="141" t="inlineStr">
        <is>
          <t>客户回款</t>
        </is>
      </c>
      <c r="E44" s="142" t="inlineStr">
        <is>
          <t>收货款</t>
        </is>
      </c>
      <c r="F44" s="143" t="n">
        <v>5400</v>
      </c>
      <c r="G44" s="144" t="n"/>
      <c r="H44" s="145">
        <f>IF(OR(C44="",AND(F44="",G44="")),"",SUMIF(基础资料!$W$5:$W$24,C44,基础资料!$X$5:$X$24)+SUMIF(C$7:C44,C44,F$7:F44)-SUMIF(C$7:C44,C44,G$7:G44))</f>
        <v>2645533.19</v>
      </c>
      <c r="I44" s="145">
        <f>IF(AND(F44="",G44=""),"",SUM(基础资料!$X$5:$X$24)+SUM(F$7:F44)-SUM(G$7:G44))</f>
        <v>2656883.19</v>
      </c>
      <c r="J44" s="141" t="inlineStr">
        <is>
          <t>红军路怡品折扣店</t>
        </is>
      </c>
      <c r="K44" s="141" t="n"/>
      <c r="L44" s="141" t="n"/>
      <c r="M44" s="142" t="n"/>
      <c r="N44" s="146" t="str">
        <f>IF(AND(AND(F44="",G44=""),B44="",C44="",D44="",J44="",K44="",L44=""),"",IF(AND(F44="",G44=""),"✗ 没填金额",IF(AND(N(F44)&lt;&gt;0,N(G44)&lt;&gt;0),"✗ 收入、支出只能填一边",IF(NOT(ISNUMBER(B44)),"✗ 日期不是真日期（要像 2026/9/25 这样填）",IF(OR(B44&lt;年初日,B44&gt;年末日),"✗ 日期不在本会计年度",IF(C44="","✗ 没选账户",IF(COUNTIF(基础资料!$W$5:$W$24,C44)=0,"✗ 账户不在基础资料里",IF(O44="","✗ 没选收支项目",IF(P44="未知","✗ 收支项目不在基础资料里",IF(AND(P44="应收",J44=""),"✗ 这笔要选客户",IF(AND(P44="应收",COUNTIF(总览汇总!$B$5:$B$304,J44)=0),"✗ 客户不在总览汇总名单里",IF(AND(P44="应付",K44=""),"✗ 这笔要选供应商",IF(AND(P44="应付",COUNTIF(基础资料!$Q$5:$Q$54,K44)=0),"✗ 供应商不在基础资料里",IF(AND(P44="费用",L44=""),"✗ 费用支出要选费用项目",IF(AND(L44&lt;&gt;"",COUNTIF(基础资料!$AI$5:$AI$54,L44)=0),"✗ 费用项目不在基础资料里",IF(AND(IFERROR(INDEX(基础资料!$AD$5:$AD$34,MATCH(O44,基础资料!$AC$5:$AC$34,0)),"")="收",N(G44)&lt;&gt;0),"✗ 这类是收款，金额填到收入列",IF(AND(IFERROR(INDEX(基础资料!$AD$5:$AD$34,MATCH(O44,基础资料!$AC$5:$AC$34,0)),"")="支",N(F44)&lt;&gt;0),"✗ 这类是付款，金额填到支出列",IF(N(H44)&lt;0,"⚠ 账户余额成负数了，核对一下","√"))))))))))))))))))</f>
        <v>√</v>
      </c>
      <c r="O44" s="78" t="str">
        <f>IF(D44&lt;&gt;"",D44,IF(AND(F44="",G44=""),"",IF(J44&lt;&gt;"",IF(N(F44)&gt;0,"客户回款","客户退款"),IF(K44&lt;&gt;"",IF(N(G44)&gt;0,"供应商付款","供应商退款"),IF(L44&lt;&gt;"","费用支出","")))))</f>
        <v>客户回款</v>
      </c>
      <c r="P44" s="78" t="str">
        <f>IF(O44="","",IFERROR(INDEX(基础资料!$AE$5:$AE$34,MATCH(O44,基础资料!$AC$5:$AC$34,0)),"未知"))</f>
        <v>应收</v>
      </c>
      <c r="Q44" s="78">
        <f>IF(P44="应收",COUNTIF(P$7:P44,"应收"),"")</f>
        <v>38</v>
      </c>
      <c r="R44" s="78">
        <f>IF(P44="应付",COUNTIF(P$7:P44,"应付"),"")</f>
      </c>
      <c r="S44" s="78">
        <f>N(F44)-N(G44)</f>
        <v>5400</v>
      </c>
    </row>
    <row r="45">
      <c r="A45" s="109">
        <f>IF(AND(F45="",G45=""),"",ROW()-6)</f>
        <v>39</v>
      </c>
      <c r="B45" s="140" t="n">
        <v>46204</v>
      </c>
      <c r="C45" s="141" t="inlineStr">
        <is>
          <t>收款码</t>
        </is>
      </c>
      <c r="D45" s="141" t="inlineStr">
        <is>
          <t>客户回款</t>
        </is>
      </c>
      <c r="E45" s="142" t="inlineStr">
        <is>
          <t>收货款</t>
        </is>
      </c>
      <c r="F45" s="143" t="n">
        <v>2579</v>
      </c>
      <c r="G45" s="144" t="n"/>
      <c r="H45" s="145">
        <f>IF(OR(C45="",AND(F45="",G45="")),"",SUMIF(基础资料!$W$5:$W$24,C45,基础资料!$X$5:$X$24)+SUMIF(C$7:C45,C45,F$7:F45)-SUMIF(C$7:C45,C45,G$7:G45))</f>
        <v>2648112.19</v>
      </c>
      <c r="I45" s="145">
        <f>IF(AND(F45="",G45=""),"",SUM(基础资料!$X$5:$X$24)+SUM(F$7:F45)-SUM(G$7:G45))</f>
        <v>2659462.19</v>
      </c>
      <c r="J45" s="141" t="inlineStr">
        <is>
          <t>家家兴超市</t>
        </is>
      </c>
      <c r="K45" s="141" t="n"/>
      <c r="L45" s="141" t="n"/>
      <c r="M45" s="142" t="n"/>
      <c r="N45" s="146" t="str">
        <f>IF(AND(AND(F45="",G45=""),B45="",C45="",D45="",J45="",K45="",L45=""),"",IF(AND(F45="",G45=""),"✗ 没填金额",IF(AND(N(F45)&lt;&gt;0,N(G45)&lt;&gt;0),"✗ 收入、支出只能填一边",IF(NOT(ISNUMBER(B45)),"✗ 日期不是真日期（要像 2026/9/25 这样填）",IF(OR(B45&lt;年初日,B45&gt;年末日),"✗ 日期不在本会计年度",IF(C45="","✗ 没选账户",IF(COUNTIF(基础资料!$W$5:$W$24,C45)=0,"✗ 账户不在基础资料里",IF(O45="","✗ 没选收支项目",IF(P45="未知","✗ 收支项目不在基础资料里",IF(AND(P45="应收",J45=""),"✗ 这笔要选客户",IF(AND(P45="应收",COUNTIF(总览汇总!$B$5:$B$304,J45)=0),"✗ 客户不在总览汇总名单里",IF(AND(P45="应付",K45=""),"✗ 这笔要选供应商",IF(AND(P45="应付",COUNTIF(基础资料!$Q$5:$Q$54,K45)=0),"✗ 供应商不在基础资料里",IF(AND(P45="费用",L45=""),"✗ 费用支出要选费用项目",IF(AND(L45&lt;&gt;"",COUNTIF(基础资料!$AI$5:$AI$54,L45)=0),"✗ 费用项目不在基础资料里",IF(AND(IFERROR(INDEX(基础资料!$AD$5:$AD$34,MATCH(O45,基础资料!$AC$5:$AC$34,0)),"")="收",N(G45)&lt;&gt;0),"✗ 这类是收款，金额填到收入列",IF(AND(IFERROR(INDEX(基础资料!$AD$5:$AD$34,MATCH(O45,基础资料!$AC$5:$AC$34,0)),"")="支",N(F45)&lt;&gt;0),"✗ 这类是付款，金额填到支出列",IF(N(H45)&lt;0,"⚠ 账户余额成负数了，核对一下","√"))))))))))))))))))</f>
        <v>√</v>
      </c>
      <c r="O45" s="78" t="str">
        <f>IF(D45&lt;&gt;"",D45,IF(AND(F45="",G45=""),"",IF(J45&lt;&gt;"",IF(N(F45)&gt;0,"客户回款","客户退款"),IF(K45&lt;&gt;"",IF(N(G45)&gt;0,"供应商付款","供应商退款"),IF(L45&lt;&gt;"","费用支出","")))))</f>
        <v>客户回款</v>
      </c>
      <c r="P45" s="78" t="str">
        <f>IF(O45="","",IFERROR(INDEX(基础资料!$AE$5:$AE$34,MATCH(O45,基础资料!$AC$5:$AC$34,0)),"未知"))</f>
        <v>应收</v>
      </c>
      <c r="Q45" s="78">
        <f>IF(P45="应收",COUNTIF(P$7:P45,"应收"),"")</f>
        <v>39</v>
      </c>
      <c r="R45" s="78">
        <f>IF(P45="应付",COUNTIF(P$7:P45,"应付"),"")</f>
      </c>
      <c r="S45" s="78">
        <f>N(F45)-N(G45)</f>
        <v>2579</v>
      </c>
    </row>
    <row r="46">
      <c r="A46" s="109">
        <f>IF(AND(F46="",G46=""),"",ROW()-6)</f>
        <v>40</v>
      </c>
      <c r="B46" s="140" t="n">
        <v>46204</v>
      </c>
      <c r="C46" s="141" t="inlineStr">
        <is>
          <t>收款码</t>
        </is>
      </c>
      <c r="D46" s="141" t="inlineStr">
        <is>
          <t>客户回款</t>
        </is>
      </c>
      <c r="E46" s="142" t="inlineStr">
        <is>
          <t>收货款</t>
        </is>
      </c>
      <c r="F46" s="143" t="n">
        <v>360000</v>
      </c>
      <c r="G46" s="144" t="n"/>
      <c r="H46" s="145">
        <f>IF(OR(C46="",AND(F46="",G46="")),"",SUMIF(基础资料!$W$5:$W$24,C46,基础资料!$X$5:$X$24)+SUMIF(C$7:C46,C46,F$7:F46)-SUMIF(C$7:C46,C46,G$7:G46))</f>
        <v>3008112.19</v>
      </c>
      <c r="I46" s="145">
        <f>IF(AND(F46="",G46=""),"",SUM(基础资料!$X$5:$X$24)+SUM(F$7:F46)-SUM(G$7:G46))</f>
        <v>3019462.19</v>
      </c>
      <c r="J46" s="141" t="inlineStr">
        <is>
          <t>小梅商行</t>
        </is>
      </c>
      <c r="K46" s="141" t="n"/>
      <c r="L46" s="141" t="n"/>
      <c r="M46" s="142" t="n"/>
      <c r="N46" s="146" t="str">
        <f>IF(AND(AND(F46="",G46=""),B46="",C46="",D46="",J46="",K46="",L46=""),"",IF(AND(F46="",G46=""),"✗ 没填金额",IF(AND(N(F46)&lt;&gt;0,N(G46)&lt;&gt;0),"✗ 收入、支出只能填一边",IF(NOT(ISNUMBER(B46)),"✗ 日期不是真日期（要像 2026/9/25 这样填）",IF(OR(B46&lt;年初日,B46&gt;年末日),"✗ 日期不在本会计年度",IF(C46="","✗ 没选账户",IF(COUNTIF(基础资料!$W$5:$W$24,C46)=0,"✗ 账户不在基础资料里",IF(O46="","✗ 没选收支项目",IF(P46="未知","✗ 收支项目不在基础资料里",IF(AND(P46="应收",J46=""),"✗ 这笔要选客户",IF(AND(P46="应收",COUNTIF(总览汇总!$B$5:$B$304,J46)=0),"✗ 客户不在总览汇总名单里",IF(AND(P46="应付",K46=""),"✗ 这笔要选供应商",IF(AND(P46="应付",COUNTIF(基础资料!$Q$5:$Q$54,K46)=0),"✗ 供应商不在基础资料里",IF(AND(P46="费用",L46=""),"✗ 费用支出要选费用项目",IF(AND(L46&lt;&gt;"",COUNTIF(基础资料!$AI$5:$AI$54,L46)=0),"✗ 费用项目不在基础资料里",IF(AND(IFERROR(INDEX(基础资料!$AD$5:$AD$34,MATCH(O46,基础资料!$AC$5:$AC$34,0)),"")="收",N(G46)&lt;&gt;0),"✗ 这类是收款，金额填到收入列",IF(AND(IFERROR(INDEX(基础资料!$AD$5:$AD$34,MATCH(O46,基础资料!$AC$5:$AC$34,0)),"")="支",N(F46)&lt;&gt;0),"✗ 这类是付款，金额填到支出列",IF(N(H46)&lt;0,"⚠ 账户余额成负数了，核对一下","√"))))))))))))))))))</f>
        <v>√</v>
      </c>
      <c r="O46" s="78" t="str">
        <f>IF(D46&lt;&gt;"",D46,IF(AND(F46="",G46=""),"",IF(J46&lt;&gt;"",IF(N(F46)&gt;0,"客户回款","客户退款"),IF(K46&lt;&gt;"",IF(N(G46)&gt;0,"供应商付款","供应商退款"),IF(L46&lt;&gt;"","费用支出","")))))</f>
        <v>客户回款</v>
      </c>
      <c r="P46" s="78" t="str">
        <f>IF(O46="","",IFERROR(INDEX(基础资料!$AE$5:$AE$34,MATCH(O46,基础资料!$AC$5:$AC$34,0)),"未知"))</f>
        <v>应收</v>
      </c>
      <c r="Q46" s="78">
        <f>IF(P46="应收",COUNTIF(P$7:P46,"应收"),"")</f>
        <v>40</v>
      </c>
      <c r="R46" s="78">
        <f>IF(P46="应付",COUNTIF(P$7:P46,"应付"),"")</f>
      </c>
      <c r="S46" s="78">
        <f>N(F46)-N(G46)</f>
        <v>360000</v>
      </c>
    </row>
    <row r="47">
      <c r="A47" s="109">
        <f>IF(AND(F47="",G47=""),"",ROW()-6)</f>
        <v>41</v>
      </c>
      <c r="B47" s="140" t="n">
        <v>46205</v>
      </c>
      <c r="C47" s="141" t="inlineStr">
        <is>
          <t>收款码</t>
        </is>
      </c>
      <c r="D47" s="141" t="inlineStr">
        <is>
          <t>客户回款</t>
        </is>
      </c>
      <c r="E47" s="142" t="inlineStr">
        <is>
          <t>收货款</t>
        </is>
      </c>
      <c r="F47" s="143" t="n">
        <v>10000</v>
      </c>
      <c r="G47" s="144" t="n"/>
      <c r="H47" s="145">
        <f>IF(OR(C47="",AND(F47="",G47="")),"",SUMIF(基础资料!$W$5:$W$24,C47,基础资料!$X$5:$X$24)+SUMIF(C$7:C47,C47,F$7:F47)-SUMIF(C$7:C47,C47,G$7:G47))</f>
        <v>3018112.19</v>
      </c>
      <c r="I47" s="145">
        <f>IF(AND(F47="",G47=""),"",SUM(基础资料!$X$5:$X$24)+SUM(F$7:F47)-SUM(G$7:G47))</f>
        <v>3029462.19</v>
      </c>
      <c r="J47" s="141" t="inlineStr">
        <is>
          <t>家家兴超市</t>
        </is>
      </c>
      <c r="K47" s="141" t="n"/>
      <c r="L47" s="141" t="n"/>
      <c r="M47" s="142" t="n"/>
      <c r="N47" s="146" t="str">
        <f>IF(AND(AND(F47="",G47=""),B47="",C47="",D47="",J47="",K47="",L47=""),"",IF(AND(F47="",G47=""),"✗ 没填金额",IF(AND(N(F47)&lt;&gt;0,N(G47)&lt;&gt;0),"✗ 收入、支出只能填一边",IF(NOT(ISNUMBER(B47)),"✗ 日期不是真日期（要像 2026/9/25 这样填）",IF(OR(B47&lt;年初日,B47&gt;年末日),"✗ 日期不在本会计年度",IF(C47="","✗ 没选账户",IF(COUNTIF(基础资料!$W$5:$W$24,C47)=0,"✗ 账户不在基础资料里",IF(O47="","✗ 没选收支项目",IF(P47="未知","✗ 收支项目不在基础资料里",IF(AND(P47="应收",J47=""),"✗ 这笔要选客户",IF(AND(P47="应收",COUNTIF(总览汇总!$B$5:$B$304,J47)=0),"✗ 客户不在总览汇总名单里",IF(AND(P47="应付",K47=""),"✗ 这笔要选供应商",IF(AND(P47="应付",COUNTIF(基础资料!$Q$5:$Q$54,K47)=0),"✗ 供应商不在基础资料里",IF(AND(P47="费用",L47=""),"✗ 费用支出要选费用项目",IF(AND(L47&lt;&gt;"",COUNTIF(基础资料!$AI$5:$AI$54,L47)=0),"✗ 费用项目不在基础资料里",IF(AND(IFERROR(INDEX(基础资料!$AD$5:$AD$34,MATCH(O47,基础资料!$AC$5:$AC$34,0)),"")="收",N(G47)&lt;&gt;0),"✗ 这类是收款，金额填到收入列",IF(AND(IFERROR(INDEX(基础资料!$AD$5:$AD$34,MATCH(O47,基础资料!$AC$5:$AC$34,0)),"")="支",N(F47)&lt;&gt;0),"✗ 这类是付款，金额填到支出列",IF(N(H47)&lt;0,"⚠ 账户余额成负数了，核对一下","√"))))))))))))))))))</f>
        <v>√</v>
      </c>
      <c r="O47" s="78" t="str">
        <f>IF(D47&lt;&gt;"",D47,IF(AND(F47="",G47=""),"",IF(J47&lt;&gt;"",IF(N(F47)&gt;0,"客户回款","客户退款"),IF(K47&lt;&gt;"",IF(N(G47)&gt;0,"供应商付款","供应商退款"),IF(L47&lt;&gt;"","费用支出","")))))</f>
        <v>客户回款</v>
      </c>
      <c r="P47" s="78" t="str">
        <f>IF(O47="","",IFERROR(INDEX(基础资料!$AE$5:$AE$34,MATCH(O47,基础资料!$AC$5:$AC$34,0)),"未知"))</f>
        <v>应收</v>
      </c>
      <c r="Q47" s="78">
        <f>IF(P47="应收",COUNTIF(P$7:P47,"应收"),"")</f>
        <v>41</v>
      </c>
      <c r="R47" s="78">
        <f>IF(P47="应付",COUNTIF(P$7:P47,"应付"),"")</f>
      </c>
      <c r="S47" s="78">
        <f>N(F47)-N(G47)</f>
        <v>10000</v>
      </c>
    </row>
    <row r="48">
      <c r="A48" s="109">
        <f>IF(AND(F48="",G48=""),"",ROW()-6)</f>
        <v>42</v>
      </c>
      <c r="B48" s="140" t="n">
        <v>46207</v>
      </c>
      <c r="C48" s="141" t="inlineStr">
        <is>
          <t>收款码</t>
        </is>
      </c>
      <c r="D48" s="141" t="inlineStr">
        <is>
          <t>客户回款</t>
        </is>
      </c>
      <c r="E48" s="142" t="inlineStr">
        <is>
          <t>收货款</t>
        </is>
      </c>
      <c r="F48" s="143" t="n">
        <v>2325</v>
      </c>
      <c r="G48" s="144" t="n"/>
      <c r="H48" s="145">
        <f>IF(OR(C48="",AND(F48="",G48="")),"",SUMIF(基础资料!$W$5:$W$24,C48,基础资料!$X$5:$X$24)+SUMIF(C$7:C48,C48,F$7:F48)-SUMIF(C$7:C48,C48,G$7:G48))</f>
        <v>3020437.19</v>
      </c>
      <c r="I48" s="145">
        <f>IF(AND(F48="",G48=""),"",SUM(基础资料!$X$5:$X$24)+SUM(F$7:F48)-SUM(G$7:G48))</f>
        <v>3031787.19</v>
      </c>
      <c r="J48" s="141" t="inlineStr">
        <is>
          <t>均村桃姐水果店</t>
        </is>
      </c>
      <c r="K48" s="141" t="n"/>
      <c r="L48" s="141" t="n"/>
      <c r="M48" s="142" t="n"/>
      <c r="N48" s="146" t="str">
        <f>IF(AND(AND(F48="",G48=""),B48="",C48="",D48="",J48="",K48="",L48=""),"",IF(AND(F48="",G48=""),"✗ 没填金额",IF(AND(N(F48)&lt;&gt;0,N(G48)&lt;&gt;0),"✗ 收入、支出只能填一边",IF(NOT(ISNUMBER(B48)),"✗ 日期不是真日期（要像 2026/9/25 这样填）",IF(OR(B48&lt;年初日,B48&gt;年末日),"✗ 日期不在本会计年度",IF(C48="","✗ 没选账户",IF(COUNTIF(基础资料!$W$5:$W$24,C48)=0,"✗ 账户不在基础资料里",IF(O48="","✗ 没选收支项目",IF(P48="未知","✗ 收支项目不在基础资料里",IF(AND(P48="应收",J48=""),"✗ 这笔要选客户",IF(AND(P48="应收",COUNTIF(总览汇总!$B$5:$B$304,J48)=0),"✗ 客户不在总览汇总名单里",IF(AND(P48="应付",K48=""),"✗ 这笔要选供应商",IF(AND(P48="应付",COUNTIF(基础资料!$Q$5:$Q$54,K48)=0),"✗ 供应商不在基础资料里",IF(AND(P48="费用",L48=""),"✗ 费用支出要选费用项目",IF(AND(L48&lt;&gt;"",COUNTIF(基础资料!$AI$5:$AI$54,L48)=0),"✗ 费用项目不在基础资料里",IF(AND(IFERROR(INDEX(基础资料!$AD$5:$AD$34,MATCH(O48,基础资料!$AC$5:$AC$34,0)),"")="收",N(G48)&lt;&gt;0),"✗ 这类是收款，金额填到收入列",IF(AND(IFERROR(INDEX(基础资料!$AD$5:$AD$34,MATCH(O48,基础资料!$AC$5:$AC$34,0)),"")="支",N(F48)&lt;&gt;0),"✗ 这类是付款，金额填到支出列",IF(N(H48)&lt;0,"⚠ 账户余额成负数了，核对一下","√"))))))))))))))))))</f>
        <v>√</v>
      </c>
      <c r="O48" s="78" t="str">
        <f>IF(D48&lt;&gt;"",D48,IF(AND(F48="",G48=""),"",IF(J48&lt;&gt;"",IF(N(F48)&gt;0,"客户回款","客户退款"),IF(K48&lt;&gt;"",IF(N(G48)&gt;0,"供应商付款","供应商退款"),IF(L48&lt;&gt;"","费用支出","")))))</f>
        <v>客户回款</v>
      </c>
      <c r="P48" s="78" t="str">
        <f>IF(O48="","",IFERROR(INDEX(基础资料!$AE$5:$AE$34,MATCH(O48,基础资料!$AC$5:$AC$34,0)),"未知"))</f>
        <v>应收</v>
      </c>
      <c r="Q48" s="78">
        <f>IF(P48="应收",COUNTIF(P$7:P48,"应收"),"")</f>
        <v>42</v>
      </c>
      <c r="R48" s="78">
        <f>IF(P48="应付",COUNTIF(P$7:P48,"应付"),"")</f>
      </c>
      <c r="S48" s="78">
        <f>N(F48)-N(G48)</f>
        <v>2325</v>
      </c>
    </row>
    <row r="49">
      <c r="A49" s="109">
        <f>IF(AND(F49="",G49=""),"",ROW()-6)</f>
        <v>43</v>
      </c>
      <c r="B49" s="140" t="n">
        <v>46209</v>
      </c>
      <c r="C49" s="141" t="inlineStr">
        <is>
          <t>收款码</t>
        </is>
      </c>
      <c r="D49" s="141" t="inlineStr">
        <is>
          <t>客户回款</t>
        </is>
      </c>
      <c r="E49" s="142" t="inlineStr">
        <is>
          <t>收货款</t>
        </is>
      </c>
      <c r="F49" s="143" t="n">
        <v>4500</v>
      </c>
      <c r="G49" s="144" t="n"/>
      <c r="H49" s="145">
        <f>IF(OR(C49="",AND(F49="",G49="")),"",SUMIF(基础资料!$W$5:$W$24,C49,基础资料!$X$5:$X$24)+SUMIF(C$7:C49,C49,F$7:F49)-SUMIF(C$7:C49,C49,G$7:G49))</f>
        <v>3024937.19</v>
      </c>
      <c r="I49" s="145">
        <f>IF(AND(F49="",G49=""),"",SUM(基础资料!$X$5:$X$24)+SUM(F$7:F49)-SUM(G$7:G49))</f>
        <v>3036287.19</v>
      </c>
      <c r="J49" s="141" t="inlineStr">
        <is>
          <t>贸易广场老吴副食</t>
        </is>
      </c>
      <c r="K49" s="141" t="n"/>
      <c r="L49" s="141" t="n"/>
      <c r="M49" s="142" t="n"/>
      <c r="N49" s="146" t="str">
        <f>IF(AND(AND(F49="",G49=""),B49="",C49="",D49="",J49="",K49="",L49=""),"",IF(AND(F49="",G49=""),"✗ 没填金额",IF(AND(N(F49)&lt;&gt;0,N(G49)&lt;&gt;0),"✗ 收入、支出只能填一边",IF(NOT(ISNUMBER(B49)),"✗ 日期不是真日期（要像 2026/9/25 这样填）",IF(OR(B49&lt;年初日,B49&gt;年末日),"✗ 日期不在本会计年度",IF(C49="","✗ 没选账户",IF(COUNTIF(基础资料!$W$5:$W$24,C49)=0,"✗ 账户不在基础资料里",IF(O49="","✗ 没选收支项目",IF(P49="未知","✗ 收支项目不在基础资料里",IF(AND(P49="应收",J49=""),"✗ 这笔要选客户",IF(AND(P49="应收",COUNTIF(总览汇总!$B$5:$B$304,J49)=0),"✗ 客户不在总览汇总名单里",IF(AND(P49="应付",K49=""),"✗ 这笔要选供应商",IF(AND(P49="应付",COUNTIF(基础资料!$Q$5:$Q$54,K49)=0),"✗ 供应商不在基础资料里",IF(AND(P49="费用",L49=""),"✗ 费用支出要选费用项目",IF(AND(L49&lt;&gt;"",COUNTIF(基础资料!$AI$5:$AI$54,L49)=0),"✗ 费用项目不在基础资料里",IF(AND(IFERROR(INDEX(基础资料!$AD$5:$AD$34,MATCH(O49,基础资料!$AC$5:$AC$34,0)),"")="收",N(G49)&lt;&gt;0),"✗ 这类是收款，金额填到收入列",IF(AND(IFERROR(INDEX(基础资料!$AD$5:$AD$34,MATCH(O49,基础资料!$AC$5:$AC$34,0)),"")="支",N(F49)&lt;&gt;0),"✗ 这类是付款，金额填到支出列",IF(N(H49)&lt;0,"⚠ 账户余额成负数了，核对一下","√"))))))))))))))))))</f>
        <v>√</v>
      </c>
      <c r="O49" s="78" t="str">
        <f>IF(D49&lt;&gt;"",D49,IF(AND(F49="",G49=""),"",IF(J49&lt;&gt;"",IF(N(F49)&gt;0,"客户回款","客户退款"),IF(K49&lt;&gt;"",IF(N(G49)&gt;0,"供应商付款","供应商退款"),IF(L49&lt;&gt;"","费用支出","")))))</f>
        <v>客户回款</v>
      </c>
      <c r="P49" s="78" t="str">
        <f>IF(O49="","",IFERROR(INDEX(基础资料!$AE$5:$AE$34,MATCH(O49,基础资料!$AC$5:$AC$34,0)),"未知"))</f>
        <v>应收</v>
      </c>
      <c r="Q49" s="78">
        <f>IF(P49="应收",COUNTIF(P$7:P49,"应收"),"")</f>
        <v>43</v>
      </c>
      <c r="R49" s="78">
        <f>IF(P49="应付",COUNTIF(P$7:P49,"应付"),"")</f>
      </c>
      <c r="S49" s="78">
        <f>N(F49)-N(G49)</f>
        <v>4500</v>
      </c>
    </row>
    <row r="50">
      <c r="A50" s="109">
        <f>IF(AND(F50="",G50=""),"",ROW()-6)</f>
        <v>44</v>
      </c>
      <c r="B50" s="140" t="n">
        <v>46210</v>
      </c>
      <c r="C50" s="141" t="inlineStr">
        <is>
          <t>收款码</t>
        </is>
      </c>
      <c r="D50" s="141" t="inlineStr">
        <is>
          <t>客户回款</t>
        </is>
      </c>
      <c r="E50" s="142" t="inlineStr">
        <is>
          <t>收货款</t>
        </is>
      </c>
      <c r="F50" s="143" t="n">
        <v>4650</v>
      </c>
      <c r="G50" s="144" t="n"/>
      <c r="H50" s="145">
        <f>IF(OR(C50="",AND(F50="",G50="")),"",SUMIF(基础资料!$W$5:$W$24,C50,基础资料!$X$5:$X$24)+SUMIF(C$7:C50,C50,F$7:F50)-SUMIF(C$7:C50,C50,G$7:G50))</f>
        <v>3029587.19</v>
      </c>
      <c r="I50" s="145">
        <f>IF(AND(F50="",G50=""),"",SUM(基础资料!$X$5:$X$24)+SUM(F$7:F50)-SUM(G$7:G50))</f>
        <v>3040937.19</v>
      </c>
      <c r="J50" s="141" t="inlineStr">
        <is>
          <t>友兰商行</t>
        </is>
      </c>
      <c r="K50" s="141" t="n"/>
      <c r="L50" s="141" t="n"/>
      <c r="M50" s="142" t="n"/>
      <c r="N50" s="146" t="str">
        <f>IF(AND(AND(F50="",G50=""),B50="",C50="",D50="",J50="",K50="",L50=""),"",IF(AND(F50="",G50=""),"✗ 没填金额",IF(AND(N(F50)&lt;&gt;0,N(G50)&lt;&gt;0),"✗ 收入、支出只能填一边",IF(NOT(ISNUMBER(B50)),"✗ 日期不是真日期（要像 2026/9/25 这样填）",IF(OR(B50&lt;年初日,B50&gt;年末日),"✗ 日期不在本会计年度",IF(C50="","✗ 没选账户",IF(COUNTIF(基础资料!$W$5:$W$24,C50)=0,"✗ 账户不在基础资料里",IF(O50="","✗ 没选收支项目",IF(P50="未知","✗ 收支项目不在基础资料里",IF(AND(P50="应收",J50=""),"✗ 这笔要选客户",IF(AND(P50="应收",COUNTIF(总览汇总!$B$5:$B$304,J50)=0),"✗ 客户不在总览汇总名单里",IF(AND(P50="应付",K50=""),"✗ 这笔要选供应商",IF(AND(P50="应付",COUNTIF(基础资料!$Q$5:$Q$54,K50)=0),"✗ 供应商不在基础资料里",IF(AND(P50="费用",L50=""),"✗ 费用支出要选费用项目",IF(AND(L50&lt;&gt;"",COUNTIF(基础资料!$AI$5:$AI$54,L50)=0),"✗ 费用项目不在基础资料里",IF(AND(IFERROR(INDEX(基础资料!$AD$5:$AD$34,MATCH(O50,基础资料!$AC$5:$AC$34,0)),"")="收",N(G50)&lt;&gt;0),"✗ 这类是收款，金额填到收入列",IF(AND(IFERROR(INDEX(基础资料!$AD$5:$AD$34,MATCH(O50,基础资料!$AC$5:$AC$34,0)),"")="支",N(F50)&lt;&gt;0),"✗ 这类是付款，金额填到支出列",IF(N(H50)&lt;0,"⚠ 账户余额成负数了，核对一下","√"))))))))))))))))))</f>
        <v>√</v>
      </c>
      <c r="O50" s="78" t="str">
        <f>IF(D50&lt;&gt;"",D50,IF(AND(F50="",G50=""),"",IF(J50&lt;&gt;"",IF(N(F50)&gt;0,"客户回款","客户退款"),IF(K50&lt;&gt;"",IF(N(G50)&gt;0,"供应商付款","供应商退款"),IF(L50&lt;&gt;"","费用支出","")))))</f>
        <v>客户回款</v>
      </c>
      <c r="P50" s="78" t="str">
        <f>IF(O50="","",IFERROR(INDEX(基础资料!$AE$5:$AE$34,MATCH(O50,基础资料!$AC$5:$AC$34,0)),"未知"))</f>
        <v>应收</v>
      </c>
      <c r="Q50" s="78">
        <f>IF(P50="应收",COUNTIF(P$7:P50,"应收"),"")</f>
        <v>44</v>
      </c>
      <c r="R50" s="78">
        <f>IF(P50="应付",COUNTIF(P$7:P50,"应付"),"")</f>
      </c>
      <c r="S50" s="78">
        <f>N(F50)-N(G50)</f>
        <v>4650</v>
      </c>
    </row>
    <row r="51">
      <c r="A51" s="109">
        <f>IF(AND(F51="",G51=""),"",ROW()-6)</f>
        <v>45</v>
      </c>
      <c r="B51" s="140" t="n">
        <v>46211</v>
      </c>
      <c r="C51" s="141" t="inlineStr">
        <is>
          <t>收款码</t>
        </is>
      </c>
      <c r="D51" s="141" t="inlineStr">
        <is>
          <t>客户回款</t>
        </is>
      </c>
      <c r="E51" s="142" t="inlineStr">
        <is>
          <t>收货款</t>
        </is>
      </c>
      <c r="F51" s="143" t="n">
        <v>2325</v>
      </c>
      <c r="G51" s="144" t="n"/>
      <c r="H51" s="145">
        <f>IF(OR(C51="",AND(F51="",G51="")),"",SUMIF(基础资料!$W$5:$W$24,C51,基础资料!$X$5:$X$24)+SUMIF(C$7:C51,C51,F$7:F51)-SUMIF(C$7:C51,C51,G$7:G51))</f>
        <v>3031912.19</v>
      </c>
      <c r="I51" s="145">
        <f>IF(AND(F51="",G51=""),"",SUM(基础资料!$X$5:$X$24)+SUM(F$7:F51)-SUM(G$7:G51))</f>
        <v>3043262.19</v>
      </c>
      <c r="J51" s="141" t="inlineStr">
        <is>
          <t>崇贤高平副食</t>
        </is>
      </c>
      <c r="K51" s="141" t="n"/>
      <c r="L51" s="141" t="n"/>
      <c r="M51" s="142" t="n"/>
      <c r="N51" s="146" t="str">
        <f>IF(AND(AND(F51="",G51=""),B51="",C51="",D51="",J51="",K51="",L51=""),"",IF(AND(F51="",G51=""),"✗ 没填金额",IF(AND(N(F51)&lt;&gt;0,N(G51)&lt;&gt;0),"✗ 收入、支出只能填一边",IF(NOT(ISNUMBER(B51)),"✗ 日期不是真日期（要像 2026/9/25 这样填）",IF(OR(B51&lt;年初日,B51&gt;年末日),"✗ 日期不在本会计年度",IF(C51="","✗ 没选账户",IF(COUNTIF(基础资料!$W$5:$W$24,C51)=0,"✗ 账户不在基础资料里",IF(O51="","✗ 没选收支项目",IF(P51="未知","✗ 收支项目不在基础资料里",IF(AND(P51="应收",J51=""),"✗ 这笔要选客户",IF(AND(P51="应收",COUNTIF(总览汇总!$B$5:$B$304,J51)=0),"✗ 客户不在总览汇总名单里",IF(AND(P51="应付",K51=""),"✗ 这笔要选供应商",IF(AND(P51="应付",COUNTIF(基础资料!$Q$5:$Q$54,K51)=0),"✗ 供应商不在基础资料里",IF(AND(P51="费用",L51=""),"✗ 费用支出要选费用项目",IF(AND(L51&lt;&gt;"",COUNTIF(基础资料!$AI$5:$AI$54,L51)=0),"✗ 费用项目不在基础资料里",IF(AND(IFERROR(INDEX(基础资料!$AD$5:$AD$34,MATCH(O51,基础资料!$AC$5:$AC$34,0)),"")="收",N(G51)&lt;&gt;0),"✗ 这类是收款，金额填到收入列",IF(AND(IFERROR(INDEX(基础资料!$AD$5:$AD$34,MATCH(O51,基础资料!$AC$5:$AC$34,0)),"")="支",N(F51)&lt;&gt;0),"✗ 这类是付款，金额填到支出列",IF(N(H51)&lt;0,"⚠ 账户余额成负数了，核对一下","√"))))))))))))))))))</f>
        <v>√</v>
      </c>
      <c r="O51" s="78" t="str">
        <f>IF(D51&lt;&gt;"",D51,IF(AND(F51="",G51=""),"",IF(J51&lt;&gt;"",IF(N(F51)&gt;0,"客户回款","客户退款"),IF(K51&lt;&gt;"",IF(N(G51)&gt;0,"供应商付款","供应商退款"),IF(L51&lt;&gt;"","费用支出","")))))</f>
        <v>客户回款</v>
      </c>
      <c r="P51" s="78" t="str">
        <f>IF(O51="","",IFERROR(INDEX(基础资料!$AE$5:$AE$34,MATCH(O51,基础资料!$AC$5:$AC$34,0)),"未知"))</f>
        <v>应收</v>
      </c>
      <c r="Q51" s="78">
        <f>IF(P51="应收",COUNTIF(P$7:P51,"应收"),"")</f>
        <v>45</v>
      </c>
      <c r="R51" s="78">
        <f>IF(P51="应付",COUNTIF(P$7:P51,"应付"),"")</f>
      </c>
      <c r="S51" s="78">
        <f>N(F51)-N(G51)</f>
        <v>2325</v>
      </c>
    </row>
    <row r="52">
      <c r="A52" s="109">
        <f>IF(AND(F52="",G52=""),"",ROW()-6)</f>
        <v>46</v>
      </c>
      <c r="B52" s="140" t="n">
        <v>46211</v>
      </c>
      <c r="C52" s="141" t="inlineStr">
        <is>
          <t>收款码</t>
        </is>
      </c>
      <c r="D52" s="141" t="inlineStr">
        <is>
          <t>客户回款</t>
        </is>
      </c>
      <c r="E52" s="142" t="inlineStr">
        <is>
          <t>收货款</t>
        </is>
      </c>
      <c r="F52" s="143" t="n">
        <v>2325</v>
      </c>
      <c r="G52" s="144" t="n"/>
      <c r="H52" s="145">
        <f>IF(OR(C52="",AND(F52="",G52="")),"",SUMIF(基础资料!$W$5:$W$24,C52,基础资料!$X$5:$X$24)+SUMIF(C$7:C52,C52,F$7:F52)-SUMIF(C$7:C52,C52,G$7:G52))</f>
        <v>3034237.19</v>
      </c>
      <c r="I52" s="145">
        <f>IF(AND(F52="",G52=""),"",SUM(基础资料!$X$5:$X$24)+SUM(F$7:F52)-SUM(G$7:G52))</f>
        <v>3045587.19</v>
      </c>
      <c r="J52" s="141" t="inlineStr">
        <is>
          <t>高兴张声英</t>
        </is>
      </c>
      <c r="K52" s="141" t="n"/>
      <c r="L52" s="141" t="n"/>
      <c r="M52" s="142" t="n"/>
      <c r="N52" s="146" t="str">
        <f>IF(AND(AND(F52="",G52=""),B52="",C52="",D52="",J52="",K52="",L52=""),"",IF(AND(F52="",G52=""),"✗ 没填金额",IF(AND(N(F52)&lt;&gt;0,N(G52)&lt;&gt;0),"✗ 收入、支出只能填一边",IF(NOT(ISNUMBER(B52)),"✗ 日期不是真日期（要像 2026/9/25 这样填）",IF(OR(B52&lt;年初日,B52&gt;年末日),"✗ 日期不在本会计年度",IF(C52="","✗ 没选账户",IF(COUNTIF(基础资料!$W$5:$W$24,C52)=0,"✗ 账户不在基础资料里",IF(O52="","✗ 没选收支项目",IF(P52="未知","✗ 收支项目不在基础资料里",IF(AND(P52="应收",J52=""),"✗ 这笔要选客户",IF(AND(P52="应收",COUNTIF(总览汇总!$B$5:$B$304,J52)=0),"✗ 客户不在总览汇总名单里",IF(AND(P52="应付",K52=""),"✗ 这笔要选供应商",IF(AND(P52="应付",COUNTIF(基础资料!$Q$5:$Q$54,K52)=0),"✗ 供应商不在基础资料里",IF(AND(P52="费用",L52=""),"✗ 费用支出要选费用项目",IF(AND(L52&lt;&gt;"",COUNTIF(基础资料!$AI$5:$AI$54,L52)=0),"✗ 费用项目不在基础资料里",IF(AND(IFERROR(INDEX(基础资料!$AD$5:$AD$34,MATCH(O52,基础资料!$AC$5:$AC$34,0)),"")="收",N(G52)&lt;&gt;0),"✗ 这类是收款，金额填到收入列",IF(AND(IFERROR(INDEX(基础资料!$AD$5:$AD$34,MATCH(O52,基础资料!$AC$5:$AC$34,0)),"")="支",N(F52)&lt;&gt;0),"✗ 这类是付款，金额填到支出列",IF(N(H52)&lt;0,"⚠ 账户余额成负数了，核对一下","√"))))))))))))))))))</f>
        <v>√</v>
      </c>
      <c r="O52" s="78" t="str">
        <f>IF(D52&lt;&gt;"",D52,IF(AND(F52="",G52=""),"",IF(J52&lt;&gt;"",IF(N(F52)&gt;0,"客户回款","客户退款"),IF(K52&lt;&gt;"",IF(N(G52)&gt;0,"供应商付款","供应商退款"),IF(L52&lt;&gt;"","费用支出","")))))</f>
        <v>客户回款</v>
      </c>
      <c r="P52" s="78" t="str">
        <f>IF(O52="","",IFERROR(INDEX(基础资料!$AE$5:$AE$34,MATCH(O52,基础资料!$AC$5:$AC$34,0)),"未知"))</f>
        <v>应收</v>
      </c>
      <c r="Q52" s="78">
        <f>IF(P52="应收",COUNTIF(P$7:P52,"应收"),"")</f>
        <v>46</v>
      </c>
      <c r="R52" s="78">
        <f>IF(P52="应付",COUNTIF(P$7:P52,"应付"),"")</f>
      </c>
      <c r="S52" s="78">
        <f>N(F52)-N(G52)</f>
        <v>2325</v>
      </c>
    </row>
    <row r="53">
      <c r="A53" s="109">
        <f>IF(AND(F53="",G53=""),"",ROW()-6)</f>
        <v>47</v>
      </c>
      <c r="B53" s="140" t="n">
        <v>46211</v>
      </c>
      <c r="C53" s="141" t="inlineStr">
        <is>
          <t>收款码</t>
        </is>
      </c>
      <c r="D53" s="141" t="inlineStr">
        <is>
          <t>客户回款</t>
        </is>
      </c>
      <c r="E53" s="142" t="inlineStr">
        <is>
          <t>收货款</t>
        </is>
      </c>
      <c r="F53" s="143" t="n">
        <v>2325</v>
      </c>
      <c r="G53" s="144" t="n"/>
      <c r="H53" s="145">
        <f>IF(OR(C53="",AND(F53="",G53="")),"",SUMIF(基础资料!$W$5:$W$24,C53,基础资料!$X$5:$X$24)+SUMIF(C$7:C53,C53,F$7:F53)-SUMIF(C$7:C53,C53,G$7:G53))</f>
        <v>3036562.19</v>
      </c>
      <c r="I53" s="145">
        <f>IF(AND(F53="",G53=""),"",SUM(基础资料!$X$5:$X$24)+SUM(F$7:F53)-SUM(G$7:G53))</f>
        <v>3047912.19</v>
      </c>
      <c r="J53" s="141" t="inlineStr">
        <is>
          <t>崇贤粤客隆</t>
        </is>
      </c>
      <c r="K53" s="141" t="n"/>
      <c r="L53" s="141" t="n"/>
      <c r="M53" s="142" t="n"/>
      <c r="N53" s="146" t="str">
        <f>IF(AND(AND(F53="",G53=""),B53="",C53="",D53="",J53="",K53="",L53=""),"",IF(AND(F53="",G53=""),"✗ 没填金额",IF(AND(N(F53)&lt;&gt;0,N(G53)&lt;&gt;0),"✗ 收入、支出只能填一边",IF(NOT(ISNUMBER(B53)),"✗ 日期不是真日期（要像 2026/9/25 这样填）",IF(OR(B53&lt;年初日,B53&gt;年末日),"✗ 日期不在本会计年度",IF(C53="","✗ 没选账户",IF(COUNTIF(基础资料!$W$5:$W$24,C53)=0,"✗ 账户不在基础资料里",IF(O53="","✗ 没选收支项目",IF(P53="未知","✗ 收支项目不在基础资料里",IF(AND(P53="应收",J53=""),"✗ 这笔要选客户",IF(AND(P53="应收",COUNTIF(总览汇总!$B$5:$B$304,J53)=0),"✗ 客户不在总览汇总名单里",IF(AND(P53="应付",K53=""),"✗ 这笔要选供应商",IF(AND(P53="应付",COUNTIF(基础资料!$Q$5:$Q$54,K53)=0),"✗ 供应商不在基础资料里",IF(AND(P53="费用",L53=""),"✗ 费用支出要选费用项目",IF(AND(L53&lt;&gt;"",COUNTIF(基础资料!$AI$5:$AI$54,L53)=0),"✗ 费用项目不在基础资料里",IF(AND(IFERROR(INDEX(基础资料!$AD$5:$AD$34,MATCH(O53,基础资料!$AC$5:$AC$34,0)),"")="收",N(G53)&lt;&gt;0),"✗ 这类是收款，金额填到收入列",IF(AND(IFERROR(INDEX(基础资料!$AD$5:$AD$34,MATCH(O53,基础资料!$AC$5:$AC$34,0)),"")="支",N(F53)&lt;&gt;0),"✗ 这类是付款，金额填到支出列",IF(N(H53)&lt;0,"⚠ 账户余额成负数了，核对一下","√"))))))))))))))))))</f>
        <v>√</v>
      </c>
      <c r="O53" s="78" t="str">
        <f>IF(D53&lt;&gt;"",D53,IF(AND(F53="",G53=""),"",IF(J53&lt;&gt;"",IF(N(F53)&gt;0,"客户回款","客户退款"),IF(K53&lt;&gt;"",IF(N(G53)&gt;0,"供应商付款","供应商退款"),IF(L53&lt;&gt;"","费用支出","")))))</f>
        <v>客户回款</v>
      </c>
      <c r="P53" s="78" t="str">
        <f>IF(O53="","",IFERROR(INDEX(基础资料!$AE$5:$AE$34,MATCH(O53,基础资料!$AC$5:$AC$34,0)),"未知"))</f>
        <v>应收</v>
      </c>
      <c r="Q53" s="78">
        <f>IF(P53="应收",COUNTIF(P$7:P53,"应收"),"")</f>
        <v>47</v>
      </c>
      <c r="R53" s="78">
        <f>IF(P53="应付",COUNTIF(P$7:P53,"应付"),"")</f>
      </c>
      <c r="S53" s="78">
        <f>N(F53)-N(G53)</f>
        <v>2325</v>
      </c>
    </row>
    <row r="54">
      <c r="A54" s="109">
        <f>IF(AND(F54="",G54=""),"",ROW()-6)</f>
        <v>48</v>
      </c>
      <c r="B54" s="140" t="n">
        <v>46211</v>
      </c>
      <c r="C54" s="141" t="inlineStr">
        <is>
          <t>收款码</t>
        </is>
      </c>
      <c r="D54" s="141" t="inlineStr">
        <is>
          <t>客户回款</t>
        </is>
      </c>
      <c r="E54" s="142" t="inlineStr">
        <is>
          <t>收货款</t>
        </is>
      </c>
      <c r="F54" s="143" t="n">
        <v>5330</v>
      </c>
      <c r="G54" s="144" t="n"/>
      <c r="H54" s="145">
        <f>IF(OR(C54="",AND(F54="",G54="")),"",SUMIF(基础资料!$W$5:$W$24,C54,基础资料!$X$5:$X$24)+SUMIF(C$7:C54,C54,F$7:F54)-SUMIF(C$7:C54,C54,G$7:G54))</f>
        <v>3041892.19</v>
      </c>
      <c r="I54" s="145">
        <f>IF(AND(F54="",G54=""),"",SUM(基础资料!$X$5:$X$24)+SUM(F$7:F54)-SUM(G$7:G54))</f>
        <v>3053242.19</v>
      </c>
      <c r="J54" s="141" t="inlineStr">
        <is>
          <t>火车站关新平</t>
        </is>
      </c>
      <c r="K54" s="141" t="n"/>
      <c r="L54" s="141" t="n"/>
      <c r="M54" s="142" t="n"/>
      <c r="N54" s="146" t="str">
        <f>IF(AND(AND(F54="",G54=""),B54="",C54="",D54="",J54="",K54="",L54=""),"",IF(AND(F54="",G54=""),"✗ 没填金额",IF(AND(N(F54)&lt;&gt;0,N(G54)&lt;&gt;0),"✗ 收入、支出只能填一边",IF(NOT(ISNUMBER(B54)),"✗ 日期不是真日期（要像 2026/9/25 这样填）",IF(OR(B54&lt;年初日,B54&gt;年末日),"✗ 日期不在本会计年度",IF(C54="","✗ 没选账户",IF(COUNTIF(基础资料!$W$5:$W$24,C54)=0,"✗ 账户不在基础资料里",IF(O54="","✗ 没选收支项目",IF(P54="未知","✗ 收支项目不在基础资料里",IF(AND(P54="应收",J54=""),"✗ 这笔要选客户",IF(AND(P54="应收",COUNTIF(总览汇总!$B$5:$B$304,J54)=0),"✗ 客户不在总览汇总名单里",IF(AND(P54="应付",K54=""),"✗ 这笔要选供应商",IF(AND(P54="应付",COUNTIF(基础资料!$Q$5:$Q$54,K54)=0),"✗ 供应商不在基础资料里",IF(AND(P54="费用",L54=""),"✗ 费用支出要选费用项目",IF(AND(L54&lt;&gt;"",COUNTIF(基础资料!$AI$5:$AI$54,L54)=0),"✗ 费用项目不在基础资料里",IF(AND(IFERROR(INDEX(基础资料!$AD$5:$AD$34,MATCH(O54,基础资料!$AC$5:$AC$34,0)),"")="收",N(G54)&lt;&gt;0),"✗ 这类是收款，金额填到收入列",IF(AND(IFERROR(INDEX(基础资料!$AD$5:$AD$34,MATCH(O54,基础资料!$AC$5:$AC$34,0)),"")="支",N(F54)&lt;&gt;0),"✗ 这类是付款，金额填到支出列",IF(N(H54)&lt;0,"⚠ 账户余额成负数了，核对一下","√"))))))))))))))))))</f>
        <v>√</v>
      </c>
      <c r="O54" s="78" t="str">
        <f>IF(D54&lt;&gt;"",D54,IF(AND(F54="",G54=""),"",IF(J54&lt;&gt;"",IF(N(F54)&gt;0,"客户回款","客户退款"),IF(K54&lt;&gt;"",IF(N(G54)&gt;0,"供应商付款","供应商退款"),IF(L54&lt;&gt;"","费用支出","")))))</f>
        <v>客户回款</v>
      </c>
      <c r="P54" s="78" t="str">
        <f>IF(O54="","",IFERROR(INDEX(基础资料!$AE$5:$AE$34,MATCH(O54,基础资料!$AC$5:$AC$34,0)),"未知"))</f>
        <v>应收</v>
      </c>
      <c r="Q54" s="78">
        <f>IF(P54="应收",COUNTIF(P$7:P54,"应收"),"")</f>
        <v>48</v>
      </c>
      <c r="R54" s="78">
        <f>IF(P54="应付",COUNTIF(P$7:P54,"应付"),"")</f>
      </c>
      <c r="S54" s="78">
        <f>N(F54)-N(G54)</f>
        <v>5330</v>
      </c>
    </row>
    <row r="55">
      <c r="A55" s="109">
        <f>IF(AND(F55="",G55=""),"",ROW()-6)</f>
        <v>49</v>
      </c>
      <c r="B55" s="140" t="n">
        <v>46211</v>
      </c>
      <c r="C55" s="141" t="inlineStr">
        <is>
          <t>收款码</t>
        </is>
      </c>
      <c r="D55" s="141" t="inlineStr">
        <is>
          <t>客户回款</t>
        </is>
      </c>
      <c r="E55" s="142" t="inlineStr">
        <is>
          <t>收货款</t>
        </is>
      </c>
      <c r="F55" s="143" t="n">
        <v>930</v>
      </c>
      <c r="G55" s="144" t="n"/>
      <c r="H55" s="145">
        <f>IF(OR(C55="",AND(F55="",G55="")),"",SUMIF(基础资料!$W$5:$W$24,C55,基础资料!$X$5:$X$24)+SUMIF(C$7:C55,C55,F$7:F55)-SUMIF(C$7:C55,C55,G$7:G55))</f>
        <v>3042822.19</v>
      </c>
      <c r="I55" s="145">
        <f>IF(AND(F55="",G55=""),"",SUM(基础资料!$X$5:$X$24)+SUM(F$7:F55)-SUM(G$7:G55))</f>
        <v>3054172.19</v>
      </c>
      <c r="J55" s="141" t="inlineStr">
        <is>
          <t>洪门五香副食</t>
        </is>
      </c>
      <c r="K55" s="141" t="n"/>
      <c r="L55" s="141" t="n"/>
      <c r="M55" s="142" t="n"/>
      <c r="N55" s="146" t="str">
        <f>IF(AND(AND(F55="",G55=""),B55="",C55="",D55="",J55="",K55="",L55=""),"",IF(AND(F55="",G55=""),"✗ 没填金额",IF(AND(N(F55)&lt;&gt;0,N(G55)&lt;&gt;0),"✗ 收入、支出只能填一边",IF(NOT(ISNUMBER(B55)),"✗ 日期不是真日期（要像 2026/9/25 这样填）",IF(OR(B55&lt;年初日,B55&gt;年末日),"✗ 日期不在本会计年度",IF(C55="","✗ 没选账户",IF(COUNTIF(基础资料!$W$5:$W$24,C55)=0,"✗ 账户不在基础资料里",IF(O55="","✗ 没选收支项目",IF(P55="未知","✗ 收支项目不在基础资料里",IF(AND(P55="应收",J55=""),"✗ 这笔要选客户",IF(AND(P55="应收",COUNTIF(总览汇总!$B$5:$B$304,J55)=0),"✗ 客户不在总览汇总名单里",IF(AND(P55="应付",K55=""),"✗ 这笔要选供应商",IF(AND(P55="应付",COUNTIF(基础资料!$Q$5:$Q$54,K55)=0),"✗ 供应商不在基础资料里",IF(AND(P55="费用",L55=""),"✗ 费用支出要选费用项目",IF(AND(L55&lt;&gt;"",COUNTIF(基础资料!$AI$5:$AI$54,L55)=0),"✗ 费用项目不在基础资料里",IF(AND(IFERROR(INDEX(基础资料!$AD$5:$AD$34,MATCH(O55,基础资料!$AC$5:$AC$34,0)),"")="收",N(G55)&lt;&gt;0),"✗ 这类是收款，金额填到收入列",IF(AND(IFERROR(INDEX(基础资料!$AD$5:$AD$34,MATCH(O55,基础资料!$AC$5:$AC$34,0)),"")="支",N(F55)&lt;&gt;0),"✗ 这类是付款，金额填到支出列",IF(N(H55)&lt;0,"⚠ 账户余额成负数了，核对一下","√"))))))))))))))))))</f>
        <v>√</v>
      </c>
      <c r="O55" s="78" t="str">
        <f>IF(D55&lt;&gt;"",D55,IF(AND(F55="",G55=""),"",IF(J55&lt;&gt;"",IF(N(F55)&gt;0,"客户回款","客户退款"),IF(K55&lt;&gt;"",IF(N(G55)&gt;0,"供应商付款","供应商退款"),IF(L55&lt;&gt;"","费用支出","")))))</f>
        <v>客户回款</v>
      </c>
      <c r="P55" s="78" t="str">
        <f>IF(O55="","",IFERROR(INDEX(基础资料!$AE$5:$AE$34,MATCH(O55,基础资料!$AC$5:$AC$34,0)),"未知"))</f>
        <v>应收</v>
      </c>
      <c r="Q55" s="78">
        <f>IF(P55="应收",COUNTIF(P$7:P55,"应收"),"")</f>
        <v>49</v>
      </c>
      <c r="R55" s="78">
        <f>IF(P55="应付",COUNTIF(P$7:P55,"应付"),"")</f>
      </c>
      <c r="S55" s="78">
        <f>N(F55)-N(G55)</f>
        <v>930</v>
      </c>
    </row>
    <row r="56">
      <c r="A56" s="109">
        <f>IF(AND(F56="",G56=""),"",ROW()-6)</f>
        <v>50</v>
      </c>
      <c r="B56" s="140" t="n">
        <v>46212</v>
      </c>
      <c r="C56" s="141" t="inlineStr">
        <is>
          <t>收款码</t>
        </is>
      </c>
      <c r="D56" s="141" t="inlineStr">
        <is>
          <t>客户回款</t>
        </is>
      </c>
      <c r="E56" s="142" t="inlineStr">
        <is>
          <t>收货款</t>
        </is>
      </c>
      <c r="F56" s="143" t="n">
        <v>3035</v>
      </c>
      <c r="G56" s="144" t="n"/>
      <c r="H56" s="145">
        <f>IF(OR(C56="",AND(F56="",G56="")),"",SUMIF(基础资料!$W$5:$W$24,C56,基础资料!$X$5:$X$24)+SUMIF(C$7:C56,C56,F$7:F56)-SUMIF(C$7:C56,C56,G$7:G56))</f>
        <v>3045857.19</v>
      </c>
      <c r="I56" s="145">
        <f>IF(AND(F56="",G56=""),"",SUM(基础资料!$X$5:$X$24)+SUM(F$7:F56)-SUM(G$7:G56))</f>
        <v>3057207.19</v>
      </c>
      <c r="J56" s="141" t="inlineStr">
        <is>
          <t>长岗愉清副食</t>
        </is>
      </c>
      <c r="K56" s="141" t="n"/>
      <c r="L56" s="141" t="n"/>
      <c r="M56" s="142" t="n"/>
      <c r="N56" s="146" t="str">
        <f>IF(AND(AND(F56="",G56=""),B56="",C56="",D56="",J56="",K56="",L56=""),"",IF(AND(F56="",G56=""),"✗ 没填金额",IF(AND(N(F56)&lt;&gt;0,N(G56)&lt;&gt;0),"✗ 收入、支出只能填一边",IF(NOT(ISNUMBER(B56)),"✗ 日期不是真日期（要像 2026/9/25 这样填）",IF(OR(B56&lt;年初日,B56&gt;年末日),"✗ 日期不在本会计年度",IF(C56="","✗ 没选账户",IF(COUNTIF(基础资料!$W$5:$W$24,C56)=0,"✗ 账户不在基础资料里",IF(O56="","✗ 没选收支项目",IF(P56="未知","✗ 收支项目不在基础资料里",IF(AND(P56="应收",J56=""),"✗ 这笔要选客户",IF(AND(P56="应收",COUNTIF(总览汇总!$B$5:$B$304,J56)=0),"✗ 客户不在总览汇总名单里",IF(AND(P56="应付",K56=""),"✗ 这笔要选供应商",IF(AND(P56="应付",COUNTIF(基础资料!$Q$5:$Q$54,K56)=0),"✗ 供应商不在基础资料里",IF(AND(P56="费用",L56=""),"✗ 费用支出要选费用项目",IF(AND(L56&lt;&gt;"",COUNTIF(基础资料!$AI$5:$AI$54,L56)=0),"✗ 费用项目不在基础资料里",IF(AND(IFERROR(INDEX(基础资料!$AD$5:$AD$34,MATCH(O56,基础资料!$AC$5:$AC$34,0)),"")="收",N(G56)&lt;&gt;0),"✗ 这类是收款，金额填到收入列",IF(AND(IFERROR(INDEX(基础资料!$AD$5:$AD$34,MATCH(O56,基础资料!$AC$5:$AC$34,0)),"")="支",N(F56)&lt;&gt;0),"✗ 这类是付款，金额填到支出列",IF(N(H56)&lt;0,"⚠ 账户余额成负数了，核对一下","√"))))))))))))))))))</f>
        <v>√</v>
      </c>
      <c r="O56" s="78" t="str">
        <f>IF(D56&lt;&gt;"",D56,IF(AND(F56="",G56=""),"",IF(J56&lt;&gt;"",IF(N(F56)&gt;0,"客户回款","客户退款"),IF(K56&lt;&gt;"",IF(N(G56)&gt;0,"供应商付款","供应商退款"),IF(L56&lt;&gt;"","费用支出","")))))</f>
        <v>客户回款</v>
      </c>
      <c r="P56" s="78" t="str">
        <f>IF(O56="","",IFERROR(INDEX(基础资料!$AE$5:$AE$34,MATCH(O56,基础资料!$AC$5:$AC$34,0)),"未知"))</f>
        <v>应收</v>
      </c>
      <c r="Q56" s="78">
        <f>IF(P56="应收",COUNTIF(P$7:P56,"应收"),"")</f>
        <v>50</v>
      </c>
      <c r="R56" s="78">
        <f>IF(P56="应付",COUNTIF(P$7:P56,"应付"),"")</f>
      </c>
      <c r="S56" s="78">
        <f>N(F56)-N(G56)</f>
        <v>3035</v>
      </c>
    </row>
    <row r="57">
      <c r="A57" s="109">
        <f>IF(AND(F57="",G57=""),"",ROW()-6)</f>
        <v>51</v>
      </c>
      <c r="B57" s="140" t="n">
        <v>46212</v>
      </c>
      <c r="C57" s="141" t="inlineStr">
        <is>
          <t>收款码</t>
        </is>
      </c>
      <c r="D57" s="141" t="inlineStr">
        <is>
          <t>客户回款</t>
        </is>
      </c>
      <c r="E57" s="142" t="inlineStr">
        <is>
          <t>收货款</t>
        </is>
      </c>
      <c r="F57" s="143" t="n">
        <v>2907</v>
      </c>
      <c r="G57" s="144" t="n"/>
      <c r="H57" s="145">
        <f>IF(OR(C57="",AND(F57="",G57="")),"",SUMIF(基础资料!$W$5:$W$24,C57,基础资料!$X$5:$X$24)+SUMIF(C$7:C57,C57,F$7:F57)-SUMIF(C$7:C57,C57,G$7:G57))</f>
        <v>3048764.19</v>
      </c>
      <c r="I57" s="145">
        <f>IF(AND(F57="",G57=""),"",SUM(基础资料!$X$5:$X$24)+SUM(F$7:F57)-SUM(G$7:G57))</f>
        <v>3060114.19</v>
      </c>
      <c r="J57" s="141" t="inlineStr">
        <is>
          <t>高兴小春王均平</t>
        </is>
      </c>
      <c r="K57" s="141" t="n"/>
      <c r="L57" s="141" t="n"/>
      <c r="M57" s="142" t="n"/>
      <c r="N57" s="146" t="str">
        <f>IF(AND(AND(F57="",G57=""),B57="",C57="",D57="",J57="",K57="",L57=""),"",IF(AND(F57="",G57=""),"✗ 没填金额",IF(AND(N(F57)&lt;&gt;0,N(G57)&lt;&gt;0),"✗ 收入、支出只能填一边",IF(NOT(ISNUMBER(B57)),"✗ 日期不是真日期（要像 2026/9/25 这样填）",IF(OR(B57&lt;年初日,B57&gt;年末日),"✗ 日期不在本会计年度",IF(C57="","✗ 没选账户",IF(COUNTIF(基础资料!$W$5:$W$24,C57)=0,"✗ 账户不在基础资料里",IF(O57="","✗ 没选收支项目",IF(P57="未知","✗ 收支项目不在基础资料里",IF(AND(P57="应收",J57=""),"✗ 这笔要选客户",IF(AND(P57="应收",COUNTIF(总览汇总!$B$5:$B$304,J57)=0),"✗ 客户不在总览汇总名单里",IF(AND(P57="应付",K57=""),"✗ 这笔要选供应商",IF(AND(P57="应付",COUNTIF(基础资料!$Q$5:$Q$54,K57)=0),"✗ 供应商不在基础资料里",IF(AND(P57="费用",L57=""),"✗ 费用支出要选费用项目",IF(AND(L57&lt;&gt;"",COUNTIF(基础资料!$AI$5:$AI$54,L57)=0),"✗ 费用项目不在基础资料里",IF(AND(IFERROR(INDEX(基础资料!$AD$5:$AD$34,MATCH(O57,基础资料!$AC$5:$AC$34,0)),"")="收",N(G57)&lt;&gt;0),"✗ 这类是收款，金额填到收入列",IF(AND(IFERROR(INDEX(基础资料!$AD$5:$AD$34,MATCH(O57,基础资料!$AC$5:$AC$34,0)),"")="支",N(F57)&lt;&gt;0),"✗ 这类是付款，金额填到支出列",IF(N(H57)&lt;0,"⚠ 账户余额成负数了，核对一下","√"))))))))))))))))))</f>
        <v>√</v>
      </c>
      <c r="O57" s="78" t="str">
        <f>IF(D57&lt;&gt;"",D57,IF(AND(F57="",G57=""),"",IF(J57&lt;&gt;"",IF(N(F57)&gt;0,"客户回款","客户退款"),IF(K57&lt;&gt;"",IF(N(G57)&gt;0,"供应商付款","供应商退款"),IF(L57&lt;&gt;"","费用支出","")))))</f>
        <v>客户回款</v>
      </c>
      <c r="P57" s="78" t="str">
        <f>IF(O57="","",IFERROR(INDEX(基础资料!$AE$5:$AE$34,MATCH(O57,基础资料!$AC$5:$AC$34,0)),"未知"))</f>
        <v>应收</v>
      </c>
      <c r="Q57" s="78">
        <f>IF(P57="应收",COUNTIF(P$7:P57,"应收"),"")</f>
        <v>51</v>
      </c>
      <c r="R57" s="78">
        <f>IF(P57="应付",COUNTIF(P$7:P57,"应付"),"")</f>
      </c>
      <c r="S57" s="78">
        <f>N(F57)-N(G57)</f>
        <v>2907</v>
      </c>
    </row>
    <row r="58">
      <c r="A58" s="109">
        <f>IF(AND(F58="",G58=""),"",ROW()-6)</f>
        <v>52</v>
      </c>
      <c r="B58" s="140" t="n">
        <v>46212</v>
      </c>
      <c r="C58" s="141" t="inlineStr">
        <is>
          <t>收款码</t>
        </is>
      </c>
      <c r="D58" s="141" t="inlineStr">
        <is>
          <t>客户回款</t>
        </is>
      </c>
      <c r="E58" s="142" t="inlineStr">
        <is>
          <t>收货款</t>
        </is>
      </c>
      <c r="F58" s="143" t="n">
        <v>1567</v>
      </c>
      <c r="G58" s="144" t="n"/>
      <c r="H58" s="145">
        <f>IF(OR(C58="",AND(F58="",G58="")),"",SUMIF(基础资料!$W$5:$W$24,C58,基础资料!$X$5:$X$24)+SUMIF(C$7:C58,C58,F$7:F58)-SUMIF(C$7:C58,C58,G$7:G58))</f>
        <v>3050331.19</v>
      </c>
      <c r="I58" s="145">
        <f>IF(AND(F58="",G58=""),"",SUM(基础资料!$X$5:$X$24)+SUM(F$7:F58)-SUM(G$7:G58))</f>
        <v>3061681.19</v>
      </c>
      <c r="J58" s="141" t="inlineStr">
        <is>
          <t>高兴蒙山超市</t>
        </is>
      </c>
      <c r="K58" s="141" t="n"/>
      <c r="L58" s="141" t="n"/>
      <c r="M58" s="142" t="n"/>
      <c r="N58" s="146" t="str">
        <f>IF(AND(AND(F58="",G58=""),B58="",C58="",D58="",J58="",K58="",L58=""),"",IF(AND(F58="",G58=""),"✗ 没填金额",IF(AND(N(F58)&lt;&gt;0,N(G58)&lt;&gt;0),"✗ 收入、支出只能填一边",IF(NOT(ISNUMBER(B58)),"✗ 日期不是真日期（要像 2026/9/25 这样填）",IF(OR(B58&lt;年初日,B58&gt;年末日),"✗ 日期不在本会计年度",IF(C58="","✗ 没选账户",IF(COUNTIF(基础资料!$W$5:$W$24,C58)=0,"✗ 账户不在基础资料里",IF(O58="","✗ 没选收支项目",IF(P58="未知","✗ 收支项目不在基础资料里",IF(AND(P58="应收",J58=""),"✗ 这笔要选客户",IF(AND(P58="应收",COUNTIF(总览汇总!$B$5:$B$304,J58)=0),"✗ 客户不在总览汇总名单里",IF(AND(P58="应付",K58=""),"✗ 这笔要选供应商",IF(AND(P58="应付",COUNTIF(基础资料!$Q$5:$Q$54,K58)=0),"✗ 供应商不在基础资料里",IF(AND(P58="费用",L58=""),"✗ 费用支出要选费用项目",IF(AND(L58&lt;&gt;"",COUNTIF(基础资料!$AI$5:$AI$54,L58)=0),"✗ 费用项目不在基础资料里",IF(AND(IFERROR(INDEX(基础资料!$AD$5:$AD$34,MATCH(O58,基础资料!$AC$5:$AC$34,0)),"")="收",N(G58)&lt;&gt;0),"✗ 这类是收款，金额填到收入列",IF(AND(IFERROR(INDEX(基础资料!$AD$5:$AD$34,MATCH(O58,基础资料!$AC$5:$AC$34,0)),"")="支",N(F58)&lt;&gt;0),"✗ 这类是付款，金额填到支出列",IF(N(H58)&lt;0,"⚠ 账户余额成负数了，核对一下","√"))))))))))))))))))</f>
        <v>√</v>
      </c>
      <c r="O58" s="78" t="str">
        <f>IF(D58&lt;&gt;"",D58,IF(AND(F58="",G58=""),"",IF(J58&lt;&gt;"",IF(N(F58)&gt;0,"客户回款","客户退款"),IF(K58&lt;&gt;"",IF(N(G58)&gt;0,"供应商付款","供应商退款"),IF(L58&lt;&gt;"","费用支出","")))))</f>
        <v>客户回款</v>
      </c>
      <c r="P58" s="78" t="str">
        <f>IF(O58="","",IFERROR(INDEX(基础资料!$AE$5:$AE$34,MATCH(O58,基础资料!$AC$5:$AC$34,0)),"未知"))</f>
        <v>应收</v>
      </c>
      <c r="Q58" s="78">
        <f>IF(P58="应收",COUNTIF(P$7:P58,"应收"),"")</f>
        <v>52</v>
      </c>
      <c r="R58" s="78">
        <f>IF(P58="应付",COUNTIF(P$7:P58,"应付"),"")</f>
      </c>
      <c r="S58" s="78">
        <f>N(F58)-N(G58)</f>
        <v>1567</v>
      </c>
    </row>
    <row r="59">
      <c r="A59" s="109">
        <f>IF(AND(F59="",G59=""),"",ROW()-6)</f>
        <v>53</v>
      </c>
      <c r="B59" s="140" t="n">
        <v>46213</v>
      </c>
      <c r="C59" s="141" t="inlineStr">
        <is>
          <t>收款码</t>
        </is>
      </c>
      <c r="D59" s="141" t="inlineStr">
        <is>
          <t>客户回款</t>
        </is>
      </c>
      <c r="E59" s="142" t="inlineStr">
        <is>
          <t>收货款</t>
        </is>
      </c>
      <c r="F59" s="143" t="n">
        <v>4500</v>
      </c>
      <c r="G59" s="144" t="n"/>
      <c r="H59" s="145">
        <f>IF(OR(C59="",AND(F59="",G59="")),"",SUMIF(基础资料!$W$5:$W$24,C59,基础资料!$X$5:$X$24)+SUMIF(C$7:C59,C59,F$7:F59)-SUMIF(C$7:C59,C59,G$7:G59))</f>
        <v>3054831.19</v>
      </c>
      <c r="I59" s="145">
        <f>IF(AND(F59="",G59=""),"",SUM(基础资料!$X$5:$X$24)+SUM(F$7:F59)-SUM(G$7:G59))</f>
        <v>3066181.19</v>
      </c>
      <c r="J59" s="141" t="inlineStr">
        <is>
          <t>财源批发</t>
        </is>
      </c>
      <c r="K59" s="141" t="n"/>
      <c r="L59" s="141" t="n"/>
      <c r="M59" s="142" t="n"/>
      <c r="N59" s="146" t="str">
        <f>IF(AND(AND(F59="",G59=""),B59="",C59="",D59="",J59="",K59="",L59=""),"",IF(AND(F59="",G59=""),"✗ 没填金额",IF(AND(N(F59)&lt;&gt;0,N(G59)&lt;&gt;0),"✗ 收入、支出只能填一边",IF(NOT(ISNUMBER(B59)),"✗ 日期不是真日期（要像 2026/9/25 这样填）",IF(OR(B59&lt;年初日,B59&gt;年末日),"✗ 日期不在本会计年度",IF(C59="","✗ 没选账户",IF(COUNTIF(基础资料!$W$5:$W$24,C59)=0,"✗ 账户不在基础资料里",IF(O59="","✗ 没选收支项目",IF(P59="未知","✗ 收支项目不在基础资料里",IF(AND(P59="应收",J59=""),"✗ 这笔要选客户",IF(AND(P59="应收",COUNTIF(总览汇总!$B$5:$B$304,J59)=0),"✗ 客户不在总览汇总名单里",IF(AND(P59="应付",K59=""),"✗ 这笔要选供应商",IF(AND(P59="应付",COUNTIF(基础资料!$Q$5:$Q$54,K59)=0),"✗ 供应商不在基础资料里",IF(AND(P59="费用",L59=""),"✗ 费用支出要选费用项目",IF(AND(L59&lt;&gt;"",COUNTIF(基础资料!$AI$5:$AI$54,L59)=0),"✗ 费用项目不在基础资料里",IF(AND(IFERROR(INDEX(基础资料!$AD$5:$AD$34,MATCH(O59,基础资料!$AC$5:$AC$34,0)),"")="收",N(G59)&lt;&gt;0),"✗ 这类是收款，金额填到收入列",IF(AND(IFERROR(INDEX(基础资料!$AD$5:$AD$34,MATCH(O59,基础资料!$AC$5:$AC$34,0)),"")="支",N(F59)&lt;&gt;0),"✗ 这类是付款，金额填到支出列",IF(N(H59)&lt;0,"⚠ 账户余额成负数了，核对一下","√"))))))))))))))))))</f>
        <v>√</v>
      </c>
      <c r="O59" s="78" t="str">
        <f>IF(D59&lt;&gt;"",D59,IF(AND(F59="",G59=""),"",IF(J59&lt;&gt;"",IF(N(F59)&gt;0,"客户回款","客户退款"),IF(K59&lt;&gt;"",IF(N(G59)&gt;0,"供应商付款","供应商退款"),IF(L59&lt;&gt;"","费用支出","")))))</f>
        <v>客户回款</v>
      </c>
      <c r="P59" s="78" t="str">
        <f>IF(O59="","",IFERROR(INDEX(基础资料!$AE$5:$AE$34,MATCH(O59,基础资料!$AC$5:$AC$34,0)),"未知"))</f>
        <v>应收</v>
      </c>
      <c r="Q59" s="78">
        <f>IF(P59="应收",COUNTIF(P$7:P59,"应收"),"")</f>
        <v>53</v>
      </c>
      <c r="R59" s="78">
        <f>IF(P59="应付",COUNTIF(P$7:P59,"应付"),"")</f>
      </c>
      <c r="S59" s="78">
        <f>N(F59)-N(G59)</f>
        <v>4500</v>
      </c>
    </row>
    <row r="60">
      <c r="A60" s="109">
        <f>IF(AND(F60="",G60=""),"",ROW()-6)</f>
        <v>54</v>
      </c>
      <c r="B60" s="140" t="n">
        <v>46213</v>
      </c>
      <c r="C60" s="141" t="inlineStr">
        <is>
          <t>收款码</t>
        </is>
      </c>
      <c r="D60" s="141" t="inlineStr">
        <is>
          <t>客户回款</t>
        </is>
      </c>
      <c r="E60" s="142" t="inlineStr">
        <is>
          <t>收货款</t>
        </is>
      </c>
      <c r="F60" s="143" t="n">
        <v>1395</v>
      </c>
      <c r="G60" s="144" t="n"/>
      <c r="H60" s="145">
        <f>IF(OR(C60="",AND(F60="",G60="")),"",SUMIF(基础资料!$W$5:$W$24,C60,基础资料!$X$5:$X$24)+SUMIF(C$7:C60,C60,F$7:F60)-SUMIF(C$7:C60,C60,G$7:G60))</f>
        <v>3056226.19</v>
      </c>
      <c r="I60" s="145">
        <f>IF(AND(F60="",G60=""),"",SUM(基础资料!$X$5:$X$24)+SUM(F$7:F60)-SUM(G$7:G60))</f>
        <v>3067576.19</v>
      </c>
      <c r="J60" s="141" t="inlineStr">
        <is>
          <t>均村好惠多超市</t>
        </is>
      </c>
      <c r="K60" s="141" t="n"/>
      <c r="L60" s="141" t="n"/>
      <c r="M60" s="142" t="n"/>
      <c r="N60" s="146" t="str">
        <f>IF(AND(AND(F60="",G60=""),B60="",C60="",D60="",J60="",K60="",L60=""),"",IF(AND(F60="",G60=""),"✗ 没填金额",IF(AND(N(F60)&lt;&gt;0,N(G60)&lt;&gt;0),"✗ 收入、支出只能填一边",IF(NOT(ISNUMBER(B60)),"✗ 日期不是真日期（要像 2026/9/25 这样填）",IF(OR(B60&lt;年初日,B60&gt;年末日),"✗ 日期不在本会计年度",IF(C60="","✗ 没选账户",IF(COUNTIF(基础资料!$W$5:$W$24,C60)=0,"✗ 账户不在基础资料里",IF(O60="","✗ 没选收支项目",IF(P60="未知","✗ 收支项目不在基础资料里",IF(AND(P60="应收",J60=""),"✗ 这笔要选客户",IF(AND(P60="应收",COUNTIF(总览汇总!$B$5:$B$304,J60)=0),"✗ 客户不在总览汇总名单里",IF(AND(P60="应付",K60=""),"✗ 这笔要选供应商",IF(AND(P60="应付",COUNTIF(基础资料!$Q$5:$Q$54,K60)=0),"✗ 供应商不在基础资料里",IF(AND(P60="费用",L60=""),"✗ 费用支出要选费用项目",IF(AND(L60&lt;&gt;"",COUNTIF(基础资料!$AI$5:$AI$54,L60)=0),"✗ 费用项目不在基础资料里",IF(AND(IFERROR(INDEX(基础资料!$AD$5:$AD$34,MATCH(O60,基础资料!$AC$5:$AC$34,0)),"")="收",N(G60)&lt;&gt;0),"✗ 这类是收款，金额填到收入列",IF(AND(IFERROR(INDEX(基础资料!$AD$5:$AD$34,MATCH(O60,基础资料!$AC$5:$AC$34,0)),"")="支",N(F60)&lt;&gt;0),"✗ 这类是付款，金额填到支出列",IF(N(H60)&lt;0,"⚠ 账户余额成负数了，核对一下","√"))))))))))))))))))</f>
        <v>√</v>
      </c>
      <c r="O60" s="78" t="str">
        <f>IF(D60&lt;&gt;"",D60,IF(AND(F60="",G60=""),"",IF(J60&lt;&gt;"",IF(N(F60)&gt;0,"客户回款","客户退款"),IF(K60&lt;&gt;"",IF(N(G60)&gt;0,"供应商付款","供应商退款"),IF(L60&lt;&gt;"","费用支出","")))))</f>
        <v>客户回款</v>
      </c>
      <c r="P60" s="78" t="str">
        <f>IF(O60="","",IFERROR(INDEX(基础资料!$AE$5:$AE$34,MATCH(O60,基础资料!$AC$5:$AC$34,0)),"未知"))</f>
        <v>应收</v>
      </c>
      <c r="Q60" s="78">
        <f>IF(P60="应收",COUNTIF(P$7:P60,"应收"),"")</f>
        <v>54</v>
      </c>
      <c r="R60" s="78">
        <f>IF(P60="应付",COUNTIF(P$7:P60,"应付"),"")</f>
      </c>
      <c r="S60" s="78">
        <f>N(F60)-N(G60)</f>
        <v>1395</v>
      </c>
    </row>
    <row r="61">
      <c r="A61" s="109">
        <f>IF(AND(F61="",G61=""),"",ROW()-6)</f>
        <v>55</v>
      </c>
      <c r="B61" s="140" t="n">
        <v>46213</v>
      </c>
      <c r="C61" s="141" t="inlineStr">
        <is>
          <t>收款码</t>
        </is>
      </c>
      <c r="D61" s="141" t="inlineStr">
        <is>
          <t>客户回款</t>
        </is>
      </c>
      <c r="E61" s="142" t="inlineStr">
        <is>
          <t>收货款</t>
        </is>
      </c>
      <c r="F61" s="143" t="n">
        <v>2325</v>
      </c>
      <c r="G61" s="144" t="n"/>
      <c r="H61" s="145">
        <f>IF(OR(C61="",AND(F61="",G61="")),"",SUMIF(基础资料!$W$5:$W$24,C61,基础资料!$X$5:$X$24)+SUMIF(C$7:C61,C61,F$7:F61)-SUMIF(C$7:C61,C61,G$7:G61))</f>
        <v>3058551.19</v>
      </c>
      <c r="I61" s="145">
        <f>IF(AND(F61="",G61=""),"",SUM(基础资料!$X$5:$X$24)+SUM(F$7:F61)-SUM(G$7:G61))</f>
        <v>3069901.19</v>
      </c>
      <c r="J61" s="141" t="inlineStr">
        <is>
          <t>龙口利客副食</t>
        </is>
      </c>
      <c r="K61" s="141" t="n"/>
      <c r="L61" s="141" t="n"/>
      <c r="M61" s="142" t="n"/>
      <c r="N61" s="146" t="str">
        <f>IF(AND(AND(F61="",G61=""),B61="",C61="",D61="",J61="",K61="",L61=""),"",IF(AND(F61="",G61=""),"✗ 没填金额",IF(AND(N(F61)&lt;&gt;0,N(G61)&lt;&gt;0),"✗ 收入、支出只能填一边",IF(NOT(ISNUMBER(B61)),"✗ 日期不是真日期（要像 2026/9/25 这样填）",IF(OR(B61&lt;年初日,B61&gt;年末日),"✗ 日期不在本会计年度",IF(C61="","✗ 没选账户",IF(COUNTIF(基础资料!$W$5:$W$24,C61)=0,"✗ 账户不在基础资料里",IF(O61="","✗ 没选收支项目",IF(P61="未知","✗ 收支项目不在基础资料里",IF(AND(P61="应收",J61=""),"✗ 这笔要选客户",IF(AND(P61="应收",COUNTIF(总览汇总!$B$5:$B$304,J61)=0),"✗ 客户不在总览汇总名单里",IF(AND(P61="应付",K61=""),"✗ 这笔要选供应商",IF(AND(P61="应付",COUNTIF(基础资料!$Q$5:$Q$54,K61)=0),"✗ 供应商不在基础资料里",IF(AND(P61="费用",L61=""),"✗ 费用支出要选费用项目",IF(AND(L61&lt;&gt;"",COUNTIF(基础资料!$AI$5:$AI$54,L61)=0),"✗ 费用项目不在基础资料里",IF(AND(IFERROR(INDEX(基础资料!$AD$5:$AD$34,MATCH(O61,基础资料!$AC$5:$AC$34,0)),"")="收",N(G61)&lt;&gt;0),"✗ 这类是收款，金额填到收入列",IF(AND(IFERROR(INDEX(基础资料!$AD$5:$AD$34,MATCH(O61,基础资料!$AC$5:$AC$34,0)),"")="支",N(F61)&lt;&gt;0),"✗ 这类是付款，金额填到支出列",IF(N(H61)&lt;0,"⚠ 账户余额成负数了，核对一下","√"))))))))))))))))))</f>
        <v>√</v>
      </c>
      <c r="O61" s="78" t="str">
        <f>IF(D61&lt;&gt;"",D61,IF(AND(F61="",G61=""),"",IF(J61&lt;&gt;"",IF(N(F61)&gt;0,"客户回款","客户退款"),IF(K61&lt;&gt;"",IF(N(G61)&gt;0,"供应商付款","供应商退款"),IF(L61&lt;&gt;"","费用支出","")))))</f>
        <v>客户回款</v>
      </c>
      <c r="P61" s="78" t="str">
        <f>IF(O61="","",IFERROR(INDEX(基础资料!$AE$5:$AE$34,MATCH(O61,基础资料!$AC$5:$AC$34,0)),"未知"))</f>
        <v>应收</v>
      </c>
      <c r="Q61" s="78">
        <f>IF(P61="应收",COUNTIF(P$7:P61,"应收"),"")</f>
        <v>55</v>
      </c>
      <c r="R61" s="78">
        <f>IF(P61="应付",COUNTIF(P$7:P61,"应付"),"")</f>
      </c>
      <c r="S61" s="78">
        <f>N(F61)-N(G61)</f>
        <v>2325</v>
      </c>
    </row>
    <row r="62">
      <c r="A62" s="109">
        <f>IF(AND(F62="",G62=""),"",ROW()-6)</f>
        <v>56</v>
      </c>
      <c r="B62" s="140" t="n">
        <v>46215</v>
      </c>
      <c r="C62" s="141" t="inlineStr">
        <is>
          <t>收款码</t>
        </is>
      </c>
      <c r="D62" s="141" t="inlineStr">
        <is>
          <t>客户回款</t>
        </is>
      </c>
      <c r="E62" s="142" t="inlineStr">
        <is>
          <t>收货款</t>
        </is>
      </c>
      <c r="F62" s="143" t="n">
        <v>2955</v>
      </c>
      <c r="G62" s="144" t="n"/>
      <c r="H62" s="145">
        <f>IF(OR(C62="",AND(F62="",G62="")),"",SUMIF(基础资料!$W$5:$W$24,C62,基础资料!$X$5:$X$24)+SUMIF(C$7:C62,C62,F$7:F62)-SUMIF(C$7:C62,C62,G$7:G62))</f>
        <v>3061506.19</v>
      </c>
      <c r="I62" s="145">
        <f>IF(AND(F62="",G62=""),"",SUM(基础资料!$X$5:$X$24)+SUM(F$7:F62)-SUM(G$7:G62))</f>
        <v>3072856.19</v>
      </c>
      <c r="J62" s="141" t="inlineStr">
        <is>
          <t>崇贤三角超市</t>
        </is>
      </c>
      <c r="K62" s="141" t="n"/>
      <c r="L62" s="141" t="n"/>
      <c r="M62" s="142" t="n"/>
      <c r="N62" s="146" t="str">
        <f>IF(AND(AND(F62="",G62=""),B62="",C62="",D62="",J62="",K62="",L62=""),"",IF(AND(F62="",G62=""),"✗ 没填金额",IF(AND(N(F62)&lt;&gt;0,N(G62)&lt;&gt;0),"✗ 收入、支出只能填一边",IF(NOT(ISNUMBER(B62)),"✗ 日期不是真日期（要像 2026/9/25 这样填）",IF(OR(B62&lt;年初日,B62&gt;年末日),"✗ 日期不在本会计年度",IF(C62="","✗ 没选账户",IF(COUNTIF(基础资料!$W$5:$W$24,C62)=0,"✗ 账户不在基础资料里",IF(O62="","✗ 没选收支项目",IF(P62="未知","✗ 收支项目不在基础资料里",IF(AND(P62="应收",J62=""),"✗ 这笔要选客户",IF(AND(P62="应收",COUNTIF(总览汇总!$B$5:$B$304,J62)=0),"✗ 客户不在总览汇总名单里",IF(AND(P62="应付",K62=""),"✗ 这笔要选供应商",IF(AND(P62="应付",COUNTIF(基础资料!$Q$5:$Q$54,K62)=0),"✗ 供应商不在基础资料里",IF(AND(P62="费用",L62=""),"✗ 费用支出要选费用项目",IF(AND(L62&lt;&gt;"",COUNTIF(基础资料!$AI$5:$AI$54,L62)=0),"✗ 费用项目不在基础资料里",IF(AND(IFERROR(INDEX(基础资料!$AD$5:$AD$34,MATCH(O62,基础资料!$AC$5:$AC$34,0)),"")="收",N(G62)&lt;&gt;0),"✗ 这类是收款，金额填到收入列",IF(AND(IFERROR(INDEX(基础资料!$AD$5:$AD$34,MATCH(O62,基础资料!$AC$5:$AC$34,0)),"")="支",N(F62)&lt;&gt;0),"✗ 这类是付款，金额填到支出列",IF(N(H62)&lt;0,"⚠ 账户余额成负数了，核对一下","√"))))))))))))))))))</f>
        <v>√</v>
      </c>
      <c r="O62" s="78" t="str">
        <f>IF(D62&lt;&gt;"",D62,IF(AND(F62="",G62=""),"",IF(J62&lt;&gt;"",IF(N(F62)&gt;0,"客户回款","客户退款"),IF(K62&lt;&gt;"",IF(N(G62)&gt;0,"供应商付款","供应商退款"),IF(L62&lt;&gt;"","费用支出","")))))</f>
        <v>客户回款</v>
      </c>
      <c r="P62" s="78" t="str">
        <f>IF(O62="","",IFERROR(INDEX(基础资料!$AE$5:$AE$34,MATCH(O62,基础资料!$AC$5:$AC$34,0)),"未知"))</f>
        <v>应收</v>
      </c>
      <c r="Q62" s="78">
        <f>IF(P62="应收",COUNTIF(P$7:P62,"应收"),"")</f>
        <v>56</v>
      </c>
      <c r="R62" s="78">
        <f>IF(P62="应付",COUNTIF(P$7:P62,"应付"),"")</f>
      </c>
      <c r="S62" s="78">
        <f>N(F62)-N(G62)</f>
        <v>2955</v>
      </c>
    </row>
    <row r="63">
      <c r="A63" s="109">
        <f>IF(AND(F63="",G63=""),"",ROW()-6)</f>
        <v>57</v>
      </c>
      <c r="B63" s="140" t="n">
        <v>46215</v>
      </c>
      <c r="C63" s="141" t="inlineStr">
        <is>
          <t>收款码</t>
        </is>
      </c>
      <c r="D63" s="141" t="inlineStr">
        <is>
          <t>客户回款</t>
        </is>
      </c>
      <c r="E63" s="142" t="inlineStr">
        <is>
          <t>收货款</t>
        </is>
      </c>
      <c r="F63" s="143" t="n">
        <v>1395</v>
      </c>
      <c r="G63" s="144" t="n"/>
      <c r="H63" s="145">
        <f>IF(OR(C63="",AND(F63="",G63="")),"",SUMIF(基础资料!$W$5:$W$24,C63,基础资料!$X$5:$X$24)+SUMIF(C$7:C63,C63,F$7:F63)-SUMIF(C$7:C63,C63,G$7:G63))</f>
        <v>3062901.19</v>
      </c>
      <c r="I63" s="145">
        <f>IF(AND(F63="",G63=""),"",SUM(基础资料!$X$5:$X$24)+SUM(F$7:F63)-SUM(G$7:G63))</f>
        <v>3074251.19</v>
      </c>
      <c r="J63" s="141" t="inlineStr">
        <is>
          <t>方太青华百货</t>
        </is>
      </c>
      <c r="K63" s="141" t="n"/>
      <c r="L63" s="141" t="n"/>
      <c r="M63" s="142" t="n"/>
      <c r="N63" s="146" t="str">
        <f>IF(AND(AND(F63="",G63=""),B63="",C63="",D63="",J63="",K63="",L63=""),"",IF(AND(F63="",G63=""),"✗ 没填金额",IF(AND(N(F63)&lt;&gt;0,N(G63)&lt;&gt;0),"✗ 收入、支出只能填一边",IF(NOT(ISNUMBER(B63)),"✗ 日期不是真日期（要像 2026/9/25 这样填）",IF(OR(B63&lt;年初日,B63&gt;年末日),"✗ 日期不在本会计年度",IF(C63="","✗ 没选账户",IF(COUNTIF(基础资料!$W$5:$W$24,C63)=0,"✗ 账户不在基础资料里",IF(O63="","✗ 没选收支项目",IF(P63="未知","✗ 收支项目不在基础资料里",IF(AND(P63="应收",J63=""),"✗ 这笔要选客户",IF(AND(P63="应收",COUNTIF(总览汇总!$B$5:$B$304,J63)=0),"✗ 客户不在总览汇总名单里",IF(AND(P63="应付",K63=""),"✗ 这笔要选供应商",IF(AND(P63="应付",COUNTIF(基础资料!$Q$5:$Q$54,K63)=0),"✗ 供应商不在基础资料里",IF(AND(P63="费用",L63=""),"✗ 费用支出要选费用项目",IF(AND(L63&lt;&gt;"",COUNTIF(基础资料!$AI$5:$AI$54,L63)=0),"✗ 费用项目不在基础资料里",IF(AND(IFERROR(INDEX(基础资料!$AD$5:$AD$34,MATCH(O63,基础资料!$AC$5:$AC$34,0)),"")="收",N(G63)&lt;&gt;0),"✗ 这类是收款，金额填到收入列",IF(AND(IFERROR(INDEX(基础资料!$AD$5:$AD$34,MATCH(O63,基础资料!$AC$5:$AC$34,0)),"")="支",N(F63)&lt;&gt;0),"✗ 这类是付款，金额填到支出列",IF(N(H63)&lt;0,"⚠ 账户余额成负数了，核对一下","√"))))))))))))))))))</f>
        <v>√</v>
      </c>
      <c r="O63" s="78" t="str">
        <f>IF(D63&lt;&gt;"",D63,IF(AND(F63="",G63=""),"",IF(J63&lt;&gt;"",IF(N(F63)&gt;0,"客户回款","客户退款"),IF(K63&lt;&gt;"",IF(N(G63)&gt;0,"供应商付款","供应商退款"),IF(L63&lt;&gt;"","费用支出","")))))</f>
        <v>客户回款</v>
      </c>
      <c r="P63" s="78" t="str">
        <f>IF(O63="","",IFERROR(INDEX(基础资料!$AE$5:$AE$34,MATCH(O63,基础资料!$AC$5:$AC$34,0)),"未知"))</f>
        <v>应收</v>
      </c>
      <c r="Q63" s="78">
        <f>IF(P63="应收",COUNTIF(P$7:P63,"应收"),"")</f>
        <v>57</v>
      </c>
      <c r="R63" s="78">
        <f>IF(P63="应付",COUNTIF(P$7:P63,"应付"),"")</f>
      </c>
      <c r="S63" s="78">
        <f>N(F63)-N(G63)</f>
        <v>1395</v>
      </c>
    </row>
    <row r="64">
      <c r="A64" s="109">
        <f>IF(AND(F64="",G64=""),"",ROW()-6)</f>
        <v>58</v>
      </c>
      <c r="B64" s="140" t="n">
        <v>46215</v>
      </c>
      <c r="C64" s="141" t="inlineStr">
        <is>
          <t>收款码</t>
        </is>
      </c>
      <c r="D64" s="141" t="inlineStr">
        <is>
          <t>客户回款</t>
        </is>
      </c>
      <c r="E64" s="142" t="inlineStr">
        <is>
          <t>收货款</t>
        </is>
      </c>
      <c r="F64" s="143" t="n">
        <v>3005</v>
      </c>
      <c r="G64" s="144" t="n"/>
      <c r="H64" s="145">
        <f>IF(OR(C64="",AND(F64="",G64="")),"",SUMIF(基础资料!$W$5:$W$24,C64,基础资料!$X$5:$X$24)+SUMIF(C$7:C64,C64,F$7:F64)-SUMIF(C$7:C64,C64,G$7:G64))</f>
        <v>3065906.19</v>
      </c>
      <c r="I64" s="145">
        <f>IF(AND(F64="",G64=""),"",SUM(基础资料!$X$5:$X$24)+SUM(F$7:F64)-SUM(G$7:G64))</f>
        <v>3077256.19</v>
      </c>
      <c r="J64" s="141" t="inlineStr">
        <is>
          <t>城北街隆兴商行</t>
        </is>
      </c>
      <c r="K64" s="141" t="n"/>
      <c r="L64" s="141" t="n"/>
      <c r="M64" s="142" t="n"/>
      <c r="N64" s="146" t="str">
        <f>IF(AND(AND(F64="",G64=""),B64="",C64="",D64="",J64="",K64="",L64=""),"",IF(AND(F64="",G64=""),"✗ 没填金额",IF(AND(N(F64)&lt;&gt;0,N(G64)&lt;&gt;0),"✗ 收入、支出只能填一边",IF(NOT(ISNUMBER(B64)),"✗ 日期不是真日期（要像 2026/9/25 这样填）",IF(OR(B64&lt;年初日,B64&gt;年末日),"✗ 日期不在本会计年度",IF(C64="","✗ 没选账户",IF(COUNTIF(基础资料!$W$5:$W$24,C64)=0,"✗ 账户不在基础资料里",IF(O64="","✗ 没选收支项目",IF(P64="未知","✗ 收支项目不在基础资料里",IF(AND(P64="应收",J64=""),"✗ 这笔要选客户",IF(AND(P64="应收",COUNTIF(总览汇总!$B$5:$B$304,J64)=0),"✗ 客户不在总览汇总名单里",IF(AND(P64="应付",K64=""),"✗ 这笔要选供应商",IF(AND(P64="应付",COUNTIF(基础资料!$Q$5:$Q$54,K64)=0),"✗ 供应商不在基础资料里",IF(AND(P64="费用",L64=""),"✗ 费用支出要选费用项目",IF(AND(L64&lt;&gt;"",COUNTIF(基础资料!$AI$5:$AI$54,L64)=0),"✗ 费用项目不在基础资料里",IF(AND(IFERROR(INDEX(基础资料!$AD$5:$AD$34,MATCH(O64,基础资料!$AC$5:$AC$34,0)),"")="收",N(G64)&lt;&gt;0),"✗ 这类是收款，金额填到收入列",IF(AND(IFERROR(INDEX(基础资料!$AD$5:$AD$34,MATCH(O64,基础资料!$AC$5:$AC$34,0)),"")="支",N(F64)&lt;&gt;0),"✗ 这类是付款，金额填到支出列",IF(N(H64)&lt;0,"⚠ 账户余额成负数了，核对一下","√"))))))))))))))))))</f>
        <v>√</v>
      </c>
      <c r="O64" s="78" t="str">
        <f>IF(D64&lt;&gt;"",D64,IF(AND(F64="",G64=""),"",IF(J64&lt;&gt;"",IF(N(F64)&gt;0,"客户回款","客户退款"),IF(K64&lt;&gt;"",IF(N(G64)&gt;0,"供应商付款","供应商退款"),IF(L64&lt;&gt;"","费用支出","")))))</f>
        <v>客户回款</v>
      </c>
      <c r="P64" s="78" t="str">
        <f>IF(O64="","",IFERROR(INDEX(基础资料!$AE$5:$AE$34,MATCH(O64,基础资料!$AC$5:$AC$34,0)),"未知"))</f>
        <v>应收</v>
      </c>
      <c r="Q64" s="78">
        <f>IF(P64="应收",COUNTIF(P$7:P64,"应收"),"")</f>
        <v>58</v>
      </c>
      <c r="R64" s="78">
        <f>IF(P64="应付",COUNTIF(P$7:P64,"应付"),"")</f>
      </c>
      <c r="S64" s="78">
        <f>N(F64)-N(G64)</f>
        <v>3005</v>
      </c>
    </row>
    <row r="65">
      <c r="A65" s="109">
        <f>IF(AND(F65="",G65=""),"",ROW()-6)</f>
        <v>59</v>
      </c>
      <c r="B65" s="140" t="n">
        <v>46217</v>
      </c>
      <c r="C65" s="141" t="inlineStr">
        <is>
          <t>收款码</t>
        </is>
      </c>
      <c r="D65" s="141" t="inlineStr">
        <is>
          <t>客户回款</t>
        </is>
      </c>
      <c r="E65" s="142" t="inlineStr">
        <is>
          <t>收货款</t>
        </is>
      </c>
      <c r="F65" s="143" t="n">
        <v>930</v>
      </c>
      <c r="G65" s="144" t="n"/>
      <c r="H65" s="145">
        <f>IF(OR(C65="",AND(F65="",G65="")),"",SUMIF(基础资料!$W$5:$W$24,C65,基础资料!$X$5:$X$24)+SUMIF(C$7:C65,C65,F$7:F65)-SUMIF(C$7:C65,C65,G$7:G65))</f>
        <v>3066836.19</v>
      </c>
      <c r="I65" s="145">
        <f>IF(AND(F65="",G65=""),"",SUM(基础资料!$X$5:$X$24)+SUM(F$7:F65)-SUM(G$7:G65))</f>
        <v>3078186.19</v>
      </c>
      <c r="J65" s="141" t="inlineStr">
        <is>
          <t>埠头凤岗万家乐超市</t>
        </is>
      </c>
      <c r="K65" s="141" t="n"/>
      <c r="L65" s="141" t="n"/>
      <c r="M65" s="142" t="n"/>
      <c r="N65" s="146" t="str">
        <f>IF(AND(AND(F65="",G65=""),B65="",C65="",D65="",J65="",K65="",L65=""),"",IF(AND(F65="",G65=""),"✗ 没填金额",IF(AND(N(F65)&lt;&gt;0,N(G65)&lt;&gt;0),"✗ 收入、支出只能填一边",IF(NOT(ISNUMBER(B65)),"✗ 日期不是真日期（要像 2026/9/25 这样填）",IF(OR(B65&lt;年初日,B65&gt;年末日),"✗ 日期不在本会计年度",IF(C65="","✗ 没选账户",IF(COUNTIF(基础资料!$W$5:$W$24,C65)=0,"✗ 账户不在基础资料里",IF(O65="","✗ 没选收支项目",IF(P65="未知","✗ 收支项目不在基础资料里",IF(AND(P65="应收",J65=""),"✗ 这笔要选客户",IF(AND(P65="应收",COUNTIF(总览汇总!$B$5:$B$304,J65)=0),"✗ 客户不在总览汇总名单里",IF(AND(P65="应付",K65=""),"✗ 这笔要选供应商",IF(AND(P65="应付",COUNTIF(基础资料!$Q$5:$Q$54,K65)=0),"✗ 供应商不在基础资料里",IF(AND(P65="费用",L65=""),"✗ 费用支出要选费用项目",IF(AND(L65&lt;&gt;"",COUNTIF(基础资料!$AI$5:$AI$54,L65)=0),"✗ 费用项目不在基础资料里",IF(AND(IFERROR(INDEX(基础资料!$AD$5:$AD$34,MATCH(O65,基础资料!$AC$5:$AC$34,0)),"")="收",N(G65)&lt;&gt;0),"✗ 这类是收款，金额填到收入列",IF(AND(IFERROR(INDEX(基础资料!$AD$5:$AD$34,MATCH(O65,基础资料!$AC$5:$AC$34,0)),"")="支",N(F65)&lt;&gt;0),"✗ 这类是付款，金额填到支出列",IF(N(H65)&lt;0,"⚠ 账户余额成负数了，核对一下","√"))))))))))))))))))</f>
        <v>√</v>
      </c>
      <c r="O65" s="78" t="str">
        <f>IF(D65&lt;&gt;"",D65,IF(AND(F65="",G65=""),"",IF(J65&lt;&gt;"",IF(N(F65)&gt;0,"客户回款","客户退款"),IF(K65&lt;&gt;"",IF(N(G65)&gt;0,"供应商付款","供应商退款"),IF(L65&lt;&gt;"","费用支出","")))))</f>
        <v>客户回款</v>
      </c>
      <c r="P65" s="78" t="str">
        <f>IF(O65="","",IFERROR(INDEX(基础资料!$AE$5:$AE$34,MATCH(O65,基础资料!$AC$5:$AC$34,0)),"未知"))</f>
        <v>应收</v>
      </c>
      <c r="Q65" s="78">
        <f>IF(P65="应收",COUNTIF(P$7:P65,"应收"),"")</f>
        <v>59</v>
      </c>
      <c r="R65" s="78">
        <f>IF(P65="应付",COUNTIF(P$7:P65,"应付"),"")</f>
      </c>
      <c r="S65" s="78">
        <f>N(F65)-N(G65)</f>
        <v>930</v>
      </c>
    </row>
    <row r="66">
      <c r="A66" s="109">
        <f>IF(AND(F66="",G66=""),"",ROW()-6)</f>
        <v>60</v>
      </c>
      <c r="B66" s="140" t="n">
        <v>46218</v>
      </c>
      <c r="C66" s="141" t="inlineStr">
        <is>
          <t>收款码</t>
        </is>
      </c>
      <c r="D66" s="141" t="inlineStr">
        <is>
          <t>客户回款</t>
        </is>
      </c>
      <c r="E66" s="142" t="inlineStr">
        <is>
          <t>收货款</t>
        </is>
      </c>
      <c r="F66" s="143" t="n">
        <v>1395</v>
      </c>
      <c r="G66" s="144" t="n"/>
      <c r="H66" s="145">
        <f>IF(OR(C66="",AND(F66="",G66="")),"",SUMIF(基础资料!$W$5:$W$24,C66,基础资料!$X$5:$X$24)+SUMIF(C$7:C66,C66,F$7:F66)-SUMIF(C$7:C66,C66,G$7:G66))</f>
        <v>3068231.19</v>
      </c>
      <c r="I66" s="145">
        <f>IF(AND(F66="",G66=""),"",SUM(基础资料!$X$5:$X$24)+SUM(F$7:F66)-SUM(G$7:G66))</f>
        <v>3079581.19</v>
      </c>
      <c r="J66" s="141" t="inlineStr">
        <is>
          <t>良村万家欢超市</t>
        </is>
      </c>
      <c r="K66" s="141" t="n"/>
      <c r="L66" s="141" t="n"/>
      <c r="M66" s="142" t="n"/>
      <c r="N66" s="146" t="str">
        <f>IF(AND(AND(F66="",G66=""),B66="",C66="",D66="",J66="",K66="",L66=""),"",IF(AND(F66="",G66=""),"✗ 没填金额",IF(AND(N(F66)&lt;&gt;0,N(G66)&lt;&gt;0),"✗ 收入、支出只能填一边",IF(NOT(ISNUMBER(B66)),"✗ 日期不是真日期（要像 2026/9/25 这样填）",IF(OR(B66&lt;年初日,B66&gt;年末日),"✗ 日期不在本会计年度",IF(C66="","✗ 没选账户",IF(COUNTIF(基础资料!$W$5:$W$24,C66)=0,"✗ 账户不在基础资料里",IF(O66="","✗ 没选收支项目",IF(P66="未知","✗ 收支项目不在基础资料里",IF(AND(P66="应收",J66=""),"✗ 这笔要选客户",IF(AND(P66="应收",COUNTIF(总览汇总!$B$5:$B$304,J66)=0),"✗ 客户不在总览汇总名单里",IF(AND(P66="应付",K66=""),"✗ 这笔要选供应商",IF(AND(P66="应付",COUNTIF(基础资料!$Q$5:$Q$54,K66)=0),"✗ 供应商不在基础资料里",IF(AND(P66="费用",L66=""),"✗ 费用支出要选费用项目",IF(AND(L66&lt;&gt;"",COUNTIF(基础资料!$AI$5:$AI$54,L66)=0),"✗ 费用项目不在基础资料里",IF(AND(IFERROR(INDEX(基础资料!$AD$5:$AD$34,MATCH(O66,基础资料!$AC$5:$AC$34,0)),"")="收",N(G66)&lt;&gt;0),"✗ 这类是收款，金额填到收入列",IF(AND(IFERROR(INDEX(基础资料!$AD$5:$AD$34,MATCH(O66,基础资料!$AC$5:$AC$34,0)),"")="支",N(F66)&lt;&gt;0),"✗ 这类是付款，金额填到支出列",IF(N(H66)&lt;0,"⚠ 账户余额成负数了，核对一下","√"))))))))))))))))))</f>
        <v>√</v>
      </c>
      <c r="O66" s="78" t="str">
        <f>IF(D66&lt;&gt;"",D66,IF(AND(F66="",G66=""),"",IF(J66&lt;&gt;"",IF(N(F66)&gt;0,"客户回款","客户退款"),IF(K66&lt;&gt;"",IF(N(G66)&gt;0,"供应商付款","供应商退款"),IF(L66&lt;&gt;"","费用支出","")))))</f>
        <v>客户回款</v>
      </c>
      <c r="P66" s="78" t="str">
        <f>IF(O66="","",IFERROR(INDEX(基础资料!$AE$5:$AE$34,MATCH(O66,基础资料!$AC$5:$AC$34,0)),"未知"))</f>
        <v>应收</v>
      </c>
      <c r="Q66" s="78">
        <f>IF(P66="应收",COUNTIF(P$7:P66,"应收"),"")</f>
        <v>60</v>
      </c>
      <c r="R66" s="78">
        <f>IF(P66="应付",COUNTIF(P$7:P66,"应付"),"")</f>
      </c>
      <c r="S66" s="78">
        <f>N(F66)-N(G66)</f>
        <v>1395</v>
      </c>
    </row>
    <row r="67">
      <c r="A67" s="109">
        <f>IF(AND(F67="",G67=""),"",ROW()-6)</f>
        <v>61</v>
      </c>
      <c r="B67" s="140" t="n">
        <v>46218</v>
      </c>
      <c r="C67" s="141" t="inlineStr">
        <is>
          <t>收款码</t>
        </is>
      </c>
      <c r="D67" s="141" t="inlineStr">
        <is>
          <t>客户回款</t>
        </is>
      </c>
      <c r="E67" s="142" t="inlineStr">
        <is>
          <t>收货款</t>
        </is>
      </c>
      <c r="F67" s="143" t="n">
        <v>3380</v>
      </c>
      <c r="G67" s="144" t="n"/>
      <c r="H67" s="145">
        <f>IF(OR(C67="",AND(F67="",G67="")),"",SUMIF(基础资料!$W$5:$W$24,C67,基础资料!$X$5:$X$24)+SUMIF(C$7:C67,C67,F$7:F67)-SUMIF(C$7:C67,C67,G$7:G67))</f>
        <v>3071611.19</v>
      </c>
      <c r="I67" s="145">
        <f>IF(AND(F67="",G67=""),"",SUM(基础资料!$X$5:$X$24)+SUM(F$7:F67)-SUM(G$7:G67))</f>
        <v>3082961.19</v>
      </c>
      <c r="J67" s="141" t="inlineStr">
        <is>
          <t>滨江荣香副食</t>
        </is>
      </c>
      <c r="K67" s="141" t="n"/>
      <c r="L67" s="141" t="n"/>
      <c r="M67" s="142" t="n"/>
      <c r="N67" s="146" t="str">
        <f>IF(AND(AND(F67="",G67=""),B67="",C67="",D67="",J67="",K67="",L67=""),"",IF(AND(F67="",G67=""),"✗ 没填金额",IF(AND(N(F67)&lt;&gt;0,N(G67)&lt;&gt;0),"✗ 收入、支出只能填一边",IF(NOT(ISNUMBER(B67)),"✗ 日期不是真日期（要像 2026/9/25 这样填）",IF(OR(B67&lt;年初日,B67&gt;年末日),"✗ 日期不在本会计年度",IF(C67="","✗ 没选账户",IF(COUNTIF(基础资料!$W$5:$W$24,C67)=0,"✗ 账户不在基础资料里",IF(O67="","✗ 没选收支项目",IF(P67="未知","✗ 收支项目不在基础资料里",IF(AND(P67="应收",J67=""),"✗ 这笔要选客户",IF(AND(P67="应收",COUNTIF(总览汇总!$B$5:$B$304,J67)=0),"✗ 客户不在总览汇总名单里",IF(AND(P67="应付",K67=""),"✗ 这笔要选供应商",IF(AND(P67="应付",COUNTIF(基础资料!$Q$5:$Q$54,K67)=0),"✗ 供应商不在基础资料里",IF(AND(P67="费用",L67=""),"✗ 费用支出要选费用项目",IF(AND(L67&lt;&gt;"",COUNTIF(基础资料!$AI$5:$AI$54,L67)=0),"✗ 费用项目不在基础资料里",IF(AND(IFERROR(INDEX(基础资料!$AD$5:$AD$34,MATCH(O67,基础资料!$AC$5:$AC$34,0)),"")="收",N(G67)&lt;&gt;0),"✗ 这类是收款，金额填到收入列",IF(AND(IFERROR(INDEX(基础资料!$AD$5:$AD$34,MATCH(O67,基础资料!$AC$5:$AC$34,0)),"")="支",N(F67)&lt;&gt;0),"✗ 这类是付款，金额填到支出列",IF(N(H67)&lt;0,"⚠ 账户余额成负数了，核对一下","√"))))))))))))))))))</f>
        <v>√</v>
      </c>
      <c r="O67" s="78" t="str">
        <f>IF(D67&lt;&gt;"",D67,IF(AND(F67="",G67=""),"",IF(J67&lt;&gt;"",IF(N(F67)&gt;0,"客户回款","客户退款"),IF(K67&lt;&gt;"",IF(N(G67)&gt;0,"供应商付款","供应商退款"),IF(L67&lt;&gt;"","费用支出","")))))</f>
        <v>客户回款</v>
      </c>
      <c r="P67" s="78" t="str">
        <f>IF(O67="","",IFERROR(INDEX(基础资料!$AE$5:$AE$34,MATCH(O67,基础资料!$AC$5:$AC$34,0)),"未知"))</f>
        <v>应收</v>
      </c>
      <c r="Q67" s="78">
        <f>IF(P67="应收",COUNTIF(P$7:P67,"应收"),"")</f>
        <v>61</v>
      </c>
      <c r="R67" s="78">
        <f>IF(P67="应付",COUNTIF(P$7:P67,"应付"),"")</f>
      </c>
      <c r="S67" s="78">
        <f>N(F67)-N(G67)</f>
        <v>3380</v>
      </c>
    </row>
    <row r="68">
      <c r="A68" s="109">
        <f>IF(AND(F68="",G68=""),"",ROW()-6)</f>
        <v>62</v>
      </c>
      <c r="B68" s="140" t="n">
        <v>46218</v>
      </c>
      <c r="C68" s="141" t="inlineStr">
        <is>
          <t>收款码</t>
        </is>
      </c>
      <c r="D68" s="141" t="inlineStr">
        <is>
          <t>客户回款</t>
        </is>
      </c>
      <c r="E68" s="142" t="inlineStr">
        <is>
          <t>收货款</t>
        </is>
      </c>
      <c r="F68" s="143" t="n">
        <v>12416.5</v>
      </c>
      <c r="G68" s="144" t="n"/>
      <c r="H68" s="145">
        <f>IF(OR(C68="",AND(F68="",G68="")),"",SUMIF(基础资料!$W$5:$W$24,C68,基础资料!$X$5:$X$24)+SUMIF(C$7:C68,C68,F$7:F68)-SUMIF(C$7:C68,C68,G$7:G68))</f>
        <v>3084027.69</v>
      </c>
      <c r="I68" s="145">
        <f>IF(AND(F68="",G68=""),"",SUM(基础资料!$X$5:$X$24)+SUM(F$7:F68)-SUM(G$7:G68))</f>
        <v>3095377.69</v>
      </c>
      <c r="J68" s="141" t="inlineStr">
        <is>
          <t>宜兴粮油</t>
        </is>
      </c>
      <c r="K68" s="141" t="n"/>
      <c r="L68" s="141" t="n"/>
      <c r="M68" s="142" t="n"/>
      <c r="N68" s="146" t="str">
        <f>IF(AND(AND(F68="",G68=""),B68="",C68="",D68="",J68="",K68="",L68=""),"",IF(AND(F68="",G68=""),"✗ 没填金额",IF(AND(N(F68)&lt;&gt;0,N(G68)&lt;&gt;0),"✗ 收入、支出只能填一边",IF(NOT(ISNUMBER(B68)),"✗ 日期不是真日期（要像 2026/9/25 这样填）",IF(OR(B68&lt;年初日,B68&gt;年末日),"✗ 日期不在本会计年度",IF(C68="","✗ 没选账户",IF(COUNTIF(基础资料!$W$5:$W$24,C68)=0,"✗ 账户不在基础资料里",IF(O68="","✗ 没选收支项目",IF(P68="未知","✗ 收支项目不在基础资料里",IF(AND(P68="应收",J68=""),"✗ 这笔要选客户",IF(AND(P68="应收",COUNTIF(总览汇总!$B$5:$B$304,J68)=0),"✗ 客户不在总览汇总名单里",IF(AND(P68="应付",K68=""),"✗ 这笔要选供应商",IF(AND(P68="应付",COUNTIF(基础资料!$Q$5:$Q$54,K68)=0),"✗ 供应商不在基础资料里",IF(AND(P68="费用",L68=""),"✗ 费用支出要选费用项目",IF(AND(L68&lt;&gt;"",COUNTIF(基础资料!$AI$5:$AI$54,L68)=0),"✗ 费用项目不在基础资料里",IF(AND(IFERROR(INDEX(基础资料!$AD$5:$AD$34,MATCH(O68,基础资料!$AC$5:$AC$34,0)),"")="收",N(G68)&lt;&gt;0),"✗ 这类是收款，金额填到收入列",IF(AND(IFERROR(INDEX(基础资料!$AD$5:$AD$34,MATCH(O68,基础资料!$AC$5:$AC$34,0)),"")="支",N(F68)&lt;&gt;0),"✗ 这类是付款，金额填到支出列",IF(N(H68)&lt;0,"⚠ 账户余额成负数了，核对一下","√"))))))))))))))))))</f>
        <v>√</v>
      </c>
      <c r="O68" s="78" t="str">
        <f>IF(D68&lt;&gt;"",D68,IF(AND(F68="",G68=""),"",IF(J68&lt;&gt;"",IF(N(F68)&gt;0,"客户回款","客户退款"),IF(K68&lt;&gt;"",IF(N(G68)&gt;0,"供应商付款","供应商退款"),IF(L68&lt;&gt;"","费用支出","")))))</f>
        <v>客户回款</v>
      </c>
      <c r="P68" s="78" t="str">
        <f>IF(O68="","",IFERROR(INDEX(基础资料!$AE$5:$AE$34,MATCH(O68,基础资料!$AC$5:$AC$34,0)),"未知"))</f>
        <v>应收</v>
      </c>
      <c r="Q68" s="78">
        <f>IF(P68="应收",COUNTIF(P$7:P68,"应收"),"")</f>
        <v>62</v>
      </c>
      <c r="R68" s="78">
        <f>IF(P68="应付",COUNTIF(P$7:P68,"应付"),"")</f>
      </c>
      <c r="S68" s="78">
        <f>N(F68)-N(G68)</f>
        <v>12416.5</v>
      </c>
    </row>
    <row r="69">
      <c r="A69" s="109">
        <f>IF(AND(F69="",G69=""),"",ROW()-6)</f>
        <v>63</v>
      </c>
      <c r="B69" s="140" t="n">
        <v>46219</v>
      </c>
      <c r="C69" s="141" t="inlineStr">
        <is>
          <t>收款码</t>
        </is>
      </c>
      <c r="D69" s="141" t="inlineStr">
        <is>
          <t>客户回款</t>
        </is>
      </c>
      <c r="E69" s="142" t="inlineStr">
        <is>
          <t>收货款</t>
        </is>
      </c>
      <c r="F69" s="143" t="n">
        <v>27220</v>
      </c>
      <c r="G69" s="144" t="n"/>
      <c r="H69" s="145">
        <f>IF(OR(C69="",AND(F69="",G69="")),"",SUMIF(基础资料!$W$5:$W$24,C69,基础资料!$X$5:$X$24)+SUMIF(C$7:C69,C69,F$7:F69)-SUMIF(C$7:C69,C69,G$7:G69))</f>
        <v>3111247.69</v>
      </c>
      <c r="I69" s="145">
        <f>IF(AND(F69="",G69=""),"",SUM(基础资料!$X$5:$X$24)+SUM(F$7:F69)-SUM(G$7:G69))</f>
        <v>3122597.69</v>
      </c>
      <c r="J69" s="141" t="inlineStr">
        <is>
          <t>福旺家优购</t>
        </is>
      </c>
      <c r="K69" s="141" t="n"/>
      <c r="L69" s="141" t="n"/>
      <c r="M69" s="142" t="n"/>
      <c r="N69" s="146" t="str">
        <f>IF(AND(AND(F69="",G69=""),B69="",C69="",D69="",J69="",K69="",L69=""),"",IF(AND(F69="",G69=""),"✗ 没填金额",IF(AND(N(F69)&lt;&gt;0,N(G69)&lt;&gt;0),"✗ 收入、支出只能填一边",IF(NOT(ISNUMBER(B69)),"✗ 日期不是真日期（要像 2026/9/25 这样填）",IF(OR(B69&lt;年初日,B69&gt;年末日),"✗ 日期不在本会计年度",IF(C69="","✗ 没选账户",IF(COUNTIF(基础资料!$W$5:$W$24,C69)=0,"✗ 账户不在基础资料里",IF(O69="","✗ 没选收支项目",IF(P69="未知","✗ 收支项目不在基础资料里",IF(AND(P69="应收",J69=""),"✗ 这笔要选客户",IF(AND(P69="应收",COUNTIF(总览汇总!$B$5:$B$304,J69)=0),"✗ 客户不在总览汇总名单里",IF(AND(P69="应付",K69=""),"✗ 这笔要选供应商",IF(AND(P69="应付",COUNTIF(基础资料!$Q$5:$Q$54,K69)=0),"✗ 供应商不在基础资料里",IF(AND(P69="费用",L69=""),"✗ 费用支出要选费用项目",IF(AND(L69&lt;&gt;"",COUNTIF(基础资料!$AI$5:$AI$54,L69)=0),"✗ 费用项目不在基础资料里",IF(AND(IFERROR(INDEX(基础资料!$AD$5:$AD$34,MATCH(O69,基础资料!$AC$5:$AC$34,0)),"")="收",N(G69)&lt;&gt;0),"✗ 这类是收款，金额填到收入列",IF(AND(IFERROR(INDEX(基础资料!$AD$5:$AD$34,MATCH(O69,基础资料!$AC$5:$AC$34,0)),"")="支",N(F69)&lt;&gt;0),"✗ 这类是付款，金额填到支出列",IF(N(H69)&lt;0,"⚠ 账户余额成负数了，核对一下","√"))))))))))))))))))</f>
        <v>√</v>
      </c>
      <c r="O69" s="78" t="str">
        <f>IF(D69&lt;&gt;"",D69,IF(AND(F69="",G69=""),"",IF(J69&lt;&gt;"",IF(N(F69)&gt;0,"客户回款","客户退款"),IF(K69&lt;&gt;"",IF(N(G69)&gt;0,"供应商付款","供应商退款"),IF(L69&lt;&gt;"","费用支出","")))))</f>
        <v>客户回款</v>
      </c>
      <c r="P69" s="78" t="str">
        <f>IF(O69="","",IFERROR(INDEX(基础资料!$AE$5:$AE$34,MATCH(O69,基础资料!$AC$5:$AC$34,0)),"未知"))</f>
        <v>应收</v>
      </c>
      <c r="Q69" s="78">
        <f>IF(P69="应收",COUNTIF(P$7:P69,"应收"),"")</f>
        <v>63</v>
      </c>
      <c r="R69" s="78">
        <f>IF(P69="应付",COUNTIF(P$7:P69,"应付"),"")</f>
      </c>
      <c r="S69" s="78">
        <f>N(F69)-N(G69)</f>
        <v>27220</v>
      </c>
    </row>
    <row r="70">
      <c r="A70" s="109">
        <f>IF(AND(F70="",G70=""),"",ROW()-6)</f>
        <v>64</v>
      </c>
      <c r="B70" s="140" t="n">
        <v>46219</v>
      </c>
      <c r="C70" s="141" t="inlineStr">
        <is>
          <t>收款码</t>
        </is>
      </c>
      <c r="D70" s="141" t="inlineStr">
        <is>
          <t>客户回款</t>
        </is>
      </c>
      <c r="E70" s="142" t="inlineStr">
        <is>
          <t>收货款</t>
        </is>
      </c>
      <c r="F70" s="143" t="n">
        <v>9000</v>
      </c>
      <c r="G70" s="144" t="n"/>
      <c r="H70" s="145">
        <f>IF(OR(C70="",AND(F70="",G70="")),"",SUMIF(基础资料!$W$5:$W$24,C70,基础资料!$X$5:$X$24)+SUMIF(C$7:C70,C70,F$7:F70)-SUMIF(C$7:C70,C70,G$7:G70))</f>
        <v>3120247.69</v>
      </c>
      <c r="I70" s="145">
        <f>IF(AND(F70="",G70=""),"",SUM(基础资料!$X$5:$X$24)+SUM(F$7:F70)-SUM(G$7:G70))</f>
        <v>3131597.69</v>
      </c>
      <c r="J70" s="141" t="inlineStr">
        <is>
          <t>阿东副食</t>
        </is>
      </c>
      <c r="K70" s="141" t="n"/>
      <c r="L70" s="141" t="n"/>
      <c r="M70" s="142" t="n"/>
      <c r="N70" s="146" t="str">
        <f>IF(AND(AND(F70="",G70=""),B70="",C70="",D70="",J70="",K70="",L70=""),"",IF(AND(F70="",G70=""),"✗ 没填金额",IF(AND(N(F70)&lt;&gt;0,N(G70)&lt;&gt;0),"✗ 收入、支出只能填一边",IF(NOT(ISNUMBER(B70)),"✗ 日期不是真日期（要像 2026/9/25 这样填）",IF(OR(B70&lt;年初日,B70&gt;年末日),"✗ 日期不在本会计年度",IF(C70="","✗ 没选账户",IF(COUNTIF(基础资料!$W$5:$W$24,C70)=0,"✗ 账户不在基础资料里",IF(O70="","✗ 没选收支项目",IF(P70="未知","✗ 收支项目不在基础资料里",IF(AND(P70="应收",J70=""),"✗ 这笔要选客户",IF(AND(P70="应收",COUNTIF(总览汇总!$B$5:$B$304,J70)=0),"✗ 客户不在总览汇总名单里",IF(AND(P70="应付",K70=""),"✗ 这笔要选供应商",IF(AND(P70="应付",COUNTIF(基础资料!$Q$5:$Q$54,K70)=0),"✗ 供应商不在基础资料里",IF(AND(P70="费用",L70=""),"✗ 费用支出要选费用项目",IF(AND(L70&lt;&gt;"",COUNTIF(基础资料!$AI$5:$AI$54,L70)=0),"✗ 费用项目不在基础资料里",IF(AND(IFERROR(INDEX(基础资料!$AD$5:$AD$34,MATCH(O70,基础资料!$AC$5:$AC$34,0)),"")="收",N(G70)&lt;&gt;0),"✗ 这类是收款，金额填到收入列",IF(AND(IFERROR(INDEX(基础资料!$AD$5:$AD$34,MATCH(O70,基础资料!$AC$5:$AC$34,0)),"")="支",N(F70)&lt;&gt;0),"✗ 这类是付款，金额填到支出列",IF(N(H70)&lt;0,"⚠ 账户余额成负数了，核对一下","√"))))))))))))))))))</f>
        <v>√</v>
      </c>
      <c r="O70" s="78" t="str">
        <f>IF(D70&lt;&gt;"",D70,IF(AND(F70="",G70=""),"",IF(J70&lt;&gt;"",IF(N(F70)&gt;0,"客户回款","客户退款"),IF(K70&lt;&gt;"",IF(N(G70)&gt;0,"供应商付款","供应商退款"),IF(L70&lt;&gt;"","费用支出","")))))</f>
        <v>客户回款</v>
      </c>
      <c r="P70" s="78" t="str">
        <f>IF(O70="","",IFERROR(INDEX(基础资料!$AE$5:$AE$34,MATCH(O70,基础资料!$AC$5:$AC$34,0)),"未知"))</f>
        <v>应收</v>
      </c>
      <c r="Q70" s="78">
        <f>IF(P70="应收",COUNTIF(P$7:P70,"应收"),"")</f>
        <v>64</v>
      </c>
      <c r="R70" s="78">
        <f>IF(P70="应付",COUNTIF(P$7:P70,"应付"),"")</f>
      </c>
      <c r="S70" s="78">
        <f>N(F70)-N(G70)</f>
        <v>9000</v>
      </c>
    </row>
    <row r="71">
      <c r="A71" s="109">
        <f>IF(AND(F71="",G71=""),"",ROW()-6)</f>
        <v>65</v>
      </c>
      <c r="B71" s="140" t="n">
        <v>46219</v>
      </c>
      <c r="C71" s="141" t="inlineStr">
        <is>
          <t>收款码</t>
        </is>
      </c>
      <c r="D71" s="141" t="inlineStr">
        <is>
          <t>客户回款</t>
        </is>
      </c>
      <c r="E71" s="142" t="inlineStr">
        <is>
          <t>收货款</t>
        </is>
      </c>
      <c r="F71" s="143" t="n">
        <v>3000</v>
      </c>
      <c r="G71" s="144" t="n"/>
      <c r="H71" s="145">
        <f>IF(OR(C71="",AND(F71="",G71="")),"",SUMIF(基础资料!$W$5:$W$24,C71,基础资料!$X$5:$X$24)+SUMIF(C$7:C71,C71,F$7:F71)-SUMIF(C$7:C71,C71,G$7:G71))</f>
        <v>3123247.69</v>
      </c>
      <c r="I71" s="145">
        <f>IF(AND(F71="",G71=""),"",SUM(基础资料!$X$5:$X$24)+SUM(F$7:F71)-SUM(G$7:G71))</f>
        <v>3134597.69</v>
      </c>
      <c r="J71" s="141" t="inlineStr">
        <is>
          <t>隆坪美林副食</t>
        </is>
      </c>
      <c r="K71" s="141" t="n"/>
      <c r="L71" s="141" t="n"/>
      <c r="M71" s="142" t="n"/>
      <c r="N71" s="146" t="str">
        <f>IF(AND(AND(F71="",G71=""),B71="",C71="",D71="",J71="",K71="",L71=""),"",IF(AND(F71="",G71=""),"✗ 没填金额",IF(AND(N(F71)&lt;&gt;0,N(G71)&lt;&gt;0),"✗ 收入、支出只能填一边",IF(NOT(ISNUMBER(B71)),"✗ 日期不是真日期（要像 2026/9/25 这样填）",IF(OR(B71&lt;年初日,B71&gt;年末日),"✗ 日期不在本会计年度",IF(C71="","✗ 没选账户",IF(COUNTIF(基础资料!$W$5:$W$24,C71)=0,"✗ 账户不在基础资料里",IF(O71="","✗ 没选收支项目",IF(P71="未知","✗ 收支项目不在基础资料里",IF(AND(P71="应收",J71=""),"✗ 这笔要选客户",IF(AND(P71="应收",COUNTIF(总览汇总!$B$5:$B$304,J71)=0),"✗ 客户不在总览汇总名单里",IF(AND(P71="应付",K71=""),"✗ 这笔要选供应商",IF(AND(P71="应付",COUNTIF(基础资料!$Q$5:$Q$54,K71)=0),"✗ 供应商不在基础资料里",IF(AND(P71="费用",L71=""),"✗ 费用支出要选费用项目",IF(AND(L71&lt;&gt;"",COUNTIF(基础资料!$AI$5:$AI$54,L71)=0),"✗ 费用项目不在基础资料里",IF(AND(IFERROR(INDEX(基础资料!$AD$5:$AD$34,MATCH(O71,基础资料!$AC$5:$AC$34,0)),"")="收",N(G71)&lt;&gt;0),"✗ 这类是收款，金额填到收入列",IF(AND(IFERROR(INDEX(基础资料!$AD$5:$AD$34,MATCH(O71,基础资料!$AC$5:$AC$34,0)),"")="支",N(F71)&lt;&gt;0),"✗ 这类是付款，金额填到支出列",IF(N(H71)&lt;0,"⚠ 账户余额成负数了，核对一下","√"))))))))))))))))))</f>
        <v>√</v>
      </c>
      <c r="O71" s="78" t="str">
        <f>IF(D71&lt;&gt;"",D71,IF(AND(F71="",G71=""),"",IF(J71&lt;&gt;"",IF(N(F71)&gt;0,"客户回款","客户退款"),IF(K71&lt;&gt;"",IF(N(G71)&gt;0,"供应商付款","供应商退款"),IF(L71&lt;&gt;"","费用支出","")))))</f>
        <v>客户回款</v>
      </c>
      <c r="P71" s="78" t="str">
        <f>IF(O71="","",IFERROR(INDEX(基础资料!$AE$5:$AE$34,MATCH(O71,基础资料!$AC$5:$AC$34,0)),"未知"))</f>
        <v>应收</v>
      </c>
      <c r="Q71" s="78">
        <f>IF(P71="应收",COUNTIF(P$7:P71,"应收"),"")</f>
        <v>65</v>
      </c>
      <c r="R71" s="78">
        <f>IF(P71="应付",COUNTIF(P$7:P71,"应付"),"")</f>
      </c>
      <c r="S71" s="78">
        <f>N(F71)-N(G71)</f>
        <v>3000</v>
      </c>
    </row>
    <row r="72">
      <c r="A72" s="109">
        <f>IF(AND(F72="",G72=""),"",ROW()-6)</f>
        <v>66</v>
      </c>
      <c r="B72" s="140" t="n">
        <v>46219</v>
      </c>
      <c r="C72" s="141" t="inlineStr">
        <is>
          <t>收款码</t>
        </is>
      </c>
      <c r="D72" s="141" t="inlineStr">
        <is>
          <t>客户回款</t>
        </is>
      </c>
      <c r="E72" s="142" t="inlineStr">
        <is>
          <t>收货款</t>
        </is>
      </c>
      <c r="F72" s="143" t="n">
        <v>48000</v>
      </c>
      <c r="G72" s="144" t="n"/>
      <c r="H72" s="145">
        <f>IF(OR(C72="",AND(F72="",G72="")),"",SUMIF(基础资料!$W$5:$W$24,C72,基础资料!$X$5:$X$24)+SUMIF(C$7:C72,C72,F$7:F72)-SUMIF(C$7:C72,C72,G$7:G72))</f>
        <v>3171247.69</v>
      </c>
      <c r="I72" s="145">
        <f>IF(AND(F72="",G72=""),"",SUM(基础资料!$X$5:$X$24)+SUM(F$7:F72)-SUM(G$7:G72))</f>
        <v>3182597.69</v>
      </c>
      <c r="J72" s="141" t="inlineStr">
        <is>
          <t>金凤副食</t>
        </is>
      </c>
      <c r="K72" s="141" t="n"/>
      <c r="L72" s="141" t="n"/>
      <c r="M72" s="142" t="n"/>
      <c r="N72" s="146" t="str">
        <f>IF(AND(AND(F72="",G72=""),B72="",C72="",D72="",J72="",K72="",L72=""),"",IF(AND(F72="",G72=""),"✗ 没填金额",IF(AND(N(F72)&lt;&gt;0,N(G72)&lt;&gt;0),"✗ 收入、支出只能填一边",IF(NOT(ISNUMBER(B72)),"✗ 日期不是真日期（要像 2026/9/25 这样填）",IF(OR(B72&lt;年初日,B72&gt;年末日),"✗ 日期不在本会计年度",IF(C72="","✗ 没选账户",IF(COUNTIF(基础资料!$W$5:$W$24,C72)=0,"✗ 账户不在基础资料里",IF(O72="","✗ 没选收支项目",IF(P72="未知","✗ 收支项目不在基础资料里",IF(AND(P72="应收",J72=""),"✗ 这笔要选客户",IF(AND(P72="应收",COUNTIF(总览汇总!$B$5:$B$304,J72)=0),"✗ 客户不在总览汇总名单里",IF(AND(P72="应付",K72=""),"✗ 这笔要选供应商",IF(AND(P72="应付",COUNTIF(基础资料!$Q$5:$Q$54,K72)=0),"✗ 供应商不在基础资料里",IF(AND(P72="费用",L72=""),"✗ 费用支出要选费用项目",IF(AND(L72&lt;&gt;"",COUNTIF(基础资料!$AI$5:$AI$54,L72)=0),"✗ 费用项目不在基础资料里",IF(AND(IFERROR(INDEX(基础资料!$AD$5:$AD$34,MATCH(O72,基础资料!$AC$5:$AC$34,0)),"")="收",N(G72)&lt;&gt;0),"✗ 这类是收款，金额填到收入列",IF(AND(IFERROR(INDEX(基础资料!$AD$5:$AD$34,MATCH(O72,基础资料!$AC$5:$AC$34,0)),"")="支",N(F72)&lt;&gt;0),"✗ 这类是付款，金额填到支出列",IF(N(H72)&lt;0,"⚠ 账户余额成负数了，核对一下","√"))))))))))))))))))</f>
        <v>√</v>
      </c>
      <c r="O72" s="78" t="str">
        <f>IF(D72&lt;&gt;"",D72,IF(AND(F72="",G72=""),"",IF(J72&lt;&gt;"",IF(N(F72)&gt;0,"客户回款","客户退款"),IF(K72&lt;&gt;"",IF(N(G72)&gt;0,"供应商付款","供应商退款"),IF(L72&lt;&gt;"","费用支出","")))))</f>
        <v>客户回款</v>
      </c>
      <c r="P72" s="78" t="str">
        <f>IF(O72="","",IFERROR(INDEX(基础资料!$AE$5:$AE$34,MATCH(O72,基础资料!$AC$5:$AC$34,0)),"未知"))</f>
        <v>应收</v>
      </c>
      <c r="Q72" s="78">
        <f>IF(P72="应收",COUNTIF(P$7:P72,"应收"),"")</f>
        <v>66</v>
      </c>
      <c r="R72" s="78">
        <f>IF(P72="应付",COUNTIF(P$7:P72,"应付"),"")</f>
      </c>
      <c r="S72" s="78">
        <f>N(F72)-N(G72)</f>
        <v>48000</v>
      </c>
    </row>
    <row r="73">
      <c r="A73" s="109">
        <f>IF(AND(F73="",G73=""),"",ROW()-6)</f>
        <v>67</v>
      </c>
      <c r="B73" s="140" t="n">
        <v>46220</v>
      </c>
      <c r="C73" s="141" t="inlineStr">
        <is>
          <t>收款码</t>
        </is>
      </c>
      <c r="D73" s="141" t="inlineStr">
        <is>
          <t>客户回款</t>
        </is>
      </c>
      <c r="E73" s="142" t="inlineStr">
        <is>
          <t>收货款</t>
        </is>
      </c>
      <c r="F73" s="143" t="n">
        <v>9000</v>
      </c>
      <c r="G73" s="144" t="n"/>
      <c r="H73" s="145">
        <f>IF(OR(C73="",AND(F73="",G73="")),"",SUMIF(基础资料!$W$5:$W$24,C73,基础资料!$X$5:$X$24)+SUMIF(C$7:C73,C73,F$7:F73)-SUMIF(C$7:C73,C73,G$7:G73))</f>
        <v>3180247.69</v>
      </c>
      <c r="I73" s="145">
        <f>IF(AND(F73="",G73=""),"",SUM(基础资料!$X$5:$X$24)+SUM(F$7:F73)-SUM(G$7:G73))</f>
        <v>3191597.69</v>
      </c>
      <c r="J73" s="141" t="inlineStr">
        <is>
          <t>桐心源</t>
        </is>
      </c>
      <c r="K73" s="141" t="n"/>
      <c r="L73" s="141" t="n"/>
      <c r="M73" s="142" t="n"/>
      <c r="N73" s="146" t="str">
        <f>IF(AND(AND(F73="",G73=""),B73="",C73="",D73="",J73="",K73="",L73=""),"",IF(AND(F73="",G73=""),"✗ 没填金额",IF(AND(N(F73)&lt;&gt;0,N(G73)&lt;&gt;0),"✗ 收入、支出只能填一边",IF(NOT(ISNUMBER(B73)),"✗ 日期不是真日期（要像 2026/9/25 这样填）",IF(OR(B73&lt;年初日,B73&gt;年末日),"✗ 日期不在本会计年度",IF(C73="","✗ 没选账户",IF(COUNTIF(基础资料!$W$5:$W$24,C73)=0,"✗ 账户不在基础资料里",IF(O73="","✗ 没选收支项目",IF(P73="未知","✗ 收支项目不在基础资料里",IF(AND(P73="应收",J73=""),"✗ 这笔要选客户",IF(AND(P73="应收",COUNTIF(总览汇总!$B$5:$B$304,J73)=0),"✗ 客户不在总览汇总名单里",IF(AND(P73="应付",K73=""),"✗ 这笔要选供应商",IF(AND(P73="应付",COUNTIF(基础资料!$Q$5:$Q$54,K73)=0),"✗ 供应商不在基础资料里",IF(AND(P73="费用",L73=""),"✗ 费用支出要选费用项目",IF(AND(L73&lt;&gt;"",COUNTIF(基础资料!$AI$5:$AI$54,L73)=0),"✗ 费用项目不在基础资料里",IF(AND(IFERROR(INDEX(基础资料!$AD$5:$AD$34,MATCH(O73,基础资料!$AC$5:$AC$34,0)),"")="收",N(G73)&lt;&gt;0),"✗ 这类是收款，金额填到收入列",IF(AND(IFERROR(INDEX(基础资料!$AD$5:$AD$34,MATCH(O73,基础资料!$AC$5:$AC$34,0)),"")="支",N(F73)&lt;&gt;0),"✗ 这类是付款，金额填到支出列",IF(N(H73)&lt;0,"⚠ 账户余额成负数了，核对一下","√"))))))))))))))))))</f>
        <v>√</v>
      </c>
      <c r="O73" s="78" t="str">
        <f>IF(D73&lt;&gt;"",D73,IF(AND(F73="",G73=""),"",IF(J73&lt;&gt;"",IF(N(F73)&gt;0,"客户回款","客户退款"),IF(K73&lt;&gt;"",IF(N(G73)&gt;0,"供应商付款","供应商退款"),IF(L73&lt;&gt;"","费用支出","")))))</f>
        <v>客户回款</v>
      </c>
      <c r="P73" s="78" t="str">
        <f>IF(O73="","",IFERROR(INDEX(基础资料!$AE$5:$AE$34,MATCH(O73,基础资料!$AC$5:$AC$34,0)),"未知"))</f>
        <v>应收</v>
      </c>
      <c r="Q73" s="78">
        <f>IF(P73="应收",COUNTIF(P$7:P73,"应收"),"")</f>
        <v>67</v>
      </c>
      <c r="R73" s="78">
        <f>IF(P73="应付",COUNTIF(P$7:P73,"应付"),"")</f>
      </c>
      <c r="S73" s="78">
        <f>N(F73)-N(G73)</f>
        <v>9000</v>
      </c>
    </row>
    <row r="74">
      <c r="A74" s="109">
        <f>IF(AND(F74="",G74=""),"",ROW()-6)</f>
        <v>68</v>
      </c>
      <c r="B74" s="140" t="n">
        <v>46220</v>
      </c>
      <c r="C74" s="141" t="inlineStr">
        <is>
          <t>收款码</t>
        </is>
      </c>
      <c r="D74" s="141" t="inlineStr">
        <is>
          <t>客户回款</t>
        </is>
      </c>
      <c r="E74" s="142" t="inlineStr">
        <is>
          <t>收货款</t>
        </is>
      </c>
      <c r="F74" s="143" t="n">
        <v>9000</v>
      </c>
      <c r="G74" s="144" t="n"/>
      <c r="H74" s="145">
        <f>IF(OR(C74="",AND(F74="",G74="")),"",SUMIF(基础资料!$W$5:$W$24,C74,基础资料!$X$5:$X$24)+SUMIF(C$7:C74,C74,F$7:F74)-SUMIF(C$7:C74,C74,G$7:G74))</f>
        <v>3189247.69</v>
      </c>
      <c r="I74" s="145">
        <f>IF(AND(F74="",G74=""),"",SUM(基础资料!$X$5:$X$24)+SUM(F$7:F74)-SUM(G$7:G74))</f>
        <v>3200597.69</v>
      </c>
      <c r="J74" s="141" t="inlineStr">
        <is>
          <t>高兴美宜佳</t>
        </is>
      </c>
      <c r="K74" s="141" t="n"/>
      <c r="L74" s="141" t="n"/>
      <c r="M74" s="142" t="n"/>
      <c r="N74" s="146" t="str">
        <f>IF(AND(AND(F74="",G74=""),B74="",C74="",D74="",J74="",K74="",L74=""),"",IF(AND(F74="",G74=""),"✗ 没填金额",IF(AND(N(F74)&lt;&gt;0,N(G74)&lt;&gt;0),"✗ 收入、支出只能填一边",IF(NOT(ISNUMBER(B74)),"✗ 日期不是真日期（要像 2026/9/25 这样填）",IF(OR(B74&lt;年初日,B74&gt;年末日),"✗ 日期不在本会计年度",IF(C74="","✗ 没选账户",IF(COUNTIF(基础资料!$W$5:$W$24,C74)=0,"✗ 账户不在基础资料里",IF(O74="","✗ 没选收支项目",IF(P74="未知","✗ 收支项目不在基础资料里",IF(AND(P74="应收",J74=""),"✗ 这笔要选客户",IF(AND(P74="应收",COUNTIF(总览汇总!$B$5:$B$304,J74)=0),"✗ 客户不在总览汇总名单里",IF(AND(P74="应付",K74=""),"✗ 这笔要选供应商",IF(AND(P74="应付",COUNTIF(基础资料!$Q$5:$Q$54,K74)=0),"✗ 供应商不在基础资料里",IF(AND(P74="费用",L74=""),"✗ 费用支出要选费用项目",IF(AND(L74&lt;&gt;"",COUNTIF(基础资料!$AI$5:$AI$54,L74)=0),"✗ 费用项目不在基础资料里",IF(AND(IFERROR(INDEX(基础资料!$AD$5:$AD$34,MATCH(O74,基础资料!$AC$5:$AC$34,0)),"")="收",N(G74)&lt;&gt;0),"✗ 这类是收款，金额填到收入列",IF(AND(IFERROR(INDEX(基础资料!$AD$5:$AD$34,MATCH(O74,基础资料!$AC$5:$AC$34,0)),"")="支",N(F74)&lt;&gt;0),"✗ 这类是付款，金额填到支出列",IF(N(H74)&lt;0,"⚠ 账户余额成负数了，核对一下","√"))))))))))))))))))</f>
        <v>√</v>
      </c>
      <c r="O74" s="78" t="str">
        <f>IF(D74&lt;&gt;"",D74,IF(AND(F74="",G74=""),"",IF(J74&lt;&gt;"",IF(N(F74)&gt;0,"客户回款","客户退款"),IF(K74&lt;&gt;"",IF(N(G74)&gt;0,"供应商付款","供应商退款"),IF(L74&lt;&gt;"","费用支出","")))))</f>
        <v>客户回款</v>
      </c>
      <c r="P74" s="78" t="str">
        <f>IF(O74="","",IFERROR(INDEX(基础资料!$AE$5:$AE$34,MATCH(O74,基础资料!$AC$5:$AC$34,0)),"未知"))</f>
        <v>应收</v>
      </c>
      <c r="Q74" s="78">
        <f>IF(P74="应收",COUNTIF(P$7:P74,"应收"),"")</f>
        <v>68</v>
      </c>
      <c r="R74" s="78">
        <f>IF(P74="应付",COUNTIF(P$7:P74,"应付"),"")</f>
      </c>
      <c r="S74" s="78">
        <f>N(F74)-N(G74)</f>
        <v>9000</v>
      </c>
    </row>
    <row r="75">
      <c r="A75" s="109">
        <f>IF(AND(F75="",G75=""),"",ROW()-6)</f>
        <v>69</v>
      </c>
      <c r="B75" s="140" t="n">
        <v>46220</v>
      </c>
      <c r="C75" s="141" t="inlineStr">
        <is>
          <t>收款码</t>
        </is>
      </c>
      <c r="D75" s="141" t="inlineStr">
        <is>
          <t>客户回款</t>
        </is>
      </c>
      <c r="E75" s="142" t="inlineStr">
        <is>
          <t>收货款</t>
        </is>
      </c>
      <c r="F75" s="143" t="n">
        <v>3200</v>
      </c>
      <c r="G75" s="144" t="n"/>
      <c r="H75" s="145">
        <f>IF(OR(C75="",AND(F75="",G75="")),"",SUMIF(基础资料!$W$5:$W$24,C75,基础资料!$X$5:$X$24)+SUMIF(C$7:C75,C75,F$7:F75)-SUMIF(C$7:C75,C75,G$7:G75))</f>
        <v>3192447.69</v>
      </c>
      <c r="I75" s="145">
        <f>IF(AND(F75="",G75=""),"",SUM(基础资料!$X$5:$X$24)+SUM(F$7:F75)-SUM(G$7:G75))</f>
        <v>3203797.69</v>
      </c>
      <c r="J75" s="141" t="inlineStr">
        <is>
          <t>滨江路小红花便利店</t>
        </is>
      </c>
      <c r="K75" s="141" t="n"/>
      <c r="L75" s="141" t="n"/>
      <c r="M75" s="142" t="n"/>
      <c r="N75" s="146" t="str">
        <f>IF(AND(AND(F75="",G75=""),B75="",C75="",D75="",J75="",K75="",L75=""),"",IF(AND(F75="",G75=""),"✗ 没填金额",IF(AND(N(F75)&lt;&gt;0,N(G75)&lt;&gt;0),"✗ 收入、支出只能填一边",IF(NOT(ISNUMBER(B75)),"✗ 日期不是真日期（要像 2026/9/25 这样填）",IF(OR(B75&lt;年初日,B75&gt;年末日),"✗ 日期不在本会计年度",IF(C75="","✗ 没选账户",IF(COUNTIF(基础资料!$W$5:$W$24,C75)=0,"✗ 账户不在基础资料里",IF(O75="","✗ 没选收支项目",IF(P75="未知","✗ 收支项目不在基础资料里",IF(AND(P75="应收",J75=""),"✗ 这笔要选客户",IF(AND(P75="应收",COUNTIF(总览汇总!$B$5:$B$304,J75)=0),"✗ 客户不在总览汇总名单里",IF(AND(P75="应付",K75=""),"✗ 这笔要选供应商",IF(AND(P75="应付",COUNTIF(基础资料!$Q$5:$Q$54,K75)=0),"✗ 供应商不在基础资料里",IF(AND(P75="费用",L75=""),"✗ 费用支出要选费用项目",IF(AND(L75&lt;&gt;"",COUNTIF(基础资料!$AI$5:$AI$54,L75)=0),"✗ 费用项目不在基础资料里",IF(AND(IFERROR(INDEX(基础资料!$AD$5:$AD$34,MATCH(O75,基础资料!$AC$5:$AC$34,0)),"")="收",N(G75)&lt;&gt;0),"✗ 这类是收款，金额填到收入列",IF(AND(IFERROR(INDEX(基础资料!$AD$5:$AD$34,MATCH(O75,基础资料!$AC$5:$AC$34,0)),"")="支",N(F75)&lt;&gt;0),"✗ 这类是付款，金额填到支出列",IF(N(H75)&lt;0,"⚠ 账户余额成负数了，核对一下","√"))))))))))))))))))</f>
        <v>√</v>
      </c>
      <c r="O75" s="78" t="str">
        <f>IF(D75&lt;&gt;"",D75,IF(AND(F75="",G75=""),"",IF(J75&lt;&gt;"",IF(N(F75)&gt;0,"客户回款","客户退款"),IF(K75&lt;&gt;"",IF(N(G75)&gt;0,"供应商付款","供应商退款"),IF(L75&lt;&gt;"","费用支出","")))))</f>
        <v>客户回款</v>
      </c>
      <c r="P75" s="78" t="str">
        <f>IF(O75="","",IFERROR(INDEX(基础资料!$AE$5:$AE$34,MATCH(O75,基础资料!$AC$5:$AC$34,0)),"未知"))</f>
        <v>应收</v>
      </c>
      <c r="Q75" s="78">
        <f>IF(P75="应收",COUNTIF(P$7:P75,"应收"),"")</f>
        <v>69</v>
      </c>
      <c r="R75" s="78">
        <f>IF(P75="应付",COUNTIF(P$7:P75,"应付"),"")</f>
      </c>
      <c r="S75" s="78">
        <f>N(F75)-N(G75)</f>
        <v>3200</v>
      </c>
    </row>
    <row r="76">
      <c r="A76" s="109">
        <f>IF(AND(F76="",G76=""),"",ROW()-6)</f>
        <v>70</v>
      </c>
      <c r="B76" s="140" t="n">
        <v>46221</v>
      </c>
      <c r="C76" s="141" t="inlineStr">
        <is>
          <t>收款码</t>
        </is>
      </c>
      <c r="D76" s="141" t="inlineStr">
        <is>
          <t>客户回款</t>
        </is>
      </c>
      <c r="E76" s="142" t="inlineStr">
        <is>
          <t>收货款</t>
        </is>
      </c>
      <c r="F76" s="143" t="n">
        <v>2526.5</v>
      </c>
      <c r="G76" s="144" t="n"/>
      <c r="H76" s="145">
        <f>IF(OR(C76="",AND(F76="",G76="")),"",SUMIF(基础资料!$W$5:$W$24,C76,基础资料!$X$5:$X$24)+SUMIF(C$7:C76,C76,F$7:F76)-SUMIF(C$7:C76,C76,G$7:G76))</f>
        <v>3194974.19</v>
      </c>
      <c r="I76" s="145">
        <f>IF(AND(F76="",G76=""),"",SUM(基础资料!$X$5:$X$24)+SUM(F$7:F76)-SUM(G$7:G76))</f>
        <v>3206324.19</v>
      </c>
      <c r="J76" s="141" t="inlineStr">
        <is>
          <t>标哥副食</t>
        </is>
      </c>
      <c r="K76" s="141" t="n"/>
      <c r="L76" s="141" t="n"/>
      <c r="M76" s="142" t="n"/>
      <c r="N76" s="146" t="str">
        <f>IF(AND(AND(F76="",G76=""),B76="",C76="",D76="",J76="",K76="",L76=""),"",IF(AND(F76="",G76=""),"✗ 没填金额",IF(AND(N(F76)&lt;&gt;0,N(G76)&lt;&gt;0),"✗ 收入、支出只能填一边",IF(NOT(ISNUMBER(B76)),"✗ 日期不是真日期（要像 2026/9/25 这样填）",IF(OR(B76&lt;年初日,B76&gt;年末日),"✗ 日期不在本会计年度",IF(C76="","✗ 没选账户",IF(COUNTIF(基础资料!$W$5:$W$24,C76)=0,"✗ 账户不在基础资料里",IF(O76="","✗ 没选收支项目",IF(P76="未知","✗ 收支项目不在基础资料里",IF(AND(P76="应收",J76=""),"✗ 这笔要选客户",IF(AND(P76="应收",COUNTIF(总览汇总!$B$5:$B$304,J76)=0),"✗ 客户不在总览汇总名单里",IF(AND(P76="应付",K76=""),"✗ 这笔要选供应商",IF(AND(P76="应付",COUNTIF(基础资料!$Q$5:$Q$54,K76)=0),"✗ 供应商不在基础资料里",IF(AND(P76="费用",L76=""),"✗ 费用支出要选费用项目",IF(AND(L76&lt;&gt;"",COUNTIF(基础资料!$AI$5:$AI$54,L76)=0),"✗ 费用项目不在基础资料里",IF(AND(IFERROR(INDEX(基础资料!$AD$5:$AD$34,MATCH(O76,基础资料!$AC$5:$AC$34,0)),"")="收",N(G76)&lt;&gt;0),"✗ 这类是收款，金额填到收入列",IF(AND(IFERROR(INDEX(基础资料!$AD$5:$AD$34,MATCH(O76,基础资料!$AC$5:$AC$34,0)),"")="支",N(F76)&lt;&gt;0),"✗ 这类是付款，金额填到支出列",IF(N(H76)&lt;0,"⚠ 账户余额成负数了，核对一下","√"))))))))))))))))))</f>
        <v>√</v>
      </c>
      <c r="O76" s="78" t="str">
        <f>IF(D76&lt;&gt;"",D76,IF(AND(F76="",G76=""),"",IF(J76&lt;&gt;"",IF(N(F76)&gt;0,"客户回款","客户退款"),IF(K76&lt;&gt;"",IF(N(G76)&gt;0,"供应商付款","供应商退款"),IF(L76&lt;&gt;"","费用支出","")))))</f>
        <v>客户回款</v>
      </c>
      <c r="P76" s="78" t="str">
        <f>IF(O76="","",IFERROR(INDEX(基础资料!$AE$5:$AE$34,MATCH(O76,基础资料!$AC$5:$AC$34,0)),"未知"))</f>
        <v>应收</v>
      </c>
      <c r="Q76" s="78">
        <f>IF(P76="应收",COUNTIF(P$7:P76,"应收"),"")</f>
        <v>70</v>
      </c>
      <c r="R76" s="78">
        <f>IF(P76="应付",COUNTIF(P$7:P76,"应付"),"")</f>
      </c>
      <c r="S76" s="78">
        <f>N(F76)-N(G76)</f>
        <v>2526.5</v>
      </c>
    </row>
    <row r="77">
      <c r="A77" s="109">
        <f>IF(AND(F77="",G77=""),"",ROW()-6)</f>
        <v>71</v>
      </c>
      <c r="B77" s="140" t="n">
        <v>46221</v>
      </c>
      <c r="C77" s="141" t="inlineStr">
        <is>
          <t>收款码</t>
        </is>
      </c>
      <c r="D77" s="141" t="inlineStr">
        <is>
          <t>客户回款</t>
        </is>
      </c>
      <c r="E77" s="142" t="inlineStr">
        <is>
          <t>收货款</t>
        </is>
      </c>
      <c r="F77" s="143" t="n">
        <v>50000</v>
      </c>
      <c r="G77" s="144" t="n"/>
      <c r="H77" s="145">
        <f>IF(OR(C77="",AND(F77="",G77="")),"",SUMIF(基础资料!$W$5:$W$24,C77,基础资料!$X$5:$X$24)+SUMIF(C$7:C77,C77,F$7:F77)-SUMIF(C$7:C77,C77,G$7:G77))</f>
        <v>3244974.19</v>
      </c>
      <c r="I77" s="145">
        <f>IF(AND(F77="",G77=""),"",SUM(基础资料!$X$5:$X$24)+SUM(F$7:F77)-SUM(G$7:G77))</f>
        <v>3256324.19</v>
      </c>
      <c r="J77" s="141" t="inlineStr">
        <is>
          <t>星海超市</t>
        </is>
      </c>
      <c r="K77" s="141" t="n"/>
      <c r="L77" s="141" t="n"/>
      <c r="M77" s="142" t="n"/>
      <c r="N77" s="146" t="str">
        <f>IF(AND(AND(F77="",G77=""),B77="",C77="",D77="",J77="",K77="",L77=""),"",IF(AND(F77="",G77=""),"✗ 没填金额",IF(AND(N(F77)&lt;&gt;0,N(G77)&lt;&gt;0),"✗ 收入、支出只能填一边",IF(NOT(ISNUMBER(B77)),"✗ 日期不是真日期（要像 2026/9/25 这样填）",IF(OR(B77&lt;年初日,B77&gt;年末日),"✗ 日期不在本会计年度",IF(C77="","✗ 没选账户",IF(COUNTIF(基础资料!$W$5:$W$24,C77)=0,"✗ 账户不在基础资料里",IF(O77="","✗ 没选收支项目",IF(P77="未知","✗ 收支项目不在基础资料里",IF(AND(P77="应收",J77=""),"✗ 这笔要选客户",IF(AND(P77="应收",COUNTIF(总览汇总!$B$5:$B$304,J77)=0),"✗ 客户不在总览汇总名单里",IF(AND(P77="应付",K77=""),"✗ 这笔要选供应商",IF(AND(P77="应付",COUNTIF(基础资料!$Q$5:$Q$54,K77)=0),"✗ 供应商不在基础资料里",IF(AND(P77="费用",L77=""),"✗ 费用支出要选费用项目",IF(AND(L77&lt;&gt;"",COUNTIF(基础资料!$AI$5:$AI$54,L77)=0),"✗ 费用项目不在基础资料里",IF(AND(IFERROR(INDEX(基础资料!$AD$5:$AD$34,MATCH(O77,基础资料!$AC$5:$AC$34,0)),"")="收",N(G77)&lt;&gt;0),"✗ 这类是收款，金额填到收入列",IF(AND(IFERROR(INDEX(基础资料!$AD$5:$AD$34,MATCH(O77,基础资料!$AC$5:$AC$34,0)),"")="支",N(F77)&lt;&gt;0),"✗ 这类是付款，金额填到支出列",IF(N(H77)&lt;0,"⚠ 账户余额成负数了，核对一下","√"))))))))))))))))))</f>
        <v>√</v>
      </c>
      <c r="O77" s="78" t="str">
        <f>IF(D77&lt;&gt;"",D77,IF(AND(F77="",G77=""),"",IF(J77&lt;&gt;"",IF(N(F77)&gt;0,"客户回款","客户退款"),IF(K77&lt;&gt;"",IF(N(G77)&gt;0,"供应商付款","供应商退款"),IF(L77&lt;&gt;"","费用支出","")))))</f>
        <v>客户回款</v>
      </c>
      <c r="P77" s="78" t="str">
        <f>IF(O77="","",IFERROR(INDEX(基础资料!$AE$5:$AE$34,MATCH(O77,基础资料!$AC$5:$AC$34,0)),"未知"))</f>
        <v>应收</v>
      </c>
      <c r="Q77" s="78">
        <f>IF(P77="应收",COUNTIF(P$7:P77,"应收"),"")</f>
        <v>71</v>
      </c>
      <c r="R77" s="78">
        <f>IF(P77="应付",COUNTIF(P$7:P77,"应付"),"")</f>
      </c>
      <c r="S77" s="78">
        <f>N(F77)-N(G77)</f>
        <v>50000</v>
      </c>
    </row>
    <row r="78">
      <c r="A78" s="109">
        <f>IF(AND(F78="",G78=""),"",ROW()-6)</f>
        <v>72</v>
      </c>
      <c r="B78" s="140" t="n">
        <v>46223</v>
      </c>
      <c r="C78" s="141" t="inlineStr">
        <is>
          <t>收款码</t>
        </is>
      </c>
      <c r="D78" s="141" t="inlineStr">
        <is>
          <t>客户回款</t>
        </is>
      </c>
      <c r="E78" s="142" t="inlineStr">
        <is>
          <t>收货款</t>
        </is>
      </c>
      <c r="F78" s="143" t="n">
        <v>4500</v>
      </c>
      <c r="G78" s="144" t="n"/>
      <c r="H78" s="145">
        <f>IF(OR(C78="",AND(F78="",G78="")),"",SUMIF(基础资料!$W$5:$W$24,C78,基础资料!$X$5:$X$24)+SUMIF(C$7:C78,C78,F$7:F78)-SUMIF(C$7:C78,C78,G$7:G78))</f>
        <v>3249474.19</v>
      </c>
      <c r="I78" s="145">
        <f>IF(AND(F78="",G78=""),"",SUM(基础资料!$X$5:$X$24)+SUM(F$7:F78)-SUM(G$7:G78))</f>
        <v>3260824.19</v>
      </c>
      <c r="J78" s="141" t="inlineStr">
        <is>
          <t>良村小杜批发</t>
        </is>
      </c>
      <c r="K78" s="141" t="n"/>
      <c r="L78" s="141" t="n"/>
      <c r="M78" s="142" t="n"/>
      <c r="N78" s="146" t="str">
        <f>IF(AND(AND(F78="",G78=""),B78="",C78="",D78="",J78="",K78="",L78=""),"",IF(AND(F78="",G78=""),"✗ 没填金额",IF(AND(N(F78)&lt;&gt;0,N(G78)&lt;&gt;0),"✗ 收入、支出只能填一边",IF(NOT(ISNUMBER(B78)),"✗ 日期不是真日期（要像 2026/9/25 这样填）",IF(OR(B78&lt;年初日,B78&gt;年末日),"✗ 日期不在本会计年度",IF(C78="","✗ 没选账户",IF(COUNTIF(基础资料!$W$5:$W$24,C78)=0,"✗ 账户不在基础资料里",IF(O78="","✗ 没选收支项目",IF(P78="未知","✗ 收支项目不在基础资料里",IF(AND(P78="应收",J78=""),"✗ 这笔要选客户",IF(AND(P78="应收",COUNTIF(总览汇总!$B$5:$B$304,J78)=0),"✗ 客户不在总览汇总名单里",IF(AND(P78="应付",K78=""),"✗ 这笔要选供应商",IF(AND(P78="应付",COUNTIF(基础资料!$Q$5:$Q$54,K78)=0),"✗ 供应商不在基础资料里",IF(AND(P78="费用",L78=""),"✗ 费用支出要选费用项目",IF(AND(L78&lt;&gt;"",COUNTIF(基础资料!$AI$5:$AI$54,L78)=0),"✗ 费用项目不在基础资料里",IF(AND(IFERROR(INDEX(基础资料!$AD$5:$AD$34,MATCH(O78,基础资料!$AC$5:$AC$34,0)),"")="收",N(G78)&lt;&gt;0),"✗ 这类是收款，金额填到收入列",IF(AND(IFERROR(INDEX(基础资料!$AD$5:$AD$34,MATCH(O78,基础资料!$AC$5:$AC$34,0)),"")="支",N(F78)&lt;&gt;0),"✗ 这类是付款，金额填到支出列",IF(N(H78)&lt;0,"⚠ 账户余额成负数了，核对一下","√"))))))))))))))))))</f>
        <v>√</v>
      </c>
      <c r="O78" s="78" t="str">
        <f>IF(D78&lt;&gt;"",D78,IF(AND(F78="",G78=""),"",IF(J78&lt;&gt;"",IF(N(F78)&gt;0,"客户回款","客户退款"),IF(K78&lt;&gt;"",IF(N(G78)&gt;0,"供应商付款","供应商退款"),IF(L78&lt;&gt;"","费用支出","")))))</f>
        <v>客户回款</v>
      </c>
      <c r="P78" s="78" t="str">
        <f>IF(O78="","",IFERROR(INDEX(基础资料!$AE$5:$AE$34,MATCH(O78,基础资料!$AC$5:$AC$34,0)),"未知"))</f>
        <v>应收</v>
      </c>
      <c r="Q78" s="78">
        <f>IF(P78="应收",COUNTIF(P$7:P78,"应收"),"")</f>
        <v>72</v>
      </c>
      <c r="R78" s="78">
        <f>IF(P78="应付",COUNTIF(P$7:P78,"应付"),"")</f>
      </c>
      <c r="S78" s="78">
        <f>N(F78)-N(G78)</f>
        <v>4500</v>
      </c>
    </row>
    <row r="79">
      <c r="A79" s="109">
        <f>IF(AND(F79="",G79=""),"",ROW()-6)</f>
        <v>73</v>
      </c>
      <c r="B79" s="140" t="n">
        <v>46224</v>
      </c>
      <c r="C79" s="141" t="inlineStr">
        <is>
          <t>收款码</t>
        </is>
      </c>
      <c r="D79" s="141" t="inlineStr">
        <is>
          <t>客户回款</t>
        </is>
      </c>
      <c r="E79" s="142" t="inlineStr">
        <is>
          <t>收货款</t>
        </is>
      </c>
      <c r="F79" s="143" t="n">
        <v>2697</v>
      </c>
      <c r="G79" s="144" t="n"/>
      <c r="H79" s="145">
        <f>IF(OR(C79="",AND(F79="",G79="")),"",SUMIF(基础资料!$W$5:$W$24,C79,基础资料!$X$5:$X$24)+SUMIF(C$7:C79,C79,F$7:F79)-SUMIF(C$7:C79,C79,G$7:G79))</f>
        <v>3252171.19</v>
      </c>
      <c r="I79" s="145">
        <f>IF(AND(F79="",G79=""),"",SUM(基础资料!$X$5:$X$24)+SUM(F$7:F79)-SUM(G$7:G79))</f>
        <v>3263521.19</v>
      </c>
      <c r="J79" s="141" t="inlineStr">
        <is>
          <t>高兴四季春副食</t>
        </is>
      </c>
      <c r="K79" s="141" t="n"/>
      <c r="L79" s="141" t="n"/>
      <c r="M79" s="142" t="n"/>
      <c r="N79" s="146" t="str">
        <f>IF(AND(AND(F79="",G79=""),B79="",C79="",D79="",J79="",K79="",L79=""),"",IF(AND(F79="",G79=""),"✗ 没填金额",IF(AND(N(F79)&lt;&gt;0,N(G79)&lt;&gt;0),"✗ 收入、支出只能填一边",IF(NOT(ISNUMBER(B79)),"✗ 日期不是真日期（要像 2026/9/25 这样填）",IF(OR(B79&lt;年初日,B79&gt;年末日),"✗ 日期不在本会计年度",IF(C79="","✗ 没选账户",IF(COUNTIF(基础资料!$W$5:$W$24,C79)=0,"✗ 账户不在基础资料里",IF(O79="","✗ 没选收支项目",IF(P79="未知","✗ 收支项目不在基础资料里",IF(AND(P79="应收",J79=""),"✗ 这笔要选客户",IF(AND(P79="应收",COUNTIF(总览汇总!$B$5:$B$304,J79)=0),"✗ 客户不在总览汇总名单里",IF(AND(P79="应付",K79=""),"✗ 这笔要选供应商",IF(AND(P79="应付",COUNTIF(基础资料!$Q$5:$Q$54,K79)=0),"✗ 供应商不在基础资料里",IF(AND(P79="费用",L79=""),"✗ 费用支出要选费用项目",IF(AND(L79&lt;&gt;"",COUNTIF(基础资料!$AI$5:$AI$54,L79)=0),"✗ 费用项目不在基础资料里",IF(AND(IFERROR(INDEX(基础资料!$AD$5:$AD$34,MATCH(O79,基础资料!$AC$5:$AC$34,0)),"")="收",N(G79)&lt;&gt;0),"✗ 这类是收款，金额填到收入列",IF(AND(IFERROR(INDEX(基础资料!$AD$5:$AD$34,MATCH(O79,基础资料!$AC$5:$AC$34,0)),"")="支",N(F79)&lt;&gt;0),"✗ 这类是付款，金额填到支出列",IF(N(H79)&lt;0,"⚠ 账户余额成负数了，核对一下","√"))))))))))))))))))</f>
        <v>√</v>
      </c>
      <c r="O79" s="78" t="str">
        <f>IF(D79&lt;&gt;"",D79,IF(AND(F79="",G79=""),"",IF(J79&lt;&gt;"",IF(N(F79)&gt;0,"客户回款","客户退款"),IF(K79&lt;&gt;"",IF(N(G79)&gt;0,"供应商付款","供应商退款"),IF(L79&lt;&gt;"","费用支出","")))))</f>
        <v>客户回款</v>
      </c>
      <c r="P79" s="78" t="str">
        <f>IF(O79="","",IFERROR(INDEX(基础资料!$AE$5:$AE$34,MATCH(O79,基础资料!$AC$5:$AC$34,0)),"未知"))</f>
        <v>应收</v>
      </c>
      <c r="Q79" s="78">
        <f>IF(P79="应收",COUNTIF(P$7:P79,"应收"),"")</f>
        <v>73</v>
      </c>
      <c r="R79" s="78">
        <f>IF(P79="应付",COUNTIF(P$7:P79,"应付"),"")</f>
      </c>
      <c r="S79" s="78">
        <f>N(F79)-N(G79)</f>
        <v>2697</v>
      </c>
    </row>
    <row r="80">
      <c r="A80" s="109">
        <f>IF(AND(F80="",G80=""),"",ROW()-6)</f>
        <v>74</v>
      </c>
      <c r="B80" s="140" t="n">
        <v>46225</v>
      </c>
      <c r="C80" s="141" t="inlineStr">
        <is>
          <t>收款码</t>
        </is>
      </c>
      <c r="D80" s="141" t="inlineStr">
        <is>
          <t>客户回款</t>
        </is>
      </c>
      <c r="E80" s="142" t="inlineStr">
        <is>
          <t>收货款</t>
        </is>
      </c>
      <c r="F80" s="143" t="n">
        <v>602</v>
      </c>
      <c r="G80" s="144" t="n"/>
      <c r="H80" s="145">
        <f>IF(OR(C80="",AND(F80="",G80="")),"",SUMIF(基础资料!$W$5:$W$24,C80,基础资料!$X$5:$X$24)+SUMIF(C$7:C80,C80,F$7:F80)-SUMIF(C$7:C80,C80,G$7:G80))</f>
        <v>3252773.19</v>
      </c>
      <c r="I80" s="145">
        <f>IF(AND(F80="",G80=""),"",SUM(基础资料!$X$5:$X$24)+SUM(F$7:F80)-SUM(G$7:G80))</f>
        <v>3264123.19</v>
      </c>
      <c r="J80" s="141" t="inlineStr">
        <is>
          <t>友兰商行</t>
        </is>
      </c>
      <c r="K80" s="141" t="n"/>
      <c r="L80" s="141" t="n"/>
      <c r="M80" s="142" t="n"/>
      <c r="N80" s="146" t="str">
        <f>IF(AND(AND(F80="",G80=""),B80="",C80="",D80="",J80="",K80="",L80=""),"",IF(AND(F80="",G80=""),"✗ 没填金额",IF(AND(N(F80)&lt;&gt;0,N(G80)&lt;&gt;0),"✗ 收入、支出只能填一边",IF(NOT(ISNUMBER(B80)),"✗ 日期不是真日期（要像 2026/9/25 这样填）",IF(OR(B80&lt;年初日,B80&gt;年末日),"✗ 日期不在本会计年度",IF(C80="","✗ 没选账户",IF(COUNTIF(基础资料!$W$5:$W$24,C80)=0,"✗ 账户不在基础资料里",IF(O80="","✗ 没选收支项目",IF(P80="未知","✗ 收支项目不在基础资料里",IF(AND(P80="应收",J80=""),"✗ 这笔要选客户",IF(AND(P80="应收",COUNTIF(总览汇总!$B$5:$B$304,J80)=0),"✗ 客户不在总览汇总名单里",IF(AND(P80="应付",K80=""),"✗ 这笔要选供应商",IF(AND(P80="应付",COUNTIF(基础资料!$Q$5:$Q$54,K80)=0),"✗ 供应商不在基础资料里",IF(AND(P80="费用",L80=""),"✗ 费用支出要选费用项目",IF(AND(L80&lt;&gt;"",COUNTIF(基础资料!$AI$5:$AI$54,L80)=0),"✗ 费用项目不在基础资料里",IF(AND(IFERROR(INDEX(基础资料!$AD$5:$AD$34,MATCH(O80,基础资料!$AC$5:$AC$34,0)),"")="收",N(G80)&lt;&gt;0),"✗ 这类是收款，金额填到收入列",IF(AND(IFERROR(INDEX(基础资料!$AD$5:$AD$34,MATCH(O80,基础资料!$AC$5:$AC$34,0)),"")="支",N(F80)&lt;&gt;0),"✗ 这类是付款，金额填到支出列",IF(N(H80)&lt;0,"⚠ 账户余额成负数了，核对一下","√"))))))))))))))))))</f>
        <v>√</v>
      </c>
      <c r="O80" s="78" t="str">
        <f>IF(D80&lt;&gt;"",D80,IF(AND(F80="",G80=""),"",IF(J80&lt;&gt;"",IF(N(F80)&gt;0,"客户回款","客户退款"),IF(K80&lt;&gt;"",IF(N(G80)&gt;0,"供应商付款","供应商退款"),IF(L80&lt;&gt;"","费用支出","")))))</f>
        <v>客户回款</v>
      </c>
      <c r="P80" s="78" t="str">
        <f>IF(O80="","",IFERROR(INDEX(基础资料!$AE$5:$AE$34,MATCH(O80,基础资料!$AC$5:$AC$34,0)),"未知"))</f>
        <v>应收</v>
      </c>
      <c r="Q80" s="78">
        <f>IF(P80="应收",COUNTIF(P$7:P80,"应收"),"")</f>
        <v>74</v>
      </c>
      <c r="R80" s="78">
        <f>IF(P80="应付",COUNTIF(P$7:P80,"应付"),"")</f>
      </c>
      <c r="S80" s="78">
        <f>N(F80)-N(G80)</f>
        <v>602</v>
      </c>
    </row>
    <row r="81">
      <c r="A81" s="109">
        <f>IF(AND(F81="",G81=""),"",ROW()-6)</f>
        <v>75</v>
      </c>
      <c r="B81" s="140" t="n">
        <v>46226</v>
      </c>
      <c r="C81" s="141" t="inlineStr">
        <is>
          <t>收款码</t>
        </is>
      </c>
      <c r="D81" s="141" t="inlineStr">
        <is>
          <t>客户回款</t>
        </is>
      </c>
      <c r="E81" s="142" t="inlineStr">
        <is>
          <t>收货款</t>
        </is>
      </c>
      <c r="F81" s="143" t="n">
        <v>12000</v>
      </c>
      <c r="G81" s="144" t="n"/>
      <c r="H81" s="145">
        <f>IF(OR(C81="",AND(F81="",G81="")),"",SUMIF(基础资料!$W$5:$W$24,C81,基础资料!$X$5:$X$24)+SUMIF(C$7:C81,C81,F$7:F81)-SUMIF(C$7:C81,C81,G$7:G81))</f>
        <v>3264773.19</v>
      </c>
      <c r="I81" s="145">
        <f>IF(AND(F81="",G81=""),"",SUM(基础资料!$X$5:$X$24)+SUM(F$7:F81)-SUM(G$7:G81))</f>
        <v>3276123.19</v>
      </c>
      <c r="J81" s="141" t="inlineStr">
        <is>
          <t>好帮手</t>
        </is>
      </c>
      <c r="K81" s="141" t="n"/>
      <c r="L81" s="141" t="n"/>
      <c r="M81" s="142" t="n"/>
      <c r="N81" s="146" t="str">
        <f>IF(AND(AND(F81="",G81=""),B81="",C81="",D81="",J81="",K81="",L81=""),"",IF(AND(F81="",G81=""),"✗ 没填金额",IF(AND(N(F81)&lt;&gt;0,N(G81)&lt;&gt;0),"✗ 收入、支出只能填一边",IF(NOT(ISNUMBER(B81)),"✗ 日期不是真日期（要像 2026/9/25 这样填）",IF(OR(B81&lt;年初日,B81&gt;年末日),"✗ 日期不在本会计年度",IF(C81="","✗ 没选账户",IF(COUNTIF(基础资料!$W$5:$W$24,C81)=0,"✗ 账户不在基础资料里",IF(O81="","✗ 没选收支项目",IF(P81="未知","✗ 收支项目不在基础资料里",IF(AND(P81="应收",J81=""),"✗ 这笔要选客户",IF(AND(P81="应收",COUNTIF(总览汇总!$B$5:$B$304,J81)=0),"✗ 客户不在总览汇总名单里",IF(AND(P81="应付",K81=""),"✗ 这笔要选供应商",IF(AND(P81="应付",COUNTIF(基础资料!$Q$5:$Q$54,K81)=0),"✗ 供应商不在基础资料里",IF(AND(P81="费用",L81=""),"✗ 费用支出要选费用项目",IF(AND(L81&lt;&gt;"",COUNTIF(基础资料!$AI$5:$AI$54,L81)=0),"✗ 费用项目不在基础资料里",IF(AND(IFERROR(INDEX(基础资料!$AD$5:$AD$34,MATCH(O81,基础资料!$AC$5:$AC$34,0)),"")="收",N(G81)&lt;&gt;0),"✗ 这类是收款，金额填到收入列",IF(AND(IFERROR(INDEX(基础资料!$AD$5:$AD$34,MATCH(O81,基础资料!$AC$5:$AC$34,0)),"")="支",N(F81)&lt;&gt;0),"✗ 这类是付款，金额填到支出列",IF(N(H81)&lt;0,"⚠ 账户余额成负数了，核对一下","√"))))))))))))))))))</f>
        <v>√</v>
      </c>
      <c r="O81" s="78" t="str">
        <f>IF(D81&lt;&gt;"",D81,IF(AND(F81="",G81=""),"",IF(J81&lt;&gt;"",IF(N(F81)&gt;0,"客户回款","客户退款"),IF(K81&lt;&gt;"",IF(N(G81)&gt;0,"供应商付款","供应商退款"),IF(L81&lt;&gt;"","费用支出","")))))</f>
        <v>客户回款</v>
      </c>
      <c r="P81" s="78" t="str">
        <f>IF(O81="","",IFERROR(INDEX(基础资料!$AE$5:$AE$34,MATCH(O81,基础资料!$AC$5:$AC$34,0)),"未知"))</f>
        <v>应收</v>
      </c>
      <c r="Q81" s="78">
        <f>IF(P81="应收",COUNTIF(P$7:P81,"应收"),"")</f>
        <v>75</v>
      </c>
      <c r="R81" s="78">
        <f>IF(P81="应付",COUNTIF(P$7:P81,"应付"),"")</f>
      </c>
      <c r="S81" s="78">
        <f>N(F81)-N(G81)</f>
        <v>12000</v>
      </c>
    </row>
    <row r="82">
      <c r="A82" s="109">
        <f>IF(AND(F82="",G82=""),"",ROW()-6)</f>
        <v>76</v>
      </c>
      <c r="B82" s="140" t="n">
        <v>46226</v>
      </c>
      <c r="C82" s="141" t="inlineStr">
        <is>
          <t>收款码</t>
        </is>
      </c>
      <c r="D82" s="141" t="inlineStr">
        <is>
          <t>客户回款</t>
        </is>
      </c>
      <c r="E82" s="142" t="inlineStr">
        <is>
          <t>收货款</t>
        </is>
      </c>
      <c r="F82" s="143" t="n">
        <v>9000</v>
      </c>
      <c r="G82" s="144" t="n"/>
      <c r="H82" s="145">
        <f>IF(OR(C82="",AND(F82="",G82="")),"",SUMIF(基础资料!$W$5:$W$24,C82,基础资料!$X$5:$X$24)+SUMIF(C$7:C82,C82,F$7:F82)-SUMIF(C$7:C82,C82,G$7:G82))</f>
        <v>3273773.19</v>
      </c>
      <c r="I82" s="145">
        <f>IF(AND(F82="",G82=""),"",SUM(基础资料!$X$5:$X$24)+SUM(F$7:F82)-SUM(G$7:G82))</f>
        <v>3285123.19</v>
      </c>
      <c r="J82" s="141" t="inlineStr">
        <is>
          <t>洪门C区李记商行</t>
        </is>
      </c>
      <c r="K82" s="141" t="n"/>
      <c r="L82" s="141" t="n"/>
      <c r="M82" s="142" t="n"/>
      <c r="N82" s="146" t="str">
        <f>IF(AND(AND(F82="",G82=""),B82="",C82="",D82="",J82="",K82="",L82=""),"",IF(AND(F82="",G82=""),"✗ 没填金额",IF(AND(N(F82)&lt;&gt;0,N(G82)&lt;&gt;0),"✗ 收入、支出只能填一边",IF(NOT(ISNUMBER(B82)),"✗ 日期不是真日期（要像 2026/9/25 这样填）",IF(OR(B82&lt;年初日,B82&gt;年末日),"✗ 日期不在本会计年度",IF(C82="","✗ 没选账户",IF(COUNTIF(基础资料!$W$5:$W$24,C82)=0,"✗ 账户不在基础资料里",IF(O82="","✗ 没选收支项目",IF(P82="未知","✗ 收支项目不在基础资料里",IF(AND(P82="应收",J82=""),"✗ 这笔要选客户",IF(AND(P82="应收",COUNTIF(总览汇总!$B$5:$B$304,J82)=0),"✗ 客户不在总览汇总名单里",IF(AND(P82="应付",K82=""),"✗ 这笔要选供应商",IF(AND(P82="应付",COUNTIF(基础资料!$Q$5:$Q$54,K82)=0),"✗ 供应商不在基础资料里",IF(AND(P82="费用",L82=""),"✗ 费用支出要选费用项目",IF(AND(L82&lt;&gt;"",COUNTIF(基础资料!$AI$5:$AI$54,L82)=0),"✗ 费用项目不在基础资料里",IF(AND(IFERROR(INDEX(基础资料!$AD$5:$AD$34,MATCH(O82,基础资料!$AC$5:$AC$34,0)),"")="收",N(G82)&lt;&gt;0),"✗ 这类是收款，金额填到收入列",IF(AND(IFERROR(INDEX(基础资料!$AD$5:$AD$34,MATCH(O82,基础资料!$AC$5:$AC$34,0)),"")="支",N(F82)&lt;&gt;0),"✗ 这类是付款，金额填到支出列",IF(N(H82)&lt;0,"⚠ 账户余额成负数了，核对一下","√"))))))))))))))))))</f>
        <v>√</v>
      </c>
      <c r="O82" s="78" t="str">
        <f>IF(D82&lt;&gt;"",D82,IF(AND(F82="",G82=""),"",IF(J82&lt;&gt;"",IF(N(F82)&gt;0,"客户回款","客户退款"),IF(K82&lt;&gt;"",IF(N(G82)&gt;0,"供应商付款","供应商退款"),IF(L82&lt;&gt;"","费用支出","")))))</f>
        <v>客户回款</v>
      </c>
      <c r="P82" s="78" t="str">
        <f>IF(O82="","",IFERROR(INDEX(基础资料!$AE$5:$AE$34,MATCH(O82,基础资料!$AC$5:$AC$34,0)),"未知"))</f>
        <v>应收</v>
      </c>
      <c r="Q82" s="78">
        <f>IF(P82="应收",COUNTIF(P$7:P82,"应收"),"")</f>
        <v>76</v>
      </c>
      <c r="R82" s="78">
        <f>IF(P82="应付",COUNTIF(P$7:P82,"应付"),"")</f>
      </c>
      <c r="S82" s="78">
        <f>N(F82)-N(G82)</f>
        <v>9000</v>
      </c>
    </row>
    <row r="83">
      <c r="A83" s="109">
        <f>IF(AND(F83="",G83=""),"",ROW()-6)</f>
        <v>77</v>
      </c>
      <c r="B83" s="140" t="n">
        <v>46227</v>
      </c>
      <c r="C83" s="141" t="inlineStr">
        <is>
          <t>收款码</t>
        </is>
      </c>
      <c r="D83" s="141" t="inlineStr">
        <is>
          <t>客户回款</t>
        </is>
      </c>
      <c r="E83" s="142" t="inlineStr">
        <is>
          <t>收货款</t>
        </is>
      </c>
      <c r="F83" s="143" t="n">
        <v>6000</v>
      </c>
      <c r="G83" s="144" t="n"/>
      <c r="H83" s="145">
        <f>IF(OR(C83="",AND(F83="",G83="")),"",SUMIF(基础资料!$W$5:$W$24,C83,基础资料!$X$5:$X$24)+SUMIF(C$7:C83,C83,F$7:F83)-SUMIF(C$7:C83,C83,G$7:G83))</f>
        <v>3279773.19</v>
      </c>
      <c r="I83" s="145">
        <f>IF(AND(F83="",G83=""),"",SUM(基础资料!$X$5:$X$24)+SUM(F$7:F83)-SUM(G$7:G83))</f>
        <v>3291123.19</v>
      </c>
      <c r="J83" s="141" t="inlineStr">
        <is>
          <t>洪门兴诚超市</t>
        </is>
      </c>
      <c r="K83" s="141" t="n"/>
      <c r="L83" s="141" t="n"/>
      <c r="M83" s="142" t="n"/>
      <c r="N83" s="146" t="str">
        <f>IF(AND(AND(F83="",G83=""),B83="",C83="",D83="",J83="",K83="",L83=""),"",IF(AND(F83="",G83=""),"✗ 没填金额",IF(AND(N(F83)&lt;&gt;0,N(G83)&lt;&gt;0),"✗ 收入、支出只能填一边",IF(NOT(ISNUMBER(B83)),"✗ 日期不是真日期（要像 2026/9/25 这样填）",IF(OR(B83&lt;年初日,B83&gt;年末日),"✗ 日期不在本会计年度",IF(C83="","✗ 没选账户",IF(COUNTIF(基础资料!$W$5:$W$24,C83)=0,"✗ 账户不在基础资料里",IF(O83="","✗ 没选收支项目",IF(P83="未知","✗ 收支项目不在基础资料里",IF(AND(P83="应收",J83=""),"✗ 这笔要选客户",IF(AND(P83="应收",COUNTIF(总览汇总!$B$5:$B$304,J83)=0),"✗ 客户不在总览汇总名单里",IF(AND(P83="应付",K83=""),"✗ 这笔要选供应商",IF(AND(P83="应付",COUNTIF(基础资料!$Q$5:$Q$54,K83)=0),"✗ 供应商不在基础资料里",IF(AND(P83="费用",L83=""),"✗ 费用支出要选费用项目",IF(AND(L83&lt;&gt;"",COUNTIF(基础资料!$AI$5:$AI$54,L83)=0),"✗ 费用项目不在基础资料里",IF(AND(IFERROR(INDEX(基础资料!$AD$5:$AD$34,MATCH(O83,基础资料!$AC$5:$AC$34,0)),"")="收",N(G83)&lt;&gt;0),"✗ 这类是收款，金额填到收入列",IF(AND(IFERROR(INDEX(基础资料!$AD$5:$AD$34,MATCH(O83,基础资料!$AC$5:$AC$34,0)),"")="支",N(F83)&lt;&gt;0),"✗ 这类是付款，金额填到支出列",IF(N(H83)&lt;0,"⚠ 账户余额成负数了，核对一下","√"))))))))))))))))))</f>
        <v>√</v>
      </c>
      <c r="O83" s="78" t="str">
        <f>IF(D83&lt;&gt;"",D83,IF(AND(F83="",G83=""),"",IF(J83&lt;&gt;"",IF(N(F83)&gt;0,"客户回款","客户退款"),IF(K83&lt;&gt;"",IF(N(G83)&gt;0,"供应商付款","供应商退款"),IF(L83&lt;&gt;"","费用支出","")))))</f>
        <v>客户回款</v>
      </c>
      <c r="P83" s="78" t="str">
        <f>IF(O83="","",IFERROR(INDEX(基础资料!$AE$5:$AE$34,MATCH(O83,基础资料!$AC$5:$AC$34,0)),"未知"))</f>
        <v>应收</v>
      </c>
      <c r="Q83" s="78">
        <f>IF(P83="应收",COUNTIF(P$7:P83,"应收"),"")</f>
        <v>77</v>
      </c>
      <c r="R83" s="78">
        <f>IF(P83="应付",COUNTIF(P$7:P83,"应付"),"")</f>
      </c>
      <c r="S83" s="78">
        <f>N(F83)-N(G83)</f>
        <v>6000</v>
      </c>
    </row>
    <row r="84">
      <c r="A84" s="109">
        <f>IF(AND(F84="",G84=""),"",ROW()-6)</f>
        <v>78</v>
      </c>
      <c r="B84" s="140" t="n">
        <v>46227</v>
      </c>
      <c r="C84" s="141" t="inlineStr">
        <is>
          <t>收款码</t>
        </is>
      </c>
      <c r="D84" s="141" t="inlineStr">
        <is>
          <t>客户回款</t>
        </is>
      </c>
      <c r="E84" s="142" t="inlineStr">
        <is>
          <t>订3017元</t>
        </is>
      </c>
      <c r="F84" s="143" t="n">
        <v>2046</v>
      </c>
      <c r="G84" s="144" t="n"/>
      <c r="H84" s="145">
        <f>IF(OR(C84="",AND(F84="",G84="")),"",SUMIF(基础资料!$W$5:$W$24,C84,基础资料!$X$5:$X$24)+SUMIF(C$7:C84,C84,F$7:F84)-SUMIF(C$7:C84,C84,G$7:G84))</f>
        <v>3281819.19</v>
      </c>
      <c r="I84" s="145">
        <f>IF(AND(F84="",G84=""),"",SUM(基础资料!$X$5:$X$24)+SUM(F$7:F84)-SUM(G$7:G84))</f>
        <v>3293169.19</v>
      </c>
      <c r="J84" s="141" t="inlineStr">
        <is>
          <t>城西街福临门超市</t>
        </is>
      </c>
      <c r="K84" s="141" t="n"/>
      <c r="L84" s="141" t="n"/>
      <c r="M84" s="142" t="n"/>
      <c r="N84" s="146" t="str">
        <f>IF(AND(AND(F84="",G84=""),B84="",C84="",D84="",J84="",K84="",L84=""),"",IF(AND(F84="",G84=""),"✗ 没填金额",IF(AND(N(F84)&lt;&gt;0,N(G84)&lt;&gt;0),"✗ 收入、支出只能填一边",IF(NOT(ISNUMBER(B84)),"✗ 日期不是真日期（要像 2026/9/25 这样填）",IF(OR(B84&lt;年初日,B84&gt;年末日),"✗ 日期不在本会计年度",IF(C84="","✗ 没选账户",IF(COUNTIF(基础资料!$W$5:$W$24,C84)=0,"✗ 账户不在基础资料里",IF(O84="","✗ 没选收支项目",IF(P84="未知","✗ 收支项目不在基础资料里",IF(AND(P84="应收",J84=""),"✗ 这笔要选客户",IF(AND(P84="应收",COUNTIF(总览汇总!$B$5:$B$304,J84)=0),"✗ 客户不在总览汇总名单里",IF(AND(P84="应付",K84=""),"✗ 这笔要选供应商",IF(AND(P84="应付",COUNTIF(基础资料!$Q$5:$Q$54,K84)=0),"✗ 供应商不在基础资料里",IF(AND(P84="费用",L84=""),"✗ 费用支出要选费用项目",IF(AND(L84&lt;&gt;"",COUNTIF(基础资料!$AI$5:$AI$54,L84)=0),"✗ 费用项目不在基础资料里",IF(AND(IFERROR(INDEX(基础资料!$AD$5:$AD$34,MATCH(O84,基础资料!$AC$5:$AC$34,0)),"")="收",N(G84)&lt;&gt;0),"✗ 这类是收款，金额填到收入列",IF(AND(IFERROR(INDEX(基础资料!$AD$5:$AD$34,MATCH(O84,基础资料!$AC$5:$AC$34,0)),"")="支",N(F84)&lt;&gt;0),"✗ 这类是付款，金额填到支出列",IF(N(H84)&lt;0,"⚠ 账户余额成负数了，核对一下","√"))))))))))))))))))</f>
        <v>√</v>
      </c>
      <c r="O84" s="78" t="str">
        <f>IF(D84&lt;&gt;"",D84,IF(AND(F84="",G84=""),"",IF(J84&lt;&gt;"",IF(N(F84)&gt;0,"客户回款","客户退款"),IF(K84&lt;&gt;"",IF(N(G84)&gt;0,"供应商付款","供应商退款"),IF(L84&lt;&gt;"","费用支出","")))))</f>
        <v>客户回款</v>
      </c>
      <c r="P84" s="78" t="str">
        <f>IF(O84="","",IFERROR(INDEX(基础资料!$AE$5:$AE$34,MATCH(O84,基础资料!$AC$5:$AC$34,0)),"未知"))</f>
        <v>应收</v>
      </c>
      <c r="Q84" s="78">
        <f>IF(P84="应收",COUNTIF(P$7:P84,"应收"),"")</f>
        <v>78</v>
      </c>
      <c r="R84" s="78">
        <f>IF(P84="应付",COUNTIF(P$7:P84,"应付"),"")</f>
      </c>
      <c r="S84" s="78">
        <f>N(F84)-N(G84)</f>
        <v>2046</v>
      </c>
    </row>
    <row r="85">
      <c r="A85" s="109">
        <f>IF(AND(F85="",G85=""),"",ROW()-6)</f>
        <v>79</v>
      </c>
      <c r="B85" s="140" t="n">
        <v>46227</v>
      </c>
      <c r="C85" s="141" t="inlineStr">
        <is>
          <t>收款码</t>
        </is>
      </c>
      <c r="D85" s="141" t="inlineStr">
        <is>
          <t>客户回款</t>
        </is>
      </c>
      <c r="E85" s="142" t="inlineStr">
        <is>
          <t>订3004元</t>
        </is>
      </c>
      <c r="F85" s="143" t="n">
        <v>1582</v>
      </c>
      <c r="G85" s="144" t="n"/>
      <c r="H85" s="145">
        <f>IF(OR(C85="",AND(F85="",G85="")),"",SUMIF(基础资料!$W$5:$W$24,C85,基础资料!$X$5:$X$24)+SUMIF(C$7:C85,C85,F$7:F85)-SUMIF(C$7:C85,C85,G$7:G85))</f>
        <v>3283401.19</v>
      </c>
      <c r="I85" s="145">
        <f>IF(AND(F85="",G85=""),"",SUM(基础资料!$X$5:$X$24)+SUM(F$7:F85)-SUM(G$7:G85))</f>
        <v>3294751.19</v>
      </c>
      <c r="J85" s="141" t="inlineStr">
        <is>
          <t>滨江路莲花便利店</t>
        </is>
      </c>
      <c r="K85" s="141" t="n"/>
      <c r="L85" s="141" t="n"/>
      <c r="M85" s="142" t="n"/>
      <c r="N85" s="146" t="str">
        <f>IF(AND(AND(F85="",G85=""),B85="",C85="",D85="",J85="",K85="",L85=""),"",IF(AND(F85="",G85=""),"✗ 没填金额",IF(AND(N(F85)&lt;&gt;0,N(G85)&lt;&gt;0),"✗ 收入、支出只能填一边",IF(NOT(ISNUMBER(B85)),"✗ 日期不是真日期（要像 2026/9/25 这样填）",IF(OR(B85&lt;年初日,B85&gt;年末日),"✗ 日期不在本会计年度",IF(C85="","✗ 没选账户",IF(COUNTIF(基础资料!$W$5:$W$24,C85)=0,"✗ 账户不在基础资料里",IF(O85="","✗ 没选收支项目",IF(P85="未知","✗ 收支项目不在基础资料里",IF(AND(P85="应收",J85=""),"✗ 这笔要选客户",IF(AND(P85="应收",COUNTIF(总览汇总!$B$5:$B$304,J85)=0),"✗ 客户不在总览汇总名单里",IF(AND(P85="应付",K85=""),"✗ 这笔要选供应商",IF(AND(P85="应付",COUNTIF(基础资料!$Q$5:$Q$54,K85)=0),"✗ 供应商不在基础资料里",IF(AND(P85="费用",L85=""),"✗ 费用支出要选费用项目",IF(AND(L85&lt;&gt;"",COUNTIF(基础资料!$AI$5:$AI$54,L85)=0),"✗ 费用项目不在基础资料里",IF(AND(IFERROR(INDEX(基础资料!$AD$5:$AD$34,MATCH(O85,基础资料!$AC$5:$AC$34,0)),"")="收",N(G85)&lt;&gt;0),"✗ 这类是收款，金额填到收入列",IF(AND(IFERROR(INDEX(基础资料!$AD$5:$AD$34,MATCH(O85,基础资料!$AC$5:$AC$34,0)),"")="支",N(F85)&lt;&gt;0),"✗ 这类是付款，金额填到支出列",IF(N(H85)&lt;0,"⚠ 账户余额成负数了，核对一下","√"))))))))))))))))))</f>
        <v>√</v>
      </c>
      <c r="O85" s="78" t="str">
        <f>IF(D85&lt;&gt;"",D85,IF(AND(F85="",G85=""),"",IF(J85&lt;&gt;"",IF(N(F85)&gt;0,"客户回款","客户退款"),IF(K85&lt;&gt;"",IF(N(G85)&gt;0,"供应商付款","供应商退款"),IF(L85&lt;&gt;"","费用支出","")))))</f>
        <v>客户回款</v>
      </c>
      <c r="P85" s="78" t="str">
        <f>IF(O85="","",IFERROR(INDEX(基础资料!$AE$5:$AE$34,MATCH(O85,基础资料!$AC$5:$AC$34,0)),"未知"))</f>
        <v>应收</v>
      </c>
      <c r="Q85" s="78">
        <f>IF(P85="应收",COUNTIF(P$7:P85,"应收"),"")</f>
        <v>79</v>
      </c>
      <c r="R85" s="78">
        <f>IF(P85="应付",COUNTIF(P$7:P85,"应付"),"")</f>
      </c>
      <c r="S85" s="78">
        <f>N(F85)-N(G85)</f>
        <v>1582</v>
      </c>
    </row>
    <row r="86">
      <c r="A86" s="109">
        <f>IF(AND(F86="",G86=""),"",ROW()-6)</f>
        <v>80</v>
      </c>
      <c r="B86" s="140" t="n">
        <v>46227</v>
      </c>
      <c r="C86" s="141" t="inlineStr">
        <is>
          <t>收款码</t>
        </is>
      </c>
      <c r="D86" s="141" t="inlineStr">
        <is>
          <t>客户回款</t>
        </is>
      </c>
      <c r="E86" s="142" t="inlineStr">
        <is>
          <t>收货款</t>
        </is>
      </c>
      <c r="F86" s="143" t="n">
        <v>18600</v>
      </c>
      <c r="G86" s="144" t="n"/>
      <c r="H86" s="145">
        <f>IF(OR(C86="",AND(F86="",G86="")),"",SUMIF(基础资料!$W$5:$W$24,C86,基础资料!$X$5:$X$24)+SUMIF(C$7:C86,C86,F$7:F86)-SUMIF(C$7:C86,C86,G$7:G86))</f>
        <v>3302001.19</v>
      </c>
      <c r="I86" s="145">
        <f>IF(AND(F86="",G86=""),"",SUM(基础资料!$X$5:$X$24)+SUM(F$7:F86)-SUM(G$7:G86))</f>
        <v>3313351.19</v>
      </c>
      <c r="J86" s="141" t="inlineStr">
        <is>
          <t>马路下小卖部</t>
        </is>
      </c>
      <c r="K86" s="141" t="n"/>
      <c r="L86" s="141" t="n"/>
      <c r="M86" s="142" t="n"/>
      <c r="N86" s="146" t="str">
        <f>IF(AND(AND(F86="",G86=""),B86="",C86="",D86="",J86="",K86="",L86=""),"",IF(AND(F86="",G86=""),"✗ 没填金额",IF(AND(N(F86)&lt;&gt;0,N(G86)&lt;&gt;0),"✗ 收入、支出只能填一边",IF(NOT(ISNUMBER(B86)),"✗ 日期不是真日期（要像 2026/9/25 这样填）",IF(OR(B86&lt;年初日,B86&gt;年末日),"✗ 日期不在本会计年度",IF(C86="","✗ 没选账户",IF(COUNTIF(基础资料!$W$5:$W$24,C86)=0,"✗ 账户不在基础资料里",IF(O86="","✗ 没选收支项目",IF(P86="未知","✗ 收支项目不在基础资料里",IF(AND(P86="应收",J86=""),"✗ 这笔要选客户",IF(AND(P86="应收",COUNTIF(总览汇总!$B$5:$B$304,J86)=0),"✗ 客户不在总览汇总名单里",IF(AND(P86="应付",K86=""),"✗ 这笔要选供应商",IF(AND(P86="应付",COUNTIF(基础资料!$Q$5:$Q$54,K86)=0),"✗ 供应商不在基础资料里",IF(AND(P86="费用",L86=""),"✗ 费用支出要选费用项目",IF(AND(L86&lt;&gt;"",COUNTIF(基础资料!$AI$5:$AI$54,L86)=0),"✗ 费用项目不在基础资料里",IF(AND(IFERROR(INDEX(基础资料!$AD$5:$AD$34,MATCH(O86,基础资料!$AC$5:$AC$34,0)),"")="收",N(G86)&lt;&gt;0),"✗ 这类是收款，金额填到收入列",IF(AND(IFERROR(INDEX(基础资料!$AD$5:$AD$34,MATCH(O86,基础资料!$AC$5:$AC$34,0)),"")="支",N(F86)&lt;&gt;0),"✗ 这类是付款，金额填到支出列",IF(N(H86)&lt;0,"⚠ 账户余额成负数了，核对一下","√"))))))))))))))))))</f>
        <v>√</v>
      </c>
      <c r="O86" s="78" t="str">
        <f>IF(D86&lt;&gt;"",D86,IF(AND(F86="",G86=""),"",IF(J86&lt;&gt;"",IF(N(F86)&gt;0,"客户回款","客户退款"),IF(K86&lt;&gt;"",IF(N(G86)&gt;0,"供应商付款","供应商退款"),IF(L86&lt;&gt;"","费用支出","")))))</f>
        <v>客户回款</v>
      </c>
      <c r="P86" s="78" t="str">
        <f>IF(O86="","",IFERROR(INDEX(基础资料!$AE$5:$AE$34,MATCH(O86,基础资料!$AC$5:$AC$34,0)),"未知"))</f>
        <v>应收</v>
      </c>
      <c r="Q86" s="78">
        <f>IF(P86="应收",COUNTIF(P$7:P86,"应收"),"")</f>
        <v>80</v>
      </c>
      <c r="R86" s="78">
        <f>IF(P86="应付",COUNTIF(P$7:P86,"应付"),"")</f>
      </c>
      <c r="S86" s="78">
        <f>N(F86)-N(G86)</f>
        <v>18600</v>
      </c>
    </row>
    <row r="87">
      <c r="A87" s="109">
        <f>IF(AND(F87="",G87=""),"",ROW()-6)</f>
        <v>81</v>
      </c>
      <c r="B87" s="140" t="n">
        <v>46227</v>
      </c>
      <c r="C87" s="141" t="inlineStr">
        <is>
          <t>收款码</t>
        </is>
      </c>
      <c r="D87" s="141" t="inlineStr">
        <is>
          <t>客户回款</t>
        </is>
      </c>
      <c r="E87" s="142" t="inlineStr">
        <is>
          <t>收货款</t>
        </is>
      </c>
      <c r="F87" s="143" t="n">
        <v>27000</v>
      </c>
      <c r="G87" s="144" t="n"/>
      <c r="H87" s="145">
        <f>IF(OR(C87="",AND(F87="",G87="")),"",SUMIF(基础资料!$W$5:$W$24,C87,基础资料!$X$5:$X$24)+SUMIF(C$7:C87,C87,F$7:F87)-SUMIF(C$7:C87,C87,G$7:G87))</f>
        <v>3329001.19</v>
      </c>
      <c r="I87" s="145">
        <f>IF(AND(F87="",G87=""),"",SUM(基础资料!$X$5:$X$24)+SUM(F$7:F87)-SUM(G$7:G87))</f>
        <v>3340351.19</v>
      </c>
      <c r="J87" s="141" t="inlineStr">
        <is>
          <t>城岗日日升超市</t>
        </is>
      </c>
      <c r="K87" s="141" t="n"/>
      <c r="L87" s="141" t="n"/>
      <c r="M87" s="142" t="n"/>
      <c r="N87" s="146" t="str">
        <f>IF(AND(AND(F87="",G87=""),B87="",C87="",D87="",J87="",K87="",L87=""),"",IF(AND(F87="",G87=""),"✗ 没填金额",IF(AND(N(F87)&lt;&gt;0,N(G87)&lt;&gt;0),"✗ 收入、支出只能填一边",IF(NOT(ISNUMBER(B87)),"✗ 日期不是真日期（要像 2026/9/25 这样填）",IF(OR(B87&lt;年初日,B87&gt;年末日),"✗ 日期不在本会计年度",IF(C87="","✗ 没选账户",IF(COUNTIF(基础资料!$W$5:$W$24,C87)=0,"✗ 账户不在基础资料里",IF(O87="","✗ 没选收支项目",IF(P87="未知","✗ 收支项目不在基础资料里",IF(AND(P87="应收",J87=""),"✗ 这笔要选客户",IF(AND(P87="应收",COUNTIF(总览汇总!$B$5:$B$304,J87)=0),"✗ 客户不在总览汇总名单里",IF(AND(P87="应付",K87=""),"✗ 这笔要选供应商",IF(AND(P87="应付",COUNTIF(基础资料!$Q$5:$Q$54,K87)=0),"✗ 供应商不在基础资料里",IF(AND(P87="费用",L87=""),"✗ 费用支出要选费用项目",IF(AND(L87&lt;&gt;"",COUNTIF(基础资料!$AI$5:$AI$54,L87)=0),"✗ 费用项目不在基础资料里",IF(AND(IFERROR(INDEX(基础资料!$AD$5:$AD$34,MATCH(O87,基础资料!$AC$5:$AC$34,0)),"")="收",N(G87)&lt;&gt;0),"✗ 这类是收款，金额填到收入列",IF(AND(IFERROR(INDEX(基础资料!$AD$5:$AD$34,MATCH(O87,基础资料!$AC$5:$AC$34,0)),"")="支",N(F87)&lt;&gt;0),"✗ 这类是付款，金额填到支出列",IF(N(H87)&lt;0,"⚠ 账户余额成负数了，核对一下","√"))))))))))))))))))</f>
        <v>√</v>
      </c>
      <c r="O87" s="78" t="str">
        <f>IF(D87&lt;&gt;"",D87,IF(AND(F87="",G87=""),"",IF(J87&lt;&gt;"",IF(N(F87)&gt;0,"客户回款","客户退款"),IF(K87&lt;&gt;"",IF(N(G87)&gt;0,"供应商付款","供应商退款"),IF(L87&lt;&gt;"","费用支出","")))))</f>
        <v>客户回款</v>
      </c>
      <c r="P87" s="78" t="str">
        <f>IF(O87="","",IFERROR(INDEX(基础资料!$AE$5:$AE$34,MATCH(O87,基础资料!$AC$5:$AC$34,0)),"未知"))</f>
        <v>应收</v>
      </c>
      <c r="Q87" s="78">
        <f>IF(P87="应收",COUNTIF(P$7:P87,"应收"),"")</f>
        <v>81</v>
      </c>
      <c r="R87" s="78">
        <f>IF(P87="应付",COUNTIF(P$7:P87,"应付"),"")</f>
      </c>
      <c r="S87" s="78">
        <f>N(F87)-N(G87)</f>
        <v>27000</v>
      </c>
    </row>
    <row r="88">
      <c r="A88" s="109">
        <f>IF(AND(F88="",G88=""),"",ROW()-6)</f>
        <v>82</v>
      </c>
      <c r="B88" s="140" t="n">
        <v>46227</v>
      </c>
      <c r="C88" s="141" t="inlineStr">
        <is>
          <t>收款码</t>
        </is>
      </c>
      <c r="D88" s="141" t="inlineStr">
        <is>
          <t>客户回款</t>
        </is>
      </c>
      <c r="E88" s="142" t="inlineStr">
        <is>
          <t>收货款</t>
        </is>
      </c>
      <c r="F88" s="143" t="n">
        <v>2386</v>
      </c>
      <c r="G88" s="144" t="n"/>
      <c r="H88" s="145">
        <f>IF(OR(C88="",AND(F88="",G88="")),"",SUMIF(基础资料!$W$5:$W$24,C88,基础资料!$X$5:$X$24)+SUMIF(C$7:C88,C88,F$7:F88)-SUMIF(C$7:C88,C88,G$7:G88))</f>
        <v>3331387.19</v>
      </c>
      <c r="I88" s="145">
        <f>IF(AND(F88="",G88=""),"",SUM(基础资料!$X$5:$X$24)+SUM(F$7:F88)-SUM(G$7:G88))</f>
        <v>3342737.19</v>
      </c>
      <c r="J88" s="141" t="inlineStr">
        <is>
          <t>隆坪美林副食</t>
        </is>
      </c>
      <c r="K88" s="141" t="n"/>
      <c r="L88" s="141" t="n"/>
      <c r="M88" s="142" t="n"/>
      <c r="N88" s="146" t="str">
        <f>IF(AND(AND(F88="",G88=""),B88="",C88="",D88="",J88="",K88="",L88=""),"",IF(AND(F88="",G88=""),"✗ 没填金额",IF(AND(N(F88)&lt;&gt;0,N(G88)&lt;&gt;0),"✗ 收入、支出只能填一边",IF(NOT(ISNUMBER(B88)),"✗ 日期不是真日期（要像 2026/9/25 这样填）",IF(OR(B88&lt;年初日,B88&gt;年末日),"✗ 日期不在本会计年度",IF(C88="","✗ 没选账户",IF(COUNTIF(基础资料!$W$5:$W$24,C88)=0,"✗ 账户不在基础资料里",IF(O88="","✗ 没选收支项目",IF(P88="未知","✗ 收支项目不在基础资料里",IF(AND(P88="应收",J88=""),"✗ 这笔要选客户",IF(AND(P88="应收",COUNTIF(总览汇总!$B$5:$B$304,J88)=0),"✗ 客户不在总览汇总名单里",IF(AND(P88="应付",K88=""),"✗ 这笔要选供应商",IF(AND(P88="应付",COUNTIF(基础资料!$Q$5:$Q$54,K88)=0),"✗ 供应商不在基础资料里",IF(AND(P88="费用",L88=""),"✗ 费用支出要选费用项目",IF(AND(L88&lt;&gt;"",COUNTIF(基础资料!$AI$5:$AI$54,L88)=0),"✗ 费用项目不在基础资料里",IF(AND(IFERROR(INDEX(基础资料!$AD$5:$AD$34,MATCH(O88,基础资料!$AC$5:$AC$34,0)),"")="收",N(G88)&lt;&gt;0),"✗ 这类是收款，金额填到收入列",IF(AND(IFERROR(INDEX(基础资料!$AD$5:$AD$34,MATCH(O88,基础资料!$AC$5:$AC$34,0)),"")="支",N(F88)&lt;&gt;0),"✗ 这类是付款，金额填到支出列",IF(N(H88)&lt;0,"⚠ 账户余额成负数了，核对一下","√"))))))))))))))))))</f>
        <v>√</v>
      </c>
      <c r="O88" s="78" t="str">
        <f>IF(D88&lt;&gt;"",D88,IF(AND(F88="",G88=""),"",IF(J88&lt;&gt;"",IF(N(F88)&gt;0,"客户回款","客户退款"),IF(K88&lt;&gt;"",IF(N(G88)&gt;0,"供应商付款","供应商退款"),IF(L88&lt;&gt;"","费用支出","")))))</f>
        <v>客户回款</v>
      </c>
      <c r="P88" s="78" t="str">
        <f>IF(O88="","",IFERROR(INDEX(基础资料!$AE$5:$AE$34,MATCH(O88,基础资料!$AC$5:$AC$34,0)),"未知"))</f>
        <v>应收</v>
      </c>
      <c r="Q88" s="78">
        <f>IF(P88="应收",COUNTIF(P$7:P88,"应收"),"")</f>
        <v>82</v>
      </c>
      <c r="R88" s="78">
        <f>IF(P88="应付",COUNTIF(P$7:P88,"应付"),"")</f>
      </c>
      <c r="S88" s="78">
        <f>N(F88)-N(G88)</f>
        <v>2386</v>
      </c>
    </row>
    <row r="89">
      <c r="A89" s="109">
        <f>IF(AND(F89="",G89=""),"",ROW()-6)</f>
        <v>83</v>
      </c>
      <c r="B89" s="140" t="n">
        <v>46227</v>
      </c>
      <c r="C89" s="141" t="inlineStr">
        <is>
          <t>收款码</t>
        </is>
      </c>
      <c r="D89" s="141" t="inlineStr">
        <is>
          <t>客户回款</t>
        </is>
      </c>
      <c r="E89" s="142" t="inlineStr">
        <is>
          <t>收货款</t>
        </is>
      </c>
      <c r="F89" s="143" t="n">
        <v>2325</v>
      </c>
      <c r="G89" s="144" t="n"/>
      <c r="H89" s="145">
        <f>IF(OR(C89="",AND(F89="",G89="")),"",SUMIF(基础资料!$W$5:$W$24,C89,基础资料!$X$5:$X$24)+SUMIF(C$7:C89,C89,F$7:F89)-SUMIF(C$7:C89,C89,G$7:G89))</f>
        <v>3333712.19</v>
      </c>
      <c r="I89" s="145">
        <f>IF(AND(F89="",G89=""),"",SUM(基础资料!$X$5:$X$24)+SUM(F$7:F89)-SUM(G$7:G89))</f>
        <v>3345062.19</v>
      </c>
      <c r="J89" s="141" t="inlineStr">
        <is>
          <t>埠头鑫鑫文具</t>
        </is>
      </c>
      <c r="K89" s="141" t="n"/>
      <c r="L89" s="141" t="n"/>
      <c r="M89" s="142" t="n"/>
      <c r="N89" s="146" t="str">
        <f>IF(AND(AND(F89="",G89=""),B89="",C89="",D89="",J89="",K89="",L89=""),"",IF(AND(F89="",G89=""),"✗ 没填金额",IF(AND(N(F89)&lt;&gt;0,N(G89)&lt;&gt;0),"✗ 收入、支出只能填一边",IF(NOT(ISNUMBER(B89)),"✗ 日期不是真日期（要像 2026/9/25 这样填）",IF(OR(B89&lt;年初日,B89&gt;年末日),"✗ 日期不在本会计年度",IF(C89="","✗ 没选账户",IF(COUNTIF(基础资料!$W$5:$W$24,C89)=0,"✗ 账户不在基础资料里",IF(O89="","✗ 没选收支项目",IF(P89="未知","✗ 收支项目不在基础资料里",IF(AND(P89="应收",J89=""),"✗ 这笔要选客户",IF(AND(P89="应收",COUNTIF(总览汇总!$B$5:$B$304,J89)=0),"✗ 客户不在总览汇总名单里",IF(AND(P89="应付",K89=""),"✗ 这笔要选供应商",IF(AND(P89="应付",COUNTIF(基础资料!$Q$5:$Q$54,K89)=0),"✗ 供应商不在基础资料里",IF(AND(P89="费用",L89=""),"✗ 费用支出要选费用项目",IF(AND(L89&lt;&gt;"",COUNTIF(基础资料!$AI$5:$AI$54,L89)=0),"✗ 费用项目不在基础资料里",IF(AND(IFERROR(INDEX(基础资料!$AD$5:$AD$34,MATCH(O89,基础资料!$AC$5:$AC$34,0)),"")="收",N(G89)&lt;&gt;0),"✗ 这类是收款，金额填到收入列",IF(AND(IFERROR(INDEX(基础资料!$AD$5:$AD$34,MATCH(O89,基础资料!$AC$5:$AC$34,0)),"")="支",N(F89)&lt;&gt;0),"✗ 这类是付款，金额填到支出列",IF(N(H89)&lt;0,"⚠ 账户余额成负数了，核对一下","√"))))))))))))))))))</f>
        <v>√</v>
      </c>
      <c r="O89" s="78" t="str">
        <f>IF(D89&lt;&gt;"",D89,IF(AND(F89="",G89=""),"",IF(J89&lt;&gt;"",IF(N(F89)&gt;0,"客户回款","客户退款"),IF(K89&lt;&gt;"",IF(N(G89)&gt;0,"供应商付款","供应商退款"),IF(L89&lt;&gt;"","费用支出","")))))</f>
        <v>客户回款</v>
      </c>
      <c r="P89" s="78" t="str">
        <f>IF(O89="","",IFERROR(INDEX(基础资料!$AE$5:$AE$34,MATCH(O89,基础资料!$AC$5:$AC$34,0)),"未知"))</f>
        <v>应收</v>
      </c>
      <c r="Q89" s="78">
        <f>IF(P89="应收",COUNTIF(P$7:P89,"应收"),"")</f>
        <v>83</v>
      </c>
      <c r="R89" s="78">
        <f>IF(P89="应付",COUNTIF(P$7:P89,"应付"),"")</f>
      </c>
      <c r="S89" s="78">
        <f>N(F89)-N(G89)</f>
        <v>2325</v>
      </c>
    </row>
    <row r="90">
      <c r="A90" s="109">
        <f>IF(AND(F90="",G90=""),"",ROW()-6)</f>
        <v>84</v>
      </c>
      <c r="B90" s="140" t="n">
        <v>46228</v>
      </c>
      <c r="C90" s="141" t="inlineStr">
        <is>
          <t>收款码</t>
        </is>
      </c>
      <c r="D90" s="141" t="inlineStr">
        <is>
          <t>客户回款</t>
        </is>
      </c>
      <c r="E90" s="142" t="inlineStr">
        <is>
          <t>收货款</t>
        </is>
      </c>
      <c r="F90" s="143" t="n">
        <v>2325</v>
      </c>
      <c r="G90" s="144" t="n"/>
      <c r="H90" s="145">
        <f>IF(OR(C90="",AND(F90="",G90="")),"",SUMIF(基础资料!$W$5:$W$24,C90,基础资料!$X$5:$X$24)+SUMIF(C$7:C90,C90,F$7:F90)-SUMIF(C$7:C90,C90,G$7:G90))</f>
        <v>3336037.19</v>
      </c>
      <c r="I90" s="145">
        <f>IF(AND(F90="",G90=""),"",SUM(基础资料!$X$5:$X$24)+SUM(F$7:F90)-SUM(G$7:G90))</f>
        <v>3347387.19</v>
      </c>
      <c r="J90" s="141" t="inlineStr">
        <is>
          <t>春萌副食</t>
        </is>
      </c>
      <c r="K90" s="141" t="n"/>
      <c r="L90" s="141" t="n"/>
      <c r="M90" s="142" t="n"/>
      <c r="N90" s="146" t="str">
        <f>IF(AND(AND(F90="",G90=""),B90="",C90="",D90="",J90="",K90="",L90=""),"",IF(AND(F90="",G90=""),"✗ 没填金额",IF(AND(N(F90)&lt;&gt;0,N(G90)&lt;&gt;0),"✗ 收入、支出只能填一边",IF(NOT(ISNUMBER(B90)),"✗ 日期不是真日期（要像 2026/9/25 这样填）",IF(OR(B90&lt;年初日,B90&gt;年末日),"✗ 日期不在本会计年度",IF(C90="","✗ 没选账户",IF(COUNTIF(基础资料!$W$5:$W$24,C90)=0,"✗ 账户不在基础资料里",IF(O90="","✗ 没选收支项目",IF(P90="未知","✗ 收支项目不在基础资料里",IF(AND(P90="应收",J90=""),"✗ 这笔要选客户",IF(AND(P90="应收",COUNTIF(总览汇总!$B$5:$B$304,J90)=0),"✗ 客户不在总览汇总名单里",IF(AND(P90="应付",K90=""),"✗ 这笔要选供应商",IF(AND(P90="应付",COUNTIF(基础资料!$Q$5:$Q$54,K90)=0),"✗ 供应商不在基础资料里",IF(AND(P90="费用",L90=""),"✗ 费用支出要选费用项目",IF(AND(L90&lt;&gt;"",COUNTIF(基础资料!$AI$5:$AI$54,L90)=0),"✗ 费用项目不在基础资料里",IF(AND(IFERROR(INDEX(基础资料!$AD$5:$AD$34,MATCH(O90,基础资料!$AC$5:$AC$34,0)),"")="收",N(G90)&lt;&gt;0),"✗ 这类是收款，金额填到收入列",IF(AND(IFERROR(INDEX(基础资料!$AD$5:$AD$34,MATCH(O90,基础资料!$AC$5:$AC$34,0)),"")="支",N(F90)&lt;&gt;0),"✗ 这类是付款，金额填到支出列",IF(N(H90)&lt;0,"⚠ 账户余额成负数了，核对一下","√"))))))))))))))))))</f>
        <v>√</v>
      </c>
      <c r="O90" s="78" t="str">
        <f>IF(D90&lt;&gt;"",D90,IF(AND(F90="",G90=""),"",IF(J90&lt;&gt;"",IF(N(F90)&gt;0,"客户回款","客户退款"),IF(K90&lt;&gt;"",IF(N(G90)&gt;0,"供应商付款","供应商退款"),IF(L90&lt;&gt;"","费用支出","")))))</f>
        <v>客户回款</v>
      </c>
      <c r="P90" s="78" t="str">
        <f>IF(O90="","",IFERROR(INDEX(基础资料!$AE$5:$AE$34,MATCH(O90,基础资料!$AC$5:$AC$34,0)),"未知"))</f>
        <v>应收</v>
      </c>
      <c r="Q90" s="78">
        <f>IF(P90="应收",COUNTIF(P$7:P90,"应收"),"")</f>
        <v>84</v>
      </c>
      <c r="R90" s="78">
        <f>IF(P90="应付",COUNTIF(P$7:P90,"应付"),"")</f>
      </c>
      <c r="S90" s="78">
        <f>N(F90)-N(G90)</f>
        <v>2325</v>
      </c>
    </row>
    <row r="91">
      <c r="A91" s="109">
        <f>IF(AND(F91="",G91=""),"",ROW()-6)</f>
        <v>85</v>
      </c>
      <c r="B91" s="140" t="n">
        <v>46229</v>
      </c>
      <c r="C91" s="141" t="inlineStr">
        <is>
          <t>收款码</t>
        </is>
      </c>
      <c r="D91" s="141" t="inlineStr">
        <is>
          <t>客户回款</t>
        </is>
      </c>
      <c r="E91" s="142" t="inlineStr">
        <is>
          <t>收货款</t>
        </is>
      </c>
      <c r="F91" s="143" t="n">
        <v>40000</v>
      </c>
      <c r="G91" s="144" t="n"/>
      <c r="H91" s="145">
        <f>IF(OR(C91="",AND(F91="",G91="")),"",SUMIF(基础资料!$W$5:$W$24,C91,基础资料!$X$5:$X$24)+SUMIF(C$7:C91,C91,F$7:F91)-SUMIF(C$7:C91,C91,G$7:G91))</f>
        <v>3376037.19</v>
      </c>
      <c r="I91" s="145">
        <f>IF(AND(F91="",G91=""),"",SUM(基础资料!$X$5:$X$24)+SUM(F$7:F91)-SUM(G$7:G91))</f>
        <v>3387387.19</v>
      </c>
      <c r="J91" s="141" t="inlineStr">
        <is>
          <t>星海超市</t>
        </is>
      </c>
      <c r="K91" s="141" t="n"/>
      <c r="L91" s="141" t="n"/>
      <c r="M91" s="142" t="n"/>
      <c r="N91" s="146" t="str">
        <f>IF(AND(AND(F91="",G91=""),B91="",C91="",D91="",J91="",K91="",L91=""),"",IF(AND(F91="",G91=""),"✗ 没填金额",IF(AND(N(F91)&lt;&gt;0,N(G91)&lt;&gt;0),"✗ 收入、支出只能填一边",IF(NOT(ISNUMBER(B91)),"✗ 日期不是真日期（要像 2026/9/25 这样填）",IF(OR(B91&lt;年初日,B91&gt;年末日),"✗ 日期不在本会计年度",IF(C91="","✗ 没选账户",IF(COUNTIF(基础资料!$W$5:$W$24,C91)=0,"✗ 账户不在基础资料里",IF(O91="","✗ 没选收支项目",IF(P91="未知","✗ 收支项目不在基础资料里",IF(AND(P91="应收",J91=""),"✗ 这笔要选客户",IF(AND(P91="应收",COUNTIF(总览汇总!$B$5:$B$304,J91)=0),"✗ 客户不在总览汇总名单里",IF(AND(P91="应付",K91=""),"✗ 这笔要选供应商",IF(AND(P91="应付",COUNTIF(基础资料!$Q$5:$Q$54,K91)=0),"✗ 供应商不在基础资料里",IF(AND(P91="费用",L91=""),"✗ 费用支出要选费用项目",IF(AND(L91&lt;&gt;"",COUNTIF(基础资料!$AI$5:$AI$54,L91)=0),"✗ 费用项目不在基础资料里",IF(AND(IFERROR(INDEX(基础资料!$AD$5:$AD$34,MATCH(O91,基础资料!$AC$5:$AC$34,0)),"")="收",N(G91)&lt;&gt;0),"✗ 这类是收款，金额填到收入列",IF(AND(IFERROR(INDEX(基础资料!$AD$5:$AD$34,MATCH(O91,基础资料!$AC$5:$AC$34,0)),"")="支",N(F91)&lt;&gt;0),"✗ 这类是付款，金额填到支出列",IF(N(H91)&lt;0,"⚠ 账户余额成负数了，核对一下","√"))))))))))))))))))</f>
        <v>√</v>
      </c>
      <c r="O91" s="78" t="str">
        <f>IF(D91&lt;&gt;"",D91,IF(AND(F91="",G91=""),"",IF(J91&lt;&gt;"",IF(N(F91)&gt;0,"客户回款","客户退款"),IF(K91&lt;&gt;"",IF(N(G91)&gt;0,"供应商付款","供应商退款"),IF(L91&lt;&gt;"","费用支出","")))))</f>
        <v>客户回款</v>
      </c>
      <c r="P91" s="78" t="str">
        <f>IF(O91="","",IFERROR(INDEX(基础资料!$AE$5:$AE$34,MATCH(O91,基础资料!$AC$5:$AC$34,0)),"未知"))</f>
        <v>应收</v>
      </c>
      <c r="Q91" s="78">
        <f>IF(P91="应收",COUNTIF(P$7:P91,"应收"),"")</f>
        <v>85</v>
      </c>
      <c r="R91" s="78">
        <f>IF(P91="应付",COUNTIF(P$7:P91,"应付"),"")</f>
      </c>
      <c r="S91" s="78">
        <f>N(F91)-N(G91)</f>
        <v>40000</v>
      </c>
    </row>
    <row r="92">
      <c r="A92" s="109">
        <f>IF(AND(F92="",G92=""),"",ROW()-6)</f>
        <v>86</v>
      </c>
      <c r="B92" s="140" t="n">
        <v>46230</v>
      </c>
      <c r="C92" s="141" t="inlineStr">
        <is>
          <t>收款码</t>
        </is>
      </c>
      <c r="D92" s="141" t="inlineStr">
        <is>
          <t>客户回款</t>
        </is>
      </c>
      <c r="E92" s="142" t="inlineStr">
        <is>
          <t>收货款</t>
        </is>
      </c>
      <c r="F92" s="143" t="n">
        <v>11705</v>
      </c>
      <c r="G92" s="144" t="n"/>
      <c r="H92" s="145">
        <f>IF(OR(C92="",AND(F92="",G92="")),"",SUMIF(基础资料!$W$5:$W$24,C92,基础资料!$X$5:$X$24)+SUMIF(C$7:C92,C92,F$7:F92)-SUMIF(C$7:C92,C92,G$7:G92))</f>
        <v>3387742.19</v>
      </c>
      <c r="I92" s="145">
        <f>IF(AND(F92="",G92=""),"",SUM(基础资料!$X$5:$X$24)+SUM(F$7:F92)-SUM(G$7:G92))</f>
        <v>3399092.19</v>
      </c>
      <c r="J92" s="141" t="inlineStr">
        <is>
          <t>和睦公园百顺</t>
        </is>
      </c>
      <c r="K92" s="141" t="n"/>
      <c r="L92" s="141" t="n"/>
      <c r="M92" s="142" t="n"/>
      <c r="N92" s="146" t="str">
        <f>IF(AND(AND(F92="",G92=""),B92="",C92="",D92="",J92="",K92="",L92=""),"",IF(AND(F92="",G92=""),"✗ 没填金额",IF(AND(N(F92)&lt;&gt;0,N(G92)&lt;&gt;0),"✗ 收入、支出只能填一边",IF(NOT(ISNUMBER(B92)),"✗ 日期不是真日期（要像 2026/9/25 这样填）",IF(OR(B92&lt;年初日,B92&gt;年末日),"✗ 日期不在本会计年度",IF(C92="","✗ 没选账户",IF(COUNTIF(基础资料!$W$5:$W$24,C92)=0,"✗ 账户不在基础资料里",IF(O92="","✗ 没选收支项目",IF(P92="未知","✗ 收支项目不在基础资料里",IF(AND(P92="应收",J92=""),"✗ 这笔要选客户",IF(AND(P92="应收",COUNTIF(总览汇总!$B$5:$B$304,J92)=0),"✗ 客户不在总览汇总名单里",IF(AND(P92="应付",K92=""),"✗ 这笔要选供应商",IF(AND(P92="应付",COUNTIF(基础资料!$Q$5:$Q$54,K92)=0),"✗ 供应商不在基础资料里",IF(AND(P92="费用",L92=""),"✗ 费用支出要选费用项目",IF(AND(L92&lt;&gt;"",COUNTIF(基础资料!$AI$5:$AI$54,L92)=0),"✗ 费用项目不在基础资料里",IF(AND(IFERROR(INDEX(基础资料!$AD$5:$AD$34,MATCH(O92,基础资料!$AC$5:$AC$34,0)),"")="收",N(G92)&lt;&gt;0),"✗ 这类是收款，金额填到收入列",IF(AND(IFERROR(INDEX(基础资料!$AD$5:$AD$34,MATCH(O92,基础资料!$AC$5:$AC$34,0)),"")="支",N(F92)&lt;&gt;0),"✗ 这类是付款，金额填到支出列",IF(N(H92)&lt;0,"⚠ 账户余额成负数了，核对一下","√"))))))))))))))))))</f>
        <v>√</v>
      </c>
      <c r="O92" s="78" t="str">
        <f>IF(D92&lt;&gt;"",D92,IF(AND(F92="",G92=""),"",IF(J92&lt;&gt;"",IF(N(F92)&gt;0,"客户回款","客户退款"),IF(K92&lt;&gt;"",IF(N(G92)&gt;0,"供应商付款","供应商退款"),IF(L92&lt;&gt;"","费用支出","")))))</f>
        <v>客户回款</v>
      </c>
      <c r="P92" s="78" t="str">
        <f>IF(O92="","",IFERROR(INDEX(基础资料!$AE$5:$AE$34,MATCH(O92,基础资料!$AC$5:$AC$34,0)),"未知"))</f>
        <v>应收</v>
      </c>
      <c r="Q92" s="78">
        <f>IF(P92="应收",COUNTIF(P$7:P92,"应收"),"")</f>
        <v>86</v>
      </c>
      <c r="R92" s="78">
        <f>IF(P92="应付",COUNTIF(P$7:P92,"应付"),"")</f>
      </c>
      <c r="S92" s="78">
        <f>N(F92)-N(G92)</f>
        <v>11705</v>
      </c>
    </row>
    <row r="93">
      <c r="A93" s="109">
        <f>IF(AND(F93="",G93=""),"",ROW()-6)</f>
        <v>87</v>
      </c>
      <c r="B93" s="140" t="n">
        <v>46230</v>
      </c>
      <c r="C93" s="141" t="inlineStr">
        <is>
          <t>收款码</t>
        </is>
      </c>
      <c r="D93" s="141" t="inlineStr">
        <is>
          <t>客户回款</t>
        </is>
      </c>
      <c r="E93" s="142" t="inlineStr">
        <is>
          <t>收货款</t>
        </is>
      </c>
      <c r="F93" s="143" t="n">
        <v>1860</v>
      </c>
      <c r="G93" s="144" t="n"/>
      <c r="H93" s="145">
        <f>IF(OR(C93="",AND(F93="",G93="")),"",SUMIF(基础资料!$W$5:$W$24,C93,基础资料!$X$5:$X$24)+SUMIF(C$7:C93,C93,F$7:F93)-SUMIF(C$7:C93,C93,G$7:G93))</f>
        <v>3389602.19</v>
      </c>
      <c r="I93" s="145">
        <f>IF(AND(F93="",G93=""),"",SUM(基础资料!$X$5:$X$24)+SUM(F$7:F93)-SUM(G$7:G93))</f>
        <v>3400952.19</v>
      </c>
      <c r="J93" s="141" t="inlineStr">
        <is>
          <t>南区长裕商行</t>
        </is>
      </c>
      <c r="K93" s="141" t="n"/>
      <c r="L93" s="141" t="n"/>
      <c r="M93" s="142" t="n"/>
      <c r="N93" s="146" t="str">
        <f>IF(AND(AND(F93="",G93=""),B93="",C93="",D93="",J93="",K93="",L93=""),"",IF(AND(F93="",G93=""),"✗ 没填金额",IF(AND(N(F93)&lt;&gt;0,N(G93)&lt;&gt;0),"✗ 收入、支出只能填一边",IF(NOT(ISNUMBER(B93)),"✗ 日期不是真日期（要像 2026/9/25 这样填）",IF(OR(B93&lt;年初日,B93&gt;年末日),"✗ 日期不在本会计年度",IF(C93="","✗ 没选账户",IF(COUNTIF(基础资料!$W$5:$W$24,C93)=0,"✗ 账户不在基础资料里",IF(O93="","✗ 没选收支项目",IF(P93="未知","✗ 收支项目不在基础资料里",IF(AND(P93="应收",J93=""),"✗ 这笔要选客户",IF(AND(P93="应收",COUNTIF(总览汇总!$B$5:$B$304,J93)=0),"✗ 客户不在总览汇总名单里",IF(AND(P93="应付",K93=""),"✗ 这笔要选供应商",IF(AND(P93="应付",COUNTIF(基础资料!$Q$5:$Q$54,K93)=0),"✗ 供应商不在基础资料里",IF(AND(P93="费用",L93=""),"✗ 费用支出要选费用项目",IF(AND(L93&lt;&gt;"",COUNTIF(基础资料!$AI$5:$AI$54,L93)=0),"✗ 费用项目不在基础资料里",IF(AND(IFERROR(INDEX(基础资料!$AD$5:$AD$34,MATCH(O93,基础资料!$AC$5:$AC$34,0)),"")="收",N(G93)&lt;&gt;0),"✗ 这类是收款，金额填到收入列",IF(AND(IFERROR(INDEX(基础资料!$AD$5:$AD$34,MATCH(O93,基础资料!$AC$5:$AC$34,0)),"")="支",N(F93)&lt;&gt;0),"✗ 这类是付款，金额填到支出列",IF(N(H93)&lt;0,"⚠ 账户余额成负数了，核对一下","√"))))))))))))))))))</f>
        <v>√</v>
      </c>
      <c r="O93" s="78" t="str">
        <f>IF(D93&lt;&gt;"",D93,IF(AND(F93="",G93=""),"",IF(J93&lt;&gt;"",IF(N(F93)&gt;0,"客户回款","客户退款"),IF(K93&lt;&gt;"",IF(N(G93)&gt;0,"供应商付款","供应商退款"),IF(L93&lt;&gt;"","费用支出","")))))</f>
        <v>客户回款</v>
      </c>
      <c r="P93" s="78" t="str">
        <f>IF(O93="","",IFERROR(INDEX(基础资料!$AE$5:$AE$34,MATCH(O93,基础资料!$AC$5:$AC$34,0)),"未知"))</f>
        <v>应收</v>
      </c>
      <c r="Q93" s="78">
        <f>IF(P93="应收",COUNTIF(P$7:P93,"应收"),"")</f>
        <v>87</v>
      </c>
      <c r="R93" s="78">
        <f>IF(P93="应付",COUNTIF(P$7:P93,"应付"),"")</f>
      </c>
      <c r="S93" s="78">
        <f>N(F93)-N(G93)</f>
        <v>1860</v>
      </c>
    </row>
    <row r="94">
      <c r="A94" s="109">
        <f>IF(AND(F94="",G94=""),"",ROW()-6)</f>
        <v>88</v>
      </c>
      <c r="B94" s="140" t="n">
        <v>46231</v>
      </c>
      <c r="C94" s="141" t="inlineStr">
        <is>
          <t>收款码</t>
        </is>
      </c>
      <c r="D94" s="141" t="inlineStr">
        <is>
          <t>客户回款</t>
        </is>
      </c>
      <c r="E94" s="142" t="inlineStr">
        <is>
          <t>77900-22000</t>
        </is>
      </c>
      <c r="F94" s="143" t="n">
        <v>22000</v>
      </c>
      <c r="G94" s="144" t="n"/>
      <c r="H94" s="145">
        <f>IF(OR(C94="",AND(F94="",G94="")),"",SUMIF(基础资料!$W$5:$W$24,C94,基础资料!$X$5:$X$24)+SUMIF(C$7:C94,C94,F$7:F94)-SUMIF(C$7:C94,C94,G$7:G94))</f>
        <v>3411602.19</v>
      </c>
      <c r="I94" s="145">
        <f>IF(AND(F94="",G94=""),"",SUM(基础资料!$X$5:$X$24)+SUM(F$7:F94)-SUM(G$7:G94))</f>
        <v>3422952.19</v>
      </c>
      <c r="J94" s="141" t="inlineStr">
        <is>
          <t>桐心源</t>
        </is>
      </c>
      <c r="K94" s="141" t="n"/>
      <c r="L94" s="141" t="n"/>
      <c r="M94" s="142" t="n"/>
      <c r="N94" s="146" t="str">
        <f>IF(AND(AND(F94="",G94=""),B94="",C94="",D94="",J94="",K94="",L94=""),"",IF(AND(F94="",G94=""),"✗ 没填金额",IF(AND(N(F94)&lt;&gt;0,N(G94)&lt;&gt;0),"✗ 收入、支出只能填一边",IF(NOT(ISNUMBER(B94)),"✗ 日期不是真日期（要像 2026/9/25 这样填）",IF(OR(B94&lt;年初日,B94&gt;年末日),"✗ 日期不在本会计年度",IF(C94="","✗ 没选账户",IF(COUNTIF(基础资料!$W$5:$W$24,C94)=0,"✗ 账户不在基础资料里",IF(O94="","✗ 没选收支项目",IF(P94="未知","✗ 收支项目不在基础资料里",IF(AND(P94="应收",J94=""),"✗ 这笔要选客户",IF(AND(P94="应收",COUNTIF(总览汇总!$B$5:$B$304,J94)=0),"✗ 客户不在总览汇总名单里",IF(AND(P94="应付",K94=""),"✗ 这笔要选供应商",IF(AND(P94="应付",COUNTIF(基础资料!$Q$5:$Q$54,K94)=0),"✗ 供应商不在基础资料里",IF(AND(P94="费用",L94=""),"✗ 费用支出要选费用项目",IF(AND(L94&lt;&gt;"",COUNTIF(基础资料!$AI$5:$AI$54,L94)=0),"✗ 费用项目不在基础资料里",IF(AND(IFERROR(INDEX(基础资料!$AD$5:$AD$34,MATCH(O94,基础资料!$AC$5:$AC$34,0)),"")="收",N(G94)&lt;&gt;0),"✗ 这类是收款，金额填到收入列",IF(AND(IFERROR(INDEX(基础资料!$AD$5:$AD$34,MATCH(O94,基础资料!$AC$5:$AC$34,0)),"")="支",N(F94)&lt;&gt;0),"✗ 这类是付款，金额填到支出列",IF(N(H94)&lt;0,"⚠ 账户余额成负数了，核对一下","√"))))))))))))))))))</f>
        <v>√</v>
      </c>
      <c r="O94" s="78" t="str">
        <f>IF(D94&lt;&gt;"",D94,IF(AND(F94="",G94=""),"",IF(J94&lt;&gt;"",IF(N(F94)&gt;0,"客户回款","客户退款"),IF(K94&lt;&gt;"",IF(N(G94)&gt;0,"供应商付款","供应商退款"),IF(L94&lt;&gt;"","费用支出","")))))</f>
        <v>客户回款</v>
      </c>
      <c r="P94" s="78" t="str">
        <f>IF(O94="","",IFERROR(INDEX(基础资料!$AE$5:$AE$34,MATCH(O94,基础资料!$AC$5:$AC$34,0)),"未知"))</f>
        <v>应收</v>
      </c>
      <c r="Q94" s="78">
        <f>IF(P94="应收",COUNTIF(P$7:P94,"应收"),"")</f>
        <v>88</v>
      </c>
      <c r="R94" s="78">
        <f>IF(P94="应付",COUNTIF(P$7:P94,"应付"),"")</f>
      </c>
      <c r="S94" s="78">
        <f>N(F94)-N(G94)</f>
        <v>22000</v>
      </c>
    </row>
    <row r="95">
      <c r="A95" s="109">
        <f>IF(AND(F95="",G95=""),"",ROW()-6)</f>
        <v>89</v>
      </c>
      <c r="B95" s="140" t="n">
        <v>46231</v>
      </c>
      <c r="C95" s="141" t="inlineStr">
        <is>
          <t>收款码</t>
        </is>
      </c>
      <c r="D95" s="141" t="inlineStr">
        <is>
          <t>客户回款</t>
        </is>
      </c>
      <c r="E95" s="142" t="inlineStr">
        <is>
          <t>55900-13000</t>
        </is>
      </c>
      <c r="F95" s="143" t="n">
        <v>13000</v>
      </c>
      <c r="G95" s="144" t="n"/>
      <c r="H95" s="145">
        <f>IF(OR(C95="",AND(F95="",G95="")),"",SUMIF(基础资料!$W$5:$W$24,C95,基础资料!$X$5:$X$24)+SUMIF(C$7:C95,C95,F$7:F95)-SUMIF(C$7:C95,C95,G$7:G95))</f>
        <v>3424602.19</v>
      </c>
      <c r="I95" s="145">
        <f>IF(AND(F95="",G95=""),"",SUM(基础资料!$X$5:$X$24)+SUM(F$7:F95)-SUM(G$7:G95))</f>
        <v>3435952.19</v>
      </c>
      <c r="J95" s="141" t="inlineStr">
        <is>
          <t>桐心源</t>
        </is>
      </c>
      <c r="K95" s="141" t="n"/>
      <c r="L95" s="141" t="n"/>
      <c r="M95" s="142" t="n"/>
      <c r="N95" s="146" t="str">
        <f>IF(AND(AND(F95="",G95=""),B95="",C95="",D95="",J95="",K95="",L95=""),"",IF(AND(F95="",G95=""),"✗ 没填金额",IF(AND(N(F95)&lt;&gt;0,N(G95)&lt;&gt;0),"✗ 收入、支出只能填一边",IF(NOT(ISNUMBER(B95)),"✗ 日期不是真日期（要像 2026/9/25 这样填）",IF(OR(B95&lt;年初日,B95&gt;年末日),"✗ 日期不在本会计年度",IF(C95="","✗ 没选账户",IF(COUNTIF(基础资料!$W$5:$W$24,C95)=0,"✗ 账户不在基础资料里",IF(O95="","✗ 没选收支项目",IF(P95="未知","✗ 收支项目不在基础资料里",IF(AND(P95="应收",J95=""),"✗ 这笔要选客户",IF(AND(P95="应收",COUNTIF(总览汇总!$B$5:$B$304,J95)=0),"✗ 客户不在总览汇总名单里",IF(AND(P95="应付",K95=""),"✗ 这笔要选供应商",IF(AND(P95="应付",COUNTIF(基础资料!$Q$5:$Q$54,K95)=0),"✗ 供应商不在基础资料里",IF(AND(P95="费用",L95=""),"✗ 费用支出要选费用项目",IF(AND(L95&lt;&gt;"",COUNTIF(基础资料!$AI$5:$AI$54,L95)=0),"✗ 费用项目不在基础资料里",IF(AND(IFERROR(INDEX(基础资料!$AD$5:$AD$34,MATCH(O95,基础资料!$AC$5:$AC$34,0)),"")="收",N(G95)&lt;&gt;0),"✗ 这类是收款，金额填到收入列",IF(AND(IFERROR(INDEX(基础资料!$AD$5:$AD$34,MATCH(O95,基础资料!$AC$5:$AC$34,0)),"")="支",N(F95)&lt;&gt;0),"✗ 这类是付款，金额填到支出列",IF(N(H95)&lt;0,"⚠ 账户余额成负数了，核对一下","√"))))))))))))))))))</f>
        <v>√</v>
      </c>
      <c r="O95" s="78" t="str">
        <f>IF(D95&lt;&gt;"",D95,IF(AND(F95="",G95=""),"",IF(J95&lt;&gt;"",IF(N(F95)&gt;0,"客户回款","客户退款"),IF(K95&lt;&gt;"",IF(N(G95)&gt;0,"供应商付款","供应商退款"),IF(L95&lt;&gt;"","费用支出","")))))</f>
        <v>客户回款</v>
      </c>
      <c r="P95" s="78" t="str">
        <f>IF(O95="","",IFERROR(INDEX(基础资料!$AE$5:$AE$34,MATCH(O95,基础资料!$AC$5:$AC$34,0)),"未知"))</f>
        <v>应收</v>
      </c>
      <c r="Q95" s="78">
        <f>IF(P95="应收",COUNTIF(P$7:P95,"应收"),"")</f>
        <v>89</v>
      </c>
      <c r="R95" s="78">
        <f>IF(P95="应付",COUNTIF(P$7:P95,"应付"),"")</f>
      </c>
      <c r="S95" s="78">
        <f>N(F95)-N(G95)</f>
        <v>13000</v>
      </c>
    </row>
    <row r="96">
      <c r="A96" s="109">
        <f>IF(AND(F96="",G96=""),"",ROW()-6)</f>
        <v>90</v>
      </c>
      <c r="B96" s="140" t="n">
        <v>46231</v>
      </c>
      <c r="C96" s="141" t="inlineStr">
        <is>
          <t>收款码</t>
        </is>
      </c>
      <c r="D96" s="141" t="inlineStr">
        <is>
          <t>客户回款</t>
        </is>
      </c>
      <c r="E96" s="142" t="inlineStr">
        <is>
          <t>收货款</t>
        </is>
      </c>
      <c r="F96" s="143" t="n">
        <v>77960</v>
      </c>
      <c r="G96" s="144" t="n"/>
      <c r="H96" s="145">
        <f>IF(OR(C96="",AND(F96="",G96="")),"",SUMIF(基础资料!$W$5:$W$24,C96,基础资料!$X$5:$X$24)+SUMIF(C$7:C96,C96,F$7:F96)-SUMIF(C$7:C96,C96,G$7:G96))</f>
        <v>3502562.19</v>
      </c>
      <c r="I96" s="145">
        <f>IF(AND(F96="",G96=""),"",SUM(基础资料!$X$5:$X$24)+SUM(F$7:F96)-SUM(G$7:G96))</f>
        <v>3513912.19</v>
      </c>
      <c r="J96" s="141" t="inlineStr">
        <is>
          <t>桐心源</t>
        </is>
      </c>
      <c r="K96" s="141" t="n"/>
      <c r="L96" s="141" t="n"/>
      <c r="M96" s="142" t="n"/>
      <c r="N96" s="146" t="str">
        <f>IF(AND(AND(F96="",G96=""),B96="",C96="",D96="",J96="",K96="",L96=""),"",IF(AND(F96="",G96=""),"✗ 没填金额",IF(AND(N(F96)&lt;&gt;0,N(G96)&lt;&gt;0),"✗ 收入、支出只能填一边",IF(NOT(ISNUMBER(B96)),"✗ 日期不是真日期（要像 2026/9/25 这样填）",IF(OR(B96&lt;年初日,B96&gt;年末日),"✗ 日期不在本会计年度",IF(C96="","✗ 没选账户",IF(COUNTIF(基础资料!$W$5:$W$24,C96)=0,"✗ 账户不在基础资料里",IF(O96="","✗ 没选收支项目",IF(P96="未知","✗ 收支项目不在基础资料里",IF(AND(P96="应收",J96=""),"✗ 这笔要选客户",IF(AND(P96="应收",COUNTIF(总览汇总!$B$5:$B$304,J96)=0),"✗ 客户不在总览汇总名单里",IF(AND(P96="应付",K96=""),"✗ 这笔要选供应商",IF(AND(P96="应付",COUNTIF(基础资料!$Q$5:$Q$54,K96)=0),"✗ 供应商不在基础资料里",IF(AND(P96="费用",L96=""),"✗ 费用支出要选费用项目",IF(AND(L96&lt;&gt;"",COUNTIF(基础资料!$AI$5:$AI$54,L96)=0),"✗ 费用项目不在基础资料里",IF(AND(IFERROR(INDEX(基础资料!$AD$5:$AD$34,MATCH(O96,基础资料!$AC$5:$AC$34,0)),"")="收",N(G96)&lt;&gt;0),"✗ 这类是收款，金额填到收入列",IF(AND(IFERROR(INDEX(基础资料!$AD$5:$AD$34,MATCH(O96,基础资料!$AC$5:$AC$34,0)),"")="支",N(F96)&lt;&gt;0),"✗ 这类是付款，金额填到支出列",IF(N(H96)&lt;0,"⚠ 账户余额成负数了，核对一下","√"))))))))))))))))))</f>
        <v>√</v>
      </c>
      <c r="O96" s="78" t="str">
        <f>IF(D96&lt;&gt;"",D96,IF(AND(F96="",G96=""),"",IF(J96&lt;&gt;"",IF(N(F96)&gt;0,"客户回款","客户退款"),IF(K96&lt;&gt;"",IF(N(G96)&gt;0,"供应商付款","供应商退款"),IF(L96&lt;&gt;"","费用支出","")))))</f>
        <v>客户回款</v>
      </c>
      <c r="P96" s="78" t="str">
        <f>IF(O96="","",IFERROR(INDEX(基础资料!$AE$5:$AE$34,MATCH(O96,基础资料!$AC$5:$AC$34,0)),"未知"))</f>
        <v>应收</v>
      </c>
      <c r="Q96" s="78">
        <f>IF(P96="应收",COUNTIF(P$7:P96,"应收"),"")</f>
        <v>90</v>
      </c>
      <c r="R96" s="78">
        <f>IF(P96="应付",COUNTIF(P$7:P96,"应付"),"")</f>
      </c>
      <c r="S96" s="78">
        <f>N(F96)-N(G96)</f>
        <v>77960</v>
      </c>
    </row>
    <row r="97">
      <c r="A97" s="109">
        <f>IF(AND(F97="",G97=""),"",ROW()-6)</f>
        <v>91</v>
      </c>
      <c r="B97" s="140" t="n">
        <v>46232</v>
      </c>
      <c r="C97" s="141" t="inlineStr">
        <is>
          <t>收款码</t>
        </is>
      </c>
      <c r="D97" s="141" t="inlineStr">
        <is>
          <t>客户回款</t>
        </is>
      </c>
      <c r="E97" s="142" t="inlineStr">
        <is>
          <t>收货款</t>
        </is>
      </c>
      <c r="F97" s="143" t="n">
        <v>9860</v>
      </c>
      <c r="G97" s="144" t="n"/>
      <c r="H97" s="145">
        <f>IF(OR(C97="",AND(F97="",G97="")),"",SUMIF(基础资料!$W$5:$W$24,C97,基础资料!$X$5:$X$24)+SUMIF(C$7:C97,C97,F$7:F97)-SUMIF(C$7:C97,C97,G$7:G97))</f>
        <v>3512422.19</v>
      </c>
      <c r="I97" s="145">
        <f>IF(AND(F97="",G97=""),"",SUM(基础资料!$X$5:$X$24)+SUM(F$7:F97)-SUM(G$7:G97))</f>
        <v>3523772.19</v>
      </c>
      <c r="J97" s="141" t="inlineStr">
        <is>
          <t>星海超市</t>
        </is>
      </c>
      <c r="K97" s="141" t="n"/>
      <c r="L97" s="141" t="n"/>
      <c r="M97" s="142" t="n"/>
      <c r="N97" s="146" t="str">
        <f>IF(AND(AND(F97="",G97=""),B97="",C97="",D97="",J97="",K97="",L97=""),"",IF(AND(F97="",G97=""),"✗ 没填金额",IF(AND(N(F97)&lt;&gt;0,N(G97)&lt;&gt;0),"✗ 收入、支出只能填一边",IF(NOT(ISNUMBER(B97)),"✗ 日期不是真日期（要像 2026/9/25 这样填）",IF(OR(B97&lt;年初日,B97&gt;年末日),"✗ 日期不在本会计年度",IF(C97="","✗ 没选账户",IF(COUNTIF(基础资料!$W$5:$W$24,C97)=0,"✗ 账户不在基础资料里",IF(O97="","✗ 没选收支项目",IF(P97="未知","✗ 收支项目不在基础资料里",IF(AND(P97="应收",J97=""),"✗ 这笔要选客户",IF(AND(P97="应收",COUNTIF(总览汇总!$B$5:$B$304,J97)=0),"✗ 客户不在总览汇总名单里",IF(AND(P97="应付",K97=""),"✗ 这笔要选供应商",IF(AND(P97="应付",COUNTIF(基础资料!$Q$5:$Q$54,K97)=0),"✗ 供应商不在基础资料里",IF(AND(P97="费用",L97=""),"✗ 费用支出要选费用项目",IF(AND(L97&lt;&gt;"",COUNTIF(基础资料!$AI$5:$AI$54,L97)=0),"✗ 费用项目不在基础资料里",IF(AND(IFERROR(INDEX(基础资料!$AD$5:$AD$34,MATCH(O97,基础资料!$AC$5:$AC$34,0)),"")="收",N(G97)&lt;&gt;0),"✗ 这类是收款，金额填到收入列",IF(AND(IFERROR(INDEX(基础资料!$AD$5:$AD$34,MATCH(O97,基础资料!$AC$5:$AC$34,0)),"")="支",N(F97)&lt;&gt;0),"✗ 这类是付款，金额填到支出列",IF(N(H97)&lt;0,"⚠ 账户余额成负数了，核对一下","√"))))))))))))))))))</f>
        <v>√</v>
      </c>
      <c r="O97" s="78" t="str">
        <f>IF(D97&lt;&gt;"",D97,IF(AND(F97="",G97=""),"",IF(J97&lt;&gt;"",IF(N(F97)&gt;0,"客户回款","客户退款"),IF(K97&lt;&gt;"",IF(N(G97)&gt;0,"供应商付款","供应商退款"),IF(L97&lt;&gt;"","费用支出","")))))</f>
        <v>客户回款</v>
      </c>
      <c r="P97" s="78" t="str">
        <f>IF(O97="","",IFERROR(INDEX(基础资料!$AE$5:$AE$34,MATCH(O97,基础资料!$AC$5:$AC$34,0)),"未知"))</f>
        <v>应收</v>
      </c>
      <c r="Q97" s="78">
        <f>IF(P97="应收",COUNTIF(P$7:P97,"应收"),"")</f>
        <v>91</v>
      </c>
      <c r="R97" s="78">
        <f>IF(P97="应付",COUNTIF(P$7:P97,"应付"),"")</f>
      </c>
      <c r="S97" s="78">
        <f>N(F97)-N(G97)</f>
        <v>9860</v>
      </c>
    </row>
    <row r="98">
      <c r="A98" s="109">
        <f>IF(AND(F98="",G98=""),"",ROW()-6)</f>
        <v>92</v>
      </c>
      <c r="B98" s="140" t="n">
        <v>46232</v>
      </c>
      <c r="C98" s="141" t="inlineStr">
        <is>
          <t>收款码</t>
        </is>
      </c>
      <c r="D98" s="141" t="inlineStr">
        <is>
          <t>客户回款</t>
        </is>
      </c>
      <c r="E98" s="142" t="inlineStr">
        <is>
          <t>收货款</t>
        </is>
      </c>
      <c r="F98" s="143" t="n">
        <v>4500</v>
      </c>
      <c r="G98" s="144" t="n"/>
      <c r="H98" s="145">
        <f>IF(OR(C98="",AND(F98="",G98="")),"",SUMIF(基础资料!$W$5:$W$24,C98,基础资料!$X$5:$X$24)+SUMIF(C$7:C98,C98,F$7:F98)-SUMIF(C$7:C98,C98,G$7:G98))</f>
        <v>3516922.19</v>
      </c>
      <c r="I98" s="145">
        <f>IF(AND(F98="",G98=""),"",SUM(基础资料!$X$5:$X$24)+SUM(F$7:F98)-SUM(G$7:G98))</f>
        <v>3528272.19</v>
      </c>
      <c r="J98" s="141" t="inlineStr">
        <is>
          <t>洪门永信商行</t>
        </is>
      </c>
      <c r="K98" s="141" t="n"/>
      <c r="L98" s="141" t="n"/>
      <c r="M98" s="142" t="n"/>
      <c r="N98" s="146" t="str">
        <f>IF(AND(AND(F98="",G98=""),B98="",C98="",D98="",J98="",K98="",L98=""),"",IF(AND(F98="",G98=""),"✗ 没填金额",IF(AND(N(F98)&lt;&gt;0,N(G98)&lt;&gt;0),"✗ 收入、支出只能填一边",IF(NOT(ISNUMBER(B98)),"✗ 日期不是真日期（要像 2026/9/25 这样填）",IF(OR(B98&lt;年初日,B98&gt;年末日),"✗ 日期不在本会计年度",IF(C98="","✗ 没选账户",IF(COUNTIF(基础资料!$W$5:$W$24,C98)=0,"✗ 账户不在基础资料里",IF(O98="","✗ 没选收支项目",IF(P98="未知","✗ 收支项目不在基础资料里",IF(AND(P98="应收",J98=""),"✗ 这笔要选客户",IF(AND(P98="应收",COUNTIF(总览汇总!$B$5:$B$304,J98)=0),"✗ 客户不在总览汇总名单里",IF(AND(P98="应付",K98=""),"✗ 这笔要选供应商",IF(AND(P98="应付",COUNTIF(基础资料!$Q$5:$Q$54,K98)=0),"✗ 供应商不在基础资料里",IF(AND(P98="费用",L98=""),"✗ 费用支出要选费用项目",IF(AND(L98&lt;&gt;"",COUNTIF(基础资料!$AI$5:$AI$54,L98)=0),"✗ 费用项目不在基础资料里",IF(AND(IFERROR(INDEX(基础资料!$AD$5:$AD$34,MATCH(O98,基础资料!$AC$5:$AC$34,0)),"")="收",N(G98)&lt;&gt;0),"✗ 这类是收款，金额填到收入列",IF(AND(IFERROR(INDEX(基础资料!$AD$5:$AD$34,MATCH(O98,基础资料!$AC$5:$AC$34,0)),"")="支",N(F98)&lt;&gt;0),"✗ 这类是付款，金额填到支出列",IF(N(H98)&lt;0,"⚠ 账户余额成负数了，核对一下","√"))))))))))))))))))</f>
        <v>√</v>
      </c>
      <c r="O98" s="78" t="str">
        <f>IF(D98&lt;&gt;"",D98,IF(AND(F98="",G98=""),"",IF(J98&lt;&gt;"",IF(N(F98)&gt;0,"客户回款","客户退款"),IF(K98&lt;&gt;"",IF(N(G98)&gt;0,"供应商付款","供应商退款"),IF(L98&lt;&gt;"","费用支出","")))))</f>
        <v>客户回款</v>
      </c>
      <c r="P98" s="78" t="str">
        <f>IF(O98="","",IFERROR(INDEX(基础资料!$AE$5:$AE$34,MATCH(O98,基础资料!$AC$5:$AC$34,0)),"未知"))</f>
        <v>应收</v>
      </c>
      <c r="Q98" s="78">
        <f>IF(P98="应收",COUNTIF(P$7:P98,"应收"),"")</f>
        <v>92</v>
      </c>
      <c r="R98" s="78">
        <f>IF(P98="应付",COUNTIF(P$7:P98,"应付"),"")</f>
      </c>
      <c r="S98" s="78">
        <f>N(F98)-N(G98)</f>
        <v>4500</v>
      </c>
    </row>
    <row r="99">
      <c r="A99" s="109">
        <f>IF(AND(F99="",G99=""),"",ROW()-6)</f>
        <v>93</v>
      </c>
      <c r="B99" s="140" t="n">
        <v>46234</v>
      </c>
      <c r="C99" s="141" t="inlineStr">
        <is>
          <t>收款码</t>
        </is>
      </c>
      <c r="D99" s="141" t="inlineStr">
        <is>
          <t>客户回款</t>
        </is>
      </c>
      <c r="E99" s="142" t="inlineStr">
        <is>
          <t>收货款</t>
        </is>
      </c>
      <c r="F99" s="143" t="n">
        <v>8660</v>
      </c>
      <c r="G99" s="144" t="n"/>
      <c r="H99" s="145">
        <f>IF(OR(C99="",AND(F99="",G99="")),"",SUMIF(基础资料!$W$5:$W$24,C99,基础资料!$X$5:$X$24)+SUMIF(C$7:C99,C99,F$7:F99)-SUMIF(C$7:C99,C99,G$7:G99))</f>
        <v>3525582.19</v>
      </c>
      <c r="I99" s="145">
        <f>IF(AND(F99="",G99=""),"",SUM(基础资料!$X$5:$X$24)+SUM(F$7:F99)-SUM(G$7:G99))</f>
        <v>3536932.19</v>
      </c>
      <c r="J99" s="141" t="inlineStr">
        <is>
          <t>星海超市</t>
        </is>
      </c>
      <c r="K99" s="141" t="n"/>
      <c r="L99" s="141" t="n"/>
      <c r="M99" s="142" t="n"/>
      <c r="N99" s="146" t="str">
        <f>IF(AND(AND(F99="",G99=""),B99="",C99="",D99="",J99="",K99="",L99=""),"",IF(AND(F99="",G99=""),"✗ 没填金额",IF(AND(N(F99)&lt;&gt;0,N(G99)&lt;&gt;0),"✗ 收入、支出只能填一边",IF(NOT(ISNUMBER(B99)),"✗ 日期不是真日期（要像 2026/9/25 这样填）",IF(OR(B99&lt;年初日,B99&gt;年末日),"✗ 日期不在本会计年度",IF(C99="","✗ 没选账户",IF(COUNTIF(基础资料!$W$5:$W$24,C99)=0,"✗ 账户不在基础资料里",IF(O99="","✗ 没选收支项目",IF(P99="未知","✗ 收支项目不在基础资料里",IF(AND(P99="应收",J99=""),"✗ 这笔要选客户",IF(AND(P99="应收",COUNTIF(总览汇总!$B$5:$B$304,J99)=0),"✗ 客户不在总览汇总名单里",IF(AND(P99="应付",K99=""),"✗ 这笔要选供应商",IF(AND(P99="应付",COUNTIF(基础资料!$Q$5:$Q$54,K99)=0),"✗ 供应商不在基础资料里",IF(AND(P99="费用",L99=""),"✗ 费用支出要选费用项目",IF(AND(L99&lt;&gt;"",COUNTIF(基础资料!$AI$5:$AI$54,L99)=0),"✗ 费用项目不在基础资料里",IF(AND(IFERROR(INDEX(基础资料!$AD$5:$AD$34,MATCH(O99,基础资料!$AC$5:$AC$34,0)),"")="收",N(G99)&lt;&gt;0),"✗ 这类是收款，金额填到收入列",IF(AND(IFERROR(INDEX(基础资料!$AD$5:$AD$34,MATCH(O99,基础资料!$AC$5:$AC$34,0)),"")="支",N(F99)&lt;&gt;0),"✗ 这类是付款，金额填到支出列",IF(N(H99)&lt;0,"⚠ 账户余额成负数了，核对一下","√"))))))))))))))))))</f>
        <v>√</v>
      </c>
      <c r="O99" s="78" t="str">
        <f>IF(D99&lt;&gt;"",D99,IF(AND(F99="",G99=""),"",IF(J99&lt;&gt;"",IF(N(F99)&gt;0,"客户回款","客户退款"),IF(K99&lt;&gt;"",IF(N(G99)&gt;0,"供应商付款","供应商退款"),IF(L99&lt;&gt;"","费用支出","")))))</f>
        <v>客户回款</v>
      </c>
      <c r="P99" s="78" t="str">
        <f>IF(O99="","",IFERROR(INDEX(基础资料!$AE$5:$AE$34,MATCH(O99,基础资料!$AC$5:$AC$34,0)),"未知"))</f>
        <v>应收</v>
      </c>
      <c r="Q99" s="78">
        <f>IF(P99="应收",COUNTIF(P$7:P99,"应收"),"")</f>
        <v>93</v>
      </c>
      <c r="R99" s="78">
        <f>IF(P99="应付",COUNTIF(P$7:P99,"应付"),"")</f>
      </c>
      <c r="S99" s="78">
        <f>N(F99)-N(G99)</f>
        <v>8660</v>
      </c>
    </row>
    <row r="100">
      <c r="A100" s="109">
        <f>IF(AND(F100="",G100=""),"",ROW()-6)</f>
        <v>94</v>
      </c>
      <c r="B100" s="140" t="n">
        <v>46234</v>
      </c>
      <c r="C100" s="141" t="inlineStr">
        <is>
          <t>收款码</t>
        </is>
      </c>
      <c r="D100" s="141" t="inlineStr">
        <is>
          <t>客户回款</t>
        </is>
      </c>
      <c r="E100" s="142" t="inlineStr">
        <is>
          <t>收货款</t>
        </is>
      </c>
      <c r="F100" s="143" t="n">
        <v>30000</v>
      </c>
      <c r="G100" s="144" t="n"/>
      <c r="H100" s="145">
        <f>IF(OR(C100="",AND(F100="",G100="")),"",SUMIF(基础资料!$W$5:$W$24,C100,基础资料!$X$5:$X$24)+SUMIF(C$7:C100,C100,F$7:F100)-SUMIF(C$7:C100,C100,G$7:G100))</f>
        <v>3555582.19</v>
      </c>
      <c r="I100" s="145">
        <f>IF(AND(F100="",G100=""),"",SUM(基础资料!$X$5:$X$24)+SUM(F$7:F100)-SUM(G$7:G100))</f>
        <v>3566932.19</v>
      </c>
      <c r="J100" s="141" t="inlineStr">
        <is>
          <t>吕维春</t>
        </is>
      </c>
      <c r="K100" s="141" t="n"/>
      <c r="L100" s="141" t="n"/>
      <c r="M100" s="142" t="n"/>
      <c r="N100" s="146" t="str">
        <f>IF(AND(AND(F100="",G100=""),B100="",C100="",D100="",J100="",K100="",L100=""),"",IF(AND(F100="",G100=""),"✗ 没填金额",IF(AND(N(F100)&lt;&gt;0,N(G100)&lt;&gt;0),"✗ 收入、支出只能填一边",IF(NOT(ISNUMBER(B100)),"✗ 日期不是真日期（要像 2026/9/25 这样填）",IF(OR(B100&lt;年初日,B100&gt;年末日),"✗ 日期不在本会计年度",IF(C100="","✗ 没选账户",IF(COUNTIF(基础资料!$W$5:$W$24,C100)=0,"✗ 账户不在基础资料里",IF(O100="","✗ 没选收支项目",IF(P100="未知","✗ 收支项目不在基础资料里",IF(AND(P100="应收",J100=""),"✗ 这笔要选客户",IF(AND(P100="应收",COUNTIF(总览汇总!$B$5:$B$304,J100)=0),"✗ 客户不在总览汇总名单里",IF(AND(P100="应付",K100=""),"✗ 这笔要选供应商",IF(AND(P100="应付",COUNTIF(基础资料!$Q$5:$Q$54,K100)=0),"✗ 供应商不在基础资料里",IF(AND(P100="费用",L100=""),"✗ 费用支出要选费用项目",IF(AND(L100&lt;&gt;"",COUNTIF(基础资料!$AI$5:$AI$54,L100)=0),"✗ 费用项目不在基础资料里",IF(AND(IFERROR(INDEX(基础资料!$AD$5:$AD$34,MATCH(O100,基础资料!$AC$5:$AC$34,0)),"")="收",N(G100)&lt;&gt;0),"✗ 这类是收款，金额填到收入列",IF(AND(IFERROR(INDEX(基础资料!$AD$5:$AD$34,MATCH(O100,基础资料!$AC$5:$AC$34,0)),"")="支",N(F100)&lt;&gt;0),"✗ 这类是付款，金额填到支出列",IF(N(H100)&lt;0,"⚠ 账户余额成负数了，核对一下","√"))))))))))))))))))</f>
        <v>√</v>
      </c>
      <c r="O100" s="78" t="str">
        <f>IF(D100&lt;&gt;"",D100,IF(AND(F100="",G100=""),"",IF(J100&lt;&gt;"",IF(N(F100)&gt;0,"客户回款","客户退款"),IF(K100&lt;&gt;"",IF(N(G100)&gt;0,"供应商付款","供应商退款"),IF(L100&lt;&gt;"","费用支出","")))))</f>
        <v>客户回款</v>
      </c>
      <c r="P100" s="78" t="str">
        <f>IF(O100="","",IFERROR(INDEX(基础资料!$AE$5:$AE$34,MATCH(O100,基础资料!$AC$5:$AC$34,0)),"未知"))</f>
        <v>应收</v>
      </c>
      <c r="Q100" s="78">
        <f>IF(P100="应收",COUNTIF(P$7:P100,"应收"),"")</f>
        <v>94</v>
      </c>
      <c r="R100" s="78">
        <f>IF(P100="应付",COUNTIF(P$7:P100,"应付"),"")</f>
      </c>
      <c r="S100" s="78">
        <f>N(F100)-N(G100)</f>
        <v>30000</v>
      </c>
    </row>
    <row r="101">
      <c r="A101" s="109">
        <f>IF(AND(F101="",G101=""),"",ROW()-6)</f>
        <v>95</v>
      </c>
      <c r="B101" s="140" t="n">
        <v>46235</v>
      </c>
      <c r="C101" s="141" t="inlineStr">
        <is>
          <t>收款码</t>
        </is>
      </c>
      <c r="D101" s="141" t="inlineStr">
        <is>
          <t>客户回款</t>
        </is>
      </c>
      <c r="E101" s="142" t="inlineStr">
        <is>
          <t>收货款</t>
        </is>
      </c>
      <c r="F101" s="143" t="n">
        <v>67900</v>
      </c>
      <c r="G101" s="144" t="n"/>
      <c r="H101" s="145">
        <f>IF(OR(C101="",AND(F101="",G101="")),"",SUMIF(基础资料!$W$5:$W$24,C101,基础资料!$X$5:$X$24)+SUMIF(C$7:C101,C101,F$7:F101)-SUMIF(C$7:C101,C101,G$7:G101))</f>
        <v>3623482.19</v>
      </c>
      <c r="I101" s="145">
        <f>IF(AND(F101="",G101=""),"",SUM(基础资料!$X$5:$X$24)+SUM(F$7:F101)-SUM(G$7:G101))</f>
        <v>3634832.19</v>
      </c>
      <c r="J101" s="141" t="inlineStr">
        <is>
          <t>阿东副食</t>
        </is>
      </c>
      <c r="K101" s="141" t="n"/>
      <c r="L101" s="141" t="n"/>
      <c r="M101" s="142" t="n"/>
      <c r="N101" s="146" t="str">
        <f>IF(AND(AND(F101="",G101=""),B101="",C101="",D101="",J101="",K101="",L101=""),"",IF(AND(F101="",G101=""),"✗ 没填金额",IF(AND(N(F101)&lt;&gt;0,N(G101)&lt;&gt;0),"✗ 收入、支出只能填一边",IF(NOT(ISNUMBER(B101)),"✗ 日期不是真日期（要像 2026/9/25 这样填）",IF(OR(B101&lt;年初日,B101&gt;年末日),"✗ 日期不在本会计年度",IF(C101="","✗ 没选账户",IF(COUNTIF(基础资料!$W$5:$W$24,C101)=0,"✗ 账户不在基础资料里",IF(O101="","✗ 没选收支项目",IF(P101="未知","✗ 收支项目不在基础资料里",IF(AND(P101="应收",J101=""),"✗ 这笔要选客户",IF(AND(P101="应收",COUNTIF(总览汇总!$B$5:$B$304,J101)=0),"✗ 客户不在总览汇总名单里",IF(AND(P101="应付",K101=""),"✗ 这笔要选供应商",IF(AND(P101="应付",COUNTIF(基础资料!$Q$5:$Q$54,K101)=0),"✗ 供应商不在基础资料里",IF(AND(P101="费用",L101=""),"✗ 费用支出要选费用项目",IF(AND(L101&lt;&gt;"",COUNTIF(基础资料!$AI$5:$AI$54,L101)=0),"✗ 费用项目不在基础资料里",IF(AND(IFERROR(INDEX(基础资料!$AD$5:$AD$34,MATCH(O101,基础资料!$AC$5:$AC$34,0)),"")="收",N(G101)&lt;&gt;0),"✗ 这类是收款，金额填到收入列",IF(AND(IFERROR(INDEX(基础资料!$AD$5:$AD$34,MATCH(O101,基础资料!$AC$5:$AC$34,0)),"")="支",N(F101)&lt;&gt;0),"✗ 这类是付款，金额填到支出列",IF(N(H101)&lt;0,"⚠ 账户余额成负数了，核对一下","√"))))))))))))))))))</f>
        <v>√</v>
      </c>
      <c r="O101" s="78" t="str">
        <f>IF(D101&lt;&gt;"",D101,IF(AND(F101="",G101=""),"",IF(J101&lt;&gt;"",IF(N(F101)&gt;0,"客户回款","客户退款"),IF(K101&lt;&gt;"",IF(N(G101)&gt;0,"供应商付款","供应商退款"),IF(L101&lt;&gt;"","费用支出","")))))</f>
        <v>客户回款</v>
      </c>
      <c r="P101" s="78" t="str">
        <f>IF(O101="","",IFERROR(INDEX(基础资料!$AE$5:$AE$34,MATCH(O101,基础资料!$AC$5:$AC$34,0)),"未知"))</f>
        <v>应收</v>
      </c>
      <c r="Q101" s="78">
        <f>IF(P101="应收",COUNTIF(P$7:P101,"应收"),"")</f>
        <v>95</v>
      </c>
      <c r="R101" s="78">
        <f>IF(P101="应付",COUNTIF(P$7:P101,"应付"),"")</f>
      </c>
      <c r="S101" s="78">
        <f>N(F101)-N(G101)</f>
        <v>67900</v>
      </c>
    </row>
    <row r="102">
      <c r="A102" s="109">
        <f>IF(AND(F102="",G102=""),"",ROW()-6)</f>
        <v>96</v>
      </c>
      <c r="B102" s="140" t="n">
        <v>46235</v>
      </c>
      <c r="C102" s="141" t="inlineStr">
        <is>
          <t>收款码</t>
        </is>
      </c>
      <c r="D102" s="141" t="inlineStr">
        <is>
          <t>客户回款</t>
        </is>
      </c>
      <c r="E102" s="142" t="inlineStr">
        <is>
          <t>收货款</t>
        </is>
      </c>
      <c r="F102" s="143" t="n">
        <v>12000</v>
      </c>
      <c r="G102" s="144" t="n"/>
      <c r="H102" s="145">
        <f>IF(OR(C102="",AND(F102="",G102="")),"",SUMIF(基础资料!$W$5:$W$24,C102,基础资料!$X$5:$X$24)+SUMIF(C$7:C102,C102,F$7:F102)-SUMIF(C$7:C102,C102,G$7:G102))</f>
        <v>3635482.19</v>
      </c>
      <c r="I102" s="145">
        <f>IF(AND(F102="",G102=""),"",SUM(基础资料!$X$5:$X$24)+SUM(F$7:F102)-SUM(G$7:G102))</f>
        <v>3646832.19</v>
      </c>
      <c r="J102" s="141" t="inlineStr">
        <is>
          <t>小陈副食</t>
        </is>
      </c>
      <c r="K102" s="141" t="n"/>
      <c r="L102" s="141" t="n"/>
      <c r="M102" s="142" t="n"/>
      <c r="N102" s="146" t="str">
        <f>IF(AND(AND(F102="",G102=""),B102="",C102="",D102="",J102="",K102="",L102=""),"",IF(AND(F102="",G102=""),"✗ 没填金额",IF(AND(N(F102)&lt;&gt;0,N(G102)&lt;&gt;0),"✗ 收入、支出只能填一边",IF(NOT(ISNUMBER(B102)),"✗ 日期不是真日期（要像 2026/9/25 这样填）",IF(OR(B102&lt;年初日,B102&gt;年末日),"✗ 日期不在本会计年度",IF(C102="","✗ 没选账户",IF(COUNTIF(基础资料!$W$5:$W$24,C102)=0,"✗ 账户不在基础资料里",IF(O102="","✗ 没选收支项目",IF(P102="未知","✗ 收支项目不在基础资料里",IF(AND(P102="应收",J102=""),"✗ 这笔要选客户",IF(AND(P102="应收",COUNTIF(总览汇总!$B$5:$B$304,J102)=0),"✗ 客户不在总览汇总名单里",IF(AND(P102="应付",K102=""),"✗ 这笔要选供应商",IF(AND(P102="应付",COUNTIF(基础资料!$Q$5:$Q$54,K102)=0),"✗ 供应商不在基础资料里",IF(AND(P102="费用",L102=""),"✗ 费用支出要选费用项目",IF(AND(L102&lt;&gt;"",COUNTIF(基础资料!$AI$5:$AI$54,L102)=0),"✗ 费用项目不在基础资料里",IF(AND(IFERROR(INDEX(基础资料!$AD$5:$AD$34,MATCH(O102,基础资料!$AC$5:$AC$34,0)),"")="收",N(G102)&lt;&gt;0),"✗ 这类是收款，金额填到收入列",IF(AND(IFERROR(INDEX(基础资料!$AD$5:$AD$34,MATCH(O102,基础资料!$AC$5:$AC$34,0)),"")="支",N(F102)&lt;&gt;0),"✗ 这类是付款，金额填到支出列",IF(N(H102)&lt;0,"⚠ 账户余额成负数了，核对一下","√"))))))))))))))))))</f>
        <v>√</v>
      </c>
      <c r="O102" s="78" t="str">
        <f>IF(D102&lt;&gt;"",D102,IF(AND(F102="",G102=""),"",IF(J102&lt;&gt;"",IF(N(F102)&gt;0,"客户回款","客户退款"),IF(K102&lt;&gt;"",IF(N(G102)&gt;0,"供应商付款","供应商退款"),IF(L102&lt;&gt;"","费用支出","")))))</f>
        <v>客户回款</v>
      </c>
      <c r="P102" s="78" t="str">
        <f>IF(O102="","",IFERROR(INDEX(基础资料!$AE$5:$AE$34,MATCH(O102,基础资料!$AC$5:$AC$34,0)),"未知"))</f>
        <v>应收</v>
      </c>
      <c r="Q102" s="78">
        <f>IF(P102="应收",COUNTIF(P$7:P102,"应收"),"")</f>
        <v>96</v>
      </c>
      <c r="R102" s="78">
        <f>IF(P102="应付",COUNTIF(P$7:P102,"应付"),"")</f>
      </c>
      <c r="S102" s="78">
        <f>N(F102)-N(G102)</f>
        <v>12000</v>
      </c>
    </row>
    <row r="103">
      <c r="A103" s="109">
        <f>IF(AND(F103="",G103=""),"",ROW()-6)</f>
        <v>97</v>
      </c>
      <c r="B103" s="140" t="n">
        <v>46241</v>
      </c>
      <c r="C103" s="141" t="inlineStr">
        <is>
          <t>收款码</t>
        </is>
      </c>
      <c r="D103" s="141" t="inlineStr">
        <is>
          <t>客户回款</t>
        </is>
      </c>
      <c r="E103" s="142" t="inlineStr">
        <is>
          <t>收货款</t>
        </is>
      </c>
      <c r="F103" s="143" t="n">
        <v>2100</v>
      </c>
      <c r="G103" s="144" t="n"/>
      <c r="H103" s="145">
        <f>IF(OR(C103="",AND(F103="",G103="")),"",SUMIF(基础资料!$W$5:$W$24,C103,基础资料!$X$5:$X$24)+SUMIF(C$7:C103,C103,F$7:F103)-SUMIF(C$7:C103,C103,G$7:G103))</f>
        <v>3637582.19</v>
      </c>
      <c r="I103" s="145">
        <f>IF(AND(F103="",G103=""),"",SUM(基础资料!$X$5:$X$24)+SUM(F$7:F103)-SUM(G$7:G103))</f>
        <v>3648932.19</v>
      </c>
      <c r="J103" s="141" t="inlineStr">
        <is>
          <t>阿东副食</t>
        </is>
      </c>
      <c r="K103" s="141" t="n"/>
      <c r="L103" s="141" t="n"/>
      <c r="M103" s="142" t="n"/>
      <c r="N103" s="146" t="str">
        <f>IF(AND(AND(F103="",G103=""),B103="",C103="",D103="",J103="",K103="",L103=""),"",IF(AND(F103="",G103=""),"✗ 没填金额",IF(AND(N(F103)&lt;&gt;0,N(G103)&lt;&gt;0),"✗ 收入、支出只能填一边",IF(NOT(ISNUMBER(B103)),"✗ 日期不是真日期（要像 2026/9/25 这样填）",IF(OR(B103&lt;年初日,B103&gt;年末日),"✗ 日期不在本会计年度",IF(C103="","✗ 没选账户",IF(COUNTIF(基础资料!$W$5:$W$24,C103)=0,"✗ 账户不在基础资料里",IF(O103="","✗ 没选收支项目",IF(P103="未知","✗ 收支项目不在基础资料里",IF(AND(P103="应收",J103=""),"✗ 这笔要选客户",IF(AND(P103="应收",COUNTIF(总览汇总!$B$5:$B$304,J103)=0),"✗ 客户不在总览汇总名单里",IF(AND(P103="应付",K103=""),"✗ 这笔要选供应商",IF(AND(P103="应付",COUNTIF(基础资料!$Q$5:$Q$54,K103)=0),"✗ 供应商不在基础资料里",IF(AND(P103="费用",L103=""),"✗ 费用支出要选费用项目",IF(AND(L103&lt;&gt;"",COUNTIF(基础资料!$AI$5:$AI$54,L103)=0),"✗ 费用项目不在基础资料里",IF(AND(IFERROR(INDEX(基础资料!$AD$5:$AD$34,MATCH(O103,基础资料!$AC$5:$AC$34,0)),"")="收",N(G103)&lt;&gt;0),"✗ 这类是收款，金额填到收入列",IF(AND(IFERROR(INDEX(基础资料!$AD$5:$AD$34,MATCH(O103,基础资料!$AC$5:$AC$34,0)),"")="支",N(F103)&lt;&gt;0),"✗ 这类是付款，金额填到支出列",IF(N(H103)&lt;0,"⚠ 账户余额成负数了，核对一下","√"))))))))))))))))))</f>
        <v>√</v>
      </c>
      <c r="O103" s="78" t="str">
        <f>IF(D103&lt;&gt;"",D103,IF(AND(F103="",G103=""),"",IF(J103&lt;&gt;"",IF(N(F103)&gt;0,"客户回款","客户退款"),IF(K103&lt;&gt;"",IF(N(G103)&gt;0,"供应商付款","供应商退款"),IF(L103&lt;&gt;"","费用支出","")))))</f>
        <v>客户回款</v>
      </c>
      <c r="P103" s="78" t="str">
        <f>IF(O103="","",IFERROR(INDEX(基础资料!$AE$5:$AE$34,MATCH(O103,基础资料!$AC$5:$AC$34,0)),"未知"))</f>
        <v>应收</v>
      </c>
      <c r="Q103" s="78">
        <f>IF(P103="应收",COUNTIF(P$7:P103,"应收"),"")</f>
        <v>97</v>
      </c>
      <c r="R103" s="78">
        <f>IF(P103="应付",COUNTIF(P$7:P103,"应付"),"")</f>
      </c>
      <c r="S103" s="78">
        <f>N(F103)-N(G103)</f>
        <v>2100</v>
      </c>
    </row>
    <row r="104">
      <c r="A104" s="109">
        <f>IF(AND(F104="",G104=""),"",ROW()-6)</f>
        <v>98</v>
      </c>
      <c r="B104" s="140" t="n">
        <v>46241</v>
      </c>
      <c r="C104" s="141" t="inlineStr">
        <is>
          <t>收款码</t>
        </is>
      </c>
      <c r="D104" s="141" t="inlineStr">
        <is>
          <t>客户回款</t>
        </is>
      </c>
      <c r="E104" s="142" t="inlineStr">
        <is>
          <t>收货款</t>
        </is>
      </c>
      <c r="F104" s="143" t="n">
        <v>1640</v>
      </c>
      <c r="G104" s="144" t="n"/>
      <c r="H104" s="145">
        <f>IF(OR(C104="",AND(F104="",G104="")),"",SUMIF(基础资料!$W$5:$W$24,C104,基础资料!$X$5:$X$24)+SUMIF(C$7:C104,C104,F$7:F104)-SUMIF(C$7:C104,C104,G$7:G104))</f>
        <v>3639222.19</v>
      </c>
      <c r="I104" s="145">
        <f>IF(AND(F104="",G104=""),"",SUM(基础资料!$X$5:$X$24)+SUM(F$7:F104)-SUM(G$7:G104))</f>
        <v>3650572.19</v>
      </c>
      <c r="J104" s="141" t="inlineStr">
        <is>
          <t>均村喜乐多</t>
        </is>
      </c>
      <c r="K104" s="141" t="n"/>
      <c r="L104" s="141" t="n"/>
      <c r="M104" s="142" t="n"/>
      <c r="N104" s="146" t="str">
        <f>IF(AND(AND(F104="",G104=""),B104="",C104="",D104="",J104="",K104="",L104=""),"",IF(AND(F104="",G104=""),"✗ 没填金额",IF(AND(N(F104)&lt;&gt;0,N(G104)&lt;&gt;0),"✗ 收入、支出只能填一边",IF(NOT(ISNUMBER(B104)),"✗ 日期不是真日期（要像 2026/9/25 这样填）",IF(OR(B104&lt;年初日,B104&gt;年末日),"✗ 日期不在本会计年度",IF(C104="","✗ 没选账户",IF(COUNTIF(基础资料!$W$5:$W$24,C104)=0,"✗ 账户不在基础资料里",IF(O104="","✗ 没选收支项目",IF(P104="未知","✗ 收支项目不在基础资料里",IF(AND(P104="应收",J104=""),"✗ 这笔要选客户",IF(AND(P104="应收",COUNTIF(总览汇总!$B$5:$B$304,J104)=0),"✗ 客户不在总览汇总名单里",IF(AND(P104="应付",K104=""),"✗ 这笔要选供应商",IF(AND(P104="应付",COUNTIF(基础资料!$Q$5:$Q$54,K104)=0),"✗ 供应商不在基础资料里",IF(AND(P104="费用",L104=""),"✗ 费用支出要选费用项目",IF(AND(L104&lt;&gt;"",COUNTIF(基础资料!$AI$5:$AI$54,L104)=0),"✗ 费用项目不在基础资料里",IF(AND(IFERROR(INDEX(基础资料!$AD$5:$AD$34,MATCH(O104,基础资料!$AC$5:$AC$34,0)),"")="收",N(G104)&lt;&gt;0),"✗ 这类是收款，金额填到收入列",IF(AND(IFERROR(INDEX(基础资料!$AD$5:$AD$34,MATCH(O104,基础资料!$AC$5:$AC$34,0)),"")="支",N(F104)&lt;&gt;0),"✗ 这类是付款，金额填到支出列",IF(N(H104)&lt;0,"⚠ 账户余额成负数了，核对一下","√"))))))))))))))))))</f>
        <v>√</v>
      </c>
      <c r="O104" s="78" t="str">
        <f>IF(D104&lt;&gt;"",D104,IF(AND(F104="",G104=""),"",IF(J104&lt;&gt;"",IF(N(F104)&gt;0,"客户回款","客户退款"),IF(K104&lt;&gt;"",IF(N(G104)&gt;0,"供应商付款","供应商退款"),IF(L104&lt;&gt;"","费用支出","")))))</f>
        <v>客户回款</v>
      </c>
      <c r="P104" s="78" t="str">
        <f>IF(O104="","",IFERROR(INDEX(基础资料!$AE$5:$AE$34,MATCH(O104,基础资料!$AC$5:$AC$34,0)),"未知"))</f>
        <v>应收</v>
      </c>
      <c r="Q104" s="78">
        <f>IF(P104="应收",COUNTIF(P$7:P104,"应收"),"")</f>
        <v>98</v>
      </c>
      <c r="R104" s="78">
        <f>IF(P104="应付",COUNTIF(P$7:P104,"应付"),"")</f>
      </c>
      <c r="S104" s="78">
        <f>N(F104)-N(G104)</f>
        <v>1640</v>
      </c>
    </row>
    <row r="105">
      <c r="A105" s="109">
        <f>IF(AND(F105="",G105=""),"",ROW()-6)</f>
        <v>99</v>
      </c>
      <c r="B105" s="140" t="n">
        <v>46241</v>
      </c>
      <c r="C105" s="141" t="inlineStr">
        <is>
          <t>收款码</t>
        </is>
      </c>
      <c r="D105" s="141" t="inlineStr">
        <is>
          <t>客户回款</t>
        </is>
      </c>
      <c r="E105" s="142" t="inlineStr">
        <is>
          <t>收货款</t>
        </is>
      </c>
      <c r="F105" s="143" t="n">
        <v>2325</v>
      </c>
      <c r="G105" s="144" t="n"/>
      <c r="H105" s="145">
        <f>IF(OR(C105="",AND(F105="",G105="")),"",SUMIF(基础资料!$W$5:$W$24,C105,基础资料!$X$5:$X$24)+SUMIF(C$7:C105,C105,F$7:F105)-SUMIF(C$7:C105,C105,G$7:G105))</f>
        <v>3641547.19</v>
      </c>
      <c r="I105" s="145">
        <f>IF(AND(F105="",G105=""),"",SUM(基础资料!$X$5:$X$24)+SUM(F$7:F105)-SUM(G$7:G105))</f>
        <v>3652897.19</v>
      </c>
      <c r="J105" s="141" t="inlineStr">
        <is>
          <t>埠头如愿超市</t>
        </is>
      </c>
      <c r="K105" s="141" t="n"/>
      <c r="L105" s="141" t="n"/>
      <c r="M105" s="142" t="n"/>
      <c r="N105" s="146" t="str">
        <f>IF(AND(AND(F105="",G105=""),B105="",C105="",D105="",J105="",K105="",L105=""),"",IF(AND(F105="",G105=""),"✗ 没填金额",IF(AND(N(F105)&lt;&gt;0,N(G105)&lt;&gt;0),"✗ 收入、支出只能填一边",IF(NOT(ISNUMBER(B105)),"✗ 日期不是真日期（要像 2026/9/25 这样填）",IF(OR(B105&lt;年初日,B105&gt;年末日),"✗ 日期不在本会计年度",IF(C105="","✗ 没选账户",IF(COUNTIF(基础资料!$W$5:$W$24,C105)=0,"✗ 账户不在基础资料里",IF(O105="","✗ 没选收支项目",IF(P105="未知","✗ 收支项目不在基础资料里",IF(AND(P105="应收",J105=""),"✗ 这笔要选客户",IF(AND(P105="应收",COUNTIF(总览汇总!$B$5:$B$304,J105)=0),"✗ 客户不在总览汇总名单里",IF(AND(P105="应付",K105=""),"✗ 这笔要选供应商",IF(AND(P105="应付",COUNTIF(基础资料!$Q$5:$Q$54,K105)=0),"✗ 供应商不在基础资料里",IF(AND(P105="费用",L105=""),"✗ 费用支出要选费用项目",IF(AND(L105&lt;&gt;"",COUNTIF(基础资料!$AI$5:$AI$54,L105)=0),"✗ 费用项目不在基础资料里",IF(AND(IFERROR(INDEX(基础资料!$AD$5:$AD$34,MATCH(O105,基础资料!$AC$5:$AC$34,0)),"")="收",N(G105)&lt;&gt;0),"✗ 这类是收款，金额填到收入列",IF(AND(IFERROR(INDEX(基础资料!$AD$5:$AD$34,MATCH(O105,基础资料!$AC$5:$AC$34,0)),"")="支",N(F105)&lt;&gt;0),"✗ 这类是付款，金额填到支出列",IF(N(H105)&lt;0,"⚠ 账户余额成负数了，核对一下","√"))))))))))))))))))</f>
        <v>√</v>
      </c>
      <c r="O105" s="78" t="str">
        <f>IF(D105&lt;&gt;"",D105,IF(AND(F105="",G105=""),"",IF(J105&lt;&gt;"",IF(N(F105)&gt;0,"客户回款","客户退款"),IF(K105&lt;&gt;"",IF(N(G105)&gt;0,"供应商付款","供应商退款"),IF(L105&lt;&gt;"","费用支出","")))))</f>
        <v>客户回款</v>
      </c>
      <c r="P105" s="78" t="str">
        <f>IF(O105="","",IFERROR(INDEX(基础资料!$AE$5:$AE$34,MATCH(O105,基础资料!$AC$5:$AC$34,0)),"未知"))</f>
        <v>应收</v>
      </c>
      <c r="Q105" s="78">
        <f>IF(P105="应收",COUNTIF(P$7:P105,"应收"),"")</f>
        <v>99</v>
      </c>
      <c r="R105" s="78">
        <f>IF(P105="应付",COUNTIF(P$7:P105,"应付"),"")</f>
      </c>
      <c r="S105" s="78">
        <f>N(F105)-N(G105)</f>
        <v>2325</v>
      </c>
    </row>
    <row r="106">
      <c r="A106" s="109">
        <f>IF(AND(F106="",G106=""),"",ROW()-6)</f>
        <v>100</v>
      </c>
      <c r="B106" s="140" t="n">
        <v>46243</v>
      </c>
      <c r="C106" s="141" t="inlineStr">
        <is>
          <t>收款码</t>
        </is>
      </c>
      <c r="D106" s="141" t="inlineStr">
        <is>
          <t>客户回款</t>
        </is>
      </c>
      <c r="E106" s="142" t="inlineStr">
        <is>
          <t>收货款</t>
        </is>
      </c>
      <c r="F106" s="143" t="n">
        <v>10000</v>
      </c>
      <c r="G106" s="144" t="n"/>
      <c r="H106" s="145">
        <f>IF(OR(C106="",AND(F106="",G106="")),"",SUMIF(基础资料!$W$5:$W$24,C106,基础资料!$X$5:$X$24)+SUMIF(C$7:C106,C106,F$7:F106)-SUMIF(C$7:C106,C106,G$7:G106))</f>
        <v>3651547.19</v>
      </c>
      <c r="I106" s="145">
        <f>IF(AND(F106="",G106=""),"",SUM(基础资料!$X$5:$X$24)+SUM(F$7:F106)-SUM(G$7:G106))</f>
        <v>3662897.19</v>
      </c>
      <c r="J106" s="141" t="inlineStr">
        <is>
          <t>九鑫粮油</t>
        </is>
      </c>
      <c r="K106" s="141" t="n"/>
      <c r="L106" s="141" t="n"/>
      <c r="M106" s="142" t="n"/>
      <c r="N106" s="146" t="str">
        <f>IF(AND(AND(F106="",G106=""),B106="",C106="",D106="",J106="",K106="",L106=""),"",IF(AND(F106="",G106=""),"✗ 没填金额",IF(AND(N(F106)&lt;&gt;0,N(G106)&lt;&gt;0),"✗ 收入、支出只能填一边",IF(NOT(ISNUMBER(B106)),"✗ 日期不是真日期（要像 2026/9/25 这样填）",IF(OR(B106&lt;年初日,B106&gt;年末日),"✗ 日期不在本会计年度",IF(C106="","✗ 没选账户",IF(COUNTIF(基础资料!$W$5:$W$24,C106)=0,"✗ 账户不在基础资料里",IF(O106="","✗ 没选收支项目",IF(P106="未知","✗ 收支项目不在基础资料里",IF(AND(P106="应收",J106=""),"✗ 这笔要选客户",IF(AND(P106="应收",COUNTIF(总览汇总!$B$5:$B$304,J106)=0),"✗ 客户不在总览汇总名单里",IF(AND(P106="应付",K106=""),"✗ 这笔要选供应商",IF(AND(P106="应付",COUNTIF(基础资料!$Q$5:$Q$54,K106)=0),"✗ 供应商不在基础资料里",IF(AND(P106="费用",L106=""),"✗ 费用支出要选费用项目",IF(AND(L106&lt;&gt;"",COUNTIF(基础资料!$AI$5:$AI$54,L106)=0),"✗ 费用项目不在基础资料里",IF(AND(IFERROR(INDEX(基础资料!$AD$5:$AD$34,MATCH(O106,基础资料!$AC$5:$AC$34,0)),"")="收",N(G106)&lt;&gt;0),"✗ 这类是收款，金额填到收入列",IF(AND(IFERROR(INDEX(基础资料!$AD$5:$AD$34,MATCH(O106,基础资料!$AC$5:$AC$34,0)),"")="支",N(F106)&lt;&gt;0),"✗ 这类是付款，金额填到支出列",IF(N(H106)&lt;0,"⚠ 账户余额成负数了，核对一下","√"))))))))))))))))))</f>
        <v>√</v>
      </c>
      <c r="O106" s="78" t="str">
        <f>IF(D106&lt;&gt;"",D106,IF(AND(F106="",G106=""),"",IF(J106&lt;&gt;"",IF(N(F106)&gt;0,"客户回款","客户退款"),IF(K106&lt;&gt;"",IF(N(G106)&gt;0,"供应商付款","供应商退款"),IF(L106&lt;&gt;"","费用支出","")))))</f>
        <v>客户回款</v>
      </c>
      <c r="P106" s="78" t="str">
        <f>IF(O106="","",IFERROR(INDEX(基础资料!$AE$5:$AE$34,MATCH(O106,基础资料!$AC$5:$AC$34,0)),"未知"))</f>
        <v>应收</v>
      </c>
      <c r="Q106" s="78">
        <f>IF(P106="应收",COUNTIF(P$7:P106,"应收"),"")</f>
        <v>100</v>
      </c>
      <c r="R106" s="78">
        <f>IF(P106="应付",COUNTIF(P$7:P106,"应付"),"")</f>
      </c>
      <c r="S106" s="78">
        <f>N(F106)-N(G106)</f>
        <v>10000</v>
      </c>
    </row>
    <row r="107">
      <c r="A107" s="109">
        <f>IF(AND(F107="",G107=""),"",ROW()-6)</f>
        <v>101</v>
      </c>
      <c r="B107" s="140" t="n">
        <v>46243</v>
      </c>
      <c r="C107" s="141" t="inlineStr">
        <is>
          <t>收款码</t>
        </is>
      </c>
      <c r="D107" s="141" t="inlineStr">
        <is>
          <t>客户回款</t>
        </is>
      </c>
      <c r="E107" s="142" t="inlineStr">
        <is>
          <t>收货款</t>
        </is>
      </c>
      <c r="F107" s="143" t="n">
        <v>15000</v>
      </c>
      <c r="G107" s="144" t="n"/>
      <c r="H107" s="145">
        <f>IF(OR(C107="",AND(F107="",G107="")),"",SUMIF(基础资料!$W$5:$W$24,C107,基础资料!$X$5:$X$24)+SUMIF(C$7:C107,C107,F$7:F107)-SUMIF(C$7:C107,C107,G$7:G107))</f>
        <v>3666547.19</v>
      </c>
      <c r="I107" s="145">
        <f>IF(AND(F107="",G107=""),"",SUM(基础资料!$X$5:$X$24)+SUM(F$7:F107)-SUM(G$7:G107))</f>
        <v>3677897.19</v>
      </c>
      <c r="J107" s="141" t="inlineStr">
        <is>
          <t>龙岗好又全超市</t>
        </is>
      </c>
      <c r="K107" s="141" t="n"/>
      <c r="L107" s="141" t="n"/>
      <c r="M107" s="142" t="n"/>
      <c r="N107" s="146" t="str">
        <f>IF(AND(AND(F107="",G107=""),B107="",C107="",D107="",J107="",K107="",L107=""),"",IF(AND(F107="",G107=""),"✗ 没填金额",IF(AND(N(F107)&lt;&gt;0,N(G107)&lt;&gt;0),"✗ 收入、支出只能填一边",IF(NOT(ISNUMBER(B107)),"✗ 日期不是真日期（要像 2026/9/25 这样填）",IF(OR(B107&lt;年初日,B107&gt;年末日),"✗ 日期不在本会计年度",IF(C107="","✗ 没选账户",IF(COUNTIF(基础资料!$W$5:$W$24,C107)=0,"✗ 账户不在基础资料里",IF(O107="","✗ 没选收支项目",IF(P107="未知","✗ 收支项目不在基础资料里",IF(AND(P107="应收",J107=""),"✗ 这笔要选客户",IF(AND(P107="应收",COUNTIF(总览汇总!$B$5:$B$304,J107)=0),"✗ 客户不在总览汇总名单里",IF(AND(P107="应付",K107=""),"✗ 这笔要选供应商",IF(AND(P107="应付",COUNTIF(基础资料!$Q$5:$Q$54,K107)=0),"✗ 供应商不在基础资料里",IF(AND(P107="费用",L107=""),"✗ 费用支出要选费用项目",IF(AND(L107&lt;&gt;"",COUNTIF(基础资料!$AI$5:$AI$54,L107)=0),"✗ 费用项目不在基础资料里",IF(AND(IFERROR(INDEX(基础资料!$AD$5:$AD$34,MATCH(O107,基础资料!$AC$5:$AC$34,0)),"")="收",N(G107)&lt;&gt;0),"✗ 这类是收款，金额填到收入列",IF(AND(IFERROR(INDEX(基础资料!$AD$5:$AD$34,MATCH(O107,基础资料!$AC$5:$AC$34,0)),"")="支",N(F107)&lt;&gt;0),"✗ 这类是付款，金额填到支出列",IF(N(H107)&lt;0,"⚠ 账户余额成负数了，核对一下","√"))))))))))))))))))</f>
        <v>√</v>
      </c>
      <c r="O107" s="78" t="str">
        <f>IF(D107&lt;&gt;"",D107,IF(AND(F107="",G107=""),"",IF(J107&lt;&gt;"",IF(N(F107)&gt;0,"客户回款","客户退款"),IF(K107&lt;&gt;"",IF(N(G107)&gt;0,"供应商付款","供应商退款"),IF(L107&lt;&gt;"","费用支出","")))))</f>
        <v>客户回款</v>
      </c>
      <c r="P107" s="78" t="str">
        <f>IF(O107="","",IFERROR(INDEX(基础资料!$AE$5:$AE$34,MATCH(O107,基础资料!$AC$5:$AC$34,0)),"未知"))</f>
        <v>应收</v>
      </c>
      <c r="Q107" s="78">
        <f>IF(P107="应收",COUNTIF(P$7:P107,"应收"),"")</f>
        <v>101</v>
      </c>
      <c r="R107" s="78">
        <f>IF(P107="应付",COUNTIF(P$7:P107,"应付"),"")</f>
      </c>
      <c r="S107" s="78">
        <f>N(F107)-N(G107)</f>
        <v>15000</v>
      </c>
    </row>
    <row r="108">
      <c r="A108" s="109">
        <f>IF(AND(F108="",G108=""),"",ROW()-6)</f>
        <v>102</v>
      </c>
      <c r="B108" s="140" t="n">
        <v>46243</v>
      </c>
      <c r="C108" s="141" t="inlineStr">
        <is>
          <t>收款码</t>
        </is>
      </c>
      <c r="D108" s="141" t="inlineStr">
        <is>
          <t>客户回款</t>
        </is>
      </c>
      <c r="E108" s="142" t="inlineStr">
        <is>
          <t>收货款</t>
        </is>
      </c>
      <c r="F108" s="143" t="n">
        <v>3000</v>
      </c>
      <c r="G108" s="144" t="n"/>
      <c r="H108" s="145">
        <f>IF(OR(C108="",AND(F108="",G108="")),"",SUMIF(基础资料!$W$5:$W$24,C108,基础资料!$X$5:$X$24)+SUMIF(C$7:C108,C108,F$7:F108)-SUMIF(C$7:C108,C108,G$7:G108))</f>
        <v>3669547.19</v>
      </c>
      <c r="I108" s="145">
        <f>IF(AND(F108="",G108=""),"",SUM(基础资料!$X$5:$X$24)+SUM(F$7:F108)-SUM(G$7:G108))</f>
        <v>3680897.19</v>
      </c>
      <c r="J108" s="141" t="inlineStr">
        <is>
          <t>长岗万家欢</t>
        </is>
      </c>
      <c r="K108" s="141" t="n"/>
      <c r="L108" s="141" t="n"/>
      <c r="M108" s="142" t="n"/>
      <c r="N108" s="146" t="str">
        <f>IF(AND(AND(F108="",G108=""),B108="",C108="",D108="",J108="",K108="",L108=""),"",IF(AND(F108="",G108=""),"✗ 没填金额",IF(AND(N(F108)&lt;&gt;0,N(G108)&lt;&gt;0),"✗ 收入、支出只能填一边",IF(NOT(ISNUMBER(B108)),"✗ 日期不是真日期（要像 2026/9/25 这样填）",IF(OR(B108&lt;年初日,B108&gt;年末日),"✗ 日期不在本会计年度",IF(C108="","✗ 没选账户",IF(COUNTIF(基础资料!$W$5:$W$24,C108)=0,"✗ 账户不在基础资料里",IF(O108="","✗ 没选收支项目",IF(P108="未知","✗ 收支项目不在基础资料里",IF(AND(P108="应收",J108=""),"✗ 这笔要选客户",IF(AND(P108="应收",COUNTIF(总览汇总!$B$5:$B$304,J108)=0),"✗ 客户不在总览汇总名单里",IF(AND(P108="应付",K108=""),"✗ 这笔要选供应商",IF(AND(P108="应付",COUNTIF(基础资料!$Q$5:$Q$54,K108)=0),"✗ 供应商不在基础资料里",IF(AND(P108="费用",L108=""),"✗ 费用支出要选费用项目",IF(AND(L108&lt;&gt;"",COUNTIF(基础资料!$AI$5:$AI$54,L108)=0),"✗ 费用项目不在基础资料里",IF(AND(IFERROR(INDEX(基础资料!$AD$5:$AD$34,MATCH(O108,基础资料!$AC$5:$AC$34,0)),"")="收",N(G108)&lt;&gt;0),"✗ 这类是收款，金额填到收入列",IF(AND(IFERROR(INDEX(基础资料!$AD$5:$AD$34,MATCH(O108,基础资料!$AC$5:$AC$34,0)),"")="支",N(F108)&lt;&gt;0),"✗ 这类是付款，金额填到支出列",IF(N(H108)&lt;0,"⚠ 账户余额成负数了，核对一下","√"))))))))))))))))))</f>
        <v>√</v>
      </c>
      <c r="O108" s="78" t="str">
        <f>IF(D108&lt;&gt;"",D108,IF(AND(F108="",G108=""),"",IF(J108&lt;&gt;"",IF(N(F108)&gt;0,"客户回款","客户退款"),IF(K108&lt;&gt;"",IF(N(G108)&gt;0,"供应商付款","供应商退款"),IF(L108&lt;&gt;"","费用支出","")))))</f>
        <v>客户回款</v>
      </c>
      <c r="P108" s="78" t="str">
        <f>IF(O108="","",IFERROR(INDEX(基础资料!$AE$5:$AE$34,MATCH(O108,基础资料!$AC$5:$AC$34,0)),"未知"))</f>
        <v>应收</v>
      </c>
      <c r="Q108" s="78">
        <f>IF(P108="应收",COUNTIF(P$7:P108,"应收"),"")</f>
        <v>102</v>
      </c>
      <c r="R108" s="78">
        <f>IF(P108="应付",COUNTIF(P$7:P108,"应付"),"")</f>
      </c>
      <c r="S108" s="78">
        <f>N(F108)-N(G108)</f>
        <v>3000</v>
      </c>
    </row>
    <row r="109">
      <c r="A109" s="109">
        <f>IF(AND(F109="",G109=""),"",ROW()-6)</f>
        <v>103</v>
      </c>
      <c r="B109" s="140" t="n">
        <v>46243</v>
      </c>
      <c r="C109" s="141" t="inlineStr">
        <is>
          <t>收款码</t>
        </is>
      </c>
      <c r="D109" s="141" t="inlineStr">
        <is>
          <t>客户回款</t>
        </is>
      </c>
      <c r="E109" s="142" t="inlineStr">
        <is>
          <t>收货款</t>
        </is>
      </c>
      <c r="F109" s="143" t="n">
        <v>9000</v>
      </c>
      <c r="G109" s="144" t="n"/>
      <c r="H109" s="145">
        <f>IF(OR(C109="",AND(F109="",G109="")),"",SUMIF(基础资料!$W$5:$W$24,C109,基础资料!$X$5:$X$24)+SUMIF(C$7:C109,C109,F$7:F109)-SUMIF(C$7:C109,C109,G$7:G109))</f>
        <v>3678547.19</v>
      </c>
      <c r="I109" s="145">
        <f>IF(AND(F109="",G109=""),"",SUM(基础资料!$X$5:$X$24)+SUM(F$7:F109)-SUM(G$7:G109))</f>
        <v>3689897.19</v>
      </c>
      <c r="J109" s="141" t="inlineStr">
        <is>
          <t>兴莲隆兴商行</t>
        </is>
      </c>
      <c r="K109" s="141" t="n"/>
      <c r="L109" s="141" t="n"/>
      <c r="M109" s="142" t="n"/>
      <c r="N109" s="146" t="str">
        <f>IF(AND(AND(F109="",G109=""),B109="",C109="",D109="",J109="",K109="",L109=""),"",IF(AND(F109="",G109=""),"✗ 没填金额",IF(AND(N(F109)&lt;&gt;0,N(G109)&lt;&gt;0),"✗ 收入、支出只能填一边",IF(NOT(ISNUMBER(B109)),"✗ 日期不是真日期（要像 2026/9/25 这样填）",IF(OR(B109&lt;年初日,B109&gt;年末日),"✗ 日期不在本会计年度",IF(C109="","✗ 没选账户",IF(COUNTIF(基础资料!$W$5:$W$24,C109)=0,"✗ 账户不在基础资料里",IF(O109="","✗ 没选收支项目",IF(P109="未知","✗ 收支项目不在基础资料里",IF(AND(P109="应收",J109=""),"✗ 这笔要选客户",IF(AND(P109="应收",COUNTIF(总览汇总!$B$5:$B$304,J109)=0),"✗ 客户不在总览汇总名单里",IF(AND(P109="应付",K109=""),"✗ 这笔要选供应商",IF(AND(P109="应付",COUNTIF(基础资料!$Q$5:$Q$54,K109)=0),"✗ 供应商不在基础资料里",IF(AND(P109="费用",L109=""),"✗ 费用支出要选费用项目",IF(AND(L109&lt;&gt;"",COUNTIF(基础资料!$AI$5:$AI$54,L109)=0),"✗ 费用项目不在基础资料里",IF(AND(IFERROR(INDEX(基础资料!$AD$5:$AD$34,MATCH(O109,基础资料!$AC$5:$AC$34,0)),"")="收",N(G109)&lt;&gt;0),"✗ 这类是收款，金额填到收入列",IF(AND(IFERROR(INDEX(基础资料!$AD$5:$AD$34,MATCH(O109,基础资料!$AC$5:$AC$34,0)),"")="支",N(F109)&lt;&gt;0),"✗ 这类是付款，金额填到支出列",IF(N(H109)&lt;0,"⚠ 账户余额成负数了，核对一下","√"))))))))))))))))))</f>
        <v>√</v>
      </c>
      <c r="O109" s="78" t="str">
        <f>IF(D109&lt;&gt;"",D109,IF(AND(F109="",G109=""),"",IF(J109&lt;&gt;"",IF(N(F109)&gt;0,"客户回款","客户退款"),IF(K109&lt;&gt;"",IF(N(G109)&gt;0,"供应商付款","供应商退款"),IF(L109&lt;&gt;"","费用支出","")))))</f>
        <v>客户回款</v>
      </c>
      <c r="P109" s="78" t="str">
        <f>IF(O109="","",IFERROR(INDEX(基础资料!$AE$5:$AE$34,MATCH(O109,基础资料!$AC$5:$AC$34,0)),"未知"))</f>
        <v>应收</v>
      </c>
      <c r="Q109" s="78">
        <f>IF(P109="应收",COUNTIF(P$7:P109,"应收"),"")</f>
        <v>103</v>
      </c>
      <c r="R109" s="78">
        <f>IF(P109="应付",COUNTIF(P$7:P109,"应付"),"")</f>
      </c>
      <c r="S109" s="78">
        <f>N(F109)-N(G109)</f>
        <v>9000</v>
      </c>
    </row>
    <row r="110">
      <c r="A110" s="109">
        <f>IF(AND(F110="",G110=""),"",ROW()-6)</f>
        <v>104</v>
      </c>
      <c r="B110" s="140" t="n">
        <v>46243</v>
      </c>
      <c r="C110" s="141" t="inlineStr">
        <is>
          <t>收款码</t>
        </is>
      </c>
      <c r="D110" s="141" t="inlineStr">
        <is>
          <t>客户回款</t>
        </is>
      </c>
      <c r="E110" s="142" t="inlineStr">
        <is>
          <t>收货款</t>
        </is>
      </c>
      <c r="F110" s="143" t="n">
        <v>3000</v>
      </c>
      <c r="G110" s="144" t="n"/>
      <c r="H110" s="145">
        <f>IF(OR(C110="",AND(F110="",G110="")),"",SUMIF(基础资料!$W$5:$W$24,C110,基础资料!$X$5:$X$24)+SUMIF(C$7:C110,C110,F$7:F110)-SUMIF(C$7:C110,C110,G$7:G110))</f>
        <v>3681547.19</v>
      </c>
      <c r="I110" s="145">
        <f>IF(AND(F110="",G110=""),"",SUM(基础资料!$X$5:$X$24)+SUM(F$7:F110)-SUM(G$7:G110))</f>
        <v>3692897.19</v>
      </c>
      <c r="J110" s="141" t="inlineStr">
        <is>
          <t>鼎龙陈财超市</t>
        </is>
      </c>
      <c r="K110" s="141" t="n"/>
      <c r="L110" s="141" t="n"/>
      <c r="M110" s="142" t="n"/>
      <c r="N110" s="146" t="str">
        <f>IF(AND(AND(F110="",G110=""),B110="",C110="",D110="",J110="",K110="",L110=""),"",IF(AND(F110="",G110=""),"✗ 没填金额",IF(AND(N(F110)&lt;&gt;0,N(G110)&lt;&gt;0),"✗ 收入、支出只能填一边",IF(NOT(ISNUMBER(B110)),"✗ 日期不是真日期（要像 2026/9/25 这样填）",IF(OR(B110&lt;年初日,B110&gt;年末日),"✗ 日期不在本会计年度",IF(C110="","✗ 没选账户",IF(COUNTIF(基础资料!$W$5:$W$24,C110)=0,"✗ 账户不在基础资料里",IF(O110="","✗ 没选收支项目",IF(P110="未知","✗ 收支项目不在基础资料里",IF(AND(P110="应收",J110=""),"✗ 这笔要选客户",IF(AND(P110="应收",COUNTIF(总览汇总!$B$5:$B$304,J110)=0),"✗ 客户不在总览汇总名单里",IF(AND(P110="应付",K110=""),"✗ 这笔要选供应商",IF(AND(P110="应付",COUNTIF(基础资料!$Q$5:$Q$54,K110)=0),"✗ 供应商不在基础资料里",IF(AND(P110="费用",L110=""),"✗ 费用支出要选费用项目",IF(AND(L110&lt;&gt;"",COUNTIF(基础资料!$AI$5:$AI$54,L110)=0),"✗ 费用项目不在基础资料里",IF(AND(IFERROR(INDEX(基础资料!$AD$5:$AD$34,MATCH(O110,基础资料!$AC$5:$AC$34,0)),"")="收",N(G110)&lt;&gt;0),"✗ 这类是收款，金额填到收入列",IF(AND(IFERROR(INDEX(基础资料!$AD$5:$AD$34,MATCH(O110,基础资料!$AC$5:$AC$34,0)),"")="支",N(F110)&lt;&gt;0),"✗ 这类是付款，金额填到支出列",IF(N(H110)&lt;0,"⚠ 账户余额成负数了，核对一下","√"))))))))))))))))))</f>
        <v>√</v>
      </c>
      <c r="O110" s="78" t="str">
        <f>IF(D110&lt;&gt;"",D110,IF(AND(F110="",G110=""),"",IF(J110&lt;&gt;"",IF(N(F110)&gt;0,"客户回款","客户退款"),IF(K110&lt;&gt;"",IF(N(G110)&gt;0,"供应商付款","供应商退款"),IF(L110&lt;&gt;"","费用支出","")))))</f>
        <v>客户回款</v>
      </c>
      <c r="P110" s="78" t="str">
        <f>IF(O110="","",IFERROR(INDEX(基础资料!$AE$5:$AE$34,MATCH(O110,基础资料!$AC$5:$AC$34,0)),"未知"))</f>
        <v>应收</v>
      </c>
      <c r="Q110" s="78">
        <f>IF(P110="应收",COUNTIF(P$7:P110,"应收"),"")</f>
        <v>104</v>
      </c>
      <c r="R110" s="78">
        <f>IF(P110="应付",COUNTIF(P$7:P110,"应付"),"")</f>
      </c>
      <c r="S110" s="78">
        <f>N(F110)-N(G110)</f>
        <v>3000</v>
      </c>
    </row>
    <row r="111">
      <c r="A111" s="109">
        <f>IF(AND(F111="",G111=""),"",ROW()-6)</f>
        <v>105</v>
      </c>
      <c r="B111" s="140" t="n">
        <v>46243</v>
      </c>
      <c r="C111" s="141" t="inlineStr">
        <is>
          <t>收款码</t>
        </is>
      </c>
      <c r="D111" s="141" t="inlineStr">
        <is>
          <t>客户回款</t>
        </is>
      </c>
      <c r="E111" s="142" t="inlineStr">
        <is>
          <t>收货款</t>
        </is>
      </c>
      <c r="F111" s="143" t="n">
        <v>50000</v>
      </c>
      <c r="G111" s="144" t="n"/>
      <c r="H111" s="145">
        <f>IF(OR(C111="",AND(F111="",G111="")),"",SUMIF(基础资料!$W$5:$W$24,C111,基础资料!$X$5:$X$24)+SUMIF(C$7:C111,C111,F$7:F111)-SUMIF(C$7:C111,C111,G$7:G111))</f>
        <v>3731547.19</v>
      </c>
      <c r="I111" s="145">
        <f>IF(AND(F111="",G111=""),"",SUM(基础资料!$X$5:$X$24)+SUM(F$7:F111)-SUM(G$7:G111))</f>
        <v>3742897.19</v>
      </c>
      <c r="J111" s="141" t="inlineStr">
        <is>
          <t>诚信粮油</t>
        </is>
      </c>
      <c r="K111" s="141" t="n"/>
      <c r="L111" s="141" t="n"/>
      <c r="M111" s="142" t="n"/>
      <c r="N111" s="146" t="str">
        <f>IF(AND(AND(F111="",G111=""),B111="",C111="",D111="",J111="",K111="",L111=""),"",IF(AND(F111="",G111=""),"✗ 没填金额",IF(AND(N(F111)&lt;&gt;0,N(G111)&lt;&gt;0),"✗ 收入、支出只能填一边",IF(NOT(ISNUMBER(B111)),"✗ 日期不是真日期（要像 2026/9/25 这样填）",IF(OR(B111&lt;年初日,B111&gt;年末日),"✗ 日期不在本会计年度",IF(C111="","✗ 没选账户",IF(COUNTIF(基础资料!$W$5:$W$24,C111)=0,"✗ 账户不在基础资料里",IF(O111="","✗ 没选收支项目",IF(P111="未知","✗ 收支项目不在基础资料里",IF(AND(P111="应收",J111=""),"✗ 这笔要选客户",IF(AND(P111="应收",COUNTIF(总览汇总!$B$5:$B$304,J111)=0),"✗ 客户不在总览汇总名单里",IF(AND(P111="应付",K111=""),"✗ 这笔要选供应商",IF(AND(P111="应付",COUNTIF(基础资料!$Q$5:$Q$54,K111)=0),"✗ 供应商不在基础资料里",IF(AND(P111="费用",L111=""),"✗ 费用支出要选费用项目",IF(AND(L111&lt;&gt;"",COUNTIF(基础资料!$AI$5:$AI$54,L111)=0),"✗ 费用项目不在基础资料里",IF(AND(IFERROR(INDEX(基础资料!$AD$5:$AD$34,MATCH(O111,基础资料!$AC$5:$AC$34,0)),"")="收",N(G111)&lt;&gt;0),"✗ 这类是收款，金额填到收入列",IF(AND(IFERROR(INDEX(基础资料!$AD$5:$AD$34,MATCH(O111,基础资料!$AC$5:$AC$34,0)),"")="支",N(F111)&lt;&gt;0),"✗ 这类是付款，金额填到支出列",IF(N(H111)&lt;0,"⚠ 账户余额成负数了，核对一下","√"))))))))))))))))))</f>
        <v>√</v>
      </c>
      <c r="O111" s="78" t="str">
        <f>IF(D111&lt;&gt;"",D111,IF(AND(F111="",G111=""),"",IF(J111&lt;&gt;"",IF(N(F111)&gt;0,"客户回款","客户退款"),IF(K111&lt;&gt;"",IF(N(G111)&gt;0,"供应商付款","供应商退款"),IF(L111&lt;&gt;"","费用支出","")))))</f>
        <v>客户回款</v>
      </c>
      <c r="P111" s="78" t="str">
        <f>IF(O111="","",IFERROR(INDEX(基础资料!$AE$5:$AE$34,MATCH(O111,基础资料!$AC$5:$AC$34,0)),"未知"))</f>
        <v>应收</v>
      </c>
      <c r="Q111" s="78">
        <f>IF(P111="应收",COUNTIF(P$7:P111,"应收"),"")</f>
        <v>105</v>
      </c>
      <c r="R111" s="78">
        <f>IF(P111="应付",COUNTIF(P$7:P111,"应付"),"")</f>
      </c>
      <c r="S111" s="78">
        <f>N(F111)-N(G111)</f>
        <v>50000</v>
      </c>
    </row>
    <row r="112">
      <c r="A112" s="109">
        <f>IF(AND(F112="",G112=""),"",ROW()-6)</f>
        <v>106</v>
      </c>
      <c r="B112" s="140" t="n">
        <v>46243</v>
      </c>
      <c r="C112" s="141" t="inlineStr">
        <is>
          <t>收款码</t>
        </is>
      </c>
      <c r="D112" s="141" t="inlineStr">
        <is>
          <t>客户回款</t>
        </is>
      </c>
      <c r="E112" s="142" t="inlineStr">
        <is>
          <t>好又多、思美达</t>
        </is>
      </c>
      <c r="F112" s="143" t="n">
        <v>20000</v>
      </c>
      <c r="G112" s="144" t="n"/>
      <c r="H112" s="145">
        <f>IF(OR(C112="",AND(F112="",G112="")),"",SUMIF(基础资料!$W$5:$W$24,C112,基础资料!$X$5:$X$24)+SUMIF(C$7:C112,C112,F$7:F112)-SUMIF(C$7:C112,C112,G$7:G112))</f>
        <v>3751547.19</v>
      </c>
      <c r="I112" s="145">
        <f>IF(AND(F112="",G112=""),"",SUM(基础资料!$X$5:$X$24)+SUM(F$7:F112)-SUM(G$7:G112))</f>
        <v>3762897.19</v>
      </c>
      <c r="J112" s="141" t="inlineStr">
        <is>
          <t>小梅商行</t>
        </is>
      </c>
      <c r="K112" s="141" t="n"/>
      <c r="L112" s="141" t="n"/>
      <c r="M112" s="142" t="n"/>
      <c r="N112" s="146" t="str">
        <f>IF(AND(AND(F112="",G112=""),B112="",C112="",D112="",J112="",K112="",L112=""),"",IF(AND(F112="",G112=""),"✗ 没填金额",IF(AND(N(F112)&lt;&gt;0,N(G112)&lt;&gt;0),"✗ 收入、支出只能填一边",IF(NOT(ISNUMBER(B112)),"✗ 日期不是真日期（要像 2026/9/25 这样填）",IF(OR(B112&lt;年初日,B112&gt;年末日),"✗ 日期不在本会计年度",IF(C112="","✗ 没选账户",IF(COUNTIF(基础资料!$W$5:$W$24,C112)=0,"✗ 账户不在基础资料里",IF(O112="","✗ 没选收支项目",IF(P112="未知","✗ 收支项目不在基础资料里",IF(AND(P112="应收",J112=""),"✗ 这笔要选客户",IF(AND(P112="应收",COUNTIF(总览汇总!$B$5:$B$304,J112)=0),"✗ 客户不在总览汇总名单里",IF(AND(P112="应付",K112=""),"✗ 这笔要选供应商",IF(AND(P112="应付",COUNTIF(基础资料!$Q$5:$Q$54,K112)=0),"✗ 供应商不在基础资料里",IF(AND(P112="费用",L112=""),"✗ 费用支出要选费用项目",IF(AND(L112&lt;&gt;"",COUNTIF(基础资料!$AI$5:$AI$54,L112)=0),"✗ 费用项目不在基础资料里",IF(AND(IFERROR(INDEX(基础资料!$AD$5:$AD$34,MATCH(O112,基础资料!$AC$5:$AC$34,0)),"")="收",N(G112)&lt;&gt;0),"✗ 这类是收款，金额填到收入列",IF(AND(IFERROR(INDEX(基础资料!$AD$5:$AD$34,MATCH(O112,基础资料!$AC$5:$AC$34,0)),"")="支",N(F112)&lt;&gt;0),"✗ 这类是付款，金额填到支出列",IF(N(H112)&lt;0,"⚠ 账户余额成负数了，核对一下","√"))))))))))))))))))</f>
        <v>√</v>
      </c>
      <c r="O112" s="78" t="str">
        <f>IF(D112&lt;&gt;"",D112,IF(AND(F112="",G112=""),"",IF(J112&lt;&gt;"",IF(N(F112)&gt;0,"客户回款","客户退款"),IF(K112&lt;&gt;"",IF(N(G112)&gt;0,"供应商付款","供应商退款"),IF(L112&lt;&gt;"","费用支出","")))))</f>
        <v>客户回款</v>
      </c>
      <c r="P112" s="78" t="str">
        <f>IF(O112="","",IFERROR(INDEX(基础资料!$AE$5:$AE$34,MATCH(O112,基础资料!$AC$5:$AC$34,0)),"未知"))</f>
        <v>应收</v>
      </c>
      <c r="Q112" s="78">
        <f>IF(P112="应收",COUNTIF(P$7:P112,"应收"),"")</f>
        <v>106</v>
      </c>
      <c r="R112" s="78">
        <f>IF(P112="应付",COUNTIF(P$7:P112,"应付"),"")</f>
      </c>
      <c r="S112" s="78">
        <f>N(F112)-N(G112)</f>
        <v>20000</v>
      </c>
    </row>
    <row r="113">
      <c r="A113" s="109">
        <f>IF(AND(F113="",G113=""),"",ROW()-6)</f>
        <v>107</v>
      </c>
      <c r="B113" s="140" t="n">
        <v>46245</v>
      </c>
      <c r="C113" s="141" t="inlineStr">
        <is>
          <t>收款码</t>
        </is>
      </c>
      <c r="D113" s="141" t="inlineStr">
        <is>
          <t>客户回款</t>
        </is>
      </c>
      <c r="E113" s="142" t="inlineStr">
        <is>
          <t>收货款</t>
        </is>
      </c>
      <c r="F113" s="143" t="n">
        <v>327.5</v>
      </c>
      <c r="G113" s="144" t="n"/>
      <c r="H113" s="145">
        <f>IF(OR(C113="",AND(F113="",G113="")),"",SUMIF(基础资料!$W$5:$W$24,C113,基础资料!$X$5:$X$24)+SUMIF(C$7:C113,C113,F$7:F113)-SUMIF(C$7:C113,C113,G$7:G113))</f>
        <v>3751874.69</v>
      </c>
      <c r="I113" s="145">
        <f>IF(AND(F113="",G113=""),"",SUM(基础资料!$X$5:$X$24)+SUM(F$7:F113)-SUM(G$7:G113))</f>
        <v>3763224.69</v>
      </c>
      <c r="J113" s="141" t="inlineStr">
        <is>
          <t>好帮手</t>
        </is>
      </c>
      <c r="K113" s="141" t="n"/>
      <c r="L113" s="141" t="n"/>
      <c r="M113" s="142" t="n"/>
      <c r="N113" s="146" t="str">
        <f>IF(AND(AND(F113="",G113=""),B113="",C113="",D113="",J113="",K113="",L113=""),"",IF(AND(F113="",G113=""),"✗ 没填金额",IF(AND(N(F113)&lt;&gt;0,N(G113)&lt;&gt;0),"✗ 收入、支出只能填一边",IF(NOT(ISNUMBER(B113)),"✗ 日期不是真日期（要像 2026/9/25 这样填）",IF(OR(B113&lt;年初日,B113&gt;年末日),"✗ 日期不在本会计年度",IF(C113="","✗ 没选账户",IF(COUNTIF(基础资料!$W$5:$W$24,C113)=0,"✗ 账户不在基础资料里",IF(O113="","✗ 没选收支项目",IF(P113="未知","✗ 收支项目不在基础资料里",IF(AND(P113="应收",J113=""),"✗ 这笔要选客户",IF(AND(P113="应收",COUNTIF(总览汇总!$B$5:$B$304,J113)=0),"✗ 客户不在总览汇总名单里",IF(AND(P113="应付",K113=""),"✗ 这笔要选供应商",IF(AND(P113="应付",COUNTIF(基础资料!$Q$5:$Q$54,K113)=0),"✗ 供应商不在基础资料里",IF(AND(P113="费用",L113=""),"✗ 费用支出要选费用项目",IF(AND(L113&lt;&gt;"",COUNTIF(基础资料!$AI$5:$AI$54,L113)=0),"✗ 费用项目不在基础资料里",IF(AND(IFERROR(INDEX(基础资料!$AD$5:$AD$34,MATCH(O113,基础资料!$AC$5:$AC$34,0)),"")="收",N(G113)&lt;&gt;0),"✗ 这类是收款，金额填到收入列",IF(AND(IFERROR(INDEX(基础资料!$AD$5:$AD$34,MATCH(O113,基础资料!$AC$5:$AC$34,0)),"")="支",N(F113)&lt;&gt;0),"✗ 这类是付款，金额填到支出列",IF(N(H113)&lt;0,"⚠ 账户余额成负数了，核对一下","√"))))))))))))))))))</f>
        <v>√</v>
      </c>
      <c r="O113" s="78" t="str">
        <f>IF(D113&lt;&gt;"",D113,IF(AND(F113="",G113=""),"",IF(J113&lt;&gt;"",IF(N(F113)&gt;0,"客户回款","客户退款"),IF(K113&lt;&gt;"",IF(N(G113)&gt;0,"供应商付款","供应商退款"),IF(L113&lt;&gt;"","费用支出","")))))</f>
        <v>客户回款</v>
      </c>
      <c r="P113" s="78" t="str">
        <f>IF(O113="","",IFERROR(INDEX(基础资料!$AE$5:$AE$34,MATCH(O113,基础资料!$AC$5:$AC$34,0)),"未知"))</f>
        <v>应收</v>
      </c>
      <c r="Q113" s="78">
        <f>IF(P113="应收",COUNTIF(P$7:P113,"应收"),"")</f>
        <v>107</v>
      </c>
      <c r="R113" s="78">
        <f>IF(P113="应付",COUNTIF(P$7:P113,"应付"),"")</f>
      </c>
      <c r="S113" s="78">
        <f>N(F113)-N(G113)</f>
        <v>327.5</v>
      </c>
    </row>
    <row r="114">
      <c r="A114" s="109">
        <f>IF(AND(F114="",G114=""),"",ROW()-6)</f>
        <v>108</v>
      </c>
      <c r="B114" s="140" t="n">
        <v>46246</v>
      </c>
      <c r="C114" s="141" t="inlineStr">
        <is>
          <t>收款码</t>
        </is>
      </c>
      <c r="D114" s="141" t="inlineStr">
        <is>
          <t>客户回款</t>
        </is>
      </c>
      <c r="E114" s="142" t="inlineStr">
        <is>
          <t>收货款</t>
        </is>
      </c>
      <c r="F114" s="143" t="n">
        <v>107.5</v>
      </c>
      <c r="G114" s="144" t="n"/>
      <c r="H114" s="145">
        <f>IF(OR(C114="",AND(F114="",G114="")),"",SUMIF(基础资料!$W$5:$W$24,C114,基础资料!$X$5:$X$24)+SUMIF(C$7:C114,C114,F$7:F114)-SUMIF(C$7:C114,C114,G$7:G114))</f>
        <v>3751982.19</v>
      </c>
      <c r="I114" s="145">
        <f>IF(AND(F114="",G114=""),"",SUM(基础资料!$X$5:$X$24)+SUM(F$7:F114)-SUM(G$7:G114))</f>
        <v>3763332.19</v>
      </c>
      <c r="J114" s="141" t="inlineStr">
        <is>
          <t>七中阳光鲜奶</t>
        </is>
      </c>
      <c r="K114" s="141" t="n"/>
      <c r="L114" s="141" t="n"/>
      <c r="M114" s="142" t="n"/>
      <c r="N114" s="146" t="str">
        <f>IF(AND(AND(F114="",G114=""),B114="",C114="",D114="",J114="",K114="",L114=""),"",IF(AND(F114="",G114=""),"✗ 没填金额",IF(AND(N(F114)&lt;&gt;0,N(G114)&lt;&gt;0),"✗ 收入、支出只能填一边",IF(NOT(ISNUMBER(B114)),"✗ 日期不是真日期（要像 2026/9/25 这样填）",IF(OR(B114&lt;年初日,B114&gt;年末日),"✗ 日期不在本会计年度",IF(C114="","✗ 没选账户",IF(COUNTIF(基础资料!$W$5:$W$24,C114)=0,"✗ 账户不在基础资料里",IF(O114="","✗ 没选收支项目",IF(P114="未知","✗ 收支项目不在基础资料里",IF(AND(P114="应收",J114=""),"✗ 这笔要选客户",IF(AND(P114="应收",COUNTIF(总览汇总!$B$5:$B$304,J114)=0),"✗ 客户不在总览汇总名单里",IF(AND(P114="应付",K114=""),"✗ 这笔要选供应商",IF(AND(P114="应付",COUNTIF(基础资料!$Q$5:$Q$54,K114)=0),"✗ 供应商不在基础资料里",IF(AND(P114="费用",L114=""),"✗ 费用支出要选费用项目",IF(AND(L114&lt;&gt;"",COUNTIF(基础资料!$AI$5:$AI$54,L114)=0),"✗ 费用项目不在基础资料里",IF(AND(IFERROR(INDEX(基础资料!$AD$5:$AD$34,MATCH(O114,基础资料!$AC$5:$AC$34,0)),"")="收",N(G114)&lt;&gt;0),"✗ 这类是收款，金额填到收入列",IF(AND(IFERROR(INDEX(基础资料!$AD$5:$AD$34,MATCH(O114,基础资料!$AC$5:$AC$34,0)),"")="支",N(F114)&lt;&gt;0),"✗ 这类是付款，金额填到支出列",IF(N(H114)&lt;0,"⚠ 账户余额成负数了，核对一下","√"))))))))))))))))))</f>
        <v>√</v>
      </c>
      <c r="O114" s="78" t="str">
        <f>IF(D114&lt;&gt;"",D114,IF(AND(F114="",G114=""),"",IF(J114&lt;&gt;"",IF(N(F114)&gt;0,"客户回款","客户退款"),IF(K114&lt;&gt;"",IF(N(G114)&gt;0,"供应商付款","供应商退款"),IF(L114&lt;&gt;"","费用支出","")))))</f>
        <v>客户回款</v>
      </c>
      <c r="P114" s="78" t="str">
        <f>IF(O114="","",IFERROR(INDEX(基础资料!$AE$5:$AE$34,MATCH(O114,基础资料!$AC$5:$AC$34,0)),"未知"))</f>
        <v>应收</v>
      </c>
      <c r="Q114" s="78">
        <f>IF(P114="应收",COUNTIF(P$7:P114,"应收"),"")</f>
        <v>108</v>
      </c>
      <c r="R114" s="78">
        <f>IF(P114="应付",COUNTIF(P$7:P114,"应付"),"")</f>
      </c>
      <c r="S114" s="78">
        <f>N(F114)-N(G114)</f>
        <v>107.5</v>
      </c>
    </row>
    <row r="115">
      <c r="A115" s="109">
        <f>IF(AND(F115="",G115=""),"",ROW()-6)</f>
        <v>109</v>
      </c>
      <c r="B115" s="140" t="n">
        <v>46247</v>
      </c>
      <c r="C115" s="141" t="inlineStr">
        <is>
          <t>收款码</t>
        </is>
      </c>
      <c r="D115" s="141" t="inlineStr">
        <is>
          <t>客户回款</t>
        </is>
      </c>
      <c r="E115" s="142" t="inlineStr">
        <is>
          <t>收货款</t>
        </is>
      </c>
      <c r="F115" s="143" t="n">
        <v>1137.5</v>
      </c>
      <c r="G115" s="144" t="n"/>
      <c r="H115" s="145">
        <f>IF(OR(C115="",AND(F115="",G115="")),"",SUMIF(基础资料!$W$5:$W$24,C115,基础资料!$X$5:$X$24)+SUMIF(C$7:C115,C115,F$7:F115)-SUMIF(C$7:C115,C115,G$7:G115))</f>
        <v>3753119.69</v>
      </c>
      <c r="I115" s="145">
        <f>IF(AND(F115="",G115=""),"",SUM(基础资料!$X$5:$X$24)+SUM(F$7:F115)-SUM(G$7:G115))</f>
        <v>3764469.69</v>
      </c>
      <c r="J115" s="141" t="inlineStr">
        <is>
          <t>兴发商行</t>
        </is>
      </c>
      <c r="K115" s="141" t="n"/>
      <c r="L115" s="141" t="n"/>
      <c r="M115" s="142" t="n"/>
      <c r="N115" s="146" t="str">
        <f>IF(AND(AND(F115="",G115=""),B115="",C115="",D115="",J115="",K115="",L115=""),"",IF(AND(F115="",G115=""),"✗ 没填金额",IF(AND(N(F115)&lt;&gt;0,N(G115)&lt;&gt;0),"✗ 收入、支出只能填一边",IF(NOT(ISNUMBER(B115)),"✗ 日期不是真日期（要像 2026/9/25 这样填）",IF(OR(B115&lt;年初日,B115&gt;年末日),"✗ 日期不在本会计年度",IF(C115="","✗ 没选账户",IF(COUNTIF(基础资料!$W$5:$W$24,C115)=0,"✗ 账户不在基础资料里",IF(O115="","✗ 没选收支项目",IF(P115="未知","✗ 收支项目不在基础资料里",IF(AND(P115="应收",J115=""),"✗ 这笔要选客户",IF(AND(P115="应收",COUNTIF(总览汇总!$B$5:$B$304,J115)=0),"✗ 客户不在总览汇总名单里",IF(AND(P115="应付",K115=""),"✗ 这笔要选供应商",IF(AND(P115="应付",COUNTIF(基础资料!$Q$5:$Q$54,K115)=0),"✗ 供应商不在基础资料里",IF(AND(P115="费用",L115=""),"✗ 费用支出要选费用项目",IF(AND(L115&lt;&gt;"",COUNTIF(基础资料!$AI$5:$AI$54,L115)=0),"✗ 费用项目不在基础资料里",IF(AND(IFERROR(INDEX(基础资料!$AD$5:$AD$34,MATCH(O115,基础资料!$AC$5:$AC$34,0)),"")="收",N(G115)&lt;&gt;0),"✗ 这类是收款，金额填到收入列",IF(AND(IFERROR(INDEX(基础资料!$AD$5:$AD$34,MATCH(O115,基础资料!$AC$5:$AC$34,0)),"")="支",N(F115)&lt;&gt;0),"✗ 这类是付款，金额填到支出列",IF(N(H115)&lt;0,"⚠ 账户余额成负数了，核对一下","√"))))))))))))))))))</f>
        <v>√</v>
      </c>
      <c r="O115" s="78" t="str">
        <f>IF(D115&lt;&gt;"",D115,IF(AND(F115="",G115=""),"",IF(J115&lt;&gt;"",IF(N(F115)&gt;0,"客户回款","客户退款"),IF(K115&lt;&gt;"",IF(N(G115)&gt;0,"供应商付款","供应商退款"),IF(L115&lt;&gt;"","费用支出","")))))</f>
        <v>客户回款</v>
      </c>
      <c r="P115" s="78" t="str">
        <f>IF(O115="","",IFERROR(INDEX(基础资料!$AE$5:$AE$34,MATCH(O115,基础资料!$AC$5:$AC$34,0)),"未知"))</f>
        <v>应收</v>
      </c>
      <c r="Q115" s="78">
        <f>IF(P115="应收",COUNTIF(P$7:P115,"应收"),"")</f>
        <v>109</v>
      </c>
      <c r="R115" s="78">
        <f>IF(P115="应付",COUNTIF(P$7:P115,"应付"),"")</f>
      </c>
      <c r="S115" s="78">
        <f>N(F115)-N(G115)</f>
        <v>1137.5</v>
      </c>
    </row>
    <row r="116">
      <c r="A116" s="109">
        <f>IF(AND(F116="",G116=""),"",ROW()-6)</f>
        <v>110</v>
      </c>
      <c r="B116" s="140" t="n">
        <v>46248</v>
      </c>
      <c r="C116" s="141" t="inlineStr">
        <is>
          <t>收款码</t>
        </is>
      </c>
      <c r="D116" s="141" t="inlineStr">
        <is>
          <t>客户回款</t>
        </is>
      </c>
      <c r="E116" s="142" t="inlineStr">
        <is>
          <t>收货款</t>
        </is>
      </c>
      <c r="F116" s="143" t="n">
        <v>2750</v>
      </c>
      <c r="G116" s="144" t="n"/>
      <c r="H116" s="145">
        <f>IF(OR(C116="",AND(F116="",G116="")),"",SUMIF(基础资料!$W$5:$W$24,C116,基础资料!$X$5:$X$24)+SUMIF(C$7:C116,C116,F$7:F116)-SUMIF(C$7:C116,C116,G$7:G116))</f>
        <v>3755869.69</v>
      </c>
      <c r="I116" s="145">
        <f>IF(AND(F116="",G116=""),"",SUM(基础资料!$X$5:$X$24)+SUM(F$7:F116)-SUM(G$7:G116))</f>
        <v>3767219.69</v>
      </c>
      <c r="J116" s="141" t="inlineStr">
        <is>
          <t>埠头万客欢</t>
        </is>
      </c>
      <c r="K116" s="141" t="n"/>
      <c r="L116" s="141" t="n"/>
      <c r="M116" s="142" t="n"/>
      <c r="N116" s="146" t="str">
        <f>IF(AND(AND(F116="",G116=""),B116="",C116="",D116="",J116="",K116="",L116=""),"",IF(AND(F116="",G116=""),"✗ 没填金额",IF(AND(N(F116)&lt;&gt;0,N(G116)&lt;&gt;0),"✗ 收入、支出只能填一边",IF(NOT(ISNUMBER(B116)),"✗ 日期不是真日期（要像 2026/9/25 这样填）",IF(OR(B116&lt;年初日,B116&gt;年末日),"✗ 日期不在本会计年度",IF(C116="","✗ 没选账户",IF(COUNTIF(基础资料!$W$5:$W$24,C116)=0,"✗ 账户不在基础资料里",IF(O116="","✗ 没选收支项目",IF(P116="未知","✗ 收支项目不在基础资料里",IF(AND(P116="应收",J116=""),"✗ 这笔要选客户",IF(AND(P116="应收",COUNTIF(总览汇总!$B$5:$B$304,J116)=0),"✗ 客户不在总览汇总名单里",IF(AND(P116="应付",K116=""),"✗ 这笔要选供应商",IF(AND(P116="应付",COUNTIF(基础资料!$Q$5:$Q$54,K116)=0),"✗ 供应商不在基础资料里",IF(AND(P116="费用",L116=""),"✗ 费用支出要选费用项目",IF(AND(L116&lt;&gt;"",COUNTIF(基础资料!$AI$5:$AI$54,L116)=0),"✗ 费用项目不在基础资料里",IF(AND(IFERROR(INDEX(基础资料!$AD$5:$AD$34,MATCH(O116,基础资料!$AC$5:$AC$34,0)),"")="收",N(G116)&lt;&gt;0),"✗ 这类是收款，金额填到收入列",IF(AND(IFERROR(INDEX(基础资料!$AD$5:$AD$34,MATCH(O116,基础资料!$AC$5:$AC$34,0)),"")="支",N(F116)&lt;&gt;0),"✗ 这类是付款，金额填到支出列",IF(N(H116)&lt;0,"⚠ 账户余额成负数了，核对一下","√"))))))))))))))))))</f>
        <v>√</v>
      </c>
      <c r="O116" s="78" t="str">
        <f>IF(D116&lt;&gt;"",D116,IF(AND(F116="",G116=""),"",IF(J116&lt;&gt;"",IF(N(F116)&gt;0,"客户回款","客户退款"),IF(K116&lt;&gt;"",IF(N(G116)&gt;0,"供应商付款","供应商退款"),IF(L116&lt;&gt;"","费用支出","")))))</f>
        <v>客户回款</v>
      </c>
      <c r="P116" s="78" t="str">
        <f>IF(O116="","",IFERROR(INDEX(基础资料!$AE$5:$AE$34,MATCH(O116,基础资料!$AC$5:$AC$34,0)),"未知"))</f>
        <v>应收</v>
      </c>
      <c r="Q116" s="78">
        <f>IF(P116="应收",COUNTIF(P$7:P116,"应收"),"")</f>
        <v>110</v>
      </c>
      <c r="R116" s="78">
        <f>IF(P116="应付",COUNTIF(P$7:P116,"应付"),"")</f>
      </c>
      <c r="S116" s="78">
        <f>N(F116)-N(G116)</f>
        <v>2750</v>
      </c>
    </row>
    <row r="117">
      <c r="A117" s="109">
        <f>IF(AND(F117="",G117=""),"",ROW()-6)</f>
        <v>111</v>
      </c>
      <c r="B117" s="140" t="n">
        <v>46252</v>
      </c>
      <c r="C117" s="141" t="inlineStr">
        <is>
          <t>收款码</t>
        </is>
      </c>
      <c r="D117" s="141" t="inlineStr">
        <is>
          <t>客户回款</t>
        </is>
      </c>
      <c r="E117" s="142" t="inlineStr">
        <is>
          <t>收货款</t>
        </is>
      </c>
      <c r="F117" s="143" t="n">
        <v>2100</v>
      </c>
      <c r="G117" s="144" t="n"/>
      <c r="H117" s="145">
        <f>IF(OR(C117="",AND(F117="",G117="")),"",SUMIF(基础资料!$W$5:$W$24,C117,基础资料!$X$5:$X$24)+SUMIF(C$7:C117,C117,F$7:F117)-SUMIF(C$7:C117,C117,G$7:G117))</f>
        <v>3757969.69</v>
      </c>
      <c r="I117" s="145">
        <f>IF(AND(F117="",G117=""),"",SUM(基础资料!$X$5:$X$24)+SUM(F$7:F117)-SUM(G$7:G117))</f>
        <v>3769319.69</v>
      </c>
      <c r="J117" s="141" t="inlineStr">
        <is>
          <t>洪门兴诚超市</t>
        </is>
      </c>
      <c r="K117" s="141" t="n"/>
      <c r="L117" s="141" t="n"/>
      <c r="M117" s="142" t="n"/>
      <c r="N117" s="146" t="str">
        <f>IF(AND(AND(F117="",G117=""),B117="",C117="",D117="",J117="",K117="",L117=""),"",IF(AND(F117="",G117=""),"✗ 没填金额",IF(AND(N(F117)&lt;&gt;0,N(G117)&lt;&gt;0),"✗ 收入、支出只能填一边",IF(NOT(ISNUMBER(B117)),"✗ 日期不是真日期（要像 2026/9/25 这样填）",IF(OR(B117&lt;年初日,B117&gt;年末日),"✗ 日期不在本会计年度",IF(C117="","✗ 没选账户",IF(COUNTIF(基础资料!$W$5:$W$24,C117)=0,"✗ 账户不在基础资料里",IF(O117="","✗ 没选收支项目",IF(P117="未知","✗ 收支项目不在基础资料里",IF(AND(P117="应收",J117=""),"✗ 这笔要选客户",IF(AND(P117="应收",COUNTIF(总览汇总!$B$5:$B$304,J117)=0),"✗ 客户不在总览汇总名单里",IF(AND(P117="应付",K117=""),"✗ 这笔要选供应商",IF(AND(P117="应付",COUNTIF(基础资料!$Q$5:$Q$54,K117)=0),"✗ 供应商不在基础资料里",IF(AND(P117="费用",L117=""),"✗ 费用支出要选费用项目",IF(AND(L117&lt;&gt;"",COUNTIF(基础资料!$AI$5:$AI$54,L117)=0),"✗ 费用项目不在基础资料里",IF(AND(IFERROR(INDEX(基础资料!$AD$5:$AD$34,MATCH(O117,基础资料!$AC$5:$AC$34,0)),"")="收",N(G117)&lt;&gt;0),"✗ 这类是收款，金额填到收入列",IF(AND(IFERROR(INDEX(基础资料!$AD$5:$AD$34,MATCH(O117,基础资料!$AC$5:$AC$34,0)),"")="支",N(F117)&lt;&gt;0),"✗ 这类是付款，金额填到支出列",IF(N(H117)&lt;0,"⚠ 账户余额成负数了，核对一下","√"))))))))))))))))))</f>
        <v>√</v>
      </c>
      <c r="O117" s="78" t="str">
        <f>IF(D117&lt;&gt;"",D117,IF(AND(F117="",G117=""),"",IF(J117&lt;&gt;"",IF(N(F117)&gt;0,"客户回款","客户退款"),IF(K117&lt;&gt;"",IF(N(G117)&gt;0,"供应商付款","供应商退款"),IF(L117&lt;&gt;"","费用支出","")))))</f>
        <v>客户回款</v>
      </c>
      <c r="P117" s="78" t="str">
        <f>IF(O117="","",IFERROR(INDEX(基础资料!$AE$5:$AE$34,MATCH(O117,基础资料!$AC$5:$AC$34,0)),"未知"))</f>
        <v>应收</v>
      </c>
      <c r="Q117" s="78">
        <f>IF(P117="应收",COUNTIF(P$7:P117,"应收"),"")</f>
        <v>111</v>
      </c>
      <c r="R117" s="78">
        <f>IF(P117="应付",COUNTIF(P$7:P117,"应付"),"")</f>
      </c>
      <c r="S117" s="78">
        <f>N(F117)-N(G117)</f>
        <v>2100</v>
      </c>
    </row>
    <row r="118">
      <c r="A118" s="109">
        <f>IF(AND(F118="",G118=""),"",ROW()-6)</f>
        <v>112</v>
      </c>
      <c r="B118" s="140" t="n">
        <v>46252</v>
      </c>
      <c r="C118" s="141" t="inlineStr">
        <is>
          <t>收款码</t>
        </is>
      </c>
      <c r="D118" s="141" t="inlineStr">
        <is>
          <t>客户回款</t>
        </is>
      </c>
      <c r="E118" s="142" t="inlineStr">
        <is>
          <t>收货款</t>
        </is>
      </c>
      <c r="F118" s="143" t="n">
        <v>2790</v>
      </c>
      <c r="G118" s="144" t="n"/>
      <c r="H118" s="145">
        <f>IF(OR(C118="",AND(F118="",G118="")),"",SUMIF(基础资料!$W$5:$W$24,C118,基础资料!$X$5:$X$24)+SUMIF(C$7:C118,C118,F$7:F118)-SUMIF(C$7:C118,C118,G$7:G118))</f>
        <v>3760759.69</v>
      </c>
      <c r="I118" s="145">
        <f>IF(AND(F118="",G118=""),"",SUM(基础资料!$X$5:$X$24)+SUM(F$7:F118)-SUM(G$7:G118))</f>
        <v>3772109.69</v>
      </c>
      <c r="J118" s="141" t="inlineStr">
        <is>
          <t>长岗岭万家乐超市</t>
        </is>
      </c>
      <c r="K118" s="141" t="n"/>
      <c r="L118" s="141" t="n"/>
      <c r="M118" s="142" t="n"/>
      <c r="N118" s="146" t="str">
        <f>IF(AND(AND(F118="",G118=""),B118="",C118="",D118="",J118="",K118="",L118=""),"",IF(AND(F118="",G118=""),"✗ 没填金额",IF(AND(N(F118)&lt;&gt;0,N(G118)&lt;&gt;0),"✗ 收入、支出只能填一边",IF(NOT(ISNUMBER(B118)),"✗ 日期不是真日期（要像 2026/9/25 这样填）",IF(OR(B118&lt;年初日,B118&gt;年末日),"✗ 日期不在本会计年度",IF(C118="","✗ 没选账户",IF(COUNTIF(基础资料!$W$5:$W$24,C118)=0,"✗ 账户不在基础资料里",IF(O118="","✗ 没选收支项目",IF(P118="未知","✗ 收支项目不在基础资料里",IF(AND(P118="应收",J118=""),"✗ 这笔要选客户",IF(AND(P118="应收",COUNTIF(总览汇总!$B$5:$B$304,J118)=0),"✗ 客户不在总览汇总名单里",IF(AND(P118="应付",K118=""),"✗ 这笔要选供应商",IF(AND(P118="应付",COUNTIF(基础资料!$Q$5:$Q$54,K118)=0),"✗ 供应商不在基础资料里",IF(AND(P118="费用",L118=""),"✗ 费用支出要选费用项目",IF(AND(L118&lt;&gt;"",COUNTIF(基础资料!$AI$5:$AI$54,L118)=0),"✗ 费用项目不在基础资料里",IF(AND(IFERROR(INDEX(基础资料!$AD$5:$AD$34,MATCH(O118,基础资料!$AC$5:$AC$34,0)),"")="收",N(G118)&lt;&gt;0),"✗ 这类是收款，金额填到收入列",IF(AND(IFERROR(INDEX(基础资料!$AD$5:$AD$34,MATCH(O118,基础资料!$AC$5:$AC$34,0)),"")="支",N(F118)&lt;&gt;0),"✗ 这类是付款，金额填到支出列",IF(N(H118)&lt;0,"⚠ 账户余额成负数了，核对一下","√"))))))))))))))))))</f>
        <v>√</v>
      </c>
      <c r="O118" s="78" t="str">
        <f>IF(D118&lt;&gt;"",D118,IF(AND(F118="",G118=""),"",IF(J118&lt;&gt;"",IF(N(F118)&gt;0,"客户回款","客户退款"),IF(K118&lt;&gt;"",IF(N(G118)&gt;0,"供应商付款","供应商退款"),IF(L118&lt;&gt;"","费用支出","")))))</f>
        <v>客户回款</v>
      </c>
      <c r="P118" s="78" t="str">
        <f>IF(O118="","",IFERROR(INDEX(基础资料!$AE$5:$AE$34,MATCH(O118,基础资料!$AC$5:$AC$34,0)),"未知"))</f>
        <v>应收</v>
      </c>
      <c r="Q118" s="78">
        <f>IF(P118="应收",COUNTIF(P$7:P118,"应收"),"")</f>
        <v>112</v>
      </c>
      <c r="R118" s="78">
        <f>IF(P118="应付",COUNTIF(P$7:P118,"应付"),"")</f>
      </c>
      <c r="S118" s="78">
        <f>N(F118)-N(G118)</f>
        <v>2790</v>
      </c>
    </row>
    <row r="119">
      <c r="A119" s="109">
        <f>IF(AND(F119="",G119=""),"",ROW()-6)</f>
        <v>113</v>
      </c>
      <c r="B119" s="140" t="n">
        <v>46252</v>
      </c>
      <c r="C119" s="141" t="inlineStr">
        <is>
          <t>收款码</t>
        </is>
      </c>
      <c r="D119" s="141" t="inlineStr">
        <is>
          <t>客户回款</t>
        </is>
      </c>
      <c r="E119" s="142" t="inlineStr">
        <is>
          <t>收货款</t>
        </is>
      </c>
      <c r="F119" s="143" t="n">
        <v>30000</v>
      </c>
      <c r="G119" s="144" t="n"/>
      <c r="H119" s="145">
        <f>IF(OR(C119="",AND(F119="",G119="")),"",SUMIF(基础资料!$W$5:$W$24,C119,基础资料!$X$5:$X$24)+SUMIF(C$7:C119,C119,F$7:F119)-SUMIF(C$7:C119,C119,G$7:G119))</f>
        <v>3790759.69</v>
      </c>
      <c r="I119" s="145">
        <f>IF(AND(F119="",G119=""),"",SUM(基础资料!$X$5:$X$24)+SUM(F$7:F119)-SUM(G$7:G119))</f>
        <v>3802109.69</v>
      </c>
      <c r="J119" s="141" t="inlineStr">
        <is>
          <t>小梅商行</t>
        </is>
      </c>
      <c r="K119" s="141" t="n"/>
      <c r="L119" s="141" t="n"/>
      <c r="M119" s="142" t="n"/>
      <c r="N119" s="146" t="str">
        <f>IF(AND(AND(F119="",G119=""),B119="",C119="",D119="",J119="",K119="",L119=""),"",IF(AND(F119="",G119=""),"✗ 没填金额",IF(AND(N(F119)&lt;&gt;0,N(G119)&lt;&gt;0),"✗ 收入、支出只能填一边",IF(NOT(ISNUMBER(B119)),"✗ 日期不是真日期（要像 2026/9/25 这样填）",IF(OR(B119&lt;年初日,B119&gt;年末日),"✗ 日期不在本会计年度",IF(C119="","✗ 没选账户",IF(COUNTIF(基础资料!$W$5:$W$24,C119)=0,"✗ 账户不在基础资料里",IF(O119="","✗ 没选收支项目",IF(P119="未知","✗ 收支项目不在基础资料里",IF(AND(P119="应收",J119=""),"✗ 这笔要选客户",IF(AND(P119="应收",COUNTIF(总览汇总!$B$5:$B$304,J119)=0),"✗ 客户不在总览汇总名单里",IF(AND(P119="应付",K119=""),"✗ 这笔要选供应商",IF(AND(P119="应付",COUNTIF(基础资料!$Q$5:$Q$54,K119)=0),"✗ 供应商不在基础资料里",IF(AND(P119="费用",L119=""),"✗ 费用支出要选费用项目",IF(AND(L119&lt;&gt;"",COUNTIF(基础资料!$AI$5:$AI$54,L119)=0),"✗ 费用项目不在基础资料里",IF(AND(IFERROR(INDEX(基础资料!$AD$5:$AD$34,MATCH(O119,基础资料!$AC$5:$AC$34,0)),"")="收",N(G119)&lt;&gt;0),"✗ 这类是收款，金额填到收入列",IF(AND(IFERROR(INDEX(基础资料!$AD$5:$AD$34,MATCH(O119,基础资料!$AC$5:$AC$34,0)),"")="支",N(F119)&lt;&gt;0),"✗ 这类是付款，金额填到支出列",IF(N(H119)&lt;0,"⚠ 账户余额成负数了，核对一下","√"))))))))))))))))))</f>
        <v>√</v>
      </c>
      <c r="O119" s="78" t="str">
        <f>IF(D119&lt;&gt;"",D119,IF(AND(F119="",G119=""),"",IF(J119&lt;&gt;"",IF(N(F119)&gt;0,"客户回款","客户退款"),IF(K119&lt;&gt;"",IF(N(G119)&gt;0,"供应商付款","供应商退款"),IF(L119&lt;&gt;"","费用支出","")))))</f>
        <v>客户回款</v>
      </c>
      <c r="P119" s="78" t="str">
        <f>IF(O119="","",IFERROR(INDEX(基础资料!$AE$5:$AE$34,MATCH(O119,基础资料!$AC$5:$AC$34,0)),"未知"))</f>
        <v>应收</v>
      </c>
      <c r="Q119" s="78">
        <f>IF(P119="应收",COUNTIF(P$7:P119,"应收"),"")</f>
        <v>113</v>
      </c>
      <c r="R119" s="78">
        <f>IF(P119="应付",COUNTIF(P$7:P119,"应付"),"")</f>
      </c>
      <c r="S119" s="78">
        <f>N(F119)-N(G119)</f>
        <v>30000</v>
      </c>
    </row>
    <row r="120">
      <c r="A120" s="109">
        <f>IF(AND(F120="",G120=""),"",ROW()-6)</f>
        <v>114</v>
      </c>
      <c r="B120" s="140" t="n">
        <v>46254</v>
      </c>
      <c r="C120" s="141" t="inlineStr">
        <is>
          <t>收款码</t>
        </is>
      </c>
      <c r="D120" s="141" t="inlineStr">
        <is>
          <t>客户回款</t>
        </is>
      </c>
      <c r="E120" s="142" t="inlineStr">
        <is>
          <t>收货款</t>
        </is>
      </c>
      <c r="F120" s="143" t="n">
        <v>4500</v>
      </c>
      <c r="G120" s="144" t="n"/>
      <c r="H120" s="145">
        <f>IF(OR(C120="",AND(F120="",G120="")),"",SUMIF(基础资料!$W$5:$W$24,C120,基础资料!$X$5:$X$24)+SUMIF(C$7:C120,C120,F$7:F120)-SUMIF(C$7:C120,C120,G$7:G120))</f>
        <v>3795259.69</v>
      </c>
      <c r="I120" s="145">
        <f>IF(AND(F120="",G120=""),"",SUM(基础资料!$X$5:$X$24)+SUM(F$7:F120)-SUM(G$7:G120))</f>
        <v>3806609.69</v>
      </c>
      <c r="J120" s="141" t="inlineStr">
        <is>
          <t>龙岗荣鑫商行</t>
        </is>
      </c>
      <c r="K120" s="141" t="n"/>
      <c r="L120" s="141" t="n"/>
      <c r="M120" s="142" t="n"/>
      <c r="N120" s="146" t="str">
        <f>IF(AND(AND(F120="",G120=""),B120="",C120="",D120="",J120="",K120="",L120=""),"",IF(AND(F120="",G120=""),"✗ 没填金额",IF(AND(N(F120)&lt;&gt;0,N(G120)&lt;&gt;0),"✗ 收入、支出只能填一边",IF(NOT(ISNUMBER(B120)),"✗ 日期不是真日期（要像 2026/9/25 这样填）",IF(OR(B120&lt;年初日,B120&gt;年末日),"✗ 日期不在本会计年度",IF(C120="","✗ 没选账户",IF(COUNTIF(基础资料!$W$5:$W$24,C120)=0,"✗ 账户不在基础资料里",IF(O120="","✗ 没选收支项目",IF(P120="未知","✗ 收支项目不在基础资料里",IF(AND(P120="应收",J120=""),"✗ 这笔要选客户",IF(AND(P120="应收",COUNTIF(总览汇总!$B$5:$B$304,J120)=0),"✗ 客户不在总览汇总名单里",IF(AND(P120="应付",K120=""),"✗ 这笔要选供应商",IF(AND(P120="应付",COUNTIF(基础资料!$Q$5:$Q$54,K120)=0),"✗ 供应商不在基础资料里",IF(AND(P120="费用",L120=""),"✗ 费用支出要选费用项目",IF(AND(L120&lt;&gt;"",COUNTIF(基础资料!$AI$5:$AI$54,L120)=0),"✗ 费用项目不在基础资料里",IF(AND(IFERROR(INDEX(基础资料!$AD$5:$AD$34,MATCH(O120,基础资料!$AC$5:$AC$34,0)),"")="收",N(G120)&lt;&gt;0),"✗ 这类是收款，金额填到收入列",IF(AND(IFERROR(INDEX(基础资料!$AD$5:$AD$34,MATCH(O120,基础资料!$AC$5:$AC$34,0)),"")="支",N(F120)&lt;&gt;0),"✗ 这类是付款，金额填到支出列",IF(N(H120)&lt;0,"⚠ 账户余额成负数了，核对一下","√"))))))))))))))))))</f>
        <v>√</v>
      </c>
      <c r="O120" s="78" t="str">
        <f>IF(D120&lt;&gt;"",D120,IF(AND(F120="",G120=""),"",IF(J120&lt;&gt;"",IF(N(F120)&gt;0,"客户回款","客户退款"),IF(K120&lt;&gt;"",IF(N(G120)&gt;0,"供应商付款","供应商退款"),IF(L120&lt;&gt;"","费用支出","")))))</f>
        <v>客户回款</v>
      </c>
      <c r="P120" s="78" t="str">
        <f>IF(O120="","",IFERROR(INDEX(基础资料!$AE$5:$AE$34,MATCH(O120,基础资料!$AC$5:$AC$34,0)),"未知"))</f>
        <v>应收</v>
      </c>
      <c r="Q120" s="78">
        <f>IF(P120="应收",COUNTIF(P$7:P120,"应收"),"")</f>
        <v>114</v>
      </c>
      <c r="R120" s="78">
        <f>IF(P120="应付",COUNTIF(P$7:P120,"应付"),"")</f>
      </c>
      <c r="S120" s="78">
        <f>N(F120)-N(G120)</f>
        <v>4500</v>
      </c>
    </row>
    <row r="121">
      <c r="A121" s="109">
        <f>IF(AND(F121="",G121=""),"",ROW()-6)</f>
        <v>115</v>
      </c>
      <c r="B121" s="140" t="n">
        <v>46254</v>
      </c>
      <c r="C121" s="141" t="inlineStr">
        <is>
          <t>收款码</t>
        </is>
      </c>
      <c r="D121" s="141" t="inlineStr">
        <is>
          <t>客户回款</t>
        </is>
      </c>
      <c r="E121" s="142" t="inlineStr">
        <is>
          <t>收货款</t>
        </is>
      </c>
      <c r="F121" s="143" t="n">
        <v>30000</v>
      </c>
      <c r="G121" s="144" t="n"/>
      <c r="H121" s="145">
        <f>IF(OR(C121="",AND(F121="",G121="")),"",SUMIF(基础资料!$W$5:$W$24,C121,基础资料!$X$5:$X$24)+SUMIF(C$7:C121,C121,F$7:F121)-SUMIF(C$7:C121,C121,G$7:G121))</f>
        <v>3825259.69</v>
      </c>
      <c r="I121" s="145">
        <f>IF(AND(F121="",G121=""),"",SUM(基础资料!$X$5:$X$24)+SUM(F$7:F121)-SUM(G$7:G121))</f>
        <v>3836609.69</v>
      </c>
      <c r="J121" s="141" t="inlineStr">
        <is>
          <t>贸易广场老吴副食</t>
        </is>
      </c>
      <c r="K121" s="141" t="n"/>
      <c r="L121" s="141" t="n"/>
      <c r="M121" s="142" t="n"/>
      <c r="N121" s="146" t="str">
        <f>IF(AND(AND(F121="",G121=""),B121="",C121="",D121="",J121="",K121="",L121=""),"",IF(AND(F121="",G121=""),"✗ 没填金额",IF(AND(N(F121)&lt;&gt;0,N(G121)&lt;&gt;0),"✗ 收入、支出只能填一边",IF(NOT(ISNUMBER(B121)),"✗ 日期不是真日期（要像 2026/9/25 这样填）",IF(OR(B121&lt;年初日,B121&gt;年末日),"✗ 日期不在本会计年度",IF(C121="","✗ 没选账户",IF(COUNTIF(基础资料!$W$5:$W$24,C121)=0,"✗ 账户不在基础资料里",IF(O121="","✗ 没选收支项目",IF(P121="未知","✗ 收支项目不在基础资料里",IF(AND(P121="应收",J121=""),"✗ 这笔要选客户",IF(AND(P121="应收",COUNTIF(总览汇总!$B$5:$B$304,J121)=0),"✗ 客户不在总览汇总名单里",IF(AND(P121="应付",K121=""),"✗ 这笔要选供应商",IF(AND(P121="应付",COUNTIF(基础资料!$Q$5:$Q$54,K121)=0),"✗ 供应商不在基础资料里",IF(AND(P121="费用",L121=""),"✗ 费用支出要选费用项目",IF(AND(L121&lt;&gt;"",COUNTIF(基础资料!$AI$5:$AI$54,L121)=0),"✗ 费用项目不在基础资料里",IF(AND(IFERROR(INDEX(基础资料!$AD$5:$AD$34,MATCH(O121,基础资料!$AC$5:$AC$34,0)),"")="收",N(G121)&lt;&gt;0),"✗ 这类是收款，金额填到收入列",IF(AND(IFERROR(INDEX(基础资料!$AD$5:$AD$34,MATCH(O121,基础资料!$AC$5:$AC$34,0)),"")="支",N(F121)&lt;&gt;0),"✗ 这类是付款，金额填到支出列",IF(N(H121)&lt;0,"⚠ 账户余额成负数了，核对一下","√"))))))))))))))))))</f>
        <v>√</v>
      </c>
      <c r="O121" s="78" t="str">
        <f>IF(D121&lt;&gt;"",D121,IF(AND(F121="",G121=""),"",IF(J121&lt;&gt;"",IF(N(F121)&gt;0,"客户回款","客户退款"),IF(K121&lt;&gt;"",IF(N(G121)&gt;0,"供应商付款","供应商退款"),IF(L121&lt;&gt;"","费用支出","")))))</f>
        <v>客户回款</v>
      </c>
      <c r="P121" s="78" t="str">
        <f>IF(O121="","",IFERROR(INDEX(基础资料!$AE$5:$AE$34,MATCH(O121,基础资料!$AC$5:$AC$34,0)),"未知"))</f>
        <v>应收</v>
      </c>
      <c r="Q121" s="78">
        <f>IF(P121="应收",COUNTIF(P$7:P121,"应收"),"")</f>
        <v>115</v>
      </c>
      <c r="R121" s="78">
        <f>IF(P121="应付",COUNTIF(P$7:P121,"应付"),"")</f>
      </c>
      <c r="S121" s="78">
        <f>N(F121)-N(G121)</f>
        <v>30000</v>
      </c>
    </row>
    <row r="122">
      <c r="A122" s="109">
        <f>IF(AND(F122="",G122=""),"",ROW()-6)</f>
        <v>116</v>
      </c>
      <c r="B122" s="140" t="n">
        <v>46256</v>
      </c>
      <c r="C122" s="141" t="inlineStr">
        <is>
          <t>收款码</t>
        </is>
      </c>
      <c r="D122" s="141" t="inlineStr">
        <is>
          <t>客户回款</t>
        </is>
      </c>
      <c r="E122" s="142" t="inlineStr">
        <is>
          <t>收货款</t>
        </is>
      </c>
      <c r="F122" s="143" t="n">
        <v>30000</v>
      </c>
      <c r="G122" s="144" t="n"/>
      <c r="H122" s="145">
        <f>IF(OR(C122="",AND(F122="",G122="")),"",SUMIF(基础资料!$W$5:$W$24,C122,基础资料!$X$5:$X$24)+SUMIF(C$7:C122,C122,F$7:F122)-SUMIF(C$7:C122,C122,G$7:G122))</f>
        <v>3855259.69</v>
      </c>
      <c r="I122" s="145">
        <f>IF(AND(F122="",G122=""),"",SUM(基础资料!$X$5:$X$24)+SUM(F$7:F122)-SUM(G$7:G122))</f>
        <v>3866609.69</v>
      </c>
      <c r="J122" s="141" t="inlineStr">
        <is>
          <t>小梅商行</t>
        </is>
      </c>
      <c r="K122" s="141" t="n"/>
      <c r="L122" s="141" t="n"/>
      <c r="M122" s="142" t="n"/>
      <c r="N122" s="146" t="str">
        <f>IF(AND(AND(F122="",G122=""),B122="",C122="",D122="",J122="",K122="",L122=""),"",IF(AND(F122="",G122=""),"✗ 没填金额",IF(AND(N(F122)&lt;&gt;0,N(G122)&lt;&gt;0),"✗ 收入、支出只能填一边",IF(NOT(ISNUMBER(B122)),"✗ 日期不是真日期（要像 2026/9/25 这样填）",IF(OR(B122&lt;年初日,B122&gt;年末日),"✗ 日期不在本会计年度",IF(C122="","✗ 没选账户",IF(COUNTIF(基础资料!$W$5:$W$24,C122)=0,"✗ 账户不在基础资料里",IF(O122="","✗ 没选收支项目",IF(P122="未知","✗ 收支项目不在基础资料里",IF(AND(P122="应收",J122=""),"✗ 这笔要选客户",IF(AND(P122="应收",COUNTIF(总览汇总!$B$5:$B$304,J122)=0),"✗ 客户不在总览汇总名单里",IF(AND(P122="应付",K122=""),"✗ 这笔要选供应商",IF(AND(P122="应付",COUNTIF(基础资料!$Q$5:$Q$54,K122)=0),"✗ 供应商不在基础资料里",IF(AND(P122="费用",L122=""),"✗ 费用支出要选费用项目",IF(AND(L122&lt;&gt;"",COUNTIF(基础资料!$AI$5:$AI$54,L122)=0),"✗ 费用项目不在基础资料里",IF(AND(IFERROR(INDEX(基础资料!$AD$5:$AD$34,MATCH(O122,基础资料!$AC$5:$AC$34,0)),"")="收",N(G122)&lt;&gt;0),"✗ 这类是收款，金额填到收入列",IF(AND(IFERROR(INDEX(基础资料!$AD$5:$AD$34,MATCH(O122,基础资料!$AC$5:$AC$34,0)),"")="支",N(F122)&lt;&gt;0),"✗ 这类是付款，金额填到支出列",IF(N(H122)&lt;0,"⚠ 账户余额成负数了，核对一下","√"))))))))))))))))))</f>
        <v>√</v>
      </c>
      <c r="O122" s="78" t="str">
        <f>IF(D122&lt;&gt;"",D122,IF(AND(F122="",G122=""),"",IF(J122&lt;&gt;"",IF(N(F122)&gt;0,"客户回款","客户退款"),IF(K122&lt;&gt;"",IF(N(G122)&gt;0,"供应商付款","供应商退款"),IF(L122&lt;&gt;"","费用支出","")))))</f>
        <v>客户回款</v>
      </c>
      <c r="P122" s="78" t="str">
        <f>IF(O122="","",IFERROR(INDEX(基础资料!$AE$5:$AE$34,MATCH(O122,基础资料!$AC$5:$AC$34,0)),"未知"))</f>
        <v>应收</v>
      </c>
      <c r="Q122" s="78">
        <f>IF(P122="应收",COUNTIF(P$7:P122,"应收"),"")</f>
        <v>116</v>
      </c>
      <c r="R122" s="78">
        <f>IF(P122="应付",COUNTIF(P$7:P122,"应付"),"")</f>
      </c>
      <c r="S122" s="78">
        <f>N(F122)-N(G122)</f>
        <v>30000</v>
      </c>
    </row>
    <row r="123">
      <c r="A123" s="109">
        <f>IF(AND(F123="",G123=""),"",ROW()-6)</f>
        <v>117</v>
      </c>
      <c r="B123" s="140" t="n">
        <v>46270</v>
      </c>
      <c r="C123" s="141" t="inlineStr">
        <is>
          <t>收款码</t>
        </is>
      </c>
      <c r="D123" s="141" t="inlineStr">
        <is>
          <t>客户回款</t>
        </is>
      </c>
      <c r="E123" s="142" t="inlineStr">
        <is>
          <t>收货款</t>
        </is>
      </c>
      <c r="F123" s="143" t="n">
        <v>2700</v>
      </c>
      <c r="G123" s="144" t="n"/>
      <c r="H123" s="145">
        <f>IF(OR(C123="",AND(F123="",G123="")),"",SUMIF(基础资料!$W$5:$W$24,C123,基础资料!$X$5:$X$24)+SUMIF(C$7:C123,C123,F$7:F123)-SUMIF(C$7:C123,C123,G$7:G123))</f>
        <v>3857959.69</v>
      </c>
      <c r="I123" s="145">
        <f>IF(AND(F123="",G123=""),"",SUM(基础资料!$X$5:$X$24)+SUM(F$7:F123)-SUM(G$7:G123))</f>
        <v>3869309.69</v>
      </c>
      <c r="J123" s="141" t="inlineStr">
        <is>
          <t>城岗老石商行</t>
        </is>
      </c>
      <c r="K123" s="141" t="n"/>
      <c r="L123" s="141" t="n"/>
      <c r="M123" s="142" t="n"/>
      <c r="N123" s="146" t="str">
        <f>IF(AND(AND(F123="",G123=""),B123="",C123="",D123="",J123="",K123="",L123=""),"",IF(AND(F123="",G123=""),"✗ 没填金额",IF(AND(N(F123)&lt;&gt;0,N(G123)&lt;&gt;0),"✗ 收入、支出只能填一边",IF(NOT(ISNUMBER(B123)),"✗ 日期不是真日期（要像 2026/9/25 这样填）",IF(OR(B123&lt;年初日,B123&gt;年末日),"✗ 日期不在本会计年度",IF(C123="","✗ 没选账户",IF(COUNTIF(基础资料!$W$5:$W$24,C123)=0,"✗ 账户不在基础资料里",IF(O123="","✗ 没选收支项目",IF(P123="未知","✗ 收支项目不在基础资料里",IF(AND(P123="应收",J123=""),"✗ 这笔要选客户",IF(AND(P123="应收",COUNTIF(总览汇总!$B$5:$B$304,J123)=0),"✗ 客户不在总览汇总名单里",IF(AND(P123="应付",K123=""),"✗ 这笔要选供应商",IF(AND(P123="应付",COUNTIF(基础资料!$Q$5:$Q$54,K123)=0),"✗ 供应商不在基础资料里",IF(AND(P123="费用",L123=""),"✗ 费用支出要选费用项目",IF(AND(L123&lt;&gt;"",COUNTIF(基础资料!$AI$5:$AI$54,L123)=0),"✗ 费用项目不在基础资料里",IF(AND(IFERROR(INDEX(基础资料!$AD$5:$AD$34,MATCH(O123,基础资料!$AC$5:$AC$34,0)),"")="收",N(G123)&lt;&gt;0),"✗ 这类是收款，金额填到收入列",IF(AND(IFERROR(INDEX(基础资料!$AD$5:$AD$34,MATCH(O123,基础资料!$AC$5:$AC$34,0)),"")="支",N(F123)&lt;&gt;0),"✗ 这类是付款，金额填到支出列",IF(N(H123)&lt;0,"⚠ 账户余额成负数了，核对一下","√"))))))))))))))))))</f>
        <v>√</v>
      </c>
      <c r="O123" s="78" t="str">
        <f>IF(D123&lt;&gt;"",D123,IF(AND(F123="",G123=""),"",IF(J123&lt;&gt;"",IF(N(F123)&gt;0,"客户回款","客户退款"),IF(K123&lt;&gt;"",IF(N(G123)&gt;0,"供应商付款","供应商退款"),IF(L123&lt;&gt;"","费用支出","")))))</f>
        <v>客户回款</v>
      </c>
      <c r="P123" s="78" t="str">
        <f>IF(O123="","",IFERROR(INDEX(基础资料!$AE$5:$AE$34,MATCH(O123,基础资料!$AC$5:$AC$34,0)),"未知"))</f>
        <v>应收</v>
      </c>
      <c r="Q123" s="78">
        <f>IF(P123="应收",COUNTIF(P$7:P123,"应收"),"")</f>
        <v>117</v>
      </c>
      <c r="R123" s="78">
        <f>IF(P123="应付",COUNTIF(P$7:P123,"应付"),"")</f>
      </c>
      <c r="S123" s="78">
        <f>N(F123)-N(G123)</f>
        <v>2700</v>
      </c>
    </row>
    <row r="124">
      <c r="A124" s="109">
        <f>IF(AND(F124="",G124=""),"",ROW()-6)</f>
      </c>
      <c r="B124" s="140" t="n"/>
      <c r="C124" s="141" t="n"/>
      <c r="D124" s="141" t="n"/>
      <c r="E124" s="142" t="n"/>
      <c r="F124" s="143" t="n"/>
      <c r="G124" s="144" t="n"/>
      <c r="H124" s="145">
        <f>IF(OR(C124="",AND(F124="",G124="")),"",SUMIF(基础资料!$W$5:$W$24,C124,基础资料!$X$5:$X$24)+SUMIF(C$7:C124,C124,F$7:F124)-SUMIF(C$7:C124,C124,G$7:G124))</f>
      </c>
      <c r="I124" s="145">
        <f>IF(AND(F124="",G124=""),"",SUM(基础资料!$X$5:$X$24)+SUM(F$7:F124)-SUM(G$7:G124))</f>
      </c>
      <c r="J124" s="141" t="n"/>
      <c r="K124" s="141" t="n"/>
      <c r="L124" s="141" t="n"/>
      <c r="M124" s="142" t="n"/>
      <c r="N124" s="146">
        <f>IF(AND(AND(F124="",G124=""),B124="",C124="",D124="",J124="",K124="",L124=""),"",IF(AND(F124="",G124=""),"✗ 没填金额",IF(AND(N(F124)&lt;&gt;0,N(G124)&lt;&gt;0),"✗ 收入、支出只能填一边",IF(NOT(ISNUMBER(B124)),"✗ 日期不是真日期（要像 2026/9/25 这样填）",IF(OR(B124&lt;年初日,B124&gt;年末日),"✗ 日期不在本会计年度",IF(C124="","✗ 没选账户",IF(COUNTIF(基础资料!$W$5:$W$24,C124)=0,"✗ 账户不在基础资料里",IF(O124="","✗ 没选收支项目",IF(P124="未知","✗ 收支项目不在基础资料里",IF(AND(P124="应收",J124=""),"✗ 这笔要选客户",IF(AND(P124="应收",COUNTIF(总览汇总!$B$5:$B$304,J124)=0),"✗ 客户不在总览汇总名单里",IF(AND(P124="应付",K124=""),"✗ 这笔要选供应商",IF(AND(P124="应付",COUNTIF(基础资料!$Q$5:$Q$54,K124)=0),"✗ 供应商不在基础资料里",IF(AND(P124="费用",L124=""),"✗ 费用支出要选费用项目",IF(AND(L124&lt;&gt;"",COUNTIF(基础资料!$AI$5:$AI$54,L124)=0),"✗ 费用项目不在基础资料里",IF(AND(IFERROR(INDEX(基础资料!$AD$5:$AD$34,MATCH(O124,基础资料!$AC$5:$AC$34,0)),"")="收",N(G124)&lt;&gt;0),"✗ 这类是收款，金额填到收入列",IF(AND(IFERROR(INDEX(基础资料!$AD$5:$AD$34,MATCH(O124,基础资料!$AC$5:$AC$34,0)),"")="支",N(F124)&lt;&gt;0),"✗ 这类是付款，金额填到支出列",IF(N(H124)&lt;0,"⚠ 账户余额成负数了，核对一下","√"))))))))))))))))))</f>
      </c>
      <c r="O124" s="78">
        <f>IF(D124&lt;&gt;"",D124,IF(AND(F124="",G124=""),"",IF(J124&lt;&gt;"",IF(N(F124)&gt;0,"客户回款","客户退款"),IF(K124&lt;&gt;"",IF(N(G124)&gt;0,"供应商付款","供应商退款"),IF(L124&lt;&gt;"","费用支出","")))))</f>
      </c>
      <c r="P124" s="78">
        <f>IF(O124="","",IFERROR(INDEX(基础资料!$AE$5:$AE$34,MATCH(O124,基础资料!$AC$5:$AC$34,0)),"未知"))</f>
      </c>
      <c r="Q124" s="78">
        <f>IF(P124="应收",COUNTIF(P$7:P124,"应收"),"")</f>
      </c>
      <c r="R124" s="78">
        <f>IF(P124="应付",COUNTIF(P$7:P124,"应付"),"")</f>
      </c>
      <c r="S124" s="78">
        <f>N(F124)-N(G124)</f>
        <v>0</v>
      </c>
    </row>
    <row r="125">
      <c r="A125" s="109">
        <f>IF(AND(F125="",G125=""),"",ROW()-6)</f>
      </c>
      <c r="B125" s="140" t="n"/>
      <c r="C125" s="141" t="n"/>
      <c r="D125" s="141" t="n"/>
      <c r="E125" s="142" t="n"/>
      <c r="F125" s="143" t="n"/>
      <c r="G125" s="144" t="n"/>
      <c r="H125" s="145">
        <f>IF(OR(C125="",AND(F125="",G125="")),"",SUMIF(基础资料!$W$5:$W$24,C125,基础资料!$X$5:$X$24)+SUMIF(C$7:C125,C125,F$7:F125)-SUMIF(C$7:C125,C125,G$7:G125))</f>
      </c>
      <c r="I125" s="145">
        <f>IF(AND(F125="",G125=""),"",SUM(基础资料!$X$5:$X$24)+SUM(F$7:F125)-SUM(G$7:G125))</f>
      </c>
      <c r="J125" s="141" t="n"/>
      <c r="K125" s="141" t="n"/>
      <c r="L125" s="141" t="n"/>
      <c r="M125" s="142" t="n"/>
      <c r="N125" s="146">
        <f>IF(AND(AND(F125="",G125=""),B125="",C125="",D125="",J125="",K125="",L125=""),"",IF(AND(F125="",G125=""),"✗ 没填金额",IF(AND(N(F125)&lt;&gt;0,N(G125)&lt;&gt;0),"✗ 收入、支出只能填一边",IF(NOT(ISNUMBER(B125)),"✗ 日期不是真日期（要像 2026/9/25 这样填）",IF(OR(B125&lt;年初日,B125&gt;年末日),"✗ 日期不在本会计年度",IF(C125="","✗ 没选账户",IF(COUNTIF(基础资料!$W$5:$W$24,C125)=0,"✗ 账户不在基础资料里",IF(O125="","✗ 没选收支项目",IF(P125="未知","✗ 收支项目不在基础资料里",IF(AND(P125="应收",J125=""),"✗ 这笔要选客户",IF(AND(P125="应收",COUNTIF(总览汇总!$B$5:$B$304,J125)=0),"✗ 客户不在总览汇总名单里",IF(AND(P125="应付",K125=""),"✗ 这笔要选供应商",IF(AND(P125="应付",COUNTIF(基础资料!$Q$5:$Q$54,K125)=0),"✗ 供应商不在基础资料里",IF(AND(P125="费用",L125=""),"✗ 费用支出要选费用项目",IF(AND(L125&lt;&gt;"",COUNTIF(基础资料!$AI$5:$AI$54,L125)=0),"✗ 费用项目不在基础资料里",IF(AND(IFERROR(INDEX(基础资料!$AD$5:$AD$34,MATCH(O125,基础资料!$AC$5:$AC$34,0)),"")="收",N(G125)&lt;&gt;0),"✗ 这类是收款，金额填到收入列",IF(AND(IFERROR(INDEX(基础资料!$AD$5:$AD$34,MATCH(O125,基础资料!$AC$5:$AC$34,0)),"")="支",N(F125)&lt;&gt;0),"✗ 这类是付款，金额填到支出列",IF(N(H125)&lt;0,"⚠ 账户余额成负数了，核对一下","√"))))))))))))))))))</f>
      </c>
      <c r="O125" s="78">
        <f>IF(D125&lt;&gt;"",D125,IF(AND(F125="",G125=""),"",IF(J125&lt;&gt;"",IF(N(F125)&gt;0,"客户回款","客户退款"),IF(K125&lt;&gt;"",IF(N(G125)&gt;0,"供应商付款","供应商退款"),IF(L125&lt;&gt;"","费用支出","")))))</f>
      </c>
      <c r="P125" s="78">
        <f>IF(O125="","",IFERROR(INDEX(基础资料!$AE$5:$AE$34,MATCH(O125,基础资料!$AC$5:$AC$34,0)),"未知"))</f>
      </c>
      <c r="Q125" s="78">
        <f>IF(P125="应收",COUNTIF(P$7:P125,"应收"),"")</f>
      </c>
      <c r="R125" s="78">
        <f>IF(P125="应付",COUNTIF(P$7:P125,"应付"),"")</f>
      </c>
      <c r="S125" s="78">
        <f>N(F125)-N(G125)</f>
        <v>0</v>
      </c>
    </row>
    <row r="126">
      <c r="A126" s="109">
        <f>IF(AND(F126="",G126=""),"",ROW()-6)</f>
      </c>
      <c r="B126" s="140" t="n"/>
      <c r="C126" s="141" t="n"/>
      <c r="D126" s="141" t="n"/>
      <c r="E126" s="142" t="n"/>
      <c r="F126" s="143" t="n"/>
      <c r="G126" s="144" t="n"/>
      <c r="H126" s="145">
        <f>IF(OR(C126="",AND(F126="",G126="")),"",SUMIF(基础资料!$W$5:$W$24,C126,基础资料!$X$5:$X$24)+SUMIF(C$7:C126,C126,F$7:F126)-SUMIF(C$7:C126,C126,G$7:G126))</f>
      </c>
      <c r="I126" s="145">
        <f>IF(AND(F126="",G126=""),"",SUM(基础资料!$X$5:$X$24)+SUM(F$7:F126)-SUM(G$7:G126))</f>
      </c>
      <c r="J126" s="141" t="n"/>
      <c r="K126" s="141" t="n"/>
      <c r="L126" s="141" t="n"/>
      <c r="M126" s="142" t="n"/>
      <c r="N126" s="146">
        <f>IF(AND(AND(F126="",G126=""),B126="",C126="",D126="",J126="",K126="",L126=""),"",IF(AND(F126="",G126=""),"✗ 没填金额",IF(AND(N(F126)&lt;&gt;0,N(G126)&lt;&gt;0),"✗ 收入、支出只能填一边",IF(NOT(ISNUMBER(B126)),"✗ 日期不是真日期（要像 2026/9/25 这样填）",IF(OR(B126&lt;年初日,B126&gt;年末日),"✗ 日期不在本会计年度",IF(C126="","✗ 没选账户",IF(COUNTIF(基础资料!$W$5:$W$24,C126)=0,"✗ 账户不在基础资料里",IF(O126="","✗ 没选收支项目",IF(P126="未知","✗ 收支项目不在基础资料里",IF(AND(P126="应收",J126=""),"✗ 这笔要选客户",IF(AND(P126="应收",COUNTIF(总览汇总!$B$5:$B$304,J126)=0),"✗ 客户不在总览汇总名单里",IF(AND(P126="应付",K126=""),"✗ 这笔要选供应商",IF(AND(P126="应付",COUNTIF(基础资料!$Q$5:$Q$54,K126)=0),"✗ 供应商不在基础资料里",IF(AND(P126="费用",L126=""),"✗ 费用支出要选费用项目",IF(AND(L126&lt;&gt;"",COUNTIF(基础资料!$AI$5:$AI$54,L126)=0),"✗ 费用项目不在基础资料里",IF(AND(IFERROR(INDEX(基础资料!$AD$5:$AD$34,MATCH(O126,基础资料!$AC$5:$AC$34,0)),"")="收",N(G126)&lt;&gt;0),"✗ 这类是收款，金额填到收入列",IF(AND(IFERROR(INDEX(基础资料!$AD$5:$AD$34,MATCH(O126,基础资料!$AC$5:$AC$34,0)),"")="支",N(F126)&lt;&gt;0),"✗ 这类是付款，金额填到支出列",IF(N(H126)&lt;0,"⚠ 账户余额成负数了，核对一下","√"))))))))))))))))))</f>
      </c>
      <c r="O126" s="78">
        <f>IF(D126&lt;&gt;"",D126,IF(AND(F126="",G126=""),"",IF(J126&lt;&gt;"",IF(N(F126)&gt;0,"客户回款","客户退款"),IF(K126&lt;&gt;"",IF(N(G126)&gt;0,"供应商付款","供应商退款"),IF(L126&lt;&gt;"","费用支出","")))))</f>
      </c>
      <c r="P126" s="78">
        <f>IF(O126="","",IFERROR(INDEX(基础资料!$AE$5:$AE$34,MATCH(O126,基础资料!$AC$5:$AC$34,0)),"未知"))</f>
      </c>
      <c r="Q126" s="78">
        <f>IF(P126="应收",COUNTIF(P$7:P126,"应收"),"")</f>
      </c>
      <c r="R126" s="78">
        <f>IF(P126="应付",COUNTIF(P$7:P126,"应付"),"")</f>
      </c>
      <c r="S126" s="78">
        <f>N(F126)-N(G126)</f>
        <v>0</v>
      </c>
    </row>
    <row r="127">
      <c r="A127" s="109">
        <f>IF(AND(F127="",G127=""),"",ROW()-6)</f>
      </c>
      <c r="B127" s="140" t="n"/>
      <c r="C127" s="141" t="n"/>
      <c r="D127" s="141" t="n"/>
      <c r="E127" s="142" t="n"/>
      <c r="F127" s="143" t="n"/>
      <c r="G127" s="144" t="n"/>
      <c r="H127" s="145">
        <f>IF(OR(C127="",AND(F127="",G127="")),"",SUMIF(基础资料!$W$5:$W$24,C127,基础资料!$X$5:$X$24)+SUMIF(C$7:C127,C127,F$7:F127)-SUMIF(C$7:C127,C127,G$7:G127))</f>
      </c>
      <c r="I127" s="145">
        <f>IF(AND(F127="",G127=""),"",SUM(基础资料!$X$5:$X$24)+SUM(F$7:F127)-SUM(G$7:G127))</f>
      </c>
      <c r="J127" s="141" t="n"/>
      <c r="K127" s="141" t="n"/>
      <c r="L127" s="141" t="n"/>
      <c r="M127" s="142" t="n"/>
      <c r="N127" s="146">
        <f>IF(AND(AND(F127="",G127=""),B127="",C127="",D127="",J127="",K127="",L127=""),"",IF(AND(F127="",G127=""),"✗ 没填金额",IF(AND(N(F127)&lt;&gt;0,N(G127)&lt;&gt;0),"✗ 收入、支出只能填一边",IF(NOT(ISNUMBER(B127)),"✗ 日期不是真日期（要像 2026/9/25 这样填）",IF(OR(B127&lt;年初日,B127&gt;年末日),"✗ 日期不在本会计年度",IF(C127="","✗ 没选账户",IF(COUNTIF(基础资料!$W$5:$W$24,C127)=0,"✗ 账户不在基础资料里",IF(O127="","✗ 没选收支项目",IF(P127="未知","✗ 收支项目不在基础资料里",IF(AND(P127="应收",J127=""),"✗ 这笔要选客户",IF(AND(P127="应收",COUNTIF(总览汇总!$B$5:$B$304,J127)=0),"✗ 客户不在总览汇总名单里",IF(AND(P127="应付",K127=""),"✗ 这笔要选供应商",IF(AND(P127="应付",COUNTIF(基础资料!$Q$5:$Q$54,K127)=0),"✗ 供应商不在基础资料里",IF(AND(P127="费用",L127=""),"✗ 费用支出要选费用项目",IF(AND(L127&lt;&gt;"",COUNTIF(基础资料!$AI$5:$AI$54,L127)=0),"✗ 费用项目不在基础资料里",IF(AND(IFERROR(INDEX(基础资料!$AD$5:$AD$34,MATCH(O127,基础资料!$AC$5:$AC$34,0)),"")="收",N(G127)&lt;&gt;0),"✗ 这类是收款，金额填到收入列",IF(AND(IFERROR(INDEX(基础资料!$AD$5:$AD$34,MATCH(O127,基础资料!$AC$5:$AC$34,0)),"")="支",N(F127)&lt;&gt;0),"✗ 这类是付款，金额填到支出列",IF(N(H127)&lt;0,"⚠ 账户余额成负数了，核对一下","√"))))))))))))))))))</f>
      </c>
      <c r="O127" s="78">
        <f>IF(D127&lt;&gt;"",D127,IF(AND(F127="",G127=""),"",IF(J127&lt;&gt;"",IF(N(F127)&gt;0,"客户回款","客户退款"),IF(K127&lt;&gt;"",IF(N(G127)&gt;0,"供应商付款","供应商退款"),IF(L127&lt;&gt;"","费用支出","")))))</f>
      </c>
      <c r="P127" s="78">
        <f>IF(O127="","",IFERROR(INDEX(基础资料!$AE$5:$AE$34,MATCH(O127,基础资料!$AC$5:$AC$34,0)),"未知"))</f>
      </c>
      <c r="Q127" s="78">
        <f>IF(P127="应收",COUNTIF(P$7:P127,"应收"),"")</f>
      </c>
      <c r="R127" s="78">
        <f>IF(P127="应付",COUNTIF(P$7:P127,"应付"),"")</f>
      </c>
      <c r="S127" s="78">
        <f>N(F127)-N(G127)</f>
        <v>0</v>
      </c>
    </row>
    <row r="128">
      <c r="A128" s="109">
        <f>IF(AND(F128="",G128=""),"",ROW()-6)</f>
      </c>
      <c r="B128" s="140" t="n"/>
      <c r="C128" s="141" t="n"/>
      <c r="D128" s="141" t="n"/>
      <c r="E128" s="142" t="n"/>
      <c r="F128" s="143" t="n"/>
      <c r="G128" s="144" t="n"/>
      <c r="H128" s="145">
        <f>IF(OR(C128="",AND(F128="",G128="")),"",SUMIF(基础资料!$W$5:$W$24,C128,基础资料!$X$5:$X$24)+SUMIF(C$7:C128,C128,F$7:F128)-SUMIF(C$7:C128,C128,G$7:G128))</f>
      </c>
      <c r="I128" s="145">
        <f>IF(AND(F128="",G128=""),"",SUM(基础资料!$X$5:$X$24)+SUM(F$7:F128)-SUM(G$7:G128))</f>
      </c>
      <c r="J128" s="141" t="n"/>
      <c r="K128" s="141" t="n"/>
      <c r="L128" s="141" t="n"/>
      <c r="M128" s="142" t="n"/>
      <c r="N128" s="146">
        <f>IF(AND(AND(F128="",G128=""),B128="",C128="",D128="",J128="",K128="",L128=""),"",IF(AND(F128="",G128=""),"✗ 没填金额",IF(AND(N(F128)&lt;&gt;0,N(G128)&lt;&gt;0),"✗ 收入、支出只能填一边",IF(NOT(ISNUMBER(B128)),"✗ 日期不是真日期（要像 2026/9/25 这样填）",IF(OR(B128&lt;年初日,B128&gt;年末日),"✗ 日期不在本会计年度",IF(C128="","✗ 没选账户",IF(COUNTIF(基础资料!$W$5:$W$24,C128)=0,"✗ 账户不在基础资料里",IF(O128="","✗ 没选收支项目",IF(P128="未知","✗ 收支项目不在基础资料里",IF(AND(P128="应收",J128=""),"✗ 这笔要选客户",IF(AND(P128="应收",COUNTIF(总览汇总!$B$5:$B$304,J128)=0),"✗ 客户不在总览汇总名单里",IF(AND(P128="应付",K128=""),"✗ 这笔要选供应商",IF(AND(P128="应付",COUNTIF(基础资料!$Q$5:$Q$54,K128)=0),"✗ 供应商不在基础资料里",IF(AND(P128="费用",L128=""),"✗ 费用支出要选费用项目",IF(AND(L128&lt;&gt;"",COUNTIF(基础资料!$AI$5:$AI$54,L128)=0),"✗ 费用项目不在基础资料里",IF(AND(IFERROR(INDEX(基础资料!$AD$5:$AD$34,MATCH(O128,基础资料!$AC$5:$AC$34,0)),"")="收",N(G128)&lt;&gt;0),"✗ 这类是收款，金额填到收入列",IF(AND(IFERROR(INDEX(基础资料!$AD$5:$AD$34,MATCH(O128,基础资料!$AC$5:$AC$34,0)),"")="支",N(F128)&lt;&gt;0),"✗ 这类是付款，金额填到支出列",IF(N(H128)&lt;0,"⚠ 账户余额成负数了，核对一下","√"))))))))))))))))))</f>
      </c>
      <c r="O128" s="78">
        <f>IF(D128&lt;&gt;"",D128,IF(AND(F128="",G128=""),"",IF(J128&lt;&gt;"",IF(N(F128)&gt;0,"客户回款","客户退款"),IF(K128&lt;&gt;"",IF(N(G128)&gt;0,"供应商付款","供应商退款"),IF(L128&lt;&gt;"","费用支出","")))))</f>
      </c>
      <c r="P128" s="78">
        <f>IF(O128="","",IFERROR(INDEX(基础资料!$AE$5:$AE$34,MATCH(O128,基础资料!$AC$5:$AC$34,0)),"未知"))</f>
      </c>
      <c r="Q128" s="78">
        <f>IF(P128="应收",COUNTIF(P$7:P128,"应收"),"")</f>
      </c>
      <c r="R128" s="78">
        <f>IF(P128="应付",COUNTIF(P$7:P128,"应付"),"")</f>
      </c>
      <c r="S128" s="78">
        <f>N(F128)-N(G128)</f>
        <v>0</v>
      </c>
    </row>
    <row r="129">
      <c r="A129" s="109">
        <f>IF(AND(F129="",G129=""),"",ROW()-6)</f>
      </c>
      <c r="B129" s="140" t="n"/>
      <c r="C129" s="141" t="n"/>
      <c r="D129" s="141" t="n"/>
      <c r="E129" s="142" t="n"/>
      <c r="F129" s="143" t="n"/>
      <c r="G129" s="144" t="n"/>
      <c r="H129" s="145">
        <f>IF(OR(C129="",AND(F129="",G129="")),"",SUMIF(基础资料!$W$5:$W$24,C129,基础资料!$X$5:$X$24)+SUMIF(C$7:C129,C129,F$7:F129)-SUMIF(C$7:C129,C129,G$7:G129))</f>
      </c>
      <c r="I129" s="145">
        <f>IF(AND(F129="",G129=""),"",SUM(基础资料!$X$5:$X$24)+SUM(F$7:F129)-SUM(G$7:G129))</f>
      </c>
      <c r="J129" s="141" t="n"/>
      <c r="K129" s="141" t="n"/>
      <c r="L129" s="141" t="n"/>
      <c r="M129" s="142" t="n"/>
      <c r="N129" s="146">
        <f>IF(AND(AND(F129="",G129=""),B129="",C129="",D129="",J129="",K129="",L129=""),"",IF(AND(F129="",G129=""),"✗ 没填金额",IF(AND(N(F129)&lt;&gt;0,N(G129)&lt;&gt;0),"✗ 收入、支出只能填一边",IF(NOT(ISNUMBER(B129)),"✗ 日期不是真日期（要像 2026/9/25 这样填）",IF(OR(B129&lt;年初日,B129&gt;年末日),"✗ 日期不在本会计年度",IF(C129="","✗ 没选账户",IF(COUNTIF(基础资料!$W$5:$W$24,C129)=0,"✗ 账户不在基础资料里",IF(O129="","✗ 没选收支项目",IF(P129="未知","✗ 收支项目不在基础资料里",IF(AND(P129="应收",J129=""),"✗ 这笔要选客户",IF(AND(P129="应收",COUNTIF(总览汇总!$B$5:$B$304,J129)=0),"✗ 客户不在总览汇总名单里",IF(AND(P129="应付",K129=""),"✗ 这笔要选供应商",IF(AND(P129="应付",COUNTIF(基础资料!$Q$5:$Q$54,K129)=0),"✗ 供应商不在基础资料里",IF(AND(P129="费用",L129=""),"✗ 费用支出要选费用项目",IF(AND(L129&lt;&gt;"",COUNTIF(基础资料!$AI$5:$AI$54,L129)=0),"✗ 费用项目不在基础资料里",IF(AND(IFERROR(INDEX(基础资料!$AD$5:$AD$34,MATCH(O129,基础资料!$AC$5:$AC$34,0)),"")="收",N(G129)&lt;&gt;0),"✗ 这类是收款，金额填到收入列",IF(AND(IFERROR(INDEX(基础资料!$AD$5:$AD$34,MATCH(O129,基础资料!$AC$5:$AC$34,0)),"")="支",N(F129)&lt;&gt;0),"✗ 这类是付款，金额填到支出列",IF(N(H129)&lt;0,"⚠ 账户余额成负数了，核对一下","√"))))))))))))))))))</f>
      </c>
      <c r="O129" s="78">
        <f>IF(D129&lt;&gt;"",D129,IF(AND(F129="",G129=""),"",IF(J129&lt;&gt;"",IF(N(F129)&gt;0,"客户回款","客户退款"),IF(K129&lt;&gt;"",IF(N(G129)&gt;0,"供应商付款","供应商退款"),IF(L129&lt;&gt;"","费用支出","")))))</f>
      </c>
      <c r="P129" s="78">
        <f>IF(O129="","",IFERROR(INDEX(基础资料!$AE$5:$AE$34,MATCH(O129,基础资料!$AC$5:$AC$34,0)),"未知"))</f>
      </c>
      <c r="Q129" s="78">
        <f>IF(P129="应收",COUNTIF(P$7:P129,"应收"),"")</f>
      </c>
      <c r="R129" s="78">
        <f>IF(P129="应付",COUNTIF(P$7:P129,"应付"),"")</f>
      </c>
      <c r="S129" s="78">
        <f>N(F129)-N(G129)</f>
        <v>0</v>
      </c>
    </row>
    <row r="130">
      <c r="A130" s="109">
        <f>IF(AND(F130="",G130=""),"",ROW()-6)</f>
      </c>
      <c r="B130" s="140" t="n"/>
      <c r="C130" s="141" t="n"/>
      <c r="D130" s="141" t="n"/>
      <c r="E130" s="142" t="n"/>
      <c r="F130" s="143" t="n"/>
      <c r="G130" s="144" t="n"/>
      <c r="H130" s="145">
        <f>IF(OR(C130="",AND(F130="",G130="")),"",SUMIF(基础资料!$W$5:$W$24,C130,基础资料!$X$5:$X$24)+SUMIF(C$7:C130,C130,F$7:F130)-SUMIF(C$7:C130,C130,G$7:G130))</f>
      </c>
      <c r="I130" s="145">
        <f>IF(AND(F130="",G130=""),"",SUM(基础资料!$X$5:$X$24)+SUM(F$7:F130)-SUM(G$7:G130))</f>
      </c>
      <c r="J130" s="141" t="n"/>
      <c r="K130" s="141" t="n"/>
      <c r="L130" s="141" t="n"/>
      <c r="M130" s="142" t="n"/>
      <c r="N130" s="146">
        <f>IF(AND(AND(F130="",G130=""),B130="",C130="",D130="",J130="",K130="",L130=""),"",IF(AND(F130="",G130=""),"✗ 没填金额",IF(AND(N(F130)&lt;&gt;0,N(G130)&lt;&gt;0),"✗ 收入、支出只能填一边",IF(NOT(ISNUMBER(B130)),"✗ 日期不是真日期（要像 2026/9/25 这样填）",IF(OR(B130&lt;年初日,B130&gt;年末日),"✗ 日期不在本会计年度",IF(C130="","✗ 没选账户",IF(COUNTIF(基础资料!$W$5:$W$24,C130)=0,"✗ 账户不在基础资料里",IF(O130="","✗ 没选收支项目",IF(P130="未知","✗ 收支项目不在基础资料里",IF(AND(P130="应收",J130=""),"✗ 这笔要选客户",IF(AND(P130="应收",COUNTIF(总览汇总!$B$5:$B$304,J130)=0),"✗ 客户不在总览汇总名单里",IF(AND(P130="应付",K130=""),"✗ 这笔要选供应商",IF(AND(P130="应付",COUNTIF(基础资料!$Q$5:$Q$54,K130)=0),"✗ 供应商不在基础资料里",IF(AND(P130="费用",L130=""),"✗ 费用支出要选费用项目",IF(AND(L130&lt;&gt;"",COUNTIF(基础资料!$AI$5:$AI$54,L130)=0),"✗ 费用项目不在基础资料里",IF(AND(IFERROR(INDEX(基础资料!$AD$5:$AD$34,MATCH(O130,基础资料!$AC$5:$AC$34,0)),"")="收",N(G130)&lt;&gt;0),"✗ 这类是收款，金额填到收入列",IF(AND(IFERROR(INDEX(基础资料!$AD$5:$AD$34,MATCH(O130,基础资料!$AC$5:$AC$34,0)),"")="支",N(F130)&lt;&gt;0),"✗ 这类是付款，金额填到支出列",IF(N(H130)&lt;0,"⚠ 账户余额成负数了，核对一下","√"))))))))))))))))))</f>
      </c>
      <c r="O130" s="78">
        <f>IF(D130&lt;&gt;"",D130,IF(AND(F130="",G130=""),"",IF(J130&lt;&gt;"",IF(N(F130)&gt;0,"客户回款","客户退款"),IF(K130&lt;&gt;"",IF(N(G130)&gt;0,"供应商付款","供应商退款"),IF(L130&lt;&gt;"","费用支出","")))))</f>
      </c>
      <c r="P130" s="78">
        <f>IF(O130="","",IFERROR(INDEX(基础资料!$AE$5:$AE$34,MATCH(O130,基础资料!$AC$5:$AC$34,0)),"未知"))</f>
      </c>
      <c r="Q130" s="78">
        <f>IF(P130="应收",COUNTIF(P$7:P130,"应收"),"")</f>
      </c>
      <c r="R130" s="78">
        <f>IF(P130="应付",COUNTIF(P$7:P130,"应付"),"")</f>
      </c>
      <c r="S130" s="78">
        <f>N(F130)-N(G130)</f>
        <v>0</v>
      </c>
    </row>
    <row r="131">
      <c r="A131" s="109">
        <f>IF(AND(F131="",G131=""),"",ROW()-6)</f>
      </c>
      <c r="B131" s="140" t="n"/>
      <c r="C131" s="141" t="n"/>
      <c r="D131" s="141" t="n"/>
      <c r="E131" s="142" t="n"/>
      <c r="F131" s="143" t="n"/>
      <c r="G131" s="144" t="n"/>
      <c r="H131" s="145">
        <f>IF(OR(C131="",AND(F131="",G131="")),"",SUMIF(基础资料!$W$5:$W$24,C131,基础资料!$X$5:$X$24)+SUMIF(C$7:C131,C131,F$7:F131)-SUMIF(C$7:C131,C131,G$7:G131))</f>
      </c>
      <c r="I131" s="145">
        <f>IF(AND(F131="",G131=""),"",SUM(基础资料!$X$5:$X$24)+SUM(F$7:F131)-SUM(G$7:G131))</f>
      </c>
      <c r="J131" s="141" t="n"/>
      <c r="K131" s="141" t="n"/>
      <c r="L131" s="141" t="n"/>
      <c r="M131" s="142" t="n"/>
      <c r="N131" s="146">
        <f>IF(AND(AND(F131="",G131=""),B131="",C131="",D131="",J131="",K131="",L131=""),"",IF(AND(F131="",G131=""),"✗ 没填金额",IF(AND(N(F131)&lt;&gt;0,N(G131)&lt;&gt;0),"✗ 收入、支出只能填一边",IF(NOT(ISNUMBER(B131)),"✗ 日期不是真日期（要像 2026/9/25 这样填）",IF(OR(B131&lt;年初日,B131&gt;年末日),"✗ 日期不在本会计年度",IF(C131="","✗ 没选账户",IF(COUNTIF(基础资料!$W$5:$W$24,C131)=0,"✗ 账户不在基础资料里",IF(O131="","✗ 没选收支项目",IF(P131="未知","✗ 收支项目不在基础资料里",IF(AND(P131="应收",J131=""),"✗ 这笔要选客户",IF(AND(P131="应收",COUNTIF(总览汇总!$B$5:$B$304,J131)=0),"✗ 客户不在总览汇总名单里",IF(AND(P131="应付",K131=""),"✗ 这笔要选供应商",IF(AND(P131="应付",COUNTIF(基础资料!$Q$5:$Q$54,K131)=0),"✗ 供应商不在基础资料里",IF(AND(P131="费用",L131=""),"✗ 费用支出要选费用项目",IF(AND(L131&lt;&gt;"",COUNTIF(基础资料!$AI$5:$AI$54,L131)=0),"✗ 费用项目不在基础资料里",IF(AND(IFERROR(INDEX(基础资料!$AD$5:$AD$34,MATCH(O131,基础资料!$AC$5:$AC$34,0)),"")="收",N(G131)&lt;&gt;0),"✗ 这类是收款，金额填到收入列",IF(AND(IFERROR(INDEX(基础资料!$AD$5:$AD$34,MATCH(O131,基础资料!$AC$5:$AC$34,0)),"")="支",N(F131)&lt;&gt;0),"✗ 这类是付款，金额填到支出列",IF(N(H131)&lt;0,"⚠ 账户余额成负数了，核对一下","√"))))))))))))))))))</f>
      </c>
      <c r="O131" s="78">
        <f>IF(D131&lt;&gt;"",D131,IF(AND(F131="",G131=""),"",IF(J131&lt;&gt;"",IF(N(F131)&gt;0,"客户回款","客户退款"),IF(K131&lt;&gt;"",IF(N(G131)&gt;0,"供应商付款","供应商退款"),IF(L131&lt;&gt;"","费用支出","")))))</f>
      </c>
      <c r="P131" s="78">
        <f>IF(O131="","",IFERROR(INDEX(基础资料!$AE$5:$AE$34,MATCH(O131,基础资料!$AC$5:$AC$34,0)),"未知"))</f>
      </c>
      <c r="Q131" s="78">
        <f>IF(P131="应收",COUNTIF(P$7:P131,"应收"),"")</f>
      </c>
      <c r="R131" s="78">
        <f>IF(P131="应付",COUNTIF(P$7:P131,"应付"),"")</f>
      </c>
      <c r="S131" s="78">
        <f>N(F131)-N(G131)</f>
        <v>0</v>
      </c>
    </row>
    <row r="132">
      <c r="A132" s="109">
        <f>IF(AND(F132="",G132=""),"",ROW()-6)</f>
      </c>
      <c r="B132" s="140" t="n"/>
      <c r="C132" s="141" t="n"/>
      <c r="D132" s="141" t="n"/>
      <c r="E132" s="142" t="n"/>
      <c r="F132" s="143" t="n"/>
      <c r="G132" s="144" t="n"/>
      <c r="H132" s="145">
        <f>IF(OR(C132="",AND(F132="",G132="")),"",SUMIF(基础资料!$W$5:$W$24,C132,基础资料!$X$5:$X$24)+SUMIF(C$7:C132,C132,F$7:F132)-SUMIF(C$7:C132,C132,G$7:G132))</f>
      </c>
      <c r="I132" s="145">
        <f>IF(AND(F132="",G132=""),"",SUM(基础资料!$X$5:$X$24)+SUM(F$7:F132)-SUM(G$7:G132))</f>
      </c>
      <c r="J132" s="141" t="n"/>
      <c r="K132" s="141" t="n"/>
      <c r="L132" s="141" t="n"/>
      <c r="M132" s="142" t="n"/>
      <c r="N132" s="146">
        <f>IF(AND(AND(F132="",G132=""),B132="",C132="",D132="",J132="",K132="",L132=""),"",IF(AND(F132="",G132=""),"✗ 没填金额",IF(AND(N(F132)&lt;&gt;0,N(G132)&lt;&gt;0),"✗ 收入、支出只能填一边",IF(NOT(ISNUMBER(B132)),"✗ 日期不是真日期（要像 2026/9/25 这样填）",IF(OR(B132&lt;年初日,B132&gt;年末日),"✗ 日期不在本会计年度",IF(C132="","✗ 没选账户",IF(COUNTIF(基础资料!$W$5:$W$24,C132)=0,"✗ 账户不在基础资料里",IF(O132="","✗ 没选收支项目",IF(P132="未知","✗ 收支项目不在基础资料里",IF(AND(P132="应收",J132=""),"✗ 这笔要选客户",IF(AND(P132="应收",COUNTIF(总览汇总!$B$5:$B$304,J132)=0),"✗ 客户不在总览汇总名单里",IF(AND(P132="应付",K132=""),"✗ 这笔要选供应商",IF(AND(P132="应付",COUNTIF(基础资料!$Q$5:$Q$54,K132)=0),"✗ 供应商不在基础资料里",IF(AND(P132="费用",L132=""),"✗ 费用支出要选费用项目",IF(AND(L132&lt;&gt;"",COUNTIF(基础资料!$AI$5:$AI$54,L132)=0),"✗ 费用项目不在基础资料里",IF(AND(IFERROR(INDEX(基础资料!$AD$5:$AD$34,MATCH(O132,基础资料!$AC$5:$AC$34,0)),"")="收",N(G132)&lt;&gt;0),"✗ 这类是收款，金额填到收入列",IF(AND(IFERROR(INDEX(基础资料!$AD$5:$AD$34,MATCH(O132,基础资料!$AC$5:$AC$34,0)),"")="支",N(F132)&lt;&gt;0),"✗ 这类是付款，金额填到支出列",IF(N(H132)&lt;0,"⚠ 账户余额成负数了，核对一下","√"))))))))))))))))))</f>
      </c>
      <c r="O132" s="78">
        <f>IF(D132&lt;&gt;"",D132,IF(AND(F132="",G132=""),"",IF(J132&lt;&gt;"",IF(N(F132)&gt;0,"客户回款","客户退款"),IF(K132&lt;&gt;"",IF(N(G132)&gt;0,"供应商付款","供应商退款"),IF(L132&lt;&gt;"","费用支出","")))))</f>
      </c>
      <c r="P132" s="78">
        <f>IF(O132="","",IFERROR(INDEX(基础资料!$AE$5:$AE$34,MATCH(O132,基础资料!$AC$5:$AC$34,0)),"未知"))</f>
      </c>
      <c r="Q132" s="78">
        <f>IF(P132="应收",COUNTIF(P$7:P132,"应收"),"")</f>
      </c>
      <c r="R132" s="78">
        <f>IF(P132="应付",COUNTIF(P$7:P132,"应付"),"")</f>
      </c>
      <c r="S132" s="78">
        <f>N(F132)-N(G132)</f>
        <v>0</v>
      </c>
    </row>
    <row r="133">
      <c r="A133" s="109">
        <f>IF(AND(F133="",G133=""),"",ROW()-6)</f>
      </c>
      <c r="B133" s="140" t="n"/>
      <c r="C133" s="141" t="n"/>
      <c r="D133" s="141" t="n"/>
      <c r="E133" s="142" t="n"/>
      <c r="F133" s="143" t="n"/>
      <c r="G133" s="144" t="n"/>
      <c r="H133" s="145">
        <f>IF(OR(C133="",AND(F133="",G133="")),"",SUMIF(基础资料!$W$5:$W$24,C133,基础资料!$X$5:$X$24)+SUMIF(C$7:C133,C133,F$7:F133)-SUMIF(C$7:C133,C133,G$7:G133))</f>
      </c>
      <c r="I133" s="145">
        <f>IF(AND(F133="",G133=""),"",SUM(基础资料!$X$5:$X$24)+SUM(F$7:F133)-SUM(G$7:G133))</f>
      </c>
      <c r="J133" s="141" t="n"/>
      <c r="K133" s="141" t="n"/>
      <c r="L133" s="141" t="n"/>
      <c r="M133" s="142" t="n"/>
      <c r="N133" s="146">
        <f>IF(AND(AND(F133="",G133=""),B133="",C133="",D133="",J133="",K133="",L133=""),"",IF(AND(F133="",G133=""),"✗ 没填金额",IF(AND(N(F133)&lt;&gt;0,N(G133)&lt;&gt;0),"✗ 收入、支出只能填一边",IF(NOT(ISNUMBER(B133)),"✗ 日期不是真日期（要像 2026/9/25 这样填）",IF(OR(B133&lt;年初日,B133&gt;年末日),"✗ 日期不在本会计年度",IF(C133="","✗ 没选账户",IF(COUNTIF(基础资料!$W$5:$W$24,C133)=0,"✗ 账户不在基础资料里",IF(O133="","✗ 没选收支项目",IF(P133="未知","✗ 收支项目不在基础资料里",IF(AND(P133="应收",J133=""),"✗ 这笔要选客户",IF(AND(P133="应收",COUNTIF(总览汇总!$B$5:$B$304,J133)=0),"✗ 客户不在总览汇总名单里",IF(AND(P133="应付",K133=""),"✗ 这笔要选供应商",IF(AND(P133="应付",COUNTIF(基础资料!$Q$5:$Q$54,K133)=0),"✗ 供应商不在基础资料里",IF(AND(P133="费用",L133=""),"✗ 费用支出要选费用项目",IF(AND(L133&lt;&gt;"",COUNTIF(基础资料!$AI$5:$AI$54,L133)=0),"✗ 费用项目不在基础资料里",IF(AND(IFERROR(INDEX(基础资料!$AD$5:$AD$34,MATCH(O133,基础资料!$AC$5:$AC$34,0)),"")="收",N(G133)&lt;&gt;0),"✗ 这类是收款，金额填到收入列",IF(AND(IFERROR(INDEX(基础资料!$AD$5:$AD$34,MATCH(O133,基础资料!$AC$5:$AC$34,0)),"")="支",N(F133)&lt;&gt;0),"✗ 这类是付款，金额填到支出列",IF(N(H133)&lt;0,"⚠ 账户余额成负数了，核对一下","√"))))))))))))))))))</f>
      </c>
      <c r="O133" s="78">
        <f>IF(D133&lt;&gt;"",D133,IF(AND(F133="",G133=""),"",IF(J133&lt;&gt;"",IF(N(F133)&gt;0,"客户回款","客户退款"),IF(K133&lt;&gt;"",IF(N(G133)&gt;0,"供应商付款","供应商退款"),IF(L133&lt;&gt;"","费用支出","")))))</f>
      </c>
      <c r="P133" s="78">
        <f>IF(O133="","",IFERROR(INDEX(基础资料!$AE$5:$AE$34,MATCH(O133,基础资料!$AC$5:$AC$34,0)),"未知"))</f>
      </c>
      <c r="Q133" s="78">
        <f>IF(P133="应收",COUNTIF(P$7:P133,"应收"),"")</f>
      </c>
      <c r="R133" s="78">
        <f>IF(P133="应付",COUNTIF(P$7:P133,"应付"),"")</f>
      </c>
      <c r="S133" s="78">
        <f>N(F133)-N(G133)</f>
        <v>0</v>
      </c>
    </row>
    <row r="134">
      <c r="A134" s="109">
        <f>IF(AND(F134="",G134=""),"",ROW()-6)</f>
      </c>
      <c r="B134" s="140" t="n"/>
      <c r="C134" s="141" t="n"/>
      <c r="D134" s="141" t="n"/>
      <c r="E134" s="142" t="n"/>
      <c r="F134" s="143" t="n"/>
      <c r="G134" s="144" t="n"/>
      <c r="H134" s="145">
        <f>IF(OR(C134="",AND(F134="",G134="")),"",SUMIF(基础资料!$W$5:$W$24,C134,基础资料!$X$5:$X$24)+SUMIF(C$7:C134,C134,F$7:F134)-SUMIF(C$7:C134,C134,G$7:G134))</f>
      </c>
      <c r="I134" s="145">
        <f>IF(AND(F134="",G134=""),"",SUM(基础资料!$X$5:$X$24)+SUM(F$7:F134)-SUM(G$7:G134))</f>
      </c>
      <c r="J134" s="141" t="n"/>
      <c r="K134" s="141" t="n"/>
      <c r="L134" s="141" t="n"/>
      <c r="M134" s="142" t="n"/>
      <c r="N134" s="146">
        <f>IF(AND(AND(F134="",G134=""),B134="",C134="",D134="",J134="",K134="",L134=""),"",IF(AND(F134="",G134=""),"✗ 没填金额",IF(AND(N(F134)&lt;&gt;0,N(G134)&lt;&gt;0),"✗ 收入、支出只能填一边",IF(NOT(ISNUMBER(B134)),"✗ 日期不是真日期（要像 2026/9/25 这样填）",IF(OR(B134&lt;年初日,B134&gt;年末日),"✗ 日期不在本会计年度",IF(C134="","✗ 没选账户",IF(COUNTIF(基础资料!$W$5:$W$24,C134)=0,"✗ 账户不在基础资料里",IF(O134="","✗ 没选收支项目",IF(P134="未知","✗ 收支项目不在基础资料里",IF(AND(P134="应收",J134=""),"✗ 这笔要选客户",IF(AND(P134="应收",COUNTIF(总览汇总!$B$5:$B$304,J134)=0),"✗ 客户不在总览汇总名单里",IF(AND(P134="应付",K134=""),"✗ 这笔要选供应商",IF(AND(P134="应付",COUNTIF(基础资料!$Q$5:$Q$54,K134)=0),"✗ 供应商不在基础资料里",IF(AND(P134="费用",L134=""),"✗ 费用支出要选费用项目",IF(AND(L134&lt;&gt;"",COUNTIF(基础资料!$AI$5:$AI$54,L134)=0),"✗ 费用项目不在基础资料里",IF(AND(IFERROR(INDEX(基础资料!$AD$5:$AD$34,MATCH(O134,基础资料!$AC$5:$AC$34,0)),"")="收",N(G134)&lt;&gt;0),"✗ 这类是收款，金额填到收入列",IF(AND(IFERROR(INDEX(基础资料!$AD$5:$AD$34,MATCH(O134,基础资料!$AC$5:$AC$34,0)),"")="支",N(F134)&lt;&gt;0),"✗ 这类是付款，金额填到支出列",IF(N(H134)&lt;0,"⚠ 账户余额成负数了，核对一下","√"))))))))))))))))))</f>
      </c>
      <c r="O134" s="78">
        <f>IF(D134&lt;&gt;"",D134,IF(AND(F134="",G134=""),"",IF(J134&lt;&gt;"",IF(N(F134)&gt;0,"客户回款","客户退款"),IF(K134&lt;&gt;"",IF(N(G134)&gt;0,"供应商付款","供应商退款"),IF(L134&lt;&gt;"","费用支出","")))))</f>
      </c>
      <c r="P134" s="78">
        <f>IF(O134="","",IFERROR(INDEX(基础资料!$AE$5:$AE$34,MATCH(O134,基础资料!$AC$5:$AC$34,0)),"未知"))</f>
      </c>
      <c r="Q134" s="78">
        <f>IF(P134="应收",COUNTIF(P$7:P134,"应收"),"")</f>
      </c>
      <c r="R134" s="78">
        <f>IF(P134="应付",COUNTIF(P$7:P134,"应付"),"")</f>
      </c>
      <c r="S134" s="78">
        <f>N(F134)-N(G134)</f>
        <v>0</v>
      </c>
    </row>
    <row r="135">
      <c r="A135" s="109">
        <f>IF(AND(F135="",G135=""),"",ROW()-6)</f>
      </c>
      <c r="B135" s="140" t="n"/>
      <c r="C135" s="141" t="n"/>
      <c r="D135" s="141" t="n"/>
      <c r="E135" s="142" t="n"/>
      <c r="F135" s="143" t="n"/>
      <c r="G135" s="144" t="n"/>
      <c r="H135" s="145">
        <f>IF(OR(C135="",AND(F135="",G135="")),"",SUMIF(基础资料!$W$5:$W$24,C135,基础资料!$X$5:$X$24)+SUMIF(C$7:C135,C135,F$7:F135)-SUMIF(C$7:C135,C135,G$7:G135))</f>
      </c>
      <c r="I135" s="145">
        <f>IF(AND(F135="",G135=""),"",SUM(基础资料!$X$5:$X$24)+SUM(F$7:F135)-SUM(G$7:G135))</f>
      </c>
      <c r="J135" s="141" t="n"/>
      <c r="K135" s="141" t="n"/>
      <c r="L135" s="141" t="n"/>
      <c r="M135" s="142" t="n"/>
      <c r="N135" s="146">
        <f>IF(AND(AND(F135="",G135=""),B135="",C135="",D135="",J135="",K135="",L135=""),"",IF(AND(F135="",G135=""),"✗ 没填金额",IF(AND(N(F135)&lt;&gt;0,N(G135)&lt;&gt;0),"✗ 收入、支出只能填一边",IF(NOT(ISNUMBER(B135)),"✗ 日期不是真日期（要像 2026/9/25 这样填）",IF(OR(B135&lt;年初日,B135&gt;年末日),"✗ 日期不在本会计年度",IF(C135="","✗ 没选账户",IF(COUNTIF(基础资料!$W$5:$W$24,C135)=0,"✗ 账户不在基础资料里",IF(O135="","✗ 没选收支项目",IF(P135="未知","✗ 收支项目不在基础资料里",IF(AND(P135="应收",J135=""),"✗ 这笔要选客户",IF(AND(P135="应收",COUNTIF(总览汇总!$B$5:$B$304,J135)=0),"✗ 客户不在总览汇总名单里",IF(AND(P135="应付",K135=""),"✗ 这笔要选供应商",IF(AND(P135="应付",COUNTIF(基础资料!$Q$5:$Q$54,K135)=0),"✗ 供应商不在基础资料里",IF(AND(P135="费用",L135=""),"✗ 费用支出要选费用项目",IF(AND(L135&lt;&gt;"",COUNTIF(基础资料!$AI$5:$AI$54,L135)=0),"✗ 费用项目不在基础资料里",IF(AND(IFERROR(INDEX(基础资料!$AD$5:$AD$34,MATCH(O135,基础资料!$AC$5:$AC$34,0)),"")="收",N(G135)&lt;&gt;0),"✗ 这类是收款，金额填到收入列",IF(AND(IFERROR(INDEX(基础资料!$AD$5:$AD$34,MATCH(O135,基础资料!$AC$5:$AC$34,0)),"")="支",N(F135)&lt;&gt;0),"✗ 这类是付款，金额填到支出列",IF(N(H135)&lt;0,"⚠ 账户余额成负数了，核对一下","√"))))))))))))))))))</f>
      </c>
      <c r="O135" s="78">
        <f>IF(D135&lt;&gt;"",D135,IF(AND(F135="",G135=""),"",IF(J135&lt;&gt;"",IF(N(F135)&gt;0,"客户回款","客户退款"),IF(K135&lt;&gt;"",IF(N(G135)&gt;0,"供应商付款","供应商退款"),IF(L135&lt;&gt;"","费用支出","")))))</f>
      </c>
      <c r="P135" s="78">
        <f>IF(O135="","",IFERROR(INDEX(基础资料!$AE$5:$AE$34,MATCH(O135,基础资料!$AC$5:$AC$34,0)),"未知"))</f>
      </c>
      <c r="Q135" s="78">
        <f>IF(P135="应收",COUNTIF(P$7:P135,"应收"),"")</f>
      </c>
      <c r="R135" s="78">
        <f>IF(P135="应付",COUNTIF(P$7:P135,"应付"),"")</f>
      </c>
      <c r="S135" s="78">
        <f>N(F135)-N(G135)</f>
        <v>0</v>
      </c>
    </row>
    <row r="136">
      <c r="A136" s="109">
        <f>IF(AND(F136="",G136=""),"",ROW()-6)</f>
      </c>
      <c r="B136" s="140" t="n"/>
      <c r="C136" s="141" t="n"/>
      <c r="D136" s="141" t="n"/>
      <c r="E136" s="142" t="n"/>
      <c r="F136" s="143" t="n"/>
      <c r="G136" s="144" t="n"/>
      <c r="H136" s="145">
        <f>IF(OR(C136="",AND(F136="",G136="")),"",SUMIF(基础资料!$W$5:$W$24,C136,基础资料!$X$5:$X$24)+SUMIF(C$7:C136,C136,F$7:F136)-SUMIF(C$7:C136,C136,G$7:G136))</f>
      </c>
      <c r="I136" s="145">
        <f>IF(AND(F136="",G136=""),"",SUM(基础资料!$X$5:$X$24)+SUM(F$7:F136)-SUM(G$7:G136))</f>
      </c>
      <c r="J136" s="141" t="n"/>
      <c r="K136" s="141" t="n"/>
      <c r="L136" s="141" t="n"/>
      <c r="M136" s="142" t="n"/>
      <c r="N136" s="146">
        <f>IF(AND(AND(F136="",G136=""),B136="",C136="",D136="",J136="",K136="",L136=""),"",IF(AND(F136="",G136=""),"✗ 没填金额",IF(AND(N(F136)&lt;&gt;0,N(G136)&lt;&gt;0),"✗ 收入、支出只能填一边",IF(NOT(ISNUMBER(B136)),"✗ 日期不是真日期（要像 2026/9/25 这样填）",IF(OR(B136&lt;年初日,B136&gt;年末日),"✗ 日期不在本会计年度",IF(C136="","✗ 没选账户",IF(COUNTIF(基础资料!$W$5:$W$24,C136)=0,"✗ 账户不在基础资料里",IF(O136="","✗ 没选收支项目",IF(P136="未知","✗ 收支项目不在基础资料里",IF(AND(P136="应收",J136=""),"✗ 这笔要选客户",IF(AND(P136="应收",COUNTIF(总览汇总!$B$5:$B$304,J136)=0),"✗ 客户不在总览汇总名单里",IF(AND(P136="应付",K136=""),"✗ 这笔要选供应商",IF(AND(P136="应付",COUNTIF(基础资料!$Q$5:$Q$54,K136)=0),"✗ 供应商不在基础资料里",IF(AND(P136="费用",L136=""),"✗ 费用支出要选费用项目",IF(AND(L136&lt;&gt;"",COUNTIF(基础资料!$AI$5:$AI$54,L136)=0),"✗ 费用项目不在基础资料里",IF(AND(IFERROR(INDEX(基础资料!$AD$5:$AD$34,MATCH(O136,基础资料!$AC$5:$AC$34,0)),"")="收",N(G136)&lt;&gt;0),"✗ 这类是收款，金额填到收入列",IF(AND(IFERROR(INDEX(基础资料!$AD$5:$AD$34,MATCH(O136,基础资料!$AC$5:$AC$34,0)),"")="支",N(F136)&lt;&gt;0),"✗ 这类是付款，金额填到支出列",IF(N(H136)&lt;0,"⚠ 账户余额成负数了，核对一下","√"))))))))))))))))))</f>
      </c>
      <c r="O136" s="78">
        <f>IF(D136&lt;&gt;"",D136,IF(AND(F136="",G136=""),"",IF(J136&lt;&gt;"",IF(N(F136)&gt;0,"客户回款","客户退款"),IF(K136&lt;&gt;"",IF(N(G136)&gt;0,"供应商付款","供应商退款"),IF(L136&lt;&gt;"","费用支出","")))))</f>
      </c>
      <c r="P136" s="78">
        <f>IF(O136="","",IFERROR(INDEX(基础资料!$AE$5:$AE$34,MATCH(O136,基础资料!$AC$5:$AC$34,0)),"未知"))</f>
      </c>
      <c r="Q136" s="78">
        <f>IF(P136="应收",COUNTIF(P$7:P136,"应收"),"")</f>
      </c>
      <c r="R136" s="78">
        <f>IF(P136="应付",COUNTIF(P$7:P136,"应付"),"")</f>
      </c>
      <c r="S136" s="78">
        <f>N(F136)-N(G136)</f>
        <v>0</v>
      </c>
    </row>
    <row r="137">
      <c r="A137" s="109">
        <f>IF(AND(F137="",G137=""),"",ROW()-6)</f>
      </c>
      <c r="B137" s="140" t="n"/>
      <c r="C137" s="141" t="n"/>
      <c r="D137" s="141" t="n"/>
      <c r="E137" s="142" t="n"/>
      <c r="F137" s="143" t="n"/>
      <c r="G137" s="144" t="n"/>
      <c r="H137" s="145">
        <f>IF(OR(C137="",AND(F137="",G137="")),"",SUMIF(基础资料!$W$5:$W$24,C137,基础资料!$X$5:$X$24)+SUMIF(C$7:C137,C137,F$7:F137)-SUMIF(C$7:C137,C137,G$7:G137))</f>
      </c>
      <c r="I137" s="145">
        <f>IF(AND(F137="",G137=""),"",SUM(基础资料!$X$5:$X$24)+SUM(F$7:F137)-SUM(G$7:G137))</f>
      </c>
      <c r="J137" s="141" t="n"/>
      <c r="K137" s="141" t="n"/>
      <c r="L137" s="141" t="n"/>
      <c r="M137" s="142" t="n"/>
      <c r="N137" s="146">
        <f>IF(AND(AND(F137="",G137=""),B137="",C137="",D137="",J137="",K137="",L137=""),"",IF(AND(F137="",G137=""),"✗ 没填金额",IF(AND(N(F137)&lt;&gt;0,N(G137)&lt;&gt;0),"✗ 收入、支出只能填一边",IF(NOT(ISNUMBER(B137)),"✗ 日期不是真日期（要像 2026/9/25 这样填）",IF(OR(B137&lt;年初日,B137&gt;年末日),"✗ 日期不在本会计年度",IF(C137="","✗ 没选账户",IF(COUNTIF(基础资料!$W$5:$W$24,C137)=0,"✗ 账户不在基础资料里",IF(O137="","✗ 没选收支项目",IF(P137="未知","✗ 收支项目不在基础资料里",IF(AND(P137="应收",J137=""),"✗ 这笔要选客户",IF(AND(P137="应收",COUNTIF(总览汇总!$B$5:$B$304,J137)=0),"✗ 客户不在总览汇总名单里",IF(AND(P137="应付",K137=""),"✗ 这笔要选供应商",IF(AND(P137="应付",COUNTIF(基础资料!$Q$5:$Q$54,K137)=0),"✗ 供应商不在基础资料里",IF(AND(P137="费用",L137=""),"✗ 费用支出要选费用项目",IF(AND(L137&lt;&gt;"",COUNTIF(基础资料!$AI$5:$AI$54,L137)=0),"✗ 费用项目不在基础资料里",IF(AND(IFERROR(INDEX(基础资料!$AD$5:$AD$34,MATCH(O137,基础资料!$AC$5:$AC$34,0)),"")="收",N(G137)&lt;&gt;0),"✗ 这类是收款，金额填到收入列",IF(AND(IFERROR(INDEX(基础资料!$AD$5:$AD$34,MATCH(O137,基础资料!$AC$5:$AC$34,0)),"")="支",N(F137)&lt;&gt;0),"✗ 这类是付款，金额填到支出列",IF(N(H137)&lt;0,"⚠ 账户余额成负数了，核对一下","√"))))))))))))))))))</f>
      </c>
      <c r="O137" s="78">
        <f>IF(D137&lt;&gt;"",D137,IF(AND(F137="",G137=""),"",IF(J137&lt;&gt;"",IF(N(F137)&gt;0,"客户回款","客户退款"),IF(K137&lt;&gt;"",IF(N(G137)&gt;0,"供应商付款","供应商退款"),IF(L137&lt;&gt;"","费用支出","")))))</f>
      </c>
      <c r="P137" s="78">
        <f>IF(O137="","",IFERROR(INDEX(基础资料!$AE$5:$AE$34,MATCH(O137,基础资料!$AC$5:$AC$34,0)),"未知"))</f>
      </c>
      <c r="Q137" s="78">
        <f>IF(P137="应收",COUNTIF(P$7:P137,"应收"),"")</f>
      </c>
      <c r="R137" s="78">
        <f>IF(P137="应付",COUNTIF(P$7:P137,"应付"),"")</f>
      </c>
      <c r="S137" s="78">
        <f>N(F137)-N(G137)</f>
        <v>0</v>
      </c>
    </row>
    <row r="138">
      <c r="A138" s="109">
        <f>IF(AND(F138="",G138=""),"",ROW()-6)</f>
      </c>
      <c r="B138" s="140" t="n"/>
      <c r="C138" s="141" t="n"/>
      <c r="D138" s="141" t="n"/>
      <c r="E138" s="142" t="n"/>
      <c r="F138" s="143" t="n"/>
      <c r="G138" s="144" t="n"/>
      <c r="H138" s="145">
        <f>IF(OR(C138="",AND(F138="",G138="")),"",SUMIF(基础资料!$W$5:$W$24,C138,基础资料!$X$5:$X$24)+SUMIF(C$7:C138,C138,F$7:F138)-SUMIF(C$7:C138,C138,G$7:G138))</f>
      </c>
      <c r="I138" s="145">
        <f>IF(AND(F138="",G138=""),"",SUM(基础资料!$X$5:$X$24)+SUM(F$7:F138)-SUM(G$7:G138))</f>
      </c>
      <c r="J138" s="141" t="n"/>
      <c r="K138" s="141" t="n"/>
      <c r="L138" s="141" t="n"/>
      <c r="M138" s="142" t="n"/>
      <c r="N138" s="146">
        <f>IF(AND(AND(F138="",G138=""),B138="",C138="",D138="",J138="",K138="",L138=""),"",IF(AND(F138="",G138=""),"✗ 没填金额",IF(AND(N(F138)&lt;&gt;0,N(G138)&lt;&gt;0),"✗ 收入、支出只能填一边",IF(NOT(ISNUMBER(B138)),"✗ 日期不是真日期（要像 2026/9/25 这样填）",IF(OR(B138&lt;年初日,B138&gt;年末日),"✗ 日期不在本会计年度",IF(C138="","✗ 没选账户",IF(COUNTIF(基础资料!$W$5:$W$24,C138)=0,"✗ 账户不在基础资料里",IF(O138="","✗ 没选收支项目",IF(P138="未知","✗ 收支项目不在基础资料里",IF(AND(P138="应收",J138=""),"✗ 这笔要选客户",IF(AND(P138="应收",COUNTIF(总览汇总!$B$5:$B$304,J138)=0),"✗ 客户不在总览汇总名单里",IF(AND(P138="应付",K138=""),"✗ 这笔要选供应商",IF(AND(P138="应付",COUNTIF(基础资料!$Q$5:$Q$54,K138)=0),"✗ 供应商不在基础资料里",IF(AND(P138="费用",L138=""),"✗ 费用支出要选费用项目",IF(AND(L138&lt;&gt;"",COUNTIF(基础资料!$AI$5:$AI$54,L138)=0),"✗ 费用项目不在基础资料里",IF(AND(IFERROR(INDEX(基础资料!$AD$5:$AD$34,MATCH(O138,基础资料!$AC$5:$AC$34,0)),"")="收",N(G138)&lt;&gt;0),"✗ 这类是收款，金额填到收入列",IF(AND(IFERROR(INDEX(基础资料!$AD$5:$AD$34,MATCH(O138,基础资料!$AC$5:$AC$34,0)),"")="支",N(F138)&lt;&gt;0),"✗ 这类是付款，金额填到支出列",IF(N(H138)&lt;0,"⚠ 账户余额成负数了，核对一下","√"))))))))))))))))))</f>
      </c>
      <c r="O138" s="78">
        <f>IF(D138&lt;&gt;"",D138,IF(AND(F138="",G138=""),"",IF(J138&lt;&gt;"",IF(N(F138)&gt;0,"客户回款","客户退款"),IF(K138&lt;&gt;"",IF(N(G138)&gt;0,"供应商付款","供应商退款"),IF(L138&lt;&gt;"","费用支出","")))))</f>
      </c>
      <c r="P138" s="78">
        <f>IF(O138="","",IFERROR(INDEX(基础资料!$AE$5:$AE$34,MATCH(O138,基础资料!$AC$5:$AC$34,0)),"未知"))</f>
      </c>
      <c r="Q138" s="78">
        <f>IF(P138="应收",COUNTIF(P$7:P138,"应收"),"")</f>
      </c>
      <c r="R138" s="78">
        <f>IF(P138="应付",COUNTIF(P$7:P138,"应付"),"")</f>
      </c>
      <c r="S138" s="78">
        <f>N(F138)-N(G138)</f>
        <v>0</v>
      </c>
    </row>
    <row r="139">
      <c r="A139" s="109">
        <f>IF(AND(F139="",G139=""),"",ROW()-6)</f>
      </c>
      <c r="B139" s="140" t="n"/>
      <c r="C139" s="141" t="n"/>
      <c r="D139" s="141" t="n"/>
      <c r="E139" s="142" t="n"/>
      <c r="F139" s="143" t="n"/>
      <c r="G139" s="144" t="n"/>
      <c r="H139" s="145">
        <f>IF(OR(C139="",AND(F139="",G139="")),"",SUMIF(基础资料!$W$5:$W$24,C139,基础资料!$X$5:$X$24)+SUMIF(C$7:C139,C139,F$7:F139)-SUMIF(C$7:C139,C139,G$7:G139))</f>
      </c>
      <c r="I139" s="145">
        <f>IF(AND(F139="",G139=""),"",SUM(基础资料!$X$5:$X$24)+SUM(F$7:F139)-SUM(G$7:G139))</f>
      </c>
      <c r="J139" s="141" t="n"/>
      <c r="K139" s="141" t="n"/>
      <c r="L139" s="141" t="n"/>
      <c r="M139" s="142" t="n"/>
      <c r="N139" s="146">
        <f>IF(AND(AND(F139="",G139=""),B139="",C139="",D139="",J139="",K139="",L139=""),"",IF(AND(F139="",G139=""),"✗ 没填金额",IF(AND(N(F139)&lt;&gt;0,N(G139)&lt;&gt;0),"✗ 收入、支出只能填一边",IF(NOT(ISNUMBER(B139)),"✗ 日期不是真日期（要像 2026/9/25 这样填）",IF(OR(B139&lt;年初日,B139&gt;年末日),"✗ 日期不在本会计年度",IF(C139="","✗ 没选账户",IF(COUNTIF(基础资料!$W$5:$W$24,C139)=0,"✗ 账户不在基础资料里",IF(O139="","✗ 没选收支项目",IF(P139="未知","✗ 收支项目不在基础资料里",IF(AND(P139="应收",J139=""),"✗ 这笔要选客户",IF(AND(P139="应收",COUNTIF(总览汇总!$B$5:$B$304,J139)=0),"✗ 客户不在总览汇总名单里",IF(AND(P139="应付",K139=""),"✗ 这笔要选供应商",IF(AND(P139="应付",COUNTIF(基础资料!$Q$5:$Q$54,K139)=0),"✗ 供应商不在基础资料里",IF(AND(P139="费用",L139=""),"✗ 费用支出要选费用项目",IF(AND(L139&lt;&gt;"",COUNTIF(基础资料!$AI$5:$AI$54,L139)=0),"✗ 费用项目不在基础资料里",IF(AND(IFERROR(INDEX(基础资料!$AD$5:$AD$34,MATCH(O139,基础资料!$AC$5:$AC$34,0)),"")="收",N(G139)&lt;&gt;0),"✗ 这类是收款，金额填到收入列",IF(AND(IFERROR(INDEX(基础资料!$AD$5:$AD$34,MATCH(O139,基础资料!$AC$5:$AC$34,0)),"")="支",N(F139)&lt;&gt;0),"✗ 这类是付款，金额填到支出列",IF(N(H139)&lt;0,"⚠ 账户余额成负数了，核对一下","√"))))))))))))))))))</f>
      </c>
      <c r="O139" s="78">
        <f>IF(D139&lt;&gt;"",D139,IF(AND(F139="",G139=""),"",IF(J139&lt;&gt;"",IF(N(F139)&gt;0,"客户回款","客户退款"),IF(K139&lt;&gt;"",IF(N(G139)&gt;0,"供应商付款","供应商退款"),IF(L139&lt;&gt;"","费用支出","")))))</f>
      </c>
      <c r="P139" s="78">
        <f>IF(O139="","",IFERROR(INDEX(基础资料!$AE$5:$AE$34,MATCH(O139,基础资料!$AC$5:$AC$34,0)),"未知"))</f>
      </c>
      <c r="Q139" s="78">
        <f>IF(P139="应收",COUNTIF(P$7:P139,"应收"),"")</f>
      </c>
      <c r="R139" s="78">
        <f>IF(P139="应付",COUNTIF(P$7:P139,"应付"),"")</f>
      </c>
      <c r="S139" s="78">
        <f>N(F139)-N(G139)</f>
        <v>0</v>
      </c>
    </row>
    <row r="140">
      <c r="A140" s="109">
        <f>IF(AND(F140="",G140=""),"",ROW()-6)</f>
      </c>
      <c r="B140" s="140" t="n"/>
      <c r="C140" s="141" t="n"/>
      <c r="D140" s="141" t="n"/>
      <c r="E140" s="142" t="n"/>
      <c r="F140" s="143" t="n"/>
      <c r="G140" s="144" t="n"/>
      <c r="H140" s="145">
        <f>IF(OR(C140="",AND(F140="",G140="")),"",SUMIF(基础资料!$W$5:$W$24,C140,基础资料!$X$5:$X$24)+SUMIF(C$7:C140,C140,F$7:F140)-SUMIF(C$7:C140,C140,G$7:G140))</f>
      </c>
      <c r="I140" s="145">
        <f>IF(AND(F140="",G140=""),"",SUM(基础资料!$X$5:$X$24)+SUM(F$7:F140)-SUM(G$7:G140))</f>
      </c>
      <c r="J140" s="141" t="n"/>
      <c r="K140" s="141" t="n"/>
      <c r="L140" s="141" t="n"/>
      <c r="M140" s="142" t="n"/>
      <c r="N140" s="146">
        <f>IF(AND(AND(F140="",G140=""),B140="",C140="",D140="",J140="",K140="",L140=""),"",IF(AND(F140="",G140=""),"✗ 没填金额",IF(AND(N(F140)&lt;&gt;0,N(G140)&lt;&gt;0),"✗ 收入、支出只能填一边",IF(NOT(ISNUMBER(B140)),"✗ 日期不是真日期（要像 2026/9/25 这样填）",IF(OR(B140&lt;年初日,B140&gt;年末日),"✗ 日期不在本会计年度",IF(C140="","✗ 没选账户",IF(COUNTIF(基础资料!$W$5:$W$24,C140)=0,"✗ 账户不在基础资料里",IF(O140="","✗ 没选收支项目",IF(P140="未知","✗ 收支项目不在基础资料里",IF(AND(P140="应收",J140=""),"✗ 这笔要选客户",IF(AND(P140="应收",COUNTIF(总览汇总!$B$5:$B$304,J140)=0),"✗ 客户不在总览汇总名单里",IF(AND(P140="应付",K140=""),"✗ 这笔要选供应商",IF(AND(P140="应付",COUNTIF(基础资料!$Q$5:$Q$54,K140)=0),"✗ 供应商不在基础资料里",IF(AND(P140="费用",L140=""),"✗ 费用支出要选费用项目",IF(AND(L140&lt;&gt;"",COUNTIF(基础资料!$AI$5:$AI$54,L140)=0),"✗ 费用项目不在基础资料里",IF(AND(IFERROR(INDEX(基础资料!$AD$5:$AD$34,MATCH(O140,基础资料!$AC$5:$AC$34,0)),"")="收",N(G140)&lt;&gt;0),"✗ 这类是收款，金额填到收入列",IF(AND(IFERROR(INDEX(基础资料!$AD$5:$AD$34,MATCH(O140,基础资料!$AC$5:$AC$34,0)),"")="支",N(F140)&lt;&gt;0),"✗ 这类是付款，金额填到支出列",IF(N(H140)&lt;0,"⚠ 账户余额成负数了，核对一下","√"))))))))))))))))))</f>
      </c>
      <c r="O140" s="78">
        <f>IF(D140&lt;&gt;"",D140,IF(AND(F140="",G140=""),"",IF(J140&lt;&gt;"",IF(N(F140)&gt;0,"客户回款","客户退款"),IF(K140&lt;&gt;"",IF(N(G140)&gt;0,"供应商付款","供应商退款"),IF(L140&lt;&gt;"","费用支出","")))))</f>
      </c>
      <c r="P140" s="78">
        <f>IF(O140="","",IFERROR(INDEX(基础资料!$AE$5:$AE$34,MATCH(O140,基础资料!$AC$5:$AC$34,0)),"未知"))</f>
      </c>
      <c r="Q140" s="78">
        <f>IF(P140="应收",COUNTIF(P$7:P140,"应收"),"")</f>
      </c>
      <c r="R140" s="78">
        <f>IF(P140="应付",COUNTIF(P$7:P140,"应付"),"")</f>
      </c>
      <c r="S140" s="78">
        <f>N(F140)-N(G140)</f>
        <v>0</v>
      </c>
    </row>
    <row r="141">
      <c r="A141" s="109">
        <f>IF(AND(F141="",G141=""),"",ROW()-6)</f>
      </c>
      <c r="B141" s="140" t="n"/>
      <c r="C141" s="141" t="n"/>
      <c r="D141" s="141" t="n"/>
      <c r="E141" s="142" t="n"/>
      <c r="F141" s="143" t="n"/>
      <c r="G141" s="144" t="n"/>
      <c r="H141" s="145">
        <f>IF(OR(C141="",AND(F141="",G141="")),"",SUMIF(基础资料!$W$5:$W$24,C141,基础资料!$X$5:$X$24)+SUMIF(C$7:C141,C141,F$7:F141)-SUMIF(C$7:C141,C141,G$7:G141))</f>
      </c>
      <c r="I141" s="145">
        <f>IF(AND(F141="",G141=""),"",SUM(基础资料!$X$5:$X$24)+SUM(F$7:F141)-SUM(G$7:G141))</f>
      </c>
      <c r="J141" s="141" t="n"/>
      <c r="K141" s="141" t="n"/>
      <c r="L141" s="141" t="n"/>
      <c r="M141" s="142" t="n"/>
      <c r="N141" s="146">
        <f>IF(AND(AND(F141="",G141=""),B141="",C141="",D141="",J141="",K141="",L141=""),"",IF(AND(F141="",G141=""),"✗ 没填金额",IF(AND(N(F141)&lt;&gt;0,N(G141)&lt;&gt;0),"✗ 收入、支出只能填一边",IF(NOT(ISNUMBER(B141)),"✗ 日期不是真日期（要像 2026/9/25 这样填）",IF(OR(B141&lt;年初日,B141&gt;年末日),"✗ 日期不在本会计年度",IF(C141="","✗ 没选账户",IF(COUNTIF(基础资料!$W$5:$W$24,C141)=0,"✗ 账户不在基础资料里",IF(O141="","✗ 没选收支项目",IF(P141="未知","✗ 收支项目不在基础资料里",IF(AND(P141="应收",J141=""),"✗ 这笔要选客户",IF(AND(P141="应收",COUNTIF(总览汇总!$B$5:$B$304,J141)=0),"✗ 客户不在总览汇总名单里",IF(AND(P141="应付",K141=""),"✗ 这笔要选供应商",IF(AND(P141="应付",COUNTIF(基础资料!$Q$5:$Q$54,K141)=0),"✗ 供应商不在基础资料里",IF(AND(P141="费用",L141=""),"✗ 费用支出要选费用项目",IF(AND(L141&lt;&gt;"",COUNTIF(基础资料!$AI$5:$AI$54,L141)=0),"✗ 费用项目不在基础资料里",IF(AND(IFERROR(INDEX(基础资料!$AD$5:$AD$34,MATCH(O141,基础资料!$AC$5:$AC$34,0)),"")="收",N(G141)&lt;&gt;0),"✗ 这类是收款，金额填到收入列",IF(AND(IFERROR(INDEX(基础资料!$AD$5:$AD$34,MATCH(O141,基础资料!$AC$5:$AC$34,0)),"")="支",N(F141)&lt;&gt;0),"✗ 这类是付款，金额填到支出列",IF(N(H141)&lt;0,"⚠ 账户余额成负数了，核对一下","√"))))))))))))))))))</f>
      </c>
      <c r="O141" s="78">
        <f>IF(D141&lt;&gt;"",D141,IF(AND(F141="",G141=""),"",IF(J141&lt;&gt;"",IF(N(F141)&gt;0,"客户回款","客户退款"),IF(K141&lt;&gt;"",IF(N(G141)&gt;0,"供应商付款","供应商退款"),IF(L141&lt;&gt;"","费用支出","")))))</f>
      </c>
      <c r="P141" s="78">
        <f>IF(O141="","",IFERROR(INDEX(基础资料!$AE$5:$AE$34,MATCH(O141,基础资料!$AC$5:$AC$34,0)),"未知"))</f>
      </c>
      <c r="Q141" s="78">
        <f>IF(P141="应收",COUNTIF(P$7:P141,"应收"),"")</f>
      </c>
      <c r="R141" s="78">
        <f>IF(P141="应付",COUNTIF(P$7:P141,"应付"),"")</f>
      </c>
      <c r="S141" s="78">
        <f>N(F141)-N(G141)</f>
        <v>0</v>
      </c>
    </row>
    <row r="142">
      <c r="A142" s="109">
        <f>IF(AND(F142="",G142=""),"",ROW()-6)</f>
      </c>
      <c r="B142" s="140" t="n"/>
      <c r="C142" s="141" t="n"/>
      <c r="D142" s="141" t="n"/>
      <c r="E142" s="142" t="n"/>
      <c r="F142" s="143" t="n"/>
      <c r="G142" s="144" t="n"/>
      <c r="H142" s="145">
        <f>IF(OR(C142="",AND(F142="",G142="")),"",SUMIF(基础资料!$W$5:$W$24,C142,基础资料!$X$5:$X$24)+SUMIF(C$7:C142,C142,F$7:F142)-SUMIF(C$7:C142,C142,G$7:G142))</f>
      </c>
      <c r="I142" s="145">
        <f>IF(AND(F142="",G142=""),"",SUM(基础资料!$X$5:$X$24)+SUM(F$7:F142)-SUM(G$7:G142))</f>
      </c>
      <c r="J142" s="141" t="n"/>
      <c r="K142" s="141" t="n"/>
      <c r="L142" s="141" t="n"/>
      <c r="M142" s="142" t="n"/>
      <c r="N142" s="146">
        <f>IF(AND(AND(F142="",G142=""),B142="",C142="",D142="",J142="",K142="",L142=""),"",IF(AND(F142="",G142=""),"✗ 没填金额",IF(AND(N(F142)&lt;&gt;0,N(G142)&lt;&gt;0),"✗ 收入、支出只能填一边",IF(NOT(ISNUMBER(B142)),"✗ 日期不是真日期（要像 2026/9/25 这样填）",IF(OR(B142&lt;年初日,B142&gt;年末日),"✗ 日期不在本会计年度",IF(C142="","✗ 没选账户",IF(COUNTIF(基础资料!$W$5:$W$24,C142)=0,"✗ 账户不在基础资料里",IF(O142="","✗ 没选收支项目",IF(P142="未知","✗ 收支项目不在基础资料里",IF(AND(P142="应收",J142=""),"✗ 这笔要选客户",IF(AND(P142="应收",COUNTIF(总览汇总!$B$5:$B$304,J142)=0),"✗ 客户不在总览汇总名单里",IF(AND(P142="应付",K142=""),"✗ 这笔要选供应商",IF(AND(P142="应付",COUNTIF(基础资料!$Q$5:$Q$54,K142)=0),"✗ 供应商不在基础资料里",IF(AND(P142="费用",L142=""),"✗ 费用支出要选费用项目",IF(AND(L142&lt;&gt;"",COUNTIF(基础资料!$AI$5:$AI$54,L142)=0),"✗ 费用项目不在基础资料里",IF(AND(IFERROR(INDEX(基础资料!$AD$5:$AD$34,MATCH(O142,基础资料!$AC$5:$AC$34,0)),"")="收",N(G142)&lt;&gt;0),"✗ 这类是收款，金额填到收入列",IF(AND(IFERROR(INDEX(基础资料!$AD$5:$AD$34,MATCH(O142,基础资料!$AC$5:$AC$34,0)),"")="支",N(F142)&lt;&gt;0),"✗ 这类是付款，金额填到支出列",IF(N(H142)&lt;0,"⚠ 账户余额成负数了，核对一下","√"))))))))))))))))))</f>
      </c>
      <c r="O142" s="78">
        <f>IF(D142&lt;&gt;"",D142,IF(AND(F142="",G142=""),"",IF(J142&lt;&gt;"",IF(N(F142)&gt;0,"客户回款","客户退款"),IF(K142&lt;&gt;"",IF(N(G142)&gt;0,"供应商付款","供应商退款"),IF(L142&lt;&gt;"","费用支出","")))))</f>
      </c>
      <c r="P142" s="78">
        <f>IF(O142="","",IFERROR(INDEX(基础资料!$AE$5:$AE$34,MATCH(O142,基础资料!$AC$5:$AC$34,0)),"未知"))</f>
      </c>
      <c r="Q142" s="78">
        <f>IF(P142="应收",COUNTIF(P$7:P142,"应收"),"")</f>
      </c>
      <c r="R142" s="78">
        <f>IF(P142="应付",COUNTIF(P$7:P142,"应付"),"")</f>
      </c>
      <c r="S142" s="78">
        <f>N(F142)-N(G142)</f>
        <v>0</v>
      </c>
    </row>
    <row r="143">
      <c r="A143" s="109">
        <f>IF(AND(F143="",G143=""),"",ROW()-6)</f>
      </c>
      <c r="B143" s="140" t="n"/>
      <c r="C143" s="141" t="n"/>
      <c r="D143" s="141" t="n"/>
      <c r="E143" s="142" t="n"/>
      <c r="F143" s="143" t="n"/>
      <c r="G143" s="144" t="n"/>
      <c r="H143" s="145">
        <f>IF(OR(C143="",AND(F143="",G143="")),"",SUMIF(基础资料!$W$5:$W$24,C143,基础资料!$X$5:$X$24)+SUMIF(C$7:C143,C143,F$7:F143)-SUMIF(C$7:C143,C143,G$7:G143))</f>
      </c>
      <c r="I143" s="145">
        <f>IF(AND(F143="",G143=""),"",SUM(基础资料!$X$5:$X$24)+SUM(F$7:F143)-SUM(G$7:G143))</f>
      </c>
      <c r="J143" s="141" t="n"/>
      <c r="K143" s="141" t="n"/>
      <c r="L143" s="141" t="n"/>
      <c r="M143" s="142" t="n"/>
      <c r="N143" s="146">
        <f>IF(AND(AND(F143="",G143=""),B143="",C143="",D143="",J143="",K143="",L143=""),"",IF(AND(F143="",G143=""),"✗ 没填金额",IF(AND(N(F143)&lt;&gt;0,N(G143)&lt;&gt;0),"✗ 收入、支出只能填一边",IF(NOT(ISNUMBER(B143)),"✗ 日期不是真日期（要像 2026/9/25 这样填）",IF(OR(B143&lt;年初日,B143&gt;年末日),"✗ 日期不在本会计年度",IF(C143="","✗ 没选账户",IF(COUNTIF(基础资料!$W$5:$W$24,C143)=0,"✗ 账户不在基础资料里",IF(O143="","✗ 没选收支项目",IF(P143="未知","✗ 收支项目不在基础资料里",IF(AND(P143="应收",J143=""),"✗ 这笔要选客户",IF(AND(P143="应收",COUNTIF(总览汇总!$B$5:$B$304,J143)=0),"✗ 客户不在总览汇总名单里",IF(AND(P143="应付",K143=""),"✗ 这笔要选供应商",IF(AND(P143="应付",COUNTIF(基础资料!$Q$5:$Q$54,K143)=0),"✗ 供应商不在基础资料里",IF(AND(P143="费用",L143=""),"✗ 费用支出要选费用项目",IF(AND(L143&lt;&gt;"",COUNTIF(基础资料!$AI$5:$AI$54,L143)=0),"✗ 费用项目不在基础资料里",IF(AND(IFERROR(INDEX(基础资料!$AD$5:$AD$34,MATCH(O143,基础资料!$AC$5:$AC$34,0)),"")="收",N(G143)&lt;&gt;0),"✗ 这类是收款，金额填到收入列",IF(AND(IFERROR(INDEX(基础资料!$AD$5:$AD$34,MATCH(O143,基础资料!$AC$5:$AC$34,0)),"")="支",N(F143)&lt;&gt;0),"✗ 这类是付款，金额填到支出列",IF(N(H143)&lt;0,"⚠ 账户余额成负数了，核对一下","√"))))))))))))))))))</f>
      </c>
      <c r="O143" s="78">
        <f>IF(D143&lt;&gt;"",D143,IF(AND(F143="",G143=""),"",IF(J143&lt;&gt;"",IF(N(F143)&gt;0,"客户回款","客户退款"),IF(K143&lt;&gt;"",IF(N(G143)&gt;0,"供应商付款","供应商退款"),IF(L143&lt;&gt;"","费用支出","")))))</f>
      </c>
      <c r="P143" s="78">
        <f>IF(O143="","",IFERROR(INDEX(基础资料!$AE$5:$AE$34,MATCH(O143,基础资料!$AC$5:$AC$34,0)),"未知"))</f>
      </c>
      <c r="Q143" s="78">
        <f>IF(P143="应收",COUNTIF(P$7:P143,"应收"),"")</f>
      </c>
      <c r="R143" s="78">
        <f>IF(P143="应付",COUNTIF(P$7:P143,"应付"),"")</f>
      </c>
      <c r="S143" s="78">
        <f>N(F143)-N(G143)</f>
        <v>0</v>
      </c>
    </row>
    <row r="144">
      <c r="A144" s="109">
        <f>IF(AND(F144="",G144=""),"",ROW()-6)</f>
      </c>
      <c r="B144" s="140" t="n"/>
      <c r="C144" s="141" t="n"/>
      <c r="D144" s="141" t="n"/>
      <c r="E144" s="142" t="n"/>
      <c r="F144" s="143" t="n"/>
      <c r="G144" s="144" t="n"/>
      <c r="H144" s="145">
        <f>IF(OR(C144="",AND(F144="",G144="")),"",SUMIF(基础资料!$W$5:$W$24,C144,基础资料!$X$5:$X$24)+SUMIF(C$7:C144,C144,F$7:F144)-SUMIF(C$7:C144,C144,G$7:G144))</f>
      </c>
      <c r="I144" s="145">
        <f>IF(AND(F144="",G144=""),"",SUM(基础资料!$X$5:$X$24)+SUM(F$7:F144)-SUM(G$7:G144))</f>
      </c>
      <c r="J144" s="141" t="n"/>
      <c r="K144" s="141" t="n"/>
      <c r="L144" s="141" t="n"/>
      <c r="M144" s="142" t="n"/>
      <c r="N144" s="146">
        <f>IF(AND(AND(F144="",G144=""),B144="",C144="",D144="",J144="",K144="",L144=""),"",IF(AND(F144="",G144=""),"✗ 没填金额",IF(AND(N(F144)&lt;&gt;0,N(G144)&lt;&gt;0),"✗ 收入、支出只能填一边",IF(NOT(ISNUMBER(B144)),"✗ 日期不是真日期（要像 2026/9/25 这样填）",IF(OR(B144&lt;年初日,B144&gt;年末日),"✗ 日期不在本会计年度",IF(C144="","✗ 没选账户",IF(COUNTIF(基础资料!$W$5:$W$24,C144)=0,"✗ 账户不在基础资料里",IF(O144="","✗ 没选收支项目",IF(P144="未知","✗ 收支项目不在基础资料里",IF(AND(P144="应收",J144=""),"✗ 这笔要选客户",IF(AND(P144="应收",COUNTIF(总览汇总!$B$5:$B$304,J144)=0),"✗ 客户不在总览汇总名单里",IF(AND(P144="应付",K144=""),"✗ 这笔要选供应商",IF(AND(P144="应付",COUNTIF(基础资料!$Q$5:$Q$54,K144)=0),"✗ 供应商不在基础资料里",IF(AND(P144="费用",L144=""),"✗ 费用支出要选费用项目",IF(AND(L144&lt;&gt;"",COUNTIF(基础资料!$AI$5:$AI$54,L144)=0),"✗ 费用项目不在基础资料里",IF(AND(IFERROR(INDEX(基础资料!$AD$5:$AD$34,MATCH(O144,基础资料!$AC$5:$AC$34,0)),"")="收",N(G144)&lt;&gt;0),"✗ 这类是收款，金额填到收入列",IF(AND(IFERROR(INDEX(基础资料!$AD$5:$AD$34,MATCH(O144,基础资料!$AC$5:$AC$34,0)),"")="支",N(F144)&lt;&gt;0),"✗ 这类是付款，金额填到支出列",IF(N(H144)&lt;0,"⚠ 账户余额成负数了，核对一下","√"))))))))))))))))))</f>
      </c>
      <c r="O144" s="78">
        <f>IF(D144&lt;&gt;"",D144,IF(AND(F144="",G144=""),"",IF(J144&lt;&gt;"",IF(N(F144)&gt;0,"客户回款","客户退款"),IF(K144&lt;&gt;"",IF(N(G144)&gt;0,"供应商付款","供应商退款"),IF(L144&lt;&gt;"","费用支出","")))))</f>
      </c>
      <c r="P144" s="78">
        <f>IF(O144="","",IFERROR(INDEX(基础资料!$AE$5:$AE$34,MATCH(O144,基础资料!$AC$5:$AC$34,0)),"未知"))</f>
      </c>
      <c r="Q144" s="78">
        <f>IF(P144="应收",COUNTIF(P$7:P144,"应收"),"")</f>
      </c>
      <c r="R144" s="78">
        <f>IF(P144="应付",COUNTIF(P$7:P144,"应付"),"")</f>
      </c>
      <c r="S144" s="78">
        <f>N(F144)-N(G144)</f>
        <v>0</v>
      </c>
    </row>
    <row r="145">
      <c r="A145" s="109">
        <f>IF(AND(F145="",G145=""),"",ROW()-6)</f>
      </c>
      <c r="B145" s="140" t="n"/>
      <c r="C145" s="141" t="n"/>
      <c r="D145" s="141" t="n"/>
      <c r="E145" s="142" t="n"/>
      <c r="F145" s="143" t="n"/>
      <c r="G145" s="144" t="n"/>
      <c r="H145" s="145">
        <f>IF(OR(C145="",AND(F145="",G145="")),"",SUMIF(基础资料!$W$5:$W$24,C145,基础资料!$X$5:$X$24)+SUMIF(C$7:C145,C145,F$7:F145)-SUMIF(C$7:C145,C145,G$7:G145))</f>
      </c>
      <c r="I145" s="145">
        <f>IF(AND(F145="",G145=""),"",SUM(基础资料!$X$5:$X$24)+SUM(F$7:F145)-SUM(G$7:G145))</f>
      </c>
      <c r="J145" s="141" t="n"/>
      <c r="K145" s="141" t="n"/>
      <c r="L145" s="141" t="n"/>
      <c r="M145" s="142" t="n"/>
      <c r="N145" s="146">
        <f>IF(AND(AND(F145="",G145=""),B145="",C145="",D145="",J145="",K145="",L145=""),"",IF(AND(F145="",G145=""),"✗ 没填金额",IF(AND(N(F145)&lt;&gt;0,N(G145)&lt;&gt;0),"✗ 收入、支出只能填一边",IF(NOT(ISNUMBER(B145)),"✗ 日期不是真日期（要像 2026/9/25 这样填）",IF(OR(B145&lt;年初日,B145&gt;年末日),"✗ 日期不在本会计年度",IF(C145="","✗ 没选账户",IF(COUNTIF(基础资料!$W$5:$W$24,C145)=0,"✗ 账户不在基础资料里",IF(O145="","✗ 没选收支项目",IF(P145="未知","✗ 收支项目不在基础资料里",IF(AND(P145="应收",J145=""),"✗ 这笔要选客户",IF(AND(P145="应收",COUNTIF(总览汇总!$B$5:$B$304,J145)=0),"✗ 客户不在总览汇总名单里",IF(AND(P145="应付",K145=""),"✗ 这笔要选供应商",IF(AND(P145="应付",COUNTIF(基础资料!$Q$5:$Q$54,K145)=0),"✗ 供应商不在基础资料里",IF(AND(P145="费用",L145=""),"✗ 费用支出要选费用项目",IF(AND(L145&lt;&gt;"",COUNTIF(基础资料!$AI$5:$AI$54,L145)=0),"✗ 费用项目不在基础资料里",IF(AND(IFERROR(INDEX(基础资料!$AD$5:$AD$34,MATCH(O145,基础资料!$AC$5:$AC$34,0)),"")="收",N(G145)&lt;&gt;0),"✗ 这类是收款，金额填到收入列",IF(AND(IFERROR(INDEX(基础资料!$AD$5:$AD$34,MATCH(O145,基础资料!$AC$5:$AC$34,0)),"")="支",N(F145)&lt;&gt;0),"✗ 这类是付款，金额填到支出列",IF(N(H145)&lt;0,"⚠ 账户余额成负数了，核对一下","√"))))))))))))))))))</f>
      </c>
      <c r="O145" s="78">
        <f>IF(D145&lt;&gt;"",D145,IF(AND(F145="",G145=""),"",IF(J145&lt;&gt;"",IF(N(F145)&gt;0,"客户回款","客户退款"),IF(K145&lt;&gt;"",IF(N(G145)&gt;0,"供应商付款","供应商退款"),IF(L145&lt;&gt;"","费用支出","")))))</f>
      </c>
      <c r="P145" s="78">
        <f>IF(O145="","",IFERROR(INDEX(基础资料!$AE$5:$AE$34,MATCH(O145,基础资料!$AC$5:$AC$34,0)),"未知"))</f>
      </c>
      <c r="Q145" s="78">
        <f>IF(P145="应收",COUNTIF(P$7:P145,"应收"),"")</f>
      </c>
      <c r="R145" s="78">
        <f>IF(P145="应付",COUNTIF(P$7:P145,"应付"),"")</f>
      </c>
      <c r="S145" s="78">
        <f>N(F145)-N(G145)</f>
        <v>0</v>
      </c>
    </row>
    <row r="146">
      <c r="A146" s="109">
        <f>IF(AND(F146="",G146=""),"",ROW()-6)</f>
      </c>
      <c r="B146" s="140" t="n"/>
      <c r="C146" s="141" t="n"/>
      <c r="D146" s="141" t="n"/>
      <c r="E146" s="142" t="n"/>
      <c r="F146" s="143" t="n"/>
      <c r="G146" s="144" t="n"/>
      <c r="H146" s="145">
        <f>IF(OR(C146="",AND(F146="",G146="")),"",SUMIF(基础资料!$W$5:$W$24,C146,基础资料!$X$5:$X$24)+SUMIF(C$7:C146,C146,F$7:F146)-SUMIF(C$7:C146,C146,G$7:G146))</f>
      </c>
      <c r="I146" s="145">
        <f>IF(AND(F146="",G146=""),"",SUM(基础资料!$X$5:$X$24)+SUM(F$7:F146)-SUM(G$7:G146))</f>
      </c>
      <c r="J146" s="141" t="n"/>
      <c r="K146" s="141" t="n"/>
      <c r="L146" s="141" t="n"/>
      <c r="M146" s="142" t="n"/>
      <c r="N146" s="146">
        <f>IF(AND(AND(F146="",G146=""),B146="",C146="",D146="",J146="",K146="",L146=""),"",IF(AND(F146="",G146=""),"✗ 没填金额",IF(AND(N(F146)&lt;&gt;0,N(G146)&lt;&gt;0),"✗ 收入、支出只能填一边",IF(NOT(ISNUMBER(B146)),"✗ 日期不是真日期（要像 2026/9/25 这样填）",IF(OR(B146&lt;年初日,B146&gt;年末日),"✗ 日期不在本会计年度",IF(C146="","✗ 没选账户",IF(COUNTIF(基础资料!$W$5:$W$24,C146)=0,"✗ 账户不在基础资料里",IF(O146="","✗ 没选收支项目",IF(P146="未知","✗ 收支项目不在基础资料里",IF(AND(P146="应收",J146=""),"✗ 这笔要选客户",IF(AND(P146="应收",COUNTIF(总览汇总!$B$5:$B$304,J146)=0),"✗ 客户不在总览汇总名单里",IF(AND(P146="应付",K146=""),"✗ 这笔要选供应商",IF(AND(P146="应付",COUNTIF(基础资料!$Q$5:$Q$54,K146)=0),"✗ 供应商不在基础资料里",IF(AND(P146="费用",L146=""),"✗ 费用支出要选费用项目",IF(AND(L146&lt;&gt;"",COUNTIF(基础资料!$AI$5:$AI$54,L146)=0),"✗ 费用项目不在基础资料里",IF(AND(IFERROR(INDEX(基础资料!$AD$5:$AD$34,MATCH(O146,基础资料!$AC$5:$AC$34,0)),"")="收",N(G146)&lt;&gt;0),"✗ 这类是收款，金额填到收入列",IF(AND(IFERROR(INDEX(基础资料!$AD$5:$AD$34,MATCH(O146,基础资料!$AC$5:$AC$34,0)),"")="支",N(F146)&lt;&gt;0),"✗ 这类是付款，金额填到支出列",IF(N(H146)&lt;0,"⚠ 账户余额成负数了，核对一下","√"))))))))))))))))))</f>
      </c>
      <c r="O146" s="78">
        <f>IF(D146&lt;&gt;"",D146,IF(AND(F146="",G146=""),"",IF(J146&lt;&gt;"",IF(N(F146)&gt;0,"客户回款","客户退款"),IF(K146&lt;&gt;"",IF(N(G146)&gt;0,"供应商付款","供应商退款"),IF(L146&lt;&gt;"","费用支出","")))))</f>
      </c>
      <c r="P146" s="78">
        <f>IF(O146="","",IFERROR(INDEX(基础资料!$AE$5:$AE$34,MATCH(O146,基础资料!$AC$5:$AC$34,0)),"未知"))</f>
      </c>
      <c r="Q146" s="78">
        <f>IF(P146="应收",COUNTIF(P$7:P146,"应收"),"")</f>
      </c>
      <c r="R146" s="78">
        <f>IF(P146="应付",COUNTIF(P$7:P146,"应付"),"")</f>
      </c>
      <c r="S146" s="78">
        <f>N(F146)-N(G146)</f>
        <v>0</v>
      </c>
    </row>
    <row r="147">
      <c r="A147" s="109">
        <f>IF(AND(F147="",G147=""),"",ROW()-6)</f>
      </c>
      <c r="B147" s="140" t="n"/>
      <c r="C147" s="141" t="n"/>
      <c r="D147" s="141" t="n"/>
      <c r="E147" s="142" t="n"/>
      <c r="F147" s="143" t="n"/>
      <c r="G147" s="144" t="n"/>
      <c r="H147" s="145">
        <f>IF(OR(C147="",AND(F147="",G147="")),"",SUMIF(基础资料!$W$5:$W$24,C147,基础资料!$X$5:$X$24)+SUMIF(C$7:C147,C147,F$7:F147)-SUMIF(C$7:C147,C147,G$7:G147))</f>
      </c>
      <c r="I147" s="145">
        <f>IF(AND(F147="",G147=""),"",SUM(基础资料!$X$5:$X$24)+SUM(F$7:F147)-SUM(G$7:G147))</f>
      </c>
      <c r="J147" s="141" t="n"/>
      <c r="K147" s="141" t="n"/>
      <c r="L147" s="141" t="n"/>
      <c r="M147" s="142" t="n"/>
      <c r="N147" s="146">
        <f>IF(AND(AND(F147="",G147=""),B147="",C147="",D147="",J147="",K147="",L147=""),"",IF(AND(F147="",G147=""),"✗ 没填金额",IF(AND(N(F147)&lt;&gt;0,N(G147)&lt;&gt;0),"✗ 收入、支出只能填一边",IF(NOT(ISNUMBER(B147)),"✗ 日期不是真日期（要像 2026/9/25 这样填）",IF(OR(B147&lt;年初日,B147&gt;年末日),"✗ 日期不在本会计年度",IF(C147="","✗ 没选账户",IF(COUNTIF(基础资料!$W$5:$W$24,C147)=0,"✗ 账户不在基础资料里",IF(O147="","✗ 没选收支项目",IF(P147="未知","✗ 收支项目不在基础资料里",IF(AND(P147="应收",J147=""),"✗ 这笔要选客户",IF(AND(P147="应收",COUNTIF(总览汇总!$B$5:$B$304,J147)=0),"✗ 客户不在总览汇总名单里",IF(AND(P147="应付",K147=""),"✗ 这笔要选供应商",IF(AND(P147="应付",COUNTIF(基础资料!$Q$5:$Q$54,K147)=0),"✗ 供应商不在基础资料里",IF(AND(P147="费用",L147=""),"✗ 费用支出要选费用项目",IF(AND(L147&lt;&gt;"",COUNTIF(基础资料!$AI$5:$AI$54,L147)=0),"✗ 费用项目不在基础资料里",IF(AND(IFERROR(INDEX(基础资料!$AD$5:$AD$34,MATCH(O147,基础资料!$AC$5:$AC$34,0)),"")="收",N(G147)&lt;&gt;0),"✗ 这类是收款，金额填到收入列",IF(AND(IFERROR(INDEX(基础资料!$AD$5:$AD$34,MATCH(O147,基础资料!$AC$5:$AC$34,0)),"")="支",N(F147)&lt;&gt;0),"✗ 这类是付款，金额填到支出列",IF(N(H147)&lt;0,"⚠ 账户余额成负数了，核对一下","√"))))))))))))))))))</f>
      </c>
      <c r="O147" s="78">
        <f>IF(D147&lt;&gt;"",D147,IF(AND(F147="",G147=""),"",IF(J147&lt;&gt;"",IF(N(F147)&gt;0,"客户回款","客户退款"),IF(K147&lt;&gt;"",IF(N(G147)&gt;0,"供应商付款","供应商退款"),IF(L147&lt;&gt;"","费用支出","")))))</f>
      </c>
      <c r="P147" s="78">
        <f>IF(O147="","",IFERROR(INDEX(基础资料!$AE$5:$AE$34,MATCH(O147,基础资料!$AC$5:$AC$34,0)),"未知"))</f>
      </c>
      <c r="Q147" s="78">
        <f>IF(P147="应收",COUNTIF(P$7:P147,"应收"),"")</f>
      </c>
      <c r="R147" s="78">
        <f>IF(P147="应付",COUNTIF(P$7:P147,"应付"),"")</f>
      </c>
      <c r="S147" s="78">
        <f>N(F147)-N(G147)</f>
        <v>0</v>
      </c>
    </row>
    <row r="148">
      <c r="A148" s="109">
        <f>IF(AND(F148="",G148=""),"",ROW()-6)</f>
      </c>
      <c r="B148" s="140" t="n"/>
      <c r="C148" s="141" t="n"/>
      <c r="D148" s="141" t="n"/>
      <c r="E148" s="142" t="n"/>
      <c r="F148" s="143" t="n"/>
      <c r="G148" s="144" t="n"/>
      <c r="H148" s="145">
        <f>IF(OR(C148="",AND(F148="",G148="")),"",SUMIF(基础资料!$W$5:$W$24,C148,基础资料!$X$5:$X$24)+SUMIF(C$7:C148,C148,F$7:F148)-SUMIF(C$7:C148,C148,G$7:G148))</f>
      </c>
      <c r="I148" s="145">
        <f>IF(AND(F148="",G148=""),"",SUM(基础资料!$X$5:$X$24)+SUM(F$7:F148)-SUM(G$7:G148))</f>
      </c>
      <c r="J148" s="141" t="n"/>
      <c r="K148" s="141" t="n"/>
      <c r="L148" s="141" t="n"/>
      <c r="M148" s="142" t="n"/>
      <c r="N148" s="146">
        <f>IF(AND(AND(F148="",G148=""),B148="",C148="",D148="",J148="",K148="",L148=""),"",IF(AND(F148="",G148=""),"✗ 没填金额",IF(AND(N(F148)&lt;&gt;0,N(G148)&lt;&gt;0),"✗ 收入、支出只能填一边",IF(NOT(ISNUMBER(B148)),"✗ 日期不是真日期（要像 2026/9/25 这样填）",IF(OR(B148&lt;年初日,B148&gt;年末日),"✗ 日期不在本会计年度",IF(C148="","✗ 没选账户",IF(COUNTIF(基础资料!$W$5:$W$24,C148)=0,"✗ 账户不在基础资料里",IF(O148="","✗ 没选收支项目",IF(P148="未知","✗ 收支项目不在基础资料里",IF(AND(P148="应收",J148=""),"✗ 这笔要选客户",IF(AND(P148="应收",COUNTIF(总览汇总!$B$5:$B$304,J148)=0),"✗ 客户不在总览汇总名单里",IF(AND(P148="应付",K148=""),"✗ 这笔要选供应商",IF(AND(P148="应付",COUNTIF(基础资料!$Q$5:$Q$54,K148)=0),"✗ 供应商不在基础资料里",IF(AND(P148="费用",L148=""),"✗ 费用支出要选费用项目",IF(AND(L148&lt;&gt;"",COUNTIF(基础资料!$AI$5:$AI$54,L148)=0),"✗ 费用项目不在基础资料里",IF(AND(IFERROR(INDEX(基础资料!$AD$5:$AD$34,MATCH(O148,基础资料!$AC$5:$AC$34,0)),"")="收",N(G148)&lt;&gt;0),"✗ 这类是收款，金额填到收入列",IF(AND(IFERROR(INDEX(基础资料!$AD$5:$AD$34,MATCH(O148,基础资料!$AC$5:$AC$34,0)),"")="支",N(F148)&lt;&gt;0),"✗ 这类是付款，金额填到支出列",IF(N(H148)&lt;0,"⚠ 账户余额成负数了，核对一下","√"))))))))))))))))))</f>
      </c>
      <c r="O148" s="78">
        <f>IF(D148&lt;&gt;"",D148,IF(AND(F148="",G148=""),"",IF(J148&lt;&gt;"",IF(N(F148)&gt;0,"客户回款","客户退款"),IF(K148&lt;&gt;"",IF(N(G148)&gt;0,"供应商付款","供应商退款"),IF(L148&lt;&gt;"","费用支出","")))))</f>
      </c>
      <c r="P148" s="78">
        <f>IF(O148="","",IFERROR(INDEX(基础资料!$AE$5:$AE$34,MATCH(O148,基础资料!$AC$5:$AC$34,0)),"未知"))</f>
      </c>
      <c r="Q148" s="78">
        <f>IF(P148="应收",COUNTIF(P$7:P148,"应收"),"")</f>
      </c>
      <c r="R148" s="78">
        <f>IF(P148="应付",COUNTIF(P$7:P148,"应付"),"")</f>
      </c>
      <c r="S148" s="78">
        <f>N(F148)-N(G148)</f>
        <v>0</v>
      </c>
    </row>
    <row r="149">
      <c r="A149" s="109">
        <f>IF(AND(F149="",G149=""),"",ROW()-6)</f>
      </c>
      <c r="B149" s="140" t="n"/>
      <c r="C149" s="141" t="n"/>
      <c r="D149" s="141" t="n"/>
      <c r="E149" s="142" t="n"/>
      <c r="F149" s="143" t="n"/>
      <c r="G149" s="144" t="n"/>
      <c r="H149" s="145">
        <f>IF(OR(C149="",AND(F149="",G149="")),"",SUMIF(基础资料!$W$5:$W$24,C149,基础资料!$X$5:$X$24)+SUMIF(C$7:C149,C149,F$7:F149)-SUMIF(C$7:C149,C149,G$7:G149))</f>
      </c>
      <c r="I149" s="145">
        <f>IF(AND(F149="",G149=""),"",SUM(基础资料!$X$5:$X$24)+SUM(F$7:F149)-SUM(G$7:G149))</f>
      </c>
      <c r="J149" s="141" t="n"/>
      <c r="K149" s="141" t="n"/>
      <c r="L149" s="141" t="n"/>
      <c r="M149" s="142" t="n"/>
      <c r="N149" s="146">
        <f>IF(AND(AND(F149="",G149=""),B149="",C149="",D149="",J149="",K149="",L149=""),"",IF(AND(F149="",G149=""),"✗ 没填金额",IF(AND(N(F149)&lt;&gt;0,N(G149)&lt;&gt;0),"✗ 收入、支出只能填一边",IF(NOT(ISNUMBER(B149)),"✗ 日期不是真日期（要像 2026/9/25 这样填）",IF(OR(B149&lt;年初日,B149&gt;年末日),"✗ 日期不在本会计年度",IF(C149="","✗ 没选账户",IF(COUNTIF(基础资料!$W$5:$W$24,C149)=0,"✗ 账户不在基础资料里",IF(O149="","✗ 没选收支项目",IF(P149="未知","✗ 收支项目不在基础资料里",IF(AND(P149="应收",J149=""),"✗ 这笔要选客户",IF(AND(P149="应收",COUNTIF(总览汇总!$B$5:$B$304,J149)=0),"✗ 客户不在总览汇总名单里",IF(AND(P149="应付",K149=""),"✗ 这笔要选供应商",IF(AND(P149="应付",COUNTIF(基础资料!$Q$5:$Q$54,K149)=0),"✗ 供应商不在基础资料里",IF(AND(P149="费用",L149=""),"✗ 费用支出要选费用项目",IF(AND(L149&lt;&gt;"",COUNTIF(基础资料!$AI$5:$AI$54,L149)=0),"✗ 费用项目不在基础资料里",IF(AND(IFERROR(INDEX(基础资料!$AD$5:$AD$34,MATCH(O149,基础资料!$AC$5:$AC$34,0)),"")="收",N(G149)&lt;&gt;0),"✗ 这类是收款，金额填到收入列",IF(AND(IFERROR(INDEX(基础资料!$AD$5:$AD$34,MATCH(O149,基础资料!$AC$5:$AC$34,0)),"")="支",N(F149)&lt;&gt;0),"✗ 这类是付款，金额填到支出列",IF(N(H149)&lt;0,"⚠ 账户余额成负数了，核对一下","√"))))))))))))))))))</f>
      </c>
      <c r="O149" s="78">
        <f>IF(D149&lt;&gt;"",D149,IF(AND(F149="",G149=""),"",IF(J149&lt;&gt;"",IF(N(F149)&gt;0,"客户回款","客户退款"),IF(K149&lt;&gt;"",IF(N(G149)&gt;0,"供应商付款","供应商退款"),IF(L149&lt;&gt;"","费用支出","")))))</f>
      </c>
      <c r="P149" s="78">
        <f>IF(O149="","",IFERROR(INDEX(基础资料!$AE$5:$AE$34,MATCH(O149,基础资料!$AC$5:$AC$34,0)),"未知"))</f>
      </c>
      <c r="Q149" s="78">
        <f>IF(P149="应收",COUNTIF(P$7:P149,"应收"),"")</f>
      </c>
      <c r="R149" s="78">
        <f>IF(P149="应付",COUNTIF(P$7:P149,"应付"),"")</f>
      </c>
      <c r="S149" s="78">
        <f>N(F149)-N(G149)</f>
        <v>0</v>
      </c>
    </row>
    <row r="150">
      <c r="A150" s="109">
        <f>IF(AND(F150="",G150=""),"",ROW()-6)</f>
      </c>
      <c r="B150" s="140" t="n"/>
      <c r="C150" s="141" t="n"/>
      <c r="D150" s="141" t="n"/>
      <c r="E150" s="142" t="n"/>
      <c r="F150" s="143" t="n"/>
      <c r="G150" s="144" t="n"/>
      <c r="H150" s="145">
        <f>IF(OR(C150="",AND(F150="",G150="")),"",SUMIF(基础资料!$W$5:$W$24,C150,基础资料!$X$5:$X$24)+SUMIF(C$7:C150,C150,F$7:F150)-SUMIF(C$7:C150,C150,G$7:G150))</f>
      </c>
      <c r="I150" s="145">
        <f>IF(AND(F150="",G150=""),"",SUM(基础资料!$X$5:$X$24)+SUM(F$7:F150)-SUM(G$7:G150))</f>
      </c>
      <c r="J150" s="141" t="n"/>
      <c r="K150" s="141" t="n"/>
      <c r="L150" s="141" t="n"/>
      <c r="M150" s="142" t="n"/>
      <c r="N150" s="146">
        <f>IF(AND(AND(F150="",G150=""),B150="",C150="",D150="",J150="",K150="",L150=""),"",IF(AND(F150="",G150=""),"✗ 没填金额",IF(AND(N(F150)&lt;&gt;0,N(G150)&lt;&gt;0),"✗ 收入、支出只能填一边",IF(NOT(ISNUMBER(B150)),"✗ 日期不是真日期（要像 2026/9/25 这样填）",IF(OR(B150&lt;年初日,B150&gt;年末日),"✗ 日期不在本会计年度",IF(C150="","✗ 没选账户",IF(COUNTIF(基础资料!$W$5:$W$24,C150)=0,"✗ 账户不在基础资料里",IF(O150="","✗ 没选收支项目",IF(P150="未知","✗ 收支项目不在基础资料里",IF(AND(P150="应收",J150=""),"✗ 这笔要选客户",IF(AND(P150="应收",COUNTIF(总览汇总!$B$5:$B$304,J150)=0),"✗ 客户不在总览汇总名单里",IF(AND(P150="应付",K150=""),"✗ 这笔要选供应商",IF(AND(P150="应付",COUNTIF(基础资料!$Q$5:$Q$54,K150)=0),"✗ 供应商不在基础资料里",IF(AND(P150="费用",L150=""),"✗ 费用支出要选费用项目",IF(AND(L150&lt;&gt;"",COUNTIF(基础资料!$AI$5:$AI$54,L150)=0),"✗ 费用项目不在基础资料里",IF(AND(IFERROR(INDEX(基础资料!$AD$5:$AD$34,MATCH(O150,基础资料!$AC$5:$AC$34,0)),"")="收",N(G150)&lt;&gt;0),"✗ 这类是收款，金额填到收入列",IF(AND(IFERROR(INDEX(基础资料!$AD$5:$AD$34,MATCH(O150,基础资料!$AC$5:$AC$34,0)),"")="支",N(F150)&lt;&gt;0),"✗ 这类是付款，金额填到支出列",IF(N(H150)&lt;0,"⚠ 账户余额成负数了，核对一下","√"))))))))))))))))))</f>
      </c>
      <c r="O150" s="78">
        <f>IF(D150&lt;&gt;"",D150,IF(AND(F150="",G150=""),"",IF(J150&lt;&gt;"",IF(N(F150)&gt;0,"客户回款","客户退款"),IF(K150&lt;&gt;"",IF(N(G150)&gt;0,"供应商付款","供应商退款"),IF(L150&lt;&gt;"","费用支出","")))))</f>
      </c>
      <c r="P150" s="78">
        <f>IF(O150="","",IFERROR(INDEX(基础资料!$AE$5:$AE$34,MATCH(O150,基础资料!$AC$5:$AC$34,0)),"未知"))</f>
      </c>
      <c r="Q150" s="78">
        <f>IF(P150="应收",COUNTIF(P$7:P150,"应收"),"")</f>
      </c>
      <c r="R150" s="78">
        <f>IF(P150="应付",COUNTIF(P$7:P150,"应付"),"")</f>
      </c>
      <c r="S150" s="78">
        <f>N(F150)-N(G150)</f>
        <v>0</v>
      </c>
    </row>
    <row r="151">
      <c r="A151" s="109">
        <f>IF(AND(F151="",G151=""),"",ROW()-6)</f>
      </c>
      <c r="B151" s="140" t="n"/>
      <c r="C151" s="141" t="n"/>
      <c r="D151" s="141" t="n"/>
      <c r="E151" s="142" t="n"/>
      <c r="F151" s="143" t="n"/>
      <c r="G151" s="144" t="n"/>
      <c r="H151" s="145">
        <f>IF(OR(C151="",AND(F151="",G151="")),"",SUMIF(基础资料!$W$5:$W$24,C151,基础资料!$X$5:$X$24)+SUMIF(C$7:C151,C151,F$7:F151)-SUMIF(C$7:C151,C151,G$7:G151))</f>
      </c>
      <c r="I151" s="145">
        <f>IF(AND(F151="",G151=""),"",SUM(基础资料!$X$5:$X$24)+SUM(F$7:F151)-SUM(G$7:G151))</f>
      </c>
      <c r="J151" s="141" t="n"/>
      <c r="K151" s="141" t="n"/>
      <c r="L151" s="141" t="n"/>
      <c r="M151" s="142" t="n"/>
      <c r="N151" s="146">
        <f>IF(AND(AND(F151="",G151=""),B151="",C151="",D151="",J151="",K151="",L151=""),"",IF(AND(F151="",G151=""),"✗ 没填金额",IF(AND(N(F151)&lt;&gt;0,N(G151)&lt;&gt;0),"✗ 收入、支出只能填一边",IF(NOT(ISNUMBER(B151)),"✗ 日期不是真日期（要像 2026/9/25 这样填）",IF(OR(B151&lt;年初日,B151&gt;年末日),"✗ 日期不在本会计年度",IF(C151="","✗ 没选账户",IF(COUNTIF(基础资料!$W$5:$W$24,C151)=0,"✗ 账户不在基础资料里",IF(O151="","✗ 没选收支项目",IF(P151="未知","✗ 收支项目不在基础资料里",IF(AND(P151="应收",J151=""),"✗ 这笔要选客户",IF(AND(P151="应收",COUNTIF(总览汇总!$B$5:$B$304,J151)=0),"✗ 客户不在总览汇总名单里",IF(AND(P151="应付",K151=""),"✗ 这笔要选供应商",IF(AND(P151="应付",COUNTIF(基础资料!$Q$5:$Q$54,K151)=0),"✗ 供应商不在基础资料里",IF(AND(P151="费用",L151=""),"✗ 费用支出要选费用项目",IF(AND(L151&lt;&gt;"",COUNTIF(基础资料!$AI$5:$AI$54,L151)=0),"✗ 费用项目不在基础资料里",IF(AND(IFERROR(INDEX(基础资料!$AD$5:$AD$34,MATCH(O151,基础资料!$AC$5:$AC$34,0)),"")="收",N(G151)&lt;&gt;0),"✗ 这类是收款，金额填到收入列",IF(AND(IFERROR(INDEX(基础资料!$AD$5:$AD$34,MATCH(O151,基础资料!$AC$5:$AC$34,0)),"")="支",N(F151)&lt;&gt;0),"✗ 这类是付款，金额填到支出列",IF(N(H151)&lt;0,"⚠ 账户余额成负数了，核对一下","√"))))))))))))))))))</f>
      </c>
      <c r="O151" s="78">
        <f>IF(D151&lt;&gt;"",D151,IF(AND(F151="",G151=""),"",IF(J151&lt;&gt;"",IF(N(F151)&gt;0,"客户回款","客户退款"),IF(K151&lt;&gt;"",IF(N(G151)&gt;0,"供应商付款","供应商退款"),IF(L151&lt;&gt;"","费用支出","")))))</f>
      </c>
      <c r="P151" s="78">
        <f>IF(O151="","",IFERROR(INDEX(基础资料!$AE$5:$AE$34,MATCH(O151,基础资料!$AC$5:$AC$34,0)),"未知"))</f>
      </c>
      <c r="Q151" s="78">
        <f>IF(P151="应收",COUNTIF(P$7:P151,"应收"),"")</f>
      </c>
      <c r="R151" s="78">
        <f>IF(P151="应付",COUNTIF(P$7:P151,"应付"),"")</f>
      </c>
      <c r="S151" s="78">
        <f>N(F151)-N(G151)</f>
        <v>0</v>
      </c>
    </row>
    <row r="152">
      <c r="A152" s="109">
        <f>IF(AND(F152="",G152=""),"",ROW()-6)</f>
      </c>
      <c r="B152" s="140" t="n"/>
      <c r="C152" s="141" t="n"/>
      <c r="D152" s="141" t="n"/>
      <c r="E152" s="142" t="n"/>
      <c r="F152" s="143" t="n"/>
      <c r="G152" s="144" t="n"/>
      <c r="H152" s="145">
        <f>IF(OR(C152="",AND(F152="",G152="")),"",SUMIF(基础资料!$W$5:$W$24,C152,基础资料!$X$5:$X$24)+SUMIF(C$7:C152,C152,F$7:F152)-SUMIF(C$7:C152,C152,G$7:G152))</f>
      </c>
      <c r="I152" s="145">
        <f>IF(AND(F152="",G152=""),"",SUM(基础资料!$X$5:$X$24)+SUM(F$7:F152)-SUM(G$7:G152))</f>
      </c>
      <c r="J152" s="141" t="n"/>
      <c r="K152" s="141" t="n"/>
      <c r="L152" s="141" t="n"/>
      <c r="M152" s="142" t="n"/>
      <c r="N152" s="146">
        <f>IF(AND(AND(F152="",G152=""),B152="",C152="",D152="",J152="",K152="",L152=""),"",IF(AND(F152="",G152=""),"✗ 没填金额",IF(AND(N(F152)&lt;&gt;0,N(G152)&lt;&gt;0),"✗ 收入、支出只能填一边",IF(NOT(ISNUMBER(B152)),"✗ 日期不是真日期（要像 2026/9/25 这样填）",IF(OR(B152&lt;年初日,B152&gt;年末日),"✗ 日期不在本会计年度",IF(C152="","✗ 没选账户",IF(COUNTIF(基础资料!$W$5:$W$24,C152)=0,"✗ 账户不在基础资料里",IF(O152="","✗ 没选收支项目",IF(P152="未知","✗ 收支项目不在基础资料里",IF(AND(P152="应收",J152=""),"✗ 这笔要选客户",IF(AND(P152="应收",COUNTIF(总览汇总!$B$5:$B$304,J152)=0),"✗ 客户不在总览汇总名单里",IF(AND(P152="应付",K152=""),"✗ 这笔要选供应商",IF(AND(P152="应付",COUNTIF(基础资料!$Q$5:$Q$54,K152)=0),"✗ 供应商不在基础资料里",IF(AND(P152="费用",L152=""),"✗ 费用支出要选费用项目",IF(AND(L152&lt;&gt;"",COUNTIF(基础资料!$AI$5:$AI$54,L152)=0),"✗ 费用项目不在基础资料里",IF(AND(IFERROR(INDEX(基础资料!$AD$5:$AD$34,MATCH(O152,基础资料!$AC$5:$AC$34,0)),"")="收",N(G152)&lt;&gt;0),"✗ 这类是收款，金额填到收入列",IF(AND(IFERROR(INDEX(基础资料!$AD$5:$AD$34,MATCH(O152,基础资料!$AC$5:$AC$34,0)),"")="支",N(F152)&lt;&gt;0),"✗ 这类是付款，金额填到支出列",IF(N(H152)&lt;0,"⚠ 账户余额成负数了，核对一下","√"))))))))))))))))))</f>
      </c>
      <c r="O152" s="78">
        <f>IF(D152&lt;&gt;"",D152,IF(AND(F152="",G152=""),"",IF(J152&lt;&gt;"",IF(N(F152)&gt;0,"客户回款","客户退款"),IF(K152&lt;&gt;"",IF(N(G152)&gt;0,"供应商付款","供应商退款"),IF(L152&lt;&gt;"","费用支出","")))))</f>
      </c>
      <c r="P152" s="78">
        <f>IF(O152="","",IFERROR(INDEX(基础资料!$AE$5:$AE$34,MATCH(O152,基础资料!$AC$5:$AC$34,0)),"未知"))</f>
      </c>
      <c r="Q152" s="78">
        <f>IF(P152="应收",COUNTIF(P$7:P152,"应收"),"")</f>
      </c>
      <c r="R152" s="78">
        <f>IF(P152="应付",COUNTIF(P$7:P152,"应付"),"")</f>
      </c>
      <c r="S152" s="78">
        <f>N(F152)-N(G152)</f>
        <v>0</v>
      </c>
    </row>
    <row r="153">
      <c r="A153" s="109">
        <f>IF(AND(F153="",G153=""),"",ROW()-6)</f>
      </c>
      <c r="B153" s="140" t="n"/>
      <c r="C153" s="141" t="n"/>
      <c r="D153" s="141" t="n"/>
      <c r="E153" s="142" t="n"/>
      <c r="F153" s="143" t="n"/>
      <c r="G153" s="144" t="n"/>
      <c r="H153" s="145">
        <f>IF(OR(C153="",AND(F153="",G153="")),"",SUMIF(基础资料!$W$5:$W$24,C153,基础资料!$X$5:$X$24)+SUMIF(C$7:C153,C153,F$7:F153)-SUMIF(C$7:C153,C153,G$7:G153))</f>
      </c>
      <c r="I153" s="145">
        <f>IF(AND(F153="",G153=""),"",SUM(基础资料!$X$5:$X$24)+SUM(F$7:F153)-SUM(G$7:G153))</f>
      </c>
      <c r="J153" s="141" t="n"/>
      <c r="K153" s="141" t="n"/>
      <c r="L153" s="141" t="n"/>
      <c r="M153" s="142" t="n"/>
      <c r="N153" s="146">
        <f>IF(AND(AND(F153="",G153=""),B153="",C153="",D153="",J153="",K153="",L153=""),"",IF(AND(F153="",G153=""),"✗ 没填金额",IF(AND(N(F153)&lt;&gt;0,N(G153)&lt;&gt;0),"✗ 收入、支出只能填一边",IF(NOT(ISNUMBER(B153)),"✗ 日期不是真日期（要像 2026/9/25 这样填）",IF(OR(B153&lt;年初日,B153&gt;年末日),"✗ 日期不在本会计年度",IF(C153="","✗ 没选账户",IF(COUNTIF(基础资料!$W$5:$W$24,C153)=0,"✗ 账户不在基础资料里",IF(O153="","✗ 没选收支项目",IF(P153="未知","✗ 收支项目不在基础资料里",IF(AND(P153="应收",J153=""),"✗ 这笔要选客户",IF(AND(P153="应收",COUNTIF(总览汇总!$B$5:$B$304,J153)=0),"✗ 客户不在总览汇总名单里",IF(AND(P153="应付",K153=""),"✗ 这笔要选供应商",IF(AND(P153="应付",COUNTIF(基础资料!$Q$5:$Q$54,K153)=0),"✗ 供应商不在基础资料里",IF(AND(P153="费用",L153=""),"✗ 费用支出要选费用项目",IF(AND(L153&lt;&gt;"",COUNTIF(基础资料!$AI$5:$AI$54,L153)=0),"✗ 费用项目不在基础资料里",IF(AND(IFERROR(INDEX(基础资料!$AD$5:$AD$34,MATCH(O153,基础资料!$AC$5:$AC$34,0)),"")="收",N(G153)&lt;&gt;0),"✗ 这类是收款，金额填到收入列",IF(AND(IFERROR(INDEX(基础资料!$AD$5:$AD$34,MATCH(O153,基础资料!$AC$5:$AC$34,0)),"")="支",N(F153)&lt;&gt;0),"✗ 这类是付款，金额填到支出列",IF(N(H153)&lt;0,"⚠ 账户余额成负数了，核对一下","√"))))))))))))))))))</f>
      </c>
      <c r="O153" s="78">
        <f>IF(D153&lt;&gt;"",D153,IF(AND(F153="",G153=""),"",IF(J153&lt;&gt;"",IF(N(F153)&gt;0,"客户回款","客户退款"),IF(K153&lt;&gt;"",IF(N(G153)&gt;0,"供应商付款","供应商退款"),IF(L153&lt;&gt;"","费用支出","")))))</f>
      </c>
      <c r="P153" s="78">
        <f>IF(O153="","",IFERROR(INDEX(基础资料!$AE$5:$AE$34,MATCH(O153,基础资料!$AC$5:$AC$34,0)),"未知"))</f>
      </c>
      <c r="Q153" s="78">
        <f>IF(P153="应收",COUNTIF(P$7:P153,"应收"),"")</f>
      </c>
      <c r="R153" s="78">
        <f>IF(P153="应付",COUNTIF(P$7:P153,"应付"),"")</f>
      </c>
      <c r="S153" s="78">
        <f>N(F153)-N(G153)</f>
        <v>0</v>
      </c>
    </row>
    <row r="154">
      <c r="A154" s="109">
        <f>IF(AND(F154="",G154=""),"",ROW()-6)</f>
      </c>
      <c r="B154" s="140" t="n"/>
      <c r="C154" s="141" t="n"/>
      <c r="D154" s="141" t="n"/>
      <c r="E154" s="142" t="n"/>
      <c r="F154" s="143" t="n"/>
      <c r="G154" s="144" t="n"/>
      <c r="H154" s="145">
        <f>IF(OR(C154="",AND(F154="",G154="")),"",SUMIF(基础资料!$W$5:$W$24,C154,基础资料!$X$5:$X$24)+SUMIF(C$7:C154,C154,F$7:F154)-SUMIF(C$7:C154,C154,G$7:G154))</f>
      </c>
      <c r="I154" s="145">
        <f>IF(AND(F154="",G154=""),"",SUM(基础资料!$X$5:$X$24)+SUM(F$7:F154)-SUM(G$7:G154))</f>
      </c>
      <c r="J154" s="141" t="n"/>
      <c r="K154" s="141" t="n"/>
      <c r="L154" s="141" t="n"/>
      <c r="M154" s="142" t="n"/>
      <c r="N154" s="146">
        <f>IF(AND(AND(F154="",G154=""),B154="",C154="",D154="",J154="",K154="",L154=""),"",IF(AND(F154="",G154=""),"✗ 没填金额",IF(AND(N(F154)&lt;&gt;0,N(G154)&lt;&gt;0),"✗ 收入、支出只能填一边",IF(NOT(ISNUMBER(B154)),"✗ 日期不是真日期（要像 2026/9/25 这样填）",IF(OR(B154&lt;年初日,B154&gt;年末日),"✗ 日期不在本会计年度",IF(C154="","✗ 没选账户",IF(COUNTIF(基础资料!$W$5:$W$24,C154)=0,"✗ 账户不在基础资料里",IF(O154="","✗ 没选收支项目",IF(P154="未知","✗ 收支项目不在基础资料里",IF(AND(P154="应收",J154=""),"✗ 这笔要选客户",IF(AND(P154="应收",COUNTIF(总览汇总!$B$5:$B$304,J154)=0),"✗ 客户不在总览汇总名单里",IF(AND(P154="应付",K154=""),"✗ 这笔要选供应商",IF(AND(P154="应付",COUNTIF(基础资料!$Q$5:$Q$54,K154)=0),"✗ 供应商不在基础资料里",IF(AND(P154="费用",L154=""),"✗ 费用支出要选费用项目",IF(AND(L154&lt;&gt;"",COUNTIF(基础资料!$AI$5:$AI$54,L154)=0),"✗ 费用项目不在基础资料里",IF(AND(IFERROR(INDEX(基础资料!$AD$5:$AD$34,MATCH(O154,基础资料!$AC$5:$AC$34,0)),"")="收",N(G154)&lt;&gt;0),"✗ 这类是收款，金额填到收入列",IF(AND(IFERROR(INDEX(基础资料!$AD$5:$AD$34,MATCH(O154,基础资料!$AC$5:$AC$34,0)),"")="支",N(F154)&lt;&gt;0),"✗ 这类是付款，金额填到支出列",IF(N(H154)&lt;0,"⚠ 账户余额成负数了，核对一下","√"))))))))))))))))))</f>
      </c>
      <c r="O154" s="78">
        <f>IF(D154&lt;&gt;"",D154,IF(AND(F154="",G154=""),"",IF(J154&lt;&gt;"",IF(N(F154)&gt;0,"客户回款","客户退款"),IF(K154&lt;&gt;"",IF(N(G154)&gt;0,"供应商付款","供应商退款"),IF(L154&lt;&gt;"","费用支出","")))))</f>
      </c>
      <c r="P154" s="78">
        <f>IF(O154="","",IFERROR(INDEX(基础资料!$AE$5:$AE$34,MATCH(O154,基础资料!$AC$5:$AC$34,0)),"未知"))</f>
      </c>
      <c r="Q154" s="78">
        <f>IF(P154="应收",COUNTIF(P$7:P154,"应收"),"")</f>
      </c>
      <c r="R154" s="78">
        <f>IF(P154="应付",COUNTIF(P$7:P154,"应付"),"")</f>
      </c>
      <c r="S154" s="78">
        <f>N(F154)-N(G154)</f>
        <v>0</v>
      </c>
    </row>
    <row r="155">
      <c r="A155" s="109">
        <f>IF(AND(F155="",G155=""),"",ROW()-6)</f>
      </c>
      <c r="B155" s="140" t="n"/>
      <c r="C155" s="141" t="n"/>
      <c r="D155" s="141" t="n"/>
      <c r="E155" s="142" t="n"/>
      <c r="F155" s="143" t="n"/>
      <c r="G155" s="144" t="n"/>
      <c r="H155" s="145">
        <f>IF(OR(C155="",AND(F155="",G155="")),"",SUMIF(基础资料!$W$5:$W$24,C155,基础资料!$X$5:$X$24)+SUMIF(C$7:C155,C155,F$7:F155)-SUMIF(C$7:C155,C155,G$7:G155))</f>
      </c>
      <c r="I155" s="145">
        <f>IF(AND(F155="",G155=""),"",SUM(基础资料!$X$5:$X$24)+SUM(F$7:F155)-SUM(G$7:G155))</f>
      </c>
      <c r="J155" s="141" t="n"/>
      <c r="K155" s="141" t="n"/>
      <c r="L155" s="141" t="n"/>
      <c r="M155" s="142" t="n"/>
      <c r="N155" s="146">
        <f>IF(AND(AND(F155="",G155=""),B155="",C155="",D155="",J155="",K155="",L155=""),"",IF(AND(F155="",G155=""),"✗ 没填金额",IF(AND(N(F155)&lt;&gt;0,N(G155)&lt;&gt;0),"✗ 收入、支出只能填一边",IF(NOT(ISNUMBER(B155)),"✗ 日期不是真日期（要像 2026/9/25 这样填）",IF(OR(B155&lt;年初日,B155&gt;年末日),"✗ 日期不在本会计年度",IF(C155="","✗ 没选账户",IF(COUNTIF(基础资料!$W$5:$W$24,C155)=0,"✗ 账户不在基础资料里",IF(O155="","✗ 没选收支项目",IF(P155="未知","✗ 收支项目不在基础资料里",IF(AND(P155="应收",J155=""),"✗ 这笔要选客户",IF(AND(P155="应收",COUNTIF(总览汇总!$B$5:$B$304,J155)=0),"✗ 客户不在总览汇总名单里",IF(AND(P155="应付",K155=""),"✗ 这笔要选供应商",IF(AND(P155="应付",COUNTIF(基础资料!$Q$5:$Q$54,K155)=0),"✗ 供应商不在基础资料里",IF(AND(P155="费用",L155=""),"✗ 费用支出要选费用项目",IF(AND(L155&lt;&gt;"",COUNTIF(基础资料!$AI$5:$AI$54,L155)=0),"✗ 费用项目不在基础资料里",IF(AND(IFERROR(INDEX(基础资料!$AD$5:$AD$34,MATCH(O155,基础资料!$AC$5:$AC$34,0)),"")="收",N(G155)&lt;&gt;0),"✗ 这类是收款，金额填到收入列",IF(AND(IFERROR(INDEX(基础资料!$AD$5:$AD$34,MATCH(O155,基础资料!$AC$5:$AC$34,0)),"")="支",N(F155)&lt;&gt;0),"✗ 这类是付款，金额填到支出列",IF(N(H155)&lt;0,"⚠ 账户余额成负数了，核对一下","√"))))))))))))))))))</f>
      </c>
      <c r="O155" s="78">
        <f>IF(D155&lt;&gt;"",D155,IF(AND(F155="",G155=""),"",IF(J155&lt;&gt;"",IF(N(F155)&gt;0,"客户回款","客户退款"),IF(K155&lt;&gt;"",IF(N(G155)&gt;0,"供应商付款","供应商退款"),IF(L155&lt;&gt;"","费用支出","")))))</f>
      </c>
      <c r="P155" s="78">
        <f>IF(O155="","",IFERROR(INDEX(基础资料!$AE$5:$AE$34,MATCH(O155,基础资料!$AC$5:$AC$34,0)),"未知"))</f>
      </c>
      <c r="Q155" s="78">
        <f>IF(P155="应收",COUNTIF(P$7:P155,"应收"),"")</f>
      </c>
      <c r="R155" s="78">
        <f>IF(P155="应付",COUNTIF(P$7:P155,"应付"),"")</f>
      </c>
      <c r="S155" s="78">
        <f>N(F155)-N(G155)</f>
        <v>0</v>
      </c>
    </row>
    <row r="156">
      <c r="A156" s="109">
        <f>IF(AND(F156="",G156=""),"",ROW()-6)</f>
      </c>
      <c r="B156" s="140" t="n"/>
      <c r="C156" s="141" t="n"/>
      <c r="D156" s="141" t="n"/>
      <c r="E156" s="142" t="n"/>
      <c r="F156" s="143" t="n"/>
      <c r="G156" s="144" t="n"/>
      <c r="H156" s="145">
        <f>IF(OR(C156="",AND(F156="",G156="")),"",SUMIF(基础资料!$W$5:$W$24,C156,基础资料!$X$5:$X$24)+SUMIF(C$7:C156,C156,F$7:F156)-SUMIF(C$7:C156,C156,G$7:G156))</f>
      </c>
      <c r="I156" s="145">
        <f>IF(AND(F156="",G156=""),"",SUM(基础资料!$X$5:$X$24)+SUM(F$7:F156)-SUM(G$7:G156))</f>
      </c>
      <c r="J156" s="141" t="n"/>
      <c r="K156" s="141" t="n"/>
      <c r="L156" s="141" t="n"/>
      <c r="M156" s="142" t="n"/>
      <c r="N156" s="146">
        <f>IF(AND(AND(F156="",G156=""),B156="",C156="",D156="",J156="",K156="",L156=""),"",IF(AND(F156="",G156=""),"✗ 没填金额",IF(AND(N(F156)&lt;&gt;0,N(G156)&lt;&gt;0),"✗ 收入、支出只能填一边",IF(NOT(ISNUMBER(B156)),"✗ 日期不是真日期（要像 2026/9/25 这样填）",IF(OR(B156&lt;年初日,B156&gt;年末日),"✗ 日期不在本会计年度",IF(C156="","✗ 没选账户",IF(COUNTIF(基础资料!$W$5:$W$24,C156)=0,"✗ 账户不在基础资料里",IF(O156="","✗ 没选收支项目",IF(P156="未知","✗ 收支项目不在基础资料里",IF(AND(P156="应收",J156=""),"✗ 这笔要选客户",IF(AND(P156="应收",COUNTIF(总览汇总!$B$5:$B$304,J156)=0),"✗ 客户不在总览汇总名单里",IF(AND(P156="应付",K156=""),"✗ 这笔要选供应商",IF(AND(P156="应付",COUNTIF(基础资料!$Q$5:$Q$54,K156)=0),"✗ 供应商不在基础资料里",IF(AND(P156="费用",L156=""),"✗ 费用支出要选费用项目",IF(AND(L156&lt;&gt;"",COUNTIF(基础资料!$AI$5:$AI$54,L156)=0),"✗ 费用项目不在基础资料里",IF(AND(IFERROR(INDEX(基础资料!$AD$5:$AD$34,MATCH(O156,基础资料!$AC$5:$AC$34,0)),"")="收",N(G156)&lt;&gt;0),"✗ 这类是收款，金额填到收入列",IF(AND(IFERROR(INDEX(基础资料!$AD$5:$AD$34,MATCH(O156,基础资料!$AC$5:$AC$34,0)),"")="支",N(F156)&lt;&gt;0),"✗ 这类是付款，金额填到支出列",IF(N(H156)&lt;0,"⚠ 账户余额成负数了，核对一下","√"))))))))))))))))))</f>
      </c>
      <c r="O156" s="78">
        <f>IF(D156&lt;&gt;"",D156,IF(AND(F156="",G156=""),"",IF(J156&lt;&gt;"",IF(N(F156)&gt;0,"客户回款","客户退款"),IF(K156&lt;&gt;"",IF(N(G156)&gt;0,"供应商付款","供应商退款"),IF(L156&lt;&gt;"","费用支出","")))))</f>
      </c>
      <c r="P156" s="78">
        <f>IF(O156="","",IFERROR(INDEX(基础资料!$AE$5:$AE$34,MATCH(O156,基础资料!$AC$5:$AC$34,0)),"未知"))</f>
      </c>
      <c r="Q156" s="78">
        <f>IF(P156="应收",COUNTIF(P$7:P156,"应收"),"")</f>
      </c>
      <c r="R156" s="78">
        <f>IF(P156="应付",COUNTIF(P$7:P156,"应付"),"")</f>
      </c>
      <c r="S156" s="78">
        <f>N(F156)-N(G156)</f>
        <v>0</v>
      </c>
    </row>
    <row r="157">
      <c r="A157" s="109">
        <f>IF(AND(F157="",G157=""),"",ROW()-6)</f>
      </c>
      <c r="B157" s="140" t="n"/>
      <c r="C157" s="141" t="n"/>
      <c r="D157" s="141" t="n"/>
      <c r="E157" s="142" t="n"/>
      <c r="F157" s="143" t="n"/>
      <c r="G157" s="144" t="n"/>
      <c r="H157" s="145">
        <f>IF(OR(C157="",AND(F157="",G157="")),"",SUMIF(基础资料!$W$5:$W$24,C157,基础资料!$X$5:$X$24)+SUMIF(C$7:C157,C157,F$7:F157)-SUMIF(C$7:C157,C157,G$7:G157))</f>
      </c>
      <c r="I157" s="145">
        <f>IF(AND(F157="",G157=""),"",SUM(基础资料!$X$5:$X$24)+SUM(F$7:F157)-SUM(G$7:G157))</f>
      </c>
      <c r="J157" s="141" t="n"/>
      <c r="K157" s="141" t="n"/>
      <c r="L157" s="141" t="n"/>
      <c r="M157" s="142" t="n"/>
      <c r="N157" s="146">
        <f>IF(AND(AND(F157="",G157=""),B157="",C157="",D157="",J157="",K157="",L157=""),"",IF(AND(F157="",G157=""),"✗ 没填金额",IF(AND(N(F157)&lt;&gt;0,N(G157)&lt;&gt;0),"✗ 收入、支出只能填一边",IF(NOT(ISNUMBER(B157)),"✗ 日期不是真日期（要像 2026/9/25 这样填）",IF(OR(B157&lt;年初日,B157&gt;年末日),"✗ 日期不在本会计年度",IF(C157="","✗ 没选账户",IF(COUNTIF(基础资料!$W$5:$W$24,C157)=0,"✗ 账户不在基础资料里",IF(O157="","✗ 没选收支项目",IF(P157="未知","✗ 收支项目不在基础资料里",IF(AND(P157="应收",J157=""),"✗ 这笔要选客户",IF(AND(P157="应收",COUNTIF(总览汇总!$B$5:$B$304,J157)=0),"✗ 客户不在总览汇总名单里",IF(AND(P157="应付",K157=""),"✗ 这笔要选供应商",IF(AND(P157="应付",COUNTIF(基础资料!$Q$5:$Q$54,K157)=0),"✗ 供应商不在基础资料里",IF(AND(P157="费用",L157=""),"✗ 费用支出要选费用项目",IF(AND(L157&lt;&gt;"",COUNTIF(基础资料!$AI$5:$AI$54,L157)=0),"✗ 费用项目不在基础资料里",IF(AND(IFERROR(INDEX(基础资料!$AD$5:$AD$34,MATCH(O157,基础资料!$AC$5:$AC$34,0)),"")="收",N(G157)&lt;&gt;0),"✗ 这类是收款，金额填到收入列",IF(AND(IFERROR(INDEX(基础资料!$AD$5:$AD$34,MATCH(O157,基础资料!$AC$5:$AC$34,0)),"")="支",N(F157)&lt;&gt;0),"✗ 这类是付款，金额填到支出列",IF(N(H157)&lt;0,"⚠ 账户余额成负数了，核对一下","√"))))))))))))))))))</f>
      </c>
      <c r="O157" s="78">
        <f>IF(D157&lt;&gt;"",D157,IF(AND(F157="",G157=""),"",IF(J157&lt;&gt;"",IF(N(F157)&gt;0,"客户回款","客户退款"),IF(K157&lt;&gt;"",IF(N(G157)&gt;0,"供应商付款","供应商退款"),IF(L157&lt;&gt;"","费用支出","")))))</f>
      </c>
      <c r="P157" s="78">
        <f>IF(O157="","",IFERROR(INDEX(基础资料!$AE$5:$AE$34,MATCH(O157,基础资料!$AC$5:$AC$34,0)),"未知"))</f>
      </c>
      <c r="Q157" s="78">
        <f>IF(P157="应收",COUNTIF(P$7:P157,"应收"),"")</f>
      </c>
      <c r="R157" s="78">
        <f>IF(P157="应付",COUNTIF(P$7:P157,"应付"),"")</f>
      </c>
      <c r="S157" s="78">
        <f>N(F157)-N(G157)</f>
        <v>0</v>
      </c>
    </row>
    <row r="158">
      <c r="A158" s="109">
        <f>IF(AND(F158="",G158=""),"",ROW()-6)</f>
      </c>
      <c r="B158" s="140" t="n"/>
      <c r="C158" s="141" t="n"/>
      <c r="D158" s="141" t="n"/>
      <c r="E158" s="142" t="n"/>
      <c r="F158" s="143" t="n"/>
      <c r="G158" s="144" t="n"/>
      <c r="H158" s="145">
        <f>IF(OR(C158="",AND(F158="",G158="")),"",SUMIF(基础资料!$W$5:$W$24,C158,基础资料!$X$5:$X$24)+SUMIF(C$7:C158,C158,F$7:F158)-SUMIF(C$7:C158,C158,G$7:G158))</f>
      </c>
      <c r="I158" s="145">
        <f>IF(AND(F158="",G158=""),"",SUM(基础资料!$X$5:$X$24)+SUM(F$7:F158)-SUM(G$7:G158))</f>
      </c>
      <c r="J158" s="141" t="n"/>
      <c r="K158" s="141" t="n"/>
      <c r="L158" s="141" t="n"/>
      <c r="M158" s="142" t="n"/>
      <c r="N158" s="146">
        <f>IF(AND(AND(F158="",G158=""),B158="",C158="",D158="",J158="",K158="",L158=""),"",IF(AND(F158="",G158=""),"✗ 没填金额",IF(AND(N(F158)&lt;&gt;0,N(G158)&lt;&gt;0),"✗ 收入、支出只能填一边",IF(NOT(ISNUMBER(B158)),"✗ 日期不是真日期（要像 2026/9/25 这样填）",IF(OR(B158&lt;年初日,B158&gt;年末日),"✗ 日期不在本会计年度",IF(C158="","✗ 没选账户",IF(COUNTIF(基础资料!$W$5:$W$24,C158)=0,"✗ 账户不在基础资料里",IF(O158="","✗ 没选收支项目",IF(P158="未知","✗ 收支项目不在基础资料里",IF(AND(P158="应收",J158=""),"✗ 这笔要选客户",IF(AND(P158="应收",COUNTIF(总览汇总!$B$5:$B$304,J158)=0),"✗ 客户不在总览汇总名单里",IF(AND(P158="应付",K158=""),"✗ 这笔要选供应商",IF(AND(P158="应付",COUNTIF(基础资料!$Q$5:$Q$54,K158)=0),"✗ 供应商不在基础资料里",IF(AND(P158="费用",L158=""),"✗ 费用支出要选费用项目",IF(AND(L158&lt;&gt;"",COUNTIF(基础资料!$AI$5:$AI$54,L158)=0),"✗ 费用项目不在基础资料里",IF(AND(IFERROR(INDEX(基础资料!$AD$5:$AD$34,MATCH(O158,基础资料!$AC$5:$AC$34,0)),"")="收",N(G158)&lt;&gt;0),"✗ 这类是收款，金额填到收入列",IF(AND(IFERROR(INDEX(基础资料!$AD$5:$AD$34,MATCH(O158,基础资料!$AC$5:$AC$34,0)),"")="支",N(F158)&lt;&gt;0),"✗ 这类是付款，金额填到支出列",IF(N(H158)&lt;0,"⚠ 账户余额成负数了，核对一下","√"))))))))))))))))))</f>
      </c>
      <c r="O158" s="78">
        <f>IF(D158&lt;&gt;"",D158,IF(AND(F158="",G158=""),"",IF(J158&lt;&gt;"",IF(N(F158)&gt;0,"客户回款","客户退款"),IF(K158&lt;&gt;"",IF(N(G158)&gt;0,"供应商付款","供应商退款"),IF(L158&lt;&gt;"","费用支出","")))))</f>
      </c>
      <c r="P158" s="78">
        <f>IF(O158="","",IFERROR(INDEX(基础资料!$AE$5:$AE$34,MATCH(O158,基础资料!$AC$5:$AC$34,0)),"未知"))</f>
      </c>
      <c r="Q158" s="78">
        <f>IF(P158="应收",COUNTIF(P$7:P158,"应收"),"")</f>
      </c>
      <c r="R158" s="78">
        <f>IF(P158="应付",COUNTIF(P$7:P158,"应付"),"")</f>
      </c>
      <c r="S158" s="78">
        <f>N(F158)-N(G158)</f>
        <v>0</v>
      </c>
    </row>
    <row r="159">
      <c r="A159" s="109">
        <f>IF(AND(F159="",G159=""),"",ROW()-6)</f>
      </c>
      <c r="B159" s="140" t="n"/>
      <c r="C159" s="141" t="n"/>
      <c r="D159" s="141" t="n"/>
      <c r="E159" s="142" t="n"/>
      <c r="F159" s="143" t="n"/>
      <c r="G159" s="144" t="n"/>
      <c r="H159" s="145">
        <f>IF(OR(C159="",AND(F159="",G159="")),"",SUMIF(基础资料!$W$5:$W$24,C159,基础资料!$X$5:$X$24)+SUMIF(C$7:C159,C159,F$7:F159)-SUMIF(C$7:C159,C159,G$7:G159))</f>
      </c>
      <c r="I159" s="145">
        <f>IF(AND(F159="",G159=""),"",SUM(基础资料!$X$5:$X$24)+SUM(F$7:F159)-SUM(G$7:G159))</f>
      </c>
      <c r="J159" s="141" t="n"/>
      <c r="K159" s="141" t="n"/>
      <c r="L159" s="141" t="n"/>
      <c r="M159" s="142" t="n"/>
      <c r="N159" s="146">
        <f>IF(AND(AND(F159="",G159=""),B159="",C159="",D159="",J159="",K159="",L159=""),"",IF(AND(F159="",G159=""),"✗ 没填金额",IF(AND(N(F159)&lt;&gt;0,N(G159)&lt;&gt;0),"✗ 收入、支出只能填一边",IF(NOT(ISNUMBER(B159)),"✗ 日期不是真日期（要像 2026/9/25 这样填）",IF(OR(B159&lt;年初日,B159&gt;年末日),"✗ 日期不在本会计年度",IF(C159="","✗ 没选账户",IF(COUNTIF(基础资料!$W$5:$W$24,C159)=0,"✗ 账户不在基础资料里",IF(O159="","✗ 没选收支项目",IF(P159="未知","✗ 收支项目不在基础资料里",IF(AND(P159="应收",J159=""),"✗ 这笔要选客户",IF(AND(P159="应收",COUNTIF(总览汇总!$B$5:$B$304,J159)=0),"✗ 客户不在总览汇总名单里",IF(AND(P159="应付",K159=""),"✗ 这笔要选供应商",IF(AND(P159="应付",COUNTIF(基础资料!$Q$5:$Q$54,K159)=0),"✗ 供应商不在基础资料里",IF(AND(P159="费用",L159=""),"✗ 费用支出要选费用项目",IF(AND(L159&lt;&gt;"",COUNTIF(基础资料!$AI$5:$AI$54,L159)=0),"✗ 费用项目不在基础资料里",IF(AND(IFERROR(INDEX(基础资料!$AD$5:$AD$34,MATCH(O159,基础资料!$AC$5:$AC$34,0)),"")="收",N(G159)&lt;&gt;0),"✗ 这类是收款，金额填到收入列",IF(AND(IFERROR(INDEX(基础资料!$AD$5:$AD$34,MATCH(O159,基础资料!$AC$5:$AC$34,0)),"")="支",N(F159)&lt;&gt;0),"✗ 这类是付款，金额填到支出列",IF(N(H159)&lt;0,"⚠ 账户余额成负数了，核对一下","√"))))))))))))))))))</f>
      </c>
      <c r="O159" s="78">
        <f>IF(D159&lt;&gt;"",D159,IF(AND(F159="",G159=""),"",IF(J159&lt;&gt;"",IF(N(F159)&gt;0,"客户回款","客户退款"),IF(K159&lt;&gt;"",IF(N(G159)&gt;0,"供应商付款","供应商退款"),IF(L159&lt;&gt;"","费用支出","")))))</f>
      </c>
      <c r="P159" s="78">
        <f>IF(O159="","",IFERROR(INDEX(基础资料!$AE$5:$AE$34,MATCH(O159,基础资料!$AC$5:$AC$34,0)),"未知"))</f>
      </c>
      <c r="Q159" s="78">
        <f>IF(P159="应收",COUNTIF(P$7:P159,"应收"),"")</f>
      </c>
      <c r="R159" s="78">
        <f>IF(P159="应付",COUNTIF(P$7:P159,"应付"),"")</f>
      </c>
      <c r="S159" s="78">
        <f>N(F159)-N(G159)</f>
        <v>0</v>
      </c>
    </row>
    <row r="160">
      <c r="A160" s="109">
        <f>IF(AND(F160="",G160=""),"",ROW()-6)</f>
      </c>
      <c r="B160" s="140" t="n"/>
      <c r="C160" s="141" t="n"/>
      <c r="D160" s="141" t="n"/>
      <c r="E160" s="142" t="n"/>
      <c r="F160" s="143" t="n"/>
      <c r="G160" s="144" t="n"/>
      <c r="H160" s="145">
        <f>IF(OR(C160="",AND(F160="",G160="")),"",SUMIF(基础资料!$W$5:$W$24,C160,基础资料!$X$5:$X$24)+SUMIF(C$7:C160,C160,F$7:F160)-SUMIF(C$7:C160,C160,G$7:G160))</f>
      </c>
      <c r="I160" s="145">
        <f>IF(AND(F160="",G160=""),"",SUM(基础资料!$X$5:$X$24)+SUM(F$7:F160)-SUM(G$7:G160))</f>
      </c>
      <c r="J160" s="141" t="n"/>
      <c r="K160" s="141" t="n"/>
      <c r="L160" s="141" t="n"/>
      <c r="M160" s="142" t="n"/>
      <c r="N160" s="146">
        <f>IF(AND(AND(F160="",G160=""),B160="",C160="",D160="",J160="",K160="",L160=""),"",IF(AND(F160="",G160=""),"✗ 没填金额",IF(AND(N(F160)&lt;&gt;0,N(G160)&lt;&gt;0),"✗ 收入、支出只能填一边",IF(NOT(ISNUMBER(B160)),"✗ 日期不是真日期（要像 2026/9/25 这样填）",IF(OR(B160&lt;年初日,B160&gt;年末日),"✗ 日期不在本会计年度",IF(C160="","✗ 没选账户",IF(COUNTIF(基础资料!$W$5:$W$24,C160)=0,"✗ 账户不在基础资料里",IF(O160="","✗ 没选收支项目",IF(P160="未知","✗ 收支项目不在基础资料里",IF(AND(P160="应收",J160=""),"✗ 这笔要选客户",IF(AND(P160="应收",COUNTIF(总览汇总!$B$5:$B$304,J160)=0),"✗ 客户不在总览汇总名单里",IF(AND(P160="应付",K160=""),"✗ 这笔要选供应商",IF(AND(P160="应付",COUNTIF(基础资料!$Q$5:$Q$54,K160)=0),"✗ 供应商不在基础资料里",IF(AND(P160="费用",L160=""),"✗ 费用支出要选费用项目",IF(AND(L160&lt;&gt;"",COUNTIF(基础资料!$AI$5:$AI$54,L160)=0),"✗ 费用项目不在基础资料里",IF(AND(IFERROR(INDEX(基础资料!$AD$5:$AD$34,MATCH(O160,基础资料!$AC$5:$AC$34,0)),"")="收",N(G160)&lt;&gt;0),"✗ 这类是收款，金额填到收入列",IF(AND(IFERROR(INDEX(基础资料!$AD$5:$AD$34,MATCH(O160,基础资料!$AC$5:$AC$34,0)),"")="支",N(F160)&lt;&gt;0),"✗ 这类是付款，金额填到支出列",IF(N(H160)&lt;0,"⚠ 账户余额成负数了，核对一下","√"))))))))))))))))))</f>
      </c>
      <c r="O160" s="78">
        <f>IF(D160&lt;&gt;"",D160,IF(AND(F160="",G160=""),"",IF(J160&lt;&gt;"",IF(N(F160)&gt;0,"客户回款","客户退款"),IF(K160&lt;&gt;"",IF(N(G160)&gt;0,"供应商付款","供应商退款"),IF(L160&lt;&gt;"","费用支出","")))))</f>
      </c>
      <c r="P160" s="78">
        <f>IF(O160="","",IFERROR(INDEX(基础资料!$AE$5:$AE$34,MATCH(O160,基础资料!$AC$5:$AC$34,0)),"未知"))</f>
      </c>
      <c r="Q160" s="78">
        <f>IF(P160="应收",COUNTIF(P$7:P160,"应收"),"")</f>
      </c>
      <c r="R160" s="78">
        <f>IF(P160="应付",COUNTIF(P$7:P160,"应付"),"")</f>
      </c>
      <c r="S160" s="78">
        <f>N(F160)-N(G160)</f>
        <v>0</v>
      </c>
    </row>
    <row r="161">
      <c r="A161" s="109">
        <f>IF(AND(F161="",G161=""),"",ROW()-6)</f>
      </c>
      <c r="B161" s="140" t="n"/>
      <c r="C161" s="141" t="n"/>
      <c r="D161" s="141" t="n"/>
      <c r="E161" s="142" t="n"/>
      <c r="F161" s="143" t="n"/>
      <c r="G161" s="144" t="n"/>
      <c r="H161" s="145">
        <f>IF(OR(C161="",AND(F161="",G161="")),"",SUMIF(基础资料!$W$5:$W$24,C161,基础资料!$X$5:$X$24)+SUMIF(C$7:C161,C161,F$7:F161)-SUMIF(C$7:C161,C161,G$7:G161))</f>
      </c>
      <c r="I161" s="145">
        <f>IF(AND(F161="",G161=""),"",SUM(基础资料!$X$5:$X$24)+SUM(F$7:F161)-SUM(G$7:G161))</f>
      </c>
      <c r="J161" s="141" t="n"/>
      <c r="K161" s="141" t="n"/>
      <c r="L161" s="141" t="n"/>
      <c r="M161" s="142" t="n"/>
      <c r="N161" s="146">
        <f>IF(AND(AND(F161="",G161=""),B161="",C161="",D161="",J161="",K161="",L161=""),"",IF(AND(F161="",G161=""),"✗ 没填金额",IF(AND(N(F161)&lt;&gt;0,N(G161)&lt;&gt;0),"✗ 收入、支出只能填一边",IF(NOT(ISNUMBER(B161)),"✗ 日期不是真日期（要像 2026/9/25 这样填）",IF(OR(B161&lt;年初日,B161&gt;年末日),"✗ 日期不在本会计年度",IF(C161="","✗ 没选账户",IF(COUNTIF(基础资料!$W$5:$W$24,C161)=0,"✗ 账户不在基础资料里",IF(O161="","✗ 没选收支项目",IF(P161="未知","✗ 收支项目不在基础资料里",IF(AND(P161="应收",J161=""),"✗ 这笔要选客户",IF(AND(P161="应收",COUNTIF(总览汇总!$B$5:$B$304,J161)=0),"✗ 客户不在总览汇总名单里",IF(AND(P161="应付",K161=""),"✗ 这笔要选供应商",IF(AND(P161="应付",COUNTIF(基础资料!$Q$5:$Q$54,K161)=0),"✗ 供应商不在基础资料里",IF(AND(P161="费用",L161=""),"✗ 费用支出要选费用项目",IF(AND(L161&lt;&gt;"",COUNTIF(基础资料!$AI$5:$AI$54,L161)=0),"✗ 费用项目不在基础资料里",IF(AND(IFERROR(INDEX(基础资料!$AD$5:$AD$34,MATCH(O161,基础资料!$AC$5:$AC$34,0)),"")="收",N(G161)&lt;&gt;0),"✗ 这类是收款，金额填到收入列",IF(AND(IFERROR(INDEX(基础资料!$AD$5:$AD$34,MATCH(O161,基础资料!$AC$5:$AC$34,0)),"")="支",N(F161)&lt;&gt;0),"✗ 这类是付款，金额填到支出列",IF(N(H161)&lt;0,"⚠ 账户余额成负数了，核对一下","√"))))))))))))))))))</f>
      </c>
      <c r="O161" s="78">
        <f>IF(D161&lt;&gt;"",D161,IF(AND(F161="",G161=""),"",IF(J161&lt;&gt;"",IF(N(F161)&gt;0,"客户回款","客户退款"),IF(K161&lt;&gt;"",IF(N(G161)&gt;0,"供应商付款","供应商退款"),IF(L161&lt;&gt;"","费用支出","")))))</f>
      </c>
      <c r="P161" s="78">
        <f>IF(O161="","",IFERROR(INDEX(基础资料!$AE$5:$AE$34,MATCH(O161,基础资料!$AC$5:$AC$34,0)),"未知"))</f>
      </c>
      <c r="Q161" s="78">
        <f>IF(P161="应收",COUNTIF(P$7:P161,"应收"),"")</f>
      </c>
      <c r="R161" s="78">
        <f>IF(P161="应付",COUNTIF(P$7:P161,"应付"),"")</f>
      </c>
      <c r="S161" s="78">
        <f>N(F161)-N(G161)</f>
        <v>0</v>
      </c>
    </row>
    <row r="162">
      <c r="A162" s="109">
        <f>IF(AND(F162="",G162=""),"",ROW()-6)</f>
      </c>
      <c r="B162" s="140" t="n"/>
      <c r="C162" s="141" t="n"/>
      <c r="D162" s="141" t="n"/>
      <c r="E162" s="142" t="n"/>
      <c r="F162" s="143" t="n"/>
      <c r="G162" s="144" t="n"/>
      <c r="H162" s="145">
        <f>IF(OR(C162="",AND(F162="",G162="")),"",SUMIF(基础资料!$W$5:$W$24,C162,基础资料!$X$5:$X$24)+SUMIF(C$7:C162,C162,F$7:F162)-SUMIF(C$7:C162,C162,G$7:G162))</f>
      </c>
      <c r="I162" s="145">
        <f>IF(AND(F162="",G162=""),"",SUM(基础资料!$X$5:$X$24)+SUM(F$7:F162)-SUM(G$7:G162))</f>
      </c>
      <c r="J162" s="141" t="n"/>
      <c r="K162" s="141" t="n"/>
      <c r="L162" s="141" t="n"/>
      <c r="M162" s="142" t="n"/>
      <c r="N162" s="146">
        <f>IF(AND(AND(F162="",G162=""),B162="",C162="",D162="",J162="",K162="",L162=""),"",IF(AND(F162="",G162=""),"✗ 没填金额",IF(AND(N(F162)&lt;&gt;0,N(G162)&lt;&gt;0),"✗ 收入、支出只能填一边",IF(NOT(ISNUMBER(B162)),"✗ 日期不是真日期（要像 2026/9/25 这样填）",IF(OR(B162&lt;年初日,B162&gt;年末日),"✗ 日期不在本会计年度",IF(C162="","✗ 没选账户",IF(COUNTIF(基础资料!$W$5:$W$24,C162)=0,"✗ 账户不在基础资料里",IF(O162="","✗ 没选收支项目",IF(P162="未知","✗ 收支项目不在基础资料里",IF(AND(P162="应收",J162=""),"✗ 这笔要选客户",IF(AND(P162="应收",COUNTIF(总览汇总!$B$5:$B$304,J162)=0),"✗ 客户不在总览汇总名单里",IF(AND(P162="应付",K162=""),"✗ 这笔要选供应商",IF(AND(P162="应付",COUNTIF(基础资料!$Q$5:$Q$54,K162)=0),"✗ 供应商不在基础资料里",IF(AND(P162="费用",L162=""),"✗ 费用支出要选费用项目",IF(AND(L162&lt;&gt;"",COUNTIF(基础资料!$AI$5:$AI$54,L162)=0),"✗ 费用项目不在基础资料里",IF(AND(IFERROR(INDEX(基础资料!$AD$5:$AD$34,MATCH(O162,基础资料!$AC$5:$AC$34,0)),"")="收",N(G162)&lt;&gt;0),"✗ 这类是收款，金额填到收入列",IF(AND(IFERROR(INDEX(基础资料!$AD$5:$AD$34,MATCH(O162,基础资料!$AC$5:$AC$34,0)),"")="支",N(F162)&lt;&gt;0),"✗ 这类是付款，金额填到支出列",IF(N(H162)&lt;0,"⚠ 账户余额成负数了，核对一下","√"))))))))))))))))))</f>
      </c>
      <c r="O162" s="78">
        <f>IF(D162&lt;&gt;"",D162,IF(AND(F162="",G162=""),"",IF(J162&lt;&gt;"",IF(N(F162)&gt;0,"客户回款","客户退款"),IF(K162&lt;&gt;"",IF(N(G162)&gt;0,"供应商付款","供应商退款"),IF(L162&lt;&gt;"","费用支出","")))))</f>
      </c>
      <c r="P162" s="78">
        <f>IF(O162="","",IFERROR(INDEX(基础资料!$AE$5:$AE$34,MATCH(O162,基础资料!$AC$5:$AC$34,0)),"未知"))</f>
      </c>
      <c r="Q162" s="78">
        <f>IF(P162="应收",COUNTIF(P$7:P162,"应收"),"")</f>
      </c>
      <c r="R162" s="78">
        <f>IF(P162="应付",COUNTIF(P$7:P162,"应付"),"")</f>
      </c>
      <c r="S162" s="78">
        <f>N(F162)-N(G162)</f>
        <v>0</v>
      </c>
    </row>
    <row r="163">
      <c r="A163" s="109">
        <f>IF(AND(F163="",G163=""),"",ROW()-6)</f>
      </c>
      <c r="B163" s="140" t="n"/>
      <c r="C163" s="141" t="n"/>
      <c r="D163" s="141" t="n"/>
      <c r="E163" s="142" t="n"/>
      <c r="F163" s="143" t="n"/>
      <c r="G163" s="144" t="n"/>
      <c r="H163" s="145">
        <f>IF(OR(C163="",AND(F163="",G163="")),"",SUMIF(基础资料!$W$5:$W$24,C163,基础资料!$X$5:$X$24)+SUMIF(C$7:C163,C163,F$7:F163)-SUMIF(C$7:C163,C163,G$7:G163))</f>
      </c>
      <c r="I163" s="145">
        <f>IF(AND(F163="",G163=""),"",SUM(基础资料!$X$5:$X$24)+SUM(F$7:F163)-SUM(G$7:G163))</f>
      </c>
      <c r="J163" s="141" t="n"/>
      <c r="K163" s="141" t="n"/>
      <c r="L163" s="141" t="n"/>
      <c r="M163" s="142" t="n"/>
      <c r="N163" s="146">
        <f>IF(AND(AND(F163="",G163=""),B163="",C163="",D163="",J163="",K163="",L163=""),"",IF(AND(F163="",G163=""),"✗ 没填金额",IF(AND(N(F163)&lt;&gt;0,N(G163)&lt;&gt;0),"✗ 收入、支出只能填一边",IF(NOT(ISNUMBER(B163)),"✗ 日期不是真日期（要像 2026/9/25 这样填）",IF(OR(B163&lt;年初日,B163&gt;年末日),"✗ 日期不在本会计年度",IF(C163="","✗ 没选账户",IF(COUNTIF(基础资料!$W$5:$W$24,C163)=0,"✗ 账户不在基础资料里",IF(O163="","✗ 没选收支项目",IF(P163="未知","✗ 收支项目不在基础资料里",IF(AND(P163="应收",J163=""),"✗ 这笔要选客户",IF(AND(P163="应收",COUNTIF(总览汇总!$B$5:$B$304,J163)=0),"✗ 客户不在总览汇总名单里",IF(AND(P163="应付",K163=""),"✗ 这笔要选供应商",IF(AND(P163="应付",COUNTIF(基础资料!$Q$5:$Q$54,K163)=0),"✗ 供应商不在基础资料里",IF(AND(P163="费用",L163=""),"✗ 费用支出要选费用项目",IF(AND(L163&lt;&gt;"",COUNTIF(基础资料!$AI$5:$AI$54,L163)=0),"✗ 费用项目不在基础资料里",IF(AND(IFERROR(INDEX(基础资料!$AD$5:$AD$34,MATCH(O163,基础资料!$AC$5:$AC$34,0)),"")="收",N(G163)&lt;&gt;0),"✗ 这类是收款，金额填到收入列",IF(AND(IFERROR(INDEX(基础资料!$AD$5:$AD$34,MATCH(O163,基础资料!$AC$5:$AC$34,0)),"")="支",N(F163)&lt;&gt;0),"✗ 这类是付款，金额填到支出列",IF(N(H163)&lt;0,"⚠ 账户余额成负数了，核对一下","√"))))))))))))))))))</f>
      </c>
      <c r="O163" s="78">
        <f>IF(D163&lt;&gt;"",D163,IF(AND(F163="",G163=""),"",IF(J163&lt;&gt;"",IF(N(F163)&gt;0,"客户回款","客户退款"),IF(K163&lt;&gt;"",IF(N(G163)&gt;0,"供应商付款","供应商退款"),IF(L163&lt;&gt;"","费用支出","")))))</f>
      </c>
      <c r="P163" s="78">
        <f>IF(O163="","",IFERROR(INDEX(基础资料!$AE$5:$AE$34,MATCH(O163,基础资料!$AC$5:$AC$34,0)),"未知"))</f>
      </c>
      <c r="Q163" s="78">
        <f>IF(P163="应收",COUNTIF(P$7:P163,"应收"),"")</f>
      </c>
      <c r="R163" s="78">
        <f>IF(P163="应付",COUNTIF(P$7:P163,"应付"),"")</f>
      </c>
      <c r="S163" s="78">
        <f>N(F163)-N(G163)</f>
        <v>0</v>
      </c>
    </row>
    <row r="164">
      <c r="A164" s="109">
        <f>IF(AND(F164="",G164=""),"",ROW()-6)</f>
      </c>
      <c r="B164" s="140" t="n"/>
      <c r="C164" s="141" t="n"/>
      <c r="D164" s="141" t="n"/>
      <c r="E164" s="142" t="n"/>
      <c r="F164" s="143" t="n"/>
      <c r="G164" s="144" t="n"/>
      <c r="H164" s="145">
        <f>IF(OR(C164="",AND(F164="",G164="")),"",SUMIF(基础资料!$W$5:$W$24,C164,基础资料!$X$5:$X$24)+SUMIF(C$7:C164,C164,F$7:F164)-SUMIF(C$7:C164,C164,G$7:G164))</f>
      </c>
      <c r="I164" s="145">
        <f>IF(AND(F164="",G164=""),"",SUM(基础资料!$X$5:$X$24)+SUM(F$7:F164)-SUM(G$7:G164))</f>
      </c>
      <c r="J164" s="141" t="n"/>
      <c r="K164" s="141" t="n"/>
      <c r="L164" s="141" t="n"/>
      <c r="M164" s="142" t="n"/>
      <c r="N164" s="146">
        <f>IF(AND(AND(F164="",G164=""),B164="",C164="",D164="",J164="",K164="",L164=""),"",IF(AND(F164="",G164=""),"✗ 没填金额",IF(AND(N(F164)&lt;&gt;0,N(G164)&lt;&gt;0),"✗ 收入、支出只能填一边",IF(NOT(ISNUMBER(B164)),"✗ 日期不是真日期（要像 2026/9/25 这样填）",IF(OR(B164&lt;年初日,B164&gt;年末日),"✗ 日期不在本会计年度",IF(C164="","✗ 没选账户",IF(COUNTIF(基础资料!$W$5:$W$24,C164)=0,"✗ 账户不在基础资料里",IF(O164="","✗ 没选收支项目",IF(P164="未知","✗ 收支项目不在基础资料里",IF(AND(P164="应收",J164=""),"✗ 这笔要选客户",IF(AND(P164="应收",COUNTIF(总览汇总!$B$5:$B$304,J164)=0),"✗ 客户不在总览汇总名单里",IF(AND(P164="应付",K164=""),"✗ 这笔要选供应商",IF(AND(P164="应付",COUNTIF(基础资料!$Q$5:$Q$54,K164)=0),"✗ 供应商不在基础资料里",IF(AND(P164="费用",L164=""),"✗ 费用支出要选费用项目",IF(AND(L164&lt;&gt;"",COUNTIF(基础资料!$AI$5:$AI$54,L164)=0),"✗ 费用项目不在基础资料里",IF(AND(IFERROR(INDEX(基础资料!$AD$5:$AD$34,MATCH(O164,基础资料!$AC$5:$AC$34,0)),"")="收",N(G164)&lt;&gt;0),"✗ 这类是收款，金额填到收入列",IF(AND(IFERROR(INDEX(基础资料!$AD$5:$AD$34,MATCH(O164,基础资料!$AC$5:$AC$34,0)),"")="支",N(F164)&lt;&gt;0),"✗ 这类是付款，金额填到支出列",IF(N(H164)&lt;0,"⚠ 账户余额成负数了，核对一下","√"))))))))))))))))))</f>
      </c>
      <c r="O164" s="78">
        <f>IF(D164&lt;&gt;"",D164,IF(AND(F164="",G164=""),"",IF(J164&lt;&gt;"",IF(N(F164)&gt;0,"客户回款","客户退款"),IF(K164&lt;&gt;"",IF(N(G164)&gt;0,"供应商付款","供应商退款"),IF(L164&lt;&gt;"","费用支出","")))))</f>
      </c>
      <c r="P164" s="78">
        <f>IF(O164="","",IFERROR(INDEX(基础资料!$AE$5:$AE$34,MATCH(O164,基础资料!$AC$5:$AC$34,0)),"未知"))</f>
      </c>
      <c r="Q164" s="78">
        <f>IF(P164="应收",COUNTIF(P$7:P164,"应收"),"")</f>
      </c>
      <c r="R164" s="78">
        <f>IF(P164="应付",COUNTIF(P$7:P164,"应付"),"")</f>
      </c>
      <c r="S164" s="78">
        <f>N(F164)-N(G164)</f>
        <v>0</v>
      </c>
    </row>
    <row r="165">
      <c r="A165" s="109">
        <f>IF(AND(F165="",G165=""),"",ROW()-6)</f>
      </c>
      <c r="B165" s="140" t="n"/>
      <c r="C165" s="141" t="n"/>
      <c r="D165" s="141" t="n"/>
      <c r="E165" s="142" t="n"/>
      <c r="F165" s="143" t="n"/>
      <c r="G165" s="144" t="n"/>
      <c r="H165" s="145">
        <f>IF(OR(C165="",AND(F165="",G165="")),"",SUMIF(基础资料!$W$5:$W$24,C165,基础资料!$X$5:$X$24)+SUMIF(C$7:C165,C165,F$7:F165)-SUMIF(C$7:C165,C165,G$7:G165))</f>
      </c>
      <c r="I165" s="145">
        <f>IF(AND(F165="",G165=""),"",SUM(基础资料!$X$5:$X$24)+SUM(F$7:F165)-SUM(G$7:G165))</f>
      </c>
      <c r="J165" s="141" t="n"/>
      <c r="K165" s="141" t="n"/>
      <c r="L165" s="141" t="n"/>
      <c r="M165" s="142" t="n"/>
      <c r="N165" s="146">
        <f>IF(AND(AND(F165="",G165=""),B165="",C165="",D165="",J165="",K165="",L165=""),"",IF(AND(F165="",G165=""),"✗ 没填金额",IF(AND(N(F165)&lt;&gt;0,N(G165)&lt;&gt;0),"✗ 收入、支出只能填一边",IF(NOT(ISNUMBER(B165)),"✗ 日期不是真日期（要像 2026/9/25 这样填）",IF(OR(B165&lt;年初日,B165&gt;年末日),"✗ 日期不在本会计年度",IF(C165="","✗ 没选账户",IF(COUNTIF(基础资料!$W$5:$W$24,C165)=0,"✗ 账户不在基础资料里",IF(O165="","✗ 没选收支项目",IF(P165="未知","✗ 收支项目不在基础资料里",IF(AND(P165="应收",J165=""),"✗ 这笔要选客户",IF(AND(P165="应收",COUNTIF(总览汇总!$B$5:$B$304,J165)=0),"✗ 客户不在总览汇总名单里",IF(AND(P165="应付",K165=""),"✗ 这笔要选供应商",IF(AND(P165="应付",COUNTIF(基础资料!$Q$5:$Q$54,K165)=0),"✗ 供应商不在基础资料里",IF(AND(P165="费用",L165=""),"✗ 费用支出要选费用项目",IF(AND(L165&lt;&gt;"",COUNTIF(基础资料!$AI$5:$AI$54,L165)=0),"✗ 费用项目不在基础资料里",IF(AND(IFERROR(INDEX(基础资料!$AD$5:$AD$34,MATCH(O165,基础资料!$AC$5:$AC$34,0)),"")="收",N(G165)&lt;&gt;0),"✗ 这类是收款，金额填到收入列",IF(AND(IFERROR(INDEX(基础资料!$AD$5:$AD$34,MATCH(O165,基础资料!$AC$5:$AC$34,0)),"")="支",N(F165)&lt;&gt;0),"✗ 这类是付款，金额填到支出列",IF(N(H165)&lt;0,"⚠ 账户余额成负数了，核对一下","√"))))))))))))))))))</f>
      </c>
      <c r="O165" s="78">
        <f>IF(D165&lt;&gt;"",D165,IF(AND(F165="",G165=""),"",IF(J165&lt;&gt;"",IF(N(F165)&gt;0,"客户回款","客户退款"),IF(K165&lt;&gt;"",IF(N(G165)&gt;0,"供应商付款","供应商退款"),IF(L165&lt;&gt;"","费用支出","")))))</f>
      </c>
      <c r="P165" s="78">
        <f>IF(O165="","",IFERROR(INDEX(基础资料!$AE$5:$AE$34,MATCH(O165,基础资料!$AC$5:$AC$34,0)),"未知"))</f>
      </c>
      <c r="Q165" s="78">
        <f>IF(P165="应收",COUNTIF(P$7:P165,"应收"),"")</f>
      </c>
      <c r="R165" s="78">
        <f>IF(P165="应付",COUNTIF(P$7:P165,"应付"),"")</f>
      </c>
      <c r="S165" s="78">
        <f>N(F165)-N(G165)</f>
        <v>0</v>
      </c>
    </row>
    <row r="166">
      <c r="A166" s="109">
        <f>IF(AND(F166="",G166=""),"",ROW()-6)</f>
      </c>
      <c r="B166" s="140" t="n"/>
      <c r="C166" s="141" t="n"/>
      <c r="D166" s="141" t="n"/>
      <c r="E166" s="142" t="n"/>
      <c r="F166" s="143" t="n"/>
      <c r="G166" s="144" t="n"/>
      <c r="H166" s="145">
        <f>IF(OR(C166="",AND(F166="",G166="")),"",SUMIF(基础资料!$W$5:$W$24,C166,基础资料!$X$5:$X$24)+SUMIF(C$7:C166,C166,F$7:F166)-SUMIF(C$7:C166,C166,G$7:G166))</f>
      </c>
      <c r="I166" s="145">
        <f>IF(AND(F166="",G166=""),"",SUM(基础资料!$X$5:$X$24)+SUM(F$7:F166)-SUM(G$7:G166))</f>
      </c>
      <c r="J166" s="141" t="n"/>
      <c r="K166" s="141" t="n"/>
      <c r="L166" s="141" t="n"/>
      <c r="M166" s="142" t="n"/>
      <c r="N166" s="146">
        <f>IF(AND(AND(F166="",G166=""),B166="",C166="",D166="",J166="",K166="",L166=""),"",IF(AND(F166="",G166=""),"✗ 没填金额",IF(AND(N(F166)&lt;&gt;0,N(G166)&lt;&gt;0),"✗ 收入、支出只能填一边",IF(NOT(ISNUMBER(B166)),"✗ 日期不是真日期（要像 2026/9/25 这样填）",IF(OR(B166&lt;年初日,B166&gt;年末日),"✗ 日期不在本会计年度",IF(C166="","✗ 没选账户",IF(COUNTIF(基础资料!$W$5:$W$24,C166)=0,"✗ 账户不在基础资料里",IF(O166="","✗ 没选收支项目",IF(P166="未知","✗ 收支项目不在基础资料里",IF(AND(P166="应收",J166=""),"✗ 这笔要选客户",IF(AND(P166="应收",COUNTIF(总览汇总!$B$5:$B$304,J166)=0),"✗ 客户不在总览汇总名单里",IF(AND(P166="应付",K166=""),"✗ 这笔要选供应商",IF(AND(P166="应付",COUNTIF(基础资料!$Q$5:$Q$54,K166)=0),"✗ 供应商不在基础资料里",IF(AND(P166="费用",L166=""),"✗ 费用支出要选费用项目",IF(AND(L166&lt;&gt;"",COUNTIF(基础资料!$AI$5:$AI$54,L166)=0),"✗ 费用项目不在基础资料里",IF(AND(IFERROR(INDEX(基础资料!$AD$5:$AD$34,MATCH(O166,基础资料!$AC$5:$AC$34,0)),"")="收",N(G166)&lt;&gt;0),"✗ 这类是收款，金额填到收入列",IF(AND(IFERROR(INDEX(基础资料!$AD$5:$AD$34,MATCH(O166,基础资料!$AC$5:$AC$34,0)),"")="支",N(F166)&lt;&gt;0),"✗ 这类是付款，金额填到支出列",IF(N(H166)&lt;0,"⚠ 账户余额成负数了，核对一下","√"))))))))))))))))))</f>
      </c>
      <c r="O166" s="78">
        <f>IF(D166&lt;&gt;"",D166,IF(AND(F166="",G166=""),"",IF(J166&lt;&gt;"",IF(N(F166)&gt;0,"客户回款","客户退款"),IF(K166&lt;&gt;"",IF(N(G166)&gt;0,"供应商付款","供应商退款"),IF(L166&lt;&gt;"","费用支出","")))))</f>
      </c>
      <c r="P166" s="78">
        <f>IF(O166="","",IFERROR(INDEX(基础资料!$AE$5:$AE$34,MATCH(O166,基础资料!$AC$5:$AC$34,0)),"未知"))</f>
      </c>
      <c r="Q166" s="78">
        <f>IF(P166="应收",COUNTIF(P$7:P166,"应收"),"")</f>
      </c>
      <c r="R166" s="78">
        <f>IF(P166="应付",COUNTIF(P$7:P166,"应付"),"")</f>
      </c>
      <c r="S166" s="78">
        <f>N(F166)-N(G166)</f>
        <v>0</v>
      </c>
    </row>
    <row r="167">
      <c r="A167" s="109">
        <f>IF(AND(F167="",G167=""),"",ROW()-6)</f>
      </c>
      <c r="B167" s="140" t="n"/>
      <c r="C167" s="141" t="n"/>
      <c r="D167" s="141" t="n"/>
      <c r="E167" s="142" t="n"/>
      <c r="F167" s="143" t="n"/>
      <c r="G167" s="144" t="n"/>
      <c r="H167" s="145">
        <f>IF(OR(C167="",AND(F167="",G167="")),"",SUMIF(基础资料!$W$5:$W$24,C167,基础资料!$X$5:$X$24)+SUMIF(C$7:C167,C167,F$7:F167)-SUMIF(C$7:C167,C167,G$7:G167))</f>
      </c>
      <c r="I167" s="145">
        <f>IF(AND(F167="",G167=""),"",SUM(基础资料!$X$5:$X$24)+SUM(F$7:F167)-SUM(G$7:G167))</f>
      </c>
      <c r="J167" s="141" t="n"/>
      <c r="K167" s="141" t="n"/>
      <c r="L167" s="141" t="n"/>
      <c r="M167" s="142" t="n"/>
      <c r="N167" s="146">
        <f>IF(AND(AND(F167="",G167=""),B167="",C167="",D167="",J167="",K167="",L167=""),"",IF(AND(F167="",G167=""),"✗ 没填金额",IF(AND(N(F167)&lt;&gt;0,N(G167)&lt;&gt;0),"✗ 收入、支出只能填一边",IF(NOT(ISNUMBER(B167)),"✗ 日期不是真日期（要像 2026/9/25 这样填）",IF(OR(B167&lt;年初日,B167&gt;年末日),"✗ 日期不在本会计年度",IF(C167="","✗ 没选账户",IF(COUNTIF(基础资料!$W$5:$W$24,C167)=0,"✗ 账户不在基础资料里",IF(O167="","✗ 没选收支项目",IF(P167="未知","✗ 收支项目不在基础资料里",IF(AND(P167="应收",J167=""),"✗ 这笔要选客户",IF(AND(P167="应收",COUNTIF(总览汇总!$B$5:$B$304,J167)=0),"✗ 客户不在总览汇总名单里",IF(AND(P167="应付",K167=""),"✗ 这笔要选供应商",IF(AND(P167="应付",COUNTIF(基础资料!$Q$5:$Q$54,K167)=0),"✗ 供应商不在基础资料里",IF(AND(P167="费用",L167=""),"✗ 费用支出要选费用项目",IF(AND(L167&lt;&gt;"",COUNTIF(基础资料!$AI$5:$AI$54,L167)=0),"✗ 费用项目不在基础资料里",IF(AND(IFERROR(INDEX(基础资料!$AD$5:$AD$34,MATCH(O167,基础资料!$AC$5:$AC$34,0)),"")="收",N(G167)&lt;&gt;0),"✗ 这类是收款，金额填到收入列",IF(AND(IFERROR(INDEX(基础资料!$AD$5:$AD$34,MATCH(O167,基础资料!$AC$5:$AC$34,0)),"")="支",N(F167)&lt;&gt;0),"✗ 这类是付款，金额填到支出列",IF(N(H167)&lt;0,"⚠ 账户余额成负数了，核对一下","√"))))))))))))))))))</f>
      </c>
      <c r="O167" s="78">
        <f>IF(D167&lt;&gt;"",D167,IF(AND(F167="",G167=""),"",IF(J167&lt;&gt;"",IF(N(F167)&gt;0,"客户回款","客户退款"),IF(K167&lt;&gt;"",IF(N(G167)&gt;0,"供应商付款","供应商退款"),IF(L167&lt;&gt;"","费用支出","")))))</f>
      </c>
      <c r="P167" s="78">
        <f>IF(O167="","",IFERROR(INDEX(基础资料!$AE$5:$AE$34,MATCH(O167,基础资料!$AC$5:$AC$34,0)),"未知"))</f>
      </c>
      <c r="Q167" s="78">
        <f>IF(P167="应收",COUNTIF(P$7:P167,"应收"),"")</f>
      </c>
      <c r="R167" s="78">
        <f>IF(P167="应付",COUNTIF(P$7:P167,"应付"),"")</f>
      </c>
      <c r="S167" s="78">
        <f>N(F167)-N(G167)</f>
        <v>0</v>
      </c>
    </row>
    <row r="168">
      <c r="A168" s="109">
        <f>IF(AND(F168="",G168=""),"",ROW()-6)</f>
      </c>
      <c r="B168" s="140" t="n"/>
      <c r="C168" s="141" t="n"/>
      <c r="D168" s="141" t="n"/>
      <c r="E168" s="142" t="n"/>
      <c r="F168" s="143" t="n"/>
      <c r="G168" s="144" t="n"/>
      <c r="H168" s="145">
        <f>IF(OR(C168="",AND(F168="",G168="")),"",SUMIF(基础资料!$W$5:$W$24,C168,基础资料!$X$5:$X$24)+SUMIF(C$7:C168,C168,F$7:F168)-SUMIF(C$7:C168,C168,G$7:G168))</f>
      </c>
      <c r="I168" s="145">
        <f>IF(AND(F168="",G168=""),"",SUM(基础资料!$X$5:$X$24)+SUM(F$7:F168)-SUM(G$7:G168))</f>
      </c>
      <c r="J168" s="141" t="n"/>
      <c r="K168" s="141" t="n"/>
      <c r="L168" s="141" t="n"/>
      <c r="M168" s="142" t="n"/>
      <c r="N168" s="146">
        <f>IF(AND(AND(F168="",G168=""),B168="",C168="",D168="",J168="",K168="",L168=""),"",IF(AND(F168="",G168=""),"✗ 没填金额",IF(AND(N(F168)&lt;&gt;0,N(G168)&lt;&gt;0),"✗ 收入、支出只能填一边",IF(NOT(ISNUMBER(B168)),"✗ 日期不是真日期（要像 2026/9/25 这样填）",IF(OR(B168&lt;年初日,B168&gt;年末日),"✗ 日期不在本会计年度",IF(C168="","✗ 没选账户",IF(COUNTIF(基础资料!$W$5:$W$24,C168)=0,"✗ 账户不在基础资料里",IF(O168="","✗ 没选收支项目",IF(P168="未知","✗ 收支项目不在基础资料里",IF(AND(P168="应收",J168=""),"✗ 这笔要选客户",IF(AND(P168="应收",COUNTIF(总览汇总!$B$5:$B$304,J168)=0),"✗ 客户不在总览汇总名单里",IF(AND(P168="应付",K168=""),"✗ 这笔要选供应商",IF(AND(P168="应付",COUNTIF(基础资料!$Q$5:$Q$54,K168)=0),"✗ 供应商不在基础资料里",IF(AND(P168="费用",L168=""),"✗ 费用支出要选费用项目",IF(AND(L168&lt;&gt;"",COUNTIF(基础资料!$AI$5:$AI$54,L168)=0),"✗ 费用项目不在基础资料里",IF(AND(IFERROR(INDEX(基础资料!$AD$5:$AD$34,MATCH(O168,基础资料!$AC$5:$AC$34,0)),"")="收",N(G168)&lt;&gt;0),"✗ 这类是收款，金额填到收入列",IF(AND(IFERROR(INDEX(基础资料!$AD$5:$AD$34,MATCH(O168,基础资料!$AC$5:$AC$34,0)),"")="支",N(F168)&lt;&gt;0),"✗ 这类是付款，金额填到支出列",IF(N(H168)&lt;0,"⚠ 账户余额成负数了，核对一下","√"))))))))))))))))))</f>
      </c>
      <c r="O168" s="78">
        <f>IF(D168&lt;&gt;"",D168,IF(AND(F168="",G168=""),"",IF(J168&lt;&gt;"",IF(N(F168)&gt;0,"客户回款","客户退款"),IF(K168&lt;&gt;"",IF(N(G168)&gt;0,"供应商付款","供应商退款"),IF(L168&lt;&gt;"","费用支出","")))))</f>
      </c>
      <c r="P168" s="78">
        <f>IF(O168="","",IFERROR(INDEX(基础资料!$AE$5:$AE$34,MATCH(O168,基础资料!$AC$5:$AC$34,0)),"未知"))</f>
      </c>
      <c r="Q168" s="78">
        <f>IF(P168="应收",COUNTIF(P$7:P168,"应收"),"")</f>
      </c>
      <c r="R168" s="78">
        <f>IF(P168="应付",COUNTIF(P$7:P168,"应付"),"")</f>
      </c>
      <c r="S168" s="78">
        <f>N(F168)-N(G168)</f>
        <v>0</v>
      </c>
    </row>
    <row r="169">
      <c r="A169" s="109">
        <f>IF(AND(F169="",G169=""),"",ROW()-6)</f>
      </c>
      <c r="B169" s="140" t="n"/>
      <c r="C169" s="141" t="n"/>
      <c r="D169" s="141" t="n"/>
      <c r="E169" s="142" t="n"/>
      <c r="F169" s="143" t="n"/>
      <c r="G169" s="144" t="n"/>
      <c r="H169" s="145">
        <f>IF(OR(C169="",AND(F169="",G169="")),"",SUMIF(基础资料!$W$5:$W$24,C169,基础资料!$X$5:$X$24)+SUMIF(C$7:C169,C169,F$7:F169)-SUMIF(C$7:C169,C169,G$7:G169))</f>
      </c>
      <c r="I169" s="145">
        <f>IF(AND(F169="",G169=""),"",SUM(基础资料!$X$5:$X$24)+SUM(F$7:F169)-SUM(G$7:G169))</f>
      </c>
      <c r="J169" s="141" t="n"/>
      <c r="K169" s="141" t="n"/>
      <c r="L169" s="141" t="n"/>
      <c r="M169" s="142" t="n"/>
      <c r="N169" s="146">
        <f>IF(AND(AND(F169="",G169=""),B169="",C169="",D169="",J169="",K169="",L169=""),"",IF(AND(F169="",G169=""),"✗ 没填金额",IF(AND(N(F169)&lt;&gt;0,N(G169)&lt;&gt;0),"✗ 收入、支出只能填一边",IF(NOT(ISNUMBER(B169)),"✗ 日期不是真日期（要像 2026/9/25 这样填）",IF(OR(B169&lt;年初日,B169&gt;年末日),"✗ 日期不在本会计年度",IF(C169="","✗ 没选账户",IF(COUNTIF(基础资料!$W$5:$W$24,C169)=0,"✗ 账户不在基础资料里",IF(O169="","✗ 没选收支项目",IF(P169="未知","✗ 收支项目不在基础资料里",IF(AND(P169="应收",J169=""),"✗ 这笔要选客户",IF(AND(P169="应收",COUNTIF(总览汇总!$B$5:$B$304,J169)=0),"✗ 客户不在总览汇总名单里",IF(AND(P169="应付",K169=""),"✗ 这笔要选供应商",IF(AND(P169="应付",COUNTIF(基础资料!$Q$5:$Q$54,K169)=0),"✗ 供应商不在基础资料里",IF(AND(P169="费用",L169=""),"✗ 费用支出要选费用项目",IF(AND(L169&lt;&gt;"",COUNTIF(基础资料!$AI$5:$AI$54,L169)=0),"✗ 费用项目不在基础资料里",IF(AND(IFERROR(INDEX(基础资料!$AD$5:$AD$34,MATCH(O169,基础资料!$AC$5:$AC$34,0)),"")="收",N(G169)&lt;&gt;0),"✗ 这类是收款，金额填到收入列",IF(AND(IFERROR(INDEX(基础资料!$AD$5:$AD$34,MATCH(O169,基础资料!$AC$5:$AC$34,0)),"")="支",N(F169)&lt;&gt;0),"✗ 这类是付款，金额填到支出列",IF(N(H169)&lt;0,"⚠ 账户余额成负数了，核对一下","√"))))))))))))))))))</f>
      </c>
      <c r="O169" s="78">
        <f>IF(D169&lt;&gt;"",D169,IF(AND(F169="",G169=""),"",IF(J169&lt;&gt;"",IF(N(F169)&gt;0,"客户回款","客户退款"),IF(K169&lt;&gt;"",IF(N(G169)&gt;0,"供应商付款","供应商退款"),IF(L169&lt;&gt;"","费用支出","")))))</f>
      </c>
      <c r="P169" s="78">
        <f>IF(O169="","",IFERROR(INDEX(基础资料!$AE$5:$AE$34,MATCH(O169,基础资料!$AC$5:$AC$34,0)),"未知"))</f>
      </c>
      <c r="Q169" s="78">
        <f>IF(P169="应收",COUNTIF(P$7:P169,"应收"),"")</f>
      </c>
      <c r="R169" s="78">
        <f>IF(P169="应付",COUNTIF(P$7:P169,"应付"),"")</f>
      </c>
      <c r="S169" s="78">
        <f>N(F169)-N(G169)</f>
        <v>0</v>
      </c>
    </row>
    <row r="170">
      <c r="A170" s="109">
        <f>IF(AND(F170="",G170=""),"",ROW()-6)</f>
      </c>
      <c r="B170" s="140" t="n"/>
      <c r="C170" s="141" t="n"/>
      <c r="D170" s="141" t="n"/>
      <c r="E170" s="142" t="n"/>
      <c r="F170" s="143" t="n"/>
      <c r="G170" s="144" t="n"/>
      <c r="H170" s="145">
        <f>IF(OR(C170="",AND(F170="",G170="")),"",SUMIF(基础资料!$W$5:$W$24,C170,基础资料!$X$5:$X$24)+SUMIF(C$7:C170,C170,F$7:F170)-SUMIF(C$7:C170,C170,G$7:G170))</f>
      </c>
      <c r="I170" s="145">
        <f>IF(AND(F170="",G170=""),"",SUM(基础资料!$X$5:$X$24)+SUM(F$7:F170)-SUM(G$7:G170))</f>
      </c>
      <c r="J170" s="141" t="n"/>
      <c r="K170" s="141" t="n"/>
      <c r="L170" s="141" t="n"/>
      <c r="M170" s="142" t="n"/>
      <c r="N170" s="146">
        <f>IF(AND(AND(F170="",G170=""),B170="",C170="",D170="",J170="",K170="",L170=""),"",IF(AND(F170="",G170=""),"✗ 没填金额",IF(AND(N(F170)&lt;&gt;0,N(G170)&lt;&gt;0),"✗ 收入、支出只能填一边",IF(NOT(ISNUMBER(B170)),"✗ 日期不是真日期（要像 2026/9/25 这样填）",IF(OR(B170&lt;年初日,B170&gt;年末日),"✗ 日期不在本会计年度",IF(C170="","✗ 没选账户",IF(COUNTIF(基础资料!$W$5:$W$24,C170)=0,"✗ 账户不在基础资料里",IF(O170="","✗ 没选收支项目",IF(P170="未知","✗ 收支项目不在基础资料里",IF(AND(P170="应收",J170=""),"✗ 这笔要选客户",IF(AND(P170="应收",COUNTIF(总览汇总!$B$5:$B$304,J170)=0),"✗ 客户不在总览汇总名单里",IF(AND(P170="应付",K170=""),"✗ 这笔要选供应商",IF(AND(P170="应付",COUNTIF(基础资料!$Q$5:$Q$54,K170)=0),"✗ 供应商不在基础资料里",IF(AND(P170="费用",L170=""),"✗ 费用支出要选费用项目",IF(AND(L170&lt;&gt;"",COUNTIF(基础资料!$AI$5:$AI$54,L170)=0),"✗ 费用项目不在基础资料里",IF(AND(IFERROR(INDEX(基础资料!$AD$5:$AD$34,MATCH(O170,基础资料!$AC$5:$AC$34,0)),"")="收",N(G170)&lt;&gt;0),"✗ 这类是收款，金额填到收入列",IF(AND(IFERROR(INDEX(基础资料!$AD$5:$AD$34,MATCH(O170,基础资料!$AC$5:$AC$34,0)),"")="支",N(F170)&lt;&gt;0),"✗ 这类是付款，金额填到支出列",IF(N(H170)&lt;0,"⚠ 账户余额成负数了，核对一下","√"))))))))))))))))))</f>
      </c>
      <c r="O170" s="78">
        <f>IF(D170&lt;&gt;"",D170,IF(AND(F170="",G170=""),"",IF(J170&lt;&gt;"",IF(N(F170)&gt;0,"客户回款","客户退款"),IF(K170&lt;&gt;"",IF(N(G170)&gt;0,"供应商付款","供应商退款"),IF(L170&lt;&gt;"","费用支出","")))))</f>
      </c>
      <c r="P170" s="78">
        <f>IF(O170="","",IFERROR(INDEX(基础资料!$AE$5:$AE$34,MATCH(O170,基础资料!$AC$5:$AC$34,0)),"未知"))</f>
      </c>
      <c r="Q170" s="78">
        <f>IF(P170="应收",COUNTIF(P$7:P170,"应收"),"")</f>
      </c>
      <c r="R170" s="78">
        <f>IF(P170="应付",COUNTIF(P$7:P170,"应付"),"")</f>
      </c>
      <c r="S170" s="78">
        <f>N(F170)-N(G170)</f>
        <v>0</v>
      </c>
    </row>
    <row r="171">
      <c r="A171" s="109">
        <f>IF(AND(F171="",G171=""),"",ROW()-6)</f>
      </c>
      <c r="B171" s="140" t="n"/>
      <c r="C171" s="141" t="n"/>
      <c r="D171" s="141" t="n"/>
      <c r="E171" s="142" t="n"/>
      <c r="F171" s="143" t="n"/>
      <c r="G171" s="144" t="n"/>
      <c r="H171" s="145">
        <f>IF(OR(C171="",AND(F171="",G171="")),"",SUMIF(基础资料!$W$5:$W$24,C171,基础资料!$X$5:$X$24)+SUMIF(C$7:C171,C171,F$7:F171)-SUMIF(C$7:C171,C171,G$7:G171))</f>
      </c>
      <c r="I171" s="145">
        <f>IF(AND(F171="",G171=""),"",SUM(基础资料!$X$5:$X$24)+SUM(F$7:F171)-SUM(G$7:G171))</f>
      </c>
      <c r="J171" s="141" t="n"/>
      <c r="K171" s="141" t="n"/>
      <c r="L171" s="141" t="n"/>
      <c r="M171" s="142" t="n"/>
      <c r="N171" s="146">
        <f>IF(AND(AND(F171="",G171=""),B171="",C171="",D171="",J171="",K171="",L171=""),"",IF(AND(F171="",G171=""),"✗ 没填金额",IF(AND(N(F171)&lt;&gt;0,N(G171)&lt;&gt;0),"✗ 收入、支出只能填一边",IF(NOT(ISNUMBER(B171)),"✗ 日期不是真日期（要像 2026/9/25 这样填）",IF(OR(B171&lt;年初日,B171&gt;年末日),"✗ 日期不在本会计年度",IF(C171="","✗ 没选账户",IF(COUNTIF(基础资料!$W$5:$W$24,C171)=0,"✗ 账户不在基础资料里",IF(O171="","✗ 没选收支项目",IF(P171="未知","✗ 收支项目不在基础资料里",IF(AND(P171="应收",J171=""),"✗ 这笔要选客户",IF(AND(P171="应收",COUNTIF(总览汇总!$B$5:$B$304,J171)=0),"✗ 客户不在总览汇总名单里",IF(AND(P171="应付",K171=""),"✗ 这笔要选供应商",IF(AND(P171="应付",COUNTIF(基础资料!$Q$5:$Q$54,K171)=0),"✗ 供应商不在基础资料里",IF(AND(P171="费用",L171=""),"✗ 费用支出要选费用项目",IF(AND(L171&lt;&gt;"",COUNTIF(基础资料!$AI$5:$AI$54,L171)=0),"✗ 费用项目不在基础资料里",IF(AND(IFERROR(INDEX(基础资料!$AD$5:$AD$34,MATCH(O171,基础资料!$AC$5:$AC$34,0)),"")="收",N(G171)&lt;&gt;0),"✗ 这类是收款，金额填到收入列",IF(AND(IFERROR(INDEX(基础资料!$AD$5:$AD$34,MATCH(O171,基础资料!$AC$5:$AC$34,0)),"")="支",N(F171)&lt;&gt;0),"✗ 这类是付款，金额填到支出列",IF(N(H171)&lt;0,"⚠ 账户余额成负数了，核对一下","√"))))))))))))))))))</f>
      </c>
      <c r="O171" s="78">
        <f>IF(D171&lt;&gt;"",D171,IF(AND(F171="",G171=""),"",IF(J171&lt;&gt;"",IF(N(F171)&gt;0,"客户回款","客户退款"),IF(K171&lt;&gt;"",IF(N(G171)&gt;0,"供应商付款","供应商退款"),IF(L171&lt;&gt;"","费用支出","")))))</f>
      </c>
      <c r="P171" s="78">
        <f>IF(O171="","",IFERROR(INDEX(基础资料!$AE$5:$AE$34,MATCH(O171,基础资料!$AC$5:$AC$34,0)),"未知"))</f>
      </c>
      <c r="Q171" s="78">
        <f>IF(P171="应收",COUNTIF(P$7:P171,"应收"),"")</f>
      </c>
      <c r="R171" s="78">
        <f>IF(P171="应付",COUNTIF(P$7:P171,"应付"),"")</f>
      </c>
      <c r="S171" s="78">
        <f>N(F171)-N(G171)</f>
        <v>0</v>
      </c>
    </row>
    <row r="172">
      <c r="A172" s="109">
        <f>IF(AND(F172="",G172=""),"",ROW()-6)</f>
      </c>
      <c r="B172" s="140" t="n"/>
      <c r="C172" s="141" t="n"/>
      <c r="D172" s="141" t="n"/>
      <c r="E172" s="142" t="n"/>
      <c r="F172" s="143" t="n"/>
      <c r="G172" s="144" t="n"/>
      <c r="H172" s="145">
        <f>IF(OR(C172="",AND(F172="",G172="")),"",SUMIF(基础资料!$W$5:$W$24,C172,基础资料!$X$5:$X$24)+SUMIF(C$7:C172,C172,F$7:F172)-SUMIF(C$7:C172,C172,G$7:G172))</f>
      </c>
      <c r="I172" s="145">
        <f>IF(AND(F172="",G172=""),"",SUM(基础资料!$X$5:$X$24)+SUM(F$7:F172)-SUM(G$7:G172))</f>
      </c>
      <c r="J172" s="141" t="n"/>
      <c r="K172" s="141" t="n"/>
      <c r="L172" s="141" t="n"/>
      <c r="M172" s="142" t="n"/>
      <c r="N172" s="146">
        <f>IF(AND(AND(F172="",G172=""),B172="",C172="",D172="",J172="",K172="",L172=""),"",IF(AND(F172="",G172=""),"✗ 没填金额",IF(AND(N(F172)&lt;&gt;0,N(G172)&lt;&gt;0),"✗ 收入、支出只能填一边",IF(NOT(ISNUMBER(B172)),"✗ 日期不是真日期（要像 2026/9/25 这样填）",IF(OR(B172&lt;年初日,B172&gt;年末日),"✗ 日期不在本会计年度",IF(C172="","✗ 没选账户",IF(COUNTIF(基础资料!$W$5:$W$24,C172)=0,"✗ 账户不在基础资料里",IF(O172="","✗ 没选收支项目",IF(P172="未知","✗ 收支项目不在基础资料里",IF(AND(P172="应收",J172=""),"✗ 这笔要选客户",IF(AND(P172="应收",COUNTIF(总览汇总!$B$5:$B$304,J172)=0),"✗ 客户不在总览汇总名单里",IF(AND(P172="应付",K172=""),"✗ 这笔要选供应商",IF(AND(P172="应付",COUNTIF(基础资料!$Q$5:$Q$54,K172)=0),"✗ 供应商不在基础资料里",IF(AND(P172="费用",L172=""),"✗ 费用支出要选费用项目",IF(AND(L172&lt;&gt;"",COUNTIF(基础资料!$AI$5:$AI$54,L172)=0),"✗ 费用项目不在基础资料里",IF(AND(IFERROR(INDEX(基础资料!$AD$5:$AD$34,MATCH(O172,基础资料!$AC$5:$AC$34,0)),"")="收",N(G172)&lt;&gt;0),"✗ 这类是收款，金额填到收入列",IF(AND(IFERROR(INDEX(基础资料!$AD$5:$AD$34,MATCH(O172,基础资料!$AC$5:$AC$34,0)),"")="支",N(F172)&lt;&gt;0),"✗ 这类是付款，金额填到支出列",IF(N(H172)&lt;0,"⚠ 账户余额成负数了，核对一下","√"))))))))))))))))))</f>
      </c>
      <c r="O172" s="78">
        <f>IF(D172&lt;&gt;"",D172,IF(AND(F172="",G172=""),"",IF(J172&lt;&gt;"",IF(N(F172)&gt;0,"客户回款","客户退款"),IF(K172&lt;&gt;"",IF(N(G172)&gt;0,"供应商付款","供应商退款"),IF(L172&lt;&gt;"","费用支出","")))))</f>
      </c>
      <c r="P172" s="78">
        <f>IF(O172="","",IFERROR(INDEX(基础资料!$AE$5:$AE$34,MATCH(O172,基础资料!$AC$5:$AC$34,0)),"未知"))</f>
      </c>
      <c r="Q172" s="78">
        <f>IF(P172="应收",COUNTIF(P$7:P172,"应收"),"")</f>
      </c>
      <c r="R172" s="78">
        <f>IF(P172="应付",COUNTIF(P$7:P172,"应付"),"")</f>
      </c>
      <c r="S172" s="78">
        <f>N(F172)-N(G172)</f>
        <v>0</v>
      </c>
    </row>
    <row r="173">
      <c r="A173" s="109">
        <f>IF(AND(F173="",G173=""),"",ROW()-6)</f>
      </c>
      <c r="B173" s="140" t="n"/>
      <c r="C173" s="141" t="n"/>
      <c r="D173" s="141" t="n"/>
      <c r="E173" s="142" t="n"/>
      <c r="F173" s="143" t="n"/>
      <c r="G173" s="144" t="n"/>
      <c r="H173" s="145">
        <f>IF(OR(C173="",AND(F173="",G173="")),"",SUMIF(基础资料!$W$5:$W$24,C173,基础资料!$X$5:$X$24)+SUMIF(C$7:C173,C173,F$7:F173)-SUMIF(C$7:C173,C173,G$7:G173))</f>
      </c>
      <c r="I173" s="145">
        <f>IF(AND(F173="",G173=""),"",SUM(基础资料!$X$5:$X$24)+SUM(F$7:F173)-SUM(G$7:G173))</f>
      </c>
      <c r="J173" s="141" t="n"/>
      <c r="K173" s="141" t="n"/>
      <c r="L173" s="141" t="n"/>
      <c r="M173" s="142" t="n"/>
      <c r="N173" s="146">
        <f>IF(AND(AND(F173="",G173=""),B173="",C173="",D173="",J173="",K173="",L173=""),"",IF(AND(F173="",G173=""),"✗ 没填金额",IF(AND(N(F173)&lt;&gt;0,N(G173)&lt;&gt;0),"✗ 收入、支出只能填一边",IF(NOT(ISNUMBER(B173)),"✗ 日期不是真日期（要像 2026/9/25 这样填）",IF(OR(B173&lt;年初日,B173&gt;年末日),"✗ 日期不在本会计年度",IF(C173="","✗ 没选账户",IF(COUNTIF(基础资料!$W$5:$W$24,C173)=0,"✗ 账户不在基础资料里",IF(O173="","✗ 没选收支项目",IF(P173="未知","✗ 收支项目不在基础资料里",IF(AND(P173="应收",J173=""),"✗ 这笔要选客户",IF(AND(P173="应收",COUNTIF(总览汇总!$B$5:$B$304,J173)=0),"✗ 客户不在总览汇总名单里",IF(AND(P173="应付",K173=""),"✗ 这笔要选供应商",IF(AND(P173="应付",COUNTIF(基础资料!$Q$5:$Q$54,K173)=0),"✗ 供应商不在基础资料里",IF(AND(P173="费用",L173=""),"✗ 费用支出要选费用项目",IF(AND(L173&lt;&gt;"",COUNTIF(基础资料!$AI$5:$AI$54,L173)=0),"✗ 费用项目不在基础资料里",IF(AND(IFERROR(INDEX(基础资料!$AD$5:$AD$34,MATCH(O173,基础资料!$AC$5:$AC$34,0)),"")="收",N(G173)&lt;&gt;0),"✗ 这类是收款，金额填到收入列",IF(AND(IFERROR(INDEX(基础资料!$AD$5:$AD$34,MATCH(O173,基础资料!$AC$5:$AC$34,0)),"")="支",N(F173)&lt;&gt;0),"✗ 这类是付款，金额填到支出列",IF(N(H173)&lt;0,"⚠ 账户余额成负数了，核对一下","√"))))))))))))))))))</f>
      </c>
      <c r="O173" s="78">
        <f>IF(D173&lt;&gt;"",D173,IF(AND(F173="",G173=""),"",IF(J173&lt;&gt;"",IF(N(F173)&gt;0,"客户回款","客户退款"),IF(K173&lt;&gt;"",IF(N(G173)&gt;0,"供应商付款","供应商退款"),IF(L173&lt;&gt;"","费用支出","")))))</f>
      </c>
      <c r="P173" s="78">
        <f>IF(O173="","",IFERROR(INDEX(基础资料!$AE$5:$AE$34,MATCH(O173,基础资料!$AC$5:$AC$34,0)),"未知"))</f>
      </c>
      <c r="Q173" s="78">
        <f>IF(P173="应收",COUNTIF(P$7:P173,"应收"),"")</f>
      </c>
      <c r="R173" s="78">
        <f>IF(P173="应付",COUNTIF(P$7:P173,"应付"),"")</f>
      </c>
      <c r="S173" s="78">
        <f>N(F173)-N(G173)</f>
        <v>0</v>
      </c>
    </row>
    <row r="174">
      <c r="A174" s="109">
        <f>IF(AND(F174="",G174=""),"",ROW()-6)</f>
      </c>
      <c r="B174" s="140" t="n"/>
      <c r="C174" s="141" t="n"/>
      <c r="D174" s="141" t="n"/>
      <c r="E174" s="142" t="n"/>
      <c r="F174" s="143" t="n"/>
      <c r="G174" s="144" t="n"/>
      <c r="H174" s="145">
        <f>IF(OR(C174="",AND(F174="",G174="")),"",SUMIF(基础资料!$W$5:$W$24,C174,基础资料!$X$5:$X$24)+SUMIF(C$7:C174,C174,F$7:F174)-SUMIF(C$7:C174,C174,G$7:G174))</f>
      </c>
      <c r="I174" s="145">
        <f>IF(AND(F174="",G174=""),"",SUM(基础资料!$X$5:$X$24)+SUM(F$7:F174)-SUM(G$7:G174))</f>
      </c>
      <c r="J174" s="141" t="n"/>
      <c r="K174" s="141" t="n"/>
      <c r="L174" s="141" t="n"/>
      <c r="M174" s="142" t="n"/>
      <c r="N174" s="146">
        <f>IF(AND(AND(F174="",G174=""),B174="",C174="",D174="",J174="",K174="",L174=""),"",IF(AND(F174="",G174=""),"✗ 没填金额",IF(AND(N(F174)&lt;&gt;0,N(G174)&lt;&gt;0),"✗ 收入、支出只能填一边",IF(NOT(ISNUMBER(B174)),"✗ 日期不是真日期（要像 2026/9/25 这样填）",IF(OR(B174&lt;年初日,B174&gt;年末日),"✗ 日期不在本会计年度",IF(C174="","✗ 没选账户",IF(COUNTIF(基础资料!$W$5:$W$24,C174)=0,"✗ 账户不在基础资料里",IF(O174="","✗ 没选收支项目",IF(P174="未知","✗ 收支项目不在基础资料里",IF(AND(P174="应收",J174=""),"✗ 这笔要选客户",IF(AND(P174="应收",COUNTIF(总览汇总!$B$5:$B$304,J174)=0),"✗ 客户不在总览汇总名单里",IF(AND(P174="应付",K174=""),"✗ 这笔要选供应商",IF(AND(P174="应付",COUNTIF(基础资料!$Q$5:$Q$54,K174)=0),"✗ 供应商不在基础资料里",IF(AND(P174="费用",L174=""),"✗ 费用支出要选费用项目",IF(AND(L174&lt;&gt;"",COUNTIF(基础资料!$AI$5:$AI$54,L174)=0),"✗ 费用项目不在基础资料里",IF(AND(IFERROR(INDEX(基础资料!$AD$5:$AD$34,MATCH(O174,基础资料!$AC$5:$AC$34,0)),"")="收",N(G174)&lt;&gt;0),"✗ 这类是收款，金额填到收入列",IF(AND(IFERROR(INDEX(基础资料!$AD$5:$AD$34,MATCH(O174,基础资料!$AC$5:$AC$34,0)),"")="支",N(F174)&lt;&gt;0),"✗ 这类是付款，金额填到支出列",IF(N(H174)&lt;0,"⚠ 账户余额成负数了，核对一下","√"))))))))))))))))))</f>
      </c>
      <c r="O174" s="78">
        <f>IF(D174&lt;&gt;"",D174,IF(AND(F174="",G174=""),"",IF(J174&lt;&gt;"",IF(N(F174)&gt;0,"客户回款","客户退款"),IF(K174&lt;&gt;"",IF(N(G174)&gt;0,"供应商付款","供应商退款"),IF(L174&lt;&gt;"","费用支出","")))))</f>
      </c>
      <c r="P174" s="78">
        <f>IF(O174="","",IFERROR(INDEX(基础资料!$AE$5:$AE$34,MATCH(O174,基础资料!$AC$5:$AC$34,0)),"未知"))</f>
      </c>
      <c r="Q174" s="78">
        <f>IF(P174="应收",COUNTIF(P$7:P174,"应收"),"")</f>
      </c>
      <c r="R174" s="78">
        <f>IF(P174="应付",COUNTIF(P$7:P174,"应付"),"")</f>
      </c>
      <c r="S174" s="78">
        <f>N(F174)-N(G174)</f>
        <v>0</v>
      </c>
    </row>
    <row r="175">
      <c r="A175" s="109">
        <f>IF(AND(F175="",G175=""),"",ROW()-6)</f>
      </c>
      <c r="B175" s="140" t="n"/>
      <c r="C175" s="141" t="n"/>
      <c r="D175" s="141" t="n"/>
      <c r="E175" s="142" t="n"/>
      <c r="F175" s="143" t="n"/>
      <c r="G175" s="144" t="n"/>
      <c r="H175" s="145">
        <f>IF(OR(C175="",AND(F175="",G175="")),"",SUMIF(基础资料!$W$5:$W$24,C175,基础资料!$X$5:$X$24)+SUMIF(C$7:C175,C175,F$7:F175)-SUMIF(C$7:C175,C175,G$7:G175))</f>
      </c>
      <c r="I175" s="145">
        <f>IF(AND(F175="",G175=""),"",SUM(基础资料!$X$5:$X$24)+SUM(F$7:F175)-SUM(G$7:G175))</f>
      </c>
      <c r="J175" s="141" t="n"/>
      <c r="K175" s="141" t="n"/>
      <c r="L175" s="141" t="n"/>
      <c r="M175" s="142" t="n"/>
      <c r="N175" s="146">
        <f>IF(AND(AND(F175="",G175=""),B175="",C175="",D175="",J175="",K175="",L175=""),"",IF(AND(F175="",G175=""),"✗ 没填金额",IF(AND(N(F175)&lt;&gt;0,N(G175)&lt;&gt;0),"✗ 收入、支出只能填一边",IF(NOT(ISNUMBER(B175)),"✗ 日期不是真日期（要像 2026/9/25 这样填）",IF(OR(B175&lt;年初日,B175&gt;年末日),"✗ 日期不在本会计年度",IF(C175="","✗ 没选账户",IF(COUNTIF(基础资料!$W$5:$W$24,C175)=0,"✗ 账户不在基础资料里",IF(O175="","✗ 没选收支项目",IF(P175="未知","✗ 收支项目不在基础资料里",IF(AND(P175="应收",J175=""),"✗ 这笔要选客户",IF(AND(P175="应收",COUNTIF(总览汇总!$B$5:$B$304,J175)=0),"✗ 客户不在总览汇总名单里",IF(AND(P175="应付",K175=""),"✗ 这笔要选供应商",IF(AND(P175="应付",COUNTIF(基础资料!$Q$5:$Q$54,K175)=0),"✗ 供应商不在基础资料里",IF(AND(P175="费用",L175=""),"✗ 费用支出要选费用项目",IF(AND(L175&lt;&gt;"",COUNTIF(基础资料!$AI$5:$AI$54,L175)=0),"✗ 费用项目不在基础资料里",IF(AND(IFERROR(INDEX(基础资料!$AD$5:$AD$34,MATCH(O175,基础资料!$AC$5:$AC$34,0)),"")="收",N(G175)&lt;&gt;0),"✗ 这类是收款，金额填到收入列",IF(AND(IFERROR(INDEX(基础资料!$AD$5:$AD$34,MATCH(O175,基础资料!$AC$5:$AC$34,0)),"")="支",N(F175)&lt;&gt;0),"✗ 这类是付款，金额填到支出列",IF(N(H175)&lt;0,"⚠ 账户余额成负数了，核对一下","√"))))))))))))))))))</f>
      </c>
      <c r="O175" s="78">
        <f>IF(D175&lt;&gt;"",D175,IF(AND(F175="",G175=""),"",IF(J175&lt;&gt;"",IF(N(F175)&gt;0,"客户回款","客户退款"),IF(K175&lt;&gt;"",IF(N(G175)&gt;0,"供应商付款","供应商退款"),IF(L175&lt;&gt;"","费用支出","")))))</f>
      </c>
      <c r="P175" s="78">
        <f>IF(O175="","",IFERROR(INDEX(基础资料!$AE$5:$AE$34,MATCH(O175,基础资料!$AC$5:$AC$34,0)),"未知"))</f>
      </c>
      <c r="Q175" s="78">
        <f>IF(P175="应收",COUNTIF(P$7:P175,"应收"),"")</f>
      </c>
      <c r="R175" s="78">
        <f>IF(P175="应付",COUNTIF(P$7:P175,"应付"),"")</f>
      </c>
      <c r="S175" s="78">
        <f>N(F175)-N(G175)</f>
        <v>0</v>
      </c>
    </row>
    <row r="176">
      <c r="A176" s="109">
        <f>IF(AND(F176="",G176=""),"",ROW()-6)</f>
      </c>
      <c r="B176" s="140" t="n"/>
      <c r="C176" s="141" t="n"/>
      <c r="D176" s="141" t="n"/>
      <c r="E176" s="142" t="n"/>
      <c r="F176" s="143" t="n"/>
      <c r="G176" s="144" t="n"/>
      <c r="H176" s="145">
        <f>IF(OR(C176="",AND(F176="",G176="")),"",SUMIF(基础资料!$W$5:$W$24,C176,基础资料!$X$5:$X$24)+SUMIF(C$7:C176,C176,F$7:F176)-SUMIF(C$7:C176,C176,G$7:G176))</f>
      </c>
      <c r="I176" s="145">
        <f>IF(AND(F176="",G176=""),"",SUM(基础资料!$X$5:$X$24)+SUM(F$7:F176)-SUM(G$7:G176))</f>
      </c>
      <c r="J176" s="141" t="n"/>
      <c r="K176" s="141" t="n"/>
      <c r="L176" s="141" t="n"/>
      <c r="M176" s="142" t="n"/>
      <c r="N176" s="146">
        <f>IF(AND(AND(F176="",G176=""),B176="",C176="",D176="",J176="",K176="",L176=""),"",IF(AND(F176="",G176=""),"✗ 没填金额",IF(AND(N(F176)&lt;&gt;0,N(G176)&lt;&gt;0),"✗ 收入、支出只能填一边",IF(NOT(ISNUMBER(B176)),"✗ 日期不是真日期（要像 2026/9/25 这样填）",IF(OR(B176&lt;年初日,B176&gt;年末日),"✗ 日期不在本会计年度",IF(C176="","✗ 没选账户",IF(COUNTIF(基础资料!$W$5:$W$24,C176)=0,"✗ 账户不在基础资料里",IF(O176="","✗ 没选收支项目",IF(P176="未知","✗ 收支项目不在基础资料里",IF(AND(P176="应收",J176=""),"✗ 这笔要选客户",IF(AND(P176="应收",COUNTIF(总览汇总!$B$5:$B$304,J176)=0),"✗ 客户不在总览汇总名单里",IF(AND(P176="应付",K176=""),"✗ 这笔要选供应商",IF(AND(P176="应付",COUNTIF(基础资料!$Q$5:$Q$54,K176)=0),"✗ 供应商不在基础资料里",IF(AND(P176="费用",L176=""),"✗ 费用支出要选费用项目",IF(AND(L176&lt;&gt;"",COUNTIF(基础资料!$AI$5:$AI$54,L176)=0),"✗ 费用项目不在基础资料里",IF(AND(IFERROR(INDEX(基础资料!$AD$5:$AD$34,MATCH(O176,基础资料!$AC$5:$AC$34,0)),"")="收",N(G176)&lt;&gt;0),"✗ 这类是收款，金额填到收入列",IF(AND(IFERROR(INDEX(基础资料!$AD$5:$AD$34,MATCH(O176,基础资料!$AC$5:$AC$34,0)),"")="支",N(F176)&lt;&gt;0),"✗ 这类是付款，金额填到支出列",IF(N(H176)&lt;0,"⚠ 账户余额成负数了，核对一下","√"))))))))))))))))))</f>
      </c>
      <c r="O176" s="78">
        <f>IF(D176&lt;&gt;"",D176,IF(AND(F176="",G176=""),"",IF(J176&lt;&gt;"",IF(N(F176)&gt;0,"客户回款","客户退款"),IF(K176&lt;&gt;"",IF(N(G176)&gt;0,"供应商付款","供应商退款"),IF(L176&lt;&gt;"","费用支出","")))))</f>
      </c>
      <c r="P176" s="78">
        <f>IF(O176="","",IFERROR(INDEX(基础资料!$AE$5:$AE$34,MATCH(O176,基础资料!$AC$5:$AC$34,0)),"未知"))</f>
      </c>
      <c r="Q176" s="78">
        <f>IF(P176="应收",COUNTIF(P$7:P176,"应收"),"")</f>
      </c>
      <c r="R176" s="78">
        <f>IF(P176="应付",COUNTIF(P$7:P176,"应付"),"")</f>
      </c>
      <c r="S176" s="78">
        <f>N(F176)-N(G176)</f>
        <v>0</v>
      </c>
    </row>
    <row r="177">
      <c r="A177" s="109">
        <f>IF(AND(F177="",G177=""),"",ROW()-6)</f>
      </c>
      <c r="B177" s="140" t="n"/>
      <c r="C177" s="141" t="n"/>
      <c r="D177" s="141" t="n"/>
      <c r="E177" s="142" t="n"/>
      <c r="F177" s="143" t="n"/>
      <c r="G177" s="144" t="n"/>
      <c r="H177" s="145">
        <f>IF(OR(C177="",AND(F177="",G177="")),"",SUMIF(基础资料!$W$5:$W$24,C177,基础资料!$X$5:$X$24)+SUMIF(C$7:C177,C177,F$7:F177)-SUMIF(C$7:C177,C177,G$7:G177))</f>
      </c>
      <c r="I177" s="145">
        <f>IF(AND(F177="",G177=""),"",SUM(基础资料!$X$5:$X$24)+SUM(F$7:F177)-SUM(G$7:G177))</f>
      </c>
      <c r="J177" s="141" t="n"/>
      <c r="K177" s="141" t="n"/>
      <c r="L177" s="141" t="n"/>
      <c r="M177" s="142" t="n"/>
      <c r="N177" s="146">
        <f>IF(AND(AND(F177="",G177=""),B177="",C177="",D177="",J177="",K177="",L177=""),"",IF(AND(F177="",G177=""),"✗ 没填金额",IF(AND(N(F177)&lt;&gt;0,N(G177)&lt;&gt;0),"✗ 收入、支出只能填一边",IF(NOT(ISNUMBER(B177)),"✗ 日期不是真日期（要像 2026/9/25 这样填）",IF(OR(B177&lt;年初日,B177&gt;年末日),"✗ 日期不在本会计年度",IF(C177="","✗ 没选账户",IF(COUNTIF(基础资料!$W$5:$W$24,C177)=0,"✗ 账户不在基础资料里",IF(O177="","✗ 没选收支项目",IF(P177="未知","✗ 收支项目不在基础资料里",IF(AND(P177="应收",J177=""),"✗ 这笔要选客户",IF(AND(P177="应收",COUNTIF(总览汇总!$B$5:$B$304,J177)=0),"✗ 客户不在总览汇总名单里",IF(AND(P177="应付",K177=""),"✗ 这笔要选供应商",IF(AND(P177="应付",COUNTIF(基础资料!$Q$5:$Q$54,K177)=0),"✗ 供应商不在基础资料里",IF(AND(P177="费用",L177=""),"✗ 费用支出要选费用项目",IF(AND(L177&lt;&gt;"",COUNTIF(基础资料!$AI$5:$AI$54,L177)=0),"✗ 费用项目不在基础资料里",IF(AND(IFERROR(INDEX(基础资料!$AD$5:$AD$34,MATCH(O177,基础资料!$AC$5:$AC$34,0)),"")="收",N(G177)&lt;&gt;0),"✗ 这类是收款，金额填到收入列",IF(AND(IFERROR(INDEX(基础资料!$AD$5:$AD$34,MATCH(O177,基础资料!$AC$5:$AC$34,0)),"")="支",N(F177)&lt;&gt;0),"✗ 这类是付款，金额填到支出列",IF(N(H177)&lt;0,"⚠ 账户余额成负数了，核对一下","√"))))))))))))))))))</f>
      </c>
      <c r="O177" s="78">
        <f>IF(D177&lt;&gt;"",D177,IF(AND(F177="",G177=""),"",IF(J177&lt;&gt;"",IF(N(F177)&gt;0,"客户回款","客户退款"),IF(K177&lt;&gt;"",IF(N(G177)&gt;0,"供应商付款","供应商退款"),IF(L177&lt;&gt;"","费用支出","")))))</f>
      </c>
      <c r="P177" s="78">
        <f>IF(O177="","",IFERROR(INDEX(基础资料!$AE$5:$AE$34,MATCH(O177,基础资料!$AC$5:$AC$34,0)),"未知"))</f>
      </c>
      <c r="Q177" s="78">
        <f>IF(P177="应收",COUNTIF(P$7:P177,"应收"),"")</f>
      </c>
      <c r="R177" s="78">
        <f>IF(P177="应付",COUNTIF(P$7:P177,"应付"),"")</f>
      </c>
      <c r="S177" s="78">
        <f>N(F177)-N(G177)</f>
        <v>0</v>
      </c>
    </row>
    <row r="178">
      <c r="A178" s="109">
        <f>IF(AND(F178="",G178=""),"",ROW()-6)</f>
      </c>
      <c r="B178" s="140" t="n"/>
      <c r="C178" s="141" t="n"/>
      <c r="D178" s="141" t="n"/>
      <c r="E178" s="142" t="n"/>
      <c r="F178" s="143" t="n"/>
      <c r="G178" s="144" t="n"/>
      <c r="H178" s="145">
        <f>IF(OR(C178="",AND(F178="",G178="")),"",SUMIF(基础资料!$W$5:$W$24,C178,基础资料!$X$5:$X$24)+SUMIF(C$7:C178,C178,F$7:F178)-SUMIF(C$7:C178,C178,G$7:G178))</f>
      </c>
      <c r="I178" s="145">
        <f>IF(AND(F178="",G178=""),"",SUM(基础资料!$X$5:$X$24)+SUM(F$7:F178)-SUM(G$7:G178))</f>
      </c>
      <c r="J178" s="141" t="n"/>
      <c r="K178" s="141" t="n"/>
      <c r="L178" s="141" t="n"/>
      <c r="M178" s="142" t="n"/>
      <c r="N178" s="146">
        <f>IF(AND(AND(F178="",G178=""),B178="",C178="",D178="",J178="",K178="",L178=""),"",IF(AND(F178="",G178=""),"✗ 没填金额",IF(AND(N(F178)&lt;&gt;0,N(G178)&lt;&gt;0),"✗ 收入、支出只能填一边",IF(NOT(ISNUMBER(B178)),"✗ 日期不是真日期（要像 2026/9/25 这样填）",IF(OR(B178&lt;年初日,B178&gt;年末日),"✗ 日期不在本会计年度",IF(C178="","✗ 没选账户",IF(COUNTIF(基础资料!$W$5:$W$24,C178)=0,"✗ 账户不在基础资料里",IF(O178="","✗ 没选收支项目",IF(P178="未知","✗ 收支项目不在基础资料里",IF(AND(P178="应收",J178=""),"✗ 这笔要选客户",IF(AND(P178="应收",COUNTIF(总览汇总!$B$5:$B$304,J178)=0),"✗ 客户不在总览汇总名单里",IF(AND(P178="应付",K178=""),"✗ 这笔要选供应商",IF(AND(P178="应付",COUNTIF(基础资料!$Q$5:$Q$54,K178)=0),"✗ 供应商不在基础资料里",IF(AND(P178="费用",L178=""),"✗ 费用支出要选费用项目",IF(AND(L178&lt;&gt;"",COUNTIF(基础资料!$AI$5:$AI$54,L178)=0),"✗ 费用项目不在基础资料里",IF(AND(IFERROR(INDEX(基础资料!$AD$5:$AD$34,MATCH(O178,基础资料!$AC$5:$AC$34,0)),"")="收",N(G178)&lt;&gt;0),"✗ 这类是收款，金额填到收入列",IF(AND(IFERROR(INDEX(基础资料!$AD$5:$AD$34,MATCH(O178,基础资料!$AC$5:$AC$34,0)),"")="支",N(F178)&lt;&gt;0),"✗ 这类是付款，金额填到支出列",IF(N(H178)&lt;0,"⚠ 账户余额成负数了，核对一下","√"))))))))))))))))))</f>
      </c>
      <c r="O178" s="78">
        <f>IF(D178&lt;&gt;"",D178,IF(AND(F178="",G178=""),"",IF(J178&lt;&gt;"",IF(N(F178)&gt;0,"客户回款","客户退款"),IF(K178&lt;&gt;"",IF(N(G178)&gt;0,"供应商付款","供应商退款"),IF(L178&lt;&gt;"","费用支出","")))))</f>
      </c>
      <c r="P178" s="78">
        <f>IF(O178="","",IFERROR(INDEX(基础资料!$AE$5:$AE$34,MATCH(O178,基础资料!$AC$5:$AC$34,0)),"未知"))</f>
      </c>
      <c r="Q178" s="78">
        <f>IF(P178="应收",COUNTIF(P$7:P178,"应收"),"")</f>
      </c>
      <c r="R178" s="78">
        <f>IF(P178="应付",COUNTIF(P$7:P178,"应付"),"")</f>
      </c>
      <c r="S178" s="78">
        <f>N(F178)-N(G178)</f>
        <v>0</v>
      </c>
    </row>
    <row r="179">
      <c r="A179" s="109">
        <f>IF(AND(F179="",G179=""),"",ROW()-6)</f>
      </c>
      <c r="B179" s="140" t="n"/>
      <c r="C179" s="141" t="n"/>
      <c r="D179" s="141" t="n"/>
      <c r="E179" s="142" t="n"/>
      <c r="F179" s="143" t="n"/>
      <c r="G179" s="144" t="n"/>
      <c r="H179" s="145">
        <f>IF(OR(C179="",AND(F179="",G179="")),"",SUMIF(基础资料!$W$5:$W$24,C179,基础资料!$X$5:$X$24)+SUMIF(C$7:C179,C179,F$7:F179)-SUMIF(C$7:C179,C179,G$7:G179))</f>
      </c>
      <c r="I179" s="145">
        <f>IF(AND(F179="",G179=""),"",SUM(基础资料!$X$5:$X$24)+SUM(F$7:F179)-SUM(G$7:G179))</f>
      </c>
      <c r="J179" s="141" t="n"/>
      <c r="K179" s="141" t="n"/>
      <c r="L179" s="141" t="n"/>
      <c r="M179" s="142" t="n"/>
      <c r="N179" s="146">
        <f>IF(AND(AND(F179="",G179=""),B179="",C179="",D179="",J179="",K179="",L179=""),"",IF(AND(F179="",G179=""),"✗ 没填金额",IF(AND(N(F179)&lt;&gt;0,N(G179)&lt;&gt;0),"✗ 收入、支出只能填一边",IF(NOT(ISNUMBER(B179)),"✗ 日期不是真日期（要像 2026/9/25 这样填）",IF(OR(B179&lt;年初日,B179&gt;年末日),"✗ 日期不在本会计年度",IF(C179="","✗ 没选账户",IF(COUNTIF(基础资料!$W$5:$W$24,C179)=0,"✗ 账户不在基础资料里",IF(O179="","✗ 没选收支项目",IF(P179="未知","✗ 收支项目不在基础资料里",IF(AND(P179="应收",J179=""),"✗ 这笔要选客户",IF(AND(P179="应收",COUNTIF(总览汇总!$B$5:$B$304,J179)=0),"✗ 客户不在总览汇总名单里",IF(AND(P179="应付",K179=""),"✗ 这笔要选供应商",IF(AND(P179="应付",COUNTIF(基础资料!$Q$5:$Q$54,K179)=0),"✗ 供应商不在基础资料里",IF(AND(P179="费用",L179=""),"✗ 费用支出要选费用项目",IF(AND(L179&lt;&gt;"",COUNTIF(基础资料!$AI$5:$AI$54,L179)=0),"✗ 费用项目不在基础资料里",IF(AND(IFERROR(INDEX(基础资料!$AD$5:$AD$34,MATCH(O179,基础资料!$AC$5:$AC$34,0)),"")="收",N(G179)&lt;&gt;0),"✗ 这类是收款，金额填到收入列",IF(AND(IFERROR(INDEX(基础资料!$AD$5:$AD$34,MATCH(O179,基础资料!$AC$5:$AC$34,0)),"")="支",N(F179)&lt;&gt;0),"✗ 这类是付款，金额填到支出列",IF(N(H179)&lt;0,"⚠ 账户余额成负数了，核对一下","√"))))))))))))))))))</f>
      </c>
      <c r="O179" s="78">
        <f>IF(D179&lt;&gt;"",D179,IF(AND(F179="",G179=""),"",IF(J179&lt;&gt;"",IF(N(F179)&gt;0,"客户回款","客户退款"),IF(K179&lt;&gt;"",IF(N(G179)&gt;0,"供应商付款","供应商退款"),IF(L179&lt;&gt;"","费用支出","")))))</f>
      </c>
      <c r="P179" s="78">
        <f>IF(O179="","",IFERROR(INDEX(基础资料!$AE$5:$AE$34,MATCH(O179,基础资料!$AC$5:$AC$34,0)),"未知"))</f>
      </c>
      <c r="Q179" s="78">
        <f>IF(P179="应收",COUNTIF(P$7:P179,"应收"),"")</f>
      </c>
      <c r="R179" s="78">
        <f>IF(P179="应付",COUNTIF(P$7:P179,"应付"),"")</f>
      </c>
      <c r="S179" s="78">
        <f>N(F179)-N(G179)</f>
        <v>0</v>
      </c>
    </row>
    <row r="180">
      <c r="A180" s="109">
        <f>IF(AND(F180="",G180=""),"",ROW()-6)</f>
      </c>
      <c r="B180" s="140" t="n"/>
      <c r="C180" s="141" t="n"/>
      <c r="D180" s="141" t="n"/>
      <c r="E180" s="142" t="n"/>
      <c r="F180" s="143" t="n"/>
      <c r="G180" s="144" t="n"/>
      <c r="H180" s="145">
        <f>IF(OR(C180="",AND(F180="",G180="")),"",SUMIF(基础资料!$W$5:$W$24,C180,基础资料!$X$5:$X$24)+SUMIF(C$7:C180,C180,F$7:F180)-SUMIF(C$7:C180,C180,G$7:G180))</f>
      </c>
      <c r="I180" s="145">
        <f>IF(AND(F180="",G180=""),"",SUM(基础资料!$X$5:$X$24)+SUM(F$7:F180)-SUM(G$7:G180))</f>
      </c>
      <c r="J180" s="141" t="n"/>
      <c r="K180" s="141" t="n"/>
      <c r="L180" s="141" t="n"/>
      <c r="M180" s="142" t="n"/>
      <c r="N180" s="146">
        <f>IF(AND(AND(F180="",G180=""),B180="",C180="",D180="",J180="",K180="",L180=""),"",IF(AND(F180="",G180=""),"✗ 没填金额",IF(AND(N(F180)&lt;&gt;0,N(G180)&lt;&gt;0),"✗ 收入、支出只能填一边",IF(NOT(ISNUMBER(B180)),"✗ 日期不是真日期（要像 2026/9/25 这样填）",IF(OR(B180&lt;年初日,B180&gt;年末日),"✗ 日期不在本会计年度",IF(C180="","✗ 没选账户",IF(COUNTIF(基础资料!$W$5:$W$24,C180)=0,"✗ 账户不在基础资料里",IF(O180="","✗ 没选收支项目",IF(P180="未知","✗ 收支项目不在基础资料里",IF(AND(P180="应收",J180=""),"✗ 这笔要选客户",IF(AND(P180="应收",COUNTIF(总览汇总!$B$5:$B$304,J180)=0),"✗ 客户不在总览汇总名单里",IF(AND(P180="应付",K180=""),"✗ 这笔要选供应商",IF(AND(P180="应付",COUNTIF(基础资料!$Q$5:$Q$54,K180)=0),"✗ 供应商不在基础资料里",IF(AND(P180="费用",L180=""),"✗ 费用支出要选费用项目",IF(AND(L180&lt;&gt;"",COUNTIF(基础资料!$AI$5:$AI$54,L180)=0),"✗ 费用项目不在基础资料里",IF(AND(IFERROR(INDEX(基础资料!$AD$5:$AD$34,MATCH(O180,基础资料!$AC$5:$AC$34,0)),"")="收",N(G180)&lt;&gt;0),"✗ 这类是收款，金额填到收入列",IF(AND(IFERROR(INDEX(基础资料!$AD$5:$AD$34,MATCH(O180,基础资料!$AC$5:$AC$34,0)),"")="支",N(F180)&lt;&gt;0),"✗ 这类是付款，金额填到支出列",IF(N(H180)&lt;0,"⚠ 账户余额成负数了，核对一下","√"))))))))))))))))))</f>
      </c>
      <c r="O180" s="78">
        <f>IF(D180&lt;&gt;"",D180,IF(AND(F180="",G180=""),"",IF(J180&lt;&gt;"",IF(N(F180)&gt;0,"客户回款","客户退款"),IF(K180&lt;&gt;"",IF(N(G180)&gt;0,"供应商付款","供应商退款"),IF(L180&lt;&gt;"","费用支出","")))))</f>
      </c>
      <c r="P180" s="78">
        <f>IF(O180="","",IFERROR(INDEX(基础资料!$AE$5:$AE$34,MATCH(O180,基础资料!$AC$5:$AC$34,0)),"未知"))</f>
      </c>
      <c r="Q180" s="78">
        <f>IF(P180="应收",COUNTIF(P$7:P180,"应收"),"")</f>
      </c>
      <c r="R180" s="78">
        <f>IF(P180="应付",COUNTIF(P$7:P180,"应付"),"")</f>
      </c>
      <c r="S180" s="78">
        <f>N(F180)-N(G180)</f>
        <v>0</v>
      </c>
    </row>
    <row r="181">
      <c r="A181" s="109">
        <f>IF(AND(F181="",G181=""),"",ROW()-6)</f>
      </c>
      <c r="B181" s="140" t="n"/>
      <c r="C181" s="141" t="n"/>
      <c r="D181" s="141" t="n"/>
      <c r="E181" s="142" t="n"/>
      <c r="F181" s="143" t="n"/>
      <c r="G181" s="144" t="n"/>
      <c r="H181" s="145">
        <f>IF(OR(C181="",AND(F181="",G181="")),"",SUMIF(基础资料!$W$5:$W$24,C181,基础资料!$X$5:$X$24)+SUMIF(C$7:C181,C181,F$7:F181)-SUMIF(C$7:C181,C181,G$7:G181))</f>
      </c>
      <c r="I181" s="145">
        <f>IF(AND(F181="",G181=""),"",SUM(基础资料!$X$5:$X$24)+SUM(F$7:F181)-SUM(G$7:G181))</f>
      </c>
      <c r="J181" s="141" t="n"/>
      <c r="K181" s="141" t="n"/>
      <c r="L181" s="141" t="n"/>
      <c r="M181" s="142" t="n"/>
      <c r="N181" s="146">
        <f>IF(AND(AND(F181="",G181=""),B181="",C181="",D181="",J181="",K181="",L181=""),"",IF(AND(F181="",G181=""),"✗ 没填金额",IF(AND(N(F181)&lt;&gt;0,N(G181)&lt;&gt;0),"✗ 收入、支出只能填一边",IF(NOT(ISNUMBER(B181)),"✗ 日期不是真日期（要像 2026/9/25 这样填）",IF(OR(B181&lt;年初日,B181&gt;年末日),"✗ 日期不在本会计年度",IF(C181="","✗ 没选账户",IF(COUNTIF(基础资料!$W$5:$W$24,C181)=0,"✗ 账户不在基础资料里",IF(O181="","✗ 没选收支项目",IF(P181="未知","✗ 收支项目不在基础资料里",IF(AND(P181="应收",J181=""),"✗ 这笔要选客户",IF(AND(P181="应收",COUNTIF(总览汇总!$B$5:$B$304,J181)=0),"✗ 客户不在总览汇总名单里",IF(AND(P181="应付",K181=""),"✗ 这笔要选供应商",IF(AND(P181="应付",COUNTIF(基础资料!$Q$5:$Q$54,K181)=0),"✗ 供应商不在基础资料里",IF(AND(P181="费用",L181=""),"✗ 费用支出要选费用项目",IF(AND(L181&lt;&gt;"",COUNTIF(基础资料!$AI$5:$AI$54,L181)=0),"✗ 费用项目不在基础资料里",IF(AND(IFERROR(INDEX(基础资料!$AD$5:$AD$34,MATCH(O181,基础资料!$AC$5:$AC$34,0)),"")="收",N(G181)&lt;&gt;0),"✗ 这类是收款，金额填到收入列",IF(AND(IFERROR(INDEX(基础资料!$AD$5:$AD$34,MATCH(O181,基础资料!$AC$5:$AC$34,0)),"")="支",N(F181)&lt;&gt;0),"✗ 这类是付款，金额填到支出列",IF(N(H181)&lt;0,"⚠ 账户余额成负数了，核对一下","√"))))))))))))))))))</f>
      </c>
      <c r="O181" s="78">
        <f>IF(D181&lt;&gt;"",D181,IF(AND(F181="",G181=""),"",IF(J181&lt;&gt;"",IF(N(F181)&gt;0,"客户回款","客户退款"),IF(K181&lt;&gt;"",IF(N(G181)&gt;0,"供应商付款","供应商退款"),IF(L181&lt;&gt;"","费用支出","")))))</f>
      </c>
      <c r="P181" s="78">
        <f>IF(O181="","",IFERROR(INDEX(基础资料!$AE$5:$AE$34,MATCH(O181,基础资料!$AC$5:$AC$34,0)),"未知"))</f>
      </c>
      <c r="Q181" s="78">
        <f>IF(P181="应收",COUNTIF(P$7:P181,"应收"),"")</f>
      </c>
      <c r="R181" s="78">
        <f>IF(P181="应付",COUNTIF(P$7:P181,"应付"),"")</f>
      </c>
      <c r="S181" s="78">
        <f>N(F181)-N(G181)</f>
        <v>0</v>
      </c>
    </row>
    <row r="182">
      <c r="A182" s="109">
        <f>IF(AND(F182="",G182=""),"",ROW()-6)</f>
      </c>
      <c r="B182" s="140" t="n"/>
      <c r="C182" s="141" t="n"/>
      <c r="D182" s="141" t="n"/>
      <c r="E182" s="142" t="n"/>
      <c r="F182" s="143" t="n"/>
      <c r="G182" s="144" t="n"/>
      <c r="H182" s="145">
        <f>IF(OR(C182="",AND(F182="",G182="")),"",SUMIF(基础资料!$W$5:$W$24,C182,基础资料!$X$5:$X$24)+SUMIF(C$7:C182,C182,F$7:F182)-SUMIF(C$7:C182,C182,G$7:G182))</f>
      </c>
      <c r="I182" s="145">
        <f>IF(AND(F182="",G182=""),"",SUM(基础资料!$X$5:$X$24)+SUM(F$7:F182)-SUM(G$7:G182))</f>
      </c>
      <c r="J182" s="141" t="n"/>
      <c r="K182" s="141" t="n"/>
      <c r="L182" s="141" t="n"/>
      <c r="M182" s="142" t="n"/>
      <c r="N182" s="146">
        <f>IF(AND(AND(F182="",G182=""),B182="",C182="",D182="",J182="",K182="",L182=""),"",IF(AND(F182="",G182=""),"✗ 没填金额",IF(AND(N(F182)&lt;&gt;0,N(G182)&lt;&gt;0),"✗ 收入、支出只能填一边",IF(NOT(ISNUMBER(B182)),"✗ 日期不是真日期（要像 2026/9/25 这样填）",IF(OR(B182&lt;年初日,B182&gt;年末日),"✗ 日期不在本会计年度",IF(C182="","✗ 没选账户",IF(COUNTIF(基础资料!$W$5:$W$24,C182)=0,"✗ 账户不在基础资料里",IF(O182="","✗ 没选收支项目",IF(P182="未知","✗ 收支项目不在基础资料里",IF(AND(P182="应收",J182=""),"✗ 这笔要选客户",IF(AND(P182="应收",COUNTIF(总览汇总!$B$5:$B$304,J182)=0),"✗ 客户不在总览汇总名单里",IF(AND(P182="应付",K182=""),"✗ 这笔要选供应商",IF(AND(P182="应付",COUNTIF(基础资料!$Q$5:$Q$54,K182)=0),"✗ 供应商不在基础资料里",IF(AND(P182="费用",L182=""),"✗ 费用支出要选费用项目",IF(AND(L182&lt;&gt;"",COUNTIF(基础资料!$AI$5:$AI$54,L182)=0),"✗ 费用项目不在基础资料里",IF(AND(IFERROR(INDEX(基础资料!$AD$5:$AD$34,MATCH(O182,基础资料!$AC$5:$AC$34,0)),"")="收",N(G182)&lt;&gt;0),"✗ 这类是收款，金额填到收入列",IF(AND(IFERROR(INDEX(基础资料!$AD$5:$AD$34,MATCH(O182,基础资料!$AC$5:$AC$34,0)),"")="支",N(F182)&lt;&gt;0),"✗ 这类是付款，金额填到支出列",IF(N(H182)&lt;0,"⚠ 账户余额成负数了，核对一下","√"))))))))))))))))))</f>
      </c>
      <c r="O182" s="78">
        <f>IF(D182&lt;&gt;"",D182,IF(AND(F182="",G182=""),"",IF(J182&lt;&gt;"",IF(N(F182)&gt;0,"客户回款","客户退款"),IF(K182&lt;&gt;"",IF(N(G182)&gt;0,"供应商付款","供应商退款"),IF(L182&lt;&gt;"","费用支出","")))))</f>
      </c>
      <c r="P182" s="78">
        <f>IF(O182="","",IFERROR(INDEX(基础资料!$AE$5:$AE$34,MATCH(O182,基础资料!$AC$5:$AC$34,0)),"未知"))</f>
      </c>
      <c r="Q182" s="78">
        <f>IF(P182="应收",COUNTIF(P$7:P182,"应收"),"")</f>
      </c>
      <c r="R182" s="78">
        <f>IF(P182="应付",COUNTIF(P$7:P182,"应付"),"")</f>
      </c>
      <c r="S182" s="78">
        <f>N(F182)-N(G182)</f>
        <v>0</v>
      </c>
    </row>
    <row r="183">
      <c r="A183" s="109">
        <f>IF(AND(F183="",G183=""),"",ROW()-6)</f>
      </c>
      <c r="B183" s="140" t="n"/>
      <c r="C183" s="141" t="n"/>
      <c r="D183" s="141" t="n"/>
      <c r="E183" s="142" t="n"/>
      <c r="F183" s="143" t="n"/>
      <c r="G183" s="144" t="n"/>
      <c r="H183" s="145">
        <f>IF(OR(C183="",AND(F183="",G183="")),"",SUMIF(基础资料!$W$5:$W$24,C183,基础资料!$X$5:$X$24)+SUMIF(C$7:C183,C183,F$7:F183)-SUMIF(C$7:C183,C183,G$7:G183))</f>
      </c>
      <c r="I183" s="145">
        <f>IF(AND(F183="",G183=""),"",SUM(基础资料!$X$5:$X$24)+SUM(F$7:F183)-SUM(G$7:G183))</f>
      </c>
      <c r="J183" s="141" t="n"/>
      <c r="K183" s="141" t="n"/>
      <c r="L183" s="141" t="n"/>
      <c r="M183" s="142" t="n"/>
      <c r="N183" s="146">
        <f>IF(AND(AND(F183="",G183=""),B183="",C183="",D183="",J183="",K183="",L183=""),"",IF(AND(F183="",G183=""),"✗ 没填金额",IF(AND(N(F183)&lt;&gt;0,N(G183)&lt;&gt;0),"✗ 收入、支出只能填一边",IF(NOT(ISNUMBER(B183)),"✗ 日期不是真日期（要像 2026/9/25 这样填）",IF(OR(B183&lt;年初日,B183&gt;年末日),"✗ 日期不在本会计年度",IF(C183="","✗ 没选账户",IF(COUNTIF(基础资料!$W$5:$W$24,C183)=0,"✗ 账户不在基础资料里",IF(O183="","✗ 没选收支项目",IF(P183="未知","✗ 收支项目不在基础资料里",IF(AND(P183="应收",J183=""),"✗ 这笔要选客户",IF(AND(P183="应收",COUNTIF(总览汇总!$B$5:$B$304,J183)=0),"✗ 客户不在总览汇总名单里",IF(AND(P183="应付",K183=""),"✗ 这笔要选供应商",IF(AND(P183="应付",COUNTIF(基础资料!$Q$5:$Q$54,K183)=0),"✗ 供应商不在基础资料里",IF(AND(P183="费用",L183=""),"✗ 费用支出要选费用项目",IF(AND(L183&lt;&gt;"",COUNTIF(基础资料!$AI$5:$AI$54,L183)=0),"✗ 费用项目不在基础资料里",IF(AND(IFERROR(INDEX(基础资料!$AD$5:$AD$34,MATCH(O183,基础资料!$AC$5:$AC$34,0)),"")="收",N(G183)&lt;&gt;0),"✗ 这类是收款，金额填到收入列",IF(AND(IFERROR(INDEX(基础资料!$AD$5:$AD$34,MATCH(O183,基础资料!$AC$5:$AC$34,0)),"")="支",N(F183)&lt;&gt;0),"✗ 这类是付款，金额填到支出列",IF(N(H183)&lt;0,"⚠ 账户余额成负数了，核对一下","√"))))))))))))))))))</f>
      </c>
      <c r="O183" s="78">
        <f>IF(D183&lt;&gt;"",D183,IF(AND(F183="",G183=""),"",IF(J183&lt;&gt;"",IF(N(F183)&gt;0,"客户回款","客户退款"),IF(K183&lt;&gt;"",IF(N(G183)&gt;0,"供应商付款","供应商退款"),IF(L183&lt;&gt;"","费用支出","")))))</f>
      </c>
      <c r="P183" s="78">
        <f>IF(O183="","",IFERROR(INDEX(基础资料!$AE$5:$AE$34,MATCH(O183,基础资料!$AC$5:$AC$34,0)),"未知"))</f>
      </c>
      <c r="Q183" s="78">
        <f>IF(P183="应收",COUNTIF(P$7:P183,"应收"),"")</f>
      </c>
      <c r="R183" s="78">
        <f>IF(P183="应付",COUNTIF(P$7:P183,"应付"),"")</f>
      </c>
      <c r="S183" s="78">
        <f>N(F183)-N(G183)</f>
        <v>0</v>
      </c>
    </row>
    <row r="184">
      <c r="A184" s="109">
        <f>IF(AND(F184="",G184=""),"",ROW()-6)</f>
      </c>
      <c r="B184" s="140" t="n"/>
      <c r="C184" s="141" t="n"/>
      <c r="D184" s="141" t="n"/>
      <c r="E184" s="142" t="n"/>
      <c r="F184" s="143" t="n"/>
      <c r="G184" s="144" t="n"/>
      <c r="H184" s="145">
        <f>IF(OR(C184="",AND(F184="",G184="")),"",SUMIF(基础资料!$W$5:$W$24,C184,基础资料!$X$5:$X$24)+SUMIF(C$7:C184,C184,F$7:F184)-SUMIF(C$7:C184,C184,G$7:G184))</f>
      </c>
      <c r="I184" s="145">
        <f>IF(AND(F184="",G184=""),"",SUM(基础资料!$X$5:$X$24)+SUM(F$7:F184)-SUM(G$7:G184))</f>
      </c>
      <c r="J184" s="141" t="n"/>
      <c r="K184" s="141" t="n"/>
      <c r="L184" s="141" t="n"/>
      <c r="M184" s="142" t="n"/>
      <c r="N184" s="146">
        <f>IF(AND(AND(F184="",G184=""),B184="",C184="",D184="",J184="",K184="",L184=""),"",IF(AND(F184="",G184=""),"✗ 没填金额",IF(AND(N(F184)&lt;&gt;0,N(G184)&lt;&gt;0),"✗ 收入、支出只能填一边",IF(NOT(ISNUMBER(B184)),"✗ 日期不是真日期（要像 2026/9/25 这样填）",IF(OR(B184&lt;年初日,B184&gt;年末日),"✗ 日期不在本会计年度",IF(C184="","✗ 没选账户",IF(COUNTIF(基础资料!$W$5:$W$24,C184)=0,"✗ 账户不在基础资料里",IF(O184="","✗ 没选收支项目",IF(P184="未知","✗ 收支项目不在基础资料里",IF(AND(P184="应收",J184=""),"✗ 这笔要选客户",IF(AND(P184="应收",COUNTIF(总览汇总!$B$5:$B$304,J184)=0),"✗ 客户不在总览汇总名单里",IF(AND(P184="应付",K184=""),"✗ 这笔要选供应商",IF(AND(P184="应付",COUNTIF(基础资料!$Q$5:$Q$54,K184)=0),"✗ 供应商不在基础资料里",IF(AND(P184="费用",L184=""),"✗ 费用支出要选费用项目",IF(AND(L184&lt;&gt;"",COUNTIF(基础资料!$AI$5:$AI$54,L184)=0),"✗ 费用项目不在基础资料里",IF(AND(IFERROR(INDEX(基础资料!$AD$5:$AD$34,MATCH(O184,基础资料!$AC$5:$AC$34,0)),"")="收",N(G184)&lt;&gt;0),"✗ 这类是收款，金额填到收入列",IF(AND(IFERROR(INDEX(基础资料!$AD$5:$AD$34,MATCH(O184,基础资料!$AC$5:$AC$34,0)),"")="支",N(F184)&lt;&gt;0),"✗ 这类是付款，金额填到支出列",IF(N(H184)&lt;0,"⚠ 账户余额成负数了，核对一下","√"))))))))))))))))))</f>
      </c>
      <c r="O184" s="78">
        <f>IF(D184&lt;&gt;"",D184,IF(AND(F184="",G184=""),"",IF(J184&lt;&gt;"",IF(N(F184)&gt;0,"客户回款","客户退款"),IF(K184&lt;&gt;"",IF(N(G184)&gt;0,"供应商付款","供应商退款"),IF(L184&lt;&gt;"","费用支出","")))))</f>
      </c>
      <c r="P184" s="78">
        <f>IF(O184="","",IFERROR(INDEX(基础资料!$AE$5:$AE$34,MATCH(O184,基础资料!$AC$5:$AC$34,0)),"未知"))</f>
      </c>
      <c r="Q184" s="78">
        <f>IF(P184="应收",COUNTIF(P$7:P184,"应收"),"")</f>
      </c>
      <c r="R184" s="78">
        <f>IF(P184="应付",COUNTIF(P$7:P184,"应付"),"")</f>
      </c>
      <c r="S184" s="78">
        <f>N(F184)-N(G184)</f>
        <v>0</v>
      </c>
    </row>
    <row r="185">
      <c r="A185" s="109">
        <f>IF(AND(F185="",G185=""),"",ROW()-6)</f>
      </c>
      <c r="B185" s="140" t="n"/>
      <c r="C185" s="141" t="n"/>
      <c r="D185" s="141" t="n"/>
      <c r="E185" s="142" t="n"/>
      <c r="F185" s="143" t="n"/>
      <c r="G185" s="144" t="n"/>
      <c r="H185" s="145">
        <f>IF(OR(C185="",AND(F185="",G185="")),"",SUMIF(基础资料!$W$5:$W$24,C185,基础资料!$X$5:$X$24)+SUMIF(C$7:C185,C185,F$7:F185)-SUMIF(C$7:C185,C185,G$7:G185))</f>
      </c>
      <c r="I185" s="145">
        <f>IF(AND(F185="",G185=""),"",SUM(基础资料!$X$5:$X$24)+SUM(F$7:F185)-SUM(G$7:G185))</f>
      </c>
      <c r="J185" s="141" t="n"/>
      <c r="K185" s="141" t="n"/>
      <c r="L185" s="141" t="n"/>
      <c r="M185" s="142" t="n"/>
      <c r="N185" s="146">
        <f>IF(AND(AND(F185="",G185=""),B185="",C185="",D185="",J185="",K185="",L185=""),"",IF(AND(F185="",G185=""),"✗ 没填金额",IF(AND(N(F185)&lt;&gt;0,N(G185)&lt;&gt;0),"✗ 收入、支出只能填一边",IF(NOT(ISNUMBER(B185)),"✗ 日期不是真日期（要像 2026/9/25 这样填）",IF(OR(B185&lt;年初日,B185&gt;年末日),"✗ 日期不在本会计年度",IF(C185="","✗ 没选账户",IF(COUNTIF(基础资料!$W$5:$W$24,C185)=0,"✗ 账户不在基础资料里",IF(O185="","✗ 没选收支项目",IF(P185="未知","✗ 收支项目不在基础资料里",IF(AND(P185="应收",J185=""),"✗ 这笔要选客户",IF(AND(P185="应收",COUNTIF(总览汇总!$B$5:$B$304,J185)=0),"✗ 客户不在总览汇总名单里",IF(AND(P185="应付",K185=""),"✗ 这笔要选供应商",IF(AND(P185="应付",COUNTIF(基础资料!$Q$5:$Q$54,K185)=0),"✗ 供应商不在基础资料里",IF(AND(P185="费用",L185=""),"✗ 费用支出要选费用项目",IF(AND(L185&lt;&gt;"",COUNTIF(基础资料!$AI$5:$AI$54,L185)=0),"✗ 费用项目不在基础资料里",IF(AND(IFERROR(INDEX(基础资料!$AD$5:$AD$34,MATCH(O185,基础资料!$AC$5:$AC$34,0)),"")="收",N(G185)&lt;&gt;0),"✗ 这类是收款，金额填到收入列",IF(AND(IFERROR(INDEX(基础资料!$AD$5:$AD$34,MATCH(O185,基础资料!$AC$5:$AC$34,0)),"")="支",N(F185)&lt;&gt;0),"✗ 这类是付款，金额填到支出列",IF(N(H185)&lt;0,"⚠ 账户余额成负数了，核对一下","√"))))))))))))))))))</f>
      </c>
      <c r="O185" s="78">
        <f>IF(D185&lt;&gt;"",D185,IF(AND(F185="",G185=""),"",IF(J185&lt;&gt;"",IF(N(F185)&gt;0,"客户回款","客户退款"),IF(K185&lt;&gt;"",IF(N(G185)&gt;0,"供应商付款","供应商退款"),IF(L185&lt;&gt;"","费用支出","")))))</f>
      </c>
      <c r="P185" s="78">
        <f>IF(O185="","",IFERROR(INDEX(基础资料!$AE$5:$AE$34,MATCH(O185,基础资料!$AC$5:$AC$34,0)),"未知"))</f>
      </c>
      <c r="Q185" s="78">
        <f>IF(P185="应收",COUNTIF(P$7:P185,"应收"),"")</f>
      </c>
      <c r="R185" s="78">
        <f>IF(P185="应付",COUNTIF(P$7:P185,"应付"),"")</f>
      </c>
      <c r="S185" s="78">
        <f>N(F185)-N(G185)</f>
        <v>0</v>
      </c>
    </row>
    <row r="186">
      <c r="A186" s="109">
        <f>IF(AND(F186="",G186=""),"",ROW()-6)</f>
      </c>
      <c r="B186" s="140" t="n"/>
      <c r="C186" s="141" t="n"/>
      <c r="D186" s="141" t="n"/>
      <c r="E186" s="142" t="n"/>
      <c r="F186" s="143" t="n"/>
      <c r="G186" s="144" t="n"/>
      <c r="H186" s="145">
        <f>IF(OR(C186="",AND(F186="",G186="")),"",SUMIF(基础资料!$W$5:$W$24,C186,基础资料!$X$5:$X$24)+SUMIF(C$7:C186,C186,F$7:F186)-SUMIF(C$7:C186,C186,G$7:G186))</f>
      </c>
      <c r="I186" s="145">
        <f>IF(AND(F186="",G186=""),"",SUM(基础资料!$X$5:$X$24)+SUM(F$7:F186)-SUM(G$7:G186))</f>
      </c>
      <c r="J186" s="141" t="n"/>
      <c r="K186" s="141" t="n"/>
      <c r="L186" s="141" t="n"/>
      <c r="M186" s="142" t="n"/>
      <c r="N186" s="146">
        <f>IF(AND(AND(F186="",G186=""),B186="",C186="",D186="",J186="",K186="",L186=""),"",IF(AND(F186="",G186=""),"✗ 没填金额",IF(AND(N(F186)&lt;&gt;0,N(G186)&lt;&gt;0),"✗ 收入、支出只能填一边",IF(NOT(ISNUMBER(B186)),"✗ 日期不是真日期（要像 2026/9/25 这样填）",IF(OR(B186&lt;年初日,B186&gt;年末日),"✗ 日期不在本会计年度",IF(C186="","✗ 没选账户",IF(COUNTIF(基础资料!$W$5:$W$24,C186)=0,"✗ 账户不在基础资料里",IF(O186="","✗ 没选收支项目",IF(P186="未知","✗ 收支项目不在基础资料里",IF(AND(P186="应收",J186=""),"✗ 这笔要选客户",IF(AND(P186="应收",COUNTIF(总览汇总!$B$5:$B$304,J186)=0),"✗ 客户不在总览汇总名单里",IF(AND(P186="应付",K186=""),"✗ 这笔要选供应商",IF(AND(P186="应付",COUNTIF(基础资料!$Q$5:$Q$54,K186)=0),"✗ 供应商不在基础资料里",IF(AND(P186="费用",L186=""),"✗ 费用支出要选费用项目",IF(AND(L186&lt;&gt;"",COUNTIF(基础资料!$AI$5:$AI$54,L186)=0),"✗ 费用项目不在基础资料里",IF(AND(IFERROR(INDEX(基础资料!$AD$5:$AD$34,MATCH(O186,基础资料!$AC$5:$AC$34,0)),"")="收",N(G186)&lt;&gt;0),"✗ 这类是收款，金额填到收入列",IF(AND(IFERROR(INDEX(基础资料!$AD$5:$AD$34,MATCH(O186,基础资料!$AC$5:$AC$34,0)),"")="支",N(F186)&lt;&gt;0),"✗ 这类是付款，金额填到支出列",IF(N(H186)&lt;0,"⚠ 账户余额成负数了，核对一下","√"))))))))))))))))))</f>
      </c>
      <c r="O186" s="78">
        <f>IF(D186&lt;&gt;"",D186,IF(AND(F186="",G186=""),"",IF(J186&lt;&gt;"",IF(N(F186)&gt;0,"客户回款","客户退款"),IF(K186&lt;&gt;"",IF(N(G186)&gt;0,"供应商付款","供应商退款"),IF(L186&lt;&gt;"","费用支出","")))))</f>
      </c>
      <c r="P186" s="78">
        <f>IF(O186="","",IFERROR(INDEX(基础资料!$AE$5:$AE$34,MATCH(O186,基础资料!$AC$5:$AC$34,0)),"未知"))</f>
      </c>
      <c r="Q186" s="78">
        <f>IF(P186="应收",COUNTIF(P$7:P186,"应收"),"")</f>
      </c>
      <c r="R186" s="78">
        <f>IF(P186="应付",COUNTIF(P$7:P186,"应付"),"")</f>
      </c>
      <c r="S186" s="78">
        <f>N(F186)-N(G186)</f>
        <v>0</v>
      </c>
    </row>
    <row r="187">
      <c r="A187" s="109">
        <f>IF(AND(F187="",G187=""),"",ROW()-6)</f>
      </c>
      <c r="B187" s="140" t="n"/>
      <c r="C187" s="141" t="n"/>
      <c r="D187" s="141" t="n"/>
      <c r="E187" s="142" t="n"/>
      <c r="F187" s="143" t="n"/>
      <c r="G187" s="144" t="n"/>
      <c r="H187" s="145">
        <f>IF(OR(C187="",AND(F187="",G187="")),"",SUMIF(基础资料!$W$5:$W$24,C187,基础资料!$X$5:$X$24)+SUMIF(C$7:C187,C187,F$7:F187)-SUMIF(C$7:C187,C187,G$7:G187))</f>
      </c>
      <c r="I187" s="145">
        <f>IF(AND(F187="",G187=""),"",SUM(基础资料!$X$5:$X$24)+SUM(F$7:F187)-SUM(G$7:G187))</f>
      </c>
      <c r="J187" s="141" t="n"/>
      <c r="K187" s="141" t="n"/>
      <c r="L187" s="141" t="n"/>
      <c r="M187" s="142" t="n"/>
      <c r="N187" s="146">
        <f>IF(AND(AND(F187="",G187=""),B187="",C187="",D187="",J187="",K187="",L187=""),"",IF(AND(F187="",G187=""),"✗ 没填金额",IF(AND(N(F187)&lt;&gt;0,N(G187)&lt;&gt;0),"✗ 收入、支出只能填一边",IF(NOT(ISNUMBER(B187)),"✗ 日期不是真日期（要像 2026/9/25 这样填）",IF(OR(B187&lt;年初日,B187&gt;年末日),"✗ 日期不在本会计年度",IF(C187="","✗ 没选账户",IF(COUNTIF(基础资料!$W$5:$W$24,C187)=0,"✗ 账户不在基础资料里",IF(O187="","✗ 没选收支项目",IF(P187="未知","✗ 收支项目不在基础资料里",IF(AND(P187="应收",J187=""),"✗ 这笔要选客户",IF(AND(P187="应收",COUNTIF(总览汇总!$B$5:$B$304,J187)=0),"✗ 客户不在总览汇总名单里",IF(AND(P187="应付",K187=""),"✗ 这笔要选供应商",IF(AND(P187="应付",COUNTIF(基础资料!$Q$5:$Q$54,K187)=0),"✗ 供应商不在基础资料里",IF(AND(P187="费用",L187=""),"✗ 费用支出要选费用项目",IF(AND(L187&lt;&gt;"",COUNTIF(基础资料!$AI$5:$AI$54,L187)=0),"✗ 费用项目不在基础资料里",IF(AND(IFERROR(INDEX(基础资料!$AD$5:$AD$34,MATCH(O187,基础资料!$AC$5:$AC$34,0)),"")="收",N(G187)&lt;&gt;0),"✗ 这类是收款，金额填到收入列",IF(AND(IFERROR(INDEX(基础资料!$AD$5:$AD$34,MATCH(O187,基础资料!$AC$5:$AC$34,0)),"")="支",N(F187)&lt;&gt;0),"✗ 这类是付款，金额填到支出列",IF(N(H187)&lt;0,"⚠ 账户余额成负数了，核对一下","√"))))))))))))))))))</f>
      </c>
      <c r="O187" s="78">
        <f>IF(D187&lt;&gt;"",D187,IF(AND(F187="",G187=""),"",IF(J187&lt;&gt;"",IF(N(F187)&gt;0,"客户回款","客户退款"),IF(K187&lt;&gt;"",IF(N(G187)&gt;0,"供应商付款","供应商退款"),IF(L187&lt;&gt;"","费用支出","")))))</f>
      </c>
      <c r="P187" s="78">
        <f>IF(O187="","",IFERROR(INDEX(基础资料!$AE$5:$AE$34,MATCH(O187,基础资料!$AC$5:$AC$34,0)),"未知"))</f>
      </c>
      <c r="Q187" s="78">
        <f>IF(P187="应收",COUNTIF(P$7:P187,"应收"),"")</f>
      </c>
      <c r="R187" s="78">
        <f>IF(P187="应付",COUNTIF(P$7:P187,"应付"),"")</f>
      </c>
      <c r="S187" s="78">
        <f>N(F187)-N(G187)</f>
        <v>0</v>
      </c>
    </row>
    <row r="188">
      <c r="A188" s="109">
        <f>IF(AND(F188="",G188=""),"",ROW()-6)</f>
      </c>
      <c r="B188" s="140" t="n"/>
      <c r="C188" s="141" t="n"/>
      <c r="D188" s="141" t="n"/>
      <c r="E188" s="142" t="n"/>
      <c r="F188" s="143" t="n"/>
      <c r="G188" s="144" t="n"/>
      <c r="H188" s="145">
        <f>IF(OR(C188="",AND(F188="",G188="")),"",SUMIF(基础资料!$W$5:$W$24,C188,基础资料!$X$5:$X$24)+SUMIF(C$7:C188,C188,F$7:F188)-SUMIF(C$7:C188,C188,G$7:G188))</f>
      </c>
      <c r="I188" s="145">
        <f>IF(AND(F188="",G188=""),"",SUM(基础资料!$X$5:$X$24)+SUM(F$7:F188)-SUM(G$7:G188))</f>
      </c>
      <c r="J188" s="141" t="n"/>
      <c r="K188" s="141" t="n"/>
      <c r="L188" s="141" t="n"/>
      <c r="M188" s="142" t="n"/>
      <c r="N188" s="146">
        <f>IF(AND(AND(F188="",G188=""),B188="",C188="",D188="",J188="",K188="",L188=""),"",IF(AND(F188="",G188=""),"✗ 没填金额",IF(AND(N(F188)&lt;&gt;0,N(G188)&lt;&gt;0),"✗ 收入、支出只能填一边",IF(NOT(ISNUMBER(B188)),"✗ 日期不是真日期（要像 2026/9/25 这样填）",IF(OR(B188&lt;年初日,B188&gt;年末日),"✗ 日期不在本会计年度",IF(C188="","✗ 没选账户",IF(COUNTIF(基础资料!$W$5:$W$24,C188)=0,"✗ 账户不在基础资料里",IF(O188="","✗ 没选收支项目",IF(P188="未知","✗ 收支项目不在基础资料里",IF(AND(P188="应收",J188=""),"✗ 这笔要选客户",IF(AND(P188="应收",COUNTIF(总览汇总!$B$5:$B$304,J188)=0),"✗ 客户不在总览汇总名单里",IF(AND(P188="应付",K188=""),"✗ 这笔要选供应商",IF(AND(P188="应付",COUNTIF(基础资料!$Q$5:$Q$54,K188)=0),"✗ 供应商不在基础资料里",IF(AND(P188="费用",L188=""),"✗ 费用支出要选费用项目",IF(AND(L188&lt;&gt;"",COUNTIF(基础资料!$AI$5:$AI$54,L188)=0),"✗ 费用项目不在基础资料里",IF(AND(IFERROR(INDEX(基础资料!$AD$5:$AD$34,MATCH(O188,基础资料!$AC$5:$AC$34,0)),"")="收",N(G188)&lt;&gt;0),"✗ 这类是收款，金额填到收入列",IF(AND(IFERROR(INDEX(基础资料!$AD$5:$AD$34,MATCH(O188,基础资料!$AC$5:$AC$34,0)),"")="支",N(F188)&lt;&gt;0),"✗ 这类是付款，金额填到支出列",IF(N(H188)&lt;0,"⚠ 账户余额成负数了，核对一下","√"))))))))))))))))))</f>
      </c>
      <c r="O188" s="78">
        <f>IF(D188&lt;&gt;"",D188,IF(AND(F188="",G188=""),"",IF(J188&lt;&gt;"",IF(N(F188)&gt;0,"客户回款","客户退款"),IF(K188&lt;&gt;"",IF(N(G188)&gt;0,"供应商付款","供应商退款"),IF(L188&lt;&gt;"","费用支出","")))))</f>
      </c>
      <c r="P188" s="78">
        <f>IF(O188="","",IFERROR(INDEX(基础资料!$AE$5:$AE$34,MATCH(O188,基础资料!$AC$5:$AC$34,0)),"未知"))</f>
      </c>
      <c r="Q188" s="78">
        <f>IF(P188="应收",COUNTIF(P$7:P188,"应收"),"")</f>
      </c>
      <c r="R188" s="78">
        <f>IF(P188="应付",COUNTIF(P$7:P188,"应付"),"")</f>
      </c>
      <c r="S188" s="78">
        <f>N(F188)-N(G188)</f>
        <v>0</v>
      </c>
    </row>
    <row r="189">
      <c r="A189" s="109">
        <f>IF(AND(F189="",G189=""),"",ROW()-6)</f>
      </c>
      <c r="B189" s="140" t="n"/>
      <c r="C189" s="141" t="n"/>
      <c r="D189" s="141" t="n"/>
      <c r="E189" s="142" t="n"/>
      <c r="F189" s="143" t="n"/>
      <c r="G189" s="144" t="n"/>
      <c r="H189" s="145">
        <f>IF(OR(C189="",AND(F189="",G189="")),"",SUMIF(基础资料!$W$5:$W$24,C189,基础资料!$X$5:$X$24)+SUMIF(C$7:C189,C189,F$7:F189)-SUMIF(C$7:C189,C189,G$7:G189))</f>
      </c>
      <c r="I189" s="145">
        <f>IF(AND(F189="",G189=""),"",SUM(基础资料!$X$5:$X$24)+SUM(F$7:F189)-SUM(G$7:G189))</f>
      </c>
      <c r="J189" s="141" t="n"/>
      <c r="K189" s="141" t="n"/>
      <c r="L189" s="141" t="n"/>
      <c r="M189" s="142" t="n"/>
      <c r="N189" s="146">
        <f>IF(AND(AND(F189="",G189=""),B189="",C189="",D189="",J189="",K189="",L189=""),"",IF(AND(F189="",G189=""),"✗ 没填金额",IF(AND(N(F189)&lt;&gt;0,N(G189)&lt;&gt;0),"✗ 收入、支出只能填一边",IF(NOT(ISNUMBER(B189)),"✗ 日期不是真日期（要像 2026/9/25 这样填）",IF(OR(B189&lt;年初日,B189&gt;年末日),"✗ 日期不在本会计年度",IF(C189="","✗ 没选账户",IF(COUNTIF(基础资料!$W$5:$W$24,C189)=0,"✗ 账户不在基础资料里",IF(O189="","✗ 没选收支项目",IF(P189="未知","✗ 收支项目不在基础资料里",IF(AND(P189="应收",J189=""),"✗ 这笔要选客户",IF(AND(P189="应收",COUNTIF(总览汇总!$B$5:$B$304,J189)=0),"✗ 客户不在总览汇总名单里",IF(AND(P189="应付",K189=""),"✗ 这笔要选供应商",IF(AND(P189="应付",COUNTIF(基础资料!$Q$5:$Q$54,K189)=0),"✗ 供应商不在基础资料里",IF(AND(P189="费用",L189=""),"✗ 费用支出要选费用项目",IF(AND(L189&lt;&gt;"",COUNTIF(基础资料!$AI$5:$AI$54,L189)=0),"✗ 费用项目不在基础资料里",IF(AND(IFERROR(INDEX(基础资料!$AD$5:$AD$34,MATCH(O189,基础资料!$AC$5:$AC$34,0)),"")="收",N(G189)&lt;&gt;0),"✗ 这类是收款，金额填到收入列",IF(AND(IFERROR(INDEX(基础资料!$AD$5:$AD$34,MATCH(O189,基础资料!$AC$5:$AC$34,0)),"")="支",N(F189)&lt;&gt;0),"✗ 这类是付款，金额填到支出列",IF(N(H189)&lt;0,"⚠ 账户余额成负数了，核对一下","√"))))))))))))))))))</f>
      </c>
      <c r="O189" s="78">
        <f>IF(D189&lt;&gt;"",D189,IF(AND(F189="",G189=""),"",IF(J189&lt;&gt;"",IF(N(F189)&gt;0,"客户回款","客户退款"),IF(K189&lt;&gt;"",IF(N(G189)&gt;0,"供应商付款","供应商退款"),IF(L189&lt;&gt;"","费用支出","")))))</f>
      </c>
      <c r="P189" s="78">
        <f>IF(O189="","",IFERROR(INDEX(基础资料!$AE$5:$AE$34,MATCH(O189,基础资料!$AC$5:$AC$34,0)),"未知"))</f>
      </c>
      <c r="Q189" s="78">
        <f>IF(P189="应收",COUNTIF(P$7:P189,"应收"),"")</f>
      </c>
      <c r="R189" s="78">
        <f>IF(P189="应付",COUNTIF(P$7:P189,"应付"),"")</f>
      </c>
      <c r="S189" s="78">
        <f>N(F189)-N(G189)</f>
        <v>0</v>
      </c>
    </row>
    <row r="190">
      <c r="A190" s="109">
        <f>IF(AND(F190="",G190=""),"",ROW()-6)</f>
      </c>
      <c r="B190" s="140" t="n"/>
      <c r="C190" s="141" t="n"/>
      <c r="D190" s="141" t="n"/>
      <c r="E190" s="142" t="n"/>
      <c r="F190" s="143" t="n"/>
      <c r="G190" s="144" t="n"/>
      <c r="H190" s="145">
        <f>IF(OR(C190="",AND(F190="",G190="")),"",SUMIF(基础资料!$W$5:$W$24,C190,基础资料!$X$5:$X$24)+SUMIF(C$7:C190,C190,F$7:F190)-SUMIF(C$7:C190,C190,G$7:G190))</f>
      </c>
      <c r="I190" s="145">
        <f>IF(AND(F190="",G190=""),"",SUM(基础资料!$X$5:$X$24)+SUM(F$7:F190)-SUM(G$7:G190))</f>
      </c>
      <c r="J190" s="141" t="n"/>
      <c r="K190" s="141" t="n"/>
      <c r="L190" s="141" t="n"/>
      <c r="M190" s="142" t="n"/>
      <c r="N190" s="146">
        <f>IF(AND(AND(F190="",G190=""),B190="",C190="",D190="",J190="",K190="",L190=""),"",IF(AND(F190="",G190=""),"✗ 没填金额",IF(AND(N(F190)&lt;&gt;0,N(G190)&lt;&gt;0),"✗ 收入、支出只能填一边",IF(NOT(ISNUMBER(B190)),"✗ 日期不是真日期（要像 2026/9/25 这样填）",IF(OR(B190&lt;年初日,B190&gt;年末日),"✗ 日期不在本会计年度",IF(C190="","✗ 没选账户",IF(COUNTIF(基础资料!$W$5:$W$24,C190)=0,"✗ 账户不在基础资料里",IF(O190="","✗ 没选收支项目",IF(P190="未知","✗ 收支项目不在基础资料里",IF(AND(P190="应收",J190=""),"✗ 这笔要选客户",IF(AND(P190="应收",COUNTIF(总览汇总!$B$5:$B$304,J190)=0),"✗ 客户不在总览汇总名单里",IF(AND(P190="应付",K190=""),"✗ 这笔要选供应商",IF(AND(P190="应付",COUNTIF(基础资料!$Q$5:$Q$54,K190)=0),"✗ 供应商不在基础资料里",IF(AND(P190="费用",L190=""),"✗ 费用支出要选费用项目",IF(AND(L190&lt;&gt;"",COUNTIF(基础资料!$AI$5:$AI$54,L190)=0),"✗ 费用项目不在基础资料里",IF(AND(IFERROR(INDEX(基础资料!$AD$5:$AD$34,MATCH(O190,基础资料!$AC$5:$AC$34,0)),"")="收",N(G190)&lt;&gt;0),"✗ 这类是收款，金额填到收入列",IF(AND(IFERROR(INDEX(基础资料!$AD$5:$AD$34,MATCH(O190,基础资料!$AC$5:$AC$34,0)),"")="支",N(F190)&lt;&gt;0),"✗ 这类是付款，金额填到支出列",IF(N(H190)&lt;0,"⚠ 账户余额成负数了，核对一下","√"))))))))))))))))))</f>
      </c>
      <c r="O190" s="78">
        <f>IF(D190&lt;&gt;"",D190,IF(AND(F190="",G190=""),"",IF(J190&lt;&gt;"",IF(N(F190)&gt;0,"客户回款","客户退款"),IF(K190&lt;&gt;"",IF(N(G190)&gt;0,"供应商付款","供应商退款"),IF(L190&lt;&gt;"","费用支出","")))))</f>
      </c>
      <c r="P190" s="78">
        <f>IF(O190="","",IFERROR(INDEX(基础资料!$AE$5:$AE$34,MATCH(O190,基础资料!$AC$5:$AC$34,0)),"未知"))</f>
      </c>
      <c r="Q190" s="78">
        <f>IF(P190="应收",COUNTIF(P$7:P190,"应收"),"")</f>
      </c>
      <c r="R190" s="78">
        <f>IF(P190="应付",COUNTIF(P$7:P190,"应付"),"")</f>
      </c>
      <c r="S190" s="78">
        <f>N(F190)-N(G190)</f>
        <v>0</v>
      </c>
    </row>
    <row r="191">
      <c r="A191" s="109">
        <f>IF(AND(F191="",G191=""),"",ROW()-6)</f>
      </c>
      <c r="B191" s="140" t="n"/>
      <c r="C191" s="141" t="n"/>
      <c r="D191" s="141" t="n"/>
      <c r="E191" s="142" t="n"/>
      <c r="F191" s="143" t="n"/>
      <c r="G191" s="144" t="n"/>
      <c r="H191" s="145">
        <f>IF(OR(C191="",AND(F191="",G191="")),"",SUMIF(基础资料!$W$5:$W$24,C191,基础资料!$X$5:$X$24)+SUMIF(C$7:C191,C191,F$7:F191)-SUMIF(C$7:C191,C191,G$7:G191))</f>
      </c>
      <c r="I191" s="145">
        <f>IF(AND(F191="",G191=""),"",SUM(基础资料!$X$5:$X$24)+SUM(F$7:F191)-SUM(G$7:G191))</f>
      </c>
      <c r="J191" s="141" t="n"/>
      <c r="K191" s="141" t="n"/>
      <c r="L191" s="141" t="n"/>
      <c r="M191" s="142" t="n"/>
      <c r="N191" s="146">
        <f>IF(AND(AND(F191="",G191=""),B191="",C191="",D191="",J191="",K191="",L191=""),"",IF(AND(F191="",G191=""),"✗ 没填金额",IF(AND(N(F191)&lt;&gt;0,N(G191)&lt;&gt;0),"✗ 收入、支出只能填一边",IF(NOT(ISNUMBER(B191)),"✗ 日期不是真日期（要像 2026/9/25 这样填）",IF(OR(B191&lt;年初日,B191&gt;年末日),"✗ 日期不在本会计年度",IF(C191="","✗ 没选账户",IF(COUNTIF(基础资料!$W$5:$W$24,C191)=0,"✗ 账户不在基础资料里",IF(O191="","✗ 没选收支项目",IF(P191="未知","✗ 收支项目不在基础资料里",IF(AND(P191="应收",J191=""),"✗ 这笔要选客户",IF(AND(P191="应收",COUNTIF(总览汇总!$B$5:$B$304,J191)=0),"✗ 客户不在总览汇总名单里",IF(AND(P191="应付",K191=""),"✗ 这笔要选供应商",IF(AND(P191="应付",COUNTIF(基础资料!$Q$5:$Q$54,K191)=0),"✗ 供应商不在基础资料里",IF(AND(P191="费用",L191=""),"✗ 费用支出要选费用项目",IF(AND(L191&lt;&gt;"",COUNTIF(基础资料!$AI$5:$AI$54,L191)=0),"✗ 费用项目不在基础资料里",IF(AND(IFERROR(INDEX(基础资料!$AD$5:$AD$34,MATCH(O191,基础资料!$AC$5:$AC$34,0)),"")="收",N(G191)&lt;&gt;0),"✗ 这类是收款，金额填到收入列",IF(AND(IFERROR(INDEX(基础资料!$AD$5:$AD$34,MATCH(O191,基础资料!$AC$5:$AC$34,0)),"")="支",N(F191)&lt;&gt;0),"✗ 这类是付款，金额填到支出列",IF(N(H191)&lt;0,"⚠ 账户余额成负数了，核对一下","√"))))))))))))))))))</f>
      </c>
      <c r="O191" s="78">
        <f>IF(D191&lt;&gt;"",D191,IF(AND(F191="",G191=""),"",IF(J191&lt;&gt;"",IF(N(F191)&gt;0,"客户回款","客户退款"),IF(K191&lt;&gt;"",IF(N(G191)&gt;0,"供应商付款","供应商退款"),IF(L191&lt;&gt;"","费用支出","")))))</f>
      </c>
      <c r="P191" s="78">
        <f>IF(O191="","",IFERROR(INDEX(基础资料!$AE$5:$AE$34,MATCH(O191,基础资料!$AC$5:$AC$34,0)),"未知"))</f>
      </c>
      <c r="Q191" s="78">
        <f>IF(P191="应收",COUNTIF(P$7:P191,"应收"),"")</f>
      </c>
      <c r="R191" s="78">
        <f>IF(P191="应付",COUNTIF(P$7:P191,"应付"),"")</f>
      </c>
      <c r="S191" s="78">
        <f>N(F191)-N(G191)</f>
        <v>0</v>
      </c>
    </row>
    <row r="192">
      <c r="A192" s="109">
        <f>IF(AND(F192="",G192=""),"",ROW()-6)</f>
      </c>
      <c r="B192" s="140" t="n"/>
      <c r="C192" s="141" t="n"/>
      <c r="D192" s="141" t="n"/>
      <c r="E192" s="142" t="n"/>
      <c r="F192" s="143" t="n"/>
      <c r="G192" s="144" t="n"/>
      <c r="H192" s="145">
        <f>IF(OR(C192="",AND(F192="",G192="")),"",SUMIF(基础资料!$W$5:$W$24,C192,基础资料!$X$5:$X$24)+SUMIF(C$7:C192,C192,F$7:F192)-SUMIF(C$7:C192,C192,G$7:G192))</f>
      </c>
      <c r="I192" s="145">
        <f>IF(AND(F192="",G192=""),"",SUM(基础资料!$X$5:$X$24)+SUM(F$7:F192)-SUM(G$7:G192))</f>
      </c>
      <c r="J192" s="141" t="n"/>
      <c r="K192" s="141" t="n"/>
      <c r="L192" s="141" t="n"/>
      <c r="M192" s="142" t="n"/>
      <c r="N192" s="146">
        <f>IF(AND(AND(F192="",G192=""),B192="",C192="",D192="",J192="",K192="",L192=""),"",IF(AND(F192="",G192=""),"✗ 没填金额",IF(AND(N(F192)&lt;&gt;0,N(G192)&lt;&gt;0),"✗ 收入、支出只能填一边",IF(NOT(ISNUMBER(B192)),"✗ 日期不是真日期（要像 2026/9/25 这样填）",IF(OR(B192&lt;年初日,B192&gt;年末日),"✗ 日期不在本会计年度",IF(C192="","✗ 没选账户",IF(COUNTIF(基础资料!$W$5:$W$24,C192)=0,"✗ 账户不在基础资料里",IF(O192="","✗ 没选收支项目",IF(P192="未知","✗ 收支项目不在基础资料里",IF(AND(P192="应收",J192=""),"✗ 这笔要选客户",IF(AND(P192="应收",COUNTIF(总览汇总!$B$5:$B$304,J192)=0),"✗ 客户不在总览汇总名单里",IF(AND(P192="应付",K192=""),"✗ 这笔要选供应商",IF(AND(P192="应付",COUNTIF(基础资料!$Q$5:$Q$54,K192)=0),"✗ 供应商不在基础资料里",IF(AND(P192="费用",L192=""),"✗ 费用支出要选费用项目",IF(AND(L192&lt;&gt;"",COUNTIF(基础资料!$AI$5:$AI$54,L192)=0),"✗ 费用项目不在基础资料里",IF(AND(IFERROR(INDEX(基础资料!$AD$5:$AD$34,MATCH(O192,基础资料!$AC$5:$AC$34,0)),"")="收",N(G192)&lt;&gt;0),"✗ 这类是收款，金额填到收入列",IF(AND(IFERROR(INDEX(基础资料!$AD$5:$AD$34,MATCH(O192,基础资料!$AC$5:$AC$34,0)),"")="支",N(F192)&lt;&gt;0),"✗ 这类是付款，金额填到支出列",IF(N(H192)&lt;0,"⚠ 账户余额成负数了，核对一下","√"))))))))))))))))))</f>
      </c>
      <c r="O192" s="78">
        <f>IF(D192&lt;&gt;"",D192,IF(AND(F192="",G192=""),"",IF(J192&lt;&gt;"",IF(N(F192)&gt;0,"客户回款","客户退款"),IF(K192&lt;&gt;"",IF(N(G192)&gt;0,"供应商付款","供应商退款"),IF(L192&lt;&gt;"","费用支出","")))))</f>
      </c>
      <c r="P192" s="78">
        <f>IF(O192="","",IFERROR(INDEX(基础资料!$AE$5:$AE$34,MATCH(O192,基础资料!$AC$5:$AC$34,0)),"未知"))</f>
      </c>
      <c r="Q192" s="78">
        <f>IF(P192="应收",COUNTIF(P$7:P192,"应收"),"")</f>
      </c>
      <c r="R192" s="78">
        <f>IF(P192="应付",COUNTIF(P$7:P192,"应付"),"")</f>
      </c>
      <c r="S192" s="78">
        <f>N(F192)-N(G192)</f>
        <v>0</v>
      </c>
    </row>
    <row r="193">
      <c r="A193" s="109">
        <f>IF(AND(F193="",G193=""),"",ROW()-6)</f>
      </c>
      <c r="B193" s="140" t="n"/>
      <c r="C193" s="141" t="n"/>
      <c r="D193" s="141" t="n"/>
      <c r="E193" s="142" t="n"/>
      <c r="F193" s="143" t="n"/>
      <c r="G193" s="144" t="n"/>
      <c r="H193" s="145">
        <f>IF(OR(C193="",AND(F193="",G193="")),"",SUMIF(基础资料!$W$5:$W$24,C193,基础资料!$X$5:$X$24)+SUMIF(C$7:C193,C193,F$7:F193)-SUMIF(C$7:C193,C193,G$7:G193))</f>
      </c>
      <c r="I193" s="145">
        <f>IF(AND(F193="",G193=""),"",SUM(基础资料!$X$5:$X$24)+SUM(F$7:F193)-SUM(G$7:G193))</f>
      </c>
      <c r="J193" s="141" t="n"/>
      <c r="K193" s="141" t="n"/>
      <c r="L193" s="141" t="n"/>
      <c r="M193" s="142" t="n"/>
      <c r="N193" s="146">
        <f>IF(AND(AND(F193="",G193=""),B193="",C193="",D193="",J193="",K193="",L193=""),"",IF(AND(F193="",G193=""),"✗ 没填金额",IF(AND(N(F193)&lt;&gt;0,N(G193)&lt;&gt;0),"✗ 收入、支出只能填一边",IF(NOT(ISNUMBER(B193)),"✗ 日期不是真日期（要像 2026/9/25 这样填）",IF(OR(B193&lt;年初日,B193&gt;年末日),"✗ 日期不在本会计年度",IF(C193="","✗ 没选账户",IF(COUNTIF(基础资料!$W$5:$W$24,C193)=0,"✗ 账户不在基础资料里",IF(O193="","✗ 没选收支项目",IF(P193="未知","✗ 收支项目不在基础资料里",IF(AND(P193="应收",J193=""),"✗ 这笔要选客户",IF(AND(P193="应收",COUNTIF(总览汇总!$B$5:$B$304,J193)=0),"✗ 客户不在总览汇总名单里",IF(AND(P193="应付",K193=""),"✗ 这笔要选供应商",IF(AND(P193="应付",COUNTIF(基础资料!$Q$5:$Q$54,K193)=0),"✗ 供应商不在基础资料里",IF(AND(P193="费用",L193=""),"✗ 费用支出要选费用项目",IF(AND(L193&lt;&gt;"",COUNTIF(基础资料!$AI$5:$AI$54,L193)=0),"✗ 费用项目不在基础资料里",IF(AND(IFERROR(INDEX(基础资料!$AD$5:$AD$34,MATCH(O193,基础资料!$AC$5:$AC$34,0)),"")="收",N(G193)&lt;&gt;0),"✗ 这类是收款，金额填到收入列",IF(AND(IFERROR(INDEX(基础资料!$AD$5:$AD$34,MATCH(O193,基础资料!$AC$5:$AC$34,0)),"")="支",N(F193)&lt;&gt;0),"✗ 这类是付款，金额填到支出列",IF(N(H193)&lt;0,"⚠ 账户余额成负数了，核对一下","√"))))))))))))))))))</f>
      </c>
      <c r="O193" s="78">
        <f>IF(D193&lt;&gt;"",D193,IF(AND(F193="",G193=""),"",IF(J193&lt;&gt;"",IF(N(F193)&gt;0,"客户回款","客户退款"),IF(K193&lt;&gt;"",IF(N(G193)&gt;0,"供应商付款","供应商退款"),IF(L193&lt;&gt;"","费用支出","")))))</f>
      </c>
      <c r="P193" s="78">
        <f>IF(O193="","",IFERROR(INDEX(基础资料!$AE$5:$AE$34,MATCH(O193,基础资料!$AC$5:$AC$34,0)),"未知"))</f>
      </c>
      <c r="Q193" s="78">
        <f>IF(P193="应收",COUNTIF(P$7:P193,"应收"),"")</f>
      </c>
      <c r="R193" s="78">
        <f>IF(P193="应付",COUNTIF(P$7:P193,"应付"),"")</f>
      </c>
      <c r="S193" s="78">
        <f>N(F193)-N(G193)</f>
        <v>0</v>
      </c>
    </row>
    <row r="194">
      <c r="A194" s="109">
        <f>IF(AND(F194="",G194=""),"",ROW()-6)</f>
      </c>
      <c r="B194" s="140" t="n"/>
      <c r="C194" s="141" t="n"/>
      <c r="D194" s="141" t="n"/>
      <c r="E194" s="142" t="n"/>
      <c r="F194" s="143" t="n"/>
      <c r="G194" s="144" t="n"/>
      <c r="H194" s="145">
        <f>IF(OR(C194="",AND(F194="",G194="")),"",SUMIF(基础资料!$W$5:$W$24,C194,基础资料!$X$5:$X$24)+SUMIF(C$7:C194,C194,F$7:F194)-SUMIF(C$7:C194,C194,G$7:G194))</f>
      </c>
      <c r="I194" s="145">
        <f>IF(AND(F194="",G194=""),"",SUM(基础资料!$X$5:$X$24)+SUM(F$7:F194)-SUM(G$7:G194))</f>
      </c>
      <c r="J194" s="141" t="n"/>
      <c r="K194" s="141" t="n"/>
      <c r="L194" s="141" t="n"/>
      <c r="M194" s="142" t="n"/>
      <c r="N194" s="146">
        <f>IF(AND(AND(F194="",G194=""),B194="",C194="",D194="",J194="",K194="",L194=""),"",IF(AND(F194="",G194=""),"✗ 没填金额",IF(AND(N(F194)&lt;&gt;0,N(G194)&lt;&gt;0),"✗ 收入、支出只能填一边",IF(NOT(ISNUMBER(B194)),"✗ 日期不是真日期（要像 2026/9/25 这样填）",IF(OR(B194&lt;年初日,B194&gt;年末日),"✗ 日期不在本会计年度",IF(C194="","✗ 没选账户",IF(COUNTIF(基础资料!$W$5:$W$24,C194)=0,"✗ 账户不在基础资料里",IF(O194="","✗ 没选收支项目",IF(P194="未知","✗ 收支项目不在基础资料里",IF(AND(P194="应收",J194=""),"✗ 这笔要选客户",IF(AND(P194="应收",COUNTIF(总览汇总!$B$5:$B$304,J194)=0),"✗ 客户不在总览汇总名单里",IF(AND(P194="应付",K194=""),"✗ 这笔要选供应商",IF(AND(P194="应付",COUNTIF(基础资料!$Q$5:$Q$54,K194)=0),"✗ 供应商不在基础资料里",IF(AND(P194="费用",L194=""),"✗ 费用支出要选费用项目",IF(AND(L194&lt;&gt;"",COUNTIF(基础资料!$AI$5:$AI$54,L194)=0),"✗ 费用项目不在基础资料里",IF(AND(IFERROR(INDEX(基础资料!$AD$5:$AD$34,MATCH(O194,基础资料!$AC$5:$AC$34,0)),"")="收",N(G194)&lt;&gt;0),"✗ 这类是收款，金额填到收入列",IF(AND(IFERROR(INDEX(基础资料!$AD$5:$AD$34,MATCH(O194,基础资料!$AC$5:$AC$34,0)),"")="支",N(F194)&lt;&gt;0),"✗ 这类是付款，金额填到支出列",IF(N(H194)&lt;0,"⚠ 账户余额成负数了，核对一下","√"))))))))))))))))))</f>
      </c>
      <c r="O194" s="78">
        <f>IF(D194&lt;&gt;"",D194,IF(AND(F194="",G194=""),"",IF(J194&lt;&gt;"",IF(N(F194)&gt;0,"客户回款","客户退款"),IF(K194&lt;&gt;"",IF(N(G194)&gt;0,"供应商付款","供应商退款"),IF(L194&lt;&gt;"","费用支出","")))))</f>
      </c>
      <c r="P194" s="78">
        <f>IF(O194="","",IFERROR(INDEX(基础资料!$AE$5:$AE$34,MATCH(O194,基础资料!$AC$5:$AC$34,0)),"未知"))</f>
      </c>
      <c r="Q194" s="78">
        <f>IF(P194="应收",COUNTIF(P$7:P194,"应收"),"")</f>
      </c>
      <c r="R194" s="78">
        <f>IF(P194="应付",COUNTIF(P$7:P194,"应付"),"")</f>
      </c>
      <c r="S194" s="78">
        <f>N(F194)-N(G194)</f>
        <v>0</v>
      </c>
    </row>
    <row r="195">
      <c r="A195" s="109">
        <f>IF(AND(F195="",G195=""),"",ROW()-6)</f>
      </c>
      <c r="B195" s="140" t="n"/>
      <c r="C195" s="141" t="n"/>
      <c r="D195" s="141" t="n"/>
      <c r="E195" s="142" t="n"/>
      <c r="F195" s="143" t="n"/>
      <c r="G195" s="144" t="n"/>
      <c r="H195" s="145">
        <f>IF(OR(C195="",AND(F195="",G195="")),"",SUMIF(基础资料!$W$5:$W$24,C195,基础资料!$X$5:$X$24)+SUMIF(C$7:C195,C195,F$7:F195)-SUMIF(C$7:C195,C195,G$7:G195))</f>
      </c>
      <c r="I195" s="145">
        <f>IF(AND(F195="",G195=""),"",SUM(基础资料!$X$5:$X$24)+SUM(F$7:F195)-SUM(G$7:G195))</f>
      </c>
      <c r="J195" s="141" t="n"/>
      <c r="K195" s="141" t="n"/>
      <c r="L195" s="141" t="n"/>
      <c r="M195" s="142" t="n"/>
      <c r="N195" s="146">
        <f>IF(AND(AND(F195="",G195=""),B195="",C195="",D195="",J195="",K195="",L195=""),"",IF(AND(F195="",G195=""),"✗ 没填金额",IF(AND(N(F195)&lt;&gt;0,N(G195)&lt;&gt;0),"✗ 收入、支出只能填一边",IF(NOT(ISNUMBER(B195)),"✗ 日期不是真日期（要像 2026/9/25 这样填）",IF(OR(B195&lt;年初日,B195&gt;年末日),"✗ 日期不在本会计年度",IF(C195="","✗ 没选账户",IF(COUNTIF(基础资料!$W$5:$W$24,C195)=0,"✗ 账户不在基础资料里",IF(O195="","✗ 没选收支项目",IF(P195="未知","✗ 收支项目不在基础资料里",IF(AND(P195="应收",J195=""),"✗ 这笔要选客户",IF(AND(P195="应收",COUNTIF(总览汇总!$B$5:$B$304,J195)=0),"✗ 客户不在总览汇总名单里",IF(AND(P195="应付",K195=""),"✗ 这笔要选供应商",IF(AND(P195="应付",COUNTIF(基础资料!$Q$5:$Q$54,K195)=0),"✗ 供应商不在基础资料里",IF(AND(P195="费用",L195=""),"✗ 费用支出要选费用项目",IF(AND(L195&lt;&gt;"",COUNTIF(基础资料!$AI$5:$AI$54,L195)=0),"✗ 费用项目不在基础资料里",IF(AND(IFERROR(INDEX(基础资料!$AD$5:$AD$34,MATCH(O195,基础资料!$AC$5:$AC$34,0)),"")="收",N(G195)&lt;&gt;0),"✗ 这类是收款，金额填到收入列",IF(AND(IFERROR(INDEX(基础资料!$AD$5:$AD$34,MATCH(O195,基础资料!$AC$5:$AC$34,0)),"")="支",N(F195)&lt;&gt;0),"✗ 这类是付款，金额填到支出列",IF(N(H195)&lt;0,"⚠ 账户余额成负数了，核对一下","√"))))))))))))))))))</f>
      </c>
      <c r="O195" s="78">
        <f>IF(D195&lt;&gt;"",D195,IF(AND(F195="",G195=""),"",IF(J195&lt;&gt;"",IF(N(F195)&gt;0,"客户回款","客户退款"),IF(K195&lt;&gt;"",IF(N(G195)&gt;0,"供应商付款","供应商退款"),IF(L195&lt;&gt;"","费用支出","")))))</f>
      </c>
      <c r="P195" s="78">
        <f>IF(O195="","",IFERROR(INDEX(基础资料!$AE$5:$AE$34,MATCH(O195,基础资料!$AC$5:$AC$34,0)),"未知"))</f>
      </c>
      <c r="Q195" s="78">
        <f>IF(P195="应收",COUNTIF(P$7:P195,"应收"),"")</f>
      </c>
      <c r="R195" s="78">
        <f>IF(P195="应付",COUNTIF(P$7:P195,"应付"),"")</f>
      </c>
      <c r="S195" s="78">
        <f>N(F195)-N(G195)</f>
        <v>0</v>
      </c>
    </row>
    <row r="196">
      <c r="A196" s="109">
        <f>IF(AND(F196="",G196=""),"",ROW()-6)</f>
      </c>
      <c r="B196" s="140" t="n"/>
      <c r="C196" s="141" t="n"/>
      <c r="D196" s="141" t="n"/>
      <c r="E196" s="142" t="n"/>
      <c r="F196" s="143" t="n"/>
      <c r="G196" s="144" t="n"/>
      <c r="H196" s="145">
        <f>IF(OR(C196="",AND(F196="",G196="")),"",SUMIF(基础资料!$W$5:$W$24,C196,基础资料!$X$5:$X$24)+SUMIF(C$7:C196,C196,F$7:F196)-SUMIF(C$7:C196,C196,G$7:G196))</f>
      </c>
      <c r="I196" s="145">
        <f>IF(AND(F196="",G196=""),"",SUM(基础资料!$X$5:$X$24)+SUM(F$7:F196)-SUM(G$7:G196))</f>
      </c>
      <c r="J196" s="141" t="n"/>
      <c r="K196" s="141" t="n"/>
      <c r="L196" s="141" t="n"/>
      <c r="M196" s="142" t="n"/>
      <c r="N196" s="146">
        <f>IF(AND(AND(F196="",G196=""),B196="",C196="",D196="",J196="",K196="",L196=""),"",IF(AND(F196="",G196=""),"✗ 没填金额",IF(AND(N(F196)&lt;&gt;0,N(G196)&lt;&gt;0),"✗ 收入、支出只能填一边",IF(NOT(ISNUMBER(B196)),"✗ 日期不是真日期（要像 2026/9/25 这样填）",IF(OR(B196&lt;年初日,B196&gt;年末日),"✗ 日期不在本会计年度",IF(C196="","✗ 没选账户",IF(COUNTIF(基础资料!$W$5:$W$24,C196)=0,"✗ 账户不在基础资料里",IF(O196="","✗ 没选收支项目",IF(P196="未知","✗ 收支项目不在基础资料里",IF(AND(P196="应收",J196=""),"✗ 这笔要选客户",IF(AND(P196="应收",COUNTIF(总览汇总!$B$5:$B$304,J196)=0),"✗ 客户不在总览汇总名单里",IF(AND(P196="应付",K196=""),"✗ 这笔要选供应商",IF(AND(P196="应付",COUNTIF(基础资料!$Q$5:$Q$54,K196)=0),"✗ 供应商不在基础资料里",IF(AND(P196="费用",L196=""),"✗ 费用支出要选费用项目",IF(AND(L196&lt;&gt;"",COUNTIF(基础资料!$AI$5:$AI$54,L196)=0),"✗ 费用项目不在基础资料里",IF(AND(IFERROR(INDEX(基础资料!$AD$5:$AD$34,MATCH(O196,基础资料!$AC$5:$AC$34,0)),"")="收",N(G196)&lt;&gt;0),"✗ 这类是收款，金额填到收入列",IF(AND(IFERROR(INDEX(基础资料!$AD$5:$AD$34,MATCH(O196,基础资料!$AC$5:$AC$34,0)),"")="支",N(F196)&lt;&gt;0),"✗ 这类是付款，金额填到支出列",IF(N(H196)&lt;0,"⚠ 账户余额成负数了，核对一下","√"))))))))))))))))))</f>
      </c>
      <c r="O196" s="78">
        <f>IF(D196&lt;&gt;"",D196,IF(AND(F196="",G196=""),"",IF(J196&lt;&gt;"",IF(N(F196)&gt;0,"客户回款","客户退款"),IF(K196&lt;&gt;"",IF(N(G196)&gt;0,"供应商付款","供应商退款"),IF(L196&lt;&gt;"","费用支出","")))))</f>
      </c>
      <c r="P196" s="78">
        <f>IF(O196="","",IFERROR(INDEX(基础资料!$AE$5:$AE$34,MATCH(O196,基础资料!$AC$5:$AC$34,0)),"未知"))</f>
      </c>
      <c r="Q196" s="78">
        <f>IF(P196="应收",COUNTIF(P$7:P196,"应收"),"")</f>
      </c>
      <c r="R196" s="78">
        <f>IF(P196="应付",COUNTIF(P$7:P196,"应付"),"")</f>
      </c>
      <c r="S196" s="78">
        <f>N(F196)-N(G196)</f>
        <v>0</v>
      </c>
    </row>
    <row r="197">
      <c r="A197" s="109">
        <f>IF(AND(F197="",G197=""),"",ROW()-6)</f>
      </c>
      <c r="B197" s="140" t="n"/>
      <c r="C197" s="141" t="n"/>
      <c r="D197" s="141" t="n"/>
      <c r="E197" s="142" t="n"/>
      <c r="F197" s="143" t="n"/>
      <c r="G197" s="144" t="n"/>
      <c r="H197" s="145">
        <f>IF(OR(C197="",AND(F197="",G197="")),"",SUMIF(基础资料!$W$5:$W$24,C197,基础资料!$X$5:$X$24)+SUMIF(C$7:C197,C197,F$7:F197)-SUMIF(C$7:C197,C197,G$7:G197))</f>
      </c>
      <c r="I197" s="145">
        <f>IF(AND(F197="",G197=""),"",SUM(基础资料!$X$5:$X$24)+SUM(F$7:F197)-SUM(G$7:G197))</f>
      </c>
      <c r="J197" s="141" t="n"/>
      <c r="K197" s="141" t="n"/>
      <c r="L197" s="141" t="n"/>
      <c r="M197" s="142" t="n"/>
      <c r="N197" s="146">
        <f>IF(AND(AND(F197="",G197=""),B197="",C197="",D197="",J197="",K197="",L197=""),"",IF(AND(F197="",G197=""),"✗ 没填金额",IF(AND(N(F197)&lt;&gt;0,N(G197)&lt;&gt;0),"✗ 收入、支出只能填一边",IF(NOT(ISNUMBER(B197)),"✗ 日期不是真日期（要像 2026/9/25 这样填）",IF(OR(B197&lt;年初日,B197&gt;年末日),"✗ 日期不在本会计年度",IF(C197="","✗ 没选账户",IF(COUNTIF(基础资料!$W$5:$W$24,C197)=0,"✗ 账户不在基础资料里",IF(O197="","✗ 没选收支项目",IF(P197="未知","✗ 收支项目不在基础资料里",IF(AND(P197="应收",J197=""),"✗ 这笔要选客户",IF(AND(P197="应收",COUNTIF(总览汇总!$B$5:$B$304,J197)=0),"✗ 客户不在总览汇总名单里",IF(AND(P197="应付",K197=""),"✗ 这笔要选供应商",IF(AND(P197="应付",COUNTIF(基础资料!$Q$5:$Q$54,K197)=0),"✗ 供应商不在基础资料里",IF(AND(P197="费用",L197=""),"✗ 费用支出要选费用项目",IF(AND(L197&lt;&gt;"",COUNTIF(基础资料!$AI$5:$AI$54,L197)=0),"✗ 费用项目不在基础资料里",IF(AND(IFERROR(INDEX(基础资料!$AD$5:$AD$34,MATCH(O197,基础资料!$AC$5:$AC$34,0)),"")="收",N(G197)&lt;&gt;0),"✗ 这类是收款，金额填到收入列",IF(AND(IFERROR(INDEX(基础资料!$AD$5:$AD$34,MATCH(O197,基础资料!$AC$5:$AC$34,0)),"")="支",N(F197)&lt;&gt;0),"✗ 这类是付款，金额填到支出列",IF(N(H197)&lt;0,"⚠ 账户余额成负数了，核对一下","√"))))))))))))))))))</f>
      </c>
      <c r="O197" s="78">
        <f>IF(D197&lt;&gt;"",D197,IF(AND(F197="",G197=""),"",IF(J197&lt;&gt;"",IF(N(F197)&gt;0,"客户回款","客户退款"),IF(K197&lt;&gt;"",IF(N(G197)&gt;0,"供应商付款","供应商退款"),IF(L197&lt;&gt;"","费用支出","")))))</f>
      </c>
      <c r="P197" s="78">
        <f>IF(O197="","",IFERROR(INDEX(基础资料!$AE$5:$AE$34,MATCH(O197,基础资料!$AC$5:$AC$34,0)),"未知"))</f>
      </c>
      <c r="Q197" s="78">
        <f>IF(P197="应收",COUNTIF(P$7:P197,"应收"),"")</f>
      </c>
      <c r="R197" s="78">
        <f>IF(P197="应付",COUNTIF(P$7:P197,"应付"),"")</f>
      </c>
      <c r="S197" s="78">
        <f>N(F197)-N(G197)</f>
        <v>0</v>
      </c>
    </row>
    <row r="198">
      <c r="A198" s="109">
        <f>IF(AND(F198="",G198=""),"",ROW()-6)</f>
      </c>
      <c r="B198" s="140" t="n"/>
      <c r="C198" s="141" t="n"/>
      <c r="D198" s="141" t="n"/>
      <c r="E198" s="142" t="n"/>
      <c r="F198" s="143" t="n"/>
      <c r="G198" s="144" t="n"/>
      <c r="H198" s="145">
        <f>IF(OR(C198="",AND(F198="",G198="")),"",SUMIF(基础资料!$W$5:$W$24,C198,基础资料!$X$5:$X$24)+SUMIF(C$7:C198,C198,F$7:F198)-SUMIF(C$7:C198,C198,G$7:G198))</f>
      </c>
      <c r="I198" s="145">
        <f>IF(AND(F198="",G198=""),"",SUM(基础资料!$X$5:$X$24)+SUM(F$7:F198)-SUM(G$7:G198))</f>
      </c>
      <c r="J198" s="141" t="n"/>
      <c r="K198" s="141" t="n"/>
      <c r="L198" s="141" t="n"/>
      <c r="M198" s="142" t="n"/>
      <c r="N198" s="146">
        <f>IF(AND(AND(F198="",G198=""),B198="",C198="",D198="",J198="",K198="",L198=""),"",IF(AND(F198="",G198=""),"✗ 没填金额",IF(AND(N(F198)&lt;&gt;0,N(G198)&lt;&gt;0),"✗ 收入、支出只能填一边",IF(NOT(ISNUMBER(B198)),"✗ 日期不是真日期（要像 2026/9/25 这样填）",IF(OR(B198&lt;年初日,B198&gt;年末日),"✗ 日期不在本会计年度",IF(C198="","✗ 没选账户",IF(COUNTIF(基础资料!$W$5:$W$24,C198)=0,"✗ 账户不在基础资料里",IF(O198="","✗ 没选收支项目",IF(P198="未知","✗ 收支项目不在基础资料里",IF(AND(P198="应收",J198=""),"✗ 这笔要选客户",IF(AND(P198="应收",COUNTIF(总览汇总!$B$5:$B$304,J198)=0),"✗ 客户不在总览汇总名单里",IF(AND(P198="应付",K198=""),"✗ 这笔要选供应商",IF(AND(P198="应付",COUNTIF(基础资料!$Q$5:$Q$54,K198)=0),"✗ 供应商不在基础资料里",IF(AND(P198="费用",L198=""),"✗ 费用支出要选费用项目",IF(AND(L198&lt;&gt;"",COUNTIF(基础资料!$AI$5:$AI$54,L198)=0),"✗ 费用项目不在基础资料里",IF(AND(IFERROR(INDEX(基础资料!$AD$5:$AD$34,MATCH(O198,基础资料!$AC$5:$AC$34,0)),"")="收",N(G198)&lt;&gt;0),"✗ 这类是收款，金额填到收入列",IF(AND(IFERROR(INDEX(基础资料!$AD$5:$AD$34,MATCH(O198,基础资料!$AC$5:$AC$34,0)),"")="支",N(F198)&lt;&gt;0),"✗ 这类是付款，金额填到支出列",IF(N(H198)&lt;0,"⚠ 账户余额成负数了，核对一下","√"))))))))))))))))))</f>
      </c>
      <c r="O198" s="78">
        <f>IF(D198&lt;&gt;"",D198,IF(AND(F198="",G198=""),"",IF(J198&lt;&gt;"",IF(N(F198)&gt;0,"客户回款","客户退款"),IF(K198&lt;&gt;"",IF(N(G198)&gt;0,"供应商付款","供应商退款"),IF(L198&lt;&gt;"","费用支出","")))))</f>
      </c>
      <c r="P198" s="78">
        <f>IF(O198="","",IFERROR(INDEX(基础资料!$AE$5:$AE$34,MATCH(O198,基础资料!$AC$5:$AC$34,0)),"未知"))</f>
      </c>
      <c r="Q198" s="78">
        <f>IF(P198="应收",COUNTIF(P$7:P198,"应收"),"")</f>
      </c>
      <c r="R198" s="78">
        <f>IF(P198="应付",COUNTIF(P$7:P198,"应付"),"")</f>
      </c>
      <c r="S198" s="78">
        <f>N(F198)-N(G198)</f>
        <v>0</v>
      </c>
    </row>
    <row r="199">
      <c r="A199" s="109">
        <f>IF(AND(F199="",G199=""),"",ROW()-6)</f>
      </c>
      <c r="B199" s="140" t="n"/>
      <c r="C199" s="141" t="n"/>
      <c r="D199" s="141" t="n"/>
      <c r="E199" s="142" t="n"/>
      <c r="F199" s="143" t="n"/>
      <c r="G199" s="144" t="n"/>
      <c r="H199" s="145">
        <f>IF(OR(C199="",AND(F199="",G199="")),"",SUMIF(基础资料!$W$5:$W$24,C199,基础资料!$X$5:$X$24)+SUMIF(C$7:C199,C199,F$7:F199)-SUMIF(C$7:C199,C199,G$7:G199))</f>
      </c>
      <c r="I199" s="145">
        <f>IF(AND(F199="",G199=""),"",SUM(基础资料!$X$5:$X$24)+SUM(F$7:F199)-SUM(G$7:G199))</f>
      </c>
      <c r="J199" s="141" t="n"/>
      <c r="K199" s="141" t="n"/>
      <c r="L199" s="141" t="n"/>
      <c r="M199" s="142" t="n"/>
      <c r="N199" s="146">
        <f>IF(AND(AND(F199="",G199=""),B199="",C199="",D199="",J199="",K199="",L199=""),"",IF(AND(F199="",G199=""),"✗ 没填金额",IF(AND(N(F199)&lt;&gt;0,N(G199)&lt;&gt;0),"✗ 收入、支出只能填一边",IF(NOT(ISNUMBER(B199)),"✗ 日期不是真日期（要像 2026/9/25 这样填）",IF(OR(B199&lt;年初日,B199&gt;年末日),"✗ 日期不在本会计年度",IF(C199="","✗ 没选账户",IF(COUNTIF(基础资料!$W$5:$W$24,C199)=0,"✗ 账户不在基础资料里",IF(O199="","✗ 没选收支项目",IF(P199="未知","✗ 收支项目不在基础资料里",IF(AND(P199="应收",J199=""),"✗ 这笔要选客户",IF(AND(P199="应收",COUNTIF(总览汇总!$B$5:$B$304,J199)=0),"✗ 客户不在总览汇总名单里",IF(AND(P199="应付",K199=""),"✗ 这笔要选供应商",IF(AND(P199="应付",COUNTIF(基础资料!$Q$5:$Q$54,K199)=0),"✗ 供应商不在基础资料里",IF(AND(P199="费用",L199=""),"✗ 费用支出要选费用项目",IF(AND(L199&lt;&gt;"",COUNTIF(基础资料!$AI$5:$AI$54,L199)=0),"✗ 费用项目不在基础资料里",IF(AND(IFERROR(INDEX(基础资料!$AD$5:$AD$34,MATCH(O199,基础资料!$AC$5:$AC$34,0)),"")="收",N(G199)&lt;&gt;0),"✗ 这类是收款，金额填到收入列",IF(AND(IFERROR(INDEX(基础资料!$AD$5:$AD$34,MATCH(O199,基础资料!$AC$5:$AC$34,0)),"")="支",N(F199)&lt;&gt;0),"✗ 这类是付款，金额填到支出列",IF(N(H199)&lt;0,"⚠ 账户余额成负数了，核对一下","√"))))))))))))))))))</f>
      </c>
      <c r="O199" s="78">
        <f>IF(D199&lt;&gt;"",D199,IF(AND(F199="",G199=""),"",IF(J199&lt;&gt;"",IF(N(F199)&gt;0,"客户回款","客户退款"),IF(K199&lt;&gt;"",IF(N(G199)&gt;0,"供应商付款","供应商退款"),IF(L199&lt;&gt;"","费用支出","")))))</f>
      </c>
      <c r="P199" s="78">
        <f>IF(O199="","",IFERROR(INDEX(基础资料!$AE$5:$AE$34,MATCH(O199,基础资料!$AC$5:$AC$34,0)),"未知"))</f>
      </c>
      <c r="Q199" s="78">
        <f>IF(P199="应收",COUNTIF(P$7:P199,"应收"),"")</f>
      </c>
      <c r="R199" s="78">
        <f>IF(P199="应付",COUNTIF(P$7:P199,"应付"),"")</f>
      </c>
      <c r="S199" s="78">
        <f>N(F199)-N(G199)</f>
        <v>0</v>
      </c>
    </row>
    <row r="200">
      <c r="A200" s="109">
        <f>IF(AND(F200="",G200=""),"",ROW()-6)</f>
      </c>
      <c r="B200" s="140" t="n"/>
      <c r="C200" s="141" t="n"/>
      <c r="D200" s="141" t="n"/>
      <c r="E200" s="142" t="n"/>
      <c r="F200" s="143" t="n"/>
      <c r="G200" s="144" t="n"/>
      <c r="H200" s="145">
        <f>IF(OR(C200="",AND(F200="",G200="")),"",SUMIF(基础资料!$W$5:$W$24,C200,基础资料!$X$5:$X$24)+SUMIF(C$7:C200,C200,F$7:F200)-SUMIF(C$7:C200,C200,G$7:G200))</f>
      </c>
      <c r="I200" s="145">
        <f>IF(AND(F200="",G200=""),"",SUM(基础资料!$X$5:$X$24)+SUM(F$7:F200)-SUM(G$7:G200))</f>
      </c>
      <c r="J200" s="141" t="n"/>
      <c r="K200" s="141" t="n"/>
      <c r="L200" s="141" t="n"/>
      <c r="M200" s="142" t="n"/>
      <c r="N200" s="146">
        <f>IF(AND(AND(F200="",G200=""),B200="",C200="",D200="",J200="",K200="",L200=""),"",IF(AND(F200="",G200=""),"✗ 没填金额",IF(AND(N(F200)&lt;&gt;0,N(G200)&lt;&gt;0),"✗ 收入、支出只能填一边",IF(NOT(ISNUMBER(B200)),"✗ 日期不是真日期（要像 2026/9/25 这样填）",IF(OR(B200&lt;年初日,B200&gt;年末日),"✗ 日期不在本会计年度",IF(C200="","✗ 没选账户",IF(COUNTIF(基础资料!$W$5:$W$24,C200)=0,"✗ 账户不在基础资料里",IF(O200="","✗ 没选收支项目",IF(P200="未知","✗ 收支项目不在基础资料里",IF(AND(P200="应收",J200=""),"✗ 这笔要选客户",IF(AND(P200="应收",COUNTIF(总览汇总!$B$5:$B$304,J200)=0),"✗ 客户不在总览汇总名单里",IF(AND(P200="应付",K200=""),"✗ 这笔要选供应商",IF(AND(P200="应付",COUNTIF(基础资料!$Q$5:$Q$54,K200)=0),"✗ 供应商不在基础资料里",IF(AND(P200="费用",L200=""),"✗ 费用支出要选费用项目",IF(AND(L200&lt;&gt;"",COUNTIF(基础资料!$AI$5:$AI$54,L200)=0),"✗ 费用项目不在基础资料里",IF(AND(IFERROR(INDEX(基础资料!$AD$5:$AD$34,MATCH(O200,基础资料!$AC$5:$AC$34,0)),"")="收",N(G200)&lt;&gt;0),"✗ 这类是收款，金额填到收入列",IF(AND(IFERROR(INDEX(基础资料!$AD$5:$AD$34,MATCH(O200,基础资料!$AC$5:$AC$34,0)),"")="支",N(F200)&lt;&gt;0),"✗ 这类是付款，金额填到支出列",IF(N(H200)&lt;0,"⚠ 账户余额成负数了，核对一下","√"))))))))))))))))))</f>
      </c>
      <c r="O200" s="78">
        <f>IF(D200&lt;&gt;"",D200,IF(AND(F200="",G200=""),"",IF(J200&lt;&gt;"",IF(N(F200)&gt;0,"客户回款","客户退款"),IF(K200&lt;&gt;"",IF(N(G200)&gt;0,"供应商付款","供应商退款"),IF(L200&lt;&gt;"","费用支出","")))))</f>
      </c>
      <c r="P200" s="78">
        <f>IF(O200="","",IFERROR(INDEX(基础资料!$AE$5:$AE$34,MATCH(O200,基础资料!$AC$5:$AC$34,0)),"未知"))</f>
      </c>
      <c r="Q200" s="78">
        <f>IF(P200="应收",COUNTIF(P$7:P200,"应收"),"")</f>
      </c>
      <c r="R200" s="78">
        <f>IF(P200="应付",COUNTIF(P$7:P200,"应付"),"")</f>
      </c>
      <c r="S200" s="78">
        <f>N(F200)-N(G200)</f>
        <v>0</v>
      </c>
    </row>
    <row r="201">
      <c r="A201" s="109">
        <f>IF(AND(F201="",G201=""),"",ROW()-6)</f>
      </c>
      <c r="B201" s="140" t="n"/>
      <c r="C201" s="141" t="n"/>
      <c r="D201" s="141" t="n"/>
      <c r="E201" s="142" t="n"/>
      <c r="F201" s="143" t="n"/>
      <c r="G201" s="144" t="n"/>
      <c r="H201" s="145">
        <f>IF(OR(C201="",AND(F201="",G201="")),"",SUMIF(基础资料!$W$5:$W$24,C201,基础资料!$X$5:$X$24)+SUMIF(C$7:C201,C201,F$7:F201)-SUMIF(C$7:C201,C201,G$7:G201))</f>
      </c>
      <c r="I201" s="145">
        <f>IF(AND(F201="",G201=""),"",SUM(基础资料!$X$5:$X$24)+SUM(F$7:F201)-SUM(G$7:G201))</f>
      </c>
      <c r="J201" s="141" t="n"/>
      <c r="K201" s="141" t="n"/>
      <c r="L201" s="141" t="n"/>
      <c r="M201" s="142" t="n"/>
      <c r="N201" s="146">
        <f>IF(AND(AND(F201="",G201=""),B201="",C201="",D201="",J201="",K201="",L201=""),"",IF(AND(F201="",G201=""),"✗ 没填金额",IF(AND(N(F201)&lt;&gt;0,N(G201)&lt;&gt;0),"✗ 收入、支出只能填一边",IF(NOT(ISNUMBER(B201)),"✗ 日期不是真日期（要像 2026/9/25 这样填）",IF(OR(B201&lt;年初日,B201&gt;年末日),"✗ 日期不在本会计年度",IF(C201="","✗ 没选账户",IF(COUNTIF(基础资料!$W$5:$W$24,C201)=0,"✗ 账户不在基础资料里",IF(O201="","✗ 没选收支项目",IF(P201="未知","✗ 收支项目不在基础资料里",IF(AND(P201="应收",J201=""),"✗ 这笔要选客户",IF(AND(P201="应收",COUNTIF(总览汇总!$B$5:$B$304,J201)=0),"✗ 客户不在总览汇总名单里",IF(AND(P201="应付",K201=""),"✗ 这笔要选供应商",IF(AND(P201="应付",COUNTIF(基础资料!$Q$5:$Q$54,K201)=0),"✗ 供应商不在基础资料里",IF(AND(P201="费用",L201=""),"✗ 费用支出要选费用项目",IF(AND(L201&lt;&gt;"",COUNTIF(基础资料!$AI$5:$AI$54,L201)=0),"✗ 费用项目不在基础资料里",IF(AND(IFERROR(INDEX(基础资料!$AD$5:$AD$34,MATCH(O201,基础资料!$AC$5:$AC$34,0)),"")="收",N(G201)&lt;&gt;0),"✗ 这类是收款，金额填到收入列",IF(AND(IFERROR(INDEX(基础资料!$AD$5:$AD$34,MATCH(O201,基础资料!$AC$5:$AC$34,0)),"")="支",N(F201)&lt;&gt;0),"✗ 这类是付款，金额填到支出列",IF(N(H201)&lt;0,"⚠ 账户余额成负数了，核对一下","√"))))))))))))))))))</f>
      </c>
      <c r="O201" s="78">
        <f>IF(D201&lt;&gt;"",D201,IF(AND(F201="",G201=""),"",IF(J201&lt;&gt;"",IF(N(F201)&gt;0,"客户回款","客户退款"),IF(K201&lt;&gt;"",IF(N(G201)&gt;0,"供应商付款","供应商退款"),IF(L201&lt;&gt;"","费用支出","")))))</f>
      </c>
      <c r="P201" s="78">
        <f>IF(O201="","",IFERROR(INDEX(基础资料!$AE$5:$AE$34,MATCH(O201,基础资料!$AC$5:$AC$34,0)),"未知"))</f>
      </c>
      <c r="Q201" s="78">
        <f>IF(P201="应收",COUNTIF(P$7:P201,"应收"),"")</f>
      </c>
      <c r="R201" s="78">
        <f>IF(P201="应付",COUNTIF(P$7:P201,"应付"),"")</f>
      </c>
      <c r="S201" s="78">
        <f>N(F201)-N(G201)</f>
        <v>0</v>
      </c>
    </row>
    <row r="202">
      <c r="A202" s="109">
        <f>IF(AND(F202="",G202=""),"",ROW()-6)</f>
      </c>
      <c r="B202" s="140" t="n"/>
      <c r="C202" s="141" t="n"/>
      <c r="D202" s="141" t="n"/>
      <c r="E202" s="142" t="n"/>
      <c r="F202" s="143" t="n"/>
      <c r="G202" s="144" t="n"/>
      <c r="H202" s="145">
        <f>IF(OR(C202="",AND(F202="",G202="")),"",SUMIF(基础资料!$W$5:$W$24,C202,基础资料!$X$5:$X$24)+SUMIF(C$7:C202,C202,F$7:F202)-SUMIF(C$7:C202,C202,G$7:G202))</f>
      </c>
      <c r="I202" s="145">
        <f>IF(AND(F202="",G202=""),"",SUM(基础资料!$X$5:$X$24)+SUM(F$7:F202)-SUM(G$7:G202))</f>
      </c>
      <c r="J202" s="141" t="n"/>
      <c r="K202" s="141" t="n"/>
      <c r="L202" s="141" t="n"/>
      <c r="M202" s="142" t="n"/>
      <c r="N202" s="146">
        <f>IF(AND(AND(F202="",G202=""),B202="",C202="",D202="",J202="",K202="",L202=""),"",IF(AND(F202="",G202=""),"✗ 没填金额",IF(AND(N(F202)&lt;&gt;0,N(G202)&lt;&gt;0),"✗ 收入、支出只能填一边",IF(NOT(ISNUMBER(B202)),"✗ 日期不是真日期（要像 2026/9/25 这样填）",IF(OR(B202&lt;年初日,B202&gt;年末日),"✗ 日期不在本会计年度",IF(C202="","✗ 没选账户",IF(COUNTIF(基础资料!$W$5:$W$24,C202)=0,"✗ 账户不在基础资料里",IF(O202="","✗ 没选收支项目",IF(P202="未知","✗ 收支项目不在基础资料里",IF(AND(P202="应收",J202=""),"✗ 这笔要选客户",IF(AND(P202="应收",COUNTIF(总览汇总!$B$5:$B$304,J202)=0),"✗ 客户不在总览汇总名单里",IF(AND(P202="应付",K202=""),"✗ 这笔要选供应商",IF(AND(P202="应付",COUNTIF(基础资料!$Q$5:$Q$54,K202)=0),"✗ 供应商不在基础资料里",IF(AND(P202="费用",L202=""),"✗ 费用支出要选费用项目",IF(AND(L202&lt;&gt;"",COUNTIF(基础资料!$AI$5:$AI$54,L202)=0),"✗ 费用项目不在基础资料里",IF(AND(IFERROR(INDEX(基础资料!$AD$5:$AD$34,MATCH(O202,基础资料!$AC$5:$AC$34,0)),"")="收",N(G202)&lt;&gt;0),"✗ 这类是收款，金额填到收入列",IF(AND(IFERROR(INDEX(基础资料!$AD$5:$AD$34,MATCH(O202,基础资料!$AC$5:$AC$34,0)),"")="支",N(F202)&lt;&gt;0),"✗ 这类是付款，金额填到支出列",IF(N(H202)&lt;0,"⚠ 账户余额成负数了，核对一下","√"))))))))))))))))))</f>
      </c>
      <c r="O202" s="78">
        <f>IF(D202&lt;&gt;"",D202,IF(AND(F202="",G202=""),"",IF(J202&lt;&gt;"",IF(N(F202)&gt;0,"客户回款","客户退款"),IF(K202&lt;&gt;"",IF(N(G202)&gt;0,"供应商付款","供应商退款"),IF(L202&lt;&gt;"","费用支出","")))))</f>
      </c>
      <c r="P202" s="78">
        <f>IF(O202="","",IFERROR(INDEX(基础资料!$AE$5:$AE$34,MATCH(O202,基础资料!$AC$5:$AC$34,0)),"未知"))</f>
      </c>
      <c r="Q202" s="78">
        <f>IF(P202="应收",COUNTIF(P$7:P202,"应收"),"")</f>
      </c>
      <c r="R202" s="78">
        <f>IF(P202="应付",COUNTIF(P$7:P202,"应付"),"")</f>
      </c>
      <c r="S202" s="78">
        <f>N(F202)-N(G202)</f>
        <v>0</v>
      </c>
    </row>
    <row r="203">
      <c r="A203" s="109">
        <f>IF(AND(F203="",G203=""),"",ROW()-6)</f>
      </c>
      <c r="B203" s="140" t="n"/>
      <c r="C203" s="141" t="n"/>
      <c r="D203" s="141" t="n"/>
      <c r="E203" s="142" t="n"/>
      <c r="F203" s="143" t="n"/>
      <c r="G203" s="144" t="n"/>
      <c r="H203" s="145">
        <f>IF(OR(C203="",AND(F203="",G203="")),"",SUMIF(基础资料!$W$5:$W$24,C203,基础资料!$X$5:$X$24)+SUMIF(C$7:C203,C203,F$7:F203)-SUMIF(C$7:C203,C203,G$7:G203))</f>
      </c>
      <c r="I203" s="145">
        <f>IF(AND(F203="",G203=""),"",SUM(基础资料!$X$5:$X$24)+SUM(F$7:F203)-SUM(G$7:G203))</f>
      </c>
      <c r="J203" s="141" t="n"/>
      <c r="K203" s="141" t="n"/>
      <c r="L203" s="141" t="n"/>
      <c r="M203" s="142" t="n"/>
      <c r="N203" s="146">
        <f>IF(AND(AND(F203="",G203=""),B203="",C203="",D203="",J203="",K203="",L203=""),"",IF(AND(F203="",G203=""),"✗ 没填金额",IF(AND(N(F203)&lt;&gt;0,N(G203)&lt;&gt;0),"✗ 收入、支出只能填一边",IF(NOT(ISNUMBER(B203)),"✗ 日期不是真日期（要像 2026/9/25 这样填）",IF(OR(B203&lt;年初日,B203&gt;年末日),"✗ 日期不在本会计年度",IF(C203="","✗ 没选账户",IF(COUNTIF(基础资料!$W$5:$W$24,C203)=0,"✗ 账户不在基础资料里",IF(O203="","✗ 没选收支项目",IF(P203="未知","✗ 收支项目不在基础资料里",IF(AND(P203="应收",J203=""),"✗ 这笔要选客户",IF(AND(P203="应收",COUNTIF(总览汇总!$B$5:$B$304,J203)=0),"✗ 客户不在总览汇总名单里",IF(AND(P203="应付",K203=""),"✗ 这笔要选供应商",IF(AND(P203="应付",COUNTIF(基础资料!$Q$5:$Q$54,K203)=0),"✗ 供应商不在基础资料里",IF(AND(P203="费用",L203=""),"✗ 费用支出要选费用项目",IF(AND(L203&lt;&gt;"",COUNTIF(基础资料!$AI$5:$AI$54,L203)=0),"✗ 费用项目不在基础资料里",IF(AND(IFERROR(INDEX(基础资料!$AD$5:$AD$34,MATCH(O203,基础资料!$AC$5:$AC$34,0)),"")="收",N(G203)&lt;&gt;0),"✗ 这类是收款，金额填到收入列",IF(AND(IFERROR(INDEX(基础资料!$AD$5:$AD$34,MATCH(O203,基础资料!$AC$5:$AC$34,0)),"")="支",N(F203)&lt;&gt;0),"✗ 这类是付款，金额填到支出列",IF(N(H203)&lt;0,"⚠ 账户余额成负数了，核对一下","√"))))))))))))))))))</f>
      </c>
      <c r="O203" s="78">
        <f>IF(D203&lt;&gt;"",D203,IF(AND(F203="",G203=""),"",IF(J203&lt;&gt;"",IF(N(F203)&gt;0,"客户回款","客户退款"),IF(K203&lt;&gt;"",IF(N(G203)&gt;0,"供应商付款","供应商退款"),IF(L203&lt;&gt;"","费用支出","")))))</f>
      </c>
      <c r="P203" s="78">
        <f>IF(O203="","",IFERROR(INDEX(基础资料!$AE$5:$AE$34,MATCH(O203,基础资料!$AC$5:$AC$34,0)),"未知"))</f>
      </c>
      <c r="Q203" s="78">
        <f>IF(P203="应收",COUNTIF(P$7:P203,"应收"),"")</f>
      </c>
      <c r="R203" s="78">
        <f>IF(P203="应付",COUNTIF(P$7:P203,"应付"),"")</f>
      </c>
      <c r="S203" s="78">
        <f>N(F203)-N(G203)</f>
        <v>0</v>
      </c>
    </row>
    <row r="204">
      <c r="A204" s="109">
        <f>IF(AND(F204="",G204=""),"",ROW()-6)</f>
      </c>
      <c r="B204" s="140" t="n"/>
      <c r="C204" s="141" t="n"/>
      <c r="D204" s="141" t="n"/>
      <c r="E204" s="142" t="n"/>
      <c r="F204" s="143" t="n"/>
      <c r="G204" s="144" t="n"/>
      <c r="H204" s="145">
        <f>IF(OR(C204="",AND(F204="",G204="")),"",SUMIF(基础资料!$W$5:$W$24,C204,基础资料!$X$5:$X$24)+SUMIF(C$7:C204,C204,F$7:F204)-SUMIF(C$7:C204,C204,G$7:G204))</f>
      </c>
      <c r="I204" s="145">
        <f>IF(AND(F204="",G204=""),"",SUM(基础资料!$X$5:$X$24)+SUM(F$7:F204)-SUM(G$7:G204))</f>
      </c>
      <c r="J204" s="141" t="n"/>
      <c r="K204" s="141" t="n"/>
      <c r="L204" s="141" t="n"/>
      <c r="M204" s="142" t="n"/>
      <c r="N204" s="146">
        <f>IF(AND(AND(F204="",G204=""),B204="",C204="",D204="",J204="",K204="",L204=""),"",IF(AND(F204="",G204=""),"✗ 没填金额",IF(AND(N(F204)&lt;&gt;0,N(G204)&lt;&gt;0),"✗ 收入、支出只能填一边",IF(NOT(ISNUMBER(B204)),"✗ 日期不是真日期（要像 2026/9/25 这样填）",IF(OR(B204&lt;年初日,B204&gt;年末日),"✗ 日期不在本会计年度",IF(C204="","✗ 没选账户",IF(COUNTIF(基础资料!$W$5:$W$24,C204)=0,"✗ 账户不在基础资料里",IF(O204="","✗ 没选收支项目",IF(P204="未知","✗ 收支项目不在基础资料里",IF(AND(P204="应收",J204=""),"✗ 这笔要选客户",IF(AND(P204="应收",COUNTIF(总览汇总!$B$5:$B$304,J204)=0),"✗ 客户不在总览汇总名单里",IF(AND(P204="应付",K204=""),"✗ 这笔要选供应商",IF(AND(P204="应付",COUNTIF(基础资料!$Q$5:$Q$54,K204)=0),"✗ 供应商不在基础资料里",IF(AND(P204="费用",L204=""),"✗ 费用支出要选费用项目",IF(AND(L204&lt;&gt;"",COUNTIF(基础资料!$AI$5:$AI$54,L204)=0),"✗ 费用项目不在基础资料里",IF(AND(IFERROR(INDEX(基础资料!$AD$5:$AD$34,MATCH(O204,基础资料!$AC$5:$AC$34,0)),"")="收",N(G204)&lt;&gt;0),"✗ 这类是收款，金额填到收入列",IF(AND(IFERROR(INDEX(基础资料!$AD$5:$AD$34,MATCH(O204,基础资料!$AC$5:$AC$34,0)),"")="支",N(F204)&lt;&gt;0),"✗ 这类是付款，金额填到支出列",IF(N(H204)&lt;0,"⚠ 账户余额成负数了，核对一下","√"))))))))))))))))))</f>
      </c>
      <c r="O204" s="78">
        <f>IF(D204&lt;&gt;"",D204,IF(AND(F204="",G204=""),"",IF(J204&lt;&gt;"",IF(N(F204)&gt;0,"客户回款","客户退款"),IF(K204&lt;&gt;"",IF(N(G204)&gt;0,"供应商付款","供应商退款"),IF(L204&lt;&gt;"","费用支出","")))))</f>
      </c>
      <c r="P204" s="78">
        <f>IF(O204="","",IFERROR(INDEX(基础资料!$AE$5:$AE$34,MATCH(O204,基础资料!$AC$5:$AC$34,0)),"未知"))</f>
      </c>
      <c r="Q204" s="78">
        <f>IF(P204="应收",COUNTIF(P$7:P204,"应收"),"")</f>
      </c>
      <c r="R204" s="78">
        <f>IF(P204="应付",COUNTIF(P$7:P204,"应付"),"")</f>
      </c>
      <c r="S204" s="78">
        <f>N(F204)-N(G204)</f>
        <v>0</v>
      </c>
    </row>
    <row r="205">
      <c r="A205" s="109">
        <f>IF(AND(F205="",G205=""),"",ROW()-6)</f>
      </c>
      <c r="B205" s="140" t="n"/>
      <c r="C205" s="141" t="n"/>
      <c r="D205" s="141" t="n"/>
      <c r="E205" s="142" t="n"/>
      <c r="F205" s="143" t="n"/>
      <c r="G205" s="144" t="n"/>
      <c r="H205" s="145">
        <f>IF(OR(C205="",AND(F205="",G205="")),"",SUMIF(基础资料!$W$5:$W$24,C205,基础资料!$X$5:$X$24)+SUMIF(C$7:C205,C205,F$7:F205)-SUMIF(C$7:C205,C205,G$7:G205))</f>
      </c>
      <c r="I205" s="145">
        <f>IF(AND(F205="",G205=""),"",SUM(基础资料!$X$5:$X$24)+SUM(F$7:F205)-SUM(G$7:G205))</f>
      </c>
      <c r="J205" s="141" t="n"/>
      <c r="K205" s="141" t="n"/>
      <c r="L205" s="141" t="n"/>
      <c r="M205" s="142" t="n"/>
      <c r="N205" s="146">
        <f>IF(AND(AND(F205="",G205=""),B205="",C205="",D205="",J205="",K205="",L205=""),"",IF(AND(F205="",G205=""),"✗ 没填金额",IF(AND(N(F205)&lt;&gt;0,N(G205)&lt;&gt;0),"✗ 收入、支出只能填一边",IF(NOT(ISNUMBER(B205)),"✗ 日期不是真日期（要像 2026/9/25 这样填）",IF(OR(B205&lt;年初日,B205&gt;年末日),"✗ 日期不在本会计年度",IF(C205="","✗ 没选账户",IF(COUNTIF(基础资料!$W$5:$W$24,C205)=0,"✗ 账户不在基础资料里",IF(O205="","✗ 没选收支项目",IF(P205="未知","✗ 收支项目不在基础资料里",IF(AND(P205="应收",J205=""),"✗ 这笔要选客户",IF(AND(P205="应收",COUNTIF(总览汇总!$B$5:$B$304,J205)=0),"✗ 客户不在总览汇总名单里",IF(AND(P205="应付",K205=""),"✗ 这笔要选供应商",IF(AND(P205="应付",COUNTIF(基础资料!$Q$5:$Q$54,K205)=0),"✗ 供应商不在基础资料里",IF(AND(P205="费用",L205=""),"✗ 费用支出要选费用项目",IF(AND(L205&lt;&gt;"",COUNTIF(基础资料!$AI$5:$AI$54,L205)=0),"✗ 费用项目不在基础资料里",IF(AND(IFERROR(INDEX(基础资料!$AD$5:$AD$34,MATCH(O205,基础资料!$AC$5:$AC$34,0)),"")="收",N(G205)&lt;&gt;0),"✗ 这类是收款，金额填到收入列",IF(AND(IFERROR(INDEX(基础资料!$AD$5:$AD$34,MATCH(O205,基础资料!$AC$5:$AC$34,0)),"")="支",N(F205)&lt;&gt;0),"✗ 这类是付款，金额填到支出列",IF(N(H205)&lt;0,"⚠ 账户余额成负数了，核对一下","√"))))))))))))))))))</f>
      </c>
      <c r="O205" s="78">
        <f>IF(D205&lt;&gt;"",D205,IF(AND(F205="",G205=""),"",IF(J205&lt;&gt;"",IF(N(F205)&gt;0,"客户回款","客户退款"),IF(K205&lt;&gt;"",IF(N(G205)&gt;0,"供应商付款","供应商退款"),IF(L205&lt;&gt;"","费用支出","")))))</f>
      </c>
      <c r="P205" s="78">
        <f>IF(O205="","",IFERROR(INDEX(基础资料!$AE$5:$AE$34,MATCH(O205,基础资料!$AC$5:$AC$34,0)),"未知"))</f>
      </c>
      <c r="Q205" s="78">
        <f>IF(P205="应收",COUNTIF(P$7:P205,"应收"),"")</f>
      </c>
      <c r="R205" s="78">
        <f>IF(P205="应付",COUNTIF(P$7:P205,"应付"),"")</f>
      </c>
      <c r="S205" s="78">
        <f>N(F205)-N(G205)</f>
        <v>0</v>
      </c>
    </row>
    <row r="206">
      <c r="A206" s="109">
        <f>IF(AND(F206="",G206=""),"",ROW()-6)</f>
      </c>
      <c r="B206" s="140" t="n"/>
      <c r="C206" s="141" t="n"/>
      <c r="D206" s="141" t="n"/>
      <c r="E206" s="142" t="n"/>
      <c r="F206" s="143" t="n"/>
      <c r="G206" s="144" t="n"/>
      <c r="H206" s="145">
        <f>IF(OR(C206="",AND(F206="",G206="")),"",SUMIF(基础资料!$W$5:$W$24,C206,基础资料!$X$5:$X$24)+SUMIF(C$7:C206,C206,F$7:F206)-SUMIF(C$7:C206,C206,G$7:G206))</f>
      </c>
      <c r="I206" s="145">
        <f>IF(AND(F206="",G206=""),"",SUM(基础资料!$X$5:$X$24)+SUM(F$7:F206)-SUM(G$7:G206))</f>
      </c>
      <c r="J206" s="141" t="n"/>
      <c r="K206" s="141" t="n"/>
      <c r="L206" s="141" t="n"/>
      <c r="M206" s="142" t="n"/>
      <c r="N206" s="146">
        <f>IF(AND(AND(F206="",G206=""),B206="",C206="",D206="",J206="",K206="",L206=""),"",IF(AND(F206="",G206=""),"✗ 没填金额",IF(AND(N(F206)&lt;&gt;0,N(G206)&lt;&gt;0),"✗ 收入、支出只能填一边",IF(NOT(ISNUMBER(B206)),"✗ 日期不是真日期（要像 2026/9/25 这样填）",IF(OR(B206&lt;年初日,B206&gt;年末日),"✗ 日期不在本会计年度",IF(C206="","✗ 没选账户",IF(COUNTIF(基础资料!$W$5:$W$24,C206)=0,"✗ 账户不在基础资料里",IF(O206="","✗ 没选收支项目",IF(P206="未知","✗ 收支项目不在基础资料里",IF(AND(P206="应收",J206=""),"✗ 这笔要选客户",IF(AND(P206="应收",COUNTIF(总览汇总!$B$5:$B$304,J206)=0),"✗ 客户不在总览汇总名单里",IF(AND(P206="应付",K206=""),"✗ 这笔要选供应商",IF(AND(P206="应付",COUNTIF(基础资料!$Q$5:$Q$54,K206)=0),"✗ 供应商不在基础资料里",IF(AND(P206="费用",L206=""),"✗ 费用支出要选费用项目",IF(AND(L206&lt;&gt;"",COUNTIF(基础资料!$AI$5:$AI$54,L206)=0),"✗ 费用项目不在基础资料里",IF(AND(IFERROR(INDEX(基础资料!$AD$5:$AD$34,MATCH(O206,基础资料!$AC$5:$AC$34,0)),"")="收",N(G206)&lt;&gt;0),"✗ 这类是收款，金额填到收入列",IF(AND(IFERROR(INDEX(基础资料!$AD$5:$AD$34,MATCH(O206,基础资料!$AC$5:$AC$34,0)),"")="支",N(F206)&lt;&gt;0),"✗ 这类是付款，金额填到支出列",IF(N(H206)&lt;0,"⚠ 账户余额成负数了，核对一下","√"))))))))))))))))))</f>
      </c>
      <c r="O206" s="78">
        <f>IF(D206&lt;&gt;"",D206,IF(AND(F206="",G206=""),"",IF(J206&lt;&gt;"",IF(N(F206)&gt;0,"客户回款","客户退款"),IF(K206&lt;&gt;"",IF(N(G206)&gt;0,"供应商付款","供应商退款"),IF(L206&lt;&gt;"","费用支出","")))))</f>
      </c>
      <c r="P206" s="78">
        <f>IF(O206="","",IFERROR(INDEX(基础资料!$AE$5:$AE$34,MATCH(O206,基础资料!$AC$5:$AC$34,0)),"未知"))</f>
      </c>
      <c r="Q206" s="78">
        <f>IF(P206="应收",COUNTIF(P$7:P206,"应收"),"")</f>
      </c>
      <c r="R206" s="78">
        <f>IF(P206="应付",COUNTIF(P$7:P206,"应付"),"")</f>
      </c>
      <c r="S206" s="78">
        <f>N(F206)-N(G206)</f>
        <v>0</v>
      </c>
    </row>
    <row r="207">
      <c r="A207" s="109">
        <f>IF(AND(F207="",G207=""),"",ROW()-6)</f>
      </c>
      <c r="B207" s="140" t="n"/>
      <c r="C207" s="141" t="n"/>
      <c r="D207" s="141" t="n"/>
      <c r="E207" s="142" t="n"/>
      <c r="F207" s="143" t="n"/>
      <c r="G207" s="144" t="n"/>
      <c r="H207" s="145">
        <f>IF(OR(C207="",AND(F207="",G207="")),"",SUMIF(基础资料!$W$5:$W$24,C207,基础资料!$X$5:$X$24)+SUMIF(C$7:C207,C207,F$7:F207)-SUMIF(C$7:C207,C207,G$7:G207))</f>
      </c>
      <c r="I207" s="145">
        <f>IF(AND(F207="",G207=""),"",SUM(基础资料!$X$5:$X$24)+SUM(F$7:F207)-SUM(G$7:G207))</f>
      </c>
      <c r="J207" s="141" t="n"/>
      <c r="K207" s="141" t="n"/>
      <c r="L207" s="141" t="n"/>
      <c r="M207" s="142" t="n"/>
      <c r="N207" s="146">
        <f>IF(AND(AND(F207="",G207=""),B207="",C207="",D207="",J207="",K207="",L207=""),"",IF(AND(F207="",G207=""),"✗ 没填金额",IF(AND(N(F207)&lt;&gt;0,N(G207)&lt;&gt;0),"✗ 收入、支出只能填一边",IF(NOT(ISNUMBER(B207)),"✗ 日期不是真日期（要像 2026/9/25 这样填）",IF(OR(B207&lt;年初日,B207&gt;年末日),"✗ 日期不在本会计年度",IF(C207="","✗ 没选账户",IF(COUNTIF(基础资料!$W$5:$W$24,C207)=0,"✗ 账户不在基础资料里",IF(O207="","✗ 没选收支项目",IF(P207="未知","✗ 收支项目不在基础资料里",IF(AND(P207="应收",J207=""),"✗ 这笔要选客户",IF(AND(P207="应收",COUNTIF(总览汇总!$B$5:$B$304,J207)=0),"✗ 客户不在总览汇总名单里",IF(AND(P207="应付",K207=""),"✗ 这笔要选供应商",IF(AND(P207="应付",COUNTIF(基础资料!$Q$5:$Q$54,K207)=0),"✗ 供应商不在基础资料里",IF(AND(P207="费用",L207=""),"✗ 费用支出要选费用项目",IF(AND(L207&lt;&gt;"",COUNTIF(基础资料!$AI$5:$AI$54,L207)=0),"✗ 费用项目不在基础资料里",IF(AND(IFERROR(INDEX(基础资料!$AD$5:$AD$34,MATCH(O207,基础资料!$AC$5:$AC$34,0)),"")="收",N(G207)&lt;&gt;0),"✗ 这类是收款，金额填到收入列",IF(AND(IFERROR(INDEX(基础资料!$AD$5:$AD$34,MATCH(O207,基础资料!$AC$5:$AC$34,0)),"")="支",N(F207)&lt;&gt;0),"✗ 这类是付款，金额填到支出列",IF(N(H207)&lt;0,"⚠ 账户余额成负数了，核对一下","√"))))))))))))))))))</f>
      </c>
      <c r="O207" s="78">
        <f>IF(D207&lt;&gt;"",D207,IF(AND(F207="",G207=""),"",IF(J207&lt;&gt;"",IF(N(F207)&gt;0,"客户回款","客户退款"),IF(K207&lt;&gt;"",IF(N(G207)&gt;0,"供应商付款","供应商退款"),IF(L207&lt;&gt;"","费用支出","")))))</f>
      </c>
      <c r="P207" s="78">
        <f>IF(O207="","",IFERROR(INDEX(基础资料!$AE$5:$AE$34,MATCH(O207,基础资料!$AC$5:$AC$34,0)),"未知"))</f>
      </c>
      <c r="Q207" s="78">
        <f>IF(P207="应收",COUNTIF(P$7:P207,"应收"),"")</f>
      </c>
      <c r="R207" s="78">
        <f>IF(P207="应付",COUNTIF(P$7:P207,"应付"),"")</f>
      </c>
      <c r="S207" s="78">
        <f>N(F207)-N(G207)</f>
        <v>0</v>
      </c>
    </row>
    <row r="208">
      <c r="A208" s="109">
        <f>IF(AND(F208="",G208=""),"",ROW()-6)</f>
      </c>
      <c r="B208" s="140" t="n"/>
      <c r="C208" s="141" t="n"/>
      <c r="D208" s="141" t="n"/>
      <c r="E208" s="142" t="n"/>
      <c r="F208" s="143" t="n"/>
      <c r="G208" s="144" t="n"/>
      <c r="H208" s="145">
        <f>IF(OR(C208="",AND(F208="",G208="")),"",SUMIF(基础资料!$W$5:$W$24,C208,基础资料!$X$5:$X$24)+SUMIF(C$7:C208,C208,F$7:F208)-SUMIF(C$7:C208,C208,G$7:G208))</f>
      </c>
      <c r="I208" s="145">
        <f>IF(AND(F208="",G208=""),"",SUM(基础资料!$X$5:$X$24)+SUM(F$7:F208)-SUM(G$7:G208))</f>
      </c>
      <c r="J208" s="141" t="n"/>
      <c r="K208" s="141" t="n"/>
      <c r="L208" s="141" t="n"/>
      <c r="M208" s="142" t="n"/>
      <c r="N208" s="146">
        <f>IF(AND(AND(F208="",G208=""),B208="",C208="",D208="",J208="",K208="",L208=""),"",IF(AND(F208="",G208=""),"✗ 没填金额",IF(AND(N(F208)&lt;&gt;0,N(G208)&lt;&gt;0),"✗ 收入、支出只能填一边",IF(NOT(ISNUMBER(B208)),"✗ 日期不是真日期（要像 2026/9/25 这样填）",IF(OR(B208&lt;年初日,B208&gt;年末日),"✗ 日期不在本会计年度",IF(C208="","✗ 没选账户",IF(COUNTIF(基础资料!$W$5:$W$24,C208)=0,"✗ 账户不在基础资料里",IF(O208="","✗ 没选收支项目",IF(P208="未知","✗ 收支项目不在基础资料里",IF(AND(P208="应收",J208=""),"✗ 这笔要选客户",IF(AND(P208="应收",COUNTIF(总览汇总!$B$5:$B$304,J208)=0),"✗ 客户不在总览汇总名单里",IF(AND(P208="应付",K208=""),"✗ 这笔要选供应商",IF(AND(P208="应付",COUNTIF(基础资料!$Q$5:$Q$54,K208)=0),"✗ 供应商不在基础资料里",IF(AND(P208="费用",L208=""),"✗ 费用支出要选费用项目",IF(AND(L208&lt;&gt;"",COUNTIF(基础资料!$AI$5:$AI$54,L208)=0),"✗ 费用项目不在基础资料里",IF(AND(IFERROR(INDEX(基础资料!$AD$5:$AD$34,MATCH(O208,基础资料!$AC$5:$AC$34,0)),"")="收",N(G208)&lt;&gt;0),"✗ 这类是收款，金额填到收入列",IF(AND(IFERROR(INDEX(基础资料!$AD$5:$AD$34,MATCH(O208,基础资料!$AC$5:$AC$34,0)),"")="支",N(F208)&lt;&gt;0),"✗ 这类是付款，金额填到支出列",IF(N(H208)&lt;0,"⚠ 账户余额成负数了，核对一下","√"))))))))))))))))))</f>
      </c>
      <c r="O208" s="78">
        <f>IF(D208&lt;&gt;"",D208,IF(AND(F208="",G208=""),"",IF(J208&lt;&gt;"",IF(N(F208)&gt;0,"客户回款","客户退款"),IF(K208&lt;&gt;"",IF(N(G208)&gt;0,"供应商付款","供应商退款"),IF(L208&lt;&gt;"","费用支出","")))))</f>
      </c>
      <c r="P208" s="78">
        <f>IF(O208="","",IFERROR(INDEX(基础资料!$AE$5:$AE$34,MATCH(O208,基础资料!$AC$5:$AC$34,0)),"未知"))</f>
      </c>
      <c r="Q208" s="78">
        <f>IF(P208="应收",COUNTIF(P$7:P208,"应收"),"")</f>
      </c>
      <c r="R208" s="78">
        <f>IF(P208="应付",COUNTIF(P$7:P208,"应付"),"")</f>
      </c>
      <c r="S208" s="78">
        <f>N(F208)-N(G208)</f>
        <v>0</v>
      </c>
    </row>
    <row r="209">
      <c r="A209" s="109">
        <f>IF(AND(F209="",G209=""),"",ROW()-6)</f>
      </c>
      <c r="B209" s="140" t="n"/>
      <c r="C209" s="141" t="n"/>
      <c r="D209" s="141" t="n"/>
      <c r="E209" s="142" t="n"/>
      <c r="F209" s="143" t="n"/>
      <c r="G209" s="144" t="n"/>
      <c r="H209" s="145">
        <f>IF(OR(C209="",AND(F209="",G209="")),"",SUMIF(基础资料!$W$5:$W$24,C209,基础资料!$X$5:$X$24)+SUMIF(C$7:C209,C209,F$7:F209)-SUMIF(C$7:C209,C209,G$7:G209))</f>
      </c>
      <c r="I209" s="145">
        <f>IF(AND(F209="",G209=""),"",SUM(基础资料!$X$5:$X$24)+SUM(F$7:F209)-SUM(G$7:G209))</f>
      </c>
      <c r="J209" s="141" t="n"/>
      <c r="K209" s="141" t="n"/>
      <c r="L209" s="141" t="n"/>
      <c r="M209" s="142" t="n"/>
      <c r="N209" s="146">
        <f>IF(AND(AND(F209="",G209=""),B209="",C209="",D209="",J209="",K209="",L209=""),"",IF(AND(F209="",G209=""),"✗ 没填金额",IF(AND(N(F209)&lt;&gt;0,N(G209)&lt;&gt;0),"✗ 收入、支出只能填一边",IF(NOT(ISNUMBER(B209)),"✗ 日期不是真日期（要像 2026/9/25 这样填）",IF(OR(B209&lt;年初日,B209&gt;年末日),"✗ 日期不在本会计年度",IF(C209="","✗ 没选账户",IF(COUNTIF(基础资料!$W$5:$W$24,C209)=0,"✗ 账户不在基础资料里",IF(O209="","✗ 没选收支项目",IF(P209="未知","✗ 收支项目不在基础资料里",IF(AND(P209="应收",J209=""),"✗ 这笔要选客户",IF(AND(P209="应收",COUNTIF(总览汇总!$B$5:$B$304,J209)=0),"✗ 客户不在总览汇总名单里",IF(AND(P209="应付",K209=""),"✗ 这笔要选供应商",IF(AND(P209="应付",COUNTIF(基础资料!$Q$5:$Q$54,K209)=0),"✗ 供应商不在基础资料里",IF(AND(P209="费用",L209=""),"✗ 费用支出要选费用项目",IF(AND(L209&lt;&gt;"",COUNTIF(基础资料!$AI$5:$AI$54,L209)=0),"✗ 费用项目不在基础资料里",IF(AND(IFERROR(INDEX(基础资料!$AD$5:$AD$34,MATCH(O209,基础资料!$AC$5:$AC$34,0)),"")="收",N(G209)&lt;&gt;0),"✗ 这类是收款，金额填到收入列",IF(AND(IFERROR(INDEX(基础资料!$AD$5:$AD$34,MATCH(O209,基础资料!$AC$5:$AC$34,0)),"")="支",N(F209)&lt;&gt;0),"✗ 这类是付款，金额填到支出列",IF(N(H209)&lt;0,"⚠ 账户余额成负数了，核对一下","√"))))))))))))))))))</f>
      </c>
      <c r="O209" s="78">
        <f>IF(D209&lt;&gt;"",D209,IF(AND(F209="",G209=""),"",IF(J209&lt;&gt;"",IF(N(F209)&gt;0,"客户回款","客户退款"),IF(K209&lt;&gt;"",IF(N(G209)&gt;0,"供应商付款","供应商退款"),IF(L209&lt;&gt;"","费用支出","")))))</f>
      </c>
      <c r="P209" s="78">
        <f>IF(O209="","",IFERROR(INDEX(基础资料!$AE$5:$AE$34,MATCH(O209,基础资料!$AC$5:$AC$34,0)),"未知"))</f>
      </c>
      <c r="Q209" s="78">
        <f>IF(P209="应收",COUNTIF(P$7:P209,"应收"),"")</f>
      </c>
      <c r="R209" s="78">
        <f>IF(P209="应付",COUNTIF(P$7:P209,"应付"),"")</f>
      </c>
      <c r="S209" s="78">
        <f>N(F209)-N(G209)</f>
        <v>0</v>
      </c>
    </row>
    <row r="210">
      <c r="A210" s="109">
        <f>IF(AND(F210="",G210=""),"",ROW()-6)</f>
      </c>
      <c r="B210" s="140" t="n"/>
      <c r="C210" s="141" t="n"/>
      <c r="D210" s="141" t="n"/>
      <c r="E210" s="142" t="n"/>
      <c r="F210" s="143" t="n"/>
      <c r="G210" s="144" t="n"/>
      <c r="H210" s="145">
        <f>IF(OR(C210="",AND(F210="",G210="")),"",SUMIF(基础资料!$W$5:$W$24,C210,基础资料!$X$5:$X$24)+SUMIF(C$7:C210,C210,F$7:F210)-SUMIF(C$7:C210,C210,G$7:G210))</f>
      </c>
      <c r="I210" s="145">
        <f>IF(AND(F210="",G210=""),"",SUM(基础资料!$X$5:$X$24)+SUM(F$7:F210)-SUM(G$7:G210))</f>
      </c>
      <c r="J210" s="141" t="n"/>
      <c r="K210" s="141" t="n"/>
      <c r="L210" s="141" t="n"/>
      <c r="M210" s="142" t="n"/>
      <c r="N210" s="146">
        <f>IF(AND(AND(F210="",G210=""),B210="",C210="",D210="",J210="",K210="",L210=""),"",IF(AND(F210="",G210=""),"✗ 没填金额",IF(AND(N(F210)&lt;&gt;0,N(G210)&lt;&gt;0),"✗ 收入、支出只能填一边",IF(NOT(ISNUMBER(B210)),"✗ 日期不是真日期（要像 2026/9/25 这样填）",IF(OR(B210&lt;年初日,B210&gt;年末日),"✗ 日期不在本会计年度",IF(C210="","✗ 没选账户",IF(COUNTIF(基础资料!$W$5:$W$24,C210)=0,"✗ 账户不在基础资料里",IF(O210="","✗ 没选收支项目",IF(P210="未知","✗ 收支项目不在基础资料里",IF(AND(P210="应收",J210=""),"✗ 这笔要选客户",IF(AND(P210="应收",COUNTIF(总览汇总!$B$5:$B$304,J210)=0),"✗ 客户不在总览汇总名单里",IF(AND(P210="应付",K210=""),"✗ 这笔要选供应商",IF(AND(P210="应付",COUNTIF(基础资料!$Q$5:$Q$54,K210)=0),"✗ 供应商不在基础资料里",IF(AND(P210="费用",L210=""),"✗ 费用支出要选费用项目",IF(AND(L210&lt;&gt;"",COUNTIF(基础资料!$AI$5:$AI$54,L210)=0),"✗ 费用项目不在基础资料里",IF(AND(IFERROR(INDEX(基础资料!$AD$5:$AD$34,MATCH(O210,基础资料!$AC$5:$AC$34,0)),"")="收",N(G210)&lt;&gt;0),"✗ 这类是收款，金额填到收入列",IF(AND(IFERROR(INDEX(基础资料!$AD$5:$AD$34,MATCH(O210,基础资料!$AC$5:$AC$34,0)),"")="支",N(F210)&lt;&gt;0),"✗ 这类是付款，金额填到支出列",IF(N(H210)&lt;0,"⚠ 账户余额成负数了，核对一下","√"))))))))))))))))))</f>
      </c>
      <c r="O210" s="78">
        <f>IF(D210&lt;&gt;"",D210,IF(AND(F210="",G210=""),"",IF(J210&lt;&gt;"",IF(N(F210)&gt;0,"客户回款","客户退款"),IF(K210&lt;&gt;"",IF(N(G210)&gt;0,"供应商付款","供应商退款"),IF(L210&lt;&gt;"","费用支出","")))))</f>
      </c>
      <c r="P210" s="78">
        <f>IF(O210="","",IFERROR(INDEX(基础资料!$AE$5:$AE$34,MATCH(O210,基础资料!$AC$5:$AC$34,0)),"未知"))</f>
      </c>
      <c r="Q210" s="78">
        <f>IF(P210="应收",COUNTIF(P$7:P210,"应收"),"")</f>
      </c>
      <c r="R210" s="78">
        <f>IF(P210="应付",COUNTIF(P$7:P210,"应付"),"")</f>
      </c>
      <c r="S210" s="78">
        <f>N(F210)-N(G210)</f>
        <v>0</v>
      </c>
    </row>
    <row r="211">
      <c r="A211" s="109">
        <f>IF(AND(F211="",G211=""),"",ROW()-6)</f>
      </c>
      <c r="B211" s="140" t="n"/>
      <c r="C211" s="141" t="n"/>
      <c r="D211" s="141" t="n"/>
      <c r="E211" s="142" t="n"/>
      <c r="F211" s="143" t="n"/>
      <c r="G211" s="144" t="n"/>
      <c r="H211" s="145">
        <f>IF(OR(C211="",AND(F211="",G211="")),"",SUMIF(基础资料!$W$5:$W$24,C211,基础资料!$X$5:$X$24)+SUMIF(C$7:C211,C211,F$7:F211)-SUMIF(C$7:C211,C211,G$7:G211))</f>
      </c>
      <c r="I211" s="145">
        <f>IF(AND(F211="",G211=""),"",SUM(基础资料!$X$5:$X$24)+SUM(F$7:F211)-SUM(G$7:G211))</f>
      </c>
      <c r="J211" s="141" t="n"/>
      <c r="K211" s="141" t="n"/>
      <c r="L211" s="141" t="n"/>
      <c r="M211" s="142" t="n"/>
      <c r="N211" s="146">
        <f>IF(AND(AND(F211="",G211=""),B211="",C211="",D211="",J211="",K211="",L211=""),"",IF(AND(F211="",G211=""),"✗ 没填金额",IF(AND(N(F211)&lt;&gt;0,N(G211)&lt;&gt;0),"✗ 收入、支出只能填一边",IF(NOT(ISNUMBER(B211)),"✗ 日期不是真日期（要像 2026/9/25 这样填）",IF(OR(B211&lt;年初日,B211&gt;年末日),"✗ 日期不在本会计年度",IF(C211="","✗ 没选账户",IF(COUNTIF(基础资料!$W$5:$W$24,C211)=0,"✗ 账户不在基础资料里",IF(O211="","✗ 没选收支项目",IF(P211="未知","✗ 收支项目不在基础资料里",IF(AND(P211="应收",J211=""),"✗ 这笔要选客户",IF(AND(P211="应收",COUNTIF(总览汇总!$B$5:$B$304,J211)=0),"✗ 客户不在总览汇总名单里",IF(AND(P211="应付",K211=""),"✗ 这笔要选供应商",IF(AND(P211="应付",COUNTIF(基础资料!$Q$5:$Q$54,K211)=0),"✗ 供应商不在基础资料里",IF(AND(P211="费用",L211=""),"✗ 费用支出要选费用项目",IF(AND(L211&lt;&gt;"",COUNTIF(基础资料!$AI$5:$AI$54,L211)=0),"✗ 费用项目不在基础资料里",IF(AND(IFERROR(INDEX(基础资料!$AD$5:$AD$34,MATCH(O211,基础资料!$AC$5:$AC$34,0)),"")="收",N(G211)&lt;&gt;0),"✗ 这类是收款，金额填到收入列",IF(AND(IFERROR(INDEX(基础资料!$AD$5:$AD$34,MATCH(O211,基础资料!$AC$5:$AC$34,0)),"")="支",N(F211)&lt;&gt;0),"✗ 这类是付款，金额填到支出列",IF(N(H211)&lt;0,"⚠ 账户余额成负数了，核对一下","√"))))))))))))))))))</f>
      </c>
      <c r="O211" s="78">
        <f>IF(D211&lt;&gt;"",D211,IF(AND(F211="",G211=""),"",IF(J211&lt;&gt;"",IF(N(F211)&gt;0,"客户回款","客户退款"),IF(K211&lt;&gt;"",IF(N(G211)&gt;0,"供应商付款","供应商退款"),IF(L211&lt;&gt;"","费用支出","")))))</f>
      </c>
      <c r="P211" s="78">
        <f>IF(O211="","",IFERROR(INDEX(基础资料!$AE$5:$AE$34,MATCH(O211,基础资料!$AC$5:$AC$34,0)),"未知"))</f>
      </c>
      <c r="Q211" s="78">
        <f>IF(P211="应收",COUNTIF(P$7:P211,"应收"),"")</f>
      </c>
      <c r="R211" s="78">
        <f>IF(P211="应付",COUNTIF(P$7:P211,"应付"),"")</f>
      </c>
      <c r="S211" s="78">
        <f>N(F211)-N(G211)</f>
        <v>0</v>
      </c>
    </row>
    <row r="212">
      <c r="A212" s="109">
        <f>IF(AND(F212="",G212=""),"",ROW()-6)</f>
      </c>
      <c r="B212" s="140" t="n"/>
      <c r="C212" s="141" t="n"/>
      <c r="D212" s="141" t="n"/>
      <c r="E212" s="142" t="n"/>
      <c r="F212" s="143" t="n"/>
      <c r="G212" s="144" t="n"/>
      <c r="H212" s="145">
        <f>IF(OR(C212="",AND(F212="",G212="")),"",SUMIF(基础资料!$W$5:$W$24,C212,基础资料!$X$5:$X$24)+SUMIF(C$7:C212,C212,F$7:F212)-SUMIF(C$7:C212,C212,G$7:G212))</f>
      </c>
      <c r="I212" s="145">
        <f>IF(AND(F212="",G212=""),"",SUM(基础资料!$X$5:$X$24)+SUM(F$7:F212)-SUM(G$7:G212))</f>
      </c>
      <c r="J212" s="141" t="n"/>
      <c r="K212" s="141" t="n"/>
      <c r="L212" s="141" t="n"/>
      <c r="M212" s="142" t="n"/>
      <c r="N212" s="146">
        <f>IF(AND(AND(F212="",G212=""),B212="",C212="",D212="",J212="",K212="",L212=""),"",IF(AND(F212="",G212=""),"✗ 没填金额",IF(AND(N(F212)&lt;&gt;0,N(G212)&lt;&gt;0),"✗ 收入、支出只能填一边",IF(NOT(ISNUMBER(B212)),"✗ 日期不是真日期（要像 2026/9/25 这样填）",IF(OR(B212&lt;年初日,B212&gt;年末日),"✗ 日期不在本会计年度",IF(C212="","✗ 没选账户",IF(COUNTIF(基础资料!$W$5:$W$24,C212)=0,"✗ 账户不在基础资料里",IF(O212="","✗ 没选收支项目",IF(P212="未知","✗ 收支项目不在基础资料里",IF(AND(P212="应收",J212=""),"✗ 这笔要选客户",IF(AND(P212="应收",COUNTIF(总览汇总!$B$5:$B$304,J212)=0),"✗ 客户不在总览汇总名单里",IF(AND(P212="应付",K212=""),"✗ 这笔要选供应商",IF(AND(P212="应付",COUNTIF(基础资料!$Q$5:$Q$54,K212)=0),"✗ 供应商不在基础资料里",IF(AND(P212="费用",L212=""),"✗ 费用支出要选费用项目",IF(AND(L212&lt;&gt;"",COUNTIF(基础资料!$AI$5:$AI$54,L212)=0),"✗ 费用项目不在基础资料里",IF(AND(IFERROR(INDEX(基础资料!$AD$5:$AD$34,MATCH(O212,基础资料!$AC$5:$AC$34,0)),"")="收",N(G212)&lt;&gt;0),"✗ 这类是收款，金额填到收入列",IF(AND(IFERROR(INDEX(基础资料!$AD$5:$AD$34,MATCH(O212,基础资料!$AC$5:$AC$34,0)),"")="支",N(F212)&lt;&gt;0),"✗ 这类是付款，金额填到支出列",IF(N(H212)&lt;0,"⚠ 账户余额成负数了，核对一下","√"))))))))))))))))))</f>
      </c>
      <c r="O212" s="78">
        <f>IF(D212&lt;&gt;"",D212,IF(AND(F212="",G212=""),"",IF(J212&lt;&gt;"",IF(N(F212)&gt;0,"客户回款","客户退款"),IF(K212&lt;&gt;"",IF(N(G212)&gt;0,"供应商付款","供应商退款"),IF(L212&lt;&gt;"","费用支出","")))))</f>
      </c>
      <c r="P212" s="78">
        <f>IF(O212="","",IFERROR(INDEX(基础资料!$AE$5:$AE$34,MATCH(O212,基础资料!$AC$5:$AC$34,0)),"未知"))</f>
      </c>
      <c r="Q212" s="78">
        <f>IF(P212="应收",COUNTIF(P$7:P212,"应收"),"")</f>
      </c>
      <c r="R212" s="78">
        <f>IF(P212="应付",COUNTIF(P$7:P212,"应付"),"")</f>
      </c>
      <c r="S212" s="78">
        <f>N(F212)-N(G212)</f>
        <v>0</v>
      </c>
    </row>
    <row r="213">
      <c r="A213" s="109">
        <f>IF(AND(F213="",G213=""),"",ROW()-6)</f>
      </c>
      <c r="B213" s="140" t="n"/>
      <c r="C213" s="141" t="n"/>
      <c r="D213" s="141" t="n"/>
      <c r="E213" s="142" t="n"/>
      <c r="F213" s="143" t="n"/>
      <c r="G213" s="144" t="n"/>
      <c r="H213" s="145">
        <f>IF(OR(C213="",AND(F213="",G213="")),"",SUMIF(基础资料!$W$5:$W$24,C213,基础资料!$X$5:$X$24)+SUMIF(C$7:C213,C213,F$7:F213)-SUMIF(C$7:C213,C213,G$7:G213))</f>
      </c>
      <c r="I213" s="145">
        <f>IF(AND(F213="",G213=""),"",SUM(基础资料!$X$5:$X$24)+SUM(F$7:F213)-SUM(G$7:G213))</f>
      </c>
      <c r="J213" s="141" t="n"/>
      <c r="K213" s="141" t="n"/>
      <c r="L213" s="141" t="n"/>
      <c r="M213" s="142" t="n"/>
      <c r="N213" s="146">
        <f>IF(AND(AND(F213="",G213=""),B213="",C213="",D213="",J213="",K213="",L213=""),"",IF(AND(F213="",G213=""),"✗ 没填金额",IF(AND(N(F213)&lt;&gt;0,N(G213)&lt;&gt;0),"✗ 收入、支出只能填一边",IF(NOT(ISNUMBER(B213)),"✗ 日期不是真日期（要像 2026/9/25 这样填）",IF(OR(B213&lt;年初日,B213&gt;年末日),"✗ 日期不在本会计年度",IF(C213="","✗ 没选账户",IF(COUNTIF(基础资料!$W$5:$W$24,C213)=0,"✗ 账户不在基础资料里",IF(O213="","✗ 没选收支项目",IF(P213="未知","✗ 收支项目不在基础资料里",IF(AND(P213="应收",J213=""),"✗ 这笔要选客户",IF(AND(P213="应收",COUNTIF(总览汇总!$B$5:$B$304,J213)=0),"✗ 客户不在总览汇总名单里",IF(AND(P213="应付",K213=""),"✗ 这笔要选供应商",IF(AND(P213="应付",COUNTIF(基础资料!$Q$5:$Q$54,K213)=0),"✗ 供应商不在基础资料里",IF(AND(P213="费用",L213=""),"✗ 费用支出要选费用项目",IF(AND(L213&lt;&gt;"",COUNTIF(基础资料!$AI$5:$AI$54,L213)=0),"✗ 费用项目不在基础资料里",IF(AND(IFERROR(INDEX(基础资料!$AD$5:$AD$34,MATCH(O213,基础资料!$AC$5:$AC$34,0)),"")="收",N(G213)&lt;&gt;0),"✗ 这类是收款，金额填到收入列",IF(AND(IFERROR(INDEX(基础资料!$AD$5:$AD$34,MATCH(O213,基础资料!$AC$5:$AC$34,0)),"")="支",N(F213)&lt;&gt;0),"✗ 这类是付款，金额填到支出列",IF(N(H213)&lt;0,"⚠ 账户余额成负数了，核对一下","√"))))))))))))))))))</f>
      </c>
      <c r="O213" s="78">
        <f>IF(D213&lt;&gt;"",D213,IF(AND(F213="",G213=""),"",IF(J213&lt;&gt;"",IF(N(F213)&gt;0,"客户回款","客户退款"),IF(K213&lt;&gt;"",IF(N(G213)&gt;0,"供应商付款","供应商退款"),IF(L213&lt;&gt;"","费用支出","")))))</f>
      </c>
      <c r="P213" s="78">
        <f>IF(O213="","",IFERROR(INDEX(基础资料!$AE$5:$AE$34,MATCH(O213,基础资料!$AC$5:$AC$34,0)),"未知"))</f>
      </c>
      <c r="Q213" s="78">
        <f>IF(P213="应收",COUNTIF(P$7:P213,"应收"),"")</f>
      </c>
      <c r="R213" s="78">
        <f>IF(P213="应付",COUNTIF(P$7:P213,"应付"),"")</f>
      </c>
      <c r="S213" s="78">
        <f>N(F213)-N(G213)</f>
        <v>0</v>
      </c>
    </row>
    <row r="214">
      <c r="A214" s="109">
        <f>IF(AND(F214="",G214=""),"",ROW()-6)</f>
      </c>
      <c r="B214" s="140" t="n"/>
      <c r="C214" s="141" t="n"/>
      <c r="D214" s="141" t="n"/>
      <c r="E214" s="142" t="n"/>
      <c r="F214" s="143" t="n"/>
      <c r="G214" s="144" t="n"/>
      <c r="H214" s="145">
        <f>IF(OR(C214="",AND(F214="",G214="")),"",SUMIF(基础资料!$W$5:$W$24,C214,基础资料!$X$5:$X$24)+SUMIF(C$7:C214,C214,F$7:F214)-SUMIF(C$7:C214,C214,G$7:G214))</f>
      </c>
      <c r="I214" s="145">
        <f>IF(AND(F214="",G214=""),"",SUM(基础资料!$X$5:$X$24)+SUM(F$7:F214)-SUM(G$7:G214))</f>
      </c>
      <c r="J214" s="141" t="n"/>
      <c r="K214" s="141" t="n"/>
      <c r="L214" s="141" t="n"/>
      <c r="M214" s="142" t="n"/>
      <c r="N214" s="146">
        <f>IF(AND(AND(F214="",G214=""),B214="",C214="",D214="",J214="",K214="",L214=""),"",IF(AND(F214="",G214=""),"✗ 没填金额",IF(AND(N(F214)&lt;&gt;0,N(G214)&lt;&gt;0),"✗ 收入、支出只能填一边",IF(NOT(ISNUMBER(B214)),"✗ 日期不是真日期（要像 2026/9/25 这样填）",IF(OR(B214&lt;年初日,B214&gt;年末日),"✗ 日期不在本会计年度",IF(C214="","✗ 没选账户",IF(COUNTIF(基础资料!$W$5:$W$24,C214)=0,"✗ 账户不在基础资料里",IF(O214="","✗ 没选收支项目",IF(P214="未知","✗ 收支项目不在基础资料里",IF(AND(P214="应收",J214=""),"✗ 这笔要选客户",IF(AND(P214="应收",COUNTIF(总览汇总!$B$5:$B$304,J214)=0),"✗ 客户不在总览汇总名单里",IF(AND(P214="应付",K214=""),"✗ 这笔要选供应商",IF(AND(P214="应付",COUNTIF(基础资料!$Q$5:$Q$54,K214)=0),"✗ 供应商不在基础资料里",IF(AND(P214="费用",L214=""),"✗ 费用支出要选费用项目",IF(AND(L214&lt;&gt;"",COUNTIF(基础资料!$AI$5:$AI$54,L214)=0),"✗ 费用项目不在基础资料里",IF(AND(IFERROR(INDEX(基础资料!$AD$5:$AD$34,MATCH(O214,基础资料!$AC$5:$AC$34,0)),"")="收",N(G214)&lt;&gt;0),"✗ 这类是收款，金额填到收入列",IF(AND(IFERROR(INDEX(基础资料!$AD$5:$AD$34,MATCH(O214,基础资料!$AC$5:$AC$34,0)),"")="支",N(F214)&lt;&gt;0),"✗ 这类是付款，金额填到支出列",IF(N(H214)&lt;0,"⚠ 账户余额成负数了，核对一下","√"))))))))))))))))))</f>
      </c>
      <c r="O214" s="78">
        <f>IF(D214&lt;&gt;"",D214,IF(AND(F214="",G214=""),"",IF(J214&lt;&gt;"",IF(N(F214)&gt;0,"客户回款","客户退款"),IF(K214&lt;&gt;"",IF(N(G214)&gt;0,"供应商付款","供应商退款"),IF(L214&lt;&gt;"","费用支出","")))))</f>
      </c>
      <c r="P214" s="78">
        <f>IF(O214="","",IFERROR(INDEX(基础资料!$AE$5:$AE$34,MATCH(O214,基础资料!$AC$5:$AC$34,0)),"未知"))</f>
      </c>
      <c r="Q214" s="78">
        <f>IF(P214="应收",COUNTIF(P$7:P214,"应收"),"")</f>
      </c>
      <c r="R214" s="78">
        <f>IF(P214="应付",COUNTIF(P$7:P214,"应付"),"")</f>
      </c>
      <c r="S214" s="78">
        <f>N(F214)-N(G214)</f>
        <v>0</v>
      </c>
    </row>
    <row r="215">
      <c r="A215" s="109">
        <f>IF(AND(F215="",G215=""),"",ROW()-6)</f>
      </c>
      <c r="B215" s="140" t="n"/>
      <c r="C215" s="141" t="n"/>
      <c r="D215" s="141" t="n"/>
      <c r="E215" s="142" t="n"/>
      <c r="F215" s="143" t="n"/>
      <c r="G215" s="144" t="n"/>
      <c r="H215" s="145">
        <f>IF(OR(C215="",AND(F215="",G215="")),"",SUMIF(基础资料!$W$5:$W$24,C215,基础资料!$X$5:$X$24)+SUMIF(C$7:C215,C215,F$7:F215)-SUMIF(C$7:C215,C215,G$7:G215))</f>
      </c>
      <c r="I215" s="145">
        <f>IF(AND(F215="",G215=""),"",SUM(基础资料!$X$5:$X$24)+SUM(F$7:F215)-SUM(G$7:G215))</f>
      </c>
      <c r="J215" s="141" t="n"/>
      <c r="K215" s="141" t="n"/>
      <c r="L215" s="141" t="n"/>
      <c r="M215" s="142" t="n"/>
      <c r="N215" s="146">
        <f>IF(AND(AND(F215="",G215=""),B215="",C215="",D215="",J215="",K215="",L215=""),"",IF(AND(F215="",G215=""),"✗ 没填金额",IF(AND(N(F215)&lt;&gt;0,N(G215)&lt;&gt;0),"✗ 收入、支出只能填一边",IF(NOT(ISNUMBER(B215)),"✗ 日期不是真日期（要像 2026/9/25 这样填）",IF(OR(B215&lt;年初日,B215&gt;年末日),"✗ 日期不在本会计年度",IF(C215="","✗ 没选账户",IF(COUNTIF(基础资料!$W$5:$W$24,C215)=0,"✗ 账户不在基础资料里",IF(O215="","✗ 没选收支项目",IF(P215="未知","✗ 收支项目不在基础资料里",IF(AND(P215="应收",J215=""),"✗ 这笔要选客户",IF(AND(P215="应收",COUNTIF(总览汇总!$B$5:$B$304,J215)=0),"✗ 客户不在总览汇总名单里",IF(AND(P215="应付",K215=""),"✗ 这笔要选供应商",IF(AND(P215="应付",COUNTIF(基础资料!$Q$5:$Q$54,K215)=0),"✗ 供应商不在基础资料里",IF(AND(P215="费用",L215=""),"✗ 费用支出要选费用项目",IF(AND(L215&lt;&gt;"",COUNTIF(基础资料!$AI$5:$AI$54,L215)=0),"✗ 费用项目不在基础资料里",IF(AND(IFERROR(INDEX(基础资料!$AD$5:$AD$34,MATCH(O215,基础资料!$AC$5:$AC$34,0)),"")="收",N(G215)&lt;&gt;0),"✗ 这类是收款，金额填到收入列",IF(AND(IFERROR(INDEX(基础资料!$AD$5:$AD$34,MATCH(O215,基础资料!$AC$5:$AC$34,0)),"")="支",N(F215)&lt;&gt;0),"✗ 这类是付款，金额填到支出列",IF(N(H215)&lt;0,"⚠ 账户余额成负数了，核对一下","√"))))))))))))))))))</f>
      </c>
      <c r="O215" s="78">
        <f>IF(D215&lt;&gt;"",D215,IF(AND(F215="",G215=""),"",IF(J215&lt;&gt;"",IF(N(F215)&gt;0,"客户回款","客户退款"),IF(K215&lt;&gt;"",IF(N(G215)&gt;0,"供应商付款","供应商退款"),IF(L215&lt;&gt;"","费用支出","")))))</f>
      </c>
      <c r="P215" s="78">
        <f>IF(O215="","",IFERROR(INDEX(基础资料!$AE$5:$AE$34,MATCH(O215,基础资料!$AC$5:$AC$34,0)),"未知"))</f>
      </c>
      <c r="Q215" s="78">
        <f>IF(P215="应收",COUNTIF(P$7:P215,"应收"),"")</f>
      </c>
      <c r="R215" s="78">
        <f>IF(P215="应付",COUNTIF(P$7:P215,"应付"),"")</f>
      </c>
      <c r="S215" s="78">
        <f>N(F215)-N(G215)</f>
        <v>0</v>
      </c>
    </row>
    <row r="216">
      <c r="A216" s="109">
        <f>IF(AND(F216="",G216=""),"",ROW()-6)</f>
      </c>
      <c r="B216" s="140" t="n"/>
      <c r="C216" s="141" t="n"/>
      <c r="D216" s="141" t="n"/>
      <c r="E216" s="142" t="n"/>
      <c r="F216" s="143" t="n"/>
      <c r="G216" s="144" t="n"/>
      <c r="H216" s="145">
        <f>IF(OR(C216="",AND(F216="",G216="")),"",SUMIF(基础资料!$W$5:$W$24,C216,基础资料!$X$5:$X$24)+SUMIF(C$7:C216,C216,F$7:F216)-SUMIF(C$7:C216,C216,G$7:G216))</f>
      </c>
      <c r="I216" s="145">
        <f>IF(AND(F216="",G216=""),"",SUM(基础资料!$X$5:$X$24)+SUM(F$7:F216)-SUM(G$7:G216))</f>
      </c>
      <c r="J216" s="141" t="n"/>
      <c r="K216" s="141" t="n"/>
      <c r="L216" s="141" t="n"/>
      <c r="M216" s="142" t="n"/>
      <c r="N216" s="146">
        <f>IF(AND(AND(F216="",G216=""),B216="",C216="",D216="",J216="",K216="",L216=""),"",IF(AND(F216="",G216=""),"✗ 没填金额",IF(AND(N(F216)&lt;&gt;0,N(G216)&lt;&gt;0),"✗ 收入、支出只能填一边",IF(NOT(ISNUMBER(B216)),"✗ 日期不是真日期（要像 2026/9/25 这样填）",IF(OR(B216&lt;年初日,B216&gt;年末日),"✗ 日期不在本会计年度",IF(C216="","✗ 没选账户",IF(COUNTIF(基础资料!$W$5:$W$24,C216)=0,"✗ 账户不在基础资料里",IF(O216="","✗ 没选收支项目",IF(P216="未知","✗ 收支项目不在基础资料里",IF(AND(P216="应收",J216=""),"✗ 这笔要选客户",IF(AND(P216="应收",COUNTIF(总览汇总!$B$5:$B$304,J216)=0),"✗ 客户不在总览汇总名单里",IF(AND(P216="应付",K216=""),"✗ 这笔要选供应商",IF(AND(P216="应付",COUNTIF(基础资料!$Q$5:$Q$54,K216)=0),"✗ 供应商不在基础资料里",IF(AND(P216="费用",L216=""),"✗ 费用支出要选费用项目",IF(AND(L216&lt;&gt;"",COUNTIF(基础资料!$AI$5:$AI$54,L216)=0),"✗ 费用项目不在基础资料里",IF(AND(IFERROR(INDEX(基础资料!$AD$5:$AD$34,MATCH(O216,基础资料!$AC$5:$AC$34,0)),"")="收",N(G216)&lt;&gt;0),"✗ 这类是收款，金额填到收入列",IF(AND(IFERROR(INDEX(基础资料!$AD$5:$AD$34,MATCH(O216,基础资料!$AC$5:$AC$34,0)),"")="支",N(F216)&lt;&gt;0),"✗ 这类是付款，金额填到支出列",IF(N(H216)&lt;0,"⚠ 账户余额成负数了，核对一下","√"))))))))))))))))))</f>
      </c>
      <c r="O216" s="78">
        <f>IF(D216&lt;&gt;"",D216,IF(AND(F216="",G216=""),"",IF(J216&lt;&gt;"",IF(N(F216)&gt;0,"客户回款","客户退款"),IF(K216&lt;&gt;"",IF(N(G216)&gt;0,"供应商付款","供应商退款"),IF(L216&lt;&gt;"","费用支出","")))))</f>
      </c>
      <c r="P216" s="78">
        <f>IF(O216="","",IFERROR(INDEX(基础资料!$AE$5:$AE$34,MATCH(O216,基础资料!$AC$5:$AC$34,0)),"未知"))</f>
      </c>
      <c r="Q216" s="78">
        <f>IF(P216="应收",COUNTIF(P$7:P216,"应收"),"")</f>
      </c>
      <c r="R216" s="78">
        <f>IF(P216="应付",COUNTIF(P$7:P216,"应付"),"")</f>
      </c>
      <c r="S216" s="78">
        <f>N(F216)-N(G216)</f>
        <v>0</v>
      </c>
    </row>
    <row r="217">
      <c r="A217" s="109">
        <f>IF(AND(F217="",G217=""),"",ROW()-6)</f>
      </c>
      <c r="B217" s="140" t="n"/>
      <c r="C217" s="141" t="n"/>
      <c r="D217" s="141" t="n"/>
      <c r="E217" s="142" t="n"/>
      <c r="F217" s="143" t="n"/>
      <c r="G217" s="144" t="n"/>
      <c r="H217" s="145">
        <f>IF(OR(C217="",AND(F217="",G217="")),"",SUMIF(基础资料!$W$5:$W$24,C217,基础资料!$X$5:$X$24)+SUMIF(C$7:C217,C217,F$7:F217)-SUMIF(C$7:C217,C217,G$7:G217))</f>
      </c>
      <c r="I217" s="145">
        <f>IF(AND(F217="",G217=""),"",SUM(基础资料!$X$5:$X$24)+SUM(F$7:F217)-SUM(G$7:G217))</f>
      </c>
      <c r="J217" s="141" t="n"/>
      <c r="K217" s="141" t="n"/>
      <c r="L217" s="141" t="n"/>
      <c r="M217" s="142" t="n"/>
      <c r="N217" s="146">
        <f>IF(AND(AND(F217="",G217=""),B217="",C217="",D217="",J217="",K217="",L217=""),"",IF(AND(F217="",G217=""),"✗ 没填金额",IF(AND(N(F217)&lt;&gt;0,N(G217)&lt;&gt;0),"✗ 收入、支出只能填一边",IF(NOT(ISNUMBER(B217)),"✗ 日期不是真日期（要像 2026/9/25 这样填）",IF(OR(B217&lt;年初日,B217&gt;年末日),"✗ 日期不在本会计年度",IF(C217="","✗ 没选账户",IF(COUNTIF(基础资料!$W$5:$W$24,C217)=0,"✗ 账户不在基础资料里",IF(O217="","✗ 没选收支项目",IF(P217="未知","✗ 收支项目不在基础资料里",IF(AND(P217="应收",J217=""),"✗ 这笔要选客户",IF(AND(P217="应收",COUNTIF(总览汇总!$B$5:$B$304,J217)=0),"✗ 客户不在总览汇总名单里",IF(AND(P217="应付",K217=""),"✗ 这笔要选供应商",IF(AND(P217="应付",COUNTIF(基础资料!$Q$5:$Q$54,K217)=0),"✗ 供应商不在基础资料里",IF(AND(P217="费用",L217=""),"✗ 费用支出要选费用项目",IF(AND(L217&lt;&gt;"",COUNTIF(基础资料!$AI$5:$AI$54,L217)=0),"✗ 费用项目不在基础资料里",IF(AND(IFERROR(INDEX(基础资料!$AD$5:$AD$34,MATCH(O217,基础资料!$AC$5:$AC$34,0)),"")="收",N(G217)&lt;&gt;0),"✗ 这类是收款，金额填到收入列",IF(AND(IFERROR(INDEX(基础资料!$AD$5:$AD$34,MATCH(O217,基础资料!$AC$5:$AC$34,0)),"")="支",N(F217)&lt;&gt;0),"✗ 这类是付款，金额填到支出列",IF(N(H217)&lt;0,"⚠ 账户余额成负数了，核对一下","√"))))))))))))))))))</f>
      </c>
      <c r="O217" s="78">
        <f>IF(D217&lt;&gt;"",D217,IF(AND(F217="",G217=""),"",IF(J217&lt;&gt;"",IF(N(F217)&gt;0,"客户回款","客户退款"),IF(K217&lt;&gt;"",IF(N(G217)&gt;0,"供应商付款","供应商退款"),IF(L217&lt;&gt;"","费用支出","")))))</f>
      </c>
      <c r="P217" s="78">
        <f>IF(O217="","",IFERROR(INDEX(基础资料!$AE$5:$AE$34,MATCH(O217,基础资料!$AC$5:$AC$34,0)),"未知"))</f>
      </c>
      <c r="Q217" s="78">
        <f>IF(P217="应收",COUNTIF(P$7:P217,"应收"),"")</f>
      </c>
      <c r="R217" s="78">
        <f>IF(P217="应付",COUNTIF(P$7:P217,"应付"),"")</f>
      </c>
      <c r="S217" s="78">
        <f>N(F217)-N(G217)</f>
        <v>0</v>
      </c>
    </row>
    <row r="218">
      <c r="A218" s="109">
        <f>IF(AND(F218="",G218=""),"",ROW()-6)</f>
      </c>
      <c r="B218" s="140" t="n"/>
      <c r="C218" s="141" t="n"/>
      <c r="D218" s="141" t="n"/>
      <c r="E218" s="142" t="n"/>
      <c r="F218" s="143" t="n"/>
      <c r="G218" s="144" t="n"/>
      <c r="H218" s="145">
        <f>IF(OR(C218="",AND(F218="",G218="")),"",SUMIF(基础资料!$W$5:$W$24,C218,基础资料!$X$5:$X$24)+SUMIF(C$7:C218,C218,F$7:F218)-SUMIF(C$7:C218,C218,G$7:G218))</f>
      </c>
      <c r="I218" s="145">
        <f>IF(AND(F218="",G218=""),"",SUM(基础资料!$X$5:$X$24)+SUM(F$7:F218)-SUM(G$7:G218))</f>
      </c>
      <c r="J218" s="141" t="n"/>
      <c r="K218" s="141" t="n"/>
      <c r="L218" s="141" t="n"/>
      <c r="M218" s="142" t="n"/>
      <c r="N218" s="146">
        <f>IF(AND(AND(F218="",G218=""),B218="",C218="",D218="",J218="",K218="",L218=""),"",IF(AND(F218="",G218=""),"✗ 没填金额",IF(AND(N(F218)&lt;&gt;0,N(G218)&lt;&gt;0),"✗ 收入、支出只能填一边",IF(NOT(ISNUMBER(B218)),"✗ 日期不是真日期（要像 2026/9/25 这样填）",IF(OR(B218&lt;年初日,B218&gt;年末日),"✗ 日期不在本会计年度",IF(C218="","✗ 没选账户",IF(COUNTIF(基础资料!$W$5:$W$24,C218)=0,"✗ 账户不在基础资料里",IF(O218="","✗ 没选收支项目",IF(P218="未知","✗ 收支项目不在基础资料里",IF(AND(P218="应收",J218=""),"✗ 这笔要选客户",IF(AND(P218="应收",COUNTIF(总览汇总!$B$5:$B$304,J218)=0),"✗ 客户不在总览汇总名单里",IF(AND(P218="应付",K218=""),"✗ 这笔要选供应商",IF(AND(P218="应付",COUNTIF(基础资料!$Q$5:$Q$54,K218)=0),"✗ 供应商不在基础资料里",IF(AND(P218="费用",L218=""),"✗ 费用支出要选费用项目",IF(AND(L218&lt;&gt;"",COUNTIF(基础资料!$AI$5:$AI$54,L218)=0),"✗ 费用项目不在基础资料里",IF(AND(IFERROR(INDEX(基础资料!$AD$5:$AD$34,MATCH(O218,基础资料!$AC$5:$AC$34,0)),"")="收",N(G218)&lt;&gt;0),"✗ 这类是收款，金额填到收入列",IF(AND(IFERROR(INDEX(基础资料!$AD$5:$AD$34,MATCH(O218,基础资料!$AC$5:$AC$34,0)),"")="支",N(F218)&lt;&gt;0),"✗ 这类是付款，金额填到支出列",IF(N(H218)&lt;0,"⚠ 账户余额成负数了，核对一下","√"))))))))))))))))))</f>
      </c>
      <c r="O218" s="78">
        <f>IF(D218&lt;&gt;"",D218,IF(AND(F218="",G218=""),"",IF(J218&lt;&gt;"",IF(N(F218)&gt;0,"客户回款","客户退款"),IF(K218&lt;&gt;"",IF(N(G218)&gt;0,"供应商付款","供应商退款"),IF(L218&lt;&gt;"","费用支出","")))))</f>
      </c>
      <c r="P218" s="78">
        <f>IF(O218="","",IFERROR(INDEX(基础资料!$AE$5:$AE$34,MATCH(O218,基础资料!$AC$5:$AC$34,0)),"未知"))</f>
      </c>
      <c r="Q218" s="78">
        <f>IF(P218="应收",COUNTIF(P$7:P218,"应收"),"")</f>
      </c>
      <c r="R218" s="78">
        <f>IF(P218="应付",COUNTIF(P$7:P218,"应付"),"")</f>
      </c>
      <c r="S218" s="78">
        <f>N(F218)-N(G218)</f>
        <v>0</v>
      </c>
    </row>
    <row r="219">
      <c r="A219" s="109">
        <f>IF(AND(F219="",G219=""),"",ROW()-6)</f>
      </c>
      <c r="B219" s="140" t="n"/>
      <c r="C219" s="141" t="n"/>
      <c r="D219" s="141" t="n"/>
      <c r="E219" s="142" t="n"/>
      <c r="F219" s="143" t="n"/>
      <c r="G219" s="144" t="n"/>
      <c r="H219" s="145">
        <f>IF(OR(C219="",AND(F219="",G219="")),"",SUMIF(基础资料!$W$5:$W$24,C219,基础资料!$X$5:$X$24)+SUMIF(C$7:C219,C219,F$7:F219)-SUMIF(C$7:C219,C219,G$7:G219))</f>
      </c>
      <c r="I219" s="145">
        <f>IF(AND(F219="",G219=""),"",SUM(基础资料!$X$5:$X$24)+SUM(F$7:F219)-SUM(G$7:G219))</f>
      </c>
      <c r="J219" s="141" t="n"/>
      <c r="K219" s="141" t="n"/>
      <c r="L219" s="141" t="n"/>
      <c r="M219" s="142" t="n"/>
      <c r="N219" s="146">
        <f>IF(AND(AND(F219="",G219=""),B219="",C219="",D219="",J219="",K219="",L219=""),"",IF(AND(F219="",G219=""),"✗ 没填金额",IF(AND(N(F219)&lt;&gt;0,N(G219)&lt;&gt;0),"✗ 收入、支出只能填一边",IF(NOT(ISNUMBER(B219)),"✗ 日期不是真日期（要像 2026/9/25 这样填）",IF(OR(B219&lt;年初日,B219&gt;年末日),"✗ 日期不在本会计年度",IF(C219="","✗ 没选账户",IF(COUNTIF(基础资料!$W$5:$W$24,C219)=0,"✗ 账户不在基础资料里",IF(O219="","✗ 没选收支项目",IF(P219="未知","✗ 收支项目不在基础资料里",IF(AND(P219="应收",J219=""),"✗ 这笔要选客户",IF(AND(P219="应收",COUNTIF(总览汇总!$B$5:$B$304,J219)=0),"✗ 客户不在总览汇总名单里",IF(AND(P219="应付",K219=""),"✗ 这笔要选供应商",IF(AND(P219="应付",COUNTIF(基础资料!$Q$5:$Q$54,K219)=0),"✗ 供应商不在基础资料里",IF(AND(P219="费用",L219=""),"✗ 费用支出要选费用项目",IF(AND(L219&lt;&gt;"",COUNTIF(基础资料!$AI$5:$AI$54,L219)=0),"✗ 费用项目不在基础资料里",IF(AND(IFERROR(INDEX(基础资料!$AD$5:$AD$34,MATCH(O219,基础资料!$AC$5:$AC$34,0)),"")="收",N(G219)&lt;&gt;0),"✗ 这类是收款，金额填到收入列",IF(AND(IFERROR(INDEX(基础资料!$AD$5:$AD$34,MATCH(O219,基础资料!$AC$5:$AC$34,0)),"")="支",N(F219)&lt;&gt;0),"✗ 这类是付款，金额填到支出列",IF(N(H219)&lt;0,"⚠ 账户余额成负数了，核对一下","√"))))))))))))))))))</f>
      </c>
      <c r="O219" s="78">
        <f>IF(D219&lt;&gt;"",D219,IF(AND(F219="",G219=""),"",IF(J219&lt;&gt;"",IF(N(F219)&gt;0,"客户回款","客户退款"),IF(K219&lt;&gt;"",IF(N(G219)&gt;0,"供应商付款","供应商退款"),IF(L219&lt;&gt;"","费用支出","")))))</f>
      </c>
      <c r="P219" s="78">
        <f>IF(O219="","",IFERROR(INDEX(基础资料!$AE$5:$AE$34,MATCH(O219,基础资料!$AC$5:$AC$34,0)),"未知"))</f>
      </c>
      <c r="Q219" s="78">
        <f>IF(P219="应收",COUNTIF(P$7:P219,"应收"),"")</f>
      </c>
      <c r="R219" s="78">
        <f>IF(P219="应付",COUNTIF(P$7:P219,"应付"),"")</f>
      </c>
      <c r="S219" s="78">
        <f>N(F219)-N(G219)</f>
        <v>0</v>
      </c>
    </row>
    <row r="220">
      <c r="A220" s="109">
        <f>IF(AND(F220="",G220=""),"",ROW()-6)</f>
      </c>
      <c r="B220" s="140" t="n"/>
      <c r="C220" s="141" t="n"/>
      <c r="D220" s="141" t="n"/>
      <c r="E220" s="142" t="n"/>
      <c r="F220" s="143" t="n"/>
      <c r="G220" s="144" t="n"/>
      <c r="H220" s="145">
        <f>IF(OR(C220="",AND(F220="",G220="")),"",SUMIF(基础资料!$W$5:$W$24,C220,基础资料!$X$5:$X$24)+SUMIF(C$7:C220,C220,F$7:F220)-SUMIF(C$7:C220,C220,G$7:G220))</f>
      </c>
      <c r="I220" s="145">
        <f>IF(AND(F220="",G220=""),"",SUM(基础资料!$X$5:$X$24)+SUM(F$7:F220)-SUM(G$7:G220))</f>
      </c>
      <c r="J220" s="141" t="n"/>
      <c r="K220" s="141" t="n"/>
      <c r="L220" s="141" t="n"/>
      <c r="M220" s="142" t="n"/>
      <c r="N220" s="146">
        <f>IF(AND(AND(F220="",G220=""),B220="",C220="",D220="",J220="",K220="",L220=""),"",IF(AND(F220="",G220=""),"✗ 没填金额",IF(AND(N(F220)&lt;&gt;0,N(G220)&lt;&gt;0),"✗ 收入、支出只能填一边",IF(NOT(ISNUMBER(B220)),"✗ 日期不是真日期（要像 2026/9/25 这样填）",IF(OR(B220&lt;年初日,B220&gt;年末日),"✗ 日期不在本会计年度",IF(C220="","✗ 没选账户",IF(COUNTIF(基础资料!$W$5:$W$24,C220)=0,"✗ 账户不在基础资料里",IF(O220="","✗ 没选收支项目",IF(P220="未知","✗ 收支项目不在基础资料里",IF(AND(P220="应收",J220=""),"✗ 这笔要选客户",IF(AND(P220="应收",COUNTIF(总览汇总!$B$5:$B$304,J220)=0),"✗ 客户不在总览汇总名单里",IF(AND(P220="应付",K220=""),"✗ 这笔要选供应商",IF(AND(P220="应付",COUNTIF(基础资料!$Q$5:$Q$54,K220)=0),"✗ 供应商不在基础资料里",IF(AND(P220="费用",L220=""),"✗ 费用支出要选费用项目",IF(AND(L220&lt;&gt;"",COUNTIF(基础资料!$AI$5:$AI$54,L220)=0),"✗ 费用项目不在基础资料里",IF(AND(IFERROR(INDEX(基础资料!$AD$5:$AD$34,MATCH(O220,基础资料!$AC$5:$AC$34,0)),"")="收",N(G220)&lt;&gt;0),"✗ 这类是收款，金额填到收入列",IF(AND(IFERROR(INDEX(基础资料!$AD$5:$AD$34,MATCH(O220,基础资料!$AC$5:$AC$34,0)),"")="支",N(F220)&lt;&gt;0),"✗ 这类是付款，金额填到支出列",IF(N(H220)&lt;0,"⚠ 账户余额成负数了，核对一下","√"))))))))))))))))))</f>
      </c>
      <c r="O220" s="78">
        <f>IF(D220&lt;&gt;"",D220,IF(AND(F220="",G220=""),"",IF(J220&lt;&gt;"",IF(N(F220)&gt;0,"客户回款","客户退款"),IF(K220&lt;&gt;"",IF(N(G220)&gt;0,"供应商付款","供应商退款"),IF(L220&lt;&gt;"","费用支出","")))))</f>
      </c>
      <c r="P220" s="78">
        <f>IF(O220="","",IFERROR(INDEX(基础资料!$AE$5:$AE$34,MATCH(O220,基础资料!$AC$5:$AC$34,0)),"未知"))</f>
      </c>
      <c r="Q220" s="78">
        <f>IF(P220="应收",COUNTIF(P$7:P220,"应收"),"")</f>
      </c>
      <c r="R220" s="78">
        <f>IF(P220="应付",COUNTIF(P$7:P220,"应付"),"")</f>
      </c>
      <c r="S220" s="78">
        <f>N(F220)-N(G220)</f>
        <v>0</v>
      </c>
    </row>
    <row r="221">
      <c r="A221" s="109">
        <f>IF(AND(F221="",G221=""),"",ROW()-6)</f>
      </c>
      <c r="B221" s="140" t="n"/>
      <c r="C221" s="141" t="n"/>
      <c r="D221" s="141" t="n"/>
      <c r="E221" s="142" t="n"/>
      <c r="F221" s="143" t="n"/>
      <c r="G221" s="144" t="n"/>
      <c r="H221" s="145">
        <f>IF(OR(C221="",AND(F221="",G221="")),"",SUMIF(基础资料!$W$5:$W$24,C221,基础资料!$X$5:$X$24)+SUMIF(C$7:C221,C221,F$7:F221)-SUMIF(C$7:C221,C221,G$7:G221))</f>
      </c>
      <c r="I221" s="145">
        <f>IF(AND(F221="",G221=""),"",SUM(基础资料!$X$5:$X$24)+SUM(F$7:F221)-SUM(G$7:G221))</f>
      </c>
      <c r="J221" s="141" t="n"/>
      <c r="K221" s="141" t="n"/>
      <c r="L221" s="141" t="n"/>
      <c r="M221" s="142" t="n"/>
      <c r="N221" s="146">
        <f>IF(AND(AND(F221="",G221=""),B221="",C221="",D221="",J221="",K221="",L221=""),"",IF(AND(F221="",G221=""),"✗ 没填金额",IF(AND(N(F221)&lt;&gt;0,N(G221)&lt;&gt;0),"✗ 收入、支出只能填一边",IF(NOT(ISNUMBER(B221)),"✗ 日期不是真日期（要像 2026/9/25 这样填）",IF(OR(B221&lt;年初日,B221&gt;年末日),"✗ 日期不在本会计年度",IF(C221="","✗ 没选账户",IF(COUNTIF(基础资料!$W$5:$W$24,C221)=0,"✗ 账户不在基础资料里",IF(O221="","✗ 没选收支项目",IF(P221="未知","✗ 收支项目不在基础资料里",IF(AND(P221="应收",J221=""),"✗ 这笔要选客户",IF(AND(P221="应收",COUNTIF(总览汇总!$B$5:$B$304,J221)=0),"✗ 客户不在总览汇总名单里",IF(AND(P221="应付",K221=""),"✗ 这笔要选供应商",IF(AND(P221="应付",COUNTIF(基础资料!$Q$5:$Q$54,K221)=0),"✗ 供应商不在基础资料里",IF(AND(P221="费用",L221=""),"✗ 费用支出要选费用项目",IF(AND(L221&lt;&gt;"",COUNTIF(基础资料!$AI$5:$AI$54,L221)=0),"✗ 费用项目不在基础资料里",IF(AND(IFERROR(INDEX(基础资料!$AD$5:$AD$34,MATCH(O221,基础资料!$AC$5:$AC$34,0)),"")="收",N(G221)&lt;&gt;0),"✗ 这类是收款，金额填到收入列",IF(AND(IFERROR(INDEX(基础资料!$AD$5:$AD$34,MATCH(O221,基础资料!$AC$5:$AC$34,0)),"")="支",N(F221)&lt;&gt;0),"✗ 这类是付款，金额填到支出列",IF(N(H221)&lt;0,"⚠ 账户余额成负数了，核对一下","√"))))))))))))))))))</f>
      </c>
      <c r="O221" s="78">
        <f>IF(D221&lt;&gt;"",D221,IF(AND(F221="",G221=""),"",IF(J221&lt;&gt;"",IF(N(F221)&gt;0,"客户回款","客户退款"),IF(K221&lt;&gt;"",IF(N(G221)&gt;0,"供应商付款","供应商退款"),IF(L221&lt;&gt;"","费用支出","")))))</f>
      </c>
      <c r="P221" s="78">
        <f>IF(O221="","",IFERROR(INDEX(基础资料!$AE$5:$AE$34,MATCH(O221,基础资料!$AC$5:$AC$34,0)),"未知"))</f>
      </c>
      <c r="Q221" s="78">
        <f>IF(P221="应收",COUNTIF(P$7:P221,"应收"),"")</f>
      </c>
      <c r="R221" s="78">
        <f>IF(P221="应付",COUNTIF(P$7:P221,"应付"),"")</f>
      </c>
      <c r="S221" s="78">
        <f>N(F221)-N(G221)</f>
        <v>0</v>
      </c>
    </row>
    <row r="222">
      <c r="A222" s="109">
        <f>IF(AND(F222="",G222=""),"",ROW()-6)</f>
      </c>
      <c r="B222" s="140" t="n"/>
      <c r="C222" s="141" t="n"/>
      <c r="D222" s="141" t="n"/>
      <c r="E222" s="142" t="n"/>
      <c r="F222" s="143" t="n"/>
      <c r="G222" s="144" t="n"/>
      <c r="H222" s="145">
        <f>IF(OR(C222="",AND(F222="",G222="")),"",SUMIF(基础资料!$W$5:$W$24,C222,基础资料!$X$5:$X$24)+SUMIF(C$7:C222,C222,F$7:F222)-SUMIF(C$7:C222,C222,G$7:G222))</f>
      </c>
      <c r="I222" s="145">
        <f>IF(AND(F222="",G222=""),"",SUM(基础资料!$X$5:$X$24)+SUM(F$7:F222)-SUM(G$7:G222))</f>
      </c>
      <c r="J222" s="141" t="n"/>
      <c r="K222" s="141" t="n"/>
      <c r="L222" s="141" t="n"/>
      <c r="M222" s="142" t="n"/>
      <c r="N222" s="146">
        <f>IF(AND(AND(F222="",G222=""),B222="",C222="",D222="",J222="",K222="",L222=""),"",IF(AND(F222="",G222=""),"✗ 没填金额",IF(AND(N(F222)&lt;&gt;0,N(G222)&lt;&gt;0),"✗ 收入、支出只能填一边",IF(NOT(ISNUMBER(B222)),"✗ 日期不是真日期（要像 2026/9/25 这样填）",IF(OR(B222&lt;年初日,B222&gt;年末日),"✗ 日期不在本会计年度",IF(C222="","✗ 没选账户",IF(COUNTIF(基础资料!$W$5:$W$24,C222)=0,"✗ 账户不在基础资料里",IF(O222="","✗ 没选收支项目",IF(P222="未知","✗ 收支项目不在基础资料里",IF(AND(P222="应收",J222=""),"✗ 这笔要选客户",IF(AND(P222="应收",COUNTIF(总览汇总!$B$5:$B$304,J222)=0),"✗ 客户不在总览汇总名单里",IF(AND(P222="应付",K222=""),"✗ 这笔要选供应商",IF(AND(P222="应付",COUNTIF(基础资料!$Q$5:$Q$54,K222)=0),"✗ 供应商不在基础资料里",IF(AND(P222="费用",L222=""),"✗ 费用支出要选费用项目",IF(AND(L222&lt;&gt;"",COUNTIF(基础资料!$AI$5:$AI$54,L222)=0),"✗ 费用项目不在基础资料里",IF(AND(IFERROR(INDEX(基础资料!$AD$5:$AD$34,MATCH(O222,基础资料!$AC$5:$AC$34,0)),"")="收",N(G222)&lt;&gt;0),"✗ 这类是收款，金额填到收入列",IF(AND(IFERROR(INDEX(基础资料!$AD$5:$AD$34,MATCH(O222,基础资料!$AC$5:$AC$34,0)),"")="支",N(F222)&lt;&gt;0),"✗ 这类是付款，金额填到支出列",IF(N(H222)&lt;0,"⚠ 账户余额成负数了，核对一下","√"))))))))))))))))))</f>
      </c>
      <c r="O222" s="78">
        <f>IF(D222&lt;&gt;"",D222,IF(AND(F222="",G222=""),"",IF(J222&lt;&gt;"",IF(N(F222)&gt;0,"客户回款","客户退款"),IF(K222&lt;&gt;"",IF(N(G222)&gt;0,"供应商付款","供应商退款"),IF(L222&lt;&gt;"","费用支出","")))))</f>
      </c>
      <c r="P222" s="78">
        <f>IF(O222="","",IFERROR(INDEX(基础资料!$AE$5:$AE$34,MATCH(O222,基础资料!$AC$5:$AC$34,0)),"未知"))</f>
      </c>
      <c r="Q222" s="78">
        <f>IF(P222="应收",COUNTIF(P$7:P222,"应收"),"")</f>
      </c>
      <c r="R222" s="78">
        <f>IF(P222="应付",COUNTIF(P$7:P222,"应付"),"")</f>
      </c>
      <c r="S222" s="78">
        <f>N(F222)-N(G222)</f>
        <v>0</v>
      </c>
    </row>
    <row r="223">
      <c r="A223" s="109">
        <f>IF(AND(F223="",G223=""),"",ROW()-6)</f>
      </c>
      <c r="B223" s="140" t="n"/>
      <c r="C223" s="141" t="n"/>
      <c r="D223" s="141" t="n"/>
      <c r="E223" s="142" t="n"/>
      <c r="F223" s="143" t="n"/>
      <c r="G223" s="144" t="n"/>
      <c r="H223" s="145">
        <f>IF(OR(C223="",AND(F223="",G223="")),"",SUMIF(基础资料!$W$5:$W$24,C223,基础资料!$X$5:$X$24)+SUMIF(C$7:C223,C223,F$7:F223)-SUMIF(C$7:C223,C223,G$7:G223))</f>
      </c>
      <c r="I223" s="145">
        <f>IF(AND(F223="",G223=""),"",SUM(基础资料!$X$5:$X$24)+SUM(F$7:F223)-SUM(G$7:G223))</f>
      </c>
      <c r="J223" s="141" t="n"/>
      <c r="K223" s="141" t="n"/>
      <c r="L223" s="141" t="n"/>
      <c r="M223" s="142" t="n"/>
      <c r="N223" s="146">
        <f>IF(AND(AND(F223="",G223=""),B223="",C223="",D223="",J223="",K223="",L223=""),"",IF(AND(F223="",G223=""),"✗ 没填金额",IF(AND(N(F223)&lt;&gt;0,N(G223)&lt;&gt;0),"✗ 收入、支出只能填一边",IF(NOT(ISNUMBER(B223)),"✗ 日期不是真日期（要像 2026/9/25 这样填）",IF(OR(B223&lt;年初日,B223&gt;年末日),"✗ 日期不在本会计年度",IF(C223="","✗ 没选账户",IF(COUNTIF(基础资料!$W$5:$W$24,C223)=0,"✗ 账户不在基础资料里",IF(O223="","✗ 没选收支项目",IF(P223="未知","✗ 收支项目不在基础资料里",IF(AND(P223="应收",J223=""),"✗ 这笔要选客户",IF(AND(P223="应收",COUNTIF(总览汇总!$B$5:$B$304,J223)=0),"✗ 客户不在总览汇总名单里",IF(AND(P223="应付",K223=""),"✗ 这笔要选供应商",IF(AND(P223="应付",COUNTIF(基础资料!$Q$5:$Q$54,K223)=0),"✗ 供应商不在基础资料里",IF(AND(P223="费用",L223=""),"✗ 费用支出要选费用项目",IF(AND(L223&lt;&gt;"",COUNTIF(基础资料!$AI$5:$AI$54,L223)=0),"✗ 费用项目不在基础资料里",IF(AND(IFERROR(INDEX(基础资料!$AD$5:$AD$34,MATCH(O223,基础资料!$AC$5:$AC$34,0)),"")="收",N(G223)&lt;&gt;0),"✗ 这类是收款，金额填到收入列",IF(AND(IFERROR(INDEX(基础资料!$AD$5:$AD$34,MATCH(O223,基础资料!$AC$5:$AC$34,0)),"")="支",N(F223)&lt;&gt;0),"✗ 这类是付款，金额填到支出列",IF(N(H223)&lt;0,"⚠ 账户余额成负数了，核对一下","√"))))))))))))))))))</f>
      </c>
      <c r="O223" s="78">
        <f>IF(D223&lt;&gt;"",D223,IF(AND(F223="",G223=""),"",IF(J223&lt;&gt;"",IF(N(F223)&gt;0,"客户回款","客户退款"),IF(K223&lt;&gt;"",IF(N(G223)&gt;0,"供应商付款","供应商退款"),IF(L223&lt;&gt;"","费用支出","")))))</f>
      </c>
      <c r="P223" s="78">
        <f>IF(O223="","",IFERROR(INDEX(基础资料!$AE$5:$AE$34,MATCH(O223,基础资料!$AC$5:$AC$34,0)),"未知"))</f>
      </c>
      <c r="Q223" s="78">
        <f>IF(P223="应收",COUNTIF(P$7:P223,"应收"),"")</f>
      </c>
      <c r="R223" s="78">
        <f>IF(P223="应付",COUNTIF(P$7:P223,"应付"),"")</f>
      </c>
      <c r="S223" s="78">
        <f>N(F223)-N(G223)</f>
        <v>0</v>
      </c>
    </row>
    <row r="224">
      <c r="A224" s="109">
        <f>IF(AND(F224="",G224=""),"",ROW()-6)</f>
      </c>
      <c r="B224" s="140" t="n"/>
      <c r="C224" s="141" t="n"/>
      <c r="D224" s="141" t="n"/>
      <c r="E224" s="142" t="n"/>
      <c r="F224" s="143" t="n"/>
      <c r="G224" s="144" t="n"/>
      <c r="H224" s="145">
        <f>IF(OR(C224="",AND(F224="",G224="")),"",SUMIF(基础资料!$W$5:$W$24,C224,基础资料!$X$5:$X$24)+SUMIF(C$7:C224,C224,F$7:F224)-SUMIF(C$7:C224,C224,G$7:G224))</f>
      </c>
      <c r="I224" s="145">
        <f>IF(AND(F224="",G224=""),"",SUM(基础资料!$X$5:$X$24)+SUM(F$7:F224)-SUM(G$7:G224))</f>
      </c>
      <c r="J224" s="141" t="n"/>
      <c r="K224" s="141" t="n"/>
      <c r="L224" s="141" t="n"/>
      <c r="M224" s="142" t="n"/>
      <c r="N224" s="146">
        <f>IF(AND(AND(F224="",G224=""),B224="",C224="",D224="",J224="",K224="",L224=""),"",IF(AND(F224="",G224=""),"✗ 没填金额",IF(AND(N(F224)&lt;&gt;0,N(G224)&lt;&gt;0),"✗ 收入、支出只能填一边",IF(NOT(ISNUMBER(B224)),"✗ 日期不是真日期（要像 2026/9/25 这样填）",IF(OR(B224&lt;年初日,B224&gt;年末日),"✗ 日期不在本会计年度",IF(C224="","✗ 没选账户",IF(COUNTIF(基础资料!$W$5:$W$24,C224)=0,"✗ 账户不在基础资料里",IF(O224="","✗ 没选收支项目",IF(P224="未知","✗ 收支项目不在基础资料里",IF(AND(P224="应收",J224=""),"✗ 这笔要选客户",IF(AND(P224="应收",COUNTIF(总览汇总!$B$5:$B$304,J224)=0),"✗ 客户不在总览汇总名单里",IF(AND(P224="应付",K224=""),"✗ 这笔要选供应商",IF(AND(P224="应付",COUNTIF(基础资料!$Q$5:$Q$54,K224)=0),"✗ 供应商不在基础资料里",IF(AND(P224="费用",L224=""),"✗ 费用支出要选费用项目",IF(AND(L224&lt;&gt;"",COUNTIF(基础资料!$AI$5:$AI$54,L224)=0),"✗ 费用项目不在基础资料里",IF(AND(IFERROR(INDEX(基础资料!$AD$5:$AD$34,MATCH(O224,基础资料!$AC$5:$AC$34,0)),"")="收",N(G224)&lt;&gt;0),"✗ 这类是收款，金额填到收入列",IF(AND(IFERROR(INDEX(基础资料!$AD$5:$AD$34,MATCH(O224,基础资料!$AC$5:$AC$34,0)),"")="支",N(F224)&lt;&gt;0),"✗ 这类是付款，金额填到支出列",IF(N(H224)&lt;0,"⚠ 账户余额成负数了，核对一下","√"))))))))))))))))))</f>
      </c>
      <c r="O224" s="78">
        <f>IF(D224&lt;&gt;"",D224,IF(AND(F224="",G224=""),"",IF(J224&lt;&gt;"",IF(N(F224)&gt;0,"客户回款","客户退款"),IF(K224&lt;&gt;"",IF(N(G224)&gt;0,"供应商付款","供应商退款"),IF(L224&lt;&gt;"","费用支出","")))))</f>
      </c>
      <c r="P224" s="78">
        <f>IF(O224="","",IFERROR(INDEX(基础资料!$AE$5:$AE$34,MATCH(O224,基础资料!$AC$5:$AC$34,0)),"未知"))</f>
      </c>
      <c r="Q224" s="78">
        <f>IF(P224="应收",COUNTIF(P$7:P224,"应收"),"")</f>
      </c>
      <c r="R224" s="78">
        <f>IF(P224="应付",COUNTIF(P$7:P224,"应付"),"")</f>
      </c>
      <c r="S224" s="78">
        <f>N(F224)-N(G224)</f>
        <v>0</v>
      </c>
    </row>
    <row r="225">
      <c r="A225" s="109">
        <f>IF(AND(F225="",G225=""),"",ROW()-6)</f>
      </c>
      <c r="B225" s="140" t="n"/>
      <c r="C225" s="141" t="n"/>
      <c r="D225" s="141" t="n"/>
      <c r="E225" s="142" t="n"/>
      <c r="F225" s="143" t="n"/>
      <c r="G225" s="144" t="n"/>
      <c r="H225" s="145">
        <f>IF(OR(C225="",AND(F225="",G225="")),"",SUMIF(基础资料!$W$5:$W$24,C225,基础资料!$X$5:$X$24)+SUMIF(C$7:C225,C225,F$7:F225)-SUMIF(C$7:C225,C225,G$7:G225))</f>
      </c>
      <c r="I225" s="145">
        <f>IF(AND(F225="",G225=""),"",SUM(基础资料!$X$5:$X$24)+SUM(F$7:F225)-SUM(G$7:G225))</f>
      </c>
      <c r="J225" s="141" t="n"/>
      <c r="K225" s="141" t="n"/>
      <c r="L225" s="141" t="n"/>
      <c r="M225" s="142" t="n"/>
      <c r="N225" s="146">
        <f>IF(AND(AND(F225="",G225=""),B225="",C225="",D225="",J225="",K225="",L225=""),"",IF(AND(F225="",G225=""),"✗ 没填金额",IF(AND(N(F225)&lt;&gt;0,N(G225)&lt;&gt;0),"✗ 收入、支出只能填一边",IF(NOT(ISNUMBER(B225)),"✗ 日期不是真日期（要像 2026/9/25 这样填）",IF(OR(B225&lt;年初日,B225&gt;年末日),"✗ 日期不在本会计年度",IF(C225="","✗ 没选账户",IF(COUNTIF(基础资料!$W$5:$W$24,C225)=0,"✗ 账户不在基础资料里",IF(O225="","✗ 没选收支项目",IF(P225="未知","✗ 收支项目不在基础资料里",IF(AND(P225="应收",J225=""),"✗ 这笔要选客户",IF(AND(P225="应收",COUNTIF(总览汇总!$B$5:$B$304,J225)=0),"✗ 客户不在总览汇总名单里",IF(AND(P225="应付",K225=""),"✗ 这笔要选供应商",IF(AND(P225="应付",COUNTIF(基础资料!$Q$5:$Q$54,K225)=0),"✗ 供应商不在基础资料里",IF(AND(P225="费用",L225=""),"✗ 费用支出要选费用项目",IF(AND(L225&lt;&gt;"",COUNTIF(基础资料!$AI$5:$AI$54,L225)=0),"✗ 费用项目不在基础资料里",IF(AND(IFERROR(INDEX(基础资料!$AD$5:$AD$34,MATCH(O225,基础资料!$AC$5:$AC$34,0)),"")="收",N(G225)&lt;&gt;0),"✗ 这类是收款，金额填到收入列",IF(AND(IFERROR(INDEX(基础资料!$AD$5:$AD$34,MATCH(O225,基础资料!$AC$5:$AC$34,0)),"")="支",N(F225)&lt;&gt;0),"✗ 这类是付款，金额填到支出列",IF(N(H225)&lt;0,"⚠ 账户余额成负数了，核对一下","√"))))))))))))))))))</f>
      </c>
      <c r="O225" s="78">
        <f>IF(D225&lt;&gt;"",D225,IF(AND(F225="",G225=""),"",IF(J225&lt;&gt;"",IF(N(F225)&gt;0,"客户回款","客户退款"),IF(K225&lt;&gt;"",IF(N(G225)&gt;0,"供应商付款","供应商退款"),IF(L225&lt;&gt;"","费用支出","")))))</f>
      </c>
      <c r="P225" s="78">
        <f>IF(O225="","",IFERROR(INDEX(基础资料!$AE$5:$AE$34,MATCH(O225,基础资料!$AC$5:$AC$34,0)),"未知"))</f>
      </c>
      <c r="Q225" s="78">
        <f>IF(P225="应收",COUNTIF(P$7:P225,"应收"),"")</f>
      </c>
      <c r="R225" s="78">
        <f>IF(P225="应付",COUNTIF(P$7:P225,"应付"),"")</f>
      </c>
      <c r="S225" s="78">
        <f>N(F225)-N(G225)</f>
        <v>0</v>
      </c>
    </row>
    <row r="226">
      <c r="A226" s="109">
        <f>IF(AND(F226="",G226=""),"",ROW()-6)</f>
      </c>
      <c r="B226" s="140" t="n"/>
      <c r="C226" s="141" t="n"/>
      <c r="D226" s="141" t="n"/>
      <c r="E226" s="142" t="n"/>
      <c r="F226" s="143" t="n"/>
      <c r="G226" s="144" t="n"/>
      <c r="H226" s="145">
        <f>IF(OR(C226="",AND(F226="",G226="")),"",SUMIF(基础资料!$W$5:$W$24,C226,基础资料!$X$5:$X$24)+SUMIF(C$7:C226,C226,F$7:F226)-SUMIF(C$7:C226,C226,G$7:G226))</f>
      </c>
      <c r="I226" s="145">
        <f>IF(AND(F226="",G226=""),"",SUM(基础资料!$X$5:$X$24)+SUM(F$7:F226)-SUM(G$7:G226))</f>
      </c>
      <c r="J226" s="141" t="n"/>
      <c r="K226" s="141" t="n"/>
      <c r="L226" s="141" t="n"/>
      <c r="M226" s="142" t="n"/>
      <c r="N226" s="146">
        <f>IF(AND(AND(F226="",G226=""),B226="",C226="",D226="",J226="",K226="",L226=""),"",IF(AND(F226="",G226=""),"✗ 没填金额",IF(AND(N(F226)&lt;&gt;0,N(G226)&lt;&gt;0),"✗ 收入、支出只能填一边",IF(NOT(ISNUMBER(B226)),"✗ 日期不是真日期（要像 2026/9/25 这样填）",IF(OR(B226&lt;年初日,B226&gt;年末日),"✗ 日期不在本会计年度",IF(C226="","✗ 没选账户",IF(COUNTIF(基础资料!$W$5:$W$24,C226)=0,"✗ 账户不在基础资料里",IF(O226="","✗ 没选收支项目",IF(P226="未知","✗ 收支项目不在基础资料里",IF(AND(P226="应收",J226=""),"✗ 这笔要选客户",IF(AND(P226="应收",COUNTIF(总览汇总!$B$5:$B$304,J226)=0),"✗ 客户不在总览汇总名单里",IF(AND(P226="应付",K226=""),"✗ 这笔要选供应商",IF(AND(P226="应付",COUNTIF(基础资料!$Q$5:$Q$54,K226)=0),"✗ 供应商不在基础资料里",IF(AND(P226="费用",L226=""),"✗ 费用支出要选费用项目",IF(AND(L226&lt;&gt;"",COUNTIF(基础资料!$AI$5:$AI$54,L226)=0),"✗ 费用项目不在基础资料里",IF(AND(IFERROR(INDEX(基础资料!$AD$5:$AD$34,MATCH(O226,基础资料!$AC$5:$AC$34,0)),"")="收",N(G226)&lt;&gt;0),"✗ 这类是收款，金额填到收入列",IF(AND(IFERROR(INDEX(基础资料!$AD$5:$AD$34,MATCH(O226,基础资料!$AC$5:$AC$34,0)),"")="支",N(F226)&lt;&gt;0),"✗ 这类是付款，金额填到支出列",IF(N(H226)&lt;0,"⚠ 账户余额成负数了，核对一下","√"))))))))))))))))))</f>
      </c>
      <c r="O226" s="78">
        <f>IF(D226&lt;&gt;"",D226,IF(AND(F226="",G226=""),"",IF(J226&lt;&gt;"",IF(N(F226)&gt;0,"客户回款","客户退款"),IF(K226&lt;&gt;"",IF(N(G226)&gt;0,"供应商付款","供应商退款"),IF(L226&lt;&gt;"","费用支出","")))))</f>
      </c>
      <c r="P226" s="78">
        <f>IF(O226="","",IFERROR(INDEX(基础资料!$AE$5:$AE$34,MATCH(O226,基础资料!$AC$5:$AC$34,0)),"未知"))</f>
      </c>
      <c r="Q226" s="78">
        <f>IF(P226="应收",COUNTIF(P$7:P226,"应收"),"")</f>
      </c>
      <c r="R226" s="78">
        <f>IF(P226="应付",COUNTIF(P$7:P226,"应付"),"")</f>
      </c>
      <c r="S226" s="78">
        <f>N(F226)-N(G226)</f>
        <v>0</v>
      </c>
    </row>
    <row r="227">
      <c r="A227" s="109">
        <f>IF(AND(F227="",G227=""),"",ROW()-6)</f>
      </c>
      <c r="B227" s="140" t="n"/>
      <c r="C227" s="141" t="n"/>
      <c r="D227" s="141" t="n"/>
      <c r="E227" s="142" t="n"/>
      <c r="F227" s="143" t="n"/>
      <c r="G227" s="144" t="n"/>
      <c r="H227" s="145">
        <f>IF(OR(C227="",AND(F227="",G227="")),"",SUMIF(基础资料!$W$5:$W$24,C227,基础资料!$X$5:$X$24)+SUMIF(C$7:C227,C227,F$7:F227)-SUMIF(C$7:C227,C227,G$7:G227))</f>
      </c>
      <c r="I227" s="145">
        <f>IF(AND(F227="",G227=""),"",SUM(基础资料!$X$5:$X$24)+SUM(F$7:F227)-SUM(G$7:G227))</f>
      </c>
      <c r="J227" s="141" t="n"/>
      <c r="K227" s="141" t="n"/>
      <c r="L227" s="141" t="n"/>
      <c r="M227" s="142" t="n"/>
      <c r="N227" s="146">
        <f>IF(AND(AND(F227="",G227=""),B227="",C227="",D227="",J227="",K227="",L227=""),"",IF(AND(F227="",G227=""),"✗ 没填金额",IF(AND(N(F227)&lt;&gt;0,N(G227)&lt;&gt;0),"✗ 收入、支出只能填一边",IF(NOT(ISNUMBER(B227)),"✗ 日期不是真日期（要像 2026/9/25 这样填）",IF(OR(B227&lt;年初日,B227&gt;年末日),"✗ 日期不在本会计年度",IF(C227="","✗ 没选账户",IF(COUNTIF(基础资料!$W$5:$W$24,C227)=0,"✗ 账户不在基础资料里",IF(O227="","✗ 没选收支项目",IF(P227="未知","✗ 收支项目不在基础资料里",IF(AND(P227="应收",J227=""),"✗ 这笔要选客户",IF(AND(P227="应收",COUNTIF(总览汇总!$B$5:$B$304,J227)=0),"✗ 客户不在总览汇总名单里",IF(AND(P227="应付",K227=""),"✗ 这笔要选供应商",IF(AND(P227="应付",COUNTIF(基础资料!$Q$5:$Q$54,K227)=0),"✗ 供应商不在基础资料里",IF(AND(P227="费用",L227=""),"✗ 费用支出要选费用项目",IF(AND(L227&lt;&gt;"",COUNTIF(基础资料!$AI$5:$AI$54,L227)=0),"✗ 费用项目不在基础资料里",IF(AND(IFERROR(INDEX(基础资料!$AD$5:$AD$34,MATCH(O227,基础资料!$AC$5:$AC$34,0)),"")="收",N(G227)&lt;&gt;0),"✗ 这类是收款，金额填到收入列",IF(AND(IFERROR(INDEX(基础资料!$AD$5:$AD$34,MATCH(O227,基础资料!$AC$5:$AC$34,0)),"")="支",N(F227)&lt;&gt;0),"✗ 这类是付款，金额填到支出列",IF(N(H227)&lt;0,"⚠ 账户余额成负数了，核对一下","√"))))))))))))))))))</f>
      </c>
      <c r="O227" s="78">
        <f>IF(D227&lt;&gt;"",D227,IF(AND(F227="",G227=""),"",IF(J227&lt;&gt;"",IF(N(F227)&gt;0,"客户回款","客户退款"),IF(K227&lt;&gt;"",IF(N(G227)&gt;0,"供应商付款","供应商退款"),IF(L227&lt;&gt;"","费用支出","")))))</f>
      </c>
      <c r="P227" s="78">
        <f>IF(O227="","",IFERROR(INDEX(基础资料!$AE$5:$AE$34,MATCH(O227,基础资料!$AC$5:$AC$34,0)),"未知"))</f>
      </c>
      <c r="Q227" s="78">
        <f>IF(P227="应收",COUNTIF(P$7:P227,"应收"),"")</f>
      </c>
      <c r="R227" s="78">
        <f>IF(P227="应付",COUNTIF(P$7:P227,"应付"),"")</f>
      </c>
      <c r="S227" s="78">
        <f>N(F227)-N(G227)</f>
        <v>0</v>
      </c>
    </row>
    <row r="228">
      <c r="A228" s="109">
        <f>IF(AND(F228="",G228=""),"",ROW()-6)</f>
      </c>
      <c r="B228" s="140" t="n"/>
      <c r="C228" s="141" t="n"/>
      <c r="D228" s="141" t="n"/>
      <c r="E228" s="142" t="n"/>
      <c r="F228" s="143" t="n"/>
      <c r="G228" s="144" t="n"/>
      <c r="H228" s="145">
        <f>IF(OR(C228="",AND(F228="",G228="")),"",SUMIF(基础资料!$W$5:$W$24,C228,基础资料!$X$5:$X$24)+SUMIF(C$7:C228,C228,F$7:F228)-SUMIF(C$7:C228,C228,G$7:G228))</f>
      </c>
      <c r="I228" s="145">
        <f>IF(AND(F228="",G228=""),"",SUM(基础资料!$X$5:$X$24)+SUM(F$7:F228)-SUM(G$7:G228))</f>
      </c>
      <c r="J228" s="141" t="n"/>
      <c r="K228" s="141" t="n"/>
      <c r="L228" s="141" t="n"/>
      <c r="M228" s="142" t="n"/>
      <c r="N228" s="146">
        <f>IF(AND(AND(F228="",G228=""),B228="",C228="",D228="",J228="",K228="",L228=""),"",IF(AND(F228="",G228=""),"✗ 没填金额",IF(AND(N(F228)&lt;&gt;0,N(G228)&lt;&gt;0),"✗ 收入、支出只能填一边",IF(NOT(ISNUMBER(B228)),"✗ 日期不是真日期（要像 2026/9/25 这样填）",IF(OR(B228&lt;年初日,B228&gt;年末日),"✗ 日期不在本会计年度",IF(C228="","✗ 没选账户",IF(COUNTIF(基础资料!$W$5:$W$24,C228)=0,"✗ 账户不在基础资料里",IF(O228="","✗ 没选收支项目",IF(P228="未知","✗ 收支项目不在基础资料里",IF(AND(P228="应收",J228=""),"✗ 这笔要选客户",IF(AND(P228="应收",COUNTIF(总览汇总!$B$5:$B$304,J228)=0),"✗ 客户不在总览汇总名单里",IF(AND(P228="应付",K228=""),"✗ 这笔要选供应商",IF(AND(P228="应付",COUNTIF(基础资料!$Q$5:$Q$54,K228)=0),"✗ 供应商不在基础资料里",IF(AND(P228="费用",L228=""),"✗ 费用支出要选费用项目",IF(AND(L228&lt;&gt;"",COUNTIF(基础资料!$AI$5:$AI$54,L228)=0),"✗ 费用项目不在基础资料里",IF(AND(IFERROR(INDEX(基础资料!$AD$5:$AD$34,MATCH(O228,基础资料!$AC$5:$AC$34,0)),"")="收",N(G228)&lt;&gt;0),"✗ 这类是收款，金额填到收入列",IF(AND(IFERROR(INDEX(基础资料!$AD$5:$AD$34,MATCH(O228,基础资料!$AC$5:$AC$34,0)),"")="支",N(F228)&lt;&gt;0),"✗ 这类是付款，金额填到支出列",IF(N(H228)&lt;0,"⚠ 账户余额成负数了，核对一下","√"))))))))))))))))))</f>
      </c>
      <c r="O228" s="78">
        <f>IF(D228&lt;&gt;"",D228,IF(AND(F228="",G228=""),"",IF(J228&lt;&gt;"",IF(N(F228)&gt;0,"客户回款","客户退款"),IF(K228&lt;&gt;"",IF(N(G228)&gt;0,"供应商付款","供应商退款"),IF(L228&lt;&gt;"","费用支出","")))))</f>
      </c>
      <c r="P228" s="78">
        <f>IF(O228="","",IFERROR(INDEX(基础资料!$AE$5:$AE$34,MATCH(O228,基础资料!$AC$5:$AC$34,0)),"未知"))</f>
      </c>
      <c r="Q228" s="78">
        <f>IF(P228="应收",COUNTIF(P$7:P228,"应收"),"")</f>
      </c>
      <c r="R228" s="78">
        <f>IF(P228="应付",COUNTIF(P$7:P228,"应付"),"")</f>
      </c>
      <c r="S228" s="78">
        <f>N(F228)-N(G228)</f>
        <v>0</v>
      </c>
    </row>
    <row r="229">
      <c r="A229" s="109">
        <f>IF(AND(F229="",G229=""),"",ROW()-6)</f>
      </c>
      <c r="B229" s="140" t="n"/>
      <c r="C229" s="141" t="n"/>
      <c r="D229" s="141" t="n"/>
      <c r="E229" s="142" t="n"/>
      <c r="F229" s="143" t="n"/>
      <c r="G229" s="144" t="n"/>
      <c r="H229" s="145">
        <f>IF(OR(C229="",AND(F229="",G229="")),"",SUMIF(基础资料!$W$5:$W$24,C229,基础资料!$X$5:$X$24)+SUMIF(C$7:C229,C229,F$7:F229)-SUMIF(C$7:C229,C229,G$7:G229))</f>
      </c>
      <c r="I229" s="145">
        <f>IF(AND(F229="",G229=""),"",SUM(基础资料!$X$5:$X$24)+SUM(F$7:F229)-SUM(G$7:G229))</f>
      </c>
      <c r="J229" s="141" t="n"/>
      <c r="K229" s="141" t="n"/>
      <c r="L229" s="141" t="n"/>
      <c r="M229" s="142" t="n"/>
      <c r="N229" s="146">
        <f>IF(AND(AND(F229="",G229=""),B229="",C229="",D229="",J229="",K229="",L229=""),"",IF(AND(F229="",G229=""),"✗ 没填金额",IF(AND(N(F229)&lt;&gt;0,N(G229)&lt;&gt;0),"✗ 收入、支出只能填一边",IF(NOT(ISNUMBER(B229)),"✗ 日期不是真日期（要像 2026/9/25 这样填）",IF(OR(B229&lt;年初日,B229&gt;年末日),"✗ 日期不在本会计年度",IF(C229="","✗ 没选账户",IF(COUNTIF(基础资料!$W$5:$W$24,C229)=0,"✗ 账户不在基础资料里",IF(O229="","✗ 没选收支项目",IF(P229="未知","✗ 收支项目不在基础资料里",IF(AND(P229="应收",J229=""),"✗ 这笔要选客户",IF(AND(P229="应收",COUNTIF(总览汇总!$B$5:$B$304,J229)=0),"✗ 客户不在总览汇总名单里",IF(AND(P229="应付",K229=""),"✗ 这笔要选供应商",IF(AND(P229="应付",COUNTIF(基础资料!$Q$5:$Q$54,K229)=0),"✗ 供应商不在基础资料里",IF(AND(P229="费用",L229=""),"✗ 费用支出要选费用项目",IF(AND(L229&lt;&gt;"",COUNTIF(基础资料!$AI$5:$AI$54,L229)=0),"✗ 费用项目不在基础资料里",IF(AND(IFERROR(INDEX(基础资料!$AD$5:$AD$34,MATCH(O229,基础资料!$AC$5:$AC$34,0)),"")="收",N(G229)&lt;&gt;0),"✗ 这类是收款，金额填到收入列",IF(AND(IFERROR(INDEX(基础资料!$AD$5:$AD$34,MATCH(O229,基础资料!$AC$5:$AC$34,0)),"")="支",N(F229)&lt;&gt;0),"✗ 这类是付款，金额填到支出列",IF(N(H229)&lt;0,"⚠ 账户余额成负数了，核对一下","√"))))))))))))))))))</f>
      </c>
      <c r="O229" s="78">
        <f>IF(D229&lt;&gt;"",D229,IF(AND(F229="",G229=""),"",IF(J229&lt;&gt;"",IF(N(F229)&gt;0,"客户回款","客户退款"),IF(K229&lt;&gt;"",IF(N(G229)&gt;0,"供应商付款","供应商退款"),IF(L229&lt;&gt;"","费用支出","")))))</f>
      </c>
      <c r="P229" s="78">
        <f>IF(O229="","",IFERROR(INDEX(基础资料!$AE$5:$AE$34,MATCH(O229,基础资料!$AC$5:$AC$34,0)),"未知"))</f>
      </c>
      <c r="Q229" s="78">
        <f>IF(P229="应收",COUNTIF(P$7:P229,"应收"),"")</f>
      </c>
      <c r="R229" s="78">
        <f>IF(P229="应付",COUNTIF(P$7:P229,"应付"),"")</f>
      </c>
      <c r="S229" s="78">
        <f>N(F229)-N(G229)</f>
        <v>0</v>
      </c>
    </row>
    <row r="230">
      <c r="A230" s="109">
        <f>IF(AND(F230="",G230=""),"",ROW()-6)</f>
      </c>
      <c r="B230" s="140" t="n"/>
      <c r="C230" s="141" t="n"/>
      <c r="D230" s="141" t="n"/>
      <c r="E230" s="142" t="n"/>
      <c r="F230" s="143" t="n"/>
      <c r="G230" s="144" t="n"/>
      <c r="H230" s="145">
        <f>IF(OR(C230="",AND(F230="",G230="")),"",SUMIF(基础资料!$W$5:$W$24,C230,基础资料!$X$5:$X$24)+SUMIF(C$7:C230,C230,F$7:F230)-SUMIF(C$7:C230,C230,G$7:G230))</f>
      </c>
      <c r="I230" s="145">
        <f>IF(AND(F230="",G230=""),"",SUM(基础资料!$X$5:$X$24)+SUM(F$7:F230)-SUM(G$7:G230))</f>
      </c>
      <c r="J230" s="141" t="n"/>
      <c r="K230" s="141" t="n"/>
      <c r="L230" s="141" t="n"/>
      <c r="M230" s="142" t="n"/>
      <c r="N230" s="146">
        <f>IF(AND(AND(F230="",G230=""),B230="",C230="",D230="",J230="",K230="",L230=""),"",IF(AND(F230="",G230=""),"✗ 没填金额",IF(AND(N(F230)&lt;&gt;0,N(G230)&lt;&gt;0),"✗ 收入、支出只能填一边",IF(NOT(ISNUMBER(B230)),"✗ 日期不是真日期（要像 2026/9/25 这样填）",IF(OR(B230&lt;年初日,B230&gt;年末日),"✗ 日期不在本会计年度",IF(C230="","✗ 没选账户",IF(COUNTIF(基础资料!$W$5:$W$24,C230)=0,"✗ 账户不在基础资料里",IF(O230="","✗ 没选收支项目",IF(P230="未知","✗ 收支项目不在基础资料里",IF(AND(P230="应收",J230=""),"✗ 这笔要选客户",IF(AND(P230="应收",COUNTIF(总览汇总!$B$5:$B$304,J230)=0),"✗ 客户不在总览汇总名单里",IF(AND(P230="应付",K230=""),"✗ 这笔要选供应商",IF(AND(P230="应付",COUNTIF(基础资料!$Q$5:$Q$54,K230)=0),"✗ 供应商不在基础资料里",IF(AND(P230="费用",L230=""),"✗ 费用支出要选费用项目",IF(AND(L230&lt;&gt;"",COUNTIF(基础资料!$AI$5:$AI$54,L230)=0),"✗ 费用项目不在基础资料里",IF(AND(IFERROR(INDEX(基础资料!$AD$5:$AD$34,MATCH(O230,基础资料!$AC$5:$AC$34,0)),"")="收",N(G230)&lt;&gt;0),"✗ 这类是收款，金额填到收入列",IF(AND(IFERROR(INDEX(基础资料!$AD$5:$AD$34,MATCH(O230,基础资料!$AC$5:$AC$34,0)),"")="支",N(F230)&lt;&gt;0),"✗ 这类是付款，金额填到支出列",IF(N(H230)&lt;0,"⚠ 账户余额成负数了，核对一下","√"))))))))))))))))))</f>
      </c>
      <c r="O230" s="78">
        <f>IF(D230&lt;&gt;"",D230,IF(AND(F230="",G230=""),"",IF(J230&lt;&gt;"",IF(N(F230)&gt;0,"客户回款","客户退款"),IF(K230&lt;&gt;"",IF(N(G230)&gt;0,"供应商付款","供应商退款"),IF(L230&lt;&gt;"","费用支出","")))))</f>
      </c>
      <c r="P230" s="78">
        <f>IF(O230="","",IFERROR(INDEX(基础资料!$AE$5:$AE$34,MATCH(O230,基础资料!$AC$5:$AC$34,0)),"未知"))</f>
      </c>
      <c r="Q230" s="78">
        <f>IF(P230="应收",COUNTIF(P$7:P230,"应收"),"")</f>
      </c>
      <c r="R230" s="78">
        <f>IF(P230="应付",COUNTIF(P$7:P230,"应付"),"")</f>
      </c>
      <c r="S230" s="78">
        <f>N(F230)-N(G230)</f>
        <v>0</v>
      </c>
    </row>
    <row r="231">
      <c r="A231" s="109">
        <f>IF(AND(F231="",G231=""),"",ROW()-6)</f>
      </c>
      <c r="B231" s="140" t="n"/>
      <c r="C231" s="141" t="n"/>
      <c r="D231" s="141" t="n"/>
      <c r="E231" s="142" t="n"/>
      <c r="F231" s="143" t="n"/>
      <c r="G231" s="144" t="n"/>
      <c r="H231" s="145">
        <f>IF(OR(C231="",AND(F231="",G231="")),"",SUMIF(基础资料!$W$5:$W$24,C231,基础资料!$X$5:$X$24)+SUMIF(C$7:C231,C231,F$7:F231)-SUMIF(C$7:C231,C231,G$7:G231))</f>
      </c>
      <c r="I231" s="145">
        <f>IF(AND(F231="",G231=""),"",SUM(基础资料!$X$5:$X$24)+SUM(F$7:F231)-SUM(G$7:G231))</f>
      </c>
      <c r="J231" s="141" t="n"/>
      <c r="K231" s="141" t="n"/>
      <c r="L231" s="141" t="n"/>
      <c r="M231" s="142" t="n"/>
      <c r="N231" s="146">
        <f>IF(AND(AND(F231="",G231=""),B231="",C231="",D231="",J231="",K231="",L231=""),"",IF(AND(F231="",G231=""),"✗ 没填金额",IF(AND(N(F231)&lt;&gt;0,N(G231)&lt;&gt;0),"✗ 收入、支出只能填一边",IF(NOT(ISNUMBER(B231)),"✗ 日期不是真日期（要像 2026/9/25 这样填）",IF(OR(B231&lt;年初日,B231&gt;年末日),"✗ 日期不在本会计年度",IF(C231="","✗ 没选账户",IF(COUNTIF(基础资料!$W$5:$W$24,C231)=0,"✗ 账户不在基础资料里",IF(O231="","✗ 没选收支项目",IF(P231="未知","✗ 收支项目不在基础资料里",IF(AND(P231="应收",J231=""),"✗ 这笔要选客户",IF(AND(P231="应收",COUNTIF(总览汇总!$B$5:$B$304,J231)=0),"✗ 客户不在总览汇总名单里",IF(AND(P231="应付",K231=""),"✗ 这笔要选供应商",IF(AND(P231="应付",COUNTIF(基础资料!$Q$5:$Q$54,K231)=0),"✗ 供应商不在基础资料里",IF(AND(P231="费用",L231=""),"✗ 费用支出要选费用项目",IF(AND(L231&lt;&gt;"",COUNTIF(基础资料!$AI$5:$AI$54,L231)=0),"✗ 费用项目不在基础资料里",IF(AND(IFERROR(INDEX(基础资料!$AD$5:$AD$34,MATCH(O231,基础资料!$AC$5:$AC$34,0)),"")="收",N(G231)&lt;&gt;0),"✗ 这类是收款，金额填到收入列",IF(AND(IFERROR(INDEX(基础资料!$AD$5:$AD$34,MATCH(O231,基础资料!$AC$5:$AC$34,0)),"")="支",N(F231)&lt;&gt;0),"✗ 这类是付款，金额填到支出列",IF(N(H231)&lt;0,"⚠ 账户余额成负数了，核对一下","√"))))))))))))))))))</f>
      </c>
      <c r="O231" s="78">
        <f>IF(D231&lt;&gt;"",D231,IF(AND(F231="",G231=""),"",IF(J231&lt;&gt;"",IF(N(F231)&gt;0,"客户回款","客户退款"),IF(K231&lt;&gt;"",IF(N(G231)&gt;0,"供应商付款","供应商退款"),IF(L231&lt;&gt;"","费用支出","")))))</f>
      </c>
      <c r="P231" s="78">
        <f>IF(O231="","",IFERROR(INDEX(基础资料!$AE$5:$AE$34,MATCH(O231,基础资料!$AC$5:$AC$34,0)),"未知"))</f>
      </c>
      <c r="Q231" s="78">
        <f>IF(P231="应收",COUNTIF(P$7:P231,"应收"),"")</f>
      </c>
      <c r="R231" s="78">
        <f>IF(P231="应付",COUNTIF(P$7:P231,"应付"),"")</f>
      </c>
      <c r="S231" s="78">
        <f>N(F231)-N(G231)</f>
        <v>0</v>
      </c>
    </row>
    <row r="232">
      <c r="A232" s="109">
        <f>IF(AND(F232="",G232=""),"",ROW()-6)</f>
      </c>
      <c r="B232" s="140" t="n"/>
      <c r="C232" s="141" t="n"/>
      <c r="D232" s="141" t="n"/>
      <c r="E232" s="142" t="n"/>
      <c r="F232" s="143" t="n"/>
      <c r="G232" s="144" t="n"/>
      <c r="H232" s="145">
        <f>IF(OR(C232="",AND(F232="",G232="")),"",SUMIF(基础资料!$W$5:$W$24,C232,基础资料!$X$5:$X$24)+SUMIF(C$7:C232,C232,F$7:F232)-SUMIF(C$7:C232,C232,G$7:G232))</f>
      </c>
      <c r="I232" s="145">
        <f>IF(AND(F232="",G232=""),"",SUM(基础资料!$X$5:$X$24)+SUM(F$7:F232)-SUM(G$7:G232))</f>
      </c>
      <c r="J232" s="141" t="n"/>
      <c r="K232" s="141" t="n"/>
      <c r="L232" s="141" t="n"/>
      <c r="M232" s="142" t="n"/>
      <c r="N232" s="146">
        <f>IF(AND(AND(F232="",G232=""),B232="",C232="",D232="",J232="",K232="",L232=""),"",IF(AND(F232="",G232=""),"✗ 没填金额",IF(AND(N(F232)&lt;&gt;0,N(G232)&lt;&gt;0),"✗ 收入、支出只能填一边",IF(NOT(ISNUMBER(B232)),"✗ 日期不是真日期（要像 2026/9/25 这样填）",IF(OR(B232&lt;年初日,B232&gt;年末日),"✗ 日期不在本会计年度",IF(C232="","✗ 没选账户",IF(COUNTIF(基础资料!$W$5:$W$24,C232)=0,"✗ 账户不在基础资料里",IF(O232="","✗ 没选收支项目",IF(P232="未知","✗ 收支项目不在基础资料里",IF(AND(P232="应收",J232=""),"✗ 这笔要选客户",IF(AND(P232="应收",COUNTIF(总览汇总!$B$5:$B$304,J232)=0),"✗ 客户不在总览汇总名单里",IF(AND(P232="应付",K232=""),"✗ 这笔要选供应商",IF(AND(P232="应付",COUNTIF(基础资料!$Q$5:$Q$54,K232)=0),"✗ 供应商不在基础资料里",IF(AND(P232="费用",L232=""),"✗ 费用支出要选费用项目",IF(AND(L232&lt;&gt;"",COUNTIF(基础资料!$AI$5:$AI$54,L232)=0),"✗ 费用项目不在基础资料里",IF(AND(IFERROR(INDEX(基础资料!$AD$5:$AD$34,MATCH(O232,基础资料!$AC$5:$AC$34,0)),"")="收",N(G232)&lt;&gt;0),"✗ 这类是收款，金额填到收入列",IF(AND(IFERROR(INDEX(基础资料!$AD$5:$AD$34,MATCH(O232,基础资料!$AC$5:$AC$34,0)),"")="支",N(F232)&lt;&gt;0),"✗ 这类是付款，金额填到支出列",IF(N(H232)&lt;0,"⚠ 账户余额成负数了，核对一下","√"))))))))))))))))))</f>
      </c>
      <c r="O232" s="78">
        <f>IF(D232&lt;&gt;"",D232,IF(AND(F232="",G232=""),"",IF(J232&lt;&gt;"",IF(N(F232)&gt;0,"客户回款","客户退款"),IF(K232&lt;&gt;"",IF(N(G232)&gt;0,"供应商付款","供应商退款"),IF(L232&lt;&gt;"","费用支出","")))))</f>
      </c>
      <c r="P232" s="78">
        <f>IF(O232="","",IFERROR(INDEX(基础资料!$AE$5:$AE$34,MATCH(O232,基础资料!$AC$5:$AC$34,0)),"未知"))</f>
      </c>
      <c r="Q232" s="78">
        <f>IF(P232="应收",COUNTIF(P$7:P232,"应收"),"")</f>
      </c>
      <c r="R232" s="78">
        <f>IF(P232="应付",COUNTIF(P$7:P232,"应付"),"")</f>
      </c>
      <c r="S232" s="78">
        <f>N(F232)-N(G232)</f>
        <v>0</v>
      </c>
    </row>
    <row r="233">
      <c r="A233" s="109">
        <f>IF(AND(F233="",G233=""),"",ROW()-6)</f>
      </c>
      <c r="B233" s="140" t="n"/>
      <c r="C233" s="141" t="n"/>
      <c r="D233" s="141" t="n"/>
      <c r="E233" s="142" t="n"/>
      <c r="F233" s="143" t="n"/>
      <c r="G233" s="144" t="n"/>
      <c r="H233" s="145">
        <f>IF(OR(C233="",AND(F233="",G233="")),"",SUMIF(基础资料!$W$5:$W$24,C233,基础资料!$X$5:$X$24)+SUMIF(C$7:C233,C233,F$7:F233)-SUMIF(C$7:C233,C233,G$7:G233))</f>
      </c>
      <c r="I233" s="145">
        <f>IF(AND(F233="",G233=""),"",SUM(基础资料!$X$5:$X$24)+SUM(F$7:F233)-SUM(G$7:G233))</f>
      </c>
      <c r="J233" s="141" t="n"/>
      <c r="K233" s="141" t="n"/>
      <c r="L233" s="141" t="n"/>
      <c r="M233" s="142" t="n"/>
      <c r="N233" s="146">
        <f>IF(AND(AND(F233="",G233=""),B233="",C233="",D233="",J233="",K233="",L233=""),"",IF(AND(F233="",G233=""),"✗ 没填金额",IF(AND(N(F233)&lt;&gt;0,N(G233)&lt;&gt;0),"✗ 收入、支出只能填一边",IF(NOT(ISNUMBER(B233)),"✗ 日期不是真日期（要像 2026/9/25 这样填）",IF(OR(B233&lt;年初日,B233&gt;年末日),"✗ 日期不在本会计年度",IF(C233="","✗ 没选账户",IF(COUNTIF(基础资料!$W$5:$W$24,C233)=0,"✗ 账户不在基础资料里",IF(O233="","✗ 没选收支项目",IF(P233="未知","✗ 收支项目不在基础资料里",IF(AND(P233="应收",J233=""),"✗ 这笔要选客户",IF(AND(P233="应收",COUNTIF(总览汇总!$B$5:$B$304,J233)=0),"✗ 客户不在总览汇总名单里",IF(AND(P233="应付",K233=""),"✗ 这笔要选供应商",IF(AND(P233="应付",COUNTIF(基础资料!$Q$5:$Q$54,K233)=0),"✗ 供应商不在基础资料里",IF(AND(P233="费用",L233=""),"✗ 费用支出要选费用项目",IF(AND(L233&lt;&gt;"",COUNTIF(基础资料!$AI$5:$AI$54,L233)=0),"✗ 费用项目不在基础资料里",IF(AND(IFERROR(INDEX(基础资料!$AD$5:$AD$34,MATCH(O233,基础资料!$AC$5:$AC$34,0)),"")="收",N(G233)&lt;&gt;0),"✗ 这类是收款，金额填到收入列",IF(AND(IFERROR(INDEX(基础资料!$AD$5:$AD$34,MATCH(O233,基础资料!$AC$5:$AC$34,0)),"")="支",N(F233)&lt;&gt;0),"✗ 这类是付款，金额填到支出列",IF(N(H233)&lt;0,"⚠ 账户余额成负数了，核对一下","√"))))))))))))))))))</f>
      </c>
      <c r="O233" s="78">
        <f>IF(D233&lt;&gt;"",D233,IF(AND(F233="",G233=""),"",IF(J233&lt;&gt;"",IF(N(F233)&gt;0,"客户回款","客户退款"),IF(K233&lt;&gt;"",IF(N(G233)&gt;0,"供应商付款","供应商退款"),IF(L233&lt;&gt;"","费用支出","")))))</f>
      </c>
      <c r="P233" s="78">
        <f>IF(O233="","",IFERROR(INDEX(基础资料!$AE$5:$AE$34,MATCH(O233,基础资料!$AC$5:$AC$34,0)),"未知"))</f>
      </c>
      <c r="Q233" s="78">
        <f>IF(P233="应收",COUNTIF(P$7:P233,"应收"),"")</f>
      </c>
      <c r="R233" s="78">
        <f>IF(P233="应付",COUNTIF(P$7:P233,"应付"),"")</f>
      </c>
      <c r="S233" s="78">
        <f>N(F233)-N(G233)</f>
        <v>0</v>
      </c>
    </row>
    <row r="234">
      <c r="A234" s="109">
        <f>IF(AND(F234="",G234=""),"",ROW()-6)</f>
      </c>
      <c r="B234" s="140" t="n"/>
      <c r="C234" s="141" t="n"/>
      <c r="D234" s="141" t="n"/>
      <c r="E234" s="142" t="n"/>
      <c r="F234" s="143" t="n"/>
      <c r="G234" s="144" t="n"/>
      <c r="H234" s="145">
        <f>IF(OR(C234="",AND(F234="",G234="")),"",SUMIF(基础资料!$W$5:$W$24,C234,基础资料!$X$5:$X$24)+SUMIF(C$7:C234,C234,F$7:F234)-SUMIF(C$7:C234,C234,G$7:G234))</f>
      </c>
      <c r="I234" s="145">
        <f>IF(AND(F234="",G234=""),"",SUM(基础资料!$X$5:$X$24)+SUM(F$7:F234)-SUM(G$7:G234))</f>
      </c>
      <c r="J234" s="141" t="n"/>
      <c r="K234" s="141" t="n"/>
      <c r="L234" s="141" t="n"/>
      <c r="M234" s="142" t="n"/>
      <c r="N234" s="146">
        <f>IF(AND(AND(F234="",G234=""),B234="",C234="",D234="",J234="",K234="",L234=""),"",IF(AND(F234="",G234=""),"✗ 没填金额",IF(AND(N(F234)&lt;&gt;0,N(G234)&lt;&gt;0),"✗ 收入、支出只能填一边",IF(NOT(ISNUMBER(B234)),"✗ 日期不是真日期（要像 2026/9/25 这样填）",IF(OR(B234&lt;年初日,B234&gt;年末日),"✗ 日期不在本会计年度",IF(C234="","✗ 没选账户",IF(COUNTIF(基础资料!$W$5:$W$24,C234)=0,"✗ 账户不在基础资料里",IF(O234="","✗ 没选收支项目",IF(P234="未知","✗ 收支项目不在基础资料里",IF(AND(P234="应收",J234=""),"✗ 这笔要选客户",IF(AND(P234="应收",COUNTIF(总览汇总!$B$5:$B$304,J234)=0),"✗ 客户不在总览汇总名单里",IF(AND(P234="应付",K234=""),"✗ 这笔要选供应商",IF(AND(P234="应付",COUNTIF(基础资料!$Q$5:$Q$54,K234)=0),"✗ 供应商不在基础资料里",IF(AND(P234="费用",L234=""),"✗ 费用支出要选费用项目",IF(AND(L234&lt;&gt;"",COUNTIF(基础资料!$AI$5:$AI$54,L234)=0),"✗ 费用项目不在基础资料里",IF(AND(IFERROR(INDEX(基础资料!$AD$5:$AD$34,MATCH(O234,基础资料!$AC$5:$AC$34,0)),"")="收",N(G234)&lt;&gt;0),"✗ 这类是收款，金额填到收入列",IF(AND(IFERROR(INDEX(基础资料!$AD$5:$AD$34,MATCH(O234,基础资料!$AC$5:$AC$34,0)),"")="支",N(F234)&lt;&gt;0),"✗ 这类是付款，金额填到支出列",IF(N(H234)&lt;0,"⚠ 账户余额成负数了，核对一下","√"))))))))))))))))))</f>
      </c>
      <c r="O234" s="78">
        <f>IF(D234&lt;&gt;"",D234,IF(AND(F234="",G234=""),"",IF(J234&lt;&gt;"",IF(N(F234)&gt;0,"客户回款","客户退款"),IF(K234&lt;&gt;"",IF(N(G234)&gt;0,"供应商付款","供应商退款"),IF(L234&lt;&gt;"","费用支出","")))))</f>
      </c>
      <c r="P234" s="78">
        <f>IF(O234="","",IFERROR(INDEX(基础资料!$AE$5:$AE$34,MATCH(O234,基础资料!$AC$5:$AC$34,0)),"未知"))</f>
      </c>
      <c r="Q234" s="78">
        <f>IF(P234="应收",COUNTIF(P$7:P234,"应收"),"")</f>
      </c>
      <c r="R234" s="78">
        <f>IF(P234="应付",COUNTIF(P$7:P234,"应付"),"")</f>
      </c>
      <c r="S234" s="78">
        <f>N(F234)-N(G234)</f>
        <v>0</v>
      </c>
    </row>
    <row r="235">
      <c r="A235" s="109">
        <f>IF(AND(F235="",G235=""),"",ROW()-6)</f>
      </c>
      <c r="B235" s="140" t="n"/>
      <c r="C235" s="141" t="n"/>
      <c r="D235" s="141" t="n"/>
      <c r="E235" s="142" t="n"/>
      <c r="F235" s="143" t="n"/>
      <c r="G235" s="144" t="n"/>
      <c r="H235" s="145">
        <f>IF(OR(C235="",AND(F235="",G235="")),"",SUMIF(基础资料!$W$5:$W$24,C235,基础资料!$X$5:$X$24)+SUMIF(C$7:C235,C235,F$7:F235)-SUMIF(C$7:C235,C235,G$7:G235))</f>
      </c>
      <c r="I235" s="145">
        <f>IF(AND(F235="",G235=""),"",SUM(基础资料!$X$5:$X$24)+SUM(F$7:F235)-SUM(G$7:G235))</f>
      </c>
      <c r="J235" s="141" t="n"/>
      <c r="K235" s="141" t="n"/>
      <c r="L235" s="141" t="n"/>
      <c r="M235" s="142" t="n"/>
      <c r="N235" s="146">
        <f>IF(AND(AND(F235="",G235=""),B235="",C235="",D235="",J235="",K235="",L235=""),"",IF(AND(F235="",G235=""),"✗ 没填金额",IF(AND(N(F235)&lt;&gt;0,N(G235)&lt;&gt;0),"✗ 收入、支出只能填一边",IF(NOT(ISNUMBER(B235)),"✗ 日期不是真日期（要像 2026/9/25 这样填）",IF(OR(B235&lt;年初日,B235&gt;年末日),"✗ 日期不在本会计年度",IF(C235="","✗ 没选账户",IF(COUNTIF(基础资料!$W$5:$W$24,C235)=0,"✗ 账户不在基础资料里",IF(O235="","✗ 没选收支项目",IF(P235="未知","✗ 收支项目不在基础资料里",IF(AND(P235="应收",J235=""),"✗ 这笔要选客户",IF(AND(P235="应收",COUNTIF(总览汇总!$B$5:$B$304,J235)=0),"✗ 客户不在总览汇总名单里",IF(AND(P235="应付",K235=""),"✗ 这笔要选供应商",IF(AND(P235="应付",COUNTIF(基础资料!$Q$5:$Q$54,K235)=0),"✗ 供应商不在基础资料里",IF(AND(P235="费用",L235=""),"✗ 费用支出要选费用项目",IF(AND(L235&lt;&gt;"",COUNTIF(基础资料!$AI$5:$AI$54,L235)=0),"✗ 费用项目不在基础资料里",IF(AND(IFERROR(INDEX(基础资料!$AD$5:$AD$34,MATCH(O235,基础资料!$AC$5:$AC$34,0)),"")="收",N(G235)&lt;&gt;0),"✗ 这类是收款，金额填到收入列",IF(AND(IFERROR(INDEX(基础资料!$AD$5:$AD$34,MATCH(O235,基础资料!$AC$5:$AC$34,0)),"")="支",N(F235)&lt;&gt;0),"✗ 这类是付款，金额填到支出列",IF(N(H235)&lt;0,"⚠ 账户余额成负数了，核对一下","√"))))))))))))))))))</f>
      </c>
      <c r="O235" s="78">
        <f>IF(D235&lt;&gt;"",D235,IF(AND(F235="",G235=""),"",IF(J235&lt;&gt;"",IF(N(F235)&gt;0,"客户回款","客户退款"),IF(K235&lt;&gt;"",IF(N(G235)&gt;0,"供应商付款","供应商退款"),IF(L235&lt;&gt;"","费用支出","")))))</f>
      </c>
      <c r="P235" s="78">
        <f>IF(O235="","",IFERROR(INDEX(基础资料!$AE$5:$AE$34,MATCH(O235,基础资料!$AC$5:$AC$34,0)),"未知"))</f>
      </c>
      <c r="Q235" s="78">
        <f>IF(P235="应收",COUNTIF(P$7:P235,"应收"),"")</f>
      </c>
      <c r="R235" s="78">
        <f>IF(P235="应付",COUNTIF(P$7:P235,"应付"),"")</f>
      </c>
      <c r="S235" s="78">
        <f>N(F235)-N(G235)</f>
        <v>0</v>
      </c>
    </row>
    <row r="236">
      <c r="A236" s="109">
        <f>IF(AND(F236="",G236=""),"",ROW()-6)</f>
      </c>
      <c r="B236" s="140" t="n"/>
      <c r="C236" s="141" t="n"/>
      <c r="D236" s="141" t="n"/>
      <c r="E236" s="142" t="n"/>
      <c r="F236" s="143" t="n"/>
      <c r="G236" s="144" t="n"/>
      <c r="H236" s="145">
        <f>IF(OR(C236="",AND(F236="",G236="")),"",SUMIF(基础资料!$W$5:$W$24,C236,基础资料!$X$5:$X$24)+SUMIF(C$7:C236,C236,F$7:F236)-SUMIF(C$7:C236,C236,G$7:G236))</f>
      </c>
      <c r="I236" s="145">
        <f>IF(AND(F236="",G236=""),"",SUM(基础资料!$X$5:$X$24)+SUM(F$7:F236)-SUM(G$7:G236))</f>
      </c>
      <c r="J236" s="141" t="n"/>
      <c r="K236" s="141" t="n"/>
      <c r="L236" s="141" t="n"/>
      <c r="M236" s="142" t="n"/>
      <c r="N236" s="146">
        <f>IF(AND(AND(F236="",G236=""),B236="",C236="",D236="",J236="",K236="",L236=""),"",IF(AND(F236="",G236=""),"✗ 没填金额",IF(AND(N(F236)&lt;&gt;0,N(G236)&lt;&gt;0),"✗ 收入、支出只能填一边",IF(NOT(ISNUMBER(B236)),"✗ 日期不是真日期（要像 2026/9/25 这样填）",IF(OR(B236&lt;年初日,B236&gt;年末日),"✗ 日期不在本会计年度",IF(C236="","✗ 没选账户",IF(COUNTIF(基础资料!$W$5:$W$24,C236)=0,"✗ 账户不在基础资料里",IF(O236="","✗ 没选收支项目",IF(P236="未知","✗ 收支项目不在基础资料里",IF(AND(P236="应收",J236=""),"✗ 这笔要选客户",IF(AND(P236="应收",COUNTIF(总览汇总!$B$5:$B$304,J236)=0),"✗ 客户不在总览汇总名单里",IF(AND(P236="应付",K236=""),"✗ 这笔要选供应商",IF(AND(P236="应付",COUNTIF(基础资料!$Q$5:$Q$54,K236)=0),"✗ 供应商不在基础资料里",IF(AND(P236="费用",L236=""),"✗ 费用支出要选费用项目",IF(AND(L236&lt;&gt;"",COUNTIF(基础资料!$AI$5:$AI$54,L236)=0),"✗ 费用项目不在基础资料里",IF(AND(IFERROR(INDEX(基础资料!$AD$5:$AD$34,MATCH(O236,基础资料!$AC$5:$AC$34,0)),"")="收",N(G236)&lt;&gt;0),"✗ 这类是收款，金额填到收入列",IF(AND(IFERROR(INDEX(基础资料!$AD$5:$AD$34,MATCH(O236,基础资料!$AC$5:$AC$34,0)),"")="支",N(F236)&lt;&gt;0),"✗ 这类是付款，金额填到支出列",IF(N(H236)&lt;0,"⚠ 账户余额成负数了，核对一下","√"))))))))))))))))))</f>
      </c>
      <c r="O236" s="78">
        <f>IF(D236&lt;&gt;"",D236,IF(AND(F236="",G236=""),"",IF(J236&lt;&gt;"",IF(N(F236)&gt;0,"客户回款","客户退款"),IF(K236&lt;&gt;"",IF(N(G236)&gt;0,"供应商付款","供应商退款"),IF(L236&lt;&gt;"","费用支出","")))))</f>
      </c>
      <c r="P236" s="78">
        <f>IF(O236="","",IFERROR(INDEX(基础资料!$AE$5:$AE$34,MATCH(O236,基础资料!$AC$5:$AC$34,0)),"未知"))</f>
      </c>
      <c r="Q236" s="78">
        <f>IF(P236="应收",COUNTIF(P$7:P236,"应收"),"")</f>
      </c>
      <c r="R236" s="78">
        <f>IF(P236="应付",COUNTIF(P$7:P236,"应付"),"")</f>
      </c>
      <c r="S236" s="78">
        <f>N(F236)-N(G236)</f>
        <v>0</v>
      </c>
    </row>
    <row r="237">
      <c r="A237" s="109">
        <f>IF(AND(F237="",G237=""),"",ROW()-6)</f>
      </c>
      <c r="B237" s="140" t="n"/>
      <c r="C237" s="141" t="n"/>
      <c r="D237" s="141" t="n"/>
      <c r="E237" s="142" t="n"/>
      <c r="F237" s="143" t="n"/>
      <c r="G237" s="144" t="n"/>
      <c r="H237" s="145">
        <f>IF(OR(C237="",AND(F237="",G237="")),"",SUMIF(基础资料!$W$5:$W$24,C237,基础资料!$X$5:$X$24)+SUMIF(C$7:C237,C237,F$7:F237)-SUMIF(C$7:C237,C237,G$7:G237))</f>
      </c>
      <c r="I237" s="145">
        <f>IF(AND(F237="",G237=""),"",SUM(基础资料!$X$5:$X$24)+SUM(F$7:F237)-SUM(G$7:G237))</f>
      </c>
      <c r="J237" s="141" t="n"/>
      <c r="K237" s="141" t="n"/>
      <c r="L237" s="141" t="n"/>
      <c r="M237" s="142" t="n"/>
      <c r="N237" s="146">
        <f>IF(AND(AND(F237="",G237=""),B237="",C237="",D237="",J237="",K237="",L237=""),"",IF(AND(F237="",G237=""),"✗ 没填金额",IF(AND(N(F237)&lt;&gt;0,N(G237)&lt;&gt;0),"✗ 收入、支出只能填一边",IF(NOT(ISNUMBER(B237)),"✗ 日期不是真日期（要像 2026/9/25 这样填）",IF(OR(B237&lt;年初日,B237&gt;年末日),"✗ 日期不在本会计年度",IF(C237="","✗ 没选账户",IF(COUNTIF(基础资料!$W$5:$W$24,C237)=0,"✗ 账户不在基础资料里",IF(O237="","✗ 没选收支项目",IF(P237="未知","✗ 收支项目不在基础资料里",IF(AND(P237="应收",J237=""),"✗ 这笔要选客户",IF(AND(P237="应收",COUNTIF(总览汇总!$B$5:$B$304,J237)=0),"✗ 客户不在总览汇总名单里",IF(AND(P237="应付",K237=""),"✗ 这笔要选供应商",IF(AND(P237="应付",COUNTIF(基础资料!$Q$5:$Q$54,K237)=0),"✗ 供应商不在基础资料里",IF(AND(P237="费用",L237=""),"✗ 费用支出要选费用项目",IF(AND(L237&lt;&gt;"",COUNTIF(基础资料!$AI$5:$AI$54,L237)=0),"✗ 费用项目不在基础资料里",IF(AND(IFERROR(INDEX(基础资料!$AD$5:$AD$34,MATCH(O237,基础资料!$AC$5:$AC$34,0)),"")="收",N(G237)&lt;&gt;0),"✗ 这类是收款，金额填到收入列",IF(AND(IFERROR(INDEX(基础资料!$AD$5:$AD$34,MATCH(O237,基础资料!$AC$5:$AC$34,0)),"")="支",N(F237)&lt;&gt;0),"✗ 这类是付款，金额填到支出列",IF(N(H237)&lt;0,"⚠ 账户余额成负数了，核对一下","√"))))))))))))))))))</f>
      </c>
      <c r="O237" s="78">
        <f>IF(D237&lt;&gt;"",D237,IF(AND(F237="",G237=""),"",IF(J237&lt;&gt;"",IF(N(F237)&gt;0,"客户回款","客户退款"),IF(K237&lt;&gt;"",IF(N(G237)&gt;0,"供应商付款","供应商退款"),IF(L237&lt;&gt;"","费用支出","")))))</f>
      </c>
      <c r="P237" s="78">
        <f>IF(O237="","",IFERROR(INDEX(基础资料!$AE$5:$AE$34,MATCH(O237,基础资料!$AC$5:$AC$34,0)),"未知"))</f>
      </c>
      <c r="Q237" s="78">
        <f>IF(P237="应收",COUNTIF(P$7:P237,"应收"),"")</f>
      </c>
      <c r="R237" s="78">
        <f>IF(P237="应付",COUNTIF(P$7:P237,"应付"),"")</f>
      </c>
      <c r="S237" s="78">
        <f>N(F237)-N(G237)</f>
        <v>0</v>
      </c>
    </row>
    <row r="238">
      <c r="A238" s="109">
        <f>IF(AND(F238="",G238=""),"",ROW()-6)</f>
      </c>
      <c r="B238" s="140" t="n"/>
      <c r="C238" s="141" t="n"/>
      <c r="D238" s="141" t="n"/>
      <c r="E238" s="142" t="n"/>
      <c r="F238" s="143" t="n"/>
      <c r="G238" s="144" t="n"/>
      <c r="H238" s="145">
        <f>IF(OR(C238="",AND(F238="",G238="")),"",SUMIF(基础资料!$W$5:$W$24,C238,基础资料!$X$5:$X$24)+SUMIF(C$7:C238,C238,F$7:F238)-SUMIF(C$7:C238,C238,G$7:G238))</f>
      </c>
      <c r="I238" s="145">
        <f>IF(AND(F238="",G238=""),"",SUM(基础资料!$X$5:$X$24)+SUM(F$7:F238)-SUM(G$7:G238))</f>
      </c>
      <c r="J238" s="141" t="n"/>
      <c r="K238" s="141" t="n"/>
      <c r="L238" s="141" t="n"/>
      <c r="M238" s="142" t="n"/>
      <c r="N238" s="146">
        <f>IF(AND(AND(F238="",G238=""),B238="",C238="",D238="",J238="",K238="",L238=""),"",IF(AND(F238="",G238=""),"✗ 没填金额",IF(AND(N(F238)&lt;&gt;0,N(G238)&lt;&gt;0),"✗ 收入、支出只能填一边",IF(NOT(ISNUMBER(B238)),"✗ 日期不是真日期（要像 2026/9/25 这样填）",IF(OR(B238&lt;年初日,B238&gt;年末日),"✗ 日期不在本会计年度",IF(C238="","✗ 没选账户",IF(COUNTIF(基础资料!$W$5:$W$24,C238)=0,"✗ 账户不在基础资料里",IF(O238="","✗ 没选收支项目",IF(P238="未知","✗ 收支项目不在基础资料里",IF(AND(P238="应收",J238=""),"✗ 这笔要选客户",IF(AND(P238="应收",COUNTIF(总览汇总!$B$5:$B$304,J238)=0),"✗ 客户不在总览汇总名单里",IF(AND(P238="应付",K238=""),"✗ 这笔要选供应商",IF(AND(P238="应付",COUNTIF(基础资料!$Q$5:$Q$54,K238)=0),"✗ 供应商不在基础资料里",IF(AND(P238="费用",L238=""),"✗ 费用支出要选费用项目",IF(AND(L238&lt;&gt;"",COUNTIF(基础资料!$AI$5:$AI$54,L238)=0),"✗ 费用项目不在基础资料里",IF(AND(IFERROR(INDEX(基础资料!$AD$5:$AD$34,MATCH(O238,基础资料!$AC$5:$AC$34,0)),"")="收",N(G238)&lt;&gt;0),"✗ 这类是收款，金额填到收入列",IF(AND(IFERROR(INDEX(基础资料!$AD$5:$AD$34,MATCH(O238,基础资料!$AC$5:$AC$34,0)),"")="支",N(F238)&lt;&gt;0),"✗ 这类是付款，金额填到支出列",IF(N(H238)&lt;0,"⚠ 账户余额成负数了，核对一下","√"))))))))))))))))))</f>
      </c>
      <c r="O238" s="78">
        <f>IF(D238&lt;&gt;"",D238,IF(AND(F238="",G238=""),"",IF(J238&lt;&gt;"",IF(N(F238)&gt;0,"客户回款","客户退款"),IF(K238&lt;&gt;"",IF(N(G238)&gt;0,"供应商付款","供应商退款"),IF(L238&lt;&gt;"","费用支出","")))))</f>
      </c>
      <c r="P238" s="78">
        <f>IF(O238="","",IFERROR(INDEX(基础资料!$AE$5:$AE$34,MATCH(O238,基础资料!$AC$5:$AC$34,0)),"未知"))</f>
      </c>
      <c r="Q238" s="78">
        <f>IF(P238="应收",COUNTIF(P$7:P238,"应收"),"")</f>
      </c>
      <c r="R238" s="78">
        <f>IF(P238="应付",COUNTIF(P$7:P238,"应付"),"")</f>
      </c>
      <c r="S238" s="78">
        <f>N(F238)-N(G238)</f>
        <v>0</v>
      </c>
    </row>
    <row r="239">
      <c r="A239" s="109">
        <f>IF(AND(F239="",G239=""),"",ROW()-6)</f>
      </c>
      <c r="B239" s="140" t="n"/>
      <c r="C239" s="141" t="n"/>
      <c r="D239" s="141" t="n"/>
      <c r="E239" s="142" t="n"/>
      <c r="F239" s="143" t="n"/>
      <c r="G239" s="144" t="n"/>
      <c r="H239" s="145">
        <f>IF(OR(C239="",AND(F239="",G239="")),"",SUMIF(基础资料!$W$5:$W$24,C239,基础资料!$X$5:$X$24)+SUMIF(C$7:C239,C239,F$7:F239)-SUMIF(C$7:C239,C239,G$7:G239))</f>
      </c>
      <c r="I239" s="145">
        <f>IF(AND(F239="",G239=""),"",SUM(基础资料!$X$5:$X$24)+SUM(F$7:F239)-SUM(G$7:G239))</f>
      </c>
      <c r="J239" s="141" t="n"/>
      <c r="K239" s="141" t="n"/>
      <c r="L239" s="141" t="n"/>
      <c r="M239" s="142" t="n"/>
      <c r="N239" s="146">
        <f>IF(AND(AND(F239="",G239=""),B239="",C239="",D239="",J239="",K239="",L239=""),"",IF(AND(F239="",G239=""),"✗ 没填金额",IF(AND(N(F239)&lt;&gt;0,N(G239)&lt;&gt;0),"✗ 收入、支出只能填一边",IF(NOT(ISNUMBER(B239)),"✗ 日期不是真日期（要像 2026/9/25 这样填）",IF(OR(B239&lt;年初日,B239&gt;年末日),"✗ 日期不在本会计年度",IF(C239="","✗ 没选账户",IF(COUNTIF(基础资料!$W$5:$W$24,C239)=0,"✗ 账户不在基础资料里",IF(O239="","✗ 没选收支项目",IF(P239="未知","✗ 收支项目不在基础资料里",IF(AND(P239="应收",J239=""),"✗ 这笔要选客户",IF(AND(P239="应收",COUNTIF(总览汇总!$B$5:$B$304,J239)=0),"✗ 客户不在总览汇总名单里",IF(AND(P239="应付",K239=""),"✗ 这笔要选供应商",IF(AND(P239="应付",COUNTIF(基础资料!$Q$5:$Q$54,K239)=0),"✗ 供应商不在基础资料里",IF(AND(P239="费用",L239=""),"✗ 费用支出要选费用项目",IF(AND(L239&lt;&gt;"",COUNTIF(基础资料!$AI$5:$AI$54,L239)=0),"✗ 费用项目不在基础资料里",IF(AND(IFERROR(INDEX(基础资料!$AD$5:$AD$34,MATCH(O239,基础资料!$AC$5:$AC$34,0)),"")="收",N(G239)&lt;&gt;0),"✗ 这类是收款，金额填到收入列",IF(AND(IFERROR(INDEX(基础资料!$AD$5:$AD$34,MATCH(O239,基础资料!$AC$5:$AC$34,0)),"")="支",N(F239)&lt;&gt;0),"✗ 这类是付款，金额填到支出列",IF(N(H239)&lt;0,"⚠ 账户余额成负数了，核对一下","√"))))))))))))))))))</f>
      </c>
      <c r="O239" s="78">
        <f>IF(D239&lt;&gt;"",D239,IF(AND(F239="",G239=""),"",IF(J239&lt;&gt;"",IF(N(F239)&gt;0,"客户回款","客户退款"),IF(K239&lt;&gt;"",IF(N(G239)&gt;0,"供应商付款","供应商退款"),IF(L239&lt;&gt;"","费用支出","")))))</f>
      </c>
      <c r="P239" s="78">
        <f>IF(O239="","",IFERROR(INDEX(基础资料!$AE$5:$AE$34,MATCH(O239,基础资料!$AC$5:$AC$34,0)),"未知"))</f>
      </c>
      <c r="Q239" s="78">
        <f>IF(P239="应收",COUNTIF(P$7:P239,"应收"),"")</f>
      </c>
      <c r="R239" s="78">
        <f>IF(P239="应付",COUNTIF(P$7:P239,"应付"),"")</f>
      </c>
      <c r="S239" s="78">
        <f>N(F239)-N(G239)</f>
        <v>0</v>
      </c>
    </row>
    <row r="240">
      <c r="A240" s="109">
        <f>IF(AND(F240="",G240=""),"",ROW()-6)</f>
      </c>
      <c r="B240" s="140" t="n"/>
      <c r="C240" s="141" t="n"/>
      <c r="D240" s="141" t="n"/>
      <c r="E240" s="142" t="n"/>
      <c r="F240" s="143" t="n"/>
      <c r="G240" s="144" t="n"/>
      <c r="H240" s="145">
        <f>IF(OR(C240="",AND(F240="",G240="")),"",SUMIF(基础资料!$W$5:$W$24,C240,基础资料!$X$5:$X$24)+SUMIF(C$7:C240,C240,F$7:F240)-SUMIF(C$7:C240,C240,G$7:G240))</f>
      </c>
      <c r="I240" s="145">
        <f>IF(AND(F240="",G240=""),"",SUM(基础资料!$X$5:$X$24)+SUM(F$7:F240)-SUM(G$7:G240))</f>
      </c>
      <c r="J240" s="141" t="n"/>
      <c r="K240" s="141" t="n"/>
      <c r="L240" s="141" t="n"/>
      <c r="M240" s="142" t="n"/>
      <c r="N240" s="146">
        <f>IF(AND(AND(F240="",G240=""),B240="",C240="",D240="",J240="",K240="",L240=""),"",IF(AND(F240="",G240=""),"✗ 没填金额",IF(AND(N(F240)&lt;&gt;0,N(G240)&lt;&gt;0),"✗ 收入、支出只能填一边",IF(NOT(ISNUMBER(B240)),"✗ 日期不是真日期（要像 2026/9/25 这样填）",IF(OR(B240&lt;年初日,B240&gt;年末日),"✗ 日期不在本会计年度",IF(C240="","✗ 没选账户",IF(COUNTIF(基础资料!$W$5:$W$24,C240)=0,"✗ 账户不在基础资料里",IF(O240="","✗ 没选收支项目",IF(P240="未知","✗ 收支项目不在基础资料里",IF(AND(P240="应收",J240=""),"✗ 这笔要选客户",IF(AND(P240="应收",COUNTIF(总览汇总!$B$5:$B$304,J240)=0),"✗ 客户不在总览汇总名单里",IF(AND(P240="应付",K240=""),"✗ 这笔要选供应商",IF(AND(P240="应付",COUNTIF(基础资料!$Q$5:$Q$54,K240)=0),"✗ 供应商不在基础资料里",IF(AND(P240="费用",L240=""),"✗ 费用支出要选费用项目",IF(AND(L240&lt;&gt;"",COUNTIF(基础资料!$AI$5:$AI$54,L240)=0),"✗ 费用项目不在基础资料里",IF(AND(IFERROR(INDEX(基础资料!$AD$5:$AD$34,MATCH(O240,基础资料!$AC$5:$AC$34,0)),"")="收",N(G240)&lt;&gt;0),"✗ 这类是收款，金额填到收入列",IF(AND(IFERROR(INDEX(基础资料!$AD$5:$AD$34,MATCH(O240,基础资料!$AC$5:$AC$34,0)),"")="支",N(F240)&lt;&gt;0),"✗ 这类是付款，金额填到支出列",IF(N(H240)&lt;0,"⚠ 账户余额成负数了，核对一下","√"))))))))))))))))))</f>
      </c>
      <c r="O240" s="78">
        <f>IF(D240&lt;&gt;"",D240,IF(AND(F240="",G240=""),"",IF(J240&lt;&gt;"",IF(N(F240)&gt;0,"客户回款","客户退款"),IF(K240&lt;&gt;"",IF(N(G240)&gt;0,"供应商付款","供应商退款"),IF(L240&lt;&gt;"","费用支出","")))))</f>
      </c>
      <c r="P240" s="78">
        <f>IF(O240="","",IFERROR(INDEX(基础资料!$AE$5:$AE$34,MATCH(O240,基础资料!$AC$5:$AC$34,0)),"未知"))</f>
      </c>
      <c r="Q240" s="78">
        <f>IF(P240="应收",COUNTIF(P$7:P240,"应收"),"")</f>
      </c>
      <c r="R240" s="78">
        <f>IF(P240="应付",COUNTIF(P$7:P240,"应付"),"")</f>
      </c>
      <c r="S240" s="78">
        <f>N(F240)-N(G240)</f>
        <v>0</v>
      </c>
    </row>
    <row r="241">
      <c r="A241" s="109">
        <f>IF(AND(F241="",G241=""),"",ROW()-6)</f>
      </c>
      <c r="B241" s="140" t="n"/>
      <c r="C241" s="141" t="n"/>
      <c r="D241" s="141" t="n"/>
      <c r="E241" s="142" t="n"/>
      <c r="F241" s="143" t="n"/>
      <c r="G241" s="144" t="n"/>
      <c r="H241" s="145">
        <f>IF(OR(C241="",AND(F241="",G241="")),"",SUMIF(基础资料!$W$5:$W$24,C241,基础资料!$X$5:$X$24)+SUMIF(C$7:C241,C241,F$7:F241)-SUMIF(C$7:C241,C241,G$7:G241))</f>
      </c>
      <c r="I241" s="145">
        <f>IF(AND(F241="",G241=""),"",SUM(基础资料!$X$5:$X$24)+SUM(F$7:F241)-SUM(G$7:G241))</f>
      </c>
      <c r="J241" s="141" t="n"/>
      <c r="K241" s="141" t="n"/>
      <c r="L241" s="141" t="n"/>
      <c r="M241" s="142" t="n"/>
      <c r="N241" s="146">
        <f>IF(AND(AND(F241="",G241=""),B241="",C241="",D241="",J241="",K241="",L241=""),"",IF(AND(F241="",G241=""),"✗ 没填金额",IF(AND(N(F241)&lt;&gt;0,N(G241)&lt;&gt;0),"✗ 收入、支出只能填一边",IF(NOT(ISNUMBER(B241)),"✗ 日期不是真日期（要像 2026/9/25 这样填）",IF(OR(B241&lt;年初日,B241&gt;年末日),"✗ 日期不在本会计年度",IF(C241="","✗ 没选账户",IF(COUNTIF(基础资料!$W$5:$W$24,C241)=0,"✗ 账户不在基础资料里",IF(O241="","✗ 没选收支项目",IF(P241="未知","✗ 收支项目不在基础资料里",IF(AND(P241="应收",J241=""),"✗ 这笔要选客户",IF(AND(P241="应收",COUNTIF(总览汇总!$B$5:$B$304,J241)=0),"✗ 客户不在总览汇总名单里",IF(AND(P241="应付",K241=""),"✗ 这笔要选供应商",IF(AND(P241="应付",COUNTIF(基础资料!$Q$5:$Q$54,K241)=0),"✗ 供应商不在基础资料里",IF(AND(P241="费用",L241=""),"✗ 费用支出要选费用项目",IF(AND(L241&lt;&gt;"",COUNTIF(基础资料!$AI$5:$AI$54,L241)=0),"✗ 费用项目不在基础资料里",IF(AND(IFERROR(INDEX(基础资料!$AD$5:$AD$34,MATCH(O241,基础资料!$AC$5:$AC$34,0)),"")="收",N(G241)&lt;&gt;0),"✗ 这类是收款，金额填到收入列",IF(AND(IFERROR(INDEX(基础资料!$AD$5:$AD$34,MATCH(O241,基础资料!$AC$5:$AC$34,0)),"")="支",N(F241)&lt;&gt;0),"✗ 这类是付款，金额填到支出列",IF(N(H241)&lt;0,"⚠ 账户余额成负数了，核对一下","√"))))))))))))))))))</f>
      </c>
      <c r="O241" s="78">
        <f>IF(D241&lt;&gt;"",D241,IF(AND(F241="",G241=""),"",IF(J241&lt;&gt;"",IF(N(F241)&gt;0,"客户回款","客户退款"),IF(K241&lt;&gt;"",IF(N(G241)&gt;0,"供应商付款","供应商退款"),IF(L241&lt;&gt;"","费用支出","")))))</f>
      </c>
      <c r="P241" s="78">
        <f>IF(O241="","",IFERROR(INDEX(基础资料!$AE$5:$AE$34,MATCH(O241,基础资料!$AC$5:$AC$34,0)),"未知"))</f>
      </c>
      <c r="Q241" s="78">
        <f>IF(P241="应收",COUNTIF(P$7:P241,"应收"),"")</f>
      </c>
      <c r="R241" s="78">
        <f>IF(P241="应付",COUNTIF(P$7:P241,"应付"),"")</f>
      </c>
      <c r="S241" s="78">
        <f>N(F241)-N(G241)</f>
        <v>0</v>
      </c>
    </row>
    <row r="242">
      <c r="A242" s="109">
        <f>IF(AND(F242="",G242=""),"",ROW()-6)</f>
      </c>
      <c r="B242" s="140" t="n"/>
      <c r="C242" s="141" t="n"/>
      <c r="D242" s="141" t="n"/>
      <c r="E242" s="142" t="n"/>
      <c r="F242" s="143" t="n"/>
      <c r="G242" s="144" t="n"/>
      <c r="H242" s="145">
        <f>IF(OR(C242="",AND(F242="",G242="")),"",SUMIF(基础资料!$W$5:$W$24,C242,基础资料!$X$5:$X$24)+SUMIF(C$7:C242,C242,F$7:F242)-SUMIF(C$7:C242,C242,G$7:G242))</f>
      </c>
      <c r="I242" s="145">
        <f>IF(AND(F242="",G242=""),"",SUM(基础资料!$X$5:$X$24)+SUM(F$7:F242)-SUM(G$7:G242))</f>
      </c>
      <c r="J242" s="141" t="n"/>
      <c r="K242" s="141" t="n"/>
      <c r="L242" s="141" t="n"/>
      <c r="M242" s="142" t="n"/>
      <c r="N242" s="146">
        <f>IF(AND(AND(F242="",G242=""),B242="",C242="",D242="",J242="",K242="",L242=""),"",IF(AND(F242="",G242=""),"✗ 没填金额",IF(AND(N(F242)&lt;&gt;0,N(G242)&lt;&gt;0),"✗ 收入、支出只能填一边",IF(NOT(ISNUMBER(B242)),"✗ 日期不是真日期（要像 2026/9/25 这样填）",IF(OR(B242&lt;年初日,B242&gt;年末日),"✗ 日期不在本会计年度",IF(C242="","✗ 没选账户",IF(COUNTIF(基础资料!$W$5:$W$24,C242)=0,"✗ 账户不在基础资料里",IF(O242="","✗ 没选收支项目",IF(P242="未知","✗ 收支项目不在基础资料里",IF(AND(P242="应收",J242=""),"✗ 这笔要选客户",IF(AND(P242="应收",COUNTIF(总览汇总!$B$5:$B$304,J242)=0),"✗ 客户不在总览汇总名单里",IF(AND(P242="应付",K242=""),"✗ 这笔要选供应商",IF(AND(P242="应付",COUNTIF(基础资料!$Q$5:$Q$54,K242)=0),"✗ 供应商不在基础资料里",IF(AND(P242="费用",L242=""),"✗ 费用支出要选费用项目",IF(AND(L242&lt;&gt;"",COUNTIF(基础资料!$AI$5:$AI$54,L242)=0),"✗ 费用项目不在基础资料里",IF(AND(IFERROR(INDEX(基础资料!$AD$5:$AD$34,MATCH(O242,基础资料!$AC$5:$AC$34,0)),"")="收",N(G242)&lt;&gt;0),"✗ 这类是收款，金额填到收入列",IF(AND(IFERROR(INDEX(基础资料!$AD$5:$AD$34,MATCH(O242,基础资料!$AC$5:$AC$34,0)),"")="支",N(F242)&lt;&gt;0),"✗ 这类是付款，金额填到支出列",IF(N(H242)&lt;0,"⚠ 账户余额成负数了，核对一下","√"))))))))))))))))))</f>
      </c>
      <c r="O242" s="78">
        <f>IF(D242&lt;&gt;"",D242,IF(AND(F242="",G242=""),"",IF(J242&lt;&gt;"",IF(N(F242)&gt;0,"客户回款","客户退款"),IF(K242&lt;&gt;"",IF(N(G242)&gt;0,"供应商付款","供应商退款"),IF(L242&lt;&gt;"","费用支出","")))))</f>
      </c>
      <c r="P242" s="78">
        <f>IF(O242="","",IFERROR(INDEX(基础资料!$AE$5:$AE$34,MATCH(O242,基础资料!$AC$5:$AC$34,0)),"未知"))</f>
      </c>
      <c r="Q242" s="78">
        <f>IF(P242="应收",COUNTIF(P$7:P242,"应收"),"")</f>
      </c>
      <c r="R242" s="78">
        <f>IF(P242="应付",COUNTIF(P$7:P242,"应付"),"")</f>
      </c>
      <c r="S242" s="78">
        <f>N(F242)-N(G242)</f>
        <v>0</v>
      </c>
    </row>
    <row r="243">
      <c r="A243" s="109">
        <f>IF(AND(F243="",G243=""),"",ROW()-6)</f>
      </c>
      <c r="B243" s="140" t="n"/>
      <c r="C243" s="141" t="n"/>
      <c r="D243" s="141" t="n"/>
      <c r="E243" s="142" t="n"/>
      <c r="F243" s="143" t="n"/>
      <c r="G243" s="144" t="n"/>
      <c r="H243" s="145">
        <f>IF(OR(C243="",AND(F243="",G243="")),"",SUMIF(基础资料!$W$5:$W$24,C243,基础资料!$X$5:$X$24)+SUMIF(C$7:C243,C243,F$7:F243)-SUMIF(C$7:C243,C243,G$7:G243))</f>
      </c>
      <c r="I243" s="145">
        <f>IF(AND(F243="",G243=""),"",SUM(基础资料!$X$5:$X$24)+SUM(F$7:F243)-SUM(G$7:G243))</f>
      </c>
      <c r="J243" s="141" t="n"/>
      <c r="K243" s="141" t="n"/>
      <c r="L243" s="141" t="n"/>
      <c r="M243" s="142" t="n"/>
      <c r="N243" s="146">
        <f>IF(AND(AND(F243="",G243=""),B243="",C243="",D243="",J243="",K243="",L243=""),"",IF(AND(F243="",G243=""),"✗ 没填金额",IF(AND(N(F243)&lt;&gt;0,N(G243)&lt;&gt;0),"✗ 收入、支出只能填一边",IF(NOT(ISNUMBER(B243)),"✗ 日期不是真日期（要像 2026/9/25 这样填）",IF(OR(B243&lt;年初日,B243&gt;年末日),"✗ 日期不在本会计年度",IF(C243="","✗ 没选账户",IF(COUNTIF(基础资料!$W$5:$W$24,C243)=0,"✗ 账户不在基础资料里",IF(O243="","✗ 没选收支项目",IF(P243="未知","✗ 收支项目不在基础资料里",IF(AND(P243="应收",J243=""),"✗ 这笔要选客户",IF(AND(P243="应收",COUNTIF(总览汇总!$B$5:$B$304,J243)=0),"✗ 客户不在总览汇总名单里",IF(AND(P243="应付",K243=""),"✗ 这笔要选供应商",IF(AND(P243="应付",COUNTIF(基础资料!$Q$5:$Q$54,K243)=0),"✗ 供应商不在基础资料里",IF(AND(P243="费用",L243=""),"✗ 费用支出要选费用项目",IF(AND(L243&lt;&gt;"",COUNTIF(基础资料!$AI$5:$AI$54,L243)=0),"✗ 费用项目不在基础资料里",IF(AND(IFERROR(INDEX(基础资料!$AD$5:$AD$34,MATCH(O243,基础资料!$AC$5:$AC$34,0)),"")="收",N(G243)&lt;&gt;0),"✗ 这类是收款，金额填到收入列",IF(AND(IFERROR(INDEX(基础资料!$AD$5:$AD$34,MATCH(O243,基础资料!$AC$5:$AC$34,0)),"")="支",N(F243)&lt;&gt;0),"✗ 这类是付款，金额填到支出列",IF(N(H243)&lt;0,"⚠ 账户余额成负数了，核对一下","√"))))))))))))))))))</f>
      </c>
      <c r="O243" s="78">
        <f>IF(D243&lt;&gt;"",D243,IF(AND(F243="",G243=""),"",IF(J243&lt;&gt;"",IF(N(F243)&gt;0,"客户回款","客户退款"),IF(K243&lt;&gt;"",IF(N(G243)&gt;0,"供应商付款","供应商退款"),IF(L243&lt;&gt;"","费用支出","")))))</f>
      </c>
      <c r="P243" s="78">
        <f>IF(O243="","",IFERROR(INDEX(基础资料!$AE$5:$AE$34,MATCH(O243,基础资料!$AC$5:$AC$34,0)),"未知"))</f>
      </c>
      <c r="Q243" s="78">
        <f>IF(P243="应收",COUNTIF(P$7:P243,"应收"),"")</f>
      </c>
      <c r="R243" s="78">
        <f>IF(P243="应付",COUNTIF(P$7:P243,"应付"),"")</f>
      </c>
      <c r="S243" s="78">
        <f>N(F243)-N(G243)</f>
        <v>0</v>
      </c>
    </row>
    <row r="244">
      <c r="A244" s="109">
        <f>IF(AND(F244="",G244=""),"",ROW()-6)</f>
      </c>
      <c r="B244" s="140" t="n"/>
      <c r="C244" s="141" t="n"/>
      <c r="D244" s="141" t="n"/>
      <c r="E244" s="142" t="n"/>
      <c r="F244" s="143" t="n"/>
      <c r="G244" s="144" t="n"/>
      <c r="H244" s="145">
        <f>IF(OR(C244="",AND(F244="",G244="")),"",SUMIF(基础资料!$W$5:$W$24,C244,基础资料!$X$5:$X$24)+SUMIF(C$7:C244,C244,F$7:F244)-SUMIF(C$7:C244,C244,G$7:G244))</f>
      </c>
      <c r="I244" s="145">
        <f>IF(AND(F244="",G244=""),"",SUM(基础资料!$X$5:$X$24)+SUM(F$7:F244)-SUM(G$7:G244))</f>
      </c>
      <c r="J244" s="141" t="n"/>
      <c r="K244" s="141" t="n"/>
      <c r="L244" s="141" t="n"/>
      <c r="M244" s="142" t="n"/>
      <c r="N244" s="146">
        <f>IF(AND(AND(F244="",G244=""),B244="",C244="",D244="",J244="",K244="",L244=""),"",IF(AND(F244="",G244=""),"✗ 没填金额",IF(AND(N(F244)&lt;&gt;0,N(G244)&lt;&gt;0),"✗ 收入、支出只能填一边",IF(NOT(ISNUMBER(B244)),"✗ 日期不是真日期（要像 2026/9/25 这样填）",IF(OR(B244&lt;年初日,B244&gt;年末日),"✗ 日期不在本会计年度",IF(C244="","✗ 没选账户",IF(COUNTIF(基础资料!$W$5:$W$24,C244)=0,"✗ 账户不在基础资料里",IF(O244="","✗ 没选收支项目",IF(P244="未知","✗ 收支项目不在基础资料里",IF(AND(P244="应收",J244=""),"✗ 这笔要选客户",IF(AND(P244="应收",COUNTIF(总览汇总!$B$5:$B$304,J244)=0),"✗ 客户不在总览汇总名单里",IF(AND(P244="应付",K244=""),"✗ 这笔要选供应商",IF(AND(P244="应付",COUNTIF(基础资料!$Q$5:$Q$54,K244)=0),"✗ 供应商不在基础资料里",IF(AND(P244="费用",L244=""),"✗ 费用支出要选费用项目",IF(AND(L244&lt;&gt;"",COUNTIF(基础资料!$AI$5:$AI$54,L244)=0),"✗ 费用项目不在基础资料里",IF(AND(IFERROR(INDEX(基础资料!$AD$5:$AD$34,MATCH(O244,基础资料!$AC$5:$AC$34,0)),"")="收",N(G244)&lt;&gt;0),"✗ 这类是收款，金额填到收入列",IF(AND(IFERROR(INDEX(基础资料!$AD$5:$AD$34,MATCH(O244,基础资料!$AC$5:$AC$34,0)),"")="支",N(F244)&lt;&gt;0),"✗ 这类是付款，金额填到支出列",IF(N(H244)&lt;0,"⚠ 账户余额成负数了，核对一下","√"))))))))))))))))))</f>
      </c>
      <c r="O244" s="78">
        <f>IF(D244&lt;&gt;"",D244,IF(AND(F244="",G244=""),"",IF(J244&lt;&gt;"",IF(N(F244)&gt;0,"客户回款","客户退款"),IF(K244&lt;&gt;"",IF(N(G244)&gt;0,"供应商付款","供应商退款"),IF(L244&lt;&gt;"","费用支出","")))))</f>
      </c>
      <c r="P244" s="78">
        <f>IF(O244="","",IFERROR(INDEX(基础资料!$AE$5:$AE$34,MATCH(O244,基础资料!$AC$5:$AC$34,0)),"未知"))</f>
      </c>
      <c r="Q244" s="78">
        <f>IF(P244="应收",COUNTIF(P$7:P244,"应收"),"")</f>
      </c>
      <c r="R244" s="78">
        <f>IF(P244="应付",COUNTIF(P$7:P244,"应付"),"")</f>
      </c>
      <c r="S244" s="78">
        <f>N(F244)-N(G244)</f>
        <v>0</v>
      </c>
    </row>
    <row r="245">
      <c r="A245" s="109">
        <f>IF(AND(F245="",G245=""),"",ROW()-6)</f>
      </c>
      <c r="B245" s="140" t="n"/>
      <c r="C245" s="141" t="n"/>
      <c r="D245" s="141" t="n"/>
      <c r="E245" s="142" t="n"/>
      <c r="F245" s="143" t="n"/>
      <c r="G245" s="144" t="n"/>
      <c r="H245" s="145">
        <f>IF(OR(C245="",AND(F245="",G245="")),"",SUMIF(基础资料!$W$5:$W$24,C245,基础资料!$X$5:$X$24)+SUMIF(C$7:C245,C245,F$7:F245)-SUMIF(C$7:C245,C245,G$7:G245))</f>
      </c>
      <c r="I245" s="145">
        <f>IF(AND(F245="",G245=""),"",SUM(基础资料!$X$5:$X$24)+SUM(F$7:F245)-SUM(G$7:G245))</f>
      </c>
      <c r="J245" s="141" t="n"/>
      <c r="K245" s="141" t="n"/>
      <c r="L245" s="141" t="n"/>
      <c r="M245" s="142" t="n"/>
      <c r="N245" s="146">
        <f>IF(AND(AND(F245="",G245=""),B245="",C245="",D245="",J245="",K245="",L245=""),"",IF(AND(F245="",G245=""),"✗ 没填金额",IF(AND(N(F245)&lt;&gt;0,N(G245)&lt;&gt;0),"✗ 收入、支出只能填一边",IF(NOT(ISNUMBER(B245)),"✗ 日期不是真日期（要像 2026/9/25 这样填）",IF(OR(B245&lt;年初日,B245&gt;年末日),"✗ 日期不在本会计年度",IF(C245="","✗ 没选账户",IF(COUNTIF(基础资料!$W$5:$W$24,C245)=0,"✗ 账户不在基础资料里",IF(O245="","✗ 没选收支项目",IF(P245="未知","✗ 收支项目不在基础资料里",IF(AND(P245="应收",J245=""),"✗ 这笔要选客户",IF(AND(P245="应收",COUNTIF(总览汇总!$B$5:$B$304,J245)=0),"✗ 客户不在总览汇总名单里",IF(AND(P245="应付",K245=""),"✗ 这笔要选供应商",IF(AND(P245="应付",COUNTIF(基础资料!$Q$5:$Q$54,K245)=0),"✗ 供应商不在基础资料里",IF(AND(P245="费用",L245=""),"✗ 费用支出要选费用项目",IF(AND(L245&lt;&gt;"",COUNTIF(基础资料!$AI$5:$AI$54,L245)=0),"✗ 费用项目不在基础资料里",IF(AND(IFERROR(INDEX(基础资料!$AD$5:$AD$34,MATCH(O245,基础资料!$AC$5:$AC$34,0)),"")="收",N(G245)&lt;&gt;0),"✗ 这类是收款，金额填到收入列",IF(AND(IFERROR(INDEX(基础资料!$AD$5:$AD$34,MATCH(O245,基础资料!$AC$5:$AC$34,0)),"")="支",N(F245)&lt;&gt;0),"✗ 这类是付款，金额填到支出列",IF(N(H245)&lt;0,"⚠ 账户余额成负数了，核对一下","√"))))))))))))))))))</f>
      </c>
      <c r="O245" s="78">
        <f>IF(D245&lt;&gt;"",D245,IF(AND(F245="",G245=""),"",IF(J245&lt;&gt;"",IF(N(F245)&gt;0,"客户回款","客户退款"),IF(K245&lt;&gt;"",IF(N(G245)&gt;0,"供应商付款","供应商退款"),IF(L245&lt;&gt;"","费用支出","")))))</f>
      </c>
      <c r="P245" s="78">
        <f>IF(O245="","",IFERROR(INDEX(基础资料!$AE$5:$AE$34,MATCH(O245,基础资料!$AC$5:$AC$34,0)),"未知"))</f>
      </c>
      <c r="Q245" s="78">
        <f>IF(P245="应收",COUNTIF(P$7:P245,"应收"),"")</f>
      </c>
      <c r="R245" s="78">
        <f>IF(P245="应付",COUNTIF(P$7:P245,"应付"),"")</f>
      </c>
      <c r="S245" s="78">
        <f>N(F245)-N(G245)</f>
        <v>0</v>
      </c>
    </row>
    <row r="246">
      <c r="A246" s="109">
        <f>IF(AND(F246="",G246=""),"",ROW()-6)</f>
      </c>
      <c r="B246" s="140" t="n"/>
      <c r="C246" s="141" t="n"/>
      <c r="D246" s="141" t="n"/>
      <c r="E246" s="142" t="n"/>
      <c r="F246" s="143" t="n"/>
      <c r="G246" s="144" t="n"/>
      <c r="H246" s="145">
        <f>IF(OR(C246="",AND(F246="",G246="")),"",SUMIF(基础资料!$W$5:$W$24,C246,基础资料!$X$5:$X$24)+SUMIF(C$7:C246,C246,F$7:F246)-SUMIF(C$7:C246,C246,G$7:G246))</f>
      </c>
      <c r="I246" s="145">
        <f>IF(AND(F246="",G246=""),"",SUM(基础资料!$X$5:$X$24)+SUM(F$7:F246)-SUM(G$7:G246))</f>
      </c>
      <c r="J246" s="141" t="n"/>
      <c r="K246" s="141" t="n"/>
      <c r="L246" s="141" t="n"/>
      <c r="M246" s="142" t="n"/>
      <c r="N246" s="146">
        <f>IF(AND(AND(F246="",G246=""),B246="",C246="",D246="",J246="",K246="",L246=""),"",IF(AND(F246="",G246=""),"✗ 没填金额",IF(AND(N(F246)&lt;&gt;0,N(G246)&lt;&gt;0),"✗ 收入、支出只能填一边",IF(NOT(ISNUMBER(B246)),"✗ 日期不是真日期（要像 2026/9/25 这样填）",IF(OR(B246&lt;年初日,B246&gt;年末日),"✗ 日期不在本会计年度",IF(C246="","✗ 没选账户",IF(COUNTIF(基础资料!$W$5:$W$24,C246)=0,"✗ 账户不在基础资料里",IF(O246="","✗ 没选收支项目",IF(P246="未知","✗ 收支项目不在基础资料里",IF(AND(P246="应收",J246=""),"✗ 这笔要选客户",IF(AND(P246="应收",COUNTIF(总览汇总!$B$5:$B$304,J246)=0),"✗ 客户不在总览汇总名单里",IF(AND(P246="应付",K246=""),"✗ 这笔要选供应商",IF(AND(P246="应付",COUNTIF(基础资料!$Q$5:$Q$54,K246)=0),"✗ 供应商不在基础资料里",IF(AND(P246="费用",L246=""),"✗ 费用支出要选费用项目",IF(AND(L246&lt;&gt;"",COUNTIF(基础资料!$AI$5:$AI$54,L246)=0),"✗ 费用项目不在基础资料里",IF(AND(IFERROR(INDEX(基础资料!$AD$5:$AD$34,MATCH(O246,基础资料!$AC$5:$AC$34,0)),"")="收",N(G246)&lt;&gt;0),"✗ 这类是收款，金额填到收入列",IF(AND(IFERROR(INDEX(基础资料!$AD$5:$AD$34,MATCH(O246,基础资料!$AC$5:$AC$34,0)),"")="支",N(F246)&lt;&gt;0),"✗ 这类是付款，金额填到支出列",IF(N(H246)&lt;0,"⚠ 账户余额成负数了，核对一下","√"))))))))))))))))))</f>
      </c>
      <c r="O246" s="78">
        <f>IF(D246&lt;&gt;"",D246,IF(AND(F246="",G246=""),"",IF(J246&lt;&gt;"",IF(N(F246)&gt;0,"客户回款","客户退款"),IF(K246&lt;&gt;"",IF(N(G246)&gt;0,"供应商付款","供应商退款"),IF(L246&lt;&gt;"","费用支出","")))))</f>
      </c>
      <c r="P246" s="78">
        <f>IF(O246="","",IFERROR(INDEX(基础资料!$AE$5:$AE$34,MATCH(O246,基础资料!$AC$5:$AC$34,0)),"未知"))</f>
      </c>
      <c r="Q246" s="78">
        <f>IF(P246="应收",COUNTIF(P$7:P246,"应收"),"")</f>
      </c>
      <c r="R246" s="78">
        <f>IF(P246="应付",COUNTIF(P$7:P246,"应付"),"")</f>
      </c>
      <c r="S246" s="78">
        <f>N(F246)-N(G246)</f>
        <v>0</v>
      </c>
    </row>
    <row r="247">
      <c r="A247" s="109">
        <f>IF(AND(F247="",G247=""),"",ROW()-6)</f>
      </c>
      <c r="B247" s="140" t="n"/>
      <c r="C247" s="141" t="n"/>
      <c r="D247" s="141" t="n"/>
      <c r="E247" s="142" t="n"/>
      <c r="F247" s="143" t="n"/>
      <c r="G247" s="144" t="n"/>
      <c r="H247" s="145">
        <f>IF(OR(C247="",AND(F247="",G247="")),"",SUMIF(基础资料!$W$5:$W$24,C247,基础资料!$X$5:$X$24)+SUMIF(C$7:C247,C247,F$7:F247)-SUMIF(C$7:C247,C247,G$7:G247))</f>
      </c>
      <c r="I247" s="145">
        <f>IF(AND(F247="",G247=""),"",SUM(基础资料!$X$5:$X$24)+SUM(F$7:F247)-SUM(G$7:G247))</f>
      </c>
      <c r="J247" s="141" t="n"/>
      <c r="K247" s="141" t="n"/>
      <c r="L247" s="141" t="n"/>
      <c r="M247" s="142" t="n"/>
      <c r="N247" s="146">
        <f>IF(AND(AND(F247="",G247=""),B247="",C247="",D247="",J247="",K247="",L247=""),"",IF(AND(F247="",G247=""),"✗ 没填金额",IF(AND(N(F247)&lt;&gt;0,N(G247)&lt;&gt;0),"✗ 收入、支出只能填一边",IF(NOT(ISNUMBER(B247)),"✗ 日期不是真日期（要像 2026/9/25 这样填）",IF(OR(B247&lt;年初日,B247&gt;年末日),"✗ 日期不在本会计年度",IF(C247="","✗ 没选账户",IF(COUNTIF(基础资料!$W$5:$W$24,C247)=0,"✗ 账户不在基础资料里",IF(O247="","✗ 没选收支项目",IF(P247="未知","✗ 收支项目不在基础资料里",IF(AND(P247="应收",J247=""),"✗ 这笔要选客户",IF(AND(P247="应收",COUNTIF(总览汇总!$B$5:$B$304,J247)=0),"✗ 客户不在总览汇总名单里",IF(AND(P247="应付",K247=""),"✗ 这笔要选供应商",IF(AND(P247="应付",COUNTIF(基础资料!$Q$5:$Q$54,K247)=0),"✗ 供应商不在基础资料里",IF(AND(P247="费用",L247=""),"✗ 费用支出要选费用项目",IF(AND(L247&lt;&gt;"",COUNTIF(基础资料!$AI$5:$AI$54,L247)=0),"✗ 费用项目不在基础资料里",IF(AND(IFERROR(INDEX(基础资料!$AD$5:$AD$34,MATCH(O247,基础资料!$AC$5:$AC$34,0)),"")="收",N(G247)&lt;&gt;0),"✗ 这类是收款，金额填到收入列",IF(AND(IFERROR(INDEX(基础资料!$AD$5:$AD$34,MATCH(O247,基础资料!$AC$5:$AC$34,0)),"")="支",N(F247)&lt;&gt;0),"✗ 这类是付款，金额填到支出列",IF(N(H247)&lt;0,"⚠ 账户余额成负数了，核对一下","√"))))))))))))))))))</f>
      </c>
      <c r="O247" s="78">
        <f>IF(D247&lt;&gt;"",D247,IF(AND(F247="",G247=""),"",IF(J247&lt;&gt;"",IF(N(F247)&gt;0,"客户回款","客户退款"),IF(K247&lt;&gt;"",IF(N(G247)&gt;0,"供应商付款","供应商退款"),IF(L247&lt;&gt;"","费用支出","")))))</f>
      </c>
      <c r="P247" s="78">
        <f>IF(O247="","",IFERROR(INDEX(基础资料!$AE$5:$AE$34,MATCH(O247,基础资料!$AC$5:$AC$34,0)),"未知"))</f>
      </c>
      <c r="Q247" s="78">
        <f>IF(P247="应收",COUNTIF(P$7:P247,"应收"),"")</f>
      </c>
      <c r="R247" s="78">
        <f>IF(P247="应付",COUNTIF(P$7:P247,"应付"),"")</f>
      </c>
      <c r="S247" s="78">
        <f>N(F247)-N(G247)</f>
        <v>0</v>
      </c>
    </row>
    <row r="248">
      <c r="A248" s="109">
        <f>IF(AND(F248="",G248=""),"",ROW()-6)</f>
      </c>
      <c r="B248" s="140" t="n"/>
      <c r="C248" s="141" t="n"/>
      <c r="D248" s="141" t="n"/>
      <c r="E248" s="142" t="n"/>
      <c r="F248" s="143" t="n"/>
      <c r="G248" s="144" t="n"/>
      <c r="H248" s="145">
        <f>IF(OR(C248="",AND(F248="",G248="")),"",SUMIF(基础资料!$W$5:$W$24,C248,基础资料!$X$5:$X$24)+SUMIF(C$7:C248,C248,F$7:F248)-SUMIF(C$7:C248,C248,G$7:G248))</f>
      </c>
      <c r="I248" s="145">
        <f>IF(AND(F248="",G248=""),"",SUM(基础资料!$X$5:$X$24)+SUM(F$7:F248)-SUM(G$7:G248))</f>
      </c>
      <c r="J248" s="141" t="n"/>
      <c r="K248" s="141" t="n"/>
      <c r="L248" s="141" t="n"/>
      <c r="M248" s="142" t="n"/>
      <c r="N248" s="146">
        <f>IF(AND(AND(F248="",G248=""),B248="",C248="",D248="",J248="",K248="",L248=""),"",IF(AND(F248="",G248=""),"✗ 没填金额",IF(AND(N(F248)&lt;&gt;0,N(G248)&lt;&gt;0),"✗ 收入、支出只能填一边",IF(NOT(ISNUMBER(B248)),"✗ 日期不是真日期（要像 2026/9/25 这样填）",IF(OR(B248&lt;年初日,B248&gt;年末日),"✗ 日期不在本会计年度",IF(C248="","✗ 没选账户",IF(COUNTIF(基础资料!$W$5:$W$24,C248)=0,"✗ 账户不在基础资料里",IF(O248="","✗ 没选收支项目",IF(P248="未知","✗ 收支项目不在基础资料里",IF(AND(P248="应收",J248=""),"✗ 这笔要选客户",IF(AND(P248="应收",COUNTIF(总览汇总!$B$5:$B$304,J248)=0),"✗ 客户不在总览汇总名单里",IF(AND(P248="应付",K248=""),"✗ 这笔要选供应商",IF(AND(P248="应付",COUNTIF(基础资料!$Q$5:$Q$54,K248)=0),"✗ 供应商不在基础资料里",IF(AND(P248="费用",L248=""),"✗ 费用支出要选费用项目",IF(AND(L248&lt;&gt;"",COUNTIF(基础资料!$AI$5:$AI$54,L248)=0),"✗ 费用项目不在基础资料里",IF(AND(IFERROR(INDEX(基础资料!$AD$5:$AD$34,MATCH(O248,基础资料!$AC$5:$AC$34,0)),"")="收",N(G248)&lt;&gt;0),"✗ 这类是收款，金额填到收入列",IF(AND(IFERROR(INDEX(基础资料!$AD$5:$AD$34,MATCH(O248,基础资料!$AC$5:$AC$34,0)),"")="支",N(F248)&lt;&gt;0),"✗ 这类是付款，金额填到支出列",IF(N(H248)&lt;0,"⚠ 账户余额成负数了，核对一下","√"))))))))))))))))))</f>
      </c>
      <c r="O248" s="78">
        <f>IF(D248&lt;&gt;"",D248,IF(AND(F248="",G248=""),"",IF(J248&lt;&gt;"",IF(N(F248)&gt;0,"客户回款","客户退款"),IF(K248&lt;&gt;"",IF(N(G248)&gt;0,"供应商付款","供应商退款"),IF(L248&lt;&gt;"","费用支出","")))))</f>
      </c>
      <c r="P248" s="78">
        <f>IF(O248="","",IFERROR(INDEX(基础资料!$AE$5:$AE$34,MATCH(O248,基础资料!$AC$5:$AC$34,0)),"未知"))</f>
      </c>
      <c r="Q248" s="78">
        <f>IF(P248="应收",COUNTIF(P$7:P248,"应收"),"")</f>
      </c>
      <c r="R248" s="78">
        <f>IF(P248="应付",COUNTIF(P$7:P248,"应付"),"")</f>
      </c>
      <c r="S248" s="78">
        <f>N(F248)-N(G248)</f>
        <v>0</v>
      </c>
    </row>
    <row r="249">
      <c r="A249" s="109">
        <f>IF(AND(F249="",G249=""),"",ROW()-6)</f>
      </c>
      <c r="B249" s="140" t="n"/>
      <c r="C249" s="141" t="n"/>
      <c r="D249" s="141" t="n"/>
      <c r="E249" s="142" t="n"/>
      <c r="F249" s="143" t="n"/>
      <c r="G249" s="144" t="n"/>
      <c r="H249" s="145">
        <f>IF(OR(C249="",AND(F249="",G249="")),"",SUMIF(基础资料!$W$5:$W$24,C249,基础资料!$X$5:$X$24)+SUMIF(C$7:C249,C249,F$7:F249)-SUMIF(C$7:C249,C249,G$7:G249))</f>
      </c>
      <c r="I249" s="145">
        <f>IF(AND(F249="",G249=""),"",SUM(基础资料!$X$5:$X$24)+SUM(F$7:F249)-SUM(G$7:G249))</f>
      </c>
      <c r="J249" s="141" t="n"/>
      <c r="K249" s="141" t="n"/>
      <c r="L249" s="141" t="n"/>
      <c r="M249" s="142" t="n"/>
      <c r="N249" s="146">
        <f>IF(AND(AND(F249="",G249=""),B249="",C249="",D249="",J249="",K249="",L249=""),"",IF(AND(F249="",G249=""),"✗ 没填金额",IF(AND(N(F249)&lt;&gt;0,N(G249)&lt;&gt;0),"✗ 收入、支出只能填一边",IF(NOT(ISNUMBER(B249)),"✗ 日期不是真日期（要像 2026/9/25 这样填）",IF(OR(B249&lt;年初日,B249&gt;年末日),"✗ 日期不在本会计年度",IF(C249="","✗ 没选账户",IF(COUNTIF(基础资料!$W$5:$W$24,C249)=0,"✗ 账户不在基础资料里",IF(O249="","✗ 没选收支项目",IF(P249="未知","✗ 收支项目不在基础资料里",IF(AND(P249="应收",J249=""),"✗ 这笔要选客户",IF(AND(P249="应收",COUNTIF(总览汇总!$B$5:$B$304,J249)=0),"✗ 客户不在总览汇总名单里",IF(AND(P249="应付",K249=""),"✗ 这笔要选供应商",IF(AND(P249="应付",COUNTIF(基础资料!$Q$5:$Q$54,K249)=0),"✗ 供应商不在基础资料里",IF(AND(P249="费用",L249=""),"✗ 费用支出要选费用项目",IF(AND(L249&lt;&gt;"",COUNTIF(基础资料!$AI$5:$AI$54,L249)=0),"✗ 费用项目不在基础资料里",IF(AND(IFERROR(INDEX(基础资料!$AD$5:$AD$34,MATCH(O249,基础资料!$AC$5:$AC$34,0)),"")="收",N(G249)&lt;&gt;0),"✗ 这类是收款，金额填到收入列",IF(AND(IFERROR(INDEX(基础资料!$AD$5:$AD$34,MATCH(O249,基础资料!$AC$5:$AC$34,0)),"")="支",N(F249)&lt;&gt;0),"✗ 这类是付款，金额填到支出列",IF(N(H249)&lt;0,"⚠ 账户余额成负数了，核对一下","√"))))))))))))))))))</f>
      </c>
      <c r="O249" s="78">
        <f>IF(D249&lt;&gt;"",D249,IF(AND(F249="",G249=""),"",IF(J249&lt;&gt;"",IF(N(F249)&gt;0,"客户回款","客户退款"),IF(K249&lt;&gt;"",IF(N(G249)&gt;0,"供应商付款","供应商退款"),IF(L249&lt;&gt;"","费用支出","")))))</f>
      </c>
      <c r="P249" s="78">
        <f>IF(O249="","",IFERROR(INDEX(基础资料!$AE$5:$AE$34,MATCH(O249,基础资料!$AC$5:$AC$34,0)),"未知"))</f>
      </c>
      <c r="Q249" s="78">
        <f>IF(P249="应收",COUNTIF(P$7:P249,"应收"),"")</f>
      </c>
      <c r="R249" s="78">
        <f>IF(P249="应付",COUNTIF(P$7:P249,"应付"),"")</f>
      </c>
      <c r="S249" s="78">
        <f>N(F249)-N(G249)</f>
        <v>0</v>
      </c>
    </row>
    <row r="250">
      <c r="A250" s="109">
        <f>IF(AND(F250="",G250=""),"",ROW()-6)</f>
      </c>
      <c r="B250" s="140" t="n"/>
      <c r="C250" s="141" t="n"/>
      <c r="D250" s="141" t="n"/>
      <c r="E250" s="142" t="n"/>
      <c r="F250" s="143" t="n"/>
      <c r="G250" s="144" t="n"/>
      <c r="H250" s="145">
        <f>IF(OR(C250="",AND(F250="",G250="")),"",SUMIF(基础资料!$W$5:$W$24,C250,基础资料!$X$5:$X$24)+SUMIF(C$7:C250,C250,F$7:F250)-SUMIF(C$7:C250,C250,G$7:G250))</f>
      </c>
      <c r="I250" s="145">
        <f>IF(AND(F250="",G250=""),"",SUM(基础资料!$X$5:$X$24)+SUM(F$7:F250)-SUM(G$7:G250))</f>
      </c>
      <c r="J250" s="141" t="n"/>
      <c r="K250" s="141" t="n"/>
      <c r="L250" s="141" t="n"/>
      <c r="M250" s="142" t="n"/>
      <c r="N250" s="146">
        <f>IF(AND(AND(F250="",G250=""),B250="",C250="",D250="",J250="",K250="",L250=""),"",IF(AND(F250="",G250=""),"✗ 没填金额",IF(AND(N(F250)&lt;&gt;0,N(G250)&lt;&gt;0),"✗ 收入、支出只能填一边",IF(NOT(ISNUMBER(B250)),"✗ 日期不是真日期（要像 2026/9/25 这样填）",IF(OR(B250&lt;年初日,B250&gt;年末日),"✗ 日期不在本会计年度",IF(C250="","✗ 没选账户",IF(COUNTIF(基础资料!$W$5:$W$24,C250)=0,"✗ 账户不在基础资料里",IF(O250="","✗ 没选收支项目",IF(P250="未知","✗ 收支项目不在基础资料里",IF(AND(P250="应收",J250=""),"✗ 这笔要选客户",IF(AND(P250="应收",COUNTIF(总览汇总!$B$5:$B$304,J250)=0),"✗ 客户不在总览汇总名单里",IF(AND(P250="应付",K250=""),"✗ 这笔要选供应商",IF(AND(P250="应付",COUNTIF(基础资料!$Q$5:$Q$54,K250)=0),"✗ 供应商不在基础资料里",IF(AND(P250="费用",L250=""),"✗ 费用支出要选费用项目",IF(AND(L250&lt;&gt;"",COUNTIF(基础资料!$AI$5:$AI$54,L250)=0),"✗ 费用项目不在基础资料里",IF(AND(IFERROR(INDEX(基础资料!$AD$5:$AD$34,MATCH(O250,基础资料!$AC$5:$AC$34,0)),"")="收",N(G250)&lt;&gt;0),"✗ 这类是收款，金额填到收入列",IF(AND(IFERROR(INDEX(基础资料!$AD$5:$AD$34,MATCH(O250,基础资料!$AC$5:$AC$34,0)),"")="支",N(F250)&lt;&gt;0),"✗ 这类是付款，金额填到支出列",IF(N(H250)&lt;0,"⚠ 账户余额成负数了，核对一下","√"))))))))))))))))))</f>
      </c>
      <c r="O250" s="78">
        <f>IF(D250&lt;&gt;"",D250,IF(AND(F250="",G250=""),"",IF(J250&lt;&gt;"",IF(N(F250)&gt;0,"客户回款","客户退款"),IF(K250&lt;&gt;"",IF(N(G250)&gt;0,"供应商付款","供应商退款"),IF(L250&lt;&gt;"","费用支出","")))))</f>
      </c>
      <c r="P250" s="78">
        <f>IF(O250="","",IFERROR(INDEX(基础资料!$AE$5:$AE$34,MATCH(O250,基础资料!$AC$5:$AC$34,0)),"未知"))</f>
      </c>
      <c r="Q250" s="78">
        <f>IF(P250="应收",COUNTIF(P$7:P250,"应收"),"")</f>
      </c>
      <c r="R250" s="78">
        <f>IF(P250="应付",COUNTIF(P$7:P250,"应付"),"")</f>
      </c>
      <c r="S250" s="78">
        <f>N(F250)-N(G250)</f>
        <v>0</v>
      </c>
    </row>
    <row r="251">
      <c r="A251" s="109">
        <f>IF(AND(F251="",G251=""),"",ROW()-6)</f>
      </c>
      <c r="B251" s="140" t="n"/>
      <c r="C251" s="141" t="n"/>
      <c r="D251" s="141" t="n"/>
      <c r="E251" s="142" t="n"/>
      <c r="F251" s="143" t="n"/>
      <c r="G251" s="144" t="n"/>
      <c r="H251" s="145">
        <f>IF(OR(C251="",AND(F251="",G251="")),"",SUMIF(基础资料!$W$5:$W$24,C251,基础资料!$X$5:$X$24)+SUMIF(C$7:C251,C251,F$7:F251)-SUMIF(C$7:C251,C251,G$7:G251))</f>
      </c>
      <c r="I251" s="145">
        <f>IF(AND(F251="",G251=""),"",SUM(基础资料!$X$5:$X$24)+SUM(F$7:F251)-SUM(G$7:G251))</f>
      </c>
      <c r="J251" s="141" t="n"/>
      <c r="K251" s="141" t="n"/>
      <c r="L251" s="141" t="n"/>
      <c r="M251" s="142" t="n"/>
      <c r="N251" s="146">
        <f>IF(AND(AND(F251="",G251=""),B251="",C251="",D251="",J251="",K251="",L251=""),"",IF(AND(F251="",G251=""),"✗ 没填金额",IF(AND(N(F251)&lt;&gt;0,N(G251)&lt;&gt;0),"✗ 收入、支出只能填一边",IF(NOT(ISNUMBER(B251)),"✗ 日期不是真日期（要像 2026/9/25 这样填）",IF(OR(B251&lt;年初日,B251&gt;年末日),"✗ 日期不在本会计年度",IF(C251="","✗ 没选账户",IF(COUNTIF(基础资料!$W$5:$W$24,C251)=0,"✗ 账户不在基础资料里",IF(O251="","✗ 没选收支项目",IF(P251="未知","✗ 收支项目不在基础资料里",IF(AND(P251="应收",J251=""),"✗ 这笔要选客户",IF(AND(P251="应收",COUNTIF(总览汇总!$B$5:$B$304,J251)=0),"✗ 客户不在总览汇总名单里",IF(AND(P251="应付",K251=""),"✗ 这笔要选供应商",IF(AND(P251="应付",COUNTIF(基础资料!$Q$5:$Q$54,K251)=0),"✗ 供应商不在基础资料里",IF(AND(P251="费用",L251=""),"✗ 费用支出要选费用项目",IF(AND(L251&lt;&gt;"",COUNTIF(基础资料!$AI$5:$AI$54,L251)=0),"✗ 费用项目不在基础资料里",IF(AND(IFERROR(INDEX(基础资料!$AD$5:$AD$34,MATCH(O251,基础资料!$AC$5:$AC$34,0)),"")="收",N(G251)&lt;&gt;0),"✗ 这类是收款，金额填到收入列",IF(AND(IFERROR(INDEX(基础资料!$AD$5:$AD$34,MATCH(O251,基础资料!$AC$5:$AC$34,0)),"")="支",N(F251)&lt;&gt;0),"✗ 这类是付款，金额填到支出列",IF(N(H251)&lt;0,"⚠ 账户余额成负数了，核对一下","√"))))))))))))))))))</f>
      </c>
      <c r="O251" s="78">
        <f>IF(D251&lt;&gt;"",D251,IF(AND(F251="",G251=""),"",IF(J251&lt;&gt;"",IF(N(F251)&gt;0,"客户回款","客户退款"),IF(K251&lt;&gt;"",IF(N(G251)&gt;0,"供应商付款","供应商退款"),IF(L251&lt;&gt;"","费用支出","")))))</f>
      </c>
      <c r="P251" s="78">
        <f>IF(O251="","",IFERROR(INDEX(基础资料!$AE$5:$AE$34,MATCH(O251,基础资料!$AC$5:$AC$34,0)),"未知"))</f>
      </c>
      <c r="Q251" s="78">
        <f>IF(P251="应收",COUNTIF(P$7:P251,"应收"),"")</f>
      </c>
      <c r="R251" s="78">
        <f>IF(P251="应付",COUNTIF(P$7:P251,"应付"),"")</f>
      </c>
      <c r="S251" s="78">
        <f>N(F251)-N(G251)</f>
        <v>0</v>
      </c>
    </row>
    <row r="252">
      <c r="A252" s="109">
        <f>IF(AND(F252="",G252=""),"",ROW()-6)</f>
      </c>
      <c r="B252" s="140" t="n"/>
      <c r="C252" s="141" t="n"/>
      <c r="D252" s="141" t="n"/>
      <c r="E252" s="142" t="n"/>
      <c r="F252" s="143" t="n"/>
      <c r="G252" s="144" t="n"/>
      <c r="H252" s="145">
        <f>IF(OR(C252="",AND(F252="",G252="")),"",SUMIF(基础资料!$W$5:$W$24,C252,基础资料!$X$5:$X$24)+SUMIF(C$7:C252,C252,F$7:F252)-SUMIF(C$7:C252,C252,G$7:G252))</f>
      </c>
      <c r="I252" s="145">
        <f>IF(AND(F252="",G252=""),"",SUM(基础资料!$X$5:$X$24)+SUM(F$7:F252)-SUM(G$7:G252))</f>
      </c>
      <c r="J252" s="141" t="n"/>
      <c r="K252" s="141" t="n"/>
      <c r="L252" s="141" t="n"/>
      <c r="M252" s="142" t="n"/>
      <c r="N252" s="146">
        <f>IF(AND(AND(F252="",G252=""),B252="",C252="",D252="",J252="",K252="",L252=""),"",IF(AND(F252="",G252=""),"✗ 没填金额",IF(AND(N(F252)&lt;&gt;0,N(G252)&lt;&gt;0),"✗ 收入、支出只能填一边",IF(NOT(ISNUMBER(B252)),"✗ 日期不是真日期（要像 2026/9/25 这样填）",IF(OR(B252&lt;年初日,B252&gt;年末日),"✗ 日期不在本会计年度",IF(C252="","✗ 没选账户",IF(COUNTIF(基础资料!$W$5:$W$24,C252)=0,"✗ 账户不在基础资料里",IF(O252="","✗ 没选收支项目",IF(P252="未知","✗ 收支项目不在基础资料里",IF(AND(P252="应收",J252=""),"✗ 这笔要选客户",IF(AND(P252="应收",COUNTIF(总览汇总!$B$5:$B$304,J252)=0),"✗ 客户不在总览汇总名单里",IF(AND(P252="应付",K252=""),"✗ 这笔要选供应商",IF(AND(P252="应付",COUNTIF(基础资料!$Q$5:$Q$54,K252)=0),"✗ 供应商不在基础资料里",IF(AND(P252="费用",L252=""),"✗ 费用支出要选费用项目",IF(AND(L252&lt;&gt;"",COUNTIF(基础资料!$AI$5:$AI$54,L252)=0),"✗ 费用项目不在基础资料里",IF(AND(IFERROR(INDEX(基础资料!$AD$5:$AD$34,MATCH(O252,基础资料!$AC$5:$AC$34,0)),"")="收",N(G252)&lt;&gt;0),"✗ 这类是收款，金额填到收入列",IF(AND(IFERROR(INDEX(基础资料!$AD$5:$AD$34,MATCH(O252,基础资料!$AC$5:$AC$34,0)),"")="支",N(F252)&lt;&gt;0),"✗ 这类是付款，金额填到支出列",IF(N(H252)&lt;0,"⚠ 账户余额成负数了，核对一下","√"))))))))))))))))))</f>
      </c>
      <c r="O252" s="78">
        <f>IF(D252&lt;&gt;"",D252,IF(AND(F252="",G252=""),"",IF(J252&lt;&gt;"",IF(N(F252)&gt;0,"客户回款","客户退款"),IF(K252&lt;&gt;"",IF(N(G252)&gt;0,"供应商付款","供应商退款"),IF(L252&lt;&gt;"","费用支出","")))))</f>
      </c>
      <c r="P252" s="78">
        <f>IF(O252="","",IFERROR(INDEX(基础资料!$AE$5:$AE$34,MATCH(O252,基础资料!$AC$5:$AC$34,0)),"未知"))</f>
      </c>
      <c r="Q252" s="78">
        <f>IF(P252="应收",COUNTIF(P$7:P252,"应收"),"")</f>
      </c>
      <c r="R252" s="78">
        <f>IF(P252="应付",COUNTIF(P$7:P252,"应付"),"")</f>
      </c>
      <c r="S252" s="78">
        <f>N(F252)-N(G252)</f>
        <v>0</v>
      </c>
    </row>
    <row r="253">
      <c r="A253" s="109">
        <f>IF(AND(F253="",G253=""),"",ROW()-6)</f>
      </c>
      <c r="B253" s="140" t="n"/>
      <c r="C253" s="141" t="n"/>
      <c r="D253" s="141" t="n"/>
      <c r="E253" s="142" t="n"/>
      <c r="F253" s="143" t="n"/>
      <c r="G253" s="144" t="n"/>
      <c r="H253" s="145">
        <f>IF(OR(C253="",AND(F253="",G253="")),"",SUMIF(基础资料!$W$5:$W$24,C253,基础资料!$X$5:$X$24)+SUMIF(C$7:C253,C253,F$7:F253)-SUMIF(C$7:C253,C253,G$7:G253))</f>
      </c>
      <c r="I253" s="145">
        <f>IF(AND(F253="",G253=""),"",SUM(基础资料!$X$5:$X$24)+SUM(F$7:F253)-SUM(G$7:G253))</f>
      </c>
      <c r="J253" s="141" t="n"/>
      <c r="K253" s="141" t="n"/>
      <c r="L253" s="141" t="n"/>
      <c r="M253" s="142" t="n"/>
      <c r="N253" s="146">
        <f>IF(AND(AND(F253="",G253=""),B253="",C253="",D253="",J253="",K253="",L253=""),"",IF(AND(F253="",G253=""),"✗ 没填金额",IF(AND(N(F253)&lt;&gt;0,N(G253)&lt;&gt;0),"✗ 收入、支出只能填一边",IF(NOT(ISNUMBER(B253)),"✗ 日期不是真日期（要像 2026/9/25 这样填）",IF(OR(B253&lt;年初日,B253&gt;年末日),"✗ 日期不在本会计年度",IF(C253="","✗ 没选账户",IF(COUNTIF(基础资料!$W$5:$W$24,C253)=0,"✗ 账户不在基础资料里",IF(O253="","✗ 没选收支项目",IF(P253="未知","✗ 收支项目不在基础资料里",IF(AND(P253="应收",J253=""),"✗ 这笔要选客户",IF(AND(P253="应收",COUNTIF(总览汇总!$B$5:$B$304,J253)=0),"✗ 客户不在总览汇总名单里",IF(AND(P253="应付",K253=""),"✗ 这笔要选供应商",IF(AND(P253="应付",COUNTIF(基础资料!$Q$5:$Q$54,K253)=0),"✗ 供应商不在基础资料里",IF(AND(P253="费用",L253=""),"✗ 费用支出要选费用项目",IF(AND(L253&lt;&gt;"",COUNTIF(基础资料!$AI$5:$AI$54,L253)=0),"✗ 费用项目不在基础资料里",IF(AND(IFERROR(INDEX(基础资料!$AD$5:$AD$34,MATCH(O253,基础资料!$AC$5:$AC$34,0)),"")="收",N(G253)&lt;&gt;0),"✗ 这类是收款，金额填到收入列",IF(AND(IFERROR(INDEX(基础资料!$AD$5:$AD$34,MATCH(O253,基础资料!$AC$5:$AC$34,0)),"")="支",N(F253)&lt;&gt;0),"✗ 这类是付款，金额填到支出列",IF(N(H253)&lt;0,"⚠ 账户余额成负数了，核对一下","√"))))))))))))))))))</f>
      </c>
      <c r="O253" s="78">
        <f>IF(D253&lt;&gt;"",D253,IF(AND(F253="",G253=""),"",IF(J253&lt;&gt;"",IF(N(F253)&gt;0,"客户回款","客户退款"),IF(K253&lt;&gt;"",IF(N(G253)&gt;0,"供应商付款","供应商退款"),IF(L253&lt;&gt;"","费用支出","")))))</f>
      </c>
      <c r="P253" s="78">
        <f>IF(O253="","",IFERROR(INDEX(基础资料!$AE$5:$AE$34,MATCH(O253,基础资料!$AC$5:$AC$34,0)),"未知"))</f>
      </c>
      <c r="Q253" s="78">
        <f>IF(P253="应收",COUNTIF(P$7:P253,"应收"),"")</f>
      </c>
      <c r="R253" s="78">
        <f>IF(P253="应付",COUNTIF(P$7:P253,"应付"),"")</f>
      </c>
      <c r="S253" s="78">
        <f>N(F253)-N(G253)</f>
        <v>0</v>
      </c>
    </row>
    <row r="254">
      <c r="A254" s="109">
        <f>IF(AND(F254="",G254=""),"",ROW()-6)</f>
      </c>
      <c r="B254" s="140" t="n"/>
      <c r="C254" s="141" t="n"/>
      <c r="D254" s="141" t="n"/>
      <c r="E254" s="142" t="n"/>
      <c r="F254" s="143" t="n"/>
      <c r="G254" s="144" t="n"/>
      <c r="H254" s="145">
        <f>IF(OR(C254="",AND(F254="",G254="")),"",SUMIF(基础资料!$W$5:$W$24,C254,基础资料!$X$5:$X$24)+SUMIF(C$7:C254,C254,F$7:F254)-SUMIF(C$7:C254,C254,G$7:G254))</f>
      </c>
      <c r="I254" s="145">
        <f>IF(AND(F254="",G254=""),"",SUM(基础资料!$X$5:$X$24)+SUM(F$7:F254)-SUM(G$7:G254))</f>
      </c>
      <c r="J254" s="141" t="n"/>
      <c r="K254" s="141" t="n"/>
      <c r="L254" s="141" t="n"/>
      <c r="M254" s="142" t="n"/>
      <c r="N254" s="146">
        <f>IF(AND(AND(F254="",G254=""),B254="",C254="",D254="",J254="",K254="",L254=""),"",IF(AND(F254="",G254=""),"✗ 没填金额",IF(AND(N(F254)&lt;&gt;0,N(G254)&lt;&gt;0),"✗ 收入、支出只能填一边",IF(NOT(ISNUMBER(B254)),"✗ 日期不是真日期（要像 2026/9/25 这样填）",IF(OR(B254&lt;年初日,B254&gt;年末日),"✗ 日期不在本会计年度",IF(C254="","✗ 没选账户",IF(COUNTIF(基础资料!$W$5:$W$24,C254)=0,"✗ 账户不在基础资料里",IF(O254="","✗ 没选收支项目",IF(P254="未知","✗ 收支项目不在基础资料里",IF(AND(P254="应收",J254=""),"✗ 这笔要选客户",IF(AND(P254="应收",COUNTIF(总览汇总!$B$5:$B$304,J254)=0),"✗ 客户不在总览汇总名单里",IF(AND(P254="应付",K254=""),"✗ 这笔要选供应商",IF(AND(P254="应付",COUNTIF(基础资料!$Q$5:$Q$54,K254)=0),"✗ 供应商不在基础资料里",IF(AND(P254="费用",L254=""),"✗ 费用支出要选费用项目",IF(AND(L254&lt;&gt;"",COUNTIF(基础资料!$AI$5:$AI$54,L254)=0),"✗ 费用项目不在基础资料里",IF(AND(IFERROR(INDEX(基础资料!$AD$5:$AD$34,MATCH(O254,基础资料!$AC$5:$AC$34,0)),"")="收",N(G254)&lt;&gt;0),"✗ 这类是收款，金额填到收入列",IF(AND(IFERROR(INDEX(基础资料!$AD$5:$AD$34,MATCH(O254,基础资料!$AC$5:$AC$34,0)),"")="支",N(F254)&lt;&gt;0),"✗ 这类是付款，金额填到支出列",IF(N(H254)&lt;0,"⚠ 账户余额成负数了，核对一下","√"))))))))))))))))))</f>
      </c>
      <c r="O254" s="78">
        <f>IF(D254&lt;&gt;"",D254,IF(AND(F254="",G254=""),"",IF(J254&lt;&gt;"",IF(N(F254)&gt;0,"客户回款","客户退款"),IF(K254&lt;&gt;"",IF(N(G254)&gt;0,"供应商付款","供应商退款"),IF(L254&lt;&gt;"","费用支出","")))))</f>
      </c>
      <c r="P254" s="78">
        <f>IF(O254="","",IFERROR(INDEX(基础资料!$AE$5:$AE$34,MATCH(O254,基础资料!$AC$5:$AC$34,0)),"未知"))</f>
      </c>
      <c r="Q254" s="78">
        <f>IF(P254="应收",COUNTIF(P$7:P254,"应收"),"")</f>
      </c>
      <c r="R254" s="78">
        <f>IF(P254="应付",COUNTIF(P$7:P254,"应付"),"")</f>
      </c>
      <c r="S254" s="78">
        <f>N(F254)-N(G254)</f>
        <v>0</v>
      </c>
    </row>
    <row r="255">
      <c r="A255" s="109">
        <f>IF(AND(F255="",G255=""),"",ROW()-6)</f>
      </c>
      <c r="B255" s="140" t="n"/>
      <c r="C255" s="141" t="n"/>
      <c r="D255" s="141" t="n"/>
      <c r="E255" s="142" t="n"/>
      <c r="F255" s="143" t="n"/>
      <c r="G255" s="144" t="n"/>
      <c r="H255" s="145">
        <f>IF(OR(C255="",AND(F255="",G255="")),"",SUMIF(基础资料!$W$5:$W$24,C255,基础资料!$X$5:$X$24)+SUMIF(C$7:C255,C255,F$7:F255)-SUMIF(C$7:C255,C255,G$7:G255))</f>
      </c>
      <c r="I255" s="145">
        <f>IF(AND(F255="",G255=""),"",SUM(基础资料!$X$5:$X$24)+SUM(F$7:F255)-SUM(G$7:G255))</f>
      </c>
      <c r="J255" s="141" t="n"/>
      <c r="K255" s="141" t="n"/>
      <c r="L255" s="141" t="n"/>
      <c r="M255" s="142" t="n"/>
      <c r="N255" s="146">
        <f>IF(AND(AND(F255="",G255=""),B255="",C255="",D255="",J255="",K255="",L255=""),"",IF(AND(F255="",G255=""),"✗ 没填金额",IF(AND(N(F255)&lt;&gt;0,N(G255)&lt;&gt;0),"✗ 收入、支出只能填一边",IF(NOT(ISNUMBER(B255)),"✗ 日期不是真日期（要像 2026/9/25 这样填）",IF(OR(B255&lt;年初日,B255&gt;年末日),"✗ 日期不在本会计年度",IF(C255="","✗ 没选账户",IF(COUNTIF(基础资料!$W$5:$W$24,C255)=0,"✗ 账户不在基础资料里",IF(O255="","✗ 没选收支项目",IF(P255="未知","✗ 收支项目不在基础资料里",IF(AND(P255="应收",J255=""),"✗ 这笔要选客户",IF(AND(P255="应收",COUNTIF(总览汇总!$B$5:$B$304,J255)=0),"✗ 客户不在总览汇总名单里",IF(AND(P255="应付",K255=""),"✗ 这笔要选供应商",IF(AND(P255="应付",COUNTIF(基础资料!$Q$5:$Q$54,K255)=0),"✗ 供应商不在基础资料里",IF(AND(P255="费用",L255=""),"✗ 费用支出要选费用项目",IF(AND(L255&lt;&gt;"",COUNTIF(基础资料!$AI$5:$AI$54,L255)=0),"✗ 费用项目不在基础资料里",IF(AND(IFERROR(INDEX(基础资料!$AD$5:$AD$34,MATCH(O255,基础资料!$AC$5:$AC$34,0)),"")="收",N(G255)&lt;&gt;0),"✗ 这类是收款，金额填到收入列",IF(AND(IFERROR(INDEX(基础资料!$AD$5:$AD$34,MATCH(O255,基础资料!$AC$5:$AC$34,0)),"")="支",N(F255)&lt;&gt;0),"✗ 这类是付款，金额填到支出列",IF(N(H255)&lt;0,"⚠ 账户余额成负数了，核对一下","√"))))))))))))))))))</f>
      </c>
      <c r="O255" s="78">
        <f>IF(D255&lt;&gt;"",D255,IF(AND(F255="",G255=""),"",IF(J255&lt;&gt;"",IF(N(F255)&gt;0,"客户回款","客户退款"),IF(K255&lt;&gt;"",IF(N(G255)&gt;0,"供应商付款","供应商退款"),IF(L255&lt;&gt;"","费用支出","")))))</f>
      </c>
      <c r="P255" s="78">
        <f>IF(O255="","",IFERROR(INDEX(基础资料!$AE$5:$AE$34,MATCH(O255,基础资料!$AC$5:$AC$34,0)),"未知"))</f>
      </c>
      <c r="Q255" s="78">
        <f>IF(P255="应收",COUNTIF(P$7:P255,"应收"),"")</f>
      </c>
      <c r="R255" s="78">
        <f>IF(P255="应付",COUNTIF(P$7:P255,"应付"),"")</f>
      </c>
      <c r="S255" s="78">
        <f>N(F255)-N(G255)</f>
        <v>0</v>
      </c>
    </row>
    <row r="256">
      <c r="A256" s="109">
        <f>IF(AND(F256="",G256=""),"",ROW()-6)</f>
      </c>
      <c r="B256" s="140" t="n"/>
      <c r="C256" s="141" t="n"/>
      <c r="D256" s="141" t="n"/>
      <c r="E256" s="142" t="n"/>
      <c r="F256" s="143" t="n"/>
      <c r="G256" s="144" t="n"/>
      <c r="H256" s="145">
        <f>IF(OR(C256="",AND(F256="",G256="")),"",SUMIF(基础资料!$W$5:$W$24,C256,基础资料!$X$5:$X$24)+SUMIF(C$7:C256,C256,F$7:F256)-SUMIF(C$7:C256,C256,G$7:G256))</f>
      </c>
      <c r="I256" s="145">
        <f>IF(AND(F256="",G256=""),"",SUM(基础资料!$X$5:$X$24)+SUM(F$7:F256)-SUM(G$7:G256))</f>
      </c>
      <c r="J256" s="141" t="n"/>
      <c r="K256" s="141" t="n"/>
      <c r="L256" s="141" t="n"/>
      <c r="M256" s="142" t="n"/>
      <c r="N256" s="146">
        <f>IF(AND(AND(F256="",G256=""),B256="",C256="",D256="",J256="",K256="",L256=""),"",IF(AND(F256="",G256=""),"✗ 没填金额",IF(AND(N(F256)&lt;&gt;0,N(G256)&lt;&gt;0),"✗ 收入、支出只能填一边",IF(NOT(ISNUMBER(B256)),"✗ 日期不是真日期（要像 2026/9/25 这样填）",IF(OR(B256&lt;年初日,B256&gt;年末日),"✗ 日期不在本会计年度",IF(C256="","✗ 没选账户",IF(COUNTIF(基础资料!$W$5:$W$24,C256)=0,"✗ 账户不在基础资料里",IF(O256="","✗ 没选收支项目",IF(P256="未知","✗ 收支项目不在基础资料里",IF(AND(P256="应收",J256=""),"✗ 这笔要选客户",IF(AND(P256="应收",COUNTIF(总览汇总!$B$5:$B$304,J256)=0),"✗ 客户不在总览汇总名单里",IF(AND(P256="应付",K256=""),"✗ 这笔要选供应商",IF(AND(P256="应付",COUNTIF(基础资料!$Q$5:$Q$54,K256)=0),"✗ 供应商不在基础资料里",IF(AND(P256="费用",L256=""),"✗ 费用支出要选费用项目",IF(AND(L256&lt;&gt;"",COUNTIF(基础资料!$AI$5:$AI$54,L256)=0),"✗ 费用项目不在基础资料里",IF(AND(IFERROR(INDEX(基础资料!$AD$5:$AD$34,MATCH(O256,基础资料!$AC$5:$AC$34,0)),"")="收",N(G256)&lt;&gt;0),"✗ 这类是收款，金额填到收入列",IF(AND(IFERROR(INDEX(基础资料!$AD$5:$AD$34,MATCH(O256,基础资料!$AC$5:$AC$34,0)),"")="支",N(F256)&lt;&gt;0),"✗ 这类是付款，金额填到支出列",IF(N(H256)&lt;0,"⚠ 账户余额成负数了，核对一下","√"))))))))))))))))))</f>
      </c>
      <c r="O256" s="78">
        <f>IF(D256&lt;&gt;"",D256,IF(AND(F256="",G256=""),"",IF(J256&lt;&gt;"",IF(N(F256)&gt;0,"客户回款","客户退款"),IF(K256&lt;&gt;"",IF(N(G256)&gt;0,"供应商付款","供应商退款"),IF(L256&lt;&gt;"","费用支出","")))))</f>
      </c>
      <c r="P256" s="78">
        <f>IF(O256="","",IFERROR(INDEX(基础资料!$AE$5:$AE$34,MATCH(O256,基础资料!$AC$5:$AC$34,0)),"未知"))</f>
      </c>
      <c r="Q256" s="78">
        <f>IF(P256="应收",COUNTIF(P$7:P256,"应收"),"")</f>
      </c>
      <c r="R256" s="78">
        <f>IF(P256="应付",COUNTIF(P$7:P256,"应付"),"")</f>
      </c>
      <c r="S256" s="78">
        <f>N(F256)-N(G256)</f>
        <v>0</v>
      </c>
    </row>
    <row r="257">
      <c r="A257" s="109">
        <f>IF(AND(F257="",G257=""),"",ROW()-6)</f>
      </c>
      <c r="B257" s="140" t="n"/>
      <c r="C257" s="141" t="n"/>
      <c r="D257" s="141" t="n"/>
      <c r="E257" s="142" t="n"/>
      <c r="F257" s="143" t="n"/>
      <c r="G257" s="144" t="n"/>
      <c r="H257" s="145">
        <f>IF(OR(C257="",AND(F257="",G257="")),"",SUMIF(基础资料!$W$5:$W$24,C257,基础资料!$X$5:$X$24)+SUMIF(C$7:C257,C257,F$7:F257)-SUMIF(C$7:C257,C257,G$7:G257))</f>
      </c>
      <c r="I257" s="145">
        <f>IF(AND(F257="",G257=""),"",SUM(基础资料!$X$5:$X$24)+SUM(F$7:F257)-SUM(G$7:G257))</f>
      </c>
      <c r="J257" s="141" t="n"/>
      <c r="K257" s="141" t="n"/>
      <c r="L257" s="141" t="n"/>
      <c r="M257" s="142" t="n"/>
      <c r="N257" s="146">
        <f>IF(AND(AND(F257="",G257=""),B257="",C257="",D257="",J257="",K257="",L257=""),"",IF(AND(F257="",G257=""),"✗ 没填金额",IF(AND(N(F257)&lt;&gt;0,N(G257)&lt;&gt;0),"✗ 收入、支出只能填一边",IF(NOT(ISNUMBER(B257)),"✗ 日期不是真日期（要像 2026/9/25 这样填）",IF(OR(B257&lt;年初日,B257&gt;年末日),"✗ 日期不在本会计年度",IF(C257="","✗ 没选账户",IF(COUNTIF(基础资料!$W$5:$W$24,C257)=0,"✗ 账户不在基础资料里",IF(O257="","✗ 没选收支项目",IF(P257="未知","✗ 收支项目不在基础资料里",IF(AND(P257="应收",J257=""),"✗ 这笔要选客户",IF(AND(P257="应收",COUNTIF(总览汇总!$B$5:$B$304,J257)=0),"✗ 客户不在总览汇总名单里",IF(AND(P257="应付",K257=""),"✗ 这笔要选供应商",IF(AND(P257="应付",COUNTIF(基础资料!$Q$5:$Q$54,K257)=0),"✗ 供应商不在基础资料里",IF(AND(P257="费用",L257=""),"✗ 费用支出要选费用项目",IF(AND(L257&lt;&gt;"",COUNTIF(基础资料!$AI$5:$AI$54,L257)=0),"✗ 费用项目不在基础资料里",IF(AND(IFERROR(INDEX(基础资料!$AD$5:$AD$34,MATCH(O257,基础资料!$AC$5:$AC$34,0)),"")="收",N(G257)&lt;&gt;0),"✗ 这类是收款，金额填到收入列",IF(AND(IFERROR(INDEX(基础资料!$AD$5:$AD$34,MATCH(O257,基础资料!$AC$5:$AC$34,0)),"")="支",N(F257)&lt;&gt;0),"✗ 这类是付款，金额填到支出列",IF(N(H257)&lt;0,"⚠ 账户余额成负数了，核对一下","√"))))))))))))))))))</f>
      </c>
      <c r="O257" s="78">
        <f>IF(D257&lt;&gt;"",D257,IF(AND(F257="",G257=""),"",IF(J257&lt;&gt;"",IF(N(F257)&gt;0,"客户回款","客户退款"),IF(K257&lt;&gt;"",IF(N(G257)&gt;0,"供应商付款","供应商退款"),IF(L257&lt;&gt;"","费用支出","")))))</f>
      </c>
      <c r="P257" s="78">
        <f>IF(O257="","",IFERROR(INDEX(基础资料!$AE$5:$AE$34,MATCH(O257,基础资料!$AC$5:$AC$34,0)),"未知"))</f>
      </c>
      <c r="Q257" s="78">
        <f>IF(P257="应收",COUNTIF(P$7:P257,"应收"),"")</f>
      </c>
      <c r="R257" s="78">
        <f>IF(P257="应付",COUNTIF(P$7:P257,"应付"),"")</f>
      </c>
      <c r="S257" s="78">
        <f>N(F257)-N(G257)</f>
        <v>0</v>
      </c>
    </row>
    <row r="258">
      <c r="A258" s="109">
        <f>IF(AND(F258="",G258=""),"",ROW()-6)</f>
      </c>
      <c r="B258" s="140" t="n"/>
      <c r="C258" s="141" t="n"/>
      <c r="D258" s="141" t="n"/>
      <c r="E258" s="142" t="n"/>
      <c r="F258" s="143" t="n"/>
      <c r="G258" s="144" t="n"/>
      <c r="H258" s="145">
        <f>IF(OR(C258="",AND(F258="",G258="")),"",SUMIF(基础资料!$W$5:$W$24,C258,基础资料!$X$5:$X$24)+SUMIF(C$7:C258,C258,F$7:F258)-SUMIF(C$7:C258,C258,G$7:G258))</f>
      </c>
      <c r="I258" s="145">
        <f>IF(AND(F258="",G258=""),"",SUM(基础资料!$X$5:$X$24)+SUM(F$7:F258)-SUM(G$7:G258))</f>
      </c>
      <c r="J258" s="141" t="n"/>
      <c r="K258" s="141" t="n"/>
      <c r="L258" s="141" t="n"/>
      <c r="M258" s="142" t="n"/>
      <c r="N258" s="146">
        <f>IF(AND(AND(F258="",G258=""),B258="",C258="",D258="",J258="",K258="",L258=""),"",IF(AND(F258="",G258=""),"✗ 没填金额",IF(AND(N(F258)&lt;&gt;0,N(G258)&lt;&gt;0),"✗ 收入、支出只能填一边",IF(NOT(ISNUMBER(B258)),"✗ 日期不是真日期（要像 2026/9/25 这样填）",IF(OR(B258&lt;年初日,B258&gt;年末日),"✗ 日期不在本会计年度",IF(C258="","✗ 没选账户",IF(COUNTIF(基础资料!$W$5:$W$24,C258)=0,"✗ 账户不在基础资料里",IF(O258="","✗ 没选收支项目",IF(P258="未知","✗ 收支项目不在基础资料里",IF(AND(P258="应收",J258=""),"✗ 这笔要选客户",IF(AND(P258="应收",COUNTIF(总览汇总!$B$5:$B$304,J258)=0),"✗ 客户不在总览汇总名单里",IF(AND(P258="应付",K258=""),"✗ 这笔要选供应商",IF(AND(P258="应付",COUNTIF(基础资料!$Q$5:$Q$54,K258)=0),"✗ 供应商不在基础资料里",IF(AND(P258="费用",L258=""),"✗ 费用支出要选费用项目",IF(AND(L258&lt;&gt;"",COUNTIF(基础资料!$AI$5:$AI$54,L258)=0),"✗ 费用项目不在基础资料里",IF(AND(IFERROR(INDEX(基础资料!$AD$5:$AD$34,MATCH(O258,基础资料!$AC$5:$AC$34,0)),"")="收",N(G258)&lt;&gt;0),"✗ 这类是收款，金额填到收入列",IF(AND(IFERROR(INDEX(基础资料!$AD$5:$AD$34,MATCH(O258,基础资料!$AC$5:$AC$34,0)),"")="支",N(F258)&lt;&gt;0),"✗ 这类是付款，金额填到支出列",IF(N(H258)&lt;0,"⚠ 账户余额成负数了，核对一下","√"))))))))))))))))))</f>
      </c>
      <c r="O258" s="78">
        <f>IF(D258&lt;&gt;"",D258,IF(AND(F258="",G258=""),"",IF(J258&lt;&gt;"",IF(N(F258)&gt;0,"客户回款","客户退款"),IF(K258&lt;&gt;"",IF(N(G258)&gt;0,"供应商付款","供应商退款"),IF(L258&lt;&gt;"","费用支出","")))))</f>
      </c>
      <c r="P258" s="78">
        <f>IF(O258="","",IFERROR(INDEX(基础资料!$AE$5:$AE$34,MATCH(O258,基础资料!$AC$5:$AC$34,0)),"未知"))</f>
      </c>
      <c r="Q258" s="78">
        <f>IF(P258="应收",COUNTIF(P$7:P258,"应收"),"")</f>
      </c>
      <c r="R258" s="78">
        <f>IF(P258="应付",COUNTIF(P$7:P258,"应付"),"")</f>
      </c>
      <c r="S258" s="78">
        <f>N(F258)-N(G258)</f>
        <v>0</v>
      </c>
    </row>
    <row r="259">
      <c r="A259" s="109">
        <f>IF(AND(F259="",G259=""),"",ROW()-6)</f>
      </c>
      <c r="B259" s="140" t="n"/>
      <c r="C259" s="141" t="n"/>
      <c r="D259" s="141" t="n"/>
      <c r="E259" s="142" t="n"/>
      <c r="F259" s="143" t="n"/>
      <c r="G259" s="144" t="n"/>
      <c r="H259" s="145">
        <f>IF(OR(C259="",AND(F259="",G259="")),"",SUMIF(基础资料!$W$5:$W$24,C259,基础资料!$X$5:$X$24)+SUMIF(C$7:C259,C259,F$7:F259)-SUMIF(C$7:C259,C259,G$7:G259))</f>
      </c>
      <c r="I259" s="145">
        <f>IF(AND(F259="",G259=""),"",SUM(基础资料!$X$5:$X$24)+SUM(F$7:F259)-SUM(G$7:G259))</f>
      </c>
      <c r="J259" s="141" t="n"/>
      <c r="K259" s="141" t="n"/>
      <c r="L259" s="141" t="n"/>
      <c r="M259" s="142" t="n"/>
      <c r="N259" s="146">
        <f>IF(AND(AND(F259="",G259=""),B259="",C259="",D259="",J259="",K259="",L259=""),"",IF(AND(F259="",G259=""),"✗ 没填金额",IF(AND(N(F259)&lt;&gt;0,N(G259)&lt;&gt;0),"✗ 收入、支出只能填一边",IF(NOT(ISNUMBER(B259)),"✗ 日期不是真日期（要像 2026/9/25 这样填）",IF(OR(B259&lt;年初日,B259&gt;年末日),"✗ 日期不在本会计年度",IF(C259="","✗ 没选账户",IF(COUNTIF(基础资料!$W$5:$W$24,C259)=0,"✗ 账户不在基础资料里",IF(O259="","✗ 没选收支项目",IF(P259="未知","✗ 收支项目不在基础资料里",IF(AND(P259="应收",J259=""),"✗ 这笔要选客户",IF(AND(P259="应收",COUNTIF(总览汇总!$B$5:$B$304,J259)=0),"✗ 客户不在总览汇总名单里",IF(AND(P259="应付",K259=""),"✗ 这笔要选供应商",IF(AND(P259="应付",COUNTIF(基础资料!$Q$5:$Q$54,K259)=0),"✗ 供应商不在基础资料里",IF(AND(P259="费用",L259=""),"✗ 费用支出要选费用项目",IF(AND(L259&lt;&gt;"",COUNTIF(基础资料!$AI$5:$AI$54,L259)=0),"✗ 费用项目不在基础资料里",IF(AND(IFERROR(INDEX(基础资料!$AD$5:$AD$34,MATCH(O259,基础资料!$AC$5:$AC$34,0)),"")="收",N(G259)&lt;&gt;0),"✗ 这类是收款，金额填到收入列",IF(AND(IFERROR(INDEX(基础资料!$AD$5:$AD$34,MATCH(O259,基础资料!$AC$5:$AC$34,0)),"")="支",N(F259)&lt;&gt;0),"✗ 这类是付款，金额填到支出列",IF(N(H259)&lt;0,"⚠ 账户余额成负数了，核对一下","√"))))))))))))))))))</f>
      </c>
      <c r="O259" s="78">
        <f>IF(D259&lt;&gt;"",D259,IF(AND(F259="",G259=""),"",IF(J259&lt;&gt;"",IF(N(F259)&gt;0,"客户回款","客户退款"),IF(K259&lt;&gt;"",IF(N(G259)&gt;0,"供应商付款","供应商退款"),IF(L259&lt;&gt;"","费用支出","")))))</f>
      </c>
      <c r="P259" s="78">
        <f>IF(O259="","",IFERROR(INDEX(基础资料!$AE$5:$AE$34,MATCH(O259,基础资料!$AC$5:$AC$34,0)),"未知"))</f>
      </c>
      <c r="Q259" s="78">
        <f>IF(P259="应收",COUNTIF(P$7:P259,"应收"),"")</f>
      </c>
      <c r="R259" s="78">
        <f>IF(P259="应付",COUNTIF(P$7:P259,"应付"),"")</f>
      </c>
      <c r="S259" s="78">
        <f>N(F259)-N(G259)</f>
        <v>0</v>
      </c>
    </row>
    <row r="260">
      <c r="A260" s="109">
        <f>IF(AND(F260="",G260=""),"",ROW()-6)</f>
      </c>
      <c r="B260" s="140" t="n"/>
      <c r="C260" s="141" t="n"/>
      <c r="D260" s="141" t="n"/>
      <c r="E260" s="142" t="n"/>
      <c r="F260" s="143" t="n"/>
      <c r="G260" s="144" t="n"/>
      <c r="H260" s="145">
        <f>IF(OR(C260="",AND(F260="",G260="")),"",SUMIF(基础资料!$W$5:$W$24,C260,基础资料!$X$5:$X$24)+SUMIF(C$7:C260,C260,F$7:F260)-SUMIF(C$7:C260,C260,G$7:G260))</f>
      </c>
      <c r="I260" s="145">
        <f>IF(AND(F260="",G260=""),"",SUM(基础资料!$X$5:$X$24)+SUM(F$7:F260)-SUM(G$7:G260))</f>
      </c>
      <c r="J260" s="141" t="n"/>
      <c r="K260" s="141" t="n"/>
      <c r="L260" s="141" t="n"/>
      <c r="M260" s="142" t="n"/>
      <c r="N260" s="146">
        <f>IF(AND(AND(F260="",G260=""),B260="",C260="",D260="",J260="",K260="",L260=""),"",IF(AND(F260="",G260=""),"✗ 没填金额",IF(AND(N(F260)&lt;&gt;0,N(G260)&lt;&gt;0),"✗ 收入、支出只能填一边",IF(NOT(ISNUMBER(B260)),"✗ 日期不是真日期（要像 2026/9/25 这样填）",IF(OR(B260&lt;年初日,B260&gt;年末日),"✗ 日期不在本会计年度",IF(C260="","✗ 没选账户",IF(COUNTIF(基础资料!$W$5:$W$24,C260)=0,"✗ 账户不在基础资料里",IF(O260="","✗ 没选收支项目",IF(P260="未知","✗ 收支项目不在基础资料里",IF(AND(P260="应收",J260=""),"✗ 这笔要选客户",IF(AND(P260="应收",COUNTIF(总览汇总!$B$5:$B$304,J260)=0),"✗ 客户不在总览汇总名单里",IF(AND(P260="应付",K260=""),"✗ 这笔要选供应商",IF(AND(P260="应付",COUNTIF(基础资料!$Q$5:$Q$54,K260)=0),"✗ 供应商不在基础资料里",IF(AND(P260="费用",L260=""),"✗ 费用支出要选费用项目",IF(AND(L260&lt;&gt;"",COUNTIF(基础资料!$AI$5:$AI$54,L260)=0),"✗ 费用项目不在基础资料里",IF(AND(IFERROR(INDEX(基础资料!$AD$5:$AD$34,MATCH(O260,基础资料!$AC$5:$AC$34,0)),"")="收",N(G260)&lt;&gt;0),"✗ 这类是收款，金额填到收入列",IF(AND(IFERROR(INDEX(基础资料!$AD$5:$AD$34,MATCH(O260,基础资料!$AC$5:$AC$34,0)),"")="支",N(F260)&lt;&gt;0),"✗ 这类是付款，金额填到支出列",IF(N(H260)&lt;0,"⚠ 账户余额成负数了，核对一下","√"))))))))))))))))))</f>
      </c>
      <c r="O260" s="78">
        <f>IF(D260&lt;&gt;"",D260,IF(AND(F260="",G260=""),"",IF(J260&lt;&gt;"",IF(N(F260)&gt;0,"客户回款","客户退款"),IF(K260&lt;&gt;"",IF(N(G260)&gt;0,"供应商付款","供应商退款"),IF(L260&lt;&gt;"","费用支出","")))))</f>
      </c>
      <c r="P260" s="78">
        <f>IF(O260="","",IFERROR(INDEX(基础资料!$AE$5:$AE$34,MATCH(O260,基础资料!$AC$5:$AC$34,0)),"未知"))</f>
      </c>
      <c r="Q260" s="78">
        <f>IF(P260="应收",COUNTIF(P$7:P260,"应收"),"")</f>
      </c>
      <c r="R260" s="78">
        <f>IF(P260="应付",COUNTIF(P$7:P260,"应付"),"")</f>
      </c>
      <c r="S260" s="78">
        <f>N(F260)-N(G260)</f>
        <v>0</v>
      </c>
    </row>
    <row r="261">
      <c r="A261" s="109">
        <f>IF(AND(F261="",G261=""),"",ROW()-6)</f>
      </c>
      <c r="B261" s="140" t="n"/>
      <c r="C261" s="141" t="n"/>
      <c r="D261" s="141" t="n"/>
      <c r="E261" s="142" t="n"/>
      <c r="F261" s="143" t="n"/>
      <c r="G261" s="144" t="n"/>
      <c r="H261" s="145">
        <f>IF(OR(C261="",AND(F261="",G261="")),"",SUMIF(基础资料!$W$5:$W$24,C261,基础资料!$X$5:$X$24)+SUMIF(C$7:C261,C261,F$7:F261)-SUMIF(C$7:C261,C261,G$7:G261))</f>
      </c>
      <c r="I261" s="145">
        <f>IF(AND(F261="",G261=""),"",SUM(基础资料!$X$5:$X$24)+SUM(F$7:F261)-SUM(G$7:G261))</f>
      </c>
      <c r="J261" s="141" t="n"/>
      <c r="K261" s="141" t="n"/>
      <c r="L261" s="141" t="n"/>
      <c r="M261" s="142" t="n"/>
      <c r="N261" s="146">
        <f>IF(AND(AND(F261="",G261=""),B261="",C261="",D261="",J261="",K261="",L261=""),"",IF(AND(F261="",G261=""),"✗ 没填金额",IF(AND(N(F261)&lt;&gt;0,N(G261)&lt;&gt;0),"✗ 收入、支出只能填一边",IF(NOT(ISNUMBER(B261)),"✗ 日期不是真日期（要像 2026/9/25 这样填）",IF(OR(B261&lt;年初日,B261&gt;年末日),"✗ 日期不在本会计年度",IF(C261="","✗ 没选账户",IF(COUNTIF(基础资料!$W$5:$W$24,C261)=0,"✗ 账户不在基础资料里",IF(O261="","✗ 没选收支项目",IF(P261="未知","✗ 收支项目不在基础资料里",IF(AND(P261="应收",J261=""),"✗ 这笔要选客户",IF(AND(P261="应收",COUNTIF(总览汇总!$B$5:$B$304,J261)=0),"✗ 客户不在总览汇总名单里",IF(AND(P261="应付",K261=""),"✗ 这笔要选供应商",IF(AND(P261="应付",COUNTIF(基础资料!$Q$5:$Q$54,K261)=0),"✗ 供应商不在基础资料里",IF(AND(P261="费用",L261=""),"✗ 费用支出要选费用项目",IF(AND(L261&lt;&gt;"",COUNTIF(基础资料!$AI$5:$AI$54,L261)=0),"✗ 费用项目不在基础资料里",IF(AND(IFERROR(INDEX(基础资料!$AD$5:$AD$34,MATCH(O261,基础资料!$AC$5:$AC$34,0)),"")="收",N(G261)&lt;&gt;0),"✗ 这类是收款，金额填到收入列",IF(AND(IFERROR(INDEX(基础资料!$AD$5:$AD$34,MATCH(O261,基础资料!$AC$5:$AC$34,0)),"")="支",N(F261)&lt;&gt;0),"✗ 这类是付款，金额填到支出列",IF(N(H261)&lt;0,"⚠ 账户余额成负数了，核对一下","√"))))))))))))))))))</f>
      </c>
      <c r="O261" s="78">
        <f>IF(D261&lt;&gt;"",D261,IF(AND(F261="",G261=""),"",IF(J261&lt;&gt;"",IF(N(F261)&gt;0,"客户回款","客户退款"),IF(K261&lt;&gt;"",IF(N(G261)&gt;0,"供应商付款","供应商退款"),IF(L261&lt;&gt;"","费用支出","")))))</f>
      </c>
      <c r="P261" s="78">
        <f>IF(O261="","",IFERROR(INDEX(基础资料!$AE$5:$AE$34,MATCH(O261,基础资料!$AC$5:$AC$34,0)),"未知"))</f>
      </c>
      <c r="Q261" s="78">
        <f>IF(P261="应收",COUNTIF(P$7:P261,"应收"),"")</f>
      </c>
      <c r="R261" s="78">
        <f>IF(P261="应付",COUNTIF(P$7:P261,"应付"),"")</f>
      </c>
      <c r="S261" s="78">
        <f>N(F261)-N(G261)</f>
        <v>0</v>
      </c>
    </row>
    <row r="262">
      <c r="A262" s="109">
        <f>IF(AND(F262="",G262=""),"",ROW()-6)</f>
      </c>
      <c r="B262" s="140" t="n"/>
      <c r="C262" s="141" t="n"/>
      <c r="D262" s="141" t="n"/>
      <c r="E262" s="142" t="n"/>
      <c r="F262" s="143" t="n"/>
      <c r="G262" s="144" t="n"/>
      <c r="H262" s="145">
        <f>IF(OR(C262="",AND(F262="",G262="")),"",SUMIF(基础资料!$W$5:$W$24,C262,基础资料!$X$5:$X$24)+SUMIF(C$7:C262,C262,F$7:F262)-SUMIF(C$7:C262,C262,G$7:G262))</f>
      </c>
      <c r="I262" s="145">
        <f>IF(AND(F262="",G262=""),"",SUM(基础资料!$X$5:$X$24)+SUM(F$7:F262)-SUM(G$7:G262))</f>
      </c>
      <c r="J262" s="141" t="n"/>
      <c r="K262" s="141" t="n"/>
      <c r="L262" s="141" t="n"/>
      <c r="M262" s="142" t="n"/>
      <c r="N262" s="146">
        <f>IF(AND(AND(F262="",G262=""),B262="",C262="",D262="",J262="",K262="",L262=""),"",IF(AND(F262="",G262=""),"✗ 没填金额",IF(AND(N(F262)&lt;&gt;0,N(G262)&lt;&gt;0),"✗ 收入、支出只能填一边",IF(NOT(ISNUMBER(B262)),"✗ 日期不是真日期（要像 2026/9/25 这样填）",IF(OR(B262&lt;年初日,B262&gt;年末日),"✗ 日期不在本会计年度",IF(C262="","✗ 没选账户",IF(COUNTIF(基础资料!$W$5:$W$24,C262)=0,"✗ 账户不在基础资料里",IF(O262="","✗ 没选收支项目",IF(P262="未知","✗ 收支项目不在基础资料里",IF(AND(P262="应收",J262=""),"✗ 这笔要选客户",IF(AND(P262="应收",COUNTIF(总览汇总!$B$5:$B$304,J262)=0),"✗ 客户不在总览汇总名单里",IF(AND(P262="应付",K262=""),"✗ 这笔要选供应商",IF(AND(P262="应付",COUNTIF(基础资料!$Q$5:$Q$54,K262)=0),"✗ 供应商不在基础资料里",IF(AND(P262="费用",L262=""),"✗ 费用支出要选费用项目",IF(AND(L262&lt;&gt;"",COUNTIF(基础资料!$AI$5:$AI$54,L262)=0),"✗ 费用项目不在基础资料里",IF(AND(IFERROR(INDEX(基础资料!$AD$5:$AD$34,MATCH(O262,基础资料!$AC$5:$AC$34,0)),"")="收",N(G262)&lt;&gt;0),"✗ 这类是收款，金额填到收入列",IF(AND(IFERROR(INDEX(基础资料!$AD$5:$AD$34,MATCH(O262,基础资料!$AC$5:$AC$34,0)),"")="支",N(F262)&lt;&gt;0),"✗ 这类是付款，金额填到支出列",IF(N(H262)&lt;0,"⚠ 账户余额成负数了，核对一下","√"))))))))))))))))))</f>
      </c>
      <c r="O262" s="78">
        <f>IF(D262&lt;&gt;"",D262,IF(AND(F262="",G262=""),"",IF(J262&lt;&gt;"",IF(N(F262)&gt;0,"客户回款","客户退款"),IF(K262&lt;&gt;"",IF(N(G262)&gt;0,"供应商付款","供应商退款"),IF(L262&lt;&gt;"","费用支出","")))))</f>
      </c>
      <c r="P262" s="78">
        <f>IF(O262="","",IFERROR(INDEX(基础资料!$AE$5:$AE$34,MATCH(O262,基础资料!$AC$5:$AC$34,0)),"未知"))</f>
      </c>
      <c r="Q262" s="78">
        <f>IF(P262="应收",COUNTIF(P$7:P262,"应收"),"")</f>
      </c>
      <c r="R262" s="78">
        <f>IF(P262="应付",COUNTIF(P$7:P262,"应付"),"")</f>
      </c>
      <c r="S262" s="78">
        <f>N(F262)-N(G262)</f>
        <v>0</v>
      </c>
    </row>
    <row r="263">
      <c r="A263" s="109">
        <f>IF(AND(F263="",G263=""),"",ROW()-6)</f>
      </c>
      <c r="B263" s="140" t="n"/>
      <c r="C263" s="141" t="n"/>
      <c r="D263" s="141" t="n"/>
      <c r="E263" s="142" t="n"/>
      <c r="F263" s="143" t="n"/>
      <c r="G263" s="144" t="n"/>
      <c r="H263" s="145">
        <f>IF(OR(C263="",AND(F263="",G263="")),"",SUMIF(基础资料!$W$5:$W$24,C263,基础资料!$X$5:$X$24)+SUMIF(C$7:C263,C263,F$7:F263)-SUMIF(C$7:C263,C263,G$7:G263))</f>
      </c>
      <c r="I263" s="145">
        <f>IF(AND(F263="",G263=""),"",SUM(基础资料!$X$5:$X$24)+SUM(F$7:F263)-SUM(G$7:G263))</f>
      </c>
      <c r="J263" s="141" t="n"/>
      <c r="K263" s="141" t="n"/>
      <c r="L263" s="141" t="n"/>
      <c r="M263" s="142" t="n"/>
      <c r="N263" s="146">
        <f>IF(AND(AND(F263="",G263=""),B263="",C263="",D263="",J263="",K263="",L263=""),"",IF(AND(F263="",G263=""),"✗ 没填金额",IF(AND(N(F263)&lt;&gt;0,N(G263)&lt;&gt;0),"✗ 收入、支出只能填一边",IF(NOT(ISNUMBER(B263)),"✗ 日期不是真日期（要像 2026/9/25 这样填）",IF(OR(B263&lt;年初日,B263&gt;年末日),"✗ 日期不在本会计年度",IF(C263="","✗ 没选账户",IF(COUNTIF(基础资料!$W$5:$W$24,C263)=0,"✗ 账户不在基础资料里",IF(O263="","✗ 没选收支项目",IF(P263="未知","✗ 收支项目不在基础资料里",IF(AND(P263="应收",J263=""),"✗ 这笔要选客户",IF(AND(P263="应收",COUNTIF(总览汇总!$B$5:$B$304,J263)=0),"✗ 客户不在总览汇总名单里",IF(AND(P263="应付",K263=""),"✗ 这笔要选供应商",IF(AND(P263="应付",COUNTIF(基础资料!$Q$5:$Q$54,K263)=0),"✗ 供应商不在基础资料里",IF(AND(P263="费用",L263=""),"✗ 费用支出要选费用项目",IF(AND(L263&lt;&gt;"",COUNTIF(基础资料!$AI$5:$AI$54,L263)=0),"✗ 费用项目不在基础资料里",IF(AND(IFERROR(INDEX(基础资料!$AD$5:$AD$34,MATCH(O263,基础资料!$AC$5:$AC$34,0)),"")="收",N(G263)&lt;&gt;0),"✗ 这类是收款，金额填到收入列",IF(AND(IFERROR(INDEX(基础资料!$AD$5:$AD$34,MATCH(O263,基础资料!$AC$5:$AC$34,0)),"")="支",N(F263)&lt;&gt;0),"✗ 这类是付款，金额填到支出列",IF(N(H263)&lt;0,"⚠ 账户余额成负数了，核对一下","√"))))))))))))))))))</f>
      </c>
      <c r="O263" s="78">
        <f>IF(D263&lt;&gt;"",D263,IF(AND(F263="",G263=""),"",IF(J263&lt;&gt;"",IF(N(F263)&gt;0,"客户回款","客户退款"),IF(K263&lt;&gt;"",IF(N(G263)&gt;0,"供应商付款","供应商退款"),IF(L263&lt;&gt;"","费用支出","")))))</f>
      </c>
      <c r="P263" s="78">
        <f>IF(O263="","",IFERROR(INDEX(基础资料!$AE$5:$AE$34,MATCH(O263,基础资料!$AC$5:$AC$34,0)),"未知"))</f>
      </c>
      <c r="Q263" s="78">
        <f>IF(P263="应收",COUNTIF(P$7:P263,"应收"),"")</f>
      </c>
      <c r="R263" s="78">
        <f>IF(P263="应付",COUNTIF(P$7:P263,"应付"),"")</f>
      </c>
      <c r="S263" s="78">
        <f>N(F263)-N(G263)</f>
        <v>0</v>
      </c>
    </row>
    <row r="264">
      <c r="A264" s="109">
        <f>IF(AND(F264="",G264=""),"",ROW()-6)</f>
      </c>
      <c r="B264" s="140" t="n"/>
      <c r="C264" s="141" t="n"/>
      <c r="D264" s="141" t="n"/>
      <c r="E264" s="142" t="n"/>
      <c r="F264" s="143" t="n"/>
      <c r="G264" s="144" t="n"/>
      <c r="H264" s="145">
        <f>IF(OR(C264="",AND(F264="",G264="")),"",SUMIF(基础资料!$W$5:$W$24,C264,基础资料!$X$5:$X$24)+SUMIF(C$7:C264,C264,F$7:F264)-SUMIF(C$7:C264,C264,G$7:G264))</f>
      </c>
      <c r="I264" s="145">
        <f>IF(AND(F264="",G264=""),"",SUM(基础资料!$X$5:$X$24)+SUM(F$7:F264)-SUM(G$7:G264))</f>
      </c>
      <c r="J264" s="141" t="n"/>
      <c r="K264" s="141" t="n"/>
      <c r="L264" s="141" t="n"/>
      <c r="M264" s="142" t="n"/>
      <c r="N264" s="146">
        <f>IF(AND(AND(F264="",G264=""),B264="",C264="",D264="",J264="",K264="",L264=""),"",IF(AND(F264="",G264=""),"✗ 没填金额",IF(AND(N(F264)&lt;&gt;0,N(G264)&lt;&gt;0),"✗ 收入、支出只能填一边",IF(NOT(ISNUMBER(B264)),"✗ 日期不是真日期（要像 2026/9/25 这样填）",IF(OR(B264&lt;年初日,B264&gt;年末日),"✗ 日期不在本会计年度",IF(C264="","✗ 没选账户",IF(COUNTIF(基础资料!$W$5:$W$24,C264)=0,"✗ 账户不在基础资料里",IF(O264="","✗ 没选收支项目",IF(P264="未知","✗ 收支项目不在基础资料里",IF(AND(P264="应收",J264=""),"✗ 这笔要选客户",IF(AND(P264="应收",COUNTIF(总览汇总!$B$5:$B$304,J264)=0),"✗ 客户不在总览汇总名单里",IF(AND(P264="应付",K264=""),"✗ 这笔要选供应商",IF(AND(P264="应付",COUNTIF(基础资料!$Q$5:$Q$54,K264)=0),"✗ 供应商不在基础资料里",IF(AND(P264="费用",L264=""),"✗ 费用支出要选费用项目",IF(AND(L264&lt;&gt;"",COUNTIF(基础资料!$AI$5:$AI$54,L264)=0),"✗ 费用项目不在基础资料里",IF(AND(IFERROR(INDEX(基础资料!$AD$5:$AD$34,MATCH(O264,基础资料!$AC$5:$AC$34,0)),"")="收",N(G264)&lt;&gt;0),"✗ 这类是收款，金额填到收入列",IF(AND(IFERROR(INDEX(基础资料!$AD$5:$AD$34,MATCH(O264,基础资料!$AC$5:$AC$34,0)),"")="支",N(F264)&lt;&gt;0),"✗ 这类是付款，金额填到支出列",IF(N(H264)&lt;0,"⚠ 账户余额成负数了，核对一下","√"))))))))))))))))))</f>
      </c>
      <c r="O264" s="78">
        <f>IF(D264&lt;&gt;"",D264,IF(AND(F264="",G264=""),"",IF(J264&lt;&gt;"",IF(N(F264)&gt;0,"客户回款","客户退款"),IF(K264&lt;&gt;"",IF(N(G264)&gt;0,"供应商付款","供应商退款"),IF(L264&lt;&gt;"","费用支出","")))))</f>
      </c>
      <c r="P264" s="78">
        <f>IF(O264="","",IFERROR(INDEX(基础资料!$AE$5:$AE$34,MATCH(O264,基础资料!$AC$5:$AC$34,0)),"未知"))</f>
      </c>
      <c r="Q264" s="78">
        <f>IF(P264="应收",COUNTIF(P$7:P264,"应收"),"")</f>
      </c>
      <c r="R264" s="78">
        <f>IF(P264="应付",COUNTIF(P$7:P264,"应付"),"")</f>
      </c>
      <c r="S264" s="78">
        <f>N(F264)-N(G264)</f>
        <v>0</v>
      </c>
    </row>
    <row r="265">
      <c r="A265" s="109">
        <f>IF(AND(F265="",G265=""),"",ROW()-6)</f>
      </c>
      <c r="B265" s="140" t="n"/>
      <c r="C265" s="141" t="n"/>
      <c r="D265" s="141" t="n"/>
      <c r="E265" s="142" t="n"/>
      <c r="F265" s="143" t="n"/>
      <c r="G265" s="144" t="n"/>
      <c r="H265" s="145">
        <f>IF(OR(C265="",AND(F265="",G265="")),"",SUMIF(基础资料!$W$5:$W$24,C265,基础资料!$X$5:$X$24)+SUMIF(C$7:C265,C265,F$7:F265)-SUMIF(C$7:C265,C265,G$7:G265))</f>
      </c>
      <c r="I265" s="145">
        <f>IF(AND(F265="",G265=""),"",SUM(基础资料!$X$5:$X$24)+SUM(F$7:F265)-SUM(G$7:G265))</f>
      </c>
      <c r="J265" s="141" t="n"/>
      <c r="K265" s="141" t="n"/>
      <c r="L265" s="141" t="n"/>
      <c r="M265" s="142" t="n"/>
      <c r="N265" s="146">
        <f>IF(AND(AND(F265="",G265=""),B265="",C265="",D265="",J265="",K265="",L265=""),"",IF(AND(F265="",G265=""),"✗ 没填金额",IF(AND(N(F265)&lt;&gt;0,N(G265)&lt;&gt;0),"✗ 收入、支出只能填一边",IF(NOT(ISNUMBER(B265)),"✗ 日期不是真日期（要像 2026/9/25 这样填）",IF(OR(B265&lt;年初日,B265&gt;年末日),"✗ 日期不在本会计年度",IF(C265="","✗ 没选账户",IF(COUNTIF(基础资料!$W$5:$W$24,C265)=0,"✗ 账户不在基础资料里",IF(O265="","✗ 没选收支项目",IF(P265="未知","✗ 收支项目不在基础资料里",IF(AND(P265="应收",J265=""),"✗ 这笔要选客户",IF(AND(P265="应收",COUNTIF(总览汇总!$B$5:$B$304,J265)=0),"✗ 客户不在总览汇总名单里",IF(AND(P265="应付",K265=""),"✗ 这笔要选供应商",IF(AND(P265="应付",COUNTIF(基础资料!$Q$5:$Q$54,K265)=0),"✗ 供应商不在基础资料里",IF(AND(P265="费用",L265=""),"✗ 费用支出要选费用项目",IF(AND(L265&lt;&gt;"",COUNTIF(基础资料!$AI$5:$AI$54,L265)=0),"✗ 费用项目不在基础资料里",IF(AND(IFERROR(INDEX(基础资料!$AD$5:$AD$34,MATCH(O265,基础资料!$AC$5:$AC$34,0)),"")="收",N(G265)&lt;&gt;0),"✗ 这类是收款，金额填到收入列",IF(AND(IFERROR(INDEX(基础资料!$AD$5:$AD$34,MATCH(O265,基础资料!$AC$5:$AC$34,0)),"")="支",N(F265)&lt;&gt;0),"✗ 这类是付款，金额填到支出列",IF(N(H265)&lt;0,"⚠ 账户余额成负数了，核对一下","√"))))))))))))))))))</f>
      </c>
      <c r="O265" s="78">
        <f>IF(D265&lt;&gt;"",D265,IF(AND(F265="",G265=""),"",IF(J265&lt;&gt;"",IF(N(F265)&gt;0,"客户回款","客户退款"),IF(K265&lt;&gt;"",IF(N(G265)&gt;0,"供应商付款","供应商退款"),IF(L265&lt;&gt;"","费用支出","")))))</f>
      </c>
      <c r="P265" s="78">
        <f>IF(O265="","",IFERROR(INDEX(基础资料!$AE$5:$AE$34,MATCH(O265,基础资料!$AC$5:$AC$34,0)),"未知"))</f>
      </c>
      <c r="Q265" s="78">
        <f>IF(P265="应收",COUNTIF(P$7:P265,"应收"),"")</f>
      </c>
      <c r="R265" s="78">
        <f>IF(P265="应付",COUNTIF(P$7:P265,"应付"),"")</f>
      </c>
      <c r="S265" s="78">
        <f>N(F265)-N(G265)</f>
        <v>0</v>
      </c>
    </row>
    <row r="266">
      <c r="A266" s="109">
        <f>IF(AND(F266="",G266=""),"",ROW()-6)</f>
      </c>
      <c r="B266" s="140" t="n"/>
      <c r="C266" s="141" t="n"/>
      <c r="D266" s="141" t="n"/>
      <c r="E266" s="142" t="n"/>
      <c r="F266" s="143" t="n"/>
      <c r="G266" s="144" t="n"/>
      <c r="H266" s="145">
        <f>IF(OR(C266="",AND(F266="",G266="")),"",SUMIF(基础资料!$W$5:$W$24,C266,基础资料!$X$5:$X$24)+SUMIF(C$7:C266,C266,F$7:F266)-SUMIF(C$7:C266,C266,G$7:G266))</f>
      </c>
      <c r="I266" s="145">
        <f>IF(AND(F266="",G266=""),"",SUM(基础资料!$X$5:$X$24)+SUM(F$7:F266)-SUM(G$7:G266))</f>
      </c>
      <c r="J266" s="141" t="n"/>
      <c r="K266" s="141" t="n"/>
      <c r="L266" s="141" t="n"/>
      <c r="M266" s="142" t="n"/>
      <c r="N266" s="146">
        <f>IF(AND(AND(F266="",G266=""),B266="",C266="",D266="",J266="",K266="",L266=""),"",IF(AND(F266="",G266=""),"✗ 没填金额",IF(AND(N(F266)&lt;&gt;0,N(G266)&lt;&gt;0),"✗ 收入、支出只能填一边",IF(NOT(ISNUMBER(B266)),"✗ 日期不是真日期（要像 2026/9/25 这样填）",IF(OR(B266&lt;年初日,B266&gt;年末日),"✗ 日期不在本会计年度",IF(C266="","✗ 没选账户",IF(COUNTIF(基础资料!$W$5:$W$24,C266)=0,"✗ 账户不在基础资料里",IF(O266="","✗ 没选收支项目",IF(P266="未知","✗ 收支项目不在基础资料里",IF(AND(P266="应收",J266=""),"✗ 这笔要选客户",IF(AND(P266="应收",COUNTIF(总览汇总!$B$5:$B$304,J266)=0),"✗ 客户不在总览汇总名单里",IF(AND(P266="应付",K266=""),"✗ 这笔要选供应商",IF(AND(P266="应付",COUNTIF(基础资料!$Q$5:$Q$54,K266)=0),"✗ 供应商不在基础资料里",IF(AND(P266="费用",L266=""),"✗ 费用支出要选费用项目",IF(AND(L266&lt;&gt;"",COUNTIF(基础资料!$AI$5:$AI$54,L266)=0),"✗ 费用项目不在基础资料里",IF(AND(IFERROR(INDEX(基础资料!$AD$5:$AD$34,MATCH(O266,基础资料!$AC$5:$AC$34,0)),"")="收",N(G266)&lt;&gt;0),"✗ 这类是收款，金额填到收入列",IF(AND(IFERROR(INDEX(基础资料!$AD$5:$AD$34,MATCH(O266,基础资料!$AC$5:$AC$34,0)),"")="支",N(F266)&lt;&gt;0),"✗ 这类是付款，金额填到支出列",IF(N(H266)&lt;0,"⚠ 账户余额成负数了，核对一下","√"))))))))))))))))))</f>
      </c>
      <c r="O266" s="78">
        <f>IF(D266&lt;&gt;"",D266,IF(AND(F266="",G266=""),"",IF(J266&lt;&gt;"",IF(N(F266)&gt;0,"客户回款","客户退款"),IF(K266&lt;&gt;"",IF(N(G266)&gt;0,"供应商付款","供应商退款"),IF(L266&lt;&gt;"","费用支出","")))))</f>
      </c>
      <c r="P266" s="78">
        <f>IF(O266="","",IFERROR(INDEX(基础资料!$AE$5:$AE$34,MATCH(O266,基础资料!$AC$5:$AC$34,0)),"未知"))</f>
      </c>
      <c r="Q266" s="78">
        <f>IF(P266="应收",COUNTIF(P$7:P266,"应收"),"")</f>
      </c>
      <c r="R266" s="78">
        <f>IF(P266="应付",COUNTIF(P$7:P266,"应付"),"")</f>
      </c>
      <c r="S266" s="78">
        <f>N(F266)-N(G266)</f>
        <v>0</v>
      </c>
    </row>
    <row r="267">
      <c r="A267" s="109">
        <f>IF(AND(F267="",G267=""),"",ROW()-6)</f>
      </c>
      <c r="B267" s="140" t="n"/>
      <c r="C267" s="141" t="n"/>
      <c r="D267" s="141" t="n"/>
      <c r="E267" s="142" t="n"/>
      <c r="F267" s="143" t="n"/>
      <c r="G267" s="144" t="n"/>
      <c r="H267" s="145">
        <f>IF(OR(C267="",AND(F267="",G267="")),"",SUMIF(基础资料!$W$5:$W$24,C267,基础资料!$X$5:$X$24)+SUMIF(C$7:C267,C267,F$7:F267)-SUMIF(C$7:C267,C267,G$7:G267))</f>
      </c>
      <c r="I267" s="145">
        <f>IF(AND(F267="",G267=""),"",SUM(基础资料!$X$5:$X$24)+SUM(F$7:F267)-SUM(G$7:G267))</f>
      </c>
      <c r="J267" s="141" t="n"/>
      <c r="K267" s="141" t="n"/>
      <c r="L267" s="141" t="n"/>
      <c r="M267" s="142" t="n"/>
      <c r="N267" s="146">
        <f>IF(AND(AND(F267="",G267=""),B267="",C267="",D267="",J267="",K267="",L267=""),"",IF(AND(F267="",G267=""),"✗ 没填金额",IF(AND(N(F267)&lt;&gt;0,N(G267)&lt;&gt;0),"✗ 收入、支出只能填一边",IF(NOT(ISNUMBER(B267)),"✗ 日期不是真日期（要像 2026/9/25 这样填）",IF(OR(B267&lt;年初日,B267&gt;年末日),"✗ 日期不在本会计年度",IF(C267="","✗ 没选账户",IF(COUNTIF(基础资料!$W$5:$W$24,C267)=0,"✗ 账户不在基础资料里",IF(O267="","✗ 没选收支项目",IF(P267="未知","✗ 收支项目不在基础资料里",IF(AND(P267="应收",J267=""),"✗ 这笔要选客户",IF(AND(P267="应收",COUNTIF(总览汇总!$B$5:$B$304,J267)=0),"✗ 客户不在总览汇总名单里",IF(AND(P267="应付",K267=""),"✗ 这笔要选供应商",IF(AND(P267="应付",COUNTIF(基础资料!$Q$5:$Q$54,K267)=0),"✗ 供应商不在基础资料里",IF(AND(P267="费用",L267=""),"✗ 费用支出要选费用项目",IF(AND(L267&lt;&gt;"",COUNTIF(基础资料!$AI$5:$AI$54,L267)=0),"✗ 费用项目不在基础资料里",IF(AND(IFERROR(INDEX(基础资料!$AD$5:$AD$34,MATCH(O267,基础资料!$AC$5:$AC$34,0)),"")="收",N(G267)&lt;&gt;0),"✗ 这类是收款，金额填到收入列",IF(AND(IFERROR(INDEX(基础资料!$AD$5:$AD$34,MATCH(O267,基础资料!$AC$5:$AC$34,0)),"")="支",N(F267)&lt;&gt;0),"✗ 这类是付款，金额填到支出列",IF(N(H267)&lt;0,"⚠ 账户余额成负数了，核对一下","√"))))))))))))))))))</f>
      </c>
      <c r="O267" s="78">
        <f>IF(D267&lt;&gt;"",D267,IF(AND(F267="",G267=""),"",IF(J267&lt;&gt;"",IF(N(F267)&gt;0,"客户回款","客户退款"),IF(K267&lt;&gt;"",IF(N(G267)&gt;0,"供应商付款","供应商退款"),IF(L267&lt;&gt;"","费用支出","")))))</f>
      </c>
      <c r="P267" s="78">
        <f>IF(O267="","",IFERROR(INDEX(基础资料!$AE$5:$AE$34,MATCH(O267,基础资料!$AC$5:$AC$34,0)),"未知"))</f>
      </c>
      <c r="Q267" s="78">
        <f>IF(P267="应收",COUNTIF(P$7:P267,"应收"),"")</f>
      </c>
      <c r="R267" s="78">
        <f>IF(P267="应付",COUNTIF(P$7:P267,"应付"),"")</f>
      </c>
      <c r="S267" s="78">
        <f>N(F267)-N(G267)</f>
        <v>0</v>
      </c>
    </row>
    <row r="268">
      <c r="A268" s="109">
        <f>IF(AND(F268="",G268=""),"",ROW()-6)</f>
      </c>
      <c r="B268" s="140" t="n"/>
      <c r="C268" s="141" t="n"/>
      <c r="D268" s="141" t="n"/>
      <c r="E268" s="142" t="n"/>
      <c r="F268" s="143" t="n"/>
      <c r="G268" s="144" t="n"/>
      <c r="H268" s="145">
        <f>IF(OR(C268="",AND(F268="",G268="")),"",SUMIF(基础资料!$W$5:$W$24,C268,基础资料!$X$5:$X$24)+SUMIF(C$7:C268,C268,F$7:F268)-SUMIF(C$7:C268,C268,G$7:G268))</f>
      </c>
      <c r="I268" s="145">
        <f>IF(AND(F268="",G268=""),"",SUM(基础资料!$X$5:$X$24)+SUM(F$7:F268)-SUM(G$7:G268))</f>
      </c>
      <c r="J268" s="141" t="n"/>
      <c r="K268" s="141" t="n"/>
      <c r="L268" s="141" t="n"/>
      <c r="M268" s="142" t="n"/>
      <c r="N268" s="146">
        <f>IF(AND(AND(F268="",G268=""),B268="",C268="",D268="",J268="",K268="",L268=""),"",IF(AND(F268="",G268=""),"✗ 没填金额",IF(AND(N(F268)&lt;&gt;0,N(G268)&lt;&gt;0),"✗ 收入、支出只能填一边",IF(NOT(ISNUMBER(B268)),"✗ 日期不是真日期（要像 2026/9/25 这样填）",IF(OR(B268&lt;年初日,B268&gt;年末日),"✗ 日期不在本会计年度",IF(C268="","✗ 没选账户",IF(COUNTIF(基础资料!$W$5:$W$24,C268)=0,"✗ 账户不在基础资料里",IF(O268="","✗ 没选收支项目",IF(P268="未知","✗ 收支项目不在基础资料里",IF(AND(P268="应收",J268=""),"✗ 这笔要选客户",IF(AND(P268="应收",COUNTIF(总览汇总!$B$5:$B$304,J268)=0),"✗ 客户不在总览汇总名单里",IF(AND(P268="应付",K268=""),"✗ 这笔要选供应商",IF(AND(P268="应付",COUNTIF(基础资料!$Q$5:$Q$54,K268)=0),"✗ 供应商不在基础资料里",IF(AND(P268="费用",L268=""),"✗ 费用支出要选费用项目",IF(AND(L268&lt;&gt;"",COUNTIF(基础资料!$AI$5:$AI$54,L268)=0),"✗ 费用项目不在基础资料里",IF(AND(IFERROR(INDEX(基础资料!$AD$5:$AD$34,MATCH(O268,基础资料!$AC$5:$AC$34,0)),"")="收",N(G268)&lt;&gt;0),"✗ 这类是收款，金额填到收入列",IF(AND(IFERROR(INDEX(基础资料!$AD$5:$AD$34,MATCH(O268,基础资料!$AC$5:$AC$34,0)),"")="支",N(F268)&lt;&gt;0),"✗ 这类是付款，金额填到支出列",IF(N(H268)&lt;0,"⚠ 账户余额成负数了，核对一下","√"))))))))))))))))))</f>
      </c>
      <c r="O268" s="78">
        <f>IF(D268&lt;&gt;"",D268,IF(AND(F268="",G268=""),"",IF(J268&lt;&gt;"",IF(N(F268)&gt;0,"客户回款","客户退款"),IF(K268&lt;&gt;"",IF(N(G268)&gt;0,"供应商付款","供应商退款"),IF(L268&lt;&gt;"","费用支出","")))))</f>
      </c>
      <c r="P268" s="78">
        <f>IF(O268="","",IFERROR(INDEX(基础资料!$AE$5:$AE$34,MATCH(O268,基础资料!$AC$5:$AC$34,0)),"未知"))</f>
      </c>
      <c r="Q268" s="78">
        <f>IF(P268="应收",COUNTIF(P$7:P268,"应收"),"")</f>
      </c>
      <c r="R268" s="78">
        <f>IF(P268="应付",COUNTIF(P$7:P268,"应付"),"")</f>
      </c>
      <c r="S268" s="78">
        <f>N(F268)-N(G268)</f>
        <v>0</v>
      </c>
    </row>
    <row r="269">
      <c r="A269" s="109">
        <f>IF(AND(F269="",G269=""),"",ROW()-6)</f>
      </c>
      <c r="B269" s="140" t="n"/>
      <c r="C269" s="141" t="n"/>
      <c r="D269" s="141" t="n"/>
      <c r="E269" s="142" t="n"/>
      <c r="F269" s="143" t="n"/>
      <c r="G269" s="144" t="n"/>
      <c r="H269" s="145">
        <f>IF(OR(C269="",AND(F269="",G269="")),"",SUMIF(基础资料!$W$5:$W$24,C269,基础资料!$X$5:$X$24)+SUMIF(C$7:C269,C269,F$7:F269)-SUMIF(C$7:C269,C269,G$7:G269))</f>
      </c>
      <c r="I269" s="145">
        <f>IF(AND(F269="",G269=""),"",SUM(基础资料!$X$5:$X$24)+SUM(F$7:F269)-SUM(G$7:G269))</f>
      </c>
      <c r="J269" s="141" t="n"/>
      <c r="K269" s="141" t="n"/>
      <c r="L269" s="141" t="n"/>
      <c r="M269" s="142" t="n"/>
      <c r="N269" s="146">
        <f>IF(AND(AND(F269="",G269=""),B269="",C269="",D269="",J269="",K269="",L269=""),"",IF(AND(F269="",G269=""),"✗ 没填金额",IF(AND(N(F269)&lt;&gt;0,N(G269)&lt;&gt;0),"✗ 收入、支出只能填一边",IF(NOT(ISNUMBER(B269)),"✗ 日期不是真日期（要像 2026/9/25 这样填）",IF(OR(B269&lt;年初日,B269&gt;年末日),"✗ 日期不在本会计年度",IF(C269="","✗ 没选账户",IF(COUNTIF(基础资料!$W$5:$W$24,C269)=0,"✗ 账户不在基础资料里",IF(O269="","✗ 没选收支项目",IF(P269="未知","✗ 收支项目不在基础资料里",IF(AND(P269="应收",J269=""),"✗ 这笔要选客户",IF(AND(P269="应收",COUNTIF(总览汇总!$B$5:$B$304,J269)=0),"✗ 客户不在总览汇总名单里",IF(AND(P269="应付",K269=""),"✗ 这笔要选供应商",IF(AND(P269="应付",COUNTIF(基础资料!$Q$5:$Q$54,K269)=0),"✗ 供应商不在基础资料里",IF(AND(P269="费用",L269=""),"✗ 费用支出要选费用项目",IF(AND(L269&lt;&gt;"",COUNTIF(基础资料!$AI$5:$AI$54,L269)=0),"✗ 费用项目不在基础资料里",IF(AND(IFERROR(INDEX(基础资料!$AD$5:$AD$34,MATCH(O269,基础资料!$AC$5:$AC$34,0)),"")="收",N(G269)&lt;&gt;0),"✗ 这类是收款，金额填到收入列",IF(AND(IFERROR(INDEX(基础资料!$AD$5:$AD$34,MATCH(O269,基础资料!$AC$5:$AC$34,0)),"")="支",N(F269)&lt;&gt;0),"✗ 这类是付款，金额填到支出列",IF(N(H269)&lt;0,"⚠ 账户余额成负数了，核对一下","√"))))))))))))))))))</f>
      </c>
      <c r="O269" s="78">
        <f>IF(D269&lt;&gt;"",D269,IF(AND(F269="",G269=""),"",IF(J269&lt;&gt;"",IF(N(F269)&gt;0,"客户回款","客户退款"),IF(K269&lt;&gt;"",IF(N(G269)&gt;0,"供应商付款","供应商退款"),IF(L269&lt;&gt;"","费用支出","")))))</f>
      </c>
      <c r="P269" s="78">
        <f>IF(O269="","",IFERROR(INDEX(基础资料!$AE$5:$AE$34,MATCH(O269,基础资料!$AC$5:$AC$34,0)),"未知"))</f>
      </c>
      <c r="Q269" s="78">
        <f>IF(P269="应收",COUNTIF(P$7:P269,"应收"),"")</f>
      </c>
      <c r="R269" s="78">
        <f>IF(P269="应付",COUNTIF(P$7:P269,"应付"),"")</f>
      </c>
      <c r="S269" s="78">
        <f>N(F269)-N(G269)</f>
        <v>0</v>
      </c>
    </row>
    <row r="270">
      <c r="A270" s="109">
        <f>IF(AND(F270="",G270=""),"",ROW()-6)</f>
      </c>
      <c r="B270" s="140" t="n"/>
      <c r="C270" s="141" t="n"/>
      <c r="D270" s="141" t="n"/>
      <c r="E270" s="142" t="n"/>
      <c r="F270" s="143" t="n"/>
      <c r="G270" s="144" t="n"/>
      <c r="H270" s="145">
        <f>IF(OR(C270="",AND(F270="",G270="")),"",SUMIF(基础资料!$W$5:$W$24,C270,基础资料!$X$5:$X$24)+SUMIF(C$7:C270,C270,F$7:F270)-SUMIF(C$7:C270,C270,G$7:G270))</f>
      </c>
      <c r="I270" s="145">
        <f>IF(AND(F270="",G270=""),"",SUM(基础资料!$X$5:$X$24)+SUM(F$7:F270)-SUM(G$7:G270))</f>
      </c>
      <c r="J270" s="141" t="n"/>
      <c r="K270" s="141" t="n"/>
      <c r="L270" s="141" t="n"/>
      <c r="M270" s="142" t="n"/>
      <c r="N270" s="146">
        <f>IF(AND(AND(F270="",G270=""),B270="",C270="",D270="",J270="",K270="",L270=""),"",IF(AND(F270="",G270=""),"✗ 没填金额",IF(AND(N(F270)&lt;&gt;0,N(G270)&lt;&gt;0),"✗ 收入、支出只能填一边",IF(NOT(ISNUMBER(B270)),"✗ 日期不是真日期（要像 2026/9/25 这样填）",IF(OR(B270&lt;年初日,B270&gt;年末日),"✗ 日期不在本会计年度",IF(C270="","✗ 没选账户",IF(COUNTIF(基础资料!$W$5:$W$24,C270)=0,"✗ 账户不在基础资料里",IF(O270="","✗ 没选收支项目",IF(P270="未知","✗ 收支项目不在基础资料里",IF(AND(P270="应收",J270=""),"✗ 这笔要选客户",IF(AND(P270="应收",COUNTIF(总览汇总!$B$5:$B$304,J270)=0),"✗ 客户不在总览汇总名单里",IF(AND(P270="应付",K270=""),"✗ 这笔要选供应商",IF(AND(P270="应付",COUNTIF(基础资料!$Q$5:$Q$54,K270)=0),"✗ 供应商不在基础资料里",IF(AND(P270="费用",L270=""),"✗ 费用支出要选费用项目",IF(AND(L270&lt;&gt;"",COUNTIF(基础资料!$AI$5:$AI$54,L270)=0),"✗ 费用项目不在基础资料里",IF(AND(IFERROR(INDEX(基础资料!$AD$5:$AD$34,MATCH(O270,基础资料!$AC$5:$AC$34,0)),"")="收",N(G270)&lt;&gt;0),"✗ 这类是收款，金额填到收入列",IF(AND(IFERROR(INDEX(基础资料!$AD$5:$AD$34,MATCH(O270,基础资料!$AC$5:$AC$34,0)),"")="支",N(F270)&lt;&gt;0),"✗ 这类是付款，金额填到支出列",IF(N(H270)&lt;0,"⚠ 账户余额成负数了，核对一下","√"))))))))))))))))))</f>
      </c>
      <c r="O270" s="78">
        <f>IF(D270&lt;&gt;"",D270,IF(AND(F270="",G270=""),"",IF(J270&lt;&gt;"",IF(N(F270)&gt;0,"客户回款","客户退款"),IF(K270&lt;&gt;"",IF(N(G270)&gt;0,"供应商付款","供应商退款"),IF(L270&lt;&gt;"","费用支出","")))))</f>
      </c>
      <c r="P270" s="78">
        <f>IF(O270="","",IFERROR(INDEX(基础资料!$AE$5:$AE$34,MATCH(O270,基础资料!$AC$5:$AC$34,0)),"未知"))</f>
      </c>
      <c r="Q270" s="78">
        <f>IF(P270="应收",COUNTIF(P$7:P270,"应收"),"")</f>
      </c>
      <c r="R270" s="78">
        <f>IF(P270="应付",COUNTIF(P$7:P270,"应付"),"")</f>
      </c>
      <c r="S270" s="78">
        <f>N(F270)-N(G270)</f>
        <v>0</v>
      </c>
    </row>
    <row r="271">
      <c r="A271" s="109">
        <f>IF(AND(F271="",G271=""),"",ROW()-6)</f>
      </c>
      <c r="B271" s="140" t="n"/>
      <c r="C271" s="141" t="n"/>
      <c r="D271" s="141" t="n"/>
      <c r="E271" s="142" t="n"/>
      <c r="F271" s="143" t="n"/>
      <c r="G271" s="144" t="n"/>
      <c r="H271" s="145">
        <f>IF(OR(C271="",AND(F271="",G271="")),"",SUMIF(基础资料!$W$5:$W$24,C271,基础资料!$X$5:$X$24)+SUMIF(C$7:C271,C271,F$7:F271)-SUMIF(C$7:C271,C271,G$7:G271))</f>
      </c>
      <c r="I271" s="145">
        <f>IF(AND(F271="",G271=""),"",SUM(基础资料!$X$5:$X$24)+SUM(F$7:F271)-SUM(G$7:G271))</f>
      </c>
      <c r="J271" s="141" t="n"/>
      <c r="K271" s="141" t="n"/>
      <c r="L271" s="141" t="n"/>
      <c r="M271" s="142" t="n"/>
      <c r="N271" s="146">
        <f>IF(AND(AND(F271="",G271=""),B271="",C271="",D271="",J271="",K271="",L271=""),"",IF(AND(F271="",G271=""),"✗ 没填金额",IF(AND(N(F271)&lt;&gt;0,N(G271)&lt;&gt;0),"✗ 收入、支出只能填一边",IF(NOT(ISNUMBER(B271)),"✗ 日期不是真日期（要像 2026/9/25 这样填）",IF(OR(B271&lt;年初日,B271&gt;年末日),"✗ 日期不在本会计年度",IF(C271="","✗ 没选账户",IF(COUNTIF(基础资料!$W$5:$W$24,C271)=0,"✗ 账户不在基础资料里",IF(O271="","✗ 没选收支项目",IF(P271="未知","✗ 收支项目不在基础资料里",IF(AND(P271="应收",J271=""),"✗ 这笔要选客户",IF(AND(P271="应收",COUNTIF(总览汇总!$B$5:$B$304,J271)=0),"✗ 客户不在总览汇总名单里",IF(AND(P271="应付",K271=""),"✗ 这笔要选供应商",IF(AND(P271="应付",COUNTIF(基础资料!$Q$5:$Q$54,K271)=0),"✗ 供应商不在基础资料里",IF(AND(P271="费用",L271=""),"✗ 费用支出要选费用项目",IF(AND(L271&lt;&gt;"",COUNTIF(基础资料!$AI$5:$AI$54,L271)=0),"✗ 费用项目不在基础资料里",IF(AND(IFERROR(INDEX(基础资料!$AD$5:$AD$34,MATCH(O271,基础资料!$AC$5:$AC$34,0)),"")="收",N(G271)&lt;&gt;0),"✗ 这类是收款，金额填到收入列",IF(AND(IFERROR(INDEX(基础资料!$AD$5:$AD$34,MATCH(O271,基础资料!$AC$5:$AC$34,0)),"")="支",N(F271)&lt;&gt;0),"✗ 这类是付款，金额填到支出列",IF(N(H271)&lt;0,"⚠ 账户余额成负数了，核对一下","√"))))))))))))))))))</f>
      </c>
      <c r="O271" s="78">
        <f>IF(D271&lt;&gt;"",D271,IF(AND(F271="",G271=""),"",IF(J271&lt;&gt;"",IF(N(F271)&gt;0,"客户回款","客户退款"),IF(K271&lt;&gt;"",IF(N(G271)&gt;0,"供应商付款","供应商退款"),IF(L271&lt;&gt;"","费用支出","")))))</f>
      </c>
      <c r="P271" s="78">
        <f>IF(O271="","",IFERROR(INDEX(基础资料!$AE$5:$AE$34,MATCH(O271,基础资料!$AC$5:$AC$34,0)),"未知"))</f>
      </c>
      <c r="Q271" s="78">
        <f>IF(P271="应收",COUNTIF(P$7:P271,"应收"),"")</f>
      </c>
      <c r="R271" s="78">
        <f>IF(P271="应付",COUNTIF(P$7:P271,"应付"),"")</f>
      </c>
      <c r="S271" s="78">
        <f>N(F271)-N(G271)</f>
        <v>0</v>
      </c>
    </row>
    <row r="272">
      <c r="A272" s="109">
        <f>IF(AND(F272="",G272=""),"",ROW()-6)</f>
      </c>
      <c r="B272" s="140" t="n"/>
      <c r="C272" s="141" t="n"/>
      <c r="D272" s="141" t="n"/>
      <c r="E272" s="142" t="n"/>
      <c r="F272" s="143" t="n"/>
      <c r="G272" s="144" t="n"/>
      <c r="H272" s="145">
        <f>IF(OR(C272="",AND(F272="",G272="")),"",SUMIF(基础资料!$W$5:$W$24,C272,基础资料!$X$5:$X$24)+SUMIF(C$7:C272,C272,F$7:F272)-SUMIF(C$7:C272,C272,G$7:G272))</f>
      </c>
      <c r="I272" s="145">
        <f>IF(AND(F272="",G272=""),"",SUM(基础资料!$X$5:$X$24)+SUM(F$7:F272)-SUM(G$7:G272))</f>
      </c>
      <c r="J272" s="141" t="n"/>
      <c r="K272" s="141" t="n"/>
      <c r="L272" s="141" t="n"/>
      <c r="M272" s="142" t="n"/>
      <c r="N272" s="146">
        <f>IF(AND(AND(F272="",G272=""),B272="",C272="",D272="",J272="",K272="",L272=""),"",IF(AND(F272="",G272=""),"✗ 没填金额",IF(AND(N(F272)&lt;&gt;0,N(G272)&lt;&gt;0),"✗ 收入、支出只能填一边",IF(NOT(ISNUMBER(B272)),"✗ 日期不是真日期（要像 2026/9/25 这样填）",IF(OR(B272&lt;年初日,B272&gt;年末日),"✗ 日期不在本会计年度",IF(C272="","✗ 没选账户",IF(COUNTIF(基础资料!$W$5:$W$24,C272)=0,"✗ 账户不在基础资料里",IF(O272="","✗ 没选收支项目",IF(P272="未知","✗ 收支项目不在基础资料里",IF(AND(P272="应收",J272=""),"✗ 这笔要选客户",IF(AND(P272="应收",COUNTIF(总览汇总!$B$5:$B$304,J272)=0),"✗ 客户不在总览汇总名单里",IF(AND(P272="应付",K272=""),"✗ 这笔要选供应商",IF(AND(P272="应付",COUNTIF(基础资料!$Q$5:$Q$54,K272)=0),"✗ 供应商不在基础资料里",IF(AND(P272="费用",L272=""),"✗ 费用支出要选费用项目",IF(AND(L272&lt;&gt;"",COUNTIF(基础资料!$AI$5:$AI$54,L272)=0),"✗ 费用项目不在基础资料里",IF(AND(IFERROR(INDEX(基础资料!$AD$5:$AD$34,MATCH(O272,基础资料!$AC$5:$AC$34,0)),"")="收",N(G272)&lt;&gt;0),"✗ 这类是收款，金额填到收入列",IF(AND(IFERROR(INDEX(基础资料!$AD$5:$AD$34,MATCH(O272,基础资料!$AC$5:$AC$34,0)),"")="支",N(F272)&lt;&gt;0),"✗ 这类是付款，金额填到支出列",IF(N(H272)&lt;0,"⚠ 账户余额成负数了，核对一下","√"))))))))))))))))))</f>
      </c>
      <c r="O272" s="78">
        <f>IF(D272&lt;&gt;"",D272,IF(AND(F272="",G272=""),"",IF(J272&lt;&gt;"",IF(N(F272)&gt;0,"客户回款","客户退款"),IF(K272&lt;&gt;"",IF(N(G272)&gt;0,"供应商付款","供应商退款"),IF(L272&lt;&gt;"","费用支出","")))))</f>
      </c>
      <c r="P272" s="78">
        <f>IF(O272="","",IFERROR(INDEX(基础资料!$AE$5:$AE$34,MATCH(O272,基础资料!$AC$5:$AC$34,0)),"未知"))</f>
      </c>
      <c r="Q272" s="78">
        <f>IF(P272="应收",COUNTIF(P$7:P272,"应收"),"")</f>
      </c>
      <c r="R272" s="78">
        <f>IF(P272="应付",COUNTIF(P$7:P272,"应付"),"")</f>
      </c>
      <c r="S272" s="78">
        <f>N(F272)-N(G272)</f>
        <v>0</v>
      </c>
    </row>
    <row r="273">
      <c r="A273" s="109">
        <f>IF(AND(F273="",G273=""),"",ROW()-6)</f>
      </c>
      <c r="B273" s="140" t="n"/>
      <c r="C273" s="141" t="n"/>
      <c r="D273" s="141" t="n"/>
      <c r="E273" s="142" t="n"/>
      <c r="F273" s="143" t="n"/>
      <c r="G273" s="144" t="n"/>
      <c r="H273" s="145">
        <f>IF(OR(C273="",AND(F273="",G273="")),"",SUMIF(基础资料!$W$5:$W$24,C273,基础资料!$X$5:$X$24)+SUMIF(C$7:C273,C273,F$7:F273)-SUMIF(C$7:C273,C273,G$7:G273))</f>
      </c>
      <c r="I273" s="145">
        <f>IF(AND(F273="",G273=""),"",SUM(基础资料!$X$5:$X$24)+SUM(F$7:F273)-SUM(G$7:G273))</f>
      </c>
      <c r="J273" s="141" t="n"/>
      <c r="K273" s="141" t="n"/>
      <c r="L273" s="141" t="n"/>
      <c r="M273" s="142" t="n"/>
      <c r="N273" s="146">
        <f>IF(AND(AND(F273="",G273=""),B273="",C273="",D273="",J273="",K273="",L273=""),"",IF(AND(F273="",G273=""),"✗ 没填金额",IF(AND(N(F273)&lt;&gt;0,N(G273)&lt;&gt;0),"✗ 收入、支出只能填一边",IF(NOT(ISNUMBER(B273)),"✗ 日期不是真日期（要像 2026/9/25 这样填）",IF(OR(B273&lt;年初日,B273&gt;年末日),"✗ 日期不在本会计年度",IF(C273="","✗ 没选账户",IF(COUNTIF(基础资料!$W$5:$W$24,C273)=0,"✗ 账户不在基础资料里",IF(O273="","✗ 没选收支项目",IF(P273="未知","✗ 收支项目不在基础资料里",IF(AND(P273="应收",J273=""),"✗ 这笔要选客户",IF(AND(P273="应收",COUNTIF(总览汇总!$B$5:$B$304,J273)=0),"✗ 客户不在总览汇总名单里",IF(AND(P273="应付",K273=""),"✗ 这笔要选供应商",IF(AND(P273="应付",COUNTIF(基础资料!$Q$5:$Q$54,K273)=0),"✗ 供应商不在基础资料里",IF(AND(P273="费用",L273=""),"✗ 费用支出要选费用项目",IF(AND(L273&lt;&gt;"",COUNTIF(基础资料!$AI$5:$AI$54,L273)=0),"✗ 费用项目不在基础资料里",IF(AND(IFERROR(INDEX(基础资料!$AD$5:$AD$34,MATCH(O273,基础资料!$AC$5:$AC$34,0)),"")="收",N(G273)&lt;&gt;0),"✗ 这类是收款，金额填到收入列",IF(AND(IFERROR(INDEX(基础资料!$AD$5:$AD$34,MATCH(O273,基础资料!$AC$5:$AC$34,0)),"")="支",N(F273)&lt;&gt;0),"✗ 这类是付款，金额填到支出列",IF(N(H273)&lt;0,"⚠ 账户余额成负数了，核对一下","√"))))))))))))))))))</f>
      </c>
      <c r="O273" s="78">
        <f>IF(D273&lt;&gt;"",D273,IF(AND(F273="",G273=""),"",IF(J273&lt;&gt;"",IF(N(F273)&gt;0,"客户回款","客户退款"),IF(K273&lt;&gt;"",IF(N(G273)&gt;0,"供应商付款","供应商退款"),IF(L273&lt;&gt;"","费用支出","")))))</f>
      </c>
      <c r="P273" s="78">
        <f>IF(O273="","",IFERROR(INDEX(基础资料!$AE$5:$AE$34,MATCH(O273,基础资料!$AC$5:$AC$34,0)),"未知"))</f>
      </c>
      <c r="Q273" s="78">
        <f>IF(P273="应收",COUNTIF(P$7:P273,"应收"),"")</f>
      </c>
      <c r="R273" s="78">
        <f>IF(P273="应付",COUNTIF(P$7:P273,"应付"),"")</f>
      </c>
      <c r="S273" s="78">
        <f>N(F273)-N(G273)</f>
        <v>0</v>
      </c>
    </row>
    <row r="274">
      <c r="A274" s="109">
        <f>IF(AND(F274="",G274=""),"",ROW()-6)</f>
      </c>
      <c r="B274" s="140" t="n"/>
      <c r="C274" s="141" t="n"/>
      <c r="D274" s="141" t="n"/>
      <c r="E274" s="142" t="n"/>
      <c r="F274" s="143" t="n"/>
      <c r="G274" s="144" t="n"/>
      <c r="H274" s="145">
        <f>IF(OR(C274="",AND(F274="",G274="")),"",SUMIF(基础资料!$W$5:$W$24,C274,基础资料!$X$5:$X$24)+SUMIF(C$7:C274,C274,F$7:F274)-SUMIF(C$7:C274,C274,G$7:G274))</f>
      </c>
      <c r="I274" s="145">
        <f>IF(AND(F274="",G274=""),"",SUM(基础资料!$X$5:$X$24)+SUM(F$7:F274)-SUM(G$7:G274))</f>
      </c>
      <c r="J274" s="141" t="n"/>
      <c r="K274" s="141" t="n"/>
      <c r="L274" s="141" t="n"/>
      <c r="M274" s="142" t="n"/>
      <c r="N274" s="146">
        <f>IF(AND(AND(F274="",G274=""),B274="",C274="",D274="",J274="",K274="",L274=""),"",IF(AND(F274="",G274=""),"✗ 没填金额",IF(AND(N(F274)&lt;&gt;0,N(G274)&lt;&gt;0),"✗ 收入、支出只能填一边",IF(NOT(ISNUMBER(B274)),"✗ 日期不是真日期（要像 2026/9/25 这样填）",IF(OR(B274&lt;年初日,B274&gt;年末日),"✗ 日期不在本会计年度",IF(C274="","✗ 没选账户",IF(COUNTIF(基础资料!$W$5:$W$24,C274)=0,"✗ 账户不在基础资料里",IF(O274="","✗ 没选收支项目",IF(P274="未知","✗ 收支项目不在基础资料里",IF(AND(P274="应收",J274=""),"✗ 这笔要选客户",IF(AND(P274="应收",COUNTIF(总览汇总!$B$5:$B$304,J274)=0),"✗ 客户不在总览汇总名单里",IF(AND(P274="应付",K274=""),"✗ 这笔要选供应商",IF(AND(P274="应付",COUNTIF(基础资料!$Q$5:$Q$54,K274)=0),"✗ 供应商不在基础资料里",IF(AND(P274="费用",L274=""),"✗ 费用支出要选费用项目",IF(AND(L274&lt;&gt;"",COUNTIF(基础资料!$AI$5:$AI$54,L274)=0),"✗ 费用项目不在基础资料里",IF(AND(IFERROR(INDEX(基础资料!$AD$5:$AD$34,MATCH(O274,基础资料!$AC$5:$AC$34,0)),"")="收",N(G274)&lt;&gt;0),"✗ 这类是收款，金额填到收入列",IF(AND(IFERROR(INDEX(基础资料!$AD$5:$AD$34,MATCH(O274,基础资料!$AC$5:$AC$34,0)),"")="支",N(F274)&lt;&gt;0),"✗ 这类是付款，金额填到支出列",IF(N(H274)&lt;0,"⚠ 账户余额成负数了，核对一下","√"))))))))))))))))))</f>
      </c>
      <c r="O274" s="78">
        <f>IF(D274&lt;&gt;"",D274,IF(AND(F274="",G274=""),"",IF(J274&lt;&gt;"",IF(N(F274)&gt;0,"客户回款","客户退款"),IF(K274&lt;&gt;"",IF(N(G274)&gt;0,"供应商付款","供应商退款"),IF(L274&lt;&gt;"","费用支出","")))))</f>
      </c>
      <c r="P274" s="78">
        <f>IF(O274="","",IFERROR(INDEX(基础资料!$AE$5:$AE$34,MATCH(O274,基础资料!$AC$5:$AC$34,0)),"未知"))</f>
      </c>
      <c r="Q274" s="78">
        <f>IF(P274="应收",COUNTIF(P$7:P274,"应收"),"")</f>
      </c>
      <c r="R274" s="78">
        <f>IF(P274="应付",COUNTIF(P$7:P274,"应付"),"")</f>
      </c>
      <c r="S274" s="78">
        <f>N(F274)-N(G274)</f>
        <v>0</v>
      </c>
    </row>
    <row r="275">
      <c r="A275" s="109">
        <f>IF(AND(F275="",G275=""),"",ROW()-6)</f>
      </c>
      <c r="B275" s="140" t="n"/>
      <c r="C275" s="141" t="n"/>
      <c r="D275" s="141" t="n"/>
      <c r="E275" s="142" t="n"/>
      <c r="F275" s="143" t="n"/>
      <c r="G275" s="144" t="n"/>
      <c r="H275" s="145">
        <f>IF(OR(C275="",AND(F275="",G275="")),"",SUMIF(基础资料!$W$5:$W$24,C275,基础资料!$X$5:$X$24)+SUMIF(C$7:C275,C275,F$7:F275)-SUMIF(C$7:C275,C275,G$7:G275))</f>
      </c>
      <c r="I275" s="145">
        <f>IF(AND(F275="",G275=""),"",SUM(基础资料!$X$5:$X$24)+SUM(F$7:F275)-SUM(G$7:G275))</f>
      </c>
      <c r="J275" s="141" t="n"/>
      <c r="K275" s="141" t="n"/>
      <c r="L275" s="141" t="n"/>
      <c r="M275" s="142" t="n"/>
      <c r="N275" s="146">
        <f>IF(AND(AND(F275="",G275=""),B275="",C275="",D275="",J275="",K275="",L275=""),"",IF(AND(F275="",G275=""),"✗ 没填金额",IF(AND(N(F275)&lt;&gt;0,N(G275)&lt;&gt;0),"✗ 收入、支出只能填一边",IF(NOT(ISNUMBER(B275)),"✗ 日期不是真日期（要像 2026/9/25 这样填）",IF(OR(B275&lt;年初日,B275&gt;年末日),"✗ 日期不在本会计年度",IF(C275="","✗ 没选账户",IF(COUNTIF(基础资料!$W$5:$W$24,C275)=0,"✗ 账户不在基础资料里",IF(O275="","✗ 没选收支项目",IF(P275="未知","✗ 收支项目不在基础资料里",IF(AND(P275="应收",J275=""),"✗ 这笔要选客户",IF(AND(P275="应收",COUNTIF(总览汇总!$B$5:$B$304,J275)=0),"✗ 客户不在总览汇总名单里",IF(AND(P275="应付",K275=""),"✗ 这笔要选供应商",IF(AND(P275="应付",COUNTIF(基础资料!$Q$5:$Q$54,K275)=0),"✗ 供应商不在基础资料里",IF(AND(P275="费用",L275=""),"✗ 费用支出要选费用项目",IF(AND(L275&lt;&gt;"",COUNTIF(基础资料!$AI$5:$AI$54,L275)=0),"✗ 费用项目不在基础资料里",IF(AND(IFERROR(INDEX(基础资料!$AD$5:$AD$34,MATCH(O275,基础资料!$AC$5:$AC$34,0)),"")="收",N(G275)&lt;&gt;0),"✗ 这类是收款，金额填到收入列",IF(AND(IFERROR(INDEX(基础资料!$AD$5:$AD$34,MATCH(O275,基础资料!$AC$5:$AC$34,0)),"")="支",N(F275)&lt;&gt;0),"✗ 这类是付款，金额填到支出列",IF(N(H275)&lt;0,"⚠ 账户余额成负数了，核对一下","√"))))))))))))))))))</f>
      </c>
      <c r="O275" s="78">
        <f>IF(D275&lt;&gt;"",D275,IF(AND(F275="",G275=""),"",IF(J275&lt;&gt;"",IF(N(F275)&gt;0,"客户回款","客户退款"),IF(K275&lt;&gt;"",IF(N(G275)&gt;0,"供应商付款","供应商退款"),IF(L275&lt;&gt;"","费用支出","")))))</f>
      </c>
      <c r="P275" s="78">
        <f>IF(O275="","",IFERROR(INDEX(基础资料!$AE$5:$AE$34,MATCH(O275,基础资料!$AC$5:$AC$34,0)),"未知"))</f>
      </c>
      <c r="Q275" s="78">
        <f>IF(P275="应收",COUNTIF(P$7:P275,"应收"),"")</f>
      </c>
      <c r="R275" s="78">
        <f>IF(P275="应付",COUNTIF(P$7:P275,"应付"),"")</f>
      </c>
      <c r="S275" s="78">
        <f>N(F275)-N(G275)</f>
        <v>0</v>
      </c>
    </row>
    <row r="276">
      <c r="A276" s="109">
        <f>IF(AND(F276="",G276=""),"",ROW()-6)</f>
      </c>
      <c r="B276" s="140" t="n"/>
      <c r="C276" s="141" t="n"/>
      <c r="D276" s="141" t="n"/>
      <c r="E276" s="142" t="n"/>
      <c r="F276" s="143" t="n"/>
      <c r="G276" s="144" t="n"/>
      <c r="H276" s="145">
        <f>IF(OR(C276="",AND(F276="",G276="")),"",SUMIF(基础资料!$W$5:$W$24,C276,基础资料!$X$5:$X$24)+SUMIF(C$7:C276,C276,F$7:F276)-SUMIF(C$7:C276,C276,G$7:G276))</f>
      </c>
      <c r="I276" s="145">
        <f>IF(AND(F276="",G276=""),"",SUM(基础资料!$X$5:$X$24)+SUM(F$7:F276)-SUM(G$7:G276))</f>
      </c>
      <c r="J276" s="141" t="n"/>
      <c r="K276" s="141" t="n"/>
      <c r="L276" s="141" t="n"/>
      <c r="M276" s="142" t="n"/>
      <c r="N276" s="146">
        <f>IF(AND(AND(F276="",G276=""),B276="",C276="",D276="",J276="",K276="",L276=""),"",IF(AND(F276="",G276=""),"✗ 没填金额",IF(AND(N(F276)&lt;&gt;0,N(G276)&lt;&gt;0),"✗ 收入、支出只能填一边",IF(NOT(ISNUMBER(B276)),"✗ 日期不是真日期（要像 2026/9/25 这样填）",IF(OR(B276&lt;年初日,B276&gt;年末日),"✗ 日期不在本会计年度",IF(C276="","✗ 没选账户",IF(COUNTIF(基础资料!$W$5:$W$24,C276)=0,"✗ 账户不在基础资料里",IF(O276="","✗ 没选收支项目",IF(P276="未知","✗ 收支项目不在基础资料里",IF(AND(P276="应收",J276=""),"✗ 这笔要选客户",IF(AND(P276="应收",COUNTIF(总览汇总!$B$5:$B$304,J276)=0),"✗ 客户不在总览汇总名单里",IF(AND(P276="应付",K276=""),"✗ 这笔要选供应商",IF(AND(P276="应付",COUNTIF(基础资料!$Q$5:$Q$54,K276)=0),"✗ 供应商不在基础资料里",IF(AND(P276="费用",L276=""),"✗ 费用支出要选费用项目",IF(AND(L276&lt;&gt;"",COUNTIF(基础资料!$AI$5:$AI$54,L276)=0),"✗ 费用项目不在基础资料里",IF(AND(IFERROR(INDEX(基础资料!$AD$5:$AD$34,MATCH(O276,基础资料!$AC$5:$AC$34,0)),"")="收",N(G276)&lt;&gt;0),"✗ 这类是收款，金额填到收入列",IF(AND(IFERROR(INDEX(基础资料!$AD$5:$AD$34,MATCH(O276,基础资料!$AC$5:$AC$34,0)),"")="支",N(F276)&lt;&gt;0),"✗ 这类是付款，金额填到支出列",IF(N(H276)&lt;0,"⚠ 账户余额成负数了，核对一下","√"))))))))))))))))))</f>
      </c>
      <c r="O276" s="78">
        <f>IF(D276&lt;&gt;"",D276,IF(AND(F276="",G276=""),"",IF(J276&lt;&gt;"",IF(N(F276)&gt;0,"客户回款","客户退款"),IF(K276&lt;&gt;"",IF(N(G276)&gt;0,"供应商付款","供应商退款"),IF(L276&lt;&gt;"","费用支出","")))))</f>
      </c>
      <c r="P276" s="78">
        <f>IF(O276="","",IFERROR(INDEX(基础资料!$AE$5:$AE$34,MATCH(O276,基础资料!$AC$5:$AC$34,0)),"未知"))</f>
      </c>
      <c r="Q276" s="78">
        <f>IF(P276="应收",COUNTIF(P$7:P276,"应收"),"")</f>
      </c>
      <c r="R276" s="78">
        <f>IF(P276="应付",COUNTIF(P$7:P276,"应付"),"")</f>
      </c>
      <c r="S276" s="78">
        <f>N(F276)-N(G276)</f>
        <v>0</v>
      </c>
    </row>
    <row r="277">
      <c r="A277" s="109">
        <f>IF(AND(F277="",G277=""),"",ROW()-6)</f>
      </c>
      <c r="B277" s="140" t="n"/>
      <c r="C277" s="141" t="n"/>
      <c r="D277" s="141" t="n"/>
      <c r="E277" s="142" t="n"/>
      <c r="F277" s="143" t="n"/>
      <c r="G277" s="144" t="n"/>
      <c r="H277" s="145">
        <f>IF(OR(C277="",AND(F277="",G277="")),"",SUMIF(基础资料!$W$5:$W$24,C277,基础资料!$X$5:$X$24)+SUMIF(C$7:C277,C277,F$7:F277)-SUMIF(C$7:C277,C277,G$7:G277))</f>
      </c>
      <c r="I277" s="145">
        <f>IF(AND(F277="",G277=""),"",SUM(基础资料!$X$5:$X$24)+SUM(F$7:F277)-SUM(G$7:G277))</f>
      </c>
      <c r="J277" s="141" t="n"/>
      <c r="K277" s="141" t="n"/>
      <c r="L277" s="141" t="n"/>
      <c r="M277" s="142" t="n"/>
      <c r="N277" s="146">
        <f>IF(AND(AND(F277="",G277=""),B277="",C277="",D277="",J277="",K277="",L277=""),"",IF(AND(F277="",G277=""),"✗ 没填金额",IF(AND(N(F277)&lt;&gt;0,N(G277)&lt;&gt;0),"✗ 收入、支出只能填一边",IF(NOT(ISNUMBER(B277)),"✗ 日期不是真日期（要像 2026/9/25 这样填）",IF(OR(B277&lt;年初日,B277&gt;年末日),"✗ 日期不在本会计年度",IF(C277="","✗ 没选账户",IF(COUNTIF(基础资料!$W$5:$W$24,C277)=0,"✗ 账户不在基础资料里",IF(O277="","✗ 没选收支项目",IF(P277="未知","✗ 收支项目不在基础资料里",IF(AND(P277="应收",J277=""),"✗ 这笔要选客户",IF(AND(P277="应收",COUNTIF(总览汇总!$B$5:$B$304,J277)=0),"✗ 客户不在总览汇总名单里",IF(AND(P277="应付",K277=""),"✗ 这笔要选供应商",IF(AND(P277="应付",COUNTIF(基础资料!$Q$5:$Q$54,K277)=0),"✗ 供应商不在基础资料里",IF(AND(P277="费用",L277=""),"✗ 费用支出要选费用项目",IF(AND(L277&lt;&gt;"",COUNTIF(基础资料!$AI$5:$AI$54,L277)=0),"✗ 费用项目不在基础资料里",IF(AND(IFERROR(INDEX(基础资料!$AD$5:$AD$34,MATCH(O277,基础资料!$AC$5:$AC$34,0)),"")="收",N(G277)&lt;&gt;0),"✗ 这类是收款，金额填到收入列",IF(AND(IFERROR(INDEX(基础资料!$AD$5:$AD$34,MATCH(O277,基础资料!$AC$5:$AC$34,0)),"")="支",N(F277)&lt;&gt;0),"✗ 这类是付款，金额填到支出列",IF(N(H277)&lt;0,"⚠ 账户余额成负数了，核对一下","√"))))))))))))))))))</f>
      </c>
      <c r="O277" s="78">
        <f>IF(D277&lt;&gt;"",D277,IF(AND(F277="",G277=""),"",IF(J277&lt;&gt;"",IF(N(F277)&gt;0,"客户回款","客户退款"),IF(K277&lt;&gt;"",IF(N(G277)&gt;0,"供应商付款","供应商退款"),IF(L277&lt;&gt;"","费用支出","")))))</f>
      </c>
      <c r="P277" s="78">
        <f>IF(O277="","",IFERROR(INDEX(基础资料!$AE$5:$AE$34,MATCH(O277,基础资料!$AC$5:$AC$34,0)),"未知"))</f>
      </c>
      <c r="Q277" s="78">
        <f>IF(P277="应收",COUNTIF(P$7:P277,"应收"),"")</f>
      </c>
      <c r="R277" s="78">
        <f>IF(P277="应付",COUNTIF(P$7:P277,"应付"),"")</f>
      </c>
      <c r="S277" s="78">
        <f>N(F277)-N(G277)</f>
        <v>0</v>
      </c>
    </row>
    <row r="278">
      <c r="A278" s="109">
        <f>IF(AND(F278="",G278=""),"",ROW()-6)</f>
      </c>
      <c r="B278" s="140" t="n"/>
      <c r="C278" s="141" t="n"/>
      <c r="D278" s="141" t="n"/>
      <c r="E278" s="142" t="n"/>
      <c r="F278" s="143" t="n"/>
      <c r="G278" s="144" t="n"/>
      <c r="H278" s="145">
        <f>IF(OR(C278="",AND(F278="",G278="")),"",SUMIF(基础资料!$W$5:$W$24,C278,基础资料!$X$5:$X$24)+SUMIF(C$7:C278,C278,F$7:F278)-SUMIF(C$7:C278,C278,G$7:G278))</f>
      </c>
      <c r="I278" s="145">
        <f>IF(AND(F278="",G278=""),"",SUM(基础资料!$X$5:$X$24)+SUM(F$7:F278)-SUM(G$7:G278))</f>
      </c>
      <c r="J278" s="141" t="n"/>
      <c r="K278" s="141" t="n"/>
      <c r="L278" s="141" t="n"/>
      <c r="M278" s="142" t="n"/>
      <c r="N278" s="146">
        <f>IF(AND(AND(F278="",G278=""),B278="",C278="",D278="",J278="",K278="",L278=""),"",IF(AND(F278="",G278=""),"✗ 没填金额",IF(AND(N(F278)&lt;&gt;0,N(G278)&lt;&gt;0),"✗ 收入、支出只能填一边",IF(NOT(ISNUMBER(B278)),"✗ 日期不是真日期（要像 2026/9/25 这样填）",IF(OR(B278&lt;年初日,B278&gt;年末日),"✗ 日期不在本会计年度",IF(C278="","✗ 没选账户",IF(COUNTIF(基础资料!$W$5:$W$24,C278)=0,"✗ 账户不在基础资料里",IF(O278="","✗ 没选收支项目",IF(P278="未知","✗ 收支项目不在基础资料里",IF(AND(P278="应收",J278=""),"✗ 这笔要选客户",IF(AND(P278="应收",COUNTIF(总览汇总!$B$5:$B$304,J278)=0),"✗ 客户不在总览汇总名单里",IF(AND(P278="应付",K278=""),"✗ 这笔要选供应商",IF(AND(P278="应付",COUNTIF(基础资料!$Q$5:$Q$54,K278)=0),"✗ 供应商不在基础资料里",IF(AND(P278="费用",L278=""),"✗ 费用支出要选费用项目",IF(AND(L278&lt;&gt;"",COUNTIF(基础资料!$AI$5:$AI$54,L278)=0),"✗ 费用项目不在基础资料里",IF(AND(IFERROR(INDEX(基础资料!$AD$5:$AD$34,MATCH(O278,基础资料!$AC$5:$AC$34,0)),"")="收",N(G278)&lt;&gt;0),"✗ 这类是收款，金额填到收入列",IF(AND(IFERROR(INDEX(基础资料!$AD$5:$AD$34,MATCH(O278,基础资料!$AC$5:$AC$34,0)),"")="支",N(F278)&lt;&gt;0),"✗ 这类是付款，金额填到支出列",IF(N(H278)&lt;0,"⚠ 账户余额成负数了，核对一下","√"))))))))))))))))))</f>
      </c>
      <c r="O278" s="78">
        <f>IF(D278&lt;&gt;"",D278,IF(AND(F278="",G278=""),"",IF(J278&lt;&gt;"",IF(N(F278)&gt;0,"客户回款","客户退款"),IF(K278&lt;&gt;"",IF(N(G278)&gt;0,"供应商付款","供应商退款"),IF(L278&lt;&gt;"","费用支出","")))))</f>
      </c>
      <c r="P278" s="78">
        <f>IF(O278="","",IFERROR(INDEX(基础资料!$AE$5:$AE$34,MATCH(O278,基础资料!$AC$5:$AC$34,0)),"未知"))</f>
      </c>
      <c r="Q278" s="78">
        <f>IF(P278="应收",COUNTIF(P$7:P278,"应收"),"")</f>
      </c>
      <c r="R278" s="78">
        <f>IF(P278="应付",COUNTIF(P$7:P278,"应付"),"")</f>
      </c>
      <c r="S278" s="78">
        <f>N(F278)-N(G278)</f>
        <v>0</v>
      </c>
    </row>
    <row r="279">
      <c r="A279" s="109">
        <f>IF(AND(F279="",G279=""),"",ROW()-6)</f>
      </c>
      <c r="B279" s="140" t="n"/>
      <c r="C279" s="141" t="n"/>
      <c r="D279" s="141" t="n"/>
      <c r="E279" s="142" t="n"/>
      <c r="F279" s="143" t="n"/>
      <c r="G279" s="144" t="n"/>
      <c r="H279" s="145">
        <f>IF(OR(C279="",AND(F279="",G279="")),"",SUMIF(基础资料!$W$5:$W$24,C279,基础资料!$X$5:$X$24)+SUMIF(C$7:C279,C279,F$7:F279)-SUMIF(C$7:C279,C279,G$7:G279))</f>
      </c>
      <c r="I279" s="145">
        <f>IF(AND(F279="",G279=""),"",SUM(基础资料!$X$5:$X$24)+SUM(F$7:F279)-SUM(G$7:G279))</f>
      </c>
      <c r="J279" s="141" t="n"/>
      <c r="K279" s="141" t="n"/>
      <c r="L279" s="141" t="n"/>
      <c r="M279" s="142" t="n"/>
      <c r="N279" s="146">
        <f>IF(AND(AND(F279="",G279=""),B279="",C279="",D279="",J279="",K279="",L279=""),"",IF(AND(F279="",G279=""),"✗ 没填金额",IF(AND(N(F279)&lt;&gt;0,N(G279)&lt;&gt;0),"✗ 收入、支出只能填一边",IF(NOT(ISNUMBER(B279)),"✗ 日期不是真日期（要像 2026/9/25 这样填）",IF(OR(B279&lt;年初日,B279&gt;年末日),"✗ 日期不在本会计年度",IF(C279="","✗ 没选账户",IF(COUNTIF(基础资料!$W$5:$W$24,C279)=0,"✗ 账户不在基础资料里",IF(O279="","✗ 没选收支项目",IF(P279="未知","✗ 收支项目不在基础资料里",IF(AND(P279="应收",J279=""),"✗ 这笔要选客户",IF(AND(P279="应收",COUNTIF(总览汇总!$B$5:$B$304,J279)=0),"✗ 客户不在总览汇总名单里",IF(AND(P279="应付",K279=""),"✗ 这笔要选供应商",IF(AND(P279="应付",COUNTIF(基础资料!$Q$5:$Q$54,K279)=0),"✗ 供应商不在基础资料里",IF(AND(P279="费用",L279=""),"✗ 费用支出要选费用项目",IF(AND(L279&lt;&gt;"",COUNTIF(基础资料!$AI$5:$AI$54,L279)=0),"✗ 费用项目不在基础资料里",IF(AND(IFERROR(INDEX(基础资料!$AD$5:$AD$34,MATCH(O279,基础资料!$AC$5:$AC$34,0)),"")="收",N(G279)&lt;&gt;0),"✗ 这类是收款，金额填到收入列",IF(AND(IFERROR(INDEX(基础资料!$AD$5:$AD$34,MATCH(O279,基础资料!$AC$5:$AC$34,0)),"")="支",N(F279)&lt;&gt;0),"✗ 这类是付款，金额填到支出列",IF(N(H279)&lt;0,"⚠ 账户余额成负数了，核对一下","√"))))))))))))))))))</f>
      </c>
      <c r="O279" s="78">
        <f>IF(D279&lt;&gt;"",D279,IF(AND(F279="",G279=""),"",IF(J279&lt;&gt;"",IF(N(F279)&gt;0,"客户回款","客户退款"),IF(K279&lt;&gt;"",IF(N(G279)&gt;0,"供应商付款","供应商退款"),IF(L279&lt;&gt;"","费用支出","")))))</f>
      </c>
      <c r="P279" s="78">
        <f>IF(O279="","",IFERROR(INDEX(基础资料!$AE$5:$AE$34,MATCH(O279,基础资料!$AC$5:$AC$34,0)),"未知"))</f>
      </c>
      <c r="Q279" s="78">
        <f>IF(P279="应收",COUNTIF(P$7:P279,"应收"),"")</f>
      </c>
      <c r="R279" s="78">
        <f>IF(P279="应付",COUNTIF(P$7:P279,"应付"),"")</f>
      </c>
      <c r="S279" s="78">
        <f>N(F279)-N(G279)</f>
        <v>0</v>
      </c>
    </row>
    <row r="280">
      <c r="A280" s="109">
        <f>IF(AND(F280="",G280=""),"",ROW()-6)</f>
      </c>
      <c r="B280" s="140" t="n"/>
      <c r="C280" s="141" t="n"/>
      <c r="D280" s="141" t="n"/>
      <c r="E280" s="142" t="n"/>
      <c r="F280" s="143" t="n"/>
      <c r="G280" s="144" t="n"/>
      <c r="H280" s="145">
        <f>IF(OR(C280="",AND(F280="",G280="")),"",SUMIF(基础资料!$W$5:$W$24,C280,基础资料!$X$5:$X$24)+SUMIF(C$7:C280,C280,F$7:F280)-SUMIF(C$7:C280,C280,G$7:G280))</f>
      </c>
      <c r="I280" s="145">
        <f>IF(AND(F280="",G280=""),"",SUM(基础资料!$X$5:$X$24)+SUM(F$7:F280)-SUM(G$7:G280))</f>
      </c>
      <c r="J280" s="141" t="n"/>
      <c r="K280" s="141" t="n"/>
      <c r="L280" s="141" t="n"/>
      <c r="M280" s="142" t="n"/>
      <c r="N280" s="146">
        <f>IF(AND(AND(F280="",G280=""),B280="",C280="",D280="",J280="",K280="",L280=""),"",IF(AND(F280="",G280=""),"✗ 没填金额",IF(AND(N(F280)&lt;&gt;0,N(G280)&lt;&gt;0),"✗ 收入、支出只能填一边",IF(NOT(ISNUMBER(B280)),"✗ 日期不是真日期（要像 2026/9/25 这样填）",IF(OR(B280&lt;年初日,B280&gt;年末日),"✗ 日期不在本会计年度",IF(C280="","✗ 没选账户",IF(COUNTIF(基础资料!$W$5:$W$24,C280)=0,"✗ 账户不在基础资料里",IF(O280="","✗ 没选收支项目",IF(P280="未知","✗ 收支项目不在基础资料里",IF(AND(P280="应收",J280=""),"✗ 这笔要选客户",IF(AND(P280="应收",COUNTIF(总览汇总!$B$5:$B$304,J280)=0),"✗ 客户不在总览汇总名单里",IF(AND(P280="应付",K280=""),"✗ 这笔要选供应商",IF(AND(P280="应付",COUNTIF(基础资料!$Q$5:$Q$54,K280)=0),"✗ 供应商不在基础资料里",IF(AND(P280="费用",L280=""),"✗ 费用支出要选费用项目",IF(AND(L280&lt;&gt;"",COUNTIF(基础资料!$AI$5:$AI$54,L280)=0),"✗ 费用项目不在基础资料里",IF(AND(IFERROR(INDEX(基础资料!$AD$5:$AD$34,MATCH(O280,基础资料!$AC$5:$AC$34,0)),"")="收",N(G280)&lt;&gt;0),"✗ 这类是收款，金额填到收入列",IF(AND(IFERROR(INDEX(基础资料!$AD$5:$AD$34,MATCH(O280,基础资料!$AC$5:$AC$34,0)),"")="支",N(F280)&lt;&gt;0),"✗ 这类是付款，金额填到支出列",IF(N(H280)&lt;0,"⚠ 账户余额成负数了，核对一下","√"))))))))))))))))))</f>
      </c>
      <c r="O280" s="78">
        <f>IF(D280&lt;&gt;"",D280,IF(AND(F280="",G280=""),"",IF(J280&lt;&gt;"",IF(N(F280)&gt;0,"客户回款","客户退款"),IF(K280&lt;&gt;"",IF(N(G280)&gt;0,"供应商付款","供应商退款"),IF(L280&lt;&gt;"","费用支出","")))))</f>
      </c>
      <c r="P280" s="78">
        <f>IF(O280="","",IFERROR(INDEX(基础资料!$AE$5:$AE$34,MATCH(O280,基础资料!$AC$5:$AC$34,0)),"未知"))</f>
      </c>
      <c r="Q280" s="78">
        <f>IF(P280="应收",COUNTIF(P$7:P280,"应收"),"")</f>
      </c>
      <c r="R280" s="78">
        <f>IF(P280="应付",COUNTIF(P$7:P280,"应付"),"")</f>
      </c>
      <c r="S280" s="78">
        <f>N(F280)-N(G280)</f>
        <v>0</v>
      </c>
    </row>
    <row r="281">
      <c r="A281" s="109">
        <f>IF(AND(F281="",G281=""),"",ROW()-6)</f>
      </c>
      <c r="B281" s="140" t="n"/>
      <c r="C281" s="141" t="n"/>
      <c r="D281" s="141" t="n"/>
      <c r="E281" s="142" t="n"/>
      <c r="F281" s="143" t="n"/>
      <c r="G281" s="144" t="n"/>
      <c r="H281" s="145">
        <f>IF(OR(C281="",AND(F281="",G281="")),"",SUMIF(基础资料!$W$5:$W$24,C281,基础资料!$X$5:$X$24)+SUMIF(C$7:C281,C281,F$7:F281)-SUMIF(C$7:C281,C281,G$7:G281))</f>
      </c>
      <c r="I281" s="145">
        <f>IF(AND(F281="",G281=""),"",SUM(基础资料!$X$5:$X$24)+SUM(F$7:F281)-SUM(G$7:G281))</f>
      </c>
      <c r="J281" s="141" t="n"/>
      <c r="K281" s="141" t="n"/>
      <c r="L281" s="141" t="n"/>
      <c r="M281" s="142" t="n"/>
      <c r="N281" s="146">
        <f>IF(AND(AND(F281="",G281=""),B281="",C281="",D281="",J281="",K281="",L281=""),"",IF(AND(F281="",G281=""),"✗ 没填金额",IF(AND(N(F281)&lt;&gt;0,N(G281)&lt;&gt;0),"✗ 收入、支出只能填一边",IF(NOT(ISNUMBER(B281)),"✗ 日期不是真日期（要像 2026/9/25 这样填）",IF(OR(B281&lt;年初日,B281&gt;年末日),"✗ 日期不在本会计年度",IF(C281="","✗ 没选账户",IF(COUNTIF(基础资料!$W$5:$W$24,C281)=0,"✗ 账户不在基础资料里",IF(O281="","✗ 没选收支项目",IF(P281="未知","✗ 收支项目不在基础资料里",IF(AND(P281="应收",J281=""),"✗ 这笔要选客户",IF(AND(P281="应收",COUNTIF(总览汇总!$B$5:$B$304,J281)=0),"✗ 客户不在总览汇总名单里",IF(AND(P281="应付",K281=""),"✗ 这笔要选供应商",IF(AND(P281="应付",COUNTIF(基础资料!$Q$5:$Q$54,K281)=0),"✗ 供应商不在基础资料里",IF(AND(P281="费用",L281=""),"✗ 费用支出要选费用项目",IF(AND(L281&lt;&gt;"",COUNTIF(基础资料!$AI$5:$AI$54,L281)=0),"✗ 费用项目不在基础资料里",IF(AND(IFERROR(INDEX(基础资料!$AD$5:$AD$34,MATCH(O281,基础资料!$AC$5:$AC$34,0)),"")="收",N(G281)&lt;&gt;0),"✗ 这类是收款，金额填到收入列",IF(AND(IFERROR(INDEX(基础资料!$AD$5:$AD$34,MATCH(O281,基础资料!$AC$5:$AC$34,0)),"")="支",N(F281)&lt;&gt;0),"✗ 这类是付款，金额填到支出列",IF(N(H281)&lt;0,"⚠ 账户余额成负数了，核对一下","√"))))))))))))))))))</f>
      </c>
      <c r="O281" s="78">
        <f>IF(D281&lt;&gt;"",D281,IF(AND(F281="",G281=""),"",IF(J281&lt;&gt;"",IF(N(F281)&gt;0,"客户回款","客户退款"),IF(K281&lt;&gt;"",IF(N(G281)&gt;0,"供应商付款","供应商退款"),IF(L281&lt;&gt;"","费用支出","")))))</f>
      </c>
      <c r="P281" s="78">
        <f>IF(O281="","",IFERROR(INDEX(基础资料!$AE$5:$AE$34,MATCH(O281,基础资料!$AC$5:$AC$34,0)),"未知"))</f>
      </c>
      <c r="Q281" s="78">
        <f>IF(P281="应收",COUNTIF(P$7:P281,"应收"),"")</f>
      </c>
      <c r="R281" s="78">
        <f>IF(P281="应付",COUNTIF(P$7:P281,"应付"),"")</f>
      </c>
      <c r="S281" s="78">
        <f>N(F281)-N(G281)</f>
        <v>0</v>
      </c>
    </row>
    <row r="282">
      <c r="A282" s="109">
        <f>IF(AND(F282="",G282=""),"",ROW()-6)</f>
      </c>
      <c r="B282" s="140" t="n"/>
      <c r="C282" s="141" t="n"/>
      <c r="D282" s="141" t="n"/>
      <c r="E282" s="142" t="n"/>
      <c r="F282" s="143" t="n"/>
      <c r="G282" s="144" t="n"/>
      <c r="H282" s="145">
        <f>IF(OR(C282="",AND(F282="",G282="")),"",SUMIF(基础资料!$W$5:$W$24,C282,基础资料!$X$5:$X$24)+SUMIF(C$7:C282,C282,F$7:F282)-SUMIF(C$7:C282,C282,G$7:G282))</f>
      </c>
      <c r="I282" s="145">
        <f>IF(AND(F282="",G282=""),"",SUM(基础资料!$X$5:$X$24)+SUM(F$7:F282)-SUM(G$7:G282))</f>
      </c>
      <c r="J282" s="141" t="n"/>
      <c r="K282" s="141" t="n"/>
      <c r="L282" s="141" t="n"/>
      <c r="M282" s="142" t="n"/>
      <c r="N282" s="146">
        <f>IF(AND(AND(F282="",G282=""),B282="",C282="",D282="",J282="",K282="",L282=""),"",IF(AND(F282="",G282=""),"✗ 没填金额",IF(AND(N(F282)&lt;&gt;0,N(G282)&lt;&gt;0),"✗ 收入、支出只能填一边",IF(NOT(ISNUMBER(B282)),"✗ 日期不是真日期（要像 2026/9/25 这样填）",IF(OR(B282&lt;年初日,B282&gt;年末日),"✗ 日期不在本会计年度",IF(C282="","✗ 没选账户",IF(COUNTIF(基础资料!$W$5:$W$24,C282)=0,"✗ 账户不在基础资料里",IF(O282="","✗ 没选收支项目",IF(P282="未知","✗ 收支项目不在基础资料里",IF(AND(P282="应收",J282=""),"✗ 这笔要选客户",IF(AND(P282="应收",COUNTIF(总览汇总!$B$5:$B$304,J282)=0),"✗ 客户不在总览汇总名单里",IF(AND(P282="应付",K282=""),"✗ 这笔要选供应商",IF(AND(P282="应付",COUNTIF(基础资料!$Q$5:$Q$54,K282)=0),"✗ 供应商不在基础资料里",IF(AND(P282="费用",L282=""),"✗ 费用支出要选费用项目",IF(AND(L282&lt;&gt;"",COUNTIF(基础资料!$AI$5:$AI$54,L282)=0),"✗ 费用项目不在基础资料里",IF(AND(IFERROR(INDEX(基础资料!$AD$5:$AD$34,MATCH(O282,基础资料!$AC$5:$AC$34,0)),"")="收",N(G282)&lt;&gt;0),"✗ 这类是收款，金额填到收入列",IF(AND(IFERROR(INDEX(基础资料!$AD$5:$AD$34,MATCH(O282,基础资料!$AC$5:$AC$34,0)),"")="支",N(F282)&lt;&gt;0),"✗ 这类是付款，金额填到支出列",IF(N(H282)&lt;0,"⚠ 账户余额成负数了，核对一下","√"))))))))))))))))))</f>
      </c>
      <c r="O282" s="78">
        <f>IF(D282&lt;&gt;"",D282,IF(AND(F282="",G282=""),"",IF(J282&lt;&gt;"",IF(N(F282)&gt;0,"客户回款","客户退款"),IF(K282&lt;&gt;"",IF(N(G282)&gt;0,"供应商付款","供应商退款"),IF(L282&lt;&gt;"","费用支出","")))))</f>
      </c>
      <c r="P282" s="78">
        <f>IF(O282="","",IFERROR(INDEX(基础资料!$AE$5:$AE$34,MATCH(O282,基础资料!$AC$5:$AC$34,0)),"未知"))</f>
      </c>
      <c r="Q282" s="78">
        <f>IF(P282="应收",COUNTIF(P$7:P282,"应收"),"")</f>
      </c>
      <c r="R282" s="78">
        <f>IF(P282="应付",COUNTIF(P$7:P282,"应付"),"")</f>
      </c>
      <c r="S282" s="78">
        <f>N(F282)-N(G282)</f>
        <v>0</v>
      </c>
    </row>
    <row r="283">
      <c r="A283" s="109">
        <f>IF(AND(F283="",G283=""),"",ROW()-6)</f>
      </c>
      <c r="B283" s="140" t="n"/>
      <c r="C283" s="141" t="n"/>
      <c r="D283" s="141" t="n"/>
      <c r="E283" s="142" t="n"/>
      <c r="F283" s="143" t="n"/>
      <c r="G283" s="144" t="n"/>
      <c r="H283" s="145">
        <f>IF(OR(C283="",AND(F283="",G283="")),"",SUMIF(基础资料!$W$5:$W$24,C283,基础资料!$X$5:$X$24)+SUMIF(C$7:C283,C283,F$7:F283)-SUMIF(C$7:C283,C283,G$7:G283))</f>
      </c>
      <c r="I283" s="145">
        <f>IF(AND(F283="",G283=""),"",SUM(基础资料!$X$5:$X$24)+SUM(F$7:F283)-SUM(G$7:G283))</f>
      </c>
      <c r="J283" s="141" t="n"/>
      <c r="K283" s="141" t="n"/>
      <c r="L283" s="141" t="n"/>
      <c r="M283" s="142" t="n"/>
      <c r="N283" s="146">
        <f>IF(AND(AND(F283="",G283=""),B283="",C283="",D283="",J283="",K283="",L283=""),"",IF(AND(F283="",G283=""),"✗ 没填金额",IF(AND(N(F283)&lt;&gt;0,N(G283)&lt;&gt;0),"✗ 收入、支出只能填一边",IF(NOT(ISNUMBER(B283)),"✗ 日期不是真日期（要像 2026/9/25 这样填）",IF(OR(B283&lt;年初日,B283&gt;年末日),"✗ 日期不在本会计年度",IF(C283="","✗ 没选账户",IF(COUNTIF(基础资料!$W$5:$W$24,C283)=0,"✗ 账户不在基础资料里",IF(O283="","✗ 没选收支项目",IF(P283="未知","✗ 收支项目不在基础资料里",IF(AND(P283="应收",J283=""),"✗ 这笔要选客户",IF(AND(P283="应收",COUNTIF(总览汇总!$B$5:$B$304,J283)=0),"✗ 客户不在总览汇总名单里",IF(AND(P283="应付",K283=""),"✗ 这笔要选供应商",IF(AND(P283="应付",COUNTIF(基础资料!$Q$5:$Q$54,K283)=0),"✗ 供应商不在基础资料里",IF(AND(P283="费用",L283=""),"✗ 费用支出要选费用项目",IF(AND(L283&lt;&gt;"",COUNTIF(基础资料!$AI$5:$AI$54,L283)=0),"✗ 费用项目不在基础资料里",IF(AND(IFERROR(INDEX(基础资料!$AD$5:$AD$34,MATCH(O283,基础资料!$AC$5:$AC$34,0)),"")="收",N(G283)&lt;&gt;0),"✗ 这类是收款，金额填到收入列",IF(AND(IFERROR(INDEX(基础资料!$AD$5:$AD$34,MATCH(O283,基础资料!$AC$5:$AC$34,0)),"")="支",N(F283)&lt;&gt;0),"✗ 这类是付款，金额填到支出列",IF(N(H283)&lt;0,"⚠ 账户余额成负数了，核对一下","√"))))))))))))))))))</f>
      </c>
      <c r="O283" s="78">
        <f>IF(D283&lt;&gt;"",D283,IF(AND(F283="",G283=""),"",IF(J283&lt;&gt;"",IF(N(F283)&gt;0,"客户回款","客户退款"),IF(K283&lt;&gt;"",IF(N(G283)&gt;0,"供应商付款","供应商退款"),IF(L283&lt;&gt;"","费用支出","")))))</f>
      </c>
      <c r="P283" s="78">
        <f>IF(O283="","",IFERROR(INDEX(基础资料!$AE$5:$AE$34,MATCH(O283,基础资料!$AC$5:$AC$34,0)),"未知"))</f>
      </c>
      <c r="Q283" s="78">
        <f>IF(P283="应收",COUNTIF(P$7:P283,"应收"),"")</f>
      </c>
      <c r="R283" s="78">
        <f>IF(P283="应付",COUNTIF(P$7:P283,"应付"),"")</f>
      </c>
      <c r="S283" s="78">
        <f>N(F283)-N(G283)</f>
        <v>0</v>
      </c>
    </row>
    <row r="284">
      <c r="A284" s="109">
        <f>IF(AND(F284="",G284=""),"",ROW()-6)</f>
      </c>
      <c r="B284" s="140" t="n"/>
      <c r="C284" s="141" t="n"/>
      <c r="D284" s="141" t="n"/>
      <c r="E284" s="142" t="n"/>
      <c r="F284" s="143" t="n"/>
      <c r="G284" s="144" t="n"/>
      <c r="H284" s="145">
        <f>IF(OR(C284="",AND(F284="",G284="")),"",SUMIF(基础资料!$W$5:$W$24,C284,基础资料!$X$5:$X$24)+SUMIF(C$7:C284,C284,F$7:F284)-SUMIF(C$7:C284,C284,G$7:G284))</f>
      </c>
      <c r="I284" s="145">
        <f>IF(AND(F284="",G284=""),"",SUM(基础资料!$X$5:$X$24)+SUM(F$7:F284)-SUM(G$7:G284))</f>
      </c>
      <c r="J284" s="141" t="n"/>
      <c r="K284" s="141" t="n"/>
      <c r="L284" s="141" t="n"/>
      <c r="M284" s="142" t="n"/>
      <c r="N284" s="146">
        <f>IF(AND(AND(F284="",G284=""),B284="",C284="",D284="",J284="",K284="",L284=""),"",IF(AND(F284="",G284=""),"✗ 没填金额",IF(AND(N(F284)&lt;&gt;0,N(G284)&lt;&gt;0),"✗ 收入、支出只能填一边",IF(NOT(ISNUMBER(B284)),"✗ 日期不是真日期（要像 2026/9/25 这样填）",IF(OR(B284&lt;年初日,B284&gt;年末日),"✗ 日期不在本会计年度",IF(C284="","✗ 没选账户",IF(COUNTIF(基础资料!$W$5:$W$24,C284)=0,"✗ 账户不在基础资料里",IF(O284="","✗ 没选收支项目",IF(P284="未知","✗ 收支项目不在基础资料里",IF(AND(P284="应收",J284=""),"✗ 这笔要选客户",IF(AND(P284="应收",COUNTIF(总览汇总!$B$5:$B$304,J284)=0),"✗ 客户不在总览汇总名单里",IF(AND(P284="应付",K284=""),"✗ 这笔要选供应商",IF(AND(P284="应付",COUNTIF(基础资料!$Q$5:$Q$54,K284)=0),"✗ 供应商不在基础资料里",IF(AND(P284="费用",L284=""),"✗ 费用支出要选费用项目",IF(AND(L284&lt;&gt;"",COUNTIF(基础资料!$AI$5:$AI$54,L284)=0),"✗ 费用项目不在基础资料里",IF(AND(IFERROR(INDEX(基础资料!$AD$5:$AD$34,MATCH(O284,基础资料!$AC$5:$AC$34,0)),"")="收",N(G284)&lt;&gt;0),"✗ 这类是收款，金额填到收入列",IF(AND(IFERROR(INDEX(基础资料!$AD$5:$AD$34,MATCH(O284,基础资料!$AC$5:$AC$34,0)),"")="支",N(F284)&lt;&gt;0),"✗ 这类是付款，金额填到支出列",IF(N(H284)&lt;0,"⚠ 账户余额成负数了，核对一下","√"))))))))))))))))))</f>
      </c>
      <c r="O284" s="78">
        <f>IF(D284&lt;&gt;"",D284,IF(AND(F284="",G284=""),"",IF(J284&lt;&gt;"",IF(N(F284)&gt;0,"客户回款","客户退款"),IF(K284&lt;&gt;"",IF(N(G284)&gt;0,"供应商付款","供应商退款"),IF(L284&lt;&gt;"","费用支出","")))))</f>
      </c>
      <c r="P284" s="78">
        <f>IF(O284="","",IFERROR(INDEX(基础资料!$AE$5:$AE$34,MATCH(O284,基础资料!$AC$5:$AC$34,0)),"未知"))</f>
      </c>
      <c r="Q284" s="78">
        <f>IF(P284="应收",COUNTIF(P$7:P284,"应收"),"")</f>
      </c>
      <c r="R284" s="78">
        <f>IF(P284="应付",COUNTIF(P$7:P284,"应付"),"")</f>
      </c>
      <c r="S284" s="78">
        <f>N(F284)-N(G284)</f>
        <v>0</v>
      </c>
    </row>
    <row r="285">
      <c r="A285" s="109">
        <f>IF(AND(F285="",G285=""),"",ROW()-6)</f>
      </c>
      <c r="B285" s="140" t="n"/>
      <c r="C285" s="141" t="n"/>
      <c r="D285" s="141" t="n"/>
      <c r="E285" s="142" t="n"/>
      <c r="F285" s="143" t="n"/>
      <c r="G285" s="144" t="n"/>
      <c r="H285" s="145">
        <f>IF(OR(C285="",AND(F285="",G285="")),"",SUMIF(基础资料!$W$5:$W$24,C285,基础资料!$X$5:$X$24)+SUMIF(C$7:C285,C285,F$7:F285)-SUMIF(C$7:C285,C285,G$7:G285))</f>
      </c>
      <c r="I285" s="145">
        <f>IF(AND(F285="",G285=""),"",SUM(基础资料!$X$5:$X$24)+SUM(F$7:F285)-SUM(G$7:G285))</f>
      </c>
      <c r="J285" s="141" t="n"/>
      <c r="K285" s="141" t="n"/>
      <c r="L285" s="141" t="n"/>
      <c r="M285" s="142" t="n"/>
      <c r="N285" s="146">
        <f>IF(AND(AND(F285="",G285=""),B285="",C285="",D285="",J285="",K285="",L285=""),"",IF(AND(F285="",G285=""),"✗ 没填金额",IF(AND(N(F285)&lt;&gt;0,N(G285)&lt;&gt;0),"✗ 收入、支出只能填一边",IF(NOT(ISNUMBER(B285)),"✗ 日期不是真日期（要像 2026/9/25 这样填）",IF(OR(B285&lt;年初日,B285&gt;年末日),"✗ 日期不在本会计年度",IF(C285="","✗ 没选账户",IF(COUNTIF(基础资料!$W$5:$W$24,C285)=0,"✗ 账户不在基础资料里",IF(O285="","✗ 没选收支项目",IF(P285="未知","✗ 收支项目不在基础资料里",IF(AND(P285="应收",J285=""),"✗ 这笔要选客户",IF(AND(P285="应收",COUNTIF(总览汇总!$B$5:$B$304,J285)=0),"✗ 客户不在总览汇总名单里",IF(AND(P285="应付",K285=""),"✗ 这笔要选供应商",IF(AND(P285="应付",COUNTIF(基础资料!$Q$5:$Q$54,K285)=0),"✗ 供应商不在基础资料里",IF(AND(P285="费用",L285=""),"✗ 费用支出要选费用项目",IF(AND(L285&lt;&gt;"",COUNTIF(基础资料!$AI$5:$AI$54,L285)=0),"✗ 费用项目不在基础资料里",IF(AND(IFERROR(INDEX(基础资料!$AD$5:$AD$34,MATCH(O285,基础资料!$AC$5:$AC$34,0)),"")="收",N(G285)&lt;&gt;0),"✗ 这类是收款，金额填到收入列",IF(AND(IFERROR(INDEX(基础资料!$AD$5:$AD$34,MATCH(O285,基础资料!$AC$5:$AC$34,0)),"")="支",N(F285)&lt;&gt;0),"✗ 这类是付款，金额填到支出列",IF(N(H285)&lt;0,"⚠ 账户余额成负数了，核对一下","√"))))))))))))))))))</f>
      </c>
      <c r="O285" s="78">
        <f>IF(D285&lt;&gt;"",D285,IF(AND(F285="",G285=""),"",IF(J285&lt;&gt;"",IF(N(F285)&gt;0,"客户回款","客户退款"),IF(K285&lt;&gt;"",IF(N(G285)&gt;0,"供应商付款","供应商退款"),IF(L285&lt;&gt;"","费用支出","")))))</f>
      </c>
      <c r="P285" s="78">
        <f>IF(O285="","",IFERROR(INDEX(基础资料!$AE$5:$AE$34,MATCH(O285,基础资料!$AC$5:$AC$34,0)),"未知"))</f>
      </c>
      <c r="Q285" s="78">
        <f>IF(P285="应收",COUNTIF(P$7:P285,"应收"),"")</f>
      </c>
      <c r="R285" s="78">
        <f>IF(P285="应付",COUNTIF(P$7:P285,"应付"),"")</f>
      </c>
      <c r="S285" s="78">
        <f>N(F285)-N(G285)</f>
        <v>0</v>
      </c>
    </row>
    <row r="286">
      <c r="A286" s="109">
        <f>IF(AND(F286="",G286=""),"",ROW()-6)</f>
      </c>
      <c r="B286" s="140" t="n"/>
      <c r="C286" s="141" t="n"/>
      <c r="D286" s="141" t="n"/>
      <c r="E286" s="142" t="n"/>
      <c r="F286" s="143" t="n"/>
      <c r="G286" s="144" t="n"/>
      <c r="H286" s="145">
        <f>IF(OR(C286="",AND(F286="",G286="")),"",SUMIF(基础资料!$W$5:$W$24,C286,基础资料!$X$5:$X$24)+SUMIF(C$7:C286,C286,F$7:F286)-SUMIF(C$7:C286,C286,G$7:G286))</f>
      </c>
      <c r="I286" s="145">
        <f>IF(AND(F286="",G286=""),"",SUM(基础资料!$X$5:$X$24)+SUM(F$7:F286)-SUM(G$7:G286))</f>
      </c>
      <c r="J286" s="141" t="n"/>
      <c r="K286" s="141" t="n"/>
      <c r="L286" s="141" t="n"/>
      <c r="M286" s="142" t="n"/>
      <c r="N286" s="146">
        <f>IF(AND(AND(F286="",G286=""),B286="",C286="",D286="",J286="",K286="",L286=""),"",IF(AND(F286="",G286=""),"✗ 没填金额",IF(AND(N(F286)&lt;&gt;0,N(G286)&lt;&gt;0),"✗ 收入、支出只能填一边",IF(NOT(ISNUMBER(B286)),"✗ 日期不是真日期（要像 2026/9/25 这样填）",IF(OR(B286&lt;年初日,B286&gt;年末日),"✗ 日期不在本会计年度",IF(C286="","✗ 没选账户",IF(COUNTIF(基础资料!$W$5:$W$24,C286)=0,"✗ 账户不在基础资料里",IF(O286="","✗ 没选收支项目",IF(P286="未知","✗ 收支项目不在基础资料里",IF(AND(P286="应收",J286=""),"✗ 这笔要选客户",IF(AND(P286="应收",COUNTIF(总览汇总!$B$5:$B$304,J286)=0),"✗ 客户不在总览汇总名单里",IF(AND(P286="应付",K286=""),"✗ 这笔要选供应商",IF(AND(P286="应付",COUNTIF(基础资料!$Q$5:$Q$54,K286)=0),"✗ 供应商不在基础资料里",IF(AND(P286="费用",L286=""),"✗ 费用支出要选费用项目",IF(AND(L286&lt;&gt;"",COUNTIF(基础资料!$AI$5:$AI$54,L286)=0),"✗ 费用项目不在基础资料里",IF(AND(IFERROR(INDEX(基础资料!$AD$5:$AD$34,MATCH(O286,基础资料!$AC$5:$AC$34,0)),"")="收",N(G286)&lt;&gt;0),"✗ 这类是收款，金额填到收入列",IF(AND(IFERROR(INDEX(基础资料!$AD$5:$AD$34,MATCH(O286,基础资料!$AC$5:$AC$34,0)),"")="支",N(F286)&lt;&gt;0),"✗ 这类是付款，金额填到支出列",IF(N(H286)&lt;0,"⚠ 账户余额成负数了，核对一下","√"))))))))))))))))))</f>
      </c>
      <c r="O286" s="78">
        <f>IF(D286&lt;&gt;"",D286,IF(AND(F286="",G286=""),"",IF(J286&lt;&gt;"",IF(N(F286)&gt;0,"客户回款","客户退款"),IF(K286&lt;&gt;"",IF(N(G286)&gt;0,"供应商付款","供应商退款"),IF(L286&lt;&gt;"","费用支出","")))))</f>
      </c>
      <c r="P286" s="78">
        <f>IF(O286="","",IFERROR(INDEX(基础资料!$AE$5:$AE$34,MATCH(O286,基础资料!$AC$5:$AC$34,0)),"未知"))</f>
      </c>
      <c r="Q286" s="78">
        <f>IF(P286="应收",COUNTIF(P$7:P286,"应收"),"")</f>
      </c>
      <c r="R286" s="78">
        <f>IF(P286="应付",COUNTIF(P$7:P286,"应付"),"")</f>
      </c>
      <c r="S286" s="78">
        <f>N(F286)-N(G286)</f>
        <v>0</v>
      </c>
    </row>
    <row r="287">
      <c r="A287" s="109">
        <f>IF(AND(F287="",G287=""),"",ROW()-6)</f>
      </c>
      <c r="B287" s="140" t="n"/>
      <c r="C287" s="141" t="n"/>
      <c r="D287" s="141" t="n"/>
      <c r="E287" s="142" t="n"/>
      <c r="F287" s="143" t="n"/>
      <c r="G287" s="144" t="n"/>
      <c r="H287" s="145">
        <f>IF(OR(C287="",AND(F287="",G287="")),"",SUMIF(基础资料!$W$5:$W$24,C287,基础资料!$X$5:$X$24)+SUMIF(C$7:C287,C287,F$7:F287)-SUMIF(C$7:C287,C287,G$7:G287))</f>
      </c>
      <c r="I287" s="145">
        <f>IF(AND(F287="",G287=""),"",SUM(基础资料!$X$5:$X$24)+SUM(F$7:F287)-SUM(G$7:G287))</f>
      </c>
      <c r="J287" s="141" t="n"/>
      <c r="K287" s="141" t="n"/>
      <c r="L287" s="141" t="n"/>
      <c r="M287" s="142" t="n"/>
      <c r="N287" s="146">
        <f>IF(AND(AND(F287="",G287=""),B287="",C287="",D287="",J287="",K287="",L287=""),"",IF(AND(F287="",G287=""),"✗ 没填金额",IF(AND(N(F287)&lt;&gt;0,N(G287)&lt;&gt;0),"✗ 收入、支出只能填一边",IF(NOT(ISNUMBER(B287)),"✗ 日期不是真日期（要像 2026/9/25 这样填）",IF(OR(B287&lt;年初日,B287&gt;年末日),"✗ 日期不在本会计年度",IF(C287="","✗ 没选账户",IF(COUNTIF(基础资料!$W$5:$W$24,C287)=0,"✗ 账户不在基础资料里",IF(O287="","✗ 没选收支项目",IF(P287="未知","✗ 收支项目不在基础资料里",IF(AND(P287="应收",J287=""),"✗ 这笔要选客户",IF(AND(P287="应收",COUNTIF(总览汇总!$B$5:$B$304,J287)=0),"✗ 客户不在总览汇总名单里",IF(AND(P287="应付",K287=""),"✗ 这笔要选供应商",IF(AND(P287="应付",COUNTIF(基础资料!$Q$5:$Q$54,K287)=0),"✗ 供应商不在基础资料里",IF(AND(P287="费用",L287=""),"✗ 费用支出要选费用项目",IF(AND(L287&lt;&gt;"",COUNTIF(基础资料!$AI$5:$AI$54,L287)=0),"✗ 费用项目不在基础资料里",IF(AND(IFERROR(INDEX(基础资料!$AD$5:$AD$34,MATCH(O287,基础资料!$AC$5:$AC$34,0)),"")="收",N(G287)&lt;&gt;0),"✗ 这类是收款，金额填到收入列",IF(AND(IFERROR(INDEX(基础资料!$AD$5:$AD$34,MATCH(O287,基础资料!$AC$5:$AC$34,0)),"")="支",N(F287)&lt;&gt;0),"✗ 这类是付款，金额填到支出列",IF(N(H287)&lt;0,"⚠ 账户余额成负数了，核对一下","√"))))))))))))))))))</f>
      </c>
      <c r="O287" s="78">
        <f>IF(D287&lt;&gt;"",D287,IF(AND(F287="",G287=""),"",IF(J287&lt;&gt;"",IF(N(F287)&gt;0,"客户回款","客户退款"),IF(K287&lt;&gt;"",IF(N(G287)&gt;0,"供应商付款","供应商退款"),IF(L287&lt;&gt;"","费用支出","")))))</f>
      </c>
      <c r="P287" s="78">
        <f>IF(O287="","",IFERROR(INDEX(基础资料!$AE$5:$AE$34,MATCH(O287,基础资料!$AC$5:$AC$34,0)),"未知"))</f>
      </c>
      <c r="Q287" s="78">
        <f>IF(P287="应收",COUNTIF(P$7:P287,"应收"),"")</f>
      </c>
      <c r="R287" s="78">
        <f>IF(P287="应付",COUNTIF(P$7:P287,"应付"),"")</f>
      </c>
      <c r="S287" s="78">
        <f>N(F287)-N(G287)</f>
        <v>0</v>
      </c>
    </row>
    <row r="288">
      <c r="A288" s="109">
        <f>IF(AND(F288="",G288=""),"",ROW()-6)</f>
      </c>
      <c r="B288" s="140" t="n"/>
      <c r="C288" s="141" t="n"/>
      <c r="D288" s="141" t="n"/>
      <c r="E288" s="142" t="n"/>
      <c r="F288" s="143" t="n"/>
      <c r="G288" s="144" t="n"/>
      <c r="H288" s="145">
        <f>IF(OR(C288="",AND(F288="",G288="")),"",SUMIF(基础资料!$W$5:$W$24,C288,基础资料!$X$5:$X$24)+SUMIF(C$7:C288,C288,F$7:F288)-SUMIF(C$7:C288,C288,G$7:G288))</f>
      </c>
      <c r="I288" s="145">
        <f>IF(AND(F288="",G288=""),"",SUM(基础资料!$X$5:$X$24)+SUM(F$7:F288)-SUM(G$7:G288))</f>
      </c>
      <c r="J288" s="141" t="n"/>
      <c r="K288" s="141" t="n"/>
      <c r="L288" s="141" t="n"/>
      <c r="M288" s="142" t="n"/>
      <c r="N288" s="146">
        <f>IF(AND(AND(F288="",G288=""),B288="",C288="",D288="",J288="",K288="",L288=""),"",IF(AND(F288="",G288=""),"✗ 没填金额",IF(AND(N(F288)&lt;&gt;0,N(G288)&lt;&gt;0),"✗ 收入、支出只能填一边",IF(NOT(ISNUMBER(B288)),"✗ 日期不是真日期（要像 2026/9/25 这样填）",IF(OR(B288&lt;年初日,B288&gt;年末日),"✗ 日期不在本会计年度",IF(C288="","✗ 没选账户",IF(COUNTIF(基础资料!$W$5:$W$24,C288)=0,"✗ 账户不在基础资料里",IF(O288="","✗ 没选收支项目",IF(P288="未知","✗ 收支项目不在基础资料里",IF(AND(P288="应收",J288=""),"✗ 这笔要选客户",IF(AND(P288="应收",COUNTIF(总览汇总!$B$5:$B$304,J288)=0),"✗ 客户不在总览汇总名单里",IF(AND(P288="应付",K288=""),"✗ 这笔要选供应商",IF(AND(P288="应付",COUNTIF(基础资料!$Q$5:$Q$54,K288)=0),"✗ 供应商不在基础资料里",IF(AND(P288="费用",L288=""),"✗ 费用支出要选费用项目",IF(AND(L288&lt;&gt;"",COUNTIF(基础资料!$AI$5:$AI$54,L288)=0),"✗ 费用项目不在基础资料里",IF(AND(IFERROR(INDEX(基础资料!$AD$5:$AD$34,MATCH(O288,基础资料!$AC$5:$AC$34,0)),"")="收",N(G288)&lt;&gt;0),"✗ 这类是收款，金额填到收入列",IF(AND(IFERROR(INDEX(基础资料!$AD$5:$AD$34,MATCH(O288,基础资料!$AC$5:$AC$34,0)),"")="支",N(F288)&lt;&gt;0),"✗ 这类是付款，金额填到支出列",IF(N(H288)&lt;0,"⚠ 账户余额成负数了，核对一下","√"))))))))))))))))))</f>
      </c>
      <c r="O288" s="78">
        <f>IF(D288&lt;&gt;"",D288,IF(AND(F288="",G288=""),"",IF(J288&lt;&gt;"",IF(N(F288)&gt;0,"客户回款","客户退款"),IF(K288&lt;&gt;"",IF(N(G288)&gt;0,"供应商付款","供应商退款"),IF(L288&lt;&gt;"","费用支出","")))))</f>
      </c>
      <c r="P288" s="78">
        <f>IF(O288="","",IFERROR(INDEX(基础资料!$AE$5:$AE$34,MATCH(O288,基础资料!$AC$5:$AC$34,0)),"未知"))</f>
      </c>
      <c r="Q288" s="78">
        <f>IF(P288="应收",COUNTIF(P$7:P288,"应收"),"")</f>
      </c>
      <c r="R288" s="78">
        <f>IF(P288="应付",COUNTIF(P$7:P288,"应付"),"")</f>
      </c>
      <c r="S288" s="78">
        <f>N(F288)-N(G288)</f>
        <v>0</v>
      </c>
    </row>
    <row r="289">
      <c r="A289" s="109">
        <f>IF(AND(F289="",G289=""),"",ROW()-6)</f>
      </c>
      <c r="B289" s="140" t="n"/>
      <c r="C289" s="141" t="n"/>
      <c r="D289" s="141" t="n"/>
      <c r="E289" s="142" t="n"/>
      <c r="F289" s="143" t="n"/>
      <c r="G289" s="144" t="n"/>
      <c r="H289" s="145">
        <f>IF(OR(C289="",AND(F289="",G289="")),"",SUMIF(基础资料!$W$5:$W$24,C289,基础资料!$X$5:$X$24)+SUMIF(C$7:C289,C289,F$7:F289)-SUMIF(C$7:C289,C289,G$7:G289))</f>
      </c>
      <c r="I289" s="145">
        <f>IF(AND(F289="",G289=""),"",SUM(基础资料!$X$5:$X$24)+SUM(F$7:F289)-SUM(G$7:G289))</f>
      </c>
      <c r="J289" s="141" t="n"/>
      <c r="K289" s="141" t="n"/>
      <c r="L289" s="141" t="n"/>
      <c r="M289" s="142" t="n"/>
      <c r="N289" s="146">
        <f>IF(AND(AND(F289="",G289=""),B289="",C289="",D289="",J289="",K289="",L289=""),"",IF(AND(F289="",G289=""),"✗ 没填金额",IF(AND(N(F289)&lt;&gt;0,N(G289)&lt;&gt;0),"✗ 收入、支出只能填一边",IF(NOT(ISNUMBER(B289)),"✗ 日期不是真日期（要像 2026/9/25 这样填）",IF(OR(B289&lt;年初日,B289&gt;年末日),"✗ 日期不在本会计年度",IF(C289="","✗ 没选账户",IF(COUNTIF(基础资料!$W$5:$W$24,C289)=0,"✗ 账户不在基础资料里",IF(O289="","✗ 没选收支项目",IF(P289="未知","✗ 收支项目不在基础资料里",IF(AND(P289="应收",J289=""),"✗ 这笔要选客户",IF(AND(P289="应收",COUNTIF(总览汇总!$B$5:$B$304,J289)=0),"✗ 客户不在总览汇总名单里",IF(AND(P289="应付",K289=""),"✗ 这笔要选供应商",IF(AND(P289="应付",COUNTIF(基础资料!$Q$5:$Q$54,K289)=0),"✗ 供应商不在基础资料里",IF(AND(P289="费用",L289=""),"✗ 费用支出要选费用项目",IF(AND(L289&lt;&gt;"",COUNTIF(基础资料!$AI$5:$AI$54,L289)=0),"✗ 费用项目不在基础资料里",IF(AND(IFERROR(INDEX(基础资料!$AD$5:$AD$34,MATCH(O289,基础资料!$AC$5:$AC$34,0)),"")="收",N(G289)&lt;&gt;0),"✗ 这类是收款，金额填到收入列",IF(AND(IFERROR(INDEX(基础资料!$AD$5:$AD$34,MATCH(O289,基础资料!$AC$5:$AC$34,0)),"")="支",N(F289)&lt;&gt;0),"✗ 这类是付款，金额填到支出列",IF(N(H289)&lt;0,"⚠ 账户余额成负数了，核对一下","√"))))))))))))))))))</f>
      </c>
      <c r="O289" s="78">
        <f>IF(D289&lt;&gt;"",D289,IF(AND(F289="",G289=""),"",IF(J289&lt;&gt;"",IF(N(F289)&gt;0,"客户回款","客户退款"),IF(K289&lt;&gt;"",IF(N(G289)&gt;0,"供应商付款","供应商退款"),IF(L289&lt;&gt;"","费用支出","")))))</f>
      </c>
      <c r="P289" s="78">
        <f>IF(O289="","",IFERROR(INDEX(基础资料!$AE$5:$AE$34,MATCH(O289,基础资料!$AC$5:$AC$34,0)),"未知"))</f>
      </c>
      <c r="Q289" s="78">
        <f>IF(P289="应收",COUNTIF(P$7:P289,"应收"),"")</f>
      </c>
      <c r="R289" s="78">
        <f>IF(P289="应付",COUNTIF(P$7:P289,"应付"),"")</f>
      </c>
      <c r="S289" s="78">
        <f>N(F289)-N(G289)</f>
        <v>0</v>
      </c>
    </row>
    <row r="290">
      <c r="A290" s="109">
        <f>IF(AND(F290="",G290=""),"",ROW()-6)</f>
      </c>
      <c r="B290" s="140" t="n"/>
      <c r="C290" s="141" t="n"/>
      <c r="D290" s="141" t="n"/>
      <c r="E290" s="142" t="n"/>
      <c r="F290" s="143" t="n"/>
      <c r="G290" s="144" t="n"/>
      <c r="H290" s="145">
        <f>IF(OR(C290="",AND(F290="",G290="")),"",SUMIF(基础资料!$W$5:$W$24,C290,基础资料!$X$5:$X$24)+SUMIF(C$7:C290,C290,F$7:F290)-SUMIF(C$7:C290,C290,G$7:G290))</f>
      </c>
      <c r="I290" s="145">
        <f>IF(AND(F290="",G290=""),"",SUM(基础资料!$X$5:$X$24)+SUM(F$7:F290)-SUM(G$7:G290))</f>
      </c>
      <c r="J290" s="141" t="n"/>
      <c r="K290" s="141" t="n"/>
      <c r="L290" s="141" t="n"/>
      <c r="M290" s="142" t="n"/>
      <c r="N290" s="146">
        <f>IF(AND(AND(F290="",G290=""),B290="",C290="",D290="",J290="",K290="",L290=""),"",IF(AND(F290="",G290=""),"✗ 没填金额",IF(AND(N(F290)&lt;&gt;0,N(G290)&lt;&gt;0),"✗ 收入、支出只能填一边",IF(NOT(ISNUMBER(B290)),"✗ 日期不是真日期（要像 2026/9/25 这样填）",IF(OR(B290&lt;年初日,B290&gt;年末日),"✗ 日期不在本会计年度",IF(C290="","✗ 没选账户",IF(COUNTIF(基础资料!$W$5:$W$24,C290)=0,"✗ 账户不在基础资料里",IF(O290="","✗ 没选收支项目",IF(P290="未知","✗ 收支项目不在基础资料里",IF(AND(P290="应收",J290=""),"✗ 这笔要选客户",IF(AND(P290="应收",COUNTIF(总览汇总!$B$5:$B$304,J290)=0),"✗ 客户不在总览汇总名单里",IF(AND(P290="应付",K290=""),"✗ 这笔要选供应商",IF(AND(P290="应付",COUNTIF(基础资料!$Q$5:$Q$54,K290)=0),"✗ 供应商不在基础资料里",IF(AND(P290="费用",L290=""),"✗ 费用支出要选费用项目",IF(AND(L290&lt;&gt;"",COUNTIF(基础资料!$AI$5:$AI$54,L290)=0),"✗ 费用项目不在基础资料里",IF(AND(IFERROR(INDEX(基础资料!$AD$5:$AD$34,MATCH(O290,基础资料!$AC$5:$AC$34,0)),"")="收",N(G290)&lt;&gt;0),"✗ 这类是收款，金额填到收入列",IF(AND(IFERROR(INDEX(基础资料!$AD$5:$AD$34,MATCH(O290,基础资料!$AC$5:$AC$34,0)),"")="支",N(F290)&lt;&gt;0),"✗ 这类是付款，金额填到支出列",IF(N(H290)&lt;0,"⚠ 账户余额成负数了，核对一下","√"))))))))))))))))))</f>
      </c>
      <c r="O290" s="78">
        <f>IF(D290&lt;&gt;"",D290,IF(AND(F290="",G290=""),"",IF(J290&lt;&gt;"",IF(N(F290)&gt;0,"客户回款","客户退款"),IF(K290&lt;&gt;"",IF(N(G290)&gt;0,"供应商付款","供应商退款"),IF(L290&lt;&gt;"","费用支出","")))))</f>
      </c>
      <c r="P290" s="78">
        <f>IF(O290="","",IFERROR(INDEX(基础资料!$AE$5:$AE$34,MATCH(O290,基础资料!$AC$5:$AC$34,0)),"未知"))</f>
      </c>
      <c r="Q290" s="78">
        <f>IF(P290="应收",COUNTIF(P$7:P290,"应收"),"")</f>
      </c>
      <c r="R290" s="78">
        <f>IF(P290="应付",COUNTIF(P$7:P290,"应付"),"")</f>
      </c>
      <c r="S290" s="78">
        <f>N(F290)-N(G290)</f>
        <v>0</v>
      </c>
    </row>
    <row r="291">
      <c r="A291" s="109">
        <f>IF(AND(F291="",G291=""),"",ROW()-6)</f>
      </c>
      <c r="B291" s="140" t="n"/>
      <c r="C291" s="141" t="n"/>
      <c r="D291" s="141" t="n"/>
      <c r="E291" s="142" t="n"/>
      <c r="F291" s="143" t="n"/>
      <c r="G291" s="144" t="n"/>
      <c r="H291" s="145">
        <f>IF(OR(C291="",AND(F291="",G291="")),"",SUMIF(基础资料!$W$5:$W$24,C291,基础资料!$X$5:$X$24)+SUMIF(C$7:C291,C291,F$7:F291)-SUMIF(C$7:C291,C291,G$7:G291))</f>
      </c>
      <c r="I291" s="145">
        <f>IF(AND(F291="",G291=""),"",SUM(基础资料!$X$5:$X$24)+SUM(F$7:F291)-SUM(G$7:G291))</f>
      </c>
      <c r="J291" s="141" t="n"/>
      <c r="K291" s="141" t="n"/>
      <c r="L291" s="141" t="n"/>
      <c r="M291" s="142" t="n"/>
      <c r="N291" s="146">
        <f>IF(AND(AND(F291="",G291=""),B291="",C291="",D291="",J291="",K291="",L291=""),"",IF(AND(F291="",G291=""),"✗ 没填金额",IF(AND(N(F291)&lt;&gt;0,N(G291)&lt;&gt;0),"✗ 收入、支出只能填一边",IF(NOT(ISNUMBER(B291)),"✗ 日期不是真日期（要像 2026/9/25 这样填）",IF(OR(B291&lt;年初日,B291&gt;年末日),"✗ 日期不在本会计年度",IF(C291="","✗ 没选账户",IF(COUNTIF(基础资料!$W$5:$W$24,C291)=0,"✗ 账户不在基础资料里",IF(O291="","✗ 没选收支项目",IF(P291="未知","✗ 收支项目不在基础资料里",IF(AND(P291="应收",J291=""),"✗ 这笔要选客户",IF(AND(P291="应收",COUNTIF(总览汇总!$B$5:$B$304,J291)=0),"✗ 客户不在总览汇总名单里",IF(AND(P291="应付",K291=""),"✗ 这笔要选供应商",IF(AND(P291="应付",COUNTIF(基础资料!$Q$5:$Q$54,K291)=0),"✗ 供应商不在基础资料里",IF(AND(P291="费用",L291=""),"✗ 费用支出要选费用项目",IF(AND(L291&lt;&gt;"",COUNTIF(基础资料!$AI$5:$AI$54,L291)=0),"✗ 费用项目不在基础资料里",IF(AND(IFERROR(INDEX(基础资料!$AD$5:$AD$34,MATCH(O291,基础资料!$AC$5:$AC$34,0)),"")="收",N(G291)&lt;&gt;0),"✗ 这类是收款，金额填到收入列",IF(AND(IFERROR(INDEX(基础资料!$AD$5:$AD$34,MATCH(O291,基础资料!$AC$5:$AC$34,0)),"")="支",N(F291)&lt;&gt;0),"✗ 这类是付款，金额填到支出列",IF(N(H291)&lt;0,"⚠ 账户余额成负数了，核对一下","√"))))))))))))))))))</f>
      </c>
      <c r="O291" s="78">
        <f>IF(D291&lt;&gt;"",D291,IF(AND(F291="",G291=""),"",IF(J291&lt;&gt;"",IF(N(F291)&gt;0,"客户回款","客户退款"),IF(K291&lt;&gt;"",IF(N(G291)&gt;0,"供应商付款","供应商退款"),IF(L291&lt;&gt;"","费用支出","")))))</f>
      </c>
      <c r="P291" s="78">
        <f>IF(O291="","",IFERROR(INDEX(基础资料!$AE$5:$AE$34,MATCH(O291,基础资料!$AC$5:$AC$34,0)),"未知"))</f>
      </c>
      <c r="Q291" s="78">
        <f>IF(P291="应收",COUNTIF(P$7:P291,"应收"),"")</f>
      </c>
      <c r="R291" s="78">
        <f>IF(P291="应付",COUNTIF(P$7:P291,"应付"),"")</f>
      </c>
      <c r="S291" s="78">
        <f>N(F291)-N(G291)</f>
        <v>0</v>
      </c>
    </row>
    <row r="292">
      <c r="A292" s="109">
        <f>IF(AND(F292="",G292=""),"",ROW()-6)</f>
      </c>
      <c r="B292" s="140" t="n"/>
      <c r="C292" s="141" t="n"/>
      <c r="D292" s="141" t="n"/>
      <c r="E292" s="142" t="n"/>
      <c r="F292" s="143" t="n"/>
      <c r="G292" s="144" t="n"/>
      <c r="H292" s="145">
        <f>IF(OR(C292="",AND(F292="",G292="")),"",SUMIF(基础资料!$W$5:$W$24,C292,基础资料!$X$5:$X$24)+SUMIF(C$7:C292,C292,F$7:F292)-SUMIF(C$7:C292,C292,G$7:G292))</f>
      </c>
      <c r="I292" s="145">
        <f>IF(AND(F292="",G292=""),"",SUM(基础资料!$X$5:$X$24)+SUM(F$7:F292)-SUM(G$7:G292))</f>
      </c>
      <c r="J292" s="141" t="n"/>
      <c r="K292" s="141" t="n"/>
      <c r="L292" s="141" t="n"/>
      <c r="M292" s="142" t="n"/>
      <c r="N292" s="146">
        <f>IF(AND(AND(F292="",G292=""),B292="",C292="",D292="",J292="",K292="",L292=""),"",IF(AND(F292="",G292=""),"✗ 没填金额",IF(AND(N(F292)&lt;&gt;0,N(G292)&lt;&gt;0),"✗ 收入、支出只能填一边",IF(NOT(ISNUMBER(B292)),"✗ 日期不是真日期（要像 2026/9/25 这样填）",IF(OR(B292&lt;年初日,B292&gt;年末日),"✗ 日期不在本会计年度",IF(C292="","✗ 没选账户",IF(COUNTIF(基础资料!$W$5:$W$24,C292)=0,"✗ 账户不在基础资料里",IF(O292="","✗ 没选收支项目",IF(P292="未知","✗ 收支项目不在基础资料里",IF(AND(P292="应收",J292=""),"✗ 这笔要选客户",IF(AND(P292="应收",COUNTIF(总览汇总!$B$5:$B$304,J292)=0),"✗ 客户不在总览汇总名单里",IF(AND(P292="应付",K292=""),"✗ 这笔要选供应商",IF(AND(P292="应付",COUNTIF(基础资料!$Q$5:$Q$54,K292)=0),"✗ 供应商不在基础资料里",IF(AND(P292="费用",L292=""),"✗ 费用支出要选费用项目",IF(AND(L292&lt;&gt;"",COUNTIF(基础资料!$AI$5:$AI$54,L292)=0),"✗ 费用项目不在基础资料里",IF(AND(IFERROR(INDEX(基础资料!$AD$5:$AD$34,MATCH(O292,基础资料!$AC$5:$AC$34,0)),"")="收",N(G292)&lt;&gt;0),"✗ 这类是收款，金额填到收入列",IF(AND(IFERROR(INDEX(基础资料!$AD$5:$AD$34,MATCH(O292,基础资料!$AC$5:$AC$34,0)),"")="支",N(F292)&lt;&gt;0),"✗ 这类是付款，金额填到支出列",IF(N(H292)&lt;0,"⚠ 账户余额成负数了，核对一下","√"))))))))))))))))))</f>
      </c>
      <c r="O292" s="78">
        <f>IF(D292&lt;&gt;"",D292,IF(AND(F292="",G292=""),"",IF(J292&lt;&gt;"",IF(N(F292)&gt;0,"客户回款","客户退款"),IF(K292&lt;&gt;"",IF(N(G292)&gt;0,"供应商付款","供应商退款"),IF(L292&lt;&gt;"","费用支出","")))))</f>
      </c>
      <c r="P292" s="78">
        <f>IF(O292="","",IFERROR(INDEX(基础资料!$AE$5:$AE$34,MATCH(O292,基础资料!$AC$5:$AC$34,0)),"未知"))</f>
      </c>
      <c r="Q292" s="78">
        <f>IF(P292="应收",COUNTIF(P$7:P292,"应收"),"")</f>
      </c>
      <c r="R292" s="78">
        <f>IF(P292="应付",COUNTIF(P$7:P292,"应付"),"")</f>
      </c>
      <c r="S292" s="78">
        <f>N(F292)-N(G292)</f>
        <v>0</v>
      </c>
    </row>
    <row r="293">
      <c r="A293" s="109">
        <f>IF(AND(F293="",G293=""),"",ROW()-6)</f>
      </c>
      <c r="B293" s="140" t="n"/>
      <c r="C293" s="141" t="n"/>
      <c r="D293" s="141" t="n"/>
      <c r="E293" s="142" t="n"/>
      <c r="F293" s="143" t="n"/>
      <c r="G293" s="144" t="n"/>
      <c r="H293" s="145">
        <f>IF(OR(C293="",AND(F293="",G293="")),"",SUMIF(基础资料!$W$5:$W$24,C293,基础资料!$X$5:$X$24)+SUMIF(C$7:C293,C293,F$7:F293)-SUMIF(C$7:C293,C293,G$7:G293))</f>
      </c>
      <c r="I293" s="145">
        <f>IF(AND(F293="",G293=""),"",SUM(基础资料!$X$5:$X$24)+SUM(F$7:F293)-SUM(G$7:G293))</f>
      </c>
      <c r="J293" s="141" t="n"/>
      <c r="K293" s="141" t="n"/>
      <c r="L293" s="141" t="n"/>
      <c r="M293" s="142" t="n"/>
      <c r="N293" s="146">
        <f>IF(AND(AND(F293="",G293=""),B293="",C293="",D293="",J293="",K293="",L293=""),"",IF(AND(F293="",G293=""),"✗ 没填金额",IF(AND(N(F293)&lt;&gt;0,N(G293)&lt;&gt;0),"✗ 收入、支出只能填一边",IF(NOT(ISNUMBER(B293)),"✗ 日期不是真日期（要像 2026/9/25 这样填）",IF(OR(B293&lt;年初日,B293&gt;年末日),"✗ 日期不在本会计年度",IF(C293="","✗ 没选账户",IF(COUNTIF(基础资料!$W$5:$W$24,C293)=0,"✗ 账户不在基础资料里",IF(O293="","✗ 没选收支项目",IF(P293="未知","✗ 收支项目不在基础资料里",IF(AND(P293="应收",J293=""),"✗ 这笔要选客户",IF(AND(P293="应收",COUNTIF(总览汇总!$B$5:$B$304,J293)=0),"✗ 客户不在总览汇总名单里",IF(AND(P293="应付",K293=""),"✗ 这笔要选供应商",IF(AND(P293="应付",COUNTIF(基础资料!$Q$5:$Q$54,K293)=0),"✗ 供应商不在基础资料里",IF(AND(P293="费用",L293=""),"✗ 费用支出要选费用项目",IF(AND(L293&lt;&gt;"",COUNTIF(基础资料!$AI$5:$AI$54,L293)=0),"✗ 费用项目不在基础资料里",IF(AND(IFERROR(INDEX(基础资料!$AD$5:$AD$34,MATCH(O293,基础资料!$AC$5:$AC$34,0)),"")="收",N(G293)&lt;&gt;0),"✗ 这类是收款，金额填到收入列",IF(AND(IFERROR(INDEX(基础资料!$AD$5:$AD$34,MATCH(O293,基础资料!$AC$5:$AC$34,0)),"")="支",N(F293)&lt;&gt;0),"✗ 这类是付款，金额填到支出列",IF(N(H293)&lt;0,"⚠ 账户余额成负数了，核对一下","√"))))))))))))))))))</f>
      </c>
      <c r="O293" s="78">
        <f>IF(D293&lt;&gt;"",D293,IF(AND(F293="",G293=""),"",IF(J293&lt;&gt;"",IF(N(F293)&gt;0,"客户回款","客户退款"),IF(K293&lt;&gt;"",IF(N(G293)&gt;0,"供应商付款","供应商退款"),IF(L293&lt;&gt;"","费用支出","")))))</f>
      </c>
      <c r="P293" s="78">
        <f>IF(O293="","",IFERROR(INDEX(基础资料!$AE$5:$AE$34,MATCH(O293,基础资料!$AC$5:$AC$34,0)),"未知"))</f>
      </c>
      <c r="Q293" s="78">
        <f>IF(P293="应收",COUNTIF(P$7:P293,"应收"),"")</f>
      </c>
      <c r="R293" s="78">
        <f>IF(P293="应付",COUNTIF(P$7:P293,"应付"),"")</f>
      </c>
      <c r="S293" s="78">
        <f>N(F293)-N(G293)</f>
        <v>0</v>
      </c>
    </row>
    <row r="294">
      <c r="A294" s="109">
        <f>IF(AND(F294="",G294=""),"",ROW()-6)</f>
      </c>
      <c r="B294" s="140" t="n"/>
      <c r="C294" s="141" t="n"/>
      <c r="D294" s="141" t="n"/>
      <c r="E294" s="142" t="n"/>
      <c r="F294" s="143" t="n"/>
      <c r="G294" s="144" t="n"/>
      <c r="H294" s="145">
        <f>IF(OR(C294="",AND(F294="",G294="")),"",SUMIF(基础资料!$W$5:$W$24,C294,基础资料!$X$5:$X$24)+SUMIF(C$7:C294,C294,F$7:F294)-SUMIF(C$7:C294,C294,G$7:G294))</f>
      </c>
      <c r="I294" s="145">
        <f>IF(AND(F294="",G294=""),"",SUM(基础资料!$X$5:$X$24)+SUM(F$7:F294)-SUM(G$7:G294))</f>
      </c>
      <c r="J294" s="141" t="n"/>
      <c r="K294" s="141" t="n"/>
      <c r="L294" s="141" t="n"/>
      <c r="M294" s="142" t="n"/>
      <c r="N294" s="146">
        <f>IF(AND(AND(F294="",G294=""),B294="",C294="",D294="",J294="",K294="",L294=""),"",IF(AND(F294="",G294=""),"✗ 没填金额",IF(AND(N(F294)&lt;&gt;0,N(G294)&lt;&gt;0),"✗ 收入、支出只能填一边",IF(NOT(ISNUMBER(B294)),"✗ 日期不是真日期（要像 2026/9/25 这样填）",IF(OR(B294&lt;年初日,B294&gt;年末日),"✗ 日期不在本会计年度",IF(C294="","✗ 没选账户",IF(COUNTIF(基础资料!$W$5:$W$24,C294)=0,"✗ 账户不在基础资料里",IF(O294="","✗ 没选收支项目",IF(P294="未知","✗ 收支项目不在基础资料里",IF(AND(P294="应收",J294=""),"✗ 这笔要选客户",IF(AND(P294="应收",COUNTIF(总览汇总!$B$5:$B$304,J294)=0),"✗ 客户不在总览汇总名单里",IF(AND(P294="应付",K294=""),"✗ 这笔要选供应商",IF(AND(P294="应付",COUNTIF(基础资料!$Q$5:$Q$54,K294)=0),"✗ 供应商不在基础资料里",IF(AND(P294="费用",L294=""),"✗ 费用支出要选费用项目",IF(AND(L294&lt;&gt;"",COUNTIF(基础资料!$AI$5:$AI$54,L294)=0),"✗ 费用项目不在基础资料里",IF(AND(IFERROR(INDEX(基础资料!$AD$5:$AD$34,MATCH(O294,基础资料!$AC$5:$AC$34,0)),"")="收",N(G294)&lt;&gt;0),"✗ 这类是收款，金额填到收入列",IF(AND(IFERROR(INDEX(基础资料!$AD$5:$AD$34,MATCH(O294,基础资料!$AC$5:$AC$34,0)),"")="支",N(F294)&lt;&gt;0),"✗ 这类是付款，金额填到支出列",IF(N(H294)&lt;0,"⚠ 账户余额成负数了，核对一下","√"))))))))))))))))))</f>
      </c>
      <c r="O294" s="78">
        <f>IF(D294&lt;&gt;"",D294,IF(AND(F294="",G294=""),"",IF(J294&lt;&gt;"",IF(N(F294)&gt;0,"客户回款","客户退款"),IF(K294&lt;&gt;"",IF(N(G294)&gt;0,"供应商付款","供应商退款"),IF(L294&lt;&gt;"","费用支出","")))))</f>
      </c>
      <c r="P294" s="78">
        <f>IF(O294="","",IFERROR(INDEX(基础资料!$AE$5:$AE$34,MATCH(O294,基础资料!$AC$5:$AC$34,0)),"未知"))</f>
      </c>
      <c r="Q294" s="78">
        <f>IF(P294="应收",COUNTIF(P$7:P294,"应收"),"")</f>
      </c>
      <c r="R294" s="78">
        <f>IF(P294="应付",COUNTIF(P$7:P294,"应付"),"")</f>
      </c>
      <c r="S294" s="78">
        <f>N(F294)-N(G294)</f>
        <v>0</v>
      </c>
    </row>
    <row r="295">
      <c r="A295" s="109">
        <f>IF(AND(F295="",G295=""),"",ROW()-6)</f>
      </c>
      <c r="B295" s="140" t="n"/>
      <c r="C295" s="141" t="n"/>
      <c r="D295" s="141" t="n"/>
      <c r="E295" s="142" t="n"/>
      <c r="F295" s="143" t="n"/>
      <c r="G295" s="144" t="n"/>
      <c r="H295" s="145">
        <f>IF(OR(C295="",AND(F295="",G295="")),"",SUMIF(基础资料!$W$5:$W$24,C295,基础资料!$X$5:$X$24)+SUMIF(C$7:C295,C295,F$7:F295)-SUMIF(C$7:C295,C295,G$7:G295))</f>
      </c>
      <c r="I295" s="145">
        <f>IF(AND(F295="",G295=""),"",SUM(基础资料!$X$5:$X$24)+SUM(F$7:F295)-SUM(G$7:G295))</f>
      </c>
      <c r="J295" s="141" t="n"/>
      <c r="K295" s="141" t="n"/>
      <c r="L295" s="141" t="n"/>
      <c r="M295" s="142" t="n"/>
      <c r="N295" s="146">
        <f>IF(AND(AND(F295="",G295=""),B295="",C295="",D295="",J295="",K295="",L295=""),"",IF(AND(F295="",G295=""),"✗ 没填金额",IF(AND(N(F295)&lt;&gt;0,N(G295)&lt;&gt;0),"✗ 收入、支出只能填一边",IF(NOT(ISNUMBER(B295)),"✗ 日期不是真日期（要像 2026/9/25 这样填）",IF(OR(B295&lt;年初日,B295&gt;年末日),"✗ 日期不在本会计年度",IF(C295="","✗ 没选账户",IF(COUNTIF(基础资料!$W$5:$W$24,C295)=0,"✗ 账户不在基础资料里",IF(O295="","✗ 没选收支项目",IF(P295="未知","✗ 收支项目不在基础资料里",IF(AND(P295="应收",J295=""),"✗ 这笔要选客户",IF(AND(P295="应收",COUNTIF(总览汇总!$B$5:$B$304,J295)=0),"✗ 客户不在总览汇总名单里",IF(AND(P295="应付",K295=""),"✗ 这笔要选供应商",IF(AND(P295="应付",COUNTIF(基础资料!$Q$5:$Q$54,K295)=0),"✗ 供应商不在基础资料里",IF(AND(P295="费用",L295=""),"✗ 费用支出要选费用项目",IF(AND(L295&lt;&gt;"",COUNTIF(基础资料!$AI$5:$AI$54,L295)=0),"✗ 费用项目不在基础资料里",IF(AND(IFERROR(INDEX(基础资料!$AD$5:$AD$34,MATCH(O295,基础资料!$AC$5:$AC$34,0)),"")="收",N(G295)&lt;&gt;0),"✗ 这类是收款，金额填到收入列",IF(AND(IFERROR(INDEX(基础资料!$AD$5:$AD$34,MATCH(O295,基础资料!$AC$5:$AC$34,0)),"")="支",N(F295)&lt;&gt;0),"✗ 这类是付款，金额填到支出列",IF(N(H295)&lt;0,"⚠ 账户余额成负数了，核对一下","√"))))))))))))))))))</f>
      </c>
      <c r="O295" s="78">
        <f>IF(D295&lt;&gt;"",D295,IF(AND(F295="",G295=""),"",IF(J295&lt;&gt;"",IF(N(F295)&gt;0,"客户回款","客户退款"),IF(K295&lt;&gt;"",IF(N(G295)&gt;0,"供应商付款","供应商退款"),IF(L295&lt;&gt;"","费用支出","")))))</f>
      </c>
      <c r="P295" s="78">
        <f>IF(O295="","",IFERROR(INDEX(基础资料!$AE$5:$AE$34,MATCH(O295,基础资料!$AC$5:$AC$34,0)),"未知"))</f>
      </c>
      <c r="Q295" s="78">
        <f>IF(P295="应收",COUNTIF(P$7:P295,"应收"),"")</f>
      </c>
      <c r="R295" s="78">
        <f>IF(P295="应付",COUNTIF(P$7:P295,"应付"),"")</f>
      </c>
      <c r="S295" s="78">
        <f>N(F295)-N(G295)</f>
        <v>0</v>
      </c>
    </row>
    <row r="296">
      <c r="A296" s="109">
        <f>IF(AND(F296="",G296=""),"",ROW()-6)</f>
      </c>
      <c r="B296" s="140" t="n"/>
      <c r="C296" s="141" t="n"/>
      <c r="D296" s="141" t="n"/>
      <c r="E296" s="142" t="n"/>
      <c r="F296" s="143" t="n"/>
      <c r="G296" s="144" t="n"/>
      <c r="H296" s="145">
        <f>IF(OR(C296="",AND(F296="",G296="")),"",SUMIF(基础资料!$W$5:$W$24,C296,基础资料!$X$5:$X$24)+SUMIF(C$7:C296,C296,F$7:F296)-SUMIF(C$7:C296,C296,G$7:G296))</f>
      </c>
      <c r="I296" s="145">
        <f>IF(AND(F296="",G296=""),"",SUM(基础资料!$X$5:$X$24)+SUM(F$7:F296)-SUM(G$7:G296))</f>
      </c>
      <c r="J296" s="141" t="n"/>
      <c r="K296" s="141" t="n"/>
      <c r="L296" s="141" t="n"/>
      <c r="M296" s="142" t="n"/>
      <c r="N296" s="146">
        <f>IF(AND(AND(F296="",G296=""),B296="",C296="",D296="",J296="",K296="",L296=""),"",IF(AND(F296="",G296=""),"✗ 没填金额",IF(AND(N(F296)&lt;&gt;0,N(G296)&lt;&gt;0),"✗ 收入、支出只能填一边",IF(NOT(ISNUMBER(B296)),"✗ 日期不是真日期（要像 2026/9/25 这样填）",IF(OR(B296&lt;年初日,B296&gt;年末日),"✗ 日期不在本会计年度",IF(C296="","✗ 没选账户",IF(COUNTIF(基础资料!$W$5:$W$24,C296)=0,"✗ 账户不在基础资料里",IF(O296="","✗ 没选收支项目",IF(P296="未知","✗ 收支项目不在基础资料里",IF(AND(P296="应收",J296=""),"✗ 这笔要选客户",IF(AND(P296="应收",COUNTIF(总览汇总!$B$5:$B$304,J296)=0),"✗ 客户不在总览汇总名单里",IF(AND(P296="应付",K296=""),"✗ 这笔要选供应商",IF(AND(P296="应付",COUNTIF(基础资料!$Q$5:$Q$54,K296)=0),"✗ 供应商不在基础资料里",IF(AND(P296="费用",L296=""),"✗ 费用支出要选费用项目",IF(AND(L296&lt;&gt;"",COUNTIF(基础资料!$AI$5:$AI$54,L296)=0),"✗ 费用项目不在基础资料里",IF(AND(IFERROR(INDEX(基础资料!$AD$5:$AD$34,MATCH(O296,基础资料!$AC$5:$AC$34,0)),"")="收",N(G296)&lt;&gt;0),"✗ 这类是收款，金额填到收入列",IF(AND(IFERROR(INDEX(基础资料!$AD$5:$AD$34,MATCH(O296,基础资料!$AC$5:$AC$34,0)),"")="支",N(F296)&lt;&gt;0),"✗ 这类是付款，金额填到支出列",IF(N(H296)&lt;0,"⚠ 账户余额成负数了，核对一下","√"))))))))))))))))))</f>
      </c>
      <c r="O296" s="78">
        <f>IF(D296&lt;&gt;"",D296,IF(AND(F296="",G296=""),"",IF(J296&lt;&gt;"",IF(N(F296)&gt;0,"客户回款","客户退款"),IF(K296&lt;&gt;"",IF(N(G296)&gt;0,"供应商付款","供应商退款"),IF(L296&lt;&gt;"","费用支出","")))))</f>
      </c>
      <c r="P296" s="78">
        <f>IF(O296="","",IFERROR(INDEX(基础资料!$AE$5:$AE$34,MATCH(O296,基础资料!$AC$5:$AC$34,0)),"未知"))</f>
      </c>
      <c r="Q296" s="78">
        <f>IF(P296="应收",COUNTIF(P$7:P296,"应收"),"")</f>
      </c>
      <c r="R296" s="78">
        <f>IF(P296="应付",COUNTIF(P$7:P296,"应付"),"")</f>
      </c>
      <c r="S296" s="78">
        <f>N(F296)-N(G296)</f>
        <v>0</v>
      </c>
    </row>
    <row r="297">
      <c r="A297" s="109">
        <f>IF(AND(F297="",G297=""),"",ROW()-6)</f>
      </c>
      <c r="B297" s="140" t="n"/>
      <c r="C297" s="141" t="n"/>
      <c r="D297" s="141" t="n"/>
      <c r="E297" s="142" t="n"/>
      <c r="F297" s="143" t="n"/>
      <c r="G297" s="144" t="n"/>
      <c r="H297" s="145">
        <f>IF(OR(C297="",AND(F297="",G297="")),"",SUMIF(基础资料!$W$5:$W$24,C297,基础资料!$X$5:$X$24)+SUMIF(C$7:C297,C297,F$7:F297)-SUMIF(C$7:C297,C297,G$7:G297))</f>
      </c>
      <c r="I297" s="145">
        <f>IF(AND(F297="",G297=""),"",SUM(基础资料!$X$5:$X$24)+SUM(F$7:F297)-SUM(G$7:G297))</f>
      </c>
      <c r="J297" s="141" t="n"/>
      <c r="K297" s="141" t="n"/>
      <c r="L297" s="141" t="n"/>
      <c r="M297" s="142" t="n"/>
      <c r="N297" s="146">
        <f>IF(AND(AND(F297="",G297=""),B297="",C297="",D297="",J297="",K297="",L297=""),"",IF(AND(F297="",G297=""),"✗ 没填金额",IF(AND(N(F297)&lt;&gt;0,N(G297)&lt;&gt;0),"✗ 收入、支出只能填一边",IF(NOT(ISNUMBER(B297)),"✗ 日期不是真日期（要像 2026/9/25 这样填）",IF(OR(B297&lt;年初日,B297&gt;年末日),"✗ 日期不在本会计年度",IF(C297="","✗ 没选账户",IF(COUNTIF(基础资料!$W$5:$W$24,C297)=0,"✗ 账户不在基础资料里",IF(O297="","✗ 没选收支项目",IF(P297="未知","✗ 收支项目不在基础资料里",IF(AND(P297="应收",J297=""),"✗ 这笔要选客户",IF(AND(P297="应收",COUNTIF(总览汇总!$B$5:$B$304,J297)=0),"✗ 客户不在总览汇总名单里",IF(AND(P297="应付",K297=""),"✗ 这笔要选供应商",IF(AND(P297="应付",COUNTIF(基础资料!$Q$5:$Q$54,K297)=0),"✗ 供应商不在基础资料里",IF(AND(P297="费用",L297=""),"✗ 费用支出要选费用项目",IF(AND(L297&lt;&gt;"",COUNTIF(基础资料!$AI$5:$AI$54,L297)=0),"✗ 费用项目不在基础资料里",IF(AND(IFERROR(INDEX(基础资料!$AD$5:$AD$34,MATCH(O297,基础资料!$AC$5:$AC$34,0)),"")="收",N(G297)&lt;&gt;0),"✗ 这类是收款，金额填到收入列",IF(AND(IFERROR(INDEX(基础资料!$AD$5:$AD$34,MATCH(O297,基础资料!$AC$5:$AC$34,0)),"")="支",N(F297)&lt;&gt;0),"✗ 这类是付款，金额填到支出列",IF(N(H297)&lt;0,"⚠ 账户余额成负数了，核对一下","√"))))))))))))))))))</f>
      </c>
      <c r="O297" s="78">
        <f>IF(D297&lt;&gt;"",D297,IF(AND(F297="",G297=""),"",IF(J297&lt;&gt;"",IF(N(F297)&gt;0,"客户回款","客户退款"),IF(K297&lt;&gt;"",IF(N(G297)&gt;0,"供应商付款","供应商退款"),IF(L297&lt;&gt;"","费用支出","")))))</f>
      </c>
      <c r="P297" s="78">
        <f>IF(O297="","",IFERROR(INDEX(基础资料!$AE$5:$AE$34,MATCH(O297,基础资料!$AC$5:$AC$34,0)),"未知"))</f>
      </c>
      <c r="Q297" s="78">
        <f>IF(P297="应收",COUNTIF(P$7:P297,"应收"),"")</f>
      </c>
      <c r="R297" s="78">
        <f>IF(P297="应付",COUNTIF(P$7:P297,"应付"),"")</f>
      </c>
      <c r="S297" s="78">
        <f>N(F297)-N(G297)</f>
        <v>0</v>
      </c>
    </row>
    <row r="298">
      <c r="A298" s="109">
        <f>IF(AND(F298="",G298=""),"",ROW()-6)</f>
      </c>
      <c r="B298" s="140" t="n"/>
      <c r="C298" s="141" t="n"/>
      <c r="D298" s="141" t="n"/>
      <c r="E298" s="142" t="n"/>
      <c r="F298" s="143" t="n"/>
      <c r="G298" s="144" t="n"/>
      <c r="H298" s="145">
        <f>IF(OR(C298="",AND(F298="",G298="")),"",SUMIF(基础资料!$W$5:$W$24,C298,基础资料!$X$5:$X$24)+SUMIF(C$7:C298,C298,F$7:F298)-SUMIF(C$7:C298,C298,G$7:G298))</f>
      </c>
      <c r="I298" s="145">
        <f>IF(AND(F298="",G298=""),"",SUM(基础资料!$X$5:$X$24)+SUM(F$7:F298)-SUM(G$7:G298))</f>
      </c>
      <c r="J298" s="141" t="n"/>
      <c r="K298" s="141" t="n"/>
      <c r="L298" s="141" t="n"/>
      <c r="M298" s="142" t="n"/>
      <c r="N298" s="146">
        <f>IF(AND(AND(F298="",G298=""),B298="",C298="",D298="",J298="",K298="",L298=""),"",IF(AND(F298="",G298=""),"✗ 没填金额",IF(AND(N(F298)&lt;&gt;0,N(G298)&lt;&gt;0),"✗ 收入、支出只能填一边",IF(NOT(ISNUMBER(B298)),"✗ 日期不是真日期（要像 2026/9/25 这样填）",IF(OR(B298&lt;年初日,B298&gt;年末日),"✗ 日期不在本会计年度",IF(C298="","✗ 没选账户",IF(COUNTIF(基础资料!$W$5:$W$24,C298)=0,"✗ 账户不在基础资料里",IF(O298="","✗ 没选收支项目",IF(P298="未知","✗ 收支项目不在基础资料里",IF(AND(P298="应收",J298=""),"✗ 这笔要选客户",IF(AND(P298="应收",COUNTIF(总览汇总!$B$5:$B$304,J298)=0),"✗ 客户不在总览汇总名单里",IF(AND(P298="应付",K298=""),"✗ 这笔要选供应商",IF(AND(P298="应付",COUNTIF(基础资料!$Q$5:$Q$54,K298)=0),"✗ 供应商不在基础资料里",IF(AND(P298="费用",L298=""),"✗ 费用支出要选费用项目",IF(AND(L298&lt;&gt;"",COUNTIF(基础资料!$AI$5:$AI$54,L298)=0),"✗ 费用项目不在基础资料里",IF(AND(IFERROR(INDEX(基础资料!$AD$5:$AD$34,MATCH(O298,基础资料!$AC$5:$AC$34,0)),"")="收",N(G298)&lt;&gt;0),"✗ 这类是收款，金额填到收入列",IF(AND(IFERROR(INDEX(基础资料!$AD$5:$AD$34,MATCH(O298,基础资料!$AC$5:$AC$34,0)),"")="支",N(F298)&lt;&gt;0),"✗ 这类是付款，金额填到支出列",IF(N(H298)&lt;0,"⚠ 账户余额成负数了，核对一下","√"))))))))))))))))))</f>
      </c>
      <c r="O298" s="78">
        <f>IF(D298&lt;&gt;"",D298,IF(AND(F298="",G298=""),"",IF(J298&lt;&gt;"",IF(N(F298)&gt;0,"客户回款","客户退款"),IF(K298&lt;&gt;"",IF(N(G298)&gt;0,"供应商付款","供应商退款"),IF(L298&lt;&gt;"","费用支出","")))))</f>
      </c>
      <c r="P298" s="78">
        <f>IF(O298="","",IFERROR(INDEX(基础资料!$AE$5:$AE$34,MATCH(O298,基础资料!$AC$5:$AC$34,0)),"未知"))</f>
      </c>
      <c r="Q298" s="78">
        <f>IF(P298="应收",COUNTIF(P$7:P298,"应收"),"")</f>
      </c>
      <c r="R298" s="78">
        <f>IF(P298="应付",COUNTIF(P$7:P298,"应付"),"")</f>
      </c>
      <c r="S298" s="78">
        <f>N(F298)-N(G298)</f>
        <v>0</v>
      </c>
    </row>
    <row r="299">
      <c r="A299" s="109">
        <f>IF(AND(F299="",G299=""),"",ROW()-6)</f>
      </c>
      <c r="B299" s="140" t="n"/>
      <c r="C299" s="141" t="n"/>
      <c r="D299" s="141" t="n"/>
      <c r="E299" s="142" t="n"/>
      <c r="F299" s="143" t="n"/>
      <c r="G299" s="144" t="n"/>
      <c r="H299" s="145">
        <f>IF(OR(C299="",AND(F299="",G299="")),"",SUMIF(基础资料!$W$5:$W$24,C299,基础资料!$X$5:$X$24)+SUMIF(C$7:C299,C299,F$7:F299)-SUMIF(C$7:C299,C299,G$7:G299))</f>
      </c>
      <c r="I299" s="145">
        <f>IF(AND(F299="",G299=""),"",SUM(基础资料!$X$5:$X$24)+SUM(F$7:F299)-SUM(G$7:G299))</f>
      </c>
      <c r="J299" s="141" t="n"/>
      <c r="K299" s="141" t="n"/>
      <c r="L299" s="141" t="n"/>
      <c r="M299" s="142" t="n"/>
      <c r="N299" s="146">
        <f>IF(AND(AND(F299="",G299=""),B299="",C299="",D299="",J299="",K299="",L299=""),"",IF(AND(F299="",G299=""),"✗ 没填金额",IF(AND(N(F299)&lt;&gt;0,N(G299)&lt;&gt;0),"✗ 收入、支出只能填一边",IF(NOT(ISNUMBER(B299)),"✗ 日期不是真日期（要像 2026/9/25 这样填）",IF(OR(B299&lt;年初日,B299&gt;年末日),"✗ 日期不在本会计年度",IF(C299="","✗ 没选账户",IF(COUNTIF(基础资料!$W$5:$W$24,C299)=0,"✗ 账户不在基础资料里",IF(O299="","✗ 没选收支项目",IF(P299="未知","✗ 收支项目不在基础资料里",IF(AND(P299="应收",J299=""),"✗ 这笔要选客户",IF(AND(P299="应收",COUNTIF(总览汇总!$B$5:$B$304,J299)=0),"✗ 客户不在总览汇总名单里",IF(AND(P299="应付",K299=""),"✗ 这笔要选供应商",IF(AND(P299="应付",COUNTIF(基础资料!$Q$5:$Q$54,K299)=0),"✗ 供应商不在基础资料里",IF(AND(P299="费用",L299=""),"✗ 费用支出要选费用项目",IF(AND(L299&lt;&gt;"",COUNTIF(基础资料!$AI$5:$AI$54,L299)=0),"✗ 费用项目不在基础资料里",IF(AND(IFERROR(INDEX(基础资料!$AD$5:$AD$34,MATCH(O299,基础资料!$AC$5:$AC$34,0)),"")="收",N(G299)&lt;&gt;0),"✗ 这类是收款，金额填到收入列",IF(AND(IFERROR(INDEX(基础资料!$AD$5:$AD$34,MATCH(O299,基础资料!$AC$5:$AC$34,0)),"")="支",N(F299)&lt;&gt;0),"✗ 这类是付款，金额填到支出列",IF(N(H299)&lt;0,"⚠ 账户余额成负数了，核对一下","√"))))))))))))))))))</f>
      </c>
      <c r="O299" s="78">
        <f>IF(D299&lt;&gt;"",D299,IF(AND(F299="",G299=""),"",IF(J299&lt;&gt;"",IF(N(F299)&gt;0,"客户回款","客户退款"),IF(K299&lt;&gt;"",IF(N(G299)&gt;0,"供应商付款","供应商退款"),IF(L299&lt;&gt;"","费用支出","")))))</f>
      </c>
      <c r="P299" s="78">
        <f>IF(O299="","",IFERROR(INDEX(基础资料!$AE$5:$AE$34,MATCH(O299,基础资料!$AC$5:$AC$34,0)),"未知"))</f>
      </c>
      <c r="Q299" s="78">
        <f>IF(P299="应收",COUNTIF(P$7:P299,"应收"),"")</f>
      </c>
      <c r="R299" s="78">
        <f>IF(P299="应付",COUNTIF(P$7:P299,"应付"),"")</f>
      </c>
      <c r="S299" s="78">
        <f>N(F299)-N(G299)</f>
        <v>0</v>
      </c>
    </row>
    <row r="300">
      <c r="A300" s="109">
        <f>IF(AND(F300="",G300=""),"",ROW()-6)</f>
      </c>
      <c r="B300" s="140" t="n"/>
      <c r="C300" s="141" t="n"/>
      <c r="D300" s="141" t="n"/>
      <c r="E300" s="142" t="n"/>
      <c r="F300" s="143" t="n"/>
      <c r="G300" s="144" t="n"/>
      <c r="H300" s="145">
        <f>IF(OR(C300="",AND(F300="",G300="")),"",SUMIF(基础资料!$W$5:$W$24,C300,基础资料!$X$5:$X$24)+SUMIF(C$7:C300,C300,F$7:F300)-SUMIF(C$7:C300,C300,G$7:G300))</f>
      </c>
      <c r="I300" s="145">
        <f>IF(AND(F300="",G300=""),"",SUM(基础资料!$X$5:$X$24)+SUM(F$7:F300)-SUM(G$7:G300))</f>
      </c>
      <c r="J300" s="141" t="n"/>
      <c r="K300" s="141" t="n"/>
      <c r="L300" s="141" t="n"/>
      <c r="M300" s="142" t="n"/>
      <c r="N300" s="146">
        <f>IF(AND(AND(F300="",G300=""),B300="",C300="",D300="",J300="",K300="",L300=""),"",IF(AND(F300="",G300=""),"✗ 没填金额",IF(AND(N(F300)&lt;&gt;0,N(G300)&lt;&gt;0),"✗ 收入、支出只能填一边",IF(NOT(ISNUMBER(B300)),"✗ 日期不是真日期（要像 2026/9/25 这样填）",IF(OR(B300&lt;年初日,B300&gt;年末日),"✗ 日期不在本会计年度",IF(C300="","✗ 没选账户",IF(COUNTIF(基础资料!$W$5:$W$24,C300)=0,"✗ 账户不在基础资料里",IF(O300="","✗ 没选收支项目",IF(P300="未知","✗ 收支项目不在基础资料里",IF(AND(P300="应收",J300=""),"✗ 这笔要选客户",IF(AND(P300="应收",COUNTIF(总览汇总!$B$5:$B$304,J300)=0),"✗ 客户不在总览汇总名单里",IF(AND(P300="应付",K300=""),"✗ 这笔要选供应商",IF(AND(P300="应付",COUNTIF(基础资料!$Q$5:$Q$54,K300)=0),"✗ 供应商不在基础资料里",IF(AND(P300="费用",L300=""),"✗ 费用支出要选费用项目",IF(AND(L300&lt;&gt;"",COUNTIF(基础资料!$AI$5:$AI$54,L300)=0),"✗ 费用项目不在基础资料里",IF(AND(IFERROR(INDEX(基础资料!$AD$5:$AD$34,MATCH(O300,基础资料!$AC$5:$AC$34,0)),"")="收",N(G300)&lt;&gt;0),"✗ 这类是收款，金额填到收入列",IF(AND(IFERROR(INDEX(基础资料!$AD$5:$AD$34,MATCH(O300,基础资料!$AC$5:$AC$34,0)),"")="支",N(F300)&lt;&gt;0),"✗ 这类是付款，金额填到支出列",IF(N(H300)&lt;0,"⚠ 账户余额成负数了，核对一下","√"))))))))))))))))))</f>
      </c>
      <c r="O300" s="78">
        <f>IF(D300&lt;&gt;"",D300,IF(AND(F300="",G300=""),"",IF(J300&lt;&gt;"",IF(N(F300)&gt;0,"客户回款","客户退款"),IF(K300&lt;&gt;"",IF(N(G300)&gt;0,"供应商付款","供应商退款"),IF(L300&lt;&gt;"","费用支出","")))))</f>
      </c>
      <c r="P300" s="78">
        <f>IF(O300="","",IFERROR(INDEX(基础资料!$AE$5:$AE$34,MATCH(O300,基础资料!$AC$5:$AC$34,0)),"未知"))</f>
      </c>
      <c r="Q300" s="78">
        <f>IF(P300="应收",COUNTIF(P$7:P300,"应收"),"")</f>
      </c>
      <c r="R300" s="78">
        <f>IF(P300="应付",COUNTIF(P$7:P300,"应付"),"")</f>
      </c>
      <c r="S300" s="78">
        <f>N(F300)-N(G300)</f>
        <v>0</v>
      </c>
    </row>
    <row r="301">
      <c r="A301" s="109">
        <f>IF(AND(F301="",G301=""),"",ROW()-6)</f>
      </c>
      <c r="B301" s="140" t="n"/>
      <c r="C301" s="141" t="n"/>
      <c r="D301" s="141" t="n"/>
      <c r="E301" s="142" t="n"/>
      <c r="F301" s="143" t="n"/>
      <c r="G301" s="144" t="n"/>
      <c r="H301" s="145">
        <f>IF(OR(C301="",AND(F301="",G301="")),"",SUMIF(基础资料!$W$5:$W$24,C301,基础资料!$X$5:$X$24)+SUMIF(C$7:C301,C301,F$7:F301)-SUMIF(C$7:C301,C301,G$7:G301))</f>
      </c>
      <c r="I301" s="145">
        <f>IF(AND(F301="",G301=""),"",SUM(基础资料!$X$5:$X$24)+SUM(F$7:F301)-SUM(G$7:G301))</f>
      </c>
      <c r="J301" s="141" t="n"/>
      <c r="K301" s="141" t="n"/>
      <c r="L301" s="141" t="n"/>
      <c r="M301" s="142" t="n"/>
      <c r="N301" s="146">
        <f>IF(AND(AND(F301="",G301=""),B301="",C301="",D301="",J301="",K301="",L301=""),"",IF(AND(F301="",G301=""),"✗ 没填金额",IF(AND(N(F301)&lt;&gt;0,N(G301)&lt;&gt;0),"✗ 收入、支出只能填一边",IF(NOT(ISNUMBER(B301)),"✗ 日期不是真日期（要像 2026/9/25 这样填）",IF(OR(B301&lt;年初日,B301&gt;年末日),"✗ 日期不在本会计年度",IF(C301="","✗ 没选账户",IF(COUNTIF(基础资料!$W$5:$W$24,C301)=0,"✗ 账户不在基础资料里",IF(O301="","✗ 没选收支项目",IF(P301="未知","✗ 收支项目不在基础资料里",IF(AND(P301="应收",J301=""),"✗ 这笔要选客户",IF(AND(P301="应收",COUNTIF(总览汇总!$B$5:$B$304,J301)=0),"✗ 客户不在总览汇总名单里",IF(AND(P301="应付",K301=""),"✗ 这笔要选供应商",IF(AND(P301="应付",COUNTIF(基础资料!$Q$5:$Q$54,K301)=0),"✗ 供应商不在基础资料里",IF(AND(P301="费用",L301=""),"✗ 费用支出要选费用项目",IF(AND(L301&lt;&gt;"",COUNTIF(基础资料!$AI$5:$AI$54,L301)=0),"✗ 费用项目不在基础资料里",IF(AND(IFERROR(INDEX(基础资料!$AD$5:$AD$34,MATCH(O301,基础资料!$AC$5:$AC$34,0)),"")="收",N(G301)&lt;&gt;0),"✗ 这类是收款，金额填到收入列",IF(AND(IFERROR(INDEX(基础资料!$AD$5:$AD$34,MATCH(O301,基础资料!$AC$5:$AC$34,0)),"")="支",N(F301)&lt;&gt;0),"✗ 这类是付款，金额填到支出列",IF(N(H301)&lt;0,"⚠ 账户余额成负数了，核对一下","√"))))))))))))))))))</f>
      </c>
      <c r="O301" s="78">
        <f>IF(D301&lt;&gt;"",D301,IF(AND(F301="",G301=""),"",IF(J301&lt;&gt;"",IF(N(F301)&gt;0,"客户回款","客户退款"),IF(K301&lt;&gt;"",IF(N(G301)&gt;0,"供应商付款","供应商退款"),IF(L301&lt;&gt;"","费用支出","")))))</f>
      </c>
      <c r="P301" s="78">
        <f>IF(O301="","",IFERROR(INDEX(基础资料!$AE$5:$AE$34,MATCH(O301,基础资料!$AC$5:$AC$34,0)),"未知"))</f>
      </c>
      <c r="Q301" s="78">
        <f>IF(P301="应收",COUNTIF(P$7:P301,"应收"),"")</f>
      </c>
      <c r="R301" s="78">
        <f>IF(P301="应付",COUNTIF(P$7:P301,"应付"),"")</f>
      </c>
      <c r="S301" s="78">
        <f>N(F301)-N(G301)</f>
        <v>0</v>
      </c>
    </row>
    <row r="302">
      <c r="A302" s="109">
        <f>IF(AND(F302="",G302=""),"",ROW()-6)</f>
      </c>
      <c r="B302" s="140" t="n"/>
      <c r="C302" s="141" t="n"/>
      <c r="D302" s="141" t="n"/>
      <c r="E302" s="142" t="n"/>
      <c r="F302" s="143" t="n"/>
      <c r="G302" s="144" t="n"/>
      <c r="H302" s="145">
        <f>IF(OR(C302="",AND(F302="",G302="")),"",SUMIF(基础资料!$W$5:$W$24,C302,基础资料!$X$5:$X$24)+SUMIF(C$7:C302,C302,F$7:F302)-SUMIF(C$7:C302,C302,G$7:G302))</f>
      </c>
      <c r="I302" s="145">
        <f>IF(AND(F302="",G302=""),"",SUM(基础资料!$X$5:$X$24)+SUM(F$7:F302)-SUM(G$7:G302))</f>
      </c>
      <c r="J302" s="141" t="n"/>
      <c r="K302" s="141" t="n"/>
      <c r="L302" s="141" t="n"/>
      <c r="M302" s="142" t="n"/>
      <c r="N302" s="146">
        <f>IF(AND(AND(F302="",G302=""),B302="",C302="",D302="",J302="",K302="",L302=""),"",IF(AND(F302="",G302=""),"✗ 没填金额",IF(AND(N(F302)&lt;&gt;0,N(G302)&lt;&gt;0),"✗ 收入、支出只能填一边",IF(NOT(ISNUMBER(B302)),"✗ 日期不是真日期（要像 2026/9/25 这样填）",IF(OR(B302&lt;年初日,B302&gt;年末日),"✗ 日期不在本会计年度",IF(C302="","✗ 没选账户",IF(COUNTIF(基础资料!$W$5:$W$24,C302)=0,"✗ 账户不在基础资料里",IF(O302="","✗ 没选收支项目",IF(P302="未知","✗ 收支项目不在基础资料里",IF(AND(P302="应收",J302=""),"✗ 这笔要选客户",IF(AND(P302="应收",COUNTIF(总览汇总!$B$5:$B$304,J302)=0),"✗ 客户不在总览汇总名单里",IF(AND(P302="应付",K302=""),"✗ 这笔要选供应商",IF(AND(P302="应付",COUNTIF(基础资料!$Q$5:$Q$54,K302)=0),"✗ 供应商不在基础资料里",IF(AND(P302="费用",L302=""),"✗ 费用支出要选费用项目",IF(AND(L302&lt;&gt;"",COUNTIF(基础资料!$AI$5:$AI$54,L302)=0),"✗ 费用项目不在基础资料里",IF(AND(IFERROR(INDEX(基础资料!$AD$5:$AD$34,MATCH(O302,基础资料!$AC$5:$AC$34,0)),"")="收",N(G302)&lt;&gt;0),"✗ 这类是收款，金额填到收入列",IF(AND(IFERROR(INDEX(基础资料!$AD$5:$AD$34,MATCH(O302,基础资料!$AC$5:$AC$34,0)),"")="支",N(F302)&lt;&gt;0),"✗ 这类是付款，金额填到支出列",IF(N(H302)&lt;0,"⚠ 账户余额成负数了，核对一下","√"))))))))))))))))))</f>
      </c>
      <c r="O302" s="78">
        <f>IF(D302&lt;&gt;"",D302,IF(AND(F302="",G302=""),"",IF(J302&lt;&gt;"",IF(N(F302)&gt;0,"客户回款","客户退款"),IF(K302&lt;&gt;"",IF(N(G302)&gt;0,"供应商付款","供应商退款"),IF(L302&lt;&gt;"","费用支出","")))))</f>
      </c>
      <c r="P302" s="78">
        <f>IF(O302="","",IFERROR(INDEX(基础资料!$AE$5:$AE$34,MATCH(O302,基础资料!$AC$5:$AC$34,0)),"未知"))</f>
      </c>
      <c r="Q302" s="78">
        <f>IF(P302="应收",COUNTIF(P$7:P302,"应收"),"")</f>
      </c>
      <c r="R302" s="78">
        <f>IF(P302="应付",COUNTIF(P$7:P302,"应付"),"")</f>
      </c>
      <c r="S302" s="78">
        <f>N(F302)-N(G302)</f>
        <v>0</v>
      </c>
    </row>
    <row r="303">
      <c r="A303" s="109">
        <f>IF(AND(F303="",G303=""),"",ROW()-6)</f>
      </c>
      <c r="B303" s="140" t="n"/>
      <c r="C303" s="141" t="n"/>
      <c r="D303" s="141" t="n"/>
      <c r="E303" s="142" t="n"/>
      <c r="F303" s="143" t="n"/>
      <c r="G303" s="144" t="n"/>
      <c r="H303" s="145">
        <f>IF(OR(C303="",AND(F303="",G303="")),"",SUMIF(基础资料!$W$5:$W$24,C303,基础资料!$X$5:$X$24)+SUMIF(C$7:C303,C303,F$7:F303)-SUMIF(C$7:C303,C303,G$7:G303))</f>
      </c>
      <c r="I303" s="145">
        <f>IF(AND(F303="",G303=""),"",SUM(基础资料!$X$5:$X$24)+SUM(F$7:F303)-SUM(G$7:G303))</f>
      </c>
      <c r="J303" s="141" t="n"/>
      <c r="K303" s="141" t="n"/>
      <c r="L303" s="141" t="n"/>
      <c r="M303" s="142" t="n"/>
      <c r="N303" s="146">
        <f>IF(AND(AND(F303="",G303=""),B303="",C303="",D303="",J303="",K303="",L303=""),"",IF(AND(F303="",G303=""),"✗ 没填金额",IF(AND(N(F303)&lt;&gt;0,N(G303)&lt;&gt;0),"✗ 收入、支出只能填一边",IF(NOT(ISNUMBER(B303)),"✗ 日期不是真日期（要像 2026/9/25 这样填）",IF(OR(B303&lt;年初日,B303&gt;年末日),"✗ 日期不在本会计年度",IF(C303="","✗ 没选账户",IF(COUNTIF(基础资料!$W$5:$W$24,C303)=0,"✗ 账户不在基础资料里",IF(O303="","✗ 没选收支项目",IF(P303="未知","✗ 收支项目不在基础资料里",IF(AND(P303="应收",J303=""),"✗ 这笔要选客户",IF(AND(P303="应收",COUNTIF(总览汇总!$B$5:$B$304,J303)=0),"✗ 客户不在总览汇总名单里",IF(AND(P303="应付",K303=""),"✗ 这笔要选供应商",IF(AND(P303="应付",COUNTIF(基础资料!$Q$5:$Q$54,K303)=0),"✗ 供应商不在基础资料里",IF(AND(P303="费用",L303=""),"✗ 费用支出要选费用项目",IF(AND(L303&lt;&gt;"",COUNTIF(基础资料!$AI$5:$AI$54,L303)=0),"✗ 费用项目不在基础资料里",IF(AND(IFERROR(INDEX(基础资料!$AD$5:$AD$34,MATCH(O303,基础资料!$AC$5:$AC$34,0)),"")="收",N(G303)&lt;&gt;0),"✗ 这类是收款，金额填到收入列",IF(AND(IFERROR(INDEX(基础资料!$AD$5:$AD$34,MATCH(O303,基础资料!$AC$5:$AC$34,0)),"")="支",N(F303)&lt;&gt;0),"✗ 这类是付款，金额填到支出列",IF(N(H303)&lt;0,"⚠ 账户余额成负数了，核对一下","√"))))))))))))))))))</f>
      </c>
      <c r="O303" s="78">
        <f>IF(D303&lt;&gt;"",D303,IF(AND(F303="",G303=""),"",IF(J303&lt;&gt;"",IF(N(F303)&gt;0,"客户回款","客户退款"),IF(K303&lt;&gt;"",IF(N(G303)&gt;0,"供应商付款","供应商退款"),IF(L303&lt;&gt;"","费用支出","")))))</f>
      </c>
      <c r="P303" s="78">
        <f>IF(O303="","",IFERROR(INDEX(基础资料!$AE$5:$AE$34,MATCH(O303,基础资料!$AC$5:$AC$34,0)),"未知"))</f>
      </c>
      <c r="Q303" s="78">
        <f>IF(P303="应收",COUNTIF(P$7:P303,"应收"),"")</f>
      </c>
      <c r="R303" s="78">
        <f>IF(P303="应付",COUNTIF(P$7:P303,"应付"),"")</f>
      </c>
      <c r="S303" s="78">
        <f>N(F303)-N(G303)</f>
        <v>0</v>
      </c>
    </row>
    <row r="304">
      <c r="A304" s="109">
        <f>IF(AND(F304="",G304=""),"",ROW()-6)</f>
      </c>
      <c r="B304" s="140" t="n"/>
      <c r="C304" s="141" t="n"/>
      <c r="D304" s="141" t="n"/>
      <c r="E304" s="142" t="n"/>
      <c r="F304" s="143" t="n"/>
      <c r="G304" s="144" t="n"/>
      <c r="H304" s="145">
        <f>IF(OR(C304="",AND(F304="",G304="")),"",SUMIF(基础资料!$W$5:$W$24,C304,基础资料!$X$5:$X$24)+SUMIF(C$7:C304,C304,F$7:F304)-SUMIF(C$7:C304,C304,G$7:G304))</f>
      </c>
      <c r="I304" s="145">
        <f>IF(AND(F304="",G304=""),"",SUM(基础资料!$X$5:$X$24)+SUM(F$7:F304)-SUM(G$7:G304))</f>
      </c>
      <c r="J304" s="141" t="n"/>
      <c r="K304" s="141" t="n"/>
      <c r="L304" s="141" t="n"/>
      <c r="M304" s="142" t="n"/>
      <c r="N304" s="146">
        <f>IF(AND(AND(F304="",G304=""),B304="",C304="",D304="",J304="",K304="",L304=""),"",IF(AND(F304="",G304=""),"✗ 没填金额",IF(AND(N(F304)&lt;&gt;0,N(G304)&lt;&gt;0),"✗ 收入、支出只能填一边",IF(NOT(ISNUMBER(B304)),"✗ 日期不是真日期（要像 2026/9/25 这样填）",IF(OR(B304&lt;年初日,B304&gt;年末日),"✗ 日期不在本会计年度",IF(C304="","✗ 没选账户",IF(COUNTIF(基础资料!$W$5:$W$24,C304)=0,"✗ 账户不在基础资料里",IF(O304="","✗ 没选收支项目",IF(P304="未知","✗ 收支项目不在基础资料里",IF(AND(P304="应收",J304=""),"✗ 这笔要选客户",IF(AND(P304="应收",COUNTIF(总览汇总!$B$5:$B$304,J304)=0),"✗ 客户不在总览汇总名单里",IF(AND(P304="应付",K304=""),"✗ 这笔要选供应商",IF(AND(P304="应付",COUNTIF(基础资料!$Q$5:$Q$54,K304)=0),"✗ 供应商不在基础资料里",IF(AND(P304="费用",L304=""),"✗ 费用支出要选费用项目",IF(AND(L304&lt;&gt;"",COUNTIF(基础资料!$AI$5:$AI$54,L304)=0),"✗ 费用项目不在基础资料里",IF(AND(IFERROR(INDEX(基础资料!$AD$5:$AD$34,MATCH(O304,基础资料!$AC$5:$AC$34,0)),"")="收",N(G304)&lt;&gt;0),"✗ 这类是收款，金额填到收入列",IF(AND(IFERROR(INDEX(基础资料!$AD$5:$AD$34,MATCH(O304,基础资料!$AC$5:$AC$34,0)),"")="支",N(F304)&lt;&gt;0),"✗ 这类是付款，金额填到支出列",IF(N(H304)&lt;0,"⚠ 账户余额成负数了，核对一下","√"))))))))))))))))))</f>
      </c>
      <c r="O304" s="78">
        <f>IF(D304&lt;&gt;"",D304,IF(AND(F304="",G304=""),"",IF(J304&lt;&gt;"",IF(N(F304)&gt;0,"客户回款","客户退款"),IF(K304&lt;&gt;"",IF(N(G304)&gt;0,"供应商付款","供应商退款"),IF(L304&lt;&gt;"","费用支出","")))))</f>
      </c>
      <c r="P304" s="78">
        <f>IF(O304="","",IFERROR(INDEX(基础资料!$AE$5:$AE$34,MATCH(O304,基础资料!$AC$5:$AC$34,0)),"未知"))</f>
      </c>
      <c r="Q304" s="78">
        <f>IF(P304="应收",COUNTIF(P$7:P304,"应收"),"")</f>
      </c>
      <c r="R304" s="78">
        <f>IF(P304="应付",COUNTIF(P$7:P304,"应付"),"")</f>
      </c>
      <c r="S304" s="78">
        <f>N(F304)-N(G304)</f>
        <v>0</v>
      </c>
    </row>
    <row r="305">
      <c r="A305" s="109">
        <f>IF(AND(F305="",G305=""),"",ROW()-6)</f>
      </c>
      <c r="B305" s="140" t="n"/>
      <c r="C305" s="141" t="n"/>
      <c r="D305" s="141" t="n"/>
      <c r="E305" s="142" t="n"/>
      <c r="F305" s="143" t="n"/>
      <c r="G305" s="144" t="n"/>
      <c r="H305" s="145">
        <f>IF(OR(C305="",AND(F305="",G305="")),"",SUMIF(基础资料!$W$5:$W$24,C305,基础资料!$X$5:$X$24)+SUMIF(C$7:C305,C305,F$7:F305)-SUMIF(C$7:C305,C305,G$7:G305))</f>
      </c>
      <c r="I305" s="145">
        <f>IF(AND(F305="",G305=""),"",SUM(基础资料!$X$5:$X$24)+SUM(F$7:F305)-SUM(G$7:G305))</f>
      </c>
      <c r="J305" s="141" t="n"/>
      <c r="K305" s="141" t="n"/>
      <c r="L305" s="141" t="n"/>
      <c r="M305" s="142" t="n"/>
      <c r="N305" s="146">
        <f>IF(AND(AND(F305="",G305=""),B305="",C305="",D305="",J305="",K305="",L305=""),"",IF(AND(F305="",G305=""),"✗ 没填金额",IF(AND(N(F305)&lt;&gt;0,N(G305)&lt;&gt;0),"✗ 收入、支出只能填一边",IF(NOT(ISNUMBER(B305)),"✗ 日期不是真日期（要像 2026/9/25 这样填）",IF(OR(B305&lt;年初日,B305&gt;年末日),"✗ 日期不在本会计年度",IF(C305="","✗ 没选账户",IF(COUNTIF(基础资料!$W$5:$W$24,C305)=0,"✗ 账户不在基础资料里",IF(O305="","✗ 没选收支项目",IF(P305="未知","✗ 收支项目不在基础资料里",IF(AND(P305="应收",J305=""),"✗ 这笔要选客户",IF(AND(P305="应收",COUNTIF(总览汇总!$B$5:$B$304,J305)=0),"✗ 客户不在总览汇总名单里",IF(AND(P305="应付",K305=""),"✗ 这笔要选供应商",IF(AND(P305="应付",COUNTIF(基础资料!$Q$5:$Q$54,K305)=0),"✗ 供应商不在基础资料里",IF(AND(P305="费用",L305=""),"✗ 费用支出要选费用项目",IF(AND(L305&lt;&gt;"",COUNTIF(基础资料!$AI$5:$AI$54,L305)=0),"✗ 费用项目不在基础资料里",IF(AND(IFERROR(INDEX(基础资料!$AD$5:$AD$34,MATCH(O305,基础资料!$AC$5:$AC$34,0)),"")="收",N(G305)&lt;&gt;0),"✗ 这类是收款，金额填到收入列",IF(AND(IFERROR(INDEX(基础资料!$AD$5:$AD$34,MATCH(O305,基础资料!$AC$5:$AC$34,0)),"")="支",N(F305)&lt;&gt;0),"✗ 这类是付款，金额填到支出列",IF(N(H305)&lt;0,"⚠ 账户余额成负数了，核对一下","√"))))))))))))))))))</f>
      </c>
      <c r="O305" s="78">
        <f>IF(D305&lt;&gt;"",D305,IF(AND(F305="",G305=""),"",IF(J305&lt;&gt;"",IF(N(F305)&gt;0,"客户回款","客户退款"),IF(K305&lt;&gt;"",IF(N(G305)&gt;0,"供应商付款","供应商退款"),IF(L305&lt;&gt;"","费用支出","")))))</f>
      </c>
      <c r="P305" s="78">
        <f>IF(O305="","",IFERROR(INDEX(基础资料!$AE$5:$AE$34,MATCH(O305,基础资料!$AC$5:$AC$34,0)),"未知"))</f>
      </c>
      <c r="Q305" s="78">
        <f>IF(P305="应收",COUNTIF(P$7:P305,"应收"),"")</f>
      </c>
      <c r="R305" s="78">
        <f>IF(P305="应付",COUNTIF(P$7:P305,"应付"),"")</f>
      </c>
      <c r="S305" s="78">
        <f>N(F305)-N(G305)</f>
        <v>0</v>
      </c>
    </row>
    <row r="306">
      <c r="A306" s="109">
        <f>IF(AND(F306="",G306=""),"",ROW()-6)</f>
      </c>
      <c r="B306" s="140" t="n"/>
      <c r="C306" s="141" t="n"/>
      <c r="D306" s="141" t="n"/>
      <c r="E306" s="142" t="n"/>
      <c r="F306" s="143" t="n"/>
      <c r="G306" s="144" t="n"/>
      <c r="H306" s="145">
        <f>IF(OR(C306="",AND(F306="",G306="")),"",SUMIF(基础资料!$W$5:$W$24,C306,基础资料!$X$5:$X$24)+SUMIF(C$7:C306,C306,F$7:F306)-SUMIF(C$7:C306,C306,G$7:G306))</f>
      </c>
      <c r="I306" s="145">
        <f>IF(AND(F306="",G306=""),"",SUM(基础资料!$X$5:$X$24)+SUM(F$7:F306)-SUM(G$7:G306))</f>
      </c>
      <c r="J306" s="141" t="n"/>
      <c r="K306" s="141" t="n"/>
      <c r="L306" s="141" t="n"/>
      <c r="M306" s="142" t="n"/>
      <c r="N306" s="146">
        <f>IF(AND(AND(F306="",G306=""),B306="",C306="",D306="",J306="",K306="",L306=""),"",IF(AND(F306="",G306=""),"✗ 没填金额",IF(AND(N(F306)&lt;&gt;0,N(G306)&lt;&gt;0),"✗ 收入、支出只能填一边",IF(NOT(ISNUMBER(B306)),"✗ 日期不是真日期（要像 2026/9/25 这样填）",IF(OR(B306&lt;年初日,B306&gt;年末日),"✗ 日期不在本会计年度",IF(C306="","✗ 没选账户",IF(COUNTIF(基础资料!$W$5:$W$24,C306)=0,"✗ 账户不在基础资料里",IF(O306="","✗ 没选收支项目",IF(P306="未知","✗ 收支项目不在基础资料里",IF(AND(P306="应收",J306=""),"✗ 这笔要选客户",IF(AND(P306="应收",COUNTIF(总览汇总!$B$5:$B$304,J306)=0),"✗ 客户不在总览汇总名单里",IF(AND(P306="应付",K306=""),"✗ 这笔要选供应商",IF(AND(P306="应付",COUNTIF(基础资料!$Q$5:$Q$54,K306)=0),"✗ 供应商不在基础资料里",IF(AND(P306="费用",L306=""),"✗ 费用支出要选费用项目",IF(AND(L306&lt;&gt;"",COUNTIF(基础资料!$AI$5:$AI$54,L306)=0),"✗ 费用项目不在基础资料里",IF(AND(IFERROR(INDEX(基础资料!$AD$5:$AD$34,MATCH(O306,基础资料!$AC$5:$AC$34,0)),"")="收",N(G306)&lt;&gt;0),"✗ 这类是收款，金额填到收入列",IF(AND(IFERROR(INDEX(基础资料!$AD$5:$AD$34,MATCH(O306,基础资料!$AC$5:$AC$34,0)),"")="支",N(F306)&lt;&gt;0),"✗ 这类是付款，金额填到支出列",IF(N(H306)&lt;0,"⚠ 账户余额成负数了，核对一下","√"))))))))))))))))))</f>
      </c>
      <c r="O306" s="78">
        <f>IF(D306&lt;&gt;"",D306,IF(AND(F306="",G306=""),"",IF(J306&lt;&gt;"",IF(N(F306)&gt;0,"客户回款","客户退款"),IF(K306&lt;&gt;"",IF(N(G306)&gt;0,"供应商付款","供应商退款"),IF(L306&lt;&gt;"","费用支出","")))))</f>
      </c>
      <c r="P306" s="78">
        <f>IF(O306="","",IFERROR(INDEX(基础资料!$AE$5:$AE$34,MATCH(O306,基础资料!$AC$5:$AC$34,0)),"未知"))</f>
      </c>
      <c r="Q306" s="78">
        <f>IF(P306="应收",COUNTIF(P$7:P306,"应收"),"")</f>
      </c>
      <c r="R306" s="78">
        <f>IF(P306="应付",COUNTIF(P$7:P306,"应付"),"")</f>
      </c>
      <c r="S306" s="78">
        <f>N(F306)-N(G306)</f>
        <v>0</v>
      </c>
    </row>
    <row r="307">
      <c r="A307" s="109">
        <f>IF(AND(F307="",G307=""),"",ROW()-6)</f>
      </c>
      <c r="B307" s="140" t="n"/>
      <c r="C307" s="141" t="n"/>
      <c r="D307" s="141" t="n"/>
      <c r="E307" s="142" t="n"/>
      <c r="F307" s="143" t="n"/>
      <c r="G307" s="144" t="n"/>
      <c r="H307" s="145">
        <f>IF(OR(C307="",AND(F307="",G307="")),"",SUMIF(基础资料!$W$5:$W$24,C307,基础资料!$X$5:$X$24)+SUMIF(C$7:C307,C307,F$7:F307)-SUMIF(C$7:C307,C307,G$7:G307))</f>
      </c>
      <c r="I307" s="145">
        <f>IF(AND(F307="",G307=""),"",SUM(基础资料!$X$5:$X$24)+SUM(F$7:F307)-SUM(G$7:G307))</f>
      </c>
      <c r="J307" s="141" t="n"/>
      <c r="K307" s="141" t="n"/>
      <c r="L307" s="141" t="n"/>
      <c r="M307" s="142" t="n"/>
      <c r="N307" s="146">
        <f>IF(AND(AND(F307="",G307=""),B307="",C307="",D307="",J307="",K307="",L307=""),"",IF(AND(F307="",G307=""),"✗ 没填金额",IF(AND(N(F307)&lt;&gt;0,N(G307)&lt;&gt;0),"✗ 收入、支出只能填一边",IF(NOT(ISNUMBER(B307)),"✗ 日期不是真日期（要像 2026/9/25 这样填）",IF(OR(B307&lt;年初日,B307&gt;年末日),"✗ 日期不在本会计年度",IF(C307="","✗ 没选账户",IF(COUNTIF(基础资料!$W$5:$W$24,C307)=0,"✗ 账户不在基础资料里",IF(O307="","✗ 没选收支项目",IF(P307="未知","✗ 收支项目不在基础资料里",IF(AND(P307="应收",J307=""),"✗ 这笔要选客户",IF(AND(P307="应收",COUNTIF(总览汇总!$B$5:$B$304,J307)=0),"✗ 客户不在总览汇总名单里",IF(AND(P307="应付",K307=""),"✗ 这笔要选供应商",IF(AND(P307="应付",COUNTIF(基础资料!$Q$5:$Q$54,K307)=0),"✗ 供应商不在基础资料里",IF(AND(P307="费用",L307=""),"✗ 费用支出要选费用项目",IF(AND(L307&lt;&gt;"",COUNTIF(基础资料!$AI$5:$AI$54,L307)=0),"✗ 费用项目不在基础资料里",IF(AND(IFERROR(INDEX(基础资料!$AD$5:$AD$34,MATCH(O307,基础资料!$AC$5:$AC$34,0)),"")="收",N(G307)&lt;&gt;0),"✗ 这类是收款，金额填到收入列",IF(AND(IFERROR(INDEX(基础资料!$AD$5:$AD$34,MATCH(O307,基础资料!$AC$5:$AC$34,0)),"")="支",N(F307)&lt;&gt;0),"✗ 这类是付款，金额填到支出列",IF(N(H307)&lt;0,"⚠ 账户余额成负数了，核对一下","√"))))))))))))))))))</f>
      </c>
      <c r="O307" s="78">
        <f>IF(D307&lt;&gt;"",D307,IF(AND(F307="",G307=""),"",IF(J307&lt;&gt;"",IF(N(F307)&gt;0,"客户回款","客户退款"),IF(K307&lt;&gt;"",IF(N(G307)&gt;0,"供应商付款","供应商退款"),IF(L307&lt;&gt;"","费用支出","")))))</f>
      </c>
      <c r="P307" s="78">
        <f>IF(O307="","",IFERROR(INDEX(基础资料!$AE$5:$AE$34,MATCH(O307,基础资料!$AC$5:$AC$34,0)),"未知"))</f>
      </c>
      <c r="Q307" s="78">
        <f>IF(P307="应收",COUNTIF(P$7:P307,"应收"),"")</f>
      </c>
      <c r="R307" s="78">
        <f>IF(P307="应付",COUNTIF(P$7:P307,"应付"),"")</f>
      </c>
      <c r="S307" s="78">
        <f>N(F307)-N(G307)</f>
        <v>0</v>
      </c>
    </row>
    <row r="308">
      <c r="A308" s="109">
        <f>IF(AND(F308="",G308=""),"",ROW()-6)</f>
      </c>
      <c r="B308" s="140" t="n"/>
      <c r="C308" s="141" t="n"/>
      <c r="D308" s="141" t="n"/>
      <c r="E308" s="142" t="n"/>
      <c r="F308" s="143" t="n"/>
      <c r="G308" s="144" t="n"/>
      <c r="H308" s="145">
        <f>IF(OR(C308="",AND(F308="",G308="")),"",SUMIF(基础资料!$W$5:$W$24,C308,基础资料!$X$5:$X$24)+SUMIF(C$7:C308,C308,F$7:F308)-SUMIF(C$7:C308,C308,G$7:G308))</f>
      </c>
      <c r="I308" s="145">
        <f>IF(AND(F308="",G308=""),"",SUM(基础资料!$X$5:$X$24)+SUM(F$7:F308)-SUM(G$7:G308))</f>
      </c>
      <c r="J308" s="141" t="n"/>
      <c r="K308" s="141" t="n"/>
      <c r="L308" s="141" t="n"/>
      <c r="M308" s="142" t="n"/>
      <c r="N308" s="146">
        <f>IF(AND(AND(F308="",G308=""),B308="",C308="",D308="",J308="",K308="",L308=""),"",IF(AND(F308="",G308=""),"✗ 没填金额",IF(AND(N(F308)&lt;&gt;0,N(G308)&lt;&gt;0),"✗ 收入、支出只能填一边",IF(NOT(ISNUMBER(B308)),"✗ 日期不是真日期（要像 2026/9/25 这样填）",IF(OR(B308&lt;年初日,B308&gt;年末日),"✗ 日期不在本会计年度",IF(C308="","✗ 没选账户",IF(COUNTIF(基础资料!$W$5:$W$24,C308)=0,"✗ 账户不在基础资料里",IF(O308="","✗ 没选收支项目",IF(P308="未知","✗ 收支项目不在基础资料里",IF(AND(P308="应收",J308=""),"✗ 这笔要选客户",IF(AND(P308="应收",COUNTIF(总览汇总!$B$5:$B$304,J308)=0),"✗ 客户不在总览汇总名单里",IF(AND(P308="应付",K308=""),"✗ 这笔要选供应商",IF(AND(P308="应付",COUNTIF(基础资料!$Q$5:$Q$54,K308)=0),"✗ 供应商不在基础资料里",IF(AND(P308="费用",L308=""),"✗ 费用支出要选费用项目",IF(AND(L308&lt;&gt;"",COUNTIF(基础资料!$AI$5:$AI$54,L308)=0),"✗ 费用项目不在基础资料里",IF(AND(IFERROR(INDEX(基础资料!$AD$5:$AD$34,MATCH(O308,基础资料!$AC$5:$AC$34,0)),"")="收",N(G308)&lt;&gt;0),"✗ 这类是收款，金额填到收入列",IF(AND(IFERROR(INDEX(基础资料!$AD$5:$AD$34,MATCH(O308,基础资料!$AC$5:$AC$34,0)),"")="支",N(F308)&lt;&gt;0),"✗ 这类是付款，金额填到支出列",IF(N(H308)&lt;0,"⚠ 账户余额成负数了，核对一下","√"))))))))))))))))))</f>
      </c>
      <c r="O308" s="78">
        <f>IF(D308&lt;&gt;"",D308,IF(AND(F308="",G308=""),"",IF(J308&lt;&gt;"",IF(N(F308)&gt;0,"客户回款","客户退款"),IF(K308&lt;&gt;"",IF(N(G308)&gt;0,"供应商付款","供应商退款"),IF(L308&lt;&gt;"","费用支出","")))))</f>
      </c>
      <c r="P308" s="78">
        <f>IF(O308="","",IFERROR(INDEX(基础资料!$AE$5:$AE$34,MATCH(O308,基础资料!$AC$5:$AC$34,0)),"未知"))</f>
      </c>
      <c r="Q308" s="78">
        <f>IF(P308="应收",COUNTIF(P$7:P308,"应收"),"")</f>
      </c>
      <c r="R308" s="78">
        <f>IF(P308="应付",COUNTIF(P$7:P308,"应付"),"")</f>
      </c>
      <c r="S308" s="78">
        <f>N(F308)-N(G308)</f>
        <v>0</v>
      </c>
    </row>
    <row r="309">
      <c r="A309" s="109">
        <f>IF(AND(F309="",G309=""),"",ROW()-6)</f>
      </c>
      <c r="B309" s="140" t="n"/>
      <c r="C309" s="141" t="n"/>
      <c r="D309" s="141" t="n"/>
      <c r="E309" s="142" t="n"/>
      <c r="F309" s="143" t="n"/>
      <c r="G309" s="144" t="n"/>
      <c r="H309" s="145">
        <f>IF(OR(C309="",AND(F309="",G309="")),"",SUMIF(基础资料!$W$5:$W$24,C309,基础资料!$X$5:$X$24)+SUMIF(C$7:C309,C309,F$7:F309)-SUMIF(C$7:C309,C309,G$7:G309))</f>
      </c>
      <c r="I309" s="145">
        <f>IF(AND(F309="",G309=""),"",SUM(基础资料!$X$5:$X$24)+SUM(F$7:F309)-SUM(G$7:G309))</f>
      </c>
      <c r="J309" s="141" t="n"/>
      <c r="K309" s="141" t="n"/>
      <c r="L309" s="141" t="n"/>
      <c r="M309" s="142" t="n"/>
      <c r="N309" s="146">
        <f>IF(AND(AND(F309="",G309=""),B309="",C309="",D309="",J309="",K309="",L309=""),"",IF(AND(F309="",G309=""),"✗ 没填金额",IF(AND(N(F309)&lt;&gt;0,N(G309)&lt;&gt;0),"✗ 收入、支出只能填一边",IF(NOT(ISNUMBER(B309)),"✗ 日期不是真日期（要像 2026/9/25 这样填）",IF(OR(B309&lt;年初日,B309&gt;年末日),"✗ 日期不在本会计年度",IF(C309="","✗ 没选账户",IF(COUNTIF(基础资料!$W$5:$W$24,C309)=0,"✗ 账户不在基础资料里",IF(O309="","✗ 没选收支项目",IF(P309="未知","✗ 收支项目不在基础资料里",IF(AND(P309="应收",J309=""),"✗ 这笔要选客户",IF(AND(P309="应收",COUNTIF(总览汇总!$B$5:$B$304,J309)=0),"✗ 客户不在总览汇总名单里",IF(AND(P309="应付",K309=""),"✗ 这笔要选供应商",IF(AND(P309="应付",COUNTIF(基础资料!$Q$5:$Q$54,K309)=0),"✗ 供应商不在基础资料里",IF(AND(P309="费用",L309=""),"✗ 费用支出要选费用项目",IF(AND(L309&lt;&gt;"",COUNTIF(基础资料!$AI$5:$AI$54,L309)=0),"✗ 费用项目不在基础资料里",IF(AND(IFERROR(INDEX(基础资料!$AD$5:$AD$34,MATCH(O309,基础资料!$AC$5:$AC$34,0)),"")="收",N(G309)&lt;&gt;0),"✗ 这类是收款，金额填到收入列",IF(AND(IFERROR(INDEX(基础资料!$AD$5:$AD$34,MATCH(O309,基础资料!$AC$5:$AC$34,0)),"")="支",N(F309)&lt;&gt;0),"✗ 这类是付款，金额填到支出列",IF(N(H309)&lt;0,"⚠ 账户余额成负数了，核对一下","√"))))))))))))))))))</f>
      </c>
      <c r="O309" s="78">
        <f>IF(D309&lt;&gt;"",D309,IF(AND(F309="",G309=""),"",IF(J309&lt;&gt;"",IF(N(F309)&gt;0,"客户回款","客户退款"),IF(K309&lt;&gt;"",IF(N(G309)&gt;0,"供应商付款","供应商退款"),IF(L309&lt;&gt;"","费用支出","")))))</f>
      </c>
      <c r="P309" s="78">
        <f>IF(O309="","",IFERROR(INDEX(基础资料!$AE$5:$AE$34,MATCH(O309,基础资料!$AC$5:$AC$34,0)),"未知"))</f>
      </c>
      <c r="Q309" s="78">
        <f>IF(P309="应收",COUNTIF(P$7:P309,"应收"),"")</f>
      </c>
      <c r="R309" s="78">
        <f>IF(P309="应付",COUNTIF(P$7:P309,"应付"),"")</f>
      </c>
      <c r="S309" s="78">
        <f>N(F309)-N(G309)</f>
        <v>0</v>
      </c>
    </row>
    <row r="310">
      <c r="A310" s="109">
        <f>IF(AND(F310="",G310=""),"",ROW()-6)</f>
      </c>
      <c r="B310" s="140" t="n"/>
      <c r="C310" s="141" t="n"/>
      <c r="D310" s="141" t="n"/>
      <c r="E310" s="142" t="n"/>
      <c r="F310" s="143" t="n"/>
      <c r="G310" s="144" t="n"/>
      <c r="H310" s="145">
        <f>IF(OR(C310="",AND(F310="",G310="")),"",SUMIF(基础资料!$W$5:$W$24,C310,基础资料!$X$5:$X$24)+SUMIF(C$7:C310,C310,F$7:F310)-SUMIF(C$7:C310,C310,G$7:G310))</f>
      </c>
      <c r="I310" s="145">
        <f>IF(AND(F310="",G310=""),"",SUM(基础资料!$X$5:$X$24)+SUM(F$7:F310)-SUM(G$7:G310))</f>
      </c>
      <c r="J310" s="141" t="n"/>
      <c r="K310" s="141" t="n"/>
      <c r="L310" s="141" t="n"/>
      <c r="M310" s="142" t="n"/>
      <c r="N310" s="146">
        <f>IF(AND(AND(F310="",G310=""),B310="",C310="",D310="",J310="",K310="",L310=""),"",IF(AND(F310="",G310=""),"✗ 没填金额",IF(AND(N(F310)&lt;&gt;0,N(G310)&lt;&gt;0),"✗ 收入、支出只能填一边",IF(NOT(ISNUMBER(B310)),"✗ 日期不是真日期（要像 2026/9/25 这样填）",IF(OR(B310&lt;年初日,B310&gt;年末日),"✗ 日期不在本会计年度",IF(C310="","✗ 没选账户",IF(COUNTIF(基础资料!$W$5:$W$24,C310)=0,"✗ 账户不在基础资料里",IF(O310="","✗ 没选收支项目",IF(P310="未知","✗ 收支项目不在基础资料里",IF(AND(P310="应收",J310=""),"✗ 这笔要选客户",IF(AND(P310="应收",COUNTIF(总览汇总!$B$5:$B$304,J310)=0),"✗ 客户不在总览汇总名单里",IF(AND(P310="应付",K310=""),"✗ 这笔要选供应商",IF(AND(P310="应付",COUNTIF(基础资料!$Q$5:$Q$54,K310)=0),"✗ 供应商不在基础资料里",IF(AND(P310="费用",L310=""),"✗ 费用支出要选费用项目",IF(AND(L310&lt;&gt;"",COUNTIF(基础资料!$AI$5:$AI$54,L310)=0),"✗ 费用项目不在基础资料里",IF(AND(IFERROR(INDEX(基础资料!$AD$5:$AD$34,MATCH(O310,基础资料!$AC$5:$AC$34,0)),"")="收",N(G310)&lt;&gt;0),"✗ 这类是收款，金额填到收入列",IF(AND(IFERROR(INDEX(基础资料!$AD$5:$AD$34,MATCH(O310,基础资料!$AC$5:$AC$34,0)),"")="支",N(F310)&lt;&gt;0),"✗ 这类是付款，金额填到支出列",IF(N(H310)&lt;0,"⚠ 账户余额成负数了，核对一下","√"))))))))))))))))))</f>
      </c>
      <c r="O310" s="78">
        <f>IF(D310&lt;&gt;"",D310,IF(AND(F310="",G310=""),"",IF(J310&lt;&gt;"",IF(N(F310)&gt;0,"客户回款","客户退款"),IF(K310&lt;&gt;"",IF(N(G310)&gt;0,"供应商付款","供应商退款"),IF(L310&lt;&gt;"","费用支出","")))))</f>
      </c>
      <c r="P310" s="78">
        <f>IF(O310="","",IFERROR(INDEX(基础资料!$AE$5:$AE$34,MATCH(O310,基础资料!$AC$5:$AC$34,0)),"未知"))</f>
      </c>
      <c r="Q310" s="78">
        <f>IF(P310="应收",COUNTIF(P$7:P310,"应收"),"")</f>
      </c>
      <c r="R310" s="78">
        <f>IF(P310="应付",COUNTIF(P$7:P310,"应付"),"")</f>
      </c>
      <c r="S310" s="78">
        <f>N(F310)-N(G310)</f>
        <v>0</v>
      </c>
    </row>
    <row r="311">
      <c r="A311" s="109">
        <f>IF(AND(F311="",G311=""),"",ROW()-6)</f>
      </c>
      <c r="B311" s="140" t="n"/>
      <c r="C311" s="141" t="n"/>
      <c r="D311" s="141" t="n"/>
      <c r="E311" s="142" t="n"/>
      <c r="F311" s="143" t="n"/>
      <c r="G311" s="144" t="n"/>
      <c r="H311" s="145">
        <f>IF(OR(C311="",AND(F311="",G311="")),"",SUMIF(基础资料!$W$5:$W$24,C311,基础资料!$X$5:$X$24)+SUMIF(C$7:C311,C311,F$7:F311)-SUMIF(C$7:C311,C311,G$7:G311))</f>
      </c>
      <c r="I311" s="145">
        <f>IF(AND(F311="",G311=""),"",SUM(基础资料!$X$5:$X$24)+SUM(F$7:F311)-SUM(G$7:G311))</f>
      </c>
      <c r="J311" s="141" t="n"/>
      <c r="K311" s="141" t="n"/>
      <c r="L311" s="141" t="n"/>
      <c r="M311" s="142" t="n"/>
      <c r="N311" s="146">
        <f>IF(AND(AND(F311="",G311=""),B311="",C311="",D311="",J311="",K311="",L311=""),"",IF(AND(F311="",G311=""),"✗ 没填金额",IF(AND(N(F311)&lt;&gt;0,N(G311)&lt;&gt;0),"✗ 收入、支出只能填一边",IF(NOT(ISNUMBER(B311)),"✗ 日期不是真日期（要像 2026/9/25 这样填）",IF(OR(B311&lt;年初日,B311&gt;年末日),"✗ 日期不在本会计年度",IF(C311="","✗ 没选账户",IF(COUNTIF(基础资料!$W$5:$W$24,C311)=0,"✗ 账户不在基础资料里",IF(O311="","✗ 没选收支项目",IF(P311="未知","✗ 收支项目不在基础资料里",IF(AND(P311="应收",J311=""),"✗ 这笔要选客户",IF(AND(P311="应收",COUNTIF(总览汇总!$B$5:$B$304,J311)=0),"✗ 客户不在总览汇总名单里",IF(AND(P311="应付",K311=""),"✗ 这笔要选供应商",IF(AND(P311="应付",COUNTIF(基础资料!$Q$5:$Q$54,K311)=0),"✗ 供应商不在基础资料里",IF(AND(P311="费用",L311=""),"✗ 费用支出要选费用项目",IF(AND(L311&lt;&gt;"",COUNTIF(基础资料!$AI$5:$AI$54,L311)=0),"✗ 费用项目不在基础资料里",IF(AND(IFERROR(INDEX(基础资料!$AD$5:$AD$34,MATCH(O311,基础资料!$AC$5:$AC$34,0)),"")="收",N(G311)&lt;&gt;0),"✗ 这类是收款，金额填到收入列",IF(AND(IFERROR(INDEX(基础资料!$AD$5:$AD$34,MATCH(O311,基础资料!$AC$5:$AC$34,0)),"")="支",N(F311)&lt;&gt;0),"✗ 这类是付款，金额填到支出列",IF(N(H311)&lt;0,"⚠ 账户余额成负数了，核对一下","√"))))))))))))))))))</f>
      </c>
      <c r="O311" s="78">
        <f>IF(D311&lt;&gt;"",D311,IF(AND(F311="",G311=""),"",IF(J311&lt;&gt;"",IF(N(F311)&gt;0,"客户回款","客户退款"),IF(K311&lt;&gt;"",IF(N(G311)&gt;0,"供应商付款","供应商退款"),IF(L311&lt;&gt;"","费用支出","")))))</f>
      </c>
      <c r="P311" s="78">
        <f>IF(O311="","",IFERROR(INDEX(基础资料!$AE$5:$AE$34,MATCH(O311,基础资料!$AC$5:$AC$34,0)),"未知"))</f>
      </c>
      <c r="Q311" s="78">
        <f>IF(P311="应收",COUNTIF(P$7:P311,"应收"),"")</f>
      </c>
      <c r="R311" s="78">
        <f>IF(P311="应付",COUNTIF(P$7:P311,"应付"),"")</f>
      </c>
      <c r="S311" s="78">
        <f>N(F311)-N(G311)</f>
        <v>0</v>
      </c>
    </row>
    <row r="312">
      <c r="A312" s="109">
        <f>IF(AND(F312="",G312=""),"",ROW()-6)</f>
      </c>
      <c r="B312" s="140" t="n"/>
      <c r="C312" s="141" t="n"/>
      <c r="D312" s="141" t="n"/>
      <c r="E312" s="142" t="n"/>
      <c r="F312" s="143" t="n"/>
      <c r="G312" s="144" t="n"/>
      <c r="H312" s="145">
        <f>IF(OR(C312="",AND(F312="",G312="")),"",SUMIF(基础资料!$W$5:$W$24,C312,基础资料!$X$5:$X$24)+SUMIF(C$7:C312,C312,F$7:F312)-SUMIF(C$7:C312,C312,G$7:G312))</f>
      </c>
      <c r="I312" s="145">
        <f>IF(AND(F312="",G312=""),"",SUM(基础资料!$X$5:$X$24)+SUM(F$7:F312)-SUM(G$7:G312))</f>
      </c>
      <c r="J312" s="141" t="n"/>
      <c r="K312" s="141" t="n"/>
      <c r="L312" s="141" t="n"/>
      <c r="M312" s="142" t="n"/>
      <c r="N312" s="146">
        <f>IF(AND(AND(F312="",G312=""),B312="",C312="",D312="",J312="",K312="",L312=""),"",IF(AND(F312="",G312=""),"✗ 没填金额",IF(AND(N(F312)&lt;&gt;0,N(G312)&lt;&gt;0),"✗ 收入、支出只能填一边",IF(NOT(ISNUMBER(B312)),"✗ 日期不是真日期（要像 2026/9/25 这样填）",IF(OR(B312&lt;年初日,B312&gt;年末日),"✗ 日期不在本会计年度",IF(C312="","✗ 没选账户",IF(COUNTIF(基础资料!$W$5:$W$24,C312)=0,"✗ 账户不在基础资料里",IF(O312="","✗ 没选收支项目",IF(P312="未知","✗ 收支项目不在基础资料里",IF(AND(P312="应收",J312=""),"✗ 这笔要选客户",IF(AND(P312="应收",COUNTIF(总览汇总!$B$5:$B$304,J312)=0),"✗ 客户不在总览汇总名单里",IF(AND(P312="应付",K312=""),"✗ 这笔要选供应商",IF(AND(P312="应付",COUNTIF(基础资料!$Q$5:$Q$54,K312)=0),"✗ 供应商不在基础资料里",IF(AND(P312="费用",L312=""),"✗ 费用支出要选费用项目",IF(AND(L312&lt;&gt;"",COUNTIF(基础资料!$AI$5:$AI$54,L312)=0),"✗ 费用项目不在基础资料里",IF(AND(IFERROR(INDEX(基础资料!$AD$5:$AD$34,MATCH(O312,基础资料!$AC$5:$AC$34,0)),"")="收",N(G312)&lt;&gt;0),"✗ 这类是收款，金额填到收入列",IF(AND(IFERROR(INDEX(基础资料!$AD$5:$AD$34,MATCH(O312,基础资料!$AC$5:$AC$34,0)),"")="支",N(F312)&lt;&gt;0),"✗ 这类是付款，金额填到支出列",IF(N(H312)&lt;0,"⚠ 账户余额成负数了，核对一下","√"))))))))))))))))))</f>
      </c>
      <c r="O312" s="78">
        <f>IF(D312&lt;&gt;"",D312,IF(AND(F312="",G312=""),"",IF(J312&lt;&gt;"",IF(N(F312)&gt;0,"客户回款","客户退款"),IF(K312&lt;&gt;"",IF(N(G312)&gt;0,"供应商付款","供应商退款"),IF(L312&lt;&gt;"","费用支出","")))))</f>
      </c>
      <c r="P312" s="78">
        <f>IF(O312="","",IFERROR(INDEX(基础资料!$AE$5:$AE$34,MATCH(O312,基础资料!$AC$5:$AC$34,0)),"未知"))</f>
      </c>
      <c r="Q312" s="78">
        <f>IF(P312="应收",COUNTIF(P$7:P312,"应收"),"")</f>
      </c>
      <c r="R312" s="78">
        <f>IF(P312="应付",COUNTIF(P$7:P312,"应付"),"")</f>
      </c>
      <c r="S312" s="78">
        <f>N(F312)-N(G312)</f>
        <v>0</v>
      </c>
    </row>
    <row r="313">
      <c r="A313" s="109">
        <f>IF(AND(F313="",G313=""),"",ROW()-6)</f>
      </c>
      <c r="B313" s="140" t="n"/>
      <c r="C313" s="141" t="n"/>
      <c r="D313" s="141" t="n"/>
      <c r="E313" s="142" t="n"/>
      <c r="F313" s="143" t="n"/>
      <c r="G313" s="144" t="n"/>
      <c r="H313" s="145">
        <f>IF(OR(C313="",AND(F313="",G313="")),"",SUMIF(基础资料!$W$5:$W$24,C313,基础资料!$X$5:$X$24)+SUMIF(C$7:C313,C313,F$7:F313)-SUMIF(C$7:C313,C313,G$7:G313))</f>
      </c>
      <c r="I313" s="145">
        <f>IF(AND(F313="",G313=""),"",SUM(基础资料!$X$5:$X$24)+SUM(F$7:F313)-SUM(G$7:G313))</f>
      </c>
      <c r="J313" s="141" t="n"/>
      <c r="K313" s="141" t="n"/>
      <c r="L313" s="141" t="n"/>
      <c r="M313" s="142" t="n"/>
      <c r="N313" s="146">
        <f>IF(AND(AND(F313="",G313=""),B313="",C313="",D313="",J313="",K313="",L313=""),"",IF(AND(F313="",G313=""),"✗ 没填金额",IF(AND(N(F313)&lt;&gt;0,N(G313)&lt;&gt;0),"✗ 收入、支出只能填一边",IF(NOT(ISNUMBER(B313)),"✗ 日期不是真日期（要像 2026/9/25 这样填）",IF(OR(B313&lt;年初日,B313&gt;年末日),"✗ 日期不在本会计年度",IF(C313="","✗ 没选账户",IF(COUNTIF(基础资料!$W$5:$W$24,C313)=0,"✗ 账户不在基础资料里",IF(O313="","✗ 没选收支项目",IF(P313="未知","✗ 收支项目不在基础资料里",IF(AND(P313="应收",J313=""),"✗ 这笔要选客户",IF(AND(P313="应收",COUNTIF(总览汇总!$B$5:$B$304,J313)=0),"✗ 客户不在总览汇总名单里",IF(AND(P313="应付",K313=""),"✗ 这笔要选供应商",IF(AND(P313="应付",COUNTIF(基础资料!$Q$5:$Q$54,K313)=0),"✗ 供应商不在基础资料里",IF(AND(P313="费用",L313=""),"✗ 费用支出要选费用项目",IF(AND(L313&lt;&gt;"",COUNTIF(基础资料!$AI$5:$AI$54,L313)=0),"✗ 费用项目不在基础资料里",IF(AND(IFERROR(INDEX(基础资料!$AD$5:$AD$34,MATCH(O313,基础资料!$AC$5:$AC$34,0)),"")="收",N(G313)&lt;&gt;0),"✗ 这类是收款，金额填到收入列",IF(AND(IFERROR(INDEX(基础资料!$AD$5:$AD$34,MATCH(O313,基础资料!$AC$5:$AC$34,0)),"")="支",N(F313)&lt;&gt;0),"✗ 这类是付款，金额填到支出列",IF(N(H313)&lt;0,"⚠ 账户余额成负数了，核对一下","√"))))))))))))))))))</f>
      </c>
      <c r="O313" s="78">
        <f>IF(D313&lt;&gt;"",D313,IF(AND(F313="",G313=""),"",IF(J313&lt;&gt;"",IF(N(F313)&gt;0,"客户回款","客户退款"),IF(K313&lt;&gt;"",IF(N(G313)&gt;0,"供应商付款","供应商退款"),IF(L313&lt;&gt;"","费用支出","")))))</f>
      </c>
      <c r="P313" s="78">
        <f>IF(O313="","",IFERROR(INDEX(基础资料!$AE$5:$AE$34,MATCH(O313,基础资料!$AC$5:$AC$34,0)),"未知"))</f>
      </c>
      <c r="Q313" s="78">
        <f>IF(P313="应收",COUNTIF(P$7:P313,"应收"),"")</f>
      </c>
      <c r="R313" s="78">
        <f>IF(P313="应付",COUNTIF(P$7:P313,"应付"),"")</f>
      </c>
      <c r="S313" s="78">
        <f>N(F313)-N(G313)</f>
        <v>0</v>
      </c>
    </row>
    <row r="314">
      <c r="A314" s="109">
        <f>IF(AND(F314="",G314=""),"",ROW()-6)</f>
      </c>
      <c r="B314" s="140" t="n"/>
      <c r="C314" s="141" t="n"/>
      <c r="D314" s="141" t="n"/>
      <c r="E314" s="142" t="n"/>
      <c r="F314" s="143" t="n"/>
      <c r="G314" s="144" t="n"/>
      <c r="H314" s="145">
        <f>IF(OR(C314="",AND(F314="",G314="")),"",SUMIF(基础资料!$W$5:$W$24,C314,基础资料!$X$5:$X$24)+SUMIF(C$7:C314,C314,F$7:F314)-SUMIF(C$7:C314,C314,G$7:G314))</f>
      </c>
      <c r="I314" s="145">
        <f>IF(AND(F314="",G314=""),"",SUM(基础资料!$X$5:$X$24)+SUM(F$7:F314)-SUM(G$7:G314))</f>
      </c>
      <c r="J314" s="141" t="n"/>
      <c r="K314" s="141" t="n"/>
      <c r="L314" s="141" t="n"/>
      <c r="M314" s="142" t="n"/>
      <c r="N314" s="146">
        <f>IF(AND(AND(F314="",G314=""),B314="",C314="",D314="",J314="",K314="",L314=""),"",IF(AND(F314="",G314=""),"✗ 没填金额",IF(AND(N(F314)&lt;&gt;0,N(G314)&lt;&gt;0),"✗ 收入、支出只能填一边",IF(NOT(ISNUMBER(B314)),"✗ 日期不是真日期（要像 2026/9/25 这样填）",IF(OR(B314&lt;年初日,B314&gt;年末日),"✗ 日期不在本会计年度",IF(C314="","✗ 没选账户",IF(COUNTIF(基础资料!$W$5:$W$24,C314)=0,"✗ 账户不在基础资料里",IF(O314="","✗ 没选收支项目",IF(P314="未知","✗ 收支项目不在基础资料里",IF(AND(P314="应收",J314=""),"✗ 这笔要选客户",IF(AND(P314="应收",COUNTIF(总览汇总!$B$5:$B$304,J314)=0),"✗ 客户不在总览汇总名单里",IF(AND(P314="应付",K314=""),"✗ 这笔要选供应商",IF(AND(P314="应付",COUNTIF(基础资料!$Q$5:$Q$54,K314)=0),"✗ 供应商不在基础资料里",IF(AND(P314="费用",L314=""),"✗ 费用支出要选费用项目",IF(AND(L314&lt;&gt;"",COUNTIF(基础资料!$AI$5:$AI$54,L314)=0),"✗ 费用项目不在基础资料里",IF(AND(IFERROR(INDEX(基础资料!$AD$5:$AD$34,MATCH(O314,基础资料!$AC$5:$AC$34,0)),"")="收",N(G314)&lt;&gt;0),"✗ 这类是收款，金额填到收入列",IF(AND(IFERROR(INDEX(基础资料!$AD$5:$AD$34,MATCH(O314,基础资料!$AC$5:$AC$34,0)),"")="支",N(F314)&lt;&gt;0),"✗ 这类是付款，金额填到支出列",IF(N(H314)&lt;0,"⚠ 账户余额成负数了，核对一下","√"))))))))))))))))))</f>
      </c>
      <c r="O314" s="78">
        <f>IF(D314&lt;&gt;"",D314,IF(AND(F314="",G314=""),"",IF(J314&lt;&gt;"",IF(N(F314)&gt;0,"客户回款","客户退款"),IF(K314&lt;&gt;"",IF(N(G314)&gt;0,"供应商付款","供应商退款"),IF(L314&lt;&gt;"","费用支出","")))))</f>
      </c>
      <c r="P314" s="78">
        <f>IF(O314="","",IFERROR(INDEX(基础资料!$AE$5:$AE$34,MATCH(O314,基础资料!$AC$5:$AC$34,0)),"未知"))</f>
      </c>
      <c r="Q314" s="78">
        <f>IF(P314="应收",COUNTIF(P$7:P314,"应收"),"")</f>
      </c>
      <c r="R314" s="78">
        <f>IF(P314="应付",COUNTIF(P$7:P314,"应付"),"")</f>
      </c>
      <c r="S314" s="78">
        <f>N(F314)-N(G314)</f>
        <v>0</v>
      </c>
    </row>
    <row r="315">
      <c r="A315" s="109">
        <f>IF(AND(F315="",G315=""),"",ROW()-6)</f>
      </c>
      <c r="B315" s="140" t="n"/>
      <c r="C315" s="141" t="n"/>
      <c r="D315" s="141" t="n"/>
      <c r="E315" s="142" t="n"/>
      <c r="F315" s="143" t="n"/>
      <c r="G315" s="144" t="n"/>
      <c r="H315" s="145">
        <f>IF(OR(C315="",AND(F315="",G315="")),"",SUMIF(基础资料!$W$5:$W$24,C315,基础资料!$X$5:$X$24)+SUMIF(C$7:C315,C315,F$7:F315)-SUMIF(C$7:C315,C315,G$7:G315))</f>
      </c>
      <c r="I315" s="145">
        <f>IF(AND(F315="",G315=""),"",SUM(基础资料!$X$5:$X$24)+SUM(F$7:F315)-SUM(G$7:G315))</f>
      </c>
      <c r="J315" s="141" t="n"/>
      <c r="K315" s="141" t="n"/>
      <c r="L315" s="141" t="n"/>
      <c r="M315" s="142" t="n"/>
      <c r="N315" s="146">
        <f>IF(AND(AND(F315="",G315=""),B315="",C315="",D315="",J315="",K315="",L315=""),"",IF(AND(F315="",G315=""),"✗ 没填金额",IF(AND(N(F315)&lt;&gt;0,N(G315)&lt;&gt;0),"✗ 收入、支出只能填一边",IF(NOT(ISNUMBER(B315)),"✗ 日期不是真日期（要像 2026/9/25 这样填）",IF(OR(B315&lt;年初日,B315&gt;年末日),"✗ 日期不在本会计年度",IF(C315="","✗ 没选账户",IF(COUNTIF(基础资料!$W$5:$W$24,C315)=0,"✗ 账户不在基础资料里",IF(O315="","✗ 没选收支项目",IF(P315="未知","✗ 收支项目不在基础资料里",IF(AND(P315="应收",J315=""),"✗ 这笔要选客户",IF(AND(P315="应收",COUNTIF(总览汇总!$B$5:$B$304,J315)=0),"✗ 客户不在总览汇总名单里",IF(AND(P315="应付",K315=""),"✗ 这笔要选供应商",IF(AND(P315="应付",COUNTIF(基础资料!$Q$5:$Q$54,K315)=0),"✗ 供应商不在基础资料里",IF(AND(P315="费用",L315=""),"✗ 费用支出要选费用项目",IF(AND(L315&lt;&gt;"",COUNTIF(基础资料!$AI$5:$AI$54,L315)=0),"✗ 费用项目不在基础资料里",IF(AND(IFERROR(INDEX(基础资料!$AD$5:$AD$34,MATCH(O315,基础资料!$AC$5:$AC$34,0)),"")="收",N(G315)&lt;&gt;0),"✗ 这类是收款，金额填到收入列",IF(AND(IFERROR(INDEX(基础资料!$AD$5:$AD$34,MATCH(O315,基础资料!$AC$5:$AC$34,0)),"")="支",N(F315)&lt;&gt;0),"✗ 这类是付款，金额填到支出列",IF(N(H315)&lt;0,"⚠ 账户余额成负数了，核对一下","√"))))))))))))))))))</f>
      </c>
      <c r="O315" s="78">
        <f>IF(D315&lt;&gt;"",D315,IF(AND(F315="",G315=""),"",IF(J315&lt;&gt;"",IF(N(F315)&gt;0,"客户回款","客户退款"),IF(K315&lt;&gt;"",IF(N(G315)&gt;0,"供应商付款","供应商退款"),IF(L315&lt;&gt;"","费用支出","")))))</f>
      </c>
      <c r="P315" s="78">
        <f>IF(O315="","",IFERROR(INDEX(基础资料!$AE$5:$AE$34,MATCH(O315,基础资料!$AC$5:$AC$34,0)),"未知"))</f>
      </c>
      <c r="Q315" s="78">
        <f>IF(P315="应收",COUNTIF(P$7:P315,"应收"),"")</f>
      </c>
      <c r="R315" s="78">
        <f>IF(P315="应付",COUNTIF(P$7:P315,"应付"),"")</f>
      </c>
      <c r="S315" s="78">
        <f>N(F315)-N(G315)</f>
        <v>0</v>
      </c>
    </row>
    <row r="316">
      <c r="A316" s="109">
        <f>IF(AND(F316="",G316=""),"",ROW()-6)</f>
      </c>
      <c r="B316" s="140" t="n"/>
      <c r="C316" s="141" t="n"/>
      <c r="D316" s="141" t="n"/>
      <c r="E316" s="142" t="n"/>
      <c r="F316" s="143" t="n"/>
      <c r="G316" s="144" t="n"/>
      <c r="H316" s="145">
        <f>IF(OR(C316="",AND(F316="",G316="")),"",SUMIF(基础资料!$W$5:$W$24,C316,基础资料!$X$5:$X$24)+SUMIF(C$7:C316,C316,F$7:F316)-SUMIF(C$7:C316,C316,G$7:G316))</f>
      </c>
      <c r="I316" s="145">
        <f>IF(AND(F316="",G316=""),"",SUM(基础资料!$X$5:$X$24)+SUM(F$7:F316)-SUM(G$7:G316))</f>
      </c>
      <c r="J316" s="141" t="n"/>
      <c r="K316" s="141" t="n"/>
      <c r="L316" s="141" t="n"/>
      <c r="M316" s="142" t="n"/>
      <c r="N316" s="146">
        <f>IF(AND(AND(F316="",G316=""),B316="",C316="",D316="",J316="",K316="",L316=""),"",IF(AND(F316="",G316=""),"✗ 没填金额",IF(AND(N(F316)&lt;&gt;0,N(G316)&lt;&gt;0),"✗ 收入、支出只能填一边",IF(NOT(ISNUMBER(B316)),"✗ 日期不是真日期（要像 2026/9/25 这样填）",IF(OR(B316&lt;年初日,B316&gt;年末日),"✗ 日期不在本会计年度",IF(C316="","✗ 没选账户",IF(COUNTIF(基础资料!$W$5:$W$24,C316)=0,"✗ 账户不在基础资料里",IF(O316="","✗ 没选收支项目",IF(P316="未知","✗ 收支项目不在基础资料里",IF(AND(P316="应收",J316=""),"✗ 这笔要选客户",IF(AND(P316="应收",COUNTIF(总览汇总!$B$5:$B$304,J316)=0),"✗ 客户不在总览汇总名单里",IF(AND(P316="应付",K316=""),"✗ 这笔要选供应商",IF(AND(P316="应付",COUNTIF(基础资料!$Q$5:$Q$54,K316)=0),"✗ 供应商不在基础资料里",IF(AND(P316="费用",L316=""),"✗ 费用支出要选费用项目",IF(AND(L316&lt;&gt;"",COUNTIF(基础资料!$AI$5:$AI$54,L316)=0),"✗ 费用项目不在基础资料里",IF(AND(IFERROR(INDEX(基础资料!$AD$5:$AD$34,MATCH(O316,基础资料!$AC$5:$AC$34,0)),"")="收",N(G316)&lt;&gt;0),"✗ 这类是收款，金额填到收入列",IF(AND(IFERROR(INDEX(基础资料!$AD$5:$AD$34,MATCH(O316,基础资料!$AC$5:$AC$34,0)),"")="支",N(F316)&lt;&gt;0),"✗ 这类是付款，金额填到支出列",IF(N(H316)&lt;0,"⚠ 账户余额成负数了，核对一下","√"))))))))))))))))))</f>
      </c>
      <c r="O316" s="78">
        <f>IF(D316&lt;&gt;"",D316,IF(AND(F316="",G316=""),"",IF(J316&lt;&gt;"",IF(N(F316)&gt;0,"客户回款","客户退款"),IF(K316&lt;&gt;"",IF(N(G316)&gt;0,"供应商付款","供应商退款"),IF(L316&lt;&gt;"","费用支出","")))))</f>
      </c>
      <c r="P316" s="78">
        <f>IF(O316="","",IFERROR(INDEX(基础资料!$AE$5:$AE$34,MATCH(O316,基础资料!$AC$5:$AC$34,0)),"未知"))</f>
      </c>
      <c r="Q316" s="78">
        <f>IF(P316="应收",COUNTIF(P$7:P316,"应收"),"")</f>
      </c>
      <c r="R316" s="78">
        <f>IF(P316="应付",COUNTIF(P$7:P316,"应付"),"")</f>
      </c>
      <c r="S316" s="78">
        <f>N(F316)-N(G316)</f>
        <v>0</v>
      </c>
    </row>
    <row r="317">
      <c r="A317" s="109">
        <f>IF(AND(F317="",G317=""),"",ROW()-6)</f>
      </c>
      <c r="B317" s="140" t="n"/>
      <c r="C317" s="141" t="n"/>
      <c r="D317" s="141" t="n"/>
      <c r="E317" s="142" t="n"/>
      <c r="F317" s="143" t="n"/>
      <c r="G317" s="144" t="n"/>
      <c r="H317" s="145">
        <f>IF(OR(C317="",AND(F317="",G317="")),"",SUMIF(基础资料!$W$5:$W$24,C317,基础资料!$X$5:$X$24)+SUMIF(C$7:C317,C317,F$7:F317)-SUMIF(C$7:C317,C317,G$7:G317))</f>
      </c>
      <c r="I317" s="145">
        <f>IF(AND(F317="",G317=""),"",SUM(基础资料!$X$5:$X$24)+SUM(F$7:F317)-SUM(G$7:G317))</f>
      </c>
      <c r="J317" s="141" t="n"/>
      <c r="K317" s="141" t="n"/>
      <c r="L317" s="141" t="n"/>
      <c r="M317" s="142" t="n"/>
      <c r="N317" s="146">
        <f>IF(AND(AND(F317="",G317=""),B317="",C317="",D317="",J317="",K317="",L317=""),"",IF(AND(F317="",G317=""),"✗ 没填金额",IF(AND(N(F317)&lt;&gt;0,N(G317)&lt;&gt;0),"✗ 收入、支出只能填一边",IF(NOT(ISNUMBER(B317)),"✗ 日期不是真日期（要像 2026/9/25 这样填）",IF(OR(B317&lt;年初日,B317&gt;年末日),"✗ 日期不在本会计年度",IF(C317="","✗ 没选账户",IF(COUNTIF(基础资料!$W$5:$W$24,C317)=0,"✗ 账户不在基础资料里",IF(O317="","✗ 没选收支项目",IF(P317="未知","✗ 收支项目不在基础资料里",IF(AND(P317="应收",J317=""),"✗ 这笔要选客户",IF(AND(P317="应收",COUNTIF(总览汇总!$B$5:$B$304,J317)=0),"✗ 客户不在总览汇总名单里",IF(AND(P317="应付",K317=""),"✗ 这笔要选供应商",IF(AND(P317="应付",COUNTIF(基础资料!$Q$5:$Q$54,K317)=0),"✗ 供应商不在基础资料里",IF(AND(P317="费用",L317=""),"✗ 费用支出要选费用项目",IF(AND(L317&lt;&gt;"",COUNTIF(基础资料!$AI$5:$AI$54,L317)=0),"✗ 费用项目不在基础资料里",IF(AND(IFERROR(INDEX(基础资料!$AD$5:$AD$34,MATCH(O317,基础资料!$AC$5:$AC$34,0)),"")="收",N(G317)&lt;&gt;0),"✗ 这类是收款，金额填到收入列",IF(AND(IFERROR(INDEX(基础资料!$AD$5:$AD$34,MATCH(O317,基础资料!$AC$5:$AC$34,0)),"")="支",N(F317)&lt;&gt;0),"✗ 这类是付款，金额填到支出列",IF(N(H317)&lt;0,"⚠ 账户余额成负数了，核对一下","√"))))))))))))))))))</f>
      </c>
      <c r="O317" s="78">
        <f>IF(D317&lt;&gt;"",D317,IF(AND(F317="",G317=""),"",IF(J317&lt;&gt;"",IF(N(F317)&gt;0,"客户回款","客户退款"),IF(K317&lt;&gt;"",IF(N(G317)&gt;0,"供应商付款","供应商退款"),IF(L317&lt;&gt;"","费用支出","")))))</f>
      </c>
      <c r="P317" s="78">
        <f>IF(O317="","",IFERROR(INDEX(基础资料!$AE$5:$AE$34,MATCH(O317,基础资料!$AC$5:$AC$34,0)),"未知"))</f>
      </c>
      <c r="Q317" s="78">
        <f>IF(P317="应收",COUNTIF(P$7:P317,"应收"),"")</f>
      </c>
      <c r="R317" s="78">
        <f>IF(P317="应付",COUNTIF(P$7:P317,"应付"),"")</f>
      </c>
      <c r="S317" s="78">
        <f>N(F317)-N(G317)</f>
        <v>0</v>
      </c>
    </row>
    <row r="318">
      <c r="A318" s="109">
        <f>IF(AND(F318="",G318=""),"",ROW()-6)</f>
      </c>
      <c r="B318" s="140" t="n"/>
      <c r="C318" s="141" t="n"/>
      <c r="D318" s="141" t="n"/>
      <c r="E318" s="142" t="n"/>
      <c r="F318" s="143" t="n"/>
      <c r="G318" s="144" t="n"/>
      <c r="H318" s="145">
        <f>IF(OR(C318="",AND(F318="",G318="")),"",SUMIF(基础资料!$W$5:$W$24,C318,基础资料!$X$5:$X$24)+SUMIF(C$7:C318,C318,F$7:F318)-SUMIF(C$7:C318,C318,G$7:G318))</f>
      </c>
      <c r="I318" s="145">
        <f>IF(AND(F318="",G318=""),"",SUM(基础资料!$X$5:$X$24)+SUM(F$7:F318)-SUM(G$7:G318))</f>
      </c>
      <c r="J318" s="141" t="n"/>
      <c r="K318" s="141" t="n"/>
      <c r="L318" s="141" t="n"/>
      <c r="M318" s="142" t="n"/>
      <c r="N318" s="146">
        <f>IF(AND(AND(F318="",G318=""),B318="",C318="",D318="",J318="",K318="",L318=""),"",IF(AND(F318="",G318=""),"✗ 没填金额",IF(AND(N(F318)&lt;&gt;0,N(G318)&lt;&gt;0),"✗ 收入、支出只能填一边",IF(NOT(ISNUMBER(B318)),"✗ 日期不是真日期（要像 2026/9/25 这样填）",IF(OR(B318&lt;年初日,B318&gt;年末日),"✗ 日期不在本会计年度",IF(C318="","✗ 没选账户",IF(COUNTIF(基础资料!$W$5:$W$24,C318)=0,"✗ 账户不在基础资料里",IF(O318="","✗ 没选收支项目",IF(P318="未知","✗ 收支项目不在基础资料里",IF(AND(P318="应收",J318=""),"✗ 这笔要选客户",IF(AND(P318="应收",COUNTIF(总览汇总!$B$5:$B$304,J318)=0),"✗ 客户不在总览汇总名单里",IF(AND(P318="应付",K318=""),"✗ 这笔要选供应商",IF(AND(P318="应付",COUNTIF(基础资料!$Q$5:$Q$54,K318)=0),"✗ 供应商不在基础资料里",IF(AND(P318="费用",L318=""),"✗ 费用支出要选费用项目",IF(AND(L318&lt;&gt;"",COUNTIF(基础资料!$AI$5:$AI$54,L318)=0),"✗ 费用项目不在基础资料里",IF(AND(IFERROR(INDEX(基础资料!$AD$5:$AD$34,MATCH(O318,基础资料!$AC$5:$AC$34,0)),"")="收",N(G318)&lt;&gt;0),"✗ 这类是收款，金额填到收入列",IF(AND(IFERROR(INDEX(基础资料!$AD$5:$AD$34,MATCH(O318,基础资料!$AC$5:$AC$34,0)),"")="支",N(F318)&lt;&gt;0),"✗ 这类是付款，金额填到支出列",IF(N(H318)&lt;0,"⚠ 账户余额成负数了，核对一下","√"))))))))))))))))))</f>
      </c>
      <c r="O318" s="78">
        <f>IF(D318&lt;&gt;"",D318,IF(AND(F318="",G318=""),"",IF(J318&lt;&gt;"",IF(N(F318)&gt;0,"客户回款","客户退款"),IF(K318&lt;&gt;"",IF(N(G318)&gt;0,"供应商付款","供应商退款"),IF(L318&lt;&gt;"","费用支出","")))))</f>
      </c>
      <c r="P318" s="78">
        <f>IF(O318="","",IFERROR(INDEX(基础资料!$AE$5:$AE$34,MATCH(O318,基础资料!$AC$5:$AC$34,0)),"未知"))</f>
      </c>
      <c r="Q318" s="78">
        <f>IF(P318="应收",COUNTIF(P$7:P318,"应收"),"")</f>
      </c>
      <c r="R318" s="78">
        <f>IF(P318="应付",COUNTIF(P$7:P318,"应付"),"")</f>
      </c>
      <c r="S318" s="78">
        <f>N(F318)-N(G318)</f>
        <v>0</v>
      </c>
    </row>
    <row r="319">
      <c r="A319" s="109">
        <f>IF(AND(F319="",G319=""),"",ROW()-6)</f>
      </c>
      <c r="B319" s="140" t="n"/>
      <c r="C319" s="141" t="n"/>
      <c r="D319" s="141" t="n"/>
      <c r="E319" s="142" t="n"/>
      <c r="F319" s="143" t="n"/>
      <c r="G319" s="144" t="n"/>
      <c r="H319" s="145">
        <f>IF(OR(C319="",AND(F319="",G319="")),"",SUMIF(基础资料!$W$5:$W$24,C319,基础资料!$X$5:$X$24)+SUMIF(C$7:C319,C319,F$7:F319)-SUMIF(C$7:C319,C319,G$7:G319))</f>
      </c>
      <c r="I319" s="145">
        <f>IF(AND(F319="",G319=""),"",SUM(基础资料!$X$5:$X$24)+SUM(F$7:F319)-SUM(G$7:G319))</f>
      </c>
      <c r="J319" s="141" t="n"/>
      <c r="K319" s="141" t="n"/>
      <c r="L319" s="141" t="n"/>
      <c r="M319" s="142" t="n"/>
      <c r="N319" s="146">
        <f>IF(AND(AND(F319="",G319=""),B319="",C319="",D319="",J319="",K319="",L319=""),"",IF(AND(F319="",G319=""),"✗ 没填金额",IF(AND(N(F319)&lt;&gt;0,N(G319)&lt;&gt;0),"✗ 收入、支出只能填一边",IF(NOT(ISNUMBER(B319)),"✗ 日期不是真日期（要像 2026/9/25 这样填）",IF(OR(B319&lt;年初日,B319&gt;年末日),"✗ 日期不在本会计年度",IF(C319="","✗ 没选账户",IF(COUNTIF(基础资料!$W$5:$W$24,C319)=0,"✗ 账户不在基础资料里",IF(O319="","✗ 没选收支项目",IF(P319="未知","✗ 收支项目不在基础资料里",IF(AND(P319="应收",J319=""),"✗ 这笔要选客户",IF(AND(P319="应收",COUNTIF(总览汇总!$B$5:$B$304,J319)=0),"✗ 客户不在总览汇总名单里",IF(AND(P319="应付",K319=""),"✗ 这笔要选供应商",IF(AND(P319="应付",COUNTIF(基础资料!$Q$5:$Q$54,K319)=0),"✗ 供应商不在基础资料里",IF(AND(P319="费用",L319=""),"✗ 费用支出要选费用项目",IF(AND(L319&lt;&gt;"",COUNTIF(基础资料!$AI$5:$AI$54,L319)=0),"✗ 费用项目不在基础资料里",IF(AND(IFERROR(INDEX(基础资料!$AD$5:$AD$34,MATCH(O319,基础资料!$AC$5:$AC$34,0)),"")="收",N(G319)&lt;&gt;0),"✗ 这类是收款，金额填到收入列",IF(AND(IFERROR(INDEX(基础资料!$AD$5:$AD$34,MATCH(O319,基础资料!$AC$5:$AC$34,0)),"")="支",N(F319)&lt;&gt;0),"✗ 这类是付款，金额填到支出列",IF(N(H319)&lt;0,"⚠ 账户余额成负数了，核对一下","√"))))))))))))))))))</f>
      </c>
      <c r="O319" s="78">
        <f>IF(D319&lt;&gt;"",D319,IF(AND(F319="",G319=""),"",IF(J319&lt;&gt;"",IF(N(F319)&gt;0,"客户回款","客户退款"),IF(K319&lt;&gt;"",IF(N(G319)&gt;0,"供应商付款","供应商退款"),IF(L319&lt;&gt;"","费用支出","")))))</f>
      </c>
      <c r="P319" s="78">
        <f>IF(O319="","",IFERROR(INDEX(基础资料!$AE$5:$AE$34,MATCH(O319,基础资料!$AC$5:$AC$34,0)),"未知"))</f>
      </c>
      <c r="Q319" s="78">
        <f>IF(P319="应收",COUNTIF(P$7:P319,"应收"),"")</f>
      </c>
      <c r="R319" s="78">
        <f>IF(P319="应付",COUNTIF(P$7:P319,"应付"),"")</f>
      </c>
      <c r="S319" s="78">
        <f>N(F319)-N(G319)</f>
        <v>0</v>
      </c>
    </row>
    <row r="320">
      <c r="A320" s="109">
        <f>IF(AND(F320="",G320=""),"",ROW()-6)</f>
      </c>
      <c r="B320" s="140" t="n"/>
      <c r="C320" s="141" t="n"/>
      <c r="D320" s="141" t="n"/>
      <c r="E320" s="142" t="n"/>
      <c r="F320" s="143" t="n"/>
      <c r="G320" s="144" t="n"/>
      <c r="H320" s="145">
        <f>IF(OR(C320="",AND(F320="",G320="")),"",SUMIF(基础资料!$W$5:$W$24,C320,基础资料!$X$5:$X$24)+SUMIF(C$7:C320,C320,F$7:F320)-SUMIF(C$7:C320,C320,G$7:G320))</f>
      </c>
      <c r="I320" s="145">
        <f>IF(AND(F320="",G320=""),"",SUM(基础资料!$X$5:$X$24)+SUM(F$7:F320)-SUM(G$7:G320))</f>
      </c>
      <c r="J320" s="141" t="n"/>
      <c r="K320" s="141" t="n"/>
      <c r="L320" s="141" t="n"/>
      <c r="M320" s="142" t="n"/>
      <c r="N320" s="146">
        <f>IF(AND(AND(F320="",G320=""),B320="",C320="",D320="",J320="",K320="",L320=""),"",IF(AND(F320="",G320=""),"✗ 没填金额",IF(AND(N(F320)&lt;&gt;0,N(G320)&lt;&gt;0),"✗ 收入、支出只能填一边",IF(NOT(ISNUMBER(B320)),"✗ 日期不是真日期（要像 2026/9/25 这样填）",IF(OR(B320&lt;年初日,B320&gt;年末日),"✗ 日期不在本会计年度",IF(C320="","✗ 没选账户",IF(COUNTIF(基础资料!$W$5:$W$24,C320)=0,"✗ 账户不在基础资料里",IF(O320="","✗ 没选收支项目",IF(P320="未知","✗ 收支项目不在基础资料里",IF(AND(P320="应收",J320=""),"✗ 这笔要选客户",IF(AND(P320="应收",COUNTIF(总览汇总!$B$5:$B$304,J320)=0),"✗ 客户不在总览汇总名单里",IF(AND(P320="应付",K320=""),"✗ 这笔要选供应商",IF(AND(P320="应付",COUNTIF(基础资料!$Q$5:$Q$54,K320)=0),"✗ 供应商不在基础资料里",IF(AND(P320="费用",L320=""),"✗ 费用支出要选费用项目",IF(AND(L320&lt;&gt;"",COUNTIF(基础资料!$AI$5:$AI$54,L320)=0),"✗ 费用项目不在基础资料里",IF(AND(IFERROR(INDEX(基础资料!$AD$5:$AD$34,MATCH(O320,基础资料!$AC$5:$AC$34,0)),"")="收",N(G320)&lt;&gt;0),"✗ 这类是收款，金额填到收入列",IF(AND(IFERROR(INDEX(基础资料!$AD$5:$AD$34,MATCH(O320,基础资料!$AC$5:$AC$34,0)),"")="支",N(F320)&lt;&gt;0),"✗ 这类是付款，金额填到支出列",IF(N(H320)&lt;0,"⚠ 账户余额成负数了，核对一下","√"))))))))))))))))))</f>
      </c>
      <c r="O320" s="78">
        <f>IF(D320&lt;&gt;"",D320,IF(AND(F320="",G320=""),"",IF(J320&lt;&gt;"",IF(N(F320)&gt;0,"客户回款","客户退款"),IF(K320&lt;&gt;"",IF(N(G320)&gt;0,"供应商付款","供应商退款"),IF(L320&lt;&gt;"","费用支出","")))))</f>
      </c>
      <c r="P320" s="78">
        <f>IF(O320="","",IFERROR(INDEX(基础资料!$AE$5:$AE$34,MATCH(O320,基础资料!$AC$5:$AC$34,0)),"未知"))</f>
      </c>
      <c r="Q320" s="78">
        <f>IF(P320="应收",COUNTIF(P$7:P320,"应收"),"")</f>
      </c>
      <c r="R320" s="78">
        <f>IF(P320="应付",COUNTIF(P$7:P320,"应付"),"")</f>
      </c>
      <c r="S320" s="78">
        <f>N(F320)-N(G320)</f>
        <v>0</v>
      </c>
    </row>
    <row r="321">
      <c r="A321" s="109">
        <f>IF(AND(F321="",G321=""),"",ROW()-6)</f>
      </c>
      <c r="B321" s="140" t="n"/>
      <c r="C321" s="141" t="n"/>
      <c r="D321" s="141" t="n"/>
      <c r="E321" s="142" t="n"/>
      <c r="F321" s="143" t="n"/>
      <c r="G321" s="144" t="n"/>
      <c r="H321" s="145">
        <f>IF(OR(C321="",AND(F321="",G321="")),"",SUMIF(基础资料!$W$5:$W$24,C321,基础资料!$X$5:$X$24)+SUMIF(C$7:C321,C321,F$7:F321)-SUMIF(C$7:C321,C321,G$7:G321))</f>
      </c>
      <c r="I321" s="145">
        <f>IF(AND(F321="",G321=""),"",SUM(基础资料!$X$5:$X$24)+SUM(F$7:F321)-SUM(G$7:G321))</f>
      </c>
      <c r="J321" s="141" t="n"/>
      <c r="K321" s="141" t="n"/>
      <c r="L321" s="141" t="n"/>
      <c r="M321" s="142" t="n"/>
      <c r="N321" s="146">
        <f>IF(AND(AND(F321="",G321=""),B321="",C321="",D321="",J321="",K321="",L321=""),"",IF(AND(F321="",G321=""),"✗ 没填金额",IF(AND(N(F321)&lt;&gt;0,N(G321)&lt;&gt;0),"✗ 收入、支出只能填一边",IF(NOT(ISNUMBER(B321)),"✗ 日期不是真日期（要像 2026/9/25 这样填）",IF(OR(B321&lt;年初日,B321&gt;年末日),"✗ 日期不在本会计年度",IF(C321="","✗ 没选账户",IF(COUNTIF(基础资料!$W$5:$W$24,C321)=0,"✗ 账户不在基础资料里",IF(O321="","✗ 没选收支项目",IF(P321="未知","✗ 收支项目不在基础资料里",IF(AND(P321="应收",J321=""),"✗ 这笔要选客户",IF(AND(P321="应收",COUNTIF(总览汇总!$B$5:$B$304,J321)=0),"✗ 客户不在总览汇总名单里",IF(AND(P321="应付",K321=""),"✗ 这笔要选供应商",IF(AND(P321="应付",COUNTIF(基础资料!$Q$5:$Q$54,K321)=0),"✗ 供应商不在基础资料里",IF(AND(P321="费用",L321=""),"✗ 费用支出要选费用项目",IF(AND(L321&lt;&gt;"",COUNTIF(基础资料!$AI$5:$AI$54,L321)=0),"✗ 费用项目不在基础资料里",IF(AND(IFERROR(INDEX(基础资料!$AD$5:$AD$34,MATCH(O321,基础资料!$AC$5:$AC$34,0)),"")="收",N(G321)&lt;&gt;0),"✗ 这类是收款，金额填到收入列",IF(AND(IFERROR(INDEX(基础资料!$AD$5:$AD$34,MATCH(O321,基础资料!$AC$5:$AC$34,0)),"")="支",N(F321)&lt;&gt;0),"✗ 这类是付款，金额填到支出列",IF(N(H321)&lt;0,"⚠ 账户余额成负数了，核对一下","√"))))))))))))))))))</f>
      </c>
      <c r="O321" s="78">
        <f>IF(D321&lt;&gt;"",D321,IF(AND(F321="",G321=""),"",IF(J321&lt;&gt;"",IF(N(F321)&gt;0,"客户回款","客户退款"),IF(K321&lt;&gt;"",IF(N(G321)&gt;0,"供应商付款","供应商退款"),IF(L321&lt;&gt;"","费用支出","")))))</f>
      </c>
      <c r="P321" s="78">
        <f>IF(O321="","",IFERROR(INDEX(基础资料!$AE$5:$AE$34,MATCH(O321,基础资料!$AC$5:$AC$34,0)),"未知"))</f>
      </c>
      <c r="Q321" s="78">
        <f>IF(P321="应收",COUNTIF(P$7:P321,"应收"),"")</f>
      </c>
      <c r="R321" s="78">
        <f>IF(P321="应付",COUNTIF(P$7:P321,"应付"),"")</f>
      </c>
      <c r="S321" s="78">
        <f>N(F321)-N(G321)</f>
        <v>0</v>
      </c>
    </row>
    <row r="322">
      <c r="A322" s="109">
        <f>IF(AND(F322="",G322=""),"",ROW()-6)</f>
      </c>
      <c r="B322" s="140" t="n"/>
      <c r="C322" s="141" t="n"/>
      <c r="D322" s="141" t="n"/>
      <c r="E322" s="142" t="n"/>
      <c r="F322" s="143" t="n"/>
      <c r="G322" s="144" t="n"/>
      <c r="H322" s="145">
        <f>IF(OR(C322="",AND(F322="",G322="")),"",SUMIF(基础资料!$W$5:$W$24,C322,基础资料!$X$5:$X$24)+SUMIF(C$7:C322,C322,F$7:F322)-SUMIF(C$7:C322,C322,G$7:G322))</f>
      </c>
      <c r="I322" s="145">
        <f>IF(AND(F322="",G322=""),"",SUM(基础资料!$X$5:$X$24)+SUM(F$7:F322)-SUM(G$7:G322))</f>
      </c>
      <c r="J322" s="141" t="n"/>
      <c r="K322" s="141" t="n"/>
      <c r="L322" s="141" t="n"/>
      <c r="M322" s="142" t="n"/>
      <c r="N322" s="146">
        <f>IF(AND(AND(F322="",G322=""),B322="",C322="",D322="",J322="",K322="",L322=""),"",IF(AND(F322="",G322=""),"✗ 没填金额",IF(AND(N(F322)&lt;&gt;0,N(G322)&lt;&gt;0),"✗ 收入、支出只能填一边",IF(NOT(ISNUMBER(B322)),"✗ 日期不是真日期（要像 2026/9/25 这样填）",IF(OR(B322&lt;年初日,B322&gt;年末日),"✗ 日期不在本会计年度",IF(C322="","✗ 没选账户",IF(COUNTIF(基础资料!$W$5:$W$24,C322)=0,"✗ 账户不在基础资料里",IF(O322="","✗ 没选收支项目",IF(P322="未知","✗ 收支项目不在基础资料里",IF(AND(P322="应收",J322=""),"✗ 这笔要选客户",IF(AND(P322="应收",COUNTIF(总览汇总!$B$5:$B$304,J322)=0),"✗ 客户不在总览汇总名单里",IF(AND(P322="应付",K322=""),"✗ 这笔要选供应商",IF(AND(P322="应付",COUNTIF(基础资料!$Q$5:$Q$54,K322)=0),"✗ 供应商不在基础资料里",IF(AND(P322="费用",L322=""),"✗ 费用支出要选费用项目",IF(AND(L322&lt;&gt;"",COUNTIF(基础资料!$AI$5:$AI$54,L322)=0),"✗ 费用项目不在基础资料里",IF(AND(IFERROR(INDEX(基础资料!$AD$5:$AD$34,MATCH(O322,基础资料!$AC$5:$AC$34,0)),"")="收",N(G322)&lt;&gt;0),"✗ 这类是收款，金额填到收入列",IF(AND(IFERROR(INDEX(基础资料!$AD$5:$AD$34,MATCH(O322,基础资料!$AC$5:$AC$34,0)),"")="支",N(F322)&lt;&gt;0),"✗ 这类是付款，金额填到支出列",IF(N(H322)&lt;0,"⚠ 账户余额成负数了，核对一下","√"))))))))))))))))))</f>
      </c>
      <c r="O322" s="78">
        <f>IF(D322&lt;&gt;"",D322,IF(AND(F322="",G322=""),"",IF(J322&lt;&gt;"",IF(N(F322)&gt;0,"客户回款","客户退款"),IF(K322&lt;&gt;"",IF(N(G322)&gt;0,"供应商付款","供应商退款"),IF(L322&lt;&gt;"","费用支出","")))))</f>
      </c>
      <c r="P322" s="78">
        <f>IF(O322="","",IFERROR(INDEX(基础资料!$AE$5:$AE$34,MATCH(O322,基础资料!$AC$5:$AC$34,0)),"未知"))</f>
      </c>
      <c r="Q322" s="78">
        <f>IF(P322="应收",COUNTIF(P$7:P322,"应收"),"")</f>
      </c>
      <c r="R322" s="78">
        <f>IF(P322="应付",COUNTIF(P$7:P322,"应付"),"")</f>
      </c>
      <c r="S322" s="78">
        <f>N(F322)-N(G322)</f>
        <v>0</v>
      </c>
    </row>
    <row r="323">
      <c r="A323" s="109">
        <f>IF(AND(F323="",G323=""),"",ROW()-6)</f>
      </c>
      <c r="B323" s="140" t="n"/>
      <c r="C323" s="141" t="n"/>
      <c r="D323" s="141" t="n"/>
      <c r="E323" s="142" t="n"/>
      <c r="F323" s="143" t="n"/>
      <c r="G323" s="144" t="n"/>
      <c r="H323" s="145">
        <f>IF(OR(C323="",AND(F323="",G323="")),"",SUMIF(基础资料!$W$5:$W$24,C323,基础资料!$X$5:$X$24)+SUMIF(C$7:C323,C323,F$7:F323)-SUMIF(C$7:C323,C323,G$7:G323))</f>
      </c>
      <c r="I323" s="145">
        <f>IF(AND(F323="",G323=""),"",SUM(基础资料!$X$5:$X$24)+SUM(F$7:F323)-SUM(G$7:G323))</f>
      </c>
      <c r="J323" s="141" t="n"/>
      <c r="K323" s="141" t="n"/>
      <c r="L323" s="141" t="n"/>
      <c r="M323" s="142" t="n"/>
      <c r="N323" s="146">
        <f>IF(AND(AND(F323="",G323=""),B323="",C323="",D323="",J323="",K323="",L323=""),"",IF(AND(F323="",G323=""),"✗ 没填金额",IF(AND(N(F323)&lt;&gt;0,N(G323)&lt;&gt;0),"✗ 收入、支出只能填一边",IF(NOT(ISNUMBER(B323)),"✗ 日期不是真日期（要像 2026/9/25 这样填）",IF(OR(B323&lt;年初日,B323&gt;年末日),"✗ 日期不在本会计年度",IF(C323="","✗ 没选账户",IF(COUNTIF(基础资料!$W$5:$W$24,C323)=0,"✗ 账户不在基础资料里",IF(O323="","✗ 没选收支项目",IF(P323="未知","✗ 收支项目不在基础资料里",IF(AND(P323="应收",J323=""),"✗ 这笔要选客户",IF(AND(P323="应收",COUNTIF(总览汇总!$B$5:$B$304,J323)=0),"✗ 客户不在总览汇总名单里",IF(AND(P323="应付",K323=""),"✗ 这笔要选供应商",IF(AND(P323="应付",COUNTIF(基础资料!$Q$5:$Q$54,K323)=0),"✗ 供应商不在基础资料里",IF(AND(P323="费用",L323=""),"✗ 费用支出要选费用项目",IF(AND(L323&lt;&gt;"",COUNTIF(基础资料!$AI$5:$AI$54,L323)=0),"✗ 费用项目不在基础资料里",IF(AND(IFERROR(INDEX(基础资料!$AD$5:$AD$34,MATCH(O323,基础资料!$AC$5:$AC$34,0)),"")="收",N(G323)&lt;&gt;0),"✗ 这类是收款，金额填到收入列",IF(AND(IFERROR(INDEX(基础资料!$AD$5:$AD$34,MATCH(O323,基础资料!$AC$5:$AC$34,0)),"")="支",N(F323)&lt;&gt;0),"✗ 这类是付款，金额填到支出列",IF(N(H323)&lt;0,"⚠ 账户余额成负数了，核对一下","√"))))))))))))))))))</f>
      </c>
      <c r="O323" s="78">
        <f>IF(D323&lt;&gt;"",D323,IF(AND(F323="",G323=""),"",IF(J323&lt;&gt;"",IF(N(F323)&gt;0,"客户回款","客户退款"),IF(K323&lt;&gt;"",IF(N(G323)&gt;0,"供应商付款","供应商退款"),IF(L323&lt;&gt;"","费用支出","")))))</f>
      </c>
      <c r="P323" s="78">
        <f>IF(O323="","",IFERROR(INDEX(基础资料!$AE$5:$AE$34,MATCH(O323,基础资料!$AC$5:$AC$34,0)),"未知"))</f>
      </c>
      <c r="Q323" s="78">
        <f>IF(P323="应收",COUNTIF(P$7:P323,"应收"),"")</f>
      </c>
      <c r="R323" s="78">
        <f>IF(P323="应付",COUNTIF(P$7:P323,"应付"),"")</f>
      </c>
      <c r="S323" s="78">
        <f>N(F323)-N(G323)</f>
        <v>0</v>
      </c>
    </row>
    <row r="324">
      <c r="A324" s="109">
        <f>IF(AND(F324="",G324=""),"",ROW()-6)</f>
      </c>
      <c r="B324" s="140" t="n"/>
      <c r="C324" s="141" t="n"/>
      <c r="D324" s="141" t="n"/>
      <c r="E324" s="142" t="n"/>
      <c r="F324" s="143" t="n"/>
      <c r="G324" s="144" t="n"/>
      <c r="H324" s="145">
        <f>IF(OR(C324="",AND(F324="",G324="")),"",SUMIF(基础资料!$W$5:$W$24,C324,基础资料!$X$5:$X$24)+SUMIF(C$7:C324,C324,F$7:F324)-SUMIF(C$7:C324,C324,G$7:G324))</f>
      </c>
      <c r="I324" s="145">
        <f>IF(AND(F324="",G324=""),"",SUM(基础资料!$X$5:$X$24)+SUM(F$7:F324)-SUM(G$7:G324))</f>
      </c>
      <c r="J324" s="141" t="n"/>
      <c r="K324" s="141" t="n"/>
      <c r="L324" s="141" t="n"/>
      <c r="M324" s="142" t="n"/>
      <c r="N324" s="146">
        <f>IF(AND(AND(F324="",G324=""),B324="",C324="",D324="",J324="",K324="",L324=""),"",IF(AND(F324="",G324=""),"✗ 没填金额",IF(AND(N(F324)&lt;&gt;0,N(G324)&lt;&gt;0),"✗ 收入、支出只能填一边",IF(NOT(ISNUMBER(B324)),"✗ 日期不是真日期（要像 2026/9/25 这样填）",IF(OR(B324&lt;年初日,B324&gt;年末日),"✗ 日期不在本会计年度",IF(C324="","✗ 没选账户",IF(COUNTIF(基础资料!$W$5:$W$24,C324)=0,"✗ 账户不在基础资料里",IF(O324="","✗ 没选收支项目",IF(P324="未知","✗ 收支项目不在基础资料里",IF(AND(P324="应收",J324=""),"✗ 这笔要选客户",IF(AND(P324="应收",COUNTIF(总览汇总!$B$5:$B$304,J324)=0),"✗ 客户不在总览汇总名单里",IF(AND(P324="应付",K324=""),"✗ 这笔要选供应商",IF(AND(P324="应付",COUNTIF(基础资料!$Q$5:$Q$54,K324)=0),"✗ 供应商不在基础资料里",IF(AND(P324="费用",L324=""),"✗ 费用支出要选费用项目",IF(AND(L324&lt;&gt;"",COUNTIF(基础资料!$AI$5:$AI$54,L324)=0),"✗ 费用项目不在基础资料里",IF(AND(IFERROR(INDEX(基础资料!$AD$5:$AD$34,MATCH(O324,基础资料!$AC$5:$AC$34,0)),"")="收",N(G324)&lt;&gt;0),"✗ 这类是收款，金额填到收入列",IF(AND(IFERROR(INDEX(基础资料!$AD$5:$AD$34,MATCH(O324,基础资料!$AC$5:$AC$34,0)),"")="支",N(F324)&lt;&gt;0),"✗ 这类是付款，金额填到支出列",IF(N(H324)&lt;0,"⚠ 账户余额成负数了，核对一下","√"))))))))))))))))))</f>
      </c>
      <c r="O324" s="78">
        <f>IF(D324&lt;&gt;"",D324,IF(AND(F324="",G324=""),"",IF(J324&lt;&gt;"",IF(N(F324)&gt;0,"客户回款","客户退款"),IF(K324&lt;&gt;"",IF(N(G324)&gt;0,"供应商付款","供应商退款"),IF(L324&lt;&gt;"","费用支出","")))))</f>
      </c>
      <c r="P324" s="78">
        <f>IF(O324="","",IFERROR(INDEX(基础资料!$AE$5:$AE$34,MATCH(O324,基础资料!$AC$5:$AC$34,0)),"未知"))</f>
      </c>
      <c r="Q324" s="78">
        <f>IF(P324="应收",COUNTIF(P$7:P324,"应收"),"")</f>
      </c>
      <c r="R324" s="78">
        <f>IF(P324="应付",COUNTIF(P$7:P324,"应付"),"")</f>
      </c>
      <c r="S324" s="78">
        <f>N(F324)-N(G324)</f>
        <v>0</v>
      </c>
    </row>
    <row r="325">
      <c r="A325" s="109">
        <f>IF(AND(F325="",G325=""),"",ROW()-6)</f>
      </c>
      <c r="B325" s="140" t="n"/>
      <c r="C325" s="141" t="n"/>
      <c r="D325" s="141" t="n"/>
      <c r="E325" s="142" t="n"/>
      <c r="F325" s="143" t="n"/>
      <c r="G325" s="144" t="n"/>
      <c r="H325" s="145">
        <f>IF(OR(C325="",AND(F325="",G325="")),"",SUMIF(基础资料!$W$5:$W$24,C325,基础资料!$X$5:$X$24)+SUMIF(C$7:C325,C325,F$7:F325)-SUMIF(C$7:C325,C325,G$7:G325))</f>
      </c>
      <c r="I325" s="145">
        <f>IF(AND(F325="",G325=""),"",SUM(基础资料!$X$5:$X$24)+SUM(F$7:F325)-SUM(G$7:G325))</f>
      </c>
      <c r="J325" s="141" t="n"/>
      <c r="K325" s="141" t="n"/>
      <c r="L325" s="141" t="n"/>
      <c r="M325" s="142" t="n"/>
      <c r="N325" s="146">
        <f>IF(AND(AND(F325="",G325=""),B325="",C325="",D325="",J325="",K325="",L325=""),"",IF(AND(F325="",G325=""),"✗ 没填金额",IF(AND(N(F325)&lt;&gt;0,N(G325)&lt;&gt;0),"✗ 收入、支出只能填一边",IF(NOT(ISNUMBER(B325)),"✗ 日期不是真日期（要像 2026/9/25 这样填）",IF(OR(B325&lt;年初日,B325&gt;年末日),"✗ 日期不在本会计年度",IF(C325="","✗ 没选账户",IF(COUNTIF(基础资料!$W$5:$W$24,C325)=0,"✗ 账户不在基础资料里",IF(O325="","✗ 没选收支项目",IF(P325="未知","✗ 收支项目不在基础资料里",IF(AND(P325="应收",J325=""),"✗ 这笔要选客户",IF(AND(P325="应收",COUNTIF(总览汇总!$B$5:$B$304,J325)=0),"✗ 客户不在总览汇总名单里",IF(AND(P325="应付",K325=""),"✗ 这笔要选供应商",IF(AND(P325="应付",COUNTIF(基础资料!$Q$5:$Q$54,K325)=0),"✗ 供应商不在基础资料里",IF(AND(P325="费用",L325=""),"✗ 费用支出要选费用项目",IF(AND(L325&lt;&gt;"",COUNTIF(基础资料!$AI$5:$AI$54,L325)=0),"✗ 费用项目不在基础资料里",IF(AND(IFERROR(INDEX(基础资料!$AD$5:$AD$34,MATCH(O325,基础资料!$AC$5:$AC$34,0)),"")="收",N(G325)&lt;&gt;0),"✗ 这类是收款，金额填到收入列",IF(AND(IFERROR(INDEX(基础资料!$AD$5:$AD$34,MATCH(O325,基础资料!$AC$5:$AC$34,0)),"")="支",N(F325)&lt;&gt;0),"✗ 这类是付款，金额填到支出列",IF(N(H325)&lt;0,"⚠ 账户余额成负数了，核对一下","√"))))))))))))))))))</f>
      </c>
      <c r="O325" s="78">
        <f>IF(D325&lt;&gt;"",D325,IF(AND(F325="",G325=""),"",IF(J325&lt;&gt;"",IF(N(F325)&gt;0,"客户回款","客户退款"),IF(K325&lt;&gt;"",IF(N(G325)&gt;0,"供应商付款","供应商退款"),IF(L325&lt;&gt;"","费用支出","")))))</f>
      </c>
      <c r="P325" s="78">
        <f>IF(O325="","",IFERROR(INDEX(基础资料!$AE$5:$AE$34,MATCH(O325,基础资料!$AC$5:$AC$34,0)),"未知"))</f>
      </c>
      <c r="Q325" s="78">
        <f>IF(P325="应收",COUNTIF(P$7:P325,"应收"),"")</f>
      </c>
      <c r="R325" s="78">
        <f>IF(P325="应付",COUNTIF(P$7:P325,"应付"),"")</f>
      </c>
      <c r="S325" s="78">
        <f>N(F325)-N(G325)</f>
        <v>0</v>
      </c>
    </row>
    <row r="326">
      <c r="A326" s="109">
        <f>IF(AND(F326="",G326=""),"",ROW()-6)</f>
      </c>
      <c r="B326" s="140" t="n"/>
      <c r="C326" s="141" t="n"/>
      <c r="D326" s="141" t="n"/>
      <c r="E326" s="142" t="n"/>
      <c r="F326" s="143" t="n"/>
      <c r="G326" s="144" t="n"/>
      <c r="H326" s="145">
        <f>IF(OR(C326="",AND(F326="",G326="")),"",SUMIF(基础资料!$W$5:$W$24,C326,基础资料!$X$5:$X$24)+SUMIF(C$7:C326,C326,F$7:F326)-SUMIF(C$7:C326,C326,G$7:G326))</f>
      </c>
      <c r="I326" s="145">
        <f>IF(AND(F326="",G326=""),"",SUM(基础资料!$X$5:$X$24)+SUM(F$7:F326)-SUM(G$7:G326))</f>
      </c>
      <c r="J326" s="141" t="n"/>
      <c r="K326" s="141" t="n"/>
      <c r="L326" s="141" t="n"/>
      <c r="M326" s="142" t="n"/>
      <c r="N326" s="146">
        <f>IF(AND(AND(F326="",G326=""),B326="",C326="",D326="",J326="",K326="",L326=""),"",IF(AND(F326="",G326=""),"✗ 没填金额",IF(AND(N(F326)&lt;&gt;0,N(G326)&lt;&gt;0),"✗ 收入、支出只能填一边",IF(NOT(ISNUMBER(B326)),"✗ 日期不是真日期（要像 2026/9/25 这样填）",IF(OR(B326&lt;年初日,B326&gt;年末日),"✗ 日期不在本会计年度",IF(C326="","✗ 没选账户",IF(COUNTIF(基础资料!$W$5:$W$24,C326)=0,"✗ 账户不在基础资料里",IF(O326="","✗ 没选收支项目",IF(P326="未知","✗ 收支项目不在基础资料里",IF(AND(P326="应收",J326=""),"✗ 这笔要选客户",IF(AND(P326="应收",COUNTIF(总览汇总!$B$5:$B$304,J326)=0),"✗ 客户不在总览汇总名单里",IF(AND(P326="应付",K326=""),"✗ 这笔要选供应商",IF(AND(P326="应付",COUNTIF(基础资料!$Q$5:$Q$54,K326)=0),"✗ 供应商不在基础资料里",IF(AND(P326="费用",L326=""),"✗ 费用支出要选费用项目",IF(AND(L326&lt;&gt;"",COUNTIF(基础资料!$AI$5:$AI$54,L326)=0),"✗ 费用项目不在基础资料里",IF(AND(IFERROR(INDEX(基础资料!$AD$5:$AD$34,MATCH(O326,基础资料!$AC$5:$AC$34,0)),"")="收",N(G326)&lt;&gt;0),"✗ 这类是收款，金额填到收入列",IF(AND(IFERROR(INDEX(基础资料!$AD$5:$AD$34,MATCH(O326,基础资料!$AC$5:$AC$34,0)),"")="支",N(F326)&lt;&gt;0),"✗ 这类是付款，金额填到支出列",IF(N(H326)&lt;0,"⚠ 账户余额成负数了，核对一下","√"))))))))))))))))))</f>
      </c>
      <c r="O326" s="78">
        <f>IF(D326&lt;&gt;"",D326,IF(AND(F326="",G326=""),"",IF(J326&lt;&gt;"",IF(N(F326)&gt;0,"客户回款","客户退款"),IF(K326&lt;&gt;"",IF(N(G326)&gt;0,"供应商付款","供应商退款"),IF(L326&lt;&gt;"","费用支出","")))))</f>
      </c>
      <c r="P326" s="78">
        <f>IF(O326="","",IFERROR(INDEX(基础资料!$AE$5:$AE$34,MATCH(O326,基础资料!$AC$5:$AC$34,0)),"未知"))</f>
      </c>
      <c r="Q326" s="78">
        <f>IF(P326="应收",COUNTIF(P$7:P326,"应收"),"")</f>
      </c>
      <c r="R326" s="78">
        <f>IF(P326="应付",COUNTIF(P$7:P326,"应付"),"")</f>
      </c>
      <c r="S326" s="78">
        <f>N(F326)-N(G326)</f>
        <v>0</v>
      </c>
    </row>
    <row r="327">
      <c r="A327" s="109">
        <f>IF(AND(F327="",G327=""),"",ROW()-6)</f>
      </c>
      <c r="B327" s="140" t="n"/>
      <c r="C327" s="141" t="n"/>
      <c r="D327" s="141" t="n"/>
      <c r="E327" s="142" t="n"/>
      <c r="F327" s="143" t="n"/>
      <c r="G327" s="144" t="n"/>
      <c r="H327" s="145">
        <f>IF(OR(C327="",AND(F327="",G327="")),"",SUMIF(基础资料!$W$5:$W$24,C327,基础资料!$X$5:$X$24)+SUMIF(C$7:C327,C327,F$7:F327)-SUMIF(C$7:C327,C327,G$7:G327))</f>
      </c>
      <c r="I327" s="145">
        <f>IF(AND(F327="",G327=""),"",SUM(基础资料!$X$5:$X$24)+SUM(F$7:F327)-SUM(G$7:G327))</f>
      </c>
      <c r="J327" s="141" t="n"/>
      <c r="K327" s="141" t="n"/>
      <c r="L327" s="141" t="n"/>
      <c r="M327" s="142" t="n"/>
      <c r="N327" s="146">
        <f>IF(AND(AND(F327="",G327=""),B327="",C327="",D327="",J327="",K327="",L327=""),"",IF(AND(F327="",G327=""),"✗ 没填金额",IF(AND(N(F327)&lt;&gt;0,N(G327)&lt;&gt;0),"✗ 收入、支出只能填一边",IF(NOT(ISNUMBER(B327)),"✗ 日期不是真日期（要像 2026/9/25 这样填）",IF(OR(B327&lt;年初日,B327&gt;年末日),"✗ 日期不在本会计年度",IF(C327="","✗ 没选账户",IF(COUNTIF(基础资料!$W$5:$W$24,C327)=0,"✗ 账户不在基础资料里",IF(O327="","✗ 没选收支项目",IF(P327="未知","✗ 收支项目不在基础资料里",IF(AND(P327="应收",J327=""),"✗ 这笔要选客户",IF(AND(P327="应收",COUNTIF(总览汇总!$B$5:$B$304,J327)=0),"✗ 客户不在总览汇总名单里",IF(AND(P327="应付",K327=""),"✗ 这笔要选供应商",IF(AND(P327="应付",COUNTIF(基础资料!$Q$5:$Q$54,K327)=0),"✗ 供应商不在基础资料里",IF(AND(P327="费用",L327=""),"✗ 费用支出要选费用项目",IF(AND(L327&lt;&gt;"",COUNTIF(基础资料!$AI$5:$AI$54,L327)=0),"✗ 费用项目不在基础资料里",IF(AND(IFERROR(INDEX(基础资料!$AD$5:$AD$34,MATCH(O327,基础资料!$AC$5:$AC$34,0)),"")="收",N(G327)&lt;&gt;0),"✗ 这类是收款，金额填到收入列",IF(AND(IFERROR(INDEX(基础资料!$AD$5:$AD$34,MATCH(O327,基础资料!$AC$5:$AC$34,0)),"")="支",N(F327)&lt;&gt;0),"✗ 这类是付款，金额填到支出列",IF(N(H327)&lt;0,"⚠ 账户余额成负数了，核对一下","√"))))))))))))))))))</f>
      </c>
      <c r="O327" s="78">
        <f>IF(D327&lt;&gt;"",D327,IF(AND(F327="",G327=""),"",IF(J327&lt;&gt;"",IF(N(F327)&gt;0,"客户回款","客户退款"),IF(K327&lt;&gt;"",IF(N(G327)&gt;0,"供应商付款","供应商退款"),IF(L327&lt;&gt;"","费用支出","")))))</f>
      </c>
      <c r="P327" s="78">
        <f>IF(O327="","",IFERROR(INDEX(基础资料!$AE$5:$AE$34,MATCH(O327,基础资料!$AC$5:$AC$34,0)),"未知"))</f>
      </c>
      <c r="Q327" s="78">
        <f>IF(P327="应收",COUNTIF(P$7:P327,"应收"),"")</f>
      </c>
      <c r="R327" s="78">
        <f>IF(P327="应付",COUNTIF(P$7:P327,"应付"),"")</f>
      </c>
      <c r="S327" s="78">
        <f>N(F327)-N(G327)</f>
        <v>0</v>
      </c>
    </row>
    <row r="328">
      <c r="A328" s="109">
        <f>IF(AND(F328="",G328=""),"",ROW()-6)</f>
      </c>
      <c r="B328" s="140" t="n"/>
      <c r="C328" s="141" t="n"/>
      <c r="D328" s="141" t="n"/>
      <c r="E328" s="142" t="n"/>
      <c r="F328" s="143" t="n"/>
      <c r="G328" s="144" t="n"/>
      <c r="H328" s="145">
        <f>IF(OR(C328="",AND(F328="",G328="")),"",SUMIF(基础资料!$W$5:$W$24,C328,基础资料!$X$5:$X$24)+SUMIF(C$7:C328,C328,F$7:F328)-SUMIF(C$7:C328,C328,G$7:G328))</f>
      </c>
      <c r="I328" s="145">
        <f>IF(AND(F328="",G328=""),"",SUM(基础资料!$X$5:$X$24)+SUM(F$7:F328)-SUM(G$7:G328))</f>
      </c>
      <c r="J328" s="141" t="n"/>
      <c r="K328" s="141" t="n"/>
      <c r="L328" s="141" t="n"/>
      <c r="M328" s="142" t="n"/>
      <c r="N328" s="146">
        <f>IF(AND(AND(F328="",G328=""),B328="",C328="",D328="",J328="",K328="",L328=""),"",IF(AND(F328="",G328=""),"✗ 没填金额",IF(AND(N(F328)&lt;&gt;0,N(G328)&lt;&gt;0),"✗ 收入、支出只能填一边",IF(NOT(ISNUMBER(B328)),"✗ 日期不是真日期（要像 2026/9/25 这样填）",IF(OR(B328&lt;年初日,B328&gt;年末日),"✗ 日期不在本会计年度",IF(C328="","✗ 没选账户",IF(COUNTIF(基础资料!$W$5:$W$24,C328)=0,"✗ 账户不在基础资料里",IF(O328="","✗ 没选收支项目",IF(P328="未知","✗ 收支项目不在基础资料里",IF(AND(P328="应收",J328=""),"✗ 这笔要选客户",IF(AND(P328="应收",COUNTIF(总览汇总!$B$5:$B$304,J328)=0),"✗ 客户不在总览汇总名单里",IF(AND(P328="应付",K328=""),"✗ 这笔要选供应商",IF(AND(P328="应付",COUNTIF(基础资料!$Q$5:$Q$54,K328)=0),"✗ 供应商不在基础资料里",IF(AND(P328="费用",L328=""),"✗ 费用支出要选费用项目",IF(AND(L328&lt;&gt;"",COUNTIF(基础资料!$AI$5:$AI$54,L328)=0),"✗ 费用项目不在基础资料里",IF(AND(IFERROR(INDEX(基础资料!$AD$5:$AD$34,MATCH(O328,基础资料!$AC$5:$AC$34,0)),"")="收",N(G328)&lt;&gt;0),"✗ 这类是收款，金额填到收入列",IF(AND(IFERROR(INDEX(基础资料!$AD$5:$AD$34,MATCH(O328,基础资料!$AC$5:$AC$34,0)),"")="支",N(F328)&lt;&gt;0),"✗ 这类是付款，金额填到支出列",IF(N(H328)&lt;0,"⚠ 账户余额成负数了，核对一下","√"))))))))))))))))))</f>
      </c>
      <c r="O328" s="78">
        <f>IF(D328&lt;&gt;"",D328,IF(AND(F328="",G328=""),"",IF(J328&lt;&gt;"",IF(N(F328)&gt;0,"客户回款","客户退款"),IF(K328&lt;&gt;"",IF(N(G328)&gt;0,"供应商付款","供应商退款"),IF(L328&lt;&gt;"","费用支出","")))))</f>
      </c>
      <c r="P328" s="78">
        <f>IF(O328="","",IFERROR(INDEX(基础资料!$AE$5:$AE$34,MATCH(O328,基础资料!$AC$5:$AC$34,0)),"未知"))</f>
      </c>
      <c r="Q328" s="78">
        <f>IF(P328="应收",COUNTIF(P$7:P328,"应收"),"")</f>
      </c>
      <c r="R328" s="78">
        <f>IF(P328="应付",COUNTIF(P$7:P328,"应付"),"")</f>
      </c>
      <c r="S328" s="78">
        <f>N(F328)-N(G328)</f>
        <v>0</v>
      </c>
    </row>
    <row r="329">
      <c r="A329" s="109">
        <f>IF(AND(F329="",G329=""),"",ROW()-6)</f>
      </c>
      <c r="B329" s="140" t="n"/>
      <c r="C329" s="141" t="n"/>
      <c r="D329" s="141" t="n"/>
      <c r="E329" s="142" t="n"/>
      <c r="F329" s="143" t="n"/>
      <c r="G329" s="144" t="n"/>
      <c r="H329" s="145">
        <f>IF(OR(C329="",AND(F329="",G329="")),"",SUMIF(基础资料!$W$5:$W$24,C329,基础资料!$X$5:$X$24)+SUMIF(C$7:C329,C329,F$7:F329)-SUMIF(C$7:C329,C329,G$7:G329))</f>
      </c>
      <c r="I329" s="145">
        <f>IF(AND(F329="",G329=""),"",SUM(基础资料!$X$5:$X$24)+SUM(F$7:F329)-SUM(G$7:G329))</f>
      </c>
      <c r="J329" s="141" t="n"/>
      <c r="K329" s="141" t="n"/>
      <c r="L329" s="141" t="n"/>
      <c r="M329" s="142" t="n"/>
      <c r="N329" s="146">
        <f>IF(AND(AND(F329="",G329=""),B329="",C329="",D329="",J329="",K329="",L329=""),"",IF(AND(F329="",G329=""),"✗ 没填金额",IF(AND(N(F329)&lt;&gt;0,N(G329)&lt;&gt;0),"✗ 收入、支出只能填一边",IF(NOT(ISNUMBER(B329)),"✗ 日期不是真日期（要像 2026/9/25 这样填）",IF(OR(B329&lt;年初日,B329&gt;年末日),"✗ 日期不在本会计年度",IF(C329="","✗ 没选账户",IF(COUNTIF(基础资料!$W$5:$W$24,C329)=0,"✗ 账户不在基础资料里",IF(O329="","✗ 没选收支项目",IF(P329="未知","✗ 收支项目不在基础资料里",IF(AND(P329="应收",J329=""),"✗ 这笔要选客户",IF(AND(P329="应收",COUNTIF(总览汇总!$B$5:$B$304,J329)=0),"✗ 客户不在总览汇总名单里",IF(AND(P329="应付",K329=""),"✗ 这笔要选供应商",IF(AND(P329="应付",COUNTIF(基础资料!$Q$5:$Q$54,K329)=0),"✗ 供应商不在基础资料里",IF(AND(P329="费用",L329=""),"✗ 费用支出要选费用项目",IF(AND(L329&lt;&gt;"",COUNTIF(基础资料!$AI$5:$AI$54,L329)=0),"✗ 费用项目不在基础资料里",IF(AND(IFERROR(INDEX(基础资料!$AD$5:$AD$34,MATCH(O329,基础资料!$AC$5:$AC$34,0)),"")="收",N(G329)&lt;&gt;0),"✗ 这类是收款，金额填到收入列",IF(AND(IFERROR(INDEX(基础资料!$AD$5:$AD$34,MATCH(O329,基础资料!$AC$5:$AC$34,0)),"")="支",N(F329)&lt;&gt;0),"✗ 这类是付款，金额填到支出列",IF(N(H329)&lt;0,"⚠ 账户余额成负数了，核对一下","√"))))))))))))))))))</f>
      </c>
      <c r="O329" s="78">
        <f>IF(D329&lt;&gt;"",D329,IF(AND(F329="",G329=""),"",IF(J329&lt;&gt;"",IF(N(F329)&gt;0,"客户回款","客户退款"),IF(K329&lt;&gt;"",IF(N(G329)&gt;0,"供应商付款","供应商退款"),IF(L329&lt;&gt;"","费用支出","")))))</f>
      </c>
      <c r="P329" s="78">
        <f>IF(O329="","",IFERROR(INDEX(基础资料!$AE$5:$AE$34,MATCH(O329,基础资料!$AC$5:$AC$34,0)),"未知"))</f>
      </c>
      <c r="Q329" s="78">
        <f>IF(P329="应收",COUNTIF(P$7:P329,"应收"),"")</f>
      </c>
      <c r="R329" s="78">
        <f>IF(P329="应付",COUNTIF(P$7:P329,"应付"),"")</f>
      </c>
      <c r="S329" s="78">
        <f>N(F329)-N(G329)</f>
        <v>0</v>
      </c>
    </row>
    <row r="330">
      <c r="A330" s="109">
        <f>IF(AND(F330="",G330=""),"",ROW()-6)</f>
      </c>
      <c r="B330" s="140" t="n"/>
      <c r="C330" s="141" t="n"/>
      <c r="D330" s="141" t="n"/>
      <c r="E330" s="142" t="n"/>
      <c r="F330" s="143" t="n"/>
      <c r="G330" s="144" t="n"/>
      <c r="H330" s="145">
        <f>IF(OR(C330="",AND(F330="",G330="")),"",SUMIF(基础资料!$W$5:$W$24,C330,基础资料!$X$5:$X$24)+SUMIF(C$7:C330,C330,F$7:F330)-SUMIF(C$7:C330,C330,G$7:G330))</f>
      </c>
      <c r="I330" s="145">
        <f>IF(AND(F330="",G330=""),"",SUM(基础资料!$X$5:$X$24)+SUM(F$7:F330)-SUM(G$7:G330))</f>
      </c>
      <c r="J330" s="141" t="n"/>
      <c r="K330" s="141" t="n"/>
      <c r="L330" s="141" t="n"/>
      <c r="M330" s="142" t="n"/>
      <c r="N330" s="146">
        <f>IF(AND(AND(F330="",G330=""),B330="",C330="",D330="",J330="",K330="",L330=""),"",IF(AND(F330="",G330=""),"✗ 没填金额",IF(AND(N(F330)&lt;&gt;0,N(G330)&lt;&gt;0),"✗ 收入、支出只能填一边",IF(NOT(ISNUMBER(B330)),"✗ 日期不是真日期（要像 2026/9/25 这样填）",IF(OR(B330&lt;年初日,B330&gt;年末日),"✗ 日期不在本会计年度",IF(C330="","✗ 没选账户",IF(COUNTIF(基础资料!$W$5:$W$24,C330)=0,"✗ 账户不在基础资料里",IF(O330="","✗ 没选收支项目",IF(P330="未知","✗ 收支项目不在基础资料里",IF(AND(P330="应收",J330=""),"✗ 这笔要选客户",IF(AND(P330="应收",COUNTIF(总览汇总!$B$5:$B$304,J330)=0),"✗ 客户不在总览汇总名单里",IF(AND(P330="应付",K330=""),"✗ 这笔要选供应商",IF(AND(P330="应付",COUNTIF(基础资料!$Q$5:$Q$54,K330)=0),"✗ 供应商不在基础资料里",IF(AND(P330="费用",L330=""),"✗ 费用支出要选费用项目",IF(AND(L330&lt;&gt;"",COUNTIF(基础资料!$AI$5:$AI$54,L330)=0),"✗ 费用项目不在基础资料里",IF(AND(IFERROR(INDEX(基础资料!$AD$5:$AD$34,MATCH(O330,基础资料!$AC$5:$AC$34,0)),"")="收",N(G330)&lt;&gt;0),"✗ 这类是收款，金额填到收入列",IF(AND(IFERROR(INDEX(基础资料!$AD$5:$AD$34,MATCH(O330,基础资料!$AC$5:$AC$34,0)),"")="支",N(F330)&lt;&gt;0),"✗ 这类是付款，金额填到支出列",IF(N(H330)&lt;0,"⚠ 账户余额成负数了，核对一下","√"))))))))))))))))))</f>
      </c>
      <c r="O330" s="78">
        <f>IF(D330&lt;&gt;"",D330,IF(AND(F330="",G330=""),"",IF(J330&lt;&gt;"",IF(N(F330)&gt;0,"客户回款","客户退款"),IF(K330&lt;&gt;"",IF(N(G330)&gt;0,"供应商付款","供应商退款"),IF(L330&lt;&gt;"","费用支出","")))))</f>
      </c>
      <c r="P330" s="78">
        <f>IF(O330="","",IFERROR(INDEX(基础资料!$AE$5:$AE$34,MATCH(O330,基础资料!$AC$5:$AC$34,0)),"未知"))</f>
      </c>
      <c r="Q330" s="78">
        <f>IF(P330="应收",COUNTIF(P$7:P330,"应收"),"")</f>
      </c>
      <c r="R330" s="78">
        <f>IF(P330="应付",COUNTIF(P$7:P330,"应付"),"")</f>
      </c>
      <c r="S330" s="78">
        <f>N(F330)-N(G330)</f>
        <v>0</v>
      </c>
    </row>
    <row r="331">
      <c r="A331" s="109">
        <f>IF(AND(F331="",G331=""),"",ROW()-6)</f>
      </c>
      <c r="B331" s="140" t="n"/>
      <c r="C331" s="141" t="n"/>
      <c r="D331" s="141" t="n"/>
      <c r="E331" s="142" t="n"/>
      <c r="F331" s="143" t="n"/>
      <c r="G331" s="144" t="n"/>
      <c r="H331" s="145">
        <f>IF(OR(C331="",AND(F331="",G331="")),"",SUMIF(基础资料!$W$5:$W$24,C331,基础资料!$X$5:$X$24)+SUMIF(C$7:C331,C331,F$7:F331)-SUMIF(C$7:C331,C331,G$7:G331))</f>
      </c>
      <c r="I331" s="145">
        <f>IF(AND(F331="",G331=""),"",SUM(基础资料!$X$5:$X$24)+SUM(F$7:F331)-SUM(G$7:G331))</f>
      </c>
      <c r="J331" s="141" t="n"/>
      <c r="K331" s="141" t="n"/>
      <c r="L331" s="141" t="n"/>
      <c r="M331" s="142" t="n"/>
      <c r="N331" s="146">
        <f>IF(AND(AND(F331="",G331=""),B331="",C331="",D331="",J331="",K331="",L331=""),"",IF(AND(F331="",G331=""),"✗ 没填金额",IF(AND(N(F331)&lt;&gt;0,N(G331)&lt;&gt;0),"✗ 收入、支出只能填一边",IF(NOT(ISNUMBER(B331)),"✗ 日期不是真日期（要像 2026/9/25 这样填）",IF(OR(B331&lt;年初日,B331&gt;年末日),"✗ 日期不在本会计年度",IF(C331="","✗ 没选账户",IF(COUNTIF(基础资料!$W$5:$W$24,C331)=0,"✗ 账户不在基础资料里",IF(O331="","✗ 没选收支项目",IF(P331="未知","✗ 收支项目不在基础资料里",IF(AND(P331="应收",J331=""),"✗ 这笔要选客户",IF(AND(P331="应收",COUNTIF(总览汇总!$B$5:$B$304,J331)=0),"✗ 客户不在总览汇总名单里",IF(AND(P331="应付",K331=""),"✗ 这笔要选供应商",IF(AND(P331="应付",COUNTIF(基础资料!$Q$5:$Q$54,K331)=0),"✗ 供应商不在基础资料里",IF(AND(P331="费用",L331=""),"✗ 费用支出要选费用项目",IF(AND(L331&lt;&gt;"",COUNTIF(基础资料!$AI$5:$AI$54,L331)=0),"✗ 费用项目不在基础资料里",IF(AND(IFERROR(INDEX(基础资料!$AD$5:$AD$34,MATCH(O331,基础资料!$AC$5:$AC$34,0)),"")="收",N(G331)&lt;&gt;0),"✗ 这类是收款，金额填到收入列",IF(AND(IFERROR(INDEX(基础资料!$AD$5:$AD$34,MATCH(O331,基础资料!$AC$5:$AC$34,0)),"")="支",N(F331)&lt;&gt;0),"✗ 这类是付款，金额填到支出列",IF(N(H331)&lt;0,"⚠ 账户余额成负数了，核对一下","√"))))))))))))))))))</f>
      </c>
      <c r="O331" s="78">
        <f>IF(D331&lt;&gt;"",D331,IF(AND(F331="",G331=""),"",IF(J331&lt;&gt;"",IF(N(F331)&gt;0,"客户回款","客户退款"),IF(K331&lt;&gt;"",IF(N(G331)&gt;0,"供应商付款","供应商退款"),IF(L331&lt;&gt;"","费用支出","")))))</f>
      </c>
      <c r="P331" s="78">
        <f>IF(O331="","",IFERROR(INDEX(基础资料!$AE$5:$AE$34,MATCH(O331,基础资料!$AC$5:$AC$34,0)),"未知"))</f>
      </c>
      <c r="Q331" s="78">
        <f>IF(P331="应收",COUNTIF(P$7:P331,"应收"),"")</f>
      </c>
      <c r="R331" s="78">
        <f>IF(P331="应付",COUNTIF(P$7:P331,"应付"),"")</f>
      </c>
      <c r="S331" s="78">
        <f>N(F331)-N(G331)</f>
        <v>0</v>
      </c>
    </row>
    <row r="332">
      <c r="A332" s="109">
        <f>IF(AND(F332="",G332=""),"",ROW()-6)</f>
      </c>
      <c r="B332" s="140" t="n"/>
      <c r="C332" s="141" t="n"/>
      <c r="D332" s="141" t="n"/>
      <c r="E332" s="142" t="n"/>
      <c r="F332" s="143" t="n"/>
      <c r="G332" s="144" t="n"/>
      <c r="H332" s="145">
        <f>IF(OR(C332="",AND(F332="",G332="")),"",SUMIF(基础资料!$W$5:$W$24,C332,基础资料!$X$5:$X$24)+SUMIF(C$7:C332,C332,F$7:F332)-SUMIF(C$7:C332,C332,G$7:G332))</f>
      </c>
      <c r="I332" s="145">
        <f>IF(AND(F332="",G332=""),"",SUM(基础资料!$X$5:$X$24)+SUM(F$7:F332)-SUM(G$7:G332))</f>
      </c>
      <c r="J332" s="141" t="n"/>
      <c r="K332" s="141" t="n"/>
      <c r="L332" s="141" t="n"/>
      <c r="M332" s="142" t="n"/>
      <c r="N332" s="146">
        <f>IF(AND(AND(F332="",G332=""),B332="",C332="",D332="",J332="",K332="",L332=""),"",IF(AND(F332="",G332=""),"✗ 没填金额",IF(AND(N(F332)&lt;&gt;0,N(G332)&lt;&gt;0),"✗ 收入、支出只能填一边",IF(NOT(ISNUMBER(B332)),"✗ 日期不是真日期（要像 2026/9/25 这样填）",IF(OR(B332&lt;年初日,B332&gt;年末日),"✗ 日期不在本会计年度",IF(C332="","✗ 没选账户",IF(COUNTIF(基础资料!$W$5:$W$24,C332)=0,"✗ 账户不在基础资料里",IF(O332="","✗ 没选收支项目",IF(P332="未知","✗ 收支项目不在基础资料里",IF(AND(P332="应收",J332=""),"✗ 这笔要选客户",IF(AND(P332="应收",COUNTIF(总览汇总!$B$5:$B$304,J332)=0),"✗ 客户不在总览汇总名单里",IF(AND(P332="应付",K332=""),"✗ 这笔要选供应商",IF(AND(P332="应付",COUNTIF(基础资料!$Q$5:$Q$54,K332)=0),"✗ 供应商不在基础资料里",IF(AND(P332="费用",L332=""),"✗ 费用支出要选费用项目",IF(AND(L332&lt;&gt;"",COUNTIF(基础资料!$AI$5:$AI$54,L332)=0),"✗ 费用项目不在基础资料里",IF(AND(IFERROR(INDEX(基础资料!$AD$5:$AD$34,MATCH(O332,基础资料!$AC$5:$AC$34,0)),"")="收",N(G332)&lt;&gt;0),"✗ 这类是收款，金额填到收入列",IF(AND(IFERROR(INDEX(基础资料!$AD$5:$AD$34,MATCH(O332,基础资料!$AC$5:$AC$34,0)),"")="支",N(F332)&lt;&gt;0),"✗ 这类是付款，金额填到支出列",IF(N(H332)&lt;0,"⚠ 账户余额成负数了，核对一下","√"))))))))))))))))))</f>
      </c>
      <c r="O332" s="78">
        <f>IF(D332&lt;&gt;"",D332,IF(AND(F332="",G332=""),"",IF(J332&lt;&gt;"",IF(N(F332)&gt;0,"客户回款","客户退款"),IF(K332&lt;&gt;"",IF(N(G332)&gt;0,"供应商付款","供应商退款"),IF(L332&lt;&gt;"","费用支出","")))))</f>
      </c>
      <c r="P332" s="78">
        <f>IF(O332="","",IFERROR(INDEX(基础资料!$AE$5:$AE$34,MATCH(O332,基础资料!$AC$5:$AC$34,0)),"未知"))</f>
      </c>
      <c r="Q332" s="78">
        <f>IF(P332="应收",COUNTIF(P$7:P332,"应收"),"")</f>
      </c>
      <c r="R332" s="78">
        <f>IF(P332="应付",COUNTIF(P$7:P332,"应付"),"")</f>
      </c>
      <c r="S332" s="78">
        <f>N(F332)-N(G332)</f>
        <v>0</v>
      </c>
    </row>
    <row r="333">
      <c r="A333" s="109">
        <f>IF(AND(F333="",G333=""),"",ROW()-6)</f>
      </c>
      <c r="B333" s="140" t="n"/>
      <c r="C333" s="141" t="n"/>
      <c r="D333" s="141" t="n"/>
      <c r="E333" s="142" t="n"/>
      <c r="F333" s="143" t="n"/>
      <c r="G333" s="144" t="n"/>
      <c r="H333" s="145">
        <f>IF(OR(C333="",AND(F333="",G333="")),"",SUMIF(基础资料!$W$5:$W$24,C333,基础资料!$X$5:$X$24)+SUMIF(C$7:C333,C333,F$7:F333)-SUMIF(C$7:C333,C333,G$7:G333))</f>
      </c>
      <c r="I333" s="145">
        <f>IF(AND(F333="",G333=""),"",SUM(基础资料!$X$5:$X$24)+SUM(F$7:F333)-SUM(G$7:G333))</f>
      </c>
      <c r="J333" s="141" t="n"/>
      <c r="K333" s="141" t="n"/>
      <c r="L333" s="141" t="n"/>
      <c r="M333" s="142" t="n"/>
      <c r="N333" s="146">
        <f>IF(AND(AND(F333="",G333=""),B333="",C333="",D333="",J333="",K333="",L333=""),"",IF(AND(F333="",G333=""),"✗ 没填金额",IF(AND(N(F333)&lt;&gt;0,N(G333)&lt;&gt;0),"✗ 收入、支出只能填一边",IF(NOT(ISNUMBER(B333)),"✗ 日期不是真日期（要像 2026/9/25 这样填）",IF(OR(B333&lt;年初日,B333&gt;年末日),"✗ 日期不在本会计年度",IF(C333="","✗ 没选账户",IF(COUNTIF(基础资料!$W$5:$W$24,C333)=0,"✗ 账户不在基础资料里",IF(O333="","✗ 没选收支项目",IF(P333="未知","✗ 收支项目不在基础资料里",IF(AND(P333="应收",J333=""),"✗ 这笔要选客户",IF(AND(P333="应收",COUNTIF(总览汇总!$B$5:$B$304,J333)=0),"✗ 客户不在总览汇总名单里",IF(AND(P333="应付",K333=""),"✗ 这笔要选供应商",IF(AND(P333="应付",COUNTIF(基础资料!$Q$5:$Q$54,K333)=0),"✗ 供应商不在基础资料里",IF(AND(P333="费用",L333=""),"✗ 费用支出要选费用项目",IF(AND(L333&lt;&gt;"",COUNTIF(基础资料!$AI$5:$AI$54,L333)=0),"✗ 费用项目不在基础资料里",IF(AND(IFERROR(INDEX(基础资料!$AD$5:$AD$34,MATCH(O333,基础资料!$AC$5:$AC$34,0)),"")="收",N(G333)&lt;&gt;0),"✗ 这类是收款，金额填到收入列",IF(AND(IFERROR(INDEX(基础资料!$AD$5:$AD$34,MATCH(O333,基础资料!$AC$5:$AC$34,0)),"")="支",N(F333)&lt;&gt;0),"✗ 这类是付款，金额填到支出列",IF(N(H333)&lt;0,"⚠ 账户余额成负数了，核对一下","√"))))))))))))))))))</f>
      </c>
      <c r="O333" s="78">
        <f>IF(D333&lt;&gt;"",D333,IF(AND(F333="",G333=""),"",IF(J333&lt;&gt;"",IF(N(F333)&gt;0,"客户回款","客户退款"),IF(K333&lt;&gt;"",IF(N(G333)&gt;0,"供应商付款","供应商退款"),IF(L333&lt;&gt;"","费用支出","")))))</f>
      </c>
      <c r="P333" s="78">
        <f>IF(O333="","",IFERROR(INDEX(基础资料!$AE$5:$AE$34,MATCH(O333,基础资料!$AC$5:$AC$34,0)),"未知"))</f>
      </c>
      <c r="Q333" s="78">
        <f>IF(P333="应收",COUNTIF(P$7:P333,"应收"),"")</f>
      </c>
      <c r="R333" s="78">
        <f>IF(P333="应付",COUNTIF(P$7:P333,"应付"),"")</f>
      </c>
      <c r="S333" s="78">
        <f>N(F333)-N(G333)</f>
        <v>0</v>
      </c>
    </row>
    <row r="334">
      <c r="A334" s="109">
        <f>IF(AND(F334="",G334=""),"",ROW()-6)</f>
      </c>
      <c r="B334" s="140" t="n"/>
      <c r="C334" s="141" t="n"/>
      <c r="D334" s="141" t="n"/>
      <c r="E334" s="142" t="n"/>
      <c r="F334" s="143" t="n"/>
      <c r="G334" s="144" t="n"/>
      <c r="H334" s="145">
        <f>IF(OR(C334="",AND(F334="",G334="")),"",SUMIF(基础资料!$W$5:$W$24,C334,基础资料!$X$5:$X$24)+SUMIF(C$7:C334,C334,F$7:F334)-SUMIF(C$7:C334,C334,G$7:G334))</f>
      </c>
      <c r="I334" s="145">
        <f>IF(AND(F334="",G334=""),"",SUM(基础资料!$X$5:$X$24)+SUM(F$7:F334)-SUM(G$7:G334))</f>
      </c>
      <c r="J334" s="141" t="n"/>
      <c r="K334" s="141" t="n"/>
      <c r="L334" s="141" t="n"/>
      <c r="M334" s="142" t="n"/>
      <c r="N334" s="146">
        <f>IF(AND(AND(F334="",G334=""),B334="",C334="",D334="",J334="",K334="",L334=""),"",IF(AND(F334="",G334=""),"✗ 没填金额",IF(AND(N(F334)&lt;&gt;0,N(G334)&lt;&gt;0),"✗ 收入、支出只能填一边",IF(NOT(ISNUMBER(B334)),"✗ 日期不是真日期（要像 2026/9/25 这样填）",IF(OR(B334&lt;年初日,B334&gt;年末日),"✗ 日期不在本会计年度",IF(C334="","✗ 没选账户",IF(COUNTIF(基础资料!$W$5:$W$24,C334)=0,"✗ 账户不在基础资料里",IF(O334="","✗ 没选收支项目",IF(P334="未知","✗ 收支项目不在基础资料里",IF(AND(P334="应收",J334=""),"✗ 这笔要选客户",IF(AND(P334="应收",COUNTIF(总览汇总!$B$5:$B$304,J334)=0),"✗ 客户不在总览汇总名单里",IF(AND(P334="应付",K334=""),"✗ 这笔要选供应商",IF(AND(P334="应付",COUNTIF(基础资料!$Q$5:$Q$54,K334)=0),"✗ 供应商不在基础资料里",IF(AND(P334="费用",L334=""),"✗ 费用支出要选费用项目",IF(AND(L334&lt;&gt;"",COUNTIF(基础资料!$AI$5:$AI$54,L334)=0),"✗ 费用项目不在基础资料里",IF(AND(IFERROR(INDEX(基础资料!$AD$5:$AD$34,MATCH(O334,基础资料!$AC$5:$AC$34,0)),"")="收",N(G334)&lt;&gt;0),"✗ 这类是收款，金额填到收入列",IF(AND(IFERROR(INDEX(基础资料!$AD$5:$AD$34,MATCH(O334,基础资料!$AC$5:$AC$34,0)),"")="支",N(F334)&lt;&gt;0),"✗ 这类是付款，金额填到支出列",IF(N(H334)&lt;0,"⚠ 账户余额成负数了，核对一下","√"))))))))))))))))))</f>
      </c>
      <c r="O334" s="78">
        <f>IF(D334&lt;&gt;"",D334,IF(AND(F334="",G334=""),"",IF(J334&lt;&gt;"",IF(N(F334)&gt;0,"客户回款","客户退款"),IF(K334&lt;&gt;"",IF(N(G334)&gt;0,"供应商付款","供应商退款"),IF(L334&lt;&gt;"","费用支出","")))))</f>
      </c>
      <c r="P334" s="78">
        <f>IF(O334="","",IFERROR(INDEX(基础资料!$AE$5:$AE$34,MATCH(O334,基础资料!$AC$5:$AC$34,0)),"未知"))</f>
      </c>
      <c r="Q334" s="78">
        <f>IF(P334="应收",COUNTIF(P$7:P334,"应收"),"")</f>
      </c>
      <c r="R334" s="78">
        <f>IF(P334="应付",COUNTIF(P$7:P334,"应付"),"")</f>
      </c>
      <c r="S334" s="78">
        <f>N(F334)-N(G334)</f>
        <v>0</v>
      </c>
    </row>
    <row r="335">
      <c r="A335" s="109">
        <f>IF(AND(F335="",G335=""),"",ROW()-6)</f>
      </c>
      <c r="B335" s="140" t="n"/>
      <c r="C335" s="141" t="n"/>
      <c r="D335" s="141" t="n"/>
      <c r="E335" s="142" t="n"/>
      <c r="F335" s="143" t="n"/>
      <c r="G335" s="144" t="n"/>
      <c r="H335" s="145">
        <f>IF(OR(C335="",AND(F335="",G335="")),"",SUMIF(基础资料!$W$5:$W$24,C335,基础资料!$X$5:$X$24)+SUMIF(C$7:C335,C335,F$7:F335)-SUMIF(C$7:C335,C335,G$7:G335))</f>
      </c>
      <c r="I335" s="145">
        <f>IF(AND(F335="",G335=""),"",SUM(基础资料!$X$5:$X$24)+SUM(F$7:F335)-SUM(G$7:G335))</f>
      </c>
      <c r="J335" s="141" t="n"/>
      <c r="K335" s="141" t="n"/>
      <c r="L335" s="141" t="n"/>
      <c r="M335" s="142" t="n"/>
      <c r="N335" s="146">
        <f>IF(AND(AND(F335="",G335=""),B335="",C335="",D335="",J335="",K335="",L335=""),"",IF(AND(F335="",G335=""),"✗ 没填金额",IF(AND(N(F335)&lt;&gt;0,N(G335)&lt;&gt;0),"✗ 收入、支出只能填一边",IF(NOT(ISNUMBER(B335)),"✗ 日期不是真日期（要像 2026/9/25 这样填）",IF(OR(B335&lt;年初日,B335&gt;年末日),"✗ 日期不在本会计年度",IF(C335="","✗ 没选账户",IF(COUNTIF(基础资料!$W$5:$W$24,C335)=0,"✗ 账户不在基础资料里",IF(O335="","✗ 没选收支项目",IF(P335="未知","✗ 收支项目不在基础资料里",IF(AND(P335="应收",J335=""),"✗ 这笔要选客户",IF(AND(P335="应收",COUNTIF(总览汇总!$B$5:$B$304,J335)=0),"✗ 客户不在总览汇总名单里",IF(AND(P335="应付",K335=""),"✗ 这笔要选供应商",IF(AND(P335="应付",COUNTIF(基础资料!$Q$5:$Q$54,K335)=0),"✗ 供应商不在基础资料里",IF(AND(P335="费用",L335=""),"✗ 费用支出要选费用项目",IF(AND(L335&lt;&gt;"",COUNTIF(基础资料!$AI$5:$AI$54,L335)=0),"✗ 费用项目不在基础资料里",IF(AND(IFERROR(INDEX(基础资料!$AD$5:$AD$34,MATCH(O335,基础资料!$AC$5:$AC$34,0)),"")="收",N(G335)&lt;&gt;0),"✗ 这类是收款，金额填到收入列",IF(AND(IFERROR(INDEX(基础资料!$AD$5:$AD$34,MATCH(O335,基础资料!$AC$5:$AC$34,0)),"")="支",N(F335)&lt;&gt;0),"✗ 这类是付款，金额填到支出列",IF(N(H335)&lt;0,"⚠ 账户余额成负数了，核对一下","√"))))))))))))))))))</f>
      </c>
      <c r="O335" s="78">
        <f>IF(D335&lt;&gt;"",D335,IF(AND(F335="",G335=""),"",IF(J335&lt;&gt;"",IF(N(F335)&gt;0,"客户回款","客户退款"),IF(K335&lt;&gt;"",IF(N(G335)&gt;0,"供应商付款","供应商退款"),IF(L335&lt;&gt;"","费用支出","")))))</f>
      </c>
      <c r="P335" s="78">
        <f>IF(O335="","",IFERROR(INDEX(基础资料!$AE$5:$AE$34,MATCH(O335,基础资料!$AC$5:$AC$34,0)),"未知"))</f>
      </c>
      <c r="Q335" s="78">
        <f>IF(P335="应收",COUNTIF(P$7:P335,"应收"),"")</f>
      </c>
      <c r="R335" s="78">
        <f>IF(P335="应付",COUNTIF(P$7:P335,"应付"),"")</f>
      </c>
      <c r="S335" s="78">
        <f>N(F335)-N(G335)</f>
        <v>0</v>
      </c>
    </row>
    <row r="336">
      <c r="A336" s="109">
        <f>IF(AND(F336="",G336=""),"",ROW()-6)</f>
      </c>
      <c r="B336" s="140" t="n"/>
      <c r="C336" s="141" t="n"/>
      <c r="D336" s="141" t="n"/>
      <c r="E336" s="142" t="n"/>
      <c r="F336" s="143" t="n"/>
      <c r="G336" s="144" t="n"/>
      <c r="H336" s="145">
        <f>IF(OR(C336="",AND(F336="",G336="")),"",SUMIF(基础资料!$W$5:$W$24,C336,基础资料!$X$5:$X$24)+SUMIF(C$7:C336,C336,F$7:F336)-SUMIF(C$7:C336,C336,G$7:G336))</f>
      </c>
      <c r="I336" s="145">
        <f>IF(AND(F336="",G336=""),"",SUM(基础资料!$X$5:$X$24)+SUM(F$7:F336)-SUM(G$7:G336))</f>
      </c>
      <c r="J336" s="141" t="n"/>
      <c r="K336" s="141" t="n"/>
      <c r="L336" s="141" t="n"/>
      <c r="M336" s="142" t="n"/>
      <c r="N336" s="146">
        <f>IF(AND(AND(F336="",G336=""),B336="",C336="",D336="",J336="",K336="",L336=""),"",IF(AND(F336="",G336=""),"✗ 没填金额",IF(AND(N(F336)&lt;&gt;0,N(G336)&lt;&gt;0),"✗ 收入、支出只能填一边",IF(NOT(ISNUMBER(B336)),"✗ 日期不是真日期（要像 2026/9/25 这样填）",IF(OR(B336&lt;年初日,B336&gt;年末日),"✗ 日期不在本会计年度",IF(C336="","✗ 没选账户",IF(COUNTIF(基础资料!$W$5:$W$24,C336)=0,"✗ 账户不在基础资料里",IF(O336="","✗ 没选收支项目",IF(P336="未知","✗ 收支项目不在基础资料里",IF(AND(P336="应收",J336=""),"✗ 这笔要选客户",IF(AND(P336="应收",COUNTIF(总览汇总!$B$5:$B$304,J336)=0),"✗ 客户不在总览汇总名单里",IF(AND(P336="应付",K336=""),"✗ 这笔要选供应商",IF(AND(P336="应付",COUNTIF(基础资料!$Q$5:$Q$54,K336)=0),"✗ 供应商不在基础资料里",IF(AND(P336="费用",L336=""),"✗ 费用支出要选费用项目",IF(AND(L336&lt;&gt;"",COUNTIF(基础资料!$AI$5:$AI$54,L336)=0),"✗ 费用项目不在基础资料里",IF(AND(IFERROR(INDEX(基础资料!$AD$5:$AD$34,MATCH(O336,基础资料!$AC$5:$AC$34,0)),"")="收",N(G336)&lt;&gt;0),"✗ 这类是收款，金额填到收入列",IF(AND(IFERROR(INDEX(基础资料!$AD$5:$AD$34,MATCH(O336,基础资料!$AC$5:$AC$34,0)),"")="支",N(F336)&lt;&gt;0),"✗ 这类是付款，金额填到支出列",IF(N(H336)&lt;0,"⚠ 账户余额成负数了，核对一下","√"))))))))))))))))))</f>
      </c>
      <c r="O336" s="78">
        <f>IF(D336&lt;&gt;"",D336,IF(AND(F336="",G336=""),"",IF(J336&lt;&gt;"",IF(N(F336)&gt;0,"客户回款","客户退款"),IF(K336&lt;&gt;"",IF(N(G336)&gt;0,"供应商付款","供应商退款"),IF(L336&lt;&gt;"","费用支出","")))))</f>
      </c>
      <c r="P336" s="78">
        <f>IF(O336="","",IFERROR(INDEX(基础资料!$AE$5:$AE$34,MATCH(O336,基础资料!$AC$5:$AC$34,0)),"未知"))</f>
      </c>
      <c r="Q336" s="78">
        <f>IF(P336="应收",COUNTIF(P$7:P336,"应收"),"")</f>
      </c>
      <c r="R336" s="78">
        <f>IF(P336="应付",COUNTIF(P$7:P336,"应付"),"")</f>
      </c>
      <c r="S336" s="78">
        <f>N(F336)-N(G336)</f>
        <v>0</v>
      </c>
    </row>
    <row r="337">
      <c r="A337" s="109">
        <f>IF(AND(F337="",G337=""),"",ROW()-6)</f>
      </c>
      <c r="B337" s="140" t="n"/>
      <c r="C337" s="141" t="n"/>
      <c r="D337" s="141" t="n"/>
      <c r="E337" s="142" t="n"/>
      <c r="F337" s="143" t="n"/>
      <c r="G337" s="144" t="n"/>
      <c r="H337" s="145">
        <f>IF(OR(C337="",AND(F337="",G337="")),"",SUMIF(基础资料!$W$5:$W$24,C337,基础资料!$X$5:$X$24)+SUMIF(C$7:C337,C337,F$7:F337)-SUMIF(C$7:C337,C337,G$7:G337))</f>
      </c>
      <c r="I337" s="145">
        <f>IF(AND(F337="",G337=""),"",SUM(基础资料!$X$5:$X$24)+SUM(F$7:F337)-SUM(G$7:G337))</f>
      </c>
      <c r="J337" s="141" t="n"/>
      <c r="K337" s="141" t="n"/>
      <c r="L337" s="141" t="n"/>
      <c r="M337" s="142" t="n"/>
      <c r="N337" s="146">
        <f>IF(AND(AND(F337="",G337=""),B337="",C337="",D337="",J337="",K337="",L337=""),"",IF(AND(F337="",G337=""),"✗ 没填金额",IF(AND(N(F337)&lt;&gt;0,N(G337)&lt;&gt;0),"✗ 收入、支出只能填一边",IF(NOT(ISNUMBER(B337)),"✗ 日期不是真日期（要像 2026/9/25 这样填）",IF(OR(B337&lt;年初日,B337&gt;年末日),"✗ 日期不在本会计年度",IF(C337="","✗ 没选账户",IF(COUNTIF(基础资料!$W$5:$W$24,C337)=0,"✗ 账户不在基础资料里",IF(O337="","✗ 没选收支项目",IF(P337="未知","✗ 收支项目不在基础资料里",IF(AND(P337="应收",J337=""),"✗ 这笔要选客户",IF(AND(P337="应收",COUNTIF(总览汇总!$B$5:$B$304,J337)=0),"✗ 客户不在总览汇总名单里",IF(AND(P337="应付",K337=""),"✗ 这笔要选供应商",IF(AND(P337="应付",COUNTIF(基础资料!$Q$5:$Q$54,K337)=0),"✗ 供应商不在基础资料里",IF(AND(P337="费用",L337=""),"✗ 费用支出要选费用项目",IF(AND(L337&lt;&gt;"",COUNTIF(基础资料!$AI$5:$AI$54,L337)=0),"✗ 费用项目不在基础资料里",IF(AND(IFERROR(INDEX(基础资料!$AD$5:$AD$34,MATCH(O337,基础资料!$AC$5:$AC$34,0)),"")="收",N(G337)&lt;&gt;0),"✗ 这类是收款，金额填到收入列",IF(AND(IFERROR(INDEX(基础资料!$AD$5:$AD$34,MATCH(O337,基础资料!$AC$5:$AC$34,0)),"")="支",N(F337)&lt;&gt;0),"✗ 这类是付款，金额填到支出列",IF(N(H337)&lt;0,"⚠ 账户余额成负数了，核对一下","√"))))))))))))))))))</f>
      </c>
      <c r="O337" s="78">
        <f>IF(D337&lt;&gt;"",D337,IF(AND(F337="",G337=""),"",IF(J337&lt;&gt;"",IF(N(F337)&gt;0,"客户回款","客户退款"),IF(K337&lt;&gt;"",IF(N(G337)&gt;0,"供应商付款","供应商退款"),IF(L337&lt;&gt;"","费用支出","")))))</f>
      </c>
      <c r="P337" s="78">
        <f>IF(O337="","",IFERROR(INDEX(基础资料!$AE$5:$AE$34,MATCH(O337,基础资料!$AC$5:$AC$34,0)),"未知"))</f>
      </c>
      <c r="Q337" s="78">
        <f>IF(P337="应收",COUNTIF(P$7:P337,"应收"),"")</f>
      </c>
      <c r="R337" s="78">
        <f>IF(P337="应付",COUNTIF(P$7:P337,"应付"),"")</f>
      </c>
      <c r="S337" s="78">
        <f>N(F337)-N(G337)</f>
        <v>0</v>
      </c>
    </row>
    <row r="338">
      <c r="A338" s="109">
        <f>IF(AND(F338="",G338=""),"",ROW()-6)</f>
      </c>
      <c r="B338" s="140" t="n"/>
      <c r="C338" s="141" t="n"/>
      <c r="D338" s="141" t="n"/>
      <c r="E338" s="142" t="n"/>
      <c r="F338" s="143" t="n"/>
      <c r="G338" s="144" t="n"/>
      <c r="H338" s="145">
        <f>IF(OR(C338="",AND(F338="",G338="")),"",SUMIF(基础资料!$W$5:$W$24,C338,基础资料!$X$5:$X$24)+SUMIF(C$7:C338,C338,F$7:F338)-SUMIF(C$7:C338,C338,G$7:G338))</f>
      </c>
      <c r="I338" s="145">
        <f>IF(AND(F338="",G338=""),"",SUM(基础资料!$X$5:$X$24)+SUM(F$7:F338)-SUM(G$7:G338))</f>
      </c>
      <c r="J338" s="141" t="n"/>
      <c r="K338" s="141" t="n"/>
      <c r="L338" s="141" t="n"/>
      <c r="M338" s="142" t="n"/>
      <c r="N338" s="146">
        <f>IF(AND(AND(F338="",G338=""),B338="",C338="",D338="",J338="",K338="",L338=""),"",IF(AND(F338="",G338=""),"✗ 没填金额",IF(AND(N(F338)&lt;&gt;0,N(G338)&lt;&gt;0),"✗ 收入、支出只能填一边",IF(NOT(ISNUMBER(B338)),"✗ 日期不是真日期（要像 2026/9/25 这样填）",IF(OR(B338&lt;年初日,B338&gt;年末日),"✗ 日期不在本会计年度",IF(C338="","✗ 没选账户",IF(COUNTIF(基础资料!$W$5:$W$24,C338)=0,"✗ 账户不在基础资料里",IF(O338="","✗ 没选收支项目",IF(P338="未知","✗ 收支项目不在基础资料里",IF(AND(P338="应收",J338=""),"✗ 这笔要选客户",IF(AND(P338="应收",COUNTIF(总览汇总!$B$5:$B$304,J338)=0),"✗ 客户不在总览汇总名单里",IF(AND(P338="应付",K338=""),"✗ 这笔要选供应商",IF(AND(P338="应付",COUNTIF(基础资料!$Q$5:$Q$54,K338)=0),"✗ 供应商不在基础资料里",IF(AND(P338="费用",L338=""),"✗ 费用支出要选费用项目",IF(AND(L338&lt;&gt;"",COUNTIF(基础资料!$AI$5:$AI$54,L338)=0),"✗ 费用项目不在基础资料里",IF(AND(IFERROR(INDEX(基础资料!$AD$5:$AD$34,MATCH(O338,基础资料!$AC$5:$AC$34,0)),"")="收",N(G338)&lt;&gt;0),"✗ 这类是收款，金额填到收入列",IF(AND(IFERROR(INDEX(基础资料!$AD$5:$AD$34,MATCH(O338,基础资料!$AC$5:$AC$34,0)),"")="支",N(F338)&lt;&gt;0),"✗ 这类是付款，金额填到支出列",IF(N(H338)&lt;0,"⚠ 账户余额成负数了，核对一下","√"))))))))))))))))))</f>
      </c>
      <c r="O338" s="78">
        <f>IF(D338&lt;&gt;"",D338,IF(AND(F338="",G338=""),"",IF(J338&lt;&gt;"",IF(N(F338)&gt;0,"客户回款","客户退款"),IF(K338&lt;&gt;"",IF(N(G338)&gt;0,"供应商付款","供应商退款"),IF(L338&lt;&gt;"","费用支出","")))))</f>
      </c>
      <c r="P338" s="78">
        <f>IF(O338="","",IFERROR(INDEX(基础资料!$AE$5:$AE$34,MATCH(O338,基础资料!$AC$5:$AC$34,0)),"未知"))</f>
      </c>
      <c r="Q338" s="78">
        <f>IF(P338="应收",COUNTIF(P$7:P338,"应收"),"")</f>
      </c>
      <c r="R338" s="78">
        <f>IF(P338="应付",COUNTIF(P$7:P338,"应付"),"")</f>
      </c>
      <c r="S338" s="78">
        <f>N(F338)-N(G338)</f>
        <v>0</v>
      </c>
    </row>
    <row r="339">
      <c r="A339" s="109">
        <f>IF(AND(F339="",G339=""),"",ROW()-6)</f>
      </c>
      <c r="B339" s="140" t="n"/>
      <c r="C339" s="141" t="n"/>
      <c r="D339" s="141" t="n"/>
      <c r="E339" s="142" t="n"/>
      <c r="F339" s="143" t="n"/>
      <c r="G339" s="144" t="n"/>
      <c r="H339" s="145">
        <f>IF(OR(C339="",AND(F339="",G339="")),"",SUMIF(基础资料!$W$5:$W$24,C339,基础资料!$X$5:$X$24)+SUMIF(C$7:C339,C339,F$7:F339)-SUMIF(C$7:C339,C339,G$7:G339))</f>
      </c>
      <c r="I339" s="145">
        <f>IF(AND(F339="",G339=""),"",SUM(基础资料!$X$5:$X$24)+SUM(F$7:F339)-SUM(G$7:G339))</f>
      </c>
      <c r="J339" s="141" t="n"/>
      <c r="K339" s="141" t="n"/>
      <c r="L339" s="141" t="n"/>
      <c r="M339" s="142" t="n"/>
      <c r="N339" s="146">
        <f>IF(AND(AND(F339="",G339=""),B339="",C339="",D339="",J339="",K339="",L339=""),"",IF(AND(F339="",G339=""),"✗ 没填金额",IF(AND(N(F339)&lt;&gt;0,N(G339)&lt;&gt;0),"✗ 收入、支出只能填一边",IF(NOT(ISNUMBER(B339)),"✗ 日期不是真日期（要像 2026/9/25 这样填）",IF(OR(B339&lt;年初日,B339&gt;年末日),"✗ 日期不在本会计年度",IF(C339="","✗ 没选账户",IF(COUNTIF(基础资料!$W$5:$W$24,C339)=0,"✗ 账户不在基础资料里",IF(O339="","✗ 没选收支项目",IF(P339="未知","✗ 收支项目不在基础资料里",IF(AND(P339="应收",J339=""),"✗ 这笔要选客户",IF(AND(P339="应收",COUNTIF(总览汇总!$B$5:$B$304,J339)=0),"✗ 客户不在总览汇总名单里",IF(AND(P339="应付",K339=""),"✗ 这笔要选供应商",IF(AND(P339="应付",COUNTIF(基础资料!$Q$5:$Q$54,K339)=0),"✗ 供应商不在基础资料里",IF(AND(P339="费用",L339=""),"✗ 费用支出要选费用项目",IF(AND(L339&lt;&gt;"",COUNTIF(基础资料!$AI$5:$AI$54,L339)=0),"✗ 费用项目不在基础资料里",IF(AND(IFERROR(INDEX(基础资料!$AD$5:$AD$34,MATCH(O339,基础资料!$AC$5:$AC$34,0)),"")="收",N(G339)&lt;&gt;0),"✗ 这类是收款，金额填到收入列",IF(AND(IFERROR(INDEX(基础资料!$AD$5:$AD$34,MATCH(O339,基础资料!$AC$5:$AC$34,0)),"")="支",N(F339)&lt;&gt;0),"✗ 这类是付款，金额填到支出列",IF(N(H339)&lt;0,"⚠ 账户余额成负数了，核对一下","√"))))))))))))))))))</f>
      </c>
      <c r="O339" s="78">
        <f>IF(D339&lt;&gt;"",D339,IF(AND(F339="",G339=""),"",IF(J339&lt;&gt;"",IF(N(F339)&gt;0,"客户回款","客户退款"),IF(K339&lt;&gt;"",IF(N(G339)&gt;0,"供应商付款","供应商退款"),IF(L339&lt;&gt;"","费用支出","")))))</f>
      </c>
      <c r="P339" s="78">
        <f>IF(O339="","",IFERROR(INDEX(基础资料!$AE$5:$AE$34,MATCH(O339,基础资料!$AC$5:$AC$34,0)),"未知"))</f>
      </c>
      <c r="Q339" s="78">
        <f>IF(P339="应收",COUNTIF(P$7:P339,"应收"),"")</f>
      </c>
      <c r="R339" s="78">
        <f>IF(P339="应付",COUNTIF(P$7:P339,"应付"),"")</f>
      </c>
      <c r="S339" s="78">
        <f>N(F339)-N(G339)</f>
        <v>0</v>
      </c>
    </row>
    <row r="340">
      <c r="A340" s="109">
        <f>IF(AND(F340="",G340=""),"",ROW()-6)</f>
      </c>
      <c r="B340" s="140" t="n"/>
      <c r="C340" s="141" t="n"/>
      <c r="D340" s="141" t="n"/>
      <c r="E340" s="142" t="n"/>
      <c r="F340" s="143" t="n"/>
      <c r="G340" s="144" t="n"/>
      <c r="H340" s="145">
        <f>IF(OR(C340="",AND(F340="",G340="")),"",SUMIF(基础资料!$W$5:$W$24,C340,基础资料!$X$5:$X$24)+SUMIF(C$7:C340,C340,F$7:F340)-SUMIF(C$7:C340,C340,G$7:G340))</f>
      </c>
      <c r="I340" s="145">
        <f>IF(AND(F340="",G340=""),"",SUM(基础资料!$X$5:$X$24)+SUM(F$7:F340)-SUM(G$7:G340))</f>
      </c>
      <c r="J340" s="141" t="n"/>
      <c r="K340" s="141" t="n"/>
      <c r="L340" s="141" t="n"/>
      <c r="M340" s="142" t="n"/>
      <c r="N340" s="146">
        <f>IF(AND(AND(F340="",G340=""),B340="",C340="",D340="",J340="",K340="",L340=""),"",IF(AND(F340="",G340=""),"✗ 没填金额",IF(AND(N(F340)&lt;&gt;0,N(G340)&lt;&gt;0),"✗ 收入、支出只能填一边",IF(NOT(ISNUMBER(B340)),"✗ 日期不是真日期（要像 2026/9/25 这样填）",IF(OR(B340&lt;年初日,B340&gt;年末日),"✗ 日期不在本会计年度",IF(C340="","✗ 没选账户",IF(COUNTIF(基础资料!$W$5:$W$24,C340)=0,"✗ 账户不在基础资料里",IF(O340="","✗ 没选收支项目",IF(P340="未知","✗ 收支项目不在基础资料里",IF(AND(P340="应收",J340=""),"✗ 这笔要选客户",IF(AND(P340="应收",COUNTIF(总览汇总!$B$5:$B$304,J340)=0),"✗ 客户不在总览汇总名单里",IF(AND(P340="应付",K340=""),"✗ 这笔要选供应商",IF(AND(P340="应付",COUNTIF(基础资料!$Q$5:$Q$54,K340)=0),"✗ 供应商不在基础资料里",IF(AND(P340="费用",L340=""),"✗ 费用支出要选费用项目",IF(AND(L340&lt;&gt;"",COUNTIF(基础资料!$AI$5:$AI$54,L340)=0),"✗ 费用项目不在基础资料里",IF(AND(IFERROR(INDEX(基础资料!$AD$5:$AD$34,MATCH(O340,基础资料!$AC$5:$AC$34,0)),"")="收",N(G340)&lt;&gt;0),"✗ 这类是收款，金额填到收入列",IF(AND(IFERROR(INDEX(基础资料!$AD$5:$AD$34,MATCH(O340,基础资料!$AC$5:$AC$34,0)),"")="支",N(F340)&lt;&gt;0),"✗ 这类是付款，金额填到支出列",IF(N(H340)&lt;0,"⚠ 账户余额成负数了，核对一下","√"))))))))))))))))))</f>
      </c>
      <c r="O340" s="78">
        <f>IF(D340&lt;&gt;"",D340,IF(AND(F340="",G340=""),"",IF(J340&lt;&gt;"",IF(N(F340)&gt;0,"客户回款","客户退款"),IF(K340&lt;&gt;"",IF(N(G340)&gt;0,"供应商付款","供应商退款"),IF(L340&lt;&gt;"","费用支出","")))))</f>
      </c>
      <c r="P340" s="78">
        <f>IF(O340="","",IFERROR(INDEX(基础资料!$AE$5:$AE$34,MATCH(O340,基础资料!$AC$5:$AC$34,0)),"未知"))</f>
      </c>
      <c r="Q340" s="78">
        <f>IF(P340="应收",COUNTIF(P$7:P340,"应收"),"")</f>
      </c>
      <c r="R340" s="78">
        <f>IF(P340="应付",COUNTIF(P$7:P340,"应付"),"")</f>
      </c>
      <c r="S340" s="78">
        <f>N(F340)-N(G340)</f>
        <v>0</v>
      </c>
    </row>
    <row r="341">
      <c r="A341" s="109">
        <f>IF(AND(F341="",G341=""),"",ROW()-6)</f>
      </c>
      <c r="B341" s="140" t="n"/>
      <c r="C341" s="141" t="n"/>
      <c r="D341" s="141" t="n"/>
      <c r="E341" s="142" t="n"/>
      <c r="F341" s="143" t="n"/>
      <c r="G341" s="144" t="n"/>
      <c r="H341" s="145">
        <f>IF(OR(C341="",AND(F341="",G341="")),"",SUMIF(基础资料!$W$5:$W$24,C341,基础资料!$X$5:$X$24)+SUMIF(C$7:C341,C341,F$7:F341)-SUMIF(C$7:C341,C341,G$7:G341))</f>
      </c>
      <c r="I341" s="145">
        <f>IF(AND(F341="",G341=""),"",SUM(基础资料!$X$5:$X$24)+SUM(F$7:F341)-SUM(G$7:G341))</f>
      </c>
      <c r="J341" s="141" t="n"/>
      <c r="K341" s="141" t="n"/>
      <c r="L341" s="141" t="n"/>
      <c r="M341" s="142" t="n"/>
      <c r="N341" s="146">
        <f>IF(AND(AND(F341="",G341=""),B341="",C341="",D341="",J341="",K341="",L341=""),"",IF(AND(F341="",G341=""),"✗ 没填金额",IF(AND(N(F341)&lt;&gt;0,N(G341)&lt;&gt;0),"✗ 收入、支出只能填一边",IF(NOT(ISNUMBER(B341)),"✗ 日期不是真日期（要像 2026/9/25 这样填）",IF(OR(B341&lt;年初日,B341&gt;年末日),"✗ 日期不在本会计年度",IF(C341="","✗ 没选账户",IF(COUNTIF(基础资料!$W$5:$W$24,C341)=0,"✗ 账户不在基础资料里",IF(O341="","✗ 没选收支项目",IF(P341="未知","✗ 收支项目不在基础资料里",IF(AND(P341="应收",J341=""),"✗ 这笔要选客户",IF(AND(P341="应收",COUNTIF(总览汇总!$B$5:$B$304,J341)=0),"✗ 客户不在总览汇总名单里",IF(AND(P341="应付",K341=""),"✗ 这笔要选供应商",IF(AND(P341="应付",COUNTIF(基础资料!$Q$5:$Q$54,K341)=0),"✗ 供应商不在基础资料里",IF(AND(P341="费用",L341=""),"✗ 费用支出要选费用项目",IF(AND(L341&lt;&gt;"",COUNTIF(基础资料!$AI$5:$AI$54,L341)=0),"✗ 费用项目不在基础资料里",IF(AND(IFERROR(INDEX(基础资料!$AD$5:$AD$34,MATCH(O341,基础资料!$AC$5:$AC$34,0)),"")="收",N(G341)&lt;&gt;0),"✗ 这类是收款，金额填到收入列",IF(AND(IFERROR(INDEX(基础资料!$AD$5:$AD$34,MATCH(O341,基础资料!$AC$5:$AC$34,0)),"")="支",N(F341)&lt;&gt;0),"✗ 这类是付款，金额填到支出列",IF(N(H341)&lt;0,"⚠ 账户余额成负数了，核对一下","√"))))))))))))))))))</f>
      </c>
      <c r="O341" s="78">
        <f>IF(D341&lt;&gt;"",D341,IF(AND(F341="",G341=""),"",IF(J341&lt;&gt;"",IF(N(F341)&gt;0,"客户回款","客户退款"),IF(K341&lt;&gt;"",IF(N(G341)&gt;0,"供应商付款","供应商退款"),IF(L341&lt;&gt;"","费用支出","")))))</f>
      </c>
      <c r="P341" s="78">
        <f>IF(O341="","",IFERROR(INDEX(基础资料!$AE$5:$AE$34,MATCH(O341,基础资料!$AC$5:$AC$34,0)),"未知"))</f>
      </c>
      <c r="Q341" s="78">
        <f>IF(P341="应收",COUNTIF(P$7:P341,"应收"),"")</f>
      </c>
      <c r="R341" s="78">
        <f>IF(P341="应付",COUNTIF(P$7:P341,"应付"),"")</f>
      </c>
      <c r="S341" s="78">
        <f>N(F341)-N(G341)</f>
        <v>0</v>
      </c>
    </row>
    <row r="342">
      <c r="A342" s="109">
        <f>IF(AND(F342="",G342=""),"",ROW()-6)</f>
      </c>
      <c r="B342" s="140" t="n"/>
      <c r="C342" s="141" t="n"/>
      <c r="D342" s="141" t="n"/>
      <c r="E342" s="142" t="n"/>
      <c r="F342" s="143" t="n"/>
      <c r="G342" s="144" t="n"/>
      <c r="H342" s="145">
        <f>IF(OR(C342="",AND(F342="",G342="")),"",SUMIF(基础资料!$W$5:$W$24,C342,基础资料!$X$5:$X$24)+SUMIF(C$7:C342,C342,F$7:F342)-SUMIF(C$7:C342,C342,G$7:G342))</f>
      </c>
      <c r="I342" s="145">
        <f>IF(AND(F342="",G342=""),"",SUM(基础资料!$X$5:$X$24)+SUM(F$7:F342)-SUM(G$7:G342))</f>
      </c>
      <c r="J342" s="141" t="n"/>
      <c r="K342" s="141" t="n"/>
      <c r="L342" s="141" t="n"/>
      <c r="M342" s="142" t="n"/>
      <c r="N342" s="146">
        <f>IF(AND(AND(F342="",G342=""),B342="",C342="",D342="",J342="",K342="",L342=""),"",IF(AND(F342="",G342=""),"✗ 没填金额",IF(AND(N(F342)&lt;&gt;0,N(G342)&lt;&gt;0),"✗ 收入、支出只能填一边",IF(NOT(ISNUMBER(B342)),"✗ 日期不是真日期（要像 2026/9/25 这样填）",IF(OR(B342&lt;年初日,B342&gt;年末日),"✗ 日期不在本会计年度",IF(C342="","✗ 没选账户",IF(COUNTIF(基础资料!$W$5:$W$24,C342)=0,"✗ 账户不在基础资料里",IF(O342="","✗ 没选收支项目",IF(P342="未知","✗ 收支项目不在基础资料里",IF(AND(P342="应收",J342=""),"✗ 这笔要选客户",IF(AND(P342="应收",COUNTIF(总览汇总!$B$5:$B$304,J342)=0),"✗ 客户不在总览汇总名单里",IF(AND(P342="应付",K342=""),"✗ 这笔要选供应商",IF(AND(P342="应付",COUNTIF(基础资料!$Q$5:$Q$54,K342)=0),"✗ 供应商不在基础资料里",IF(AND(P342="费用",L342=""),"✗ 费用支出要选费用项目",IF(AND(L342&lt;&gt;"",COUNTIF(基础资料!$AI$5:$AI$54,L342)=0),"✗ 费用项目不在基础资料里",IF(AND(IFERROR(INDEX(基础资料!$AD$5:$AD$34,MATCH(O342,基础资料!$AC$5:$AC$34,0)),"")="收",N(G342)&lt;&gt;0),"✗ 这类是收款，金额填到收入列",IF(AND(IFERROR(INDEX(基础资料!$AD$5:$AD$34,MATCH(O342,基础资料!$AC$5:$AC$34,0)),"")="支",N(F342)&lt;&gt;0),"✗ 这类是付款，金额填到支出列",IF(N(H342)&lt;0,"⚠ 账户余额成负数了，核对一下","√"))))))))))))))))))</f>
      </c>
      <c r="O342" s="78">
        <f>IF(D342&lt;&gt;"",D342,IF(AND(F342="",G342=""),"",IF(J342&lt;&gt;"",IF(N(F342)&gt;0,"客户回款","客户退款"),IF(K342&lt;&gt;"",IF(N(G342)&gt;0,"供应商付款","供应商退款"),IF(L342&lt;&gt;"","费用支出","")))))</f>
      </c>
      <c r="P342" s="78">
        <f>IF(O342="","",IFERROR(INDEX(基础资料!$AE$5:$AE$34,MATCH(O342,基础资料!$AC$5:$AC$34,0)),"未知"))</f>
      </c>
      <c r="Q342" s="78">
        <f>IF(P342="应收",COUNTIF(P$7:P342,"应收"),"")</f>
      </c>
      <c r="R342" s="78">
        <f>IF(P342="应付",COUNTIF(P$7:P342,"应付"),"")</f>
      </c>
      <c r="S342" s="78">
        <f>N(F342)-N(G342)</f>
        <v>0</v>
      </c>
    </row>
    <row r="343">
      <c r="A343" s="109">
        <f>IF(AND(F343="",G343=""),"",ROW()-6)</f>
      </c>
      <c r="B343" s="140" t="n"/>
      <c r="C343" s="141" t="n"/>
      <c r="D343" s="141" t="n"/>
      <c r="E343" s="142" t="n"/>
      <c r="F343" s="143" t="n"/>
      <c r="G343" s="144" t="n"/>
      <c r="H343" s="145">
        <f>IF(OR(C343="",AND(F343="",G343="")),"",SUMIF(基础资料!$W$5:$W$24,C343,基础资料!$X$5:$X$24)+SUMIF(C$7:C343,C343,F$7:F343)-SUMIF(C$7:C343,C343,G$7:G343))</f>
      </c>
      <c r="I343" s="145">
        <f>IF(AND(F343="",G343=""),"",SUM(基础资料!$X$5:$X$24)+SUM(F$7:F343)-SUM(G$7:G343))</f>
      </c>
      <c r="J343" s="141" t="n"/>
      <c r="K343" s="141" t="n"/>
      <c r="L343" s="141" t="n"/>
      <c r="M343" s="142" t="n"/>
      <c r="N343" s="146">
        <f>IF(AND(AND(F343="",G343=""),B343="",C343="",D343="",J343="",K343="",L343=""),"",IF(AND(F343="",G343=""),"✗ 没填金额",IF(AND(N(F343)&lt;&gt;0,N(G343)&lt;&gt;0),"✗ 收入、支出只能填一边",IF(NOT(ISNUMBER(B343)),"✗ 日期不是真日期（要像 2026/9/25 这样填）",IF(OR(B343&lt;年初日,B343&gt;年末日),"✗ 日期不在本会计年度",IF(C343="","✗ 没选账户",IF(COUNTIF(基础资料!$W$5:$W$24,C343)=0,"✗ 账户不在基础资料里",IF(O343="","✗ 没选收支项目",IF(P343="未知","✗ 收支项目不在基础资料里",IF(AND(P343="应收",J343=""),"✗ 这笔要选客户",IF(AND(P343="应收",COUNTIF(总览汇总!$B$5:$B$304,J343)=0),"✗ 客户不在总览汇总名单里",IF(AND(P343="应付",K343=""),"✗ 这笔要选供应商",IF(AND(P343="应付",COUNTIF(基础资料!$Q$5:$Q$54,K343)=0),"✗ 供应商不在基础资料里",IF(AND(P343="费用",L343=""),"✗ 费用支出要选费用项目",IF(AND(L343&lt;&gt;"",COUNTIF(基础资料!$AI$5:$AI$54,L343)=0),"✗ 费用项目不在基础资料里",IF(AND(IFERROR(INDEX(基础资料!$AD$5:$AD$34,MATCH(O343,基础资料!$AC$5:$AC$34,0)),"")="收",N(G343)&lt;&gt;0),"✗ 这类是收款，金额填到收入列",IF(AND(IFERROR(INDEX(基础资料!$AD$5:$AD$34,MATCH(O343,基础资料!$AC$5:$AC$34,0)),"")="支",N(F343)&lt;&gt;0),"✗ 这类是付款，金额填到支出列",IF(N(H343)&lt;0,"⚠ 账户余额成负数了，核对一下","√"))))))))))))))))))</f>
      </c>
      <c r="O343" s="78">
        <f>IF(D343&lt;&gt;"",D343,IF(AND(F343="",G343=""),"",IF(J343&lt;&gt;"",IF(N(F343)&gt;0,"客户回款","客户退款"),IF(K343&lt;&gt;"",IF(N(G343)&gt;0,"供应商付款","供应商退款"),IF(L343&lt;&gt;"","费用支出","")))))</f>
      </c>
      <c r="P343" s="78">
        <f>IF(O343="","",IFERROR(INDEX(基础资料!$AE$5:$AE$34,MATCH(O343,基础资料!$AC$5:$AC$34,0)),"未知"))</f>
      </c>
      <c r="Q343" s="78">
        <f>IF(P343="应收",COUNTIF(P$7:P343,"应收"),"")</f>
      </c>
      <c r="R343" s="78">
        <f>IF(P343="应付",COUNTIF(P$7:P343,"应付"),"")</f>
      </c>
      <c r="S343" s="78">
        <f>N(F343)-N(G343)</f>
        <v>0</v>
      </c>
    </row>
    <row r="344">
      <c r="A344" s="109">
        <f>IF(AND(F344="",G344=""),"",ROW()-6)</f>
      </c>
      <c r="B344" s="140" t="n"/>
      <c r="C344" s="141" t="n"/>
      <c r="D344" s="141" t="n"/>
      <c r="E344" s="142" t="n"/>
      <c r="F344" s="143" t="n"/>
      <c r="G344" s="144" t="n"/>
      <c r="H344" s="145">
        <f>IF(OR(C344="",AND(F344="",G344="")),"",SUMIF(基础资料!$W$5:$W$24,C344,基础资料!$X$5:$X$24)+SUMIF(C$7:C344,C344,F$7:F344)-SUMIF(C$7:C344,C344,G$7:G344))</f>
      </c>
      <c r="I344" s="145">
        <f>IF(AND(F344="",G344=""),"",SUM(基础资料!$X$5:$X$24)+SUM(F$7:F344)-SUM(G$7:G344))</f>
      </c>
      <c r="J344" s="141" t="n"/>
      <c r="K344" s="141" t="n"/>
      <c r="L344" s="141" t="n"/>
      <c r="M344" s="142" t="n"/>
      <c r="N344" s="146">
        <f>IF(AND(AND(F344="",G344=""),B344="",C344="",D344="",J344="",K344="",L344=""),"",IF(AND(F344="",G344=""),"✗ 没填金额",IF(AND(N(F344)&lt;&gt;0,N(G344)&lt;&gt;0),"✗ 收入、支出只能填一边",IF(NOT(ISNUMBER(B344)),"✗ 日期不是真日期（要像 2026/9/25 这样填）",IF(OR(B344&lt;年初日,B344&gt;年末日),"✗ 日期不在本会计年度",IF(C344="","✗ 没选账户",IF(COUNTIF(基础资料!$W$5:$W$24,C344)=0,"✗ 账户不在基础资料里",IF(O344="","✗ 没选收支项目",IF(P344="未知","✗ 收支项目不在基础资料里",IF(AND(P344="应收",J344=""),"✗ 这笔要选客户",IF(AND(P344="应收",COUNTIF(总览汇总!$B$5:$B$304,J344)=0),"✗ 客户不在总览汇总名单里",IF(AND(P344="应付",K344=""),"✗ 这笔要选供应商",IF(AND(P344="应付",COUNTIF(基础资料!$Q$5:$Q$54,K344)=0),"✗ 供应商不在基础资料里",IF(AND(P344="费用",L344=""),"✗ 费用支出要选费用项目",IF(AND(L344&lt;&gt;"",COUNTIF(基础资料!$AI$5:$AI$54,L344)=0),"✗ 费用项目不在基础资料里",IF(AND(IFERROR(INDEX(基础资料!$AD$5:$AD$34,MATCH(O344,基础资料!$AC$5:$AC$34,0)),"")="收",N(G344)&lt;&gt;0),"✗ 这类是收款，金额填到收入列",IF(AND(IFERROR(INDEX(基础资料!$AD$5:$AD$34,MATCH(O344,基础资料!$AC$5:$AC$34,0)),"")="支",N(F344)&lt;&gt;0),"✗ 这类是付款，金额填到支出列",IF(N(H344)&lt;0,"⚠ 账户余额成负数了，核对一下","√"))))))))))))))))))</f>
      </c>
      <c r="O344" s="78">
        <f>IF(D344&lt;&gt;"",D344,IF(AND(F344="",G344=""),"",IF(J344&lt;&gt;"",IF(N(F344)&gt;0,"客户回款","客户退款"),IF(K344&lt;&gt;"",IF(N(G344)&gt;0,"供应商付款","供应商退款"),IF(L344&lt;&gt;"","费用支出","")))))</f>
      </c>
      <c r="P344" s="78">
        <f>IF(O344="","",IFERROR(INDEX(基础资料!$AE$5:$AE$34,MATCH(O344,基础资料!$AC$5:$AC$34,0)),"未知"))</f>
      </c>
      <c r="Q344" s="78">
        <f>IF(P344="应收",COUNTIF(P$7:P344,"应收"),"")</f>
      </c>
      <c r="R344" s="78">
        <f>IF(P344="应付",COUNTIF(P$7:P344,"应付"),"")</f>
      </c>
      <c r="S344" s="78">
        <f>N(F344)-N(G344)</f>
        <v>0</v>
      </c>
    </row>
    <row r="345">
      <c r="A345" s="109">
        <f>IF(AND(F345="",G345=""),"",ROW()-6)</f>
      </c>
      <c r="B345" s="140" t="n"/>
      <c r="C345" s="141" t="n"/>
      <c r="D345" s="141" t="n"/>
      <c r="E345" s="142" t="n"/>
      <c r="F345" s="143" t="n"/>
      <c r="G345" s="144" t="n"/>
      <c r="H345" s="145">
        <f>IF(OR(C345="",AND(F345="",G345="")),"",SUMIF(基础资料!$W$5:$W$24,C345,基础资料!$X$5:$X$24)+SUMIF(C$7:C345,C345,F$7:F345)-SUMIF(C$7:C345,C345,G$7:G345))</f>
      </c>
      <c r="I345" s="145">
        <f>IF(AND(F345="",G345=""),"",SUM(基础资料!$X$5:$X$24)+SUM(F$7:F345)-SUM(G$7:G345))</f>
      </c>
      <c r="J345" s="141" t="n"/>
      <c r="K345" s="141" t="n"/>
      <c r="L345" s="141" t="n"/>
      <c r="M345" s="142" t="n"/>
      <c r="N345" s="146">
        <f>IF(AND(AND(F345="",G345=""),B345="",C345="",D345="",J345="",K345="",L345=""),"",IF(AND(F345="",G345=""),"✗ 没填金额",IF(AND(N(F345)&lt;&gt;0,N(G345)&lt;&gt;0),"✗ 收入、支出只能填一边",IF(NOT(ISNUMBER(B345)),"✗ 日期不是真日期（要像 2026/9/25 这样填）",IF(OR(B345&lt;年初日,B345&gt;年末日),"✗ 日期不在本会计年度",IF(C345="","✗ 没选账户",IF(COUNTIF(基础资料!$W$5:$W$24,C345)=0,"✗ 账户不在基础资料里",IF(O345="","✗ 没选收支项目",IF(P345="未知","✗ 收支项目不在基础资料里",IF(AND(P345="应收",J345=""),"✗ 这笔要选客户",IF(AND(P345="应收",COUNTIF(总览汇总!$B$5:$B$304,J345)=0),"✗ 客户不在总览汇总名单里",IF(AND(P345="应付",K345=""),"✗ 这笔要选供应商",IF(AND(P345="应付",COUNTIF(基础资料!$Q$5:$Q$54,K345)=0),"✗ 供应商不在基础资料里",IF(AND(P345="费用",L345=""),"✗ 费用支出要选费用项目",IF(AND(L345&lt;&gt;"",COUNTIF(基础资料!$AI$5:$AI$54,L345)=0),"✗ 费用项目不在基础资料里",IF(AND(IFERROR(INDEX(基础资料!$AD$5:$AD$34,MATCH(O345,基础资料!$AC$5:$AC$34,0)),"")="收",N(G345)&lt;&gt;0),"✗ 这类是收款，金额填到收入列",IF(AND(IFERROR(INDEX(基础资料!$AD$5:$AD$34,MATCH(O345,基础资料!$AC$5:$AC$34,0)),"")="支",N(F345)&lt;&gt;0),"✗ 这类是付款，金额填到支出列",IF(N(H345)&lt;0,"⚠ 账户余额成负数了，核对一下","√"))))))))))))))))))</f>
      </c>
      <c r="O345" s="78">
        <f>IF(D345&lt;&gt;"",D345,IF(AND(F345="",G345=""),"",IF(J345&lt;&gt;"",IF(N(F345)&gt;0,"客户回款","客户退款"),IF(K345&lt;&gt;"",IF(N(G345)&gt;0,"供应商付款","供应商退款"),IF(L345&lt;&gt;"","费用支出","")))))</f>
      </c>
      <c r="P345" s="78">
        <f>IF(O345="","",IFERROR(INDEX(基础资料!$AE$5:$AE$34,MATCH(O345,基础资料!$AC$5:$AC$34,0)),"未知"))</f>
      </c>
      <c r="Q345" s="78">
        <f>IF(P345="应收",COUNTIF(P$7:P345,"应收"),"")</f>
      </c>
      <c r="R345" s="78">
        <f>IF(P345="应付",COUNTIF(P$7:P345,"应付"),"")</f>
      </c>
      <c r="S345" s="78">
        <f>N(F345)-N(G345)</f>
        <v>0</v>
      </c>
    </row>
    <row r="346">
      <c r="A346" s="109">
        <f>IF(AND(F346="",G346=""),"",ROW()-6)</f>
      </c>
      <c r="B346" s="140" t="n"/>
      <c r="C346" s="141" t="n"/>
      <c r="D346" s="141" t="n"/>
      <c r="E346" s="142" t="n"/>
      <c r="F346" s="143" t="n"/>
      <c r="G346" s="144" t="n"/>
      <c r="H346" s="145">
        <f>IF(OR(C346="",AND(F346="",G346="")),"",SUMIF(基础资料!$W$5:$W$24,C346,基础资料!$X$5:$X$24)+SUMIF(C$7:C346,C346,F$7:F346)-SUMIF(C$7:C346,C346,G$7:G346))</f>
      </c>
      <c r="I346" s="145">
        <f>IF(AND(F346="",G346=""),"",SUM(基础资料!$X$5:$X$24)+SUM(F$7:F346)-SUM(G$7:G346))</f>
      </c>
      <c r="J346" s="141" t="n"/>
      <c r="K346" s="141" t="n"/>
      <c r="L346" s="141" t="n"/>
      <c r="M346" s="142" t="n"/>
      <c r="N346" s="146">
        <f>IF(AND(AND(F346="",G346=""),B346="",C346="",D346="",J346="",K346="",L346=""),"",IF(AND(F346="",G346=""),"✗ 没填金额",IF(AND(N(F346)&lt;&gt;0,N(G346)&lt;&gt;0),"✗ 收入、支出只能填一边",IF(NOT(ISNUMBER(B346)),"✗ 日期不是真日期（要像 2026/9/25 这样填）",IF(OR(B346&lt;年初日,B346&gt;年末日),"✗ 日期不在本会计年度",IF(C346="","✗ 没选账户",IF(COUNTIF(基础资料!$W$5:$W$24,C346)=0,"✗ 账户不在基础资料里",IF(O346="","✗ 没选收支项目",IF(P346="未知","✗ 收支项目不在基础资料里",IF(AND(P346="应收",J346=""),"✗ 这笔要选客户",IF(AND(P346="应收",COUNTIF(总览汇总!$B$5:$B$304,J346)=0),"✗ 客户不在总览汇总名单里",IF(AND(P346="应付",K346=""),"✗ 这笔要选供应商",IF(AND(P346="应付",COUNTIF(基础资料!$Q$5:$Q$54,K346)=0),"✗ 供应商不在基础资料里",IF(AND(P346="费用",L346=""),"✗ 费用支出要选费用项目",IF(AND(L346&lt;&gt;"",COUNTIF(基础资料!$AI$5:$AI$54,L346)=0),"✗ 费用项目不在基础资料里",IF(AND(IFERROR(INDEX(基础资料!$AD$5:$AD$34,MATCH(O346,基础资料!$AC$5:$AC$34,0)),"")="收",N(G346)&lt;&gt;0),"✗ 这类是收款，金额填到收入列",IF(AND(IFERROR(INDEX(基础资料!$AD$5:$AD$34,MATCH(O346,基础资料!$AC$5:$AC$34,0)),"")="支",N(F346)&lt;&gt;0),"✗ 这类是付款，金额填到支出列",IF(N(H346)&lt;0,"⚠ 账户余额成负数了，核对一下","√"))))))))))))))))))</f>
      </c>
      <c r="O346" s="78">
        <f>IF(D346&lt;&gt;"",D346,IF(AND(F346="",G346=""),"",IF(J346&lt;&gt;"",IF(N(F346)&gt;0,"客户回款","客户退款"),IF(K346&lt;&gt;"",IF(N(G346)&gt;0,"供应商付款","供应商退款"),IF(L346&lt;&gt;"","费用支出","")))))</f>
      </c>
      <c r="P346" s="78">
        <f>IF(O346="","",IFERROR(INDEX(基础资料!$AE$5:$AE$34,MATCH(O346,基础资料!$AC$5:$AC$34,0)),"未知"))</f>
      </c>
      <c r="Q346" s="78">
        <f>IF(P346="应收",COUNTIF(P$7:P346,"应收"),"")</f>
      </c>
      <c r="R346" s="78">
        <f>IF(P346="应付",COUNTIF(P$7:P346,"应付"),"")</f>
      </c>
      <c r="S346" s="78">
        <f>N(F346)-N(G346)</f>
        <v>0</v>
      </c>
    </row>
    <row r="347">
      <c r="A347" s="109">
        <f>IF(AND(F347="",G347=""),"",ROW()-6)</f>
      </c>
      <c r="B347" s="140" t="n"/>
      <c r="C347" s="141" t="n"/>
      <c r="D347" s="141" t="n"/>
      <c r="E347" s="142" t="n"/>
      <c r="F347" s="143" t="n"/>
      <c r="G347" s="144" t="n"/>
      <c r="H347" s="145">
        <f>IF(OR(C347="",AND(F347="",G347="")),"",SUMIF(基础资料!$W$5:$W$24,C347,基础资料!$X$5:$X$24)+SUMIF(C$7:C347,C347,F$7:F347)-SUMIF(C$7:C347,C347,G$7:G347))</f>
      </c>
      <c r="I347" s="145">
        <f>IF(AND(F347="",G347=""),"",SUM(基础资料!$X$5:$X$24)+SUM(F$7:F347)-SUM(G$7:G347))</f>
      </c>
      <c r="J347" s="141" t="n"/>
      <c r="K347" s="141" t="n"/>
      <c r="L347" s="141" t="n"/>
      <c r="M347" s="142" t="n"/>
      <c r="N347" s="146">
        <f>IF(AND(AND(F347="",G347=""),B347="",C347="",D347="",J347="",K347="",L347=""),"",IF(AND(F347="",G347=""),"✗ 没填金额",IF(AND(N(F347)&lt;&gt;0,N(G347)&lt;&gt;0),"✗ 收入、支出只能填一边",IF(NOT(ISNUMBER(B347)),"✗ 日期不是真日期（要像 2026/9/25 这样填）",IF(OR(B347&lt;年初日,B347&gt;年末日),"✗ 日期不在本会计年度",IF(C347="","✗ 没选账户",IF(COUNTIF(基础资料!$W$5:$W$24,C347)=0,"✗ 账户不在基础资料里",IF(O347="","✗ 没选收支项目",IF(P347="未知","✗ 收支项目不在基础资料里",IF(AND(P347="应收",J347=""),"✗ 这笔要选客户",IF(AND(P347="应收",COUNTIF(总览汇总!$B$5:$B$304,J347)=0),"✗ 客户不在总览汇总名单里",IF(AND(P347="应付",K347=""),"✗ 这笔要选供应商",IF(AND(P347="应付",COUNTIF(基础资料!$Q$5:$Q$54,K347)=0),"✗ 供应商不在基础资料里",IF(AND(P347="费用",L347=""),"✗ 费用支出要选费用项目",IF(AND(L347&lt;&gt;"",COUNTIF(基础资料!$AI$5:$AI$54,L347)=0),"✗ 费用项目不在基础资料里",IF(AND(IFERROR(INDEX(基础资料!$AD$5:$AD$34,MATCH(O347,基础资料!$AC$5:$AC$34,0)),"")="收",N(G347)&lt;&gt;0),"✗ 这类是收款，金额填到收入列",IF(AND(IFERROR(INDEX(基础资料!$AD$5:$AD$34,MATCH(O347,基础资料!$AC$5:$AC$34,0)),"")="支",N(F347)&lt;&gt;0),"✗ 这类是付款，金额填到支出列",IF(N(H347)&lt;0,"⚠ 账户余额成负数了，核对一下","√"))))))))))))))))))</f>
      </c>
      <c r="O347" s="78">
        <f>IF(D347&lt;&gt;"",D347,IF(AND(F347="",G347=""),"",IF(J347&lt;&gt;"",IF(N(F347)&gt;0,"客户回款","客户退款"),IF(K347&lt;&gt;"",IF(N(G347)&gt;0,"供应商付款","供应商退款"),IF(L347&lt;&gt;"","费用支出","")))))</f>
      </c>
      <c r="P347" s="78">
        <f>IF(O347="","",IFERROR(INDEX(基础资料!$AE$5:$AE$34,MATCH(O347,基础资料!$AC$5:$AC$34,0)),"未知"))</f>
      </c>
      <c r="Q347" s="78">
        <f>IF(P347="应收",COUNTIF(P$7:P347,"应收"),"")</f>
      </c>
      <c r="R347" s="78">
        <f>IF(P347="应付",COUNTIF(P$7:P347,"应付"),"")</f>
      </c>
      <c r="S347" s="78">
        <f>N(F347)-N(G347)</f>
        <v>0</v>
      </c>
    </row>
    <row r="348">
      <c r="A348" s="109">
        <f>IF(AND(F348="",G348=""),"",ROW()-6)</f>
      </c>
      <c r="B348" s="140" t="n"/>
      <c r="C348" s="141" t="n"/>
      <c r="D348" s="141" t="n"/>
      <c r="E348" s="142" t="n"/>
      <c r="F348" s="143" t="n"/>
      <c r="G348" s="144" t="n"/>
      <c r="H348" s="145">
        <f>IF(OR(C348="",AND(F348="",G348="")),"",SUMIF(基础资料!$W$5:$W$24,C348,基础资料!$X$5:$X$24)+SUMIF(C$7:C348,C348,F$7:F348)-SUMIF(C$7:C348,C348,G$7:G348))</f>
      </c>
      <c r="I348" s="145">
        <f>IF(AND(F348="",G348=""),"",SUM(基础资料!$X$5:$X$24)+SUM(F$7:F348)-SUM(G$7:G348))</f>
      </c>
      <c r="J348" s="141" t="n"/>
      <c r="K348" s="141" t="n"/>
      <c r="L348" s="141" t="n"/>
      <c r="M348" s="142" t="n"/>
      <c r="N348" s="146">
        <f>IF(AND(AND(F348="",G348=""),B348="",C348="",D348="",J348="",K348="",L348=""),"",IF(AND(F348="",G348=""),"✗ 没填金额",IF(AND(N(F348)&lt;&gt;0,N(G348)&lt;&gt;0),"✗ 收入、支出只能填一边",IF(NOT(ISNUMBER(B348)),"✗ 日期不是真日期（要像 2026/9/25 这样填）",IF(OR(B348&lt;年初日,B348&gt;年末日),"✗ 日期不在本会计年度",IF(C348="","✗ 没选账户",IF(COUNTIF(基础资料!$W$5:$W$24,C348)=0,"✗ 账户不在基础资料里",IF(O348="","✗ 没选收支项目",IF(P348="未知","✗ 收支项目不在基础资料里",IF(AND(P348="应收",J348=""),"✗ 这笔要选客户",IF(AND(P348="应收",COUNTIF(总览汇总!$B$5:$B$304,J348)=0),"✗ 客户不在总览汇总名单里",IF(AND(P348="应付",K348=""),"✗ 这笔要选供应商",IF(AND(P348="应付",COUNTIF(基础资料!$Q$5:$Q$54,K348)=0),"✗ 供应商不在基础资料里",IF(AND(P348="费用",L348=""),"✗ 费用支出要选费用项目",IF(AND(L348&lt;&gt;"",COUNTIF(基础资料!$AI$5:$AI$54,L348)=0),"✗ 费用项目不在基础资料里",IF(AND(IFERROR(INDEX(基础资料!$AD$5:$AD$34,MATCH(O348,基础资料!$AC$5:$AC$34,0)),"")="收",N(G348)&lt;&gt;0),"✗ 这类是收款，金额填到收入列",IF(AND(IFERROR(INDEX(基础资料!$AD$5:$AD$34,MATCH(O348,基础资料!$AC$5:$AC$34,0)),"")="支",N(F348)&lt;&gt;0),"✗ 这类是付款，金额填到支出列",IF(N(H348)&lt;0,"⚠ 账户余额成负数了，核对一下","√"))))))))))))))))))</f>
      </c>
      <c r="O348" s="78">
        <f>IF(D348&lt;&gt;"",D348,IF(AND(F348="",G348=""),"",IF(J348&lt;&gt;"",IF(N(F348)&gt;0,"客户回款","客户退款"),IF(K348&lt;&gt;"",IF(N(G348)&gt;0,"供应商付款","供应商退款"),IF(L348&lt;&gt;"","费用支出","")))))</f>
      </c>
      <c r="P348" s="78">
        <f>IF(O348="","",IFERROR(INDEX(基础资料!$AE$5:$AE$34,MATCH(O348,基础资料!$AC$5:$AC$34,0)),"未知"))</f>
      </c>
      <c r="Q348" s="78">
        <f>IF(P348="应收",COUNTIF(P$7:P348,"应收"),"")</f>
      </c>
      <c r="R348" s="78">
        <f>IF(P348="应付",COUNTIF(P$7:P348,"应付"),"")</f>
      </c>
      <c r="S348" s="78">
        <f>N(F348)-N(G348)</f>
        <v>0</v>
      </c>
    </row>
    <row r="349">
      <c r="A349" s="109">
        <f>IF(AND(F349="",G349=""),"",ROW()-6)</f>
      </c>
      <c r="B349" s="140" t="n"/>
      <c r="C349" s="141" t="n"/>
      <c r="D349" s="141" t="n"/>
      <c r="E349" s="142" t="n"/>
      <c r="F349" s="143" t="n"/>
      <c r="G349" s="144" t="n"/>
      <c r="H349" s="145">
        <f>IF(OR(C349="",AND(F349="",G349="")),"",SUMIF(基础资料!$W$5:$W$24,C349,基础资料!$X$5:$X$24)+SUMIF(C$7:C349,C349,F$7:F349)-SUMIF(C$7:C349,C349,G$7:G349))</f>
      </c>
      <c r="I349" s="145">
        <f>IF(AND(F349="",G349=""),"",SUM(基础资料!$X$5:$X$24)+SUM(F$7:F349)-SUM(G$7:G349))</f>
      </c>
      <c r="J349" s="141" t="n"/>
      <c r="K349" s="141" t="n"/>
      <c r="L349" s="141" t="n"/>
      <c r="M349" s="142" t="n"/>
      <c r="N349" s="146">
        <f>IF(AND(AND(F349="",G349=""),B349="",C349="",D349="",J349="",K349="",L349=""),"",IF(AND(F349="",G349=""),"✗ 没填金额",IF(AND(N(F349)&lt;&gt;0,N(G349)&lt;&gt;0),"✗ 收入、支出只能填一边",IF(NOT(ISNUMBER(B349)),"✗ 日期不是真日期（要像 2026/9/25 这样填）",IF(OR(B349&lt;年初日,B349&gt;年末日),"✗ 日期不在本会计年度",IF(C349="","✗ 没选账户",IF(COUNTIF(基础资料!$W$5:$W$24,C349)=0,"✗ 账户不在基础资料里",IF(O349="","✗ 没选收支项目",IF(P349="未知","✗ 收支项目不在基础资料里",IF(AND(P349="应收",J349=""),"✗ 这笔要选客户",IF(AND(P349="应收",COUNTIF(总览汇总!$B$5:$B$304,J349)=0),"✗ 客户不在总览汇总名单里",IF(AND(P349="应付",K349=""),"✗ 这笔要选供应商",IF(AND(P349="应付",COUNTIF(基础资料!$Q$5:$Q$54,K349)=0),"✗ 供应商不在基础资料里",IF(AND(P349="费用",L349=""),"✗ 费用支出要选费用项目",IF(AND(L349&lt;&gt;"",COUNTIF(基础资料!$AI$5:$AI$54,L349)=0),"✗ 费用项目不在基础资料里",IF(AND(IFERROR(INDEX(基础资料!$AD$5:$AD$34,MATCH(O349,基础资料!$AC$5:$AC$34,0)),"")="收",N(G349)&lt;&gt;0),"✗ 这类是收款，金额填到收入列",IF(AND(IFERROR(INDEX(基础资料!$AD$5:$AD$34,MATCH(O349,基础资料!$AC$5:$AC$34,0)),"")="支",N(F349)&lt;&gt;0),"✗ 这类是付款，金额填到支出列",IF(N(H349)&lt;0,"⚠ 账户余额成负数了，核对一下","√"))))))))))))))))))</f>
      </c>
      <c r="O349" s="78">
        <f>IF(D349&lt;&gt;"",D349,IF(AND(F349="",G349=""),"",IF(J349&lt;&gt;"",IF(N(F349)&gt;0,"客户回款","客户退款"),IF(K349&lt;&gt;"",IF(N(G349)&gt;0,"供应商付款","供应商退款"),IF(L349&lt;&gt;"","费用支出","")))))</f>
      </c>
      <c r="P349" s="78">
        <f>IF(O349="","",IFERROR(INDEX(基础资料!$AE$5:$AE$34,MATCH(O349,基础资料!$AC$5:$AC$34,0)),"未知"))</f>
      </c>
      <c r="Q349" s="78">
        <f>IF(P349="应收",COUNTIF(P$7:P349,"应收"),"")</f>
      </c>
      <c r="R349" s="78">
        <f>IF(P349="应付",COUNTIF(P$7:P349,"应付"),"")</f>
      </c>
      <c r="S349" s="78">
        <f>N(F349)-N(G349)</f>
        <v>0</v>
      </c>
    </row>
    <row r="350">
      <c r="A350" s="109">
        <f>IF(AND(F350="",G350=""),"",ROW()-6)</f>
      </c>
      <c r="B350" s="140" t="n"/>
      <c r="C350" s="141" t="n"/>
      <c r="D350" s="141" t="n"/>
      <c r="E350" s="142" t="n"/>
      <c r="F350" s="143" t="n"/>
      <c r="G350" s="144" t="n"/>
      <c r="H350" s="145">
        <f>IF(OR(C350="",AND(F350="",G350="")),"",SUMIF(基础资料!$W$5:$W$24,C350,基础资料!$X$5:$X$24)+SUMIF(C$7:C350,C350,F$7:F350)-SUMIF(C$7:C350,C350,G$7:G350))</f>
      </c>
      <c r="I350" s="145">
        <f>IF(AND(F350="",G350=""),"",SUM(基础资料!$X$5:$X$24)+SUM(F$7:F350)-SUM(G$7:G350))</f>
      </c>
      <c r="J350" s="141" t="n"/>
      <c r="K350" s="141" t="n"/>
      <c r="L350" s="141" t="n"/>
      <c r="M350" s="142" t="n"/>
      <c r="N350" s="146">
        <f>IF(AND(AND(F350="",G350=""),B350="",C350="",D350="",J350="",K350="",L350=""),"",IF(AND(F350="",G350=""),"✗ 没填金额",IF(AND(N(F350)&lt;&gt;0,N(G350)&lt;&gt;0),"✗ 收入、支出只能填一边",IF(NOT(ISNUMBER(B350)),"✗ 日期不是真日期（要像 2026/9/25 这样填）",IF(OR(B350&lt;年初日,B350&gt;年末日),"✗ 日期不在本会计年度",IF(C350="","✗ 没选账户",IF(COUNTIF(基础资料!$W$5:$W$24,C350)=0,"✗ 账户不在基础资料里",IF(O350="","✗ 没选收支项目",IF(P350="未知","✗ 收支项目不在基础资料里",IF(AND(P350="应收",J350=""),"✗ 这笔要选客户",IF(AND(P350="应收",COUNTIF(总览汇总!$B$5:$B$304,J350)=0),"✗ 客户不在总览汇总名单里",IF(AND(P350="应付",K350=""),"✗ 这笔要选供应商",IF(AND(P350="应付",COUNTIF(基础资料!$Q$5:$Q$54,K350)=0),"✗ 供应商不在基础资料里",IF(AND(P350="费用",L350=""),"✗ 费用支出要选费用项目",IF(AND(L350&lt;&gt;"",COUNTIF(基础资料!$AI$5:$AI$54,L350)=0),"✗ 费用项目不在基础资料里",IF(AND(IFERROR(INDEX(基础资料!$AD$5:$AD$34,MATCH(O350,基础资料!$AC$5:$AC$34,0)),"")="收",N(G350)&lt;&gt;0),"✗ 这类是收款，金额填到收入列",IF(AND(IFERROR(INDEX(基础资料!$AD$5:$AD$34,MATCH(O350,基础资料!$AC$5:$AC$34,0)),"")="支",N(F350)&lt;&gt;0),"✗ 这类是付款，金额填到支出列",IF(N(H350)&lt;0,"⚠ 账户余额成负数了，核对一下","√"))))))))))))))))))</f>
      </c>
      <c r="O350" s="78">
        <f>IF(D350&lt;&gt;"",D350,IF(AND(F350="",G350=""),"",IF(J350&lt;&gt;"",IF(N(F350)&gt;0,"客户回款","客户退款"),IF(K350&lt;&gt;"",IF(N(G350)&gt;0,"供应商付款","供应商退款"),IF(L350&lt;&gt;"","费用支出","")))))</f>
      </c>
      <c r="P350" s="78">
        <f>IF(O350="","",IFERROR(INDEX(基础资料!$AE$5:$AE$34,MATCH(O350,基础资料!$AC$5:$AC$34,0)),"未知"))</f>
      </c>
      <c r="Q350" s="78">
        <f>IF(P350="应收",COUNTIF(P$7:P350,"应收"),"")</f>
      </c>
      <c r="R350" s="78">
        <f>IF(P350="应付",COUNTIF(P$7:P350,"应付"),"")</f>
      </c>
      <c r="S350" s="78">
        <f>N(F350)-N(G350)</f>
        <v>0</v>
      </c>
    </row>
    <row r="351">
      <c r="A351" s="109">
        <f>IF(AND(F351="",G351=""),"",ROW()-6)</f>
      </c>
      <c r="B351" s="140" t="n"/>
      <c r="C351" s="141" t="n"/>
      <c r="D351" s="141" t="n"/>
      <c r="E351" s="142" t="n"/>
      <c r="F351" s="143" t="n"/>
      <c r="G351" s="144" t="n"/>
      <c r="H351" s="145">
        <f>IF(OR(C351="",AND(F351="",G351="")),"",SUMIF(基础资料!$W$5:$W$24,C351,基础资料!$X$5:$X$24)+SUMIF(C$7:C351,C351,F$7:F351)-SUMIF(C$7:C351,C351,G$7:G351))</f>
      </c>
      <c r="I351" s="145">
        <f>IF(AND(F351="",G351=""),"",SUM(基础资料!$X$5:$X$24)+SUM(F$7:F351)-SUM(G$7:G351))</f>
      </c>
      <c r="J351" s="141" t="n"/>
      <c r="K351" s="141" t="n"/>
      <c r="L351" s="141" t="n"/>
      <c r="M351" s="142" t="n"/>
      <c r="N351" s="146">
        <f>IF(AND(AND(F351="",G351=""),B351="",C351="",D351="",J351="",K351="",L351=""),"",IF(AND(F351="",G351=""),"✗ 没填金额",IF(AND(N(F351)&lt;&gt;0,N(G351)&lt;&gt;0),"✗ 收入、支出只能填一边",IF(NOT(ISNUMBER(B351)),"✗ 日期不是真日期（要像 2026/9/25 这样填）",IF(OR(B351&lt;年初日,B351&gt;年末日),"✗ 日期不在本会计年度",IF(C351="","✗ 没选账户",IF(COUNTIF(基础资料!$W$5:$W$24,C351)=0,"✗ 账户不在基础资料里",IF(O351="","✗ 没选收支项目",IF(P351="未知","✗ 收支项目不在基础资料里",IF(AND(P351="应收",J351=""),"✗ 这笔要选客户",IF(AND(P351="应收",COUNTIF(总览汇总!$B$5:$B$304,J351)=0),"✗ 客户不在总览汇总名单里",IF(AND(P351="应付",K351=""),"✗ 这笔要选供应商",IF(AND(P351="应付",COUNTIF(基础资料!$Q$5:$Q$54,K351)=0),"✗ 供应商不在基础资料里",IF(AND(P351="费用",L351=""),"✗ 费用支出要选费用项目",IF(AND(L351&lt;&gt;"",COUNTIF(基础资料!$AI$5:$AI$54,L351)=0),"✗ 费用项目不在基础资料里",IF(AND(IFERROR(INDEX(基础资料!$AD$5:$AD$34,MATCH(O351,基础资料!$AC$5:$AC$34,0)),"")="收",N(G351)&lt;&gt;0),"✗ 这类是收款，金额填到收入列",IF(AND(IFERROR(INDEX(基础资料!$AD$5:$AD$34,MATCH(O351,基础资料!$AC$5:$AC$34,0)),"")="支",N(F351)&lt;&gt;0),"✗ 这类是付款，金额填到支出列",IF(N(H351)&lt;0,"⚠ 账户余额成负数了，核对一下","√"))))))))))))))))))</f>
      </c>
      <c r="O351" s="78">
        <f>IF(D351&lt;&gt;"",D351,IF(AND(F351="",G351=""),"",IF(J351&lt;&gt;"",IF(N(F351)&gt;0,"客户回款","客户退款"),IF(K351&lt;&gt;"",IF(N(G351)&gt;0,"供应商付款","供应商退款"),IF(L351&lt;&gt;"","费用支出","")))))</f>
      </c>
      <c r="P351" s="78">
        <f>IF(O351="","",IFERROR(INDEX(基础资料!$AE$5:$AE$34,MATCH(O351,基础资料!$AC$5:$AC$34,0)),"未知"))</f>
      </c>
      <c r="Q351" s="78">
        <f>IF(P351="应收",COUNTIF(P$7:P351,"应收"),"")</f>
      </c>
      <c r="R351" s="78">
        <f>IF(P351="应付",COUNTIF(P$7:P351,"应付"),"")</f>
      </c>
      <c r="S351" s="78">
        <f>N(F351)-N(G351)</f>
        <v>0</v>
      </c>
    </row>
    <row r="352">
      <c r="A352" s="109">
        <f>IF(AND(F352="",G352=""),"",ROW()-6)</f>
      </c>
      <c r="B352" s="140" t="n"/>
      <c r="C352" s="141" t="n"/>
      <c r="D352" s="141" t="n"/>
      <c r="E352" s="142" t="n"/>
      <c r="F352" s="143" t="n"/>
      <c r="G352" s="144" t="n"/>
      <c r="H352" s="145">
        <f>IF(OR(C352="",AND(F352="",G352="")),"",SUMIF(基础资料!$W$5:$W$24,C352,基础资料!$X$5:$X$24)+SUMIF(C$7:C352,C352,F$7:F352)-SUMIF(C$7:C352,C352,G$7:G352))</f>
      </c>
      <c r="I352" s="145">
        <f>IF(AND(F352="",G352=""),"",SUM(基础资料!$X$5:$X$24)+SUM(F$7:F352)-SUM(G$7:G352))</f>
      </c>
      <c r="J352" s="141" t="n"/>
      <c r="K352" s="141" t="n"/>
      <c r="L352" s="141" t="n"/>
      <c r="M352" s="142" t="n"/>
      <c r="N352" s="146">
        <f>IF(AND(AND(F352="",G352=""),B352="",C352="",D352="",J352="",K352="",L352=""),"",IF(AND(F352="",G352=""),"✗ 没填金额",IF(AND(N(F352)&lt;&gt;0,N(G352)&lt;&gt;0),"✗ 收入、支出只能填一边",IF(NOT(ISNUMBER(B352)),"✗ 日期不是真日期（要像 2026/9/25 这样填）",IF(OR(B352&lt;年初日,B352&gt;年末日),"✗ 日期不在本会计年度",IF(C352="","✗ 没选账户",IF(COUNTIF(基础资料!$W$5:$W$24,C352)=0,"✗ 账户不在基础资料里",IF(O352="","✗ 没选收支项目",IF(P352="未知","✗ 收支项目不在基础资料里",IF(AND(P352="应收",J352=""),"✗ 这笔要选客户",IF(AND(P352="应收",COUNTIF(总览汇总!$B$5:$B$304,J352)=0),"✗ 客户不在总览汇总名单里",IF(AND(P352="应付",K352=""),"✗ 这笔要选供应商",IF(AND(P352="应付",COUNTIF(基础资料!$Q$5:$Q$54,K352)=0),"✗ 供应商不在基础资料里",IF(AND(P352="费用",L352=""),"✗ 费用支出要选费用项目",IF(AND(L352&lt;&gt;"",COUNTIF(基础资料!$AI$5:$AI$54,L352)=0),"✗ 费用项目不在基础资料里",IF(AND(IFERROR(INDEX(基础资料!$AD$5:$AD$34,MATCH(O352,基础资料!$AC$5:$AC$34,0)),"")="收",N(G352)&lt;&gt;0),"✗ 这类是收款，金额填到收入列",IF(AND(IFERROR(INDEX(基础资料!$AD$5:$AD$34,MATCH(O352,基础资料!$AC$5:$AC$34,0)),"")="支",N(F352)&lt;&gt;0),"✗ 这类是付款，金额填到支出列",IF(N(H352)&lt;0,"⚠ 账户余额成负数了，核对一下","√"))))))))))))))))))</f>
      </c>
      <c r="O352" s="78">
        <f>IF(D352&lt;&gt;"",D352,IF(AND(F352="",G352=""),"",IF(J352&lt;&gt;"",IF(N(F352)&gt;0,"客户回款","客户退款"),IF(K352&lt;&gt;"",IF(N(G352)&gt;0,"供应商付款","供应商退款"),IF(L352&lt;&gt;"","费用支出","")))))</f>
      </c>
      <c r="P352" s="78">
        <f>IF(O352="","",IFERROR(INDEX(基础资料!$AE$5:$AE$34,MATCH(O352,基础资料!$AC$5:$AC$34,0)),"未知"))</f>
      </c>
      <c r="Q352" s="78">
        <f>IF(P352="应收",COUNTIF(P$7:P352,"应收"),"")</f>
      </c>
      <c r="R352" s="78">
        <f>IF(P352="应付",COUNTIF(P$7:P352,"应付"),"")</f>
      </c>
      <c r="S352" s="78">
        <f>N(F352)-N(G352)</f>
        <v>0</v>
      </c>
    </row>
    <row r="353">
      <c r="A353" s="109">
        <f>IF(AND(F353="",G353=""),"",ROW()-6)</f>
      </c>
      <c r="B353" s="140" t="n"/>
      <c r="C353" s="141" t="n"/>
      <c r="D353" s="141" t="n"/>
      <c r="E353" s="142" t="n"/>
      <c r="F353" s="143" t="n"/>
      <c r="G353" s="144" t="n"/>
      <c r="H353" s="145">
        <f>IF(OR(C353="",AND(F353="",G353="")),"",SUMIF(基础资料!$W$5:$W$24,C353,基础资料!$X$5:$X$24)+SUMIF(C$7:C353,C353,F$7:F353)-SUMIF(C$7:C353,C353,G$7:G353))</f>
      </c>
      <c r="I353" s="145">
        <f>IF(AND(F353="",G353=""),"",SUM(基础资料!$X$5:$X$24)+SUM(F$7:F353)-SUM(G$7:G353))</f>
      </c>
      <c r="J353" s="141" t="n"/>
      <c r="K353" s="141" t="n"/>
      <c r="L353" s="141" t="n"/>
      <c r="M353" s="142" t="n"/>
      <c r="N353" s="146">
        <f>IF(AND(AND(F353="",G353=""),B353="",C353="",D353="",J353="",K353="",L353=""),"",IF(AND(F353="",G353=""),"✗ 没填金额",IF(AND(N(F353)&lt;&gt;0,N(G353)&lt;&gt;0),"✗ 收入、支出只能填一边",IF(NOT(ISNUMBER(B353)),"✗ 日期不是真日期（要像 2026/9/25 这样填）",IF(OR(B353&lt;年初日,B353&gt;年末日),"✗ 日期不在本会计年度",IF(C353="","✗ 没选账户",IF(COUNTIF(基础资料!$W$5:$W$24,C353)=0,"✗ 账户不在基础资料里",IF(O353="","✗ 没选收支项目",IF(P353="未知","✗ 收支项目不在基础资料里",IF(AND(P353="应收",J353=""),"✗ 这笔要选客户",IF(AND(P353="应收",COUNTIF(总览汇总!$B$5:$B$304,J353)=0),"✗ 客户不在总览汇总名单里",IF(AND(P353="应付",K353=""),"✗ 这笔要选供应商",IF(AND(P353="应付",COUNTIF(基础资料!$Q$5:$Q$54,K353)=0),"✗ 供应商不在基础资料里",IF(AND(P353="费用",L353=""),"✗ 费用支出要选费用项目",IF(AND(L353&lt;&gt;"",COUNTIF(基础资料!$AI$5:$AI$54,L353)=0),"✗ 费用项目不在基础资料里",IF(AND(IFERROR(INDEX(基础资料!$AD$5:$AD$34,MATCH(O353,基础资料!$AC$5:$AC$34,0)),"")="收",N(G353)&lt;&gt;0),"✗ 这类是收款，金额填到收入列",IF(AND(IFERROR(INDEX(基础资料!$AD$5:$AD$34,MATCH(O353,基础资料!$AC$5:$AC$34,0)),"")="支",N(F353)&lt;&gt;0),"✗ 这类是付款，金额填到支出列",IF(N(H353)&lt;0,"⚠ 账户余额成负数了，核对一下","√"))))))))))))))))))</f>
      </c>
      <c r="O353" s="78">
        <f>IF(D353&lt;&gt;"",D353,IF(AND(F353="",G353=""),"",IF(J353&lt;&gt;"",IF(N(F353)&gt;0,"客户回款","客户退款"),IF(K353&lt;&gt;"",IF(N(G353)&gt;0,"供应商付款","供应商退款"),IF(L353&lt;&gt;"","费用支出","")))))</f>
      </c>
      <c r="P353" s="78">
        <f>IF(O353="","",IFERROR(INDEX(基础资料!$AE$5:$AE$34,MATCH(O353,基础资料!$AC$5:$AC$34,0)),"未知"))</f>
      </c>
      <c r="Q353" s="78">
        <f>IF(P353="应收",COUNTIF(P$7:P353,"应收"),"")</f>
      </c>
      <c r="R353" s="78">
        <f>IF(P353="应付",COUNTIF(P$7:P353,"应付"),"")</f>
      </c>
      <c r="S353" s="78">
        <f>N(F353)-N(G353)</f>
        <v>0</v>
      </c>
    </row>
    <row r="354">
      <c r="A354" s="109">
        <f>IF(AND(F354="",G354=""),"",ROW()-6)</f>
      </c>
      <c r="B354" s="140" t="n"/>
      <c r="C354" s="141" t="n"/>
      <c r="D354" s="141" t="n"/>
      <c r="E354" s="142" t="n"/>
      <c r="F354" s="143" t="n"/>
      <c r="G354" s="144" t="n"/>
      <c r="H354" s="145">
        <f>IF(OR(C354="",AND(F354="",G354="")),"",SUMIF(基础资料!$W$5:$W$24,C354,基础资料!$X$5:$X$24)+SUMIF(C$7:C354,C354,F$7:F354)-SUMIF(C$7:C354,C354,G$7:G354))</f>
      </c>
      <c r="I354" s="145">
        <f>IF(AND(F354="",G354=""),"",SUM(基础资料!$X$5:$X$24)+SUM(F$7:F354)-SUM(G$7:G354))</f>
      </c>
      <c r="J354" s="141" t="n"/>
      <c r="K354" s="141" t="n"/>
      <c r="L354" s="141" t="n"/>
      <c r="M354" s="142" t="n"/>
      <c r="N354" s="146">
        <f>IF(AND(AND(F354="",G354=""),B354="",C354="",D354="",J354="",K354="",L354=""),"",IF(AND(F354="",G354=""),"✗ 没填金额",IF(AND(N(F354)&lt;&gt;0,N(G354)&lt;&gt;0),"✗ 收入、支出只能填一边",IF(NOT(ISNUMBER(B354)),"✗ 日期不是真日期（要像 2026/9/25 这样填）",IF(OR(B354&lt;年初日,B354&gt;年末日),"✗ 日期不在本会计年度",IF(C354="","✗ 没选账户",IF(COUNTIF(基础资料!$W$5:$W$24,C354)=0,"✗ 账户不在基础资料里",IF(O354="","✗ 没选收支项目",IF(P354="未知","✗ 收支项目不在基础资料里",IF(AND(P354="应收",J354=""),"✗ 这笔要选客户",IF(AND(P354="应收",COUNTIF(总览汇总!$B$5:$B$304,J354)=0),"✗ 客户不在总览汇总名单里",IF(AND(P354="应付",K354=""),"✗ 这笔要选供应商",IF(AND(P354="应付",COUNTIF(基础资料!$Q$5:$Q$54,K354)=0),"✗ 供应商不在基础资料里",IF(AND(P354="费用",L354=""),"✗ 费用支出要选费用项目",IF(AND(L354&lt;&gt;"",COUNTIF(基础资料!$AI$5:$AI$54,L354)=0),"✗ 费用项目不在基础资料里",IF(AND(IFERROR(INDEX(基础资料!$AD$5:$AD$34,MATCH(O354,基础资料!$AC$5:$AC$34,0)),"")="收",N(G354)&lt;&gt;0),"✗ 这类是收款，金额填到收入列",IF(AND(IFERROR(INDEX(基础资料!$AD$5:$AD$34,MATCH(O354,基础资料!$AC$5:$AC$34,0)),"")="支",N(F354)&lt;&gt;0),"✗ 这类是付款，金额填到支出列",IF(N(H354)&lt;0,"⚠ 账户余额成负数了，核对一下","√"))))))))))))))))))</f>
      </c>
      <c r="O354" s="78">
        <f>IF(D354&lt;&gt;"",D354,IF(AND(F354="",G354=""),"",IF(J354&lt;&gt;"",IF(N(F354)&gt;0,"客户回款","客户退款"),IF(K354&lt;&gt;"",IF(N(G354)&gt;0,"供应商付款","供应商退款"),IF(L354&lt;&gt;"","费用支出","")))))</f>
      </c>
      <c r="P354" s="78">
        <f>IF(O354="","",IFERROR(INDEX(基础资料!$AE$5:$AE$34,MATCH(O354,基础资料!$AC$5:$AC$34,0)),"未知"))</f>
      </c>
      <c r="Q354" s="78">
        <f>IF(P354="应收",COUNTIF(P$7:P354,"应收"),"")</f>
      </c>
      <c r="R354" s="78">
        <f>IF(P354="应付",COUNTIF(P$7:P354,"应付"),"")</f>
      </c>
      <c r="S354" s="78">
        <f>N(F354)-N(G354)</f>
        <v>0</v>
      </c>
    </row>
    <row r="355">
      <c r="A355" s="109">
        <f>IF(AND(F355="",G355=""),"",ROW()-6)</f>
      </c>
      <c r="B355" s="140" t="n"/>
      <c r="C355" s="141" t="n"/>
      <c r="D355" s="141" t="n"/>
      <c r="E355" s="142" t="n"/>
      <c r="F355" s="143" t="n"/>
      <c r="G355" s="144" t="n"/>
      <c r="H355" s="145">
        <f>IF(OR(C355="",AND(F355="",G355="")),"",SUMIF(基础资料!$W$5:$W$24,C355,基础资料!$X$5:$X$24)+SUMIF(C$7:C355,C355,F$7:F355)-SUMIF(C$7:C355,C355,G$7:G355))</f>
      </c>
      <c r="I355" s="145">
        <f>IF(AND(F355="",G355=""),"",SUM(基础资料!$X$5:$X$24)+SUM(F$7:F355)-SUM(G$7:G355))</f>
      </c>
      <c r="J355" s="141" t="n"/>
      <c r="K355" s="141" t="n"/>
      <c r="L355" s="141" t="n"/>
      <c r="M355" s="142" t="n"/>
      <c r="N355" s="146">
        <f>IF(AND(AND(F355="",G355=""),B355="",C355="",D355="",J355="",K355="",L355=""),"",IF(AND(F355="",G355=""),"✗ 没填金额",IF(AND(N(F355)&lt;&gt;0,N(G355)&lt;&gt;0),"✗ 收入、支出只能填一边",IF(NOT(ISNUMBER(B355)),"✗ 日期不是真日期（要像 2026/9/25 这样填）",IF(OR(B355&lt;年初日,B355&gt;年末日),"✗ 日期不在本会计年度",IF(C355="","✗ 没选账户",IF(COUNTIF(基础资料!$W$5:$W$24,C355)=0,"✗ 账户不在基础资料里",IF(O355="","✗ 没选收支项目",IF(P355="未知","✗ 收支项目不在基础资料里",IF(AND(P355="应收",J355=""),"✗ 这笔要选客户",IF(AND(P355="应收",COUNTIF(总览汇总!$B$5:$B$304,J355)=0),"✗ 客户不在总览汇总名单里",IF(AND(P355="应付",K355=""),"✗ 这笔要选供应商",IF(AND(P355="应付",COUNTIF(基础资料!$Q$5:$Q$54,K355)=0),"✗ 供应商不在基础资料里",IF(AND(P355="费用",L355=""),"✗ 费用支出要选费用项目",IF(AND(L355&lt;&gt;"",COUNTIF(基础资料!$AI$5:$AI$54,L355)=0),"✗ 费用项目不在基础资料里",IF(AND(IFERROR(INDEX(基础资料!$AD$5:$AD$34,MATCH(O355,基础资料!$AC$5:$AC$34,0)),"")="收",N(G355)&lt;&gt;0),"✗ 这类是收款，金额填到收入列",IF(AND(IFERROR(INDEX(基础资料!$AD$5:$AD$34,MATCH(O355,基础资料!$AC$5:$AC$34,0)),"")="支",N(F355)&lt;&gt;0),"✗ 这类是付款，金额填到支出列",IF(N(H355)&lt;0,"⚠ 账户余额成负数了，核对一下","√"))))))))))))))))))</f>
      </c>
      <c r="O355" s="78">
        <f>IF(D355&lt;&gt;"",D355,IF(AND(F355="",G355=""),"",IF(J355&lt;&gt;"",IF(N(F355)&gt;0,"客户回款","客户退款"),IF(K355&lt;&gt;"",IF(N(G355)&gt;0,"供应商付款","供应商退款"),IF(L355&lt;&gt;"","费用支出","")))))</f>
      </c>
      <c r="P355" s="78">
        <f>IF(O355="","",IFERROR(INDEX(基础资料!$AE$5:$AE$34,MATCH(O355,基础资料!$AC$5:$AC$34,0)),"未知"))</f>
      </c>
      <c r="Q355" s="78">
        <f>IF(P355="应收",COUNTIF(P$7:P355,"应收"),"")</f>
      </c>
      <c r="R355" s="78">
        <f>IF(P355="应付",COUNTIF(P$7:P355,"应付"),"")</f>
      </c>
      <c r="S355" s="78">
        <f>N(F355)-N(G355)</f>
        <v>0</v>
      </c>
    </row>
    <row r="356">
      <c r="A356" s="109">
        <f>IF(AND(F356="",G356=""),"",ROW()-6)</f>
      </c>
      <c r="B356" s="140" t="n"/>
      <c r="C356" s="141" t="n"/>
      <c r="D356" s="141" t="n"/>
      <c r="E356" s="142" t="n"/>
      <c r="F356" s="143" t="n"/>
      <c r="G356" s="144" t="n"/>
      <c r="H356" s="145">
        <f>IF(OR(C356="",AND(F356="",G356="")),"",SUMIF(基础资料!$W$5:$W$24,C356,基础资料!$X$5:$X$24)+SUMIF(C$7:C356,C356,F$7:F356)-SUMIF(C$7:C356,C356,G$7:G356))</f>
      </c>
      <c r="I356" s="145">
        <f>IF(AND(F356="",G356=""),"",SUM(基础资料!$X$5:$X$24)+SUM(F$7:F356)-SUM(G$7:G356))</f>
      </c>
      <c r="J356" s="141" t="n"/>
      <c r="K356" s="141" t="n"/>
      <c r="L356" s="141" t="n"/>
      <c r="M356" s="142" t="n"/>
      <c r="N356" s="146">
        <f>IF(AND(AND(F356="",G356=""),B356="",C356="",D356="",J356="",K356="",L356=""),"",IF(AND(F356="",G356=""),"✗ 没填金额",IF(AND(N(F356)&lt;&gt;0,N(G356)&lt;&gt;0),"✗ 收入、支出只能填一边",IF(NOT(ISNUMBER(B356)),"✗ 日期不是真日期（要像 2026/9/25 这样填）",IF(OR(B356&lt;年初日,B356&gt;年末日),"✗ 日期不在本会计年度",IF(C356="","✗ 没选账户",IF(COUNTIF(基础资料!$W$5:$W$24,C356)=0,"✗ 账户不在基础资料里",IF(O356="","✗ 没选收支项目",IF(P356="未知","✗ 收支项目不在基础资料里",IF(AND(P356="应收",J356=""),"✗ 这笔要选客户",IF(AND(P356="应收",COUNTIF(总览汇总!$B$5:$B$304,J356)=0),"✗ 客户不在总览汇总名单里",IF(AND(P356="应付",K356=""),"✗ 这笔要选供应商",IF(AND(P356="应付",COUNTIF(基础资料!$Q$5:$Q$54,K356)=0),"✗ 供应商不在基础资料里",IF(AND(P356="费用",L356=""),"✗ 费用支出要选费用项目",IF(AND(L356&lt;&gt;"",COUNTIF(基础资料!$AI$5:$AI$54,L356)=0),"✗ 费用项目不在基础资料里",IF(AND(IFERROR(INDEX(基础资料!$AD$5:$AD$34,MATCH(O356,基础资料!$AC$5:$AC$34,0)),"")="收",N(G356)&lt;&gt;0),"✗ 这类是收款，金额填到收入列",IF(AND(IFERROR(INDEX(基础资料!$AD$5:$AD$34,MATCH(O356,基础资料!$AC$5:$AC$34,0)),"")="支",N(F356)&lt;&gt;0),"✗ 这类是付款，金额填到支出列",IF(N(H356)&lt;0,"⚠ 账户余额成负数了，核对一下","√"))))))))))))))))))</f>
      </c>
      <c r="O356" s="78">
        <f>IF(D356&lt;&gt;"",D356,IF(AND(F356="",G356=""),"",IF(J356&lt;&gt;"",IF(N(F356)&gt;0,"客户回款","客户退款"),IF(K356&lt;&gt;"",IF(N(G356)&gt;0,"供应商付款","供应商退款"),IF(L356&lt;&gt;"","费用支出","")))))</f>
      </c>
      <c r="P356" s="78">
        <f>IF(O356="","",IFERROR(INDEX(基础资料!$AE$5:$AE$34,MATCH(O356,基础资料!$AC$5:$AC$34,0)),"未知"))</f>
      </c>
      <c r="Q356" s="78">
        <f>IF(P356="应收",COUNTIF(P$7:P356,"应收"),"")</f>
      </c>
      <c r="R356" s="78">
        <f>IF(P356="应付",COUNTIF(P$7:P356,"应付"),"")</f>
      </c>
      <c r="S356" s="78">
        <f>N(F356)-N(G356)</f>
        <v>0</v>
      </c>
    </row>
    <row r="357">
      <c r="A357" s="109">
        <f>IF(AND(F357="",G357=""),"",ROW()-6)</f>
      </c>
      <c r="B357" s="140" t="n"/>
      <c r="C357" s="141" t="n"/>
      <c r="D357" s="141" t="n"/>
      <c r="E357" s="142" t="n"/>
      <c r="F357" s="143" t="n"/>
      <c r="G357" s="144" t="n"/>
      <c r="H357" s="145">
        <f>IF(OR(C357="",AND(F357="",G357="")),"",SUMIF(基础资料!$W$5:$W$24,C357,基础资料!$X$5:$X$24)+SUMIF(C$7:C357,C357,F$7:F357)-SUMIF(C$7:C357,C357,G$7:G357))</f>
      </c>
      <c r="I357" s="145">
        <f>IF(AND(F357="",G357=""),"",SUM(基础资料!$X$5:$X$24)+SUM(F$7:F357)-SUM(G$7:G357))</f>
      </c>
      <c r="J357" s="141" t="n"/>
      <c r="K357" s="141" t="n"/>
      <c r="L357" s="141" t="n"/>
      <c r="M357" s="142" t="n"/>
      <c r="N357" s="146">
        <f>IF(AND(AND(F357="",G357=""),B357="",C357="",D357="",J357="",K357="",L357=""),"",IF(AND(F357="",G357=""),"✗ 没填金额",IF(AND(N(F357)&lt;&gt;0,N(G357)&lt;&gt;0),"✗ 收入、支出只能填一边",IF(NOT(ISNUMBER(B357)),"✗ 日期不是真日期（要像 2026/9/25 这样填）",IF(OR(B357&lt;年初日,B357&gt;年末日),"✗ 日期不在本会计年度",IF(C357="","✗ 没选账户",IF(COUNTIF(基础资料!$W$5:$W$24,C357)=0,"✗ 账户不在基础资料里",IF(O357="","✗ 没选收支项目",IF(P357="未知","✗ 收支项目不在基础资料里",IF(AND(P357="应收",J357=""),"✗ 这笔要选客户",IF(AND(P357="应收",COUNTIF(总览汇总!$B$5:$B$304,J357)=0),"✗ 客户不在总览汇总名单里",IF(AND(P357="应付",K357=""),"✗ 这笔要选供应商",IF(AND(P357="应付",COUNTIF(基础资料!$Q$5:$Q$54,K357)=0),"✗ 供应商不在基础资料里",IF(AND(P357="费用",L357=""),"✗ 费用支出要选费用项目",IF(AND(L357&lt;&gt;"",COUNTIF(基础资料!$AI$5:$AI$54,L357)=0),"✗ 费用项目不在基础资料里",IF(AND(IFERROR(INDEX(基础资料!$AD$5:$AD$34,MATCH(O357,基础资料!$AC$5:$AC$34,0)),"")="收",N(G357)&lt;&gt;0),"✗ 这类是收款，金额填到收入列",IF(AND(IFERROR(INDEX(基础资料!$AD$5:$AD$34,MATCH(O357,基础资料!$AC$5:$AC$34,0)),"")="支",N(F357)&lt;&gt;0),"✗ 这类是付款，金额填到支出列",IF(N(H357)&lt;0,"⚠ 账户余额成负数了，核对一下","√"))))))))))))))))))</f>
      </c>
      <c r="O357" s="78">
        <f>IF(D357&lt;&gt;"",D357,IF(AND(F357="",G357=""),"",IF(J357&lt;&gt;"",IF(N(F357)&gt;0,"客户回款","客户退款"),IF(K357&lt;&gt;"",IF(N(G357)&gt;0,"供应商付款","供应商退款"),IF(L357&lt;&gt;"","费用支出","")))))</f>
      </c>
      <c r="P357" s="78">
        <f>IF(O357="","",IFERROR(INDEX(基础资料!$AE$5:$AE$34,MATCH(O357,基础资料!$AC$5:$AC$34,0)),"未知"))</f>
      </c>
      <c r="Q357" s="78">
        <f>IF(P357="应收",COUNTIF(P$7:P357,"应收"),"")</f>
      </c>
      <c r="R357" s="78">
        <f>IF(P357="应付",COUNTIF(P$7:P357,"应付"),"")</f>
      </c>
      <c r="S357" s="78">
        <f>N(F357)-N(G357)</f>
        <v>0</v>
      </c>
    </row>
    <row r="358">
      <c r="A358" s="109">
        <f>IF(AND(F358="",G358=""),"",ROW()-6)</f>
      </c>
      <c r="B358" s="140" t="n"/>
      <c r="C358" s="141" t="n"/>
      <c r="D358" s="141" t="n"/>
      <c r="E358" s="142" t="n"/>
      <c r="F358" s="143" t="n"/>
      <c r="G358" s="144" t="n"/>
      <c r="H358" s="145">
        <f>IF(OR(C358="",AND(F358="",G358="")),"",SUMIF(基础资料!$W$5:$W$24,C358,基础资料!$X$5:$X$24)+SUMIF(C$7:C358,C358,F$7:F358)-SUMIF(C$7:C358,C358,G$7:G358))</f>
      </c>
      <c r="I358" s="145">
        <f>IF(AND(F358="",G358=""),"",SUM(基础资料!$X$5:$X$24)+SUM(F$7:F358)-SUM(G$7:G358))</f>
      </c>
      <c r="J358" s="141" t="n"/>
      <c r="K358" s="141" t="n"/>
      <c r="L358" s="141" t="n"/>
      <c r="M358" s="142" t="n"/>
      <c r="N358" s="146">
        <f>IF(AND(AND(F358="",G358=""),B358="",C358="",D358="",J358="",K358="",L358=""),"",IF(AND(F358="",G358=""),"✗ 没填金额",IF(AND(N(F358)&lt;&gt;0,N(G358)&lt;&gt;0),"✗ 收入、支出只能填一边",IF(NOT(ISNUMBER(B358)),"✗ 日期不是真日期（要像 2026/9/25 这样填）",IF(OR(B358&lt;年初日,B358&gt;年末日),"✗ 日期不在本会计年度",IF(C358="","✗ 没选账户",IF(COUNTIF(基础资料!$W$5:$W$24,C358)=0,"✗ 账户不在基础资料里",IF(O358="","✗ 没选收支项目",IF(P358="未知","✗ 收支项目不在基础资料里",IF(AND(P358="应收",J358=""),"✗ 这笔要选客户",IF(AND(P358="应收",COUNTIF(总览汇总!$B$5:$B$304,J358)=0),"✗ 客户不在总览汇总名单里",IF(AND(P358="应付",K358=""),"✗ 这笔要选供应商",IF(AND(P358="应付",COUNTIF(基础资料!$Q$5:$Q$54,K358)=0),"✗ 供应商不在基础资料里",IF(AND(P358="费用",L358=""),"✗ 费用支出要选费用项目",IF(AND(L358&lt;&gt;"",COUNTIF(基础资料!$AI$5:$AI$54,L358)=0),"✗ 费用项目不在基础资料里",IF(AND(IFERROR(INDEX(基础资料!$AD$5:$AD$34,MATCH(O358,基础资料!$AC$5:$AC$34,0)),"")="收",N(G358)&lt;&gt;0),"✗ 这类是收款，金额填到收入列",IF(AND(IFERROR(INDEX(基础资料!$AD$5:$AD$34,MATCH(O358,基础资料!$AC$5:$AC$34,0)),"")="支",N(F358)&lt;&gt;0),"✗ 这类是付款，金额填到支出列",IF(N(H358)&lt;0,"⚠ 账户余额成负数了，核对一下","√"))))))))))))))))))</f>
      </c>
      <c r="O358" s="78">
        <f>IF(D358&lt;&gt;"",D358,IF(AND(F358="",G358=""),"",IF(J358&lt;&gt;"",IF(N(F358)&gt;0,"客户回款","客户退款"),IF(K358&lt;&gt;"",IF(N(G358)&gt;0,"供应商付款","供应商退款"),IF(L358&lt;&gt;"","费用支出","")))))</f>
      </c>
      <c r="P358" s="78">
        <f>IF(O358="","",IFERROR(INDEX(基础资料!$AE$5:$AE$34,MATCH(O358,基础资料!$AC$5:$AC$34,0)),"未知"))</f>
      </c>
      <c r="Q358" s="78">
        <f>IF(P358="应收",COUNTIF(P$7:P358,"应收"),"")</f>
      </c>
      <c r="R358" s="78">
        <f>IF(P358="应付",COUNTIF(P$7:P358,"应付"),"")</f>
      </c>
      <c r="S358" s="78">
        <f>N(F358)-N(G358)</f>
        <v>0</v>
      </c>
    </row>
    <row r="359">
      <c r="A359" s="109">
        <f>IF(AND(F359="",G359=""),"",ROW()-6)</f>
      </c>
      <c r="B359" s="140" t="n"/>
      <c r="C359" s="141" t="n"/>
      <c r="D359" s="141" t="n"/>
      <c r="E359" s="142" t="n"/>
      <c r="F359" s="143" t="n"/>
      <c r="G359" s="144" t="n"/>
      <c r="H359" s="145">
        <f>IF(OR(C359="",AND(F359="",G359="")),"",SUMIF(基础资料!$W$5:$W$24,C359,基础资料!$X$5:$X$24)+SUMIF(C$7:C359,C359,F$7:F359)-SUMIF(C$7:C359,C359,G$7:G359))</f>
      </c>
      <c r="I359" s="145">
        <f>IF(AND(F359="",G359=""),"",SUM(基础资料!$X$5:$X$24)+SUM(F$7:F359)-SUM(G$7:G359))</f>
      </c>
      <c r="J359" s="141" t="n"/>
      <c r="K359" s="141" t="n"/>
      <c r="L359" s="141" t="n"/>
      <c r="M359" s="142" t="n"/>
      <c r="N359" s="146">
        <f>IF(AND(AND(F359="",G359=""),B359="",C359="",D359="",J359="",K359="",L359=""),"",IF(AND(F359="",G359=""),"✗ 没填金额",IF(AND(N(F359)&lt;&gt;0,N(G359)&lt;&gt;0),"✗ 收入、支出只能填一边",IF(NOT(ISNUMBER(B359)),"✗ 日期不是真日期（要像 2026/9/25 这样填）",IF(OR(B359&lt;年初日,B359&gt;年末日),"✗ 日期不在本会计年度",IF(C359="","✗ 没选账户",IF(COUNTIF(基础资料!$W$5:$W$24,C359)=0,"✗ 账户不在基础资料里",IF(O359="","✗ 没选收支项目",IF(P359="未知","✗ 收支项目不在基础资料里",IF(AND(P359="应收",J359=""),"✗ 这笔要选客户",IF(AND(P359="应收",COUNTIF(总览汇总!$B$5:$B$304,J359)=0),"✗ 客户不在总览汇总名单里",IF(AND(P359="应付",K359=""),"✗ 这笔要选供应商",IF(AND(P359="应付",COUNTIF(基础资料!$Q$5:$Q$54,K359)=0),"✗ 供应商不在基础资料里",IF(AND(P359="费用",L359=""),"✗ 费用支出要选费用项目",IF(AND(L359&lt;&gt;"",COUNTIF(基础资料!$AI$5:$AI$54,L359)=0),"✗ 费用项目不在基础资料里",IF(AND(IFERROR(INDEX(基础资料!$AD$5:$AD$34,MATCH(O359,基础资料!$AC$5:$AC$34,0)),"")="收",N(G359)&lt;&gt;0),"✗ 这类是收款，金额填到收入列",IF(AND(IFERROR(INDEX(基础资料!$AD$5:$AD$34,MATCH(O359,基础资料!$AC$5:$AC$34,0)),"")="支",N(F359)&lt;&gt;0),"✗ 这类是付款，金额填到支出列",IF(N(H359)&lt;0,"⚠ 账户余额成负数了，核对一下","√"))))))))))))))))))</f>
      </c>
      <c r="O359" s="78">
        <f>IF(D359&lt;&gt;"",D359,IF(AND(F359="",G359=""),"",IF(J359&lt;&gt;"",IF(N(F359)&gt;0,"客户回款","客户退款"),IF(K359&lt;&gt;"",IF(N(G359)&gt;0,"供应商付款","供应商退款"),IF(L359&lt;&gt;"","费用支出","")))))</f>
      </c>
      <c r="P359" s="78">
        <f>IF(O359="","",IFERROR(INDEX(基础资料!$AE$5:$AE$34,MATCH(O359,基础资料!$AC$5:$AC$34,0)),"未知"))</f>
      </c>
      <c r="Q359" s="78">
        <f>IF(P359="应收",COUNTIF(P$7:P359,"应收"),"")</f>
      </c>
      <c r="R359" s="78">
        <f>IF(P359="应付",COUNTIF(P$7:P359,"应付"),"")</f>
      </c>
      <c r="S359" s="78">
        <f>N(F359)-N(G359)</f>
        <v>0</v>
      </c>
    </row>
    <row r="360">
      <c r="A360" s="109">
        <f>IF(AND(F360="",G360=""),"",ROW()-6)</f>
      </c>
      <c r="B360" s="140" t="n"/>
      <c r="C360" s="141" t="n"/>
      <c r="D360" s="141" t="n"/>
      <c r="E360" s="142" t="n"/>
      <c r="F360" s="143" t="n"/>
      <c r="G360" s="144" t="n"/>
      <c r="H360" s="145">
        <f>IF(OR(C360="",AND(F360="",G360="")),"",SUMIF(基础资料!$W$5:$W$24,C360,基础资料!$X$5:$X$24)+SUMIF(C$7:C360,C360,F$7:F360)-SUMIF(C$7:C360,C360,G$7:G360))</f>
      </c>
      <c r="I360" s="145">
        <f>IF(AND(F360="",G360=""),"",SUM(基础资料!$X$5:$X$24)+SUM(F$7:F360)-SUM(G$7:G360))</f>
      </c>
      <c r="J360" s="141" t="n"/>
      <c r="K360" s="141" t="n"/>
      <c r="L360" s="141" t="n"/>
      <c r="M360" s="142" t="n"/>
      <c r="N360" s="146">
        <f>IF(AND(AND(F360="",G360=""),B360="",C360="",D360="",J360="",K360="",L360=""),"",IF(AND(F360="",G360=""),"✗ 没填金额",IF(AND(N(F360)&lt;&gt;0,N(G360)&lt;&gt;0),"✗ 收入、支出只能填一边",IF(NOT(ISNUMBER(B360)),"✗ 日期不是真日期（要像 2026/9/25 这样填）",IF(OR(B360&lt;年初日,B360&gt;年末日),"✗ 日期不在本会计年度",IF(C360="","✗ 没选账户",IF(COUNTIF(基础资料!$W$5:$W$24,C360)=0,"✗ 账户不在基础资料里",IF(O360="","✗ 没选收支项目",IF(P360="未知","✗ 收支项目不在基础资料里",IF(AND(P360="应收",J360=""),"✗ 这笔要选客户",IF(AND(P360="应收",COUNTIF(总览汇总!$B$5:$B$304,J360)=0),"✗ 客户不在总览汇总名单里",IF(AND(P360="应付",K360=""),"✗ 这笔要选供应商",IF(AND(P360="应付",COUNTIF(基础资料!$Q$5:$Q$54,K360)=0),"✗ 供应商不在基础资料里",IF(AND(P360="费用",L360=""),"✗ 费用支出要选费用项目",IF(AND(L360&lt;&gt;"",COUNTIF(基础资料!$AI$5:$AI$54,L360)=0),"✗ 费用项目不在基础资料里",IF(AND(IFERROR(INDEX(基础资料!$AD$5:$AD$34,MATCH(O360,基础资料!$AC$5:$AC$34,0)),"")="收",N(G360)&lt;&gt;0),"✗ 这类是收款，金额填到收入列",IF(AND(IFERROR(INDEX(基础资料!$AD$5:$AD$34,MATCH(O360,基础资料!$AC$5:$AC$34,0)),"")="支",N(F360)&lt;&gt;0),"✗ 这类是付款，金额填到支出列",IF(N(H360)&lt;0,"⚠ 账户余额成负数了，核对一下","√"))))))))))))))))))</f>
      </c>
      <c r="O360" s="78">
        <f>IF(D360&lt;&gt;"",D360,IF(AND(F360="",G360=""),"",IF(J360&lt;&gt;"",IF(N(F360)&gt;0,"客户回款","客户退款"),IF(K360&lt;&gt;"",IF(N(G360)&gt;0,"供应商付款","供应商退款"),IF(L360&lt;&gt;"","费用支出","")))))</f>
      </c>
      <c r="P360" s="78">
        <f>IF(O360="","",IFERROR(INDEX(基础资料!$AE$5:$AE$34,MATCH(O360,基础资料!$AC$5:$AC$34,0)),"未知"))</f>
      </c>
      <c r="Q360" s="78">
        <f>IF(P360="应收",COUNTIF(P$7:P360,"应收"),"")</f>
      </c>
      <c r="R360" s="78">
        <f>IF(P360="应付",COUNTIF(P$7:P360,"应付"),"")</f>
      </c>
      <c r="S360" s="78">
        <f>N(F360)-N(G360)</f>
        <v>0</v>
      </c>
    </row>
    <row r="361">
      <c r="A361" s="109">
        <f>IF(AND(F361="",G361=""),"",ROW()-6)</f>
      </c>
      <c r="B361" s="140" t="n"/>
      <c r="C361" s="141" t="n"/>
      <c r="D361" s="141" t="n"/>
      <c r="E361" s="142" t="n"/>
      <c r="F361" s="143" t="n"/>
      <c r="G361" s="144" t="n"/>
      <c r="H361" s="145">
        <f>IF(OR(C361="",AND(F361="",G361="")),"",SUMIF(基础资料!$W$5:$W$24,C361,基础资料!$X$5:$X$24)+SUMIF(C$7:C361,C361,F$7:F361)-SUMIF(C$7:C361,C361,G$7:G361))</f>
      </c>
      <c r="I361" s="145">
        <f>IF(AND(F361="",G361=""),"",SUM(基础资料!$X$5:$X$24)+SUM(F$7:F361)-SUM(G$7:G361))</f>
      </c>
      <c r="J361" s="141" t="n"/>
      <c r="K361" s="141" t="n"/>
      <c r="L361" s="141" t="n"/>
      <c r="M361" s="142" t="n"/>
      <c r="N361" s="146">
        <f>IF(AND(AND(F361="",G361=""),B361="",C361="",D361="",J361="",K361="",L361=""),"",IF(AND(F361="",G361=""),"✗ 没填金额",IF(AND(N(F361)&lt;&gt;0,N(G361)&lt;&gt;0),"✗ 收入、支出只能填一边",IF(NOT(ISNUMBER(B361)),"✗ 日期不是真日期（要像 2026/9/25 这样填）",IF(OR(B361&lt;年初日,B361&gt;年末日),"✗ 日期不在本会计年度",IF(C361="","✗ 没选账户",IF(COUNTIF(基础资料!$W$5:$W$24,C361)=0,"✗ 账户不在基础资料里",IF(O361="","✗ 没选收支项目",IF(P361="未知","✗ 收支项目不在基础资料里",IF(AND(P361="应收",J361=""),"✗ 这笔要选客户",IF(AND(P361="应收",COUNTIF(总览汇总!$B$5:$B$304,J361)=0),"✗ 客户不在总览汇总名单里",IF(AND(P361="应付",K361=""),"✗ 这笔要选供应商",IF(AND(P361="应付",COUNTIF(基础资料!$Q$5:$Q$54,K361)=0),"✗ 供应商不在基础资料里",IF(AND(P361="费用",L361=""),"✗ 费用支出要选费用项目",IF(AND(L361&lt;&gt;"",COUNTIF(基础资料!$AI$5:$AI$54,L361)=0),"✗ 费用项目不在基础资料里",IF(AND(IFERROR(INDEX(基础资料!$AD$5:$AD$34,MATCH(O361,基础资料!$AC$5:$AC$34,0)),"")="收",N(G361)&lt;&gt;0),"✗ 这类是收款，金额填到收入列",IF(AND(IFERROR(INDEX(基础资料!$AD$5:$AD$34,MATCH(O361,基础资料!$AC$5:$AC$34,0)),"")="支",N(F361)&lt;&gt;0),"✗ 这类是付款，金额填到支出列",IF(N(H361)&lt;0,"⚠ 账户余额成负数了，核对一下","√"))))))))))))))))))</f>
      </c>
      <c r="O361" s="78">
        <f>IF(D361&lt;&gt;"",D361,IF(AND(F361="",G361=""),"",IF(J361&lt;&gt;"",IF(N(F361)&gt;0,"客户回款","客户退款"),IF(K361&lt;&gt;"",IF(N(G361)&gt;0,"供应商付款","供应商退款"),IF(L361&lt;&gt;"","费用支出","")))))</f>
      </c>
      <c r="P361" s="78">
        <f>IF(O361="","",IFERROR(INDEX(基础资料!$AE$5:$AE$34,MATCH(O361,基础资料!$AC$5:$AC$34,0)),"未知"))</f>
      </c>
      <c r="Q361" s="78">
        <f>IF(P361="应收",COUNTIF(P$7:P361,"应收"),"")</f>
      </c>
      <c r="R361" s="78">
        <f>IF(P361="应付",COUNTIF(P$7:P361,"应付"),"")</f>
      </c>
      <c r="S361" s="78">
        <f>N(F361)-N(G361)</f>
        <v>0</v>
      </c>
    </row>
    <row r="362">
      <c r="A362" s="109">
        <f>IF(AND(F362="",G362=""),"",ROW()-6)</f>
      </c>
      <c r="B362" s="140" t="n"/>
      <c r="C362" s="141" t="n"/>
      <c r="D362" s="141" t="n"/>
      <c r="E362" s="142" t="n"/>
      <c r="F362" s="143" t="n"/>
      <c r="G362" s="144" t="n"/>
      <c r="H362" s="145">
        <f>IF(OR(C362="",AND(F362="",G362="")),"",SUMIF(基础资料!$W$5:$W$24,C362,基础资料!$X$5:$X$24)+SUMIF(C$7:C362,C362,F$7:F362)-SUMIF(C$7:C362,C362,G$7:G362))</f>
      </c>
      <c r="I362" s="145">
        <f>IF(AND(F362="",G362=""),"",SUM(基础资料!$X$5:$X$24)+SUM(F$7:F362)-SUM(G$7:G362))</f>
      </c>
      <c r="J362" s="141" t="n"/>
      <c r="K362" s="141" t="n"/>
      <c r="L362" s="141" t="n"/>
      <c r="M362" s="142" t="n"/>
      <c r="N362" s="146">
        <f>IF(AND(AND(F362="",G362=""),B362="",C362="",D362="",J362="",K362="",L362=""),"",IF(AND(F362="",G362=""),"✗ 没填金额",IF(AND(N(F362)&lt;&gt;0,N(G362)&lt;&gt;0),"✗ 收入、支出只能填一边",IF(NOT(ISNUMBER(B362)),"✗ 日期不是真日期（要像 2026/9/25 这样填）",IF(OR(B362&lt;年初日,B362&gt;年末日),"✗ 日期不在本会计年度",IF(C362="","✗ 没选账户",IF(COUNTIF(基础资料!$W$5:$W$24,C362)=0,"✗ 账户不在基础资料里",IF(O362="","✗ 没选收支项目",IF(P362="未知","✗ 收支项目不在基础资料里",IF(AND(P362="应收",J362=""),"✗ 这笔要选客户",IF(AND(P362="应收",COUNTIF(总览汇总!$B$5:$B$304,J362)=0),"✗ 客户不在总览汇总名单里",IF(AND(P362="应付",K362=""),"✗ 这笔要选供应商",IF(AND(P362="应付",COUNTIF(基础资料!$Q$5:$Q$54,K362)=0),"✗ 供应商不在基础资料里",IF(AND(P362="费用",L362=""),"✗ 费用支出要选费用项目",IF(AND(L362&lt;&gt;"",COUNTIF(基础资料!$AI$5:$AI$54,L362)=0),"✗ 费用项目不在基础资料里",IF(AND(IFERROR(INDEX(基础资料!$AD$5:$AD$34,MATCH(O362,基础资料!$AC$5:$AC$34,0)),"")="收",N(G362)&lt;&gt;0),"✗ 这类是收款，金额填到收入列",IF(AND(IFERROR(INDEX(基础资料!$AD$5:$AD$34,MATCH(O362,基础资料!$AC$5:$AC$34,0)),"")="支",N(F362)&lt;&gt;0),"✗ 这类是付款，金额填到支出列",IF(N(H362)&lt;0,"⚠ 账户余额成负数了，核对一下","√"))))))))))))))))))</f>
      </c>
      <c r="O362" s="78">
        <f>IF(D362&lt;&gt;"",D362,IF(AND(F362="",G362=""),"",IF(J362&lt;&gt;"",IF(N(F362)&gt;0,"客户回款","客户退款"),IF(K362&lt;&gt;"",IF(N(G362)&gt;0,"供应商付款","供应商退款"),IF(L362&lt;&gt;"","费用支出","")))))</f>
      </c>
      <c r="P362" s="78">
        <f>IF(O362="","",IFERROR(INDEX(基础资料!$AE$5:$AE$34,MATCH(O362,基础资料!$AC$5:$AC$34,0)),"未知"))</f>
      </c>
      <c r="Q362" s="78">
        <f>IF(P362="应收",COUNTIF(P$7:P362,"应收"),"")</f>
      </c>
      <c r="R362" s="78">
        <f>IF(P362="应付",COUNTIF(P$7:P362,"应付"),"")</f>
      </c>
      <c r="S362" s="78">
        <f>N(F362)-N(G362)</f>
        <v>0</v>
      </c>
    </row>
    <row r="363">
      <c r="A363" s="109">
        <f>IF(AND(F363="",G363=""),"",ROW()-6)</f>
      </c>
      <c r="B363" s="140" t="n"/>
      <c r="C363" s="141" t="n"/>
      <c r="D363" s="141" t="n"/>
      <c r="E363" s="142" t="n"/>
      <c r="F363" s="143" t="n"/>
      <c r="G363" s="144" t="n"/>
      <c r="H363" s="145">
        <f>IF(OR(C363="",AND(F363="",G363="")),"",SUMIF(基础资料!$W$5:$W$24,C363,基础资料!$X$5:$X$24)+SUMIF(C$7:C363,C363,F$7:F363)-SUMIF(C$7:C363,C363,G$7:G363))</f>
      </c>
      <c r="I363" s="145">
        <f>IF(AND(F363="",G363=""),"",SUM(基础资料!$X$5:$X$24)+SUM(F$7:F363)-SUM(G$7:G363))</f>
      </c>
      <c r="J363" s="141" t="n"/>
      <c r="K363" s="141" t="n"/>
      <c r="L363" s="141" t="n"/>
      <c r="M363" s="142" t="n"/>
      <c r="N363" s="146">
        <f>IF(AND(AND(F363="",G363=""),B363="",C363="",D363="",J363="",K363="",L363=""),"",IF(AND(F363="",G363=""),"✗ 没填金额",IF(AND(N(F363)&lt;&gt;0,N(G363)&lt;&gt;0),"✗ 收入、支出只能填一边",IF(NOT(ISNUMBER(B363)),"✗ 日期不是真日期（要像 2026/9/25 这样填）",IF(OR(B363&lt;年初日,B363&gt;年末日),"✗ 日期不在本会计年度",IF(C363="","✗ 没选账户",IF(COUNTIF(基础资料!$W$5:$W$24,C363)=0,"✗ 账户不在基础资料里",IF(O363="","✗ 没选收支项目",IF(P363="未知","✗ 收支项目不在基础资料里",IF(AND(P363="应收",J363=""),"✗ 这笔要选客户",IF(AND(P363="应收",COUNTIF(总览汇总!$B$5:$B$304,J363)=0),"✗ 客户不在总览汇总名单里",IF(AND(P363="应付",K363=""),"✗ 这笔要选供应商",IF(AND(P363="应付",COUNTIF(基础资料!$Q$5:$Q$54,K363)=0),"✗ 供应商不在基础资料里",IF(AND(P363="费用",L363=""),"✗ 费用支出要选费用项目",IF(AND(L363&lt;&gt;"",COUNTIF(基础资料!$AI$5:$AI$54,L363)=0),"✗ 费用项目不在基础资料里",IF(AND(IFERROR(INDEX(基础资料!$AD$5:$AD$34,MATCH(O363,基础资料!$AC$5:$AC$34,0)),"")="收",N(G363)&lt;&gt;0),"✗ 这类是收款，金额填到收入列",IF(AND(IFERROR(INDEX(基础资料!$AD$5:$AD$34,MATCH(O363,基础资料!$AC$5:$AC$34,0)),"")="支",N(F363)&lt;&gt;0),"✗ 这类是付款，金额填到支出列",IF(N(H363)&lt;0,"⚠ 账户余额成负数了，核对一下","√"))))))))))))))))))</f>
      </c>
      <c r="O363" s="78">
        <f>IF(D363&lt;&gt;"",D363,IF(AND(F363="",G363=""),"",IF(J363&lt;&gt;"",IF(N(F363)&gt;0,"客户回款","客户退款"),IF(K363&lt;&gt;"",IF(N(G363)&gt;0,"供应商付款","供应商退款"),IF(L363&lt;&gt;"","费用支出","")))))</f>
      </c>
      <c r="P363" s="78">
        <f>IF(O363="","",IFERROR(INDEX(基础资料!$AE$5:$AE$34,MATCH(O363,基础资料!$AC$5:$AC$34,0)),"未知"))</f>
      </c>
      <c r="Q363" s="78">
        <f>IF(P363="应收",COUNTIF(P$7:P363,"应收"),"")</f>
      </c>
      <c r="R363" s="78">
        <f>IF(P363="应付",COUNTIF(P$7:P363,"应付"),"")</f>
      </c>
      <c r="S363" s="78">
        <f>N(F363)-N(G363)</f>
        <v>0</v>
      </c>
    </row>
    <row r="364">
      <c r="A364" s="109">
        <f>IF(AND(F364="",G364=""),"",ROW()-6)</f>
      </c>
      <c r="B364" s="140" t="n"/>
      <c r="C364" s="141" t="n"/>
      <c r="D364" s="141" t="n"/>
      <c r="E364" s="142" t="n"/>
      <c r="F364" s="143" t="n"/>
      <c r="G364" s="144" t="n"/>
      <c r="H364" s="145">
        <f>IF(OR(C364="",AND(F364="",G364="")),"",SUMIF(基础资料!$W$5:$W$24,C364,基础资料!$X$5:$X$24)+SUMIF(C$7:C364,C364,F$7:F364)-SUMIF(C$7:C364,C364,G$7:G364))</f>
      </c>
      <c r="I364" s="145">
        <f>IF(AND(F364="",G364=""),"",SUM(基础资料!$X$5:$X$24)+SUM(F$7:F364)-SUM(G$7:G364))</f>
      </c>
      <c r="J364" s="141" t="n"/>
      <c r="K364" s="141" t="n"/>
      <c r="L364" s="141" t="n"/>
      <c r="M364" s="142" t="n"/>
      <c r="N364" s="146">
        <f>IF(AND(AND(F364="",G364=""),B364="",C364="",D364="",J364="",K364="",L364=""),"",IF(AND(F364="",G364=""),"✗ 没填金额",IF(AND(N(F364)&lt;&gt;0,N(G364)&lt;&gt;0),"✗ 收入、支出只能填一边",IF(NOT(ISNUMBER(B364)),"✗ 日期不是真日期（要像 2026/9/25 这样填）",IF(OR(B364&lt;年初日,B364&gt;年末日),"✗ 日期不在本会计年度",IF(C364="","✗ 没选账户",IF(COUNTIF(基础资料!$W$5:$W$24,C364)=0,"✗ 账户不在基础资料里",IF(O364="","✗ 没选收支项目",IF(P364="未知","✗ 收支项目不在基础资料里",IF(AND(P364="应收",J364=""),"✗ 这笔要选客户",IF(AND(P364="应收",COUNTIF(总览汇总!$B$5:$B$304,J364)=0),"✗ 客户不在总览汇总名单里",IF(AND(P364="应付",K364=""),"✗ 这笔要选供应商",IF(AND(P364="应付",COUNTIF(基础资料!$Q$5:$Q$54,K364)=0),"✗ 供应商不在基础资料里",IF(AND(P364="费用",L364=""),"✗ 费用支出要选费用项目",IF(AND(L364&lt;&gt;"",COUNTIF(基础资料!$AI$5:$AI$54,L364)=0),"✗ 费用项目不在基础资料里",IF(AND(IFERROR(INDEX(基础资料!$AD$5:$AD$34,MATCH(O364,基础资料!$AC$5:$AC$34,0)),"")="收",N(G364)&lt;&gt;0),"✗ 这类是收款，金额填到收入列",IF(AND(IFERROR(INDEX(基础资料!$AD$5:$AD$34,MATCH(O364,基础资料!$AC$5:$AC$34,0)),"")="支",N(F364)&lt;&gt;0),"✗ 这类是付款，金额填到支出列",IF(N(H364)&lt;0,"⚠ 账户余额成负数了，核对一下","√"))))))))))))))))))</f>
      </c>
      <c r="O364" s="78">
        <f>IF(D364&lt;&gt;"",D364,IF(AND(F364="",G364=""),"",IF(J364&lt;&gt;"",IF(N(F364)&gt;0,"客户回款","客户退款"),IF(K364&lt;&gt;"",IF(N(G364)&gt;0,"供应商付款","供应商退款"),IF(L364&lt;&gt;"","费用支出","")))))</f>
      </c>
      <c r="P364" s="78">
        <f>IF(O364="","",IFERROR(INDEX(基础资料!$AE$5:$AE$34,MATCH(O364,基础资料!$AC$5:$AC$34,0)),"未知"))</f>
      </c>
      <c r="Q364" s="78">
        <f>IF(P364="应收",COUNTIF(P$7:P364,"应收"),"")</f>
      </c>
      <c r="R364" s="78">
        <f>IF(P364="应付",COUNTIF(P$7:P364,"应付"),"")</f>
      </c>
      <c r="S364" s="78">
        <f>N(F364)-N(G364)</f>
        <v>0</v>
      </c>
    </row>
    <row r="365">
      <c r="A365" s="109">
        <f>IF(AND(F365="",G365=""),"",ROW()-6)</f>
      </c>
      <c r="B365" s="140" t="n"/>
      <c r="C365" s="141" t="n"/>
      <c r="D365" s="141" t="n"/>
      <c r="E365" s="142" t="n"/>
      <c r="F365" s="143" t="n"/>
      <c r="G365" s="144" t="n"/>
      <c r="H365" s="145">
        <f>IF(OR(C365="",AND(F365="",G365="")),"",SUMIF(基础资料!$W$5:$W$24,C365,基础资料!$X$5:$X$24)+SUMIF(C$7:C365,C365,F$7:F365)-SUMIF(C$7:C365,C365,G$7:G365))</f>
      </c>
      <c r="I365" s="145">
        <f>IF(AND(F365="",G365=""),"",SUM(基础资料!$X$5:$X$24)+SUM(F$7:F365)-SUM(G$7:G365))</f>
      </c>
      <c r="J365" s="141" t="n"/>
      <c r="K365" s="141" t="n"/>
      <c r="L365" s="141" t="n"/>
      <c r="M365" s="142" t="n"/>
      <c r="N365" s="146">
        <f>IF(AND(AND(F365="",G365=""),B365="",C365="",D365="",J365="",K365="",L365=""),"",IF(AND(F365="",G365=""),"✗ 没填金额",IF(AND(N(F365)&lt;&gt;0,N(G365)&lt;&gt;0),"✗ 收入、支出只能填一边",IF(NOT(ISNUMBER(B365)),"✗ 日期不是真日期（要像 2026/9/25 这样填）",IF(OR(B365&lt;年初日,B365&gt;年末日),"✗ 日期不在本会计年度",IF(C365="","✗ 没选账户",IF(COUNTIF(基础资料!$W$5:$W$24,C365)=0,"✗ 账户不在基础资料里",IF(O365="","✗ 没选收支项目",IF(P365="未知","✗ 收支项目不在基础资料里",IF(AND(P365="应收",J365=""),"✗ 这笔要选客户",IF(AND(P365="应收",COUNTIF(总览汇总!$B$5:$B$304,J365)=0),"✗ 客户不在总览汇总名单里",IF(AND(P365="应付",K365=""),"✗ 这笔要选供应商",IF(AND(P365="应付",COUNTIF(基础资料!$Q$5:$Q$54,K365)=0),"✗ 供应商不在基础资料里",IF(AND(P365="费用",L365=""),"✗ 费用支出要选费用项目",IF(AND(L365&lt;&gt;"",COUNTIF(基础资料!$AI$5:$AI$54,L365)=0),"✗ 费用项目不在基础资料里",IF(AND(IFERROR(INDEX(基础资料!$AD$5:$AD$34,MATCH(O365,基础资料!$AC$5:$AC$34,0)),"")="收",N(G365)&lt;&gt;0),"✗ 这类是收款，金额填到收入列",IF(AND(IFERROR(INDEX(基础资料!$AD$5:$AD$34,MATCH(O365,基础资料!$AC$5:$AC$34,0)),"")="支",N(F365)&lt;&gt;0),"✗ 这类是付款，金额填到支出列",IF(N(H365)&lt;0,"⚠ 账户余额成负数了，核对一下","√"))))))))))))))))))</f>
      </c>
      <c r="O365" s="78">
        <f>IF(D365&lt;&gt;"",D365,IF(AND(F365="",G365=""),"",IF(J365&lt;&gt;"",IF(N(F365)&gt;0,"客户回款","客户退款"),IF(K365&lt;&gt;"",IF(N(G365)&gt;0,"供应商付款","供应商退款"),IF(L365&lt;&gt;"","费用支出","")))))</f>
      </c>
      <c r="P365" s="78">
        <f>IF(O365="","",IFERROR(INDEX(基础资料!$AE$5:$AE$34,MATCH(O365,基础资料!$AC$5:$AC$34,0)),"未知"))</f>
      </c>
      <c r="Q365" s="78">
        <f>IF(P365="应收",COUNTIF(P$7:P365,"应收"),"")</f>
      </c>
      <c r="R365" s="78">
        <f>IF(P365="应付",COUNTIF(P$7:P365,"应付"),"")</f>
      </c>
      <c r="S365" s="78">
        <f>N(F365)-N(G365)</f>
        <v>0</v>
      </c>
    </row>
    <row r="366">
      <c r="A366" s="109">
        <f>IF(AND(F366="",G366=""),"",ROW()-6)</f>
      </c>
      <c r="B366" s="140" t="n"/>
      <c r="C366" s="141" t="n"/>
      <c r="D366" s="141" t="n"/>
      <c r="E366" s="142" t="n"/>
      <c r="F366" s="143" t="n"/>
      <c r="G366" s="144" t="n"/>
      <c r="H366" s="145">
        <f>IF(OR(C366="",AND(F366="",G366="")),"",SUMIF(基础资料!$W$5:$W$24,C366,基础资料!$X$5:$X$24)+SUMIF(C$7:C366,C366,F$7:F366)-SUMIF(C$7:C366,C366,G$7:G366))</f>
      </c>
      <c r="I366" s="145">
        <f>IF(AND(F366="",G366=""),"",SUM(基础资料!$X$5:$X$24)+SUM(F$7:F366)-SUM(G$7:G366))</f>
      </c>
      <c r="J366" s="141" t="n"/>
      <c r="K366" s="141" t="n"/>
      <c r="L366" s="141" t="n"/>
      <c r="M366" s="142" t="n"/>
      <c r="N366" s="146">
        <f>IF(AND(AND(F366="",G366=""),B366="",C366="",D366="",J366="",K366="",L366=""),"",IF(AND(F366="",G366=""),"✗ 没填金额",IF(AND(N(F366)&lt;&gt;0,N(G366)&lt;&gt;0),"✗ 收入、支出只能填一边",IF(NOT(ISNUMBER(B366)),"✗ 日期不是真日期（要像 2026/9/25 这样填）",IF(OR(B366&lt;年初日,B366&gt;年末日),"✗ 日期不在本会计年度",IF(C366="","✗ 没选账户",IF(COUNTIF(基础资料!$W$5:$W$24,C366)=0,"✗ 账户不在基础资料里",IF(O366="","✗ 没选收支项目",IF(P366="未知","✗ 收支项目不在基础资料里",IF(AND(P366="应收",J366=""),"✗ 这笔要选客户",IF(AND(P366="应收",COUNTIF(总览汇总!$B$5:$B$304,J366)=0),"✗ 客户不在总览汇总名单里",IF(AND(P366="应付",K366=""),"✗ 这笔要选供应商",IF(AND(P366="应付",COUNTIF(基础资料!$Q$5:$Q$54,K366)=0),"✗ 供应商不在基础资料里",IF(AND(P366="费用",L366=""),"✗ 费用支出要选费用项目",IF(AND(L366&lt;&gt;"",COUNTIF(基础资料!$AI$5:$AI$54,L366)=0),"✗ 费用项目不在基础资料里",IF(AND(IFERROR(INDEX(基础资料!$AD$5:$AD$34,MATCH(O366,基础资料!$AC$5:$AC$34,0)),"")="收",N(G366)&lt;&gt;0),"✗ 这类是收款，金额填到收入列",IF(AND(IFERROR(INDEX(基础资料!$AD$5:$AD$34,MATCH(O366,基础资料!$AC$5:$AC$34,0)),"")="支",N(F366)&lt;&gt;0),"✗ 这类是付款，金额填到支出列",IF(N(H366)&lt;0,"⚠ 账户余额成负数了，核对一下","√"))))))))))))))))))</f>
      </c>
      <c r="O366" s="78">
        <f>IF(D366&lt;&gt;"",D366,IF(AND(F366="",G366=""),"",IF(J366&lt;&gt;"",IF(N(F366)&gt;0,"客户回款","客户退款"),IF(K366&lt;&gt;"",IF(N(G366)&gt;0,"供应商付款","供应商退款"),IF(L366&lt;&gt;"","费用支出","")))))</f>
      </c>
      <c r="P366" s="78">
        <f>IF(O366="","",IFERROR(INDEX(基础资料!$AE$5:$AE$34,MATCH(O366,基础资料!$AC$5:$AC$34,0)),"未知"))</f>
      </c>
      <c r="Q366" s="78">
        <f>IF(P366="应收",COUNTIF(P$7:P366,"应收"),"")</f>
      </c>
      <c r="R366" s="78">
        <f>IF(P366="应付",COUNTIF(P$7:P366,"应付"),"")</f>
      </c>
      <c r="S366" s="78">
        <f>N(F366)-N(G366)</f>
        <v>0</v>
      </c>
    </row>
    <row r="367">
      <c r="A367" s="109">
        <f>IF(AND(F367="",G367=""),"",ROW()-6)</f>
      </c>
      <c r="B367" s="140" t="n"/>
      <c r="C367" s="141" t="n"/>
      <c r="D367" s="141" t="n"/>
      <c r="E367" s="142" t="n"/>
      <c r="F367" s="143" t="n"/>
      <c r="G367" s="144" t="n"/>
      <c r="H367" s="145">
        <f>IF(OR(C367="",AND(F367="",G367="")),"",SUMIF(基础资料!$W$5:$W$24,C367,基础资料!$X$5:$X$24)+SUMIF(C$7:C367,C367,F$7:F367)-SUMIF(C$7:C367,C367,G$7:G367))</f>
      </c>
      <c r="I367" s="145">
        <f>IF(AND(F367="",G367=""),"",SUM(基础资料!$X$5:$X$24)+SUM(F$7:F367)-SUM(G$7:G367))</f>
      </c>
      <c r="J367" s="141" t="n"/>
      <c r="K367" s="141" t="n"/>
      <c r="L367" s="141" t="n"/>
      <c r="M367" s="142" t="n"/>
      <c r="N367" s="146">
        <f>IF(AND(AND(F367="",G367=""),B367="",C367="",D367="",J367="",K367="",L367=""),"",IF(AND(F367="",G367=""),"✗ 没填金额",IF(AND(N(F367)&lt;&gt;0,N(G367)&lt;&gt;0),"✗ 收入、支出只能填一边",IF(NOT(ISNUMBER(B367)),"✗ 日期不是真日期（要像 2026/9/25 这样填）",IF(OR(B367&lt;年初日,B367&gt;年末日),"✗ 日期不在本会计年度",IF(C367="","✗ 没选账户",IF(COUNTIF(基础资料!$W$5:$W$24,C367)=0,"✗ 账户不在基础资料里",IF(O367="","✗ 没选收支项目",IF(P367="未知","✗ 收支项目不在基础资料里",IF(AND(P367="应收",J367=""),"✗ 这笔要选客户",IF(AND(P367="应收",COUNTIF(总览汇总!$B$5:$B$304,J367)=0),"✗ 客户不在总览汇总名单里",IF(AND(P367="应付",K367=""),"✗ 这笔要选供应商",IF(AND(P367="应付",COUNTIF(基础资料!$Q$5:$Q$54,K367)=0),"✗ 供应商不在基础资料里",IF(AND(P367="费用",L367=""),"✗ 费用支出要选费用项目",IF(AND(L367&lt;&gt;"",COUNTIF(基础资料!$AI$5:$AI$54,L367)=0),"✗ 费用项目不在基础资料里",IF(AND(IFERROR(INDEX(基础资料!$AD$5:$AD$34,MATCH(O367,基础资料!$AC$5:$AC$34,0)),"")="收",N(G367)&lt;&gt;0),"✗ 这类是收款，金额填到收入列",IF(AND(IFERROR(INDEX(基础资料!$AD$5:$AD$34,MATCH(O367,基础资料!$AC$5:$AC$34,0)),"")="支",N(F367)&lt;&gt;0),"✗ 这类是付款，金额填到支出列",IF(N(H367)&lt;0,"⚠ 账户余额成负数了，核对一下","√"))))))))))))))))))</f>
      </c>
      <c r="O367" s="78">
        <f>IF(D367&lt;&gt;"",D367,IF(AND(F367="",G367=""),"",IF(J367&lt;&gt;"",IF(N(F367)&gt;0,"客户回款","客户退款"),IF(K367&lt;&gt;"",IF(N(G367)&gt;0,"供应商付款","供应商退款"),IF(L367&lt;&gt;"","费用支出","")))))</f>
      </c>
      <c r="P367" s="78">
        <f>IF(O367="","",IFERROR(INDEX(基础资料!$AE$5:$AE$34,MATCH(O367,基础资料!$AC$5:$AC$34,0)),"未知"))</f>
      </c>
      <c r="Q367" s="78">
        <f>IF(P367="应收",COUNTIF(P$7:P367,"应收"),"")</f>
      </c>
      <c r="R367" s="78">
        <f>IF(P367="应付",COUNTIF(P$7:P367,"应付"),"")</f>
      </c>
      <c r="S367" s="78">
        <f>N(F367)-N(G367)</f>
        <v>0</v>
      </c>
    </row>
    <row r="368">
      <c r="A368" s="109">
        <f>IF(AND(F368="",G368=""),"",ROW()-6)</f>
      </c>
      <c r="B368" s="140" t="n"/>
      <c r="C368" s="141" t="n"/>
      <c r="D368" s="141" t="n"/>
      <c r="E368" s="142" t="n"/>
      <c r="F368" s="143" t="n"/>
      <c r="G368" s="144" t="n"/>
      <c r="H368" s="145">
        <f>IF(OR(C368="",AND(F368="",G368="")),"",SUMIF(基础资料!$W$5:$W$24,C368,基础资料!$X$5:$X$24)+SUMIF(C$7:C368,C368,F$7:F368)-SUMIF(C$7:C368,C368,G$7:G368))</f>
      </c>
      <c r="I368" s="145">
        <f>IF(AND(F368="",G368=""),"",SUM(基础资料!$X$5:$X$24)+SUM(F$7:F368)-SUM(G$7:G368))</f>
      </c>
      <c r="J368" s="141" t="n"/>
      <c r="K368" s="141" t="n"/>
      <c r="L368" s="141" t="n"/>
      <c r="M368" s="142" t="n"/>
      <c r="N368" s="146">
        <f>IF(AND(AND(F368="",G368=""),B368="",C368="",D368="",J368="",K368="",L368=""),"",IF(AND(F368="",G368=""),"✗ 没填金额",IF(AND(N(F368)&lt;&gt;0,N(G368)&lt;&gt;0),"✗ 收入、支出只能填一边",IF(NOT(ISNUMBER(B368)),"✗ 日期不是真日期（要像 2026/9/25 这样填）",IF(OR(B368&lt;年初日,B368&gt;年末日),"✗ 日期不在本会计年度",IF(C368="","✗ 没选账户",IF(COUNTIF(基础资料!$W$5:$W$24,C368)=0,"✗ 账户不在基础资料里",IF(O368="","✗ 没选收支项目",IF(P368="未知","✗ 收支项目不在基础资料里",IF(AND(P368="应收",J368=""),"✗ 这笔要选客户",IF(AND(P368="应收",COUNTIF(总览汇总!$B$5:$B$304,J368)=0),"✗ 客户不在总览汇总名单里",IF(AND(P368="应付",K368=""),"✗ 这笔要选供应商",IF(AND(P368="应付",COUNTIF(基础资料!$Q$5:$Q$54,K368)=0),"✗ 供应商不在基础资料里",IF(AND(P368="费用",L368=""),"✗ 费用支出要选费用项目",IF(AND(L368&lt;&gt;"",COUNTIF(基础资料!$AI$5:$AI$54,L368)=0),"✗ 费用项目不在基础资料里",IF(AND(IFERROR(INDEX(基础资料!$AD$5:$AD$34,MATCH(O368,基础资料!$AC$5:$AC$34,0)),"")="收",N(G368)&lt;&gt;0),"✗ 这类是收款，金额填到收入列",IF(AND(IFERROR(INDEX(基础资料!$AD$5:$AD$34,MATCH(O368,基础资料!$AC$5:$AC$34,0)),"")="支",N(F368)&lt;&gt;0),"✗ 这类是付款，金额填到支出列",IF(N(H368)&lt;0,"⚠ 账户余额成负数了，核对一下","√"))))))))))))))))))</f>
      </c>
      <c r="O368" s="78">
        <f>IF(D368&lt;&gt;"",D368,IF(AND(F368="",G368=""),"",IF(J368&lt;&gt;"",IF(N(F368)&gt;0,"客户回款","客户退款"),IF(K368&lt;&gt;"",IF(N(G368)&gt;0,"供应商付款","供应商退款"),IF(L368&lt;&gt;"","费用支出","")))))</f>
      </c>
      <c r="P368" s="78">
        <f>IF(O368="","",IFERROR(INDEX(基础资料!$AE$5:$AE$34,MATCH(O368,基础资料!$AC$5:$AC$34,0)),"未知"))</f>
      </c>
      <c r="Q368" s="78">
        <f>IF(P368="应收",COUNTIF(P$7:P368,"应收"),"")</f>
      </c>
      <c r="R368" s="78">
        <f>IF(P368="应付",COUNTIF(P$7:P368,"应付"),"")</f>
      </c>
      <c r="S368" s="78">
        <f>N(F368)-N(G368)</f>
        <v>0</v>
      </c>
    </row>
    <row r="369">
      <c r="A369" s="109">
        <f>IF(AND(F369="",G369=""),"",ROW()-6)</f>
      </c>
      <c r="B369" s="140" t="n"/>
      <c r="C369" s="141" t="n"/>
      <c r="D369" s="141" t="n"/>
      <c r="E369" s="142" t="n"/>
      <c r="F369" s="143" t="n"/>
      <c r="G369" s="144" t="n"/>
      <c r="H369" s="145">
        <f>IF(OR(C369="",AND(F369="",G369="")),"",SUMIF(基础资料!$W$5:$W$24,C369,基础资料!$X$5:$X$24)+SUMIF(C$7:C369,C369,F$7:F369)-SUMIF(C$7:C369,C369,G$7:G369))</f>
      </c>
      <c r="I369" s="145">
        <f>IF(AND(F369="",G369=""),"",SUM(基础资料!$X$5:$X$24)+SUM(F$7:F369)-SUM(G$7:G369))</f>
      </c>
      <c r="J369" s="141" t="n"/>
      <c r="K369" s="141" t="n"/>
      <c r="L369" s="141" t="n"/>
      <c r="M369" s="142" t="n"/>
      <c r="N369" s="146">
        <f>IF(AND(AND(F369="",G369=""),B369="",C369="",D369="",J369="",K369="",L369=""),"",IF(AND(F369="",G369=""),"✗ 没填金额",IF(AND(N(F369)&lt;&gt;0,N(G369)&lt;&gt;0),"✗ 收入、支出只能填一边",IF(NOT(ISNUMBER(B369)),"✗ 日期不是真日期（要像 2026/9/25 这样填）",IF(OR(B369&lt;年初日,B369&gt;年末日),"✗ 日期不在本会计年度",IF(C369="","✗ 没选账户",IF(COUNTIF(基础资料!$W$5:$W$24,C369)=0,"✗ 账户不在基础资料里",IF(O369="","✗ 没选收支项目",IF(P369="未知","✗ 收支项目不在基础资料里",IF(AND(P369="应收",J369=""),"✗ 这笔要选客户",IF(AND(P369="应收",COUNTIF(总览汇总!$B$5:$B$304,J369)=0),"✗ 客户不在总览汇总名单里",IF(AND(P369="应付",K369=""),"✗ 这笔要选供应商",IF(AND(P369="应付",COUNTIF(基础资料!$Q$5:$Q$54,K369)=0),"✗ 供应商不在基础资料里",IF(AND(P369="费用",L369=""),"✗ 费用支出要选费用项目",IF(AND(L369&lt;&gt;"",COUNTIF(基础资料!$AI$5:$AI$54,L369)=0),"✗ 费用项目不在基础资料里",IF(AND(IFERROR(INDEX(基础资料!$AD$5:$AD$34,MATCH(O369,基础资料!$AC$5:$AC$34,0)),"")="收",N(G369)&lt;&gt;0),"✗ 这类是收款，金额填到收入列",IF(AND(IFERROR(INDEX(基础资料!$AD$5:$AD$34,MATCH(O369,基础资料!$AC$5:$AC$34,0)),"")="支",N(F369)&lt;&gt;0),"✗ 这类是付款，金额填到支出列",IF(N(H369)&lt;0,"⚠ 账户余额成负数了，核对一下","√"))))))))))))))))))</f>
      </c>
      <c r="O369" s="78">
        <f>IF(D369&lt;&gt;"",D369,IF(AND(F369="",G369=""),"",IF(J369&lt;&gt;"",IF(N(F369)&gt;0,"客户回款","客户退款"),IF(K369&lt;&gt;"",IF(N(G369)&gt;0,"供应商付款","供应商退款"),IF(L369&lt;&gt;"","费用支出","")))))</f>
      </c>
      <c r="P369" s="78">
        <f>IF(O369="","",IFERROR(INDEX(基础资料!$AE$5:$AE$34,MATCH(O369,基础资料!$AC$5:$AC$34,0)),"未知"))</f>
      </c>
      <c r="Q369" s="78">
        <f>IF(P369="应收",COUNTIF(P$7:P369,"应收"),"")</f>
      </c>
      <c r="R369" s="78">
        <f>IF(P369="应付",COUNTIF(P$7:P369,"应付"),"")</f>
      </c>
      <c r="S369" s="78">
        <f>N(F369)-N(G369)</f>
        <v>0</v>
      </c>
    </row>
    <row r="370">
      <c r="A370" s="109">
        <f>IF(AND(F370="",G370=""),"",ROW()-6)</f>
      </c>
      <c r="B370" s="140" t="n"/>
      <c r="C370" s="141" t="n"/>
      <c r="D370" s="141" t="n"/>
      <c r="E370" s="142" t="n"/>
      <c r="F370" s="143" t="n"/>
      <c r="G370" s="144" t="n"/>
      <c r="H370" s="145">
        <f>IF(OR(C370="",AND(F370="",G370="")),"",SUMIF(基础资料!$W$5:$W$24,C370,基础资料!$X$5:$X$24)+SUMIF(C$7:C370,C370,F$7:F370)-SUMIF(C$7:C370,C370,G$7:G370))</f>
      </c>
      <c r="I370" s="145">
        <f>IF(AND(F370="",G370=""),"",SUM(基础资料!$X$5:$X$24)+SUM(F$7:F370)-SUM(G$7:G370))</f>
      </c>
      <c r="J370" s="141" t="n"/>
      <c r="K370" s="141" t="n"/>
      <c r="L370" s="141" t="n"/>
      <c r="M370" s="142" t="n"/>
      <c r="N370" s="146">
        <f>IF(AND(AND(F370="",G370=""),B370="",C370="",D370="",J370="",K370="",L370=""),"",IF(AND(F370="",G370=""),"✗ 没填金额",IF(AND(N(F370)&lt;&gt;0,N(G370)&lt;&gt;0),"✗ 收入、支出只能填一边",IF(NOT(ISNUMBER(B370)),"✗ 日期不是真日期（要像 2026/9/25 这样填）",IF(OR(B370&lt;年初日,B370&gt;年末日),"✗ 日期不在本会计年度",IF(C370="","✗ 没选账户",IF(COUNTIF(基础资料!$W$5:$W$24,C370)=0,"✗ 账户不在基础资料里",IF(O370="","✗ 没选收支项目",IF(P370="未知","✗ 收支项目不在基础资料里",IF(AND(P370="应收",J370=""),"✗ 这笔要选客户",IF(AND(P370="应收",COUNTIF(总览汇总!$B$5:$B$304,J370)=0),"✗ 客户不在总览汇总名单里",IF(AND(P370="应付",K370=""),"✗ 这笔要选供应商",IF(AND(P370="应付",COUNTIF(基础资料!$Q$5:$Q$54,K370)=0),"✗ 供应商不在基础资料里",IF(AND(P370="费用",L370=""),"✗ 费用支出要选费用项目",IF(AND(L370&lt;&gt;"",COUNTIF(基础资料!$AI$5:$AI$54,L370)=0),"✗ 费用项目不在基础资料里",IF(AND(IFERROR(INDEX(基础资料!$AD$5:$AD$34,MATCH(O370,基础资料!$AC$5:$AC$34,0)),"")="收",N(G370)&lt;&gt;0),"✗ 这类是收款，金额填到收入列",IF(AND(IFERROR(INDEX(基础资料!$AD$5:$AD$34,MATCH(O370,基础资料!$AC$5:$AC$34,0)),"")="支",N(F370)&lt;&gt;0),"✗ 这类是付款，金额填到支出列",IF(N(H370)&lt;0,"⚠ 账户余额成负数了，核对一下","√"))))))))))))))))))</f>
      </c>
      <c r="O370" s="78">
        <f>IF(D370&lt;&gt;"",D370,IF(AND(F370="",G370=""),"",IF(J370&lt;&gt;"",IF(N(F370)&gt;0,"客户回款","客户退款"),IF(K370&lt;&gt;"",IF(N(G370)&gt;0,"供应商付款","供应商退款"),IF(L370&lt;&gt;"","费用支出","")))))</f>
      </c>
      <c r="P370" s="78">
        <f>IF(O370="","",IFERROR(INDEX(基础资料!$AE$5:$AE$34,MATCH(O370,基础资料!$AC$5:$AC$34,0)),"未知"))</f>
      </c>
      <c r="Q370" s="78">
        <f>IF(P370="应收",COUNTIF(P$7:P370,"应收"),"")</f>
      </c>
      <c r="R370" s="78">
        <f>IF(P370="应付",COUNTIF(P$7:P370,"应付"),"")</f>
      </c>
      <c r="S370" s="78">
        <f>N(F370)-N(G370)</f>
        <v>0</v>
      </c>
    </row>
    <row r="371">
      <c r="A371" s="109">
        <f>IF(AND(F371="",G371=""),"",ROW()-6)</f>
      </c>
      <c r="B371" s="140" t="n"/>
      <c r="C371" s="141" t="n"/>
      <c r="D371" s="141" t="n"/>
      <c r="E371" s="142" t="n"/>
      <c r="F371" s="143" t="n"/>
      <c r="G371" s="144" t="n"/>
      <c r="H371" s="145">
        <f>IF(OR(C371="",AND(F371="",G371="")),"",SUMIF(基础资料!$W$5:$W$24,C371,基础资料!$X$5:$X$24)+SUMIF(C$7:C371,C371,F$7:F371)-SUMIF(C$7:C371,C371,G$7:G371))</f>
      </c>
      <c r="I371" s="145">
        <f>IF(AND(F371="",G371=""),"",SUM(基础资料!$X$5:$X$24)+SUM(F$7:F371)-SUM(G$7:G371))</f>
      </c>
      <c r="J371" s="141" t="n"/>
      <c r="K371" s="141" t="n"/>
      <c r="L371" s="141" t="n"/>
      <c r="M371" s="142" t="n"/>
      <c r="N371" s="146">
        <f>IF(AND(AND(F371="",G371=""),B371="",C371="",D371="",J371="",K371="",L371=""),"",IF(AND(F371="",G371=""),"✗ 没填金额",IF(AND(N(F371)&lt;&gt;0,N(G371)&lt;&gt;0),"✗ 收入、支出只能填一边",IF(NOT(ISNUMBER(B371)),"✗ 日期不是真日期（要像 2026/9/25 这样填）",IF(OR(B371&lt;年初日,B371&gt;年末日),"✗ 日期不在本会计年度",IF(C371="","✗ 没选账户",IF(COUNTIF(基础资料!$W$5:$W$24,C371)=0,"✗ 账户不在基础资料里",IF(O371="","✗ 没选收支项目",IF(P371="未知","✗ 收支项目不在基础资料里",IF(AND(P371="应收",J371=""),"✗ 这笔要选客户",IF(AND(P371="应收",COUNTIF(总览汇总!$B$5:$B$304,J371)=0),"✗ 客户不在总览汇总名单里",IF(AND(P371="应付",K371=""),"✗ 这笔要选供应商",IF(AND(P371="应付",COUNTIF(基础资料!$Q$5:$Q$54,K371)=0),"✗ 供应商不在基础资料里",IF(AND(P371="费用",L371=""),"✗ 费用支出要选费用项目",IF(AND(L371&lt;&gt;"",COUNTIF(基础资料!$AI$5:$AI$54,L371)=0),"✗ 费用项目不在基础资料里",IF(AND(IFERROR(INDEX(基础资料!$AD$5:$AD$34,MATCH(O371,基础资料!$AC$5:$AC$34,0)),"")="收",N(G371)&lt;&gt;0),"✗ 这类是收款，金额填到收入列",IF(AND(IFERROR(INDEX(基础资料!$AD$5:$AD$34,MATCH(O371,基础资料!$AC$5:$AC$34,0)),"")="支",N(F371)&lt;&gt;0),"✗ 这类是付款，金额填到支出列",IF(N(H371)&lt;0,"⚠ 账户余额成负数了，核对一下","√"))))))))))))))))))</f>
      </c>
      <c r="O371" s="78">
        <f>IF(D371&lt;&gt;"",D371,IF(AND(F371="",G371=""),"",IF(J371&lt;&gt;"",IF(N(F371)&gt;0,"客户回款","客户退款"),IF(K371&lt;&gt;"",IF(N(G371)&gt;0,"供应商付款","供应商退款"),IF(L371&lt;&gt;"","费用支出","")))))</f>
      </c>
      <c r="P371" s="78">
        <f>IF(O371="","",IFERROR(INDEX(基础资料!$AE$5:$AE$34,MATCH(O371,基础资料!$AC$5:$AC$34,0)),"未知"))</f>
      </c>
      <c r="Q371" s="78">
        <f>IF(P371="应收",COUNTIF(P$7:P371,"应收"),"")</f>
      </c>
      <c r="R371" s="78">
        <f>IF(P371="应付",COUNTIF(P$7:P371,"应付"),"")</f>
      </c>
      <c r="S371" s="78">
        <f>N(F371)-N(G371)</f>
        <v>0</v>
      </c>
    </row>
    <row r="372">
      <c r="A372" s="109">
        <f>IF(AND(F372="",G372=""),"",ROW()-6)</f>
      </c>
      <c r="B372" s="140" t="n"/>
      <c r="C372" s="141" t="n"/>
      <c r="D372" s="141" t="n"/>
      <c r="E372" s="142" t="n"/>
      <c r="F372" s="143" t="n"/>
      <c r="G372" s="144" t="n"/>
      <c r="H372" s="145">
        <f>IF(OR(C372="",AND(F372="",G372="")),"",SUMIF(基础资料!$W$5:$W$24,C372,基础资料!$X$5:$X$24)+SUMIF(C$7:C372,C372,F$7:F372)-SUMIF(C$7:C372,C372,G$7:G372))</f>
      </c>
      <c r="I372" s="145">
        <f>IF(AND(F372="",G372=""),"",SUM(基础资料!$X$5:$X$24)+SUM(F$7:F372)-SUM(G$7:G372))</f>
      </c>
      <c r="J372" s="141" t="n"/>
      <c r="K372" s="141" t="n"/>
      <c r="L372" s="141" t="n"/>
      <c r="M372" s="142" t="n"/>
      <c r="N372" s="146">
        <f>IF(AND(AND(F372="",G372=""),B372="",C372="",D372="",J372="",K372="",L372=""),"",IF(AND(F372="",G372=""),"✗ 没填金额",IF(AND(N(F372)&lt;&gt;0,N(G372)&lt;&gt;0),"✗ 收入、支出只能填一边",IF(NOT(ISNUMBER(B372)),"✗ 日期不是真日期（要像 2026/9/25 这样填）",IF(OR(B372&lt;年初日,B372&gt;年末日),"✗ 日期不在本会计年度",IF(C372="","✗ 没选账户",IF(COUNTIF(基础资料!$W$5:$W$24,C372)=0,"✗ 账户不在基础资料里",IF(O372="","✗ 没选收支项目",IF(P372="未知","✗ 收支项目不在基础资料里",IF(AND(P372="应收",J372=""),"✗ 这笔要选客户",IF(AND(P372="应收",COUNTIF(总览汇总!$B$5:$B$304,J372)=0),"✗ 客户不在总览汇总名单里",IF(AND(P372="应付",K372=""),"✗ 这笔要选供应商",IF(AND(P372="应付",COUNTIF(基础资料!$Q$5:$Q$54,K372)=0),"✗ 供应商不在基础资料里",IF(AND(P372="费用",L372=""),"✗ 费用支出要选费用项目",IF(AND(L372&lt;&gt;"",COUNTIF(基础资料!$AI$5:$AI$54,L372)=0),"✗ 费用项目不在基础资料里",IF(AND(IFERROR(INDEX(基础资料!$AD$5:$AD$34,MATCH(O372,基础资料!$AC$5:$AC$34,0)),"")="收",N(G372)&lt;&gt;0),"✗ 这类是收款，金额填到收入列",IF(AND(IFERROR(INDEX(基础资料!$AD$5:$AD$34,MATCH(O372,基础资料!$AC$5:$AC$34,0)),"")="支",N(F372)&lt;&gt;0),"✗ 这类是付款，金额填到支出列",IF(N(H372)&lt;0,"⚠ 账户余额成负数了，核对一下","√"))))))))))))))))))</f>
      </c>
      <c r="O372" s="78">
        <f>IF(D372&lt;&gt;"",D372,IF(AND(F372="",G372=""),"",IF(J372&lt;&gt;"",IF(N(F372)&gt;0,"客户回款","客户退款"),IF(K372&lt;&gt;"",IF(N(G372)&gt;0,"供应商付款","供应商退款"),IF(L372&lt;&gt;"","费用支出","")))))</f>
      </c>
      <c r="P372" s="78">
        <f>IF(O372="","",IFERROR(INDEX(基础资料!$AE$5:$AE$34,MATCH(O372,基础资料!$AC$5:$AC$34,0)),"未知"))</f>
      </c>
      <c r="Q372" s="78">
        <f>IF(P372="应收",COUNTIF(P$7:P372,"应收"),"")</f>
      </c>
      <c r="R372" s="78">
        <f>IF(P372="应付",COUNTIF(P$7:P372,"应付"),"")</f>
      </c>
      <c r="S372" s="78">
        <f>N(F372)-N(G372)</f>
        <v>0</v>
      </c>
    </row>
    <row r="373">
      <c r="A373" s="109">
        <f>IF(AND(F373="",G373=""),"",ROW()-6)</f>
      </c>
      <c r="B373" s="140" t="n"/>
      <c r="C373" s="141" t="n"/>
      <c r="D373" s="141" t="n"/>
      <c r="E373" s="142" t="n"/>
      <c r="F373" s="143" t="n"/>
      <c r="G373" s="144" t="n"/>
      <c r="H373" s="145">
        <f>IF(OR(C373="",AND(F373="",G373="")),"",SUMIF(基础资料!$W$5:$W$24,C373,基础资料!$X$5:$X$24)+SUMIF(C$7:C373,C373,F$7:F373)-SUMIF(C$7:C373,C373,G$7:G373))</f>
      </c>
      <c r="I373" s="145">
        <f>IF(AND(F373="",G373=""),"",SUM(基础资料!$X$5:$X$24)+SUM(F$7:F373)-SUM(G$7:G373))</f>
      </c>
      <c r="J373" s="141" t="n"/>
      <c r="K373" s="141" t="n"/>
      <c r="L373" s="141" t="n"/>
      <c r="M373" s="142" t="n"/>
      <c r="N373" s="146">
        <f>IF(AND(AND(F373="",G373=""),B373="",C373="",D373="",J373="",K373="",L373=""),"",IF(AND(F373="",G373=""),"✗ 没填金额",IF(AND(N(F373)&lt;&gt;0,N(G373)&lt;&gt;0),"✗ 收入、支出只能填一边",IF(NOT(ISNUMBER(B373)),"✗ 日期不是真日期（要像 2026/9/25 这样填）",IF(OR(B373&lt;年初日,B373&gt;年末日),"✗ 日期不在本会计年度",IF(C373="","✗ 没选账户",IF(COUNTIF(基础资料!$W$5:$W$24,C373)=0,"✗ 账户不在基础资料里",IF(O373="","✗ 没选收支项目",IF(P373="未知","✗ 收支项目不在基础资料里",IF(AND(P373="应收",J373=""),"✗ 这笔要选客户",IF(AND(P373="应收",COUNTIF(总览汇总!$B$5:$B$304,J373)=0),"✗ 客户不在总览汇总名单里",IF(AND(P373="应付",K373=""),"✗ 这笔要选供应商",IF(AND(P373="应付",COUNTIF(基础资料!$Q$5:$Q$54,K373)=0),"✗ 供应商不在基础资料里",IF(AND(P373="费用",L373=""),"✗ 费用支出要选费用项目",IF(AND(L373&lt;&gt;"",COUNTIF(基础资料!$AI$5:$AI$54,L373)=0),"✗ 费用项目不在基础资料里",IF(AND(IFERROR(INDEX(基础资料!$AD$5:$AD$34,MATCH(O373,基础资料!$AC$5:$AC$34,0)),"")="收",N(G373)&lt;&gt;0),"✗ 这类是收款，金额填到收入列",IF(AND(IFERROR(INDEX(基础资料!$AD$5:$AD$34,MATCH(O373,基础资料!$AC$5:$AC$34,0)),"")="支",N(F373)&lt;&gt;0),"✗ 这类是付款，金额填到支出列",IF(N(H373)&lt;0,"⚠ 账户余额成负数了，核对一下","√"))))))))))))))))))</f>
      </c>
      <c r="O373" s="78">
        <f>IF(D373&lt;&gt;"",D373,IF(AND(F373="",G373=""),"",IF(J373&lt;&gt;"",IF(N(F373)&gt;0,"客户回款","客户退款"),IF(K373&lt;&gt;"",IF(N(G373)&gt;0,"供应商付款","供应商退款"),IF(L373&lt;&gt;"","费用支出","")))))</f>
      </c>
      <c r="P373" s="78">
        <f>IF(O373="","",IFERROR(INDEX(基础资料!$AE$5:$AE$34,MATCH(O373,基础资料!$AC$5:$AC$34,0)),"未知"))</f>
      </c>
      <c r="Q373" s="78">
        <f>IF(P373="应收",COUNTIF(P$7:P373,"应收"),"")</f>
      </c>
      <c r="R373" s="78">
        <f>IF(P373="应付",COUNTIF(P$7:P373,"应付"),"")</f>
      </c>
      <c r="S373" s="78">
        <f>N(F373)-N(G373)</f>
        <v>0</v>
      </c>
    </row>
    <row r="374">
      <c r="A374" s="109">
        <f>IF(AND(F374="",G374=""),"",ROW()-6)</f>
      </c>
      <c r="B374" s="140" t="n"/>
      <c r="C374" s="141" t="n"/>
      <c r="D374" s="141" t="n"/>
      <c r="E374" s="142" t="n"/>
      <c r="F374" s="143" t="n"/>
      <c r="G374" s="144" t="n"/>
      <c r="H374" s="145">
        <f>IF(OR(C374="",AND(F374="",G374="")),"",SUMIF(基础资料!$W$5:$W$24,C374,基础资料!$X$5:$X$24)+SUMIF(C$7:C374,C374,F$7:F374)-SUMIF(C$7:C374,C374,G$7:G374))</f>
      </c>
      <c r="I374" s="145">
        <f>IF(AND(F374="",G374=""),"",SUM(基础资料!$X$5:$X$24)+SUM(F$7:F374)-SUM(G$7:G374))</f>
      </c>
      <c r="J374" s="141" t="n"/>
      <c r="K374" s="141" t="n"/>
      <c r="L374" s="141" t="n"/>
      <c r="M374" s="142" t="n"/>
      <c r="N374" s="146">
        <f>IF(AND(AND(F374="",G374=""),B374="",C374="",D374="",J374="",K374="",L374=""),"",IF(AND(F374="",G374=""),"✗ 没填金额",IF(AND(N(F374)&lt;&gt;0,N(G374)&lt;&gt;0),"✗ 收入、支出只能填一边",IF(NOT(ISNUMBER(B374)),"✗ 日期不是真日期（要像 2026/9/25 这样填）",IF(OR(B374&lt;年初日,B374&gt;年末日),"✗ 日期不在本会计年度",IF(C374="","✗ 没选账户",IF(COUNTIF(基础资料!$W$5:$W$24,C374)=0,"✗ 账户不在基础资料里",IF(O374="","✗ 没选收支项目",IF(P374="未知","✗ 收支项目不在基础资料里",IF(AND(P374="应收",J374=""),"✗ 这笔要选客户",IF(AND(P374="应收",COUNTIF(总览汇总!$B$5:$B$304,J374)=0),"✗ 客户不在总览汇总名单里",IF(AND(P374="应付",K374=""),"✗ 这笔要选供应商",IF(AND(P374="应付",COUNTIF(基础资料!$Q$5:$Q$54,K374)=0),"✗ 供应商不在基础资料里",IF(AND(P374="费用",L374=""),"✗ 费用支出要选费用项目",IF(AND(L374&lt;&gt;"",COUNTIF(基础资料!$AI$5:$AI$54,L374)=0),"✗ 费用项目不在基础资料里",IF(AND(IFERROR(INDEX(基础资料!$AD$5:$AD$34,MATCH(O374,基础资料!$AC$5:$AC$34,0)),"")="收",N(G374)&lt;&gt;0),"✗ 这类是收款，金额填到收入列",IF(AND(IFERROR(INDEX(基础资料!$AD$5:$AD$34,MATCH(O374,基础资料!$AC$5:$AC$34,0)),"")="支",N(F374)&lt;&gt;0),"✗ 这类是付款，金额填到支出列",IF(N(H374)&lt;0,"⚠ 账户余额成负数了，核对一下","√"))))))))))))))))))</f>
      </c>
      <c r="O374" s="78">
        <f>IF(D374&lt;&gt;"",D374,IF(AND(F374="",G374=""),"",IF(J374&lt;&gt;"",IF(N(F374)&gt;0,"客户回款","客户退款"),IF(K374&lt;&gt;"",IF(N(G374)&gt;0,"供应商付款","供应商退款"),IF(L374&lt;&gt;"","费用支出","")))))</f>
      </c>
      <c r="P374" s="78">
        <f>IF(O374="","",IFERROR(INDEX(基础资料!$AE$5:$AE$34,MATCH(O374,基础资料!$AC$5:$AC$34,0)),"未知"))</f>
      </c>
      <c r="Q374" s="78">
        <f>IF(P374="应收",COUNTIF(P$7:P374,"应收"),"")</f>
      </c>
      <c r="R374" s="78">
        <f>IF(P374="应付",COUNTIF(P$7:P374,"应付"),"")</f>
      </c>
      <c r="S374" s="78">
        <f>N(F374)-N(G374)</f>
        <v>0</v>
      </c>
    </row>
    <row r="375">
      <c r="A375" s="109">
        <f>IF(AND(F375="",G375=""),"",ROW()-6)</f>
      </c>
      <c r="B375" s="140" t="n"/>
      <c r="C375" s="141" t="n"/>
      <c r="D375" s="141" t="n"/>
      <c r="E375" s="142" t="n"/>
      <c r="F375" s="143" t="n"/>
      <c r="G375" s="144" t="n"/>
      <c r="H375" s="145">
        <f>IF(OR(C375="",AND(F375="",G375="")),"",SUMIF(基础资料!$W$5:$W$24,C375,基础资料!$X$5:$X$24)+SUMIF(C$7:C375,C375,F$7:F375)-SUMIF(C$7:C375,C375,G$7:G375))</f>
      </c>
      <c r="I375" s="145">
        <f>IF(AND(F375="",G375=""),"",SUM(基础资料!$X$5:$X$24)+SUM(F$7:F375)-SUM(G$7:G375))</f>
      </c>
      <c r="J375" s="141" t="n"/>
      <c r="K375" s="141" t="n"/>
      <c r="L375" s="141" t="n"/>
      <c r="M375" s="142" t="n"/>
      <c r="N375" s="146">
        <f>IF(AND(AND(F375="",G375=""),B375="",C375="",D375="",J375="",K375="",L375=""),"",IF(AND(F375="",G375=""),"✗ 没填金额",IF(AND(N(F375)&lt;&gt;0,N(G375)&lt;&gt;0),"✗ 收入、支出只能填一边",IF(NOT(ISNUMBER(B375)),"✗ 日期不是真日期（要像 2026/9/25 这样填）",IF(OR(B375&lt;年初日,B375&gt;年末日),"✗ 日期不在本会计年度",IF(C375="","✗ 没选账户",IF(COUNTIF(基础资料!$W$5:$W$24,C375)=0,"✗ 账户不在基础资料里",IF(O375="","✗ 没选收支项目",IF(P375="未知","✗ 收支项目不在基础资料里",IF(AND(P375="应收",J375=""),"✗ 这笔要选客户",IF(AND(P375="应收",COUNTIF(总览汇总!$B$5:$B$304,J375)=0),"✗ 客户不在总览汇总名单里",IF(AND(P375="应付",K375=""),"✗ 这笔要选供应商",IF(AND(P375="应付",COUNTIF(基础资料!$Q$5:$Q$54,K375)=0),"✗ 供应商不在基础资料里",IF(AND(P375="费用",L375=""),"✗ 费用支出要选费用项目",IF(AND(L375&lt;&gt;"",COUNTIF(基础资料!$AI$5:$AI$54,L375)=0),"✗ 费用项目不在基础资料里",IF(AND(IFERROR(INDEX(基础资料!$AD$5:$AD$34,MATCH(O375,基础资料!$AC$5:$AC$34,0)),"")="收",N(G375)&lt;&gt;0),"✗ 这类是收款，金额填到收入列",IF(AND(IFERROR(INDEX(基础资料!$AD$5:$AD$34,MATCH(O375,基础资料!$AC$5:$AC$34,0)),"")="支",N(F375)&lt;&gt;0),"✗ 这类是付款，金额填到支出列",IF(N(H375)&lt;0,"⚠ 账户余额成负数了，核对一下","√"))))))))))))))))))</f>
      </c>
      <c r="O375" s="78">
        <f>IF(D375&lt;&gt;"",D375,IF(AND(F375="",G375=""),"",IF(J375&lt;&gt;"",IF(N(F375)&gt;0,"客户回款","客户退款"),IF(K375&lt;&gt;"",IF(N(G375)&gt;0,"供应商付款","供应商退款"),IF(L375&lt;&gt;"","费用支出","")))))</f>
      </c>
      <c r="P375" s="78">
        <f>IF(O375="","",IFERROR(INDEX(基础资料!$AE$5:$AE$34,MATCH(O375,基础资料!$AC$5:$AC$34,0)),"未知"))</f>
      </c>
      <c r="Q375" s="78">
        <f>IF(P375="应收",COUNTIF(P$7:P375,"应收"),"")</f>
      </c>
      <c r="R375" s="78">
        <f>IF(P375="应付",COUNTIF(P$7:P375,"应付"),"")</f>
      </c>
      <c r="S375" s="78">
        <f>N(F375)-N(G375)</f>
        <v>0</v>
      </c>
    </row>
    <row r="376">
      <c r="A376" s="109">
        <f>IF(AND(F376="",G376=""),"",ROW()-6)</f>
      </c>
      <c r="B376" s="140" t="n"/>
      <c r="C376" s="141" t="n"/>
      <c r="D376" s="141" t="n"/>
      <c r="E376" s="142" t="n"/>
      <c r="F376" s="143" t="n"/>
      <c r="G376" s="144" t="n"/>
      <c r="H376" s="145">
        <f>IF(OR(C376="",AND(F376="",G376="")),"",SUMIF(基础资料!$W$5:$W$24,C376,基础资料!$X$5:$X$24)+SUMIF(C$7:C376,C376,F$7:F376)-SUMIF(C$7:C376,C376,G$7:G376))</f>
      </c>
      <c r="I376" s="145">
        <f>IF(AND(F376="",G376=""),"",SUM(基础资料!$X$5:$X$24)+SUM(F$7:F376)-SUM(G$7:G376))</f>
      </c>
      <c r="J376" s="141" t="n"/>
      <c r="K376" s="141" t="n"/>
      <c r="L376" s="141" t="n"/>
      <c r="M376" s="142" t="n"/>
      <c r="N376" s="146">
        <f>IF(AND(AND(F376="",G376=""),B376="",C376="",D376="",J376="",K376="",L376=""),"",IF(AND(F376="",G376=""),"✗ 没填金额",IF(AND(N(F376)&lt;&gt;0,N(G376)&lt;&gt;0),"✗ 收入、支出只能填一边",IF(NOT(ISNUMBER(B376)),"✗ 日期不是真日期（要像 2026/9/25 这样填）",IF(OR(B376&lt;年初日,B376&gt;年末日),"✗ 日期不在本会计年度",IF(C376="","✗ 没选账户",IF(COUNTIF(基础资料!$W$5:$W$24,C376)=0,"✗ 账户不在基础资料里",IF(O376="","✗ 没选收支项目",IF(P376="未知","✗ 收支项目不在基础资料里",IF(AND(P376="应收",J376=""),"✗ 这笔要选客户",IF(AND(P376="应收",COUNTIF(总览汇总!$B$5:$B$304,J376)=0),"✗ 客户不在总览汇总名单里",IF(AND(P376="应付",K376=""),"✗ 这笔要选供应商",IF(AND(P376="应付",COUNTIF(基础资料!$Q$5:$Q$54,K376)=0),"✗ 供应商不在基础资料里",IF(AND(P376="费用",L376=""),"✗ 费用支出要选费用项目",IF(AND(L376&lt;&gt;"",COUNTIF(基础资料!$AI$5:$AI$54,L376)=0),"✗ 费用项目不在基础资料里",IF(AND(IFERROR(INDEX(基础资料!$AD$5:$AD$34,MATCH(O376,基础资料!$AC$5:$AC$34,0)),"")="收",N(G376)&lt;&gt;0),"✗ 这类是收款，金额填到收入列",IF(AND(IFERROR(INDEX(基础资料!$AD$5:$AD$34,MATCH(O376,基础资料!$AC$5:$AC$34,0)),"")="支",N(F376)&lt;&gt;0),"✗ 这类是付款，金额填到支出列",IF(N(H376)&lt;0,"⚠ 账户余额成负数了，核对一下","√"))))))))))))))))))</f>
      </c>
      <c r="O376" s="78">
        <f>IF(D376&lt;&gt;"",D376,IF(AND(F376="",G376=""),"",IF(J376&lt;&gt;"",IF(N(F376)&gt;0,"客户回款","客户退款"),IF(K376&lt;&gt;"",IF(N(G376)&gt;0,"供应商付款","供应商退款"),IF(L376&lt;&gt;"","费用支出","")))))</f>
      </c>
      <c r="P376" s="78">
        <f>IF(O376="","",IFERROR(INDEX(基础资料!$AE$5:$AE$34,MATCH(O376,基础资料!$AC$5:$AC$34,0)),"未知"))</f>
      </c>
      <c r="Q376" s="78">
        <f>IF(P376="应收",COUNTIF(P$7:P376,"应收"),"")</f>
      </c>
      <c r="R376" s="78">
        <f>IF(P376="应付",COUNTIF(P$7:P376,"应付"),"")</f>
      </c>
      <c r="S376" s="78">
        <f>N(F376)-N(G376)</f>
        <v>0</v>
      </c>
    </row>
    <row r="377">
      <c r="A377" s="109">
        <f>IF(AND(F377="",G377=""),"",ROW()-6)</f>
      </c>
      <c r="B377" s="140" t="n"/>
      <c r="C377" s="141" t="n"/>
      <c r="D377" s="141" t="n"/>
      <c r="E377" s="142" t="n"/>
      <c r="F377" s="143" t="n"/>
      <c r="G377" s="144" t="n"/>
      <c r="H377" s="145">
        <f>IF(OR(C377="",AND(F377="",G377="")),"",SUMIF(基础资料!$W$5:$W$24,C377,基础资料!$X$5:$X$24)+SUMIF(C$7:C377,C377,F$7:F377)-SUMIF(C$7:C377,C377,G$7:G377))</f>
      </c>
      <c r="I377" s="145">
        <f>IF(AND(F377="",G377=""),"",SUM(基础资料!$X$5:$X$24)+SUM(F$7:F377)-SUM(G$7:G377))</f>
      </c>
      <c r="J377" s="141" t="n"/>
      <c r="K377" s="141" t="n"/>
      <c r="L377" s="141" t="n"/>
      <c r="M377" s="142" t="n"/>
      <c r="N377" s="146">
        <f>IF(AND(AND(F377="",G377=""),B377="",C377="",D377="",J377="",K377="",L377=""),"",IF(AND(F377="",G377=""),"✗ 没填金额",IF(AND(N(F377)&lt;&gt;0,N(G377)&lt;&gt;0),"✗ 收入、支出只能填一边",IF(NOT(ISNUMBER(B377)),"✗ 日期不是真日期（要像 2026/9/25 这样填）",IF(OR(B377&lt;年初日,B377&gt;年末日),"✗ 日期不在本会计年度",IF(C377="","✗ 没选账户",IF(COUNTIF(基础资料!$W$5:$W$24,C377)=0,"✗ 账户不在基础资料里",IF(O377="","✗ 没选收支项目",IF(P377="未知","✗ 收支项目不在基础资料里",IF(AND(P377="应收",J377=""),"✗ 这笔要选客户",IF(AND(P377="应收",COUNTIF(总览汇总!$B$5:$B$304,J377)=0),"✗ 客户不在总览汇总名单里",IF(AND(P377="应付",K377=""),"✗ 这笔要选供应商",IF(AND(P377="应付",COUNTIF(基础资料!$Q$5:$Q$54,K377)=0),"✗ 供应商不在基础资料里",IF(AND(P377="费用",L377=""),"✗ 费用支出要选费用项目",IF(AND(L377&lt;&gt;"",COUNTIF(基础资料!$AI$5:$AI$54,L377)=0),"✗ 费用项目不在基础资料里",IF(AND(IFERROR(INDEX(基础资料!$AD$5:$AD$34,MATCH(O377,基础资料!$AC$5:$AC$34,0)),"")="收",N(G377)&lt;&gt;0),"✗ 这类是收款，金额填到收入列",IF(AND(IFERROR(INDEX(基础资料!$AD$5:$AD$34,MATCH(O377,基础资料!$AC$5:$AC$34,0)),"")="支",N(F377)&lt;&gt;0),"✗ 这类是付款，金额填到支出列",IF(N(H377)&lt;0,"⚠ 账户余额成负数了，核对一下","√"))))))))))))))))))</f>
      </c>
      <c r="O377" s="78">
        <f>IF(D377&lt;&gt;"",D377,IF(AND(F377="",G377=""),"",IF(J377&lt;&gt;"",IF(N(F377)&gt;0,"客户回款","客户退款"),IF(K377&lt;&gt;"",IF(N(G377)&gt;0,"供应商付款","供应商退款"),IF(L377&lt;&gt;"","费用支出","")))))</f>
      </c>
      <c r="P377" s="78">
        <f>IF(O377="","",IFERROR(INDEX(基础资料!$AE$5:$AE$34,MATCH(O377,基础资料!$AC$5:$AC$34,0)),"未知"))</f>
      </c>
      <c r="Q377" s="78">
        <f>IF(P377="应收",COUNTIF(P$7:P377,"应收"),"")</f>
      </c>
      <c r="R377" s="78">
        <f>IF(P377="应付",COUNTIF(P$7:P377,"应付"),"")</f>
      </c>
      <c r="S377" s="78">
        <f>N(F377)-N(G377)</f>
        <v>0</v>
      </c>
    </row>
    <row r="378">
      <c r="A378" s="109">
        <f>IF(AND(F378="",G378=""),"",ROW()-6)</f>
      </c>
      <c r="B378" s="140" t="n"/>
      <c r="C378" s="141" t="n"/>
      <c r="D378" s="141" t="n"/>
      <c r="E378" s="142" t="n"/>
      <c r="F378" s="143" t="n"/>
      <c r="G378" s="144" t="n"/>
      <c r="H378" s="145">
        <f>IF(OR(C378="",AND(F378="",G378="")),"",SUMIF(基础资料!$W$5:$W$24,C378,基础资料!$X$5:$X$24)+SUMIF(C$7:C378,C378,F$7:F378)-SUMIF(C$7:C378,C378,G$7:G378))</f>
      </c>
      <c r="I378" s="145">
        <f>IF(AND(F378="",G378=""),"",SUM(基础资料!$X$5:$X$24)+SUM(F$7:F378)-SUM(G$7:G378))</f>
      </c>
      <c r="J378" s="141" t="n"/>
      <c r="K378" s="141" t="n"/>
      <c r="L378" s="141" t="n"/>
      <c r="M378" s="142" t="n"/>
      <c r="N378" s="146">
        <f>IF(AND(AND(F378="",G378=""),B378="",C378="",D378="",J378="",K378="",L378=""),"",IF(AND(F378="",G378=""),"✗ 没填金额",IF(AND(N(F378)&lt;&gt;0,N(G378)&lt;&gt;0),"✗ 收入、支出只能填一边",IF(NOT(ISNUMBER(B378)),"✗ 日期不是真日期（要像 2026/9/25 这样填）",IF(OR(B378&lt;年初日,B378&gt;年末日),"✗ 日期不在本会计年度",IF(C378="","✗ 没选账户",IF(COUNTIF(基础资料!$W$5:$W$24,C378)=0,"✗ 账户不在基础资料里",IF(O378="","✗ 没选收支项目",IF(P378="未知","✗ 收支项目不在基础资料里",IF(AND(P378="应收",J378=""),"✗ 这笔要选客户",IF(AND(P378="应收",COUNTIF(总览汇总!$B$5:$B$304,J378)=0),"✗ 客户不在总览汇总名单里",IF(AND(P378="应付",K378=""),"✗ 这笔要选供应商",IF(AND(P378="应付",COUNTIF(基础资料!$Q$5:$Q$54,K378)=0),"✗ 供应商不在基础资料里",IF(AND(P378="费用",L378=""),"✗ 费用支出要选费用项目",IF(AND(L378&lt;&gt;"",COUNTIF(基础资料!$AI$5:$AI$54,L378)=0),"✗ 费用项目不在基础资料里",IF(AND(IFERROR(INDEX(基础资料!$AD$5:$AD$34,MATCH(O378,基础资料!$AC$5:$AC$34,0)),"")="收",N(G378)&lt;&gt;0),"✗ 这类是收款，金额填到收入列",IF(AND(IFERROR(INDEX(基础资料!$AD$5:$AD$34,MATCH(O378,基础资料!$AC$5:$AC$34,0)),"")="支",N(F378)&lt;&gt;0),"✗ 这类是付款，金额填到支出列",IF(N(H378)&lt;0,"⚠ 账户余额成负数了，核对一下","√"))))))))))))))))))</f>
      </c>
      <c r="O378" s="78">
        <f>IF(D378&lt;&gt;"",D378,IF(AND(F378="",G378=""),"",IF(J378&lt;&gt;"",IF(N(F378)&gt;0,"客户回款","客户退款"),IF(K378&lt;&gt;"",IF(N(G378)&gt;0,"供应商付款","供应商退款"),IF(L378&lt;&gt;"","费用支出","")))))</f>
      </c>
      <c r="P378" s="78">
        <f>IF(O378="","",IFERROR(INDEX(基础资料!$AE$5:$AE$34,MATCH(O378,基础资料!$AC$5:$AC$34,0)),"未知"))</f>
      </c>
      <c r="Q378" s="78">
        <f>IF(P378="应收",COUNTIF(P$7:P378,"应收"),"")</f>
      </c>
      <c r="R378" s="78">
        <f>IF(P378="应付",COUNTIF(P$7:P378,"应付"),"")</f>
      </c>
      <c r="S378" s="78">
        <f>N(F378)-N(G378)</f>
        <v>0</v>
      </c>
    </row>
    <row r="379">
      <c r="A379" s="109">
        <f>IF(AND(F379="",G379=""),"",ROW()-6)</f>
      </c>
      <c r="B379" s="140" t="n"/>
      <c r="C379" s="141" t="n"/>
      <c r="D379" s="141" t="n"/>
      <c r="E379" s="142" t="n"/>
      <c r="F379" s="143" t="n"/>
      <c r="G379" s="144" t="n"/>
      <c r="H379" s="145">
        <f>IF(OR(C379="",AND(F379="",G379="")),"",SUMIF(基础资料!$W$5:$W$24,C379,基础资料!$X$5:$X$24)+SUMIF(C$7:C379,C379,F$7:F379)-SUMIF(C$7:C379,C379,G$7:G379))</f>
      </c>
      <c r="I379" s="145">
        <f>IF(AND(F379="",G379=""),"",SUM(基础资料!$X$5:$X$24)+SUM(F$7:F379)-SUM(G$7:G379))</f>
      </c>
      <c r="J379" s="141" t="n"/>
      <c r="K379" s="141" t="n"/>
      <c r="L379" s="141" t="n"/>
      <c r="M379" s="142" t="n"/>
      <c r="N379" s="146">
        <f>IF(AND(AND(F379="",G379=""),B379="",C379="",D379="",J379="",K379="",L379=""),"",IF(AND(F379="",G379=""),"✗ 没填金额",IF(AND(N(F379)&lt;&gt;0,N(G379)&lt;&gt;0),"✗ 收入、支出只能填一边",IF(NOT(ISNUMBER(B379)),"✗ 日期不是真日期（要像 2026/9/25 这样填）",IF(OR(B379&lt;年初日,B379&gt;年末日),"✗ 日期不在本会计年度",IF(C379="","✗ 没选账户",IF(COUNTIF(基础资料!$W$5:$W$24,C379)=0,"✗ 账户不在基础资料里",IF(O379="","✗ 没选收支项目",IF(P379="未知","✗ 收支项目不在基础资料里",IF(AND(P379="应收",J379=""),"✗ 这笔要选客户",IF(AND(P379="应收",COUNTIF(总览汇总!$B$5:$B$304,J379)=0),"✗ 客户不在总览汇总名单里",IF(AND(P379="应付",K379=""),"✗ 这笔要选供应商",IF(AND(P379="应付",COUNTIF(基础资料!$Q$5:$Q$54,K379)=0),"✗ 供应商不在基础资料里",IF(AND(P379="费用",L379=""),"✗ 费用支出要选费用项目",IF(AND(L379&lt;&gt;"",COUNTIF(基础资料!$AI$5:$AI$54,L379)=0),"✗ 费用项目不在基础资料里",IF(AND(IFERROR(INDEX(基础资料!$AD$5:$AD$34,MATCH(O379,基础资料!$AC$5:$AC$34,0)),"")="收",N(G379)&lt;&gt;0),"✗ 这类是收款，金额填到收入列",IF(AND(IFERROR(INDEX(基础资料!$AD$5:$AD$34,MATCH(O379,基础资料!$AC$5:$AC$34,0)),"")="支",N(F379)&lt;&gt;0),"✗ 这类是付款，金额填到支出列",IF(N(H379)&lt;0,"⚠ 账户余额成负数了，核对一下","√"))))))))))))))))))</f>
      </c>
      <c r="O379" s="78">
        <f>IF(D379&lt;&gt;"",D379,IF(AND(F379="",G379=""),"",IF(J379&lt;&gt;"",IF(N(F379)&gt;0,"客户回款","客户退款"),IF(K379&lt;&gt;"",IF(N(G379)&gt;0,"供应商付款","供应商退款"),IF(L379&lt;&gt;"","费用支出","")))))</f>
      </c>
      <c r="P379" s="78">
        <f>IF(O379="","",IFERROR(INDEX(基础资料!$AE$5:$AE$34,MATCH(O379,基础资料!$AC$5:$AC$34,0)),"未知"))</f>
      </c>
      <c r="Q379" s="78">
        <f>IF(P379="应收",COUNTIF(P$7:P379,"应收"),"")</f>
      </c>
      <c r="R379" s="78">
        <f>IF(P379="应付",COUNTIF(P$7:P379,"应付"),"")</f>
      </c>
      <c r="S379" s="78">
        <f>N(F379)-N(G379)</f>
        <v>0</v>
      </c>
    </row>
    <row r="380">
      <c r="A380" s="109">
        <f>IF(AND(F380="",G380=""),"",ROW()-6)</f>
      </c>
      <c r="B380" s="140" t="n"/>
      <c r="C380" s="141" t="n"/>
      <c r="D380" s="141" t="n"/>
      <c r="E380" s="142" t="n"/>
      <c r="F380" s="143" t="n"/>
      <c r="G380" s="144" t="n"/>
      <c r="H380" s="145">
        <f>IF(OR(C380="",AND(F380="",G380="")),"",SUMIF(基础资料!$W$5:$W$24,C380,基础资料!$X$5:$X$24)+SUMIF(C$7:C380,C380,F$7:F380)-SUMIF(C$7:C380,C380,G$7:G380))</f>
      </c>
      <c r="I380" s="145">
        <f>IF(AND(F380="",G380=""),"",SUM(基础资料!$X$5:$X$24)+SUM(F$7:F380)-SUM(G$7:G380))</f>
      </c>
      <c r="J380" s="141" t="n"/>
      <c r="K380" s="141" t="n"/>
      <c r="L380" s="141" t="n"/>
      <c r="M380" s="142" t="n"/>
      <c r="N380" s="146">
        <f>IF(AND(AND(F380="",G380=""),B380="",C380="",D380="",J380="",K380="",L380=""),"",IF(AND(F380="",G380=""),"✗ 没填金额",IF(AND(N(F380)&lt;&gt;0,N(G380)&lt;&gt;0),"✗ 收入、支出只能填一边",IF(NOT(ISNUMBER(B380)),"✗ 日期不是真日期（要像 2026/9/25 这样填）",IF(OR(B380&lt;年初日,B380&gt;年末日),"✗ 日期不在本会计年度",IF(C380="","✗ 没选账户",IF(COUNTIF(基础资料!$W$5:$W$24,C380)=0,"✗ 账户不在基础资料里",IF(O380="","✗ 没选收支项目",IF(P380="未知","✗ 收支项目不在基础资料里",IF(AND(P380="应收",J380=""),"✗ 这笔要选客户",IF(AND(P380="应收",COUNTIF(总览汇总!$B$5:$B$304,J380)=0),"✗ 客户不在总览汇总名单里",IF(AND(P380="应付",K380=""),"✗ 这笔要选供应商",IF(AND(P380="应付",COUNTIF(基础资料!$Q$5:$Q$54,K380)=0),"✗ 供应商不在基础资料里",IF(AND(P380="费用",L380=""),"✗ 费用支出要选费用项目",IF(AND(L380&lt;&gt;"",COUNTIF(基础资料!$AI$5:$AI$54,L380)=0),"✗ 费用项目不在基础资料里",IF(AND(IFERROR(INDEX(基础资料!$AD$5:$AD$34,MATCH(O380,基础资料!$AC$5:$AC$34,0)),"")="收",N(G380)&lt;&gt;0),"✗ 这类是收款，金额填到收入列",IF(AND(IFERROR(INDEX(基础资料!$AD$5:$AD$34,MATCH(O380,基础资料!$AC$5:$AC$34,0)),"")="支",N(F380)&lt;&gt;0),"✗ 这类是付款，金额填到支出列",IF(N(H380)&lt;0,"⚠ 账户余额成负数了，核对一下","√"))))))))))))))))))</f>
      </c>
      <c r="O380" s="78">
        <f>IF(D380&lt;&gt;"",D380,IF(AND(F380="",G380=""),"",IF(J380&lt;&gt;"",IF(N(F380)&gt;0,"客户回款","客户退款"),IF(K380&lt;&gt;"",IF(N(G380)&gt;0,"供应商付款","供应商退款"),IF(L380&lt;&gt;"","费用支出","")))))</f>
      </c>
      <c r="P380" s="78">
        <f>IF(O380="","",IFERROR(INDEX(基础资料!$AE$5:$AE$34,MATCH(O380,基础资料!$AC$5:$AC$34,0)),"未知"))</f>
      </c>
      <c r="Q380" s="78">
        <f>IF(P380="应收",COUNTIF(P$7:P380,"应收"),"")</f>
      </c>
      <c r="R380" s="78">
        <f>IF(P380="应付",COUNTIF(P$7:P380,"应付"),"")</f>
      </c>
      <c r="S380" s="78">
        <f>N(F380)-N(G380)</f>
        <v>0</v>
      </c>
    </row>
    <row r="381">
      <c r="A381" s="109">
        <f>IF(AND(F381="",G381=""),"",ROW()-6)</f>
      </c>
      <c r="B381" s="140" t="n"/>
      <c r="C381" s="141" t="n"/>
      <c r="D381" s="141" t="n"/>
      <c r="E381" s="142" t="n"/>
      <c r="F381" s="143" t="n"/>
      <c r="G381" s="144" t="n"/>
      <c r="H381" s="145">
        <f>IF(OR(C381="",AND(F381="",G381="")),"",SUMIF(基础资料!$W$5:$W$24,C381,基础资料!$X$5:$X$24)+SUMIF(C$7:C381,C381,F$7:F381)-SUMIF(C$7:C381,C381,G$7:G381))</f>
      </c>
      <c r="I381" s="145">
        <f>IF(AND(F381="",G381=""),"",SUM(基础资料!$X$5:$X$24)+SUM(F$7:F381)-SUM(G$7:G381))</f>
      </c>
      <c r="J381" s="141" t="n"/>
      <c r="K381" s="141" t="n"/>
      <c r="L381" s="141" t="n"/>
      <c r="M381" s="142" t="n"/>
      <c r="N381" s="146">
        <f>IF(AND(AND(F381="",G381=""),B381="",C381="",D381="",J381="",K381="",L381=""),"",IF(AND(F381="",G381=""),"✗ 没填金额",IF(AND(N(F381)&lt;&gt;0,N(G381)&lt;&gt;0),"✗ 收入、支出只能填一边",IF(NOT(ISNUMBER(B381)),"✗ 日期不是真日期（要像 2026/9/25 这样填）",IF(OR(B381&lt;年初日,B381&gt;年末日),"✗ 日期不在本会计年度",IF(C381="","✗ 没选账户",IF(COUNTIF(基础资料!$W$5:$W$24,C381)=0,"✗ 账户不在基础资料里",IF(O381="","✗ 没选收支项目",IF(P381="未知","✗ 收支项目不在基础资料里",IF(AND(P381="应收",J381=""),"✗ 这笔要选客户",IF(AND(P381="应收",COUNTIF(总览汇总!$B$5:$B$304,J381)=0),"✗ 客户不在总览汇总名单里",IF(AND(P381="应付",K381=""),"✗ 这笔要选供应商",IF(AND(P381="应付",COUNTIF(基础资料!$Q$5:$Q$54,K381)=0),"✗ 供应商不在基础资料里",IF(AND(P381="费用",L381=""),"✗ 费用支出要选费用项目",IF(AND(L381&lt;&gt;"",COUNTIF(基础资料!$AI$5:$AI$54,L381)=0),"✗ 费用项目不在基础资料里",IF(AND(IFERROR(INDEX(基础资料!$AD$5:$AD$34,MATCH(O381,基础资料!$AC$5:$AC$34,0)),"")="收",N(G381)&lt;&gt;0),"✗ 这类是收款，金额填到收入列",IF(AND(IFERROR(INDEX(基础资料!$AD$5:$AD$34,MATCH(O381,基础资料!$AC$5:$AC$34,0)),"")="支",N(F381)&lt;&gt;0),"✗ 这类是付款，金额填到支出列",IF(N(H381)&lt;0,"⚠ 账户余额成负数了，核对一下","√"))))))))))))))))))</f>
      </c>
      <c r="O381" s="78">
        <f>IF(D381&lt;&gt;"",D381,IF(AND(F381="",G381=""),"",IF(J381&lt;&gt;"",IF(N(F381)&gt;0,"客户回款","客户退款"),IF(K381&lt;&gt;"",IF(N(G381)&gt;0,"供应商付款","供应商退款"),IF(L381&lt;&gt;"","费用支出","")))))</f>
      </c>
      <c r="P381" s="78">
        <f>IF(O381="","",IFERROR(INDEX(基础资料!$AE$5:$AE$34,MATCH(O381,基础资料!$AC$5:$AC$34,0)),"未知"))</f>
      </c>
      <c r="Q381" s="78">
        <f>IF(P381="应收",COUNTIF(P$7:P381,"应收"),"")</f>
      </c>
      <c r="R381" s="78">
        <f>IF(P381="应付",COUNTIF(P$7:P381,"应付"),"")</f>
      </c>
      <c r="S381" s="78">
        <f>N(F381)-N(G381)</f>
        <v>0</v>
      </c>
    </row>
    <row r="382">
      <c r="A382" s="109">
        <f>IF(AND(F382="",G382=""),"",ROW()-6)</f>
      </c>
      <c r="B382" s="140" t="n"/>
      <c r="C382" s="141" t="n"/>
      <c r="D382" s="141" t="n"/>
      <c r="E382" s="142" t="n"/>
      <c r="F382" s="143" t="n"/>
      <c r="G382" s="144" t="n"/>
      <c r="H382" s="145">
        <f>IF(OR(C382="",AND(F382="",G382="")),"",SUMIF(基础资料!$W$5:$W$24,C382,基础资料!$X$5:$X$24)+SUMIF(C$7:C382,C382,F$7:F382)-SUMIF(C$7:C382,C382,G$7:G382))</f>
      </c>
      <c r="I382" s="145">
        <f>IF(AND(F382="",G382=""),"",SUM(基础资料!$X$5:$X$24)+SUM(F$7:F382)-SUM(G$7:G382))</f>
      </c>
      <c r="J382" s="141" t="n"/>
      <c r="K382" s="141" t="n"/>
      <c r="L382" s="141" t="n"/>
      <c r="M382" s="142" t="n"/>
      <c r="N382" s="146">
        <f>IF(AND(AND(F382="",G382=""),B382="",C382="",D382="",J382="",K382="",L382=""),"",IF(AND(F382="",G382=""),"✗ 没填金额",IF(AND(N(F382)&lt;&gt;0,N(G382)&lt;&gt;0),"✗ 收入、支出只能填一边",IF(NOT(ISNUMBER(B382)),"✗ 日期不是真日期（要像 2026/9/25 这样填）",IF(OR(B382&lt;年初日,B382&gt;年末日),"✗ 日期不在本会计年度",IF(C382="","✗ 没选账户",IF(COUNTIF(基础资料!$W$5:$W$24,C382)=0,"✗ 账户不在基础资料里",IF(O382="","✗ 没选收支项目",IF(P382="未知","✗ 收支项目不在基础资料里",IF(AND(P382="应收",J382=""),"✗ 这笔要选客户",IF(AND(P382="应收",COUNTIF(总览汇总!$B$5:$B$304,J382)=0),"✗ 客户不在总览汇总名单里",IF(AND(P382="应付",K382=""),"✗ 这笔要选供应商",IF(AND(P382="应付",COUNTIF(基础资料!$Q$5:$Q$54,K382)=0),"✗ 供应商不在基础资料里",IF(AND(P382="费用",L382=""),"✗ 费用支出要选费用项目",IF(AND(L382&lt;&gt;"",COUNTIF(基础资料!$AI$5:$AI$54,L382)=0),"✗ 费用项目不在基础资料里",IF(AND(IFERROR(INDEX(基础资料!$AD$5:$AD$34,MATCH(O382,基础资料!$AC$5:$AC$34,0)),"")="收",N(G382)&lt;&gt;0),"✗ 这类是收款，金额填到收入列",IF(AND(IFERROR(INDEX(基础资料!$AD$5:$AD$34,MATCH(O382,基础资料!$AC$5:$AC$34,0)),"")="支",N(F382)&lt;&gt;0),"✗ 这类是付款，金额填到支出列",IF(N(H382)&lt;0,"⚠ 账户余额成负数了，核对一下","√"))))))))))))))))))</f>
      </c>
      <c r="O382" s="78">
        <f>IF(D382&lt;&gt;"",D382,IF(AND(F382="",G382=""),"",IF(J382&lt;&gt;"",IF(N(F382)&gt;0,"客户回款","客户退款"),IF(K382&lt;&gt;"",IF(N(G382)&gt;0,"供应商付款","供应商退款"),IF(L382&lt;&gt;"","费用支出","")))))</f>
      </c>
      <c r="P382" s="78">
        <f>IF(O382="","",IFERROR(INDEX(基础资料!$AE$5:$AE$34,MATCH(O382,基础资料!$AC$5:$AC$34,0)),"未知"))</f>
      </c>
      <c r="Q382" s="78">
        <f>IF(P382="应收",COUNTIF(P$7:P382,"应收"),"")</f>
      </c>
      <c r="R382" s="78">
        <f>IF(P382="应付",COUNTIF(P$7:P382,"应付"),"")</f>
      </c>
      <c r="S382" s="78">
        <f>N(F382)-N(G382)</f>
        <v>0</v>
      </c>
    </row>
    <row r="383">
      <c r="A383" s="109">
        <f>IF(AND(F383="",G383=""),"",ROW()-6)</f>
      </c>
      <c r="B383" s="140" t="n"/>
      <c r="C383" s="141" t="n"/>
      <c r="D383" s="141" t="n"/>
      <c r="E383" s="142" t="n"/>
      <c r="F383" s="143" t="n"/>
      <c r="G383" s="144" t="n"/>
      <c r="H383" s="145">
        <f>IF(OR(C383="",AND(F383="",G383="")),"",SUMIF(基础资料!$W$5:$W$24,C383,基础资料!$X$5:$X$24)+SUMIF(C$7:C383,C383,F$7:F383)-SUMIF(C$7:C383,C383,G$7:G383))</f>
      </c>
      <c r="I383" s="145">
        <f>IF(AND(F383="",G383=""),"",SUM(基础资料!$X$5:$X$24)+SUM(F$7:F383)-SUM(G$7:G383))</f>
      </c>
      <c r="J383" s="141" t="n"/>
      <c r="K383" s="141" t="n"/>
      <c r="L383" s="141" t="n"/>
      <c r="M383" s="142" t="n"/>
      <c r="N383" s="146">
        <f>IF(AND(AND(F383="",G383=""),B383="",C383="",D383="",J383="",K383="",L383=""),"",IF(AND(F383="",G383=""),"✗ 没填金额",IF(AND(N(F383)&lt;&gt;0,N(G383)&lt;&gt;0),"✗ 收入、支出只能填一边",IF(NOT(ISNUMBER(B383)),"✗ 日期不是真日期（要像 2026/9/25 这样填）",IF(OR(B383&lt;年初日,B383&gt;年末日),"✗ 日期不在本会计年度",IF(C383="","✗ 没选账户",IF(COUNTIF(基础资料!$W$5:$W$24,C383)=0,"✗ 账户不在基础资料里",IF(O383="","✗ 没选收支项目",IF(P383="未知","✗ 收支项目不在基础资料里",IF(AND(P383="应收",J383=""),"✗ 这笔要选客户",IF(AND(P383="应收",COUNTIF(总览汇总!$B$5:$B$304,J383)=0),"✗ 客户不在总览汇总名单里",IF(AND(P383="应付",K383=""),"✗ 这笔要选供应商",IF(AND(P383="应付",COUNTIF(基础资料!$Q$5:$Q$54,K383)=0),"✗ 供应商不在基础资料里",IF(AND(P383="费用",L383=""),"✗ 费用支出要选费用项目",IF(AND(L383&lt;&gt;"",COUNTIF(基础资料!$AI$5:$AI$54,L383)=0),"✗ 费用项目不在基础资料里",IF(AND(IFERROR(INDEX(基础资料!$AD$5:$AD$34,MATCH(O383,基础资料!$AC$5:$AC$34,0)),"")="收",N(G383)&lt;&gt;0),"✗ 这类是收款，金额填到收入列",IF(AND(IFERROR(INDEX(基础资料!$AD$5:$AD$34,MATCH(O383,基础资料!$AC$5:$AC$34,0)),"")="支",N(F383)&lt;&gt;0),"✗ 这类是付款，金额填到支出列",IF(N(H383)&lt;0,"⚠ 账户余额成负数了，核对一下","√"))))))))))))))))))</f>
      </c>
      <c r="O383" s="78">
        <f>IF(D383&lt;&gt;"",D383,IF(AND(F383="",G383=""),"",IF(J383&lt;&gt;"",IF(N(F383)&gt;0,"客户回款","客户退款"),IF(K383&lt;&gt;"",IF(N(G383)&gt;0,"供应商付款","供应商退款"),IF(L383&lt;&gt;"","费用支出","")))))</f>
      </c>
      <c r="P383" s="78">
        <f>IF(O383="","",IFERROR(INDEX(基础资料!$AE$5:$AE$34,MATCH(O383,基础资料!$AC$5:$AC$34,0)),"未知"))</f>
      </c>
      <c r="Q383" s="78">
        <f>IF(P383="应收",COUNTIF(P$7:P383,"应收"),"")</f>
      </c>
      <c r="R383" s="78">
        <f>IF(P383="应付",COUNTIF(P$7:P383,"应付"),"")</f>
      </c>
      <c r="S383" s="78">
        <f>N(F383)-N(G383)</f>
        <v>0</v>
      </c>
    </row>
    <row r="384">
      <c r="A384" s="109">
        <f>IF(AND(F384="",G384=""),"",ROW()-6)</f>
      </c>
      <c r="B384" s="140" t="n"/>
      <c r="C384" s="141" t="n"/>
      <c r="D384" s="141" t="n"/>
      <c r="E384" s="142" t="n"/>
      <c r="F384" s="143" t="n"/>
      <c r="G384" s="144" t="n"/>
      <c r="H384" s="145">
        <f>IF(OR(C384="",AND(F384="",G384="")),"",SUMIF(基础资料!$W$5:$W$24,C384,基础资料!$X$5:$X$24)+SUMIF(C$7:C384,C384,F$7:F384)-SUMIF(C$7:C384,C384,G$7:G384))</f>
      </c>
      <c r="I384" s="145">
        <f>IF(AND(F384="",G384=""),"",SUM(基础资料!$X$5:$X$24)+SUM(F$7:F384)-SUM(G$7:G384))</f>
      </c>
      <c r="J384" s="141" t="n"/>
      <c r="K384" s="141" t="n"/>
      <c r="L384" s="141" t="n"/>
      <c r="M384" s="142" t="n"/>
      <c r="N384" s="146">
        <f>IF(AND(AND(F384="",G384=""),B384="",C384="",D384="",J384="",K384="",L384=""),"",IF(AND(F384="",G384=""),"✗ 没填金额",IF(AND(N(F384)&lt;&gt;0,N(G384)&lt;&gt;0),"✗ 收入、支出只能填一边",IF(NOT(ISNUMBER(B384)),"✗ 日期不是真日期（要像 2026/9/25 这样填）",IF(OR(B384&lt;年初日,B384&gt;年末日),"✗ 日期不在本会计年度",IF(C384="","✗ 没选账户",IF(COUNTIF(基础资料!$W$5:$W$24,C384)=0,"✗ 账户不在基础资料里",IF(O384="","✗ 没选收支项目",IF(P384="未知","✗ 收支项目不在基础资料里",IF(AND(P384="应收",J384=""),"✗ 这笔要选客户",IF(AND(P384="应收",COUNTIF(总览汇总!$B$5:$B$304,J384)=0),"✗ 客户不在总览汇总名单里",IF(AND(P384="应付",K384=""),"✗ 这笔要选供应商",IF(AND(P384="应付",COUNTIF(基础资料!$Q$5:$Q$54,K384)=0),"✗ 供应商不在基础资料里",IF(AND(P384="费用",L384=""),"✗ 费用支出要选费用项目",IF(AND(L384&lt;&gt;"",COUNTIF(基础资料!$AI$5:$AI$54,L384)=0),"✗ 费用项目不在基础资料里",IF(AND(IFERROR(INDEX(基础资料!$AD$5:$AD$34,MATCH(O384,基础资料!$AC$5:$AC$34,0)),"")="收",N(G384)&lt;&gt;0),"✗ 这类是收款，金额填到收入列",IF(AND(IFERROR(INDEX(基础资料!$AD$5:$AD$34,MATCH(O384,基础资料!$AC$5:$AC$34,0)),"")="支",N(F384)&lt;&gt;0),"✗ 这类是付款，金额填到支出列",IF(N(H384)&lt;0,"⚠ 账户余额成负数了，核对一下","√"))))))))))))))))))</f>
      </c>
      <c r="O384" s="78">
        <f>IF(D384&lt;&gt;"",D384,IF(AND(F384="",G384=""),"",IF(J384&lt;&gt;"",IF(N(F384)&gt;0,"客户回款","客户退款"),IF(K384&lt;&gt;"",IF(N(G384)&gt;0,"供应商付款","供应商退款"),IF(L384&lt;&gt;"","费用支出","")))))</f>
      </c>
      <c r="P384" s="78">
        <f>IF(O384="","",IFERROR(INDEX(基础资料!$AE$5:$AE$34,MATCH(O384,基础资料!$AC$5:$AC$34,0)),"未知"))</f>
      </c>
      <c r="Q384" s="78">
        <f>IF(P384="应收",COUNTIF(P$7:P384,"应收"),"")</f>
      </c>
      <c r="R384" s="78">
        <f>IF(P384="应付",COUNTIF(P$7:P384,"应付"),"")</f>
      </c>
      <c r="S384" s="78">
        <f>N(F384)-N(G384)</f>
        <v>0</v>
      </c>
    </row>
    <row r="385">
      <c r="A385" s="109">
        <f>IF(AND(F385="",G385=""),"",ROW()-6)</f>
      </c>
      <c r="B385" s="140" t="n"/>
      <c r="C385" s="141" t="n"/>
      <c r="D385" s="141" t="n"/>
      <c r="E385" s="142" t="n"/>
      <c r="F385" s="143" t="n"/>
      <c r="G385" s="144" t="n"/>
      <c r="H385" s="145">
        <f>IF(OR(C385="",AND(F385="",G385="")),"",SUMIF(基础资料!$W$5:$W$24,C385,基础资料!$X$5:$X$24)+SUMIF(C$7:C385,C385,F$7:F385)-SUMIF(C$7:C385,C385,G$7:G385))</f>
      </c>
      <c r="I385" s="145">
        <f>IF(AND(F385="",G385=""),"",SUM(基础资料!$X$5:$X$24)+SUM(F$7:F385)-SUM(G$7:G385))</f>
      </c>
      <c r="J385" s="141" t="n"/>
      <c r="K385" s="141" t="n"/>
      <c r="L385" s="141" t="n"/>
      <c r="M385" s="142" t="n"/>
      <c r="N385" s="146">
        <f>IF(AND(AND(F385="",G385=""),B385="",C385="",D385="",J385="",K385="",L385=""),"",IF(AND(F385="",G385=""),"✗ 没填金额",IF(AND(N(F385)&lt;&gt;0,N(G385)&lt;&gt;0),"✗ 收入、支出只能填一边",IF(NOT(ISNUMBER(B385)),"✗ 日期不是真日期（要像 2026/9/25 这样填）",IF(OR(B385&lt;年初日,B385&gt;年末日),"✗ 日期不在本会计年度",IF(C385="","✗ 没选账户",IF(COUNTIF(基础资料!$W$5:$W$24,C385)=0,"✗ 账户不在基础资料里",IF(O385="","✗ 没选收支项目",IF(P385="未知","✗ 收支项目不在基础资料里",IF(AND(P385="应收",J385=""),"✗ 这笔要选客户",IF(AND(P385="应收",COUNTIF(总览汇总!$B$5:$B$304,J385)=0),"✗ 客户不在总览汇总名单里",IF(AND(P385="应付",K385=""),"✗ 这笔要选供应商",IF(AND(P385="应付",COUNTIF(基础资料!$Q$5:$Q$54,K385)=0),"✗ 供应商不在基础资料里",IF(AND(P385="费用",L385=""),"✗ 费用支出要选费用项目",IF(AND(L385&lt;&gt;"",COUNTIF(基础资料!$AI$5:$AI$54,L385)=0),"✗ 费用项目不在基础资料里",IF(AND(IFERROR(INDEX(基础资料!$AD$5:$AD$34,MATCH(O385,基础资料!$AC$5:$AC$34,0)),"")="收",N(G385)&lt;&gt;0),"✗ 这类是收款，金额填到收入列",IF(AND(IFERROR(INDEX(基础资料!$AD$5:$AD$34,MATCH(O385,基础资料!$AC$5:$AC$34,0)),"")="支",N(F385)&lt;&gt;0),"✗ 这类是付款，金额填到支出列",IF(N(H385)&lt;0,"⚠ 账户余额成负数了，核对一下","√"))))))))))))))))))</f>
      </c>
      <c r="O385" s="78">
        <f>IF(D385&lt;&gt;"",D385,IF(AND(F385="",G385=""),"",IF(J385&lt;&gt;"",IF(N(F385)&gt;0,"客户回款","客户退款"),IF(K385&lt;&gt;"",IF(N(G385)&gt;0,"供应商付款","供应商退款"),IF(L385&lt;&gt;"","费用支出","")))))</f>
      </c>
      <c r="P385" s="78">
        <f>IF(O385="","",IFERROR(INDEX(基础资料!$AE$5:$AE$34,MATCH(O385,基础资料!$AC$5:$AC$34,0)),"未知"))</f>
      </c>
      <c r="Q385" s="78">
        <f>IF(P385="应收",COUNTIF(P$7:P385,"应收"),"")</f>
      </c>
      <c r="R385" s="78">
        <f>IF(P385="应付",COUNTIF(P$7:P385,"应付"),"")</f>
      </c>
      <c r="S385" s="78">
        <f>N(F385)-N(G385)</f>
        <v>0</v>
      </c>
    </row>
    <row r="386">
      <c r="A386" s="109">
        <f>IF(AND(F386="",G386=""),"",ROW()-6)</f>
      </c>
      <c r="B386" s="140" t="n"/>
      <c r="C386" s="141" t="n"/>
      <c r="D386" s="141" t="n"/>
      <c r="E386" s="142" t="n"/>
      <c r="F386" s="143" t="n"/>
      <c r="G386" s="144" t="n"/>
      <c r="H386" s="145">
        <f>IF(OR(C386="",AND(F386="",G386="")),"",SUMIF(基础资料!$W$5:$W$24,C386,基础资料!$X$5:$X$24)+SUMIF(C$7:C386,C386,F$7:F386)-SUMIF(C$7:C386,C386,G$7:G386))</f>
      </c>
      <c r="I386" s="145">
        <f>IF(AND(F386="",G386=""),"",SUM(基础资料!$X$5:$X$24)+SUM(F$7:F386)-SUM(G$7:G386))</f>
      </c>
      <c r="J386" s="141" t="n"/>
      <c r="K386" s="141" t="n"/>
      <c r="L386" s="141" t="n"/>
      <c r="M386" s="142" t="n"/>
      <c r="N386" s="146">
        <f>IF(AND(AND(F386="",G386=""),B386="",C386="",D386="",J386="",K386="",L386=""),"",IF(AND(F386="",G386=""),"✗ 没填金额",IF(AND(N(F386)&lt;&gt;0,N(G386)&lt;&gt;0),"✗ 收入、支出只能填一边",IF(NOT(ISNUMBER(B386)),"✗ 日期不是真日期（要像 2026/9/25 这样填）",IF(OR(B386&lt;年初日,B386&gt;年末日),"✗ 日期不在本会计年度",IF(C386="","✗ 没选账户",IF(COUNTIF(基础资料!$W$5:$W$24,C386)=0,"✗ 账户不在基础资料里",IF(O386="","✗ 没选收支项目",IF(P386="未知","✗ 收支项目不在基础资料里",IF(AND(P386="应收",J386=""),"✗ 这笔要选客户",IF(AND(P386="应收",COUNTIF(总览汇总!$B$5:$B$304,J386)=0),"✗ 客户不在总览汇总名单里",IF(AND(P386="应付",K386=""),"✗ 这笔要选供应商",IF(AND(P386="应付",COUNTIF(基础资料!$Q$5:$Q$54,K386)=0),"✗ 供应商不在基础资料里",IF(AND(P386="费用",L386=""),"✗ 费用支出要选费用项目",IF(AND(L386&lt;&gt;"",COUNTIF(基础资料!$AI$5:$AI$54,L386)=0),"✗ 费用项目不在基础资料里",IF(AND(IFERROR(INDEX(基础资料!$AD$5:$AD$34,MATCH(O386,基础资料!$AC$5:$AC$34,0)),"")="收",N(G386)&lt;&gt;0),"✗ 这类是收款，金额填到收入列",IF(AND(IFERROR(INDEX(基础资料!$AD$5:$AD$34,MATCH(O386,基础资料!$AC$5:$AC$34,0)),"")="支",N(F386)&lt;&gt;0),"✗ 这类是付款，金额填到支出列",IF(N(H386)&lt;0,"⚠ 账户余额成负数了，核对一下","√"))))))))))))))))))</f>
      </c>
      <c r="O386" s="78">
        <f>IF(D386&lt;&gt;"",D386,IF(AND(F386="",G386=""),"",IF(J386&lt;&gt;"",IF(N(F386)&gt;0,"客户回款","客户退款"),IF(K386&lt;&gt;"",IF(N(G386)&gt;0,"供应商付款","供应商退款"),IF(L386&lt;&gt;"","费用支出","")))))</f>
      </c>
      <c r="P386" s="78">
        <f>IF(O386="","",IFERROR(INDEX(基础资料!$AE$5:$AE$34,MATCH(O386,基础资料!$AC$5:$AC$34,0)),"未知"))</f>
      </c>
      <c r="Q386" s="78">
        <f>IF(P386="应收",COUNTIF(P$7:P386,"应收"),"")</f>
      </c>
      <c r="R386" s="78">
        <f>IF(P386="应付",COUNTIF(P$7:P386,"应付"),"")</f>
      </c>
      <c r="S386" s="78">
        <f>N(F386)-N(G386)</f>
        <v>0</v>
      </c>
    </row>
    <row r="387">
      <c r="A387" s="109">
        <f>IF(AND(F387="",G387=""),"",ROW()-6)</f>
      </c>
      <c r="B387" s="140" t="n"/>
      <c r="C387" s="141" t="n"/>
      <c r="D387" s="141" t="n"/>
      <c r="E387" s="142" t="n"/>
      <c r="F387" s="143" t="n"/>
      <c r="G387" s="144" t="n"/>
      <c r="H387" s="145">
        <f>IF(OR(C387="",AND(F387="",G387="")),"",SUMIF(基础资料!$W$5:$W$24,C387,基础资料!$X$5:$X$24)+SUMIF(C$7:C387,C387,F$7:F387)-SUMIF(C$7:C387,C387,G$7:G387))</f>
      </c>
      <c r="I387" s="145">
        <f>IF(AND(F387="",G387=""),"",SUM(基础资料!$X$5:$X$24)+SUM(F$7:F387)-SUM(G$7:G387))</f>
      </c>
      <c r="J387" s="141" t="n"/>
      <c r="K387" s="141" t="n"/>
      <c r="L387" s="141" t="n"/>
      <c r="M387" s="142" t="n"/>
      <c r="N387" s="146">
        <f>IF(AND(AND(F387="",G387=""),B387="",C387="",D387="",J387="",K387="",L387=""),"",IF(AND(F387="",G387=""),"✗ 没填金额",IF(AND(N(F387)&lt;&gt;0,N(G387)&lt;&gt;0),"✗ 收入、支出只能填一边",IF(NOT(ISNUMBER(B387)),"✗ 日期不是真日期（要像 2026/9/25 这样填）",IF(OR(B387&lt;年初日,B387&gt;年末日),"✗ 日期不在本会计年度",IF(C387="","✗ 没选账户",IF(COUNTIF(基础资料!$W$5:$W$24,C387)=0,"✗ 账户不在基础资料里",IF(O387="","✗ 没选收支项目",IF(P387="未知","✗ 收支项目不在基础资料里",IF(AND(P387="应收",J387=""),"✗ 这笔要选客户",IF(AND(P387="应收",COUNTIF(总览汇总!$B$5:$B$304,J387)=0),"✗ 客户不在总览汇总名单里",IF(AND(P387="应付",K387=""),"✗ 这笔要选供应商",IF(AND(P387="应付",COUNTIF(基础资料!$Q$5:$Q$54,K387)=0),"✗ 供应商不在基础资料里",IF(AND(P387="费用",L387=""),"✗ 费用支出要选费用项目",IF(AND(L387&lt;&gt;"",COUNTIF(基础资料!$AI$5:$AI$54,L387)=0),"✗ 费用项目不在基础资料里",IF(AND(IFERROR(INDEX(基础资料!$AD$5:$AD$34,MATCH(O387,基础资料!$AC$5:$AC$34,0)),"")="收",N(G387)&lt;&gt;0),"✗ 这类是收款，金额填到收入列",IF(AND(IFERROR(INDEX(基础资料!$AD$5:$AD$34,MATCH(O387,基础资料!$AC$5:$AC$34,0)),"")="支",N(F387)&lt;&gt;0),"✗ 这类是付款，金额填到支出列",IF(N(H387)&lt;0,"⚠ 账户余额成负数了，核对一下","√"))))))))))))))))))</f>
      </c>
      <c r="O387" s="78">
        <f>IF(D387&lt;&gt;"",D387,IF(AND(F387="",G387=""),"",IF(J387&lt;&gt;"",IF(N(F387)&gt;0,"客户回款","客户退款"),IF(K387&lt;&gt;"",IF(N(G387)&gt;0,"供应商付款","供应商退款"),IF(L387&lt;&gt;"","费用支出","")))))</f>
      </c>
      <c r="P387" s="78">
        <f>IF(O387="","",IFERROR(INDEX(基础资料!$AE$5:$AE$34,MATCH(O387,基础资料!$AC$5:$AC$34,0)),"未知"))</f>
      </c>
      <c r="Q387" s="78">
        <f>IF(P387="应收",COUNTIF(P$7:P387,"应收"),"")</f>
      </c>
      <c r="R387" s="78">
        <f>IF(P387="应付",COUNTIF(P$7:P387,"应付"),"")</f>
      </c>
      <c r="S387" s="78">
        <f>N(F387)-N(G387)</f>
        <v>0</v>
      </c>
    </row>
    <row r="388">
      <c r="A388" s="109">
        <f>IF(AND(F388="",G388=""),"",ROW()-6)</f>
      </c>
      <c r="B388" s="140" t="n"/>
      <c r="C388" s="141" t="n"/>
      <c r="D388" s="141" t="n"/>
      <c r="E388" s="142" t="n"/>
      <c r="F388" s="143" t="n"/>
      <c r="G388" s="144" t="n"/>
      <c r="H388" s="145">
        <f>IF(OR(C388="",AND(F388="",G388="")),"",SUMIF(基础资料!$W$5:$W$24,C388,基础资料!$X$5:$X$24)+SUMIF(C$7:C388,C388,F$7:F388)-SUMIF(C$7:C388,C388,G$7:G388))</f>
      </c>
      <c r="I388" s="145">
        <f>IF(AND(F388="",G388=""),"",SUM(基础资料!$X$5:$X$24)+SUM(F$7:F388)-SUM(G$7:G388))</f>
      </c>
      <c r="J388" s="141" t="n"/>
      <c r="K388" s="141" t="n"/>
      <c r="L388" s="141" t="n"/>
      <c r="M388" s="142" t="n"/>
      <c r="N388" s="146">
        <f>IF(AND(AND(F388="",G388=""),B388="",C388="",D388="",J388="",K388="",L388=""),"",IF(AND(F388="",G388=""),"✗ 没填金额",IF(AND(N(F388)&lt;&gt;0,N(G388)&lt;&gt;0),"✗ 收入、支出只能填一边",IF(NOT(ISNUMBER(B388)),"✗ 日期不是真日期（要像 2026/9/25 这样填）",IF(OR(B388&lt;年初日,B388&gt;年末日),"✗ 日期不在本会计年度",IF(C388="","✗ 没选账户",IF(COUNTIF(基础资料!$W$5:$W$24,C388)=0,"✗ 账户不在基础资料里",IF(O388="","✗ 没选收支项目",IF(P388="未知","✗ 收支项目不在基础资料里",IF(AND(P388="应收",J388=""),"✗ 这笔要选客户",IF(AND(P388="应收",COUNTIF(总览汇总!$B$5:$B$304,J388)=0),"✗ 客户不在总览汇总名单里",IF(AND(P388="应付",K388=""),"✗ 这笔要选供应商",IF(AND(P388="应付",COUNTIF(基础资料!$Q$5:$Q$54,K388)=0),"✗ 供应商不在基础资料里",IF(AND(P388="费用",L388=""),"✗ 费用支出要选费用项目",IF(AND(L388&lt;&gt;"",COUNTIF(基础资料!$AI$5:$AI$54,L388)=0),"✗ 费用项目不在基础资料里",IF(AND(IFERROR(INDEX(基础资料!$AD$5:$AD$34,MATCH(O388,基础资料!$AC$5:$AC$34,0)),"")="收",N(G388)&lt;&gt;0),"✗ 这类是收款，金额填到收入列",IF(AND(IFERROR(INDEX(基础资料!$AD$5:$AD$34,MATCH(O388,基础资料!$AC$5:$AC$34,0)),"")="支",N(F388)&lt;&gt;0),"✗ 这类是付款，金额填到支出列",IF(N(H388)&lt;0,"⚠ 账户余额成负数了，核对一下","√"))))))))))))))))))</f>
      </c>
      <c r="O388" s="78">
        <f>IF(D388&lt;&gt;"",D388,IF(AND(F388="",G388=""),"",IF(J388&lt;&gt;"",IF(N(F388)&gt;0,"客户回款","客户退款"),IF(K388&lt;&gt;"",IF(N(G388)&gt;0,"供应商付款","供应商退款"),IF(L388&lt;&gt;"","费用支出","")))))</f>
      </c>
      <c r="P388" s="78">
        <f>IF(O388="","",IFERROR(INDEX(基础资料!$AE$5:$AE$34,MATCH(O388,基础资料!$AC$5:$AC$34,0)),"未知"))</f>
      </c>
      <c r="Q388" s="78">
        <f>IF(P388="应收",COUNTIF(P$7:P388,"应收"),"")</f>
      </c>
      <c r="R388" s="78">
        <f>IF(P388="应付",COUNTIF(P$7:P388,"应付"),"")</f>
      </c>
      <c r="S388" s="78">
        <f>N(F388)-N(G388)</f>
        <v>0</v>
      </c>
    </row>
    <row r="389">
      <c r="A389" s="109">
        <f>IF(AND(F389="",G389=""),"",ROW()-6)</f>
      </c>
      <c r="B389" s="140" t="n"/>
      <c r="C389" s="141" t="n"/>
      <c r="D389" s="141" t="n"/>
      <c r="E389" s="142" t="n"/>
      <c r="F389" s="143" t="n"/>
      <c r="G389" s="144" t="n"/>
      <c r="H389" s="145">
        <f>IF(OR(C389="",AND(F389="",G389="")),"",SUMIF(基础资料!$W$5:$W$24,C389,基础资料!$X$5:$X$24)+SUMIF(C$7:C389,C389,F$7:F389)-SUMIF(C$7:C389,C389,G$7:G389))</f>
      </c>
      <c r="I389" s="145">
        <f>IF(AND(F389="",G389=""),"",SUM(基础资料!$X$5:$X$24)+SUM(F$7:F389)-SUM(G$7:G389))</f>
      </c>
      <c r="J389" s="141" t="n"/>
      <c r="K389" s="141" t="n"/>
      <c r="L389" s="141" t="n"/>
      <c r="M389" s="142" t="n"/>
      <c r="N389" s="146">
        <f>IF(AND(AND(F389="",G389=""),B389="",C389="",D389="",J389="",K389="",L389=""),"",IF(AND(F389="",G389=""),"✗ 没填金额",IF(AND(N(F389)&lt;&gt;0,N(G389)&lt;&gt;0),"✗ 收入、支出只能填一边",IF(NOT(ISNUMBER(B389)),"✗ 日期不是真日期（要像 2026/9/25 这样填）",IF(OR(B389&lt;年初日,B389&gt;年末日),"✗ 日期不在本会计年度",IF(C389="","✗ 没选账户",IF(COUNTIF(基础资料!$W$5:$W$24,C389)=0,"✗ 账户不在基础资料里",IF(O389="","✗ 没选收支项目",IF(P389="未知","✗ 收支项目不在基础资料里",IF(AND(P389="应收",J389=""),"✗ 这笔要选客户",IF(AND(P389="应收",COUNTIF(总览汇总!$B$5:$B$304,J389)=0),"✗ 客户不在总览汇总名单里",IF(AND(P389="应付",K389=""),"✗ 这笔要选供应商",IF(AND(P389="应付",COUNTIF(基础资料!$Q$5:$Q$54,K389)=0),"✗ 供应商不在基础资料里",IF(AND(P389="费用",L389=""),"✗ 费用支出要选费用项目",IF(AND(L389&lt;&gt;"",COUNTIF(基础资料!$AI$5:$AI$54,L389)=0),"✗ 费用项目不在基础资料里",IF(AND(IFERROR(INDEX(基础资料!$AD$5:$AD$34,MATCH(O389,基础资料!$AC$5:$AC$34,0)),"")="收",N(G389)&lt;&gt;0),"✗ 这类是收款，金额填到收入列",IF(AND(IFERROR(INDEX(基础资料!$AD$5:$AD$34,MATCH(O389,基础资料!$AC$5:$AC$34,0)),"")="支",N(F389)&lt;&gt;0),"✗ 这类是付款，金额填到支出列",IF(N(H389)&lt;0,"⚠ 账户余额成负数了，核对一下","√"))))))))))))))))))</f>
      </c>
      <c r="O389" s="78">
        <f>IF(D389&lt;&gt;"",D389,IF(AND(F389="",G389=""),"",IF(J389&lt;&gt;"",IF(N(F389)&gt;0,"客户回款","客户退款"),IF(K389&lt;&gt;"",IF(N(G389)&gt;0,"供应商付款","供应商退款"),IF(L389&lt;&gt;"","费用支出","")))))</f>
      </c>
      <c r="P389" s="78">
        <f>IF(O389="","",IFERROR(INDEX(基础资料!$AE$5:$AE$34,MATCH(O389,基础资料!$AC$5:$AC$34,0)),"未知"))</f>
      </c>
      <c r="Q389" s="78">
        <f>IF(P389="应收",COUNTIF(P$7:P389,"应收"),"")</f>
      </c>
      <c r="R389" s="78">
        <f>IF(P389="应付",COUNTIF(P$7:P389,"应付"),"")</f>
      </c>
      <c r="S389" s="78">
        <f>N(F389)-N(G389)</f>
        <v>0</v>
      </c>
    </row>
    <row r="390">
      <c r="A390" s="109">
        <f>IF(AND(F390="",G390=""),"",ROW()-6)</f>
      </c>
      <c r="B390" s="140" t="n"/>
      <c r="C390" s="141" t="n"/>
      <c r="D390" s="141" t="n"/>
      <c r="E390" s="142" t="n"/>
      <c r="F390" s="143" t="n"/>
      <c r="G390" s="144" t="n"/>
      <c r="H390" s="145">
        <f>IF(OR(C390="",AND(F390="",G390="")),"",SUMIF(基础资料!$W$5:$W$24,C390,基础资料!$X$5:$X$24)+SUMIF(C$7:C390,C390,F$7:F390)-SUMIF(C$7:C390,C390,G$7:G390))</f>
      </c>
      <c r="I390" s="145">
        <f>IF(AND(F390="",G390=""),"",SUM(基础资料!$X$5:$X$24)+SUM(F$7:F390)-SUM(G$7:G390))</f>
      </c>
      <c r="J390" s="141" t="n"/>
      <c r="K390" s="141" t="n"/>
      <c r="L390" s="141" t="n"/>
      <c r="M390" s="142" t="n"/>
      <c r="N390" s="146">
        <f>IF(AND(AND(F390="",G390=""),B390="",C390="",D390="",J390="",K390="",L390=""),"",IF(AND(F390="",G390=""),"✗ 没填金额",IF(AND(N(F390)&lt;&gt;0,N(G390)&lt;&gt;0),"✗ 收入、支出只能填一边",IF(NOT(ISNUMBER(B390)),"✗ 日期不是真日期（要像 2026/9/25 这样填）",IF(OR(B390&lt;年初日,B390&gt;年末日),"✗ 日期不在本会计年度",IF(C390="","✗ 没选账户",IF(COUNTIF(基础资料!$W$5:$W$24,C390)=0,"✗ 账户不在基础资料里",IF(O390="","✗ 没选收支项目",IF(P390="未知","✗ 收支项目不在基础资料里",IF(AND(P390="应收",J390=""),"✗ 这笔要选客户",IF(AND(P390="应收",COUNTIF(总览汇总!$B$5:$B$304,J390)=0),"✗ 客户不在总览汇总名单里",IF(AND(P390="应付",K390=""),"✗ 这笔要选供应商",IF(AND(P390="应付",COUNTIF(基础资料!$Q$5:$Q$54,K390)=0),"✗ 供应商不在基础资料里",IF(AND(P390="费用",L390=""),"✗ 费用支出要选费用项目",IF(AND(L390&lt;&gt;"",COUNTIF(基础资料!$AI$5:$AI$54,L390)=0),"✗ 费用项目不在基础资料里",IF(AND(IFERROR(INDEX(基础资料!$AD$5:$AD$34,MATCH(O390,基础资料!$AC$5:$AC$34,0)),"")="收",N(G390)&lt;&gt;0),"✗ 这类是收款，金额填到收入列",IF(AND(IFERROR(INDEX(基础资料!$AD$5:$AD$34,MATCH(O390,基础资料!$AC$5:$AC$34,0)),"")="支",N(F390)&lt;&gt;0),"✗ 这类是付款，金额填到支出列",IF(N(H390)&lt;0,"⚠ 账户余额成负数了，核对一下","√"))))))))))))))))))</f>
      </c>
      <c r="O390" s="78">
        <f>IF(D390&lt;&gt;"",D390,IF(AND(F390="",G390=""),"",IF(J390&lt;&gt;"",IF(N(F390)&gt;0,"客户回款","客户退款"),IF(K390&lt;&gt;"",IF(N(G390)&gt;0,"供应商付款","供应商退款"),IF(L390&lt;&gt;"","费用支出","")))))</f>
      </c>
      <c r="P390" s="78">
        <f>IF(O390="","",IFERROR(INDEX(基础资料!$AE$5:$AE$34,MATCH(O390,基础资料!$AC$5:$AC$34,0)),"未知"))</f>
      </c>
      <c r="Q390" s="78">
        <f>IF(P390="应收",COUNTIF(P$7:P390,"应收"),"")</f>
      </c>
      <c r="R390" s="78">
        <f>IF(P390="应付",COUNTIF(P$7:P390,"应付"),"")</f>
      </c>
      <c r="S390" s="78">
        <f>N(F390)-N(G390)</f>
        <v>0</v>
      </c>
    </row>
    <row r="391">
      <c r="A391" s="109">
        <f>IF(AND(F391="",G391=""),"",ROW()-6)</f>
      </c>
      <c r="B391" s="140" t="n"/>
      <c r="C391" s="141" t="n"/>
      <c r="D391" s="141" t="n"/>
      <c r="E391" s="142" t="n"/>
      <c r="F391" s="143" t="n"/>
      <c r="G391" s="144" t="n"/>
      <c r="H391" s="145">
        <f>IF(OR(C391="",AND(F391="",G391="")),"",SUMIF(基础资料!$W$5:$W$24,C391,基础资料!$X$5:$X$24)+SUMIF(C$7:C391,C391,F$7:F391)-SUMIF(C$7:C391,C391,G$7:G391))</f>
      </c>
      <c r="I391" s="145">
        <f>IF(AND(F391="",G391=""),"",SUM(基础资料!$X$5:$X$24)+SUM(F$7:F391)-SUM(G$7:G391))</f>
      </c>
      <c r="J391" s="141" t="n"/>
      <c r="K391" s="141" t="n"/>
      <c r="L391" s="141" t="n"/>
      <c r="M391" s="142" t="n"/>
      <c r="N391" s="146">
        <f>IF(AND(AND(F391="",G391=""),B391="",C391="",D391="",J391="",K391="",L391=""),"",IF(AND(F391="",G391=""),"✗ 没填金额",IF(AND(N(F391)&lt;&gt;0,N(G391)&lt;&gt;0),"✗ 收入、支出只能填一边",IF(NOT(ISNUMBER(B391)),"✗ 日期不是真日期（要像 2026/9/25 这样填）",IF(OR(B391&lt;年初日,B391&gt;年末日),"✗ 日期不在本会计年度",IF(C391="","✗ 没选账户",IF(COUNTIF(基础资料!$W$5:$W$24,C391)=0,"✗ 账户不在基础资料里",IF(O391="","✗ 没选收支项目",IF(P391="未知","✗ 收支项目不在基础资料里",IF(AND(P391="应收",J391=""),"✗ 这笔要选客户",IF(AND(P391="应收",COUNTIF(总览汇总!$B$5:$B$304,J391)=0),"✗ 客户不在总览汇总名单里",IF(AND(P391="应付",K391=""),"✗ 这笔要选供应商",IF(AND(P391="应付",COUNTIF(基础资料!$Q$5:$Q$54,K391)=0),"✗ 供应商不在基础资料里",IF(AND(P391="费用",L391=""),"✗ 费用支出要选费用项目",IF(AND(L391&lt;&gt;"",COUNTIF(基础资料!$AI$5:$AI$54,L391)=0),"✗ 费用项目不在基础资料里",IF(AND(IFERROR(INDEX(基础资料!$AD$5:$AD$34,MATCH(O391,基础资料!$AC$5:$AC$34,0)),"")="收",N(G391)&lt;&gt;0),"✗ 这类是收款，金额填到收入列",IF(AND(IFERROR(INDEX(基础资料!$AD$5:$AD$34,MATCH(O391,基础资料!$AC$5:$AC$34,0)),"")="支",N(F391)&lt;&gt;0),"✗ 这类是付款，金额填到支出列",IF(N(H391)&lt;0,"⚠ 账户余额成负数了，核对一下","√"))))))))))))))))))</f>
      </c>
      <c r="O391" s="78">
        <f>IF(D391&lt;&gt;"",D391,IF(AND(F391="",G391=""),"",IF(J391&lt;&gt;"",IF(N(F391)&gt;0,"客户回款","客户退款"),IF(K391&lt;&gt;"",IF(N(G391)&gt;0,"供应商付款","供应商退款"),IF(L391&lt;&gt;"","费用支出","")))))</f>
      </c>
      <c r="P391" s="78">
        <f>IF(O391="","",IFERROR(INDEX(基础资料!$AE$5:$AE$34,MATCH(O391,基础资料!$AC$5:$AC$34,0)),"未知"))</f>
      </c>
      <c r="Q391" s="78">
        <f>IF(P391="应收",COUNTIF(P$7:P391,"应收"),"")</f>
      </c>
      <c r="R391" s="78">
        <f>IF(P391="应付",COUNTIF(P$7:P391,"应付"),"")</f>
      </c>
      <c r="S391" s="78">
        <f>N(F391)-N(G391)</f>
        <v>0</v>
      </c>
    </row>
    <row r="392">
      <c r="A392" s="109">
        <f>IF(AND(F392="",G392=""),"",ROW()-6)</f>
      </c>
      <c r="B392" s="140" t="n"/>
      <c r="C392" s="141" t="n"/>
      <c r="D392" s="141" t="n"/>
      <c r="E392" s="142" t="n"/>
      <c r="F392" s="143" t="n"/>
      <c r="G392" s="144" t="n"/>
      <c r="H392" s="145">
        <f>IF(OR(C392="",AND(F392="",G392="")),"",SUMIF(基础资料!$W$5:$W$24,C392,基础资料!$X$5:$X$24)+SUMIF(C$7:C392,C392,F$7:F392)-SUMIF(C$7:C392,C392,G$7:G392))</f>
      </c>
      <c r="I392" s="145">
        <f>IF(AND(F392="",G392=""),"",SUM(基础资料!$X$5:$X$24)+SUM(F$7:F392)-SUM(G$7:G392))</f>
      </c>
      <c r="J392" s="141" t="n"/>
      <c r="K392" s="141" t="n"/>
      <c r="L392" s="141" t="n"/>
      <c r="M392" s="142" t="n"/>
      <c r="N392" s="146">
        <f>IF(AND(AND(F392="",G392=""),B392="",C392="",D392="",J392="",K392="",L392=""),"",IF(AND(F392="",G392=""),"✗ 没填金额",IF(AND(N(F392)&lt;&gt;0,N(G392)&lt;&gt;0),"✗ 收入、支出只能填一边",IF(NOT(ISNUMBER(B392)),"✗ 日期不是真日期（要像 2026/9/25 这样填）",IF(OR(B392&lt;年初日,B392&gt;年末日),"✗ 日期不在本会计年度",IF(C392="","✗ 没选账户",IF(COUNTIF(基础资料!$W$5:$W$24,C392)=0,"✗ 账户不在基础资料里",IF(O392="","✗ 没选收支项目",IF(P392="未知","✗ 收支项目不在基础资料里",IF(AND(P392="应收",J392=""),"✗ 这笔要选客户",IF(AND(P392="应收",COUNTIF(总览汇总!$B$5:$B$304,J392)=0),"✗ 客户不在总览汇总名单里",IF(AND(P392="应付",K392=""),"✗ 这笔要选供应商",IF(AND(P392="应付",COUNTIF(基础资料!$Q$5:$Q$54,K392)=0),"✗ 供应商不在基础资料里",IF(AND(P392="费用",L392=""),"✗ 费用支出要选费用项目",IF(AND(L392&lt;&gt;"",COUNTIF(基础资料!$AI$5:$AI$54,L392)=0),"✗ 费用项目不在基础资料里",IF(AND(IFERROR(INDEX(基础资料!$AD$5:$AD$34,MATCH(O392,基础资料!$AC$5:$AC$34,0)),"")="收",N(G392)&lt;&gt;0),"✗ 这类是收款，金额填到收入列",IF(AND(IFERROR(INDEX(基础资料!$AD$5:$AD$34,MATCH(O392,基础资料!$AC$5:$AC$34,0)),"")="支",N(F392)&lt;&gt;0),"✗ 这类是付款，金额填到支出列",IF(N(H392)&lt;0,"⚠ 账户余额成负数了，核对一下","√"))))))))))))))))))</f>
      </c>
      <c r="O392" s="78">
        <f>IF(D392&lt;&gt;"",D392,IF(AND(F392="",G392=""),"",IF(J392&lt;&gt;"",IF(N(F392)&gt;0,"客户回款","客户退款"),IF(K392&lt;&gt;"",IF(N(G392)&gt;0,"供应商付款","供应商退款"),IF(L392&lt;&gt;"","费用支出","")))))</f>
      </c>
      <c r="P392" s="78">
        <f>IF(O392="","",IFERROR(INDEX(基础资料!$AE$5:$AE$34,MATCH(O392,基础资料!$AC$5:$AC$34,0)),"未知"))</f>
      </c>
      <c r="Q392" s="78">
        <f>IF(P392="应收",COUNTIF(P$7:P392,"应收"),"")</f>
      </c>
      <c r="R392" s="78">
        <f>IF(P392="应付",COUNTIF(P$7:P392,"应付"),"")</f>
      </c>
      <c r="S392" s="78">
        <f>N(F392)-N(G392)</f>
        <v>0</v>
      </c>
    </row>
    <row r="393">
      <c r="A393" s="109">
        <f>IF(AND(F393="",G393=""),"",ROW()-6)</f>
      </c>
      <c r="B393" s="140" t="n"/>
      <c r="C393" s="141" t="n"/>
      <c r="D393" s="141" t="n"/>
      <c r="E393" s="142" t="n"/>
      <c r="F393" s="143" t="n"/>
      <c r="G393" s="144" t="n"/>
      <c r="H393" s="145">
        <f>IF(OR(C393="",AND(F393="",G393="")),"",SUMIF(基础资料!$W$5:$W$24,C393,基础资料!$X$5:$X$24)+SUMIF(C$7:C393,C393,F$7:F393)-SUMIF(C$7:C393,C393,G$7:G393))</f>
      </c>
      <c r="I393" s="145">
        <f>IF(AND(F393="",G393=""),"",SUM(基础资料!$X$5:$X$24)+SUM(F$7:F393)-SUM(G$7:G393))</f>
      </c>
      <c r="J393" s="141" t="n"/>
      <c r="K393" s="141" t="n"/>
      <c r="L393" s="141" t="n"/>
      <c r="M393" s="142" t="n"/>
      <c r="N393" s="146">
        <f>IF(AND(AND(F393="",G393=""),B393="",C393="",D393="",J393="",K393="",L393=""),"",IF(AND(F393="",G393=""),"✗ 没填金额",IF(AND(N(F393)&lt;&gt;0,N(G393)&lt;&gt;0),"✗ 收入、支出只能填一边",IF(NOT(ISNUMBER(B393)),"✗ 日期不是真日期（要像 2026/9/25 这样填）",IF(OR(B393&lt;年初日,B393&gt;年末日),"✗ 日期不在本会计年度",IF(C393="","✗ 没选账户",IF(COUNTIF(基础资料!$W$5:$W$24,C393)=0,"✗ 账户不在基础资料里",IF(O393="","✗ 没选收支项目",IF(P393="未知","✗ 收支项目不在基础资料里",IF(AND(P393="应收",J393=""),"✗ 这笔要选客户",IF(AND(P393="应收",COUNTIF(总览汇总!$B$5:$B$304,J393)=0),"✗ 客户不在总览汇总名单里",IF(AND(P393="应付",K393=""),"✗ 这笔要选供应商",IF(AND(P393="应付",COUNTIF(基础资料!$Q$5:$Q$54,K393)=0),"✗ 供应商不在基础资料里",IF(AND(P393="费用",L393=""),"✗ 费用支出要选费用项目",IF(AND(L393&lt;&gt;"",COUNTIF(基础资料!$AI$5:$AI$54,L393)=0),"✗ 费用项目不在基础资料里",IF(AND(IFERROR(INDEX(基础资料!$AD$5:$AD$34,MATCH(O393,基础资料!$AC$5:$AC$34,0)),"")="收",N(G393)&lt;&gt;0),"✗ 这类是收款，金额填到收入列",IF(AND(IFERROR(INDEX(基础资料!$AD$5:$AD$34,MATCH(O393,基础资料!$AC$5:$AC$34,0)),"")="支",N(F393)&lt;&gt;0),"✗ 这类是付款，金额填到支出列",IF(N(H393)&lt;0,"⚠ 账户余额成负数了，核对一下","√"))))))))))))))))))</f>
      </c>
      <c r="O393" s="78">
        <f>IF(D393&lt;&gt;"",D393,IF(AND(F393="",G393=""),"",IF(J393&lt;&gt;"",IF(N(F393)&gt;0,"客户回款","客户退款"),IF(K393&lt;&gt;"",IF(N(G393)&gt;0,"供应商付款","供应商退款"),IF(L393&lt;&gt;"","费用支出","")))))</f>
      </c>
      <c r="P393" s="78">
        <f>IF(O393="","",IFERROR(INDEX(基础资料!$AE$5:$AE$34,MATCH(O393,基础资料!$AC$5:$AC$34,0)),"未知"))</f>
      </c>
      <c r="Q393" s="78">
        <f>IF(P393="应收",COUNTIF(P$7:P393,"应收"),"")</f>
      </c>
      <c r="R393" s="78">
        <f>IF(P393="应付",COUNTIF(P$7:P393,"应付"),"")</f>
      </c>
      <c r="S393" s="78">
        <f>N(F393)-N(G393)</f>
        <v>0</v>
      </c>
    </row>
    <row r="394">
      <c r="A394" s="109">
        <f>IF(AND(F394="",G394=""),"",ROW()-6)</f>
      </c>
      <c r="B394" s="140" t="n"/>
      <c r="C394" s="141" t="n"/>
      <c r="D394" s="141" t="n"/>
      <c r="E394" s="142" t="n"/>
      <c r="F394" s="143" t="n"/>
      <c r="G394" s="144" t="n"/>
      <c r="H394" s="145">
        <f>IF(OR(C394="",AND(F394="",G394="")),"",SUMIF(基础资料!$W$5:$W$24,C394,基础资料!$X$5:$X$24)+SUMIF(C$7:C394,C394,F$7:F394)-SUMIF(C$7:C394,C394,G$7:G394))</f>
      </c>
      <c r="I394" s="145">
        <f>IF(AND(F394="",G394=""),"",SUM(基础资料!$X$5:$X$24)+SUM(F$7:F394)-SUM(G$7:G394))</f>
      </c>
      <c r="J394" s="141" t="n"/>
      <c r="K394" s="141" t="n"/>
      <c r="L394" s="141" t="n"/>
      <c r="M394" s="142" t="n"/>
      <c r="N394" s="146">
        <f>IF(AND(AND(F394="",G394=""),B394="",C394="",D394="",J394="",K394="",L394=""),"",IF(AND(F394="",G394=""),"✗ 没填金额",IF(AND(N(F394)&lt;&gt;0,N(G394)&lt;&gt;0),"✗ 收入、支出只能填一边",IF(NOT(ISNUMBER(B394)),"✗ 日期不是真日期（要像 2026/9/25 这样填）",IF(OR(B394&lt;年初日,B394&gt;年末日),"✗ 日期不在本会计年度",IF(C394="","✗ 没选账户",IF(COUNTIF(基础资料!$W$5:$W$24,C394)=0,"✗ 账户不在基础资料里",IF(O394="","✗ 没选收支项目",IF(P394="未知","✗ 收支项目不在基础资料里",IF(AND(P394="应收",J394=""),"✗ 这笔要选客户",IF(AND(P394="应收",COUNTIF(总览汇总!$B$5:$B$304,J394)=0),"✗ 客户不在总览汇总名单里",IF(AND(P394="应付",K394=""),"✗ 这笔要选供应商",IF(AND(P394="应付",COUNTIF(基础资料!$Q$5:$Q$54,K394)=0),"✗ 供应商不在基础资料里",IF(AND(P394="费用",L394=""),"✗ 费用支出要选费用项目",IF(AND(L394&lt;&gt;"",COUNTIF(基础资料!$AI$5:$AI$54,L394)=0),"✗ 费用项目不在基础资料里",IF(AND(IFERROR(INDEX(基础资料!$AD$5:$AD$34,MATCH(O394,基础资料!$AC$5:$AC$34,0)),"")="收",N(G394)&lt;&gt;0),"✗ 这类是收款，金额填到收入列",IF(AND(IFERROR(INDEX(基础资料!$AD$5:$AD$34,MATCH(O394,基础资料!$AC$5:$AC$34,0)),"")="支",N(F394)&lt;&gt;0),"✗ 这类是付款，金额填到支出列",IF(N(H394)&lt;0,"⚠ 账户余额成负数了，核对一下","√"))))))))))))))))))</f>
      </c>
      <c r="O394" s="78">
        <f>IF(D394&lt;&gt;"",D394,IF(AND(F394="",G394=""),"",IF(J394&lt;&gt;"",IF(N(F394)&gt;0,"客户回款","客户退款"),IF(K394&lt;&gt;"",IF(N(G394)&gt;0,"供应商付款","供应商退款"),IF(L394&lt;&gt;"","费用支出","")))))</f>
      </c>
      <c r="P394" s="78">
        <f>IF(O394="","",IFERROR(INDEX(基础资料!$AE$5:$AE$34,MATCH(O394,基础资料!$AC$5:$AC$34,0)),"未知"))</f>
      </c>
      <c r="Q394" s="78">
        <f>IF(P394="应收",COUNTIF(P$7:P394,"应收"),"")</f>
      </c>
      <c r="R394" s="78">
        <f>IF(P394="应付",COUNTIF(P$7:P394,"应付"),"")</f>
      </c>
      <c r="S394" s="78">
        <f>N(F394)-N(G394)</f>
        <v>0</v>
      </c>
    </row>
    <row r="395">
      <c r="A395" s="109">
        <f>IF(AND(F395="",G395=""),"",ROW()-6)</f>
      </c>
      <c r="B395" s="140" t="n"/>
      <c r="C395" s="141" t="n"/>
      <c r="D395" s="141" t="n"/>
      <c r="E395" s="142" t="n"/>
      <c r="F395" s="143" t="n"/>
      <c r="G395" s="144" t="n"/>
      <c r="H395" s="145">
        <f>IF(OR(C395="",AND(F395="",G395="")),"",SUMIF(基础资料!$W$5:$W$24,C395,基础资料!$X$5:$X$24)+SUMIF(C$7:C395,C395,F$7:F395)-SUMIF(C$7:C395,C395,G$7:G395))</f>
      </c>
      <c r="I395" s="145">
        <f>IF(AND(F395="",G395=""),"",SUM(基础资料!$X$5:$X$24)+SUM(F$7:F395)-SUM(G$7:G395))</f>
      </c>
      <c r="J395" s="141" t="n"/>
      <c r="K395" s="141" t="n"/>
      <c r="L395" s="141" t="n"/>
      <c r="M395" s="142" t="n"/>
      <c r="N395" s="146">
        <f>IF(AND(AND(F395="",G395=""),B395="",C395="",D395="",J395="",K395="",L395=""),"",IF(AND(F395="",G395=""),"✗ 没填金额",IF(AND(N(F395)&lt;&gt;0,N(G395)&lt;&gt;0),"✗ 收入、支出只能填一边",IF(NOT(ISNUMBER(B395)),"✗ 日期不是真日期（要像 2026/9/25 这样填）",IF(OR(B395&lt;年初日,B395&gt;年末日),"✗ 日期不在本会计年度",IF(C395="","✗ 没选账户",IF(COUNTIF(基础资料!$W$5:$W$24,C395)=0,"✗ 账户不在基础资料里",IF(O395="","✗ 没选收支项目",IF(P395="未知","✗ 收支项目不在基础资料里",IF(AND(P395="应收",J395=""),"✗ 这笔要选客户",IF(AND(P395="应收",COUNTIF(总览汇总!$B$5:$B$304,J395)=0),"✗ 客户不在总览汇总名单里",IF(AND(P395="应付",K395=""),"✗ 这笔要选供应商",IF(AND(P395="应付",COUNTIF(基础资料!$Q$5:$Q$54,K395)=0),"✗ 供应商不在基础资料里",IF(AND(P395="费用",L395=""),"✗ 费用支出要选费用项目",IF(AND(L395&lt;&gt;"",COUNTIF(基础资料!$AI$5:$AI$54,L395)=0),"✗ 费用项目不在基础资料里",IF(AND(IFERROR(INDEX(基础资料!$AD$5:$AD$34,MATCH(O395,基础资料!$AC$5:$AC$34,0)),"")="收",N(G395)&lt;&gt;0),"✗ 这类是收款，金额填到收入列",IF(AND(IFERROR(INDEX(基础资料!$AD$5:$AD$34,MATCH(O395,基础资料!$AC$5:$AC$34,0)),"")="支",N(F395)&lt;&gt;0),"✗ 这类是付款，金额填到支出列",IF(N(H395)&lt;0,"⚠ 账户余额成负数了，核对一下","√"))))))))))))))))))</f>
      </c>
      <c r="O395" s="78">
        <f>IF(D395&lt;&gt;"",D395,IF(AND(F395="",G395=""),"",IF(J395&lt;&gt;"",IF(N(F395)&gt;0,"客户回款","客户退款"),IF(K395&lt;&gt;"",IF(N(G395)&gt;0,"供应商付款","供应商退款"),IF(L395&lt;&gt;"","费用支出","")))))</f>
      </c>
      <c r="P395" s="78">
        <f>IF(O395="","",IFERROR(INDEX(基础资料!$AE$5:$AE$34,MATCH(O395,基础资料!$AC$5:$AC$34,0)),"未知"))</f>
      </c>
      <c r="Q395" s="78">
        <f>IF(P395="应收",COUNTIF(P$7:P395,"应收"),"")</f>
      </c>
      <c r="R395" s="78">
        <f>IF(P395="应付",COUNTIF(P$7:P395,"应付"),"")</f>
      </c>
      <c r="S395" s="78">
        <f>N(F395)-N(G395)</f>
        <v>0</v>
      </c>
    </row>
    <row r="396">
      <c r="A396" s="109">
        <f>IF(AND(F396="",G396=""),"",ROW()-6)</f>
      </c>
      <c r="B396" s="140" t="n"/>
      <c r="C396" s="141" t="n"/>
      <c r="D396" s="141" t="n"/>
      <c r="E396" s="142" t="n"/>
      <c r="F396" s="143" t="n"/>
      <c r="G396" s="144" t="n"/>
      <c r="H396" s="145">
        <f>IF(OR(C396="",AND(F396="",G396="")),"",SUMIF(基础资料!$W$5:$W$24,C396,基础资料!$X$5:$X$24)+SUMIF(C$7:C396,C396,F$7:F396)-SUMIF(C$7:C396,C396,G$7:G396))</f>
      </c>
      <c r="I396" s="145">
        <f>IF(AND(F396="",G396=""),"",SUM(基础资料!$X$5:$X$24)+SUM(F$7:F396)-SUM(G$7:G396))</f>
      </c>
      <c r="J396" s="141" t="n"/>
      <c r="K396" s="141" t="n"/>
      <c r="L396" s="141" t="n"/>
      <c r="M396" s="142" t="n"/>
      <c r="N396" s="146">
        <f>IF(AND(AND(F396="",G396=""),B396="",C396="",D396="",J396="",K396="",L396=""),"",IF(AND(F396="",G396=""),"✗ 没填金额",IF(AND(N(F396)&lt;&gt;0,N(G396)&lt;&gt;0),"✗ 收入、支出只能填一边",IF(NOT(ISNUMBER(B396)),"✗ 日期不是真日期（要像 2026/9/25 这样填）",IF(OR(B396&lt;年初日,B396&gt;年末日),"✗ 日期不在本会计年度",IF(C396="","✗ 没选账户",IF(COUNTIF(基础资料!$W$5:$W$24,C396)=0,"✗ 账户不在基础资料里",IF(O396="","✗ 没选收支项目",IF(P396="未知","✗ 收支项目不在基础资料里",IF(AND(P396="应收",J396=""),"✗ 这笔要选客户",IF(AND(P396="应收",COUNTIF(总览汇总!$B$5:$B$304,J396)=0),"✗ 客户不在总览汇总名单里",IF(AND(P396="应付",K396=""),"✗ 这笔要选供应商",IF(AND(P396="应付",COUNTIF(基础资料!$Q$5:$Q$54,K396)=0),"✗ 供应商不在基础资料里",IF(AND(P396="费用",L396=""),"✗ 费用支出要选费用项目",IF(AND(L396&lt;&gt;"",COUNTIF(基础资料!$AI$5:$AI$54,L396)=0),"✗ 费用项目不在基础资料里",IF(AND(IFERROR(INDEX(基础资料!$AD$5:$AD$34,MATCH(O396,基础资料!$AC$5:$AC$34,0)),"")="收",N(G396)&lt;&gt;0),"✗ 这类是收款，金额填到收入列",IF(AND(IFERROR(INDEX(基础资料!$AD$5:$AD$34,MATCH(O396,基础资料!$AC$5:$AC$34,0)),"")="支",N(F396)&lt;&gt;0),"✗ 这类是付款，金额填到支出列",IF(N(H396)&lt;0,"⚠ 账户余额成负数了，核对一下","√"))))))))))))))))))</f>
      </c>
      <c r="O396" s="78">
        <f>IF(D396&lt;&gt;"",D396,IF(AND(F396="",G396=""),"",IF(J396&lt;&gt;"",IF(N(F396)&gt;0,"客户回款","客户退款"),IF(K396&lt;&gt;"",IF(N(G396)&gt;0,"供应商付款","供应商退款"),IF(L396&lt;&gt;"","费用支出","")))))</f>
      </c>
      <c r="P396" s="78">
        <f>IF(O396="","",IFERROR(INDEX(基础资料!$AE$5:$AE$34,MATCH(O396,基础资料!$AC$5:$AC$34,0)),"未知"))</f>
      </c>
      <c r="Q396" s="78">
        <f>IF(P396="应收",COUNTIF(P$7:P396,"应收"),"")</f>
      </c>
      <c r="R396" s="78">
        <f>IF(P396="应付",COUNTIF(P$7:P396,"应付"),"")</f>
      </c>
      <c r="S396" s="78">
        <f>N(F396)-N(G396)</f>
        <v>0</v>
      </c>
    </row>
    <row r="397">
      <c r="A397" s="109">
        <f>IF(AND(F397="",G397=""),"",ROW()-6)</f>
      </c>
      <c r="B397" s="140" t="n"/>
      <c r="C397" s="141" t="n"/>
      <c r="D397" s="141" t="n"/>
      <c r="E397" s="142" t="n"/>
      <c r="F397" s="143" t="n"/>
      <c r="G397" s="144" t="n"/>
      <c r="H397" s="145">
        <f>IF(OR(C397="",AND(F397="",G397="")),"",SUMIF(基础资料!$W$5:$W$24,C397,基础资料!$X$5:$X$24)+SUMIF(C$7:C397,C397,F$7:F397)-SUMIF(C$7:C397,C397,G$7:G397))</f>
      </c>
      <c r="I397" s="145">
        <f>IF(AND(F397="",G397=""),"",SUM(基础资料!$X$5:$X$24)+SUM(F$7:F397)-SUM(G$7:G397))</f>
      </c>
      <c r="J397" s="141" t="n"/>
      <c r="K397" s="141" t="n"/>
      <c r="L397" s="141" t="n"/>
      <c r="M397" s="142" t="n"/>
      <c r="N397" s="146">
        <f>IF(AND(AND(F397="",G397=""),B397="",C397="",D397="",J397="",K397="",L397=""),"",IF(AND(F397="",G397=""),"✗ 没填金额",IF(AND(N(F397)&lt;&gt;0,N(G397)&lt;&gt;0),"✗ 收入、支出只能填一边",IF(NOT(ISNUMBER(B397)),"✗ 日期不是真日期（要像 2026/9/25 这样填）",IF(OR(B397&lt;年初日,B397&gt;年末日),"✗ 日期不在本会计年度",IF(C397="","✗ 没选账户",IF(COUNTIF(基础资料!$W$5:$W$24,C397)=0,"✗ 账户不在基础资料里",IF(O397="","✗ 没选收支项目",IF(P397="未知","✗ 收支项目不在基础资料里",IF(AND(P397="应收",J397=""),"✗ 这笔要选客户",IF(AND(P397="应收",COUNTIF(总览汇总!$B$5:$B$304,J397)=0),"✗ 客户不在总览汇总名单里",IF(AND(P397="应付",K397=""),"✗ 这笔要选供应商",IF(AND(P397="应付",COUNTIF(基础资料!$Q$5:$Q$54,K397)=0),"✗ 供应商不在基础资料里",IF(AND(P397="费用",L397=""),"✗ 费用支出要选费用项目",IF(AND(L397&lt;&gt;"",COUNTIF(基础资料!$AI$5:$AI$54,L397)=0),"✗ 费用项目不在基础资料里",IF(AND(IFERROR(INDEX(基础资料!$AD$5:$AD$34,MATCH(O397,基础资料!$AC$5:$AC$34,0)),"")="收",N(G397)&lt;&gt;0),"✗ 这类是收款，金额填到收入列",IF(AND(IFERROR(INDEX(基础资料!$AD$5:$AD$34,MATCH(O397,基础资料!$AC$5:$AC$34,0)),"")="支",N(F397)&lt;&gt;0),"✗ 这类是付款，金额填到支出列",IF(N(H397)&lt;0,"⚠ 账户余额成负数了，核对一下","√"))))))))))))))))))</f>
      </c>
      <c r="O397" s="78">
        <f>IF(D397&lt;&gt;"",D397,IF(AND(F397="",G397=""),"",IF(J397&lt;&gt;"",IF(N(F397)&gt;0,"客户回款","客户退款"),IF(K397&lt;&gt;"",IF(N(G397)&gt;0,"供应商付款","供应商退款"),IF(L397&lt;&gt;"","费用支出","")))))</f>
      </c>
      <c r="P397" s="78">
        <f>IF(O397="","",IFERROR(INDEX(基础资料!$AE$5:$AE$34,MATCH(O397,基础资料!$AC$5:$AC$34,0)),"未知"))</f>
      </c>
      <c r="Q397" s="78">
        <f>IF(P397="应收",COUNTIF(P$7:P397,"应收"),"")</f>
      </c>
      <c r="R397" s="78">
        <f>IF(P397="应付",COUNTIF(P$7:P397,"应付"),"")</f>
      </c>
      <c r="S397" s="78">
        <f>N(F397)-N(G397)</f>
        <v>0</v>
      </c>
    </row>
    <row r="398">
      <c r="A398" s="109">
        <f>IF(AND(F398="",G398=""),"",ROW()-6)</f>
      </c>
      <c r="B398" s="140" t="n"/>
      <c r="C398" s="141" t="n"/>
      <c r="D398" s="141" t="n"/>
      <c r="E398" s="142" t="n"/>
      <c r="F398" s="143" t="n"/>
      <c r="G398" s="144" t="n"/>
      <c r="H398" s="145">
        <f>IF(OR(C398="",AND(F398="",G398="")),"",SUMIF(基础资料!$W$5:$W$24,C398,基础资料!$X$5:$X$24)+SUMIF(C$7:C398,C398,F$7:F398)-SUMIF(C$7:C398,C398,G$7:G398))</f>
      </c>
      <c r="I398" s="145">
        <f>IF(AND(F398="",G398=""),"",SUM(基础资料!$X$5:$X$24)+SUM(F$7:F398)-SUM(G$7:G398))</f>
      </c>
      <c r="J398" s="141" t="n"/>
      <c r="K398" s="141" t="n"/>
      <c r="L398" s="141" t="n"/>
      <c r="M398" s="142" t="n"/>
      <c r="N398" s="146">
        <f>IF(AND(AND(F398="",G398=""),B398="",C398="",D398="",J398="",K398="",L398=""),"",IF(AND(F398="",G398=""),"✗ 没填金额",IF(AND(N(F398)&lt;&gt;0,N(G398)&lt;&gt;0),"✗ 收入、支出只能填一边",IF(NOT(ISNUMBER(B398)),"✗ 日期不是真日期（要像 2026/9/25 这样填）",IF(OR(B398&lt;年初日,B398&gt;年末日),"✗ 日期不在本会计年度",IF(C398="","✗ 没选账户",IF(COUNTIF(基础资料!$W$5:$W$24,C398)=0,"✗ 账户不在基础资料里",IF(O398="","✗ 没选收支项目",IF(P398="未知","✗ 收支项目不在基础资料里",IF(AND(P398="应收",J398=""),"✗ 这笔要选客户",IF(AND(P398="应收",COUNTIF(总览汇总!$B$5:$B$304,J398)=0),"✗ 客户不在总览汇总名单里",IF(AND(P398="应付",K398=""),"✗ 这笔要选供应商",IF(AND(P398="应付",COUNTIF(基础资料!$Q$5:$Q$54,K398)=0),"✗ 供应商不在基础资料里",IF(AND(P398="费用",L398=""),"✗ 费用支出要选费用项目",IF(AND(L398&lt;&gt;"",COUNTIF(基础资料!$AI$5:$AI$54,L398)=0),"✗ 费用项目不在基础资料里",IF(AND(IFERROR(INDEX(基础资料!$AD$5:$AD$34,MATCH(O398,基础资料!$AC$5:$AC$34,0)),"")="收",N(G398)&lt;&gt;0),"✗ 这类是收款，金额填到收入列",IF(AND(IFERROR(INDEX(基础资料!$AD$5:$AD$34,MATCH(O398,基础资料!$AC$5:$AC$34,0)),"")="支",N(F398)&lt;&gt;0),"✗ 这类是付款，金额填到支出列",IF(N(H398)&lt;0,"⚠ 账户余额成负数了，核对一下","√"))))))))))))))))))</f>
      </c>
      <c r="O398" s="78">
        <f>IF(D398&lt;&gt;"",D398,IF(AND(F398="",G398=""),"",IF(J398&lt;&gt;"",IF(N(F398)&gt;0,"客户回款","客户退款"),IF(K398&lt;&gt;"",IF(N(G398)&gt;0,"供应商付款","供应商退款"),IF(L398&lt;&gt;"","费用支出","")))))</f>
      </c>
      <c r="P398" s="78">
        <f>IF(O398="","",IFERROR(INDEX(基础资料!$AE$5:$AE$34,MATCH(O398,基础资料!$AC$5:$AC$34,0)),"未知"))</f>
      </c>
      <c r="Q398" s="78">
        <f>IF(P398="应收",COUNTIF(P$7:P398,"应收"),"")</f>
      </c>
      <c r="R398" s="78">
        <f>IF(P398="应付",COUNTIF(P$7:P398,"应付"),"")</f>
      </c>
      <c r="S398" s="78">
        <f>N(F398)-N(G398)</f>
        <v>0</v>
      </c>
    </row>
    <row r="399">
      <c r="A399" s="109">
        <f>IF(AND(F399="",G399=""),"",ROW()-6)</f>
      </c>
      <c r="B399" s="140" t="n"/>
      <c r="C399" s="141" t="n"/>
      <c r="D399" s="141" t="n"/>
      <c r="E399" s="142" t="n"/>
      <c r="F399" s="143" t="n"/>
      <c r="G399" s="144" t="n"/>
      <c r="H399" s="145">
        <f>IF(OR(C399="",AND(F399="",G399="")),"",SUMIF(基础资料!$W$5:$W$24,C399,基础资料!$X$5:$X$24)+SUMIF(C$7:C399,C399,F$7:F399)-SUMIF(C$7:C399,C399,G$7:G399))</f>
      </c>
      <c r="I399" s="145">
        <f>IF(AND(F399="",G399=""),"",SUM(基础资料!$X$5:$X$24)+SUM(F$7:F399)-SUM(G$7:G399))</f>
      </c>
      <c r="J399" s="141" t="n"/>
      <c r="K399" s="141" t="n"/>
      <c r="L399" s="141" t="n"/>
      <c r="M399" s="142" t="n"/>
      <c r="N399" s="146">
        <f>IF(AND(AND(F399="",G399=""),B399="",C399="",D399="",J399="",K399="",L399=""),"",IF(AND(F399="",G399=""),"✗ 没填金额",IF(AND(N(F399)&lt;&gt;0,N(G399)&lt;&gt;0),"✗ 收入、支出只能填一边",IF(NOT(ISNUMBER(B399)),"✗ 日期不是真日期（要像 2026/9/25 这样填）",IF(OR(B399&lt;年初日,B399&gt;年末日),"✗ 日期不在本会计年度",IF(C399="","✗ 没选账户",IF(COUNTIF(基础资料!$W$5:$W$24,C399)=0,"✗ 账户不在基础资料里",IF(O399="","✗ 没选收支项目",IF(P399="未知","✗ 收支项目不在基础资料里",IF(AND(P399="应收",J399=""),"✗ 这笔要选客户",IF(AND(P399="应收",COUNTIF(总览汇总!$B$5:$B$304,J399)=0),"✗ 客户不在总览汇总名单里",IF(AND(P399="应付",K399=""),"✗ 这笔要选供应商",IF(AND(P399="应付",COUNTIF(基础资料!$Q$5:$Q$54,K399)=0),"✗ 供应商不在基础资料里",IF(AND(P399="费用",L399=""),"✗ 费用支出要选费用项目",IF(AND(L399&lt;&gt;"",COUNTIF(基础资料!$AI$5:$AI$54,L399)=0),"✗ 费用项目不在基础资料里",IF(AND(IFERROR(INDEX(基础资料!$AD$5:$AD$34,MATCH(O399,基础资料!$AC$5:$AC$34,0)),"")="收",N(G399)&lt;&gt;0),"✗ 这类是收款，金额填到收入列",IF(AND(IFERROR(INDEX(基础资料!$AD$5:$AD$34,MATCH(O399,基础资料!$AC$5:$AC$34,0)),"")="支",N(F399)&lt;&gt;0),"✗ 这类是付款，金额填到支出列",IF(N(H399)&lt;0,"⚠ 账户余额成负数了，核对一下","√"))))))))))))))))))</f>
      </c>
      <c r="O399" s="78">
        <f>IF(D399&lt;&gt;"",D399,IF(AND(F399="",G399=""),"",IF(J399&lt;&gt;"",IF(N(F399)&gt;0,"客户回款","客户退款"),IF(K399&lt;&gt;"",IF(N(G399)&gt;0,"供应商付款","供应商退款"),IF(L399&lt;&gt;"","费用支出","")))))</f>
      </c>
      <c r="P399" s="78">
        <f>IF(O399="","",IFERROR(INDEX(基础资料!$AE$5:$AE$34,MATCH(O399,基础资料!$AC$5:$AC$34,0)),"未知"))</f>
      </c>
      <c r="Q399" s="78">
        <f>IF(P399="应收",COUNTIF(P$7:P399,"应收"),"")</f>
      </c>
      <c r="R399" s="78">
        <f>IF(P399="应付",COUNTIF(P$7:P399,"应付"),"")</f>
      </c>
      <c r="S399" s="78">
        <f>N(F399)-N(G399)</f>
        <v>0</v>
      </c>
    </row>
    <row r="400">
      <c r="A400" s="109">
        <f>IF(AND(F400="",G400=""),"",ROW()-6)</f>
      </c>
      <c r="B400" s="140" t="n"/>
      <c r="C400" s="141" t="n"/>
      <c r="D400" s="141" t="n"/>
      <c r="E400" s="142" t="n"/>
      <c r="F400" s="143" t="n"/>
      <c r="G400" s="144" t="n"/>
      <c r="H400" s="145">
        <f>IF(OR(C400="",AND(F400="",G400="")),"",SUMIF(基础资料!$W$5:$W$24,C400,基础资料!$X$5:$X$24)+SUMIF(C$7:C400,C400,F$7:F400)-SUMIF(C$7:C400,C400,G$7:G400))</f>
      </c>
      <c r="I400" s="145">
        <f>IF(AND(F400="",G400=""),"",SUM(基础资料!$X$5:$X$24)+SUM(F$7:F400)-SUM(G$7:G400))</f>
      </c>
      <c r="J400" s="141" t="n"/>
      <c r="K400" s="141" t="n"/>
      <c r="L400" s="141" t="n"/>
      <c r="M400" s="142" t="n"/>
      <c r="N400" s="146">
        <f>IF(AND(AND(F400="",G400=""),B400="",C400="",D400="",J400="",K400="",L400=""),"",IF(AND(F400="",G400=""),"✗ 没填金额",IF(AND(N(F400)&lt;&gt;0,N(G400)&lt;&gt;0),"✗ 收入、支出只能填一边",IF(NOT(ISNUMBER(B400)),"✗ 日期不是真日期（要像 2026/9/25 这样填）",IF(OR(B400&lt;年初日,B400&gt;年末日),"✗ 日期不在本会计年度",IF(C400="","✗ 没选账户",IF(COUNTIF(基础资料!$W$5:$W$24,C400)=0,"✗ 账户不在基础资料里",IF(O400="","✗ 没选收支项目",IF(P400="未知","✗ 收支项目不在基础资料里",IF(AND(P400="应收",J400=""),"✗ 这笔要选客户",IF(AND(P400="应收",COUNTIF(总览汇总!$B$5:$B$304,J400)=0),"✗ 客户不在总览汇总名单里",IF(AND(P400="应付",K400=""),"✗ 这笔要选供应商",IF(AND(P400="应付",COUNTIF(基础资料!$Q$5:$Q$54,K400)=0),"✗ 供应商不在基础资料里",IF(AND(P400="费用",L400=""),"✗ 费用支出要选费用项目",IF(AND(L400&lt;&gt;"",COUNTIF(基础资料!$AI$5:$AI$54,L400)=0),"✗ 费用项目不在基础资料里",IF(AND(IFERROR(INDEX(基础资料!$AD$5:$AD$34,MATCH(O400,基础资料!$AC$5:$AC$34,0)),"")="收",N(G400)&lt;&gt;0),"✗ 这类是收款，金额填到收入列",IF(AND(IFERROR(INDEX(基础资料!$AD$5:$AD$34,MATCH(O400,基础资料!$AC$5:$AC$34,0)),"")="支",N(F400)&lt;&gt;0),"✗ 这类是付款，金额填到支出列",IF(N(H400)&lt;0,"⚠ 账户余额成负数了，核对一下","√"))))))))))))))))))</f>
      </c>
      <c r="O400" s="78">
        <f>IF(D400&lt;&gt;"",D400,IF(AND(F400="",G400=""),"",IF(J400&lt;&gt;"",IF(N(F400)&gt;0,"客户回款","客户退款"),IF(K400&lt;&gt;"",IF(N(G400)&gt;0,"供应商付款","供应商退款"),IF(L400&lt;&gt;"","费用支出","")))))</f>
      </c>
      <c r="P400" s="78">
        <f>IF(O400="","",IFERROR(INDEX(基础资料!$AE$5:$AE$34,MATCH(O400,基础资料!$AC$5:$AC$34,0)),"未知"))</f>
      </c>
      <c r="Q400" s="78">
        <f>IF(P400="应收",COUNTIF(P$7:P400,"应收"),"")</f>
      </c>
      <c r="R400" s="78">
        <f>IF(P400="应付",COUNTIF(P$7:P400,"应付"),"")</f>
      </c>
      <c r="S400" s="78">
        <f>N(F400)-N(G400)</f>
        <v>0</v>
      </c>
    </row>
    <row r="401">
      <c r="A401" s="109">
        <f>IF(AND(F401="",G401=""),"",ROW()-6)</f>
      </c>
      <c r="B401" s="140" t="n"/>
      <c r="C401" s="141" t="n"/>
      <c r="D401" s="141" t="n"/>
      <c r="E401" s="142" t="n"/>
      <c r="F401" s="143" t="n"/>
      <c r="G401" s="144" t="n"/>
      <c r="H401" s="145">
        <f>IF(OR(C401="",AND(F401="",G401="")),"",SUMIF(基础资料!$W$5:$W$24,C401,基础资料!$X$5:$X$24)+SUMIF(C$7:C401,C401,F$7:F401)-SUMIF(C$7:C401,C401,G$7:G401))</f>
      </c>
      <c r="I401" s="145">
        <f>IF(AND(F401="",G401=""),"",SUM(基础资料!$X$5:$X$24)+SUM(F$7:F401)-SUM(G$7:G401))</f>
      </c>
      <c r="J401" s="141" t="n"/>
      <c r="K401" s="141" t="n"/>
      <c r="L401" s="141" t="n"/>
      <c r="M401" s="142" t="n"/>
      <c r="N401" s="146">
        <f>IF(AND(AND(F401="",G401=""),B401="",C401="",D401="",J401="",K401="",L401=""),"",IF(AND(F401="",G401=""),"✗ 没填金额",IF(AND(N(F401)&lt;&gt;0,N(G401)&lt;&gt;0),"✗ 收入、支出只能填一边",IF(NOT(ISNUMBER(B401)),"✗ 日期不是真日期（要像 2026/9/25 这样填）",IF(OR(B401&lt;年初日,B401&gt;年末日),"✗ 日期不在本会计年度",IF(C401="","✗ 没选账户",IF(COUNTIF(基础资料!$W$5:$W$24,C401)=0,"✗ 账户不在基础资料里",IF(O401="","✗ 没选收支项目",IF(P401="未知","✗ 收支项目不在基础资料里",IF(AND(P401="应收",J401=""),"✗ 这笔要选客户",IF(AND(P401="应收",COUNTIF(总览汇总!$B$5:$B$304,J401)=0),"✗ 客户不在总览汇总名单里",IF(AND(P401="应付",K401=""),"✗ 这笔要选供应商",IF(AND(P401="应付",COUNTIF(基础资料!$Q$5:$Q$54,K401)=0),"✗ 供应商不在基础资料里",IF(AND(P401="费用",L401=""),"✗ 费用支出要选费用项目",IF(AND(L401&lt;&gt;"",COUNTIF(基础资料!$AI$5:$AI$54,L401)=0),"✗ 费用项目不在基础资料里",IF(AND(IFERROR(INDEX(基础资料!$AD$5:$AD$34,MATCH(O401,基础资料!$AC$5:$AC$34,0)),"")="收",N(G401)&lt;&gt;0),"✗ 这类是收款，金额填到收入列",IF(AND(IFERROR(INDEX(基础资料!$AD$5:$AD$34,MATCH(O401,基础资料!$AC$5:$AC$34,0)),"")="支",N(F401)&lt;&gt;0),"✗ 这类是付款，金额填到支出列",IF(N(H401)&lt;0,"⚠ 账户余额成负数了，核对一下","√"))))))))))))))))))</f>
      </c>
      <c r="O401" s="78">
        <f>IF(D401&lt;&gt;"",D401,IF(AND(F401="",G401=""),"",IF(J401&lt;&gt;"",IF(N(F401)&gt;0,"客户回款","客户退款"),IF(K401&lt;&gt;"",IF(N(G401)&gt;0,"供应商付款","供应商退款"),IF(L401&lt;&gt;"","费用支出","")))))</f>
      </c>
      <c r="P401" s="78">
        <f>IF(O401="","",IFERROR(INDEX(基础资料!$AE$5:$AE$34,MATCH(O401,基础资料!$AC$5:$AC$34,0)),"未知"))</f>
      </c>
      <c r="Q401" s="78">
        <f>IF(P401="应收",COUNTIF(P$7:P401,"应收"),"")</f>
      </c>
      <c r="R401" s="78">
        <f>IF(P401="应付",COUNTIF(P$7:P401,"应付"),"")</f>
      </c>
      <c r="S401" s="78">
        <f>N(F401)-N(G401)</f>
        <v>0</v>
      </c>
    </row>
    <row r="402">
      <c r="A402" s="109">
        <f>IF(AND(F402="",G402=""),"",ROW()-6)</f>
      </c>
      <c r="B402" s="140" t="n"/>
      <c r="C402" s="141" t="n"/>
      <c r="D402" s="141" t="n"/>
      <c r="E402" s="142" t="n"/>
      <c r="F402" s="143" t="n"/>
      <c r="G402" s="144" t="n"/>
      <c r="H402" s="145">
        <f>IF(OR(C402="",AND(F402="",G402="")),"",SUMIF(基础资料!$W$5:$W$24,C402,基础资料!$X$5:$X$24)+SUMIF(C$7:C402,C402,F$7:F402)-SUMIF(C$7:C402,C402,G$7:G402))</f>
      </c>
      <c r="I402" s="145">
        <f>IF(AND(F402="",G402=""),"",SUM(基础资料!$X$5:$X$24)+SUM(F$7:F402)-SUM(G$7:G402))</f>
      </c>
      <c r="J402" s="141" t="n"/>
      <c r="K402" s="141" t="n"/>
      <c r="L402" s="141" t="n"/>
      <c r="M402" s="142" t="n"/>
      <c r="N402" s="146">
        <f>IF(AND(AND(F402="",G402=""),B402="",C402="",D402="",J402="",K402="",L402=""),"",IF(AND(F402="",G402=""),"✗ 没填金额",IF(AND(N(F402)&lt;&gt;0,N(G402)&lt;&gt;0),"✗ 收入、支出只能填一边",IF(NOT(ISNUMBER(B402)),"✗ 日期不是真日期（要像 2026/9/25 这样填）",IF(OR(B402&lt;年初日,B402&gt;年末日),"✗ 日期不在本会计年度",IF(C402="","✗ 没选账户",IF(COUNTIF(基础资料!$W$5:$W$24,C402)=0,"✗ 账户不在基础资料里",IF(O402="","✗ 没选收支项目",IF(P402="未知","✗ 收支项目不在基础资料里",IF(AND(P402="应收",J402=""),"✗ 这笔要选客户",IF(AND(P402="应收",COUNTIF(总览汇总!$B$5:$B$304,J402)=0),"✗ 客户不在总览汇总名单里",IF(AND(P402="应付",K402=""),"✗ 这笔要选供应商",IF(AND(P402="应付",COUNTIF(基础资料!$Q$5:$Q$54,K402)=0),"✗ 供应商不在基础资料里",IF(AND(P402="费用",L402=""),"✗ 费用支出要选费用项目",IF(AND(L402&lt;&gt;"",COUNTIF(基础资料!$AI$5:$AI$54,L402)=0),"✗ 费用项目不在基础资料里",IF(AND(IFERROR(INDEX(基础资料!$AD$5:$AD$34,MATCH(O402,基础资料!$AC$5:$AC$34,0)),"")="收",N(G402)&lt;&gt;0),"✗ 这类是收款，金额填到收入列",IF(AND(IFERROR(INDEX(基础资料!$AD$5:$AD$34,MATCH(O402,基础资料!$AC$5:$AC$34,0)),"")="支",N(F402)&lt;&gt;0),"✗ 这类是付款，金额填到支出列",IF(N(H402)&lt;0,"⚠ 账户余额成负数了，核对一下","√"))))))))))))))))))</f>
      </c>
      <c r="O402" s="78">
        <f>IF(D402&lt;&gt;"",D402,IF(AND(F402="",G402=""),"",IF(J402&lt;&gt;"",IF(N(F402)&gt;0,"客户回款","客户退款"),IF(K402&lt;&gt;"",IF(N(G402)&gt;0,"供应商付款","供应商退款"),IF(L402&lt;&gt;"","费用支出","")))))</f>
      </c>
      <c r="P402" s="78">
        <f>IF(O402="","",IFERROR(INDEX(基础资料!$AE$5:$AE$34,MATCH(O402,基础资料!$AC$5:$AC$34,0)),"未知"))</f>
      </c>
      <c r="Q402" s="78">
        <f>IF(P402="应收",COUNTIF(P$7:P402,"应收"),"")</f>
      </c>
      <c r="R402" s="78">
        <f>IF(P402="应付",COUNTIF(P$7:P402,"应付"),"")</f>
      </c>
      <c r="S402" s="78">
        <f>N(F402)-N(G402)</f>
        <v>0</v>
      </c>
    </row>
    <row r="403">
      <c r="A403" s="109">
        <f>IF(AND(F403="",G403=""),"",ROW()-6)</f>
      </c>
      <c r="B403" s="140" t="n"/>
      <c r="C403" s="141" t="n"/>
      <c r="D403" s="141" t="n"/>
      <c r="E403" s="142" t="n"/>
      <c r="F403" s="143" t="n"/>
      <c r="G403" s="144" t="n"/>
      <c r="H403" s="145">
        <f>IF(OR(C403="",AND(F403="",G403="")),"",SUMIF(基础资料!$W$5:$W$24,C403,基础资料!$X$5:$X$24)+SUMIF(C$7:C403,C403,F$7:F403)-SUMIF(C$7:C403,C403,G$7:G403))</f>
      </c>
      <c r="I403" s="145">
        <f>IF(AND(F403="",G403=""),"",SUM(基础资料!$X$5:$X$24)+SUM(F$7:F403)-SUM(G$7:G403))</f>
      </c>
      <c r="J403" s="141" t="n"/>
      <c r="K403" s="141" t="n"/>
      <c r="L403" s="141" t="n"/>
      <c r="M403" s="142" t="n"/>
      <c r="N403" s="146">
        <f>IF(AND(AND(F403="",G403=""),B403="",C403="",D403="",J403="",K403="",L403=""),"",IF(AND(F403="",G403=""),"✗ 没填金额",IF(AND(N(F403)&lt;&gt;0,N(G403)&lt;&gt;0),"✗ 收入、支出只能填一边",IF(NOT(ISNUMBER(B403)),"✗ 日期不是真日期（要像 2026/9/25 这样填）",IF(OR(B403&lt;年初日,B403&gt;年末日),"✗ 日期不在本会计年度",IF(C403="","✗ 没选账户",IF(COUNTIF(基础资料!$W$5:$W$24,C403)=0,"✗ 账户不在基础资料里",IF(O403="","✗ 没选收支项目",IF(P403="未知","✗ 收支项目不在基础资料里",IF(AND(P403="应收",J403=""),"✗ 这笔要选客户",IF(AND(P403="应收",COUNTIF(总览汇总!$B$5:$B$304,J403)=0),"✗ 客户不在总览汇总名单里",IF(AND(P403="应付",K403=""),"✗ 这笔要选供应商",IF(AND(P403="应付",COUNTIF(基础资料!$Q$5:$Q$54,K403)=0),"✗ 供应商不在基础资料里",IF(AND(P403="费用",L403=""),"✗ 费用支出要选费用项目",IF(AND(L403&lt;&gt;"",COUNTIF(基础资料!$AI$5:$AI$54,L403)=0),"✗ 费用项目不在基础资料里",IF(AND(IFERROR(INDEX(基础资料!$AD$5:$AD$34,MATCH(O403,基础资料!$AC$5:$AC$34,0)),"")="收",N(G403)&lt;&gt;0),"✗ 这类是收款，金额填到收入列",IF(AND(IFERROR(INDEX(基础资料!$AD$5:$AD$34,MATCH(O403,基础资料!$AC$5:$AC$34,0)),"")="支",N(F403)&lt;&gt;0),"✗ 这类是付款，金额填到支出列",IF(N(H403)&lt;0,"⚠ 账户余额成负数了，核对一下","√"))))))))))))))))))</f>
      </c>
      <c r="O403" s="78">
        <f>IF(D403&lt;&gt;"",D403,IF(AND(F403="",G403=""),"",IF(J403&lt;&gt;"",IF(N(F403)&gt;0,"客户回款","客户退款"),IF(K403&lt;&gt;"",IF(N(G403)&gt;0,"供应商付款","供应商退款"),IF(L403&lt;&gt;"","费用支出","")))))</f>
      </c>
      <c r="P403" s="78">
        <f>IF(O403="","",IFERROR(INDEX(基础资料!$AE$5:$AE$34,MATCH(O403,基础资料!$AC$5:$AC$34,0)),"未知"))</f>
      </c>
      <c r="Q403" s="78">
        <f>IF(P403="应收",COUNTIF(P$7:P403,"应收"),"")</f>
      </c>
      <c r="R403" s="78">
        <f>IF(P403="应付",COUNTIF(P$7:P403,"应付"),"")</f>
      </c>
      <c r="S403" s="78">
        <f>N(F403)-N(G403)</f>
        <v>0</v>
      </c>
    </row>
    <row r="404">
      <c r="A404" s="109">
        <f>IF(AND(F404="",G404=""),"",ROW()-6)</f>
      </c>
      <c r="B404" s="140" t="n"/>
      <c r="C404" s="141" t="n"/>
      <c r="D404" s="141" t="n"/>
      <c r="E404" s="142" t="n"/>
      <c r="F404" s="143" t="n"/>
      <c r="G404" s="144" t="n"/>
      <c r="H404" s="145">
        <f>IF(OR(C404="",AND(F404="",G404="")),"",SUMIF(基础资料!$W$5:$W$24,C404,基础资料!$X$5:$X$24)+SUMIF(C$7:C404,C404,F$7:F404)-SUMIF(C$7:C404,C404,G$7:G404))</f>
      </c>
      <c r="I404" s="145">
        <f>IF(AND(F404="",G404=""),"",SUM(基础资料!$X$5:$X$24)+SUM(F$7:F404)-SUM(G$7:G404))</f>
      </c>
      <c r="J404" s="141" t="n"/>
      <c r="K404" s="141" t="n"/>
      <c r="L404" s="141" t="n"/>
      <c r="M404" s="142" t="n"/>
      <c r="N404" s="146">
        <f>IF(AND(AND(F404="",G404=""),B404="",C404="",D404="",J404="",K404="",L404=""),"",IF(AND(F404="",G404=""),"✗ 没填金额",IF(AND(N(F404)&lt;&gt;0,N(G404)&lt;&gt;0),"✗ 收入、支出只能填一边",IF(NOT(ISNUMBER(B404)),"✗ 日期不是真日期（要像 2026/9/25 这样填）",IF(OR(B404&lt;年初日,B404&gt;年末日),"✗ 日期不在本会计年度",IF(C404="","✗ 没选账户",IF(COUNTIF(基础资料!$W$5:$W$24,C404)=0,"✗ 账户不在基础资料里",IF(O404="","✗ 没选收支项目",IF(P404="未知","✗ 收支项目不在基础资料里",IF(AND(P404="应收",J404=""),"✗ 这笔要选客户",IF(AND(P404="应收",COUNTIF(总览汇总!$B$5:$B$304,J404)=0),"✗ 客户不在总览汇总名单里",IF(AND(P404="应付",K404=""),"✗ 这笔要选供应商",IF(AND(P404="应付",COUNTIF(基础资料!$Q$5:$Q$54,K404)=0),"✗ 供应商不在基础资料里",IF(AND(P404="费用",L404=""),"✗ 费用支出要选费用项目",IF(AND(L404&lt;&gt;"",COUNTIF(基础资料!$AI$5:$AI$54,L404)=0),"✗ 费用项目不在基础资料里",IF(AND(IFERROR(INDEX(基础资料!$AD$5:$AD$34,MATCH(O404,基础资料!$AC$5:$AC$34,0)),"")="收",N(G404)&lt;&gt;0),"✗ 这类是收款，金额填到收入列",IF(AND(IFERROR(INDEX(基础资料!$AD$5:$AD$34,MATCH(O404,基础资料!$AC$5:$AC$34,0)),"")="支",N(F404)&lt;&gt;0),"✗ 这类是付款，金额填到支出列",IF(N(H404)&lt;0,"⚠ 账户余额成负数了，核对一下","√"))))))))))))))))))</f>
      </c>
      <c r="O404" s="78">
        <f>IF(D404&lt;&gt;"",D404,IF(AND(F404="",G404=""),"",IF(J404&lt;&gt;"",IF(N(F404)&gt;0,"客户回款","客户退款"),IF(K404&lt;&gt;"",IF(N(G404)&gt;0,"供应商付款","供应商退款"),IF(L404&lt;&gt;"","费用支出","")))))</f>
      </c>
      <c r="P404" s="78">
        <f>IF(O404="","",IFERROR(INDEX(基础资料!$AE$5:$AE$34,MATCH(O404,基础资料!$AC$5:$AC$34,0)),"未知"))</f>
      </c>
      <c r="Q404" s="78">
        <f>IF(P404="应收",COUNTIF(P$7:P404,"应收"),"")</f>
      </c>
      <c r="R404" s="78">
        <f>IF(P404="应付",COUNTIF(P$7:P404,"应付"),"")</f>
      </c>
      <c r="S404" s="78">
        <f>N(F404)-N(G404)</f>
        <v>0</v>
      </c>
    </row>
    <row r="405">
      <c r="A405" s="109">
        <f>IF(AND(F405="",G405=""),"",ROW()-6)</f>
      </c>
      <c r="B405" s="140" t="n"/>
      <c r="C405" s="141" t="n"/>
      <c r="D405" s="141" t="n"/>
      <c r="E405" s="142" t="n"/>
      <c r="F405" s="143" t="n"/>
      <c r="G405" s="144" t="n"/>
      <c r="H405" s="145">
        <f>IF(OR(C405="",AND(F405="",G405="")),"",SUMIF(基础资料!$W$5:$W$24,C405,基础资料!$X$5:$X$24)+SUMIF(C$7:C405,C405,F$7:F405)-SUMIF(C$7:C405,C405,G$7:G405))</f>
      </c>
      <c r="I405" s="145">
        <f>IF(AND(F405="",G405=""),"",SUM(基础资料!$X$5:$X$24)+SUM(F$7:F405)-SUM(G$7:G405))</f>
      </c>
      <c r="J405" s="141" t="n"/>
      <c r="K405" s="141" t="n"/>
      <c r="L405" s="141" t="n"/>
      <c r="M405" s="142" t="n"/>
      <c r="N405" s="146">
        <f>IF(AND(AND(F405="",G405=""),B405="",C405="",D405="",J405="",K405="",L405=""),"",IF(AND(F405="",G405=""),"✗ 没填金额",IF(AND(N(F405)&lt;&gt;0,N(G405)&lt;&gt;0),"✗ 收入、支出只能填一边",IF(NOT(ISNUMBER(B405)),"✗ 日期不是真日期（要像 2026/9/25 这样填）",IF(OR(B405&lt;年初日,B405&gt;年末日),"✗ 日期不在本会计年度",IF(C405="","✗ 没选账户",IF(COUNTIF(基础资料!$W$5:$W$24,C405)=0,"✗ 账户不在基础资料里",IF(O405="","✗ 没选收支项目",IF(P405="未知","✗ 收支项目不在基础资料里",IF(AND(P405="应收",J405=""),"✗ 这笔要选客户",IF(AND(P405="应收",COUNTIF(总览汇总!$B$5:$B$304,J405)=0),"✗ 客户不在总览汇总名单里",IF(AND(P405="应付",K405=""),"✗ 这笔要选供应商",IF(AND(P405="应付",COUNTIF(基础资料!$Q$5:$Q$54,K405)=0),"✗ 供应商不在基础资料里",IF(AND(P405="费用",L405=""),"✗ 费用支出要选费用项目",IF(AND(L405&lt;&gt;"",COUNTIF(基础资料!$AI$5:$AI$54,L405)=0),"✗ 费用项目不在基础资料里",IF(AND(IFERROR(INDEX(基础资料!$AD$5:$AD$34,MATCH(O405,基础资料!$AC$5:$AC$34,0)),"")="收",N(G405)&lt;&gt;0),"✗ 这类是收款，金额填到收入列",IF(AND(IFERROR(INDEX(基础资料!$AD$5:$AD$34,MATCH(O405,基础资料!$AC$5:$AC$34,0)),"")="支",N(F405)&lt;&gt;0),"✗ 这类是付款，金额填到支出列",IF(N(H405)&lt;0,"⚠ 账户余额成负数了，核对一下","√"))))))))))))))))))</f>
      </c>
      <c r="O405" s="78">
        <f>IF(D405&lt;&gt;"",D405,IF(AND(F405="",G405=""),"",IF(J405&lt;&gt;"",IF(N(F405)&gt;0,"客户回款","客户退款"),IF(K405&lt;&gt;"",IF(N(G405)&gt;0,"供应商付款","供应商退款"),IF(L405&lt;&gt;"","费用支出","")))))</f>
      </c>
      <c r="P405" s="78">
        <f>IF(O405="","",IFERROR(INDEX(基础资料!$AE$5:$AE$34,MATCH(O405,基础资料!$AC$5:$AC$34,0)),"未知"))</f>
      </c>
      <c r="Q405" s="78">
        <f>IF(P405="应收",COUNTIF(P$7:P405,"应收"),"")</f>
      </c>
      <c r="R405" s="78">
        <f>IF(P405="应付",COUNTIF(P$7:P405,"应付"),"")</f>
      </c>
      <c r="S405" s="78">
        <f>N(F405)-N(G405)</f>
        <v>0</v>
      </c>
    </row>
    <row r="406">
      <c r="A406" s="109">
        <f>IF(AND(F406="",G406=""),"",ROW()-6)</f>
      </c>
      <c r="B406" s="140" t="n"/>
      <c r="C406" s="141" t="n"/>
      <c r="D406" s="141" t="n"/>
      <c r="E406" s="142" t="n"/>
      <c r="F406" s="143" t="n"/>
      <c r="G406" s="144" t="n"/>
      <c r="H406" s="145">
        <f>IF(OR(C406="",AND(F406="",G406="")),"",SUMIF(基础资料!$W$5:$W$24,C406,基础资料!$X$5:$X$24)+SUMIF(C$7:C406,C406,F$7:F406)-SUMIF(C$7:C406,C406,G$7:G406))</f>
      </c>
      <c r="I406" s="145">
        <f>IF(AND(F406="",G406=""),"",SUM(基础资料!$X$5:$X$24)+SUM(F$7:F406)-SUM(G$7:G406))</f>
      </c>
      <c r="J406" s="141" t="n"/>
      <c r="K406" s="141" t="n"/>
      <c r="L406" s="141" t="n"/>
      <c r="M406" s="142" t="n"/>
      <c r="N406" s="146">
        <f>IF(AND(AND(F406="",G406=""),B406="",C406="",D406="",J406="",K406="",L406=""),"",IF(AND(F406="",G406=""),"✗ 没填金额",IF(AND(N(F406)&lt;&gt;0,N(G406)&lt;&gt;0),"✗ 收入、支出只能填一边",IF(NOT(ISNUMBER(B406)),"✗ 日期不是真日期（要像 2026/9/25 这样填）",IF(OR(B406&lt;年初日,B406&gt;年末日),"✗ 日期不在本会计年度",IF(C406="","✗ 没选账户",IF(COUNTIF(基础资料!$W$5:$W$24,C406)=0,"✗ 账户不在基础资料里",IF(O406="","✗ 没选收支项目",IF(P406="未知","✗ 收支项目不在基础资料里",IF(AND(P406="应收",J406=""),"✗ 这笔要选客户",IF(AND(P406="应收",COUNTIF(总览汇总!$B$5:$B$304,J406)=0),"✗ 客户不在总览汇总名单里",IF(AND(P406="应付",K406=""),"✗ 这笔要选供应商",IF(AND(P406="应付",COUNTIF(基础资料!$Q$5:$Q$54,K406)=0),"✗ 供应商不在基础资料里",IF(AND(P406="费用",L406=""),"✗ 费用支出要选费用项目",IF(AND(L406&lt;&gt;"",COUNTIF(基础资料!$AI$5:$AI$54,L406)=0),"✗ 费用项目不在基础资料里",IF(AND(IFERROR(INDEX(基础资料!$AD$5:$AD$34,MATCH(O406,基础资料!$AC$5:$AC$34,0)),"")="收",N(G406)&lt;&gt;0),"✗ 这类是收款，金额填到收入列",IF(AND(IFERROR(INDEX(基础资料!$AD$5:$AD$34,MATCH(O406,基础资料!$AC$5:$AC$34,0)),"")="支",N(F406)&lt;&gt;0),"✗ 这类是付款，金额填到支出列",IF(N(H406)&lt;0,"⚠ 账户余额成负数了，核对一下","√"))))))))))))))))))</f>
      </c>
      <c r="O406" s="78">
        <f>IF(D406&lt;&gt;"",D406,IF(AND(F406="",G406=""),"",IF(J406&lt;&gt;"",IF(N(F406)&gt;0,"客户回款","客户退款"),IF(K406&lt;&gt;"",IF(N(G406)&gt;0,"供应商付款","供应商退款"),IF(L406&lt;&gt;"","费用支出","")))))</f>
      </c>
      <c r="P406" s="78">
        <f>IF(O406="","",IFERROR(INDEX(基础资料!$AE$5:$AE$34,MATCH(O406,基础资料!$AC$5:$AC$34,0)),"未知"))</f>
      </c>
      <c r="Q406" s="78">
        <f>IF(P406="应收",COUNTIF(P$7:P406,"应收"),"")</f>
      </c>
      <c r="R406" s="78">
        <f>IF(P406="应付",COUNTIF(P$7:P406,"应付"),"")</f>
      </c>
      <c r="S406" s="78">
        <f>N(F406)-N(G406)</f>
        <v>0</v>
      </c>
    </row>
    <row r="407">
      <c r="A407" s="109">
        <f>IF(AND(F407="",G407=""),"",ROW()-6)</f>
      </c>
      <c r="B407" s="140" t="n"/>
      <c r="C407" s="141" t="n"/>
      <c r="D407" s="141" t="n"/>
      <c r="E407" s="142" t="n"/>
      <c r="F407" s="143" t="n"/>
      <c r="G407" s="144" t="n"/>
      <c r="H407" s="145">
        <f>IF(OR(C407="",AND(F407="",G407="")),"",SUMIF(基础资料!$W$5:$W$24,C407,基础资料!$X$5:$X$24)+SUMIF(C$7:C407,C407,F$7:F407)-SUMIF(C$7:C407,C407,G$7:G407))</f>
      </c>
      <c r="I407" s="145">
        <f>IF(AND(F407="",G407=""),"",SUM(基础资料!$X$5:$X$24)+SUM(F$7:F407)-SUM(G$7:G407))</f>
      </c>
      <c r="J407" s="141" t="n"/>
      <c r="K407" s="141" t="n"/>
      <c r="L407" s="141" t="n"/>
      <c r="M407" s="142" t="n"/>
      <c r="N407" s="146">
        <f>IF(AND(AND(F407="",G407=""),B407="",C407="",D407="",J407="",K407="",L407=""),"",IF(AND(F407="",G407=""),"✗ 没填金额",IF(AND(N(F407)&lt;&gt;0,N(G407)&lt;&gt;0),"✗ 收入、支出只能填一边",IF(NOT(ISNUMBER(B407)),"✗ 日期不是真日期（要像 2026/9/25 这样填）",IF(OR(B407&lt;年初日,B407&gt;年末日),"✗ 日期不在本会计年度",IF(C407="","✗ 没选账户",IF(COUNTIF(基础资料!$W$5:$W$24,C407)=0,"✗ 账户不在基础资料里",IF(O407="","✗ 没选收支项目",IF(P407="未知","✗ 收支项目不在基础资料里",IF(AND(P407="应收",J407=""),"✗ 这笔要选客户",IF(AND(P407="应收",COUNTIF(总览汇总!$B$5:$B$304,J407)=0),"✗ 客户不在总览汇总名单里",IF(AND(P407="应付",K407=""),"✗ 这笔要选供应商",IF(AND(P407="应付",COUNTIF(基础资料!$Q$5:$Q$54,K407)=0),"✗ 供应商不在基础资料里",IF(AND(P407="费用",L407=""),"✗ 费用支出要选费用项目",IF(AND(L407&lt;&gt;"",COUNTIF(基础资料!$AI$5:$AI$54,L407)=0),"✗ 费用项目不在基础资料里",IF(AND(IFERROR(INDEX(基础资料!$AD$5:$AD$34,MATCH(O407,基础资料!$AC$5:$AC$34,0)),"")="收",N(G407)&lt;&gt;0),"✗ 这类是收款，金额填到收入列",IF(AND(IFERROR(INDEX(基础资料!$AD$5:$AD$34,MATCH(O407,基础资料!$AC$5:$AC$34,0)),"")="支",N(F407)&lt;&gt;0),"✗ 这类是付款，金额填到支出列",IF(N(H407)&lt;0,"⚠ 账户余额成负数了，核对一下","√"))))))))))))))))))</f>
      </c>
      <c r="O407" s="78">
        <f>IF(D407&lt;&gt;"",D407,IF(AND(F407="",G407=""),"",IF(J407&lt;&gt;"",IF(N(F407)&gt;0,"客户回款","客户退款"),IF(K407&lt;&gt;"",IF(N(G407)&gt;0,"供应商付款","供应商退款"),IF(L407&lt;&gt;"","费用支出","")))))</f>
      </c>
      <c r="P407" s="78">
        <f>IF(O407="","",IFERROR(INDEX(基础资料!$AE$5:$AE$34,MATCH(O407,基础资料!$AC$5:$AC$34,0)),"未知"))</f>
      </c>
      <c r="Q407" s="78">
        <f>IF(P407="应收",COUNTIF(P$7:P407,"应收"),"")</f>
      </c>
      <c r="R407" s="78">
        <f>IF(P407="应付",COUNTIF(P$7:P407,"应付"),"")</f>
      </c>
      <c r="S407" s="78">
        <f>N(F407)-N(G407)</f>
        <v>0</v>
      </c>
    </row>
    <row r="408">
      <c r="A408" s="109">
        <f>IF(AND(F408="",G408=""),"",ROW()-6)</f>
      </c>
      <c r="B408" s="140" t="n"/>
      <c r="C408" s="141" t="n"/>
      <c r="D408" s="141" t="n"/>
      <c r="E408" s="142" t="n"/>
      <c r="F408" s="143" t="n"/>
      <c r="G408" s="144" t="n"/>
      <c r="H408" s="145">
        <f>IF(OR(C408="",AND(F408="",G408="")),"",SUMIF(基础资料!$W$5:$W$24,C408,基础资料!$X$5:$X$24)+SUMIF(C$7:C408,C408,F$7:F408)-SUMIF(C$7:C408,C408,G$7:G408))</f>
      </c>
      <c r="I408" s="145">
        <f>IF(AND(F408="",G408=""),"",SUM(基础资料!$X$5:$X$24)+SUM(F$7:F408)-SUM(G$7:G408))</f>
      </c>
      <c r="J408" s="141" t="n"/>
      <c r="K408" s="141" t="n"/>
      <c r="L408" s="141" t="n"/>
      <c r="M408" s="142" t="n"/>
      <c r="N408" s="146">
        <f>IF(AND(AND(F408="",G408=""),B408="",C408="",D408="",J408="",K408="",L408=""),"",IF(AND(F408="",G408=""),"✗ 没填金额",IF(AND(N(F408)&lt;&gt;0,N(G408)&lt;&gt;0),"✗ 收入、支出只能填一边",IF(NOT(ISNUMBER(B408)),"✗ 日期不是真日期（要像 2026/9/25 这样填）",IF(OR(B408&lt;年初日,B408&gt;年末日),"✗ 日期不在本会计年度",IF(C408="","✗ 没选账户",IF(COUNTIF(基础资料!$W$5:$W$24,C408)=0,"✗ 账户不在基础资料里",IF(O408="","✗ 没选收支项目",IF(P408="未知","✗ 收支项目不在基础资料里",IF(AND(P408="应收",J408=""),"✗ 这笔要选客户",IF(AND(P408="应收",COUNTIF(总览汇总!$B$5:$B$304,J408)=0),"✗ 客户不在总览汇总名单里",IF(AND(P408="应付",K408=""),"✗ 这笔要选供应商",IF(AND(P408="应付",COUNTIF(基础资料!$Q$5:$Q$54,K408)=0),"✗ 供应商不在基础资料里",IF(AND(P408="费用",L408=""),"✗ 费用支出要选费用项目",IF(AND(L408&lt;&gt;"",COUNTIF(基础资料!$AI$5:$AI$54,L408)=0),"✗ 费用项目不在基础资料里",IF(AND(IFERROR(INDEX(基础资料!$AD$5:$AD$34,MATCH(O408,基础资料!$AC$5:$AC$34,0)),"")="收",N(G408)&lt;&gt;0),"✗ 这类是收款，金额填到收入列",IF(AND(IFERROR(INDEX(基础资料!$AD$5:$AD$34,MATCH(O408,基础资料!$AC$5:$AC$34,0)),"")="支",N(F408)&lt;&gt;0),"✗ 这类是付款，金额填到支出列",IF(N(H408)&lt;0,"⚠ 账户余额成负数了，核对一下","√"))))))))))))))))))</f>
      </c>
      <c r="O408" s="78">
        <f>IF(D408&lt;&gt;"",D408,IF(AND(F408="",G408=""),"",IF(J408&lt;&gt;"",IF(N(F408)&gt;0,"客户回款","客户退款"),IF(K408&lt;&gt;"",IF(N(G408)&gt;0,"供应商付款","供应商退款"),IF(L408&lt;&gt;"","费用支出","")))))</f>
      </c>
      <c r="P408" s="78">
        <f>IF(O408="","",IFERROR(INDEX(基础资料!$AE$5:$AE$34,MATCH(O408,基础资料!$AC$5:$AC$34,0)),"未知"))</f>
      </c>
      <c r="Q408" s="78">
        <f>IF(P408="应收",COUNTIF(P$7:P408,"应收"),"")</f>
      </c>
      <c r="R408" s="78">
        <f>IF(P408="应付",COUNTIF(P$7:P408,"应付"),"")</f>
      </c>
      <c r="S408" s="78">
        <f>N(F408)-N(G408)</f>
        <v>0</v>
      </c>
    </row>
    <row r="409">
      <c r="A409" s="109">
        <f>IF(AND(F409="",G409=""),"",ROW()-6)</f>
      </c>
      <c r="B409" s="140" t="n"/>
      <c r="C409" s="141" t="n"/>
      <c r="D409" s="141" t="n"/>
      <c r="E409" s="142" t="n"/>
      <c r="F409" s="143" t="n"/>
      <c r="G409" s="144" t="n"/>
      <c r="H409" s="145">
        <f>IF(OR(C409="",AND(F409="",G409="")),"",SUMIF(基础资料!$W$5:$W$24,C409,基础资料!$X$5:$X$24)+SUMIF(C$7:C409,C409,F$7:F409)-SUMIF(C$7:C409,C409,G$7:G409))</f>
      </c>
      <c r="I409" s="145">
        <f>IF(AND(F409="",G409=""),"",SUM(基础资料!$X$5:$X$24)+SUM(F$7:F409)-SUM(G$7:G409))</f>
      </c>
      <c r="J409" s="141" t="n"/>
      <c r="K409" s="141" t="n"/>
      <c r="L409" s="141" t="n"/>
      <c r="M409" s="142" t="n"/>
      <c r="N409" s="146">
        <f>IF(AND(AND(F409="",G409=""),B409="",C409="",D409="",J409="",K409="",L409=""),"",IF(AND(F409="",G409=""),"✗ 没填金额",IF(AND(N(F409)&lt;&gt;0,N(G409)&lt;&gt;0),"✗ 收入、支出只能填一边",IF(NOT(ISNUMBER(B409)),"✗ 日期不是真日期（要像 2026/9/25 这样填）",IF(OR(B409&lt;年初日,B409&gt;年末日),"✗ 日期不在本会计年度",IF(C409="","✗ 没选账户",IF(COUNTIF(基础资料!$W$5:$W$24,C409)=0,"✗ 账户不在基础资料里",IF(O409="","✗ 没选收支项目",IF(P409="未知","✗ 收支项目不在基础资料里",IF(AND(P409="应收",J409=""),"✗ 这笔要选客户",IF(AND(P409="应收",COUNTIF(总览汇总!$B$5:$B$304,J409)=0),"✗ 客户不在总览汇总名单里",IF(AND(P409="应付",K409=""),"✗ 这笔要选供应商",IF(AND(P409="应付",COUNTIF(基础资料!$Q$5:$Q$54,K409)=0),"✗ 供应商不在基础资料里",IF(AND(P409="费用",L409=""),"✗ 费用支出要选费用项目",IF(AND(L409&lt;&gt;"",COUNTIF(基础资料!$AI$5:$AI$54,L409)=0),"✗ 费用项目不在基础资料里",IF(AND(IFERROR(INDEX(基础资料!$AD$5:$AD$34,MATCH(O409,基础资料!$AC$5:$AC$34,0)),"")="收",N(G409)&lt;&gt;0),"✗ 这类是收款，金额填到收入列",IF(AND(IFERROR(INDEX(基础资料!$AD$5:$AD$34,MATCH(O409,基础资料!$AC$5:$AC$34,0)),"")="支",N(F409)&lt;&gt;0),"✗ 这类是付款，金额填到支出列",IF(N(H409)&lt;0,"⚠ 账户余额成负数了，核对一下","√"))))))))))))))))))</f>
      </c>
      <c r="O409" s="78">
        <f>IF(D409&lt;&gt;"",D409,IF(AND(F409="",G409=""),"",IF(J409&lt;&gt;"",IF(N(F409)&gt;0,"客户回款","客户退款"),IF(K409&lt;&gt;"",IF(N(G409)&gt;0,"供应商付款","供应商退款"),IF(L409&lt;&gt;"","费用支出","")))))</f>
      </c>
      <c r="P409" s="78">
        <f>IF(O409="","",IFERROR(INDEX(基础资料!$AE$5:$AE$34,MATCH(O409,基础资料!$AC$5:$AC$34,0)),"未知"))</f>
      </c>
      <c r="Q409" s="78">
        <f>IF(P409="应收",COUNTIF(P$7:P409,"应收"),"")</f>
      </c>
      <c r="R409" s="78">
        <f>IF(P409="应付",COUNTIF(P$7:P409,"应付"),"")</f>
      </c>
      <c r="S409" s="78">
        <f>N(F409)-N(G409)</f>
        <v>0</v>
      </c>
    </row>
    <row r="410">
      <c r="A410" s="109">
        <f>IF(AND(F410="",G410=""),"",ROW()-6)</f>
      </c>
      <c r="B410" s="140" t="n"/>
      <c r="C410" s="141" t="n"/>
      <c r="D410" s="141" t="n"/>
      <c r="E410" s="142" t="n"/>
      <c r="F410" s="143" t="n"/>
      <c r="G410" s="144" t="n"/>
      <c r="H410" s="145">
        <f>IF(OR(C410="",AND(F410="",G410="")),"",SUMIF(基础资料!$W$5:$W$24,C410,基础资料!$X$5:$X$24)+SUMIF(C$7:C410,C410,F$7:F410)-SUMIF(C$7:C410,C410,G$7:G410))</f>
      </c>
      <c r="I410" s="145">
        <f>IF(AND(F410="",G410=""),"",SUM(基础资料!$X$5:$X$24)+SUM(F$7:F410)-SUM(G$7:G410))</f>
      </c>
      <c r="J410" s="141" t="n"/>
      <c r="K410" s="141" t="n"/>
      <c r="L410" s="141" t="n"/>
      <c r="M410" s="142" t="n"/>
      <c r="N410" s="146">
        <f>IF(AND(AND(F410="",G410=""),B410="",C410="",D410="",J410="",K410="",L410=""),"",IF(AND(F410="",G410=""),"✗ 没填金额",IF(AND(N(F410)&lt;&gt;0,N(G410)&lt;&gt;0),"✗ 收入、支出只能填一边",IF(NOT(ISNUMBER(B410)),"✗ 日期不是真日期（要像 2026/9/25 这样填）",IF(OR(B410&lt;年初日,B410&gt;年末日),"✗ 日期不在本会计年度",IF(C410="","✗ 没选账户",IF(COUNTIF(基础资料!$W$5:$W$24,C410)=0,"✗ 账户不在基础资料里",IF(O410="","✗ 没选收支项目",IF(P410="未知","✗ 收支项目不在基础资料里",IF(AND(P410="应收",J410=""),"✗ 这笔要选客户",IF(AND(P410="应收",COUNTIF(总览汇总!$B$5:$B$304,J410)=0),"✗ 客户不在总览汇总名单里",IF(AND(P410="应付",K410=""),"✗ 这笔要选供应商",IF(AND(P410="应付",COUNTIF(基础资料!$Q$5:$Q$54,K410)=0),"✗ 供应商不在基础资料里",IF(AND(P410="费用",L410=""),"✗ 费用支出要选费用项目",IF(AND(L410&lt;&gt;"",COUNTIF(基础资料!$AI$5:$AI$54,L410)=0),"✗ 费用项目不在基础资料里",IF(AND(IFERROR(INDEX(基础资料!$AD$5:$AD$34,MATCH(O410,基础资料!$AC$5:$AC$34,0)),"")="收",N(G410)&lt;&gt;0),"✗ 这类是收款，金额填到收入列",IF(AND(IFERROR(INDEX(基础资料!$AD$5:$AD$34,MATCH(O410,基础资料!$AC$5:$AC$34,0)),"")="支",N(F410)&lt;&gt;0),"✗ 这类是付款，金额填到支出列",IF(N(H410)&lt;0,"⚠ 账户余额成负数了，核对一下","√"))))))))))))))))))</f>
      </c>
      <c r="O410" s="78">
        <f>IF(D410&lt;&gt;"",D410,IF(AND(F410="",G410=""),"",IF(J410&lt;&gt;"",IF(N(F410)&gt;0,"客户回款","客户退款"),IF(K410&lt;&gt;"",IF(N(G410)&gt;0,"供应商付款","供应商退款"),IF(L410&lt;&gt;"","费用支出","")))))</f>
      </c>
      <c r="P410" s="78">
        <f>IF(O410="","",IFERROR(INDEX(基础资料!$AE$5:$AE$34,MATCH(O410,基础资料!$AC$5:$AC$34,0)),"未知"))</f>
      </c>
      <c r="Q410" s="78">
        <f>IF(P410="应收",COUNTIF(P$7:P410,"应收"),"")</f>
      </c>
      <c r="R410" s="78">
        <f>IF(P410="应付",COUNTIF(P$7:P410,"应付"),"")</f>
      </c>
      <c r="S410" s="78">
        <f>N(F410)-N(G410)</f>
        <v>0</v>
      </c>
    </row>
    <row r="411">
      <c r="A411" s="109">
        <f>IF(AND(F411="",G411=""),"",ROW()-6)</f>
      </c>
      <c r="B411" s="140" t="n"/>
      <c r="C411" s="141" t="n"/>
      <c r="D411" s="141" t="n"/>
      <c r="E411" s="142" t="n"/>
      <c r="F411" s="143" t="n"/>
      <c r="G411" s="144" t="n"/>
      <c r="H411" s="145">
        <f>IF(OR(C411="",AND(F411="",G411="")),"",SUMIF(基础资料!$W$5:$W$24,C411,基础资料!$X$5:$X$24)+SUMIF(C$7:C411,C411,F$7:F411)-SUMIF(C$7:C411,C411,G$7:G411))</f>
      </c>
      <c r="I411" s="145">
        <f>IF(AND(F411="",G411=""),"",SUM(基础资料!$X$5:$X$24)+SUM(F$7:F411)-SUM(G$7:G411))</f>
      </c>
      <c r="J411" s="141" t="n"/>
      <c r="K411" s="141" t="n"/>
      <c r="L411" s="141" t="n"/>
      <c r="M411" s="142" t="n"/>
      <c r="N411" s="146">
        <f>IF(AND(AND(F411="",G411=""),B411="",C411="",D411="",J411="",K411="",L411=""),"",IF(AND(F411="",G411=""),"✗ 没填金额",IF(AND(N(F411)&lt;&gt;0,N(G411)&lt;&gt;0),"✗ 收入、支出只能填一边",IF(NOT(ISNUMBER(B411)),"✗ 日期不是真日期（要像 2026/9/25 这样填）",IF(OR(B411&lt;年初日,B411&gt;年末日),"✗ 日期不在本会计年度",IF(C411="","✗ 没选账户",IF(COUNTIF(基础资料!$W$5:$W$24,C411)=0,"✗ 账户不在基础资料里",IF(O411="","✗ 没选收支项目",IF(P411="未知","✗ 收支项目不在基础资料里",IF(AND(P411="应收",J411=""),"✗ 这笔要选客户",IF(AND(P411="应收",COUNTIF(总览汇总!$B$5:$B$304,J411)=0),"✗ 客户不在总览汇总名单里",IF(AND(P411="应付",K411=""),"✗ 这笔要选供应商",IF(AND(P411="应付",COUNTIF(基础资料!$Q$5:$Q$54,K411)=0),"✗ 供应商不在基础资料里",IF(AND(P411="费用",L411=""),"✗ 费用支出要选费用项目",IF(AND(L411&lt;&gt;"",COUNTIF(基础资料!$AI$5:$AI$54,L411)=0),"✗ 费用项目不在基础资料里",IF(AND(IFERROR(INDEX(基础资料!$AD$5:$AD$34,MATCH(O411,基础资料!$AC$5:$AC$34,0)),"")="收",N(G411)&lt;&gt;0),"✗ 这类是收款，金额填到收入列",IF(AND(IFERROR(INDEX(基础资料!$AD$5:$AD$34,MATCH(O411,基础资料!$AC$5:$AC$34,0)),"")="支",N(F411)&lt;&gt;0),"✗ 这类是付款，金额填到支出列",IF(N(H411)&lt;0,"⚠ 账户余额成负数了，核对一下","√"))))))))))))))))))</f>
      </c>
      <c r="O411" s="78">
        <f>IF(D411&lt;&gt;"",D411,IF(AND(F411="",G411=""),"",IF(J411&lt;&gt;"",IF(N(F411)&gt;0,"客户回款","客户退款"),IF(K411&lt;&gt;"",IF(N(G411)&gt;0,"供应商付款","供应商退款"),IF(L411&lt;&gt;"","费用支出","")))))</f>
      </c>
      <c r="P411" s="78">
        <f>IF(O411="","",IFERROR(INDEX(基础资料!$AE$5:$AE$34,MATCH(O411,基础资料!$AC$5:$AC$34,0)),"未知"))</f>
      </c>
      <c r="Q411" s="78">
        <f>IF(P411="应收",COUNTIF(P$7:P411,"应收"),"")</f>
      </c>
      <c r="R411" s="78">
        <f>IF(P411="应付",COUNTIF(P$7:P411,"应付"),"")</f>
      </c>
      <c r="S411" s="78">
        <f>N(F411)-N(G411)</f>
        <v>0</v>
      </c>
    </row>
    <row r="412">
      <c r="A412" s="109">
        <f>IF(AND(F412="",G412=""),"",ROW()-6)</f>
      </c>
      <c r="B412" s="140" t="n"/>
      <c r="C412" s="141" t="n"/>
      <c r="D412" s="141" t="n"/>
      <c r="E412" s="142" t="n"/>
      <c r="F412" s="143" t="n"/>
      <c r="G412" s="144" t="n"/>
      <c r="H412" s="145">
        <f>IF(OR(C412="",AND(F412="",G412="")),"",SUMIF(基础资料!$W$5:$W$24,C412,基础资料!$X$5:$X$24)+SUMIF(C$7:C412,C412,F$7:F412)-SUMIF(C$7:C412,C412,G$7:G412))</f>
      </c>
      <c r="I412" s="145">
        <f>IF(AND(F412="",G412=""),"",SUM(基础资料!$X$5:$X$24)+SUM(F$7:F412)-SUM(G$7:G412))</f>
      </c>
      <c r="J412" s="141" t="n"/>
      <c r="K412" s="141" t="n"/>
      <c r="L412" s="141" t="n"/>
      <c r="M412" s="142" t="n"/>
      <c r="N412" s="146">
        <f>IF(AND(AND(F412="",G412=""),B412="",C412="",D412="",J412="",K412="",L412=""),"",IF(AND(F412="",G412=""),"✗ 没填金额",IF(AND(N(F412)&lt;&gt;0,N(G412)&lt;&gt;0),"✗ 收入、支出只能填一边",IF(NOT(ISNUMBER(B412)),"✗ 日期不是真日期（要像 2026/9/25 这样填）",IF(OR(B412&lt;年初日,B412&gt;年末日),"✗ 日期不在本会计年度",IF(C412="","✗ 没选账户",IF(COUNTIF(基础资料!$W$5:$W$24,C412)=0,"✗ 账户不在基础资料里",IF(O412="","✗ 没选收支项目",IF(P412="未知","✗ 收支项目不在基础资料里",IF(AND(P412="应收",J412=""),"✗ 这笔要选客户",IF(AND(P412="应收",COUNTIF(总览汇总!$B$5:$B$304,J412)=0),"✗ 客户不在总览汇总名单里",IF(AND(P412="应付",K412=""),"✗ 这笔要选供应商",IF(AND(P412="应付",COUNTIF(基础资料!$Q$5:$Q$54,K412)=0),"✗ 供应商不在基础资料里",IF(AND(P412="费用",L412=""),"✗ 费用支出要选费用项目",IF(AND(L412&lt;&gt;"",COUNTIF(基础资料!$AI$5:$AI$54,L412)=0),"✗ 费用项目不在基础资料里",IF(AND(IFERROR(INDEX(基础资料!$AD$5:$AD$34,MATCH(O412,基础资料!$AC$5:$AC$34,0)),"")="收",N(G412)&lt;&gt;0),"✗ 这类是收款，金额填到收入列",IF(AND(IFERROR(INDEX(基础资料!$AD$5:$AD$34,MATCH(O412,基础资料!$AC$5:$AC$34,0)),"")="支",N(F412)&lt;&gt;0),"✗ 这类是付款，金额填到支出列",IF(N(H412)&lt;0,"⚠ 账户余额成负数了，核对一下","√"))))))))))))))))))</f>
      </c>
      <c r="O412" s="78">
        <f>IF(D412&lt;&gt;"",D412,IF(AND(F412="",G412=""),"",IF(J412&lt;&gt;"",IF(N(F412)&gt;0,"客户回款","客户退款"),IF(K412&lt;&gt;"",IF(N(G412)&gt;0,"供应商付款","供应商退款"),IF(L412&lt;&gt;"","费用支出","")))))</f>
      </c>
      <c r="P412" s="78">
        <f>IF(O412="","",IFERROR(INDEX(基础资料!$AE$5:$AE$34,MATCH(O412,基础资料!$AC$5:$AC$34,0)),"未知"))</f>
      </c>
      <c r="Q412" s="78">
        <f>IF(P412="应收",COUNTIF(P$7:P412,"应收"),"")</f>
      </c>
      <c r="R412" s="78">
        <f>IF(P412="应付",COUNTIF(P$7:P412,"应付"),"")</f>
      </c>
      <c r="S412" s="78">
        <f>N(F412)-N(G412)</f>
        <v>0</v>
      </c>
    </row>
    <row r="413">
      <c r="A413" s="109">
        <f>IF(AND(F413="",G413=""),"",ROW()-6)</f>
      </c>
      <c r="B413" s="140" t="n"/>
      <c r="C413" s="141" t="n"/>
      <c r="D413" s="141" t="n"/>
      <c r="E413" s="142" t="n"/>
      <c r="F413" s="143" t="n"/>
      <c r="G413" s="144" t="n"/>
      <c r="H413" s="145">
        <f>IF(OR(C413="",AND(F413="",G413="")),"",SUMIF(基础资料!$W$5:$W$24,C413,基础资料!$X$5:$X$24)+SUMIF(C$7:C413,C413,F$7:F413)-SUMIF(C$7:C413,C413,G$7:G413))</f>
      </c>
      <c r="I413" s="145">
        <f>IF(AND(F413="",G413=""),"",SUM(基础资料!$X$5:$X$24)+SUM(F$7:F413)-SUM(G$7:G413))</f>
      </c>
      <c r="J413" s="141" t="n"/>
      <c r="K413" s="141" t="n"/>
      <c r="L413" s="141" t="n"/>
      <c r="M413" s="142" t="n"/>
      <c r="N413" s="146">
        <f>IF(AND(AND(F413="",G413=""),B413="",C413="",D413="",J413="",K413="",L413=""),"",IF(AND(F413="",G413=""),"✗ 没填金额",IF(AND(N(F413)&lt;&gt;0,N(G413)&lt;&gt;0),"✗ 收入、支出只能填一边",IF(NOT(ISNUMBER(B413)),"✗ 日期不是真日期（要像 2026/9/25 这样填）",IF(OR(B413&lt;年初日,B413&gt;年末日),"✗ 日期不在本会计年度",IF(C413="","✗ 没选账户",IF(COUNTIF(基础资料!$W$5:$W$24,C413)=0,"✗ 账户不在基础资料里",IF(O413="","✗ 没选收支项目",IF(P413="未知","✗ 收支项目不在基础资料里",IF(AND(P413="应收",J413=""),"✗ 这笔要选客户",IF(AND(P413="应收",COUNTIF(总览汇总!$B$5:$B$304,J413)=0),"✗ 客户不在总览汇总名单里",IF(AND(P413="应付",K413=""),"✗ 这笔要选供应商",IF(AND(P413="应付",COUNTIF(基础资料!$Q$5:$Q$54,K413)=0),"✗ 供应商不在基础资料里",IF(AND(P413="费用",L413=""),"✗ 费用支出要选费用项目",IF(AND(L413&lt;&gt;"",COUNTIF(基础资料!$AI$5:$AI$54,L413)=0),"✗ 费用项目不在基础资料里",IF(AND(IFERROR(INDEX(基础资料!$AD$5:$AD$34,MATCH(O413,基础资料!$AC$5:$AC$34,0)),"")="收",N(G413)&lt;&gt;0),"✗ 这类是收款，金额填到收入列",IF(AND(IFERROR(INDEX(基础资料!$AD$5:$AD$34,MATCH(O413,基础资料!$AC$5:$AC$34,0)),"")="支",N(F413)&lt;&gt;0),"✗ 这类是付款，金额填到支出列",IF(N(H413)&lt;0,"⚠ 账户余额成负数了，核对一下","√"))))))))))))))))))</f>
      </c>
      <c r="O413" s="78">
        <f>IF(D413&lt;&gt;"",D413,IF(AND(F413="",G413=""),"",IF(J413&lt;&gt;"",IF(N(F413)&gt;0,"客户回款","客户退款"),IF(K413&lt;&gt;"",IF(N(G413)&gt;0,"供应商付款","供应商退款"),IF(L413&lt;&gt;"","费用支出","")))))</f>
      </c>
      <c r="P413" s="78">
        <f>IF(O413="","",IFERROR(INDEX(基础资料!$AE$5:$AE$34,MATCH(O413,基础资料!$AC$5:$AC$34,0)),"未知"))</f>
      </c>
      <c r="Q413" s="78">
        <f>IF(P413="应收",COUNTIF(P$7:P413,"应收"),"")</f>
      </c>
      <c r="R413" s="78">
        <f>IF(P413="应付",COUNTIF(P$7:P413,"应付"),"")</f>
      </c>
      <c r="S413" s="78">
        <f>N(F413)-N(G413)</f>
        <v>0</v>
      </c>
    </row>
    <row r="414">
      <c r="A414" s="109">
        <f>IF(AND(F414="",G414=""),"",ROW()-6)</f>
      </c>
      <c r="B414" s="140" t="n"/>
      <c r="C414" s="141" t="n"/>
      <c r="D414" s="141" t="n"/>
      <c r="E414" s="142" t="n"/>
      <c r="F414" s="143" t="n"/>
      <c r="G414" s="144" t="n"/>
      <c r="H414" s="145">
        <f>IF(OR(C414="",AND(F414="",G414="")),"",SUMIF(基础资料!$W$5:$W$24,C414,基础资料!$X$5:$X$24)+SUMIF(C$7:C414,C414,F$7:F414)-SUMIF(C$7:C414,C414,G$7:G414))</f>
      </c>
      <c r="I414" s="145">
        <f>IF(AND(F414="",G414=""),"",SUM(基础资料!$X$5:$X$24)+SUM(F$7:F414)-SUM(G$7:G414))</f>
      </c>
      <c r="J414" s="141" t="n"/>
      <c r="K414" s="141" t="n"/>
      <c r="L414" s="141" t="n"/>
      <c r="M414" s="142" t="n"/>
      <c r="N414" s="146">
        <f>IF(AND(AND(F414="",G414=""),B414="",C414="",D414="",J414="",K414="",L414=""),"",IF(AND(F414="",G414=""),"✗ 没填金额",IF(AND(N(F414)&lt;&gt;0,N(G414)&lt;&gt;0),"✗ 收入、支出只能填一边",IF(NOT(ISNUMBER(B414)),"✗ 日期不是真日期（要像 2026/9/25 这样填）",IF(OR(B414&lt;年初日,B414&gt;年末日),"✗ 日期不在本会计年度",IF(C414="","✗ 没选账户",IF(COUNTIF(基础资料!$W$5:$W$24,C414)=0,"✗ 账户不在基础资料里",IF(O414="","✗ 没选收支项目",IF(P414="未知","✗ 收支项目不在基础资料里",IF(AND(P414="应收",J414=""),"✗ 这笔要选客户",IF(AND(P414="应收",COUNTIF(总览汇总!$B$5:$B$304,J414)=0),"✗ 客户不在总览汇总名单里",IF(AND(P414="应付",K414=""),"✗ 这笔要选供应商",IF(AND(P414="应付",COUNTIF(基础资料!$Q$5:$Q$54,K414)=0),"✗ 供应商不在基础资料里",IF(AND(P414="费用",L414=""),"✗ 费用支出要选费用项目",IF(AND(L414&lt;&gt;"",COUNTIF(基础资料!$AI$5:$AI$54,L414)=0),"✗ 费用项目不在基础资料里",IF(AND(IFERROR(INDEX(基础资料!$AD$5:$AD$34,MATCH(O414,基础资料!$AC$5:$AC$34,0)),"")="收",N(G414)&lt;&gt;0),"✗ 这类是收款，金额填到收入列",IF(AND(IFERROR(INDEX(基础资料!$AD$5:$AD$34,MATCH(O414,基础资料!$AC$5:$AC$34,0)),"")="支",N(F414)&lt;&gt;0),"✗ 这类是付款，金额填到支出列",IF(N(H414)&lt;0,"⚠ 账户余额成负数了，核对一下","√"))))))))))))))))))</f>
      </c>
      <c r="O414" s="78">
        <f>IF(D414&lt;&gt;"",D414,IF(AND(F414="",G414=""),"",IF(J414&lt;&gt;"",IF(N(F414)&gt;0,"客户回款","客户退款"),IF(K414&lt;&gt;"",IF(N(G414)&gt;0,"供应商付款","供应商退款"),IF(L414&lt;&gt;"","费用支出","")))))</f>
      </c>
      <c r="P414" s="78">
        <f>IF(O414="","",IFERROR(INDEX(基础资料!$AE$5:$AE$34,MATCH(O414,基础资料!$AC$5:$AC$34,0)),"未知"))</f>
      </c>
      <c r="Q414" s="78">
        <f>IF(P414="应收",COUNTIF(P$7:P414,"应收"),"")</f>
      </c>
      <c r="R414" s="78">
        <f>IF(P414="应付",COUNTIF(P$7:P414,"应付"),"")</f>
      </c>
      <c r="S414" s="78">
        <f>N(F414)-N(G414)</f>
        <v>0</v>
      </c>
    </row>
    <row r="415">
      <c r="A415" s="109">
        <f>IF(AND(F415="",G415=""),"",ROW()-6)</f>
      </c>
      <c r="B415" s="140" t="n"/>
      <c r="C415" s="141" t="n"/>
      <c r="D415" s="141" t="n"/>
      <c r="E415" s="142" t="n"/>
      <c r="F415" s="143" t="n"/>
      <c r="G415" s="144" t="n"/>
      <c r="H415" s="145">
        <f>IF(OR(C415="",AND(F415="",G415="")),"",SUMIF(基础资料!$W$5:$W$24,C415,基础资料!$X$5:$X$24)+SUMIF(C$7:C415,C415,F$7:F415)-SUMIF(C$7:C415,C415,G$7:G415))</f>
      </c>
      <c r="I415" s="145">
        <f>IF(AND(F415="",G415=""),"",SUM(基础资料!$X$5:$X$24)+SUM(F$7:F415)-SUM(G$7:G415))</f>
      </c>
      <c r="J415" s="141" t="n"/>
      <c r="K415" s="141" t="n"/>
      <c r="L415" s="141" t="n"/>
      <c r="M415" s="142" t="n"/>
      <c r="N415" s="146">
        <f>IF(AND(AND(F415="",G415=""),B415="",C415="",D415="",J415="",K415="",L415=""),"",IF(AND(F415="",G415=""),"✗ 没填金额",IF(AND(N(F415)&lt;&gt;0,N(G415)&lt;&gt;0),"✗ 收入、支出只能填一边",IF(NOT(ISNUMBER(B415)),"✗ 日期不是真日期（要像 2026/9/25 这样填）",IF(OR(B415&lt;年初日,B415&gt;年末日),"✗ 日期不在本会计年度",IF(C415="","✗ 没选账户",IF(COUNTIF(基础资料!$W$5:$W$24,C415)=0,"✗ 账户不在基础资料里",IF(O415="","✗ 没选收支项目",IF(P415="未知","✗ 收支项目不在基础资料里",IF(AND(P415="应收",J415=""),"✗ 这笔要选客户",IF(AND(P415="应收",COUNTIF(总览汇总!$B$5:$B$304,J415)=0),"✗ 客户不在总览汇总名单里",IF(AND(P415="应付",K415=""),"✗ 这笔要选供应商",IF(AND(P415="应付",COUNTIF(基础资料!$Q$5:$Q$54,K415)=0),"✗ 供应商不在基础资料里",IF(AND(P415="费用",L415=""),"✗ 费用支出要选费用项目",IF(AND(L415&lt;&gt;"",COUNTIF(基础资料!$AI$5:$AI$54,L415)=0),"✗ 费用项目不在基础资料里",IF(AND(IFERROR(INDEX(基础资料!$AD$5:$AD$34,MATCH(O415,基础资料!$AC$5:$AC$34,0)),"")="收",N(G415)&lt;&gt;0),"✗ 这类是收款，金额填到收入列",IF(AND(IFERROR(INDEX(基础资料!$AD$5:$AD$34,MATCH(O415,基础资料!$AC$5:$AC$34,0)),"")="支",N(F415)&lt;&gt;0),"✗ 这类是付款，金额填到支出列",IF(N(H415)&lt;0,"⚠ 账户余额成负数了，核对一下","√"))))))))))))))))))</f>
      </c>
      <c r="O415" s="78">
        <f>IF(D415&lt;&gt;"",D415,IF(AND(F415="",G415=""),"",IF(J415&lt;&gt;"",IF(N(F415)&gt;0,"客户回款","客户退款"),IF(K415&lt;&gt;"",IF(N(G415)&gt;0,"供应商付款","供应商退款"),IF(L415&lt;&gt;"","费用支出","")))))</f>
      </c>
      <c r="P415" s="78">
        <f>IF(O415="","",IFERROR(INDEX(基础资料!$AE$5:$AE$34,MATCH(O415,基础资料!$AC$5:$AC$34,0)),"未知"))</f>
      </c>
      <c r="Q415" s="78">
        <f>IF(P415="应收",COUNTIF(P$7:P415,"应收"),"")</f>
      </c>
      <c r="R415" s="78">
        <f>IF(P415="应付",COUNTIF(P$7:P415,"应付"),"")</f>
      </c>
      <c r="S415" s="78">
        <f>N(F415)-N(G415)</f>
        <v>0</v>
      </c>
    </row>
    <row r="416">
      <c r="A416" s="109">
        <f>IF(AND(F416="",G416=""),"",ROW()-6)</f>
      </c>
      <c r="B416" s="140" t="n"/>
      <c r="C416" s="141" t="n"/>
      <c r="D416" s="141" t="n"/>
      <c r="E416" s="142" t="n"/>
      <c r="F416" s="143" t="n"/>
      <c r="G416" s="144" t="n"/>
      <c r="H416" s="145">
        <f>IF(OR(C416="",AND(F416="",G416="")),"",SUMIF(基础资料!$W$5:$W$24,C416,基础资料!$X$5:$X$24)+SUMIF(C$7:C416,C416,F$7:F416)-SUMIF(C$7:C416,C416,G$7:G416))</f>
      </c>
      <c r="I416" s="145">
        <f>IF(AND(F416="",G416=""),"",SUM(基础资料!$X$5:$X$24)+SUM(F$7:F416)-SUM(G$7:G416))</f>
      </c>
      <c r="J416" s="141" t="n"/>
      <c r="K416" s="141" t="n"/>
      <c r="L416" s="141" t="n"/>
      <c r="M416" s="142" t="n"/>
      <c r="N416" s="146">
        <f>IF(AND(AND(F416="",G416=""),B416="",C416="",D416="",J416="",K416="",L416=""),"",IF(AND(F416="",G416=""),"✗ 没填金额",IF(AND(N(F416)&lt;&gt;0,N(G416)&lt;&gt;0),"✗ 收入、支出只能填一边",IF(NOT(ISNUMBER(B416)),"✗ 日期不是真日期（要像 2026/9/25 这样填）",IF(OR(B416&lt;年初日,B416&gt;年末日),"✗ 日期不在本会计年度",IF(C416="","✗ 没选账户",IF(COUNTIF(基础资料!$W$5:$W$24,C416)=0,"✗ 账户不在基础资料里",IF(O416="","✗ 没选收支项目",IF(P416="未知","✗ 收支项目不在基础资料里",IF(AND(P416="应收",J416=""),"✗ 这笔要选客户",IF(AND(P416="应收",COUNTIF(总览汇总!$B$5:$B$304,J416)=0),"✗ 客户不在总览汇总名单里",IF(AND(P416="应付",K416=""),"✗ 这笔要选供应商",IF(AND(P416="应付",COUNTIF(基础资料!$Q$5:$Q$54,K416)=0),"✗ 供应商不在基础资料里",IF(AND(P416="费用",L416=""),"✗ 费用支出要选费用项目",IF(AND(L416&lt;&gt;"",COUNTIF(基础资料!$AI$5:$AI$54,L416)=0),"✗ 费用项目不在基础资料里",IF(AND(IFERROR(INDEX(基础资料!$AD$5:$AD$34,MATCH(O416,基础资料!$AC$5:$AC$34,0)),"")="收",N(G416)&lt;&gt;0),"✗ 这类是收款，金额填到收入列",IF(AND(IFERROR(INDEX(基础资料!$AD$5:$AD$34,MATCH(O416,基础资料!$AC$5:$AC$34,0)),"")="支",N(F416)&lt;&gt;0),"✗ 这类是付款，金额填到支出列",IF(N(H416)&lt;0,"⚠ 账户余额成负数了，核对一下","√"))))))))))))))))))</f>
      </c>
      <c r="O416" s="78">
        <f>IF(D416&lt;&gt;"",D416,IF(AND(F416="",G416=""),"",IF(J416&lt;&gt;"",IF(N(F416)&gt;0,"客户回款","客户退款"),IF(K416&lt;&gt;"",IF(N(G416)&gt;0,"供应商付款","供应商退款"),IF(L416&lt;&gt;"","费用支出","")))))</f>
      </c>
      <c r="P416" s="78">
        <f>IF(O416="","",IFERROR(INDEX(基础资料!$AE$5:$AE$34,MATCH(O416,基础资料!$AC$5:$AC$34,0)),"未知"))</f>
      </c>
      <c r="Q416" s="78">
        <f>IF(P416="应收",COUNTIF(P$7:P416,"应收"),"")</f>
      </c>
      <c r="R416" s="78">
        <f>IF(P416="应付",COUNTIF(P$7:P416,"应付"),"")</f>
      </c>
      <c r="S416" s="78">
        <f>N(F416)-N(G416)</f>
        <v>0</v>
      </c>
    </row>
    <row r="417">
      <c r="A417" s="109">
        <f>IF(AND(F417="",G417=""),"",ROW()-6)</f>
      </c>
      <c r="B417" s="140" t="n"/>
      <c r="C417" s="141" t="n"/>
      <c r="D417" s="141" t="n"/>
      <c r="E417" s="142" t="n"/>
      <c r="F417" s="143" t="n"/>
      <c r="G417" s="144" t="n"/>
      <c r="H417" s="145">
        <f>IF(OR(C417="",AND(F417="",G417="")),"",SUMIF(基础资料!$W$5:$W$24,C417,基础资料!$X$5:$X$24)+SUMIF(C$7:C417,C417,F$7:F417)-SUMIF(C$7:C417,C417,G$7:G417))</f>
      </c>
      <c r="I417" s="145">
        <f>IF(AND(F417="",G417=""),"",SUM(基础资料!$X$5:$X$24)+SUM(F$7:F417)-SUM(G$7:G417))</f>
      </c>
      <c r="J417" s="141" t="n"/>
      <c r="K417" s="141" t="n"/>
      <c r="L417" s="141" t="n"/>
      <c r="M417" s="142" t="n"/>
      <c r="N417" s="146">
        <f>IF(AND(AND(F417="",G417=""),B417="",C417="",D417="",J417="",K417="",L417=""),"",IF(AND(F417="",G417=""),"✗ 没填金额",IF(AND(N(F417)&lt;&gt;0,N(G417)&lt;&gt;0),"✗ 收入、支出只能填一边",IF(NOT(ISNUMBER(B417)),"✗ 日期不是真日期（要像 2026/9/25 这样填）",IF(OR(B417&lt;年初日,B417&gt;年末日),"✗ 日期不在本会计年度",IF(C417="","✗ 没选账户",IF(COUNTIF(基础资料!$W$5:$W$24,C417)=0,"✗ 账户不在基础资料里",IF(O417="","✗ 没选收支项目",IF(P417="未知","✗ 收支项目不在基础资料里",IF(AND(P417="应收",J417=""),"✗ 这笔要选客户",IF(AND(P417="应收",COUNTIF(总览汇总!$B$5:$B$304,J417)=0),"✗ 客户不在总览汇总名单里",IF(AND(P417="应付",K417=""),"✗ 这笔要选供应商",IF(AND(P417="应付",COUNTIF(基础资料!$Q$5:$Q$54,K417)=0),"✗ 供应商不在基础资料里",IF(AND(P417="费用",L417=""),"✗ 费用支出要选费用项目",IF(AND(L417&lt;&gt;"",COUNTIF(基础资料!$AI$5:$AI$54,L417)=0),"✗ 费用项目不在基础资料里",IF(AND(IFERROR(INDEX(基础资料!$AD$5:$AD$34,MATCH(O417,基础资料!$AC$5:$AC$34,0)),"")="收",N(G417)&lt;&gt;0),"✗ 这类是收款，金额填到收入列",IF(AND(IFERROR(INDEX(基础资料!$AD$5:$AD$34,MATCH(O417,基础资料!$AC$5:$AC$34,0)),"")="支",N(F417)&lt;&gt;0),"✗ 这类是付款，金额填到支出列",IF(N(H417)&lt;0,"⚠ 账户余额成负数了，核对一下","√"))))))))))))))))))</f>
      </c>
      <c r="O417" s="78">
        <f>IF(D417&lt;&gt;"",D417,IF(AND(F417="",G417=""),"",IF(J417&lt;&gt;"",IF(N(F417)&gt;0,"客户回款","客户退款"),IF(K417&lt;&gt;"",IF(N(G417)&gt;0,"供应商付款","供应商退款"),IF(L417&lt;&gt;"","费用支出","")))))</f>
      </c>
      <c r="P417" s="78">
        <f>IF(O417="","",IFERROR(INDEX(基础资料!$AE$5:$AE$34,MATCH(O417,基础资料!$AC$5:$AC$34,0)),"未知"))</f>
      </c>
      <c r="Q417" s="78">
        <f>IF(P417="应收",COUNTIF(P$7:P417,"应收"),"")</f>
      </c>
      <c r="R417" s="78">
        <f>IF(P417="应付",COUNTIF(P$7:P417,"应付"),"")</f>
      </c>
      <c r="S417" s="78">
        <f>N(F417)-N(G417)</f>
        <v>0</v>
      </c>
    </row>
    <row r="418">
      <c r="A418" s="109">
        <f>IF(AND(F418="",G418=""),"",ROW()-6)</f>
      </c>
      <c r="B418" s="140" t="n"/>
      <c r="C418" s="141" t="n"/>
      <c r="D418" s="141" t="n"/>
      <c r="E418" s="142" t="n"/>
      <c r="F418" s="143" t="n"/>
      <c r="G418" s="144" t="n"/>
      <c r="H418" s="145">
        <f>IF(OR(C418="",AND(F418="",G418="")),"",SUMIF(基础资料!$W$5:$W$24,C418,基础资料!$X$5:$X$24)+SUMIF(C$7:C418,C418,F$7:F418)-SUMIF(C$7:C418,C418,G$7:G418))</f>
      </c>
      <c r="I418" s="145">
        <f>IF(AND(F418="",G418=""),"",SUM(基础资料!$X$5:$X$24)+SUM(F$7:F418)-SUM(G$7:G418))</f>
      </c>
      <c r="J418" s="141" t="n"/>
      <c r="K418" s="141" t="n"/>
      <c r="L418" s="141" t="n"/>
      <c r="M418" s="142" t="n"/>
      <c r="N418" s="146">
        <f>IF(AND(AND(F418="",G418=""),B418="",C418="",D418="",J418="",K418="",L418=""),"",IF(AND(F418="",G418=""),"✗ 没填金额",IF(AND(N(F418)&lt;&gt;0,N(G418)&lt;&gt;0),"✗ 收入、支出只能填一边",IF(NOT(ISNUMBER(B418)),"✗ 日期不是真日期（要像 2026/9/25 这样填）",IF(OR(B418&lt;年初日,B418&gt;年末日),"✗ 日期不在本会计年度",IF(C418="","✗ 没选账户",IF(COUNTIF(基础资料!$W$5:$W$24,C418)=0,"✗ 账户不在基础资料里",IF(O418="","✗ 没选收支项目",IF(P418="未知","✗ 收支项目不在基础资料里",IF(AND(P418="应收",J418=""),"✗ 这笔要选客户",IF(AND(P418="应收",COUNTIF(总览汇总!$B$5:$B$304,J418)=0),"✗ 客户不在总览汇总名单里",IF(AND(P418="应付",K418=""),"✗ 这笔要选供应商",IF(AND(P418="应付",COUNTIF(基础资料!$Q$5:$Q$54,K418)=0),"✗ 供应商不在基础资料里",IF(AND(P418="费用",L418=""),"✗ 费用支出要选费用项目",IF(AND(L418&lt;&gt;"",COUNTIF(基础资料!$AI$5:$AI$54,L418)=0),"✗ 费用项目不在基础资料里",IF(AND(IFERROR(INDEX(基础资料!$AD$5:$AD$34,MATCH(O418,基础资料!$AC$5:$AC$34,0)),"")="收",N(G418)&lt;&gt;0),"✗ 这类是收款，金额填到收入列",IF(AND(IFERROR(INDEX(基础资料!$AD$5:$AD$34,MATCH(O418,基础资料!$AC$5:$AC$34,0)),"")="支",N(F418)&lt;&gt;0),"✗ 这类是付款，金额填到支出列",IF(N(H418)&lt;0,"⚠ 账户余额成负数了，核对一下","√"))))))))))))))))))</f>
      </c>
      <c r="O418" s="78">
        <f>IF(D418&lt;&gt;"",D418,IF(AND(F418="",G418=""),"",IF(J418&lt;&gt;"",IF(N(F418)&gt;0,"客户回款","客户退款"),IF(K418&lt;&gt;"",IF(N(G418)&gt;0,"供应商付款","供应商退款"),IF(L418&lt;&gt;"","费用支出","")))))</f>
      </c>
      <c r="P418" s="78">
        <f>IF(O418="","",IFERROR(INDEX(基础资料!$AE$5:$AE$34,MATCH(O418,基础资料!$AC$5:$AC$34,0)),"未知"))</f>
      </c>
      <c r="Q418" s="78">
        <f>IF(P418="应收",COUNTIF(P$7:P418,"应收"),"")</f>
      </c>
      <c r="R418" s="78">
        <f>IF(P418="应付",COUNTIF(P$7:P418,"应付"),"")</f>
      </c>
      <c r="S418" s="78">
        <f>N(F418)-N(G418)</f>
        <v>0</v>
      </c>
    </row>
    <row r="419">
      <c r="A419" s="109">
        <f>IF(AND(F419="",G419=""),"",ROW()-6)</f>
      </c>
      <c r="B419" s="140" t="n"/>
      <c r="C419" s="141" t="n"/>
      <c r="D419" s="141" t="n"/>
      <c r="E419" s="142" t="n"/>
      <c r="F419" s="143" t="n"/>
      <c r="G419" s="144" t="n"/>
      <c r="H419" s="145">
        <f>IF(OR(C419="",AND(F419="",G419="")),"",SUMIF(基础资料!$W$5:$W$24,C419,基础资料!$X$5:$X$24)+SUMIF(C$7:C419,C419,F$7:F419)-SUMIF(C$7:C419,C419,G$7:G419))</f>
      </c>
      <c r="I419" s="145">
        <f>IF(AND(F419="",G419=""),"",SUM(基础资料!$X$5:$X$24)+SUM(F$7:F419)-SUM(G$7:G419))</f>
      </c>
      <c r="J419" s="141" t="n"/>
      <c r="K419" s="141" t="n"/>
      <c r="L419" s="141" t="n"/>
      <c r="M419" s="142" t="n"/>
      <c r="N419" s="146">
        <f>IF(AND(AND(F419="",G419=""),B419="",C419="",D419="",J419="",K419="",L419=""),"",IF(AND(F419="",G419=""),"✗ 没填金额",IF(AND(N(F419)&lt;&gt;0,N(G419)&lt;&gt;0),"✗ 收入、支出只能填一边",IF(NOT(ISNUMBER(B419)),"✗ 日期不是真日期（要像 2026/9/25 这样填）",IF(OR(B419&lt;年初日,B419&gt;年末日),"✗ 日期不在本会计年度",IF(C419="","✗ 没选账户",IF(COUNTIF(基础资料!$W$5:$W$24,C419)=0,"✗ 账户不在基础资料里",IF(O419="","✗ 没选收支项目",IF(P419="未知","✗ 收支项目不在基础资料里",IF(AND(P419="应收",J419=""),"✗ 这笔要选客户",IF(AND(P419="应收",COUNTIF(总览汇总!$B$5:$B$304,J419)=0),"✗ 客户不在总览汇总名单里",IF(AND(P419="应付",K419=""),"✗ 这笔要选供应商",IF(AND(P419="应付",COUNTIF(基础资料!$Q$5:$Q$54,K419)=0),"✗ 供应商不在基础资料里",IF(AND(P419="费用",L419=""),"✗ 费用支出要选费用项目",IF(AND(L419&lt;&gt;"",COUNTIF(基础资料!$AI$5:$AI$54,L419)=0),"✗ 费用项目不在基础资料里",IF(AND(IFERROR(INDEX(基础资料!$AD$5:$AD$34,MATCH(O419,基础资料!$AC$5:$AC$34,0)),"")="收",N(G419)&lt;&gt;0),"✗ 这类是收款，金额填到收入列",IF(AND(IFERROR(INDEX(基础资料!$AD$5:$AD$34,MATCH(O419,基础资料!$AC$5:$AC$34,0)),"")="支",N(F419)&lt;&gt;0),"✗ 这类是付款，金额填到支出列",IF(N(H419)&lt;0,"⚠ 账户余额成负数了，核对一下","√"))))))))))))))))))</f>
      </c>
      <c r="O419" s="78">
        <f>IF(D419&lt;&gt;"",D419,IF(AND(F419="",G419=""),"",IF(J419&lt;&gt;"",IF(N(F419)&gt;0,"客户回款","客户退款"),IF(K419&lt;&gt;"",IF(N(G419)&gt;0,"供应商付款","供应商退款"),IF(L419&lt;&gt;"","费用支出","")))))</f>
      </c>
      <c r="P419" s="78">
        <f>IF(O419="","",IFERROR(INDEX(基础资料!$AE$5:$AE$34,MATCH(O419,基础资料!$AC$5:$AC$34,0)),"未知"))</f>
      </c>
      <c r="Q419" s="78">
        <f>IF(P419="应收",COUNTIF(P$7:P419,"应收"),"")</f>
      </c>
      <c r="R419" s="78">
        <f>IF(P419="应付",COUNTIF(P$7:P419,"应付"),"")</f>
      </c>
      <c r="S419" s="78">
        <f>N(F419)-N(G419)</f>
        <v>0</v>
      </c>
    </row>
    <row r="420">
      <c r="A420" s="109">
        <f>IF(AND(F420="",G420=""),"",ROW()-6)</f>
      </c>
      <c r="B420" s="140" t="n"/>
      <c r="C420" s="141" t="n"/>
      <c r="D420" s="141" t="n"/>
      <c r="E420" s="142" t="n"/>
      <c r="F420" s="143" t="n"/>
      <c r="G420" s="144" t="n"/>
      <c r="H420" s="145">
        <f>IF(OR(C420="",AND(F420="",G420="")),"",SUMIF(基础资料!$W$5:$W$24,C420,基础资料!$X$5:$X$24)+SUMIF(C$7:C420,C420,F$7:F420)-SUMIF(C$7:C420,C420,G$7:G420))</f>
      </c>
      <c r="I420" s="145">
        <f>IF(AND(F420="",G420=""),"",SUM(基础资料!$X$5:$X$24)+SUM(F$7:F420)-SUM(G$7:G420))</f>
      </c>
      <c r="J420" s="141" t="n"/>
      <c r="K420" s="141" t="n"/>
      <c r="L420" s="141" t="n"/>
      <c r="M420" s="142" t="n"/>
      <c r="N420" s="146">
        <f>IF(AND(AND(F420="",G420=""),B420="",C420="",D420="",J420="",K420="",L420=""),"",IF(AND(F420="",G420=""),"✗ 没填金额",IF(AND(N(F420)&lt;&gt;0,N(G420)&lt;&gt;0),"✗ 收入、支出只能填一边",IF(NOT(ISNUMBER(B420)),"✗ 日期不是真日期（要像 2026/9/25 这样填）",IF(OR(B420&lt;年初日,B420&gt;年末日),"✗ 日期不在本会计年度",IF(C420="","✗ 没选账户",IF(COUNTIF(基础资料!$W$5:$W$24,C420)=0,"✗ 账户不在基础资料里",IF(O420="","✗ 没选收支项目",IF(P420="未知","✗ 收支项目不在基础资料里",IF(AND(P420="应收",J420=""),"✗ 这笔要选客户",IF(AND(P420="应收",COUNTIF(总览汇总!$B$5:$B$304,J420)=0),"✗ 客户不在总览汇总名单里",IF(AND(P420="应付",K420=""),"✗ 这笔要选供应商",IF(AND(P420="应付",COUNTIF(基础资料!$Q$5:$Q$54,K420)=0),"✗ 供应商不在基础资料里",IF(AND(P420="费用",L420=""),"✗ 费用支出要选费用项目",IF(AND(L420&lt;&gt;"",COUNTIF(基础资料!$AI$5:$AI$54,L420)=0),"✗ 费用项目不在基础资料里",IF(AND(IFERROR(INDEX(基础资料!$AD$5:$AD$34,MATCH(O420,基础资料!$AC$5:$AC$34,0)),"")="收",N(G420)&lt;&gt;0),"✗ 这类是收款，金额填到收入列",IF(AND(IFERROR(INDEX(基础资料!$AD$5:$AD$34,MATCH(O420,基础资料!$AC$5:$AC$34,0)),"")="支",N(F420)&lt;&gt;0),"✗ 这类是付款，金额填到支出列",IF(N(H420)&lt;0,"⚠ 账户余额成负数了，核对一下","√"))))))))))))))))))</f>
      </c>
      <c r="O420" s="78">
        <f>IF(D420&lt;&gt;"",D420,IF(AND(F420="",G420=""),"",IF(J420&lt;&gt;"",IF(N(F420)&gt;0,"客户回款","客户退款"),IF(K420&lt;&gt;"",IF(N(G420)&gt;0,"供应商付款","供应商退款"),IF(L420&lt;&gt;"","费用支出","")))))</f>
      </c>
      <c r="P420" s="78">
        <f>IF(O420="","",IFERROR(INDEX(基础资料!$AE$5:$AE$34,MATCH(O420,基础资料!$AC$5:$AC$34,0)),"未知"))</f>
      </c>
      <c r="Q420" s="78">
        <f>IF(P420="应收",COUNTIF(P$7:P420,"应收"),"")</f>
      </c>
      <c r="R420" s="78">
        <f>IF(P420="应付",COUNTIF(P$7:P420,"应付"),"")</f>
      </c>
      <c r="S420" s="78">
        <f>N(F420)-N(G420)</f>
        <v>0</v>
      </c>
    </row>
    <row r="421">
      <c r="A421" s="109">
        <f>IF(AND(F421="",G421=""),"",ROW()-6)</f>
      </c>
      <c r="B421" s="140" t="n"/>
      <c r="C421" s="141" t="n"/>
      <c r="D421" s="141" t="n"/>
      <c r="E421" s="142" t="n"/>
      <c r="F421" s="143" t="n"/>
      <c r="G421" s="144" t="n"/>
      <c r="H421" s="145">
        <f>IF(OR(C421="",AND(F421="",G421="")),"",SUMIF(基础资料!$W$5:$W$24,C421,基础资料!$X$5:$X$24)+SUMIF(C$7:C421,C421,F$7:F421)-SUMIF(C$7:C421,C421,G$7:G421))</f>
      </c>
      <c r="I421" s="145">
        <f>IF(AND(F421="",G421=""),"",SUM(基础资料!$X$5:$X$24)+SUM(F$7:F421)-SUM(G$7:G421))</f>
      </c>
      <c r="J421" s="141" t="n"/>
      <c r="K421" s="141" t="n"/>
      <c r="L421" s="141" t="n"/>
      <c r="M421" s="142" t="n"/>
      <c r="N421" s="146">
        <f>IF(AND(AND(F421="",G421=""),B421="",C421="",D421="",J421="",K421="",L421=""),"",IF(AND(F421="",G421=""),"✗ 没填金额",IF(AND(N(F421)&lt;&gt;0,N(G421)&lt;&gt;0),"✗ 收入、支出只能填一边",IF(NOT(ISNUMBER(B421)),"✗ 日期不是真日期（要像 2026/9/25 这样填）",IF(OR(B421&lt;年初日,B421&gt;年末日),"✗ 日期不在本会计年度",IF(C421="","✗ 没选账户",IF(COUNTIF(基础资料!$W$5:$W$24,C421)=0,"✗ 账户不在基础资料里",IF(O421="","✗ 没选收支项目",IF(P421="未知","✗ 收支项目不在基础资料里",IF(AND(P421="应收",J421=""),"✗ 这笔要选客户",IF(AND(P421="应收",COUNTIF(总览汇总!$B$5:$B$304,J421)=0),"✗ 客户不在总览汇总名单里",IF(AND(P421="应付",K421=""),"✗ 这笔要选供应商",IF(AND(P421="应付",COUNTIF(基础资料!$Q$5:$Q$54,K421)=0),"✗ 供应商不在基础资料里",IF(AND(P421="费用",L421=""),"✗ 费用支出要选费用项目",IF(AND(L421&lt;&gt;"",COUNTIF(基础资料!$AI$5:$AI$54,L421)=0),"✗ 费用项目不在基础资料里",IF(AND(IFERROR(INDEX(基础资料!$AD$5:$AD$34,MATCH(O421,基础资料!$AC$5:$AC$34,0)),"")="收",N(G421)&lt;&gt;0),"✗ 这类是收款，金额填到收入列",IF(AND(IFERROR(INDEX(基础资料!$AD$5:$AD$34,MATCH(O421,基础资料!$AC$5:$AC$34,0)),"")="支",N(F421)&lt;&gt;0),"✗ 这类是付款，金额填到支出列",IF(N(H421)&lt;0,"⚠ 账户余额成负数了，核对一下","√"))))))))))))))))))</f>
      </c>
      <c r="O421" s="78">
        <f>IF(D421&lt;&gt;"",D421,IF(AND(F421="",G421=""),"",IF(J421&lt;&gt;"",IF(N(F421)&gt;0,"客户回款","客户退款"),IF(K421&lt;&gt;"",IF(N(G421)&gt;0,"供应商付款","供应商退款"),IF(L421&lt;&gt;"","费用支出","")))))</f>
      </c>
      <c r="P421" s="78">
        <f>IF(O421="","",IFERROR(INDEX(基础资料!$AE$5:$AE$34,MATCH(O421,基础资料!$AC$5:$AC$34,0)),"未知"))</f>
      </c>
      <c r="Q421" s="78">
        <f>IF(P421="应收",COUNTIF(P$7:P421,"应收"),"")</f>
      </c>
      <c r="R421" s="78">
        <f>IF(P421="应付",COUNTIF(P$7:P421,"应付"),"")</f>
      </c>
      <c r="S421" s="78">
        <f>N(F421)-N(G421)</f>
        <v>0</v>
      </c>
    </row>
    <row r="422">
      <c r="A422" s="109">
        <f>IF(AND(F422="",G422=""),"",ROW()-6)</f>
      </c>
      <c r="B422" s="140" t="n"/>
      <c r="C422" s="141" t="n"/>
      <c r="D422" s="141" t="n"/>
      <c r="E422" s="142" t="n"/>
      <c r="F422" s="143" t="n"/>
      <c r="G422" s="144" t="n"/>
      <c r="H422" s="145">
        <f>IF(OR(C422="",AND(F422="",G422="")),"",SUMIF(基础资料!$W$5:$W$24,C422,基础资料!$X$5:$X$24)+SUMIF(C$7:C422,C422,F$7:F422)-SUMIF(C$7:C422,C422,G$7:G422))</f>
      </c>
      <c r="I422" s="145">
        <f>IF(AND(F422="",G422=""),"",SUM(基础资料!$X$5:$X$24)+SUM(F$7:F422)-SUM(G$7:G422))</f>
      </c>
      <c r="J422" s="141" t="n"/>
      <c r="K422" s="141" t="n"/>
      <c r="L422" s="141" t="n"/>
      <c r="M422" s="142" t="n"/>
      <c r="N422" s="146">
        <f>IF(AND(AND(F422="",G422=""),B422="",C422="",D422="",J422="",K422="",L422=""),"",IF(AND(F422="",G422=""),"✗ 没填金额",IF(AND(N(F422)&lt;&gt;0,N(G422)&lt;&gt;0),"✗ 收入、支出只能填一边",IF(NOT(ISNUMBER(B422)),"✗ 日期不是真日期（要像 2026/9/25 这样填）",IF(OR(B422&lt;年初日,B422&gt;年末日),"✗ 日期不在本会计年度",IF(C422="","✗ 没选账户",IF(COUNTIF(基础资料!$W$5:$W$24,C422)=0,"✗ 账户不在基础资料里",IF(O422="","✗ 没选收支项目",IF(P422="未知","✗ 收支项目不在基础资料里",IF(AND(P422="应收",J422=""),"✗ 这笔要选客户",IF(AND(P422="应收",COUNTIF(总览汇总!$B$5:$B$304,J422)=0),"✗ 客户不在总览汇总名单里",IF(AND(P422="应付",K422=""),"✗ 这笔要选供应商",IF(AND(P422="应付",COUNTIF(基础资料!$Q$5:$Q$54,K422)=0),"✗ 供应商不在基础资料里",IF(AND(P422="费用",L422=""),"✗ 费用支出要选费用项目",IF(AND(L422&lt;&gt;"",COUNTIF(基础资料!$AI$5:$AI$54,L422)=0),"✗ 费用项目不在基础资料里",IF(AND(IFERROR(INDEX(基础资料!$AD$5:$AD$34,MATCH(O422,基础资料!$AC$5:$AC$34,0)),"")="收",N(G422)&lt;&gt;0),"✗ 这类是收款，金额填到收入列",IF(AND(IFERROR(INDEX(基础资料!$AD$5:$AD$34,MATCH(O422,基础资料!$AC$5:$AC$34,0)),"")="支",N(F422)&lt;&gt;0),"✗ 这类是付款，金额填到支出列",IF(N(H422)&lt;0,"⚠ 账户余额成负数了，核对一下","√"))))))))))))))))))</f>
      </c>
      <c r="O422" s="78">
        <f>IF(D422&lt;&gt;"",D422,IF(AND(F422="",G422=""),"",IF(J422&lt;&gt;"",IF(N(F422)&gt;0,"客户回款","客户退款"),IF(K422&lt;&gt;"",IF(N(G422)&gt;0,"供应商付款","供应商退款"),IF(L422&lt;&gt;"","费用支出","")))))</f>
      </c>
      <c r="P422" s="78">
        <f>IF(O422="","",IFERROR(INDEX(基础资料!$AE$5:$AE$34,MATCH(O422,基础资料!$AC$5:$AC$34,0)),"未知"))</f>
      </c>
      <c r="Q422" s="78">
        <f>IF(P422="应收",COUNTIF(P$7:P422,"应收"),"")</f>
      </c>
      <c r="R422" s="78">
        <f>IF(P422="应付",COUNTIF(P$7:P422,"应付"),"")</f>
      </c>
      <c r="S422" s="78">
        <f>N(F422)-N(G422)</f>
        <v>0</v>
      </c>
    </row>
    <row r="423">
      <c r="A423" s="109">
        <f>IF(AND(F423="",G423=""),"",ROW()-6)</f>
      </c>
      <c r="B423" s="140" t="n"/>
      <c r="C423" s="141" t="n"/>
      <c r="D423" s="141" t="n"/>
      <c r="E423" s="142" t="n"/>
      <c r="F423" s="143" t="n"/>
      <c r="G423" s="144" t="n"/>
      <c r="H423" s="145">
        <f>IF(OR(C423="",AND(F423="",G423="")),"",SUMIF(基础资料!$W$5:$W$24,C423,基础资料!$X$5:$X$24)+SUMIF(C$7:C423,C423,F$7:F423)-SUMIF(C$7:C423,C423,G$7:G423))</f>
      </c>
      <c r="I423" s="145">
        <f>IF(AND(F423="",G423=""),"",SUM(基础资料!$X$5:$X$24)+SUM(F$7:F423)-SUM(G$7:G423))</f>
      </c>
      <c r="J423" s="141" t="n"/>
      <c r="K423" s="141" t="n"/>
      <c r="L423" s="141" t="n"/>
      <c r="M423" s="142" t="n"/>
      <c r="N423" s="146">
        <f>IF(AND(AND(F423="",G423=""),B423="",C423="",D423="",J423="",K423="",L423=""),"",IF(AND(F423="",G423=""),"✗ 没填金额",IF(AND(N(F423)&lt;&gt;0,N(G423)&lt;&gt;0),"✗ 收入、支出只能填一边",IF(NOT(ISNUMBER(B423)),"✗ 日期不是真日期（要像 2026/9/25 这样填）",IF(OR(B423&lt;年初日,B423&gt;年末日),"✗ 日期不在本会计年度",IF(C423="","✗ 没选账户",IF(COUNTIF(基础资料!$W$5:$W$24,C423)=0,"✗ 账户不在基础资料里",IF(O423="","✗ 没选收支项目",IF(P423="未知","✗ 收支项目不在基础资料里",IF(AND(P423="应收",J423=""),"✗ 这笔要选客户",IF(AND(P423="应收",COUNTIF(总览汇总!$B$5:$B$304,J423)=0),"✗ 客户不在总览汇总名单里",IF(AND(P423="应付",K423=""),"✗ 这笔要选供应商",IF(AND(P423="应付",COUNTIF(基础资料!$Q$5:$Q$54,K423)=0),"✗ 供应商不在基础资料里",IF(AND(P423="费用",L423=""),"✗ 费用支出要选费用项目",IF(AND(L423&lt;&gt;"",COUNTIF(基础资料!$AI$5:$AI$54,L423)=0),"✗ 费用项目不在基础资料里",IF(AND(IFERROR(INDEX(基础资料!$AD$5:$AD$34,MATCH(O423,基础资料!$AC$5:$AC$34,0)),"")="收",N(G423)&lt;&gt;0),"✗ 这类是收款，金额填到收入列",IF(AND(IFERROR(INDEX(基础资料!$AD$5:$AD$34,MATCH(O423,基础资料!$AC$5:$AC$34,0)),"")="支",N(F423)&lt;&gt;0),"✗ 这类是付款，金额填到支出列",IF(N(H423)&lt;0,"⚠ 账户余额成负数了，核对一下","√"))))))))))))))))))</f>
      </c>
      <c r="O423" s="78">
        <f>IF(D423&lt;&gt;"",D423,IF(AND(F423="",G423=""),"",IF(J423&lt;&gt;"",IF(N(F423)&gt;0,"客户回款","客户退款"),IF(K423&lt;&gt;"",IF(N(G423)&gt;0,"供应商付款","供应商退款"),IF(L423&lt;&gt;"","费用支出","")))))</f>
      </c>
      <c r="P423" s="78">
        <f>IF(O423="","",IFERROR(INDEX(基础资料!$AE$5:$AE$34,MATCH(O423,基础资料!$AC$5:$AC$34,0)),"未知"))</f>
      </c>
      <c r="Q423" s="78">
        <f>IF(P423="应收",COUNTIF(P$7:P423,"应收"),"")</f>
      </c>
      <c r="R423" s="78">
        <f>IF(P423="应付",COUNTIF(P$7:P423,"应付"),"")</f>
      </c>
      <c r="S423" s="78">
        <f>N(F423)-N(G423)</f>
        <v>0</v>
      </c>
    </row>
    <row r="424">
      <c r="A424" s="109">
        <f>IF(AND(F424="",G424=""),"",ROW()-6)</f>
      </c>
      <c r="B424" s="140" t="n"/>
      <c r="C424" s="141" t="n"/>
      <c r="D424" s="141" t="n"/>
      <c r="E424" s="142" t="n"/>
      <c r="F424" s="143" t="n"/>
      <c r="G424" s="144" t="n"/>
      <c r="H424" s="145">
        <f>IF(OR(C424="",AND(F424="",G424="")),"",SUMIF(基础资料!$W$5:$W$24,C424,基础资料!$X$5:$X$24)+SUMIF(C$7:C424,C424,F$7:F424)-SUMIF(C$7:C424,C424,G$7:G424))</f>
      </c>
      <c r="I424" s="145">
        <f>IF(AND(F424="",G424=""),"",SUM(基础资料!$X$5:$X$24)+SUM(F$7:F424)-SUM(G$7:G424))</f>
      </c>
      <c r="J424" s="141" t="n"/>
      <c r="K424" s="141" t="n"/>
      <c r="L424" s="141" t="n"/>
      <c r="M424" s="142" t="n"/>
      <c r="N424" s="146">
        <f>IF(AND(AND(F424="",G424=""),B424="",C424="",D424="",J424="",K424="",L424=""),"",IF(AND(F424="",G424=""),"✗ 没填金额",IF(AND(N(F424)&lt;&gt;0,N(G424)&lt;&gt;0),"✗ 收入、支出只能填一边",IF(NOT(ISNUMBER(B424)),"✗ 日期不是真日期（要像 2026/9/25 这样填）",IF(OR(B424&lt;年初日,B424&gt;年末日),"✗ 日期不在本会计年度",IF(C424="","✗ 没选账户",IF(COUNTIF(基础资料!$W$5:$W$24,C424)=0,"✗ 账户不在基础资料里",IF(O424="","✗ 没选收支项目",IF(P424="未知","✗ 收支项目不在基础资料里",IF(AND(P424="应收",J424=""),"✗ 这笔要选客户",IF(AND(P424="应收",COUNTIF(总览汇总!$B$5:$B$304,J424)=0),"✗ 客户不在总览汇总名单里",IF(AND(P424="应付",K424=""),"✗ 这笔要选供应商",IF(AND(P424="应付",COUNTIF(基础资料!$Q$5:$Q$54,K424)=0),"✗ 供应商不在基础资料里",IF(AND(P424="费用",L424=""),"✗ 费用支出要选费用项目",IF(AND(L424&lt;&gt;"",COUNTIF(基础资料!$AI$5:$AI$54,L424)=0),"✗ 费用项目不在基础资料里",IF(AND(IFERROR(INDEX(基础资料!$AD$5:$AD$34,MATCH(O424,基础资料!$AC$5:$AC$34,0)),"")="收",N(G424)&lt;&gt;0),"✗ 这类是收款，金额填到收入列",IF(AND(IFERROR(INDEX(基础资料!$AD$5:$AD$34,MATCH(O424,基础资料!$AC$5:$AC$34,0)),"")="支",N(F424)&lt;&gt;0),"✗ 这类是付款，金额填到支出列",IF(N(H424)&lt;0,"⚠ 账户余额成负数了，核对一下","√"))))))))))))))))))</f>
      </c>
      <c r="O424" s="78">
        <f>IF(D424&lt;&gt;"",D424,IF(AND(F424="",G424=""),"",IF(J424&lt;&gt;"",IF(N(F424)&gt;0,"客户回款","客户退款"),IF(K424&lt;&gt;"",IF(N(G424)&gt;0,"供应商付款","供应商退款"),IF(L424&lt;&gt;"","费用支出","")))))</f>
      </c>
      <c r="P424" s="78">
        <f>IF(O424="","",IFERROR(INDEX(基础资料!$AE$5:$AE$34,MATCH(O424,基础资料!$AC$5:$AC$34,0)),"未知"))</f>
      </c>
      <c r="Q424" s="78">
        <f>IF(P424="应收",COUNTIF(P$7:P424,"应收"),"")</f>
      </c>
      <c r="R424" s="78">
        <f>IF(P424="应付",COUNTIF(P$7:P424,"应付"),"")</f>
      </c>
      <c r="S424" s="78">
        <f>N(F424)-N(G424)</f>
        <v>0</v>
      </c>
    </row>
    <row r="425">
      <c r="A425" s="109">
        <f>IF(AND(F425="",G425=""),"",ROW()-6)</f>
      </c>
      <c r="B425" s="140" t="n"/>
      <c r="C425" s="141" t="n"/>
      <c r="D425" s="141" t="n"/>
      <c r="E425" s="142" t="n"/>
      <c r="F425" s="143" t="n"/>
      <c r="G425" s="144" t="n"/>
      <c r="H425" s="145">
        <f>IF(OR(C425="",AND(F425="",G425="")),"",SUMIF(基础资料!$W$5:$W$24,C425,基础资料!$X$5:$X$24)+SUMIF(C$7:C425,C425,F$7:F425)-SUMIF(C$7:C425,C425,G$7:G425))</f>
      </c>
      <c r="I425" s="145">
        <f>IF(AND(F425="",G425=""),"",SUM(基础资料!$X$5:$X$24)+SUM(F$7:F425)-SUM(G$7:G425))</f>
      </c>
      <c r="J425" s="141" t="n"/>
      <c r="K425" s="141" t="n"/>
      <c r="L425" s="141" t="n"/>
      <c r="M425" s="142" t="n"/>
      <c r="N425" s="146">
        <f>IF(AND(AND(F425="",G425=""),B425="",C425="",D425="",J425="",K425="",L425=""),"",IF(AND(F425="",G425=""),"✗ 没填金额",IF(AND(N(F425)&lt;&gt;0,N(G425)&lt;&gt;0),"✗ 收入、支出只能填一边",IF(NOT(ISNUMBER(B425)),"✗ 日期不是真日期（要像 2026/9/25 这样填）",IF(OR(B425&lt;年初日,B425&gt;年末日),"✗ 日期不在本会计年度",IF(C425="","✗ 没选账户",IF(COUNTIF(基础资料!$W$5:$W$24,C425)=0,"✗ 账户不在基础资料里",IF(O425="","✗ 没选收支项目",IF(P425="未知","✗ 收支项目不在基础资料里",IF(AND(P425="应收",J425=""),"✗ 这笔要选客户",IF(AND(P425="应收",COUNTIF(总览汇总!$B$5:$B$304,J425)=0),"✗ 客户不在总览汇总名单里",IF(AND(P425="应付",K425=""),"✗ 这笔要选供应商",IF(AND(P425="应付",COUNTIF(基础资料!$Q$5:$Q$54,K425)=0),"✗ 供应商不在基础资料里",IF(AND(P425="费用",L425=""),"✗ 费用支出要选费用项目",IF(AND(L425&lt;&gt;"",COUNTIF(基础资料!$AI$5:$AI$54,L425)=0),"✗ 费用项目不在基础资料里",IF(AND(IFERROR(INDEX(基础资料!$AD$5:$AD$34,MATCH(O425,基础资料!$AC$5:$AC$34,0)),"")="收",N(G425)&lt;&gt;0),"✗ 这类是收款，金额填到收入列",IF(AND(IFERROR(INDEX(基础资料!$AD$5:$AD$34,MATCH(O425,基础资料!$AC$5:$AC$34,0)),"")="支",N(F425)&lt;&gt;0),"✗ 这类是付款，金额填到支出列",IF(N(H425)&lt;0,"⚠ 账户余额成负数了，核对一下","√"))))))))))))))))))</f>
      </c>
      <c r="O425" s="78">
        <f>IF(D425&lt;&gt;"",D425,IF(AND(F425="",G425=""),"",IF(J425&lt;&gt;"",IF(N(F425)&gt;0,"客户回款","客户退款"),IF(K425&lt;&gt;"",IF(N(G425)&gt;0,"供应商付款","供应商退款"),IF(L425&lt;&gt;"","费用支出","")))))</f>
      </c>
      <c r="P425" s="78">
        <f>IF(O425="","",IFERROR(INDEX(基础资料!$AE$5:$AE$34,MATCH(O425,基础资料!$AC$5:$AC$34,0)),"未知"))</f>
      </c>
      <c r="Q425" s="78">
        <f>IF(P425="应收",COUNTIF(P$7:P425,"应收"),"")</f>
      </c>
      <c r="R425" s="78">
        <f>IF(P425="应付",COUNTIF(P$7:P425,"应付"),"")</f>
      </c>
      <c r="S425" s="78">
        <f>N(F425)-N(G425)</f>
        <v>0</v>
      </c>
    </row>
    <row r="426">
      <c r="A426" s="109">
        <f>IF(AND(F426="",G426=""),"",ROW()-6)</f>
      </c>
      <c r="B426" s="140" t="n"/>
      <c r="C426" s="141" t="n"/>
      <c r="D426" s="141" t="n"/>
      <c r="E426" s="142" t="n"/>
      <c r="F426" s="143" t="n"/>
      <c r="G426" s="144" t="n"/>
      <c r="H426" s="145">
        <f>IF(OR(C426="",AND(F426="",G426="")),"",SUMIF(基础资料!$W$5:$W$24,C426,基础资料!$X$5:$X$24)+SUMIF(C$7:C426,C426,F$7:F426)-SUMIF(C$7:C426,C426,G$7:G426))</f>
      </c>
      <c r="I426" s="145">
        <f>IF(AND(F426="",G426=""),"",SUM(基础资料!$X$5:$X$24)+SUM(F$7:F426)-SUM(G$7:G426))</f>
      </c>
      <c r="J426" s="141" t="n"/>
      <c r="K426" s="141" t="n"/>
      <c r="L426" s="141" t="n"/>
      <c r="M426" s="142" t="n"/>
      <c r="N426" s="146">
        <f>IF(AND(AND(F426="",G426=""),B426="",C426="",D426="",J426="",K426="",L426=""),"",IF(AND(F426="",G426=""),"✗ 没填金额",IF(AND(N(F426)&lt;&gt;0,N(G426)&lt;&gt;0),"✗ 收入、支出只能填一边",IF(NOT(ISNUMBER(B426)),"✗ 日期不是真日期（要像 2026/9/25 这样填）",IF(OR(B426&lt;年初日,B426&gt;年末日),"✗ 日期不在本会计年度",IF(C426="","✗ 没选账户",IF(COUNTIF(基础资料!$W$5:$W$24,C426)=0,"✗ 账户不在基础资料里",IF(O426="","✗ 没选收支项目",IF(P426="未知","✗ 收支项目不在基础资料里",IF(AND(P426="应收",J426=""),"✗ 这笔要选客户",IF(AND(P426="应收",COUNTIF(总览汇总!$B$5:$B$304,J426)=0),"✗ 客户不在总览汇总名单里",IF(AND(P426="应付",K426=""),"✗ 这笔要选供应商",IF(AND(P426="应付",COUNTIF(基础资料!$Q$5:$Q$54,K426)=0),"✗ 供应商不在基础资料里",IF(AND(P426="费用",L426=""),"✗ 费用支出要选费用项目",IF(AND(L426&lt;&gt;"",COUNTIF(基础资料!$AI$5:$AI$54,L426)=0),"✗ 费用项目不在基础资料里",IF(AND(IFERROR(INDEX(基础资料!$AD$5:$AD$34,MATCH(O426,基础资料!$AC$5:$AC$34,0)),"")="收",N(G426)&lt;&gt;0),"✗ 这类是收款，金额填到收入列",IF(AND(IFERROR(INDEX(基础资料!$AD$5:$AD$34,MATCH(O426,基础资料!$AC$5:$AC$34,0)),"")="支",N(F426)&lt;&gt;0),"✗ 这类是付款，金额填到支出列",IF(N(H426)&lt;0,"⚠ 账户余额成负数了，核对一下","√"))))))))))))))))))</f>
      </c>
      <c r="O426" s="78">
        <f>IF(D426&lt;&gt;"",D426,IF(AND(F426="",G426=""),"",IF(J426&lt;&gt;"",IF(N(F426)&gt;0,"客户回款","客户退款"),IF(K426&lt;&gt;"",IF(N(G426)&gt;0,"供应商付款","供应商退款"),IF(L426&lt;&gt;"","费用支出","")))))</f>
      </c>
      <c r="P426" s="78">
        <f>IF(O426="","",IFERROR(INDEX(基础资料!$AE$5:$AE$34,MATCH(O426,基础资料!$AC$5:$AC$34,0)),"未知"))</f>
      </c>
      <c r="Q426" s="78">
        <f>IF(P426="应收",COUNTIF(P$7:P426,"应收"),"")</f>
      </c>
      <c r="R426" s="78">
        <f>IF(P426="应付",COUNTIF(P$7:P426,"应付"),"")</f>
      </c>
      <c r="S426" s="78">
        <f>N(F426)-N(G426)</f>
        <v>0</v>
      </c>
    </row>
    <row r="427">
      <c r="A427" s="109">
        <f>IF(AND(F427="",G427=""),"",ROW()-6)</f>
      </c>
      <c r="B427" s="140" t="n"/>
      <c r="C427" s="141" t="n"/>
      <c r="D427" s="141" t="n"/>
      <c r="E427" s="142" t="n"/>
      <c r="F427" s="143" t="n"/>
      <c r="G427" s="144" t="n"/>
      <c r="H427" s="145">
        <f>IF(OR(C427="",AND(F427="",G427="")),"",SUMIF(基础资料!$W$5:$W$24,C427,基础资料!$X$5:$X$24)+SUMIF(C$7:C427,C427,F$7:F427)-SUMIF(C$7:C427,C427,G$7:G427))</f>
      </c>
      <c r="I427" s="145">
        <f>IF(AND(F427="",G427=""),"",SUM(基础资料!$X$5:$X$24)+SUM(F$7:F427)-SUM(G$7:G427))</f>
      </c>
      <c r="J427" s="141" t="n"/>
      <c r="K427" s="141" t="n"/>
      <c r="L427" s="141" t="n"/>
      <c r="M427" s="142" t="n"/>
      <c r="N427" s="146">
        <f>IF(AND(AND(F427="",G427=""),B427="",C427="",D427="",J427="",K427="",L427=""),"",IF(AND(F427="",G427=""),"✗ 没填金额",IF(AND(N(F427)&lt;&gt;0,N(G427)&lt;&gt;0),"✗ 收入、支出只能填一边",IF(NOT(ISNUMBER(B427)),"✗ 日期不是真日期（要像 2026/9/25 这样填）",IF(OR(B427&lt;年初日,B427&gt;年末日),"✗ 日期不在本会计年度",IF(C427="","✗ 没选账户",IF(COUNTIF(基础资料!$W$5:$W$24,C427)=0,"✗ 账户不在基础资料里",IF(O427="","✗ 没选收支项目",IF(P427="未知","✗ 收支项目不在基础资料里",IF(AND(P427="应收",J427=""),"✗ 这笔要选客户",IF(AND(P427="应收",COUNTIF(总览汇总!$B$5:$B$304,J427)=0),"✗ 客户不在总览汇总名单里",IF(AND(P427="应付",K427=""),"✗ 这笔要选供应商",IF(AND(P427="应付",COUNTIF(基础资料!$Q$5:$Q$54,K427)=0),"✗ 供应商不在基础资料里",IF(AND(P427="费用",L427=""),"✗ 费用支出要选费用项目",IF(AND(L427&lt;&gt;"",COUNTIF(基础资料!$AI$5:$AI$54,L427)=0),"✗ 费用项目不在基础资料里",IF(AND(IFERROR(INDEX(基础资料!$AD$5:$AD$34,MATCH(O427,基础资料!$AC$5:$AC$34,0)),"")="收",N(G427)&lt;&gt;0),"✗ 这类是收款，金额填到收入列",IF(AND(IFERROR(INDEX(基础资料!$AD$5:$AD$34,MATCH(O427,基础资料!$AC$5:$AC$34,0)),"")="支",N(F427)&lt;&gt;0),"✗ 这类是付款，金额填到支出列",IF(N(H427)&lt;0,"⚠ 账户余额成负数了，核对一下","√"))))))))))))))))))</f>
      </c>
      <c r="O427" s="78">
        <f>IF(D427&lt;&gt;"",D427,IF(AND(F427="",G427=""),"",IF(J427&lt;&gt;"",IF(N(F427)&gt;0,"客户回款","客户退款"),IF(K427&lt;&gt;"",IF(N(G427)&gt;0,"供应商付款","供应商退款"),IF(L427&lt;&gt;"","费用支出","")))))</f>
      </c>
      <c r="P427" s="78">
        <f>IF(O427="","",IFERROR(INDEX(基础资料!$AE$5:$AE$34,MATCH(O427,基础资料!$AC$5:$AC$34,0)),"未知"))</f>
      </c>
      <c r="Q427" s="78">
        <f>IF(P427="应收",COUNTIF(P$7:P427,"应收"),"")</f>
      </c>
      <c r="R427" s="78">
        <f>IF(P427="应付",COUNTIF(P$7:P427,"应付"),"")</f>
      </c>
      <c r="S427" s="78">
        <f>N(F427)-N(G427)</f>
        <v>0</v>
      </c>
    </row>
    <row r="428">
      <c r="A428" s="109">
        <f>IF(AND(F428="",G428=""),"",ROW()-6)</f>
      </c>
      <c r="B428" s="140" t="n"/>
      <c r="C428" s="141" t="n"/>
      <c r="D428" s="141" t="n"/>
      <c r="E428" s="142" t="n"/>
      <c r="F428" s="143" t="n"/>
      <c r="G428" s="144" t="n"/>
      <c r="H428" s="145">
        <f>IF(OR(C428="",AND(F428="",G428="")),"",SUMIF(基础资料!$W$5:$W$24,C428,基础资料!$X$5:$X$24)+SUMIF(C$7:C428,C428,F$7:F428)-SUMIF(C$7:C428,C428,G$7:G428))</f>
      </c>
      <c r="I428" s="145">
        <f>IF(AND(F428="",G428=""),"",SUM(基础资料!$X$5:$X$24)+SUM(F$7:F428)-SUM(G$7:G428))</f>
      </c>
      <c r="J428" s="141" t="n"/>
      <c r="K428" s="141" t="n"/>
      <c r="L428" s="141" t="n"/>
      <c r="M428" s="142" t="n"/>
      <c r="N428" s="146">
        <f>IF(AND(AND(F428="",G428=""),B428="",C428="",D428="",J428="",K428="",L428=""),"",IF(AND(F428="",G428=""),"✗ 没填金额",IF(AND(N(F428)&lt;&gt;0,N(G428)&lt;&gt;0),"✗ 收入、支出只能填一边",IF(NOT(ISNUMBER(B428)),"✗ 日期不是真日期（要像 2026/9/25 这样填）",IF(OR(B428&lt;年初日,B428&gt;年末日),"✗ 日期不在本会计年度",IF(C428="","✗ 没选账户",IF(COUNTIF(基础资料!$W$5:$W$24,C428)=0,"✗ 账户不在基础资料里",IF(O428="","✗ 没选收支项目",IF(P428="未知","✗ 收支项目不在基础资料里",IF(AND(P428="应收",J428=""),"✗ 这笔要选客户",IF(AND(P428="应收",COUNTIF(总览汇总!$B$5:$B$304,J428)=0),"✗ 客户不在总览汇总名单里",IF(AND(P428="应付",K428=""),"✗ 这笔要选供应商",IF(AND(P428="应付",COUNTIF(基础资料!$Q$5:$Q$54,K428)=0),"✗ 供应商不在基础资料里",IF(AND(P428="费用",L428=""),"✗ 费用支出要选费用项目",IF(AND(L428&lt;&gt;"",COUNTIF(基础资料!$AI$5:$AI$54,L428)=0),"✗ 费用项目不在基础资料里",IF(AND(IFERROR(INDEX(基础资料!$AD$5:$AD$34,MATCH(O428,基础资料!$AC$5:$AC$34,0)),"")="收",N(G428)&lt;&gt;0),"✗ 这类是收款，金额填到收入列",IF(AND(IFERROR(INDEX(基础资料!$AD$5:$AD$34,MATCH(O428,基础资料!$AC$5:$AC$34,0)),"")="支",N(F428)&lt;&gt;0),"✗ 这类是付款，金额填到支出列",IF(N(H428)&lt;0,"⚠ 账户余额成负数了，核对一下","√"))))))))))))))))))</f>
      </c>
      <c r="O428" s="78">
        <f>IF(D428&lt;&gt;"",D428,IF(AND(F428="",G428=""),"",IF(J428&lt;&gt;"",IF(N(F428)&gt;0,"客户回款","客户退款"),IF(K428&lt;&gt;"",IF(N(G428)&gt;0,"供应商付款","供应商退款"),IF(L428&lt;&gt;"","费用支出","")))))</f>
      </c>
      <c r="P428" s="78">
        <f>IF(O428="","",IFERROR(INDEX(基础资料!$AE$5:$AE$34,MATCH(O428,基础资料!$AC$5:$AC$34,0)),"未知"))</f>
      </c>
      <c r="Q428" s="78">
        <f>IF(P428="应收",COUNTIF(P$7:P428,"应收"),"")</f>
      </c>
      <c r="R428" s="78">
        <f>IF(P428="应付",COUNTIF(P$7:P428,"应付"),"")</f>
      </c>
      <c r="S428" s="78">
        <f>N(F428)-N(G428)</f>
        <v>0</v>
      </c>
    </row>
    <row r="429">
      <c r="A429" s="109">
        <f>IF(AND(F429="",G429=""),"",ROW()-6)</f>
      </c>
      <c r="B429" s="140" t="n"/>
      <c r="C429" s="141" t="n"/>
      <c r="D429" s="141" t="n"/>
      <c r="E429" s="142" t="n"/>
      <c r="F429" s="143" t="n"/>
      <c r="G429" s="144" t="n"/>
      <c r="H429" s="145">
        <f>IF(OR(C429="",AND(F429="",G429="")),"",SUMIF(基础资料!$W$5:$W$24,C429,基础资料!$X$5:$X$24)+SUMIF(C$7:C429,C429,F$7:F429)-SUMIF(C$7:C429,C429,G$7:G429))</f>
      </c>
      <c r="I429" s="145">
        <f>IF(AND(F429="",G429=""),"",SUM(基础资料!$X$5:$X$24)+SUM(F$7:F429)-SUM(G$7:G429))</f>
      </c>
      <c r="J429" s="141" t="n"/>
      <c r="K429" s="141" t="n"/>
      <c r="L429" s="141" t="n"/>
      <c r="M429" s="142" t="n"/>
      <c r="N429" s="146">
        <f>IF(AND(AND(F429="",G429=""),B429="",C429="",D429="",J429="",K429="",L429=""),"",IF(AND(F429="",G429=""),"✗ 没填金额",IF(AND(N(F429)&lt;&gt;0,N(G429)&lt;&gt;0),"✗ 收入、支出只能填一边",IF(NOT(ISNUMBER(B429)),"✗ 日期不是真日期（要像 2026/9/25 这样填）",IF(OR(B429&lt;年初日,B429&gt;年末日),"✗ 日期不在本会计年度",IF(C429="","✗ 没选账户",IF(COUNTIF(基础资料!$W$5:$W$24,C429)=0,"✗ 账户不在基础资料里",IF(O429="","✗ 没选收支项目",IF(P429="未知","✗ 收支项目不在基础资料里",IF(AND(P429="应收",J429=""),"✗ 这笔要选客户",IF(AND(P429="应收",COUNTIF(总览汇总!$B$5:$B$304,J429)=0),"✗ 客户不在总览汇总名单里",IF(AND(P429="应付",K429=""),"✗ 这笔要选供应商",IF(AND(P429="应付",COUNTIF(基础资料!$Q$5:$Q$54,K429)=0),"✗ 供应商不在基础资料里",IF(AND(P429="费用",L429=""),"✗ 费用支出要选费用项目",IF(AND(L429&lt;&gt;"",COUNTIF(基础资料!$AI$5:$AI$54,L429)=0),"✗ 费用项目不在基础资料里",IF(AND(IFERROR(INDEX(基础资料!$AD$5:$AD$34,MATCH(O429,基础资料!$AC$5:$AC$34,0)),"")="收",N(G429)&lt;&gt;0),"✗ 这类是收款，金额填到收入列",IF(AND(IFERROR(INDEX(基础资料!$AD$5:$AD$34,MATCH(O429,基础资料!$AC$5:$AC$34,0)),"")="支",N(F429)&lt;&gt;0),"✗ 这类是付款，金额填到支出列",IF(N(H429)&lt;0,"⚠ 账户余额成负数了，核对一下","√"))))))))))))))))))</f>
      </c>
      <c r="O429" s="78">
        <f>IF(D429&lt;&gt;"",D429,IF(AND(F429="",G429=""),"",IF(J429&lt;&gt;"",IF(N(F429)&gt;0,"客户回款","客户退款"),IF(K429&lt;&gt;"",IF(N(G429)&gt;0,"供应商付款","供应商退款"),IF(L429&lt;&gt;"","费用支出","")))))</f>
      </c>
      <c r="P429" s="78">
        <f>IF(O429="","",IFERROR(INDEX(基础资料!$AE$5:$AE$34,MATCH(O429,基础资料!$AC$5:$AC$34,0)),"未知"))</f>
      </c>
      <c r="Q429" s="78">
        <f>IF(P429="应收",COUNTIF(P$7:P429,"应收"),"")</f>
      </c>
      <c r="R429" s="78">
        <f>IF(P429="应付",COUNTIF(P$7:P429,"应付"),"")</f>
      </c>
      <c r="S429" s="78">
        <f>N(F429)-N(G429)</f>
        <v>0</v>
      </c>
    </row>
    <row r="430">
      <c r="A430" s="109">
        <f>IF(AND(F430="",G430=""),"",ROW()-6)</f>
      </c>
      <c r="B430" s="140" t="n"/>
      <c r="C430" s="141" t="n"/>
      <c r="D430" s="141" t="n"/>
      <c r="E430" s="142" t="n"/>
      <c r="F430" s="143" t="n"/>
      <c r="G430" s="144" t="n"/>
      <c r="H430" s="145">
        <f>IF(OR(C430="",AND(F430="",G430="")),"",SUMIF(基础资料!$W$5:$W$24,C430,基础资料!$X$5:$X$24)+SUMIF(C$7:C430,C430,F$7:F430)-SUMIF(C$7:C430,C430,G$7:G430))</f>
      </c>
      <c r="I430" s="145">
        <f>IF(AND(F430="",G430=""),"",SUM(基础资料!$X$5:$X$24)+SUM(F$7:F430)-SUM(G$7:G430))</f>
      </c>
      <c r="J430" s="141" t="n"/>
      <c r="K430" s="141" t="n"/>
      <c r="L430" s="141" t="n"/>
      <c r="M430" s="142" t="n"/>
      <c r="N430" s="146">
        <f>IF(AND(AND(F430="",G430=""),B430="",C430="",D430="",J430="",K430="",L430=""),"",IF(AND(F430="",G430=""),"✗ 没填金额",IF(AND(N(F430)&lt;&gt;0,N(G430)&lt;&gt;0),"✗ 收入、支出只能填一边",IF(NOT(ISNUMBER(B430)),"✗ 日期不是真日期（要像 2026/9/25 这样填）",IF(OR(B430&lt;年初日,B430&gt;年末日),"✗ 日期不在本会计年度",IF(C430="","✗ 没选账户",IF(COUNTIF(基础资料!$W$5:$W$24,C430)=0,"✗ 账户不在基础资料里",IF(O430="","✗ 没选收支项目",IF(P430="未知","✗ 收支项目不在基础资料里",IF(AND(P430="应收",J430=""),"✗ 这笔要选客户",IF(AND(P430="应收",COUNTIF(总览汇总!$B$5:$B$304,J430)=0),"✗ 客户不在总览汇总名单里",IF(AND(P430="应付",K430=""),"✗ 这笔要选供应商",IF(AND(P430="应付",COUNTIF(基础资料!$Q$5:$Q$54,K430)=0),"✗ 供应商不在基础资料里",IF(AND(P430="费用",L430=""),"✗ 费用支出要选费用项目",IF(AND(L430&lt;&gt;"",COUNTIF(基础资料!$AI$5:$AI$54,L430)=0),"✗ 费用项目不在基础资料里",IF(AND(IFERROR(INDEX(基础资料!$AD$5:$AD$34,MATCH(O430,基础资料!$AC$5:$AC$34,0)),"")="收",N(G430)&lt;&gt;0),"✗ 这类是收款，金额填到收入列",IF(AND(IFERROR(INDEX(基础资料!$AD$5:$AD$34,MATCH(O430,基础资料!$AC$5:$AC$34,0)),"")="支",N(F430)&lt;&gt;0),"✗ 这类是付款，金额填到支出列",IF(N(H430)&lt;0,"⚠ 账户余额成负数了，核对一下","√"))))))))))))))))))</f>
      </c>
      <c r="O430" s="78">
        <f>IF(D430&lt;&gt;"",D430,IF(AND(F430="",G430=""),"",IF(J430&lt;&gt;"",IF(N(F430)&gt;0,"客户回款","客户退款"),IF(K430&lt;&gt;"",IF(N(G430)&gt;0,"供应商付款","供应商退款"),IF(L430&lt;&gt;"","费用支出","")))))</f>
      </c>
      <c r="P430" s="78">
        <f>IF(O430="","",IFERROR(INDEX(基础资料!$AE$5:$AE$34,MATCH(O430,基础资料!$AC$5:$AC$34,0)),"未知"))</f>
      </c>
      <c r="Q430" s="78">
        <f>IF(P430="应收",COUNTIF(P$7:P430,"应收"),"")</f>
      </c>
      <c r="R430" s="78">
        <f>IF(P430="应付",COUNTIF(P$7:P430,"应付"),"")</f>
      </c>
      <c r="S430" s="78">
        <f>N(F430)-N(G430)</f>
        <v>0</v>
      </c>
    </row>
    <row r="431">
      <c r="A431" s="109">
        <f>IF(AND(F431="",G431=""),"",ROW()-6)</f>
      </c>
      <c r="B431" s="140" t="n"/>
      <c r="C431" s="141" t="n"/>
      <c r="D431" s="141" t="n"/>
      <c r="E431" s="142" t="n"/>
      <c r="F431" s="143" t="n"/>
      <c r="G431" s="144" t="n"/>
      <c r="H431" s="145">
        <f>IF(OR(C431="",AND(F431="",G431="")),"",SUMIF(基础资料!$W$5:$W$24,C431,基础资料!$X$5:$X$24)+SUMIF(C$7:C431,C431,F$7:F431)-SUMIF(C$7:C431,C431,G$7:G431))</f>
      </c>
      <c r="I431" s="145">
        <f>IF(AND(F431="",G431=""),"",SUM(基础资料!$X$5:$X$24)+SUM(F$7:F431)-SUM(G$7:G431))</f>
      </c>
      <c r="J431" s="141" t="n"/>
      <c r="K431" s="141" t="n"/>
      <c r="L431" s="141" t="n"/>
      <c r="M431" s="142" t="n"/>
      <c r="N431" s="146">
        <f>IF(AND(AND(F431="",G431=""),B431="",C431="",D431="",J431="",K431="",L431=""),"",IF(AND(F431="",G431=""),"✗ 没填金额",IF(AND(N(F431)&lt;&gt;0,N(G431)&lt;&gt;0),"✗ 收入、支出只能填一边",IF(NOT(ISNUMBER(B431)),"✗ 日期不是真日期（要像 2026/9/25 这样填）",IF(OR(B431&lt;年初日,B431&gt;年末日),"✗ 日期不在本会计年度",IF(C431="","✗ 没选账户",IF(COUNTIF(基础资料!$W$5:$W$24,C431)=0,"✗ 账户不在基础资料里",IF(O431="","✗ 没选收支项目",IF(P431="未知","✗ 收支项目不在基础资料里",IF(AND(P431="应收",J431=""),"✗ 这笔要选客户",IF(AND(P431="应收",COUNTIF(总览汇总!$B$5:$B$304,J431)=0),"✗ 客户不在总览汇总名单里",IF(AND(P431="应付",K431=""),"✗ 这笔要选供应商",IF(AND(P431="应付",COUNTIF(基础资料!$Q$5:$Q$54,K431)=0),"✗ 供应商不在基础资料里",IF(AND(P431="费用",L431=""),"✗ 费用支出要选费用项目",IF(AND(L431&lt;&gt;"",COUNTIF(基础资料!$AI$5:$AI$54,L431)=0),"✗ 费用项目不在基础资料里",IF(AND(IFERROR(INDEX(基础资料!$AD$5:$AD$34,MATCH(O431,基础资料!$AC$5:$AC$34,0)),"")="收",N(G431)&lt;&gt;0),"✗ 这类是收款，金额填到收入列",IF(AND(IFERROR(INDEX(基础资料!$AD$5:$AD$34,MATCH(O431,基础资料!$AC$5:$AC$34,0)),"")="支",N(F431)&lt;&gt;0),"✗ 这类是付款，金额填到支出列",IF(N(H431)&lt;0,"⚠ 账户余额成负数了，核对一下","√"))))))))))))))))))</f>
      </c>
      <c r="O431" s="78">
        <f>IF(D431&lt;&gt;"",D431,IF(AND(F431="",G431=""),"",IF(J431&lt;&gt;"",IF(N(F431)&gt;0,"客户回款","客户退款"),IF(K431&lt;&gt;"",IF(N(G431)&gt;0,"供应商付款","供应商退款"),IF(L431&lt;&gt;"","费用支出","")))))</f>
      </c>
      <c r="P431" s="78">
        <f>IF(O431="","",IFERROR(INDEX(基础资料!$AE$5:$AE$34,MATCH(O431,基础资料!$AC$5:$AC$34,0)),"未知"))</f>
      </c>
      <c r="Q431" s="78">
        <f>IF(P431="应收",COUNTIF(P$7:P431,"应收"),"")</f>
      </c>
      <c r="R431" s="78">
        <f>IF(P431="应付",COUNTIF(P$7:P431,"应付"),"")</f>
      </c>
      <c r="S431" s="78">
        <f>N(F431)-N(G431)</f>
        <v>0</v>
      </c>
    </row>
    <row r="432">
      <c r="A432" s="109">
        <f>IF(AND(F432="",G432=""),"",ROW()-6)</f>
      </c>
      <c r="B432" s="140" t="n"/>
      <c r="C432" s="141" t="n"/>
      <c r="D432" s="141" t="n"/>
      <c r="E432" s="142" t="n"/>
      <c r="F432" s="143" t="n"/>
      <c r="G432" s="144" t="n"/>
      <c r="H432" s="145">
        <f>IF(OR(C432="",AND(F432="",G432="")),"",SUMIF(基础资料!$W$5:$W$24,C432,基础资料!$X$5:$X$24)+SUMIF(C$7:C432,C432,F$7:F432)-SUMIF(C$7:C432,C432,G$7:G432))</f>
      </c>
      <c r="I432" s="145">
        <f>IF(AND(F432="",G432=""),"",SUM(基础资料!$X$5:$X$24)+SUM(F$7:F432)-SUM(G$7:G432))</f>
      </c>
      <c r="J432" s="141" t="n"/>
      <c r="K432" s="141" t="n"/>
      <c r="L432" s="141" t="n"/>
      <c r="M432" s="142" t="n"/>
      <c r="N432" s="146">
        <f>IF(AND(AND(F432="",G432=""),B432="",C432="",D432="",J432="",K432="",L432=""),"",IF(AND(F432="",G432=""),"✗ 没填金额",IF(AND(N(F432)&lt;&gt;0,N(G432)&lt;&gt;0),"✗ 收入、支出只能填一边",IF(NOT(ISNUMBER(B432)),"✗ 日期不是真日期（要像 2026/9/25 这样填）",IF(OR(B432&lt;年初日,B432&gt;年末日),"✗ 日期不在本会计年度",IF(C432="","✗ 没选账户",IF(COUNTIF(基础资料!$W$5:$W$24,C432)=0,"✗ 账户不在基础资料里",IF(O432="","✗ 没选收支项目",IF(P432="未知","✗ 收支项目不在基础资料里",IF(AND(P432="应收",J432=""),"✗ 这笔要选客户",IF(AND(P432="应收",COUNTIF(总览汇总!$B$5:$B$304,J432)=0),"✗ 客户不在总览汇总名单里",IF(AND(P432="应付",K432=""),"✗ 这笔要选供应商",IF(AND(P432="应付",COUNTIF(基础资料!$Q$5:$Q$54,K432)=0),"✗ 供应商不在基础资料里",IF(AND(P432="费用",L432=""),"✗ 费用支出要选费用项目",IF(AND(L432&lt;&gt;"",COUNTIF(基础资料!$AI$5:$AI$54,L432)=0),"✗ 费用项目不在基础资料里",IF(AND(IFERROR(INDEX(基础资料!$AD$5:$AD$34,MATCH(O432,基础资料!$AC$5:$AC$34,0)),"")="收",N(G432)&lt;&gt;0),"✗ 这类是收款，金额填到收入列",IF(AND(IFERROR(INDEX(基础资料!$AD$5:$AD$34,MATCH(O432,基础资料!$AC$5:$AC$34,0)),"")="支",N(F432)&lt;&gt;0),"✗ 这类是付款，金额填到支出列",IF(N(H432)&lt;0,"⚠ 账户余额成负数了，核对一下","√"))))))))))))))))))</f>
      </c>
      <c r="O432" s="78">
        <f>IF(D432&lt;&gt;"",D432,IF(AND(F432="",G432=""),"",IF(J432&lt;&gt;"",IF(N(F432)&gt;0,"客户回款","客户退款"),IF(K432&lt;&gt;"",IF(N(G432)&gt;0,"供应商付款","供应商退款"),IF(L432&lt;&gt;"","费用支出","")))))</f>
      </c>
      <c r="P432" s="78">
        <f>IF(O432="","",IFERROR(INDEX(基础资料!$AE$5:$AE$34,MATCH(O432,基础资料!$AC$5:$AC$34,0)),"未知"))</f>
      </c>
      <c r="Q432" s="78">
        <f>IF(P432="应收",COUNTIF(P$7:P432,"应收"),"")</f>
      </c>
      <c r="R432" s="78">
        <f>IF(P432="应付",COUNTIF(P$7:P432,"应付"),"")</f>
      </c>
      <c r="S432" s="78">
        <f>N(F432)-N(G432)</f>
        <v>0</v>
      </c>
    </row>
    <row r="433">
      <c r="A433" s="109">
        <f>IF(AND(F433="",G433=""),"",ROW()-6)</f>
      </c>
      <c r="B433" s="140" t="n"/>
      <c r="C433" s="141" t="n"/>
      <c r="D433" s="141" t="n"/>
      <c r="E433" s="142" t="n"/>
      <c r="F433" s="143" t="n"/>
      <c r="G433" s="144" t="n"/>
      <c r="H433" s="145">
        <f>IF(OR(C433="",AND(F433="",G433="")),"",SUMIF(基础资料!$W$5:$W$24,C433,基础资料!$X$5:$X$24)+SUMIF(C$7:C433,C433,F$7:F433)-SUMIF(C$7:C433,C433,G$7:G433))</f>
      </c>
      <c r="I433" s="145">
        <f>IF(AND(F433="",G433=""),"",SUM(基础资料!$X$5:$X$24)+SUM(F$7:F433)-SUM(G$7:G433))</f>
      </c>
      <c r="J433" s="141" t="n"/>
      <c r="K433" s="141" t="n"/>
      <c r="L433" s="141" t="n"/>
      <c r="M433" s="142" t="n"/>
      <c r="N433" s="146">
        <f>IF(AND(AND(F433="",G433=""),B433="",C433="",D433="",J433="",K433="",L433=""),"",IF(AND(F433="",G433=""),"✗ 没填金额",IF(AND(N(F433)&lt;&gt;0,N(G433)&lt;&gt;0),"✗ 收入、支出只能填一边",IF(NOT(ISNUMBER(B433)),"✗ 日期不是真日期（要像 2026/9/25 这样填）",IF(OR(B433&lt;年初日,B433&gt;年末日),"✗ 日期不在本会计年度",IF(C433="","✗ 没选账户",IF(COUNTIF(基础资料!$W$5:$W$24,C433)=0,"✗ 账户不在基础资料里",IF(O433="","✗ 没选收支项目",IF(P433="未知","✗ 收支项目不在基础资料里",IF(AND(P433="应收",J433=""),"✗ 这笔要选客户",IF(AND(P433="应收",COUNTIF(总览汇总!$B$5:$B$304,J433)=0),"✗ 客户不在总览汇总名单里",IF(AND(P433="应付",K433=""),"✗ 这笔要选供应商",IF(AND(P433="应付",COUNTIF(基础资料!$Q$5:$Q$54,K433)=0),"✗ 供应商不在基础资料里",IF(AND(P433="费用",L433=""),"✗ 费用支出要选费用项目",IF(AND(L433&lt;&gt;"",COUNTIF(基础资料!$AI$5:$AI$54,L433)=0),"✗ 费用项目不在基础资料里",IF(AND(IFERROR(INDEX(基础资料!$AD$5:$AD$34,MATCH(O433,基础资料!$AC$5:$AC$34,0)),"")="收",N(G433)&lt;&gt;0),"✗ 这类是收款，金额填到收入列",IF(AND(IFERROR(INDEX(基础资料!$AD$5:$AD$34,MATCH(O433,基础资料!$AC$5:$AC$34,0)),"")="支",N(F433)&lt;&gt;0),"✗ 这类是付款，金额填到支出列",IF(N(H433)&lt;0,"⚠ 账户余额成负数了，核对一下","√"))))))))))))))))))</f>
      </c>
      <c r="O433" s="78">
        <f>IF(D433&lt;&gt;"",D433,IF(AND(F433="",G433=""),"",IF(J433&lt;&gt;"",IF(N(F433)&gt;0,"客户回款","客户退款"),IF(K433&lt;&gt;"",IF(N(G433)&gt;0,"供应商付款","供应商退款"),IF(L433&lt;&gt;"","费用支出","")))))</f>
      </c>
      <c r="P433" s="78">
        <f>IF(O433="","",IFERROR(INDEX(基础资料!$AE$5:$AE$34,MATCH(O433,基础资料!$AC$5:$AC$34,0)),"未知"))</f>
      </c>
      <c r="Q433" s="78">
        <f>IF(P433="应收",COUNTIF(P$7:P433,"应收"),"")</f>
      </c>
      <c r="R433" s="78">
        <f>IF(P433="应付",COUNTIF(P$7:P433,"应付"),"")</f>
      </c>
      <c r="S433" s="78">
        <f>N(F433)-N(G433)</f>
        <v>0</v>
      </c>
    </row>
    <row r="434">
      <c r="A434" s="109">
        <f>IF(AND(F434="",G434=""),"",ROW()-6)</f>
      </c>
      <c r="B434" s="140" t="n"/>
      <c r="C434" s="141" t="n"/>
      <c r="D434" s="141" t="n"/>
      <c r="E434" s="142" t="n"/>
      <c r="F434" s="143" t="n"/>
      <c r="G434" s="144" t="n"/>
      <c r="H434" s="145">
        <f>IF(OR(C434="",AND(F434="",G434="")),"",SUMIF(基础资料!$W$5:$W$24,C434,基础资料!$X$5:$X$24)+SUMIF(C$7:C434,C434,F$7:F434)-SUMIF(C$7:C434,C434,G$7:G434))</f>
      </c>
      <c r="I434" s="145">
        <f>IF(AND(F434="",G434=""),"",SUM(基础资料!$X$5:$X$24)+SUM(F$7:F434)-SUM(G$7:G434))</f>
      </c>
      <c r="J434" s="141" t="n"/>
      <c r="K434" s="141" t="n"/>
      <c r="L434" s="141" t="n"/>
      <c r="M434" s="142" t="n"/>
      <c r="N434" s="146">
        <f>IF(AND(AND(F434="",G434=""),B434="",C434="",D434="",J434="",K434="",L434=""),"",IF(AND(F434="",G434=""),"✗ 没填金额",IF(AND(N(F434)&lt;&gt;0,N(G434)&lt;&gt;0),"✗ 收入、支出只能填一边",IF(NOT(ISNUMBER(B434)),"✗ 日期不是真日期（要像 2026/9/25 这样填）",IF(OR(B434&lt;年初日,B434&gt;年末日),"✗ 日期不在本会计年度",IF(C434="","✗ 没选账户",IF(COUNTIF(基础资料!$W$5:$W$24,C434)=0,"✗ 账户不在基础资料里",IF(O434="","✗ 没选收支项目",IF(P434="未知","✗ 收支项目不在基础资料里",IF(AND(P434="应收",J434=""),"✗ 这笔要选客户",IF(AND(P434="应收",COUNTIF(总览汇总!$B$5:$B$304,J434)=0),"✗ 客户不在总览汇总名单里",IF(AND(P434="应付",K434=""),"✗ 这笔要选供应商",IF(AND(P434="应付",COUNTIF(基础资料!$Q$5:$Q$54,K434)=0),"✗ 供应商不在基础资料里",IF(AND(P434="费用",L434=""),"✗ 费用支出要选费用项目",IF(AND(L434&lt;&gt;"",COUNTIF(基础资料!$AI$5:$AI$54,L434)=0),"✗ 费用项目不在基础资料里",IF(AND(IFERROR(INDEX(基础资料!$AD$5:$AD$34,MATCH(O434,基础资料!$AC$5:$AC$34,0)),"")="收",N(G434)&lt;&gt;0),"✗ 这类是收款，金额填到收入列",IF(AND(IFERROR(INDEX(基础资料!$AD$5:$AD$34,MATCH(O434,基础资料!$AC$5:$AC$34,0)),"")="支",N(F434)&lt;&gt;0),"✗ 这类是付款，金额填到支出列",IF(N(H434)&lt;0,"⚠ 账户余额成负数了，核对一下","√"))))))))))))))))))</f>
      </c>
      <c r="O434" s="78">
        <f>IF(D434&lt;&gt;"",D434,IF(AND(F434="",G434=""),"",IF(J434&lt;&gt;"",IF(N(F434)&gt;0,"客户回款","客户退款"),IF(K434&lt;&gt;"",IF(N(G434)&gt;0,"供应商付款","供应商退款"),IF(L434&lt;&gt;"","费用支出","")))))</f>
      </c>
      <c r="P434" s="78">
        <f>IF(O434="","",IFERROR(INDEX(基础资料!$AE$5:$AE$34,MATCH(O434,基础资料!$AC$5:$AC$34,0)),"未知"))</f>
      </c>
      <c r="Q434" s="78">
        <f>IF(P434="应收",COUNTIF(P$7:P434,"应收"),"")</f>
      </c>
      <c r="R434" s="78">
        <f>IF(P434="应付",COUNTIF(P$7:P434,"应付"),"")</f>
      </c>
      <c r="S434" s="78">
        <f>N(F434)-N(G434)</f>
        <v>0</v>
      </c>
    </row>
    <row r="435">
      <c r="A435" s="109">
        <f>IF(AND(F435="",G435=""),"",ROW()-6)</f>
      </c>
      <c r="B435" s="140" t="n"/>
      <c r="C435" s="141" t="n"/>
      <c r="D435" s="141" t="n"/>
      <c r="E435" s="142" t="n"/>
      <c r="F435" s="143" t="n"/>
      <c r="G435" s="144" t="n"/>
      <c r="H435" s="145">
        <f>IF(OR(C435="",AND(F435="",G435="")),"",SUMIF(基础资料!$W$5:$W$24,C435,基础资料!$X$5:$X$24)+SUMIF(C$7:C435,C435,F$7:F435)-SUMIF(C$7:C435,C435,G$7:G435))</f>
      </c>
      <c r="I435" s="145">
        <f>IF(AND(F435="",G435=""),"",SUM(基础资料!$X$5:$X$24)+SUM(F$7:F435)-SUM(G$7:G435))</f>
      </c>
      <c r="J435" s="141" t="n"/>
      <c r="K435" s="141" t="n"/>
      <c r="L435" s="141" t="n"/>
      <c r="M435" s="142" t="n"/>
      <c r="N435" s="146">
        <f>IF(AND(AND(F435="",G435=""),B435="",C435="",D435="",J435="",K435="",L435=""),"",IF(AND(F435="",G435=""),"✗ 没填金额",IF(AND(N(F435)&lt;&gt;0,N(G435)&lt;&gt;0),"✗ 收入、支出只能填一边",IF(NOT(ISNUMBER(B435)),"✗ 日期不是真日期（要像 2026/9/25 这样填）",IF(OR(B435&lt;年初日,B435&gt;年末日),"✗ 日期不在本会计年度",IF(C435="","✗ 没选账户",IF(COUNTIF(基础资料!$W$5:$W$24,C435)=0,"✗ 账户不在基础资料里",IF(O435="","✗ 没选收支项目",IF(P435="未知","✗ 收支项目不在基础资料里",IF(AND(P435="应收",J435=""),"✗ 这笔要选客户",IF(AND(P435="应收",COUNTIF(总览汇总!$B$5:$B$304,J435)=0),"✗ 客户不在总览汇总名单里",IF(AND(P435="应付",K435=""),"✗ 这笔要选供应商",IF(AND(P435="应付",COUNTIF(基础资料!$Q$5:$Q$54,K435)=0),"✗ 供应商不在基础资料里",IF(AND(P435="费用",L435=""),"✗ 费用支出要选费用项目",IF(AND(L435&lt;&gt;"",COUNTIF(基础资料!$AI$5:$AI$54,L435)=0),"✗ 费用项目不在基础资料里",IF(AND(IFERROR(INDEX(基础资料!$AD$5:$AD$34,MATCH(O435,基础资料!$AC$5:$AC$34,0)),"")="收",N(G435)&lt;&gt;0),"✗ 这类是收款，金额填到收入列",IF(AND(IFERROR(INDEX(基础资料!$AD$5:$AD$34,MATCH(O435,基础资料!$AC$5:$AC$34,0)),"")="支",N(F435)&lt;&gt;0),"✗ 这类是付款，金额填到支出列",IF(N(H435)&lt;0,"⚠ 账户余额成负数了，核对一下","√"))))))))))))))))))</f>
      </c>
      <c r="O435" s="78">
        <f>IF(D435&lt;&gt;"",D435,IF(AND(F435="",G435=""),"",IF(J435&lt;&gt;"",IF(N(F435)&gt;0,"客户回款","客户退款"),IF(K435&lt;&gt;"",IF(N(G435)&gt;0,"供应商付款","供应商退款"),IF(L435&lt;&gt;"","费用支出","")))))</f>
      </c>
      <c r="P435" s="78">
        <f>IF(O435="","",IFERROR(INDEX(基础资料!$AE$5:$AE$34,MATCH(O435,基础资料!$AC$5:$AC$34,0)),"未知"))</f>
      </c>
      <c r="Q435" s="78">
        <f>IF(P435="应收",COUNTIF(P$7:P435,"应收"),"")</f>
      </c>
      <c r="R435" s="78">
        <f>IF(P435="应付",COUNTIF(P$7:P435,"应付"),"")</f>
      </c>
      <c r="S435" s="78">
        <f>N(F435)-N(G435)</f>
        <v>0</v>
      </c>
    </row>
    <row r="436">
      <c r="A436" s="109">
        <f>IF(AND(F436="",G436=""),"",ROW()-6)</f>
      </c>
      <c r="B436" s="140" t="n"/>
      <c r="C436" s="141" t="n"/>
      <c r="D436" s="141" t="n"/>
      <c r="E436" s="142" t="n"/>
      <c r="F436" s="143" t="n"/>
      <c r="G436" s="144" t="n"/>
      <c r="H436" s="145">
        <f>IF(OR(C436="",AND(F436="",G436="")),"",SUMIF(基础资料!$W$5:$W$24,C436,基础资料!$X$5:$X$24)+SUMIF(C$7:C436,C436,F$7:F436)-SUMIF(C$7:C436,C436,G$7:G436))</f>
      </c>
      <c r="I436" s="145">
        <f>IF(AND(F436="",G436=""),"",SUM(基础资料!$X$5:$X$24)+SUM(F$7:F436)-SUM(G$7:G436))</f>
      </c>
      <c r="J436" s="141" t="n"/>
      <c r="K436" s="141" t="n"/>
      <c r="L436" s="141" t="n"/>
      <c r="M436" s="142" t="n"/>
      <c r="N436" s="146">
        <f>IF(AND(AND(F436="",G436=""),B436="",C436="",D436="",J436="",K436="",L436=""),"",IF(AND(F436="",G436=""),"✗ 没填金额",IF(AND(N(F436)&lt;&gt;0,N(G436)&lt;&gt;0),"✗ 收入、支出只能填一边",IF(NOT(ISNUMBER(B436)),"✗ 日期不是真日期（要像 2026/9/25 这样填）",IF(OR(B436&lt;年初日,B436&gt;年末日),"✗ 日期不在本会计年度",IF(C436="","✗ 没选账户",IF(COUNTIF(基础资料!$W$5:$W$24,C436)=0,"✗ 账户不在基础资料里",IF(O436="","✗ 没选收支项目",IF(P436="未知","✗ 收支项目不在基础资料里",IF(AND(P436="应收",J436=""),"✗ 这笔要选客户",IF(AND(P436="应收",COUNTIF(总览汇总!$B$5:$B$304,J436)=0),"✗ 客户不在总览汇总名单里",IF(AND(P436="应付",K436=""),"✗ 这笔要选供应商",IF(AND(P436="应付",COUNTIF(基础资料!$Q$5:$Q$54,K436)=0),"✗ 供应商不在基础资料里",IF(AND(P436="费用",L436=""),"✗ 费用支出要选费用项目",IF(AND(L436&lt;&gt;"",COUNTIF(基础资料!$AI$5:$AI$54,L436)=0),"✗ 费用项目不在基础资料里",IF(AND(IFERROR(INDEX(基础资料!$AD$5:$AD$34,MATCH(O436,基础资料!$AC$5:$AC$34,0)),"")="收",N(G436)&lt;&gt;0),"✗ 这类是收款，金额填到收入列",IF(AND(IFERROR(INDEX(基础资料!$AD$5:$AD$34,MATCH(O436,基础资料!$AC$5:$AC$34,0)),"")="支",N(F436)&lt;&gt;0),"✗ 这类是付款，金额填到支出列",IF(N(H436)&lt;0,"⚠ 账户余额成负数了，核对一下","√"))))))))))))))))))</f>
      </c>
      <c r="O436" s="78">
        <f>IF(D436&lt;&gt;"",D436,IF(AND(F436="",G436=""),"",IF(J436&lt;&gt;"",IF(N(F436)&gt;0,"客户回款","客户退款"),IF(K436&lt;&gt;"",IF(N(G436)&gt;0,"供应商付款","供应商退款"),IF(L436&lt;&gt;"","费用支出","")))))</f>
      </c>
      <c r="P436" s="78">
        <f>IF(O436="","",IFERROR(INDEX(基础资料!$AE$5:$AE$34,MATCH(O436,基础资料!$AC$5:$AC$34,0)),"未知"))</f>
      </c>
      <c r="Q436" s="78">
        <f>IF(P436="应收",COUNTIF(P$7:P436,"应收"),"")</f>
      </c>
      <c r="R436" s="78">
        <f>IF(P436="应付",COUNTIF(P$7:P436,"应付"),"")</f>
      </c>
      <c r="S436" s="78">
        <f>N(F436)-N(G436)</f>
        <v>0</v>
      </c>
    </row>
    <row r="437">
      <c r="A437" s="109">
        <f>IF(AND(F437="",G437=""),"",ROW()-6)</f>
      </c>
      <c r="B437" s="140" t="n"/>
      <c r="C437" s="141" t="n"/>
      <c r="D437" s="141" t="n"/>
      <c r="E437" s="142" t="n"/>
      <c r="F437" s="143" t="n"/>
      <c r="G437" s="144" t="n"/>
      <c r="H437" s="145">
        <f>IF(OR(C437="",AND(F437="",G437="")),"",SUMIF(基础资料!$W$5:$W$24,C437,基础资料!$X$5:$X$24)+SUMIF(C$7:C437,C437,F$7:F437)-SUMIF(C$7:C437,C437,G$7:G437))</f>
      </c>
      <c r="I437" s="145">
        <f>IF(AND(F437="",G437=""),"",SUM(基础资料!$X$5:$X$24)+SUM(F$7:F437)-SUM(G$7:G437))</f>
      </c>
      <c r="J437" s="141" t="n"/>
      <c r="K437" s="141" t="n"/>
      <c r="L437" s="141" t="n"/>
      <c r="M437" s="142" t="n"/>
      <c r="N437" s="146">
        <f>IF(AND(AND(F437="",G437=""),B437="",C437="",D437="",J437="",K437="",L437=""),"",IF(AND(F437="",G437=""),"✗ 没填金额",IF(AND(N(F437)&lt;&gt;0,N(G437)&lt;&gt;0),"✗ 收入、支出只能填一边",IF(NOT(ISNUMBER(B437)),"✗ 日期不是真日期（要像 2026/9/25 这样填）",IF(OR(B437&lt;年初日,B437&gt;年末日),"✗ 日期不在本会计年度",IF(C437="","✗ 没选账户",IF(COUNTIF(基础资料!$W$5:$W$24,C437)=0,"✗ 账户不在基础资料里",IF(O437="","✗ 没选收支项目",IF(P437="未知","✗ 收支项目不在基础资料里",IF(AND(P437="应收",J437=""),"✗ 这笔要选客户",IF(AND(P437="应收",COUNTIF(总览汇总!$B$5:$B$304,J437)=0),"✗ 客户不在总览汇总名单里",IF(AND(P437="应付",K437=""),"✗ 这笔要选供应商",IF(AND(P437="应付",COUNTIF(基础资料!$Q$5:$Q$54,K437)=0),"✗ 供应商不在基础资料里",IF(AND(P437="费用",L437=""),"✗ 费用支出要选费用项目",IF(AND(L437&lt;&gt;"",COUNTIF(基础资料!$AI$5:$AI$54,L437)=0),"✗ 费用项目不在基础资料里",IF(AND(IFERROR(INDEX(基础资料!$AD$5:$AD$34,MATCH(O437,基础资料!$AC$5:$AC$34,0)),"")="收",N(G437)&lt;&gt;0),"✗ 这类是收款，金额填到收入列",IF(AND(IFERROR(INDEX(基础资料!$AD$5:$AD$34,MATCH(O437,基础资料!$AC$5:$AC$34,0)),"")="支",N(F437)&lt;&gt;0),"✗ 这类是付款，金额填到支出列",IF(N(H437)&lt;0,"⚠ 账户余额成负数了，核对一下","√"))))))))))))))))))</f>
      </c>
      <c r="O437" s="78">
        <f>IF(D437&lt;&gt;"",D437,IF(AND(F437="",G437=""),"",IF(J437&lt;&gt;"",IF(N(F437)&gt;0,"客户回款","客户退款"),IF(K437&lt;&gt;"",IF(N(G437)&gt;0,"供应商付款","供应商退款"),IF(L437&lt;&gt;"","费用支出","")))))</f>
      </c>
      <c r="P437" s="78">
        <f>IF(O437="","",IFERROR(INDEX(基础资料!$AE$5:$AE$34,MATCH(O437,基础资料!$AC$5:$AC$34,0)),"未知"))</f>
      </c>
      <c r="Q437" s="78">
        <f>IF(P437="应收",COUNTIF(P$7:P437,"应收"),"")</f>
      </c>
      <c r="R437" s="78">
        <f>IF(P437="应付",COUNTIF(P$7:P437,"应付"),"")</f>
      </c>
      <c r="S437" s="78">
        <f>N(F437)-N(G437)</f>
        <v>0</v>
      </c>
    </row>
    <row r="438">
      <c r="A438" s="109">
        <f>IF(AND(F438="",G438=""),"",ROW()-6)</f>
      </c>
      <c r="B438" s="140" t="n"/>
      <c r="C438" s="141" t="n"/>
      <c r="D438" s="141" t="n"/>
      <c r="E438" s="142" t="n"/>
      <c r="F438" s="143" t="n"/>
      <c r="G438" s="144" t="n"/>
      <c r="H438" s="145">
        <f>IF(OR(C438="",AND(F438="",G438="")),"",SUMIF(基础资料!$W$5:$W$24,C438,基础资料!$X$5:$X$24)+SUMIF(C$7:C438,C438,F$7:F438)-SUMIF(C$7:C438,C438,G$7:G438))</f>
      </c>
      <c r="I438" s="145">
        <f>IF(AND(F438="",G438=""),"",SUM(基础资料!$X$5:$X$24)+SUM(F$7:F438)-SUM(G$7:G438))</f>
      </c>
      <c r="J438" s="141" t="n"/>
      <c r="K438" s="141" t="n"/>
      <c r="L438" s="141" t="n"/>
      <c r="M438" s="142" t="n"/>
      <c r="N438" s="146">
        <f>IF(AND(AND(F438="",G438=""),B438="",C438="",D438="",J438="",K438="",L438=""),"",IF(AND(F438="",G438=""),"✗ 没填金额",IF(AND(N(F438)&lt;&gt;0,N(G438)&lt;&gt;0),"✗ 收入、支出只能填一边",IF(NOT(ISNUMBER(B438)),"✗ 日期不是真日期（要像 2026/9/25 这样填）",IF(OR(B438&lt;年初日,B438&gt;年末日),"✗ 日期不在本会计年度",IF(C438="","✗ 没选账户",IF(COUNTIF(基础资料!$W$5:$W$24,C438)=0,"✗ 账户不在基础资料里",IF(O438="","✗ 没选收支项目",IF(P438="未知","✗ 收支项目不在基础资料里",IF(AND(P438="应收",J438=""),"✗ 这笔要选客户",IF(AND(P438="应收",COUNTIF(总览汇总!$B$5:$B$304,J438)=0),"✗ 客户不在总览汇总名单里",IF(AND(P438="应付",K438=""),"✗ 这笔要选供应商",IF(AND(P438="应付",COUNTIF(基础资料!$Q$5:$Q$54,K438)=0),"✗ 供应商不在基础资料里",IF(AND(P438="费用",L438=""),"✗ 费用支出要选费用项目",IF(AND(L438&lt;&gt;"",COUNTIF(基础资料!$AI$5:$AI$54,L438)=0),"✗ 费用项目不在基础资料里",IF(AND(IFERROR(INDEX(基础资料!$AD$5:$AD$34,MATCH(O438,基础资料!$AC$5:$AC$34,0)),"")="收",N(G438)&lt;&gt;0),"✗ 这类是收款，金额填到收入列",IF(AND(IFERROR(INDEX(基础资料!$AD$5:$AD$34,MATCH(O438,基础资料!$AC$5:$AC$34,0)),"")="支",N(F438)&lt;&gt;0),"✗ 这类是付款，金额填到支出列",IF(N(H438)&lt;0,"⚠ 账户余额成负数了，核对一下","√"))))))))))))))))))</f>
      </c>
      <c r="O438" s="78">
        <f>IF(D438&lt;&gt;"",D438,IF(AND(F438="",G438=""),"",IF(J438&lt;&gt;"",IF(N(F438)&gt;0,"客户回款","客户退款"),IF(K438&lt;&gt;"",IF(N(G438)&gt;0,"供应商付款","供应商退款"),IF(L438&lt;&gt;"","费用支出","")))))</f>
      </c>
      <c r="P438" s="78">
        <f>IF(O438="","",IFERROR(INDEX(基础资料!$AE$5:$AE$34,MATCH(O438,基础资料!$AC$5:$AC$34,0)),"未知"))</f>
      </c>
      <c r="Q438" s="78">
        <f>IF(P438="应收",COUNTIF(P$7:P438,"应收"),"")</f>
      </c>
      <c r="R438" s="78">
        <f>IF(P438="应付",COUNTIF(P$7:P438,"应付"),"")</f>
      </c>
      <c r="S438" s="78">
        <f>N(F438)-N(G438)</f>
        <v>0</v>
      </c>
    </row>
    <row r="439">
      <c r="A439" s="109">
        <f>IF(AND(F439="",G439=""),"",ROW()-6)</f>
      </c>
      <c r="B439" s="140" t="n"/>
      <c r="C439" s="141" t="n"/>
      <c r="D439" s="141" t="n"/>
      <c r="E439" s="142" t="n"/>
      <c r="F439" s="143" t="n"/>
      <c r="G439" s="144" t="n"/>
      <c r="H439" s="145">
        <f>IF(OR(C439="",AND(F439="",G439="")),"",SUMIF(基础资料!$W$5:$W$24,C439,基础资料!$X$5:$X$24)+SUMIF(C$7:C439,C439,F$7:F439)-SUMIF(C$7:C439,C439,G$7:G439))</f>
      </c>
      <c r="I439" s="145">
        <f>IF(AND(F439="",G439=""),"",SUM(基础资料!$X$5:$X$24)+SUM(F$7:F439)-SUM(G$7:G439))</f>
      </c>
      <c r="J439" s="141" t="n"/>
      <c r="K439" s="141" t="n"/>
      <c r="L439" s="141" t="n"/>
      <c r="M439" s="142" t="n"/>
      <c r="N439" s="146">
        <f>IF(AND(AND(F439="",G439=""),B439="",C439="",D439="",J439="",K439="",L439=""),"",IF(AND(F439="",G439=""),"✗ 没填金额",IF(AND(N(F439)&lt;&gt;0,N(G439)&lt;&gt;0),"✗ 收入、支出只能填一边",IF(NOT(ISNUMBER(B439)),"✗ 日期不是真日期（要像 2026/9/25 这样填）",IF(OR(B439&lt;年初日,B439&gt;年末日),"✗ 日期不在本会计年度",IF(C439="","✗ 没选账户",IF(COUNTIF(基础资料!$W$5:$W$24,C439)=0,"✗ 账户不在基础资料里",IF(O439="","✗ 没选收支项目",IF(P439="未知","✗ 收支项目不在基础资料里",IF(AND(P439="应收",J439=""),"✗ 这笔要选客户",IF(AND(P439="应收",COUNTIF(总览汇总!$B$5:$B$304,J439)=0),"✗ 客户不在总览汇总名单里",IF(AND(P439="应付",K439=""),"✗ 这笔要选供应商",IF(AND(P439="应付",COUNTIF(基础资料!$Q$5:$Q$54,K439)=0),"✗ 供应商不在基础资料里",IF(AND(P439="费用",L439=""),"✗ 费用支出要选费用项目",IF(AND(L439&lt;&gt;"",COUNTIF(基础资料!$AI$5:$AI$54,L439)=0),"✗ 费用项目不在基础资料里",IF(AND(IFERROR(INDEX(基础资料!$AD$5:$AD$34,MATCH(O439,基础资料!$AC$5:$AC$34,0)),"")="收",N(G439)&lt;&gt;0),"✗ 这类是收款，金额填到收入列",IF(AND(IFERROR(INDEX(基础资料!$AD$5:$AD$34,MATCH(O439,基础资料!$AC$5:$AC$34,0)),"")="支",N(F439)&lt;&gt;0),"✗ 这类是付款，金额填到支出列",IF(N(H439)&lt;0,"⚠ 账户余额成负数了，核对一下","√"))))))))))))))))))</f>
      </c>
      <c r="O439" s="78">
        <f>IF(D439&lt;&gt;"",D439,IF(AND(F439="",G439=""),"",IF(J439&lt;&gt;"",IF(N(F439)&gt;0,"客户回款","客户退款"),IF(K439&lt;&gt;"",IF(N(G439)&gt;0,"供应商付款","供应商退款"),IF(L439&lt;&gt;"","费用支出","")))))</f>
      </c>
      <c r="P439" s="78">
        <f>IF(O439="","",IFERROR(INDEX(基础资料!$AE$5:$AE$34,MATCH(O439,基础资料!$AC$5:$AC$34,0)),"未知"))</f>
      </c>
      <c r="Q439" s="78">
        <f>IF(P439="应收",COUNTIF(P$7:P439,"应收"),"")</f>
      </c>
      <c r="R439" s="78">
        <f>IF(P439="应付",COUNTIF(P$7:P439,"应付"),"")</f>
      </c>
      <c r="S439" s="78">
        <f>N(F439)-N(G439)</f>
        <v>0</v>
      </c>
    </row>
    <row r="440">
      <c r="A440" s="109">
        <f>IF(AND(F440="",G440=""),"",ROW()-6)</f>
      </c>
      <c r="B440" s="140" t="n"/>
      <c r="C440" s="141" t="n"/>
      <c r="D440" s="141" t="n"/>
      <c r="E440" s="142" t="n"/>
      <c r="F440" s="143" t="n"/>
      <c r="G440" s="144" t="n"/>
      <c r="H440" s="145">
        <f>IF(OR(C440="",AND(F440="",G440="")),"",SUMIF(基础资料!$W$5:$W$24,C440,基础资料!$X$5:$X$24)+SUMIF(C$7:C440,C440,F$7:F440)-SUMIF(C$7:C440,C440,G$7:G440))</f>
      </c>
      <c r="I440" s="145">
        <f>IF(AND(F440="",G440=""),"",SUM(基础资料!$X$5:$X$24)+SUM(F$7:F440)-SUM(G$7:G440))</f>
      </c>
      <c r="J440" s="141" t="n"/>
      <c r="K440" s="141" t="n"/>
      <c r="L440" s="141" t="n"/>
      <c r="M440" s="142" t="n"/>
      <c r="N440" s="146">
        <f>IF(AND(AND(F440="",G440=""),B440="",C440="",D440="",J440="",K440="",L440=""),"",IF(AND(F440="",G440=""),"✗ 没填金额",IF(AND(N(F440)&lt;&gt;0,N(G440)&lt;&gt;0),"✗ 收入、支出只能填一边",IF(NOT(ISNUMBER(B440)),"✗ 日期不是真日期（要像 2026/9/25 这样填）",IF(OR(B440&lt;年初日,B440&gt;年末日),"✗ 日期不在本会计年度",IF(C440="","✗ 没选账户",IF(COUNTIF(基础资料!$W$5:$W$24,C440)=0,"✗ 账户不在基础资料里",IF(O440="","✗ 没选收支项目",IF(P440="未知","✗ 收支项目不在基础资料里",IF(AND(P440="应收",J440=""),"✗ 这笔要选客户",IF(AND(P440="应收",COUNTIF(总览汇总!$B$5:$B$304,J440)=0),"✗ 客户不在总览汇总名单里",IF(AND(P440="应付",K440=""),"✗ 这笔要选供应商",IF(AND(P440="应付",COUNTIF(基础资料!$Q$5:$Q$54,K440)=0),"✗ 供应商不在基础资料里",IF(AND(P440="费用",L440=""),"✗ 费用支出要选费用项目",IF(AND(L440&lt;&gt;"",COUNTIF(基础资料!$AI$5:$AI$54,L440)=0),"✗ 费用项目不在基础资料里",IF(AND(IFERROR(INDEX(基础资料!$AD$5:$AD$34,MATCH(O440,基础资料!$AC$5:$AC$34,0)),"")="收",N(G440)&lt;&gt;0),"✗ 这类是收款，金额填到收入列",IF(AND(IFERROR(INDEX(基础资料!$AD$5:$AD$34,MATCH(O440,基础资料!$AC$5:$AC$34,0)),"")="支",N(F440)&lt;&gt;0),"✗ 这类是付款，金额填到支出列",IF(N(H440)&lt;0,"⚠ 账户余额成负数了，核对一下","√"))))))))))))))))))</f>
      </c>
      <c r="O440" s="78">
        <f>IF(D440&lt;&gt;"",D440,IF(AND(F440="",G440=""),"",IF(J440&lt;&gt;"",IF(N(F440)&gt;0,"客户回款","客户退款"),IF(K440&lt;&gt;"",IF(N(G440)&gt;0,"供应商付款","供应商退款"),IF(L440&lt;&gt;"","费用支出","")))))</f>
      </c>
      <c r="P440" s="78">
        <f>IF(O440="","",IFERROR(INDEX(基础资料!$AE$5:$AE$34,MATCH(O440,基础资料!$AC$5:$AC$34,0)),"未知"))</f>
      </c>
      <c r="Q440" s="78">
        <f>IF(P440="应收",COUNTIF(P$7:P440,"应收"),"")</f>
      </c>
      <c r="R440" s="78">
        <f>IF(P440="应付",COUNTIF(P$7:P440,"应付"),"")</f>
      </c>
      <c r="S440" s="78">
        <f>N(F440)-N(G440)</f>
        <v>0</v>
      </c>
    </row>
    <row r="441">
      <c r="A441" s="109">
        <f>IF(AND(F441="",G441=""),"",ROW()-6)</f>
      </c>
      <c r="B441" s="140" t="n"/>
      <c r="C441" s="141" t="n"/>
      <c r="D441" s="141" t="n"/>
      <c r="E441" s="142" t="n"/>
      <c r="F441" s="143" t="n"/>
      <c r="G441" s="144" t="n"/>
      <c r="H441" s="145">
        <f>IF(OR(C441="",AND(F441="",G441="")),"",SUMIF(基础资料!$W$5:$W$24,C441,基础资料!$X$5:$X$24)+SUMIF(C$7:C441,C441,F$7:F441)-SUMIF(C$7:C441,C441,G$7:G441))</f>
      </c>
      <c r="I441" s="145">
        <f>IF(AND(F441="",G441=""),"",SUM(基础资料!$X$5:$X$24)+SUM(F$7:F441)-SUM(G$7:G441))</f>
      </c>
      <c r="J441" s="141" t="n"/>
      <c r="K441" s="141" t="n"/>
      <c r="L441" s="141" t="n"/>
      <c r="M441" s="142" t="n"/>
      <c r="N441" s="146">
        <f>IF(AND(AND(F441="",G441=""),B441="",C441="",D441="",J441="",K441="",L441=""),"",IF(AND(F441="",G441=""),"✗ 没填金额",IF(AND(N(F441)&lt;&gt;0,N(G441)&lt;&gt;0),"✗ 收入、支出只能填一边",IF(NOT(ISNUMBER(B441)),"✗ 日期不是真日期（要像 2026/9/25 这样填）",IF(OR(B441&lt;年初日,B441&gt;年末日),"✗ 日期不在本会计年度",IF(C441="","✗ 没选账户",IF(COUNTIF(基础资料!$W$5:$W$24,C441)=0,"✗ 账户不在基础资料里",IF(O441="","✗ 没选收支项目",IF(P441="未知","✗ 收支项目不在基础资料里",IF(AND(P441="应收",J441=""),"✗ 这笔要选客户",IF(AND(P441="应收",COUNTIF(总览汇总!$B$5:$B$304,J441)=0),"✗ 客户不在总览汇总名单里",IF(AND(P441="应付",K441=""),"✗ 这笔要选供应商",IF(AND(P441="应付",COUNTIF(基础资料!$Q$5:$Q$54,K441)=0),"✗ 供应商不在基础资料里",IF(AND(P441="费用",L441=""),"✗ 费用支出要选费用项目",IF(AND(L441&lt;&gt;"",COUNTIF(基础资料!$AI$5:$AI$54,L441)=0),"✗ 费用项目不在基础资料里",IF(AND(IFERROR(INDEX(基础资料!$AD$5:$AD$34,MATCH(O441,基础资料!$AC$5:$AC$34,0)),"")="收",N(G441)&lt;&gt;0),"✗ 这类是收款，金额填到收入列",IF(AND(IFERROR(INDEX(基础资料!$AD$5:$AD$34,MATCH(O441,基础资料!$AC$5:$AC$34,0)),"")="支",N(F441)&lt;&gt;0),"✗ 这类是付款，金额填到支出列",IF(N(H441)&lt;0,"⚠ 账户余额成负数了，核对一下","√"))))))))))))))))))</f>
      </c>
      <c r="O441" s="78">
        <f>IF(D441&lt;&gt;"",D441,IF(AND(F441="",G441=""),"",IF(J441&lt;&gt;"",IF(N(F441)&gt;0,"客户回款","客户退款"),IF(K441&lt;&gt;"",IF(N(G441)&gt;0,"供应商付款","供应商退款"),IF(L441&lt;&gt;"","费用支出","")))))</f>
      </c>
      <c r="P441" s="78">
        <f>IF(O441="","",IFERROR(INDEX(基础资料!$AE$5:$AE$34,MATCH(O441,基础资料!$AC$5:$AC$34,0)),"未知"))</f>
      </c>
      <c r="Q441" s="78">
        <f>IF(P441="应收",COUNTIF(P$7:P441,"应收"),"")</f>
      </c>
      <c r="R441" s="78">
        <f>IF(P441="应付",COUNTIF(P$7:P441,"应付"),"")</f>
      </c>
      <c r="S441" s="78">
        <f>N(F441)-N(G441)</f>
        <v>0</v>
      </c>
    </row>
    <row r="442">
      <c r="A442" s="109">
        <f>IF(AND(F442="",G442=""),"",ROW()-6)</f>
      </c>
      <c r="B442" s="140" t="n"/>
      <c r="C442" s="141" t="n"/>
      <c r="D442" s="141" t="n"/>
      <c r="E442" s="142" t="n"/>
      <c r="F442" s="143" t="n"/>
      <c r="G442" s="144" t="n"/>
      <c r="H442" s="145">
        <f>IF(OR(C442="",AND(F442="",G442="")),"",SUMIF(基础资料!$W$5:$W$24,C442,基础资料!$X$5:$X$24)+SUMIF(C$7:C442,C442,F$7:F442)-SUMIF(C$7:C442,C442,G$7:G442))</f>
      </c>
      <c r="I442" s="145">
        <f>IF(AND(F442="",G442=""),"",SUM(基础资料!$X$5:$X$24)+SUM(F$7:F442)-SUM(G$7:G442))</f>
      </c>
      <c r="J442" s="141" t="n"/>
      <c r="K442" s="141" t="n"/>
      <c r="L442" s="141" t="n"/>
      <c r="M442" s="142" t="n"/>
      <c r="N442" s="146">
        <f>IF(AND(AND(F442="",G442=""),B442="",C442="",D442="",J442="",K442="",L442=""),"",IF(AND(F442="",G442=""),"✗ 没填金额",IF(AND(N(F442)&lt;&gt;0,N(G442)&lt;&gt;0),"✗ 收入、支出只能填一边",IF(NOT(ISNUMBER(B442)),"✗ 日期不是真日期（要像 2026/9/25 这样填）",IF(OR(B442&lt;年初日,B442&gt;年末日),"✗ 日期不在本会计年度",IF(C442="","✗ 没选账户",IF(COUNTIF(基础资料!$W$5:$W$24,C442)=0,"✗ 账户不在基础资料里",IF(O442="","✗ 没选收支项目",IF(P442="未知","✗ 收支项目不在基础资料里",IF(AND(P442="应收",J442=""),"✗ 这笔要选客户",IF(AND(P442="应收",COUNTIF(总览汇总!$B$5:$B$304,J442)=0),"✗ 客户不在总览汇总名单里",IF(AND(P442="应付",K442=""),"✗ 这笔要选供应商",IF(AND(P442="应付",COUNTIF(基础资料!$Q$5:$Q$54,K442)=0),"✗ 供应商不在基础资料里",IF(AND(P442="费用",L442=""),"✗ 费用支出要选费用项目",IF(AND(L442&lt;&gt;"",COUNTIF(基础资料!$AI$5:$AI$54,L442)=0),"✗ 费用项目不在基础资料里",IF(AND(IFERROR(INDEX(基础资料!$AD$5:$AD$34,MATCH(O442,基础资料!$AC$5:$AC$34,0)),"")="收",N(G442)&lt;&gt;0),"✗ 这类是收款，金额填到收入列",IF(AND(IFERROR(INDEX(基础资料!$AD$5:$AD$34,MATCH(O442,基础资料!$AC$5:$AC$34,0)),"")="支",N(F442)&lt;&gt;0),"✗ 这类是付款，金额填到支出列",IF(N(H442)&lt;0,"⚠ 账户余额成负数了，核对一下","√"))))))))))))))))))</f>
      </c>
      <c r="O442" s="78">
        <f>IF(D442&lt;&gt;"",D442,IF(AND(F442="",G442=""),"",IF(J442&lt;&gt;"",IF(N(F442)&gt;0,"客户回款","客户退款"),IF(K442&lt;&gt;"",IF(N(G442)&gt;0,"供应商付款","供应商退款"),IF(L442&lt;&gt;"","费用支出","")))))</f>
      </c>
      <c r="P442" s="78">
        <f>IF(O442="","",IFERROR(INDEX(基础资料!$AE$5:$AE$34,MATCH(O442,基础资料!$AC$5:$AC$34,0)),"未知"))</f>
      </c>
      <c r="Q442" s="78">
        <f>IF(P442="应收",COUNTIF(P$7:P442,"应收"),"")</f>
      </c>
      <c r="R442" s="78">
        <f>IF(P442="应付",COUNTIF(P$7:P442,"应付"),"")</f>
      </c>
      <c r="S442" s="78">
        <f>N(F442)-N(G442)</f>
        <v>0</v>
      </c>
    </row>
    <row r="443">
      <c r="A443" s="109">
        <f>IF(AND(F443="",G443=""),"",ROW()-6)</f>
      </c>
      <c r="B443" s="140" t="n"/>
      <c r="C443" s="141" t="n"/>
      <c r="D443" s="141" t="n"/>
      <c r="E443" s="142" t="n"/>
      <c r="F443" s="143" t="n"/>
      <c r="G443" s="144" t="n"/>
      <c r="H443" s="145">
        <f>IF(OR(C443="",AND(F443="",G443="")),"",SUMIF(基础资料!$W$5:$W$24,C443,基础资料!$X$5:$X$24)+SUMIF(C$7:C443,C443,F$7:F443)-SUMIF(C$7:C443,C443,G$7:G443))</f>
      </c>
      <c r="I443" s="145">
        <f>IF(AND(F443="",G443=""),"",SUM(基础资料!$X$5:$X$24)+SUM(F$7:F443)-SUM(G$7:G443))</f>
      </c>
      <c r="J443" s="141" t="n"/>
      <c r="K443" s="141" t="n"/>
      <c r="L443" s="141" t="n"/>
      <c r="M443" s="142" t="n"/>
      <c r="N443" s="146">
        <f>IF(AND(AND(F443="",G443=""),B443="",C443="",D443="",J443="",K443="",L443=""),"",IF(AND(F443="",G443=""),"✗ 没填金额",IF(AND(N(F443)&lt;&gt;0,N(G443)&lt;&gt;0),"✗ 收入、支出只能填一边",IF(NOT(ISNUMBER(B443)),"✗ 日期不是真日期（要像 2026/9/25 这样填）",IF(OR(B443&lt;年初日,B443&gt;年末日),"✗ 日期不在本会计年度",IF(C443="","✗ 没选账户",IF(COUNTIF(基础资料!$W$5:$W$24,C443)=0,"✗ 账户不在基础资料里",IF(O443="","✗ 没选收支项目",IF(P443="未知","✗ 收支项目不在基础资料里",IF(AND(P443="应收",J443=""),"✗ 这笔要选客户",IF(AND(P443="应收",COUNTIF(总览汇总!$B$5:$B$304,J443)=0),"✗ 客户不在总览汇总名单里",IF(AND(P443="应付",K443=""),"✗ 这笔要选供应商",IF(AND(P443="应付",COUNTIF(基础资料!$Q$5:$Q$54,K443)=0),"✗ 供应商不在基础资料里",IF(AND(P443="费用",L443=""),"✗ 费用支出要选费用项目",IF(AND(L443&lt;&gt;"",COUNTIF(基础资料!$AI$5:$AI$54,L443)=0),"✗ 费用项目不在基础资料里",IF(AND(IFERROR(INDEX(基础资料!$AD$5:$AD$34,MATCH(O443,基础资料!$AC$5:$AC$34,0)),"")="收",N(G443)&lt;&gt;0),"✗ 这类是收款，金额填到收入列",IF(AND(IFERROR(INDEX(基础资料!$AD$5:$AD$34,MATCH(O443,基础资料!$AC$5:$AC$34,0)),"")="支",N(F443)&lt;&gt;0),"✗ 这类是付款，金额填到支出列",IF(N(H443)&lt;0,"⚠ 账户余额成负数了，核对一下","√"))))))))))))))))))</f>
      </c>
      <c r="O443" s="78">
        <f>IF(D443&lt;&gt;"",D443,IF(AND(F443="",G443=""),"",IF(J443&lt;&gt;"",IF(N(F443)&gt;0,"客户回款","客户退款"),IF(K443&lt;&gt;"",IF(N(G443)&gt;0,"供应商付款","供应商退款"),IF(L443&lt;&gt;"","费用支出","")))))</f>
      </c>
      <c r="P443" s="78">
        <f>IF(O443="","",IFERROR(INDEX(基础资料!$AE$5:$AE$34,MATCH(O443,基础资料!$AC$5:$AC$34,0)),"未知"))</f>
      </c>
      <c r="Q443" s="78">
        <f>IF(P443="应收",COUNTIF(P$7:P443,"应收"),"")</f>
      </c>
      <c r="R443" s="78">
        <f>IF(P443="应付",COUNTIF(P$7:P443,"应付"),"")</f>
      </c>
      <c r="S443" s="78">
        <f>N(F443)-N(G443)</f>
        <v>0</v>
      </c>
    </row>
    <row r="444">
      <c r="A444" s="109">
        <f>IF(AND(F444="",G444=""),"",ROW()-6)</f>
      </c>
      <c r="B444" s="140" t="n"/>
      <c r="C444" s="141" t="n"/>
      <c r="D444" s="141" t="n"/>
      <c r="E444" s="142" t="n"/>
      <c r="F444" s="143" t="n"/>
      <c r="G444" s="144" t="n"/>
      <c r="H444" s="145">
        <f>IF(OR(C444="",AND(F444="",G444="")),"",SUMIF(基础资料!$W$5:$W$24,C444,基础资料!$X$5:$X$24)+SUMIF(C$7:C444,C444,F$7:F444)-SUMIF(C$7:C444,C444,G$7:G444))</f>
      </c>
      <c r="I444" s="145">
        <f>IF(AND(F444="",G444=""),"",SUM(基础资料!$X$5:$X$24)+SUM(F$7:F444)-SUM(G$7:G444))</f>
      </c>
      <c r="J444" s="141" t="n"/>
      <c r="K444" s="141" t="n"/>
      <c r="L444" s="141" t="n"/>
      <c r="M444" s="142" t="n"/>
      <c r="N444" s="146">
        <f>IF(AND(AND(F444="",G444=""),B444="",C444="",D444="",J444="",K444="",L444=""),"",IF(AND(F444="",G444=""),"✗ 没填金额",IF(AND(N(F444)&lt;&gt;0,N(G444)&lt;&gt;0),"✗ 收入、支出只能填一边",IF(NOT(ISNUMBER(B444)),"✗ 日期不是真日期（要像 2026/9/25 这样填）",IF(OR(B444&lt;年初日,B444&gt;年末日),"✗ 日期不在本会计年度",IF(C444="","✗ 没选账户",IF(COUNTIF(基础资料!$W$5:$W$24,C444)=0,"✗ 账户不在基础资料里",IF(O444="","✗ 没选收支项目",IF(P444="未知","✗ 收支项目不在基础资料里",IF(AND(P444="应收",J444=""),"✗ 这笔要选客户",IF(AND(P444="应收",COUNTIF(总览汇总!$B$5:$B$304,J444)=0),"✗ 客户不在总览汇总名单里",IF(AND(P444="应付",K444=""),"✗ 这笔要选供应商",IF(AND(P444="应付",COUNTIF(基础资料!$Q$5:$Q$54,K444)=0),"✗ 供应商不在基础资料里",IF(AND(P444="费用",L444=""),"✗ 费用支出要选费用项目",IF(AND(L444&lt;&gt;"",COUNTIF(基础资料!$AI$5:$AI$54,L444)=0),"✗ 费用项目不在基础资料里",IF(AND(IFERROR(INDEX(基础资料!$AD$5:$AD$34,MATCH(O444,基础资料!$AC$5:$AC$34,0)),"")="收",N(G444)&lt;&gt;0),"✗ 这类是收款，金额填到收入列",IF(AND(IFERROR(INDEX(基础资料!$AD$5:$AD$34,MATCH(O444,基础资料!$AC$5:$AC$34,0)),"")="支",N(F444)&lt;&gt;0),"✗ 这类是付款，金额填到支出列",IF(N(H444)&lt;0,"⚠ 账户余额成负数了，核对一下","√"))))))))))))))))))</f>
      </c>
      <c r="O444" s="78">
        <f>IF(D444&lt;&gt;"",D444,IF(AND(F444="",G444=""),"",IF(J444&lt;&gt;"",IF(N(F444)&gt;0,"客户回款","客户退款"),IF(K444&lt;&gt;"",IF(N(G444)&gt;0,"供应商付款","供应商退款"),IF(L444&lt;&gt;"","费用支出","")))))</f>
      </c>
      <c r="P444" s="78">
        <f>IF(O444="","",IFERROR(INDEX(基础资料!$AE$5:$AE$34,MATCH(O444,基础资料!$AC$5:$AC$34,0)),"未知"))</f>
      </c>
      <c r="Q444" s="78">
        <f>IF(P444="应收",COUNTIF(P$7:P444,"应收"),"")</f>
      </c>
      <c r="R444" s="78">
        <f>IF(P444="应付",COUNTIF(P$7:P444,"应付"),"")</f>
      </c>
      <c r="S444" s="78">
        <f>N(F444)-N(G444)</f>
        <v>0</v>
      </c>
    </row>
    <row r="445">
      <c r="A445" s="109">
        <f>IF(AND(F445="",G445=""),"",ROW()-6)</f>
      </c>
      <c r="B445" s="140" t="n"/>
      <c r="C445" s="141" t="n"/>
      <c r="D445" s="141" t="n"/>
      <c r="E445" s="142" t="n"/>
      <c r="F445" s="143" t="n"/>
      <c r="G445" s="144" t="n"/>
      <c r="H445" s="145">
        <f>IF(OR(C445="",AND(F445="",G445="")),"",SUMIF(基础资料!$W$5:$W$24,C445,基础资料!$X$5:$X$24)+SUMIF(C$7:C445,C445,F$7:F445)-SUMIF(C$7:C445,C445,G$7:G445))</f>
      </c>
      <c r="I445" s="145">
        <f>IF(AND(F445="",G445=""),"",SUM(基础资料!$X$5:$X$24)+SUM(F$7:F445)-SUM(G$7:G445))</f>
      </c>
      <c r="J445" s="141" t="n"/>
      <c r="K445" s="141" t="n"/>
      <c r="L445" s="141" t="n"/>
      <c r="M445" s="142" t="n"/>
      <c r="N445" s="146">
        <f>IF(AND(AND(F445="",G445=""),B445="",C445="",D445="",J445="",K445="",L445=""),"",IF(AND(F445="",G445=""),"✗ 没填金额",IF(AND(N(F445)&lt;&gt;0,N(G445)&lt;&gt;0),"✗ 收入、支出只能填一边",IF(NOT(ISNUMBER(B445)),"✗ 日期不是真日期（要像 2026/9/25 这样填）",IF(OR(B445&lt;年初日,B445&gt;年末日),"✗ 日期不在本会计年度",IF(C445="","✗ 没选账户",IF(COUNTIF(基础资料!$W$5:$W$24,C445)=0,"✗ 账户不在基础资料里",IF(O445="","✗ 没选收支项目",IF(P445="未知","✗ 收支项目不在基础资料里",IF(AND(P445="应收",J445=""),"✗ 这笔要选客户",IF(AND(P445="应收",COUNTIF(总览汇总!$B$5:$B$304,J445)=0),"✗ 客户不在总览汇总名单里",IF(AND(P445="应付",K445=""),"✗ 这笔要选供应商",IF(AND(P445="应付",COUNTIF(基础资料!$Q$5:$Q$54,K445)=0),"✗ 供应商不在基础资料里",IF(AND(P445="费用",L445=""),"✗ 费用支出要选费用项目",IF(AND(L445&lt;&gt;"",COUNTIF(基础资料!$AI$5:$AI$54,L445)=0),"✗ 费用项目不在基础资料里",IF(AND(IFERROR(INDEX(基础资料!$AD$5:$AD$34,MATCH(O445,基础资料!$AC$5:$AC$34,0)),"")="收",N(G445)&lt;&gt;0),"✗ 这类是收款，金额填到收入列",IF(AND(IFERROR(INDEX(基础资料!$AD$5:$AD$34,MATCH(O445,基础资料!$AC$5:$AC$34,0)),"")="支",N(F445)&lt;&gt;0),"✗ 这类是付款，金额填到支出列",IF(N(H445)&lt;0,"⚠ 账户余额成负数了，核对一下","√"))))))))))))))))))</f>
      </c>
      <c r="O445" s="78">
        <f>IF(D445&lt;&gt;"",D445,IF(AND(F445="",G445=""),"",IF(J445&lt;&gt;"",IF(N(F445)&gt;0,"客户回款","客户退款"),IF(K445&lt;&gt;"",IF(N(G445)&gt;0,"供应商付款","供应商退款"),IF(L445&lt;&gt;"","费用支出","")))))</f>
      </c>
      <c r="P445" s="78">
        <f>IF(O445="","",IFERROR(INDEX(基础资料!$AE$5:$AE$34,MATCH(O445,基础资料!$AC$5:$AC$34,0)),"未知"))</f>
      </c>
      <c r="Q445" s="78">
        <f>IF(P445="应收",COUNTIF(P$7:P445,"应收"),"")</f>
      </c>
      <c r="R445" s="78">
        <f>IF(P445="应付",COUNTIF(P$7:P445,"应付"),"")</f>
      </c>
      <c r="S445" s="78">
        <f>N(F445)-N(G445)</f>
        <v>0</v>
      </c>
    </row>
    <row r="446">
      <c r="A446" s="109">
        <f>IF(AND(F446="",G446=""),"",ROW()-6)</f>
      </c>
      <c r="B446" s="140" t="n"/>
      <c r="C446" s="141" t="n"/>
      <c r="D446" s="141" t="n"/>
      <c r="E446" s="142" t="n"/>
      <c r="F446" s="143" t="n"/>
      <c r="G446" s="144" t="n"/>
      <c r="H446" s="145">
        <f>IF(OR(C446="",AND(F446="",G446="")),"",SUMIF(基础资料!$W$5:$W$24,C446,基础资料!$X$5:$X$24)+SUMIF(C$7:C446,C446,F$7:F446)-SUMIF(C$7:C446,C446,G$7:G446))</f>
      </c>
      <c r="I446" s="145">
        <f>IF(AND(F446="",G446=""),"",SUM(基础资料!$X$5:$X$24)+SUM(F$7:F446)-SUM(G$7:G446))</f>
      </c>
      <c r="J446" s="141" t="n"/>
      <c r="K446" s="141" t="n"/>
      <c r="L446" s="141" t="n"/>
      <c r="M446" s="142" t="n"/>
      <c r="N446" s="146">
        <f>IF(AND(AND(F446="",G446=""),B446="",C446="",D446="",J446="",K446="",L446=""),"",IF(AND(F446="",G446=""),"✗ 没填金额",IF(AND(N(F446)&lt;&gt;0,N(G446)&lt;&gt;0),"✗ 收入、支出只能填一边",IF(NOT(ISNUMBER(B446)),"✗ 日期不是真日期（要像 2026/9/25 这样填）",IF(OR(B446&lt;年初日,B446&gt;年末日),"✗ 日期不在本会计年度",IF(C446="","✗ 没选账户",IF(COUNTIF(基础资料!$W$5:$W$24,C446)=0,"✗ 账户不在基础资料里",IF(O446="","✗ 没选收支项目",IF(P446="未知","✗ 收支项目不在基础资料里",IF(AND(P446="应收",J446=""),"✗ 这笔要选客户",IF(AND(P446="应收",COUNTIF(总览汇总!$B$5:$B$304,J446)=0),"✗ 客户不在总览汇总名单里",IF(AND(P446="应付",K446=""),"✗ 这笔要选供应商",IF(AND(P446="应付",COUNTIF(基础资料!$Q$5:$Q$54,K446)=0),"✗ 供应商不在基础资料里",IF(AND(P446="费用",L446=""),"✗ 费用支出要选费用项目",IF(AND(L446&lt;&gt;"",COUNTIF(基础资料!$AI$5:$AI$54,L446)=0),"✗ 费用项目不在基础资料里",IF(AND(IFERROR(INDEX(基础资料!$AD$5:$AD$34,MATCH(O446,基础资料!$AC$5:$AC$34,0)),"")="收",N(G446)&lt;&gt;0),"✗ 这类是收款，金额填到收入列",IF(AND(IFERROR(INDEX(基础资料!$AD$5:$AD$34,MATCH(O446,基础资料!$AC$5:$AC$34,0)),"")="支",N(F446)&lt;&gt;0),"✗ 这类是付款，金额填到支出列",IF(N(H446)&lt;0,"⚠ 账户余额成负数了，核对一下","√"))))))))))))))))))</f>
      </c>
      <c r="O446" s="78">
        <f>IF(D446&lt;&gt;"",D446,IF(AND(F446="",G446=""),"",IF(J446&lt;&gt;"",IF(N(F446)&gt;0,"客户回款","客户退款"),IF(K446&lt;&gt;"",IF(N(G446)&gt;0,"供应商付款","供应商退款"),IF(L446&lt;&gt;"","费用支出","")))))</f>
      </c>
      <c r="P446" s="78">
        <f>IF(O446="","",IFERROR(INDEX(基础资料!$AE$5:$AE$34,MATCH(O446,基础资料!$AC$5:$AC$34,0)),"未知"))</f>
      </c>
      <c r="Q446" s="78">
        <f>IF(P446="应收",COUNTIF(P$7:P446,"应收"),"")</f>
      </c>
      <c r="R446" s="78">
        <f>IF(P446="应付",COUNTIF(P$7:P446,"应付"),"")</f>
      </c>
      <c r="S446" s="78">
        <f>N(F446)-N(G446)</f>
        <v>0</v>
      </c>
    </row>
    <row r="447">
      <c r="A447" s="109">
        <f>IF(AND(F447="",G447=""),"",ROW()-6)</f>
      </c>
      <c r="B447" s="140" t="n"/>
      <c r="C447" s="141" t="n"/>
      <c r="D447" s="141" t="n"/>
      <c r="E447" s="142" t="n"/>
      <c r="F447" s="143" t="n"/>
      <c r="G447" s="144" t="n"/>
      <c r="H447" s="145">
        <f>IF(OR(C447="",AND(F447="",G447="")),"",SUMIF(基础资料!$W$5:$W$24,C447,基础资料!$X$5:$X$24)+SUMIF(C$7:C447,C447,F$7:F447)-SUMIF(C$7:C447,C447,G$7:G447))</f>
      </c>
      <c r="I447" s="145">
        <f>IF(AND(F447="",G447=""),"",SUM(基础资料!$X$5:$X$24)+SUM(F$7:F447)-SUM(G$7:G447))</f>
      </c>
      <c r="J447" s="141" t="n"/>
      <c r="K447" s="141" t="n"/>
      <c r="L447" s="141" t="n"/>
      <c r="M447" s="142" t="n"/>
      <c r="N447" s="146">
        <f>IF(AND(AND(F447="",G447=""),B447="",C447="",D447="",J447="",K447="",L447=""),"",IF(AND(F447="",G447=""),"✗ 没填金额",IF(AND(N(F447)&lt;&gt;0,N(G447)&lt;&gt;0),"✗ 收入、支出只能填一边",IF(NOT(ISNUMBER(B447)),"✗ 日期不是真日期（要像 2026/9/25 这样填）",IF(OR(B447&lt;年初日,B447&gt;年末日),"✗ 日期不在本会计年度",IF(C447="","✗ 没选账户",IF(COUNTIF(基础资料!$W$5:$W$24,C447)=0,"✗ 账户不在基础资料里",IF(O447="","✗ 没选收支项目",IF(P447="未知","✗ 收支项目不在基础资料里",IF(AND(P447="应收",J447=""),"✗ 这笔要选客户",IF(AND(P447="应收",COUNTIF(总览汇总!$B$5:$B$304,J447)=0),"✗ 客户不在总览汇总名单里",IF(AND(P447="应付",K447=""),"✗ 这笔要选供应商",IF(AND(P447="应付",COUNTIF(基础资料!$Q$5:$Q$54,K447)=0),"✗ 供应商不在基础资料里",IF(AND(P447="费用",L447=""),"✗ 费用支出要选费用项目",IF(AND(L447&lt;&gt;"",COUNTIF(基础资料!$AI$5:$AI$54,L447)=0),"✗ 费用项目不在基础资料里",IF(AND(IFERROR(INDEX(基础资料!$AD$5:$AD$34,MATCH(O447,基础资料!$AC$5:$AC$34,0)),"")="收",N(G447)&lt;&gt;0),"✗ 这类是收款，金额填到收入列",IF(AND(IFERROR(INDEX(基础资料!$AD$5:$AD$34,MATCH(O447,基础资料!$AC$5:$AC$34,0)),"")="支",N(F447)&lt;&gt;0),"✗ 这类是付款，金额填到支出列",IF(N(H447)&lt;0,"⚠ 账户余额成负数了，核对一下","√"))))))))))))))))))</f>
      </c>
      <c r="O447" s="78">
        <f>IF(D447&lt;&gt;"",D447,IF(AND(F447="",G447=""),"",IF(J447&lt;&gt;"",IF(N(F447)&gt;0,"客户回款","客户退款"),IF(K447&lt;&gt;"",IF(N(G447)&gt;0,"供应商付款","供应商退款"),IF(L447&lt;&gt;"","费用支出","")))))</f>
      </c>
      <c r="P447" s="78">
        <f>IF(O447="","",IFERROR(INDEX(基础资料!$AE$5:$AE$34,MATCH(O447,基础资料!$AC$5:$AC$34,0)),"未知"))</f>
      </c>
      <c r="Q447" s="78">
        <f>IF(P447="应收",COUNTIF(P$7:P447,"应收"),"")</f>
      </c>
      <c r="R447" s="78">
        <f>IF(P447="应付",COUNTIF(P$7:P447,"应付"),"")</f>
      </c>
      <c r="S447" s="78">
        <f>N(F447)-N(G447)</f>
        <v>0</v>
      </c>
    </row>
    <row r="448">
      <c r="A448" s="109">
        <f>IF(AND(F448="",G448=""),"",ROW()-6)</f>
      </c>
      <c r="B448" s="140" t="n"/>
      <c r="C448" s="141" t="n"/>
      <c r="D448" s="141" t="n"/>
      <c r="E448" s="142" t="n"/>
      <c r="F448" s="143" t="n"/>
      <c r="G448" s="144" t="n"/>
      <c r="H448" s="145">
        <f>IF(OR(C448="",AND(F448="",G448="")),"",SUMIF(基础资料!$W$5:$W$24,C448,基础资料!$X$5:$X$24)+SUMIF(C$7:C448,C448,F$7:F448)-SUMIF(C$7:C448,C448,G$7:G448))</f>
      </c>
      <c r="I448" s="145">
        <f>IF(AND(F448="",G448=""),"",SUM(基础资料!$X$5:$X$24)+SUM(F$7:F448)-SUM(G$7:G448))</f>
      </c>
      <c r="J448" s="141" t="n"/>
      <c r="K448" s="141" t="n"/>
      <c r="L448" s="141" t="n"/>
      <c r="M448" s="142" t="n"/>
      <c r="N448" s="146">
        <f>IF(AND(AND(F448="",G448=""),B448="",C448="",D448="",J448="",K448="",L448=""),"",IF(AND(F448="",G448=""),"✗ 没填金额",IF(AND(N(F448)&lt;&gt;0,N(G448)&lt;&gt;0),"✗ 收入、支出只能填一边",IF(NOT(ISNUMBER(B448)),"✗ 日期不是真日期（要像 2026/9/25 这样填）",IF(OR(B448&lt;年初日,B448&gt;年末日),"✗ 日期不在本会计年度",IF(C448="","✗ 没选账户",IF(COUNTIF(基础资料!$W$5:$W$24,C448)=0,"✗ 账户不在基础资料里",IF(O448="","✗ 没选收支项目",IF(P448="未知","✗ 收支项目不在基础资料里",IF(AND(P448="应收",J448=""),"✗ 这笔要选客户",IF(AND(P448="应收",COUNTIF(总览汇总!$B$5:$B$304,J448)=0),"✗ 客户不在总览汇总名单里",IF(AND(P448="应付",K448=""),"✗ 这笔要选供应商",IF(AND(P448="应付",COUNTIF(基础资料!$Q$5:$Q$54,K448)=0),"✗ 供应商不在基础资料里",IF(AND(P448="费用",L448=""),"✗ 费用支出要选费用项目",IF(AND(L448&lt;&gt;"",COUNTIF(基础资料!$AI$5:$AI$54,L448)=0),"✗ 费用项目不在基础资料里",IF(AND(IFERROR(INDEX(基础资料!$AD$5:$AD$34,MATCH(O448,基础资料!$AC$5:$AC$34,0)),"")="收",N(G448)&lt;&gt;0),"✗ 这类是收款，金额填到收入列",IF(AND(IFERROR(INDEX(基础资料!$AD$5:$AD$34,MATCH(O448,基础资料!$AC$5:$AC$34,0)),"")="支",N(F448)&lt;&gt;0),"✗ 这类是付款，金额填到支出列",IF(N(H448)&lt;0,"⚠ 账户余额成负数了，核对一下","√"))))))))))))))))))</f>
      </c>
      <c r="O448" s="78">
        <f>IF(D448&lt;&gt;"",D448,IF(AND(F448="",G448=""),"",IF(J448&lt;&gt;"",IF(N(F448)&gt;0,"客户回款","客户退款"),IF(K448&lt;&gt;"",IF(N(G448)&gt;0,"供应商付款","供应商退款"),IF(L448&lt;&gt;"","费用支出","")))))</f>
      </c>
      <c r="P448" s="78">
        <f>IF(O448="","",IFERROR(INDEX(基础资料!$AE$5:$AE$34,MATCH(O448,基础资料!$AC$5:$AC$34,0)),"未知"))</f>
      </c>
      <c r="Q448" s="78">
        <f>IF(P448="应收",COUNTIF(P$7:P448,"应收"),"")</f>
      </c>
      <c r="R448" s="78">
        <f>IF(P448="应付",COUNTIF(P$7:P448,"应付"),"")</f>
      </c>
      <c r="S448" s="78">
        <f>N(F448)-N(G448)</f>
        <v>0</v>
      </c>
    </row>
    <row r="449">
      <c r="A449" s="109">
        <f>IF(AND(F449="",G449=""),"",ROW()-6)</f>
      </c>
      <c r="B449" s="140" t="n"/>
      <c r="C449" s="141" t="n"/>
      <c r="D449" s="141" t="n"/>
      <c r="E449" s="142" t="n"/>
      <c r="F449" s="143" t="n"/>
      <c r="G449" s="144" t="n"/>
      <c r="H449" s="145">
        <f>IF(OR(C449="",AND(F449="",G449="")),"",SUMIF(基础资料!$W$5:$W$24,C449,基础资料!$X$5:$X$24)+SUMIF(C$7:C449,C449,F$7:F449)-SUMIF(C$7:C449,C449,G$7:G449))</f>
      </c>
      <c r="I449" s="145">
        <f>IF(AND(F449="",G449=""),"",SUM(基础资料!$X$5:$X$24)+SUM(F$7:F449)-SUM(G$7:G449))</f>
      </c>
      <c r="J449" s="141" t="n"/>
      <c r="K449" s="141" t="n"/>
      <c r="L449" s="141" t="n"/>
      <c r="M449" s="142" t="n"/>
      <c r="N449" s="146">
        <f>IF(AND(AND(F449="",G449=""),B449="",C449="",D449="",J449="",K449="",L449=""),"",IF(AND(F449="",G449=""),"✗ 没填金额",IF(AND(N(F449)&lt;&gt;0,N(G449)&lt;&gt;0),"✗ 收入、支出只能填一边",IF(NOT(ISNUMBER(B449)),"✗ 日期不是真日期（要像 2026/9/25 这样填）",IF(OR(B449&lt;年初日,B449&gt;年末日),"✗ 日期不在本会计年度",IF(C449="","✗ 没选账户",IF(COUNTIF(基础资料!$W$5:$W$24,C449)=0,"✗ 账户不在基础资料里",IF(O449="","✗ 没选收支项目",IF(P449="未知","✗ 收支项目不在基础资料里",IF(AND(P449="应收",J449=""),"✗ 这笔要选客户",IF(AND(P449="应收",COUNTIF(总览汇总!$B$5:$B$304,J449)=0),"✗ 客户不在总览汇总名单里",IF(AND(P449="应付",K449=""),"✗ 这笔要选供应商",IF(AND(P449="应付",COUNTIF(基础资料!$Q$5:$Q$54,K449)=0),"✗ 供应商不在基础资料里",IF(AND(P449="费用",L449=""),"✗ 费用支出要选费用项目",IF(AND(L449&lt;&gt;"",COUNTIF(基础资料!$AI$5:$AI$54,L449)=0),"✗ 费用项目不在基础资料里",IF(AND(IFERROR(INDEX(基础资料!$AD$5:$AD$34,MATCH(O449,基础资料!$AC$5:$AC$34,0)),"")="收",N(G449)&lt;&gt;0),"✗ 这类是收款，金额填到收入列",IF(AND(IFERROR(INDEX(基础资料!$AD$5:$AD$34,MATCH(O449,基础资料!$AC$5:$AC$34,0)),"")="支",N(F449)&lt;&gt;0),"✗ 这类是付款，金额填到支出列",IF(N(H449)&lt;0,"⚠ 账户余额成负数了，核对一下","√"))))))))))))))))))</f>
      </c>
      <c r="O449" s="78">
        <f>IF(D449&lt;&gt;"",D449,IF(AND(F449="",G449=""),"",IF(J449&lt;&gt;"",IF(N(F449)&gt;0,"客户回款","客户退款"),IF(K449&lt;&gt;"",IF(N(G449)&gt;0,"供应商付款","供应商退款"),IF(L449&lt;&gt;"","费用支出","")))))</f>
      </c>
      <c r="P449" s="78">
        <f>IF(O449="","",IFERROR(INDEX(基础资料!$AE$5:$AE$34,MATCH(O449,基础资料!$AC$5:$AC$34,0)),"未知"))</f>
      </c>
      <c r="Q449" s="78">
        <f>IF(P449="应收",COUNTIF(P$7:P449,"应收"),"")</f>
      </c>
      <c r="R449" s="78">
        <f>IF(P449="应付",COUNTIF(P$7:P449,"应付"),"")</f>
      </c>
      <c r="S449" s="78">
        <f>N(F449)-N(G449)</f>
        <v>0</v>
      </c>
    </row>
    <row r="450">
      <c r="A450" s="109">
        <f>IF(AND(F450="",G450=""),"",ROW()-6)</f>
      </c>
      <c r="B450" s="140" t="n"/>
      <c r="C450" s="141" t="n"/>
      <c r="D450" s="141" t="n"/>
      <c r="E450" s="142" t="n"/>
      <c r="F450" s="143" t="n"/>
      <c r="G450" s="144" t="n"/>
      <c r="H450" s="145">
        <f>IF(OR(C450="",AND(F450="",G450="")),"",SUMIF(基础资料!$W$5:$W$24,C450,基础资料!$X$5:$X$24)+SUMIF(C$7:C450,C450,F$7:F450)-SUMIF(C$7:C450,C450,G$7:G450))</f>
      </c>
      <c r="I450" s="145">
        <f>IF(AND(F450="",G450=""),"",SUM(基础资料!$X$5:$X$24)+SUM(F$7:F450)-SUM(G$7:G450))</f>
      </c>
      <c r="J450" s="141" t="n"/>
      <c r="K450" s="141" t="n"/>
      <c r="L450" s="141" t="n"/>
      <c r="M450" s="142" t="n"/>
      <c r="N450" s="146">
        <f>IF(AND(AND(F450="",G450=""),B450="",C450="",D450="",J450="",K450="",L450=""),"",IF(AND(F450="",G450=""),"✗ 没填金额",IF(AND(N(F450)&lt;&gt;0,N(G450)&lt;&gt;0),"✗ 收入、支出只能填一边",IF(NOT(ISNUMBER(B450)),"✗ 日期不是真日期（要像 2026/9/25 这样填）",IF(OR(B450&lt;年初日,B450&gt;年末日),"✗ 日期不在本会计年度",IF(C450="","✗ 没选账户",IF(COUNTIF(基础资料!$W$5:$W$24,C450)=0,"✗ 账户不在基础资料里",IF(O450="","✗ 没选收支项目",IF(P450="未知","✗ 收支项目不在基础资料里",IF(AND(P450="应收",J450=""),"✗ 这笔要选客户",IF(AND(P450="应收",COUNTIF(总览汇总!$B$5:$B$304,J450)=0),"✗ 客户不在总览汇总名单里",IF(AND(P450="应付",K450=""),"✗ 这笔要选供应商",IF(AND(P450="应付",COUNTIF(基础资料!$Q$5:$Q$54,K450)=0),"✗ 供应商不在基础资料里",IF(AND(P450="费用",L450=""),"✗ 费用支出要选费用项目",IF(AND(L450&lt;&gt;"",COUNTIF(基础资料!$AI$5:$AI$54,L450)=0),"✗ 费用项目不在基础资料里",IF(AND(IFERROR(INDEX(基础资料!$AD$5:$AD$34,MATCH(O450,基础资料!$AC$5:$AC$34,0)),"")="收",N(G450)&lt;&gt;0),"✗ 这类是收款，金额填到收入列",IF(AND(IFERROR(INDEX(基础资料!$AD$5:$AD$34,MATCH(O450,基础资料!$AC$5:$AC$34,0)),"")="支",N(F450)&lt;&gt;0),"✗ 这类是付款，金额填到支出列",IF(N(H450)&lt;0,"⚠ 账户余额成负数了，核对一下","√"))))))))))))))))))</f>
      </c>
      <c r="O450" s="78">
        <f>IF(D450&lt;&gt;"",D450,IF(AND(F450="",G450=""),"",IF(J450&lt;&gt;"",IF(N(F450)&gt;0,"客户回款","客户退款"),IF(K450&lt;&gt;"",IF(N(G450)&gt;0,"供应商付款","供应商退款"),IF(L450&lt;&gt;"","费用支出","")))))</f>
      </c>
      <c r="P450" s="78">
        <f>IF(O450="","",IFERROR(INDEX(基础资料!$AE$5:$AE$34,MATCH(O450,基础资料!$AC$5:$AC$34,0)),"未知"))</f>
      </c>
      <c r="Q450" s="78">
        <f>IF(P450="应收",COUNTIF(P$7:P450,"应收"),"")</f>
      </c>
      <c r="R450" s="78">
        <f>IF(P450="应付",COUNTIF(P$7:P450,"应付"),"")</f>
      </c>
      <c r="S450" s="78">
        <f>N(F450)-N(G450)</f>
        <v>0</v>
      </c>
    </row>
    <row r="451">
      <c r="A451" s="109">
        <f>IF(AND(F451="",G451=""),"",ROW()-6)</f>
      </c>
      <c r="B451" s="140" t="n"/>
      <c r="C451" s="141" t="n"/>
      <c r="D451" s="141" t="n"/>
      <c r="E451" s="142" t="n"/>
      <c r="F451" s="143" t="n"/>
      <c r="G451" s="144" t="n"/>
      <c r="H451" s="145">
        <f>IF(OR(C451="",AND(F451="",G451="")),"",SUMIF(基础资料!$W$5:$W$24,C451,基础资料!$X$5:$X$24)+SUMIF(C$7:C451,C451,F$7:F451)-SUMIF(C$7:C451,C451,G$7:G451))</f>
      </c>
      <c r="I451" s="145">
        <f>IF(AND(F451="",G451=""),"",SUM(基础资料!$X$5:$X$24)+SUM(F$7:F451)-SUM(G$7:G451))</f>
      </c>
      <c r="J451" s="141" t="n"/>
      <c r="K451" s="141" t="n"/>
      <c r="L451" s="141" t="n"/>
      <c r="M451" s="142" t="n"/>
      <c r="N451" s="146">
        <f>IF(AND(AND(F451="",G451=""),B451="",C451="",D451="",J451="",K451="",L451=""),"",IF(AND(F451="",G451=""),"✗ 没填金额",IF(AND(N(F451)&lt;&gt;0,N(G451)&lt;&gt;0),"✗ 收入、支出只能填一边",IF(NOT(ISNUMBER(B451)),"✗ 日期不是真日期（要像 2026/9/25 这样填）",IF(OR(B451&lt;年初日,B451&gt;年末日),"✗ 日期不在本会计年度",IF(C451="","✗ 没选账户",IF(COUNTIF(基础资料!$W$5:$W$24,C451)=0,"✗ 账户不在基础资料里",IF(O451="","✗ 没选收支项目",IF(P451="未知","✗ 收支项目不在基础资料里",IF(AND(P451="应收",J451=""),"✗ 这笔要选客户",IF(AND(P451="应收",COUNTIF(总览汇总!$B$5:$B$304,J451)=0),"✗ 客户不在总览汇总名单里",IF(AND(P451="应付",K451=""),"✗ 这笔要选供应商",IF(AND(P451="应付",COUNTIF(基础资料!$Q$5:$Q$54,K451)=0),"✗ 供应商不在基础资料里",IF(AND(P451="费用",L451=""),"✗ 费用支出要选费用项目",IF(AND(L451&lt;&gt;"",COUNTIF(基础资料!$AI$5:$AI$54,L451)=0),"✗ 费用项目不在基础资料里",IF(AND(IFERROR(INDEX(基础资料!$AD$5:$AD$34,MATCH(O451,基础资料!$AC$5:$AC$34,0)),"")="收",N(G451)&lt;&gt;0),"✗ 这类是收款，金额填到收入列",IF(AND(IFERROR(INDEX(基础资料!$AD$5:$AD$34,MATCH(O451,基础资料!$AC$5:$AC$34,0)),"")="支",N(F451)&lt;&gt;0),"✗ 这类是付款，金额填到支出列",IF(N(H451)&lt;0,"⚠ 账户余额成负数了，核对一下","√"))))))))))))))))))</f>
      </c>
      <c r="O451" s="78">
        <f>IF(D451&lt;&gt;"",D451,IF(AND(F451="",G451=""),"",IF(J451&lt;&gt;"",IF(N(F451)&gt;0,"客户回款","客户退款"),IF(K451&lt;&gt;"",IF(N(G451)&gt;0,"供应商付款","供应商退款"),IF(L451&lt;&gt;"","费用支出","")))))</f>
      </c>
      <c r="P451" s="78">
        <f>IF(O451="","",IFERROR(INDEX(基础资料!$AE$5:$AE$34,MATCH(O451,基础资料!$AC$5:$AC$34,0)),"未知"))</f>
      </c>
      <c r="Q451" s="78">
        <f>IF(P451="应收",COUNTIF(P$7:P451,"应收"),"")</f>
      </c>
      <c r="R451" s="78">
        <f>IF(P451="应付",COUNTIF(P$7:P451,"应付"),"")</f>
      </c>
      <c r="S451" s="78">
        <f>N(F451)-N(G451)</f>
        <v>0</v>
      </c>
    </row>
    <row r="452">
      <c r="A452" s="109">
        <f>IF(AND(F452="",G452=""),"",ROW()-6)</f>
      </c>
      <c r="B452" s="140" t="n"/>
      <c r="C452" s="141" t="n"/>
      <c r="D452" s="141" t="n"/>
      <c r="E452" s="142" t="n"/>
      <c r="F452" s="143" t="n"/>
      <c r="G452" s="144" t="n"/>
      <c r="H452" s="145">
        <f>IF(OR(C452="",AND(F452="",G452="")),"",SUMIF(基础资料!$W$5:$W$24,C452,基础资料!$X$5:$X$24)+SUMIF(C$7:C452,C452,F$7:F452)-SUMIF(C$7:C452,C452,G$7:G452))</f>
      </c>
      <c r="I452" s="145">
        <f>IF(AND(F452="",G452=""),"",SUM(基础资料!$X$5:$X$24)+SUM(F$7:F452)-SUM(G$7:G452))</f>
      </c>
      <c r="J452" s="141" t="n"/>
      <c r="K452" s="141" t="n"/>
      <c r="L452" s="141" t="n"/>
      <c r="M452" s="142" t="n"/>
      <c r="N452" s="146">
        <f>IF(AND(AND(F452="",G452=""),B452="",C452="",D452="",J452="",K452="",L452=""),"",IF(AND(F452="",G452=""),"✗ 没填金额",IF(AND(N(F452)&lt;&gt;0,N(G452)&lt;&gt;0),"✗ 收入、支出只能填一边",IF(NOT(ISNUMBER(B452)),"✗ 日期不是真日期（要像 2026/9/25 这样填）",IF(OR(B452&lt;年初日,B452&gt;年末日),"✗ 日期不在本会计年度",IF(C452="","✗ 没选账户",IF(COUNTIF(基础资料!$W$5:$W$24,C452)=0,"✗ 账户不在基础资料里",IF(O452="","✗ 没选收支项目",IF(P452="未知","✗ 收支项目不在基础资料里",IF(AND(P452="应收",J452=""),"✗ 这笔要选客户",IF(AND(P452="应收",COUNTIF(总览汇总!$B$5:$B$304,J452)=0),"✗ 客户不在总览汇总名单里",IF(AND(P452="应付",K452=""),"✗ 这笔要选供应商",IF(AND(P452="应付",COUNTIF(基础资料!$Q$5:$Q$54,K452)=0),"✗ 供应商不在基础资料里",IF(AND(P452="费用",L452=""),"✗ 费用支出要选费用项目",IF(AND(L452&lt;&gt;"",COUNTIF(基础资料!$AI$5:$AI$54,L452)=0),"✗ 费用项目不在基础资料里",IF(AND(IFERROR(INDEX(基础资料!$AD$5:$AD$34,MATCH(O452,基础资料!$AC$5:$AC$34,0)),"")="收",N(G452)&lt;&gt;0),"✗ 这类是收款，金额填到收入列",IF(AND(IFERROR(INDEX(基础资料!$AD$5:$AD$34,MATCH(O452,基础资料!$AC$5:$AC$34,0)),"")="支",N(F452)&lt;&gt;0),"✗ 这类是付款，金额填到支出列",IF(N(H452)&lt;0,"⚠ 账户余额成负数了，核对一下","√"))))))))))))))))))</f>
      </c>
      <c r="O452" s="78">
        <f>IF(D452&lt;&gt;"",D452,IF(AND(F452="",G452=""),"",IF(J452&lt;&gt;"",IF(N(F452)&gt;0,"客户回款","客户退款"),IF(K452&lt;&gt;"",IF(N(G452)&gt;0,"供应商付款","供应商退款"),IF(L452&lt;&gt;"","费用支出","")))))</f>
      </c>
      <c r="P452" s="78">
        <f>IF(O452="","",IFERROR(INDEX(基础资料!$AE$5:$AE$34,MATCH(O452,基础资料!$AC$5:$AC$34,0)),"未知"))</f>
      </c>
      <c r="Q452" s="78">
        <f>IF(P452="应收",COUNTIF(P$7:P452,"应收"),"")</f>
      </c>
      <c r="R452" s="78">
        <f>IF(P452="应付",COUNTIF(P$7:P452,"应付"),"")</f>
      </c>
      <c r="S452" s="78">
        <f>N(F452)-N(G452)</f>
        <v>0</v>
      </c>
    </row>
    <row r="453">
      <c r="A453" s="109">
        <f>IF(AND(F453="",G453=""),"",ROW()-6)</f>
      </c>
      <c r="B453" s="140" t="n"/>
      <c r="C453" s="141" t="n"/>
      <c r="D453" s="141" t="n"/>
      <c r="E453" s="142" t="n"/>
      <c r="F453" s="143" t="n"/>
      <c r="G453" s="144" t="n"/>
      <c r="H453" s="145">
        <f>IF(OR(C453="",AND(F453="",G453="")),"",SUMIF(基础资料!$W$5:$W$24,C453,基础资料!$X$5:$X$24)+SUMIF(C$7:C453,C453,F$7:F453)-SUMIF(C$7:C453,C453,G$7:G453))</f>
      </c>
      <c r="I453" s="145">
        <f>IF(AND(F453="",G453=""),"",SUM(基础资料!$X$5:$X$24)+SUM(F$7:F453)-SUM(G$7:G453))</f>
      </c>
      <c r="J453" s="141" t="n"/>
      <c r="K453" s="141" t="n"/>
      <c r="L453" s="141" t="n"/>
      <c r="M453" s="142" t="n"/>
      <c r="N453" s="146">
        <f>IF(AND(AND(F453="",G453=""),B453="",C453="",D453="",J453="",K453="",L453=""),"",IF(AND(F453="",G453=""),"✗ 没填金额",IF(AND(N(F453)&lt;&gt;0,N(G453)&lt;&gt;0),"✗ 收入、支出只能填一边",IF(NOT(ISNUMBER(B453)),"✗ 日期不是真日期（要像 2026/9/25 这样填）",IF(OR(B453&lt;年初日,B453&gt;年末日),"✗ 日期不在本会计年度",IF(C453="","✗ 没选账户",IF(COUNTIF(基础资料!$W$5:$W$24,C453)=0,"✗ 账户不在基础资料里",IF(O453="","✗ 没选收支项目",IF(P453="未知","✗ 收支项目不在基础资料里",IF(AND(P453="应收",J453=""),"✗ 这笔要选客户",IF(AND(P453="应收",COUNTIF(总览汇总!$B$5:$B$304,J453)=0),"✗ 客户不在总览汇总名单里",IF(AND(P453="应付",K453=""),"✗ 这笔要选供应商",IF(AND(P453="应付",COUNTIF(基础资料!$Q$5:$Q$54,K453)=0),"✗ 供应商不在基础资料里",IF(AND(P453="费用",L453=""),"✗ 费用支出要选费用项目",IF(AND(L453&lt;&gt;"",COUNTIF(基础资料!$AI$5:$AI$54,L453)=0),"✗ 费用项目不在基础资料里",IF(AND(IFERROR(INDEX(基础资料!$AD$5:$AD$34,MATCH(O453,基础资料!$AC$5:$AC$34,0)),"")="收",N(G453)&lt;&gt;0),"✗ 这类是收款，金额填到收入列",IF(AND(IFERROR(INDEX(基础资料!$AD$5:$AD$34,MATCH(O453,基础资料!$AC$5:$AC$34,0)),"")="支",N(F453)&lt;&gt;0),"✗ 这类是付款，金额填到支出列",IF(N(H453)&lt;0,"⚠ 账户余额成负数了，核对一下","√"))))))))))))))))))</f>
      </c>
      <c r="O453" s="78">
        <f>IF(D453&lt;&gt;"",D453,IF(AND(F453="",G453=""),"",IF(J453&lt;&gt;"",IF(N(F453)&gt;0,"客户回款","客户退款"),IF(K453&lt;&gt;"",IF(N(G453)&gt;0,"供应商付款","供应商退款"),IF(L453&lt;&gt;"","费用支出","")))))</f>
      </c>
      <c r="P453" s="78">
        <f>IF(O453="","",IFERROR(INDEX(基础资料!$AE$5:$AE$34,MATCH(O453,基础资料!$AC$5:$AC$34,0)),"未知"))</f>
      </c>
      <c r="Q453" s="78">
        <f>IF(P453="应收",COUNTIF(P$7:P453,"应收"),"")</f>
      </c>
      <c r="R453" s="78">
        <f>IF(P453="应付",COUNTIF(P$7:P453,"应付"),"")</f>
      </c>
      <c r="S453" s="78">
        <f>N(F453)-N(G453)</f>
        <v>0</v>
      </c>
    </row>
    <row r="454">
      <c r="A454" s="109">
        <f>IF(AND(F454="",G454=""),"",ROW()-6)</f>
      </c>
      <c r="B454" s="140" t="n"/>
      <c r="C454" s="141" t="n"/>
      <c r="D454" s="141" t="n"/>
      <c r="E454" s="142" t="n"/>
      <c r="F454" s="143" t="n"/>
      <c r="G454" s="144" t="n"/>
      <c r="H454" s="145">
        <f>IF(OR(C454="",AND(F454="",G454="")),"",SUMIF(基础资料!$W$5:$W$24,C454,基础资料!$X$5:$X$24)+SUMIF(C$7:C454,C454,F$7:F454)-SUMIF(C$7:C454,C454,G$7:G454))</f>
      </c>
      <c r="I454" s="145">
        <f>IF(AND(F454="",G454=""),"",SUM(基础资料!$X$5:$X$24)+SUM(F$7:F454)-SUM(G$7:G454))</f>
      </c>
      <c r="J454" s="141" t="n"/>
      <c r="K454" s="141" t="n"/>
      <c r="L454" s="141" t="n"/>
      <c r="M454" s="142" t="n"/>
      <c r="N454" s="146">
        <f>IF(AND(AND(F454="",G454=""),B454="",C454="",D454="",J454="",K454="",L454=""),"",IF(AND(F454="",G454=""),"✗ 没填金额",IF(AND(N(F454)&lt;&gt;0,N(G454)&lt;&gt;0),"✗ 收入、支出只能填一边",IF(NOT(ISNUMBER(B454)),"✗ 日期不是真日期（要像 2026/9/25 这样填）",IF(OR(B454&lt;年初日,B454&gt;年末日),"✗ 日期不在本会计年度",IF(C454="","✗ 没选账户",IF(COUNTIF(基础资料!$W$5:$W$24,C454)=0,"✗ 账户不在基础资料里",IF(O454="","✗ 没选收支项目",IF(P454="未知","✗ 收支项目不在基础资料里",IF(AND(P454="应收",J454=""),"✗ 这笔要选客户",IF(AND(P454="应收",COUNTIF(总览汇总!$B$5:$B$304,J454)=0),"✗ 客户不在总览汇总名单里",IF(AND(P454="应付",K454=""),"✗ 这笔要选供应商",IF(AND(P454="应付",COUNTIF(基础资料!$Q$5:$Q$54,K454)=0),"✗ 供应商不在基础资料里",IF(AND(P454="费用",L454=""),"✗ 费用支出要选费用项目",IF(AND(L454&lt;&gt;"",COUNTIF(基础资料!$AI$5:$AI$54,L454)=0),"✗ 费用项目不在基础资料里",IF(AND(IFERROR(INDEX(基础资料!$AD$5:$AD$34,MATCH(O454,基础资料!$AC$5:$AC$34,0)),"")="收",N(G454)&lt;&gt;0),"✗ 这类是收款，金额填到收入列",IF(AND(IFERROR(INDEX(基础资料!$AD$5:$AD$34,MATCH(O454,基础资料!$AC$5:$AC$34,0)),"")="支",N(F454)&lt;&gt;0),"✗ 这类是付款，金额填到支出列",IF(N(H454)&lt;0,"⚠ 账户余额成负数了，核对一下","√"))))))))))))))))))</f>
      </c>
      <c r="O454" s="78">
        <f>IF(D454&lt;&gt;"",D454,IF(AND(F454="",G454=""),"",IF(J454&lt;&gt;"",IF(N(F454)&gt;0,"客户回款","客户退款"),IF(K454&lt;&gt;"",IF(N(G454)&gt;0,"供应商付款","供应商退款"),IF(L454&lt;&gt;"","费用支出","")))))</f>
      </c>
      <c r="P454" s="78">
        <f>IF(O454="","",IFERROR(INDEX(基础资料!$AE$5:$AE$34,MATCH(O454,基础资料!$AC$5:$AC$34,0)),"未知"))</f>
      </c>
      <c r="Q454" s="78">
        <f>IF(P454="应收",COUNTIF(P$7:P454,"应收"),"")</f>
      </c>
      <c r="R454" s="78">
        <f>IF(P454="应付",COUNTIF(P$7:P454,"应付"),"")</f>
      </c>
      <c r="S454" s="78">
        <f>N(F454)-N(G454)</f>
        <v>0</v>
      </c>
    </row>
    <row r="455">
      <c r="A455" s="109">
        <f>IF(AND(F455="",G455=""),"",ROW()-6)</f>
      </c>
      <c r="B455" s="140" t="n"/>
      <c r="C455" s="141" t="n"/>
      <c r="D455" s="141" t="n"/>
      <c r="E455" s="142" t="n"/>
      <c r="F455" s="143" t="n"/>
      <c r="G455" s="144" t="n"/>
      <c r="H455" s="145">
        <f>IF(OR(C455="",AND(F455="",G455="")),"",SUMIF(基础资料!$W$5:$W$24,C455,基础资料!$X$5:$X$24)+SUMIF(C$7:C455,C455,F$7:F455)-SUMIF(C$7:C455,C455,G$7:G455))</f>
      </c>
      <c r="I455" s="145">
        <f>IF(AND(F455="",G455=""),"",SUM(基础资料!$X$5:$X$24)+SUM(F$7:F455)-SUM(G$7:G455))</f>
      </c>
      <c r="J455" s="141" t="n"/>
      <c r="K455" s="141" t="n"/>
      <c r="L455" s="141" t="n"/>
      <c r="M455" s="142" t="n"/>
      <c r="N455" s="146">
        <f>IF(AND(AND(F455="",G455=""),B455="",C455="",D455="",J455="",K455="",L455=""),"",IF(AND(F455="",G455=""),"✗ 没填金额",IF(AND(N(F455)&lt;&gt;0,N(G455)&lt;&gt;0),"✗ 收入、支出只能填一边",IF(NOT(ISNUMBER(B455)),"✗ 日期不是真日期（要像 2026/9/25 这样填）",IF(OR(B455&lt;年初日,B455&gt;年末日),"✗ 日期不在本会计年度",IF(C455="","✗ 没选账户",IF(COUNTIF(基础资料!$W$5:$W$24,C455)=0,"✗ 账户不在基础资料里",IF(O455="","✗ 没选收支项目",IF(P455="未知","✗ 收支项目不在基础资料里",IF(AND(P455="应收",J455=""),"✗ 这笔要选客户",IF(AND(P455="应收",COUNTIF(总览汇总!$B$5:$B$304,J455)=0),"✗ 客户不在总览汇总名单里",IF(AND(P455="应付",K455=""),"✗ 这笔要选供应商",IF(AND(P455="应付",COUNTIF(基础资料!$Q$5:$Q$54,K455)=0),"✗ 供应商不在基础资料里",IF(AND(P455="费用",L455=""),"✗ 费用支出要选费用项目",IF(AND(L455&lt;&gt;"",COUNTIF(基础资料!$AI$5:$AI$54,L455)=0),"✗ 费用项目不在基础资料里",IF(AND(IFERROR(INDEX(基础资料!$AD$5:$AD$34,MATCH(O455,基础资料!$AC$5:$AC$34,0)),"")="收",N(G455)&lt;&gt;0),"✗ 这类是收款，金额填到收入列",IF(AND(IFERROR(INDEX(基础资料!$AD$5:$AD$34,MATCH(O455,基础资料!$AC$5:$AC$34,0)),"")="支",N(F455)&lt;&gt;0),"✗ 这类是付款，金额填到支出列",IF(N(H455)&lt;0,"⚠ 账户余额成负数了，核对一下","√"))))))))))))))))))</f>
      </c>
      <c r="O455" s="78">
        <f>IF(D455&lt;&gt;"",D455,IF(AND(F455="",G455=""),"",IF(J455&lt;&gt;"",IF(N(F455)&gt;0,"客户回款","客户退款"),IF(K455&lt;&gt;"",IF(N(G455)&gt;0,"供应商付款","供应商退款"),IF(L455&lt;&gt;"","费用支出","")))))</f>
      </c>
      <c r="P455" s="78">
        <f>IF(O455="","",IFERROR(INDEX(基础资料!$AE$5:$AE$34,MATCH(O455,基础资料!$AC$5:$AC$34,0)),"未知"))</f>
      </c>
      <c r="Q455" s="78">
        <f>IF(P455="应收",COUNTIF(P$7:P455,"应收"),"")</f>
      </c>
      <c r="R455" s="78">
        <f>IF(P455="应付",COUNTIF(P$7:P455,"应付"),"")</f>
      </c>
      <c r="S455" s="78">
        <f>N(F455)-N(G455)</f>
        <v>0</v>
      </c>
    </row>
    <row r="456">
      <c r="A456" s="109">
        <f>IF(AND(F456="",G456=""),"",ROW()-6)</f>
      </c>
      <c r="B456" s="140" t="n"/>
      <c r="C456" s="141" t="n"/>
      <c r="D456" s="141" t="n"/>
      <c r="E456" s="142" t="n"/>
      <c r="F456" s="143" t="n"/>
      <c r="G456" s="144" t="n"/>
      <c r="H456" s="145">
        <f>IF(OR(C456="",AND(F456="",G456="")),"",SUMIF(基础资料!$W$5:$W$24,C456,基础资料!$X$5:$X$24)+SUMIF(C$7:C456,C456,F$7:F456)-SUMIF(C$7:C456,C456,G$7:G456))</f>
      </c>
      <c r="I456" s="145">
        <f>IF(AND(F456="",G456=""),"",SUM(基础资料!$X$5:$X$24)+SUM(F$7:F456)-SUM(G$7:G456))</f>
      </c>
      <c r="J456" s="141" t="n"/>
      <c r="K456" s="141" t="n"/>
      <c r="L456" s="141" t="n"/>
      <c r="M456" s="142" t="n"/>
      <c r="N456" s="146">
        <f>IF(AND(AND(F456="",G456=""),B456="",C456="",D456="",J456="",K456="",L456=""),"",IF(AND(F456="",G456=""),"✗ 没填金额",IF(AND(N(F456)&lt;&gt;0,N(G456)&lt;&gt;0),"✗ 收入、支出只能填一边",IF(NOT(ISNUMBER(B456)),"✗ 日期不是真日期（要像 2026/9/25 这样填）",IF(OR(B456&lt;年初日,B456&gt;年末日),"✗ 日期不在本会计年度",IF(C456="","✗ 没选账户",IF(COUNTIF(基础资料!$W$5:$W$24,C456)=0,"✗ 账户不在基础资料里",IF(O456="","✗ 没选收支项目",IF(P456="未知","✗ 收支项目不在基础资料里",IF(AND(P456="应收",J456=""),"✗ 这笔要选客户",IF(AND(P456="应收",COUNTIF(总览汇总!$B$5:$B$304,J456)=0),"✗ 客户不在总览汇总名单里",IF(AND(P456="应付",K456=""),"✗ 这笔要选供应商",IF(AND(P456="应付",COUNTIF(基础资料!$Q$5:$Q$54,K456)=0),"✗ 供应商不在基础资料里",IF(AND(P456="费用",L456=""),"✗ 费用支出要选费用项目",IF(AND(L456&lt;&gt;"",COUNTIF(基础资料!$AI$5:$AI$54,L456)=0),"✗ 费用项目不在基础资料里",IF(AND(IFERROR(INDEX(基础资料!$AD$5:$AD$34,MATCH(O456,基础资料!$AC$5:$AC$34,0)),"")="收",N(G456)&lt;&gt;0),"✗ 这类是收款，金额填到收入列",IF(AND(IFERROR(INDEX(基础资料!$AD$5:$AD$34,MATCH(O456,基础资料!$AC$5:$AC$34,0)),"")="支",N(F456)&lt;&gt;0),"✗ 这类是付款，金额填到支出列",IF(N(H456)&lt;0,"⚠ 账户余额成负数了，核对一下","√"))))))))))))))))))</f>
      </c>
      <c r="O456" s="78">
        <f>IF(D456&lt;&gt;"",D456,IF(AND(F456="",G456=""),"",IF(J456&lt;&gt;"",IF(N(F456)&gt;0,"客户回款","客户退款"),IF(K456&lt;&gt;"",IF(N(G456)&gt;0,"供应商付款","供应商退款"),IF(L456&lt;&gt;"","费用支出","")))))</f>
      </c>
      <c r="P456" s="78">
        <f>IF(O456="","",IFERROR(INDEX(基础资料!$AE$5:$AE$34,MATCH(O456,基础资料!$AC$5:$AC$34,0)),"未知"))</f>
      </c>
      <c r="Q456" s="78">
        <f>IF(P456="应收",COUNTIF(P$7:P456,"应收"),"")</f>
      </c>
      <c r="R456" s="78">
        <f>IF(P456="应付",COUNTIF(P$7:P456,"应付"),"")</f>
      </c>
      <c r="S456" s="78">
        <f>N(F456)-N(G456)</f>
        <v>0</v>
      </c>
    </row>
    <row r="457">
      <c r="A457" s="109">
        <f>IF(AND(F457="",G457=""),"",ROW()-6)</f>
      </c>
      <c r="B457" s="140" t="n"/>
      <c r="C457" s="141" t="n"/>
      <c r="D457" s="141" t="n"/>
      <c r="E457" s="142" t="n"/>
      <c r="F457" s="143" t="n"/>
      <c r="G457" s="144" t="n"/>
      <c r="H457" s="145">
        <f>IF(OR(C457="",AND(F457="",G457="")),"",SUMIF(基础资料!$W$5:$W$24,C457,基础资料!$X$5:$X$24)+SUMIF(C$7:C457,C457,F$7:F457)-SUMIF(C$7:C457,C457,G$7:G457))</f>
      </c>
      <c r="I457" s="145">
        <f>IF(AND(F457="",G457=""),"",SUM(基础资料!$X$5:$X$24)+SUM(F$7:F457)-SUM(G$7:G457))</f>
      </c>
      <c r="J457" s="141" t="n"/>
      <c r="K457" s="141" t="n"/>
      <c r="L457" s="141" t="n"/>
      <c r="M457" s="142" t="n"/>
      <c r="N457" s="146">
        <f>IF(AND(AND(F457="",G457=""),B457="",C457="",D457="",J457="",K457="",L457=""),"",IF(AND(F457="",G457=""),"✗ 没填金额",IF(AND(N(F457)&lt;&gt;0,N(G457)&lt;&gt;0),"✗ 收入、支出只能填一边",IF(NOT(ISNUMBER(B457)),"✗ 日期不是真日期（要像 2026/9/25 这样填）",IF(OR(B457&lt;年初日,B457&gt;年末日),"✗ 日期不在本会计年度",IF(C457="","✗ 没选账户",IF(COUNTIF(基础资料!$W$5:$W$24,C457)=0,"✗ 账户不在基础资料里",IF(O457="","✗ 没选收支项目",IF(P457="未知","✗ 收支项目不在基础资料里",IF(AND(P457="应收",J457=""),"✗ 这笔要选客户",IF(AND(P457="应收",COUNTIF(总览汇总!$B$5:$B$304,J457)=0),"✗ 客户不在总览汇总名单里",IF(AND(P457="应付",K457=""),"✗ 这笔要选供应商",IF(AND(P457="应付",COUNTIF(基础资料!$Q$5:$Q$54,K457)=0),"✗ 供应商不在基础资料里",IF(AND(P457="费用",L457=""),"✗ 费用支出要选费用项目",IF(AND(L457&lt;&gt;"",COUNTIF(基础资料!$AI$5:$AI$54,L457)=0),"✗ 费用项目不在基础资料里",IF(AND(IFERROR(INDEX(基础资料!$AD$5:$AD$34,MATCH(O457,基础资料!$AC$5:$AC$34,0)),"")="收",N(G457)&lt;&gt;0),"✗ 这类是收款，金额填到收入列",IF(AND(IFERROR(INDEX(基础资料!$AD$5:$AD$34,MATCH(O457,基础资料!$AC$5:$AC$34,0)),"")="支",N(F457)&lt;&gt;0),"✗ 这类是付款，金额填到支出列",IF(N(H457)&lt;0,"⚠ 账户余额成负数了，核对一下","√"))))))))))))))))))</f>
      </c>
      <c r="O457" s="78">
        <f>IF(D457&lt;&gt;"",D457,IF(AND(F457="",G457=""),"",IF(J457&lt;&gt;"",IF(N(F457)&gt;0,"客户回款","客户退款"),IF(K457&lt;&gt;"",IF(N(G457)&gt;0,"供应商付款","供应商退款"),IF(L457&lt;&gt;"","费用支出","")))))</f>
      </c>
      <c r="P457" s="78">
        <f>IF(O457="","",IFERROR(INDEX(基础资料!$AE$5:$AE$34,MATCH(O457,基础资料!$AC$5:$AC$34,0)),"未知"))</f>
      </c>
      <c r="Q457" s="78">
        <f>IF(P457="应收",COUNTIF(P$7:P457,"应收"),"")</f>
      </c>
      <c r="R457" s="78">
        <f>IF(P457="应付",COUNTIF(P$7:P457,"应付"),"")</f>
      </c>
      <c r="S457" s="78">
        <f>N(F457)-N(G457)</f>
        <v>0</v>
      </c>
    </row>
    <row r="458">
      <c r="A458" s="109">
        <f>IF(AND(F458="",G458=""),"",ROW()-6)</f>
      </c>
      <c r="B458" s="140" t="n"/>
      <c r="C458" s="141" t="n"/>
      <c r="D458" s="141" t="n"/>
      <c r="E458" s="142" t="n"/>
      <c r="F458" s="143" t="n"/>
      <c r="G458" s="144" t="n"/>
      <c r="H458" s="145">
        <f>IF(OR(C458="",AND(F458="",G458="")),"",SUMIF(基础资料!$W$5:$W$24,C458,基础资料!$X$5:$X$24)+SUMIF(C$7:C458,C458,F$7:F458)-SUMIF(C$7:C458,C458,G$7:G458))</f>
      </c>
      <c r="I458" s="145">
        <f>IF(AND(F458="",G458=""),"",SUM(基础资料!$X$5:$X$24)+SUM(F$7:F458)-SUM(G$7:G458))</f>
      </c>
      <c r="J458" s="141" t="n"/>
      <c r="K458" s="141" t="n"/>
      <c r="L458" s="141" t="n"/>
      <c r="M458" s="142" t="n"/>
      <c r="N458" s="146">
        <f>IF(AND(AND(F458="",G458=""),B458="",C458="",D458="",J458="",K458="",L458=""),"",IF(AND(F458="",G458=""),"✗ 没填金额",IF(AND(N(F458)&lt;&gt;0,N(G458)&lt;&gt;0),"✗ 收入、支出只能填一边",IF(NOT(ISNUMBER(B458)),"✗ 日期不是真日期（要像 2026/9/25 这样填）",IF(OR(B458&lt;年初日,B458&gt;年末日),"✗ 日期不在本会计年度",IF(C458="","✗ 没选账户",IF(COUNTIF(基础资料!$W$5:$W$24,C458)=0,"✗ 账户不在基础资料里",IF(O458="","✗ 没选收支项目",IF(P458="未知","✗ 收支项目不在基础资料里",IF(AND(P458="应收",J458=""),"✗ 这笔要选客户",IF(AND(P458="应收",COUNTIF(总览汇总!$B$5:$B$304,J458)=0),"✗ 客户不在总览汇总名单里",IF(AND(P458="应付",K458=""),"✗ 这笔要选供应商",IF(AND(P458="应付",COUNTIF(基础资料!$Q$5:$Q$54,K458)=0),"✗ 供应商不在基础资料里",IF(AND(P458="费用",L458=""),"✗ 费用支出要选费用项目",IF(AND(L458&lt;&gt;"",COUNTIF(基础资料!$AI$5:$AI$54,L458)=0),"✗ 费用项目不在基础资料里",IF(AND(IFERROR(INDEX(基础资料!$AD$5:$AD$34,MATCH(O458,基础资料!$AC$5:$AC$34,0)),"")="收",N(G458)&lt;&gt;0),"✗ 这类是收款，金额填到收入列",IF(AND(IFERROR(INDEX(基础资料!$AD$5:$AD$34,MATCH(O458,基础资料!$AC$5:$AC$34,0)),"")="支",N(F458)&lt;&gt;0),"✗ 这类是付款，金额填到支出列",IF(N(H458)&lt;0,"⚠ 账户余额成负数了，核对一下","√"))))))))))))))))))</f>
      </c>
      <c r="O458" s="78">
        <f>IF(D458&lt;&gt;"",D458,IF(AND(F458="",G458=""),"",IF(J458&lt;&gt;"",IF(N(F458)&gt;0,"客户回款","客户退款"),IF(K458&lt;&gt;"",IF(N(G458)&gt;0,"供应商付款","供应商退款"),IF(L458&lt;&gt;"","费用支出","")))))</f>
      </c>
      <c r="P458" s="78">
        <f>IF(O458="","",IFERROR(INDEX(基础资料!$AE$5:$AE$34,MATCH(O458,基础资料!$AC$5:$AC$34,0)),"未知"))</f>
      </c>
      <c r="Q458" s="78">
        <f>IF(P458="应收",COUNTIF(P$7:P458,"应收"),"")</f>
      </c>
      <c r="R458" s="78">
        <f>IF(P458="应付",COUNTIF(P$7:P458,"应付"),"")</f>
      </c>
      <c r="S458" s="78">
        <f>N(F458)-N(G458)</f>
        <v>0</v>
      </c>
    </row>
    <row r="459">
      <c r="A459" s="109">
        <f>IF(AND(F459="",G459=""),"",ROW()-6)</f>
      </c>
      <c r="B459" s="140" t="n"/>
      <c r="C459" s="141" t="n"/>
      <c r="D459" s="141" t="n"/>
      <c r="E459" s="142" t="n"/>
      <c r="F459" s="143" t="n"/>
      <c r="G459" s="144" t="n"/>
      <c r="H459" s="145">
        <f>IF(OR(C459="",AND(F459="",G459="")),"",SUMIF(基础资料!$W$5:$W$24,C459,基础资料!$X$5:$X$24)+SUMIF(C$7:C459,C459,F$7:F459)-SUMIF(C$7:C459,C459,G$7:G459))</f>
      </c>
      <c r="I459" s="145">
        <f>IF(AND(F459="",G459=""),"",SUM(基础资料!$X$5:$X$24)+SUM(F$7:F459)-SUM(G$7:G459))</f>
      </c>
      <c r="J459" s="141" t="n"/>
      <c r="K459" s="141" t="n"/>
      <c r="L459" s="141" t="n"/>
      <c r="M459" s="142" t="n"/>
      <c r="N459" s="146">
        <f>IF(AND(AND(F459="",G459=""),B459="",C459="",D459="",J459="",K459="",L459=""),"",IF(AND(F459="",G459=""),"✗ 没填金额",IF(AND(N(F459)&lt;&gt;0,N(G459)&lt;&gt;0),"✗ 收入、支出只能填一边",IF(NOT(ISNUMBER(B459)),"✗ 日期不是真日期（要像 2026/9/25 这样填）",IF(OR(B459&lt;年初日,B459&gt;年末日),"✗ 日期不在本会计年度",IF(C459="","✗ 没选账户",IF(COUNTIF(基础资料!$W$5:$W$24,C459)=0,"✗ 账户不在基础资料里",IF(O459="","✗ 没选收支项目",IF(P459="未知","✗ 收支项目不在基础资料里",IF(AND(P459="应收",J459=""),"✗ 这笔要选客户",IF(AND(P459="应收",COUNTIF(总览汇总!$B$5:$B$304,J459)=0),"✗ 客户不在总览汇总名单里",IF(AND(P459="应付",K459=""),"✗ 这笔要选供应商",IF(AND(P459="应付",COUNTIF(基础资料!$Q$5:$Q$54,K459)=0),"✗ 供应商不在基础资料里",IF(AND(P459="费用",L459=""),"✗ 费用支出要选费用项目",IF(AND(L459&lt;&gt;"",COUNTIF(基础资料!$AI$5:$AI$54,L459)=0),"✗ 费用项目不在基础资料里",IF(AND(IFERROR(INDEX(基础资料!$AD$5:$AD$34,MATCH(O459,基础资料!$AC$5:$AC$34,0)),"")="收",N(G459)&lt;&gt;0),"✗ 这类是收款，金额填到收入列",IF(AND(IFERROR(INDEX(基础资料!$AD$5:$AD$34,MATCH(O459,基础资料!$AC$5:$AC$34,0)),"")="支",N(F459)&lt;&gt;0),"✗ 这类是付款，金额填到支出列",IF(N(H459)&lt;0,"⚠ 账户余额成负数了，核对一下","√"))))))))))))))))))</f>
      </c>
      <c r="O459" s="78">
        <f>IF(D459&lt;&gt;"",D459,IF(AND(F459="",G459=""),"",IF(J459&lt;&gt;"",IF(N(F459)&gt;0,"客户回款","客户退款"),IF(K459&lt;&gt;"",IF(N(G459)&gt;0,"供应商付款","供应商退款"),IF(L459&lt;&gt;"","费用支出","")))))</f>
      </c>
      <c r="P459" s="78">
        <f>IF(O459="","",IFERROR(INDEX(基础资料!$AE$5:$AE$34,MATCH(O459,基础资料!$AC$5:$AC$34,0)),"未知"))</f>
      </c>
      <c r="Q459" s="78">
        <f>IF(P459="应收",COUNTIF(P$7:P459,"应收"),"")</f>
      </c>
      <c r="R459" s="78">
        <f>IF(P459="应付",COUNTIF(P$7:P459,"应付"),"")</f>
      </c>
      <c r="S459" s="78">
        <f>N(F459)-N(G459)</f>
        <v>0</v>
      </c>
    </row>
    <row r="460">
      <c r="A460" s="109">
        <f>IF(AND(F460="",G460=""),"",ROW()-6)</f>
      </c>
      <c r="B460" s="140" t="n"/>
      <c r="C460" s="141" t="n"/>
      <c r="D460" s="141" t="n"/>
      <c r="E460" s="142" t="n"/>
      <c r="F460" s="143" t="n"/>
      <c r="G460" s="144" t="n"/>
      <c r="H460" s="145">
        <f>IF(OR(C460="",AND(F460="",G460="")),"",SUMIF(基础资料!$W$5:$W$24,C460,基础资料!$X$5:$X$24)+SUMIF(C$7:C460,C460,F$7:F460)-SUMIF(C$7:C460,C460,G$7:G460))</f>
      </c>
      <c r="I460" s="145">
        <f>IF(AND(F460="",G460=""),"",SUM(基础资料!$X$5:$X$24)+SUM(F$7:F460)-SUM(G$7:G460))</f>
      </c>
      <c r="J460" s="141" t="n"/>
      <c r="K460" s="141" t="n"/>
      <c r="L460" s="141" t="n"/>
      <c r="M460" s="142" t="n"/>
      <c r="N460" s="146">
        <f>IF(AND(AND(F460="",G460=""),B460="",C460="",D460="",J460="",K460="",L460=""),"",IF(AND(F460="",G460=""),"✗ 没填金额",IF(AND(N(F460)&lt;&gt;0,N(G460)&lt;&gt;0),"✗ 收入、支出只能填一边",IF(NOT(ISNUMBER(B460)),"✗ 日期不是真日期（要像 2026/9/25 这样填）",IF(OR(B460&lt;年初日,B460&gt;年末日),"✗ 日期不在本会计年度",IF(C460="","✗ 没选账户",IF(COUNTIF(基础资料!$W$5:$W$24,C460)=0,"✗ 账户不在基础资料里",IF(O460="","✗ 没选收支项目",IF(P460="未知","✗ 收支项目不在基础资料里",IF(AND(P460="应收",J460=""),"✗ 这笔要选客户",IF(AND(P460="应收",COUNTIF(总览汇总!$B$5:$B$304,J460)=0),"✗ 客户不在总览汇总名单里",IF(AND(P460="应付",K460=""),"✗ 这笔要选供应商",IF(AND(P460="应付",COUNTIF(基础资料!$Q$5:$Q$54,K460)=0),"✗ 供应商不在基础资料里",IF(AND(P460="费用",L460=""),"✗ 费用支出要选费用项目",IF(AND(L460&lt;&gt;"",COUNTIF(基础资料!$AI$5:$AI$54,L460)=0),"✗ 费用项目不在基础资料里",IF(AND(IFERROR(INDEX(基础资料!$AD$5:$AD$34,MATCH(O460,基础资料!$AC$5:$AC$34,0)),"")="收",N(G460)&lt;&gt;0),"✗ 这类是收款，金额填到收入列",IF(AND(IFERROR(INDEX(基础资料!$AD$5:$AD$34,MATCH(O460,基础资料!$AC$5:$AC$34,0)),"")="支",N(F460)&lt;&gt;0),"✗ 这类是付款，金额填到支出列",IF(N(H460)&lt;0,"⚠ 账户余额成负数了，核对一下","√"))))))))))))))))))</f>
      </c>
      <c r="O460" s="78">
        <f>IF(D460&lt;&gt;"",D460,IF(AND(F460="",G460=""),"",IF(J460&lt;&gt;"",IF(N(F460)&gt;0,"客户回款","客户退款"),IF(K460&lt;&gt;"",IF(N(G460)&gt;0,"供应商付款","供应商退款"),IF(L460&lt;&gt;"","费用支出","")))))</f>
      </c>
      <c r="P460" s="78">
        <f>IF(O460="","",IFERROR(INDEX(基础资料!$AE$5:$AE$34,MATCH(O460,基础资料!$AC$5:$AC$34,0)),"未知"))</f>
      </c>
      <c r="Q460" s="78">
        <f>IF(P460="应收",COUNTIF(P$7:P460,"应收"),"")</f>
      </c>
      <c r="R460" s="78">
        <f>IF(P460="应付",COUNTIF(P$7:P460,"应付"),"")</f>
      </c>
      <c r="S460" s="78">
        <f>N(F460)-N(G460)</f>
        <v>0</v>
      </c>
    </row>
    <row r="461">
      <c r="A461" s="109">
        <f>IF(AND(F461="",G461=""),"",ROW()-6)</f>
      </c>
      <c r="B461" s="140" t="n"/>
      <c r="C461" s="141" t="n"/>
      <c r="D461" s="141" t="n"/>
      <c r="E461" s="142" t="n"/>
      <c r="F461" s="143" t="n"/>
      <c r="G461" s="144" t="n"/>
      <c r="H461" s="145">
        <f>IF(OR(C461="",AND(F461="",G461="")),"",SUMIF(基础资料!$W$5:$W$24,C461,基础资料!$X$5:$X$24)+SUMIF(C$7:C461,C461,F$7:F461)-SUMIF(C$7:C461,C461,G$7:G461))</f>
      </c>
      <c r="I461" s="145">
        <f>IF(AND(F461="",G461=""),"",SUM(基础资料!$X$5:$X$24)+SUM(F$7:F461)-SUM(G$7:G461))</f>
      </c>
      <c r="J461" s="141" t="n"/>
      <c r="K461" s="141" t="n"/>
      <c r="L461" s="141" t="n"/>
      <c r="M461" s="142" t="n"/>
      <c r="N461" s="146">
        <f>IF(AND(AND(F461="",G461=""),B461="",C461="",D461="",J461="",K461="",L461=""),"",IF(AND(F461="",G461=""),"✗ 没填金额",IF(AND(N(F461)&lt;&gt;0,N(G461)&lt;&gt;0),"✗ 收入、支出只能填一边",IF(NOT(ISNUMBER(B461)),"✗ 日期不是真日期（要像 2026/9/25 这样填）",IF(OR(B461&lt;年初日,B461&gt;年末日),"✗ 日期不在本会计年度",IF(C461="","✗ 没选账户",IF(COUNTIF(基础资料!$W$5:$W$24,C461)=0,"✗ 账户不在基础资料里",IF(O461="","✗ 没选收支项目",IF(P461="未知","✗ 收支项目不在基础资料里",IF(AND(P461="应收",J461=""),"✗ 这笔要选客户",IF(AND(P461="应收",COUNTIF(总览汇总!$B$5:$B$304,J461)=0),"✗ 客户不在总览汇总名单里",IF(AND(P461="应付",K461=""),"✗ 这笔要选供应商",IF(AND(P461="应付",COUNTIF(基础资料!$Q$5:$Q$54,K461)=0),"✗ 供应商不在基础资料里",IF(AND(P461="费用",L461=""),"✗ 费用支出要选费用项目",IF(AND(L461&lt;&gt;"",COUNTIF(基础资料!$AI$5:$AI$54,L461)=0),"✗ 费用项目不在基础资料里",IF(AND(IFERROR(INDEX(基础资料!$AD$5:$AD$34,MATCH(O461,基础资料!$AC$5:$AC$34,0)),"")="收",N(G461)&lt;&gt;0),"✗ 这类是收款，金额填到收入列",IF(AND(IFERROR(INDEX(基础资料!$AD$5:$AD$34,MATCH(O461,基础资料!$AC$5:$AC$34,0)),"")="支",N(F461)&lt;&gt;0),"✗ 这类是付款，金额填到支出列",IF(N(H461)&lt;0,"⚠ 账户余额成负数了，核对一下","√"))))))))))))))))))</f>
      </c>
      <c r="O461" s="78">
        <f>IF(D461&lt;&gt;"",D461,IF(AND(F461="",G461=""),"",IF(J461&lt;&gt;"",IF(N(F461)&gt;0,"客户回款","客户退款"),IF(K461&lt;&gt;"",IF(N(G461)&gt;0,"供应商付款","供应商退款"),IF(L461&lt;&gt;"","费用支出","")))))</f>
      </c>
      <c r="P461" s="78">
        <f>IF(O461="","",IFERROR(INDEX(基础资料!$AE$5:$AE$34,MATCH(O461,基础资料!$AC$5:$AC$34,0)),"未知"))</f>
      </c>
      <c r="Q461" s="78">
        <f>IF(P461="应收",COUNTIF(P$7:P461,"应收"),"")</f>
      </c>
      <c r="R461" s="78">
        <f>IF(P461="应付",COUNTIF(P$7:P461,"应付"),"")</f>
      </c>
      <c r="S461" s="78">
        <f>N(F461)-N(G461)</f>
        <v>0</v>
      </c>
    </row>
    <row r="462">
      <c r="A462" s="109">
        <f>IF(AND(F462="",G462=""),"",ROW()-6)</f>
      </c>
      <c r="B462" s="140" t="n"/>
      <c r="C462" s="141" t="n"/>
      <c r="D462" s="141" t="n"/>
      <c r="E462" s="142" t="n"/>
      <c r="F462" s="143" t="n"/>
      <c r="G462" s="144" t="n"/>
      <c r="H462" s="145">
        <f>IF(OR(C462="",AND(F462="",G462="")),"",SUMIF(基础资料!$W$5:$W$24,C462,基础资料!$X$5:$X$24)+SUMIF(C$7:C462,C462,F$7:F462)-SUMIF(C$7:C462,C462,G$7:G462))</f>
      </c>
      <c r="I462" s="145">
        <f>IF(AND(F462="",G462=""),"",SUM(基础资料!$X$5:$X$24)+SUM(F$7:F462)-SUM(G$7:G462))</f>
      </c>
      <c r="J462" s="141" t="n"/>
      <c r="K462" s="141" t="n"/>
      <c r="L462" s="141" t="n"/>
      <c r="M462" s="142" t="n"/>
      <c r="N462" s="146">
        <f>IF(AND(AND(F462="",G462=""),B462="",C462="",D462="",J462="",K462="",L462=""),"",IF(AND(F462="",G462=""),"✗ 没填金额",IF(AND(N(F462)&lt;&gt;0,N(G462)&lt;&gt;0),"✗ 收入、支出只能填一边",IF(NOT(ISNUMBER(B462)),"✗ 日期不是真日期（要像 2026/9/25 这样填）",IF(OR(B462&lt;年初日,B462&gt;年末日),"✗ 日期不在本会计年度",IF(C462="","✗ 没选账户",IF(COUNTIF(基础资料!$W$5:$W$24,C462)=0,"✗ 账户不在基础资料里",IF(O462="","✗ 没选收支项目",IF(P462="未知","✗ 收支项目不在基础资料里",IF(AND(P462="应收",J462=""),"✗ 这笔要选客户",IF(AND(P462="应收",COUNTIF(总览汇总!$B$5:$B$304,J462)=0),"✗ 客户不在总览汇总名单里",IF(AND(P462="应付",K462=""),"✗ 这笔要选供应商",IF(AND(P462="应付",COUNTIF(基础资料!$Q$5:$Q$54,K462)=0),"✗ 供应商不在基础资料里",IF(AND(P462="费用",L462=""),"✗ 费用支出要选费用项目",IF(AND(L462&lt;&gt;"",COUNTIF(基础资料!$AI$5:$AI$54,L462)=0),"✗ 费用项目不在基础资料里",IF(AND(IFERROR(INDEX(基础资料!$AD$5:$AD$34,MATCH(O462,基础资料!$AC$5:$AC$34,0)),"")="收",N(G462)&lt;&gt;0),"✗ 这类是收款，金额填到收入列",IF(AND(IFERROR(INDEX(基础资料!$AD$5:$AD$34,MATCH(O462,基础资料!$AC$5:$AC$34,0)),"")="支",N(F462)&lt;&gt;0),"✗ 这类是付款，金额填到支出列",IF(N(H462)&lt;0,"⚠ 账户余额成负数了，核对一下","√"))))))))))))))))))</f>
      </c>
      <c r="O462" s="78">
        <f>IF(D462&lt;&gt;"",D462,IF(AND(F462="",G462=""),"",IF(J462&lt;&gt;"",IF(N(F462)&gt;0,"客户回款","客户退款"),IF(K462&lt;&gt;"",IF(N(G462)&gt;0,"供应商付款","供应商退款"),IF(L462&lt;&gt;"","费用支出","")))))</f>
      </c>
      <c r="P462" s="78">
        <f>IF(O462="","",IFERROR(INDEX(基础资料!$AE$5:$AE$34,MATCH(O462,基础资料!$AC$5:$AC$34,0)),"未知"))</f>
      </c>
      <c r="Q462" s="78">
        <f>IF(P462="应收",COUNTIF(P$7:P462,"应收"),"")</f>
      </c>
      <c r="R462" s="78">
        <f>IF(P462="应付",COUNTIF(P$7:P462,"应付"),"")</f>
      </c>
      <c r="S462" s="78">
        <f>N(F462)-N(G462)</f>
        <v>0</v>
      </c>
    </row>
    <row r="463">
      <c r="A463" s="109">
        <f>IF(AND(F463="",G463=""),"",ROW()-6)</f>
      </c>
      <c r="B463" s="140" t="n"/>
      <c r="C463" s="141" t="n"/>
      <c r="D463" s="141" t="n"/>
      <c r="E463" s="142" t="n"/>
      <c r="F463" s="143" t="n"/>
      <c r="G463" s="144" t="n"/>
      <c r="H463" s="145">
        <f>IF(OR(C463="",AND(F463="",G463="")),"",SUMIF(基础资料!$W$5:$W$24,C463,基础资料!$X$5:$X$24)+SUMIF(C$7:C463,C463,F$7:F463)-SUMIF(C$7:C463,C463,G$7:G463))</f>
      </c>
      <c r="I463" s="145">
        <f>IF(AND(F463="",G463=""),"",SUM(基础资料!$X$5:$X$24)+SUM(F$7:F463)-SUM(G$7:G463))</f>
      </c>
      <c r="J463" s="141" t="n"/>
      <c r="K463" s="141" t="n"/>
      <c r="L463" s="141" t="n"/>
      <c r="M463" s="142" t="n"/>
      <c r="N463" s="146">
        <f>IF(AND(AND(F463="",G463=""),B463="",C463="",D463="",J463="",K463="",L463=""),"",IF(AND(F463="",G463=""),"✗ 没填金额",IF(AND(N(F463)&lt;&gt;0,N(G463)&lt;&gt;0),"✗ 收入、支出只能填一边",IF(NOT(ISNUMBER(B463)),"✗ 日期不是真日期（要像 2026/9/25 这样填）",IF(OR(B463&lt;年初日,B463&gt;年末日),"✗ 日期不在本会计年度",IF(C463="","✗ 没选账户",IF(COUNTIF(基础资料!$W$5:$W$24,C463)=0,"✗ 账户不在基础资料里",IF(O463="","✗ 没选收支项目",IF(P463="未知","✗ 收支项目不在基础资料里",IF(AND(P463="应收",J463=""),"✗ 这笔要选客户",IF(AND(P463="应收",COUNTIF(总览汇总!$B$5:$B$304,J463)=0),"✗ 客户不在总览汇总名单里",IF(AND(P463="应付",K463=""),"✗ 这笔要选供应商",IF(AND(P463="应付",COUNTIF(基础资料!$Q$5:$Q$54,K463)=0),"✗ 供应商不在基础资料里",IF(AND(P463="费用",L463=""),"✗ 费用支出要选费用项目",IF(AND(L463&lt;&gt;"",COUNTIF(基础资料!$AI$5:$AI$54,L463)=0),"✗ 费用项目不在基础资料里",IF(AND(IFERROR(INDEX(基础资料!$AD$5:$AD$34,MATCH(O463,基础资料!$AC$5:$AC$34,0)),"")="收",N(G463)&lt;&gt;0),"✗ 这类是收款，金额填到收入列",IF(AND(IFERROR(INDEX(基础资料!$AD$5:$AD$34,MATCH(O463,基础资料!$AC$5:$AC$34,0)),"")="支",N(F463)&lt;&gt;0),"✗ 这类是付款，金额填到支出列",IF(N(H463)&lt;0,"⚠ 账户余额成负数了，核对一下","√"))))))))))))))))))</f>
      </c>
      <c r="O463" s="78">
        <f>IF(D463&lt;&gt;"",D463,IF(AND(F463="",G463=""),"",IF(J463&lt;&gt;"",IF(N(F463)&gt;0,"客户回款","客户退款"),IF(K463&lt;&gt;"",IF(N(G463)&gt;0,"供应商付款","供应商退款"),IF(L463&lt;&gt;"","费用支出","")))))</f>
      </c>
      <c r="P463" s="78">
        <f>IF(O463="","",IFERROR(INDEX(基础资料!$AE$5:$AE$34,MATCH(O463,基础资料!$AC$5:$AC$34,0)),"未知"))</f>
      </c>
      <c r="Q463" s="78">
        <f>IF(P463="应收",COUNTIF(P$7:P463,"应收"),"")</f>
      </c>
      <c r="R463" s="78">
        <f>IF(P463="应付",COUNTIF(P$7:P463,"应付"),"")</f>
      </c>
      <c r="S463" s="78">
        <f>N(F463)-N(G463)</f>
        <v>0</v>
      </c>
    </row>
    <row r="464">
      <c r="A464" s="109">
        <f>IF(AND(F464="",G464=""),"",ROW()-6)</f>
      </c>
      <c r="B464" s="140" t="n"/>
      <c r="C464" s="141" t="n"/>
      <c r="D464" s="141" t="n"/>
      <c r="E464" s="142" t="n"/>
      <c r="F464" s="143" t="n"/>
      <c r="G464" s="144" t="n"/>
      <c r="H464" s="145">
        <f>IF(OR(C464="",AND(F464="",G464="")),"",SUMIF(基础资料!$W$5:$W$24,C464,基础资料!$X$5:$X$24)+SUMIF(C$7:C464,C464,F$7:F464)-SUMIF(C$7:C464,C464,G$7:G464))</f>
      </c>
      <c r="I464" s="145">
        <f>IF(AND(F464="",G464=""),"",SUM(基础资料!$X$5:$X$24)+SUM(F$7:F464)-SUM(G$7:G464))</f>
      </c>
      <c r="J464" s="141" t="n"/>
      <c r="K464" s="141" t="n"/>
      <c r="L464" s="141" t="n"/>
      <c r="M464" s="142" t="n"/>
      <c r="N464" s="146">
        <f>IF(AND(AND(F464="",G464=""),B464="",C464="",D464="",J464="",K464="",L464=""),"",IF(AND(F464="",G464=""),"✗ 没填金额",IF(AND(N(F464)&lt;&gt;0,N(G464)&lt;&gt;0),"✗ 收入、支出只能填一边",IF(NOT(ISNUMBER(B464)),"✗ 日期不是真日期（要像 2026/9/25 这样填）",IF(OR(B464&lt;年初日,B464&gt;年末日),"✗ 日期不在本会计年度",IF(C464="","✗ 没选账户",IF(COUNTIF(基础资料!$W$5:$W$24,C464)=0,"✗ 账户不在基础资料里",IF(O464="","✗ 没选收支项目",IF(P464="未知","✗ 收支项目不在基础资料里",IF(AND(P464="应收",J464=""),"✗ 这笔要选客户",IF(AND(P464="应收",COUNTIF(总览汇总!$B$5:$B$304,J464)=0),"✗ 客户不在总览汇总名单里",IF(AND(P464="应付",K464=""),"✗ 这笔要选供应商",IF(AND(P464="应付",COUNTIF(基础资料!$Q$5:$Q$54,K464)=0),"✗ 供应商不在基础资料里",IF(AND(P464="费用",L464=""),"✗ 费用支出要选费用项目",IF(AND(L464&lt;&gt;"",COUNTIF(基础资料!$AI$5:$AI$54,L464)=0),"✗ 费用项目不在基础资料里",IF(AND(IFERROR(INDEX(基础资料!$AD$5:$AD$34,MATCH(O464,基础资料!$AC$5:$AC$34,0)),"")="收",N(G464)&lt;&gt;0),"✗ 这类是收款，金额填到收入列",IF(AND(IFERROR(INDEX(基础资料!$AD$5:$AD$34,MATCH(O464,基础资料!$AC$5:$AC$34,0)),"")="支",N(F464)&lt;&gt;0),"✗ 这类是付款，金额填到支出列",IF(N(H464)&lt;0,"⚠ 账户余额成负数了，核对一下","√"))))))))))))))))))</f>
      </c>
      <c r="O464" s="78">
        <f>IF(D464&lt;&gt;"",D464,IF(AND(F464="",G464=""),"",IF(J464&lt;&gt;"",IF(N(F464)&gt;0,"客户回款","客户退款"),IF(K464&lt;&gt;"",IF(N(G464)&gt;0,"供应商付款","供应商退款"),IF(L464&lt;&gt;"","费用支出","")))))</f>
      </c>
      <c r="P464" s="78">
        <f>IF(O464="","",IFERROR(INDEX(基础资料!$AE$5:$AE$34,MATCH(O464,基础资料!$AC$5:$AC$34,0)),"未知"))</f>
      </c>
      <c r="Q464" s="78">
        <f>IF(P464="应收",COUNTIF(P$7:P464,"应收"),"")</f>
      </c>
      <c r="R464" s="78">
        <f>IF(P464="应付",COUNTIF(P$7:P464,"应付"),"")</f>
      </c>
      <c r="S464" s="78">
        <f>N(F464)-N(G464)</f>
        <v>0</v>
      </c>
    </row>
    <row r="465">
      <c r="A465" s="109">
        <f>IF(AND(F465="",G465=""),"",ROW()-6)</f>
      </c>
      <c r="B465" s="140" t="n"/>
      <c r="C465" s="141" t="n"/>
      <c r="D465" s="141" t="n"/>
      <c r="E465" s="142" t="n"/>
      <c r="F465" s="143" t="n"/>
      <c r="G465" s="144" t="n"/>
      <c r="H465" s="145">
        <f>IF(OR(C465="",AND(F465="",G465="")),"",SUMIF(基础资料!$W$5:$W$24,C465,基础资料!$X$5:$X$24)+SUMIF(C$7:C465,C465,F$7:F465)-SUMIF(C$7:C465,C465,G$7:G465))</f>
      </c>
      <c r="I465" s="145">
        <f>IF(AND(F465="",G465=""),"",SUM(基础资料!$X$5:$X$24)+SUM(F$7:F465)-SUM(G$7:G465))</f>
      </c>
      <c r="J465" s="141" t="n"/>
      <c r="K465" s="141" t="n"/>
      <c r="L465" s="141" t="n"/>
      <c r="M465" s="142" t="n"/>
      <c r="N465" s="146">
        <f>IF(AND(AND(F465="",G465=""),B465="",C465="",D465="",J465="",K465="",L465=""),"",IF(AND(F465="",G465=""),"✗ 没填金额",IF(AND(N(F465)&lt;&gt;0,N(G465)&lt;&gt;0),"✗ 收入、支出只能填一边",IF(NOT(ISNUMBER(B465)),"✗ 日期不是真日期（要像 2026/9/25 这样填）",IF(OR(B465&lt;年初日,B465&gt;年末日),"✗ 日期不在本会计年度",IF(C465="","✗ 没选账户",IF(COUNTIF(基础资料!$W$5:$W$24,C465)=0,"✗ 账户不在基础资料里",IF(O465="","✗ 没选收支项目",IF(P465="未知","✗ 收支项目不在基础资料里",IF(AND(P465="应收",J465=""),"✗ 这笔要选客户",IF(AND(P465="应收",COUNTIF(总览汇总!$B$5:$B$304,J465)=0),"✗ 客户不在总览汇总名单里",IF(AND(P465="应付",K465=""),"✗ 这笔要选供应商",IF(AND(P465="应付",COUNTIF(基础资料!$Q$5:$Q$54,K465)=0),"✗ 供应商不在基础资料里",IF(AND(P465="费用",L465=""),"✗ 费用支出要选费用项目",IF(AND(L465&lt;&gt;"",COUNTIF(基础资料!$AI$5:$AI$54,L465)=0),"✗ 费用项目不在基础资料里",IF(AND(IFERROR(INDEX(基础资料!$AD$5:$AD$34,MATCH(O465,基础资料!$AC$5:$AC$34,0)),"")="收",N(G465)&lt;&gt;0),"✗ 这类是收款，金额填到收入列",IF(AND(IFERROR(INDEX(基础资料!$AD$5:$AD$34,MATCH(O465,基础资料!$AC$5:$AC$34,0)),"")="支",N(F465)&lt;&gt;0),"✗ 这类是付款，金额填到支出列",IF(N(H465)&lt;0,"⚠ 账户余额成负数了，核对一下","√"))))))))))))))))))</f>
      </c>
      <c r="O465" s="78">
        <f>IF(D465&lt;&gt;"",D465,IF(AND(F465="",G465=""),"",IF(J465&lt;&gt;"",IF(N(F465)&gt;0,"客户回款","客户退款"),IF(K465&lt;&gt;"",IF(N(G465)&gt;0,"供应商付款","供应商退款"),IF(L465&lt;&gt;"","费用支出","")))))</f>
      </c>
      <c r="P465" s="78">
        <f>IF(O465="","",IFERROR(INDEX(基础资料!$AE$5:$AE$34,MATCH(O465,基础资料!$AC$5:$AC$34,0)),"未知"))</f>
      </c>
      <c r="Q465" s="78">
        <f>IF(P465="应收",COUNTIF(P$7:P465,"应收"),"")</f>
      </c>
      <c r="R465" s="78">
        <f>IF(P465="应付",COUNTIF(P$7:P465,"应付"),"")</f>
      </c>
      <c r="S465" s="78">
        <f>N(F465)-N(G465)</f>
        <v>0</v>
      </c>
    </row>
    <row r="466">
      <c r="A466" s="109">
        <f>IF(AND(F466="",G466=""),"",ROW()-6)</f>
      </c>
      <c r="B466" s="140" t="n"/>
      <c r="C466" s="141" t="n"/>
      <c r="D466" s="141" t="n"/>
      <c r="E466" s="142" t="n"/>
      <c r="F466" s="143" t="n"/>
      <c r="G466" s="144" t="n"/>
      <c r="H466" s="145">
        <f>IF(OR(C466="",AND(F466="",G466="")),"",SUMIF(基础资料!$W$5:$W$24,C466,基础资料!$X$5:$X$24)+SUMIF(C$7:C466,C466,F$7:F466)-SUMIF(C$7:C466,C466,G$7:G466))</f>
      </c>
      <c r="I466" s="145">
        <f>IF(AND(F466="",G466=""),"",SUM(基础资料!$X$5:$X$24)+SUM(F$7:F466)-SUM(G$7:G466))</f>
      </c>
      <c r="J466" s="141" t="n"/>
      <c r="K466" s="141" t="n"/>
      <c r="L466" s="141" t="n"/>
      <c r="M466" s="142" t="n"/>
      <c r="N466" s="146">
        <f>IF(AND(AND(F466="",G466=""),B466="",C466="",D466="",J466="",K466="",L466=""),"",IF(AND(F466="",G466=""),"✗ 没填金额",IF(AND(N(F466)&lt;&gt;0,N(G466)&lt;&gt;0),"✗ 收入、支出只能填一边",IF(NOT(ISNUMBER(B466)),"✗ 日期不是真日期（要像 2026/9/25 这样填）",IF(OR(B466&lt;年初日,B466&gt;年末日),"✗ 日期不在本会计年度",IF(C466="","✗ 没选账户",IF(COUNTIF(基础资料!$W$5:$W$24,C466)=0,"✗ 账户不在基础资料里",IF(O466="","✗ 没选收支项目",IF(P466="未知","✗ 收支项目不在基础资料里",IF(AND(P466="应收",J466=""),"✗ 这笔要选客户",IF(AND(P466="应收",COUNTIF(总览汇总!$B$5:$B$304,J466)=0),"✗ 客户不在总览汇总名单里",IF(AND(P466="应付",K466=""),"✗ 这笔要选供应商",IF(AND(P466="应付",COUNTIF(基础资料!$Q$5:$Q$54,K466)=0),"✗ 供应商不在基础资料里",IF(AND(P466="费用",L466=""),"✗ 费用支出要选费用项目",IF(AND(L466&lt;&gt;"",COUNTIF(基础资料!$AI$5:$AI$54,L466)=0),"✗ 费用项目不在基础资料里",IF(AND(IFERROR(INDEX(基础资料!$AD$5:$AD$34,MATCH(O466,基础资料!$AC$5:$AC$34,0)),"")="收",N(G466)&lt;&gt;0),"✗ 这类是收款，金额填到收入列",IF(AND(IFERROR(INDEX(基础资料!$AD$5:$AD$34,MATCH(O466,基础资料!$AC$5:$AC$34,0)),"")="支",N(F466)&lt;&gt;0),"✗ 这类是付款，金额填到支出列",IF(N(H466)&lt;0,"⚠ 账户余额成负数了，核对一下","√"))))))))))))))))))</f>
      </c>
      <c r="O466" s="78">
        <f>IF(D466&lt;&gt;"",D466,IF(AND(F466="",G466=""),"",IF(J466&lt;&gt;"",IF(N(F466)&gt;0,"客户回款","客户退款"),IF(K466&lt;&gt;"",IF(N(G466)&gt;0,"供应商付款","供应商退款"),IF(L466&lt;&gt;"","费用支出","")))))</f>
      </c>
      <c r="P466" s="78">
        <f>IF(O466="","",IFERROR(INDEX(基础资料!$AE$5:$AE$34,MATCH(O466,基础资料!$AC$5:$AC$34,0)),"未知"))</f>
      </c>
      <c r="Q466" s="78">
        <f>IF(P466="应收",COUNTIF(P$7:P466,"应收"),"")</f>
      </c>
      <c r="R466" s="78">
        <f>IF(P466="应付",COUNTIF(P$7:P466,"应付"),"")</f>
      </c>
      <c r="S466" s="78">
        <f>N(F466)-N(G466)</f>
        <v>0</v>
      </c>
    </row>
    <row r="467">
      <c r="A467" s="109">
        <f>IF(AND(F467="",G467=""),"",ROW()-6)</f>
      </c>
      <c r="B467" s="140" t="n"/>
      <c r="C467" s="141" t="n"/>
      <c r="D467" s="141" t="n"/>
      <c r="E467" s="142" t="n"/>
      <c r="F467" s="143" t="n"/>
      <c r="G467" s="144" t="n"/>
      <c r="H467" s="145">
        <f>IF(OR(C467="",AND(F467="",G467="")),"",SUMIF(基础资料!$W$5:$W$24,C467,基础资料!$X$5:$X$24)+SUMIF(C$7:C467,C467,F$7:F467)-SUMIF(C$7:C467,C467,G$7:G467))</f>
      </c>
      <c r="I467" s="145">
        <f>IF(AND(F467="",G467=""),"",SUM(基础资料!$X$5:$X$24)+SUM(F$7:F467)-SUM(G$7:G467))</f>
      </c>
      <c r="J467" s="141" t="n"/>
      <c r="K467" s="141" t="n"/>
      <c r="L467" s="141" t="n"/>
      <c r="M467" s="142" t="n"/>
      <c r="N467" s="146">
        <f>IF(AND(AND(F467="",G467=""),B467="",C467="",D467="",J467="",K467="",L467=""),"",IF(AND(F467="",G467=""),"✗ 没填金额",IF(AND(N(F467)&lt;&gt;0,N(G467)&lt;&gt;0),"✗ 收入、支出只能填一边",IF(NOT(ISNUMBER(B467)),"✗ 日期不是真日期（要像 2026/9/25 这样填）",IF(OR(B467&lt;年初日,B467&gt;年末日),"✗ 日期不在本会计年度",IF(C467="","✗ 没选账户",IF(COUNTIF(基础资料!$W$5:$W$24,C467)=0,"✗ 账户不在基础资料里",IF(O467="","✗ 没选收支项目",IF(P467="未知","✗ 收支项目不在基础资料里",IF(AND(P467="应收",J467=""),"✗ 这笔要选客户",IF(AND(P467="应收",COUNTIF(总览汇总!$B$5:$B$304,J467)=0),"✗ 客户不在总览汇总名单里",IF(AND(P467="应付",K467=""),"✗ 这笔要选供应商",IF(AND(P467="应付",COUNTIF(基础资料!$Q$5:$Q$54,K467)=0),"✗ 供应商不在基础资料里",IF(AND(P467="费用",L467=""),"✗ 费用支出要选费用项目",IF(AND(L467&lt;&gt;"",COUNTIF(基础资料!$AI$5:$AI$54,L467)=0),"✗ 费用项目不在基础资料里",IF(AND(IFERROR(INDEX(基础资料!$AD$5:$AD$34,MATCH(O467,基础资料!$AC$5:$AC$34,0)),"")="收",N(G467)&lt;&gt;0),"✗ 这类是收款，金额填到收入列",IF(AND(IFERROR(INDEX(基础资料!$AD$5:$AD$34,MATCH(O467,基础资料!$AC$5:$AC$34,0)),"")="支",N(F467)&lt;&gt;0),"✗ 这类是付款，金额填到支出列",IF(N(H467)&lt;0,"⚠ 账户余额成负数了，核对一下","√"))))))))))))))))))</f>
      </c>
      <c r="O467" s="78">
        <f>IF(D467&lt;&gt;"",D467,IF(AND(F467="",G467=""),"",IF(J467&lt;&gt;"",IF(N(F467)&gt;0,"客户回款","客户退款"),IF(K467&lt;&gt;"",IF(N(G467)&gt;0,"供应商付款","供应商退款"),IF(L467&lt;&gt;"","费用支出","")))))</f>
      </c>
      <c r="P467" s="78">
        <f>IF(O467="","",IFERROR(INDEX(基础资料!$AE$5:$AE$34,MATCH(O467,基础资料!$AC$5:$AC$34,0)),"未知"))</f>
      </c>
      <c r="Q467" s="78">
        <f>IF(P467="应收",COUNTIF(P$7:P467,"应收"),"")</f>
      </c>
      <c r="R467" s="78">
        <f>IF(P467="应付",COUNTIF(P$7:P467,"应付"),"")</f>
      </c>
      <c r="S467" s="78">
        <f>N(F467)-N(G467)</f>
        <v>0</v>
      </c>
    </row>
    <row r="468">
      <c r="A468" s="109">
        <f>IF(AND(F468="",G468=""),"",ROW()-6)</f>
      </c>
      <c r="B468" s="140" t="n"/>
      <c r="C468" s="141" t="n"/>
      <c r="D468" s="141" t="n"/>
      <c r="E468" s="142" t="n"/>
      <c r="F468" s="143" t="n"/>
      <c r="G468" s="144" t="n"/>
      <c r="H468" s="145">
        <f>IF(OR(C468="",AND(F468="",G468="")),"",SUMIF(基础资料!$W$5:$W$24,C468,基础资料!$X$5:$X$24)+SUMIF(C$7:C468,C468,F$7:F468)-SUMIF(C$7:C468,C468,G$7:G468))</f>
      </c>
      <c r="I468" s="145">
        <f>IF(AND(F468="",G468=""),"",SUM(基础资料!$X$5:$X$24)+SUM(F$7:F468)-SUM(G$7:G468))</f>
      </c>
      <c r="J468" s="141" t="n"/>
      <c r="K468" s="141" t="n"/>
      <c r="L468" s="141" t="n"/>
      <c r="M468" s="142" t="n"/>
      <c r="N468" s="146">
        <f>IF(AND(AND(F468="",G468=""),B468="",C468="",D468="",J468="",K468="",L468=""),"",IF(AND(F468="",G468=""),"✗ 没填金额",IF(AND(N(F468)&lt;&gt;0,N(G468)&lt;&gt;0),"✗ 收入、支出只能填一边",IF(NOT(ISNUMBER(B468)),"✗ 日期不是真日期（要像 2026/9/25 这样填）",IF(OR(B468&lt;年初日,B468&gt;年末日),"✗ 日期不在本会计年度",IF(C468="","✗ 没选账户",IF(COUNTIF(基础资料!$W$5:$W$24,C468)=0,"✗ 账户不在基础资料里",IF(O468="","✗ 没选收支项目",IF(P468="未知","✗ 收支项目不在基础资料里",IF(AND(P468="应收",J468=""),"✗ 这笔要选客户",IF(AND(P468="应收",COUNTIF(总览汇总!$B$5:$B$304,J468)=0),"✗ 客户不在总览汇总名单里",IF(AND(P468="应付",K468=""),"✗ 这笔要选供应商",IF(AND(P468="应付",COUNTIF(基础资料!$Q$5:$Q$54,K468)=0),"✗ 供应商不在基础资料里",IF(AND(P468="费用",L468=""),"✗ 费用支出要选费用项目",IF(AND(L468&lt;&gt;"",COUNTIF(基础资料!$AI$5:$AI$54,L468)=0),"✗ 费用项目不在基础资料里",IF(AND(IFERROR(INDEX(基础资料!$AD$5:$AD$34,MATCH(O468,基础资料!$AC$5:$AC$34,0)),"")="收",N(G468)&lt;&gt;0),"✗ 这类是收款，金额填到收入列",IF(AND(IFERROR(INDEX(基础资料!$AD$5:$AD$34,MATCH(O468,基础资料!$AC$5:$AC$34,0)),"")="支",N(F468)&lt;&gt;0),"✗ 这类是付款，金额填到支出列",IF(N(H468)&lt;0,"⚠ 账户余额成负数了，核对一下","√"))))))))))))))))))</f>
      </c>
      <c r="O468" s="78">
        <f>IF(D468&lt;&gt;"",D468,IF(AND(F468="",G468=""),"",IF(J468&lt;&gt;"",IF(N(F468)&gt;0,"客户回款","客户退款"),IF(K468&lt;&gt;"",IF(N(G468)&gt;0,"供应商付款","供应商退款"),IF(L468&lt;&gt;"","费用支出","")))))</f>
      </c>
      <c r="P468" s="78">
        <f>IF(O468="","",IFERROR(INDEX(基础资料!$AE$5:$AE$34,MATCH(O468,基础资料!$AC$5:$AC$34,0)),"未知"))</f>
      </c>
      <c r="Q468" s="78">
        <f>IF(P468="应收",COUNTIF(P$7:P468,"应收"),"")</f>
      </c>
      <c r="R468" s="78">
        <f>IF(P468="应付",COUNTIF(P$7:P468,"应付"),"")</f>
      </c>
      <c r="S468" s="78">
        <f>N(F468)-N(G468)</f>
        <v>0</v>
      </c>
    </row>
    <row r="469">
      <c r="A469" s="109">
        <f>IF(AND(F469="",G469=""),"",ROW()-6)</f>
      </c>
      <c r="B469" s="140" t="n"/>
      <c r="C469" s="141" t="n"/>
      <c r="D469" s="141" t="n"/>
      <c r="E469" s="142" t="n"/>
      <c r="F469" s="143" t="n"/>
      <c r="G469" s="144" t="n"/>
      <c r="H469" s="145">
        <f>IF(OR(C469="",AND(F469="",G469="")),"",SUMIF(基础资料!$W$5:$W$24,C469,基础资料!$X$5:$X$24)+SUMIF(C$7:C469,C469,F$7:F469)-SUMIF(C$7:C469,C469,G$7:G469))</f>
      </c>
      <c r="I469" s="145">
        <f>IF(AND(F469="",G469=""),"",SUM(基础资料!$X$5:$X$24)+SUM(F$7:F469)-SUM(G$7:G469))</f>
      </c>
      <c r="J469" s="141" t="n"/>
      <c r="K469" s="141" t="n"/>
      <c r="L469" s="141" t="n"/>
      <c r="M469" s="142" t="n"/>
      <c r="N469" s="146">
        <f>IF(AND(AND(F469="",G469=""),B469="",C469="",D469="",J469="",K469="",L469=""),"",IF(AND(F469="",G469=""),"✗ 没填金额",IF(AND(N(F469)&lt;&gt;0,N(G469)&lt;&gt;0),"✗ 收入、支出只能填一边",IF(NOT(ISNUMBER(B469)),"✗ 日期不是真日期（要像 2026/9/25 这样填）",IF(OR(B469&lt;年初日,B469&gt;年末日),"✗ 日期不在本会计年度",IF(C469="","✗ 没选账户",IF(COUNTIF(基础资料!$W$5:$W$24,C469)=0,"✗ 账户不在基础资料里",IF(O469="","✗ 没选收支项目",IF(P469="未知","✗ 收支项目不在基础资料里",IF(AND(P469="应收",J469=""),"✗ 这笔要选客户",IF(AND(P469="应收",COUNTIF(总览汇总!$B$5:$B$304,J469)=0),"✗ 客户不在总览汇总名单里",IF(AND(P469="应付",K469=""),"✗ 这笔要选供应商",IF(AND(P469="应付",COUNTIF(基础资料!$Q$5:$Q$54,K469)=0),"✗ 供应商不在基础资料里",IF(AND(P469="费用",L469=""),"✗ 费用支出要选费用项目",IF(AND(L469&lt;&gt;"",COUNTIF(基础资料!$AI$5:$AI$54,L469)=0),"✗ 费用项目不在基础资料里",IF(AND(IFERROR(INDEX(基础资料!$AD$5:$AD$34,MATCH(O469,基础资料!$AC$5:$AC$34,0)),"")="收",N(G469)&lt;&gt;0),"✗ 这类是收款，金额填到收入列",IF(AND(IFERROR(INDEX(基础资料!$AD$5:$AD$34,MATCH(O469,基础资料!$AC$5:$AC$34,0)),"")="支",N(F469)&lt;&gt;0),"✗ 这类是付款，金额填到支出列",IF(N(H469)&lt;0,"⚠ 账户余额成负数了，核对一下","√"))))))))))))))))))</f>
      </c>
      <c r="O469" s="78">
        <f>IF(D469&lt;&gt;"",D469,IF(AND(F469="",G469=""),"",IF(J469&lt;&gt;"",IF(N(F469)&gt;0,"客户回款","客户退款"),IF(K469&lt;&gt;"",IF(N(G469)&gt;0,"供应商付款","供应商退款"),IF(L469&lt;&gt;"","费用支出","")))))</f>
      </c>
      <c r="P469" s="78">
        <f>IF(O469="","",IFERROR(INDEX(基础资料!$AE$5:$AE$34,MATCH(O469,基础资料!$AC$5:$AC$34,0)),"未知"))</f>
      </c>
      <c r="Q469" s="78">
        <f>IF(P469="应收",COUNTIF(P$7:P469,"应收"),"")</f>
      </c>
      <c r="R469" s="78">
        <f>IF(P469="应付",COUNTIF(P$7:P469,"应付"),"")</f>
      </c>
      <c r="S469" s="78">
        <f>N(F469)-N(G469)</f>
        <v>0</v>
      </c>
    </row>
    <row r="470">
      <c r="A470" s="109">
        <f>IF(AND(F470="",G470=""),"",ROW()-6)</f>
      </c>
      <c r="B470" s="140" t="n"/>
      <c r="C470" s="141" t="n"/>
      <c r="D470" s="141" t="n"/>
      <c r="E470" s="142" t="n"/>
      <c r="F470" s="143" t="n"/>
      <c r="G470" s="144" t="n"/>
      <c r="H470" s="145">
        <f>IF(OR(C470="",AND(F470="",G470="")),"",SUMIF(基础资料!$W$5:$W$24,C470,基础资料!$X$5:$X$24)+SUMIF(C$7:C470,C470,F$7:F470)-SUMIF(C$7:C470,C470,G$7:G470))</f>
      </c>
      <c r="I470" s="145">
        <f>IF(AND(F470="",G470=""),"",SUM(基础资料!$X$5:$X$24)+SUM(F$7:F470)-SUM(G$7:G470))</f>
      </c>
      <c r="J470" s="141" t="n"/>
      <c r="K470" s="141" t="n"/>
      <c r="L470" s="141" t="n"/>
      <c r="M470" s="142" t="n"/>
      <c r="N470" s="146">
        <f>IF(AND(AND(F470="",G470=""),B470="",C470="",D470="",J470="",K470="",L470=""),"",IF(AND(F470="",G470=""),"✗ 没填金额",IF(AND(N(F470)&lt;&gt;0,N(G470)&lt;&gt;0),"✗ 收入、支出只能填一边",IF(NOT(ISNUMBER(B470)),"✗ 日期不是真日期（要像 2026/9/25 这样填）",IF(OR(B470&lt;年初日,B470&gt;年末日),"✗ 日期不在本会计年度",IF(C470="","✗ 没选账户",IF(COUNTIF(基础资料!$W$5:$W$24,C470)=0,"✗ 账户不在基础资料里",IF(O470="","✗ 没选收支项目",IF(P470="未知","✗ 收支项目不在基础资料里",IF(AND(P470="应收",J470=""),"✗ 这笔要选客户",IF(AND(P470="应收",COUNTIF(总览汇总!$B$5:$B$304,J470)=0),"✗ 客户不在总览汇总名单里",IF(AND(P470="应付",K470=""),"✗ 这笔要选供应商",IF(AND(P470="应付",COUNTIF(基础资料!$Q$5:$Q$54,K470)=0),"✗ 供应商不在基础资料里",IF(AND(P470="费用",L470=""),"✗ 费用支出要选费用项目",IF(AND(L470&lt;&gt;"",COUNTIF(基础资料!$AI$5:$AI$54,L470)=0),"✗ 费用项目不在基础资料里",IF(AND(IFERROR(INDEX(基础资料!$AD$5:$AD$34,MATCH(O470,基础资料!$AC$5:$AC$34,0)),"")="收",N(G470)&lt;&gt;0),"✗ 这类是收款，金额填到收入列",IF(AND(IFERROR(INDEX(基础资料!$AD$5:$AD$34,MATCH(O470,基础资料!$AC$5:$AC$34,0)),"")="支",N(F470)&lt;&gt;0),"✗ 这类是付款，金额填到支出列",IF(N(H470)&lt;0,"⚠ 账户余额成负数了，核对一下","√"))))))))))))))))))</f>
      </c>
      <c r="O470" s="78">
        <f>IF(D470&lt;&gt;"",D470,IF(AND(F470="",G470=""),"",IF(J470&lt;&gt;"",IF(N(F470)&gt;0,"客户回款","客户退款"),IF(K470&lt;&gt;"",IF(N(G470)&gt;0,"供应商付款","供应商退款"),IF(L470&lt;&gt;"","费用支出","")))))</f>
      </c>
      <c r="P470" s="78">
        <f>IF(O470="","",IFERROR(INDEX(基础资料!$AE$5:$AE$34,MATCH(O470,基础资料!$AC$5:$AC$34,0)),"未知"))</f>
      </c>
      <c r="Q470" s="78">
        <f>IF(P470="应收",COUNTIF(P$7:P470,"应收"),"")</f>
      </c>
      <c r="R470" s="78">
        <f>IF(P470="应付",COUNTIF(P$7:P470,"应付"),"")</f>
      </c>
      <c r="S470" s="78">
        <f>N(F470)-N(G470)</f>
        <v>0</v>
      </c>
    </row>
    <row r="471">
      <c r="A471" s="109">
        <f>IF(AND(F471="",G471=""),"",ROW()-6)</f>
      </c>
      <c r="B471" s="140" t="n"/>
      <c r="C471" s="141" t="n"/>
      <c r="D471" s="141" t="n"/>
      <c r="E471" s="142" t="n"/>
      <c r="F471" s="143" t="n"/>
      <c r="G471" s="144" t="n"/>
      <c r="H471" s="145">
        <f>IF(OR(C471="",AND(F471="",G471="")),"",SUMIF(基础资料!$W$5:$W$24,C471,基础资料!$X$5:$X$24)+SUMIF(C$7:C471,C471,F$7:F471)-SUMIF(C$7:C471,C471,G$7:G471))</f>
      </c>
      <c r="I471" s="145">
        <f>IF(AND(F471="",G471=""),"",SUM(基础资料!$X$5:$X$24)+SUM(F$7:F471)-SUM(G$7:G471))</f>
      </c>
      <c r="J471" s="141" t="n"/>
      <c r="K471" s="141" t="n"/>
      <c r="L471" s="141" t="n"/>
      <c r="M471" s="142" t="n"/>
      <c r="N471" s="146">
        <f>IF(AND(AND(F471="",G471=""),B471="",C471="",D471="",J471="",K471="",L471=""),"",IF(AND(F471="",G471=""),"✗ 没填金额",IF(AND(N(F471)&lt;&gt;0,N(G471)&lt;&gt;0),"✗ 收入、支出只能填一边",IF(NOT(ISNUMBER(B471)),"✗ 日期不是真日期（要像 2026/9/25 这样填）",IF(OR(B471&lt;年初日,B471&gt;年末日),"✗ 日期不在本会计年度",IF(C471="","✗ 没选账户",IF(COUNTIF(基础资料!$W$5:$W$24,C471)=0,"✗ 账户不在基础资料里",IF(O471="","✗ 没选收支项目",IF(P471="未知","✗ 收支项目不在基础资料里",IF(AND(P471="应收",J471=""),"✗ 这笔要选客户",IF(AND(P471="应收",COUNTIF(总览汇总!$B$5:$B$304,J471)=0),"✗ 客户不在总览汇总名单里",IF(AND(P471="应付",K471=""),"✗ 这笔要选供应商",IF(AND(P471="应付",COUNTIF(基础资料!$Q$5:$Q$54,K471)=0),"✗ 供应商不在基础资料里",IF(AND(P471="费用",L471=""),"✗ 费用支出要选费用项目",IF(AND(L471&lt;&gt;"",COUNTIF(基础资料!$AI$5:$AI$54,L471)=0),"✗ 费用项目不在基础资料里",IF(AND(IFERROR(INDEX(基础资料!$AD$5:$AD$34,MATCH(O471,基础资料!$AC$5:$AC$34,0)),"")="收",N(G471)&lt;&gt;0),"✗ 这类是收款，金额填到收入列",IF(AND(IFERROR(INDEX(基础资料!$AD$5:$AD$34,MATCH(O471,基础资料!$AC$5:$AC$34,0)),"")="支",N(F471)&lt;&gt;0),"✗ 这类是付款，金额填到支出列",IF(N(H471)&lt;0,"⚠ 账户余额成负数了，核对一下","√"))))))))))))))))))</f>
      </c>
      <c r="O471" s="78">
        <f>IF(D471&lt;&gt;"",D471,IF(AND(F471="",G471=""),"",IF(J471&lt;&gt;"",IF(N(F471)&gt;0,"客户回款","客户退款"),IF(K471&lt;&gt;"",IF(N(G471)&gt;0,"供应商付款","供应商退款"),IF(L471&lt;&gt;"","费用支出","")))))</f>
      </c>
      <c r="P471" s="78">
        <f>IF(O471="","",IFERROR(INDEX(基础资料!$AE$5:$AE$34,MATCH(O471,基础资料!$AC$5:$AC$34,0)),"未知"))</f>
      </c>
      <c r="Q471" s="78">
        <f>IF(P471="应收",COUNTIF(P$7:P471,"应收"),"")</f>
      </c>
      <c r="R471" s="78">
        <f>IF(P471="应付",COUNTIF(P$7:P471,"应付"),"")</f>
      </c>
      <c r="S471" s="78">
        <f>N(F471)-N(G471)</f>
        <v>0</v>
      </c>
    </row>
    <row r="472">
      <c r="A472" s="109">
        <f>IF(AND(F472="",G472=""),"",ROW()-6)</f>
      </c>
      <c r="B472" s="140" t="n"/>
      <c r="C472" s="141" t="n"/>
      <c r="D472" s="141" t="n"/>
      <c r="E472" s="142" t="n"/>
      <c r="F472" s="143" t="n"/>
      <c r="G472" s="144" t="n"/>
      <c r="H472" s="145">
        <f>IF(OR(C472="",AND(F472="",G472="")),"",SUMIF(基础资料!$W$5:$W$24,C472,基础资料!$X$5:$X$24)+SUMIF(C$7:C472,C472,F$7:F472)-SUMIF(C$7:C472,C472,G$7:G472))</f>
      </c>
      <c r="I472" s="145">
        <f>IF(AND(F472="",G472=""),"",SUM(基础资料!$X$5:$X$24)+SUM(F$7:F472)-SUM(G$7:G472))</f>
      </c>
      <c r="J472" s="141" t="n"/>
      <c r="K472" s="141" t="n"/>
      <c r="L472" s="141" t="n"/>
      <c r="M472" s="142" t="n"/>
      <c r="N472" s="146">
        <f>IF(AND(AND(F472="",G472=""),B472="",C472="",D472="",J472="",K472="",L472=""),"",IF(AND(F472="",G472=""),"✗ 没填金额",IF(AND(N(F472)&lt;&gt;0,N(G472)&lt;&gt;0),"✗ 收入、支出只能填一边",IF(NOT(ISNUMBER(B472)),"✗ 日期不是真日期（要像 2026/9/25 这样填）",IF(OR(B472&lt;年初日,B472&gt;年末日),"✗ 日期不在本会计年度",IF(C472="","✗ 没选账户",IF(COUNTIF(基础资料!$W$5:$W$24,C472)=0,"✗ 账户不在基础资料里",IF(O472="","✗ 没选收支项目",IF(P472="未知","✗ 收支项目不在基础资料里",IF(AND(P472="应收",J472=""),"✗ 这笔要选客户",IF(AND(P472="应收",COUNTIF(总览汇总!$B$5:$B$304,J472)=0),"✗ 客户不在总览汇总名单里",IF(AND(P472="应付",K472=""),"✗ 这笔要选供应商",IF(AND(P472="应付",COUNTIF(基础资料!$Q$5:$Q$54,K472)=0),"✗ 供应商不在基础资料里",IF(AND(P472="费用",L472=""),"✗ 费用支出要选费用项目",IF(AND(L472&lt;&gt;"",COUNTIF(基础资料!$AI$5:$AI$54,L472)=0),"✗ 费用项目不在基础资料里",IF(AND(IFERROR(INDEX(基础资料!$AD$5:$AD$34,MATCH(O472,基础资料!$AC$5:$AC$34,0)),"")="收",N(G472)&lt;&gt;0),"✗ 这类是收款，金额填到收入列",IF(AND(IFERROR(INDEX(基础资料!$AD$5:$AD$34,MATCH(O472,基础资料!$AC$5:$AC$34,0)),"")="支",N(F472)&lt;&gt;0),"✗ 这类是付款，金额填到支出列",IF(N(H472)&lt;0,"⚠ 账户余额成负数了，核对一下","√"))))))))))))))))))</f>
      </c>
      <c r="O472" s="78">
        <f>IF(D472&lt;&gt;"",D472,IF(AND(F472="",G472=""),"",IF(J472&lt;&gt;"",IF(N(F472)&gt;0,"客户回款","客户退款"),IF(K472&lt;&gt;"",IF(N(G472)&gt;0,"供应商付款","供应商退款"),IF(L472&lt;&gt;"","费用支出","")))))</f>
      </c>
      <c r="P472" s="78">
        <f>IF(O472="","",IFERROR(INDEX(基础资料!$AE$5:$AE$34,MATCH(O472,基础资料!$AC$5:$AC$34,0)),"未知"))</f>
      </c>
      <c r="Q472" s="78">
        <f>IF(P472="应收",COUNTIF(P$7:P472,"应收"),"")</f>
      </c>
      <c r="R472" s="78">
        <f>IF(P472="应付",COUNTIF(P$7:P472,"应付"),"")</f>
      </c>
      <c r="S472" s="78">
        <f>N(F472)-N(G472)</f>
        <v>0</v>
      </c>
    </row>
    <row r="473">
      <c r="A473" s="109">
        <f>IF(AND(F473="",G473=""),"",ROW()-6)</f>
      </c>
      <c r="B473" s="140" t="n"/>
      <c r="C473" s="141" t="n"/>
      <c r="D473" s="141" t="n"/>
      <c r="E473" s="142" t="n"/>
      <c r="F473" s="143" t="n"/>
      <c r="G473" s="144" t="n"/>
      <c r="H473" s="145">
        <f>IF(OR(C473="",AND(F473="",G473="")),"",SUMIF(基础资料!$W$5:$W$24,C473,基础资料!$X$5:$X$24)+SUMIF(C$7:C473,C473,F$7:F473)-SUMIF(C$7:C473,C473,G$7:G473))</f>
      </c>
      <c r="I473" s="145">
        <f>IF(AND(F473="",G473=""),"",SUM(基础资料!$X$5:$X$24)+SUM(F$7:F473)-SUM(G$7:G473))</f>
      </c>
      <c r="J473" s="141" t="n"/>
      <c r="K473" s="141" t="n"/>
      <c r="L473" s="141" t="n"/>
      <c r="M473" s="142" t="n"/>
      <c r="N473" s="146">
        <f>IF(AND(AND(F473="",G473=""),B473="",C473="",D473="",J473="",K473="",L473=""),"",IF(AND(F473="",G473=""),"✗ 没填金额",IF(AND(N(F473)&lt;&gt;0,N(G473)&lt;&gt;0),"✗ 收入、支出只能填一边",IF(NOT(ISNUMBER(B473)),"✗ 日期不是真日期（要像 2026/9/25 这样填）",IF(OR(B473&lt;年初日,B473&gt;年末日),"✗ 日期不在本会计年度",IF(C473="","✗ 没选账户",IF(COUNTIF(基础资料!$W$5:$W$24,C473)=0,"✗ 账户不在基础资料里",IF(O473="","✗ 没选收支项目",IF(P473="未知","✗ 收支项目不在基础资料里",IF(AND(P473="应收",J473=""),"✗ 这笔要选客户",IF(AND(P473="应收",COUNTIF(总览汇总!$B$5:$B$304,J473)=0),"✗ 客户不在总览汇总名单里",IF(AND(P473="应付",K473=""),"✗ 这笔要选供应商",IF(AND(P473="应付",COUNTIF(基础资料!$Q$5:$Q$54,K473)=0),"✗ 供应商不在基础资料里",IF(AND(P473="费用",L473=""),"✗ 费用支出要选费用项目",IF(AND(L473&lt;&gt;"",COUNTIF(基础资料!$AI$5:$AI$54,L473)=0),"✗ 费用项目不在基础资料里",IF(AND(IFERROR(INDEX(基础资料!$AD$5:$AD$34,MATCH(O473,基础资料!$AC$5:$AC$34,0)),"")="收",N(G473)&lt;&gt;0),"✗ 这类是收款，金额填到收入列",IF(AND(IFERROR(INDEX(基础资料!$AD$5:$AD$34,MATCH(O473,基础资料!$AC$5:$AC$34,0)),"")="支",N(F473)&lt;&gt;0),"✗ 这类是付款，金额填到支出列",IF(N(H473)&lt;0,"⚠ 账户余额成负数了，核对一下","√"))))))))))))))))))</f>
      </c>
      <c r="O473" s="78">
        <f>IF(D473&lt;&gt;"",D473,IF(AND(F473="",G473=""),"",IF(J473&lt;&gt;"",IF(N(F473)&gt;0,"客户回款","客户退款"),IF(K473&lt;&gt;"",IF(N(G473)&gt;0,"供应商付款","供应商退款"),IF(L473&lt;&gt;"","费用支出","")))))</f>
      </c>
      <c r="P473" s="78">
        <f>IF(O473="","",IFERROR(INDEX(基础资料!$AE$5:$AE$34,MATCH(O473,基础资料!$AC$5:$AC$34,0)),"未知"))</f>
      </c>
      <c r="Q473" s="78">
        <f>IF(P473="应收",COUNTIF(P$7:P473,"应收"),"")</f>
      </c>
      <c r="R473" s="78">
        <f>IF(P473="应付",COUNTIF(P$7:P473,"应付"),"")</f>
      </c>
      <c r="S473" s="78">
        <f>N(F473)-N(G473)</f>
        <v>0</v>
      </c>
    </row>
    <row r="474">
      <c r="A474" s="109">
        <f>IF(AND(F474="",G474=""),"",ROW()-6)</f>
      </c>
      <c r="B474" s="140" t="n"/>
      <c r="C474" s="141" t="n"/>
      <c r="D474" s="141" t="n"/>
      <c r="E474" s="142" t="n"/>
      <c r="F474" s="143" t="n"/>
      <c r="G474" s="144" t="n"/>
      <c r="H474" s="145">
        <f>IF(OR(C474="",AND(F474="",G474="")),"",SUMIF(基础资料!$W$5:$W$24,C474,基础资料!$X$5:$X$24)+SUMIF(C$7:C474,C474,F$7:F474)-SUMIF(C$7:C474,C474,G$7:G474))</f>
      </c>
      <c r="I474" s="145">
        <f>IF(AND(F474="",G474=""),"",SUM(基础资料!$X$5:$X$24)+SUM(F$7:F474)-SUM(G$7:G474))</f>
      </c>
      <c r="J474" s="141" t="n"/>
      <c r="K474" s="141" t="n"/>
      <c r="L474" s="141" t="n"/>
      <c r="M474" s="142" t="n"/>
      <c r="N474" s="146">
        <f>IF(AND(AND(F474="",G474=""),B474="",C474="",D474="",J474="",K474="",L474=""),"",IF(AND(F474="",G474=""),"✗ 没填金额",IF(AND(N(F474)&lt;&gt;0,N(G474)&lt;&gt;0),"✗ 收入、支出只能填一边",IF(NOT(ISNUMBER(B474)),"✗ 日期不是真日期（要像 2026/9/25 这样填）",IF(OR(B474&lt;年初日,B474&gt;年末日),"✗ 日期不在本会计年度",IF(C474="","✗ 没选账户",IF(COUNTIF(基础资料!$W$5:$W$24,C474)=0,"✗ 账户不在基础资料里",IF(O474="","✗ 没选收支项目",IF(P474="未知","✗ 收支项目不在基础资料里",IF(AND(P474="应收",J474=""),"✗ 这笔要选客户",IF(AND(P474="应收",COUNTIF(总览汇总!$B$5:$B$304,J474)=0),"✗ 客户不在总览汇总名单里",IF(AND(P474="应付",K474=""),"✗ 这笔要选供应商",IF(AND(P474="应付",COUNTIF(基础资料!$Q$5:$Q$54,K474)=0),"✗ 供应商不在基础资料里",IF(AND(P474="费用",L474=""),"✗ 费用支出要选费用项目",IF(AND(L474&lt;&gt;"",COUNTIF(基础资料!$AI$5:$AI$54,L474)=0),"✗ 费用项目不在基础资料里",IF(AND(IFERROR(INDEX(基础资料!$AD$5:$AD$34,MATCH(O474,基础资料!$AC$5:$AC$34,0)),"")="收",N(G474)&lt;&gt;0),"✗ 这类是收款，金额填到收入列",IF(AND(IFERROR(INDEX(基础资料!$AD$5:$AD$34,MATCH(O474,基础资料!$AC$5:$AC$34,0)),"")="支",N(F474)&lt;&gt;0),"✗ 这类是付款，金额填到支出列",IF(N(H474)&lt;0,"⚠ 账户余额成负数了，核对一下","√"))))))))))))))))))</f>
      </c>
      <c r="O474" s="78">
        <f>IF(D474&lt;&gt;"",D474,IF(AND(F474="",G474=""),"",IF(J474&lt;&gt;"",IF(N(F474)&gt;0,"客户回款","客户退款"),IF(K474&lt;&gt;"",IF(N(G474)&gt;0,"供应商付款","供应商退款"),IF(L474&lt;&gt;"","费用支出","")))))</f>
      </c>
      <c r="P474" s="78">
        <f>IF(O474="","",IFERROR(INDEX(基础资料!$AE$5:$AE$34,MATCH(O474,基础资料!$AC$5:$AC$34,0)),"未知"))</f>
      </c>
      <c r="Q474" s="78">
        <f>IF(P474="应收",COUNTIF(P$7:P474,"应收"),"")</f>
      </c>
      <c r="R474" s="78">
        <f>IF(P474="应付",COUNTIF(P$7:P474,"应付"),"")</f>
      </c>
      <c r="S474" s="78">
        <f>N(F474)-N(G474)</f>
        <v>0</v>
      </c>
    </row>
    <row r="475">
      <c r="A475" s="109">
        <f>IF(AND(F475="",G475=""),"",ROW()-6)</f>
      </c>
      <c r="B475" s="140" t="n"/>
      <c r="C475" s="141" t="n"/>
      <c r="D475" s="141" t="n"/>
      <c r="E475" s="142" t="n"/>
      <c r="F475" s="143" t="n"/>
      <c r="G475" s="144" t="n"/>
      <c r="H475" s="145">
        <f>IF(OR(C475="",AND(F475="",G475="")),"",SUMIF(基础资料!$W$5:$W$24,C475,基础资料!$X$5:$X$24)+SUMIF(C$7:C475,C475,F$7:F475)-SUMIF(C$7:C475,C475,G$7:G475))</f>
      </c>
      <c r="I475" s="145">
        <f>IF(AND(F475="",G475=""),"",SUM(基础资料!$X$5:$X$24)+SUM(F$7:F475)-SUM(G$7:G475))</f>
      </c>
      <c r="J475" s="141" t="n"/>
      <c r="K475" s="141" t="n"/>
      <c r="L475" s="141" t="n"/>
      <c r="M475" s="142" t="n"/>
      <c r="N475" s="146">
        <f>IF(AND(AND(F475="",G475=""),B475="",C475="",D475="",J475="",K475="",L475=""),"",IF(AND(F475="",G475=""),"✗ 没填金额",IF(AND(N(F475)&lt;&gt;0,N(G475)&lt;&gt;0),"✗ 收入、支出只能填一边",IF(NOT(ISNUMBER(B475)),"✗ 日期不是真日期（要像 2026/9/25 这样填）",IF(OR(B475&lt;年初日,B475&gt;年末日),"✗ 日期不在本会计年度",IF(C475="","✗ 没选账户",IF(COUNTIF(基础资料!$W$5:$W$24,C475)=0,"✗ 账户不在基础资料里",IF(O475="","✗ 没选收支项目",IF(P475="未知","✗ 收支项目不在基础资料里",IF(AND(P475="应收",J475=""),"✗ 这笔要选客户",IF(AND(P475="应收",COUNTIF(总览汇总!$B$5:$B$304,J475)=0),"✗ 客户不在总览汇总名单里",IF(AND(P475="应付",K475=""),"✗ 这笔要选供应商",IF(AND(P475="应付",COUNTIF(基础资料!$Q$5:$Q$54,K475)=0),"✗ 供应商不在基础资料里",IF(AND(P475="费用",L475=""),"✗ 费用支出要选费用项目",IF(AND(L475&lt;&gt;"",COUNTIF(基础资料!$AI$5:$AI$54,L475)=0),"✗ 费用项目不在基础资料里",IF(AND(IFERROR(INDEX(基础资料!$AD$5:$AD$34,MATCH(O475,基础资料!$AC$5:$AC$34,0)),"")="收",N(G475)&lt;&gt;0),"✗ 这类是收款，金额填到收入列",IF(AND(IFERROR(INDEX(基础资料!$AD$5:$AD$34,MATCH(O475,基础资料!$AC$5:$AC$34,0)),"")="支",N(F475)&lt;&gt;0),"✗ 这类是付款，金额填到支出列",IF(N(H475)&lt;0,"⚠ 账户余额成负数了，核对一下","√"))))))))))))))))))</f>
      </c>
      <c r="O475" s="78">
        <f>IF(D475&lt;&gt;"",D475,IF(AND(F475="",G475=""),"",IF(J475&lt;&gt;"",IF(N(F475)&gt;0,"客户回款","客户退款"),IF(K475&lt;&gt;"",IF(N(G475)&gt;0,"供应商付款","供应商退款"),IF(L475&lt;&gt;"","费用支出","")))))</f>
      </c>
      <c r="P475" s="78">
        <f>IF(O475="","",IFERROR(INDEX(基础资料!$AE$5:$AE$34,MATCH(O475,基础资料!$AC$5:$AC$34,0)),"未知"))</f>
      </c>
      <c r="Q475" s="78">
        <f>IF(P475="应收",COUNTIF(P$7:P475,"应收"),"")</f>
      </c>
      <c r="R475" s="78">
        <f>IF(P475="应付",COUNTIF(P$7:P475,"应付"),"")</f>
      </c>
      <c r="S475" s="78">
        <f>N(F475)-N(G475)</f>
        <v>0</v>
      </c>
    </row>
    <row r="476">
      <c r="A476" s="109">
        <f>IF(AND(F476="",G476=""),"",ROW()-6)</f>
      </c>
      <c r="B476" s="140" t="n"/>
      <c r="C476" s="141" t="n"/>
      <c r="D476" s="141" t="n"/>
      <c r="E476" s="142" t="n"/>
      <c r="F476" s="143" t="n"/>
      <c r="G476" s="144" t="n"/>
      <c r="H476" s="145">
        <f>IF(OR(C476="",AND(F476="",G476="")),"",SUMIF(基础资料!$W$5:$W$24,C476,基础资料!$X$5:$X$24)+SUMIF(C$7:C476,C476,F$7:F476)-SUMIF(C$7:C476,C476,G$7:G476))</f>
      </c>
      <c r="I476" s="145">
        <f>IF(AND(F476="",G476=""),"",SUM(基础资料!$X$5:$X$24)+SUM(F$7:F476)-SUM(G$7:G476))</f>
      </c>
      <c r="J476" s="141" t="n"/>
      <c r="K476" s="141" t="n"/>
      <c r="L476" s="141" t="n"/>
      <c r="M476" s="142" t="n"/>
      <c r="N476" s="146">
        <f>IF(AND(AND(F476="",G476=""),B476="",C476="",D476="",J476="",K476="",L476=""),"",IF(AND(F476="",G476=""),"✗ 没填金额",IF(AND(N(F476)&lt;&gt;0,N(G476)&lt;&gt;0),"✗ 收入、支出只能填一边",IF(NOT(ISNUMBER(B476)),"✗ 日期不是真日期（要像 2026/9/25 这样填）",IF(OR(B476&lt;年初日,B476&gt;年末日),"✗ 日期不在本会计年度",IF(C476="","✗ 没选账户",IF(COUNTIF(基础资料!$W$5:$W$24,C476)=0,"✗ 账户不在基础资料里",IF(O476="","✗ 没选收支项目",IF(P476="未知","✗ 收支项目不在基础资料里",IF(AND(P476="应收",J476=""),"✗ 这笔要选客户",IF(AND(P476="应收",COUNTIF(总览汇总!$B$5:$B$304,J476)=0),"✗ 客户不在总览汇总名单里",IF(AND(P476="应付",K476=""),"✗ 这笔要选供应商",IF(AND(P476="应付",COUNTIF(基础资料!$Q$5:$Q$54,K476)=0),"✗ 供应商不在基础资料里",IF(AND(P476="费用",L476=""),"✗ 费用支出要选费用项目",IF(AND(L476&lt;&gt;"",COUNTIF(基础资料!$AI$5:$AI$54,L476)=0),"✗ 费用项目不在基础资料里",IF(AND(IFERROR(INDEX(基础资料!$AD$5:$AD$34,MATCH(O476,基础资料!$AC$5:$AC$34,0)),"")="收",N(G476)&lt;&gt;0),"✗ 这类是收款，金额填到收入列",IF(AND(IFERROR(INDEX(基础资料!$AD$5:$AD$34,MATCH(O476,基础资料!$AC$5:$AC$34,0)),"")="支",N(F476)&lt;&gt;0),"✗ 这类是付款，金额填到支出列",IF(N(H476)&lt;0,"⚠ 账户余额成负数了，核对一下","√"))))))))))))))))))</f>
      </c>
      <c r="O476" s="78">
        <f>IF(D476&lt;&gt;"",D476,IF(AND(F476="",G476=""),"",IF(J476&lt;&gt;"",IF(N(F476)&gt;0,"客户回款","客户退款"),IF(K476&lt;&gt;"",IF(N(G476)&gt;0,"供应商付款","供应商退款"),IF(L476&lt;&gt;"","费用支出","")))))</f>
      </c>
      <c r="P476" s="78">
        <f>IF(O476="","",IFERROR(INDEX(基础资料!$AE$5:$AE$34,MATCH(O476,基础资料!$AC$5:$AC$34,0)),"未知"))</f>
      </c>
      <c r="Q476" s="78">
        <f>IF(P476="应收",COUNTIF(P$7:P476,"应收"),"")</f>
      </c>
      <c r="R476" s="78">
        <f>IF(P476="应付",COUNTIF(P$7:P476,"应付"),"")</f>
      </c>
      <c r="S476" s="78">
        <f>N(F476)-N(G476)</f>
        <v>0</v>
      </c>
    </row>
    <row r="477">
      <c r="A477" s="109">
        <f>IF(AND(F477="",G477=""),"",ROW()-6)</f>
      </c>
      <c r="B477" s="140" t="n"/>
      <c r="C477" s="141" t="n"/>
      <c r="D477" s="141" t="n"/>
      <c r="E477" s="142" t="n"/>
      <c r="F477" s="143" t="n"/>
      <c r="G477" s="144" t="n"/>
      <c r="H477" s="145">
        <f>IF(OR(C477="",AND(F477="",G477="")),"",SUMIF(基础资料!$W$5:$W$24,C477,基础资料!$X$5:$X$24)+SUMIF(C$7:C477,C477,F$7:F477)-SUMIF(C$7:C477,C477,G$7:G477))</f>
      </c>
      <c r="I477" s="145">
        <f>IF(AND(F477="",G477=""),"",SUM(基础资料!$X$5:$X$24)+SUM(F$7:F477)-SUM(G$7:G477))</f>
      </c>
      <c r="J477" s="141" t="n"/>
      <c r="K477" s="141" t="n"/>
      <c r="L477" s="141" t="n"/>
      <c r="M477" s="142" t="n"/>
      <c r="N477" s="146">
        <f>IF(AND(AND(F477="",G477=""),B477="",C477="",D477="",J477="",K477="",L477=""),"",IF(AND(F477="",G477=""),"✗ 没填金额",IF(AND(N(F477)&lt;&gt;0,N(G477)&lt;&gt;0),"✗ 收入、支出只能填一边",IF(NOT(ISNUMBER(B477)),"✗ 日期不是真日期（要像 2026/9/25 这样填）",IF(OR(B477&lt;年初日,B477&gt;年末日),"✗ 日期不在本会计年度",IF(C477="","✗ 没选账户",IF(COUNTIF(基础资料!$W$5:$W$24,C477)=0,"✗ 账户不在基础资料里",IF(O477="","✗ 没选收支项目",IF(P477="未知","✗ 收支项目不在基础资料里",IF(AND(P477="应收",J477=""),"✗ 这笔要选客户",IF(AND(P477="应收",COUNTIF(总览汇总!$B$5:$B$304,J477)=0),"✗ 客户不在总览汇总名单里",IF(AND(P477="应付",K477=""),"✗ 这笔要选供应商",IF(AND(P477="应付",COUNTIF(基础资料!$Q$5:$Q$54,K477)=0),"✗ 供应商不在基础资料里",IF(AND(P477="费用",L477=""),"✗ 费用支出要选费用项目",IF(AND(L477&lt;&gt;"",COUNTIF(基础资料!$AI$5:$AI$54,L477)=0),"✗ 费用项目不在基础资料里",IF(AND(IFERROR(INDEX(基础资料!$AD$5:$AD$34,MATCH(O477,基础资料!$AC$5:$AC$34,0)),"")="收",N(G477)&lt;&gt;0),"✗ 这类是收款，金额填到收入列",IF(AND(IFERROR(INDEX(基础资料!$AD$5:$AD$34,MATCH(O477,基础资料!$AC$5:$AC$34,0)),"")="支",N(F477)&lt;&gt;0),"✗ 这类是付款，金额填到支出列",IF(N(H477)&lt;0,"⚠ 账户余额成负数了，核对一下","√"))))))))))))))))))</f>
      </c>
      <c r="O477" s="78">
        <f>IF(D477&lt;&gt;"",D477,IF(AND(F477="",G477=""),"",IF(J477&lt;&gt;"",IF(N(F477)&gt;0,"客户回款","客户退款"),IF(K477&lt;&gt;"",IF(N(G477)&gt;0,"供应商付款","供应商退款"),IF(L477&lt;&gt;"","费用支出","")))))</f>
      </c>
      <c r="P477" s="78">
        <f>IF(O477="","",IFERROR(INDEX(基础资料!$AE$5:$AE$34,MATCH(O477,基础资料!$AC$5:$AC$34,0)),"未知"))</f>
      </c>
      <c r="Q477" s="78">
        <f>IF(P477="应收",COUNTIF(P$7:P477,"应收"),"")</f>
      </c>
      <c r="R477" s="78">
        <f>IF(P477="应付",COUNTIF(P$7:P477,"应付"),"")</f>
      </c>
      <c r="S477" s="78">
        <f>N(F477)-N(G477)</f>
        <v>0</v>
      </c>
    </row>
    <row r="478">
      <c r="A478" s="109">
        <f>IF(AND(F478="",G478=""),"",ROW()-6)</f>
      </c>
      <c r="B478" s="140" t="n"/>
      <c r="C478" s="141" t="n"/>
      <c r="D478" s="141" t="n"/>
      <c r="E478" s="142" t="n"/>
      <c r="F478" s="143" t="n"/>
      <c r="G478" s="144" t="n"/>
      <c r="H478" s="145">
        <f>IF(OR(C478="",AND(F478="",G478="")),"",SUMIF(基础资料!$W$5:$W$24,C478,基础资料!$X$5:$X$24)+SUMIF(C$7:C478,C478,F$7:F478)-SUMIF(C$7:C478,C478,G$7:G478))</f>
      </c>
      <c r="I478" s="145">
        <f>IF(AND(F478="",G478=""),"",SUM(基础资料!$X$5:$X$24)+SUM(F$7:F478)-SUM(G$7:G478))</f>
      </c>
      <c r="J478" s="141" t="n"/>
      <c r="K478" s="141" t="n"/>
      <c r="L478" s="141" t="n"/>
      <c r="M478" s="142" t="n"/>
      <c r="N478" s="146">
        <f>IF(AND(AND(F478="",G478=""),B478="",C478="",D478="",J478="",K478="",L478=""),"",IF(AND(F478="",G478=""),"✗ 没填金额",IF(AND(N(F478)&lt;&gt;0,N(G478)&lt;&gt;0),"✗ 收入、支出只能填一边",IF(NOT(ISNUMBER(B478)),"✗ 日期不是真日期（要像 2026/9/25 这样填）",IF(OR(B478&lt;年初日,B478&gt;年末日),"✗ 日期不在本会计年度",IF(C478="","✗ 没选账户",IF(COUNTIF(基础资料!$W$5:$W$24,C478)=0,"✗ 账户不在基础资料里",IF(O478="","✗ 没选收支项目",IF(P478="未知","✗ 收支项目不在基础资料里",IF(AND(P478="应收",J478=""),"✗ 这笔要选客户",IF(AND(P478="应收",COUNTIF(总览汇总!$B$5:$B$304,J478)=0),"✗ 客户不在总览汇总名单里",IF(AND(P478="应付",K478=""),"✗ 这笔要选供应商",IF(AND(P478="应付",COUNTIF(基础资料!$Q$5:$Q$54,K478)=0),"✗ 供应商不在基础资料里",IF(AND(P478="费用",L478=""),"✗ 费用支出要选费用项目",IF(AND(L478&lt;&gt;"",COUNTIF(基础资料!$AI$5:$AI$54,L478)=0),"✗ 费用项目不在基础资料里",IF(AND(IFERROR(INDEX(基础资料!$AD$5:$AD$34,MATCH(O478,基础资料!$AC$5:$AC$34,0)),"")="收",N(G478)&lt;&gt;0),"✗ 这类是收款，金额填到收入列",IF(AND(IFERROR(INDEX(基础资料!$AD$5:$AD$34,MATCH(O478,基础资料!$AC$5:$AC$34,0)),"")="支",N(F478)&lt;&gt;0),"✗ 这类是付款，金额填到支出列",IF(N(H478)&lt;0,"⚠ 账户余额成负数了，核对一下","√"))))))))))))))))))</f>
      </c>
      <c r="O478" s="78">
        <f>IF(D478&lt;&gt;"",D478,IF(AND(F478="",G478=""),"",IF(J478&lt;&gt;"",IF(N(F478)&gt;0,"客户回款","客户退款"),IF(K478&lt;&gt;"",IF(N(G478)&gt;0,"供应商付款","供应商退款"),IF(L478&lt;&gt;"","费用支出","")))))</f>
      </c>
      <c r="P478" s="78">
        <f>IF(O478="","",IFERROR(INDEX(基础资料!$AE$5:$AE$34,MATCH(O478,基础资料!$AC$5:$AC$34,0)),"未知"))</f>
      </c>
      <c r="Q478" s="78">
        <f>IF(P478="应收",COUNTIF(P$7:P478,"应收"),"")</f>
      </c>
      <c r="R478" s="78">
        <f>IF(P478="应付",COUNTIF(P$7:P478,"应付"),"")</f>
      </c>
      <c r="S478" s="78">
        <f>N(F478)-N(G478)</f>
        <v>0</v>
      </c>
    </row>
    <row r="479">
      <c r="A479" s="109">
        <f>IF(AND(F479="",G479=""),"",ROW()-6)</f>
      </c>
      <c r="B479" s="140" t="n"/>
      <c r="C479" s="141" t="n"/>
      <c r="D479" s="141" t="n"/>
      <c r="E479" s="142" t="n"/>
      <c r="F479" s="143" t="n"/>
      <c r="G479" s="144" t="n"/>
      <c r="H479" s="145">
        <f>IF(OR(C479="",AND(F479="",G479="")),"",SUMIF(基础资料!$W$5:$W$24,C479,基础资料!$X$5:$X$24)+SUMIF(C$7:C479,C479,F$7:F479)-SUMIF(C$7:C479,C479,G$7:G479))</f>
      </c>
      <c r="I479" s="145">
        <f>IF(AND(F479="",G479=""),"",SUM(基础资料!$X$5:$X$24)+SUM(F$7:F479)-SUM(G$7:G479))</f>
      </c>
      <c r="J479" s="141" t="n"/>
      <c r="K479" s="141" t="n"/>
      <c r="L479" s="141" t="n"/>
      <c r="M479" s="142" t="n"/>
      <c r="N479" s="146">
        <f>IF(AND(AND(F479="",G479=""),B479="",C479="",D479="",J479="",K479="",L479=""),"",IF(AND(F479="",G479=""),"✗ 没填金额",IF(AND(N(F479)&lt;&gt;0,N(G479)&lt;&gt;0),"✗ 收入、支出只能填一边",IF(NOT(ISNUMBER(B479)),"✗ 日期不是真日期（要像 2026/9/25 这样填）",IF(OR(B479&lt;年初日,B479&gt;年末日),"✗ 日期不在本会计年度",IF(C479="","✗ 没选账户",IF(COUNTIF(基础资料!$W$5:$W$24,C479)=0,"✗ 账户不在基础资料里",IF(O479="","✗ 没选收支项目",IF(P479="未知","✗ 收支项目不在基础资料里",IF(AND(P479="应收",J479=""),"✗ 这笔要选客户",IF(AND(P479="应收",COUNTIF(总览汇总!$B$5:$B$304,J479)=0),"✗ 客户不在总览汇总名单里",IF(AND(P479="应付",K479=""),"✗ 这笔要选供应商",IF(AND(P479="应付",COUNTIF(基础资料!$Q$5:$Q$54,K479)=0),"✗ 供应商不在基础资料里",IF(AND(P479="费用",L479=""),"✗ 费用支出要选费用项目",IF(AND(L479&lt;&gt;"",COUNTIF(基础资料!$AI$5:$AI$54,L479)=0),"✗ 费用项目不在基础资料里",IF(AND(IFERROR(INDEX(基础资料!$AD$5:$AD$34,MATCH(O479,基础资料!$AC$5:$AC$34,0)),"")="收",N(G479)&lt;&gt;0),"✗ 这类是收款，金额填到收入列",IF(AND(IFERROR(INDEX(基础资料!$AD$5:$AD$34,MATCH(O479,基础资料!$AC$5:$AC$34,0)),"")="支",N(F479)&lt;&gt;0),"✗ 这类是付款，金额填到支出列",IF(N(H479)&lt;0,"⚠ 账户余额成负数了，核对一下","√"))))))))))))))))))</f>
      </c>
      <c r="O479" s="78">
        <f>IF(D479&lt;&gt;"",D479,IF(AND(F479="",G479=""),"",IF(J479&lt;&gt;"",IF(N(F479)&gt;0,"客户回款","客户退款"),IF(K479&lt;&gt;"",IF(N(G479)&gt;0,"供应商付款","供应商退款"),IF(L479&lt;&gt;"","费用支出","")))))</f>
      </c>
      <c r="P479" s="78">
        <f>IF(O479="","",IFERROR(INDEX(基础资料!$AE$5:$AE$34,MATCH(O479,基础资料!$AC$5:$AC$34,0)),"未知"))</f>
      </c>
      <c r="Q479" s="78">
        <f>IF(P479="应收",COUNTIF(P$7:P479,"应收"),"")</f>
      </c>
      <c r="R479" s="78">
        <f>IF(P479="应付",COUNTIF(P$7:P479,"应付"),"")</f>
      </c>
      <c r="S479" s="78">
        <f>N(F479)-N(G479)</f>
        <v>0</v>
      </c>
    </row>
    <row r="480">
      <c r="A480" s="109">
        <f>IF(AND(F480="",G480=""),"",ROW()-6)</f>
      </c>
      <c r="B480" s="140" t="n"/>
      <c r="C480" s="141" t="n"/>
      <c r="D480" s="141" t="n"/>
      <c r="E480" s="142" t="n"/>
      <c r="F480" s="143" t="n"/>
      <c r="G480" s="144" t="n"/>
      <c r="H480" s="145">
        <f>IF(OR(C480="",AND(F480="",G480="")),"",SUMIF(基础资料!$W$5:$W$24,C480,基础资料!$X$5:$X$24)+SUMIF(C$7:C480,C480,F$7:F480)-SUMIF(C$7:C480,C480,G$7:G480))</f>
      </c>
      <c r="I480" s="145">
        <f>IF(AND(F480="",G480=""),"",SUM(基础资料!$X$5:$X$24)+SUM(F$7:F480)-SUM(G$7:G480))</f>
      </c>
      <c r="J480" s="141" t="n"/>
      <c r="K480" s="141" t="n"/>
      <c r="L480" s="141" t="n"/>
      <c r="M480" s="142" t="n"/>
      <c r="N480" s="146">
        <f>IF(AND(AND(F480="",G480=""),B480="",C480="",D480="",J480="",K480="",L480=""),"",IF(AND(F480="",G480=""),"✗ 没填金额",IF(AND(N(F480)&lt;&gt;0,N(G480)&lt;&gt;0),"✗ 收入、支出只能填一边",IF(NOT(ISNUMBER(B480)),"✗ 日期不是真日期（要像 2026/9/25 这样填）",IF(OR(B480&lt;年初日,B480&gt;年末日),"✗ 日期不在本会计年度",IF(C480="","✗ 没选账户",IF(COUNTIF(基础资料!$W$5:$W$24,C480)=0,"✗ 账户不在基础资料里",IF(O480="","✗ 没选收支项目",IF(P480="未知","✗ 收支项目不在基础资料里",IF(AND(P480="应收",J480=""),"✗ 这笔要选客户",IF(AND(P480="应收",COUNTIF(总览汇总!$B$5:$B$304,J480)=0),"✗ 客户不在总览汇总名单里",IF(AND(P480="应付",K480=""),"✗ 这笔要选供应商",IF(AND(P480="应付",COUNTIF(基础资料!$Q$5:$Q$54,K480)=0),"✗ 供应商不在基础资料里",IF(AND(P480="费用",L480=""),"✗ 费用支出要选费用项目",IF(AND(L480&lt;&gt;"",COUNTIF(基础资料!$AI$5:$AI$54,L480)=0),"✗ 费用项目不在基础资料里",IF(AND(IFERROR(INDEX(基础资料!$AD$5:$AD$34,MATCH(O480,基础资料!$AC$5:$AC$34,0)),"")="收",N(G480)&lt;&gt;0),"✗ 这类是收款，金额填到收入列",IF(AND(IFERROR(INDEX(基础资料!$AD$5:$AD$34,MATCH(O480,基础资料!$AC$5:$AC$34,0)),"")="支",N(F480)&lt;&gt;0),"✗ 这类是付款，金额填到支出列",IF(N(H480)&lt;0,"⚠ 账户余额成负数了，核对一下","√"))))))))))))))))))</f>
      </c>
      <c r="O480" s="78">
        <f>IF(D480&lt;&gt;"",D480,IF(AND(F480="",G480=""),"",IF(J480&lt;&gt;"",IF(N(F480)&gt;0,"客户回款","客户退款"),IF(K480&lt;&gt;"",IF(N(G480)&gt;0,"供应商付款","供应商退款"),IF(L480&lt;&gt;"","费用支出","")))))</f>
      </c>
      <c r="P480" s="78">
        <f>IF(O480="","",IFERROR(INDEX(基础资料!$AE$5:$AE$34,MATCH(O480,基础资料!$AC$5:$AC$34,0)),"未知"))</f>
      </c>
      <c r="Q480" s="78">
        <f>IF(P480="应收",COUNTIF(P$7:P480,"应收"),"")</f>
      </c>
      <c r="R480" s="78">
        <f>IF(P480="应付",COUNTIF(P$7:P480,"应付"),"")</f>
      </c>
      <c r="S480" s="78">
        <f>N(F480)-N(G480)</f>
        <v>0</v>
      </c>
    </row>
    <row r="481">
      <c r="A481" s="109">
        <f>IF(AND(F481="",G481=""),"",ROW()-6)</f>
      </c>
      <c r="B481" s="140" t="n"/>
      <c r="C481" s="141" t="n"/>
      <c r="D481" s="141" t="n"/>
      <c r="E481" s="142" t="n"/>
      <c r="F481" s="143" t="n"/>
      <c r="G481" s="144" t="n"/>
      <c r="H481" s="145">
        <f>IF(OR(C481="",AND(F481="",G481="")),"",SUMIF(基础资料!$W$5:$W$24,C481,基础资料!$X$5:$X$24)+SUMIF(C$7:C481,C481,F$7:F481)-SUMIF(C$7:C481,C481,G$7:G481))</f>
      </c>
      <c r="I481" s="145">
        <f>IF(AND(F481="",G481=""),"",SUM(基础资料!$X$5:$X$24)+SUM(F$7:F481)-SUM(G$7:G481))</f>
      </c>
      <c r="J481" s="141" t="n"/>
      <c r="K481" s="141" t="n"/>
      <c r="L481" s="141" t="n"/>
      <c r="M481" s="142" t="n"/>
      <c r="N481" s="146">
        <f>IF(AND(AND(F481="",G481=""),B481="",C481="",D481="",J481="",K481="",L481=""),"",IF(AND(F481="",G481=""),"✗ 没填金额",IF(AND(N(F481)&lt;&gt;0,N(G481)&lt;&gt;0),"✗ 收入、支出只能填一边",IF(NOT(ISNUMBER(B481)),"✗ 日期不是真日期（要像 2026/9/25 这样填）",IF(OR(B481&lt;年初日,B481&gt;年末日),"✗ 日期不在本会计年度",IF(C481="","✗ 没选账户",IF(COUNTIF(基础资料!$W$5:$W$24,C481)=0,"✗ 账户不在基础资料里",IF(O481="","✗ 没选收支项目",IF(P481="未知","✗ 收支项目不在基础资料里",IF(AND(P481="应收",J481=""),"✗ 这笔要选客户",IF(AND(P481="应收",COUNTIF(总览汇总!$B$5:$B$304,J481)=0),"✗ 客户不在总览汇总名单里",IF(AND(P481="应付",K481=""),"✗ 这笔要选供应商",IF(AND(P481="应付",COUNTIF(基础资料!$Q$5:$Q$54,K481)=0),"✗ 供应商不在基础资料里",IF(AND(P481="费用",L481=""),"✗ 费用支出要选费用项目",IF(AND(L481&lt;&gt;"",COUNTIF(基础资料!$AI$5:$AI$54,L481)=0),"✗ 费用项目不在基础资料里",IF(AND(IFERROR(INDEX(基础资料!$AD$5:$AD$34,MATCH(O481,基础资料!$AC$5:$AC$34,0)),"")="收",N(G481)&lt;&gt;0),"✗ 这类是收款，金额填到收入列",IF(AND(IFERROR(INDEX(基础资料!$AD$5:$AD$34,MATCH(O481,基础资料!$AC$5:$AC$34,0)),"")="支",N(F481)&lt;&gt;0),"✗ 这类是付款，金额填到支出列",IF(N(H481)&lt;0,"⚠ 账户余额成负数了，核对一下","√"))))))))))))))))))</f>
      </c>
      <c r="O481" s="78">
        <f>IF(D481&lt;&gt;"",D481,IF(AND(F481="",G481=""),"",IF(J481&lt;&gt;"",IF(N(F481)&gt;0,"客户回款","客户退款"),IF(K481&lt;&gt;"",IF(N(G481)&gt;0,"供应商付款","供应商退款"),IF(L481&lt;&gt;"","费用支出","")))))</f>
      </c>
      <c r="P481" s="78">
        <f>IF(O481="","",IFERROR(INDEX(基础资料!$AE$5:$AE$34,MATCH(O481,基础资料!$AC$5:$AC$34,0)),"未知"))</f>
      </c>
      <c r="Q481" s="78">
        <f>IF(P481="应收",COUNTIF(P$7:P481,"应收"),"")</f>
      </c>
      <c r="R481" s="78">
        <f>IF(P481="应付",COUNTIF(P$7:P481,"应付"),"")</f>
      </c>
      <c r="S481" s="78">
        <f>N(F481)-N(G481)</f>
        <v>0</v>
      </c>
    </row>
    <row r="482">
      <c r="A482" s="109">
        <f>IF(AND(F482="",G482=""),"",ROW()-6)</f>
      </c>
      <c r="B482" s="140" t="n"/>
      <c r="C482" s="141" t="n"/>
      <c r="D482" s="141" t="n"/>
      <c r="E482" s="142" t="n"/>
      <c r="F482" s="143" t="n"/>
      <c r="G482" s="144" t="n"/>
      <c r="H482" s="145">
        <f>IF(OR(C482="",AND(F482="",G482="")),"",SUMIF(基础资料!$W$5:$W$24,C482,基础资料!$X$5:$X$24)+SUMIF(C$7:C482,C482,F$7:F482)-SUMIF(C$7:C482,C482,G$7:G482))</f>
      </c>
      <c r="I482" s="145">
        <f>IF(AND(F482="",G482=""),"",SUM(基础资料!$X$5:$X$24)+SUM(F$7:F482)-SUM(G$7:G482))</f>
      </c>
      <c r="J482" s="141" t="n"/>
      <c r="K482" s="141" t="n"/>
      <c r="L482" s="141" t="n"/>
      <c r="M482" s="142" t="n"/>
      <c r="N482" s="146">
        <f>IF(AND(AND(F482="",G482=""),B482="",C482="",D482="",J482="",K482="",L482=""),"",IF(AND(F482="",G482=""),"✗ 没填金额",IF(AND(N(F482)&lt;&gt;0,N(G482)&lt;&gt;0),"✗ 收入、支出只能填一边",IF(NOT(ISNUMBER(B482)),"✗ 日期不是真日期（要像 2026/9/25 这样填）",IF(OR(B482&lt;年初日,B482&gt;年末日),"✗ 日期不在本会计年度",IF(C482="","✗ 没选账户",IF(COUNTIF(基础资料!$W$5:$W$24,C482)=0,"✗ 账户不在基础资料里",IF(O482="","✗ 没选收支项目",IF(P482="未知","✗ 收支项目不在基础资料里",IF(AND(P482="应收",J482=""),"✗ 这笔要选客户",IF(AND(P482="应收",COUNTIF(总览汇总!$B$5:$B$304,J482)=0),"✗ 客户不在总览汇总名单里",IF(AND(P482="应付",K482=""),"✗ 这笔要选供应商",IF(AND(P482="应付",COUNTIF(基础资料!$Q$5:$Q$54,K482)=0),"✗ 供应商不在基础资料里",IF(AND(P482="费用",L482=""),"✗ 费用支出要选费用项目",IF(AND(L482&lt;&gt;"",COUNTIF(基础资料!$AI$5:$AI$54,L482)=0),"✗ 费用项目不在基础资料里",IF(AND(IFERROR(INDEX(基础资料!$AD$5:$AD$34,MATCH(O482,基础资料!$AC$5:$AC$34,0)),"")="收",N(G482)&lt;&gt;0),"✗ 这类是收款，金额填到收入列",IF(AND(IFERROR(INDEX(基础资料!$AD$5:$AD$34,MATCH(O482,基础资料!$AC$5:$AC$34,0)),"")="支",N(F482)&lt;&gt;0),"✗ 这类是付款，金额填到支出列",IF(N(H482)&lt;0,"⚠ 账户余额成负数了，核对一下","√"))))))))))))))))))</f>
      </c>
      <c r="O482" s="78">
        <f>IF(D482&lt;&gt;"",D482,IF(AND(F482="",G482=""),"",IF(J482&lt;&gt;"",IF(N(F482)&gt;0,"客户回款","客户退款"),IF(K482&lt;&gt;"",IF(N(G482)&gt;0,"供应商付款","供应商退款"),IF(L482&lt;&gt;"","费用支出","")))))</f>
      </c>
      <c r="P482" s="78">
        <f>IF(O482="","",IFERROR(INDEX(基础资料!$AE$5:$AE$34,MATCH(O482,基础资料!$AC$5:$AC$34,0)),"未知"))</f>
      </c>
      <c r="Q482" s="78">
        <f>IF(P482="应收",COUNTIF(P$7:P482,"应收"),"")</f>
      </c>
      <c r="R482" s="78">
        <f>IF(P482="应付",COUNTIF(P$7:P482,"应付"),"")</f>
      </c>
      <c r="S482" s="78">
        <f>N(F482)-N(G482)</f>
        <v>0</v>
      </c>
    </row>
    <row r="483">
      <c r="A483" s="109">
        <f>IF(AND(F483="",G483=""),"",ROW()-6)</f>
      </c>
      <c r="B483" s="140" t="n"/>
      <c r="C483" s="141" t="n"/>
      <c r="D483" s="141" t="n"/>
      <c r="E483" s="142" t="n"/>
      <c r="F483" s="143" t="n"/>
      <c r="G483" s="144" t="n"/>
      <c r="H483" s="145">
        <f>IF(OR(C483="",AND(F483="",G483="")),"",SUMIF(基础资料!$W$5:$W$24,C483,基础资料!$X$5:$X$24)+SUMIF(C$7:C483,C483,F$7:F483)-SUMIF(C$7:C483,C483,G$7:G483))</f>
      </c>
      <c r="I483" s="145">
        <f>IF(AND(F483="",G483=""),"",SUM(基础资料!$X$5:$X$24)+SUM(F$7:F483)-SUM(G$7:G483))</f>
      </c>
      <c r="J483" s="141" t="n"/>
      <c r="K483" s="141" t="n"/>
      <c r="L483" s="141" t="n"/>
      <c r="M483" s="142" t="n"/>
      <c r="N483" s="146">
        <f>IF(AND(AND(F483="",G483=""),B483="",C483="",D483="",J483="",K483="",L483=""),"",IF(AND(F483="",G483=""),"✗ 没填金额",IF(AND(N(F483)&lt;&gt;0,N(G483)&lt;&gt;0),"✗ 收入、支出只能填一边",IF(NOT(ISNUMBER(B483)),"✗ 日期不是真日期（要像 2026/9/25 这样填）",IF(OR(B483&lt;年初日,B483&gt;年末日),"✗ 日期不在本会计年度",IF(C483="","✗ 没选账户",IF(COUNTIF(基础资料!$W$5:$W$24,C483)=0,"✗ 账户不在基础资料里",IF(O483="","✗ 没选收支项目",IF(P483="未知","✗ 收支项目不在基础资料里",IF(AND(P483="应收",J483=""),"✗ 这笔要选客户",IF(AND(P483="应收",COUNTIF(总览汇总!$B$5:$B$304,J483)=0),"✗ 客户不在总览汇总名单里",IF(AND(P483="应付",K483=""),"✗ 这笔要选供应商",IF(AND(P483="应付",COUNTIF(基础资料!$Q$5:$Q$54,K483)=0),"✗ 供应商不在基础资料里",IF(AND(P483="费用",L483=""),"✗ 费用支出要选费用项目",IF(AND(L483&lt;&gt;"",COUNTIF(基础资料!$AI$5:$AI$54,L483)=0),"✗ 费用项目不在基础资料里",IF(AND(IFERROR(INDEX(基础资料!$AD$5:$AD$34,MATCH(O483,基础资料!$AC$5:$AC$34,0)),"")="收",N(G483)&lt;&gt;0),"✗ 这类是收款，金额填到收入列",IF(AND(IFERROR(INDEX(基础资料!$AD$5:$AD$34,MATCH(O483,基础资料!$AC$5:$AC$34,0)),"")="支",N(F483)&lt;&gt;0),"✗ 这类是付款，金额填到支出列",IF(N(H483)&lt;0,"⚠ 账户余额成负数了，核对一下","√"))))))))))))))))))</f>
      </c>
      <c r="O483" s="78">
        <f>IF(D483&lt;&gt;"",D483,IF(AND(F483="",G483=""),"",IF(J483&lt;&gt;"",IF(N(F483)&gt;0,"客户回款","客户退款"),IF(K483&lt;&gt;"",IF(N(G483)&gt;0,"供应商付款","供应商退款"),IF(L483&lt;&gt;"","费用支出","")))))</f>
      </c>
      <c r="P483" s="78">
        <f>IF(O483="","",IFERROR(INDEX(基础资料!$AE$5:$AE$34,MATCH(O483,基础资料!$AC$5:$AC$34,0)),"未知"))</f>
      </c>
      <c r="Q483" s="78">
        <f>IF(P483="应收",COUNTIF(P$7:P483,"应收"),"")</f>
      </c>
      <c r="R483" s="78">
        <f>IF(P483="应付",COUNTIF(P$7:P483,"应付"),"")</f>
      </c>
      <c r="S483" s="78">
        <f>N(F483)-N(G483)</f>
        <v>0</v>
      </c>
    </row>
    <row r="484">
      <c r="A484" s="109">
        <f>IF(AND(F484="",G484=""),"",ROW()-6)</f>
      </c>
      <c r="B484" s="140" t="n"/>
      <c r="C484" s="141" t="n"/>
      <c r="D484" s="141" t="n"/>
      <c r="E484" s="142" t="n"/>
      <c r="F484" s="143" t="n"/>
      <c r="G484" s="144" t="n"/>
      <c r="H484" s="145">
        <f>IF(OR(C484="",AND(F484="",G484="")),"",SUMIF(基础资料!$W$5:$W$24,C484,基础资料!$X$5:$X$24)+SUMIF(C$7:C484,C484,F$7:F484)-SUMIF(C$7:C484,C484,G$7:G484))</f>
      </c>
      <c r="I484" s="145">
        <f>IF(AND(F484="",G484=""),"",SUM(基础资料!$X$5:$X$24)+SUM(F$7:F484)-SUM(G$7:G484))</f>
      </c>
      <c r="J484" s="141" t="n"/>
      <c r="K484" s="141" t="n"/>
      <c r="L484" s="141" t="n"/>
      <c r="M484" s="142" t="n"/>
      <c r="N484" s="146">
        <f>IF(AND(AND(F484="",G484=""),B484="",C484="",D484="",J484="",K484="",L484=""),"",IF(AND(F484="",G484=""),"✗ 没填金额",IF(AND(N(F484)&lt;&gt;0,N(G484)&lt;&gt;0),"✗ 收入、支出只能填一边",IF(NOT(ISNUMBER(B484)),"✗ 日期不是真日期（要像 2026/9/25 这样填）",IF(OR(B484&lt;年初日,B484&gt;年末日),"✗ 日期不在本会计年度",IF(C484="","✗ 没选账户",IF(COUNTIF(基础资料!$W$5:$W$24,C484)=0,"✗ 账户不在基础资料里",IF(O484="","✗ 没选收支项目",IF(P484="未知","✗ 收支项目不在基础资料里",IF(AND(P484="应收",J484=""),"✗ 这笔要选客户",IF(AND(P484="应收",COUNTIF(总览汇总!$B$5:$B$304,J484)=0),"✗ 客户不在总览汇总名单里",IF(AND(P484="应付",K484=""),"✗ 这笔要选供应商",IF(AND(P484="应付",COUNTIF(基础资料!$Q$5:$Q$54,K484)=0),"✗ 供应商不在基础资料里",IF(AND(P484="费用",L484=""),"✗ 费用支出要选费用项目",IF(AND(L484&lt;&gt;"",COUNTIF(基础资料!$AI$5:$AI$54,L484)=0),"✗ 费用项目不在基础资料里",IF(AND(IFERROR(INDEX(基础资料!$AD$5:$AD$34,MATCH(O484,基础资料!$AC$5:$AC$34,0)),"")="收",N(G484)&lt;&gt;0),"✗ 这类是收款，金额填到收入列",IF(AND(IFERROR(INDEX(基础资料!$AD$5:$AD$34,MATCH(O484,基础资料!$AC$5:$AC$34,0)),"")="支",N(F484)&lt;&gt;0),"✗ 这类是付款，金额填到支出列",IF(N(H484)&lt;0,"⚠ 账户余额成负数了，核对一下","√"))))))))))))))))))</f>
      </c>
      <c r="O484" s="78">
        <f>IF(D484&lt;&gt;"",D484,IF(AND(F484="",G484=""),"",IF(J484&lt;&gt;"",IF(N(F484)&gt;0,"客户回款","客户退款"),IF(K484&lt;&gt;"",IF(N(G484)&gt;0,"供应商付款","供应商退款"),IF(L484&lt;&gt;"","费用支出","")))))</f>
      </c>
      <c r="P484" s="78">
        <f>IF(O484="","",IFERROR(INDEX(基础资料!$AE$5:$AE$34,MATCH(O484,基础资料!$AC$5:$AC$34,0)),"未知"))</f>
      </c>
      <c r="Q484" s="78">
        <f>IF(P484="应收",COUNTIF(P$7:P484,"应收"),"")</f>
      </c>
      <c r="R484" s="78">
        <f>IF(P484="应付",COUNTIF(P$7:P484,"应付"),"")</f>
      </c>
      <c r="S484" s="78">
        <f>N(F484)-N(G484)</f>
        <v>0</v>
      </c>
    </row>
    <row r="485">
      <c r="A485" s="109">
        <f>IF(AND(F485="",G485=""),"",ROW()-6)</f>
      </c>
      <c r="B485" s="140" t="n"/>
      <c r="C485" s="141" t="n"/>
      <c r="D485" s="141" t="n"/>
      <c r="E485" s="142" t="n"/>
      <c r="F485" s="143" t="n"/>
      <c r="G485" s="144" t="n"/>
      <c r="H485" s="145">
        <f>IF(OR(C485="",AND(F485="",G485="")),"",SUMIF(基础资料!$W$5:$W$24,C485,基础资料!$X$5:$X$24)+SUMIF(C$7:C485,C485,F$7:F485)-SUMIF(C$7:C485,C485,G$7:G485))</f>
      </c>
      <c r="I485" s="145">
        <f>IF(AND(F485="",G485=""),"",SUM(基础资料!$X$5:$X$24)+SUM(F$7:F485)-SUM(G$7:G485))</f>
      </c>
      <c r="J485" s="141" t="n"/>
      <c r="K485" s="141" t="n"/>
      <c r="L485" s="141" t="n"/>
      <c r="M485" s="142" t="n"/>
      <c r="N485" s="146">
        <f>IF(AND(AND(F485="",G485=""),B485="",C485="",D485="",J485="",K485="",L485=""),"",IF(AND(F485="",G485=""),"✗ 没填金额",IF(AND(N(F485)&lt;&gt;0,N(G485)&lt;&gt;0),"✗ 收入、支出只能填一边",IF(NOT(ISNUMBER(B485)),"✗ 日期不是真日期（要像 2026/9/25 这样填）",IF(OR(B485&lt;年初日,B485&gt;年末日),"✗ 日期不在本会计年度",IF(C485="","✗ 没选账户",IF(COUNTIF(基础资料!$W$5:$W$24,C485)=0,"✗ 账户不在基础资料里",IF(O485="","✗ 没选收支项目",IF(P485="未知","✗ 收支项目不在基础资料里",IF(AND(P485="应收",J485=""),"✗ 这笔要选客户",IF(AND(P485="应收",COUNTIF(总览汇总!$B$5:$B$304,J485)=0),"✗ 客户不在总览汇总名单里",IF(AND(P485="应付",K485=""),"✗ 这笔要选供应商",IF(AND(P485="应付",COUNTIF(基础资料!$Q$5:$Q$54,K485)=0),"✗ 供应商不在基础资料里",IF(AND(P485="费用",L485=""),"✗ 费用支出要选费用项目",IF(AND(L485&lt;&gt;"",COUNTIF(基础资料!$AI$5:$AI$54,L485)=0),"✗ 费用项目不在基础资料里",IF(AND(IFERROR(INDEX(基础资料!$AD$5:$AD$34,MATCH(O485,基础资料!$AC$5:$AC$34,0)),"")="收",N(G485)&lt;&gt;0),"✗ 这类是收款，金额填到收入列",IF(AND(IFERROR(INDEX(基础资料!$AD$5:$AD$34,MATCH(O485,基础资料!$AC$5:$AC$34,0)),"")="支",N(F485)&lt;&gt;0),"✗ 这类是付款，金额填到支出列",IF(N(H485)&lt;0,"⚠ 账户余额成负数了，核对一下","√"))))))))))))))))))</f>
      </c>
      <c r="O485" s="78">
        <f>IF(D485&lt;&gt;"",D485,IF(AND(F485="",G485=""),"",IF(J485&lt;&gt;"",IF(N(F485)&gt;0,"客户回款","客户退款"),IF(K485&lt;&gt;"",IF(N(G485)&gt;0,"供应商付款","供应商退款"),IF(L485&lt;&gt;"","费用支出","")))))</f>
      </c>
      <c r="P485" s="78">
        <f>IF(O485="","",IFERROR(INDEX(基础资料!$AE$5:$AE$34,MATCH(O485,基础资料!$AC$5:$AC$34,0)),"未知"))</f>
      </c>
      <c r="Q485" s="78">
        <f>IF(P485="应收",COUNTIF(P$7:P485,"应收"),"")</f>
      </c>
      <c r="R485" s="78">
        <f>IF(P485="应付",COUNTIF(P$7:P485,"应付"),"")</f>
      </c>
      <c r="S485" s="78">
        <f>N(F485)-N(G485)</f>
        <v>0</v>
      </c>
    </row>
    <row r="486">
      <c r="A486" s="109">
        <f>IF(AND(F486="",G486=""),"",ROW()-6)</f>
      </c>
      <c r="B486" s="140" t="n"/>
      <c r="C486" s="141" t="n"/>
      <c r="D486" s="141" t="n"/>
      <c r="E486" s="142" t="n"/>
      <c r="F486" s="143" t="n"/>
      <c r="G486" s="144" t="n"/>
      <c r="H486" s="145">
        <f>IF(OR(C486="",AND(F486="",G486="")),"",SUMIF(基础资料!$W$5:$W$24,C486,基础资料!$X$5:$X$24)+SUMIF(C$7:C486,C486,F$7:F486)-SUMIF(C$7:C486,C486,G$7:G486))</f>
      </c>
      <c r="I486" s="145">
        <f>IF(AND(F486="",G486=""),"",SUM(基础资料!$X$5:$X$24)+SUM(F$7:F486)-SUM(G$7:G486))</f>
      </c>
      <c r="J486" s="141" t="n"/>
      <c r="K486" s="141" t="n"/>
      <c r="L486" s="141" t="n"/>
      <c r="M486" s="142" t="n"/>
      <c r="N486" s="146">
        <f>IF(AND(AND(F486="",G486=""),B486="",C486="",D486="",J486="",K486="",L486=""),"",IF(AND(F486="",G486=""),"✗ 没填金额",IF(AND(N(F486)&lt;&gt;0,N(G486)&lt;&gt;0),"✗ 收入、支出只能填一边",IF(NOT(ISNUMBER(B486)),"✗ 日期不是真日期（要像 2026/9/25 这样填）",IF(OR(B486&lt;年初日,B486&gt;年末日),"✗ 日期不在本会计年度",IF(C486="","✗ 没选账户",IF(COUNTIF(基础资料!$W$5:$W$24,C486)=0,"✗ 账户不在基础资料里",IF(O486="","✗ 没选收支项目",IF(P486="未知","✗ 收支项目不在基础资料里",IF(AND(P486="应收",J486=""),"✗ 这笔要选客户",IF(AND(P486="应收",COUNTIF(总览汇总!$B$5:$B$304,J486)=0),"✗ 客户不在总览汇总名单里",IF(AND(P486="应付",K486=""),"✗ 这笔要选供应商",IF(AND(P486="应付",COUNTIF(基础资料!$Q$5:$Q$54,K486)=0),"✗ 供应商不在基础资料里",IF(AND(P486="费用",L486=""),"✗ 费用支出要选费用项目",IF(AND(L486&lt;&gt;"",COUNTIF(基础资料!$AI$5:$AI$54,L486)=0),"✗ 费用项目不在基础资料里",IF(AND(IFERROR(INDEX(基础资料!$AD$5:$AD$34,MATCH(O486,基础资料!$AC$5:$AC$34,0)),"")="收",N(G486)&lt;&gt;0),"✗ 这类是收款，金额填到收入列",IF(AND(IFERROR(INDEX(基础资料!$AD$5:$AD$34,MATCH(O486,基础资料!$AC$5:$AC$34,0)),"")="支",N(F486)&lt;&gt;0),"✗ 这类是付款，金额填到支出列",IF(N(H486)&lt;0,"⚠ 账户余额成负数了，核对一下","√"))))))))))))))))))</f>
      </c>
      <c r="O486" s="78">
        <f>IF(D486&lt;&gt;"",D486,IF(AND(F486="",G486=""),"",IF(J486&lt;&gt;"",IF(N(F486)&gt;0,"客户回款","客户退款"),IF(K486&lt;&gt;"",IF(N(G486)&gt;0,"供应商付款","供应商退款"),IF(L486&lt;&gt;"","费用支出","")))))</f>
      </c>
      <c r="P486" s="78">
        <f>IF(O486="","",IFERROR(INDEX(基础资料!$AE$5:$AE$34,MATCH(O486,基础资料!$AC$5:$AC$34,0)),"未知"))</f>
      </c>
      <c r="Q486" s="78">
        <f>IF(P486="应收",COUNTIF(P$7:P486,"应收"),"")</f>
      </c>
      <c r="R486" s="78">
        <f>IF(P486="应付",COUNTIF(P$7:P486,"应付"),"")</f>
      </c>
      <c r="S486" s="78">
        <f>N(F486)-N(G486)</f>
        <v>0</v>
      </c>
    </row>
    <row r="487">
      <c r="A487" s="109">
        <f>IF(AND(F487="",G487=""),"",ROW()-6)</f>
      </c>
      <c r="B487" s="140" t="n"/>
      <c r="C487" s="141" t="n"/>
      <c r="D487" s="141" t="n"/>
      <c r="E487" s="142" t="n"/>
      <c r="F487" s="143" t="n"/>
      <c r="G487" s="144" t="n"/>
      <c r="H487" s="145">
        <f>IF(OR(C487="",AND(F487="",G487="")),"",SUMIF(基础资料!$W$5:$W$24,C487,基础资料!$X$5:$X$24)+SUMIF(C$7:C487,C487,F$7:F487)-SUMIF(C$7:C487,C487,G$7:G487))</f>
      </c>
      <c r="I487" s="145">
        <f>IF(AND(F487="",G487=""),"",SUM(基础资料!$X$5:$X$24)+SUM(F$7:F487)-SUM(G$7:G487))</f>
      </c>
      <c r="J487" s="141" t="n"/>
      <c r="K487" s="141" t="n"/>
      <c r="L487" s="141" t="n"/>
      <c r="M487" s="142" t="n"/>
      <c r="N487" s="146">
        <f>IF(AND(AND(F487="",G487=""),B487="",C487="",D487="",J487="",K487="",L487=""),"",IF(AND(F487="",G487=""),"✗ 没填金额",IF(AND(N(F487)&lt;&gt;0,N(G487)&lt;&gt;0),"✗ 收入、支出只能填一边",IF(NOT(ISNUMBER(B487)),"✗ 日期不是真日期（要像 2026/9/25 这样填）",IF(OR(B487&lt;年初日,B487&gt;年末日),"✗ 日期不在本会计年度",IF(C487="","✗ 没选账户",IF(COUNTIF(基础资料!$W$5:$W$24,C487)=0,"✗ 账户不在基础资料里",IF(O487="","✗ 没选收支项目",IF(P487="未知","✗ 收支项目不在基础资料里",IF(AND(P487="应收",J487=""),"✗ 这笔要选客户",IF(AND(P487="应收",COUNTIF(总览汇总!$B$5:$B$304,J487)=0),"✗ 客户不在总览汇总名单里",IF(AND(P487="应付",K487=""),"✗ 这笔要选供应商",IF(AND(P487="应付",COUNTIF(基础资料!$Q$5:$Q$54,K487)=0),"✗ 供应商不在基础资料里",IF(AND(P487="费用",L487=""),"✗ 费用支出要选费用项目",IF(AND(L487&lt;&gt;"",COUNTIF(基础资料!$AI$5:$AI$54,L487)=0),"✗ 费用项目不在基础资料里",IF(AND(IFERROR(INDEX(基础资料!$AD$5:$AD$34,MATCH(O487,基础资料!$AC$5:$AC$34,0)),"")="收",N(G487)&lt;&gt;0),"✗ 这类是收款，金额填到收入列",IF(AND(IFERROR(INDEX(基础资料!$AD$5:$AD$34,MATCH(O487,基础资料!$AC$5:$AC$34,0)),"")="支",N(F487)&lt;&gt;0),"✗ 这类是付款，金额填到支出列",IF(N(H487)&lt;0,"⚠ 账户余额成负数了，核对一下","√"))))))))))))))))))</f>
      </c>
      <c r="O487" s="78">
        <f>IF(D487&lt;&gt;"",D487,IF(AND(F487="",G487=""),"",IF(J487&lt;&gt;"",IF(N(F487)&gt;0,"客户回款","客户退款"),IF(K487&lt;&gt;"",IF(N(G487)&gt;0,"供应商付款","供应商退款"),IF(L487&lt;&gt;"","费用支出","")))))</f>
      </c>
      <c r="P487" s="78">
        <f>IF(O487="","",IFERROR(INDEX(基础资料!$AE$5:$AE$34,MATCH(O487,基础资料!$AC$5:$AC$34,0)),"未知"))</f>
      </c>
      <c r="Q487" s="78">
        <f>IF(P487="应收",COUNTIF(P$7:P487,"应收"),"")</f>
      </c>
      <c r="R487" s="78">
        <f>IF(P487="应付",COUNTIF(P$7:P487,"应付"),"")</f>
      </c>
      <c r="S487" s="78">
        <f>N(F487)-N(G487)</f>
        <v>0</v>
      </c>
    </row>
    <row r="488">
      <c r="A488" s="109">
        <f>IF(AND(F488="",G488=""),"",ROW()-6)</f>
      </c>
      <c r="B488" s="140" t="n"/>
      <c r="C488" s="141" t="n"/>
      <c r="D488" s="141" t="n"/>
      <c r="E488" s="142" t="n"/>
      <c r="F488" s="143" t="n"/>
      <c r="G488" s="144" t="n"/>
      <c r="H488" s="145">
        <f>IF(OR(C488="",AND(F488="",G488="")),"",SUMIF(基础资料!$W$5:$W$24,C488,基础资料!$X$5:$X$24)+SUMIF(C$7:C488,C488,F$7:F488)-SUMIF(C$7:C488,C488,G$7:G488))</f>
      </c>
      <c r="I488" s="145">
        <f>IF(AND(F488="",G488=""),"",SUM(基础资料!$X$5:$X$24)+SUM(F$7:F488)-SUM(G$7:G488))</f>
      </c>
      <c r="J488" s="141" t="n"/>
      <c r="K488" s="141" t="n"/>
      <c r="L488" s="141" t="n"/>
      <c r="M488" s="142" t="n"/>
      <c r="N488" s="146">
        <f>IF(AND(AND(F488="",G488=""),B488="",C488="",D488="",J488="",K488="",L488=""),"",IF(AND(F488="",G488=""),"✗ 没填金额",IF(AND(N(F488)&lt;&gt;0,N(G488)&lt;&gt;0),"✗ 收入、支出只能填一边",IF(NOT(ISNUMBER(B488)),"✗ 日期不是真日期（要像 2026/9/25 这样填）",IF(OR(B488&lt;年初日,B488&gt;年末日),"✗ 日期不在本会计年度",IF(C488="","✗ 没选账户",IF(COUNTIF(基础资料!$W$5:$W$24,C488)=0,"✗ 账户不在基础资料里",IF(O488="","✗ 没选收支项目",IF(P488="未知","✗ 收支项目不在基础资料里",IF(AND(P488="应收",J488=""),"✗ 这笔要选客户",IF(AND(P488="应收",COUNTIF(总览汇总!$B$5:$B$304,J488)=0),"✗ 客户不在总览汇总名单里",IF(AND(P488="应付",K488=""),"✗ 这笔要选供应商",IF(AND(P488="应付",COUNTIF(基础资料!$Q$5:$Q$54,K488)=0),"✗ 供应商不在基础资料里",IF(AND(P488="费用",L488=""),"✗ 费用支出要选费用项目",IF(AND(L488&lt;&gt;"",COUNTIF(基础资料!$AI$5:$AI$54,L488)=0),"✗ 费用项目不在基础资料里",IF(AND(IFERROR(INDEX(基础资料!$AD$5:$AD$34,MATCH(O488,基础资料!$AC$5:$AC$34,0)),"")="收",N(G488)&lt;&gt;0),"✗ 这类是收款，金额填到收入列",IF(AND(IFERROR(INDEX(基础资料!$AD$5:$AD$34,MATCH(O488,基础资料!$AC$5:$AC$34,0)),"")="支",N(F488)&lt;&gt;0),"✗ 这类是付款，金额填到支出列",IF(N(H488)&lt;0,"⚠ 账户余额成负数了，核对一下","√"))))))))))))))))))</f>
      </c>
      <c r="O488" s="78">
        <f>IF(D488&lt;&gt;"",D488,IF(AND(F488="",G488=""),"",IF(J488&lt;&gt;"",IF(N(F488)&gt;0,"客户回款","客户退款"),IF(K488&lt;&gt;"",IF(N(G488)&gt;0,"供应商付款","供应商退款"),IF(L488&lt;&gt;"","费用支出","")))))</f>
      </c>
      <c r="P488" s="78">
        <f>IF(O488="","",IFERROR(INDEX(基础资料!$AE$5:$AE$34,MATCH(O488,基础资料!$AC$5:$AC$34,0)),"未知"))</f>
      </c>
      <c r="Q488" s="78">
        <f>IF(P488="应收",COUNTIF(P$7:P488,"应收"),"")</f>
      </c>
      <c r="R488" s="78">
        <f>IF(P488="应付",COUNTIF(P$7:P488,"应付"),"")</f>
      </c>
      <c r="S488" s="78">
        <f>N(F488)-N(G488)</f>
        <v>0</v>
      </c>
    </row>
    <row r="489">
      <c r="A489" s="109">
        <f>IF(AND(F489="",G489=""),"",ROW()-6)</f>
      </c>
      <c r="B489" s="140" t="n"/>
      <c r="C489" s="141" t="n"/>
      <c r="D489" s="141" t="n"/>
      <c r="E489" s="142" t="n"/>
      <c r="F489" s="143" t="n"/>
      <c r="G489" s="144" t="n"/>
      <c r="H489" s="145">
        <f>IF(OR(C489="",AND(F489="",G489="")),"",SUMIF(基础资料!$W$5:$W$24,C489,基础资料!$X$5:$X$24)+SUMIF(C$7:C489,C489,F$7:F489)-SUMIF(C$7:C489,C489,G$7:G489))</f>
      </c>
      <c r="I489" s="145">
        <f>IF(AND(F489="",G489=""),"",SUM(基础资料!$X$5:$X$24)+SUM(F$7:F489)-SUM(G$7:G489))</f>
      </c>
      <c r="J489" s="141" t="n"/>
      <c r="K489" s="141" t="n"/>
      <c r="L489" s="141" t="n"/>
      <c r="M489" s="142" t="n"/>
      <c r="N489" s="146">
        <f>IF(AND(AND(F489="",G489=""),B489="",C489="",D489="",J489="",K489="",L489=""),"",IF(AND(F489="",G489=""),"✗ 没填金额",IF(AND(N(F489)&lt;&gt;0,N(G489)&lt;&gt;0),"✗ 收入、支出只能填一边",IF(NOT(ISNUMBER(B489)),"✗ 日期不是真日期（要像 2026/9/25 这样填）",IF(OR(B489&lt;年初日,B489&gt;年末日),"✗ 日期不在本会计年度",IF(C489="","✗ 没选账户",IF(COUNTIF(基础资料!$W$5:$W$24,C489)=0,"✗ 账户不在基础资料里",IF(O489="","✗ 没选收支项目",IF(P489="未知","✗ 收支项目不在基础资料里",IF(AND(P489="应收",J489=""),"✗ 这笔要选客户",IF(AND(P489="应收",COUNTIF(总览汇总!$B$5:$B$304,J489)=0),"✗ 客户不在总览汇总名单里",IF(AND(P489="应付",K489=""),"✗ 这笔要选供应商",IF(AND(P489="应付",COUNTIF(基础资料!$Q$5:$Q$54,K489)=0),"✗ 供应商不在基础资料里",IF(AND(P489="费用",L489=""),"✗ 费用支出要选费用项目",IF(AND(L489&lt;&gt;"",COUNTIF(基础资料!$AI$5:$AI$54,L489)=0),"✗ 费用项目不在基础资料里",IF(AND(IFERROR(INDEX(基础资料!$AD$5:$AD$34,MATCH(O489,基础资料!$AC$5:$AC$34,0)),"")="收",N(G489)&lt;&gt;0),"✗ 这类是收款，金额填到收入列",IF(AND(IFERROR(INDEX(基础资料!$AD$5:$AD$34,MATCH(O489,基础资料!$AC$5:$AC$34,0)),"")="支",N(F489)&lt;&gt;0),"✗ 这类是付款，金额填到支出列",IF(N(H489)&lt;0,"⚠ 账户余额成负数了，核对一下","√"))))))))))))))))))</f>
      </c>
      <c r="O489" s="78">
        <f>IF(D489&lt;&gt;"",D489,IF(AND(F489="",G489=""),"",IF(J489&lt;&gt;"",IF(N(F489)&gt;0,"客户回款","客户退款"),IF(K489&lt;&gt;"",IF(N(G489)&gt;0,"供应商付款","供应商退款"),IF(L489&lt;&gt;"","费用支出","")))))</f>
      </c>
      <c r="P489" s="78">
        <f>IF(O489="","",IFERROR(INDEX(基础资料!$AE$5:$AE$34,MATCH(O489,基础资料!$AC$5:$AC$34,0)),"未知"))</f>
      </c>
      <c r="Q489" s="78">
        <f>IF(P489="应收",COUNTIF(P$7:P489,"应收"),"")</f>
      </c>
      <c r="R489" s="78">
        <f>IF(P489="应付",COUNTIF(P$7:P489,"应付"),"")</f>
      </c>
      <c r="S489" s="78">
        <f>N(F489)-N(G489)</f>
        <v>0</v>
      </c>
    </row>
    <row r="490">
      <c r="A490" s="109">
        <f>IF(AND(F490="",G490=""),"",ROW()-6)</f>
      </c>
      <c r="B490" s="140" t="n"/>
      <c r="C490" s="141" t="n"/>
      <c r="D490" s="141" t="n"/>
      <c r="E490" s="142" t="n"/>
      <c r="F490" s="143" t="n"/>
      <c r="G490" s="144" t="n"/>
      <c r="H490" s="145">
        <f>IF(OR(C490="",AND(F490="",G490="")),"",SUMIF(基础资料!$W$5:$W$24,C490,基础资料!$X$5:$X$24)+SUMIF(C$7:C490,C490,F$7:F490)-SUMIF(C$7:C490,C490,G$7:G490))</f>
      </c>
      <c r="I490" s="145">
        <f>IF(AND(F490="",G490=""),"",SUM(基础资料!$X$5:$X$24)+SUM(F$7:F490)-SUM(G$7:G490))</f>
      </c>
      <c r="J490" s="141" t="n"/>
      <c r="K490" s="141" t="n"/>
      <c r="L490" s="141" t="n"/>
      <c r="M490" s="142" t="n"/>
      <c r="N490" s="146">
        <f>IF(AND(AND(F490="",G490=""),B490="",C490="",D490="",J490="",K490="",L490=""),"",IF(AND(F490="",G490=""),"✗ 没填金额",IF(AND(N(F490)&lt;&gt;0,N(G490)&lt;&gt;0),"✗ 收入、支出只能填一边",IF(NOT(ISNUMBER(B490)),"✗ 日期不是真日期（要像 2026/9/25 这样填）",IF(OR(B490&lt;年初日,B490&gt;年末日),"✗ 日期不在本会计年度",IF(C490="","✗ 没选账户",IF(COUNTIF(基础资料!$W$5:$W$24,C490)=0,"✗ 账户不在基础资料里",IF(O490="","✗ 没选收支项目",IF(P490="未知","✗ 收支项目不在基础资料里",IF(AND(P490="应收",J490=""),"✗ 这笔要选客户",IF(AND(P490="应收",COUNTIF(总览汇总!$B$5:$B$304,J490)=0),"✗ 客户不在总览汇总名单里",IF(AND(P490="应付",K490=""),"✗ 这笔要选供应商",IF(AND(P490="应付",COUNTIF(基础资料!$Q$5:$Q$54,K490)=0),"✗ 供应商不在基础资料里",IF(AND(P490="费用",L490=""),"✗ 费用支出要选费用项目",IF(AND(L490&lt;&gt;"",COUNTIF(基础资料!$AI$5:$AI$54,L490)=0),"✗ 费用项目不在基础资料里",IF(AND(IFERROR(INDEX(基础资料!$AD$5:$AD$34,MATCH(O490,基础资料!$AC$5:$AC$34,0)),"")="收",N(G490)&lt;&gt;0),"✗ 这类是收款，金额填到收入列",IF(AND(IFERROR(INDEX(基础资料!$AD$5:$AD$34,MATCH(O490,基础资料!$AC$5:$AC$34,0)),"")="支",N(F490)&lt;&gt;0),"✗ 这类是付款，金额填到支出列",IF(N(H490)&lt;0,"⚠ 账户余额成负数了，核对一下","√"))))))))))))))))))</f>
      </c>
      <c r="O490" s="78">
        <f>IF(D490&lt;&gt;"",D490,IF(AND(F490="",G490=""),"",IF(J490&lt;&gt;"",IF(N(F490)&gt;0,"客户回款","客户退款"),IF(K490&lt;&gt;"",IF(N(G490)&gt;0,"供应商付款","供应商退款"),IF(L490&lt;&gt;"","费用支出","")))))</f>
      </c>
      <c r="P490" s="78">
        <f>IF(O490="","",IFERROR(INDEX(基础资料!$AE$5:$AE$34,MATCH(O490,基础资料!$AC$5:$AC$34,0)),"未知"))</f>
      </c>
      <c r="Q490" s="78">
        <f>IF(P490="应收",COUNTIF(P$7:P490,"应收"),"")</f>
      </c>
      <c r="R490" s="78">
        <f>IF(P490="应付",COUNTIF(P$7:P490,"应付"),"")</f>
      </c>
      <c r="S490" s="78">
        <f>N(F490)-N(G490)</f>
        <v>0</v>
      </c>
    </row>
    <row r="491">
      <c r="A491" s="109">
        <f>IF(AND(F491="",G491=""),"",ROW()-6)</f>
      </c>
      <c r="B491" s="140" t="n"/>
      <c r="C491" s="141" t="n"/>
      <c r="D491" s="141" t="n"/>
      <c r="E491" s="142" t="n"/>
      <c r="F491" s="143" t="n"/>
      <c r="G491" s="144" t="n"/>
      <c r="H491" s="145">
        <f>IF(OR(C491="",AND(F491="",G491="")),"",SUMIF(基础资料!$W$5:$W$24,C491,基础资料!$X$5:$X$24)+SUMIF(C$7:C491,C491,F$7:F491)-SUMIF(C$7:C491,C491,G$7:G491))</f>
      </c>
      <c r="I491" s="145">
        <f>IF(AND(F491="",G491=""),"",SUM(基础资料!$X$5:$X$24)+SUM(F$7:F491)-SUM(G$7:G491))</f>
      </c>
      <c r="J491" s="141" t="n"/>
      <c r="K491" s="141" t="n"/>
      <c r="L491" s="141" t="n"/>
      <c r="M491" s="142" t="n"/>
      <c r="N491" s="146">
        <f>IF(AND(AND(F491="",G491=""),B491="",C491="",D491="",J491="",K491="",L491=""),"",IF(AND(F491="",G491=""),"✗ 没填金额",IF(AND(N(F491)&lt;&gt;0,N(G491)&lt;&gt;0),"✗ 收入、支出只能填一边",IF(NOT(ISNUMBER(B491)),"✗ 日期不是真日期（要像 2026/9/25 这样填）",IF(OR(B491&lt;年初日,B491&gt;年末日),"✗ 日期不在本会计年度",IF(C491="","✗ 没选账户",IF(COUNTIF(基础资料!$W$5:$W$24,C491)=0,"✗ 账户不在基础资料里",IF(O491="","✗ 没选收支项目",IF(P491="未知","✗ 收支项目不在基础资料里",IF(AND(P491="应收",J491=""),"✗ 这笔要选客户",IF(AND(P491="应收",COUNTIF(总览汇总!$B$5:$B$304,J491)=0),"✗ 客户不在总览汇总名单里",IF(AND(P491="应付",K491=""),"✗ 这笔要选供应商",IF(AND(P491="应付",COUNTIF(基础资料!$Q$5:$Q$54,K491)=0),"✗ 供应商不在基础资料里",IF(AND(P491="费用",L491=""),"✗ 费用支出要选费用项目",IF(AND(L491&lt;&gt;"",COUNTIF(基础资料!$AI$5:$AI$54,L491)=0),"✗ 费用项目不在基础资料里",IF(AND(IFERROR(INDEX(基础资料!$AD$5:$AD$34,MATCH(O491,基础资料!$AC$5:$AC$34,0)),"")="收",N(G491)&lt;&gt;0),"✗ 这类是收款，金额填到收入列",IF(AND(IFERROR(INDEX(基础资料!$AD$5:$AD$34,MATCH(O491,基础资料!$AC$5:$AC$34,0)),"")="支",N(F491)&lt;&gt;0),"✗ 这类是付款，金额填到支出列",IF(N(H491)&lt;0,"⚠ 账户余额成负数了，核对一下","√"))))))))))))))))))</f>
      </c>
      <c r="O491" s="78">
        <f>IF(D491&lt;&gt;"",D491,IF(AND(F491="",G491=""),"",IF(J491&lt;&gt;"",IF(N(F491)&gt;0,"客户回款","客户退款"),IF(K491&lt;&gt;"",IF(N(G491)&gt;0,"供应商付款","供应商退款"),IF(L491&lt;&gt;"","费用支出","")))))</f>
      </c>
      <c r="P491" s="78">
        <f>IF(O491="","",IFERROR(INDEX(基础资料!$AE$5:$AE$34,MATCH(O491,基础资料!$AC$5:$AC$34,0)),"未知"))</f>
      </c>
      <c r="Q491" s="78">
        <f>IF(P491="应收",COUNTIF(P$7:P491,"应收"),"")</f>
      </c>
      <c r="R491" s="78">
        <f>IF(P491="应付",COUNTIF(P$7:P491,"应付"),"")</f>
      </c>
      <c r="S491" s="78">
        <f>N(F491)-N(G491)</f>
        <v>0</v>
      </c>
    </row>
    <row r="492">
      <c r="A492" s="109">
        <f>IF(AND(F492="",G492=""),"",ROW()-6)</f>
      </c>
      <c r="B492" s="140" t="n"/>
      <c r="C492" s="141" t="n"/>
      <c r="D492" s="141" t="n"/>
      <c r="E492" s="142" t="n"/>
      <c r="F492" s="143" t="n"/>
      <c r="G492" s="144" t="n"/>
      <c r="H492" s="145">
        <f>IF(OR(C492="",AND(F492="",G492="")),"",SUMIF(基础资料!$W$5:$W$24,C492,基础资料!$X$5:$X$24)+SUMIF(C$7:C492,C492,F$7:F492)-SUMIF(C$7:C492,C492,G$7:G492))</f>
      </c>
      <c r="I492" s="145">
        <f>IF(AND(F492="",G492=""),"",SUM(基础资料!$X$5:$X$24)+SUM(F$7:F492)-SUM(G$7:G492))</f>
      </c>
      <c r="J492" s="141" t="n"/>
      <c r="K492" s="141" t="n"/>
      <c r="L492" s="141" t="n"/>
      <c r="M492" s="142" t="n"/>
      <c r="N492" s="146">
        <f>IF(AND(AND(F492="",G492=""),B492="",C492="",D492="",J492="",K492="",L492=""),"",IF(AND(F492="",G492=""),"✗ 没填金额",IF(AND(N(F492)&lt;&gt;0,N(G492)&lt;&gt;0),"✗ 收入、支出只能填一边",IF(NOT(ISNUMBER(B492)),"✗ 日期不是真日期（要像 2026/9/25 这样填）",IF(OR(B492&lt;年初日,B492&gt;年末日),"✗ 日期不在本会计年度",IF(C492="","✗ 没选账户",IF(COUNTIF(基础资料!$W$5:$W$24,C492)=0,"✗ 账户不在基础资料里",IF(O492="","✗ 没选收支项目",IF(P492="未知","✗ 收支项目不在基础资料里",IF(AND(P492="应收",J492=""),"✗ 这笔要选客户",IF(AND(P492="应收",COUNTIF(总览汇总!$B$5:$B$304,J492)=0),"✗ 客户不在总览汇总名单里",IF(AND(P492="应付",K492=""),"✗ 这笔要选供应商",IF(AND(P492="应付",COUNTIF(基础资料!$Q$5:$Q$54,K492)=0),"✗ 供应商不在基础资料里",IF(AND(P492="费用",L492=""),"✗ 费用支出要选费用项目",IF(AND(L492&lt;&gt;"",COUNTIF(基础资料!$AI$5:$AI$54,L492)=0),"✗ 费用项目不在基础资料里",IF(AND(IFERROR(INDEX(基础资料!$AD$5:$AD$34,MATCH(O492,基础资料!$AC$5:$AC$34,0)),"")="收",N(G492)&lt;&gt;0),"✗ 这类是收款，金额填到收入列",IF(AND(IFERROR(INDEX(基础资料!$AD$5:$AD$34,MATCH(O492,基础资料!$AC$5:$AC$34,0)),"")="支",N(F492)&lt;&gt;0),"✗ 这类是付款，金额填到支出列",IF(N(H492)&lt;0,"⚠ 账户余额成负数了，核对一下","√"))))))))))))))))))</f>
      </c>
      <c r="O492" s="78">
        <f>IF(D492&lt;&gt;"",D492,IF(AND(F492="",G492=""),"",IF(J492&lt;&gt;"",IF(N(F492)&gt;0,"客户回款","客户退款"),IF(K492&lt;&gt;"",IF(N(G492)&gt;0,"供应商付款","供应商退款"),IF(L492&lt;&gt;"","费用支出","")))))</f>
      </c>
      <c r="P492" s="78">
        <f>IF(O492="","",IFERROR(INDEX(基础资料!$AE$5:$AE$34,MATCH(O492,基础资料!$AC$5:$AC$34,0)),"未知"))</f>
      </c>
      <c r="Q492" s="78">
        <f>IF(P492="应收",COUNTIF(P$7:P492,"应收"),"")</f>
      </c>
      <c r="R492" s="78">
        <f>IF(P492="应付",COUNTIF(P$7:P492,"应付"),"")</f>
      </c>
      <c r="S492" s="78">
        <f>N(F492)-N(G492)</f>
        <v>0</v>
      </c>
    </row>
    <row r="493">
      <c r="A493" s="109">
        <f>IF(AND(F493="",G493=""),"",ROW()-6)</f>
      </c>
      <c r="B493" s="140" t="n"/>
      <c r="C493" s="141" t="n"/>
      <c r="D493" s="141" t="n"/>
      <c r="E493" s="142" t="n"/>
      <c r="F493" s="143" t="n"/>
      <c r="G493" s="144" t="n"/>
      <c r="H493" s="145">
        <f>IF(OR(C493="",AND(F493="",G493="")),"",SUMIF(基础资料!$W$5:$W$24,C493,基础资料!$X$5:$X$24)+SUMIF(C$7:C493,C493,F$7:F493)-SUMIF(C$7:C493,C493,G$7:G493))</f>
      </c>
      <c r="I493" s="145">
        <f>IF(AND(F493="",G493=""),"",SUM(基础资料!$X$5:$X$24)+SUM(F$7:F493)-SUM(G$7:G493))</f>
      </c>
      <c r="J493" s="141" t="n"/>
      <c r="K493" s="141" t="n"/>
      <c r="L493" s="141" t="n"/>
      <c r="M493" s="142" t="n"/>
      <c r="N493" s="146">
        <f>IF(AND(AND(F493="",G493=""),B493="",C493="",D493="",J493="",K493="",L493=""),"",IF(AND(F493="",G493=""),"✗ 没填金额",IF(AND(N(F493)&lt;&gt;0,N(G493)&lt;&gt;0),"✗ 收入、支出只能填一边",IF(NOT(ISNUMBER(B493)),"✗ 日期不是真日期（要像 2026/9/25 这样填）",IF(OR(B493&lt;年初日,B493&gt;年末日),"✗ 日期不在本会计年度",IF(C493="","✗ 没选账户",IF(COUNTIF(基础资料!$W$5:$W$24,C493)=0,"✗ 账户不在基础资料里",IF(O493="","✗ 没选收支项目",IF(P493="未知","✗ 收支项目不在基础资料里",IF(AND(P493="应收",J493=""),"✗ 这笔要选客户",IF(AND(P493="应收",COUNTIF(总览汇总!$B$5:$B$304,J493)=0),"✗ 客户不在总览汇总名单里",IF(AND(P493="应付",K493=""),"✗ 这笔要选供应商",IF(AND(P493="应付",COUNTIF(基础资料!$Q$5:$Q$54,K493)=0),"✗ 供应商不在基础资料里",IF(AND(P493="费用",L493=""),"✗ 费用支出要选费用项目",IF(AND(L493&lt;&gt;"",COUNTIF(基础资料!$AI$5:$AI$54,L493)=0),"✗ 费用项目不在基础资料里",IF(AND(IFERROR(INDEX(基础资料!$AD$5:$AD$34,MATCH(O493,基础资料!$AC$5:$AC$34,0)),"")="收",N(G493)&lt;&gt;0),"✗ 这类是收款，金额填到收入列",IF(AND(IFERROR(INDEX(基础资料!$AD$5:$AD$34,MATCH(O493,基础资料!$AC$5:$AC$34,0)),"")="支",N(F493)&lt;&gt;0),"✗ 这类是付款，金额填到支出列",IF(N(H493)&lt;0,"⚠ 账户余额成负数了，核对一下","√"))))))))))))))))))</f>
      </c>
      <c r="O493" s="78">
        <f>IF(D493&lt;&gt;"",D493,IF(AND(F493="",G493=""),"",IF(J493&lt;&gt;"",IF(N(F493)&gt;0,"客户回款","客户退款"),IF(K493&lt;&gt;"",IF(N(G493)&gt;0,"供应商付款","供应商退款"),IF(L493&lt;&gt;"","费用支出","")))))</f>
      </c>
      <c r="P493" s="78">
        <f>IF(O493="","",IFERROR(INDEX(基础资料!$AE$5:$AE$34,MATCH(O493,基础资料!$AC$5:$AC$34,0)),"未知"))</f>
      </c>
      <c r="Q493" s="78">
        <f>IF(P493="应收",COUNTIF(P$7:P493,"应收"),"")</f>
      </c>
      <c r="R493" s="78">
        <f>IF(P493="应付",COUNTIF(P$7:P493,"应付"),"")</f>
      </c>
      <c r="S493" s="78">
        <f>N(F493)-N(G493)</f>
        <v>0</v>
      </c>
    </row>
    <row r="494">
      <c r="A494" s="109">
        <f>IF(AND(F494="",G494=""),"",ROW()-6)</f>
      </c>
      <c r="B494" s="140" t="n"/>
      <c r="C494" s="141" t="n"/>
      <c r="D494" s="141" t="n"/>
      <c r="E494" s="142" t="n"/>
      <c r="F494" s="143" t="n"/>
      <c r="G494" s="144" t="n"/>
      <c r="H494" s="145">
        <f>IF(OR(C494="",AND(F494="",G494="")),"",SUMIF(基础资料!$W$5:$W$24,C494,基础资料!$X$5:$X$24)+SUMIF(C$7:C494,C494,F$7:F494)-SUMIF(C$7:C494,C494,G$7:G494))</f>
      </c>
      <c r="I494" s="145">
        <f>IF(AND(F494="",G494=""),"",SUM(基础资料!$X$5:$X$24)+SUM(F$7:F494)-SUM(G$7:G494))</f>
      </c>
      <c r="J494" s="141" t="n"/>
      <c r="K494" s="141" t="n"/>
      <c r="L494" s="141" t="n"/>
      <c r="M494" s="142" t="n"/>
      <c r="N494" s="146">
        <f>IF(AND(AND(F494="",G494=""),B494="",C494="",D494="",J494="",K494="",L494=""),"",IF(AND(F494="",G494=""),"✗ 没填金额",IF(AND(N(F494)&lt;&gt;0,N(G494)&lt;&gt;0),"✗ 收入、支出只能填一边",IF(NOT(ISNUMBER(B494)),"✗ 日期不是真日期（要像 2026/9/25 这样填）",IF(OR(B494&lt;年初日,B494&gt;年末日),"✗ 日期不在本会计年度",IF(C494="","✗ 没选账户",IF(COUNTIF(基础资料!$W$5:$W$24,C494)=0,"✗ 账户不在基础资料里",IF(O494="","✗ 没选收支项目",IF(P494="未知","✗ 收支项目不在基础资料里",IF(AND(P494="应收",J494=""),"✗ 这笔要选客户",IF(AND(P494="应收",COUNTIF(总览汇总!$B$5:$B$304,J494)=0),"✗ 客户不在总览汇总名单里",IF(AND(P494="应付",K494=""),"✗ 这笔要选供应商",IF(AND(P494="应付",COUNTIF(基础资料!$Q$5:$Q$54,K494)=0),"✗ 供应商不在基础资料里",IF(AND(P494="费用",L494=""),"✗ 费用支出要选费用项目",IF(AND(L494&lt;&gt;"",COUNTIF(基础资料!$AI$5:$AI$54,L494)=0),"✗ 费用项目不在基础资料里",IF(AND(IFERROR(INDEX(基础资料!$AD$5:$AD$34,MATCH(O494,基础资料!$AC$5:$AC$34,0)),"")="收",N(G494)&lt;&gt;0),"✗ 这类是收款，金额填到收入列",IF(AND(IFERROR(INDEX(基础资料!$AD$5:$AD$34,MATCH(O494,基础资料!$AC$5:$AC$34,0)),"")="支",N(F494)&lt;&gt;0),"✗ 这类是付款，金额填到支出列",IF(N(H494)&lt;0,"⚠ 账户余额成负数了，核对一下","√"))))))))))))))))))</f>
      </c>
      <c r="O494" s="78">
        <f>IF(D494&lt;&gt;"",D494,IF(AND(F494="",G494=""),"",IF(J494&lt;&gt;"",IF(N(F494)&gt;0,"客户回款","客户退款"),IF(K494&lt;&gt;"",IF(N(G494)&gt;0,"供应商付款","供应商退款"),IF(L494&lt;&gt;"","费用支出","")))))</f>
      </c>
      <c r="P494" s="78">
        <f>IF(O494="","",IFERROR(INDEX(基础资料!$AE$5:$AE$34,MATCH(O494,基础资料!$AC$5:$AC$34,0)),"未知"))</f>
      </c>
      <c r="Q494" s="78">
        <f>IF(P494="应收",COUNTIF(P$7:P494,"应收"),"")</f>
      </c>
      <c r="R494" s="78">
        <f>IF(P494="应付",COUNTIF(P$7:P494,"应付"),"")</f>
      </c>
      <c r="S494" s="78">
        <f>N(F494)-N(G494)</f>
        <v>0</v>
      </c>
    </row>
    <row r="495">
      <c r="A495" s="109">
        <f>IF(AND(F495="",G495=""),"",ROW()-6)</f>
      </c>
      <c r="B495" s="140" t="n"/>
      <c r="C495" s="141" t="n"/>
      <c r="D495" s="141" t="n"/>
      <c r="E495" s="142" t="n"/>
      <c r="F495" s="143" t="n"/>
      <c r="G495" s="144" t="n"/>
      <c r="H495" s="145">
        <f>IF(OR(C495="",AND(F495="",G495="")),"",SUMIF(基础资料!$W$5:$W$24,C495,基础资料!$X$5:$X$24)+SUMIF(C$7:C495,C495,F$7:F495)-SUMIF(C$7:C495,C495,G$7:G495))</f>
      </c>
      <c r="I495" s="145">
        <f>IF(AND(F495="",G495=""),"",SUM(基础资料!$X$5:$X$24)+SUM(F$7:F495)-SUM(G$7:G495))</f>
      </c>
      <c r="J495" s="141" t="n"/>
      <c r="K495" s="141" t="n"/>
      <c r="L495" s="141" t="n"/>
      <c r="M495" s="142" t="n"/>
      <c r="N495" s="146">
        <f>IF(AND(AND(F495="",G495=""),B495="",C495="",D495="",J495="",K495="",L495=""),"",IF(AND(F495="",G495=""),"✗ 没填金额",IF(AND(N(F495)&lt;&gt;0,N(G495)&lt;&gt;0),"✗ 收入、支出只能填一边",IF(NOT(ISNUMBER(B495)),"✗ 日期不是真日期（要像 2026/9/25 这样填）",IF(OR(B495&lt;年初日,B495&gt;年末日),"✗ 日期不在本会计年度",IF(C495="","✗ 没选账户",IF(COUNTIF(基础资料!$W$5:$W$24,C495)=0,"✗ 账户不在基础资料里",IF(O495="","✗ 没选收支项目",IF(P495="未知","✗ 收支项目不在基础资料里",IF(AND(P495="应收",J495=""),"✗ 这笔要选客户",IF(AND(P495="应收",COUNTIF(总览汇总!$B$5:$B$304,J495)=0),"✗ 客户不在总览汇总名单里",IF(AND(P495="应付",K495=""),"✗ 这笔要选供应商",IF(AND(P495="应付",COUNTIF(基础资料!$Q$5:$Q$54,K495)=0),"✗ 供应商不在基础资料里",IF(AND(P495="费用",L495=""),"✗ 费用支出要选费用项目",IF(AND(L495&lt;&gt;"",COUNTIF(基础资料!$AI$5:$AI$54,L495)=0),"✗ 费用项目不在基础资料里",IF(AND(IFERROR(INDEX(基础资料!$AD$5:$AD$34,MATCH(O495,基础资料!$AC$5:$AC$34,0)),"")="收",N(G495)&lt;&gt;0),"✗ 这类是收款，金额填到收入列",IF(AND(IFERROR(INDEX(基础资料!$AD$5:$AD$34,MATCH(O495,基础资料!$AC$5:$AC$34,0)),"")="支",N(F495)&lt;&gt;0),"✗ 这类是付款，金额填到支出列",IF(N(H495)&lt;0,"⚠ 账户余额成负数了，核对一下","√"))))))))))))))))))</f>
      </c>
      <c r="O495" s="78">
        <f>IF(D495&lt;&gt;"",D495,IF(AND(F495="",G495=""),"",IF(J495&lt;&gt;"",IF(N(F495)&gt;0,"客户回款","客户退款"),IF(K495&lt;&gt;"",IF(N(G495)&gt;0,"供应商付款","供应商退款"),IF(L495&lt;&gt;"","费用支出","")))))</f>
      </c>
      <c r="P495" s="78">
        <f>IF(O495="","",IFERROR(INDEX(基础资料!$AE$5:$AE$34,MATCH(O495,基础资料!$AC$5:$AC$34,0)),"未知"))</f>
      </c>
      <c r="Q495" s="78">
        <f>IF(P495="应收",COUNTIF(P$7:P495,"应收"),"")</f>
      </c>
      <c r="R495" s="78">
        <f>IF(P495="应付",COUNTIF(P$7:P495,"应付"),"")</f>
      </c>
      <c r="S495" s="78">
        <f>N(F495)-N(G495)</f>
        <v>0</v>
      </c>
    </row>
    <row r="496">
      <c r="A496" s="109">
        <f>IF(AND(F496="",G496=""),"",ROW()-6)</f>
      </c>
      <c r="B496" s="140" t="n"/>
      <c r="C496" s="141" t="n"/>
      <c r="D496" s="141" t="n"/>
      <c r="E496" s="142" t="n"/>
      <c r="F496" s="143" t="n"/>
      <c r="G496" s="144" t="n"/>
      <c r="H496" s="145">
        <f>IF(OR(C496="",AND(F496="",G496="")),"",SUMIF(基础资料!$W$5:$W$24,C496,基础资料!$X$5:$X$24)+SUMIF(C$7:C496,C496,F$7:F496)-SUMIF(C$7:C496,C496,G$7:G496))</f>
      </c>
      <c r="I496" s="145">
        <f>IF(AND(F496="",G496=""),"",SUM(基础资料!$X$5:$X$24)+SUM(F$7:F496)-SUM(G$7:G496))</f>
      </c>
      <c r="J496" s="141" t="n"/>
      <c r="K496" s="141" t="n"/>
      <c r="L496" s="141" t="n"/>
      <c r="M496" s="142" t="n"/>
      <c r="N496" s="146">
        <f>IF(AND(AND(F496="",G496=""),B496="",C496="",D496="",J496="",K496="",L496=""),"",IF(AND(F496="",G496=""),"✗ 没填金额",IF(AND(N(F496)&lt;&gt;0,N(G496)&lt;&gt;0),"✗ 收入、支出只能填一边",IF(NOT(ISNUMBER(B496)),"✗ 日期不是真日期（要像 2026/9/25 这样填）",IF(OR(B496&lt;年初日,B496&gt;年末日),"✗ 日期不在本会计年度",IF(C496="","✗ 没选账户",IF(COUNTIF(基础资料!$W$5:$W$24,C496)=0,"✗ 账户不在基础资料里",IF(O496="","✗ 没选收支项目",IF(P496="未知","✗ 收支项目不在基础资料里",IF(AND(P496="应收",J496=""),"✗ 这笔要选客户",IF(AND(P496="应收",COUNTIF(总览汇总!$B$5:$B$304,J496)=0),"✗ 客户不在总览汇总名单里",IF(AND(P496="应付",K496=""),"✗ 这笔要选供应商",IF(AND(P496="应付",COUNTIF(基础资料!$Q$5:$Q$54,K496)=0),"✗ 供应商不在基础资料里",IF(AND(P496="费用",L496=""),"✗ 费用支出要选费用项目",IF(AND(L496&lt;&gt;"",COUNTIF(基础资料!$AI$5:$AI$54,L496)=0),"✗ 费用项目不在基础资料里",IF(AND(IFERROR(INDEX(基础资料!$AD$5:$AD$34,MATCH(O496,基础资料!$AC$5:$AC$34,0)),"")="收",N(G496)&lt;&gt;0),"✗ 这类是收款，金额填到收入列",IF(AND(IFERROR(INDEX(基础资料!$AD$5:$AD$34,MATCH(O496,基础资料!$AC$5:$AC$34,0)),"")="支",N(F496)&lt;&gt;0),"✗ 这类是付款，金额填到支出列",IF(N(H496)&lt;0,"⚠ 账户余额成负数了，核对一下","√"))))))))))))))))))</f>
      </c>
      <c r="O496" s="78">
        <f>IF(D496&lt;&gt;"",D496,IF(AND(F496="",G496=""),"",IF(J496&lt;&gt;"",IF(N(F496)&gt;0,"客户回款","客户退款"),IF(K496&lt;&gt;"",IF(N(G496)&gt;0,"供应商付款","供应商退款"),IF(L496&lt;&gt;"","费用支出","")))))</f>
      </c>
      <c r="P496" s="78">
        <f>IF(O496="","",IFERROR(INDEX(基础资料!$AE$5:$AE$34,MATCH(O496,基础资料!$AC$5:$AC$34,0)),"未知"))</f>
      </c>
      <c r="Q496" s="78">
        <f>IF(P496="应收",COUNTIF(P$7:P496,"应收"),"")</f>
      </c>
      <c r="R496" s="78">
        <f>IF(P496="应付",COUNTIF(P$7:P496,"应付"),"")</f>
      </c>
      <c r="S496" s="78">
        <f>N(F496)-N(G496)</f>
        <v>0</v>
      </c>
    </row>
    <row r="497">
      <c r="A497" s="109">
        <f>IF(AND(F497="",G497=""),"",ROW()-6)</f>
      </c>
      <c r="B497" s="140" t="n"/>
      <c r="C497" s="141" t="n"/>
      <c r="D497" s="141" t="n"/>
      <c r="E497" s="142" t="n"/>
      <c r="F497" s="143" t="n"/>
      <c r="G497" s="144" t="n"/>
      <c r="H497" s="145">
        <f>IF(OR(C497="",AND(F497="",G497="")),"",SUMIF(基础资料!$W$5:$W$24,C497,基础资料!$X$5:$X$24)+SUMIF(C$7:C497,C497,F$7:F497)-SUMIF(C$7:C497,C497,G$7:G497))</f>
      </c>
      <c r="I497" s="145">
        <f>IF(AND(F497="",G497=""),"",SUM(基础资料!$X$5:$X$24)+SUM(F$7:F497)-SUM(G$7:G497))</f>
      </c>
      <c r="J497" s="141" t="n"/>
      <c r="K497" s="141" t="n"/>
      <c r="L497" s="141" t="n"/>
      <c r="M497" s="142" t="n"/>
      <c r="N497" s="146">
        <f>IF(AND(AND(F497="",G497=""),B497="",C497="",D497="",J497="",K497="",L497=""),"",IF(AND(F497="",G497=""),"✗ 没填金额",IF(AND(N(F497)&lt;&gt;0,N(G497)&lt;&gt;0),"✗ 收入、支出只能填一边",IF(NOT(ISNUMBER(B497)),"✗ 日期不是真日期（要像 2026/9/25 这样填）",IF(OR(B497&lt;年初日,B497&gt;年末日),"✗ 日期不在本会计年度",IF(C497="","✗ 没选账户",IF(COUNTIF(基础资料!$W$5:$W$24,C497)=0,"✗ 账户不在基础资料里",IF(O497="","✗ 没选收支项目",IF(P497="未知","✗ 收支项目不在基础资料里",IF(AND(P497="应收",J497=""),"✗ 这笔要选客户",IF(AND(P497="应收",COUNTIF(总览汇总!$B$5:$B$304,J497)=0),"✗ 客户不在总览汇总名单里",IF(AND(P497="应付",K497=""),"✗ 这笔要选供应商",IF(AND(P497="应付",COUNTIF(基础资料!$Q$5:$Q$54,K497)=0),"✗ 供应商不在基础资料里",IF(AND(P497="费用",L497=""),"✗ 费用支出要选费用项目",IF(AND(L497&lt;&gt;"",COUNTIF(基础资料!$AI$5:$AI$54,L497)=0),"✗ 费用项目不在基础资料里",IF(AND(IFERROR(INDEX(基础资料!$AD$5:$AD$34,MATCH(O497,基础资料!$AC$5:$AC$34,0)),"")="收",N(G497)&lt;&gt;0),"✗ 这类是收款，金额填到收入列",IF(AND(IFERROR(INDEX(基础资料!$AD$5:$AD$34,MATCH(O497,基础资料!$AC$5:$AC$34,0)),"")="支",N(F497)&lt;&gt;0),"✗ 这类是付款，金额填到支出列",IF(N(H497)&lt;0,"⚠ 账户余额成负数了，核对一下","√"))))))))))))))))))</f>
      </c>
      <c r="O497" s="78">
        <f>IF(D497&lt;&gt;"",D497,IF(AND(F497="",G497=""),"",IF(J497&lt;&gt;"",IF(N(F497)&gt;0,"客户回款","客户退款"),IF(K497&lt;&gt;"",IF(N(G497)&gt;0,"供应商付款","供应商退款"),IF(L497&lt;&gt;"","费用支出","")))))</f>
      </c>
      <c r="P497" s="78">
        <f>IF(O497="","",IFERROR(INDEX(基础资料!$AE$5:$AE$34,MATCH(O497,基础资料!$AC$5:$AC$34,0)),"未知"))</f>
      </c>
      <c r="Q497" s="78">
        <f>IF(P497="应收",COUNTIF(P$7:P497,"应收"),"")</f>
      </c>
      <c r="R497" s="78">
        <f>IF(P497="应付",COUNTIF(P$7:P497,"应付"),"")</f>
      </c>
      <c r="S497" s="78">
        <f>N(F497)-N(G497)</f>
        <v>0</v>
      </c>
    </row>
    <row r="498">
      <c r="A498" s="109">
        <f>IF(AND(F498="",G498=""),"",ROW()-6)</f>
      </c>
      <c r="B498" s="140" t="n"/>
      <c r="C498" s="141" t="n"/>
      <c r="D498" s="141" t="n"/>
      <c r="E498" s="142" t="n"/>
      <c r="F498" s="143" t="n"/>
      <c r="G498" s="144" t="n"/>
      <c r="H498" s="145">
        <f>IF(OR(C498="",AND(F498="",G498="")),"",SUMIF(基础资料!$W$5:$W$24,C498,基础资料!$X$5:$X$24)+SUMIF(C$7:C498,C498,F$7:F498)-SUMIF(C$7:C498,C498,G$7:G498))</f>
      </c>
      <c r="I498" s="145">
        <f>IF(AND(F498="",G498=""),"",SUM(基础资料!$X$5:$X$24)+SUM(F$7:F498)-SUM(G$7:G498))</f>
      </c>
      <c r="J498" s="141" t="n"/>
      <c r="K498" s="141" t="n"/>
      <c r="L498" s="141" t="n"/>
      <c r="M498" s="142" t="n"/>
      <c r="N498" s="146">
        <f>IF(AND(AND(F498="",G498=""),B498="",C498="",D498="",J498="",K498="",L498=""),"",IF(AND(F498="",G498=""),"✗ 没填金额",IF(AND(N(F498)&lt;&gt;0,N(G498)&lt;&gt;0),"✗ 收入、支出只能填一边",IF(NOT(ISNUMBER(B498)),"✗ 日期不是真日期（要像 2026/9/25 这样填）",IF(OR(B498&lt;年初日,B498&gt;年末日),"✗ 日期不在本会计年度",IF(C498="","✗ 没选账户",IF(COUNTIF(基础资料!$W$5:$W$24,C498)=0,"✗ 账户不在基础资料里",IF(O498="","✗ 没选收支项目",IF(P498="未知","✗ 收支项目不在基础资料里",IF(AND(P498="应收",J498=""),"✗ 这笔要选客户",IF(AND(P498="应收",COUNTIF(总览汇总!$B$5:$B$304,J498)=0),"✗ 客户不在总览汇总名单里",IF(AND(P498="应付",K498=""),"✗ 这笔要选供应商",IF(AND(P498="应付",COUNTIF(基础资料!$Q$5:$Q$54,K498)=0),"✗ 供应商不在基础资料里",IF(AND(P498="费用",L498=""),"✗ 费用支出要选费用项目",IF(AND(L498&lt;&gt;"",COUNTIF(基础资料!$AI$5:$AI$54,L498)=0),"✗ 费用项目不在基础资料里",IF(AND(IFERROR(INDEX(基础资料!$AD$5:$AD$34,MATCH(O498,基础资料!$AC$5:$AC$34,0)),"")="收",N(G498)&lt;&gt;0),"✗ 这类是收款，金额填到收入列",IF(AND(IFERROR(INDEX(基础资料!$AD$5:$AD$34,MATCH(O498,基础资料!$AC$5:$AC$34,0)),"")="支",N(F498)&lt;&gt;0),"✗ 这类是付款，金额填到支出列",IF(N(H498)&lt;0,"⚠ 账户余额成负数了，核对一下","√"))))))))))))))))))</f>
      </c>
      <c r="O498" s="78">
        <f>IF(D498&lt;&gt;"",D498,IF(AND(F498="",G498=""),"",IF(J498&lt;&gt;"",IF(N(F498)&gt;0,"客户回款","客户退款"),IF(K498&lt;&gt;"",IF(N(G498)&gt;0,"供应商付款","供应商退款"),IF(L498&lt;&gt;"","费用支出","")))))</f>
      </c>
      <c r="P498" s="78">
        <f>IF(O498="","",IFERROR(INDEX(基础资料!$AE$5:$AE$34,MATCH(O498,基础资料!$AC$5:$AC$34,0)),"未知"))</f>
      </c>
      <c r="Q498" s="78">
        <f>IF(P498="应收",COUNTIF(P$7:P498,"应收"),"")</f>
      </c>
      <c r="R498" s="78">
        <f>IF(P498="应付",COUNTIF(P$7:P498,"应付"),"")</f>
      </c>
      <c r="S498" s="78">
        <f>N(F498)-N(G498)</f>
        <v>0</v>
      </c>
    </row>
    <row r="499">
      <c r="A499" s="109">
        <f>IF(AND(F499="",G499=""),"",ROW()-6)</f>
      </c>
      <c r="B499" s="140" t="n"/>
      <c r="C499" s="141" t="n"/>
      <c r="D499" s="141" t="n"/>
      <c r="E499" s="142" t="n"/>
      <c r="F499" s="143" t="n"/>
      <c r="G499" s="144" t="n"/>
      <c r="H499" s="145">
        <f>IF(OR(C499="",AND(F499="",G499="")),"",SUMIF(基础资料!$W$5:$W$24,C499,基础资料!$X$5:$X$24)+SUMIF(C$7:C499,C499,F$7:F499)-SUMIF(C$7:C499,C499,G$7:G499))</f>
      </c>
      <c r="I499" s="145">
        <f>IF(AND(F499="",G499=""),"",SUM(基础资料!$X$5:$X$24)+SUM(F$7:F499)-SUM(G$7:G499))</f>
      </c>
      <c r="J499" s="141" t="n"/>
      <c r="K499" s="141" t="n"/>
      <c r="L499" s="141" t="n"/>
      <c r="M499" s="142" t="n"/>
      <c r="N499" s="146">
        <f>IF(AND(AND(F499="",G499=""),B499="",C499="",D499="",J499="",K499="",L499=""),"",IF(AND(F499="",G499=""),"✗ 没填金额",IF(AND(N(F499)&lt;&gt;0,N(G499)&lt;&gt;0),"✗ 收入、支出只能填一边",IF(NOT(ISNUMBER(B499)),"✗ 日期不是真日期（要像 2026/9/25 这样填）",IF(OR(B499&lt;年初日,B499&gt;年末日),"✗ 日期不在本会计年度",IF(C499="","✗ 没选账户",IF(COUNTIF(基础资料!$W$5:$W$24,C499)=0,"✗ 账户不在基础资料里",IF(O499="","✗ 没选收支项目",IF(P499="未知","✗ 收支项目不在基础资料里",IF(AND(P499="应收",J499=""),"✗ 这笔要选客户",IF(AND(P499="应收",COUNTIF(总览汇总!$B$5:$B$304,J499)=0),"✗ 客户不在总览汇总名单里",IF(AND(P499="应付",K499=""),"✗ 这笔要选供应商",IF(AND(P499="应付",COUNTIF(基础资料!$Q$5:$Q$54,K499)=0),"✗ 供应商不在基础资料里",IF(AND(P499="费用",L499=""),"✗ 费用支出要选费用项目",IF(AND(L499&lt;&gt;"",COUNTIF(基础资料!$AI$5:$AI$54,L499)=0),"✗ 费用项目不在基础资料里",IF(AND(IFERROR(INDEX(基础资料!$AD$5:$AD$34,MATCH(O499,基础资料!$AC$5:$AC$34,0)),"")="收",N(G499)&lt;&gt;0),"✗ 这类是收款，金额填到收入列",IF(AND(IFERROR(INDEX(基础资料!$AD$5:$AD$34,MATCH(O499,基础资料!$AC$5:$AC$34,0)),"")="支",N(F499)&lt;&gt;0),"✗ 这类是付款，金额填到支出列",IF(N(H499)&lt;0,"⚠ 账户余额成负数了，核对一下","√"))))))))))))))))))</f>
      </c>
      <c r="O499" s="78">
        <f>IF(D499&lt;&gt;"",D499,IF(AND(F499="",G499=""),"",IF(J499&lt;&gt;"",IF(N(F499)&gt;0,"客户回款","客户退款"),IF(K499&lt;&gt;"",IF(N(G499)&gt;0,"供应商付款","供应商退款"),IF(L499&lt;&gt;"","费用支出","")))))</f>
      </c>
      <c r="P499" s="78">
        <f>IF(O499="","",IFERROR(INDEX(基础资料!$AE$5:$AE$34,MATCH(O499,基础资料!$AC$5:$AC$34,0)),"未知"))</f>
      </c>
      <c r="Q499" s="78">
        <f>IF(P499="应收",COUNTIF(P$7:P499,"应收"),"")</f>
      </c>
      <c r="R499" s="78">
        <f>IF(P499="应付",COUNTIF(P$7:P499,"应付"),"")</f>
      </c>
      <c r="S499" s="78">
        <f>N(F499)-N(G499)</f>
        <v>0</v>
      </c>
    </row>
    <row r="500">
      <c r="A500" s="109">
        <f>IF(AND(F500="",G500=""),"",ROW()-6)</f>
      </c>
      <c r="B500" s="140" t="n"/>
      <c r="C500" s="141" t="n"/>
      <c r="D500" s="141" t="n"/>
      <c r="E500" s="142" t="n"/>
      <c r="F500" s="143" t="n"/>
      <c r="G500" s="144" t="n"/>
      <c r="H500" s="145">
        <f>IF(OR(C500="",AND(F500="",G500="")),"",SUMIF(基础资料!$W$5:$W$24,C500,基础资料!$X$5:$X$24)+SUMIF(C$7:C500,C500,F$7:F500)-SUMIF(C$7:C500,C500,G$7:G500))</f>
      </c>
      <c r="I500" s="145">
        <f>IF(AND(F500="",G500=""),"",SUM(基础资料!$X$5:$X$24)+SUM(F$7:F500)-SUM(G$7:G500))</f>
      </c>
      <c r="J500" s="141" t="n"/>
      <c r="K500" s="141" t="n"/>
      <c r="L500" s="141" t="n"/>
      <c r="M500" s="142" t="n"/>
      <c r="N500" s="146">
        <f>IF(AND(AND(F500="",G500=""),B500="",C500="",D500="",J500="",K500="",L500=""),"",IF(AND(F500="",G500=""),"✗ 没填金额",IF(AND(N(F500)&lt;&gt;0,N(G500)&lt;&gt;0),"✗ 收入、支出只能填一边",IF(NOT(ISNUMBER(B500)),"✗ 日期不是真日期（要像 2026/9/25 这样填）",IF(OR(B500&lt;年初日,B500&gt;年末日),"✗ 日期不在本会计年度",IF(C500="","✗ 没选账户",IF(COUNTIF(基础资料!$W$5:$W$24,C500)=0,"✗ 账户不在基础资料里",IF(O500="","✗ 没选收支项目",IF(P500="未知","✗ 收支项目不在基础资料里",IF(AND(P500="应收",J500=""),"✗ 这笔要选客户",IF(AND(P500="应收",COUNTIF(总览汇总!$B$5:$B$304,J500)=0),"✗ 客户不在总览汇总名单里",IF(AND(P500="应付",K500=""),"✗ 这笔要选供应商",IF(AND(P500="应付",COUNTIF(基础资料!$Q$5:$Q$54,K500)=0),"✗ 供应商不在基础资料里",IF(AND(P500="费用",L500=""),"✗ 费用支出要选费用项目",IF(AND(L500&lt;&gt;"",COUNTIF(基础资料!$AI$5:$AI$54,L500)=0),"✗ 费用项目不在基础资料里",IF(AND(IFERROR(INDEX(基础资料!$AD$5:$AD$34,MATCH(O500,基础资料!$AC$5:$AC$34,0)),"")="收",N(G500)&lt;&gt;0),"✗ 这类是收款，金额填到收入列",IF(AND(IFERROR(INDEX(基础资料!$AD$5:$AD$34,MATCH(O500,基础资料!$AC$5:$AC$34,0)),"")="支",N(F500)&lt;&gt;0),"✗ 这类是付款，金额填到支出列",IF(N(H500)&lt;0,"⚠ 账户余额成负数了，核对一下","√"))))))))))))))))))</f>
      </c>
      <c r="O500" s="78">
        <f>IF(D500&lt;&gt;"",D500,IF(AND(F500="",G500=""),"",IF(J500&lt;&gt;"",IF(N(F500)&gt;0,"客户回款","客户退款"),IF(K500&lt;&gt;"",IF(N(G500)&gt;0,"供应商付款","供应商退款"),IF(L500&lt;&gt;"","费用支出","")))))</f>
      </c>
      <c r="P500" s="78">
        <f>IF(O500="","",IFERROR(INDEX(基础资料!$AE$5:$AE$34,MATCH(O500,基础资料!$AC$5:$AC$34,0)),"未知"))</f>
      </c>
      <c r="Q500" s="78">
        <f>IF(P500="应收",COUNTIF(P$7:P500,"应收"),"")</f>
      </c>
      <c r="R500" s="78">
        <f>IF(P500="应付",COUNTIF(P$7:P500,"应付"),"")</f>
      </c>
      <c r="S500" s="78">
        <f>N(F500)-N(G500)</f>
        <v>0</v>
      </c>
    </row>
    <row r="501">
      <c r="A501" s="109">
        <f>IF(AND(F501="",G501=""),"",ROW()-6)</f>
      </c>
      <c r="B501" s="140" t="n"/>
      <c r="C501" s="141" t="n"/>
      <c r="D501" s="141" t="n"/>
      <c r="E501" s="142" t="n"/>
      <c r="F501" s="143" t="n"/>
      <c r="G501" s="144" t="n"/>
      <c r="H501" s="145">
        <f>IF(OR(C501="",AND(F501="",G501="")),"",SUMIF(基础资料!$W$5:$W$24,C501,基础资料!$X$5:$X$24)+SUMIF(C$7:C501,C501,F$7:F501)-SUMIF(C$7:C501,C501,G$7:G501))</f>
      </c>
      <c r="I501" s="145">
        <f>IF(AND(F501="",G501=""),"",SUM(基础资料!$X$5:$X$24)+SUM(F$7:F501)-SUM(G$7:G501))</f>
      </c>
      <c r="J501" s="141" t="n"/>
      <c r="K501" s="141" t="n"/>
      <c r="L501" s="141" t="n"/>
      <c r="M501" s="142" t="n"/>
      <c r="N501" s="146">
        <f>IF(AND(AND(F501="",G501=""),B501="",C501="",D501="",J501="",K501="",L501=""),"",IF(AND(F501="",G501=""),"✗ 没填金额",IF(AND(N(F501)&lt;&gt;0,N(G501)&lt;&gt;0),"✗ 收入、支出只能填一边",IF(NOT(ISNUMBER(B501)),"✗ 日期不是真日期（要像 2026/9/25 这样填）",IF(OR(B501&lt;年初日,B501&gt;年末日),"✗ 日期不在本会计年度",IF(C501="","✗ 没选账户",IF(COUNTIF(基础资料!$W$5:$W$24,C501)=0,"✗ 账户不在基础资料里",IF(O501="","✗ 没选收支项目",IF(P501="未知","✗ 收支项目不在基础资料里",IF(AND(P501="应收",J501=""),"✗ 这笔要选客户",IF(AND(P501="应收",COUNTIF(总览汇总!$B$5:$B$304,J501)=0),"✗ 客户不在总览汇总名单里",IF(AND(P501="应付",K501=""),"✗ 这笔要选供应商",IF(AND(P501="应付",COUNTIF(基础资料!$Q$5:$Q$54,K501)=0),"✗ 供应商不在基础资料里",IF(AND(P501="费用",L501=""),"✗ 费用支出要选费用项目",IF(AND(L501&lt;&gt;"",COUNTIF(基础资料!$AI$5:$AI$54,L501)=0),"✗ 费用项目不在基础资料里",IF(AND(IFERROR(INDEX(基础资料!$AD$5:$AD$34,MATCH(O501,基础资料!$AC$5:$AC$34,0)),"")="收",N(G501)&lt;&gt;0),"✗ 这类是收款，金额填到收入列",IF(AND(IFERROR(INDEX(基础资料!$AD$5:$AD$34,MATCH(O501,基础资料!$AC$5:$AC$34,0)),"")="支",N(F501)&lt;&gt;0),"✗ 这类是付款，金额填到支出列",IF(N(H501)&lt;0,"⚠ 账户余额成负数了，核对一下","√"))))))))))))))))))</f>
      </c>
      <c r="O501" s="78">
        <f>IF(D501&lt;&gt;"",D501,IF(AND(F501="",G501=""),"",IF(J501&lt;&gt;"",IF(N(F501)&gt;0,"客户回款","客户退款"),IF(K501&lt;&gt;"",IF(N(G501)&gt;0,"供应商付款","供应商退款"),IF(L501&lt;&gt;"","费用支出","")))))</f>
      </c>
      <c r="P501" s="78">
        <f>IF(O501="","",IFERROR(INDEX(基础资料!$AE$5:$AE$34,MATCH(O501,基础资料!$AC$5:$AC$34,0)),"未知"))</f>
      </c>
      <c r="Q501" s="78">
        <f>IF(P501="应收",COUNTIF(P$7:P501,"应收"),"")</f>
      </c>
      <c r="R501" s="78">
        <f>IF(P501="应付",COUNTIF(P$7:P501,"应付"),"")</f>
      </c>
      <c r="S501" s="78">
        <f>N(F501)-N(G501)</f>
        <v>0</v>
      </c>
    </row>
    <row r="502">
      <c r="A502" s="109">
        <f>IF(AND(F502="",G502=""),"",ROW()-6)</f>
      </c>
      <c r="B502" s="140" t="n"/>
      <c r="C502" s="141" t="n"/>
      <c r="D502" s="141" t="n"/>
      <c r="E502" s="142" t="n"/>
      <c r="F502" s="143" t="n"/>
      <c r="G502" s="144" t="n"/>
      <c r="H502" s="145">
        <f>IF(OR(C502="",AND(F502="",G502="")),"",SUMIF(基础资料!$W$5:$W$24,C502,基础资料!$X$5:$X$24)+SUMIF(C$7:C502,C502,F$7:F502)-SUMIF(C$7:C502,C502,G$7:G502))</f>
      </c>
      <c r="I502" s="145">
        <f>IF(AND(F502="",G502=""),"",SUM(基础资料!$X$5:$X$24)+SUM(F$7:F502)-SUM(G$7:G502))</f>
      </c>
      <c r="J502" s="141" t="n"/>
      <c r="K502" s="141" t="n"/>
      <c r="L502" s="141" t="n"/>
      <c r="M502" s="142" t="n"/>
      <c r="N502" s="146">
        <f>IF(AND(AND(F502="",G502=""),B502="",C502="",D502="",J502="",K502="",L502=""),"",IF(AND(F502="",G502=""),"✗ 没填金额",IF(AND(N(F502)&lt;&gt;0,N(G502)&lt;&gt;0),"✗ 收入、支出只能填一边",IF(NOT(ISNUMBER(B502)),"✗ 日期不是真日期（要像 2026/9/25 这样填）",IF(OR(B502&lt;年初日,B502&gt;年末日),"✗ 日期不在本会计年度",IF(C502="","✗ 没选账户",IF(COUNTIF(基础资料!$W$5:$W$24,C502)=0,"✗ 账户不在基础资料里",IF(O502="","✗ 没选收支项目",IF(P502="未知","✗ 收支项目不在基础资料里",IF(AND(P502="应收",J502=""),"✗ 这笔要选客户",IF(AND(P502="应收",COUNTIF(总览汇总!$B$5:$B$304,J502)=0),"✗ 客户不在总览汇总名单里",IF(AND(P502="应付",K502=""),"✗ 这笔要选供应商",IF(AND(P502="应付",COUNTIF(基础资料!$Q$5:$Q$54,K502)=0),"✗ 供应商不在基础资料里",IF(AND(P502="费用",L502=""),"✗ 费用支出要选费用项目",IF(AND(L502&lt;&gt;"",COUNTIF(基础资料!$AI$5:$AI$54,L502)=0),"✗ 费用项目不在基础资料里",IF(AND(IFERROR(INDEX(基础资料!$AD$5:$AD$34,MATCH(O502,基础资料!$AC$5:$AC$34,0)),"")="收",N(G502)&lt;&gt;0),"✗ 这类是收款，金额填到收入列",IF(AND(IFERROR(INDEX(基础资料!$AD$5:$AD$34,MATCH(O502,基础资料!$AC$5:$AC$34,0)),"")="支",N(F502)&lt;&gt;0),"✗ 这类是付款，金额填到支出列",IF(N(H502)&lt;0,"⚠ 账户余额成负数了，核对一下","√"))))))))))))))))))</f>
      </c>
      <c r="O502" s="78">
        <f>IF(D502&lt;&gt;"",D502,IF(AND(F502="",G502=""),"",IF(J502&lt;&gt;"",IF(N(F502)&gt;0,"客户回款","客户退款"),IF(K502&lt;&gt;"",IF(N(G502)&gt;0,"供应商付款","供应商退款"),IF(L502&lt;&gt;"","费用支出","")))))</f>
      </c>
      <c r="P502" s="78">
        <f>IF(O502="","",IFERROR(INDEX(基础资料!$AE$5:$AE$34,MATCH(O502,基础资料!$AC$5:$AC$34,0)),"未知"))</f>
      </c>
      <c r="Q502" s="78">
        <f>IF(P502="应收",COUNTIF(P$7:P502,"应收"),"")</f>
      </c>
      <c r="R502" s="78">
        <f>IF(P502="应付",COUNTIF(P$7:P502,"应付"),"")</f>
      </c>
      <c r="S502" s="78">
        <f>N(F502)-N(G502)</f>
        <v>0</v>
      </c>
    </row>
    <row r="503">
      <c r="A503" s="109">
        <f>IF(AND(F503="",G503=""),"",ROW()-6)</f>
      </c>
      <c r="B503" s="140" t="n"/>
      <c r="C503" s="141" t="n"/>
      <c r="D503" s="141" t="n"/>
      <c r="E503" s="142" t="n"/>
      <c r="F503" s="143" t="n"/>
      <c r="G503" s="144" t="n"/>
      <c r="H503" s="145">
        <f>IF(OR(C503="",AND(F503="",G503="")),"",SUMIF(基础资料!$W$5:$W$24,C503,基础资料!$X$5:$X$24)+SUMIF(C$7:C503,C503,F$7:F503)-SUMIF(C$7:C503,C503,G$7:G503))</f>
      </c>
      <c r="I503" s="145">
        <f>IF(AND(F503="",G503=""),"",SUM(基础资料!$X$5:$X$24)+SUM(F$7:F503)-SUM(G$7:G503))</f>
      </c>
      <c r="J503" s="141" t="n"/>
      <c r="K503" s="141" t="n"/>
      <c r="L503" s="141" t="n"/>
      <c r="M503" s="142" t="n"/>
      <c r="N503" s="146">
        <f>IF(AND(AND(F503="",G503=""),B503="",C503="",D503="",J503="",K503="",L503=""),"",IF(AND(F503="",G503=""),"✗ 没填金额",IF(AND(N(F503)&lt;&gt;0,N(G503)&lt;&gt;0),"✗ 收入、支出只能填一边",IF(NOT(ISNUMBER(B503)),"✗ 日期不是真日期（要像 2026/9/25 这样填）",IF(OR(B503&lt;年初日,B503&gt;年末日),"✗ 日期不在本会计年度",IF(C503="","✗ 没选账户",IF(COUNTIF(基础资料!$W$5:$W$24,C503)=0,"✗ 账户不在基础资料里",IF(O503="","✗ 没选收支项目",IF(P503="未知","✗ 收支项目不在基础资料里",IF(AND(P503="应收",J503=""),"✗ 这笔要选客户",IF(AND(P503="应收",COUNTIF(总览汇总!$B$5:$B$304,J503)=0),"✗ 客户不在总览汇总名单里",IF(AND(P503="应付",K503=""),"✗ 这笔要选供应商",IF(AND(P503="应付",COUNTIF(基础资料!$Q$5:$Q$54,K503)=0),"✗ 供应商不在基础资料里",IF(AND(P503="费用",L503=""),"✗ 费用支出要选费用项目",IF(AND(L503&lt;&gt;"",COUNTIF(基础资料!$AI$5:$AI$54,L503)=0),"✗ 费用项目不在基础资料里",IF(AND(IFERROR(INDEX(基础资料!$AD$5:$AD$34,MATCH(O503,基础资料!$AC$5:$AC$34,0)),"")="收",N(G503)&lt;&gt;0),"✗ 这类是收款，金额填到收入列",IF(AND(IFERROR(INDEX(基础资料!$AD$5:$AD$34,MATCH(O503,基础资料!$AC$5:$AC$34,0)),"")="支",N(F503)&lt;&gt;0),"✗ 这类是付款，金额填到支出列",IF(N(H503)&lt;0,"⚠ 账户余额成负数了，核对一下","√"))))))))))))))))))</f>
      </c>
      <c r="O503" s="78">
        <f>IF(D503&lt;&gt;"",D503,IF(AND(F503="",G503=""),"",IF(J503&lt;&gt;"",IF(N(F503)&gt;0,"客户回款","客户退款"),IF(K503&lt;&gt;"",IF(N(G503)&gt;0,"供应商付款","供应商退款"),IF(L503&lt;&gt;"","费用支出","")))))</f>
      </c>
      <c r="P503" s="78">
        <f>IF(O503="","",IFERROR(INDEX(基础资料!$AE$5:$AE$34,MATCH(O503,基础资料!$AC$5:$AC$34,0)),"未知"))</f>
      </c>
      <c r="Q503" s="78">
        <f>IF(P503="应收",COUNTIF(P$7:P503,"应收"),"")</f>
      </c>
      <c r="R503" s="78">
        <f>IF(P503="应付",COUNTIF(P$7:P503,"应付"),"")</f>
      </c>
      <c r="S503" s="78">
        <f>N(F503)-N(G503)</f>
        <v>0</v>
      </c>
    </row>
    <row r="504">
      <c r="A504" s="109">
        <f>IF(AND(F504="",G504=""),"",ROW()-6)</f>
      </c>
      <c r="B504" s="140" t="n"/>
      <c r="C504" s="141" t="n"/>
      <c r="D504" s="141" t="n"/>
      <c r="E504" s="142" t="n"/>
      <c r="F504" s="143" t="n"/>
      <c r="G504" s="144" t="n"/>
      <c r="H504" s="145">
        <f>IF(OR(C504="",AND(F504="",G504="")),"",SUMIF(基础资料!$W$5:$W$24,C504,基础资料!$X$5:$X$24)+SUMIF(C$7:C504,C504,F$7:F504)-SUMIF(C$7:C504,C504,G$7:G504))</f>
      </c>
      <c r="I504" s="145">
        <f>IF(AND(F504="",G504=""),"",SUM(基础资料!$X$5:$X$24)+SUM(F$7:F504)-SUM(G$7:G504))</f>
      </c>
      <c r="J504" s="141" t="n"/>
      <c r="K504" s="141" t="n"/>
      <c r="L504" s="141" t="n"/>
      <c r="M504" s="142" t="n"/>
      <c r="N504" s="146">
        <f>IF(AND(AND(F504="",G504=""),B504="",C504="",D504="",J504="",K504="",L504=""),"",IF(AND(F504="",G504=""),"✗ 没填金额",IF(AND(N(F504)&lt;&gt;0,N(G504)&lt;&gt;0),"✗ 收入、支出只能填一边",IF(NOT(ISNUMBER(B504)),"✗ 日期不是真日期（要像 2026/9/25 这样填）",IF(OR(B504&lt;年初日,B504&gt;年末日),"✗ 日期不在本会计年度",IF(C504="","✗ 没选账户",IF(COUNTIF(基础资料!$W$5:$W$24,C504)=0,"✗ 账户不在基础资料里",IF(O504="","✗ 没选收支项目",IF(P504="未知","✗ 收支项目不在基础资料里",IF(AND(P504="应收",J504=""),"✗ 这笔要选客户",IF(AND(P504="应收",COUNTIF(总览汇总!$B$5:$B$304,J504)=0),"✗ 客户不在总览汇总名单里",IF(AND(P504="应付",K504=""),"✗ 这笔要选供应商",IF(AND(P504="应付",COUNTIF(基础资料!$Q$5:$Q$54,K504)=0),"✗ 供应商不在基础资料里",IF(AND(P504="费用",L504=""),"✗ 费用支出要选费用项目",IF(AND(L504&lt;&gt;"",COUNTIF(基础资料!$AI$5:$AI$54,L504)=0),"✗ 费用项目不在基础资料里",IF(AND(IFERROR(INDEX(基础资料!$AD$5:$AD$34,MATCH(O504,基础资料!$AC$5:$AC$34,0)),"")="收",N(G504)&lt;&gt;0),"✗ 这类是收款，金额填到收入列",IF(AND(IFERROR(INDEX(基础资料!$AD$5:$AD$34,MATCH(O504,基础资料!$AC$5:$AC$34,0)),"")="支",N(F504)&lt;&gt;0),"✗ 这类是付款，金额填到支出列",IF(N(H504)&lt;0,"⚠ 账户余额成负数了，核对一下","√"))))))))))))))))))</f>
      </c>
      <c r="O504" s="78">
        <f>IF(D504&lt;&gt;"",D504,IF(AND(F504="",G504=""),"",IF(J504&lt;&gt;"",IF(N(F504)&gt;0,"客户回款","客户退款"),IF(K504&lt;&gt;"",IF(N(G504)&gt;0,"供应商付款","供应商退款"),IF(L504&lt;&gt;"","费用支出","")))))</f>
      </c>
      <c r="P504" s="78">
        <f>IF(O504="","",IFERROR(INDEX(基础资料!$AE$5:$AE$34,MATCH(O504,基础资料!$AC$5:$AC$34,0)),"未知"))</f>
      </c>
      <c r="Q504" s="78">
        <f>IF(P504="应收",COUNTIF(P$7:P504,"应收"),"")</f>
      </c>
      <c r="R504" s="78">
        <f>IF(P504="应付",COUNTIF(P$7:P504,"应付"),"")</f>
      </c>
      <c r="S504" s="78">
        <f>N(F504)-N(G504)</f>
        <v>0</v>
      </c>
    </row>
    <row r="505">
      <c r="A505" s="109">
        <f>IF(AND(F505="",G505=""),"",ROW()-6)</f>
      </c>
      <c r="B505" s="140" t="n"/>
      <c r="C505" s="141" t="n"/>
      <c r="D505" s="141" t="n"/>
      <c r="E505" s="142" t="n"/>
      <c r="F505" s="143" t="n"/>
      <c r="G505" s="144" t="n"/>
      <c r="H505" s="145">
        <f>IF(OR(C505="",AND(F505="",G505="")),"",SUMIF(基础资料!$W$5:$W$24,C505,基础资料!$X$5:$X$24)+SUMIF(C$7:C505,C505,F$7:F505)-SUMIF(C$7:C505,C505,G$7:G505))</f>
      </c>
      <c r="I505" s="145">
        <f>IF(AND(F505="",G505=""),"",SUM(基础资料!$X$5:$X$24)+SUM(F$7:F505)-SUM(G$7:G505))</f>
      </c>
      <c r="J505" s="141" t="n"/>
      <c r="K505" s="141" t="n"/>
      <c r="L505" s="141" t="n"/>
      <c r="M505" s="142" t="n"/>
      <c r="N505" s="146">
        <f>IF(AND(AND(F505="",G505=""),B505="",C505="",D505="",J505="",K505="",L505=""),"",IF(AND(F505="",G505=""),"✗ 没填金额",IF(AND(N(F505)&lt;&gt;0,N(G505)&lt;&gt;0),"✗ 收入、支出只能填一边",IF(NOT(ISNUMBER(B505)),"✗ 日期不是真日期（要像 2026/9/25 这样填）",IF(OR(B505&lt;年初日,B505&gt;年末日),"✗ 日期不在本会计年度",IF(C505="","✗ 没选账户",IF(COUNTIF(基础资料!$W$5:$W$24,C505)=0,"✗ 账户不在基础资料里",IF(O505="","✗ 没选收支项目",IF(P505="未知","✗ 收支项目不在基础资料里",IF(AND(P505="应收",J505=""),"✗ 这笔要选客户",IF(AND(P505="应收",COUNTIF(总览汇总!$B$5:$B$304,J505)=0),"✗ 客户不在总览汇总名单里",IF(AND(P505="应付",K505=""),"✗ 这笔要选供应商",IF(AND(P505="应付",COUNTIF(基础资料!$Q$5:$Q$54,K505)=0),"✗ 供应商不在基础资料里",IF(AND(P505="费用",L505=""),"✗ 费用支出要选费用项目",IF(AND(L505&lt;&gt;"",COUNTIF(基础资料!$AI$5:$AI$54,L505)=0),"✗ 费用项目不在基础资料里",IF(AND(IFERROR(INDEX(基础资料!$AD$5:$AD$34,MATCH(O505,基础资料!$AC$5:$AC$34,0)),"")="收",N(G505)&lt;&gt;0),"✗ 这类是收款，金额填到收入列",IF(AND(IFERROR(INDEX(基础资料!$AD$5:$AD$34,MATCH(O505,基础资料!$AC$5:$AC$34,0)),"")="支",N(F505)&lt;&gt;0),"✗ 这类是付款，金额填到支出列",IF(N(H505)&lt;0,"⚠ 账户余额成负数了，核对一下","√"))))))))))))))))))</f>
      </c>
      <c r="O505" s="78">
        <f>IF(D505&lt;&gt;"",D505,IF(AND(F505="",G505=""),"",IF(J505&lt;&gt;"",IF(N(F505)&gt;0,"客户回款","客户退款"),IF(K505&lt;&gt;"",IF(N(G505)&gt;0,"供应商付款","供应商退款"),IF(L505&lt;&gt;"","费用支出","")))))</f>
      </c>
      <c r="P505" s="78">
        <f>IF(O505="","",IFERROR(INDEX(基础资料!$AE$5:$AE$34,MATCH(O505,基础资料!$AC$5:$AC$34,0)),"未知"))</f>
      </c>
      <c r="Q505" s="78">
        <f>IF(P505="应收",COUNTIF(P$7:P505,"应收"),"")</f>
      </c>
      <c r="R505" s="78">
        <f>IF(P505="应付",COUNTIF(P$7:P505,"应付"),"")</f>
      </c>
      <c r="S505" s="78">
        <f>N(F505)-N(G505)</f>
        <v>0</v>
      </c>
    </row>
    <row r="506">
      <c r="A506" s="109">
        <f>IF(AND(F506="",G506=""),"",ROW()-6)</f>
      </c>
      <c r="B506" s="140" t="n"/>
      <c r="C506" s="141" t="n"/>
      <c r="D506" s="141" t="n"/>
      <c r="E506" s="142" t="n"/>
      <c r="F506" s="143" t="n"/>
      <c r="G506" s="144" t="n"/>
      <c r="H506" s="145">
        <f>IF(OR(C506="",AND(F506="",G506="")),"",SUMIF(基础资料!$W$5:$W$24,C506,基础资料!$X$5:$X$24)+SUMIF(C$7:C506,C506,F$7:F506)-SUMIF(C$7:C506,C506,G$7:G506))</f>
      </c>
      <c r="I506" s="145">
        <f>IF(AND(F506="",G506=""),"",SUM(基础资料!$X$5:$X$24)+SUM(F$7:F506)-SUM(G$7:G506))</f>
      </c>
      <c r="J506" s="141" t="n"/>
      <c r="K506" s="141" t="n"/>
      <c r="L506" s="141" t="n"/>
      <c r="M506" s="142" t="n"/>
      <c r="N506" s="146">
        <f>IF(AND(AND(F506="",G506=""),B506="",C506="",D506="",J506="",K506="",L506=""),"",IF(AND(F506="",G506=""),"✗ 没填金额",IF(AND(N(F506)&lt;&gt;0,N(G506)&lt;&gt;0),"✗ 收入、支出只能填一边",IF(NOT(ISNUMBER(B506)),"✗ 日期不是真日期（要像 2026/9/25 这样填）",IF(OR(B506&lt;年初日,B506&gt;年末日),"✗ 日期不在本会计年度",IF(C506="","✗ 没选账户",IF(COUNTIF(基础资料!$W$5:$W$24,C506)=0,"✗ 账户不在基础资料里",IF(O506="","✗ 没选收支项目",IF(P506="未知","✗ 收支项目不在基础资料里",IF(AND(P506="应收",J506=""),"✗ 这笔要选客户",IF(AND(P506="应收",COUNTIF(总览汇总!$B$5:$B$304,J506)=0),"✗ 客户不在总览汇总名单里",IF(AND(P506="应付",K506=""),"✗ 这笔要选供应商",IF(AND(P506="应付",COUNTIF(基础资料!$Q$5:$Q$54,K506)=0),"✗ 供应商不在基础资料里",IF(AND(P506="费用",L506=""),"✗ 费用支出要选费用项目",IF(AND(L506&lt;&gt;"",COUNTIF(基础资料!$AI$5:$AI$54,L506)=0),"✗ 费用项目不在基础资料里",IF(AND(IFERROR(INDEX(基础资料!$AD$5:$AD$34,MATCH(O506,基础资料!$AC$5:$AC$34,0)),"")="收",N(G506)&lt;&gt;0),"✗ 这类是收款，金额填到收入列",IF(AND(IFERROR(INDEX(基础资料!$AD$5:$AD$34,MATCH(O506,基础资料!$AC$5:$AC$34,0)),"")="支",N(F506)&lt;&gt;0),"✗ 这类是付款，金额填到支出列",IF(N(H506)&lt;0,"⚠ 账户余额成负数了，核对一下","√"))))))))))))))))))</f>
      </c>
      <c r="O506" s="78">
        <f>IF(D506&lt;&gt;"",D506,IF(AND(F506="",G506=""),"",IF(J506&lt;&gt;"",IF(N(F506)&gt;0,"客户回款","客户退款"),IF(K506&lt;&gt;"",IF(N(G506)&gt;0,"供应商付款","供应商退款"),IF(L506&lt;&gt;"","费用支出","")))))</f>
      </c>
      <c r="P506" s="78">
        <f>IF(O506="","",IFERROR(INDEX(基础资料!$AE$5:$AE$34,MATCH(O506,基础资料!$AC$5:$AC$34,0)),"未知"))</f>
      </c>
      <c r="Q506" s="78">
        <f>IF(P506="应收",COUNTIF(P$7:P506,"应收"),"")</f>
      </c>
      <c r="R506" s="78">
        <f>IF(P506="应付",COUNTIF(P$7:P506,"应付"),"")</f>
      </c>
      <c r="S506" s="78">
        <f>N(F506)-N(G506)</f>
        <v>0</v>
      </c>
    </row>
    <row r="507">
      <c r="A507" s="109">
        <f>IF(AND(F507="",G507=""),"",ROW()-6)</f>
      </c>
      <c r="B507" s="140" t="n"/>
      <c r="C507" s="141" t="n"/>
      <c r="D507" s="141" t="n"/>
      <c r="E507" s="142" t="n"/>
      <c r="F507" s="143" t="n"/>
      <c r="G507" s="144" t="n"/>
      <c r="H507" s="145">
        <f>IF(OR(C507="",AND(F507="",G507="")),"",SUMIF(基础资料!$W$5:$W$24,C507,基础资料!$X$5:$X$24)+SUMIF(C$7:C507,C507,F$7:F507)-SUMIF(C$7:C507,C507,G$7:G507))</f>
      </c>
      <c r="I507" s="145">
        <f>IF(AND(F507="",G507=""),"",SUM(基础资料!$X$5:$X$24)+SUM(F$7:F507)-SUM(G$7:G507))</f>
      </c>
      <c r="J507" s="141" t="n"/>
      <c r="K507" s="141" t="n"/>
      <c r="L507" s="141" t="n"/>
      <c r="M507" s="142" t="n"/>
      <c r="N507" s="146">
        <f>IF(AND(AND(F507="",G507=""),B507="",C507="",D507="",J507="",K507="",L507=""),"",IF(AND(F507="",G507=""),"✗ 没填金额",IF(AND(N(F507)&lt;&gt;0,N(G507)&lt;&gt;0),"✗ 收入、支出只能填一边",IF(NOT(ISNUMBER(B507)),"✗ 日期不是真日期（要像 2026/9/25 这样填）",IF(OR(B507&lt;年初日,B507&gt;年末日),"✗ 日期不在本会计年度",IF(C507="","✗ 没选账户",IF(COUNTIF(基础资料!$W$5:$W$24,C507)=0,"✗ 账户不在基础资料里",IF(O507="","✗ 没选收支项目",IF(P507="未知","✗ 收支项目不在基础资料里",IF(AND(P507="应收",J507=""),"✗ 这笔要选客户",IF(AND(P507="应收",COUNTIF(总览汇总!$B$5:$B$304,J507)=0),"✗ 客户不在总览汇总名单里",IF(AND(P507="应付",K507=""),"✗ 这笔要选供应商",IF(AND(P507="应付",COUNTIF(基础资料!$Q$5:$Q$54,K507)=0),"✗ 供应商不在基础资料里",IF(AND(P507="费用",L507=""),"✗ 费用支出要选费用项目",IF(AND(L507&lt;&gt;"",COUNTIF(基础资料!$AI$5:$AI$54,L507)=0),"✗ 费用项目不在基础资料里",IF(AND(IFERROR(INDEX(基础资料!$AD$5:$AD$34,MATCH(O507,基础资料!$AC$5:$AC$34,0)),"")="收",N(G507)&lt;&gt;0),"✗ 这类是收款，金额填到收入列",IF(AND(IFERROR(INDEX(基础资料!$AD$5:$AD$34,MATCH(O507,基础资料!$AC$5:$AC$34,0)),"")="支",N(F507)&lt;&gt;0),"✗ 这类是付款，金额填到支出列",IF(N(H507)&lt;0,"⚠ 账户余额成负数了，核对一下","√"))))))))))))))))))</f>
      </c>
      <c r="O507" s="78">
        <f>IF(D507&lt;&gt;"",D507,IF(AND(F507="",G507=""),"",IF(J507&lt;&gt;"",IF(N(F507)&gt;0,"客户回款","客户退款"),IF(K507&lt;&gt;"",IF(N(G507)&gt;0,"供应商付款","供应商退款"),IF(L507&lt;&gt;"","费用支出","")))))</f>
      </c>
      <c r="P507" s="78">
        <f>IF(O507="","",IFERROR(INDEX(基础资料!$AE$5:$AE$34,MATCH(O507,基础资料!$AC$5:$AC$34,0)),"未知"))</f>
      </c>
      <c r="Q507" s="78">
        <f>IF(P507="应收",COUNTIF(P$7:P507,"应收"),"")</f>
      </c>
      <c r="R507" s="78">
        <f>IF(P507="应付",COUNTIF(P$7:P507,"应付"),"")</f>
      </c>
      <c r="S507" s="78">
        <f>N(F507)-N(G507)</f>
        <v>0</v>
      </c>
    </row>
    <row r="508">
      <c r="A508" s="109">
        <f>IF(AND(F508="",G508=""),"",ROW()-6)</f>
      </c>
      <c r="B508" s="140" t="n"/>
      <c r="C508" s="141" t="n"/>
      <c r="D508" s="141" t="n"/>
      <c r="E508" s="142" t="n"/>
      <c r="F508" s="143" t="n"/>
      <c r="G508" s="144" t="n"/>
      <c r="H508" s="145">
        <f>IF(OR(C508="",AND(F508="",G508="")),"",SUMIF(基础资料!$W$5:$W$24,C508,基础资料!$X$5:$X$24)+SUMIF(C$7:C508,C508,F$7:F508)-SUMIF(C$7:C508,C508,G$7:G508))</f>
      </c>
      <c r="I508" s="145">
        <f>IF(AND(F508="",G508=""),"",SUM(基础资料!$X$5:$X$24)+SUM(F$7:F508)-SUM(G$7:G508))</f>
      </c>
      <c r="J508" s="141" t="n"/>
      <c r="K508" s="141" t="n"/>
      <c r="L508" s="141" t="n"/>
      <c r="M508" s="142" t="n"/>
      <c r="N508" s="146">
        <f>IF(AND(AND(F508="",G508=""),B508="",C508="",D508="",J508="",K508="",L508=""),"",IF(AND(F508="",G508=""),"✗ 没填金额",IF(AND(N(F508)&lt;&gt;0,N(G508)&lt;&gt;0),"✗ 收入、支出只能填一边",IF(NOT(ISNUMBER(B508)),"✗ 日期不是真日期（要像 2026/9/25 这样填）",IF(OR(B508&lt;年初日,B508&gt;年末日),"✗ 日期不在本会计年度",IF(C508="","✗ 没选账户",IF(COUNTIF(基础资料!$W$5:$W$24,C508)=0,"✗ 账户不在基础资料里",IF(O508="","✗ 没选收支项目",IF(P508="未知","✗ 收支项目不在基础资料里",IF(AND(P508="应收",J508=""),"✗ 这笔要选客户",IF(AND(P508="应收",COUNTIF(总览汇总!$B$5:$B$304,J508)=0),"✗ 客户不在总览汇总名单里",IF(AND(P508="应付",K508=""),"✗ 这笔要选供应商",IF(AND(P508="应付",COUNTIF(基础资料!$Q$5:$Q$54,K508)=0),"✗ 供应商不在基础资料里",IF(AND(P508="费用",L508=""),"✗ 费用支出要选费用项目",IF(AND(L508&lt;&gt;"",COUNTIF(基础资料!$AI$5:$AI$54,L508)=0),"✗ 费用项目不在基础资料里",IF(AND(IFERROR(INDEX(基础资料!$AD$5:$AD$34,MATCH(O508,基础资料!$AC$5:$AC$34,0)),"")="收",N(G508)&lt;&gt;0),"✗ 这类是收款，金额填到收入列",IF(AND(IFERROR(INDEX(基础资料!$AD$5:$AD$34,MATCH(O508,基础资料!$AC$5:$AC$34,0)),"")="支",N(F508)&lt;&gt;0),"✗ 这类是付款，金额填到支出列",IF(N(H508)&lt;0,"⚠ 账户余额成负数了，核对一下","√"))))))))))))))))))</f>
      </c>
      <c r="O508" s="78">
        <f>IF(D508&lt;&gt;"",D508,IF(AND(F508="",G508=""),"",IF(J508&lt;&gt;"",IF(N(F508)&gt;0,"客户回款","客户退款"),IF(K508&lt;&gt;"",IF(N(G508)&gt;0,"供应商付款","供应商退款"),IF(L508&lt;&gt;"","费用支出","")))))</f>
      </c>
      <c r="P508" s="78">
        <f>IF(O508="","",IFERROR(INDEX(基础资料!$AE$5:$AE$34,MATCH(O508,基础资料!$AC$5:$AC$34,0)),"未知"))</f>
      </c>
      <c r="Q508" s="78">
        <f>IF(P508="应收",COUNTIF(P$7:P508,"应收"),"")</f>
      </c>
      <c r="R508" s="78">
        <f>IF(P508="应付",COUNTIF(P$7:P508,"应付"),"")</f>
      </c>
      <c r="S508" s="78">
        <f>N(F508)-N(G508)</f>
        <v>0</v>
      </c>
    </row>
    <row r="509">
      <c r="A509" s="109">
        <f>IF(AND(F509="",G509=""),"",ROW()-6)</f>
      </c>
      <c r="B509" s="140" t="n"/>
      <c r="C509" s="141" t="n"/>
      <c r="D509" s="141" t="n"/>
      <c r="E509" s="142" t="n"/>
      <c r="F509" s="143" t="n"/>
      <c r="G509" s="144" t="n"/>
      <c r="H509" s="145">
        <f>IF(OR(C509="",AND(F509="",G509="")),"",SUMIF(基础资料!$W$5:$W$24,C509,基础资料!$X$5:$X$24)+SUMIF(C$7:C509,C509,F$7:F509)-SUMIF(C$7:C509,C509,G$7:G509))</f>
      </c>
      <c r="I509" s="145">
        <f>IF(AND(F509="",G509=""),"",SUM(基础资料!$X$5:$X$24)+SUM(F$7:F509)-SUM(G$7:G509))</f>
      </c>
      <c r="J509" s="141" t="n"/>
      <c r="K509" s="141" t="n"/>
      <c r="L509" s="141" t="n"/>
      <c r="M509" s="142" t="n"/>
      <c r="N509" s="146">
        <f>IF(AND(AND(F509="",G509=""),B509="",C509="",D509="",J509="",K509="",L509=""),"",IF(AND(F509="",G509=""),"✗ 没填金额",IF(AND(N(F509)&lt;&gt;0,N(G509)&lt;&gt;0),"✗ 收入、支出只能填一边",IF(NOT(ISNUMBER(B509)),"✗ 日期不是真日期（要像 2026/9/25 这样填）",IF(OR(B509&lt;年初日,B509&gt;年末日),"✗ 日期不在本会计年度",IF(C509="","✗ 没选账户",IF(COUNTIF(基础资料!$W$5:$W$24,C509)=0,"✗ 账户不在基础资料里",IF(O509="","✗ 没选收支项目",IF(P509="未知","✗ 收支项目不在基础资料里",IF(AND(P509="应收",J509=""),"✗ 这笔要选客户",IF(AND(P509="应收",COUNTIF(总览汇总!$B$5:$B$304,J509)=0),"✗ 客户不在总览汇总名单里",IF(AND(P509="应付",K509=""),"✗ 这笔要选供应商",IF(AND(P509="应付",COUNTIF(基础资料!$Q$5:$Q$54,K509)=0),"✗ 供应商不在基础资料里",IF(AND(P509="费用",L509=""),"✗ 费用支出要选费用项目",IF(AND(L509&lt;&gt;"",COUNTIF(基础资料!$AI$5:$AI$54,L509)=0),"✗ 费用项目不在基础资料里",IF(AND(IFERROR(INDEX(基础资料!$AD$5:$AD$34,MATCH(O509,基础资料!$AC$5:$AC$34,0)),"")="收",N(G509)&lt;&gt;0),"✗ 这类是收款，金额填到收入列",IF(AND(IFERROR(INDEX(基础资料!$AD$5:$AD$34,MATCH(O509,基础资料!$AC$5:$AC$34,0)),"")="支",N(F509)&lt;&gt;0),"✗ 这类是付款，金额填到支出列",IF(N(H509)&lt;0,"⚠ 账户余额成负数了，核对一下","√"))))))))))))))))))</f>
      </c>
      <c r="O509" s="78">
        <f>IF(D509&lt;&gt;"",D509,IF(AND(F509="",G509=""),"",IF(J509&lt;&gt;"",IF(N(F509)&gt;0,"客户回款","客户退款"),IF(K509&lt;&gt;"",IF(N(G509)&gt;0,"供应商付款","供应商退款"),IF(L509&lt;&gt;"","费用支出","")))))</f>
      </c>
      <c r="P509" s="78">
        <f>IF(O509="","",IFERROR(INDEX(基础资料!$AE$5:$AE$34,MATCH(O509,基础资料!$AC$5:$AC$34,0)),"未知"))</f>
      </c>
      <c r="Q509" s="78">
        <f>IF(P509="应收",COUNTIF(P$7:P509,"应收"),"")</f>
      </c>
      <c r="R509" s="78">
        <f>IF(P509="应付",COUNTIF(P$7:P509,"应付"),"")</f>
      </c>
      <c r="S509" s="78">
        <f>N(F509)-N(G509)</f>
        <v>0</v>
      </c>
    </row>
    <row r="510">
      <c r="A510" s="109">
        <f>IF(AND(F510="",G510=""),"",ROW()-6)</f>
      </c>
      <c r="B510" s="140" t="n"/>
      <c r="C510" s="141" t="n"/>
      <c r="D510" s="141" t="n"/>
      <c r="E510" s="142" t="n"/>
      <c r="F510" s="143" t="n"/>
      <c r="G510" s="144" t="n"/>
      <c r="H510" s="145">
        <f>IF(OR(C510="",AND(F510="",G510="")),"",SUMIF(基础资料!$W$5:$W$24,C510,基础资料!$X$5:$X$24)+SUMIF(C$7:C510,C510,F$7:F510)-SUMIF(C$7:C510,C510,G$7:G510))</f>
      </c>
      <c r="I510" s="145">
        <f>IF(AND(F510="",G510=""),"",SUM(基础资料!$X$5:$X$24)+SUM(F$7:F510)-SUM(G$7:G510))</f>
      </c>
      <c r="J510" s="141" t="n"/>
      <c r="K510" s="141" t="n"/>
      <c r="L510" s="141" t="n"/>
      <c r="M510" s="142" t="n"/>
      <c r="N510" s="146">
        <f>IF(AND(AND(F510="",G510=""),B510="",C510="",D510="",J510="",K510="",L510=""),"",IF(AND(F510="",G510=""),"✗ 没填金额",IF(AND(N(F510)&lt;&gt;0,N(G510)&lt;&gt;0),"✗ 收入、支出只能填一边",IF(NOT(ISNUMBER(B510)),"✗ 日期不是真日期（要像 2026/9/25 这样填）",IF(OR(B510&lt;年初日,B510&gt;年末日),"✗ 日期不在本会计年度",IF(C510="","✗ 没选账户",IF(COUNTIF(基础资料!$W$5:$W$24,C510)=0,"✗ 账户不在基础资料里",IF(O510="","✗ 没选收支项目",IF(P510="未知","✗ 收支项目不在基础资料里",IF(AND(P510="应收",J510=""),"✗ 这笔要选客户",IF(AND(P510="应收",COUNTIF(总览汇总!$B$5:$B$304,J510)=0),"✗ 客户不在总览汇总名单里",IF(AND(P510="应付",K510=""),"✗ 这笔要选供应商",IF(AND(P510="应付",COUNTIF(基础资料!$Q$5:$Q$54,K510)=0),"✗ 供应商不在基础资料里",IF(AND(P510="费用",L510=""),"✗ 费用支出要选费用项目",IF(AND(L510&lt;&gt;"",COUNTIF(基础资料!$AI$5:$AI$54,L510)=0),"✗ 费用项目不在基础资料里",IF(AND(IFERROR(INDEX(基础资料!$AD$5:$AD$34,MATCH(O510,基础资料!$AC$5:$AC$34,0)),"")="收",N(G510)&lt;&gt;0),"✗ 这类是收款，金额填到收入列",IF(AND(IFERROR(INDEX(基础资料!$AD$5:$AD$34,MATCH(O510,基础资料!$AC$5:$AC$34,0)),"")="支",N(F510)&lt;&gt;0),"✗ 这类是付款，金额填到支出列",IF(N(H510)&lt;0,"⚠ 账户余额成负数了，核对一下","√"))))))))))))))))))</f>
      </c>
      <c r="O510" s="78">
        <f>IF(D510&lt;&gt;"",D510,IF(AND(F510="",G510=""),"",IF(J510&lt;&gt;"",IF(N(F510)&gt;0,"客户回款","客户退款"),IF(K510&lt;&gt;"",IF(N(G510)&gt;0,"供应商付款","供应商退款"),IF(L510&lt;&gt;"","费用支出","")))))</f>
      </c>
      <c r="P510" s="78">
        <f>IF(O510="","",IFERROR(INDEX(基础资料!$AE$5:$AE$34,MATCH(O510,基础资料!$AC$5:$AC$34,0)),"未知"))</f>
      </c>
      <c r="Q510" s="78">
        <f>IF(P510="应收",COUNTIF(P$7:P510,"应收"),"")</f>
      </c>
      <c r="R510" s="78">
        <f>IF(P510="应付",COUNTIF(P$7:P510,"应付"),"")</f>
      </c>
      <c r="S510" s="78">
        <f>N(F510)-N(G510)</f>
        <v>0</v>
      </c>
    </row>
    <row r="511">
      <c r="A511" s="109">
        <f>IF(AND(F511="",G511=""),"",ROW()-6)</f>
      </c>
      <c r="B511" s="140" t="n"/>
      <c r="C511" s="141" t="n"/>
      <c r="D511" s="141" t="n"/>
      <c r="E511" s="142" t="n"/>
      <c r="F511" s="143" t="n"/>
      <c r="G511" s="144" t="n"/>
      <c r="H511" s="145">
        <f>IF(OR(C511="",AND(F511="",G511="")),"",SUMIF(基础资料!$W$5:$W$24,C511,基础资料!$X$5:$X$24)+SUMIF(C$7:C511,C511,F$7:F511)-SUMIF(C$7:C511,C511,G$7:G511))</f>
      </c>
      <c r="I511" s="145">
        <f>IF(AND(F511="",G511=""),"",SUM(基础资料!$X$5:$X$24)+SUM(F$7:F511)-SUM(G$7:G511))</f>
      </c>
      <c r="J511" s="141" t="n"/>
      <c r="K511" s="141" t="n"/>
      <c r="L511" s="141" t="n"/>
      <c r="M511" s="142" t="n"/>
      <c r="N511" s="146">
        <f>IF(AND(AND(F511="",G511=""),B511="",C511="",D511="",J511="",K511="",L511=""),"",IF(AND(F511="",G511=""),"✗ 没填金额",IF(AND(N(F511)&lt;&gt;0,N(G511)&lt;&gt;0),"✗ 收入、支出只能填一边",IF(NOT(ISNUMBER(B511)),"✗ 日期不是真日期（要像 2026/9/25 这样填）",IF(OR(B511&lt;年初日,B511&gt;年末日),"✗ 日期不在本会计年度",IF(C511="","✗ 没选账户",IF(COUNTIF(基础资料!$W$5:$W$24,C511)=0,"✗ 账户不在基础资料里",IF(O511="","✗ 没选收支项目",IF(P511="未知","✗ 收支项目不在基础资料里",IF(AND(P511="应收",J511=""),"✗ 这笔要选客户",IF(AND(P511="应收",COUNTIF(总览汇总!$B$5:$B$304,J511)=0),"✗ 客户不在总览汇总名单里",IF(AND(P511="应付",K511=""),"✗ 这笔要选供应商",IF(AND(P511="应付",COUNTIF(基础资料!$Q$5:$Q$54,K511)=0),"✗ 供应商不在基础资料里",IF(AND(P511="费用",L511=""),"✗ 费用支出要选费用项目",IF(AND(L511&lt;&gt;"",COUNTIF(基础资料!$AI$5:$AI$54,L511)=0),"✗ 费用项目不在基础资料里",IF(AND(IFERROR(INDEX(基础资料!$AD$5:$AD$34,MATCH(O511,基础资料!$AC$5:$AC$34,0)),"")="收",N(G511)&lt;&gt;0),"✗ 这类是收款，金额填到收入列",IF(AND(IFERROR(INDEX(基础资料!$AD$5:$AD$34,MATCH(O511,基础资料!$AC$5:$AC$34,0)),"")="支",N(F511)&lt;&gt;0),"✗ 这类是付款，金额填到支出列",IF(N(H511)&lt;0,"⚠ 账户余额成负数了，核对一下","√"))))))))))))))))))</f>
      </c>
      <c r="O511" s="78">
        <f>IF(D511&lt;&gt;"",D511,IF(AND(F511="",G511=""),"",IF(J511&lt;&gt;"",IF(N(F511)&gt;0,"客户回款","客户退款"),IF(K511&lt;&gt;"",IF(N(G511)&gt;0,"供应商付款","供应商退款"),IF(L511&lt;&gt;"","费用支出","")))))</f>
      </c>
      <c r="P511" s="78">
        <f>IF(O511="","",IFERROR(INDEX(基础资料!$AE$5:$AE$34,MATCH(O511,基础资料!$AC$5:$AC$34,0)),"未知"))</f>
      </c>
      <c r="Q511" s="78">
        <f>IF(P511="应收",COUNTIF(P$7:P511,"应收"),"")</f>
      </c>
      <c r="R511" s="78">
        <f>IF(P511="应付",COUNTIF(P$7:P511,"应付"),"")</f>
      </c>
      <c r="S511" s="78">
        <f>N(F511)-N(G511)</f>
        <v>0</v>
      </c>
    </row>
    <row r="512">
      <c r="A512" s="109">
        <f>IF(AND(F512="",G512=""),"",ROW()-6)</f>
      </c>
      <c r="B512" s="140" t="n"/>
      <c r="C512" s="141" t="n"/>
      <c r="D512" s="141" t="n"/>
      <c r="E512" s="142" t="n"/>
      <c r="F512" s="143" t="n"/>
      <c r="G512" s="144" t="n"/>
      <c r="H512" s="145">
        <f>IF(OR(C512="",AND(F512="",G512="")),"",SUMIF(基础资料!$W$5:$W$24,C512,基础资料!$X$5:$X$24)+SUMIF(C$7:C512,C512,F$7:F512)-SUMIF(C$7:C512,C512,G$7:G512))</f>
      </c>
      <c r="I512" s="145">
        <f>IF(AND(F512="",G512=""),"",SUM(基础资料!$X$5:$X$24)+SUM(F$7:F512)-SUM(G$7:G512))</f>
      </c>
      <c r="J512" s="141" t="n"/>
      <c r="K512" s="141" t="n"/>
      <c r="L512" s="141" t="n"/>
      <c r="M512" s="142" t="n"/>
      <c r="N512" s="146">
        <f>IF(AND(AND(F512="",G512=""),B512="",C512="",D512="",J512="",K512="",L512=""),"",IF(AND(F512="",G512=""),"✗ 没填金额",IF(AND(N(F512)&lt;&gt;0,N(G512)&lt;&gt;0),"✗ 收入、支出只能填一边",IF(NOT(ISNUMBER(B512)),"✗ 日期不是真日期（要像 2026/9/25 这样填）",IF(OR(B512&lt;年初日,B512&gt;年末日),"✗ 日期不在本会计年度",IF(C512="","✗ 没选账户",IF(COUNTIF(基础资料!$W$5:$W$24,C512)=0,"✗ 账户不在基础资料里",IF(O512="","✗ 没选收支项目",IF(P512="未知","✗ 收支项目不在基础资料里",IF(AND(P512="应收",J512=""),"✗ 这笔要选客户",IF(AND(P512="应收",COUNTIF(总览汇总!$B$5:$B$304,J512)=0),"✗ 客户不在总览汇总名单里",IF(AND(P512="应付",K512=""),"✗ 这笔要选供应商",IF(AND(P512="应付",COUNTIF(基础资料!$Q$5:$Q$54,K512)=0),"✗ 供应商不在基础资料里",IF(AND(P512="费用",L512=""),"✗ 费用支出要选费用项目",IF(AND(L512&lt;&gt;"",COUNTIF(基础资料!$AI$5:$AI$54,L512)=0),"✗ 费用项目不在基础资料里",IF(AND(IFERROR(INDEX(基础资料!$AD$5:$AD$34,MATCH(O512,基础资料!$AC$5:$AC$34,0)),"")="收",N(G512)&lt;&gt;0),"✗ 这类是收款，金额填到收入列",IF(AND(IFERROR(INDEX(基础资料!$AD$5:$AD$34,MATCH(O512,基础资料!$AC$5:$AC$34,0)),"")="支",N(F512)&lt;&gt;0),"✗ 这类是付款，金额填到支出列",IF(N(H512)&lt;0,"⚠ 账户余额成负数了，核对一下","√"))))))))))))))))))</f>
      </c>
      <c r="O512" s="78">
        <f>IF(D512&lt;&gt;"",D512,IF(AND(F512="",G512=""),"",IF(J512&lt;&gt;"",IF(N(F512)&gt;0,"客户回款","客户退款"),IF(K512&lt;&gt;"",IF(N(G512)&gt;0,"供应商付款","供应商退款"),IF(L512&lt;&gt;"","费用支出","")))))</f>
      </c>
      <c r="P512" s="78">
        <f>IF(O512="","",IFERROR(INDEX(基础资料!$AE$5:$AE$34,MATCH(O512,基础资料!$AC$5:$AC$34,0)),"未知"))</f>
      </c>
      <c r="Q512" s="78">
        <f>IF(P512="应收",COUNTIF(P$7:P512,"应收"),"")</f>
      </c>
      <c r="R512" s="78">
        <f>IF(P512="应付",COUNTIF(P$7:P512,"应付"),"")</f>
      </c>
      <c r="S512" s="78">
        <f>N(F512)-N(G512)</f>
        <v>0</v>
      </c>
    </row>
    <row r="513">
      <c r="A513" s="109">
        <f>IF(AND(F513="",G513=""),"",ROW()-6)</f>
      </c>
      <c r="B513" s="140" t="n"/>
      <c r="C513" s="141" t="n"/>
      <c r="D513" s="141" t="n"/>
      <c r="E513" s="142" t="n"/>
      <c r="F513" s="143" t="n"/>
      <c r="G513" s="144" t="n"/>
      <c r="H513" s="145">
        <f>IF(OR(C513="",AND(F513="",G513="")),"",SUMIF(基础资料!$W$5:$W$24,C513,基础资料!$X$5:$X$24)+SUMIF(C$7:C513,C513,F$7:F513)-SUMIF(C$7:C513,C513,G$7:G513))</f>
      </c>
      <c r="I513" s="145">
        <f>IF(AND(F513="",G513=""),"",SUM(基础资料!$X$5:$X$24)+SUM(F$7:F513)-SUM(G$7:G513))</f>
      </c>
      <c r="J513" s="141" t="n"/>
      <c r="K513" s="141" t="n"/>
      <c r="L513" s="141" t="n"/>
      <c r="M513" s="142" t="n"/>
      <c r="N513" s="146">
        <f>IF(AND(AND(F513="",G513=""),B513="",C513="",D513="",J513="",K513="",L513=""),"",IF(AND(F513="",G513=""),"✗ 没填金额",IF(AND(N(F513)&lt;&gt;0,N(G513)&lt;&gt;0),"✗ 收入、支出只能填一边",IF(NOT(ISNUMBER(B513)),"✗ 日期不是真日期（要像 2026/9/25 这样填）",IF(OR(B513&lt;年初日,B513&gt;年末日),"✗ 日期不在本会计年度",IF(C513="","✗ 没选账户",IF(COUNTIF(基础资料!$W$5:$W$24,C513)=0,"✗ 账户不在基础资料里",IF(O513="","✗ 没选收支项目",IF(P513="未知","✗ 收支项目不在基础资料里",IF(AND(P513="应收",J513=""),"✗ 这笔要选客户",IF(AND(P513="应收",COUNTIF(总览汇总!$B$5:$B$304,J513)=0),"✗ 客户不在总览汇总名单里",IF(AND(P513="应付",K513=""),"✗ 这笔要选供应商",IF(AND(P513="应付",COUNTIF(基础资料!$Q$5:$Q$54,K513)=0),"✗ 供应商不在基础资料里",IF(AND(P513="费用",L513=""),"✗ 费用支出要选费用项目",IF(AND(L513&lt;&gt;"",COUNTIF(基础资料!$AI$5:$AI$54,L513)=0),"✗ 费用项目不在基础资料里",IF(AND(IFERROR(INDEX(基础资料!$AD$5:$AD$34,MATCH(O513,基础资料!$AC$5:$AC$34,0)),"")="收",N(G513)&lt;&gt;0),"✗ 这类是收款，金额填到收入列",IF(AND(IFERROR(INDEX(基础资料!$AD$5:$AD$34,MATCH(O513,基础资料!$AC$5:$AC$34,0)),"")="支",N(F513)&lt;&gt;0),"✗ 这类是付款，金额填到支出列",IF(N(H513)&lt;0,"⚠ 账户余额成负数了，核对一下","√"))))))))))))))))))</f>
      </c>
      <c r="O513" s="78">
        <f>IF(D513&lt;&gt;"",D513,IF(AND(F513="",G513=""),"",IF(J513&lt;&gt;"",IF(N(F513)&gt;0,"客户回款","客户退款"),IF(K513&lt;&gt;"",IF(N(G513)&gt;0,"供应商付款","供应商退款"),IF(L513&lt;&gt;"","费用支出","")))))</f>
      </c>
      <c r="P513" s="78">
        <f>IF(O513="","",IFERROR(INDEX(基础资料!$AE$5:$AE$34,MATCH(O513,基础资料!$AC$5:$AC$34,0)),"未知"))</f>
      </c>
      <c r="Q513" s="78">
        <f>IF(P513="应收",COUNTIF(P$7:P513,"应收"),"")</f>
      </c>
      <c r="R513" s="78">
        <f>IF(P513="应付",COUNTIF(P$7:P513,"应付"),"")</f>
      </c>
      <c r="S513" s="78">
        <f>N(F513)-N(G513)</f>
        <v>0</v>
      </c>
    </row>
    <row r="514">
      <c r="A514" s="109">
        <f>IF(AND(F514="",G514=""),"",ROW()-6)</f>
      </c>
      <c r="B514" s="140" t="n"/>
      <c r="C514" s="141" t="n"/>
      <c r="D514" s="141" t="n"/>
      <c r="E514" s="142" t="n"/>
      <c r="F514" s="143" t="n"/>
      <c r="G514" s="144" t="n"/>
      <c r="H514" s="145">
        <f>IF(OR(C514="",AND(F514="",G514="")),"",SUMIF(基础资料!$W$5:$W$24,C514,基础资料!$X$5:$X$24)+SUMIF(C$7:C514,C514,F$7:F514)-SUMIF(C$7:C514,C514,G$7:G514))</f>
      </c>
      <c r="I514" s="145">
        <f>IF(AND(F514="",G514=""),"",SUM(基础资料!$X$5:$X$24)+SUM(F$7:F514)-SUM(G$7:G514))</f>
      </c>
      <c r="J514" s="141" t="n"/>
      <c r="K514" s="141" t="n"/>
      <c r="L514" s="141" t="n"/>
      <c r="M514" s="142" t="n"/>
      <c r="N514" s="146">
        <f>IF(AND(AND(F514="",G514=""),B514="",C514="",D514="",J514="",K514="",L514=""),"",IF(AND(F514="",G514=""),"✗ 没填金额",IF(AND(N(F514)&lt;&gt;0,N(G514)&lt;&gt;0),"✗ 收入、支出只能填一边",IF(NOT(ISNUMBER(B514)),"✗ 日期不是真日期（要像 2026/9/25 这样填）",IF(OR(B514&lt;年初日,B514&gt;年末日),"✗ 日期不在本会计年度",IF(C514="","✗ 没选账户",IF(COUNTIF(基础资料!$W$5:$W$24,C514)=0,"✗ 账户不在基础资料里",IF(O514="","✗ 没选收支项目",IF(P514="未知","✗ 收支项目不在基础资料里",IF(AND(P514="应收",J514=""),"✗ 这笔要选客户",IF(AND(P514="应收",COUNTIF(总览汇总!$B$5:$B$304,J514)=0),"✗ 客户不在总览汇总名单里",IF(AND(P514="应付",K514=""),"✗ 这笔要选供应商",IF(AND(P514="应付",COUNTIF(基础资料!$Q$5:$Q$54,K514)=0),"✗ 供应商不在基础资料里",IF(AND(P514="费用",L514=""),"✗ 费用支出要选费用项目",IF(AND(L514&lt;&gt;"",COUNTIF(基础资料!$AI$5:$AI$54,L514)=0),"✗ 费用项目不在基础资料里",IF(AND(IFERROR(INDEX(基础资料!$AD$5:$AD$34,MATCH(O514,基础资料!$AC$5:$AC$34,0)),"")="收",N(G514)&lt;&gt;0),"✗ 这类是收款，金额填到收入列",IF(AND(IFERROR(INDEX(基础资料!$AD$5:$AD$34,MATCH(O514,基础资料!$AC$5:$AC$34,0)),"")="支",N(F514)&lt;&gt;0),"✗ 这类是付款，金额填到支出列",IF(N(H514)&lt;0,"⚠ 账户余额成负数了，核对一下","√"))))))))))))))))))</f>
      </c>
      <c r="O514" s="78">
        <f>IF(D514&lt;&gt;"",D514,IF(AND(F514="",G514=""),"",IF(J514&lt;&gt;"",IF(N(F514)&gt;0,"客户回款","客户退款"),IF(K514&lt;&gt;"",IF(N(G514)&gt;0,"供应商付款","供应商退款"),IF(L514&lt;&gt;"","费用支出","")))))</f>
      </c>
      <c r="P514" s="78">
        <f>IF(O514="","",IFERROR(INDEX(基础资料!$AE$5:$AE$34,MATCH(O514,基础资料!$AC$5:$AC$34,0)),"未知"))</f>
      </c>
      <c r="Q514" s="78">
        <f>IF(P514="应收",COUNTIF(P$7:P514,"应收"),"")</f>
      </c>
      <c r="R514" s="78">
        <f>IF(P514="应付",COUNTIF(P$7:P514,"应付"),"")</f>
      </c>
      <c r="S514" s="78">
        <f>N(F514)-N(G514)</f>
        <v>0</v>
      </c>
    </row>
    <row r="515">
      <c r="A515" s="109">
        <f>IF(AND(F515="",G515=""),"",ROW()-6)</f>
      </c>
      <c r="B515" s="140" t="n"/>
      <c r="C515" s="141" t="n"/>
      <c r="D515" s="141" t="n"/>
      <c r="E515" s="142" t="n"/>
      <c r="F515" s="143" t="n"/>
      <c r="G515" s="144" t="n"/>
      <c r="H515" s="145">
        <f>IF(OR(C515="",AND(F515="",G515="")),"",SUMIF(基础资料!$W$5:$W$24,C515,基础资料!$X$5:$X$24)+SUMIF(C$7:C515,C515,F$7:F515)-SUMIF(C$7:C515,C515,G$7:G515))</f>
      </c>
      <c r="I515" s="145">
        <f>IF(AND(F515="",G515=""),"",SUM(基础资料!$X$5:$X$24)+SUM(F$7:F515)-SUM(G$7:G515))</f>
      </c>
      <c r="J515" s="141" t="n"/>
      <c r="K515" s="141" t="n"/>
      <c r="L515" s="141" t="n"/>
      <c r="M515" s="142" t="n"/>
      <c r="N515" s="146">
        <f>IF(AND(AND(F515="",G515=""),B515="",C515="",D515="",J515="",K515="",L515=""),"",IF(AND(F515="",G515=""),"✗ 没填金额",IF(AND(N(F515)&lt;&gt;0,N(G515)&lt;&gt;0),"✗ 收入、支出只能填一边",IF(NOT(ISNUMBER(B515)),"✗ 日期不是真日期（要像 2026/9/25 这样填）",IF(OR(B515&lt;年初日,B515&gt;年末日),"✗ 日期不在本会计年度",IF(C515="","✗ 没选账户",IF(COUNTIF(基础资料!$W$5:$W$24,C515)=0,"✗ 账户不在基础资料里",IF(O515="","✗ 没选收支项目",IF(P515="未知","✗ 收支项目不在基础资料里",IF(AND(P515="应收",J515=""),"✗ 这笔要选客户",IF(AND(P515="应收",COUNTIF(总览汇总!$B$5:$B$304,J515)=0),"✗ 客户不在总览汇总名单里",IF(AND(P515="应付",K515=""),"✗ 这笔要选供应商",IF(AND(P515="应付",COUNTIF(基础资料!$Q$5:$Q$54,K515)=0),"✗ 供应商不在基础资料里",IF(AND(P515="费用",L515=""),"✗ 费用支出要选费用项目",IF(AND(L515&lt;&gt;"",COUNTIF(基础资料!$AI$5:$AI$54,L515)=0),"✗ 费用项目不在基础资料里",IF(AND(IFERROR(INDEX(基础资料!$AD$5:$AD$34,MATCH(O515,基础资料!$AC$5:$AC$34,0)),"")="收",N(G515)&lt;&gt;0),"✗ 这类是收款，金额填到收入列",IF(AND(IFERROR(INDEX(基础资料!$AD$5:$AD$34,MATCH(O515,基础资料!$AC$5:$AC$34,0)),"")="支",N(F515)&lt;&gt;0),"✗ 这类是付款，金额填到支出列",IF(N(H515)&lt;0,"⚠ 账户余额成负数了，核对一下","√"))))))))))))))))))</f>
      </c>
      <c r="O515" s="78">
        <f>IF(D515&lt;&gt;"",D515,IF(AND(F515="",G515=""),"",IF(J515&lt;&gt;"",IF(N(F515)&gt;0,"客户回款","客户退款"),IF(K515&lt;&gt;"",IF(N(G515)&gt;0,"供应商付款","供应商退款"),IF(L515&lt;&gt;"","费用支出","")))))</f>
      </c>
      <c r="P515" s="78">
        <f>IF(O515="","",IFERROR(INDEX(基础资料!$AE$5:$AE$34,MATCH(O515,基础资料!$AC$5:$AC$34,0)),"未知"))</f>
      </c>
      <c r="Q515" s="78">
        <f>IF(P515="应收",COUNTIF(P$7:P515,"应收"),"")</f>
      </c>
      <c r="R515" s="78">
        <f>IF(P515="应付",COUNTIF(P$7:P515,"应付"),"")</f>
      </c>
      <c r="S515" s="78">
        <f>N(F515)-N(G515)</f>
        <v>0</v>
      </c>
    </row>
    <row r="516">
      <c r="A516" s="109">
        <f>IF(AND(F516="",G516=""),"",ROW()-6)</f>
      </c>
      <c r="B516" s="140" t="n"/>
      <c r="C516" s="141" t="n"/>
      <c r="D516" s="141" t="n"/>
      <c r="E516" s="142" t="n"/>
      <c r="F516" s="143" t="n"/>
      <c r="G516" s="144" t="n"/>
      <c r="H516" s="145">
        <f>IF(OR(C516="",AND(F516="",G516="")),"",SUMIF(基础资料!$W$5:$W$24,C516,基础资料!$X$5:$X$24)+SUMIF(C$7:C516,C516,F$7:F516)-SUMIF(C$7:C516,C516,G$7:G516))</f>
      </c>
      <c r="I516" s="145">
        <f>IF(AND(F516="",G516=""),"",SUM(基础资料!$X$5:$X$24)+SUM(F$7:F516)-SUM(G$7:G516))</f>
      </c>
      <c r="J516" s="141" t="n"/>
      <c r="K516" s="141" t="n"/>
      <c r="L516" s="141" t="n"/>
      <c r="M516" s="142" t="n"/>
      <c r="N516" s="146">
        <f>IF(AND(AND(F516="",G516=""),B516="",C516="",D516="",J516="",K516="",L516=""),"",IF(AND(F516="",G516=""),"✗ 没填金额",IF(AND(N(F516)&lt;&gt;0,N(G516)&lt;&gt;0),"✗ 收入、支出只能填一边",IF(NOT(ISNUMBER(B516)),"✗ 日期不是真日期（要像 2026/9/25 这样填）",IF(OR(B516&lt;年初日,B516&gt;年末日),"✗ 日期不在本会计年度",IF(C516="","✗ 没选账户",IF(COUNTIF(基础资料!$W$5:$W$24,C516)=0,"✗ 账户不在基础资料里",IF(O516="","✗ 没选收支项目",IF(P516="未知","✗ 收支项目不在基础资料里",IF(AND(P516="应收",J516=""),"✗ 这笔要选客户",IF(AND(P516="应收",COUNTIF(总览汇总!$B$5:$B$304,J516)=0),"✗ 客户不在总览汇总名单里",IF(AND(P516="应付",K516=""),"✗ 这笔要选供应商",IF(AND(P516="应付",COUNTIF(基础资料!$Q$5:$Q$54,K516)=0),"✗ 供应商不在基础资料里",IF(AND(P516="费用",L516=""),"✗ 费用支出要选费用项目",IF(AND(L516&lt;&gt;"",COUNTIF(基础资料!$AI$5:$AI$54,L516)=0),"✗ 费用项目不在基础资料里",IF(AND(IFERROR(INDEX(基础资料!$AD$5:$AD$34,MATCH(O516,基础资料!$AC$5:$AC$34,0)),"")="收",N(G516)&lt;&gt;0),"✗ 这类是收款，金额填到收入列",IF(AND(IFERROR(INDEX(基础资料!$AD$5:$AD$34,MATCH(O516,基础资料!$AC$5:$AC$34,0)),"")="支",N(F516)&lt;&gt;0),"✗ 这类是付款，金额填到支出列",IF(N(H516)&lt;0,"⚠ 账户余额成负数了，核对一下","√"))))))))))))))))))</f>
      </c>
      <c r="O516" s="78">
        <f>IF(D516&lt;&gt;"",D516,IF(AND(F516="",G516=""),"",IF(J516&lt;&gt;"",IF(N(F516)&gt;0,"客户回款","客户退款"),IF(K516&lt;&gt;"",IF(N(G516)&gt;0,"供应商付款","供应商退款"),IF(L516&lt;&gt;"","费用支出","")))))</f>
      </c>
      <c r="P516" s="78">
        <f>IF(O516="","",IFERROR(INDEX(基础资料!$AE$5:$AE$34,MATCH(O516,基础资料!$AC$5:$AC$34,0)),"未知"))</f>
      </c>
      <c r="Q516" s="78">
        <f>IF(P516="应收",COUNTIF(P$7:P516,"应收"),"")</f>
      </c>
      <c r="R516" s="78">
        <f>IF(P516="应付",COUNTIF(P$7:P516,"应付"),"")</f>
      </c>
      <c r="S516" s="78">
        <f>N(F516)-N(G516)</f>
        <v>0</v>
      </c>
    </row>
    <row r="517">
      <c r="A517" s="109">
        <f>IF(AND(F517="",G517=""),"",ROW()-6)</f>
      </c>
      <c r="B517" s="140" t="n"/>
      <c r="C517" s="141" t="n"/>
      <c r="D517" s="141" t="n"/>
      <c r="E517" s="142" t="n"/>
      <c r="F517" s="143" t="n"/>
      <c r="G517" s="144" t="n"/>
      <c r="H517" s="145">
        <f>IF(OR(C517="",AND(F517="",G517="")),"",SUMIF(基础资料!$W$5:$W$24,C517,基础资料!$X$5:$X$24)+SUMIF(C$7:C517,C517,F$7:F517)-SUMIF(C$7:C517,C517,G$7:G517))</f>
      </c>
      <c r="I517" s="145">
        <f>IF(AND(F517="",G517=""),"",SUM(基础资料!$X$5:$X$24)+SUM(F$7:F517)-SUM(G$7:G517))</f>
      </c>
      <c r="J517" s="141" t="n"/>
      <c r="K517" s="141" t="n"/>
      <c r="L517" s="141" t="n"/>
      <c r="M517" s="142" t="n"/>
      <c r="N517" s="146">
        <f>IF(AND(AND(F517="",G517=""),B517="",C517="",D517="",J517="",K517="",L517=""),"",IF(AND(F517="",G517=""),"✗ 没填金额",IF(AND(N(F517)&lt;&gt;0,N(G517)&lt;&gt;0),"✗ 收入、支出只能填一边",IF(NOT(ISNUMBER(B517)),"✗ 日期不是真日期（要像 2026/9/25 这样填）",IF(OR(B517&lt;年初日,B517&gt;年末日),"✗ 日期不在本会计年度",IF(C517="","✗ 没选账户",IF(COUNTIF(基础资料!$W$5:$W$24,C517)=0,"✗ 账户不在基础资料里",IF(O517="","✗ 没选收支项目",IF(P517="未知","✗ 收支项目不在基础资料里",IF(AND(P517="应收",J517=""),"✗ 这笔要选客户",IF(AND(P517="应收",COUNTIF(总览汇总!$B$5:$B$304,J517)=0),"✗ 客户不在总览汇总名单里",IF(AND(P517="应付",K517=""),"✗ 这笔要选供应商",IF(AND(P517="应付",COUNTIF(基础资料!$Q$5:$Q$54,K517)=0),"✗ 供应商不在基础资料里",IF(AND(P517="费用",L517=""),"✗ 费用支出要选费用项目",IF(AND(L517&lt;&gt;"",COUNTIF(基础资料!$AI$5:$AI$54,L517)=0),"✗ 费用项目不在基础资料里",IF(AND(IFERROR(INDEX(基础资料!$AD$5:$AD$34,MATCH(O517,基础资料!$AC$5:$AC$34,0)),"")="收",N(G517)&lt;&gt;0),"✗ 这类是收款，金额填到收入列",IF(AND(IFERROR(INDEX(基础资料!$AD$5:$AD$34,MATCH(O517,基础资料!$AC$5:$AC$34,0)),"")="支",N(F517)&lt;&gt;0),"✗ 这类是付款，金额填到支出列",IF(N(H517)&lt;0,"⚠ 账户余额成负数了，核对一下","√"))))))))))))))))))</f>
      </c>
      <c r="O517" s="78">
        <f>IF(D517&lt;&gt;"",D517,IF(AND(F517="",G517=""),"",IF(J517&lt;&gt;"",IF(N(F517)&gt;0,"客户回款","客户退款"),IF(K517&lt;&gt;"",IF(N(G517)&gt;0,"供应商付款","供应商退款"),IF(L517&lt;&gt;"","费用支出","")))))</f>
      </c>
      <c r="P517" s="78">
        <f>IF(O517="","",IFERROR(INDEX(基础资料!$AE$5:$AE$34,MATCH(O517,基础资料!$AC$5:$AC$34,0)),"未知"))</f>
      </c>
      <c r="Q517" s="78">
        <f>IF(P517="应收",COUNTIF(P$7:P517,"应收"),"")</f>
      </c>
      <c r="R517" s="78">
        <f>IF(P517="应付",COUNTIF(P$7:P517,"应付"),"")</f>
      </c>
      <c r="S517" s="78">
        <f>N(F517)-N(G517)</f>
        <v>0</v>
      </c>
    </row>
    <row r="518">
      <c r="A518" s="109">
        <f>IF(AND(F518="",G518=""),"",ROW()-6)</f>
      </c>
      <c r="B518" s="140" t="n"/>
      <c r="C518" s="141" t="n"/>
      <c r="D518" s="141" t="n"/>
      <c r="E518" s="142" t="n"/>
      <c r="F518" s="143" t="n"/>
      <c r="G518" s="144" t="n"/>
      <c r="H518" s="145">
        <f>IF(OR(C518="",AND(F518="",G518="")),"",SUMIF(基础资料!$W$5:$W$24,C518,基础资料!$X$5:$X$24)+SUMIF(C$7:C518,C518,F$7:F518)-SUMIF(C$7:C518,C518,G$7:G518))</f>
      </c>
      <c r="I518" s="145">
        <f>IF(AND(F518="",G518=""),"",SUM(基础资料!$X$5:$X$24)+SUM(F$7:F518)-SUM(G$7:G518))</f>
      </c>
      <c r="J518" s="141" t="n"/>
      <c r="K518" s="141" t="n"/>
      <c r="L518" s="141" t="n"/>
      <c r="M518" s="142" t="n"/>
      <c r="N518" s="146">
        <f>IF(AND(AND(F518="",G518=""),B518="",C518="",D518="",J518="",K518="",L518=""),"",IF(AND(F518="",G518=""),"✗ 没填金额",IF(AND(N(F518)&lt;&gt;0,N(G518)&lt;&gt;0),"✗ 收入、支出只能填一边",IF(NOT(ISNUMBER(B518)),"✗ 日期不是真日期（要像 2026/9/25 这样填）",IF(OR(B518&lt;年初日,B518&gt;年末日),"✗ 日期不在本会计年度",IF(C518="","✗ 没选账户",IF(COUNTIF(基础资料!$W$5:$W$24,C518)=0,"✗ 账户不在基础资料里",IF(O518="","✗ 没选收支项目",IF(P518="未知","✗ 收支项目不在基础资料里",IF(AND(P518="应收",J518=""),"✗ 这笔要选客户",IF(AND(P518="应收",COUNTIF(总览汇总!$B$5:$B$304,J518)=0),"✗ 客户不在总览汇总名单里",IF(AND(P518="应付",K518=""),"✗ 这笔要选供应商",IF(AND(P518="应付",COUNTIF(基础资料!$Q$5:$Q$54,K518)=0),"✗ 供应商不在基础资料里",IF(AND(P518="费用",L518=""),"✗ 费用支出要选费用项目",IF(AND(L518&lt;&gt;"",COUNTIF(基础资料!$AI$5:$AI$54,L518)=0),"✗ 费用项目不在基础资料里",IF(AND(IFERROR(INDEX(基础资料!$AD$5:$AD$34,MATCH(O518,基础资料!$AC$5:$AC$34,0)),"")="收",N(G518)&lt;&gt;0),"✗ 这类是收款，金额填到收入列",IF(AND(IFERROR(INDEX(基础资料!$AD$5:$AD$34,MATCH(O518,基础资料!$AC$5:$AC$34,0)),"")="支",N(F518)&lt;&gt;0),"✗ 这类是付款，金额填到支出列",IF(N(H518)&lt;0,"⚠ 账户余额成负数了，核对一下","√"))))))))))))))))))</f>
      </c>
      <c r="O518" s="78">
        <f>IF(D518&lt;&gt;"",D518,IF(AND(F518="",G518=""),"",IF(J518&lt;&gt;"",IF(N(F518)&gt;0,"客户回款","客户退款"),IF(K518&lt;&gt;"",IF(N(G518)&gt;0,"供应商付款","供应商退款"),IF(L518&lt;&gt;"","费用支出","")))))</f>
      </c>
      <c r="P518" s="78">
        <f>IF(O518="","",IFERROR(INDEX(基础资料!$AE$5:$AE$34,MATCH(O518,基础资料!$AC$5:$AC$34,0)),"未知"))</f>
      </c>
      <c r="Q518" s="78">
        <f>IF(P518="应收",COUNTIF(P$7:P518,"应收"),"")</f>
      </c>
      <c r="R518" s="78">
        <f>IF(P518="应付",COUNTIF(P$7:P518,"应付"),"")</f>
      </c>
      <c r="S518" s="78">
        <f>N(F518)-N(G518)</f>
        <v>0</v>
      </c>
    </row>
    <row r="519">
      <c r="A519" s="109">
        <f>IF(AND(F519="",G519=""),"",ROW()-6)</f>
      </c>
      <c r="B519" s="140" t="n"/>
      <c r="C519" s="141" t="n"/>
      <c r="D519" s="141" t="n"/>
      <c r="E519" s="142" t="n"/>
      <c r="F519" s="143" t="n"/>
      <c r="G519" s="144" t="n"/>
      <c r="H519" s="145">
        <f>IF(OR(C519="",AND(F519="",G519="")),"",SUMIF(基础资料!$W$5:$W$24,C519,基础资料!$X$5:$X$24)+SUMIF(C$7:C519,C519,F$7:F519)-SUMIF(C$7:C519,C519,G$7:G519))</f>
      </c>
      <c r="I519" s="145">
        <f>IF(AND(F519="",G519=""),"",SUM(基础资料!$X$5:$X$24)+SUM(F$7:F519)-SUM(G$7:G519))</f>
      </c>
      <c r="J519" s="141" t="n"/>
      <c r="K519" s="141" t="n"/>
      <c r="L519" s="141" t="n"/>
      <c r="M519" s="142" t="n"/>
      <c r="N519" s="146">
        <f>IF(AND(AND(F519="",G519=""),B519="",C519="",D519="",J519="",K519="",L519=""),"",IF(AND(F519="",G519=""),"✗ 没填金额",IF(AND(N(F519)&lt;&gt;0,N(G519)&lt;&gt;0),"✗ 收入、支出只能填一边",IF(NOT(ISNUMBER(B519)),"✗ 日期不是真日期（要像 2026/9/25 这样填）",IF(OR(B519&lt;年初日,B519&gt;年末日),"✗ 日期不在本会计年度",IF(C519="","✗ 没选账户",IF(COUNTIF(基础资料!$W$5:$W$24,C519)=0,"✗ 账户不在基础资料里",IF(O519="","✗ 没选收支项目",IF(P519="未知","✗ 收支项目不在基础资料里",IF(AND(P519="应收",J519=""),"✗ 这笔要选客户",IF(AND(P519="应收",COUNTIF(总览汇总!$B$5:$B$304,J519)=0),"✗ 客户不在总览汇总名单里",IF(AND(P519="应付",K519=""),"✗ 这笔要选供应商",IF(AND(P519="应付",COUNTIF(基础资料!$Q$5:$Q$54,K519)=0),"✗ 供应商不在基础资料里",IF(AND(P519="费用",L519=""),"✗ 费用支出要选费用项目",IF(AND(L519&lt;&gt;"",COUNTIF(基础资料!$AI$5:$AI$54,L519)=0),"✗ 费用项目不在基础资料里",IF(AND(IFERROR(INDEX(基础资料!$AD$5:$AD$34,MATCH(O519,基础资料!$AC$5:$AC$34,0)),"")="收",N(G519)&lt;&gt;0),"✗ 这类是收款，金额填到收入列",IF(AND(IFERROR(INDEX(基础资料!$AD$5:$AD$34,MATCH(O519,基础资料!$AC$5:$AC$34,0)),"")="支",N(F519)&lt;&gt;0),"✗ 这类是付款，金额填到支出列",IF(N(H519)&lt;0,"⚠ 账户余额成负数了，核对一下","√"))))))))))))))))))</f>
      </c>
      <c r="O519" s="78">
        <f>IF(D519&lt;&gt;"",D519,IF(AND(F519="",G519=""),"",IF(J519&lt;&gt;"",IF(N(F519)&gt;0,"客户回款","客户退款"),IF(K519&lt;&gt;"",IF(N(G519)&gt;0,"供应商付款","供应商退款"),IF(L519&lt;&gt;"","费用支出","")))))</f>
      </c>
      <c r="P519" s="78">
        <f>IF(O519="","",IFERROR(INDEX(基础资料!$AE$5:$AE$34,MATCH(O519,基础资料!$AC$5:$AC$34,0)),"未知"))</f>
      </c>
      <c r="Q519" s="78">
        <f>IF(P519="应收",COUNTIF(P$7:P519,"应收"),"")</f>
      </c>
      <c r="R519" s="78">
        <f>IF(P519="应付",COUNTIF(P$7:P519,"应付"),"")</f>
      </c>
      <c r="S519" s="78">
        <f>N(F519)-N(G519)</f>
        <v>0</v>
      </c>
    </row>
    <row r="520">
      <c r="A520" s="109">
        <f>IF(AND(F520="",G520=""),"",ROW()-6)</f>
      </c>
      <c r="B520" s="140" t="n"/>
      <c r="C520" s="141" t="n"/>
      <c r="D520" s="141" t="n"/>
      <c r="E520" s="142" t="n"/>
      <c r="F520" s="143" t="n"/>
      <c r="G520" s="144" t="n"/>
      <c r="H520" s="145">
        <f>IF(OR(C520="",AND(F520="",G520="")),"",SUMIF(基础资料!$W$5:$W$24,C520,基础资料!$X$5:$X$24)+SUMIF(C$7:C520,C520,F$7:F520)-SUMIF(C$7:C520,C520,G$7:G520))</f>
      </c>
      <c r="I520" s="145">
        <f>IF(AND(F520="",G520=""),"",SUM(基础资料!$X$5:$X$24)+SUM(F$7:F520)-SUM(G$7:G520))</f>
      </c>
      <c r="J520" s="141" t="n"/>
      <c r="K520" s="141" t="n"/>
      <c r="L520" s="141" t="n"/>
      <c r="M520" s="142" t="n"/>
      <c r="N520" s="146">
        <f>IF(AND(AND(F520="",G520=""),B520="",C520="",D520="",J520="",K520="",L520=""),"",IF(AND(F520="",G520=""),"✗ 没填金额",IF(AND(N(F520)&lt;&gt;0,N(G520)&lt;&gt;0),"✗ 收入、支出只能填一边",IF(NOT(ISNUMBER(B520)),"✗ 日期不是真日期（要像 2026/9/25 这样填）",IF(OR(B520&lt;年初日,B520&gt;年末日),"✗ 日期不在本会计年度",IF(C520="","✗ 没选账户",IF(COUNTIF(基础资料!$W$5:$W$24,C520)=0,"✗ 账户不在基础资料里",IF(O520="","✗ 没选收支项目",IF(P520="未知","✗ 收支项目不在基础资料里",IF(AND(P520="应收",J520=""),"✗ 这笔要选客户",IF(AND(P520="应收",COUNTIF(总览汇总!$B$5:$B$304,J520)=0),"✗ 客户不在总览汇总名单里",IF(AND(P520="应付",K520=""),"✗ 这笔要选供应商",IF(AND(P520="应付",COUNTIF(基础资料!$Q$5:$Q$54,K520)=0),"✗ 供应商不在基础资料里",IF(AND(P520="费用",L520=""),"✗ 费用支出要选费用项目",IF(AND(L520&lt;&gt;"",COUNTIF(基础资料!$AI$5:$AI$54,L520)=0),"✗ 费用项目不在基础资料里",IF(AND(IFERROR(INDEX(基础资料!$AD$5:$AD$34,MATCH(O520,基础资料!$AC$5:$AC$34,0)),"")="收",N(G520)&lt;&gt;0),"✗ 这类是收款，金额填到收入列",IF(AND(IFERROR(INDEX(基础资料!$AD$5:$AD$34,MATCH(O520,基础资料!$AC$5:$AC$34,0)),"")="支",N(F520)&lt;&gt;0),"✗ 这类是付款，金额填到支出列",IF(N(H520)&lt;0,"⚠ 账户余额成负数了，核对一下","√"))))))))))))))))))</f>
      </c>
      <c r="O520" s="78">
        <f>IF(D520&lt;&gt;"",D520,IF(AND(F520="",G520=""),"",IF(J520&lt;&gt;"",IF(N(F520)&gt;0,"客户回款","客户退款"),IF(K520&lt;&gt;"",IF(N(G520)&gt;0,"供应商付款","供应商退款"),IF(L520&lt;&gt;"","费用支出","")))))</f>
      </c>
      <c r="P520" s="78">
        <f>IF(O520="","",IFERROR(INDEX(基础资料!$AE$5:$AE$34,MATCH(O520,基础资料!$AC$5:$AC$34,0)),"未知"))</f>
      </c>
      <c r="Q520" s="78">
        <f>IF(P520="应收",COUNTIF(P$7:P520,"应收"),"")</f>
      </c>
      <c r="R520" s="78">
        <f>IF(P520="应付",COUNTIF(P$7:P520,"应付"),"")</f>
      </c>
      <c r="S520" s="78">
        <f>N(F520)-N(G520)</f>
        <v>0</v>
      </c>
    </row>
    <row r="521">
      <c r="A521" s="109">
        <f>IF(AND(F521="",G521=""),"",ROW()-6)</f>
      </c>
      <c r="B521" s="140" t="n"/>
      <c r="C521" s="141" t="n"/>
      <c r="D521" s="141" t="n"/>
      <c r="E521" s="142" t="n"/>
      <c r="F521" s="143" t="n"/>
      <c r="G521" s="144" t="n"/>
      <c r="H521" s="145">
        <f>IF(OR(C521="",AND(F521="",G521="")),"",SUMIF(基础资料!$W$5:$W$24,C521,基础资料!$X$5:$X$24)+SUMIF(C$7:C521,C521,F$7:F521)-SUMIF(C$7:C521,C521,G$7:G521))</f>
      </c>
      <c r="I521" s="145">
        <f>IF(AND(F521="",G521=""),"",SUM(基础资料!$X$5:$X$24)+SUM(F$7:F521)-SUM(G$7:G521))</f>
      </c>
      <c r="J521" s="141" t="n"/>
      <c r="K521" s="141" t="n"/>
      <c r="L521" s="141" t="n"/>
      <c r="M521" s="142" t="n"/>
      <c r="N521" s="146">
        <f>IF(AND(AND(F521="",G521=""),B521="",C521="",D521="",J521="",K521="",L521=""),"",IF(AND(F521="",G521=""),"✗ 没填金额",IF(AND(N(F521)&lt;&gt;0,N(G521)&lt;&gt;0),"✗ 收入、支出只能填一边",IF(NOT(ISNUMBER(B521)),"✗ 日期不是真日期（要像 2026/9/25 这样填）",IF(OR(B521&lt;年初日,B521&gt;年末日),"✗ 日期不在本会计年度",IF(C521="","✗ 没选账户",IF(COUNTIF(基础资料!$W$5:$W$24,C521)=0,"✗ 账户不在基础资料里",IF(O521="","✗ 没选收支项目",IF(P521="未知","✗ 收支项目不在基础资料里",IF(AND(P521="应收",J521=""),"✗ 这笔要选客户",IF(AND(P521="应收",COUNTIF(总览汇总!$B$5:$B$304,J521)=0),"✗ 客户不在总览汇总名单里",IF(AND(P521="应付",K521=""),"✗ 这笔要选供应商",IF(AND(P521="应付",COUNTIF(基础资料!$Q$5:$Q$54,K521)=0),"✗ 供应商不在基础资料里",IF(AND(P521="费用",L521=""),"✗ 费用支出要选费用项目",IF(AND(L521&lt;&gt;"",COUNTIF(基础资料!$AI$5:$AI$54,L521)=0),"✗ 费用项目不在基础资料里",IF(AND(IFERROR(INDEX(基础资料!$AD$5:$AD$34,MATCH(O521,基础资料!$AC$5:$AC$34,0)),"")="收",N(G521)&lt;&gt;0),"✗ 这类是收款，金额填到收入列",IF(AND(IFERROR(INDEX(基础资料!$AD$5:$AD$34,MATCH(O521,基础资料!$AC$5:$AC$34,0)),"")="支",N(F521)&lt;&gt;0),"✗ 这类是付款，金额填到支出列",IF(N(H521)&lt;0,"⚠ 账户余额成负数了，核对一下","√"))))))))))))))))))</f>
      </c>
      <c r="O521" s="78">
        <f>IF(D521&lt;&gt;"",D521,IF(AND(F521="",G521=""),"",IF(J521&lt;&gt;"",IF(N(F521)&gt;0,"客户回款","客户退款"),IF(K521&lt;&gt;"",IF(N(G521)&gt;0,"供应商付款","供应商退款"),IF(L521&lt;&gt;"","费用支出","")))))</f>
      </c>
      <c r="P521" s="78">
        <f>IF(O521="","",IFERROR(INDEX(基础资料!$AE$5:$AE$34,MATCH(O521,基础资料!$AC$5:$AC$34,0)),"未知"))</f>
      </c>
      <c r="Q521" s="78">
        <f>IF(P521="应收",COUNTIF(P$7:P521,"应收"),"")</f>
      </c>
      <c r="R521" s="78">
        <f>IF(P521="应付",COUNTIF(P$7:P521,"应付"),"")</f>
      </c>
      <c r="S521" s="78">
        <f>N(F521)-N(G521)</f>
        <v>0</v>
      </c>
    </row>
    <row r="522">
      <c r="A522" s="109">
        <f>IF(AND(F522="",G522=""),"",ROW()-6)</f>
      </c>
      <c r="B522" s="140" t="n"/>
      <c r="C522" s="141" t="n"/>
      <c r="D522" s="141" t="n"/>
      <c r="E522" s="142" t="n"/>
      <c r="F522" s="143" t="n"/>
      <c r="G522" s="144" t="n"/>
      <c r="H522" s="145">
        <f>IF(OR(C522="",AND(F522="",G522="")),"",SUMIF(基础资料!$W$5:$W$24,C522,基础资料!$X$5:$X$24)+SUMIF(C$7:C522,C522,F$7:F522)-SUMIF(C$7:C522,C522,G$7:G522))</f>
      </c>
      <c r="I522" s="145">
        <f>IF(AND(F522="",G522=""),"",SUM(基础资料!$X$5:$X$24)+SUM(F$7:F522)-SUM(G$7:G522))</f>
      </c>
      <c r="J522" s="141" t="n"/>
      <c r="K522" s="141" t="n"/>
      <c r="L522" s="141" t="n"/>
      <c r="M522" s="142" t="n"/>
      <c r="N522" s="146">
        <f>IF(AND(AND(F522="",G522=""),B522="",C522="",D522="",J522="",K522="",L522=""),"",IF(AND(F522="",G522=""),"✗ 没填金额",IF(AND(N(F522)&lt;&gt;0,N(G522)&lt;&gt;0),"✗ 收入、支出只能填一边",IF(NOT(ISNUMBER(B522)),"✗ 日期不是真日期（要像 2026/9/25 这样填）",IF(OR(B522&lt;年初日,B522&gt;年末日),"✗ 日期不在本会计年度",IF(C522="","✗ 没选账户",IF(COUNTIF(基础资料!$W$5:$W$24,C522)=0,"✗ 账户不在基础资料里",IF(O522="","✗ 没选收支项目",IF(P522="未知","✗ 收支项目不在基础资料里",IF(AND(P522="应收",J522=""),"✗ 这笔要选客户",IF(AND(P522="应收",COUNTIF(总览汇总!$B$5:$B$304,J522)=0),"✗ 客户不在总览汇总名单里",IF(AND(P522="应付",K522=""),"✗ 这笔要选供应商",IF(AND(P522="应付",COUNTIF(基础资料!$Q$5:$Q$54,K522)=0),"✗ 供应商不在基础资料里",IF(AND(P522="费用",L522=""),"✗ 费用支出要选费用项目",IF(AND(L522&lt;&gt;"",COUNTIF(基础资料!$AI$5:$AI$54,L522)=0),"✗ 费用项目不在基础资料里",IF(AND(IFERROR(INDEX(基础资料!$AD$5:$AD$34,MATCH(O522,基础资料!$AC$5:$AC$34,0)),"")="收",N(G522)&lt;&gt;0),"✗ 这类是收款，金额填到收入列",IF(AND(IFERROR(INDEX(基础资料!$AD$5:$AD$34,MATCH(O522,基础资料!$AC$5:$AC$34,0)),"")="支",N(F522)&lt;&gt;0),"✗ 这类是付款，金额填到支出列",IF(N(H522)&lt;0,"⚠ 账户余额成负数了，核对一下","√"))))))))))))))))))</f>
      </c>
      <c r="O522" s="78">
        <f>IF(D522&lt;&gt;"",D522,IF(AND(F522="",G522=""),"",IF(J522&lt;&gt;"",IF(N(F522)&gt;0,"客户回款","客户退款"),IF(K522&lt;&gt;"",IF(N(G522)&gt;0,"供应商付款","供应商退款"),IF(L522&lt;&gt;"","费用支出","")))))</f>
      </c>
      <c r="P522" s="78">
        <f>IF(O522="","",IFERROR(INDEX(基础资料!$AE$5:$AE$34,MATCH(O522,基础资料!$AC$5:$AC$34,0)),"未知"))</f>
      </c>
      <c r="Q522" s="78">
        <f>IF(P522="应收",COUNTIF(P$7:P522,"应收"),"")</f>
      </c>
      <c r="R522" s="78">
        <f>IF(P522="应付",COUNTIF(P$7:P522,"应付"),"")</f>
      </c>
      <c r="S522" s="78">
        <f>N(F522)-N(G522)</f>
        <v>0</v>
      </c>
    </row>
    <row r="523">
      <c r="A523" s="109">
        <f>IF(AND(F523="",G523=""),"",ROW()-6)</f>
      </c>
      <c r="B523" s="140" t="n"/>
      <c r="C523" s="141" t="n"/>
      <c r="D523" s="141" t="n"/>
      <c r="E523" s="142" t="n"/>
      <c r="F523" s="143" t="n"/>
      <c r="G523" s="144" t="n"/>
      <c r="H523" s="145">
        <f>IF(OR(C523="",AND(F523="",G523="")),"",SUMIF(基础资料!$W$5:$W$24,C523,基础资料!$X$5:$X$24)+SUMIF(C$7:C523,C523,F$7:F523)-SUMIF(C$7:C523,C523,G$7:G523))</f>
      </c>
      <c r="I523" s="145">
        <f>IF(AND(F523="",G523=""),"",SUM(基础资料!$X$5:$X$24)+SUM(F$7:F523)-SUM(G$7:G523))</f>
      </c>
      <c r="J523" s="141" t="n"/>
      <c r="K523" s="141" t="n"/>
      <c r="L523" s="141" t="n"/>
      <c r="M523" s="142" t="n"/>
      <c r="N523" s="146">
        <f>IF(AND(AND(F523="",G523=""),B523="",C523="",D523="",J523="",K523="",L523=""),"",IF(AND(F523="",G523=""),"✗ 没填金额",IF(AND(N(F523)&lt;&gt;0,N(G523)&lt;&gt;0),"✗ 收入、支出只能填一边",IF(NOT(ISNUMBER(B523)),"✗ 日期不是真日期（要像 2026/9/25 这样填）",IF(OR(B523&lt;年初日,B523&gt;年末日),"✗ 日期不在本会计年度",IF(C523="","✗ 没选账户",IF(COUNTIF(基础资料!$W$5:$W$24,C523)=0,"✗ 账户不在基础资料里",IF(O523="","✗ 没选收支项目",IF(P523="未知","✗ 收支项目不在基础资料里",IF(AND(P523="应收",J523=""),"✗ 这笔要选客户",IF(AND(P523="应收",COUNTIF(总览汇总!$B$5:$B$304,J523)=0),"✗ 客户不在总览汇总名单里",IF(AND(P523="应付",K523=""),"✗ 这笔要选供应商",IF(AND(P523="应付",COUNTIF(基础资料!$Q$5:$Q$54,K523)=0),"✗ 供应商不在基础资料里",IF(AND(P523="费用",L523=""),"✗ 费用支出要选费用项目",IF(AND(L523&lt;&gt;"",COUNTIF(基础资料!$AI$5:$AI$54,L523)=0),"✗ 费用项目不在基础资料里",IF(AND(IFERROR(INDEX(基础资料!$AD$5:$AD$34,MATCH(O523,基础资料!$AC$5:$AC$34,0)),"")="收",N(G523)&lt;&gt;0),"✗ 这类是收款，金额填到收入列",IF(AND(IFERROR(INDEX(基础资料!$AD$5:$AD$34,MATCH(O523,基础资料!$AC$5:$AC$34,0)),"")="支",N(F523)&lt;&gt;0),"✗ 这类是付款，金额填到支出列",IF(N(H523)&lt;0,"⚠ 账户余额成负数了，核对一下","√"))))))))))))))))))</f>
      </c>
      <c r="O523" s="78">
        <f>IF(D523&lt;&gt;"",D523,IF(AND(F523="",G523=""),"",IF(J523&lt;&gt;"",IF(N(F523)&gt;0,"客户回款","客户退款"),IF(K523&lt;&gt;"",IF(N(G523)&gt;0,"供应商付款","供应商退款"),IF(L523&lt;&gt;"","费用支出","")))))</f>
      </c>
      <c r="P523" s="78">
        <f>IF(O523="","",IFERROR(INDEX(基础资料!$AE$5:$AE$34,MATCH(O523,基础资料!$AC$5:$AC$34,0)),"未知"))</f>
      </c>
      <c r="Q523" s="78">
        <f>IF(P523="应收",COUNTIF(P$7:P523,"应收"),"")</f>
      </c>
      <c r="R523" s="78">
        <f>IF(P523="应付",COUNTIF(P$7:P523,"应付"),"")</f>
      </c>
      <c r="S523" s="78">
        <f>N(F523)-N(G523)</f>
        <v>0</v>
      </c>
    </row>
    <row r="524">
      <c r="A524" s="109">
        <f>IF(AND(F524="",G524=""),"",ROW()-6)</f>
      </c>
      <c r="B524" s="140" t="n"/>
      <c r="C524" s="141" t="n"/>
      <c r="D524" s="141" t="n"/>
      <c r="E524" s="142" t="n"/>
      <c r="F524" s="143" t="n"/>
      <c r="G524" s="144" t="n"/>
      <c r="H524" s="145">
        <f>IF(OR(C524="",AND(F524="",G524="")),"",SUMIF(基础资料!$W$5:$W$24,C524,基础资料!$X$5:$X$24)+SUMIF(C$7:C524,C524,F$7:F524)-SUMIF(C$7:C524,C524,G$7:G524))</f>
      </c>
      <c r="I524" s="145">
        <f>IF(AND(F524="",G524=""),"",SUM(基础资料!$X$5:$X$24)+SUM(F$7:F524)-SUM(G$7:G524))</f>
      </c>
      <c r="J524" s="141" t="n"/>
      <c r="K524" s="141" t="n"/>
      <c r="L524" s="141" t="n"/>
      <c r="M524" s="142" t="n"/>
      <c r="N524" s="146">
        <f>IF(AND(AND(F524="",G524=""),B524="",C524="",D524="",J524="",K524="",L524=""),"",IF(AND(F524="",G524=""),"✗ 没填金额",IF(AND(N(F524)&lt;&gt;0,N(G524)&lt;&gt;0),"✗ 收入、支出只能填一边",IF(NOT(ISNUMBER(B524)),"✗ 日期不是真日期（要像 2026/9/25 这样填）",IF(OR(B524&lt;年初日,B524&gt;年末日),"✗ 日期不在本会计年度",IF(C524="","✗ 没选账户",IF(COUNTIF(基础资料!$W$5:$W$24,C524)=0,"✗ 账户不在基础资料里",IF(O524="","✗ 没选收支项目",IF(P524="未知","✗ 收支项目不在基础资料里",IF(AND(P524="应收",J524=""),"✗ 这笔要选客户",IF(AND(P524="应收",COUNTIF(总览汇总!$B$5:$B$304,J524)=0),"✗ 客户不在总览汇总名单里",IF(AND(P524="应付",K524=""),"✗ 这笔要选供应商",IF(AND(P524="应付",COUNTIF(基础资料!$Q$5:$Q$54,K524)=0),"✗ 供应商不在基础资料里",IF(AND(P524="费用",L524=""),"✗ 费用支出要选费用项目",IF(AND(L524&lt;&gt;"",COUNTIF(基础资料!$AI$5:$AI$54,L524)=0),"✗ 费用项目不在基础资料里",IF(AND(IFERROR(INDEX(基础资料!$AD$5:$AD$34,MATCH(O524,基础资料!$AC$5:$AC$34,0)),"")="收",N(G524)&lt;&gt;0),"✗ 这类是收款，金额填到收入列",IF(AND(IFERROR(INDEX(基础资料!$AD$5:$AD$34,MATCH(O524,基础资料!$AC$5:$AC$34,0)),"")="支",N(F524)&lt;&gt;0),"✗ 这类是付款，金额填到支出列",IF(N(H524)&lt;0,"⚠ 账户余额成负数了，核对一下","√"))))))))))))))))))</f>
      </c>
      <c r="O524" s="78">
        <f>IF(D524&lt;&gt;"",D524,IF(AND(F524="",G524=""),"",IF(J524&lt;&gt;"",IF(N(F524)&gt;0,"客户回款","客户退款"),IF(K524&lt;&gt;"",IF(N(G524)&gt;0,"供应商付款","供应商退款"),IF(L524&lt;&gt;"","费用支出","")))))</f>
      </c>
      <c r="P524" s="78">
        <f>IF(O524="","",IFERROR(INDEX(基础资料!$AE$5:$AE$34,MATCH(O524,基础资料!$AC$5:$AC$34,0)),"未知"))</f>
      </c>
      <c r="Q524" s="78">
        <f>IF(P524="应收",COUNTIF(P$7:P524,"应收"),"")</f>
      </c>
      <c r="R524" s="78">
        <f>IF(P524="应付",COUNTIF(P$7:P524,"应付"),"")</f>
      </c>
      <c r="S524" s="78">
        <f>N(F524)-N(G524)</f>
        <v>0</v>
      </c>
    </row>
    <row r="525">
      <c r="A525" s="109">
        <f>IF(AND(F525="",G525=""),"",ROW()-6)</f>
      </c>
      <c r="B525" s="140" t="n"/>
      <c r="C525" s="141" t="n"/>
      <c r="D525" s="141" t="n"/>
      <c r="E525" s="142" t="n"/>
      <c r="F525" s="143" t="n"/>
      <c r="G525" s="144" t="n"/>
      <c r="H525" s="145">
        <f>IF(OR(C525="",AND(F525="",G525="")),"",SUMIF(基础资料!$W$5:$W$24,C525,基础资料!$X$5:$X$24)+SUMIF(C$7:C525,C525,F$7:F525)-SUMIF(C$7:C525,C525,G$7:G525))</f>
      </c>
      <c r="I525" s="145">
        <f>IF(AND(F525="",G525=""),"",SUM(基础资料!$X$5:$X$24)+SUM(F$7:F525)-SUM(G$7:G525))</f>
      </c>
      <c r="J525" s="141" t="n"/>
      <c r="K525" s="141" t="n"/>
      <c r="L525" s="141" t="n"/>
      <c r="M525" s="142" t="n"/>
      <c r="N525" s="146">
        <f>IF(AND(AND(F525="",G525=""),B525="",C525="",D525="",J525="",K525="",L525=""),"",IF(AND(F525="",G525=""),"✗ 没填金额",IF(AND(N(F525)&lt;&gt;0,N(G525)&lt;&gt;0),"✗ 收入、支出只能填一边",IF(NOT(ISNUMBER(B525)),"✗ 日期不是真日期（要像 2026/9/25 这样填）",IF(OR(B525&lt;年初日,B525&gt;年末日),"✗ 日期不在本会计年度",IF(C525="","✗ 没选账户",IF(COUNTIF(基础资料!$W$5:$W$24,C525)=0,"✗ 账户不在基础资料里",IF(O525="","✗ 没选收支项目",IF(P525="未知","✗ 收支项目不在基础资料里",IF(AND(P525="应收",J525=""),"✗ 这笔要选客户",IF(AND(P525="应收",COUNTIF(总览汇总!$B$5:$B$304,J525)=0),"✗ 客户不在总览汇总名单里",IF(AND(P525="应付",K525=""),"✗ 这笔要选供应商",IF(AND(P525="应付",COUNTIF(基础资料!$Q$5:$Q$54,K525)=0),"✗ 供应商不在基础资料里",IF(AND(P525="费用",L525=""),"✗ 费用支出要选费用项目",IF(AND(L525&lt;&gt;"",COUNTIF(基础资料!$AI$5:$AI$54,L525)=0),"✗ 费用项目不在基础资料里",IF(AND(IFERROR(INDEX(基础资料!$AD$5:$AD$34,MATCH(O525,基础资料!$AC$5:$AC$34,0)),"")="收",N(G525)&lt;&gt;0),"✗ 这类是收款，金额填到收入列",IF(AND(IFERROR(INDEX(基础资料!$AD$5:$AD$34,MATCH(O525,基础资料!$AC$5:$AC$34,0)),"")="支",N(F525)&lt;&gt;0),"✗ 这类是付款，金额填到支出列",IF(N(H525)&lt;0,"⚠ 账户余额成负数了，核对一下","√"))))))))))))))))))</f>
      </c>
      <c r="O525" s="78">
        <f>IF(D525&lt;&gt;"",D525,IF(AND(F525="",G525=""),"",IF(J525&lt;&gt;"",IF(N(F525)&gt;0,"客户回款","客户退款"),IF(K525&lt;&gt;"",IF(N(G525)&gt;0,"供应商付款","供应商退款"),IF(L525&lt;&gt;"","费用支出","")))))</f>
      </c>
      <c r="P525" s="78">
        <f>IF(O525="","",IFERROR(INDEX(基础资料!$AE$5:$AE$34,MATCH(O525,基础资料!$AC$5:$AC$34,0)),"未知"))</f>
      </c>
      <c r="Q525" s="78">
        <f>IF(P525="应收",COUNTIF(P$7:P525,"应收"),"")</f>
      </c>
      <c r="R525" s="78">
        <f>IF(P525="应付",COUNTIF(P$7:P525,"应付"),"")</f>
      </c>
      <c r="S525" s="78">
        <f>N(F525)-N(G525)</f>
        <v>0</v>
      </c>
    </row>
    <row r="526">
      <c r="A526" s="109">
        <f>IF(AND(F526="",G526=""),"",ROW()-6)</f>
      </c>
      <c r="B526" s="140" t="n"/>
      <c r="C526" s="141" t="n"/>
      <c r="D526" s="141" t="n"/>
      <c r="E526" s="142" t="n"/>
      <c r="F526" s="143" t="n"/>
      <c r="G526" s="144" t="n"/>
      <c r="H526" s="145">
        <f>IF(OR(C526="",AND(F526="",G526="")),"",SUMIF(基础资料!$W$5:$W$24,C526,基础资料!$X$5:$X$24)+SUMIF(C$7:C526,C526,F$7:F526)-SUMIF(C$7:C526,C526,G$7:G526))</f>
      </c>
      <c r="I526" s="145">
        <f>IF(AND(F526="",G526=""),"",SUM(基础资料!$X$5:$X$24)+SUM(F$7:F526)-SUM(G$7:G526))</f>
      </c>
      <c r="J526" s="141" t="n"/>
      <c r="K526" s="141" t="n"/>
      <c r="L526" s="141" t="n"/>
      <c r="M526" s="142" t="n"/>
      <c r="N526" s="146">
        <f>IF(AND(AND(F526="",G526=""),B526="",C526="",D526="",J526="",K526="",L526=""),"",IF(AND(F526="",G526=""),"✗ 没填金额",IF(AND(N(F526)&lt;&gt;0,N(G526)&lt;&gt;0),"✗ 收入、支出只能填一边",IF(NOT(ISNUMBER(B526)),"✗ 日期不是真日期（要像 2026/9/25 这样填）",IF(OR(B526&lt;年初日,B526&gt;年末日),"✗ 日期不在本会计年度",IF(C526="","✗ 没选账户",IF(COUNTIF(基础资料!$W$5:$W$24,C526)=0,"✗ 账户不在基础资料里",IF(O526="","✗ 没选收支项目",IF(P526="未知","✗ 收支项目不在基础资料里",IF(AND(P526="应收",J526=""),"✗ 这笔要选客户",IF(AND(P526="应收",COUNTIF(总览汇总!$B$5:$B$304,J526)=0),"✗ 客户不在总览汇总名单里",IF(AND(P526="应付",K526=""),"✗ 这笔要选供应商",IF(AND(P526="应付",COUNTIF(基础资料!$Q$5:$Q$54,K526)=0),"✗ 供应商不在基础资料里",IF(AND(P526="费用",L526=""),"✗ 费用支出要选费用项目",IF(AND(L526&lt;&gt;"",COUNTIF(基础资料!$AI$5:$AI$54,L526)=0),"✗ 费用项目不在基础资料里",IF(AND(IFERROR(INDEX(基础资料!$AD$5:$AD$34,MATCH(O526,基础资料!$AC$5:$AC$34,0)),"")="收",N(G526)&lt;&gt;0),"✗ 这类是收款，金额填到收入列",IF(AND(IFERROR(INDEX(基础资料!$AD$5:$AD$34,MATCH(O526,基础资料!$AC$5:$AC$34,0)),"")="支",N(F526)&lt;&gt;0),"✗ 这类是付款，金额填到支出列",IF(N(H526)&lt;0,"⚠ 账户余额成负数了，核对一下","√"))))))))))))))))))</f>
      </c>
      <c r="O526" s="78">
        <f>IF(D526&lt;&gt;"",D526,IF(AND(F526="",G526=""),"",IF(J526&lt;&gt;"",IF(N(F526)&gt;0,"客户回款","客户退款"),IF(K526&lt;&gt;"",IF(N(G526)&gt;0,"供应商付款","供应商退款"),IF(L526&lt;&gt;"","费用支出","")))))</f>
      </c>
      <c r="P526" s="78">
        <f>IF(O526="","",IFERROR(INDEX(基础资料!$AE$5:$AE$34,MATCH(O526,基础资料!$AC$5:$AC$34,0)),"未知"))</f>
      </c>
      <c r="Q526" s="78">
        <f>IF(P526="应收",COUNTIF(P$7:P526,"应收"),"")</f>
      </c>
      <c r="R526" s="78">
        <f>IF(P526="应付",COUNTIF(P$7:P526,"应付"),"")</f>
      </c>
      <c r="S526" s="78">
        <f>N(F526)-N(G526)</f>
        <v>0</v>
      </c>
    </row>
    <row r="527">
      <c r="A527" s="109">
        <f>IF(AND(F527="",G527=""),"",ROW()-6)</f>
      </c>
      <c r="B527" s="140" t="n"/>
      <c r="C527" s="141" t="n"/>
      <c r="D527" s="141" t="n"/>
      <c r="E527" s="142" t="n"/>
      <c r="F527" s="143" t="n"/>
      <c r="G527" s="144" t="n"/>
      <c r="H527" s="145">
        <f>IF(OR(C527="",AND(F527="",G527="")),"",SUMIF(基础资料!$W$5:$W$24,C527,基础资料!$X$5:$X$24)+SUMIF(C$7:C527,C527,F$7:F527)-SUMIF(C$7:C527,C527,G$7:G527))</f>
      </c>
      <c r="I527" s="145">
        <f>IF(AND(F527="",G527=""),"",SUM(基础资料!$X$5:$X$24)+SUM(F$7:F527)-SUM(G$7:G527))</f>
      </c>
      <c r="J527" s="141" t="n"/>
      <c r="K527" s="141" t="n"/>
      <c r="L527" s="141" t="n"/>
      <c r="M527" s="142" t="n"/>
      <c r="N527" s="146">
        <f>IF(AND(AND(F527="",G527=""),B527="",C527="",D527="",J527="",K527="",L527=""),"",IF(AND(F527="",G527=""),"✗ 没填金额",IF(AND(N(F527)&lt;&gt;0,N(G527)&lt;&gt;0),"✗ 收入、支出只能填一边",IF(NOT(ISNUMBER(B527)),"✗ 日期不是真日期（要像 2026/9/25 这样填）",IF(OR(B527&lt;年初日,B527&gt;年末日),"✗ 日期不在本会计年度",IF(C527="","✗ 没选账户",IF(COUNTIF(基础资料!$W$5:$W$24,C527)=0,"✗ 账户不在基础资料里",IF(O527="","✗ 没选收支项目",IF(P527="未知","✗ 收支项目不在基础资料里",IF(AND(P527="应收",J527=""),"✗ 这笔要选客户",IF(AND(P527="应收",COUNTIF(总览汇总!$B$5:$B$304,J527)=0),"✗ 客户不在总览汇总名单里",IF(AND(P527="应付",K527=""),"✗ 这笔要选供应商",IF(AND(P527="应付",COUNTIF(基础资料!$Q$5:$Q$54,K527)=0),"✗ 供应商不在基础资料里",IF(AND(P527="费用",L527=""),"✗ 费用支出要选费用项目",IF(AND(L527&lt;&gt;"",COUNTIF(基础资料!$AI$5:$AI$54,L527)=0),"✗ 费用项目不在基础资料里",IF(AND(IFERROR(INDEX(基础资料!$AD$5:$AD$34,MATCH(O527,基础资料!$AC$5:$AC$34,0)),"")="收",N(G527)&lt;&gt;0),"✗ 这类是收款，金额填到收入列",IF(AND(IFERROR(INDEX(基础资料!$AD$5:$AD$34,MATCH(O527,基础资料!$AC$5:$AC$34,0)),"")="支",N(F527)&lt;&gt;0),"✗ 这类是付款，金额填到支出列",IF(N(H527)&lt;0,"⚠ 账户余额成负数了，核对一下","√"))))))))))))))))))</f>
      </c>
      <c r="O527" s="78">
        <f>IF(D527&lt;&gt;"",D527,IF(AND(F527="",G527=""),"",IF(J527&lt;&gt;"",IF(N(F527)&gt;0,"客户回款","客户退款"),IF(K527&lt;&gt;"",IF(N(G527)&gt;0,"供应商付款","供应商退款"),IF(L527&lt;&gt;"","费用支出","")))))</f>
      </c>
      <c r="P527" s="78">
        <f>IF(O527="","",IFERROR(INDEX(基础资料!$AE$5:$AE$34,MATCH(O527,基础资料!$AC$5:$AC$34,0)),"未知"))</f>
      </c>
      <c r="Q527" s="78">
        <f>IF(P527="应收",COUNTIF(P$7:P527,"应收"),"")</f>
      </c>
      <c r="R527" s="78">
        <f>IF(P527="应付",COUNTIF(P$7:P527,"应付"),"")</f>
      </c>
      <c r="S527" s="78">
        <f>N(F527)-N(G527)</f>
        <v>0</v>
      </c>
    </row>
    <row r="528">
      <c r="A528" s="109">
        <f>IF(AND(F528="",G528=""),"",ROW()-6)</f>
      </c>
      <c r="B528" s="140" t="n"/>
      <c r="C528" s="141" t="n"/>
      <c r="D528" s="141" t="n"/>
      <c r="E528" s="142" t="n"/>
      <c r="F528" s="143" t="n"/>
      <c r="G528" s="144" t="n"/>
      <c r="H528" s="145">
        <f>IF(OR(C528="",AND(F528="",G528="")),"",SUMIF(基础资料!$W$5:$W$24,C528,基础资料!$X$5:$X$24)+SUMIF(C$7:C528,C528,F$7:F528)-SUMIF(C$7:C528,C528,G$7:G528))</f>
      </c>
      <c r="I528" s="145">
        <f>IF(AND(F528="",G528=""),"",SUM(基础资料!$X$5:$X$24)+SUM(F$7:F528)-SUM(G$7:G528))</f>
      </c>
      <c r="J528" s="141" t="n"/>
      <c r="K528" s="141" t="n"/>
      <c r="L528" s="141" t="n"/>
      <c r="M528" s="142" t="n"/>
      <c r="N528" s="146">
        <f>IF(AND(AND(F528="",G528=""),B528="",C528="",D528="",J528="",K528="",L528=""),"",IF(AND(F528="",G528=""),"✗ 没填金额",IF(AND(N(F528)&lt;&gt;0,N(G528)&lt;&gt;0),"✗ 收入、支出只能填一边",IF(NOT(ISNUMBER(B528)),"✗ 日期不是真日期（要像 2026/9/25 这样填）",IF(OR(B528&lt;年初日,B528&gt;年末日),"✗ 日期不在本会计年度",IF(C528="","✗ 没选账户",IF(COUNTIF(基础资料!$W$5:$W$24,C528)=0,"✗ 账户不在基础资料里",IF(O528="","✗ 没选收支项目",IF(P528="未知","✗ 收支项目不在基础资料里",IF(AND(P528="应收",J528=""),"✗ 这笔要选客户",IF(AND(P528="应收",COUNTIF(总览汇总!$B$5:$B$304,J528)=0),"✗ 客户不在总览汇总名单里",IF(AND(P528="应付",K528=""),"✗ 这笔要选供应商",IF(AND(P528="应付",COUNTIF(基础资料!$Q$5:$Q$54,K528)=0),"✗ 供应商不在基础资料里",IF(AND(P528="费用",L528=""),"✗ 费用支出要选费用项目",IF(AND(L528&lt;&gt;"",COUNTIF(基础资料!$AI$5:$AI$54,L528)=0),"✗ 费用项目不在基础资料里",IF(AND(IFERROR(INDEX(基础资料!$AD$5:$AD$34,MATCH(O528,基础资料!$AC$5:$AC$34,0)),"")="收",N(G528)&lt;&gt;0),"✗ 这类是收款，金额填到收入列",IF(AND(IFERROR(INDEX(基础资料!$AD$5:$AD$34,MATCH(O528,基础资料!$AC$5:$AC$34,0)),"")="支",N(F528)&lt;&gt;0),"✗ 这类是付款，金额填到支出列",IF(N(H528)&lt;0,"⚠ 账户余额成负数了，核对一下","√"))))))))))))))))))</f>
      </c>
      <c r="O528" s="78">
        <f>IF(D528&lt;&gt;"",D528,IF(AND(F528="",G528=""),"",IF(J528&lt;&gt;"",IF(N(F528)&gt;0,"客户回款","客户退款"),IF(K528&lt;&gt;"",IF(N(G528)&gt;0,"供应商付款","供应商退款"),IF(L528&lt;&gt;"","费用支出","")))))</f>
      </c>
      <c r="P528" s="78">
        <f>IF(O528="","",IFERROR(INDEX(基础资料!$AE$5:$AE$34,MATCH(O528,基础资料!$AC$5:$AC$34,0)),"未知"))</f>
      </c>
      <c r="Q528" s="78">
        <f>IF(P528="应收",COUNTIF(P$7:P528,"应收"),"")</f>
      </c>
      <c r="R528" s="78">
        <f>IF(P528="应付",COUNTIF(P$7:P528,"应付"),"")</f>
      </c>
      <c r="S528" s="78">
        <f>N(F528)-N(G528)</f>
        <v>0</v>
      </c>
    </row>
    <row r="529">
      <c r="A529" s="109">
        <f>IF(AND(F529="",G529=""),"",ROW()-6)</f>
      </c>
      <c r="B529" s="140" t="n"/>
      <c r="C529" s="141" t="n"/>
      <c r="D529" s="141" t="n"/>
      <c r="E529" s="142" t="n"/>
      <c r="F529" s="143" t="n"/>
      <c r="G529" s="144" t="n"/>
      <c r="H529" s="145">
        <f>IF(OR(C529="",AND(F529="",G529="")),"",SUMIF(基础资料!$W$5:$W$24,C529,基础资料!$X$5:$X$24)+SUMIF(C$7:C529,C529,F$7:F529)-SUMIF(C$7:C529,C529,G$7:G529))</f>
      </c>
      <c r="I529" s="145">
        <f>IF(AND(F529="",G529=""),"",SUM(基础资料!$X$5:$X$24)+SUM(F$7:F529)-SUM(G$7:G529))</f>
      </c>
      <c r="J529" s="141" t="n"/>
      <c r="K529" s="141" t="n"/>
      <c r="L529" s="141" t="n"/>
      <c r="M529" s="142" t="n"/>
      <c r="N529" s="146">
        <f>IF(AND(AND(F529="",G529=""),B529="",C529="",D529="",J529="",K529="",L529=""),"",IF(AND(F529="",G529=""),"✗ 没填金额",IF(AND(N(F529)&lt;&gt;0,N(G529)&lt;&gt;0),"✗ 收入、支出只能填一边",IF(NOT(ISNUMBER(B529)),"✗ 日期不是真日期（要像 2026/9/25 这样填）",IF(OR(B529&lt;年初日,B529&gt;年末日),"✗ 日期不在本会计年度",IF(C529="","✗ 没选账户",IF(COUNTIF(基础资料!$W$5:$W$24,C529)=0,"✗ 账户不在基础资料里",IF(O529="","✗ 没选收支项目",IF(P529="未知","✗ 收支项目不在基础资料里",IF(AND(P529="应收",J529=""),"✗ 这笔要选客户",IF(AND(P529="应收",COUNTIF(总览汇总!$B$5:$B$304,J529)=0),"✗ 客户不在总览汇总名单里",IF(AND(P529="应付",K529=""),"✗ 这笔要选供应商",IF(AND(P529="应付",COUNTIF(基础资料!$Q$5:$Q$54,K529)=0),"✗ 供应商不在基础资料里",IF(AND(P529="费用",L529=""),"✗ 费用支出要选费用项目",IF(AND(L529&lt;&gt;"",COUNTIF(基础资料!$AI$5:$AI$54,L529)=0),"✗ 费用项目不在基础资料里",IF(AND(IFERROR(INDEX(基础资料!$AD$5:$AD$34,MATCH(O529,基础资料!$AC$5:$AC$34,0)),"")="收",N(G529)&lt;&gt;0),"✗ 这类是收款，金额填到收入列",IF(AND(IFERROR(INDEX(基础资料!$AD$5:$AD$34,MATCH(O529,基础资料!$AC$5:$AC$34,0)),"")="支",N(F529)&lt;&gt;0),"✗ 这类是付款，金额填到支出列",IF(N(H529)&lt;0,"⚠ 账户余额成负数了，核对一下","√"))))))))))))))))))</f>
      </c>
      <c r="O529" s="78">
        <f>IF(D529&lt;&gt;"",D529,IF(AND(F529="",G529=""),"",IF(J529&lt;&gt;"",IF(N(F529)&gt;0,"客户回款","客户退款"),IF(K529&lt;&gt;"",IF(N(G529)&gt;0,"供应商付款","供应商退款"),IF(L529&lt;&gt;"","费用支出","")))))</f>
      </c>
      <c r="P529" s="78">
        <f>IF(O529="","",IFERROR(INDEX(基础资料!$AE$5:$AE$34,MATCH(O529,基础资料!$AC$5:$AC$34,0)),"未知"))</f>
      </c>
      <c r="Q529" s="78">
        <f>IF(P529="应收",COUNTIF(P$7:P529,"应收"),"")</f>
      </c>
      <c r="R529" s="78">
        <f>IF(P529="应付",COUNTIF(P$7:P529,"应付"),"")</f>
      </c>
      <c r="S529" s="78">
        <f>N(F529)-N(G529)</f>
        <v>0</v>
      </c>
    </row>
    <row r="530">
      <c r="A530" s="109">
        <f>IF(AND(F530="",G530=""),"",ROW()-6)</f>
      </c>
      <c r="B530" s="140" t="n"/>
      <c r="C530" s="141" t="n"/>
      <c r="D530" s="141" t="n"/>
      <c r="E530" s="142" t="n"/>
      <c r="F530" s="143" t="n"/>
      <c r="G530" s="144" t="n"/>
      <c r="H530" s="145">
        <f>IF(OR(C530="",AND(F530="",G530="")),"",SUMIF(基础资料!$W$5:$W$24,C530,基础资料!$X$5:$X$24)+SUMIF(C$7:C530,C530,F$7:F530)-SUMIF(C$7:C530,C530,G$7:G530))</f>
      </c>
      <c r="I530" s="145">
        <f>IF(AND(F530="",G530=""),"",SUM(基础资料!$X$5:$X$24)+SUM(F$7:F530)-SUM(G$7:G530))</f>
      </c>
      <c r="J530" s="141" t="n"/>
      <c r="K530" s="141" t="n"/>
      <c r="L530" s="141" t="n"/>
      <c r="M530" s="142" t="n"/>
      <c r="N530" s="146">
        <f>IF(AND(AND(F530="",G530=""),B530="",C530="",D530="",J530="",K530="",L530=""),"",IF(AND(F530="",G530=""),"✗ 没填金额",IF(AND(N(F530)&lt;&gt;0,N(G530)&lt;&gt;0),"✗ 收入、支出只能填一边",IF(NOT(ISNUMBER(B530)),"✗ 日期不是真日期（要像 2026/9/25 这样填）",IF(OR(B530&lt;年初日,B530&gt;年末日),"✗ 日期不在本会计年度",IF(C530="","✗ 没选账户",IF(COUNTIF(基础资料!$W$5:$W$24,C530)=0,"✗ 账户不在基础资料里",IF(O530="","✗ 没选收支项目",IF(P530="未知","✗ 收支项目不在基础资料里",IF(AND(P530="应收",J530=""),"✗ 这笔要选客户",IF(AND(P530="应收",COUNTIF(总览汇总!$B$5:$B$304,J530)=0),"✗ 客户不在总览汇总名单里",IF(AND(P530="应付",K530=""),"✗ 这笔要选供应商",IF(AND(P530="应付",COUNTIF(基础资料!$Q$5:$Q$54,K530)=0),"✗ 供应商不在基础资料里",IF(AND(P530="费用",L530=""),"✗ 费用支出要选费用项目",IF(AND(L530&lt;&gt;"",COUNTIF(基础资料!$AI$5:$AI$54,L530)=0),"✗ 费用项目不在基础资料里",IF(AND(IFERROR(INDEX(基础资料!$AD$5:$AD$34,MATCH(O530,基础资料!$AC$5:$AC$34,0)),"")="收",N(G530)&lt;&gt;0),"✗ 这类是收款，金额填到收入列",IF(AND(IFERROR(INDEX(基础资料!$AD$5:$AD$34,MATCH(O530,基础资料!$AC$5:$AC$34,0)),"")="支",N(F530)&lt;&gt;0),"✗ 这类是付款，金额填到支出列",IF(N(H530)&lt;0,"⚠ 账户余额成负数了，核对一下","√"))))))))))))))))))</f>
      </c>
      <c r="O530" s="78">
        <f>IF(D530&lt;&gt;"",D530,IF(AND(F530="",G530=""),"",IF(J530&lt;&gt;"",IF(N(F530)&gt;0,"客户回款","客户退款"),IF(K530&lt;&gt;"",IF(N(G530)&gt;0,"供应商付款","供应商退款"),IF(L530&lt;&gt;"","费用支出","")))))</f>
      </c>
      <c r="P530" s="78">
        <f>IF(O530="","",IFERROR(INDEX(基础资料!$AE$5:$AE$34,MATCH(O530,基础资料!$AC$5:$AC$34,0)),"未知"))</f>
      </c>
      <c r="Q530" s="78">
        <f>IF(P530="应收",COUNTIF(P$7:P530,"应收"),"")</f>
      </c>
      <c r="R530" s="78">
        <f>IF(P530="应付",COUNTIF(P$7:P530,"应付"),"")</f>
      </c>
      <c r="S530" s="78">
        <f>N(F530)-N(G530)</f>
        <v>0</v>
      </c>
    </row>
    <row r="531">
      <c r="A531" s="109">
        <f>IF(AND(F531="",G531=""),"",ROW()-6)</f>
      </c>
      <c r="B531" s="140" t="n"/>
      <c r="C531" s="141" t="n"/>
      <c r="D531" s="141" t="n"/>
      <c r="E531" s="142" t="n"/>
      <c r="F531" s="143" t="n"/>
      <c r="G531" s="144" t="n"/>
      <c r="H531" s="145">
        <f>IF(OR(C531="",AND(F531="",G531="")),"",SUMIF(基础资料!$W$5:$W$24,C531,基础资料!$X$5:$X$24)+SUMIF(C$7:C531,C531,F$7:F531)-SUMIF(C$7:C531,C531,G$7:G531))</f>
      </c>
      <c r="I531" s="145">
        <f>IF(AND(F531="",G531=""),"",SUM(基础资料!$X$5:$X$24)+SUM(F$7:F531)-SUM(G$7:G531))</f>
      </c>
      <c r="J531" s="141" t="n"/>
      <c r="K531" s="141" t="n"/>
      <c r="L531" s="141" t="n"/>
      <c r="M531" s="142" t="n"/>
      <c r="N531" s="146">
        <f>IF(AND(AND(F531="",G531=""),B531="",C531="",D531="",J531="",K531="",L531=""),"",IF(AND(F531="",G531=""),"✗ 没填金额",IF(AND(N(F531)&lt;&gt;0,N(G531)&lt;&gt;0),"✗ 收入、支出只能填一边",IF(NOT(ISNUMBER(B531)),"✗ 日期不是真日期（要像 2026/9/25 这样填）",IF(OR(B531&lt;年初日,B531&gt;年末日),"✗ 日期不在本会计年度",IF(C531="","✗ 没选账户",IF(COUNTIF(基础资料!$W$5:$W$24,C531)=0,"✗ 账户不在基础资料里",IF(O531="","✗ 没选收支项目",IF(P531="未知","✗ 收支项目不在基础资料里",IF(AND(P531="应收",J531=""),"✗ 这笔要选客户",IF(AND(P531="应收",COUNTIF(总览汇总!$B$5:$B$304,J531)=0),"✗ 客户不在总览汇总名单里",IF(AND(P531="应付",K531=""),"✗ 这笔要选供应商",IF(AND(P531="应付",COUNTIF(基础资料!$Q$5:$Q$54,K531)=0),"✗ 供应商不在基础资料里",IF(AND(P531="费用",L531=""),"✗ 费用支出要选费用项目",IF(AND(L531&lt;&gt;"",COUNTIF(基础资料!$AI$5:$AI$54,L531)=0),"✗ 费用项目不在基础资料里",IF(AND(IFERROR(INDEX(基础资料!$AD$5:$AD$34,MATCH(O531,基础资料!$AC$5:$AC$34,0)),"")="收",N(G531)&lt;&gt;0),"✗ 这类是收款，金额填到收入列",IF(AND(IFERROR(INDEX(基础资料!$AD$5:$AD$34,MATCH(O531,基础资料!$AC$5:$AC$34,0)),"")="支",N(F531)&lt;&gt;0),"✗ 这类是付款，金额填到支出列",IF(N(H531)&lt;0,"⚠ 账户余额成负数了，核对一下","√"))))))))))))))))))</f>
      </c>
      <c r="O531" s="78">
        <f>IF(D531&lt;&gt;"",D531,IF(AND(F531="",G531=""),"",IF(J531&lt;&gt;"",IF(N(F531)&gt;0,"客户回款","客户退款"),IF(K531&lt;&gt;"",IF(N(G531)&gt;0,"供应商付款","供应商退款"),IF(L531&lt;&gt;"","费用支出","")))))</f>
      </c>
      <c r="P531" s="78">
        <f>IF(O531="","",IFERROR(INDEX(基础资料!$AE$5:$AE$34,MATCH(O531,基础资料!$AC$5:$AC$34,0)),"未知"))</f>
      </c>
      <c r="Q531" s="78">
        <f>IF(P531="应收",COUNTIF(P$7:P531,"应收"),"")</f>
      </c>
      <c r="R531" s="78">
        <f>IF(P531="应付",COUNTIF(P$7:P531,"应付"),"")</f>
      </c>
      <c r="S531" s="78">
        <f>N(F531)-N(G531)</f>
        <v>0</v>
      </c>
    </row>
    <row r="532">
      <c r="A532" s="109">
        <f>IF(AND(F532="",G532=""),"",ROW()-6)</f>
      </c>
      <c r="B532" s="140" t="n"/>
      <c r="C532" s="141" t="n"/>
      <c r="D532" s="141" t="n"/>
      <c r="E532" s="142" t="n"/>
      <c r="F532" s="143" t="n"/>
      <c r="G532" s="144" t="n"/>
      <c r="H532" s="145">
        <f>IF(OR(C532="",AND(F532="",G532="")),"",SUMIF(基础资料!$W$5:$W$24,C532,基础资料!$X$5:$X$24)+SUMIF(C$7:C532,C532,F$7:F532)-SUMIF(C$7:C532,C532,G$7:G532))</f>
      </c>
      <c r="I532" s="145">
        <f>IF(AND(F532="",G532=""),"",SUM(基础资料!$X$5:$X$24)+SUM(F$7:F532)-SUM(G$7:G532))</f>
      </c>
      <c r="J532" s="141" t="n"/>
      <c r="K532" s="141" t="n"/>
      <c r="L532" s="141" t="n"/>
      <c r="M532" s="142" t="n"/>
      <c r="N532" s="146">
        <f>IF(AND(AND(F532="",G532=""),B532="",C532="",D532="",J532="",K532="",L532=""),"",IF(AND(F532="",G532=""),"✗ 没填金额",IF(AND(N(F532)&lt;&gt;0,N(G532)&lt;&gt;0),"✗ 收入、支出只能填一边",IF(NOT(ISNUMBER(B532)),"✗ 日期不是真日期（要像 2026/9/25 这样填）",IF(OR(B532&lt;年初日,B532&gt;年末日),"✗ 日期不在本会计年度",IF(C532="","✗ 没选账户",IF(COUNTIF(基础资料!$W$5:$W$24,C532)=0,"✗ 账户不在基础资料里",IF(O532="","✗ 没选收支项目",IF(P532="未知","✗ 收支项目不在基础资料里",IF(AND(P532="应收",J532=""),"✗ 这笔要选客户",IF(AND(P532="应收",COUNTIF(总览汇总!$B$5:$B$304,J532)=0),"✗ 客户不在总览汇总名单里",IF(AND(P532="应付",K532=""),"✗ 这笔要选供应商",IF(AND(P532="应付",COUNTIF(基础资料!$Q$5:$Q$54,K532)=0),"✗ 供应商不在基础资料里",IF(AND(P532="费用",L532=""),"✗ 费用支出要选费用项目",IF(AND(L532&lt;&gt;"",COUNTIF(基础资料!$AI$5:$AI$54,L532)=0),"✗ 费用项目不在基础资料里",IF(AND(IFERROR(INDEX(基础资料!$AD$5:$AD$34,MATCH(O532,基础资料!$AC$5:$AC$34,0)),"")="收",N(G532)&lt;&gt;0),"✗ 这类是收款，金额填到收入列",IF(AND(IFERROR(INDEX(基础资料!$AD$5:$AD$34,MATCH(O532,基础资料!$AC$5:$AC$34,0)),"")="支",N(F532)&lt;&gt;0),"✗ 这类是付款，金额填到支出列",IF(N(H532)&lt;0,"⚠ 账户余额成负数了，核对一下","√"))))))))))))))))))</f>
      </c>
      <c r="O532" s="78">
        <f>IF(D532&lt;&gt;"",D532,IF(AND(F532="",G532=""),"",IF(J532&lt;&gt;"",IF(N(F532)&gt;0,"客户回款","客户退款"),IF(K532&lt;&gt;"",IF(N(G532)&gt;0,"供应商付款","供应商退款"),IF(L532&lt;&gt;"","费用支出","")))))</f>
      </c>
      <c r="P532" s="78">
        <f>IF(O532="","",IFERROR(INDEX(基础资料!$AE$5:$AE$34,MATCH(O532,基础资料!$AC$5:$AC$34,0)),"未知"))</f>
      </c>
      <c r="Q532" s="78">
        <f>IF(P532="应收",COUNTIF(P$7:P532,"应收"),"")</f>
      </c>
      <c r="R532" s="78">
        <f>IF(P532="应付",COUNTIF(P$7:P532,"应付"),"")</f>
      </c>
      <c r="S532" s="78">
        <f>N(F532)-N(G532)</f>
        <v>0</v>
      </c>
    </row>
    <row r="533">
      <c r="A533" s="109">
        <f>IF(AND(F533="",G533=""),"",ROW()-6)</f>
      </c>
      <c r="B533" s="140" t="n"/>
      <c r="C533" s="141" t="n"/>
      <c r="D533" s="141" t="n"/>
      <c r="E533" s="142" t="n"/>
      <c r="F533" s="143" t="n"/>
      <c r="G533" s="144" t="n"/>
      <c r="H533" s="145">
        <f>IF(OR(C533="",AND(F533="",G533="")),"",SUMIF(基础资料!$W$5:$W$24,C533,基础资料!$X$5:$X$24)+SUMIF(C$7:C533,C533,F$7:F533)-SUMIF(C$7:C533,C533,G$7:G533))</f>
      </c>
      <c r="I533" s="145">
        <f>IF(AND(F533="",G533=""),"",SUM(基础资料!$X$5:$X$24)+SUM(F$7:F533)-SUM(G$7:G533))</f>
      </c>
      <c r="J533" s="141" t="n"/>
      <c r="K533" s="141" t="n"/>
      <c r="L533" s="141" t="n"/>
      <c r="M533" s="142" t="n"/>
      <c r="N533" s="146">
        <f>IF(AND(AND(F533="",G533=""),B533="",C533="",D533="",J533="",K533="",L533=""),"",IF(AND(F533="",G533=""),"✗ 没填金额",IF(AND(N(F533)&lt;&gt;0,N(G533)&lt;&gt;0),"✗ 收入、支出只能填一边",IF(NOT(ISNUMBER(B533)),"✗ 日期不是真日期（要像 2026/9/25 这样填）",IF(OR(B533&lt;年初日,B533&gt;年末日),"✗ 日期不在本会计年度",IF(C533="","✗ 没选账户",IF(COUNTIF(基础资料!$W$5:$W$24,C533)=0,"✗ 账户不在基础资料里",IF(O533="","✗ 没选收支项目",IF(P533="未知","✗ 收支项目不在基础资料里",IF(AND(P533="应收",J533=""),"✗ 这笔要选客户",IF(AND(P533="应收",COUNTIF(总览汇总!$B$5:$B$304,J533)=0),"✗ 客户不在总览汇总名单里",IF(AND(P533="应付",K533=""),"✗ 这笔要选供应商",IF(AND(P533="应付",COUNTIF(基础资料!$Q$5:$Q$54,K533)=0),"✗ 供应商不在基础资料里",IF(AND(P533="费用",L533=""),"✗ 费用支出要选费用项目",IF(AND(L533&lt;&gt;"",COUNTIF(基础资料!$AI$5:$AI$54,L533)=0),"✗ 费用项目不在基础资料里",IF(AND(IFERROR(INDEX(基础资料!$AD$5:$AD$34,MATCH(O533,基础资料!$AC$5:$AC$34,0)),"")="收",N(G533)&lt;&gt;0),"✗ 这类是收款，金额填到收入列",IF(AND(IFERROR(INDEX(基础资料!$AD$5:$AD$34,MATCH(O533,基础资料!$AC$5:$AC$34,0)),"")="支",N(F533)&lt;&gt;0),"✗ 这类是付款，金额填到支出列",IF(N(H533)&lt;0,"⚠ 账户余额成负数了，核对一下","√"))))))))))))))))))</f>
      </c>
      <c r="O533" s="78">
        <f>IF(D533&lt;&gt;"",D533,IF(AND(F533="",G533=""),"",IF(J533&lt;&gt;"",IF(N(F533)&gt;0,"客户回款","客户退款"),IF(K533&lt;&gt;"",IF(N(G533)&gt;0,"供应商付款","供应商退款"),IF(L533&lt;&gt;"","费用支出","")))))</f>
      </c>
      <c r="P533" s="78">
        <f>IF(O533="","",IFERROR(INDEX(基础资料!$AE$5:$AE$34,MATCH(O533,基础资料!$AC$5:$AC$34,0)),"未知"))</f>
      </c>
      <c r="Q533" s="78">
        <f>IF(P533="应收",COUNTIF(P$7:P533,"应收"),"")</f>
      </c>
      <c r="R533" s="78">
        <f>IF(P533="应付",COUNTIF(P$7:P533,"应付"),"")</f>
      </c>
      <c r="S533" s="78">
        <f>N(F533)-N(G533)</f>
        <v>0</v>
      </c>
    </row>
    <row r="534">
      <c r="A534" s="109">
        <f>IF(AND(F534="",G534=""),"",ROW()-6)</f>
      </c>
      <c r="B534" s="140" t="n"/>
      <c r="C534" s="141" t="n"/>
      <c r="D534" s="141" t="n"/>
      <c r="E534" s="142" t="n"/>
      <c r="F534" s="143" t="n"/>
      <c r="G534" s="144" t="n"/>
      <c r="H534" s="145">
        <f>IF(OR(C534="",AND(F534="",G534="")),"",SUMIF(基础资料!$W$5:$W$24,C534,基础资料!$X$5:$X$24)+SUMIF(C$7:C534,C534,F$7:F534)-SUMIF(C$7:C534,C534,G$7:G534))</f>
      </c>
      <c r="I534" s="145">
        <f>IF(AND(F534="",G534=""),"",SUM(基础资料!$X$5:$X$24)+SUM(F$7:F534)-SUM(G$7:G534))</f>
      </c>
      <c r="J534" s="141" t="n"/>
      <c r="K534" s="141" t="n"/>
      <c r="L534" s="141" t="n"/>
      <c r="M534" s="142" t="n"/>
      <c r="N534" s="146">
        <f>IF(AND(AND(F534="",G534=""),B534="",C534="",D534="",J534="",K534="",L534=""),"",IF(AND(F534="",G534=""),"✗ 没填金额",IF(AND(N(F534)&lt;&gt;0,N(G534)&lt;&gt;0),"✗ 收入、支出只能填一边",IF(NOT(ISNUMBER(B534)),"✗ 日期不是真日期（要像 2026/9/25 这样填）",IF(OR(B534&lt;年初日,B534&gt;年末日),"✗ 日期不在本会计年度",IF(C534="","✗ 没选账户",IF(COUNTIF(基础资料!$W$5:$W$24,C534)=0,"✗ 账户不在基础资料里",IF(O534="","✗ 没选收支项目",IF(P534="未知","✗ 收支项目不在基础资料里",IF(AND(P534="应收",J534=""),"✗ 这笔要选客户",IF(AND(P534="应收",COUNTIF(总览汇总!$B$5:$B$304,J534)=0),"✗ 客户不在总览汇总名单里",IF(AND(P534="应付",K534=""),"✗ 这笔要选供应商",IF(AND(P534="应付",COUNTIF(基础资料!$Q$5:$Q$54,K534)=0),"✗ 供应商不在基础资料里",IF(AND(P534="费用",L534=""),"✗ 费用支出要选费用项目",IF(AND(L534&lt;&gt;"",COUNTIF(基础资料!$AI$5:$AI$54,L534)=0),"✗ 费用项目不在基础资料里",IF(AND(IFERROR(INDEX(基础资料!$AD$5:$AD$34,MATCH(O534,基础资料!$AC$5:$AC$34,0)),"")="收",N(G534)&lt;&gt;0),"✗ 这类是收款，金额填到收入列",IF(AND(IFERROR(INDEX(基础资料!$AD$5:$AD$34,MATCH(O534,基础资料!$AC$5:$AC$34,0)),"")="支",N(F534)&lt;&gt;0),"✗ 这类是付款，金额填到支出列",IF(N(H534)&lt;0,"⚠ 账户余额成负数了，核对一下","√"))))))))))))))))))</f>
      </c>
      <c r="O534" s="78">
        <f>IF(D534&lt;&gt;"",D534,IF(AND(F534="",G534=""),"",IF(J534&lt;&gt;"",IF(N(F534)&gt;0,"客户回款","客户退款"),IF(K534&lt;&gt;"",IF(N(G534)&gt;0,"供应商付款","供应商退款"),IF(L534&lt;&gt;"","费用支出","")))))</f>
      </c>
      <c r="P534" s="78">
        <f>IF(O534="","",IFERROR(INDEX(基础资料!$AE$5:$AE$34,MATCH(O534,基础资料!$AC$5:$AC$34,0)),"未知"))</f>
      </c>
      <c r="Q534" s="78">
        <f>IF(P534="应收",COUNTIF(P$7:P534,"应收"),"")</f>
      </c>
      <c r="R534" s="78">
        <f>IF(P534="应付",COUNTIF(P$7:P534,"应付"),"")</f>
      </c>
      <c r="S534" s="78">
        <f>N(F534)-N(G534)</f>
        <v>0</v>
      </c>
    </row>
    <row r="535">
      <c r="A535" s="109">
        <f>IF(AND(F535="",G535=""),"",ROW()-6)</f>
      </c>
      <c r="B535" s="140" t="n"/>
      <c r="C535" s="141" t="n"/>
      <c r="D535" s="141" t="n"/>
      <c r="E535" s="142" t="n"/>
      <c r="F535" s="143" t="n"/>
      <c r="G535" s="144" t="n"/>
      <c r="H535" s="145">
        <f>IF(OR(C535="",AND(F535="",G535="")),"",SUMIF(基础资料!$W$5:$W$24,C535,基础资料!$X$5:$X$24)+SUMIF(C$7:C535,C535,F$7:F535)-SUMIF(C$7:C535,C535,G$7:G535))</f>
      </c>
      <c r="I535" s="145">
        <f>IF(AND(F535="",G535=""),"",SUM(基础资料!$X$5:$X$24)+SUM(F$7:F535)-SUM(G$7:G535))</f>
      </c>
      <c r="J535" s="141" t="n"/>
      <c r="K535" s="141" t="n"/>
      <c r="L535" s="141" t="n"/>
      <c r="M535" s="142" t="n"/>
      <c r="N535" s="146">
        <f>IF(AND(AND(F535="",G535=""),B535="",C535="",D535="",J535="",K535="",L535=""),"",IF(AND(F535="",G535=""),"✗ 没填金额",IF(AND(N(F535)&lt;&gt;0,N(G535)&lt;&gt;0),"✗ 收入、支出只能填一边",IF(NOT(ISNUMBER(B535)),"✗ 日期不是真日期（要像 2026/9/25 这样填）",IF(OR(B535&lt;年初日,B535&gt;年末日),"✗ 日期不在本会计年度",IF(C535="","✗ 没选账户",IF(COUNTIF(基础资料!$W$5:$W$24,C535)=0,"✗ 账户不在基础资料里",IF(O535="","✗ 没选收支项目",IF(P535="未知","✗ 收支项目不在基础资料里",IF(AND(P535="应收",J535=""),"✗ 这笔要选客户",IF(AND(P535="应收",COUNTIF(总览汇总!$B$5:$B$304,J535)=0),"✗ 客户不在总览汇总名单里",IF(AND(P535="应付",K535=""),"✗ 这笔要选供应商",IF(AND(P535="应付",COUNTIF(基础资料!$Q$5:$Q$54,K535)=0),"✗ 供应商不在基础资料里",IF(AND(P535="费用",L535=""),"✗ 费用支出要选费用项目",IF(AND(L535&lt;&gt;"",COUNTIF(基础资料!$AI$5:$AI$54,L535)=0),"✗ 费用项目不在基础资料里",IF(AND(IFERROR(INDEX(基础资料!$AD$5:$AD$34,MATCH(O535,基础资料!$AC$5:$AC$34,0)),"")="收",N(G535)&lt;&gt;0),"✗ 这类是收款，金额填到收入列",IF(AND(IFERROR(INDEX(基础资料!$AD$5:$AD$34,MATCH(O535,基础资料!$AC$5:$AC$34,0)),"")="支",N(F535)&lt;&gt;0),"✗ 这类是付款，金额填到支出列",IF(N(H535)&lt;0,"⚠ 账户余额成负数了，核对一下","√"))))))))))))))))))</f>
      </c>
      <c r="O535" s="78">
        <f>IF(D535&lt;&gt;"",D535,IF(AND(F535="",G535=""),"",IF(J535&lt;&gt;"",IF(N(F535)&gt;0,"客户回款","客户退款"),IF(K535&lt;&gt;"",IF(N(G535)&gt;0,"供应商付款","供应商退款"),IF(L535&lt;&gt;"","费用支出","")))))</f>
      </c>
      <c r="P535" s="78">
        <f>IF(O535="","",IFERROR(INDEX(基础资料!$AE$5:$AE$34,MATCH(O535,基础资料!$AC$5:$AC$34,0)),"未知"))</f>
      </c>
      <c r="Q535" s="78">
        <f>IF(P535="应收",COUNTIF(P$7:P535,"应收"),"")</f>
      </c>
      <c r="R535" s="78">
        <f>IF(P535="应付",COUNTIF(P$7:P535,"应付"),"")</f>
      </c>
      <c r="S535" s="78">
        <f>N(F535)-N(G535)</f>
        <v>0</v>
      </c>
    </row>
    <row r="536">
      <c r="A536" s="109">
        <f>IF(AND(F536="",G536=""),"",ROW()-6)</f>
      </c>
      <c r="B536" s="140" t="n"/>
      <c r="C536" s="141" t="n"/>
      <c r="D536" s="141" t="n"/>
      <c r="E536" s="142" t="n"/>
      <c r="F536" s="143" t="n"/>
      <c r="G536" s="144" t="n"/>
      <c r="H536" s="145">
        <f>IF(OR(C536="",AND(F536="",G536="")),"",SUMIF(基础资料!$W$5:$W$24,C536,基础资料!$X$5:$X$24)+SUMIF(C$7:C536,C536,F$7:F536)-SUMIF(C$7:C536,C536,G$7:G536))</f>
      </c>
      <c r="I536" s="145">
        <f>IF(AND(F536="",G536=""),"",SUM(基础资料!$X$5:$X$24)+SUM(F$7:F536)-SUM(G$7:G536))</f>
      </c>
      <c r="J536" s="141" t="n"/>
      <c r="K536" s="141" t="n"/>
      <c r="L536" s="141" t="n"/>
      <c r="M536" s="142" t="n"/>
      <c r="N536" s="146">
        <f>IF(AND(AND(F536="",G536=""),B536="",C536="",D536="",J536="",K536="",L536=""),"",IF(AND(F536="",G536=""),"✗ 没填金额",IF(AND(N(F536)&lt;&gt;0,N(G536)&lt;&gt;0),"✗ 收入、支出只能填一边",IF(NOT(ISNUMBER(B536)),"✗ 日期不是真日期（要像 2026/9/25 这样填）",IF(OR(B536&lt;年初日,B536&gt;年末日),"✗ 日期不在本会计年度",IF(C536="","✗ 没选账户",IF(COUNTIF(基础资料!$W$5:$W$24,C536)=0,"✗ 账户不在基础资料里",IF(O536="","✗ 没选收支项目",IF(P536="未知","✗ 收支项目不在基础资料里",IF(AND(P536="应收",J536=""),"✗ 这笔要选客户",IF(AND(P536="应收",COUNTIF(总览汇总!$B$5:$B$304,J536)=0),"✗ 客户不在总览汇总名单里",IF(AND(P536="应付",K536=""),"✗ 这笔要选供应商",IF(AND(P536="应付",COUNTIF(基础资料!$Q$5:$Q$54,K536)=0),"✗ 供应商不在基础资料里",IF(AND(P536="费用",L536=""),"✗ 费用支出要选费用项目",IF(AND(L536&lt;&gt;"",COUNTIF(基础资料!$AI$5:$AI$54,L536)=0),"✗ 费用项目不在基础资料里",IF(AND(IFERROR(INDEX(基础资料!$AD$5:$AD$34,MATCH(O536,基础资料!$AC$5:$AC$34,0)),"")="收",N(G536)&lt;&gt;0),"✗ 这类是收款，金额填到收入列",IF(AND(IFERROR(INDEX(基础资料!$AD$5:$AD$34,MATCH(O536,基础资料!$AC$5:$AC$34,0)),"")="支",N(F536)&lt;&gt;0),"✗ 这类是付款，金额填到支出列",IF(N(H536)&lt;0,"⚠ 账户余额成负数了，核对一下","√"))))))))))))))))))</f>
      </c>
      <c r="O536" s="78">
        <f>IF(D536&lt;&gt;"",D536,IF(AND(F536="",G536=""),"",IF(J536&lt;&gt;"",IF(N(F536)&gt;0,"客户回款","客户退款"),IF(K536&lt;&gt;"",IF(N(G536)&gt;0,"供应商付款","供应商退款"),IF(L536&lt;&gt;"","费用支出","")))))</f>
      </c>
      <c r="P536" s="78">
        <f>IF(O536="","",IFERROR(INDEX(基础资料!$AE$5:$AE$34,MATCH(O536,基础资料!$AC$5:$AC$34,0)),"未知"))</f>
      </c>
      <c r="Q536" s="78">
        <f>IF(P536="应收",COUNTIF(P$7:P536,"应收"),"")</f>
      </c>
      <c r="R536" s="78">
        <f>IF(P536="应付",COUNTIF(P$7:P536,"应付"),"")</f>
      </c>
      <c r="S536" s="78">
        <f>N(F536)-N(G536)</f>
        <v>0</v>
      </c>
    </row>
    <row r="537">
      <c r="A537" s="109">
        <f>IF(AND(F537="",G537=""),"",ROW()-6)</f>
      </c>
      <c r="B537" s="140" t="n"/>
      <c r="C537" s="141" t="n"/>
      <c r="D537" s="141" t="n"/>
      <c r="E537" s="142" t="n"/>
      <c r="F537" s="143" t="n"/>
      <c r="G537" s="144" t="n"/>
      <c r="H537" s="145">
        <f>IF(OR(C537="",AND(F537="",G537="")),"",SUMIF(基础资料!$W$5:$W$24,C537,基础资料!$X$5:$X$24)+SUMIF(C$7:C537,C537,F$7:F537)-SUMIF(C$7:C537,C537,G$7:G537))</f>
      </c>
      <c r="I537" s="145">
        <f>IF(AND(F537="",G537=""),"",SUM(基础资料!$X$5:$X$24)+SUM(F$7:F537)-SUM(G$7:G537))</f>
      </c>
      <c r="J537" s="141" t="n"/>
      <c r="K537" s="141" t="n"/>
      <c r="L537" s="141" t="n"/>
      <c r="M537" s="142" t="n"/>
      <c r="N537" s="146">
        <f>IF(AND(AND(F537="",G537=""),B537="",C537="",D537="",J537="",K537="",L537=""),"",IF(AND(F537="",G537=""),"✗ 没填金额",IF(AND(N(F537)&lt;&gt;0,N(G537)&lt;&gt;0),"✗ 收入、支出只能填一边",IF(NOT(ISNUMBER(B537)),"✗ 日期不是真日期（要像 2026/9/25 这样填）",IF(OR(B537&lt;年初日,B537&gt;年末日),"✗ 日期不在本会计年度",IF(C537="","✗ 没选账户",IF(COUNTIF(基础资料!$W$5:$W$24,C537)=0,"✗ 账户不在基础资料里",IF(O537="","✗ 没选收支项目",IF(P537="未知","✗ 收支项目不在基础资料里",IF(AND(P537="应收",J537=""),"✗ 这笔要选客户",IF(AND(P537="应收",COUNTIF(总览汇总!$B$5:$B$304,J537)=0),"✗ 客户不在总览汇总名单里",IF(AND(P537="应付",K537=""),"✗ 这笔要选供应商",IF(AND(P537="应付",COUNTIF(基础资料!$Q$5:$Q$54,K537)=0),"✗ 供应商不在基础资料里",IF(AND(P537="费用",L537=""),"✗ 费用支出要选费用项目",IF(AND(L537&lt;&gt;"",COUNTIF(基础资料!$AI$5:$AI$54,L537)=0),"✗ 费用项目不在基础资料里",IF(AND(IFERROR(INDEX(基础资料!$AD$5:$AD$34,MATCH(O537,基础资料!$AC$5:$AC$34,0)),"")="收",N(G537)&lt;&gt;0),"✗ 这类是收款，金额填到收入列",IF(AND(IFERROR(INDEX(基础资料!$AD$5:$AD$34,MATCH(O537,基础资料!$AC$5:$AC$34,0)),"")="支",N(F537)&lt;&gt;0),"✗ 这类是付款，金额填到支出列",IF(N(H537)&lt;0,"⚠ 账户余额成负数了，核对一下","√"))))))))))))))))))</f>
      </c>
      <c r="O537" s="78">
        <f>IF(D537&lt;&gt;"",D537,IF(AND(F537="",G537=""),"",IF(J537&lt;&gt;"",IF(N(F537)&gt;0,"客户回款","客户退款"),IF(K537&lt;&gt;"",IF(N(G537)&gt;0,"供应商付款","供应商退款"),IF(L537&lt;&gt;"","费用支出","")))))</f>
      </c>
      <c r="P537" s="78">
        <f>IF(O537="","",IFERROR(INDEX(基础资料!$AE$5:$AE$34,MATCH(O537,基础资料!$AC$5:$AC$34,0)),"未知"))</f>
      </c>
      <c r="Q537" s="78">
        <f>IF(P537="应收",COUNTIF(P$7:P537,"应收"),"")</f>
      </c>
      <c r="R537" s="78">
        <f>IF(P537="应付",COUNTIF(P$7:P537,"应付"),"")</f>
      </c>
      <c r="S537" s="78">
        <f>N(F537)-N(G537)</f>
        <v>0</v>
      </c>
    </row>
    <row r="538">
      <c r="A538" s="109">
        <f>IF(AND(F538="",G538=""),"",ROW()-6)</f>
      </c>
      <c r="B538" s="140" t="n"/>
      <c r="C538" s="141" t="n"/>
      <c r="D538" s="141" t="n"/>
      <c r="E538" s="142" t="n"/>
      <c r="F538" s="143" t="n"/>
      <c r="G538" s="144" t="n"/>
      <c r="H538" s="145">
        <f>IF(OR(C538="",AND(F538="",G538="")),"",SUMIF(基础资料!$W$5:$W$24,C538,基础资料!$X$5:$X$24)+SUMIF(C$7:C538,C538,F$7:F538)-SUMIF(C$7:C538,C538,G$7:G538))</f>
      </c>
      <c r="I538" s="145">
        <f>IF(AND(F538="",G538=""),"",SUM(基础资料!$X$5:$X$24)+SUM(F$7:F538)-SUM(G$7:G538))</f>
      </c>
      <c r="J538" s="141" t="n"/>
      <c r="K538" s="141" t="n"/>
      <c r="L538" s="141" t="n"/>
      <c r="M538" s="142" t="n"/>
      <c r="N538" s="146">
        <f>IF(AND(AND(F538="",G538=""),B538="",C538="",D538="",J538="",K538="",L538=""),"",IF(AND(F538="",G538=""),"✗ 没填金额",IF(AND(N(F538)&lt;&gt;0,N(G538)&lt;&gt;0),"✗ 收入、支出只能填一边",IF(NOT(ISNUMBER(B538)),"✗ 日期不是真日期（要像 2026/9/25 这样填）",IF(OR(B538&lt;年初日,B538&gt;年末日),"✗ 日期不在本会计年度",IF(C538="","✗ 没选账户",IF(COUNTIF(基础资料!$W$5:$W$24,C538)=0,"✗ 账户不在基础资料里",IF(O538="","✗ 没选收支项目",IF(P538="未知","✗ 收支项目不在基础资料里",IF(AND(P538="应收",J538=""),"✗ 这笔要选客户",IF(AND(P538="应收",COUNTIF(总览汇总!$B$5:$B$304,J538)=0),"✗ 客户不在总览汇总名单里",IF(AND(P538="应付",K538=""),"✗ 这笔要选供应商",IF(AND(P538="应付",COUNTIF(基础资料!$Q$5:$Q$54,K538)=0),"✗ 供应商不在基础资料里",IF(AND(P538="费用",L538=""),"✗ 费用支出要选费用项目",IF(AND(L538&lt;&gt;"",COUNTIF(基础资料!$AI$5:$AI$54,L538)=0),"✗ 费用项目不在基础资料里",IF(AND(IFERROR(INDEX(基础资料!$AD$5:$AD$34,MATCH(O538,基础资料!$AC$5:$AC$34,0)),"")="收",N(G538)&lt;&gt;0),"✗ 这类是收款，金额填到收入列",IF(AND(IFERROR(INDEX(基础资料!$AD$5:$AD$34,MATCH(O538,基础资料!$AC$5:$AC$34,0)),"")="支",N(F538)&lt;&gt;0),"✗ 这类是付款，金额填到支出列",IF(N(H538)&lt;0,"⚠ 账户余额成负数了，核对一下","√"))))))))))))))))))</f>
      </c>
      <c r="O538" s="78">
        <f>IF(D538&lt;&gt;"",D538,IF(AND(F538="",G538=""),"",IF(J538&lt;&gt;"",IF(N(F538)&gt;0,"客户回款","客户退款"),IF(K538&lt;&gt;"",IF(N(G538)&gt;0,"供应商付款","供应商退款"),IF(L538&lt;&gt;"","费用支出","")))))</f>
      </c>
      <c r="P538" s="78">
        <f>IF(O538="","",IFERROR(INDEX(基础资料!$AE$5:$AE$34,MATCH(O538,基础资料!$AC$5:$AC$34,0)),"未知"))</f>
      </c>
      <c r="Q538" s="78">
        <f>IF(P538="应收",COUNTIF(P$7:P538,"应收"),"")</f>
      </c>
      <c r="R538" s="78">
        <f>IF(P538="应付",COUNTIF(P$7:P538,"应付"),"")</f>
      </c>
      <c r="S538" s="78">
        <f>N(F538)-N(G538)</f>
        <v>0</v>
      </c>
    </row>
    <row r="539">
      <c r="A539" s="109">
        <f>IF(AND(F539="",G539=""),"",ROW()-6)</f>
      </c>
      <c r="B539" s="140" t="n"/>
      <c r="C539" s="141" t="n"/>
      <c r="D539" s="141" t="n"/>
      <c r="E539" s="142" t="n"/>
      <c r="F539" s="143" t="n"/>
      <c r="G539" s="144" t="n"/>
      <c r="H539" s="145">
        <f>IF(OR(C539="",AND(F539="",G539="")),"",SUMIF(基础资料!$W$5:$W$24,C539,基础资料!$X$5:$X$24)+SUMIF(C$7:C539,C539,F$7:F539)-SUMIF(C$7:C539,C539,G$7:G539))</f>
      </c>
      <c r="I539" s="145">
        <f>IF(AND(F539="",G539=""),"",SUM(基础资料!$X$5:$X$24)+SUM(F$7:F539)-SUM(G$7:G539))</f>
      </c>
      <c r="J539" s="141" t="n"/>
      <c r="K539" s="141" t="n"/>
      <c r="L539" s="141" t="n"/>
      <c r="M539" s="142" t="n"/>
      <c r="N539" s="146">
        <f>IF(AND(AND(F539="",G539=""),B539="",C539="",D539="",J539="",K539="",L539=""),"",IF(AND(F539="",G539=""),"✗ 没填金额",IF(AND(N(F539)&lt;&gt;0,N(G539)&lt;&gt;0),"✗ 收入、支出只能填一边",IF(NOT(ISNUMBER(B539)),"✗ 日期不是真日期（要像 2026/9/25 这样填）",IF(OR(B539&lt;年初日,B539&gt;年末日),"✗ 日期不在本会计年度",IF(C539="","✗ 没选账户",IF(COUNTIF(基础资料!$W$5:$W$24,C539)=0,"✗ 账户不在基础资料里",IF(O539="","✗ 没选收支项目",IF(P539="未知","✗ 收支项目不在基础资料里",IF(AND(P539="应收",J539=""),"✗ 这笔要选客户",IF(AND(P539="应收",COUNTIF(总览汇总!$B$5:$B$304,J539)=0),"✗ 客户不在总览汇总名单里",IF(AND(P539="应付",K539=""),"✗ 这笔要选供应商",IF(AND(P539="应付",COUNTIF(基础资料!$Q$5:$Q$54,K539)=0),"✗ 供应商不在基础资料里",IF(AND(P539="费用",L539=""),"✗ 费用支出要选费用项目",IF(AND(L539&lt;&gt;"",COUNTIF(基础资料!$AI$5:$AI$54,L539)=0),"✗ 费用项目不在基础资料里",IF(AND(IFERROR(INDEX(基础资料!$AD$5:$AD$34,MATCH(O539,基础资料!$AC$5:$AC$34,0)),"")="收",N(G539)&lt;&gt;0),"✗ 这类是收款，金额填到收入列",IF(AND(IFERROR(INDEX(基础资料!$AD$5:$AD$34,MATCH(O539,基础资料!$AC$5:$AC$34,0)),"")="支",N(F539)&lt;&gt;0),"✗ 这类是付款，金额填到支出列",IF(N(H539)&lt;0,"⚠ 账户余额成负数了，核对一下","√"))))))))))))))))))</f>
      </c>
      <c r="O539" s="78">
        <f>IF(D539&lt;&gt;"",D539,IF(AND(F539="",G539=""),"",IF(J539&lt;&gt;"",IF(N(F539)&gt;0,"客户回款","客户退款"),IF(K539&lt;&gt;"",IF(N(G539)&gt;0,"供应商付款","供应商退款"),IF(L539&lt;&gt;"","费用支出","")))))</f>
      </c>
      <c r="P539" s="78">
        <f>IF(O539="","",IFERROR(INDEX(基础资料!$AE$5:$AE$34,MATCH(O539,基础资料!$AC$5:$AC$34,0)),"未知"))</f>
      </c>
      <c r="Q539" s="78">
        <f>IF(P539="应收",COUNTIF(P$7:P539,"应收"),"")</f>
      </c>
      <c r="R539" s="78">
        <f>IF(P539="应付",COUNTIF(P$7:P539,"应付"),"")</f>
      </c>
      <c r="S539" s="78">
        <f>N(F539)-N(G539)</f>
        <v>0</v>
      </c>
    </row>
    <row r="540">
      <c r="A540" s="109">
        <f>IF(AND(F540="",G540=""),"",ROW()-6)</f>
      </c>
      <c r="B540" s="140" t="n"/>
      <c r="C540" s="141" t="n"/>
      <c r="D540" s="141" t="n"/>
      <c r="E540" s="142" t="n"/>
      <c r="F540" s="143" t="n"/>
      <c r="G540" s="144" t="n"/>
      <c r="H540" s="145">
        <f>IF(OR(C540="",AND(F540="",G540="")),"",SUMIF(基础资料!$W$5:$W$24,C540,基础资料!$X$5:$X$24)+SUMIF(C$7:C540,C540,F$7:F540)-SUMIF(C$7:C540,C540,G$7:G540))</f>
      </c>
      <c r="I540" s="145">
        <f>IF(AND(F540="",G540=""),"",SUM(基础资料!$X$5:$X$24)+SUM(F$7:F540)-SUM(G$7:G540))</f>
      </c>
      <c r="J540" s="141" t="n"/>
      <c r="K540" s="141" t="n"/>
      <c r="L540" s="141" t="n"/>
      <c r="M540" s="142" t="n"/>
      <c r="N540" s="146">
        <f>IF(AND(AND(F540="",G540=""),B540="",C540="",D540="",J540="",K540="",L540=""),"",IF(AND(F540="",G540=""),"✗ 没填金额",IF(AND(N(F540)&lt;&gt;0,N(G540)&lt;&gt;0),"✗ 收入、支出只能填一边",IF(NOT(ISNUMBER(B540)),"✗ 日期不是真日期（要像 2026/9/25 这样填）",IF(OR(B540&lt;年初日,B540&gt;年末日),"✗ 日期不在本会计年度",IF(C540="","✗ 没选账户",IF(COUNTIF(基础资料!$W$5:$W$24,C540)=0,"✗ 账户不在基础资料里",IF(O540="","✗ 没选收支项目",IF(P540="未知","✗ 收支项目不在基础资料里",IF(AND(P540="应收",J540=""),"✗ 这笔要选客户",IF(AND(P540="应收",COUNTIF(总览汇总!$B$5:$B$304,J540)=0),"✗ 客户不在总览汇总名单里",IF(AND(P540="应付",K540=""),"✗ 这笔要选供应商",IF(AND(P540="应付",COUNTIF(基础资料!$Q$5:$Q$54,K540)=0),"✗ 供应商不在基础资料里",IF(AND(P540="费用",L540=""),"✗ 费用支出要选费用项目",IF(AND(L540&lt;&gt;"",COUNTIF(基础资料!$AI$5:$AI$54,L540)=0),"✗ 费用项目不在基础资料里",IF(AND(IFERROR(INDEX(基础资料!$AD$5:$AD$34,MATCH(O540,基础资料!$AC$5:$AC$34,0)),"")="收",N(G540)&lt;&gt;0),"✗ 这类是收款，金额填到收入列",IF(AND(IFERROR(INDEX(基础资料!$AD$5:$AD$34,MATCH(O540,基础资料!$AC$5:$AC$34,0)),"")="支",N(F540)&lt;&gt;0),"✗ 这类是付款，金额填到支出列",IF(N(H540)&lt;0,"⚠ 账户余额成负数了，核对一下","√"))))))))))))))))))</f>
      </c>
      <c r="O540" s="78">
        <f>IF(D540&lt;&gt;"",D540,IF(AND(F540="",G540=""),"",IF(J540&lt;&gt;"",IF(N(F540)&gt;0,"客户回款","客户退款"),IF(K540&lt;&gt;"",IF(N(G540)&gt;0,"供应商付款","供应商退款"),IF(L540&lt;&gt;"","费用支出","")))))</f>
      </c>
      <c r="P540" s="78">
        <f>IF(O540="","",IFERROR(INDEX(基础资料!$AE$5:$AE$34,MATCH(O540,基础资料!$AC$5:$AC$34,0)),"未知"))</f>
      </c>
      <c r="Q540" s="78">
        <f>IF(P540="应收",COUNTIF(P$7:P540,"应收"),"")</f>
      </c>
      <c r="R540" s="78">
        <f>IF(P540="应付",COUNTIF(P$7:P540,"应付"),"")</f>
      </c>
      <c r="S540" s="78">
        <f>N(F540)-N(G540)</f>
        <v>0</v>
      </c>
    </row>
    <row r="541">
      <c r="A541" s="109">
        <f>IF(AND(F541="",G541=""),"",ROW()-6)</f>
      </c>
      <c r="B541" s="140" t="n"/>
      <c r="C541" s="141" t="n"/>
      <c r="D541" s="141" t="n"/>
      <c r="E541" s="142" t="n"/>
      <c r="F541" s="143" t="n"/>
      <c r="G541" s="144" t="n"/>
      <c r="H541" s="145">
        <f>IF(OR(C541="",AND(F541="",G541="")),"",SUMIF(基础资料!$W$5:$W$24,C541,基础资料!$X$5:$X$24)+SUMIF(C$7:C541,C541,F$7:F541)-SUMIF(C$7:C541,C541,G$7:G541))</f>
      </c>
      <c r="I541" s="145">
        <f>IF(AND(F541="",G541=""),"",SUM(基础资料!$X$5:$X$24)+SUM(F$7:F541)-SUM(G$7:G541))</f>
      </c>
      <c r="J541" s="141" t="n"/>
      <c r="K541" s="141" t="n"/>
      <c r="L541" s="141" t="n"/>
      <c r="M541" s="142" t="n"/>
      <c r="N541" s="146">
        <f>IF(AND(AND(F541="",G541=""),B541="",C541="",D541="",J541="",K541="",L541=""),"",IF(AND(F541="",G541=""),"✗ 没填金额",IF(AND(N(F541)&lt;&gt;0,N(G541)&lt;&gt;0),"✗ 收入、支出只能填一边",IF(NOT(ISNUMBER(B541)),"✗ 日期不是真日期（要像 2026/9/25 这样填）",IF(OR(B541&lt;年初日,B541&gt;年末日),"✗ 日期不在本会计年度",IF(C541="","✗ 没选账户",IF(COUNTIF(基础资料!$W$5:$W$24,C541)=0,"✗ 账户不在基础资料里",IF(O541="","✗ 没选收支项目",IF(P541="未知","✗ 收支项目不在基础资料里",IF(AND(P541="应收",J541=""),"✗ 这笔要选客户",IF(AND(P541="应收",COUNTIF(总览汇总!$B$5:$B$304,J541)=0),"✗ 客户不在总览汇总名单里",IF(AND(P541="应付",K541=""),"✗ 这笔要选供应商",IF(AND(P541="应付",COUNTIF(基础资料!$Q$5:$Q$54,K541)=0),"✗ 供应商不在基础资料里",IF(AND(P541="费用",L541=""),"✗ 费用支出要选费用项目",IF(AND(L541&lt;&gt;"",COUNTIF(基础资料!$AI$5:$AI$54,L541)=0),"✗ 费用项目不在基础资料里",IF(AND(IFERROR(INDEX(基础资料!$AD$5:$AD$34,MATCH(O541,基础资料!$AC$5:$AC$34,0)),"")="收",N(G541)&lt;&gt;0),"✗ 这类是收款，金额填到收入列",IF(AND(IFERROR(INDEX(基础资料!$AD$5:$AD$34,MATCH(O541,基础资料!$AC$5:$AC$34,0)),"")="支",N(F541)&lt;&gt;0),"✗ 这类是付款，金额填到支出列",IF(N(H541)&lt;0,"⚠ 账户余额成负数了，核对一下","√"))))))))))))))))))</f>
      </c>
      <c r="O541" s="78">
        <f>IF(D541&lt;&gt;"",D541,IF(AND(F541="",G541=""),"",IF(J541&lt;&gt;"",IF(N(F541)&gt;0,"客户回款","客户退款"),IF(K541&lt;&gt;"",IF(N(G541)&gt;0,"供应商付款","供应商退款"),IF(L541&lt;&gt;"","费用支出","")))))</f>
      </c>
      <c r="P541" s="78">
        <f>IF(O541="","",IFERROR(INDEX(基础资料!$AE$5:$AE$34,MATCH(O541,基础资料!$AC$5:$AC$34,0)),"未知"))</f>
      </c>
      <c r="Q541" s="78">
        <f>IF(P541="应收",COUNTIF(P$7:P541,"应收"),"")</f>
      </c>
      <c r="R541" s="78">
        <f>IF(P541="应付",COUNTIF(P$7:P541,"应付"),"")</f>
      </c>
      <c r="S541" s="78">
        <f>N(F541)-N(G541)</f>
        <v>0</v>
      </c>
    </row>
    <row r="542">
      <c r="A542" s="109">
        <f>IF(AND(F542="",G542=""),"",ROW()-6)</f>
      </c>
      <c r="B542" s="140" t="n"/>
      <c r="C542" s="141" t="n"/>
      <c r="D542" s="141" t="n"/>
      <c r="E542" s="142" t="n"/>
      <c r="F542" s="143" t="n"/>
      <c r="G542" s="144" t="n"/>
      <c r="H542" s="145">
        <f>IF(OR(C542="",AND(F542="",G542="")),"",SUMIF(基础资料!$W$5:$W$24,C542,基础资料!$X$5:$X$24)+SUMIF(C$7:C542,C542,F$7:F542)-SUMIF(C$7:C542,C542,G$7:G542))</f>
      </c>
      <c r="I542" s="145">
        <f>IF(AND(F542="",G542=""),"",SUM(基础资料!$X$5:$X$24)+SUM(F$7:F542)-SUM(G$7:G542))</f>
      </c>
      <c r="J542" s="141" t="n"/>
      <c r="K542" s="141" t="n"/>
      <c r="L542" s="141" t="n"/>
      <c r="M542" s="142" t="n"/>
      <c r="N542" s="146">
        <f>IF(AND(AND(F542="",G542=""),B542="",C542="",D542="",J542="",K542="",L542=""),"",IF(AND(F542="",G542=""),"✗ 没填金额",IF(AND(N(F542)&lt;&gt;0,N(G542)&lt;&gt;0),"✗ 收入、支出只能填一边",IF(NOT(ISNUMBER(B542)),"✗ 日期不是真日期（要像 2026/9/25 这样填）",IF(OR(B542&lt;年初日,B542&gt;年末日),"✗ 日期不在本会计年度",IF(C542="","✗ 没选账户",IF(COUNTIF(基础资料!$W$5:$W$24,C542)=0,"✗ 账户不在基础资料里",IF(O542="","✗ 没选收支项目",IF(P542="未知","✗ 收支项目不在基础资料里",IF(AND(P542="应收",J542=""),"✗ 这笔要选客户",IF(AND(P542="应收",COUNTIF(总览汇总!$B$5:$B$304,J542)=0),"✗ 客户不在总览汇总名单里",IF(AND(P542="应付",K542=""),"✗ 这笔要选供应商",IF(AND(P542="应付",COUNTIF(基础资料!$Q$5:$Q$54,K542)=0),"✗ 供应商不在基础资料里",IF(AND(P542="费用",L542=""),"✗ 费用支出要选费用项目",IF(AND(L542&lt;&gt;"",COUNTIF(基础资料!$AI$5:$AI$54,L542)=0),"✗ 费用项目不在基础资料里",IF(AND(IFERROR(INDEX(基础资料!$AD$5:$AD$34,MATCH(O542,基础资料!$AC$5:$AC$34,0)),"")="收",N(G542)&lt;&gt;0),"✗ 这类是收款，金额填到收入列",IF(AND(IFERROR(INDEX(基础资料!$AD$5:$AD$34,MATCH(O542,基础资料!$AC$5:$AC$34,0)),"")="支",N(F542)&lt;&gt;0),"✗ 这类是付款，金额填到支出列",IF(N(H542)&lt;0,"⚠ 账户余额成负数了，核对一下","√"))))))))))))))))))</f>
      </c>
      <c r="O542" s="78">
        <f>IF(D542&lt;&gt;"",D542,IF(AND(F542="",G542=""),"",IF(J542&lt;&gt;"",IF(N(F542)&gt;0,"客户回款","客户退款"),IF(K542&lt;&gt;"",IF(N(G542)&gt;0,"供应商付款","供应商退款"),IF(L542&lt;&gt;"","费用支出","")))))</f>
      </c>
      <c r="P542" s="78">
        <f>IF(O542="","",IFERROR(INDEX(基础资料!$AE$5:$AE$34,MATCH(O542,基础资料!$AC$5:$AC$34,0)),"未知"))</f>
      </c>
      <c r="Q542" s="78">
        <f>IF(P542="应收",COUNTIF(P$7:P542,"应收"),"")</f>
      </c>
      <c r="R542" s="78">
        <f>IF(P542="应付",COUNTIF(P$7:P542,"应付"),"")</f>
      </c>
      <c r="S542" s="78">
        <f>N(F542)-N(G542)</f>
        <v>0</v>
      </c>
    </row>
    <row r="543">
      <c r="A543" s="109">
        <f>IF(AND(F543="",G543=""),"",ROW()-6)</f>
      </c>
      <c r="B543" s="140" t="n"/>
      <c r="C543" s="141" t="n"/>
      <c r="D543" s="141" t="n"/>
      <c r="E543" s="142" t="n"/>
      <c r="F543" s="143" t="n"/>
      <c r="G543" s="144" t="n"/>
      <c r="H543" s="145">
        <f>IF(OR(C543="",AND(F543="",G543="")),"",SUMIF(基础资料!$W$5:$W$24,C543,基础资料!$X$5:$X$24)+SUMIF(C$7:C543,C543,F$7:F543)-SUMIF(C$7:C543,C543,G$7:G543))</f>
      </c>
      <c r="I543" s="145">
        <f>IF(AND(F543="",G543=""),"",SUM(基础资料!$X$5:$X$24)+SUM(F$7:F543)-SUM(G$7:G543))</f>
      </c>
      <c r="J543" s="141" t="n"/>
      <c r="K543" s="141" t="n"/>
      <c r="L543" s="141" t="n"/>
      <c r="M543" s="142" t="n"/>
      <c r="N543" s="146">
        <f>IF(AND(AND(F543="",G543=""),B543="",C543="",D543="",J543="",K543="",L543=""),"",IF(AND(F543="",G543=""),"✗ 没填金额",IF(AND(N(F543)&lt;&gt;0,N(G543)&lt;&gt;0),"✗ 收入、支出只能填一边",IF(NOT(ISNUMBER(B543)),"✗ 日期不是真日期（要像 2026/9/25 这样填）",IF(OR(B543&lt;年初日,B543&gt;年末日),"✗ 日期不在本会计年度",IF(C543="","✗ 没选账户",IF(COUNTIF(基础资料!$W$5:$W$24,C543)=0,"✗ 账户不在基础资料里",IF(O543="","✗ 没选收支项目",IF(P543="未知","✗ 收支项目不在基础资料里",IF(AND(P543="应收",J543=""),"✗ 这笔要选客户",IF(AND(P543="应收",COUNTIF(总览汇总!$B$5:$B$304,J543)=0),"✗ 客户不在总览汇总名单里",IF(AND(P543="应付",K543=""),"✗ 这笔要选供应商",IF(AND(P543="应付",COUNTIF(基础资料!$Q$5:$Q$54,K543)=0),"✗ 供应商不在基础资料里",IF(AND(P543="费用",L543=""),"✗ 费用支出要选费用项目",IF(AND(L543&lt;&gt;"",COUNTIF(基础资料!$AI$5:$AI$54,L543)=0),"✗ 费用项目不在基础资料里",IF(AND(IFERROR(INDEX(基础资料!$AD$5:$AD$34,MATCH(O543,基础资料!$AC$5:$AC$34,0)),"")="收",N(G543)&lt;&gt;0),"✗ 这类是收款，金额填到收入列",IF(AND(IFERROR(INDEX(基础资料!$AD$5:$AD$34,MATCH(O543,基础资料!$AC$5:$AC$34,0)),"")="支",N(F543)&lt;&gt;0),"✗ 这类是付款，金额填到支出列",IF(N(H543)&lt;0,"⚠ 账户余额成负数了，核对一下","√"))))))))))))))))))</f>
      </c>
      <c r="O543" s="78">
        <f>IF(D543&lt;&gt;"",D543,IF(AND(F543="",G543=""),"",IF(J543&lt;&gt;"",IF(N(F543)&gt;0,"客户回款","客户退款"),IF(K543&lt;&gt;"",IF(N(G543)&gt;0,"供应商付款","供应商退款"),IF(L543&lt;&gt;"","费用支出","")))))</f>
      </c>
      <c r="P543" s="78">
        <f>IF(O543="","",IFERROR(INDEX(基础资料!$AE$5:$AE$34,MATCH(O543,基础资料!$AC$5:$AC$34,0)),"未知"))</f>
      </c>
      <c r="Q543" s="78">
        <f>IF(P543="应收",COUNTIF(P$7:P543,"应收"),"")</f>
      </c>
      <c r="R543" s="78">
        <f>IF(P543="应付",COUNTIF(P$7:P543,"应付"),"")</f>
      </c>
      <c r="S543" s="78">
        <f>N(F543)-N(G543)</f>
        <v>0</v>
      </c>
    </row>
    <row r="544">
      <c r="A544" s="109">
        <f>IF(AND(F544="",G544=""),"",ROW()-6)</f>
      </c>
      <c r="B544" s="140" t="n"/>
      <c r="C544" s="141" t="n"/>
      <c r="D544" s="141" t="n"/>
      <c r="E544" s="142" t="n"/>
      <c r="F544" s="143" t="n"/>
      <c r="G544" s="144" t="n"/>
      <c r="H544" s="145">
        <f>IF(OR(C544="",AND(F544="",G544="")),"",SUMIF(基础资料!$W$5:$W$24,C544,基础资料!$X$5:$X$24)+SUMIF(C$7:C544,C544,F$7:F544)-SUMIF(C$7:C544,C544,G$7:G544))</f>
      </c>
      <c r="I544" s="145">
        <f>IF(AND(F544="",G544=""),"",SUM(基础资料!$X$5:$X$24)+SUM(F$7:F544)-SUM(G$7:G544))</f>
      </c>
      <c r="J544" s="141" t="n"/>
      <c r="K544" s="141" t="n"/>
      <c r="L544" s="141" t="n"/>
      <c r="M544" s="142" t="n"/>
      <c r="N544" s="146">
        <f>IF(AND(AND(F544="",G544=""),B544="",C544="",D544="",J544="",K544="",L544=""),"",IF(AND(F544="",G544=""),"✗ 没填金额",IF(AND(N(F544)&lt;&gt;0,N(G544)&lt;&gt;0),"✗ 收入、支出只能填一边",IF(NOT(ISNUMBER(B544)),"✗ 日期不是真日期（要像 2026/9/25 这样填）",IF(OR(B544&lt;年初日,B544&gt;年末日),"✗ 日期不在本会计年度",IF(C544="","✗ 没选账户",IF(COUNTIF(基础资料!$W$5:$W$24,C544)=0,"✗ 账户不在基础资料里",IF(O544="","✗ 没选收支项目",IF(P544="未知","✗ 收支项目不在基础资料里",IF(AND(P544="应收",J544=""),"✗ 这笔要选客户",IF(AND(P544="应收",COUNTIF(总览汇总!$B$5:$B$304,J544)=0),"✗ 客户不在总览汇总名单里",IF(AND(P544="应付",K544=""),"✗ 这笔要选供应商",IF(AND(P544="应付",COUNTIF(基础资料!$Q$5:$Q$54,K544)=0),"✗ 供应商不在基础资料里",IF(AND(P544="费用",L544=""),"✗ 费用支出要选费用项目",IF(AND(L544&lt;&gt;"",COUNTIF(基础资料!$AI$5:$AI$54,L544)=0),"✗ 费用项目不在基础资料里",IF(AND(IFERROR(INDEX(基础资料!$AD$5:$AD$34,MATCH(O544,基础资料!$AC$5:$AC$34,0)),"")="收",N(G544)&lt;&gt;0),"✗ 这类是收款，金额填到收入列",IF(AND(IFERROR(INDEX(基础资料!$AD$5:$AD$34,MATCH(O544,基础资料!$AC$5:$AC$34,0)),"")="支",N(F544)&lt;&gt;0),"✗ 这类是付款，金额填到支出列",IF(N(H544)&lt;0,"⚠ 账户余额成负数了，核对一下","√"))))))))))))))))))</f>
      </c>
      <c r="O544" s="78">
        <f>IF(D544&lt;&gt;"",D544,IF(AND(F544="",G544=""),"",IF(J544&lt;&gt;"",IF(N(F544)&gt;0,"客户回款","客户退款"),IF(K544&lt;&gt;"",IF(N(G544)&gt;0,"供应商付款","供应商退款"),IF(L544&lt;&gt;"","费用支出","")))))</f>
      </c>
      <c r="P544" s="78">
        <f>IF(O544="","",IFERROR(INDEX(基础资料!$AE$5:$AE$34,MATCH(O544,基础资料!$AC$5:$AC$34,0)),"未知"))</f>
      </c>
      <c r="Q544" s="78">
        <f>IF(P544="应收",COUNTIF(P$7:P544,"应收"),"")</f>
      </c>
      <c r="R544" s="78">
        <f>IF(P544="应付",COUNTIF(P$7:P544,"应付"),"")</f>
      </c>
      <c r="S544" s="78">
        <f>N(F544)-N(G544)</f>
        <v>0</v>
      </c>
    </row>
    <row r="545">
      <c r="A545" s="109">
        <f>IF(AND(F545="",G545=""),"",ROW()-6)</f>
      </c>
      <c r="B545" s="140" t="n"/>
      <c r="C545" s="141" t="n"/>
      <c r="D545" s="141" t="n"/>
      <c r="E545" s="142" t="n"/>
      <c r="F545" s="143" t="n"/>
      <c r="G545" s="144" t="n"/>
      <c r="H545" s="145">
        <f>IF(OR(C545="",AND(F545="",G545="")),"",SUMIF(基础资料!$W$5:$W$24,C545,基础资料!$X$5:$X$24)+SUMIF(C$7:C545,C545,F$7:F545)-SUMIF(C$7:C545,C545,G$7:G545))</f>
      </c>
      <c r="I545" s="145">
        <f>IF(AND(F545="",G545=""),"",SUM(基础资料!$X$5:$X$24)+SUM(F$7:F545)-SUM(G$7:G545))</f>
      </c>
      <c r="J545" s="141" t="n"/>
      <c r="K545" s="141" t="n"/>
      <c r="L545" s="141" t="n"/>
      <c r="M545" s="142" t="n"/>
      <c r="N545" s="146">
        <f>IF(AND(AND(F545="",G545=""),B545="",C545="",D545="",J545="",K545="",L545=""),"",IF(AND(F545="",G545=""),"✗ 没填金额",IF(AND(N(F545)&lt;&gt;0,N(G545)&lt;&gt;0),"✗ 收入、支出只能填一边",IF(NOT(ISNUMBER(B545)),"✗ 日期不是真日期（要像 2026/9/25 这样填）",IF(OR(B545&lt;年初日,B545&gt;年末日),"✗ 日期不在本会计年度",IF(C545="","✗ 没选账户",IF(COUNTIF(基础资料!$W$5:$W$24,C545)=0,"✗ 账户不在基础资料里",IF(O545="","✗ 没选收支项目",IF(P545="未知","✗ 收支项目不在基础资料里",IF(AND(P545="应收",J545=""),"✗ 这笔要选客户",IF(AND(P545="应收",COUNTIF(总览汇总!$B$5:$B$304,J545)=0),"✗ 客户不在总览汇总名单里",IF(AND(P545="应付",K545=""),"✗ 这笔要选供应商",IF(AND(P545="应付",COUNTIF(基础资料!$Q$5:$Q$54,K545)=0),"✗ 供应商不在基础资料里",IF(AND(P545="费用",L545=""),"✗ 费用支出要选费用项目",IF(AND(L545&lt;&gt;"",COUNTIF(基础资料!$AI$5:$AI$54,L545)=0),"✗ 费用项目不在基础资料里",IF(AND(IFERROR(INDEX(基础资料!$AD$5:$AD$34,MATCH(O545,基础资料!$AC$5:$AC$34,0)),"")="收",N(G545)&lt;&gt;0),"✗ 这类是收款，金额填到收入列",IF(AND(IFERROR(INDEX(基础资料!$AD$5:$AD$34,MATCH(O545,基础资料!$AC$5:$AC$34,0)),"")="支",N(F545)&lt;&gt;0),"✗ 这类是付款，金额填到支出列",IF(N(H545)&lt;0,"⚠ 账户余额成负数了，核对一下","√"))))))))))))))))))</f>
      </c>
      <c r="O545" s="78">
        <f>IF(D545&lt;&gt;"",D545,IF(AND(F545="",G545=""),"",IF(J545&lt;&gt;"",IF(N(F545)&gt;0,"客户回款","客户退款"),IF(K545&lt;&gt;"",IF(N(G545)&gt;0,"供应商付款","供应商退款"),IF(L545&lt;&gt;"","费用支出","")))))</f>
      </c>
      <c r="P545" s="78">
        <f>IF(O545="","",IFERROR(INDEX(基础资料!$AE$5:$AE$34,MATCH(O545,基础资料!$AC$5:$AC$34,0)),"未知"))</f>
      </c>
      <c r="Q545" s="78">
        <f>IF(P545="应收",COUNTIF(P$7:P545,"应收"),"")</f>
      </c>
      <c r="R545" s="78">
        <f>IF(P545="应付",COUNTIF(P$7:P545,"应付"),"")</f>
      </c>
      <c r="S545" s="78">
        <f>N(F545)-N(G545)</f>
        <v>0</v>
      </c>
    </row>
    <row r="546">
      <c r="A546" s="109">
        <f>IF(AND(F546="",G546=""),"",ROW()-6)</f>
      </c>
      <c r="B546" s="140" t="n"/>
      <c r="C546" s="141" t="n"/>
      <c r="D546" s="141" t="n"/>
      <c r="E546" s="142" t="n"/>
      <c r="F546" s="143" t="n"/>
      <c r="G546" s="144" t="n"/>
      <c r="H546" s="145">
        <f>IF(OR(C546="",AND(F546="",G546="")),"",SUMIF(基础资料!$W$5:$W$24,C546,基础资料!$X$5:$X$24)+SUMIF(C$7:C546,C546,F$7:F546)-SUMIF(C$7:C546,C546,G$7:G546))</f>
      </c>
      <c r="I546" s="145">
        <f>IF(AND(F546="",G546=""),"",SUM(基础资料!$X$5:$X$24)+SUM(F$7:F546)-SUM(G$7:G546))</f>
      </c>
      <c r="J546" s="141" t="n"/>
      <c r="K546" s="141" t="n"/>
      <c r="L546" s="141" t="n"/>
      <c r="M546" s="142" t="n"/>
      <c r="N546" s="146">
        <f>IF(AND(AND(F546="",G546=""),B546="",C546="",D546="",J546="",K546="",L546=""),"",IF(AND(F546="",G546=""),"✗ 没填金额",IF(AND(N(F546)&lt;&gt;0,N(G546)&lt;&gt;0),"✗ 收入、支出只能填一边",IF(NOT(ISNUMBER(B546)),"✗ 日期不是真日期（要像 2026/9/25 这样填）",IF(OR(B546&lt;年初日,B546&gt;年末日),"✗ 日期不在本会计年度",IF(C546="","✗ 没选账户",IF(COUNTIF(基础资料!$W$5:$W$24,C546)=0,"✗ 账户不在基础资料里",IF(O546="","✗ 没选收支项目",IF(P546="未知","✗ 收支项目不在基础资料里",IF(AND(P546="应收",J546=""),"✗ 这笔要选客户",IF(AND(P546="应收",COUNTIF(总览汇总!$B$5:$B$304,J546)=0),"✗ 客户不在总览汇总名单里",IF(AND(P546="应付",K546=""),"✗ 这笔要选供应商",IF(AND(P546="应付",COUNTIF(基础资料!$Q$5:$Q$54,K546)=0),"✗ 供应商不在基础资料里",IF(AND(P546="费用",L546=""),"✗ 费用支出要选费用项目",IF(AND(L546&lt;&gt;"",COUNTIF(基础资料!$AI$5:$AI$54,L546)=0),"✗ 费用项目不在基础资料里",IF(AND(IFERROR(INDEX(基础资料!$AD$5:$AD$34,MATCH(O546,基础资料!$AC$5:$AC$34,0)),"")="收",N(G546)&lt;&gt;0),"✗ 这类是收款，金额填到收入列",IF(AND(IFERROR(INDEX(基础资料!$AD$5:$AD$34,MATCH(O546,基础资料!$AC$5:$AC$34,0)),"")="支",N(F546)&lt;&gt;0),"✗ 这类是付款，金额填到支出列",IF(N(H546)&lt;0,"⚠ 账户余额成负数了，核对一下","√"))))))))))))))))))</f>
      </c>
      <c r="O546" s="78">
        <f>IF(D546&lt;&gt;"",D546,IF(AND(F546="",G546=""),"",IF(J546&lt;&gt;"",IF(N(F546)&gt;0,"客户回款","客户退款"),IF(K546&lt;&gt;"",IF(N(G546)&gt;0,"供应商付款","供应商退款"),IF(L546&lt;&gt;"","费用支出","")))))</f>
      </c>
      <c r="P546" s="78">
        <f>IF(O546="","",IFERROR(INDEX(基础资料!$AE$5:$AE$34,MATCH(O546,基础资料!$AC$5:$AC$34,0)),"未知"))</f>
      </c>
      <c r="Q546" s="78">
        <f>IF(P546="应收",COUNTIF(P$7:P546,"应收"),"")</f>
      </c>
      <c r="R546" s="78">
        <f>IF(P546="应付",COUNTIF(P$7:P546,"应付"),"")</f>
      </c>
      <c r="S546" s="78">
        <f>N(F546)-N(G546)</f>
        <v>0</v>
      </c>
    </row>
    <row r="547">
      <c r="A547" s="109">
        <f>IF(AND(F547="",G547=""),"",ROW()-6)</f>
      </c>
      <c r="B547" s="140" t="n"/>
      <c r="C547" s="141" t="n"/>
      <c r="D547" s="141" t="n"/>
      <c r="E547" s="142" t="n"/>
      <c r="F547" s="143" t="n"/>
      <c r="G547" s="144" t="n"/>
      <c r="H547" s="145">
        <f>IF(OR(C547="",AND(F547="",G547="")),"",SUMIF(基础资料!$W$5:$W$24,C547,基础资料!$X$5:$X$24)+SUMIF(C$7:C547,C547,F$7:F547)-SUMIF(C$7:C547,C547,G$7:G547))</f>
      </c>
      <c r="I547" s="145">
        <f>IF(AND(F547="",G547=""),"",SUM(基础资料!$X$5:$X$24)+SUM(F$7:F547)-SUM(G$7:G547))</f>
      </c>
      <c r="J547" s="141" t="n"/>
      <c r="K547" s="141" t="n"/>
      <c r="L547" s="141" t="n"/>
      <c r="M547" s="142" t="n"/>
      <c r="N547" s="146">
        <f>IF(AND(AND(F547="",G547=""),B547="",C547="",D547="",J547="",K547="",L547=""),"",IF(AND(F547="",G547=""),"✗ 没填金额",IF(AND(N(F547)&lt;&gt;0,N(G547)&lt;&gt;0),"✗ 收入、支出只能填一边",IF(NOT(ISNUMBER(B547)),"✗ 日期不是真日期（要像 2026/9/25 这样填）",IF(OR(B547&lt;年初日,B547&gt;年末日),"✗ 日期不在本会计年度",IF(C547="","✗ 没选账户",IF(COUNTIF(基础资料!$W$5:$W$24,C547)=0,"✗ 账户不在基础资料里",IF(O547="","✗ 没选收支项目",IF(P547="未知","✗ 收支项目不在基础资料里",IF(AND(P547="应收",J547=""),"✗ 这笔要选客户",IF(AND(P547="应收",COUNTIF(总览汇总!$B$5:$B$304,J547)=0),"✗ 客户不在总览汇总名单里",IF(AND(P547="应付",K547=""),"✗ 这笔要选供应商",IF(AND(P547="应付",COUNTIF(基础资料!$Q$5:$Q$54,K547)=0),"✗ 供应商不在基础资料里",IF(AND(P547="费用",L547=""),"✗ 费用支出要选费用项目",IF(AND(L547&lt;&gt;"",COUNTIF(基础资料!$AI$5:$AI$54,L547)=0),"✗ 费用项目不在基础资料里",IF(AND(IFERROR(INDEX(基础资料!$AD$5:$AD$34,MATCH(O547,基础资料!$AC$5:$AC$34,0)),"")="收",N(G547)&lt;&gt;0),"✗ 这类是收款，金额填到收入列",IF(AND(IFERROR(INDEX(基础资料!$AD$5:$AD$34,MATCH(O547,基础资料!$AC$5:$AC$34,0)),"")="支",N(F547)&lt;&gt;0),"✗ 这类是付款，金额填到支出列",IF(N(H547)&lt;0,"⚠ 账户余额成负数了，核对一下","√"))))))))))))))))))</f>
      </c>
      <c r="O547" s="78">
        <f>IF(D547&lt;&gt;"",D547,IF(AND(F547="",G547=""),"",IF(J547&lt;&gt;"",IF(N(F547)&gt;0,"客户回款","客户退款"),IF(K547&lt;&gt;"",IF(N(G547)&gt;0,"供应商付款","供应商退款"),IF(L547&lt;&gt;"","费用支出","")))))</f>
      </c>
      <c r="P547" s="78">
        <f>IF(O547="","",IFERROR(INDEX(基础资料!$AE$5:$AE$34,MATCH(O547,基础资料!$AC$5:$AC$34,0)),"未知"))</f>
      </c>
      <c r="Q547" s="78">
        <f>IF(P547="应收",COUNTIF(P$7:P547,"应收"),"")</f>
      </c>
      <c r="R547" s="78">
        <f>IF(P547="应付",COUNTIF(P$7:P547,"应付"),"")</f>
      </c>
      <c r="S547" s="78">
        <f>N(F547)-N(G547)</f>
        <v>0</v>
      </c>
    </row>
    <row r="548">
      <c r="A548" s="109">
        <f>IF(AND(F548="",G548=""),"",ROW()-6)</f>
      </c>
      <c r="B548" s="140" t="n"/>
      <c r="C548" s="141" t="n"/>
      <c r="D548" s="141" t="n"/>
      <c r="E548" s="142" t="n"/>
      <c r="F548" s="143" t="n"/>
      <c r="G548" s="144" t="n"/>
      <c r="H548" s="145">
        <f>IF(OR(C548="",AND(F548="",G548="")),"",SUMIF(基础资料!$W$5:$W$24,C548,基础资料!$X$5:$X$24)+SUMIF(C$7:C548,C548,F$7:F548)-SUMIF(C$7:C548,C548,G$7:G548))</f>
      </c>
      <c r="I548" s="145">
        <f>IF(AND(F548="",G548=""),"",SUM(基础资料!$X$5:$X$24)+SUM(F$7:F548)-SUM(G$7:G548))</f>
      </c>
      <c r="J548" s="141" t="n"/>
      <c r="K548" s="141" t="n"/>
      <c r="L548" s="141" t="n"/>
      <c r="M548" s="142" t="n"/>
      <c r="N548" s="146">
        <f>IF(AND(AND(F548="",G548=""),B548="",C548="",D548="",J548="",K548="",L548=""),"",IF(AND(F548="",G548=""),"✗ 没填金额",IF(AND(N(F548)&lt;&gt;0,N(G548)&lt;&gt;0),"✗ 收入、支出只能填一边",IF(NOT(ISNUMBER(B548)),"✗ 日期不是真日期（要像 2026/9/25 这样填）",IF(OR(B548&lt;年初日,B548&gt;年末日),"✗ 日期不在本会计年度",IF(C548="","✗ 没选账户",IF(COUNTIF(基础资料!$W$5:$W$24,C548)=0,"✗ 账户不在基础资料里",IF(O548="","✗ 没选收支项目",IF(P548="未知","✗ 收支项目不在基础资料里",IF(AND(P548="应收",J548=""),"✗ 这笔要选客户",IF(AND(P548="应收",COUNTIF(总览汇总!$B$5:$B$304,J548)=0),"✗ 客户不在总览汇总名单里",IF(AND(P548="应付",K548=""),"✗ 这笔要选供应商",IF(AND(P548="应付",COUNTIF(基础资料!$Q$5:$Q$54,K548)=0),"✗ 供应商不在基础资料里",IF(AND(P548="费用",L548=""),"✗ 费用支出要选费用项目",IF(AND(L548&lt;&gt;"",COUNTIF(基础资料!$AI$5:$AI$54,L548)=0),"✗ 费用项目不在基础资料里",IF(AND(IFERROR(INDEX(基础资料!$AD$5:$AD$34,MATCH(O548,基础资料!$AC$5:$AC$34,0)),"")="收",N(G548)&lt;&gt;0),"✗ 这类是收款，金额填到收入列",IF(AND(IFERROR(INDEX(基础资料!$AD$5:$AD$34,MATCH(O548,基础资料!$AC$5:$AC$34,0)),"")="支",N(F548)&lt;&gt;0),"✗ 这类是付款，金额填到支出列",IF(N(H548)&lt;0,"⚠ 账户余额成负数了，核对一下","√"))))))))))))))))))</f>
      </c>
      <c r="O548" s="78">
        <f>IF(D548&lt;&gt;"",D548,IF(AND(F548="",G548=""),"",IF(J548&lt;&gt;"",IF(N(F548)&gt;0,"客户回款","客户退款"),IF(K548&lt;&gt;"",IF(N(G548)&gt;0,"供应商付款","供应商退款"),IF(L548&lt;&gt;"","费用支出","")))))</f>
      </c>
      <c r="P548" s="78">
        <f>IF(O548="","",IFERROR(INDEX(基础资料!$AE$5:$AE$34,MATCH(O548,基础资料!$AC$5:$AC$34,0)),"未知"))</f>
      </c>
      <c r="Q548" s="78">
        <f>IF(P548="应收",COUNTIF(P$7:P548,"应收"),"")</f>
      </c>
      <c r="R548" s="78">
        <f>IF(P548="应付",COUNTIF(P$7:P548,"应付"),"")</f>
      </c>
      <c r="S548" s="78">
        <f>N(F548)-N(G548)</f>
        <v>0</v>
      </c>
    </row>
    <row r="549">
      <c r="A549" s="109">
        <f>IF(AND(F549="",G549=""),"",ROW()-6)</f>
      </c>
      <c r="B549" s="140" t="n"/>
      <c r="C549" s="141" t="n"/>
      <c r="D549" s="141" t="n"/>
      <c r="E549" s="142" t="n"/>
      <c r="F549" s="143" t="n"/>
      <c r="G549" s="144" t="n"/>
      <c r="H549" s="145">
        <f>IF(OR(C549="",AND(F549="",G549="")),"",SUMIF(基础资料!$W$5:$W$24,C549,基础资料!$X$5:$X$24)+SUMIF(C$7:C549,C549,F$7:F549)-SUMIF(C$7:C549,C549,G$7:G549))</f>
      </c>
      <c r="I549" s="145">
        <f>IF(AND(F549="",G549=""),"",SUM(基础资料!$X$5:$X$24)+SUM(F$7:F549)-SUM(G$7:G549))</f>
      </c>
      <c r="J549" s="141" t="n"/>
      <c r="K549" s="141" t="n"/>
      <c r="L549" s="141" t="n"/>
      <c r="M549" s="142" t="n"/>
      <c r="N549" s="146">
        <f>IF(AND(AND(F549="",G549=""),B549="",C549="",D549="",J549="",K549="",L549=""),"",IF(AND(F549="",G549=""),"✗ 没填金额",IF(AND(N(F549)&lt;&gt;0,N(G549)&lt;&gt;0),"✗ 收入、支出只能填一边",IF(NOT(ISNUMBER(B549)),"✗ 日期不是真日期（要像 2026/9/25 这样填）",IF(OR(B549&lt;年初日,B549&gt;年末日),"✗ 日期不在本会计年度",IF(C549="","✗ 没选账户",IF(COUNTIF(基础资料!$W$5:$W$24,C549)=0,"✗ 账户不在基础资料里",IF(O549="","✗ 没选收支项目",IF(P549="未知","✗ 收支项目不在基础资料里",IF(AND(P549="应收",J549=""),"✗ 这笔要选客户",IF(AND(P549="应收",COUNTIF(总览汇总!$B$5:$B$304,J549)=0),"✗ 客户不在总览汇总名单里",IF(AND(P549="应付",K549=""),"✗ 这笔要选供应商",IF(AND(P549="应付",COUNTIF(基础资料!$Q$5:$Q$54,K549)=0),"✗ 供应商不在基础资料里",IF(AND(P549="费用",L549=""),"✗ 费用支出要选费用项目",IF(AND(L549&lt;&gt;"",COUNTIF(基础资料!$AI$5:$AI$54,L549)=0),"✗ 费用项目不在基础资料里",IF(AND(IFERROR(INDEX(基础资料!$AD$5:$AD$34,MATCH(O549,基础资料!$AC$5:$AC$34,0)),"")="收",N(G549)&lt;&gt;0),"✗ 这类是收款，金额填到收入列",IF(AND(IFERROR(INDEX(基础资料!$AD$5:$AD$34,MATCH(O549,基础资料!$AC$5:$AC$34,0)),"")="支",N(F549)&lt;&gt;0),"✗ 这类是付款，金额填到支出列",IF(N(H549)&lt;0,"⚠ 账户余额成负数了，核对一下","√"))))))))))))))))))</f>
      </c>
      <c r="O549" s="78">
        <f>IF(D549&lt;&gt;"",D549,IF(AND(F549="",G549=""),"",IF(J549&lt;&gt;"",IF(N(F549)&gt;0,"客户回款","客户退款"),IF(K549&lt;&gt;"",IF(N(G549)&gt;0,"供应商付款","供应商退款"),IF(L549&lt;&gt;"","费用支出","")))))</f>
      </c>
      <c r="P549" s="78">
        <f>IF(O549="","",IFERROR(INDEX(基础资料!$AE$5:$AE$34,MATCH(O549,基础资料!$AC$5:$AC$34,0)),"未知"))</f>
      </c>
      <c r="Q549" s="78">
        <f>IF(P549="应收",COUNTIF(P$7:P549,"应收"),"")</f>
      </c>
      <c r="R549" s="78">
        <f>IF(P549="应付",COUNTIF(P$7:P549,"应付"),"")</f>
      </c>
      <c r="S549" s="78">
        <f>N(F549)-N(G549)</f>
        <v>0</v>
      </c>
    </row>
    <row r="550">
      <c r="A550" s="109">
        <f>IF(AND(F550="",G550=""),"",ROW()-6)</f>
      </c>
      <c r="B550" s="140" t="n"/>
      <c r="C550" s="141" t="n"/>
      <c r="D550" s="141" t="n"/>
      <c r="E550" s="142" t="n"/>
      <c r="F550" s="143" t="n"/>
      <c r="G550" s="144" t="n"/>
      <c r="H550" s="145">
        <f>IF(OR(C550="",AND(F550="",G550="")),"",SUMIF(基础资料!$W$5:$W$24,C550,基础资料!$X$5:$X$24)+SUMIF(C$7:C550,C550,F$7:F550)-SUMIF(C$7:C550,C550,G$7:G550))</f>
      </c>
      <c r="I550" s="145">
        <f>IF(AND(F550="",G550=""),"",SUM(基础资料!$X$5:$X$24)+SUM(F$7:F550)-SUM(G$7:G550))</f>
      </c>
      <c r="J550" s="141" t="n"/>
      <c r="K550" s="141" t="n"/>
      <c r="L550" s="141" t="n"/>
      <c r="M550" s="142" t="n"/>
      <c r="N550" s="146">
        <f>IF(AND(AND(F550="",G550=""),B550="",C550="",D550="",J550="",K550="",L550=""),"",IF(AND(F550="",G550=""),"✗ 没填金额",IF(AND(N(F550)&lt;&gt;0,N(G550)&lt;&gt;0),"✗ 收入、支出只能填一边",IF(NOT(ISNUMBER(B550)),"✗ 日期不是真日期（要像 2026/9/25 这样填）",IF(OR(B550&lt;年初日,B550&gt;年末日),"✗ 日期不在本会计年度",IF(C550="","✗ 没选账户",IF(COUNTIF(基础资料!$W$5:$W$24,C550)=0,"✗ 账户不在基础资料里",IF(O550="","✗ 没选收支项目",IF(P550="未知","✗ 收支项目不在基础资料里",IF(AND(P550="应收",J550=""),"✗ 这笔要选客户",IF(AND(P550="应收",COUNTIF(总览汇总!$B$5:$B$304,J550)=0),"✗ 客户不在总览汇总名单里",IF(AND(P550="应付",K550=""),"✗ 这笔要选供应商",IF(AND(P550="应付",COUNTIF(基础资料!$Q$5:$Q$54,K550)=0),"✗ 供应商不在基础资料里",IF(AND(P550="费用",L550=""),"✗ 费用支出要选费用项目",IF(AND(L550&lt;&gt;"",COUNTIF(基础资料!$AI$5:$AI$54,L550)=0),"✗ 费用项目不在基础资料里",IF(AND(IFERROR(INDEX(基础资料!$AD$5:$AD$34,MATCH(O550,基础资料!$AC$5:$AC$34,0)),"")="收",N(G550)&lt;&gt;0),"✗ 这类是收款，金额填到收入列",IF(AND(IFERROR(INDEX(基础资料!$AD$5:$AD$34,MATCH(O550,基础资料!$AC$5:$AC$34,0)),"")="支",N(F550)&lt;&gt;0),"✗ 这类是付款，金额填到支出列",IF(N(H550)&lt;0,"⚠ 账户余额成负数了，核对一下","√"))))))))))))))))))</f>
      </c>
      <c r="O550" s="78">
        <f>IF(D550&lt;&gt;"",D550,IF(AND(F550="",G550=""),"",IF(J550&lt;&gt;"",IF(N(F550)&gt;0,"客户回款","客户退款"),IF(K550&lt;&gt;"",IF(N(G550)&gt;0,"供应商付款","供应商退款"),IF(L550&lt;&gt;"","费用支出","")))))</f>
      </c>
      <c r="P550" s="78">
        <f>IF(O550="","",IFERROR(INDEX(基础资料!$AE$5:$AE$34,MATCH(O550,基础资料!$AC$5:$AC$34,0)),"未知"))</f>
      </c>
      <c r="Q550" s="78">
        <f>IF(P550="应收",COUNTIF(P$7:P550,"应收"),"")</f>
      </c>
      <c r="R550" s="78">
        <f>IF(P550="应付",COUNTIF(P$7:P550,"应付"),"")</f>
      </c>
      <c r="S550" s="78">
        <f>N(F550)-N(G550)</f>
        <v>0</v>
      </c>
    </row>
    <row r="551">
      <c r="A551" s="109">
        <f>IF(AND(F551="",G551=""),"",ROW()-6)</f>
      </c>
      <c r="B551" s="140" t="n"/>
      <c r="C551" s="141" t="n"/>
      <c r="D551" s="141" t="n"/>
      <c r="E551" s="142" t="n"/>
      <c r="F551" s="143" t="n"/>
      <c r="G551" s="144" t="n"/>
      <c r="H551" s="145">
        <f>IF(OR(C551="",AND(F551="",G551="")),"",SUMIF(基础资料!$W$5:$W$24,C551,基础资料!$X$5:$X$24)+SUMIF(C$7:C551,C551,F$7:F551)-SUMIF(C$7:C551,C551,G$7:G551))</f>
      </c>
      <c r="I551" s="145">
        <f>IF(AND(F551="",G551=""),"",SUM(基础资料!$X$5:$X$24)+SUM(F$7:F551)-SUM(G$7:G551))</f>
      </c>
      <c r="J551" s="141" t="n"/>
      <c r="K551" s="141" t="n"/>
      <c r="L551" s="141" t="n"/>
      <c r="M551" s="142" t="n"/>
      <c r="N551" s="146">
        <f>IF(AND(AND(F551="",G551=""),B551="",C551="",D551="",J551="",K551="",L551=""),"",IF(AND(F551="",G551=""),"✗ 没填金额",IF(AND(N(F551)&lt;&gt;0,N(G551)&lt;&gt;0),"✗ 收入、支出只能填一边",IF(NOT(ISNUMBER(B551)),"✗ 日期不是真日期（要像 2026/9/25 这样填）",IF(OR(B551&lt;年初日,B551&gt;年末日),"✗ 日期不在本会计年度",IF(C551="","✗ 没选账户",IF(COUNTIF(基础资料!$W$5:$W$24,C551)=0,"✗ 账户不在基础资料里",IF(O551="","✗ 没选收支项目",IF(P551="未知","✗ 收支项目不在基础资料里",IF(AND(P551="应收",J551=""),"✗ 这笔要选客户",IF(AND(P551="应收",COUNTIF(总览汇总!$B$5:$B$304,J551)=0),"✗ 客户不在总览汇总名单里",IF(AND(P551="应付",K551=""),"✗ 这笔要选供应商",IF(AND(P551="应付",COUNTIF(基础资料!$Q$5:$Q$54,K551)=0),"✗ 供应商不在基础资料里",IF(AND(P551="费用",L551=""),"✗ 费用支出要选费用项目",IF(AND(L551&lt;&gt;"",COUNTIF(基础资料!$AI$5:$AI$54,L551)=0),"✗ 费用项目不在基础资料里",IF(AND(IFERROR(INDEX(基础资料!$AD$5:$AD$34,MATCH(O551,基础资料!$AC$5:$AC$34,0)),"")="收",N(G551)&lt;&gt;0),"✗ 这类是收款，金额填到收入列",IF(AND(IFERROR(INDEX(基础资料!$AD$5:$AD$34,MATCH(O551,基础资料!$AC$5:$AC$34,0)),"")="支",N(F551)&lt;&gt;0),"✗ 这类是付款，金额填到支出列",IF(N(H551)&lt;0,"⚠ 账户余额成负数了，核对一下","√"))))))))))))))))))</f>
      </c>
      <c r="O551" s="78">
        <f>IF(D551&lt;&gt;"",D551,IF(AND(F551="",G551=""),"",IF(J551&lt;&gt;"",IF(N(F551)&gt;0,"客户回款","客户退款"),IF(K551&lt;&gt;"",IF(N(G551)&gt;0,"供应商付款","供应商退款"),IF(L551&lt;&gt;"","费用支出","")))))</f>
      </c>
      <c r="P551" s="78">
        <f>IF(O551="","",IFERROR(INDEX(基础资料!$AE$5:$AE$34,MATCH(O551,基础资料!$AC$5:$AC$34,0)),"未知"))</f>
      </c>
      <c r="Q551" s="78">
        <f>IF(P551="应收",COUNTIF(P$7:P551,"应收"),"")</f>
      </c>
      <c r="R551" s="78">
        <f>IF(P551="应付",COUNTIF(P$7:P551,"应付"),"")</f>
      </c>
      <c r="S551" s="78">
        <f>N(F551)-N(G551)</f>
        <v>0</v>
      </c>
    </row>
    <row r="552">
      <c r="A552" s="109">
        <f>IF(AND(F552="",G552=""),"",ROW()-6)</f>
      </c>
      <c r="B552" s="140" t="n"/>
      <c r="C552" s="141" t="n"/>
      <c r="D552" s="141" t="n"/>
      <c r="E552" s="142" t="n"/>
      <c r="F552" s="143" t="n"/>
      <c r="G552" s="144" t="n"/>
      <c r="H552" s="145">
        <f>IF(OR(C552="",AND(F552="",G552="")),"",SUMIF(基础资料!$W$5:$W$24,C552,基础资料!$X$5:$X$24)+SUMIF(C$7:C552,C552,F$7:F552)-SUMIF(C$7:C552,C552,G$7:G552))</f>
      </c>
      <c r="I552" s="145">
        <f>IF(AND(F552="",G552=""),"",SUM(基础资料!$X$5:$X$24)+SUM(F$7:F552)-SUM(G$7:G552))</f>
      </c>
      <c r="J552" s="141" t="n"/>
      <c r="K552" s="141" t="n"/>
      <c r="L552" s="141" t="n"/>
      <c r="M552" s="142" t="n"/>
      <c r="N552" s="146">
        <f>IF(AND(AND(F552="",G552=""),B552="",C552="",D552="",J552="",K552="",L552=""),"",IF(AND(F552="",G552=""),"✗ 没填金额",IF(AND(N(F552)&lt;&gt;0,N(G552)&lt;&gt;0),"✗ 收入、支出只能填一边",IF(NOT(ISNUMBER(B552)),"✗ 日期不是真日期（要像 2026/9/25 这样填）",IF(OR(B552&lt;年初日,B552&gt;年末日),"✗ 日期不在本会计年度",IF(C552="","✗ 没选账户",IF(COUNTIF(基础资料!$W$5:$W$24,C552)=0,"✗ 账户不在基础资料里",IF(O552="","✗ 没选收支项目",IF(P552="未知","✗ 收支项目不在基础资料里",IF(AND(P552="应收",J552=""),"✗ 这笔要选客户",IF(AND(P552="应收",COUNTIF(总览汇总!$B$5:$B$304,J552)=0),"✗ 客户不在总览汇总名单里",IF(AND(P552="应付",K552=""),"✗ 这笔要选供应商",IF(AND(P552="应付",COUNTIF(基础资料!$Q$5:$Q$54,K552)=0),"✗ 供应商不在基础资料里",IF(AND(P552="费用",L552=""),"✗ 费用支出要选费用项目",IF(AND(L552&lt;&gt;"",COUNTIF(基础资料!$AI$5:$AI$54,L552)=0),"✗ 费用项目不在基础资料里",IF(AND(IFERROR(INDEX(基础资料!$AD$5:$AD$34,MATCH(O552,基础资料!$AC$5:$AC$34,0)),"")="收",N(G552)&lt;&gt;0),"✗ 这类是收款，金额填到收入列",IF(AND(IFERROR(INDEX(基础资料!$AD$5:$AD$34,MATCH(O552,基础资料!$AC$5:$AC$34,0)),"")="支",N(F552)&lt;&gt;0),"✗ 这类是付款，金额填到支出列",IF(N(H552)&lt;0,"⚠ 账户余额成负数了，核对一下","√"))))))))))))))))))</f>
      </c>
      <c r="O552" s="78">
        <f>IF(D552&lt;&gt;"",D552,IF(AND(F552="",G552=""),"",IF(J552&lt;&gt;"",IF(N(F552)&gt;0,"客户回款","客户退款"),IF(K552&lt;&gt;"",IF(N(G552)&gt;0,"供应商付款","供应商退款"),IF(L552&lt;&gt;"","费用支出","")))))</f>
      </c>
      <c r="P552" s="78">
        <f>IF(O552="","",IFERROR(INDEX(基础资料!$AE$5:$AE$34,MATCH(O552,基础资料!$AC$5:$AC$34,0)),"未知"))</f>
      </c>
      <c r="Q552" s="78">
        <f>IF(P552="应收",COUNTIF(P$7:P552,"应收"),"")</f>
      </c>
      <c r="R552" s="78">
        <f>IF(P552="应付",COUNTIF(P$7:P552,"应付"),"")</f>
      </c>
      <c r="S552" s="78">
        <f>N(F552)-N(G552)</f>
        <v>0</v>
      </c>
    </row>
    <row r="553">
      <c r="A553" s="109">
        <f>IF(AND(F553="",G553=""),"",ROW()-6)</f>
      </c>
      <c r="B553" s="140" t="n"/>
      <c r="C553" s="141" t="n"/>
      <c r="D553" s="141" t="n"/>
      <c r="E553" s="142" t="n"/>
      <c r="F553" s="143" t="n"/>
      <c r="G553" s="144" t="n"/>
      <c r="H553" s="145">
        <f>IF(OR(C553="",AND(F553="",G553="")),"",SUMIF(基础资料!$W$5:$W$24,C553,基础资料!$X$5:$X$24)+SUMIF(C$7:C553,C553,F$7:F553)-SUMIF(C$7:C553,C553,G$7:G553))</f>
      </c>
      <c r="I553" s="145">
        <f>IF(AND(F553="",G553=""),"",SUM(基础资料!$X$5:$X$24)+SUM(F$7:F553)-SUM(G$7:G553))</f>
      </c>
      <c r="J553" s="141" t="n"/>
      <c r="K553" s="141" t="n"/>
      <c r="L553" s="141" t="n"/>
      <c r="M553" s="142" t="n"/>
      <c r="N553" s="146">
        <f>IF(AND(AND(F553="",G553=""),B553="",C553="",D553="",J553="",K553="",L553=""),"",IF(AND(F553="",G553=""),"✗ 没填金额",IF(AND(N(F553)&lt;&gt;0,N(G553)&lt;&gt;0),"✗ 收入、支出只能填一边",IF(NOT(ISNUMBER(B553)),"✗ 日期不是真日期（要像 2026/9/25 这样填）",IF(OR(B553&lt;年初日,B553&gt;年末日),"✗ 日期不在本会计年度",IF(C553="","✗ 没选账户",IF(COUNTIF(基础资料!$W$5:$W$24,C553)=0,"✗ 账户不在基础资料里",IF(O553="","✗ 没选收支项目",IF(P553="未知","✗ 收支项目不在基础资料里",IF(AND(P553="应收",J553=""),"✗ 这笔要选客户",IF(AND(P553="应收",COUNTIF(总览汇总!$B$5:$B$304,J553)=0),"✗ 客户不在总览汇总名单里",IF(AND(P553="应付",K553=""),"✗ 这笔要选供应商",IF(AND(P553="应付",COUNTIF(基础资料!$Q$5:$Q$54,K553)=0),"✗ 供应商不在基础资料里",IF(AND(P553="费用",L553=""),"✗ 费用支出要选费用项目",IF(AND(L553&lt;&gt;"",COUNTIF(基础资料!$AI$5:$AI$54,L553)=0),"✗ 费用项目不在基础资料里",IF(AND(IFERROR(INDEX(基础资料!$AD$5:$AD$34,MATCH(O553,基础资料!$AC$5:$AC$34,0)),"")="收",N(G553)&lt;&gt;0),"✗ 这类是收款，金额填到收入列",IF(AND(IFERROR(INDEX(基础资料!$AD$5:$AD$34,MATCH(O553,基础资料!$AC$5:$AC$34,0)),"")="支",N(F553)&lt;&gt;0),"✗ 这类是付款，金额填到支出列",IF(N(H553)&lt;0,"⚠ 账户余额成负数了，核对一下","√"))))))))))))))))))</f>
      </c>
      <c r="O553" s="78">
        <f>IF(D553&lt;&gt;"",D553,IF(AND(F553="",G553=""),"",IF(J553&lt;&gt;"",IF(N(F553)&gt;0,"客户回款","客户退款"),IF(K553&lt;&gt;"",IF(N(G553)&gt;0,"供应商付款","供应商退款"),IF(L553&lt;&gt;"","费用支出","")))))</f>
      </c>
      <c r="P553" s="78">
        <f>IF(O553="","",IFERROR(INDEX(基础资料!$AE$5:$AE$34,MATCH(O553,基础资料!$AC$5:$AC$34,0)),"未知"))</f>
      </c>
      <c r="Q553" s="78">
        <f>IF(P553="应收",COUNTIF(P$7:P553,"应收"),"")</f>
      </c>
      <c r="R553" s="78">
        <f>IF(P553="应付",COUNTIF(P$7:P553,"应付"),"")</f>
      </c>
      <c r="S553" s="78">
        <f>N(F553)-N(G553)</f>
        <v>0</v>
      </c>
    </row>
    <row r="554">
      <c r="A554" s="109">
        <f>IF(AND(F554="",G554=""),"",ROW()-6)</f>
      </c>
      <c r="B554" s="140" t="n"/>
      <c r="C554" s="141" t="n"/>
      <c r="D554" s="141" t="n"/>
      <c r="E554" s="142" t="n"/>
      <c r="F554" s="143" t="n"/>
      <c r="G554" s="144" t="n"/>
      <c r="H554" s="145">
        <f>IF(OR(C554="",AND(F554="",G554="")),"",SUMIF(基础资料!$W$5:$W$24,C554,基础资料!$X$5:$X$24)+SUMIF(C$7:C554,C554,F$7:F554)-SUMIF(C$7:C554,C554,G$7:G554))</f>
      </c>
      <c r="I554" s="145">
        <f>IF(AND(F554="",G554=""),"",SUM(基础资料!$X$5:$X$24)+SUM(F$7:F554)-SUM(G$7:G554))</f>
      </c>
      <c r="J554" s="141" t="n"/>
      <c r="K554" s="141" t="n"/>
      <c r="L554" s="141" t="n"/>
      <c r="M554" s="142" t="n"/>
      <c r="N554" s="146">
        <f>IF(AND(AND(F554="",G554=""),B554="",C554="",D554="",J554="",K554="",L554=""),"",IF(AND(F554="",G554=""),"✗ 没填金额",IF(AND(N(F554)&lt;&gt;0,N(G554)&lt;&gt;0),"✗ 收入、支出只能填一边",IF(NOT(ISNUMBER(B554)),"✗ 日期不是真日期（要像 2026/9/25 这样填）",IF(OR(B554&lt;年初日,B554&gt;年末日),"✗ 日期不在本会计年度",IF(C554="","✗ 没选账户",IF(COUNTIF(基础资料!$W$5:$W$24,C554)=0,"✗ 账户不在基础资料里",IF(O554="","✗ 没选收支项目",IF(P554="未知","✗ 收支项目不在基础资料里",IF(AND(P554="应收",J554=""),"✗ 这笔要选客户",IF(AND(P554="应收",COUNTIF(总览汇总!$B$5:$B$304,J554)=0),"✗ 客户不在总览汇总名单里",IF(AND(P554="应付",K554=""),"✗ 这笔要选供应商",IF(AND(P554="应付",COUNTIF(基础资料!$Q$5:$Q$54,K554)=0),"✗ 供应商不在基础资料里",IF(AND(P554="费用",L554=""),"✗ 费用支出要选费用项目",IF(AND(L554&lt;&gt;"",COUNTIF(基础资料!$AI$5:$AI$54,L554)=0),"✗ 费用项目不在基础资料里",IF(AND(IFERROR(INDEX(基础资料!$AD$5:$AD$34,MATCH(O554,基础资料!$AC$5:$AC$34,0)),"")="收",N(G554)&lt;&gt;0),"✗ 这类是收款，金额填到收入列",IF(AND(IFERROR(INDEX(基础资料!$AD$5:$AD$34,MATCH(O554,基础资料!$AC$5:$AC$34,0)),"")="支",N(F554)&lt;&gt;0),"✗ 这类是付款，金额填到支出列",IF(N(H554)&lt;0,"⚠ 账户余额成负数了，核对一下","√"))))))))))))))))))</f>
      </c>
      <c r="O554" s="78">
        <f>IF(D554&lt;&gt;"",D554,IF(AND(F554="",G554=""),"",IF(J554&lt;&gt;"",IF(N(F554)&gt;0,"客户回款","客户退款"),IF(K554&lt;&gt;"",IF(N(G554)&gt;0,"供应商付款","供应商退款"),IF(L554&lt;&gt;"","费用支出","")))))</f>
      </c>
      <c r="P554" s="78">
        <f>IF(O554="","",IFERROR(INDEX(基础资料!$AE$5:$AE$34,MATCH(O554,基础资料!$AC$5:$AC$34,0)),"未知"))</f>
      </c>
      <c r="Q554" s="78">
        <f>IF(P554="应收",COUNTIF(P$7:P554,"应收"),"")</f>
      </c>
      <c r="R554" s="78">
        <f>IF(P554="应付",COUNTIF(P$7:P554,"应付"),"")</f>
      </c>
      <c r="S554" s="78">
        <f>N(F554)-N(G554)</f>
        <v>0</v>
      </c>
    </row>
    <row r="555">
      <c r="A555" s="109">
        <f>IF(AND(F555="",G555=""),"",ROW()-6)</f>
      </c>
      <c r="B555" s="140" t="n"/>
      <c r="C555" s="141" t="n"/>
      <c r="D555" s="141" t="n"/>
      <c r="E555" s="142" t="n"/>
      <c r="F555" s="143" t="n"/>
      <c r="G555" s="144" t="n"/>
      <c r="H555" s="145">
        <f>IF(OR(C555="",AND(F555="",G555="")),"",SUMIF(基础资料!$W$5:$W$24,C555,基础资料!$X$5:$X$24)+SUMIF(C$7:C555,C555,F$7:F555)-SUMIF(C$7:C555,C555,G$7:G555))</f>
      </c>
      <c r="I555" s="145">
        <f>IF(AND(F555="",G555=""),"",SUM(基础资料!$X$5:$X$24)+SUM(F$7:F555)-SUM(G$7:G555))</f>
      </c>
      <c r="J555" s="141" t="n"/>
      <c r="K555" s="141" t="n"/>
      <c r="L555" s="141" t="n"/>
      <c r="M555" s="142" t="n"/>
      <c r="N555" s="146">
        <f>IF(AND(AND(F555="",G555=""),B555="",C555="",D555="",J555="",K555="",L555=""),"",IF(AND(F555="",G555=""),"✗ 没填金额",IF(AND(N(F555)&lt;&gt;0,N(G555)&lt;&gt;0),"✗ 收入、支出只能填一边",IF(NOT(ISNUMBER(B555)),"✗ 日期不是真日期（要像 2026/9/25 这样填）",IF(OR(B555&lt;年初日,B555&gt;年末日),"✗ 日期不在本会计年度",IF(C555="","✗ 没选账户",IF(COUNTIF(基础资料!$W$5:$W$24,C555)=0,"✗ 账户不在基础资料里",IF(O555="","✗ 没选收支项目",IF(P555="未知","✗ 收支项目不在基础资料里",IF(AND(P555="应收",J555=""),"✗ 这笔要选客户",IF(AND(P555="应收",COUNTIF(总览汇总!$B$5:$B$304,J555)=0),"✗ 客户不在总览汇总名单里",IF(AND(P555="应付",K555=""),"✗ 这笔要选供应商",IF(AND(P555="应付",COUNTIF(基础资料!$Q$5:$Q$54,K555)=0),"✗ 供应商不在基础资料里",IF(AND(P555="费用",L555=""),"✗ 费用支出要选费用项目",IF(AND(L555&lt;&gt;"",COUNTIF(基础资料!$AI$5:$AI$54,L555)=0),"✗ 费用项目不在基础资料里",IF(AND(IFERROR(INDEX(基础资料!$AD$5:$AD$34,MATCH(O555,基础资料!$AC$5:$AC$34,0)),"")="收",N(G555)&lt;&gt;0),"✗ 这类是收款，金额填到收入列",IF(AND(IFERROR(INDEX(基础资料!$AD$5:$AD$34,MATCH(O555,基础资料!$AC$5:$AC$34,0)),"")="支",N(F555)&lt;&gt;0),"✗ 这类是付款，金额填到支出列",IF(N(H555)&lt;0,"⚠ 账户余额成负数了，核对一下","√"))))))))))))))))))</f>
      </c>
      <c r="O555" s="78">
        <f>IF(D555&lt;&gt;"",D555,IF(AND(F555="",G555=""),"",IF(J555&lt;&gt;"",IF(N(F555)&gt;0,"客户回款","客户退款"),IF(K555&lt;&gt;"",IF(N(G555)&gt;0,"供应商付款","供应商退款"),IF(L555&lt;&gt;"","费用支出","")))))</f>
      </c>
      <c r="P555" s="78">
        <f>IF(O555="","",IFERROR(INDEX(基础资料!$AE$5:$AE$34,MATCH(O555,基础资料!$AC$5:$AC$34,0)),"未知"))</f>
      </c>
      <c r="Q555" s="78">
        <f>IF(P555="应收",COUNTIF(P$7:P555,"应收"),"")</f>
      </c>
      <c r="R555" s="78">
        <f>IF(P555="应付",COUNTIF(P$7:P555,"应付"),"")</f>
      </c>
      <c r="S555" s="78">
        <f>N(F555)-N(G555)</f>
        <v>0</v>
      </c>
    </row>
    <row r="556">
      <c r="A556" s="109">
        <f>IF(AND(F556="",G556=""),"",ROW()-6)</f>
      </c>
      <c r="B556" s="140" t="n"/>
      <c r="C556" s="141" t="n"/>
      <c r="D556" s="141" t="n"/>
      <c r="E556" s="142" t="n"/>
      <c r="F556" s="143" t="n"/>
      <c r="G556" s="144" t="n"/>
      <c r="H556" s="145">
        <f>IF(OR(C556="",AND(F556="",G556="")),"",SUMIF(基础资料!$W$5:$W$24,C556,基础资料!$X$5:$X$24)+SUMIF(C$7:C556,C556,F$7:F556)-SUMIF(C$7:C556,C556,G$7:G556))</f>
      </c>
      <c r="I556" s="145">
        <f>IF(AND(F556="",G556=""),"",SUM(基础资料!$X$5:$X$24)+SUM(F$7:F556)-SUM(G$7:G556))</f>
      </c>
      <c r="J556" s="141" t="n"/>
      <c r="K556" s="141" t="n"/>
      <c r="L556" s="141" t="n"/>
      <c r="M556" s="142" t="n"/>
      <c r="N556" s="146">
        <f>IF(AND(AND(F556="",G556=""),B556="",C556="",D556="",J556="",K556="",L556=""),"",IF(AND(F556="",G556=""),"✗ 没填金额",IF(AND(N(F556)&lt;&gt;0,N(G556)&lt;&gt;0),"✗ 收入、支出只能填一边",IF(NOT(ISNUMBER(B556)),"✗ 日期不是真日期（要像 2026/9/25 这样填）",IF(OR(B556&lt;年初日,B556&gt;年末日),"✗ 日期不在本会计年度",IF(C556="","✗ 没选账户",IF(COUNTIF(基础资料!$W$5:$W$24,C556)=0,"✗ 账户不在基础资料里",IF(O556="","✗ 没选收支项目",IF(P556="未知","✗ 收支项目不在基础资料里",IF(AND(P556="应收",J556=""),"✗ 这笔要选客户",IF(AND(P556="应收",COUNTIF(总览汇总!$B$5:$B$304,J556)=0),"✗ 客户不在总览汇总名单里",IF(AND(P556="应付",K556=""),"✗ 这笔要选供应商",IF(AND(P556="应付",COUNTIF(基础资料!$Q$5:$Q$54,K556)=0),"✗ 供应商不在基础资料里",IF(AND(P556="费用",L556=""),"✗ 费用支出要选费用项目",IF(AND(L556&lt;&gt;"",COUNTIF(基础资料!$AI$5:$AI$54,L556)=0),"✗ 费用项目不在基础资料里",IF(AND(IFERROR(INDEX(基础资料!$AD$5:$AD$34,MATCH(O556,基础资料!$AC$5:$AC$34,0)),"")="收",N(G556)&lt;&gt;0),"✗ 这类是收款，金额填到收入列",IF(AND(IFERROR(INDEX(基础资料!$AD$5:$AD$34,MATCH(O556,基础资料!$AC$5:$AC$34,0)),"")="支",N(F556)&lt;&gt;0),"✗ 这类是付款，金额填到支出列",IF(N(H556)&lt;0,"⚠ 账户余额成负数了，核对一下","√"))))))))))))))))))</f>
      </c>
      <c r="O556" s="78">
        <f>IF(D556&lt;&gt;"",D556,IF(AND(F556="",G556=""),"",IF(J556&lt;&gt;"",IF(N(F556)&gt;0,"客户回款","客户退款"),IF(K556&lt;&gt;"",IF(N(G556)&gt;0,"供应商付款","供应商退款"),IF(L556&lt;&gt;"","费用支出","")))))</f>
      </c>
      <c r="P556" s="78">
        <f>IF(O556="","",IFERROR(INDEX(基础资料!$AE$5:$AE$34,MATCH(O556,基础资料!$AC$5:$AC$34,0)),"未知"))</f>
      </c>
      <c r="Q556" s="78">
        <f>IF(P556="应收",COUNTIF(P$7:P556,"应收"),"")</f>
      </c>
      <c r="R556" s="78">
        <f>IF(P556="应付",COUNTIF(P$7:P556,"应付"),"")</f>
      </c>
      <c r="S556" s="78">
        <f>N(F556)-N(G556)</f>
        <v>0</v>
      </c>
    </row>
    <row r="557">
      <c r="A557" s="109">
        <f>IF(AND(F557="",G557=""),"",ROW()-6)</f>
      </c>
      <c r="B557" s="140" t="n"/>
      <c r="C557" s="141" t="n"/>
      <c r="D557" s="141" t="n"/>
      <c r="E557" s="142" t="n"/>
      <c r="F557" s="143" t="n"/>
      <c r="G557" s="144" t="n"/>
      <c r="H557" s="145">
        <f>IF(OR(C557="",AND(F557="",G557="")),"",SUMIF(基础资料!$W$5:$W$24,C557,基础资料!$X$5:$X$24)+SUMIF(C$7:C557,C557,F$7:F557)-SUMIF(C$7:C557,C557,G$7:G557))</f>
      </c>
      <c r="I557" s="145">
        <f>IF(AND(F557="",G557=""),"",SUM(基础资料!$X$5:$X$24)+SUM(F$7:F557)-SUM(G$7:G557))</f>
      </c>
      <c r="J557" s="141" t="n"/>
      <c r="K557" s="141" t="n"/>
      <c r="L557" s="141" t="n"/>
      <c r="M557" s="142" t="n"/>
      <c r="N557" s="146">
        <f>IF(AND(AND(F557="",G557=""),B557="",C557="",D557="",J557="",K557="",L557=""),"",IF(AND(F557="",G557=""),"✗ 没填金额",IF(AND(N(F557)&lt;&gt;0,N(G557)&lt;&gt;0),"✗ 收入、支出只能填一边",IF(NOT(ISNUMBER(B557)),"✗ 日期不是真日期（要像 2026/9/25 这样填）",IF(OR(B557&lt;年初日,B557&gt;年末日),"✗ 日期不在本会计年度",IF(C557="","✗ 没选账户",IF(COUNTIF(基础资料!$W$5:$W$24,C557)=0,"✗ 账户不在基础资料里",IF(O557="","✗ 没选收支项目",IF(P557="未知","✗ 收支项目不在基础资料里",IF(AND(P557="应收",J557=""),"✗ 这笔要选客户",IF(AND(P557="应收",COUNTIF(总览汇总!$B$5:$B$304,J557)=0),"✗ 客户不在总览汇总名单里",IF(AND(P557="应付",K557=""),"✗ 这笔要选供应商",IF(AND(P557="应付",COUNTIF(基础资料!$Q$5:$Q$54,K557)=0),"✗ 供应商不在基础资料里",IF(AND(P557="费用",L557=""),"✗ 费用支出要选费用项目",IF(AND(L557&lt;&gt;"",COUNTIF(基础资料!$AI$5:$AI$54,L557)=0),"✗ 费用项目不在基础资料里",IF(AND(IFERROR(INDEX(基础资料!$AD$5:$AD$34,MATCH(O557,基础资料!$AC$5:$AC$34,0)),"")="收",N(G557)&lt;&gt;0),"✗ 这类是收款，金额填到收入列",IF(AND(IFERROR(INDEX(基础资料!$AD$5:$AD$34,MATCH(O557,基础资料!$AC$5:$AC$34,0)),"")="支",N(F557)&lt;&gt;0),"✗ 这类是付款，金额填到支出列",IF(N(H557)&lt;0,"⚠ 账户余额成负数了，核对一下","√"))))))))))))))))))</f>
      </c>
      <c r="O557" s="78">
        <f>IF(D557&lt;&gt;"",D557,IF(AND(F557="",G557=""),"",IF(J557&lt;&gt;"",IF(N(F557)&gt;0,"客户回款","客户退款"),IF(K557&lt;&gt;"",IF(N(G557)&gt;0,"供应商付款","供应商退款"),IF(L557&lt;&gt;"","费用支出","")))))</f>
      </c>
      <c r="P557" s="78">
        <f>IF(O557="","",IFERROR(INDEX(基础资料!$AE$5:$AE$34,MATCH(O557,基础资料!$AC$5:$AC$34,0)),"未知"))</f>
      </c>
      <c r="Q557" s="78">
        <f>IF(P557="应收",COUNTIF(P$7:P557,"应收"),"")</f>
      </c>
      <c r="R557" s="78">
        <f>IF(P557="应付",COUNTIF(P$7:P557,"应付"),"")</f>
      </c>
      <c r="S557" s="78">
        <f>N(F557)-N(G557)</f>
        <v>0</v>
      </c>
    </row>
    <row r="558">
      <c r="A558" s="109">
        <f>IF(AND(F558="",G558=""),"",ROW()-6)</f>
      </c>
      <c r="B558" s="140" t="n"/>
      <c r="C558" s="141" t="n"/>
      <c r="D558" s="141" t="n"/>
      <c r="E558" s="142" t="n"/>
      <c r="F558" s="143" t="n"/>
      <c r="G558" s="144" t="n"/>
      <c r="H558" s="145">
        <f>IF(OR(C558="",AND(F558="",G558="")),"",SUMIF(基础资料!$W$5:$W$24,C558,基础资料!$X$5:$X$24)+SUMIF(C$7:C558,C558,F$7:F558)-SUMIF(C$7:C558,C558,G$7:G558))</f>
      </c>
      <c r="I558" s="145">
        <f>IF(AND(F558="",G558=""),"",SUM(基础资料!$X$5:$X$24)+SUM(F$7:F558)-SUM(G$7:G558))</f>
      </c>
      <c r="J558" s="141" t="n"/>
      <c r="K558" s="141" t="n"/>
      <c r="L558" s="141" t="n"/>
      <c r="M558" s="142" t="n"/>
      <c r="N558" s="146">
        <f>IF(AND(AND(F558="",G558=""),B558="",C558="",D558="",J558="",K558="",L558=""),"",IF(AND(F558="",G558=""),"✗ 没填金额",IF(AND(N(F558)&lt;&gt;0,N(G558)&lt;&gt;0),"✗ 收入、支出只能填一边",IF(NOT(ISNUMBER(B558)),"✗ 日期不是真日期（要像 2026/9/25 这样填）",IF(OR(B558&lt;年初日,B558&gt;年末日),"✗ 日期不在本会计年度",IF(C558="","✗ 没选账户",IF(COUNTIF(基础资料!$W$5:$W$24,C558)=0,"✗ 账户不在基础资料里",IF(O558="","✗ 没选收支项目",IF(P558="未知","✗ 收支项目不在基础资料里",IF(AND(P558="应收",J558=""),"✗ 这笔要选客户",IF(AND(P558="应收",COUNTIF(总览汇总!$B$5:$B$304,J558)=0),"✗ 客户不在总览汇总名单里",IF(AND(P558="应付",K558=""),"✗ 这笔要选供应商",IF(AND(P558="应付",COUNTIF(基础资料!$Q$5:$Q$54,K558)=0),"✗ 供应商不在基础资料里",IF(AND(P558="费用",L558=""),"✗ 费用支出要选费用项目",IF(AND(L558&lt;&gt;"",COUNTIF(基础资料!$AI$5:$AI$54,L558)=0),"✗ 费用项目不在基础资料里",IF(AND(IFERROR(INDEX(基础资料!$AD$5:$AD$34,MATCH(O558,基础资料!$AC$5:$AC$34,0)),"")="收",N(G558)&lt;&gt;0),"✗ 这类是收款，金额填到收入列",IF(AND(IFERROR(INDEX(基础资料!$AD$5:$AD$34,MATCH(O558,基础资料!$AC$5:$AC$34,0)),"")="支",N(F558)&lt;&gt;0),"✗ 这类是付款，金额填到支出列",IF(N(H558)&lt;0,"⚠ 账户余额成负数了，核对一下","√"))))))))))))))))))</f>
      </c>
      <c r="O558" s="78">
        <f>IF(D558&lt;&gt;"",D558,IF(AND(F558="",G558=""),"",IF(J558&lt;&gt;"",IF(N(F558)&gt;0,"客户回款","客户退款"),IF(K558&lt;&gt;"",IF(N(G558)&gt;0,"供应商付款","供应商退款"),IF(L558&lt;&gt;"","费用支出","")))))</f>
      </c>
      <c r="P558" s="78">
        <f>IF(O558="","",IFERROR(INDEX(基础资料!$AE$5:$AE$34,MATCH(O558,基础资料!$AC$5:$AC$34,0)),"未知"))</f>
      </c>
      <c r="Q558" s="78">
        <f>IF(P558="应收",COUNTIF(P$7:P558,"应收"),"")</f>
      </c>
      <c r="R558" s="78">
        <f>IF(P558="应付",COUNTIF(P$7:P558,"应付"),"")</f>
      </c>
      <c r="S558" s="78">
        <f>N(F558)-N(G558)</f>
        <v>0</v>
      </c>
    </row>
    <row r="559">
      <c r="A559" s="109">
        <f>IF(AND(F559="",G559=""),"",ROW()-6)</f>
      </c>
      <c r="B559" s="140" t="n"/>
      <c r="C559" s="141" t="n"/>
      <c r="D559" s="141" t="n"/>
      <c r="E559" s="142" t="n"/>
      <c r="F559" s="143" t="n"/>
      <c r="G559" s="144" t="n"/>
      <c r="H559" s="145">
        <f>IF(OR(C559="",AND(F559="",G559="")),"",SUMIF(基础资料!$W$5:$W$24,C559,基础资料!$X$5:$X$24)+SUMIF(C$7:C559,C559,F$7:F559)-SUMIF(C$7:C559,C559,G$7:G559))</f>
      </c>
      <c r="I559" s="145">
        <f>IF(AND(F559="",G559=""),"",SUM(基础资料!$X$5:$X$24)+SUM(F$7:F559)-SUM(G$7:G559))</f>
      </c>
      <c r="J559" s="141" t="n"/>
      <c r="K559" s="141" t="n"/>
      <c r="L559" s="141" t="n"/>
      <c r="M559" s="142" t="n"/>
      <c r="N559" s="146">
        <f>IF(AND(AND(F559="",G559=""),B559="",C559="",D559="",J559="",K559="",L559=""),"",IF(AND(F559="",G559=""),"✗ 没填金额",IF(AND(N(F559)&lt;&gt;0,N(G559)&lt;&gt;0),"✗ 收入、支出只能填一边",IF(NOT(ISNUMBER(B559)),"✗ 日期不是真日期（要像 2026/9/25 这样填）",IF(OR(B559&lt;年初日,B559&gt;年末日),"✗ 日期不在本会计年度",IF(C559="","✗ 没选账户",IF(COUNTIF(基础资料!$W$5:$W$24,C559)=0,"✗ 账户不在基础资料里",IF(O559="","✗ 没选收支项目",IF(P559="未知","✗ 收支项目不在基础资料里",IF(AND(P559="应收",J559=""),"✗ 这笔要选客户",IF(AND(P559="应收",COUNTIF(总览汇总!$B$5:$B$304,J559)=0),"✗ 客户不在总览汇总名单里",IF(AND(P559="应付",K559=""),"✗ 这笔要选供应商",IF(AND(P559="应付",COUNTIF(基础资料!$Q$5:$Q$54,K559)=0),"✗ 供应商不在基础资料里",IF(AND(P559="费用",L559=""),"✗ 费用支出要选费用项目",IF(AND(L559&lt;&gt;"",COUNTIF(基础资料!$AI$5:$AI$54,L559)=0),"✗ 费用项目不在基础资料里",IF(AND(IFERROR(INDEX(基础资料!$AD$5:$AD$34,MATCH(O559,基础资料!$AC$5:$AC$34,0)),"")="收",N(G559)&lt;&gt;0),"✗ 这类是收款，金额填到收入列",IF(AND(IFERROR(INDEX(基础资料!$AD$5:$AD$34,MATCH(O559,基础资料!$AC$5:$AC$34,0)),"")="支",N(F559)&lt;&gt;0),"✗ 这类是付款，金额填到支出列",IF(N(H559)&lt;0,"⚠ 账户余额成负数了，核对一下","√"))))))))))))))))))</f>
      </c>
      <c r="O559" s="78">
        <f>IF(D559&lt;&gt;"",D559,IF(AND(F559="",G559=""),"",IF(J559&lt;&gt;"",IF(N(F559)&gt;0,"客户回款","客户退款"),IF(K559&lt;&gt;"",IF(N(G559)&gt;0,"供应商付款","供应商退款"),IF(L559&lt;&gt;"","费用支出","")))))</f>
      </c>
      <c r="P559" s="78">
        <f>IF(O559="","",IFERROR(INDEX(基础资料!$AE$5:$AE$34,MATCH(O559,基础资料!$AC$5:$AC$34,0)),"未知"))</f>
      </c>
      <c r="Q559" s="78">
        <f>IF(P559="应收",COUNTIF(P$7:P559,"应收"),"")</f>
      </c>
      <c r="R559" s="78">
        <f>IF(P559="应付",COUNTIF(P$7:P559,"应付"),"")</f>
      </c>
      <c r="S559" s="78">
        <f>N(F559)-N(G559)</f>
        <v>0</v>
      </c>
    </row>
    <row r="560">
      <c r="A560" s="109">
        <f>IF(AND(F560="",G560=""),"",ROW()-6)</f>
      </c>
      <c r="B560" s="140" t="n"/>
      <c r="C560" s="141" t="n"/>
      <c r="D560" s="141" t="n"/>
      <c r="E560" s="142" t="n"/>
      <c r="F560" s="143" t="n"/>
      <c r="G560" s="144" t="n"/>
      <c r="H560" s="145">
        <f>IF(OR(C560="",AND(F560="",G560="")),"",SUMIF(基础资料!$W$5:$W$24,C560,基础资料!$X$5:$X$24)+SUMIF(C$7:C560,C560,F$7:F560)-SUMIF(C$7:C560,C560,G$7:G560))</f>
      </c>
      <c r="I560" s="145">
        <f>IF(AND(F560="",G560=""),"",SUM(基础资料!$X$5:$X$24)+SUM(F$7:F560)-SUM(G$7:G560))</f>
      </c>
      <c r="J560" s="141" t="n"/>
      <c r="K560" s="141" t="n"/>
      <c r="L560" s="141" t="n"/>
      <c r="M560" s="142" t="n"/>
      <c r="N560" s="146">
        <f>IF(AND(AND(F560="",G560=""),B560="",C560="",D560="",J560="",K560="",L560=""),"",IF(AND(F560="",G560=""),"✗ 没填金额",IF(AND(N(F560)&lt;&gt;0,N(G560)&lt;&gt;0),"✗ 收入、支出只能填一边",IF(NOT(ISNUMBER(B560)),"✗ 日期不是真日期（要像 2026/9/25 这样填）",IF(OR(B560&lt;年初日,B560&gt;年末日),"✗ 日期不在本会计年度",IF(C560="","✗ 没选账户",IF(COUNTIF(基础资料!$W$5:$W$24,C560)=0,"✗ 账户不在基础资料里",IF(O560="","✗ 没选收支项目",IF(P560="未知","✗ 收支项目不在基础资料里",IF(AND(P560="应收",J560=""),"✗ 这笔要选客户",IF(AND(P560="应收",COUNTIF(总览汇总!$B$5:$B$304,J560)=0),"✗ 客户不在总览汇总名单里",IF(AND(P560="应付",K560=""),"✗ 这笔要选供应商",IF(AND(P560="应付",COUNTIF(基础资料!$Q$5:$Q$54,K560)=0),"✗ 供应商不在基础资料里",IF(AND(P560="费用",L560=""),"✗ 费用支出要选费用项目",IF(AND(L560&lt;&gt;"",COUNTIF(基础资料!$AI$5:$AI$54,L560)=0),"✗ 费用项目不在基础资料里",IF(AND(IFERROR(INDEX(基础资料!$AD$5:$AD$34,MATCH(O560,基础资料!$AC$5:$AC$34,0)),"")="收",N(G560)&lt;&gt;0),"✗ 这类是收款，金额填到收入列",IF(AND(IFERROR(INDEX(基础资料!$AD$5:$AD$34,MATCH(O560,基础资料!$AC$5:$AC$34,0)),"")="支",N(F560)&lt;&gt;0),"✗ 这类是付款，金额填到支出列",IF(N(H560)&lt;0,"⚠ 账户余额成负数了，核对一下","√"))))))))))))))))))</f>
      </c>
      <c r="O560" s="78">
        <f>IF(D560&lt;&gt;"",D560,IF(AND(F560="",G560=""),"",IF(J560&lt;&gt;"",IF(N(F560)&gt;0,"客户回款","客户退款"),IF(K560&lt;&gt;"",IF(N(G560)&gt;0,"供应商付款","供应商退款"),IF(L560&lt;&gt;"","费用支出","")))))</f>
      </c>
      <c r="P560" s="78">
        <f>IF(O560="","",IFERROR(INDEX(基础资料!$AE$5:$AE$34,MATCH(O560,基础资料!$AC$5:$AC$34,0)),"未知"))</f>
      </c>
      <c r="Q560" s="78">
        <f>IF(P560="应收",COUNTIF(P$7:P560,"应收"),"")</f>
      </c>
      <c r="R560" s="78">
        <f>IF(P560="应付",COUNTIF(P$7:P560,"应付"),"")</f>
      </c>
      <c r="S560" s="78">
        <f>N(F560)-N(G560)</f>
        <v>0</v>
      </c>
    </row>
    <row r="561">
      <c r="A561" s="109">
        <f>IF(AND(F561="",G561=""),"",ROW()-6)</f>
      </c>
      <c r="B561" s="140" t="n"/>
      <c r="C561" s="141" t="n"/>
      <c r="D561" s="141" t="n"/>
      <c r="E561" s="142" t="n"/>
      <c r="F561" s="143" t="n"/>
      <c r="G561" s="144" t="n"/>
      <c r="H561" s="145">
        <f>IF(OR(C561="",AND(F561="",G561="")),"",SUMIF(基础资料!$W$5:$W$24,C561,基础资料!$X$5:$X$24)+SUMIF(C$7:C561,C561,F$7:F561)-SUMIF(C$7:C561,C561,G$7:G561))</f>
      </c>
      <c r="I561" s="145">
        <f>IF(AND(F561="",G561=""),"",SUM(基础资料!$X$5:$X$24)+SUM(F$7:F561)-SUM(G$7:G561))</f>
      </c>
      <c r="J561" s="141" t="n"/>
      <c r="K561" s="141" t="n"/>
      <c r="L561" s="141" t="n"/>
      <c r="M561" s="142" t="n"/>
      <c r="N561" s="146">
        <f>IF(AND(AND(F561="",G561=""),B561="",C561="",D561="",J561="",K561="",L561=""),"",IF(AND(F561="",G561=""),"✗ 没填金额",IF(AND(N(F561)&lt;&gt;0,N(G561)&lt;&gt;0),"✗ 收入、支出只能填一边",IF(NOT(ISNUMBER(B561)),"✗ 日期不是真日期（要像 2026/9/25 这样填）",IF(OR(B561&lt;年初日,B561&gt;年末日),"✗ 日期不在本会计年度",IF(C561="","✗ 没选账户",IF(COUNTIF(基础资料!$W$5:$W$24,C561)=0,"✗ 账户不在基础资料里",IF(O561="","✗ 没选收支项目",IF(P561="未知","✗ 收支项目不在基础资料里",IF(AND(P561="应收",J561=""),"✗ 这笔要选客户",IF(AND(P561="应收",COUNTIF(总览汇总!$B$5:$B$304,J561)=0),"✗ 客户不在总览汇总名单里",IF(AND(P561="应付",K561=""),"✗ 这笔要选供应商",IF(AND(P561="应付",COUNTIF(基础资料!$Q$5:$Q$54,K561)=0),"✗ 供应商不在基础资料里",IF(AND(P561="费用",L561=""),"✗ 费用支出要选费用项目",IF(AND(L561&lt;&gt;"",COUNTIF(基础资料!$AI$5:$AI$54,L561)=0),"✗ 费用项目不在基础资料里",IF(AND(IFERROR(INDEX(基础资料!$AD$5:$AD$34,MATCH(O561,基础资料!$AC$5:$AC$34,0)),"")="收",N(G561)&lt;&gt;0),"✗ 这类是收款，金额填到收入列",IF(AND(IFERROR(INDEX(基础资料!$AD$5:$AD$34,MATCH(O561,基础资料!$AC$5:$AC$34,0)),"")="支",N(F561)&lt;&gt;0),"✗ 这类是付款，金额填到支出列",IF(N(H561)&lt;0,"⚠ 账户余额成负数了，核对一下","√"))))))))))))))))))</f>
      </c>
      <c r="O561" s="78">
        <f>IF(D561&lt;&gt;"",D561,IF(AND(F561="",G561=""),"",IF(J561&lt;&gt;"",IF(N(F561)&gt;0,"客户回款","客户退款"),IF(K561&lt;&gt;"",IF(N(G561)&gt;0,"供应商付款","供应商退款"),IF(L561&lt;&gt;"","费用支出","")))))</f>
      </c>
      <c r="P561" s="78">
        <f>IF(O561="","",IFERROR(INDEX(基础资料!$AE$5:$AE$34,MATCH(O561,基础资料!$AC$5:$AC$34,0)),"未知"))</f>
      </c>
      <c r="Q561" s="78">
        <f>IF(P561="应收",COUNTIF(P$7:P561,"应收"),"")</f>
      </c>
      <c r="R561" s="78">
        <f>IF(P561="应付",COUNTIF(P$7:P561,"应付"),"")</f>
      </c>
      <c r="S561" s="78">
        <f>N(F561)-N(G561)</f>
        <v>0</v>
      </c>
    </row>
    <row r="562">
      <c r="A562" s="109">
        <f>IF(AND(F562="",G562=""),"",ROW()-6)</f>
      </c>
      <c r="B562" s="140" t="n"/>
      <c r="C562" s="141" t="n"/>
      <c r="D562" s="141" t="n"/>
      <c r="E562" s="142" t="n"/>
      <c r="F562" s="143" t="n"/>
      <c r="G562" s="144" t="n"/>
      <c r="H562" s="145">
        <f>IF(OR(C562="",AND(F562="",G562="")),"",SUMIF(基础资料!$W$5:$W$24,C562,基础资料!$X$5:$X$24)+SUMIF(C$7:C562,C562,F$7:F562)-SUMIF(C$7:C562,C562,G$7:G562))</f>
      </c>
      <c r="I562" s="145">
        <f>IF(AND(F562="",G562=""),"",SUM(基础资料!$X$5:$X$24)+SUM(F$7:F562)-SUM(G$7:G562))</f>
      </c>
      <c r="J562" s="141" t="n"/>
      <c r="K562" s="141" t="n"/>
      <c r="L562" s="141" t="n"/>
      <c r="M562" s="142" t="n"/>
      <c r="N562" s="146">
        <f>IF(AND(AND(F562="",G562=""),B562="",C562="",D562="",J562="",K562="",L562=""),"",IF(AND(F562="",G562=""),"✗ 没填金额",IF(AND(N(F562)&lt;&gt;0,N(G562)&lt;&gt;0),"✗ 收入、支出只能填一边",IF(NOT(ISNUMBER(B562)),"✗ 日期不是真日期（要像 2026/9/25 这样填）",IF(OR(B562&lt;年初日,B562&gt;年末日),"✗ 日期不在本会计年度",IF(C562="","✗ 没选账户",IF(COUNTIF(基础资料!$W$5:$W$24,C562)=0,"✗ 账户不在基础资料里",IF(O562="","✗ 没选收支项目",IF(P562="未知","✗ 收支项目不在基础资料里",IF(AND(P562="应收",J562=""),"✗ 这笔要选客户",IF(AND(P562="应收",COUNTIF(总览汇总!$B$5:$B$304,J562)=0),"✗ 客户不在总览汇总名单里",IF(AND(P562="应付",K562=""),"✗ 这笔要选供应商",IF(AND(P562="应付",COUNTIF(基础资料!$Q$5:$Q$54,K562)=0),"✗ 供应商不在基础资料里",IF(AND(P562="费用",L562=""),"✗ 费用支出要选费用项目",IF(AND(L562&lt;&gt;"",COUNTIF(基础资料!$AI$5:$AI$54,L562)=0),"✗ 费用项目不在基础资料里",IF(AND(IFERROR(INDEX(基础资料!$AD$5:$AD$34,MATCH(O562,基础资料!$AC$5:$AC$34,0)),"")="收",N(G562)&lt;&gt;0),"✗ 这类是收款，金额填到收入列",IF(AND(IFERROR(INDEX(基础资料!$AD$5:$AD$34,MATCH(O562,基础资料!$AC$5:$AC$34,0)),"")="支",N(F562)&lt;&gt;0),"✗ 这类是付款，金额填到支出列",IF(N(H562)&lt;0,"⚠ 账户余额成负数了，核对一下","√"))))))))))))))))))</f>
      </c>
      <c r="O562" s="78">
        <f>IF(D562&lt;&gt;"",D562,IF(AND(F562="",G562=""),"",IF(J562&lt;&gt;"",IF(N(F562)&gt;0,"客户回款","客户退款"),IF(K562&lt;&gt;"",IF(N(G562)&gt;0,"供应商付款","供应商退款"),IF(L562&lt;&gt;"","费用支出","")))))</f>
      </c>
      <c r="P562" s="78">
        <f>IF(O562="","",IFERROR(INDEX(基础资料!$AE$5:$AE$34,MATCH(O562,基础资料!$AC$5:$AC$34,0)),"未知"))</f>
      </c>
      <c r="Q562" s="78">
        <f>IF(P562="应收",COUNTIF(P$7:P562,"应收"),"")</f>
      </c>
      <c r="R562" s="78">
        <f>IF(P562="应付",COUNTIF(P$7:P562,"应付"),"")</f>
      </c>
      <c r="S562" s="78">
        <f>N(F562)-N(G562)</f>
        <v>0</v>
      </c>
    </row>
    <row r="563">
      <c r="A563" s="109">
        <f>IF(AND(F563="",G563=""),"",ROW()-6)</f>
      </c>
      <c r="B563" s="140" t="n"/>
      <c r="C563" s="141" t="n"/>
      <c r="D563" s="141" t="n"/>
      <c r="E563" s="142" t="n"/>
      <c r="F563" s="143" t="n"/>
      <c r="G563" s="144" t="n"/>
      <c r="H563" s="145">
        <f>IF(OR(C563="",AND(F563="",G563="")),"",SUMIF(基础资料!$W$5:$W$24,C563,基础资料!$X$5:$X$24)+SUMIF(C$7:C563,C563,F$7:F563)-SUMIF(C$7:C563,C563,G$7:G563))</f>
      </c>
      <c r="I563" s="145">
        <f>IF(AND(F563="",G563=""),"",SUM(基础资料!$X$5:$X$24)+SUM(F$7:F563)-SUM(G$7:G563))</f>
      </c>
      <c r="J563" s="141" t="n"/>
      <c r="K563" s="141" t="n"/>
      <c r="L563" s="141" t="n"/>
      <c r="M563" s="142" t="n"/>
      <c r="N563" s="146">
        <f>IF(AND(AND(F563="",G563=""),B563="",C563="",D563="",J563="",K563="",L563=""),"",IF(AND(F563="",G563=""),"✗ 没填金额",IF(AND(N(F563)&lt;&gt;0,N(G563)&lt;&gt;0),"✗ 收入、支出只能填一边",IF(NOT(ISNUMBER(B563)),"✗ 日期不是真日期（要像 2026/9/25 这样填）",IF(OR(B563&lt;年初日,B563&gt;年末日),"✗ 日期不在本会计年度",IF(C563="","✗ 没选账户",IF(COUNTIF(基础资料!$W$5:$W$24,C563)=0,"✗ 账户不在基础资料里",IF(O563="","✗ 没选收支项目",IF(P563="未知","✗ 收支项目不在基础资料里",IF(AND(P563="应收",J563=""),"✗ 这笔要选客户",IF(AND(P563="应收",COUNTIF(总览汇总!$B$5:$B$304,J563)=0),"✗ 客户不在总览汇总名单里",IF(AND(P563="应付",K563=""),"✗ 这笔要选供应商",IF(AND(P563="应付",COUNTIF(基础资料!$Q$5:$Q$54,K563)=0),"✗ 供应商不在基础资料里",IF(AND(P563="费用",L563=""),"✗ 费用支出要选费用项目",IF(AND(L563&lt;&gt;"",COUNTIF(基础资料!$AI$5:$AI$54,L563)=0),"✗ 费用项目不在基础资料里",IF(AND(IFERROR(INDEX(基础资料!$AD$5:$AD$34,MATCH(O563,基础资料!$AC$5:$AC$34,0)),"")="收",N(G563)&lt;&gt;0),"✗ 这类是收款，金额填到收入列",IF(AND(IFERROR(INDEX(基础资料!$AD$5:$AD$34,MATCH(O563,基础资料!$AC$5:$AC$34,0)),"")="支",N(F563)&lt;&gt;0),"✗ 这类是付款，金额填到支出列",IF(N(H563)&lt;0,"⚠ 账户余额成负数了，核对一下","√"))))))))))))))))))</f>
      </c>
      <c r="O563" s="78">
        <f>IF(D563&lt;&gt;"",D563,IF(AND(F563="",G563=""),"",IF(J563&lt;&gt;"",IF(N(F563)&gt;0,"客户回款","客户退款"),IF(K563&lt;&gt;"",IF(N(G563)&gt;0,"供应商付款","供应商退款"),IF(L563&lt;&gt;"","费用支出","")))))</f>
      </c>
      <c r="P563" s="78">
        <f>IF(O563="","",IFERROR(INDEX(基础资料!$AE$5:$AE$34,MATCH(O563,基础资料!$AC$5:$AC$34,0)),"未知"))</f>
      </c>
      <c r="Q563" s="78">
        <f>IF(P563="应收",COUNTIF(P$7:P563,"应收"),"")</f>
      </c>
      <c r="R563" s="78">
        <f>IF(P563="应付",COUNTIF(P$7:P563,"应付"),"")</f>
      </c>
      <c r="S563" s="78">
        <f>N(F563)-N(G563)</f>
        <v>0</v>
      </c>
    </row>
    <row r="564">
      <c r="A564" s="109">
        <f>IF(AND(F564="",G564=""),"",ROW()-6)</f>
      </c>
      <c r="B564" s="140" t="n"/>
      <c r="C564" s="141" t="n"/>
      <c r="D564" s="141" t="n"/>
      <c r="E564" s="142" t="n"/>
      <c r="F564" s="143" t="n"/>
      <c r="G564" s="144" t="n"/>
      <c r="H564" s="145">
        <f>IF(OR(C564="",AND(F564="",G564="")),"",SUMIF(基础资料!$W$5:$W$24,C564,基础资料!$X$5:$X$24)+SUMIF(C$7:C564,C564,F$7:F564)-SUMIF(C$7:C564,C564,G$7:G564))</f>
      </c>
      <c r="I564" s="145">
        <f>IF(AND(F564="",G564=""),"",SUM(基础资料!$X$5:$X$24)+SUM(F$7:F564)-SUM(G$7:G564))</f>
      </c>
      <c r="J564" s="141" t="n"/>
      <c r="K564" s="141" t="n"/>
      <c r="L564" s="141" t="n"/>
      <c r="M564" s="142" t="n"/>
      <c r="N564" s="146">
        <f>IF(AND(AND(F564="",G564=""),B564="",C564="",D564="",J564="",K564="",L564=""),"",IF(AND(F564="",G564=""),"✗ 没填金额",IF(AND(N(F564)&lt;&gt;0,N(G564)&lt;&gt;0),"✗ 收入、支出只能填一边",IF(NOT(ISNUMBER(B564)),"✗ 日期不是真日期（要像 2026/9/25 这样填）",IF(OR(B564&lt;年初日,B564&gt;年末日),"✗ 日期不在本会计年度",IF(C564="","✗ 没选账户",IF(COUNTIF(基础资料!$W$5:$W$24,C564)=0,"✗ 账户不在基础资料里",IF(O564="","✗ 没选收支项目",IF(P564="未知","✗ 收支项目不在基础资料里",IF(AND(P564="应收",J564=""),"✗ 这笔要选客户",IF(AND(P564="应收",COUNTIF(总览汇总!$B$5:$B$304,J564)=0),"✗ 客户不在总览汇总名单里",IF(AND(P564="应付",K564=""),"✗ 这笔要选供应商",IF(AND(P564="应付",COUNTIF(基础资料!$Q$5:$Q$54,K564)=0),"✗ 供应商不在基础资料里",IF(AND(P564="费用",L564=""),"✗ 费用支出要选费用项目",IF(AND(L564&lt;&gt;"",COUNTIF(基础资料!$AI$5:$AI$54,L564)=0),"✗ 费用项目不在基础资料里",IF(AND(IFERROR(INDEX(基础资料!$AD$5:$AD$34,MATCH(O564,基础资料!$AC$5:$AC$34,0)),"")="收",N(G564)&lt;&gt;0),"✗ 这类是收款，金额填到收入列",IF(AND(IFERROR(INDEX(基础资料!$AD$5:$AD$34,MATCH(O564,基础资料!$AC$5:$AC$34,0)),"")="支",N(F564)&lt;&gt;0),"✗ 这类是付款，金额填到支出列",IF(N(H564)&lt;0,"⚠ 账户余额成负数了，核对一下","√"))))))))))))))))))</f>
      </c>
      <c r="O564" s="78">
        <f>IF(D564&lt;&gt;"",D564,IF(AND(F564="",G564=""),"",IF(J564&lt;&gt;"",IF(N(F564)&gt;0,"客户回款","客户退款"),IF(K564&lt;&gt;"",IF(N(G564)&gt;0,"供应商付款","供应商退款"),IF(L564&lt;&gt;"","费用支出","")))))</f>
      </c>
      <c r="P564" s="78">
        <f>IF(O564="","",IFERROR(INDEX(基础资料!$AE$5:$AE$34,MATCH(O564,基础资料!$AC$5:$AC$34,0)),"未知"))</f>
      </c>
      <c r="Q564" s="78">
        <f>IF(P564="应收",COUNTIF(P$7:P564,"应收"),"")</f>
      </c>
      <c r="R564" s="78">
        <f>IF(P564="应付",COUNTIF(P$7:P564,"应付"),"")</f>
      </c>
      <c r="S564" s="78">
        <f>N(F564)-N(G564)</f>
        <v>0</v>
      </c>
    </row>
    <row r="565">
      <c r="A565" s="109">
        <f>IF(AND(F565="",G565=""),"",ROW()-6)</f>
      </c>
      <c r="B565" s="140" t="n"/>
      <c r="C565" s="141" t="n"/>
      <c r="D565" s="141" t="n"/>
      <c r="E565" s="142" t="n"/>
      <c r="F565" s="143" t="n"/>
      <c r="G565" s="144" t="n"/>
      <c r="H565" s="145">
        <f>IF(OR(C565="",AND(F565="",G565="")),"",SUMIF(基础资料!$W$5:$W$24,C565,基础资料!$X$5:$X$24)+SUMIF(C$7:C565,C565,F$7:F565)-SUMIF(C$7:C565,C565,G$7:G565))</f>
      </c>
      <c r="I565" s="145">
        <f>IF(AND(F565="",G565=""),"",SUM(基础资料!$X$5:$X$24)+SUM(F$7:F565)-SUM(G$7:G565))</f>
      </c>
      <c r="J565" s="141" t="n"/>
      <c r="K565" s="141" t="n"/>
      <c r="L565" s="141" t="n"/>
      <c r="M565" s="142" t="n"/>
      <c r="N565" s="146">
        <f>IF(AND(AND(F565="",G565=""),B565="",C565="",D565="",J565="",K565="",L565=""),"",IF(AND(F565="",G565=""),"✗ 没填金额",IF(AND(N(F565)&lt;&gt;0,N(G565)&lt;&gt;0),"✗ 收入、支出只能填一边",IF(NOT(ISNUMBER(B565)),"✗ 日期不是真日期（要像 2026/9/25 这样填）",IF(OR(B565&lt;年初日,B565&gt;年末日),"✗ 日期不在本会计年度",IF(C565="","✗ 没选账户",IF(COUNTIF(基础资料!$W$5:$W$24,C565)=0,"✗ 账户不在基础资料里",IF(O565="","✗ 没选收支项目",IF(P565="未知","✗ 收支项目不在基础资料里",IF(AND(P565="应收",J565=""),"✗ 这笔要选客户",IF(AND(P565="应收",COUNTIF(总览汇总!$B$5:$B$304,J565)=0),"✗ 客户不在总览汇总名单里",IF(AND(P565="应付",K565=""),"✗ 这笔要选供应商",IF(AND(P565="应付",COUNTIF(基础资料!$Q$5:$Q$54,K565)=0),"✗ 供应商不在基础资料里",IF(AND(P565="费用",L565=""),"✗ 费用支出要选费用项目",IF(AND(L565&lt;&gt;"",COUNTIF(基础资料!$AI$5:$AI$54,L565)=0),"✗ 费用项目不在基础资料里",IF(AND(IFERROR(INDEX(基础资料!$AD$5:$AD$34,MATCH(O565,基础资料!$AC$5:$AC$34,0)),"")="收",N(G565)&lt;&gt;0),"✗ 这类是收款，金额填到收入列",IF(AND(IFERROR(INDEX(基础资料!$AD$5:$AD$34,MATCH(O565,基础资料!$AC$5:$AC$34,0)),"")="支",N(F565)&lt;&gt;0),"✗ 这类是付款，金额填到支出列",IF(N(H565)&lt;0,"⚠ 账户余额成负数了，核对一下","√"))))))))))))))))))</f>
      </c>
      <c r="O565" s="78">
        <f>IF(D565&lt;&gt;"",D565,IF(AND(F565="",G565=""),"",IF(J565&lt;&gt;"",IF(N(F565)&gt;0,"客户回款","客户退款"),IF(K565&lt;&gt;"",IF(N(G565)&gt;0,"供应商付款","供应商退款"),IF(L565&lt;&gt;"","费用支出","")))))</f>
      </c>
      <c r="P565" s="78">
        <f>IF(O565="","",IFERROR(INDEX(基础资料!$AE$5:$AE$34,MATCH(O565,基础资料!$AC$5:$AC$34,0)),"未知"))</f>
      </c>
      <c r="Q565" s="78">
        <f>IF(P565="应收",COUNTIF(P$7:P565,"应收"),"")</f>
      </c>
      <c r="R565" s="78">
        <f>IF(P565="应付",COUNTIF(P$7:P565,"应付"),"")</f>
      </c>
      <c r="S565" s="78">
        <f>N(F565)-N(G565)</f>
        <v>0</v>
      </c>
    </row>
    <row r="566">
      <c r="A566" s="109">
        <f>IF(AND(F566="",G566=""),"",ROW()-6)</f>
      </c>
      <c r="B566" s="140" t="n"/>
      <c r="C566" s="141" t="n"/>
      <c r="D566" s="141" t="n"/>
      <c r="E566" s="142" t="n"/>
      <c r="F566" s="143" t="n"/>
      <c r="G566" s="144" t="n"/>
      <c r="H566" s="145">
        <f>IF(OR(C566="",AND(F566="",G566="")),"",SUMIF(基础资料!$W$5:$W$24,C566,基础资料!$X$5:$X$24)+SUMIF(C$7:C566,C566,F$7:F566)-SUMIF(C$7:C566,C566,G$7:G566))</f>
      </c>
      <c r="I566" s="145">
        <f>IF(AND(F566="",G566=""),"",SUM(基础资料!$X$5:$X$24)+SUM(F$7:F566)-SUM(G$7:G566))</f>
      </c>
      <c r="J566" s="141" t="n"/>
      <c r="K566" s="141" t="n"/>
      <c r="L566" s="141" t="n"/>
      <c r="M566" s="142" t="n"/>
      <c r="N566" s="146">
        <f>IF(AND(AND(F566="",G566=""),B566="",C566="",D566="",J566="",K566="",L566=""),"",IF(AND(F566="",G566=""),"✗ 没填金额",IF(AND(N(F566)&lt;&gt;0,N(G566)&lt;&gt;0),"✗ 收入、支出只能填一边",IF(NOT(ISNUMBER(B566)),"✗ 日期不是真日期（要像 2026/9/25 这样填）",IF(OR(B566&lt;年初日,B566&gt;年末日),"✗ 日期不在本会计年度",IF(C566="","✗ 没选账户",IF(COUNTIF(基础资料!$W$5:$W$24,C566)=0,"✗ 账户不在基础资料里",IF(O566="","✗ 没选收支项目",IF(P566="未知","✗ 收支项目不在基础资料里",IF(AND(P566="应收",J566=""),"✗ 这笔要选客户",IF(AND(P566="应收",COUNTIF(总览汇总!$B$5:$B$304,J566)=0),"✗ 客户不在总览汇总名单里",IF(AND(P566="应付",K566=""),"✗ 这笔要选供应商",IF(AND(P566="应付",COUNTIF(基础资料!$Q$5:$Q$54,K566)=0),"✗ 供应商不在基础资料里",IF(AND(P566="费用",L566=""),"✗ 费用支出要选费用项目",IF(AND(L566&lt;&gt;"",COUNTIF(基础资料!$AI$5:$AI$54,L566)=0),"✗ 费用项目不在基础资料里",IF(AND(IFERROR(INDEX(基础资料!$AD$5:$AD$34,MATCH(O566,基础资料!$AC$5:$AC$34,0)),"")="收",N(G566)&lt;&gt;0),"✗ 这类是收款，金额填到收入列",IF(AND(IFERROR(INDEX(基础资料!$AD$5:$AD$34,MATCH(O566,基础资料!$AC$5:$AC$34,0)),"")="支",N(F566)&lt;&gt;0),"✗ 这类是付款，金额填到支出列",IF(N(H566)&lt;0,"⚠ 账户余额成负数了，核对一下","√"))))))))))))))))))</f>
      </c>
      <c r="O566" s="78">
        <f>IF(D566&lt;&gt;"",D566,IF(AND(F566="",G566=""),"",IF(J566&lt;&gt;"",IF(N(F566)&gt;0,"客户回款","客户退款"),IF(K566&lt;&gt;"",IF(N(G566)&gt;0,"供应商付款","供应商退款"),IF(L566&lt;&gt;"","费用支出","")))))</f>
      </c>
      <c r="P566" s="78">
        <f>IF(O566="","",IFERROR(INDEX(基础资料!$AE$5:$AE$34,MATCH(O566,基础资料!$AC$5:$AC$34,0)),"未知"))</f>
      </c>
      <c r="Q566" s="78">
        <f>IF(P566="应收",COUNTIF(P$7:P566,"应收"),"")</f>
      </c>
      <c r="R566" s="78">
        <f>IF(P566="应付",COUNTIF(P$7:P566,"应付"),"")</f>
      </c>
      <c r="S566" s="78">
        <f>N(F566)-N(G566)</f>
        <v>0</v>
      </c>
    </row>
    <row r="567">
      <c r="A567" s="109">
        <f>IF(AND(F567="",G567=""),"",ROW()-6)</f>
      </c>
      <c r="B567" s="140" t="n"/>
      <c r="C567" s="141" t="n"/>
      <c r="D567" s="141" t="n"/>
      <c r="E567" s="142" t="n"/>
      <c r="F567" s="143" t="n"/>
      <c r="G567" s="144" t="n"/>
      <c r="H567" s="145">
        <f>IF(OR(C567="",AND(F567="",G567="")),"",SUMIF(基础资料!$W$5:$W$24,C567,基础资料!$X$5:$X$24)+SUMIF(C$7:C567,C567,F$7:F567)-SUMIF(C$7:C567,C567,G$7:G567))</f>
      </c>
      <c r="I567" s="145">
        <f>IF(AND(F567="",G567=""),"",SUM(基础资料!$X$5:$X$24)+SUM(F$7:F567)-SUM(G$7:G567))</f>
      </c>
      <c r="J567" s="141" t="n"/>
      <c r="K567" s="141" t="n"/>
      <c r="L567" s="141" t="n"/>
      <c r="M567" s="142" t="n"/>
      <c r="N567" s="146">
        <f>IF(AND(AND(F567="",G567=""),B567="",C567="",D567="",J567="",K567="",L567=""),"",IF(AND(F567="",G567=""),"✗ 没填金额",IF(AND(N(F567)&lt;&gt;0,N(G567)&lt;&gt;0),"✗ 收入、支出只能填一边",IF(NOT(ISNUMBER(B567)),"✗ 日期不是真日期（要像 2026/9/25 这样填）",IF(OR(B567&lt;年初日,B567&gt;年末日),"✗ 日期不在本会计年度",IF(C567="","✗ 没选账户",IF(COUNTIF(基础资料!$W$5:$W$24,C567)=0,"✗ 账户不在基础资料里",IF(O567="","✗ 没选收支项目",IF(P567="未知","✗ 收支项目不在基础资料里",IF(AND(P567="应收",J567=""),"✗ 这笔要选客户",IF(AND(P567="应收",COUNTIF(总览汇总!$B$5:$B$304,J567)=0),"✗ 客户不在总览汇总名单里",IF(AND(P567="应付",K567=""),"✗ 这笔要选供应商",IF(AND(P567="应付",COUNTIF(基础资料!$Q$5:$Q$54,K567)=0),"✗ 供应商不在基础资料里",IF(AND(P567="费用",L567=""),"✗ 费用支出要选费用项目",IF(AND(L567&lt;&gt;"",COUNTIF(基础资料!$AI$5:$AI$54,L567)=0),"✗ 费用项目不在基础资料里",IF(AND(IFERROR(INDEX(基础资料!$AD$5:$AD$34,MATCH(O567,基础资料!$AC$5:$AC$34,0)),"")="收",N(G567)&lt;&gt;0),"✗ 这类是收款，金额填到收入列",IF(AND(IFERROR(INDEX(基础资料!$AD$5:$AD$34,MATCH(O567,基础资料!$AC$5:$AC$34,0)),"")="支",N(F567)&lt;&gt;0),"✗ 这类是付款，金额填到支出列",IF(N(H567)&lt;0,"⚠ 账户余额成负数了，核对一下","√"))))))))))))))))))</f>
      </c>
      <c r="O567" s="78">
        <f>IF(D567&lt;&gt;"",D567,IF(AND(F567="",G567=""),"",IF(J567&lt;&gt;"",IF(N(F567)&gt;0,"客户回款","客户退款"),IF(K567&lt;&gt;"",IF(N(G567)&gt;0,"供应商付款","供应商退款"),IF(L567&lt;&gt;"","费用支出","")))))</f>
      </c>
      <c r="P567" s="78">
        <f>IF(O567="","",IFERROR(INDEX(基础资料!$AE$5:$AE$34,MATCH(O567,基础资料!$AC$5:$AC$34,0)),"未知"))</f>
      </c>
      <c r="Q567" s="78">
        <f>IF(P567="应收",COUNTIF(P$7:P567,"应收"),"")</f>
      </c>
      <c r="R567" s="78">
        <f>IF(P567="应付",COUNTIF(P$7:P567,"应付"),"")</f>
      </c>
      <c r="S567" s="78">
        <f>N(F567)-N(G567)</f>
        <v>0</v>
      </c>
    </row>
    <row r="568">
      <c r="A568" s="109">
        <f>IF(AND(F568="",G568=""),"",ROW()-6)</f>
      </c>
      <c r="B568" s="140" t="n"/>
      <c r="C568" s="141" t="n"/>
      <c r="D568" s="141" t="n"/>
      <c r="E568" s="142" t="n"/>
      <c r="F568" s="143" t="n"/>
      <c r="G568" s="144" t="n"/>
      <c r="H568" s="145">
        <f>IF(OR(C568="",AND(F568="",G568="")),"",SUMIF(基础资料!$W$5:$W$24,C568,基础资料!$X$5:$X$24)+SUMIF(C$7:C568,C568,F$7:F568)-SUMIF(C$7:C568,C568,G$7:G568))</f>
      </c>
      <c r="I568" s="145">
        <f>IF(AND(F568="",G568=""),"",SUM(基础资料!$X$5:$X$24)+SUM(F$7:F568)-SUM(G$7:G568))</f>
      </c>
      <c r="J568" s="141" t="n"/>
      <c r="K568" s="141" t="n"/>
      <c r="L568" s="141" t="n"/>
      <c r="M568" s="142" t="n"/>
      <c r="N568" s="146">
        <f>IF(AND(AND(F568="",G568=""),B568="",C568="",D568="",J568="",K568="",L568=""),"",IF(AND(F568="",G568=""),"✗ 没填金额",IF(AND(N(F568)&lt;&gt;0,N(G568)&lt;&gt;0),"✗ 收入、支出只能填一边",IF(NOT(ISNUMBER(B568)),"✗ 日期不是真日期（要像 2026/9/25 这样填）",IF(OR(B568&lt;年初日,B568&gt;年末日),"✗ 日期不在本会计年度",IF(C568="","✗ 没选账户",IF(COUNTIF(基础资料!$W$5:$W$24,C568)=0,"✗ 账户不在基础资料里",IF(O568="","✗ 没选收支项目",IF(P568="未知","✗ 收支项目不在基础资料里",IF(AND(P568="应收",J568=""),"✗ 这笔要选客户",IF(AND(P568="应收",COUNTIF(总览汇总!$B$5:$B$304,J568)=0),"✗ 客户不在总览汇总名单里",IF(AND(P568="应付",K568=""),"✗ 这笔要选供应商",IF(AND(P568="应付",COUNTIF(基础资料!$Q$5:$Q$54,K568)=0),"✗ 供应商不在基础资料里",IF(AND(P568="费用",L568=""),"✗ 费用支出要选费用项目",IF(AND(L568&lt;&gt;"",COUNTIF(基础资料!$AI$5:$AI$54,L568)=0),"✗ 费用项目不在基础资料里",IF(AND(IFERROR(INDEX(基础资料!$AD$5:$AD$34,MATCH(O568,基础资料!$AC$5:$AC$34,0)),"")="收",N(G568)&lt;&gt;0),"✗ 这类是收款，金额填到收入列",IF(AND(IFERROR(INDEX(基础资料!$AD$5:$AD$34,MATCH(O568,基础资料!$AC$5:$AC$34,0)),"")="支",N(F568)&lt;&gt;0),"✗ 这类是付款，金额填到支出列",IF(N(H568)&lt;0,"⚠ 账户余额成负数了，核对一下","√"))))))))))))))))))</f>
      </c>
      <c r="O568" s="78">
        <f>IF(D568&lt;&gt;"",D568,IF(AND(F568="",G568=""),"",IF(J568&lt;&gt;"",IF(N(F568)&gt;0,"客户回款","客户退款"),IF(K568&lt;&gt;"",IF(N(G568)&gt;0,"供应商付款","供应商退款"),IF(L568&lt;&gt;"","费用支出","")))))</f>
      </c>
      <c r="P568" s="78">
        <f>IF(O568="","",IFERROR(INDEX(基础资料!$AE$5:$AE$34,MATCH(O568,基础资料!$AC$5:$AC$34,0)),"未知"))</f>
      </c>
      <c r="Q568" s="78">
        <f>IF(P568="应收",COUNTIF(P$7:P568,"应收"),"")</f>
      </c>
      <c r="R568" s="78">
        <f>IF(P568="应付",COUNTIF(P$7:P568,"应付"),"")</f>
      </c>
      <c r="S568" s="78">
        <f>N(F568)-N(G568)</f>
        <v>0</v>
      </c>
    </row>
    <row r="569">
      <c r="A569" s="109">
        <f>IF(AND(F569="",G569=""),"",ROW()-6)</f>
      </c>
      <c r="B569" s="140" t="n"/>
      <c r="C569" s="141" t="n"/>
      <c r="D569" s="141" t="n"/>
      <c r="E569" s="142" t="n"/>
      <c r="F569" s="143" t="n"/>
      <c r="G569" s="144" t="n"/>
      <c r="H569" s="145">
        <f>IF(OR(C569="",AND(F569="",G569="")),"",SUMIF(基础资料!$W$5:$W$24,C569,基础资料!$X$5:$X$24)+SUMIF(C$7:C569,C569,F$7:F569)-SUMIF(C$7:C569,C569,G$7:G569))</f>
      </c>
      <c r="I569" s="145">
        <f>IF(AND(F569="",G569=""),"",SUM(基础资料!$X$5:$X$24)+SUM(F$7:F569)-SUM(G$7:G569))</f>
      </c>
      <c r="J569" s="141" t="n"/>
      <c r="K569" s="141" t="n"/>
      <c r="L569" s="141" t="n"/>
      <c r="M569" s="142" t="n"/>
      <c r="N569" s="146">
        <f>IF(AND(AND(F569="",G569=""),B569="",C569="",D569="",J569="",K569="",L569=""),"",IF(AND(F569="",G569=""),"✗ 没填金额",IF(AND(N(F569)&lt;&gt;0,N(G569)&lt;&gt;0),"✗ 收入、支出只能填一边",IF(NOT(ISNUMBER(B569)),"✗ 日期不是真日期（要像 2026/9/25 这样填）",IF(OR(B569&lt;年初日,B569&gt;年末日),"✗ 日期不在本会计年度",IF(C569="","✗ 没选账户",IF(COUNTIF(基础资料!$W$5:$W$24,C569)=0,"✗ 账户不在基础资料里",IF(O569="","✗ 没选收支项目",IF(P569="未知","✗ 收支项目不在基础资料里",IF(AND(P569="应收",J569=""),"✗ 这笔要选客户",IF(AND(P569="应收",COUNTIF(总览汇总!$B$5:$B$304,J569)=0),"✗ 客户不在总览汇总名单里",IF(AND(P569="应付",K569=""),"✗ 这笔要选供应商",IF(AND(P569="应付",COUNTIF(基础资料!$Q$5:$Q$54,K569)=0),"✗ 供应商不在基础资料里",IF(AND(P569="费用",L569=""),"✗ 费用支出要选费用项目",IF(AND(L569&lt;&gt;"",COUNTIF(基础资料!$AI$5:$AI$54,L569)=0),"✗ 费用项目不在基础资料里",IF(AND(IFERROR(INDEX(基础资料!$AD$5:$AD$34,MATCH(O569,基础资料!$AC$5:$AC$34,0)),"")="收",N(G569)&lt;&gt;0),"✗ 这类是收款，金额填到收入列",IF(AND(IFERROR(INDEX(基础资料!$AD$5:$AD$34,MATCH(O569,基础资料!$AC$5:$AC$34,0)),"")="支",N(F569)&lt;&gt;0),"✗ 这类是付款，金额填到支出列",IF(N(H569)&lt;0,"⚠ 账户余额成负数了，核对一下","√"))))))))))))))))))</f>
      </c>
      <c r="O569" s="78">
        <f>IF(D569&lt;&gt;"",D569,IF(AND(F569="",G569=""),"",IF(J569&lt;&gt;"",IF(N(F569)&gt;0,"客户回款","客户退款"),IF(K569&lt;&gt;"",IF(N(G569)&gt;0,"供应商付款","供应商退款"),IF(L569&lt;&gt;"","费用支出","")))))</f>
      </c>
      <c r="P569" s="78">
        <f>IF(O569="","",IFERROR(INDEX(基础资料!$AE$5:$AE$34,MATCH(O569,基础资料!$AC$5:$AC$34,0)),"未知"))</f>
      </c>
      <c r="Q569" s="78">
        <f>IF(P569="应收",COUNTIF(P$7:P569,"应收"),"")</f>
      </c>
      <c r="R569" s="78">
        <f>IF(P569="应付",COUNTIF(P$7:P569,"应付"),"")</f>
      </c>
      <c r="S569" s="78">
        <f>N(F569)-N(G569)</f>
        <v>0</v>
      </c>
    </row>
    <row r="570">
      <c r="A570" s="109">
        <f>IF(AND(F570="",G570=""),"",ROW()-6)</f>
      </c>
      <c r="B570" s="140" t="n"/>
      <c r="C570" s="141" t="n"/>
      <c r="D570" s="141" t="n"/>
      <c r="E570" s="142" t="n"/>
      <c r="F570" s="143" t="n"/>
      <c r="G570" s="144" t="n"/>
      <c r="H570" s="145">
        <f>IF(OR(C570="",AND(F570="",G570="")),"",SUMIF(基础资料!$W$5:$W$24,C570,基础资料!$X$5:$X$24)+SUMIF(C$7:C570,C570,F$7:F570)-SUMIF(C$7:C570,C570,G$7:G570))</f>
      </c>
      <c r="I570" s="145">
        <f>IF(AND(F570="",G570=""),"",SUM(基础资料!$X$5:$X$24)+SUM(F$7:F570)-SUM(G$7:G570))</f>
      </c>
      <c r="J570" s="141" t="n"/>
      <c r="K570" s="141" t="n"/>
      <c r="L570" s="141" t="n"/>
      <c r="M570" s="142" t="n"/>
      <c r="N570" s="146">
        <f>IF(AND(AND(F570="",G570=""),B570="",C570="",D570="",J570="",K570="",L570=""),"",IF(AND(F570="",G570=""),"✗ 没填金额",IF(AND(N(F570)&lt;&gt;0,N(G570)&lt;&gt;0),"✗ 收入、支出只能填一边",IF(NOT(ISNUMBER(B570)),"✗ 日期不是真日期（要像 2026/9/25 这样填）",IF(OR(B570&lt;年初日,B570&gt;年末日),"✗ 日期不在本会计年度",IF(C570="","✗ 没选账户",IF(COUNTIF(基础资料!$W$5:$W$24,C570)=0,"✗ 账户不在基础资料里",IF(O570="","✗ 没选收支项目",IF(P570="未知","✗ 收支项目不在基础资料里",IF(AND(P570="应收",J570=""),"✗ 这笔要选客户",IF(AND(P570="应收",COUNTIF(总览汇总!$B$5:$B$304,J570)=0),"✗ 客户不在总览汇总名单里",IF(AND(P570="应付",K570=""),"✗ 这笔要选供应商",IF(AND(P570="应付",COUNTIF(基础资料!$Q$5:$Q$54,K570)=0),"✗ 供应商不在基础资料里",IF(AND(P570="费用",L570=""),"✗ 费用支出要选费用项目",IF(AND(L570&lt;&gt;"",COUNTIF(基础资料!$AI$5:$AI$54,L570)=0),"✗ 费用项目不在基础资料里",IF(AND(IFERROR(INDEX(基础资料!$AD$5:$AD$34,MATCH(O570,基础资料!$AC$5:$AC$34,0)),"")="收",N(G570)&lt;&gt;0),"✗ 这类是收款，金额填到收入列",IF(AND(IFERROR(INDEX(基础资料!$AD$5:$AD$34,MATCH(O570,基础资料!$AC$5:$AC$34,0)),"")="支",N(F570)&lt;&gt;0),"✗ 这类是付款，金额填到支出列",IF(N(H570)&lt;0,"⚠ 账户余额成负数了，核对一下","√"))))))))))))))))))</f>
      </c>
      <c r="O570" s="78">
        <f>IF(D570&lt;&gt;"",D570,IF(AND(F570="",G570=""),"",IF(J570&lt;&gt;"",IF(N(F570)&gt;0,"客户回款","客户退款"),IF(K570&lt;&gt;"",IF(N(G570)&gt;0,"供应商付款","供应商退款"),IF(L570&lt;&gt;"","费用支出","")))))</f>
      </c>
      <c r="P570" s="78">
        <f>IF(O570="","",IFERROR(INDEX(基础资料!$AE$5:$AE$34,MATCH(O570,基础资料!$AC$5:$AC$34,0)),"未知"))</f>
      </c>
      <c r="Q570" s="78">
        <f>IF(P570="应收",COUNTIF(P$7:P570,"应收"),"")</f>
      </c>
      <c r="R570" s="78">
        <f>IF(P570="应付",COUNTIF(P$7:P570,"应付"),"")</f>
      </c>
      <c r="S570" s="78">
        <f>N(F570)-N(G570)</f>
        <v>0</v>
      </c>
    </row>
    <row r="571">
      <c r="A571" s="109">
        <f>IF(AND(F571="",G571=""),"",ROW()-6)</f>
      </c>
      <c r="B571" s="140" t="n"/>
      <c r="C571" s="141" t="n"/>
      <c r="D571" s="141" t="n"/>
      <c r="E571" s="142" t="n"/>
      <c r="F571" s="143" t="n"/>
      <c r="G571" s="144" t="n"/>
      <c r="H571" s="145">
        <f>IF(OR(C571="",AND(F571="",G571="")),"",SUMIF(基础资料!$W$5:$W$24,C571,基础资料!$X$5:$X$24)+SUMIF(C$7:C571,C571,F$7:F571)-SUMIF(C$7:C571,C571,G$7:G571))</f>
      </c>
      <c r="I571" s="145">
        <f>IF(AND(F571="",G571=""),"",SUM(基础资料!$X$5:$X$24)+SUM(F$7:F571)-SUM(G$7:G571))</f>
      </c>
      <c r="J571" s="141" t="n"/>
      <c r="K571" s="141" t="n"/>
      <c r="L571" s="141" t="n"/>
      <c r="M571" s="142" t="n"/>
      <c r="N571" s="146">
        <f>IF(AND(AND(F571="",G571=""),B571="",C571="",D571="",J571="",K571="",L571=""),"",IF(AND(F571="",G571=""),"✗ 没填金额",IF(AND(N(F571)&lt;&gt;0,N(G571)&lt;&gt;0),"✗ 收入、支出只能填一边",IF(NOT(ISNUMBER(B571)),"✗ 日期不是真日期（要像 2026/9/25 这样填）",IF(OR(B571&lt;年初日,B571&gt;年末日),"✗ 日期不在本会计年度",IF(C571="","✗ 没选账户",IF(COUNTIF(基础资料!$W$5:$W$24,C571)=0,"✗ 账户不在基础资料里",IF(O571="","✗ 没选收支项目",IF(P571="未知","✗ 收支项目不在基础资料里",IF(AND(P571="应收",J571=""),"✗ 这笔要选客户",IF(AND(P571="应收",COUNTIF(总览汇总!$B$5:$B$304,J571)=0),"✗ 客户不在总览汇总名单里",IF(AND(P571="应付",K571=""),"✗ 这笔要选供应商",IF(AND(P571="应付",COUNTIF(基础资料!$Q$5:$Q$54,K571)=0),"✗ 供应商不在基础资料里",IF(AND(P571="费用",L571=""),"✗ 费用支出要选费用项目",IF(AND(L571&lt;&gt;"",COUNTIF(基础资料!$AI$5:$AI$54,L571)=0),"✗ 费用项目不在基础资料里",IF(AND(IFERROR(INDEX(基础资料!$AD$5:$AD$34,MATCH(O571,基础资料!$AC$5:$AC$34,0)),"")="收",N(G571)&lt;&gt;0),"✗ 这类是收款，金额填到收入列",IF(AND(IFERROR(INDEX(基础资料!$AD$5:$AD$34,MATCH(O571,基础资料!$AC$5:$AC$34,0)),"")="支",N(F571)&lt;&gt;0),"✗ 这类是付款，金额填到支出列",IF(N(H571)&lt;0,"⚠ 账户余额成负数了，核对一下","√"))))))))))))))))))</f>
      </c>
      <c r="O571" s="78">
        <f>IF(D571&lt;&gt;"",D571,IF(AND(F571="",G571=""),"",IF(J571&lt;&gt;"",IF(N(F571)&gt;0,"客户回款","客户退款"),IF(K571&lt;&gt;"",IF(N(G571)&gt;0,"供应商付款","供应商退款"),IF(L571&lt;&gt;"","费用支出","")))))</f>
      </c>
      <c r="P571" s="78">
        <f>IF(O571="","",IFERROR(INDEX(基础资料!$AE$5:$AE$34,MATCH(O571,基础资料!$AC$5:$AC$34,0)),"未知"))</f>
      </c>
      <c r="Q571" s="78">
        <f>IF(P571="应收",COUNTIF(P$7:P571,"应收"),"")</f>
      </c>
      <c r="R571" s="78">
        <f>IF(P571="应付",COUNTIF(P$7:P571,"应付"),"")</f>
      </c>
      <c r="S571" s="78">
        <f>N(F571)-N(G571)</f>
        <v>0</v>
      </c>
    </row>
    <row r="572">
      <c r="A572" s="109">
        <f>IF(AND(F572="",G572=""),"",ROW()-6)</f>
      </c>
      <c r="B572" s="140" t="n"/>
      <c r="C572" s="141" t="n"/>
      <c r="D572" s="141" t="n"/>
      <c r="E572" s="142" t="n"/>
      <c r="F572" s="143" t="n"/>
      <c r="G572" s="144" t="n"/>
      <c r="H572" s="145">
        <f>IF(OR(C572="",AND(F572="",G572="")),"",SUMIF(基础资料!$W$5:$W$24,C572,基础资料!$X$5:$X$24)+SUMIF(C$7:C572,C572,F$7:F572)-SUMIF(C$7:C572,C572,G$7:G572))</f>
      </c>
      <c r="I572" s="145">
        <f>IF(AND(F572="",G572=""),"",SUM(基础资料!$X$5:$X$24)+SUM(F$7:F572)-SUM(G$7:G572))</f>
      </c>
      <c r="J572" s="141" t="n"/>
      <c r="K572" s="141" t="n"/>
      <c r="L572" s="141" t="n"/>
      <c r="M572" s="142" t="n"/>
      <c r="N572" s="146">
        <f>IF(AND(AND(F572="",G572=""),B572="",C572="",D572="",J572="",K572="",L572=""),"",IF(AND(F572="",G572=""),"✗ 没填金额",IF(AND(N(F572)&lt;&gt;0,N(G572)&lt;&gt;0),"✗ 收入、支出只能填一边",IF(NOT(ISNUMBER(B572)),"✗ 日期不是真日期（要像 2026/9/25 这样填）",IF(OR(B572&lt;年初日,B572&gt;年末日),"✗ 日期不在本会计年度",IF(C572="","✗ 没选账户",IF(COUNTIF(基础资料!$W$5:$W$24,C572)=0,"✗ 账户不在基础资料里",IF(O572="","✗ 没选收支项目",IF(P572="未知","✗ 收支项目不在基础资料里",IF(AND(P572="应收",J572=""),"✗ 这笔要选客户",IF(AND(P572="应收",COUNTIF(总览汇总!$B$5:$B$304,J572)=0),"✗ 客户不在总览汇总名单里",IF(AND(P572="应付",K572=""),"✗ 这笔要选供应商",IF(AND(P572="应付",COUNTIF(基础资料!$Q$5:$Q$54,K572)=0),"✗ 供应商不在基础资料里",IF(AND(P572="费用",L572=""),"✗ 费用支出要选费用项目",IF(AND(L572&lt;&gt;"",COUNTIF(基础资料!$AI$5:$AI$54,L572)=0),"✗ 费用项目不在基础资料里",IF(AND(IFERROR(INDEX(基础资料!$AD$5:$AD$34,MATCH(O572,基础资料!$AC$5:$AC$34,0)),"")="收",N(G572)&lt;&gt;0),"✗ 这类是收款，金额填到收入列",IF(AND(IFERROR(INDEX(基础资料!$AD$5:$AD$34,MATCH(O572,基础资料!$AC$5:$AC$34,0)),"")="支",N(F572)&lt;&gt;0),"✗ 这类是付款，金额填到支出列",IF(N(H572)&lt;0,"⚠ 账户余额成负数了，核对一下","√"))))))))))))))))))</f>
      </c>
      <c r="O572" s="78">
        <f>IF(D572&lt;&gt;"",D572,IF(AND(F572="",G572=""),"",IF(J572&lt;&gt;"",IF(N(F572)&gt;0,"客户回款","客户退款"),IF(K572&lt;&gt;"",IF(N(G572)&gt;0,"供应商付款","供应商退款"),IF(L572&lt;&gt;"","费用支出","")))))</f>
      </c>
      <c r="P572" s="78">
        <f>IF(O572="","",IFERROR(INDEX(基础资料!$AE$5:$AE$34,MATCH(O572,基础资料!$AC$5:$AC$34,0)),"未知"))</f>
      </c>
      <c r="Q572" s="78">
        <f>IF(P572="应收",COUNTIF(P$7:P572,"应收"),"")</f>
      </c>
      <c r="R572" s="78">
        <f>IF(P572="应付",COUNTIF(P$7:P572,"应付"),"")</f>
      </c>
      <c r="S572" s="78">
        <f>N(F572)-N(G572)</f>
        <v>0</v>
      </c>
    </row>
    <row r="573">
      <c r="A573" s="109">
        <f>IF(AND(F573="",G573=""),"",ROW()-6)</f>
      </c>
      <c r="B573" s="140" t="n"/>
      <c r="C573" s="141" t="n"/>
      <c r="D573" s="141" t="n"/>
      <c r="E573" s="142" t="n"/>
      <c r="F573" s="143" t="n"/>
      <c r="G573" s="144" t="n"/>
      <c r="H573" s="145">
        <f>IF(OR(C573="",AND(F573="",G573="")),"",SUMIF(基础资料!$W$5:$W$24,C573,基础资料!$X$5:$X$24)+SUMIF(C$7:C573,C573,F$7:F573)-SUMIF(C$7:C573,C573,G$7:G573))</f>
      </c>
      <c r="I573" s="145">
        <f>IF(AND(F573="",G573=""),"",SUM(基础资料!$X$5:$X$24)+SUM(F$7:F573)-SUM(G$7:G573))</f>
      </c>
      <c r="J573" s="141" t="n"/>
      <c r="K573" s="141" t="n"/>
      <c r="L573" s="141" t="n"/>
      <c r="M573" s="142" t="n"/>
      <c r="N573" s="146">
        <f>IF(AND(AND(F573="",G573=""),B573="",C573="",D573="",J573="",K573="",L573=""),"",IF(AND(F573="",G573=""),"✗ 没填金额",IF(AND(N(F573)&lt;&gt;0,N(G573)&lt;&gt;0),"✗ 收入、支出只能填一边",IF(NOT(ISNUMBER(B573)),"✗ 日期不是真日期（要像 2026/9/25 这样填）",IF(OR(B573&lt;年初日,B573&gt;年末日),"✗ 日期不在本会计年度",IF(C573="","✗ 没选账户",IF(COUNTIF(基础资料!$W$5:$W$24,C573)=0,"✗ 账户不在基础资料里",IF(O573="","✗ 没选收支项目",IF(P573="未知","✗ 收支项目不在基础资料里",IF(AND(P573="应收",J573=""),"✗ 这笔要选客户",IF(AND(P573="应收",COUNTIF(总览汇总!$B$5:$B$304,J573)=0),"✗ 客户不在总览汇总名单里",IF(AND(P573="应付",K573=""),"✗ 这笔要选供应商",IF(AND(P573="应付",COUNTIF(基础资料!$Q$5:$Q$54,K573)=0),"✗ 供应商不在基础资料里",IF(AND(P573="费用",L573=""),"✗ 费用支出要选费用项目",IF(AND(L573&lt;&gt;"",COUNTIF(基础资料!$AI$5:$AI$54,L573)=0),"✗ 费用项目不在基础资料里",IF(AND(IFERROR(INDEX(基础资料!$AD$5:$AD$34,MATCH(O573,基础资料!$AC$5:$AC$34,0)),"")="收",N(G573)&lt;&gt;0),"✗ 这类是收款，金额填到收入列",IF(AND(IFERROR(INDEX(基础资料!$AD$5:$AD$34,MATCH(O573,基础资料!$AC$5:$AC$34,0)),"")="支",N(F573)&lt;&gt;0),"✗ 这类是付款，金额填到支出列",IF(N(H573)&lt;0,"⚠ 账户余额成负数了，核对一下","√"))))))))))))))))))</f>
      </c>
      <c r="O573" s="78">
        <f>IF(D573&lt;&gt;"",D573,IF(AND(F573="",G573=""),"",IF(J573&lt;&gt;"",IF(N(F573)&gt;0,"客户回款","客户退款"),IF(K573&lt;&gt;"",IF(N(G573)&gt;0,"供应商付款","供应商退款"),IF(L573&lt;&gt;"","费用支出","")))))</f>
      </c>
      <c r="P573" s="78">
        <f>IF(O573="","",IFERROR(INDEX(基础资料!$AE$5:$AE$34,MATCH(O573,基础资料!$AC$5:$AC$34,0)),"未知"))</f>
      </c>
      <c r="Q573" s="78">
        <f>IF(P573="应收",COUNTIF(P$7:P573,"应收"),"")</f>
      </c>
      <c r="R573" s="78">
        <f>IF(P573="应付",COUNTIF(P$7:P573,"应付"),"")</f>
      </c>
      <c r="S573" s="78">
        <f>N(F573)-N(G573)</f>
        <v>0</v>
      </c>
    </row>
    <row r="574">
      <c r="A574" s="109">
        <f>IF(AND(F574="",G574=""),"",ROW()-6)</f>
      </c>
      <c r="B574" s="140" t="n"/>
      <c r="C574" s="141" t="n"/>
      <c r="D574" s="141" t="n"/>
      <c r="E574" s="142" t="n"/>
      <c r="F574" s="143" t="n"/>
      <c r="G574" s="144" t="n"/>
      <c r="H574" s="145">
        <f>IF(OR(C574="",AND(F574="",G574="")),"",SUMIF(基础资料!$W$5:$W$24,C574,基础资料!$X$5:$X$24)+SUMIF(C$7:C574,C574,F$7:F574)-SUMIF(C$7:C574,C574,G$7:G574))</f>
      </c>
      <c r="I574" s="145">
        <f>IF(AND(F574="",G574=""),"",SUM(基础资料!$X$5:$X$24)+SUM(F$7:F574)-SUM(G$7:G574))</f>
      </c>
      <c r="J574" s="141" t="n"/>
      <c r="K574" s="141" t="n"/>
      <c r="L574" s="141" t="n"/>
      <c r="M574" s="142" t="n"/>
      <c r="N574" s="146">
        <f>IF(AND(AND(F574="",G574=""),B574="",C574="",D574="",J574="",K574="",L574=""),"",IF(AND(F574="",G574=""),"✗ 没填金额",IF(AND(N(F574)&lt;&gt;0,N(G574)&lt;&gt;0),"✗ 收入、支出只能填一边",IF(NOT(ISNUMBER(B574)),"✗ 日期不是真日期（要像 2026/9/25 这样填）",IF(OR(B574&lt;年初日,B574&gt;年末日),"✗ 日期不在本会计年度",IF(C574="","✗ 没选账户",IF(COUNTIF(基础资料!$W$5:$W$24,C574)=0,"✗ 账户不在基础资料里",IF(O574="","✗ 没选收支项目",IF(P574="未知","✗ 收支项目不在基础资料里",IF(AND(P574="应收",J574=""),"✗ 这笔要选客户",IF(AND(P574="应收",COUNTIF(总览汇总!$B$5:$B$304,J574)=0),"✗ 客户不在总览汇总名单里",IF(AND(P574="应付",K574=""),"✗ 这笔要选供应商",IF(AND(P574="应付",COUNTIF(基础资料!$Q$5:$Q$54,K574)=0),"✗ 供应商不在基础资料里",IF(AND(P574="费用",L574=""),"✗ 费用支出要选费用项目",IF(AND(L574&lt;&gt;"",COUNTIF(基础资料!$AI$5:$AI$54,L574)=0),"✗ 费用项目不在基础资料里",IF(AND(IFERROR(INDEX(基础资料!$AD$5:$AD$34,MATCH(O574,基础资料!$AC$5:$AC$34,0)),"")="收",N(G574)&lt;&gt;0),"✗ 这类是收款，金额填到收入列",IF(AND(IFERROR(INDEX(基础资料!$AD$5:$AD$34,MATCH(O574,基础资料!$AC$5:$AC$34,0)),"")="支",N(F574)&lt;&gt;0),"✗ 这类是付款，金额填到支出列",IF(N(H574)&lt;0,"⚠ 账户余额成负数了，核对一下","√"))))))))))))))))))</f>
      </c>
      <c r="O574" s="78">
        <f>IF(D574&lt;&gt;"",D574,IF(AND(F574="",G574=""),"",IF(J574&lt;&gt;"",IF(N(F574)&gt;0,"客户回款","客户退款"),IF(K574&lt;&gt;"",IF(N(G574)&gt;0,"供应商付款","供应商退款"),IF(L574&lt;&gt;"","费用支出","")))))</f>
      </c>
      <c r="P574" s="78">
        <f>IF(O574="","",IFERROR(INDEX(基础资料!$AE$5:$AE$34,MATCH(O574,基础资料!$AC$5:$AC$34,0)),"未知"))</f>
      </c>
      <c r="Q574" s="78">
        <f>IF(P574="应收",COUNTIF(P$7:P574,"应收"),"")</f>
      </c>
      <c r="R574" s="78">
        <f>IF(P574="应付",COUNTIF(P$7:P574,"应付"),"")</f>
      </c>
      <c r="S574" s="78">
        <f>N(F574)-N(G574)</f>
        <v>0</v>
      </c>
    </row>
    <row r="575">
      <c r="A575" s="109">
        <f>IF(AND(F575="",G575=""),"",ROW()-6)</f>
      </c>
      <c r="B575" s="140" t="n"/>
      <c r="C575" s="141" t="n"/>
      <c r="D575" s="141" t="n"/>
      <c r="E575" s="142" t="n"/>
      <c r="F575" s="143" t="n"/>
      <c r="G575" s="144" t="n"/>
      <c r="H575" s="145">
        <f>IF(OR(C575="",AND(F575="",G575="")),"",SUMIF(基础资料!$W$5:$W$24,C575,基础资料!$X$5:$X$24)+SUMIF(C$7:C575,C575,F$7:F575)-SUMIF(C$7:C575,C575,G$7:G575))</f>
      </c>
      <c r="I575" s="145">
        <f>IF(AND(F575="",G575=""),"",SUM(基础资料!$X$5:$X$24)+SUM(F$7:F575)-SUM(G$7:G575))</f>
      </c>
      <c r="J575" s="141" t="n"/>
      <c r="K575" s="141" t="n"/>
      <c r="L575" s="141" t="n"/>
      <c r="M575" s="142" t="n"/>
      <c r="N575" s="146">
        <f>IF(AND(AND(F575="",G575=""),B575="",C575="",D575="",J575="",K575="",L575=""),"",IF(AND(F575="",G575=""),"✗ 没填金额",IF(AND(N(F575)&lt;&gt;0,N(G575)&lt;&gt;0),"✗ 收入、支出只能填一边",IF(NOT(ISNUMBER(B575)),"✗ 日期不是真日期（要像 2026/9/25 这样填）",IF(OR(B575&lt;年初日,B575&gt;年末日),"✗ 日期不在本会计年度",IF(C575="","✗ 没选账户",IF(COUNTIF(基础资料!$W$5:$W$24,C575)=0,"✗ 账户不在基础资料里",IF(O575="","✗ 没选收支项目",IF(P575="未知","✗ 收支项目不在基础资料里",IF(AND(P575="应收",J575=""),"✗ 这笔要选客户",IF(AND(P575="应收",COUNTIF(总览汇总!$B$5:$B$304,J575)=0),"✗ 客户不在总览汇总名单里",IF(AND(P575="应付",K575=""),"✗ 这笔要选供应商",IF(AND(P575="应付",COUNTIF(基础资料!$Q$5:$Q$54,K575)=0),"✗ 供应商不在基础资料里",IF(AND(P575="费用",L575=""),"✗ 费用支出要选费用项目",IF(AND(L575&lt;&gt;"",COUNTIF(基础资料!$AI$5:$AI$54,L575)=0),"✗ 费用项目不在基础资料里",IF(AND(IFERROR(INDEX(基础资料!$AD$5:$AD$34,MATCH(O575,基础资料!$AC$5:$AC$34,0)),"")="收",N(G575)&lt;&gt;0),"✗ 这类是收款，金额填到收入列",IF(AND(IFERROR(INDEX(基础资料!$AD$5:$AD$34,MATCH(O575,基础资料!$AC$5:$AC$34,0)),"")="支",N(F575)&lt;&gt;0),"✗ 这类是付款，金额填到支出列",IF(N(H575)&lt;0,"⚠ 账户余额成负数了，核对一下","√"))))))))))))))))))</f>
      </c>
      <c r="O575" s="78">
        <f>IF(D575&lt;&gt;"",D575,IF(AND(F575="",G575=""),"",IF(J575&lt;&gt;"",IF(N(F575)&gt;0,"客户回款","客户退款"),IF(K575&lt;&gt;"",IF(N(G575)&gt;0,"供应商付款","供应商退款"),IF(L575&lt;&gt;"","费用支出","")))))</f>
      </c>
      <c r="P575" s="78">
        <f>IF(O575="","",IFERROR(INDEX(基础资料!$AE$5:$AE$34,MATCH(O575,基础资料!$AC$5:$AC$34,0)),"未知"))</f>
      </c>
      <c r="Q575" s="78">
        <f>IF(P575="应收",COUNTIF(P$7:P575,"应收"),"")</f>
      </c>
      <c r="R575" s="78">
        <f>IF(P575="应付",COUNTIF(P$7:P575,"应付"),"")</f>
      </c>
      <c r="S575" s="78">
        <f>N(F575)-N(G575)</f>
        <v>0</v>
      </c>
    </row>
    <row r="576">
      <c r="A576" s="109">
        <f>IF(AND(F576="",G576=""),"",ROW()-6)</f>
      </c>
      <c r="B576" s="140" t="n"/>
      <c r="C576" s="141" t="n"/>
      <c r="D576" s="141" t="n"/>
      <c r="E576" s="142" t="n"/>
      <c r="F576" s="143" t="n"/>
      <c r="G576" s="144" t="n"/>
      <c r="H576" s="145">
        <f>IF(OR(C576="",AND(F576="",G576="")),"",SUMIF(基础资料!$W$5:$W$24,C576,基础资料!$X$5:$X$24)+SUMIF(C$7:C576,C576,F$7:F576)-SUMIF(C$7:C576,C576,G$7:G576))</f>
      </c>
      <c r="I576" s="145">
        <f>IF(AND(F576="",G576=""),"",SUM(基础资料!$X$5:$X$24)+SUM(F$7:F576)-SUM(G$7:G576))</f>
      </c>
      <c r="J576" s="141" t="n"/>
      <c r="K576" s="141" t="n"/>
      <c r="L576" s="141" t="n"/>
      <c r="M576" s="142" t="n"/>
      <c r="N576" s="146">
        <f>IF(AND(AND(F576="",G576=""),B576="",C576="",D576="",J576="",K576="",L576=""),"",IF(AND(F576="",G576=""),"✗ 没填金额",IF(AND(N(F576)&lt;&gt;0,N(G576)&lt;&gt;0),"✗ 收入、支出只能填一边",IF(NOT(ISNUMBER(B576)),"✗ 日期不是真日期（要像 2026/9/25 这样填）",IF(OR(B576&lt;年初日,B576&gt;年末日),"✗ 日期不在本会计年度",IF(C576="","✗ 没选账户",IF(COUNTIF(基础资料!$W$5:$W$24,C576)=0,"✗ 账户不在基础资料里",IF(O576="","✗ 没选收支项目",IF(P576="未知","✗ 收支项目不在基础资料里",IF(AND(P576="应收",J576=""),"✗ 这笔要选客户",IF(AND(P576="应收",COUNTIF(总览汇总!$B$5:$B$304,J576)=0),"✗ 客户不在总览汇总名单里",IF(AND(P576="应付",K576=""),"✗ 这笔要选供应商",IF(AND(P576="应付",COUNTIF(基础资料!$Q$5:$Q$54,K576)=0),"✗ 供应商不在基础资料里",IF(AND(P576="费用",L576=""),"✗ 费用支出要选费用项目",IF(AND(L576&lt;&gt;"",COUNTIF(基础资料!$AI$5:$AI$54,L576)=0),"✗ 费用项目不在基础资料里",IF(AND(IFERROR(INDEX(基础资料!$AD$5:$AD$34,MATCH(O576,基础资料!$AC$5:$AC$34,0)),"")="收",N(G576)&lt;&gt;0),"✗ 这类是收款，金额填到收入列",IF(AND(IFERROR(INDEX(基础资料!$AD$5:$AD$34,MATCH(O576,基础资料!$AC$5:$AC$34,0)),"")="支",N(F576)&lt;&gt;0),"✗ 这类是付款，金额填到支出列",IF(N(H576)&lt;0,"⚠ 账户余额成负数了，核对一下","√"))))))))))))))))))</f>
      </c>
      <c r="O576" s="78">
        <f>IF(D576&lt;&gt;"",D576,IF(AND(F576="",G576=""),"",IF(J576&lt;&gt;"",IF(N(F576)&gt;0,"客户回款","客户退款"),IF(K576&lt;&gt;"",IF(N(G576)&gt;0,"供应商付款","供应商退款"),IF(L576&lt;&gt;"","费用支出","")))))</f>
      </c>
      <c r="P576" s="78">
        <f>IF(O576="","",IFERROR(INDEX(基础资料!$AE$5:$AE$34,MATCH(O576,基础资料!$AC$5:$AC$34,0)),"未知"))</f>
      </c>
      <c r="Q576" s="78">
        <f>IF(P576="应收",COUNTIF(P$7:P576,"应收"),"")</f>
      </c>
      <c r="R576" s="78">
        <f>IF(P576="应付",COUNTIF(P$7:P576,"应付"),"")</f>
      </c>
      <c r="S576" s="78">
        <f>N(F576)-N(G576)</f>
        <v>0</v>
      </c>
    </row>
    <row r="577">
      <c r="A577" s="109">
        <f>IF(AND(F577="",G577=""),"",ROW()-6)</f>
      </c>
      <c r="B577" s="140" t="n"/>
      <c r="C577" s="141" t="n"/>
      <c r="D577" s="141" t="n"/>
      <c r="E577" s="142" t="n"/>
      <c r="F577" s="143" t="n"/>
      <c r="G577" s="144" t="n"/>
      <c r="H577" s="145">
        <f>IF(OR(C577="",AND(F577="",G577="")),"",SUMIF(基础资料!$W$5:$W$24,C577,基础资料!$X$5:$X$24)+SUMIF(C$7:C577,C577,F$7:F577)-SUMIF(C$7:C577,C577,G$7:G577))</f>
      </c>
      <c r="I577" s="145">
        <f>IF(AND(F577="",G577=""),"",SUM(基础资料!$X$5:$X$24)+SUM(F$7:F577)-SUM(G$7:G577))</f>
      </c>
      <c r="J577" s="141" t="n"/>
      <c r="K577" s="141" t="n"/>
      <c r="L577" s="141" t="n"/>
      <c r="M577" s="142" t="n"/>
      <c r="N577" s="146">
        <f>IF(AND(AND(F577="",G577=""),B577="",C577="",D577="",J577="",K577="",L577=""),"",IF(AND(F577="",G577=""),"✗ 没填金额",IF(AND(N(F577)&lt;&gt;0,N(G577)&lt;&gt;0),"✗ 收入、支出只能填一边",IF(NOT(ISNUMBER(B577)),"✗ 日期不是真日期（要像 2026/9/25 这样填）",IF(OR(B577&lt;年初日,B577&gt;年末日),"✗ 日期不在本会计年度",IF(C577="","✗ 没选账户",IF(COUNTIF(基础资料!$W$5:$W$24,C577)=0,"✗ 账户不在基础资料里",IF(O577="","✗ 没选收支项目",IF(P577="未知","✗ 收支项目不在基础资料里",IF(AND(P577="应收",J577=""),"✗ 这笔要选客户",IF(AND(P577="应收",COUNTIF(总览汇总!$B$5:$B$304,J577)=0),"✗ 客户不在总览汇总名单里",IF(AND(P577="应付",K577=""),"✗ 这笔要选供应商",IF(AND(P577="应付",COUNTIF(基础资料!$Q$5:$Q$54,K577)=0),"✗ 供应商不在基础资料里",IF(AND(P577="费用",L577=""),"✗ 费用支出要选费用项目",IF(AND(L577&lt;&gt;"",COUNTIF(基础资料!$AI$5:$AI$54,L577)=0),"✗ 费用项目不在基础资料里",IF(AND(IFERROR(INDEX(基础资料!$AD$5:$AD$34,MATCH(O577,基础资料!$AC$5:$AC$34,0)),"")="收",N(G577)&lt;&gt;0),"✗ 这类是收款，金额填到收入列",IF(AND(IFERROR(INDEX(基础资料!$AD$5:$AD$34,MATCH(O577,基础资料!$AC$5:$AC$34,0)),"")="支",N(F577)&lt;&gt;0),"✗ 这类是付款，金额填到支出列",IF(N(H577)&lt;0,"⚠ 账户余额成负数了，核对一下","√"))))))))))))))))))</f>
      </c>
      <c r="O577" s="78">
        <f>IF(D577&lt;&gt;"",D577,IF(AND(F577="",G577=""),"",IF(J577&lt;&gt;"",IF(N(F577)&gt;0,"客户回款","客户退款"),IF(K577&lt;&gt;"",IF(N(G577)&gt;0,"供应商付款","供应商退款"),IF(L577&lt;&gt;"","费用支出","")))))</f>
      </c>
      <c r="P577" s="78">
        <f>IF(O577="","",IFERROR(INDEX(基础资料!$AE$5:$AE$34,MATCH(O577,基础资料!$AC$5:$AC$34,0)),"未知"))</f>
      </c>
      <c r="Q577" s="78">
        <f>IF(P577="应收",COUNTIF(P$7:P577,"应收"),"")</f>
      </c>
      <c r="R577" s="78">
        <f>IF(P577="应付",COUNTIF(P$7:P577,"应付"),"")</f>
      </c>
      <c r="S577" s="78">
        <f>N(F577)-N(G577)</f>
        <v>0</v>
      </c>
    </row>
    <row r="578">
      <c r="A578" s="109">
        <f>IF(AND(F578="",G578=""),"",ROW()-6)</f>
      </c>
      <c r="B578" s="140" t="n"/>
      <c r="C578" s="141" t="n"/>
      <c r="D578" s="141" t="n"/>
      <c r="E578" s="142" t="n"/>
      <c r="F578" s="143" t="n"/>
      <c r="G578" s="144" t="n"/>
      <c r="H578" s="145">
        <f>IF(OR(C578="",AND(F578="",G578="")),"",SUMIF(基础资料!$W$5:$W$24,C578,基础资料!$X$5:$X$24)+SUMIF(C$7:C578,C578,F$7:F578)-SUMIF(C$7:C578,C578,G$7:G578))</f>
      </c>
      <c r="I578" s="145">
        <f>IF(AND(F578="",G578=""),"",SUM(基础资料!$X$5:$X$24)+SUM(F$7:F578)-SUM(G$7:G578))</f>
      </c>
      <c r="J578" s="141" t="n"/>
      <c r="K578" s="141" t="n"/>
      <c r="L578" s="141" t="n"/>
      <c r="M578" s="142" t="n"/>
      <c r="N578" s="146">
        <f>IF(AND(AND(F578="",G578=""),B578="",C578="",D578="",J578="",K578="",L578=""),"",IF(AND(F578="",G578=""),"✗ 没填金额",IF(AND(N(F578)&lt;&gt;0,N(G578)&lt;&gt;0),"✗ 收入、支出只能填一边",IF(NOT(ISNUMBER(B578)),"✗ 日期不是真日期（要像 2026/9/25 这样填）",IF(OR(B578&lt;年初日,B578&gt;年末日),"✗ 日期不在本会计年度",IF(C578="","✗ 没选账户",IF(COUNTIF(基础资料!$W$5:$W$24,C578)=0,"✗ 账户不在基础资料里",IF(O578="","✗ 没选收支项目",IF(P578="未知","✗ 收支项目不在基础资料里",IF(AND(P578="应收",J578=""),"✗ 这笔要选客户",IF(AND(P578="应收",COUNTIF(总览汇总!$B$5:$B$304,J578)=0),"✗ 客户不在总览汇总名单里",IF(AND(P578="应付",K578=""),"✗ 这笔要选供应商",IF(AND(P578="应付",COUNTIF(基础资料!$Q$5:$Q$54,K578)=0),"✗ 供应商不在基础资料里",IF(AND(P578="费用",L578=""),"✗ 费用支出要选费用项目",IF(AND(L578&lt;&gt;"",COUNTIF(基础资料!$AI$5:$AI$54,L578)=0),"✗ 费用项目不在基础资料里",IF(AND(IFERROR(INDEX(基础资料!$AD$5:$AD$34,MATCH(O578,基础资料!$AC$5:$AC$34,0)),"")="收",N(G578)&lt;&gt;0),"✗ 这类是收款，金额填到收入列",IF(AND(IFERROR(INDEX(基础资料!$AD$5:$AD$34,MATCH(O578,基础资料!$AC$5:$AC$34,0)),"")="支",N(F578)&lt;&gt;0),"✗ 这类是付款，金额填到支出列",IF(N(H578)&lt;0,"⚠ 账户余额成负数了，核对一下","√"))))))))))))))))))</f>
      </c>
      <c r="O578" s="78">
        <f>IF(D578&lt;&gt;"",D578,IF(AND(F578="",G578=""),"",IF(J578&lt;&gt;"",IF(N(F578)&gt;0,"客户回款","客户退款"),IF(K578&lt;&gt;"",IF(N(G578)&gt;0,"供应商付款","供应商退款"),IF(L578&lt;&gt;"","费用支出","")))))</f>
      </c>
      <c r="P578" s="78">
        <f>IF(O578="","",IFERROR(INDEX(基础资料!$AE$5:$AE$34,MATCH(O578,基础资料!$AC$5:$AC$34,0)),"未知"))</f>
      </c>
      <c r="Q578" s="78">
        <f>IF(P578="应收",COUNTIF(P$7:P578,"应收"),"")</f>
      </c>
      <c r="R578" s="78">
        <f>IF(P578="应付",COUNTIF(P$7:P578,"应付"),"")</f>
      </c>
      <c r="S578" s="78">
        <f>N(F578)-N(G578)</f>
        <v>0</v>
      </c>
    </row>
    <row r="579">
      <c r="A579" s="109">
        <f>IF(AND(F579="",G579=""),"",ROW()-6)</f>
      </c>
      <c r="B579" s="140" t="n"/>
      <c r="C579" s="141" t="n"/>
      <c r="D579" s="141" t="n"/>
      <c r="E579" s="142" t="n"/>
      <c r="F579" s="143" t="n"/>
      <c r="G579" s="144" t="n"/>
      <c r="H579" s="145">
        <f>IF(OR(C579="",AND(F579="",G579="")),"",SUMIF(基础资料!$W$5:$W$24,C579,基础资料!$X$5:$X$24)+SUMIF(C$7:C579,C579,F$7:F579)-SUMIF(C$7:C579,C579,G$7:G579))</f>
      </c>
      <c r="I579" s="145">
        <f>IF(AND(F579="",G579=""),"",SUM(基础资料!$X$5:$X$24)+SUM(F$7:F579)-SUM(G$7:G579))</f>
      </c>
      <c r="J579" s="141" t="n"/>
      <c r="K579" s="141" t="n"/>
      <c r="L579" s="141" t="n"/>
      <c r="M579" s="142" t="n"/>
      <c r="N579" s="146">
        <f>IF(AND(AND(F579="",G579=""),B579="",C579="",D579="",J579="",K579="",L579=""),"",IF(AND(F579="",G579=""),"✗ 没填金额",IF(AND(N(F579)&lt;&gt;0,N(G579)&lt;&gt;0),"✗ 收入、支出只能填一边",IF(NOT(ISNUMBER(B579)),"✗ 日期不是真日期（要像 2026/9/25 这样填）",IF(OR(B579&lt;年初日,B579&gt;年末日),"✗ 日期不在本会计年度",IF(C579="","✗ 没选账户",IF(COUNTIF(基础资料!$W$5:$W$24,C579)=0,"✗ 账户不在基础资料里",IF(O579="","✗ 没选收支项目",IF(P579="未知","✗ 收支项目不在基础资料里",IF(AND(P579="应收",J579=""),"✗ 这笔要选客户",IF(AND(P579="应收",COUNTIF(总览汇总!$B$5:$B$304,J579)=0),"✗ 客户不在总览汇总名单里",IF(AND(P579="应付",K579=""),"✗ 这笔要选供应商",IF(AND(P579="应付",COUNTIF(基础资料!$Q$5:$Q$54,K579)=0),"✗ 供应商不在基础资料里",IF(AND(P579="费用",L579=""),"✗ 费用支出要选费用项目",IF(AND(L579&lt;&gt;"",COUNTIF(基础资料!$AI$5:$AI$54,L579)=0),"✗ 费用项目不在基础资料里",IF(AND(IFERROR(INDEX(基础资料!$AD$5:$AD$34,MATCH(O579,基础资料!$AC$5:$AC$34,0)),"")="收",N(G579)&lt;&gt;0),"✗ 这类是收款，金额填到收入列",IF(AND(IFERROR(INDEX(基础资料!$AD$5:$AD$34,MATCH(O579,基础资料!$AC$5:$AC$34,0)),"")="支",N(F579)&lt;&gt;0),"✗ 这类是付款，金额填到支出列",IF(N(H579)&lt;0,"⚠ 账户余额成负数了，核对一下","√"))))))))))))))))))</f>
      </c>
      <c r="O579" s="78">
        <f>IF(D579&lt;&gt;"",D579,IF(AND(F579="",G579=""),"",IF(J579&lt;&gt;"",IF(N(F579)&gt;0,"客户回款","客户退款"),IF(K579&lt;&gt;"",IF(N(G579)&gt;0,"供应商付款","供应商退款"),IF(L579&lt;&gt;"","费用支出","")))))</f>
      </c>
      <c r="P579" s="78">
        <f>IF(O579="","",IFERROR(INDEX(基础资料!$AE$5:$AE$34,MATCH(O579,基础资料!$AC$5:$AC$34,0)),"未知"))</f>
      </c>
      <c r="Q579" s="78">
        <f>IF(P579="应收",COUNTIF(P$7:P579,"应收"),"")</f>
      </c>
      <c r="R579" s="78">
        <f>IF(P579="应付",COUNTIF(P$7:P579,"应付"),"")</f>
      </c>
      <c r="S579" s="78">
        <f>N(F579)-N(G579)</f>
        <v>0</v>
      </c>
    </row>
    <row r="580">
      <c r="A580" s="109">
        <f>IF(AND(F580="",G580=""),"",ROW()-6)</f>
      </c>
      <c r="B580" s="140" t="n"/>
      <c r="C580" s="141" t="n"/>
      <c r="D580" s="141" t="n"/>
      <c r="E580" s="142" t="n"/>
      <c r="F580" s="143" t="n"/>
      <c r="G580" s="144" t="n"/>
      <c r="H580" s="145">
        <f>IF(OR(C580="",AND(F580="",G580="")),"",SUMIF(基础资料!$W$5:$W$24,C580,基础资料!$X$5:$X$24)+SUMIF(C$7:C580,C580,F$7:F580)-SUMIF(C$7:C580,C580,G$7:G580))</f>
      </c>
      <c r="I580" s="145">
        <f>IF(AND(F580="",G580=""),"",SUM(基础资料!$X$5:$X$24)+SUM(F$7:F580)-SUM(G$7:G580))</f>
      </c>
      <c r="J580" s="141" t="n"/>
      <c r="K580" s="141" t="n"/>
      <c r="L580" s="141" t="n"/>
      <c r="M580" s="142" t="n"/>
      <c r="N580" s="146">
        <f>IF(AND(AND(F580="",G580=""),B580="",C580="",D580="",J580="",K580="",L580=""),"",IF(AND(F580="",G580=""),"✗ 没填金额",IF(AND(N(F580)&lt;&gt;0,N(G580)&lt;&gt;0),"✗ 收入、支出只能填一边",IF(NOT(ISNUMBER(B580)),"✗ 日期不是真日期（要像 2026/9/25 这样填）",IF(OR(B580&lt;年初日,B580&gt;年末日),"✗ 日期不在本会计年度",IF(C580="","✗ 没选账户",IF(COUNTIF(基础资料!$W$5:$W$24,C580)=0,"✗ 账户不在基础资料里",IF(O580="","✗ 没选收支项目",IF(P580="未知","✗ 收支项目不在基础资料里",IF(AND(P580="应收",J580=""),"✗ 这笔要选客户",IF(AND(P580="应收",COUNTIF(总览汇总!$B$5:$B$304,J580)=0),"✗ 客户不在总览汇总名单里",IF(AND(P580="应付",K580=""),"✗ 这笔要选供应商",IF(AND(P580="应付",COUNTIF(基础资料!$Q$5:$Q$54,K580)=0),"✗ 供应商不在基础资料里",IF(AND(P580="费用",L580=""),"✗ 费用支出要选费用项目",IF(AND(L580&lt;&gt;"",COUNTIF(基础资料!$AI$5:$AI$54,L580)=0),"✗ 费用项目不在基础资料里",IF(AND(IFERROR(INDEX(基础资料!$AD$5:$AD$34,MATCH(O580,基础资料!$AC$5:$AC$34,0)),"")="收",N(G580)&lt;&gt;0),"✗ 这类是收款，金额填到收入列",IF(AND(IFERROR(INDEX(基础资料!$AD$5:$AD$34,MATCH(O580,基础资料!$AC$5:$AC$34,0)),"")="支",N(F580)&lt;&gt;0),"✗ 这类是付款，金额填到支出列",IF(N(H580)&lt;0,"⚠ 账户余额成负数了，核对一下","√"))))))))))))))))))</f>
      </c>
      <c r="O580" s="78">
        <f>IF(D580&lt;&gt;"",D580,IF(AND(F580="",G580=""),"",IF(J580&lt;&gt;"",IF(N(F580)&gt;0,"客户回款","客户退款"),IF(K580&lt;&gt;"",IF(N(G580)&gt;0,"供应商付款","供应商退款"),IF(L580&lt;&gt;"","费用支出","")))))</f>
      </c>
      <c r="P580" s="78">
        <f>IF(O580="","",IFERROR(INDEX(基础资料!$AE$5:$AE$34,MATCH(O580,基础资料!$AC$5:$AC$34,0)),"未知"))</f>
      </c>
      <c r="Q580" s="78">
        <f>IF(P580="应收",COUNTIF(P$7:P580,"应收"),"")</f>
      </c>
      <c r="R580" s="78">
        <f>IF(P580="应付",COUNTIF(P$7:P580,"应付"),"")</f>
      </c>
      <c r="S580" s="78">
        <f>N(F580)-N(G580)</f>
        <v>0</v>
      </c>
    </row>
    <row r="581">
      <c r="A581" s="109">
        <f>IF(AND(F581="",G581=""),"",ROW()-6)</f>
      </c>
      <c r="B581" s="140" t="n"/>
      <c r="C581" s="141" t="n"/>
      <c r="D581" s="141" t="n"/>
      <c r="E581" s="142" t="n"/>
      <c r="F581" s="143" t="n"/>
      <c r="G581" s="144" t="n"/>
      <c r="H581" s="145">
        <f>IF(OR(C581="",AND(F581="",G581="")),"",SUMIF(基础资料!$W$5:$W$24,C581,基础资料!$X$5:$X$24)+SUMIF(C$7:C581,C581,F$7:F581)-SUMIF(C$7:C581,C581,G$7:G581))</f>
      </c>
      <c r="I581" s="145">
        <f>IF(AND(F581="",G581=""),"",SUM(基础资料!$X$5:$X$24)+SUM(F$7:F581)-SUM(G$7:G581))</f>
      </c>
      <c r="J581" s="141" t="n"/>
      <c r="K581" s="141" t="n"/>
      <c r="L581" s="141" t="n"/>
      <c r="M581" s="142" t="n"/>
      <c r="N581" s="146">
        <f>IF(AND(AND(F581="",G581=""),B581="",C581="",D581="",J581="",K581="",L581=""),"",IF(AND(F581="",G581=""),"✗ 没填金额",IF(AND(N(F581)&lt;&gt;0,N(G581)&lt;&gt;0),"✗ 收入、支出只能填一边",IF(NOT(ISNUMBER(B581)),"✗ 日期不是真日期（要像 2026/9/25 这样填）",IF(OR(B581&lt;年初日,B581&gt;年末日),"✗ 日期不在本会计年度",IF(C581="","✗ 没选账户",IF(COUNTIF(基础资料!$W$5:$W$24,C581)=0,"✗ 账户不在基础资料里",IF(O581="","✗ 没选收支项目",IF(P581="未知","✗ 收支项目不在基础资料里",IF(AND(P581="应收",J581=""),"✗ 这笔要选客户",IF(AND(P581="应收",COUNTIF(总览汇总!$B$5:$B$304,J581)=0),"✗ 客户不在总览汇总名单里",IF(AND(P581="应付",K581=""),"✗ 这笔要选供应商",IF(AND(P581="应付",COUNTIF(基础资料!$Q$5:$Q$54,K581)=0),"✗ 供应商不在基础资料里",IF(AND(P581="费用",L581=""),"✗ 费用支出要选费用项目",IF(AND(L581&lt;&gt;"",COUNTIF(基础资料!$AI$5:$AI$54,L581)=0),"✗ 费用项目不在基础资料里",IF(AND(IFERROR(INDEX(基础资料!$AD$5:$AD$34,MATCH(O581,基础资料!$AC$5:$AC$34,0)),"")="收",N(G581)&lt;&gt;0),"✗ 这类是收款，金额填到收入列",IF(AND(IFERROR(INDEX(基础资料!$AD$5:$AD$34,MATCH(O581,基础资料!$AC$5:$AC$34,0)),"")="支",N(F581)&lt;&gt;0),"✗ 这类是付款，金额填到支出列",IF(N(H581)&lt;0,"⚠ 账户余额成负数了，核对一下","√"))))))))))))))))))</f>
      </c>
      <c r="O581" s="78">
        <f>IF(D581&lt;&gt;"",D581,IF(AND(F581="",G581=""),"",IF(J581&lt;&gt;"",IF(N(F581)&gt;0,"客户回款","客户退款"),IF(K581&lt;&gt;"",IF(N(G581)&gt;0,"供应商付款","供应商退款"),IF(L581&lt;&gt;"","费用支出","")))))</f>
      </c>
      <c r="P581" s="78">
        <f>IF(O581="","",IFERROR(INDEX(基础资料!$AE$5:$AE$34,MATCH(O581,基础资料!$AC$5:$AC$34,0)),"未知"))</f>
      </c>
      <c r="Q581" s="78">
        <f>IF(P581="应收",COUNTIF(P$7:P581,"应收"),"")</f>
      </c>
      <c r="R581" s="78">
        <f>IF(P581="应付",COUNTIF(P$7:P581,"应付"),"")</f>
      </c>
      <c r="S581" s="78">
        <f>N(F581)-N(G581)</f>
        <v>0</v>
      </c>
    </row>
    <row r="582">
      <c r="A582" s="109">
        <f>IF(AND(F582="",G582=""),"",ROW()-6)</f>
      </c>
      <c r="B582" s="140" t="n"/>
      <c r="C582" s="141" t="n"/>
      <c r="D582" s="141" t="n"/>
      <c r="E582" s="142" t="n"/>
      <c r="F582" s="143" t="n"/>
      <c r="G582" s="144" t="n"/>
      <c r="H582" s="145">
        <f>IF(OR(C582="",AND(F582="",G582="")),"",SUMIF(基础资料!$W$5:$W$24,C582,基础资料!$X$5:$X$24)+SUMIF(C$7:C582,C582,F$7:F582)-SUMIF(C$7:C582,C582,G$7:G582))</f>
      </c>
      <c r="I582" s="145">
        <f>IF(AND(F582="",G582=""),"",SUM(基础资料!$X$5:$X$24)+SUM(F$7:F582)-SUM(G$7:G582))</f>
      </c>
      <c r="J582" s="141" t="n"/>
      <c r="K582" s="141" t="n"/>
      <c r="L582" s="141" t="n"/>
      <c r="M582" s="142" t="n"/>
      <c r="N582" s="146">
        <f>IF(AND(AND(F582="",G582=""),B582="",C582="",D582="",J582="",K582="",L582=""),"",IF(AND(F582="",G582=""),"✗ 没填金额",IF(AND(N(F582)&lt;&gt;0,N(G582)&lt;&gt;0),"✗ 收入、支出只能填一边",IF(NOT(ISNUMBER(B582)),"✗ 日期不是真日期（要像 2026/9/25 这样填）",IF(OR(B582&lt;年初日,B582&gt;年末日),"✗ 日期不在本会计年度",IF(C582="","✗ 没选账户",IF(COUNTIF(基础资料!$W$5:$W$24,C582)=0,"✗ 账户不在基础资料里",IF(O582="","✗ 没选收支项目",IF(P582="未知","✗ 收支项目不在基础资料里",IF(AND(P582="应收",J582=""),"✗ 这笔要选客户",IF(AND(P582="应收",COUNTIF(总览汇总!$B$5:$B$304,J582)=0),"✗ 客户不在总览汇总名单里",IF(AND(P582="应付",K582=""),"✗ 这笔要选供应商",IF(AND(P582="应付",COUNTIF(基础资料!$Q$5:$Q$54,K582)=0),"✗ 供应商不在基础资料里",IF(AND(P582="费用",L582=""),"✗ 费用支出要选费用项目",IF(AND(L582&lt;&gt;"",COUNTIF(基础资料!$AI$5:$AI$54,L582)=0),"✗ 费用项目不在基础资料里",IF(AND(IFERROR(INDEX(基础资料!$AD$5:$AD$34,MATCH(O582,基础资料!$AC$5:$AC$34,0)),"")="收",N(G582)&lt;&gt;0),"✗ 这类是收款，金额填到收入列",IF(AND(IFERROR(INDEX(基础资料!$AD$5:$AD$34,MATCH(O582,基础资料!$AC$5:$AC$34,0)),"")="支",N(F582)&lt;&gt;0),"✗ 这类是付款，金额填到支出列",IF(N(H582)&lt;0,"⚠ 账户余额成负数了，核对一下","√"))))))))))))))))))</f>
      </c>
      <c r="O582" s="78">
        <f>IF(D582&lt;&gt;"",D582,IF(AND(F582="",G582=""),"",IF(J582&lt;&gt;"",IF(N(F582)&gt;0,"客户回款","客户退款"),IF(K582&lt;&gt;"",IF(N(G582)&gt;0,"供应商付款","供应商退款"),IF(L582&lt;&gt;"","费用支出","")))))</f>
      </c>
      <c r="P582" s="78">
        <f>IF(O582="","",IFERROR(INDEX(基础资料!$AE$5:$AE$34,MATCH(O582,基础资料!$AC$5:$AC$34,0)),"未知"))</f>
      </c>
      <c r="Q582" s="78">
        <f>IF(P582="应收",COUNTIF(P$7:P582,"应收"),"")</f>
      </c>
      <c r="R582" s="78">
        <f>IF(P582="应付",COUNTIF(P$7:P582,"应付"),"")</f>
      </c>
      <c r="S582" s="78">
        <f>N(F582)-N(G582)</f>
        <v>0</v>
      </c>
    </row>
    <row r="583">
      <c r="A583" s="109">
        <f>IF(AND(F583="",G583=""),"",ROW()-6)</f>
      </c>
      <c r="B583" s="140" t="n"/>
      <c r="C583" s="141" t="n"/>
      <c r="D583" s="141" t="n"/>
      <c r="E583" s="142" t="n"/>
      <c r="F583" s="143" t="n"/>
      <c r="G583" s="144" t="n"/>
      <c r="H583" s="145">
        <f>IF(OR(C583="",AND(F583="",G583="")),"",SUMIF(基础资料!$W$5:$W$24,C583,基础资料!$X$5:$X$24)+SUMIF(C$7:C583,C583,F$7:F583)-SUMIF(C$7:C583,C583,G$7:G583))</f>
      </c>
      <c r="I583" s="145">
        <f>IF(AND(F583="",G583=""),"",SUM(基础资料!$X$5:$X$24)+SUM(F$7:F583)-SUM(G$7:G583))</f>
      </c>
      <c r="J583" s="141" t="n"/>
      <c r="K583" s="141" t="n"/>
      <c r="L583" s="141" t="n"/>
      <c r="M583" s="142" t="n"/>
      <c r="N583" s="146">
        <f>IF(AND(AND(F583="",G583=""),B583="",C583="",D583="",J583="",K583="",L583=""),"",IF(AND(F583="",G583=""),"✗ 没填金额",IF(AND(N(F583)&lt;&gt;0,N(G583)&lt;&gt;0),"✗ 收入、支出只能填一边",IF(NOT(ISNUMBER(B583)),"✗ 日期不是真日期（要像 2026/9/25 这样填）",IF(OR(B583&lt;年初日,B583&gt;年末日),"✗ 日期不在本会计年度",IF(C583="","✗ 没选账户",IF(COUNTIF(基础资料!$W$5:$W$24,C583)=0,"✗ 账户不在基础资料里",IF(O583="","✗ 没选收支项目",IF(P583="未知","✗ 收支项目不在基础资料里",IF(AND(P583="应收",J583=""),"✗ 这笔要选客户",IF(AND(P583="应收",COUNTIF(总览汇总!$B$5:$B$304,J583)=0),"✗ 客户不在总览汇总名单里",IF(AND(P583="应付",K583=""),"✗ 这笔要选供应商",IF(AND(P583="应付",COUNTIF(基础资料!$Q$5:$Q$54,K583)=0),"✗ 供应商不在基础资料里",IF(AND(P583="费用",L583=""),"✗ 费用支出要选费用项目",IF(AND(L583&lt;&gt;"",COUNTIF(基础资料!$AI$5:$AI$54,L583)=0),"✗ 费用项目不在基础资料里",IF(AND(IFERROR(INDEX(基础资料!$AD$5:$AD$34,MATCH(O583,基础资料!$AC$5:$AC$34,0)),"")="收",N(G583)&lt;&gt;0),"✗ 这类是收款，金额填到收入列",IF(AND(IFERROR(INDEX(基础资料!$AD$5:$AD$34,MATCH(O583,基础资料!$AC$5:$AC$34,0)),"")="支",N(F583)&lt;&gt;0),"✗ 这类是付款，金额填到支出列",IF(N(H583)&lt;0,"⚠ 账户余额成负数了，核对一下","√"))))))))))))))))))</f>
      </c>
      <c r="O583" s="78">
        <f>IF(D583&lt;&gt;"",D583,IF(AND(F583="",G583=""),"",IF(J583&lt;&gt;"",IF(N(F583)&gt;0,"客户回款","客户退款"),IF(K583&lt;&gt;"",IF(N(G583)&gt;0,"供应商付款","供应商退款"),IF(L583&lt;&gt;"","费用支出","")))))</f>
      </c>
      <c r="P583" s="78">
        <f>IF(O583="","",IFERROR(INDEX(基础资料!$AE$5:$AE$34,MATCH(O583,基础资料!$AC$5:$AC$34,0)),"未知"))</f>
      </c>
      <c r="Q583" s="78">
        <f>IF(P583="应收",COUNTIF(P$7:P583,"应收"),"")</f>
      </c>
      <c r="R583" s="78">
        <f>IF(P583="应付",COUNTIF(P$7:P583,"应付"),"")</f>
      </c>
      <c r="S583" s="78">
        <f>N(F583)-N(G583)</f>
        <v>0</v>
      </c>
    </row>
    <row r="584">
      <c r="A584" s="109">
        <f>IF(AND(F584="",G584=""),"",ROW()-6)</f>
      </c>
      <c r="B584" s="140" t="n"/>
      <c r="C584" s="141" t="n"/>
      <c r="D584" s="141" t="n"/>
      <c r="E584" s="142" t="n"/>
      <c r="F584" s="143" t="n"/>
      <c r="G584" s="144" t="n"/>
      <c r="H584" s="145">
        <f>IF(OR(C584="",AND(F584="",G584="")),"",SUMIF(基础资料!$W$5:$W$24,C584,基础资料!$X$5:$X$24)+SUMIF(C$7:C584,C584,F$7:F584)-SUMIF(C$7:C584,C584,G$7:G584))</f>
      </c>
      <c r="I584" s="145">
        <f>IF(AND(F584="",G584=""),"",SUM(基础资料!$X$5:$X$24)+SUM(F$7:F584)-SUM(G$7:G584))</f>
      </c>
      <c r="J584" s="141" t="n"/>
      <c r="K584" s="141" t="n"/>
      <c r="L584" s="141" t="n"/>
      <c r="M584" s="142" t="n"/>
      <c r="N584" s="146">
        <f>IF(AND(AND(F584="",G584=""),B584="",C584="",D584="",J584="",K584="",L584=""),"",IF(AND(F584="",G584=""),"✗ 没填金额",IF(AND(N(F584)&lt;&gt;0,N(G584)&lt;&gt;0),"✗ 收入、支出只能填一边",IF(NOT(ISNUMBER(B584)),"✗ 日期不是真日期（要像 2026/9/25 这样填）",IF(OR(B584&lt;年初日,B584&gt;年末日),"✗ 日期不在本会计年度",IF(C584="","✗ 没选账户",IF(COUNTIF(基础资料!$W$5:$W$24,C584)=0,"✗ 账户不在基础资料里",IF(O584="","✗ 没选收支项目",IF(P584="未知","✗ 收支项目不在基础资料里",IF(AND(P584="应收",J584=""),"✗ 这笔要选客户",IF(AND(P584="应收",COUNTIF(总览汇总!$B$5:$B$304,J584)=0),"✗ 客户不在总览汇总名单里",IF(AND(P584="应付",K584=""),"✗ 这笔要选供应商",IF(AND(P584="应付",COUNTIF(基础资料!$Q$5:$Q$54,K584)=0),"✗ 供应商不在基础资料里",IF(AND(P584="费用",L584=""),"✗ 费用支出要选费用项目",IF(AND(L584&lt;&gt;"",COUNTIF(基础资料!$AI$5:$AI$54,L584)=0),"✗ 费用项目不在基础资料里",IF(AND(IFERROR(INDEX(基础资料!$AD$5:$AD$34,MATCH(O584,基础资料!$AC$5:$AC$34,0)),"")="收",N(G584)&lt;&gt;0),"✗ 这类是收款，金额填到收入列",IF(AND(IFERROR(INDEX(基础资料!$AD$5:$AD$34,MATCH(O584,基础资料!$AC$5:$AC$34,0)),"")="支",N(F584)&lt;&gt;0),"✗ 这类是付款，金额填到支出列",IF(N(H584)&lt;0,"⚠ 账户余额成负数了，核对一下","√"))))))))))))))))))</f>
      </c>
      <c r="O584" s="78">
        <f>IF(D584&lt;&gt;"",D584,IF(AND(F584="",G584=""),"",IF(J584&lt;&gt;"",IF(N(F584)&gt;0,"客户回款","客户退款"),IF(K584&lt;&gt;"",IF(N(G584)&gt;0,"供应商付款","供应商退款"),IF(L584&lt;&gt;"","费用支出","")))))</f>
      </c>
      <c r="P584" s="78">
        <f>IF(O584="","",IFERROR(INDEX(基础资料!$AE$5:$AE$34,MATCH(O584,基础资料!$AC$5:$AC$34,0)),"未知"))</f>
      </c>
      <c r="Q584" s="78">
        <f>IF(P584="应收",COUNTIF(P$7:P584,"应收"),"")</f>
      </c>
      <c r="R584" s="78">
        <f>IF(P584="应付",COUNTIF(P$7:P584,"应付"),"")</f>
      </c>
      <c r="S584" s="78">
        <f>N(F584)-N(G584)</f>
        <v>0</v>
      </c>
    </row>
    <row r="585">
      <c r="A585" s="109">
        <f>IF(AND(F585="",G585=""),"",ROW()-6)</f>
      </c>
      <c r="B585" s="140" t="n"/>
      <c r="C585" s="141" t="n"/>
      <c r="D585" s="141" t="n"/>
      <c r="E585" s="142" t="n"/>
      <c r="F585" s="143" t="n"/>
      <c r="G585" s="144" t="n"/>
      <c r="H585" s="145">
        <f>IF(OR(C585="",AND(F585="",G585="")),"",SUMIF(基础资料!$W$5:$W$24,C585,基础资料!$X$5:$X$24)+SUMIF(C$7:C585,C585,F$7:F585)-SUMIF(C$7:C585,C585,G$7:G585))</f>
      </c>
      <c r="I585" s="145">
        <f>IF(AND(F585="",G585=""),"",SUM(基础资料!$X$5:$X$24)+SUM(F$7:F585)-SUM(G$7:G585))</f>
      </c>
      <c r="J585" s="141" t="n"/>
      <c r="K585" s="141" t="n"/>
      <c r="L585" s="141" t="n"/>
      <c r="M585" s="142" t="n"/>
      <c r="N585" s="146">
        <f>IF(AND(AND(F585="",G585=""),B585="",C585="",D585="",J585="",K585="",L585=""),"",IF(AND(F585="",G585=""),"✗ 没填金额",IF(AND(N(F585)&lt;&gt;0,N(G585)&lt;&gt;0),"✗ 收入、支出只能填一边",IF(NOT(ISNUMBER(B585)),"✗ 日期不是真日期（要像 2026/9/25 这样填）",IF(OR(B585&lt;年初日,B585&gt;年末日),"✗ 日期不在本会计年度",IF(C585="","✗ 没选账户",IF(COUNTIF(基础资料!$W$5:$W$24,C585)=0,"✗ 账户不在基础资料里",IF(O585="","✗ 没选收支项目",IF(P585="未知","✗ 收支项目不在基础资料里",IF(AND(P585="应收",J585=""),"✗ 这笔要选客户",IF(AND(P585="应收",COUNTIF(总览汇总!$B$5:$B$304,J585)=0),"✗ 客户不在总览汇总名单里",IF(AND(P585="应付",K585=""),"✗ 这笔要选供应商",IF(AND(P585="应付",COUNTIF(基础资料!$Q$5:$Q$54,K585)=0),"✗ 供应商不在基础资料里",IF(AND(P585="费用",L585=""),"✗ 费用支出要选费用项目",IF(AND(L585&lt;&gt;"",COUNTIF(基础资料!$AI$5:$AI$54,L585)=0),"✗ 费用项目不在基础资料里",IF(AND(IFERROR(INDEX(基础资料!$AD$5:$AD$34,MATCH(O585,基础资料!$AC$5:$AC$34,0)),"")="收",N(G585)&lt;&gt;0),"✗ 这类是收款，金额填到收入列",IF(AND(IFERROR(INDEX(基础资料!$AD$5:$AD$34,MATCH(O585,基础资料!$AC$5:$AC$34,0)),"")="支",N(F585)&lt;&gt;0),"✗ 这类是付款，金额填到支出列",IF(N(H585)&lt;0,"⚠ 账户余额成负数了，核对一下","√"))))))))))))))))))</f>
      </c>
      <c r="O585" s="78">
        <f>IF(D585&lt;&gt;"",D585,IF(AND(F585="",G585=""),"",IF(J585&lt;&gt;"",IF(N(F585)&gt;0,"客户回款","客户退款"),IF(K585&lt;&gt;"",IF(N(G585)&gt;0,"供应商付款","供应商退款"),IF(L585&lt;&gt;"","费用支出","")))))</f>
      </c>
      <c r="P585" s="78">
        <f>IF(O585="","",IFERROR(INDEX(基础资料!$AE$5:$AE$34,MATCH(O585,基础资料!$AC$5:$AC$34,0)),"未知"))</f>
      </c>
      <c r="Q585" s="78">
        <f>IF(P585="应收",COUNTIF(P$7:P585,"应收"),"")</f>
      </c>
      <c r="R585" s="78">
        <f>IF(P585="应付",COUNTIF(P$7:P585,"应付"),"")</f>
      </c>
      <c r="S585" s="78">
        <f>N(F585)-N(G585)</f>
        <v>0</v>
      </c>
    </row>
    <row r="586">
      <c r="A586" s="109">
        <f>IF(AND(F586="",G586=""),"",ROW()-6)</f>
      </c>
      <c r="B586" s="140" t="n"/>
      <c r="C586" s="141" t="n"/>
      <c r="D586" s="141" t="n"/>
      <c r="E586" s="142" t="n"/>
      <c r="F586" s="143" t="n"/>
      <c r="G586" s="144" t="n"/>
      <c r="H586" s="145">
        <f>IF(OR(C586="",AND(F586="",G586="")),"",SUMIF(基础资料!$W$5:$W$24,C586,基础资料!$X$5:$X$24)+SUMIF(C$7:C586,C586,F$7:F586)-SUMIF(C$7:C586,C586,G$7:G586))</f>
      </c>
      <c r="I586" s="145">
        <f>IF(AND(F586="",G586=""),"",SUM(基础资料!$X$5:$X$24)+SUM(F$7:F586)-SUM(G$7:G586))</f>
      </c>
      <c r="J586" s="141" t="n"/>
      <c r="K586" s="141" t="n"/>
      <c r="L586" s="141" t="n"/>
      <c r="M586" s="142" t="n"/>
      <c r="N586" s="146">
        <f>IF(AND(AND(F586="",G586=""),B586="",C586="",D586="",J586="",K586="",L586=""),"",IF(AND(F586="",G586=""),"✗ 没填金额",IF(AND(N(F586)&lt;&gt;0,N(G586)&lt;&gt;0),"✗ 收入、支出只能填一边",IF(NOT(ISNUMBER(B586)),"✗ 日期不是真日期（要像 2026/9/25 这样填）",IF(OR(B586&lt;年初日,B586&gt;年末日),"✗ 日期不在本会计年度",IF(C586="","✗ 没选账户",IF(COUNTIF(基础资料!$W$5:$W$24,C586)=0,"✗ 账户不在基础资料里",IF(O586="","✗ 没选收支项目",IF(P586="未知","✗ 收支项目不在基础资料里",IF(AND(P586="应收",J586=""),"✗ 这笔要选客户",IF(AND(P586="应收",COUNTIF(总览汇总!$B$5:$B$304,J586)=0),"✗ 客户不在总览汇总名单里",IF(AND(P586="应付",K586=""),"✗ 这笔要选供应商",IF(AND(P586="应付",COUNTIF(基础资料!$Q$5:$Q$54,K586)=0),"✗ 供应商不在基础资料里",IF(AND(P586="费用",L586=""),"✗ 费用支出要选费用项目",IF(AND(L586&lt;&gt;"",COUNTIF(基础资料!$AI$5:$AI$54,L586)=0),"✗ 费用项目不在基础资料里",IF(AND(IFERROR(INDEX(基础资料!$AD$5:$AD$34,MATCH(O586,基础资料!$AC$5:$AC$34,0)),"")="收",N(G586)&lt;&gt;0),"✗ 这类是收款，金额填到收入列",IF(AND(IFERROR(INDEX(基础资料!$AD$5:$AD$34,MATCH(O586,基础资料!$AC$5:$AC$34,0)),"")="支",N(F586)&lt;&gt;0),"✗ 这类是付款，金额填到支出列",IF(N(H586)&lt;0,"⚠ 账户余额成负数了，核对一下","√"))))))))))))))))))</f>
      </c>
      <c r="O586" s="78">
        <f>IF(D586&lt;&gt;"",D586,IF(AND(F586="",G586=""),"",IF(J586&lt;&gt;"",IF(N(F586)&gt;0,"客户回款","客户退款"),IF(K586&lt;&gt;"",IF(N(G586)&gt;0,"供应商付款","供应商退款"),IF(L586&lt;&gt;"","费用支出","")))))</f>
      </c>
      <c r="P586" s="78">
        <f>IF(O586="","",IFERROR(INDEX(基础资料!$AE$5:$AE$34,MATCH(O586,基础资料!$AC$5:$AC$34,0)),"未知"))</f>
      </c>
      <c r="Q586" s="78">
        <f>IF(P586="应收",COUNTIF(P$7:P586,"应收"),"")</f>
      </c>
      <c r="R586" s="78">
        <f>IF(P586="应付",COUNTIF(P$7:P586,"应付"),"")</f>
      </c>
      <c r="S586" s="78">
        <f>N(F586)-N(G586)</f>
        <v>0</v>
      </c>
    </row>
    <row r="587">
      <c r="A587" s="109">
        <f>IF(AND(F587="",G587=""),"",ROW()-6)</f>
      </c>
      <c r="B587" s="140" t="n"/>
      <c r="C587" s="141" t="n"/>
      <c r="D587" s="141" t="n"/>
      <c r="E587" s="142" t="n"/>
      <c r="F587" s="143" t="n"/>
      <c r="G587" s="144" t="n"/>
      <c r="H587" s="145">
        <f>IF(OR(C587="",AND(F587="",G587="")),"",SUMIF(基础资料!$W$5:$W$24,C587,基础资料!$X$5:$X$24)+SUMIF(C$7:C587,C587,F$7:F587)-SUMIF(C$7:C587,C587,G$7:G587))</f>
      </c>
      <c r="I587" s="145">
        <f>IF(AND(F587="",G587=""),"",SUM(基础资料!$X$5:$X$24)+SUM(F$7:F587)-SUM(G$7:G587))</f>
      </c>
      <c r="J587" s="141" t="n"/>
      <c r="K587" s="141" t="n"/>
      <c r="L587" s="141" t="n"/>
      <c r="M587" s="142" t="n"/>
      <c r="N587" s="146">
        <f>IF(AND(AND(F587="",G587=""),B587="",C587="",D587="",J587="",K587="",L587=""),"",IF(AND(F587="",G587=""),"✗ 没填金额",IF(AND(N(F587)&lt;&gt;0,N(G587)&lt;&gt;0),"✗ 收入、支出只能填一边",IF(NOT(ISNUMBER(B587)),"✗ 日期不是真日期（要像 2026/9/25 这样填）",IF(OR(B587&lt;年初日,B587&gt;年末日),"✗ 日期不在本会计年度",IF(C587="","✗ 没选账户",IF(COUNTIF(基础资料!$W$5:$W$24,C587)=0,"✗ 账户不在基础资料里",IF(O587="","✗ 没选收支项目",IF(P587="未知","✗ 收支项目不在基础资料里",IF(AND(P587="应收",J587=""),"✗ 这笔要选客户",IF(AND(P587="应收",COUNTIF(总览汇总!$B$5:$B$304,J587)=0),"✗ 客户不在总览汇总名单里",IF(AND(P587="应付",K587=""),"✗ 这笔要选供应商",IF(AND(P587="应付",COUNTIF(基础资料!$Q$5:$Q$54,K587)=0),"✗ 供应商不在基础资料里",IF(AND(P587="费用",L587=""),"✗ 费用支出要选费用项目",IF(AND(L587&lt;&gt;"",COUNTIF(基础资料!$AI$5:$AI$54,L587)=0),"✗ 费用项目不在基础资料里",IF(AND(IFERROR(INDEX(基础资料!$AD$5:$AD$34,MATCH(O587,基础资料!$AC$5:$AC$34,0)),"")="收",N(G587)&lt;&gt;0),"✗ 这类是收款，金额填到收入列",IF(AND(IFERROR(INDEX(基础资料!$AD$5:$AD$34,MATCH(O587,基础资料!$AC$5:$AC$34,0)),"")="支",N(F587)&lt;&gt;0),"✗ 这类是付款，金额填到支出列",IF(N(H587)&lt;0,"⚠ 账户余额成负数了，核对一下","√"))))))))))))))))))</f>
      </c>
      <c r="O587" s="78">
        <f>IF(D587&lt;&gt;"",D587,IF(AND(F587="",G587=""),"",IF(J587&lt;&gt;"",IF(N(F587)&gt;0,"客户回款","客户退款"),IF(K587&lt;&gt;"",IF(N(G587)&gt;0,"供应商付款","供应商退款"),IF(L587&lt;&gt;"","费用支出","")))))</f>
      </c>
      <c r="P587" s="78">
        <f>IF(O587="","",IFERROR(INDEX(基础资料!$AE$5:$AE$34,MATCH(O587,基础资料!$AC$5:$AC$34,0)),"未知"))</f>
      </c>
      <c r="Q587" s="78">
        <f>IF(P587="应收",COUNTIF(P$7:P587,"应收"),"")</f>
      </c>
      <c r="R587" s="78">
        <f>IF(P587="应付",COUNTIF(P$7:P587,"应付"),"")</f>
      </c>
      <c r="S587" s="78">
        <f>N(F587)-N(G587)</f>
        <v>0</v>
      </c>
    </row>
    <row r="588">
      <c r="A588" s="109">
        <f>IF(AND(F588="",G588=""),"",ROW()-6)</f>
      </c>
      <c r="B588" s="140" t="n"/>
      <c r="C588" s="141" t="n"/>
      <c r="D588" s="141" t="n"/>
      <c r="E588" s="142" t="n"/>
      <c r="F588" s="143" t="n"/>
      <c r="G588" s="144" t="n"/>
      <c r="H588" s="145">
        <f>IF(OR(C588="",AND(F588="",G588="")),"",SUMIF(基础资料!$W$5:$W$24,C588,基础资料!$X$5:$X$24)+SUMIF(C$7:C588,C588,F$7:F588)-SUMIF(C$7:C588,C588,G$7:G588))</f>
      </c>
      <c r="I588" s="145">
        <f>IF(AND(F588="",G588=""),"",SUM(基础资料!$X$5:$X$24)+SUM(F$7:F588)-SUM(G$7:G588))</f>
      </c>
      <c r="J588" s="141" t="n"/>
      <c r="K588" s="141" t="n"/>
      <c r="L588" s="141" t="n"/>
      <c r="M588" s="142" t="n"/>
      <c r="N588" s="146">
        <f>IF(AND(AND(F588="",G588=""),B588="",C588="",D588="",J588="",K588="",L588=""),"",IF(AND(F588="",G588=""),"✗ 没填金额",IF(AND(N(F588)&lt;&gt;0,N(G588)&lt;&gt;0),"✗ 收入、支出只能填一边",IF(NOT(ISNUMBER(B588)),"✗ 日期不是真日期（要像 2026/9/25 这样填）",IF(OR(B588&lt;年初日,B588&gt;年末日),"✗ 日期不在本会计年度",IF(C588="","✗ 没选账户",IF(COUNTIF(基础资料!$W$5:$W$24,C588)=0,"✗ 账户不在基础资料里",IF(O588="","✗ 没选收支项目",IF(P588="未知","✗ 收支项目不在基础资料里",IF(AND(P588="应收",J588=""),"✗ 这笔要选客户",IF(AND(P588="应收",COUNTIF(总览汇总!$B$5:$B$304,J588)=0),"✗ 客户不在总览汇总名单里",IF(AND(P588="应付",K588=""),"✗ 这笔要选供应商",IF(AND(P588="应付",COUNTIF(基础资料!$Q$5:$Q$54,K588)=0),"✗ 供应商不在基础资料里",IF(AND(P588="费用",L588=""),"✗ 费用支出要选费用项目",IF(AND(L588&lt;&gt;"",COUNTIF(基础资料!$AI$5:$AI$54,L588)=0),"✗ 费用项目不在基础资料里",IF(AND(IFERROR(INDEX(基础资料!$AD$5:$AD$34,MATCH(O588,基础资料!$AC$5:$AC$34,0)),"")="收",N(G588)&lt;&gt;0),"✗ 这类是收款，金额填到收入列",IF(AND(IFERROR(INDEX(基础资料!$AD$5:$AD$34,MATCH(O588,基础资料!$AC$5:$AC$34,0)),"")="支",N(F588)&lt;&gt;0),"✗ 这类是付款，金额填到支出列",IF(N(H588)&lt;0,"⚠ 账户余额成负数了，核对一下","√"))))))))))))))))))</f>
      </c>
      <c r="O588" s="78">
        <f>IF(D588&lt;&gt;"",D588,IF(AND(F588="",G588=""),"",IF(J588&lt;&gt;"",IF(N(F588)&gt;0,"客户回款","客户退款"),IF(K588&lt;&gt;"",IF(N(G588)&gt;0,"供应商付款","供应商退款"),IF(L588&lt;&gt;"","费用支出","")))))</f>
      </c>
      <c r="P588" s="78">
        <f>IF(O588="","",IFERROR(INDEX(基础资料!$AE$5:$AE$34,MATCH(O588,基础资料!$AC$5:$AC$34,0)),"未知"))</f>
      </c>
      <c r="Q588" s="78">
        <f>IF(P588="应收",COUNTIF(P$7:P588,"应收"),"")</f>
      </c>
      <c r="R588" s="78">
        <f>IF(P588="应付",COUNTIF(P$7:P588,"应付"),"")</f>
      </c>
      <c r="S588" s="78">
        <f>N(F588)-N(G588)</f>
        <v>0</v>
      </c>
    </row>
    <row r="589">
      <c r="A589" s="109">
        <f>IF(AND(F589="",G589=""),"",ROW()-6)</f>
      </c>
      <c r="B589" s="140" t="n"/>
      <c r="C589" s="141" t="n"/>
      <c r="D589" s="141" t="n"/>
      <c r="E589" s="142" t="n"/>
      <c r="F589" s="143" t="n"/>
      <c r="G589" s="144" t="n"/>
      <c r="H589" s="145">
        <f>IF(OR(C589="",AND(F589="",G589="")),"",SUMIF(基础资料!$W$5:$W$24,C589,基础资料!$X$5:$X$24)+SUMIF(C$7:C589,C589,F$7:F589)-SUMIF(C$7:C589,C589,G$7:G589))</f>
      </c>
      <c r="I589" s="145">
        <f>IF(AND(F589="",G589=""),"",SUM(基础资料!$X$5:$X$24)+SUM(F$7:F589)-SUM(G$7:G589))</f>
      </c>
      <c r="J589" s="141" t="n"/>
      <c r="K589" s="141" t="n"/>
      <c r="L589" s="141" t="n"/>
      <c r="M589" s="142" t="n"/>
      <c r="N589" s="146">
        <f>IF(AND(AND(F589="",G589=""),B589="",C589="",D589="",J589="",K589="",L589=""),"",IF(AND(F589="",G589=""),"✗ 没填金额",IF(AND(N(F589)&lt;&gt;0,N(G589)&lt;&gt;0),"✗ 收入、支出只能填一边",IF(NOT(ISNUMBER(B589)),"✗ 日期不是真日期（要像 2026/9/25 这样填）",IF(OR(B589&lt;年初日,B589&gt;年末日),"✗ 日期不在本会计年度",IF(C589="","✗ 没选账户",IF(COUNTIF(基础资料!$W$5:$W$24,C589)=0,"✗ 账户不在基础资料里",IF(O589="","✗ 没选收支项目",IF(P589="未知","✗ 收支项目不在基础资料里",IF(AND(P589="应收",J589=""),"✗ 这笔要选客户",IF(AND(P589="应收",COUNTIF(总览汇总!$B$5:$B$304,J589)=0),"✗ 客户不在总览汇总名单里",IF(AND(P589="应付",K589=""),"✗ 这笔要选供应商",IF(AND(P589="应付",COUNTIF(基础资料!$Q$5:$Q$54,K589)=0),"✗ 供应商不在基础资料里",IF(AND(P589="费用",L589=""),"✗ 费用支出要选费用项目",IF(AND(L589&lt;&gt;"",COUNTIF(基础资料!$AI$5:$AI$54,L589)=0),"✗ 费用项目不在基础资料里",IF(AND(IFERROR(INDEX(基础资料!$AD$5:$AD$34,MATCH(O589,基础资料!$AC$5:$AC$34,0)),"")="收",N(G589)&lt;&gt;0),"✗ 这类是收款，金额填到收入列",IF(AND(IFERROR(INDEX(基础资料!$AD$5:$AD$34,MATCH(O589,基础资料!$AC$5:$AC$34,0)),"")="支",N(F589)&lt;&gt;0),"✗ 这类是付款，金额填到支出列",IF(N(H589)&lt;0,"⚠ 账户余额成负数了，核对一下","√"))))))))))))))))))</f>
      </c>
      <c r="O589" s="78">
        <f>IF(D589&lt;&gt;"",D589,IF(AND(F589="",G589=""),"",IF(J589&lt;&gt;"",IF(N(F589)&gt;0,"客户回款","客户退款"),IF(K589&lt;&gt;"",IF(N(G589)&gt;0,"供应商付款","供应商退款"),IF(L589&lt;&gt;"","费用支出","")))))</f>
      </c>
      <c r="P589" s="78">
        <f>IF(O589="","",IFERROR(INDEX(基础资料!$AE$5:$AE$34,MATCH(O589,基础资料!$AC$5:$AC$34,0)),"未知"))</f>
      </c>
      <c r="Q589" s="78">
        <f>IF(P589="应收",COUNTIF(P$7:P589,"应收"),"")</f>
      </c>
      <c r="R589" s="78">
        <f>IF(P589="应付",COUNTIF(P$7:P589,"应付"),"")</f>
      </c>
      <c r="S589" s="78">
        <f>N(F589)-N(G589)</f>
        <v>0</v>
      </c>
    </row>
    <row r="590">
      <c r="A590" s="109">
        <f>IF(AND(F590="",G590=""),"",ROW()-6)</f>
      </c>
      <c r="B590" s="140" t="n"/>
      <c r="C590" s="141" t="n"/>
      <c r="D590" s="141" t="n"/>
      <c r="E590" s="142" t="n"/>
      <c r="F590" s="143" t="n"/>
      <c r="G590" s="144" t="n"/>
      <c r="H590" s="145">
        <f>IF(OR(C590="",AND(F590="",G590="")),"",SUMIF(基础资料!$W$5:$W$24,C590,基础资料!$X$5:$X$24)+SUMIF(C$7:C590,C590,F$7:F590)-SUMIF(C$7:C590,C590,G$7:G590))</f>
      </c>
      <c r="I590" s="145">
        <f>IF(AND(F590="",G590=""),"",SUM(基础资料!$X$5:$X$24)+SUM(F$7:F590)-SUM(G$7:G590))</f>
      </c>
      <c r="J590" s="141" t="n"/>
      <c r="K590" s="141" t="n"/>
      <c r="L590" s="141" t="n"/>
      <c r="M590" s="142" t="n"/>
      <c r="N590" s="146">
        <f>IF(AND(AND(F590="",G590=""),B590="",C590="",D590="",J590="",K590="",L590=""),"",IF(AND(F590="",G590=""),"✗ 没填金额",IF(AND(N(F590)&lt;&gt;0,N(G590)&lt;&gt;0),"✗ 收入、支出只能填一边",IF(NOT(ISNUMBER(B590)),"✗ 日期不是真日期（要像 2026/9/25 这样填）",IF(OR(B590&lt;年初日,B590&gt;年末日),"✗ 日期不在本会计年度",IF(C590="","✗ 没选账户",IF(COUNTIF(基础资料!$W$5:$W$24,C590)=0,"✗ 账户不在基础资料里",IF(O590="","✗ 没选收支项目",IF(P590="未知","✗ 收支项目不在基础资料里",IF(AND(P590="应收",J590=""),"✗ 这笔要选客户",IF(AND(P590="应收",COUNTIF(总览汇总!$B$5:$B$304,J590)=0),"✗ 客户不在总览汇总名单里",IF(AND(P590="应付",K590=""),"✗ 这笔要选供应商",IF(AND(P590="应付",COUNTIF(基础资料!$Q$5:$Q$54,K590)=0),"✗ 供应商不在基础资料里",IF(AND(P590="费用",L590=""),"✗ 费用支出要选费用项目",IF(AND(L590&lt;&gt;"",COUNTIF(基础资料!$AI$5:$AI$54,L590)=0),"✗ 费用项目不在基础资料里",IF(AND(IFERROR(INDEX(基础资料!$AD$5:$AD$34,MATCH(O590,基础资料!$AC$5:$AC$34,0)),"")="收",N(G590)&lt;&gt;0),"✗ 这类是收款，金额填到收入列",IF(AND(IFERROR(INDEX(基础资料!$AD$5:$AD$34,MATCH(O590,基础资料!$AC$5:$AC$34,0)),"")="支",N(F590)&lt;&gt;0),"✗ 这类是付款，金额填到支出列",IF(N(H590)&lt;0,"⚠ 账户余额成负数了，核对一下","√"))))))))))))))))))</f>
      </c>
      <c r="O590" s="78">
        <f>IF(D590&lt;&gt;"",D590,IF(AND(F590="",G590=""),"",IF(J590&lt;&gt;"",IF(N(F590)&gt;0,"客户回款","客户退款"),IF(K590&lt;&gt;"",IF(N(G590)&gt;0,"供应商付款","供应商退款"),IF(L590&lt;&gt;"","费用支出","")))))</f>
      </c>
      <c r="P590" s="78">
        <f>IF(O590="","",IFERROR(INDEX(基础资料!$AE$5:$AE$34,MATCH(O590,基础资料!$AC$5:$AC$34,0)),"未知"))</f>
      </c>
      <c r="Q590" s="78">
        <f>IF(P590="应收",COUNTIF(P$7:P590,"应收"),"")</f>
      </c>
      <c r="R590" s="78">
        <f>IF(P590="应付",COUNTIF(P$7:P590,"应付"),"")</f>
      </c>
      <c r="S590" s="78">
        <f>N(F590)-N(G590)</f>
        <v>0</v>
      </c>
    </row>
    <row r="591">
      <c r="A591" s="109">
        <f>IF(AND(F591="",G591=""),"",ROW()-6)</f>
      </c>
      <c r="B591" s="140" t="n"/>
      <c r="C591" s="141" t="n"/>
      <c r="D591" s="141" t="n"/>
      <c r="E591" s="142" t="n"/>
      <c r="F591" s="143" t="n"/>
      <c r="G591" s="144" t="n"/>
      <c r="H591" s="145">
        <f>IF(OR(C591="",AND(F591="",G591="")),"",SUMIF(基础资料!$W$5:$W$24,C591,基础资料!$X$5:$X$24)+SUMIF(C$7:C591,C591,F$7:F591)-SUMIF(C$7:C591,C591,G$7:G591))</f>
      </c>
      <c r="I591" s="145">
        <f>IF(AND(F591="",G591=""),"",SUM(基础资料!$X$5:$X$24)+SUM(F$7:F591)-SUM(G$7:G591))</f>
      </c>
      <c r="J591" s="141" t="n"/>
      <c r="K591" s="141" t="n"/>
      <c r="L591" s="141" t="n"/>
      <c r="M591" s="142" t="n"/>
      <c r="N591" s="146">
        <f>IF(AND(AND(F591="",G591=""),B591="",C591="",D591="",J591="",K591="",L591=""),"",IF(AND(F591="",G591=""),"✗ 没填金额",IF(AND(N(F591)&lt;&gt;0,N(G591)&lt;&gt;0),"✗ 收入、支出只能填一边",IF(NOT(ISNUMBER(B591)),"✗ 日期不是真日期（要像 2026/9/25 这样填）",IF(OR(B591&lt;年初日,B591&gt;年末日),"✗ 日期不在本会计年度",IF(C591="","✗ 没选账户",IF(COUNTIF(基础资料!$W$5:$W$24,C591)=0,"✗ 账户不在基础资料里",IF(O591="","✗ 没选收支项目",IF(P591="未知","✗ 收支项目不在基础资料里",IF(AND(P591="应收",J591=""),"✗ 这笔要选客户",IF(AND(P591="应收",COUNTIF(总览汇总!$B$5:$B$304,J591)=0),"✗ 客户不在总览汇总名单里",IF(AND(P591="应付",K591=""),"✗ 这笔要选供应商",IF(AND(P591="应付",COUNTIF(基础资料!$Q$5:$Q$54,K591)=0),"✗ 供应商不在基础资料里",IF(AND(P591="费用",L591=""),"✗ 费用支出要选费用项目",IF(AND(L591&lt;&gt;"",COUNTIF(基础资料!$AI$5:$AI$54,L591)=0),"✗ 费用项目不在基础资料里",IF(AND(IFERROR(INDEX(基础资料!$AD$5:$AD$34,MATCH(O591,基础资料!$AC$5:$AC$34,0)),"")="收",N(G591)&lt;&gt;0),"✗ 这类是收款，金额填到收入列",IF(AND(IFERROR(INDEX(基础资料!$AD$5:$AD$34,MATCH(O591,基础资料!$AC$5:$AC$34,0)),"")="支",N(F591)&lt;&gt;0),"✗ 这类是付款，金额填到支出列",IF(N(H591)&lt;0,"⚠ 账户余额成负数了，核对一下","√"))))))))))))))))))</f>
      </c>
      <c r="O591" s="78">
        <f>IF(D591&lt;&gt;"",D591,IF(AND(F591="",G591=""),"",IF(J591&lt;&gt;"",IF(N(F591)&gt;0,"客户回款","客户退款"),IF(K591&lt;&gt;"",IF(N(G591)&gt;0,"供应商付款","供应商退款"),IF(L591&lt;&gt;"","费用支出","")))))</f>
      </c>
      <c r="P591" s="78">
        <f>IF(O591="","",IFERROR(INDEX(基础资料!$AE$5:$AE$34,MATCH(O591,基础资料!$AC$5:$AC$34,0)),"未知"))</f>
      </c>
      <c r="Q591" s="78">
        <f>IF(P591="应收",COUNTIF(P$7:P591,"应收"),"")</f>
      </c>
      <c r="R591" s="78">
        <f>IF(P591="应付",COUNTIF(P$7:P591,"应付"),"")</f>
      </c>
      <c r="S591" s="78">
        <f>N(F591)-N(G591)</f>
        <v>0</v>
      </c>
    </row>
    <row r="592">
      <c r="A592" s="109">
        <f>IF(AND(F592="",G592=""),"",ROW()-6)</f>
      </c>
      <c r="B592" s="140" t="n"/>
      <c r="C592" s="141" t="n"/>
      <c r="D592" s="141" t="n"/>
      <c r="E592" s="142" t="n"/>
      <c r="F592" s="143" t="n"/>
      <c r="G592" s="144" t="n"/>
      <c r="H592" s="145">
        <f>IF(OR(C592="",AND(F592="",G592="")),"",SUMIF(基础资料!$W$5:$W$24,C592,基础资料!$X$5:$X$24)+SUMIF(C$7:C592,C592,F$7:F592)-SUMIF(C$7:C592,C592,G$7:G592))</f>
      </c>
      <c r="I592" s="145">
        <f>IF(AND(F592="",G592=""),"",SUM(基础资料!$X$5:$X$24)+SUM(F$7:F592)-SUM(G$7:G592))</f>
      </c>
      <c r="J592" s="141" t="n"/>
      <c r="K592" s="141" t="n"/>
      <c r="L592" s="141" t="n"/>
      <c r="M592" s="142" t="n"/>
      <c r="N592" s="146">
        <f>IF(AND(AND(F592="",G592=""),B592="",C592="",D592="",J592="",K592="",L592=""),"",IF(AND(F592="",G592=""),"✗ 没填金额",IF(AND(N(F592)&lt;&gt;0,N(G592)&lt;&gt;0),"✗ 收入、支出只能填一边",IF(NOT(ISNUMBER(B592)),"✗ 日期不是真日期（要像 2026/9/25 这样填）",IF(OR(B592&lt;年初日,B592&gt;年末日),"✗ 日期不在本会计年度",IF(C592="","✗ 没选账户",IF(COUNTIF(基础资料!$W$5:$W$24,C592)=0,"✗ 账户不在基础资料里",IF(O592="","✗ 没选收支项目",IF(P592="未知","✗ 收支项目不在基础资料里",IF(AND(P592="应收",J592=""),"✗ 这笔要选客户",IF(AND(P592="应收",COUNTIF(总览汇总!$B$5:$B$304,J592)=0),"✗ 客户不在总览汇总名单里",IF(AND(P592="应付",K592=""),"✗ 这笔要选供应商",IF(AND(P592="应付",COUNTIF(基础资料!$Q$5:$Q$54,K592)=0),"✗ 供应商不在基础资料里",IF(AND(P592="费用",L592=""),"✗ 费用支出要选费用项目",IF(AND(L592&lt;&gt;"",COUNTIF(基础资料!$AI$5:$AI$54,L592)=0),"✗ 费用项目不在基础资料里",IF(AND(IFERROR(INDEX(基础资料!$AD$5:$AD$34,MATCH(O592,基础资料!$AC$5:$AC$34,0)),"")="收",N(G592)&lt;&gt;0),"✗ 这类是收款，金额填到收入列",IF(AND(IFERROR(INDEX(基础资料!$AD$5:$AD$34,MATCH(O592,基础资料!$AC$5:$AC$34,0)),"")="支",N(F592)&lt;&gt;0),"✗ 这类是付款，金额填到支出列",IF(N(H592)&lt;0,"⚠ 账户余额成负数了，核对一下","√"))))))))))))))))))</f>
      </c>
      <c r="O592" s="78">
        <f>IF(D592&lt;&gt;"",D592,IF(AND(F592="",G592=""),"",IF(J592&lt;&gt;"",IF(N(F592)&gt;0,"客户回款","客户退款"),IF(K592&lt;&gt;"",IF(N(G592)&gt;0,"供应商付款","供应商退款"),IF(L592&lt;&gt;"","费用支出","")))))</f>
      </c>
      <c r="P592" s="78">
        <f>IF(O592="","",IFERROR(INDEX(基础资料!$AE$5:$AE$34,MATCH(O592,基础资料!$AC$5:$AC$34,0)),"未知"))</f>
      </c>
      <c r="Q592" s="78">
        <f>IF(P592="应收",COUNTIF(P$7:P592,"应收"),"")</f>
      </c>
      <c r="R592" s="78">
        <f>IF(P592="应付",COUNTIF(P$7:P592,"应付"),"")</f>
      </c>
      <c r="S592" s="78">
        <f>N(F592)-N(G592)</f>
        <v>0</v>
      </c>
    </row>
    <row r="593">
      <c r="A593" s="109">
        <f>IF(AND(F593="",G593=""),"",ROW()-6)</f>
      </c>
      <c r="B593" s="140" t="n"/>
      <c r="C593" s="141" t="n"/>
      <c r="D593" s="141" t="n"/>
      <c r="E593" s="142" t="n"/>
      <c r="F593" s="143" t="n"/>
      <c r="G593" s="144" t="n"/>
      <c r="H593" s="145">
        <f>IF(OR(C593="",AND(F593="",G593="")),"",SUMIF(基础资料!$W$5:$W$24,C593,基础资料!$X$5:$X$24)+SUMIF(C$7:C593,C593,F$7:F593)-SUMIF(C$7:C593,C593,G$7:G593))</f>
      </c>
      <c r="I593" s="145">
        <f>IF(AND(F593="",G593=""),"",SUM(基础资料!$X$5:$X$24)+SUM(F$7:F593)-SUM(G$7:G593))</f>
      </c>
      <c r="J593" s="141" t="n"/>
      <c r="K593" s="141" t="n"/>
      <c r="L593" s="141" t="n"/>
      <c r="M593" s="142" t="n"/>
      <c r="N593" s="146">
        <f>IF(AND(AND(F593="",G593=""),B593="",C593="",D593="",J593="",K593="",L593=""),"",IF(AND(F593="",G593=""),"✗ 没填金额",IF(AND(N(F593)&lt;&gt;0,N(G593)&lt;&gt;0),"✗ 收入、支出只能填一边",IF(NOT(ISNUMBER(B593)),"✗ 日期不是真日期（要像 2026/9/25 这样填）",IF(OR(B593&lt;年初日,B593&gt;年末日),"✗ 日期不在本会计年度",IF(C593="","✗ 没选账户",IF(COUNTIF(基础资料!$W$5:$W$24,C593)=0,"✗ 账户不在基础资料里",IF(O593="","✗ 没选收支项目",IF(P593="未知","✗ 收支项目不在基础资料里",IF(AND(P593="应收",J593=""),"✗ 这笔要选客户",IF(AND(P593="应收",COUNTIF(总览汇总!$B$5:$B$304,J593)=0),"✗ 客户不在总览汇总名单里",IF(AND(P593="应付",K593=""),"✗ 这笔要选供应商",IF(AND(P593="应付",COUNTIF(基础资料!$Q$5:$Q$54,K593)=0),"✗ 供应商不在基础资料里",IF(AND(P593="费用",L593=""),"✗ 费用支出要选费用项目",IF(AND(L593&lt;&gt;"",COUNTIF(基础资料!$AI$5:$AI$54,L593)=0),"✗ 费用项目不在基础资料里",IF(AND(IFERROR(INDEX(基础资料!$AD$5:$AD$34,MATCH(O593,基础资料!$AC$5:$AC$34,0)),"")="收",N(G593)&lt;&gt;0),"✗ 这类是收款，金额填到收入列",IF(AND(IFERROR(INDEX(基础资料!$AD$5:$AD$34,MATCH(O593,基础资料!$AC$5:$AC$34,0)),"")="支",N(F593)&lt;&gt;0),"✗ 这类是付款，金额填到支出列",IF(N(H593)&lt;0,"⚠ 账户余额成负数了，核对一下","√"))))))))))))))))))</f>
      </c>
      <c r="O593" s="78">
        <f>IF(D593&lt;&gt;"",D593,IF(AND(F593="",G593=""),"",IF(J593&lt;&gt;"",IF(N(F593)&gt;0,"客户回款","客户退款"),IF(K593&lt;&gt;"",IF(N(G593)&gt;0,"供应商付款","供应商退款"),IF(L593&lt;&gt;"","费用支出","")))))</f>
      </c>
      <c r="P593" s="78">
        <f>IF(O593="","",IFERROR(INDEX(基础资料!$AE$5:$AE$34,MATCH(O593,基础资料!$AC$5:$AC$34,0)),"未知"))</f>
      </c>
      <c r="Q593" s="78">
        <f>IF(P593="应收",COUNTIF(P$7:P593,"应收"),"")</f>
      </c>
      <c r="R593" s="78">
        <f>IF(P593="应付",COUNTIF(P$7:P593,"应付"),"")</f>
      </c>
      <c r="S593" s="78">
        <f>N(F593)-N(G593)</f>
        <v>0</v>
      </c>
    </row>
    <row r="594">
      <c r="A594" s="109">
        <f>IF(AND(F594="",G594=""),"",ROW()-6)</f>
      </c>
      <c r="B594" s="140" t="n"/>
      <c r="C594" s="141" t="n"/>
      <c r="D594" s="141" t="n"/>
      <c r="E594" s="142" t="n"/>
      <c r="F594" s="143" t="n"/>
      <c r="G594" s="144" t="n"/>
      <c r="H594" s="145">
        <f>IF(OR(C594="",AND(F594="",G594="")),"",SUMIF(基础资料!$W$5:$W$24,C594,基础资料!$X$5:$X$24)+SUMIF(C$7:C594,C594,F$7:F594)-SUMIF(C$7:C594,C594,G$7:G594))</f>
      </c>
      <c r="I594" s="145">
        <f>IF(AND(F594="",G594=""),"",SUM(基础资料!$X$5:$X$24)+SUM(F$7:F594)-SUM(G$7:G594))</f>
      </c>
      <c r="J594" s="141" t="n"/>
      <c r="K594" s="141" t="n"/>
      <c r="L594" s="141" t="n"/>
      <c r="M594" s="142" t="n"/>
      <c r="N594" s="146">
        <f>IF(AND(AND(F594="",G594=""),B594="",C594="",D594="",J594="",K594="",L594=""),"",IF(AND(F594="",G594=""),"✗ 没填金额",IF(AND(N(F594)&lt;&gt;0,N(G594)&lt;&gt;0),"✗ 收入、支出只能填一边",IF(NOT(ISNUMBER(B594)),"✗ 日期不是真日期（要像 2026/9/25 这样填）",IF(OR(B594&lt;年初日,B594&gt;年末日),"✗ 日期不在本会计年度",IF(C594="","✗ 没选账户",IF(COUNTIF(基础资料!$W$5:$W$24,C594)=0,"✗ 账户不在基础资料里",IF(O594="","✗ 没选收支项目",IF(P594="未知","✗ 收支项目不在基础资料里",IF(AND(P594="应收",J594=""),"✗ 这笔要选客户",IF(AND(P594="应收",COUNTIF(总览汇总!$B$5:$B$304,J594)=0),"✗ 客户不在总览汇总名单里",IF(AND(P594="应付",K594=""),"✗ 这笔要选供应商",IF(AND(P594="应付",COUNTIF(基础资料!$Q$5:$Q$54,K594)=0),"✗ 供应商不在基础资料里",IF(AND(P594="费用",L594=""),"✗ 费用支出要选费用项目",IF(AND(L594&lt;&gt;"",COUNTIF(基础资料!$AI$5:$AI$54,L594)=0),"✗ 费用项目不在基础资料里",IF(AND(IFERROR(INDEX(基础资料!$AD$5:$AD$34,MATCH(O594,基础资料!$AC$5:$AC$34,0)),"")="收",N(G594)&lt;&gt;0),"✗ 这类是收款，金额填到收入列",IF(AND(IFERROR(INDEX(基础资料!$AD$5:$AD$34,MATCH(O594,基础资料!$AC$5:$AC$34,0)),"")="支",N(F594)&lt;&gt;0),"✗ 这类是付款，金额填到支出列",IF(N(H594)&lt;0,"⚠ 账户余额成负数了，核对一下","√"))))))))))))))))))</f>
      </c>
      <c r="O594" s="78">
        <f>IF(D594&lt;&gt;"",D594,IF(AND(F594="",G594=""),"",IF(J594&lt;&gt;"",IF(N(F594)&gt;0,"客户回款","客户退款"),IF(K594&lt;&gt;"",IF(N(G594)&gt;0,"供应商付款","供应商退款"),IF(L594&lt;&gt;"","费用支出","")))))</f>
      </c>
      <c r="P594" s="78">
        <f>IF(O594="","",IFERROR(INDEX(基础资料!$AE$5:$AE$34,MATCH(O594,基础资料!$AC$5:$AC$34,0)),"未知"))</f>
      </c>
      <c r="Q594" s="78">
        <f>IF(P594="应收",COUNTIF(P$7:P594,"应收"),"")</f>
      </c>
      <c r="R594" s="78">
        <f>IF(P594="应付",COUNTIF(P$7:P594,"应付"),"")</f>
      </c>
      <c r="S594" s="78">
        <f>N(F594)-N(G594)</f>
        <v>0</v>
      </c>
    </row>
    <row r="595">
      <c r="A595" s="109">
        <f>IF(AND(F595="",G595=""),"",ROW()-6)</f>
      </c>
      <c r="B595" s="140" t="n"/>
      <c r="C595" s="141" t="n"/>
      <c r="D595" s="141" t="n"/>
      <c r="E595" s="142" t="n"/>
      <c r="F595" s="143" t="n"/>
      <c r="G595" s="144" t="n"/>
      <c r="H595" s="145">
        <f>IF(OR(C595="",AND(F595="",G595="")),"",SUMIF(基础资料!$W$5:$W$24,C595,基础资料!$X$5:$X$24)+SUMIF(C$7:C595,C595,F$7:F595)-SUMIF(C$7:C595,C595,G$7:G595))</f>
      </c>
      <c r="I595" s="145">
        <f>IF(AND(F595="",G595=""),"",SUM(基础资料!$X$5:$X$24)+SUM(F$7:F595)-SUM(G$7:G595))</f>
      </c>
      <c r="J595" s="141" t="n"/>
      <c r="K595" s="141" t="n"/>
      <c r="L595" s="141" t="n"/>
      <c r="M595" s="142" t="n"/>
      <c r="N595" s="146">
        <f>IF(AND(AND(F595="",G595=""),B595="",C595="",D595="",J595="",K595="",L595=""),"",IF(AND(F595="",G595=""),"✗ 没填金额",IF(AND(N(F595)&lt;&gt;0,N(G595)&lt;&gt;0),"✗ 收入、支出只能填一边",IF(NOT(ISNUMBER(B595)),"✗ 日期不是真日期（要像 2026/9/25 这样填）",IF(OR(B595&lt;年初日,B595&gt;年末日),"✗ 日期不在本会计年度",IF(C595="","✗ 没选账户",IF(COUNTIF(基础资料!$W$5:$W$24,C595)=0,"✗ 账户不在基础资料里",IF(O595="","✗ 没选收支项目",IF(P595="未知","✗ 收支项目不在基础资料里",IF(AND(P595="应收",J595=""),"✗ 这笔要选客户",IF(AND(P595="应收",COUNTIF(总览汇总!$B$5:$B$304,J595)=0),"✗ 客户不在总览汇总名单里",IF(AND(P595="应付",K595=""),"✗ 这笔要选供应商",IF(AND(P595="应付",COUNTIF(基础资料!$Q$5:$Q$54,K595)=0),"✗ 供应商不在基础资料里",IF(AND(P595="费用",L595=""),"✗ 费用支出要选费用项目",IF(AND(L595&lt;&gt;"",COUNTIF(基础资料!$AI$5:$AI$54,L595)=0),"✗ 费用项目不在基础资料里",IF(AND(IFERROR(INDEX(基础资料!$AD$5:$AD$34,MATCH(O595,基础资料!$AC$5:$AC$34,0)),"")="收",N(G595)&lt;&gt;0),"✗ 这类是收款，金额填到收入列",IF(AND(IFERROR(INDEX(基础资料!$AD$5:$AD$34,MATCH(O595,基础资料!$AC$5:$AC$34,0)),"")="支",N(F595)&lt;&gt;0),"✗ 这类是付款，金额填到支出列",IF(N(H595)&lt;0,"⚠ 账户余额成负数了，核对一下","√"))))))))))))))))))</f>
      </c>
      <c r="O595" s="78">
        <f>IF(D595&lt;&gt;"",D595,IF(AND(F595="",G595=""),"",IF(J595&lt;&gt;"",IF(N(F595)&gt;0,"客户回款","客户退款"),IF(K595&lt;&gt;"",IF(N(G595)&gt;0,"供应商付款","供应商退款"),IF(L595&lt;&gt;"","费用支出","")))))</f>
      </c>
      <c r="P595" s="78">
        <f>IF(O595="","",IFERROR(INDEX(基础资料!$AE$5:$AE$34,MATCH(O595,基础资料!$AC$5:$AC$34,0)),"未知"))</f>
      </c>
      <c r="Q595" s="78">
        <f>IF(P595="应收",COUNTIF(P$7:P595,"应收"),"")</f>
      </c>
      <c r="R595" s="78">
        <f>IF(P595="应付",COUNTIF(P$7:P595,"应付"),"")</f>
      </c>
      <c r="S595" s="78">
        <f>N(F595)-N(G595)</f>
        <v>0</v>
      </c>
    </row>
    <row r="596">
      <c r="A596" s="109">
        <f>IF(AND(F596="",G596=""),"",ROW()-6)</f>
      </c>
      <c r="B596" s="140" t="n"/>
      <c r="C596" s="141" t="n"/>
      <c r="D596" s="141" t="n"/>
      <c r="E596" s="142" t="n"/>
      <c r="F596" s="143" t="n"/>
      <c r="G596" s="144" t="n"/>
      <c r="H596" s="145">
        <f>IF(OR(C596="",AND(F596="",G596="")),"",SUMIF(基础资料!$W$5:$W$24,C596,基础资料!$X$5:$X$24)+SUMIF(C$7:C596,C596,F$7:F596)-SUMIF(C$7:C596,C596,G$7:G596))</f>
      </c>
      <c r="I596" s="145">
        <f>IF(AND(F596="",G596=""),"",SUM(基础资料!$X$5:$X$24)+SUM(F$7:F596)-SUM(G$7:G596))</f>
      </c>
      <c r="J596" s="141" t="n"/>
      <c r="K596" s="141" t="n"/>
      <c r="L596" s="141" t="n"/>
      <c r="M596" s="142" t="n"/>
      <c r="N596" s="146">
        <f>IF(AND(AND(F596="",G596=""),B596="",C596="",D596="",J596="",K596="",L596=""),"",IF(AND(F596="",G596=""),"✗ 没填金额",IF(AND(N(F596)&lt;&gt;0,N(G596)&lt;&gt;0),"✗ 收入、支出只能填一边",IF(NOT(ISNUMBER(B596)),"✗ 日期不是真日期（要像 2026/9/25 这样填）",IF(OR(B596&lt;年初日,B596&gt;年末日),"✗ 日期不在本会计年度",IF(C596="","✗ 没选账户",IF(COUNTIF(基础资料!$W$5:$W$24,C596)=0,"✗ 账户不在基础资料里",IF(O596="","✗ 没选收支项目",IF(P596="未知","✗ 收支项目不在基础资料里",IF(AND(P596="应收",J596=""),"✗ 这笔要选客户",IF(AND(P596="应收",COUNTIF(总览汇总!$B$5:$B$304,J596)=0),"✗ 客户不在总览汇总名单里",IF(AND(P596="应付",K596=""),"✗ 这笔要选供应商",IF(AND(P596="应付",COUNTIF(基础资料!$Q$5:$Q$54,K596)=0),"✗ 供应商不在基础资料里",IF(AND(P596="费用",L596=""),"✗ 费用支出要选费用项目",IF(AND(L596&lt;&gt;"",COUNTIF(基础资料!$AI$5:$AI$54,L596)=0),"✗ 费用项目不在基础资料里",IF(AND(IFERROR(INDEX(基础资料!$AD$5:$AD$34,MATCH(O596,基础资料!$AC$5:$AC$34,0)),"")="收",N(G596)&lt;&gt;0),"✗ 这类是收款，金额填到收入列",IF(AND(IFERROR(INDEX(基础资料!$AD$5:$AD$34,MATCH(O596,基础资料!$AC$5:$AC$34,0)),"")="支",N(F596)&lt;&gt;0),"✗ 这类是付款，金额填到支出列",IF(N(H596)&lt;0,"⚠ 账户余额成负数了，核对一下","√"))))))))))))))))))</f>
      </c>
      <c r="O596" s="78">
        <f>IF(D596&lt;&gt;"",D596,IF(AND(F596="",G596=""),"",IF(J596&lt;&gt;"",IF(N(F596)&gt;0,"客户回款","客户退款"),IF(K596&lt;&gt;"",IF(N(G596)&gt;0,"供应商付款","供应商退款"),IF(L596&lt;&gt;"","费用支出","")))))</f>
      </c>
      <c r="P596" s="78">
        <f>IF(O596="","",IFERROR(INDEX(基础资料!$AE$5:$AE$34,MATCH(O596,基础资料!$AC$5:$AC$34,0)),"未知"))</f>
      </c>
      <c r="Q596" s="78">
        <f>IF(P596="应收",COUNTIF(P$7:P596,"应收"),"")</f>
      </c>
      <c r="R596" s="78">
        <f>IF(P596="应付",COUNTIF(P$7:P596,"应付"),"")</f>
      </c>
      <c r="S596" s="78">
        <f>N(F596)-N(G596)</f>
        <v>0</v>
      </c>
    </row>
    <row r="597">
      <c r="A597" s="109">
        <f>IF(AND(F597="",G597=""),"",ROW()-6)</f>
      </c>
      <c r="B597" s="140" t="n"/>
      <c r="C597" s="141" t="n"/>
      <c r="D597" s="141" t="n"/>
      <c r="E597" s="142" t="n"/>
      <c r="F597" s="143" t="n"/>
      <c r="G597" s="144" t="n"/>
      <c r="H597" s="145">
        <f>IF(OR(C597="",AND(F597="",G597="")),"",SUMIF(基础资料!$W$5:$W$24,C597,基础资料!$X$5:$X$24)+SUMIF(C$7:C597,C597,F$7:F597)-SUMIF(C$7:C597,C597,G$7:G597))</f>
      </c>
      <c r="I597" s="145">
        <f>IF(AND(F597="",G597=""),"",SUM(基础资料!$X$5:$X$24)+SUM(F$7:F597)-SUM(G$7:G597))</f>
      </c>
      <c r="J597" s="141" t="n"/>
      <c r="K597" s="141" t="n"/>
      <c r="L597" s="141" t="n"/>
      <c r="M597" s="142" t="n"/>
      <c r="N597" s="146">
        <f>IF(AND(AND(F597="",G597=""),B597="",C597="",D597="",J597="",K597="",L597=""),"",IF(AND(F597="",G597=""),"✗ 没填金额",IF(AND(N(F597)&lt;&gt;0,N(G597)&lt;&gt;0),"✗ 收入、支出只能填一边",IF(NOT(ISNUMBER(B597)),"✗ 日期不是真日期（要像 2026/9/25 这样填）",IF(OR(B597&lt;年初日,B597&gt;年末日),"✗ 日期不在本会计年度",IF(C597="","✗ 没选账户",IF(COUNTIF(基础资料!$W$5:$W$24,C597)=0,"✗ 账户不在基础资料里",IF(O597="","✗ 没选收支项目",IF(P597="未知","✗ 收支项目不在基础资料里",IF(AND(P597="应收",J597=""),"✗ 这笔要选客户",IF(AND(P597="应收",COUNTIF(总览汇总!$B$5:$B$304,J597)=0),"✗ 客户不在总览汇总名单里",IF(AND(P597="应付",K597=""),"✗ 这笔要选供应商",IF(AND(P597="应付",COUNTIF(基础资料!$Q$5:$Q$54,K597)=0),"✗ 供应商不在基础资料里",IF(AND(P597="费用",L597=""),"✗ 费用支出要选费用项目",IF(AND(L597&lt;&gt;"",COUNTIF(基础资料!$AI$5:$AI$54,L597)=0),"✗ 费用项目不在基础资料里",IF(AND(IFERROR(INDEX(基础资料!$AD$5:$AD$34,MATCH(O597,基础资料!$AC$5:$AC$34,0)),"")="收",N(G597)&lt;&gt;0),"✗ 这类是收款，金额填到收入列",IF(AND(IFERROR(INDEX(基础资料!$AD$5:$AD$34,MATCH(O597,基础资料!$AC$5:$AC$34,0)),"")="支",N(F597)&lt;&gt;0),"✗ 这类是付款，金额填到支出列",IF(N(H597)&lt;0,"⚠ 账户余额成负数了，核对一下","√"))))))))))))))))))</f>
      </c>
      <c r="O597" s="78">
        <f>IF(D597&lt;&gt;"",D597,IF(AND(F597="",G597=""),"",IF(J597&lt;&gt;"",IF(N(F597)&gt;0,"客户回款","客户退款"),IF(K597&lt;&gt;"",IF(N(G597)&gt;0,"供应商付款","供应商退款"),IF(L597&lt;&gt;"","费用支出","")))))</f>
      </c>
      <c r="P597" s="78">
        <f>IF(O597="","",IFERROR(INDEX(基础资料!$AE$5:$AE$34,MATCH(O597,基础资料!$AC$5:$AC$34,0)),"未知"))</f>
      </c>
      <c r="Q597" s="78">
        <f>IF(P597="应收",COUNTIF(P$7:P597,"应收"),"")</f>
      </c>
      <c r="R597" s="78">
        <f>IF(P597="应付",COUNTIF(P$7:P597,"应付"),"")</f>
      </c>
      <c r="S597" s="78">
        <f>N(F597)-N(G597)</f>
        <v>0</v>
      </c>
    </row>
    <row r="598">
      <c r="A598" s="109">
        <f>IF(AND(F598="",G598=""),"",ROW()-6)</f>
      </c>
      <c r="B598" s="140" t="n"/>
      <c r="C598" s="141" t="n"/>
      <c r="D598" s="141" t="n"/>
      <c r="E598" s="142" t="n"/>
      <c r="F598" s="143" t="n"/>
      <c r="G598" s="144" t="n"/>
      <c r="H598" s="145">
        <f>IF(OR(C598="",AND(F598="",G598="")),"",SUMIF(基础资料!$W$5:$W$24,C598,基础资料!$X$5:$X$24)+SUMIF(C$7:C598,C598,F$7:F598)-SUMIF(C$7:C598,C598,G$7:G598))</f>
      </c>
      <c r="I598" s="145">
        <f>IF(AND(F598="",G598=""),"",SUM(基础资料!$X$5:$X$24)+SUM(F$7:F598)-SUM(G$7:G598))</f>
      </c>
      <c r="J598" s="141" t="n"/>
      <c r="K598" s="141" t="n"/>
      <c r="L598" s="141" t="n"/>
      <c r="M598" s="142" t="n"/>
      <c r="N598" s="146">
        <f>IF(AND(AND(F598="",G598=""),B598="",C598="",D598="",J598="",K598="",L598=""),"",IF(AND(F598="",G598=""),"✗ 没填金额",IF(AND(N(F598)&lt;&gt;0,N(G598)&lt;&gt;0),"✗ 收入、支出只能填一边",IF(NOT(ISNUMBER(B598)),"✗ 日期不是真日期（要像 2026/9/25 这样填）",IF(OR(B598&lt;年初日,B598&gt;年末日),"✗ 日期不在本会计年度",IF(C598="","✗ 没选账户",IF(COUNTIF(基础资料!$W$5:$W$24,C598)=0,"✗ 账户不在基础资料里",IF(O598="","✗ 没选收支项目",IF(P598="未知","✗ 收支项目不在基础资料里",IF(AND(P598="应收",J598=""),"✗ 这笔要选客户",IF(AND(P598="应收",COUNTIF(总览汇总!$B$5:$B$304,J598)=0),"✗ 客户不在总览汇总名单里",IF(AND(P598="应付",K598=""),"✗ 这笔要选供应商",IF(AND(P598="应付",COUNTIF(基础资料!$Q$5:$Q$54,K598)=0),"✗ 供应商不在基础资料里",IF(AND(P598="费用",L598=""),"✗ 费用支出要选费用项目",IF(AND(L598&lt;&gt;"",COUNTIF(基础资料!$AI$5:$AI$54,L598)=0),"✗ 费用项目不在基础资料里",IF(AND(IFERROR(INDEX(基础资料!$AD$5:$AD$34,MATCH(O598,基础资料!$AC$5:$AC$34,0)),"")="收",N(G598)&lt;&gt;0),"✗ 这类是收款，金额填到收入列",IF(AND(IFERROR(INDEX(基础资料!$AD$5:$AD$34,MATCH(O598,基础资料!$AC$5:$AC$34,0)),"")="支",N(F598)&lt;&gt;0),"✗ 这类是付款，金额填到支出列",IF(N(H598)&lt;0,"⚠ 账户余额成负数了，核对一下","√"))))))))))))))))))</f>
      </c>
      <c r="O598" s="78">
        <f>IF(D598&lt;&gt;"",D598,IF(AND(F598="",G598=""),"",IF(J598&lt;&gt;"",IF(N(F598)&gt;0,"客户回款","客户退款"),IF(K598&lt;&gt;"",IF(N(G598)&gt;0,"供应商付款","供应商退款"),IF(L598&lt;&gt;"","费用支出","")))))</f>
      </c>
      <c r="P598" s="78">
        <f>IF(O598="","",IFERROR(INDEX(基础资料!$AE$5:$AE$34,MATCH(O598,基础资料!$AC$5:$AC$34,0)),"未知"))</f>
      </c>
      <c r="Q598" s="78">
        <f>IF(P598="应收",COUNTIF(P$7:P598,"应收"),"")</f>
      </c>
      <c r="R598" s="78">
        <f>IF(P598="应付",COUNTIF(P$7:P598,"应付"),"")</f>
      </c>
      <c r="S598" s="78">
        <f>N(F598)-N(G598)</f>
        <v>0</v>
      </c>
    </row>
    <row r="599">
      <c r="A599" s="109">
        <f>IF(AND(F599="",G599=""),"",ROW()-6)</f>
      </c>
      <c r="B599" s="140" t="n"/>
      <c r="C599" s="141" t="n"/>
      <c r="D599" s="141" t="n"/>
      <c r="E599" s="142" t="n"/>
      <c r="F599" s="143" t="n"/>
      <c r="G599" s="144" t="n"/>
      <c r="H599" s="145">
        <f>IF(OR(C599="",AND(F599="",G599="")),"",SUMIF(基础资料!$W$5:$W$24,C599,基础资料!$X$5:$X$24)+SUMIF(C$7:C599,C599,F$7:F599)-SUMIF(C$7:C599,C599,G$7:G599))</f>
      </c>
      <c r="I599" s="145">
        <f>IF(AND(F599="",G599=""),"",SUM(基础资料!$X$5:$X$24)+SUM(F$7:F599)-SUM(G$7:G599))</f>
      </c>
      <c r="J599" s="141" t="n"/>
      <c r="K599" s="141" t="n"/>
      <c r="L599" s="141" t="n"/>
      <c r="M599" s="142" t="n"/>
      <c r="N599" s="146">
        <f>IF(AND(AND(F599="",G599=""),B599="",C599="",D599="",J599="",K599="",L599=""),"",IF(AND(F599="",G599=""),"✗ 没填金额",IF(AND(N(F599)&lt;&gt;0,N(G599)&lt;&gt;0),"✗ 收入、支出只能填一边",IF(NOT(ISNUMBER(B599)),"✗ 日期不是真日期（要像 2026/9/25 这样填）",IF(OR(B599&lt;年初日,B599&gt;年末日),"✗ 日期不在本会计年度",IF(C599="","✗ 没选账户",IF(COUNTIF(基础资料!$W$5:$W$24,C599)=0,"✗ 账户不在基础资料里",IF(O599="","✗ 没选收支项目",IF(P599="未知","✗ 收支项目不在基础资料里",IF(AND(P599="应收",J599=""),"✗ 这笔要选客户",IF(AND(P599="应收",COUNTIF(总览汇总!$B$5:$B$304,J599)=0),"✗ 客户不在总览汇总名单里",IF(AND(P599="应付",K599=""),"✗ 这笔要选供应商",IF(AND(P599="应付",COUNTIF(基础资料!$Q$5:$Q$54,K599)=0),"✗ 供应商不在基础资料里",IF(AND(P599="费用",L599=""),"✗ 费用支出要选费用项目",IF(AND(L599&lt;&gt;"",COUNTIF(基础资料!$AI$5:$AI$54,L599)=0),"✗ 费用项目不在基础资料里",IF(AND(IFERROR(INDEX(基础资料!$AD$5:$AD$34,MATCH(O599,基础资料!$AC$5:$AC$34,0)),"")="收",N(G599)&lt;&gt;0),"✗ 这类是收款，金额填到收入列",IF(AND(IFERROR(INDEX(基础资料!$AD$5:$AD$34,MATCH(O599,基础资料!$AC$5:$AC$34,0)),"")="支",N(F599)&lt;&gt;0),"✗ 这类是付款，金额填到支出列",IF(N(H599)&lt;0,"⚠ 账户余额成负数了，核对一下","√"))))))))))))))))))</f>
      </c>
      <c r="O599" s="78">
        <f>IF(D599&lt;&gt;"",D599,IF(AND(F599="",G599=""),"",IF(J599&lt;&gt;"",IF(N(F599)&gt;0,"客户回款","客户退款"),IF(K599&lt;&gt;"",IF(N(G599)&gt;0,"供应商付款","供应商退款"),IF(L599&lt;&gt;"","费用支出","")))))</f>
      </c>
      <c r="P599" s="78">
        <f>IF(O599="","",IFERROR(INDEX(基础资料!$AE$5:$AE$34,MATCH(O599,基础资料!$AC$5:$AC$34,0)),"未知"))</f>
      </c>
      <c r="Q599" s="78">
        <f>IF(P599="应收",COUNTIF(P$7:P599,"应收"),"")</f>
      </c>
      <c r="R599" s="78">
        <f>IF(P599="应付",COUNTIF(P$7:P599,"应付"),"")</f>
      </c>
      <c r="S599" s="78">
        <f>N(F599)-N(G599)</f>
        <v>0</v>
      </c>
    </row>
    <row r="600">
      <c r="A600" s="109">
        <f>IF(AND(F600="",G600=""),"",ROW()-6)</f>
      </c>
      <c r="B600" s="140" t="n"/>
      <c r="C600" s="141" t="n"/>
      <c r="D600" s="141" t="n"/>
      <c r="E600" s="142" t="n"/>
      <c r="F600" s="143" t="n"/>
      <c r="G600" s="144" t="n"/>
      <c r="H600" s="145">
        <f>IF(OR(C600="",AND(F600="",G600="")),"",SUMIF(基础资料!$W$5:$W$24,C600,基础资料!$X$5:$X$24)+SUMIF(C$7:C600,C600,F$7:F600)-SUMIF(C$7:C600,C600,G$7:G600))</f>
      </c>
      <c r="I600" s="145">
        <f>IF(AND(F600="",G600=""),"",SUM(基础资料!$X$5:$X$24)+SUM(F$7:F600)-SUM(G$7:G600))</f>
      </c>
      <c r="J600" s="141" t="n"/>
      <c r="K600" s="141" t="n"/>
      <c r="L600" s="141" t="n"/>
      <c r="M600" s="142" t="n"/>
      <c r="N600" s="146">
        <f>IF(AND(AND(F600="",G600=""),B600="",C600="",D600="",J600="",K600="",L600=""),"",IF(AND(F600="",G600=""),"✗ 没填金额",IF(AND(N(F600)&lt;&gt;0,N(G600)&lt;&gt;0),"✗ 收入、支出只能填一边",IF(NOT(ISNUMBER(B600)),"✗ 日期不是真日期（要像 2026/9/25 这样填）",IF(OR(B600&lt;年初日,B600&gt;年末日),"✗ 日期不在本会计年度",IF(C600="","✗ 没选账户",IF(COUNTIF(基础资料!$W$5:$W$24,C600)=0,"✗ 账户不在基础资料里",IF(O600="","✗ 没选收支项目",IF(P600="未知","✗ 收支项目不在基础资料里",IF(AND(P600="应收",J600=""),"✗ 这笔要选客户",IF(AND(P600="应收",COUNTIF(总览汇总!$B$5:$B$304,J600)=0),"✗ 客户不在总览汇总名单里",IF(AND(P600="应付",K600=""),"✗ 这笔要选供应商",IF(AND(P600="应付",COUNTIF(基础资料!$Q$5:$Q$54,K600)=0),"✗ 供应商不在基础资料里",IF(AND(P600="费用",L600=""),"✗ 费用支出要选费用项目",IF(AND(L600&lt;&gt;"",COUNTIF(基础资料!$AI$5:$AI$54,L600)=0),"✗ 费用项目不在基础资料里",IF(AND(IFERROR(INDEX(基础资料!$AD$5:$AD$34,MATCH(O600,基础资料!$AC$5:$AC$34,0)),"")="收",N(G600)&lt;&gt;0),"✗ 这类是收款，金额填到收入列",IF(AND(IFERROR(INDEX(基础资料!$AD$5:$AD$34,MATCH(O600,基础资料!$AC$5:$AC$34,0)),"")="支",N(F600)&lt;&gt;0),"✗ 这类是付款，金额填到支出列",IF(N(H600)&lt;0,"⚠ 账户余额成负数了，核对一下","√"))))))))))))))))))</f>
      </c>
      <c r="O600" s="78">
        <f>IF(D600&lt;&gt;"",D600,IF(AND(F600="",G600=""),"",IF(J600&lt;&gt;"",IF(N(F600)&gt;0,"客户回款","客户退款"),IF(K600&lt;&gt;"",IF(N(G600)&gt;0,"供应商付款","供应商退款"),IF(L600&lt;&gt;"","费用支出","")))))</f>
      </c>
      <c r="P600" s="78">
        <f>IF(O600="","",IFERROR(INDEX(基础资料!$AE$5:$AE$34,MATCH(O600,基础资料!$AC$5:$AC$34,0)),"未知"))</f>
      </c>
      <c r="Q600" s="78">
        <f>IF(P600="应收",COUNTIF(P$7:P600,"应收"),"")</f>
      </c>
      <c r="R600" s="78">
        <f>IF(P600="应付",COUNTIF(P$7:P600,"应付"),"")</f>
      </c>
      <c r="S600" s="78">
        <f>N(F600)-N(G600)</f>
        <v>0</v>
      </c>
    </row>
    <row r="601">
      <c r="A601" s="109">
        <f>IF(AND(F601="",G601=""),"",ROW()-6)</f>
      </c>
      <c r="B601" s="140" t="n"/>
      <c r="C601" s="141" t="n"/>
      <c r="D601" s="141" t="n"/>
      <c r="E601" s="142" t="n"/>
      <c r="F601" s="143" t="n"/>
      <c r="G601" s="144" t="n"/>
      <c r="H601" s="145">
        <f>IF(OR(C601="",AND(F601="",G601="")),"",SUMIF(基础资料!$W$5:$W$24,C601,基础资料!$X$5:$X$24)+SUMIF(C$7:C601,C601,F$7:F601)-SUMIF(C$7:C601,C601,G$7:G601))</f>
      </c>
      <c r="I601" s="145">
        <f>IF(AND(F601="",G601=""),"",SUM(基础资料!$X$5:$X$24)+SUM(F$7:F601)-SUM(G$7:G601))</f>
      </c>
      <c r="J601" s="141" t="n"/>
      <c r="K601" s="141" t="n"/>
      <c r="L601" s="141" t="n"/>
      <c r="M601" s="142" t="n"/>
      <c r="N601" s="146">
        <f>IF(AND(AND(F601="",G601=""),B601="",C601="",D601="",J601="",K601="",L601=""),"",IF(AND(F601="",G601=""),"✗ 没填金额",IF(AND(N(F601)&lt;&gt;0,N(G601)&lt;&gt;0),"✗ 收入、支出只能填一边",IF(NOT(ISNUMBER(B601)),"✗ 日期不是真日期（要像 2026/9/25 这样填）",IF(OR(B601&lt;年初日,B601&gt;年末日),"✗ 日期不在本会计年度",IF(C601="","✗ 没选账户",IF(COUNTIF(基础资料!$W$5:$W$24,C601)=0,"✗ 账户不在基础资料里",IF(O601="","✗ 没选收支项目",IF(P601="未知","✗ 收支项目不在基础资料里",IF(AND(P601="应收",J601=""),"✗ 这笔要选客户",IF(AND(P601="应收",COUNTIF(总览汇总!$B$5:$B$304,J601)=0),"✗ 客户不在总览汇总名单里",IF(AND(P601="应付",K601=""),"✗ 这笔要选供应商",IF(AND(P601="应付",COUNTIF(基础资料!$Q$5:$Q$54,K601)=0),"✗ 供应商不在基础资料里",IF(AND(P601="费用",L601=""),"✗ 费用支出要选费用项目",IF(AND(L601&lt;&gt;"",COUNTIF(基础资料!$AI$5:$AI$54,L601)=0),"✗ 费用项目不在基础资料里",IF(AND(IFERROR(INDEX(基础资料!$AD$5:$AD$34,MATCH(O601,基础资料!$AC$5:$AC$34,0)),"")="收",N(G601)&lt;&gt;0),"✗ 这类是收款，金额填到收入列",IF(AND(IFERROR(INDEX(基础资料!$AD$5:$AD$34,MATCH(O601,基础资料!$AC$5:$AC$34,0)),"")="支",N(F601)&lt;&gt;0),"✗ 这类是付款，金额填到支出列",IF(N(H601)&lt;0,"⚠ 账户余额成负数了，核对一下","√"))))))))))))))))))</f>
      </c>
      <c r="O601" s="78">
        <f>IF(D601&lt;&gt;"",D601,IF(AND(F601="",G601=""),"",IF(J601&lt;&gt;"",IF(N(F601)&gt;0,"客户回款","客户退款"),IF(K601&lt;&gt;"",IF(N(G601)&gt;0,"供应商付款","供应商退款"),IF(L601&lt;&gt;"","费用支出","")))))</f>
      </c>
      <c r="P601" s="78">
        <f>IF(O601="","",IFERROR(INDEX(基础资料!$AE$5:$AE$34,MATCH(O601,基础资料!$AC$5:$AC$34,0)),"未知"))</f>
      </c>
      <c r="Q601" s="78">
        <f>IF(P601="应收",COUNTIF(P$7:P601,"应收"),"")</f>
      </c>
      <c r="R601" s="78">
        <f>IF(P601="应付",COUNTIF(P$7:P601,"应付"),"")</f>
      </c>
      <c r="S601" s="78">
        <f>N(F601)-N(G601)</f>
        <v>0</v>
      </c>
    </row>
    <row r="602">
      <c r="A602" s="109">
        <f>IF(AND(F602="",G602=""),"",ROW()-6)</f>
      </c>
      <c r="B602" s="140" t="n"/>
      <c r="C602" s="141" t="n"/>
      <c r="D602" s="141" t="n"/>
      <c r="E602" s="142" t="n"/>
      <c r="F602" s="143" t="n"/>
      <c r="G602" s="144" t="n"/>
      <c r="H602" s="145">
        <f>IF(OR(C602="",AND(F602="",G602="")),"",SUMIF(基础资料!$W$5:$W$24,C602,基础资料!$X$5:$X$24)+SUMIF(C$7:C602,C602,F$7:F602)-SUMIF(C$7:C602,C602,G$7:G602))</f>
      </c>
      <c r="I602" s="145">
        <f>IF(AND(F602="",G602=""),"",SUM(基础资料!$X$5:$X$24)+SUM(F$7:F602)-SUM(G$7:G602))</f>
      </c>
      <c r="J602" s="141" t="n"/>
      <c r="K602" s="141" t="n"/>
      <c r="L602" s="141" t="n"/>
      <c r="M602" s="142" t="n"/>
      <c r="N602" s="146">
        <f>IF(AND(AND(F602="",G602=""),B602="",C602="",D602="",J602="",K602="",L602=""),"",IF(AND(F602="",G602=""),"✗ 没填金额",IF(AND(N(F602)&lt;&gt;0,N(G602)&lt;&gt;0),"✗ 收入、支出只能填一边",IF(NOT(ISNUMBER(B602)),"✗ 日期不是真日期（要像 2026/9/25 这样填）",IF(OR(B602&lt;年初日,B602&gt;年末日),"✗ 日期不在本会计年度",IF(C602="","✗ 没选账户",IF(COUNTIF(基础资料!$W$5:$W$24,C602)=0,"✗ 账户不在基础资料里",IF(O602="","✗ 没选收支项目",IF(P602="未知","✗ 收支项目不在基础资料里",IF(AND(P602="应收",J602=""),"✗ 这笔要选客户",IF(AND(P602="应收",COUNTIF(总览汇总!$B$5:$B$304,J602)=0),"✗ 客户不在总览汇总名单里",IF(AND(P602="应付",K602=""),"✗ 这笔要选供应商",IF(AND(P602="应付",COUNTIF(基础资料!$Q$5:$Q$54,K602)=0),"✗ 供应商不在基础资料里",IF(AND(P602="费用",L602=""),"✗ 费用支出要选费用项目",IF(AND(L602&lt;&gt;"",COUNTIF(基础资料!$AI$5:$AI$54,L602)=0),"✗ 费用项目不在基础资料里",IF(AND(IFERROR(INDEX(基础资料!$AD$5:$AD$34,MATCH(O602,基础资料!$AC$5:$AC$34,0)),"")="收",N(G602)&lt;&gt;0),"✗ 这类是收款，金额填到收入列",IF(AND(IFERROR(INDEX(基础资料!$AD$5:$AD$34,MATCH(O602,基础资料!$AC$5:$AC$34,0)),"")="支",N(F602)&lt;&gt;0),"✗ 这类是付款，金额填到支出列",IF(N(H602)&lt;0,"⚠ 账户余额成负数了，核对一下","√"))))))))))))))))))</f>
      </c>
      <c r="O602" s="78">
        <f>IF(D602&lt;&gt;"",D602,IF(AND(F602="",G602=""),"",IF(J602&lt;&gt;"",IF(N(F602)&gt;0,"客户回款","客户退款"),IF(K602&lt;&gt;"",IF(N(G602)&gt;0,"供应商付款","供应商退款"),IF(L602&lt;&gt;"","费用支出","")))))</f>
      </c>
      <c r="P602" s="78">
        <f>IF(O602="","",IFERROR(INDEX(基础资料!$AE$5:$AE$34,MATCH(O602,基础资料!$AC$5:$AC$34,0)),"未知"))</f>
      </c>
      <c r="Q602" s="78">
        <f>IF(P602="应收",COUNTIF(P$7:P602,"应收"),"")</f>
      </c>
      <c r="R602" s="78">
        <f>IF(P602="应付",COUNTIF(P$7:P602,"应付"),"")</f>
      </c>
      <c r="S602" s="78">
        <f>N(F602)-N(G602)</f>
        <v>0</v>
      </c>
    </row>
    <row r="603">
      <c r="A603" s="109">
        <f>IF(AND(F603="",G603=""),"",ROW()-6)</f>
      </c>
      <c r="B603" s="140" t="n"/>
      <c r="C603" s="141" t="n"/>
      <c r="D603" s="141" t="n"/>
      <c r="E603" s="142" t="n"/>
      <c r="F603" s="143" t="n"/>
      <c r="G603" s="144" t="n"/>
      <c r="H603" s="145">
        <f>IF(OR(C603="",AND(F603="",G603="")),"",SUMIF(基础资料!$W$5:$W$24,C603,基础资料!$X$5:$X$24)+SUMIF(C$7:C603,C603,F$7:F603)-SUMIF(C$7:C603,C603,G$7:G603))</f>
      </c>
      <c r="I603" s="145">
        <f>IF(AND(F603="",G603=""),"",SUM(基础资料!$X$5:$X$24)+SUM(F$7:F603)-SUM(G$7:G603))</f>
      </c>
      <c r="J603" s="141" t="n"/>
      <c r="K603" s="141" t="n"/>
      <c r="L603" s="141" t="n"/>
      <c r="M603" s="142" t="n"/>
      <c r="N603" s="146">
        <f>IF(AND(AND(F603="",G603=""),B603="",C603="",D603="",J603="",K603="",L603=""),"",IF(AND(F603="",G603=""),"✗ 没填金额",IF(AND(N(F603)&lt;&gt;0,N(G603)&lt;&gt;0),"✗ 收入、支出只能填一边",IF(NOT(ISNUMBER(B603)),"✗ 日期不是真日期（要像 2026/9/25 这样填）",IF(OR(B603&lt;年初日,B603&gt;年末日),"✗ 日期不在本会计年度",IF(C603="","✗ 没选账户",IF(COUNTIF(基础资料!$W$5:$W$24,C603)=0,"✗ 账户不在基础资料里",IF(O603="","✗ 没选收支项目",IF(P603="未知","✗ 收支项目不在基础资料里",IF(AND(P603="应收",J603=""),"✗ 这笔要选客户",IF(AND(P603="应收",COUNTIF(总览汇总!$B$5:$B$304,J603)=0),"✗ 客户不在总览汇总名单里",IF(AND(P603="应付",K603=""),"✗ 这笔要选供应商",IF(AND(P603="应付",COUNTIF(基础资料!$Q$5:$Q$54,K603)=0),"✗ 供应商不在基础资料里",IF(AND(P603="费用",L603=""),"✗ 费用支出要选费用项目",IF(AND(L603&lt;&gt;"",COUNTIF(基础资料!$AI$5:$AI$54,L603)=0),"✗ 费用项目不在基础资料里",IF(AND(IFERROR(INDEX(基础资料!$AD$5:$AD$34,MATCH(O603,基础资料!$AC$5:$AC$34,0)),"")="收",N(G603)&lt;&gt;0),"✗ 这类是收款，金额填到收入列",IF(AND(IFERROR(INDEX(基础资料!$AD$5:$AD$34,MATCH(O603,基础资料!$AC$5:$AC$34,0)),"")="支",N(F603)&lt;&gt;0),"✗ 这类是付款，金额填到支出列",IF(N(H603)&lt;0,"⚠ 账户余额成负数了，核对一下","√"))))))))))))))))))</f>
      </c>
      <c r="O603" s="78">
        <f>IF(D603&lt;&gt;"",D603,IF(AND(F603="",G603=""),"",IF(J603&lt;&gt;"",IF(N(F603)&gt;0,"客户回款","客户退款"),IF(K603&lt;&gt;"",IF(N(G603)&gt;0,"供应商付款","供应商退款"),IF(L603&lt;&gt;"","费用支出","")))))</f>
      </c>
      <c r="P603" s="78">
        <f>IF(O603="","",IFERROR(INDEX(基础资料!$AE$5:$AE$34,MATCH(O603,基础资料!$AC$5:$AC$34,0)),"未知"))</f>
      </c>
      <c r="Q603" s="78">
        <f>IF(P603="应收",COUNTIF(P$7:P603,"应收"),"")</f>
      </c>
      <c r="R603" s="78">
        <f>IF(P603="应付",COUNTIF(P$7:P603,"应付"),"")</f>
      </c>
      <c r="S603" s="78">
        <f>N(F603)-N(G603)</f>
        <v>0</v>
      </c>
    </row>
    <row r="604">
      <c r="A604" s="109">
        <f>IF(AND(F604="",G604=""),"",ROW()-6)</f>
      </c>
      <c r="B604" s="140" t="n"/>
      <c r="C604" s="141" t="n"/>
      <c r="D604" s="141" t="n"/>
      <c r="E604" s="142" t="n"/>
      <c r="F604" s="143" t="n"/>
      <c r="G604" s="144" t="n"/>
      <c r="H604" s="145">
        <f>IF(OR(C604="",AND(F604="",G604="")),"",SUMIF(基础资料!$W$5:$W$24,C604,基础资料!$X$5:$X$24)+SUMIF(C$7:C604,C604,F$7:F604)-SUMIF(C$7:C604,C604,G$7:G604))</f>
      </c>
      <c r="I604" s="145">
        <f>IF(AND(F604="",G604=""),"",SUM(基础资料!$X$5:$X$24)+SUM(F$7:F604)-SUM(G$7:G604))</f>
      </c>
      <c r="J604" s="141" t="n"/>
      <c r="K604" s="141" t="n"/>
      <c r="L604" s="141" t="n"/>
      <c r="M604" s="142" t="n"/>
      <c r="N604" s="146">
        <f>IF(AND(AND(F604="",G604=""),B604="",C604="",D604="",J604="",K604="",L604=""),"",IF(AND(F604="",G604=""),"✗ 没填金额",IF(AND(N(F604)&lt;&gt;0,N(G604)&lt;&gt;0),"✗ 收入、支出只能填一边",IF(NOT(ISNUMBER(B604)),"✗ 日期不是真日期（要像 2026/9/25 这样填）",IF(OR(B604&lt;年初日,B604&gt;年末日),"✗ 日期不在本会计年度",IF(C604="","✗ 没选账户",IF(COUNTIF(基础资料!$W$5:$W$24,C604)=0,"✗ 账户不在基础资料里",IF(O604="","✗ 没选收支项目",IF(P604="未知","✗ 收支项目不在基础资料里",IF(AND(P604="应收",J604=""),"✗ 这笔要选客户",IF(AND(P604="应收",COUNTIF(总览汇总!$B$5:$B$304,J604)=0),"✗ 客户不在总览汇总名单里",IF(AND(P604="应付",K604=""),"✗ 这笔要选供应商",IF(AND(P604="应付",COUNTIF(基础资料!$Q$5:$Q$54,K604)=0),"✗ 供应商不在基础资料里",IF(AND(P604="费用",L604=""),"✗ 费用支出要选费用项目",IF(AND(L604&lt;&gt;"",COUNTIF(基础资料!$AI$5:$AI$54,L604)=0),"✗ 费用项目不在基础资料里",IF(AND(IFERROR(INDEX(基础资料!$AD$5:$AD$34,MATCH(O604,基础资料!$AC$5:$AC$34,0)),"")="收",N(G604)&lt;&gt;0),"✗ 这类是收款，金额填到收入列",IF(AND(IFERROR(INDEX(基础资料!$AD$5:$AD$34,MATCH(O604,基础资料!$AC$5:$AC$34,0)),"")="支",N(F604)&lt;&gt;0),"✗ 这类是付款，金额填到支出列",IF(N(H604)&lt;0,"⚠ 账户余额成负数了，核对一下","√"))))))))))))))))))</f>
      </c>
      <c r="O604" s="78">
        <f>IF(D604&lt;&gt;"",D604,IF(AND(F604="",G604=""),"",IF(J604&lt;&gt;"",IF(N(F604)&gt;0,"客户回款","客户退款"),IF(K604&lt;&gt;"",IF(N(G604)&gt;0,"供应商付款","供应商退款"),IF(L604&lt;&gt;"","费用支出","")))))</f>
      </c>
      <c r="P604" s="78">
        <f>IF(O604="","",IFERROR(INDEX(基础资料!$AE$5:$AE$34,MATCH(O604,基础资料!$AC$5:$AC$34,0)),"未知"))</f>
      </c>
      <c r="Q604" s="78">
        <f>IF(P604="应收",COUNTIF(P$7:P604,"应收"),"")</f>
      </c>
      <c r="R604" s="78">
        <f>IF(P604="应付",COUNTIF(P$7:P604,"应付"),"")</f>
      </c>
      <c r="S604" s="78">
        <f>N(F604)-N(G604)</f>
        <v>0</v>
      </c>
    </row>
    <row r="605">
      <c r="A605" s="109">
        <f>IF(AND(F605="",G605=""),"",ROW()-6)</f>
      </c>
      <c r="B605" s="140" t="n"/>
      <c r="C605" s="141" t="n"/>
      <c r="D605" s="141" t="n"/>
      <c r="E605" s="142" t="n"/>
      <c r="F605" s="143" t="n"/>
      <c r="G605" s="144" t="n"/>
      <c r="H605" s="145">
        <f>IF(OR(C605="",AND(F605="",G605="")),"",SUMIF(基础资料!$W$5:$W$24,C605,基础资料!$X$5:$X$24)+SUMIF(C$7:C605,C605,F$7:F605)-SUMIF(C$7:C605,C605,G$7:G605))</f>
      </c>
      <c r="I605" s="145">
        <f>IF(AND(F605="",G605=""),"",SUM(基础资料!$X$5:$X$24)+SUM(F$7:F605)-SUM(G$7:G605))</f>
      </c>
      <c r="J605" s="141" t="n"/>
      <c r="K605" s="141" t="n"/>
      <c r="L605" s="141" t="n"/>
      <c r="M605" s="142" t="n"/>
      <c r="N605" s="146">
        <f>IF(AND(AND(F605="",G605=""),B605="",C605="",D605="",J605="",K605="",L605=""),"",IF(AND(F605="",G605=""),"✗ 没填金额",IF(AND(N(F605)&lt;&gt;0,N(G605)&lt;&gt;0),"✗ 收入、支出只能填一边",IF(NOT(ISNUMBER(B605)),"✗ 日期不是真日期（要像 2026/9/25 这样填）",IF(OR(B605&lt;年初日,B605&gt;年末日),"✗ 日期不在本会计年度",IF(C605="","✗ 没选账户",IF(COUNTIF(基础资料!$W$5:$W$24,C605)=0,"✗ 账户不在基础资料里",IF(O605="","✗ 没选收支项目",IF(P605="未知","✗ 收支项目不在基础资料里",IF(AND(P605="应收",J605=""),"✗ 这笔要选客户",IF(AND(P605="应收",COUNTIF(总览汇总!$B$5:$B$304,J605)=0),"✗ 客户不在总览汇总名单里",IF(AND(P605="应付",K605=""),"✗ 这笔要选供应商",IF(AND(P605="应付",COUNTIF(基础资料!$Q$5:$Q$54,K605)=0),"✗ 供应商不在基础资料里",IF(AND(P605="费用",L605=""),"✗ 费用支出要选费用项目",IF(AND(L605&lt;&gt;"",COUNTIF(基础资料!$AI$5:$AI$54,L605)=0),"✗ 费用项目不在基础资料里",IF(AND(IFERROR(INDEX(基础资料!$AD$5:$AD$34,MATCH(O605,基础资料!$AC$5:$AC$34,0)),"")="收",N(G605)&lt;&gt;0),"✗ 这类是收款，金额填到收入列",IF(AND(IFERROR(INDEX(基础资料!$AD$5:$AD$34,MATCH(O605,基础资料!$AC$5:$AC$34,0)),"")="支",N(F605)&lt;&gt;0),"✗ 这类是付款，金额填到支出列",IF(N(H605)&lt;0,"⚠ 账户余额成负数了，核对一下","√"))))))))))))))))))</f>
      </c>
      <c r="O605" s="78">
        <f>IF(D605&lt;&gt;"",D605,IF(AND(F605="",G605=""),"",IF(J605&lt;&gt;"",IF(N(F605)&gt;0,"客户回款","客户退款"),IF(K605&lt;&gt;"",IF(N(G605)&gt;0,"供应商付款","供应商退款"),IF(L605&lt;&gt;"","费用支出","")))))</f>
      </c>
      <c r="P605" s="78">
        <f>IF(O605="","",IFERROR(INDEX(基础资料!$AE$5:$AE$34,MATCH(O605,基础资料!$AC$5:$AC$34,0)),"未知"))</f>
      </c>
      <c r="Q605" s="78">
        <f>IF(P605="应收",COUNTIF(P$7:P605,"应收"),"")</f>
      </c>
      <c r="R605" s="78">
        <f>IF(P605="应付",COUNTIF(P$7:P605,"应付"),"")</f>
      </c>
      <c r="S605" s="78">
        <f>N(F605)-N(G605)</f>
        <v>0</v>
      </c>
    </row>
    <row r="606">
      <c r="A606" s="109">
        <f>IF(AND(F606="",G606=""),"",ROW()-6)</f>
      </c>
      <c r="B606" s="140" t="n"/>
      <c r="C606" s="141" t="n"/>
      <c r="D606" s="141" t="n"/>
      <c r="E606" s="142" t="n"/>
      <c r="F606" s="143" t="n"/>
      <c r="G606" s="144" t="n"/>
      <c r="H606" s="145">
        <f>IF(OR(C606="",AND(F606="",G606="")),"",SUMIF(基础资料!$W$5:$W$24,C606,基础资料!$X$5:$X$24)+SUMIF(C$7:C606,C606,F$7:F606)-SUMIF(C$7:C606,C606,G$7:G606))</f>
      </c>
      <c r="I606" s="145">
        <f>IF(AND(F606="",G606=""),"",SUM(基础资料!$X$5:$X$24)+SUM(F$7:F606)-SUM(G$7:G606))</f>
      </c>
      <c r="J606" s="141" t="n"/>
      <c r="K606" s="141" t="n"/>
      <c r="L606" s="141" t="n"/>
      <c r="M606" s="142" t="n"/>
      <c r="N606" s="146">
        <f>IF(AND(AND(F606="",G606=""),B606="",C606="",D606="",J606="",K606="",L606=""),"",IF(AND(F606="",G606=""),"✗ 没填金额",IF(AND(N(F606)&lt;&gt;0,N(G606)&lt;&gt;0),"✗ 收入、支出只能填一边",IF(NOT(ISNUMBER(B606)),"✗ 日期不是真日期（要像 2026/9/25 这样填）",IF(OR(B606&lt;年初日,B606&gt;年末日),"✗ 日期不在本会计年度",IF(C606="","✗ 没选账户",IF(COUNTIF(基础资料!$W$5:$W$24,C606)=0,"✗ 账户不在基础资料里",IF(O606="","✗ 没选收支项目",IF(P606="未知","✗ 收支项目不在基础资料里",IF(AND(P606="应收",J606=""),"✗ 这笔要选客户",IF(AND(P606="应收",COUNTIF(总览汇总!$B$5:$B$304,J606)=0),"✗ 客户不在总览汇总名单里",IF(AND(P606="应付",K606=""),"✗ 这笔要选供应商",IF(AND(P606="应付",COUNTIF(基础资料!$Q$5:$Q$54,K606)=0),"✗ 供应商不在基础资料里",IF(AND(P606="费用",L606=""),"✗ 费用支出要选费用项目",IF(AND(L606&lt;&gt;"",COUNTIF(基础资料!$AI$5:$AI$54,L606)=0),"✗ 费用项目不在基础资料里",IF(AND(IFERROR(INDEX(基础资料!$AD$5:$AD$34,MATCH(O606,基础资料!$AC$5:$AC$34,0)),"")="收",N(G606)&lt;&gt;0),"✗ 这类是收款，金额填到收入列",IF(AND(IFERROR(INDEX(基础资料!$AD$5:$AD$34,MATCH(O606,基础资料!$AC$5:$AC$34,0)),"")="支",N(F606)&lt;&gt;0),"✗ 这类是付款，金额填到支出列",IF(N(H606)&lt;0,"⚠ 账户余额成负数了，核对一下","√"))))))))))))))))))</f>
      </c>
      <c r="O606" s="78">
        <f>IF(D606&lt;&gt;"",D606,IF(AND(F606="",G606=""),"",IF(J606&lt;&gt;"",IF(N(F606)&gt;0,"客户回款","客户退款"),IF(K606&lt;&gt;"",IF(N(G606)&gt;0,"供应商付款","供应商退款"),IF(L606&lt;&gt;"","费用支出","")))))</f>
      </c>
      <c r="P606" s="78">
        <f>IF(O606="","",IFERROR(INDEX(基础资料!$AE$5:$AE$34,MATCH(O606,基础资料!$AC$5:$AC$34,0)),"未知"))</f>
      </c>
      <c r="Q606" s="78">
        <f>IF(P606="应收",COUNTIF(P$7:P606,"应收"),"")</f>
      </c>
      <c r="R606" s="78">
        <f>IF(P606="应付",COUNTIF(P$7:P606,"应付"),"")</f>
      </c>
      <c r="S606" s="78">
        <f>N(F606)-N(G606)</f>
        <v>0</v>
      </c>
    </row>
    <row r="607">
      <c r="A607" s="109">
        <f>IF(AND(F607="",G607=""),"",ROW()-6)</f>
      </c>
      <c r="B607" s="140" t="n"/>
      <c r="C607" s="141" t="n"/>
      <c r="D607" s="141" t="n"/>
      <c r="E607" s="142" t="n"/>
      <c r="F607" s="143" t="n"/>
      <c r="G607" s="144" t="n"/>
      <c r="H607" s="145">
        <f>IF(OR(C607="",AND(F607="",G607="")),"",SUMIF(基础资料!$W$5:$W$24,C607,基础资料!$X$5:$X$24)+SUMIF(C$7:C607,C607,F$7:F607)-SUMIF(C$7:C607,C607,G$7:G607))</f>
      </c>
      <c r="I607" s="145">
        <f>IF(AND(F607="",G607=""),"",SUM(基础资料!$X$5:$X$24)+SUM(F$7:F607)-SUM(G$7:G607))</f>
      </c>
      <c r="J607" s="141" t="n"/>
      <c r="K607" s="141" t="n"/>
      <c r="L607" s="141" t="n"/>
      <c r="M607" s="142" t="n"/>
      <c r="N607" s="146">
        <f>IF(AND(AND(F607="",G607=""),B607="",C607="",D607="",J607="",K607="",L607=""),"",IF(AND(F607="",G607=""),"✗ 没填金额",IF(AND(N(F607)&lt;&gt;0,N(G607)&lt;&gt;0),"✗ 收入、支出只能填一边",IF(NOT(ISNUMBER(B607)),"✗ 日期不是真日期（要像 2026/9/25 这样填）",IF(OR(B607&lt;年初日,B607&gt;年末日),"✗ 日期不在本会计年度",IF(C607="","✗ 没选账户",IF(COUNTIF(基础资料!$W$5:$W$24,C607)=0,"✗ 账户不在基础资料里",IF(O607="","✗ 没选收支项目",IF(P607="未知","✗ 收支项目不在基础资料里",IF(AND(P607="应收",J607=""),"✗ 这笔要选客户",IF(AND(P607="应收",COUNTIF(总览汇总!$B$5:$B$304,J607)=0),"✗ 客户不在总览汇总名单里",IF(AND(P607="应付",K607=""),"✗ 这笔要选供应商",IF(AND(P607="应付",COUNTIF(基础资料!$Q$5:$Q$54,K607)=0),"✗ 供应商不在基础资料里",IF(AND(P607="费用",L607=""),"✗ 费用支出要选费用项目",IF(AND(L607&lt;&gt;"",COUNTIF(基础资料!$AI$5:$AI$54,L607)=0),"✗ 费用项目不在基础资料里",IF(AND(IFERROR(INDEX(基础资料!$AD$5:$AD$34,MATCH(O607,基础资料!$AC$5:$AC$34,0)),"")="收",N(G607)&lt;&gt;0),"✗ 这类是收款，金额填到收入列",IF(AND(IFERROR(INDEX(基础资料!$AD$5:$AD$34,MATCH(O607,基础资料!$AC$5:$AC$34,0)),"")="支",N(F607)&lt;&gt;0),"✗ 这类是付款，金额填到支出列",IF(N(H607)&lt;0,"⚠ 账户余额成负数了，核对一下","√"))))))))))))))))))</f>
      </c>
      <c r="O607" s="78">
        <f>IF(D607&lt;&gt;"",D607,IF(AND(F607="",G607=""),"",IF(J607&lt;&gt;"",IF(N(F607)&gt;0,"客户回款","客户退款"),IF(K607&lt;&gt;"",IF(N(G607)&gt;0,"供应商付款","供应商退款"),IF(L607&lt;&gt;"","费用支出","")))))</f>
      </c>
      <c r="P607" s="78">
        <f>IF(O607="","",IFERROR(INDEX(基础资料!$AE$5:$AE$34,MATCH(O607,基础资料!$AC$5:$AC$34,0)),"未知"))</f>
      </c>
      <c r="Q607" s="78">
        <f>IF(P607="应收",COUNTIF(P$7:P607,"应收"),"")</f>
      </c>
      <c r="R607" s="78">
        <f>IF(P607="应付",COUNTIF(P$7:P607,"应付"),"")</f>
      </c>
      <c r="S607" s="78">
        <f>N(F607)-N(G607)</f>
        <v>0</v>
      </c>
    </row>
    <row r="608">
      <c r="A608" s="109">
        <f>IF(AND(F608="",G608=""),"",ROW()-6)</f>
      </c>
      <c r="B608" s="140" t="n"/>
      <c r="C608" s="141" t="n"/>
      <c r="D608" s="141" t="n"/>
      <c r="E608" s="142" t="n"/>
      <c r="F608" s="143" t="n"/>
      <c r="G608" s="144" t="n"/>
      <c r="H608" s="145">
        <f>IF(OR(C608="",AND(F608="",G608="")),"",SUMIF(基础资料!$W$5:$W$24,C608,基础资料!$X$5:$X$24)+SUMIF(C$7:C608,C608,F$7:F608)-SUMIF(C$7:C608,C608,G$7:G608))</f>
      </c>
      <c r="I608" s="145">
        <f>IF(AND(F608="",G608=""),"",SUM(基础资料!$X$5:$X$24)+SUM(F$7:F608)-SUM(G$7:G608))</f>
      </c>
      <c r="J608" s="141" t="n"/>
      <c r="K608" s="141" t="n"/>
      <c r="L608" s="141" t="n"/>
      <c r="M608" s="142" t="n"/>
      <c r="N608" s="146">
        <f>IF(AND(AND(F608="",G608=""),B608="",C608="",D608="",J608="",K608="",L608=""),"",IF(AND(F608="",G608=""),"✗ 没填金额",IF(AND(N(F608)&lt;&gt;0,N(G608)&lt;&gt;0),"✗ 收入、支出只能填一边",IF(NOT(ISNUMBER(B608)),"✗ 日期不是真日期（要像 2026/9/25 这样填）",IF(OR(B608&lt;年初日,B608&gt;年末日),"✗ 日期不在本会计年度",IF(C608="","✗ 没选账户",IF(COUNTIF(基础资料!$W$5:$W$24,C608)=0,"✗ 账户不在基础资料里",IF(O608="","✗ 没选收支项目",IF(P608="未知","✗ 收支项目不在基础资料里",IF(AND(P608="应收",J608=""),"✗ 这笔要选客户",IF(AND(P608="应收",COUNTIF(总览汇总!$B$5:$B$304,J608)=0),"✗ 客户不在总览汇总名单里",IF(AND(P608="应付",K608=""),"✗ 这笔要选供应商",IF(AND(P608="应付",COUNTIF(基础资料!$Q$5:$Q$54,K608)=0),"✗ 供应商不在基础资料里",IF(AND(P608="费用",L608=""),"✗ 费用支出要选费用项目",IF(AND(L608&lt;&gt;"",COUNTIF(基础资料!$AI$5:$AI$54,L608)=0),"✗ 费用项目不在基础资料里",IF(AND(IFERROR(INDEX(基础资料!$AD$5:$AD$34,MATCH(O608,基础资料!$AC$5:$AC$34,0)),"")="收",N(G608)&lt;&gt;0),"✗ 这类是收款，金额填到收入列",IF(AND(IFERROR(INDEX(基础资料!$AD$5:$AD$34,MATCH(O608,基础资料!$AC$5:$AC$34,0)),"")="支",N(F608)&lt;&gt;0),"✗ 这类是付款，金额填到支出列",IF(N(H608)&lt;0,"⚠ 账户余额成负数了，核对一下","√"))))))))))))))))))</f>
      </c>
      <c r="O608" s="78">
        <f>IF(D608&lt;&gt;"",D608,IF(AND(F608="",G608=""),"",IF(J608&lt;&gt;"",IF(N(F608)&gt;0,"客户回款","客户退款"),IF(K608&lt;&gt;"",IF(N(G608)&gt;0,"供应商付款","供应商退款"),IF(L608&lt;&gt;"","费用支出","")))))</f>
      </c>
      <c r="P608" s="78">
        <f>IF(O608="","",IFERROR(INDEX(基础资料!$AE$5:$AE$34,MATCH(O608,基础资料!$AC$5:$AC$34,0)),"未知"))</f>
      </c>
      <c r="Q608" s="78">
        <f>IF(P608="应收",COUNTIF(P$7:P608,"应收"),"")</f>
      </c>
      <c r="R608" s="78">
        <f>IF(P608="应付",COUNTIF(P$7:P608,"应付"),"")</f>
      </c>
      <c r="S608" s="78">
        <f>N(F608)-N(G608)</f>
        <v>0</v>
      </c>
    </row>
    <row r="609">
      <c r="A609" s="109">
        <f>IF(AND(F609="",G609=""),"",ROW()-6)</f>
      </c>
      <c r="B609" s="140" t="n"/>
      <c r="C609" s="141" t="n"/>
      <c r="D609" s="141" t="n"/>
      <c r="E609" s="142" t="n"/>
      <c r="F609" s="143" t="n"/>
      <c r="G609" s="144" t="n"/>
      <c r="H609" s="145">
        <f>IF(OR(C609="",AND(F609="",G609="")),"",SUMIF(基础资料!$W$5:$W$24,C609,基础资料!$X$5:$X$24)+SUMIF(C$7:C609,C609,F$7:F609)-SUMIF(C$7:C609,C609,G$7:G609))</f>
      </c>
      <c r="I609" s="145">
        <f>IF(AND(F609="",G609=""),"",SUM(基础资料!$X$5:$X$24)+SUM(F$7:F609)-SUM(G$7:G609))</f>
      </c>
      <c r="J609" s="141" t="n"/>
      <c r="K609" s="141" t="n"/>
      <c r="L609" s="141" t="n"/>
      <c r="M609" s="142" t="n"/>
      <c r="N609" s="146">
        <f>IF(AND(AND(F609="",G609=""),B609="",C609="",D609="",J609="",K609="",L609=""),"",IF(AND(F609="",G609=""),"✗ 没填金额",IF(AND(N(F609)&lt;&gt;0,N(G609)&lt;&gt;0),"✗ 收入、支出只能填一边",IF(NOT(ISNUMBER(B609)),"✗ 日期不是真日期（要像 2026/9/25 这样填）",IF(OR(B609&lt;年初日,B609&gt;年末日),"✗ 日期不在本会计年度",IF(C609="","✗ 没选账户",IF(COUNTIF(基础资料!$W$5:$W$24,C609)=0,"✗ 账户不在基础资料里",IF(O609="","✗ 没选收支项目",IF(P609="未知","✗ 收支项目不在基础资料里",IF(AND(P609="应收",J609=""),"✗ 这笔要选客户",IF(AND(P609="应收",COUNTIF(总览汇总!$B$5:$B$304,J609)=0),"✗ 客户不在总览汇总名单里",IF(AND(P609="应付",K609=""),"✗ 这笔要选供应商",IF(AND(P609="应付",COUNTIF(基础资料!$Q$5:$Q$54,K609)=0),"✗ 供应商不在基础资料里",IF(AND(P609="费用",L609=""),"✗ 费用支出要选费用项目",IF(AND(L609&lt;&gt;"",COUNTIF(基础资料!$AI$5:$AI$54,L609)=0),"✗ 费用项目不在基础资料里",IF(AND(IFERROR(INDEX(基础资料!$AD$5:$AD$34,MATCH(O609,基础资料!$AC$5:$AC$34,0)),"")="收",N(G609)&lt;&gt;0),"✗ 这类是收款，金额填到收入列",IF(AND(IFERROR(INDEX(基础资料!$AD$5:$AD$34,MATCH(O609,基础资料!$AC$5:$AC$34,0)),"")="支",N(F609)&lt;&gt;0),"✗ 这类是付款，金额填到支出列",IF(N(H609)&lt;0,"⚠ 账户余额成负数了，核对一下","√"))))))))))))))))))</f>
      </c>
      <c r="O609" s="78">
        <f>IF(D609&lt;&gt;"",D609,IF(AND(F609="",G609=""),"",IF(J609&lt;&gt;"",IF(N(F609)&gt;0,"客户回款","客户退款"),IF(K609&lt;&gt;"",IF(N(G609)&gt;0,"供应商付款","供应商退款"),IF(L609&lt;&gt;"","费用支出","")))))</f>
      </c>
      <c r="P609" s="78">
        <f>IF(O609="","",IFERROR(INDEX(基础资料!$AE$5:$AE$34,MATCH(O609,基础资料!$AC$5:$AC$34,0)),"未知"))</f>
      </c>
      <c r="Q609" s="78">
        <f>IF(P609="应收",COUNTIF(P$7:P609,"应收"),"")</f>
      </c>
      <c r="R609" s="78">
        <f>IF(P609="应付",COUNTIF(P$7:P609,"应付"),"")</f>
      </c>
      <c r="S609" s="78">
        <f>N(F609)-N(G609)</f>
        <v>0</v>
      </c>
    </row>
    <row r="610">
      <c r="A610" s="109">
        <f>IF(AND(F610="",G610=""),"",ROW()-6)</f>
      </c>
      <c r="B610" s="140" t="n"/>
      <c r="C610" s="141" t="n"/>
      <c r="D610" s="141" t="n"/>
      <c r="E610" s="142" t="n"/>
      <c r="F610" s="143" t="n"/>
      <c r="G610" s="144" t="n"/>
      <c r="H610" s="145">
        <f>IF(OR(C610="",AND(F610="",G610="")),"",SUMIF(基础资料!$W$5:$W$24,C610,基础资料!$X$5:$X$24)+SUMIF(C$7:C610,C610,F$7:F610)-SUMIF(C$7:C610,C610,G$7:G610))</f>
      </c>
      <c r="I610" s="145">
        <f>IF(AND(F610="",G610=""),"",SUM(基础资料!$X$5:$X$24)+SUM(F$7:F610)-SUM(G$7:G610))</f>
      </c>
      <c r="J610" s="141" t="n"/>
      <c r="K610" s="141" t="n"/>
      <c r="L610" s="141" t="n"/>
      <c r="M610" s="142" t="n"/>
      <c r="N610" s="146">
        <f>IF(AND(AND(F610="",G610=""),B610="",C610="",D610="",J610="",K610="",L610=""),"",IF(AND(F610="",G610=""),"✗ 没填金额",IF(AND(N(F610)&lt;&gt;0,N(G610)&lt;&gt;0),"✗ 收入、支出只能填一边",IF(NOT(ISNUMBER(B610)),"✗ 日期不是真日期（要像 2026/9/25 这样填）",IF(OR(B610&lt;年初日,B610&gt;年末日),"✗ 日期不在本会计年度",IF(C610="","✗ 没选账户",IF(COUNTIF(基础资料!$W$5:$W$24,C610)=0,"✗ 账户不在基础资料里",IF(O610="","✗ 没选收支项目",IF(P610="未知","✗ 收支项目不在基础资料里",IF(AND(P610="应收",J610=""),"✗ 这笔要选客户",IF(AND(P610="应收",COUNTIF(总览汇总!$B$5:$B$304,J610)=0),"✗ 客户不在总览汇总名单里",IF(AND(P610="应付",K610=""),"✗ 这笔要选供应商",IF(AND(P610="应付",COUNTIF(基础资料!$Q$5:$Q$54,K610)=0),"✗ 供应商不在基础资料里",IF(AND(P610="费用",L610=""),"✗ 费用支出要选费用项目",IF(AND(L610&lt;&gt;"",COUNTIF(基础资料!$AI$5:$AI$54,L610)=0),"✗ 费用项目不在基础资料里",IF(AND(IFERROR(INDEX(基础资料!$AD$5:$AD$34,MATCH(O610,基础资料!$AC$5:$AC$34,0)),"")="收",N(G610)&lt;&gt;0),"✗ 这类是收款，金额填到收入列",IF(AND(IFERROR(INDEX(基础资料!$AD$5:$AD$34,MATCH(O610,基础资料!$AC$5:$AC$34,0)),"")="支",N(F610)&lt;&gt;0),"✗ 这类是付款，金额填到支出列",IF(N(H610)&lt;0,"⚠ 账户余额成负数了，核对一下","√"))))))))))))))))))</f>
      </c>
      <c r="O610" s="78">
        <f>IF(D610&lt;&gt;"",D610,IF(AND(F610="",G610=""),"",IF(J610&lt;&gt;"",IF(N(F610)&gt;0,"客户回款","客户退款"),IF(K610&lt;&gt;"",IF(N(G610)&gt;0,"供应商付款","供应商退款"),IF(L610&lt;&gt;"","费用支出","")))))</f>
      </c>
      <c r="P610" s="78">
        <f>IF(O610="","",IFERROR(INDEX(基础资料!$AE$5:$AE$34,MATCH(O610,基础资料!$AC$5:$AC$34,0)),"未知"))</f>
      </c>
      <c r="Q610" s="78">
        <f>IF(P610="应收",COUNTIF(P$7:P610,"应收"),"")</f>
      </c>
      <c r="R610" s="78">
        <f>IF(P610="应付",COUNTIF(P$7:P610,"应付"),"")</f>
      </c>
      <c r="S610" s="78">
        <f>N(F610)-N(G610)</f>
        <v>0</v>
      </c>
    </row>
    <row r="611">
      <c r="A611" s="109">
        <f>IF(AND(F611="",G611=""),"",ROW()-6)</f>
      </c>
      <c r="B611" s="140" t="n"/>
      <c r="C611" s="141" t="n"/>
      <c r="D611" s="141" t="n"/>
      <c r="E611" s="142" t="n"/>
      <c r="F611" s="143" t="n"/>
      <c r="G611" s="144" t="n"/>
      <c r="H611" s="145">
        <f>IF(OR(C611="",AND(F611="",G611="")),"",SUMIF(基础资料!$W$5:$W$24,C611,基础资料!$X$5:$X$24)+SUMIF(C$7:C611,C611,F$7:F611)-SUMIF(C$7:C611,C611,G$7:G611))</f>
      </c>
      <c r="I611" s="145">
        <f>IF(AND(F611="",G611=""),"",SUM(基础资料!$X$5:$X$24)+SUM(F$7:F611)-SUM(G$7:G611))</f>
      </c>
      <c r="J611" s="141" t="n"/>
      <c r="K611" s="141" t="n"/>
      <c r="L611" s="141" t="n"/>
      <c r="M611" s="142" t="n"/>
      <c r="N611" s="146">
        <f>IF(AND(AND(F611="",G611=""),B611="",C611="",D611="",J611="",K611="",L611=""),"",IF(AND(F611="",G611=""),"✗ 没填金额",IF(AND(N(F611)&lt;&gt;0,N(G611)&lt;&gt;0),"✗ 收入、支出只能填一边",IF(NOT(ISNUMBER(B611)),"✗ 日期不是真日期（要像 2026/9/25 这样填）",IF(OR(B611&lt;年初日,B611&gt;年末日),"✗ 日期不在本会计年度",IF(C611="","✗ 没选账户",IF(COUNTIF(基础资料!$W$5:$W$24,C611)=0,"✗ 账户不在基础资料里",IF(O611="","✗ 没选收支项目",IF(P611="未知","✗ 收支项目不在基础资料里",IF(AND(P611="应收",J611=""),"✗ 这笔要选客户",IF(AND(P611="应收",COUNTIF(总览汇总!$B$5:$B$304,J611)=0),"✗ 客户不在总览汇总名单里",IF(AND(P611="应付",K611=""),"✗ 这笔要选供应商",IF(AND(P611="应付",COUNTIF(基础资料!$Q$5:$Q$54,K611)=0),"✗ 供应商不在基础资料里",IF(AND(P611="费用",L611=""),"✗ 费用支出要选费用项目",IF(AND(L611&lt;&gt;"",COUNTIF(基础资料!$AI$5:$AI$54,L611)=0),"✗ 费用项目不在基础资料里",IF(AND(IFERROR(INDEX(基础资料!$AD$5:$AD$34,MATCH(O611,基础资料!$AC$5:$AC$34,0)),"")="收",N(G611)&lt;&gt;0),"✗ 这类是收款，金额填到收入列",IF(AND(IFERROR(INDEX(基础资料!$AD$5:$AD$34,MATCH(O611,基础资料!$AC$5:$AC$34,0)),"")="支",N(F611)&lt;&gt;0),"✗ 这类是付款，金额填到支出列",IF(N(H611)&lt;0,"⚠ 账户余额成负数了，核对一下","√"))))))))))))))))))</f>
      </c>
      <c r="O611" s="78">
        <f>IF(D611&lt;&gt;"",D611,IF(AND(F611="",G611=""),"",IF(J611&lt;&gt;"",IF(N(F611)&gt;0,"客户回款","客户退款"),IF(K611&lt;&gt;"",IF(N(G611)&gt;0,"供应商付款","供应商退款"),IF(L611&lt;&gt;"","费用支出","")))))</f>
      </c>
      <c r="P611" s="78">
        <f>IF(O611="","",IFERROR(INDEX(基础资料!$AE$5:$AE$34,MATCH(O611,基础资料!$AC$5:$AC$34,0)),"未知"))</f>
      </c>
      <c r="Q611" s="78">
        <f>IF(P611="应收",COUNTIF(P$7:P611,"应收"),"")</f>
      </c>
      <c r="R611" s="78">
        <f>IF(P611="应付",COUNTIF(P$7:P611,"应付"),"")</f>
      </c>
      <c r="S611" s="78">
        <f>N(F611)-N(G611)</f>
        <v>0</v>
      </c>
    </row>
    <row r="612">
      <c r="A612" s="109">
        <f>IF(AND(F612="",G612=""),"",ROW()-6)</f>
      </c>
      <c r="B612" s="140" t="n"/>
      <c r="C612" s="141" t="n"/>
      <c r="D612" s="141" t="n"/>
      <c r="E612" s="142" t="n"/>
      <c r="F612" s="143" t="n"/>
      <c r="G612" s="144" t="n"/>
      <c r="H612" s="145">
        <f>IF(OR(C612="",AND(F612="",G612="")),"",SUMIF(基础资料!$W$5:$W$24,C612,基础资料!$X$5:$X$24)+SUMIF(C$7:C612,C612,F$7:F612)-SUMIF(C$7:C612,C612,G$7:G612))</f>
      </c>
      <c r="I612" s="145">
        <f>IF(AND(F612="",G612=""),"",SUM(基础资料!$X$5:$X$24)+SUM(F$7:F612)-SUM(G$7:G612))</f>
      </c>
      <c r="J612" s="141" t="n"/>
      <c r="K612" s="141" t="n"/>
      <c r="L612" s="141" t="n"/>
      <c r="M612" s="142" t="n"/>
      <c r="N612" s="146">
        <f>IF(AND(AND(F612="",G612=""),B612="",C612="",D612="",J612="",K612="",L612=""),"",IF(AND(F612="",G612=""),"✗ 没填金额",IF(AND(N(F612)&lt;&gt;0,N(G612)&lt;&gt;0),"✗ 收入、支出只能填一边",IF(NOT(ISNUMBER(B612)),"✗ 日期不是真日期（要像 2026/9/25 这样填）",IF(OR(B612&lt;年初日,B612&gt;年末日),"✗ 日期不在本会计年度",IF(C612="","✗ 没选账户",IF(COUNTIF(基础资料!$W$5:$W$24,C612)=0,"✗ 账户不在基础资料里",IF(O612="","✗ 没选收支项目",IF(P612="未知","✗ 收支项目不在基础资料里",IF(AND(P612="应收",J612=""),"✗ 这笔要选客户",IF(AND(P612="应收",COUNTIF(总览汇总!$B$5:$B$304,J612)=0),"✗ 客户不在总览汇总名单里",IF(AND(P612="应付",K612=""),"✗ 这笔要选供应商",IF(AND(P612="应付",COUNTIF(基础资料!$Q$5:$Q$54,K612)=0),"✗ 供应商不在基础资料里",IF(AND(P612="费用",L612=""),"✗ 费用支出要选费用项目",IF(AND(L612&lt;&gt;"",COUNTIF(基础资料!$AI$5:$AI$54,L612)=0),"✗ 费用项目不在基础资料里",IF(AND(IFERROR(INDEX(基础资料!$AD$5:$AD$34,MATCH(O612,基础资料!$AC$5:$AC$34,0)),"")="收",N(G612)&lt;&gt;0),"✗ 这类是收款，金额填到收入列",IF(AND(IFERROR(INDEX(基础资料!$AD$5:$AD$34,MATCH(O612,基础资料!$AC$5:$AC$34,0)),"")="支",N(F612)&lt;&gt;0),"✗ 这类是付款，金额填到支出列",IF(N(H612)&lt;0,"⚠ 账户余额成负数了，核对一下","√"))))))))))))))))))</f>
      </c>
      <c r="O612" s="78">
        <f>IF(D612&lt;&gt;"",D612,IF(AND(F612="",G612=""),"",IF(J612&lt;&gt;"",IF(N(F612)&gt;0,"客户回款","客户退款"),IF(K612&lt;&gt;"",IF(N(G612)&gt;0,"供应商付款","供应商退款"),IF(L612&lt;&gt;"","费用支出","")))))</f>
      </c>
      <c r="P612" s="78">
        <f>IF(O612="","",IFERROR(INDEX(基础资料!$AE$5:$AE$34,MATCH(O612,基础资料!$AC$5:$AC$34,0)),"未知"))</f>
      </c>
      <c r="Q612" s="78">
        <f>IF(P612="应收",COUNTIF(P$7:P612,"应收"),"")</f>
      </c>
      <c r="R612" s="78">
        <f>IF(P612="应付",COUNTIF(P$7:P612,"应付"),"")</f>
      </c>
      <c r="S612" s="78">
        <f>N(F612)-N(G612)</f>
        <v>0</v>
      </c>
    </row>
    <row r="613">
      <c r="A613" s="109">
        <f>IF(AND(F613="",G613=""),"",ROW()-6)</f>
      </c>
      <c r="B613" s="140" t="n"/>
      <c r="C613" s="141" t="n"/>
      <c r="D613" s="141" t="n"/>
      <c r="E613" s="142" t="n"/>
      <c r="F613" s="143" t="n"/>
      <c r="G613" s="144" t="n"/>
      <c r="H613" s="145">
        <f>IF(OR(C613="",AND(F613="",G613="")),"",SUMIF(基础资料!$W$5:$W$24,C613,基础资料!$X$5:$X$24)+SUMIF(C$7:C613,C613,F$7:F613)-SUMIF(C$7:C613,C613,G$7:G613))</f>
      </c>
      <c r="I613" s="145">
        <f>IF(AND(F613="",G613=""),"",SUM(基础资料!$X$5:$X$24)+SUM(F$7:F613)-SUM(G$7:G613))</f>
      </c>
      <c r="J613" s="141" t="n"/>
      <c r="K613" s="141" t="n"/>
      <c r="L613" s="141" t="n"/>
      <c r="M613" s="142" t="n"/>
      <c r="N613" s="146">
        <f>IF(AND(AND(F613="",G613=""),B613="",C613="",D613="",J613="",K613="",L613=""),"",IF(AND(F613="",G613=""),"✗ 没填金额",IF(AND(N(F613)&lt;&gt;0,N(G613)&lt;&gt;0),"✗ 收入、支出只能填一边",IF(NOT(ISNUMBER(B613)),"✗ 日期不是真日期（要像 2026/9/25 这样填）",IF(OR(B613&lt;年初日,B613&gt;年末日),"✗ 日期不在本会计年度",IF(C613="","✗ 没选账户",IF(COUNTIF(基础资料!$W$5:$W$24,C613)=0,"✗ 账户不在基础资料里",IF(O613="","✗ 没选收支项目",IF(P613="未知","✗ 收支项目不在基础资料里",IF(AND(P613="应收",J613=""),"✗ 这笔要选客户",IF(AND(P613="应收",COUNTIF(总览汇总!$B$5:$B$304,J613)=0),"✗ 客户不在总览汇总名单里",IF(AND(P613="应付",K613=""),"✗ 这笔要选供应商",IF(AND(P613="应付",COUNTIF(基础资料!$Q$5:$Q$54,K613)=0),"✗ 供应商不在基础资料里",IF(AND(P613="费用",L613=""),"✗ 费用支出要选费用项目",IF(AND(L613&lt;&gt;"",COUNTIF(基础资料!$AI$5:$AI$54,L613)=0),"✗ 费用项目不在基础资料里",IF(AND(IFERROR(INDEX(基础资料!$AD$5:$AD$34,MATCH(O613,基础资料!$AC$5:$AC$34,0)),"")="收",N(G613)&lt;&gt;0),"✗ 这类是收款，金额填到收入列",IF(AND(IFERROR(INDEX(基础资料!$AD$5:$AD$34,MATCH(O613,基础资料!$AC$5:$AC$34,0)),"")="支",N(F613)&lt;&gt;0),"✗ 这类是付款，金额填到支出列",IF(N(H613)&lt;0,"⚠ 账户余额成负数了，核对一下","√"))))))))))))))))))</f>
      </c>
      <c r="O613" s="78">
        <f>IF(D613&lt;&gt;"",D613,IF(AND(F613="",G613=""),"",IF(J613&lt;&gt;"",IF(N(F613)&gt;0,"客户回款","客户退款"),IF(K613&lt;&gt;"",IF(N(G613)&gt;0,"供应商付款","供应商退款"),IF(L613&lt;&gt;"","费用支出","")))))</f>
      </c>
      <c r="P613" s="78">
        <f>IF(O613="","",IFERROR(INDEX(基础资料!$AE$5:$AE$34,MATCH(O613,基础资料!$AC$5:$AC$34,0)),"未知"))</f>
      </c>
      <c r="Q613" s="78">
        <f>IF(P613="应收",COUNTIF(P$7:P613,"应收"),"")</f>
      </c>
      <c r="R613" s="78">
        <f>IF(P613="应付",COUNTIF(P$7:P613,"应付"),"")</f>
      </c>
      <c r="S613" s="78">
        <f>N(F613)-N(G613)</f>
        <v>0</v>
      </c>
    </row>
    <row r="614">
      <c r="A614" s="109">
        <f>IF(AND(F614="",G614=""),"",ROW()-6)</f>
      </c>
      <c r="B614" s="140" t="n"/>
      <c r="C614" s="141" t="n"/>
      <c r="D614" s="141" t="n"/>
      <c r="E614" s="142" t="n"/>
      <c r="F614" s="143" t="n"/>
      <c r="G614" s="144" t="n"/>
      <c r="H614" s="145">
        <f>IF(OR(C614="",AND(F614="",G614="")),"",SUMIF(基础资料!$W$5:$W$24,C614,基础资料!$X$5:$X$24)+SUMIF(C$7:C614,C614,F$7:F614)-SUMIF(C$7:C614,C614,G$7:G614))</f>
      </c>
      <c r="I614" s="145">
        <f>IF(AND(F614="",G614=""),"",SUM(基础资料!$X$5:$X$24)+SUM(F$7:F614)-SUM(G$7:G614))</f>
      </c>
      <c r="J614" s="141" t="n"/>
      <c r="K614" s="141" t="n"/>
      <c r="L614" s="141" t="n"/>
      <c r="M614" s="142" t="n"/>
      <c r="N614" s="146">
        <f>IF(AND(AND(F614="",G614=""),B614="",C614="",D614="",J614="",K614="",L614=""),"",IF(AND(F614="",G614=""),"✗ 没填金额",IF(AND(N(F614)&lt;&gt;0,N(G614)&lt;&gt;0),"✗ 收入、支出只能填一边",IF(NOT(ISNUMBER(B614)),"✗ 日期不是真日期（要像 2026/9/25 这样填）",IF(OR(B614&lt;年初日,B614&gt;年末日),"✗ 日期不在本会计年度",IF(C614="","✗ 没选账户",IF(COUNTIF(基础资料!$W$5:$W$24,C614)=0,"✗ 账户不在基础资料里",IF(O614="","✗ 没选收支项目",IF(P614="未知","✗ 收支项目不在基础资料里",IF(AND(P614="应收",J614=""),"✗ 这笔要选客户",IF(AND(P614="应收",COUNTIF(总览汇总!$B$5:$B$304,J614)=0),"✗ 客户不在总览汇总名单里",IF(AND(P614="应付",K614=""),"✗ 这笔要选供应商",IF(AND(P614="应付",COUNTIF(基础资料!$Q$5:$Q$54,K614)=0),"✗ 供应商不在基础资料里",IF(AND(P614="费用",L614=""),"✗ 费用支出要选费用项目",IF(AND(L614&lt;&gt;"",COUNTIF(基础资料!$AI$5:$AI$54,L614)=0),"✗ 费用项目不在基础资料里",IF(AND(IFERROR(INDEX(基础资料!$AD$5:$AD$34,MATCH(O614,基础资料!$AC$5:$AC$34,0)),"")="收",N(G614)&lt;&gt;0),"✗ 这类是收款，金额填到收入列",IF(AND(IFERROR(INDEX(基础资料!$AD$5:$AD$34,MATCH(O614,基础资料!$AC$5:$AC$34,0)),"")="支",N(F614)&lt;&gt;0),"✗ 这类是付款，金额填到支出列",IF(N(H614)&lt;0,"⚠ 账户余额成负数了，核对一下","√"))))))))))))))))))</f>
      </c>
      <c r="O614" s="78">
        <f>IF(D614&lt;&gt;"",D614,IF(AND(F614="",G614=""),"",IF(J614&lt;&gt;"",IF(N(F614)&gt;0,"客户回款","客户退款"),IF(K614&lt;&gt;"",IF(N(G614)&gt;0,"供应商付款","供应商退款"),IF(L614&lt;&gt;"","费用支出","")))))</f>
      </c>
      <c r="P614" s="78">
        <f>IF(O614="","",IFERROR(INDEX(基础资料!$AE$5:$AE$34,MATCH(O614,基础资料!$AC$5:$AC$34,0)),"未知"))</f>
      </c>
      <c r="Q614" s="78">
        <f>IF(P614="应收",COUNTIF(P$7:P614,"应收"),"")</f>
      </c>
      <c r="R614" s="78">
        <f>IF(P614="应付",COUNTIF(P$7:P614,"应付"),"")</f>
      </c>
      <c r="S614" s="78">
        <f>N(F614)-N(G614)</f>
        <v>0</v>
      </c>
    </row>
    <row r="615">
      <c r="A615" s="109">
        <f>IF(AND(F615="",G615=""),"",ROW()-6)</f>
      </c>
      <c r="B615" s="140" t="n"/>
      <c r="C615" s="141" t="n"/>
      <c r="D615" s="141" t="n"/>
      <c r="E615" s="142" t="n"/>
      <c r="F615" s="143" t="n"/>
      <c r="G615" s="144" t="n"/>
      <c r="H615" s="145">
        <f>IF(OR(C615="",AND(F615="",G615="")),"",SUMIF(基础资料!$W$5:$W$24,C615,基础资料!$X$5:$X$24)+SUMIF(C$7:C615,C615,F$7:F615)-SUMIF(C$7:C615,C615,G$7:G615))</f>
      </c>
      <c r="I615" s="145">
        <f>IF(AND(F615="",G615=""),"",SUM(基础资料!$X$5:$X$24)+SUM(F$7:F615)-SUM(G$7:G615))</f>
      </c>
      <c r="J615" s="141" t="n"/>
      <c r="K615" s="141" t="n"/>
      <c r="L615" s="141" t="n"/>
      <c r="M615" s="142" t="n"/>
      <c r="N615" s="146">
        <f>IF(AND(AND(F615="",G615=""),B615="",C615="",D615="",J615="",K615="",L615=""),"",IF(AND(F615="",G615=""),"✗ 没填金额",IF(AND(N(F615)&lt;&gt;0,N(G615)&lt;&gt;0),"✗ 收入、支出只能填一边",IF(NOT(ISNUMBER(B615)),"✗ 日期不是真日期（要像 2026/9/25 这样填）",IF(OR(B615&lt;年初日,B615&gt;年末日),"✗ 日期不在本会计年度",IF(C615="","✗ 没选账户",IF(COUNTIF(基础资料!$W$5:$W$24,C615)=0,"✗ 账户不在基础资料里",IF(O615="","✗ 没选收支项目",IF(P615="未知","✗ 收支项目不在基础资料里",IF(AND(P615="应收",J615=""),"✗ 这笔要选客户",IF(AND(P615="应收",COUNTIF(总览汇总!$B$5:$B$304,J615)=0),"✗ 客户不在总览汇总名单里",IF(AND(P615="应付",K615=""),"✗ 这笔要选供应商",IF(AND(P615="应付",COUNTIF(基础资料!$Q$5:$Q$54,K615)=0),"✗ 供应商不在基础资料里",IF(AND(P615="费用",L615=""),"✗ 费用支出要选费用项目",IF(AND(L615&lt;&gt;"",COUNTIF(基础资料!$AI$5:$AI$54,L615)=0),"✗ 费用项目不在基础资料里",IF(AND(IFERROR(INDEX(基础资料!$AD$5:$AD$34,MATCH(O615,基础资料!$AC$5:$AC$34,0)),"")="收",N(G615)&lt;&gt;0),"✗ 这类是收款，金额填到收入列",IF(AND(IFERROR(INDEX(基础资料!$AD$5:$AD$34,MATCH(O615,基础资料!$AC$5:$AC$34,0)),"")="支",N(F615)&lt;&gt;0),"✗ 这类是付款，金额填到支出列",IF(N(H615)&lt;0,"⚠ 账户余额成负数了，核对一下","√"))))))))))))))))))</f>
      </c>
      <c r="O615" s="78">
        <f>IF(D615&lt;&gt;"",D615,IF(AND(F615="",G615=""),"",IF(J615&lt;&gt;"",IF(N(F615)&gt;0,"客户回款","客户退款"),IF(K615&lt;&gt;"",IF(N(G615)&gt;0,"供应商付款","供应商退款"),IF(L615&lt;&gt;"","费用支出","")))))</f>
      </c>
      <c r="P615" s="78">
        <f>IF(O615="","",IFERROR(INDEX(基础资料!$AE$5:$AE$34,MATCH(O615,基础资料!$AC$5:$AC$34,0)),"未知"))</f>
      </c>
      <c r="Q615" s="78">
        <f>IF(P615="应收",COUNTIF(P$7:P615,"应收"),"")</f>
      </c>
      <c r="R615" s="78">
        <f>IF(P615="应付",COUNTIF(P$7:P615,"应付"),"")</f>
      </c>
      <c r="S615" s="78">
        <f>N(F615)-N(G615)</f>
        <v>0</v>
      </c>
    </row>
    <row r="616">
      <c r="A616" s="109">
        <f>IF(AND(F616="",G616=""),"",ROW()-6)</f>
      </c>
      <c r="B616" s="140" t="n"/>
      <c r="C616" s="141" t="n"/>
      <c r="D616" s="141" t="n"/>
      <c r="E616" s="142" t="n"/>
      <c r="F616" s="143" t="n"/>
      <c r="G616" s="144" t="n"/>
      <c r="H616" s="145">
        <f>IF(OR(C616="",AND(F616="",G616="")),"",SUMIF(基础资料!$W$5:$W$24,C616,基础资料!$X$5:$X$24)+SUMIF(C$7:C616,C616,F$7:F616)-SUMIF(C$7:C616,C616,G$7:G616))</f>
      </c>
      <c r="I616" s="145">
        <f>IF(AND(F616="",G616=""),"",SUM(基础资料!$X$5:$X$24)+SUM(F$7:F616)-SUM(G$7:G616))</f>
      </c>
      <c r="J616" s="141" t="n"/>
      <c r="K616" s="141" t="n"/>
      <c r="L616" s="141" t="n"/>
      <c r="M616" s="142" t="n"/>
      <c r="N616" s="146">
        <f>IF(AND(AND(F616="",G616=""),B616="",C616="",D616="",J616="",K616="",L616=""),"",IF(AND(F616="",G616=""),"✗ 没填金额",IF(AND(N(F616)&lt;&gt;0,N(G616)&lt;&gt;0),"✗ 收入、支出只能填一边",IF(NOT(ISNUMBER(B616)),"✗ 日期不是真日期（要像 2026/9/25 这样填）",IF(OR(B616&lt;年初日,B616&gt;年末日),"✗ 日期不在本会计年度",IF(C616="","✗ 没选账户",IF(COUNTIF(基础资料!$W$5:$W$24,C616)=0,"✗ 账户不在基础资料里",IF(O616="","✗ 没选收支项目",IF(P616="未知","✗ 收支项目不在基础资料里",IF(AND(P616="应收",J616=""),"✗ 这笔要选客户",IF(AND(P616="应收",COUNTIF(总览汇总!$B$5:$B$304,J616)=0),"✗ 客户不在总览汇总名单里",IF(AND(P616="应付",K616=""),"✗ 这笔要选供应商",IF(AND(P616="应付",COUNTIF(基础资料!$Q$5:$Q$54,K616)=0),"✗ 供应商不在基础资料里",IF(AND(P616="费用",L616=""),"✗ 费用支出要选费用项目",IF(AND(L616&lt;&gt;"",COUNTIF(基础资料!$AI$5:$AI$54,L616)=0),"✗ 费用项目不在基础资料里",IF(AND(IFERROR(INDEX(基础资料!$AD$5:$AD$34,MATCH(O616,基础资料!$AC$5:$AC$34,0)),"")="收",N(G616)&lt;&gt;0),"✗ 这类是收款，金额填到收入列",IF(AND(IFERROR(INDEX(基础资料!$AD$5:$AD$34,MATCH(O616,基础资料!$AC$5:$AC$34,0)),"")="支",N(F616)&lt;&gt;0),"✗ 这类是付款，金额填到支出列",IF(N(H616)&lt;0,"⚠ 账户余额成负数了，核对一下","√"))))))))))))))))))</f>
      </c>
      <c r="O616" s="78">
        <f>IF(D616&lt;&gt;"",D616,IF(AND(F616="",G616=""),"",IF(J616&lt;&gt;"",IF(N(F616)&gt;0,"客户回款","客户退款"),IF(K616&lt;&gt;"",IF(N(G616)&gt;0,"供应商付款","供应商退款"),IF(L616&lt;&gt;"","费用支出","")))))</f>
      </c>
      <c r="P616" s="78">
        <f>IF(O616="","",IFERROR(INDEX(基础资料!$AE$5:$AE$34,MATCH(O616,基础资料!$AC$5:$AC$34,0)),"未知"))</f>
      </c>
      <c r="Q616" s="78">
        <f>IF(P616="应收",COUNTIF(P$7:P616,"应收"),"")</f>
      </c>
      <c r="R616" s="78">
        <f>IF(P616="应付",COUNTIF(P$7:P616,"应付"),"")</f>
      </c>
      <c r="S616" s="78">
        <f>N(F616)-N(G616)</f>
        <v>0</v>
      </c>
    </row>
    <row r="617">
      <c r="A617" s="109">
        <f>IF(AND(F617="",G617=""),"",ROW()-6)</f>
      </c>
      <c r="B617" s="140" t="n"/>
      <c r="C617" s="141" t="n"/>
      <c r="D617" s="141" t="n"/>
      <c r="E617" s="142" t="n"/>
      <c r="F617" s="143" t="n"/>
      <c r="G617" s="144" t="n"/>
      <c r="H617" s="145">
        <f>IF(OR(C617="",AND(F617="",G617="")),"",SUMIF(基础资料!$W$5:$W$24,C617,基础资料!$X$5:$X$24)+SUMIF(C$7:C617,C617,F$7:F617)-SUMIF(C$7:C617,C617,G$7:G617))</f>
      </c>
      <c r="I617" s="145">
        <f>IF(AND(F617="",G617=""),"",SUM(基础资料!$X$5:$X$24)+SUM(F$7:F617)-SUM(G$7:G617))</f>
      </c>
      <c r="J617" s="141" t="n"/>
      <c r="K617" s="141" t="n"/>
      <c r="L617" s="141" t="n"/>
      <c r="M617" s="142" t="n"/>
      <c r="N617" s="146">
        <f>IF(AND(AND(F617="",G617=""),B617="",C617="",D617="",J617="",K617="",L617=""),"",IF(AND(F617="",G617=""),"✗ 没填金额",IF(AND(N(F617)&lt;&gt;0,N(G617)&lt;&gt;0),"✗ 收入、支出只能填一边",IF(NOT(ISNUMBER(B617)),"✗ 日期不是真日期（要像 2026/9/25 这样填）",IF(OR(B617&lt;年初日,B617&gt;年末日),"✗ 日期不在本会计年度",IF(C617="","✗ 没选账户",IF(COUNTIF(基础资料!$W$5:$W$24,C617)=0,"✗ 账户不在基础资料里",IF(O617="","✗ 没选收支项目",IF(P617="未知","✗ 收支项目不在基础资料里",IF(AND(P617="应收",J617=""),"✗ 这笔要选客户",IF(AND(P617="应收",COUNTIF(总览汇总!$B$5:$B$304,J617)=0),"✗ 客户不在总览汇总名单里",IF(AND(P617="应付",K617=""),"✗ 这笔要选供应商",IF(AND(P617="应付",COUNTIF(基础资料!$Q$5:$Q$54,K617)=0),"✗ 供应商不在基础资料里",IF(AND(P617="费用",L617=""),"✗ 费用支出要选费用项目",IF(AND(L617&lt;&gt;"",COUNTIF(基础资料!$AI$5:$AI$54,L617)=0),"✗ 费用项目不在基础资料里",IF(AND(IFERROR(INDEX(基础资料!$AD$5:$AD$34,MATCH(O617,基础资料!$AC$5:$AC$34,0)),"")="收",N(G617)&lt;&gt;0),"✗ 这类是收款，金额填到收入列",IF(AND(IFERROR(INDEX(基础资料!$AD$5:$AD$34,MATCH(O617,基础资料!$AC$5:$AC$34,0)),"")="支",N(F617)&lt;&gt;0),"✗ 这类是付款，金额填到支出列",IF(N(H617)&lt;0,"⚠ 账户余额成负数了，核对一下","√"))))))))))))))))))</f>
      </c>
      <c r="O617" s="78">
        <f>IF(D617&lt;&gt;"",D617,IF(AND(F617="",G617=""),"",IF(J617&lt;&gt;"",IF(N(F617)&gt;0,"客户回款","客户退款"),IF(K617&lt;&gt;"",IF(N(G617)&gt;0,"供应商付款","供应商退款"),IF(L617&lt;&gt;"","费用支出","")))))</f>
      </c>
      <c r="P617" s="78">
        <f>IF(O617="","",IFERROR(INDEX(基础资料!$AE$5:$AE$34,MATCH(O617,基础资料!$AC$5:$AC$34,0)),"未知"))</f>
      </c>
      <c r="Q617" s="78">
        <f>IF(P617="应收",COUNTIF(P$7:P617,"应收"),"")</f>
      </c>
      <c r="R617" s="78">
        <f>IF(P617="应付",COUNTIF(P$7:P617,"应付"),"")</f>
      </c>
      <c r="S617" s="78">
        <f>N(F617)-N(G617)</f>
        <v>0</v>
      </c>
    </row>
    <row r="618">
      <c r="A618" s="109">
        <f>IF(AND(F618="",G618=""),"",ROW()-6)</f>
      </c>
      <c r="B618" s="140" t="n"/>
      <c r="C618" s="141" t="n"/>
      <c r="D618" s="141" t="n"/>
      <c r="E618" s="142" t="n"/>
      <c r="F618" s="143" t="n"/>
      <c r="G618" s="144" t="n"/>
      <c r="H618" s="145">
        <f>IF(OR(C618="",AND(F618="",G618="")),"",SUMIF(基础资料!$W$5:$W$24,C618,基础资料!$X$5:$X$24)+SUMIF(C$7:C618,C618,F$7:F618)-SUMIF(C$7:C618,C618,G$7:G618))</f>
      </c>
      <c r="I618" s="145">
        <f>IF(AND(F618="",G618=""),"",SUM(基础资料!$X$5:$X$24)+SUM(F$7:F618)-SUM(G$7:G618))</f>
      </c>
      <c r="J618" s="141" t="n"/>
      <c r="K618" s="141" t="n"/>
      <c r="L618" s="141" t="n"/>
      <c r="M618" s="142" t="n"/>
      <c r="N618" s="146">
        <f>IF(AND(AND(F618="",G618=""),B618="",C618="",D618="",J618="",K618="",L618=""),"",IF(AND(F618="",G618=""),"✗ 没填金额",IF(AND(N(F618)&lt;&gt;0,N(G618)&lt;&gt;0),"✗ 收入、支出只能填一边",IF(NOT(ISNUMBER(B618)),"✗ 日期不是真日期（要像 2026/9/25 这样填）",IF(OR(B618&lt;年初日,B618&gt;年末日),"✗ 日期不在本会计年度",IF(C618="","✗ 没选账户",IF(COUNTIF(基础资料!$W$5:$W$24,C618)=0,"✗ 账户不在基础资料里",IF(O618="","✗ 没选收支项目",IF(P618="未知","✗ 收支项目不在基础资料里",IF(AND(P618="应收",J618=""),"✗ 这笔要选客户",IF(AND(P618="应收",COUNTIF(总览汇总!$B$5:$B$304,J618)=0),"✗ 客户不在总览汇总名单里",IF(AND(P618="应付",K618=""),"✗ 这笔要选供应商",IF(AND(P618="应付",COUNTIF(基础资料!$Q$5:$Q$54,K618)=0),"✗ 供应商不在基础资料里",IF(AND(P618="费用",L618=""),"✗ 费用支出要选费用项目",IF(AND(L618&lt;&gt;"",COUNTIF(基础资料!$AI$5:$AI$54,L618)=0),"✗ 费用项目不在基础资料里",IF(AND(IFERROR(INDEX(基础资料!$AD$5:$AD$34,MATCH(O618,基础资料!$AC$5:$AC$34,0)),"")="收",N(G618)&lt;&gt;0),"✗ 这类是收款，金额填到收入列",IF(AND(IFERROR(INDEX(基础资料!$AD$5:$AD$34,MATCH(O618,基础资料!$AC$5:$AC$34,0)),"")="支",N(F618)&lt;&gt;0),"✗ 这类是付款，金额填到支出列",IF(N(H618)&lt;0,"⚠ 账户余额成负数了，核对一下","√"))))))))))))))))))</f>
      </c>
      <c r="O618" s="78">
        <f>IF(D618&lt;&gt;"",D618,IF(AND(F618="",G618=""),"",IF(J618&lt;&gt;"",IF(N(F618)&gt;0,"客户回款","客户退款"),IF(K618&lt;&gt;"",IF(N(G618)&gt;0,"供应商付款","供应商退款"),IF(L618&lt;&gt;"","费用支出","")))))</f>
      </c>
      <c r="P618" s="78">
        <f>IF(O618="","",IFERROR(INDEX(基础资料!$AE$5:$AE$34,MATCH(O618,基础资料!$AC$5:$AC$34,0)),"未知"))</f>
      </c>
      <c r="Q618" s="78">
        <f>IF(P618="应收",COUNTIF(P$7:P618,"应收"),"")</f>
      </c>
      <c r="R618" s="78">
        <f>IF(P618="应付",COUNTIF(P$7:P618,"应付"),"")</f>
      </c>
      <c r="S618" s="78">
        <f>N(F618)-N(G618)</f>
        <v>0</v>
      </c>
    </row>
    <row r="619">
      <c r="A619" s="109">
        <f>IF(AND(F619="",G619=""),"",ROW()-6)</f>
      </c>
      <c r="B619" s="140" t="n"/>
      <c r="C619" s="141" t="n"/>
      <c r="D619" s="141" t="n"/>
      <c r="E619" s="142" t="n"/>
      <c r="F619" s="143" t="n"/>
      <c r="G619" s="144" t="n"/>
      <c r="H619" s="145">
        <f>IF(OR(C619="",AND(F619="",G619="")),"",SUMIF(基础资料!$W$5:$W$24,C619,基础资料!$X$5:$X$24)+SUMIF(C$7:C619,C619,F$7:F619)-SUMIF(C$7:C619,C619,G$7:G619))</f>
      </c>
      <c r="I619" s="145">
        <f>IF(AND(F619="",G619=""),"",SUM(基础资料!$X$5:$X$24)+SUM(F$7:F619)-SUM(G$7:G619))</f>
      </c>
      <c r="J619" s="141" t="n"/>
      <c r="K619" s="141" t="n"/>
      <c r="L619" s="141" t="n"/>
      <c r="M619" s="142" t="n"/>
      <c r="N619" s="146">
        <f>IF(AND(AND(F619="",G619=""),B619="",C619="",D619="",J619="",K619="",L619=""),"",IF(AND(F619="",G619=""),"✗ 没填金额",IF(AND(N(F619)&lt;&gt;0,N(G619)&lt;&gt;0),"✗ 收入、支出只能填一边",IF(NOT(ISNUMBER(B619)),"✗ 日期不是真日期（要像 2026/9/25 这样填）",IF(OR(B619&lt;年初日,B619&gt;年末日),"✗ 日期不在本会计年度",IF(C619="","✗ 没选账户",IF(COUNTIF(基础资料!$W$5:$W$24,C619)=0,"✗ 账户不在基础资料里",IF(O619="","✗ 没选收支项目",IF(P619="未知","✗ 收支项目不在基础资料里",IF(AND(P619="应收",J619=""),"✗ 这笔要选客户",IF(AND(P619="应收",COUNTIF(总览汇总!$B$5:$B$304,J619)=0),"✗ 客户不在总览汇总名单里",IF(AND(P619="应付",K619=""),"✗ 这笔要选供应商",IF(AND(P619="应付",COUNTIF(基础资料!$Q$5:$Q$54,K619)=0),"✗ 供应商不在基础资料里",IF(AND(P619="费用",L619=""),"✗ 费用支出要选费用项目",IF(AND(L619&lt;&gt;"",COUNTIF(基础资料!$AI$5:$AI$54,L619)=0),"✗ 费用项目不在基础资料里",IF(AND(IFERROR(INDEX(基础资料!$AD$5:$AD$34,MATCH(O619,基础资料!$AC$5:$AC$34,0)),"")="收",N(G619)&lt;&gt;0),"✗ 这类是收款，金额填到收入列",IF(AND(IFERROR(INDEX(基础资料!$AD$5:$AD$34,MATCH(O619,基础资料!$AC$5:$AC$34,0)),"")="支",N(F619)&lt;&gt;0),"✗ 这类是付款，金额填到支出列",IF(N(H619)&lt;0,"⚠ 账户余额成负数了，核对一下","√"))))))))))))))))))</f>
      </c>
      <c r="O619" s="78">
        <f>IF(D619&lt;&gt;"",D619,IF(AND(F619="",G619=""),"",IF(J619&lt;&gt;"",IF(N(F619)&gt;0,"客户回款","客户退款"),IF(K619&lt;&gt;"",IF(N(G619)&gt;0,"供应商付款","供应商退款"),IF(L619&lt;&gt;"","费用支出","")))))</f>
      </c>
      <c r="P619" s="78">
        <f>IF(O619="","",IFERROR(INDEX(基础资料!$AE$5:$AE$34,MATCH(O619,基础资料!$AC$5:$AC$34,0)),"未知"))</f>
      </c>
      <c r="Q619" s="78">
        <f>IF(P619="应收",COUNTIF(P$7:P619,"应收"),"")</f>
      </c>
      <c r="R619" s="78">
        <f>IF(P619="应付",COUNTIF(P$7:P619,"应付"),"")</f>
      </c>
      <c r="S619" s="78">
        <f>N(F619)-N(G619)</f>
        <v>0</v>
      </c>
    </row>
    <row r="620">
      <c r="A620" s="109">
        <f>IF(AND(F620="",G620=""),"",ROW()-6)</f>
      </c>
      <c r="B620" s="140" t="n"/>
      <c r="C620" s="141" t="n"/>
      <c r="D620" s="141" t="n"/>
      <c r="E620" s="142" t="n"/>
      <c r="F620" s="143" t="n"/>
      <c r="G620" s="144" t="n"/>
      <c r="H620" s="145">
        <f>IF(OR(C620="",AND(F620="",G620="")),"",SUMIF(基础资料!$W$5:$W$24,C620,基础资料!$X$5:$X$24)+SUMIF(C$7:C620,C620,F$7:F620)-SUMIF(C$7:C620,C620,G$7:G620))</f>
      </c>
      <c r="I620" s="145">
        <f>IF(AND(F620="",G620=""),"",SUM(基础资料!$X$5:$X$24)+SUM(F$7:F620)-SUM(G$7:G620))</f>
      </c>
      <c r="J620" s="141" t="n"/>
      <c r="K620" s="141" t="n"/>
      <c r="L620" s="141" t="n"/>
      <c r="M620" s="142" t="n"/>
      <c r="N620" s="146">
        <f>IF(AND(AND(F620="",G620=""),B620="",C620="",D620="",J620="",K620="",L620=""),"",IF(AND(F620="",G620=""),"✗ 没填金额",IF(AND(N(F620)&lt;&gt;0,N(G620)&lt;&gt;0),"✗ 收入、支出只能填一边",IF(NOT(ISNUMBER(B620)),"✗ 日期不是真日期（要像 2026/9/25 这样填）",IF(OR(B620&lt;年初日,B620&gt;年末日),"✗ 日期不在本会计年度",IF(C620="","✗ 没选账户",IF(COUNTIF(基础资料!$W$5:$W$24,C620)=0,"✗ 账户不在基础资料里",IF(O620="","✗ 没选收支项目",IF(P620="未知","✗ 收支项目不在基础资料里",IF(AND(P620="应收",J620=""),"✗ 这笔要选客户",IF(AND(P620="应收",COUNTIF(总览汇总!$B$5:$B$304,J620)=0),"✗ 客户不在总览汇总名单里",IF(AND(P620="应付",K620=""),"✗ 这笔要选供应商",IF(AND(P620="应付",COUNTIF(基础资料!$Q$5:$Q$54,K620)=0),"✗ 供应商不在基础资料里",IF(AND(P620="费用",L620=""),"✗ 费用支出要选费用项目",IF(AND(L620&lt;&gt;"",COUNTIF(基础资料!$AI$5:$AI$54,L620)=0),"✗ 费用项目不在基础资料里",IF(AND(IFERROR(INDEX(基础资料!$AD$5:$AD$34,MATCH(O620,基础资料!$AC$5:$AC$34,0)),"")="收",N(G620)&lt;&gt;0),"✗ 这类是收款，金额填到收入列",IF(AND(IFERROR(INDEX(基础资料!$AD$5:$AD$34,MATCH(O620,基础资料!$AC$5:$AC$34,0)),"")="支",N(F620)&lt;&gt;0),"✗ 这类是付款，金额填到支出列",IF(N(H620)&lt;0,"⚠ 账户余额成负数了，核对一下","√"))))))))))))))))))</f>
      </c>
      <c r="O620" s="78">
        <f>IF(D620&lt;&gt;"",D620,IF(AND(F620="",G620=""),"",IF(J620&lt;&gt;"",IF(N(F620)&gt;0,"客户回款","客户退款"),IF(K620&lt;&gt;"",IF(N(G620)&gt;0,"供应商付款","供应商退款"),IF(L620&lt;&gt;"","费用支出","")))))</f>
      </c>
      <c r="P620" s="78">
        <f>IF(O620="","",IFERROR(INDEX(基础资料!$AE$5:$AE$34,MATCH(O620,基础资料!$AC$5:$AC$34,0)),"未知"))</f>
      </c>
      <c r="Q620" s="78">
        <f>IF(P620="应收",COUNTIF(P$7:P620,"应收"),"")</f>
      </c>
      <c r="R620" s="78">
        <f>IF(P620="应付",COUNTIF(P$7:P620,"应付"),"")</f>
      </c>
      <c r="S620" s="78">
        <f>N(F620)-N(G620)</f>
        <v>0</v>
      </c>
    </row>
    <row r="621">
      <c r="A621" s="109">
        <f>IF(AND(F621="",G621=""),"",ROW()-6)</f>
      </c>
      <c r="B621" s="140" t="n"/>
      <c r="C621" s="141" t="n"/>
      <c r="D621" s="141" t="n"/>
      <c r="E621" s="142" t="n"/>
      <c r="F621" s="143" t="n"/>
      <c r="G621" s="144" t="n"/>
      <c r="H621" s="145">
        <f>IF(OR(C621="",AND(F621="",G621="")),"",SUMIF(基础资料!$W$5:$W$24,C621,基础资料!$X$5:$X$24)+SUMIF(C$7:C621,C621,F$7:F621)-SUMIF(C$7:C621,C621,G$7:G621))</f>
      </c>
      <c r="I621" s="145">
        <f>IF(AND(F621="",G621=""),"",SUM(基础资料!$X$5:$X$24)+SUM(F$7:F621)-SUM(G$7:G621))</f>
      </c>
      <c r="J621" s="141" t="n"/>
      <c r="K621" s="141" t="n"/>
      <c r="L621" s="141" t="n"/>
      <c r="M621" s="142" t="n"/>
      <c r="N621" s="146">
        <f>IF(AND(AND(F621="",G621=""),B621="",C621="",D621="",J621="",K621="",L621=""),"",IF(AND(F621="",G621=""),"✗ 没填金额",IF(AND(N(F621)&lt;&gt;0,N(G621)&lt;&gt;0),"✗ 收入、支出只能填一边",IF(NOT(ISNUMBER(B621)),"✗ 日期不是真日期（要像 2026/9/25 这样填）",IF(OR(B621&lt;年初日,B621&gt;年末日),"✗ 日期不在本会计年度",IF(C621="","✗ 没选账户",IF(COUNTIF(基础资料!$W$5:$W$24,C621)=0,"✗ 账户不在基础资料里",IF(O621="","✗ 没选收支项目",IF(P621="未知","✗ 收支项目不在基础资料里",IF(AND(P621="应收",J621=""),"✗ 这笔要选客户",IF(AND(P621="应收",COUNTIF(总览汇总!$B$5:$B$304,J621)=0),"✗ 客户不在总览汇总名单里",IF(AND(P621="应付",K621=""),"✗ 这笔要选供应商",IF(AND(P621="应付",COUNTIF(基础资料!$Q$5:$Q$54,K621)=0),"✗ 供应商不在基础资料里",IF(AND(P621="费用",L621=""),"✗ 费用支出要选费用项目",IF(AND(L621&lt;&gt;"",COUNTIF(基础资料!$AI$5:$AI$54,L621)=0),"✗ 费用项目不在基础资料里",IF(AND(IFERROR(INDEX(基础资料!$AD$5:$AD$34,MATCH(O621,基础资料!$AC$5:$AC$34,0)),"")="收",N(G621)&lt;&gt;0),"✗ 这类是收款，金额填到收入列",IF(AND(IFERROR(INDEX(基础资料!$AD$5:$AD$34,MATCH(O621,基础资料!$AC$5:$AC$34,0)),"")="支",N(F621)&lt;&gt;0),"✗ 这类是付款，金额填到支出列",IF(N(H621)&lt;0,"⚠ 账户余额成负数了，核对一下","√"))))))))))))))))))</f>
      </c>
      <c r="O621" s="78">
        <f>IF(D621&lt;&gt;"",D621,IF(AND(F621="",G621=""),"",IF(J621&lt;&gt;"",IF(N(F621)&gt;0,"客户回款","客户退款"),IF(K621&lt;&gt;"",IF(N(G621)&gt;0,"供应商付款","供应商退款"),IF(L621&lt;&gt;"","费用支出","")))))</f>
      </c>
      <c r="P621" s="78">
        <f>IF(O621="","",IFERROR(INDEX(基础资料!$AE$5:$AE$34,MATCH(O621,基础资料!$AC$5:$AC$34,0)),"未知"))</f>
      </c>
      <c r="Q621" s="78">
        <f>IF(P621="应收",COUNTIF(P$7:P621,"应收"),"")</f>
      </c>
      <c r="R621" s="78">
        <f>IF(P621="应付",COUNTIF(P$7:P621,"应付"),"")</f>
      </c>
      <c r="S621" s="78">
        <f>N(F621)-N(G621)</f>
        <v>0</v>
      </c>
    </row>
    <row r="622">
      <c r="A622" s="109">
        <f>IF(AND(F622="",G622=""),"",ROW()-6)</f>
      </c>
      <c r="B622" s="140" t="n"/>
      <c r="C622" s="141" t="n"/>
      <c r="D622" s="141" t="n"/>
      <c r="E622" s="142" t="n"/>
      <c r="F622" s="143" t="n"/>
      <c r="G622" s="144" t="n"/>
      <c r="H622" s="145">
        <f>IF(OR(C622="",AND(F622="",G622="")),"",SUMIF(基础资料!$W$5:$W$24,C622,基础资料!$X$5:$X$24)+SUMIF(C$7:C622,C622,F$7:F622)-SUMIF(C$7:C622,C622,G$7:G622))</f>
      </c>
      <c r="I622" s="145">
        <f>IF(AND(F622="",G622=""),"",SUM(基础资料!$X$5:$X$24)+SUM(F$7:F622)-SUM(G$7:G622))</f>
      </c>
      <c r="J622" s="141" t="n"/>
      <c r="K622" s="141" t="n"/>
      <c r="L622" s="141" t="n"/>
      <c r="M622" s="142" t="n"/>
      <c r="N622" s="146">
        <f>IF(AND(AND(F622="",G622=""),B622="",C622="",D622="",J622="",K622="",L622=""),"",IF(AND(F622="",G622=""),"✗ 没填金额",IF(AND(N(F622)&lt;&gt;0,N(G622)&lt;&gt;0),"✗ 收入、支出只能填一边",IF(NOT(ISNUMBER(B622)),"✗ 日期不是真日期（要像 2026/9/25 这样填）",IF(OR(B622&lt;年初日,B622&gt;年末日),"✗ 日期不在本会计年度",IF(C622="","✗ 没选账户",IF(COUNTIF(基础资料!$W$5:$W$24,C622)=0,"✗ 账户不在基础资料里",IF(O622="","✗ 没选收支项目",IF(P622="未知","✗ 收支项目不在基础资料里",IF(AND(P622="应收",J622=""),"✗ 这笔要选客户",IF(AND(P622="应收",COUNTIF(总览汇总!$B$5:$B$304,J622)=0),"✗ 客户不在总览汇总名单里",IF(AND(P622="应付",K622=""),"✗ 这笔要选供应商",IF(AND(P622="应付",COUNTIF(基础资料!$Q$5:$Q$54,K622)=0),"✗ 供应商不在基础资料里",IF(AND(P622="费用",L622=""),"✗ 费用支出要选费用项目",IF(AND(L622&lt;&gt;"",COUNTIF(基础资料!$AI$5:$AI$54,L622)=0),"✗ 费用项目不在基础资料里",IF(AND(IFERROR(INDEX(基础资料!$AD$5:$AD$34,MATCH(O622,基础资料!$AC$5:$AC$34,0)),"")="收",N(G622)&lt;&gt;0),"✗ 这类是收款，金额填到收入列",IF(AND(IFERROR(INDEX(基础资料!$AD$5:$AD$34,MATCH(O622,基础资料!$AC$5:$AC$34,0)),"")="支",N(F622)&lt;&gt;0),"✗ 这类是付款，金额填到支出列",IF(N(H622)&lt;0,"⚠ 账户余额成负数了，核对一下","√"))))))))))))))))))</f>
      </c>
      <c r="O622" s="78">
        <f>IF(D622&lt;&gt;"",D622,IF(AND(F622="",G622=""),"",IF(J622&lt;&gt;"",IF(N(F622)&gt;0,"客户回款","客户退款"),IF(K622&lt;&gt;"",IF(N(G622)&gt;0,"供应商付款","供应商退款"),IF(L622&lt;&gt;"","费用支出","")))))</f>
      </c>
      <c r="P622" s="78">
        <f>IF(O622="","",IFERROR(INDEX(基础资料!$AE$5:$AE$34,MATCH(O622,基础资料!$AC$5:$AC$34,0)),"未知"))</f>
      </c>
      <c r="Q622" s="78">
        <f>IF(P622="应收",COUNTIF(P$7:P622,"应收"),"")</f>
      </c>
      <c r="R622" s="78">
        <f>IF(P622="应付",COUNTIF(P$7:P622,"应付"),"")</f>
      </c>
      <c r="S622" s="78">
        <f>N(F622)-N(G622)</f>
        <v>0</v>
      </c>
    </row>
    <row r="623">
      <c r="A623" s="109">
        <f>IF(AND(F623="",G623=""),"",ROW()-6)</f>
      </c>
      <c r="B623" s="140" t="n"/>
      <c r="C623" s="141" t="n"/>
      <c r="D623" s="141" t="n"/>
      <c r="E623" s="142" t="n"/>
      <c r="F623" s="143" t="n"/>
      <c r="G623" s="144" t="n"/>
      <c r="H623" s="145">
        <f>IF(OR(C623="",AND(F623="",G623="")),"",SUMIF(基础资料!$W$5:$W$24,C623,基础资料!$X$5:$X$24)+SUMIF(C$7:C623,C623,F$7:F623)-SUMIF(C$7:C623,C623,G$7:G623))</f>
      </c>
      <c r="I623" s="145">
        <f>IF(AND(F623="",G623=""),"",SUM(基础资料!$X$5:$X$24)+SUM(F$7:F623)-SUM(G$7:G623))</f>
      </c>
      <c r="J623" s="141" t="n"/>
      <c r="K623" s="141" t="n"/>
      <c r="L623" s="141" t="n"/>
      <c r="M623" s="142" t="n"/>
      <c r="N623" s="146">
        <f>IF(AND(AND(F623="",G623=""),B623="",C623="",D623="",J623="",K623="",L623=""),"",IF(AND(F623="",G623=""),"✗ 没填金额",IF(AND(N(F623)&lt;&gt;0,N(G623)&lt;&gt;0),"✗ 收入、支出只能填一边",IF(NOT(ISNUMBER(B623)),"✗ 日期不是真日期（要像 2026/9/25 这样填）",IF(OR(B623&lt;年初日,B623&gt;年末日),"✗ 日期不在本会计年度",IF(C623="","✗ 没选账户",IF(COUNTIF(基础资料!$W$5:$W$24,C623)=0,"✗ 账户不在基础资料里",IF(O623="","✗ 没选收支项目",IF(P623="未知","✗ 收支项目不在基础资料里",IF(AND(P623="应收",J623=""),"✗ 这笔要选客户",IF(AND(P623="应收",COUNTIF(总览汇总!$B$5:$B$304,J623)=0),"✗ 客户不在总览汇总名单里",IF(AND(P623="应付",K623=""),"✗ 这笔要选供应商",IF(AND(P623="应付",COUNTIF(基础资料!$Q$5:$Q$54,K623)=0),"✗ 供应商不在基础资料里",IF(AND(P623="费用",L623=""),"✗ 费用支出要选费用项目",IF(AND(L623&lt;&gt;"",COUNTIF(基础资料!$AI$5:$AI$54,L623)=0),"✗ 费用项目不在基础资料里",IF(AND(IFERROR(INDEX(基础资料!$AD$5:$AD$34,MATCH(O623,基础资料!$AC$5:$AC$34,0)),"")="收",N(G623)&lt;&gt;0),"✗ 这类是收款，金额填到收入列",IF(AND(IFERROR(INDEX(基础资料!$AD$5:$AD$34,MATCH(O623,基础资料!$AC$5:$AC$34,0)),"")="支",N(F623)&lt;&gt;0),"✗ 这类是付款，金额填到支出列",IF(N(H623)&lt;0,"⚠ 账户余额成负数了，核对一下","√"))))))))))))))))))</f>
      </c>
      <c r="O623" s="78">
        <f>IF(D623&lt;&gt;"",D623,IF(AND(F623="",G623=""),"",IF(J623&lt;&gt;"",IF(N(F623)&gt;0,"客户回款","客户退款"),IF(K623&lt;&gt;"",IF(N(G623)&gt;0,"供应商付款","供应商退款"),IF(L623&lt;&gt;"","费用支出","")))))</f>
      </c>
      <c r="P623" s="78">
        <f>IF(O623="","",IFERROR(INDEX(基础资料!$AE$5:$AE$34,MATCH(O623,基础资料!$AC$5:$AC$34,0)),"未知"))</f>
      </c>
      <c r="Q623" s="78">
        <f>IF(P623="应收",COUNTIF(P$7:P623,"应收"),"")</f>
      </c>
      <c r="R623" s="78">
        <f>IF(P623="应付",COUNTIF(P$7:P623,"应付"),"")</f>
      </c>
      <c r="S623" s="78">
        <f>N(F623)-N(G623)</f>
        <v>0</v>
      </c>
    </row>
    <row r="624">
      <c r="A624" s="109">
        <f>IF(AND(F624="",G624=""),"",ROW()-6)</f>
      </c>
      <c r="B624" s="140" t="n"/>
      <c r="C624" s="141" t="n"/>
      <c r="D624" s="141" t="n"/>
      <c r="E624" s="142" t="n"/>
      <c r="F624" s="143" t="n"/>
      <c r="G624" s="144" t="n"/>
      <c r="H624" s="145">
        <f>IF(OR(C624="",AND(F624="",G624="")),"",SUMIF(基础资料!$W$5:$W$24,C624,基础资料!$X$5:$X$24)+SUMIF(C$7:C624,C624,F$7:F624)-SUMIF(C$7:C624,C624,G$7:G624))</f>
      </c>
      <c r="I624" s="145">
        <f>IF(AND(F624="",G624=""),"",SUM(基础资料!$X$5:$X$24)+SUM(F$7:F624)-SUM(G$7:G624))</f>
      </c>
      <c r="J624" s="141" t="n"/>
      <c r="K624" s="141" t="n"/>
      <c r="L624" s="141" t="n"/>
      <c r="M624" s="142" t="n"/>
      <c r="N624" s="146">
        <f>IF(AND(AND(F624="",G624=""),B624="",C624="",D624="",J624="",K624="",L624=""),"",IF(AND(F624="",G624=""),"✗ 没填金额",IF(AND(N(F624)&lt;&gt;0,N(G624)&lt;&gt;0),"✗ 收入、支出只能填一边",IF(NOT(ISNUMBER(B624)),"✗ 日期不是真日期（要像 2026/9/25 这样填）",IF(OR(B624&lt;年初日,B624&gt;年末日),"✗ 日期不在本会计年度",IF(C624="","✗ 没选账户",IF(COUNTIF(基础资料!$W$5:$W$24,C624)=0,"✗ 账户不在基础资料里",IF(O624="","✗ 没选收支项目",IF(P624="未知","✗ 收支项目不在基础资料里",IF(AND(P624="应收",J624=""),"✗ 这笔要选客户",IF(AND(P624="应收",COUNTIF(总览汇总!$B$5:$B$304,J624)=0),"✗ 客户不在总览汇总名单里",IF(AND(P624="应付",K624=""),"✗ 这笔要选供应商",IF(AND(P624="应付",COUNTIF(基础资料!$Q$5:$Q$54,K624)=0),"✗ 供应商不在基础资料里",IF(AND(P624="费用",L624=""),"✗ 费用支出要选费用项目",IF(AND(L624&lt;&gt;"",COUNTIF(基础资料!$AI$5:$AI$54,L624)=0),"✗ 费用项目不在基础资料里",IF(AND(IFERROR(INDEX(基础资料!$AD$5:$AD$34,MATCH(O624,基础资料!$AC$5:$AC$34,0)),"")="收",N(G624)&lt;&gt;0),"✗ 这类是收款，金额填到收入列",IF(AND(IFERROR(INDEX(基础资料!$AD$5:$AD$34,MATCH(O624,基础资料!$AC$5:$AC$34,0)),"")="支",N(F624)&lt;&gt;0),"✗ 这类是付款，金额填到支出列",IF(N(H624)&lt;0,"⚠ 账户余额成负数了，核对一下","√"))))))))))))))))))</f>
      </c>
      <c r="O624" s="78">
        <f>IF(D624&lt;&gt;"",D624,IF(AND(F624="",G624=""),"",IF(J624&lt;&gt;"",IF(N(F624)&gt;0,"客户回款","客户退款"),IF(K624&lt;&gt;"",IF(N(G624)&gt;0,"供应商付款","供应商退款"),IF(L624&lt;&gt;"","费用支出","")))))</f>
      </c>
      <c r="P624" s="78">
        <f>IF(O624="","",IFERROR(INDEX(基础资料!$AE$5:$AE$34,MATCH(O624,基础资料!$AC$5:$AC$34,0)),"未知"))</f>
      </c>
      <c r="Q624" s="78">
        <f>IF(P624="应收",COUNTIF(P$7:P624,"应收"),"")</f>
      </c>
      <c r="R624" s="78">
        <f>IF(P624="应付",COUNTIF(P$7:P624,"应付"),"")</f>
      </c>
      <c r="S624" s="78">
        <f>N(F624)-N(G624)</f>
        <v>0</v>
      </c>
    </row>
    <row r="625">
      <c r="A625" s="109">
        <f>IF(AND(F625="",G625=""),"",ROW()-6)</f>
      </c>
      <c r="B625" s="140" t="n"/>
      <c r="C625" s="141" t="n"/>
      <c r="D625" s="141" t="n"/>
      <c r="E625" s="142" t="n"/>
      <c r="F625" s="143" t="n"/>
      <c r="G625" s="144" t="n"/>
      <c r="H625" s="145">
        <f>IF(OR(C625="",AND(F625="",G625="")),"",SUMIF(基础资料!$W$5:$W$24,C625,基础资料!$X$5:$X$24)+SUMIF(C$7:C625,C625,F$7:F625)-SUMIF(C$7:C625,C625,G$7:G625))</f>
      </c>
      <c r="I625" s="145">
        <f>IF(AND(F625="",G625=""),"",SUM(基础资料!$X$5:$X$24)+SUM(F$7:F625)-SUM(G$7:G625))</f>
      </c>
      <c r="J625" s="141" t="n"/>
      <c r="K625" s="141" t="n"/>
      <c r="L625" s="141" t="n"/>
      <c r="M625" s="142" t="n"/>
      <c r="N625" s="146">
        <f>IF(AND(AND(F625="",G625=""),B625="",C625="",D625="",J625="",K625="",L625=""),"",IF(AND(F625="",G625=""),"✗ 没填金额",IF(AND(N(F625)&lt;&gt;0,N(G625)&lt;&gt;0),"✗ 收入、支出只能填一边",IF(NOT(ISNUMBER(B625)),"✗ 日期不是真日期（要像 2026/9/25 这样填）",IF(OR(B625&lt;年初日,B625&gt;年末日),"✗ 日期不在本会计年度",IF(C625="","✗ 没选账户",IF(COUNTIF(基础资料!$W$5:$W$24,C625)=0,"✗ 账户不在基础资料里",IF(O625="","✗ 没选收支项目",IF(P625="未知","✗ 收支项目不在基础资料里",IF(AND(P625="应收",J625=""),"✗ 这笔要选客户",IF(AND(P625="应收",COUNTIF(总览汇总!$B$5:$B$304,J625)=0),"✗ 客户不在总览汇总名单里",IF(AND(P625="应付",K625=""),"✗ 这笔要选供应商",IF(AND(P625="应付",COUNTIF(基础资料!$Q$5:$Q$54,K625)=0),"✗ 供应商不在基础资料里",IF(AND(P625="费用",L625=""),"✗ 费用支出要选费用项目",IF(AND(L625&lt;&gt;"",COUNTIF(基础资料!$AI$5:$AI$54,L625)=0),"✗ 费用项目不在基础资料里",IF(AND(IFERROR(INDEX(基础资料!$AD$5:$AD$34,MATCH(O625,基础资料!$AC$5:$AC$34,0)),"")="收",N(G625)&lt;&gt;0),"✗ 这类是收款，金额填到收入列",IF(AND(IFERROR(INDEX(基础资料!$AD$5:$AD$34,MATCH(O625,基础资料!$AC$5:$AC$34,0)),"")="支",N(F625)&lt;&gt;0),"✗ 这类是付款，金额填到支出列",IF(N(H625)&lt;0,"⚠ 账户余额成负数了，核对一下","√"))))))))))))))))))</f>
      </c>
      <c r="O625" s="78">
        <f>IF(D625&lt;&gt;"",D625,IF(AND(F625="",G625=""),"",IF(J625&lt;&gt;"",IF(N(F625)&gt;0,"客户回款","客户退款"),IF(K625&lt;&gt;"",IF(N(G625)&gt;0,"供应商付款","供应商退款"),IF(L625&lt;&gt;"","费用支出","")))))</f>
      </c>
      <c r="P625" s="78">
        <f>IF(O625="","",IFERROR(INDEX(基础资料!$AE$5:$AE$34,MATCH(O625,基础资料!$AC$5:$AC$34,0)),"未知"))</f>
      </c>
      <c r="Q625" s="78">
        <f>IF(P625="应收",COUNTIF(P$7:P625,"应收"),"")</f>
      </c>
      <c r="R625" s="78">
        <f>IF(P625="应付",COUNTIF(P$7:P625,"应付"),"")</f>
      </c>
      <c r="S625" s="78">
        <f>N(F625)-N(G625)</f>
        <v>0</v>
      </c>
    </row>
    <row r="626">
      <c r="A626" s="109">
        <f>IF(AND(F626="",G626=""),"",ROW()-6)</f>
      </c>
      <c r="B626" s="140" t="n"/>
      <c r="C626" s="141" t="n"/>
      <c r="D626" s="141" t="n"/>
      <c r="E626" s="142" t="n"/>
      <c r="F626" s="143" t="n"/>
      <c r="G626" s="144" t="n"/>
      <c r="H626" s="145">
        <f>IF(OR(C626="",AND(F626="",G626="")),"",SUMIF(基础资料!$W$5:$W$24,C626,基础资料!$X$5:$X$24)+SUMIF(C$7:C626,C626,F$7:F626)-SUMIF(C$7:C626,C626,G$7:G626))</f>
      </c>
      <c r="I626" s="145">
        <f>IF(AND(F626="",G626=""),"",SUM(基础资料!$X$5:$X$24)+SUM(F$7:F626)-SUM(G$7:G626))</f>
      </c>
      <c r="J626" s="141" t="n"/>
      <c r="K626" s="141" t="n"/>
      <c r="L626" s="141" t="n"/>
      <c r="M626" s="142" t="n"/>
      <c r="N626" s="146">
        <f>IF(AND(AND(F626="",G626=""),B626="",C626="",D626="",J626="",K626="",L626=""),"",IF(AND(F626="",G626=""),"✗ 没填金额",IF(AND(N(F626)&lt;&gt;0,N(G626)&lt;&gt;0),"✗ 收入、支出只能填一边",IF(NOT(ISNUMBER(B626)),"✗ 日期不是真日期（要像 2026/9/25 这样填）",IF(OR(B626&lt;年初日,B626&gt;年末日),"✗ 日期不在本会计年度",IF(C626="","✗ 没选账户",IF(COUNTIF(基础资料!$W$5:$W$24,C626)=0,"✗ 账户不在基础资料里",IF(O626="","✗ 没选收支项目",IF(P626="未知","✗ 收支项目不在基础资料里",IF(AND(P626="应收",J626=""),"✗ 这笔要选客户",IF(AND(P626="应收",COUNTIF(总览汇总!$B$5:$B$304,J626)=0),"✗ 客户不在总览汇总名单里",IF(AND(P626="应付",K626=""),"✗ 这笔要选供应商",IF(AND(P626="应付",COUNTIF(基础资料!$Q$5:$Q$54,K626)=0),"✗ 供应商不在基础资料里",IF(AND(P626="费用",L626=""),"✗ 费用支出要选费用项目",IF(AND(L626&lt;&gt;"",COUNTIF(基础资料!$AI$5:$AI$54,L626)=0),"✗ 费用项目不在基础资料里",IF(AND(IFERROR(INDEX(基础资料!$AD$5:$AD$34,MATCH(O626,基础资料!$AC$5:$AC$34,0)),"")="收",N(G626)&lt;&gt;0),"✗ 这类是收款，金额填到收入列",IF(AND(IFERROR(INDEX(基础资料!$AD$5:$AD$34,MATCH(O626,基础资料!$AC$5:$AC$34,0)),"")="支",N(F626)&lt;&gt;0),"✗ 这类是付款，金额填到支出列",IF(N(H626)&lt;0,"⚠ 账户余额成负数了，核对一下","√"))))))))))))))))))</f>
      </c>
      <c r="O626" s="78">
        <f>IF(D626&lt;&gt;"",D626,IF(AND(F626="",G626=""),"",IF(J626&lt;&gt;"",IF(N(F626)&gt;0,"客户回款","客户退款"),IF(K626&lt;&gt;"",IF(N(G626)&gt;0,"供应商付款","供应商退款"),IF(L626&lt;&gt;"","费用支出","")))))</f>
      </c>
      <c r="P626" s="78">
        <f>IF(O626="","",IFERROR(INDEX(基础资料!$AE$5:$AE$34,MATCH(O626,基础资料!$AC$5:$AC$34,0)),"未知"))</f>
      </c>
      <c r="Q626" s="78">
        <f>IF(P626="应收",COUNTIF(P$7:P626,"应收"),"")</f>
      </c>
      <c r="R626" s="78">
        <f>IF(P626="应付",COUNTIF(P$7:P626,"应付"),"")</f>
      </c>
      <c r="S626" s="78">
        <f>N(F626)-N(G626)</f>
        <v>0</v>
      </c>
    </row>
    <row r="627">
      <c r="A627" s="109">
        <f>IF(AND(F627="",G627=""),"",ROW()-6)</f>
      </c>
      <c r="B627" s="140" t="n"/>
      <c r="C627" s="141" t="n"/>
      <c r="D627" s="141" t="n"/>
      <c r="E627" s="142" t="n"/>
      <c r="F627" s="143" t="n"/>
      <c r="G627" s="144" t="n"/>
      <c r="H627" s="145">
        <f>IF(OR(C627="",AND(F627="",G627="")),"",SUMIF(基础资料!$W$5:$W$24,C627,基础资料!$X$5:$X$24)+SUMIF(C$7:C627,C627,F$7:F627)-SUMIF(C$7:C627,C627,G$7:G627))</f>
      </c>
      <c r="I627" s="145">
        <f>IF(AND(F627="",G627=""),"",SUM(基础资料!$X$5:$X$24)+SUM(F$7:F627)-SUM(G$7:G627))</f>
      </c>
      <c r="J627" s="141" t="n"/>
      <c r="K627" s="141" t="n"/>
      <c r="L627" s="141" t="n"/>
      <c r="M627" s="142" t="n"/>
      <c r="N627" s="146">
        <f>IF(AND(AND(F627="",G627=""),B627="",C627="",D627="",J627="",K627="",L627=""),"",IF(AND(F627="",G627=""),"✗ 没填金额",IF(AND(N(F627)&lt;&gt;0,N(G627)&lt;&gt;0),"✗ 收入、支出只能填一边",IF(NOT(ISNUMBER(B627)),"✗ 日期不是真日期（要像 2026/9/25 这样填）",IF(OR(B627&lt;年初日,B627&gt;年末日),"✗ 日期不在本会计年度",IF(C627="","✗ 没选账户",IF(COUNTIF(基础资料!$W$5:$W$24,C627)=0,"✗ 账户不在基础资料里",IF(O627="","✗ 没选收支项目",IF(P627="未知","✗ 收支项目不在基础资料里",IF(AND(P627="应收",J627=""),"✗ 这笔要选客户",IF(AND(P627="应收",COUNTIF(总览汇总!$B$5:$B$304,J627)=0),"✗ 客户不在总览汇总名单里",IF(AND(P627="应付",K627=""),"✗ 这笔要选供应商",IF(AND(P627="应付",COUNTIF(基础资料!$Q$5:$Q$54,K627)=0),"✗ 供应商不在基础资料里",IF(AND(P627="费用",L627=""),"✗ 费用支出要选费用项目",IF(AND(L627&lt;&gt;"",COUNTIF(基础资料!$AI$5:$AI$54,L627)=0),"✗ 费用项目不在基础资料里",IF(AND(IFERROR(INDEX(基础资料!$AD$5:$AD$34,MATCH(O627,基础资料!$AC$5:$AC$34,0)),"")="收",N(G627)&lt;&gt;0),"✗ 这类是收款，金额填到收入列",IF(AND(IFERROR(INDEX(基础资料!$AD$5:$AD$34,MATCH(O627,基础资料!$AC$5:$AC$34,0)),"")="支",N(F627)&lt;&gt;0),"✗ 这类是付款，金额填到支出列",IF(N(H627)&lt;0,"⚠ 账户余额成负数了，核对一下","√"))))))))))))))))))</f>
      </c>
      <c r="O627" s="78">
        <f>IF(D627&lt;&gt;"",D627,IF(AND(F627="",G627=""),"",IF(J627&lt;&gt;"",IF(N(F627)&gt;0,"客户回款","客户退款"),IF(K627&lt;&gt;"",IF(N(G627)&gt;0,"供应商付款","供应商退款"),IF(L627&lt;&gt;"","费用支出","")))))</f>
      </c>
      <c r="P627" s="78">
        <f>IF(O627="","",IFERROR(INDEX(基础资料!$AE$5:$AE$34,MATCH(O627,基础资料!$AC$5:$AC$34,0)),"未知"))</f>
      </c>
      <c r="Q627" s="78">
        <f>IF(P627="应收",COUNTIF(P$7:P627,"应收"),"")</f>
      </c>
      <c r="R627" s="78">
        <f>IF(P627="应付",COUNTIF(P$7:P627,"应付"),"")</f>
      </c>
      <c r="S627" s="78">
        <f>N(F627)-N(G627)</f>
        <v>0</v>
      </c>
    </row>
    <row r="628">
      <c r="A628" s="109">
        <f>IF(AND(F628="",G628=""),"",ROW()-6)</f>
      </c>
      <c r="B628" s="140" t="n"/>
      <c r="C628" s="141" t="n"/>
      <c r="D628" s="141" t="n"/>
      <c r="E628" s="142" t="n"/>
      <c r="F628" s="143" t="n"/>
      <c r="G628" s="144" t="n"/>
      <c r="H628" s="145">
        <f>IF(OR(C628="",AND(F628="",G628="")),"",SUMIF(基础资料!$W$5:$W$24,C628,基础资料!$X$5:$X$24)+SUMIF(C$7:C628,C628,F$7:F628)-SUMIF(C$7:C628,C628,G$7:G628))</f>
      </c>
      <c r="I628" s="145">
        <f>IF(AND(F628="",G628=""),"",SUM(基础资料!$X$5:$X$24)+SUM(F$7:F628)-SUM(G$7:G628))</f>
      </c>
      <c r="J628" s="141" t="n"/>
      <c r="K628" s="141" t="n"/>
      <c r="L628" s="141" t="n"/>
      <c r="M628" s="142" t="n"/>
      <c r="N628" s="146">
        <f>IF(AND(AND(F628="",G628=""),B628="",C628="",D628="",J628="",K628="",L628=""),"",IF(AND(F628="",G628=""),"✗ 没填金额",IF(AND(N(F628)&lt;&gt;0,N(G628)&lt;&gt;0),"✗ 收入、支出只能填一边",IF(NOT(ISNUMBER(B628)),"✗ 日期不是真日期（要像 2026/9/25 这样填）",IF(OR(B628&lt;年初日,B628&gt;年末日),"✗ 日期不在本会计年度",IF(C628="","✗ 没选账户",IF(COUNTIF(基础资料!$W$5:$W$24,C628)=0,"✗ 账户不在基础资料里",IF(O628="","✗ 没选收支项目",IF(P628="未知","✗ 收支项目不在基础资料里",IF(AND(P628="应收",J628=""),"✗ 这笔要选客户",IF(AND(P628="应收",COUNTIF(总览汇总!$B$5:$B$304,J628)=0),"✗ 客户不在总览汇总名单里",IF(AND(P628="应付",K628=""),"✗ 这笔要选供应商",IF(AND(P628="应付",COUNTIF(基础资料!$Q$5:$Q$54,K628)=0),"✗ 供应商不在基础资料里",IF(AND(P628="费用",L628=""),"✗ 费用支出要选费用项目",IF(AND(L628&lt;&gt;"",COUNTIF(基础资料!$AI$5:$AI$54,L628)=0),"✗ 费用项目不在基础资料里",IF(AND(IFERROR(INDEX(基础资料!$AD$5:$AD$34,MATCH(O628,基础资料!$AC$5:$AC$34,0)),"")="收",N(G628)&lt;&gt;0),"✗ 这类是收款，金额填到收入列",IF(AND(IFERROR(INDEX(基础资料!$AD$5:$AD$34,MATCH(O628,基础资料!$AC$5:$AC$34,0)),"")="支",N(F628)&lt;&gt;0),"✗ 这类是付款，金额填到支出列",IF(N(H628)&lt;0,"⚠ 账户余额成负数了，核对一下","√"))))))))))))))))))</f>
      </c>
      <c r="O628" s="78">
        <f>IF(D628&lt;&gt;"",D628,IF(AND(F628="",G628=""),"",IF(J628&lt;&gt;"",IF(N(F628)&gt;0,"客户回款","客户退款"),IF(K628&lt;&gt;"",IF(N(G628)&gt;0,"供应商付款","供应商退款"),IF(L628&lt;&gt;"","费用支出","")))))</f>
      </c>
      <c r="P628" s="78">
        <f>IF(O628="","",IFERROR(INDEX(基础资料!$AE$5:$AE$34,MATCH(O628,基础资料!$AC$5:$AC$34,0)),"未知"))</f>
      </c>
      <c r="Q628" s="78">
        <f>IF(P628="应收",COUNTIF(P$7:P628,"应收"),"")</f>
      </c>
      <c r="R628" s="78">
        <f>IF(P628="应付",COUNTIF(P$7:P628,"应付"),"")</f>
      </c>
      <c r="S628" s="78">
        <f>N(F628)-N(G628)</f>
        <v>0</v>
      </c>
    </row>
    <row r="629">
      <c r="A629" s="109">
        <f>IF(AND(F629="",G629=""),"",ROW()-6)</f>
      </c>
      <c r="B629" s="140" t="n"/>
      <c r="C629" s="141" t="n"/>
      <c r="D629" s="141" t="n"/>
      <c r="E629" s="142" t="n"/>
      <c r="F629" s="143" t="n"/>
      <c r="G629" s="144" t="n"/>
      <c r="H629" s="145">
        <f>IF(OR(C629="",AND(F629="",G629="")),"",SUMIF(基础资料!$W$5:$W$24,C629,基础资料!$X$5:$X$24)+SUMIF(C$7:C629,C629,F$7:F629)-SUMIF(C$7:C629,C629,G$7:G629))</f>
      </c>
      <c r="I629" s="145">
        <f>IF(AND(F629="",G629=""),"",SUM(基础资料!$X$5:$X$24)+SUM(F$7:F629)-SUM(G$7:G629))</f>
      </c>
      <c r="J629" s="141" t="n"/>
      <c r="K629" s="141" t="n"/>
      <c r="L629" s="141" t="n"/>
      <c r="M629" s="142" t="n"/>
      <c r="N629" s="146">
        <f>IF(AND(AND(F629="",G629=""),B629="",C629="",D629="",J629="",K629="",L629=""),"",IF(AND(F629="",G629=""),"✗ 没填金额",IF(AND(N(F629)&lt;&gt;0,N(G629)&lt;&gt;0),"✗ 收入、支出只能填一边",IF(NOT(ISNUMBER(B629)),"✗ 日期不是真日期（要像 2026/9/25 这样填）",IF(OR(B629&lt;年初日,B629&gt;年末日),"✗ 日期不在本会计年度",IF(C629="","✗ 没选账户",IF(COUNTIF(基础资料!$W$5:$W$24,C629)=0,"✗ 账户不在基础资料里",IF(O629="","✗ 没选收支项目",IF(P629="未知","✗ 收支项目不在基础资料里",IF(AND(P629="应收",J629=""),"✗ 这笔要选客户",IF(AND(P629="应收",COUNTIF(总览汇总!$B$5:$B$304,J629)=0),"✗ 客户不在总览汇总名单里",IF(AND(P629="应付",K629=""),"✗ 这笔要选供应商",IF(AND(P629="应付",COUNTIF(基础资料!$Q$5:$Q$54,K629)=0),"✗ 供应商不在基础资料里",IF(AND(P629="费用",L629=""),"✗ 费用支出要选费用项目",IF(AND(L629&lt;&gt;"",COUNTIF(基础资料!$AI$5:$AI$54,L629)=0),"✗ 费用项目不在基础资料里",IF(AND(IFERROR(INDEX(基础资料!$AD$5:$AD$34,MATCH(O629,基础资料!$AC$5:$AC$34,0)),"")="收",N(G629)&lt;&gt;0),"✗ 这类是收款，金额填到收入列",IF(AND(IFERROR(INDEX(基础资料!$AD$5:$AD$34,MATCH(O629,基础资料!$AC$5:$AC$34,0)),"")="支",N(F629)&lt;&gt;0),"✗ 这类是付款，金额填到支出列",IF(N(H629)&lt;0,"⚠ 账户余额成负数了，核对一下","√"))))))))))))))))))</f>
      </c>
      <c r="O629" s="78">
        <f>IF(D629&lt;&gt;"",D629,IF(AND(F629="",G629=""),"",IF(J629&lt;&gt;"",IF(N(F629)&gt;0,"客户回款","客户退款"),IF(K629&lt;&gt;"",IF(N(G629)&gt;0,"供应商付款","供应商退款"),IF(L629&lt;&gt;"","费用支出","")))))</f>
      </c>
      <c r="P629" s="78">
        <f>IF(O629="","",IFERROR(INDEX(基础资料!$AE$5:$AE$34,MATCH(O629,基础资料!$AC$5:$AC$34,0)),"未知"))</f>
      </c>
      <c r="Q629" s="78">
        <f>IF(P629="应收",COUNTIF(P$7:P629,"应收"),"")</f>
      </c>
      <c r="R629" s="78">
        <f>IF(P629="应付",COUNTIF(P$7:P629,"应付"),"")</f>
      </c>
      <c r="S629" s="78">
        <f>N(F629)-N(G629)</f>
        <v>0</v>
      </c>
    </row>
    <row r="630">
      <c r="A630" s="109">
        <f>IF(AND(F630="",G630=""),"",ROW()-6)</f>
      </c>
      <c r="B630" s="140" t="n"/>
      <c r="C630" s="141" t="n"/>
      <c r="D630" s="141" t="n"/>
      <c r="E630" s="142" t="n"/>
      <c r="F630" s="143" t="n"/>
      <c r="G630" s="144" t="n"/>
      <c r="H630" s="145">
        <f>IF(OR(C630="",AND(F630="",G630="")),"",SUMIF(基础资料!$W$5:$W$24,C630,基础资料!$X$5:$X$24)+SUMIF(C$7:C630,C630,F$7:F630)-SUMIF(C$7:C630,C630,G$7:G630))</f>
      </c>
      <c r="I630" s="145">
        <f>IF(AND(F630="",G630=""),"",SUM(基础资料!$X$5:$X$24)+SUM(F$7:F630)-SUM(G$7:G630))</f>
      </c>
      <c r="J630" s="141" t="n"/>
      <c r="K630" s="141" t="n"/>
      <c r="L630" s="141" t="n"/>
      <c r="M630" s="142" t="n"/>
      <c r="N630" s="146">
        <f>IF(AND(AND(F630="",G630=""),B630="",C630="",D630="",J630="",K630="",L630=""),"",IF(AND(F630="",G630=""),"✗ 没填金额",IF(AND(N(F630)&lt;&gt;0,N(G630)&lt;&gt;0),"✗ 收入、支出只能填一边",IF(NOT(ISNUMBER(B630)),"✗ 日期不是真日期（要像 2026/9/25 这样填）",IF(OR(B630&lt;年初日,B630&gt;年末日),"✗ 日期不在本会计年度",IF(C630="","✗ 没选账户",IF(COUNTIF(基础资料!$W$5:$W$24,C630)=0,"✗ 账户不在基础资料里",IF(O630="","✗ 没选收支项目",IF(P630="未知","✗ 收支项目不在基础资料里",IF(AND(P630="应收",J630=""),"✗ 这笔要选客户",IF(AND(P630="应收",COUNTIF(总览汇总!$B$5:$B$304,J630)=0),"✗ 客户不在总览汇总名单里",IF(AND(P630="应付",K630=""),"✗ 这笔要选供应商",IF(AND(P630="应付",COUNTIF(基础资料!$Q$5:$Q$54,K630)=0),"✗ 供应商不在基础资料里",IF(AND(P630="费用",L630=""),"✗ 费用支出要选费用项目",IF(AND(L630&lt;&gt;"",COUNTIF(基础资料!$AI$5:$AI$54,L630)=0),"✗ 费用项目不在基础资料里",IF(AND(IFERROR(INDEX(基础资料!$AD$5:$AD$34,MATCH(O630,基础资料!$AC$5:$AC$34,0)),"")="收",N(G630)&lt;&gt;0),"✗ 这类是收款，金额填到收入列",IF(AND(IFERROR(INDEX(基础资料!$AD$5:$AD$34,MATCH(O630,基础资料!$AC$5:$AC$34,0)),"")="支",N(F630)&lt;&gt;0),"✗ 这类是付款，金额填到支出列",IF(N(H630)&lt;0,"⚠ 账户余额成负数了，核对一下","√"))))))))))))))))))</f>
      </c>
      <c r="O630" s="78">
        <f>IF(D630&lt;&gt;"",D630,IF(AND(F630="",G630=""),"",IF(J630&lt;&gt;"",IF(N(F630)&gt;0,"客户回款","客户退款"),IF(K630&lt;&gt;"",IF(N(G630)&gt;0,"供应商付款","供应商退款"),IF(L630&lt;&gt;"","费用支出","")))))</f>
      </c>
      <c r="P630" s="78">
        <f>IF(O630="","",IFERROR(INDEX(基础资料!$AE$5:$AE$34,MATCH(O630,基础资料!$AC$5:$AC$34,0)),"未知"))</f>
      </c>
      <c r="Q630" s="78">
        <f>IF(P630="应收",COUNTIF(P$7:P630,"应收"),"")</f>
      </c>
      <c r="R630" s="78">
        <f>IF(P630="应付",COUNTIF(P$7:P630,"应付"),"")</f>
      </c>
      <c r="S630" s="78">
        <f>N(F630)-N(G630)</f>
        <v>0</v>
      </c>
    </row>
    <row r="631">
      <c r="A631" s="109">
        <f>IF(AND(F631="",G631=""),"",ROW()-6)</f>
      </c>
      <c r="B631" s="140" t="n"/>
      <c r="C631" s="141" t="n"/>
      <c r="D631" s="141" t="n"/>
      <c r="E631" s="142" t="n"/>
      <c r="F631" s="143" t="n"/>
      <c r="G631" s="144" t="n"/>
      <c r="H631" s="145">
        <f>IF(OR(C631="",AND(F631="",G631="")),"",SUMIF(基础资料!$W$5:$W$24,C631,基础资料!$X$5:$X$24)+SUMIF(C$7:C631,C631,F$7:F631)-SUMIF(C$7:C631,C631,G$7:G631))</f>
      </c>
      <c r="I631" s="145">
        <f>IF(AND(F631="",G631=""),"",SUM(基础资料!$X$5:$X$24)+SUM(F$7:F631)-SUM(G$7:G631))</f>
      </c>
      <c r="J631" s="141" t="n"/>
      <c r="K631" s="141" t="n"/>
      <c r="L631" s="141" t="n"/>
      <c r="M631" s="142" t="n"/>
      <c r="N631" s="146">
        <f>IF(AND(AND(F631="",G631=""),B631="",C631="",D631="",J631="",K631="",L631=""),"",IF(AND(F631="",G631=""),"✗ 没填金额",IF(AND(N(F631)&lt;&gt;0,N(G631)&lt;&gt;0),"✗ 收入、支出只能填一边",IF(NOT(ISNUMBER(B631)),"✗ 日期不是真日期（要像 2026/9/25 这样填）",IF(OR(B631&lt;年初日,B631&gt;年末日),"✗ 日期不在本会计年度",IF(C631="","✗ 没选账户",IF(COUNTIF(基础资料!$W$5:$W$24,C631)=0,"✗ 账户不在基础资料里",IF(O631="","✗ 没选收支项目",IF(P631="未知","✗ 收支项目不在基础资料里",IF(AND(P631="应收",J631=""),"✗ 这笔要选客户",IF(AND(P631="应收",COUNTIF(总览汇总!$B$5:$B$304,J631)=0),"✗ 客户不在总览汇总名单里",IF(AND(P631="应付",K631=""),"✗ 这笔要选供应商",IF(AND(P631="应付",COUNTIF(基础资料!$Q$5:$Q$54,K631)=0),"✗ 供应商不在基础资料里",IF(AND(P631="费用",L631=""),"✗ 费用支出要选费用项目",IF(AND(L631&lt;&gt;"",COUNTIF(基础资料!$AI$5:$AI$54,L631)=0),"✗ 费用项目不在基础资料里",IF(AND(IFERROR(INDEX(基础资料!$AD$5:$AD$34,MATCH(O631,基础资料!$AC$5:$AC$34,0)),"")="收",N(G631)&lt;&gt;0),"✗ 这类是收款，金额填到收入列",IF(AND(IFERROR(INDEX(基础资料!$AD$5:$AD$34,MATCH(O631,基础资料!$AC$5:$AC$34,0)),"")="支",N(F631)&lt;&gt;0),"✗ 这类是付款，金额填到支出列",IF(N(H631)&lt;0,"⚠ 账户余额成负数了，核对一下","√"))))))))))))))))))</f>
      </c>
      <c r="O631" s="78">
        <f>IF(D631&lt;&gt;"",D631,IF(AND(F631="",G631=""),"",IF(J631&lt;&gt;"",IF(N(F631)&gt;0,"客户回款","客户退款"),IF(K631&lt;&gt;"",IF(N(G631)&gt;0,"供应商付款","供应商退款"),IF(L631&lt;&gt;"","费用支出","")))))</f>
      </c>
      <c r="P631" s="78">
        <f>IF(O631="","",IFERROR(INDEX(基础资料!$AE$5:$AE$34,MATCH(O631,基础资料!$AC$5:$AC$34,0)),"未知"))</f>
      </c>
      <c r="Q631" s="78">
        <f>IF(P631="应收",COUNTIF(P$7:P631,"应收"),"")</f>
      </c>
      <c r="R631" s="78">
        <f>IF(P631="应付",COUNTIF(P$7:P631,"应付"),"")</f>
      </c>
      <c r="S631" s="78">
        <f>N(F631)-N(G631)</f>
        <v>0</v>
      </c>
    </row>
    <row r="632">
      <c r="A632" s="109">
        <f>IF(AND(F632="",G632=""),"",ROW()-6)</f>
      </c>
      <c r="B632" s="140" t="n"/>
      <c r="C632" s="141" t="n"/>
      <c r="D632" s="141" t="n"/>
      <c r="E632" s="142" t="n"/>
      <c r="F632" s="143" t="n"/>
      <c r="G632" s="144" t="n"/>
      <c r="H632" s="145">
        <f>IF(OR(C632="",AND(F632="",G632="")),"",SUMIF(基础资料!$W$5:$W$24,C632,基础资料!$X$5:$X$24)+SUMIF(C$7:C632,C632,F$7:F632)-SUMIF(C$7:C632,C632,G$7:G632))</f>
      </c>
      <c r="I632" s="145">
        <f>IF(AND(F632="",G632=""),"",SUM(基础资料!$X$5:$X$24)+SUM(F$7:F632)-SUM(G$7:G632))</f>
      </c>
      <c r="J632" s="141" t="n"/>
      <c r="K632" s="141" t="n"/>
      <c r="L632" s="141" t="n"/>
      <c r="M632" s="142" t="n"/>
      <c r="N632" s="146">
        <f>IF(AND(AND(F632="",G632=""),B632="",C632="",D632="",J632="",K632="",L632=""),"",IF(AND(F632="",G632=""),"✗ 没填金额",IF(AND(N(F632)&lt;&gt;0,N(G632)&lt;&gt;0),"✗ 收入、支出只能填一边",IF(NOT(ISNUMBER(B632)),"✗ 日期不是真日期（要像 2026/9/25 这样填）",IF(OR(B632&lt;年初日,B632&gt;年末日),"✗ 日期不在本会计年度",IF(C632="","✗ 没选账户",IF(COUNTIF(基础资料!$W$5:$W$24,C632)=0,"✗ 账户不在基础资料里",IF(O632="","✗ 没选收支项目",IF(P632="未知","✗ 收支项目不在基础资料里",IF(AND(P632="应收",J632=""),"✗ 这笔要选客户",IF(AND(P632="应收",COUNTIF(总览汇总!$B$5:$B$304,J632)=0),"✗ 客户不在总览汇总名单里",IF(AND(P632="应付",K632=""),"✗ 这笔要选供应商",IF(AND(P632="应付",COUNTIF(基础资料!$Q$5:$Q$54,K632)=0),"✗ 供应商不在基础资料里",IF(AND(P632="费用",L632=""),"✗ 费用支出要选费用项目",IF(AND(L632&lt;&gt;"",COUNTIF(基础资料!$AI$5:$AI$54,L632)=0),"✗ 费用项目不在基础资料里",IF(AND(IFERROR(INDEX(基础资料!$AD$5:$AD$34,MATCH(O632,基础资料!$AC$5:$AC$34,0)),"")="收",N(G632)&lt;&gt;0),"✗ 这类是收款，金额填到收入列",IF(AND(IFERROR(INDEX(基础资料!$AD$5:$AD$34,MATCH(O632,基础资料!$AC$5:$AC$34,0)),"")="支",N(F632)&lt;&gt;0),"✗ 这类是付款，金额填到支出列",IF(N(H632)&lt;0,"⚠ 账户余额成负数了，核对一下","√"))))))))))))))))))</f>
      </c>
      <c r="O632" s="78">
        <f>IF(D632&lt;&gt;"",D632,IF(AND(F632="",G632=""),"",IF(J632&lt;&gt;"",IF(N(F632)&gt;0,"客户回款","客户退款"),IF(K632&lt;&gt;"",IF(N(G632)&gt;0,"供应商付款","供应商退款"),IF(L632&lt;&gt;"","费用支出","")))))</f>
      </c>
      <c r="P632" s="78">
        <f>IF(O632="","",IFERROR(INDEX(基础资料!$AE$5:$AE$34,MATCH(O632,基础资料!$AC$5:$AC$34,0)),"未知"))</f>
      </c>
      <c r="Q632" s="78">
        <f>IF(P632="应收",COUNTIF(P$7:P632,"应收"),"")</f>
      </c>
      <c r="R632" s="78">
        <f>IF(P632="应付",COUNTIF(P$7:P632,"应付"),"")</f>
      </c>
      <c r="S632" s="78">
        <f>N(F632)-N(G632)</f>
        <v>0</v>
      </c>
    </row>
    <row r="633">
      <c r="A633" s="109">
        <f>IF(AND(F633="",G633=""),"",ROW()-6)</f>
      </c>
      <c r="B633" s="140" t="n"/>
      <c r="C633" s="141" t="n"/>
      <c r="D633" s="141" t="n"/>
      <c r="E633" s="142" t="n"/>
      <c r="F633" s="143" t="n"/>
      <c r="G633" s="144" t="n"/>
      <c r="H633" s="145">
        <f>IF(OR(C633="",AND(F633="",G633="")),"",SUMIF(基础资料!$W$5:$W$24,C633,基础资料!$X$5:$X$24)+SUMIF(C$7:C633,C633,F$7:F633)-SUMIF(C$7:C633,C633,G$7:G633))</f>
      </c>
      <c r="I633" s="145">
        <f>IF(AND(F633="",G633=""),"",SUM(基础资料!$X$5:$X$24)+SUM(F$7:F633)-SUM(G$7:G633))</f>
      </c>
      <c r="J633" s="141" t="n"/>
      <c r="K633" s="141" t="n"/>
      <c r="L633" s="141" t="n"/>
      <c r="M633" s="142" t="n"/>
      <c r="N633" s="146">
        <f>IF(AND(AND(F633="",G633=""),B633="",C633="",D633="",J633="",K633="",L633=""),"",IF(AND(F633="",G633=""),"✗ 没填金额",IF(AND(N(F633)&lt;&gt;0,N(G633)&lt;&gt;0),"✗ 收入、支出只能填一边",IF(NOT(ISNUMBER(B633)),"✗ 日期不是真日期（要像 2026/9/25 这样填）",IF(OR(B633&lt;年初日,B633&gt;年末日),"✗ 日期不在本会计年度",IF(C633="","✗ 没选账户",IF(COUNTIF(基础资料!$W$5:$W$24,C633)=0,"✗ 账户不在基础资料里",IF(O633="","✗ 没选收支项目",IF(P633="未知","✗ 收支项目不在基础资料里",IF(AND(P633="应收",J633=""),"✗ 这笔要选客户",IF(AND(P633="应收",COUNTIF(总览汇总!$B$5:$B$304,J633)=0),"✗ 客户不在总览汇总名单里",IF(AND(P633="应付",K633=""),"✗ 这笔要选供应商",IF(AND(P633="应付",COUNTIF(基础资料!$Q$5:$Q$54,K633)=0),"✗ 供应商不在基础资料里",IF(AND(P633="费用",L633=""),"✗ 费用支出要选费用项目",IF(AND(L633&lt;&gt;"",COUNTIF(基础资料!$AI$5:$AI$54,L633)=0),"✗ 费用项目不在基础资料里",IF(AND(IFERROR(INDEX(基础资料!$AD$5:$AD$34,MATCH(O633,基础资料!$AC$5:$AC$34,0)),"")="收",N(G633)&lt;&gt;0),"✗ 这类是收款，金额填到收入列",IF(AND(IFERROR(INDEX(基础资料!$AD$5:$AD$34,MATCH(O633,基础资料!$AC$5:$AC$34,0)),"")="支",N(F633)&lt;&gt;0),"✗ 这类是付款，金额填到支出列",IF(N(H633)&lt;0,"⚠ 账户余额成负数了，核对一下","√"))))))))))))))))))</f>
      </c>
      <c r="O633" s="78">
        <f>IF(D633&lt;&gt;"",D633,IF(AND(F633="",G633=""),"",IF(J633&lt;&gt;"",IF(N(F633)&gt;0,"客户回款","客户退款"),IF(K633&lt;&gt;"",IF(N(G633)&gt;0,"供应商付款","供应商退款"),IF(L633&lt;&gt;"","费用支出","")))))</f>
      </c>
      <c r="P633" s="78">
        <f>IF(O633="","",IFERROR(INDEX(基础资料!$AE$5:$AE$34,MATCH(O633,基础资料!$AC$5:$AC$34,0)),"未知"))</f>
      </c>
      <c r="Q633" s="78">
        <f>IF(P633="应收",COUNTIF(P$7:P633,"应收"),"")</f>
      </c>
      <c r="R633" s="78">
        <f>IF(P633="应付",COUNTIF(P$7:P633,"应付"),"")</f>
      </c>
      <c r="S633" s="78">
        <f>N(F633)-N(G633)</f>
        <v>0</v>
      </c>
    </row>
    <row r="634">
      <c r="A634" s="109">
        <f>IF(AND(F634="",G634=""),"",ROW()-6)</f>
      </c>
      <c r="B634" s="140" t="n"/>
      <c r="C634" s="141" t="n"/>
      <c r="D634" s="141" t="n"/>
      <c r="E634" s="142" t="n"/>
      <c r="F634" s="143" t="n"/>
      <c r="G634" s="144" t="n"/>
      <c r="H634" s="145">
        <f>IF(OR(C634="",AND(F634="",G634="")),"",SUMIF(基础资料!$W$5:$W$24,C634,基础资料!$X$5:$X$24)+SUMIF(C$7:C634,C634,F$7:F634)-SUMIF(C$7:C634,C634,G$7:G634))</f>
      </c>
      <c r="I634" s="145">
        <f>IF(AND(F634="",G634=""),"",SUM(基础资料!$X$5:$X$24)+SUM(F$7:F634)-SUM(G$7:G634))</f>
      </c>
      <c r="J634" s="141" t="n"/>
      <c r="K634" s="141" t="n"/>
      <c r="L634" s="141" t="n"/>
      <c r="M634" s="142" t="n"/>
      <c r="N634" s="146">
        <f>IF(AND(AND(F634="",G634=""),B634="",C634="",D634="",J634="",K634="",L634=""),"",IF(AND(F634="",G634=""),"✗ 没填金额",IF(AND(N(F634)&lt;&gt;0,N(G634)&lt;&gt;0),"✗ 收入、支出只能填一边",IF(NOT(ISNUMBER(B634)),"✗ 日期不是真日期（要像 2026/9/25 这样填）",IF(OR(B634&lt;年初日,B634&gt;年末日),"✗ 日期不在本会计年度",IF(C634="","✗ 没选账户",IF(COUNTIF(基础资料!$W$5:$W$24,C634)=0,"✗ 账户不在基础资料里",IF(O634="","✗ 没选收支项目",IF(P634="未知","✗ 收支项目不在基础资料里",IF(AND(P634="应收",J634=""),"✗ 这笔要选客户",IF(AND(P634="应收",COUNTIF(总览汇总!$B$5:$B$304,J634)=0),"✗ 客户不在总览汇总名单里",IF(AND(P634="应付",K634=""),"✗ 这笔要选供应商",IF(AND(P634="应付",COUNTIF(基础资料!$Q$5:$Q$54,K634)=0),"✗ 供应商不在基础资料里",IF(AND(P634="费用",L634=""),"✗ 费用支出要选费用项目",IF(AND(L634&lt;&gt;"",COUNTIF(基础资料!$AI$5:$AI$54,L634)=0),"✗ 费用项目不在基础资料里",IF(AND(IFERROR(INDEX(基础资料!$AD$5:$AD$34,MATCH(O634,基础资料!$AC$5:$AC$34,0)),"")="收",N(G634)&lt;&gt;0),"✗ 这类是收款，金额填到收入列",IF(AND(IFERROR(INDEX(基础资料!$AD$5:$AD$34,MATCH(O634,基础资料!$AC$5:$AC$34,0)),"")="支",N(F634)&lt;&gt;0),"✗ 这类是付款，金额填到支出列",IF(N(H634)&lt;0,"⚠ 账户余额成负数了，核对一下","√"))))))))))))))))))</f>
      </c>
      <c r="O634" s="78">
        <f>IF(D634&lt;&gt;"",D634,IF(AND(F634="",G634=""),"",IF(J634&lt;&gt;"",IF(N(F634)&gt;0,"客户回款","客户退款"),IF(K634&lt;&gt;"",IF(N(G634)&gt;0,"供应商付款","供应商退款"),IF(L634&lt;&gt;"","费用支出","")))))</f>
      </c>
      <c r="P634" s="78">
        <f>IF(O634="","",IFERROR(INDEX(基础资料!$AE$5:$AE$34,MATCH(O634,基础资料!$AC$5:$AC$34,0)),"未知"))</f>
      </c>
      <c r="Q634" s="78">
        <f>IF(P634="应收",COUNTIF(P$7:P634,"应收"),"")</f>
      </c>
      <c r="R634" s="78">
        <f>IF(P634="应付",COUNTIF(P$7:P634,"应付"),"")</f>
      </c>
      <c r="S634" s="78">
        <f>N(F634)-N(G634)</f>
        <v>0</v>
      </c>
    </row>
    <row r="635">
      <c r="A635" s="109">
        <f>IF(AND(F635="",G635=""),"",ROW()-6)</f>
      </c>
      <c r="B635" s="140" t="n"/>
      <c r="C635" s="141" t="n"/>
      <c r="D635" s="141" t="n"/>
      <c r="E635" s="142" t="n"/>
      <c r="F635" s="143" t="n"/>
      <c r="G635" s="144" t="n"/>
      <c r="H635" s="145">
        <f>IF(OR(C635="",AND(F635="",G635="")),"",SUMIF(基础资料!$W$5:$W$24,C635,基础资料!$X$5:$X$24)+SUMIF(C$7:C635,C635,F$7:F635)-SUMIF(C$7:C635,C635,G$7:G635))</f>
      </c>
      <c r="I635" s="145">
        <f>IF(AND(F635="",G635=""),"",SUM(基础资料!$X$5:$X$24)+SUM(F$7:F635)-SUM(G$7:G635))</f>
      </c>
      <c r="J635" s="141" t="n"/>
      <c r="K635" s="141" t="n"/>
      <c r="L635" s="141" t="n"/>
      <c r="M635" s="142" t="n"/>
      <c r="N635" s="146">
        <f>IF(AND(AND(F635="",G635=""),B635="",C635="",D635="",J635="",K635="",L635=""),"",IF(AND(F635="",G635=""),"✗ 没填金额",IF(AND(N(F635)&lt;&gt;0,N(G635)&lt;&gt;0),"✗ 收入、支出只能填一边",IF(NOT(ISNUMBER(B635)),"✗ 日期不是真日期（要像 2026/9/25 这样填）",IF(OR(B635&lt;年初日,B635&gt;年末日),"✗ 日期不在本会计年度",IF(C635="","✗ 没选账户",IF(COUNTIF(基础资料!$W$5:$W$24,C635)=0,"✗ 账户不在基础资料里",IF(O635="","✗ 没选收支项目",IF(P635="未知","✗ 收支项目不在基础资料里",IF(AND(P635="应收",J635=""),"✗ 这笔要选客户",IF(AND(P635="应收",COUNTIF(总览汇总!$B$5:$B$304,J635)=0),"✗ 客户不在总览汇总名单里",IF(AND(P635="应付",K635=""),"✗ 这笔要选供应商",IF(AND(P635="应付",COUNTIF(基础资料!$Q$5:$Q$54,K635)=0),"✗ 供应商不在基础资料里",IF(AND(P635="费用",L635=""),"✗ 费用支出要选费用项目",IF(AND(L635&lt;&gt;"",COUNTIF(基础资料!$AI$5:$AI$54,L635)=0),"✗ 费用项目不在基础资料里",IF(AND(IFERROR(INDEX(基础资料!$AD$5:$AD$34,MATCH(O635,基础资料!$AC$5:$AC$34,0)),"")="收",N(G635)&lt;&gt;0),"✗ 这类是收款，金额填到收入列",IF(AND(IFERROR(INDEX(基础资料!$AD$5:$AD$34,MATCH(O635,基础资料!$AC$5:$AC$34,0)),"")="支",N(F635)&lt;&gt;0),"✗ 这类是付款，金额填到支出列",IF(N(H635)&lt;0,"⚠ 账户余额成负数了，核对一下","√"))))))))))))))))))</f>
      </c>
      <c r="O635" s="78">
        <f>IF(D635&lt;&gt;"",D635,IF(AND(F635="",G635=""),"",IF(J635&lt;&gt;"",IF(N(F635)&gt;0,"客户回款","客户退款"),IF(K635&lt;&gt;"",IF(N(G635)&gt;0,"供应商付款","供应商退款"),IF(L635&lt;&gt;"","费用支出","")))))</f>
      </c>
      <c r="P635" s="78">
        <f>IF(O635="","",IFERROR(INDEX(基础资料!$AE$5:$AE$34,MATCH(O635,基础资料!$AC$5:$AC$34,0)),"未知"))</f>
      </c>
      <c r="Q635" s="78">
        <f>IF(P635="应收",COUNTIF(P$7:P635,"应收"),"")</f>
      </c>
      <c r="R635" s="78">
        <f>IF(P635="应付",COUNTIF(P$7:P635,"应付"),"")</f>
      </c>
      <c r="S635" s="78">
        <f>N(F635)-N(G635)</f>
        <v>0</v>
      </c>
    </row>
    <row r="636">
      <c r="A636" s="109">
        <f>IF(AND(F636="",G636=""),"",ROW()-6)</f>
      </c>
      <c r="B636" s="140" t="n"/>
      <c r="C636" s="141" t="n"/>
      <c r="D636" s="141" t="n"/>
      <c r="E636" s="142" t="n"/>
      <c r="F636" s="143" t="n"/>
      <c r="G636" s="144" t="n"/>
      <c r="H636" s="145">
        <f>IF(OR(C636="",AND(F636="",G636="")),"",SUMIF(基础资料!$W$5:$W$24,C636,基础资料!$X$5:$X$24)+SUMIF(C$7:C636,C636,F$7:F636)-SUMIF(C$7:C636,C636,G$7:G636))</f>
      </c>
      <c r="I636" s="145">
        <f>IF(AND(F636="",G636=""),"",SUM(基础资料!$X$5:$X$24)+SUM(F$7:F636)-SUM(G$7:G636))</f>
      </c>
      <c r="J636" s="141" t="n"/>
      <c r="K636" s="141" t="n"/>
      <c r="L636" s="141" t="n"/>
      <c r="M636" s="142" t="n"/>
      <c r="N636" s="146">
        <f>IF(AND(AND(F636="",G636=""),B636="",C636="",D636="",J636="",K636="",L636=""),"",IF(AND(F636="",G636=""),"✗ 没填金额",IF(AND(N(F636)&lt;&gt;0,N(G636)&lt;&gt;0),"✗ 收入、支出只能填一边",IF(NOT(ISNUMBER(B636)),"✗ 日期不是真日期（要像 2026/9/25 这样填）",IF(OR(B636&lt;年初日,B636&gt;年末日),"✗ 日期不在本会计年度",IF(C636="","✗ 没选账户",IF(COUNTIF(基础资料!$W$5:$W$24,C636)=0,"✗ 账户不在基础资料里",IF(O636="","✗ 没选收支项目",IF(P636="未知","✗ 收支项目不在基础资料里",IF(AND(P636="应收",J636=""),"✗ 这笔要选客户",IF(AND(P636="应收",COUNTIF(总览汇总!$B$5:$B$304,J636)=0),"✗ 客户不在总览汇总名单里",IF(AND(P636="应付",K636=""),"✗ 这笔要选供应商",IF(AND(P636="应付",COUNTIF(基础资料!$Q$5:$Q$54,K636)=0),"✗ 供应商不在基础资料里",IF(AND(P636="费用",L636=""),"✗ 费用支出要选费用项目",IF(AND(L636&lt;&gt;"",COUNTIF(基础资料!$AI$5:$AI$54,L636)=0),"✗ 费用项目不在基础资料里",IF(AND(IFERROR(INDEX(基础资料!$AD$5:$AD$34,MATCH(O636,基础资料!$AC$5:$AC$34,0)),"")="收",N(G636)&lt;&gt;0),"✗ 这类是收款，金额填到收入列",IF(AND(IFERROR(INDEX(基础资料!$AD$5:$AD$34,MATCH(O636,基础资料!$AC$5:$AC$34,0)),"")="支",N(F636)&lt;&gt;0),"✗ 这类是付款，金额填到支出列",IF(N(H636)&lt;0,"⚠ 账户余额成负数了，核对一下","√"))))))))))))))))))</f>
      </c>
      <c r="O636" s="78">
        <f>IF(D636&lt;&gt;"",D636,IF(AND(F636="",G636=""),"",IF(J636&lt;&gt;"",IF(N(F636)&gt;0,"客户回款","客户退款"),IF(K636&lt;&gt;"",IF(N(G636)&gt;0,"供应商付款","供应商退款"),IF(L636&lt;&gt;"","费用支出","")))))</f>
      </c>
      <c r="P636" s="78">
        <f>IF(O636="","",IFERROR(INDEX(基础资料!$AE$5:$AE$34,MATCH(O636,基础资料!$AC$5:$AC$34,0)),"未知"))</f>
      </c>
      <c r="Q636" s="78">
        <f>IF(P636="应收",COUNTIF(P$7:P636,"应收"),"")</f>
      </c>
      <c r="R636" s="78">
        <f>IF(P636="应付",COUNTIF(P$7:P636,"应付"),"")</f>
      </c>
      <c r="S636" s="78">
        <f>N(F636)-N(G636)</f>
        <v>0</v>
      </c>
    </row>
    <row r="637">
      <c r="A637" s="109">
        <f>IF(AND(F637="",G637=""),"",ROW()-6)</f>
      </c>
      <c r="B637" s="140" t="n"/>
      <c r="C637" s="141" t="n"/>
      <c r="D637" s="141" t="n"/>
      <c r="E637" s="142" t="n"/>
      <c r="F637" s="143" t="n"/>
      <c r="G637" s="144" t="n"/>
      <c r="H637" s="145">
        <f>IF(OR(C637="",AND(F637="",G637="")),"",SUMIF(基础资料!$W$5:$W$24,C637,基础资料!$X$5:$X$24)+SUMIF(C$7:C637,C637,F$7:F637)-SUMIF(C$7:C637,C637,G$7:G637))</f>
      </c>
      <c r="I637" s="145">
        <f>IF(AND(F637="",G637=""),"",SUM(基础资料!$X$5:$X$24)+SUM(F$7:F637)-SUM(G$7:G637))</f>
      </c>
      <c r="J637" s="141" t="n"/>
      <c r="K637" s="141" t="n"/>
      <c r="L637" s="141" t="n"/>
      <c r="M637" s="142" t="n"/>
      <c r="N637" s="146">
        <f>IF(AND(AND(F637="",G637=""),B637="",C637="",D637="",J637="",K637="",L637=""),"",IF(AND(F637="",G637=""),"✗ 没填金额",IF(AND(N(F637)&lt;&gt;0,N(G637)&lt;&gt;0),"✗ 收入、支出只能填一边",IF(NOT(ISNUMBER(B637)),"✗ 日期不是真日期（要像 2026/9/25 这样填）",IF(OR(B637&lt;年初日,B637&gt;年末日),"✗ 日期不在本会计年度",IF(C637="","✗ 没选账户",IF(COUNTIF(基础资料!$W$5:$W$24,C637)=0,"✗ 账户不在基础资料里",IF(O637="","✗ 没选收支项目",IF(P637="未知","✗ 收支项目不在基础资料里",IF(AND(P637="应收",J637=""),"✗ 这笔要选客户",IF(AND(P637="应收",COUNTIF(总览汇总!$B$5:$B$304,J637)=0),"✗ 客户不在总览汇总名单里",IF(AND(P637="应付",K637=""),"✗ 这笔要选供应商",IF(AND(P637="应付",COUNTIF(基础资料!$Q$5:$Q$54,K637)=0),"✗ 供应商不在基础资料里",IF(AND(P637="费用",L637=""),"✗ 费用支出要选费用项目",IF(AND(L637&lt;&gt;"",COUNTIF(基础资料!$AI$5:$AI$54,L637)=0),"✗ 费用项目不在基础资料里",IF(AND(IFERROR(INDEX(基础资料!$AD$5:$AD$34,MATCH(O637,基础资料!$AC$5:$AC$34,0)),"")="收",N(G637)&lt;&gt;0),"✗ 这类是收款，金额填到收入列",IF(AND(IFERROR(INDEX(基础资料!$AD$5:$AD$34,MATCH(O637,基础资料!$AC$5:$AC$34,0)),"")="支",N(F637)&lt;&gt;0),"✗ 这类是付款，金额填到支出列",IF(N(H637)&lt;0,"⚠ 账户余额成负数了，核对一下","√"))))))))))))))))))</f>
      </c>
      <c r="O637" s="78">
        <f>IF(D637&lt;&gt;"",D637,IF(AND(F637="",G637=""),"",IF(J637&lt;&gt;"",IF(N(F637)&gt;0,"客户回款","客户退款"),IF(K637&lt;&gt;"",IF(N(G637)&gt;0,"供应商付款","供应商退款"),IF(L637&lt;&gt;"","费用支出","")))))</f>
      </c>
      <c r="P637" s="78">
        <f>IF(O637="","",IFERROR(INDEX(基础资料!$AE$5:$AE$34,MATCH(O637,基础资料!$AC$5:$AC$34,0)),"未知"))</f>
      </c>
      <c r="Q637" s="78">
        <f>IF(P637="应收",COUNTIF(P$7:P637,"应收"),"")</f>
      </c>
      <c r="R637" s="78">
        <f>IF(P637="应付",COUNTIF(P$7:P637,"应付"),"")</f>
      </c>
      <c r="S637" s="78">
        <f>N(F637)-N(G637)</f>
        <v>0</v>
      </c>
    </row>
    <row r="638">
      <c r="A638" s="109">
        <f>IF(AND(F638="",G638=""),"",ROW()-6)</f>
      </c>
      <c r="B638" s="140" t="n"/>
      <c r="C638" s="141" t="n"/>
      <c r="D638" s="141" t="n"/>
      <c r="E638" s="142" t="n"/>
      <c r="F638" s="143" t="n"/>
      <c r="G638" s="144" t="n"/>
      <c r="H638" s="145">
        <f>IF(OR(C638="",AND(F638="",G638="")),"",SUMIF(基础资料!$W$5:$W$24,C638,基础资料!$X$5:$X$24)+SUMIF(C$7:C638,C638,F$7:F638)-SUMIF(C$7:C638,C638,G$7:G638))</f>
      </c>
      <c r="I638" s="145">
        <f>IF(AND(F638="",G638=""),"",SUM(基础资料!$X$5:$X$24)+SUM(F$7:F638)-SUM(G$7:G638))</f>
      </c>
      <c r="J638" s="141" t="n"/>
      <c r="K638" s="141" t="n"/>
      <c r="L638" s="141" t="n"/>
      <c r="M638" s="142" t="n"/>
      <c r="N638" s="146">
        <f>IF(AND(AND(F638="",G638=""),B638="",C638="",D638="",J638="",K638="",L638=""),"",IF(AND(F638="",G638=""),"✗ 没填金额",IF(AND(N(F638)&lt;&gt;0,N(G638)&lt;&gt;0),"✗ 收入、支出只能填一边",IF(NOT(ISNUMBER(B638)),"✗ 日期不是真日期（要像 2026/9/25 这样填）",IF(OR(B638&lt;年初日,B638&gt;年末日),"✗ 日期不在本会计年度",IF(C638="","✗ 没选账户",IF(COUNTIF(基础资料!$W$5:$W$24,C638)=0,"✗ 账户不在基础资料里",IF(O638="","✗ 没选收支项目",IF(P638="未知","✗ 收支项目不在基础资料里",IF(AND(P638="应收",J638=""),"✗ 这笔要选客户",IF(AND(P638="应收",COUNTIF(总览汇总!$B$5:$B$304,J638)=0),"✗ 客户不在总览汇总名单里",IF(AND(P638="应付",K638=""),"✗ 这笔要选供应商",IF(AND(P638="应付",COUNTIF(基础资料!$Q$5:$Q$54,K638)=0),"✗ 供应商不在基础资料里",IF(AND(P638="费用",L638=""),"✗ 费用支出要选费用项目",IF(AND(L638&lt;&gt;"",COUNTIF(基础资料!$AI$5:$AI$54,L638)=0),"✗ 费用项目不在基础资料里",IF(AND(IFERROR(INDEX(基础资料!$AD$5:$AD$34,MATCH(O638,基础资料!$AC$5:$AC$34,0)),"")="收",N(G638)&lt;&gt;0),"✗ 这类是收款，金额填到收入列",IF(AND(IFERROR(INDEX(基础资料!$AD$5:$AD$34,MATCH(O638,基础资料!$AC$5:$AC$34,0)),"")="支",N(F638)&lt;&gt;0),"✗ 这类是付款，金额填到支出列",IF(N(H638)&lt;0,"⚠ 账户余额成负数了，核对一下","√"))))))))))))))))))</f>
      </c>
      <c r="O638" s="78">
        <f>IF(D638&lt;&gt;"",D638,IF(AND(F638="",G638=""),"",IF(J638&lt;&gt;"",IF(N(F638)&gt;0,"客户回款","客户退款"),IF(K638&lt;&gt;"",IF(N(G638)&gt;0,"供应商付款","供应商退款"),IF(L638&lt;&gt;"","费用支出","")))))</f>
      </c>
      <c r="P638" s="78">
        <f>IF(O638="","",IFERROR(INDEX(基础资料!$AE$5:$AE$34,MATCH(O638,基础资料!$AC$5:$AC$34,0)),"未知"))</f>
      </c>
      <c r="Q638" s="78">
        <f>IF(P638="应收",COUNTIF(P$7:P638,"应收"),"")</f>
      </c>
      <c r="R638" s="78">
        <f>IF(P638="应付",COUNTIF(P$7:P638,"应付"),"")</f>
      </c>
      <c r="S638" s="78">
        <f>N(F638)-N(G638)</f>
        <v>0</v>
      </c>
    </row>
    <row r="639">
      <c r="A639" s="109">
        <f>IF(AND(F639="",G639=""),"",ROW()-6)</f>
      </c>
      <c r="B639" s="140" t="n"/>
      <c r="C639" s="141" t="n"/>
      <c r="D639" s="141" t="n"/>
      <c r="E639" s="142" t="n"/>
      <c r="F639" s="143" t="n"/>
      <c r="G639" s="144" t="n"/>
      <c r="H639" s="145">
        <f>IF(OR(C639="",AND(F639="",G639="")),"",SUMIF(基础资料!$W$5:$W$24,C639,基础资料!$X$5:$X$24)+SUMIF(C$7:C639,C639,F$7:F639)-SUMIF(C$7:C639,C639,G$7:G639))</f>
      </c>
      <c r="I639" s="145">
        <f>IF(AND(F639="",G639=""),"",SUM(基础资料!$X$5:$X$24)+SUM(F$7:F639)-SUM(G$7:G639))</f>
      </c>
      <c r="J639" s="141" t="n"/>
      <c r="K639" s="141" t="n"/>
      <c r="L639" s="141" t="n"/>
      <c r="M639" s="142" t="n"/>
      <c r="N639" s="146">
        <f>IF(AND(AND(F639="",G639=""),B639="",C639="",D639="",J639="",K639="",L639=""),"",IF(AND(F639="",G639=""),"✗ 没填金额",IF(AND(N(F639)&lt;&gt;0,N(G639)&lt;&gt;0),"✗ 收入、支出只能填一边",IF(NOT(ISNUMBER(B639)),"✗ 日期不是真日期（要像 2026/9/25 这样填）",IF(OR(B639&lt;年初日,B639&gt;年末日),"✗ 日期不在本会计年度",IF(C639="","✗ 没选账户",IF(COUNTIF(基础资料!$W$5:$W$24,C639)=0,"✗ 账户不在基础资料里",IF(O639="","✗ 没选收支项目",IF(P639="未知","✗ 收支项目不在基础资料里",IF(AND(P639="应收",J639=""),"✗ 这笔要选客户",IF(AND(P639="应收",COUNTIF(总览汇总!$B$5:$B$304,J639)=0),"✗ 客户不在总览汇总名单里",IF(AND(P639="应付",K639=""),"✗ 这笔要选供应商",IF(AND(P639="应付",COUNTIF(基础资料!$Q$5:$Q$54,K639)=0),"✗ 供应商不在基础资料里",IF(AND(P639="费用",L639=""),"✗ 费用支出要选费用项目",IF(AND(L639&lt;&gt;"",COUNTIF(基础资料!$AI$5:$AI$54,L639)=0),"✗ 费用项目不在基础资料里",IF(AND(IFERROR(INDEX(基础资料!$AD$5:$AD$34,MATCH(O639,基础资料!$AC$5:$AC$34,0)),"")="收",N(G639)&lt;&gt;0),"✗ 这类是收款，金额填到收入列",IF(AND(IFERROR(INDEX(基础资料!$AD$5:$AD$34,MATCH(O639,基础资料!$AC$5:$AC$34,0)),"")="支",N(F639)&lt;&gt;0),"✗ 这类是付款，金额填到支出列",IF(N(H639)&lt;0,"⚠ 账户余额成负数了，核对一下","√"))))))))))))))))))</f>
      </c>
      <c r="O639" s="78">
        <f>IF(D639&lt;&gt;"",D639,IF(AND(F639="",G639=""),"",IF(J639&lt;&gt;"",IF(N(F639)&gt;0,"客户回款","客户退款"),IF(K639&lt;&gt;"",IF(N(G639)&gt;0,"供应商付款","供应商退款"),IF(L639&lt;&gt;"","费用支出","")))))</f>
      </c>
      <c r="P639" s="78">
        <f>IF(O639="","",IFERROR(INDEX(基础资料!$AE$5:$AE$34,MATCH(O639,基础资料!$AC$5:$AC$34,0)),"未知"))</f>
      </c>
      <c r="Q639" s="78">
        <f>IF(P639="应收",COUNTIF(P$7:P639,"应收"),"")</f>
      </c>
      <c r="R639" s="78">
        <f>IF(P639="应付",COUNTIF(P$7:P639,"应付"),"")</f>
      </c>
      <c r="S639" s="78">
        <f>N(F639)-N(G639)</f>
        <v>0</v>
      </c>
    </row>
    <row r="640">
      <c r="A640" s="109">
        <f>IF(AND(F640="",G640=""),"",ROW()-6)</f>
      </c>
      <c r="B640" s="140" t="n"/>
      <c r="C640" s="141" t="n"/>
      <c r="D640" s="141" t="n"/>
      <c r="E640" s="142" t="n"/>
      <c r="F640" s="143" t="n"/>
      <c r="G640" s="144" t="n"/>
      <c r="H640" s="145">
        <f>IF(OR(C640="",AND(F640="",G640="")),"",SUMIF(基础资料!$W$5:$W$24,C640,基础资料!$X$5:$X$24)+SUMIF(C$7:C640,C640,F$7:F640)-SUMIF(C$7:C640,C640,G$7:G640))</f>
      </c>
      <c r="I640" s="145">
        <f>IF(AND(F640="",G640=""),"",SUM(基础资料!$X$5:$X$24)+SUM(F$7:F640)-SUM(G$7:G640))</f>
      </c>
      <c r="J640" s="141" t="n"/>
      <c r="K640" s="141" t="n"/>
      <c r="L640" s="141" t="n"/>
      <c r="M640" s="142" t="n"/>
      <c r="N640" s="146">
        <f>IF(AND(AND(F640="",G640=""),B640="",C640="",D640="",J640="",K640="",L640=""),"",IF(AND(F640="",G640=""),"✗ 没填金额",IF(AND(N(F640)&lt;&gt;0,N(G640)&lt;&gt;0),"✗ 收入、支出只能填一边",IF(NOT(ISNUMBER(B640)),"✗ 日期不是真日期（要像 2026/9/25 这样填）",IF(OR(B640&lt;年初日,B640&gt;年末日),"✗ 日期不在本会计年度",IF(C640="","✗ 没选账户",IF(COUNTIF(基础资料!$W$5:$W$24,C640)=0,"✗ 账户不在基础资料里",IF(O640="","✗ 没选收支项目",IF(P640="未知","✗ 收支项目不在基础资料里",IF(AND(P640="应收",J640=""),"✗ 这笔要选客户",IF(AND(P640="应收",COUNTIF(总览汇总!$B$5:$B$304,J640)=0),"✗ 客户不在总览汇总名单里",IF(AND(P640="应付",K640=""),"✗ 这笔要选供应商",IF(AND(P640="应付",COUNTIF(基础资料!$Q$5:$Q$54,K640)=0),"✗ 供应商不在基础资料里",IF(AND(P640="费用",L640=""),"✗ 费用支出要选费用项目",IF(AND(L640&lt;&gt;"",COUNTIF(基础资料!$AI$5:$AI$54,L640)=0),"✗ 费用项目不在基础资料里",IF(AND(IFERROR(INDEX(基础资料!$AD$5:$AD$34,MATCH(O640,基础资料!$AC$5:$AC$34,0)),"")="收",N(G640)&lt;&gt;0),"✗ 这类是收款，金额填到收入列",IF(AND(IFERROR(INDEX(基础资料!$AD$5:$AD$34,MATCH(O640,基础资料!$AC$5:$AC$34,0)),"")="支",N(F640)&lt;&gt;0),"✗ 这类是付款，金额填到支出列",IF(N(H640)&lt;0,"⚠ 账户余额成负数了，核对一下","√"))))))))))))))))))</f>
      </c>
      <c r="O640" s="78">
        <f>IF(D640&lt;&gt;"",D640,IF(AND(F640="",G640=""),"",IF(J640&lt;&gt;"",IF(N(F640)&gt;0,"客户回款","客户退款"),IF(K640&lt;&gt;"",IF(N(G640)&gt;0,"供应商付款","供应商退款"),IF(L640&lt;&gt;"","费用支出","")))))</f>
      </c>
      <c r="P640" s="78">
        <f>IF(O640="","",IFERROR(INDEX(基础资料!$AE$5:$AE$34,MATCH(O640,基础资料!$AC$5:$AC$34,0)),"未知"))</f>
      </c>
      <c r="Q640" s="78">
        <f>IF(P640="应收",COUNTIF(P$7:P640,"应收"),"")</f>
      </c>
      <c r="R640" s="78">
        <f>IF(P640="应付",COUNTIF(P$7:P640,"应付"),"")</f>
      </c>
      <c r="S640" s="78">
        <f>N(F640)-N(G640)</f>
        <v>0</v>
      </c>
    </row>
    <row r="641">
      <c r="A641" s="109">
        <f>IF(AND(F641="",G641=""),"",ROW()-6)</f>
      </c>
      <c r="B641" s="140" t="n"/>
      <c r="C641" s="141" t="n"/>
      <c r="D641" s="141" t="n"/>
      <c r="E641" s="142" t="n"/>
      <c r="F641" s="143" t="n"/>
      <c r="G641" s="144" t="n"/>
      <c r="H641" s="145">
        <f>IF(OR(C641="",AND(F641="",G641="")),"",SUMIF(基础资料!$W$5:$W$24,C641,基础资料!$X$5:$X$24)+SUMIF(C$7:C641,C641,F$7:F641)-SUMIF(C$7:C641,C641,G$7:G641))</f>
      </c>
      <c r="I641" s="145">
        <f>IF(AND(F641="",G641=""),"",SUM(基础资料!$X$5:$X$24)+SUM(F$7:F641)-SUM(G$7:G641))</f>
      </c>
      <c r="J641" s="141" t="n"/>
      <c r="K641" s="141" t="n"/>
      <c r="L641" s="141" t="n"/>
      <c r="M641" s="142" t="n"/>
      <c r="N641" s="146">
        <f>IF(AND(AND(F641="",G641=""),B641="",C641="",D641="",J641="",K641="",L641=""),"",IF(AND(F641="",G641=""),"✗ 没填金额",IF(AND(N(F641)&lt;&gt;0,N(G641)&lt;&gt;0),"✗ 收入、支出只能填一边",IF(NOT(ISNUMBER(B641)),"✗ 日期不是真日期（要像 2026/9/25 这样填）",IF(OR(B641&lt;年初日,B641&gt;年末日),"✗ 日期不在本会计年度",IF(C641="","✗ 没选账户",IF(COUNTIF(基础资料!$W$5:$W$24,C641)=0,"✗ 账户不在基础资料里",IF(O641="","✗ 没选收支项目",IF(P641="未知","✗ 收支项目不在基础资料里",IF(AND(P641="应收",J641=""),"✗ 这笔要选客户",IF(AND(P641="应收",COUNTIF(总览汇总!$B$5:$B$304,J641)=0),"✗ 客户不在总览汇总名单里",IF(AND(P641="应付",K641=""),"✗ 这笔要选供应商",IF(AND(P641="应付",COUNTIF(基础资料!$Q$5:$Q$54,K641)=0),"✗ 供应商不在基础资料里",IF(AND(P641="费用",L641=""),"✗ 费用支出要选费用项目",IF(AND(L641&lt;&gt;"",COUNTIF(基础资料!$AI$5:$AI$54,L641)=0),"✗ 费用项目不在基础资料里",IF(AND(IFERROR(INDEX(基础资料!$AD$5:$AD$34,MATCH(O641,基础资料!$AC$5:$AC$34,0)),"")="收",N(G641)&lt;&gt;0),"✗ 这类是收款，金额填到收入列",IF(AND(IFERROR(INDEX(基础资料!$AD$5:$AD$34,MATCH(O641,基础资料!$AC$5:$AC$34,0)),"")="支",N(F641)&lt;&gt;0),"✗ 这类是付款，金额填到支出列",IF(N(H641)&lt;0,"⚠ 账户余额成负数了，核对一下","√"))))))))))))))))))</f>
      </c>
      <c r="O641" s="78">
        <f>IF(D641&lt;&gt;"",D641,IF(AND(F641="",G641=""),"",IF(J641&lt;&gt;"",IF(N(F641)&gt;0,"客户回款","客户退款"),IF(K641&lt;&gt;"",IF(N(G641)&gt;0,"供应商付款","供应商退款"),IF(L641&lt;&gt;"","费用支出","")))))</f>
      </c>
      <c r="P641" s="78">
        <f>IF(O641="","",IFERROR(INDEX(基础资料!$AE$5:$AE$34,MATCH(O641,基础资料!$AC$5:$AC$34,0)),"未知"))</f>
      </c>
      <c r="Q641" s="78">
        <f>IF(P641="应收",COUNTIF(P$7:P641,"应收"),"")</f>
      </c>
      <c r="R641" s="78">
        <f>IF(P641="应付",COUNTIF(P$7:P641,"应付"),"")</f>
      </c>
      <c r="S641" s="78">
        <f>N(F641)-N(G641)</f>
        <v>0</v>
      </c>
    </row>
    <row r="642">
      <c r="A642" s="109">
        <f>IF(AND(F642="",G642=""),"",ROW()-6)</f>
      </c>
      <c r="B642" s="140" t="n"/>
      <c r="C642" s="141" t="n"/>
      <c r="D642" s="141" t="n"/>
      <c r="E642" s="142" t="n"/>
      <c r="F642" s="143" t="n"/>
      <c r="G642" s="144" t="n"/>
      <c r="H642" s="145">
        <f>IF(OR(C642="",AND(F642="",G642="")),"",SUMIF(基础资料!$W$5:$W$24,C642,基础资料!$X$5:$X$24)+SUMIF(C$7:C642,C642,F$7:F642)-SUMIF(C$7:C642,C642,G$7:G642))</f>
      </c>
      <c r="I642" s="145">
        <f>IF(AND(F642="",G642=""),"",SUM(基础资料!$X$5:$X$24)+SUM(F$7:F642)-SUM(G$7:G642))</f>
      </c>
      <c r="J642" s="141" t="n"/>
      <c r="K642" s="141" t="n"/>
      <c r="L642" s="141" t="n"/>
      <c r="M642" s="142" t="n"/>
      <c r="N642" s="146">
        <f>IF(AND(AND(F642="",G642=""),B642="",C642="",D642="",J642="",K642="",L642=""),"",IF(AND(F642="",G642=""),"✗ 没填金额",IF(AND(N(F642)&lt;&gt;0,N(G642)&lt;&gt;0),"✗ 收入、支出只能填一边",IF(NOT(ISNUMBER(B642)),"✗ 日期不是真日期（要像 2026/9/25 这样填）",IF(OR(B642&lt;年初日,B642&gt;年末日),"✗ 日期不在本会计年度",IF(C642="","✗ 没选账户",IF(COUNTIF(基础资料!$W$5:$W$24,C642)=0,"✗ 账户不在基础资料里",IF(O642="","✗ 没选收支项目",IF(P642="未知","✗ 收支项目不在基础资料里",IF(AND(P642="应收",J642=""),"✗ 这笔要选客户",IF(AND(P642="应收",COUNTIF(总览汇总!$B$5:$B$304,J642)=0),"✗ 客户不在总览汇总名单里",IF(AND(P642="应付",K642=""),"✗ 这笔要选供应商",IF(AND(P642="应付",COUNTIF(基础资料!$Q$5:$Q$54,K642)=0),"✗ 供应商不在基础资料里",IF(AND(P642="费用",L642=""),"✗ 费用支出要选费用项目",IF(AND(L642&lt;&gt;"",COUNTIF(基础资料!$AI$5:$AI$54,L642)=0),"✗ 费用项目不在基础资料里",IF(AND(IFERROR(INDEX(基础资料!$AD$5:$AD$34,MATCH(O642,基础资料!$AC$5:$AC$34,0)),"")="收",N(G642)&lt;&gt;0),"✗ 这类是收款，金额填到收入列",IF(AND(IFERROR(INDEX(基础资料!$AD$5:$AD$34,MATCH(O642,基础资料!$AC$5:$AC$34,0)),"")="支",N(F642)&lt;&gt;0),"✗ 这类是付款，金额填到支出列",IF(N(H642)&lt;0,"⚠ 账户余额成负数了，核对一下","√"))))))))))))))))))</f>
      </c>
      <c r="O642" s="78">
        <f>IF(D642&lt;&gt;"",D642,IF(AND(F642="",G642=""),"",IF(J642&lt;&gt;"",IF(N(F642)&gt;0,"客户回款","客户退款"),IF(K642&lt;&gt;"",IF(N(G642)&gt;0,"供应商付款","供应商退款"),IF(L642&lt;&gt;"","费用支出","")))))</f>
      </c>
      <c r="P642" s="78">
        <f>IF(O642="","",IFERROR(INDEX(基础资料!$AE$5:$AE$34,MATCH(O642,基础资料!$AC$5:$AC$34,0)),"未知"))</f>
      </c>
      <c r="Q642" s="78">
        <f>IF(P642="应收",COUNTIF(P$7:P642,"应收"),"")</f>
      </c>
      <c r="R642" s="78">
        <f>IF(P642="应付",COUNTIF(P$7:P642,"应付"),"")</f>
      </c>
      <c r="S642" s="78">
        <f>N(F642)-N(G642)</f>
        <v>0</v>
      </c>
    </row>
    <row r="643">
      <c r="A643" s="109">
        <f>IF(AND(F643="",G643=""),"",ROW()-6)</f>
      </c>
      <c r="B643" s="140" t="n"/>
      <c r="C643" s="141" t="n"/>
      <c r="D643" s="141" t="n"/>
      <c r="E643" s="142" t="n"/>
      <c r="F643" s="143" t="n"/>
      <c r="G643" s="144" t="n"/>
      <c r="H643" s="145">
        <f>IF(OR(C643="",AND(F643="",G643="")),"",SUMIF(基础资料!$W$5:$W$24,C643,基础资料!$X$5:$X$24)+SUMIF(C$7:C643,C643,F$7:F643)-SUMIF(C$7:C643,C643,G$7:G643))</f>
      </c>
      <c r="I643" s="145">
        <f>IF(AND(F643="",G643=""),"",SUM(基础资料!$X$5:$X$24)+SUM(F$7:F643)-SUM(G$7:G643))</f>
      </c>
      <c r="J643" s="141" t="n"/>
      <c r="K643" s="141" t="n"/>
      <c r="L643" s="141" t="n"/>
      <c r="M643" s="142" t="n"/>
      <c r="N643" s="146">
        <f>IF(AND(AND(F643="",G643=""),B643="",C643="",D643="",J643="",K643="",L643=""),"",IF(AND(F643="",G643=""),"✗ 没填金额",IF(AND(N(F643)&lt;&gt;0,N(G643)&lt;&gt;0),"✗ 收入、支出只能填一边",IF(NOT(ISNUMBER(B643)),"✗ 日期不是真日期（要像 2026/9/25 这样填）",IF(OR(B643&lt;年初日,B643&gt;年末日),"✗ 日期不在本会计年度",IF(C643="","✗ 没选账户",IF(COUNTIF(基础资料!$W$5:$W$24,C643)=0,"✗ 账户不在基础资料里",IF(O643="","✗ 没选收支项目",IF(P643="未知","✗ 收支项目不在基础资料里",IF(AND(P643="应收",J643=""),"✗ 这笔要选客户",IF(AND(P643="应收",COUNTIF(总览汇总!$B$5:$B$304,J643)=0),"✗ 客户不在总览汇总名单里",IF(AND(P643="应付",K643=""),"✗ 这笔要选供应商",IF(AND(P643="应付",COUNTIF(基础资料!$Q$5:$Q$54,K643)=0),"✗ 供应商不在基础资料里",IF(AND(P643="费用",L643=""),"✗ 费用支出要选费用项目",IF(AND(L643&lt;&gt;"",COUNTIF(基础资料!$AI$5:$AI$54,L643)=0),"✗ 费用项目不在基础资料里",IF(AND(IFERROR(INDEX(基础资料!$AD$5:$AD$34,MATCH(O643,基础资料!$AC$5:$AC$34,0)),"")="收",N(G643)&lt;&gt;0),"✗ 这类是收款，金额填到收入列",IF(AND(IFERROR(INDEX(基础资料!$AD$5:$AD$34,MATCH(O643,基础资料!$AC$5:$AC$34,0)),"")="支",N(F643)&lt;&gt;0),"✗ 这类是付款，金额填到支出列",IF(N(H643)&lt;0,"⚠ 账户余额成负数了，核对一下","√"))))))))))))))))))</f>
      </c>
      <c r="O643" s="78">
        <f>IF(D643&lt;&gt;"",D643,IF(AND(F643="",G643=""),"",IF(J643&lt;&gt;"",IF(N(F643)&gt;0,"客户回款","客户退款"),IF(K643&lt;&gt;"",IF(N(G643)&gt;0,"供应商付款","供应商退款"),IF(L643&lt;&gt;"","费用支出","")))))</f>
      </c>
      <c r="P643" s="78">
        <f>IF(O643="","",IFERROR(INDEX(基础资料!$AE$5:$AE$34,MATCH(O643,基础资料!$AC$5:$AC$34,0)),"未知"))</f>
      </c>
      <c r="Q643" s="78">
        <f>IF(P643="应收",COUNTIF(P$7:P643,"应收"),"")</f>
      </c>
      <c r="R643" s="78">
        <f>IF(P643="应付",COUNTIF(P$7:P643,"应付"),"")</f>
      </c>
      <c r="S643" s="78">
        <f>N(F643)-N(G643)</f>
        <v>0</v>
      </c>
    </row>
    <row r="644">
      <c r="A644" s="109">
        <f>IF(AND(F644="",G644=""),"",ROW()-6)</f>
      </c>
      <c r="B644" s="140" t="n"/>
      <c r="C644" s="141" t="n"/>
      <c r="D644" s="141" t="n"/>
      <c r="E644" s="142" t="n"/>
      <c r="F644" s="143" t="n"/>
      <c r="G644" s="144" t="n"/>
      <c r="H644" s="145">
        <f>IF(OR(C644="",AND(F644="",G644="")),"",SUMIF(基础资料!$W$5:$W$24,C644,基础资料!$X$5:$X$24)+SUMIF(C$7:C644,C644,F$7:F644)-SUMIF(C$7:C644,C644,G$7:G644))</f>
      </c>
      <c r="I644" s="145">
        <f>IF(AND(F644="",G644=""),"",SUM(基础资料!$X$5:$X$24)+SUM(F$7:F644)-SUM(G$7:G644))</f>
      </c>
      <c r="J644" s="141" t="n"/>
      <c r="K644" s="141" t="n"/>
      <c r="L644" s="141" t="n"/>
      <c r="M644" s="142" t="n"/>
      <c r="N644" s="146">
        <f>IF(AND(AND(F644="",G644=""),B644="",C644="",D644="",J644="",K644="",L644=""),"",IF(AND(F644="",G644=""),"✗ 没填金额",IF(AND(N(F644)&lt;&gt;0,N(G644)&lt;&gt;0),"✗ 收入、支出只能填一边",IF(NOT(ISNUMBER(B644)),"✗ 日期不是真日期（要像 2026/9/25 这样填）",IF(OR(B644&lt;年初日,B644&gt;年末日),"✗ 日期不在本会计年度",IF(C644="","✗ 没选账户",IF(COUNTIF(基础资料!$W$5:$W$24,C644)=0,"✗ 账户不在基础资料里",IF(O644="","✗ 没选收支项目",IF(P644="未知","✗ 收支项目不在基础资料里",IF(AND(P644="应收",J644=""),"✗ 这笔要选客户",IF(AND(P644="应收",COUNTIF(总览汇总!$B$5:$B$304,J644)=0),"✗ 客户不在总览汇总名单里",IF(AND(P644="应付",K644=""),"✗ 这笔要选供应商",IF(AND(P644="应付",COUNTIF(基础资料!$Q$5:$Q$54,K644)=0),"✗ 供应商不在基础资料里",IF(AND(P644="费用",L644=""),"✗ 费用支出要选费用项目",IF(AND(L644&lt;&gt;"",COUNTIF(基础资料!$AI$5:$AI$54,L644)=0),"✗ 费用项目不在基础资料里",IF(AND(IFERROR(INDEX(基础资料!$AD$5:$AD$34,MATCH(O644,基础资料!$AC$5:$AC$34,0)),"")="收",N(G644)&lt;&gt;0),"✗ 这类是收款，金额填到收入列",IF(AND(IFERROR(INDEX(基础资料!$AD$5:$AD$34,MATCH(O644,基础资料!$AC$5:$AC$34,0)),"")="支",N(F644)&lt;&gt;0),"✗ 这类是付款，金额填到支出列",IF(N(H644)&lt;0,"⚠ 账户余额成负数了，核对一下","√"))))))))))))))))))</f>
      </c>
      <c r="O644" s="78">
        <f>IF(D644&lt;&gt;"",D644,IF(AND(F644="",G644=""),"",IF(J644&lt;&gt;"",IF(N(F644)&gt;0,"客户回款","客户退款"),IF(K644&lt;&gt;"",IF(N(G644)&gt;0,"供应商付款","供应商退款"),IF(L644&lt;&gt;"","费用支出","")))))</f>
      </c>
      <c r="P644" s="78">
        <f>IF(O644="","",IFERROR(INDEX(基础资料!$AE$5:$AE$34,MATCH(O644,基础资料!$AC$5:$AC$34,0)),"未知"))</f>
      </c>
      <c r="Q644" s="78">
        <f>IF(P644="应收",COUNTIF(P$7:P644,"应收"),"")</f>
      </c>
      <c r="R644" s="78">
        <f>IF(P644="应付",COUNTIF(P$7:P644,"应付"),"")</f>
      </c>
      <c r="S644" s="78">
        <f>N(F644)-N(G644)</f>
        <v>0</v>
      </c>
    </row>
    <row r="645">
      <c r="A645" s="109">
        <f>IF(AND(F645="",G645=""),"",ROW()-6)</f>
      </c>
      <c r="B645" s="140" t="n"/>
      <c r="C645" s="141" t="n"/>
      <c r="D645" s="141" t="n"/>
      <c r="E645" s="142" t="n"/>
      <c r="F645" s="143" t="n"/>
      <c r="G645" s="144" t="n"/>
      <c r="H645" s="145">
        <f>IF(OR(C645="",AND(F645="",G645="")),"",SUMIF(基础资料!$W$5:$W$24,C645,基础资料!$X$5:$X$24)+SUMIF(C$7:C645,C645,F$7:F645)-SUMIF(C$7:C645,C645,G$7:G645))</f>
      </c>
      <c r="I645" s="145">
        <f>IF(AND(F645="",G645=""),"",SUM(基础资料!$X$5:$X$24)+SUM(F$7:F645)-SUM(G$7:G645))</f>
      </c>
      <c r="J645" s="141" t="n"/>
      <c r="K645" s="141" t="n"/>
      <c r="L645" s="141" t="n"/>
      <c r="M645" s="142" t="n"/>
      <c r="N645" s="146">
        <f>IF(AND(AND(F645="",G645=""),B645="",C645="",D645="",J645="",K645="",L645=""),"",IF(AND(F645="",G645=""),"✗ 没填金额",IF(AND(N(F645)&lt;&gt;0,N(G645)&lt;&gt;0),"✗ 收入、支出只能填一边",IF(NOT(ISNUMBER(B645)),"✗ 日期不是真日期（要像 2026/9/25 这样填）",IF(OR(B645&lt;年初日,B645&gt;年末日),"✗ 日期不在本会计年度",IF(C645="","✗ 没选账户",IF(COUNTIF(基础资料!$W$5:$W$24,C645)=0,"✗ 账户不在基础资料里",IF(O645="","✗ 没选收支项目",IF(P645="未知","✗ 收支项目不在基础资料里",IF(AND(P645="应收",J645=""),"✗ 这笔要选客户",IF(AND(P645="应收",COUNTIF(总览汇总!$B$5:$B$304,J645)=0),"✗ 客户不在总览汇总名单里",IF(AND(P645="应付",K645=""),"✗ 这笔要选供应商",IF(AND(P645="应付",COUNTIF(基础资料!$Q$5:$Q$54,K645)=0),"✗ 供应商不在基础资料里",IF(AND(P645="费用",L645=""),"✗ 费用支出要选费用项目",IF(AND(L645&lt;&gt;"",COUNTIF(基础资料!$AI$5:$AI$54,L645)=0),"✗ 费用项目不在基础资料里",IF(AND(IFERROR(INDEX(基础资料!$AD$5:$AD$34,MATCH(O645,基础资料!$AC$5:$AC$34,0)),"")="收",N(G645)&lt;&gt;0),"✗ 这类是收款，金额填到收入列",IF(AND(IFERROR(INDEX(基础资料!$AD$5:$AD$34,MATCH(O645,基础资料!$AC$5:$AC$34,0)),"")="支",N(F645)&lt;&gt;0),"✗ 这类是付款，金额填到支出列",IF(N(H645)&lt;0,"⚠ 账户余额成负数了，核对一下","√"))))))))))))))))))</f>
      </c>
      <c r="O645" s="78">
        <f>IF(D645&lt;&gt;"",D645,IF(AND(F645="",G645=""),"",IF(J645&lt;&gt;"",IF(N(F645)&gt;0,"客户回款","客户退款"),IF(K645&lt;&gt;"",IF(N(G645)&gt;0,"供应商付款","供应商退款"),IF(L645&lt;&gt;"","费用支出","")))))</f>
      </c>
      <c r="P645" s="78">
        <f>IF(O645="","",IFERROR(INDEX(基础资料!$AE$5:$AE$34,MATCH(O645,基础资料!$AC$5:$AC$34,0)),"未知"))</f>
      </c>
      <c r="Q645" s="78">
        <f>IF(P645="应收",COUNTIF(P$7:P645,"应收"),"")</f>
      </c>
      <c r="R645" s="78">
        <f>IF(P645="应付",COUNTIF(P$7:P645,"应付"),"")</f>
      </c>
      <c r="S645" s="78">
        <f>N(F645)-N(G645)</f>
        <v>0</v>
      </c>
    </row>
    <row r="646">
      <c r="A646" s="109">
        <f>IF(AND(F646="",G646=""),"",ROW()-6)</f>
      </c>
      <c r="B646" s="140" t="n"/>
      <c r="C646" s="141" t="n"/>
      <c r="D646" s="141" t="n"/>
      <c r="E646" s="142" t="n"/>
      <c r="F646" s="143" t="n"/>
      <c r="G646" s="144" t="n"/>
      <c r="H646" s="145">
        <f>IF(OR(C646="",AND(F646="",G646="")),"",SUMIF(基础资料!$W$5:$W$24,C646,基础资料!$X$5:$X$24)+SUMIF(C$7:C646,C646,F$7:F646)-SUMIF(C$7:C646,C646,G$7:G646))</f>
      </c>
      <c r="I646" s="145">
        <f>IF(AND(F646="",G646=""),"",SUM(基础资料!$X$5:$X$24)+SUM(F$7:F646)-SUM(G$7:G646))</f>
      </c>
      <c r="J646" s="141" t="n"/>
      <c r="K646" s="141" t="n"/>
      <c r="L646" s="141" t="n"/>
      <c r="M646" s="142" t="n"/>
      <c r="N646" s="146">
        <f>IF(AND(AND(F646="",G646=""),B646="",C646="",D646="",J646="",K646="",L646=""),"",IF(AND(F646="",G646=""),"✗ 没填金额",IF(AND(N(F646)&lt;&gt;0,N(G646)&lt;&gt;0),"✗ 收入、支出只能填一边",IF(NOT(ISNUMBER(B646)),"✗ 日期不是真日期（要像 2026/9/25 这样填）",IF(OR(B646&lt;年初日,B646&gt;年末日),"✗ 日期不在本会计年度",IF(C646="","✗ 没选账户",IF(COUNTIF(基础资料!$W$5:$W$24,C646)=0,"✗ 账户不在基础资料里",IF(O646="","✗ 没选收支项目",IF(P646="未知","✗ 收支项目不在基础资料里",IF(AND(P646="应收",J646=""),"✗ 这笔要选客户",IF(AND(P646="应收",COUNTIF(总览汇总!$B$5:$B$304,J646)=0),"✗ 客户不在总览汇总名单里",IF(AND(P646="应付",K646=""),"✗ 这笔要选供应商",IF(AND(P646="应付",COUNTIF(基础资料!$Q$5:$Q$54,K646)=0),"✗ 供应商不在基础资料里",IF(AND(P646="费用",L646=""),"✗ 费用支出要选费用项目",IF(AND(L646&lt;&gt;"",COUNTIF(基础资料!$AI$5:$AI$54,L646)=0),"✗ 费用项目不在基础资料里",IF(AND(IFERROR(INDEX(基础资料!$AD$5:$AD$34,MATCH(O646,基础资料!$AC$5:$AC$34,0)),"")="收",N(G646)&lt;&gt;0),"✗ 这类是收款，金额填到收入列",IF(AND(IFERROR(INDEX(基础资料!$AD$5:$AD$34,MATCH(O646,基础资料!$AC$5:$AC$34,0)),"")="支",N(F646)&lt;&gt;0),"✗ 这类是付款，金额填到支出列",IF(N(H646)&lt;0,"⚠ 账户余额成负数了，核对一下","√"))))))))))))))))))</f>
      </c>
      <c r="O646" s="78">
        <f>IF(D646&lt;&gt;"",D646,IF(AND(F646="",G646=""),"",IF(J646&lt;&gt;"",IF(N(F646)&gt;0,"客户回款","客户退款"),IF(K646&lt;&gt;"",IF(N(G646)&gt;0,"供应商付款","供应商退款"),IF(L646&lt;&gt;"","费用支出","")))))</f>
      </c>
      <c r="P646" s="78">
        <f>IF(O646="","",IFERROR(INDEX(基础资料!$AE$5:$AE$34,MATCH(O646,基础资料!$AC$5:$AC$34,0)),"未知"))</f>
      </c>
      <c r="Q646" s="78">
        <f>IF(P646="应收",COUNTIF(P$7:P646,"应收"),"")</f>
      </c>
      <c r="R646" s="78">
        <f>IF(P646="应付",COUNTIF(P$7:P646,"应付"),"")</f>
      </c>
      <c r="S646" s="78">
        <f>N(F646)-N(G646)</f>
        <v>0</v>
      </c>
    </row>
    <row r="647">
      <c r="A647" s="109">
        <f>IF(AND(F647="",G647=""),"",ROW()-6)</f>
      </c>
      <c r="B647" s="140" t="n"/>
      <c r="C647" s="141" t="n"/>
      <c r="D647" s="141" t="n"/>
      <c r="E647" s="142" t="n"/>
      <c r="F647" s="143" t="n"/>
      <c r="G647" s="144" t="n"/>
      <c r="H647" s="145">
        <f>IF(OR(C647="",AND(F647="",G647="")),"",SUMIF(基础资料!$W$5:$W$24,C647,基础资料!$X$5:$X$24)+SUMIF(C$7:C647,C647,F$7:F647)-SUMIF(C$7:C647,C647,G$7:G647))</f>
      </c>
      <c r="I647" s="145">
        <f>IF(AND(F647="",G647=""),"",SUM(基础资料!$X$5:$X$24)+SUM(F$7:F647)-SUM(G$7:G647))</f>
      </c>
      <c r="J647" s="141" t="n"/>
      <c r="K647" s="141" t="n"/>
      <c r="L647" s="141" t="n"/>
      <c r="M647" s="142" t="n"/>
      <c r="N647" s="146">
        <f>IF(AND(AND(F647="",G647=""),B647="",C647="",D647="",J647="",K647="",L647=""),"",IF(AND(F647="",G647=""),"✗ 没填金额",IF(AND(N(F647)&lt;&gt;0,N(G647)&lt;&gt;0),"✗ 收入、支出只能填一边",IF(NOT(ISNUMBER(B647)),"✗ 日期不是真日期（要像 2026/9/25 这样填）",IF(OR(B647&lt;年初日,B647&gt;年末日),"✗ 日期不在本会计年度",IF(C647="","✗ 没选账户",IF(COUNTIF(基础资料!$W$5:$W$24,C647)=0,"✗ 账户不在基础资料里",IF(O647="","✗ 没选收支项目",IF(P647="未知","✗ 收支项目不在基础资料里",IF(AND(P647="应收",J647=""),"✗ 这笔要选客户",IF(AND(P647="应收",COUNTIF(总览汇总!$B$5:$B$304,J647)=0),"✗ 客户不在总览汇总名单里",IF(AND(P647="应付",K647=""),"✗ 这笔要选供应商",IF(AND(P647="应付",COUNTIF(基础资料!$Q$5:$Q$54,K647)=0),"✗ 供应商不在基础资料里",IF(AND(P647="费用",L647=""),"✗ 费用支出要选费用项目",IF(AND(L647&lt;&gt;"",COUNTIF(基础资料!$AI$5:$AI$54,L647)=0),"✗ 费用项目不在基础资料里",IF(AND(IFERROR(INDEX(基础资料!$AD$5:$AD$34,MATCH(O647,基础资料!$AC$5:$AC$34,0)),"")="收",N(G647)&lt;&gt;0),"✗ 这类是收款，金额填到收入列",IF(AND(IFERROR(INDEX(基础资料!$AD$5:$AD$34,MATCH(O647,基础资料!$AC$5:$AC$34,0)),"")="支",N(F647)&lt;&gt;0),"✗ 这类是付款，金额填到支出列",IF(N(H647)&lt;0,"⚠ 账户余额成负数了，核对一下","√"))))))))))))))))))</f>
      </c>
      <c r="O647" s="78">
        <f>IF(D647&lt;&gt;"",D647,IF(AND(F647="",G647=""),"",IF(J647&lt;&gt;"",IF(N(F647)&gt;0,"客户回款","客户退款"),IF(K647&lt;&gt;"",IF(N(G647)&gt;0,"供应商付款","供应商退款"),IF(L647&lt;&gt;"","费用支出","")))))</f>
      </c>
      <c r="P647" s="78">
        <f>IF(O647="","",IFERROR(INDEX(基础资料!$AE$5:$AE$34,MATCH(O647,基础资料!$AC$5:$AC$34,0)),"未知"))</f>
      </c>
      <c r="Q647" s="78">
        <f>IF(P647="应收",COUNTIF(P$7:P647,"应收"),"")</f>
      </c>
      <c r="R647" s="78">
        <f>IF(P647="应付",COUNTIF(P$7:P647,"应付"),"")</f>
      </c>
      <c r="S647" s="78">
        <f>N(F647)-N(G647)</f>
        <v>0</v>
      </c>
    </row>
    <row r="648">
      <c r="A648" s="109">
        <f>IF(AND(F648="",G648=""),"",ROW()-6)</f>
      </c>
      <c r="B648" s="140" t="n"/>
      <c r="C648" s="141" t="n"/>
      <c r="D648" s="141" t="n"/>
      <c r="E648" s="142" t="n"/>
      <c r="F648" s="143" t="n"/>
      <c r="G648" s="144" t="n"/>
      <c r="H648" s="145">
        <f>IF(OR(C648="",AND(F648="",G648="")),"",SUMIF(基础资料!$W$5:$W$24,C648,基础资料!$X$5:$X$24)+SUMIF(C$7:C648,C648,F$7:F648)-SUMIF(C$7:C648,C648,G$7:G648))</f>
      </c>
      <c r="I648" s="145">
        <f>IF(AND(F648="",G648=""),"",SUM(基础资料!$X$5:$X$24)+SUM(F$7:F648)-SUM(G$7:G648))</f>
      </c>
      <c r="J648" s="141" t="n"/>
      <c r="K648" s="141" t="n"/>
      <c r="L648" s="141" t="n"/>
      <c r="M648" s="142" t="n"/>
      <c r="N648" s="146">
        <f>IF(AND(AND(F648="",G648=""),B648="",C648="",D648="",J648="",K648="",L648=""),"",IF(AND(F648="",G648=""),"✗ 没填金额",IF(AND(N(F648)&lt;&gt;0,N(G648)&lt;&gt;0),"✗ 收入、支出只能填一边",IF(NOT(ISNUMBER(B648)),"✗ 日期不是真日期（要像 2026/9/25 这样填）",IF(OR(B648&lt;年初日,B648&gt;年末日),"✗ 日期不在本会计年度",IF(C648="","✗ 没选账户",IF(COUNTIF(基础资料!$W$5:$W$24,C648)=0,"✗ 账户不在基础资料里",IF(O648="","✗ 没选收支项目",IF(P648="未知","✗ 收支项目不在基础资料里",IF(AND(P648="应收",J648=""),"✗ 这笔要选客户",IF(AND(P648="应收",COUNTIF(总览汇总!$B$5:$B$304,J648)=0),"✗ 客户不在总览汇总名单里",IF(AND(P648="应付",K648=""),"✗ 这笔要选供应商",IF(AND(P648="应付",COUNTIF(基础资料!$Q$5:$Q$54,K648)=0),"✗ 供应商不在基础资料里",IF(AND(P648="费用",L648=""),"✗ 费用支出要选费用项目",IF(AND(L648&lt;&gt;"",COUNTIF(基础资料!$AI$5:$AI$54,L648)=0),"✗ 费用项目不在基础资料里",IF(AND(IFERROR(INDEX(基础资料!$AD$5:$AD$34,MATCH(O648,基础资料!$AC$5:$AC$34,0)),"")="收",N(G648)&lt;&gt;0),"✗ 这类是收款，金额填到收入列",IF(AND(IFERROR(INDEX(基础资料!$AD$5:$AD$34,MATCH(O648,基础资料!$AC$5:$AC$34,0)),"")="支",N(F648)&lt;&gt;0),"✗ 这类是付款，金额填到支出列",IF(N(H648)&lt;0,"⚠ 账户余额成负数了，核对一下","√"))))))))))))))))))</f>
      </c>
      <c r="O648" s="78">
        <f>IF(D648&lt;&gt;"",D648,IF(AND(F648="",G648=""),"",IF(J648&lt;&gt;"",IF(N(F648)&gt;0,"客户回款","客户退款"),IF(K648&lt;&gt;"",IF(N(G648)&gt;0,"供应商付款","供应商退款"),IF(L648&lt;&gt;"","费用支出","")))))</f>
      </c>
      <c r="P648" s="78">
        <f>IF(O648="","",IFERROR(INDEX(基础资料!$AE$5:$AE$34,MATCH(O648,基础资料!$AC$5:$AC$34,0)),"未知"))</f>
      </c>
      <c r="Q648" s="78">
        <f>IF(P648="应收",COUNTIF(P$7:P648,"应收"),"")</f>
      </c>
      <c r="R648" s="78">
        <f>IF(P648="应付",COUNTIF(P$7:P648,"应付"),"")</f>
      </c>
      <c r="S648" s="78">
        <f>N(F648)-N(G648)</f>
        <v>0</v>
      </c>
    </row>
    <row r="649">
      <c r="A649" s="109">
        <f>IF(AND(F649="",G649=""),"",ROW()-6)</f>
      </c>
      <c r="B649" s="140" t="n"/>
      <c r="C649" s="141" t="n"/>
      <c r="D649" s="141" t="n"/>
      <c r="E649" s="142" t="n"/>
      <c r="F649" s="143" t="n"/>
      <c r="G649" s="144" t="n"/>
      <c r="H649" s="145">
        <f>IF(OR(C649="",AND(F649="",G649="")),"",SUMIF(基础资料!$W$5:$W$24,C649,基础资料!$X$5:$X$24)+SUMIF(C$7:C649,C649,F$7:F649)-SUMIF(C$7:C649,C649,G$7:G649))</f>
      </c>
      <c r="I649" s="145">
        <f>IF(AND(F649="",G649=""),"",SUM(基础资料!$X$5:$X$24)+SUM(F$7:F649)-SUM(G$7:G649))</f>
      </c>
      <c r="J649" s="141" t="n"/>
      <c r="K649" s="141" t="n"/>
      <c r="L649" s="141" t="n"/>
      <c r="M649" s="142" t="n"/>
      <c r="N649" s="146">
        <f>IF(AND(AND(F649="",G649=""),B649="",C649="",D649="",J649="",K649="",L649=""),"",IF(AND(F649="",G649=""),"✗ 没填金额",IF(AND(N(F649)&lt;&gt;0,N(G649)&lt;&gt;0),"✗ 收入、支出只能填一边",IF(NOT(ISNUMBER(B649)),"✗ 日期不是真日期（要像 2026/9/25 这样填）",IF(OR(B649&lt;年初日,B649&gt;年末日),"✗ 日期不在本会计年度",IF(C649="","✗ 没选账户",IF(COUNTIF(基础资料!$W$5:$W$24,C649)=0,"✗ 账户不在基础资料里",IF(O649="","✗ 没选收支项目",IF(P649="未知","✗ 收支项目不在基础资料里",IF(AND(P649="应收",J649=""),"✗ 这笔要选客户",IF(AND(P649="应收",COUNTIF(总览汇总!$B$5:$B$304,J649)=0),"✗ 客户不在总览汇总名单里",IF(AND(P649="应付",K649=""),"✗ 这笔要选供应商",IF(AND(P649="应付",COUNTIF(基础资料!$Q$5:$Q$54,K649)=0),"✗ 供应商不在基础资料里",IF(AND(P649="费用",L649=""),"✗ 费用支出要选费用项目",IF(AND(L649&lt;&gt;"",COUNTIF(基础资料!$AI$5:$AI$54,L649)=0),"✗ 费用项目不在基础资料里",IF(AND(IFERROR(INDEX(基础资料!$AD$5:$AD$34,MATCH(O649,基础资料!$AC$5:$AC$34,0)),"")="收",N(G649)&lt;&gt;0),"✗ 这类是收款，金额填到收入列",IF(AND(IFERROR(INDEX(基础资料!$AD$5:$AD$34,MATCH(O649,基础资料!$AC$5:$AC$34,0)),"")="支",N(F649)&lt;&gt;0),"✗ 这类是付款，金额填到支出列",IF(N(H649)&lt;0,"⚠ 账户余额成负数了，核对一下","√"))))))))))))))))))</f>
      </c>
      <c r="O649" s="78">
        <f>IF(D649&lt;&gt;"",D649,IF(AND(F649="",G649=""),"",IF(J649&lt;&gt;"",IF(N(F649)&gt;0,"客户回款","客户退款"),IF(K649&lt;&gt;"",IF(N(G649)&gt;0,"供应商付款","供应商退款"),IF(L649&lt;&gt;"","费用支出","")))))</f>
      </c>
      <c r="P649" s="78">
        <f>IF(O649="","",IFERROR(INDEX(基础资料!$AE$5:$AE$34,MATCH(O649,基础资料!$AC$5:$AC$34,0)),"未知"))</f>
      </c>
      <c r="Q649" s="78">
        <f>IF(P649="应收",COUNTIF(P$7:P649,"应收"),"")</f>
      </c>
      <c r="R649" s="78">
        <f>IF(P649="应付",COUNTIF(P$7:P649,"应付"),"")</f>
      </c>
      <c r="S649" s="78">
        <f>N(F649)-N(G649)</f>
        <v>0</v>
      </c>
    </row>
    <row r="650">
      <c r="A650" s="109">
        <f>IF(AND(F650="",G650=""),"",ROW()-6)</f>
      </c>
      <c r="B650" s="140" t="n"/>
      <c r="C650" s="141" t="n"/>
      <c r="D650" s="141" t="n"/>
      <c r="E650" s="142" t="n"/>
      <c r="F650" s="143" t="n"/>
      <c r="G650" s="144" t="n"/>
      <c r="H650" s="145">
        <f>IF(OR(C650="",AND(F650="",G650="")),"",SUMIF(基础资料!$W$5:$W$24,C650,基础资料!$X$5:$X$24)+SUMIF(C$7:C650,C650,F$7:F650)-SUMIF(C$7:C650,C650,G$7:G650))</f>
      </c>
      <c r="I650" s="145">
        <f>IF(AND(F650="",G650=""),"",SUM(基础资料!$X$5:$X$24)+SUM(F$7:F650)-SUM(G$7:G650))</f>
      </c>
      <c r="J650" s="141" t="n"/>
      <c r="K650" s="141" t="n"/>
      <c r="L650" s="141" t="n"/>
      <c r="M650" s="142" t="n"/>
      <c r="N650" s="146">
        <f>IF(AND(AND(F650="",G650=""),B650="",C650="",D650="",J650="",K650="",L650=""),"",IF(AND(F650="",G650=""),"✗ 没填金额",IF(AND(N(F650)&lt;&gt;0,N(G650)&lt;&gt;0),"✗ 收入、支出只能填一边",IF(NOT(ISNUMBER(B650)),"✗ 日期不是真日期（要像 2026/9/25 这样填）",IF(OR(B650&lt;年初日,B650&gt;年末日),"✗ 日期不在本会计年度",IF(C650="","✗ 没选账户",IF(COUNTIF(基础资料!$W$5:$W$24,C650)=0,"✗ 账户不在基础资料里",IF(O650="","✗ 没选收支项目",IF(P650="未知","✗ 收支项目不在基础资料里",IF(AND(P650="应收",J650=""),"✗ 这笔要选客户",IF(AND(P650="应收",COUNTIF(总览汇总!$B$5:$B$304,J650)=0),"✗ 客户不在总览汇总名单里",IF(AND(P650="应付",K650=""),"✗ 这笔要选供应商",IF(AND(P650="应付",COUNTIF(基础资料!$Q$5:$Q$54,K650)=0),"✗ 供应商不在基础资料里",IF(AND(P650="费用",L650=""),"✗ 费用支出要选费用项目",IF(AND(L650&lt;&gt;"",COUNTIF(基础资料!$AI$5:$AI$54,L650)=0),"✗ 费用项目不在基础资料里",IF(AND(IFERROR(INDEX(基础资料!$AD$5:$AD$34,MATCH(O650,基础资料!$AC$5:$AC$34,0)),"")="收",N(G650)&lt;&gt;0),"✗ 这类是收款，金额填到收入列",IF(AND(IFERROR(INDEX(基础资料!$AD$5:$AD$34,MATCH(O650,基础资料!$AC$5:$AC$34,0)),"")="支",N(F650)&lt;&gt;0),"✗ 这类是付款，金额填到支出列",IF(N(H650)&lt;0,"⚠ 账户余额成负数了，核对一下","√"))))))))))))))))))</f>
      </c>
      <c r="O650" s="78">
        <f>IF(D650&lt;&gt;"",D650,IF(AND(F650="",G650=""),"",IF(J650&lt;&gt;"",IF(N(F650)&gt;0,"客户回款","客户退款"),IF(K650&lt;&gt;"",IF(N(G650)&gt;0,"供应商付款","供应商退款"),IF(L650&lt;&gt;"","费用支出","")))))</f>
      </c>
      <c r="P650" s="78">
        <f>IF(O650="","",IFERROR(INDEX(基础资料!$AE$5:$AE$34,MATCH(O650,基础资料!$AC$5:$AC$34,0)),"未知"))</f>
      </c>
      <c r="Q650" s="78">
        <f>IF(P650="应收",COUNTIF(P$7:P650,"应收"),"")</f>
      </c>
      <c r="R650" s="78">
        <f>IF(P650="应付",COUNTIF(P$7:P650,"应付"),"")</f>
      </c>
      <c r="S650" s="78">
        <f>N(F650)-N(G650)</f>
        <v>0</v>
      </c>
    </row>
    <row r="651">
      <c r="A651" s="109">
        <f>IF(AND(F651="",G651=""),"",ROW()-6)</f>
      </c>
      <c r="B651" s="140" t="n"/>
      <c r="C651" s="141" t="n"/>
      <c r="D651" s="141" t="n"/>
      <c r="E651" s="142" t="n"/>
      <c r="F651" s="143" t="n"/>
      <c r="G651" s="144" t="n"/>
      <c r="H651" s="145">
        <f>IF(OR(C651="",AND(F651="",G651="")),"",SUMIF(基础资料!$W$5:$W$24,C651,基础资料!$X$5:$X$24)+SUMIF(C$7:C651,C651,F$7:F651)-SUMIF(C$7:C651,C651,G$7:G651))</f>
      </c>
      <c r="I651" s="145">
        <f>IF(AND(F651="",G651=""),"",SUM(基础资料!$X$5:$X$24)+SUM(F$7:F651)-SUM(G$7:G651))</f>
      </c>
      <c r="J651" s="141" t="n"/>
      <c r="K651" s="141" t="n"/>
      <c r="L651" s="141" t="n"/>
      <c r="M651" s="142" t="n"/>
      <c r="N651" s="146">
        <f>IF(AND(AND(F651="",G651=""),B651="",C651="",D651="",J651="",K651="",L651=""),"",IF(AND(F651="",G651=""),"✗ 没填金额",IF(AND(N(F651)&lt;&gt;0,N(G651)&lt;&gt;0),"✗ 收入、支出只能填一边",IF(NOT(ISNUMBER(B651)),"✗ 日期不是真日期（要像 2026/9/25 这样填）",IF(OR(B651&lt;年初日,B651&gt;年末日),"✗ 日期不在本会计年度",IF(C651="","✗ 没选账户",IF(COUNTIF(基础资料!$W$5:$W$24,C651)=0,"✗ 账户不在基础资料里",IF(O651="","✗ 没选收支项目",IF(P651="未知","✗ 收支项目不在基础资料里",IF(AND(P651="应收",J651=""),"✗ 这笔要选客户",IF(AND(P651="应收",COUNTIF(总览汇总!$B$5:$B$304,J651)=0),"✗ 客户不在总览汇总名单里",IF(AND(P651="应付",K651=""),"✗ 这笔要选供应商",IF(AND(P651="应付",COUNTIF(基础资料!$Q$5:$Q$54,K651)=0),"✗ 供应商不在基础资料里",IF(AND(P651="费用",L651=""),"✗ 费用支出要选费用项目",IF(AND(L651&lt;&gt;"",COUNTIF(基础资料!$AI$5:$AI$54,L651)=0),"✗ 费用项目不在基础资料里",IF(AND(IFERROR(INDEX(基础资料!$AD$5:$AD$34,MATCH(O651,基础资料!$AC$5:$AC$34,0)),"")="收",N(G651)&lt;&gt;0),"✗ 这类是收款，金额填到收入列",IF(AND(IFERROR(INDEX(基础资料!$AD$5:$AD$34,MATCH(O651,基础资料!$AC$5:$AC$34,0)),"")="支",N(F651)&lt;&gt;0),"✗ 这类是付款，金额填到支出列",IF(N(H651)&lt;0,"⚠ 账户余额成负数了，核对一下","√"))))))))))))))))))</f>
      </c>
      <c r="O651" s="78">
        <f>IF(D651&lt;&gt;"",D651,IF(AND(F651="",G651=""),"",IF(J651&lt;&gt;"",IF(N(F651)&gt;0,"客户回款","客户退款"),IF(K651&lt;&gt;"",IF(N(G651)&gt;0,"供应商付款","供应商退款"),IF(L651&lt;&gt;"","费用支出","")))))</f>
      </c>
      <c r="P651" s="78">
        <f>IF(O651="","",IFERROR(INDEX(基础资料!$AE$5:$AE$34,MATCH(O651,基础资料!$AC$5:$AC$34,0)),"未知"))</f>
      </c>
      <c r="Q651" s="78">
        <f>IF(P651="应收",COUNTIF(P$7:P651,"应收"),"")</f>
      </c>
      <c r="R651" s="78">
        <f>IF(P651="应付",COUNTIF(P$7:P651,"应付"),"")</f>
      </c>
      <c r="S651" s="78">
        <f>N(F651)-N(G651)</f>
        <v>0</v>
      </c>
    </row>
    <row r="652">
      <c r="A652" s="109">
        <f>IF(AND(F652="",G652=""),"",ROW()-6)</f>
      </c>
      <c r="B652" s="140" t="n"/>
      <c r="C652" s="141" t="n"/>
      <c r="D652" s="141" t="n"/>
      <c r="E652" s="142" t="n"/>
      <c r="F652" s="143" t="n"/>
      <c r="G652" s="144" t="n"/>
      <c r="H652" s="145">
        <f>IF(OR(C652="",AND(F652="",G652="")),"",SUMIF(基础资料!$W$5:$W$24,C652,基础资料!$X$5:$X$24)+SUMIF(C$7:C652,C652,F$7:F652)-SUMIF(C$7:C652,C652,G$7:G652))</f>
      </c>
      <c r="I652" s="145">
        <f>IF(AND(F652="",G652=""),"",SUM(基础资料!$X$5:$X$24)+SUM(F$7:F652)-SUM(G$7:G652))</f>
      </c>
      <c r="J652" s="141" t="n"/>
      <c r="K652" s="141" t="n"/>
      <c r="L652" s="141" t="n"/>
      <c r="M652" s="142" t="n"/>
      <c r="N652" s="146">
        <f>IF(AND(AND(F652="",G652=""),B652="",C652="",D652="",J652="",K652="",L652=""),"",IF(AND(F652="",G652=""),"✗ 没填金额",IF(AND(N(F652)&lt;&gt;0,N(G652)&lt;&gt;0),"✗ 收入、支出只能填一边",IF(NOT(ISNUMBER(B652)),"✗ 日期不是真日期（要像 2026/9/25 这样填）",IF(OR(B652&lt;年初日,B652&gt;年末日),"✗ 日期不在本会计年度",IF(C652="","✗ 没选账户",IF(COUNTIF(基础资料!$W$5:$W$24,C652)=0,"✗ 账户不在基础资料里",IF(O652="","✗ 没选收支项目",IF(P652="未知","✗ 收支项目不在基础资料里",IF(AND(P652="应收",J652=""),"✗ 这笔要选客户",IF(AND(P652="应收",COUNTIF(总览汇总!$B$5:$B$304,J652)=0),"✗ 客户不在总览汇总名单里",IF(AND(P652="应付",K652=""),"✗ 这笔要选供应商",IF(AND(P652="应付",COUNTIF(基础资料!$Q$5:$Q$54,K652)=0),"✗ 供应商不在基础资料里",IF(AND(P652="费用",L652=""),"✗ 费用支出要选费用项目",IF(AND(L652&lt;&gt;"",COUNTIF(基础资料!$AI$5:$AI$54,L652)=0),"✗ 费用项目不在基础资料里",IF(AND(IFERROR(INDEX(基础资料!$AD$5:$AD$34,MATCH(O652,基础资料!$AC$5:$AC$34,0)),"")="收",N(G652)&lt;&gt;0),"✗ 这类是收款，金额填到收入列",IF(AND(IFERROR(INDEX(基础资料!$AD$5:$AD$34,MATCH(O652,基础资料!$AC$5:$AC$34,0)),"")="支",N(F652)&lt;&gt;0),"✗ 这类是付款，金额填到支出列",IF(N(H652)&lt;0,"⚠ 账户余额成负数了，核对一下","√"))))))))))))))))))</f>
      </c>
      <c r="O652" s="78">
        <f>IF(D652&lt;&gt;"",D652,IF(AND(F652="",G652=""),"",IF(J652&lt;&gt;"",IF(N(F652)&gt;0,"客户回款","客户退款"),IF(K652&lt;&gt;"",IF(N(G652)&gt;0,"供应商付款","供应商退款"),IF(L652&lt;&gt;"","费用支出","")))))</f>
      </c>
      <c r="P652" s="78">
        <f>IF(O652="","",IFERROR(INDEX(基础资料!$AE$5:$AE$34,MATCH(O652,基础资料!$AC$5:$AC$34,0)),"未知"))</f>
      </c>
      <c r="Q652" s="78">
        <f>IF(P652="应收",COUNTIF(P$7:P652,"应收"),"")</f>
      </c>
      <c r="R652" s="78">
        <f>IF(P652="应付",COUNTIF(P$7:P652,"应付"),"")</f>
      </c>
      <c r="S652" s="78">
        <f>N(F652)-N(G652)</f>
        <v>0</v>
      </c>
    </row>
    <row r="653">
      <c r="A653" s="109">
        <f>IF(AND(F653="",G653=""),"",ROW()-6)</f>
      </c>
      <c r="B653" s="140" t="n"/>
      <c r="C653" s="141" t="n"/>
      <c r="D653" s="141" t="n"/>
      <c r="E653" s="142" t="n"/>
      <c r="F653" s="143" t="n"/>
      <c r="G653" s="144" t="n"/>
      <c r="H653" s="145">
        <f>IF(OR(C653="",AND(F653="",G653="")),"",SUMIF(基础资料!$W$5:$W$24,C653,基础资料!$X$5:$X$24)+SUMIF(C$7:C653,C653,F$7:F653)-SUMIF(C$7:C653,C653,G$7:G653))</f>
      </c>
      <c r="I653" s="145">
        <f>IF(AND(F653="",G653=""),"",SUM(基础资料!$X$5:$X$24)+SUM(F$7:F653)-SUM(G$7:G653))</f>
      </c>
      <c r="J653" s="141" t="n"/>
      <c r="K653" s="141" t="n"/>
      <c r="L653" s="141" t="n"/>
      <c r="M653" s="142" t="n"/>
      <c r="N653" s="146">
        <f>IF(AND(AND(F653="",G653=""),B653="",C653="",D653="",J653="",K653="",L653=""),"",IF(AND(F653="",G653=""),"✗ 没填金额",IF(AND(N(F653)&lt;&gt;0,N(G653)&lt;&gt;0),"✗ 收入、支出只能填一边",IF(NOT(ISNUMBER(B653)),"✗ 日期不是真日期（要像 2026/9/25 这样填）",IF(OR(B653&lt;年初日,B653&gt;年末日),"✗ 日期不在本会计年度",IF(C653="","✗ 没选账户",IF(COUNTIF(基础资料!$W$5:$W$24,C653)=0,"✗ 账户不在基础资料里",IF(O653="","✗ 没选收支项目",IF(P653="未知","✗ 收支项目不在基础资料里",IF(AND(P653="应收",J653=""),"✗ 这笔要选客户",IF(AND(P653="应收",COUNTIF(总览汇总!$B$5:$B$304,J653)=0),"✗ 客户不在总览汇总名单里",IF(AND(P653="应付",K653=""),"✗ 这笔要选供应商",IF(AND(P653="应付",COUNTIF(基础资料!$Q$5:$Q$54,K653)=0),"✗ 供应商不在基础资料里",IF(AND(P653="费用",L653=""),"✗ 费用支出要选费用项目",IF(AND(L653&lt;&gt;"",COUNTIF(基础资料!$AI$5:$AI$54,L653)=0),"✗ 费用项目不在基础资料里",IF(AND(IFERROR(INDEX(基础资料!$AD$5:$AD$34,MATCH(O653,基础资料!$AC$5:$AC$34,0)),"")="收",N(G653)&lt;&gt;0),"✗ 这类是收款，金额填到收入列",IF(AND(IFERROR(INDEX(基础资料!$AD$5:$AD$34,MATCH(O653,基础资料!$AC$5:$AC$34,0)),"")="支",N(F653)&lt;&gt;0),"✗ 这类是付款，金额填到支出列",IF(N(H653)&lt;0,"⚠ 账户余额成负数了，核对一下","√"))))))))))))))))))</f>
      </c>
      <c r="O653" s="78">
        <f>IF(D653&lt;&gt;"",D653,IF(AND(F653="",G653=""),"",IF(J653&lt;&gt;"",IF(N(F653)&gt;0,"客户回款","客户退款"),IF(K653&lt;&gt;"",IF(N(G653)&gt;0,"供应商付款","供应商退款"),IF(L653&lt;&gt;"","费用支出","")))))</f>
      </c>
      <c r="P653" s="78">
        <f>IF(O653="","",IFERROR(INDEX(基础资料!$AE$5:$AE$34,MATCH(O653,基础资料!$AC$5:$AC$34,0)),"未知"))</f>
      </c>
      <c r="Q653" s="78">
        <f>IF(P653="应收",COUNTIF(P$7:P653,"应收"),"")</f>
      </c>
      <c r="R653" s="78">
        <f>IF(P653="应付",COUNTIF(P$7:P653,"应付"),"")</f>
      </c>
      <c r="S653" s="78">
        <f>N(F653)-N(G653)</f>
        <v>0</v>
      </c>
    </row>
    <row r="654">
      <c r="A654" s="109">
        <f>IF(AND(F654="",G654=""),"",ROW()-6)</f>
      </c>
      <c r="B654" s="140" t="n"/>
      <c r="C654" s="141" t="n"/>
      <c r="D654" s="141" t="n"/>
      <c r="E654" s="142" t="n"/>
      <c r="F654" s="143" t="n"/>
      <c r="G654" s="144" t="n"/>
      <c r="H654" s="145">
        <f>IF(OR(C654="",AND(F654="",G654="")),"",SUMIF(基础资料!$W$5:$W$24,C654,基础资料!$X$5:$X$24)+SUMIF(C$7:C654,C654,F$7:F654)-SUMIF(C$7:C654,C654,G$7:G654))</f>
      </c>
      <c r="I654" s="145">
        <f>IF(AND(F654="",G654=""),"",SUM(基础资料!$X$5:$X$24)+SUM(F$7:F654)-SUM(G$7:G654))</f>
      </c>
      <c r="J654" s="141" t="n"/>
      <c r="K654" s="141" t="n"/>
      <c r="L654" s="141" t="n"/>
      <c r="M654" s="142" t="n"/>
      <c r="N654" s="146">
        <f>IF(AND(AND(F654="",G654=""),B654="",C654="",D654="",J654="",K654="",L654=""),"",IF(AND(F654="",G654=""),"✗ 没填金额",IF(AND(N(F654)&lt;&gt;0,N(G654)&lt;&gt;0),"✗ 收入、支出只能填一边",IF(NOT(ISNUMBER(B654)),"✗ 日期不是真日期（要像 2026/9/25 这样填）",IF(OR(B654&lt;年初日,B654&gt;年末日),"✗ 日期不在本会计年度",IF(C654="","✗ 没选账户",IF(COUNTIF(基础资料!$W$5:$W$24,C654)=0,"✗ 账户不在基础资料里",IF(O654="","✗ 没选收支项目",IF(P654="未知","✗ 收支项目不在基础资料里",IF(AND(P654="应收",J654=""),"✗ 这笔要选客户",IF(AND(P654="应收",COUNTIF(总览汇总!$B$5:$B$304,J654)=0),"✗ 客户不在总览汇总名单里",IF(AND(P654="应付",K654=""),"✗ 这笔要选供应商",IF(AND(P654="应付",COUNTIF(基础资料!$Q$5:$Q$54,K654)=0),"✗ 供应商不在基础资料里",IF(AND(P654="费用",L654=""),"✗ 费用支出要选费用项目",IF(AND(L654&lt;&gt;"",COUNTIF(基础资料!$AI$5:$AI$54,L654)=0),"✗ 费用项目不在基础资料里",IF(AND(IFERROR(INDEX(基础资料!$AD$5:$AD$34,MATCH(O654,基础资料!$AC$5:$AC$34,0)),"")="收",N(G654)&lt;&gt;0),"✗ 这类是收款，金额填到收入列",IF(AND(IFERROR(INDEX(基础资料!$AD$5:$AD$34,MATCH(O654,基础资料!$AC$5:$AC$34,0)),"")="支",N(F654)&lt;&gt;0),"✗ 这类是付款，金额填到支出列",IF(N(H654)&lt;0,"⚠ 账户余额成负数了，核对一下","√"))))))))))))))))))</f>
      </c>
      <c r="O654" s="78">
        <f>IF(D654&lt;&gt;"",D654,IF(AND(F654="",G654=""),"",IF(J654&lt;&gt;"",IF(N(F654)&gt;0,"客户回款","客户退款"),IF(K654&lt;&gt;"",IF(N(G654)&gt;0,"供应商付款","供应商退款"),IF(L654&lt;&gt;"","费用支出","")))))</f>
      </c>
      <c r="P654" s="78">
        <f>IF(O654="","",IFERROR(INDEX(基础资料!$AE$5:$AE$34,MATCH(O654,基础资料!$AC$5:$AC$34,0)),"未知"))</f>
      </c>
      <c r="Q654" s="78">
        <f>IF(P654="应收",COUNTIF(P$7:P654,"应收"),"")</f>
      </c>
      <c r="R654" s="78">
        <f>IF(P654="应付",COUNTIF(P$7:P654,"应付"),"")</f>
      </c>
      <c r="S654" s="78">
        <f>N(F654)-N(G654)</f>
        <v>0</v>
      </c>
    </row>
    <row r="655">
      <c r="A655" s="109">
        <f>IF(AND(F655="",G655=""),"",ROW()-6)</f>
      </c>
      <c r="B655" s="140" t="n"/>
      <c r="C655" s="141" t="n"/>
      <c r="D655" s="141" t="n"/>
      <c r="E655" s="142" t="n"/>
      <c r="F655" s="143" t="n"/>
      <c r="G655" s="144" t="n"/>
      <c r="H655" s="145">
        <f>IF(OR(C655="",AND(F655="",G655="")),"",SUMIF(基础资料!$W$5:$W$24,C655,基础资料!$X$5:$X$24)+SUMIF(C$7:C655,C655,F$7:F655)-SUMIF(C$7:C655,C655,G$7:G655))</f>
      </c>
      <c r="I655" s="145">
        <f>IF(AND(F655="",G655=""),"",SUM(基础资料!$X$5:$X$24)+SUM(F$7:F655)-SUM(G$7:G655))</f>
      </c>
      <c r="J655" s="141" t="n"/>
      <c r="K655" s="141" t="n"/>
      <c r="L655" s="141" t="n"/>
      <c r="M655" s="142" t="n"/>
      <c r="N655" s="146">
        <f>IF(AND(AND(F655="",G655=""),B655="",C655="",D655="",J655="",K655="",L655=""),"",IF(AND(F655="",G655=""),"✗ 没填金额",IF(AND(N(F655)&lt;&gt;0,N(G655)&lt;&gt;0),"✗ 收入、支出只能填一边",IF(NOT(ISNUMBER(B655)),"✗ 日期不是真日期（要像 2026/9/25 这样填）",IF(OR(B655&lt;年初日,B655&gt;年末日),"✗ 日期不在本会计年度",IF(C655="","✗ 没选账户",IF(COUNTIF(基础资料!$W$5:$W$24,C655)=0,"✗ 账户不在基础资料里",IF(O655="","✗ 没选收支项目",IF(P655="未知","✗ 收支项目不在基础资料里",IF(AND(P655="应收",J655=""),"✗ 这笔要选客户",IF(AND(P655="应收",COUNTIF(总览汇总!$B$5:$B$304,J655)=0),"✗ 客户不在总览汇总名单里",IF(AND(P655="应付",K655=""),"✗ 这笔要选供应商",IF(AND(P655="应付",COUNTIF(基础资料!$Q$5:$Q$54,K655)=0),"✗ 供应商不在基础资料里",IF(AND(P655="费用",L655=""),"✗ 费用支出要选费用项目",IF(AND(L655&lt;&gt;"",COUNTIF(基础资料!$AI$5:$AI$54,L655)=0),"✗ 费用项目不在基础资料里",IF(AND(IFERROR(INDEX(基础资料!$AD$5:$AD$34,MATCH(O655,基础资料!$AC$5:$AC$34,0)),"")="收",N(G655)&lt;&gt;0),"✗ 这类是收款，金额填到收入列",IF(AND(IFERROR(INDEX(基础资料!$AD$5:$AD$34,MATCH(O655,基础资料!$AC$5:$AC$34,0)),"")="支",N(F655)&lt;&gt;0),"✗ 这类是付款，金额填到支出列",IF(N(H655)&lt;0,"⚠ 账户余额成负数了，核对一下","√"))))))))))))))))))</f>
      </c>
      <c r="O655" s="78">
        <f>IF(D655&lt;&gt;"",D655,IF(AND(F655="",G655=""),"",IF(J655&lt;&gt;"",IF(N(F655)&gt;0,"客户回款","客户退款"),IF(K655&lt;&gt;"",IF(N(G655)&gt;0,"供应商付款","供应商退款"),IF(L655&lt;&gt;"","费用支出","")))))</f>
      </c>
      <c r="P655" s="78">
        <f>IF(O655="","",IFERROR(INDEX(基础资料!$AE$5:$AE$34,MATCH(O655,基础资料!$AC$5:$AC$34,0)),"未知"))</f>
      </c>
      <c r="Q655" s="78">
        <f>IF(P655="应收",COUNTIF(P$7:P655,"应收"),"")</f>
      </c>
      <c r="R655" s="78">
        <f>IF(P655="应付",COUNTIF(P$7:P655,"应付"),"")</f>
      </c>
      <c r="S655" s="78">
        <f>N(F655)-N(G655)</f>
        <v>0</v>
      </c>
    </row>
    <row r="656">
      <c r="A656" s="109">
        <f>IF(AND(F656="",G656=""),"",ROW()-6)</f>
      </c>
      <c r="B656" s="140" t="n"/>
      <c r="C656" s="141" t="n"/>
      <c r="D656" s="141" t="n"/>
      <c r="E656" s="142" t="n"/>
      <c r="F656" s="143" t="n"/>
      <c r="G656" s="144" t="n"/>
      <c r="H656" s="145">
        <f>IF(OR(C656="",AND(F656="",G656="")),"",SUMIF(基础资料!$W$5:$W$24,C656,基础资料!$X$5:$X$24)+SUMIF(C$7:C656,C656,F$7:F656)-SUMIF(C$7:C656,C656,G$7:G656))</f>
      </c>
      <c r="I656" s="145">
        <f>IF(AND(F656="",G656=""),"",SUM(基础资料!$X$5:$X$24)+SUM(F$7:F656)-SUM(G$7:G656))</f>
      </c>
      <c r="J656" s="141" t="n"/>
      <c r="K656" s="141" t="n"/>
      <c r="L656" s="141" t="n"/>
      <c r="M656" s="142" t="n"/>
      <c r="N656" s="146">
        <f>IF(AND(AND(F656="",G656=""),B656="",C656="",D656="",J656="",K656="",L656=""),"",IF(AND(F656="",G656=""),"✗ 没填金额",IF(AND(N(F656)&lt;&gt;0,N(G656)&lt;&gt;0),"✗ 收入、支出只能填一边",IF(NOT(ISNUMBER(B656)),"✗ 日期不是真日期（要像 2026/9/25 这样填）",IF(OR(B656&lt;年初日,B656&gt;年末日),"✗ 日期不在本会计年度",IF(C656="","✗ 没选账户",IF(COUNTIF(基础资料!$W$5:$W$24,C656)=0,"✗ 账户不在基础资料里",IF(O656="","✗ 没选收支项目",IF(P656="未知","✗ 收支项目不在基础资料里",IF(AND(P656="应收",J656=""),"✗ 这笔要选客户",IF(AND(P656="应收",COUNTIF(总览汇总!$B$5:$B$304,J656)=0),"✗ 客户不在总览汇总名单里",IF(AND(P656="应付",K656=""),"✗ 这笔要选供应商",IF(AND(P656="应付",COUNTIF(基础资料!$Q$5:$Q$54,K656)=0),"✗ 供应商不在基础资料里",IF(AND(P656="费用",L656=""),"✗ 费用支出要选费用项目",IF(AND(L656&lt;&gt;"",COUNTIF(基础资料!$AI$5:$AI$54,L656)=0),"✗ 费用项目不在基础资料里",IF(AND(IFERROR(INDEX(基础资料!$AD$5:$AD$34,MATCH(O656,基础资料!$AC$5:$AC$34,0)),"")="收",N(G656)&lt;&gt;0),"✗ 这类是收款，金额填到收入列",IF(AND(IFERROR(INDEX(基础资料!$AD$5:$AD$34,MATCH(O656,基础资料!$AC$5:$AC$34,0)),"")="支",N(F656)&lt;&gt;0),"✗ 这类是付款，金额填到支出列",IF(N(H656)&lt;0,"⚠ 账户余额成负数了，核对一下","√"))))))))))))))))))</f>
      </c>
      <c r="O656" s="78">
        <f>IF(D656&lt;&gt;"",D656,IF(AND(F656="",G656=""),"",IF(J656&lt;&gt;"",IF(N(F656)&gt;0,"客户回款","客户退款"),IF(K656&lt;&gt;"",IF(N(G656)&gt;0,"供应商付款","供应商退款"),IF(L656&lt;&gt;"","费用支出","")))))</f>
      </c>
      <c r="P656" s="78">
        <f>IF(O656="","",IFERROR(INDEX(基础资料!$AE$5:$AE$34,MATCH(O656,基础资料!$AC$5:$AC$34,0)),"未知"))</f>
      </c>
      <c r="Q656" s="78">
        <f>IF(P656="应收",COUNTIF(P$7:P656,"应收"),"")</f>
      </c>
      <c r="R656" s="78">
        <f>IF(P656="应付",COUNTIF(P$7:P656,"应付"),"")</f>
      </c>
      <c r="S656" s="78">
        <f>N(F656)-N(G656)</f>
        <v>0</v>
      </c>
    </row>
    <row r="657">
      <c r="A657" s="109">
        <f>IF(AND(F657="",G657=""),"",ROW()-6)</f>
      </c>
      <c r="B657" s="140" t="n"/>
      <c r="C657" s="141" t="n"/>
      <c r="D657" s="141" t="n"/>
      <c r="E657" s="142" t="n"/>
      <c r="F657" s="143" t="n"/>
      <c r="G657" s="144" t="n"/>
      <c r="H657" s="145">
        <f>IF(OR(C657="",AND(F657="",G657="")),"",SUMIF(基础资料!$W$5:$W$24,C657,基础资料!$X$5:$X$24)+SUMIF(C$7:C657,C657,F$7:F657)-SUMIF(C$7:C657,C657,G$7:G657))</f>
      </c>
      <c r="I657" s="145">
        <f>IF(AND(F657="",G657=""),"",SUM(基础资料!$X$5:$X$24)+SUM(F$7:F657)-SUM(G$7:G657))</f>
      </c>
      <c r="J657" s="141" t="n"/>
      <c r="K657" s="141" t="n"/>
      <c r="L657" s="141" t="n"/>
      <c r="M657" s="142" t="n"/>
      <c r="N657" s="146">
        <f>IF(AND(AND(F657="",G657=""),B657="",C657="",D657="",J657="",K657="",L657=""),"",IF(AND(F657="",G657=""),"✗ 没填金额",IF(AND(N(F657)&lt;&gt;0,N(G657)&lt;&gt;0),"✗ 收入、支出只能填一边",IF(NOT(ISNUMBER(B657)),"✗ 日期不是真日期（要像 2026/9/25 这样填）",IF(OR(B657&lt;年初日,B657&gt;年末日),"✗ 日期不在本会计年度",IF(C657="","✗ 没选账户",IF(COUNTIF(基础资料!$W$5:$W$24,C657)=0,"✗ 账户不在基础资料里",IF(O657="","✗ 没选收支项目",IF(P657="未知","✗ 收支项目不在基础资料里",IF(AND(P657="应收",J657=""),"✗ 这笔要选客户",IF(AND(P657="应收",COUNTIF(总览汇总!$B$5:$B$304,J657)=0),"✗ 客户不在总览汇总名单里",IF(AND(P657="应付",K657=""),"✗ 这笔要选供应商",IF(AND(P657="应付",COUNTIF(基础资料!$Q$5:$Q$54,K657)=0),"✗ 供应商不在基础资料里",IF(AND(P657="费用",L657=""),"✗ 费用支出要选费用项目",IF(AND(L657&lt;&gt;"",COUNTIF(基础资料!$AI$5:$AI$54,L657)=0),"✗ 费用项目不在基础资料里",IF(AND(IFERROR(INDEX(基础资料!$AD$5:$AD$34,MATCH(O657,基础资料!$AC$5:$AC$34,0)),"")="收",N(G657)&lt;&gt;0),"✗ 这类是收款，金额填到收入列",IF(AND(IFERROR(INDEX(基础资料!$AD$5:$AD$34,MATCH(O657,基础资料!$AC$5:$AC$34,0)),"")="支",N(F657)&lt;&gt;0),"✗ 这类是付款，金额填到支出列",IF(N(H657)&lt;0,"⚠ 账户余额成负数了，核对一下","√"))))))))))))))))))</f>
      </c>
      <c r="O657" s="78">
        <f>IF(D657&lt;&gt;"",D657,IF(AND(F657="",G657=""),"",IF(J657&lt;&gt;"",IF(N(F657)&gt;0,"客户回款","客户退款"),IF(K657&lt;&gt;"",IF(N(G657)&gt;0,"供应商付款","供应商退款"),IF(L657&lt;&gt;"","费用支出","")))))</f>
      </c>
      <c r="P657" s="78">
        <f>IF(O657="","",IFERROR(INDEX(基础资料!$AE$5:$AE$34,MATCH(O657,基础资料!$AC$5:$AC$34,0)),"未知"))</f>
      </c>
      <c r="Q657" s="78">
        <f>IF(P657="应收",COUNTIF(P$7:P657,"应收"),"")</f>
      </c>
      <c r="R657" s="78">
        <f>IF(P657="应付",COUNTIF(P$7:P657,"应付"),"")</f>
      </c>
      <c r="S657" s="78">
        <f>N(F657)-N(G657)</f>
        <v>0</v>
      </c>
    </row>
    <row r="658">
      <c r="A658" s="109">
        <f>IF(AND(F658="",G658=""),"",ROW()-6)</f>
      </c>
      <c r="B658" s="140" t="n"/>
      <c r="C658" s="141" t="n"/>
      <c r="D658" s="141" t="n"/>
      <c r="E658" s="142" t="n"/>
      <c r="F658" s="143" t="n"/>
      <c r="G658" s="144" t="n"/>
      <c r="H658" s="145">
        <f>IF(OR(C658="",AND(F658="",G658="")),"",SUMIF(基础资料!$W$5:$W$24,C658,基础资料!$X$5:$X$24)+SUMIF(C$7:C658,C658,F$7:F658)-SUMIF(C$7:C658,C658,G$7:G658))</f>
      </c>
      <c r="I658" s="145">
        <f>IF(AND(F658="",G658=""),"",SUM(基础资料!$X$5:$X$24)+SUM(F$7:F658)-SUM(G$7:G658))</f>
      </c>
      <c r="J658" s="141" t="n"/>
      <c r="K658" s="141" t="n"/>
      <c r="L658" s="141" t="n"/>
      <c r="M658" s="142" t="n"/>
      <c r="N658" s="146">
        <f>IF(AND(AND(F658="",G658=""),B658="",C658="",D658="",J658="",K658="",L658=""),"",IF(AND(F658="",G658=""),"✗ 没填金额",IF(AND(N(F658)&lt;&gt;0,N(G658)&lt;&gt;0),"✗ 收入、支出只能填一边",IF(NOT(ISNUMBER(B658)),"✗ 日期不是真日期（要像 2026/9/25 这样填）",IF(OR(B658&lt;年初日,B658&gt;年末日),"✗ 日期不在本会计年度",IF(C658="","✗ 没选账户",IF(COUNTIF(基础资料!$W$5:$W$24,C658)=0,"✗ 账户不在基础资料里",IF(O658="","✗ 没选收支项目",IF(P658="未知","✗ 收支项目不在基础资料里",IF(AND(P658="应收",J658=""),"✗ 这笔要选客户",IF(AND(P658="应收",COUNTIF(总览汇总!$B$5:$B$304,J658)=0),"✗ 客户不在总览汇总名单里",IF(AND(P658="应付",K658=""),"✗ 这笔要选供应商",IF(AND(P658="应付",COUNTIF(基础资料!$Q$5:$Q$54,K658)=0),"✗ 供应商不在基础资料里",IF(AND(P658="费用",L658=""),"✗ 费用支出要选费用项目",IF(AND(L658&lt;&gt;"",COUNTIF(基础资料!$AI$5:$AI$54,L658)=0),"✗ 费用项目不在基础资料里",IF(AND(IFERROR(INDEX(基础资料!$AD$5:$AD$34,MATCH(O658,基础资料!$AC$5:$AC$34,0)),"")="收",N(G658)&lt;&gt;0),"✗ 这类是收款，金额填到收入列",IF(AND(IFERROR(INDEX(基础资料!$AD$5:$AD$34,MATCH(O658,基础资料!$AC$5:$AC$34,0)),"")="支",N(F658)&lt;&gt;0),"✗ 这类是付款，金额填到支出列",IF(N(H658)&lt;0,"⚠ 账户余额成负数了，核对一下","√"))))))))))))))))))</f>
      </c>
      <c r="O658" s="78">
        <f>IF(D658&lt;&gt;"",D658,IF(AND(F658="",G658=""),"",IF(J658&lt;&gt;"",IF(N(F658)&gt;0,"客户回款","客户退款"),IF(K658&lt;&gt;"",IF(N(G658)&gt;0,"供应商付款","供应商退款"),IF(L658&lt;&gt;"","费用支出","")))))</f>
      </c>
      <c r="P658" s="78">
        <f>IF(O658="","",IFERROR(INDEX(基础资料!$AE$5:$AE$34,MATCH(O658,基础资料!$AC$5:$AC$34,0)),"未知"))</f>
      </c>
      <c r="Q658" s="78">
        <f>IF(P658="应收",COUNTIF(P$7:P658,"应收"),"")</f>
      </c>
      <c r="R658" s="78">
        <f>IF(P658="应付",COUNTIF(P$7:P658,"应付"),"")</f>
      </c>
      <c r="S658" s="78">
        <f>N(F658)-N(G658)</f>
        <v>0</v>
      </c>
    </row>
    <row r="659">
      <c r="A659" s="109">
        <f>IF(AND(F659="",G659=""),"",ROW()-6)</f>
      </c>
      <c r="B659" s="140" t="n"/>
      <c r="C659" s="141" t="n"/>
      <c r="D659" s="141" t="n"/>
      <c r="E659" s="142" t="n"/>
      <c r="F659" s="143" t="n"/>
      <c r="G659" s="144" t="n"/>
      <c r="H659" s="145">
        <f>IF(OR(C659="",AND(F659="",G659="")),"",SUMIF(基础资料!$W$5:$W$24,C659,基础资料!$X$5:$X$24)+SUMIF(C$7:C659,C659,F$7:F659)-SUMIF(C$7:C659,C659,G$7:G659))</f>
      </c>
      <c r="I659" s="145">
        <f>IF(AND(F659="",G659=""),"",SUM(基础资料!$X$5:$X$24)+SUM(F$7:F659)-SUM(G$7:G659))</f>
      </c>
      <c r="J659" s="141" t="n"/>
      <c r="K659" s="141" t="n"/>
      <c r="L659" s="141" t="n"/>
      <c r="M659" s="142" t="n"/>
      <c r="N659" s="146">
        <f>IF(AND(AND(F659="",G659=""),B659="",C659="",D659="",J659="",K659="",L659=""),"",IF(AND(F659="",G659=""),"✗ 没填金额",IF(AND(N(F659)&lt;&gt;0,N(G659)&lt;&gt;0),"✗ 收入、支出只能填一边",IF(NOT(ISNUMBER(B659)),"✗ 日期不是真日期（要像 2026/9/25 这样填）",IF(OR(B659&lt;年初日,B659&gt;年末日),"✗ 日期不在本会计年度",IF(C659="","✗ 没选账户",IF(COUNTIF(基础资料!$W$5:$W$24,C659)=0,"✗ 账户不在基础资料里",IF(O659="","✗ 没选收支项目",IF(P659="未知","✗ 收支项目不在基础资料里",IF(AND(P659="应收",J659=""),"✗ 这笔要选客户",IF(AND(P659="应收",COUNTIF(总览汇总!$B$5:$B$304,J659)=0),"✗ 客户不在总览汇总名单里",IF(AND(P659="应付",K659=""),"✗ 这笔要选供应商",IF(AND(P659="应付",COUNTIF(基础资料!$Q$5:$Q$54,K659)=0),"✗ 供应商不在基础资料里",IF(AND(P659="费用",L659=""),"✗ 费用支出要选费用项目",IF(AND(L659&lt;&gt;"",COUNTIF(基础资料!$AI$5:$AI$54,L659)=0),"✗ 费用项目不在基础资料里",IF(AND(IFERROR(INDEX(基础资料!$AD$5:$AD$34,MATCH(O659,基础资料!$AC$5:$AC$34,0)),"")="收",N(G659)&lt;&gt;0),"✗ 这类是收款，金额填到收入列",IF(AND(IFERROR(INDEX(基础资料!$AD$5:$AD$34,MATCH(O659,基础资料!$AC$5:$AC$34,0)),"")="支",N(F659)&lt;&gt;0),"✗ 这类是付款，金额填到支出列",IF(N(H659)&lt;0,"⚠ 账户余额成负数了，核对一下","√"))))))))))))))))))</f>
      </c>
      <c r="O659" s="78">
        <f>IF(D659&lt;&gt;"",D659,IF(AND(F659="",G659=""),"",IF(J659&lt;&gt;"",IF(N(F659)&gt;0,"客户回款","客户退款"),IF(K659&lt;&gt;"",IF(N(G659)&gt;0,"供应商付款","供应商退款"),IF(L659&lt;&gt;"","费用支出","")))))</f>
      </c>
      <c r="P659" s="78">
        <f>IF(O659="","",IFERROR(INDEX(基础资料!$AE$5:$AE$34,MATCH(O659,基础资料!$AC$5:$AC$34,0)),"未知"))</f>
      </c>
      <c r="Q659" s="78">
        <f>IF(P659="应收",COUNTIF(P$7:P659,"应收"),"")</f>
      </c>
      <c r="R659" s="78">
        <f>IF(P659="应付",COUNTIF(P$7:P659,"应付"),"")</f>
      </c>
      <c r="S659" s="78">
        <f>N(F659)-N(G659)</f>
        <v>0</v>
      </c>
    </row>
    <row r="660">
      <c r="A660" s="109">
        <f>IF(AND(F660="",G660=""),"",ROW()-6)</f>
      </c>
      <c r="B660" s="140" t="n"/>
      <c r="C660" s="141" t="n"/>
      <c r="D660" s="141" t="n"/>
      <c r="E660" s="142" t="n"/>
      <c r="F660" s="143" t="n"/>
      <c r="G660" s="144" t="n"/>
      <c r="H660" s="145">
        <f>IF(OR(C660="",AND(F660="",G660="")),"",SUMIF(基础资料!$W$5:$W$24,C660,基础资料!$X$5:$X$24)+SUMIF(C$7:C660,C660,F$7:F660)-SUMIF(C$7:C660,C660,G$7:G660))</f>
      </c>
      <c r="I660" s="145">
        <f>IF(AND(F660="",G660=""),"",SUM(基础资料!$X$5:$X$24)+SUM(F$7:F660)-SUM(G$7:G660))</f>
      </c>
      <c r="J660" s="141" t="n"/>
      <c r="K660" s="141" t="n"/>
      <c r="L660" s="141" t="n"/>
      <c r="M660" s="142" t="n"/>
      <c r="N660" s="146">
        <f>IF(AND(AND(F660="",G660=""),B660="",C660="",D660="",J660="",K660="",L660=""),"",IF(AND(F660="",G660=""),"✗ 没填金额",IF(AND(N(F660)&lt;&gt;0,N(G660)&lt;&gt;0),"✗ 收入、支出只能填一边",IF(NOT(ISNUMBER(B660)),"✗ 日期不是真日期（要像 2026/9/25 这样填）",IF(OR(B660&lt;年初日,B660&gt;年末日),"✗ 日期不在本会计年度",IF(C660="","✗ 没选账户",IF(COUNTIF(基础资料!$W$5:$W$24,C660)=0,"✗ 账户不在基础资料里",IF(O660="","✗ 没选收支项目",IF(P660="未知","✗ 收支项目不在基础资料里",IF(AND(P660="应收",J660=""),"✗ 这笔要选客户",IF(AND(P660="应收",COUNTIF(总览汇总!$B$5:$B$304,J660)=0),"✗ 客户不在总览汇总名单里",IF(AND(P660="应付",K660=""),"✗ 这笔要选供应商",IF(AND(P660="应付",COUNTIF(基础资料!$Q$5:$Q$54,K660)=0),"✗ 供应商不在基础资料里",IF(AND(P660="费用",L660=""),"✗ 费用支出要选费用项目",IF(AND(L660&lt;&gt;"",COUNTIF(基础资料!$AI$5:$AI$54,L660)=0),"✗ 费用项目不在基础资料里",IF(AND(IFERROR(INDEX(基础资料!$AD$5:$AD$34,MATCH(O660,基础资料!$AC$5:$AC$34,0)),"")="收",N(G660)&lt;&gt;0),"✗ 这类是收款，金额填到收入列",IF(AND(IFERROR(INDEX(基础资料!$AD$5:$AD$34,MATCH(O660,基础资料!$AC$5:$AC$34,0)),"")="支",N(F660)&lt;&gt;0),"✗ 这类是付款，金额填到支出列",IF(N(H660)&lt;0,"⚠ 账户余额成负数了，核对一下","√"))))))))))))))))))</f>
      </c>
      <c r="O660" s="78">
        <f>IF(D660&lt;&gt;"",D660,IF(AND(F660="",G660=""),"",IF(J660&lt;&gt;"",IF(N(F660)&gt;0,"客户回款","客户退款"),IF(K660&lt;&gt;"",IF(N(G660)&gt;0,"供应商付款","供应商退款"),IF(L660&lt;&gt;"","费用支出","")))))</f>
      </c>
      <c r="P660" s="78">
        <f>IF(O660="","",IFERROR(INDEX(基础资料!$AE$5:$AE$34,MATCH(O660,基础资料!$AC$5:$AC$34,0)),"未知"))</f>
      </c>
      <c r="Q660" s="78">
        <f>IF(P660="应收",COUNTIF(P$7:P660,"应收"),"")</f>
      </c>
      <c r="R660" s="78">
        <f>IF(P660="应付",COUNTIF(P$7:P660,"应付"),"")</f>
      </c>
      <c r="S660" s="78">
        <f>N(F660)-N(G660)</f>
        <v>0</v>
      </c>
    </row>
    <row r="661">
      <c r="A661" s="109">
        <f>IF(AND(F661="",G661=""),"",ROW()-6)</f>
      </c>
      <c r="B661" s="140" t="n"/>
      <c r="C661" s="141" t="n"/>
      <c r="D661" s="141" t="n"/>
      <c r="E661" s="142" t="n"/>
      <c r="F661" s="143" t="n"/>
      <c r="G661" s="144" t="n"/>
      <c r="H661" s="145">
        <f>IF(OR(C661="",AND(F661="",G661="")),"",SUMIF(基础资料!$W$5:$W$24,C661,基础资料!$X$5:$X$24)+SUMIF(C$7:C661,C661,F$7:F661)-SUMIF(C$7:C661,C661,G$7:G661))</f>
      </c>
      <c r="I661" s="145">
        <f>IF(AND(F661="",G661=""),"",SUM(基础资料!$X$5:$X$24)+SUM(F$7:F661)-SUM(G$7:G661))</f>
      </c>
      <c r="J661" s="141" t="n"/>
      <c r="K661" s="141" t="n"/>
      <c r="L661" s="141" t="n"/>
      <c r="M661" s="142" t="n"/>
      <c r="N661" s="146">
        <f>IF(AND(AND(F661="",G661=""),B661="",C661="",D661="",J661="",K661="",L661=""),"",IF(AND(F661="",G661=""),"✗ 没填金额",IF(AND(N(F661)&lt;&gt;0,N(G661)&lt;&gt;0),"✗ 收入、支出只能填一边",IF(NOT(ISNUMBER(B661)),"✗ 日期不是真日期（要像 2026/9/25 这样填）",IF(OR(B661&lt;年初日,B661&gt;年末日),"✗ 日期不在本会计年度",IF(C661="","✗ 没选账户",IF(COUNTIF(基础资料!$W$5:$W$24,C661)=0,"✗ 账户不在基础资料里",IF(O661="","✗ 没选收支项目",IF(P661="未知","✗ 收支项目不在基础资料里",IF(AND(P661="应收",J661=""),"✗ 这笔要选客户",IF(AND(P661="应收",COUNTIF(总览汇总!$B$5:$B$304,J661)=0),"✗ 客户不在总览汇总名单里",IF(AND(P661="应付",K661=""),"✗ 这笔要选供应商",IF(AND(P661="应付",COUNTIF(基础资料!$Q$5:$Q$54,K661)=0),"✗ 供应商不在基础资料里",IF(AND(P661="费用",L661=""),"✗ 费用支出要选费用项目",IF(AND(L661&lt;&gt;"",COUNTIF(基础资料!$AI$5:$AI$54,L661)=0),"✗ 费用项目不在基础资料里",IF(AND(IFERROR(INDEX(基础资料!$AD$5:$AD$34,MATCH(O661,基础资料!$AC$5:$AC$34,0)),"")="收",N(G661)&lt;&gt;0),"✗ 这类是收款，金额填到收入列",IF(AND(IFERROR(INDEX(基础资料!$AD$5:$AD$34,MATCH(O661,基础资料!$AC$5:$AC$34,0)),"")="支",N(F661)&lt;&gt;0),"✗ 这类是付款，金额填到支出列",IF(N(H661)&lt;0,"⚠ 账户余额成负数了，核对一下","√"))))))))))))))))))</f>
      </c>
      <c r="O661" s="78">
        <f>IF(D661&lt;&gt;"",D661,IF(AND(F661="",G661=""),"",IF(J661&lt;&gt;"",IF(N(F661)&gt;0,"客户回款","客户退款"),IF(K661&lt;&gt;"",IF(N(G661)&gt;0,"供应商付款","供应商退款"),IF(L661&lt;&gt;"","费用支出","")))))</f>
      </c>
      <c r="P661" s="78">
        <f>IF(O661="","",IFERROR(INDEX(基础资料!$AE$5:$AE$34,MATCH(O661,基础资料!$AC$5:$AC$34,0)),"未知"))</f>
      </c>
      <c r="Q661" s="78">
        <f>IF(P661="应收",COUNTIF(P$7:P661,"应收"),"")</f>
      </c>
      <c r="R661" s="78">
        <f>IF(P661="应付",COUNTIF(P$7:P661,"应付"),"")</f>
      </c>
      <c r="S661" s="78">
        <f>N(F661)-N(G661)</f>
        <v>0</v>
      </c>
    </row>
    <row r="662">
      <c r="A662" s="109">
        <f>IF(AND(F662="",G662=""),"",ROW()-6)</f>
      </c>
      <c r="B662" s="140" t="n"/>
      <c r="C662" s="141" t="n"/>
      <c r="D662" s="141" t="n"/>
      <c r="E662" s="142" t="n"/>
      <c r="F662" s="143" t="n"/>
      <c r="G662" s="144" t="n"/>
      <c r="H662" s="145">
        <f>IF(OR(C662="",AND(F662="",G662="")),"",SUMIF(基础资料!$W$5:$W$24,C662,基础资料!$X$5:$X$24)+SUMIF(C$7:C662,C662,F$7:F662)-SUMIF(C$7:C662,C662,G$7:G662))</f>
      </c>
      <c r="I662" s="145">
        <f>IF(AND(F662="",G662=""),"",SUM(基础资料!$X$5:$X$24)+SUM(F$7:F662)-SUM(G$7:G662))</f>
      </c>
      <c r="J662" s="141" t="n"/>
      <c r="K662" s="141" t="n"/>
      <c r="L662" s="141" t="n"/>
      <c r="M662" s="142" t="n"/>
      <c r="N662" s="146">
        <f>IF(AND(AND(F662="",G662=""),B662="",C662="",D662="",J662="",K662="",L662=""),"",IF(AND(F662="",G662=""),"✗ 没填金额",IF(AND(N(F662)&lt;&gt;0,N(G662)&lt;&gt;0),"✗ 收入、支出只能填一边",IF(NOT(ISNUMBER(B662)),"✗ 日期不是真日期（要像 2026/9/25 这样填）",IF(OR(B662&lt;年初日,B662&gt;年末日),"✗ 日期不在本会计年度",IF(C662="","✗ 没选账户",IF(COUNTIF(基础资料!$W$5:$W$24,C662)=0,"✗ 账户不在基础资料里",IF(O662="","✗ 没选收支项目",IF(P662="未知","✗ 收支项目不在基础资料里",IF(AND(P662="应收",J662=""),"✗ 这笔要选客户",IF(AND(P662="应收",COUNTIF(总览汇总!$B$5:$B$304,J662)=0),"✗ 客户不在总览汇总名单里",IF(AND(P662="应付",K662=""),"✗ 这笔要选供应商",IF(AND(P662="应付",COUNTIF(基础资料!$Q$5:$Q$54,K662)=0),"✗ 供应商不在基础资料里",IF(AND(P662="费用",L662=""),"✗ 费用支出要选费用项目",IF(AND(L662&lt;&gt;"",COUNTIF(基础资料!$AI$5:$AI$54,L662)=0),"✗ 费用项目不在基础资料里",IF(AND(IFERROR(INDEX(基础资料!$AD$5:$AD$34,MATCH(O662,基础资料!$AC$5:$AC$34,0)),"")="收",N(G662)&lt;&gt;0),"✗ 这类是收款，金额填到收入列",IF(AND(IFERROR(INDEX(基础资料!$AD$5:$AD$34,MATCH(O662,基础资料!$AC$5:$AC$34,0)),"")="支",N(F662)&lt;&gt;0),"✗ 这类是付款，金额填到支出列",IF(N(H662)&lt;0,"⚠ 账户余额成负数了，核对一下","√"))))))))))))))))))</f>
      </c>
      <c r="O662" s="78">
        <f>IF(D662&lt;&gt;"",D662,IF(AND(F662="",G662=""),"",IF(J662&lt;&gt;"",IF(N(F662)&gt;0,"客户回款","客户退款"),IF(K662&lt;&gt;"",IF(N(G662)&gt;0,"供应商付款","供应商退款"),IF(L662&lt;&gt;"","费用支出","")))))</f>
      </c>
      <c r="P662" s="78">
        <f>IF(O662="","",IFERROR(INDEX(基础资料!$AE$5:$AE$34,MATCH(O662,基础资料!$AC$5:$AC$34,0)),"未知"))</f>
      </c>
      <c r="Q662" s="78">
        <f>IF(P662="应收",COUNTIF(P$7:P662,"应收"),"")</f>
      </c>
      <c r="R662" s="78">
        <f>IF(P662="应付",COUNTIF(P$7:P662,"应付"),"")</f>
      </c>
      <c r="S662" s="78">
        <f>N(F662)-N(G662)</f>
        <v>0</v>
      </c>
    </row>
    <row r="663">
      <c r="A663" s="109">
        <f>IF(AND(F663="",G663=""),"",ROW()-6)</f>
      </c>
      <c r="B663" s="140" t="n"/>
      <c r="C663" s="141" t="n"/>
      <c r="D663" s="141" t="n"/>
      <c r="E663" s="142" t="n"/>
      <c r="F663" s="143" t="n"/>
      <c r="G663" s="144" t="n"/>
      <c r="H663" s="145">
        <f>IF(OR(C663="",AND(F663="",G663="")),"",SUMIF(基础资料!$W$5:$W$24,C663,基础资料!$X$5:$X$24)+SUMIF(C$7:C663,C663,F$7:F663)-SUMIF(C$7:C663,C663,G$7:G663))</f>
      </c>
      <c r="I663" s="145">
        <f>IF(AND(F663="",G663=""),"",SUM(基础资料!$X$5:$X$24)+SUM(F$7:F663)-SUM(G$7:G663))</f>
      </c>
      <c r="J663" s="141" t="n"/>
      <c r="K663" s="141" t="n"/>
      <c r="L663" s="141" t="n"/>
      <c r="M663" s="142" t="n"/>
      <c r="N663" s="146">
        <f>IF(AND(AND(F663="",G663=""),B663="",C663="",D663="",J663="",K663="",L663=""),"",IF(AND(F663="",G663=""),"✗ 没填金额",IF(AND(N(F663)&lt;&gt;0,N(G663)&lt;&gt;0),"✗ 收入、支出只能填一边",IF(NOT(ISNUMBER(B663)),"✗ 日期不是真日期（要像 2026/9/25 这样填）",IF(OR(B663&lt;年初日,B663&gt;年末日),"✗ 日期不在本会计年度",IF(C663="","✗ 没选账户",IF(COUNTIF(基础资料!$W$5:$W$24,C663)=0,"✗ 账户不在基础资料里",IF(O663="","✗ 没选收支项目",IF(P663="未知","✗ 收支项目不在基础资料里",IF(AND(P663="应收",J663=""),"✗ 这笔要选客户",IF(AND(P663="应收",COUNTIF(总览汇总!$B$5:$B$304,J663)=0),"✗ 客户不在总览汇总名单里",IF(AND(P663="应付",K663=""),"✗ 这笔要选供应商",IF(AND(P663="应付",COUNTIF(基础资料!$Q$5:$Q$54,K663)=0),"✗ 供应商不在基础资料里",IF(AND(P663="费用",L663=""),"✗ 费用支出要选费用项目",IF(AND(L663&lt;&gt;"",COUNTIF(基础资料!$AI$5:$AI$54,L663)=0),"✗ 费用项目不在基础资料里",IF(AND(IFERROR(INDEX(基础资料!$AD$5:$AD$34,MATCH(O663,基础资料!$AC$5:$AC$34,0)),"")="收",N(G663)&lt;&gt;0),"✗ 这类是收款，金额填到收入列",IF(AND(IFERROR(INDEX(基础资料!$AD$5:$AD$34,MATCH(O663,基础资料!$AC$5:$AC$34,0)),"")="支",N(F663)&lt;&gt;0),"✗ 这类是付款，金额填到支出列",IF(N(H663)&lt;0,"⚠ 账户余额成负数了，核对一下","√"))))))))))))))))))</f>
      </c>
      <c r="O663" s="78">
        <f>IF(D663&lt;&gt;"",D663,IF(AND(F663="",G663=""),"",IF(J663&lt;&gt;"",IF(N(F663)&gt;0,"客户回款","客户退款"),IF(K663&lt;&gt;"",IF(N(G663)&gt;0,"供应商付款","供应商退款"),IF(L663&lt;&gt;"","费用支出","")))))</f>
      </c>
      <c r="P663" s="78">
        <f>IF(O663="","",IFERROR(INDEX(基础资料!$AE$5:$AE$34,MATCH(O663,基础资料!$AC$5:$AC$34,0)),"未知"))</f>
      </c>
      <c r="Q663" s="78">
        <f>IF(P663="应收",COUNTIF(P$7:P663,"应收"),"")</f>
      </c>
      <c r="R663" s="78">
        <f>IF(P663="应付",COUNTIF(P$7:P663,"应付"),"")</f>
      </c>
      <c r="S663" s="78">
        <f>N(F663)-N(G663)</f>
        <v>0</v>
      </c>
    </row>
    <row r="664">
      <c r="A664" s="109">
        <f>IF(AND(F664="",G664=""),"",ROW()-6)</f>
      </c>
      <c r="B664" s="140" t="n"/>
      <c r="C664" s="141" t="n"/>
      <c r="D664" s="141" t="n"/>
      <c r="E664" s="142" t="n"/>
      <c r="F664" s="143" t="n"/>
      <c r="G664" s="144" t="n"/>
      <c r="H664" s="145">
        <f>IF(OR(C664="",AND(F664="",G664="")),"",SUMIF(基础资料!$W$5:$W$24,C664,基础资料!$X$5:$X$24)+SUMIF(C$7:C664,C664,F$7:F664)-SUMIF(C$7:C664,C664,G$7:G664))</f>
      </c>
      <c r="I664" s="145">
        <f>IF(AND(F664="",G664=""),"",SUM(基础资料!$X$5:$X$24)+SUM(F$7:F664)-SUM(G$7:G664))</f>
      </c>
      <c r="J664" s="141" t="n"/>
      <c r="K664" s="141" t="n"/>
      <c r="L664" s="141" t="n"/>
      <c r="M664" s="142" t="n"/>
      <c r="N664" s="146">
        <f>IF(AND(AND(F664="",G664=""),B664="",C664="",D664="",J664="",K664="",L664=""),"",IF(AND(F664="",G664=""),"✗ 没填金额",IF(AND(N(F664)&lt;&gt;0,N(G664)&lt;&gt;0),"✗ 收入、支出只能填一边",IF(NOT(ISNUMBER(B664)),"✗ 日期不是真日期（要像 2026/9/25 这样填）",IF(OR(B664&lt;年初日,B664&gt;年末日),"✗ 日期不在本会计年度",IF(C664="","✗ 没选账户",IF(COUNTIF(基础资料!$W$5:$W$24,C664)=0,"✗ 账户不在基础资料里",IF(O664="","✗ 没选收支项目",IF(P664="未知","✗ 收支项目不在基础资料里",IF(AND(P664="应收",J664=""),"✗ 这笔要选客户",IF(AND(P664="应收",COUNTIF(总览汇总!$B$5:$B$304,J664)=0),"✗ 客户不在总览汇总名单里",IF(AND(P664="应付",K664=""),"✗ 这笔要选供应商",IF(AND(P664="应付",COUNTIF(基础资料!$Q$5:$Q$54,K664)=0),"✗ 供应商不在基础资料里",IF(AND(P664="费用",L664=""),"✗ 费用支出要选费用项目",IF(AND(L664&lt;&gt;"",COUNTIF(基础资料!$AI$5:$AI$54,L664)=0),"✗ 费用项目不在基础资料里",IF(AND(IFERROR(INDEX(基础资料!$AD$5:$AD$34,MATCH(O664,基础资料!$AC$5:$AC$34,0)),"")="收",N(G664)&lt;&gt;0),"✗ 这类是收款，金额填到收入列",IF(AND(IFERROR(INDEX(基础资料!$AD$5:$AD$34,MATCH(O664,基础资料!$AC$5:$AC$34,0)),"")="支",N(F664)&lt;&gt;0),"✗ 这类是付款，金额填到支出列",IF(N(H664)&lt;0,"⚠ 账户余额成负数了，核对一下","√"))))))))))))))))))</f>
      </c>
      <c r="O664" s="78">
        <f>IF(D664&lt;&gt;"",D664,IF(AND(F664="",G664=""),"",IF(J664&lt;&gt;"",IF(N(F664)&gt;0,"客户回款","客户退款"),IF(K664&lt;&gt;"",IF(N(G664)&gt;0,"供应商付款","供应商退款"),IF(L664&lt;&gt;"","费用支出","")))))</f>
      </c>
      <c r="P664" s="78">
        <f>IF(O664="","",IFERROR(INDEX(基础资料!$AE$5:$AE$34,MATCH(O664,基础资料!$AC$5:$AC$34,0)),"未知"))</f>
      </c>
      <c r="Q664" s="78">
        <f>IF(P664="应收",COUNTIF(P$7:P664,"应收"),"")</f>
      </c>
      <c r="R664" s="78">
        <f>IF(P664="应付",COUNTIF(P$7:P664,"应付"),"")</f>
      </c>
      <c r="S664" s="78">
        <f>N(F664)-N(G664)</f>
        <v>0</v>
      </c>
    </row>
    <row r="665">
      <c r="A665" s="109">
        <f>IF(AND(F665="",G665=""),"",ROW()-6)</f>
      </c>
      <c r="B665" s="140" t="n"/>
      <c r="C665" s="141" t="n"/>
      <c r="D665" s="141" t="n"/>
      <c r="E665" s="142" t="n"/>
      <c r="F665" s="143" t="n"/>
      <c r="G665" s="144" t="n"/>
      <c r="H665" s="145">
        <f>IF(OR(C665="",AND(F665="",G665="")),"",SUMIF(基础资料!$W$5:$W$24,C665,基础资料!$X$5:$X$24)+SUMIF(C$7:C665,C665,F$7:F665)-SUMIF(C$7:C665,C665,G$7:G665))</f>
      </c>
      <c r="I665" s="145">
        <f>IF(AND(F665="",G665=""),"",SUM(基础资料!$X$5:$X$24)+SUM(F$7:F665)-SUM(G$7:G665))</f>
      </c>
      <c r="J665" s="141" t="n"/>
      <c r="K665" s="141" t="n"/>
      <c r="L665" s="141" t="n"/>
      <c r="M665" s="142" t="n"/>
      <c r="N665" s="146">
        <f>IF(AND(AND(F665="",G665=""),B665="",C665="",D665="",J665="",K665="",L665=""),"",IF(AND(F665="",G665=""),"✗ 没填金额",IF(AND(N(F665)&lt;&gt;0,N(G665)&lt;&gt;0),"✗ 收入、支出只能填一边",IF(NOT(ISNUMBER(B665)),"✗ 日期不是真日期（要像 2026/9/25 这样填）",IF(OR(B665&lt;年初日,B665&gt;年末日),"✗ 日期不在本会计年度",IF(C665="","✗ 没选账户",IF(COUNTIF(基础资料!$W$5:$W$24,C665)=0,"✗ 账户不在基础资料里",IF(O665="","✗ 没选收支项目",IF(P665="未知","✗ 收支项目不在基础资料里",IF(AND(P665="应收",J665=""),"✗ 这笔要选客户",IF(AND(P665="应收",COUNTIF(总览汇总!$B$5:$B$304,J665)=0),"✗ 客户不在总览汇总名单里",IF(AND(P665="应付",K665=""),"✗ 这笔要选供应商",IF(AND(P665="应付",COUNTIF(基础资料!$Q$5:$Q$54,K665)=0),"✗ 供应商不在基础资料里",IF(AND(P665="费用",L665=""),"✗ 费用支出要选费用项目",IF(AND(L665&lt;&gt;"",COUNTIF(基础资料!$AI$5:$AI$54,L665)=0),"✗ 费用项目不在基础资料里",IF(AND(IFERROR(INDEX(基础资料!$AD$5:$AD$34,MATCH(O665,基础资料!$AC$5:$AC$34,0)),"")="收",N(G665)&lt;&gt;0),"✗ 这类是收款，金额填到收入列",IF(AND(IFERROR(INDEX(基础资料!$AD$5:$AD$34,MATCH(O665,基础资料!$AC$5:$AC$34,0)),"")="支",N(F665)&lt;&gt;0),"✗ 这类是付款，金额填到支出列",IF(N(H665)&lt;0,"⚠ 账户余额成负数了，核对一下","√"))))))))))))))))))</f>
      </c>
      <c r="O665" s="78">
        <f>IF(D665&lt;&gt;"",D665,IF(AND(F665="",G665=""),"",IF(J665&lt;&gt;"",IF(N(F665)&gt;0,"客户回款","客户退款"),IF(K665&lt;&gt;"",IF(N(G665)&gt;0,"供应商付款","供应商退款"),IF(L665&lt;&gt;"","费用支出","")))))</f>
      </c>
      <c r="P665" s="78">
        <f>IF(O665="","",IFERROR(INDEX(基础资料!$AE$5:$AE$34,MATCH(O665,基础资料!$AC$5:$AC$34,0)),"未知"))</f>
      </c>
      <c r="Q665" s="78">
        <f>IF(P665="应收",COUNTIF(P$7:P665,"应收"),"")</f>
      </c>
      <c r="R665" s="78">
        <f>IF(P665="应付",COUNTIF(P$7:P665,"应付"),"")</f>
      </c>
      <c r="S665" s="78">
        <f>N(F665)-N(G665)</f>
        <v>0</v>
      </c>
    </row>
    <row r="666">
      <c r="A666" s="109">
        <f>IF(AND(F666="",G666=""),"",ROW()-6)</f>
      </c>
      <c r="B666" s="140" t="n"/>
      <c r="C666" s="141" t="n"/>
      <c r="D666" s="141" t="n"/>
      <c r="E666" s="142" t="n"/>
      <c r="F666" s="143" t="n"/>
      <c r="G666" s="144" t="n"/>
      <c r="H666" s="145">
        <f>IF(OR(C666="",AND(F666="",G666="")),"",SUMIF(基础资料!$W$5:$W$24,C666,基础资料!$X$5:$X$24)+SUMIF(C$7:C666,C666,F$7:F666)-SUMIF(C$7:C666,C666,G$7:G666))</f>
      </c>
      <c r="I666" s="145">
        <f>IF(AND(F666="",G666=""),"",SUM(基础资料!$X$5:$X$24)+SUM(F$7:F666)-SUM(G$7:G666))</f>
      </c>
      <c r="J666" s="141" t="n"/>
      <c r="K666" s="141" t="n"/>
      <c r="L666" s="141" t="n"/>
      <c r="M666" s="142" t="n"/>
      <c r="N666" s="146">
        <f>IF(AND(AND(F666="",G666=""),B666="",C666="",D666="",J666="",K666="",L666=""),"",IF(AND(F666="",G666=""),"✗ 没填金额",IF(AND(N(F666)&lt;&gt;0,N(G666)&lt;&gt;0),"✗ 收入、支出只能填一边",IF(NOT(ISNUMBER(B666)),"✗ 日期不是真日期（要像 2026/9/25 这样填）",IF(OR(B666&lt;年初日,B666&gt;年末日),"✗ 日期不在本会计年度",IF(C666="","✗ 没选账户",IF(COUNTIF(基础资料!$W$5:$W$24,C666)=0,"✗ 账户不在基础资料里",IF(O666="","✗ 没选收支项目",IF(P666="未知","✗ 收支项目不在基础资料里",IF(AND(P666="应收",J666=""),"✗ 这笔要选客户",IF(AND(P666="应收",COUNTIF(总览汇总!$B$5:$B$304,J666)=0),"✗ 客户不在总览汇总名单里",IF(AND(P666="应付",K666=""),"✗ 这笔要选供应商",IF(AND(P666="应付",COUNTIF(基础资料!$Q$5:$Q$54,K666)=0),"✗ 供应商不在基础资料里",IF(AND(P666="费用",L666=""),"✗ 费用支出要选费用项目",IF(AND(L666&lt;&gt;"",COUNTIF(基础资料!$AI$5:$AI$54,L666)=0),"✗ 费用项目不在基础资料里",IF(AND(IFERROR(INDEX(基础资料!$AD$5:$AD$34,MATCH(O666,基础资料!$AC$5:$AC$34,0)),"")="收",N(G666)&lt;&gt;0),"✗ 这类是收款，金额填到收入列",IF(AND(IFERROR(INDEX(基础资料!$AD$5:$AD$34,MATCH(O666,基础资料!$AC$5:$AC$34,0)),"")="支",N(F666)&lt;&gt;0),"✗ 这类是付款，金额填到支出列",IF(N(H666)&lt;0,"⚠ 账户余额成负数了，核对一下","√"))))))))))))))))))</f>
      </c>
      <c r="O666" s="78">
        <f>IF(D666&lt;&gt;"",D666,IF(AND(F666="",G666=""),"",IF(J666&lt;&gt;"",IF(N(F666)&gt;0,"客户回款","客户退款"),IF(K666&lt;&gt;"",IF(N(G666)&gt;0,"供应商付款","供应商退款"),IF(L666&lt;&gt;"","费用支出","")))))</f>
      </c>
      <c r="P666" s="78">
        <f>IF(O666="","",IFERROR(INDEX(基础资料!$AE$5:$AE$34,MATCH(O666,基础资料!$AC$5:$AC$34,0)),"未知"))</f>
      </c>
      <c r="Q666" s="78">
        <f>IF(P666="应收",COUNTIF(P$7:P666,"应收"),"")</f>
      </c>
      <c r="R666" s="78">
        <f>IF(P666="应付",COUNTIF(P$7:P666,"应付"),"")</f>
      </c>
      <c r="S666" s="78">
        <f>N(F666)-N(G666)</f>
        <v>0</v>
      </c>
    </row>
    <row r="667">
      <c r="A667" s="109">
        <f>IF(AND(F667="",G667=""),"",ROW()-6)</f>
      </c>
      <c r="B667" s="140" t="n"/>
      <c r="C667" s="141" t="n"/>
      <c r="D667" s="141" t="n"/>
      <c r="E667" s="142" t="n"/>
      <c r="F667" s="143" t="n"/>
      <c r="G667" s="144" t="n"/>
      <c r="H667" s="145">
        <f>IF(OR(C667="",AND(F667="",G667="")),"",SUMIF(基础资料!$W$5:$W$24,C667,基础资料!$X$5:$X$24)+SUMIF(C$7:C667,C667,F$7:F667)-SUMIF(C$7:C667,C667,G$7:G667))</f>
      </c>
      <c r="I667" s="145">
        <f>IF(AND(F667="",G667=""),"",SUM(基础资料!$X$5:$X$24)+SUM(F$7:F667)-SUM(G$7:G667))</f>
      </c>
      <c r="J667" s="141" t="n"/>
      <c r="K667" s="141" t="n"/>
      <c r="L667" s="141" t="n"/>
      <c r="M667" s="142" t="n"/>
      <c r="N667" s="146">
        <f>IF(AND(AND(F667="",G667=""),B667="",C667="",D667="",J667="",K667="",L667=""),"",IF(AND(F667="",G667=""),"✗ 没填金额",IF(AND(N(F667)&lt;&gt;0,N(G667)&lt;&gt;0),"✗ 收入、支出只能填一边",IF(NOT(ISNUMBER(B667)),"✗ 日期不是真日期（要像 2026/9/25 这样填）",IF(OR(B667&lt;年初日,B667&gt;年末日),"✗ 日期不在本会计年度",IF(C667="","✗ 没选账户",IF(COUNTIF(基础资料!$W$5:$W$24,C667)=0,"✗ 账户不在基础资料里",IF(O667="","✗ 没选收支项目",IF(P667="未知","✗ 收支项目不在基础资料里",IF(AND(P667="应收",J667=""),"✗ 这笔要选客户",IF(AND(P667="应收",COUNTIF(总览汇总!$B$5:$B$304,J667)=0),"✗ 客户不在总览汇总名单里",IF(AND(P667="应付",K667=""),"✗ 这笔要选供应商",IF(AND(P667="应付",COUNTIF(基础资料!$Q$5:$Q$54,K667)=0),"✗ 供应商不在基础资料里",IF(AND(P667="费用",L667=""),"✗ 费用支出要选费用项目",IF(AND(L667&lt;&gt;"",COUNTIF(基础资料!$AI$5:$AI$54,L667)=0),"✗ 费用项目不在基础资料里",IF(AND(IFERROR(INDEX(基础资料!$AD$5:$AD$34,MATCH(O667,基础资料!$AC$5:$AC$34,0)),"")="收",N(G667)&lt;&gt;0),"✗ 这类是收款，金额填到收入列",IF(AND(IFERROR(INDEX(基础资料!$AD$5:$AD$34,MATCH(O667,基础资料!$AC$5:$AC$34,0)),"")="支",N(F667)&lt;&gt;0),"✗ 这类是付款，金额填到支出列",IF(N(H667)&lt;0,"⚠ 账户余额成负数了，核对一下","√"))))))))))))))))))</f>
      </c>
      <c r="O667" s="78">
        <f>IF(D667&lt;&gt;"",D667,IF(AND(F667="",G667=""),"",IF(J667&lt;&gt;"",IF(N(F667)&gt;0,"客户回款","客户退款"),IF(K667&lt;&gt;"",IF(N(G667)&gt;0,"供应商付款","供应商退款"),IF(L667&lt;&gt;"","费用支出","")))))</f>
      </c>
      <c r="P667" s="78">
        <f>IF(O667="","",IFERROR(INDEX(基础资料!$AE$5:$AE$34,MATCH(O667,基础资料!$AC$5:$AC$34,0)),"未知"))</f>
      </c>
      <c r="Q667" s="78">
        <f>IF(P667="应收",COUNTIF(P$7:P667,"应收"),"")</f>
      </c>
      <c r="R667" s="78">
        <f>IF(P667="应付",COUNTIF(P$7:P667,"应付"),"")</f>
      </c>
      <c r="S667" s="78">
        <f>N(F667)-N(G667)</f>
        <v>0</v>
      </c>
    </row>
    <row r="668">
      <c r="A668" s="109">
        <f>IF(AND(F668="",G668=""),"",ROW()-6)</f>
      </c>
      <c r="B668" s="140" t="n"/>
      <c r="C668" s="141" t="n"/>
      <c r="D668" s="141" t="n"/>
      <c r="E668" s="142" t="n"/>
      <c r="F668" s="143" t="n"/>
      <c r="G668" s="144" t="n"/>
      <c r="H668" s="145">
        <f>IF(OR(C668="",AND(F668="",G668="")),"",SUMIF(基础资料!$W$5:$W$24,C668,基础资料!$X$5:$X$24)+SUMIF(C$7:C668,C668,F$7:F668)-SUMIF(C$7:C668,C668,G$7:G668))</f>
      </c>
      <c r="I668" s="145">
        <f>IF(AND(F668="",G668=""),"",SUM(基础资料!$X$5:$X$24)+SUM(F$7:F668)-SUM(G$7:G668))</f>
      </c>
      <c r="J668" s="141" t="n"/>
      <c r="K668" s="141" t="n"/>
      <c r="L668" s="141" t="n"/>
      <c r="M668" s="142" t="n"/>
      <c r="N668" s="146">
        <f>IF(AND(AND(F668="",G668=""),B668="",C668="",D668="",J668="",K668="",L668=""),"",IF(AND(F668="",G668=""),"✗ 没填金额",IF(AND(N(F668)&lt;&gt;0,N(G668)&lt;&gt;0),"✗ 收入、支出只能填一边",IF(NOT(ISNUMBER(B668)),"✗ 日期不是真日期（要像 2026/9/25 这样填）",IF(OR(B668&lt;年初日,B668&gt;年末日),"✗ 日期不在本会计年度",IF(C668="","✗ 没选账户",IF(COUNTIF(基础资料!$W$5:$W$24,C668)=0,"✗ 账户不在基础资料里",IF(O668="","✗ 没选收支项目",IF(P668="未知","✗ 收支项目不在基础资料里",IF(AND(P668="应收",J668=""),"✗ 这笔要选客户",IF(AND(P668="应收",COUNTIF(总览汇总!$B$5:$B$304,J668)=0),"✗ 客户不在总览汇总名单里",IF(AND(P668="应付",K668=""),"✗ 这笔要选供应商",IF(AND(P668="应付",COUNTIF(基础资料!$Q$5:$Q$54,K668)=0),"✗ 供应商不在基础资料里",IF(AND(P668="费用",L668=""),"✗ 费用支出要选费用项目",IF(AND(L668&lt;&gt;"",COUNTIF(基础资料!$AI$5:$AI$54,L668)=0),"✗ 费用项目不在基础资料里",IF(AND(IFERROR(INDEX(基础资料!$AD$5:$AD$34,MATCH(O668,基础资料!$AC$5:$AC$34,0)),"")="收",N(G668)&lt;&gt;0),"✗ 这类是收款，金额填到收入列",IF(AND(IFERROR(INDEX(基础资料!$AD$5:$AD$34,MATCH(O668,基础资料!$AC$5:$AC$34,0)),"")="支",N(F668)&lt;&gt;0),"✗ 这类是付款，金额填到支出列",IF(N(H668)&lt;0,"⚠ 账户余额成负数了，核对一下","√"))))))))))))))))))</f>
      </c>
      <c r="O668" s="78">
        <f>IF(D668&lt;&gt;"",D668,IF(AND(F668="",G668=""),"",IF(J668&lt;&gt;"",IF(N(F668)&gt;0,"客户回款","客户退款"),IF(K668&lt;&gt;"",IF(N(G668)&gt;0,"供应商付款","供应商退款"),IF(L668&lt;&gt;"","费用支出","")))))</f>
      </c>
      <c r="P668" s="78">
        <f>IF(O668="","",IFERROR(INDEX(基础资料!$AE$5:$AE$34,MATCH(O668,基础资料!$AC$5:$AC$34,0)),"未知"))</f>
      </c>
      <c r="Q668" s="78">
        <f>IF(P668="应收",COUNTIF(P$7:P668,"应收"),"")</f>
      </c>
      <c r="R668" s="78">
        <f>IF(P668="应付",COUNTIF(P$7:P668,"应付"),"")</f>
      </c>
      <c r="S668" s="78">
        <f>N(F668)-N(G668)</f>
        <v>0</v>
      </c>
    </row>
    <row r="669">
      <c r="A669" s="109">
        <f>IF(AND(F669="",G669=""),"",ROW()-6)</f>
      </c>
      <c r="B669" s="140" t="n"/>
      <c r="C669" s="141" t="n"/>
      <c r="D669" s="141" t="n"/>
      <c r="E669" s="142" t="n"/>
      <c r="F669" s="143" t="n"/>
      <c r="G669" s="144" t="n"/>
      <c r="H669" s="145">
        <f>IF(OR(C669="",AND(F669="",G669="")),"",SUMIF(基础资料!$W$5:$W$24,C669,基础资料!$X$5:$X$24)+SUMIF(C$7:C669,C669,F$7:F669)-SUMIF(C$7:C669,C669,G$7:G669))</f>
      </c>
      <c r="I669" s="145">
        <f>IF(AND(F669="",G669=""),"",SUM(基础资料!$X$5:$X$24)+SUM(F$7:F669)-SUM(G$7:G669))</f>
      </c>
      <c r="J669" s="141" t="n"/>
      <c r="K669" s="141" t="n"/>
      <c r="L669" s="141" t="n"/>
      <c r="M669" s="142" t="n"/>
      <c r="N669" s="146">
        <f>IF(AND(AND(F669="",G669=""),B669="",C669="",D669="",J669="",K669="",L669=""),"",IF(AND(F669="",G669=""),"✗ 没填金额",IF(AND(N(F669)&lt;&gt;0,N(G669)&lt;&gt;0),"✗ 收入、支出只能填一边",IF(NOT(ISNUMBER(B669)),"✗ 日期不是真日期（要像 2026/9/25 这样填）",IF(OR(B669&lt;年初日,B669&gt;年末日),"✗ 日期不在本会计年度",IF(C669="","✗ 没选账户",IF(COUNTIF(基础资料!$W$5:$W$24,C669)=0,"✗ 账户不在基础资料里",IF(O669="","✗ 没选收支项目",IF(P669="未知","✗ 收支项目不在基础资料里",IF(AND(P669="应收",J669=""),"✗ 这笔要选客户",IF(AND(P669="应收",COUNTIF(总览汇总!$B$5:$B$304,J669)=0),"✗ 客户不在总览汇总名单里",IF(AND(P669="应付",K669=""),"✗ 这笔要选供应商",IF(AND(P669="应付",COUNTIF(基础资料!$Q$5:$Q$54,K669)=0),"✗ 供应商不在基础资料里",IF(AND(P669="费用",L669=""),"✗ 费用支出要选费用项目",IF(AND(L669&lt;&gt;"",COUNTIF(基础资料!$AI$5:$AI$54,L669)=0),"✗ 费用项目不在基础资料里",IF(AND(IFERROR(INDEX(基础资料!$AD$5:$AD$34,MATCH(O669,基础资料!$AC$5:$AC$34,0)),"")="收",N(G669)&lt;&gt;0),"✗ 这类是收款，金额填到收入列",IF(AND(IFERROR(INDEX(基础资料!$AD$5:$AD$34,MATCH(O669,基础资料!$AC$5:$AC$34,0)),"")="支",N(F669)&lt;&gt;0),"✗ 这类是付款，金额填到支出列",IF(N(H669)&lt;0,"⚠ 账户余额成负数了，核对一下","√"))))))))))))))))))</f>
      </c>
      <c r="O669" s="78">
        <f>IF(D669&lt;&gt;"",D669,IF(AND(F669="",G669=""),"",IF(J669&lt;&gt;"",IF(N(F669)&gt;0,"客户回款","客户退款"),IF(K669&lt;&gt;"",IF(N(G669)&gt;0,"供应商付款","供应商退款"),IF(L669&lt;&gt;"","费用支出","")))))</f>
      </c>
      <c r="P669" s="78">
        <f>IF(O669="","",IFERROR(INDEX(基础资料!$AE$5:$AE$34,MATCH(O669,基础资料!$AC$5:$AC$34,0)),"未知"))</f>
      </c>
      <c r="Q669" s="78">
        <f>IF(P669="应收",COUNTIF(P$7:P669,"应收"),"")</f>
      </c>
      <c r="R669" s="78">
        <f>IF(P669="应付",COUNTIF(P$7:P669,"应付"),"")</f>
      </c>
      <c r="S669" s="78">
        <f>N(F669)-N(G669)</f>
        <v>0</v>
      </c>
    </row>
    <row r="670">
      <c r="A670" s="109">
        <f>IF(AND(F670="",G670=""),"",ROW()-6)</f>
      </c>
      <c r="B670" s="140" t="n"/>
      <c r="C670" s="141" t="n"/>
      <c r="D670" s="141" t="n"/>
      <c r="E670" s="142" t="n"/>
      <c r="F670" s="143" t="n"/>
      <c r="G670" s="144" t="n"/>
      <c r="H670" s="145">
        <f>IF(OR(C670="",AND(F670="",G670="")),"",SUMIF(基础资料!$W$5:$W$24,C670,基础资料!$X$5:$X$24)+SUMIF(C$7:C670,C670,F$7:F670)-SUMIF(C$7:C670,C670,G$7:G670))</f>
      </c>
      <c r="I670" s="145">
        <f>IF(AND(F670="",G670=""),"",SUM(基础资料!$X$5:$X$24)+SUM(F$7:F670)-SUM(G$7:G670))</f>
      </c>
      <c r="J670" s="141" t="n"/>
      <c r="K670" s="141" t="n"/>
      <c r="L670" s="141" t="n"/>
      <c r="M670" s="142" t="n"/>
      <c r="N670" s="146">
        <f>IF(AND(AND(F670="",G670=""),B670="",C670="",D670="",J670="",K670="",L670=""),"",IF(AND(F670="",G670=""),"✗ 没填金额",IF(AND(N(F670)&lt;&gt;0,N(G670)&lt;&gt;0),"✗ 收入、支出只能填一边",IF(NOT(ISNUMBER(B670)),"✗ 日期不是真日期（要像 2026/9/25 这样填）",IF(OR(B670&lt;年初日,B670&gt;年末日),"✗ 日期不在本会计年度",IF(C670="","✗ 没选账户",IF(COUNTIF(基础资料!$W$5:$W$24,C670)=0,"✗ 账户不在基础资料里",IF(O670="","✗ 没选收支项目",IF(P670="未知","✗ 收支项目不在基础资料里",IF(AND(P670="应收",J670=""),"✗ 这笔要选客户",IF(AND(P670="应收",COUNTIF(总览汇总!$B$5:$B$304,J670)=0),"✗ 客户不在总览汇总名单里",IF(AND(P670="应付",K670=""),"✗ 这笔要选供应商",IF(AND(P670="应付",COUNTIF(基础资料!$Q$5:$Q$54,K670)=0),"✗ 供应商不在基础资料里",IF(AND(P670="费用",L670=""),"✗ 费用支出要选费用项目",IF(AND(L670&lt;&gt;"",COUNTIF(基础资料!$AI$5:$AI$54,L670)=0),"✗ 费用项目不在基础资料里",IF(AND(IFERROR(INDEX(基础资料!$AD$5:$AD$34,MATCH(O670,基础资料!$AC$5:$AC$34,0)),"")="收",N(G670)&lt;&gt;0),"✗ 这类是收款，金额填到收入列",IF(AND(IFERROR(INDEX(基础资料!$AD$5:$AD$34,MATCH(O670,基础资料!$AC$5:$AC$34,0)),"")="支",N(F670)&lt;&gt;0),"✗ 这类是付款，金额填到支出列",IF(N(H670)&lt;0,"⚠ 账户余额成负数了，核对一下","√"))))))))))))))))))</f>
      </c>
      <c r="O670" s="78">
        <f>IF(D670&lt;&gt;"",D670,IF(AND(F670="",G670=""),"",IF(J670&lt;&gt;"",IF(N(F670)&gt;0,"客户回款","客户退款"),IF(K670&lt;&gt;"",IF(N(G670)&gt;0,"供应商付款","供应商退款"),IF(L670&lt;&gt;"","费用支出","")))))</f>
      </c>
      <c r="P670" s="78">
        <f>IF(O670="","",IFERROR(INDEX(基础资料!$AE$5:$AE$34,MATCH(O670,基础资料!$AC$5:$AC$34,0)),"未知"))</f>
      </c>
      <c r="Q670" s="78">
        <f>IF(P670="应收",COUNTIF(P$7:P670,"应收"),"")</f>
      </c>
      <c r="R670" s="78">
        <f>IF(P670="应付",COUNTIF(P$7:P670,"应付"),"")</f>
      </c>
      <c r="S670" s="78">
        <f>N(F670)-N(G670)</f>
        <v>0</v>
      </c>
    </row>
    <row r="671">
      <c r="A671" s="109">
        <f>IF(AND(F671="",G671=""),"",ROW()-6)</f>
      </c>
      <c r="B671" s="140" t="n"/>
      <c r="C671" s="141" t="n"/>
      <c r="D671" s="141" t="n"/>
      <c r="E671" s="142" t="n"/>
      <c r="F671" s="143" t="n"/>
      <c r="G671" s="144" t="n"/>
      <c r="H671" s="145">
        <f>IF(OR(C671="",AND(F671="",G671="")),"",SUMIF(基础资料!$W$5:$W$24,C671,基础资料!$X$5:$X$24)+SUMIF(C$7:C671,C671,F$7:F671)-SUMIF(C$7:C671,C671,G$7:G671))</f>
      </c>
      <c r="I671" s="145">
        <f>IF(AND(F671="",G671=""),"",SUM(基础资料!$X$5:$X$24)+SUM(F$7:F671)-SUM(G$7:G671))</f>
      </c>
      <c r="J671" s="141" t="n"/>
      <c r="K671" s="141" t="n"/>
      <c r="L671" s="141" t="n"/>
      <c r="M671" s="142" t="n"/>
      <c r="N671" s="146">
        <f>IF(AND(AND(F671="",G671=""),B671="",C671="",D671="",J671="",K671="",L671=""),"",IF(AND(F671="",G671=""),"✗ 没填金额",IF(AND(N(F671)&lt;&gt;0,N(G671)&lt;&gt;0),"✗ 收入、支出只能填一边",IF(NOT(ISNUMBER(B671)),"✗ 日期不是真日期（要像 2026/9/25 这样填）",IF(OR(B671&lt;年初日,B671&gt;年末日),"✗ 日期不在本会计年度",IF(C671="","✗ 没选账户",IF(COUNTIF(基础资料!$W$5:$W$24,C671)=0,"✗ 账户不在基础资料里",IF(O671="","✗ 没选收支项目",IF(P671="未知","✗ 收支项目不在基础资料里",IF(AND(P671="应收",J671=""),"✗ 这笔要选客户",IF(AND(P671="应收",COUNTIF(总览汇总!$B$5:$B$304,J671)=0),"✗ 客户不在总览汇总名单里",IF(AND(P671="应付",K671=""),"✗ 这笔要选供应商",IF(AND(P671="应付",COUNTIF(基础资料!$Q$5:$Q$54,K671)=0),"✗ 供应商不在基础资料里",IF(AND(P671="费用",L671=""),"✗ 费用支出要选费用项目",IF(AND(L671&lt;&gt;"",COUNTIF(基础资料!$AI$5:$AI$54,L671)=0),"✗ 费用项目不在基础资料里",IF(AND(IFERROR(INDEX(基础资料!$AD$5:$AD$34,MATCH(O671,基础资料!$AC$5:$AC$34,0)),"")="收",N(G671)&lt;&gt;0),"✗ 这类是收款，金额填到收入列",IF(AND(IFERROR(INDEX(基础资料!$AD$5:$AD$34,MATCH(O671,基础资料!$AC$5:$AC$34,0)),"")="支",N(F671)&lt;&gt;0),"✗ 这类是付款，金额填到支出列",IF(N(H671)&lt;0,"⚠ 账户余额成负数了，核对一下","√"))))))))))))))))))</f>
      </c>
      <c r="O671" s="78">
        <f>IF(D671&lt;&gt;"",D671,IF(AND(F671="",G671=""),"",IF(J671&lt;&gt;"",IF(N(F671)&gt;0,"客户回款","客户退款"),IF(K671&lt;&gt;"",IF(N(G671)&gt;0,"供应商付款","供应商退款"),IF(L671&lt;&gt;"","费用支出","")))))</f>
      </c>
      <c r="P671" s="78">
        <f>IF(O671="","",IFERROR(INDEX(基础资料!$AE$5:$AE$34,MATCH(O671,基础资料!$AC$5:$AC$34,0)),"未知"))</f>
      </c>
      <c r="Q671" s="78">
        <f>IF(P671="应收",COUNTIF(P$7:P671,"应收"),"")</f>
      </c>
      <c r="R671" s="78">
        <f>IF(P671="应付",COUNTIF(P$7:P671,"应付"),"")</f>
      </c>
      <c r="S671" s="78">
        <f>N(F671)-N(G671)</f>
        <v>0</v>
      </c>
    </row>
    <row r="672">
      <c r="A672" s="109">
        <f>IF(AND(F672="",G672=""),"",ROW()-6)</f>
      </c>
      <c r="B672" s="140" t="n"/>
      <c r="C672" s="141" t="n"/>
      <c r="D672" s="141" t="n"/>
      <c r="E672" s="142" t="n"/>
      <c r="F672" s="143" t="n"/>
      <c r="G672" s="144" t="n"/>
      <c r="H672" s="145">
        <f>IF(OR(C672="",AND(F672="",G672="")),"",SUMIF(基础资料!$W$5:$W$24,C672,基础资料!$X$5:$X$24)+SUMIF(C$7:C672,C672,F$7:F672)-SUMIF(C$7:C672,C672,G$7:G672))</f>
      </c>
      <c r="I672" s="145">
        <f>IF(AND(F672="",G672=""),"",SUM(基础资料!$X$5:$X$24)+SUM(F$7:F672)-SUM(G$7:G672))</f>
      </c>
      <c r="J672" s="141" t="n"/>
      <c r="K672" s="141" t="n"/>
      <c r="L672" s="141" t="n"/>
      <c r="M672" s="142" t="n"/>
      <c r="N672" s="146">
        <f>IF(AND(AND(F672="",G672=""),B672="",C672="",D672="",J672="",K672="",L672=""),"",IF(AND(F672="",G672=""),"✗ 没填金额",IF(AND(N(F672)&lt;&gt;0,N(G672)&lt;&gt;0),"✗ 收入、支出只能填一边",IF(NOT(ISNUMBER(B672)),"✗ 日期不是真日期（要像 2026/9/25 这样填）",IF(OR(B672&lt;年初日,B672&gt;年末日),"✗ 日期不在本会计年度",IF(C672="","✗ 没选账户",IF(COUNTIF(基础资料!$W$5:$W$24,C672)=0,"✗ 账户不在基础资料里",IF(O672="","✗ 没选收支项目",IF(P672="未知","✗ 收支项目不在基础资料里",IF(AND(P672="应收",J672=""),"✗ 这笔要选客户",IF(AND(P672="应收",COUNTIF(总览汇总!$B$5:$B$304,J672)=0),"✗ 客户不在总览汇总名单里",IF(AND(P672="应付",K672=""),"✗ 这笔要选供应商",IF(AND(P672="应付",COUNTIF(基础资料!$Q$5:$Q$54,K672)=0),"✗ 供应商不在基础资料里",IF(AND(P672="费用",L672=""),"✗ 费用支出要选费用项目",IF(AND(L672&lt;&gt;"",COUNTIF(基础资料!$AI$5:$AI$54,L672)=0),"✗ 费用项目不在基础资料里",IF(AND(IFERROR(INDEX(基础资料!$AD$5:$AD$34,MATCH(O672,基础资料!$AC$5:$AC$34,0)),"")="收",N(G672)&lt;&gt;0),"✗ 这类是收款，金额填到收入列",IF(AND(IFERROR(INDEX(基础资料!$AD$5:$AD$34,MATCH(O672,基础资料!$AC$5:$AC$34,0)),"")="支",N(F672)&lt;&gt;0),"✗ 这类是付款，金额填到支出列",IF(N(H672)&lt;0,"⚠ 账户余额成负数了，核对一下","√"))))))))))))))))))</f>
      </c>
      <c r="O672" s="78">
        <f>IF(D672&lt;&gt;"",D672,IF(AND(F672="",G672=""),"",IF(J672&lt;&gt;"",IF(N(F672)&gt;0,"客户回款","客户退款"),IF(K672&lt;&gt;"",IF(N(G672)&gt;0,"供应商付款","供应商退款"),IF(L672&lt;&gt;"","费用支出","")))))</f>
      </c>
      <c r="P672" s="78">
        <f>IF(O672="","",IFERROR(INDEX(基础资料!$AE$5:$AE$34,MATCH(O672,基础资料!$AC$5:$AC$34,0)),"未知"))</f>
      </c>
      <c r="Q672" s="78">
        <f>IF(P672="应收",COUNTIF(P$7:P672,"应收"),"")</f>
      </c>
      <c r="R672" s="78">
        <f>IF(P672="应付",COUNTIF(P$7:P672,"应付"),"")</f>
      </c>
      <c r="S672" s="78">
        <f>N(F672)-N(G672)</f>
        <v>0</v>
      </c>
    </row>
    <row r="673">
      <c r="A673" s="109">
        <f>IF(AND(F673="",G673=""),"",ROW()-6)</f>
      </c>
      <c r="B673" s="140" t="n"/>
      <c r="C673" s="141" t="n"/>
      <c r="D673" s="141" t="n"/>
      <c r="E673" s="142" t="n"/>
      <c r="F673" s="143" t="n"/>
      <c r="G673" s="144" t="n"/>
      <c r="H673" s="145">
        <f>IF(OR(C673="",AND(F673="",G673="")),"",SUMIF(基础资料!$W$5:$W$24,C673,基础资料!$X$5:$X$24)+SUMIF(C$7:C673,C673,F$7:F673)-SUMIF(C$7:C673,C673,G$7:G673))</f>
      </c>
      <c r="I673" s="145">
        <f>IF(AND(F673="",G673=""),"",SUM(基础资料!$X$5:$X$24)+SUM(F$7:F673)-SUM(G$7:G673))</f>
      </c>
      <c r="J673" s="141" t="n"/>
      <c r="K673" s="141" t="n"/>
      <c r="L673" s="141" t="n"/>
      <c r="M673" s="142" t="n"/>
      <c r="N673" s="146">
        <f>IF(AND(AND(F673="",G673=""),B673="",C673="",D673="",J673="",K673="",L673=""),"",IF(AND(F673="",G673=""),"✗ 没填金额",IF(AND(N(F673)&lt;&gt;0,N(G673)&lt;&gt;0),"✗ 收入、支出只能填一边",IF(NOT(ISNUMBER(B673)),"✗ 日期不是真日期（要像 2026/9/25 这样填）",IF(OR(B673&lt;年初日,B673&gt;年末日),"✗ 日期不在本会计年度",IF(C673="","✗ 没选账户",IF(COUNTIF(基础资料!$W$5:$W$24,C673)=0,"✗ 账户不在基础资料里",IF(O673="","✗ 没选收支项目",IF(P673="未知","✗ 收支项目不在基础资料里",IF(AND(P673="应收",J673=""),"✗ 这笔要选客户",IF(AND(P673="应收",COUNTIF(总览汇总!$B$5:$B$304,J673)=0),"✗ 客户不在总览汇总名单里",IF(AND(P673="应付",K673=""),"✗ 这笔要选供应商",IF(AND(P673="应付",COUNTIF(基础资料!$Q$5:$Q$54,K673)=0),"✗ 供应商不在基础资料里",IF(AND(P673="费用",L673=""),"✗ 费用支出要选费用项目",IF(AND(L673&lt;&gt;"",COUNTIF(基础资料!$AI$5:$AI$54,L673)=0),"✗ 费用项目不在基础资料里",IF(AND(IFERROR(INDEX(基础资料!$AD$5:$AD$34,MATCH(O673,基础资料!$AC$5:$AC$34,0)),"")="收",N(G673)&lt;&gt;0),"✗ 这类是收款，金额填到收入列",IF(AND(IFERROR(INDEX(基础资料!$AD$5:$AD$34,MATCH(O673,基础资料!$AC$5:$AC$34,0)),"")="支",N(F673)&lt;&gt;0),"✗ 这类是付款，金额填到支出列",IF(N(H673)&lt;0,"⚠ 账户余额成负数了，核对一下","√"))))))))))))))))))</f>
      </c>
      <c r="O673" s="78">
        <f>IF(D673&lt;&gt;"",D673,IF(AND(F673="",G673=""),"",IF(J673&lt;&gt;"",IF(N(F673)&gt;0,"客户回款","客户退款"),IF(K673&lt;&gt;"",IF(N(G673)&gt;0,"供应商付款","供应商退款"),IF(L673&lt;&gt;"","费用支出","")))))</f>
      </c>
      <c r="P673" s="78">
        <f>IF(O673="","",IFERROR(INDEX(基础资料!$AE$5:$AE$34,MATCH(O673,基础资料!$AC$5:$AC$34,0)),"未知"))</f>
      </c>
      <c r="Q673" s="78">
        <f>IF(P673="应收",COUNTIF(P$7:P673,"应收"),"")</f>
      </c>
      <c r="R673" s="78">
        <f>IF(P673="应付",COUNTIF(P$7:P673,"应付"),"")</f>
      </c>
      <c r="S673" s="78">
        <f>N(F673)-N(G673)</f>
        <v>0</v>
      </c>
    </row>
    <row r="674">
      <c r="A674" s="109">
        <f>IF(AND(F674="",G674=""),"",ROW()-6)</f>
      </c>
      <c r="B674" s="140" t="n"/>
      <c r="C674" s="141" t="n"/>
      <c r="D674" s="141" t="n"/>
      <c r="E674" s="142" t="n"/>
      <c r="F674" s="143" t="n"/>
      <c r="G674" s="144" t="n"/>
      <c r="H674" s="145">
        <f>IF(OR(C674="",AND(F674="",G674="")),"",SUMIF(基础资料!$W$5:$W$24,C674,基础资料!$X$5:$X$24)+SUMIF(C$7:C674,C674,F$7:F674)-SUMIF(C$7:C674,C674,G$7:G674))</f>
      </c>
      <c r="I674" s="145">
        <f>IF(AND(F674="",G674=""),"",SUM(基础资料!$X$5:$X$24)+SUM(F$7:F674)-SUM(G$7:G674))</f>
      </c>
      <c r="J674" s="141" t="n"/>
      <c r="K674" s="141" t="n"/>
      <c r="L674" s="141" t="n"/>
      <c r="M674" s="142" t="n"/>
      <c r="N674" s="146">
        <f>IF(AND(AND(F674="",G674=""),B674="",C674="",D674="",J674="",K674="",L674=""),"",IF(AND(F674="",G674=""),"✗ 没填金额",IF(AND(N(F674)&lt;&gt;0,N(G674)&lt;&gt;0),"✗ 收入、支出只能填一边",IF(NOT(ISNUMBER(B674)),"✗ 日期不是真日期（要像 2026/9/25 这样填）",IF(OR(B674&lt;年初日,B674&gt;年末日),"✗ 日期不在本会计年度",IF(C674="","✗ 没选账户",IF(COUNTIF(基础资料!$W$5:$W$24,C674)=0,"✗ 账户不在基础资料里",IF(O674="","✗ 没选收支项目",IF(P674="未知","✗ 收支项目不在基础资料里",IF(AND(P674="应收",J674=""),"✗ 这笔要选客户",IF(AND(P674="应收",COUNTIF(总览汇总!$B$5:$B$304,J674)=0),"✗ 客户不在总览汇总名单里",IF(AND(P674="应付",K674=""),"✗ 这笔要选供应商",IF(AND(P674="应付",COUNTIF(基础资料!$Q$5:$Q$54,K674)=0),"✗ 供应商不在基础资料里",IF(AND(P674="费用",L674=""),"✗ 费用支出要选费用项目",IF(AND(L674&lt;&gt;"",COUNTIF(基础资料!$AI$5:$AI$54,L674)=0),"✗ 费用项目不在基础资料里",IF(AND(IFERROR(INDEX(基础资料!$AD$5:$AD$34,MATCH(O674,基础资料!$AC$5:$AC$34,0)),"")="收",N(G674)&lt;&gt;0),"✗ 这类是收款，金额填到收入列",IF(AND(IFERROR(INDEX(基础资料!$AD$5:$AD$34,MATCH(O674,基础资料!$AC$5:$AC$34,0)),"")="支",N(F674)&lt;&gt;0),"✗ 这类是付款，金额填到支出列",IF(N(H674)&lt;0,"⚠ 账户余额成负数了，核对一下","√"))))))))))))))))))</f>
      </c>
      <c r="O674" s="78">
        <f>IF(D674&lt;&gt;"",D674,IF(AND(F674="",G674=""),"",IF(J674&lt;&gt;"",IF(N(F674)&gt;0,"客户回款","客户退款"),IF(K674&lt;&gt;"",IF(N(G674)&gt;0,"供应商付款","供应商退款"),IF(L674&lt;&gt;"","费用支出","")))))</f>
      </c>
      <c r="P674" s="78">
        <f>IF(O674="","",IFERROR(INDEX(基础资料!$AE$5:$AE$34,MATCH(O674,基础资料!$AC$5:$AC$34,0)),"未知"))</f>
      </c>
      <c r="Q674" s="78">
        <f>IF(P674="应收",COUNTIF(P$7:P674,"应收"),"")</f>
      </c>
      <c r="R674" s="78">
        <f>IF(P674="应付",COUNTIF(P$7:P674,"应付"),"")</f>
      </c>
      <c r="S674" s="78">
        <f>N(F674)-N(G674)</f>
        <v>0</v>
      </c>
    </row>
    <row r="675">
      <c r="A675" s="109">
        <f>IF(AND(F675="",G675=""),"",ROW()-6)</f>
      </c>
      <c r="B675" s="140" t="n"/>
      <c r="C675" s="141" t="n"/>
      <c r="D675" s="141" t="n"/>
      <c r="E675" s="142" t="n"/>
      <c r="F675" s="143" t="n"/>
      <c r="G675" s="144" t="n"/>
      <c r="H675" s="145">
        <f>IF(OR(C675="",AND(F675="",G675="")),"",SUMIF(基础资料!$W$5:$W$24,C675,基础资料!$X$5:$X$24)+SUMIF(C$7:C675,C675,F$7:F675)-SUMIF(C$7:C675,C675,G$7:G675))</f>
      </c>
      <c r="I675" s="145">
        <f>IF(AND(F675="",G675=""),"",SUM(基础资料!$X$5:$X$24)+SUM(F$7:F675)-SUM(G$7:G675))</f>
      </c>
      <c r="J675" s="141" t="n"/>
      <c r="K675" s="141" t="n"/>
      <c r="L675" s="141" t="n"/>
      <c r="M675" s="142" t="n"/>
      <c r="N675" s="146">
        <f>IF(AND(AND(F675="",G675=""),B675="",C675="",D675="",J675="",K675="",L675=""),"",IF(AND(F675="",G675=""),"✗ 没填金额",IF(AND(N(F675)&lt;&gt;0,N(G675)&lt;&gt;0),"✗ 收入、支出只能填一边",IF(NOT(ISNUMBER(B675)),"✗ 日期不是真日期（要像 2026/9/25 这样填）",IF(OR(B675&lt;年初日,B675&gt;年末日),"✗ 日期不在本会计年度",IF(C675="","✗ 没选账户",IF(COUNTIF(基础资料!$W$5:$W$24,C675)=0,"✗ 账户不在基础资料里",IF(O675="","✗ 没选收支项目",IF(P675="未知","✗ 收支项目不在基础资料里",IF(AND(P675="应收",J675=""),"✗ 这笔要选客户",IF(AND(P675="应收",COUNTIF(总览汇总!$B$5:$B$304,J675)=0),"✗ 客户不在总览汇总名单里",IF(AND(P675="应付",K675=""),"✗ 这笔要选供应商",IF(AND(P675="应付",COUNTIF(基础资料!$Q$5:$Q$54,K675)=0),"✗ 供应商不在基础资料里",IF(AND(P675="费用",L675=""),"✗ 费用支出要选费用项目",IF(AND(L675&lt;&gt;"",COUNTIF(基础资料!$AI$5:$AI$54,L675)=0),"✗ 费用项目不在基础资料里",IF(AND(IFERROR(INDEX(基础资料!$AD$5:$AD$34,MATCH(O675,基础资料!$AC$5:$AC$34,0)),"")="收",N(G675)&lt;&gt;0),"✗ 这类是收款，金额填到收入列",IF(AND(IFERROR(INDEX(基础资料!$AD$5:$AD$34,MATCH(O675,基础资料!$AC$5:$AC$34,0)),"")="支",N(F675)&lt;&gt;0),"✗ 这类是付款，金额填到支出列",IF(N(H675)&lt;0,"⚠ 账户余额成负数了，核对一下","√"))))))))))))))))))</f>
      </c>
      <c r="O675" s="78">
        <f>IF(D675&lt;&gt;"",D675,IF(AND(F675="",G675=""),"",IF(J675&lt;&gt;"",IF(N(F675)&gt;0,"客户回款","客户退款"),IF(K675&lt;&gt;"",IF(N(G675)&gt;0,"供应商付款","供应商退款"),IF(L675&lt;&gt;"","费用支出","")))))</f>
      </c>
      <c r="P675" s="78">
        <f>IF(O675="","",IFERROR(INDEX(基础资料!$AE$5:$AE$34,MATCH(O675,基础资料!$AC$5:$AC$34,0)),"未知"))</f>
      </c>
      <c r="Q675" s="78">
        <f>IF(P675="应收",COUNTIF(P$7:P675,"应收"),"")</f>
      </c>
      <c r="R675" s="78">
        <f>IF(P675="应付",COUNTIF(P$7:P675,"应付"),"")</f>
      </c>
      <c r="S675" s="78">
        <f>N(F675)-N(G675)</f>
        <v>0</v>
      </c>
    </row>
    <row r="676">
      <c r="A676" s="109">
        <f>IF(AND(F676="",G676=""),"",ROW()-6)</f>
      </c>
      <c r="B676" s="140" t="n"/>
      <c r="C676" s="141" t="n"/>
      <c r="D676" s="141" t="n"/>
      <c r="E676" s="142" t="n"/>
      <c r="F676" s="143" t="n"/>
      <c r="G676" s="144" t="n"/>
      <c r="H676" s="145">
        <f>IF(OR(C676="",AND(F676="",G676="")),"",SUMIF(基础资料!$W$5:$W$24,C676,基础资料!$X$5:$X$24)+SUMIF(C$7:C676,C676,F$7:F676)-SUMIF(C$7:C676,C676,G$7:G676))</f>
      </c>
      <c r="I676" s="145">
        <f>IF(AND(F676="",G676=""),"",SUM(基础资料!$X$5:$X$24)+SUM(F$7:F676)-SUM(G$7:G676))</f>
      </c>
      <c r="J676" s="141" t="n"/>
      <c r="K676" s="141" t="n"/>
      <c r="L676" s="141" t="n"/>
      <c r="M676" s="142" t="n"/>
      <c r="N676" s="146">
        <f>IF(AND(AND(F676="",G676=""),B676="",C676="",D676="",J676="",K676="",L676=""),"",IF(AND(F676="",G676=""),"✗ 没填金额",IF(AND(N(F676)&lt;&gt;0,N(G676)&lt;&gt;0),"✗ 收入、支出只能填一边",IF(NOT(ISNUMBER(B676)),"✗ 日期不是真日期（要像 2026/9/25 这样填）",IF(OR(B676&lt;年初日,B676&gt;年末日),"✗ 日期不在本会计年度",IF(C676="","✗ 没选账户",IF(COUNTIF(基础资料!$W$5:$W$24,C676)=0,"✗ 账户不在基础资料里",IF(O676="","✗ 没选收支项目",IF(P676="未知","✗ 收支项目不在基础资料里",IF(AND(P676="应收",J676=""),"✗ 这笔要选客户",IF(AND(P676="应收",COUNTIF(总览汇总!$B$5:$B$304,J676)=0),"✗ 客户不在总览汇总名单里",IF(AND(P676="应付",K676=""),"✗ 这笔要选供应商",IF(AND(P676="应付",COUNTIF(基础资料!$Q$5:$Q$54,K676)=0),"✗ 供应商不在基础资料里",IF(AND(P676="费用",L676=""),"✗ 费用支出要选费用项目",IF(AND(L676&lt;&gt;"",COUNTIF(基础资料!$AI$5:$AI$54,L676)=0),"✗ 费用项目不在基础资料里",IF(AND(IFERROR(INDEX(基础资料!$AD$5:$AD$34,MATCH(O676,基础资料!$AC$5:$AC$34,0)),"")="收",N(G676)&lt;&gt;0),"✗ 这类是收款，金额填到收入列",IF(AND(IFERROR(INDEX(基础资料!$AD$5:$AD$34,MATCH(O676,基础资料!$AC$5:$AC$34,0)),"")="支",N(F676)&lt;&gt;0),"✗ 这类是付款，金额填到支出列",IF(N(H676)&lt;0,"⚠ 账户余额成负数了，核对一下","√"))))))))))))))))))</f>
      </c>
      <c r="O676" s="78">
        <f>IF(D676&lt;&gt;"",D676,IF(AND(F676="",G676=""),"",IF(J676&lt;&gt;"",IF(N(F676)&gt;0,"客户回款","客户退款"),IF(K676&lt;&gt;"",IF(N(G676)&gt;0,"供应商付款","供应商退款"),IF(L676&lt;&gt;"","费用支出","")))))</f>
      </c>
      <c r="P676" s="78">
        <f>IF(O676="","",IFERROR(INDEX(基础资料!$AE$5:$AE$34,MATCH(O676,基础资料!$AC$5:$AC$34,0)),"未知"))</f>
      </c>
      <c r="Q676" s="78">
        <f>IF(P676="应收",COUNTIF(P$7:P676,"应收"),"")</f>
      </c>
      <c r="R676" s="78">
        <f>IF(P676="应付",COUNTIF(P$7:P676,"应付"),"")</f>
      </c>
      <c r="S676" s="78">
        <f>N(F676)-N(G676)</f>
        <v>0</v>
      </c>
    </row>
    <row r="677">
      <c r="A677" s="109">
        <f>IF(AND(F677="",G677=""),"",ROW()-6)</f>
      </c>
      <c r="B677" s="140" t="n"/>
      <c r="C677" s="141" t="n"/>
      <c r="D677" s="141" t="n"/>
      <c r="E677" s="142" t="n"/>
      <c r="F677" s="143" t="n"/>
      <c r="G677" s="144" t="n"/>
      <c r="H677" s="145">
        <f>IF(OR(C677="",AND(F677="",G677="")),"",SUMIF(基础资料!$W$5:$W$24,C677,基础资料!$X$5:$X$24)+SUMIF(C$7:C677,C677,F$7:F677)-SUMIF(C$7:C677,C677,G$7:G677))</f>
      </c>
      <c r="I677" s="145">
        <f>IF(AND(F677="",G677=""),"",SUM(基础资料!$X$5:$X$24)+SUM(F$7:F677)-SUM(G$7:G677))</f>
      </c>
      <c r="J677" s="141" t="n"/>
      <c r="K677" s="141" t="n"/>
      <c r="L677" s="141" t="n"/>
      <c r="M677" s="142" t="n"/>
      <c r="N677" s="146">
        <f>IF(AND(AND(F677="",G677=""),B677="",C677="",D677="",J677="",K677="",L677=""),"",IF(AND(F677="",G677=""),"✗ 没填金额",IF(AND(N(F677)&lt;&gt;0,N(G677)&lt;&gt;0),"✗ 收入、支出只能填一边",IF(NOT(ISNUMBER(B677)),"✗ 日期不是真日期（要像 2026/9/25 这样填）",IF(OR(B677&lt;年初日,B677&gt;年末日),"✗ 日期不在本会计年度",IF(C677="","✗ 没选账户",IF(COUNTIF(基础资料!$W$5:$W$24,C677)=0,"✗ 账户不在基础资料里",IF(O677="","✗ 没选收支项目",IF(P677="未知","✗ 收支项目不在基础资料里",IF(AND(P677="应收",J677=""),"✗ 这笔要选客户",IF(AND(P677="应收",COUNTIF(总览汇总!$B$5:$B$304,J677)=0),"✗ 客户不在总览汇总名单里",IF(AND(P677="应付",K677=""),"✗ 这笔要选供应商",IF(AND(P677="应付",COUNTIF(基础资料!$Q$5:$Q$54,K677)=0),"✗ 供应商不在基础资料里",IF(AND(P677="费用",L677=""),"✗ 费用支出要选费用项目",IF(AND(L677&lt;&gt;"",COUNTIF(基础资料!$AI$5:$AI$54,L677)=0),"✗ 费用项目不在基础资料里",IF(AND(IFERROR(INDEX(基础资料!$AD$5:$AD$34,MATCH(O677,基础资料!$AC$5:$AC$34,0)),"")="收",N(G677)&lt;&gt;0),"✗ 这类是收款，金额填到收入列",IF(AND(IFERROR(INDEX(基础资料!$AD$5:$AD$34,MATCH(O677,基础资料!$AC$5:$AC$34,0)),"")="支",N(F677)&lt;&gt;0),"✗ 这类是付款，金额填到支出列",IF(N(H677)&lt;0,"⚠ 账户余额成负数了，核对一下","√"))))))))))))))))))</f>
      </c>
      <c r="O677" s="78">
        <f>IF(D677&lt;&gt;"",D677,IF(AND(F677="",G677=""),"",IF(J677&lt;&gt;"",IF(N(F677)&gt;0,"客户回款","客户退款"),IF(K677&lt;&gt;"",IF(N(G677)&gt;0,"供应商付款","供应商退款"),IF(L677&lt;&gt;"","费用支出","")))))</f>
      </c>
      <c r="P677" s="78">
        <f>IF(O677="","",IFERROR(INDEX(基础资料!$AE$5:$AE$34,MATCH(O677,基础资料!$AC$5:$AC$34,0)),"未知"))</f>
      </c>
      <c r="Q677" s="78">
        <f>IF(P677="应收",COUNTIF(P$7:P677,"应收"),"")</f>
      </c>
      <c r="R677" s="78">
        <f>IF(P677="应付",COUNTIF(P$7:P677,"应付"),"")</f>
      </c>
      <c r="S677" s="78">
        <f>N(F677)-N(G677)</f>
        <v>0</v>
      </c>
    </row>
    <row r="678">
      <c r="A678" s="109">
        <f>IF(AND(F678="",G678=""),"",ROW()-6)</f>
      </c>
      <c r="B678" s="140" t="n"/>
      <c r="C678" s="141" t="n"/>
      <c r="D678" s="141" t="n"/>
      <c r="E678" s="142" t="n"/>
      <c r="F678" s="143" t="n"/>
      <c r="G678" s="144" t="n"/>
      <c r="H678" s="145">
        <f>IF(OR(C678="",AND(F678="",G678="")),"",SUMIF(基础资料!$W$5:$W$24,C678,基础资料!$X$5:$X$24)+SUMIF(C$7:C678,C678,F$7:F678)-SUMIF(C$7:C678,C678,G$7:G678))</f>
      </c>
      <c r="I678" s="145">
        <f>IF(AND(F678="",G678=""),"",SUM(基础资料!$X$5:$X$24)+SUM(F$7:F678)-SUM(G$7:G678))</f>
      </c>
      <c r="J678" s="141" t="n"/>
      <c r="K678" s="141" t="n"/>
      <c r="L678" s="141" t="n"/>
      <c r="M678" s="142" t="n"/>
      <c r="N678" s="146">
        <f>IF(AND(AND(F678="",G678=""),B678="",C678="",D678="",J678="",K678="",L678=""),"",IF(AND(F678="",G678=""),"✗ 没填金额",IF(AND(N(F678)&lt;&gt;0,N(G678)&lt;&gt;0),"✗ 收入、支出只能填一边",IF(NOT(ISNUMBER(B678)),"✗ 日期不是真日期（要像 2026/9/25 这样填）",IF(OR(B678&lt;年初日,B678&gt;年末日),"✗ 日期不在本会计年度",IF(C678="","✗ 没选账户",IF(COUNTIF(基础资料!$W$5:$W$24,C678)=0,"✗ 账户不在基础资料里",IF(O678="","✗ 没选收支项目",IF(P678="未知","✗ 收支项目不在基础资料里",IF(AND(P678="应收",J678=""),"✗ 这笔要选客户",IF(AND(P678="应收",COUNTIF(总览汇总!$B$5:$B$304,J678)=0),"✗ 客户不在总览汇总名单里",IF(AND(P678="应付",K678=""),"✗ 这笔要选供应商",IF(AND(P678="应付",COUNTIF(基础资料!$Q$5:$Q$54,K678)=0),"✗ 供应商不在基础资料里",IF(AND(P678="费用",L678=""),"✗ 费用支出要选费用项目",IF(AND(L678&lt;&gt;"",COUNTIF(基础资料!$AI$5:$AI$54,L678)=0),"✗ 费用项目不在基础资料里",IF(AND(IFERROR(INDEX(基础资料!$AD$5:$AD$34,MATCH(O678,基础资料!$AC$5:$AC$34,0)),"")="收",N(G678)&lt;&gt;0),"✗ 这类是收款，金额填到收入列",IF(AND(IFERROR(INDEX(基础资料!$AD$5:$AD$34,MATCH(O678,基础资料!$AC$5:$AC$34,0)),"")="支",N(F678)&lt;&gt;0),"✗ 这类是付款，金额填到支出列",IF(N(H678)&lt;0,"⚠ 账户余额成负数了，核对一下","√"))))))))))))))))))</f>
      </c>
      <c r="O678" s="78">
        <f>IF(D678&lt;&gt;"",D678,IF(AND(F678="",G678=""),"",IF(J678&lt;&gt;"",IF(N(F678)&gt;0,"客户回款","客户退款"),IF(K678&lt;&gt;"",IF(N(G678)&gt;0,"供应商付款","供应商退款"),IF(L678&lt;&gt;"","费用支出","")))))</f>
      </c>
      <c r="P678" s="78">
        <f>IF(O678="","",IFERROR(INDEX(基础资料!$AE$5:$AE$34,MATCH(O678,基础资料!$AC$5:$AC$34,0)),"未知"))</f>
      </c>
      <c r="Q678" s="78">
        <f>IF(P678="应收",COUNTIF(P$7:P678,"应收"),"")</f>
      </c>
      <c r="R678" s="78">
        <f>IF(P678="应付",COUNTIF(P$7:P678,"应付"),"")</f>
      </c>
      <c r="S678" s="78">
        <f>N(F678)-N(G678)</f>
        <v>0</v>
      </c>
    </row>
    <row r="679">
      <c r="A679" s="109">
        <f>IF(AND(F679="",G679=""),"",ROW()-6)</f>
      </c>
      <c r="B679" s="140" t="n"/>
      <c r="C679" s="141" t="n"/>
      <c r="D679" s="141" t="n"/>
      <c r="E679" s="142" t="n"/>
      <c r="F679" s="143" t="n"/>
      <c r="G679" s="144" t="n"/>
      <c r="H679" s="145">
        <f>IF(OR(C679="",AND(F679="",G679="")),"",SUMIF(基础资料!$W$5:$W$24,C679,基础资料!$X$5:$X$24)+SUMIF(C$7:C679,C679,F$7:F679)-SUMIF(C$7:C679,C679,G$7:G679))</f>
      </c>
      <c r="I679" s="145">
        <f>IF(AND(F679="",G679=""),"",SUM(基础资料!$X$5:$X$24)+SUM(F$7:F679)-SUM(G$7:G679))</f>
      </c>
      <c r="J679" s="141" t="n"/>
      <c r="K679" s="141" t="n"/>
      <c r="L679" s="141" t="n"/>
      <c r="M679" s="142" t="n"/>
      <c r="N679" s="146">
        <f>IF(AND(AND(F679="",G679=""),B679="",C679="",D679="",J679="",K679="",L679=""),"",IF(AND(F679="",G679=""),"✗ 没填金额",IF(AND(N(F679)&lt;&gt;0,N(G679)&lt;&gt;0),"✗ 收入、支出只能填一边",IF(NOT(ISNUMBER(B679)),"✗ 日期不是真日期（要像 2026/9/25 这样填）",IF(OR(B679&lt;年初日,B679&gt;年末日),"✗ 日期不在本会计年度",IF(C679="","✗ 没选账户",IF(COUNTIF(基础资料!$W$5:$W$24,C679)=0,"✗ 账户不在基础资料里",IF(O679="","✗ 没选收支项目",IF(P679="未知","✗ 收支项目不在基础资料里",IF(AND(P679="应收",J679=""),"✗ 这笔要选客户",IF(AND(P679="应收",COUNTIF(总览汇总!$B$5:$B$304,J679)=0),"✗ 客户不在总览汇总名单里",IF(AND(P679="应付",K679=""),"✗ 这笔要选供应商",IF(AND(P679="应付",COUNTIF(基础资料!$Q$5:$Q$54,K679)=0),"✗ 供应商不在基础资料里",IF(AND(P679="费用",L679=""),"✗ 费用支出要选费用项目",IF(AND(L679&lt;&gt;"",COUNTIF(基础资料!$AI$5:$AI$54,L679)=0),"✗ 费用项目不在基础资料里",IF(AND(IFERROR(INDEX(基础资料!$AD$5:$AD$34,MATCH(O679,基础资料!$AC$5:$AC$34,0)),"")="收",N(G679)&lt;&gt;0),"✗ 这类是收款，金额填到收入列",IF(AND(IFERROR(INDEX(基础资料!$AD$5:$AD$34,MATCH(O679,基础资料!$AC$5:$AC$34,0)),"")="支",N(F679)&lt;&gt;0),"✗ 这类是付款，金额填到支出列",IF(N(H679)&lt;0,"⚠ 账户余额成负数了，核对一下","√"))))))))))))))))))</f>
      </c>
      <c r="O679" s="78">
        <f>IF(D679&lt;&gt;"",D679,IF(AND(F679="",G679=""),"",IF(J679&lt;&gt;"",IF(N(F679)&gt;0,"客户回款","客户退款"),IF(K679&lt;&gt;"",IF(N(G679)&gt;0,"供应商付款","供应商退款"),IF(L679&lt;&gt;"","费用支出","")))))</f>
      </c>
      <c r="P679" s="78">
        <f>IF(O679="","",IFERROR(INDEX(基础资料!$AE$5:$AE$34,MATCH(O679,基础资料!$AC$5:$AC$34,0)),"未知"))</f>
      </c>
      <c r="Q679" s="78">
        <f>IF(P679="应收",COUNTIF(P$7:P679,"应收"),"")</f>
      </c>
      <c r="R679" s="78">
        <f>IF(P679="应付",COUNTIF(P$7:P679,"应付"),"")</f>
      </c>
      <c r="S679" s="78">
        <f>N(F679)-N(G679)</f>
        <v>0</v>
      </c>
    </row>
    <row r="680">
      <c r="A680" s="109">
        <f>IF(AND(F680="",G680=""),"",ROW()-6)</f>
      </c>
      <c r="B680" s="140" t="n"/>
      <c r="C680" s="141" t="n"/>
      <c r="D680" s="141" t="n"/>
      <c r="E680" s="142" t="n"/>
      <c r="F680" s="143" t="n"/>
      <c r="G680" s="144" t="n"/>
      <c r="H680" s="145">
        <f>IF(OR(C680="",AND(F680="",G680="")),"",SUMIF(基础资料!$W$5:$W$24,C680,基础资料!$X$5:$X$24)+SUMIF(C$7:C680,C680,F$7:F680)-SUMIF(C$7:C680,C680,G$7:G680))</f>
      </c>
      <c r="I680" s="145">
        <f>IF(AND(F680="",G680=""),"",SUM(基础资料!$X$5:$X$24)+SUM(F$7:F680)-SUM(G$7:G680))</f>
      </c>
      <c r="J680" s="141" t="n"/>
      <c r="K680" s="141" t="n"/>
      <c r="L680" s="141" t="n"/>
      <c r="M680" s="142" t="n"/>
      <c r="N680" s="146">
        <f>IF(AND(AND(F680="",G680=""),B680="",C680="",D680="",J680="",K680="",L680=""),"",IF(AND(F680="",G680=""),"✗ 没填金额",IF(AND(N(F680)&lt;&gt;0,N(G680)&lt;&gt;0),"✗ 收入、支出只能填一边",IF(NOT(ISNUMBER(B680)),"✗ 日期不是真日期（要像 2026/9/25 这样填）",IF(OR(B680&lt;年初日,B680&gt;年末日),"✗ 日期不在本会计年度",IF(C680="","✗ 没选账户",IF(COUNTIF(基础资料!$W$5:$W$24,C680)=0,"✗ 账户不在基础资料里",IF(O680="","✗ 没选收支项目",IF(P680="未知","✗ 收支项目不在基础资料里",IF(AND(P680="应收",J680=""),"✗ 这笔要选客户",IF(AND(P680="应收",COUNTIF(总览汇总!$B$5:$B$304,J680)=0),"✗ 客户不在总览汇总名单里",IF(AND(P680="应付",K680=""),"✗ 这笔要选供应商",IF(AND(P680="应付",COUNTIF(基础资料!$Q$5:$Q$54,K680)=0),"✗ 供应商不在基础资料里",IF(AND(P680="费用",L680=""),"✗ 费用支出要选费用项目",IF(AND(L680&lt;&gt;"",COUNTIF(基础资料!$AI$5:$AI$54,L680)=0),"✗ 费用项目不在基础资料里",IF(AND(IFERROR(INDEX(基础资料!$AD$5:$AD$34,MATCH(O680,基础资料!$AC$5:$AC$34,0)),"")="收",N(G680)&lt;&gt;0),"✗ 这类是收款，金额填到收入列",IF(AND(IFERROR(INDEX(基础资料!$AD$5:$AD$34,MATCH(O680,基础资料!$AC$5:$AC$34,0)),"")="支",N(F680)&lt;&gt;0),"✗ 这类是付款，金额填到支出列",IF(N(H680)&lt;0,"⚠ 账户余额成负数了，核对一下","√"))))))))))))))))))</f>
      </c>
      <c r="O680" s="78">
        <f>IF(D680&lt;&gt;"",D680,IF(AND(F680="",G680=""),"",IF(J680&lt;&gt;"",IF(N(F680)&gt;0,"客户回款","客户退款"),IF(K680&lt;&gt;"",IF(N(G680)&gt;0,"供应商付款","供应商退款"),IF(L680&lt;&gt;"","费用支出","")))))</f>
      </c>
      <c r="P680" s="78">
        <f>IF(O680="","",IFERROR(INDEX(基础资料!$AE$5:$AE$34,MATCH(O680,基础资料!$AC$5:$AC$34,0)),"未知"))</f>
      </c>
      <c r="Q680" s="78">
        <f>IF(P680="应收",COUNTIF(P$7:P680,"应收"),"")</f>
      </c>
      <c r="R680" s="78">
        <f>IF(P680="应付",COUNTIF(P$7:P680,"应付"),"")</f>
      </c>
      <c r="S680" s="78">
        <f>N(F680)-N(G680)</f>
        <v>0</v>
      </c>
    </row>
    <row r="681">
      <c r="A681" s="109">
        <f>IF(AND(F681="",G681=""),"",ROW()-6)</f>
      </c>
      <c r="B681" s="140" t="n"/>
      <c r="C681" s="141" t="n"/>
      <c r="D681" s="141" t="n"/>
      <c r="E681" s="142" t="n"/>
      <c r="F681" s="143" t="n"/>
      <c r="G681" s="144" t="n"/>
      <c r="H681" s="145">
        <f>IF(OR(C681="",AND(F681="",G681="")),"",SUMIF(基础资料!$W$5:$W$24,C681,基础资料!$X$5:$X$24)+SUMIF(C$7:C681,C681,F$7:F681)-SUMIF(C$7:C681,C681,G$7:G681))</f>
      </c>
      <c r="I681" s="145">
        <f>IF(AND(F681="",G681=""),"",SUM(基础资料!$X$5:$X$24)+SUM(F$7:F681)-SUM(G$7:G681))</f>
      </c>
      <c r="J681" s="141" t="n"/>
      <c r="K681" s="141" t="n"/>
      <c r="L681" s="141" t="n"/>
      <c r="M681" s="142" t="n"/>
      <c r="N681" s="146">
        <f>IF(AND(AND(F681="",G681=""),B681="",C681="",D681="",J681="",K681="",L681=""),"",IF(AND(F681="",G681=""),"✗ 没填金额",IF(AND(N(F681)&lt;&gt;0,N(G681)&lt;&gt;0),"✗ 收入、支出只能填一边",IF(NOT(ISNUMBER(B681)),"✗ 日期不是真日期（要像 2026/9/25 这样填）",IF(OR(B681&lt;年初日,B681&gt;年末日),"✗ 日期不在本会计年度",IF(C681="","✗ 没选账户",IF(COUNTIF(基础资料!$W$5:$W$24,C681)=0,"✗ 账户不在基础资料里",IF(O681="","✗ 没选收支项目",IF(P681="未知","✗ 收支项目不在基础资料里",IF(AND(P681="应收",J681=""),"✗ 这笔要选客户",IF(AND(P681="应收",COUNTIF(总览汇总!$B$5:$B$304,J681)=0),"✗ 客户不在总览汇总名单里",IF(AND(P681="应付",K681=""),"✗ 这笔要选供应商",IF(AND(P681="应付",COUNTIF(基础资料!$Q$5:$Q$54,K681)=0),"✗ 供应商不在基础资料里",IF(AND(P681="费用",L681=""),"✗ 费用支出要选费用项目",IF(AND(L681&lt;&gt;"",COUNTIF(基础资料!$AI$5:$AI$54,L681)=0),"✗ 费用项目不在基础资料里",IF(AND(IFERROR(INDEX(基础资料!$AD$5:$AD$34,MATCH(O681,基础资料!$AC$5:$AC$34,0)),"")="收",N(G681)&lt;&gt;0),"✗ 这类是收款，金额填到收入列",IF(AND(IFERROR(INDEX(基础资料!$AD$5:$AD$34,MATCH(O681,基础资料!$AC$5:$AC$34,0)),"")="支",N(F681)&lt;&gt;0),"✗ 这类是付款，金额填到支出列",IF(N(H681)&lt;0,"⚠ 账户余额成负数了，核对一下","√"))))))))))))))))))</f>
      </c>
      <c r="O681" s="78">
        <f>IF(D681&lt;&gt;"",D681,IF(AND(F681="",G681=""),"",IF(J681&lt;&gt;"",IF(N(F681)&gt;0,"客户回款","客户退款"),IF(K681&lt;&gt;"",IF(N(G681)&gt;0,"供应商付款","供应商退款"),IF(L681&lt;&gt;"","费用支出","")))))</f>
      </c>
      <c r="P681" s="78">
        <f>IF(O681="","",IFERROR(INDEX(基础资料!$AE$5:$AE$34,MATCH(O681,基础资料!$AC$5:$AC$34,0)),"未知"))</f>
      </c>
      <c r="Q681" s="78">
        <f>IF(P681="应收",COUNTIF(P$7:P681,"应收"),"")</f>
      </c>
      <c r="R681" s="78">
        <f>IF(P681="应付",COUNTIF(P$7:P681,"应付"),"")</f>
      </c>
      <c r="S681" s="78">
        <f>N(F681)-N(G681)</f>
        <v>0</v>
      </c>
    </row>
    <row r="682">
      <c r="A682" s="109">
        <f>IF(AND(F682="",G682=""),"",ROW()-6)</f>
      </c>
      <c r="B682" s="140" t="n"/>
      <c r="C682" s="141" t="n"/>
      <c r="D682" s="141" t="n"/>
      <c r="E682" s="142" t="n"/>
      <c r="F682" s="143" t="n"/>
      <c r="G682" s="144" t="n"/>
      <c r="H682" s="145">
        <f>IF(OR(C682="",AND(F682="",G682="")),"",SUMIF(基础资料!$W$5:$W$24,C682,基础资料!$X$5:$X$24)+SUMIF(C$7:C682,C682,F$7:F682)-SUMIF(C$7:C682,C682,G$7:G682))</f>
      </c>
      <c r="I682" s="145">
        <f>IF(AND(F682="",G682=""),"",SUM(基础资料!$X$5:$X$24)+SUM(F$7:F682)-SUM(G$7:G682))</f>
      </c>
      <c r="J682" s="141" t="n"/>
      <c r="K682" s="141" t="n"/>
      <c r="L682" s="141" t="n"/>
      <c r="M682" s="142" t="n"/>
      <c r="N682" s="146">
        <f>IF(AND(AND(F682="",G682=""),B682="",C682="",D682="",J682="",K682="",L682=""),"",IF(AND(F682="",G682=""),"✗ 没填金额",IF(AND(N(F682)&lt;&gt;0,N(G682)&lt;&gt;0),"✗ 收入、支出只能填一边",IF(NOT(ISNUMBER(B682)),"✗ 日期不是真日期（要像 2026/9/25 这样填）",IF(OR(B682&lt;年初日,B682&gt;年末日),"✗ 日期不在本会计年度",IF(C682="","✗ 没选账户",IF(COUNTIF(基础资料!$W$5:$W$24,C682)=0,"✗ 账户不在基础资料里",IF(O682="","✗ 没选收支项目",IF(P682="未知","✗ 收支项目不在基础资料里",IF(AND(P682="应收",J682=""),"✗ 这笔要选客户",IF(AND(P682="应收",COUNTIF(总览汇总!$B$5:$B$304,J682)=0),"✗ 客户不在总览汇总名单里",IF(AND(P682="应付",K682=""),"✗ 这笔要选供应商",IF(AND(P682="应付",COUNTIF(基础资料!$Q$5:$Q$54,K682)=0),"✗ 供应商不在基础资料里",IF(AND(P682="费用",L682=""),"✗ 费用支出要选费用项目",IF(AND(L682&lt;&gt;"",COUNTIF(基础资料!$AI$5:$AI$54,L682)=0),"✗ 费用项目不在基础资料里",IF(AND(IFERROR(INDEX(基础资料!$AD$5:$AD$34,MATCH(O682,基础资料!$AC$5:$AC$34,0)),"")="收",N(G682)&lt;&gt;0),"✗ 这类是收款，金额填到收入列",IF(AND(IFERROR(INDEX(基础资料!$AD$5:$AD$34,MATCH(O682,基础资料!$AC$5:$AC$34,0)),"")="支",N(F682)&lt;&gt;0),"✗ 这类是付款，金额填到支出列",IF(N(H682)&lt;0,"⚠ 账户余额成负数了，核对一下","√"))))))))))))))))))</f>
      </c>
      <c r="O682" s="78">
        <f>IF(D682&lt;&gt;"",D682,IF(AND(F682="",G682=""),"",IF(J682&lt;&gt;"",IF(N(F682)&gt;0,"客户回款","客户退款"),IF(K682&lt;&gt;"",IF(N(G682)&gt;0,"供应商付款","供应商退款"),IF(L682&lt;&gt;"","费用支出","")))))</f>
      </c>
      <c r="P682" s="78">
        <f>IF(O682="","",IFERROR(INDEX(基础资料!$AE$5:$AE$34,MATCH(O682,基础资料!$AC$5:$AC$34,0)),"未知"))</f>
      </c>
      <c r="Q682" s="78">
        <f>IF(P682="应收",COUNTIF(P$7:P682,"应收"),"")</f>
      </c>
      <c r="R682" s="78">
        <f>IF(P682="应付",COUNTIF(P$7:P682,"应付"),"")</f>
      </c>
      <c r="S682" s="78">
        <f>N(F682)-N(G682)</f>
        <v>0</v>
      </c>
    </row>
    <row r="683">
      <c r="A683" s="109">
        <f>IF(AND(F683="",G683=""),"",ROW()-6)</f>
      </c>
      <c r="B683" s="140" t="n"/>
      <c r="C683" s="141" t="n"/>
      <c r="D683" s="141" t="n"/>
      <c r="E683" s="142" t="n"/>
      <c r="F683" s="143" t="n"/>
      <c r="G683" s="144" t="n"/>
      <c r="H683" s="145">
        <f>IF(OR(C683="",AND(F683="",G683="")),"",SUMIF(基础资料!$W$5:$W$24,C683,基础资料!$X$5:$X$24)+SUMIF(C$7:C683,C683,F$7:F683)-SUMIF(C$7:C683,C683,G$7:G683))</f>
      </c>
      <c r="I683" s="145">
        <f>IF(AND(F683="",G683=""),"",SUM(基础资料!$X$5:$X$24)+SUM(F$7:F683)-SUM(G$7:G683))</f>
      </c>
      <c r="J683" s="141" t="n"/>
      <c r="K683" s="141" t="n"/>
      <c r="L683" s="141" t="n"/>
      <c r="M683" s="142" t="n"/>
      <c r="N683" s="146">
        <f>IF(AND(AND(F683="",G683=""),B683="",C683="",D683="",J683="",K683="",L683=""),"",IF(AND(F683="",G683=""),"✗ 没填金额",IF(AND(N(F683)&lt;&gt;0,N(G683)&lt;&gt;0),"✗ 收入、支出只能填一边",IF(NOT(ISNUMBER(B683)),"✗ 日期不是真日期（要像 2026/9/25 这样填）",IF(OR(B683&lt;年初日,B683&gt;年末日),"✗ 日期不在本会计年度",IF(C683="","✗ 没选账户",IF(COUNTIF(基础资料!$W$5:$W$24,C683)=0,"✗ 账户不在基础资料里",IF(O683="","✗ 没选收支项目",IF(P683="未知","✗ 收支项目不在基础资料里",IF(AND(P683="应收",J683=""),"✗ 这笔要选客户",IF(AND(P683="应收",COUNTIF(总览汇总!$B$5:$B$304,J683)=0),"✗ 客户不在总览汇总名单里",IF(AND(P683="应付",K683=""),"✗ 这笔要选供应商",IF(AND(P683="应付",COUNTIF(基础资料!$Q$5:$Q$54,K683)=0),"✗ 供应商不在基础资料里",IF(AND(P683="费用",L683=""),"✗ 费用支出要选费用项目",IF(AND(L683&lt;&gt;"",COUNTIF(基础资料!$AI$5:$AI$54,L683)=0),"✗ 费用项目不在基础资料里",IF(AND(IFERROR(INDEX(基础资料!$AD$5:$AD$34,MATCH(O683,基础资料!$AC$5:$AC$34,0)),"")="收",N(G683)&lt;&gt;0),"✗ 这类是收款，金额填到收入列",IF(AND(IFERROR(INDEX(基础资料!$AD$5:$AD$34,MATCH(O683,基础资料!$AC$5:$AC$34,0)),"")="支",N(F683)&lt;&gt;0),"✗ 这类是付款，金额填到支出列",IF(N(H683)&lt;0,"⚠ 账户余额成负数了，核对一下","√"))))))))))))))))))</f>
      </c>
      <c r="O683" s="78">
        <f>IF(D683&lt;&gt;"",D683,IF(AND(F683="",G683=""),"",IF(J683&lt;&gt;"",IF(N(F683)&gt;0,"客户回款","客户退款"),IF(K683&lt;&gt;"",IF(N(G683)&gt;0,"供应商付款","供应商退款"),IF(L683&lt;&gt;"","费用支出","")))))</f>
      </c>
      <c r="P683" s="78">
        <f>IF(O683="","",IFERROR(INDEX(基础资料!$AE$5:$AE$34,MATCH(O683,基础资料!$AC$5:$AC$34,0)),"未知"))</f>
      </c>
      <c r="Q683" s="78">
        <f>IF(P683="应收",COUNTIF(P$7:P683,"应收"),"")</f>
      </c>
      <c r="R683" s="78">
        <f>IF(P683="应付",COUNTIF(P$7:P683,"应付"),"")</f>
      </c>
      <c r="S683" s="78">
        <f>N(F683)-N(G683)</f>
        <v>0</v>
      </c>
    </row>
    <row r="684">
      <c r="A684" s="109">
        <f>IF(AND(F684="",G684=""),"",ROW()-6)</f>
      </c>
      <c r="B684" s="140" t="n"/>
      <c r="C684" s="141" t="n"/>
      <c r="D684" s="141" t="n"/>
      <c r="E684" s="142" t="n"/>
      <c r="F684" s="143" t="n"/>
      <c r="G684" s="144" t="n"/>
      <c r="H684" s="145">
        <f>IF(OR(C684="",AND(F684="",G684="")),"",SUMIF(基础资料!$W$5:$W$24,C684,基础资料!$X$5:$X$24)+SUMIF(C$7:C684,C684,F$7:F684)-SUMIF(C$7:C684,C684,G$7:G684))</f>
      </c>
      <c r="I684" s="145">
        <f>IF(AND(F684="",G684=""),"",SUM(基础资料!$X$5:$X$24)+SUM(F$7:F684)-SUM(G$7:G684))</f>
      </c>
      <c r="J684" s="141" t="n"/>
      <c r="K684" s="141" t="n"/>
      <c r="L684" s="141" t="n"/>
      <c r="M684" s="142" t="n"/>
      <c r="N684" s="146">
        <f>IF(AND(AND(F684="",G684=""),B684="",C684="",D684="",J684="",K684="",L684=""),"",IF(AND(F684="",G684=""),"✗ 没填金额",IF(AND(N(F684)&lt;&gt;0,N(G684)&lt;&gt;0),"✗ 收入、支出只能填一边",IF(NOT(ISNUMBER(B684)),"✗ 日期不是真日期（要像 2026/9/25 这样填）",IF(OR(B684&lt;年初日,B684&gt;年末日),"✗ 日期不在本会计年度",IF(C684="","✗ 没选账户",IF(COUNTIF(基础资料!$W$5:$W$24,C684)=0,"✗ 账户不在基础资料里",IF(O684="","✗ 没选收支项目",IF(P684="未知","✗ 收支项目不在基础资料里",IF(AND(P684="应收",J684=""),"✗ 这笔要选客户",IF(AND(P684="应收",COUNTIF(总览汇总!$B$5:$B$304,J684)=0),"✗ 客户不在总览汇总名单里",IF(AND(P684="应付",K684=""),"✗ 这笔要选供应商",IF(AND(P684="应付",COUNTIF(基础资料!$Q$5:$Q$54,K684)=0),"✗ 供应商不在基础资料里",IF(AND(P684="费用",L684=""),"✗ 费用支出要选费用项目",IF(AND(L684&lt;&gt;"",COUNTIF(基础资料!$AI$5:$AI$54,L684)=0),"✗ 费用项目不在基础资料里",IF(AND(IFERROR(INDEX(基础资料!$AD$5:$AD$34,MATCH(O684,基础资料!$AC$5:$AC$34,0)),"")="收",N(G684)&lt;&gt;0),"✗ 这类是收款，金额填到收入列",IF(AND(IFERROR(INDEX(基础资料!$AD$5:$AD$34,MATCH(O684,基础资料!$AC$5:$AC$34,0)),"")="支",N(F684)&lt;&gt;0),"✗ 这类是付款，金额填到支出列",IF(N(H684)&lt;0,"⚠ 账户余额成负数了，核对一下","√"))))))))))))))))))</f>
      </c>
      <c r="O684" s="78">
        <f>IF(D684&lt;&gt;"",D684,IF(AND(F684="",G684=""),"",IF(J684&lt;&gt;"",IF(N(F684)&gt;0,"客户回款","客户退款"),IF(K684&lt;&gt;"",IF(N(G684)&gt;0,"供应商付款","供应商退款"),IF(L684&lt;&gt;"","费用支出","")))))</f>
      </c>
      <c r="P684" s="78">
        <f>IF(O684="","",IFERROR(INDEX(基础资料!$AE$5:$AE$34,MATCH(O684,基础资料!$AC$5:$AC$34,0)),"未知"))</f>
      </c>
      <c r="Q684" s="78">
        <f>IF(P684="应收",COUNTIF(P$7:P684,"应收"),"")</f>
      </c>
      <c r="R684" s="78">
        <f>IF(P684="应付",COUNTIF(P$7:P684,"应付"),"")</f>
      </c>
      <c r="S684" s="78">
        <f>N(F684)-N(G684)</f>
        <v>0</v>
      </c>
    </row>
    <row r="685">
      <c r="A685" s="109">
        <f>IF(AND(F685="",G685=""),"",ROW()-6)</f>
      </c>
      <c r="B685" s="140" t="n"/>
      <c r="C685" s="141" t="n"/>
      <c r="D685" s="141" t="n"/>
      <c r="E685" s="142" t="n"/>
      <c r="F685" s="143" t="n"/>
      <c r="G685" s="144" t="n"/>
      <c r="H685" s="145">
        <f>IF(OR(C685="",AND(F685="",G685="")),"",SUMIF(基础资料!$W$5:$W$24,C685,基础资料!$X$5:$X$24)+SUMIF(C$7:C685,C685,F$7:F685)-SUMIF(C$7:C685,C685,G$7:G685))</f>
      </c>
      <c r="I685" s="145">
        <f>IF(AND(F685="",G685=""),"",SUM(基础资料!$X$5:$X$24)+SUM(F$7:F685)-SUM(G$7:G685))</f>
      </c>
      <c r="J685" s="141" t="n"/>
      <c r="K685" s="141" t="n"/>
      <c r="L685" s="141" t="n"/>
      <c r="M685" s="142" t="n"/>
      <c r="N685" s="146">
        <f>IF(AND(AND(F685="",G685=""),B685="",C685="",D685="",J685="",K685="",L685=""),"",IF(AND(F685="",G685=""),"✗ 没填金额",IF(AND(N(F685)&lt;&gt;0,N(G685)&lt;&gt;0),"✗ 收入、支出只能填一边",IF(NOT(ISNUMBER(B685)),"✗ 日期不是真日期（要像 2026/9/25 这样填）",IF(OR(B685&lt;年初日,B685&gt;年末日),"✗ 日期不在本会计年度",IF(C685="","✗ 没选账户",IF(COUNTIF(基础资料!$W$5:$W$24,C685)=0,"✗ 账户不在基础资料里",IF(O685="","✗ 没选收支项目",IF(P685="未知","✗ 收支项目不在基础资料里",IF(AND(P685="应收",J685=""),"✗ 这笔要选客户",IF(AND(P685="应收",COUNTIF(总览汇总!$B$5:$B$304,J685)=0),"✗ 客户不在总览汇总名单里",IF(AND(P685="应付",K685=""),"✗ 这笔要选供应商",IF(AND(P685="应付",COUNTIF(基础资料!$Q$5:$Q$54,K685)=0),"✗ 供应商不在基础资料里",IF(AND(P685="费用",L685=""),"✗ 费用支出要选费用项目",IF(AND(L685&lt;&gt;"",COUNTIF(基础资料!$AI$5:$AI$54,L685)=0),"✗ 费用项目不在基础资料里",IF(AND(IFERROR(INDEX(基础资料!$AD$5:$AD$34,MATCH(O685,基础资料!$AC$5:$AC$34,0)),"")="收",N(G685)&lt;&gt;0),"✗ 这类是收款，金额填到收入列",IF(AND(IFERROR(INDEX(基础资料!$AD$5:$AD$34,MATCH(O685,基础资料!$AC$5:$AC$34,0)),"")="支",N(F685)&lt;&gt;0),"✗ 这类是付款，金额填到支出列",IF(N(H685)&lt;0,"⚠ 账户余额成负数了，核对一下","√"))))))))))))))))))</f>
      </c>
      <c r="O685" s="78">
        <f>IF(D685&lt;&gt;"",D685,IF(AND(F685="",G685=""),"",IF(J685&lt;&gt;"",IF(N(F685)&gt;0,"客户回款","客户退款"),IF(K685&lt;&gt;"",IF(N(G685)&gt;0,"供应商付款","供应商退款"),IF(L685&lt;&gt;"","费用支出","")))))</f>
      </c>
      <c r="P685" s="78">
        <f>IF(O685="","",IFERROR(INDEX(基础资料!$AE$5:$AE$34,MATCH(O685,基础资料!$AC$5:$AC$34,0)),"未知"))</f>
      </c>
      <c r="Q685" s="78">
        <f>IF(P685="应收",COUNTIF(P$7:P685,"应收"),"")</f>
      </c>
      <c r="R685" s="78">
        <f>IF(P685="应付",COUNTIF(P$7:P685,"应付"),"")</f>
      </c>
      <c r="S685" s="78">
        <f>N(F685)-N(G685)</f>
        <v>0</v>
      </c>
    </row>
    <row r="686">
      <c r="A686" s="109">
        <f>IF(AND(F686="",G686=""),"",ROW()-6)</f>
      </c>
      <c r="B686" s="140" t="n"/>
      <c r="C686" s="141" t="n"/>
      <c r="D686" s="141" t="n"/>
      <c r="E686" s="142" t="n"/>
      <c r="F686" s="143" t="n"/>
      <c r="G686" s="144" t="n"/>
      <c r="H686" s="145">
        <f>IF(OR(C686="",AND(F686="",G686="")),"",SUMIF(基础资料!$W$5:$W$24,C686,基础资料!$X$5:$X$24)+SUMIF(C$7:C686,C686,F$7:F686)-SUMIF(C$7:C686,C686,G$7:G686))</f>
      </c>
      <c r="I686" s="145">
        <f>IF(AND(F686="",G686=""),"",SUM(基础资料!$X$5:$X$24)+SUM(F$7:F686)-SUM(G$7:G686))</f>
      </c>
      <c r="J686" s="141" t="n"/>
      <c r="K686" s="141" t="n"/>
      <c r="L686" s="141" t="n"/>
      <c r="M686" s="142" t="n"/>
      <c r="N686" s="146">
        <f>IF(AND(AND(F686="",G686=""),B686="",C686="",D686="",J686="",K686="",L686=""),"",IF(AND(F686="",G686=""),"✗ 没填金额",IF(AND(N(F686)&lt;&gt;0,N(G686)&lt;&gt;0),"✗ 收入、支出只能填一边",IF(NOT(ISNUMBER(B686)),"✗ 日期不是真日期（要像 2026/9/25 这样填）",IF(OR(B686&lt;年初日,B686&gt;年末日),"✗ 日期不在本会计年度",IF(C686="","✗ 没选账户",IF(COUNTIF(基础资料!$W$5:$W$24,C686)=0,"✗ 账户不在基础资料里",IF(O686="","✗ 没选收支项目",IF(P686="未知","✗ 收支项目不在基础资料里",IF(AND(P686="应收",J686=""),"✗ 这笔要选客户",IF(AND(P686="应收",COUNTIF(总览汇总!$B$5:$B$304,J686)=0),"✗ 客户不在总览汇总名单里",IF(AND(P686="应付",K686=""),"✗ 这笔要选供应商",IF(AND(P686="应付",COUNTIF(基础资料!$Q$5:$Q$54,K686)=0),"✗ 供应商不在基础资料里",IF(AND(P686="费用",L686=""),"✗ 费用支出要选费用项目",IF(AND(L686&lt;&gt;"",COUNTIF(基础资料!$AI$5:$AI$54,L686)=0),"✗ 费用项目不在基础资料里",IF(AND(IFERROR(INDEX(基础资料!$AD$5:$AD$34,MATCH(O686,基础资料!$AC$5:$AC$34,0)),"")="收",N(G686)&lt;&gt;0),"✗ 这类是收款，金额填到收入列",IF(AND(IFERROR(INDEX(基础资料!$AD$5:$AD$34,MATCH(O686,基础资料!$AC$5:$AC$34,0)),"")="支",N(F686)&lt;&gt;0),"✗ 这类是付款，金额填到支出列",IF(N(H686)&lt;0,"⚠ 账户余额成负数了，核对一下","√"))))))))))))))))))</f>
      </c>
      <c r="O686" s="78">
        <f>IF(D686&lt;&gt;"",D686,IF(AND(F686="",G686=""),"",IF(J686&lt;&gt;"",IF(N(F686)&gt;0,"客户回款","客户退款"),IF(K686&lt;&gt;"",IF(N(G686)&gt;0,"供应商付款","供应商退款"),IF(L686&lt;&gt;"","费用支出","")))))</f>
      </c>
      <c r="P686" s="78">
        <f>IF(O686="","",IFERROR(INDEX(基础资料!$AE$5:$AE$34,MATCH(O686,基础资料!$AC$5:$AC$34,0)),"未知"))</f>
      </c>
      <c r="Q686" s="78">
        <f>IF(P686="应收",COUNTIF(P$7:P686,"应收"),"")</f>
      </c>
      <c r="R686" s="78">
        <f>IF(P686="应付",COUNTIF(P$7:P686,"应付"),"")</f>
      </c>
      <c r="S686" s="78">
        <f>N(F686)-N(G686)</f>
        <v>0</v>
      </c>
    </row>
    <row r="687">
      <c r="A687" s="109">
        <f>IF(AND(F687="",G687=""),"",ROW()-6)</f>
      </c>
      <c r="B687" s="140" t="n"/>
      <c r="C687" s="141" t="n"/>
      <c r="D687" s="141" t="n"/>
      <c r="E687" s="142" t="n"/>
      <c r="F687" s="143" t="n"/>
      <c r="G687" s="144" t="n"/>
      <c r="H687" s="145">
        <f>IF(OR(C687="",AND(F687="",G687="")),"",SUMIF(基础资料!$W$5:$W$24,C687,基础资料!$X$5:$X$24)+SUMIF(C$7:C687,C687,F$7:F687)-SUMIF(C$7:C687,C687,G$7:G687))</f>
      </c>
      <c r="I687" s="145">
        <f>IF(AND(F687="",G687=""),"",SUM(基础资料!$X$5:$X$24)+SUM(F$7:F687)-SUM(G$7:G687))</f>
      </c>
      <c r="J687" s="141" t="n"/>
      <c r="K687" s="141" t="n"/>
      <c r="L687" s="141" t="n"/>
      <c r="M687" s="142" t="n"/>
      <c r="N687" s="146">
        <f>IF(AND(AND(F687="",G687=""),B687="",C687="",D687="",J687="",K687="",L687=""),"",IF(AND(F687="",G687=""),"✗ 没填金额",IF(AND(N(F687)&lt;&gt;0,N(G687)&lt;&gt;0),"✗ 收入、支出只能填一边",IF(NOT(ISNUMBER(B687)),"✗ 日期不是真日期（要像 2026/9/25 这样填）",IF(OR(B687&lt;年初日,B687&gt;年末日),"✗ 日期不在本会计年度",IF(C687="","✗ 没选账户",IF(COUNTIF(基础资料!$W$5:$W$24,C687)=0,"✗ 账户不在基础资料里",IF(O687="","✗ 没选收支项目",IF(P687="未知","✗ 收支项目不在基础资料里",IF(AND(P687="应收",J687=""),"✗ 这笔要选客户",IF(AND(P687="应收",COUNTIF(总览汇总!$B$5:$B$304,J687)=0),"✗ 客户不在总览汇总名单里",IF(AND(P687="应付",K687=""),"✗ 这笔要选供应商",IF(AND(P687="应付",COUNTIF(基础资料!$Q$5:$Q$54,K687)=0),"✗ 供应商不在基础资料里",IF(AND(P687="费用",L687=""),"✗ 费用支出要选费用项目",IF(AND(L687&lt;&gt;"",COUNTIF(基础资料!$AI$5:$AI$54,L687)=0),"✗ 费用项目不在基础资料里",IF(AND(IFERROR(INDEX(基础资料!$AD$5:$AD$34,MATCH(O687,基础资料!$AC$5:$AC$34,0)),"")="收",N(G687)&lt;&gt;0),"✗ 这类是收款，金额填到收入列",IF(AND(IFERROR(INDEX(基础资料!$AD$5:$AD$34,MATCH(O687,基础资料!$AC$5:$AC$34,0)),"")="支",N(F687)&lt;&gt;0),"✗ 这类是付款，金额填到支出列",IF(N(H687)&lt;0,"⚠ 账户余额成负数了，核对一下","√"))))))))))))))))))</f>
      </c>
      <c r="O687" s="78">
        <f>IF(D687&lt;&gt;"",D687,IF(AND(F687="",G687=""),"",IF(J687&lt;&gt;"",IF(N(F687)&gt;0,"客户回款","客户退款"),IF(K687&lt;&gt;"",IF(N(G687)&gt;0,"供应商付款","供应商退款"),IF(L687&lt;&gt;"","费用支出","")))))</f>
      </c>
      <c r="P687" s="78">
        <f>IF(O687="","",IFERROR(INDEX(基础资料!$AE$5:$AE$34,MATCH(O687,基础资料!$AC$5:$AC$34,0)),"未知"))</f>
      </c>
      <c r="Q687" s="78">
        <f>IF(P687="应收",COUNTIF(P$7:P687,"应收"),"")</f>
      </c>
      <c r="R687" s="78">
        <f>IF(P687="应付",COUNTIF(P$7:P687,"应付"),"")</f>
      </c>
      <c r="S687" s="78">
        <f>N(F687)-N(G687)</f>
        <v>0</v>
      </c>
    </row>
    <row r="688">
      <c r="A688" s="109">
        <f>IF(AND(F688="",G688=""),"",ROW()-6)</f>
      </c>
      <c r="B688" s="140" t="n"/>
      <c r="C688" s="141" t="n"/>
      <c r="D688" s="141" t="n"/>
      <c r="E688" s="142" t="n"/>
      <c r="F688" s="143" t="n"/>
      <c r="G688" s="144" t="n"/>
      <c r="H688" s="145">
        <f>IF(OR(C688="",AND(F688="",G688="")),"",SUMIF(基础资料!$W$5:$W$24,C688,基础资料!$X$5:$X$24)+SUMIF(C$7:C688,C688,F$7:F688)-SUMIF(C$7:C688,C688,G$7:G688))</f>
      </c>
      <c r="I688" s="145">
        <f>IF(AND(F688="",G688=""),"",SUM(基础资料!$X$5:$X$24)+SUM(F$7:F688)-SUM(G$7:G688))</f>
      </c>
      <c r="J688" s="141" t="n"/>
      <c r="K688" s="141" t="n"/>
      <c r="L688" s="141" t="n"/>
      <c r="M688" s="142" t="n"/>
      <c r="N688" s="146">
        <f>IF(AND(AND(F688="",G688=""),B688="",C688="",D688="",J688="",K688="",L688=""),"",IF(AND(F688="",G688=""),"✗ 没填金额",IF(AND(N(F688)&lt;&gt;0,N(G688)&lt;&gt;0),"✗ 收入、支出只能填一边",IF(NOT(ISNUMBER(B688)),"✗ 日期不是真日期（要像 2026/9/25 这样填）",IF(OR(B688&lt;年初日,B688&gt;年末日),"✗ 日期不在本会计年度",IF(C688="","✗ 没选账户",IF(COUNTIF(基础资料!$W$5:$W$24,C688)=0,"✗ 账户不在基础资料里",IF(O688="","✗ 没选收支项目",IF(P688="未知","✗ 收支项目不在基础资料里",IF(AND(P688="应收",J688=""),"✗ 这笔要选客户",IF(AND(P688="应收",COUNTIF(总览汇总!$B$5:$B$304,J688)=0),"✗ 客户不在总览汇总名单里",IF(AND(P688="应付",K688=""),"✗ 这笔要选供应商",IF(AND(P688="应付",COUNTIF(基础资料!$Q$5:$Q$54,K688)=0),"✗ 供应商不在基础资料里",IF(AND(P688="费用",L688=""),"✗ 费用支出要选费用项目",IF(AND(L688&lt;&gt;"",COUNTIF(基础资料!$AI$5:$AI$54,L688)=0),"✗ 费用项目不在基础资料里",IF(AND(IFERROR(INDEX(基础资料!$AD$5:$AD$34,MATCH(O688,基础资料!$AC$5:$AC$34,0)),"")="收",N(G688)&lt;&gt;0),"✗ 这类是收款，金额填到收入列",IF(AND(IFERROR(INDEX(基础资料!$AD$5:$AD$34,MATCH(O688,基础资料!$AC$5:$AC$34,0)),"")="支",N(F688)&lt;&gt;0),"✗ 这类是付款，金额填到支出列",IF(N(H688)&lt;0,"⚠ 账户余额成负数了，核对一下","√"))))))))))))))))))</f>
      </c>
      <c r="O688" s="78">
        <f>IF(D688&lt;&gt;"",D688,IF(AND(F688="",G688=""),"",IF(J688&lt;&gt;"",IF(N(F688)&gt;0,"客户回款","客户退款"),IF(K688&lt;&gt;"",IF(N(G688)&gt;0,"供应商付款","供应商退款"),IF(L688&lt;&gt;"","费用支出","")))))</f>
      </c>
      <c r="P688" s="78">
        <f>IF(O688="","",IFERROR(INDEX(基础资料!$AE$5:$AE$34,MATCH(O688,基础资料!$AC$5:$AC$34,0)),"未知"))</f>
      </c>
      <c r="Q688" s="78">
        <f>IF(P688="应收",COUNTIF(P$7:P688,"应收"),"")</f>
      </c>
      <c r="R688" s="78">
        <f>IF(P688="应付",COUNTIF(P$7:P688,"应付"),"")</f>
      </c>
      <c r="S688" s="78">
        <f>N(F688)-N(G688)</f>
        <v>0</v>
      </c>
    </row>
    <row r="689">
      <c r="A689" s="109">
        <f>IF(AND(F689="",G689=""),"",ROW()-6)</f>
      </c>
      <c r="B689" s="140" t="n"/>
      <c r="C689" s="141" t="n"/>
      <c r="D689" s="141" t="n"/>
      <c r="E689" s="142" t="n"/>
      <c r="F689" s="143" t="n"/>
      <c r="G689" s="144" t="n"/>
      <c r="H689" s="145">
        <f>IF(OR(C689="",AND(F689="",G689="")),"",SUMIF(基础资料!$W$5:$W$24,C689,基础资料!$X$5:$X$24)+SUMIF(C$7:C689,C689,F$7:F689)-SUMIF(C$7:C689,C689,G$7:G689))</f>
      </c>
      <c r="I689" s="145">
        <f>IF(AND(F689="",G689=""),"",SUM(基础资料!$X$5:$X$24)+SUM(F$7:F689)-SUM(G$7:G689))</f>
      </c>
      <c r="J689" s="141" t="n"/>
      <c r="K689" s="141" t="n"/>
      <c r="L689" s="141" t="n"/>
      <c r="M689" s="142" t="n"/>
      <c r="N689" s="146">
        <f>IF(AND(AND(F689="",G689=""),B689="",C689="",D689="",J689="",K689="",L689=""),"",IF(AND(F689="",G689=""),"✗ 没填金额",IF(AND(N(F689)&lt;&gt;0,N(G689)&lt;&gt;0),"✗ 收入、支出只能填一边",IF(NOT(ISNUMBER(B689)),"✗ 日期不是真日期（要像 2026/9/25 这样填）",IF(OR(B689&lt;年初日,B689&gt;年末日),"✗ 日期不在本会计年度",IF(C689="","✗ 没选账户",IF(COUNTIF(基础资料!$W$5:$W$24,C689)=0,"✗ 账户不在基础资料里",IF(O689="","✗ 没选收支项目",IF(P689="未知","✗ 收支项目不在基础资料里",IF(AND(P689="应收",J689=""),"✗ 这笔要选客户",IF(AND(P689="应收",COUNTIF(总览汇总!$B$5:$B$304,J689)=0),"✗ 客户不在总览汇总名单里",IF(AND(P689="应付",K689=""),"✗ 这笔要选供应商",IF(AND(P689="应付",COUNTIF(基础资料!$Q$5:$Q$54,K689)=0),"✗ 供应商不在基础资料里",IF(AND(P689="费用",L689=""),"✗ 费用支出要选费用项目",IF(AND(L689&lt;&gt;"",COUNTIF(基础资料!$AI$5:$AI$54,L689)=0),"✗ 费用项目不在基础资料里",IF(AND(IFERROR(INDEX(基础资料!$AD$5:$AD$34,MATCH(O689,基础资料!$AC$5:$AC$34,0)),"")="收",N(G689)&lt;&gt;0),"✗ 这类是收款，金额填到收入列",IF(AND(IFERROR(INDEX(基础资料!$AD$5:$AD$34,MATCH(O689,基础资料!$AC$5:$AC$34,0)),"")="支",N(F689)&lt;&gt;0),"✗ 这类是付款，金额填到支出列",IF(N(H689)&lt;0,"⚠ 账户余额成负数了，核对一下","√"))))))))))))))))))</f>
      </c>
      <c r="O689" s="78">
        <f>IF(D689&lt;&gt;"",D689,IF(AND(F689="",G689=""),"",IF(J689&lt;&gt;"",IF(N(F689)&gt;0,"客户回款","客户退款"),IF(K689&lt;&gt;"",IF(N(G689)&gt;0,"供应商付款","供应商退款"),IF(L689&lt;&gt;"","费用支出","")))))</f>
      </c>
      <c r="P689" s="78">
        <f>IF(O689="","",IFERROR(INDEX(基础资料!$AE$5:$AE$34,MATCH(O689,基础资料!$AC$5:$AC$34,0)),"未知"))</f>
      </c>
      <c r="Q689" s="78">
        <f>IF(P689="应收",COUNTIF(P$7:P689,"应收"),"")</f>
      </c>
      <c r="R689" s="78">
        <f>IF(P689="应付",COUNTIF(P$7:P689,"应付"),"")</f>
      </c>
      <c r="S689" s="78">
        <f>N(F689)-N(G689)</f>
        <v>0</v>
      </c>
    </row>
    <row r="690">
      <c r="A690" s="109">
        <f>IF(AND(F690="",G690=""),"",ROW()-6)</f>
      </c>
      <c r="B690" s="140" t="n"/>
      <c r="C690" s="141" t="n"/>
      <c r="D690" s="141" t="n"/>
      <c r="E690" s="142" t="n"/>
      <c r="F690" s="143" t="n"/>
      <c r="G690" s="144" t="n"/>
      <c r="H690" s="145">
        <f>IF(OR(C690="",AND(F690="",G690="")),"",SUMIF(基础资料!$W$5:$W$24,C690,基础资料!$X$5:$X$24)+SUMIF(C$7:C690,C690,F$7:F690)-SUMIF(C$7:C690,C690,G$7:G690))</f>
      </c>
      <c r="I690" s="145">
        <f>IF(AND(F690="",G690=""),"",SUM(基础资料!$X$5:$X$24)+SUM(F$7:F690)-SUM(G$7:G690))</f>
      </c>
      <c r="J690" s="141" t="n"/>
      <c r="K690" s="141" t="n"/>
      <c r="L690" s="141" t="n"/>
      <c r="M690" s="142" t="n"/>
      <c r="N690" s="146">
        <f>IF(AND(AND(F690="",G690=""),B690="",C690="",D690="",J690="",K690="",L690=""),"",IF(AND(F690="",G690=""),"✗ 没填金额",IF(AND(N(F690)&lt;&gt;0,N(G690)&lt;&gt;0),"✗ 收入、支出只能填一边",IF(NOT(ISNUMBER(B690)),"✗ 日期不是真日期（要像 2026/9/25 这样填）",IF(OR(B690&lt;年初日,B690&gt;年末日),"✗ 日期不在本会计年度",IF(C690="","✗ 没选账户",IF(COUNTIF(基础资料!$W$5:$W$24,C690)=0,"✗ 账户不在基础资料里",IF(O690="","✗ 没选收支项目",IF(P690="未知","✗ 收支项目不在基础资料里",IF(AND(P690="应收",J690=""),"✗ 这笔要选客户",IF(AND(P690="应收",COUNTIF(总览汇总!$B$5:$B$304,J690)=0),"✗ 客户不在总览汇总名单里",IF(AND(P690="应付",K690=""),"✗ 这笔要选供应商",IF(AND(P690="应付",COUNTIF(基础资料!$Q$5:$Q$54,K690)=0),"✗ 供应商不在基础资料里",IF(AND(P690="费用",L690=""),"✗ 费用支出要选费用项目",IF(AND(L690&lt;&gt;"",COUNTIF(基础资料!$AI$5:$AI$54,L690)=0),"✗ 费用项目不在基础资料里",IF(AND(IFERROR(INDEX(基础资料!$AD$5:$AD$34,MATCH(O690,基础资料!$AC$5:$AC$34,0)),"")="收",N(G690)&lt;&gt;0),"✗ 这类是收款，金额填到收入列",IF(AND(IFERROR(INDEX(基础资料!$AD$5:$AD$34,MATCH(O690,基础资料!$AC$5:$AC$34,0)),"")="支",N(F690)&lt;&gt;0),"✗ 这类是付款，金额填到支出列",IF(N(H690)&lt;0,"⚠ 账户余额成负数了，核对一下","√"))))))))))))))))))</f>
      </c>
      <c r="O690" s="78">
        <f>IF(D690&lt;&gt;"",D690,IF(AND(F690="",G690=""),"",IF(J690&lt;&gt;"",IF(N(F690)&gt;0,"客户回款","客户退款"),IF(K690&lt;&gt;"",IF(N(G690)&gt;0,"供应商付款","供应商退款"),IF(L690&lt;&gt;"","费用支出","")))))</f>
      </c>
      <c r="P690" s="78">
        <f>IF(O690="","",IFERROR(INDEX(基础资料!$AE$5:$AE$34,MATCH(O690,基础资料!$AC$5:$AC$34,0)),"未知"))</f>
      </c>
      <c r="Q690" s="78">
        <f>IF(P690="应收",COUNTIF(P$7:P690,"应收"),"")</f>
      </c>
      <c r="R690" s="78">
        <f>IF(P690="应付",COUNTIF(P$7:P690,"应付"),"")</f>
      </c>
      <c r="S690" s="78">
        <f>N(F690)-N(G690)</f>
        <v>0</v>
      </c>
    </row>
    <row r="691">
      <c r="A691" s="109">
        <f>IF(AND(F691="",G691=""),"",ROW()-6)</f>
      </c>
      <c r="B691" s="140" t="n"/>
      <c r="C691" s="141" t="n"/>
      <c r="D691" s="141" t="n"/>
      <c r="E691" s="142" t="n"/>
      <c r="F691" s="143" t="n"/>
      <c r="G691" s="144" t="n"/>
      <c r="H691" s="145">
        <f>IF(OR(C691="",AND(F691="",G691="")),"",SUMIF(基础资料!$W$5:$W$24,C691,基础资料!$X$5:$X$24)+SUMIF(C$7:C691,C691,F$7:F691)-SUMIF(C$7:C691,C691,G$7:G691))</f>
      </c>
      <c r="I691" s="145">
        <f>IF(AND(F691="",G691=""),"",SUM(基础资料!$X$5:$X$24)+SUM(F$7:F691)-SUM(G$7:G691))</f>
      </c>
      <c r="J691" s="141" t="n"/>
      <c r="K691" s="141" t="n"/>
      <c r="L691" s="141" t="n"/>
      <c r="M691" s="142" t="n"/>
      <c r="N691" s="146">
        <f>IF(AND(AND(F691="",G691=""),B691="",C691="",D691="",J691="",K691="",L691=""),"",IF(AND(F691="",G691=""),"✗ 没填金额",IF(AND(N(F691)&lt;&gt;0,N(G691)&lt;&gt;0),"✗ 收入、支出只能填一边",IF(NOT(ISNUMBER(B691)),"✗ 日期不是真日期（要像 2026/9/25 这样填）",IF(OR(B691&lt;年初日,B691&gt;年末日),"✗ 日期不在本会计年度",IF(C691="","✗ 没选账户",IF(COUNTIF(基础资料!$W$5:$W$24,C691)=0,"✗ 账户不在基础资料里",IF(O691="","✗ 没选收支项目",IF(P691="未知","✗ 收支项目不在基础资料里",IF(AND(P691="应收",J691=""),"✗ 这笔要选客户",IF(AND(P691="应收",COUNTIF(总览汇总!$B$5:$B$304,J691)=0),"✗ 客户不在总览汇总名单里",IF(AND(P691="应付",K691=""),"✗ 这笔要选供应商",IF(AND(P691="应付",COUNTIF(基础资料!$Q$5:$Q$54,K691)=0),"✗ 供应商不在基础资料里",IF(AND(P691="费用",L691=""),"✗ 费用支出要选费用项目",IF(AND(L691&lt;&gt;"",COUNTIF(基础资料!$AI$5:$AI$54,L691)=0),"✗ 费用项目不在基础资料里",IF(AND(IFERROR(INDEX(基础资料!$AD$5:$AD$34,MATCH(O691,基础资料!$AC$5:$AC$34,0)),"")="收",N(G691)&lt;&gt;0),"✗ 这类是收款，金额填到收入列",IF(AND(IFERROR(INDEX(基础资料!$AD$5:$AD$34,MATCH(O691,基础资料!$AC$5:$AC$34,0)),"")="支",N(F691)&lt;&gt;0),"✗ 这类是付款，金额填到支出列",IF(N(H691)&lt;0,"⚠ 账户余额成负数了，核对一下","√"))))))))))))))))))</f>
      </c>
      <c r="O691" s="78">
        <f>IF(D691&lt;&gt;"",D691,IF(AND(F691="",G691=""),"",IF(J691&lt;&gt;"",IF(N(F691)&gt;0,"客户回款","客户退款"),IF(K691&lt;&gt;"",IF(N(G691)&gt;0,"供应商付款","供应商退款"),IF(L691&lt;&gt;"","费用支出","")))))</f>
      </c>
      <c r="P691" s="78">
        <f>IF(O691="","",IFERROR(INDEX(基础资料!$AE$5:$AE$34,MATCH(O691,基础资料!$AC$5:$AC$34,0)),"未知"))</f>
      </c>
      <c r="Q691" s="78">
        <f>IF(P691="应收",COUNTIF(P$7:P691,"应收"),"")</f>
      </c>
      <c r="R691" s="78">
        <f>IF(P691="应付",COUNTIF(P$7:P691,"应付"),"")</f>
      </c>
      <c r="S691" s="78">
        <f>N(F691)-N(G691)</f>
        <v>0</v>
      </c>
    </row>
    <row r="692">
      <c r="A692" s="109">
        <f>IF(AND(F692="",G692=""),"",ROW()-6)</f>
      </c>
      <c r="B692" s="140" t="n"/>
      <c r="C692" s="141" t="n"/>
      <c r="D692" s="141" t="n"/>
      <c r="E692" s="142" t="n"/>
      <c r="F692" s="143" t="n"/>
      <c r="G692" s="144" t="n"/>
      <c r="H692" s="145">
        <f>IF(OR(C692="",AND(F692="",G692="")),"",SUMIF(基础资料!$W$5:$W$24,C692,基础资料!$X$5:$X$24)+SUMIF(C$7:C692,C692,F$7:F692)-SUMIF(C$7:C692,C692,G$7:G692))</f>
      </c>
      <c r="I692" s="145">
        <f>IF(AND(F692="",G692=""),"",SUM(基础资料!$X$5:$X$24)+SUM(F$7:F692)-SUM(G$7:G692))</f>
      </c>
      <c r="J692" s="141" t="n"/>
      <c r="K692" s="141" t="n"/>
      <c r="L692" s="141" t="n"/>
      <c r="M692" s="142" t="n"/>
      <c r="N692" s="146">
        <f>IF(AND(AND(F692="",G692=""),B692="",C692="",D692="",J692="",K692="",L692=""),"",IF(AND(F692="",G692=""),"✗ 没填金额",IF(AND(N(F692)&lt;&gt;0,N(G692)&lt;&gt;0),"✗ 收入、支出只能填一边",IF(NOT(ISNUMBER(B692)),"✗ 日期不是真日期（要像 2026/9/25 这样填）",IF(OR(B692&lt;年初日,B692&gt;年末日),"✗ 日期不在本会计年度",IF(C692="","✗ 没选账户",IF(COUNTIF(基础资料!$W$5:$W$24,C692)=0,"✗ 账户不在基础资料里",IF(O692="","✗ 没选收支项目",IF(P692="未知","✗ 收支项目不在基础资料里",IF(AND(P692="应收",J692=""),"✗ 这笔要选客户",IF(AND(P692="应收",COUNTIF(总览汇总!$B$5:$B$304,J692)=0),"✗ 客户不在总览汇总名单里",IF(AND(P692="应付",K692=""),"✗ 这笔要选供应商",IF(AND(P692="应付",COUNTIF(基础资料!$Q$5:$Q$54,K692)=0),"✗ 供应商不在基础资料里",IF(AND(P692="费用",L692=""),"✗ 费用支出要选费用项目",IF(AND(L692&lt;&gt;"",COUNTIF(基础资料!$AI$5:$AI$54,L692)=0),"✗ 费用项目不在基础资料里",IF(AND(IFERROR(INDEX(基础资料!$AD$5:$AD$34,MATCH(O692,基础资料!$AC$5:$AC$34,0)),"")="收",N(G692)&lt;&gt;0),"✗ 这类是收款，金额填到收入列",IF(AND(IFERROR(INDEX(基础资料!$AD$5:$AD$34,MATCH(O692,基础资料!$AC$5:$AC$34,0)),"")="支",N(F692)&lt;&gt;0),"✗ 这类是付款，金额填到支出列",IF(N(H692)&lt;0,"⚠ 账户余额成负数了，核对一下","√"))))))))))))))))))</f>
      </c>
      <c r="O692" s="78">
        <f>IF(D692&lt;&gt;"",D692,IF(AND(F692="",G692=""),"",IF(J692&lt;&gt;"",IF(N(F692)&gt;0,"客户回款","客户退款"),IF(K692&lt;&gt;"",IF(N(G692)&gt;0,"供应商付款","供应商退款"),IF(L692&lt;&gt;"","费用支出","")))))</f>
      </c>
      <c r="P692" s="78">
        <f>IF(O692="","",IFERROR(INDEX(基础资料!$AE$5:$AE$34,MATCH(O692,基础资料!$AC$5:$AC$34,0)),"未知"))</f>
      </c>
      <c r="Q692" s="78">
        <f>IF(P692="应收",COUNTIF(P$7:P692,"应收"),"")</f>
      </c>
      <c r="R692" s="78">
        <f>IF(P692="应付",COUNTIF(P$7:P692,"应付"),"")</f>
      </c>
      <c r="S692" s="78">
        <f>N(F692)-N(G692)</f>
        <v>0</v>
      </c>
    </row>
    <row r="693">
      <c r="A693" s="109">
        <f>IF(AND(F693="",G693=""),"",ROW()-6)</f>
      </c>
      <c r="B693" s="140" t="n"/>
      <c r="C693" s="141" t="n"/>
      <c r="D693" s="141" t="n"/>
      <c r="E693" s="142" t="n"/>
      <c r="F693" s="143" t="n"/>
      <c r="G693" s="144" t="n"/>
      <c r="H693" s="145">
        <f>IF(OR(C693="",AND(F693="",G693="")),"",SUMIF(基础资料!$W$5:$W$24,C693,基础资料!$X$5:$X$24)+SUMIF(C$7:C693,C693,F$7:F693)-SUMIF(C$7:C693,C693,G$7:G693))</f>
      </c>
      <c r="I693" s="145">
        <f>IF(AND(F693="",G693=""),"",SUM(基础资料!$X$5:$X$24)+SUM(F$7:F693)-SUM(G$7:G693))</f>
      </c>
      <c r="J693" s="141" t="n"/>
      <c r="K693" s="141" t="n"/>
      <c r="L693" s="141" t="n"/>
      <c r="M693" s="142" t="n"/>
      <c r="N693" s="146">
        <f>IF(AND(AND(F693="",G693=""),B693="",C693="",D693="",J693="",K693="",L693=""),"",IF(AND(F693="",G693=""),"✗ 没填金额",IF(AND(N(F693)&lt;&gt;0,N(G693)&lt;&gt;0),"✗ 收入、支出只能填一边",IF(NOT(ISNUMBER(B693)),"✗ 日期不是真日期（要像 2026/9/25 这样填）",IF(OR(B693&lt;年初日,B693&gt;年末日),"✗ 日期不在本会计年度",IF(C693="","✗ 没选账户",IF(COUNTIF(基础资料!$W$5:$W$24,C693)=0,"✗ 账户不在基础资料里",IF(O693="","✗ 没选收支项目",IF(P693="未知","✗ 收支项目不在基础资料里",IF(AND(P693="应收",J693=""),"✗ 这笔要选客户",IF(AND(P693="应收",COUNTIF(总览汇总!$B$5:$B$304,J693)=0),"✗ 客户不在总览汇总名单里",IF(AND(P693="应付",K693=""),"✗ 这笔要选供应商",IF(AND(P693="应付",COUNTIF(基础资料!$Q$5:$Q$54,K693)=0),"✗ 供应商不在基础资料里",IF(AND(P693="费用",L693=""),"✗ 费用支出要选费用项目",IF(AND(L693&lt;&gt;"",COUNTIF(基础资料!$AI$5:$AI$54,L693)=0),"✗ 费用项目不在基础资料里",IF(AND(IFERROR(INDEX(基础资料!$AD$5:$AD$34,MATCH(O693,基础资料!$AC$5:$AC$34,0)),"")="收",N(G693)&lt;&gt;0),"✗ 这类是收款，金额填到收入列",IF(AND(IFERROR(INDEX(基础资料!$AD$5:$AD$34,MATCH(O693,基础资料!$AC$5:$AC$34,0)),"")="支",N(F693)&lt;&gt;0),"✗ 这类是付款，金额填到支出列",IF(N(H693)&lt;0,"⚠ 账户余额成负数了，核对一下","√"))))))))))))))))))</f>
      </c>
      <c r="O693" s="78">
        <f>IF(D693&lt;&gt;"",D693,IF(AND(F693="",G693=""),"",IF(J693&lt;&gt;"",IF(N(F693)&gt;0,"客户回款","客户退款"),IF(K693&lt;&gt;"",IF(N(G693)&gt;0,"供应商付款","供应商退款"),IF(L693&lt;&gt;"","费用支出","")))))</f>
      </c>
      <c r="P693" s="78">
        <f>IF(O693="","",IFERROR(INDEX(基础资料!$AE$5:$AE$34,MATCH(O693,基础资料!$AC$5:$AC$34,0)),"未知"))</f>
      </c>
      <c r="Q693" s="78">
        <f>IF(P693="应收",COUNTIF(P$7:P693,"应收"),"")</f>
      </c>
      <c r="R693" s="78">
        <f>IF(P693="应付",COUNTIF(P$7:P693,"应付"),"")</f>
      </c>
      <c r="S693" s="78">
        <f>N(F693)-N(G693)</f>
        <v>0</v>
      </c>
    </row>
    <row r="694">
      <c r="A694" s="109">
        <f>IF(AND(F694="",G694=""),"",ROW()-6)</f>
      </c>
      <c r="B694" s="140" t="n"/>
      <c r="C694" s="141" t="n"/>
      <c r="D694" s="141" t="n"/>
      <c r="E694" s="142" t="n"/>
      <c r="F694" s="143" t="n"/>
      <c r="G694" s="144" t="n"/>
      <c r="H694" s="145">
        <f>IF(OR(C694="",AND(F694="",G694="")),"",SUMIF(基础资料!$W$5:$W$24,C694,基础资料!$X$5:$X$24)+SUMIF(C$7:C694,C694,F$7:F694)-SUMIF(C$7:C694,C694,G$7:G694))</f>
      </c>
      <c r="I694" s="145">
        <f>IF(AND(F694="",G694=""),"",SUM(基础资料!$X$5:$X$24)+SUM(F$7:F694)-SUM(G$7:G694))</f>
      </c>
      <c r="J694" s="141" t="n"/>
      <c r="K694" s="141" t="n"/>
      <c r="L694" s="141" t="n"/>
      <c r="M694" s="142" t="n"/>
      <c r="N694" s="146">
        <f>IF(AND(AND(F694="",G694=""),B694="",C694="",D694="",J694="",K694="",L694=""),"",IF(AND(F694="",G694=""),"✗ 没填金额",IF(AND(N(F694)&lt;&gt;0,N(G694)&lt;&gt;0),"✗ 收入、支出只能填一边",IF(NOT(ISNUMBER(B694)),"✗ 日期不是真日期（要像 2026/9/25 这样填）",IF(OR(B694&lt;年初日,B694&gt;年末日),"✗ 日期不在本会计年度",IF(C694="","✗ 没选账户",IF(COUNTIF(基础资料!$W$5:$W$24,C694)=0,"✗ 账户不在基础资料里",IF(O694="","✗ 没选收支项目",IF(P694="未知","✗ 收支项目不在基础资料里",IF(AND(P694="应收",J694=""),"✗ 这笔要选客户",IF(AND(P694="应收",COUNTIF(总览汇总!$B$5:$B$304,J694)=0),"✗ 客户不在总览汇总名单里",IF(AND(P694="应付",K694=""),"✗ 这笔要选供应商",IF(AND(P694="应付",COUNTIF(基础资料!$Q$5:$Q$54,K694)=0),"✗ 供应商不在基础资料里",IF(AND(P694="费用",L694=""),"✗ 费用支出要选费用项目",IF(AND(L694&lt;&gt;"",COUNTIF(基础资料!$AI$5:$AI$54,L694)=0),"✗ 费用项目不在基础资料里",IF(AND(IFERROR(INDEX(基础资料!$AD$5:$AD$34,MATCH(O694,基础资料!$AC$5:$AC$34,0)),"")="收",N(G694)&lt;&gt;0),"✗ 这类是收款，金额填到收入列",IF(AND(IFERROR(INDEX(基础资料!$AD$5:$AD$34,MATCH(O694,基础资料!$AC$5:$AC$34,0)),"")="支",N(F694)&lt;&gt;0),"✗ 这类是付款，金额填到支出列",IF(N(H694)&lt;0,"⚠ 账户余额成负数了，核对一下","√"))))))))))))))))))</f>
      </c>
      <c r="O694" s="78">
        <f>IF(D694&lt;&gt;"",D694,IF(AND(F694="",G694=""),"",IF(J694&lt;&gt;"",IF(N(F694)&gt;0,"客户回款","客户退款"),IF(K694&lt;&gt;"",IF(N(G694)&gt;0,"供应商付款","供应商退款"),IF(L694&lt;&gt;"","费用支出","")))))</f>
      </c>
      <c r="P694" s="78">
        <f>IF(O694="","",IFERROR(INDEX(基础资料!$AE$5:$AE$34,MATCH(O694,基础资料!$AC$5:$AC$34,0)),"未知"))</f>
      </c>
      <c r="Q694" s="78">
        <f>IF(P694="应收",COUNTIF(P$7:P694,"应收"),"")</f>
      </c>
      <c r="R694" s="78">
        <f>IF(P694="应付",COUNTIF(P$7:P694,"应付"),"")</f>
      </c>
      <c r="S694" s="78">
        <f>N(F694)-N(G694)</f>
        <v>0</v>
      </c>
    </row>
    <row r="695">
      <c r="A695" s="109">
        <f>IF(AND(F695="",G695=""),"",ROW()-6)</f>
      </c>
      <c r="B695" s="140" t="n"/>
      <c r="C695" s="141" t="n"/>
      <c r="D695" s="141" t="n"/>
      <c r="E695" s="142" t="n"/>
      <c r="F695" s="143" t="n"/>
      <c r="G695" s="144" t="n"/>
      <c r="H695" s="145">
        <f>IF(OR(C695="",AND(F695="",G695="")),"",SUMIF(基础资料!$W$5:$W$24,C695,基础资料!$X$5:$X$24)+SUMIF(C$7:C695,C695,F$7:F695)-SUMIF(C$7:C695,C695,G$7:G695))</f>
      </c>
      <c r="I695" s="145">
        <f>IF(AND(F695="",G695=""),"",SUM(基础资料!$X$5:$X$24)+SUM(F$7:F695)-SUM(G$7:G695))</f>
      </c>
      <c r="J695" s="141" t="n"/>
      <c r="K695" s="141" t="n"/>
      <c r="L695" s="141" t="n"/>
      <c r="M695" s="142" t="n"/>
      <c r="N695" s="146">
        <f>IF(AND(AND(F695="",G695=""),B695="",C695="",D695="",J695="",K695="",L695=""),"",IF(AND(F695="",G695=""),"✗ 没填金额",IF(AND(N(F695)&lt;&gt;0,N(G695)&lt;&gt;0),"✗ 收入、支出只能填一边",IF(NOT(ISNUMBER(B695)),"✗ 日期不是真日期（要像 2026/9/25 这样填）",IF(OR(B695&lt;年初日,B695&gt;年末日),"✗ 日期不在本会计年度",IF(C695="","✗ 没选账户",IF(COUNTIF(基础资料!$W$5:$W$24,C695)=0,"✗ 账户不在基础资料里",IF(O695="","✗ 没选收支项目",IF(P695="未知","✗ 收支项目不在基础资料里",IF(AND(P695="应收",J695=""),"✗ 这笔要选客户",IF(AND(P695="应收",COUNTIF(总览汇总!$B$5:$B$304,J695)=0),"✗ 客户不在总览汇总名单里",IF(AND(P695="应付",K695=""),"✗ 这笔要选供应商",IF(AND(P695="应付",COUNTIF(基础资料!$Q$5:$Q$54,K695)=0),"✗ 供应商不在基础资料里",IF(AND(P695="费用",L695=""),"✗ 费用支出要选费用项目",IF(AND(L695&lt;&gt;"",COUNTIF(基础资料!$AI$5:$AI$54,L695)=0),"✗ 费用项目不在基础资料里",IF(AND(IFERROR(INDEX(基础资料!$AD$5:$AD$34,MATCH(O695,基础资料!$AC$5:$AC$34,0)),"")="收",N(G695)&lt;&gt;0),"✗ 这类是收款，金额填到收入列",IF(AND(IFERROR(INDEX(基础资料!$AD$5:$AD$34,MATCH(O695,基础资料!$AC$5:$AC$34,0)),"")="支",N(F695)&lt;&gt;0),"✗ 这类是付款，金额填到支出列",IF(N(H695)&lt;0,"⚠ 账户余额成负数了，核对一下","√"))))))))))))))))))</f>
      </c>
      <c r="O695" s="78">
        <f>IF(D695&lt;&gt;"",D695,IF(AND(F695="",G695=""),"",IF(J695&lt;&gt;"",IF(N(F695)&gt;0,"客户回款","客户退款"),IF(K695&lt;&gt;"",IF(N(G695)&gt;0,"供应商付款","供应商退款"),IF(L695&lt;&gt;"","费用支出","")))))</f>
      </c>
      <c r="P695" s="78">
        <f>IF(O695="","",IFERROR(INDEX(基础资料!$AE$5:$AE$34,MATCH(O695,基础资料!$AC$5:$AC$34,0)),"未知"))</f>
      </c>
      <c r="Q695" s="78">
        <f>IF(P695="应收",COUNTIF(P$7:P695,"应收"),"")</f>
      </c>
      <c r="R695" s="78">
        <f>IF(P695="应付",COUNTIF(P$7:P695,"应付"),"")</f>
      </c>
      <c r="S695" s="78">
        <f>N(F695)-N(G695)</f>
        <v>0</v>
      </c>
    </row>
    <row r="696">
      <c r="A696" s="109">
        <f>IF(AND(F696="",G696=""),"",ROW()-6)</f>
      </c>
      <c r="B696" s="140" t="n"/>
      <c r="C696" s="141" t="n"/>
      <c r="D696" s="141" t="n"/>
      <c r="E696" s="142" t="n"/>
      <c r="F696" s="143" t="n"/>
      <c r="G696" s="144" t="n"/>
      <c r="H696" s="145">
        <f>IF(OR(C696="",AND(F696="",G696="")),"",SUMIF(基础资料!$W$5:$W$24,C696,基础资料!$X$5:$X$24)+SUMIF(C$7:C696,C696,F$7:F696)-SUMIF(C$7:C696,C696,G$7:G696))</f>
      </c>
      <c r="I696" s="145">
        <f>IF(AND(F696="",G696=""),"",SUM(基础资料!$X$5:$X$24)+SUM(F$7:F696)-SUM(G$7:G696))</f>
      </c>
      <c r="J696" s="141" t="n"/>
      <c r="K696" s="141" t="n"/>
      <c r="L696" s="141" t="n"/>
      <c r="M696" s="142" t="n"/>
      <c r="N696" s="146">
        <f>IF(AND(AND(F696="",G696=""),B696="",C696="",D696="",J696="",K696="",L696=""),"",IF(AND(F696="",G696=""),"✗ 没填金额",IF(AND(N(F696)&lt;&gt;0,N(G696)&lt;&gt;0),"✗ 收入、支出只能填一边",IF(NOT(ISNUMBER(B696)),"✗ 日期不是真日期（要像 2026/9/25 这样填）",IF(OR(B696&lt;年初日,B696&gt;年末日),"✗ 日期不在本会计年度",IF(C696="","✗ 没选账户",IF(COUNTIF(基础资料!$W$5:$W$24,C696)=0,"✗ 账户不在基础资料里",IF(O696="","✗ 没选收支项目",IF(P696="未知","✗ 收支项目不在基础资料里",IF(AND(P696="应收",J696=""),"✗ 这笔要选客户",IF(AND(P696="应收",COUNTIF(总览汇总!$B$5:$B$304,J696)=0),"✗ 客户不在总览汇总名单里",IF(AND(P696="应付",K696=""),"✗ 这笔要选供应商",IF(AND(P696="应付",COUNTIF(基础资料!$Q$5:$Q$54,K696)=0),"✗ 供应商不在基础资料里",IF(AND(P696="费用",L696=""),"✗ 费用支出要选费用项目",IF(AND(L696&lt;&gt;"",COUNTIF(基础资料!$AI$5:$AI$54,L696)=0),"✗ 费用项目不在基础资料里",IF(AND(IFERROR(INDEX(基础资料!$AD$5:$AD$34,MATCH(O696,基础资料!$AC$5:$AC$34,0)),"")="收",N(G696)&lt;&gt;0),"✗ 这类是收款，金额填到收入列",IF(AND(IFERROR(INDEX(基础资料!$AD$5:$AD$34,MATCH(O696,基础资料!$AC$5:$AC$34,0)),"")="支",N(F696)&lt;&gt;0),"✗ 这类是付款，金额填到支出列",IF(N(H696)&lt;0,"⚠ 账户余额成负数了，核对一下","√"))))))))))))))))))</f>
      </c>
      <c r="O696" s="78">
        <f>IF(D696&lt;&gt;"",D696,IF(AND(F696="",G696=""),"",IF(J696&lt;&gt;"",IF(N(F696)&gt;0,"客户回款","客户退款"),IF(K696&lt;&gt;"",IF(N(G696)&gt;0,"供应商付款","供应商退款"),IF(L696&lt;&gt;"","费用支出","")))))</f>
      </c>
      <c r="P696" s="78">
        <f>IF(O696="","",IFERROR(INDEX(基础资料!$AE$5:$AE$34,MATCH(O696,基础资料!$AC$5:$AC$34,0)),"未知"))</f>
      </c>
      <c r="Q696" s="78">
        <f>IF(P696="应收",COUNTIF(P$7:P696,"应收"),"")</f>
      </c>
      <c r="R696" s="78">
        <f>IF(P696="应付",COUNTIF(P$7:P696,"应付"),"")</f>
      </c>
      <c r="S696" s="78">
        <f>N(F696)-N(G696)</f>
        <v>0</v>
      </c>
    </row>
    <row r="697">
      <c r="A697" s="109">
        <f>IF(AND(F697="",G697=""),"",ROW()-6)</f>
      </c>
      <c r="B697" s="140" t="n"/>
      <c r="C697" s="141" t="n"/>
      <c r="D697" s="141" t="n"/>
      <c r="E697" s="142" t="n"/>
      <c r="F697" s="143" t="n"/>
      <c r="G697" s="144" t="n"/>
      <c r="H697" s="145">
        <f>IF(OR(C697="",AND(F697="",G697="")),"",SUMIF(基础资料!$W$5:$W$24,C697,基础资料!$X$5:$X$24)+SUMIF(C$7:C697,C697,F$7:F697)-SUMIF(C$7:C697,C697,G$7:G697))</f>
      </c>
      <c r="I697" s="145">
        <f>IF(AND(F697="",G697=""),"",SUM(基础资料!$X$5:$X$24)+SUM(F$7:F697)-SUM(G$7:G697))</f>
      </c>
      <c r="J697" s="141" t="n"/>
      <c r="K697" s="141" t="n"/>
      <c r="L697" s="141" t="n"/>
      <c r="M697" s="142" t="n"/>
      <c r="N697" s="146">
        <f>IF(AND(AND(F697="",G697=""),B697="",C697="",D697="",J697="",K697="",L697=""),"",IF(AND(F697="",G697=""),"✗ 没填金额",IF(AND(N(F697)&lt;&gt;0,N(G697)&lt;&gt;0),"✗ 收入、支出只能填一边",IF(NOT(ISNUMBER(B697)),"✗ 日期不是真日期（要像 2026/9/25 这样填）",IF(OR(B697&lt;年初日,B697&gt;年末日),"✗ 日期不在本会计年度",IF(C697="","✗ 没选账户",IF(COUNTIF(基础资料!$W$5:$W$24,C697)=0,"✗ 账户不在基础资料里",IF(O697="","✗ 没选收支项目",IF(P697="未知","✗ 收支项目不在基础资料里",IF(AND(P697="应收",J697=""),"✗ 这笔要选客户",IF(AND(P697="应收",COUNTIF(总览汇总!$B$5:$B$304,J697)=0),"✗ 客户不在总览汇总名单里",IF(AND(P697="应付",K697=""),"✗ 这笔要选供应商",IF(AND(P697="应付",COUNTIF(基础资料!$Q$5:$Q$54,K697)=0),"✗ 供应商不在基础资料里",IF(AND(P697="费用",L697=""),"✗ 费用支出要选费用项目",IF(AND(L697&lt;&gt;"",COUNTIF(基础资料!$AI$5:$AI$54,L697)=0),"✗ 费用项目不在基础资料里",IF(AND(IFERROR(INDEX(基础资料!$AD$5:$AD$34,MATCH(O697,基础资料!$AC$5:$AC$34,0)),"")="收",N(G697)&lt;&gt;0),"✗ 这类是收款，金额填到收入列",IF(AND(IFERROR(INDEX(基础资料!$AD$5:$AD$34,MATCH(O697,基础资料!$AC$5:$AC$34,0)),"")="支",N(F697)&lt;&gt;0),"✗ 这类是付款，金额填到支出列",IF(N(H697)&lt;0,"⚠ 账户余额成负数了，核对一下","√"))))))))))))))))))</f>
      </c>
      <c r="O697" s="78">
        <f>IF(D697&lt;&gt;"",D697,IF(AND(F697="",G697=""),"",IF(J697&lt;&gt;"",IF(N(F697)&gt;0,"客户回款","客户退款"),IF(K697&lt;&gt;"",IF(N(G697)&gt;0,"供应商付款","供应商退款"),IF(L697&lt;&gt;"","费用支出","")))))</f>
      </c>
      <c r="P697" s="78">
        <f>IF(O697="","",IFERROR(INDEX(基础资料!$AE$5:$AE$34,MATCH(O697,基础资料!$AC$5:$AC$34,0)),"未知"))</f>
      </c>
      <c r="Q697" s="78">
        <f>IF(P697="应收",COUNTIF(P$7:P697,"应收"),"")</f>
      </c>
      <c r="R697" s="78">
        <f>IF(P697="应付",COUNTIF(P$7:P697,"应付"),"")</f>
      </c>
      <c r="S697" s="78">
        <f>N(F697)-N(G697)</f>
        <v>0</v>
      </c>
    </row>
    <row r="698">
      <c r="A698" s="109">
        <f>IF(AND(F698="",G698=""),"",ROW()-6)</f>
      </c>
      <c r="B698" s="140" t="n"/>
      <c r="C698" s="141" t="n"/>
      <c r="D698" s="141" t="n"/>
      <c r="E698" s="142" t="n"/>
      <c r="F698" s="143" t="n"/>
      <c r="G698" s="144" t="n"/>
      <c r="H698" s="145">
        <f>IF(OR(C698="",AND(F698="",G698="")),"",SUMIF(基础资料!$W$5:$W$24,C698,基础资料!$X$5:$X$24)+SUMIF(C$7:C698,C698,F$7:F698)-SUMIF(C$7:C698,C698,G$7:G698))</f>
      </c>
      <c r="I698" s="145">
        <f>IF(AND(F698="",G698=""),"",SUM(基础资料!$X$5:$X$24)+SUM(F$7:F698)-SUM(G$7:G698))</f>
      </c>
      <c r="J698" s="141" t="n"/>
      <c r="K698" s="141" t="n"/>
      <c r="L698" s="141" t="n"/>
      <c r="M698" s="142" t="n"/>
      <c r="N698" s="146">
        <f>IF(AND(AND(F698="",G698=""),B698="",C698="",D698="",J698="",K698="",L698=""),"",IF(AND(F698="",G698=""),"✗ 没填金额",IF(AND(N(F698)&lt;&gt;0,N(G698)&lt;&gt;0),"✗ 收入、支出只能填一边",IF(NOT(ISNUMBER(B698)),"✗ 日期不是真日期（要像 2026/9/25 这样填）",IF(OR(B698&lt;年初日,B698&gt;年末日),"✗ 日期不在本会计年度",IF(C698="","✗ 没选账户",IF(COUNTIF(基础资料!$W$5:$W$24,C698)=0,"✗ 账户不在基础资料里",IF(O698="","✗ 没选收支项目",IF(P698="未知","✗ 收支项目不在基础资料里",IF(AND(P698="应收",J698=""),"✗ 这笔要选客户",IF(AND(P698="应收",COUNTIF(总览汇总!$B$5:$B$304,J698)=0),"✗ 客户不在总览汇总名单里",IF(AND(P698="应付",K698=""),"✗ 这笔要选供应商",IF(AND(P698="应付",COUNTIF(基础资料!$Q$5:$Q$54,K698)=0),"✗ 供应商不在基础资料里",IF(AND(P698="费用",L698=""),"✗ 费用支出要选费用项目",IF(AND(L698&lt;&gt;"",COUNTIF(基础资料!$AI$5:$AI$54,L698)=0),"✗ 费用项目不在基础资料里",IF(AND(IFERROR(INDEX(基础资料!$AD$5:$AD$34,MATCH(O698,基础资料!$AC$5:$AC$34,0)),"")="收",N(G698)&lt;&gt;0),"✗ 这类是收款，金额填到收入列",IF(AND(IFERROR(INDEX(基础资料!$AD$5:$AD$34,MATCH(O698,基础资料!$AC$5:$AC$34,0)),"")="支",N(F698)&lt;&gt;0),"✗ 这类是付款，金额填到支出列",IF(N(H698)&lt;0,"⚠ 账户余额成负数了，核对一下","√"))))))))))))))))))</f>
      </c>
      <c r="O698" s="78">
        <f>IF(D698&lt;&gt;"",D698,IF(AND(F698="",G698=""),"",IF(J698&lt;&gt;"",IF(N(F698)&gt;0,"客户回款","客户退款"),IF(K698&lt;&gt;"",IF(N(G698)&gt;0,"供应商付款","供应商退款"),IF(L698&lt;&gt;"","费用支出","")))))</f>
      </c>
      <c r="P698" s="78">
        <f>IF(O698="","",IFERROR(INDEX(基础资料!$AE$5:$AE$34,MATCH(O698,基础资料!$AC$5:$AC$34,0)),"未知"))</f>
      </c>
      <c r="Q698" s="78">
        <f>IF(P698="应收",COUNTIF(P$7:P698,"应收"),"")</f>
      </c>
      <c r="R698" s="78">
        <f>IF(P698="应付",COUNTIF(P$7:P698,"应付"),"")</f>
      </c>
      <c r="S698" s="78">
        <f>N(F698)-N(G698)</f>
        <v>0</v>
      </c>
    </row>
    <row r="699">
      <c r="A699" s="109">
        <f>IF(AND(F699="",G699=""),"",ROW()-6)</f>
      </c>
      <c r="B699" s="140" t="n"/>
      <c r="C699" s="141" t="n"/>
      <c r="D699" s="141" t="n"/>
      <c r="E699" s="142" t="n"/>
      <c r="F699" s="143" t="n"/>
      <c r="G699" s="144" t="n"/>
      <c r="H699" s="145">
        <f>IF(OR(C699="",AND(F699="",G699="")),"",SUMIF(基础资料!$W$5:$W$24,C699,基础资料!$X$5:$X$24)+SUMIF(C$7:C699,C699,F$7:F699)-SUMIF(C$7:C699,C699,G$7:G699))</f>
      </c>
      <c r="I699" s="145">
        <f>IF(AND(F699="",G699=""),"",SUM(基础资料!$X$5:$X$24)+SUM(F$7:F699)-SUM(G$7:G699))</f>
      </c>
      <c r="J699" s="141" t="n"/>
      <c r="K699" s="141" t="n"/>
      <c r="L699" s="141" t="n"/>
      <c r="M699" s="142" t="n"/>
      <c r="N699" s="146">
        <f>IF(AND(AND(F699="",G699=""),B699="",C699="",D699="",J699="",K699="",L699=""),"",IF(AND(F699="",G699=""),"✗ 没填金额",IF(AND(N(F699)&lt;&gt;0,N(G699)&lt;&gt;0),"✗ 收入、支出只能填一边",IF(NOT(ISNUMBER(B699)),"✗ 日期不是真日期（要像 2026/9/25 这样填）",IF(OR(B699&lt;年初日,B699&gt;年末日),"✗ 日期不在本会计年度",IF(C699="","✗ 没选账户",IF(COUNTIF(基础资料!$W$5:$W$24,C699)=0,"✗ 账户不在基础资料里",IF(O699="","✗ 没选收支项目",IF(P699="未知","✗ 收支项目不在基础资料里",IF(AND(P699="应收",J699=""),"✗ 这笔要选客户",IF(AND(P699="应收",COUNTIF(总览汇总!$B$5:$B$304,J699)=0),"✗ 客户不在总览汇总名单里",IF(AND(P699="应付",K699=""),"✗ 这笔要选供应商",IF(AND(P699="应付",COUNTIF(基础资料!$Q$5:$Q$54,K699)=0),"✗ 供应商不在基础资料里",IF(AND(P699="费用",L699=""),"✗ 费用支出要选费用项目",IF(AND(L699&lt;&gt;"",COUNTIF(基础资料!$AI$5:$AI$54,L699)=0),"✗ 费用项目不在基础资料里",IF(AND(IFERROR(INDEX(基础资料!$AD$5:$AD$34,MATCH(O699,基础资料!$AC$5:$AC$34,0)),"")="收",N(G699)&lt;&gt;0),"✗ 这类是收款，金额填到收入列",IF(AND(IFERROR(INDEX(基础资料!$AD$5:$AD$34,MATCH(O699,基础资料!$AC$5:$AC$34,0)),"")="支",N(F699)&lt;&gt;0),"✗ 这类是付款，金额填到支出列",IF(N(H699)&lt;0,"⚠ 账户余额成负数了，核对一下","√"))))))))))))))))))</f>
      </c>
      <c r="O699" s="78">
        <f>IF(D699&lt;&gt;"",D699,IF(AND(F699="",G699=""),"",IF(J699&lt;&gt;"",IF(N(F699)&gt;0,"客户回款","客户退款"),IF(K699&lt;&gt;"",IF(N(G699)&gt;0,"供应商付款","供应商退款"),IF(L699&lt;&gt;"","费用支出","")))))</f>
      </c>
      <c r="P699" s="78">
        <f>IF(O699="","",IFERROR(INDEX(基础资料!$AE$5:$AE$34,MATCH(O699,基础资料!$AC$5:$AC$34,0)),"未知"))</f>
      </c>
      <c r="Q699" s="78">
        <f>IF(P699="应收",COUNTIF(P$7:P699,"应收"),"")</f>
      </c>
      <c r="R699" s="78">
        <f>IF(P699="应付",COUNTIF(P$7:P699,"应付"),"")</f>
      </c>
      <c r="S699" s="78">
        <f>N(F699)-N(G699)</f>
        <v>0</v>
      </c>
    </row>
    <row r="700">
      <c r="A700" s="109">
        <f>IF(AND(F700="",G700=""),"",ROW()-6)</f>
      </c>
      <c r="B700" s="140" t="n"/>
      <c r="C700" s="141" t="n"/>
      <c r="D700" s="141" t="n"/>
      <c r="E700" s="142" t="n"/>
      <c r="F700" s="143" t="n"/>
      <c r="G700" s="144" t="n"/>
      <c r="H700" s="145">
        <f>IF(OR(C700="",AND(F700="",G700="")),"",SUMIF(基础资料!$W$5:$W$24,C700,基础资料!$X$5:$X$24)+SUMIF(C$7:C700,C700,F$7:F700)-SUMIF(C$7:C700,C700,G$7:G700))</f>
      </c>
      <c r="I700" s="145">
        <f>IF(AND(F700="",G700=""),"",SUM(基础资料!$X$5:$X$24)+SUM(F$7:F700)-SUM(G$7:G700))</f>
      </c>
      <c r="J700" s="141" t="n"/>
      <c r="K700" s="141" t="n"/>
      <c r="L700" s="141" t="n"/>
      <c r="M700" s="142" t="n"/>
      <c r="N700" s="146">
        <f>IF(AND(AND(F700="",G700=""),B700="",C700="",D700="",J700="",K700="",L700=""),"",IF(AND(F700="",G700=""),"✗ 没填金额",IF(AND(N(F700)&lt;&gt;0,N(G700)&lt;&gt;0),"✗ 收入、支出只能填一边",IF(NOT(ISNUMBER(B700)),"✗ 日期不是真日期（要像 2026/9/25 这样填）",IF(OR(B700&lt;年初日,B700&gt;年末日),"✗ 日期不在本会计年度",IF(C700="","✗ 没选账户",IF(COUNTIF(基础资料!$W$5:$W$24,C700)=0,"✗ 账户不在基础资料里",IF(O700="","✗ 没选收支项目",IF(P700="未知","✗ 收支项目不在基础资料里",IF(AND(P700="应收",J700=""),"✗ 这笔要选客户",IF(AND(P700="应收",COUNTIF(总览汇总!$B$5:$B$304,J700)=0),"✗ 客户不在总览汇总名单里",IF(AND(P700="应付",K700=""),"✗ 这笔要选供应商",IF(AND(P700="应付",COUNTIF(基础资料!$Q$5:$Q$54,K700)=0),"✗ 供应商不在基础资料里",IF(AND(P700="费用",L700=""),"✗ 费用支出要选费用项目",IF(AND(L700&lt;&gt;"",COUNTIF(基础资料!$AI$5:$AI$54,L700)=0),"✗ 费用项目不在基础资料里",IF(AND(IFERROR(INDEX(基础资料!$AD$5:$AD$34,MATCH(O700,基础资料!$AC$5:$AC$34,0)),"")="收",N(G700)&lt;&gt;0),"✗ 这类是收款，金额填到收入列",IF(AND(IFERROR(INDEX(基础资料!$AD$5:$AD$34,MATCH(O700,基础资料!$AC$5:$AC$34,0)),"")="支",N(F700)&lt;&gt;0),"✗ 这类是付款，金额填到支出列",IF(N(H700)&lt;0,"⚠ 账户余额成负数了，核对一下","√"))))))))))))))))))</f>
      </c>
      <c r="O700" s="78">
        <f>IF(D700&lt;&gt;"",D700,IF(AND(F700="",G700=""),"",IF(J700&lt;&gt;"",IF(N(F700)&gt;0,"客户回款","客户退款"),IF(K700&lt;&gt;"",IF(N(G700)&gt;0,"供应商付款","供应商退款"),IF(L700&lt;&gt;"","费用支出","")))))</f>
      </c>
      <c r="P700" s="78">
        <f>IF(O700="","",IFERROR(INDEX(基础资料!$AE$5:$AE$34,MATCH(O700,基础资料!$AC$5:$AC$34,0)),"未知"))</f>
      </c>
      <c r="Q700" s="78">
        <f>IF(P700="应收",COUNTIF(P$7:P700,"应收"),"")</f>
      </c>
      <c r="R700" s="78">
        <f>IF(P700="应付",COUNTIF(P$7:P700,"应付"),"")</f>
      </c>
      <c r="S700" s="78">
        <f>N(F700)-N(G700)</f>
        <v>0</v>
      </c>
    </row>
    <row r="701">
      <c r="A701" s="109">
        <f>IF(AND(F701="",G701=""),"",ROW()-6)</f>
      </c>
      <c r="B701" s="140" t="n"/>
      <c r="C701" s="141" t="n"/>
      <c r="D701" s="141" t="n"/>
      <c r="E701" s="142" t="n"/>
      <c r="F701" s="143" t="n"/>
      <c r="G701" s="144" t="n"/>
      <c r="H701" s="145">
        <f>IF(OR(C701="",AND(F701="",G701="")),"",SUMIF(基础资料!$W$5:$W$24,C701,基础资料!$X$5:$X$24)+SUMIF(C$7:C701,C701,F$7:F701)-SUMIF(C$7:C701,C701,G$7:G701))</f>
      </c>
      <c r="I701" s="145">
        <f>IF(AND(F701="",G701=""),"",SUM(基础资料!$X$5:$X$24)+SUM(F$7:F701)-SUM(G$7:G701))</f>
      </c>
      <c r="J701" s="141" t="n"/>
      <c r="K701" s="141" t="n"/>
      <c r="L701" s="141" t="n"/>
      <c r="M701" s="142" t="n"/>
      <c r="N701" s="146">
        <f>IF(AND(AND(F701="",G701=""),B701="",C701="",D701="",J701="",K701="",L701=""),"",IF(AND(F701="",G701=""),"✗ 没填金额",IF(AND(N(F701)&lt;&gt;0,N(G701)&lt;&gt;0),"✗ 收入、支出只能填一边",IF(NOT(ISNUMBER(B701)),"✗ 日期不是真日期（要像 2026/9/25 这样填）",IF(OR(B701&lt;年初日,B701&gt;年末日),"✗ 日期不在本会计年度",IF(C701="","✗ 没选账户",IF(COUNTIF(基础资料!$W$5:$W$24,C701)=0,"✗ 账户不在基础资料里",IF(O701="","✗ 没选收支项目",IF(P701="未知","✗ 收支项目不在基础资料里",IF(AND(P701="应收",J701=""),"✗ 这笔要选客户",IF(AND(P701="应收",COUNTIF(总览汇总!$B$5:$B$304,J701)=0),"✗ 客户不在总览汇总名单里",IF(AND(P701="应付",K701=""),"✗ 这笔要选供应商",IF(AND(P701="应付",COUNTIF(基础资料!$Q$5:$Q$54,K701)=0),"✗ 供应商不在基础资料里",IF(AND(P701="费用",L701=""),"✗ 费用支出要选费用项目",IF(AND(L701&lt;&gt;"",COUNTIF(基础资料!$AI$5:$AI$54,L701)=0),"✗ 费用项目不在基础资料里",IF(AND(IFERROR(INDEX(基础资料!$AD$5:$AD$34,MATCH(O701,基础资料!$AC$5:$AC$34,0)),"")="收",N(G701)&lt;&gt;0),"✗ 这类是收款，金额填到收入列",IF(AND(IFERROR(INDEX(基础资料!$AD$5:$AD$34,MATCH(O701,基础资料!$AC$5:$AC$34,0)),"")="支",N(F701)&lt;&gt;0),"✗ 这类是付款，金额填到支出列",IF(N(H701)&lt;0,"⚠ 账户余额成负数了，核对一下","√"))))))))))))))))))</f>
      </c>
      <c r="O701" s="78">
        <f>IF(D701&lt;&gt;"",D701,IF(AND(F701="",G701=""),"",IF(J701&lt;&gt;"",IF(N(F701)&gt;0,"客户回款","客户退款"),IF(K701&lt;&gt;"",IF(N(G701)&gt;0,"供应商付款","供应商退款"),IF(L701&lt;&gt;"","费用支出","")))))</f>
      </c>
      <c r="P701" s="78">
        <f>IF(O701="","",IFERROR(INDEX(基础资料!$AE$5:$AE$34,MATCH(O701,基础资料!$AC$5:$AC$34,0)),"未知"))</f>
      </c>
      <c r="Q701" s="78">
        <f>IF(P701="应收",COUNTIF(P$7:P701,"应收"),"")</f>
      </c>
      <c r="R701" s="78">
        <f>IF(P701="应付",COUNTIF(P$7:P701,"应付"),"")</f>
      </c>
      <c r="S701" s="78">
        <f>N(F701)-N(G701)</f>
        <v>0</v>
      </c>
    </row>
    <row r="702">
      <c r="A702" s="109">
        <f>IF(AND(F702="",G702=""),"",ROW()-6)</f>
      </c>
      <c r="B702" s="140" t="n"/>
      <c r="C702" s="141" t="n"/>
      <c r="D702" s="141" t="n"/>
      <c r="E702" s="142" t="n"/>
      <c r="F702" s="143" t="n"/>
      <c r="G702" s="144" t="n"/>
      <c r="H702" s="145">
        <f>IF(OR(C702="",AND(F702="",G702="")),"",SUMIF(基础资料!$W$5:$W$24,C702,基础资料!$X$5:$X$24)+SUMIF(C$7:C702,C702,F$7:F702)-SUMIF(C$7:C702,C702,G$7:G702))</f>
      </c>
      <c r="I702" s="145">
        <f>IF(AND(F702="",G702=""),"",SUM(基础资料!$X$5:$X$24)+SUM(F$7:F702)-SUM(G$7:G702))</f>
      </c>
      <c r="J702" s="141" t="n"/>
      <c r="K702" s="141" t="n"/>
      <c r="L702" s="141" t="n"/>
      <c r="M702" s="142" t="n"/>
      <c r="N702" s="146">
        <f>IF(AND(AND(F702="",G702=""),B702="",C702="",D702="",J702="",K702="",L702=""),"",IF(AND(F702="",G702=""),"✗ 没填金额",IF(AND(N(F702)&lt;&gt;0,N(G702)&lt;&gt;0),"✗ 收入、支出只能填一边",IF(NOT(ISNUMBER(B702)),"✗ 日期不是真日期（要像 2026/9/25 这样填）",IF(OR(B702&lt;年初日,B702&gt;年末日),"✗ 日期不在本会计年度",IF(C702="","✗ 没选账户",IF(COUNTIF(基础资料!$W$5:$W$24,C702)=0,"✗ 账户不在基础资料里",IF(O702="","✗ 没选收支项目",IF(P702="未知","✗ 收支项目不在基础资料里",IF(AND(P702="应收",J702=""),"✗ 这笔要选客户",IF(AND(P702="应收",COUNTIF(总览汇总!$B$5:$B$304,J702)=0),"✗ 客户不在总览汇总名单里",IF(AND(P702="应付",K702=""),"✗ 这笔要选供应商",IF(AND(P702="应付",COUNTIF(基础资料!$Q$5:$Q$54,K702)=0),"✗ 供应商不在基础资料里",IF(AND(P702="费用",L702=""),"✗ 费用支出要选费用项目",IF(AND(L702&lt;&gt;"",COUNTIF(基础资料!$AI$5:$AI$54,L702)=0),"✗ 费用项目不在基础资料里",IF(AND(IFERROR(INDEX(基础资料!$AD$5:$AD$34,MATCH(O702,基础资料!$AC$5:$AC$34,0)),"")="收",N(G702)&lt;&gt;0),"✗ 这类是收款，金额填到收入列",IF(AND(IFERROR(INDEX(基础资料!$AD$5:$AD$34,MATCH(O702,基础资料!$AC$5:$AC$34,0)),"")="支",N(F702)&lt;&gt;0),"✗ 这类是付款，金额填到支出列",IF(N(H702)&lt;0,"⚠ 账户余额成负数了，核对一下","√"))))))))))))))))))</f>
      </c>
      <c r="O702" s="78">
        <f>IF(D702&lt;&gt;"",D702,IF(AND(F702="",G702=""),"",IF(J702&lt;&gt;"",IF(N(F702)&gt;0,"客户回款","客户退款"),IF(K702&lt;&gt;"",IF(N(G702)&gt;0,"供应商付款","供应商退款"),IF(L702&lt;&gt;"","费用支出","")))))</f>
      </c>
      <c r="P702" s="78">
        <f>IF(O702="","",IFERROR(INDEX(基础资料!$AE$5:$AE$34,MATCH(O702,基础资料!$AC$5:$AC$34,0)),"未知"))</f>
      </c>
      <c r="Q702" s="78">
        <f>IF(P702="应收",COUNTIF(P$7:P702,"应收"),"")</f>
      </c>
      <c r="R702" s="78">
        <f>IF(P702="应付",COUNTIF(P$7:P702,"应付"),"")</f>
      </c>
      <c r="S702" s="78">
        <f>N(F702)-N(G702)</f>
        <v>0</v>
      </c>
    </row>
    <row r="703">
      <c r="A703" s="109">
        <f>IF(AND(F703="",G703=""),"",ROW()-6)</f>
      </c>
      <c r="B703" s="140" t="n"/>
      <c r="C703" s="141" t="n"/>
      <c r="D703" s="141" t="n"/>
      <c r="E703" s="142" t="n"/>
      <c r="F703" s="143" t="n"/>
      <c r="G703" s="144" t="n"/>
      <c r="H703" s="145">
        <f>IF(OR(C703="",AND(F703="",G703="")),"",SUMIF(基础资料!$W$5:$W$24,C703,基础资料!$X$5:$X$24)+SUMIF(C$7:C703,C703,F$7:F703)-SUMIF(C$7:C703,C703,G$7:G703))</f>
      </c>
      <c r="I703" s="145">
        <f>IF(AND(F703="",G703=""),"",SUM(基础资料!$X$5:$X$24)+SUM(F$7:F703)-SUM(G$7:G703))</f>
      </c>
      <c r="J703" s="141" t="n"/>
      <c r="K703" s="141" t="n"/>
      <c r="L703" s="141" t="n"/>
      <c r="M703" s="142" t="n"/>
      <c r="N703" s="146">
        <f>IF(AND(AND(F703="",G703=""),B703="",C703="",D703="",J703="",K703="",L703=""),"",IF(AND(F703="",G703=""),"✗ 没填金额",IF(AND(N(F703)&lt;&gt;0,N(G703)&lt;&gt;0),"✗ 收入、支出只能填一边",IF(NOT(ISNUMBER(B703)),"✗ 日期不是真日期（要像 2026/9/25 这样填）",IF(OR(B703&lt;年初日,B703&gt;年末日),"✗ 日期不在本会计年度",IF(C703="","✗ 没选账户",IF(COUNTIF(基础资料!$W$5:$W$24,C703)=0,"✗ 账户不在基础资料里",IF(O703="","✗ 没选收支项目",IF(P703="未知","✗ 收支项目不在基础资料里",IF(AND(P703="应收",J703=""),"✗ 这笔要选客户",IF(AND(P703="应收",COUNTIF(总览汇总!$B$5:$B$304,J703)=0),"✗ 客户不在总览汇总名单里",IF(AND(P703="应付",K703=""),"✗ 这笔要选供应商",IF(AND(P703="应付",COUNTIF(基础资料!$Q$5:$Q$54,K703)=0),"✗ 供应商不在基础资料里",IF(AND(P703="费用",L703=""),"✗ 费用支出要选费用项目",IF(AND(L703&lt;&gt;"",COUNTIF(基础资料!$AI$5:$AI$54,L703)=0),"✗ 费用项目不在基础资料里",IF(AND(IFERROR(INDEX(基础资料!$AD$5:$AD$34,MATCH(O703,基础资料!$AC$5:$AC$34,0)),"")="收",N(G703)&lt;&gt;0),"✗ 这类是收款，金额填到收入列",IF(AND(IFERROR(INDEX(基础资料!$AD$5:$AD$34,MATCH(O703,基础资料!$AC$5:$AC$34,0)),"")="支",N(F703)&lt;&gt;0),"✗ 这类是付款，金额填到支出列",IF(N(H703)&lt;0,"⚠ 账户余额成负数了，核对一下","√"))))))))))))))))))</f>
      </c>
      <c r="O703" s="78">
        <f>IF(D703&lt;&gt;"",D703,IF(AND(F703="",G703=""),"",IF(J703&lt;&gt;"",IF(N(F703)&gt;0,"客户回款","客户退款"),IF(K703&lt;&gt;"",IF(N(G703)&gt;0,"供应商付款","供应商退款"),IF(L703&lt;&gt;"","费用支出","")))))</f>
      </c>
      <c r="P703" s="78">
        <f>IF(O703="","",IFERROR(INDEX(基础资料!$AE$5:$AE$34,MATCH(O703,基础资料!$AC$5:$AC$34,0)),"未知"))</f>
      </c>
      <c r="Q703" s="78">
        <f>IF(P703="应收",COUNTIF(P$7:P703,"应收"),"")</f>
      </c>
      <c r="R703" s="78">
        <f>IF(P703="应付",COUNTIF(P$7:P703,"应付"),"")</f>
      </c>
      <c r="S703" s="78">
        <f>N(F703)-N(G703)</f>
        <v>0</v>
      </c>
    </row>
    <row r="704">
      <c r="A704" s="109">
        <f>IF(AND(F704="",G704=""),"",ROW()-6)</f>
      </c>
      <c r="B704" s="140" t="n"/>
      <c r="C704" s="141" t="n"/>
      <c r="D704" s="141" t="n"/>
      <c r="E704" s="142" t="n"/>
      <c r="F704" s="143" t="n"/>
      <c r="G704" s="144" t="n"/>
      <c r="H704" s="145">
        <f>IF(OR(C704="",AND(F704="",G704="")),"",SUMIF(基础资料!$W$5:$W$24,C704,基础资料!$X$5:$X$24)+SUMIF(C$7:C704,C704,F$7:F704)-SUMIF(C$7:C704,C704,G$7:G704))</f>
      </c>
      <c r="I704" s="145">
        <f>IF(AND(F704="",G704=""),"",SUM(基础资料!$X$5:$X$24)+SUM(F$7:F704)-SUM(G$7:G704))</f>
      </c>
      <c r="J704" s="141" t="n"/>
      <c r="K704" s="141" t="n"/>
      <c r="L704" s="141" t="n"/>
      <c r="M704" s="142" t="n"/>
      <c r="N704" s="146">
        <f>IF(AND(AND(F704="",G704=""),B704="",C704="",D704="",J704="",K704="",L704=""),"",IF(AND(F704="",G704=""),"✗ 没填金额",IF(AND(N(F704)&lt;&gt;0,N(G704)&lt;&gt;0),"✗ 收入、支出只能填一边",IF(NOT(ISNUMBER(B704)),"✗ 日期不是真日期（要像 2026/9/25 这样填）",IF(OR(B704&lt;年初日,B704&gt;年末日),"✗ 日期不在本会计年度",IF(C704="","✗ 没选账户",IF(COUNTIF(基础资料!$W$5:$W$24,C704)=0,"✗ 账户不在基础资料里",IF(O704="","✗ 没选收支项目",IF(P704="未知","✗ 收支项目不在基础资料里",IF(AND(P704="应收",J704=""),"✗ 这笔要选客户",IF(AND(P704="应收",COUNTIF(总览汇总!$B$5:$B$304,J704)=0),"✗ 客户不在总览汇总名单里",IF(AND(P704="应付",K704=""),"✗ 这笔要选供应商",IF(AND(P704="应付",COUNTIF(基础资料!$Q$5:$Q$54,K704)=0),"✗ 供应商不在基础资料里",IF(AND(P704="费用",L704=""),"✗ 费用支出要选费用项目",IF(AND(L704&lt;&gt;"",COUNTIF(基础资料!$AI$5:$AI$54,L704)=0),"✗ 费用项目不在基础资料里",IF(AND(IFERROR(INDEX(基础资料!$AD$5:$AD$34,MATCH(O704,基础资料!$AC$5:$AC$34,0)),"")="收",N(G704)&lt;&gt;0),"✗ 这类是收款，金额填到收入列",IF(AND(IFERROR(INDEX(基础资料!$AD$5:$AD$34,MATCH(O704,基础资料!$AC$5:$AC$34,0)),"")="支",N(F704)&lt;&gt;0),"✗ 这类是付款，金额填到支出列",IF(N(H704)&lt;0,"⚠ 账户余额成负数了，核对一下","√"))))))))))))))))))</f>
      </c>
      <c r="O704" s="78">
        <f>IF(D704&lt;&gt;"",D704,IF(AND(F704="",G704=""),"",IF(J704&lt;&gt;"",IF(N(F704)&gt;0,"客户回款","客户退款"),IF(K704&lt;&gt;"",IF(N(G704)&gt;0,"供应商付款","供应商退款"),IF(L704&lt;&gt;"","费用支出","")))))</f>
      </c>
      <c r="P704" s="78">
        <f>IF(O704="","",IFERROR(INDEX(基础资料!$AE$5:$AE$34,MATCH(O704,基础资料!$AC$5:$AC$34,0)),"未知"))</f>
      </c>
      <c r="Q704" s="78">
        <f>IF(P704="应收",COUNTIF(P$7:P704,"应收"),"")</f>
      </c>
      <c r="R704" s="78">
        <f>IF(P704="应付",COUNTIF(P$7:P704,"应付"),"")</f>
      </c>
      <c r="S704" s="78">
        <f>N(F704)-N(G704)</f>
        <v>0</v>
      </c>
    </row>
    <row r="705">
      <c r="A705" s="109">
        <f>IF(AND(F705="",G705=""),"",ROW()-6)</f>
      </c>
      <c r="B705" s="140" t="n"/>
      <c r="C705" s="141" t="n"/>
      <c r="D705" s="141" t="n"/>
      <c r="E705" s="142" t="n"/>
      <c r="F705" s="143" t="n"/>
      <c r="G705" s="144" t="n"/>
      <c r="H705" s="145">
        <f>IF(OR(C705="",AND(F705="",G705="")),"",SUMIF(基础资料!$W$5:$W$24,C705,基础资料!$X$5:$X$24)+SUMIF(C$7:C705,C705,F$7:F705)-SUMIF(C$7:C705,C705,G$7:G705))</f>
      </c>
      <c r="I705" s="145">
        <f>IF(AND(F705="",G705=""),"",SUM(基础资料!$X$5:$X$24)+SUM(F$7:F705)-SUM(G$7:G705))</f>
      </c>
      <c r="J705" s="141" t="n"/>
      <c r="K705" s="141" t="n"/>
      <c r="L705" s="141" t="n"/>
      <c r="M705" s="142" t="n"/>
      <c r="N705" s="146">
        <f>IF(AND(AND(F705="",G705=""),B705="",C705="",D705="",J705="",K705="",L705=""),"",IF(AND(F705="",G705=""),"✗ 没填金额",IF(AND(N(F705)&lt;&gt;0,N(G705)&lt;&gt;0),"✗ 收入、支出只能填一边",IF(NOT(ISNUMBER(B705)),"✗ 日期不是真日期（要像 2026/9/25 这样填）",IF(OR(B705&lt;年初日,B705&gt;年末日),"✗ 日期不在本会计年度",IF(C705="","✗ 没选账户",IF(COUNTIF(基础资料!$W$5:$W$24,C705)=0,"✗ 账户不在基础资料里",IF(O705="","✗ 没选收支项目",IF(P705="未知","✗ 收支项目不在基础资料里",IF(AND(P705="应收",J705=""),"✗ 这笔要选客户",IF(AND(P705="应收",COUNTIF(总览汇总!$B$5:$B$304,J705)=0),"✗ 客户不在总览汇总名单里",IF(AND(P705="应付",K705=""),"✗ 这笔要选供应商",IF(AND(P705="应付",COUNTIF(基础资料!$Q$5:$Q$54,K705)=0),"✗ 供应商不在基础资料里",IF(AND(P705="费用",L705=""),"✗ 费用支出要选费用项目",IF(AND(L705&lt;&gt;"",COUNTIF(基础资料!$AI$5:$AI$54,L705)=0),"✗ 费用项目不在基础资料里",IF(AND(IFERROR(INDEX(基础资料!$AD$5:$AD$34,MATCH(O705,基础资料!$AC$5:$AC$34,0)),"")="收",N(G705)&lt;&gt;0),"✗ 这类是收款，金额填到收入列",IF(AND(IFERROR(INDEX(基础资料!$AD$5:$AD$34,MATCH(O705,基础资料!$AC$5:$AC$34,0)),"")="支",N(F705)&lt;&gt;0),"✗ 这类是付款，金额填到支出列",IF(N(H705)&lt;0,"⚠ 账户余额成负数了，核对一下","√"))))))))))))))))))</f>
      </c>
      <c r="O705" s="78">
        <f>IF(D705&lt;&gt;"",D705,IF(AND(F705="",G705=""),"",IF(J705&lt;&gt;"",IF(N(F705)&gt;0,"客户回款","客户退款"),IF(K705&lt;&gt;"",IF(N(G705)&gt;0,"供应商付款","供应商退款"),IF(L705&lt;&gt;"","费用支出","")))))</f>
      </c>
      <c r="P705" s="78">
        <f>IF(O705="","",IFERROR(INDEX(基础资料!$AE$5:$AE$34,MATCH(O705,基础资料!$AC$5:$AC$34,0)),"未知"))</f>
      </c>
      <c r="Q705" s="78">
        <f>IF(P705="应收",COUNTIF(P$7:P705,"应收"),"")</f>
      </c>
      <c r="R705" s="78">
        <f>IF(P705="应付",COUNTIF(P$7:P705,"应付"),"")</f>
      </c>
      <c r="S705" s="78">
        <f>N(F705)-N(G705)</f>
        <v>0</v>
      </c>
    </row>
    <row r="706">
      <c r="A706" s="109">
        <f>IF(AND(F706="",G706=""),"",ROW()-6)</f>
      </c>
      <c r="B706" s="140" t="n"/>
      <c r="C706" s="141" t="n"/>
      <c r="D706" s="141" t="n"/>
      <c r="E706" s="142" t="n"/>
      <c r="F706" s="143" t="n"/>
      <c r="G706" s="144" t="n"/>
      <c r="H706" s="145">
        <f>IF(OR(C706="",AND(F706="",G706="")),"",SUMIF(基础资料!$W$5:$W$24,C706,基础资料!$X$5:$X$24)+SUMIF(C$7:C706,C706,F$7:F706)-SUMIF(C$7:C706,C706,G$7:G706))</f>
      </c>
      <c r="I706" s="145">
        <f>IF(AND(F706="",G706=""),"",SUM(基础资料!$X$5:$X$24)+SUM(F$7:F706)-SUM(G$7:G706))</f>
      </c>
      <c r="J706" s="141" t="n"/>
      <c r="K706" s="141" t="n"/>
      <c r="L706" s="141" t="n"/>
      <c r="M706" s="142" t="n"/>
      <c r="N706" s="146">
        <f>IF(AND(AND(F706="",G706=""),B706="",C706="",D706="",J706="",K706="",L706=""),"",IF(AND(F706="",G706=""),"✗ 没填金额",IF(AND(N(F706)&lt;&gt;0,N(G706)&lt;&gt;0),"✗ 收入、支出只能填一边",IF(NOT(ISNUMBER(B706)),"✗ 日期不是真日期（要像 2026/9/25 这样填）",IF(OR(B706&lt;年初日,B706&gt;年末日),"✗ 日期不在本会计年度",IF(C706="","✗ 没选账户",IF(COUNTIF(基础资料!$W$5:$W$24,C706)=0,"✗ 账户不在基础资料里",IF(O706="","✗ 没选收支项目",IF(P706="未知","✗ 收支项目不在基础资料里",IF(AND(P706="应收",J706=""),"✗ 这笔要选客户",IF(AND(P706="应收",COUNTIF(总览汇总!$B$5:$B$304,J706)=0),"✗ 客户不在总览汇总名单里",IF(AND(P706="应付",K706=""),"✗ 这笔要选供应商",IF(AND(P706="应付",COUNTIF(基础资料!$Q$5:$Q$54,K706)=0),"✗ 供应商不在基础资料里",IF(AND(P706="费用",L706=""),"✗ 费用支出要选费用项目",IF(AND(L706&lt;&gt;"",COUNTIF(基础资料!$AI$5:$AI$54,L706)=0),"✗ 费用项目不在基础资料里",IF(AND(IFERROR(INDEX(基础资料!$AD$5:$AD$34,MATCH(O706,基础资料!$AC$5:$AC$34,0)),"")="收",N(G706)&lt;&gt;0),"✗ 这类是收款，金额填到收入列",IF(AND(IFERROR(INDEX(基础资料!$AD$5:$AD$34,MATCH(O706,基础资料!$AC$5:$AC$34,0)),"")="支",N(F706)&lt;&gt;0),"✗ 这类是付款，金额填到支出列",IF(N(H706)&lt;0,"⚠ 账户余额成负数了，核对一下","√"))))))))))))))))))</f>
      </c>
      <c r="O706" s="78">
        <f>IF(D706&lt;&gt;"",D706,IF(AND(F706="",G706=""),"",IF(J706&lt;&gt;"",IF(N(F706)&gt;0,"客户回款","客户退款"),IF(K706&lt;&gt;"",IF(N(G706)&gt;0,"供应商付款","供应商退款"),IF(L706&lt;&gt;"","费用支出","")))))</f>
      </c>
      <c r="P706" s="78">
        <f>IF(O706="","",IFERROR(INDEX(基础资料!$AE$5:$AE$34,MATCH(O706,基础资料!$AC$5:$AC$34,0)),"未知"))</f>
      </c>
      <c r="Q706" s="78">
        <f>IF(P706="应收",COUNTIF(P$7:P706,"应收"),"")</f>
      </c>
      <c r="R706" s="78">
        <f>IF(P706="应付",COUNTIF(P$7:P706,"应付"),"")</f>
      </c>
      <c r="S706" s="78">
        <f>N(F706)-N(G706)</f>
        <v>0</v>
      </c>
    </row>
    <row r="707">
      <c r="A707" s="109">
        <f>IF(AND(F707="",G707=""),"",ROW()-6)</f>
      </c>
      <c r="B707" s="140" t="n"/>
      <c r="C707" s="141" t="n"/>
      <c r="D707" s="141" t="n"/>
      <c r="E707" s="142" t="n"/>
      <c r="F707" s="143" t="n"/>
      <c r="G707" s="144" t="n"/>
      <c r="H707" s="145">
        <f>IF(OR(C707="",AND(F707="",G707="")),"",SUMIF(基础资料!$W$5:$W$24,C707,基础资料!$X$5:$X$24)+SUMIF(C$7:C707,C707,F$7:F707)-SUMIF(C$7:C707,C707,G$7:G707))</f>
      </c>
      <c r="I707" s="145">
        <f>IF(AND(F707="",G707=""),"",SUM(基础资料!$X$5:$X$24)+SUM(F$7:F707)-SUM(G$7:G707))</f>
      </c>
      <c r="J707" s="141" t="n"/>
      <c r="K707" s="141" t="n"/>
      <c r="L707" s="141" t="n"/>
      <c r="M707" s="142" t="n"/>
      <c r="N707" s="146">
        <f>IF(AND(AND(F707="",G707=""),B707="",C707="",D707="",J707="",K707="",L707=""),"",IF(AND(F707="",G707=""),"✗ 没填金额",IF(AND(N(F707)&lt;&gt;0,N(G707)&lt;&gt;0),"✗ 收入、支出只能填一边",IF(NOT(ISNUMBER(B707)),"✗ 日期不是真日期（要像 2026/9/25 这样填）",IF(OR(B707&lt;年初日,B707&gt;年末日),"✗ 日期不在本会计年度",IF(C707="","✗ 没选账户",IF(COUNTIF(基础资料!$W$5:$W$24,C707)=0,"✗ 账户不在基础资料里",IF(O707="","✗ 没选收支项目",IF(P707="未知","✗ 收支项目不在基础资料里",IF(AND(P707="应收",J707=""),"✗ 这笔要选客户",IF(AND(P707="应收",COUNTIF(总览汇总!$B$5:$B$304,J707)=0),"✗ 客户不在总览汇总名单里",IF(AND(P707="应付",K707=""),"✗ 这笔要选供应商",IF(AND(P707="应付",COUNTIF(基础资料!$Q$5:$Q$54,K707)=0),"✗ 供应商不在基础资料里",IF(AND(P707="费用",L707=""),"✗ 费用支出要选费用项目",IF(AND(L707&lt;&gt;"",COUNTIF(基础资料!$AI$5:$AI$54,L707)=0),"✗ 费用项目不在基础资料里",IF(AND(IFERROR(INDEX(基础资料!$AD$5:$AD$34,MATCH(O707,基础资料!$AC$5:$AC$34,0)),"")="收",N(G707)&lt;&gt;0),"✗ 这类是收款，金额填到收入列",IF(AND(IFERROR(INDEX(基础资料!$AD$5:$AD$34,MATCH(O707,基础资料!$AC$5:$AC$34,0)),"")="支",N(F707)&lt;&gt;0),"✗ 这类是付款，金额填到支出列",IF(N(H707)&lt;0,"⚠ 账户余额成负数了，核对一下","√"))))))))))))))))))</f>
      </c>
      <c r="O707" s="78">
        <f>IF(D707&lt;&gt;"",D707,IF(AND(F707="",G707=""),"",IF(J707&lt;&gt;"",IF(N(F707)&gt;0,"客户回款","客户退款"),IF(K707&lt;&gt;"",IF(N(G707)&gt;0,"供应商付款","供应商退款"),IF(L707&lt;&gt;"","费用支出","")))))</f>
      </c>
      <c r="P707" s="78">
        <f>IF(O707="","",IFERROR(INDEX(基础资料!$AE$5:$AE$34,MATCH(O707,基础资料!$AC$5:$AC$34,0)),"未知"))</f>
      </c>
      <c r="Q707" s="78">
        <f>IF(P707="应收",COUNTIF(P$7:P707,"应收"),"")</f>
      </c>
      <c r="R707" s="78">
        <f>IF(P707="应付",COUNTIF(P$7:P707,"应付"),"")</f>
      </c>
      <c r="S707" s="78">
        <f>N(F707)-N(G707)</f>
        <v>0</v>
      </c>
    </row>
    <row r="708">
      <c r="A708" s="109">
        <f>IF(AND(F708="",G708=""),"",ROW()-6)</f>
      </c>
      <c r="B708" s="140" t="n"/>
      <c r="C708" s="141" t="n"/>
      <c r="D708" s="141" t="n"/>
      <c r="E708" s="142" t="n"/>
      <c r="F708" s="143" t="n"/>
      <c r="G708" s="144" t="n"/>
      <c r="H708" s="145">
        <f>IF(OR(C708="",AND(F708="",G708="")),"",SUMIF(基础资料!$W$5:$W$24,C708,基础资料!$X$5:$X$24)+SUMIF(C$7:C708,C708,F$7:F708)-SUMIF(C$7:C708,C708,G$7:G708))</f>
      </c>
      <c r="I708" s="145">
        <f>IF(AND(F708="",G708=""),"",SUM(基础资料!$X$5:$X$24)+SUM(F$7:F708)-SUM(G$7:G708))</f>
      </c>
      <c r="J708" s="141" t="n"/>
      <c r="K708" s="141" t="n"/>
      <c r="L708" s="141" t="n"/>
      <c r="M708" s="142" t="n"/>
      <c r="N708" s="146">
        <f>IF(AND(AND(F708="",G708=""),B708="",C708="",D708="",J708="",K708="",L708=""),"",IF(AND(F708="",G708=""),"✗ 没填金额",IF(AND(N(F708)&lt;&gt;0,N(G708)&lt;&gt;0),"✗ 收入、支出只能填一边",IF(NOT(ISNUMBER(B708)),"✗ 日期不是真日期（要像 2026/9/25 这样填）",IF(OR(B708&lt;年初日,B708&gt;年末日),"✗ 日期不在本会计年度",IF(C708="","✗ 没选账户",IF(COUNTIF(基础资料!$W$5:$W$24,C708)=0,"✗ 账户不在基础资料里",IF(O708="","✗ 没选收支项目",IF(P708="未知","✗ 收支项目不在基础资料里",IF(AND(P708="应收",J708=""),"✗ 这笔要选客户",IF(AND(P708="应收",COUNTIF(总览汇总!$B$5:$B$304,J708)=0),"✗ 客户不在总览汇总名单里",IF(AND(P708="应付",K708=""),"✗ 这笔要选供应商",IF(AND(P708="应付",COUNTIF(基础资料!$Q$5:$Q$54,K708)=0),"✗ 供应商不在基础资料里",IF(AND(P708="费用",L708=""),"✗ 费用支出要选费用项目",IF(AND(L708&lt;&gt;"",COUNTIF(基础资料!$AI$5:$AI$54,L708)=0),"✗ 费用项目不在基础资料里",IF(AND(IFERROR(INDEX(基础资料!$AD$5:$AD$34,MATCH(O708,基础资料!$AC$5:$AC$34,0)),"")="收",N(G708)&lt;&gt;0),"✗ 这类是收款，金额填到收入列",IF(AND(IFERROR(INDEX(基础资料!$AD$5:$AD$34,MATCH(O708,基础资料!$AC$5:$AC$34,0)),"")="支",N(F708)&lt;&gt;0),"✗ 这类是付款，金额填到支出列",IF(N(H708)&lt;0,"⚠ 账户余额成负数了，核对一下","√"))))))))))))))))))</f>
      </c>
      <c r="O708" s="78">
        <f>IF(D708&lt;&gt;"",D708,IF(AND(F708="",G708=""),"",IF(J708&lt;&gt;"",IF(N(F708)&gt;0,"客户回款","客户退款"),IF(K708&lt;&gt;"",IF(N(G708)&gt;0,"供应商付款","供应商退款"),IF(L708&lt;&gt;"","费用支出","")))))</f>
      </c>
      <c r="P708" s="78">
        <f>IF(O708="","",IFERROR(INDEX(基础资料!$AE$5:$AE$34,MATCH(O708,基础资料!$AC$5:$AC$34,0)),"未知"))</f>
      </c>
      <c r="Q708" s="78">
        <f>IF(P708="应收",COUNTIF(P$7:P708,"应收"),"")</f>
      </c>
      <c r="R708" s="78">
        <f>IF(P708="应付",COUNTIF(P$7:P708,"应付"),"")</f>
      </c>
      <c r="S708" s="78">
        <f>N(F708)-N(G708)</f>
        <v>0</v>
      </c>
    </row>
    <row r="709">
      <c r="A709" s="109">
        <f>IF(AND(F709="",G709=""),"",ROW()-6)</f>
      </c>
      <c r="B709" s="140" t="n"/>
      <c r="C709" s="141" t="n"/>
      <c r="D709" s="141" t="n"/>
      <c r="E709" s="142" t="n"/>
      <c r="F709" s="143" t="n"/>
      <c r="G709" s="144" t="n"/>
      <c r="H709" s="145">
        <f>IF(OR(C709="",AND(F709="",G709="")),"",SUMIF(基础资料!$W$5:$W$24,C709,基础资料!$X$5:$X$24)+SUMIF(C$7:C709,C709,F$7:F709)-SUMIF(C$7:C709,C709,G$7:G709))</f>
      </c>
      <c r="I709" s="145">
        <f>IF(AND(F709="",G709=""),"",SUM(基础资料!$X$5:$X$24)+SUM(F$7:F709)-SUM(G$7:G709))</f>
      </c>
      <c r="J709" s="141" t="n"/>
      <c r="K709" s="141" t="n"/>
      <c r="L709" s="141" t="n"/>
      <c r="M709" s="142" t="n"/>
      <c r="N709" s="146">
        <f>IF(AND(AND(F709="",G709=""),B709="",C709="",D709="",J709="",K709="",L709=""),"",IF(AND(F709="",G709=""),"✗ 没填金额",IF(AND(N(F709)&lt;&gt;0,N(G709)&lt;&gt;0),"✗ 收入、支出只能填一边",IF(NOT(ISNUMBER(B709)),"✗ 日期不是真日期（要像 2026/9/25 这样填）",IF(OR(B709&lt;年初日,B709&gt;年末日),"✗ 日期不在本会计年度",IF(C709="","✗ 没选账户",IF(COUNTIF(基础资料!$W$5:$W$24,C709)=0,"✗ 账户不在基础资料里",IF(O709="","✗ 没选收支项目",IF(P709="未知","✗ 收支项目不在基础资料里",IF(AND(P709="应收",J709=""),"✗ 这笔要选客户",IF(AND(P709="应收",COUNTIF(总览汇总!$B$5:$B$304,J709)=0),"✗ 客户不在总览汇总名单里",IF(AND(P709="应付",K709=""),"✗ 这笔要选供应商",IF(AND(P709="应付",COUNTIF(基础资料!$Q$5:$Q$54,K709)=0),"✗ 供应商不在基础资料里",IF(AND(P709="费用",L709=""),"✗ 费用支出要选费用项目",IF(AND(L709&lt;&gt;"",COUNTIF(基础资料!$AI$5:$AI$54,L709)=0),"✗ 费用项目不在基础资料里",IF(AND(IFERROR(INDEX(基础资料!$AD$5:$AD$34,MATCH(O709,基础资料!$AC$5:$AC$34,0)),"")="收",N(G709)&lt;&gt;0),"✗ 这类是收款，金额填到收入列",IF(AND(IFERROR(INDEX(基础资料!$AD$5:$AD$34,MATCH(O709,基础资料!$AC$5:$AC$34,0)),"")="支",N(F709)&lt;&gt;0),"✗ 这类是付款，金额填到支出列",IF(N(H709)&lt;0,"⚠ 账户余额成负数了，核对一下","√"))))))))))))))))))</f>
      </c>
      <c r="O709" s="78">
        <f>IF(D709&lt;&gt;"",D709,IF(AND(F709="",G709=""),"",IF(J709&lt;&gt;"",IF(N(F709)&gt;0,"客户回款","客户退款"),IF(K709&lt;&gt;"",IF(N(G709)&gt;0,"供应商付款","供应商退款"),IF(L709&lt;&gt;"","费用支出","")))))</f>
      </c>
      <c r="P709" s="78">
        <f>IF(O709="","",IFERROR(INDEX(基础资料!$AE$5:$AE$34,MATCH(O709,基础资料!$AC$5:$AC$34,0)),"未知"))</f>
      </c>
      <c r="Q709" s="78">
        <f>IF(P709="应收",COUNTIF(P$7:P709,"应收"),"")</f>
      </c>
      <c r="R709" s="78">
        <f>IF(P709="应付",COUNTIF(P$7:P709,"应付"),"")</f>
      </c>
      <c r="S709" s="78">
        <f>N(F709)-N(G709)</f>
        <v>0</v>
      </c>
    </row>
    <row r="710">
      <c r="A710" s="109">
        <f>IF(AND(F710="",G710=""),"",ROW()-6)</f>
      </c>
      <c r="B710" s="140" t="n"/>
      <c r="C710" s="141" t="n"/>
      <c r="D710" s="141" t="n"/>
      <c r="E710" s="142" t="n"/>
      <c r="F710" s="143" t="n"/>
      <c r="G710" s="144" t="n"/>
      <c r="H710" s="145">
        <f>IF(OR(C710="",AND(F710="",G710="")),"",SUMIF(基础资料!$W$5:$W$24,C710,基础资料!$X$5:$X$24)+SUMIF(C$7:C710,C710,F$7:F710)-SUMIF(C$7:C710,C710,G$7:G710))</f>
      </c>
      <c r="I710" s="145">
        <f>IF(AND(F710="",G710=""),"",SUM(基础资料!$X$5:$X$24)+SUM(F$7:F710)-SUM(G$7:G710))</f>
      </c>
      <c r="J710" s="141" t="n"/>
      <c r="K710" s="141" t="n"/>
      <c r="L710" s="141" t="n"/>
      <c r="M710" s="142" t="n"/>
      <c r="N710" s="146">
        <f>IF(AND(AND(F710="",G710=""),B710="",C710="",D710="",J710="",K710="",L710=""),"",IF(AND(F710="",G710=""),"✗ 没填金额",IF(AND(N(F710)&lt;&gt;0,N(G710)&lt;&gt;0),"✗ 收入、支出只能填一边",IF(NOT(ISNUMBER(B710)),"✗ 日期不是真日期（要像 2026/9/25 这样填）",IF(OR(B710&lt;年初日,B710&gt;年末日),"✗ 日期不在本会计年度",IF(C710="","✗ 没选账户",IF(COUNTIF(基础资料!$W$5:$W$24,C710)=0,"✗ 账户不在基础资料里",IF(O710="","✗ 没选收支项目",IF(P710="未知","✗ 收支项目不在基础资料里",IF(AND(P710="应收",J710=""),"✗ 这笔要选客户",IF(AND(P710="应收",COUNTIF(总览汇总!$B$5:$B$304,J710)=0),"✗ 客户不在总览汇总名单里",IF(AND(P710="应付",K710=""),"✗ 这笔要选供应商",IF(AND(P710="应付",COUNTIF(基础资料!$Q$5:$Q$54,K710)=0),"✗ 供应商不在基础资料里",IF(AND(P710="费用",L710=""),"✗ 费用支出要选费用项目",IF(AND(L710&lt;&gt;"",COUNTIF(基础资料!$AI$5:$AI$54,L710)=0),"✗ 费用项目不在基础资料里",IF(AND(IFERROR(INDEX(基础资料!$AD$5:$AD$34,MATCH(O710,基础资料!$AC$5:$AC$34,0)),"")="收",N(G710)&lt;&gt;0),"✗ 这类是收款，金额填到收入列",IF(AND(IFERROR(INDEX(基础资料!$AD$5:$AD$34,MATCH(O710,基础资料!$AC$5:$AC$34,0)),"")="支",N(F710)&lt;&gt;0),"✗ 这类是付款，金额填到支出列",IF(N(H710)&lt;0,"⚠ 账户余额成负数了，核对一下","√"))))))))))))))))))</f>
      </c>
      <c r="O710" s="78">
        <f>IF(D710&lt;&gt;"",D710,IF(AND(F710="",G710=""),"",IF(J710&lt;&gt;"",IF(N(F710)&gt;0,"客户回款","客户退款"),IF(K710&lt;&gt;"",IF(N(G710)&gt;0,"供应商付款","供应商退款"),IF(L710&lt;&gt;"","费用支出","")))))</f>
      </c>
      <c r="P710" s="78">
        <f>IF(O710="","",IFERROR(INDEX(基础资料!$AE$5:$AE$34,MATCH(O710,基础资料!$AC$5:$AC$34,0)),"未知"))</f>
      </c>
      <c r="Q710" s="78">
        <f>IF(P710="应收",COUNTIF(P$7:P710,"应收"),"")</f>
      </c>
      <c r="R710" s="78">
        <f>IF(P710="应付",COUNTIF(P$7:P710,"应付"),"")</f>
      </c>
      <c r="S710" s="78">
        <f>N(F710)-N(G710)</f>
        <v>0</v>
      </c>
    </row>
    <row r="711">
      <c r="A711" s="109">
        <f>IF(AND(F711="",G711=""),"",ROW()-6)</f>
      </c>
      <c r="B711" s="140" t="n"/>
      <c r="C711" s="141" t="n"/>
      <c r="D711" s="141" t="n"/>
      <c r="E711" s="142" t="n"/>
      <c r="F711" s="143" t="n"/>
      <c r="G711" s="144" t="n"/>
      <c r="H711" s="145">
        <f>IF(OR(C711="",AND(F711="",G711="")),"",SUMIF(基础资料!$W$5:$W$24,C711,基础资料!$X$5:$X$24)+SUMIF(C$7:C711,C711,F$7:F711)-SUMIF(C$7:C711,C711,G$7:G711))</f>
      </c>
      <c r="I711" s="145">
        <f>IF(AND(F711="",G711=""),"",SUM(基础资料!$X$5:$X$24)+SUM(F$7:F711)-SUM(G$7:G711))</f>
      </c>
      <c r="J711" s="141" t="n"/>
      <c r="K711" s="141" t="n"/>
      <c r="L711" s="141" t="n"/>
      <c r="M711" s="142" t="n"/>
      <c r="N711" s="146">
        <f>IF(AND(AND(F711="",G711=""),B711="",C711="",D711="",J711="",K711="",L711=""),"",IF(AND(F711="",G711=""),"✗ 没填金额",IF(AND(N(F711)&lt;&gt;0,N(G711)&lt;&gt;0),"✗ 收入、支出只能填一边",IF(NOT(ISNUMBER(B711)),"✗ 日期不是真日期（要像 2026/9/25 这样填）",IF(OR(B711&lt;年初日,B711&gt;年末日),"✗ 日期不在本会计年度",IF(C711="","✗ 没选账户",IF(COUNTIF(基础资料!$W$5:$W$24,C711)=0,"✗ 账户不在基础资料里",IF(O711="","✗ 没选收支项目",IF(P711="未知","✗ 收支项目不在基础资料里",IF(AND(P711="应收",J711=""),"✗ 这笔要选客户",IF(AND(P711="应收",COUNTIF(总览汇总!$B$5:$B$304,J711)=0),"✗ 客户不在总览汇总名单里",IF(AND(P711="应付",K711=""),"✗ 这笔要选供应商",IF(AND(P711="应付",COUNTIF(基础资料!$Q$5:$Q$54,K711)=0),"✗ 供应商不在基础资料里",IF(AND(P711="费用",L711=""),"✗ 费用支出要选费用项目",IF(AND(L711&lt;&gt;"",COUNTIF(基础资料!$AI$5:$AI$54,L711)=0),"✗ 费用项目不在基础资料里",IF(AND(IFERROR(INDEX(基础资料!$AD$5:$AD$34,MATCH(O711,基础资料!$AC$5:$AC$34,0)),"")="收",N(G711)&lt;&gt;0),"✗ 这类是收款，金额填到收入列",IF(AND(IFERROR(INDEX(基础资料!$AD$5:$AD$34,MATCH(O711,基础资料!$AC$5:$AC$34,0)),"")="支",N(F711)&lt;&gt;0),"✗ 这类是付款，金额填到支出列",IF(N(H711)&lt;0,"⚠ 账户余额成负数了，核对一下","√"))))))))))))))))))</f>
      </c>
      <c r="O711" s="78">
        <f>IF(D711&lt;&gt;"",D711,IF(AND(F711="",G711=""),"",IF(J711&lt;&gt;"",IF(N(F711)&gt;0,"客户回款","客户退款"),IF(K711&lt;&gt;"",IF(N(G711)&gt;0,"供应商付款","供应商退款"),IF(L711&lt;&gt;"","费用支出","")))))</f>
      </c>
      <c r="P711" s="78">
        <f>IF(O711="","",IFERROR(INDEX(基础资料!$AE$5:$AE$34,MATCH(O711,基础资料!$AC$5:$AC$34,0)),"未知"))</f>
      </c>
      <c r="Q711" s="78">
        <f>IF(P711="应收",COUNTIF(P$7:P711,"应收"),"")</f>
      </c>
      <c r="R711" s="78">
        <f>IF(P711="应付",COUNTIF(P$7:P711,"应付"),"")</f>
      </c>
      <c r="S711" s="78">
        <f>N(F711)-N(G711)</f>
        <v>0</v>
      </c>
    </row>
    <row r="712">
      <c r="A712" s="109">
        <f>IF(AND(F712="",G712=""),"",ROW()-6)</f>
      </c>
      <c r="B712" s="140" t="n"/>
      <c r="C712" s="141" t="n"/>
      <c r="D712" s="141" t="n"/>
      <c r="E712" s="142" t="n"/>
      <c r="F712" s="143" t="n"/>
      <c r="G712" s="144" t="n"/>
      <c r="H712" s="145">
        <f>IF(OR(C712="",AND(F712="",G712="")),"",SUMIF(基础资料!$W$5:$W$24,C712,基础资料!$X$5:$X$24)+SUMIF(C$7:C712,C712,F$7:F712)-SUMIF(C$7:C712,C712,G$7:G712))</f>
      </c>
      <c r="I712" s="145">
        <f>IF(AND(F712="",G712=""),"",SUM(基础资料!$X$5:$X$24)+SUM(F$7:F712)-SUM(G$7:G712))</f>
      </c>
      <c r="J712" s="141" t="n"/>
      <c r="K712" s="141" t="n"/>
      <c r="L712" s="141" t="n"/>
      <c r="M712" s="142" t="n"/>
      <c r="N712" s="146">
        <f>IF(AND(AND(F712="",G712=""),B712="",C712="",D712="",J712="",K712="",L712=""),"",IF(AND(F712="",G712=""),"✗ 没填金额",IF(AND(N(F712)&lt;&gt;0,N(G712)&lt;&gt;0),"✗ 收入、支出只能填一边",IF(NOT(ISNUMBER(B712)),"✗ 日期不是真日期（要像 2026/9/25 这样填）",IF(OR(B712&lt;年初日,B712&gt;年末日),"✗ 日期不在本会计年度",IF(C712="","✗ 没选账户",IF(COUNTIF(基础资料!$W$5:$W$24,C712)=0,"✗ 账户不在基础资料里",IF(O712="","✗ 没选收支项目",IF(P712="未知","✗ 收支项目不在基础资料里",IF(AND(P712="应收",J712=""),"✗ 这笔要选客户",IF(AND(P712="应收",COUNTIF(总览汇总!$B$5:$B$304,J712)=0),"✗ 客户不在总览汇总名单里",IF(AND(P712="应付",K712=""),"✗ 这笔要选供应商",IF(AND(P712="应付",COUNTIF(基础资料!$Q$5:$Q$54,K712)=0),"✗ 供应商不在基础资料里",IF(AND(P712="费用",L712=""),"✗ 费用支出要选费用项目",IF(AND(L712&lt;&gt;"",COUNTIF(基础资料!$AI$5:$AI$54,L712)=0),"✗ 费用项目不在基础资料里",IF(AND(IFERROR(INDEX(基础资料!$AD$5:$AD$34,MATCH(O712,基础资料!$AC$5:$AC$34,0)),"")="收",N(G712)&lt;&gt;0),"✗ 这类是收款，金额填到收入列",IF(AND(IFERROR(INDEX(基础资料!$AD$5:$AD$34,MATCH(O712,基础资料!$AC$5:$AC$34,0)),"")="支",N(F712)&lt;&gt;0),"✗ 这类是付款，金额填到支出列",IF(N(H712)&lt;0,"⚠ 账户余额成负数了，核对一下","√"))))))))))))))))))</f>
      </c>
      <c r="O712" s="78">
        <f>IF(D712&lt;&gt;"",D712,IF(AND(F712="",G712=""),"",IF(J712&lt;&gt;"",IF(N(F712)&gt;0,"客户回款","客户退款"),IF(K712&lt;&gt;"",IF(N(G712)&gt;0,"供应商付款","供应商退款"),IF(L712&lt;&gt;"","费用支出","")))))</f>
      </c>
      <c r="P712" s="78">
        <f>IF(O712="","",IFERROR(INDEX(基础资料!$AE$5:$AE$34,MATCH(O712,基础资料!$AC$5:$AC$34,0)),"未知"))</f>
      </c>
      <c r="Q712" s="78">
        <f>IF(P712="应收",COUNTIF(P$7:P712,"应收"),"")</f>
      </c>
      <c r="R712" s="78">
        <f>IF(P712="应付",COUNTIF(P$7:P712,"应付"),"")</f>
      </c>
      <c r="S712" s="78">
        <f>N(F712)-N(G712)</f>
        <v>0</v>
      </c>
    </row>
    <row r="713">
      <c r="A713" s="109">
        <f>IF(AND(F713="",G713=""),"",ROW()-6)</f>
      </c>
      <c r="B713" s="140" t="n"/>
      <c r="C713" s="141" t="n"/>
      <c r="D713" s="141" t="n"/>
      <c r="E713" s="142" t="n"/>
      <c r="F713" s="143" t="n"/>
      <c r="G713" s="144" t="n"/>
      <c r="H713" s="145">
        <f>IF(OR(C713="",AND(F713="",G713="")),"",SUMIF(基础资料!$W$5:$W$24,C713,基础资料!$X$5:$X$24)+SUMIF(C$7:C713,C713,F$7:F713)-SUMIF(C$7:C713,C713,G$7:G713))</f>
      </c>
      <c r="I713" s="145">
        <f>IF(AND(F713="",G713=""),"",SUM(基础资料!$X$5:$X$24)+SUM(F$7:F713)-SUM(G$7:G713))</f>
      </c>
      <c r="J713" s="141" t="n"/>
      <c r="K713" s="141" t="n"/>
      <c r="L713" s="141" t="n"/>
      <c r="M713" s="142" t="n"/>
      <c r="N713" s="146">
        <f>IF(AND(AND(F713="",G713=""),B713="",C713="",D713="",J713="",K713="",L713=""),"",IF(AND(F713="",G713=""),"✗ 没填金额",IF(AND(N(F713)&lt;&gt;0,N(G713)&lt;&gt;0),"✗ 收入、支出只能填一边",IF(NOT(ISNUMBER(B713)),"✗ 日期不是真日期（要像 2026/9/25 这样填）",IF(OR(B713&lt;年初日,B713&gt;年末日),"✗ 日期不在本会计年度",IF(C713="","✗ 没选账户",IF(COUNTIF(基础资料!$W$5:$W$24,C713)=0,"✗ 账户不在基础资料里",IF(O713="","✗ 没选收支项目",IF(P713="未知","✗ 收支项目不在基础资料里",IF(AND(P713="应收",J713=""),"✗ 这笔要选客户",IF(AND(P713="应收",COUNTIF(总览汇总!$B$5:$B$304,J713)=0),"✗ 客户不在总览汇总名单里",IF(AND(P713="应付",K713=""),"✗ 这笔要选供应商",IF(AND(P713="应付",COUNTIF(基础资料!$Q$5:$Q$54,K713)=0),"✗ 供应商不在基础资料里",IF(AND(P713="费用",L713=""),"✗ 费用支出要选费用项目",IF(AND(L713&lt;&gt;"",COUNTIF(基础资料!$AI$5:$AI$54,L713)=0),"✗ 费用项目不在基础资料里",IF(AND(IFERROR(INDEX(基础资料!$AD$5:$AD$34,MATCH(O713,基础资料!$AC$5:$AC$34,0)),"")="收",N(G713)&lt;&gt;0),"✗ 这类是收款，金额填到收入列",IF(AND(IFERROR(INDEX(基础资料!$AD$5:$AD$34,MATCH(O713,基础资料!$AC$5:$AC$34,0)),"")="支",N(F713)&lt;&gt;0),"✗ 这类是付款，金额填到支出列",IF(N(H713)&lt;0,"⚠ 账户余额成负数了，核对一下","√"))))))))))))))))))</f>
      </c>
      <c r="O713" s="78">
        <f>IF(D713&lt;&gt;"",D713,IF(AND(F713="",G713=""),"",IF(J713&lt;&gt;"",IF(N(F713)&gt;0,"客户回款","客户退款"),IF(K713&lt;&gt;"",IF(N(G713)&gt;0,"供应商付款","供应商退款"),IF(L713&lt;&gt;"","费用支出","")))))</f>
      </c>
      <c r="P713" s="78">
        <f>IF(O713="","",IFERROR(INDEX(基础资料!$AE$5:$AE$34,MATCH(O713,基础资料!$AC$5:$AC$34,0)),"未知"))</f>
      </c>
      <c r="Q713" s="78">
        <f>IF(P713="应收",COUNTIF(P$7:P713,"应收"),"")</f>
      </c>
      <c r="R713" s="78">
        <f>IF(P713="应付",COUNTIF(P$7:P713,"应付"),"")</f>
      </c>
      <c r="S713" s="78">
        <f>N(F713)-N(G713)</f>
        <v>0</v>
      </c>
    </row>
    <row r="714">
      <c r="A714" s="109">
        <f>IF(AND(F714="",G714=""),"",ROW()-6)</f>
      </c>
      <c r="B714" s="140" t="n"/>
      <c r="C714" s="141" t="n"/>
      <c r="D714" s="141" t="n"/>
      <c r="E714" s="142" t="n"/>
      <c r="F714" s="143" t="n"/>
      <c r="G714" s="144" t="n"/>
      <c r="H714" s="145">
        <f>IF(OR(C714="",AND(F714="",G714="")),"",SUMIF(基础资料!$W$5:$W$24,C714,基础资料!$X$5:$X$24)+SUMIF(C$7:C714,C714,F$7:F714)-SUMIF(C$7:C714,C714,G$7:G714))</f>
      </c>
      <c r="I714" s="145">
        <f>IF(AND(F714="",G714=""),"",SUM(基础资料!$X$5:$X$24)+SUM(F$7:F714)-SUM(G$7:G714))</f>
      </c>
      <c r="J714" s="141" t="n"/>
      <c r="K714" s="141" t="n"/>
      <c r="L714" s="141" t="n"/>
      <c r="M714" s="142" t="n"/>
      <c r="N714" s="146">
        <f>IF(AND(AND(F714="",G714=""),B714="",C714="",D714="",J714="",K714="",L714=""),"",IF(AND(F714="",G714=""),"✗ 没填金额",IF(AND(N(F714)&lt;&gt;0,N(G714)&lt;&gt;0),"✗ 收入、支出只能填一边",IF(NOT(ISNUMBER(B714)),"✗ 日期不是真日期（要像 2026/9/25 这样填）",IF(OR(B714&lt;年初日,B714&gt;年末日),"✗ 日期不在本会计年度",IF(C714="","✗ 没选账户",IF(COUNTIF(基础资料!$W$5:$W$24,C714)=0,"✗ 账户不在基础资料里",IF(O714="","✗ 没选收支项目",IF(P714="未知","✗ 收支项目不在基础资料里",IF(AND(P714="应收",J714=""),"✗ 这笔要选客户",IF(AND(P714="应收",COUNTIF(总览汇总!$B$5:$B$304,J714)=0),"✗ 客户不在总览汇总名单里",IF(AND(P714="应付",K714=""),"✗ 这笔要选供应商",IF(AND(P714="应付",COUNTIF(基础资料!$Q$5:$Q$54,K714)=0),"✗ 供应商不在基础资料里",IF(AND(P714="费用",L714=""),"✗ 费用支出要选费用项目",IF(AND(L714&lt;&gt;"",COUNTIF(基础资料!$AI$5:$AI$54,L714)=0),"✗ 费用项目不在基础资料里",IF(AND(IFERROR(INDEX(基础资料!$AD$5:$AD$34,MATCH(O714,基础资料!$AC$5:$AC$34,0)),"")="收",N(G714)&lt;&gt;0),"✗ 这类是收款，金额填到收入列",IF(AND(IFERROR(INDEX(基础资料!$AD$5:$AD$34,MATCH(O714,基础资料!$AC$5:$AC$34,0)),"")="支",N(F714)&lt;&gt;0),"✗ 这类是付款，金额填到支出列",IF(N(H714)&lt;0,"⚠ 账户余额成负数了，核对一下","√"))))))))))))))))))</f>
      </c>
      <c r="O714" s="78">
        <f>IF(D714&lt;&gt;"",D714,IF(AND(F714="",G714=""),"",IF(J714&lt;&gt;"",IF(N(F714)&gt;0,"客户回款","客户退款"),IF(K714&lt;&gt;"",IF(N(G714)&gt;0,"供应商付款","供应商退款"),IF(L714&lt;&gt;"","费用支出","")))))</f>
      </c>
      <c r="P714" s="78">
        <f>IF(O714="","",IFERROR(INDEX(基础资料!$AE$5:$AE$34,MATCH(O714,基础资料!$AC$5:$AC$34,0)),"未知"))</f>
      </c>
      <c r="Q714" s="78">
        <f>IF(P714="应收",COUNTIF(P$7:P714,"应收"),"")</f>
      </c>
      <c r="R714" s="78">
        <f>IF(P714="应付",COUNTIF(P$7:P714,"应付"),"")</f>
      </c>
      <c r="S714" s="78">
        <f>N(F714)-N(G714)</f>
        <v>0</v>
      </c>
    </row>
    <row r="715">
      <c r="A715" s="109">
        <f>IF(AND(F715="",G715=""),"",ROW()-6)</f>
      </c>
      <c r="B715" s="140" t="n"/>
      <c r="C715" s="141" t="n"/>
      <c r="D715" s="141" t="n"/>
      <c r="E715" s="142" t="n"/>
      <c r="F715" s="143" t="n"/>
      <c r="G715" s="144" t="n"/>
      <c r="H715" s="145">
        <f>IF(OR(C715="",AND(F715="",G715="")),"",SUMIF(基础资料!$W$5:$W$24,C715,基础资料!$X$5:$X$24)+SUMIF(C$7:C715,C715,F$7:F715)-SUMIF(C$7:C715,C715,G$7:G715))</f>
      </c>
      <c r="I715" s="145">
        <f>IF(AND(F715="",G715=""),"",SUM(基础资料!$X$5:$X$24)+SUM(F$7:F715)-SUM(G$7:G715))</f>
      </c>
      <c r="J715" s="141" t="n"/>
      <c r="K715" s="141" t="n"/>
      <c r="L715" s="141" t="n"/>
      <c r="M715" s="142" t="n"/>
      <c r="N715" s="146">
        <f>IF(AND(AND(F715="",G715=""),B715="",C715="",D715="",J715="",K715="",L715=""),"",IF(AND(F715="",G715=""),"✗ 没填金额",IF(AND(N(F715)&lt;&gt;0,N(G715)&lt;&gt;0),"✗ 收入、支出只能填一边",IF(NOT(ISNUMBER(B715)),"✗ 日期不是真日期（要像 2026/9/25 这样填）",IF(OR(B715&lt;年初日,B715&gt;年末日),"✗ 日期不在本会计年度",IF(C715="","✗ 没选账户",IF(COUNTIF(基础资料!$W$5:$W$24,C715)=0,"✗ 账户不在基础资料里",IF(O715="","✗ 没选收支项目",IF(P715="未知","✗ 收支项目不在基础资料里",IF(AND(P715="应收",J715=""),"✗ 这笔要选客户",IF(AND(P715="应收",COUNTIF(总览汇总!$B$5:$B$304,J715)=0),"✗ 客户不在总览汇总名单里",IF(AND(P715="应付",K715=""),"✗ 这笔要选供应商",IF(AND(P715="应付",COUNTIF(基础资料!$Q$5:$Q$54,K715)=0),"✗ 供应商不在基础资料里",IF(AND(P715="费用",L715=""),"✗ 费用支出要选费用项目",IF(AND(L715&lt;&gt;"",COUNTIF(基础资料!$AI$5:$AI$54,L715)=0),"✗ 费用项目不在基础资料里",IF(AND(IFERROR(INDEX(基础资料!$AD$5:$AD$34,MATCH(O715,基础资料!$AC$5:$AC$34,0)),"")="收",N(G715)&lt;&gt;0),"✗ 这类是收款，金额填到收入列",IF(AND(IFERROR(INDEX(基础资料!$AD$5:$AD$34,MATCH(O715,基础资料!$AC$5:$AC$34,0)),"")="支",N(F715)&lt;&gt;0),"✗ 这类是付款，金额填到支出列",IF(N(H715)&lt;0,"⚠ 账户余额成负数了，核对一下","√"))))))))))))))))))</f>
      </c>
      <c r="O715" s="78">
        <f>IF(D715&lt;&gt;"",D715,IF(AND(F715="",G715=""),"",IF(J715&lt;&gt;"",IF(N(F715)&gt;0,"客户回款","客户退款"),IF(K715&lt;&gt;"",IF(N(G715)&gt;0,"供应商付款","供应商退款"),IF(L715&lt;&gt;"","费用支出","")))))</f>
      </c>
      <c r="P715" s="78">
        <f>IF(O715="","",IFERROR(INDEX(基础资料!$AE$5:$AE$34,MATCH(O715,基础资料!$AC$5:$AC$34,0)),"未知"))</f>
      </c>
      <c r="Q715" s="78">
        <f>IF(P715="应收",COUNTIF(P$7:P715,"应收"),"")</f>
      </c>
      <c r="R715" s="78">
        <f>IF(P715="应付",COUNTIF(P$7:P715,"应付"),"")</f>
      </c>
      <c r="S715" s="78">
        <f>N(F715)-N(G715)</f>
        <v>0</v>
      </c>
    </row>
    <row r="716">
      <c r="A716" s="109">
        <f>IF(AND(F716="",G716=""),"",ROW()-6)</f>
      </c>
      <c r="B716" s="140" t="n"/>
      <c r="C716" s="141" t="n"/>
      <c r="D716" s="141" t="n"/>
      <c r="E716" s="142" t="n"/>
      <c r="F716" s="143" t="n"/>
      <c r="G716" s="144" t="n"/>
      <c r="H716" s="145">
        <f>IF(OR(C716="",AND(F716="",G716="")),"",SUMIF(基础资料!$W$5:$W$24,C716,基础资料!$X$5:$X$24)+SUMIF(C$7:C716,C716,F$7:F716)-SUMIF(C$7:C716,C716,G$7:G716))</f>
      </c>
      <c r="I716" s="145">
        <f>IF(AND(F716="",G716=""),"",SUM(基础资料!$X$5:$X$24)+SUM(F$7:F716)-SUM(G$7:G716))</f>
      </c>
      <c r="J716" s="141" t="n"/>
      <c r="K716" s="141" t="n"/>
      <c r="L716" s="141" t="n"/>
      <c r="M716" s="142" t="n"/>
      <c r="N716" s="146">
        <f>IF(AND(AND(F716="",G716=""),B716="",C716="",D716="",J716="",K716="",L716=""),"",IF(AND(F716="",G716=""),"✗ 没填金额",IF(AND(N(F716)&lt;&gt;0,N(G716)&lt;&gt;0),"✗ 收入、支出只能填一边",IF(NOT(ISNUMBER(B716)),"✗ 日期不是真日期（要像 2026/9/25 这样填）",IF(OR(B716&lt;年初日,B716&gt;年末日),"✗ 日期不在本会计年度",IF(C716="","✗ 没选账户",IF(COUNTIF(基础资料!$W$5:$W$24,C716)=0,"✗ 账户不在基础资料里",IF(O716="","✗ 没选收支项目",IF(P716="未知","✗ 收支项目不在基础资料里",IF(AND(P716="应收",J716=""),"✗ 这笔要选客户",IF(AND(P716="应收",COUNTIF(总览汇总!$B$5:$B$304,J716)=0),"✗ 客户不在总览汇总名单里",IF(AND(P716="应付",K716=""),"✗ 这笔要选供应商",IF(AND(P716="应付",COUNTIF(基础资料!$Q$5:$Q$54,K716)=0),"✗ 供应商不在基础资料里",IF(AND(P716="费用",L716=""),"✗ 费用支出要选费用项目",IF(AND(L716&lt;&gt;"",COUNTIF(基础资料!$AI$5:$AI$54,L716)=0),"✗ 费用项目不在基础资料里",IF(AND(IFERROR(INDEX(基础资料!$AD$5:$AD$34,MATCH(O716,基础资料!$AC$5:$AC$34,0)),"")="收",N(G716)&lt;&gt;0),"✗ 这类是收款，金额填到收入列",IF(AND(IFERROR(INDEX(基础资料!$AD$5:$AD$34,MATCH(O716,基础资料!$AC$5:$AC$34,0)),"")="支",N(F716)&lt;&gt;0),"✗ 这类是付款，金额填到支出列",IF(N(H716)&lt;0,"⚠ 账户余额成负数了，核对一下","√"))))))))))))))))))</f>
      </c>
      <c r="O716" s="78">
        <f>IF(D716&lt;&gt;"",D716,IF(AND(F716="",G716=""),"",IF(J716&lt;&gt;"",IF(N(F716)&gt;0,"客户回款","客户退款"),IF(K716&lt;&gt;"",IF(N(G716)&gt;0,"供应商付款","供应商退款"),IF(L716&lt;&gt;"","费用支出","")))))</f>
      </c>
      <c r="P716" s="78">
        <f>IF(O716="","",IFERROR(INDEX(基础资料!$AE$5:$AE$34,MATCH(O716,基础资料!$AC$5:$AC$34,0)),"未知"))</f>
      </c>
      <c r="Q716" s="78">
        <f>IF(P716="应收",COUNTIF(P$7:P716,"应收"),"")</f>
      </c>
      <c r="R716" s="78">
        <f>IF(P716="应付",COUNTIF(P$7:P716,"应付"),"")</f>
      </c>
      <c r="S716" s="78">
        <f>N(F716)-N(G716)</f>
        <v>0</v>
      </c>
    </row>
    <row r="717">
      <c r="A717" s="109">
        <f>IF(AND(F717="",G717=""),"",ROW()-6)</f>
      </c>
      <c r="B717" s="140" t="n"/>
      <c r="C717" s="141" t="n"/>
      <c r="D717" s="141" t="n"/>
      <c r="E717" s="142" t="n"/>
      <c r="F717" s="143" t="n"/>
      <c r="G717" s="144" t="n"/>
      <c r="H717" s="145">
        <f>IF(OR(C717="",AND(F717="",G717="")),"",SUMIF(基础资料!$W$5:$W$24,C717,基础资料!$X$5:$X$24)+SUMIF(C$7:C717,C717,F$7:F717)-SUMIF(C$7:C717,C717,G$7:G717))</f>
      </c>
      <c r="I717" s="145">
        <f>IF(AND(F717="",G717=""),"",SUM(基础资料!$X$5:$X$24)+SUM(F$7:F717)-SUM(G$7:G717))</f>
      </c>
      <c r="J717" s="141" t="n"/>
      <c r="K717" s="141" t="n"/>
      <c r="L717" s="141" t="n"/>
      <c r="M717" s="142" t="n"/>
      <c r="N717" s="146">
        <f>IF(AND(AND(F717="",G717=""),B717="",C717="",D717="",J717="",K717="",L717=""),"",IF(AND(F717="",G717=""),"✗ 没填金额",IF(AND(N(F717)&lt;&gt;0,N(G717)&lt;&gt;0),"✗ 收入、支出只能填一边",IF(NOT(ISNUMBER(B717)),"✗ 日期不是真日期（要像 2026/9/25 这样填）",IF(OR(B717&lt;年初日,B717&gt;年末日),"✗ 日期不在本会计年度",IF(C717="","✗ 没选账户",IF(COUNTIF(基础资料!$W$5:$W$24,C717)=0,"✗ 账户不在基础资料里",IF(O717="","✗ 没选收支项目",IF(P717="未知","✗ 收支项目不在基础资料里",IF(AND(P717="应收",J717=""),"✗ 这笔要选客户",IF(AND(P717="应收",COUNTIF(总览汇总!$B$5:$B$304,J717)=0),"✗ 客户不在总览汇总名单里",IF(AND(P717="应付",K717=""),"✗ 这笔要选供应商",IF(AND(P717="应付",COUNTIF(基础资料!$Q$5:$Q$54,K717)=0),"✗ 供应商不在基础资料里",IF(AND(P717="费用",L717=""),"✗ 费用支出要选费用项目",IF(AND(L717&lt;&gt;"",COUNTIF(基础资料!$AI$5:$AI$54,L717)=0),"✗ 费用项目不在基础资料里",IF(AND(IFERROR(INDEX(基础资料!$AD$5:$AD$34,MATCH(O717,基础资料!$AC$5:$AC$34,0)),"")="收",N(G717)&lt;&gt;0),"✗ 这类是收款，金额填到收入列",IF(AND(IFERROR(INDEX(基础资料!$AD$5:$AD$34,MATCH(O717,基础资料!$AC$5:$AC$34,0)),"")="支",N(F717)&lt;&gt;0),"✗ 这类是付款，金额填到支出列",IF(N(H717)&lt;0,"⚠ 账户余额成负数了，核对一下","√"))))))))))))))))))</f>
      </c>
      <c r="O717" s="78">
        <f>IF(D717&lt;&gt;"",D717,IF(AND(F717="",G717=""),"",IF(J717&lt;&gt;"",IF(N(F717)&gt;0,"客户回款","客户退款"),IF(K717&lt;&gt;"",IF(N(G717)&gt;0,"供应商付款","供应商退款"),IF(L717&lt;&gt;"","费用支出","")))))</f>
      </c>
      <c r="P717" s="78">
        <f>IF(O717="","",IFERROR(INDEX(基础资料!$AE$5:$AE$34,MATCH(O717,基础资料!$AC$5:$AC$34,0)),"未知"))</f>
      </c>
      <c r="Q717" s="78">
        <f>IF(P717="应收",COUNTIF(P$7:P717,"应收"),"")</f>
      </c>
      <c r="R717" s="78">
        <f>IF(P717="应付",COUNTIF(P$7:P717,"应付"),"")</f>
      </c>
      <c r="S717" s="78">
        <f>N(F717)-N(G717)</f>
        <v>0</v>
      </c>
    </row>
    <row r="718">
      <c r="A718" s="109">
        <f>IF(AND(F718="",G718=""),"",ROW()-6)</f>
      </c>
      <c r="B718" s="140" t="n"/>
      <c r="C718" s="141" t="n"/>
      <c r="D718" s="141" t="n"/>
      <c r="E718" s="142" t="n"/>
      <c r="F718" s="143" t="n"/>
      <c r="G718" s="144" t="n"/>
      <c r="H718" s="145">
        <f>IF(OR(C718="",AND(F718="",G718="")),"",SUMIF(基础资料!$W$5:$W$24,C718,基础资料!$X$5:$X$24)+SUMIF(C$7:C718,C718,F$7:F718)-SUMIF(C$7:C718,C718,G$7:G718))</f>
      </c>
      <c r="I718" s="145">
        <f>IF(AND(F718="",G718=""),"",SUM(基础资料!$X$5:$X$24)+SUM(F$7:F718)-SUM(G$7:G718))</f>
      </c>
      <c r="J718" s="141" t="n"/>
      <c r="K718" s="141" t="n"/>
      <c r="L718" s="141" t="n"/>
      <c r="M718" s="142" t="n"/>
      <c r="N718" s="146">
        <f>IF(AND(AND(F718="",G718=""),B718="",C718="",D718="",J718="",K718="",L718=""),"",IF(AND(F718="",G718=""),"✗ 没填金额",IF(AND(N(F718)&lt;&gt;0,N(G718)&lt;&gt;0),"✗ 收入、支出只能填一边",IF(NOT(ISNUMBER(B718)),"✗ 日期不是真日期（要像 2026/9/25 这样填）",IF(OR(B718&lt;年初日,B718&gt;年末日),"✗ 日期不在本会计年度",IF(C718="","✗ 没选账户",IF(COUNTIF(基础资料!$W$5:$W$24,C718)=0,"✗ 账户不在基础资料里",IF(O718="","✗ 没选收支项目",IF(P718="未知","✗ 收支项目不在基础资料里",IF(AND(P718="应收",J718=""),"✗ 这笔要选客户",IF(AND(P718="应收",COUNTIF(总览汇总!$B$5:$B$304,J718)=0),"✗ 客户不在总览汇总名单里",IF(AND(P718="应付",K718=""),"✗ 这笔要选供应商",IF(AND(P718="应付",COUNTIF(基础资料!$Q$5:$Q$54,K718)=0),"✗ 供应商不在基础资料里",IF(AND(P718="费用",L718=""),"✗ 费用支出要选费用项目",IF(AND(L718&lt;&gt;"",COUNTIF(基础资料!$AI$5:$AI$54,L718)=0),"✗ 费用项目不在基础资料里",IF(AND(IFERROR(INDEX(基础资料!$AD$5:$AD$34,MATCH(O718,基础资料!$AC$5:$AC$34,0)),"")="收",N(G718)&lt;&gt;0),"✗ 这类是收款，金额填到收入列",IF(AND(IFERROR(INDEX(基础资料!$AD$5:$AD$34,MATCH(O718,基础资料!$AC$5:$AC$34,0)),"")="支",N(F718)&lt;&gt;0),"✗ 这类是付款，金额填到支出列",IF(N(H718)&lt;0,"⚠ 账户余额成负数了，核对一下","√"))))))))))))))))))</f>
      </c>
      <c r="O718" s="78">
        <f>IF(D718&lt;&gt;"",D718,IF(AND(F718="",G718=""),"",IF(J718&lt;&gt;"",IF(N(F718)&gt;0,"客户回款","客户退款"),IF(K718&lt;&gt;"",IF(N(G718)&gt;0,"供应商付款","供应商退款"),IF(L718&lt;&gt;"","费用支出","")))))</f>
      </c>
      <c r="P718" s="78">
        <f>IF(O718="","",IFERROR(INDEX(基础资料!$AE$5:$AE$34,MATCH(O718,基础资料!$AC$5:$AC$34,0)),"未知"))</f>
      </c>
      <c r="Q718" s="78">
        <f>IF(P718="应收",COUNTIF(P$7:P718,"应收"),"")</f>
      </c>
      <c r="R718" s="78">
        <f>IF(P718="应付",COUNTIF(P$7:P718,"应付"),"")</f>
      </c>
      <c r="S718" s="78">
        <f>N(F718)-N(G718)</f>
        <v>0</v>
      </c>
    </row>
    <row r="719">
      <c r="A719" s="109">
        <f>IF(AND(F719="",G719=""),"",ROW()-6)</f>
      </c>
      <c r="B719" s="140" t="n"/>
      <c r="C719" s="141" t="n"/>
      <c r="D719" s="141" t="n"/>
      <c r="E719" s="142" t="n"/>
      <c r="F719" s="143" t="n"/>
      <c r="G719" s="144" t="n"/>
      <c r="H719" s="145">
        <f>IF(OR(C719="",AND(F719="",G719="")),"",SUMIF(基础资料!$W$5:$W$24,C719,基础资料!$X$5:$X$24)+SUMIF(C$7:C719,C719,F$7:F719)-SUMIF(C$7:C719,C719,G$7:G719))</f>
      </c>
      <c r="I719" s="145">
        <f>IF(AND(F719="",G719=""),"",SUM(基础资料!$X$5:$X$24)+SUM(F$7:F719)-SUM(G$7:G719))</f>
      </c>
      <c r="J719" s="141" t="n"/>
      <c r="K719" s="141" t="n"/>
      <c r="L719" s="141" t="n"/>
      <c r="M719" s="142" t="n"/>
      <c r="N719" s="146">
        <f>IF(AND(AND(F719="",G719=""),B719="",C719="",D719="",J719="",K719="",L719=""),"",IF(AND(F719="",G719=""),"✗ 没填金额",IF(AND(N(F719)&lt;&gt;0,N(G719)&lt;&gt;0),"✗ 收入、支出只能填一边",IF(NOT(ISNUMBER(B719)),"✗ 日期不是真日期（要像 2026/9/25 这样填）",IF(OR(B719&lt;年初日,B719&gt;年末日),"✗ 日期不在本会计年度",IF(C719="","✗ 没选账户",IF(COUNTIF(基础资料!$W$5:$W$24,C719)=0,"✗ 账户不在基础资料里",IF(O719="","✗ 没选收支项目",IF(P719="未知","✗ 收支项目不在基础资料里",IF(AND(P719="应收",J719=""),"✗ 这笔要选客户",IF(AND(P719="应收",COUNTIF(总览汇总!$B$5:$B$304,J719)=0),"✗ 客户不在总览汇总名单里",IF(AND(P719="应付",K719=""),"✗ 这笔要选供应商",IF(AND(P719="应付",COUNTIF(基础资料!$Q$5:$Q$54,K719)=0),"✗ 供应商不在基础资料里",IF(AND(P719="费用",L719=""),"✗ 费用支出要选费用项目",IF(AND(L719&lt;&gt;"",COUNTIF(基础资料!$AI$5:$AI$54,L719)=0),"✗ 费用项目不在基础资料里",IF(AND(IFERROR(INDEX(基础资料!$AD$5:$AD$34,MATCH(O719,基础资料!$AC$5:$AC$34,0)),"")="收",N(G719)&lt;&gt;0),"✗ 这类是收款，金额填到收入列",IF(AND(IFERROR(INDEX(基础资料!$AD$5:$AD$34,MATCH(O719,基础资料!$AC$5:$AC$34,0)),"")="支",N(F719)&lt;&gt;0),"✗ 这类是付款，金额填到支出列",IF(N(H719)&lt;0,"⚠ 账户余额成负数了，核对一下","√"))))))))))))))))))</f>
      </c>
      <c r="O719" s="78">
        <f>IF(D719&lt;&gt;"",D719,IF(AND(F719="",G719=""),"",IF(J719&lt;&gt;"",IF(N(F719)&gt;0,"客户回款","客户退款"),IF(K719&lt;&gt;"",IF(N(G719)&gt;0,"供应商付款","供应商退款"),IF(L719&lt;&gt;"","费用支出","")))))</f>
      </c>
      <c r="P719" s="78">
        <f>IF(O719="","",IFERROR(INDEX(基础资料!$AE$5:$AE$34,MATCH(O719,基础资料!$AC$5:$AC$34,0)),"未知"))</f>
      </c>
      <c r="Q719" s="78">
        <f>IF(P719="应收",COUNTIF(P$7:P719,"应收"),"")</f>
      </c>
      <c r="R719" s="78">
        <f>IF(P719="应付",COUNTIF(P$7:P719,"应付"),"")</f>
      </c>
      <c r="S719" s="78">
        <f>N(F719)-N(G719)</f>
        <v>0</v>
      </c>
    </row>
    <row r="720">
      <c r="A720" s="109">
        <f>IF(AND(F720="",G720=""),"",ROW()-6)</f>
      </c>
      <c r="B720" s="140" t="n"/>
      <c r="C720" s="141" t="n"/>
      <c r="D720" s="141" t="n"/>
      <c r="E720" s="142" t="n"/>
      <c r="F720" s="143" t="n"/>
      <c r="G720" s="144" t="n"/>
      <c r="H720" s="145">
        <f>IF(OR(C720="",AND(F720="",G720="")),"",SUMIF(基础资料!$W$5:$W$24,C720,基础资料!$X$5:$X$24)+SUMIF(C$7:C720,C720,F$7:F720)-SUMIF(C$7:C720,C720,G$7:G720))</f>
      </c>
      <c r="I720" s="145">
        <f>IF(AND(F720="",G720=""),"",SUM(基础资料!$X$5:$X$24)+SUM(F$7:F720)-SUM(G$7:G720))</f>
      </c>
      <c r="J720" s="141" t="n"/>
      <c r="K720" s="141" t="n"/>
      <c r="L720" s="141" t="n"/>
      <c r="M720" s="142" t="n"/>
      <c r="N720" s="146">
        <f>IF(AND(AND(F720="",G720=""),B720="",C720="",D720="",J720="",K720="",L720=""),"",IF(AND(F720="",G720=""),"✗ 没填金额",IF(AND(N(F720)&lt;&gt;0,N(G720)&lt;&gt;0),"✗ 收入、支出只能填一边",IF(NOT(ISNUMBER(B720)),"✗ 日期不是真日期（要像 2026/9/25 这样填）",IF(OR(B720&lt;年初日,B720&gt;年末日),"✗ 日期不在本会计年度",IF(C720="","✗ 没选账户",IF(COUNTIF(基础资料!$W$5:$W$24,C720)=0,"✗ 账户不在基础资料里",IF(O720="","✗ 没选收支项目",IF(P720="未知","✗ 收支项目不在基础资料里",IF(AND(P720="应收",J720=""),"✗ 这笔要选客户",IF(AND(P720="应收",COUNTIF(总览汇总!$B$5:$B$304,J720)=0),"✗ 客户不在总览汇总名单里",IF(AND(P720="应付",K720=""),"✗ 这笔要选供应商",IF(AND(P720="应付",COUNTIF(基础资料!$Q$5:$Q$54,K720)=0),"✗ 供应商不在基础资料里",IF(AND(P720="费用",L720=""),"✗ 费用支出要选费用项目",IF(AND(L720&lt;&gt;"",COUNTIF(基础资料!$AI$5:$AI$54,L720)=0),"✗ 费用项目不在基础资料里",IF(AND(IFERROR(INDEX(基础资料!$AD$5:$AD$34,MATCH(O720,基础资料!$AC$5:$AC$34,0)),"")="收",N(G720)&lt;&gt;0),"✗ 这类是收款，金额填到收入列",IF(AND(IFERROR(INDEX(基础资料!$AD$5:$AD$34,MATCH(O720,基础资料!$AC$5:$AC$34,0)),"")="支",N(F720)&lt;&gt;0),"✗ 这类是付款，金额填到支出列",IF(N(H720)&lt;0,"⚠ 账户余额成负数了，核对一下","√"))))))))))))))))))</f>
      </c>
      <c r="O720" s="78">
        <f>IF(D720&lt;&gt;"",D720,IF(AND(F720="",G720=""),"",IF(J720&lt;&gt;"",IF(N(F720)&gt;0,"客户回款","客户退款"),IF(K720&lt;&gt;"",IF(N(G720)&gt;0,"供应商付款","供应商退款"),IF(L720&lt;&gt;"","费用支出","")))))</f>
      </c>
      <c r="P720" s="78">
        <f>IF(O720="","",IFERROR(INDEX(基础资料!$AE$5:$AE$34,MATCH(O720,基础资料!$AC$5:$AC$34,0)),"未知"))</f>
      </c>
      <c r="Q720" s="78">
        <f>IF(P720="应收",COUNTIF(P$7:P720,"应收"),"")</f>
      </c>
      <c r="R720" s="78">
        <f>IF(P720="应付",COUNTIF(P$7:P720,"应付"),"")</f>
      </c>
      <c r="S720" s="78">
        <f>N(F720)-N(G720)</f>
        <v>0</v>
      </c>
    </row>
    <row r="721">
      <c r="A721" s="109">
        <f>IF(AND(F721="",G721=""),"",ROW()-6)</f>
      </c>
      <c r="B721" s="140" t="n"/>
      <c r="C721" s="141" t="n"/>
      <c r="D721" s="141" t="n"/>
      <c r="E721" s="142" t="n"/>
      <c r="F721" s="143" t="n"/>
      <c r="G721" s="144" t="n"/>
      <c r="H721" s="145">
        <f>IF(OR(C721="",AND(F721="",G721="")),"",SUMIF(基础资料!$W$5:$W$24,C721,基础资料!$X$5:$X$24)+SUMIF(C$7:C721,C721,F$7:F721)-SUMIF(C$7:C721,C721,G$7:G721))</f>
      </c>
      <c r="I721" s="145">
        <f>IF(AND(F721="",G721=""),"",SUM(基础资料!$X$5:$X$24)+SUM(F$7:F721)-SUM(G$7:G721))</f>
      </c>
      <c r="J721" s="141" t="n"/>
      <c r="K721" s="141" t="n"/>
      <c r="L721" s="141" t="n"/>
      <c r="M721" s="142" t="n"/>
      <c r="N721" s="146">
        <f>IF(AND(AND(F721="",G721=""),B721="",C721="",D721="",J721="",K721="",L721=""),"",IF(AND(F721="",G721=""),"✗ 没填金额",IF(AND(N(F721)&lt;&gt;0,N(G721)&lt;&gt;0),"✗ 收入、支出只能填一边",IF(NOT(ISNUMBER(B721)),"✗ 日期不是真日期（要像 2026/9/25 这样填）",IF(OR(B721&lt;年初日,B721&gt;年末日),"✗ 日期不在本会计年度",IF(C721="","✗ 没选账户",IF(COUNTIF(基础资料!$W$5:$W$24,C721)=0,"✗ 账户不在基础资料里",IF(O721="","✗ 没选收支项目",IF(P721="未知","✗ 收支项目不在基础资料里",IF(AND(P721="应收",J721=""),"✗ 这笔要选客户",IF(AND(P721="应收",COUNTIF(总览汇总!$B$5:$B$304,J721)=0),"✗ 客户不在总览汇总名单里",IF(AND(P721="应付",K721=""),"✗ 这笔要选供应商",IF(AND(P721="应付",COUNTIF(基础资料!$Q$5:$Q$54,K721)=0),"✗ 供应商不在基础资料里",IF(AND(P721="费用",L721=""),"✗ 费用支出要选费用项目",IF(AND(L721&lt;&gt;"",COUNTIF(基础资料!$AI$5:$AI$54,L721)=0),"✗ 费用项目不在基础资料里",IF(AND(IFERROR(INDEX(基础资料!$AD$5:$AD$34,MATCH(O721,基础资料!$AC$5:$AC$34,0)),"")="收",N(G721)&lt;&gt;0),"✗ 这类是收款，金额填到收入列",IF(AND(IFERROR(INDEX(基础资料!$AD$5:$AD$34,MATCH(O721,基础资料!$AC$5:$AC$34,0)),"")="支",N(F721)&lt;&gt;0),"✗ 这类是付款，金额填到支出列",IF(N(H721)&lt;0,"⚠ 账户余额成负数了，核对一下","√"))))))))))))))))))</f>
      </c>
      <c r="O721" s="78">
        <f>IF(D721&lt;&gt;"",D721,IF(AND(F721="",G721=""),"",IF(J721&lt;&gt;"",IF(N(F721)&gt;0,"客户回款","客户退款"),IF(K721&lt;&gt;"",IF(N(G721)&gt;0,"供应商付款","供应商退款"),IF(L721&lt;&gt;"","费用支出","")))))</f>
      </c>
      <c r="P721" s="78">
        <f>IF(O721="","",IFERROR(INDEX(基础资料!$AE$5:$AE$34,MATCH(O721,基础资料!$AC$5:$AC$34,0)),"未知"))</f>
      </c>
      <c r="Q721" s="78">
        <f>IF(P721="应收",COUNTIF(P$7:P721,"应收"),"")</f>
      </c>
      <c r="R721" s="78">
        <f>IF(P721="应付",COUNTIF(P$7:P721,"应付"),"")</f>
      </c>
      <c r="S721" s="78">
        <f>N(F721)-N(G721)</f>
        <v>0</v>
      </c>
    </row>
    <row r="722">
      <c r="A722" s="109">
        <f>IF(AND(F722="",G722=""),"",ROW()-6)</f>
      </c>
      <c r="B722" s="140" t="n"/>
      <c r="C722" s="141" t="n"/>
      <c r="D722" s="141" t="n"/>
      <c r="E722" s="142" t="n"/>
      <c r="F722" s="143" t="n"/>
      <c r="G722" s="144" t="n"/>
      <c r="H722" s="145">
        <f>IF(OR(C722="",AND(F722="",G722="")),"",SUMIF(基础资料!$W$5:$W$24,C722,基础资料!$X$5:$X$24)+SUMIF(C$7:C722,C722,F$7:F722)-SUMIF(C$7:C722,C722,G$7:G722))</f>
      </c>
      <c r="I722" s="145">
        <f>IF(AND(F722="",G722=""),"",SUM(基础资料!$X$5:$X$24)+SUM(F$7:F722)-SUM(G$7:G722))</f>
      </c>
      <c r="J722" s="141" t="n"/>
      <c r="K722" s="141" t="n"/>
      <c r="L722" s="141" t="n"/>
      <c r="M722" s="142" t="n"/>
      <c r="N722" s="146">
        <f>IF(AND(AND(F722="",G722=""),B722="",C722="",D722="",J722="",K722="",L722=""),"",IF(AND(F722="",G722=""),"✗ 没填金额",IF(AND(N(F722)&lt;&gt;0,N(G722)&lt;&gt;0),"✗ 收入、支出只能填一边",IF(NOT(ISNUMBER(B722)),"✗ 日期不是真日期（要像 2026/9/25 这样填）",IF(OR(B722&lt;年初日,B722&gt;年末日),"✗ 日期不在本会计年度",IF(C722="","✗ 没选账户",IF(COUNTIF(基础资料!$W$5:$W$24,C722)=0,"✗ 账户不在基础资料里",IF(O722="","✗ 没选收支项目",IF(P722="未知","✗ 收支项目不在基础资料里",IF(AND(P722="应收",J722=""),"✗ 这笔要选客户",IF(AND(P722="应收",COUNTIF(总览汇总!$B$5:$B$304,J722)=0),"✗ 客户不在总览汇总名单里",IF(AND(P722="应付",K722=""),"✗ 这笔要选供应商",IF(AND(P722="应付",COUNTIF(基础资料!$Q$5:$Q$54,K722)=0),"✗ 供应商不在基础资料里",IF(AND(P722="费用",L722=""),"✗ 费用支出要选费用项目",IF(AND(L722&lt;&gt;"",COUNTIF(基础资料!$AI$5:$AI$54,L722)=0),"✗ 费用项目不在基础资料里",IF(AND(IFERROR(INDEX(基础资料!$AD$5:$AD$34,MATCH(O722,基础资料!$AC$5:$AC$34,0)),"")="收",N(G722)&lt;&gt;0),"✗ 这类是收款，金额填到收入列",IF(AND(IFERROR(INDEX(基础资料!$AD$5:$AD$34,MATCH(O722,基础资料!$AC$5:$AC$34,0)),"")="支",N(F722)&lt;&gt;0),"✗ 这类是付款，金额填到支出列",IF(N(H722)&lt;0,"⚠ 账户余额成负数了，核对一下","√"))))))))))))))))))</f>
      </c>
      <c r="O722" s="78">
        <f>IF(D722&lt;&gt;"",D722,IF(AND(F722="",G722=""),"",IF(J722&lt;&gt;"",IF(N(F722)&gt;0,"客户回款","客户退款"),IF(K722&lt;&gt;"",IF(N(G722)&gt;0,"供应商付款","供应商退款"),IF(L722&lt;&gt;"","费用支出","")))))</f>
      </c>
      <c r="P722" s="78">
        <f>IF(O722="","",IFERROR(INDEX(基础资料!$AE$5:$AE$34,MATCH(O722,基础资料!$AC$5:$AC$34,0)),"未知"))</f>
      </c>
      <c r="Q722" s="78">
        <f>IF(P722="应收",COUNTIF(P$7:P722,"应收"),"")</f>
      </c>
      <c r="R722" s="78">
        <f>IF(P722="应付",COUNTIF(P$7:P722,"应付"),"")</f>
      </c>
      <c r="S722" s="78">
        <f>N(F722)-N(G722)</f>
        <v>0</v>
      </c>
    </row>
    <row r="723">
      <c r="A723" s="109">
        <f>IF(AND(F723="",G723=""),"",ROW()-6)</f>
      </c>
      <c r="B723" s="140" t="n"/>
      <c r="C723" s="141" t="n"/>
      <c r="D723" s="141" t="n"/>
      <c r="E723" s="142" t="n"/>
      <c r="F723" s="143" t="n"/>
      <c r="G723" s="144" t="n"/>
      <c r="H723" s="145">
        <f>IF(OR(C723="",AND(F723="",G723="")),"",SUMIF(基础资料!$W$5:$W$24,C723,基础资料!$X$5:$X$24)+SUMIF(C$7:C723,C723,F$7:F723)-SUMIF(C$7:C723,C723,G$7:G723))</f>
      </c>
      <c r="I723" s="145">
        <f>IF(AND(F723="",G723=""),"",SUM(基础资料!$X$5:$X$24)+SUM(F$7:F723)-SUM(G$7:G723))</f>
      </c>
      <c r="J723" s="141" t="n"/>
      <c r="K723" s="141" t="n"/>
      <c r="L723" s="141" t="n"/>
      <c r="M723" s="142" t="n"/>
      <c r="N723" s="146">
        <f>IF(AND(AND(F723="",G723=""),B723="",C723="",D723="",J723="",K723="",L723=""),"",IF(AND(F723="",G723=""),"✗ 没填金额",IF(AND(N(F723)&lt;&gt;0,N(G723)&lt;&gt;0),"✗ 收入、支出只能填一边",IF(NOT(ISNUMBER(B723)),"✗ 日期不是真日期（要像 2026/9/25 这样填）",IF(OR(B723&lt;年初日,B723&gt;年末日),"✗ 日期不在本会计年度",IF(C723="","✗ 没选账户",IF(COUNTIF(基础资料!$W$5:$W$24,C723)=0,"✗ 账户不在基础资料里",IF(O723="","✗ 没选收支项目",IF(P723="未知","✗ 收支项目不在基础资料里",IF(AND(P723="应收",J723=""),"✗ 这笔要选客户",IF(AND(P723="应收",COUNTIF(总览汇总!$B$5:$B$304,J723)=0),"✗ 客户不在总览汇总名单里",IF(AND(P723="应付",K723=""),"✗ 这笔要选供应商",IF(AND(P723="应付",COUNTIF(基础资料!$Q$5:$Q$54,K723)=0),"✗ 供应商不在基础资料里",IF(AND(P723="费用",L723=""),"✗ 费用支出要选费用项目",IF(AND(L723&lt;&gt;"",COUNTIF(基础资料!$AI$5:$AI$54,L723)=0),"✗ 费用项目不在基础资料里",IF(AND(IFERROR(INDEX(基础资料!$AD$5:$AD$34,MATCH(O723,基础资料!$AC$5:$AC$34,0)),"")="收",N(G723)&lt;&gt;0),"✗ 这类是收款，金额填到收入列",IF(AND(IFERROR(INDEX(基础资料!$AD$5:$AD$34,MATCH(O723,基础资料!$AC$5:$AC$34,0)),"")="支",N(F723)&lt;&gt;0),"✗ 这类是付款，金额填到支出列",IF(N(H723)&lt;0,"⚠ 账户余额成负数了，核对一下","√"))))))))))))))))))</f>
      </c>
      <c r="O723" s="78">
        <f>IF(D723&lt;&gt;"",D723,IF(AND(F723="",G723=""),"",IF(J723&lt;&gt;"",IF(N(F723)&gt;0,"客户回款","客户退款"),IF(K723&lt;&gt;"",IF(N(G723)&gt;0,"供应商付款","供应商退款"),IF(L723&lt;&gt;"","费用支出","")))))</f>
      </c>
      <c r="P723" s="78">
        <f>IF(O723="","",IFERROR(INDEX(基础资料!$AE$5:$AE$34,MATCH(O723,基础资料!$AC$5:$AC$34,0)),"未知"))</f>
      </c>
      <c r="Q723" s="78">
        <f>IF(P723="应收",COUNTIF(P$7:P723,"应收"),"")</f>
      </c>
      <c r="R723" s="78">
        <f>IF(P723="应付",COUNTIF(P$7:P723,"应付"),"")</f>
      </c>
      <c r="S723" s="78">
        <f>N(F723)-N(G723)</f>
        <v>0</v>
      </c>
    </row>
    <row r="724">
      <c r="A724" s="109">
        <f>IF(AND(F724="",G724=""),"",ROW()-6)</f>
      </c>
      <c r="B724" s="140" t="n"/>
      <c r="C724" s="141" t="n"/>
      <c r="D724" s="141" t="n"/>
      <c r="E724" s="142" t="n"/>
      <c r="F724" s="143" t="n"/>
      <c r="G724" s="144" t="n"/>
      <c r="H724" s="145">
        <f>IF(OR(C724="",AND(F724="",G724="")),"",SUMIF(基础资料!$W$5:$W$24,C724,基础资料!$X$5:$X$24)+SUMIF(C$7:C724,C724,F$7:F724)-SUMIF(C$7:C724,C724,G$7:G724))</f>
      </c>
      <c r="I724" s="145">
        <f>IF(AND(F724="",G724=""),"",SUM(基础资料!$X$5:$X$24)+SUM(F$7:F724)-SUM(G$7:G724))</f>
      </c>
      <c r="J724" s="141" t="n"/>
      <c r="K724" s="141" t="n"/>
      <c r="L724" s="141" t="n"/>
      <c r="M724" s="142" t="n"/>
      <c r="N724" s="146">
        <f>IF(AND(AND(F724="",G724=""),B724="",C724="",D724="",J724="",K724="",L724=""),"",IF(AND(F724="",G724=""),"✗ 没填金额",IF(AND(N(F724)&lt;&gt;0,N(G724)&lt;&gt;0),"✗ 收入、支出只能填一边",IF(NOT(ISNUMBER(B724)),"✗ 日期不是真日期（要像 2026/9/25 这样填）",IF(OR(B724&lt;年初日,B724&gt;年末日),"✗ 日期不在本会计年度",IF(C724="","✗ 没选账户",IF(COUNTIF(基础资料!$W$5:$W$24,C724)=0,"✗ 账户不在基础资料里",IF(O724="","✗ 没选收支项目",IF(P724="未知","✗ 收支项目不在基础资料里",IF(AND(P724="应收",J724=""),"✗ 这笔要选客户",IF(AND(P724="应收",COUNTIF(总览汇总!$B$5:$B$304,J724)=0),"✗ 客户不在总览汇总名单里",IF(AND(P724="应付",K724=""),"✗ 这笔要选供应商",IF(AND(P724="应付",COUNTIF(基础资料!$Q$5:$Q$54,K724)=0),"✗ 供应商不在基础资料里",IF(AND(P724="费用",L724=""),"✗ 费用支出要选费用项目",IF(AND(L724&lt;&gt;"",COUNTIF(基础资料!$AI$5:$AI$54,L724)=0),"✗ 费用项目不在基础资料里",IF(AND(IFERROR(INDEX(基础资料!$AD$5:$AD$34,MATCH(O724,基础资料!$AC$5:$AC$34,0)),"")="收",N(G724)&lt;&gt;0),"✗ 这类是收款，金额填到收入列",IF(AND(IFERROR(INDEX(基础资料!$AD$5:$AD$34,MATCH(O724,基础资料!$AC$5:$AC$34,0)),"")="支",N(F724)&lt;&gt;0),"✗ 这类是付款，金额填到支出列",IF(N(H724)&lt;0,"⚠ 账户余额成负数了，核对一下","√"))))))))))))))))))</f>
      </c>
      <c r="O724" s="78">
        <f>IF(D724&lt;&gt;"",D724,IF(AND(F724="",G724=""),"",IF(J724&lt;&gt;"",IF(N(F724)&gt;0,"客户回款","客户退款"),IF(K724&lt;&gt;"",IF(N(G724)&gt;0,"供应商付款","供应商退款"),IF(L724&lt;&gt;"","费用支出","")))))</f>
      </c>
      <c r="P724" s="78">
        <f>IF(O724="","",IFERROR(INDEX(基础资料!$AE$5:$AE$34,MATCH(O724,基础资料!$AC$5:$AC$34,0)),"未知"))</f>
      </c>
      <c r="Q724" s="78">
        <f>IF(P724="应收",COUNTIF(P$7:P724,"应收"),"")</f>
      </c>
      <c r="R724" s="78">
        <f>IF(P724="应付",COUNTIF(P$7:P724,"应付"),"")</f>
      </c>
      <c r="S724" s="78">
        <f>N(F724)-N(G724)</f>
        <v>0</v>
      </c>
    </row>
    <row r="725">
      <c r="A725" s="109">
        <f>IF(AND(F725="",G725=""),"",ROW()-6)</f>
      </c>
      <c r="B725" s="140" t="n"/>
      <c r="C725" s="141" t="n"/>
      <c r="D725" s="141" t="n"/>
      <c r="E725" s="142" t="n"/>
      <c r="F725" s="143" t="n"/>
      <c r="G725" s="144" t="n"/>
      <c r="H725" s="145">
        <f>IF(OR(C725="",AND(F725="",G725="")),"",SUMIF(基础资料!$W$5:$W$24,C725,基础资料!$X$5:$X$24)+SUMIF(C$7:C725,C725,F$7:F725)-SUMIF(C$7:C725,C725,G$7:G725))</f>
      </c>
      <c r="I725" s="145">
        <f>IF(AND(F725="",G725=""),"",SUM(基础资料!$X$5:$X$24)+SUM(F$7:F725)-SUM(G$7:G725))</f>
      </c>
      <c r="J725" s="141" t="n"/>
      <c r="K725" s="141" t="n"/>
      <c r="L725" s="141" t="n"/>
      <c r="M725" s="142" t="n"/>
      <c r="N725" s="146">
        <f>IF(AND(AND(F725="",G725=""),B725="",C725="",D725="",J725="",K725="",L725=""),"",IF(AND(F725="",G725=""),"✗ 没填金额",IF(AND(N(F725)&lt;&gt;0,N(G725)&lt;&gt;0),"✗ 收入、支出只能填一边",IF(NOT(ISNUMBER(B725)),"✗ 日期不是真日期（要像 2026/9/25 这样填）",IF(OR(B725&lt;年初日,B725&gt;年末日),"✗ 日期不在本会计年度",IF(C725="","✗ 没选账户",IF(COUNTIF(基础资料!$W$5:$W$24,C725)=0,"✗ 账户不在基础资料里",IF(O725="","✗ 没选收支项目",IF(P725="未知","✗ 收支项目不在基础资料里",IF(AND(P725="应收",J725=""),"✗ 这笔要选客户",IF(AND(P725="应收",COUNTIF(总览汇总!$B$5:$B$304,J725)=0),"✗ 客户不在总览汇总名单里",IF(AND(P725="应付",K725=""),"✗ 这笔要选供应商",IF(AND(P725="应付",COUNTIF(基础资料!$Q$5:$Q$54,K725)=0),"✗ 供应商不在基础资料里",IF(AND(P725="费用",L725=""),"✗ 费用支出要选费用项目",IF(AND(L725&lt;&gt;"",COUNTIF(基础资料!$AI$5:$AI$54,L725)=0),"✗ 费用项目不在基础资料里",IF(AND(IFERROR(INDEX(基础资料!$AD$5:$AD$34,MATCH(O725,基础资料!$AC$5:$AC$34,0)),"")="收",N(G725)&lt;&gt;0),"✗ 这类是收款，金额填到收入列",IF(AND(IFERROR(INDEX(基础资料!$AD$5:$AD$34,MATCH(O725,基础资料!$AC$5:$AC$34,0)),"")="支",N(F725)&lt;&gt;0),"✗ 这类是付款，金额填到支出列",IF(N(H725)&lt;0,"⚠ 账户余额成负数了，核对一下","√"))))))))))))))))))</f>
      </c>
      <c r="O725" s="78">
        <f>IF(D725&lt;&gt;"",D725,IF(AND(F725="",G725=""),"",IF(J725&lt;&gt;"",IF(N(F725)&gt;0,"客户回款","客户退款"),IF(K725&lt;&gt;"",IF(N(G725)&gt;0,"供应商付款","供应商退款"),IF(L725&lt;&gt;"","费用支出","")))))</f>
      </c>
      <c r="P725" s="78">
        <f>IF(O725="","",IFERROR(INDEX(基础资料!$AE$5:$AE$34,MATCH(O725,基础资料!$AC$5:$AC$34,0)),"未知"))</f>
      </c>
      <c r="Q725" s="78">
        <f>IF(P725="应收",COUNTIF(P$7:P725,"应收"),"")</f>
      </c>
      <c r="R725" s="78">
        <f>IF(P725="应付",COUNTIF(P$7:P725,"应付"),"")</f>
      </c>
      <c r="S725" s="78">
        <f>N(F725)-N(G725)</f>
        <v>0</v>
      </c>
    </row>
    <row r="726">
      <c r="A726" s="109">
        <f>IF(AND(F726="",G726=""),"",ROW()-6)</f>
      </c>
      <c r="B726" s="140" t="n"/>
      <c r="C726" s="141" t="n"/>
      <c r="D726" s="141" t="n"/>
      <c r="E726" s="142" t="n"/>
      <c r="F726" s="143" t="n"/>
      <c r="G726" s="144" t="n"/>
      <c r="H726" s="145">
        <f>IF(OR(C726="",AND(F726="",G726="")),"",SUMIF(基础资料!$W$5:$W$24,C726,基础资料!$X$5:$X$24)+SUMIF(C$7:C726,C726,F$7:F726)-SUMIF(C$7:C726,C726,G$7:G726))</f>
      </c>
      <c r="I726" s="145">
        <f>IF(AND(F726="",G726=""),"",SUM(基础资料!$X$5:$X$24)+SUM(F$7:F726)-SUM(G$7:G726))</f>
      </c>
      <c r="J726" s="141" t="n"/>
      <c r="K726" s="141" t="n"/>
      <c r="L726" s="141" t="n"/>
      <c r="M726" s="142" t="n"/>
      <c r="N726" s="146">
        <f>IF(AND(AND(F726="",G726=""),B726="",C726="",D726="",J726="",K726="",L726=""),"",IF(AND(F726="",G726=""),"✗ 没填金额",IF(AND(N(F726)&lt;&gt;0,N(G726)&lt;&gt;0),"✗ 收入、支出只能填一边",IF(NOT(ISNUMBER(B726)),"✗ 日期不是真日期（要像 2026/9/25 这样填）",IF(OR(B726&lt;年初日,B726&gt;年末日),"✗ 日期不在本会计年度",IF(C726="","✗ 没选账户",IF(COUNTIF(基础资料!$W$5:$W$24,C726)=0,"✗ 账户不在基础资料里",IF(O726="","✗ 没选收支项目",IF(P726="未知","✗ 收支项目不在基础资料里",IF(AND(P726="应收",J726=""),"✗ 这笔要选客户",IF(AND(P726="应收",COUNTIF(总览汇总!$B$5:$B$304,J726)=0),"✗ 客户不在总览汇总名单里",IF(AND(P726="应付",K726=""),"✗ 这笔要选供应商",IF(AND(P726="应付",COUNTIF(基础资料!$Q$5:$Q$54,K726)=0),"✗ 供应商不在基础资料里",IF(AND(P726="费用",L726=""),"✗ 费用支出要选费用项目",IF(AND(L726&lt;&gt;"",COUNTIF(基础资料!$AI$5:$AI$54,L726)=0),"✗ 费用项目不在基础资料里",IF(AND(IFERROR(INDEX(基础资料!$AD$5:$AD$34,MATCH(O726,基础资料!$AC$5:$AC$34,0)),"")="收",N(G726)&lt;&gt;0),"✗ 这类是收款，金额填到收入列",IF(AND(IFERROR(INDEX(基础资料!$AD$5:$AD$34,MATCH(O726,基础资料!$AC$5:$AC$34,0)),"")="支",N(F726)&lt;&gt;0),"✗ 这类是付款，金额填到支出列",IF(N(H726)&lt;0,"⚠ 账户余额成负数了，核对一下","√"))))))))))))))))))</f>
      </c>
      <c r="O726" s="78">
        <f>IF(D726&lt;&gt;"",D726,IF(AND(F726="",G726=""),"",IF(J726&lt;&gt;"",IF(N(F726)&gt;0,"客户回款","客户退款"),IF(K726&lt;&gt;"",IF(N(G726)&gt;0,"供应商付款","供应商退款"),IF(L726&lt;&gt;"","费用支出","")))))</f>
      </c>
      <c r="P726" s="78">
        <f>IF(O726="","",IFERROR(INDEX(基础资料!$AE$5:$AE$34,MATCH(O726,基础资料!$AC$5:$AC$34,0)),"未知"))</f>
      </c>
      <c r="Q726" s="78">
        <f>IF(P726="应收",COUNTIF(P$7:P726,"应收"),"")</f>
      </c>
      <c r="R726" s="78">
        <f>IF(P726="应付",COUNTIF(P$7:P726,"应付"),"")</f>
      </c>
      <c r="S726" s="78">
        <f>N(F726)-N(G726)</f>
        <v>0</v>
      </c>
    </row>
    <row r="727">
      <c r="A727" s="109">
        <f>IF(AND(F727="",G727=""),"",ROW()-6)</f>
      </c>
      <c r="B727" s="140" t="n"/>
      <c r="C727" s="141" t="n"/>
      <c r="D727" s="141" t="n"/>
      <c r="E727" s="142" t="n"/>
      <c r="F727" s="143" t="n"/>
      <c r="G727" s="144" t="n"/>
      <c r="H727" s="145">
        <f>IF(OR(C727="",AND(F727="",G727="")),"",SUMIF(基础资料!$W$5:$W$24,C727,基础资料!$X$5:$X$24)+SUMIF(C$7:C727,C727,F$7:F727)-SUMIF(C$7:C727,C727,G$7:G727))</f>
      </c>
      <c r="I727" s="145">
        <f>IF(AND(F727="",G727=""),"",SUM(基础资料!$X$5:$X$24)+SUM(F$7:F727)-SUM(G$7:G727))</f>
      </c>
      <c r="J727" s="141" t="n"/>
      <c r="K727" s="141" t="n"/>
      <c r="L727" s="141" t="n"/>
      <c r="M727" s="142" t="n"/>
      <c r="N727" s="146">
        <f>IF(AND(AND(F727="",G727=""),B727="",C727="",D727="",J727="",K727="",L727=""),"",IF(AND(F727="",G727=""),"✗ 没填金额",IF(AND(N(F727)&lt;&gt;0,N(G727)&lt;&gt;0),"✗ 收入、支出只能填一边",IF(NOT(ISNUMBER(B727)),"✗ 日期不是真日期（要像 2026/9/25 这样填）",IF(OR(B727&lt;年初日,B727&gt;年末日),"✗ 日期不在本会计年度",IF(C727="","✗ 没选账户",IF(COUNTIF(基础资料!$W$5:$W$24,C727)=0,"✗ 账户不在基础资料里",IF(O727="","✗ 没选收支项目",IF(P727="未知","✗ 收支项目不在基础资料里",IF(AND(P727="应收",J727=""),"✗ 这笔要选客户",IF(AND(P727="应收",COUNTIF(总览汇总!$B$5:$B$304,J727)=0),"✗ 客户不在总览汇总名单里",IF(AND(P727="应付",K727=""),"✗ 这笔要选供应商",IF(AND(P727="应付",COUNTIF(基础资料!$Q$5:$Q$54,K727)=0),"✗ 供应商不在基础资料里",IF(AND(P727="费用",L727=""),"✗ 费用支出要选费用项目",IF(AND(L727&lt;&gt;"",COUNTIF(基础资料!$AI$5:$AI$54,L727)=0),"✗ 费用项目不在基础资料里",IF(AND(IFERROR(INDEX(基础资料!$AD$5:$AD$34,MATCH(O727,基础资料!$AC$5:$AC$34,0)),"")="收",N(G727)&lt;&gt;0),"✗ 这类是收款，金额填到收入列",IF(AND(IFERROR(INDEX(基础资料!$AD$5:$AD$34,MATCH(O727,基础资料!$AC$5:$AC$34,0)),"")="支",N(F727)&lt;&gt;0),"✗ 这类是付款，金额填到支出列",IF(N(H727)&lt;0,"⚠ 账户余额成负数了，核对一下","√"))))))))))))))))))</f>
      </c>
      <c r="O727" s="78">
        <f>IF(D727&lt;&gt;"",D727,IF(AND(F727="",G727=""),"",IF(J727&lt;&gt;"",IF(N(F727)&gt;0,"客户回款","客户退款"),IF(K727&lt;&gt;"",IF(N(G727)&gt;0,"供应商付款","供应商退款"),IF(L727&lt;&gt;"","费用支出","")))))</f>
      </c>
      <c r="P727" s="78">
        <f>IF(O727="","",IFERROR(INDEX(基础资料!$AE$5:$AE$34,MATCH(O727,基础资料!$AC$5:$AC$34,0)),"未知"))</f>
      </c>
      <c r="Q727" s="78">
        <f>IF(P727="应收",COUNTIF(P$7:P727,"应收"),"")</f>
      </c>
      <c r="R727" s="78">
        <f>IF(P727="应付",COUNTIF(P$7:P727,"应付"),"")</f>
      </c>
      <c r="S727" s="78">
        <f>N(F727)-N(G727)</f>
        <v>0</v>
      </c>
    </row>
    <row r="728">
      <c r="A728" s="109">
        <f>IF(AND(F728="",G728=""),"",ROW()-6)</f>
      </c>
      <c r="B728" s="140" t="n"/>
      <c r="C728" s="141" t="n"/>
      <c r="D728" s="141" t="n"/>
      <c r="E728" s="142" t="n"/>
      <c r="F728" s="143" t="n"/>
      <c r="G728" s="144" t="n"/>
      <c r="H728" s="145">
        <f>IF(OR(C728="",AND(F728="",G728="")),"",SUMIF(基础资料!$W$5:$W$24,C728,基础资料!$X$5:$X$24)+SUMIF(C$7:C728,C728,F$7:F728)-SUMIF(C$7:C728,C728,G$7:G728))</f>
      </c>
      <c r="I728" s="145">
        <f>IF(AND(F728="",G728=""),"",SUM(基础资料!$X$5:$X$24)+SUM(F$7:F728)-SUM(G$7:G728))</f>
      </c>
      <c r="J728" s="141" t="n"/>
      <c r="K728" s="141" t="n"/>
      <c r="L728" s="141" t="n"/>
      <c r="M728" s="142" t="n"/>
      <c r="N728" s="146">
        <f>IF(AND(AND(F728="",G728=""),B728="",C728="",D728="",J728="",K728="",L728=""),"",IF(AND(F728="",G728=""),"✗ 没填金额",IF(AND(N(F728)&lt;&gt;0,N(G728)&lt;&gt;0),"✗ 收入、支出只能填一边",IF(NOT(ISNUMBER(B728)),"✗ 日期不是真日期（要像 2026/9/25 这样填）",IF(OR(B728&lt;年初日,B728&gt;年末日),"✗ 日期不在本会计年度",IF(C728="","✗ 没选账户",IF(COUNTIF(基础资料!$W$5:$W$24,C728)=0,"✗ 账户不在基础资料里",IF(O728="","✗ 没选收支项目",IF(P728="未知","✗ 收支项目不在基础资料里",IF(AND(P728="应收",J728=""),"✗ 这笔要选客户",IF(AND(P728="应收",COUNTIF(总览汇总!$B$5:$B$304,J728)=0),"✗ 客户不在总览汇总名单里",IF(AND(P728="应付",K728=""),"✗ 这笔要选供应商",IF(AND(P728="应付",COUNTIF(基础资料!$Q$5:$Q$54,K728)=0),"✗ 供应商不在基础资料里",IF(AND(P728="费用",L728=""),"✗ 费用支出要选费用项目",IF(AND(L728&lt;&gt;"",COUNTIF(基础资料!$AI$5:$AI$54,L728)=0),"✗ 费用项目不在基础资料里",IF(AND(IFERROR(INDEX(基础资料!$AD$5:$AD$34,MATCH(O728,基础资料!$AC$5:$AC$34,0)),"")="收",N(G728)&lt;&gt;0),"✗ 这类是收款，金额填到收入列",IF(AND(IFERROR(INDEX(基础资料!$AD$5:$AD$34,MATCH(O728,基础资料!$AC$5:$AC$34,0)),"")="支",N(F728)&lt;&gt;0),"✗ 这类是付款，金额填到支出列",IF(N(H728)&lt;0,"⚠ 账户余额成负数了，核对一下","√"))))))))))))))))))</f>
      </c>
      <c r="O728" s="78">
        <f>IF(D728&lt;&gt;"",D728,IF(AND(F728="",G728=""),"",IF(J728&lt;&gt;"",IF(N(F728)&gt;0,"客户回款","客户退款"),IF(K728&lt;&gt;"",IF(N(G728)&gt;0,"供应商付款","供应商退款"),IF(L728&lt;&gt;"","费用支出","")))))</f>
      </c>
      <c r="P728" s="78">
        <f>IF(O728="","",IFERROR(INDEX(基础资料!$AE$5:$AE$34,MATCH(O728,基础资料!$AC$5:$AC$34,0)),"未知"))</f>
      </c>
      <c r="Q728" s="78">
        <f>IF(P728="应收",COUNTIF(P$7:P728,"应收"),"")</f>
      </c>
      <c r="R728" s="78">
        <f>IF(P728="应付",COUNTIF(P$7:P728,"应付"),"")</f>
      </c>
      <c r="S728" s="78">
        <f>N(F728)-N(G728)</f>
        <v>0</v>
      </c>
    </row>
    <row r="729">
      <c r="A729" s="109">
        <f>IF(AND(F729="",G729=""),"",ROW()-6)</f>
      </c>
      <c r="B729" s="140" t="n"/>
      <c r="C729" s="141" t="n"/>
      <c r="D729" s="141" t="n"/>
      <c r="E729" s="142" t="n"/>
      <c r="F729" s="143" t="n"/>
      <c r="G729" s="144" t="n"/>
      <c r="H729" s="145">
        <f>IF(OR(C729="",AND(F729="",G729="")),"",SUMIF(基础资料!$W$5:$W$24,C729,基础资料!$X$5:$X$24)+SUMIF(C$7:C729,C729,F$7:F729)-SUMIF(C$7:C729,C729,G$7:G729))</f>
      </c>
      <c r="I729" s="145">
        <f>IF(AND(F729="",G729=""),"",SUM(基础资料!$X$5:$X$24)+SUM(F$7:F729)-SUM(G$7:G729))</f>
      </c>
      <c r="J729" s="141" t="n"/>
      <c r="K729" s="141" t="n"/>
      <c r="L729" s="141" t="n"/>
      <c r="M729" s="142" t="n"/>
      <c r="N729" s="146">
        <f>IF(AND(AND(F729="",G729=""),B729="",C729="",D729="",J729="",K729="",L729=""),"",IF(AND(F729="",G729=""),"✗ 没填金额",IF(AND(N(F729)&lt;&gt;0,N(G729)&lt;&gt;0),"✗ 收入、支出只能填一边",IF(NOT(ISNUMBER(B729)),"✗ 日期不是真日期（要像 2026/9/25 这样填）",IF(OR(B729&lt;年初日,B729&gt;年末日),"✗ 日期不在本会计年度",IF(C729="","✗ 没选账户",IF(COUNTIF(基础资料!$W$5:$W$24,C729)=0,"✗ 账户不在基础资料里",IF(O729="","✗ 没选收支项目",IF(P729="未知","✗ 收支项目不在基础资料里",IF(AND(P729="应收",J729=""),"✗ 这笔要选客户",IF(AND(P729="应收",COUNTIF(总览汇总!$B$5:$B$304,J729)=0),"✗ 客户不在总览汇总名单里",IF(AND(P729="应付",K729=""),"✗ 这笔要选供应商",IF(AND(P729="应付",COUNTIF(基础资料!$Q$5:$Q$54,K729)=0),"✗ 供应商不在基础资料里",IF(AND(P729="费用",L729=""),"✗ 费用支出要选费用项目",IF(AND(L729&lt;&gt;"",COUNTIF(基础资料!$AI$5:$AI$54,L729)=0),"✗ 费用项目不在基础资料里",IF(AND(IFERROR(INDEX(基础资料!$AD$5:$AD$34,MATCH(O729,基础资料!$AC$5:$AC$34,0)),"")="收",N(G729)&lt;&gt;0),"✗ 这类是收款，金额填到收入列",IF(AND(IFERROR(INDEX(基础资料!$AD$5:$AD$34,MATCH(O729,基础资料!$AC$5:$AC$34,0)),"")="支",N(F729)&lt;&gt;0),"✗ 这类是付款，金额填到支出列",IF(N(H729)&lt;0,"⚠ 账户余额成负数了，核对一下","√"))))))))))))))))))</f>
      </c>
      <c r="O729" s="78">
        <f>IF(D729&lt;&gt;"",D729,IF(AND(F729="",G729=""),"",IF(J729&lt;&gt;"",IF(N(F729)&gt;0,"客户回款","客户退款"),IF(K729&lt;&gt;"",IF(N(G729)&gt;0,"供应商付款","供应商退款"),IF(L729&lt;&gt;"","费用支出","")))))</f>
      </c>
      <c r="P729" s="78">
        <f>IF(O729="","",IFERROR(INDEX(基础资料!$AE$5:$AE$34,MATCH(O729,基础资料!$AC$5:$AC$34,0)),"未知"))</f>
      </c>
      <c r="Q729" s="78">
        <f>IF(P729="应收",COUNTIF(P$7:P729,"应收"),"")</f>
      </c>
      <c r="R729" s="78">
        <f>IF(P729="应付",COUNTIF(P$7:P729,"应付"),"")</f>
      </c>
      <c r="S729" s="78">
        <f>N(F729)-N(G729)</f>
        <v>0</v>
      </c>
    </row>
    <row r="730">
      <c r="A730" s="109">
        <f>IF(AND(F730="",G730=""),"",ROW()-6)</f>
      </c>
      <c r="B730" s="140" t="n"/>
      <c r="C730" s="141" t="n"/>
      <c r="D730" s="141" t="n"/>
      <c r="E730" s="142" t="n"/>
      <c r="F730" s="143" t="n"/>
      <c r="G730" s="144" t="n"/>
      <c r="H730" s="145">
        <f>IF(OR(C730="",AND(F730="",G730="")),"",SUMIF(基础资料!$W$5:$W$24,C730,基础资料!$X$5:$X$24)+SUMIF(C$7:C730,C730,F$7:F730)-SUMIF(C$7:C730,C730,G$7:G730))</f>
      </c>
      <c r="I730" s="145">
        <f>IF(AND(F730="",G730=""),"",SUM(基础资料!$X$5:$X$24)+SUM(F$7:F730)-SUM(G$7:G730))</f>
      </c>
      <c r="J730" s="141" t="n"/>
      <c r="K730" s="141" t="n"/>
      <c r="L730" s="141" t="n"/>
      <c r="M730" s="142" t="n"/>
      <c r="N730" s="146">
        <f>IF(AND(AND(F730="",G730=""),B730="",C730="",D730="",J730="",K730="",L730=""),"",IF(AND(F730="",G730=""),"✗ 没填金额",IF(AND(N(F730)&lt;&gt;0,N(G730)&lt;&gt;0),"✗ 收入、支出只能填一边",IF(NOT(ISNUMBER(B730)),"✗ 日期不是真日期（要像 2026/9/25 这样填）",IF(OR(B730&lt;年初日,B730&gt;年末日),"✗ 日期不在本会计年度",IF(C730="","✗ 没选账户",IF(COUNTIF(基础资料!$W$5:$W$24,C730)=0,"✗ 账户不在基础资料里",IF(O730="","✗ 没选收支项目",IF(P730="未知","✗ 收支项目不在基础资料里",IF(AND(P730="应收",J730=""),"✗ 这笔要选客户",IF(AND(P730="应收",COUNTIF(总览汇总!$B$5:$B$304,J730)=0),"✗ 客户不在总览汇总名单里",IF(AND(P730="应付",K730=""),"✗ 这笔要选供应商",IF(AND(P730="应付",COUNTIF(基础资料!$Q$5:$Q$54,K730)=0),"✗ 供应商不在基础资料里",IF(AND(P730="费用",L730=""),"✗ 费用支出要选费用项目",IF(AND(L730&lt;&gt;"",COUNTIF(基础资料!$AI$5:$AI$54,L730)=0),"✗ 费用项目不在基础资料里",IF(AND(IFERROR(INDEX(基础资料!$AD$5:$AD$34,MATCH(O730,基础资料!$AC$5:$AC$34,0)),"")="收",N(G730)&lt;&gt;0),"✗ 这类是收款，金额填到收入列",IF(AND(IFERROR(INDEX(基础资料!$AD$5:$AD$34,MATCH(O730,基础资料!$AC$5:$AC$34,0)),"")="支",N(F730)&lt;&gt;0),"✗ 这类是付款，金额填到支出列",IF(N(H730)&lt;0,"⚠ 账户余额成负数了，核对一下","√"))))))))))))))))))</f>
      </c>
      <c r="O730" s="78">
        <f>IF(D730&lt;&gt;"",D730,IF(AND(F730="",G730=""),"",IF(J730&lt;&gt;"",IF(N(F730)&gt;0,"客户回款","客户退款"),IF(K730&lt;&gt;"",IF(N(G730)&gt;0,"供应商付款","供应商退款"),IF(L730&lt;&gt;"","费用支出","")))))</f>
      </c>
      <c r="P730" s="78">
        <f>IF(O730="","",IFERROR(INDEX(基础资料!$AE$5:$AE$34,MATCH(O730,基础资料!$AC$5:$AC$34,0)),"未知"))</f>
      </c>
      <c r="Q730" s="78">
        <f>IF(P730="应收",COUNTIF(P$7:P730,"应收"),"")</f>
      </c>
      <c r="R730" s="78">
        <f>IF(P730="应付",COUNTIF(P$7:P730,"应付"),"")</f>
      </c>
      <c r="S730" s="78">
        <f>N(F730)-N(G730)</f>
        <v>0</v>
      </c>
    </row>
    <row r="731">
      <c r="A731" s="109">
        <f>IF(AND(F731="",G731=""),"",ROW()-6)</f>
      </c>
      <c r="B731" s="140" t="n"/>
      <c r="C731" s="141" t="n"/>
      <c r="D731" s="141" t="n"/>
      <c r="E731" s="142" t="n"/>
      <c r="F731" s="143" t="n"/>
      <c r="G731" s="144" t="n"/>
      <c r="H731" s="145">
        <f>IF(OR(C731="",AND(F731="",G731="")),"",SUMIF(基础资料!$W$5:$W$24,C731,基础资料!$X$5:$X$24)+SUMIF(C$7:C731,C731,F$7:F731)-SUMIF(C$7:C731,C731,G$7:G731))</f>
      </c>
      <c r="I731" s="145">
        <f>IF(AND(F731="",G731=""),"",SUM(基础资料!$X$5:$X$24)+SUM(F$7:F731)-SUM(G$7:G731))</f>
      </c>
      <c r="J731" s="141" t="n"/>
      <c r="K731" s="141" t="n"/>
      <c r="L731" s="141" t="n"/>
      <c r="M731" s="142" t="n"/>
      <c r="N731" s="146">
        <f>IF(AND(AND(F731="",G731=""),B731="",C731="",D731="",J731="",K731="",L731=""),"",IF(AND(F731="",G731=""),"✗ 没填金额",IF(AND(N(F731)&lt;&gt;0,N(G731)&lt;&gt;0),"✗ 收入、支出只能填一边",IF(NOT(ISNUMBER(B731)),"✗ 日期不是真日期（要像 2026/9/25 这样填）",IF(OR(B731&lt;年初日,B731&gt;年末日),"✗ 日期不在本会计年度",IF(C731="","✗ 没选账户",IF(COUNTIF(基础资料!$W$5:$W$24,C731)=0,"✗ 账户不在基础资料里",IF(O731="","✗ 没选收支项目",IF(P731="未知","✗ 收支项目不在基础资料里",IF(AND(P731="应收",J731=""),"✗ 这笔要选客户",IF(AND(P731="应收",COUNTIF(总览汇总!$B$5:$B$304,J731)=0),"✗ 客户不在总览汇总名单里",IF(AND(P731="应付",K731=""),"✗ 这笔要选供应商",IF(AND(P731="应付",COUNTIF(基础资料!$Q$5:$Q$54,K731)=0),"✗ 供应商不在基础资料里",IF(AND(P731="费用",L731=""),"✗ 费用支出要选费用项目",IF(AND(L731&lt;&gt;"",COUNTIF(基础资料!$AI$5:$AI$54,L731)=0),"✗ 费用项目不在基础资料里",IF(AND(IFERROR(INDEX(基础资料!$AD$5:$AD$34,MATCH(O731,基础资料!$AC$5:$AC$34,0)),"")="收",N(G731)&lt;&gt;0),"✗ 这类是收款，金额填到收入列",IF(AND(IFERROR(INDEX(基础资料!$AD$5:$AD$34,MATCH(O731,基础资料!$AC$5:$AC$34,0)),"")="支",N(F731)&lt;&gt;0),"✗ 这类是付款，金额填到支出列",IF(N(H731)&lt;0,"⚠ 账户余额成负数了，核对一下","√"))))))))))))))))))</f>
      </c>
      <c r="O731" s="78">
        <f>IF(D731&lt;&gt;"",D731,IF(AND(F731="",G731=""),"",IF(J731&lt;&gt;"",IF(N(F731)&gt;0,"客户回款","客户退款"),IF(K731&lt;&gt;"",IF(N(G731)&gt;0,"供应商付款","供应商退款"),IF(L731&lt;&gt;"","费用支出","")))))</f>
      </c>
      <c r="P731" s="78">
        <f>IF(O731="","",IFERROR(INDEX(基础资料!$AE$5:$AE$34,MATCH(O731,基础资料!$AC$5:$AC$34,0)),"未知"))</f>
      </c>
      <c r="Q731" s="78">
        <f>IF(P731="应收",COUNTIF(P$7:P731,"应收"),"")</f>
      </c>
      <c r="R731" s="78">
        <f>IF(P731="应付",COUNTIF(P$7:P731,"应付"),"")</f>
      </c>
      <c r="S731" s="78">
        <f>N(F731)-N(G731)</f>
        <v>0</v>
      </c>
    </row>
    <row r="732">
      <c r="A732" s="109">
        <f>IF(AND(F732="",G732=""),"",ROW()-6)</f>
      </c>
      <c r="B732" s="140" t="n"/>
      <c r="C732" s="141" t="n"/>
      <c r="D732" s="141" t="n"/>
      <c r="E732" s="142" t="n"/>
      <c r="F732" s="143" t="n"/>
      <c r="G732" s="144" t="n"/>
      <c r="H732" s="145">
        <f>IF(OR(C732="",AND(F732="",G732="")),"",SUMIF(基础资料!$W$5:$W$24,C732,基础资料!$X$5:$X$24)+SUMIF(C$7:C732,C732,F$7:F732)-SUMIF(C$7:C732,C732,G$7:G732))</f>
      </c>
      <c r="I732" s="145">
        <f>IF(AND(F732="",G732=""),"",SUM(基础资料!$X$5:$X$24)+SUM(F$7:F732)-SUM(G$7:G732))</f>
      </c>
      <c r="J732" s="141" t="n"/>
      <c r="K732" s="141" t="n"/>
      <c r="L732" s="141" t="n"/>
      <c r="M732" s="142" t="n"/>
      <c r="N732" s="146">
        <f>IF(AND(AND(F732="",G732=""),B732="",C732="",D732="",J732="",K732="",L732=""),"",IF(AND(F732="",G732=""),"✗ 没填金额",IF(AND(N(F732)&lt;&gt;0,N(G732)&lt;&gt;0),"✗ 收入、支出只能填一边",IF(NOT(ISNUMBER(B732)),"✗ 日期不是真日期（要像 2026/9/25 这样填）",IF(OR(B732&lt;年初日,B732&gt;年末日),"✗ 日期不在本会计年度",IF(C732="","✗ 没选账户",IF(COUNTIF(基础资料!$W$5:$W$24,C732)=0,"✗ 账户不在基础资料里",IF(O732="","✗ 没选收支项目",IF(P732="未知","✗ 收支项目不在基础资料里",IF(AND(P732="应收",J732=""),"✗ 这笔要选客户",IF(AND(P732="应收",COUNTIF(总览汇总!$B$5:$B$304,J732)=0),"✗ 客户不在总览汇总名单里",IF(AND(P732="应付",K732=""),"✗ 这笔要选供应商",IF(AND(P732="应付",COUNTIF(基础资料!$Q$5:$Q$54,K732)=0),"✗ 供应商不在基础资料里",IF(AND(P732="费用",L732=""),"✗ 费用支出要选费用项目",IF(AND(L732&lt;&gt;"",COUNTIF(基础资料!$AI$5:$AI$54,L732)=0),"✗ 费用项目不在基础资料里",IF(AND(IFERROR(INDEX(基础资料!$AD$5:$AD$34,MATCH(O732,基础资料!$AC$5:$AC$34,0)),"")="收",N(G732)&lt;&gt;0),"✗ 这类是收款，金额填到收入列",IF(AND(IFERROR(INDEX(基础资料!$AD$5:$AD$34,MATCH(O732,基础资料!$AC$5:$AC$34,0)),"")="支",N(F732)&lt;&gt;0),"✗ 这类是付款，金额填到支出列",IF(N(H732)&lt;0,"⚠ 账户余额成负数了，核对一下","√"))))))))))))))))))</f>
      </c>
      <c r="O732" s="78">
        <f>IF(D732&lt;&gt;"",D732,IF(AND(F732="",G732=""),"",IF(J732&lt;&gt;"",IF(N(F732)&gt;0,"客户回款","客户退款"),IF(K732&lt;&gt;"",IF(N(G732)&gt;0,"供应商付款","供应商退款"),IF(L732&lt;&gt;"","费用支出","")))))</f>
      </c>
      <c r="P732" s="78">
        <f>IF(O732="","",IFERROR(INDEX(基础资料!$AE$5:$AE$34,MATCH(O732,基础资料!$AC$5:$AC$34,0)),"未知"))</f>
      </c>
      <c r="Q732" s="78">
        <f>IF(P732="应收",COUNTIF(P$7:P732,"应收"),"")</f>
      </c>
      <c r="R732" s="78">
        <f>IF(P732="应付",COUNTIF(P$7:P732,"应付"),"")</f>
      </c>
      <c r="S732" s="78">
        <f>N(F732)-N(G732)</f>
        <v>0</v>
      </c>
    </row>
    <row r="733">
      <c r="A733" s="109">
        <f>IF(AND(F733="",G733=""),"",ROW()-6)</f>
      </c>
      <c r="B733" s="140" t="n"/>
      <c r="C733" s="141" t="n"/>
      <c r="D733" s="141" t="n"/>
      <c r="E733" s="142" t="n"/>
      <c r="F733" s="143" t="n"/>
      <c r="G733" s="144" t="n"/>
      <c r="H733" s="145">
        <f>IF(OR(C733="",AND(F733="",G733="")),"",SUMIF(基础资料!$W$5:$W$24,C733,基础资料!$X$5:$X$24)+SUMIF(C$7:C733,C733,F$7:F733)-SUMIF(C$7:C733,C733,G$7:G733))</f>
      </c>
      <c r="I733" s="145">
        <f>IF(AND(F733="",G733=""),"",SUM(基础资料!$X$5:$X$24)+SUM(F$7:F733)-SUM(G$7:G733))</f>
      </c>
      <c r="J733" s="141" t="n"/>
      <c r="K733" s="141" t="n"/>
      <c r="L733" s="141" t="n"/>
      <c r="M733" s="142" t="n"/>
      <c r="N733" s="146">
        <f>IF(AND(AND(F733="",G733=""),B733="",C733="",D733="",J733="",K733="",L733=""),"",IF(AND(F733="",G733=""),"✗ 没填金额",IF(AND(N(F733)&lt;&gt;0,N(G733)&lt;&gt;0),"✗ 收入、支出只能填一边",IF(NOT(ISNUMBER(B733)),"✗ 日期不是真日期（要像 2026/9/25 这样填）",IF(OR(B733&lt;年初日,B733&gt;年末日),"✗ 日期不在本会计年度",IF(C733="","✗ 没选账户",IF(COUNTIF(基础资料!$W$5:$W$24,C733)=0,"✗ 账户不在基础资料里",IF(O733="","✗ 没选收支项目",IF(P733="未知","✗ 收支项目不在基础资料里",IF(AND(P733="应收",J733=""),"✗ 这笔要选客户",IF(AND(P733="应收",COUNTIF(总览汇总!$B$5:$B$304,J733)=0),"✗ 客户不在总览汇总名单里",IF(AND(P733="应付",K733=""),"✗ 这笔要选供应商",IF(AND(P733="应付",COUNTIF(基础资料!$Q$5:$Q$54,K733)=0),"✗ 供应商不在基础资料里",IF(AND(P733="费用",L733=""),"✗ 费用支出要选费用项目",IF(AND(L733&lt;&gt;"",COUNTIF(基础资料!$AI$5:$AI$54,L733)=0),"✗ 费用项目不在基础资料里",IF(AND(IFERROR(INDEX(基础资料!$AD$5:$AD$34,MATCH(O733,基础资料!$AC$5:$AC$34,0)),"")="收",N(G733)&lt;&gt;0),"✗ 这类是收款，金额填到收入列",IF(AND(IFERROR(INDEX(基础资料!$AD$5:$AD$34,MATCH(O733,基础资料!$AC$5:$AC$34,0)),"")="支",N(F733)&lt;&gt;0),"✗ 这类是付款，金额填到支出列",IF(N(H733)&lt;0,"⚠ 账户余额成负数了，核对一下","√"))))))))))))))))))</f>
      </c>
      <c r="O733" s="78">
        <f>IF(D733&lt;&gt;"",D733,IF(AND(F733="",G733=""),"",IF(J733&lt;&gt;"",IF(N(F733)&gt;0,"客户回款","客户退款"),IF(K733&lt;&gt;"",IF(N(G733)&gt;0,"供应商付款","供应商退款"),IF(L733&lt;&gt;"","费用支出","")))))</f>
      </c>
      <c r="P733" s="78">
        <f>IF(O733="","",IFERROR(INDEX(基础资料!$AE$5:$AE$34,MATCH(O733,基础资料!$AC$5:$AC$34,0)),"未知"))</f>
      </c>
      <c r="Q733" s="78">
        <f>IF(P733="应收",COUNTIF(P$7:P733,"应收"),"")</f>
      </c>
      <c r="R733" s="78">
        <f>IF(P733="应付",COUNTIF(P$7:P733,"应付"),"")</f>
      </c>
      <c r="S733" s="78">
        <f>N(F733)-N(G733)</f>
        <v>0</v>
      </c>
    </row>
    <row r="734">
      <c r="A734" s="109">
        <f>IF(AND(F734="",G734=""),"",ROW()-6)</f>
      </c>
      <c r="B734" s="140" t="n"/>
      <c r="C734" s="141" t="n"/>
      <c r="D734" s="141" t="n"/>
      <c r="E734" s="142" t="n"/>
      <c r="F734" s="143" t="n"/>
      <c r="G734" s="144" t="n"/>
      <c r="H734" s="145">
        <f>IF(OR(C734="",AND(F734="",G734="")),"",SUMIF(基础资料!$W$5:$W$24,C734,基础资料!$X$5:$X$24)+SUMIF(C$7:C734,C734,F$7:F734)-SUMIF(C$7:C734,C734,G$7:G734))</f>
      </c>
      <c r="I734" s="145">
        <f>IF(AND(F734="",G734=""),"",SUM(基础资料!$X$5:$X$24)+SUM(F$7:F734)-SUM(G$7:G734))</f>
      </c>
      <c r="J734" s="141" t="n"/>
      <c r="K734" s="141" t="n"/>
      <c r="L734" s="141" t="n"/>
      <c r="M734" s="142" t="n"/>
      <c r="N734" s="146">
        <f>IF(AND(AND(F734="",G734=""),B734="",C734="",D734="",J734="",K734="",L734=""),"",IF(AND(F734="",G734=""),"✗ 没填金额",IF(AND(N(F734)&lt;&gt;0,N(G734)&lt;&gt;0),"✗ 收入、支出只能填一边",IF(NOT(ISNUMBER(B734)),"✗ 日期不是真日期（要像 2026/9/25 这样填）",IF(OR(B734&lt;年初日,B734&gt;年末日),"✗ 日期不在本会计年度",IF(C734="","✗ 没选账户",IF(COUNTIF(基础资料!$W$5:$W$24,C734)=0,"✗ 账户不在基础资料里",IF(O734="","✗ 没选收支项目",IF(P734="未知","✗ 收支项目不在基础资料里",IF(AND(P734="应收",J734=""),"✗ 这笔要选客户",IF(AND(P734="应收",COUNTIF(总览汇总!$B$5:$B$304,J734)=0),"✗ 客户不在总览汇总名单里",IF(AND(P734="应付",K734=""),"✗ 这笔要选供应商",IF(AND(P734="应付",COUNTIF(基础资料!$Q$5:$Q$54,K734)=0),"✗ 供应商不在基础资料里",IF(AND(P734="费用",L734=""),"✗ 费用支出要选费用项目",IF(AND(L734&lt;&gt;"",COUNTIF(基础资料!$AI$5:$AI$54,L734)=0),"✗ 费用项目不在基础资料里",IF(AND(IFERROR(INDEX(基础资料!$AD$5:$AD$34,MATCH(O734,基础资料!$AC$5:$AC$34,0)),"")="收",N(G734)&lt;&gt;0),"✗ 这类是收款，金额填到收入列",IF(AND(IFERROR(INDEX(基础资料!$AD$5:$AD$34,MATCH(O734,基础资料!$AC$5:$AC$34,0)),"")="支",N(F734)&lt;&gt;0),"✗ 这类是付款，金额填到支出列",IF(N(H734)&lt;0,"⚠ 账户余额成负数了，核对一下","√"))))))))))))))))))</f>
      </c>
      <c r="O734" s="78">
        <f>IF(D734&lt;&gt;"",D734,IF(AND(F734="",G734=""),"",IF(J734&lt;&gt;"",IF(N(F734)&gt;0,"客户回款","客户退款"),IF(K734&lt;&gt;"",IF(N(G734)&gt;0,"供应商付款","供应商退款"),IF(L734&lt;&gt;"","费用支出","")))))</f>
      </c>
      <c r="P734" s="78">
        <f>IF(O734="","",IFERROR(INDEX(基础资料!$AE$5:$AE$34,MATCH(O734,基础资料!$AC$5:$AC$34,0)),"未知"))</f>
      </c>
      <c r="Q734" s="78">
        <f>IF(P734="应收",COUNTIF(P$7:P734,"应收"),"")</f>
      </c>
      <c r="R734" s="78">
        <f>IF(P734="应付",COUNTIF(P$7:P734,"应付"),"")</f>
      </c>
      <c r="S734" s="78">
        <f>N(F734)-N(G734)</f>
        <v>0</v>
      </c>
    </row>
    <row r="735">
      <c r="A735" s="109">
        <f>IF(AND(F735="",G735=""),"",ROW()-6)</f>
      </c>
      <c r="B735" s="140" t="n"/>
      <c r="C735" s="141" t="n"/>
      <c r="D735" s="141" t="n"/>
      <c r="E735" s="142" t="n"/>
      <c r="F735" s="143" t="n"/>
      <c r="G735" s="144" t="n"/>
      <c r="H735" s="145">
        <f>IF(OR(C735="",AND(F735="",G735="")),"",SUMIF(基础资料!$W$5:$W$24,C735,基础资料!$X$5:$X$24)+SUMIF(C$7:C735,C735,F$7:F735)-SUMIF(C$7:C735,C735,G$7:G735))</f>
      </c>
      <c r="I735" s="145">
        <f>IF(AND(F735="",G735=""),"",SUM(基础资料!$X$5:$X$24)+SUM(F$7:F735)-SUM(G$7:G735))</f>
      </c>
      <c r="J735" s="141" t="n"/>
      <c r="K735" s="141" t="n"/>
      <c r="L735" s="141" t="n"/>
      <c r="M735" s="142" t="n"/>
      <c r="N735" s="146">
        <f>IF(AND(AND(F735="",G735=""),B735="",C735="",D735="",J735="",K735="",L735=""),"",IF(AND(F735="",G735=""),"✗ 没填金额",IF(AND(N(F735)&lt;&gt;0,N(G735)&lt;&gt;0),"✗ 收入、支出只能填一边",IF(NOT(ISNUMBER(B735)),"✗ 日期不是真日期（要像 2026/9/25 这样填）",IF(OR(B735&lt;年初日,B735&gt;年末日),"✗ 日期不在本会计年度",IF(C735="","✗ 没选账户",IF(COUNTIF(基础资料!$W$5:$W$24,C735)=0,"✗ 账户不在基础资料里",IF(O735="","✗ 没选收支项目",IF(P735="未知","✗ 收支项目不在基础资料里",IF(AND(P735="应收",J735=""),"✗ 这笔要选客户",IF(AND(P735="应收",COUNTIF(总览汇总!$B$5:$B$304,J735)=0),"✗ 客户不在总览汇总名单里",IF(AND(P735="应付",K735=""),"✗ 这笔要选供应商",IF(AND(P735="应付",COUNTIF(基础资料!$Q$5:$Q$54,K735)=0),"✗ 供应商不在基础资料里",IF(AND(P735="费用",L735=""),"✗ 费用支出要选费用项目",IF(AND(L735&lt;&gt;"",COUNTIF(基础资料!$AI$5:$AI$54,L735)=0),"✗ 费用项目不在基础资料里",IF(AND(IFERROR(INDEX(基础资料!$AD$5:$AD$34,MATCH(O735,基础资料!$AC$5:$AC$34,0)),"")="收",N(G735)&lt;&gt;0),"✗ 这类是收款，金额填到收入列",IF(AND(IFERROR(INDEX(基础资料!$AD$5:$AD$34,MATCH(O735,基础资料!$AC$5:$AC$34,0)),"")="支",N(F735)&lt;&gt;0),"✗ 这类是付款，金额填到支出列",IF(N(H735)&lt;0,"⚠ 账户余额成负数了，核对一下","√"))))))))))))))))))</f>
      </c>
      <c r="O735" s="78">
        <f>IF(D735&lt;&gt;"",D735,IF(AND(F735="",G735=""),"",IF(J735&lt;&gt;"",IF(N(F735)&gt;0,"客户回款","客户退款"),IF(K735&lt;&gt;"",IF(N(G735)&gt;0,"供应商付款","供应商退款"),IF(L735&lt;&gt;"","费用支出","")))))</f>
      </c>
      <c r="P735" s="78">
        <f>IF(O735="","",IFERROR(INDEX(基础资料!$AE$5:$AE$34,MATCH(O735,基础资料!$AC$5:$AC$34,0)),"未知"))</f>
      </c>
      <c r="Q735" s="78">
        <f>IF(P735="应收",COUNTIF(P$7:P735,"应收"),"")</f>
      </c>
      <c r="R735" s="78">
        <f>IF(P735="应付",COUNTIF(P$7:P735,"应付"),"")</f>
      </c>
      <c r="S735" s="78">
        <f>N(F735)-N(G735)</f>
        <v>0</v>
      </c>
    </row>
    <row r="736">
      <c r="A736" s="109">
        <f>IF(AND(F736="",G736=""),"",ROW()-6)</f>
      </c>
      <c r="B736" s="140" t="n"/>
      <c r="C736" s="141" t="n"/>
      <c r="D736" s="141" t="n"/>
      <c r="E736" s="142" t="n"/>
      <c r="F736" s="143" t="n"/>
      <c r="G736" s="144" t="n"/>
      <c r="H736" s="145">
        <f>IF(OR(C736="",AND(F736="",G736="")),"",SUMIF(基础资料!$W$5:$W$24,C736,基础资料!$X$5:$X$24)+SUMIF(C$7:C736,C736,F$7:F736)-SUMIF(C$7:C736,C736,G$7:G736))</f>
      </c>
      <c r="I736" s="145">
        <f>IF(AND(F736="",G736=""),"",SUM(基础资料!$X$5:$X$24)+SUM(F$7:F736)-SUM(G$7:G736))</f>
      </c>
      <c r="J736" s="141" t="n"/>
      <c r="K736" s="141" t="n"/>
      <c r="L736" s="141" t="n"/>
      <c r="M736" s="142" t="n"/>
      <c r="N736" s="146">
        <f>IF(AND(AND(F736="",G736=""),B736="",C736="",D736="",J736="",K736="",L736=""),"",IF(AND(F736="",G736=""),"✗ 没填金额",IF(AND(N(F736)&lt;&gt;0,N(G736)&lt;&gt;0),"✗ 收入、支出只能填一边",IF(NOT(ISNUMBER(B736)),"✗ 日期不是真日期（要像 2026/9/25 这样填）",IF(OR(B736&lt;年初日,B736&gt;年末日),"✗ 日期不在本会计年度",IF(C736="","✗ 没选账户",IF(COUNTIF(基础资料!$W$5:$W$24,C736)=0,"✗ 账户不在基础资料里",IF(O736="","✗ 没选收支项目",IF(P736="未知","✗ 收支项目不在基础资料里",IF(AND(P736="应收",J736=""),"✗ 这笔要选客户",IF(AND(P736="应收",COUNTIF(总览汇总!$B$5:$B$304,J736)=0),"✗ 客户不在总览汇总名单里",IF(AND(P736="应付",K736=""),"✗ 这笔要选供应商",IF(AND(P736="应付",COUNTIF(基础资料!$Q$5:$Q$54,K736)=0),"✗ 供应商不在基础资料里",IF(AND(P736="费用",L736=""),"✗ 费用支出要选费用项目",IF(AND(L736&lt;&gt;"",COUNTIF(基础资料!$AI$5:$AI$54,L736)=0),"✗ 费用项目不在基础资料里",IF(AND(IFERROR(INDEX(基础资料!$AD$5:$AD$34,MATCH(O736,基础资料!$AC$5:$AC$34,0)),"")="收",N(G736)&lt;&gt;0),"✗ 这类是收款，金额填到收入列",IF(AND(IFERROR(INDEX(基础资料!$AD$5:$AD$34,MATCH(O736,基础资料!$AC$5:$AC$34,0)),"")="支",N(F736)&lt;&gt;0),"✗ 这类是付款，金额填到支出列",IF(N(H736)&lt;0,"⚠ 账户余额成负数了，核对一下","√"))))))))))))))))))</f>
      </c>
      <c r="O736" s="78">
        <f>IF(D736&lt;&gt;"",D736,IF(AND(F736="",G736=""),"",IF(J736&lt;&gt;"",IF(N(F736)&gt;0,"客户回款","客户退款"),IF(K736&lt;&gt;"",IF(N(G736)&gt;0,"供应商付款","供应商退款"),IF(L736&lt;&gt;"","费用支出","")))))</f>
      </c>
      <c r="P736" s="78">
        <f>IF(O736="","",IFERROR(INDEX(基础资料!$AE$5:$AE$34,MATCH(O736,基础资料!$AC$5:$AC$34,0)),"未知"))</f>
      </c>
      <c r="Q736" s="78">
        <f>IF(P736="应收",COUNTIF(P$7:P736,"应收"),"")</f>
      </c>
      <c r="R736" s="78">
        <f>IF(P736="应付",COUNTIF(P$7:P736,"应付"),"")</f>
      </c>
      <c r="S736" s="78">
        <f>N(F736)-N(G736)</f>
        <v>0</v>
      </c>
    </row>
    <row r="737">
      <c r="A737" s="109">
        <f>IF(AND(F737="",G737=""),"",ROW()-6)</f>
      </c>
      <c r="B737" s="140" t="n"/>
      <c r="C737" s="141" t="n"/>
      <c r="D737" s="141" t="n"/>
      <c r="E737" s="142" t="n"/>
      <c r="F737" s="143" t="n"/>
      <c r="G737" s="144" t="n"/>
      <c r="H737" s="145">
        <f>IF(OR(C737="",AND(F737="",G737="")),"",SUMIF(基础资料!$W$5:$W$24,C737,基础资料!$X$5:$X$24)+SUMIF(C$7:C737,C737,F$7:F737)-SUMIF(C$7:C737,C737,G$7:G737))</f>
      </c>
      <c r="I737" s="145">
        <f>IF(AND(F737="",G737=""),"",SUM(基础资料!$X$5:$X$24)+SUM(F$7:F737)-SUM(G$7:G737))</f>
      </c>
      <c r="J737" s="141" t="n"/>
      <c r="K737" s="141" t="n"/>
      <c r="L737" s="141" t="n"/>
      <c r="M737" s="142" t="n"/>
      <c r="N737" s="146">
        <f>IF(AND(AND(F737="",G737=""),B737="",C737="",D737="",J737="",K737="",L737=""),"",IF(AND(F737="",G737=""),"✗ 没填金额",IF(AND(N(F737)&lt;&gt;0,N(G737)&lt;&gt;0),"✗ 收入、支出只能填一边",IF(NOT(ISNUMBER(B737)),"✗ 日期不是真日期（要像 2026/9/25 这样填）",IF(OR(B737&lt;年初日,B737&gt;年末日),"✗ 日期不在本会计年度",IF(C737="","✗ 没选账户",IF(COUNTIF(基础资料!$W$5:$W$24,C737)=0,"✗ 账户不在基础资料里",IF(O737="","✗ 没选收支项目",IF(P737="未知","✗ 收支项目不在基础资料里",IF(AND(P737="应收",J737=""),"✗ 这笔要选客户",IF(AND(P737="应收",COUNTIF(总览汇总!$B$5:$B$304,J737)=0),"✗ 客户不在总览汇总名单里",IF(AND(P737="应付",K737=""),"✗ 这笔要选供应商",IF(AND(P737="应付",COUNTIF(基础资料!$Q$5:$Q$54,K737)=0),"✗ 供应商不在基础资料里",IF(AND(P737="费用",L737=""),"✗ 费用支出要选费用项目",IF(AND(L737&lt;&gt;"",COUNTIF(基础资料!$AI$5:$AI$54,L737)=0),"✗ 费用项目不在基础资料里",IF(AND(IFERROR(INDEX(基础资料!$AD$5:$AD$34,MATCH(O737,基础资料!$AC$5:$AC$34,0)),"")="收",N(G737)&lt;&gt;0),"✗ 这类是收款，金额填到收入列",IF(AND(IFERROR(INDEX(基础资料!$AD$5:$AD$34,MATCH(O737,基础资料!$AC$5:$AC$34,0)),"")="支",N(F737)&lt;&gt;0),"✗ 这类是付款，金额填到支出列",IF(N(H737)&lt;0,"⚠ 账户余额成负数了，核对一下","√"))))))))))))))))))</f>
      </c>
      <c r="O737" s="78">
        <f>IF(D737&lt;&gt;"",D737,IF(AND(F737="",G737=""),"",IF(J737&lt;&gt;"",IF(N(F737)&gt;0,"客户回款","客户退款"),IF(K737&lt;&gt;"",IF(N(G737)&gt;0,"供应商付款","供应商退款"),IF(L737&lt;&gt;"","费用支出","")))))</f>
      </c>
      <c r="P737" s="78">
        <f>IF(O737="","",IFERROR(INDEX(基础资料!$AE$5:$AE$34,MATCH(O737,基础资料!$AC$5:$AC$34,0)),"未知"))</f>
      </c>
      <c r="Q737" s="78">
        <f>IF(P737="应收",COUNTIF(P$7:P737,"应收"),"")</f>
      </c>
      <c r="R737" s="78">
        <f>IF(P737="应付",COUNTIF(P$7:P737,"应付"),"")</f>
      </c>
      <c r="S737" s="78">
        <f>N(F737)-N(G737)</f>
        <v>0</v>
      </c>
    </row>
    <row r="738">
      <c r="A738" s="109">
        <f>IF(AND(F738="",G738=""),"",ROW()-6)</f>
      </c>
      <c r="B738" s="140" t="n"/>
      <c r="C738" s="141" t="n"/>
      <c r="D738" s="141" t="n"/>
      <c r="E738" s="142" t="n"/>
      <c r="F738" s="143" t="n"/>
      <c r="G738" s="144" t="n"/>
      <c r="H738" s="145">
        <f>IF(OR(C738="",AND(F738="",G738="")),"",SUMIF(基础资料!$W$5:$W$24,C738,基础资料!$X$5:$X$24)+SUMIF(C$7:C738,C738,F$7:F738)-SUMIF(C$7:C738,C738,G$7:G738))</f>
      </c>
      <c r="I738" s="145">
        <f>IF(AND(F738="",G738=""),"",SUM(基础资料!$X$5:$X$24)+SUM(F$7:F738)-SUM(G$7:G738))</f>
      </c>
      <c r="J738" s="141" t="n"/>
      <c r="K738" s="141" t="n"/>
      <c r="L738" s="141" t="n"/>
      <c r="M738" s="142" t="n"/>
      <c r="N738" s="146">
        <f>IF(AND(AND(F738="",G738=""),B738="",C738="",D738="",J738="",K738="",L738=""),"",IF(AND(F738="",G738=""),"✗ 没填金额",IF(AND(N(F738)&lt;&gt;0,N(G738)&lt;&gt;0),"✗ 收入、支出只能填一边",IF(NOT(ISNUMBER(B738)),"✗ 日期不是真日期（要像 2026/9/25 这样填）",IF(OR(B738&lt;年初日,B738&gt;年末日),"✗ 日期不在本会计年度",IF(C738="","✗ 没选账户",IF(COUNTIF(基础资料!$W$5:$W$24,C738)=0,"✗ 账户不在基础资料里",IF(O738="","✗ 没选收支项目",IF(P738="未知","✗ 收支项目不在基础资料里",IF(AND(P738="应收",J738=""),"✗ 这笔要选客户",IF(AND(P738="应收",COUNTIF(总览汇总!$B$5:$B$304,J738)=0),"✗ 客户不在总览汇总名单里",IF(AND(P738="应付",K738=""),"✗ 这笔要选供应商",IF(AND(P738="应付",COUNTIF(基础资料!$Q$5:$Q$54,K738)=0),"✗ 供应商不在基础资料里",IF(AND(P738="费用",L738=""),"✗ 费用支出要选费用项目",IF(AND(L738&lt;&gt;"",COUNTIF(基础资料!$AI$5:$AI$54,L738)=0),"✗ 费用项目不在基础资料里",IF(AND(IFERROR(INDEX(基础资料!$AD$5:$AD$34,MATCH(O738,基础资料!$AC$5:$AC$34,0)),"")="收",N(G738)&lt;&gt;0),"✗ 这类是收款，金额填到收入列",IF(AND(IFERROR(INDEX(基础资料!$AD$5:$AD$34,MATCH(O738,基础资料!$AC$5:$AC$34,0)),"")="支",N(F738)&lt;&gt;0),"✗ 这类是付款，金额填到支出列",IF(N(H738)&lt;0,"⚠ 账户余额成负数了，核对一下","√"))))))))))))))))))</f>
      </c>
      <c r="O738" s="78">
        <f>IF(D738&lt;&gt;"",D738,IF(AND(F738="",G738=""),"",IF(J738&lt;&gt;"",IF(N(F738)&gt;0,"客户回款","客户退款"),IF(K738&lt;&gt;"",IF(N(G738)&gt;0,"供应商付款","供应商退款"),IF(L738&lt;&gt;"","费用支出","")))))</f>
      </c>
      <c r="P738" s="78">
        <f>IF(O738="","",IFERROR(INDEX(基础资料!$AE$5:$AE$34,MATCH(O738,基础资料!$AC$5:$AC$34,0)),"未知"))</f>
      </c>
      <c r="Q738" s="78">
        <f>IF(P738="应收",COUNTIF(P$7:P738,"应收"),"")</f>
      </c>
      <c r="R738" s="78">
        <f>IF(P738="应付",COUNTIF(P$7:P738,"应付"),"")</f>
      </c>
      <c r="S738" s="78">
        <f>N(F738)-N(G738)</f>
        <v>0</v>
      </c>
    </row>
    <row r="739">
      <c r="A739" s="109">
        <f>IF(AND(F739="",G739=""),"",ROW()-6)</f>
      </c>
      <c r="B739" s="140" t="n"/>
      <c r="C739" s="141" t="n"/>
      <c r="D739" s="141" t="n"/>
      <c r="E739" s="142" t="n"/>
      <c r="F739" s="143" t="n"/>
      <c r="G739" s="144" t="n"/>
      <c r="H739" s="145">
        <f>IF(OR(C739="",AND(F739="",G739="")),"",SUMIF(基础资料!$W$5:$W$24,C739,基础资料!$X$5:$X$24)+SUMIF(C$7:C739,C739,F$7:F739)-SUMIF(C$7:C739,C739,G$7:G739))</f>
      </c>
      <c r="I739" s="145">
        <f>IF(AND(F739="",G739=""),"",SUM(基础资料!$X$5:$X$24)+SUM(F$7:F739)-SUM(G$7:G739))</f>
      </c>
      <c r="J739" s="141" t="n"/>
      <c r="K739" s="141" t="n"/>
      <c r="L739" s="141" t="n"/>
      <c r="M739" s="142" t="n"/>
      <c r="N739" s="146">
        <f>IF(AND(AND(F739="",G739=""),B739="",C739="",D739="",J739="",K739="",L739=""),"",IF(AND(F739="",G739=""),"✗ 没填金额",IF(AND(N(F739)&lt;&gt;0,N(G739)&lt;&gt;0),"✗ 收入、支出只能填一边",IF(NOT(ISNUMBER(B739)),"✗ 日期不是真日期（要像 2026/9/25 这样填）",IF(OR(B739&lt;年初日,B739&gt;年末日),"✗ 日期不在本会计年度",IF(C739="","✗ 没选账户",IF(COUNTIF(基础资料!$W$5:$W$24,C739)=0,"✗ 账户不在基础资料里",IF(O739="","✗ 没选收支项目",IF(P739="未知","✗ 收支项目不在基础资料里",IF(AND(P739="应收",J739=""),"✗ 这笔要选客户",IF(AND(P739="应收",COUNTIF(总览汇总!$B$5:$B$304,J739)=0),"✗ 客户不在总览汇总名单里",IF(AND(P739="应付",K739=""),"✗ 这笔要选供应商",IF(AND(P739="应付",COUNTIF(基础资料!$Q$5:$Q$54,K739)=0),"✗ 供应商不在基础资料里",IF(AND(P739="费用",L739=""),"✗ 费用支出要选费用项目",IF(AND(L739&lt;&gt;"",COUNTIF(基础资料!$AI$5:$AI$54,L739)=0),"✗ 费用项目不在基础资料里",IF(AND(IFERROR(INDEX(基础资料!$AD$5:$AD$34,MATCH(O739,基础资料!$AC$5:$AC$34,0)),"")="收",N(G739)&lt;&gt;0),"✗ 这类是收款，金额填到收入列",IF(AND(IFERROR(INDEX(基础资料!$AD$5:$AD$34,MATCH(O739,基础资料!$AC$5:$AC$34,0)),"")="支",N(F739)&lt;&gt;0),"✗ 这类是付款，金额填到支出列",IF(N(H739)&lt;0,"⚠ 账户余额成负数了，核对一下","√"))))))))))))))))))</f>
      </c>
      <c r="O739" s="78">
        <f>IF(D739&lt;&gt;"",D739,IF(AND(F739="",G739=""),"",IF(J739&lt;&gt;"",IF(N(F739)&gt;0,"客户回款","客户退款"),IF(K739&lt;&gt;"",IF(N(G739)&gt;0,"供应商付款","供应商退款"),IF(L739&lt;&gt;"","费用支出","")))))</f>
      </c>
      <c r="P739" s="78">
        <f>IF(O739="","",IFERROR(INDEX(基础资料!$AE$5:$AE$34,MATCH(O739,基础资料!$AC$5:$AC$34,0)),"未知"))</f>
      </c>
      <c r="Q739" s="78">
        <f>IF(P739="应收",COUNTIF(P$7:P739,"应收"),"")</f>
      </c>
      <c r="R739" s="78">
        <f>IF(P739="应付",COUNTIF(P$7:P739,"应付"),"")</f>
      </c>
      <c r="S739" s="78">
        <f>N(F739)-N(G739)</f>
        <v>0</v>
      </c>
    </row>
    <row r="740">
      <c r="A740" s="109">
        <f>IF(AND(F740="",G740=""),"",ROW()-6)</f>
      </c>
      <c r="B740" s="140" t="n"/>
      <c r="C740" s="141" t="n"/>
      <c r="D740" s="141" t="n"/>
      <c r="E740" s="142" t="n"/>
      <c r="F740" s="143" t="n"/>
      <c r="G740" s="144" t="n"/>
      <c r="H740" s="145">
        <f>IF(OR(C740="",AND(F740="",G740="")),"",SUMIF(基础资料!$W$5:$W$24,C740,基础资料!$X$5:$X$24)+SUMIF(C$7:C740,C740,F$7:F740)-SUMIF(C$7:C740,C740,G$7:G740))</f>
      </c>
      <c r="I740" s="145">
        <f>IF(AND(F740="",G740=""),"",SUM(基础资料!$X$5:$X$24)+SUM(F$7:F740)-SUM(G$7:G740))</f>
      </c>
      <c r="J740" s="141" t="n"/>
      <c r="K740" s="141" t="n"/>
      <c r="L740" s="141" t="n"/>
      <c r="M740" s="142" t="n"/>
      <c r="N740" s="146">
        <f>IF(AND(AND(F740="",G740=""),B740="",C740="",D740="",J740="",K740="",L740=""),"",IF(AND(F740="",G740=""),"✗ 没填金额",IF(AND(N(F740)&lt;&gt;0,N(G740)&lt;&gt;0),"✗ 收入、支出只能填一边",IF(NOT(ISNUMBER(B740)),"✗ 日期不是真日期（要像 2026/9/25 这样填）",IF(OR(B740&lt;年初日,B740&gt;年末日),"✗ 日期不在本会计年度",IF(C740="","✗ 没选账户",IF(COUNTIF(基础资料!$W$5:$W$24,C740)=0,"✗ 账户不在基础资料里",IF(O740="","✗ 没选收支项目",IF(P740="未知","✗ 收支项目不在基础资料里",IF(AND(P740="应收",J740=""),"✗ 这笔要选客户",IF(AND(P740="应收",COUNTIF(总览汇总!$B$5:$B$304,J740)=0),"✗ 客户不在总览汇总名单里",IF(AND(P740="应付",K740=""),"✗ 这笔要选供应商",IF(AND(P740="应付",COUNTIF(基础资料!$Q$5:$Q$54,K740)=0),"✗ 供应商不在基础资料里",IF(AND(P740="费用",L740=""),"✗ 费用支出要选费用项目",IF(AND(L740&lt;&gt;"",COUNTIF(基础资料!$AI$5:$AI$54,L740)=0),"✗ 费用项目不在基础资料里",IF(AND(IFERROR(INDEX(基础资料!$AD$5:$AD$34,MATCH(O740,基础资料!$AC$5:$AC$34,0)),"")="收",N(G740)&lt;&gt;0),"✗ 这类是收款，金额填到收入列",IF(AND(IFERROR(INDEX(基础资料!$AD$5:$AD$34,MATCH(O740,基础资料!$AC$5:$AC$34,0)),"")="支",N(F740)&lt;&gt;0),"✗ 这类是付款，金额填到支出列",IF(N(H740)&lt;0,"⚠ 账户余额成负数了，核对一下","√"))))))))))))))))))</f>
      </c>
      <c r="O740" s="78">
        <f>IF(D740&lt;&gt;"",D740,IF(AND(F740="",G740=""),"",IF(J740&lt;&gt;"",IF(N(F740)&gt;0,"客户回款","客户退款"),IF(K740&lt;&gt;"",IF(N(G740)&gt;0,"供应商付款","供应商退款"),IF(L740&lt;&gt;"","费用支出","")))))</f>
      </c>
      <c r="P740" s="78">
        <f>IF(O740="","",IFERROR(INDEX(基础资料!$AE$5:$AE$34,MATCH(O740,基础资料!$AC$5:$AC$34,0)),"未知"))</f>
      </c>
      <c r="Q740" s="78">
        <f>IF(P740="应收",COUNTIF(P$7:P740,"应收"),"")</f>
      </c>
      <c r="R740" s="78">
        <f>IF(P740="应付",COUNTIF(P$7:P740,"应付"),"")</f>
      </c>
      <c r="S740" s="78">
        <f>N(F740)-N(G740)</f>
        <v>0</v>
      </c>
    </row>
    <row r="741">
      <c r="A741" s="109">
        <f>IF(AND(F741="",G741=""),"",ROW()-6)</f>
      </c>
      <c r="B741" s="140" t="n"/>
      <c r="C741" s="141" t="n"/>
      <c r="D741" s="141" t="n"/>
      <c r="E741" s="142" t="n"/>
      <c r="F741" s="143" t="n"/>
      <c r="G741" s="144" t="n"/>
      <c r="H741" s="145">
        <f>IF(OR(C741="",AND(F741="",G741="")),"",SUMIF(基础资料!$W$5:$W$24,C741,基础资料!$X$5:$X$24)+SUMIF(C$7:C741,C741,F$7:F741)-SUMIF(C$7:C741,C741,G$7:G741))</f>
      </c>
      <c r="I741" s="145">
        <f>IF(AND(F741="",G741=""),"",SUM(基础资料!$X$5:$X$24)+SUM(F$7:F741)-SUM(G$7:G741))</f>
      </c>
      <c r="J741" s="141" t="n"/>
      <c r="K741" s="141" t="n"/>
      <c r="L741" s="141" t="n"/>
      <c r="M741" s="142" t="n"/>
      <c r="N741" s="146">
        <f>IF(AND(AND(F741="",G741=""),B741="",C741="",D741="",J741="",K741="",L741=""),"",IF(AND(F741="",G741=""),"✗ 没填金额",IF(AND(N(F741)&lt;&gt;0,N(G741)&lt;&gt;0),"✗ 收入、支出只能填一边",IF(NOT(ISNUMBER(B741)),"✗ 日期不是真日期（要像 2026/9/25 这样填）",IF(OR(B741&lt;年初日,B741&gt;年末日),"✗ 日期不在本会计年度",IF(C741="","✗ 没选账户",IF(COUNTIF(基础资料!$W$5:$W$24,C741)=0,"✗ 账户不在基础资料里",IF(O741="","✗ 没选收支项目",IF(P741="未知","✗ 收支项目不在基础资料里",IF(AND(P741="应收",J741=""),"✗ 这笔要选客户",IF(AND(P741="应收",COUNTIF(总览汇总!$B$5:$B$304,J741)=0),"✗ 客户不在总览汇总名单里",IF(AND(P741="应付",K741=""),"✗ 这笔要选供应商",IF(AND(P741="应付",COUNTIF(基础资料!$Q$5:$Q$54,K741)=0),"✗ 供应商不在基础资料里",IF(AND(P741="费用",L741=""),"✗ 费用支出要选费用项目",IF(AND(L741&lt;&gt;"",COUNTIF(基础资料!$AI$5:$AI$54,L741)=0),"✗ 费用项目不在基础资料里",IF(AND(IFERROR(INDEX(基础资料!$AD$5:$AD$34,MATCH(O741,基础资料!$AC$5:$AC$34,0)),"")="收",N(G741)&lt;&gt;0),"✗ 这类是收款，金额填到收入列",IF(AND(IFERROR(INDEX(基础资料!$AD$5:$AD$34,MATCH(O741,基础资料!$AC$5:$AC$34,0)),"")="支",N(F741)&lt;&gt;0),"✗ 这类是付款，金额填到支出列",IF(N(H741)&lt;0,"⚠ 账户余额成负数了，核对一下","√"))))))))))))))))))</f>
      </c>
      <c r="O741" s="78">
        <f>IF(D741&lt;&gt;"",D741,IF(AND(F741="",G741=""),"",IF(J741&lt;&gt;"",IF(N(F741)&gt;0,"客户回款","客户退款"),IF(K741&lt;&gt;"",IF(N(G741)&gt;0,"供应商付款","供应商退款"),IF(L741&lt;&gt;"","费用支出","")))))</f>
      </c>
      <c r="P741" s="78">
        <f>IF(O741="","",IFERROR(INDEX(基础资料!$AE$5:$AE$34,MATCH(O741,基础资料!$AC$5:$AC$34,0)),"未知"))</f>
      </c>
      <c r="Q741" s="78">
        <f>IF(P741="应收",COUNTIF(P$7:P741,"应收"),"")</f>
      </c>
      <c r="R741" s="78">
        <f>IF(P741="应付",COUNTIF(P$7:P741,"应付"),"")</f>
      </c>
      <c r="S741" s="78">
        <f>N(F741)-N(G741)</f>
        <v>0</v>
      </c>
    </row>
    <row r="742">
      <c r="A742" s="109">
        <f>IF(AND(F742="",G742=""),"",ROW()-6)</f>
      </c>
      <c r="B742" s="140" t="n"/>
      <c r="C742" s="141" t="n"/>
      <c r="D742" s="141" t="n"/>
      <c r="E742" s="142" t="n"/>
      <c r="F742" s="143" t="n"/>
      <c r="G742" s="144" t="n"/>
      <c r="H742" s="145">
        <f>IF(OR(C742="",AND(F742="",G742="")),"",SUMIF(基础资料!$W$5:$W$24,C742,基础资料!$X$5:$X$24)+SUMIF(C$7:C742,C742,F$7:F742)-SUMIF(C$7:C742,C742,G$7:G742))</f>
      </c>
      <c r="I742" s="145">
        <f>IF(AND(F742="",G742=""),"",SUM(基础资料!$X$5:$X$24)+SUM(F$7:F742)-SUM(G$7:G742))</f>
      </c>
      <c r="J742" s="141" t="n"/>
      <c r="K742" s="141" t="n"/>
      <c r="L742" s="141" t="n"/>
      <c r="M742" s="142" t="n"/>
      <c r="N742" s="146">
        <f>IF(AND(AND(F742="",G742=""),B742="",C742="",D742="",J742="",K742="",L742=""),"",IF(AND(F742="",G742=""),"✗ 没填金额",IF(AND(N(F742)&lt;&gt;0,N(G742)&lt;&gt;0),"✗ 收入、支出只能填一边",IF(NOT(ISNUMBER(B742)),"✗ 日期不是真日期（要像 2026/9/25 这样填）",IF(OR(B742&lt;年初日,B742&gt;年末日),"✗ 日期不在本会计年度",IF(C742="","✗ 没选账户",IF(COUNTIF(基础资料!$W$5:$W$24,C742)=0,"✗ 账户不在基础资料里",IF(O742="","✗ 没选收支项目",IF(P742="未知","✗ 收支项目不在基础资料里",IF(AND(P742="应收",J742=""),"✗ 这笔要选客户",IF(AND(P742="应收",COUNTIF(总览汇总!$B$5:$B$304,J742)=0),"✗ 客户不在总览汇总名单里",IF(AND(P742="应付",K742=""),"✗ 这笔要选供应商",IF(AND(P742="应付",COUNTIF(基础资料!$Q$5:$Q$54,K742)=0),"✗ 供应商不在基础资料里",IF(AND(P742="费用",L742=""),"✗ 费用支出要选费用项目",IF(AND(L742&lt;&gt;"",COUNTIF(基础资料!$AI$5:$AI$54,L742)=0),"✗ 费用项目不在基础资料里",IF(AND(IFERROR(INDEX(基础资料!$AD$5:$AD$34,MATCH(O742,基础资料!$AC$5:$AC$34,0)),"")="收",N(G742)&lt;&gt;0),"✗ 这类是收款，金额填到收入列",IF(AND(IFERROR(INDEX(基础资料!$AD$5:$AD$34,MATCH(O742,基础资料!$AC$5:$AC$34,0)),"")="支",N(F742)&lt;&gt;0),"✗ 这类是付款，金额填到支出列",IF(N(H742)&lt;0,"⚠ 账户余额成负数了，核对一下","√"))))))))))))))))))</f>
      </c>
      <c r="O742" s="78">
        <f>IF(D742&lt;&gt;"",D742,IF(AND(F742="",G742=""),"",IF(J742&lt;&gt;"",IF(N(F742)&gt;0,"客户回款","客户退款"),IF(K742&lt;&gt;"",IF(N(G742)&gt;0,"供应商付款","供应商退款"),IF(L742&lt;&gt;"","费用支出","")))))</f>
      </c>
      <c r="P742" s="78">
        <f>IF(O742="","",IFERROR(INDEX(基础资料!$AE$5:$AE$34,MATCH(O742,基础资料!$AC$5:$AC$34,0)),"未知"))</f>
      </c>
      <c r="Q742" s="78">
        <f>IF(P742="应收",COUNTIF(P$7:P742,"应收"),"")</f>
      </c>
      <c r="R742" s="78">
        <f>IF(P742="应付",COUNTIF(P$7:P742,"应付"),"")</f>
      </c>
      <c r="S742" s="78">
        <f>N(F742)-N(G742)</f>
        <v>0</v>
      </c>
    </row>
    <row r="743">
      <c r="A743" s="109">
        <f>IF(AND(F743="",G743=""),"",ROW()-6)</f>
      </c>
      <c r="B743" s="140" t="n"/>
      <c r="C743" s="141" t="n"/>
      <c r="D743" s="141" t="n"/>
      <c r="E743" s="142" t="n"/>
      <c r="F743" s="143" t="n"/>
      <c r="G743" s="144" t="n"/>
      <c r="H743" s="145">
        <f>IF(OR(C743="",AND(F743="",G743="")),"",SUMIF(基础资料!$W$5:$W$24,C743,基础资料!$X$5:$X$24)+SUMIF(C$7:C743,C743,F$7:F743)-SUMIF(C$7:C743,C743,G$7:G743))</f>
      </c>
      <c r="I743" s="145">
        <f>IF(AND(F743="",G743=""),"",SUM(基础资料!$X$5:$X$24)+SUM(F$7:F743)-SUM(G$7:G743))</f>
      </c>
      <c r="J743" s="141" t="n"/>
      <c r="K743" s="141" t="n"/>
      <c r="L743" s="141" t="n"/>
      <c r="M743" s="142" t="n"/>
      <c r="N743" s="146">
        <f>IF(AND(AND(F743="",G743=""),B743="",C743="",D743="",J743="",K743="",L743=""),"",IF(AND(F743="",G743=""),"✗ 没填金额",IF(AND(N(F743)&lt;&gt;0,N(G743)&lt;&gt;0),"✗ 收入、支出只能填一边",IF(NOT(ISNUMBER(B743)),"✗ 日期不是真日期（要像 2026/9/25 这样填）",IF(OR(B743&lt;年初日,B743&gt;年末日),"✗ 日期不在本会计年度",IF(C743="","✗ 没选账户",IF(COUNTIF(基础资料!$W$5:$W$24,C743)=0,"✗ 账户不在基础资料里",IF(O743="","✗ 没选收支项目",IF(P743="未知","✗ 收支项目不在基础资料里",IF(AND(P743="应收",J743=""),"✗ 这笔要选客户",IF(AND(P743="应收",COUNTIF(总览汇总!$B$5:$B$304,J743)=0),"✗ 客户不在总览汇总名单里",IF(AND(P743="应付",K743=""),"✗ 这笔要选供应商",IF(AND(P743="应付",COUNTIF(基础资料!$Q$5:$Q$54,K743)=0),"✗ 供应商不在基础资料里",IF(AND(P743="费用",L743=""),"✗ 费用支出要选费用项目",IF(AND(L743&lt;&gt;"",COUNTIF(基础资料!$AI$5:$AI$54,L743)=0),"✗ 费用项目不在基础资料里",IF(AND(IFERROR(INDEX(基础资料!$AD$5:$AD$34,MATCH(O743,基础资料!$AC$5:$AC$34,0)),"")="收",N(G743)&lt;&gt;0),"✗ 这类是收款，金额填到收入列",IF(AND(IFERROR(INDEX(基础资料!$AD$5:$AD$34,MATCH(O743,基础资料!$AC$5:$AC$34,0)),"")="支",N(F743)&lt;&gt;0),"✗ 这类是付款，金额填到支出列",IF(N(H743)&lt;0,"⚠ 账户余额成负数了，核对一下","√"))))))))))))))))))</f>
      </c>
      <c r="O743" s="78">
        <f>IF(D743&lt;&gt;"",D743,IF(AND(F743="",G743=""),"",IF(J743&lt;&gt;"",IF(N(F743)&gt;0,"客户回款","客户退款"),IF(K743&lt;&gt;"",IF(N(G743)&gt;0,"供应商付款","供应商退款"),IF(L743&lt;&gt;"","费用支出","")))))</f>
      </c>
      <c r="P743" s="78">
        <f>IF(O743="","",IFERROR(INDEX(基础资料!$AE$5:$AE$34,MATCH(O743,基础资料!$AC$5:$AC$34,0)),"未知"))</f>
      </c>
      <c r="Q743" s="78">
        <f>IF(P743="应收",COUNTIF(P$7:P743,"应收"),"")</f>
      </c>
      <c r="R743" s="78">
        <f>IF(P743="应付",COUNTIF(P$7:P743,"应付"),"")</f>
      </c>
      <c r="S743" s="78">
        <f>N(F743)-N(G743)</f>
        <v>0</v>
      </c>
    </row>
    <row r="744">
      <c r="A744" s="109">
        <f>IF(AND(F744="",G744=""),"",ROW()-6)</f>
      </c>
      <c r="B744" s="140" t="n"/>
      <c r="C744" s="141" t="n"/>
      <c r="D744" s="141" t="n"/>
      <c r="E744" s="142" t="n"/>
      <c r="F744" s="143" t="n"/>
      <c r="G744" s="144" t="n"/>
      <c r="H744" s="145">
        <f>IF(OR(C744="",AND(F744="",G744="")),"",SUMIF(基础资料!$W$5:$W$24,C744,基础资料!$X$5:$X$24)+SUMIF(C$7:C744,C744,F$7:F744)-SUMIF(C$7:C744,C744,G$7:G744))</f>
      </c>
      <c r="I744" s="145">
        <f>IF(AND(F744="",G744=""),"",SUM(基础资料!$X$5:$X$24)+SUM(F$7:F744)-SUM(G$7:G744))</f>
      </c>
      <c r="J744" s="141" t="n"/>
      <c r="K744" s="141" t="n"/>
      <c r="L744" s="141" t="n"/>
      <c r="M744" s="142" t="n"/>
      <c r="N744" s="146">
        <f>IF(AND(AND(F744="",G744=""),B744="",C744="",D744="",J744="",K744="",L744=""),"",IF(AND(F744="",G744=""),"✗ 没填金额",IF(AND(N(F744)&lt;&gt;0,N(G744)&lt;&gt;0),"✗ 收入、支出只能填一边",IF(NOT(ISNUMBER(B744)),"✗ 日期不是真日期（要像 2026/9/25 这样填）",IF(OR(B744&lt;年初日,B744&gt;年末日),"✗ 日期不在本会计年度",IF(C744="","✗ 没选账户",IF(COUNTIF(基础资料!$W$5:$W$24,C744)=0,"✗ 账户不在基础资料里",IF(O744="","✗ 没选收支项目",IF(P744="未知","✗ 收支项目不在基础资料里",IF(AND(P744="应收",J744=""),"✗ 这笔要选客户",IF(AND(P744="应收",COUNTIF(总览汇总!$B$5:$B$304,J744)=0),"✗ 客户不在总览汇总名单里",IF(AND(P744="应付",K744=""),"✗ 这笔要选供应商",IF(AND(P744="应付",COUNTIF(基础资料!$Q$5:$Q$54,K744)=0),"✗ 供应商不在基础资料里",IF(AND(P744="费用",L744=""),"✗ 费用支出要选费用项目",IF(AND(L744&lt;&gt;"",COUNTIF(基础资料!$AI$5:$AI$54,L744)=0),"✗ 费用项目不在基础资料里",IF(AND(IFERROR(INDEX(基础资料!$AD$5:$AD$34,MATCH(O744,基础资料!$AC$5:$AC$34,0)),"")="收",N(G744)&lt;&gt;0),"✗ 这类是收款，金额填到收入列",IF(AND(IFERROR(INDEX(基础资料!$AD$5:$AD$34,MATCH(O744,基础资料!$AC$5:$AC$34,0)),"")="支",N(F744)&lt;&gt;0),"✗ 这类是付款，金额填到支出列",IF(N(H744)&lt;0,"⚠ 账户余额成负数了，核对一下","√"))))))))))))))))))</f>
      </c>
      <c r="O744" s="78">
        <f>IF(D744&lt;&gt;"",D744,IF(AND(F744="",G744=""),"",IF(J744&lt;&gt;"",IF(N(F744)&gt;0,"客户回款","客户退款"),IF(K744&lt;&gt;"",IF(N(G744)&gt;0,"供应商付款","供应商退款"),IF(L744&lt;&gt;"","费用支出","")))))</f>
      </c>
      <c r="P744" s="78">
        <f>IF(O744="","",IFERROR(INDEX(基础资料!$AE$5:$AE$34,MATCH(O744,基础资料!$AC$5:$AC$34,0)),"未知"))</f>
      </c>
      <c r="Q744" s="78">
        <f>IF(P744="应收",COUNTIF(P$7:P744,"应收"),"")</f>
      </c>
      <c r="R744" s="78">
        <f>IF(P744="应付",COUNTIF(P$7:P744,"应付"),"")</f>
      </c>
      <c r="S744" s="78">
        <f>N(F744)-N(G744)</f>
        <v>0</v>
      </c>
    </row>
    <row r="745">
      <c r="A745" s="109">
        <f>IF(AND(F745="",G745=""),"",ROW()-6)</f>
      </c>
      <c r="B745" s="140" t="n"/>
      <c r="C745" s="141" t="n"/>
      <c r="D745" s="141" t="n"/>
      <c r="E745" s="142" t="n"/>
      <c r="F745" s="143" t="n"/>
      <c r="G745" s="144" t="n"/>
      <c r="H745" s="145">
        <f>IF(OR(C745="",AND(F745="",G745="")),"",SUMIF(基础资料!$W$5:$W$24,C745,基础资料!$X$5:$X$24)+SUMIF(C$7:C745,C745,F$7:F745)-SUMIF(C$7:C745,C745,G$7:G745))</f>
      </c>
      <c r="I745" s="145">
        <f>IF(AND(F745="",G745=""),"",SUM(基础资料!$X$5:$X$24)+SUM(F$7:F745)-SUM(G$7:G745))</f>
      </c>
      <c r="J745" s="141" t="n"/>
      <c r="K745" s="141" t="n"/>
      <c r="L745" s="141" t="n"/>
      <c r="M745" s="142" t="n"/>
      <c r="N745" s="146">
        <f>IF(AND(AND(F745="",G745=""),B745="",C745="",D745="",J745="",K745="",L745=""),"",IF(AND(F745="",G745=""),"✗ 没填金额",IF(AND(N(F745)&lt;&gt;0,N(G745)&lt;&gt;0),"✗ 收入、支出只能填一边",IF(NOT(ISNUMBER(B745)),"✗ 日期不是真日期（要像 2026/9/25 这样填）",IF(OR(B745&lt;年初日,B745&gt;年末日),"✗ 日期不在本会计年度",IF(C745="","✗ 没选账户",IF(COUNTIF(基础资料!$W$5:$W$24,C745)=0,"✗ 账户不在基础资料里",IF(O745="","✗ 没选收支项目",IF(P745="未知","✗ 收支项目不在基础资料里",IF(AND(P745="应收",J745=""),"✗ 这笔要选客户",IF(AND(P745="应收",COUNTIF(总览汇总!$B$5:$B$304,J745)=0),"✗ 客户不在总览汇总名单里",IF(AND(P745="应付",K745=""),"✗ 这笔要选供应商",IF(AND(P745="应付",COUNTIF(基础资料!$Q$5:$Q$54,K745)=0),"✗ 供应商不在基础资料里",IF(AND(P745="费用",L745=""),"✗ 费用支出要选费用项目",IF(AND(L745&lt;&gt;"",COUNTIF(基础资料!$AI$5:$AI$54,L745)=0),"✗ 费用项目不在基础资料里",IF(AND(IFERROR(INDEX(基础资料!$AD$5:$AD$34,MATCH(O745,基础资料!$AC$5:$AC$34,0)),"")="收",N(G745)&lt;&gt;0),"✗ 这类是收款，金额填到收入列",IF(AND(IFERROR(INDEX(基础资料!$AD$5:$AD$34,MATCH(O745,基础资料!$AC$5:$AC$34,0)),"")="支",N(F745)&lt;&gt;0),"✗ 这类是付款，金额填到支出列",IF(N(H745)&lt;0,"⚠ 账户余额成负数了，核对一下","√"))))))))))))))))))</f>
      </c>
      <c r="O745" s="78">
        <f>IF(D745&lt;&gt;"",D745,IF(AND(F745="",G745=""),"",IF(J745&lt;&gt;"",IF(N(F745)&gt;0,"客户回款","客户退款"),IF(K745&lt;&gt;"",IF(N(G745)&gt;0,"供应商付款","供应商退款"),IF(L745&lt;&gt;"","费用支出","")))))</f>
      </c>
      <c r="P745" s="78">
        <f>IF(O745="","",IFERROR(INDEX(基础资料!$AE$5:$AE$34,MATCH(O745,基础资料!$AC$5:$AC$34,0)),"未知"))</f>
      </c>
      <c r="Q745" s="78">
        <f>IF(P745="应收",COUNTIF(P$7:P745,"应收"),"")</f>
      </c>
      <c r="R745" s="78">
        <f>IF(P745="应付",COUNTIF(P$7:P745,"应付"),"")</f>
      </c>
      <c r="S745" s="78">
        <f>N(F745)-N(G745)</f>
        <v>0</v>
      </c>
    </row>
    <row r="746">
      <c r="A746" s="109">
        <f>IF(AND(F746="",G746=""),"",ROW()-6)</f>
      </c>
      <c r="B746" s="140" t="n"/>
      <c r="C746" s="141" t="n"/>
      <c r="D746" s="141" t="n"/>
      <c r="E746" s="142" t="n"/>
      <c r="F746" s="143" t="n"/>
      <c r="G746" s="144" t="n"/>
      <c r="H746" s="145">
        <f>IF(OR(C746="",AND(F746="",G746="")),"",SUMIF(基础资料!$W$5:$W$24,C746,基础资料!$X$5:$X$24)+SUMIF(C$7:C746,C746,F$7:F746)-SUMIF(C$7:C746,C746,G$7:G746))</f>
      </c>
      <c r="I746" s="145">
        <f>IF(AND(F746="",G746=""),"",SUM(基础资料!$X$5:$X$24)+SUM(F$7:F746)-SUM(G$7:G746))</f>
      </c>
      <c r="J746" s="141" t="n"/>
      <c r="K746" s="141" t="n"/>
      <c r="L746" s="141" t="n"/>
      <c r="M746" s="142" t="n"/>
      <c r="N746" s="146">
        <f>IF(AND(AND(F746="",G746=""),B746="",C746="",D746="",J746="",K746="",L746=""),"",IF(AND(F746="",G746=""),"✗ 没填金额",IF(AND(N(F746)&lt;&gt;0,N(G746)&lt;&gt;0),"✗ 收入、支出只能填一边",IF(NOT(ISNUMBER(B746)),"✗ 日期不是真日期（要像 2026/9/25 这样填）",IF(OR(B746&lt;年初日,B746&gt;年末日),"✗ 日期不在本会计年度",IF(C746="","✗ 没选账户",IF(COUNTIF(基础资料!$W$5:$W$24,C746)=0,"✗ 账户不在基础资料里",IF(O746="","✗ 没选收支项目",IF(P746="未知","✗ 收支项目不在基础资料里",IF(AND(P746="应收",J746=""),"✗ 这笔要选客户",IF(AND(P746="应收",COUNTIF(总览汇总!$B$5:$B$304,J746)=0),"✗ 客户不在总览汇总名单里",IF(AND(P746="应付",K746=""),"✗ 这笔要选供应商",IF(AND(P746="应付",COUNTIF(基础资料!$Q$5:$Q$54,K746)=0),"✗ 供应商不在基础资料里",IF(AND(P746="费用",L746=""),"✗ 费用支出要选费用项目",IF(AND(L746&lt;&gt;"",COUNTIF(基础资料!$AI$5:$AI$54,L746)=0),"✗ 费用项目不在基础资料里",IF(AND(IFERROR(INDEX(基础资料!$AD$5:$AD$34,MATCH(O746,基础资料!$AC$5:$AC$34,0)),"")="收",N(G746)&lt;&gt;0),"✗ 这类是收款，金额填到收入列",IF(AND(IFERROR(INDEX(基础资料!$AD$5:$AD$34,MATCH(O746,基础资料!$AC$5:$AC$34,0)),"")="支",N(F746)&lt;&gt;0),"✗ 这类是付款，金额填到支出列",IF(N(H746)&lt;0,"⚠ 账户余额成负数了，核对一下","√"))))))))))))))))))</f>
      </c>
      <c r="O746" s="78">
        <f>IF(D746&lt;&gt;"",D746,IF(AND(F746="",G746=""),"",IF(J746&lt;&gt;"",IF(N(F746)&gt;0,"客户回款","客户退款"),IF(K746&lt;&gt;"",IF(N(G746)&gt;0,"供应商付款","供应商退款"),IF(L746&lt;&gt;"","费用支出","")))))</f>
      </c>
      <c r="P746" s="78">
        <f>IF(O746="","",IFERROR(INDEX(基础资料!$AE$5:$AE$34,MATCH(O746,基础资料!$AC$5:$AC$34,0)),"未知"))</f>
      </c>
      <c r="Q746" s="78">
        <f>IF(P746="应收",COUNTIF(P$7:P746,"应收"),"")</f>
      </c>
      <c r="R746" s="78">
        <f>IF(P746="应付",COUNTIF(P$7:P746,"应付"),"")</f>
      </c>
      <c r="S746" s="78">
        <f>N(F746)-N(G746)</f>
        <v>0</v>
      </c>
    </row>
    <row r="747">
      <c r="A747" s="109">
        <f>IF(AND(F747="",G747=""),"",ROW()-6)</f>
      </c>
      <c r="B747" s="140" t="n"/>
      <c r="C747" s="141" t="n"/>
      <c r="D747" s="141" t="n"/>
      <c r="E747" s="142" t="n"/>
      <c r="F747" s="143" t="n"/>
      <c r="G747" s="144" t="n"/>
      <c r="H747" s="145">
        <f>IF(OR(C747="",AND(F747="",G747="")),"",SUMIF(基础资料!$W$5:$W$24,C747,基础资料!$X$5:$X$24)+SUMIF(C$7:C747,C747,F$7:F747)-SUMIF(C$7:C747,C747,G$7:G747))</f>
      </c>
      <c r="I747" s="145">
        <f>IF(AND(F747="",G747=""),"",SUM(基础资料!$X$5:$X$24)+SUM(F$7:F747)-SUM(G$7:G747))</f>
      </c>
      <c r="J747" s="141" t="n"/>
      <c r="K747" s="141" t="n"/>
      <c r="L747" s="141" t="n"/>
      <c r="M747" s="142" t="n"/>
      <c r="N747" s="146">
        <f>IF(AND(AND(F747="",G747=""),B747="",C747="",D747="",J747="",K747="",L747=""),"",IF(AND(F747="",G747=""),"✗ 没填金额",IF(AND(N(F747)&lt;&gt;0,N(G747)&lt;&gt;0),"✗ 收入、支出只能填一边",IF(NOT(ISNUMBER(B747)),"✗ 日期不是真日期（要像 2026/9/25 这样填）",IF(OR(B747&lt;年初日,B747&gt;年末日),"✗ 日期不在本会计年度",IF(C747="","✗ 没选账户",IF(COUNTIF(基础资料!$W$5:$W$24,C747)=0,"✗ 账户不在基础资料里",IF(O747="","✗ 没选收支项目",IF(P747="未知","✗ 收支项目不在基础资料里",IF(AND(P747="应收",J747=""),"✗ 这笔要选客户",IF(AND(P747="应收",COUNTIF(总览汇总!$B$5:$B$304,J747)=0),"✗ 客户不在总览汇总名单里",IF(AND(P747="应付",K747=""),"✗ 这笔要选供应商",IF(AND(P747="应付",COUNTIF(基础资料!$Q$5:$Q$54,K747)=0),"✗ 供应商不在基础资料里",IF(AND(P747="费用",L747=""),"✗ 费用支出要选费用项目",IF(AND(L747&lt;&gt;"",COUNTIF(基础资料!$AI$5:$AI$54,L747)=0),"✗ 费用项目不在基础资料里",IF(AND(IFERROR(INDEX(基础资料!$AD$5:$AD$34,MATCH(O747,基础资料!$AC$5:$AC$34,0)),"")="收",N(G747)&lt;&gt;0),"✗ 这类是收款，金额填到收入列",IF(AND(IFERROR(INDEX(基础资料!$AD$5:$AD$34,MATCH(O747,基础资料!$AC$5:$AC$34,0)),"")="支",N(F747)&lt;&gt;0),"✗ 这类是付款，金额填到支出列",IF(N(H747)&lt;0,"⚠ 账户余额成负数了，核对一下","√"))))))))))))))))))</f>
      </c>
      <c r="O747" s="78">
        <f>IF(D747&lt;&gt;"",D747,IF(AND(F747="",G747=""),"",IF(J747&lt;&gt;"",IF(N(F747)&gt;0,"客户回款","客户退款"),IF(K747&lt;&gt;"",IF(N(G747)&gt;0,"供应商付款","供应商退款"),IF(L747&lt;&gt;"","费用支出","")))))</f>
      </c>
      <c r="P747" s="78">
        <f>IF(O747="","",IFERROR(INDEX(基础资料!$AE$5:$AE$34,MATCH(O747,基础资料!$AC$5:$AC$34,0)),"未知"))</f>
      </c>
      <c r="Q747" s="78">
        <f>IF(P747="应收",COUNTIF(P$7:P747,"应收"),"")</f>
      </c>
      <c r="R747" s="78">
        <f>IF(P747="应付",COUNTIF(P$7:P747,"应付"),"")</f>
      </c>
      <c r="S747" s="78">
        <f>N(F747)-N(G747)</f>
        <v>0</v>
      </c>
    </row>
    <row r="748">
      <c r="A748" s="109">
        <f>IF(AND(F748="",G748=""),"",ROW()-6)</f>
      </c>
      <c r="B748" s="140" t="n"/>
      <c r="C748" s="141" t="n"/>
      <c r="D748" s="141" t="n"/>
      <c r="E748" s="142" t="n"/>
      <c r="F748" s="143" t="n"/>
      <c r="G748" s="144" t="n"/>
      <c r="H748" s="145">
        <f>IF(OR(C748="",AND(F748="",G748="")),"",SUMIF(基础资料!$W$5:$W$24,C748,基础资料!$X$5:$X$24)+SUMIF(C$7:C748,C748,F$7:F748)-SUMIF(C$7:C748,C748,G$7:G748))</f>
      </c>
      <c r="I748" s="145">
        <f>IF(AND(F748="",G748=""),"",SUM(基础资料!$X$5:$X$24)+SUM(F$7:F748)-SUM(G$7:G748))</f>
      </c>
      <c r="J748" s="141" t="n"/>
      <c r="K748" s="141" t="n"/>
      <c r="L748" s="141" t="n"/>
      <c r="M748" s="142" t="n"/>
      <c r="N748" s="146">
        <f>IF(AND(AND(F748="",G748=""),B748="",C748="",D748="",J748="",K748="",L748=""),"",IF(AND(F748="",G748=""),"✗ 没填金额",IF(AND(N(F748)&lt;&gt;0,N(G748)&lt;&gt;0),"✗ 收入、支出只能填一边",IF(NOT(ISNUMBER(B748)),"✗ 日期不是真日期（要像 2026/9/25 这样填）",IF(OR(B748&lt;年初日,B748&gt;年末日),"✗ 日期不在本会计年度",IF(C748="","✗ 没选账户",IF(COUNTIF(基础资料!$W$5:$W$24,C748)=0,"✗ 账户不在基础资料里",IF(O748="","✗ 没选收支项目",IF(P748="未知","✗ 收支项目不在基础资料里",IF(AND(P748="应收",J748=""),"✗ 这笔要选客户",IF(AND(P748="应收",COUNTIF(总览汇总!$B$5:$B$304,J748)=0),"✗ 客户不在总览汇总名单里",IF(AND(P748="应付",K748=""),"✗ 这笔要选供应商",IF(AND(P748="应付",COUNTIF(基础资料!$Q$5:$Q$54,K748)=0),"✗ 供应商不在基础资料里",IF(AND(P748="费用",L748=""),"✗ 费用支出要选费用项目",IF(AND(L748&lt;&gt;"",COUNTIF(基础资料!$AI$5:$AI$54,L748)=0),"✗ 费用项目不在基础资料里",IF(AND(IFERROR(INDEX(基础资料!$AD$5:$AD$34,MATCH(O748,基础资料!$AC$5:$AC$34,0)),"")="收",N(G748)&lt;&gt;0),"✗ 这类是收款，金额填到收入列",IF(AND(IFERROR(INDEX(基础资料!$AD$5:$AD$34,MATCH(O748,基础资料!$AC$5:$AC$34,0)),"")="支",N(F748)&lt;&gt;0),"✗ 这类是付款，金额填到支出列",IF(N(H748)&lt;0,"⚠ 账户余额成负数了，核对一下","√"))))))))))))))))))</f>
      </c>
      <c r="O748" s="78">
        <f>IF(D748&lt;&gt;"",D748,IF(AND(F748="",G748=""),"",IF(J748&lt;&gt;"",IF(N(F748)&gt;0,"客户回款","客户退款"),IF(K748&lt;&gt;"",IF(N(G748)&gt;0,"供应商付款","供应商退款"),IF(L748&lt;&gt;"","费用支出","")))))</f>
      </c>
      <c r="P748" s="78">
        <f>IF(O748="","",IFERROR(INDEX(基础资料!$AE$5:$AE$34,MATCH(O748,基础资料!$AC$5:$AC$34,0)),"未知"))</f>
      </c>
      <c r="Q748" s="78">
        <f>IF(P748="应收",COUNTIF(P$7:P748,"应收"),"")</f>
      </c>
      <c r="R748" s="78">
        <f>IF(P748="应付",COUNTIF(P$7:P748,"应付"),"")</f>
      </c>
      <c r="S748" s="78">
        <f>N(F748)-N(G748)</f>
        <v>0</v>
      </c>
    </row>
    <row r="749">
      <c r="A749" s="109">
        <f>IF(AND(F749="",G749=""),"",ROW()-6)</f>
      </c>
      <c r="B749" s="140" t="n"/>
      <c r="C749" s="141" t="n"/>
      <c r="D749" s="141" t="n"/>
      <c r="E749" s="142" t="n"/>
      <c r="F749" s="143" t="n"/>
      <c r="G749" s="144" t="n"/>
      <c r="H749" s="145">
        <f>IF(OR(C749="",AND(F749="",G749="")),"",SUMIF(基础资料!$W$5:$W$24,C749,基础资料!$X$5:$X$24)+SUMIF(C$7:C749,C749,F$7:F749)-SUMIF(C$7:C749,C749,G$7:G749))</f>
      </c>
      <c r="I749" s="145">
        <f>IF(AND(F749="",G749=""),"",SUM(基础资料!$X$5:$X$24)+SUM(F$7:F749)-SUM(G$7:G749))</f>
      </c>
      <c r="J749" s="141" t="n"/>
      <c r="K749" s="141" t="n"/>
      <c r="L749" s="141" t="n"/>
      <c r="M749" s="142" t="n"/>
      <c r="N749" s="146">
        <f>IF(AND(AND(F749="",G749=""),B749="",C749="",D749="",J749="",K749="",L749=""),"",IF(AND(F749="",G749=""),"✗ 没填金额",IF(AND(N(F749)&lt;&gt;0,N(G749)&lt;&gt;0),"✗ 收入、支出只能填一边",IF(NOT(ISNUMBER(B749)),"✗ 日期不是真日期（要像 2026/9/25 这样填）",IF(OR(B749&lt;年初日,B749&gt;年末日),"✗ 日期不在本会计年度",IF(C749="","✗ 没选账户",IF(COUNTIF(基础资料!$W$5:$W$24,C749)=0,"✗ 账户不在基础资料里",IF(O749="","✗ 没选收支项目",IF(P749="未知","✗ 收支项目不在基础资料里",IF(AND(P749="应收",J749=""),"✗ 这笔要选客户",IF(AND(P749="应收",COUNTIF(总览汇总!$B$5:$B$304,J749)=0),"✗ 客户不在总览汇总名单里",IF(AND(P749="应付",K749=""),"✗ 这笔要选供应商",IF(AND(P749="应付",COUNTIF(基础资料!$Q$5:$Q$54,K749)=0),"✗ 供应商不在基础资料里",IF(AND(P749="费用",L749=""),"✗ 费用支出要选费用项目",IF(AND(L749&lt;&gt;"",COUNTIF(基础资料!$AI$5:$AI$54,L749)=0),"✗ 费用项目不在基础资料里",IF(AND(IFERROR(INDEX(基础资料!$AD$5:$AD$34,MATCH(O749,基础资料!$AC$5:$AC$34,0)),"")="收",N(G749)&lt;&gt;0),"✗ 这类是收款，金额填到收入列",IF(AND(IFERROR(INDEX(基础资料!$AD$5:$AD$34,MATCH(O749,基础资料!$AC$5:$AC$34,0)),"")="支",N(F749)&lt;&gt;0),"✗ 这类是付款，金额填到支出列",IF(N(H749)&lt;0,"⚠ 账户余额成负数了，核对一下","√"))))))))))))))))))</f>
      </c>
      <c r="O749" s="78">
        <f>IF(D749&lt;&gt;"",D749,IF(AND(F749="",G749=""),"",IF(J749&lt;&gt;"",IF(N(F749)&gt;0,"客户回款","客户退款"),IF(K749&lt;&gt;"",IF(N(G749)&gt;0,"供应商付款","供应商退款"),IF(L749&lt;&gt;"","费用支出","")))))</f>
      </c>
      <c r="P749" s="78">
        <f>IF(O749="","",IFERROR(INDEX(基础资料!$AE$5:$AE$34,MATCH(O749,基础资料!$AC$5:$AC$34,0)),"未知"))</f>
      </c>
      <c r="Q749" s="78">
        <f>IF(P749="应收",COUNTIF(P$7:P749,"应收"),"")</f>
      </c>
      <c r="R749" s="78">
        <f>IF(P749="应付",COUNTIF(P$7:P749,"应付"),"")</f>
      </c>
      <c r="S749" s="78">
        <f>N(F749)-N(G749)</f>
        <v>0</v>
      </c>
    </row>
    <row r="750">
      <c r="A750" s="109">
        <f>IF(AND(F750="",G750=""),"",ROW()-6)</f>
      </c>
      <c r="B750" s="140" t="n"/>
      <c r="C750" s="141" t="n"/>
      <c r="D750" s="141" t="n"/>
      <c r="E750" s="142" t="n"/>
      <c r="F750" s="143" t="n"/>
      <c r="G750" s="144" t="n"/>
      <c r="H750" s="145">
        <f>IF(OR(C750="",AND(F750="",G750="")),"",SUMIF(基础资料!$W$5:$W$24,C750,基础资料!$X$5:$X$24)+SUMIF(C$7:C750,C750,F$7:F750)-SUMIF(C$7:C750,C750,G$7:G750))</f>
      </c>
      <c r="I750" s="145">
        <f>IF(AND(F750="",G750=""),"",SUM(基础资料!$X$5:$X$24)+SUM(F$7:F750)-SUM(G$7:G750))</f>
      </c>
      <c r="J750" s="141" t="n"/>
      <c r="K750" s="141" t="n"/>
      <c r="L750" s="141" t="n"/>
      <c r="M750" s="142" t="n"/>
      <c r="N750" s="146">
        <f>IF(AND(AND(F750="",G750=""),B750="",C750="",D750="",J750="",K750="",L750=""),"",IF(AND(F750="",G750=""),"✗ 没填金额",IF(AND(N(F750)&lt;&gt;0,N(G750)&lt;&gt;0),"✗ 收入、支出只能填一边",IF(NOT(ISNUMBER(B750)),"✗ 日期不是真日期（要像 2026/9/25 这样填）",IF(OR(B750&lt;年初日,B750&gt;年末日),"✗ 日期不在本会计年度",IF(C750="","✗ 没选账户",IF(COUNTIF(基础资料!$W$5:$W$24,C750)=0,"✗ 账户不在基础资料里",IF(O750="","✗ 没选收支项目",IF(P750="未知","✗ 收支项目不在基础资料里",IF(AND(P750="应收",J750=""),"✗ 这笔要选客户",IF(AND(P750="应收",COUNTIF(总览汇总!$B$5:$B$304,J750)=0),"✗ 客户不在总览汇总名单里",IF(AND(P750="应付",K750=""),"✗ 这笔要选供应商",IF(AND(P750="应付",COUNTIF(基础资料!$Q$5:$Q$54,K750)=0),"✗ 供应商不在基础资料里",IF(AND(P750="费用",L750=""),"✗ 费用支出要选费用项目",IF(AND(L750&lt;&gt;"",COUNTIF(基础资料!$AI$5:$AI$54,L750)=0),"✗ 费用项目不在基础资料里",IF(AND(IFERROR(INDEX(基础资料!$AD$5:$AD$34,MATCH(O750,基础资料!$AC$5:$AC$34,0)),"")="收",N(G750)&lt;&gt;0),"✗ 这类是收款，金额填到收入列",IF(AND(IFERROR(INDEX(基础资料!$AD$5:$AD$34,MATCH(O750,基础资料!$AC$5:$AC$34,0)),"")="支",N(F750)&lt;&gt;0),"✗ 这类是付款，金额填到支出列",IF(N(H750)&lt;0,"⚠ 账户余额成负数了，核对一下","√"))))))))))))))))))</f>
      </c>
      <c r="O750" s="78">
        <f>IF(D750&lt;&gt;"",D750,IF(AND(F750="",G750=""),"",IF(J750&lt;&gt;"",IF(N(F750)&gt;0,"客户回款","客户退款"),IF(K750&lt;&gt;"",IF(N(G750)&gt;0,"供应商付款","供应商退款"),IF(L750&lt;&gt;"","费用支出","")))))</f>
      </c>
      <c r="P750" s="78">
        <f>IF(O750="","",IFERROR(INDEX(基础资料!$AE$5:$AE$34,MATCH(O750,基础资料!$AC$5:$AC$34,0)),"未知"))</f>
      </c>
      <c r="Q750" s="78">
        <f>IF(P750="应收",COUNTIF(P$7:P750,"应收"),"")</f>
      </c>
      <c r="R750" s="78">
        <f>IF(P750="应付",COUNTIF(P$7:P750,"应付"),"")</f>
      </c>
      <c r="S750" s="78">
        <f>N(F750)-N(G750)</f>
        <v>0</v>
      </c>
    </row>
    <row r="751">
      <c r="A751" s="109">
        <f>IF(AND(F751="",G751=""),"",ROW()-6)</f>
      </c>
      <c r="B751" s="140" t="n"/>
      <c r="C751" s="141" t="n"/>
      <c r="D751" s="141" t="n"/>
      <c r="E751" s="142" t="n"/>
      <c r="F751" s="143" t="n"/>
      <c r="G751" s="144" t="n"/>
      <c r="H751" s="145">
        <f>IF(OR(C751="",AND(F751="",G751="")),"",SUMIF(基础资料!$W$5:$W$24,C751,基础资料!$X$5:$X$24)+SUMIF(C$7:C751,C751,F$7:F751)-SUMIF(C$7:C751,C751,G$7:G751))</f>
      </c>
      <c r="I751" s="145">
        <f>IF(AND(F751="",G751=""),"",SUM(基础资料!$X$5:$X$24)+SUM(F$7:F751)-SUM(G$7:G751))</f>
      </c>
      <c r="J751" s="141" t="n"/>
      <c r="K751" s="141" t="n"/>
      <c r="L751" s="141" t="n"/>
      <c r="M751" s="142" t="n"/>
      <c r="N751" s="146">
        <f>IF(AND(AND(F751="",G751=""),B751="",C751="",D751="",J751="",K751="",L751=""),"",IF(AND(F751="",G751=""),"✗ 没填金额",IF(AND(N(F751)&lt;&gt;0,N(G751)&lt;&gt;0),"✗ 收入、支出只能填一边",IF(NOT(ISNUMBER(B751)),"✗ 日期不是真日期（要像 2026/9/25 这样填）",IF(OR(B751&lt;年初日,B751&gt;年末日),"✗ 日期不在本会计年度",IF(C751="","✗ 没选账户",IF(COUNTIF(基础资料!$W$5:$W$24,C751)=0,"✗ 账户不在基础资料里",IF(O751="","✗ 没选收支项目",IF(P751="未知","✗ 收支项目不在基础资料里",IF(AND(P751="应收",J751=""),"✗ 这笔要选客户",IF(AND(P751="应收",COUNTIF(总览汇总!$B$5:$B$304,J751)=0),"✗ 客户不在总览汇总名单里",IF(AND(P751="应付",K751=""),"✗ 这笔要选供应商",IF(AND(P751="应付",COUNTIF(基础资料!$Q$5:$Q$54,K751)=0),"✗ 供应商不在基础资料里",IF(AND(P751="费用",L751=""),"✗ 费用支出要选费用项目",IF(AND(L751&lt;&gt;"",COUNTIF(基础资料!$AI$5:$AI$54,L751)=0),"✗ 费用项目不在基础资料里",IF(AND(IFERROR(INDEX(基础资料!$AD$5:$AD$34,MATCH(O751,基础资料!$AC$5:$AC$34,0)),"")="收",N(G751)&lt;&gt;0),"✗ 这类是收款，金额填到收入列",IF(AND(IFERROR(INDEX(基础资料!$AD$5:$AD$34,MATCH(O751,基础资料!$AC$5:$AC$34,0)),"")="支",N(F751)&lt;&gt;0),"✗ 这类是付款，金额填到支出列",IF(N(H751)&lt;0,"⚠ 账户余额成负数了，核对一下","√"))))))))))))))))))</f>
      </c>
      <c r="O751" s="78">
        <f>IF(D751&lt;&gt;"",D751,IF(AND(F751="",G751=""),"",IF(J751&lt;&gt;"",IF(N(F751)&gt;0,"客户回款","客户退款"),IF(K751&lt;&gt;"",IF(N(G751)&gt;0,"供应商付款","供应商退款"),IF(L751&lt;&gt;"","费用支出","")))))</f>
      </c>
      <c r="P751" s="78">
        <f>IF(O751="","",IFERROR(INDEX(基础资料!$AE$5:$AE$34,MATCH(O751,基础资料!$AC$5:$AC$34,0)),"未知"))</f>
      </c>
      <c r="Q751" s="78">
        <f>IF(P751="应收",COUNTIF(P$7:P751,"应收"),"")</f>
      </c>
      <c r="R751" s="78">
        <f>IF(P751="应付",COUNTIF(P$7:P751,"应付"),"")</f>
      </c>
      <c r="S751" s="78">
        <f>N(F751)-N(G751)</f>
        <v>0</v>
      </c>
    </row>
    <row r="752">
      <c r="A752" s="109">
        <f>IF(AND(F752="",G752=""),"",ROW()-6)</f>
      </c>
      <c r="B752" s="140" t="n"/>
      <c r="C752" s="141" t="n"/>
      <c r="D752" s="141" t="n"/>
      <c r="E752" s="142" t="n"/>
      <c r="F752" s="143" t="n"/>
      <c r="G752" s="144" t="n"/>
      <c r="H752" s="145">
        <f>IF(OR(C752="",AND(F752="",G752="")),"",SUMIF(基础资料!$W$5:$W$24,C752,基础资料!$X$5:$X$24)+SUMIF(C$7:C752,C752,F$7:F752)-SUMIF(C$7:C752,C752,G$7:G752))</f>
      </c>
      <c r="I752" s="145">
        <f>IF(AND(F752="",G752=""),"",SUM(基础资料!$X$5:$X$24)+SUM(F$7:F752)-SUM(G$7:G752))</f>
      </c>
      <c r="J752" s="141" t="n"/>
      <c r="K752" s="141" t="n"/>
      <c r="L752" s="141" t="n"/>
      <c r="M752" s="142" t="n"/>
      <c r="N752" s="146">
        <f>IF(AND(AND(F752="",G752=""),B752="",C752="",D752="",J752="",K752="",L752=""),"",IF(AND(F752="",G752=""),"✗ 没填金额",IF(AND(N(F752)&lt;&gt;0,N(G752)&lt;&gt;0),"✗ 收入、支出只能填一边",IF(NOT(ISNUMBER(B752)),"✗ 日期不是真日期（要像 2026/9/25 这样填）",IF(OR(B752&lt;年初日,B752&gt;年末日),"✗ 日期不在本会计年度",IF(C752="","✗ 没选账户",IF(COUNTIF(基础资料!$W$5:$W$24,C752)=0,"✗ 账户不在基础资料里",IF(O752="","✗ 没选收支项目",IF(P752="未知","✗ 收支项目不在基础资料里",IF(AND(P752="应收",J752=""),"✗ 这笔要选客户",IF(AND(P752="应收",COUNTIF(总览汇总!$B$5:$B$304,J752)=0),"✗ 客户不在总览汇总名单里",IF(AND(P752="应付",K752=""),"✗ 这笔要选供应商",IF(AND(P752="应付",COUNTIF(基础资料!$Q$5:$Q$54,K752)=0),"✗ 供应商不在基础资料里",IF(AND(P752="费用",L752=""),"✗ 费用支出要选费用项目",IF(AND(L752&lt;&gt;"",COUNTIF(基础资料!$AI$5:$AI$54,L752)=0),"✗ 费用项目不在基础资料里",IF(AND(IFERROR(INDEX(基础资料!$AD$5:$AD$34,MATCH(O752,基础资料!$AC$5:$AC$34,0)),"")="收",N(G752)&lt;&gt;0),"✗ 这类是收款，金额填到收入列",IF(AND(IFERROR(INDEX(基础资料!$AD$5:$AD$34,MATCH(O752,基础资料!$AC$5:$AC$34,0)),"")="支",N(F752)&lt;&gt;0),"✗ 这类是付款，金额填到支出列",IF(N(H752)&lt;0,"⚠ 账户余额成负数了，核对一下","√"))))))))))))))))))</f>
      </c>
      <c r="O752" s="78">
        <f>IF(D752&lt;&gt;"",D752,IF(AND(F752="",G752=""),"",IF(J752&lt;&gt;"",IF(N(F752)&gt;0,"客户回款","客户退款"),IF(K752&lt;&gt;"",IF(N(G752)&gt;0,"供应商付款","供应商退款"),IF(L752&lt;&gt;"","费用支出","")))))</f>
      </c>
      <c r="P752" s="78">
        <f>IF(O752="","",IFERROR(INDEX(基础资料!$AE$5:$AE$34,MATCH(O752,基础资料!$AC$5:$AC$34,0)),"未知"))</f>
      </c>
      <c r="Q752" s="78">
        <f>IF(P752="应收",COUNTIF(P$7:P752,"应收"),"")</f>
      </c>
      <c r="R752" s="78">
        <f>IF(P752="应付",COUNTIF(P$7:P752,"应付"),"")</f>
      </c>
      <c r="S752" s="78">
        <f>N(F752)-N(G752)</f>
        <v>0</v>
      </c>
    </row>
    <row r="753">
      <c r="A753" s="109">
        <f>IF(AND(F753="",G753=""),"",ROW()-6)</f>
      </c>
      <c r="B753" s="140" t="n"/>
      <c r="C753" s="141" t="n"/>
      <c r="D753" s="141" t="n"/>
      <c r="E753" s="142" t="n"/>
      <c r="F753" s="143" t="n"/>
      <c r="G753" s="144" t="n"/>
      <c r="H753" s="145">
        <f>IF(OR(C753="",AND(F753="",G753="")),"",SUMIF(基础资料!$W$5:$W$24,C753,基础资料!$X$5:$X$24)+SUMIF(C$7:C753,C753,F$7:F753)-SUMIF(C$7:C753,C753,G$7:G753))</f>
      </c>
      <c r="I753" s="145">
        <f>IF(AND(F753="",G753=""),"",SUM(基础资料!$X$5:$X$24)+SUM(F$7:F753)-SUM(G$7:G753))</f>
      </c>
      <c r="J753" s="141" t="n"/>
      <c r="K753" s="141" t="n"/>
      <c r="L753" s="141" t="n"/>
      <c r="M753" s="142" t="n"/>
      <c r="N753" s="146">
        <f>IF(AND(AND(F753="",G753=""),B753="",C753="",D753="",J753="",K753="",L753=""),"",IF(AND(F753="",G753=""),"✗ 没填金额",IF(AND(N(F753)&lt;&gt;0,N(G753)&lt;&gt;0),"✗ 收入、支出只能填一边",IF(NOT(ISNUMBER(B753)),"✗ 日期不是真日期（要像 2026/9/25 这样填）",IF(OR(B753&lt;年初日,B753&gt;年末日),"✗ 日期不在本会计年度",IF(C753="","✗ 没选账户",IF(COUNTIF(基础资料!$W$5:$W$24,C753)=0,"✗ 账户不在基础资料里",IF(O753="","✗ 没选收支项目",IF(P753="未知","✗ 收支项目不在基础资料里",IF(AND(P753="应收",J753=""),"✗ 这笔要选客户",IF(AND(P753="应收",COUNTIF(总览汇总!$B$5:$B$304,J753)=0),"✗ 客户不在总览汇总名单里",IF(AND(P753="应付",K753=""),"✗ 这笔要选供应商",IF(AND(P753="应付",COUNTIF(基础资料!$Q$5:$Q$54,K753)=0),"✗ 供应商不在基础资料里",IF(AND(P753="费用",L753=""),"✗ 费用支出要选费用项目",IF(AND(L753&lt;&gt;"",COUNTIF(基础资料!$AI$5:$AI$54,L753)=0),"✗ 费用项目不在基础资料里",IF(AND(IFERROR(INDEX(基础资料!$AD$5:$AD$34,MATCH(O753,基础资料!$AC$5:$AC$34,0)),"")="收",N(G753)&lt;&gt;0),"✗ 这类是收款，金额填到收入列",IF(AND(IFERROR(INDEX(基础资料!$AD$5:$AD$34,MATCH(O753,基础资料!$AC$5:$AC$34,0)),"")="支",N(F753)&lt;&gt;0),"✗ 这类是付款，金额填到支出列",IF(N(H753)&lt;0,"⚠ 账户余额成负数了，核对一下","√"))))))))))))))))))</f>
      </c>
      <c r="O753" s="78">
        <f>IF(D753&lt;&gt;"",D753,IF(AND(F753="",G753=""),"",IF(J753&lt;&gt;"",IF(N(F753)&gt;0,"客户回款","客户退款"),IF(K753&lt;&gt;"",IF(N(G753)&gt;0,"供应商付款","供应商退款"),IF(L753&lt;&gt;"","费用支出","")))))</f>
      </c>
      <c r="P753" s="78">
        <f>IF(O753="","",IFERROR(INDEX(基础资料!$AE$5:$AE$34,MATCH(O753,基础资料!$AC$5:$AC$34,0)),"未知"))</f>
      </c>
      <c r="Q753" s="78">
        <f>IF(P753="应收",COUNTIF(P$7:P753,"应收"),"")</f>
      </c>
      <c r="R753" s="78">
        <f>IF(P753="应付",COUNTIF(P$7:P753,"应付"),"")</f>
      </c>
      <c r="S753" s="78">
        <f>N(F753)-N(G753)</f>
        <v>0</v>
      </c>
    </row>
    <row r="754">
      <c r="A754" s="109">
        <f>IF(AND(F754="",G754=""),"",ROW()-6)</f>
      </c>
      <c r="B754" s="140" t="n"/>
      <c r="C754" s="141" t="n"/>
      <c r="D754" s="141" t="n"/>
      <c r="E754" s="142" t="n"/>
      <c r="F754" s="143" t="n"/>
      <c r="G754" s="144" t="n"/>
      <c r="H754" s="145">
        <f>IF(OR(C754="",AND(F754="",G754="")),"",SUMIF(基础资料!$W$5:$W$24,C754,基础资料!$X$5:$X$24)+SUMIF(C$7:C754,C754,F$7:F754)-SUMIF(C$7:C754,C754,G$7:G754))</f>
      </c>
      <c r="I754" s="145">
        <f>IF(AND(F754="",G754=""),"",SUM(基础资料!$X$5:$X$24)+SUM(F$7:F754)-SUM(G$7:G754))</f>
      </c>
      <c r="J754" s="141" t="n"/>
      <c r="K754" s="141" t="n"/>
      <c r="L754" s="141" t="n"/>
      <c r="M754" s="142" t="n"/>
      <c r="N754" s="146">
        <f>IF(AND(AND(F754="",G754=""),B754="",C754="",D754="",J754="",K754="",L754=""),"",IF(AND(F754="",G754=""),"✗ 没填金额",IF(AND(N(F754)&lt;&gt;0,N(G754)&lt;&gt;0),"✗ 收入、支出只能填一边",IF(NOT(ISNUMBER(B754)),"✗ 日期不是真日期（要像 2026/9/25 这样填）",IF(OR(B754&lt;年初日,B754&gt;年末日),"✗ 日期不在本会计年度",IF(C754="","✗ 没选账户",IF(COUNTIF(基础资料!$W$5:$W$24,C754)=0,"✗ 账户不在基础资料里",IF(O754="","✗ 没选收支项目",IF(P754="未知","✗ 收支项目不在基础资料里",IF(AND(P754="应收",J754=""),"✗ 这笔要选客户",IF(AND(P754="应收",COUNTIF(总览汇总!$B$5:$B$304,J754)=0),"✗ 客户不在总览汇总名单里",IF(AND(P754="应付",K754=""),"✗ 这笔要选供应商",IF(AND(P754="应付",COUNTIF(基础资料!$Q$5:$Q$54,K754)=0),"✗ 供应商不在基础资料里",IF(AND(P754="费用",L754=""),"✗ 费用支出要选费用项目",IF(AND(L754&lt;&gt;"",COUNTIF(基础资料!$AI$5:$AI$54,L754)=0),"✗ 费用项目不在基础资料里",IF(AND(IFERROR(INDEX(基础资料!$AD$5:$AD$34,MATCH(O754,基础资料!$AC$5:$AC$34,0)),"")="收",N(G754)&lt;&gt;0),"✗ 这类是收款，金额填到收入列",IF(AND(IFERROR(INDEX(基础资料!$AD$5:$AD$34,MATCH(O754,基础资料!$AC$5:$AC$34,0)),"")="支",N(F754)&lt;&gt;0),"✗ 这类是付款，金额填到支出列",IF(N(H754)&lt;0,"⚠ 账户余额成负数了，核对一下","√"))))))))))))))))))</f>
      </c>
      <c r="O754" s="78">
        <f>IF(D754&lt;&gt;"",D754,IF(AND(F754="",G754=""),"",IF(J754&lt;&gt;"",IF(N(F754)&gt;0,"客户回款","客户退款"),IF(K754&lt;&gt;"",IF(N(G754)&gt;0,"供应商付款","供应商退款"),IF(L754&lt;&gt;"","费用支出","")))))</f>
      </c>
      <c r="P754" s="78">
        <f>IF(O754="","",IFERROR(INDEX(基础资料!$AE$5:$AE$34,MATCH(O754,基础资料!$AC$5:$AC$34,0)),"未知"))</f>
      </c>
      <c r="Q754" s="78">
        <f>IF(P754="应收",COUNTIF(P$7:P754,"应收"),"")</f>
      </c>
      <c r="R754" s="78">
        <f>IF(P754="应付",COUNTIF(P$7:P754,"应付"),"")</f>
      </c>
      <c r="S754" s="78">
        <f>N(F754)-N(G754)</f>
        <v>0</v>
      </c>
    </row>
    <row r="755">
      <c r="A755" s="109">
        <f>IF(AND(F755="",G755=""),"",ROW()-6)</f>
      </c>
      <c r="B755" s="140" t="n"/>
      <c r="C755" s="141" t="n"/>
      <c r="D755" s="141" t="n"/>
      <c r="E755" s="142" t="n"/>
      <c r="F755" s="143" t="n"/>
      <c r="G755" s="144" t="n"/>
      <c r="H755" s="145">
        <f>IF(OR(C755="",AND(F755="",G755="")),"",SUMIF(基础资料!$W$5:$W$24,C755,基础资料!$X$5:$X$24)+SUMIF(C$7:C755,C755,F$7:F755)-SUMIF(C$7:C755,C755,G$7:G755))</f>
      </c>
      <c r="I755" s="145">
        <f>IF(AND(F755="",G755=""),"",SUM(基础资料!$X$5:$X$24)+SUM(F$7:F755)-SUM(G$7:G755))</f>
      </c>
      <c r="J755" s="141" t="n"/>
      <c r="K755" s="141" t="n"/>
      <c r="L755" s="141" t="n"/>
      <c r="M755" s="142" t="n"/>
      <c r="N755" s="146">
        <f>IF(AND(AND(F755="",G755=""),B755="",C755="",D755="",J755="",K755="",L755=""),"",IF(AND(F755="",G755=""),"✗ 没填金额",IF(AND(N(F755)&lt;&gt;0,N(G755)&lt;&gt;0),"✗ 收入、支出只能填一边",IF(NOT(ISNUMBER(B755)),"✗ 日期不是真日期（要像 2026/9/25 这样填）",IF(OR(B755&lt;年初日,B755&gt;年末日),"✗ 日期不在本会计年度",IF(C755="","✗ 没选账户",IF(COUNTIF(基础资料!$W$5:$W$24,C755)=0,"✗ 账户不在基础资料里",IF(O755="","✗ 没选收支项目",IF(P755="未知","✗ 收支项目不在基础资料里",IF(AND(P755="应收",J755=""),"✗ 这笔要选客户",IF(AND(P755="应收",COUNTIF(总览汇总!$B$5:$B$304,J755)=0),"✗ 客户不在总览汇总名单里",IF(AND(P755="应付",K755=""),"✗ 这笔要选供应商",IF(AND(P755="应付",COUNTIF(基础资料!$Q$5:$Q$54,K755)=0),"✗ 供应商不在基础资料里",IF(AND(P755="费用",L755=""),"✗ 费用支出要选费用项目",IF(AND(L755&lt;&gt;"",COUNTIF(基础资料!$AI$5:$AI$54,L755)=0),"✗ 费用项目不在基础资料里",IF(AND(IFERROR(INDEX(基础资料!$AD$5:$AD$34,MATCH(O755,基础资料!$AC$5:$AC$34,0)),"")="收",N(G755)&lt;&gt;0),"✗ 这类是收款，金额填到收入列",IF(AND(IFERROR(INDEX(基础资料!$AD$5:$AD$34,MATCH(O755,基础资料!$AC$5:$AC$34,0)),"")="支",N(F755)&lt;&gt;0),"✗ 这类是付款，金额填到支出列",IF(N(H755)&lt;0,"⚠ 账户余额成负数了，核对一下","√"))))))))))))))))))</f>
      </c>
      <c r="O755" s="78">
        <f>IF(D755&lt;&gt;"",D755,IF(AND(F755="",G755=""),"",IF(J755&lt;&gt;"",IF(N(F755)&gt;0,"客户回款","客户退款"),IF(K755&lt;&gt;"",IF(N(G755)&gt;0,"供应商付款","供应商退款"),IF(L755&lt;&gt;"","费用支出","")))))</f>
      </c>
      <c r="P755" s="78">
        <f>IF(O755="","",IFERROR(INDEX(基础资料!$AE$5:$AE$34,MATCH(O755,基础资料!$AC$5:$AC$34,0)),"未知"))</f>
      </c>
      <c r="Q755" s="78">
        <f>IF(P755="应收",COUNTIF(P$7:P755,"应收"),"")</f>
      </c>
      <c r="R755" s="78">
        <f>IF(P755="应付",COUNTIF(P$7:P755,"应付"),"")</f>
      </c>
      <c r="S755" s="78">
        <f>N(F755)-N(G755)</f>
        <v>0</v>
      </c>
    </row>
    <row r="756">
      <c r="A756" s="109">
        <f>IF(AND(F756="",G756=""),"",ROW()-6)</f>
      </c>
      <c r="B756" s="140" t="n"/>
      <c r="C756" s="141" t="n"/>
      <c r="D756" s="141" t="n"/>
      <c r="E756" s="142" t="n"/>
      <c r="F756" s="143" t="n"/>
      <c r="G756" s="144" t="n"/>
      <c r="H756" s="145">
        <f>IF(OR(C756="",AND(F756="",G756="")),"",SUMIF(基础资料!$W$5:$W$24,C756,基础资料!$X$5:$X$24)+SUMIF(C$7:C756,C756,F$7:F756)-SUMIF(C$7:C756,C756,G$7:G756))</f>
      </c>
      <c r="I756" s="145">
        <f>IF(AND(F756="",G756=""),"",SUM(基础资料!$X$5:$X$24)+SUM(F$7:F756)-SUM(G$7:G756))</f>
      </c>
      <c r="J756" s="141" t="n"/>
      <c r="K756" s="141" t="n"/>
      <c r="L756" s="141" t="n"/>
      <c r="M756" s="142" t="n"/>
      <c r="N756" s="146">
        <f>IF(AND(AND(F756="",G756=""),B756="",C756="",D756="",J756="",K756="",L756=""),"",IF(AND(F756="",G756=""),"✗ 没填金额",IF(AND(N(F756)&lt;&gt;0,N(G756)&lt;&gt;0),"✗ 收入、支出只能填一边",IF(NOT(ISNUMBER(B756)),"✗ 日期不是真日期（要像 2026/9/25 这样填）",IF(OR(B756&lt;年初日,B756&gt;年末日),"✗ 日期不在本会计年度",IF(C756="","✗ 没选账户",IF(COUNTIF(基础资料!$W$5:$W$24,C756)=0,"✗ 账户不在基础资料里",IF(O756="","✗ 没选收支项目",IF(P756="未知","✗ 收支项目不在基础资料里",IF(AND(P756="应收",J756=""),"✗ 这笔要选客户",IF(AND(P756="应收",COUNTIF(总览汇总!$B$5:$B$304,J756)=0),"✗ 客户不在总览汇总名单里",IF(AND(P756="应付",K756=""),"✗ 这笔要选供应商",IF(AND(P756="应付",COUNTIF(基础资料!$Q$5:$Q$54,K756)=0),"✗ 供应商不在基础资料里",IF(AND(P756="费用",L756=""),"✗ 费用支出要选费用项目",IF(AND(L756&lt;&gt;"",COUNTIF(基础资料!$AI$5:$AI$54,L756)=0),"✗ 费用项目不在基础资料里",IF(AND(IFERROR(INDEX(基础资料!$AD$5:$AD$34,MATCH(O756,基础资料!$AC$5:$AC$34,0)),"")="收",N(G756)&lt;&gt;0),"✗ 这类是收款，金额填到收入列",IF(AND(IFERROR(INDEX(基础资料!$AD$5:$AD$34,MATCH(O756,基础资料!$AC$5:$AC$34,0)),"")="支",N(F756)&lt;&gt;0),"✗ 这类是付款，金额填到支出列",IF(N(H756)&lt;0,"⚠ 账户余额成负数了，核对一下","√"))))))))))))))))))</f>
      </c>
      <c r="O756" s="78">
        <f>IF(D756&lt;&gt;"",D756,IF(AND(F756="",G756=""),"",IF(J756&lt;&gt;"",IF(N(F756)&gt;0,"客户回款","客户退款"),IF(K756&lt;&gt;"",IF(N(G756)&gt;0,"供应商付款","供应商退款"),IF(L756&lt;&gt;"","费用支出","")))))</f>
      </c>
      <c r="P756" s="78">
        <f>IF(O756="","",IFERROR(INDEX(基础资料!$AE$5:$AE$34,MATCH(O756,基础资料!$AC$5:$AC$34,0)),"未知"))</f>
      </c>
      <c r="Q756" s="78">
        <f>IF(P756="应收",COUNTIF(P$7:P756,"应收"),"")</f>
      </c>
      <c r="R756" s="78">
        <f>IF(P756="应付",COUNTIF(P$7:P756,"应付"),"")</f>
      </c>
      <c r="S756" s="78">
        <f>N(F756)-N(G756)</f>
        <v>0</v>
      </c>
    </row>
    <row r="757">
      <c r="A757" s="109">
        <f>IF(AND(F757="",G757=""),"",ROW()-6)</f>
      </c>
      <c r="B757" s="140" t="n"/>
      <c r="C757" s="141" t="n"/>
      <c r="D757" s="141" t="n"/>
      <c r="E757" s="142" t="n"/>
      <c r="F757" s="143" t="n"/>
      <c r="G757" s="144" t="n"/>
      <c r="H757" s="145">
        <f>IF(OR(C757="",AND(F757="",G757="")),"",SUMIF(基础资料!$W$5:$W$24,C757,基础资料!$X$5:$X$24)+SUMIF(C$7:C757,C757,F$7:F757)-SUMIF(C$7:C757,C757,G$7:G757))</f>
      </c>
      <c r="I757" s="145">
        <f>IF(AND(F757="",G757=""),"",SUM(基础资料!$X$5:$X$24)+SUM(F$7:F757)-SUM(G$7:G757))</f>
      </c>
      <c r="J757" s="141" t="n"/>
      <c r="K757" s="141" t="n"/>
      <c r="L757" s="141" t="n"/>
      <c r="M757" s="142" t="n"/>
      <c r="N757" s="146">
        <f>IF(AND(AND(F757="",G757=""),B757="",C757="",D757="",J757="",K757="",L757=""),"",IF(AND(F757="",G757=""),"✗ 没填金额",IF(AND(N(F757)&lt;&gt;0,N(G757)&lt;&gt;0),"✗ 收入、支出只能填一边",IF(NOT(ISNUMBER(B757)),"✗ 日期不是真日期（要像 2026/9/25 这样填）",IF(OR(B757&lt;年初日,B757&gt;年末日),"✗ 日期不在本会计年度",IF(C757="","✗ 没选账户",IF(COUNTIF(基础资料!$W$5:$W$24,C757)=0,"✗ 账户不在基础资料里",IF(O757="","✗ 没选收支项目",IF(P757="未知","✗ 收支项目不在基础资料里",IF(AND(P757="应收",J757=""),"✗ 这笔要选客户",IF(AND(P757="应收",COUNTIF(总览汇总!$B$5:$B$304,J757)=0),"✗ 客户不在总览汇总名单里",IF(AND(P757="应付",K757=""),"✗ 这笔要选供应商",IF(AND(P757="应付",COUNTIF(基础资料!$Q$5:$Q$54,K757)=0),"✗ 供应商不在基础资料里",IF(AND(P757="费用",L757=""),"✗ 费用支出要选费用项目",IF(AND(L757&lt;&gt;"",COUNTIF(基础资料!$AI$5:$AI$54,L757)=0),"✗ 费用项目不在基础资料里",IF(AND(IFERROR(INDEX(基础资料!$AD$5:$AD$34,MATCH(O757,基础资料!$AC$5:$AC$34,0)),"")="收",N(G757)&lt;&gt;0),"✗ 这类是收款，金额填到收入列",IF(AND(IFERROR(INDEX(基础资料!$AD$5:$AD$34,MATCH(O757,基础资料!$AC$5:$AC$34,0)),"")="支",N(F757)&lt;&gt;0),"✗ 这类是付款，金额填到支出列",IF(N(H757)&lt;0,"⚠ 账户余额成负数了，核对一下","√"))))))))))))))))))</f>
      </c>
      <c r="O757" s="78">
        <f>IF(D757&lt;&gt;"",D757,IF(AND(F757="",G757=""),"",IF(J757&lt;&gt;"",IF(N(F757)&gt;0,"客户回款","客户退款"),IF(K757&lt;&gt;"",IF(N(G757)&gt;0,"供应商付款","供应商退款"),IF(L757&lt;&gt;"","费用支出","")))))</f>
      </c>
      <c r="P757" s="78">
        <f>IF(O757="","",IFERROR(INDEX(基础资料!$AE$5:$AE$34,MATCH(O757,基础资料!$AC$5:$AC$34,0)),"未知"))</f>
      </c>
      <c r="Q757" s="78">
        <f>IF(P757="应收",COUNTIF(P$7:P757,"应收"),"")</f>
      </c>
      <c r="R757" s="78">
        <f>IF(P757="应付",COUNTIF(P$7:P757,"应付"),"")</f>
      </c>
      <c r="S757" s="78">
        <f>N(F757)-N(G757)</f>
        <v>0</v>
      </c>
    </row>
    <row r="758">
      <c r="A758" s="109">
        <f>IF(AND(F758="",G758=""),"",ROW()-6)</f>
      </c>
      <c r="B758" s="140" t="n"/>
      <c r="C758" s="141" t="n"/>
      <c r="D758" s="141" t="n"/>
      <c r="E758" s="142" t="n"/>
      <c r="F758" s="143" t="n"/>
      <c r="G758" s="144" t="n"/>
      <c r="H758" s="145">
        <f>IF(OR(C758="",AND(F758="",G758="")),"",SUMIF(基础资料!$W$5:$W$24,C758,基础资料!$X$5:$X$24)+SUMIF(C$7:C758,C758,F$7:F758)-SUMIF(C$7:C758,C758,G$7:G758))</f>
      </c>
      <c r="I758" s="145">
        <f>IF(AND(F758="",G758=""),"",SUM(基础资料!$X$5:$X$24)+SUM(F$7:F758)-SUM(G$7:G758))</f>
      </c>
      <c r="J758" s="141" t="n"/>
      <c r="K758" s="141" t="n"/>
      <c r="L758" s="141" t="n"/>
      <c r="M758" s="142" t="n"/>
      <c r="N758" s="146">
        <f>IF(AND(AND(F758="",G758=""),B758="",C758="",D758="",J758="",K758="",L758=""),"",IF(AND(F758="",G758=""),"✗ 没填金额",IF(AND(N(F758)&lt;&gt;0,N(G758)&lt;&gt;0),"✗ 收入、支出只能填一边",IF(NOT(ISNUMBER(B758)),"✗ 日期不是真日期（要像 2026/9/25 这样填）",IF(OR(B758&lt;年初日,B758&gt;年末日),"✗ 日期不在本会计年度",IF(C758="","✗ 没选账户",IF(COUNTIF(基础资料!$W$5:$W$24,C758)=0,"✗ 账户不在基础资料里",IF(O758="","✗ 没选收支项目",IF(P758="未知","✗ 收支项目不在基础资料里",IF(AND(P758="应收",J758=""),"✗ 这笔要选客户",IF(AND(P758="应收",COUNTIF(总览汇总!$B$5:$B$304,J758)=0),"✗ 客户不在总览汇总名单里",IF(AND(P758="应付",K758=""),"✗ 这笔要选供应商",IF(AND(P758="应付",COUNTIF(基础资料!$Q$5:$Q$54,K758)=0),"✗ 供应商不在基础资料里",IF(AND(P758="费用",L758=""),"✗ 费用支出要选费用项目",IF(AND(L758&lt;&gt;"",COUNTIF(基础资料!$AI$5:$AI$54,L758)=0),"✗ 费用项目不在基础资料里",IF(AND(IFERROR(INDEX(基础资料!$AD$5:$AD$34,MATCH(O758,基础资料!$AC$5:$AC$34,0)),"")="收",N(G758)&lt;&gt;0),"✗ 这类是收款，金额填到收入列",IF(AND(IFERROR(INDEX(基础资料!$AD$5:$AD$34,MATCH(O758,基础资料!$AC$5:$AC$34,0)),"")="支",N(F758)&lt;&gt;0),"✗ 这类是付款，金额填到支出列",IF(N(H758)&lt;0,"⚠ 账户余额成负数了，核对一下","√"))))))))))))))))))</f>
      </c>
      <c r="O758" s="78">
        <f>IF(D758&lt;&gt;"",D758,IF(AND(F758="",G758=""),"",IF(J758&lt;&gt;"",IF(N(F758)&gt;0,"客户回款","客户退款"),IF(K758&lt;&gt;"",IF(N(G758)&gt;0,"供应商付款","供应商退款"),IF(L758&lt;&gt;"","费用支出","")))))</f>
      </c>
      <c r="P758" s="78">
        <f>IF(O758="","",IFERROR(INDEX(基础资料!$AE$5:$AE$34,MATCH(O758,基础资料!$AC$5:$AC$34,0)),"未知"))</f>
      </c>
      <c r="Q758" s="78">
        <f>IF(P758="应收",COUNTIF(P$7:P758,"应收"),"")</f>
      </c>
      <c r="R758" s="78">
        <f>IF(P758="应付",COUNTIF(P$7:P758,"应付"),"")</f>
      </c>
      <c r="S758" s="78">
        <f>N(F758)-N(G758)</f>
        <v>0</v>
      </c>
    </row>
    <row r="759">
      <c r="A759" s="109">
        <f>IF(AND(F759="",G759=""),"",ROW()-6)</f>
      </c>
      <c r="B759" s="140" t="n"/>
      <c r="C759" s="141" t="n"/>
      <c r="D759" s="141" t="n"/>
      <c r="E759" s="142" t="n"/>
      <c r="F759" s="143" t="n"/>
      <c r="G759" s="144" t="n"/>
      <c r="H759" s="145">
        <f>IF(OR(C759="",AND(F759="",G759="")),"",SUMIF(基础资料!$W$5:$W$24,C759,基础资料!$X$5:$X$24)+SUMIF(C$7:C759,C759,F$7:F759)-SUMIF(C$7:C759,C759,G$7:G759))</f>
      </c>
      <c r="I759" s="145">
        <f>IF(AND(F759="",G759=""),"",SUM(基础资料!$X$5:$X$24)+SUM(F$7:F759)-SUM(G$7:G759))</f>
      </c>
      <c r="J759" s="141" t="n"/>
      <c r="K759" s="141" t="n"/>
      <c r="L759" s="141" t="n"/>
      <c r="M759" s="142" t="n"/>
      <c r="N759" s="146">
        <f>IF(AND(AND(F759="",G759=""),B759="",C759="",D759="",J759="",K759="",L759=""),"",IF(AND(F759="",G759=""),"✗ 没填金额",IF(AND(N(F759)&lt;&gt;0,N(G759)&lt;&gt;0),"✗ 收入、支出只能填一边",IF(NOT(ISNUMBER(B759)),"✗ 日期不是真日期（要像 2026/9/25 这样填）",IF(OR(B759&lt;年初日,B759&gt;年末日),"✗ 日期不在本会计年度",IF(C759="","✗ 没选账户",IF(COUNTIF(基础资料!$W$5:$W$24,C759)=0,"✗ 账户不在基础资料里",IF(O759="","✗ 没选收支项目",IF(P759="未知","✗ 收支项目不在基础资料里",IF(AND(P759="应收",J759=""),"✗ 这笔要选客户",IF(AND(P759="应收",COUNTIF(总览汇总!$B$5:$B$304,J759)=0),"✗ 客户不在总览汇总名单里",IF(AND(P759="应付",K759=""),"✗ 这笔要选供应商",IF(AND(P759="应付",COUNTIF(基础资料!$Q$5:$Q$54,K759)=0),"✗ 供应商不在基础资料里",IF(AND(P759="费用",L759=""),"✗ 费用支出要选费用项目",IF(AND(L759&lt;&gt;"",COUNTIF(基础资料!$AI$5:$AI$54,L759)=0),"✗ 费用项目不在基础资料里",IF(AND(IFERROR(INDEX(基础资料!$AD$5:$AD$34,MATCH(O759,基础资料!$AC$5:$AC$34,0)),"")="收",N(G759)&lt;&gt;0),"✗ 这类是收款，金额填到收入列",IF(AND(IFERROR(INDEX(基础资料!$AD$5:$AD$34,MATCH(O759,基础资料!$AC$5:$AC$34,0)),"")="支",N(F759)&lt;&gt;0),"✗ 这类是付款，金额填到支出列",IF(N(H759)&lt;0,"⚠ 账户余额成负数了，核对一下","√"))))))))))))))))))</f>
      </c>
      <c r="O759" s="78">
        <f>IF(D759&lt;&gt;"",D759,IF(AND(F759="",G759=""),"",IF(J759&lt;&gt;"",IF(N(F759)&gt;0,"客户回款","客户退款"),IF(K759&lt;&gt;"",IF(N(G759)&gt;0,"供应商付款","供应商退款"),IF(L759&lt;&gt;"","费用支出","")))))</f>
      </c>
      <c r="P759" s="78">
        <f>IF(O759="","",IFERROR(INDEX(基础资料!$AE$5:$AE$34,MATCH(O759,基础资料!$AC$5:$AC$34,0)),"未知"))</f>
      </c>
      <c r="Q759" s="78">
        <f>IF(P759="应收",COUNTIF(P$7:P759,"应收"),"")</f>
      </c>
      <c r="R759" s="78">
        <f>IF(P759="应付",COUNTIF(P$7:P759,"应付"),"")</f>
      </c>
      <c r="S759" s="78">
        <f>N(F759)-N(G759)</f>
        <v>0</v>
      </c>
    </row>
    <row r="760">
      <c r="A760" s="109">
        <f>IF(AND(F760="",G760=""),"",ROW()-6)</f>
      </c>
      <c r="B760" s="140" t="n"/>
      <c r="C760" s="141" t="n"/>
      <c r="D760" s="141" t="n"/>
      <c r="E760" s="142" t="n"/>
      <c r="F760" s="143" t="n"/>
      <c r="G760" s="144" t="n"/>
      <c r="H760" s="145">
        <f>IF(OR(C760="",AND(F760="",G760="")),"",SUMIF(基础资料!$W$5:$W$24,C760,基础资料!$X$5:$X$24)+SUMIF(C$7:C760,C760,F$7:F760)-SUMIF(C$7:C760,C760,G$7:G760))</f>
      </c>
      <c r="I760" s="145">
        <f>IF(AND(F760="",G760=""),"",SUM(基础资料!$X$5:$X$24)+SUM(F$7:F760)-SUM(G$7:G760))</f>
      </c>
      <c r="J760" s="141" t="n"/>
      <c r="K760" s="141" t="n"/>
      <c r="L760" s="141" t="n"/>
      <c r="M760" s="142" t="n"/>
      <c r="N760" s="146">
        <f>IF(AND(AND(F760="",G760=""),B760="",C760="",D760="",J760="",K760="",L760=""),"",IF(AND(F760="",G760=""),"✗ 没填金额",IF(AND(N(F760)&lt;&gt;0,N(G760)&lt;&gt;0),"✗ 收入、支出只能填一边",IF(NOT(ISNUMBER(B760)),"✗ 日期不是真日期（要像 2026/9/25 这样填）",IF(OR(B760&lt;年初日,B760&gt;年末日),"✗ 日期不在本会计年度",IF(C760="","✗ 没选账户",IF(COUNTIF(基础资料!$W$5:$W$24,C760)=0,"✗ 账户不在基础资料里",IF(O760="","✗ 没选收支项目",IF(P760="未知","✗ 收支项目不在基础资料里",IF(AND(P760="应收",J760=""),"✗ 这笔要选客户",IF(AND(P760="应收",COUNTIF(总览汇总!$B$5:$B$304,J760)=0),"✗ 客户不在总览汇总名单里",IF(AND(P760="应付",K760=""),"✗ 这笔要选供应商",IF(AND(P760="应付",COUNTIF(基础资料!$Q$5:$Q$54,K760)=0),"✗ 供应商不在基础资料里",IF(AND(P760="费用",L760=""),"✗ 费用支出要选费用项目",IF(AND(L760&lt;&gt;"",COUNTIF(基础资料!$AI$5:$AI$54,L760)=0),"✗ 费用项目不在基础资料里",IF(AND(IFERROR(INDEX(基础资料!$AD$5:$AD$34,MATCH(O760,基础资料!$AC$5:$AC$34,0)),"")="收",N(G760)&lt;&gt;0),"✗ 这类是收款，金额填到收入列",IF(AND(IFERROR(INDEX(基础资料!$AD$5:$AD$34,MATCH(O760,基础资料!$AC$5:$AC$34,0)),"")="支",N(F760)&lt;&gt;0),"✗ 这类是付款，金额填到支出列",IF(N(H760)&lt;0,"⚠ 账户余额成负数了，核对一下","√"))))))))))))))))))</f>
      </c>
      <c r="O760" s="78">
        <f>IF(D760&lt;&gt;"",D760,IF(AND(F760="",G760=""),"",IF(J760&lt;&gt;"",IF(N(F760)&gt;0,"客户回款","客户退款"),IF(K760&lt;&gt;"",IF(N(G760)&gt;0,"供应商付款","供应商退款"),IF(L760&lt;&gt;"","费用支出","")))))</f>
      </c>
      <c r="P760" s="78">
        <f>IF(O760="","",IFERROR(INDEX(基础资料!$AE$5:$AE$34,MATCH(O760,基础资料!$AC$5:$AC$34,0)),"未知"))</f>
      </c>
      <c r="Q760" s="78">
        <f>IF(P760="应收",COUNTIF(P$7:P760,"应收"),"")</f>
      </c>
      <c r="R760" s="78">
        <f>IF(P760="应付",COUNTIF(P$7:P760,"应付"),"")</f>
      </c>
      <c r="S760" s="78">
        <f>N(F760)-N(G760)</f>
        <v>0</v>
      </c>
    </row>
    <row r="761">
      <c r="A761" s="109">
        <f>IF(AND(F761="",G761=""),"",ROW()-6)</f>
      </c>
      <c r="B761" s="140" t="n"/>
      <c r="C761" s="141" t="n"/>
      <c r="D761" s="141" t="n"/>
      <c r="E761" s="142" t="n"/>
      <c r="F761" s="143" t="n"/>
      <c r="G761" s="144" t="n"/>
      <c r="H761" s="145">
        <f>IF(OR(C761="",AND(F761="",G761="")),"",SUMIF(基础资料!$W$5:$W$24,C761,基础资料!$X$5:$X$24)+SUMIF(C$7:C761,C761,F$7:F761)-SUMIF(C$7:C761,C761,G$7:G761))</f>
      </c>
      <c r="I761" s="145">
        <f>IF(AND(F761="",G761=""),"",SUM(基础资料!$X$5:$X$24)+SUM(F$7:F761)-SUM(G$7:G761))</f>
      </c>
      <c r="J761" s="141" t="n"/>
      <c r="K761" s="141" t="n"/>
      <c r="L761" s="141" t="n"/>
      <c r="M761" s="142" t="n"/>
      <c r="N761" s="146">
        <f>IF(AND(AND(F761="",G761=""),B761="",C761="",D761="",J761="",K761="",L761=""),"",IF(AND(F761="",G761=""),"✗ 没填金额",IF(AND(N(F761)&lt;&gt;0,N(G761)&lt;&gt;0),"✗ 收入、支出只能填一边",IF(NOT(ISNUMBER(B761)),"✗ 日期不是真日期（要像 2026/9/25 这样填）",IF(OR(B761&lt;年初日,B761&gt;年末日),"✗ 日期不在本会计年度",IF(C761="","✗ 没选账户",IF(COUNTIF(基础资料!$W$5:$W$24,C761)=0,"✗ 账户不在基础资料里",IF(O761="","✗ 没选收支项目",IF(P761="未知","✗ 收支项目不在基础资料里",IF(AND(P761="应收",J761=""),"✗ 这笔要选客户",IF(AND(P761="应收",COUNTIF(总览汇总!$B$5:$B$304,J761)=0),"✗ 客户不在总览汇总名单里",IF(AND(P761="应付",K761=""),"✗ 这笔要选供应商",IF(AND(P761="应付",COUNTIF(基础资料!$Q$5:$Q$54,K761)=0),"✗ 供应商不在基础资料里",IF(AND(P761="费用",L761=""),"✗ 费用支出要选费用项目",IF(AND(L761&lt;&gt;"",COUNTIF(基础资料!$AI$5:$AI$54,L761)=0),"✗ 费用项目不在基础资料里",IF(AND(IFERROR(INDEX(基础资料!$AD$5:$AD$34,MATCH(O761,基础资料!$AC$5:$AC$34,0)),"")="收",N(G761)&lt;&gt;0),"✗ 这类是收款，金额填到收入列",IF(AND(IFERROR(INDEX(基础资料!$AD$5:$AD$34,MATCH(O761,基础资料!$AC$5:$AC$34,0)),"")="支",N(F761)&lt;&gt;0),"✗ 这类是付款，金额填到支出列",IF(N(H761)&lt;0,"⚠ 账户余额成负数了，核对一下","√"))))))))))))))))))</f>
      </c>
      <c r="O761" s="78">
        <f>IF(D761&lt;&gt;"",D761,IF(AND(F761="",G761=""),"",IF(J761&lt;&gt;"",IF(N(F761)&gt;0,"客户回款","客户退款"),IF(K761&lt;&gt;"",IF(N(G761)&gt;0,"供应商付款","供应商退款"),IF(L761&lt;&gt;"","费用支出","")))))</f>
      </c>
      <c r="P761" s="78">
        <f>IF(O761="","",IFERROR(INDEX(基础资料!$AE$5:$AE$34,MATCH(O761,基础资料!$AC$5:$AC$34,0)),"未知"))</f>
      </c>
      <c r="Q761" s="78">
        <f>IF(P761="应收",COUNTIF(P$7:P761,"应收"),"")</f>
      </c>
      <c r="R761" s="78">
        <f>IF(P761="应付",COUNTIF(P$7:P761,"应付"),"")</f>
      </c>
      <c r="S761" s="78">
        <f>N(F761)-N(G761)</f>
        <v>0</v>
      </c>
    </row>
    <row r="762">
      <c r="A762" s="109">
        <f>IF(AND(F762="",G762=""),"",ROW()-6)</f>
      </c>
      <c r="B762" s="140" t="n"/>
      <c r="C762" s="141" t="n"/>
      <c r="D762" s="141" t="n"/>
      <c r="E762" s="142" t="n"/>
      <c r="F762" s="143" t="n"/>
      <c r="G762" s="144" t="n"/>
      <c r="H762" s="145">
        <f>IF(OR(C762="",AND(F762="",G762="")),"",SUMIF(基础资料!$W$5:$W$24,C762,基础资料!$X$5:$X$24)+SUMIF(C$7:C762,C762,F$7:F762)-SUMIF(C$7:C762,C762,G$7:G762))</f>
      </c>
      <c r="I762" s="145">
        <f>IF(AND(F762="",G762=""),"",SUM(基础资料!$X$5:$X$24)+SUM(F$7:F762)-SUM(G$7:G762))</f>
      </c>
      <c r="J762" s="141" t="n"/>
      <c r="K762" s="141" t="n"/>
      <c r="L762" s="141" t="n"/>
      <c r="M762" s="142" t="n"/>
      <c r="N762" s="146">
        <f>IF(AND(AND(F762="",G762=""),B762="",C762="",D762="",J762="",K762="",L762=""),"",IF(AND(F762="",G762=""),"✗ 没填金额",IF(AND(N(F762)&lt;&gt;0,N(G762)&lt;&gt;0),"✗ 收入、支出只能填一边",IF(NOT(ISNUMBER(B762)),"✗ 日期不是真日期（要像 2026/9/25 这样填）",IF(OR(B762&lt;年初日,B762&gt;年末日),"✗ 日期不在本会计年度",IF(C762="","✗ 没选账户",IF(COUNTIF(基础资料!$W$5:$W$24,C762)=0,"✗ 账户不在基础资料里",IF(O762="","✗ 没选收支项目",IF(P762="未知","✗ 收支项目不在基础资料里",IF(AND(P762="应收",J762=""),"✗ 这笔要选客户",IF(AND(P762="应收",COUNTIF(总览汇总!$B$5:$B$304,J762)=0),"✗ 客户不在总览汇总名单里",IF(AND(P762="应付",K762=""),"✗ 这笔要选供应商",IF(AND(P762="应付",COUNTIF(基础资料!$Q$5:$Q$54,K762)=0),"✗ 供应商不在基础资料里",IF(AND(P762="费用",L762=""),"✗ 费用支出要选费用项目",IF(AND(L762&lt;&gt;"",COUNTIF(基础资料!$AI$5:$AI$54,L762)=0),"✗ 费用项目不在基础资料里",IF(AND(IFERROR(INDEX(基础资料!$AD$5:$AD$34,MATCH(O762,基础资料!$AC$5:$AC$34,0)),"")="收",N(G762)&lt;&gt;0),"✗ 这类是收款，金额填到收入列",IF(AND(IFERROR(INDEX(基础资料!$AD$5:$AD$34,MATCH(O762,基础资料!$AC$5:$AC$34,0)),"")="支",N(F762)&lt;&gt;0),"✗ 这类是付款，金额填到支出列",IF(N(H762)&lt;0,"⚠ 账户余额成负数了，核对一下","√"))))))))))))))))))</f>
      </c>
      <c r="O762" s="78">
        <f>IF(D762&lt;&gt;"",D762,IF(AND(F762="",G762=""),"",IF(J762&lt;&gt;"",IF(N(F762)&gt;0,"客户回款","客户退款"),IF(K762&lt;&gt;"",IF(N(G762)&gt;0,"供应商付款","供应商退款"),IF(L762&lt;&gt;"","费用支出","")))))</f>
      </c>
      <c r="P762" s="78">
        <f>IF(O762="","",IFERROR(INDEX(基础资料!$AE$5:$AE$34,MATCH(O762,基础资料!$AC$5:$AC$34,0)),"未知"))</f>
      </c>
      <c r="Q762" s="78">
        <f>IF(P762="应收",COUNTIF(P$7:P762,"应收"),"")</f>
      </c>
      <c r="R762" s="78">
        <f>IF(P762="应付",COUNTIF(P$7:P762,"应付"),"")</f>
      </c>
      <c r="S762" s="78">
        <f>N(F762)-N(G762)</f>
        <v>0</v>
      </c>
    </row>
    <row r="763">
      <c r="A763" s="109">
        <f>IF(AND(F763="",G763=""),"",ROW()-6)</f>
      </c>
      <c r="B763" s="140" t="n"/>
      <c r="C763" s="141" t="n"/>
      <c r="D763" s="141" t="n"/>
      <c r="E763" s="142" t="n"/>
      <c r="F763" s="143" t="n"/>
      <c r="G763" s="144" t="n"/>
      <c r="H763" s="145">
        <f>IF(OR(C763="",AND(F763="",G763="")),"",SUMIF(基础资料!$W$5:$W$24,C763,基础资料!$X$5:$X$24)+SUMIF(C$7:C763,C763,F$7:F763)-SUMIF(C$7:C763,C763,G$7:G763))</f>
      </c>
      <c r="I763" s="145">
        <f>IF(AND(F763="",G763=""),"",SUM(基础资料!$X$5:$X$24)+SUM(F$7:F763)-SUM(G$7:G763))</f>
      </c>
      <c r="J763" s="141" t="n"/>
      <c r="K763" s="141" t="n"/>
      <c r="L763" s="141" t="n"/>
      <c r="M763" s="142" t="n"/>
      <c r="N763" s="146">
        <f>IF(AND(AND(F763="",G763=""),B763="",C763="",D763="",J763="",K763="",L763=""),"",IF(AND(F763="",G763=""),"✗ 没填金额",IF(AND(N(F763)&lt;&gt;0,N(G763)&lt;&gt;0),"✗ 收入、支出只能填一边",IF(NOT(ISNUMBER(B763)),"✗ 日期不是真日期（要像 2026/9/25 这样填）",IF(OR(B763&lt;年初日,B763&gt;年末日),"✗ 日期不在本会计年度",IF(C763="","✗ 没选账户",IF(COUNTIF(基础资料!$W$5:$W$24,C763)=0,"✗ 账户不在基础资料里",IF(O763="","✗ 没选收支项目",IF(P763="未知","✗ 收支项目不在基础资料里",IF(AND(P763="应收",J763=""),"✗ 这笔要选客户",IF(AND(P763="应收",COUNTIF(总览汇总!$B$5:$B$304,J763)=0),"✗ 客户不在总览汇总名单里",IF(AND(P763="应付",K763=""),"✗ 这笔要选供应商",IF(AND(P763="应付",COUNTIF(基础资料!$Q$5:$Q$54,K763)=0),"✗ 供应商不在基础资料里",IF(AND(P763="费用",L763=""),"✗ 费用支出要选费用项目",IF(AND(L763&lt;&gt;"",COUNTIF(基础资料!$AI$5:$AI$54,L763)=0),"✗ 费用项目不在基础资料里",IF(AND(IFERROR(INDEX(基础资料!$AD$5:$AD$34,MATCH(O763,基础资料!$AC$5:$AC$34,0)),"")="收",N(G763)&lt;&gt;0),"✗ 这类是收款，金额填到收入列",IF(AND(IFERROR(INDEX(基础资料!$AD$5:$AD$34,MATCH(O763,基础资料!$AC$5:$AC$34,0)),"")="支",N(F763)&lt;&gt;0),"✗ 这类是付款，金额填到支出列",IF(N(H763)&lt;0,"⚠ 账户余额成负数了，核对一下","√"))))))))))))))))))</f>
      </c>
      <c r="O763" s="78">
        <f>IF(D763&lt;&gt;"",D763,IF(AND(F763="",G763=""),"",IF(J763&lt;&gt;"",IF(N(F763)&gt;0,"客户回款","客户退款"),IF(K763&lt;&gt;"",IF(N(G763)&gt;0,"供应商付款","供应商退款"),IF(L763&lt;&gt;"","费用支出","")))))</f>
      </c>
      <c r="P763" s="78">
        <f>IF(O763="","",IFERROR(INDEX(基础资料!$AE$5:$AE$34,MATCH(O763,基础资料!$AC$5:$AC$34,0)),"未知"))</f>
      </c>
      <c r="Q763" s="78">
        <f>IF(P763="应收",COUNTIF(P$7:P763,"应收"),"")</f>
      </c>
      <c r="R763" s="78">
        <f>IF(P763="应付",COUNTIF(P$7:P763,"应付"),"")</f>
      </c>
      <c r="S763" s="78">
        <f>N(F763)-N(G763)</f>
        <v>0</v>
      </c>
    </row>
    <row r="764">
      <c r="A764" s="109">
        <f>IF(AND(F764="",G764=""),"",ROW()-6)</f>
      </c>
      <c r="B764" s="140" t="n"/>
      <c r="C764" s="141" t="n"/>
      <c r="D764" s="141" t="n"/>
      <c r="E764" s="142" t="n"/>
      <c r="F764" s="143" t="n"/>
      <c r="G764" s="144" t="n"/>
      <c r="H764" s="145">
        <f>IF(OR(C764="",AND(F764="",G764="")),"",SUMIF(基础资料!$W$5:$W$24,C764,基础资料!$X$5:$X$24)+SUMIF(C$7:C764,C764,F$7:F764)-SUMIF(C$7:C764,C764,G$7:G764))</f>
      </c>
      <c r="I764" s="145">
        <f>IF(AND(F764="",G764=""),"",SUM(基础资料!$X$5:$X$24)+SUM(F$7:F764)-SUM(G$7:G764))</f>
      </c>
      <c r="J764" s="141" t="n"/>
      <c r="K764" s="141" t="n"/>
      <c r="L764" s="141" t="n"/>
      <c r="M764" s="142" t="n"/>
      <c r="N764" s="146">
        <f>IF(AND(AND(F764="",G764=""),B764="",C764="",D764="",J764="",K764="",L764=""),"",IF(AND(F764="",G764=""),"✗ 没填金额",IF(AND(N(F764)&lt;&gt;0,N(G764)&lt;&gt;0),"✗ 收入、支出只能填一边",IF(NOT(ISNUMBER(B764)),"✗ 日期不是真日期（要像 2026/9/25 这样填）",IF(OR(B764&lt;年初日,B764&gt;年末日),"✗ 日期不在本会计年度",IF(C764="","✗ 没选账户",IF(COUNTIF(基础资料!$W$5:$W$24,C764)=0,"✗ 账户不在基础资料里",IF(O764="","✗ 没选收支项目",IF(P764="未知","✗ 收支项目不在基础资料里",IF(AND(P764="应收",J764=""),"✗ 这笔要选客户",IF(AND(P764="应收",COUNTIF(总览汇总!$B$5:$B$304,J764)=0),"✗ 客户不在总览汇总名单里",IF(AND(P764="应付",K764=""),"✗ 这笔要选供应商",IF(AND(P764="应付",COUNTIF(基础资料!$Q$5:$Q$54,K764)=0),"✗ 供应商不在基础资料里",IF(AND(P764="费用",L764=""),"✗ 费用支出要选费用项目",IF(AND(L764&lt;&gt;"",COUNTIF(基础资料!$AI$5:$AI$54,L764)=0),"✗ 费用项目不在基础资料里",IF(AND(IFERROR(INDEX(基础资料!$AD$5:$AD$34,MATCH(O764,基础资料!$AC$5:$AC$34,0)),"")="收",N(G764)&lt;&gt;0),"✗ 这类是收款，金额填到收入列",IF(AND(IFERROR(INDEX(基础资料!$AD$5:$AD$34,MATCH(O764,基础资料!$AC$5:$AC$34,0)),"")="支",N(F764)&lt;&gt;0),"✗ 这类是付款，金额填到支出列",IF(N(H764)&lt;0,"⚠ 账户余额成负数了，核对一下","√"))))))))))))))))))</f>
      </c>
      <c r="O764" s="78">
        <f>IF(D764&lt;&gt;"",D764,IF(AND(F764="",G764=""),"",IF(J764&lt;&gt;"",IF(N(F764)&gt;0,"客户回款","客户退款"),IF(K764&lt;&gt;"",IF(N(G764)&gt;0,"供应商付款","供应商退款"),IF(L764&lt;&gt;"","费用支出","")))))</f>
      </c>
      <c r="P764" s="78">
        <f>IF(O764="","",IFERROR(INDEX(基础资料!$AE$5:$AE$34,MATCH(O764,基础资料!$AC$5:$AC$34,0)),"未知"))</f>
      </c>
      <c r="Q764" s="78">
        <f>IF(P764="应收",COUNTIF(P$7:P764,"应收"),"")</f>
      </c>
      <c r="R764" s="78">
        <f>IF(P764="应付",COUNTIF(P$7:P764,"应付"),"")</f>
      </c>
      <c r="S764" s="78">
        <f>N(F764)-N(G764)</f>
        <v>0</v>
      </c>
    </row>
    <row r="765">
      <c r="A765" s="109">
        <f>IF(AND(F765="",G765=""),"",ROW()-6)</f>
      </c>
      <c r="B765" s="140" t="n"/>
      <c r="C765" s="141" t="n"/>
      <c r="D765" s="141" t="n"/>
      <c r="E765" s="142" t="n"/>
      <c r="F765" s="143" t="n"/>
      <c r="G765" s="144" t="n"/>
      <c r="H765" s="145">
        <f>IF(OR(C765="",AND(F765="",G765="")),"",SUMIF(基础资料!$W$5:$W$24,C765,基础资料!$X$5:$X$24)+SUMIF(C$7:C765,C765,F$7:F765)-SUMIF(C$7:C765,C765,G$7:G765))</f>
      </c>
      <c r="I765" s="145">
        <f>IF(AND(F765="",G765=""),"",SUM(基础资料!$X$5:$X$24)+SUM(F$7:F765)-SUM(G$7:G765))</f>
      </c>
      <c r="J765" s="141" t="n"/>
      <c r="K765" s="141" t="n"/>
      <c r="L765" s="141" t="n"/>
      <c r="M765" s="142" t="n"/>
      <c r="N765" s="146">
        <f>IF(AND(AND(F765="",G765=""),B765="",C765="",D765="",J765="",K765="",L765=""),"",IF(AND(F765="",G765=""),"✗ 没填金额",IF(AND(N(F765)&lt;&gt;0,N(G765)&lt;&gt;0),"✗ 收入、支出只能填一边",IF(NOT(ISNUMBER(B765)),"✗ 日期不是真日期（要像 2026/9/25 这样填）",IF(OR(B765&lt;年初日,B765&gt;年末日),"✗ 日期不在本会计年度",IF(C765="","✗ 没选账户",IF(COUNTIF(基础资料!$W$5:$W$24,C765)=0,"✗ 账户不在基础资料里",IF(O765="","✗ 没选收支项目",IF(P765="未知","✗ 收支项目不在基础资料里",IF(AND(P765="应收",J765=""),"✗ 这笔要选客户",IF(AND(P765="应收",COUNTIF(总览汇总!$B$5:$B$304,J765)=0),"✗ 客户不在总览汇总名单里",IF(AND(P765="应付",K765=""),"✗ 这笔要选供应商",IF(AND(P765="应付",COUNTIF(基础资料!$Q$5:$Q$54,K765)=0),"✗ 供应商不在基础资料里",IF(AND(P765="费用",L765=""),"✗ 费用支出要选费用项目",IF(AND(L765&lt;&gt;"",COUNTIF(基础资料!$AI$5:$AI$54,L765)=0),"✗ 费用项目不在基础资料里",IF(AND(IFERROR(INDEX(基础资料!$AD$5:$AD$34,MATCH(O765,基础资料!$AC$5:$AC$34,0)),"")="收",N(G765)&lt;&gt;0),"✗ 这类是收款，金额填到收入列",IF(AND(IFERROR(INDEX(基础资料!$AD$5:$AD$34,MATCH(O765,基础资料!$AC$5:$AC$34,0)),"")="支",N(F765)&lt;&gt;0),"✗ 这类是付款，金额填到支出列",IF(N(H765)&lt;0,"⚠ 账户余额成负数了，核对一下","√"))))))))))))))))))</f>
      </c>
      <c r="O765" s="78">
        <f>IF(D765&lt;&gt;"",D765,IF(AND(F765="",G765=""),"",IF(J765&lt;&gt;"",IF(N(F765)&gt;0,"客户回款","客户退款"),IF(K765&lt;&gt;"",IF(N(G765)&gt;0,"供应商付款","供应商退款"),IF(L765&lt;&gt;"","费用支出","")))))</f>
      </c>
      <c r="P765" s="78">
        <f>IF(O765="","",IFERROR(INDEX(基础资料!$AE$5:$AE$34,MATCH(O765,基础资料!$AC$5:$AC$34,0)),"未知"))</f>
      </c>
      <c r="Q765" s="78">
        <f>IF(P765="应收",COUNTIF(P$7:P765,"应收"),"")</f>
      </c>
      <c r="R765" s="78">
        <f>IF(P765="应付",COUNTIF(P$7:P765,"应付"),"")</f>
      </c>
      <c r="S765" s="78">
        <f>N(F765)-N(G765)</f>
        <v>0</v>
      </c>
    </row>
    <row r="766">
      <c r="A766" s="109">
        <f>IF(AND(F766="",G766=""),"",ROW()-6)</f>
      </c>
      <c r="B766" s="140" t="n"/>
      <c r="C766" s="141" t="n"/>
      <c r="D766" s="141" t="n"/>
      <c r="E766" s="142" t="n"/>
      <c r="F766" s="143" t="n"/>
      <c r="G766" s="144" t="n"/>
      <c r="H766" s="145">
        <f>IF(OR(C766="",AND(F766="",G766="")),"",SUMIF(基础资料!$W$5:$W$24,C766,基础资料!$X$5:$X$24)+SUMIF(C$7:C766,C766,F$7:F766)-SUMIF(C$7:C766,C766,G$7:G766))</f>
      </c>
      <c r="I766" s="145">
        <f>IF(AND(F766="",G766=""),"",SUM(基础资料!$X$5:$X$24)+SUM(F$7:F766)-SUM(G$7:G766))</f>
      </c>
      <c r="J766" s="141" t="n"/>
      <c r="K766" s="141" t="n"/>
      <c r="L766" s="141" t="n"/>
      <c r="M766" s="142" t="n"/>
      <c r="N766" s="146">
        <f>IF(AND(AND(F766="",G766=""),B766="",C766="",D766="",J766="",K766="",L766=""),"",IF(AND(F766="",G766=""),"✗ 没填金额",IF(AND(N(F766)&lt;&gt;0,N(G766)&lt;&gt;0),"✗ 收入、支出只能填一边",IF(NOT(ISNUMBER(B766)),"✗ 日期不是真日期（要像 2026/9/25 这样填）",IF(OR(B766&lt;年初日,B766&gt;年末日),"✗ 日期不在本会计年度",IF(C766="","✗ 没选账户",IF(COUNTIF(基础资料!$W$5:$W$24,C766)=0,"✗ 账户不在基础资料里",IF(O766="","✗ 没选收支项目",IF(P766="未知","✗ 收支项目不在基础资料里",IF(AND(P766="应收",J766=""),"✗ 这笔要选客户",IF(AND(P766="应收",COUNTIF(总览汇总!$B$5:$B$304,J766)=0),"✗ 客户不在总览汇总名单里",IF(AND(P766="应付",K766=""),"✗ 这笔要选供应商",IF(AND(P766="应付",COUNTIF(基础资料!$Q$5:$Q$54,K766)=0),"✗ 供应商不在基础资料里",IF(AND(P766="费用",L766=""),"✗ 费用支出要选费用项目",IF(AND(L766&lt;&gt;"",COUNTIF(基础资料!$AI$5:$AI$54,L766)=0),"✗ 费用项目不在基础资料里",IF(AND(IFERROR(INDEX(基础资料!$AD$5:$AD$34,MATCH(O766,基础资料!$AC$5:$AC$34,0)),"")="收",N(G766)&lt;&gt;0),"✗ 这类是收款，金额填到收入列",IF(AND(IFERROR(INDEX(基础资料!$AD$5:$AD$34,MATCH(O766,基础资料!$AC$5:$AC$34,0)),"")="支",N(F766)&lt;&gt;0),"✗ 这类是付款，金额填到支出列",IF(N(H766)&lt;0,"⚠ 账户余额成负数了，核对一下","√"))))))))))))))))))</f>
      </c>
      <c r="O766" s="78">
        <f>IF(D766&lt;&gt;"",D766,IF(AND(F766="",G766=""),"",IF(J766&lt;&gt;"",IF(N(F766)&gt;0,"客户回款","客户退款"),IF(K766&lt;&gt;"",IF(N(G766)&gt;0,"供应商付款","供应商退款"),IF(L766&lt;&gt;"","费用支出","")))))</f>
      </c>
      <c r="P766" s="78">
        <f>IF(O766="","",IFERROR(INDEX(基础资料!$AE$5:$AE$34,MATCH(O766,基础资料!$AC$5:$AC$34,0)),"未知"))</f>
      </c>
      <c r="Q766" s="78">
        <f>IF(P766="应收",COUNTIF(P$7:P766,"应收"),"")</f>
      </c>
      <c r="R766" s="78">
        <f>IF(P766="应付",COUNTIF(P$7:P766,"应付"),"")</f>
      </c>
      <c r="S766" s="78">
        <f>N(F766)-N(G766)</f>
        <v>0</v>
      </c>
    </row>
    <row r="767">
      <c r="A767" s="109">
        <f>IF(AND(F767="",G767=""),"",ROW()-6)</f>
      </c>
      <c r="B767" s="140" t="n"/>
      <c r="C767" s="141" t="n"/>
      <c r="D767" s="141" t="n"/>
      <c r="E767" s="142" t="n"/>
      <c r="F767" s="143" t="n"/>
      <c r="G767" s="144" t="n"/>
      <c r="H767" s="145">
        <f>IF(OR(C767="",AND(F767="",G767="")),"",SUMIF(基础资料!$W$5:$W$24,C767,基础资料!$X$5:$X$24)+SUMIF(C$7:C767,C767,F$7:F767)-SUMIF(C$7:C767,C767,G$7:G767))</f>
      </c>
      <c r="I767" s="145">
        <f>IF(AND(F767="",G767=""),"",SUM(基础资料!$X$5:$X$24)+SUM(F$7:F767)-SUM(G$7:G767))</f>
      </c>
      <c r="J767" s="141" t="n"/>
      <c r="K767" s="141" t="n"/>
      <c r="L767" s="141" t="n"/>
      <c r="M767" s="142" t="n"/>
      <c r="N767" s="146">
        <f>IF(AND(AND(F767="",G767=""),B767="",C767="",D767="",J767="",K767="",L767=""),"",IF(AND(F767="",G767=""),"✗ 没填金额",IF(AND(N(F767)&lt;&gt;0,N(G767)&lt;&gt;0),"✗ 收入、支出只能填一边",IF(NOT(ISNUMBER(B767)),"✗ 日期不是真日期（要像 2026/9/25 这样填）",IF(OR(B767&lt;年初日,B767&gt;年末日),"✗ 日期不在本会计年度",IF(C767="","✗ 没选账户",IF(COUNTIF(基础资料!$W$5:$W$24,C767)=0,"✗ 账户不在基础资料里",IF(O767="","✗ 没选收支项目",IF(P767="未知","✗ 收支项目不在基础资料里",IF(AND(P767="应收",J767=""),"✗ 这笔要选客户",IF(AND(P767="应收",COUNTIF(总览汇总!$B$5:$B$304,J767)=0),"✗ 客户不在总览汇总名单里",IF(AND(P767="应付",K767=""),"✗ 这笔要选供应商",IF(AND(P767="应付",COUNTIF(基础资料!$Q$5:$Q$54,K767)=0),"✗ 供应商不在基础资料里",IF(AND(P767="费用",L767=""),"✗ 费用支出要选费用项目",IF(AND(L767&lt;&gt;"",COUNTIF(基础资料!$AI$5:$AI$54,L767)=0),"✗ 费用项目不在基础资料里",IF(AND(IFERROR(INDEX(基础资料!$AD$5:$AD$34,MATCH(O767,基础资料!$AC$5:$AC$34,0)),"")="收",N(G767)&lt;&gt;0),"✗ 这类是收款，金额填到收入列",IF(AND(IFERROR(INDEX(基础资料!$AD$5:$AD$34,MATCH(O767,基础资料!$AC$5:$AC$34,0)),"")="支",N(F767)&lt;&gt;0),"✗ 这类是付款，金额填到支出列",IF(N(H767)&lt;0,"⚠ 账户余额成负数了，核对一下","√"))))))))))))))))))</f>
      </c>
      <c r="O767" s="78">
        <f>IF(D767&lt;&gt;"",D767,IF(AND(F767="",G767=""),"",IF(J767&lt;&gt;"",IF(N(F767)&gt;0,"客户回款","客户退款"),IF(K767&lt;&gt;"",IF(N(G767)&gt;0,"供应商付款","供应商退款"),IF(L767&lt;&gt;"","费用支出","")))))</f>
      </c>
      <c r="P767" s="78">
        <f>IF(O767="","",IFERROR(INDEX(基础资料!$AE$5:$AE$34,MATCH(O767,基础资料!$AC$5:$AC$34,0)),"未知"))</f>
      </c>
      <c r="Q767" s="78">
        <f>IF(P767="应收",COUNTIF(P$7:P767,"应收"),"")</f>
      </c>
      <c r="R767" s="78">
        <f>IF(P767="应付",COUNTIF(P$7:P767,"应付"),"")</f>
      </c>
      <c r="S767" s="78">
        <f>N(F767)-N(G767)</f>
        <v>0</v>
      </c>
    </row>
    <row r="768">
      <c r="A768" s="109">
        <f>IF(AND(F768="",G768=""),"",ROW()-6)</f>
      </c>
      <c r="B768" s="140" t="n"/>
      <c r="C768" s="141" t="n"/>
      <c r="D768" s="141" t="n"/>
      <c r="E768" s="142" t="n"/>
      <c r="F768" s="143" t="n"/>
      <c r="G768" s="144" t="n"/>
      <c r="H768" s="145">
        <f>IF(OR(C768="",AND(F768="",G768="")),"",SUMIF(基础资料!$W$5:$W$24,C768,基础资料!$X$5:$X$24)+SUMIF(C$7:C768,C768,F$7:F768)-SUMIF(C$7:C768,C768,G$7:G768))</f>
      </c>
      <c r="I768" s="145">
        <f>IF(AND(F768="",G768=""),"",SUM(基础资料!$X$5:$X$24)+SUM(F$7:F768)-SUM(G$7:G768))</f>
      </c>
      <c r="J768" s="141" t="n"/>
      <c r="K768" s="141" t="n"/>
      <c r="L768" s="141" t="n"/>
      <c r="M768" s="142" t="n"/>
      <c r="N768" s="146">
        <f>IF(AND(AND(F768="",G768=""),B768="",C768="",D768="",J768="",K768="",L768=""),"",IF(AND(F768="",G768=""),"✗ 没填金额",IF(AND(N(F768)&lt;&gt;0,N(G768)&lt;&gt;0),"✗ 收入、支出只能填一边",IF(NOT(ISNUMBER(B768)),"✗ 日期不是真日期（要像 2026/9/25 这样填）",IF(OR(B768&lt;年初日,B768&gt;年末日),"✗ 日期不在本会计年度",IF(C768="","✗ 没选账户",IF(COUNTIF(基础资料!$W$5:$W$24,C768)=0,"✗ 账户不在基础资料里",IF(O768="","✗ 没选收支项目",IF(P768="未知","✗ 收支项目不在基础资料里",IF(AND(P768="应收",J768=""),"✗ 这笔要选客户",IF(AND(P768="应收",COUNTIF(总览汇总!$B$5:$B$304,J768)=0),"✗ 客户不在总览汇总名单里",IF(AND(P768="应付",K768=""),"✗ 这笔要选供应商",IF(AND(P768="应付",COUNTIF(基础资料!$Q$5:$Q$54,K768)=0),"✗ 供应商不在基础资料里",IF(AND(P768="费用",L768=""),"✗ 费用支出要选费用项目",IF(AND(L768&lt;&gt;"",COUNTIF(基础资料!$AI$5:$AI$54,L768)=0),"✗ 费用项目不在基础资料里",IF(AND(IFERROR(INDEX(基础资料!$AD$5:$AD$34,MATCH(O768,基础资料!$AC$5:$AC$34,0)),"")="收",N(G768)&lt;&gt;0),"✗ 这类是收款，金额填到收入列",IF(AND(IFERROR(INDEX(基础资料!$AD$5:$AD$34,MATCH(O768,基础资料!$AC$5:$AC$34,0)),"")="支",N(F768)&lt;&gt;0),"✗ 这类是付款，金额填到支出列",IF(N(H768)&lt;0,"⚠ 账户余额成负数了，核对一下","√"))))))))))))))))))</f>
      </c>
      <c r="O768" s="78">
        <f>IF(D768&lt;&gt;"",D768,IF(AND(F768="",G768=""),"",IF(J768&lt;&gt;"",IF(N(F768)&gt;0,"客户回款","客户退款"),IF(K768&lt;&gt;"",IF(N(G768)&gt;0,"供应商付款","供应商退款"),IF(L768&lt;&gt;"","费用支出","")))))</f>
      </c>
      <c r="P768" s="78">
        <f>IF(O768="","",IFERROR(INDEX(基础资料!$AE$5:$AE$34,MATCH(O768,基础资料!$AC$5:$AC$34,0)),"未知"))</f>
      </c>
      <c r="Q768" s="78">
        <f>IF(P768="应收",COUNTIF(P$7:P768,"应收"),"")</f>
      </c>
      <c r="R768" s="78">
        <f>IF(P768="应付",COUNTIF(P$7:P768,"应付"),"")</f>
      </c>
      <c r="S768" s="78">
        <f>N(F768)-N(G768)</f>
        <v>0</v>
      </c>
    </row>
    <row r="769">
      <c r="A769" s="109">
        <f>IF(AND(F769="",G769=""),"",ROW()-6)</f>
      </c>
      <c r="B769" s="140" t="n"/>
      <c r="C769" s="141" t="n"/>
      <c r="D769" s="141" t="n"/>
      <c r="E769" s="142" t="n"/>
      <c r="F769" s="143" t="n"/>
      <c r="G769" s="144" t="n"/>
      <c r="H769" s="145">
        <f>IF(OR(C769="",AND(F769="",G769="")),"",SUMIF(基础资料!$W$5:$W$24,C769,基础资料!$X$5:$X$24)+SUMIF(C$7:C769,C769,F$7:F769)-SUMIF(C$7:C769,C769,G$7:G769))</f>
      </c>
      <c r="I769" s="145">
        <f>IF(AND(F769="",G769=""),"",SUM(基础资料!$X$5:$X$24)+SUM(F$7:F769)-SUM(G$7:G769))</f>
      </c>
      <c r="J769" s="141" t="n"/>
      <c r="K769" s="141" t="n"/>
      <c r="L769" s="141" t="n"/>
      <c r="M769" s="142" t="n"/>
      <c r="N769" s="146">
        <f>IF(AND(AND(F769="",G769=""),B769="",C769="",D769="",J769="",K769="",L769=""),"",IF(AND(F769="",G769=""),"✗ 没填金额",IF(AND(N(F769)&lt;&gt;0,N(G769)&lt;&gt;0),"✗ 收入、支出只能填一边",IF(NOT(ISNUMBER(B769)),"✗ 日期不是真日期（要像 2026/9/25 这样填）",IF(OR(B769&lt;年初日,B769&gt;年末日),"✗ 日期不在本会计年度",IF(C769="","✗ 没选账户",IF(COUNTIF(基础资料!$W$5:$W$24,C769)=0,"✗ 账户不在基础资料里",IF(O769="","✗ 没选收支项目",IF(P769="未知","✗ 收支项目不在基础资料里",IF(AND(P769="应收",J769=""),"✗ 这笔要选客户",IF(AND(P769="应收",COUNTIF(总览汇总!$B$5:$B$304,J769)=0),"✗ 客户不在总览汇总名单里",IF(AND(P769="应付",K769=""),"✗ 这笔要选供应商",IF(AND(P769="应付",COUNTIF(基础资料!$Q$5:$Q$54,K769)=0),"✗ 供应商不在基础资料里",IF(AND(P769="费用",L769=""),"✗ 费用支出要选费用项目",IF(AND(L769&lt;&gt;"",COUNTIF(基础资料!$AI$5:$AI$54,L769)=0),"✗ 费用项目不在基础资料里",IF(AND(IFERROR(INDEX(基础资料!$AD$5:$AD$34,MATCH(O769,基础资料!$AC$5:$AC$34,0)),"")="收",N(G769)&lt;&gt;0),"✗ 这类是收款，金额填到收入列",IF(AND(IFERROR(INDEX(基础资料!$AD$5:$AD$34,MATCH(O769,基础资料!$AC$5:$AC$34,0)),"")="支",N(F769)&lt;&gt;0),"✗ 这类是付款，金额填到支出列",IF(N(H769)&lt;0,"⚠ 账户余额成负数了，核对一下","√"))))))))))))))))))</f>
      </c>
      <c r="O769" s="78">
        <f>IF(D769&lt;&gt;"",D769,IF(AND(F769="",G769=""),"",IF(J769&lt;&gt;"",IF(N(F769)&gt;0,"客户回款","客户退款"),IF(K769&lt;&gt;"",IF(N(G769)&gt;0,"供应商付款","供应商退款"),IF(L769&lt;&gt;"","费用支出","")))))</f>
      </c>
      <c r="P769" s="78">
        <f>IF(O769="","",IFERROR(INDEX(基础资料!$AE$5:$AE$34,MATCH(O769,基础资料!$AC$5:$AC$34,0)),"未知"))</f>
      </c>
      <c r="Q769" s="78">
        <f>IF(P769="应收",COUNTIF(P$7:P769,"应收"),"")</f>
      </c>
      <c r="R769" s="78">
        <f>IF(P769="应付",COUNTIF(P$7:P769,"应付"),"")</f>
      </c>
      <c r="S769" s="78">
        <f>N(F769)-N(G769)</f>
        <v>0</v>
      </c>
    </row>
    <row r="770">
      <c r="A770" s="109">
        <f>IF(AND(F770="",G770=""),"",ROW()-6)</f>
      </c>
      <c r="B770" s="140" t="n"/>
      <c r="C770" s="141" t="n"/>
      <c r="D770" s="141" t="n"/>
      <c r="E770" s="142" t="n"/>
      <c r="F770" s="143" t="n"/>
      <c r="G770" s="144" t="n"/>
      <c r="H770" s="145">
        <f>IF(OR(C770="",AND(F770="",G770="")),"",SUMIF(基础资料!$W$5:$W$24,C770,基础资料!$X$5:$X$24)+SUMIF(C$7:C770,C770,F$7:F770)-SUMIF(C$7:C770,C770,G$7:G770))</f>
      </c>
      <c r="I770" s="145">
        <f>IF(AND(F770="",G770=""),"",SUM(基础资料!$X$5:$X$24)+SUM(F$7:F770)-SUM(G$7:G770))</f>
      </c>
      <c r="J770" s="141" t="n"/>
      <c r="K770" s="141" t="n"/>
      <c r="L770" s="141" t="n"/>
      <c r="M770" s="142" t="n"/>
      <c r="N770" s="146">
        <f>IF(AND(AND(F770="",G770=""),B770="",C770="",D770="",J770="",K770="",L770=""),"",IF(AND(F770="",G770=""),"✗ 没填金额",IF(AND(N(F770)&lt;&gt;0,N(G770)&lt;&gt;0),"✗ 收入、支出只能填一边",IF(NOT(ISNUMBER(B770)),"✗ 日期不是真日期（要像 2026/9/25 这样填）",IF(OR(B770&lt;年初日,B770&gt;年末日),"✗ 日期不在本会计年度",IF(C770="","✗ 没选账户",IF(COUNTIF(基础资料!$W$5:$W$24,C770)=0,"✗ 账户不在基础资料里",IF(O770="","✗ 没选收支项目",IF(P770="未知","✗ 收支项目不在基础资料里",IF(AND(P770="应收",J770=""),"✗ 这笔要选客户",IF(AND(P770="应收",COUNTIF(总览汇总!$B$5:$B$304,J770)=0),"✗ 客户不在总览汇总名单里",IF(AND(P770="应付",K770=""),"✗ 这笔要选供应商",IF(AND(P770="应付",COUNTIF(基础资料!$Q$5:$Q$54,K770)=0),"✗ 供应商不在基础资料里",IF(AND(P770="费用",L770=""),"✗ 费用支出要选费用项目",IF(AND(L770&lt;&gt;"",COUNTIF(基础资料!$AI$5:$AI$54,L770)=0),"✗ 费用项目不在基础资料里",IF(AND(IFERROR(INDEX(基础资料!$AD$5:$AD$34,MATCH(O770,基础资料!$AC$5:$AC$34,0)),"")="收",N(G770)&lt;&gt;0),"✗ 这类是收款，金额填到收入列",IF(AND(IFERROR(INDEX(基础资料!$AD$5:$AD$34,MATCH(O770,基础资料!$AC$5:$AC$34,0)),"")="支",N(F770)&lt;&gt;0),"✗ 这类是付款，金额填到支出列",IF(N(H770)&lt;0,"⚠ 账户余额成负数了，核对一下","√"))))))))))))))))))</f>
      </c>
      <c r="O770" s="78">
        <f>IF(D770&lt;&gt;"",D770,IF(AND(F770="",G770=""),"",IF(J770&lt;&gt;"",IF(N(F770)&gt;0,"客户回款","客户退款"),IF(K770&lt;&gt;"",IF(N(G770)&gt;0,"供应商付款","供应商退款"),IF(L770&lt;&gt;"","费用支出","")))))</f>
      </c>
      <c r="P770" s="78">
        <f>IF(O770="","",IFERROR(INDEX(基础资料!$AE$5:$AE$34,MATCH(O770,基础资料!$AC$5:$AC$34,0)),"未知"))</f>
      </c>
      <c r="Q770" s="78">
        <f>IF(P770="应收",COUNTIF(P$7:P770,"应收"),"")</f>
      </c>
      <c r="R770" s="78">
        <f>IF(P770="应付",COUNTIF(P$7:P770,"应付"),"")</f>
      </c>
      <c r="S770" s="78">
        <f>N(F770)-N(G770)</f>
        <v>0</v>
      </c>
    </row>
    <row r="771">
      <c r="A771" s="109">
        <f>IF(AND(F771="",G771=""),"",ROW()-6)</f>
      </c>
      <c r="B771" s="140" t="n"/>
      <c r="C771" s="141" t="n"/>
      <c r="D771" s="141" t="n"/>
      <c r="E771" s="142" t="n"/>
      <c r="F771" s="143" t="n"/>
      <c r="G771" s="144" t="n"/>
      <c r="H771" s="145">
        <f>IF(OR(C771="",AND(F771="",G771="")),"",SUMIF(基础资料!$W$5:$W$24,C771,基础资料!$X$5:$X$24)+SUMIF(C$7:C771,C771,F$7:F771)-SUMIF(C$7:C771,C771,G$7:G771))</f>
      </c>
      <c r="I771" s="145">
        <f>IF(AND(F771="",G771=""),"",SUM(基础资料!$X$5:$X$24)+SUM(F$7:F771)-SUM(G$7:G771))</f>
      </c>
      <c r="J771" s="141" t="n"/>
      <c r="K771" s="141" t="n"/>
      <c r="L771" s="141" t="n"/>
      <c r="M771" s="142" t="n"/>
      <c r="N771" s="146">
        <f>IF(AND(AND(F771="",G771=""),B771="",C771="",D771="",J771="",K771="",L771=""),"",IF(AND(F771="",G771=""),"✗ 没填金额",IF(AND(N(F771)&lt;&gt;0,N(G771)&lt;&gt;0),"✗ 收入、支出只能填一边",IF(NOT(ISNUMBER(B771)),"✗ 日期不是真日期（要像 2026/9/25 这样填）",IF(OR(B771&lt;年初日,B771&gt;年末日),"✗ 日期不在本会计年度",IF(C771="","✗ 没选账户",IF(COUNTIF(基础资料!$W$5:$W$24,C771)=0,"✗ 账户不在基础资料里",IF(O771="","✗ 没选收支项目",IF(P771="未知","✗ 收支项目不在基础资料里",IF(AND(P771="应收",J771=""),"✗ 这笔要选客户",IF(AND(P771="应收",COUNTIF(总览汇总!$B$5:$B$304,J771)=0),"✗ 客户不在总览汇总名单里",IF(AND(P771="应付",K771=""),"✗ 这笔要选供应商",IF(AND(P771="应付",COUNTIF(基础资料!$Q$5:$Q$54,K771)=0),"✗ 供应商不在基础资料里",IF(AND(P771="费用",L771=""),"✗ 费用支出要选费用项目",IF(AND(L771&lt;&gt;"",COUNTIF(基础资料!$AI$5:$AI$54,L771)=0),"✗ 费用项目不在基础资料里",IF(AND(IFERROR(INDEX(基础资料!$AD$5:$AD$34,MATCH(O771,基础资料!$AC$5:$AC$34,0)),"")="收",N(G771)&lt;&gt;0),"✗ 这类是收款，金额填到收入列",IF(AND(IFERROR(INDEX(基础资料!$AD$5:$AD$34,MATCH(O771,基础资料!$AC$5:$AC$34,0)),"")="支",N(F771)&lt;&gt;0),"✗ 这类是付款，金额填到支出列",IF(N(H771)&lt;0,"⚠ 账户余额成负数了，核对一下","√"))))))))))))))))))</f>
      </c>
      <c r="O771" s="78">
        <f>IF(D771&lt;&gt;"",D771,IF(AND(F771="",G771=""),"",IF(J771&lt;&gt;"",IF(N(F771)&gt;0,"客户回款","客户退款"),IF(K771&lt;&gt;"",IF(N(G771)&gt;0,"供应商付款","供应商退款"),IF(L771&lt;&gt;"","费用支出","")))))</f>
      </c>
      <c r="P771" s="78">
        <f>IF(O771="","",IFERROR(INDEX(基础资料!$AE$5:$AE$34,MATCH(O771,基础资料!$AC$5:$AC$34,0)),"未知"))</f>
      </c>
      <c r="Q771" s="78">
        <f>IF(P771="应收",COUNTIF(P$7:P771,"应收"),"")</f>
      </c>
      <c r="R771" s="78">
        <f>IF(P771="应付",COUNTIF(P$7:P771,"应付"),"")</f>
      </c>
      <c r="S771" s="78">
        <f>N(F771)-N(G771)</f>
        <v>0</v>
      </c>
    </row>
    <row r="772">
      <c r="A772" s="109">
        <f>IF(AND(F772="",G772=""),"",ROW()-6)</f>
      </c>
      <c r="B772" s="140" t="n"/>
      <c r="C772" s="141" t="n"/>
      <c r="D772" s="141" t="n"/>
      <c r="E772" s="142" t="n"/>
      <c r="F772" s="143" t="n"/>
      <c r="G772" s="144" t="n"/>
      <c r="H772" s="145">
        <f>IF(OR(C772="",AND(F772="",G772="")),"",SUMIF(基础资料!$W$5:$W$24,C772,基础资料!$X$5:$X$24)+SUMIF(C$7:C772,C772,F$7:F772)-SUMIF(C$7:C772,C772,G$7:G772))</f>
      </c>
      <c r="I772" s="145">
        <f>IF(AND(F772="",G772=""),"",SUM(基础资料!$X$5:$X$24)+SUM(F$7:F772)-SUM(G$7:G772))</f>
      </c>
      <c r="J772" s="141" t="n"/>
      <c r="K772" s="141" t="n"/>
      <c r="L772" s="141" t="n"/>
      <c r="M772" s="142" t="n"/>
      <c r="N772" s="146">
        <f>IF(AND(AND(F772="",G772=""),B772="",C772="",D772="",J772="",K772="",L772=""),"",IF(AND(F772="",G772=""),"✗ 没填金额",IF(AND(N(F772)&lt;&gt;0,N(G772)&lt;&gt;0),"✗ 收入、支出只能填一边",IF(NOT(ISNUMBER(B772)),"✗ 日期不是真日期（要像 2026/9/25 这样填）",IF(OR(B772&lt;年初日,B772&gt;年末日),"✗ 日期不在本会计年度",IF(C772="","✗ 没选账户",IF(COUNTIF(基础资料!$W$5:$W$24,C772)=0,"✗ 账户不在基础资料里",IF(O772="","✗ 没选收支项目",IF(P772="未知","✗ 收支项目不在基础资料里",IF(AND(P772="应收",J772=""),"✗ 这笔要选客户",IF(AND(P772="应收",COUNTIF(总览汇总!$B$5:$B$304,J772)=0),"✗ 客户不在总览汇总名单里",IF(AND(P772="应付",K772=""),"✗ 这笔要选供应商",IF(AND(P772="应付",COUNTIF(基础资料!$Q$5:$Q$54,K772)=0),"✗ 供应商不在基础资料里",IF(AND(P772="费用",L772=""),"✗ 费用支出要选费用项目",IF(AND(L772&lt;&gt;"",COUNTIF(基础资料!$AI$5:$AI$54,L772)=0),"✗ 费用项目不在基础资料里",IF(AND(IFERROR(INDEX(基础资料!$AD$5:$AD$34,MATCH(O772,基础资料!$AC$5:$AC$34,0)),"")="收",N(G772)&lt;&gt;0),"✗ 这类是收款，金额填到收入列",IF(AND(IFERROR(INDEX(基础资料!$AD$5:$AD$34,MATCH(O772,基础资料!$AC$5:$AC$34,0)),"")="支",N(F772)&lt;&gt;0),"✗ 这类是付款，金额填到支出列",IF(N(H772)&lt;0,"⚠ 账户余额成负数了，核对一下","√"))))))))))))))))))</f>
      </c>
      <c r="O772" s="78">
        <f>IF(D772&lt;&gt;"",D772,IF(AND(F772="",G772=""),"",IF(J772&lt;&gt;"",IF(N(F772)&gt;0,"客户回款","客户退款"),IF(K772&lt;&gt;"",IF(N(G772)&gt;0,"供应商付款","供应商退款"),IF(L772&lt;&gt;"","费用支出","")))))</f>
      </c>
      <c r="P772" s="78">
        <f>IF(O772="","",IFERROR(INDEX(基础资料!$AE$5:$AE$34,MATCH(O772,基础资料!$AC$5:$AC$34,0)),"未知"))</f>
      </c>
      <c r="Q772" s="78">
        <f>IF(P772="应收",COUNTIF(P$7:P772,"应收"),"")</f>
      </c>
      <c r="R772" s="78">
        <f>IF(P772="应付",COUNTIF(P$7:P772,"应付"),"")</f>
      </c>
      <c r="S772" s="78">
        <f>N(F772)-N(G772)</f>
        <v>0</v>
      </c>
    </row>
    <row r="773">
      <c r="A773" s="109">
        <f>IF(AND(F773="",G773=""),"",ROW()-6)</f>
      </c>
      <c r="B773" s="140" t="n"/>
      <c r="C773" s="141" t="n"/>
      <c r="D773" s="141" t="n"/>
      <c r="E773" s="142" t="n"/>
      <c r="F773" s="143" t="n"/>
      <c r="G773" s="144" t="n"/>
      <c r="H773" s="145">
        <f>IF(OR(C773="",AND(F773="",G773="")),"",SUMIF(基础资料!$W$5:$W$24,C773,基础资料!$X$5:$X$24)+SUMIF(C$7:C773,C773,F$7:F773)-SUMIF(C$7:C773,C773,G$7:G773))</f>
      </c>
      <c r="I773" s="145">
        <f>IF(AND(F773="",G773=""),"",SUM(基础资料!$X$5:$X$24)+SUM(F$7:F773)-SUM(G$7:G773))</f>
      </c>
      <c r="J773" s="141" t="n"/>
      <c r="K773" s="141" t="n"/>
      <c r="L773" s="141" t="n"/>
      <c r="M773" s="142" t="n"/>
      <c r="N773" s="146">
        <f>IF(AND(AND(F773="",G773=""),B773="",C773="",D773="",J773="",K773="",L773=""),"",IF(AND(F773="",G773=""),"✗ 没填金额",IF(AND(N(F773)&lt;&gt;0,N(G773)&lt;&gt;0),"✗ 收入、支出只能填一边",IF(NOT(ISNUMBER(B773)),"✗ 日期不是真日期（要像 2026/9/25 这样填）",IF(OR(B773&lt;年初日,B773&gt;年末日),"✗ 日期不在本会计年度",IF(C773="","✗ 没选账户",IF(COUNTIF(基础资料!$W$5:$W$24,C773)=0,"✗ 账户不在基础资料里",IF(O773="","✗ 没选收支项目",IF(P773="未知","✗ 收支项目不在基础资料里",IF(AND(P773="应收",J773=""),"✗ 这笔要选客户",IF(AND(P773="应收",COUNTIF(总览汇总!$B$5:$B$304,J773)=0),"✗ 客户不在总览汇总名单里",IF(AND(P773="应付",K773=""),"✗ 这笔要选供应商",IF(AND(P773="应付",COUNTIF(基础资料!$Q$5:$Q$54,K773)=0),"✗ 供应商不在基础资料里",IF(AND(P773="费用",L773=""),"✗ 费用支出要选费用项目",IF(AND(L773&lt;&gt;"",COUNTIF(基础资料!$AI$5:$AI$54,L773)=0),"✗ 费用项目不在基础资料里",IF(AND(IFERROR(INDEX(基础资料!$AD$5:$AD$34,MATCH(O773,基础资料!$AC$5:$AC$34,0)),"")="收",N(G773)&lt;&gt;0),"✗ 这类是收款，金额填到收入列",IF(AND(IFERROR(INDEX(基础资料!$AD$5:$AD$34,MATCH(O773,基础资料!$AC$5:$AC$34,0)),"")="支",N(F773)&lt;&gt;0),"✗ 这类是付款，金额填到支出列",IF(N(H773)&lt;0,"⚠ 账户余额成负数了，核对一下","√"))))))))))))))))))</f>
      </c>
      <c r="O773" s="78">
        <f>IF(D773&lt;&gt;"",D773,IF(AND(F773="",G773=""),"",IF(J773&lt;&gt;"",IF(N(F773)&gt;0,"客户回款","客户退款"),IF(K773&lt;&gt;"",IF(N(G773)&gt;0,"供应商付款","供应商退款"),IF(L773&lt;&gt;"","费用支出","")))))</f>
      </c>
      <c r="P773" s="78">
        <f>IF(O773="","",IFERROR(INDEX(基础资料!$AE$5:$AE$34,MATCH(O773,基础资料!$AC$5:$AC$34,0)),"未知"))</f>
      </c>
      <c r="Q773" s="78">
        <f>IF(P773="应收",COUNTIF(P$7:P773,"应收"),"")</f>
      </c>
      <c r="R773" s="78">
        <f>IF(P773="应付",COUNTIF(P$7:P773,"应付"),"")</f>
      </c>
      <c r="S773" s="78">
        <f>N(F773)-N(G773)</f>
        <v>0</v>
      </c>
    </row>
    <row r="774">
      <c r="A774" s="109">
        <f>IF(AND(F774="",G774=""),"",ROW()-6)</f>
      </c>
      <c r="B774" s="140" t="n"/>
      <c r="C774" s="141" t="n"/>
      <c r="D774" s="141" t="n"/>
      <c r="E774" s="142" t="n"/>
      <c r="F774" s="143" t="n"/>
      <c r="G774" s="144" t="n"/>
      <c r="H774" s="145">
        <f>IF(OR(C774="",AND(F774="",G774="")),"",SUMIF(基础资料!$W$5:$W$24,C774,基础资料!$X$5:$X$24)+SUMIF(C$7:C774,C774,F$7:F774)-SUMIF(C$7:C774,C774,G$7:G774))</f>
      </c>
      <c r="I774" s="145">
        <f>IF(AND(F774="",G774=""),"",SUM(基础资料!$X$5:$X$24)+SUM(F$7:F774)-SUM(G$7:G774))</f>
      </c>
      <c r="J774" s="141" t="n"/>
      <c r="K774" s="141" t="n"/>
      <c r="L774" s="141" t="n"/>
      <c r="M774" s="142" t="n"/>
      <c r="N774" s="146">
        <f>IF(AND(AND(F774="",G774=""),B774="",C774="",D774="",J774="",K774="",L774=""),"",IF(AND(F774="",G774=""),"✗ 没填金额",IF(AND(N(F774)&lt;&gt;0,N(G774)&lt;&gt;0),"✗ 收入、支出只能填一边",IF(NOT(ISNUMBER(B774)),"✗ 日期不是真日期（要像 2026/9/25 这样填）",IF(OR(B774&lt;年初日,B774&gt;年末日),"✗ 日期不在本会计年度",IF(C774="","✗ 没选账户",IF(COUNTIF(基础资料!$W$5:$W$24,C774)=0,"✗ 账户不在基础资料里",IF(O774="","✗ 没选收支项目",IF(P774="未知","✗ 收支项目不在基础资料里",IF(AND(P774="应收",J774=""),"✗ 这笔要选客户",IF(AND(P774="应收",COUNTIF(总览汇总!$B$5:$B$304,J774)=0),"✗ 客户不在总览汇总名单里",IF(AND(P774="应付",K774=""),"✗ 这笔要选供应商",IF(AND(P774="应付",COUNTIF(基础资料!$Q$5:$Q$54,K774)=0),"✗ 供应商不在基础资料里",IF(AND(P774="费用",L774=""),"✗ 费用支出要选费用项目",IF(AND(L774&lt;&gt;"",COUNTIF(基础资料!$AI$5:$AI$54,L774)=0),"✗ 费用项目不在基础资料里",IF(AND(IFERROR(INDEX(基础资料!$AD$5:$AD$34,MATCH(O774,基础资料!$AC$5:$AC$34,0)),"")="收",N(G774)&lt;&gt;0),"✗ 这类是收款，金额填到收入列",IF(AND(IFERROR(INDEX(基础资料!$AD$5:$AD$34,MATCH(O774,基础资料!$AC$5:$AC$34,0)),"")="支",N(F774)&lt;&gt;0),"✗ 这类是付款，金额填到支出列",IF(N(H774)&lt;0,"⚠ 账户余额成负数了，核对一下","√"))))))))))))))))))</f>
      </c>
      <c r="O774" s="78">
        <f>IF(D774&lt;&gt;"",D774,IF(AND(F774="",G774=""),"",IF(J774&lt;&gt;"",IF(N(F774)&gt;0,"客户回款","客户退款"),IF(K774&lt;&gt;"",IF(N(G774)&gt;0,"供应商付款","供应商退款"),IF(L774&lt;&gt;"","费用支出","")))))</f>
      </c>
      <c r="P774" s="78">
        <f>IF(O774="","",IFERROR(INDEX(基础资料!$AE$5:$AE$34,MATCH(O774,基础资料!$AC$5:$AC$34,0)),"未知"))</f>
      </c>
      <c r="Q774" s="78">
        <f>IF(P774="应收",COUNTIF(P$7:P774,"应收"),"")</f>
      </c>
      <c r="R774" s="78">
        <f>IF(P774="应付",COUNTIF(P$7:P774,"应付"),"")</f>
      </c>
      <c r="S774" s="78">
        <f>N(F774)-N(G774)</f>
        <v>0</v>
      </c>
    </row>
    <row r="775">
      <c r="A775" s="109">
        <f>IF(AND(F775="",G775=""),"",ROW()-6)</f>
      </c>
      <c r="B775" s="140" t="n"/>
      <c r="C775" s="141" t="n"/>
      <c r="D775" s="141" t="n"/>
      <c r="E775" s="142" t="n"/>
      <c r="F775" s="143" t="n"/>
      <c r="G775" s="144" t="n"/>
      <c r="H775" s="145">
        <f>IF(OR(C775="",AND(F775="",G775="")),"",SUMIF(基础资料!$W$5:$W$24,C775,基础资料!$X$5:$X$24)+SUMIF(C$7:C775,C775,F$7:F775)-SUMIF(C$7:C775,C775,G$7:G775))</f>
      </c>
      <c r="I775" s="145">
        <f>IF(AND(F775="",G775=""),"",SUM(基础资料!$X$5:$X$24)+SUM(F$7:F775)-SUM(G$7:G775))</f>
      </c>
      <c r="J775" s="141" t="n"/>
      <c r="K775" s="141" t="n"/>
      <c r="L775" s="141" t="n"/>
      <c r="M775" s="142" t="n"/>
      <c r="N775" s="146">
        <f>IF(AND(AND(F775="",G775=""),B775="",C775="",D775="",J775="",K775="",L775=""),"",IF(AND(F775="",G775=""),"✗ 没填金额",IF(AND(N(F775)&lt;&gt;0,N(G775)&lt;&gt;0),"✗ 收入、支出只能填一边",IF(NOT(ISNUMBER(B775)),"✗ 日期不是真日期（要像 2026/9/25 这样填）",IF(OR(B775&lt;年初日,B775&gt;年末日),"✗ 日期不在本会计年度",IF(C775="","✗ 没选账户",IF(COUNTIF(基础资料!$W$5:$W$24,C775)=0,"✗ 账户不在基础资料里",IF(O775="","✗ 没选收支项目",IF(P775="未知","✗ 收支项目不在基础资料里",IF(AND(P775="应收",J775=""),"✗ 这笔要选客户",IF(AND(P775="应收",COUNTIF(总览汇总!$B$5:$B$304,J775)=0),"✗ 客户不在总览汇总名单里",IF(AND(P775="应付",K775=""),"✗ 这笔要选供应商",IF(AND(P775="应付",COUNTIF(基础资料!$Q$5:$Q$54,K775)=0),"✗ 供应商不在基础资料里",IF(AND(P775="费用",L775=""),"✗ 费用支出要选费用项目",IF(AND(L775&lt;&gt;"",COUNTIF(基础资料!$AI$5:$AI$54,L775)=0),"✗ 费用项目不在基础资料里",IF(AND(IFERROR(INDEX(基础资料!$AD$5:$AD$34,MATCH(O775,基础资料!$AC$5:$AC$34,0)),"")="收",N(G775)&lt;&gt;0),"✗ 这类是收款，金额填到收入列",IF(AND(IFERROR(INDEX(基础资料!$AD$5:$AD$34,MATCH(O775,基础资料!$AC$5:$AC$34,0)),"")="支",N(F775)&lt;&gt;0),"✗ 这类是付款，金额填到支出列",IF(N(H775)&lt;0,"⚠ 账户余额成负数了，核对一下","√"))))))))))))))))))</f>
      </c>
      <c r="O775" s="78">
        <f>IF(D775&lt;&gt;"",D775,IF(AND(F775="",G775=""),"",IF(J775&lt;&gt;"",IF(N(F775)&gt;0,"客户回款","客户退款"),IF(K775&lt;&gt;"",IF(N(G775)&gt;0,"供应商付款","供应商退款"),IF(L775&lt;&gt;"","费用支出","")))))</f>
      </c>
      <c r="P775" s="78">
        <f>IF(O775="","",IFERROR(INDEX(基础资料!$AE$5:$AE$34,MATCH(O775,基础资料!$AC$5:$AC$34,0)),"未知"))</f>
      </c>
      <c r="Q775" s="78">
        <f>IF(P775="应收",COUNTIF(P$7:P775,"应收"),"")</f>
      </c>
      <c r="R775" s="78">
        <f>IF(P775="应付",COUNTIF(P$7:P775,"应付"),"")</f>
      </c>
      <c r="S775" s="78">
        <f>N(F775)-N(G775)</f>
        <v>0</v>
      </c>
    </row>
    <row r="776">
      <c r="A776" s="109">
        <f>IF(AND(F776="",G776=""),"",ROW()-6)</f>
      </c>
      <c r="B776" s="140" t="n"/>
      <c r="C776" s="141" t="n"/>
      <c r="D776" s="141" t="n"/>
      <c r="E776" s="142" t="n"/>
      <c r="F776" s="143" t="n"/>
      <c r="G776" s="144" t="n"/>
      <c r="H776" s="145">
        <f>IF(OR(C776="",AND(F776="",G776="")),"",SUMIF(基础资料!$W$5:$W$24,C776,基础资料!$X$5:$X$24)+SUMIF(C$7:C776,C776,F$7:F776)-SUMIF(C$7:C776,C776,G$7:G776))</f>
      </c>
      <c r="I776" s="145">
        <f>IF(AND(F776="",G776=""),"",SUM(基础资料!$X$5:$X$24)+SUM(F$7:F776)-SUM(G$7:G776))</f>
      </c>
      <c r="J776" s="141" t="n"/>
      <c r="K776" s="141" t="n"/>
      <c r="L776" s="141" t="n"/>
      <c r="M776" s="142" t="n"/>
      <c r="N776" s="146">
        <f>IF(AND(AND(F776="",G776=""),B776="",C776="",D776="",J776="",K776="",L776=""),"",IF(AND(F776="",G776=""),"✗ 没填金额",IF(AND(N(F776)&lt;&gt;0,N(G776)&lt;&gt;0),"✗ 收入、支出只能填一边",IF(NOT(ISNUMBER(B776)),"✗ 日期不是真日期（要像 2026/9/25 这样填）",IF(OR(B776&lt;年初日,B776&gt;年末日),"✗ 日期不在本会计年度",IF(C776="","✗ 没选账户",IF(COUNTIF(基础资料!$W$5:$W$24,C776)=0,"✗ 账户不在基础资料里",IF(O776="","✗ 没选收支项目",IF(P776="未知","✗ 收支项目不在基础资料里",IF(AND(P776="应收",J776=""),"✗ 这笔要选客户",IF(AND(P776="应收",COUNTIF(总览汇总!$B$5:$B$304,J776)=0),"✗ 客户不在总览汇总名单里",IF(AND(P776="应付",K776=""),"✗ 这笔要选供应商",IF(AND(P776="应付",COUNTIF(基础资料!$Q$5:$Q$54,K776)=0),"✗ 供应商不在基础资料里",IF(AND(P776="费用",L776=""),"✗ 费用支出要选费用项目",IF(AND(L776&lt;&gt;"",COUNTIF(基础资料!$AI$5:$AI$54,L776)=0),"✗ 费用项目不在基础资料里",IF(AND(IFERROR(INDEX(基础资料!$AD$5:$AD$34,MATCH(O776,基础资料!$AC$5:$AC$34,0)),"")="收",N(G776)&lt;&gt;0),"✗ 这类是收款，金额填到收入列",IF(AND(IFERROR(INDEX(基础资料!$AD$5:$AD$34,MATCH(O776,基础资料!$AC$5:$AC$34,0)),"")="支",N(F776)&lt;&gt;0),"✗ 这类是付款，金额填到支出列",IF(N(H776)&lt;0,"⚠ 账户余额成负数了，核对一下","√"))))))))))))))))))</f>
      </c>
      <c r="O776" s="78">
        <f>IF(D776&lt;&gt;"",D776,IF(AND(F776="",G776=""),"",IF(J776&lt;&gt;"",IF(N(F776)&gt;0,"客户回款","客户退款"),IF(K776&lt;&gt;"",IF(N(G776)&gt;0,"供应商付款","供应商退款"),IF(L776&lt;&gt;"","费用支出","")))))</f>
      </c>
      <c r="P776" s="78">
        <f>IF(O776="","",IFERROR(INDEX(基础资料!$AE$5:$AE$34,MATCH(O776,基础资料!$AC$5:$AC$34,0)),"未知"))</f>
      </c>
      <c r="Q776" s="78">
        <f>IF(P776="应收",COUNTIF(P$7:P776,"应收"),"")</f>
      </c>
      <c r="R776" s="78">
        <f>IF(P776="应付",COUNTIF(P$7:P776,"应付"),"")</f>
      </c>
      <c r="S776" s="78">
        <f>N(F776)-N(G776)</f>
        <v>0</v>
      </c>
    </row>
    <row r="777">
      <c r="A777" s="109">
        <f>IF(AND(F777="",G777=""),"",ROW()-6)</f>
      </c>
      <c r="B777" s="140" t="n"/>
      <c r="C777" s="141" t="n"/>
      <c r="D777" s="141" t="n"/>
      <c r="E777" s="142" t="n"/>
      <c r="F777" s="143" t="n"/>
      <c r="G777" s="144" t="n"/>
      <c r="H777" s="145">
        <f>IF(OR(C777="",AND(F777="",G777="")),"",SUMIF(基础资料!$W$5:$W$24,C777,基础资料!$X$5:$X$24)+SUMIF(C$7:C777,C777,F$7:F777)-SUMIF(C$7:C777,C777,G$7:G777))</f>
      </c>
      <c r="I777" s="145">
        <f>IF(AND(F777="",G777=""),"",SUM(基础资料!$X$5:$X$24)+SUM(F$7:F777)-SUM(G$7:G777))</f>
      </c>
      <c r="J777" s="141" t="n"/>
      <c r="K777" s="141" t="n"/>
      <c r="L777" s="141" t="n"/>
      <c r="M777" s="142" t="n"/>
      <c r="N777" s="146">
        <f>IF(AND(AND(F777="",G777=""),B777="",C777="",D777="",J777="",K777="",L777=""),"",IF(AND(F777="",G777=""),"✗ 没填金额",IF(AND(N(F777)&lt;&gt;0,N(G777)&lt;&gt;0),"✗ 收入、支出只能填一边",IF(NOT(ISNUMBER(B777)),"✗ 日期不是真日期（要像 2026/9/25 这样填）",IF(OR(B777&lt;年初日,B777&gt;年末日),"✗ 日期不在本会计年度",IF(C777="","✗ 没选账户",IF(COUNTIF(基础资料!$W$5:$W$24,C777)=0,"✗ 账户不在基础资料里",IF(O777="","✗ 没选收支项目",IF(P777="未知","✗ 收支项目不在基础资料里",IF(AND(P777="应收",J777=""),"✗ 这笔要选客户",IF(AND(P777="应收",COUNTIF(总览汇总!$B$5:$B$304,J777)=0),"✗ 客户不在总览汇总名单里",IF(AND(P777="应付",K777=""),"✗ 这笔要选供应商",IF(AND(P777="应付",COUNTIF(基础资料!$Q$5:$Q$54,K777)=0),"✗ 供应商不在基础资料里",IF(AND(P777="费用",L777=""),"✗ 费用支出要选费用项目",IF(AND(L777&lt;&gt;"",COUNTIF(基础资料!$AI$5:$AI$54,L777)=0),"✗ 费用项目不在基础资料里",IF(AND(IFERROR(INDEX(基础资料!$AD$5:$AD$34,MATCH(O777,基础资料!$AC$5:$AC$34,0)),"")="收",N(G777)&lt;&gt;0),"✗ 这类是收款，金额填到收入列",IF(AND(IFERROR(INDEX(基础资料!$AD$5:$AD$34,MATCH(O777,基础资料!$AC$5:$AC$34,0)),"")="支",N(F777)&lt;&gt;0),"✗ 这类是付款，金额填到支出列",IF(N(H777)&lt;0,"⚠ 账户余额成负数了，核对一下","√"))))))))))))))))))</f>
      </c>
      <c r="O777" s="78">
        <f>IF(D777&lt;&gt;"",D777,IF(AND(F777="",G777=""),"",IF(J777&lt;&gt;"",IF(N(F777)&gt;0,"客户回款","客户退款"),IF(K777&lt;&gt;"",IF(N(G777)&gt;0,"供应商付款","供应商退款"),IF(L777&lt;&gt;"","费用支出","")))))</f>
      </c>
      <c r="P777" s="78">
        <f>IF(O777="","",IFERROR(INDEX(基础资料!$AE$5:$AE$34,MATCH(O777,基础资料!$AC$5:$AC$34,0)),"未知"))</f>
      </c>
      <c r="Q777" s="78">
        <f>IF(P777="应收",COUNTIF(P$7:P777,"应收"),"")</f>
      </c>
      <c r="R777" s="78">
        <f>IF(P777="应付",COUNTIF(P$7:P777,"应付"),"")</f>
      </c>
      <c r="S777" s="78">
        <f>N(F777)-N(G777)</f>
        <v>0</v>
      </c>
    </row>
    <row r="778">
      <c r="A778" s="109">
        <f>IF(AND(F778="",G778=""),"",ROW()-6)</f>
      </c>
      <c r="B778" s="140" t="n"/>
      <c r="C778" s="141" t="n"/>
      <c r="D778" s="141" t="n"/>
      <c r="E778" s="142" t="n"/>
      <c r="F778" s="143" t="n"/>
      <c r="G778" s="144" t="n"/>
      <c r="H778" s="145">
        <f>IF(OR(C778="",AND(F778="",G778="")),"",SUMIF(基础资料!$W$5:$W$24,C778,基础资料!$X$5:$X$24)+SUMIF(C$7:C778,C778,F$7:F778)-SUMIF(C$7:C778,C778,G$7:G778))</f>
      </c>
      <c r="I778" s="145">
        <f>IF(AND(F778="",G778=""),"",SUM(基础资料!$X$5:$X$24)+SUM(F$7:F778)-SUM(G$7:G778))</f>
      </c>
      <c r="J778" s="141" t="n"/>
      <c r="K778" s="141" t="n"/>
      <c r="L778" s="141" t="n"/>
      <c r="M778" s="142" t="n"/>
      <c r="N778" s="146">
        <f>IF(AND(AND(F778="",G778=""),B778="",C778="",D778="",J778="",K778="",L778=""),"",IF(AND(F778="",G778=""),"✗ 没填金额",IF(AND(N(F778)&lt;&gt;0,N(G778)&lt;&gt;0),"✗ 收入、支出只能填一边",IF(NOT(ISNUMBER(B778)),"✗ 日期不是真日期（要像 2026/9/25 这样填）",IF(OR(B778&lt;年初日,B778&gt;年末日),"✗ 日期不在本会计年度",IF(C778="","✗ 没选账户",IF(COUNTIF(基础资料!$W$5:$W$24,C778)=0,"✗ 账户不在基础资料里",IF(O778="","✗ 没选收支项目",IF(P778="未知","✗ 收支项目不在基础资料里",IF(AND(P778="应收",J778=""),"✗ 这笔要选客户",IF(AND(P778="应收",COUNTIF(总览汇总!$B$5:$B$304,J778)=0),"✗ 客户不在总览汇总名单里",IF(AND(P778="应付",K778=""),"✗ 这笔要选供应商",IF(AND(P778="应付",COUNTIF(基础资料!$Q$5:$Q$54,K778)=0),"✗ 供应商不在基础资料里",IF(AND(P778="费用",L778=""),"✗ 费用支出要选费用项目",IF(AND(L778&lt;&gt;"",COUNTIF(基础资料!$AI$5:$AI$54,L778)=0),"✗ 费用项目不在基础资料里",IF(AND(IFERROR(INDEX(基础资料!$AD$5:$AD$34,MATCH(O778,基础资料!$AC$5:$AC$34,0)),"")="收",N(G778)&lt;&gt;0),"✗ 这类是收款，金额填到收入列",IF(AND(IFERROR(INDEX(基础资料!$AD$5:$AD$34,MATCH(O778,基础资料!$AC$5:$AC$34,0)),"")="支",N(F778)&lt;&gt;0),"✗ 这类是付款，金额填到支出列",IF(N(H778)&lt;0,"⚠ 账户余额成负数了，核对一下","√"))))))))))))))))))</f>
      </c>
      <c r="O778" s="78">
        <f>IF(D778&lt;&gt;"",D778,IF(AND(F778="",G778=""),"",IF(J778&lt;&gt;"",IF(N(F778)&gt;0,"客户回款","客户退款"),IF(K778&lt;&gt;"",IF(N(G778)&gt;0,"供应商付款","供应商退款"),IF(L778&lt;&gt;"","费用支出","")))))</f>
      </c>
      <c r="P778" s="78">
        <f>IF(O778="","",IFERROR(INDEX(基础资料!$AE$5:$AE$34,MATCH(O778,基础资料!$AC$5:$AC$34,0)),"未知"))</f>
      </c>
      <c r="Q778" s="78">
        <f>IF(P778="应收",COUNTIF(P$7:P778,"应收"),"")</f>
      </c>
      <c r="R778" s="78">
        <f>IF(P778="应付",COUNTIF(P$7:P778,"应付"),"")</f>
      </c>
      <c r="S778" s="78">
        <f>N(F778)-N(G778)</f>
        <v>0</v>
      </c>
    </row>
    <row r="779">
      <c r="A779" s="109">
        <f>IF(AND(F779="",G779=""),"",ROW()-6)</f>
      </c>
      <c r="B779" s="140" t="n"/>
      <c r="C779" s="141" t="n"/>
      <c r="D779" s="141" t="n"/>
      <c r="E779" s="142" t="n"/>
      <c r="F779" s="143" t="n"/>
      <c r="G779" s="144" t="n"/>
      <c r="H779" s="145">
        <f>IF(OR(C779="",AND(F779="",G779="")),"",SUMIF(基础资料!$W$5:$W$24,C779,基础资料!$X$5:$X$24)+SUMIF(C$7:C779,C779,F$7:F779)-SUMIF(C$7:C779,C779,G$7:G779))</f>
      </c>
      <c r="I779" s="145">
        <f>IF(AND(F779="",G779=""),"",SUM(基础资料!$X$5:$X$24)+SUM(F$7:F779)-SUM(G$7:G779))</f>
      </c>
      <c r="J779" s="141" t="n"/>
      <c r="K779" s="141" t="n"/>
      <c r="L779" s="141" t="n"/>
      <c r="M779" s="142" t="n"/>
      <c r="N779" s="146">
        <f>IF(AND(AND(F779="",G779=""),B779="",C779="",D779="",J779="",K779="",L779=""),"",IF(AND(F779="",G779=""),"✗ 没填金额",IF(AND(N(F779)&lt;&gt;0,N(G779)&lt;&gt;0),"✗ 收入、支出只能填一边",IF(NOT(ISNUMBER(B779)),"✗ 日期不是真日期（要像 2026/9/25 这样填）",IF(OR(B779&lt;年初日,B779&gt;年末日),"✗ 日期不在本会计年度",IF(C779="","✗ 没选账户",IF(COUNTIF(基础资料!$W$5:$W$24,C779)=0,"✗ 账户不在基础资料里",IF(O779="","✗ 没选收支项目",IF(P779="未知","✗ 收支项目不在基础资料里",IF(AND(P779="应收",J779=""),"✗ 这笔要选客户",IF(AND(P779="应收",COUNTIF(总览汇总!$B$5:$B$304,J779)=0),"✗ 客户不在总览汇总名单里",IF(AND(P779="应付",K779=""),"✗ 这笔要选供应商",IF(AND(P779="应付",COUNTIF(基础资料!$Q$5:$Q$54,K779)=0),"✗ 供应商不在基础资料里",IF(AND(P779="费用",L779=""),"✗ 费用支出要选费用项目",IF(AND(L779&lt;&gt;"",COUNTIF(基础资料!$AI$5:$AI$54,L779)=0),"✗ 费用项目不在基础资料里",IF(AND(IFERROR(INDEX(基础资料!$AD$5:$AD$34,MATCH(O779,基础资料!$AC$5:$AC$34,0)),"")="收",N(G779)&lt;&gt;0),"✗ 这类是收款，金额填到收入列",IF(AND(IFERROR(INDEX(基础资料!$AD$5:$AD$34,MATCH(O779,基础资料!$AC$5:$AC$34,0)),"")="支",N(F779)&lt;&gt;0),"✗ 这类是付款，金额填到支出列",IF(N(H779)&lt;0,"⚠ 账户余额成负数了，核对一下","√"))))))))))))))))))</f>
      </c>
      <c r="O779" s="78">
        <f>IF(D779&lt;&gt;"",D779,IF(AND(F779="",G779=""),"",IF(J779&lt;&gt;"",IF(N(F779)&gt;0,"客户回款","客户退款"),IF(K779&lt;&gt;"",IF(N(G779)&gt;0,"供应商付款","供应商退款"),IF(L779&lt;&gt;"","费用支出","")))))</f>
      </c>
      <c r="P779" s="78">
        <f>IF(O779="","",IFERROR(INDEX(基础资料!$AE$5:$AE$34,MATCH(O779,基础资料!$AC$5:$AC$34,0)),"未知"))</f>
      </c>
      <c r="Q779" s="78">
        <f>IF(P779="应收",COUNTIF(P$7:P779,"应收"),"")</f>
      </c>
      <c r="R779" s="78">
        <f>IF(P779="应付",COUNTIF(P$7:P779,"应付"),"")</f>
      </c>
      <c r="S779" s="78">
        <f>N(F779)-N(G779)</f>
        <v>0</v>
      </c>
    </row>
    <row r="780">
      <c r="A780" s="109">
        <f>IF(AND(F780="",G780=""),"",ROW()-6)</f>
      </c>
      <c r="B780" s="140" t="n"/>
      <c r="C780" s="141" t="n"/>
      <c r="D780" s="141" t="n"/>
      <c r="E780" s="142" t="n"/>
      <c r="F780" s="143" t="n"/>
      <c r="G780" s="144" t="n"/>
      <c r="H780" s="145">
        <f>IF(OR(C780="",AND(F780="",G780="")),"",SUMIF(基础资料!$W$5:$W$24,C780,基础资料!$X$5:$X$24)+SUMIF(C$7:C780,C780,F$7:F780)-SUMIF(C$7:C780,C780,G$7:G780))</f>
      </c>
      <c r="I780" s="145">
        <f>IF(AND(F780="",G780=""),"",SUM(基础资料!$X$5:$X$24)+SUM(F$7:F780)-SUM(G$7:G780))</f>
      </c>
      <c r="J780" s="141" t="n"/>
      <c r="K780" s="141" t="n"/>
      <c r="L780" s="141" t="n"/>
      <c r="M780" s="142" t="n"/>
      <c r="N780" s="146">
        <f>IF(AND(AND(F780="",G780=""),B780="",C780="",D780="",J780="",K780="",L780=""),"",IF(AND(F780="",G780=""),"✗ 没填金额",IF(AND(N(F780)&lt;&gt;0,N(G780)&lt;&gt;0),"✗ 收入、支出只能填一边",IF(NOT(ISNUMBER(B780)),"✗ 日期不是真日期（要像 2026/9/25 这样填）",IF(OR(B780&lt;年初日,B780&gt;年末日),"✗ 日期不在本会计年度",IF(C780="","✗ 没选账户",IF(COUNTIF(基础资料!$W$5:$W$24,C780)=0,"✗ 账户不在基础资料里",IF(O780="","✗ 没选收支项目",IF(P780="未知","✗ 收支项目不在基础资料里",IF(AND(P780="应收",J780=""),"✗ 这笔要选客户",IF(AND(P780="应收",COUNTIF(总览汇总!$B$5:$B$304,J780)=0),"✗ 客户不在总览汇总名单里",IF(AND(P780="应付",K780=""),"✗ 这笔要选供应商",IF(AND(P780="应付",COUNTIF(基础资料!$Q$5:$Q$54,K780)=0),"✗ 供应商不在基础资料里",IF(AND(P780="费用",L780=""),"✗ 费用支出要选费用项目",IF(AND(L780&lt;&gt;"",COUNTIF(基础资料!$AI$5:$AI$54,L780)=0),"✗ 费用项目不在基础资料里",IF(AND(IFERROR(INDEX(基础资料!$AD$5:$AD$34,MATCH(O780,基础资料!$AC$5:$AC$34,0)),"")="收",N(G780)&lt;&gt;0),"✗ 这类是收款，金额填到收入列",IF(AND(IFERROR(INDEX(基础资料!$AD$5:$AD$34,MATCH(O780,基础资料!$AC$5:$AC$34,0)),"")="支",N(F780)&lt;&gt;0),"✗ 这类是付款，金额填到支出列",IF(N(H780)&lt;0,"⚠ 账户余额成负数了，核对一下","√"))))))))))))))))))</f>
      </c>
      <c r="O780" s="78">
        <f>IF(D780&lt;&gt;"",D780,IF(AND(F780="",G780=""),"",IF(J780&lt;&gt;"",IF(N(F780)&gt;0,"客户回款","客户退款"),IF(K780&lt;&gt;"",IF(N(G780)&gt;0,"供应商付款","供应商退款"),IF(L780&lt;&gt;"","费用支出","")))))</f>
      </c>
      <c r="P780" s="78">
        <f>IF(O780="","",IFERROR(INDEX(基础资料!$AE$5:$AE$34,MATCH(O780,基础资料!$AC$5:$AC$34,0)),"未知"))</f>
      </c>
      <c r="Q780" s="78">
        <f>IF(P780="应收",COUNTIF(P$7:P780,"应收"),"")</f>
      </c>
      <c r="R780" s="78">
        <f>IF(P780="应付",COUNTIF(P$7:P780,"应付"),"")</f>
      </c>
      <c r="S780" s="78">
        <f>N(F780)-N(G780)</f>
        <v>0</v>
      </c>
    </row>
    <row r="781">
      <c r="A781" s="109">
        <f>IF(AND(F781="",G781=""),"",ROW()-6)</f>
      </c>
      <c r="B781" s="140" t="n"/>
      <c r="C781" s="141" t="n"/>
      <c r="D781" s="141" t="n"/>
      <c r="E781" s="142" t="n"/>
      <c r="F781" s="143" t="n"/>
      <c r="G781" s="144" t="n"/>
      <c r="H781" s="145">
        <f>IF(OR(C781="",AND(F781="",G781="")),"",SUMIF(基础资料!$W$5:$W$24,C781,基础资料!$X$5:$X$24)+SUMIF(C$7:C781,C781,F$7:F781)-SUMIF(C$7:C781,C781,G$7:G781))</f>
      </c>
      <c r="I781" s="145">
        <f>IF(AND(F781="",G781=""),"",SUM(基础资料!$X$5:$X$24)+SUM(F$7:F781)-SUM(G$7:G781))</f>
      </c>
      <c r="J781" s="141" t="n"/>
      <c r="K781" s="141" t="n"/>
      <c r="L781" s="141" t="n"/>
      <c r="M781" s="142" t="n"/>
      <c r="N781" s="146">
        <f>IF(AND(AND(F781="",G781=""),B781="",C781="",D781="",J781="",K781="",L781=""),"",IF(AND(F781="",G781=""),"✗ 没填金额",IF(AND(N(F781)&lt;&gt;0,N(G781)&lt;&gt;0),"✗ 收入、支出只能填一边",IF(NOT(ISNUMBER(B781)),"✗ 日期不是真日期（要像 2026/9/25 这样填）",IF(OR(B781&lt;年初日,B781&gt;年末日),"✗ 日期不在本会计年度",IF(C781="","✗ 没选账户",IF(COUNTIF(基础资料!$W$5:$W$24,C781)=0,"✗ 账户不在基础资料里",IF(O781="","✗ 没选收支项目",IF(P781="未知","✗ 收支项目不在基础资料里",IF(AND(P781="应收",J781=""),"✗ 这笔要选客户",IF(AND(P781="应收",COUNTIF(总览汇总!$B$5:$B$304,J781)=0),"✗ 客户不在总览汇总名单里",IF(AND(P781="应付",K781=""),"✗ 这笔要选供应商",IF(AND(P781="应付",COUNTIF(基础资料!$Q$5:$Q$54,K781)=0),"✗ 供应商不在基础资料里",IF(AND(P781="费用",L781=""),"✗ 费用支出要选费用项目",IF(AND(L781&lt;&gt;"",COUNTIF(基础资料!$AI$5:$AI$54,L781)=0),"✗ 费用项目不在基础资料里",IF(AND(IFERROR(INDEX(基础资料!$AD$5:$AD$34,MATCH(O781,基础资料!$AC$5:$AC$34,0)),"")="收",N(G781)&lt;&gt;0),"✗ 这类是收款，金额填到收入列",IF(AND(IFERROR(INDEX(基础资料!$AD$5:$AD$34,MATCH(O781,基础资料!$AC$5:$AC$34,0)),"")="支",N(F781)&lt;&gt;0),"✗ 这类是付款，金额填到支出列",IF(N(H781)&lt;0,"⚠ 账户余额成负数了，核对一下","√"))))))))))))))))))</f>
      </c>
      <c r="O781" s="78">
        <f>IF(D781&lt;&gt;"",D781,IF(AND(F781="",G781=""),"",IF(J781&lt;&gt;"",IF(N(F781)&gt;0,"客户回款","客户退款"),IF(K781&lt;&gt;"",IF(N(G781)&gt;0,"供应商付款","供应商退款"),IF(L781&lt;&gt;"","费用支出","")))))</f>
      </c>
      <c r="P781" s="78">
        <f>IF(O781="","",IFERROR(INDEX(基础资料!$AE$5:$AE$34,MATCH(O781,基础资料!$AC$5:$AC$34,0)),"未知"))</f>
      </c>
      <c r="Q781" s="78">
        <f>IF(P781="应收",COUNTIF(P$7:P781,"应收"),"")</f>
      </c>
      <c r="R781" s="78">
        <f>IF(P781="应付",COUNTIF(P$7:P781,"应付"),"")</f>
      </c>
      <c r="S781" s="78">
        <f>N(F781)-N(G781)</f>
        <v>0</v>
      </c>
    </row>
    <row r="782">
      <c r="A782" s="109">
        <f>IF(AND(F782="",G782=""),"",ROW()-6)</f>
      </c>
      <c r="B782" s="140" t="n"/>
      <c r="C782" s="141" t="n"/>
      <c r="D782" s="141" t="n"/>
      <c r="E782" s="142" t="n"/>
      <c r="F782" s="143" t="n"/>
      <c r="G782" s="144" t="n"/>
      <c r="H782" s="145">
        <f>IF(OR(C782="",AND(F782="",G782="")),"",SUMIF(基础资料!$W$5:$W$24,C782,基础资料!$X$5:$X$24)+SUMIF(C$7:C782,C782,F$7:F782)-SUMIF(C$7:C782,C782,G$7:G782))</f>
      </c>
      <c r="I782" s="145">
        <f>IF(AND(F782="",G782=""),"",SUM(基础资料!$X$5:$X$24)+SUM(F$7:F782)-SUM(G$7:G782))</f>
      </c>
      <c r="J782" s="141" t="n"/>
      <c r="K782" s="141" t="n"/>
      <c r="L782" s="141" t="n"/>
      <c r="M782" s="142" t="n"/>
      <c r="N782" s="146">
        <f>IF(AND(AND(F782="",G782=""),B782="",C782="",D782="",J782="",K782="",L782=""),"",IF(AND(F782="",G782=""),"✗ 没填金额",IF(AND(N(F782)&lt;&gt;0,N(G782)&lt;&gt;0),"✗ 收入、支出只能填一边",IF(NOT(ISNUMBER(B782)),"✗ 日期不是真日期（要像 2026/9/25 这样填）",IF(OR(B782&lt;年初日,B782&gt;年末日),"✗ 日期不在本会计年度",IF(C782="","✗ 没选账户",IF(COUNTIF(基础资料!$W$5:$W$24,C782)=0,"✗ 账户不在基础资料里",IF(O782="","✗ 没选收支项目",IF(P782="未知","✗ 收支项目不在基础资料里",IF(AND(P782="应收",J782=""),"✗ 这笔要选客户",IF(AND(P782="应收",COUNTIF(总览汇总!$B$5:$B$304,J782)=0),"✗ 客户不在总览汇总名单里",IF(AND(P782="应付",K782=""),"✗ 这笔要选供应商",IF(AND(P782="应付",COUNTIF(基础资料!$Q$5:$Q$54,K782)=0),"✗ 供应商不在基础资料里",IF(AND(P782="费用",L782=""),"✗ 费用支出要选费用项目",IF(AND(L782&lt;&gt;"",COUNTIF(基础资料!$AI$5:$AI$54,L782)=0),"✗ 费用项目不在基础资料里",IF(AND(IFERROR(INDEX(基础资料!$AD$5:$AD$34,MATCH(O782,基础资料!$AC$5:$AC$34,0)),"")="收",N(G782)&lt;&gt;0),"✗ 这类是收款，金额填到收入列",IF(AND(IFERROR(INDEX(基础资料!$AD$5:$AD$34,MATCH(O782,基础资料!$AC$5:$AC$34,0)),"")="支",N(F782)&lt;&gt;0),"✗ 这类是付款，金额填到支出列",IF(N(H782)&lt;0,"⚠ 账户余额成负数了，核对一下","√"))))))))))))))))))</f>
      </c>
      <c r="O782" s="78">
        <f>IF(D782&lt;&gt;"",D782,IF(AND(F782="",G782=""),"",IF(J782&lt;&gt;"",IF(N(F782)&gt;0,"客户回款","客户退款"),IF(K782&lt;&gt;"",IF(N(G782)&gt;0,"供应商付款","供应商退款"),IF(L782&lt;&gt;"","费用支出","")))))</f>
      </c>
      <c r="P782" s="78">
        <f>IF(O782="","",IFERROR(INDEX(基础资料!$AE$5:$AE$34,MATCH(O782,基础资料!$AC$5:$AC$34,0)),"未知"))</f>
      </c>
      <c r="Q782" s="78">
        <f>IF(P782="应收",COUNTIF(P$7:P782,"应收"),"")</f>
      </c>
      <c r="R782" s="78">
        <f>IF(P782="应付",COUNTIF(P$7:P782,"应付"),"")</f>
      </c>
      <c r="S782" s="78">
        <f>N(F782)-N(G782)</f>
        <v>0</v>
      </c>
    </row>
    <row r="783">
      <c r="A783" s="109">
        <f>IF(AND(F783="",G783=""),"",ROW()-6)</f>
      </c>
      <c r="B783" s="140" t="n"/>
      <c r="C783" s="141" t="n"/>
      <c r="D783" s="141" t="n"/>
      <c r="E783" s="142" t="n"/>
      <c r="F783" s="143" t="n"/>
      <c r="G783" s="144" t="n"/>
      <c r="H783" s="145">
        <f>IF(OR(C783="",AND(F783="",G783="")),"",SUMIF(基础资料!$W$5:$W$24,C783,基础资料!$X$5:$X$24)+SUMIF(C$7:C783,C783,F$7:F783)-SUMIF(C$7:C783,C783,G$7:G783))</f>
      </c>
      <c r="I783" s="145">
        <f>IF(AND(F783="",G783=""),"",SUM(基础资料!$X$5:$X$24)+SUM(F$7:F783)-SUM(G$7:G783))</f>
      </c>
      <c r="J783" s="141" t="n"/>
      <c r="K783" s="141" t="n"/>
      <c r="L783" s="141" t="n"/>
      <c r="M783" s="142" t="n"/>
      <c r="N783" s="146">
        <f>IF(AND(AND(F783="",G783=""),B783="",C783="",D783="",J783="",K783="",L783=""),"",IF(AND(F783="",G783=""),"✗ 没填金额",IF(AND(N(F783)&lt;&gt;0,N(G783)&lt;&gt;0),"✗ 收入、支出只能填一边",IF(NOT(ISNUMBER(B783)),"✗ 日期不是真日期（要像 2026/9/25 这样填）",IF(OR(B783&lt;年初日,B783&gt;年末日),"✗ 日期不在本会计年度",IF(C783="","✗ 没选账户",IF(COUNTIF(基础资料!$W$5:$W$24,C783)=0,"✗ 账户不在基础资料里",IF(O783="","✗ 没选收支项目",IF(P783="未知","✗ 收支项目不在基础资料里",IF(AND(P783="应收",J783=""),"✗ 这笔要选客户",IF(AND(P783="应收",COUNTIF(总览汇总!$B$5:$B$304,J783)=0),"✗ 客户不在总览汇总名单里",IF(AND(P783="应付",K783=""),"✗ 这笔要选供应商",IF(AND(P783="应付",COUNTIF(基础资料!$Q$5:$Q$54,K783)=0),"✗ 供应商不在基础资料里",IF(AND(P783="费用",L783=""),"✗ 费用支出要选费用项目",IF(AND(L783&lt;&gt;"",COUNTIF(基础资料!$AI$5:$AI$54,L783)=0),"✗ 费用项目不在基础资料里",IF(AND(IFERROR(INDEX(基础资料!$AD$5:$AD$34,MATCH(O783,基础资料!$AC$5:$AC$34,0)),"")="收",N(G783)&lt;&gt;0),"✗ 这类是收款，金额填到收入列",IF(AND(IFERROR(INDEX(基础资料!$AD$5:$AD$34,MATCH(O783,基础资料!$AC$5:$AC$34,0)),"")="支",N(F783)&lt;&gt;0),"✗ 这类是付款，金额填到支出列",IF(N(H783)&lt;0,"⚠ 账户余额成负数了，核对一下","√"))))))))))))))))))</f>
      </c>
      <c r="O783" s="78">
        <f>IF(D783&lt;&gt;"",D783,IF(AND(F783="",G783=""),"",IF(J783&lt;&gt;"",IF(N(F783)&gt;0,"客户回款","客户退款"),IF(K783&lt;&gt;"",IF(N(G783)&gt;0,"供应商付款","供应商退款"),IF(L783&lt;&gt;"","费用支出","")))))</f>
      </c>
      <c r="P783" s="78">
        <f>IF(O783="","",IFERROR(INDEX(基础资料!$AE$5:$AE$34,MATCH(O783,基础资料!$AC$5:$AC$34,0)),"未知"))</f>
      </c>
      <c r="Q783" s="78">
        <f>IF(P783="应收",COUNTIF(P$7:P783,"应收"),"")</f>
      </c>
      <c r="R783" s="78">
        <f>IF(P783="应付",COUNTIF(P$7:P783,"应付"),"")</f>
      </c>
      <c r="S783" s="78">
        <f>N(F783)-N(G783)</f>
        <v>0</v>
      </c>
    </row>
    <row r="784">
      <c r="A784" s="109">
        <f>IF(AND(F784="",G784=""),"",ROW()-6)</f>
      </c>
      <c r="B784" s="140" t="n"/>
      <c r="C784" s="141" t="n"/>
      <c r="D784" s="141" t="n"/>
      <c r="E784" s="142" t="n"/>
      <c r="F784" s="143" t="n"/>
      <c r="G784" s="144" t="n"/>
      <c r="H784" s="145">
        <f>IF(OR(C784="",AND(F784="",G784="")),"",SUMIF(基础资料!$W$5:$W$24,C784,基础资料!$X$5:$X$24)+SUMIF(C$7:C784,C784,F$7:F784)-SUMIF(C$7:C784,C784,G$7:G784))</f>
      </c>
      <c r="I784" s="145">
        <f>IF(AND(F784="",G784=""),"",SUM(基础资料!$X$5:$X$24)+SUM(F$7:F784)-SUM(G$7:G784))</f>
      </c>
      <c r="J784" s="141" t="n"/>
      <c r="K784" s="141" t="n"/>
      <c r="L784" s="141" t="n"/>
      <c r="M784" s="142" t="n"/>
      <c r="N784" s="146">
        <f>IF(AND(AND(F784="",G784=""),B784="",C784="",D784="",J784="",K784="",L784=""),"",IF(AND(F784="",G784=""),"✗ 没填金额",IF(AND(N(F784)&lt;&gt;0,N(G784)&lt;&gt;0),"✗ 收入、支出只能填一边",IF(NOT(ISNUMBER(B784)),"✗ 日期不是真日期（要像 2026/9/25 这样填）",IF(OR(B784&lt;年初日,B784&gt;年末日),"✗ 日期不在本会计年度",IF(C784="","✗ 没选账户",IF(COUNTIF(基础资料!$W$5:$W$24,C784)=0,"✗ 账户不在基础资料里",IF(O784="","✗ 没选收支项目",IF(P784="未知","✗ 收支项目不在基础资料里",IF(AND(P784="应收",J784=""),"✗ 这笔要选客户",IF(AND(P784="应收",COUNTIF(总览汇总!$B$5:$B$304,J784)=0),"✗ 客户不在总览汇总名单里",IF(AND(P784="应付",K784=""),"✗ 这笔要选供应商",IF(AND(P784="应付",COUNTIF(基础资料!$Q$5:$Q$54,K784)=0),"✗ 供应商不在基础资料里",IF(AND(P784="费用",L784=""),"✗ 费用支出要选费用项目",IF(AND(L784&lt;&gt;"",COUNTIF(基础资料!$AI$5:$AI$54,L784)=0),"✗ 费用项目不在基础资料里",IF(AND(IFERROR(INDEX(基础资料!$AD$5:$AD$34,MATCH(O784,基础资料!$AC$5:$AC$34,0)),"")="收",N(G784)&lt;&gt;0),"✗ 这类是收款，金额填到收入列",IF(AND(IFERROR(INDEX(基础资料!$AD$5:$AD$34,MATCH(O784,基础资料!$AC$5:$AC$34,0)),"")="支",N(F784)&lt;&gt;0),"✗ 这类是付款，金额填到支出列",IF(N(H784)&lt;0,"⚠ 账户余额成负数了，核对一下","√"))))))))))))))))))</f>
      </c>
      <c r="O784" s="78">
        <f>IF(D784&lt;&gt;"",D784,IF(AND(F784="",G784=""),"",IF(J784&lt;&gt;"",IF(N(F784)&gt;0,"客户回款","客户退款"),IF(K784&lt;&gt;"",IF(N(G784)&gt;0,"供应商付款","供应商退款"),IF(L784&lt;&gt;"","费用支出","")))))</f>
      </c>
      <c r="P784" s="78">
        <f>IF(O784="","",IFERROR(INDEX(基础资料!$AE$5:$AE$34,MATCH(O784,基础资料!$AC$5:$AC$34,0)),"未知"))</f>
      </c>
      <c r="Q784" s="78">
        <f>IF(P784="应收",COUNTIF(P$7:P784,"应收"),"")</f>
      </c>
      <c r="R784" s="78">
        <f>IF(P784="应付",COUNTIF(P$7:P784,"应付"),"")</f>
      </c>
      <c r="S784" s="78">
        <f>N(F784)-N(G784)</f>
        <v>0</v>
      </c>
    </row>
    <row r="785">
      <c r="A785" s="109">
        <f>IF(AND(F785="",G785=""),"",ROW()-6)</f>
      </c>
      <c r="B785" s="140" t="n"/>
      <c r="C785" s="141" t="n"/>
      <c r="D785" s="141" t="n"/>
      <c r="E785" s="142" t="n"/>
      <c r="F785" s="143" t="n"/>
      <c r="G785" s="144" t="n"/>
      <c r="H785" s="145">
        <f>IF(OR(C785="",AND(F785="",G785="")),"",SUMIF(基础资料!$W$5:$W$24,C785,基础资料!$X$5:$X$24)+SUMIF(C$7:C785,C785,F$7:F785)-SUMIF(C$7:C785,C785,G$7:G785))</f>
      </c>
      <c r="I785" s="145">
        <f>IF(AND(F785="",G785=""),"",SUM(基础资料!$X$5:$X$24)+SUM(F$7:F785)-SUM(G$7:G785))</f>
      </c>
      <c r="J785" s="141" t="n"/>
      <c r="K785" s="141" t="n"/>
      <c r="L785" s="141" t="n"/>
      <c r="M785" s="142" t="n"/>
      <c r="N785" s="146">
        <f>IF(AND(AND(F785="",G785=""),B785="",C785="",D785="",J785="",K785="",L785=""),"",IF(AND(F785="",G785=""),"✗ 没填金额",IF(AND(N(F785)&lt;&gt;0,N(G785)&lt;&gt;0),"✗ 收入、支出只能填一边",IF(NOT(ISNUMBER(B785)),"✗ 日期不是真日期（要像 2026/9/25 这样填）",IF(OR(B785&lt;年初日,B785&gt;年末日),"✗ 日期不在本会计年度",IF(C785="","✗ 没选账户",IF(COUNTIF(基础资料!$W$5:$W$24,C785)=0,"✗ 账户不在基础资料里",IF(O785="","✗ 没选收支项目",IF(P785="未知","✗ 收支项目不在基础资料里",IF(AND(P785="应收",J785=""),"✗ 这笔要选客户",IF(AND(P785="应收",COUNTIF(总览汇总!$B$5:$B$304,J785)=0),"✗ 客户不在总览汇总名单里",IF(AND(P785="应付",K785=""),"✗ 这笔要选供应商",IF(AND(P785="应付",COUNTIF(基础资料!$Q$5:$Q$54,K785)=0),"✗ 供应商不在基础资料里",IF(AND(P785="费用",L785=""),"✗ 费用支出要选费用项目",IF(AND(L785&lt;&gt;"",COUNTIF(基础资料!$AI$5:$AI$54,L785)=0),"✗ 费用项目不在基础资料里",IF(AND(IFERROR(INDEX(基础资料!$AD$5:$AD$34,MATCH(O785,基础资料!$AC$5:$AC$34,0)),"")="收",N(G785)&lt;&gt;0),"✗ 这类是收款，金额填到收入列",IF(AND(IFERROR(INDEX(基础资料!$AD$5:$AD$34,MATCH(O785,基础资料!$AC$5:$AC$34,0)),"")="支",N(F785)&lt;&gt;0),"✗ 这类是付款，金额填到支出列",IF(N(H785)&lt;0,"⚠ 账户余额成负数了，核对一下","√"))))))))))))))))))</f>
      </c>
      <c r="O785" s="78">
        <f>IF(D785&lt;&gt;"",D785,IF(AND(F785="",G785=""),"",IF(J785&lt;&gt;"",IF(N(F785)&gt;0,"客户回款","客户退款"),IF(K785&lt;&gt;"",IF(N(G785)&gt;0,"供应商付款","供应商退款"),IF(L785&lt;&gt;"","费用支出","")))))</f>
      </c>
      <c r="P785" s="78">
        <f>IF(O785="","",IFERROR(INDEX(基础资料!$AE$5:$AE$34,MATCH(O785,基础资料!$AC$5:$AC$34,0)),"未知"))</f>
      </c>
      <c r="Q785" s="78">
        <f>IF(P785="应收",COUNTIF(P$7:P785,"应收"),"")</f>
      </c>
      <c r="R785" s="78">
        <f>IF(P785="应付",COUNTIF(P$7:P785,"应付"),"")</f>
      </c>
      <c r="S785" s="78">
        <f>N(F785)-N(G785)</f>
        <v>0</v>
      </c>
    </row>
    <row r="786">
      <c r="A786" s="109">
        <f>IF(AND(F786="",G786=""),"",ROW()-6)</f>
      </c>
      <c r="B786" s="140" t="n"/>
      <c r="C786" s="141" t="n"/>
      <c r="D786" s="141" t="n"/>
      <c r="E786" s="142" t="n"/>
      <c r="F786" s="143" t="n"/>
      <c r="G786" s="144" t="n"/>
      <c r="H786" s="145">
        <f>IF(OR(C786="",AND(F786="",G786="")),"",SUMIF(基础资料!$W$5:$W$24,C786,基础资料!$X$5:$X$24)+SUMIF(C$7:C786,C786,F$7:F786)-SUMIF(C$7:C786,C786,G$7:G786))</f>
      </c>
      <c r="I786" s="145">
        <f>IF(AND(F786="",G786=""),"",SUM(基础资料!$X$5:$X$24)+SUM(F$7:F786)-SUM(G$7:G786))</f>
      </c>
      <c r="J786" s="141" t="n"/>
      <c r="K786" s="141" t="n"/>
      <c r="L786" s="141" t="n"/>
      <c r="M786" s="142" t="n"/>
      <c r="N786" s="146">
        <f>IF(AND(AND(F786="",G786=""),B786="",C786="",D786="",J786="",K786="",L786=""),"",IF(AND(F786="",G786=""),"✗ 没填金额",IF(AND(N(F786)&lt;&gt;0,N(G786)&lt;&gt;0),"✗ 收入、支出只能填一边",IF(NOT(ISNUMBER(B786)),"✗ 日期不是真日期（要像 2026/9/25 这样填）",IF(OR(B786&lt;年初日,B786&gt;年末日),"✗ 日期不在本会计年度",IF(C786="","✗ 没选账户",IF(COUNTIF(基础资料!$W$5:$W$24,C786)=0,"✗ 账户不在基础资料里",IF(O786="","✗ 没选收支项目",IF(P786="未知","✗ 收支项目不在基础资料里",IF(AND(P786="应收",J786=""),"✗ 这笔要选客户",IF(AND(P786="应收",COUNTIF(总览汇总!$B$5:$B$304,J786)=0),"✗ 客户不在总览汇总名单里",IF(AND(P786="应付",K786=""),"✗ 这笔要选供应商",IF(AND(P786="应付",COUNTIF(基础资料!$Q$5:$Q$54,K786)=0),"✗ 供应商不在基础资料里",IF(AND(P786="费用",L786=""),"✗ 费用支出要选费用项目",IF(AND(L786&lt;&gt;"",COUNTIF(基础资料!$AI$5:$AI$54,L786)=0),"✗ 费用项目不在基础资料里",IF(AND(IFERROR(INDEX(基础资料!$AD$5:$AD$34,MATCH(O786,基础资料!$AC$5:$AC$34,0)),"")="收",N(G786)&lt;&gt;0),"✗ 这类是收款，金额填到收入列",IF(AND(IFERROR(INDEX(基础资料!$AD$5:$AD$34,MATCH(O786,基础资料!$AC$5:$AC$34,0)),"")="支",N(F786)&lt;&gt;0),"✗ 这类是付款，金额填到支出列",IF(N(H786)&lt;0,"⚠ 账户余额成负数了，核对一下","√"))))))))))))))))))</f>
      </c>
      <c r="O786" s="78">
        <f>IF(D786&lt;&gt;"",D786,IF(AND(F786="",G786=""),"",IF(J786&lt;&gt;"",IF(N(F786)&gt;0,"客户回款","客户退款"),IF(K786&lt;&gt;"",IF(N(G786)&gt;0,"供应商付款","供应商退款"),IF(L786&lt;&gt;"","费用支出","")))))</f>
      </c>
      <c r="P786" s="78">
        <f>IF(O786="","",IFERROR(INDEX(基础资料!$AE$5:$AE$34,MATCH(O786,基础资料!$AC$5:$AC$34,0)),"未知"))</f>
      </c>
      <c r="Q786" s="78">
        <f>IF(P786="应收",COUNTIF(P$7:P786,"应收"),"")</f>
      </c>
      <c r="R786" s="78">
        <f>IF(P786="应付",COUNTIF(P$7:P786,"应付"),"")</f>
      </c>
      <c r="S786" s="78">
        <f>N(F786)-N(G786)</f>
        <v>0</v>
      </c>
    </row>
    <row r="787">
      <c r="A787" s="109">
        <f>IF(AND(F787="",G787=""),"",ROW()-6)</f>
      </c>
      <c r="B787" s="140" t="n"/>
      <c r="C787" s="141" t="n"/>
      <c r="D787" s="141" t="n"/>
      <c r="E787" s="142" t="n"/>
      <c r="F787" s="143" t="n"/>
      <c r="G787" s="144" t="n"/>
      <c r="H787" s="145">
        <f>IF(OR(C787="",AND(F787="",G787="")),"",SUMIF(基础资料!$W$5:$W$24,C787,基础资料!$X$5:$X$24)+SUMIF(C$7:C787,C787,F$7:F787)-SUMIF(C$7:C787,C787,G$7:G787))</f>
      </c>
      <c r="I787" s="145">
        <f>IF(AND(F787="",G787=""),"",SUM(基础资料!$X$5:$X$24)+SUM(F$7:F787)-SUM(G$7:G787))</f>
      </c>
      <c r="J787" s="141" t="n"/>
      <c r="K787" s="141" t="n"/>
      <c r="L787" s="141" t="n"/>
      <c r="M787" s="142" t="n"/>
      <c r="N787" s="146">
        <f>IF(AND(AND(F787="",G787=""),B787="",C787="",D787="",J787="",K787="",L787=""),"",IF(AND(F787="",G787=""),"✗ 没填金额",IF(AND(N(F787)&lt;&gt;0,N(G787)&lt;&gt;0),"✗ 收入、支出只能填一边",IF(NOT(ISNUMBER(B787)),"✗ 日期不是真日期（要像 2026/9/25 这样填）",IF(OR(B787&lt;年初日,B787&gt;年末日),"✗ 日期不在本会计年度",IF(C787="","✗ 没选账户",IF(COUNTIF(基础资料!$W$5:$W$24,C787)=0,"✗ 账户不在基础资料里",IF(O787="","✗ 没选收支项目",IF(P787="未知","✗ 收支项目不在基础资料里",IF(AND(P787="应收",J787=""),"✗ 这笔要选客户",IF(AND(P787="应收",COUNTIF(总览汇总!$B$5:$B$304,J787)=0),"✗ 客户不在总览汇总名单里",IF(AND(P787="应付",K787=""),"✗ 这笔要选供应商",IF(AND(P787="应付",COUNTIF(基础资料!$Q$5:$Q$54,K787)=0),"✗ 供应商不在基础资料里",IF(AND(P787="费用",L787=""),"✗ 费用支出要选费用项目",IF(AND(L787&lt;&gt;"",COUNTIF(基础资料!$AI$5:$AI$54,L787)=0),"✗ 费用项目不在基础资料里",IF(AND(IFERROR(INDEX(基础资料!$AD$5:$AD$34,MATCH(O787,基础资料!$AC$5:$AC$34,0)),"")="收",N(G787)&lt;&gt;0),"✗ 这类是收款，金额填到收入列",IF(AND(IFERROR(INDEX(基础资料!$AD$5:$AD$34,MATCH(O787,基础资料!$AC$5:$AC$34,0)),"")="支",N(F787)&lt;&gt;0),"✗ 这类是付款，金额填到支出列",IF(N(H787)&lt;0,"⚠ 账户余额成负数了，核对一下","√"))))))))))))))))))</f>
      </c>
      <c r="O787" s="78">
        <f>IF(D787&lt;&gt;"",D787,IF(AND(F787="",G787=""),"",IF(J787&lt;&gt;"",IF(N(F787)&gt;0,"客户回款","客户退款"),IF(K787&lt;&gt;"",IF(N(G787)&gt;0,"供应商付款","供应商退款"),IF(L787&lt;&gt;"","费用支出","")))))</f>
      </c>
      <c r="P787" s="78">
        <f>IF(O787="","",IFERROR(INDEX(基础资料!$AE$5:$AE$34,MATCH(O787,基础资料!$AC$5:$AC$34,0)),"未知"))</f>
      </c>
      <c r="Q787" s="78">
        <f>IF(P787="应收",COUNTIF(P$7:P787,"应收"),"")</f>
      </c>
      <c r="R787" s="78">
        <f>IF(P787="应付",COUNTIF(P$7:P787,"应付"),"")</f>
      </c>
      <c r="S787" s="78">
        <f>N(F787)-N(G787)</f>
        <v>0</v>
      </c>
    </row>
    <row r="788">
      <c r="A788" s="109">
        <f>IF(AND(F788="",G788=""),"",ROW()-6)</f>
      </c>
      <c r="B788" s="140" t="n"/>
      <c r="C788" s="141" t="n"/>
      <c r="D788" s="141" t="n"/>
      <c r="E788" s="142" t="n"/>
      <c r="F788" s="143" t="n"/>
      <c r="G788" s="144" t="n"/>
      <c r="H788" s="145">
        <f>IF(OR(C788="",AND(F788="",G788="")),"",SUMIF(基础资料!$W$5:$W$24,C788,基础资料!$X$5:$X$24)+SUMIF(C$7:C788,C788,F$7:F788)-SUMIF(C$7:C788,C788,G$7:G788))</f>
      </c>
      <c r="I788" s="145">
        <f>IF(AND(F788="",G788=""),"",SUM(基础资料!$X$5:$X$24)+SUM(F$7:F788)-SUM(G$7:G788))</f>
      </c>
      <c r="J788" s="141" t="n"/>
      <c r="K788" s="141" t="n"/>
      <c r="L788" s="141" t="n"/>
      <c r="M788" s="142" t="n"/>
      <c r="N788" s="146">
        <f>IF(AND(AND(F788="",G788=""),B788="",C788="",D788="",J788="",K788="",L788=""),"",IF(AND(F788="",G788=""),"✗ 没填金额",IF(AND(N(F788)&lt;&gt;0,N(G788)&lt;&gt;0),"✗ 收入、支出只能填一边",IF(NOT(ISNUMBER(B788)),"✗ 日期不是真日期（要像 2026/9/25 这样填）",IF(OR(B788&lt;年初日,B788&gt;年末日),"✗ 日期不在本会计年度",IF(C788="","✗ 没选账户",IF(COUNTIF(基础资料!$W$5:$W$24,C788)=0,"✗ 账户不在基础资料里",IF(O788="","✗ 没选收支项目",IF(P788="未知","✗ 收支项目不在基础资料里",IF(AND(P788="应收",J788=""),"✗ 这笔要选客户",IF(AND(P788="应收",COUNTIF(总览汇总!$B$5:$B$304,J788)=0),"✗ 客户不在总览汇总名单里",IF(AND(P788="应付",K788=""),"✗ 这笔要选供应商",IF(AND(P788="应付",COUNTIF(基础资料!$Q$5:$Q$54,K788)=0),"✗ 供应商不在基础资料里",IF(AND(P788="费用",L788=""),"✗ 费用支出要选费用项目",IF(AND(L788&lt;&gt;"",COUNTIF(基础资料!$AI$5:$AI$54,L788)=0),"✗ 费用项目不在基础资料里",IF(AND(IFERROR(INDEX(基础资料!$AD$5:$AD$34,MATCH(O788,基础资料!$AC$5:$AC$34,0)),"")="收",N(G788)&lt;&gt;0),"✗ 这类是收款，金额填到收入列",IF(AND(IFERROR(INDEX(基础资料!$AD$5:$AD$34,MATCH(O788,基础资料!$AC$5:$AC$34,0)),"")="支",N(F788)&lt;&gt;0),"✗ 这类是付款，金额填到支出列",IF(N(H788)&lt;0,"⚠ 账户余额成负数了，核对一下","√"))))))))))))))))))</f>
      </c>
      <c r="O788" s="78">
        <f>IF(D788&lt;&gt;"",D788,IF(AND(F788="",G788=""),"",IF(J788&lt;&gt;"",IF(N(F788)&gt;0,"客户回款","客户退款"),IF(K788&lt;&gt;"",IF(N(G788)&gt;0,"供应商付款","供应商退款"),IF(L788&lt;&gt;"","费用支出","")))))</f>
      </c>
      <c r="P788" s="78">
        <f>IF(O788="","",IFERROR(INDEX(基础资料!$AE$5:$AE$34,MATCH(O788,基础资料!$AC$5:$AC$34,0)),"未知"))</f>
      </c>
      <c r="Q788" s="78">
        <f>IF(P788="应收",COUNTIF(P$7:P788,"应收"),"")</f>
      </c>
      <c r="R788" s="78">
        <f>IF(P788="应付",COUNTIF(P$7:P788,"应付"),"")</f>
      </c>
      <c r="S788" s="78">
        <f>N(F788)-N(G788)</f>
        <v>0</v>
      </c>
    </row>
    <row r="789">
      <c r="A789" s="109">
        <f>IF(AND(F789="",G789=""),"",ROW()-6)</f>
      </c>
      <c r="B789" s="140" t="n"/>
      <c r="C789" s="141" t="n"/>
      <c r="D789" s="141" t="n"/>
      <c r="E789" s="142" t="n"/>
      <c r="F789" s="143" t="n"/>
      <c r="G789" s="144" t="n"/>
      <c r="H789" s="145">
        <f>IF(OR(C789="",AND(F789="",G789="")),"",SUMIF(基础资料!$W$5:$W$24,C789,基础资料!$X$5:$X$24)+SUMIF(C$7:C789,C789,F$7:F789)-SUMIF(C$7:C789,C789,G$7:G789))</f>
      </c>
      <c r="I789" s="145">
        <f>IF(AND(F789="",G789=""),"",SUM(基础资料!$X$5:$X$24)+SUM(F$7:F789)-SUM(G$7:G789))</f>
      </c>
      <c r="J789" s="141" t="n"/>
      <c r="K789" s="141" t="n"/>
      <c r="L789" s="141" t="n"/>
      <c r="M789" s="142" t="n"/>
      <c r="N789" s="146">
        <f>IF(AND(AND(F789="",G789=""),B789="",C789="",D789="",J789="",K789="",L789=""),"",IF(AND(F789="",G789=""),"✗ 没填金额",IF(AND(N(F789)&lt;&gt;0,N(G789)&lt;&gt;0),"✗ 收入、支出只能填一边",IF(NOT(ISNUMBER(B789)),"✗ 日期不是真日期（要像 2026/9/25 这样填）",IF(OR(B789&lt;年初日,B789&gt;年末日),"✗ 日期不在本会计年度",IF(C789="","✗ 没选账户",IF(COUNTIF(基础资料!$W$5:$W$24,C789)=0,"✗ 账户不在基础资料里",IF(O789="","✗ 没选收支项目",IF(P789="未知","✗ 收支项目不在基础资料里",IF(AND(P789="应收",J789=""),"✗ 这笔要选客户",IF(AND(P789="应收",COUNTIF(总览汇总!$B$5:$B$304,J789)=0),"✗ 客户不在总览汇总名单里",IF(AND(P789="应付",K789=""),"✗ 这笔要选供应商",IF(AND(P789="应付",COUNTIF(基础资料!$Q$5:$Q$54,K789)=0),"✗ 供应商不在基础资料里",IF(AND(P789="费用",L789=""),"✗ 费用支出要选费用项目",IF(AND(L789&lt;&gt;"",COUNTIF(基础资料!$AI$5:$AI$54,L789)=0),"✗ 费用项目不在基础资料里",IF(AND(IFERROR(INDEX(基础资料!$AD$5:$AD$34,MATCH(O789,基础资料!$AC$5:$AC$34,0)),"")="收",N(G789)&lt;&gt;0),"✗ 这类是收款，金额填到收入列",IF(AND(IFERROR(INDEX(基础资料!$AD$5:$AD$34,MATCH(O789,基础资料!$AC$5:$AC$34,0)),"")="支",N(F789)&lt;&gt;0),"✗ 这类是付款，金额填到支出列",IF(N(H789)&lt;0,"⚠ 账户余额成负数了，核对一下","√"))))))))))))))))))</f>
      </c>
      <c r="O789" s="78">
        <f>IF(D789&lt;&gt;"",D789,IF(AND(F789="",G789=""),"",IF(J789&lt;&gt;"",IF(N(F789)&gt;0,"客户回款","客户退款"),IF(K789&lt;&gt;"",IF(N(G789)&gt;0,"供应商付款","供应商退款"),IF(L789&lt;&gt;"","费用支出","")))))</f>
      </c>
      <c r="P789" s="78">
        <f>IF(O789="","",IFERROR(INDEX(基础资料!$AE$5:$AE$34,MATCH(O789,基础资料!$AC$5:$AC$34,0)),"未知"))</f>
      </c>
      <c r="Q789" s="78">
        <f>IF(P789="应收",COUNTIF(P$7:P789,"应收"),"")</f>
      </c>
      <c r="R789" s="78">
        <f>IF(P789="应付",COUNTIF(P$7:P789,"应付"),"")</f>
      </c>
      <c r="S789" s="78">
        <f>N(F789)-N(G789)</f>
        <v>0</v>
      </c>
    </row>
    <row r="790">
      <c r="A790" s="109">
        <f>IF(AND(F790="",G790=""),"",ROW()-6)</f>
      </c>
      <c r="B790" s="140" t="n"/>
      <c r="C790" s="141" t="n"/>
      <c r="D790" s="141" t="n"/>
      <c r="E790" s="142" t="n"/>
      <c r="F790" s="143" t="n"/>
      <c r="G790" s="144" t="n"/>
      <c r="H790" s="145">
        <f>IF(OR(C790="",AND(F790="",G790="")),"",SUMIF(基础资料!$W$5:$W$24,C790,基础资料!$X$5:$X$24)+SUMIF(C$7:C790,C790,F$7:F790)-SUMIF(C$7:C790,C790,G$7:G790))</f>
      </c>
      <c r="I790" s="145">
        <f>IF(AND(F790="",G790=""),"",SUM(基础资料!$X$5:$X$24)+SUM(F$7:F790)-SUM(G$7:G790))</f>
      </c>
      <c r="J790" s="141" t="n"/>
      <c r="K790" s="141" t="n"/>
      <c r="L790" s="141" t="n"/>
      <c r="M790" s="142" t="n"/>
      <c r="N790" s="146">
        <f>IF(AND(AND(F790="",G790=""),B790="",C790="",D790="",J790="",K790="",L790=""),"",IF(AND(F790="",G790=""),"✗ 没填金额",IF(AND(N(F790)&lt;&gt;0,N(G790)&lt;&gt;0),"✗ 收入、支出只能填一边",IF(NOT(ISNUMBER(B790)),"✗ 日期不是真日期（要像 2026/9/25 这样填）",IF(OR(B790&lt;年初日,B790&gt;年末日),"✗ 日期不在本会计年度",IF(C790="","✗ 没选账户",IF(COUNTIF(基础资料!$W$5:$W$24,C790)=0,"✗ 账户不在基础资料里",IF(O790="","✗ 没选收支项目",IF(P790="未知","✗ 收支项目不在基础资料里",IF(AND(P790="应收",J790=""),"✗ 这笔要选客户",IF(AND(P790="应收",COUNTIF(总览汇总!$B$5:$B$304,J790)=0),"✗ 客户不在总览汇总名单里",IF(AND(P790="应付",K790=""),"✗ 这笔要选供应商",IF(AND(P790="应付",COUNTIF(基础资料!$Q$5:$Q$54,K790)=0),"✗ 供应商不在基础资料里",IF(AND(P790="费用",L790=""),"✗ 费用支出要选费用项目",IF(AND(L790&lt;&gt;"",COUNTIF(基础资料!$AI$5:$AI$54,L790)=0),"✗ 费用项目不在基础资料里",IF(AND(IFERROR(INDEX(基础资料!$AD$5:$AD$34,MATCH(O790,基础资料!$AC$5:$AC$34,0)),"")="收",N(G790)&lt;&gt;0),"✗ 这类是收款，金额填到收入列",IF(AND(IFERROR(INDEX(基础资料!$AD$5:$AD$34,MATCH(O790,基础资料!$AC$5:$AC$34,0)),"")="支",N(F790)&lt;&gt;0),"✗ 这类是付款，金额填到支出列",IF(N(H790)&lt;0,"⚠ 账户余额成负数了，核对一下","√"))))))))))))))))))</f>
      </c>
      <c r="O790" s="78">
        <f>IF(D790&lt;&gt;"",D790,IF(AND(F790="",G790=""),"",IF(J790&lt;&gt;"",IF(N(F790)&gt;0,"客户回款","客户退款"),IF(K790&lt;&gt;"",IF(N(G790)&gt;0,"供应商付款","供应商退款"),IF(L790&lt;&gt;"","费用支出","")))))</f>
      </c>
      <c r="P790" s="78">
        <f>IF(O790="","",IFERROR(INDEX(基础资料!$AE$5:$AE$34,MATCH(O790,基础资料!$AC$5:$AC$34,0)),"未知"))</f>
      </c>
      <c r="Q790" s="78">
        <f>IF(P790="应收",COUNTIF(P$7:P790,"应收"),"")</f>
      </c>
      <c r="R790" s="78">
        <f>IF(P790="应付",COUNTIF(P$7:P790,"应付"),"")</f>
      </c>
      <c r="S790" s="78">
        <f>N(F790)-N(G790)</f>
        <v>0</v>
      </c>
    </row>
    <row r="791">
      <c r="A791" s="109">
        <f>IF(AND(F791="",G791=""),"",ROW()-6)</f>
      </c>
      <c r="B791" s="140" t="n"/>
      <c r="C791" s="141" t="n"/>
      <c r="D791" s="141" t="n"/>
      <c r="E791" s="142" t="n"/>
      <c r="F791" s="143" t="n"/>
      <c r="G791" s="144" t="n"/>
      <c r="H791" s="145">
        <f>IF(OR(C791="",AND(F791="",G791="")),"",SUMIF(基础资料!$W$5:$W$24,C791,基础资料!$X$5:$X$24)+SUMIF(C$7:C791,C791,F$7:F791)-SUMIF(C$7:C791,C791,G$7:G791))</f>
      </c>
      <c r="I791" s="145">
        <f>IF(AND(F791="",G791=""),"",SUM(基础资料!$X$5:$X$24)+SUM(F$7:F791)-SUM(G$7:G791))</f>
      </c>
      <c r="J791" s="141" t="n"/>
      <c r="K791" s="141" t="n"/>
      <c r="L791" s="141" t="n"/>
      <c r="M791" s="142" t="n"/>
      <c r="N791" s="146">
        <f>IF(AND(AND(F791="",G791=""),B791="",C791="",D791="",J791="",K791="",L791=""),"",IF(AND(F791="",G791=""),"✗ 没填金额",IF(AND(N(F791)&lt;&gt;0,N(G791)&lt;&gt;0),"✗ 收入、支出只能填一边",IF(NOT(ISNUMBER(B791)),"✗ 日期不是真日期（要像 2026/9/25 这样填）",IF(OR(B791&lt;年初日,B791&gt;年末日),"✗ 日期不在本会计年度",IF(C791="","✗ 没选账户",IF(COUNTIF(基础资料!$W$5:$W$24,C791)=0,"✗ 账户不在基础资料里",IF(O791="","✗ 没选收支项目",IF(P791="未知","✗ 收支项目不在基础资料里",IF(AND(P791="应收",J791=""),"✗ 这笔要选客户",IF(AND(P791="应收",COUNTIF(总览汇总!$B$5:$B$304,J791)=0),"✗ 客户不在总览汇总名单里",IF(AND(P791="应付",K791=""),"✗ 这笔要选供应商",IF(AND(P791="应付",COUNTIF(基础资料!$Q$5:$Q$54,K791)=0),"✗ 供应商不在基础资料里",IF(AND(P791="费用",L791=""),"✗ 费用支出要选费用项目",IF(AND(L791&lt;&gt;"",COUNTIF(基础资料!$AI$5:$AI$54,L791)=0),"✗ 费用项目不在基础资料里",IF(AND(IFERROR(INDEX(基础资料!$AD$5:$AD$34,MATCH(O791,基础资料!$AC$5:$AC$34,0)),"")="收",N(G791)&lt;&gt;0),"✗ 这类是收款，金额填到收入列",IF(AND(IFERROR(INDEX(基础资料!$AD$5:$AD$34,MATCH(O791,基础资料!$AC$5:$AC$34,0)),"")="支",N(F791)&lt;&gt;0),"✗ 这类是付款，金额填到支出列",IF(N(H791)&lt;0,"⚠ 账户余额成负数了，核对一下","√"))))))))))))))))))</f>
      </c>
      <c r="O791" s="78">
        <f>IF(D791&lt;&gt;"",D791,IF(AND(F791="",G791=""),"",IF(J791&lt;&gt;"",IF(N(F791)&gt;0,"客户回款","客户退款"),IF(K791&lt;&gt;"",IF(N(G791)&gt;0,"供应商付款","供应商退款"),IF(L791&lt;&gt;"","费用支出","")))))</f>
      </c>
      <c r="P791" s="78">
        <f>IF(O791="","",IFERROR(INDEX(基础资料!$AE$5:$AE$34,MATCH(O791,基础资料!$AC$5:$AC$34,0)),"未知"))</f>
      </c>
      <c r="Q791" s="78">
        <f>IF(P791="应收",COUNTIF(P$7:P791,"应收"),"")</f>
      </c>
      <c r="R791" s="78">
        <f>IF(P791="应付",COUNTIF(P$7:P791,"应付"),"")</f>
      </c>
      <c r="S791" s="78">
        <f>N(F791)-N(G791)</f>
        <v>0</v>
      </c>
    </row>
    <row r="792">
      <c r="A792" s="109">
        <f>IF(AND(F792="",G792=""),"",ROW()-6)</f>
      </c>
      <c r="B792" s="140" t="n"/>
      <c r="C792" s="141" t="n"/>
      <c r="D792" s="141" t="n"/>
      <c r="E792" s="142" t="n"/>
      <c r="F792" s="143" t="n"/>
      <c r="G792" s="144" t="n"/>
      <c r="H792" s="145">
        <f>IF(OR(C792="",AND(F792="",G792="")),"",SUMIF(基础资料!$W$5:$W$24,C792,基础资料!$X$5:$X$24)+SUMIF(C$7:C792,C792,F$7:F792)-SUMIF(C$7:C792,C792,G$7:G792))</f>
      </c>
      <c r="I792" s="145">
        <f>IF(AND(F792="",G792=""),"",SUM(基础资料!$X$5:$X$24)+SUM(F$7:F792)-SUM(G$7:G792))</f>
      </c>
      <c r="J792" s="141" t="n"/>
      <c r="K792" s="141" t="n"/>
      <c r="L792" s="141" t="n"/>
      <c r="M792" s="142" t="n"/>
      <c r="N792" s="146">
        <f>IF(AND(AND(F792="",G792=""),B792="",C792="",D792="",J792="",K792="",L792=""),"",IF(AND(F792="",G792=""),"✗ 没填金额",IF(AND(N(F792)&lt;&gt;0,N(G792)&lt;&gt;0),"✗ 收入、支出只能填一边",IF(NOT(ISNUMBER(B792)),"✗ 日期不是真日期（要像 2026/9/25 这样填）",IF(OR(B792&lt;年初日,B792&gt;年末日),"✗ 日期不在本会计年度",IF(C792="","✗ 没选账户",IF(COUNTIF(基础资料!$W$5:$W$24,C792)=0,"✗ 账户不在基础资料里",IF(O792="","✗ 没选收支项目",IF(P792="未知","✗ 收支项目不在基础资料里",IF(AND(P792="应收",J792=""),"✗ 这笔要选客户",IF(AND(P792="应收",COUNTIF(总览汇总!$B$5:$B$304,J792)=0),"✗ 客户不在总览汇总名单里",IF(AND(P792="应付",K792=""),"✗ 这笔要选供应商",IF(AND(P792="应付",COUNTIF(基础资料!$Q$5:$Q$54,K792)=0),"✗ 供应商不在基础资料里",IF(AND(P792="费用",L792=""),"✗ 费用支出要选费用项目",IF(AND(L792&lt;&gt;"",COUNTIF(基础资料!$AI$5:$AI$54,L792)=0),"✗ 费用项目不在基础资料里",IF(AND(IFERROR(INDEX(基础资料!$AD$5:$AD$34,MATCH(O792,基础资料!$AC$5:$AC$34,0)),"")="收",N(G792)&lt;&gt;0),"✗ 这类是收款，金额填到收入列",IF(AND(IFERROR(INDEX(基础资料!$AD$5:$AD$34,MATCH(O792,基础资料!$AC$5:$AC$34,0)),"")="支",N(F792)&lt;&gt;0),"✗ 这类是付款，金额填到支出列",IF(N(H792)&lt;0,"⚠ 账户余额成负数了，核对一下","√"))))))))))))))))))</f>
      </c>
      <c r="O792" s="78">
        <f>IF(D792&lt;&gt;"",D792,IF(AND(F792="",G792=""),"",IF(J792&lt;&gt;"",IF(N(F792)&gt;0,"客户回款","客户退款"),IF(K792&lt;&gt;"",IF(N(G792)&gt;0,"供应商付款","供应商退款"),IF(L792&lt;&gt;"","费用支出","")))))</f>
      </c>
      <c r="P792" s="78">
        <f>IF(O792="","",IFERROR(INDEX(基础资料!$AE$5:$AE$34,MATCH(O792,基础资料!$AC$5:$AC$34,0)),"未知"))</f>
      </c>
      <c r="Q792" s="78">
        <f>IF(P792="应收",COUNTIF(P$7:P792,"应收"),"")</f>
      </c>
      <c r="R792" s="78">
        <f>IF(P792="应付",COUNTIF(P$7:P792,"应付"),"")</f>
      </c>
      <c r="S792" s="78">
        <f>N(F792)-N(G792)</f>
        <v>0</v>
      </c>
    </row>
    <row r="793">
      <c r="A793" s="109">
        <f>IF(AND(F793="",G793=""),"",ROW()-6)</f>
      </c>
      <c r="B793" s="140" t="n"/>
      <c r="C793" s="141" t="n"/>
      <c r="D793" s="141" t="n"/>
      <c r="E793" s="142" t="n"/>
      <c r="F793" s="143" t="n"/>
      <c r="G793" s="144" t="n"/>
      <c r="H793" s="145">
        <f>IF(OR(C793="",AND(F793="",G793="")),"",SUMIF(基础资料!$W$5:$W$24,C793,基础资料!$X$5:$X$24)+SUMIF(C$7:C793,C793,F$7:F793)-SUMIF(C$7:C793,C793,G$7:G793))</f>
      </c>
      <c r="I793" s="145">
        <f>IF(AND(F793="",G793=""),"",SUM(基础资料!$X$5:$X$24)+SUM(F$7:F793)-SUM(G$7:G793))</f>
      </c>
      <c r="J793" s="141" t="n"/>
      <c r="K793" s="141" t="n"/>
      <c r="L793" s="141" t="n"/>
      <c r="M793" s="142" t="n"/>
      <c r="N793" s="146">
        <f>IF(AND(AND(F793="",G793=""),B793="",C793="",D793="",J793="",K793="",L793=""),"",IF(AND(F793="",G793=""),"✗ 没填金额",IF(AND(N(F793)&lt;&gt;0,N(G793)&lt;&gt;0),"✗ 收入、支出只能填一边",IF(NOT(ISNUMBER(B793)),"✗ 日期不是真日期（要像 2026/9/25 这样填）",IF(OR(B793&lt;年初日,B793&gt;年末日),"✗ 日期不在本会计年度",IF(C793="","✗ 没选账户",IF(COUNTIF(基础资料!$W$5:$W$24,C793)=0,"✗ 账户不在基础资料里",IF(O793="","✗ 没选收支项目",IF(P793="未知","✗ 收支项目不在基础资料里",IF(AND(P793="应收",J793=""),"✗ 这笔要选客户",IF(AND(P793="应收",COUNTIF(总览汇总!$B$5:$B$304,J793)=0),"✗ 客户不在总览汇总名单里",IF(AND(P793="应付",K793=""),"✗ 这笔要选供应商",IF(AND(P793="应付",COUNTIF(基础资料!$Q$5:$Q$54,K793)=0),"✗ 供应商不在基础资料里",IF(AND(P793="费用",L793=""),"✗ 费用支出要选费用项目",IF(AND(L793&lt;&gt;"",COUNTIF(基础资料!$AI$5:$AI$54,L793)=0),"✗ 费用项目不在基础资料里",IF(AND(IFERROR(INDEX(基础资料!$AD$5:$AD$34,MATCH(O793,基础资料!$AC$5:$AC$34,0)),"")="收",N(G793)&lt;&gt;0),"✗ 这类是收款，金额填到收入列",IF(AND(IFERROR(INDEX(基础资料!$AD$5:$AD$34,MATCH(O793,基础资料!$AC$5:$AC$34,0)),"")="支",N(F793)&lt;&gt;0),"✗ 这类是付款，金额填到支出列",IF(N(H793)&lt;0,"⚠ 账户余额成负数了，核对一下","√"))))))))))))))))))</f>
      </c>
      <c r="O793" s="78">
        <f>IF(D793&lt;&gt;"",D793,IF(AND(F793="",G793=""),"",IF(J793&lt;&gt;"",IF(N(F793)&gt;0,"客户回款","客户退款"),IF(K793&lt;&gt;"",IF(N(G793)&gt;0,"供应商付款","供应商退款"),IF(L793&lt;&gt;"","费用支出","")))))</f>
      </c>
      <c r="P793" s="78">
        <f>IF(O793="","",IFERROR(INDEX(基础资料!$AE$5:$AE$34,MATCH(O793,基础资料!$AC$5:$AC$34,0)),"未知"))</f>
      </c>
      <c r="Q793" s="78">
        <f>IF(P793="应收",COUNTIF(P$7:P793,"应收"),"")</f>
      </c>
      <c r="R793" s="78">
        <f>IF(P793="应付",COUNTIF(P$7:P793,"应付"),"")</f>
      </c>
      <c r="S793" s="78">
        <f>N(F793)-N(G793)</f>
        <v>0</v>
      </c>
    </row>
    <row r="794">
      <c r="A794" s="109">
        <f>IF(AND(F794="",G794=""),"",ROW()-6)</f>
      </c>
      <c r="B794" s="140" t="n"/>
      <c r="C794" s="141" t="n"/>
      <c r="D794" s="141" t="n"/>
      <c r="E794" s="142" t="n"/>
      <c r="F794" s="143" t="n"/>
      <c r="G794" s="144" t="n"/>
      <c r="H794" s="145">
        <f>IF(OR(C794="",AND(F794="",G794="")),"",SUMIF(基础资料!$W$5:$W$24,C794,基础资料!$X$5:$X$24)+SUMIF(C$7:C794,C794,F$7:F794)-SUMIF(C$7:C794,C794,G$7:G794))</f>
      </c>
      <c r="I794" s="145">
        <f>IF(AND(F794="",G794=""),"",SUM(基础资料!$X$5:$X$24)+SUM(F$7:F794)-SUM(G$7:G794))</f>
      </c>
      <c r="J794" s="141" t="n"/>
      <c r="K794" s="141" t="n"/>
      <c r="L794" s="141" t="n"/>
      <c r="M794" s="142" t="n"/>
      <c r="N794" s="146">
        <f>IF(AND(AND(F794="",G794=""),B794="",C794="",D794="",J794="",K794="",L794=""),"",IF(AND(F794="",G794=""),"✗ 没填金额",IF(AND(N(F794)&lt;&gt;0,N(G794)&lt;&gt;0),"✗ 收入、支出只能填一边",IF(NOT(ISNUMBER(B794)),"✗ 日期不是真日期（要像 2026/9/25 这样填）",IF(OR(B794&lt;年初日,B794&gt;年末日),"✗ 日期不在本会计年度",IF(C794="","✗ 没选账户",IF(COUNTIF(基础资料!$W$5:$W$24,C794)=0,"✗ 账户不在基础资料里",IF(O794="","✗ 没选收支项目",IF(P794="未知","✗ 收支项目不在基础资料里",IF(AND(P794="应收",J794=""),"✗ 这笔要选客户",IF(AND(P794="应收",COUNTIF(总览汇总!$B$5:$B$304,J794)=0),"✗ 客户不在总览汇总名单里",IF(AND(P794="应付",K794=""),"✗ 这笔要选供应商",IF(AND(P794="应付",COUNTIF(基础资料!$Q$5:$Q$54,K794)=0),"✗ 供应商不在基础资料里",IF(AND(P794="费用",L794=""),"✗ 费用支出要选费用项目",IF(AND(L794&lt;&gt;"",COUNTIF(基础资料!$AI$5:$AI$54,L794)=0),"✗ 费用项目不在基础资料里",IF(AND(IFERROR(INDEX(基础资料!$AD$5:$AD$34,MATCH(O794,基础资料!$AC$5:$AC$34,0)),"")="收",N(G794)&lt;&gt;0),"✗ 这类是收款，金额填到收入列",IF(AND(IFERROR(INDEX(基础资料!$AD$5:$AD$34,MATCH(O794,基础资料!$AC$5:$AC$34,0)),"")="支",N(F794)&lt;&gt;0),"✗ 这类是付款，金额填到支出列",IF(N(H794)&lt;0,"⚠ 账户余额成负数了，核对一下","√"))))))))))))))))))</f>
      </c>
      <c r="O794" s="78">
        <f>IF(D794&lt;&gt;"",D794,IF(AND(F794="",G794=""),"",IF(J794&lt;&gt;"",IF(N(F794)&gt;0,"客户回款","客户退款"),IF(K794&lt;&gt;"",IF(N(G794)&gt;0,"供应商付款","供应商退款"),IF(L794&lt;&gt;"","费用支出","")))))</f>
      </c>
      <c r="P794" s="78">
        <f>IF(O794="","",IFERROR(INDEX(基础资料!$AE$5:$AE$34,MATCH(O794,基础资料!$AC$5:$AC$34,0)),"未知"))</f>
      </c>
      <c r="Q794" s="78">
        <f>IF(P794="应收",COUNTIF(P$7:P794,"应收"),"")</f>
      </c>
      <c r="R794" s="78">
        <f>IF(P794="应付",COUNTIF(P$7:P794,"应付"),"")</f>
      </c>
      <c r="S794" s="78">
        <f>N(F794)-N(G794)</f>
        <v>0</v>
      </c>
    </row>
    <row r="795">
      <c r="A795" s="109">
        <f>IF(AND(F795="",G795=""),"",ROW()-6)</f>
      </c>
      <c r="B795" s="140" t="n"/>
      <c r="C795" s="141" t="n"/>
      <c r="D795" s="141" t="n"/>
      <c r="E795" s="142" t="n"/>
      <c r="F795" s="143" t="n"/>
      <c r="G795" s="144" t="n"/>
      <c r="H795" s="145">
        <f>IF(OR(C795="",AND(F795="",G795="")),"",SUMIF(基础资料!$W$5:$W$24,C795,基础资料!$X$5:$X$24)+SUMIF(C$7:C795,C795,F$7:F795)-SUMIF(C$7:C795,C795,G$7:G795))</f>
      </c>
      <c r="I795" s="145">
        <f>IF(AND(F795="",G795=""),"",SUM(基础资料!$X$5:$X$24)+SUM(F$7:F795)-SUM(G$7:G795))</f>
      </c>
      <c r="J795" s="141" t="n"/>
      <c r="K795" s="141" t="n"/>
      <c r="L795" s="141" t="n"/>
      <c r="M795" s="142" t="n"/>
      <c r="N795" s="146">
        <f>IF(AND(AND(F795="",G795=""),B795="",C795="",D795="",J795="",K795="",L795=""),"",IF(AND(F795="",G795=""),"✗ 没填金额",IF(AND(N(F795)&lt;&gt;0,N(G795)&lt;&gt;0),"✗ 收入、支出只能填一边",IF(NOT(ISNUMBER(B795)),"✗ 日期不是真日期（要像 2026/9/25 这样填）",IF(OR(B795&lt;年初日,B795&gt;年末日),"✗ 日期不在本会计年度",IF(C795="","✗ 没选账户",IF(COUNTIF(基础资料!$W$5:$W$24,C795)=0,"✗ 账户不在基础资料里",IF(O795="","✗ 没选收支项目",IF(P795="未知","✗ 收支项目不在基础资料里",IF(AND(P795="应收",J795=""),"✗ 这笔要选客户",IF(AND(P795="应收",COUNTIF(总览汇总!$B$5:$B$304,J795)=0),"✗ 客户不在总览汇总名单里",IF(AND(P795="应付",K795=""),"✗ 这笔要选供应商",IF(AND(P795="应付",COUNTIF(基础资料!$Q$5:$Q$54,K795)=0),"✗ 供应商不在基础资料里",IF(AND(P795="费用",L795=""),"✗ 费用支出要选费用项目",IF(AND(L795&lt;&gt;"",COUNTIF(基础资料!$AI$5:$AI$54,L795)=0),"✗ 费用项目不在基础资料里",IF(AND(IFERROR(INDEX(基础资料!$AD$5:$AD$34,MATCH(O795,基础资料!$AC$5:$AC$34,0)),"")="收",N(G795)&lt;&gt;0),"✗ 这类是收款，金额填到收入列",IF(AND(IFERROR(INDEX(基础资料!$AD$5:$AD$34,MATCH(O795,基础资料!$AC$5:$AC$34,0)),"")="支",N(F795)&lt;&gt;0),"✗ 这类是付款，金额填到支出列",IF(N(H795)&lt;0,"⚠ 账户余额成负数了，核对一下","√"))))))))))))))))))</f>
      </c>
      <c r="O795" s="78">
        <f>IF(D795&lt;&gt;"",D795,IF(AND(F795="",G795=""),"",IF(J795&lt;&gt;"",IF(N(F795)&gt;0,"客户回款","客户退款"),IF(K795&lt;&gt;"",IF(N(G795)&gt;0,"供应商付款","供应商退款"),IF(L795&lt;&gt;"","费用支出","")))))</f>
      </c>
      <c r="P795" s="78">
        <f>IF(O795="","",IFERROR(INDEX(基础资料!$AE$5:$AE$34,MATCH(O795,基础资料!$AC$5:$AC$34,0)),"未知"))</f>
      </c>
      <c r="Q795" s="78">
        <f>IF(P795="应收",COUNTIF(P$7:P795,"应收"),"")</f>
      </c>
      <c r="R795" s="78">
        <f>IF(P795="应付",COUNTIF(P$7:P795,"应付"),"")</f>
      </c>
      <c r="S795" s="78">
        <f>N(F795)-N(G795)</f>
        <v>0</v>
      </c>
    </row>
    <row r="796">
      <c r="A796" s="109">
        <f>IF(AND(F796="",G796=""),"",ROW()-6)</f>
      </c>
      <c r="B796" s="140" t="n"/>
      <c r="C796" s="141" t="n"/>
      <c r="D796" s="141" t="n"/>
      <c r="E796" s="142" t="n"/>
      <c r="F796" s="143" t="n"/>
      <c r="G796" s="144" t="n"/>
      <c r="H796" s="145">
        <f>IF(OR(C796="",AND(F796="",G796="")),"",SUMIF(基础资料!$W$5:$W$24,C796,基础资料!$X$5:$X$24)+SUMIF(C$7:C796,C796,F$7:F796)-SUMIF(C$7:C796,C796,G$7:G796))</f>
      </c>
      <c r="I796" s="145">
        <f>IF(AND(F796="",G796=""),"",SUM(基础资料!$X$5:$X$24)+SUM(F$7:F796)-SUM(G$7:G796))</f>
      </c>
      <c r="J796" s="141" t="n"/>
      <c r="K796" s="141" t="n"/>
      <c r="L796" s="141" t="n"/>
      <c r="M796" s="142" t="n"/>
      <c r="N796" s="146">
        <f>IF(AND(AND(F796="",G796=""),B796="",C796="",D796="",J796="",K796="",L796=""),"",IF(AND(F796="",G796=""),"✗ 没填金额",IF(AND(N(F796)&lt;&gt;0,N(G796)&lt;&gt;0),"✗ 收入、支出只能填一边",IF(NOT(ISNUMBER(B796)),"✗ 日期不是真日期（要像 2026/9/25 这样填）",IF(OR(B796&lt;年初日,B796&gt;年末日),"✗ 日期不在本会计年度",IF(C796="","✗ 没选账户",IF(COUNTIF(基础资料!$W$5:$W$24,C796)=0,"✗ 账户不在基础资料里",IF(O796="","✗ 没选收支项目",IF(P796="未知","✗ 收支项目不在基础资料里",IF(AND(P796="应收",J796=""),"✗ 这笔要选客户",IF(AND(P796="应收",COUNTIF(总览汇总!$B$5:$B$304,J796)=0),"✗ 客户不在总览汇总名单里",IF(AND(P796="应付",K796=""),"✗ 这笔要选供应商",IF(AND(P796="应付",COUNTIF(基础资料!$Q$5:$Q$54,K796)=0),"✗ 供应商不在基础资料里",IF(AND(P796="费用",L796=""),"✗ 费用支出要选费用项目",IF(AND(L796&lt;&gt;"",COUNTIF(基础资料!$AI$5:$AI$54,L796)=0),"✗ 费用项目不在基础资料里",IF(AND(IFERROR(INDEX(基础资料!$AD$5:$AD$34,MATCH(O796,基础资料!$AC$5:$AC$34,0)),"")="收",N(G796)&lt;&gt;0),"✗ 这类是收款，金额填到收入列",IF(AND(IFERROR(INDEX(基础资料!$AD$5:$AD$34,MATCH(O796,基础资料!$AC$5:$AC$34,0)),"")="支",N(F796)&lt;&gt;0),"✗ 这类是付款，金额填到支出列",IF(N(H796)&lt;0,"⚠ 账户余额成负数了，核对一下","√"))))))))))))))))))</f>
      </c>
      <c r="O796" s="78">
        <f>IF(D796&lt;&gt;"",D796,IF(AND(F796="",G796=""),"",IF(J796&lt;&gt;"",IF(N(F796)&gt;0,"客户回款","客户退款"),IF(K796&lt;&gt;"",IF(N(G796)&gt;0,"供应商付款","供应商退款"),IF(L796&lt;&gt;"","费用支出","")))))</f>
      </c>
      <c r="P796" s="78">
        <f>IF(O796="","",IFERROR(INDEX(基础资料!$AE$5:$AE$34,MATCH(O796,基础资料!$AC$5:$AC$34,0)),"未知"))</f>
      </c>
      <c r="Q796" s="78">
        <f>IF(P796="应收",COUNTIF(P$7:P796,"应收"),"")</f>
      </c>
      <c r="R796" s="78">
        <f>IF(P796="应付",COUNTIF(P$7:P796,"应付"),"")</f>
      </c>
      <c r="S796" s="78">
        <f>N(F796)-N(G796)</f>
        <v>0</v>
      </c>
    </row>
    <row r="797">
      <c r="A797" s="109">
        <f>IF(AND(F797="",G797=""),"",ROW()-6)</f>
      </c>
      <c r="B797" s="140" t="n"/>
      <c r="C797" s="141" t="n"/>
      <c r="D797" s="141" t="n"/>
      <c r="E797" s="142" t="n"/>
      <c r="F797" s="143" t="n"/>
      <c r="G797" s="144" t="n"/>
      <c r="H797" s="145">
        <f>IF(OR(C797="",AND(F797="",G797="")),"",SUMIF(基础资料!$W$5:$W$24,C797,基础资料!$X$5:$X$24)+SUMIF(C$7:C797,C797,F$7:F797)-SUMIF(C$7:C797,C797,G$7:G797))</f>
      </c>
      <c r="I797" s="145">
        <f>IF(AND(F797="",G797=""),"",SUM(基础资料!$X$5:$X$24)+SUM(F$7:F797)-SUM(G$7:G797))</f>
      </c>
      <c r="J797" s="141" t="n"/>
      <c r="K797" s="141" t="n"/>
      <c r="L797" s="141" t="n"/>
      <c r="M797" s="142" t="n"/>
      <c r="N797" s="146">
        <f>IF(AND(AND(F797="",G797=""),B797="",C797="",D797="",J797="",K797="",L797=""),"",IF(AND(F797="",G797=""),"✗ 没填金额",IF(AND(N(F797)&lt;&gt;0,N(G797)&lt;&gt;0),"✗ 收入、支出只能填一边",IF(NOT(ISNUMBER(B797)),"✗ 日期不是真日期（要像 2026/9/25 这样填）",IF(OR(B797&lt;年初日,B797&gt;年末日),"✗ 日期不在本会计年度",IF(C797="","✗ 没选账户",IF(COUNTIF(基础资料!$W$5:$W$24,C797)=0,"✗ 账户不在基础资料里",IF(O797="","✗ 没选收支项目",IF(P797="未知","✗ 收支项目不在基础资料里",IF(AND(P797="应收",J797=""),"✗ 这笔要选客户",IF(AND(P797="应收",COUNTIF(总览汇总!$B$5:$B$304,J797)=0),"✗ 客户不在总览汇总名单里",IF(AND(P797="应付",K797=""),"✗ 这笔要选供应商",IF(AND(P797="应付",COUNTIF(基础资料!$Q$5:$Q$54,K797)=0),"✗ 供应商不在基础资料里",IF(AND(P797="费用",L797=""),"✗ 费用支出要选费用项目",IF(AND(L797&lt;&gt;"",COUNTIF(基础资料!$AI$5:$AI$54,L797)=0),"✗ 费用项目不在基础资料里",IF(AND(IFERROR(INDEX(基础资料!$AD$5:$AD$34,MATCH(O797,基础资料!$AC$5:$AC$34,0)),"")="收",N(G797)&lt;&gt;0),"✗ 这类是收款，金额填到收入列",IF(AND(IFERROR(INDEX(基础资料!$AD$5:$AD$34,MATCH(O797,基础资料!$AC$5:$AC$34,0)),"")="支",N(F797)&lt;&gt;0),"✗ 这类是付款，金额填到支出列",IF(N(H797)&lt;0,"⚠ 账户余额成负数了，核对一下","√"))))))))))))))))))</f>
      </c>
      <c r="O797" s="78">
        <f>IF(D797&lt;&gt;"",D797,IF(AND(F797="",G797=""),"",IF(J797&lt;&gt;"",IF(N(F797)&gt;0,"客户回款","客户退款"),IF(K797&lt;&gt;"",IF(N(G797)&gt;0,"供应商付款","供应商退款"),IF(L797&lt;&gt;"","费用支出","")))))</f>
      </c>
      <c r="P797" s="78">
        <f>IF(O797="","",IFERROR(INDEX(基础资料!$AE$5:$AE$34,MATCH(O797,基础资料!$AC$5:$AC$34,0)),"未知"))</f>
      </c>
      <c r="Q797" s="78">
        <f>IF(P797="应收",COUNTIF(P$7:P797,"应收"),"")</f>
      </c>
      <c r="R797" s="78">
        <f>IF(P797="应付",COUNTIF(P$7:P797,"应付"),"")</f>
      </c>
      <c r="S797" s="78">
        <f>N(F797)-N(G797)</f>
        <v>0</v>
      </c>
    </row>
    <row r="798">
      <c r="A798" s="109">
        <f>IF(AND(F798="",G798=""),"",ROW()-6)</f>
      </c>
      <c r="B798" s="140" t="n"/>
      <c r="C798" s="141" t="n"/>
      <c r="D798" s="141" t="n"/>
      <c r="E798" s="142" t="n"/>
      <c r="F798" s="143" t="n"/>
      <c r="G798" s="144" t="n"/>
      <c r="H798" s="145">
        <f>IF(OR(C798="",AND(F798="",G798="")),"",SUMIF(基础资料!$W$5:$W$24,C798,基础资料!$X$5:$X$24)+SUMIF(C$7:C798,C798,F$7:F798)-SUMIF(C$7:C798,C798,G$7:G798))</f>
      </c>
      <c r="I798" s="145">
        <f>IF(AND(F798="",G798=""),"",SUM(基础资料!$X$5:$X$24)+SUM(F$7:F798)-SUM(G$7:G798))</f>
      </c>
      <c r="J798" s="141" t="n"/>
      <c r="K798" s="141" t="n"/>
      <c r="L798" s="141" t="n"/>
      <c r="M798" s="142" t="n"/>
      <c r="N798" s="146">
        <f>IF(AND(AND(F798="",G798=""),B798="",C798="",D798="",J798="",K798="",L798=""),"",IF(AND(F798="",G798=""),"✗ 没填金额",IF(AND(N(F798)&lt;&gt;0,N(G798)&lt;&gt;0),"✗ 收入、支出只能填一边",IF(NOT(ISNUMBER(B798)),"✗ 日期不是真日期（要像 2026/9/25 这样填）",IF(OR(B798&lt;年初日,B798&gt;年末日),"✗ 日期不在本会计年度",IF(C798="","✗ 没选账户",IF(COUNTIF(基础资料!$W$5:$W$24,C798)=0,"✗ 账户不在基础资料里",IF(O798="","✗ 没选收支项目",IF(P798="未知","✗ 收支项目不在基础资料里",IF(AND(P798="应收",J798=""),"✗ 这笔要选客户",IF(AND(P798="应收",COUNTIF(总览汇总!$B$5:$B$304,J798)=0),"✗ 客户不在总览汇总名单里",IF(AND(P798="应付",K798=""),"✗ 这笔要选供应商",IF(AND(P798="应付",COUNTIF(基础资料!$Q$5:$Q$54,K798)=0),"✗ 供应商不在基础资料里",IF(AND(P798="费用",L798=""),"✗ 费用支出要选费用项目",IF(AND(L798&lt;&gt;"",COUNTIF(基础资料!$AI$5:$AI$54,L798)=0),"✗ 费用项目不在基础资料里",IF(AND(IFERROR(INDEX(基础资料!$AD$5:$AD$34,MATCH(O798,基础资料!$AC$5:$AC$34,0)),"")="收",N(G798)&lt;&gt;0),"✗ 这类是收款，金额填到收入列",IF(AND(IFERROR(INDEX(基础资料!$AD$5:$AD$34,MATCH(O798,基础资料!$AC$5:$AC$34,0)),"")="支",N(F798)&lt;&gt;0),"✗ 这类是付款，金额填到支出列",IF(N(H798)&lt;0,"⚠ 账户余额成负数了，核对一下","√"))))))))))))))))))</f>
      </c>
      <c r="O798" s="78">
        <f>IF(D798&lt;&gt;"",D798,IF(AND(F798="",G798=""),"",IF(J798&lt;&gt;"",IF(N(F798)&gt;0,"客户回款","客户退款"),IF(K798&lt;&gt;"",IF(N(G798)&gt;0,"供应商付款","供应商退款"),IF(L798&lt;&gt;"","费用支出","")))))</f>
      </c>
      <c r="P798" s="78">
        <f>IF(O798="","",IFERROR(INDEX(基础资料!$AE$5:$AE$34,MATCH(O798,基础资料!$AC$5:$AC$34,0)),"未知"))</f>
      </c>
      <c r="Q798" s="78">
        <f>IF(P798="应收",COUNTIF(P$7:P798,"应收"),"")</f>
      </c>
      <c r="R798" s="78">
        <f>IF(P798="应付",COUNTIF(P$7:P798,"应付"),"")</f>
      </c>
      <c r="S798" s="78">
        <f>N(F798)-N(G798)</f>
        <v>0</v>
      </c>
    </row>
    <row r="799">
      <c r="A799" s="109">
        <f>IF(AND(F799="",G799=""),"",ROW()-6)</f>
      </c>
      <c r="B799" s="140" t="n"/>
      <c r="C799" s="141" t="n"/>
      <c r="D799" s="141" t="n"/>
      <c r="E799" s="142" t="n"/>
      <c r="F799" s="143" t="n"/>
      <c r="G799" s="144" t="n"/>
      <c r="H799" s="145">
        <f>IF(OR(C799="",AND(F799="",G799="")),"",SUMIF(基础资料!$W$5:$W$24,C799,基础资料!$X$5:$X$24)+SUMIF(C$7:C799,C799,F$7:F799)-SUMIF(C$7:C799,C799,G$7:G799))</f>
      </c>
      <c r="I799" s="145">
        <f>IF(AND(F799="",G799=""),"",SUM(基础资料!$X$5:$X$24)+SUM(F$7:F799)-SUM(G$7:G799))</f>
      </c>
      <c r="J799" s="141" t="n"/>
      <c r="K799" s="141" t="n"/>
      <c r="L799" s="141" t="n"/>
      <c r="M799" s="142" t="n"/>
      <c r="N799" s="146">
        <f>IF(AND(AND(F799="",G799=""),B799="",C799="",D799="",J799="",K799="",L799=""),"",IF(AND(F799="",G799=""),"✗ 没填金额",IF(AND(N(F799)&lt;&gt;0,N(G799)&lt;&gt;0),"✗ 收入、支出只能填一边",IF(NOT(ISNUMBER(B799)),"✗ 日期不是真日期（要像 2026/9/25 这样填）",IF(OR(B799&lt;年初日,B799&gt;年末日),"✗ 日期不在本会计年度",IF(C799="","✗ 没选账户",IF(COUNTIF(基础资料!$W$5:$W$24,C799)=0,"✗ 账户不在基础资料里",IF(O799="","✗ 没选收支项目",IF(P799="未知","✗ 收支项目不在基础资料里",IF(AND(P799="应收",J799=""),"✗ 这笔要选客户",IF(AND(P799="应收",COUNTIF(总览汇总!$B$5:$B$304,J799)=0),"✗ 客户不在总览汇总名单里",IF(AND(P799="应付",K799=""),"✗ 这笔要选供应商",IF(AND(P799="应付",COUNTIF(基础资料!$Q$5:$Q$54,K799)=0),"✗ 供应商不在基础资料里",IF(AND(P799="费用",L799=""),"✗ 费用支出要选费用项目",IF(AND(L799&lt;&gt;"",COUNTIF(基础资料!$AI$5:$AI$54,L799)=0),"✗ 费用项目不在基础资料里",IF(AND(IFERROR(INDEX(基础资料!$AD$5:$AD$34,MATCH(O799,基础资料!$AC$5:$AC$34,0)),"")="收",N(G799)&lt;&gt;0),"✗ 这类是收款，金额填到收入列",IF(AND(IFERROR(INDEX(基础资料!$AD$5:$AD$34,MATCH(O799,基础资料!$AC$5:$AC$34,0)),"")="支",N(F799)&lt;&gt;0),"✗ 这类是付款，金额填到支出列",IF(N(H799)&lt;0,"⚠ 账户余额成负数了，核对一下","√"))))))))))))))))))</f>
      </c>
      <c r="O799" s="78">
        <f>IF(D799&lt;&gt;"",D799,IF(AND(F799="",G799=""),"",IF(J799&lt;&gt;"",IF(N(F799)&gt;0,"客户回款","客户退款"),IF(K799&lt;&gt;"",IF(N(G799)&gt;0,"供应商付款","供应商退款"),IF(L799&lt;&gt;"","费用支出","")))))</f>
      </c>
      <c r="P799" s="78">
        <f>IF(O799="","",IFERROR(INDEX(基础资料!$AE$5:$AE$34,MATCH(O799,基础资料!$AC$5:$AC$34,0)),"未知"))</f>
      </c>
      <c r="Q799" s="78">
        <f>IF(P799="应收",COUNTIF(P$7:P799,"应收"),"")</f>
      </c>
      <c r="R799" s="78">
        <f>IF(P799="应付",COUNTIF(P$7:P799,"应付"),"")</f>
      </c>
      <c r="S799" s="78">
        <f>N(F799)-N(G799)</f>
        <v>0</v>
      </c>
    </row>
    <row r="800">
      <c r="A800" s="109">
        <f>IF(AND(F800="",G800=""),"",ROW()-6)</f>
      </c>
      <c r="B800" s="140" t="n"/>
      <c r="C800" s="141" t="n"/>
      <c r="D800" s="141" t="n"/>
      <c r="E800" s="142" t="n"/>
      <c r="F800" s="143" t="n"/>
      <c r="G800" s="144" t="n"/>
      <c r="H800" s="145">
        <f>IF(OR(C800="",AND(F800="",G800="")),"",SUMIF(基础资料!$W$5:$W$24,C800,基础资料!$X$5:$X$24)+SUMIF(C$7:C800,C800,F$7:F800)-SUMIF(C$7:C800,C800,G$7:G800))</f>
      </c>
      <c r="I800" s="145">
        <f>IF(AND(F800="",G800=""),"",SUM(基础资料!$X$5:$X$24)+SUM(F$7:F800)-SUM(G$7:G800))</f>
      </c>
      <c r="J800" s="141" t="n"/>
      <c r="K800" s="141" t="n"/>
      <c r="L800" s="141" t="n"/>
      <c r="M800" s="142" t="n"/>
      <c r="N800" s="146">
        <f>IF(AND(AND(F800="",G800=""),B800="",C800="",D800="",J800="",K800="",L800=""),"",IF(AND(F800="",G800=""),"✗ 没填金额",IF(AND(N(F800)&lt;&gt;0,N(G800)&lt;&gt;0),"✗ 收入、支出只能填一边",IF(NOT(ISNUMBER(B800)),"✗ 日期不是真日期（要像 2026/9/25 这样填）",IF(OR(B800&lt;年初日,B800&gt;年末日),"✗ 日期不在本会计年度",IF(C800="","✗ 没选账户",IF(COUNTIF(基础资料!$W$5:$W$24,C800)=0,"✗ 账户不在基础资料里",IF(O800="","✗ 没选收支项目",IF(P800="未知","✗ 收支项目不在基础资料里",IF(AND(P800="应收",J800=""),"✗ 这笔要选客户",IF(AND(P800="应收",COUNTIF(总览汇总!$B$5:$B$304,J800)=0),"✗ 客户不在总览汇总名单里",IF(AND(P800="应付",K800=""),"✗ 这笔要选供应商",IF(AND(P800="应付",COUNTIF(基础资料!$Q$5:$Q$54,K800)=0),"✗ 供应商不在基础资料里",IF(AND(P800="费用",L800=""),"✗ 费用支出要选费用项目",IF(AND(L800&lt;&gt;"",COUNTIF(基础资料!$AI$5:$AI$54,L800)=0),"✗ 费用项目不在基础资料里",IF(AND(IFERROR(INDEX(基础资料!$AD$5:$AD$34,MATCH(O800,基础资料!$AC$5:$AC$34,0)),"")="收",N(G800)&lt;&gt;0),"✗ 这类是收款，金额填到收入列",IF(AND(IFERROR(INDEX(基础资料!$AD$5:$AD$34,MATCH(O800,基础资料!$AC$5:$AC$34,0)),"")="支",N(F800)&lt;&gt;0),"✗ 这类是付款，金额填到支出列",IF(N(H800)&lt;0,"⚠ 账户余额成负数了，核对一下","√"))))))))))))))))))</f>
      </c>
      <c r="O800" s="78">
        <f>IF(D800&lt;&gt;"",D800,IF(AND(F800="",G800=""),"",IF(J800&lt;&gt;"",IF(N(F800)&gt;0,"客户回款","客户退款"),IF(K800&lt;&gt;"",IF(N(G800)&gt;0,"供应商付款","供应商退款"),IF(L800&lt;&gt;"","费用支出","")))))</f>
      </c>
      <c r="P800" s="78">
        <f>IF(O800="","",IFERROR(INDEX(基础资料!$AE$5:$AE$34,MATCH(O800,基础资料!$AC$5:$AC$34,0)),"未知"))</f>
      </c>
      <c r="Q800" s="78">
        <f>IF(P800="应收",COUNTIF(P$7:P800,"应收"),"")</f>
      </c>
      <c r="R800" s="78">
        <f>IF(P800="应付",COUNTIF(P$7:P800,"应付"),"")</f>
      </c>
      <c r="S800" s="78">
        <f>N(F800)-N(G800)</f>
        <v>0</v>
      </c>
    </row>
    <row r="801">
      <c r="A801" s="109">
        <f>IF(AND(F801="",G801=""),"",ROW()-6)</f>
      </c>
      <c r="B801" s="140" t="n"/>
      <c r="C801" s="141" t="n"/>
      <c r="D801" s="141" t="n"/>
      <c r="E801" s="142" t="n"/>
      <c r="F801" s="143" t="n"/>
      <c r="G801" s="144" t="n"/>
      <c r="H801" s="145">
        <f>IF(OR(C801="",AND(F801="",G801="")),"",SUMIF(基础资料!$W$5:$W$24,C801,基础资料!$X$5:$X$24)+SUMIF(C$7:C801,C801,F$7:F801)-SUMIF(C$7:C801,C801,G$7:G801))</f>
      </c>
      <c r="I801" s="145">
        <f>IF(AND(F801="",G801=""),"",SUM(基础资料!$X$5:$X$24)+SUM(F$7:F801)-SUM(G$7:G801))</f>
      </c>
      <c r="J801" s="141" t="n"/>
      <c r="K801" s="141" t="n"/>
      <c r="L801" s="141" t="n"/>
      <c r="M801" s="142" t="n"/>
      <c r="N801" s="146">
        <f>IF(AND(AND(F801="",G801=""),B801="",C801="",D801="",J801="",K801="",L801=""),"",IF(AND(F801="",G801=""),"✗ 没填金额",IF(AND(N(F801)&lt;&gt;0,N(G801)&lt;&gt;0),"✗ 收入、支出只能填一边",IF(NOT(ISNUMBER(B801)),"✗ 日期不是真日期（要像 2026/9/25 这样填）",IF(OR(B801&lt;年初日,B801&gt;年末日),"✗ 日期不在本会计年度",IF(C801="","✗ 没选账户",IF(COUNTIF(基础资料!$W$5:$W$24,C801)=0,"✗ 账户不在基础资料里",IF(O801="","✗ 没选收支项目",IF(P801="未知","✗ 收支项目不在基础资料里",IF(AND(P801="应收",J801=""),"✗ 这笔要选客户",IF(AND(P801="应收",COUNTIF(总览汇总!$B$5:$B$304,J801)=0),"✗ 客户不在总览汇总名单里",IF(AND(P801="应付",K801=""),"✗ 这笔要选供应商",IF(AND(P801="应付",COUNTIF(基础资料!$Q$5:$Q$54,K801)=0),"✗ 供应商不在基础资料里",IF(AND(P801="费用",L801=""),"✗ 费用支出要选费用项目",IF(AND(L801&lt;&gt;"",COUNTIF(基础资料!$AI$5:$AI$54,L801)=0),"✗ 费用项目不在基础资料里",IF(AND(IFERROR(INDEX(基础资料!$AD$5:$AD$34,MATCH(O801,基础资料!$AC$5:$AC$34,0)),"")="收",N(G801)&lt;&gt;0),"✗ 这类是收款，金额填到收入列",IF(AND(IFERROR(INDEX(基础资料!$AD$5:$AD$34,MATCH(O801,基础资料!$AC$5:$AC$34,0)),"")="支",N(F801)&lt;&gt;0),"✗ 这类是付款，金额填到支出列",IF(N(H801)&lt;0,"⚠ 账户余额成负数了，核对一下","√"))))))))))))))))))</f>
      </c>
      <c r="O801" s="78">
        <f>IF(D801&lt;&gt;"",D801,IF(AND(F801="",G801=""),"",IF(J801&lt;&gt;"",IF(N(F801)&gt;0,"客户回款","客户退款"),IF(K801&lt;&gt;"",IF(N(G801)&gt;0,"供应商付款","供应商退款"),IF(L801&lt;&gt;"","费用支出","")))))</f>
      </c>
      <c r="P801" s="78">
        <f>IF(O801="","",IFERROR(INDEX(基础资料!$AE$5:$AE$34,MATCH(O801,基础资料!$AC$5:$AC$34,0)),"未知"))</f>
      </c>
      <c r="Q801" s="78">
        <f>IF(P801="应收",COUNTIF(P$7:P801,"应收"),"")</f>
      </c>
      <c r="R801" s="78">
        <f>IF(P801="应付",COUNTIF(P$7:P801,"应付"),"")</f>
      </c>
      <c r="S801" s="78">
        <f>N(F801)-N(G801)</f>
        <v>0</v>
      </c>
    </row>
    <row r="802">
      <c r="A802" s="109">
        <f>IF(AND(F802="",G802=""),"",ROW()-6)</f>
      </c>
      <c r="B802" s="140" t="n"/>
      <c r="C802" s="141" t="n"/>
      <c r="D802" s="141" t="n"/>
      <c r="E802" s="142" t="n"/>
      <c r="F802" s="143" t="n"/>
      <c r="G802" s="144" t="n"/>
      <c r="H802" s="145">
        <f>IF(OR(C802="",AND(F802="",G802="")),"",SUMIF(基础资料!$W$5:$W$24,C802,基础资料!$X$5:$X$24)+SUMIF(C$7:C802,C802,F$7:F802)-SUMIF(C$7:C802,C802,G$7:G802))</f>
      </c>
      <c r="I802" s="145">
        <f>IF(AND(F802="",G802=""),"",SUM(基础资料!$X$5:$X$24)+SUM(F$7:F802)-SUM(G$7:G802))</f>
      </c>
      <c r="J802" s="141" t="n"/>
      <c r="K802" s="141" t="n"/>
      <c r="L802" s="141" t="n"/>
      <c r="M802" s="142" t="n"/>
      <c r="N802" s="146">
        <f>IF(AND(AND(F802="",G802=""),B802="",C802="",D802="",J802="",K802="",L802=""),"",IF(AND(F802="",G802=""),"✗ 没填金额",IF(AND(N(F802)&lt;&gt;0,N(G802)&lt;&gt;0),"✗ 收入、支出只能填一边",IF(NOT(ISNUMBER(B802)),"✗ 日期不是真日期（要像 2026/9/25 这样填）",IF(OR(B802&lt;年初日,B802&gt;年末日),"✗ 日期不在本会计年度",IF(C802="","✗ 没选账户",IF(COUNTIF(基础资料!$W$5:$W$24,C802)=0,"✗ 账户不在基础资料里",IF(O802="","✗ 没选收支项目",IF(P802="未知","✗ 收支项目不在基础资料里",IF(AND(P802="应收",J802=""),"✗ 这笔要选客户",IF(AND(P802="应收",COUNTIF(总览汇总!$B$5:$B$304,J802)=0),"✗ 客户不在总览汇总名单里",IF(AND(P802="应付",K802=""),"✗ 这笔要选供应商",IF(AND(P802="应付",COUNTIF(基础资料!$Q$5:$Q$54,K802)=0),"✗ 供应商不在基础资料里",IF(AND(P802="费用",L802=""),"✗ 费用支出要选费用项目",IF(AND(L802&lt;&gt;"",COUNTIF(基础资料!$AI$5:$AI$54,L802)=0),"✗ 费用项目不在基础资料里",IF(AND(IFERROR(INDEX(基础资料!$AD$5:$AD$34,MATCH(O802,基础资料!$AC$5:$AC$34,0)),"")="收",N(G802)&lt;&gt;0),"✗ 这类是收款，金额填到收入列",IF(AND(IFERROR(INDEX(基础资料!$AD$5:$AD$34,MATCH(O802,基础资料!$AC$5:$AC$34,0)),"")="支",N(F802)&lt;&gt;0),"✗ 这类是付款，金额填到支出列",IF(N(H802)&lt;0,"⚠ 账户余额成负数了，核对一下","√"))))))))))))))))))</f>
      </c>
      <c r="O802" s="78">
        <f>IF(D802&lt;&gt;"",D802,IF(AND(F802="",G802=""),"",IF(J802&lt;&gt;"",IF(N(F802)&gt;0,"客户回款","客户退款"),IF(K802&lt;&gt;"",IF(N(G802)&gt;0,"供应商付款","供应商退款"),IF(L802&lt;&gt;"","费用支出","")))))</f>
      </c>
      <c r="P802" s="78">
        <f>IF(O802="","",IFERROR(INDEX(基础资料!$AE$5:$AE$34,MATCH(O802,基础资料!$AC$5:$AC$34,0)),"未知"))</f>
      </c>
      <c r="Q802" s="78">
        <f>IF(P802="应收",COUNTIF(P$7:P802,"应收"),"")</f>
      </c>
      <c r="R802" s="78">
        <f>IF(P802="应付",COUNTIF(P$7:P802,"应付"),"")</f>
      </c>
      <c r="S802" s="78">
        <f>N(F802)-N(G802)</f>
        <v>0</v>
      </c>
    </row>
    <row r="803">
      <c r="A803" s="109">
        <f>IF(AND(F803="",G803=""),"",ROW()-6)</f>
      </c>
      <c r="B803" s="140" t="n"/>
      <c r="C803" s="141" t="n"/>
      <c r="D803" s="141" t="n"/>
      <c r="E803" s="142" t="n"/>
      <c r="F803" s="143" t="n"/>
      <c r="G803" s="144" t="n"/>
      <c r="H803" s="145">
        <f>IF(OR(C803="",AND(F803="",G803="")),"",SUMIF(基础资料!$W$5:$W$24,C803,基础资料!$X$5:$X$24)+SUMIF(C$7:C803,C803,F$7:F803)-SUMIF(C$7:C803,C803,G$7:G803))</f>
      </c>
      <c r="I803" s="145">
        <f>IF(AND(F803="",G803=""),"",SUM(基础资料!$X$5:$X$24)+SUM(F$7:F803)-SUM(G$7:G803))</f>
      </c>
      <c r="J803" s="141" t="n"/>
      <c r="K803" s="141" t="n"/>
      <c r="L803" s="141" t="n"/>
      <c r="M803" s="142" t="n"/>
      <c r="N803" s="146">
        <f>IF(AND(AND(F803="",G803=""),B803="",C803="",D803="",J803="",K803="",L803=""),"",IF(AND(F803="",G803=""),"✗ 没填金额",IF(AND(N(F803)&lt;&gt;0,N(G803)&lt;&gt;0),"✗ 收入、支出只能填一边",IF(NOT(ISNUMBER(B803)),"✗ 日期不是真日期（要像 2026/9/25 这样填）",IF(OR(B803&lt;年初日,B803&gt;年末日),"✗ 日期不在本会计年度",IF(C803="","✗ 没选账户",IF(COUNTIF(基础资料!$W$5:$W$24,C803)=0,"✗ 账户不在基础资料里",IF(O803="","✗ 没选收支项目",IF(P803="未知","✗ 收支项目不在基础资料里",IF(AND(P803="应收",J803=""),"✗ 这笔要选客户",IF(AND(P803="应收",COUNTIF(总览汇总!$B$5:$B$304,J803)=0),"✗ 客户不在总览汇总名单里",IF(AND(P803="应付",K803=""),"✗ 这笔要选供应商",IF(AND(P803="应付",COUNTIF(基础资料!$Q$5:$Q$54,K803)=0),"✗ 供应商不在基础资料里",IF(AND(P803="费用",L803=""),"✗ 费用支出要选费用项目",IF(AND(L803&lt;&gt;"",COUNTIF(基础资料!$AI$5:$AI$54,L803)=0),"✗ 费用项目不在基础资料里",IF(AND(IFERROR(INDEX(基础资料!$AD$5:$AD$34,MATCH(O803,基础资料!$AC$5:$AC$34,0)),"")="收",N(G803)&lt;&gt;0),"✗ 这类是收款，金额填到收入列",IF(AND(IFERROR(INDEX(基础资料!$AD$5:$AD$34,MATCH(O803,基础资料!$AC$5:$AC$34,0)),"")="支",N(F803)&lt;&gt;0),"✗ 这类是付款，金额填到支出列",IF(N(H803)&lt;0,"⚠ 账户余额成负数了，核对一下","√"))))))))))))))))))</f>
      </c>
      <c r="O803" s="78">
        <f>IF(D803&lt;&gt;"",D803,IF(AND(F803="",G803=""),"",IF(J803&lt;&gt;"",IF(N(F803)&gt;0,"客户回款","客户退款"),IF(K803&lt;&gt;"",IF(N(G803)&gt;0,"供应商付款","供应商退款"),IF(L803&lt;&gt;"","费用支出","")))))</f>
      </c>
      <c r="P803" s="78">
        <f>IF(O803="","",IFERROR(INDEX(基础资料!$AE$5:$AE$34,MATCH(O803,基础资料!$AC$5:$AC$34,0)),"未知"))</f>
      </c>
      <c r="Q803" s="78">
        <f>IF(P803="应收",COUNTIF(P$7:P803,"应收"),"")</f>
      </c>
      <c r="R803" s="78">
        <f>IF(P803="应付",COUNTIF(P$7:P803,"应付"),"")</f>
      </c>
      <c r="S803" s="78">
        <f>N(F803)-N(G803)</f>
        <v>0</v>
      </c>
    </row>
    <row r="804">
      <c r="A804" s="109">
        <f>IF(AND(F804="",G804=""),"",ROW()-6)</f>
      </c>
      <c r="B804" s="140" t="n"/>
      <c r="C804" s="141" t="n"/>
      <c r="D804" s="141" t="n"/>
      <c r="E804" s="142" t="n"/>
      <c r="F804" s="143" t="n"/>
      <c r="G804" s="144" t="n"/>
      <c r="H804" s="145">
        <f>IF(OR(C804="",AND(F804="",G804="")),"",SUMIF(基础资料!$W$5:$W$24,C804,基础资料!$X$5:$X$24)+SUMIF(C$7:C804,C804,F$7:F804)-SUMIF(C$7:C804,C804,G$7:G804))</f>
      </c>
      <c r="I804" s="145">
        <f>IF(AND(F804="",G804=""),"",SUM(基础资料!$X$5:$X$24)+SUM(F$7:F804)-SUM(G$7:G804))</f>
      </c>
      <c r="J804" s="141" t="n"/>
      <c r="K804" s="141" t="n"/>
      <c r="L804" s="141" t="n"/>
      <c r="M804" s="142" t="n"/>
      <c r="N804" s="146">
        <f>IF(AND(AND(F804="",G804=""),B804="",C804="",D804="",J804="",K804="",L804=""),"",IF(AND(F804="",G804=""),"✗ 没填金额",IF(AND(N(F804)&lt;&gt;0,N(G804)&lt;&gt;0),"✗ 收入、支出只能填一边",IF(NOT(ISNUMBER(B804)),"✗ 日期不是真日期（要像 2026/9/25 这样填）",IF(OR(B804&lt;年初日,B804&gt;年末日),"✗ 日期不在本会计年度",IF(C804="","✗ 没选账户",IF(COUNTIF(基础资料!$W$5:$W$24,C804)=0,"✗ 账户不在基础资料里",IF(O804="","✗ 没选收支项目",IF(P804="未知","✗ 收支项目不在基础资料里",IF(AND(P804="应收",J804=""),"✗ 这笔要选客户",IF(AND(P804="应收",COUNTIF(总览汇总!$B$5:$B$304,J804)=0),"✗ 客户不在总览汇总名单里",IF(AND(P804="应付",K804=""),"✗ 这笔要选供应商",IF(AND(P804="应付",COUNTIF(基础资料!$Q$5:$Q$54,K804)=0),"✗ 供应商不在基础资料里",IF(AND(P804="费用",L804=""),"✗ 费用支出要选费用项目",IF(AND(L804&lt;&gt;"",COUNTIF(基础资料!$AI$5:$AI$54,L804)=0),"✗ 费用项目不在基础资料里",IF(AND(IFERROR(INDEX(基础资料!$AD$5:$AD$34,MATCH(O804,基础资料!$AC$5:$AC$34,0)),"")="收",N(G804)&lt;&gt;0),"✗ 这类是收款，金额填到收入列",IF(AND(IFERROR(INDEX(基础资料!$AD$5:$AD$34,MATCH(O804,基础资料!$AC$5:$AC$34,0)),"")="支",N(F804)&lt;&gt;0),"✗ 这类是付款，金额填到支出列",IF(N(H804)&lt;0,"⚠ 账户余额成负数了，核对一下","√"))))))))))))))))))</f>
      </c>
      <c r="O804" s="78">
        <f>IF(D804&lt;&gt;"",D804,IF(AND(F804="",G804=""),"",IF(J804&lt;&gt;"",IF(N(F804)&gt;0,"客户回款","客户退款"),IF(K804&lt;&gt;"",IF(N(G804)&gt;0,"供应商付款","供应商退款"),IF(L804&lt;&gt;"","费用支出","")))))</f>
      </c>
      <c r="P804" s="78">
        <f>IF(O804="","",IFERROR(INDEX(基础资料!$AE$5:$AE$34,MATCH(O804,基础资料!$AC$5:$AC$34,0)),"未知"))</f>
      </c>
      <c r="Q804" s="78">
        <f>IF(P804="应收",COUNTIF(P$7:P804,"应收"),"")</f>
      </c>
      <c r="R804" s="78">
        <f>IF(P804="应付",COUNTIF(P$7:P804,"应付"),"")</f>
      </c>
      <c r="S804" s="78">
        <f>N(F804)-N(G804)</f>
        <v>0</v>
      </c>
    </row>
    <row r="805">
      <c r="A805" s="109">
        <f>IF(AND(F805="",G805=""),"",ROW()-6)</f>
      </c>
      <c r="B805" s="140" t="n"/>
      <c r="C805" s="141" t="n"/>
      <c r="D805" s="141" t="n"/>
      <c r="E805" s="142" t="n"/>
      <c r="F805" s="143" t="n"/>
      <c r="G805" s="144" t="n"/>
      <c r="H805" s="145">
        <f>IF(OR(C805="",AND(F805="",G805="")),"",SUMIF(基础资料!$W$5:$W$24,C805,基础资料!$X$5:$X$24)+SUMIF(C$7:C805,C805,F$7:F805)-SUMIF(C$7:C805,C805,G$7:G805))</f>
      </c>
      <c r="I805" s="145">
        <f>IF(AND(F805="",G805=""),"",SUM(基础资料!$X$5:$X$24)+SUM(F$7:F805)-SUM(G$7:G805))</f>
      </c>
      <c r="J805" s="141" t="n"/>
      <c r="K805" s="141" t="n"/>
      <c r="L805" s="141" t="n"/>
      <c r="M805" s="142" t="n"/>
      <c r="N805" s="146">
        <f>IF(AND(AND(F805="",G805=""),B805="",C805="",D805="",J805="",K805="",L805=""),"",IF(AND(F805="",G805=""),"✗ 没填金额",IF(AND(N(F805)&lt;&gt;0,N(G805)&lt;&gt;0),"✗ 收入、支出只能填一边",IF(NOT(ISNUMBER(B805)),"✗ 日期不是真日期（要像 2026/9/25 这样填）",IF(OR(B805&lt;年初日,B805&gt;年末日),"✗ 日期不在本会计年度",IF(C805="","✗ 没选账户",IF(COUNTIF(基础资料!$W$5:$W$24,C805)=0,"✗ 账户不在基础资料里",IF(O805="","✗ 没选收支项目",IF(P805="未知","✗ 收支项目不在基础资料里",IF(AND(P805="应收",J805=""),"✗ 这笔要选客户",IF(AND(P805="应收",COUNTIF(总览汇总!$B$5:$B$304,J805)=0),"✗ 客户不在总览汇总名单里",IF(AND(P805="应付",K805=""),"✗ 这笔要选供应商",IF(AND(P805="应付",COUNTIF(基础资料!$Q$5:$Q$54,K805)=0),"✗ 供应商不在基础资料里",IF(AND(P805="费用",L805=""),"✗ 费用支出要选费用项目",IF(AND(L805&lt;&gt;"",COUNTIF(基础资料!$AI$5:$AI$54,L805)=0),"✗ 费用项目不在基础资料里",IF(AND(IFERROR(INDEX(基础资料!$AD$5:$AD$34,MATCH(O805,基础资料!$AC$5:$AC$34,0)),"")="收",N(G805)&lt;&gt;0),"✗ 这类是收款，金额填到收入列",IF(AND(IFERROR(INDEX(基础资料!$AD$5:$AD$34,MATCH(O805,基础资料!$AC$5:$AC$34,0)),"")="支",N(F805)&lt;&gt;0),"✗ 这类是付款，金额填到支出列",IF(N(H805)&lt;0,"⚠ 账户余额成负数了，核对一下","√"))))))))))))))))))</f>
      </c>
      <c r="O805" s="78">
        <f>IF(D805&lt;&gt;"",D805,IF(AND(F805="",G805=""),"",IF(J805&lt;&gt;"",IF(N(F805)&gt;0,"客户回款","客户退款"),IF(K805&lt;&gt;"",IF(N(G805)&gt;0,"供应商付款","供应商退款"),IF(L805&lt;&gt;"","费用支出","")))))</f>
      </c>
      <c r="P805" s="78">
        <f>IF(O805="","",IFERROR(INDEX(基础资料!$AE$5:$AE$34,MATCH(O805,基础资料!$AC$5:$AC$34,0)),"未知"))</f>
      </c>
      <c r="Q805" s="78">
        <f>IF(P805="应收",COUNTIF(P$7:P805,"应收"),"")</f>
      </c>
      <c r="R805" s="78">
        <f>IF(P805="应付",COUNTIF(P$7:P805,"应付"),"")</f>
      </c>
      <c r="S805" s="78">
        <f>N(F805)-N(G805)</f>
        <v>0</v>
      </c>
    </row>
    <row r="806">
      <c r="A806" s="109">
        <f>IF(AND(F806="",G806=""),"",ROW()-6)</f>
      </c>
      <c r="B806" s="140" t="n"/>
      <c r="C806" s="141" t="n"/>
      <c r="D806" s="141" t="n"/>
      <c r="E806" s="142" t="n"/>
      <c r="F806" s="143" t="n"/>
      <c r="G806" s="144" t="n"/>
      <c r="H806" s="145">
        <f>IF(OR(C806="",AND(F806="",G806="")),"",SUMIF(基础资料!$W$5:$W$24,C806,基础资料!$X$5:$X$24)+SUMIF(C$7:C806,C806,F$7:F806)-SUMIF(C$7:C806,C806,G$7:G806))</f>
      </c>
      <c r="I806" s="145">
        <f>IF(AND(F806="",G806=""),"",SUM(基础资料!$X$5:$X$24)+SUM(F$7:F806)-SUM(G$7:G806))</f>
      </c>
      <c r="J806" s="141" t="n"/>
      <c r="K806" s="141" t="n"/>
      <c r="L806" s="141" t="n"/>
      <c r="M806" s="142" t="n"/>
      <c r="N806" s="146">
        <f>IF(AND(AND(F806="",G806=""),B806="",C806="",D806="",J806="",K806="",L806=""),"",IF(AND(F806="",G806=""),"✗ 没填金额",IF(AND(N(F806)&lt;&gt;0,N(G806)&lt;&gt;0),"✗ 收入、支出只能填一边",IF(NOT(ISNUMBER(B806)),"✗ 日期不是真日期（要像 2026/9/25 这样填）",IF(OR(B806&lt;年初日,B806&gt;年末日),"✗ 日期不在本会计年度",IF(C806="","✗ 没选账户",IF(COUNTIF(基础资料!$W$5:$W$24,C806)=0,"✗ 账户不在基础资料里",IF(O806="","✗ 没选收支项目",IF(P806="未知","✗ 收支项目不在基础资料里",IF(AND(P806="应收",J806=""),"✗ 这笔要选客户",IF(AND(P806="应收",COUNTIF(总览汇总!$B$5:$B$304,J806)=0),"✗ 客户不在总览汇总名单里",IF(AND(P806="应付",K806=""),"✗ 这笔要选供应商",IF(AND(P806="应付",COUNTIF(基础资料!$Q$5:$Q$54,K806)=0),"✗ 供应商不在基础资料里",IF(AND(P806="费用",L806=""),"✗ 费用支出要选费用项目",IF(AND(L806&lt;&gt;"",COUNTIF(基础资料!$AI$5:$AI$54,L806)=0),"✗ 费用项目不在基础资料里",IF(AND(IFERROR(INDEX(基础资料!$AD$5:$AD$34,MATCH(O806,基础资料!$AC$5:$AC$34,0)),"")="收",N(G806)&lt;&gt;0),"✗ 这类是收款，金额填到收入列",IF(AND(IFERROR(INDEX(基础资料!$AD$5:$AD$34,MATCH(O806,基础资料!$AC$5:$AC$34,0)),"")="支",N(F806)&lt;&gt;0),"✗ 这类是付款，金额填到支出列",IF(N(H806)&lt;0,"⚠ 账户余额成负数了，核对一下","√"))))))))))))))))))</f>
      </c>
      <c r="O806" s="78">
        <f>IF(D806&lt;&gt;"",D806,IF(AND(F806="",G806=""),"",IF(J806&lt;&gt;"",IF(N(F806)&gt;0,"客户回款","客户退款"),IF(K806&lt;&gt;"",IF(N(G806)&gt;0,"供应商付款","供应商退款"),IF(L806&lt;&gt;"","费用支出","")))))</f>
      </c>
      <c r="P806" s="78">
        <f>IF(O806="","",IFERROR(INDEX(基础资料!$AE$5:$AE$34,MATCH(O806,基础资料!$AC$5:$AC$34,0)),"未知"))</f>
      </c>
      <c r="Q806" s="78">
        <f>IF(P806="应收",COUNTIF(P$7:P806,"应收"),"")</f>
      </c>
      <c r="R806" s="78">
        <f>IF(P806="应付",COUNTIF(P$7:P806,"应付"),"")</f>
      </c>
      <c r="S806" s="78">
        <f>N(F806)-N(G806)</f>
        <v>0</v>
      </c>
    </row>
    <row r="807">
      <c r="A807" s="109">
        <f>IF(AND(F807="",G807=""),"",ROW()-6)</f>
      </c>
      <c r="B807" s="140" t="n"/>
      <c r="C807" s="141" t="n"/>
      <c r="D807" s="141" t="n"/>
      <c r="E807" s="142" t="n"/>
      <c r="F807" s="143" t="n"/>
      <c r="G807" s="144" t="n"/>
      <c r="H807" s="145">
        <f>IF(OR(C807="",AND(F807="",G807="")),"",SUMIF(基础资料!$W$5:$W$24,C807,基础资料!$X$5:$X$24)+SUMIF(C$7:C807,C807,F$7:F807)-SUMIF(C$7:C807,C807,G$7:G807))</f>
      </c>
      <c r="I807" s="145">
        <f>IF(AND(F807="",G807=""),"",SUM(基础资料!$X$5:$X$24)+SUM(F$7:F807)-SUM(G$7:G807))</f>
      </c>
      <c r="J807" s="141" t="n"/>
      <c r="K807" s="141" t="n"/>
      <c r="L807" s="141" t="n"/>
      <c r="M807" s="142" t="n"/>
      <c r="N807" s="146">
        <f>IF(AND(AND(F807="",G807=""),B807="",C807="",D807="",J807="",K807="",L807=""),"",IF(AND(F807="",G807=""),"✗ 没填金额",IF(AND(N(F807)&lt;&gt;0,N(G807)&lt;&gt;0),"✗ 收入、支出只能填一边",IF(NOT(ISNUMBER(B807)),"✗ 日期不是真日期（要像 2026/9/25 这样填）",IF(OR(B807&lt;年初日,B807&gt;年末日),"✗ 日期不在本会计年度",IF(C807="","✗ 没选账户",IF(COUNTIF(基础资料!$W$5:$W$24,C807)=0,"✗ 账户不在基础资料里",IF(O807="","✗ 没选收支项目",IF(P807="未知","✗ 收支项目不在基础资料里",IF(AND(P807="应收",J807=""),"✗ 这笔要选客户",IF(AND(P807="应收",COUNTIF(总览汇总!$B$5:$B$304,J807)=0),"✗ 客户不在总览汇总名单里",IF(AND(P807="应付",K807=""),"✗ 这笔要选供应商",IF(AND(P807="应付",COUNTIF(基础资料!$Q$5:$Q$54,K807)=0),"✗ 供应商不在基础资料里",IF(AND(P807="费用",L807=""),"✗ 费用支出要选费用项目",IF(AND(L807&lt;&gt;"",COUNTIF(基础资料!$AI$5:$AI$54,L807)=0),"✗ 费用项目不在基础资料里",IF(AND(IFERROR(INDEX(基础资料!$AD$5:$AD$34,MATCH(O807,基础资料!$AC$5:$AC$34,0)),"")="收",N(G807)&lt;&gt;0),"✗ 这类是收款，金额填到收入列",IF(AND(IFERROR(INDEX(基础资料!$AD$5:$AD$34,MATCH(O807,基础资料!$AC$5:$AC$34,0)),"")="支",N(F807)&lt;&gt;0),"✗ 这类是付款，金额填到支出列",IF(N(H807)&lt;0,"⚠ 账户余额成负数了，核对一下","√"))))))))))))))))))</f>
      </c>
      <c r="O807" s="78">
        <f>IF(D807&lt;&gt;"",D807,IF(AND(F807="",G807=""),"",IF(J807&lt;&gt;"",IF(N(F807)&gt;0,"客户回款","客户退款"),IF(K807&lt;&gt;"",IF(N(G807)&gt;0,"供应商付款","供应商退款"),IF(L807&lt;&gt;"","费用支出","")))))</f>
      </c>
      <c r="P807" s="78">
        <f>IF(O807="","",IFERROR(INDEX(基础资料!$AE$5:$AE$34,MATCH(O807,基础资料!$AC$5:$AC$34,0)),"未知"))</f>
      </c>
      <c r="Q807" s="78">
        <f>IF(P807="应收",COUNTIF(P$7:P807,"应收"),"")</f>
      </c>
      <c r="R807" s="78">
        <f>IF(P807="应付",COUNTIF(P$7:P807,"应付"),"")</f>
      </c>
      <c r="S807" s="78">
        <f>N(F807)-N(G807)</f>
        <v>0</v>
      </c>
    </row>
    <row r="808">
      <c r="A808" s="109">
        <f>IF(AND(F808="",G808=""),"",ROW()-6)</f>
      </c>
      <c r="B808" s="140" t="n"/>
      <c r="C808" s="141" t="n"/>
      <c r="D808" s="141" t="n"/>
      <c r="E808" s="142" t="n"/>
      <c r="F808" s="143" t="n"/>
      <c r="G808" s="144" t="n"/>
      <c r="H808" s="145">
        <f>IF(OR(C808="",AND(F808="",G808="")),"",SUMIF(基础资料!$W$5:$W$24,C808,基础资料!$X$5:$X$24)+SUMIF(C$7:C808,C808,F$7:F808)-SUMIF(C$7:C808,C808,G$7:G808))</f>
      </c>
      <c r="I808" s="145">
        <f>IF(AND(F808="",G808=""),"",SUM(基础资料!$X$5:$X$24)+SUM(F$7:F808)-SUM(G$7:G808))</f>
      </c>
      <c r="J808" s="141" t="n"/>
      <c r="K808" s="141" t="n"/>
      <c r="L808" s="141" t="n"/>
      <c r="M808" s="142" t="n"/>
      <c r="N808" s="146">
        <f>IF(AND(AND(F808="",G808=""),B808="",C808="",D808="",J808="",K808="",L808=""),"",IF(AND(F808="",G808=""),"✗ 没填金额",IF(AND(N(F808)&lt;&gt;0,N(G808)&lt;&gt;0),"✗ 收入、支出只能填一边",IF(NOT(ISNUMBER(B808)),"✗ 日期不是真日期（要像 2026/9/25 这样填）",IF(OR(B808&lt;年初日,B808&gt;年末日),"✗ 日期不在本会计年度",IF(C808="","✗ 没选账户",IF(COUNTIF(基础资料!$W$5:$W$24,C808)=0,"✗ 账户不在基础资料里",IF(O808="","✗ 没选收支项目",IF(P808="未知","✗ 收支项目不在基础资料里",IF(AND(P808="应收",J808=""),"✗ 这笔要选客户",IF(AND(P808="应收",COUNTIF(总览汇总!$B$5:$B$304,J808)=0),"✗ 客户不在总览汇总名单里",IF(AND(P808="应付",K808=""),"✗ 这笔要选供应商",IF(AND(P808="应付",COUNTIF(基础资料!$Q$5:$Q$54,K808)=0),"✗ 供应商不在基础资料里",IF(AND(P808="费用",L808=""),"✗ 费用支出要选费用项目",IF(AND(L808&lt;&gt;"",COUNTIF(基础资料!$AI$5:$AI$54,L808)=0),"✗ 费用项目不在基础资料里",IF(AND(IFERROR(INDEX(基础资料!$AD$5:$AD$34,MATCH(O808,基础资料!$AC$5:$AC$34,0)),"")="收",N(G808)&lt;&gt;0),"✗ 这类是收款，金额填到收入列",IF(AND(IFERROR(INDEX(基础资料!$AD$5:$AD$34,MATCH(O808,基础资料!$AC$5:$AC$34,0)),"")="支",N(F808)&lt;&gt;0),"✗ 这类是付款，金额填到支出列",IF(N(H808)&lt;0,"⚠ 账户余额成负数了，核对一下","√"))))))))))))))))))</f>
      </c>
      <c r="O808" s="78">
        <f>IF(D808&lt;&gt;"",D808,IF(AND(F808="",G808=""),"",IF(J808&lt;&gt;"",IF(N(F808)&gt;0,"客户回款","客户退款"),IF(K808&lt;&gt;"",IF(N(G808)&gt;0,"供应商付款","供应商退款"),IF(L808&lt;&gt;"","费用支出","")))))</f>
      </c>
      <c r="P808" s="78">
        <f>IF(O808="","",IFERROR(INDEX(基础资料!$AE$5:$AE$34,MATCH(O808,基础资料!$AC$5:$AC$34,0)),"未知"))</f>
      </c>
      <c r="Q808" s="78">
        <f>IF(P808="应收",COUNTIF(P$7:P808,"应收"),"")</f>
      </c>
      <c r="R808" s="78">
        <f>IF(P808="应付",COUNTIF(P$7:P808,"应付"),"")</f>
      </c>
      <c r="S808" s="78">
        <f>N(F808)-N(G808)</f>
        <v>0</v>
      </c>
    </row>
    <row r="809">
      <c r="A809" s="109">
        <f>IF(AND(F809="",G809=""),"",ROW()-6)</f>
      </c>
      <c r="B809" s="140" t="n"/>
      <c r="C809" s="141" t="n"/>
      <c r="D809" s="141" t="n"/>
      <c r="E809" s="142" t="n"/>
      <c r="F809" s="143" t="n"/>
      <c r="G809" s="144" t="n"/>
      <c r="H809" s="145">
        <f>IF(OR(C809="",AND(F809="",G809="")),"",SUMIF(基础资料!$W$5:$W$24,C809,基础资料!$X$5:$X$24)+SUMIF(C$7:C809,C809,F$7:F809)-SUMIF(C$7:C809,C809,G$7:G809))</f>
      </c>
      <c r="I809" s="145">
        <f>IF(AND(F809="",G809=""),"",SUM(基础资料!$X$5:$X$24)+SUM(F$7:F809)-SUM(G$7:G809))</f>
      </c>
      <c r="J809" s="141" t="n"/>
      <c r="K809" s="141" t="n"/>
      <c r="L809" s="141" t="n"/>
      <c r="M809" s="142" t="n"/>
      <c r="N809" s="146">
        <f>IF(AND(AND(F809="",G809=""),B809="",C809="",D809="",J809="",K809="",L809=""),"",IF(AND(F809="",G809=""),"✗ 没填金额",IF(AND(N(F809)&lt;&gt;0,N(G809)&lt;&gt;0),"✗ 收入、支出只能填一边",IF(NOT(ISNUMBER(B809)),"✗ 日期不是真日期（要像 2026/9/25 这样填）",IF(OR(B809&lt;年初日,B809&gt;年末日),"✗ 日期不在本会计年度",IF(C809="","✗ 没选账户",IF(COUNTIF(基础资料!$W$5:$W$24,C809)=0,"✗ 账户不在基础资料里",IF(O809="","✗ 没选收支项目",IF(P809="未知","✗ 收支项目不在基础资料里",IF(AND(P809="应收",J809=""),"✗ 这笔要选客户",IF(AND(P809="应收",COUNTIF(总览汇总!$B$5:$B$304,J809)=0),"✗ 客户不在总览汇总名单里",IF(AND(P809="应付",K809=""),"✗ 这笔要选供应商",IF(AND(P809="应付",COUNTIF(基础资料!$Q$5:$Q$54,K809)=0),"✗ 供应商不在基础资料里",IF(AND(P809="费用",L809=""),"✗ 费用支出要选费用项目",IF(AND(L809&lt;&gt;"",COUNTIF(基础资料!$AI$5:$AI$54,L809)=0),"✗ 费用项目不在基础资料里",IF(AND(IFERROR(INDEX(基础资料!$AD$5:$AD$34,MATCH(O809,基础资料!$AC$5:$AC$34,0)),"")="收",N(G809)&lt;&gt;0),"✗ 这类是收款，金额填到收入列",IF(AND(IFERROR(INDEX(基础资料!$AD$5:$AD$34,MATCH(O809,基础资料!$AC$5:$AC$34,0)),"")="支",N(F809)&lt;&gt;0),"✗ 这类是付款，金额填到支出列",IF(N(H809)&lt;0,"⚠ 账户余额成负数了，核对一下","√"))))))))))))))))))</f>
      </c>
      <c r="O809" s="78">
        <f>IF(D809&lt;&gt;"",D809,IF(AND(F809="",G809=""),"",IF(J809&lt;&gt;"",IF(N(F809)&gt;0,"客户回款","客户退款"),IF(K809&lt;&gt;"",IF(N(G809)&gt;0,"供应商付款","供应商退款"),IF(L809&lt;&gt;"","费用支出","")))))</f>
      </c>
      <c r="P809" s="78">
        <f>IF(O809="","",IFERROR(INDEX(基础资料!$AE$5:$AE$34,MATCH(O809,基础资料!$AC$5:$AC$34,0)),"未知"))</f>
      </c>
      <c r="Q809" s="78">
        <f>IF(P809="应收",COUNTIF(P$7:P809,"应收"),"")</f>
      </c>
      <c r="R809" s="78">
        <f>IF(P809="应付",COUNTIF(P$7:P809,"应付"),"")</f>
      </c>
      <c r="S809" s="78">
        <f>N(F809)-N(G809)</f>
        <v>0</v>
      </c>
    </row>
    <row r="810">
      <c r="A810" s="109">
        <f>IF(AND(F810="",G810=""),"",ROW()-6)</f>
      </c>
      <c r="B810" s="140" t="n"/>
      <c r="C810" s="141" t="n"/>
      <c r="D810" s="141" t="n"/>
      <c r="E810" s="142" t="n"/>
      <c r="F810" s="143" t="n"/>
      <c r="G810" s="144" t="n"/>
      <c r="H810" s="145">
        <f>IF(OR(C810="",AND(F810="",G810="")),"",SUMIF(基础资料!$W$5:$W$24,C810,基础资料!$X$5:$X$24)+SUMIF(C$7:C810,C810,F$7:F810)-SUMIF(C$7:C810,C810,G$7:G810))</f>
      </c>
      <c r="I810" s="145">
        <f>IF(AND(F810="",G810=""),"",SUM(基础资料!$X$5:$X$24)+SUM(F$7:F810)-SUM(G$7:G810))</f>
      </c>
      <c r="J810" s="141" t="n"/>
      <c r="K810" s="141" t="n"/>
      <c r="L810" s="141" t="n"/>
      <c r="M810" s="142" t="n"/>
      <c r="N810" s="146">
        <f>IF(AND(AND(F810="",G810=""),B810="",C810="",D810="",J810="",K810="",L810=""),"",IF(AND(F810="",G810=""),"✗ 没填金额",IF(AND(N(F810)&lt;&gt;0,N(G810)&lt;&gt;0),"✗ 收入、支出只能填一边",IF(NOT(ISNUMBER(B810)),"✗ 日期不是真日期（要像 2026/9/25 这样填）",IF(OR(B810&lt;年初日,B810&gt;年末日),"✗ 日期不在本会计年度",IF(C810="","✗ 没选账户",IF(COUNTIF(基础资料!$W$5:$W$24,C810)=0,"✗ 账户不在基础资料里",IF(O810="","✗ 没选收支项目",IF(P810="未知","✗ 收支项目不在基础资料里",IF(AND(P810="应收",J810=""),"✗ 这笔要选客户",IF(AND(P810="应收",COUNTIF(总览汇总!$B$5:$B$304,J810)=0),"✗ 客户不在总览汇总名单里",IF(AND(P810="应付",K810=""),"✗ 这笔要选供应商",IF(AND(P810="应付",COUNTIF(基础资料!$Q$5:$Q$54,K810)=0),"✗ 供应商不在基础资料里",IF(AND(P810="费用",L810=""),"✗ 费用支出要选费用项目",IF(AND(L810&lt;&gt;"",COUNTIF(基础资料!$AI$5:$AI$54,L810)=0),"✗ 费用项目不在基础资料里",IF(AND(IFERROR(INDEX(基础资料!$AD$5:$AD$34,MATCH(O810,基础资料!$AC$5:$AC$34,0)),"")="收",N(G810)&lt;&gt;0),"✗ 这类是收款，金额填到收入列",IF(AND(IFERROR(INDEX(基础资料!$AD$5:$AD$34,MATCH(O810,基础资料!$AC$5:$AC$34,0)),"")="支",N(F810)&lt;&gt;0),"✗ 这类是付款，金额填到支出列",IF(N(H810)&lt;0,"⚠ 账户余额成负数了，核对一下","√"))))))))))))))))))</f>
      </c>
      <c r="O810" s="78">
        <f>IF(D810&lt;&gt;"",D810,IF(AND(F810="",G810=""),"",IF(J810&lt;&gt;"",IF(N(F810)&gt;0,"客户回款","客户退款"),IF(K810&lt;&gt;"",IF(N(G810)&gt;0,"供应商付款","供应商退款"),IF(L810&lt;&gt;"","费用支出","")))))</f>
      </c>
      <c r="P810" s="78">
        <f>IF(O810="","",IFERROR(INDEX(基础资料!$AE$5:$AE$34,MATCH(O810,基础资料!$AC$5:$AC$34,0)),"未知"))</f>
      </c>
      <c r="Q810" s="78">
        <f>IF(P810="应收",COUNTIF(P$7:P810,"应收"),"")</f>
      </c>
      <c r="R810" s="78">
        <f>IF(P810="应付",COUNTIF(P$7:P810,"应付"),"")</f>
      </c>
      <c r="S810" s="78">
        <f>N(F810)-N(G810)</f>
        <v>0</v>
      </c>
    </row>
    <row r="811">
      <c r="A811" s="109">
        <f>IF(AND(F811="",G811=""),"",ROW()-6)</f>
      </c>
      <c r="B811" s="140" t="n"/>
      <c r="C811" s="141" t="n"/>
      <c r="D811" s="141" t="n"/>
      <c r="E811" s="142" t="n"/>
      <c r="F811" s="143" t="n"/>
      <c r="G811" s="144" t="n"/>
      <c r="H811" s="145">
        <f>IF(OR(C811="",AND(F811="",G811="")),"",SUMIF(基础资料!$W$5:$W$24,C811,基础资料!$X$5:$X$24)+SUMIF(C$7:C811,C811,F$7:F811)-SUMIF(C$7:C811,C811,G$7:G811))</f>
      </c>
      <c r="I811" s="145">
        <f>IF(AND(F811="",G811=""),"",SUM(基础资料!$X$5:$X$24)+SUM(F$7:F811)-SUM(G$7:G811))</f>
      </c>
      <c r="J811" s="141" t="n"/>
      <c r="K811" s="141" t="n"/>
      <c r="L811" s="141" t="n"/>
      <c r="M811" s="142" t="n"/>
      <c r="N811" s="146">
        <f>IF(AND(AND(F811="",G811=""),B811="",C811="",D811="",J811="",K811="",L811=""),"",IF(AND(F811="",G811=""),"✗ 没填金额",IF(AND(N(F811)&lt;&gt;0,N(G811)&lt;&gt;0),"✗ 收入、支出只能填一边",IF(NOT(ISNUMBER(B811)),"✗ 日期不是真日期（要像 2026/9/25 这样填）",IF(OR(B811&lt;年初日,B811&gt;年末日),"✗ 日期不在本会计年度",IF(C811="","✗ 没选账户",IF(COUNTIF(基础资料!$W$5:$W$24,C811)=0,"✗ 账户不在基础资料里",IF(O811="","✗ 没选收支项目",IF(P811="未知","✗ 收支项目不在基础资料里",IF(AND(P811="应收",J811=""),"✗ 这笔要选客户",IF(AND(P811="应收",COUNTIF(总览汇总!$B$5:$B$304,J811)=0),"✗ 客户不在总览汇总名单里",IF(AND(P811="应付",K811=""),"✗ 这笔要选供应商",IF(AND(P811="应付",COUNTIF(基础资料!$Q$5:$Q$54,K811)=0),"✗ 供应商不在基础资料里",IF(AND(P811="费用",L811=""),"✗ 费用支出要选费用项目",IF(AND(L811&lt;&gt;"",COUNTIF(基础资料!$AI$5:$AI$54,L811)=0),"✗ 费用项目不在基础资料里",IF(AND(IFERROR(INDEX(基础资料!$AD$5:$AD$34,MATCH(O811,基础资料!$AC$5:$AC$34,0)),"")="收",N(G811)&lt;&gt;0),"✗ 这类是收款，金额填到收入列",IF(AND(IFERROR(INDEX(基础资料!$AD$5:$AD$34,MATCH(O811,基础资料!$AC$5:$AC$34,0)),"")="支",N(F811)&lt;&gt;0),"✗ 这类是付款，金额填到支出列",IF(N(H811)&lt;0,"⚠ 账户余额成负数了，核对一下","√"))))))))))))))))))</f>
      </c>
      <c r="O811" s="78">
        <f>IF(D811&lt;&gt;"",D811,IF(AND(F811="",G811=""),"",IF(J811&lt;&gt;"",IF(N(F811)&gt;0,"客户回款","客户退款"),IF(K811&lt;&gt;"",IF(N(G811)&gt;0,"供应商付款","供应商退款"),IF(L811&lt;&gt;"","费用支出","")))))</f>
      </c>
      <c r="P811" s="78">
        <f>IF(O811="","",IFERROR(INDEX(基础资料!$AE$5:$AE$34,MATCH(O811,基础资料!$AC$5:$AC$34,0)),"未知"))</f>
      </c>
      <c r="Q811" s="78">
        <f>IF(P811="应收",COUNTIF(P$7:P811,"应收"),"")</f>
      </c>
      <c r="R811" s="78">
        <f>IF(P811="应付",COUNTIF(P$7:P811,"应付"),"")</f>
      </c>
      <c r="S811" s="78">
        <f>N(F811)-N(G811)</f>
        <v>0</v>
      </c>
    </row>
    <row r="812">
      <c r="A812" s="109">
        <f>IF(AND(F812="",G812=""),"",ROW()-6)</f>
      </c>
      <c r="B812" s="140" t="n"/>
      <c r="C812" s="141" t="n"/>
      <c r="D812" s="141" t="n"/>
      <c r="E812" s="142" t="n"/>
      <c r="F812" s="143" t="n"/>
      <c r="G812" s="144" t="n"/>
      <c r="H812" s="145">
        <f>IF(OR(C812="",AND(F812="",G812="")),"",SUMIF(基础资料!$W$5:$W$24,C812,基础资料!$X$5:$X$24)+SUMIF(C$7:C812,C812,F$7:F812)-SUMIF(C$7:C812,C812,G$7:G812))</f>
      </c>
      <c r="I812" s="145">
        <f>IF(AND(F812="",G812=""),"",SUM(基础资料!$X$5:$X$24)+SUM(F$7:F812)-SUM(G$7:G812))</f>
      </c>
      <c r="J812" s="141" t="n"/>
      <c r="K812" s="141" t="n"/>
      <c r="L812" s="141" t="n"/>
      <c r="M812" s="142" t="n"/>
      <c r="N812" s="146">
        <f>IF(AND(AND(F812="",G812=""),B812="",C812="",D812="",J812="",K812="",L812=""),"",IF(AND(F812="",G812=""),"✗ 没填金额",IF(AND(N(F812)&lt;&gt;0,N(G812)&lt;&gt;0),"✗ 收入、支出只能填一边",IF(NOT(ISNUMBER(B812)),"✗ 日期不是真日期（要像 2026/9/25 这样填）",IF(OR(B812&lt;年初日,B812&gt;年末日),"✗ 日期不在本会计年度",IF(C812="","✗ 没选账户",IF(COUNTIF(基础资料!$W$5:$W$24,C812)=0,"✗ 账户不在基础资料里",IF(O812="","✗ 没选收支项目",IF(P812="未知","✗ 收支项目不在基础资料里",IF(AND(P812="应收",J812=""),"✗ 这笔要选客户",IF(AND(P812="应收",COUNTIF(总览汇总!$B$5:$B$304,J812)=0),"✗ 客户不在总览汇总名单里",IF(AND(P812="应付",K812=""),"✗ 这笔要选供应商",IF(AND(P812="应付",COUNTIF(基础资料!$Q$5:$Q$54,K812)=0),"✗ 供应商不在基础资料里",IF(AND(P812="费用",L812=""),"✗ 费用支出要选费用项目",IF(AND(L812&lt;&gt;"",COUNTIF(基础资料!$AI$5:$AI$54,L812)=0),"✗ 费用项目不在基础资料里",IF(AND(IFERROR(INDEX(基础资料!$AD$5:$AD$34,MATCH(O812,基础资料!$AC$5:$AC$34,0)),"")="收",N(G812)&lt;&gt;0),"✗ 这类是收款，金额填到收入列",IF(AND(IFERROR(INDEX(基础资料!$AD$5:$AD$34,MATCH(O812,基础资料!$AC$5:$AC$34,0)),"")="支",N(F812)&lt;&gt;0),"✗ 这类是付款，金额填到支出列",IF(N(H812)&lt;0,"⚠ 账户余额成负数了，核对一下","√"))))))))))))))))))</f>
      </c>
      <c r="O812" s="78">
        <f>IF(D812&lt;&gt;"",D812,IF(AND(F812="",G812=""),"",IF(J812&lt;&gt;"",IF(N(F812)&gt;0,"客户回款","客户退款"),IF(K812&lt;&gt;"",IF(N(G812)&gt;0,"供应商付款","供应商退款"),IF(L812&lt;&gt;"","费用支出","")))))</f>
      </c>
      <c r="P812" s="78">
        <f>IF(O812="","",IFERROR(INDEX(基础资料!$AE$5:$AE$34,MATCH(O812,基础资料!$AC$5:$AC$34,0)),"未知"))</f>
      </c>
      <c r="Q812" s="78">
        <f>IF(P812="应收",COUNTIF(P$7:P812,"应收"),"")</f>
      </c>
      <c r="R812" s="78">
        <f>IF(P812="应付",COUNTIF(P$7:P812,"应付"),"")</f>
      </c>
      <c r="S812" s="78">
        <f>N(F812)-N(G812)</f>
        <v>0</v>
      </c>
    </row>
    <row r="813">
      <c r="A813" s="109">
        <f>IF(AND(F813="",G813=""),"",ROW()-6)</f>
      </c>
      <c r="B813" s="140" t="n"/>
      <c r="C813" s="141" t="n"/>
      <c r="D813" s="141" t="n"/>
      <c r="E813" s="142" t="n"/>
      <c r="F813" s="143" t="n"/>
      <c r="G813" s="144" t="n"/>
      <c r="H813" s="145">
        <f>IF(OR(C813="",AND(F813="",G813="")),"",SUMIF(基础资料!$W$5:$W$24,C813,基础资料!$X$5:$X$24)+SUMIF(C$7:C813,C813,F$7:F813)-SUMIF(C$7:C813,C813,G$7:G813))</f>
      </c>
      <c r="I813" s="145">
        <f>IF(AND(F813="",G813=""),"",SUM(基础资料!$X$5:$X$24)+SUM(F$7:F813)-SUM(G$7:G813))</f>
      </c>
      <c r="J813" s="141" t="n"/>
      <c r="K813" s="141" t="n"/>
      <c r="L813" s="141" t="n"/>
      <c r="M813" s="142" t="n"/>
      <c r="N813" s="146">
        <f>IF(AND(AND(F813="",G813=""),B813="",C813="",D813="",J813="",K813="",L813=""),"",IF(AND(F813="",G813=""),"✗ 没填金额",IF(AND(N(F813)&lt;&gt;0,N(G813)&lt;&gt;0),"✗ 收入、支出只能填一边",IF(NOT(ISNUMBER(B813)),"✗ 日期不是真日期（要像 2026/9/25 这样填）",IF(OR(B813&lt;年初日,B813&gt;年末日),"✗ 日期不在本会计年度",IF(C813="","✗ 没选账户",IF(COUNTIF(基础资料!$W$5:$W$24,C813)=0,"✗ 账户不在基础资料里",IF(O813="","✗ 没选收支项目",IF(P813="未知","✗ 收支项目不在基础资料里",IF(AND(P813="应收",J813=""),"✗ 这笔要选客户",IF(AND(P813="应收",COUNTIF(总览汇总!$B$5:$B$304,J813)=0),"✗ 客户不在总览汇总名单里",IF(AND(P813="应付",K813=""),"✗ 这笔要选供应商",IF(AND(P813="应付",COUNTIF(基础资料!$Q$5:$Q$54,K813)=0),"✗ 供应商不在基础资料里",IF(AND(P813="费用",L813=""),"✗ 费用支出要选费用项目",IF(AND(L813&lt;&gt;"",COUNTIF(基础资料!$AI$5:$AI$54,L813)=0),"✗ 费用项目不在基础资料里",IF(AND(IFERROR(INDEX(基础资料!$AD$5:$AD$34,MATCH(O813,基础资料!$AC$5:$AC$34,0)),"")="收",N(G813)&lt;&gt;0),"✗ 这类是收款，金额填到收入列",IF(AND(IFERROR(INDEX(基础资料!$AD$5:$AD$34,MATCH(O813,基础资料!$AC$5:$AC$34,0)),"")="支",N(F813)&lt;&gt;0),"✗ 这类是付款，金额填到支出列",IF(N(H813)&lt;0,"⚠ 账户余额成负数了，核对一下","√"))))))))))))))))))</f>
      </c>
      <c r="O813" s="78">
        <f>IF(D813&lt;&gt;"",D813,IF(AND(F813="",G813=""),"",IF(J813&lt;&gt;"",IF(N(F813)&gt;0,"客户回款","客户退款"),IF(K813&lt;&gt;"",IF(N(G813)&gt;0,"供应商付款","供应商退款"),IF(L813&lt;&gt;"","费用支出","")))))</f>
      </c>
      <c r="P813" s="78">
        <f>IF(O813="","",IFERROR(INDEX(基础资料!$AE$5:$AE$34,MATCH(O813,基础资料!$AC$5:$AC$34,0)),"未知"))</f>
      </c>
      <c r="Q813" s="78">
        <f>IF(P813="应收",COUNTIF(P$7:P813,"应收"),"")</f>
      </c>
      <c r="R813" s="78">
        <f>IF(P813="应付",COUNTIF(P$7:P813,"应付"),"")</f>
      </c>
      <c r="S813" s="78">
        <f>N(F813)-N(G813)</f>
        <v>0</v>
      </c>
    </row>
    <row r="814">
      <c r="A814" s="109">
        <f>IF(AND(F814="",G814=""),"",ROW()-6)</f>
      </c>
      <c r="B814" s="140" t="n"/>
      <c r="C814" s="141" t="n"/>
      <c r="D814" s="141" t="n"/>
      <c r="E814" s="142" t="n"/>
      <c r="F814" s="143" t="n"/>
      <c r="G814" s="144" t="n"/>
      <c r="H814" s="145">
        <f>IF(OR(C814="",AND(F814="",G814="")),"",SUMIF(基础资料!$W$5:$W$24,C814,基础资料!$X$5:$X$24)+SUMIF(C$7:C814,C814,F$7:F814)-SUMIF(C$7:C814,C814,G$7:G814))</f>
      </c>
      <c r="I814" s="145">
        <f>IF(AND(F814="",G814=""),"",SUM(基础资料!$X$5:$X$24)+SUM(F$7:F814)-SUM(G$7:G814))</f>
      </c>
      <c r="J814" s="141" t="n"/>
      <c r="K814" s="141" t="n"/>
      <c r="L814" s="141" t="n"/>
      <c r="M814" s="142" t="n"/>
      <c r="N814" s="146">
        <f>IF(AND(AND(F814="",G814=""),B814="",C814="",D814="",J814="",K814="",L814=""),"",IF(AND(F814="",G814=""),"✗ 没填金额",IF(AND(N(F814)&lt;&gt;0,N(G814)&lt;&gt;0),"✗ 收入、支出只能填一边",IF(NOT(ISNUMBER(B814)),"✗ 日期不是真日期（要像 2026/9/25 这样填）",IF(OR(B814&lt;年初日,B814&gt;年末日),"✗ 日期不在本会计年度",IF(C814="","✗ 没选账户",IF(COUNTIF(基础资料!$W$5:$W$24,C814)=0,"✗ 账户不在基础资料里",IF(O814="","✗ 没选收支项目",IF(P814="未知","✗ 收支项目不在基础资料里",IF(AND(P814="应收",J814=""),"✗ 这笔要选客户",IF(AND(P814="应收",COUNTIF(总览汇总!$B$5:$B$304,J814)=0),"✗ 客户不在总览汇总名单里",IF(AND(P814="应付",K814=""),"✗ 这笔要选供应商",IF(AND(P814="应付",COUNTIF(基础资料!$Q$5:$Q$54,K814)=0),"✗ 供应商不在基础资料里",IF(AND(P814="费用",L814=""),"✗ 费用支出要选费用项目",IF(AND(L814&lt;&gt;"",COUNTIF(基础资料!$AI$5:$AI$54,L814)=0),"✗ 费用项目不在基础资料里",IF(AND(IFERROR(INDEX(基础资料!$AD$5:$AD$34,MATCH(O814,基础资料!$AC$5:$AC$34,0)),"")="收",N(G814)&lt;&gt;0),"✗ 这类是收款，金额填到收入列",IF(AND(IFERROR(INDEX(基础资料!$AD$5:$AD$34,MATCH(O814,基础资料!$AC$5:$AC$34,0)),"")="支",N(F814)&lt;&gt;0),"✗ 这类是付款，金额填到支出列",IF(N(H814)&lt;0,"⚠ 账户余额成负数了，核对一下","√"))))))))))))))))))</f>
      </c>
      <c r="O814" s="78">
        <f>IF(D814&lt;&gt;"",D814,IF(AND(F814="",G814=""),"",IF(J814&lt;&gt;"",IF(N(F814)&gt;0,"客户回款","客户退款"),IF(K814&lt;&gt;"",IF(N(G814)&gt;0,"供应商付款","供应商退款"),IF(L814&lt;&gt;"","费用支出","")))))</f>
      </c>
      <c r="P814" s="78">
        <f>IF(O814="","",IFERROR(INDEX(基础资料!$AE$5:$AE$34,MATCH(O814,基础资料!$AC$5:$AC$34,0)),"未知"))</f>
      </c>
      <c r="Q814" s="78">
        <f>IF(P814="应收",COUNTIF(P$7:P814,"应收"),"")</f>
      </c>
      <c r="R814" s="78">
        <f>IF(P814="应付",COUNTIF(P$7:P814,"应付"),"")</f>
      </c>
      <c r="S814" s="78">
        <f>N(F814)-N(G814)</f>
        <v>0</v>
      </c>
    </row>
    <row r="815">
      <c r="A815" s="109">
        <f>IF(AND(F815="",G815=""),"",ROW()-6)</f>
      </c>
      <c r="B815" s="140" t="n"/>
      <c r="C815" s="141" t="n"/>
      <c r="D815" s="141" t="n"/>
      <c r="E815" s="142" t="n"/>
      <c r="F815" s="143" t="n"/>
      <c r="G815" s="144" t="n"/>
      <c r="H815" s="145">
        <f>IF(OR(C815="",AND(F815="",G815="")),"",SUMIF(基础资料!$W$5:$W$24,C815,基础资料!$X$5:$X$24)+SUMIF(C$7:C815,C815,F$7:F815)-SUMIF(C$7:C815,C815,G$7:G815))</f>
      </c>
      <c r="I815" s="145">
        <f>IF(AND(F815="",G815=""),"",SUM(基础资料!$X$5:$X$24)+SUM(F$7:F815)-SUM(G$7:G815))</f>
      </c>
      <c r="J815" s="141" t="n"/>
      <c r="K815" s="141" t="n"/>
      <c r="L815" s="141" t="n"/>
      <c r="M815" s="142" t="n"/>
      <c r="N815" s="146">
        <f>IF(AND(AND(F815="",G815=""),B815="",C815="",D815="",J815="",K815="",L815=""),"",IF(AND(F815="",G815=""),"✗ 没填金额",IF(AND(N(F815)&lt;&gt;0,N(G815)&lt;&gt;0),"✗ 收入、支出只能填一边",IF(NOT(ISNUMBER(B815)),"✗ 日期不是真日期（要像 2026/9/25 这样填）",IF(OR(B815&lt;年初日,B815&gt;年末日),"✗ 日期不在本会计年度",IF(C815="","✗ 没选账户",IF(COUNTIF(基础资料!$W$5:$W$24,C815)=0,"✗ 账户不在基础资料里",IF(O815="","✗ 没选收支项目",IF(P815="未知","✗ 收支项目不在基础资料里",IF(AND(P815="应收",J815=""),"✗ 这笔要选客户",IF(AND(P815="应收",COUNTIF(总览汇总!$B$5:$B$304,J815)=0),"✗ 客户不在总览汇总名单里",IF(AND(P815="应付",K815=""),"✗ 这笔要选供应商",IF(AND(P815="应付",COUNTIF(基础资料!$Q$5:$Q$54,K815)=0),"✗ 供应商不在基础资料里",IF(AND(P815="费用",L815=""),"✗ 费用支出要选费用项目",IF(AND(L815&lt;&gt;"",COUNTIF(基础资料!$AI$5:$AI$54,L815)=0),"✗ 费用项目不在基础资料里",IF(AND(IFERROR(INDEX(基础资料!$AD$5:$AD$34,MATCH(O815,基础资料!$AC$5:$AC$34,0)),"")="收",N(G815)&lt;&gt;0),"✗ 这类是收款，金额填到收入列",IF(AND(IFERROR(INDEX(基础资料!$AD$5:$AD$34,MATCH(O815,基础资料!$AC$5:$AC$34,0)),"")="支",N(F815)&lt;&gt;0),"✗ 这类是付款，金额填到支出列",IF(N(H815)&lt;0,"⚠ 账户余额成负数了，核对一下","√"))))))))))))))))))</f>
      </c>
      <c r="O815" s="78">
        <f>IF(D815&lt;&gt;"",D815,IF(AND(F815="",G815=""),"",IF(J815&lt;&gt;"",IF(N(F815)&gt;0,"客户回款","客户退款"),IF(K815&lt;&gt;"",IF(N(G815)&gt;0,"供应商付款","供应商退款"),IF(L815&lt;&gt;"","费用支出","")))))</f>
      </c>
      <c r="P815" s="78">
        <f>IF(O815="","",IFERROR(INDEX(基础资料!$AE$5:$AE$34,MATCH(O815,基础资料!$AC$5:$AC$34,0)),"未知"))</f>
      </c>
      <c r="Q815" s="78">
        <f>IF(P815="应收",COUNTIF(P$7:P815,"应收"),"")</f>
      </c>
      <c r="R815" s="78">
        <f>IF(P815="应付",COUNTIF(P$7:P815,"应付"),"")</f>
      </c>
      <c r="S815" s="78">
        <f>N(F815)-N(G815)</f>
        <v>0</v>
      </c>
    </row>
    <row r="816">
      <c r="A816" s="109">
        <f>IF(AND(F816="",G816=""),"",ROW()-6)</f>
      </c>
      <c r="B816" s="140" t="n"/>
      <c r="C816" s="141" t="n"/>
      <c r="D816" s="141" t="n"/>
      <c r="E816" s="142" t="n"/>
      <c r="F816" s="143" t="n"/>
      <c r="G816" s="144" t="n"/>
      <c r="H816" s="145">
        <f>IF(OR(C816="",AND(F816="",G816="")),"",SUMIF(基础资料!$W$5:$W$24,C816,基础资料!$X$5:$X$24)+SUMIF(C$7:C816,C816,F$7:F816)-SUMIF(C$7:C816,C816,G$7:G816))</f>
      </c>
      <c r="I816" s="145">
        <f>IF(AND(F816="",G816=""),"",SUM(基础资料!$X$5:$X$24)+SUM(F$7:F816)-SUM(G$7:G816))</f>
      </c>
      <c r="J816" s="141" t="n"/>
      <c r="K816" s="141" t="n"/>
      <c r="L816" s="141" t="n"/>
      <c r="M816" s="142" t="n"/>
      <c r="N816" s="146">
        <f>IF(AND(AND(F816="",G816=""),B816="",C816="",D816="",J816="",K816="",L816=""),"",IF(AND(F816="",G816=""),"✗ 没填金额",IF(AND(N(F816)&lt;&gt;0,N(G816)&lt;&gt;0),"✗ 收入、支出只能填一边",IF(NOT(ISNUMBER(B816)),"✗ 日期不是真日期（要像 2026/9/25 这样填）",IF(OR(B816&lt;年初日,B816&gt;年末日),"✗ 日期不在本会计年度",IF(C816="","✗ 没选账户",IF(COUNTIF(基础资料!$W$5:$W$24,C816)=0,"✗ 账户不在基础资料里",IF(O816="","✗ 没选收支项目",IF(P816="未知","✗ 收支项目不在基础资料里",IF(AND(P816="应收",J816=""),"✗ 这笔要选客户",IF(AND(P816="应收",COUNTIF(总览汇总!$B$5:$B$304,J816)=0),"✗ 客户不在总览汇总名单里",IF(AND(P816="应付",K816=""),"✗ 这笔要选供应商",IF(AND(P816="应付",COUNTIF(基础资料!$Q$5:$Q$54,K816)=0),"✗ 供应商不在基础资料里",IF(AND(P816="费用",L816=""),"✗ 费用支出要选费用项目",IF(AND(L816&lt;&gt;"",COUNTIF(基础资料!$AI$5:$AI$54,L816)=0),"✗ 费用项目不在基础资料里",IF(AND(IFERROR(INDEX(基础资料!$AD$5:$AD$34,MATCH(O816,基础资料!$AC$5:$AC$34,0)),"")="收",N(G816)&lt;&gt;0),"✗ 这类是收款，金额填到收入列",IF(AND(IFERROR(INDEX(基础资料!$AD$5:$AD$34,MATCH(O816,基础资料!$AC$5:$AC$34,0)),"")="支",N(F816)&lt;&gt;0),"✗ 这类是付款，金额填到支出列",IF(N(H816)&lt;0,"⚠ 账户余额成负数了，核对一下","√"))))))))))))))))))</f>
      </c>
      <c r="O816" s="78">
        <f>IF(D816&lt;&gt;"",D816,IF(AND(F816="",G816=""),"",IF(J816&lt;&gt;"",IF(N(F816)&gt;0,"客户回款","客户退款"),IF(K816&lt;&gt;"",IF(N(G816)&gt;0,"供应商付款","供应商退款"),IF(L816&lt;&gt;"","费用支出","")))))</f>
      </c>
      <c r="P816" s="78">
        <f>IF(O816="","",IFERROR(INDEX(基础资料!$AE$5:$AE$34,MATCH(O816,基础资料!$AC$5:$AC$34,0)),"未知"))</f>
      </c>
      <c r="Q816" s="78">
        <f>IF(P816="应收",COUNTIF(P$7:P816,"应收"),"")</f>
      </c>
      <c r="R816" s="78">
        <f>IF(P816="应付",COUNTIF(P$7:P816,"应付"),"")</f>
      </c>
      <c r="S816" s="78">
        <f>N(F816)-N(G816)</f>
        <v>0</v>
      </c>
    </row>
    <row r="817">
      <c r="A817" s="109">
        <f>IF(AND(F817="",G817=""),"",ROW()-6)</f>
      </c>
      <c r="B817" s="140" t="n"/>
      <c r="C817" s="141" t="n"/>
      <c r="D817" s="141" t="n"/>
      <c r="E817" s="142" t="n"/>
      <c r="F817" s="143" t="n"/>
      <c r="G817" s="144" t="n"/>
      <c r="H817" s="145">
        <f>IF(OR(C817="",AND(F817="",G817="")),"",SUMIF(基础资料!$W$5:$W$24,C817,基础资料!$X$5:$X$24)+SUMIF(C$7:C817,C817,F$7:F817)-SUMIF(C$7:C817,C817,G$7:G817))</f>
      </c>
      <c r="I817" s="145">
        <f>IF(AND(F817="",G817=""),"",SUM(基础资料!$X$5:$X$24)+SUM(F$7:F817)-SUM(G$7:G817))</f>
      </c>
      <c r="J817" s="141" t="n"/>
      <c r="K817" s="141" t="n"/>
      <c r="L817" s="141" t="n"/>
      <c r="M817" s="142" t="n"/>
      <c r="N817" s="146">
        <f>IF(AND(AND(F817="",G817=""),B817="",C817="",D817="",J817="",K817="",L817=""),"",IF(AND(F817="",G817=""),"✗ 没填金额",IF(AND(N(F817)&lt;&gt;0,N(G817)&lt;&gt;0),"✗ 收入、支出只能填一边",IF(NOT(ISNUMBER(B817)),"✗ 日期不是真日期（要像 2026/9/25 这样填）",IF(OR(B817&lt;年初日,B817&gt;年末日),"✗ 日期不在本会计年度",IF(C817="","✗ 没选账户",IF(COUNTIF(基础资料!$W$5:$W$24,C817)=0,"✗ 账户不在基础资料里",IF(O817="","✗ 没选收支项目",IF(P817="未知","✗ 收支项目不在基础资料里",IF(AND(P817="应收",J817=""),"✗ 这笔要选客户",IF(AND(P817="应收",COUNTIF(总览汇总!$B$5:$B$304,J817)=0),"✗ 客户不在总览汇总名单里",IF(AND(P817="应付",K817=""),"✗ 这笔要选供应商",IF(AND(P817="应付",COUNTIF(基础资料!$Q$5:$Q$54,K817)=0),"✗ 供应商不在基础资料里",IF(AND(P817="费用",L817=""),"✗ 费用支出要选费用项目",IF(AND(L817&lt;&gt;"",COUNTIF(基础资料!$AI$5:$AI$54,L817)=0),"✗ 费用项目不在基础资料里",IF(AND(IFERROR(INDEX(基础资料!$AD$5:$AD$34,MATCH(O817,基础资料!$AC$5:$AC$34,0)),"")="收",N(G817)&lt;&gt;0),"✗ 这类是收款，金额填到收入列",IF(AND(IFERROR(INDEX(基础资料!$AD$5:$AD$34,MATCH(O817,基础资料!$AC$5:$AC$34,0)),"")="支",N(F817)&lt;&gt;0),"✗ 这类是付款，金额填到支出列",IF(N(H817)&lt;0,"⚠ 账户余额成负数了，核对一下","√"))))))))))))))))))</f>
      </c>
      <c r="O817" s="78">
        <f>IF(D817&lt;&gt;"",D817,IF(AND(F817="",G817=""),"",IF(J817&lt;&gt;"",IF(N(F817)&gt;0,"客户回款","客户退款"),IF(K817&lt;&gt;"",IF(N(G817)&gt;0,"供应商付款","供应商退款"),IF(L817&lt;&gt;"","费用支出","")))))</f>
      </c>
      <c r="P817" s="78">
        <f>IF(O817="","",IFERROR(INDEX(基础资料!$AE$5:$AE$34,MATCH(O817,基础资料!$AC$5:$AC$34,0)),"未知"))</f>
      </c>
      <c r="Q817" s="78">
        <f>IF(P817="应收",COUNTIF(P$7:P817,"应收"),"")</f>
      </c>
      <c r="R817" s="78">
        <f>IF(P817="应付",COUNTIF(P$7:P817,"应付"),"")</f>
      </c>
      <c r="S817" s="78">
        <f>N(F817)-N(G817)</f>
        <v>0</v>
      </c>
    </row>
    <row r="818">
      <c r="A818" s="109">
        <f>IF(AND(F818="",G818=""),"",ROW()-6)</f>
      </c>
      <c r="B818" s="140" t="n"/>
      <c r="C818" s="141" t="n"/>
      <c r="D818" s="141" t="n"/>
      <c r="E818" s="142" t="n"/>
      <c r="F818" s="143" t="n"/>
      <c r="G818" s="144" t="n"/>
      <c r="H818" s="145">
        <f>IF(OR(C818="",AND(F818="",G818="")),"",SUMIF(基础资料!$W$5:$W$24,C818,基础资料!$X$5:$X$24)+SUMIF(C$7:C818,C818,F$7:F818)-SUMIF(C$7:C818,C818,G$7:G818))</f>
      </c>
      <c r="I818" s="145">
        <f>IF(AND(F818="",G818=""),"",SUM(基础资料!$X$5:$X$24)+SUM(F$7:F818)-SUM(G$7:G818))</f>
      </c>
      <c r="J818" s="141" t="n"/>
      <c r="K818" s="141" t="n"/>
      <c r="L818" s="141" t="n"/>
      <c r="M818" s="142" t="n"/>
      <c r="N818" s="146">
        <f>IF(AND(AND(F818="",G818=""),B818="",C818="",D818="",J818="",K818="",L818=""),"",IF(AND(F818="",G818=""),"✗ 没填金额",IF(AND(N(F818)&lt;&gt;0,N(G818)&lt;&gt;0),"✗ 收入、支出只能填一边",IF(NOT(ISNUMBER(B818)),"✗ 日期不是真日期（要像 2026/9/25 这样填）",IF(OR(B818&lt;年初日,B818&gt;年末日),"✗ 日期不在本会计年度",IF(C818="","✗ 没选账户",IF(COUNTIF(基础资料!$W$5:$W$24,C818)=0,"✗ 账户不在基础资料里",IF(O818="","✗ 没选收支项目",IF(P818="未知","✗ 收支项目不在基础资料里",IF(AND(P818="应收",J818=""),"✗ 这笔要选客户",IF(AND(P818="应收",COUNTIF(总览汇总!$B$5:$B$304,J818)=0),"✗ 客户不在总览汇总名单里",IF(AND(P818="应付",K818=""),"✗ 这笔要选供应商",IF(AND(P818="应付",COUNTIF(基础资料!$Q$5:$Q$54,K818)=0),"✗ 供应商不在基础资料里",IF(AND(P818="费用",L818=""),"✗ 费用支出要选费用项目",IF(AND(L818&lt;&gt;"",COUNTIF(基础资料!$AI$5:$AI$54,L818)=0),"✗ 费用项目不在基础资料里",IF(AND(IFERROR(INDEX(基础资料!$AD$5:$AD$34,MATCH(O818,基础资料!$AC$5:$AC$34,0)),"")="收",N(G818)&lt;&gt;0),"✗ 这类是收款，金额填到收入列",IF(AND(IFERROR(INDEX(基础资料!$AD$5:$AD$34,MATCH(O818,基础资料!$AC$5:$AC$34,0)),"")="支",N(F818)&lt;&gt;0),"✗ 这类是付款，金额填到支出列",IF(N(H818)&lt;0,"⚠ 账户余额成负数了，核对一下","√"))))))))))))))))))</f>
      </c>
      <c r="O818" s="78">
        <f>IF(D818&lt;&gt;"",D818,IF(AND(F818="",G818=""),"",IF(J818&lt;&gt;"",IF(N(F818)&gt;0,"客户回款","客户退款"),IF(K818&lt;&gt;"",IF(N(G818)&gt;0,"供应商付款","供应商退款"),IF(L818&lt;&gt;"","费用支出","")))))</f>
      </c>
      <c r="P818" s="78">
        <f>IF(O818="","",IFERROR(INDEX(基础资料!$AE$5:$AE$34,MATCH(O818,基础资料!$AC$5:$AC$34,0)),"未知"))</f>
      </c>
      <c r="Q818" s="78">
        <f>IF(P818="应收",COUNTIF(P$7:P818,"应收"),"")</f>
      </c>
      <c r="R818" s="78">
        <f>IF(P818="应付",COUNTIF(P$7:P818,"应付"),"")</f>
      </c>
      <c r="S818" s="78">
        <f>N(F818)-N(G818)</f>
        <v>0</v>
      </c>
    </row>
    <row r="819">
      <c r="A819" s="109">
        <f>IF(AND(F819="",G819=""),"",ROW()-6)</f>
      </c>
      <c r="B819" s="140" t="n"/>
      <c r="C819" s="141" t="n"/>
      <c r="D819" s="141" t="n"/>
      <c r="E819" s="142" t="n"/>
      <c r="F819" s="143" t="n"/>
      <c r="G819" s="144" t="n"/>
      <c r="H819" s="145">
        <f>IF(OR(C819="",AND(F819="",G819="")),"",SUMIF(基础资料!$W$5:$W$24,C819,基础资料!$X$5:$X$24)+SUMIF(C$7:C819,C819,F$7:F819)-SUMIF(C$7:C819,C819,G$7:G819))</f>
      </c>
      <c r="I819" s="145">
        <f>IF(AND(F819="",G819=""),"",SUM(基础资料!$X$5:$X$24)+SUM(F$7:F819)-SUM(G$7:G819))</f>
      </c>
      <c r="J819" s="141" t="n"/>
      <c r="K819" s="141" t="n"/>
      <c r="L819" s="141" t="n"/>
      <c r="M819" s="142" t="n"/>
      <c r="N819" s="146">
        <f>IF(AND(AND(F819="",G819=""),B819="",C819="",D819="",J819="",K819="",L819=""),"",IF(AND(F819="",G819=""),"✗ 没填金额",IF(AND(N(F819)&lt;&gt;0,N(G819)&lt;&gt;0),"✗ 收入、支出只能填一边",IF(NOT(ISNUMBER(B819)),"✗ 日期不是真日期（要像 2026/9/25 这样填）",IF(OR(B819&lt;年初日,B819&gt;年末日),"✗ 日期不在本会计年度",IF(C819="","✗ 没选账户",IF(COUNTIF(基础资料!$W$5:$W$24,C819)=0,"✗ 账户不在基础资料里",IF(O819="","✗ 没选收支项目",IF(P819="未知","✗ 收支项目不在基础资料里",IF(AND(P819="应收",J819=""),"✗ 这笔要选客户",IF(AND(P819="应收",COUNTIF(总览汇总!$B$5:$B$304,J819)=0),"✗ 客户不在总览汇总名单里",IF(AND(P819="应付",K819=""),"✗ 这笔要选供应商",IF(AND(P819="应付",COUNTIF(基础资料!$Q$5:$Q$54,K819)=0),"✗ 供应商不在基础资料里",IF(AND(P819="费用",L819=""),"✗ 费用支出要选费用项目",IF(AND(L819&lt;&gt;"",COUNTIF(基础资料!$AI$5:$AI$54,L819)=0),"✗ 费用项目不在基础资料里",IF(AND(IFERROR(INDEX(基础资料!$AD$5:$AD$34,MATCH(O819,基础资料!$AC$5:$AC$34,0)),"")="收",N(G819)&lt;&gt;0),"✗ 这类是收款，金额填到收入列",IF(AND(IFERROR(INDEX(基础资料!$AD$5:$AD$34,MATCH(O819,基础资料!$AC$5:$AC$34,0)),"")="支",N(F819)&lt;&gt;0),"✗ 这类是付款，金额填到支出列",IF(N(H819)&lt;0,"⚠ 账户余额成负数了，核对一下","√"))))))))))))))))))</f>
      </c>
      <c r="O819" s="78">
        <f>IF(D819&lt;&gt;"",D819,IF(AND(F819="",G819=""),"",IF(J819&lt;&gt;"",IF(N(F819)&gt;0,"客户回款","客户退款"),IF(K819&lt;&gt;"",IF(N(G819)&gt;0,"供应商付款","供应商退款"),IF(L819&lt;&gt;"","费用支出","")))))</f>
      </c>
      <c r="P819" s="78">
        <f>IF(O819="","",IFERROR(INDEX(基础资料!$AE$5:$AE$34,MATCH(O819,基础资料!$AC$5:$AC$34,0)),"未知"))</f>
      </c>
      <c r="Q819" s="78">
        <f>IF(P819="应收",COUNTIF(P$7:P819,"应收"),"")</f>
      </c>
      <c r="R819" s="78">
        <f>IF(P819="应付",COUNTIF(P$7:P819,"应付"),"")</f>
      </c>
      <c r="S819" s="78">
        <f>N(F819)-N(G819)</f>
        <v>0</v>
      </c>
    </row>
    <row r="820">
      <c r="A820" s="109">
        <f>IF(AND(F820="",G820=""),"",ROW()-6)</f>
      </c>
      <c r="B820" s="140" t="n"/>
      <c r="C820" s="141" t="n"/>
      <c r="D820" s="141" t="n"/>
      <c r="E820" s="142" t="n"/>
      <c r="F820" s="143" t="n"/>
      <c r="G820" s="144" t="n"/>
      <c r="H820" s="145">
        <f>IF(OR(C820="",AND(F820="",G820="")),"",SUMIF(基础资料!$W$5:$W$24,C820,基础资料!$X$5:$X$24)+SUMIF(C$7:C820,C820,F$7:F820)-SUMIF(C$7:C820,C820,G$7:G820))</f>
      </c>
      <c r="I820" s="145">
        <f>IF(AND(F820="",G820=""),"",SUM(基础资料!$X$5:$X$24)+SUM(F$7:F820)-SUM(G$7:G820))</f>
      </c>
      <c r="J820" s="141" t="n"/>
      <c r="K820" s="141" t="n"/>
      <c r="L820" s="141" t="n"/>
      <c r="M820" s="142" t="n"/>
      <c r="N820" s="146">
        <f>IF(AND(AND(F820="",G820=""),B820="",C820="",D820="",J820="",K820="",L820=""),"",IF(AND(F820="",G820=""),"✗ 没填金额",IF(AND(N(F820)&lt;&gt;0,N(G820)&lt;&gt;0),"✗ 收入、支出只能填一边",IF(NOT(ISNUMBER(B820)),"✗ 日期不是真日期（要像 2026/9/25 这样填）",IF(OR(B820&lt;年初日,B820&gt;年末日),"✗ 日期不在本会计年度",IF(C820="","✗ 没选账户",IF(COUNTIF(基础资料!$W$5:$W$24,C820)=0,"✗ 账户不在基础资料里",IF(O820="","✗ 没选收支项目",IF(P820="未知","✗ 收支项目不在基础资料里",IF(AND(P820="应收",J820=""),"✗ 这笔要选客户",IF(AND(P820="应收",COUNTIF(总览汇总!$B$5:$B$304,J820)=0),"✗ 客户不在总览汇总名单里",IF(AND(P820="应付",K820=""),"✗ 这笔要选供应商",IF(AND(P820="应付",COUNTIF(基础资料!$Q$5:$Q$54,K820)=0),"✗ 供应商不在基础资料里",IF(AND(P820="费用",L820=""),"✗ 费用支出要选费用项目",IF(AND(L820&lt;&gt;"",COUNTIF(基础资料!$AI$5:$AI$54,L820)=0),"✗ 费用项目不在基础资料里",IF(AND(IFERROR(INDEX(基础资料!$AD$5:$AD$34,MATCH(O820,基础资料!$AC$5:$AC$34,0)),"")="收",N(G820)&lt;&gt;0),"✗ 这类是收款，金额填到收入列",IF(AND(IFERROR(INDEX(基础资料!$AD$5:$AD$34,MATCH(O820,基础资料!$AC$5:$AC$34,0)),"")="支",N(F820)&lt;&gt;0),"✗ 这类是付款，金额填到支出列",IF(N(H820)&lt;0,"⚠ 账户余额成负数了，核对一下","√"))))))))))))))))))</f>
      </c>
      <c r="O820" s="78">
        <f>IF(D820&lt;&gt;"",D820,IF(AND(F820="",G820=""),"",IF(J820&lt;&gt;"",IF(N(F820)&gt;0,"客户回款","客户退款"),IF(K820&lt;&gt;"",IF(N(G820)&gt;0,"供应商付款","供应商退款"),IF(L820&lt;&gt;"","费用支出","")))))</f>
      </c>
      <c r="P820" s="78">
        <f>IF(O820="","",IFERROR(INDEX(基础资料!$AE$5:$AE$34,MATCH(O820,基础资料!$AC$5:$AC$34,0)),"未知"))</f>
      </c>
      <c r="Q820" s="78">
        <f>IF(P820="应收",COUNTIF(P$7:P820,"应收"),"")</f>
      </c>
      <c r="R820" s="78">
        <f>IF(P820="应付",COUNTIF(P$7:P820,"应付"),"")</f>
      </c>
      <c r="S820" s="78">
        <f>N(F820)-N(G820)</f>
        <v>0</v>
      </c>
    </row>
    <row r="821">
      <c r="A821" s="109">
        <f>IF(AND(F821="",G821=""),"",ROW()-6)</f>
      </c>
      <c r="B821" s="140" t="n"/>
      <c r="C821" s="141" t="n"/>
      <c r="D821" s="141" t="n"/>
      <c r="E821" s="142" t="n"/>
      <c r="F821" s="143" t="n"/>
      <c r="G821" s="144" t="n"/>
      <c r="H821" s="145">
        <f>IF(OR(C821="",AND(F821="",G821="")),"",SUMIF(基础资料!$W$5:$W$24,C821,基础资料!$X$5:$X$24)+SUMIF(C$7:C821,C821,F$7:F821)-SUMIF(C$7:C821,C821,G$7:G821))</f>
      </c>
      <c r="I821" s="145">
        <f>IF(AND(F821="",G821=""),"",SUM(基础资料!$X$5:$X$24)+SUM(F$7:F821)-SUM(G$7:G821))</f>
      </c>
      <c r="J821" s="141" t="n"/>
      <c r="K821" s="141" t="n"/>
      <c r="L821" s="141" t="n"/>
      <c r="M821" s="142" t="n"/>
      <c r="N821" s="146">
        <f>IF(AND(AND(F821="",G821=""),B821="",C821="",D821="",J821="",K821="",L821=""),"",IF(AND(F821="",G821=""),"✗ 没填金额",IF(AND(N(F821)&lt;&gt;0,N(G821)&lt;&gt;0),"✗ 收入、支出只能填一边",IF(NOT(ISNUMBER(B821)),"✗ 日期不是真日期（要像 2026/9/25 这样填）",IF(OR(B821&lt;年初日,B821&gt;年末日),"✗ 日期不在本会计年度",IF(C821="","✗ 没选账户",IF(COUNTIF(基础资料!$W$5:$W$24,C821)=0,"✗ 账户不在基础资料里",IF(O821="","✗ 没选收支项目",IF(P821="未知","✗ 收支项目不在基础资料里",IF(AND(P821="应收",J821=""),"✗ 这笔要选客户",IF(AND(P821="应收",COUNTIF(总览汇总!$B$5:$B$304,J821)=0),"✗ 客户不在总览汇总名单里",IF(AND(P821="应付",K821=""),"✗ 这笔要选供应商",IF(AND(P821="应付",COUNTIF(基础资料!$Q$5:$Q$54,K821)=0),"✗ 供应商不在基础资料里",IF(AND(P821="费用",L821=""),"✗ 费用支出要选费用项目",IF(AND(L821&lt;&gt;"",COUNTIF(基础资料!$AI$5:$AI$54,L821)=0),"✗ 费用项目不在基础资料里",IF(AND(IFERROR(INDEX(基础资料!$AD$5:$AD$34,MATCH(O821,基础资料!$AC$5:$AC$34,0)),"")="收",N(G821)&lt;&gt;0),"✗ 这类是收款，金额填到收入列",IF(AND(IFERROR(INDEX(基础资料!$AD$5:$AD$34,MATCH(O821,基础资料!$AC$5:$AC$34,0)),"")="支",N(F821)&lt;&gt;0),"✗ 这类是付款，金额填到支出列",IF(N(H821)&lt;0,"⚠ 账户余额成负数了，核对一下","√"))))))))))))))))))</f>
      </c>
      <c r="O821" s="78">
        <f>IF(D821&lt;&gt;"",D821,IF(AND(F821="",G821=""),"",IF(J821&lt;&gt;"",IF(N(F821)&gt;0,"客户回款","客户退款"),IF(K821&lt;&gt;"",IF(N(G821)&gt;0,"供应商付款","供应商退款"),IF(L821&lt;&gt;"","费用支出","")))))</f>
      </c>
      <c r="P821" s="78">
        <f>IF(O821="","",IFERROR(INDEX(基础资料!$AE$5:$AE$34,MATCH(O821,基础资料!$AC$5:$AC$34,0)),"未知"))</f>
      </c>
      <c r="Q821" s="78">
        <f>IF(P821="应收",COUNTIF(P$7:P821,"应收"),"")</f>
      </c>
      <c r="R821" s="78">
        <f>IF(P821="应付",COUNTIF(P$7:P821,"应付"),"")</f>
      </c>
      <c r="S821" s="78">
        <f>N(F821)-N(G821)</f>
        <v>0</v>
      </c>
    </row>
    <row r="822">
      <c r="A822" s="109">
        <f>IF(AND(F822="",G822=""),"",ROW()-6)</f>
      </c>
      <c r="B822" s="140" t="n"/>
      <c r="C822" s="141" t="n"/>
      <c r="D822" s="141" t="n"/>
      <c r="E822" s="142" t="n"/>
      <c r="F822" s="143" t="n"/>
      <c r="G822" s="144" t="n"/>
      <c r="H822" s="145">
        <f>IF(OR(C822="",AND(F822="",G822="")),"",SUMIF(基础资料!$W$5:$W$24,C822,基础资料!$X$5:$X$24)+SUMIF(C$7:C822,C822,F$7:F822)-SUMIF(C$7:C822,C822,G$7:G822))</f>
      </c>
      <c r="I822" s="145">
        <f>IF(AND(F822="",G822=""),"",SUM(基础资料!$X$5:$X$24)+SUM(F$7:F822)-SUM(G$7:G822))</f>
      </c>
      <c r="J822" s="141" t="n"/>
      <c r="K822" s="141" t="n"/>
      <c r="L822" s="141" t="n"/>
      <c r="M822" s="142" t="n"/>
      <c r="N822" s="146">
        <f>IF(AND(AND(F822="",G822=""),B822="",C822="",D822="",J822="",K822="",L822=""),"",IF(AND(F822="",G822=""),"✗ 没填金额",IF(AND(N(F822)&lt;&gt;0,N(G822)&lt;&gt;0),"✗ 收入、支出只能填一边",IF(NOT(ISNUMBER(B822)),"✗ 日期不是真日期（要像 2026/9/25 这样填）",IF(OR(B822&lt;年初日,B822&gt;年末日),"✗ 日期不在本会计年度",IF(C822="","✗ 没选账户",IF(COUNTIF(基础资料!$W$5:$W$24,C822)=0,"✗ 账户不在基础资料里",IF(O822="","✗ 没选收支项目",IF(P822="未知","✗ 收支项目不在基础资料里",IF(AND(P822="应收",J822=""),"✗ 这笔要选客户",IF(AND(P822="应收",COUNTIF(总览汇总!$B$5:$B$304,J822)=0),"✗ 客户不在总览汇总名单里",IF(AND(P822="应付",K822=""),"✗ 这笔要选供应商",IF(AND(P822="应付",COUNTIF(基础资料!$Q$5:$Q$54,K822)=0),"✗ 供应商不在基础资料里",IF(AND(P822="费用",L822=""),"✗ 费用支出要选费用项目",IF(AND(L822&lt;&gt;"",COUNTIF(基础资料!$AI$5:$AI$54,L822)=0),"✗ 费用项目不在基础资料里",IF(AND(IFERROR(INDEX(基础资料!$AD$5:$AD$34,MATCH(O822,基础资料!$AC$5:$AC$34,0)),"")="收",N(G822)&lt;&gt;0),"✗ 这类是收款，金额填到收入列",IF(AND(IFERROR(INDEX(基础资料!$AD$5:$AD$34,MATCH(O822,基础资料!$AC$5:$AC$34,0)),"")="支",N(F822)&lt;&gt;0),"✗ 这类是付款，金额填到支出列",IF(N(H822)&lt;0,"⚠ 账户余额成负数了，核对一下","√"))))))))))))))))))</f>
      </c>
      <c r="O822" s="78">
        <f>IF(D822&lt;&gt;"",D822,IF(AND(F822="",G822=""),"",IF(J822&lt;&gt;"",IF(N(F822)&gt;0,"客户回款","客户退款"),IF(K822&lt;&gt;"",IF(N(G822)&gt;0,"供应商付款","供应商退款"),IF(L822&lt;&gt;"","费用支出","")))))</f>
      </c>
      <c r="P822" s="78">
        <f>IF(O822="","",IFERROR(INDEX(基础资料!$AE$5:$AE$34,MATCH(O822,基础资料!$AC$5:$AC$34,0)),"未知"))</f>
      </c>
      <c r="Q822" s="78">
        <f>IF(P822="应收",COUNTIF(P$7:P822,"应收"),"")</f>
      </c>
      <c r="R822" s="78">
        <f>IF(P822="应付",COUNTIF(P$7:P822,"应付"),"")</f>
      </c>
      <c r="S822" s="78">
        <f>N(F822)-N(G822)</f>
        <v>0</v>
      </c>
    </row>
    <row r="823">
      <c r="A823" s="109">
        <f>IF(AND(F823="",G823=""),"",ROW()-6)</f>
      </c>
      <c r="B823" s="140" t="n"/>
      <c r="C823" s="141" t="n"/>
      <c r="D823" s="141" t="n"/>
      <c r="E823" s="142" t="n"/>
      <c r="F823" s="143" t="n"/>
      <c r="G823" s="144" t="n"/>
      <c r="H823" s="145">
        <f>IF(OR(C823="",AND(F823="",G823="")),"",SUMIF(基础资料!$W$5:$W$24,C823,基础资料!$X$5:$X$24)+SUMIF(C$7:C823,C823,F$7:F823)-SUMIF(C$7:C823,C823,G$7:G823))</f>
      </c>
      <c r="I823" s="145">
        <f>IF(AND(F823="",G823=""),"",SUM(基础资料!$X$5:$X$24)+SUM(F$7:F823)-SUM(G$7:G823))</f>
      </c>
      <c r="J823" s="141" t="n"/>
      <c r="K823" s="141" t="n"/>
      <c r="L823" s="141" t="n"/>
      <c r="M823" s="142" t="n"/>
      <c r="N823" s="146">
        <f>IF(AND(AND(F823="",G823=""),B823="",C823="",D823="",J823="",K823="",L823=""),"",IF(AND(F823="",G823=""),"✗ 没填金额",IF(AND(N(F823)&lt;&gt;0,N(G823)&lt;&gt;0),"✗ 收入、支出只能填一边",IF(NOT(ISNUMBER(B823)),"✗ 日期不是真日期（要像 2026/9/25 这样填）",IF(OR(B823&lt;年初日,B823&gt;年末日),"✗ 日期不在本会计年度",IF(C823="","✗ 没选账户",IF(COUNTIF(基础资料!$W$5:$W$24,C823)=0,"✗ 账户不在基础资料里",IF(O823="","✗ 没选收支项目",IF(P823="未知","✗ 收支项目不在基础资料里",IF(AND(P823="应收",J823=""),"✗ 这笔要选客户",IF(AND(P823="应收",COUNTIF(总览汇总!$B$5:$B$304,J823)=0),"✗ 客户不在总览汇总名单里",IF(AND(P823="应付",K823=""),"✗ 这笔要选供应商",IF(AND(P823="应付",COUNTIF(基础资料!$Q$5:$Q$54,K823)=0),"✗ 供应商不在基础资料里",IF(AND(P823="费用",L823=""),"✗ 费用支出要选费用项目",IF(AND(L823&lt;&gt;"",COUNTIF(基础资料!$AI$5:$AI$54,L823)=0),"✗ 费用项目不在基础资料里",IF(AND(IFERROR(INDEX(基础资料!$AD$5:$AD$34,MATCH(O823,基础资料!$AC$5:$AC$34,0)),"")="收",N(G823)&lt;&gt;0),"✗ 这类是收款，金额填到收入列",IF(AND(IFERROR(INDEX(基础资料!$AD$5:$AD$34,MATCH(O823,基础资料!$AC$5:$AC$34,0)),"")="支",N(F823)&lt;&gt;0),"✗ 这类是付款，金额填到支出列",IF(N(H823)&lt;0,"⚠ 账户余额成负数了，核对一下","√"))))))))))))))))))</f>
      </c>
      <c r="O823" s="78">
        <f>IF(D823&lt;&gt;"",D823,IF(AND(F823="",G823=""),"",IF(J823&lt;&gt;"",IF(N(F823)&gt;0,"客户回款","客户退款"),IF(K823&lt;&gt;"",IF(N(G823)&gt;0,"供应商付款","供应商退款"),IF(L823&lt;&gt;"","费用支出","")))))</f>
      </c>
      <c r="P823" s="78">
        <f>IF(O823="","",IFERROR(INDEX(基础资料!$AE$5:$AE$34,MATCH(O823,基础资料!$AC$5:$AC$34,0)),"未知"))</f>
      </c>
      <c r="Q823" s="78">
        <f>IF(P823="应收",COUNTIF(P$7:P823,"应收"),"")</f>
      </c>
      <c r="R823" s="78">
        <f>IF(P823="应付",COUNTIF(P$7:P823,"应付"),"")</f>
      </c>
      <c r="S823" s="78">
        <f>N(F823)-N(G823)</f>
        <v>0</v>
      </c>
    </row>
    <row r="824">
      <c r="A824" s="109">
        <f>IF(AND(F824="",G824=""),"",ROW()-6)</f>
      </c>
      <c r="B824" s="140" t="n"/>
      <c r="C824" s="141" t="n"/>
      <c r="D824" s="141" t="n"/>
      <c r="E824" s="142" t="n"/>
      <c r="F824" s="143" t="n"/>
      <c r="G824" s="144" t="n"/>
      <c r="H824" s="145">
        <f>IF(OR(C824="",AND(F824="",G824="")),"",SUMIF(基础资料!$W$5:$W$24,C824,基础资料!$X$5:$X$24)+SUMIF(C$7:C824,C824,F$7:F824)-SUMIF(C$7:C824,C824,G$7:G824))</f>
      </c>
      <c r="I824" s="145">
        <f>IF(AND(F824="",G824=""),"",SUM(基础资料!$X$5:$X$24)+SUM(F$7:F824)-SUM(G$7:G824))</f>
      </c>
      <c r="J824" s="141" t="n"/>
      <c r="K824" s="141" t="n"/>
      <c r="L824" s="141" t="n"/>
      <c r="M824" s="142" t="n"/>
      <c r="N824" s="146">
        <f>IF(AND(AND(F824="",G824=""),B824="",C824="",D824="",J824="",K824="",L824=""),"",IF(AND(F824="",G824=""),"✗ 没填金额",IF(AND(N(F824)&lt;&gt;0,N(G824)&lt;&gt;0),"✗ 收入、支出只能填一边",IF(NOT(ISNUMBER(B824)),"✗ 日期不是真日期（要像 2026/9/25 这样填）",IF(OR(B824&lt;年初日,B824&gt;年末日),"✗ 日期不在本会计年度",IF(C824="","✗ 没选账户",IF(COUNTIF(基础资料!$W$5:$W$24,C824)=0,"✗ 账户不在基础资料里",IF(O824="","✗ 没选收支项目",IF(P824="未知","✗ 收支项目不在基础资料里",IF(AND(P824="应收",J824=""),"✗ 这笔要选客户",IF(AND(P824="应收",COUNTIF(总览汇总!$B$5:$B$304,J824)=0),"✗ 客户不在总览汇总名单里",IF(AND(P824="应付",K824=""),"✗ 这笔要选供应商",IF(AND(P824="应付",COUNTIF(基础资料!$Q$5:$Q$54,K824)=0),"✗ 供应商不在基础资料里",IF(AND(P824="费用",L824=""),"✗ 费用支出要选费用项目",IF(AND(L824&lt;&gt;"",COUNTIF(基础资料!$AI$5:$AI$54,L824)=0),"✗ 费用项目不在基础资料里",IF(AND(IFERROR(INDEX(基础资料!$AD$5:$AD$34,MATCH(O824,基础资料!$AC$5:$AC$34,0)),"")="收",N(G824)&lt;&gt;0),"✗ 这类是收款，金额填到收入列",IF(AND(IFERROR(INDEX(基础资料!$AD$5:$AD$34,MATCH(O824,基础资料!$AC$5:$AC$34,0)),"")="支",N(F824)&lt;&gt;0),"✗ 这类是付款，金额填到支出列",IF(N(H824)&lt;0,"⚠ 账户余额成负数了，核对一下","√"))))))))))))))))))</f>
      </c>
      <c r="O824" s="78">
        <f>IF(D824&lt;&gt;"",D824,IF(AND(F824="",G824=""),"",IF(J824&lt;&gt;"",IF(N(F824)&gt;0,"客户回款","客户退款"),IF(K824&lt;&gt;"",IF(N(G824)&gt;0,"供应商付款","供应商退款"),IF(L824&lt;&gt;"","费用支出","")))))</f>
      </c>
      <c r="P824" s="78">
        <f>IF(O824="","",IFERROR(INDEX(基础资料!$AE$5:$AE$34,MATCH(O824,基础资料!$AC$5:$AC$34,0)),"未知"))</f>
      </c>
      <c r="Q824" s="78">
        <f>IF(P824="应收",COUNTIF(P$7:P824,"应收"),"")</f>
      </c>
      <c r="R824" s="78">
        <f>IF(P824="应付",COUNTIF(P$7:P824,"应付"),"")</f>
      </c>
      <c r="S824" s="78">
        <f>N(F824)-N(G824)</f>
        <v>0</v>
      </c>
    </row>
    <row r="825">
      <c r="A825" s="109">
        <f>IF(AND(F825="",G825=""),"",ROW()-6)</f>
      </c>
      <c r="B825" s="140" t="n"/>
      <c r="C825" s="141" t="n"/>
      <c r="D825" s="141" t="n"/>
      <c r="E825" s="142" t="n"/>
      <c r="F825" s="143" t="n"/>
      <c r="G825" s="144" t="n"/>
      <c r="H825" s="145">
        <f>IF(OR(C825="",AND(F825="",G825="")),"",SUMIF(基础资料!$W$5:$W$24,C825,基础资料!$X$5:$X$24)+SUMIF(C$7:C825,C825,F$7:F825)-SUMIF(C$7:C825,C825,G$7:G825))</f>
      </c>
      <c r="I825" s="145">
        <f>IF(AND(F825="",G825=""),"",SUM(基础资料!$X$5:$X$24)+SUM(F$7:F825)-SUM(G$7:G825))</f>
      </c>
      <c r="J825" s="141" t="n"/>
      <c r="K825" s="141" t="n"/>
      <c r="L825" s="141" t="n"/>
      <c r="M825" s="142" t="n"/>
      <c r="N825" s="146">
        <f>IF(AND(AND(F825="",G825=""),B825="",C825="",D825="",J825="",K825="",L825=""),"",IF(AND(F825="",G825=""),"✗ 没填金额",IF(AND(N(F825)&lt;&gt;0,N(G825)&lt;&gt;0),"✗ 收入、支出只能填一边",IF(NOT(ISNUMBER(B825)),"✗ 日期不是真日期（要像 2026/9/25 这样填）",IF(OR(B825&lt;年初日,B825&gt;年末日),"✗ 日期不在本会计年度",IF(C825="","✗ 没选账户",IF(COUNTIF(基础资料!$W$5:$W$24,C825)=0,"✗ 账户不在基础资料里",IF(O825="","✗ 没选收支项目",IF(P825="未知","✗ 收支项目不在基础资料里",IF(AND(P825="应收",J825=""),"✗ 这笔要选客户",IF(AND(P825="应收",COUNTIF(总览汇总!$B$5:$B$304,J825)=0),"✗ 客户不在总览汇总名单里",IF(AND(P825="应付",K825=""),"✗ 这笔要选供应商",IF(AND(P825="应付",COUNTIF(基础资料!$Q$5:$Q$54,K825)=0),"✗ 供应商不在基础资料里",IF(AND(P825="费用",L825=""),"✗ 费用支出要选费用项目",IF(AND(L825&lt;&gt;"",COUNTIF(基础资料!$AI$5:$AI$54,L825)=0),"✗ 费用项目不在基础资料里",IF(AND(IFERROR(INDEX(基础资料!$AD$5:$AD$34,MATCH(O825,基础资料!$AC$5:$AC$34,0)),"")="收",N(G825)&lt;&gt;0),"✗ 这类是收款，金额填到收入列",IF(AND(IFERROR(INDEX(基础资料!$AD$5:$AD$34,MATCH(O825,基础资料!$AC$5:$AC$34,0)),"")="支",N(F825)&lt;&gt;0),"✗ 这类是付款，金额填到支出列",IF(N(H825)&lt;0,"⚠ 账户余额成负数了，核对一下","√"))))))))))))))))))</f>
      </c>
      <c r="O825" s="78">
        <f>IF(D825&lt;&gt;"",D825,IF(AND(F825="",G825=""),"",IF(J825&lt;&gt;"",IF(N(F825)&gt;0,"客户回款","客户退款"),IF(K825&lt;&gt;"",IF(N(G825)&gt;0,"供应商付款","供应商退款"),IF(L825&lt;&gt;"","费用支出","")))))</f>
      </c>
      <c r="P825" s="78">
        <f>IF(O825="","",IFERROR(INDEX(基础资料!$AE$5:$AE$34,MATCH(O825,基础资料!$AC$5:$AC$34,0)),"未知"))</f>
      </c>
      <c r="Q825" s="78">
        <f>IF(P825="应收",COUNTIF(P$7:P825,"应收"),"")</f>
      </c>
      <c r="R825" s="78">
        <f>IF(P825="应付",COUNTIF(P$7:P825,"应付"),"")</f>
      </c>
      <c r="S825" s="78">
        <f>N(F825)-N(G825)</f>
        <v>0</v>
      </c>
    </row>
    <row r="826">
      <c r="A826" s="109">
        <f>IF(AND(F826="",G826=""),"",ROW()-6)</f>
      </c>
      <c r="B826" s="140" t="n"/>
      <c r="C826" s="141" t="n"/>
      <c r="D826" s="141" t="n"/>
      <c r="E826" s="142" t="n"/>
      <c r="F826" s="143" t="n"/>
      <c r="G826" s="144" t="n"/>
      <c r="H826" s="145">
        <f>IF(OR(C826="",AND(F826="",G826="")),"",SUMIF(基础资料!$W$5:$W$24,C826,基础资料!$X$5:$X$24)+SUMIF(C$7:C826,C826,F$7:F826)-SUMIF(C$7:C826,C826,G$7:G826))</f>
      </c>
      <c r="I826" s="145">
        <f>IF(AND(F826="",G826=""),"",SUM(基础资料!$X$5:$X$24)+SUM(F$7:F826)-SUM(G$7:G826))</f>
      </c>
      <c r="J826" s="141" t="n"/>
      <c r="K826" s="141" t="n"/>
      <c r="L826" s="141" t="n"/>
      <c r="M826" s="142" t="n"/>
      <c r="N826" s="146">
        <f>IF(AND(AND(F826="",G826=""),B826="",C826="",D826="",J826="",K826="",L826=""),"",IF(AND(F826="",G826=""),"✗ 没填金额",IF(AND(N(F826)&lt;&gt;0,N(G826)&lt;&gt;0),"✗ 收入、支出只能填一边",IF(NOT(ISNUMBER(B826)),"✗ 日期不是真日期（要像 2026/9/25 这样填）",IF(OR(B826&lt;年初日,B826&gt;年末日),"✗ 日期不在本会计年度",IF(C826="","✗ 没选账户",IF(COUNTIF(基础资料!$W$5:$W$24,C826)=0,"✗ 账户不在基础资料里",IF(O826="","✗ 没选收支项目",IF(P826="未知","✗ 收支项目不在基础资料里",IF(AND(P826="应收",J826=""),"✗ 这笔要选客户",IF(AND(P826="应收",COUNTIF(总览汇总!$B$5:$B$304,J826)=0),"✗ 客户不在总览汇总名单里",IF(AND(P826="应付",K826=""),"✗ 这笔要选供应商",IF(AND(P826="应付",COUNTIF(基础资料!$Q$5:$Q$54,K826)=0),"✗ 供应商不在基础资料里",IF(AND(P826="费用",L826=""),"✗ 费用支出要选费用项目",IF(AND(L826&lt;&gt;"",COUNTIF(基础资料!$AI$5:$AI$54,L826)=0),"✗ 费用项目不在基础资料里",IF(AND(IFERROR(INDEX(基础资料!$AD$5:$AD$34,MATCH(O826,基础资料!$AC$5:$AC$34,0)),"")="收",N(G826)&lt;&gt;0),"✗ 这类是收款，金额填到收入列",IF(AND(IFERROR(INDEX(基础资料!$AD$5:$AD$34,MATCH(O826,基础资料!$AC$5:$AC$34,0)),"")="支",N(F826)&lt;&gt;0),"✗ 这类是付款，金额填到支出列",IF(N(H826)&lt;0,"⚠ 账户余额成负数了，核对一下","√"))))))))))))))))))</f>
      </c>
      <c r="O826" s="78">
        <f>IF(D826&lt;&gt;"",D826,IF(AND(F826="",G826=""),"",IF(J826&lt;&gt;"",IF(N(F826)&gt;0,"客户回款","客户退款"),IF(K826&lt;&gt;"",IF(N(G826)&gt;0,"供应商付款","供应商退款"),IF(L826&lt;&gt;"","费用支出","")))))</f>
      </c>
      <c r="P826" s="78">
        <f>IF(O826="","",IFERROR(INDEX(基础资料!$AE$5:$AE$34,MATCH(O826,基础资料!$AC$5:$AC$34,0)),"未知"))</f>
      </c>
      <c r="Q826" s="78">
        <f>IF(P826="应收",COUNTIF(P$7:P826,"应收"),"")</f>
      </c>
      <c r="R826" s="78">
        <f>IF(P826="应付",COUNTIF(P$7:P826,"应付"),"")</f>
      </c>
      <c r="S826" s="78">
        <f>N(F826)-N(G826)</f>
        <v>0</v>
      </c>
    </row>
    <row r="827">
      <c r="A827" s="109">
        <f>IF(AND(F827="",G827=""),"",ROW()-6)</f>
      </c>
      <c r="B827" s="140" t="n"/>
      <c r="C827" s="141" t="n"/>
      <c r="D827" s="141" t="n"/>
      <c r="E827" s="142" t="n"/>
      <c r="F827" s="143" t="n"/>
      <c r="G827" s="144" t="n"/>
      <c r="H827" s="145">
        <f>IF(OR(C827="",AND(F827="",G827="")),"",SUMIF(基础资料!$W$5:$W$24,C827,基础资料!$X$5:$X$24)+SUMIF(C$7:C827,C827,F$7:F827)-SUMIF(C$7:C827,C827,G$7:G827))</f>
      </c>
      <c r="I827" s="145">
        <f>IF(AND(F827="",G827=""),"",SUM(基础资料!$X$5:$X$24)+SUM(F$7:F827)-SUM(G$7:G827))</f>
      </c>
      <c r="J827" s="141" t="n"/>
      <c r="K827" s="141" t="n"/>
      <c r="L827" s="141" t="n"/>
      <c r="M827" s="142" t="n"/>
      <c r="N827" s="146">
        <f>IF(AND(AND(F827="",G827=""),B827="",C827="",D827="",J827="",K827="",L827=""),"",IF(AND(F827="",G827=""),"✗ 没填金额",IF(AND(N(F827)&lt;&gt;0,N(G827)&lt;&gt;0),"✗ 收入、支出只能填一边",IF(NOT(ISNUMBER(B827)),"✗ 日期不是真日期（要像 2026/9/25 这样填）",IF(OR(B827&lt;年初日,B827&gt;年末日),"✗ 日期不在本会计年度",IF(C827="","✗ 没选账户",IF(COUNTIF(基础资料!$W$5:$W$24,C827)=0,"✗ 账户不在基础资料里",IF(O827="","✗ 没选收支项目",IF(P827="未知","✗ 收支项目不在基础资料里",IF(AND(P827="应收",J827=""),"✗ 这笔要选客户",IF(AND(P827="应收",COUNTIF(总览汇总!$B$5:$B$304,J827)=0),"✗ 客户不在总览汇总名单里",IF(AND(P827="应付",K827=""),"✗ 这笔要选供应商",IF(AND(P827="应付",COUNTIF(基础资料!$Q$5:$Q$54,K827)=0),"✗ 供应商不在基础资料里",IF(AND(P827="费用",L827=""),"✗ 费用支出要选费用项目",IF(AND(L827&lt;&gt;"",COUNTIF(基础资料!$AI$5:$AI$54,L827)=0),"✗ 费用项目不在基础资料里",IF(AND(IFERROR(INDEX(基础资料!$AD$5:$AD$34,MATCH(O827,基础资料!$AC$5:$AC$34,0)),"")="收",N(G827)&lt;&gt;0),"✗ 这类是收款，金额填到收入列",IF(AND(IFERROR(INDEX(基础资料!$AD$5:$AD$34,MATCH(O827,基础资料!$AC$5:$AC$34,0)),"")="支",N(F827)&lt;&gt;0),"✗ 这类是付款，金额填到支出列",IF(N(H827)&lt;0,"⚠ 账户余额成负数了，核对一下","√"))))))))))))))))))</f>
      </c>
      <c r="O827" s="78">
        <f>IF(D827&lt;&gt;"",D827,IF(AND(F827="",G827=""),"",IF(J827&lt;&gt;"",IF(N(F827)&gt;0,"客户回款","客户退款"),IF(K827&lt;&gt;"",IF(N(G827)&gt;0,"供应商付款","供应商退款"),IF(L827&lt;&gt;"","费用支出","")))))</f>
      </c>
      <c r="P827" s="78">
        <f>IF(O827="","",IFERROR(INDEX(基础资料!$AE$5:$AE$34,MATCH(O827,基础资料!$AC$5:$AC$34,0)),"未知"))</f>
      </c>
      <c r="Q827" s="78">
        <f>IF(P827="应收",COUNTIF(P$7:P827,"应收"),"")</f>
      </c>
      <c r="R827" s="78">
        <f>IF(P827="应付",COUNTIF(P$7:P827,"应付"),"")</f>
      </c>
      <c r="S827" s="78">
        <f>N(F827)-N(G827)</f>
        <v>0</v>
      </c>
    </row>
    <row r="828">
      <c r="A828" s="109">
        <f>IF(AND(F828="",G828=""),"",ROW()-6)</f>
      </c>
      <c r="B828" s="140" t="n"/>
      <c r="C828" s="141" t="n"/>
      <c r="D828" s="141" t="n"/>
      <c r="E828" s="142" t="n"/>
      <c r="F828" s="143" t="n"/>
      <c r="G828" s="144" t="n"/>
      <c r="H828" s="145">
        <f>IF(OR(C828="",AND(F828="",G828="")),"",SUMIF(基础资料!$W$5:$W$24,C828,基础资料!$X$5:$X$24)+SUMIF(C$7:C828,C828,F$7:F828)-SUMIF(C$7:C828,C828,G$7:G828))</f>
      </c>
      <c r="I828" s="145">
        <f>IF(AND(F828="",G828=""),"",SUM(基础资料!$X$5:$X$24)+SUM(F$7:F828)-SUM(G$7:G828))</f>
      </c>
      <c r="J828" s="141" t="n"/>
      <c r="K828" s="141" t="n"/>
      <c r="L828" s="141" t="n"/>
      <c r="M828" s="142" t="n"/>
      <c r="N828" s="146">
        <f>IF(AND(AND(F828="",G828=""),B828="",C828="",D828="",J828="",K828="",L828=""),"",IF(AND(F828="",G828=""),"✗ 没填金额",IF(AND(N(F828)&lt;&gt;0,N(G828)&lt;&gt;0),"✗ 收入、支出只能填一边",IF(NOT(ISNUMBER(B828)),"✗ 日期不是真日期（要像 2026/9/25 这样填）",IF(OR(B828&lt;年初日,B828&gt;年末日),"✗ 日期不在本会计年度",IF(C828="","✗ 没选账户",IF(COUNTIF(基础资料!$W$5:$W$24,C828)=0,"✗ 账户不在基础资料里",IF(O828="","✗ 没选收支项目",IF(P828="未知","✗ 收支项目不在基础资料里",IF(AND(P828="应收",J828=""),"✗ 这笔要选客户",IF(AND(P828="应收",COUNTIF(总览汇总!$B$5:$B$304,J828)=0),"✗ 客户不在总览汇总名单里",IF(AND(P828="应付",K828=""),"✗ 这笔要选供应商",IF(AND(P828="应付",COUNTIF(基础资料!$Q$5:$Q$54,K828)=0),"✗ 供应商不在基础资料里",IF(AND(P828="费用",L828=""),"✗ 费用支出要选费用项目",IF(AND(L828&lt;&gt;"",COUNTIF(基础资料!$AI$5:$AI$54,L828)=0),"✗ 费用项目不在基础资料里",IF(AND(IFERROR(INDEX(基础资料!$AD$5:$AD$34,MATCH(O828,基础资料!$AC$5:$AC$34,0)),"")="收",N(G828)&lt;&gt;0),"✗ 这类是收款，金额填到收入列",IF(AND(IFERROR(INDEX(基础资料!$AD$5:$AD$34,MATCH(O828,基础资料!$AC$5:$AC$34,0)),"")="支",N(F828)&lt;&gt;0),"✗ 这类是付款，金额填到支出列",IF(N(H828)&lt;0,"⚠ 账户余额成负数了，核对一下","√"))))))))))))))))))</f>
      </c>
      <c r="O828" s="78">
        <f>IF(D828&lt;&gt;"",D828,IF(AND(F828="",G828=""),"",IF(J828&lt;&gt;"",IF(N(F828)&gt;0,"客户回款","客户退款"),IF(K828&lt;&gt;"",IF(N(G828)&gt;0,"供应商付款","供应商退款"),IF(L828&lt;&gt;"","费用支出","")))))</f>
      </c>
      <c r="P828" s="78">
        <f>IF(O828="","",IFERROR(INDEX(基础资料!$AE$5:$AE$34,MATCH(O828,基础资料!$AC$5:$AC$34,0)),"未知"))</f>
      </c>
      <c r="Q828" s="78">
        <f>IF(P828="应收",COUNTIF(P$7:P828,"应收"),"")</f>
      </c>
      <c r="R828" s="78">
        <f>IF(P828="应付",COUNTIF(P$7:P828,"应付"),"")</f>
      </c>
      <c r="S828" s="78">
        <f>N(F828)-N(G828)</f>
        <v>0</v>
      </c>
    </row>
    <row r="829">
      <c r="A829" s="109">
        <f>IF(AND(F829="",G829=""),"",ROW()-6)</f>
      </c>
      <c r="B829" s="140" t="n"/>
      <c r="C829" s="141" t="n"/>
      <c r="D829" s="141" t="n"/>
      <c r="E829" s="142" t="n"/>
      <c r="F829" s="143" t="n"/>
      <c r="G829" s="144" t="n"/>
      <c r="H829" s="145">
        <f>IF(OR(C829="",AND(F829="",G829="")),"",SUMIF(基础资料!$W$5:$W$24,C829,基础资料!$X$5:$X$24)+SUMIF(C$7:C829,C829,F$7:F829)-SUMIF(C$7:C829,C829,G$7:G829))</f>
      </c>
      <c r="I829" s="145">
        <f>IF(AND(F829="",G829=""),"",SUM(基础资料!$X$5:$X$24)+SUM(F$7:F829)-SUM(G$7:G829))</f>
      </c>
      <c r="J829" s="141" t="n"/>
      <c r="K829" s="141" t="n"/>
      <c r="L829" s="141" t="n"/>
      <c r="M829" s="142" t="n"/>
      <c r="N829" s="146">
        <f>IF(AND(AND(F829="",G829=""),B829="",C829="",D829="",J829="",K829="",L829=""),"",IF(AND(F829="",G829=""),"✗ 没填金额",IF(AND(N(F829)&lt;&gt;0,N(G829)&lt;&gt;0),"✗ 收入、支出只能填一边",IF(NOT(ISNUMBER(B829)),"✗ 日期不是真日期（要像 2026/9/25 这样填）",IF(OR(B829&lt;年初日,B829&gt;年末日),"✗ 日期不在本会计年度",IF(C829="","✗ 没选账户",IF(COUNTIF(基础资料!$W$5:$W$24,C829)=0,"✗ 账户不在基础资料里",IF(O829="","✗ 没选收支项目",IF(P829="未知","✗ 收支项目不在基础资料里",IF(AND(P829="应收",J829=""),"✗ 这笔要选客户",IF(AND(P829="应收",COUNTIF(总览汇总!$B$5:$B$304,J829)=0),"✗ 客户不在总览汇总名单里",IF(AND(P829="应付",K829=""),"✗ 这笔要选供应商",IF(AND(P829="应付",COUNTIF(基础资料!$Q$5:$Q$54,K829)=0),"✗ 供应商不在基础资料里",IF(AND(P829="费用",L829=""),"✗ 费用支出要选费用项目",IF(AND(L829&lt;&gt;"",COUNTIF(基础资料!$AI$5:$AI$54,L829)=0),"✗ 费用项目不在基础资料里",IF(AND(IFERROR(INDEX(基础资料!$AD$5:$AD$34,MATCH(O829,基础资料!$AC$5:$AC$34,0)),"")="收",N(G829)&lt;&gt;0),"✗ 这类是收款，金额填到收入列",IF(AND(IFERROR(INDEX(基础资料!$AD$5:$AD$34,MATCH(O829,基础资料!$AC$5:$AC$34,0)),"")="支",N(F829)&lt;&gt;0),"✗ 这类是付款，金额填到支出列",IF(N(H829)&lt;0,"⚠ 账户余额成负数了，核对一下","√"))))))))))))))))))</f>
      </c>
      <c r="O829" s="78">
        <f>IF(D829&lt;&gt;"",D829,IF(AND(F829="",G829=""),"",IF(J829&lt;&gt;"",IF(N(F829)&gt;0,"客户回款","客户退款"),IF(K829&lt;&gt;"",IF(N(G829)&gt;0,"供应商付款","供应商退款"),IF(L829&lt;&gt;"","费用支出","")))))</f>
      </c>
      <c r="P829" s="78">
        <f>IF(O829="","",IFERROR(INDEX(基础资料!$AE$5:$AE$34,MATCH(O829,基础资料!$AC$5:$AC$34,0)),"未知"))</f>
      </c>
      <c r="Q829" s="78">
        <f>IF(P829="应收",COUNTIF(P$7:P829,"应收"),"")</f>
      </c>
      <c r="R829" s="78">
        <f>IF(P829="应付",COUNTIF(P$7:P829,"应付"),"")</f>
      </c>
      <c r="S829" s="78">
        <f>N(F829)-N(G829)</f>
        <v>0</v>
      </c>
    </row>
    <row r="830">
      <c r="A830" s="109">
        <f>IF(AND(F830="",G830=""),"",ROW()-6)</f>
      </c>
      <c r="B830" s="140" t="n"/>
      <c r="C830" s="141" t="n"/>
      <c r="D830" s="141" t="n"/>
      <c r="E830" s="142" t="n"/>
      <c r="F830" s="143" t="n"/>
      <c r="G830" s="144" t="n"/>
      <c r="H830" s="145">
        <f>IF(OR(C830="",AND(F830="",G830="")),"",SUMIF(基础资料!$W$5:$W$24,C830,基础资料!$X$5:$X$24)+SUMIF(C$7:C830,C830,F$7:F830)-SUMIF(C$7:C830,C830,G$7:G830))</f>
      </c>
      <c r="I830" s="145">
        <f>IF(AND(F830="",G830=""),"",SUM(基础资料!$X$5:$X$24)+SUM(F$7:F830)-SUM(G$7:G830))</f>
      </c>
      <c r="J830" s="141" t="n"/>
      <c r="K830" s="141" t="n"/>
      <c r="L830" s="141" t="n"/>
      <c r="M830" s="142" t="n"/>
      <c r="N830" s="146">
        <f>IF(AND(AND(F830="",G830=""),B830="",C830="",D830="",J830="",K830="",L830=""),"",IF(AND(F830="",G830=""),"✗ 没填金额",IF(AND(N(F830)&lt;&gt;0,N(G830)&lt;&gt;0),"✗ 收入、支出只能填一边",IF(NOT(ISNUMBER(B830)),"✗ 日期不是真日期（要像 2026/9/25 这样填）",IF(OR(B830&lt;年初日,B830&gt;年末日),"✗ 日期不在本会计年度",IF(C830="","✗ 没选账户",IF(COUNTIF(基础资料!$W$5:$W$24,C830)=0,"✗ 账户不在基础资料里",IF(O830="","✗ 没选收支项目",IF(P830="未知","✗ 收支项目不在基础资料里",IF(AND(P830="应收",J830=""),"✗ 这笔要选客户",IF(AND(P830="应收",COUNTIF(总览汇总!$B$5:$B$304,J830)=0),"✗ 客户不在总览汇总名单里",IF(AND(P830="应付",K830=""),"✗ 这笔要选供应商",IF(AND(P830="应付",COUNTIF(基础资料!$Q$5:$Q$54,K830)=0),"✗ 供应商不在基础资料里",IF(AND(P830="费用",L830=""),"✗ 费用支出要选费用项目",IF(AND(L830&lt;&gt;"",COUNTIF(基础资料!$AI$5:$AI$54,L830)=0),"✗ 费用项目不在基础资料里",IF(AND(IFERROR(INDEX(基础资料!$AD$5:$AD$34,MATCH(O830,基础资料!$AC$5:$AC$34,0)),"")="收",N(G830)&lt;&gt;0),"✗ 这类是收款，金额填到收入列",IF(AND(IFERROR(INDEX(基础资料!$AD$5:$AD$34,MATCH(O830,基础资料!$AC$5:$AC$34,0)),"")="支",N(F830)&lt;&gt;0),"✗ 这类是付款，金额填到支出列",IF(N(H830)&lt;0,"⚠ 账户余额成负数了，核对一下","√"))))))))))))))))))</f>
      </c>
      <c r="O830" s="78">
        <f>IF(D830&lt;&gt;"",D830,IF(AND(F830="",G830=""),"",IF(J830&lt;&gt;"",IF(N(F830)&gt;0,"客户回款","客户退款"),IF(K830&lt;&gt;"",IF(N(G830)&gt;0,"供应商付款","供应商退款"),IF(L830&lt;&gt;"","费用支出","")))))</f>
      </c>
      <c r="P830" s="78">
        <f>IF(O830="","",IFERROR(INDEX(基础资料!$AE$5:$AE$34,MATCH(O830,基础资料!$AC$5:$AC$34,0)),"未知"))</f>
      </c>
      <c r="Q830" s="78">
        <f>IF(P830="应收",COUNTIF(P$7:P830,"应收"),"")</f>
      </c>
      <c r="R830" s="78">
        <f>IF(P830="应付",COUNTIF(P$7:P830,"应付"),"")</f>
      </c>
      <c r="S830" s="78">
        <f>N(F830)-N(G830)</f>
        <v>0</v>
      </c>
    </row>
    <row r="831">
      <c r="A831" s="109">
        <f>IF(AND(F831="",G831=""),"",ROW()-6)</f>
      </c>
      <c r="B831" s="140" t="n"/>
      <c r="C831" s="141" t="n"/>
      <c r="D831" s="141" t="n"/>
      <c r="E831" s="142" t="n"/>
      <c r="F831" s="143" t="n"/>
      <c r="G831" s="144" t="n"/>
      <c r="H831" s="145">
        <f>IF(OR(C831="",AND(F831="",G831="")),"",SUMIF(基础资料!$W$5:$W$24,C831,基础资料!$X$5:$X$24)+SUMIF(C$7:C831,C831,F$7:F831)-SUMIF(C$7:C831,C831,G$7:G831))</f>
      </c>
      <c r="I831" s="145">
        <f>IF(AND(F831="",G831=""),"",SUM(基础资料!$X$5:$X$24)+SUM(F$7:F831)-SUM(G$7:G831))</f>
      </c>
      <c r="J831" s="141" t="n"/>
      <c r="K831" s="141" t="n"/>
      <c r="L831" s="141" t="n"/>
      <c r="M831" s="142" t="n"/>
      <c r="N831" s="146">
        <f>IF(AND(AND(F831="",G831=""),B831="",C831="",D831="",J831="",K831="",L831=""),"",IF(AND(F831="",G831=""),"✗ 没填金额",IF(AND(N(F831)&lt;&gt;0,N(G831)&lt;&gt;0),"✗ 收入、支出只能填一边",IF(NOT(ISNUMBER(B831)),"✗ 日期不是真日期（要像 2026/9/25 这样填）",IF(OR(B831&lt;年初日,B831&gt;年末日),"✗ 日期不在本会计年度",IF(C831="","✗ 没选账户",IF(COUNTIF(基础资料!$W$5:$W$24,C831)=0,"✗ 账户不在基础资料里",IF(O831="","✗ 没选收支项目",IF(P831="未知","✗ 收支项目不在基础资料里",IF(AND(P831="应收",J831=""),"✗ 这笔要选客户",IF(AND(P831="应收",COUNTIF(总览汇总!$B$5:$B$304,J831)=0),"✗ 客户不在总览汇总名单里",IF(AND(P831="应付",K831=""),"✗ 这笔要选供应商",IF(AND(P831="应付",COUNTIF(基础资料!$Q$5:$Q$54,K831)=0),"✗ 供应商不在基础资料里",IF(AND(P831="费用",L831=""),"✗ 费用支出要选费用项目",IF(AND(L831&lt;&gt;"",COUNTIF(基础资料!$AI$5:$AI$54,L831)=0),"✗ 费用项目不在基础资料里",IF(AND(IFERROR(INDEX(基础资料!$AD$5:$AD$34,MATCH(O831,基础资料!$AC$5:$AC$34,0)),"")="收",N(G831)&lt;&gt;0),"✗ 这类是收款，金额填到收入列",IF(AND(IFERROR(INDEX(基础资料!$AD$5:$AD$34,MATCH(O831,基础资料!$AC$5:$AC$34,0)),"")="支",N(F831)&lt;&gt;0),"✗ 这类是付款，金额填到支出列",IF(N(H831)&lt;0,"⚠ 账户余额成负数了，核对一下","√"))))))))))))))))))</f>
      </c>
      <c r="O831" s="78">
        <f>IF(D831&lt;&gt;"",D831,IF(AND(F831="",G831=""),"",IF(J831&lt;&gt;"",IF(N(F831)&gt;0,"客户回款","客户退款"),IF(K831&lt;&gt;"",IF(N(G831)&gt;0,"供应商付款","供应商退款"),IF(L831&lt;&gt;"","费用支出","")))))</f>
      </c>
      <c r="P831" s="78">
        <f>IF(O831="","",IFERROR(INDEX(基础资料!$AE$5:$AE$34,MATCH(O831,基础资料!$AC$5:$AC$34,0)),"未知"))</f>
      </c>
      <c r="Q831" s="78">
        <f>IF(P831="应收",COUNTIF(P$7:P831,"应收"),"")</f>
      </c>
      <c r="R831" s="78">
        <f>IF(P831="应付",COUNTIF(P$7:P831,"应付"),"")</f>
      </c>
      <c r="S831" s="78">
        <f>N(F831)-N(G831)</f>
        <v>0</v>
      </c>
    </row>
    <row r="832">
      <c r="A832" s="109">
        <f>IF(AND(F832="",G832=""),"",ROW()-6)</f>
      </c>
      <c r="B832" s="140" t="n"/>
      <c r="C832" s="141" t="n"/>
      <c r="D832" s="141" t="n"/>
      <c r="E832" s="142" t="n"/>
      <c r="F832" s="143" t="n"/>
      <c r="G832" s="144" t="n"/>
      <c r="H832" s="145">
        <f>IF(OR(C832="",AND(F832="",G832="")),"",SUMIF(基础资料!$W$5:$W$24,C832,基础资料!$X$5:$X$24)+SUMIF(C$7:C832,C832,F$7:F832)-SUMIF(C$7:C832,C832,G$7:G832))</f>
      </c>
      <c r="I832" s="145">
        <f>IF(AND(F832="",G832=""),"",SUM(基础资料!$X$5:$X$24)+SUM(F$7:F832)-SUM(G$7:G832))</f>
      </c>
      <c r="J832" s="141" t="n"/>
      <c r="K832" s="141" t="n"/>
      <c r="L832" s="141" t="n"/>
      <c r="M832" s="142" t="n"/>
      <c r="N832" s="146">
        <f>IF(AND(AND(F832="",G832=""),B832="",C832="",D832="",J832="",K832="",L832=""),"",IF(AND(F832="",G832=""),"✗ 没填金额",IF(AND(N(F832)&lt;&gt;0,N(G832)&lt;&gt;0),"✗ 收入、支出只能填一边",IF(NOT(ISNUMBER(B832)),"✗ 日期不是真日期（要像 2026/9/25 这样填）",IF(OR(B832&lt;年初日,B832&gt;年末日),"✗ 日期不在本会计年度",IF(C832="","✗ 没选账户",IF(COUNTIF(基础资料!$W$5:$W$24,C832)=0,"✗ 账户不在基础资料里",IF(O832="","✗ 没选收支项目",IF(P832="未知","✗ 收支项目不在基础资料里",IF(AND(P832="应收",J832=""),"✗ 这笔要选客户",IF(AND(P832="应收",COUNTIF(总览汇总!$B$5:$B$304,J832)=0),"✗ 客户不在总览汇总名单里",IF(AND(P832="应付",K832=""),"✗ 这笔要选供应商",IF(AND(P832="应付",COUNTIF(基础资料!$Q$5:$Q$54,K832)=0),"✗ 供应商不在基础资料里",IF(AND(P832="费用",L832=""),"✗ 费用支出要选费用项目",IF(AND(L832&lt;&gt;"",COUNTIF(基础资料!$AI$5:$AI$54,L832)=0),"✗ 费用项目不在基础资料里",IF(AND(IFERROR(INDEX(基础资料!$AD$5:$AD$34,MATCH(O832,基础资料!$AC$5:$AC$34,0)),"")="收",N(G832)&lt;&gt;0),"✗ 这类是收款，金额填到收入列",IF(AND(IFERROR(INDEX(基础资料!$AD$5:$AD$34,MATCH(O832,基础资料!$AC$5:$AC$34,0)),"")="支",N(F832)&lt;&gt;0),"✗ 这类是付款，金额填到支出列",IF(N(H832)&lt;0,"⚠ 账户余额成负数了，核对一下","√"))))))))))))))))))</f>
      </c>
      <c r="O832" s="78">
        <f>IF(D832&lt;&gt;"",D832,IF(AND(F832="",G832=""),"",IF(J832&lt;&gt;"",IF(N(F832)&gt;0,"客户回款","客户退款"),IF(K832&lt;&gt;"",IF(N(G832)&gt;0,"供应商付款","供应商退款"),IF(L832&lt;&gt;"","费用支出","")))))</f>
      </c>
      <c r="P832" s="78">
        <f>IF(O832="","",IFERROR(INDEX(基础资料!$AE$5:$AE$34,MATCH(O832,基础资料!$AC$5:$AC$34,0)),"未知"))</f>
      </c>
      <c r="Q832" s="78">
        <f>IF(P832="应收",COUNTIF(P$7:P832,"应收"),"")</f>
      </c>
      <c r="R832" s="78">
        <f>IF(P832="应付",COUNTIF(P$7:P832,"应付"),"")</f>
      </c>
      <c r="S832" s="78">
        <f>N(F832)-N(G832)</f>
        <v>0</v>
      </c>
    </row>
    <row r="833">
      <c r="A833" s="109">
        <f>IF(AND(F833="",G833=""),"",ROW()-6)</f>
      </c>
      <c r="B833" s="140" t="n"/>
      <c r="C833" s="141" t="n"/>
      <c r="D833" s="141" t="n"/>
      <c r="E833" s="142" t="n"/>
      <c r="F833" s="143" t="n"/>
      <c r="G833" s="144" t="n"/>
      <c r="H833" s="145">
        <f>IF(OR(C833="",AND(F833="",G833="")),"",SUMIF(基础资料!$W$5:$W$24,C833,基础资料!$X$5:$X$24)+SUMIF(C$7:C833,C833,F$7:F833)-SUMIF(C$7:C833,C833,G$7:G833))</f>
      </c>
      <c r="I833" s="145">
        <f>IF(AND(F833="",G833=""),"",SUM(基础资料!$X$5:$X$24)+SUM(F$7:F833)-SUM(G$7:G833))</f>
      </c>
      <c r="J833" s="141" t="n"/>
      <c r="K833" s="141" t="n"/>
      <c r="L833" s="141" t="n"/>
      <c r="M833" s="142" t="n"/>
      <c r="N833" s="146">
        <f>IF(AND(AND(F833="",G833=""),B833="",C833="",D833="",J833="",K833="",L833=""),"",IF(AND(F833="",G833=""),"✗ 没填金额",IF(AND(N(F833)&lt;&gt;0,N(G833)&lt;&gt;0),"✗ 收入、支出只能填一边",IF(NOT(ISNUMBER(B833)),"✗ 日期不是真日期（要像 2026/9/25 这样填）",IF(OR(B833&lt;年初日,B833&gt;年末日),"✗ 日期不在本会计年度",IF(C833="","✗ 没选账户",IF(COUNTIF(基础资料!$W$5:$W$24,C833)=0,"✗ 账户不在基础资料里",IF(O833="","✗ 没选收支项目",IF(P833="未知","✗ 收支项目不在基础资料里",IF(AND(P833="应收",J833=""),"✗ 这笔要选客户",IF(AND(P833="应收",COUNTIF(总览汇总!$B$5:$B$304,J833)=0),"✗ 客户不在总览汇总名单里",IF(AND(P833="应付",K833=""),"✗ 这笔要选供应商",IF(AND(P833="应付",COUNTIF(基础资料!$Q$5:$Q$54,K833)=0),"✗ 供应商不在基础资料里",IF(AND(P833="费用",L833=""),"✗ 费用支出要选费用项目",IF(AND(L833&lt;&gt;"",COUNTIF(基础资料!$AI$5:$AI$54,L833)=0),"✗ 费用项目不在基础资料里",IF(AND(IFERROR(INDEX(基础资料!$AD$5:$AD$34,MATCH(O833,基础资料!$AC$5:$AC$34,0)),"")="收",N(G833)&lt;&gt;0),"✗ 这类是收款，金额填到收入列",IF(AND(IFERROR(INDEX(基础资料!$AD$5:$AD$34,MATCH(O833,基础资料!$AC$5:$AC$34,0)),"")="支",N(F833)&lt;&gt;0),"✗ 这类是付款，金额填到支出列",IF(N(H833)&lt;0,"⚠ 账户余额成负数了，核对一下","√"))))))))))))))))))</f>
      </c>
      <c r="O833" s="78">
        <f>IF(D833&lt;&gt;"",D833,IF(AND(F833="",G833=""),"",IF(J833&lt;&gt;"",IF(N(F833)&gt;0,"客户回款","客户退款"),IF(K833&lt;&gt;"",IF(N(G833)&gt;0,"供应商付款","供应商退款"),IF(L833&lt;&gt;"","费用支出","")))))</f>
      </c>
      <c r="P833" s="78">
        <f>IF(O833="","",IFERROR(INDEX(基础资料!$AE$5:$AE$34,MATCH(O833,基础资料!$AC$5:$AC$34,0)),"未知"))</f>
      </c>
      <c r="Q833" s="78">
        <f>IF(P833="应收",COUNTIF(P$7:P833,"应收"),"")</f>
      </c>
      <c r="R833" s="78">
        <f>IF(P833="应付",COUNTIF(P$7:P833,"应付"),"")</f>
      </c>
      <c r="S833" s="78">
        <f>N(F833)-N(G833)</f>
        <v>0</v>
      </c>
    </row>
    <row r="834">
      <c r="A834" s="109">
        <f>IF(AND(F834="",G834=""),"",ROW()-6)</f>
      </c>
      <c r="B834" s="140" t="n"/>
      <c r="C834" s="141" t="n"/>
      <c r="D834" s="141" t="n"/>
      <c r="E834" s="142" t="n"/>
      <c r="F834" s="143" t="n"/>
      <c r="G834" s="144" t="n"/>
      <c r="H834" s="145">
        <f>IF(OR(C834="",AND(F834="",G834="")),"",SUMIF(基础资料!$W$5:$W$24,C834,基础资料!$X$5:$X$24)+SUMIF(C$7:C834,C834,F$7:F834)-SUMIF(C$7:C834,C834,G$7:G834))</f>
      </c>
      <c r="I834" s="145">
        <f>IF(AND(F834="",G834=""),"",SUM(基础资料!$X$5:$X$24)+SUM(F$7:F834)-SUM(G$7:G834))</f>
      </c>
      <c r="J834" s="141" t="n"/>
      <c r="K834" s="141" t="n"/>
      <c r="L834" s="141" t="n"/>
      <c r="M834" s="142" t="n"/>
      <c r="N834" s="146">
        <f>IF(AND(AND(F834="",G834=""),B834="",C834="",D834="",J834="",K834="",L834=""),"",IF(AND(F834="",G834=""),"✗ 没填金额",IF(AND(N(F834)&lt;&gt;0,N(G834)&lt;&gt;0),"✗ 收入、支出只能填一边",IF(NOT(ISNUMBER(B834)),"✗ 日期不是真日期（要像 2026/9/25 这样填）",IF(OR(B834&lt;年初日,B834&gt;年末日),"✗ 日期不在本会计年度",IF(C834="","✗ 没选账户",IF(COUNTIF(基础资料!$W$5:$W$24,C834)=0,"✗ 账户不在基础资料里",IF(O834="","✗ 没选收支项目",IF(P834="未知","✗ 收支项目不在基础资料里",IF(AND(P834="应收",J834=""),"✗ 这笔要选客户",IF(AND(P834="应收",COUNTIF(总览汇总!$B$5:$B$304,J834)=0),"✗ 客户不在总览汇总名单里",IF(AND(P834="应付",K834=""),"✗ 这笔要选供应商",IF(AND(P834="应付",COUNTIF(基础资料!$Q$5:$Q$54,K834)=0),"✗ 供应商不在基础资料里",IF(AND(P834="费用",L834=""),"✗ 费用支出要选费用项目",IF(AND(L834&lt;&gt;"",COUNTIF(基础资料!$AI$5:$AI$54,L834)=0),"✗ 费用项目不在基础资料里",IF(AND(IFERROR(INDEX(基础资料!$AD$5:$AD$34,MATCH(O834,基础资料!$AC$5:$AC$34,0)),"")="收",N(G834)&lt;&gt;0),"✗ 这类是收款，金额填到收入列",IF(AND(IFERROR(INDEX(基础资料!$AD$5:$AD$34,MATCH(O834,基础资料!$AC$5:$AC$34,0)),"")="支",N(F834)&lt;&gt;0),"✗ 这类是付款，金额填到支出列",IF(N(H834)&lt;0,"⚠ 账户余额成负数了，核对一下","√"))))))))))))))))))</f>
      </c>
      <c r="O834" s="78">
        <f>IF(D834&lt;&gt;"",D834,IF(AND(F834="",G834=""),"",IF(J834&lt;&gt;"",IF(N(F834)&gt;0,"客户回款","客户退款"),IF(K834&lt;&gt;"",IF(N(G834)&gt;0,"供应商付款","供应商退款"),IF(L834&lt;&gt;"","费用支出","")))))</f>
      </c>
      <c r="P834" s="78">
        <f>IF(O834="","",IFERROR(INDEX(基础资料!$AE$5:$AE$34,MATCH(O834,基础资料!$AC$5:$AC$34,0)),"未知"))</f>
      </c>
      <c r="Q834" s="78">
        <f>IF(P834="应收",COUNTIF(P$7:P834,"应收"),"")</f>
      </c>
      <c r="R834" s="78">
        <f>IF(P834="应付",COUNTIF(P$7:P834,"应付"),"")</f>
      </c>
      <c r="S834" s="78">
        <f>N(F834)-N(G834)</f>
        <v>0</v>
      </c>
    </row>
    <row r="835">
      <c r="A835" s="109">
        <f>IF(AND(F835="",G835=""),"",ROW()-6)</f>
      </c>
      <c r="B835" s="140" t="n"/>
      <c r="C835" s="141" t="n"/>
      <c r="D835" s="141" t="n"/>
      <c r="E835" s="142" t="n"/>
      <c r="F835" s="143" t="n"/>
      <c r="G835" s="144" t="n"/>
      <c r="H835" s="145">
        <f>IF(OR(C835="",AND(F835="",G835="")),"",SUMIF(基础资料!$W$5:$W$24,C835,基础资料!$X$5:$X$24)+SUMIF(C$7:C835,C835,F$7:F835)-SUMIF(C$7:C835,C835,G$7:G835))</f>
      </c>
      <c r="I835" s="145">
        <f>IF(AND(F835="",G835=""),"",SUM(基础资料!$X$5:$X$24)+SUM(F$7:F835)-SUM(G$7:G835))</f>
      </c>
      <c r="J835" s="141" t="n"/>
      <c r="K835" s="141" t="n"/>
      <c r="L835" s="141" t="n"/>
      <c r="M835" s="142" t="n"/>
      <c r="N835" s="146">
        <f>IF(AND(AND(F835="",G835=""),B835="",C835="",D835="",J835="",K835="",L835=""),"",IF(AND(F835="",G835=""),"✗ 没填金额",IF(AND(N(F835)&lt;&gt;0,N(G835)&lt;&gt;0),"✗ 收入、支出只能填一边",IF(NOT(ISNUMBER(B835)),"✗ 日期不是真日期（要像 2026/9/25 这样填）",IF(OR(B835&lt;年初日,B835&gt;年末日),"✗ 日期不在本会计年度",IF(C835="","✗ 没选账户",IF(COUNTIF(基础资料!$W$5:$W$24,C835)=0,"✗ 账户不在基础资料里",IF(O835="","✗ 没选收支项目",IF(P835="未知","✗ 收支项目不在基础资料里",IF(AND(P835="应收",J835=""),"✗ 这笔要选客户",IF(AND(P835="应收",COUNTIF(总览汇总!$B$5:$B$304,J835)=0),"✗ 客户不在总览汇总名单里",IF(AND(P835="应付",K835=""),"✗ 这笔要选供应商",IF(AND(P835="应付",COUNTIF(基础资料!$Q$5:$Q$54,K835)=0),"✗ 供应商不在基础资料里",IF(AND(P835="费用",L835=""),"✗ 费用支出要选费用项目",IF(AND(L835&lt;&gt;"",COUNTIF(基础资料!$AI$5:$AI$54,L835)=0),"✗ 费用项目不在基础资料里",IF(AND(IFERROR(INDEX(基础资料!$AD$5:$AD$34,MATCH(O835,基础资料!$AC$5:$AC$34,0)),"")="收",N(G835)&lt;&gt;0),"✗ 这类是收款，金额填到收入列",IF(AND(IFERROR(INDEX(基础资料!$AD$5:$AD$34,MATCH(O835,基础资料!$AC$5:$AC$34,0)),"")="支",N(F835)&lt;&gt;0),"✗ 这类是付款，金额填到支出列",IF(N(H835)&lt;0,"⚠ 账户余额成负数了，核对一下","√"))))))))))))))))))</f>
      </c>
      <c r="O835" s="78">
        <f>IF(D835&lt;&gt;"",D835,IF(AND(F835="",G835=""),"",IF(J835&lt;&gt;"",IF(N(F835)&gt;0,"客户回款","客户退款"),IF(K835&lt;&gt;"",IF(N(G835)&gt;0,"供应商付款","供应商退款"),IF(L835&lt;&gt;"","费用支出","")))))</f>
      </c>
      <c r="P835" s="78">
        <f>IF(O835="","",IFERROR(INDEX(基础资料!$AE$5:$AE$34,MATCH(O835,基础资料!$AC$5:$AC$34,0)),"未知"))</f>
      </c>
      <c r="Q835" s="78">
        <f>IF(P835="应收",COUNTIF(P$7:P835,"应收"),"")</f>
      </c>
      <c r="R835" s="78">
        <f>IF(P835="应付",COUNTIF(P$7:P835,"应付"),"")</f>
      </c>
      <c r="S835" s="78">
        <f>N(F835)-N(G835)</f>
        <v>0</v>
      </c>
    </row>
    <row r="836">
      <c r="A836" s="109">
        <f>IF(AND(F836="",G836=""),"",ROW()-6)</f>
      </c>
      <c r="B836" s="140" t="n"/>
      <c r="C836" s="141" t="n"/>
      <c r="D836" s="141" t="n"/>
      <c r="E836" s="142" t="n"/>
      <c r="F836" s="143" t="n"/>
      <c r="G836" s="144" t="n"/>
      <c r="H836" s="145">
        <f>IF(OR(C836="",AND(F836="",G836="")),"",SUMIF(基础资料!$W$5:$W$24,C836,基础资料!$X$5:$X$24)+SUMIF(C$7:C836,C836,F$7:F836)-SUMIF(C$7:C836,C836,G$7:G836))</f>
      </c>
      <c r="I836" s="145">
        <f>IF(AND(F836="",G836=""),"",SUM(基础资料!$X$5:$X$24)+SUM(F$7:F836)-SUM(G$7:G836))</f>
      </c>
      <c r="J836" s="141" t="n"/>
      <c r="K836" s="141" t="n"/>
      <c r="L836" s="141" t="n"/>
      <c r="M836" s="142" t="n"/>
      <c r="N836" s="146">
        <f>IF(AND(AND(F836="",G836=""),B836="",C836="",D836="",J836="",K836="",L836=""),"",IF(AND(F836="",G836=""),"✗ 没填金额",IF(AND(N(F836)&lt;&gt;0,N(G836)&lt;&gt;0),"✗ 收入、支出只能填一边",IF(NOT(ISNUMBER(B836)),"✗ 日期不是真日期（要像 2026/9/25 这样填）",IF(OR(B836&lt;年初日,B836&gt;年末日),"✗ 日期不在本会计年度",IF(C836="","✗ 没选账户",IF(COUNTIF(基础资料!$W$5:$W$24,C836)=0,"✗ 账户不在基础资料里",IF(O836="","✗ 没选收支项目",IF(P836="未知","✗ 收支项目不在基础资料里",IF(AND(P836="应收",J836=""),"✗ 这笔要选客户",IF(AND(P836="应收",COUNTIF(总览汇总!$B$5:$B$304,J836)=0),"✗ 客户不在总览汇总名单里",IF(AND(P836="应付",K836=""),"✗ 这笔要选供应商",IF(AND(P836="应付",COUNTIF(基础资料!$Q$5:$Q$54,K836)=0),"✗ 供应商不在基础资料里",IF(AND(P836="费用",L836=""),"✗ 费用支出要选费用项目",IF(AND(L836&lt;&gt;"",COUNTIF(基础资料!$AI$5:$AI$54,L836)=0),"✗ 费用项目不在基础资料里",IF(AND(IFERROR(INDEX(基础资料!$AD$5:$AD$34,MATCH(O836,基础资料!$AC$5:$AC$34,0)),"")="收",N(G836)&lt;&gt;0),"✗ 这类是收款，金额填到收入列",IF(AND(IFERROR(INDEX(基础资料!$AD$5:$AD$34,MATCH(O836,基础资料!$AC$5:$AC$34,0)),"")="支",N(F836)&lt;&gt;0),"✗ 这类是付款，金额填到支出列",IF(N(H836)&lt;0,"⚠ 账户余额成负数了，核对一下","√"))))))))))))))))))</f>
      </c>
      <c r="O836" s="78">
        <f>IF(D836&lt;&gt;"",D836,IF(AND(F836="",G836=""),"",IF(J836&lt;&gt;"",IF(N(F836)&gt;0,"客户回款","客户退款"),IF(K836&lt;&gt;"",IF(N(G836)&gt;0,"供应商付款","供应商退款"),IF(L836&lt;&gt;"","费用支出","")))))</f>
      </c>
      <c r="P836" s="78">
        <f>IF(O836="","",IFERROR(INDEX(基础资料!$AE$5:$AE$34,MATCH(O836,基础资料!$AC$5:$AC$34,0)),"未知"))</f>
      </c>
      <c r="Q836" s="78">
        <f>IF(P836="应收",COUNTIF(P$7:P836,"应收"),"")</f>
      </c>
      <c r="R836" s="78">
        <f>IF(P836="应付",COUNTIF(P$7:P836,"应付"),"")</f>
      </c>
      <c r="S836" s="78">
        <f>N(F836)-N(G836)</f>
        <v>0</v>
      </c>
    </row>
    <row r="837">
      <c r="A837" s="109">
        <f>IF(AND(F837="",G837=""),"",ROW()-6)</f>
      </c>
      <c r="B837" s="140" t="n"/>
      <c r="C837" s="141" t="n"/>
      <c r="D837" s="141" t="n"/>
      <c r="E837" s="142" t="n"/>
      <c r="F837" s="143" t="n"/>
      <c r="G837" s="144" t="n"/>
      <c r="H837" s="145">
        <f>IF(OR(C837="",AND(F837="",G837="")),"",SUMIF(基础资料!$W$5:$W$24,C837,基础资料!$X$5:$X$24)+SUMIF(C$7:C837,C837,F$7:F837)-SUMIF(C$7:C837,C837,G$7:G837))</f>
      </c>
      <c r="I837" s="145">
        <f>IF(AND(F837="",G837=""),"",SUM(基础资料!$X$5:$X$24)+SUM(F$7:F837)-SUM(G$7:G837))</f>
      </c>
      <c r="J837" s="141" t="n"/>
      <c r="K837" s="141" t="n"/>
      <c r="L837" s="141" t="n"/>
      <c r="M837" s="142" t="n"/>
      <c r="N837" s="146">
        <f>IF(AND(AND(F837="",G837=""),B837="",C837="",D837="",J837="",K837="",L837=""),"",IF(AND(F837="",G837=""),"✗ 没填金额",IF(AND(N(F837)&lt;&gt;0,N(G837)&lt;&gt;0),"✗ 收入、支出只能填一边",IF(NOT(ISNUMBER(B837)),"✗ 日期不是真日期（要像 2026/9/25 这样填）",IF(OR(B837&lt;年初日,B837&gt;年末日),"✗ 日期不在本会计年度",IF(C837="","✗ 没选账户",IF(COUNTIF(基础资料!$W$5:$W$24,C837)=0,"✗ 账户不在基础资料里",IF(O837="","✗ 没选收支项目",IF(P837="未知","✗ 收支项目不在基础资料里",IF(AND(P837="应收",J837=""),"✗ 这笔要选客户",IF(AND(P837="应收",COUNTIF(总览汇总!$B$5:$B$304,J837)=0),"✗ 客户不在总览汇总名单里",IF(AND(P837="应付",K837=""),"✗ 这笔要选供应商",IF(AND(P837="应付",COUNTIF(基础资料!$Q$5:$Q$54,K837)=0),"✗ 供应商不在基础资料里",IF(AND(P837="费用",L837=""),"✗ 费用支出要选费用项目",IF(AND(L837&lt;&gt;"",COUNTIF(基础资料!$AI$5:$AI$54,L837)=0),"✗ 费用项目不在基础资料里",IF(AND(IFERROR(INDEX(基础资料!$AD$5:$AD$34,MATCH(O837,基础资料!$AC$5:$AC$34,0)),"")="收",N(G837)&lt;&gt;0),"✗ 这类是收款，金额填到收入列",IF(AND(IFERROR(INDEX(基础资料!$AD$5:$AD$34,MATCH(O837,基础资料!$AC$5:$AC$34,0)),"")="支",N(F837)&lt;&gt;0),"✗ 这类是付款，金额填到支出列",IF(N(H837)&lt;0,"⚠ 账户余额成负数了，核对一下","√"))))))))))))))))))</f>
      </c>
      <c r="O837" s="78">
        <f>IF(D837&lt;&gt;"",D837,IF(AND(F837="",G837=""),"",IF(J837&lt;&gt;"",IF(N(F837)&gt;0,"客户回款","客户退款"),IF(K837&lt;&gt;"",IF(N(G837)&gt;0,"供应商付款","供应商退款"),IF(L837&lt;&gt;"","费用支出","")))))</f>
      </c>
      <c r="P837" s="78">
        <f>IF(O837="","",IFERROR(INDEX(基础资料!$AE$5:$AE$34,MATCH(O837,基础资料!$AC$5:$AC$34,0)),"未知"))</f>
      </c>
      <c r="Q837" s="78">
        <f>IF(P837="应收",COUNTIF(P$7:P837,"应收"),"")</f>
      </c>
      <c r="R837" s="78">
        <f>IF(P837="应付",COUNTIF(P$7:P837,"应付"),"")</f>
      </c>
      <c r="S837" s="78">
        <f>N(F837)-N(G837)</f>
        <v>0</v>
      </c>
    </row>
    <row r="838">
      <c r="A838" s="109">
        <f>IF(AND(F838="",G838=""),"",ROW()-6)</f>
      </c>
      <c r="B838" s="140" t="n"/>
      <c r="C838" s="141" t="n"/>
      <c r="D838" s="141" t="n"/>
      <c r="E838" s="142" t="n"/>
      <c r="F838" s="143" t="n"/>
      <c r="G838" s="144" t="n"/>
      <c r="H838" s="145">
        <f>IF(OR(C838="",AND(F838="",G838="")),"",SUMIF(基础资料!$W$5:$W$24,C838,基础资料!$X$5:$X$24)+SUMIF(C$7:C838,C838,F$7:F838)-SUMIF(C$7:C838,C838,G$7:G838))</f>
      </c>
      <c r="I838" s="145">
        <f>IF(AND(F838="",G838=""),"",SUM(基础资料!$X$5:$X$24)+SUM(F$7:F838)-SUM(G$7:G838))</f>
      </c>
      <c r="J838" s="141" t="n"/>
      <c r="K838" s="141" t="n"/>
      <c r="L838" s="141" t="n"/>
      <c r="M838" s="142" t="n"/>
      <c r="N838" s="146">
        <f>IF(AND(AND(F838="",G838=""),B838="",C838="",D838="",J838="",K838="",L838=""),"",IF(AND(F838="",G838=""),"✗ 没填金额",IF(AND(N(F838)&lt;&gt;0,N(G838)&lt;&gt;0),"✗ 收入、支出只能填一边",IF(NOT(ISNUMBER(B838)),"✗ 日期不是真日期（要像 2026/9/25 这样填）",IF(OR(B838&lt;年初日,B838&gt;年末日),"✗ 日期不在本会计年度",IF(C838="","✗ 没选账户",IF(COUNTIF(基础资料!$W$5:$W$24,C838)=0,"✗ 账户不在基础资料里",IF(O838="","✗ 没选收支项目",IF(P838="未知","✗ 收支项目不在基础资料里",IF(AND(P838="应收",J838=""),"✗ 这笔要选客户",IF(AND(P838="应收",COUNTIF(总览汇总!$B$5:$B$304,J838)=0),"✗ 客户不在总览汇总名单里",IF(AND(P838="应付",K838=""),"✗ 这笔要选供应商",IF(AND(P838="应付",COUNTIF(基础资料!$Q$5:$Q$54,K838)=0),"✗ 供应商不在基础资料里",IF(AND(P838="费用",L838=""),"✗ 费用支出要选费用项目",IF(AND(L838&lt;&gt;"",COUNTIF(基础资料!$AI$5:$AI$54,L838)=0),"✗ 费用项目不在基础资料里",IF(AND(IFERROR(INDEX(基础资料!$AD$5:$AD$34,MATCH(O838,基础资料!$AC$5:$AC$34,0)),"")="收",N(G838)&lt;&gt;0),"✗ 这类是收款，金额填到收入列",IF(AND(IFERROR(INDEX(基础资料!$AD$5:$AD$34,MATCH(O838,基础资料!$AC$5:$AC$34,0)),"")="支",N(F838)&lt;&gt;0),"✗ 这类是付款，金额填到支出列",IF(N(H838)&lt;0,"⚠ 账户余额成负数了，核对一下","√"))))))))))))))))))</f>
      </c>
      <c r="O838" s="78">
        <f>IF(D838&lt;&gt;"",D838,IF(AND(F838="",G838=""),"",IF(J838&lt;&gt;"",IF(N(F838)&gt;0,"客户回款","客户退款"),IF(K838&lt;&gt;"",IF(N(G838)&gt;0,"供应商付款","供应商退款"),IF(L838&lt;&gt;"","费用支出","")))))</f>
      </c>
      <c r="P838" s="78">
        <f>IF(O838="","",IFERROR(INDEX(基础资料!$AE$5:$AE$34,MATCH(O838,基础资料!$AC$5:$AC$34,0)),"未知"))</f>
      </c>
      <c r="Q838" s="78">
        <f>IF(P838="应收",COUNTIF(P$7:P838,"应收"),"")</f>
      </c>
      <c r="R838" s="78">
        <f>IF(P838="应付",COUNTIF(P$7:P838,"应付"),"")</f>
      </c>
      <c r="S838" s="78">
        <f>N(F838)-N(G838)</f>
        <v>0</v>
      </c>
    </row>
    <row r="839">
      <c r="A839" s="109">
        <f>IF(AND(F839="",G839=""),"",ROW()-6)</f>
      </c>
      <c r="B839" s="140" t="n"/>
      <c r="C839" s="141" t="n"/>
      <c r="D839" s="141" t="n"/>
      <c r="E839" s="142" t="n"/>
      <c r="F839" s="143" t="n"/>
      <c r="G839" s="144" t="n"/>
      <c r="H839" s="145">
        <f>IF(OR(C839="",AND(F839="",G839="")),"",SUMIF(基础资料!$W$5:$W$24,C839,基础资料!$X$5:$X$24)+SUMIF(C$7:C839,C839,F$7:F839)-SUMIF(C$7:C839,C839,G$7:G839))</f>
      </c>
      <c r="I839" s="145">
        <f>IF(AND(F839="",G839=""),"",SUM(基础资料!$X$5:$X$24)+SUM(F$7:F839)-SUM(G$7:G839))</f>
      </c>
      <c r="J839" s="141" t="n"/>
      <c r="K839" s="141" t="n"/>
      <c r="L839" s="141" t="n"/>
      <c r="M839" s="142" t="n"/>
      <c r="N839" s="146">
        <f>IF(AND(AND(F839="",G839=""),B839="",C839="",D839="",J839="",K839="",L839=""),"",IF(AND(F839="",G839=""),"✗ 没填金额",IF(AND(N(F839)&lt;&gt;0,N(G839)&lt;&gt;0),"✗ 收入、支出只能填一边",IF(NOT(ISNUMBER(B839)),"✗ 日期不是真日期（要像 2026/9/25 这样填）",IF(OR(B839&lt;年初日,B839&gt;年末日),"✗ 日期不在本会计年度",IF(C839="","✗ 没选账户",IF(COUNTIF(基础资料!$W$5:$W$24,C839)=0,"✗ 账户不在基础资料里",IF(O839="","✗ 没选收支项目",IF(P839="未知","✗ 收支项目不在基础资料里",IF(AND(P839="应收",J839=""),"✗ 这笔要选客户",IF(AND(P839="应收",COUNTIF(总览汇总!$B$5:$B$304,J839)=0),"✗ 客户不在总览汇总名单里",IF(AND(P839="应付",K839=""),"✗ 这笔要选供应商",IF(AND(P839="应付",COUNTIF(基础资料!$Q$5:$Q$54,K839)=0),"✗ 供应商不在基础资料里",IF(AND(P839="费用",L839=""),"✗ 费用支出要选费用项目",IF(AND(L839&lt;&gt;"",COUNTIF(基础资料!$AI$5:$AI$54,L839)=0),"✗ 费用项目不在基础资料里",IF(AND(IFERROR(INDEX(基础资料!$AD$5:$AD$34,MATCH(O839,基础资料!$AC$5:$AC$34,0)),"")="收",N(G839)&lt;&gt;0),"✗ 这类是收款，金额填到收入列",IF(AND(IFERROR(INDEX(基础资料!$AD$5:$AD$34,MATCH(O839,基础资料!$AC$5:$AC$34,0)),"")="支",N(F839)&lt;&gt;0),"✗ 这类是付款，金额填到支出列",IF(N(H839)&lt;0,"⚠ 账户余额成负数了，核对一下","√"))))))))))))))))))</f>
      </c>
      <c r="O839" s="78">
        <f>IF(D839&lt;&gt;"",D839,IF(AND(F839="",G839=""),"",IF(J839&lt;&gt;"",IF(N(F839)&gt;0,"客户回款","客户退款"),IF(K839&lt;&gt;"",IF(N(G839)&gt;0,"供应商付款","供应商退款"),IF(L839&lt;&gt;"","费用支出","")))))</f>
      </c>
      <c r="P839" s="78">
        <f>IF(O839="","",IFERROR(INDEX(基础资料!$AE$5:$AE$34,MATCH(O839,基础资料!$AC$5:$AC$34,0)),"未知"))</f>
      </c>
      <c r="Q839" s="78">
        <f>IF(P839="应收",COUNTIF(P$7:P839,"应收"),"")</f>
      </c>
      <c r="R839" s="78">
        <f>IF(P839="应付",COUNTIF(P$7:P839,"应付"),"")</f>
      </c>
      <c r="S839" s="78">
        <f>N(F839)-N(G839)</f>
        <v>0</v>
      </c>
    </row>
    <row r="840">
      <c r="A840" s="109">
        <f>IF(AND(F840="",G840=""),"",ROW()-6)</f>
      </c>
      <c r="B840" s="140" t="n"/>
      <c r="C840" s="141" t="n"/>
      <c r="D840" s="141" t="n"/>
      <c r="E840" s="142" t="n"/>
      <c r="F840" s="143" t="n"/>
      <c r="G840" s="144" t="n"/>
      <c r="H840" s="145">
        <f>IF(OR(C840="",AND(F840="",G840="")),"",SUMIF(基础资料!$W$5:$W$24,C840,基础资料!$X$5:$X$24)+SUMIF(C$7:C840,C840,F$7:F840)-SUMIF(C$7:C840,C840,G$7:G840))</f>
      </c>
      <c r="I840" s="145">
        <f>IF(AND(F840="",G840=""),"",SUM(基础资料!$X$5:$X$24)+SUM(F$7:F840)-SUM(G$7:G840))</f>
      </c>
      <c r="J840" s="141" t="n"/>
      <c r="K840" s="141" t="n"/>
      <c r="L840" s="141" t="n"/>
      <c r="M840" s="142" t="n"/>
      <c r="N840" s="146">
        <f>IF(AND(AND(F840="",G840=""),B840="",C840="",D840="",J840="",K840="",L840=""),"",IF(AND(F840="",G840=""),"✗ 没填金额",IF(AND(N(F840)&lt;&gt;0,N(G840)&lt;&gt;0),"✗ 收入、支出只能填一边",IF(NOT(ISNUMBER(B840)),"✗ 日期不是真日期（要像 2026/9/25 这样填）",IF(OR(B840&lt;年初日,B840&gt;年末日),"✗ 日期不在本会计年度",IF(C840="","✗ 没选账户",IF(COUNTIF(基础资料!$W$5:$W$24,C840)=0,"✗ 账户不在基础资料里",IF(O840="","✗ 没选收支项目",IF(P840="未知","✗ 收支项目不在基础资料里",IF(AND(P840="应收",J840=""),"✗ 这笔要选客户",IF(AND(P840="应收",COUNTIF(总览汇总!$B$5:$B$304,J840)=0),"✗ 客户不在总览汇总名单里",IF(AND(P840="应付",K840=""),"✗ 这笔要选供应商",IF(AND(P840="应付",COUNTIF(基础资料!$Q$5:$Q$54,K840)=0),"✗ 供应商不在基础资料里",IF(AND(P840="费用",L840=""),"✗ 费用支出要选费用项目",IF(AND(L840&lt;&gt;"",COUNTIF(基础资料!$AI$5:$AI$54,L840)=0),"✗ 费用项目不在基础资料里",IF(AND(IFERROR(INDEX(基础资料!$AD$5:$AD$34,MATCH(O840,基础资料!$AC$5:$AC$34,0)),"")="收",N(G840)&lt;&gt;0),"✗ 这类是收款，金额填到收入列",IF(AND(IFERROR(INDEX(基础资料!$AD$5:$AD$34,MATCH(O840,基础资料!$AC$5:$AC$34,0)),"")="支",N(F840)&lt;&gt;0),"✗ 这类是付款，金额填到支出列",IF(N(H840)&lt;0,"⚠ 账户余额成负数了，核对一下","√"))))))))))))))))))</f>
      </c>
      <c r="O840" s="78">
        <f>IF(D840&lt;&gt;"",D840,IF(AND(F840="",G840=""),"",IF(J840&lt;&gt;"",IF(N(F840)&gt;0,"客户回款","客户退款"),IF(K840&lt;&gt;"",IF(N(G840)&gt;0,"供应商付款","供应商退款"),IF(L840&lt;&gt;"","费用支出","")))))</f>
      </c>
      <c r="P840" s="78">
        <f>IF(O840="","",IFERROR(INDEX(基础资料!$AE$5:$AE$34,MATCH(O840,基础资料!$AC$5:$AC$34,0)),"未知"))</f>
      </c>
      <c r="Q840" s="78">
        <f>IF(P840="应收",COUNTIF(P$7:P840,"应收"),"")</f>
      </c>
      <c r="R840" s="78">
        <f>IF(P840="应付",COUNTIF(P$7:P840,"应付"),"")</f>
      </c>
      <c r="S840" s="78">
        <f>N(F840)-N(G840)</f>
        <v>0</v>
      </c>
    </row>
    <row r="841">
      <c r="A841" s="109">
        <f>IF(AND(F841="",G841=""),"",ROW()-6)</f>
      </c>
      <c r="B841" s="140" t="n"/>
      <c r="C841" s="141" t="n"/>
      <c r="D841" s="141" t="n"/>
      <c r="E841" s="142" t="n"/>
      <c r="F841" s="143" t="n"/>
      <c r="G841" s="144" t="n"/>
      <c r="H841" s="145">
        <f>IF(OR(C841="",AND(F841="",G841="")),"",SUMIF(基础资料!$W$5:$W$24,C841,基础资料!$X$5:$X$24)+SUMIF(C$7:C841,C841,F$7:F841)-SUMIF(C$7:C841,C841,G$7:G841))</f>
      </c>
      <c r="I841" s="145">
        <f>IF(AND(F841="",G841=""),"",SUM(基础资料!$X$5:$X$24)+SUM(F$7:F841)-SUM(G$7:G841))</f>
      </c>
      <c r="J841" s="141" t="n"/>
      <c r="K841" s="141" t="n"/>
      <c r="L841" s="141" t="n"/>
      <c r="M841" s="142" t="n"/>
      <c r="N841" s="146">
        <f>IF(AND(AND(F841="",G841=""),B841="",C841="",D841="",J841="",K841="",L841=""),"",IF(AND(F841="",G841=""),"✗ 没填金额",IF(AND(N(F841)&lt;&gt;0,N(G841)&lt;&gt;0),"✗ 收入、支出只能填一边",IF(NOT(ISNUMBER(B841)),"✗ 日期不是真日期（要像 2026/9/25 这样填）",IF(OR(B841&lt;年初日,B841&gt;年末日),"✗ 日期不在本会计年度",IF(C841="","✗ 没选账户",IF(COUNTIF(基础资料!$W$5:$W$24,C841)=0,"✗ 账户不在基础资料里",IF(O841="","✗ 没选收支项目",IF(P841="未知","✗ 收支项目不在基础资料里",IF(AND(P841="应收",J841=""),"✗ 这笔要选客户",IF(AND(P841="应收",COUNTIF(总览汇总!$B$5:$B$304,J841)=0),"✗ 客户不在总览汇总名单里",IF(AND(P841="应付",K841=""),"✗ 这笔要选供应商",IF(AND(P841="应付",COUNTIF(基础资料!$Q$5:$Q$54,K841)=0),"✗ 供应商不在基础资料里",IF(AND(P841="费用",L841=""),"✗ 费用支出要选费用项目",IF(AND(L841&lt;&gt;"",COUNTIF(基础资料!$AI$5:$AI$54,L841)=0),"✗ 费用项目不在基础资料里",IF(AND(IFERROR(INDEX(基础资料!$AD$5:$AD$34,MATCH(O841,基础资料!$AC$5:$AC$34,0)),"")="收",N(G841)&lt;&gt;0),"✗ 这类是收款，金额填到收入列",IF(AND(IFERROR(INDEX(基础资料!$AD$5:$AD$34,MATCH(O841,基础资料!$AC$5:$AC$34,0)),"")="支",N(F841)&lt;&gt;0),"✗ 这类是付款，金额填到支出列",IF(N(H841)&lt;0,"⚠ 账户余额成负数了，核对一下","√"))))))))))))))))))</f>
      </c>
      <c r="O841" s="78">
        <f>IF(D841&lt;&gt;"",D841,IF(AND(F841="",G841=""),"",IF(J841&lt;&gt;"",IF(N(F841)&gt;0,"客户回款","客户退款"),IF(K841&lt;&gt;"",IF(N(G841)&gt;0,"供应商付款","供应商退款"),IF(L841&lt;&gt;"","费用支出","")))))</f>
      </c>
      <c r="P841" s="78">
        <f>IF(O841="","",IFERROR(INDEX(基础资料!$AE$5:$AE$34,MATCH(O841,基础资料!$AC$5:$AC$34,0)),"未知"))</f>
      </c>
      <c r="Q841" s="78">
        <f>IF(P841="应收",COUNTIF(P$7:P841,"应收"),"")</f>
      </c>
      <c r="R841" s="78">
        <f>IF(P841="应付",COUNTIF(P$7:P841,"应付"),"")</f>
      </c>
      <c r="S841" s="78">
        <f>N(F841)-N(G841)</f>
        <v>0</v>
      </c>
    </row>
    <row r="842">
      <c r="A842" s="109">
        <f>IF(AND(F842="",G842=""),"",ROW()-6)</f>
      </c>
      <c r="B842" s="140" t="n"/>
      <c r="C842" s="141" t="n"/>
      <c r="D842" s="141" t="n"/>
      <c r="E842" s="142" t="n"/>
      <c r="F842" s="143" t="n"/>
      <c r="G842" s="144" t="n"/>
      <c r="H842" s="145">
        <f>IF(OR(C842="",AND(F842="",G842="")),"",SUMIF(基础资料!$W$5:$W$24,C842,基础资料!$X$5:$X$24)+SUMIF(C$7:C842,C842,F$7:F842)-SUMIF(C$7:C842,C842,G$7:G842))</f>
      </c>
      <c r="I842" s="145">
        <f>IF(AND(F842="",G842=""),"",SUM(基础资料!$X$5:$X$24)+SUM(F$7:F842)-SUM(G$7:G842))</f>
      </c>
      <c r="J842" s="141" t="n"/>
      <c r="K842" s="141" t="n"/>
      <c r="L842" s="141" t="n"/>
      <c r="M842" s="142" t="n"/>
      <c r="N842" s="146">
        <f>IF(AND(AND(F842="",G842=""),B842="",C842="",D842="",J842="",K842="",L842=""),"",IF(AND(F842="",G842=""),"✗ 没填金额",IF(AND(N(F842)&lt;&gt;0,N(G842)&lt;&gt;0),"✗ 收入、支出只能填一边",IF(NOT(ISNUMBER(B842)),"✗ 日期不是真日期（要像 2026/9/25 这样填）",IF(OR(B842&lt;年初日,B842&gt;年末日),"✗ 日期不在本会计年度",IF(C842="","✗ 没选账户",IF(COUNTIF(基础资料!$W$5:$W$24,C842)=0,"✗ 账户不在基础资料里",IF(O842="","✗ 没选收支项目",IF(P842="未知","✗ 收支项目不在基础资料里",IF(AND(P842="应收",J842=""),"✗ 这笔要选客户",IF(AND(P842="应收",COUNTIF(总览汇总!$B$5:$B$304,J842)=0),"✗ 客户不在总览汇总名单里",IF(AND(P842="应付",K842=""),"✗ 这笔要选供应商",IF(AND(P842="应付",COUNTIF(基础资料!$Q$5:$Q$54,K842)=0),"✗ 供应商不在基础资料里",IF(AND(P842="费用",L842=""),"✗ 费用支出要选费用项目",IF(AND(L842&lt;&gt;"",COUNTIF(基础资料!$AI$5:$AI$54,L842)=0),"✗ 费用项目不在基础资料里",IF(AND(IFERROR(INDEX(基础资料!$AD$5:$AD$34,MATCH(O842,基础资料!$AC$5:$AC$34,0)),"")="收",N(G842)&lt;&gt;0),"✗ 这类是收款，金额填到收入列",IF(AND(IFERROR(INDEX(基础资料!$AD$5:$AD$34,MATCH(O842,基础资料!$AC$5:$AC$34,0)),"")="支",N(F842)&lt;&gt;0),"✗ 这类是付款，金额填到支出列",IF(N(H842)&lt;0,"⚠ 账户余额成负数了，核对一下","√"))))))))))))))))))</f>
      </c>
      <c r="O842" s="78">
        <f>IF(D842&lt;&gt;"",D842,IF(AND(F842="",G842=""),"",IF(J842&lt;&gt;"",IF(N(F842)&gt;0,"客户回款","客户退款"),IF(K842&lt;&gt;"",IF(N(G842)&gt;0,"供应商付款","供应商退款"),IF(L842&lt;&gt;"","费用支出","")))))</f>
      </c>
      <c r="P842" s="78">
        <f>IF(O842="","",IFERROR(INDEX(基础资料!$AE$5:$AE$34,MATCH(O842,基础资料!$AC$5:$AC$34,0)),"未知"))</f>
      </c>
      <c r="Q842" s="78">
        <f>IF(P842="应收",COUNTIF(P$7:P842,"应收"),"")</f>
      </c>
      <c r="R842" s="78">
        <f>IF(P842="应付",COUNTIF(P$7:P842,"应付"),"")</f>
      </c>
      <c r="S842" s="78">
        <f>N(F842)-N(G842)</f>
        <v>0</v>
      </c>
    </row>
    <row r="843">
      <c r="A843" s="109">
        <f>IF(AND(F843="",G843=""),"",ROW()-6)</f>
      </c>
      <c r="B843" s="140" t="n"/>
      <c r="C843" s="141" t="n"/>
      <c r="D843" s="141" t="n"/>
      <c r="E843" s="142" t="n"/>
      <c r="F843" s="143" t="n"/>
      <c r="G843" s="144" t="n"/>
      <c r="H843" s="145">
        <f>IF(OR(C843="",AND(F843="",G843="")),"",SUMIF(基础资料!$W$5:$W$24,C843,基础资料!$X$5:$X$24)+SUMIF(C$7:C843,C843,F$7:F843)-SUMIF(C$7:C843,C843,G$7:G843))</f>
      </c>
      <c r="I843" s="145">
        <f>IF(AND(F843="",G843=""),"",SUM(基础资料!$X$5:$X$24)+SUM(F$7:F843)-SUM(G$7:G843))</f>
      </c>
      <c r="J843" s="141" t="n"/>
      <c r="K843" s="141" t="n"/>
      <c r="L843" s="141" t="n"/>
      <c r="M843" s="142" t="n"/>
      <c r="N843" s="146">
        <f>IF(AND(AND(F843="",G843=""),B843="",C843="",D843="",J843="",K843="",L843=""),"",IF(AND(F843="",G843=""),"✗ 没填金额",IF(AND(N(F843)&lt;&gt;0,N(G843)&lt;&gt;0),"✗ 收入、支出只能填一边",IF(NOT(ISNUMBER(B843)),"✗ 日期不是真日期（要像 2026/9/25 这样填）",IF(OR(B843&lt;年初日,B843&gt;年末日),"✗ 日期不在本会计年度",IF(C843="","✗ 没选账户",IF(COUNTIF(基础资料!$W$5:$W$24,C843)=0,"✗ 账户不在基础资料里",IF(O843="","✗ 没选收支项目",IF(P843="未知","✗ 收支项目不在基础资料里",IF(AND(P843="应收",J843=""),"✗ 这笔要选客户",IF(AND(P843="应收",COUNTIF(总览汇总!$B$5:$B$304,J843)=0),"✗ 客户不在总览汇总名单里",IF(AND(P843="应付",K843=""),"✗ 这笔要选供应商",IF(AND(P843="应付",COUNTIF(基础资料!$Q$5:$Q$54,K843)=0),"✗ 供应商不在基础资料里",IF(AND(P843="费用",L843=""),"✗ 费用支出要选费用项目",IF(AND(L843&lt;&gt;"",COUNTIF(基础资料!$AI$5:$AI$54,L843)=0),"✗ 费用项目不在基础资料里",IF(AND(IFERROR(INDEX(基础资料!$AD$5:$AD$34,MATCH(O843,基础资料!$AC$5:$AC$34,0)),"")="收",N(G843)&lt;&gt;0),"✗ 这类是收款，金额填到收入列",IF(AND(IFERROR(INDEX(基础资料!$AD$5:$AD$34,MATCH(O843,基础资料!$AC$5:$AC$34,0)),"")="支",N(F843)&lt;&gt;0),"✗ 这类是付款，金额填到支出列",IF(N(H843)&lt;0,"⚠ 账户余额成负数了，核对一下","√"))))))))))))))))))</f>
      </c>
      <c r="O843" s="78">
        <f>IF(D843&lt;&gt;"",D843,IF(AND(F843="",G843=""),"",IF(J843&lt;&gt;"",IF(N(F843)&gt;0,"客户回款","客户退款"),IF(K843&lt;&gt;"",IF(N(G843)&gt;0,"供应商付款","供应商退款"),IF(L843&lt;&gt;"","费用支出","")))))</f>
      </c>
      <c r="P843" s="78">
        <f>IF(O843="","",IFERROR(INDEX(基础资料!$AE$5:$AE$34,MATCH(O843,基础资料!$AC$5:$AC$34,0)),"未知"))</f>
      </c>
      <c r="Q843" s="78">
        <f>IF(P843="应收",COUNTIF(P$7:P843,"应收"),"")</f>
      </c>
      <c r="R843" s="78">
        <f>IF(P843="应付",COUNTIF(P$7:P843,"应付"),"")</f>
      </c>
      <c r="S843" s="78">
        <f>N(F843)-N(G843)</f>
        <v>0</v>
      </c>
    </row>
    <row r="844">
      <c r="A844" s="109">
        <f>IF(AND(F844="",G844=""),"",ROW()-6)</f>
      </c>
      <c r="B844" s="140" t="n"/>
      <c r="C844" s="141" t="n"/>
      <c r="D844" s="141" t="n"/>
      <c r="E844" s="142" t="n"/>
      <c r="F844" s="143" t="n"/>
      <c r="G844" s="144" t="n"/>
      <c r="H844" s="145">
        <f>IF(OR(C844="",AND(F844="",G844="")),"",SUMIF(基础资料!$W$5:$W$24,C844,基础资料!$X$5:$X$24)+SUMIF(C$7:C844,C844,F$7:F844)-SUMIF(C$7:C844,C844,G$7:G844))</f>
      </c>
      <c r="I844" s="145">
        <f>IF(AND(F844="",G844=""),"",SUM(基础资料!$X$5:$X$24)+SUM(F$7:F844)-SUM(G$7:G844))</f>
      </c>
      <c r="J844" s="141" t="n"/>
      <c r="K844" s="141" t="n"/>
      <c r="L844" s="141" t="n"/>
      <c r="M844" s="142" t="n"/>
      <c r="N844" s="146">
        <f>IF(AND(AND(F844="",G844=""),B844="",C844="",D844="",J844="",K844="",L844=""),"",IF(AND(F844="",G844=""),"✗ 没填金额",IF(AND(N(F844)&lt;&gt;0,N(G844)&lt;&gt;0),"✗ 收入、支出只能填一边",IF(NOT(ISNUMBER(B844)),"✗ 日期不是真日期（要像 2026/9/25 这样填）",IF(OR(B844&lt;年初日,B844&gt;年末日),"✗ 日期不在本会计年度",IF(C844="","✗ 没选账户",IF(COUNTIF(基础资料!$W$5:$W$24,C844)=0,"✗ 账户不在基础资料里",IF(O844="","✗ 没选收支项目",IF(P844="未知","✗ 收支项目不在基础资料里",IF(AND(P844="应收",J844=""),"✗ 这笔要选客户",IF(AND(P844="应收",COUNTIF(总览汇总!$B$5:$B$304,J844)=0),"✗ 客户不在总览汇总名单里",IF(AND(P844="应付",K844=""),"✗ 这笔要选供应商",IF(AND(P844="应付",COUNTIF(基础资料!$Q$5:$Q$54,K844)=0),"✗ 供应商不在基础资料里",IF(AND(P844="费用",L844=""),"✗ 费用支出要选费用项目",IF(AND(L844&lt;&gt;"",COUNTIF(基础资料!$AI$5:$AI$54,L844)=0),"✗ 费用项目不在基础资料里",IF(AND(IFERROR(INDEX(基础资料!$AD$5:$AD$34,MATCH(O844,基础资料!$AC$5:$AC$34,0)),"")="收",N(G844)&lt;&gt;0),"✗ 这类是收款，金额填到收入列",IF(AND(IFERROR(INDEX(基础资料!$AD$5:$AD$34,MATCH(O844,基础资料!$AC$5:$AC$34,0)),"")="支",N(F844)&lt;&gt;0),"✗ 这类是付款，金额填到支出列",IF(N(H844)&lt;0,"⚠ 账户余额成负数了，核对一下","√"))))))))))))))))))</f>
      </c>
      <c r="O844" s="78">
        <f>IF(D844&lt;&gt;"",D844,IF(AND(F844="",G844=""),"",IF(J844&lt;&gt;"",IF(N(F844)&gt;0,"客户回款","客户退款"),IF(K844&lt;&gt;"",IF(N(G844)&gt;0,"供应商付款","供应商退款"),IF(L844&lt;&gt;"","费用支出","")))))</f>
      </c>
      <c r="P844" s="78">
        <f>IF(O844="","",IFERROR(INDEX(基础资料!$AE$5:$AE$34,MATCH(O844,基础资料!$AC$5:$AC$34,0)),"未知"))</f>
      </c>
      <c r="Q844" s="78">
        <f>IF(P844="应收",COUNTIF(P$7:P844,"应收"),"")</f>
      </c>
      <c r="R844" s="78">
        <f>IF(P844="应付",COUNTIF(P$7:P844,"应付"),"")</f>
      </c>
      <c r="S844" s="78">
        <f>N(F844)-N(G844)</f>
        <v>0</v>
      </c>
    </row>
    <row r="845">
      <c r="A845" s="109">
        <f>IF(AND(F845="",G845=""),"",ROW()-6)</f>
      </c>
      <c r="B845" s="140" t="n"/>
      <c r="C845" s="141" t="n"/>
      <c r="D845" s="141" t="n"/>
      <c r="E845" s="142" t="n"/>
      <c r="F845" s="143" t="n"/>
      <c r="G845" s="144" t="n"/>
      <c r="H845" s="145">
        <f>IF(OR(C845="",AND(F845="",G845="")),"",SUMIF(基础资料!$W$5:$W$24,C845,基础资料!$X$5:$X$24)+SUMIF(C$7:C845,C845,F$7:F845)-SUMIF(C$7:C845,C845,G$7:G845))</f>
      </c>
      <c r="I845" s="145">
        <f>IF(AND(F845="",G845=""),"",SUM(基础资料!$X$5:$X$24)+SUM(F$7:F845)-SUM(G$7:G845))</f>
      </c>
      <c r="J845" s="141" t="n"/>
      <c r="K845" s="141" t="n"/>
      <c r="L845" s="141" t="n"/>
      <c r="M845" s="142" t="n"/>
      <c r="N845" s="146">
        <f>IF(AND(AND(F845="",G845=""),B845="",C845="",D845="",J845="",K845="",L845=""),"",IF(AND(F845="",G845=""),"✗ 没填金额",IF(AND(N(F845)&lt;&gt;0,N(G845)&lt;&gt;0),"✗ 收入、支出只能填一边",IF(NOT(ISNUMBER(B845)),"✗ 日期不是真日期（要像 2026/9/25 这样填）",IF(OR(B845&lt;年初日,B845&gt;年末日),"✗ 日期不在本会计年度",IF(C845="","✗ 没选账户",IF(COUNTIF(基础资料!$W$5:$W$24,C845)=0,"✗ 账户不在基础资料里",IF(O845="","✗ 没选收支项目",IF(P845="未知","✗ 收支项目不在基础资料里",IF(AND(P845="应收",J845=""),"✗ 这笔要选客户",IF(AND(P845="应收",COUNTIF(总览汇总!$B$5:$B$304,J845)=0),"✗ 客户不在总览汇总名单里",IF(AND(P845="应付",K845=""),"✗ 这笔要选供应商",IF(AND(P845="应付",COUNTIF(基础资料!$Q$5:$Q$54,K845)=0),"✗ 供应商不在基础资料里",IF(AND(P845="费用",L845=""),"✗ 费用支出要选费用项目",IF(AND(L845&lt;&gt;"",COUNTIF(基础资料!$AI$5:$AI$54,L845)=0),"✗ 费用项目不在基础资料里",IF(AND(IFERROR(INDEX(基础资料!$AD$5:$AD$34,MATCH(O845,基础资料!$AC$5:$AC$34,0)),"")="收",N(G845)&lt;&gt;0),"✗ 这类是收款，金额填到收入列",IF(AND(IFERROR(INDEX(基础资料!$AD$5:$AD$34,MATCH(O845,基础资料!$AC$5:$AC$34,0)),"")="支",N(F845)&lt;&gt;0),"✗ 这类是付款，金额填到支出列",IF(N(H845)&lt;0,"⚠ 账户余额成负数了，核对一下","√"))))))))))))))))))</f>
      </c>
      <c r="O845" s="78">
        <f>IF(D845&lt;&gt;"",D845,IF(AND(F845="",G845=""),"",IF(J845&lt;&gt;"",IF(N(F845)&gt;0,"客户回款","客户退款"),IF(K845&lt;&gt;"",IF(N(G845)&gt;0,"供应商付款","供应商退款"),IF(L845&lt;&gt;"","费用支出","")))))</f>
      </c>
      <c r="P845" s="78">
        <f>IF(O845="","",IFERROR(INDEX(基础资料!$AE$5:$AE$34,MATCH(O845,基础资料!$AC$5:$AC$34,0)),"未知"))</f>
      </c>
      <c r="Q845" s="78">
        <f>IF(P845="应收",COUNTIF(P$7:P845,"应收"),"")</f>
      </c>
      <c r="R845" s="78">
        <f>IF(P845="应付",COUNTIF(P$7:P845,"应付"),"")</f>
      </c>
      <c r="S845" s="78">
        <f>N(F845)-N(G845)</f>
        <v>0</v>
      </c>
    </row>
    <row r="846">
      <c r="A846" s="109">
        <f>IF(AND(F846="",G846=""),"",ROW()-6)</f>
      </c>
      <c r="B846" s="140" t="n"/>
      <c r="C846" s="141" t="n"/>
      <c r="D846" s="141" t="n"/>
      <c r="E846" s="142" t="n"/>
      <c r="F846" s="143" t="n"/>
      <c r="G846" s="144" t="n"/>
      <c r="H846" s="145">
        <f>IF(OR(C846="",AND(F846="",G846="")),"",SUMIF(基础资料!$W$5:$W$24,C846,基础资料!$X$5:$X$24)+SUMIF(C$7:C846,C846,F$7:F846)-SUMIF(C$7:C846,C846,G$7:G846))</f>
      </c>
      <c r="I846" s="145">
        <f>IF(AND(F846="",G846=""),"",SUM(基础资料!$X$5:$X$24)+SUM(F$7:F846)-SUM(G$7:G846))</f>
      </c>
      <c r="J846" s="141" t="n"/>
      <c r="K846" s="141" t="n"/>
      <c r="L846" s="141" t="n"/>
      <c r="M846" s="142" t="n"/>
      <c r="N846" s="146">
        <f>IF(AND(AND(F846="",G846=""),B846="",C846="",D846="",J846="",K846="",L846=""),"",IF(AND(F846="",G846=""),"✗ 没填金额",IF(AND(N(F846)&lt;&gt;0,N(G846)&lt;&gt;0),"✗ 收入、支出只能填一边",IF(NOT(ISNUMBER(B846)),"✗ 日期不是真日期（要像 2026/9/25 这样填）",IF(OR(B846&lt;年初日,B846&gt;年末日),"✗ 日期不在本会计年度",IF(C846="","✗ 没选账户",IF(COUNTIF(基础资料!$W$5:$W$24,C846)=0,"✗ 账户不在基础资料里",IF(O846="","✗ 没选收支项目",IF(P846="未知","✗ 收支项目不在基础资料里",IF(AND(P846="应收",J846=""),"✗ 这笔要选客户",IF(AND(P846="应收",COUNTIF(总览汇总!$B$5:$B$304,J846)=0),"✗ 客户不在总览汇总名单里",IF(AND(P846="应付",K846=""),"✗ 这笔要选供应商",IF(AND(P846="应付",COUNTIF(基础资料!$Q$5:$Q$54,K846)=0),"✗ 供应商不在基础资料里",IF(AND(P846="费用",L846=""),"✗ 费用支出要选费用项目",IF(AND(L846&lt;&gt;"",COUNTIF(基础资料!$AI$5:$AI$54,L846)=0),"✗ 费用项目不在基础资料里",IF(AND(IFERROR(INDEX(基础资料!$AD$5:$AD$34,MATCH(O846,基础资料!$AC$5:$AC$34,0)),"")="收",N(G846)&lt;&gt;0),"✗ 这类是收款，金额填到收入列",IF(AND(IFERROR(INDEX(基础资料!$AD$5:$AD$34,MATCH(O846,基础资料!$AC$5:$AC$34,0)),"")="支",N(F846)&lt;&gt;0),"✗ 这类是付款，金额填到支出列",IF(N(H846)&lt;0,"⚠ 账户余额成负数了，核对一下","√"))))))))))))))))))</f>
      </c>
      <c r="O846" s="78">
        <f>IF(D846&lt;&gt;"",D846,IF(AND(F846="",G846=""),"",IF(J846&lt;&gt;"",IF(N(F846)&gt;0,"客户回款","客户退款"),IF(K846&lt;&gt;"",IF(N(G846)&gt;0,"供应商付款","供应商退款"),IF(L846&lt;&gt;"","费用支出","")))))</f>
      </c>
      <c r="P846" s="78">
        <f>IF(O846="","",IFERROR(INDEX(基础资料!$AE$5:$AE$34,MATCH(O846,基础资料!$AC$5:$AC$34,0)),"未知"))</f>
      </c>
      <c r="Q846" s="78">
        <f>IF(P846="应收",COUNTIF(P$7:P846,"应收"),"")</f>
      </c>
      <c r="R846" s="78">
        <f>IF(P846="应付",COUNTIF(P$7:P846,"应付"),"")</f>
      </c>
      <c r="S846" s="78">
        <f>N(F846)-N(G846)</f>
        <v>0</v>
      </c>
    </row>
    <row r="847">
      <c r="A847" s="109">
        <f>IF(AND(F847="",G847=""),"",ROW()-6)</f>
      </c>
      <c r="B847" s="140" t="n"/>
      <c r="C847" s="141" t="n"/>
      <c r="D847" s="141" t="n"/>
      <c r="E847" s="142" t="n"/>
      <c r="F847" s="143" t="n"/>
      <c r="G847" s="144" t="n"/>
      <c r="H847" s="145">
        <f>IF(OR(C847="",AND(F847="",G847="")),"",SUMIF(基础资料!$W$5:$W$24,C847,基础资料!$X$5:$X$24)+SUMIF(C$7:C847,C847,F$7:F847)-SUMIF(C$7:C847,C847,G$7:G847))</f>
      </c>
      <c r="I847" s="145">
        <f>IF(AND(F847="",G847=""),"",SUM(基础资料!$X$5:$X$24)+SUM(F$7:F847)-SUM(G$7:G847))</f>
      </c>
      <c r="J847" s="141" t="n"/>
      <c r="K847" s="141" t="n"/>
      <c r="L847" s="141" t="n"/>
      <c r="M847" s="142" t="n"/>
      <c r="N847" s="146">
        <f>IF(AND(AND(F847="",G847=""),B847="",C847="",D847="",J847="",K847="",L847=""),"",IF(AND(F847="",G847=""),"✗ 没填金额",IF(AND(N(F847)&lt;&gt;0,N(G847)&lt;&gt;0),"✗ 收入、支出只能填一边",IF(NOT(ISNUMBER(B847)),"✗ 日期不是真日期（要像 2026/9/25 这样填）",IF(OR(B847&lt;年初日,B847&gt;年末日),"✗ 日期不在本会计年度",IF(C847="","✗ 没选账户",IF(COUNTIF(基础资料!$W$5:$W$24,C847)=0,"✗ 账户不在基础资料里",IF(O847="","✗ 没选收支项目",IF(P847="未知","✗ 收支项目不在基础资料里",IF(AND(P847="应收",J847=""),"✗ 这笔要选客户",IF(AND(P847="应收",COUNTIF(总览汇总!$B$5:$B$304,J847)=0),"✗ 客户不在总览汇总名单里",IF(AND(P847="应付",K847=""),"✗ 这笔要选供应商",IF(AND(P847="应付",COUNTIF(基础资料!$Q$5:$Q$54,K847)=0),"✗ 供应商不在基础资料里",IF(AND(P847="费用",L847=""),"✗ 费用支出要选费用项目",IF(AND(L847&lt;&gt;"",COUNTIF(基础资料!$AI$5:$AI$54,L847)=0),"✗ 费用项目不在基础资料里",IF(AND(IFERROR(INDEX(基础资料!$AD$5:$AD$34,MATCH(O847,基础资料!$AC$5:$AC$34,0)),"")="收",N(G847)&lt;&gt;0),"✗ 这类是收款，金额填到收入列",IF(AND(IFERROR(INDEX(基础资料!$AD$5:$AD$34,MATCH(O847,基础资料!$AC$5:$AC$34,0)),"")="支",N(F847)&lt;&gt;0),"✗ 这类是付款，金额填到支出列",IF(N(H847)&lt;0,"⚠ 账户余额成负数了，核对一下","√"))))))))))))))))))</f>
      </c>
      <c r="O847" s="78">
        <f>IF(D847&lt;&gt;"",D847,IF(AND(F847="",G847=""),"",IF(J847&lt;&gt;"",IF(N(F847)&gt;0,"客户回款","客户退款"),IF(K847&lt;&gt;"",IF(N(G847)&gt;0,"供应商付款","供应商退款"),IF(L847&lt;&gt;"","费用支出","")))))</f>
      </c>
      <c r="P847" s="78">
        <f>IF(O847="","",IFERROR(INDEX(基础资料!$AE$5:$AE$34,MATCH(O847,基础资料!$AC$5:$AC$34,0)),"未知"))</f>
      </c>
      <c r="Q847" s="78">
        <f>IF(P847="应收",COUNTIF(P$7:P847,"应收"),"")</f>
      </c>
      <c r="R847" s="78">
        <f>IF(P847="应付",COUNTIF(P$7:P847,"应付"),"")</f>
      </c>
      <c r="S847" s="78">
        <f>N(F847)-N(G847)</f>
        <v>0</v>
      </c>
    </row>
    <row r="848">
      <c r="A848" s="109">
        <f>IF(AND(F848="",G848=""),"",ROW()-6)</f>
      </c>
      <c r="B848" s="140" t="n"/>
      <c r="C848" s="141" t="n"/>
      <c r="D848" s="141" t="n"/>
      <c r="E848" s="142" t="n"/>
      <c r="F848" s="143" t="n"/>
      <c r="G848" s="144" t="n"/>
      <c r="H848" s="145">
        <f>IF(OR(C848="",AND(F848="",G848="")),"",SUMIF(基础资料!$W$5:$W$24,C848,基础资料!$X$5:$X$24)+SUMIF(C$7:C848,C848,F$7:F848)-SUMIF(C$7:C848,C848,G$7:G848))</f>
      </c>
      <c r="I848" s="145">
        <f>IF(AND(F848="",G848=""),"",SUM(基础资料!$X$5:$X$24)+SUM(F$7:F848)-SUM(G$7:G848))</f>
      </c>
      <c r="J848" s="141" t="n"/>
      <c r="K848" s="141" t="n"/>
      <c r="L848" s="141" t="n"/>
      <c r="M848" s="142" t="n"/>
      <c r="N848" s="146">
        <f>IF(AND(AND(F848="",G848=""),B848="",C848="",D848="",J848="",K848="",L848=""),"",IF(AND(F848="",G848=""),"✗ 没填金额",IF(AND(N(F848)&lt;&gt;0,N(G848)&lt;&gt;0),"✗ 收入、支出只能填一边",IF(NOT(ISNUMBER(B848)),"✗ 日期不是真日期（要像 2026/9/25 这样填）",IF(OR(B848&lt;年初日,B848&gt;年末日),"✗ 日期不在本会计年度",IF(C848="","✗ 没选账户",IF(COUNTIF(基础资料!$W$5:$W$24,C848)=0,"✗ 账户不在基础资料里",IF(O848="","✗ 没选收支项目",IF(P848="未知","✗ 收支项目不在基础资料里",IF(AND(P848="应收",J848=""),"✗ 这笔要选客户",IF(AND(P848="应收",COUNTIF(总览汇总!$B$5:$B$304,J848)=0),"✗ 客户不在总览汇总名单里",IF(AND(P848="应付",K848=""),"✗ 这笔要选供应商",IF(AND(P848="应付",COUNTIF(基础资料!$Q$5:$Q$54,K848)=0),"✗ 供应商不在基础资料里",IF(AND(P848="费用",L848=""),"✗ 费用支出要选费用项目",IF(AND(L848&lt;&gt;"",COUNTIF(基础资料!$AI$5:$AI$54,L848)=0),"✗ 费用项目不在基础资料里",IF(AND(IFERROR(INDEX(基础资料!$AD$5:$AD$34,MATCH(O848,基础资料!$AC$5:$AC$34,0)),"")="收",N(G848)&lt;&gt;0),"✗ 这类是收款，金额填到收入列",IF(AND(IFERROR(INDEX(基础资料!$AD$5:$AD$34,MATCH(O848,基础资料!$AC$5:$AC$34,0)),"")="支",N(F848)&lt;&gt;0),"✗ 这类是付款，金额填到支出列",IF(N(H848)&lt;0,"⚠ 账户余额成负数了，核对一下","√"))))))))))))))))))</f>
      </c>
      <c r="O848" s="78">
        <f>IF(D848&lt;&gt;"",D848,IF(AND(F848="",G848=""),"",IF(J848&lt;&gt;"",IF(N(F848)&gt;0,"客户回款","客户退款"),IF(K848&lt;&gt;"",IF(N(G848)&gt;0,"供应商付款","供应商退款"),IF(L848&lt;&gt;"","费用支出","")))))</f>
      </c>
      <c r="P848" s="78">
        <f>IF(O848="","",IFERROR(INDEX(基础资料!$AE$5:$AE$34,MATCH(O848,基础资料!$AC$5:$AC$34,0)),"未知"))</f>
      </c>
      <c r="Q848" s="78">
        <f>IF(P848="应收",COUNTIF(P$7:P848,"应收"),"")</f>
      </c>
      <c r="R848" s="78">
        <f>IF(P848="应付",COUNTIF(P$7:P848,"应付"),"")</f>
      </c>
      <c r="S848" s="78">
        <f>N(F848)-N(G848)</f>
        <v>0</v>
      </c>
    </row>
    <row r="849">
      <c r="A849" s="109">
        <f>IF(AND(F849="",G849=""),"",ROW()-6)</f>
      </c>
      <c r="B849" s="140" t="n"/>
      <c r="C849" s="141" t="n"/>
      <c r="D849" s="141" t="n"/>
      <c r="E849" s="142" t="n"/>
      <c r="F849" s="143" t="n"/>
      <c r="G849" s="144" t="n"/>
      <c r="H849" s="145">
        <f>IF(OR(C849="",AND(F849="",G849="")),"",SUMIF(基础资料!$W$5:$W$24,C849,基础资料!$X$5:$X$24)+SUMIF(C$7:C849,C849,F$7:F849)-SUMIF(C$7:C849,C849,G$7:G849))</f>
      </c>
      <c r="I849" s="145">
        <f>IF(AND(F849="",G849=""),"",SUM(基础资料!$X$5:$X$24)+SUM(F$7:F849)-SUM(G$7:G849))</f>
      </c>
      <c r="J849" s="141" t="n"/>
      <c r="K849" s="141" t="n"/>
      <c r="L849" s="141" t="n"/>
      <c r="M849" s="142" t="n"/>
      <c r="N849" s="146">
        <f>IF(AND(AND(F849="",G849=""),B849="",C849="",D849="",J849="",K849="",L849=""),"",IF(AND(F849="",G849=""),"✗ 没填金额",IF(AND(N(F849)&lt;&gt;0,N(G849)&lt;&gt;0),"✗ 收入、支出只能填一边",IF(NOT(ISNUMBER(B849)),"✗ 日期不是真日期（要像 2026/9/25 这样填）",IF(OR(B849&lt;年初日,B849&gt;年末日),"✗ 日期不在本会计年度",IF(C849="","✗ 没选账户",IF(COUNTIF(基础资料!$W$5:$W$24,C849)=0,"✗ 账户不在基础资料里",IF(O849="","✗ 没选收支项目",IF(P849="未知","✗ 收支项目不在基础资料里",IF(AND(P849="应收",J849=""),"✗ 这笔要选客户",IF(AND(P849="应收",COUNTIF(总览汇总!$B$5:$B$304,J849)=0),"✗ 客户不在总览汇总名单里",IF(AND(P849="应付",K849=""),"✗ 这笔要选供应商",IF(AND(P849="应付",COUNTIF(基础资料!$Q$5:$Q$54,K849)=0),"✗ 供应商不在基础资料里",IF(AND(P849="费用",L849=""),"✗ 费用支出要选费用项目",IF(AND(L849&lt;&gt;"",COUNTIF(基础资料!$AI$5:$AI$54,L849)=0),"✗ 费用项目不在基础资料里",IF(AND(IFERROR(INDEX(基础资料!$AD$5:$AD$34,MATCH(O849,基础资料!$AC$5:$AC$34,0)),"")="收",N(G849)&lt;&gt;0),"✗ 这类是收款，金额填到收入列",IF(AND(IFERROR(INDEX(基础资料!$AD$5:$AD$34,MATCH(O849,基础资料!$AC$5:$AC$34,0)),"")="支",N(F849)&lt;&gt;0),"✗ 这类是付款，金额填到支出列",IF(N(H849)&lt;0,"⚠ 账户余额成负数了，核对一下","√"))))))))))))))))))</f>
      </c>
      <c r="O849" s="78">
        <f>IF(D849&lt;&gt;"",D849,IF(AND(F849="",G849=""),"",IF(J849&lt;&gt;"",IF(N(F849)&gt;0,"客户回款","客户退款"),IF(K849&lt;&gt;"",IF(N(G849)&gt;0,"供应商付款","供应商退款"),IF(L849&lt;&gt;"","费用支出","")))))</f>
      </c>
      <c r="P849" s="78">
        <f>IF(O849="","",IFERROR(INDEX(基础资料!$AE$5:$AE$34,MATCH(O849,基础资料!$AC$5:$AC$34,0)),"未知"))</f>
      </c>
      <c r="Q849" s="78">
        <f>IF(P849="应收",COUNTIF(P$7:P849,"应收"),"")</f>
      </c>
      <c r="R849" s="78">
        <f>IF(P849="应付",COUNTIF(P$7:P849,"应付"),"")</f>
      </c>
      <c r="S849" s="78">
        <f>N(F849)-N(G849)</f>
        <v>0</v>
      </c>
    </row>
    <row r="850">
      <c r="A850" s="109">
        <f>IF(AND(F850="",G850=""),"",ROW()-6)</f>
      </c>
      <c r="B850" s="140" t="n"/>
      <c r="C850" s="141" t="n"/>
      <c r="D850" s="141" t="n"/>
      <c r="E850" s="142" t="n"/>
      <c r="F850" s="143" t="n"/>
      <c r="G850" s="144" t="n"/>
      <c r="H850" s="145">
        <f>IF(OR(C850="",AND(F850="",G850="")),"",SUMIF(基础资料!$W$5:$W$24,C850,基础资料!$X$5:$X$24)+SUMIF(C$7:C850,C850,F$7:F850)-SUMIF(C$7:C850,C850,G$7:G850))</f>
      </c>
      <c r="I850" s="145">
        <f>IF(AND(F850="",G850=""),"",SUM(基础资料!$X$5:$X$24)+SUM(F$7:F850)-SUM(G$7:G850))</f>
      </c>
      <c r="J850" s="141" t="n"/>
      <c r="K850" s="141" t="n"/>
      <c r="L850" s="141" t="n"/>
      <c r="M850" s="142" t="n"/>
      <c r="N850" s="146">
        <f>IF(AND(AND(F850="",G850=""),B850="",C850="",D850="",J850="",K850="",L850=""),"",IF(AND(F850="",G850=""),"✗ 没填金额",IF(AND(N(F850)&lt;&gt;0,N(G850)&lt;&gt;0),"✗ 收入、支出只能填一边",IF(NOT(ISNUMBER(B850)),"✗ 日期不是真日期（要像 2026/9/25 这样填）",IF(OR(B850&lt;年初日,B850&gt;年末日),"✗ 日期不在本会计年度",IF(C850="","✗ 没选账户",IF(COUNTIF(基础资料!$W$5:$W$24,C850)=0,"✗ 账户不在基础资料里",IF(O850="","✗ 没选收支项目",IF(P850="未知","✗ 收支项目不在基础资料里",IF(AND(P850="应收",J850=""),"✗ 这笔要选客户",IF(AND(P850="应收",COUNTIF(总览汇总!$B$5:$B$304,J850)=0),"✗ 客户不在总览汇总名单里",IF(AND(P850="应付",K850=""),"✗ 这笔要选供应商",IF(AND(P850="应付",COUNTIF(基础资料!$Q$5:$Q$54,K850)=0),"✗ 供应商不在基础资料里",IF(AND(P850="费用",L850=""),"✗ 费用支出要选费用项目",IF(AND(L850&lt;&gt;"",COUNTIF(基础资料!$AI$5:$AI$54,L850)=0),"✗ 费用项目不在基础资料里",IF(AND(IFERROR(INDEX(基础资料!$AD$5:$AD$34,MATCH(O850,基础资料!$AC$5:$AC$34,0)),"")="收",N(G850)&lt;&gt;0),"✗ 这类是收款，金额填到收入列",IF(AND(IFERROR(INDEX(基础资料!$AD$5:$AD$34,MATCH(O850,基础资料!$AC$5:$AC$34,0)),"")="支",N(F850)&lt;&gt;0),"✗ 这类是付款，金额填到支出列",IF(N(H850)&lt;0,"⚠ 账户余额成负数了，核对一下","√"))))))))))))))))))</f>
      </c>
      <c r="O850" s="78">
        <f>IF(D850&lt;&gt;"",D850,IF(AND(F850="",G850=""),"",IF(J850&lt;&gt;"",IF(N(F850)&gt;0,"客户回款","客户退款"),IF(K850&lt;&gt;"",IF(N(G850)&gt;0,"供应商付款","供应商退款"),IF(L850&lt;&gt;"","费用支出","")))))</f>
      </c>
      <c r="P850" s="78">
        <f>IF(O850="","",IFERROR(INDEX(基础资料!$AE$5:$AE$34,MATCH(O850,基础资料!$AC$5:$AC$34,0)),"未知"))</f>
      </c>
      <c r="Q850" s="78">
        <f>IF(P850="应收",COUNTIF(P$7:P850,"应收"),"")</f>
      </c>
      <c r="R850" s="78">
        <f>IF(P850="应付",COUNTIF(P$7:P850,"应付"),"")</f>
      </c>
      <c r="S850" s="78">
        <f>N(F850)-N(G850)</f>
        <v>0</v>
      </c>
    </row>
    <row r="851">
      <c r="A851" s="109">
        <f>IF(AND(F851="",G851=""),"",ROW()-6)</f>
      </c>
      <c r="B851" s="140" t="n"/>
      <c r="C851" s="141" t="n"/>
      <c r="D851" s="141" t="n"/>
      <c r="E851" s="142" t="n"/>
      <c r="F851" s="143" t="n"/>
      <c r="G851" s="144" t="n"/>
      <c r="H851" s="145">
        <f>IF(OR(C851="",AND(F851="",G851="")),"",SUMIF(基础资料!$W$5:$W$24,C851,基础资料!$X$5:$X$24)+SUMIF(C$7:C851,C851,F$7:F851)-SUMIF(C$7:C851,C851,G$7:G851))</f>
      </c>
      <c r="I851" s="145">
        <f>IF(AND(F851="",G851=""),"",SUM(基础资料!$X$5:$X$24)+SUM(F$7:F851)-SUM(G$7:G851))</f>
      </c>
      <c r="J851" s="141" t="n"/>
      <c r="K851" s="141" t="n"/>
      <c r="L851" s="141" t="n"/>
      <c r="M851" s="142" t="n"/>
      <c r="N851" s="146">
        <f>IF(AND(AND(F851="",G851=""),B851="",C851="",D851="",J851="",K851="",L851=""),"",IF(AND(F851="",G851=""),"✗ 没填金额",IF(AND(N(F851)&lt;&gt;0,N(G851)&lt;&gt;0),"✗ 收入、支出只能填一边",IF(NOT(ISNUMBER(B851)),"✗ 日期不是真日期（要像 2026/9/25 这样填）",IF(OR(B851&lt;年初日,B851&gt;年末日),"✗ 日期不在本会计年度",IF(C851="","✗ 没选账户",IF(COUNTIF(基础资料!$W$5:$W$24,C851)=0,"✗ 账户不在基础资料里",IF(O851="","✗ 没选收支项目",IF(P851="未知","✗ 收支项目不在基础资料里",IF(AND(P851="应收",J851=""),"✗ 这笔要选客户",IF(AND(P851="应收",COUNTIF(总览汇总!$B$5:$B$304,J851)=0),"✗ 客户不在总览汇总名单里",IF(AND(P851="应付",K851=""),"✗ 这笔要选供应商",IF(AND(P851="应付",COUNTIF(基础资料!$Q$5:$Q$54,K851)=0),"✗ 供应商不在基础资料里",IF(AND(P851="费用",L851=""),"✗ 费用支出要选费用项目",IF(AND(L851&lt;&gt;"",COUNTIF(基础资料!$AI$5:$AI$54,L851)=0),"✗ 费用项目不在基础资料里",IF(AND(IFERROR(INDEX(基础资料!$AD$5:$AD$34,MATCH(O851,基础资料!$AC$5:$AC$34,0)),"")="收",N(G851)&lt;&gt;0),"✗ 这类是收款，金额填到收入列",IF(AND(IFERROR(INDEX(基础资料!$AD$5:$AD$34,MATCH(O851,基础资料!$AC$5:$AC$34,0)),"")="支",N(F851)&lt;&gt;0),"✗ 这类是付款，金额填到支出列",IF(N(H851)&lt;0,"⚠ 账户余额成负数了，核对一下","√"))))))))))))))))))</f>
      </c>
      <c r="O851" s="78">
        <f>IF(D851&lt;&gt;"",D851,IF(AND(F851="",G851=""),"",IF(J851&lt;&gt;"",IF(N(F851)&gt;0,"客户回款","客户退款"),IF(K851&lt;&gt;"",IF(N(G851)&gt;0,"供应商付款","供应商退款"),IF(L851&lt;&gt;"","费用支出","")))))</f>
      </c>
      <c r="P851" s="78">
        <f>IF(O851="","",IFERROR(INDEX(基础资料!$AE$5:$AE$34,MATCH(O851,基础资料!$AC$5:$AC$34,0)),"未知"))</f>
      </c>
      <c r="Q851" s="78">
        <f>IF(P851="应收",COUNTIF(P$7:P851,"应收"),"")</f>
      </c>
      <c r="R851" s="78">
        <f>IF(P851="应付",COUNTIF(P$7:P851,"应付"),"")</f>
      </c>
      <c r="S851" s="78">
        <f>N(F851)-N(G851)</f>
        <v>0</v>
      </c>
    </row>
    <row r="852">
      <c r="A852" s="109">
        <f>IF(AND(F852="",G852=""),"",ROW()-6)</f>
      </c>
      <c r="B852" s="140" t="n"/>
      <c r="C852" s="141" t="n"/>
      <c r="D852" s="141" t="n"/>
      <c r="E852" s="142" t="n"/>
      <c r="F852" s="143" t="n"/>
      <c r="G852" s="144" t="n"/>
      <c r="H852" s="145">
        <f>IF(OR(C852="",AND(F852="",G852="")),"",SUMIF(基础资料!$W$5:$W$24,C852,基础资料!$X$5:$X$24)+SUMIF(C$7:C852,C852,F$7:F852)-SUMIF(C$7:C852,C852,G$7:G852))</f>
      </c>
      <c r="I852" s="145">
        <f>IF(AND(F852="",G852=""),"",SUM(基础资料!$X$5:$X$24)+SUM(F$7:F852)-SUM(G$7:G852))</f>
      </c>
      <c r="J852" s="141" t="n"/>
      <c r="K852" s="141" t="n"/>
      <c r="L852" s="141" t="n"/>
      <c r="M852" s="142" t="n"/>
      <c r="N852" s="146">
        <f>IF(AND(AND(F852="",G852=""),B852="",C852="",D852="",J852="",K852="",L852=""),"",IF(AND(F852="",G852=""),"✗ 没填金额",IF(AND(N(F852)&lt;&gt;0,N(G852)&lt;&gt;0),"✗ 收入、支出只能填一边",IF(NOT(ISNUMBER(B852)),"✗ 日期不是真日期（要像 2026/9/25 这样填）",IF(OR(B852&lt;年初日,B852&gt;年末日),"✗ 日期不在本会计年度",IF(C852="","✗ 没选账户",IF(COUNTIF(基础资料!$W$5:$W$24,C852)=0,"✗ 账户不在基础资料里",IF(O852="","✗ 没选收支项目",IF(P852="未知","✗ 收支项目不在基础资料里",IF(AND(P852="应收",J852=""),"✗ 这笔要选客户",IF(AND(P852="应收",COUNTIF(总览汇总!$B$5:$B$304,J852)=0),"✗ 客户不在总览汇总名单里",IF(AND(P852="应付",K852=""),"✗ 这笔要选供应商",IF(AND(P852="应付",COUNTIF(基础资料!$Q$5:$Q$54,K852)=0),"✗ 供应商不在基础资料里",IF(AND(P852="费用",L852=""),"✗ 费用支出要选费用项目",IF(AND(L852&lt;&gt;"",COUNTIF(基础资料!$AI$5:$AI$54,L852)=0),"✗ 费用项目不在基础资料里",IF(AND(IFERROR(INDEX(基础资料!$AD$5:$AD$34,MATCH(O852,基础资料!$AC$5:$AC$34,0)),"")="收",N(G852)&lt;&gt;0),"✗ 这类是收款，金额填到收入列",IF(AND(IFERROR(INDEX(基础资料!$AD$5:$AD$34,MATCH(O852,基础资料!$AC$5:$AC$34,0)),"")="支",N(F852)&lt;&gt;0),"✗ 这类是付款，金额填到支出列",IF(N(H852)&lt;0,"⚠ 账户余额成负数了，核对一下","√"))))))))))))))))))</f>
      </c>
      <c r="O852" s="78">
        <f>IF(D852&lt;&gt;"",D852,IF(AND(F852="",G852=""),"",IF(J852&lt;&gt;"",IF(N(F852)&gt;0,"客户回款","客户退款"),IF(K852&lt;&gt;"",IF(N(G852)&gt;0,"供应商付款","供应商退款"),IF(L852&lt;&gt;"","费用支出","")))))</f>
      </c>
      <c r="P852" s="78">
        <f>IF(O852="","",IFERROR(INDEX(基础资料!$AE$5:$AE$34,MATCH(O852,基础资料!$AC$5:$AC$34,0)),"未知"))</f>
      </c>
      <c r="Q852" s="78">
        <f>IF(P852="应收",COUNTIF(P$7:P852,"应收"),"")</f>
      </c>
      <c r="R852" s="78">
        <f>IF(P852="应付",COUNTIF(P$7:P852,"应付"),"")</f>
      </c>
      <c r="S852" s="78">
        <f>N(F852)-N(G852)</f>
        <v>0</v>
      </c>
    </row>
    <row r="853">
      <c r="A853" s="109">
        <f>IF(AND(F853="",G853=""),"",ROW()-6)</f>
      </c>
      <c r="B853" s="140" t="n"/>
      <c r="C853" s="141" t="n"/>
      <c r="D853" s="141" t="n"/>
      <c r="E853" s="142" t="n"/>
      <c r="F853" s="143" t="n"/>
      <c r="G853" s="144" t="n"/>
      <c r="H853" s="145">
        <f>IF(OR(C853="",AND(F853="",G853="")),"",SUMIF(基础资料!$W$5:$W$24,C853,基础资料!$X$5:$X$24)+SUMIF(C$7:C853,C853,F$7:F853)-SUMIF(C$7:C853,C853,G$7:G853))</f>
      </c>
      <c r="I853" s="145">
        <f>IF(AND(F853="",G853=""),"",SUM(基础资料!$X$5:$X$24)+SUM(F$7:F853)-SUM(G$7:G853))</f>
      </c>
      <c r="J853" s="141" t="n"/>
      <c r="K853" s="141" t="n"/>
      <c r="L853" s="141" t="n"/>
      <c r="M853" s="142" t="n"/>
      <c r="N853" s="146">
        <f>IF(AND(AND(F853="",G853=""),B853="",C853="",D853="",J853="",K853="",L853=""),"",IF(AND(F853="",G853=""),"✗ 没填金额",IF(AND(N(F853)&lt;&gt;0,N(G853)&lt;&gt;0),"✗ 收入、支出只能填一边",IF(NOT(ISNUMBER(B853)),"✗ 日期不是真日期（要像 2026/9/25 这样填）",IF(OR(B853&lt;年初日,B853&gt;年末日),"✗ 日期不在本会计年度",IF(C853="","✗ 没选账户",IF(COUNTIF(基础资料!$W$5:$W$24,C853)=0,"✗ 账户不在基础资料里",IF(O853="","✗ 没选收支项目",IF(P853="未知","✗ 收支项目不在基础资料里",IF(AND(P853="应收",J853=""),"✗ 这笔要选客户",IF(AND(P853="应收",COUNTIF(总览汇总!$B$5:$B$304,J853)=0),"✗ 客户不在总览汇总名单里",IF(AND(P853="应付",K853=""),"✗ 这笔要选供应商",IF(AND(P853="应付",COUNTIF(基础资料!$Q$5:$Q$54,K853)=0),"✗ 供应商不在基础资料里",IF(AND(P853="费用",L853=""),"✗ 费用支出要选费用项目",IF(AND(L853&lt;&gt;"",COUNTIF(基础资料!$AI$5:$AI$54,L853)=0),"✗ 费用项目不在基础资料里",IF(AND(IFERROR(INDEX(基础资料!$AD$5:$AD$34,MATCH(O853,基础资料!$AC$5:$AC$34,0)),"")="收",N(G853)&lt;&gt;0),"✗ 这类是收款，金额填到收入列",IF(AND(IFERROR(INDEX(基础资料!$AD$5:$AD$34,MATCH(O853,基础资料!$AC$5:$AC$34,0)),"")="支",N(F853)&lt;&gt;0),"✗ 这类是付款，金额填到支出列",IF(N(H853)&lt;0,"⚠ 账户余额成负数了，核对一下","√"))))))))))))))))))</f>
      </c>
      <c r="O853" s="78">
        <f>IF(D853&lt;&gt;"",D853,IF(AND(F853="",G853=""),"",IF(J853&lt;&gt;"",IF(N(F853)&gt;0,"客户回款","客户退款"),IF(K853&lt;&gt;"",IF(N(G853)&gt;0,"供应商付款","供应商退款"),IF(L853&lt;&gt;"","费用支出","")))))</f>
      </c>
      <c r="P853" s="78">
        <f>IF(O853="","",IFERROR(INDEX(基础资料!$AE$5:$AE$34,MATCH(O853,基础资料!$AC$5:$AC$34,0)),"未知"))</f>
      </c>
      <c r="Q853" s="78">
        <f>IF(P853="应收",COUNTIF(P$7:P853,"应收"),"")</f>
      </c>
      <c r="R853" s="78">
        <f>IF(P853="应付",COUNTIF(P$7:P853,"应付"),"")</f>
      </c>
      <c r="S853" s="78">
        <f>N(F853)-N(G853)</f>
        <v>0</v>
      </c>
    </row>
    <row r="854">
      <c r="A854" s="109">
        <f>IF(AND(F854="",G854=""),"",ROW()-6)</f>
      </c>
      <c r="B854" s="140" t="n"/>
      <c r="C854" s="141" t="n"/>
      <c r="D854" s="141" t="n"/>
      <c r="E854" s="142" t="n"/>
      <c r="F854" s="143" t="n"/>
      <c r="G854" s="144" t="n"/>
      <c r="H854" s="145">
        <f>IF(OR(C854="",AND(F854="",G854="")),"",SUMIF(基础资料!$W$5:$W$24,C854,基础资料!$X$5:$X$24)+SUMIF(C$7:C854,C854,F$7:F854)-SUMIF(C$7:C854,C854,G$7:G854))</f>
      </c>
      <c r="I854" s="145">
        <f>IF(AND(F854="",G854=""),"",SUM(基础资料!$X$5:$X$24)+SUM(F$7:F854)-SUM(G$7:G854))</f>
      </c>
      <c r="J854" s="141" t="n"/>
      <c r="K854" s="141" t="n"/>
      <c r="L854" s="141" t="n"/>
      <c r="M854" s="142" t="n"/>
      <c r="N854" s="146">
        <f>IF(AND(AND(F854="",G854=""),B854="",C854="",D854="",J854="",K854="",L854=""),"",IF(AND(F854="",G854=""),"✗ 没填金额",IF(AND(N(F854)&lt;&gt;0,N(G854)&lt;&gt;0),"✗ 收入、支出只能填一边",IF(NOT(ISNUMBER(B854)),"✗ 日期不是真日期（要像 2026/9/25 这样填）",IF(OR(B854&lt;年初日,B854&gt;年末日),"✗ 日期不在本会计年度",IF(C854="","✗ 没选账户",IF(COUNTIF(基础资料!$W$5:$W$24,C854)=0,"✗ 账户不在基础资料里",IF(O854="","✗ 没选收支项目",IF(P854="未知","✗ 收支项目不在基础资料里",IF(AND(P854="应收",J854=""),"✗ 这笔要选客户",IF(AND(P854="应收",COUNTIF(总览汇总!$B$5:$B$304,J854)=0),"✗ 客户不在总览汇总名单里",IF(AND(P854="应付",K854=""),"✗ 这笔要选供应商",IF(AND(P854="应付",COUNTIF(基础资料!$Q$5:$Q$54,K854)=0),"✗ 供应商不在基础资料里",IF(AND(P854="费用",L854=""),"✗ 费用支出要选费用项目",IF(AND(L854&lt;&gt;"",COUNTIF(基础资料!$AI$5:$AI$54,L854)=0),"✗ 费用项目不在基础资料里",IF(AND(IFERROR(INDEX(基础资料!$AD$5:$AD$34,MATCH(O854,基础资料!$AC$5:$AC$34,0)),"")="收",N(G854)&lt;&gt;0),"✗ 这类是收款，金额填到收入列",IF(AND(IFERROR(INDEX(基础资料!$AD$5:$AD$34,MATCH(O854,基础资料!$AC$5:$AC$34,0)),"")="支",N(F854)&lt;&gt;0),"✗ 这类是付款，金额填到支出列",IF(N(H854)&lt;0,"⚠ 账户余额成负数了，核对一下","√"))))))))))))))))))</f>
      </c>
      <c r="O854" s="78">
        <f>IF(D854&lt;&gt;"",D854,IF(AND(F854="",G854=""),"",IF(J854&lt;&gt;"",IF(N(F854)&gt;0,"客户回款","客户退款"),IF(K854&lt;&gt;"",IF(N(G854)&gt;0,"供应商付款","供应商退款"),IF(L854&lt;&gt;"","费用支出","")))))</f>
      </c>
      <c r="P854" s="78">
        <f>IF(O854="","",IFERROR(INDEX(基础资料!$AE$5:$AE$34,MATCH(O854,基础资料!$AC$5:$AC$34,0)),"未知"))</f>
      </c>
      <c r="Q854" s="78">
        <f>IF(P854="应收",COUNTIF(P$7:P854,"应收"),"")</f>
      </c>
      <c r="R854" s="78">
        <f>IF(P854="应付",COUNTIF(P$7:P854,"应付"),"")</f>
      </c>
      <c r="S854" s="78">
        <f>N(F854)-N(G854)</f>
        <v>0</v>
      </c>
    </row>
    <row r="855">
      <c r="A855" s="109">
        <f>IF(AND(F855="",G855=""),"",ROW()-6)</f>
      </c>
      <c r="B855" s="140" t="n"/>
      <c r="C855" s="141" t="n"/>
      <c r="D855" s="141" t="n"/>
      <c r="E855" s="142" t="n"/>
      <c r="F855" s="143" t="n"/>
      <c r="G855" s="144" t="n"/>
      <c r="H855" s="145">
        <f>IF(OR(C855="",AND(F855="",G855="")),"",SUMIF(基础资料!$W$5:$W$24,C855,基础资料!$X$5:$X$24)+SUMIF(C$7:C855,C855,F$7:F855)-SUMIF(C$7:C855,C855,G$7:G855))</f>
      </c>
      <c r="I855" s="145">
        <f>IF(AND(F855="",G855=""),"",SUM(基础资料!$X$5:$X$24)+SUM(F$7:F855)-SUM(G$7:G855))</f>
      </c>
      <c r="J855" s="141" t="n"/>
      <c r="K855" s="141" t="n"/>
      <c r="L855" s="141" t="n"/>
      <c r="M855" s="142" t="n"/>
      <c r="N855" s="146">
        <f>IF(AND(AND(F855="",G855=""),B855="",C855="",D855="",J855="",K855="",L855=""),"",IF(AND(F855="",G855=""),"✗ 没填金额",IF(AND(N(F855)&lt;&gt;0,N(G855)&lt;&gt;0),"✗ 收入、支出只能填一边",IF(NOT(ISNUMBER(B855)),"✗ 日期不是真日期（要像 2026/9/25 这样填）",IF(OR(B855&lt;年初日,B855&gt;年末日),"✗ 日期不在本会计年度",IF(C855="","✗ 没选账户",IF(COUNTIF(基础资料!$W$5:$W$24,C855)=0,"✗ 账户不在基础资料里",IF(O855="","✗ 没选收支项目",IF(P855="未知","✗ 收支项目不在基础资料里",IF(AND(P855="应收",J855=""),"✗ 这笔要选客户",IF(AND(P855="应收",COUNTIF(总览汇总!$B$5:$B$304,J855)=0),"✗ 客户不在总览汇总名单里",IF(AND(P855="应付",K855=""),"✗ 这笔要选供应商",IF(AND(P855="应付",COUNTIF(基础资料!$Q$5:$Q$54,K855)=0),"✗ 供应商不在基础资料里",IF(AND(P855="费用",L855=""),"✗ 费用支出要选费用项目",IF(AND(L855&lt;&gt;"",COUNTIF(基础资料!$AI$5:$AI$54,L855)=0),"✗ 费用项目不在基础资料里",IF(AND(IFERROR(INDEX(基础资料!$AD$5:$AD$34,MATCH(O855,基础资料!$AC$5:$AC$34,0)),"")="收",N(G855)&lt;&gt;0),"✗ 这类是收款，金额填到收入列",IF(AND(IFERROR(INDEX(基础资料!$AD$5:$AD$34,MATCH(O855,基础资料!$AC$5:$AC$34,0)),"")="支",N(F855)&lt;&gt;0),"✗ 这类是付款，金额填到支出列",IF(N(H855)&lt;0,"⚠ 账户余额成负数了，核对一下","√"))))))))))))))))))</f>
      </c>
      <c r="O855" s="78">
        <f>IF(D855&lt;&gt;"",D855,IF(AND(F855="",G855=""),"",IF(J855&lt;&gt;"",IF(N(F855)&gt;0,"客户回款","客户退款"),IF(K855&lt;&gt;"",IF(N(G855)&gt;0,"供应商付款","供应商退款"),IF(L855&lt;&gt;"","费用支出","")))))</f>
      </c>
      <c r="P855" s="78">
        <f>IF(O855="","",IFERROR(INDEX(基础资料!$AE$5:$AE$34,MATCH(O855,基础资料!$AC$5:$AC$34,0)),"未知"))</f>
      </c>
      <c r="Q855" s="78">
        <f>IF(P855="应收",COUNTIF(P$7:P855,"应收"),"")</f>
      </c>
      <c r="R855" s="78">
        <f>IF(P855="应付",COUNTIF(P$7:P855,"应付"),"")</f>
      </c>
      <c r="S855" s="78">
        <f>N(F855)-N(G855)</f>
        <v>0</v>
      </c>
    </row>
    <row r="856">
      <c r="A856" s="109">
        <f>IF(AND(F856="",G856=""),"",ROW()-6)</f>
      </c>
      <c r="B856" s="140" t="n"/>
      <c r="C856" s="141" t="n"/>
      <c r="D856" s="141" t="n"/>
      <c r="E856" s="142" t="n"/>
      <c r="F856" s="143" t="n"/>
      <c r="G856" s="144" t="n"/>
      <c r="H856" s="145">
        <f>IF(OR(C856="",AND(F856="",G856="")),"",SUMIF(基础资料!$W$5:$W$24,C856,基础资料!$X$5:$X$24)+SUMIF(C$7:C856,C856,F$7:F856)-SUMIF(C$7:C856,C856,G$7:G856))</f>
      </c>
      <c r="I856" s="145">
        <f>IF(AND(F856="",G856=""),"",SUM(基础资料!$X$5:$X$24)+SUM(F$7:F856)-SUM(G$7:G856))</f>
      </c>
      <c r="J856" s="141" t="n"/>
      <c r="K856" s="141" t="n"/>
      <c r="L856" s="141" t="n"/>
      <c r="M856" s="142" t="n"/>
      <c r="N856" s="146">
        <f>IF(AND(AND(F856="",G856=""),B856="",C856="",D856="",J856="",K856="",L856=""),"",IF(AND(F856="",G856=""),"✗ 没填金额",IF(AND(N(F856)&lt;&gt;0,N(G856)&lt;&gt;0),"✗ 收入、支出只能填一边",IF(NOT(ISNUMBER(B856)),"✗ 日期不是真日期（要像 2026/9/25 这样填）",IF(OR(B856&lt;年初日,B856&gt;年末日),"✗ 日期不在本会计年度",IF(C856="","✗ 没选账户",IF(COUNTIF(基础资料!$W$5:$W$24,C856)=0,"✗ 账户不在基础资料里",IF(O856="","✗ 没选收支项目",IF(P856="未知","✗ 收支项目不在基础资料里",IF(AND(P856="应收",J856=""),"✗ 这笔要选客户",IF(AND(P856="应收",COUNTIF(总览汇总!$B$5:$B$304,J856)=0),"✗ 客户不在总览汇总名单里",IF(AND(P856="应付",K856=""),"✗ 这笔要选供应商",IF(AND(P856="应付",COUNTIF(基础资料!$Q$5:$Q$54,K856)=0),"✗ 供应商不在基础资料里",IF(AND(P856="费用",L856=""),"✗ 费用支出要选费用项目",IF(AND(L856&lt;&gt;"",COUNTIF(基础资料!$AI$5:$AI$54,L856)=0),"✗ 费用项目不在基础资料里",IF(AND(IFERROR(INDEX(基础资料!$AD$5:$AD$34,MATCH(O856,基础资料!$AC$5:$AC$34,0)),"")="收",N(G856)&lt;&gt;0),"✗ 这类是收款，金额填到收入列",IF(AND(IFERROR(INDEX(基础资料!$AD$5:$AD$34,MATCH(O856,基础资料!$AC$5:$AC$34,0)),"")="支",N(F856)&lt;&gt;0),"✗ 这类是付款，金额填到支出列",IF(N(H856)&lt;0,"⚠ 账户余额成负数了，核对一下","√"))))))))))))))))))</f>
      </c>
      <c r="O856" s="78">
        <f>IF(D856&lt;&gt;"",D856,IF(AND(F856="",G856=""),"",IF(J856&lt;&gt;"",IF(N(F856)&gt;0,"客户回款","客户退款"),IF(K856&lt;&gt;"",IF(N(G856)&gt;0,"供应商付款","供应商退款"),IF(L856&lt;&gt;"","费用支出","")))))</f>
      </c>
      <c r="P856" s="78">
        <f>IF(O856="","",IFERROR(INDEX(基础资料!$AE$5:$AE$34,MATCH(O856,基础资料!$AC$5:$AC$34,0)),"未知"))</f>
      </c>
      <c r="Q856" s="78">
        <f>IF(P856="应收",COUNTIF(P$7:P856,"应收"),"")</f>
      </c>
      <c r="R856" s="78">
        <f>IF(P856="应付",COUNTIF(P$7:P856,"应付"),"")</f>
      </c>
      <c r="S856" s="78">
        <f>N(F856)-N(G856)</f>
        <v>0</v>
      </c>
    </row>
    <row r="857">
      <c r="A857" s="109">
        <f>IF(AND(F857="",G857=""),"",ROW()-6)</f>
      </c>
      <c r="B857" s="140" t="n"/>
      <c r="C857" s="141" t="n"/>
      <c r="D857" s="141" t="n"/>
      <c r="E857" s="142" t="n"/>
      <c r="F857" s="143" t="n"/>
      <c r="G857" s="144" t="n"/>
      <c r="H857" s="145">
        <f>IF(OR(C857="",AND(F857="",G857="")),"",SUMIF(基础资料!$W$5:$W$24,C857,基础资料!$X$5:$X$24)+SUMIF(C$7:C857,C857,F$7:F857)-SUMIF(C$7:C857,C857,G$7:G857))</f>
      </c>
      <c r="I857" s="145">
        <f>IF(AND(F857="",G857=""),"",SUM(基础资料!$X$5:$X$24)+SUM(F$7:F857)-SUM(G$7:G857))</f>
      </c>
      <c r="J857" s="141" t="n"/>
      <c r="K857" s="141" t="n"/>
      <c r="L857" s="141" t="n"/>
      <c r="M857" s="142" t="n"/>
      <c r="N857" s="146">
        <f>IF(AND(AND(F857="",G857=""),B857="",C857="",D857="",J857="",K857="",L857=""),"",IF(AND(F857="",G857=""),"✗ 没填金额",IF(AND(N(F857)&lt;&gt;0,N(G857)&lt;&gt;0),"✗ 收入、支出只能填一边",IF(NOT(ISNUMBER(B857)),"✗ 日期不是真日期（要像 2026/9/25 这样填）",IF(OR(B857&lt;年初日,B857&gt;年末日),"✗ 日期不在本会计年度",IF(C857="","✗ 没选账户",IF(COUNTIF(基础资料!$W$5:$W$24,C857)=0,"✗ 账户不在基础资料里",IF(O857="","✗ 没选收支项目",IF(P857="未知","✗ 收支项目不在基础资料里",IF(AND(P857="应收",J857=""),"✗ 这笔要选客户",IF(AND(P857="应收",COUNTIF(总览汇总!$B$5:$B$304,J857)=0),"✗ 客户不在总览汇总名单里",IF(AND(P857="应付",K857=""),"✗ 这笔要选供应商",IF(AND(P857="应付",COUNTIF(基础资料!$Q$5:$Q$54,K857)=0),"✗ 供应商不在基础资料里",IF(AND(P857="费用",L857=""),"✗ 费用支出要选费用项目",IF(AND(L857&lt;&gt;"",COUNTIF(基础资料!$AI$5:$AI$54,L857)=0),"✗ 费用项目不在基础资料里",IF(AND(IFERROR(INDEX(基础资料!$AD$5:$AD$34,MATCH(O857,基础资料!$AC$5:$AC$34,0)),"")="收",N(G857)&lt;&gt;0),"✗ 这类是收款，金额填到收入列",IF(AND(IFERROR(INDEX(基础资料!$AD$5:$AD$34,MATCH(O857,基础资料!$AC$5:$AC$34,0)),"")="支",N(F857)&lt;&gt;0),"✗ 这类是付款，金额填到支出列",IF(N(H857)&lt;0,"⚠ 账户余额成负数了，核对一下","√"))))))))))))))))))</f>
      </c>
      <c r="O857" s="78">
        <f>IF(D857&lt;&gt;"",D857,IF(AND(F857="",G857=""),"",IF(J857&lt;&gt;"",IF(N(F857)&gt;0,"客户回款","客户退款"),IF(K857&lt;&gt;"",IF(N(G857)&gt;0,"供应商付款","供应商退款"),IF(L857&lt;&gt;"","费用支出","")))))</f>
      </c>
      <c r="P857" s="78">
        <f>IF(O857="","",IFERROR(INDEX(基础资料!$AE$5:$AE$34,MATCH(O857,基础资料!$AC$5:$AC$34,0)),"未知"))</f>
      </c>
      <c r="Q857" s="78">
        <f>IF(P857="应收",COUNTIF(P$7:P857,"应收"),"")</f>
      </c>
      <c r="R857" s="78">
        <f>IF(P857="应付",COUNTIF(P$7:P857,"应付"),"")</f>
      </c>
      <c r="S857" s="78">
        <f>N(F857)-N(G857)</f>
        <v>0</v>
      </c>
    </row>
    <row r="858">
      <c r="A858" s="109">
        <f>IF(AND(F858="",G858=""),"",ROW()-6)</f>
      </c>
      <c r="B858" s="140" t="n"/>
      <c r="C858" s="141" t="n"/>
      <c r="D858" s="141" t="n"/>
      <c r="E858" s="142" t="n"/>
      <c r="F858" s="143" t="n"/>
      <c r="G858" s="144" t="n"/>
      <c r="H858" s="145">
        <f>IF(OR(C858="",AND(F858="",G858="")),"",SUMIF(基础资料!$W$5:$W$24,C858,基础资料!$X$5:$X$24)+SUMIF(C$7:C858,C858,F$7:F858)-SUMIF(C$7:C858,C858,G$7:G858))</f>
      </c>
      <c r="I858" s="145">
        <f>IF(AND(F858="",G858=""),"",SUM(基础资料!$X$5:$X$24)+SUM(F$7:F858)-SUM(G$7:G858))</f>
      </c>
      <c r="J858" s="141" t="n"/>
      <c r="K858" s="141" t="n"/>
      <c r="L858" s="141" t="n"/>
      <c r="M858" s="142" t="n"/>
      <c r="N858" s="146">
        <f>IF(AND(AND(F858="",G858=""),B858="",C858="",D858="",J858="",K858="",L858=""),"",IF(AND(F858="",G858=""),"✗ 没填金额",IF(AND(N(F858)&lt;&gt;0,N(G858)&lt;&gt;0),"✗ 收入、支出只能填一边",IF(NOT(ISNUMBER(B858)),"✗ 日期不是真日期（要像 2026/9/25 这样填）",IF(OR(B858&lt;年初日,B858&gt;年末日),"✗ 日期不在本会计年度",IF(C858="","✗ 没选账户",IF(COUNTIF(基础资料!$W$5:$W$24,C858)=0,"✗ 账户不在基础资料里",IF(O858="","✗ 没选收支项目",IF(P858="未知","✗ 收支项目不在基础资料里",IF(AND(P858="应收",J858=""),"✗ 这笔要选客户",IF(AND(P858="应收",COUNTIF(总览汇总!$B$5:$B$304,J858)=0),"✗ 客户不在总览汇总名单里",IF(AND(P858="应付",K858=""),"✗ 这笔要选供应商",IF(AND(P858="应付",COUNTIF(基础资料!$Q$5:$Q$54,K858)=0),"✗ 供应商不在基础资料里",IF(AND(P858="费用",L858=""),"✗ 费用支出要选费用项目",IF(AND(L858&lt;&gt;"",COUNTIF(基础资料!$AI$5:$AI$54,L858)=0),"✗ 费用项目不在基础资料里",IF(AND(IFERROR(INDEX(基础资料!$AD$5:$AD$34,MATCH(O858,基础资料!$AC$5:$AC$34,0)),"")="收",N(G858)&lt;&gt;0),"✗ 这类是收款，金额填到收入列",IF(AND(IFERROR(INDEX(基础资料!$AD$5:$AD$34,MATCH(O858,基础资料!$AC$5:$AC$34,0)),"")="支",N(F858)&lt;&gt;0),"✗ 这类是付款，金额填到支出列",IF(N(H858)&lt;0,"⚠ 账户余额成负数了，核对一下","√"))))))))))))))))))</f>
      </c>
      <c r="O858" s="78">
        <f>IF(D858&lt;&gt;"",D858,IF(AND(F858="",G858=""),"",IF(J858&lt;&gt;"",IF(N(F858)&gt;0,"客户回款","客户退款"),IF(K858&lt;&gt;"",IF(N(G858)&gt;0,"供应商付款","供应商退款"),IF(L858&lt;&gt;"","费用支出","")))))</f>
      </c>
      <c r="P858" s="78">
        <f>IF(O858="","",IFERROR(INDEX(基础资料!$AE$5:$AE$34,MATCH(O858,基础资料!$AC$5:$AC$34,0)),"未知"))</f>
      </c>
      <c r="Q858" s="78">
        <f>IF(P858="应收",COUNTIF(P$7:P858,"应收"),"")</f>
      </c>
      <c r="R858" s="78">
        <f>IF(P858="应付",COUNTIF(P$7:P858,"应付"),"")</f>
      </c>
      <c r="S858" s="78">
        <f>N(F858)-N(G858)</f>
        <v>0</v>
      </c>
    </row>
    <row r="859">
      <c r="A859" s="109">
        <f>IF(AND(F859="",G859=""),"",ROW()-6)</f>
      </c>
      <c r="B859" s="140" t="n"/>
      <c r="C859" s="141" t="n"/>
      <c r="D859" s="141" t="n"/>
      <c r="E859" s="142" t="n"/>
      <c r="F859" s="143" t="n"/>
      <c r="G859" s="144" t="n"/>
      <c r="H859" s="145">
        <f>IF(OR(C859="",AND(F859="",G859="")),"",SUMIF(基础资料!$W$5:$W$24,C859,基础资料!$X$5:$X$24)+SUMIF(C$7:C859,C859,F$7:F859)-SUMIF(C$7:C859,C859,G$7:G859))</f>
      </c>
      <c r="I859" s="145">
        <f>IF(AND(F859="",G859=""),"",SUM(基础资料!$X$5:$X$24)+SUM(F$7:F859)-SUM(G$7:G859))</f>
      </c>
      <c r="J859" s="141" t="n"/>
      <c r="K859" s="141" t="n"/>
      <c r="L859" s="141" t="n"/>
      <c r="M859" s="142" t="n"/>
      <c r="N859" s="146">
        <f>IF(AND(AND(F859="",G859=""),B859="",C859="",D859="",J859="",K859="",L859=""),"",IF(AND(F859="",G859=""),"✗ 没填金额",IF(AND(N(F859)&lt;&gt;0,N(G859)&lt;&gt;0),"✗ 收入、支出只能填一边",IF(NOT(ISNUMBER(B859)),"✗ 日期不是真日期（要像 2026/9/25 这样填）",IF(OR(B859&lt;年初日,B859&gt;年末日),"✗ 日期不在本会计年度",IF(C859="","✗ 没选账户",IF(COUNTIF(基础资料!$W$5:$W$24,C859)=0,"✗ 账户不在基础资料里",IF(O859="","✗ 没选收支项目",IF(P859="未知","✗ 收支项目不在基础资料里",IF(AND(P859="应收",J859=""),"✗ 这笔要选客户",IF(AND(P859="应收",COUNTIF(总览汇总!$B$5:$B$304,J859)=0),"✗ 客户不在总览汇总名单里",IF(AND(P859="应付",K859=""),"✗ 这笔要选供应商",IF(AND(P859="应付",COUNTIF(基础资料!$Q$5:$Q$54,K859)=0),"✗ 供应商不在基础资料里",IF(AND(P859="费用",L859=""),"✗ 费用支出要选费用项目",IF(AND(L859&lt;&gt;"",COUNTIF(基础资料!$AI$5:$AI$54,L859)=0),"✗ 费用项目不在基础资料里",IF(AND(IFERROR(INDEX(基础资料!$AD$5:$AD$34,MATCH(O859,基础资料!$AC$5:$AC$34,0)),"")="收",N(G859)&lt;&gt;0),"✗ 这类是收款，金额填到收入列",IF(AND(IFERROR(INDEX(基础资料!$AD$5:$AD$34,MATCH(O859,基础资料!$AC$5:$AC$34,0)),"")="支",N(F859)&lt;&gt;0),"✗ 这类是付款，金额填到支出列",IF(N(H859)&lt;0,"⚠ 账户余额成负数了，核对一下","√"))))))))))))))))))</f>
      </c>
      <c r="O859" s="78">
        <f>IF(D859&lt;&gt;"",D859,IF(AND(F859="",G859=""),"",IF(J859&lt;&gt;"",IF(N(F859)&gt;0,"客户回款","客户退款"),IF(K859&lt;&gt;"",IF(N(G859)&gt;0,"供应商付款","供应商退款"),IF(L859&lt;&gt;"","费用支出","")))))</f>
      </c>
      <c r="P859" s="78">
        <f>IF(O859="","",IFERROR(INDEX(基础资料!$AE$5:$AE$34,MATCH(O859,基础资料!$AC$5:$AC$34,0)),"未知"))</f>
      </c>
      <c r="Q859" s="78">
        <f>IF(P859="应收",COUNTIF(P$7:P859,"应收"),"")</f>
      </c>
      <c r="R859" s="78">
        <f>IF(P859="应付",COUNTIF(P$7:P859,"应付"),"")</f>
      </c>
      <c r="S859" s="78">
        <f>N(F859)-N(G859)</f>
        <v>0</v>
      </c>
    </row>
    <row r="860">
      <c r="A860" s="109">
        <f>IF(AND(F860="",G860=""),"",ROW()-6)</f>
      </c>
      <c r="B860" s="140" t="n"/>
      <c r="C860" s="141" t="n"/>
      <c r="D860" s="141" t="n"/>
      <c r="E860" s="142" t="n"/>
      <c r="F860" s="143" t="n"/>
      <c r="G860" s="144" t="n"/>
      <c r="H860" s="145">
        <f>IF(OR(C860="",AND(F860="",G860="")),"",SUMIF(基础资料!$W$5:$W$24,C860,基础资料!$X$5:$X$24)+SUMIF(C$7:C860,C860,F$7:F860)-SUMIF(C$7:C860,C860,G$7:G860))</f>
      </c>
      <c r="I860" s="145">
        <f>IF(AND(F860="",G860=""),"",SUM(基础资料!$X$5:$X$24)+SUM(F$7:F860)-SUM(G$7:G860))</f>
      </c>
      <c r="J860" s="141" t="n"/>
      <c r="K860" s="141" t="n"/>
      <c r="L860" s="141" t="n"/>
      <c r="M860" s="142" t="n"/>
      <c r="N860" s="146">
        <f>IF(AND(AND(F860="",G860=""),B860="",C860="",D860="",J860="",K860="",L860=""),"",IF(AND(F860="",G860=""),"✗ 没填金额",IF(AND(N(F860)&lt;&gt;0,N(G860)&lt;&gt;0),"✗ 收入、支出只能填一边",IF(NOT(ISNUMBER(B860)),"✗ 日期不是真日期（要像 2026/9/25 这样填）",IF(OR(B860&lt;年初日,B860&gt;年末日),"✗ 日期不在本会计年度",IF(C860="","✗ 没选账户",IF(COUNTIF(基础资料!$W$5:$W$24,C860)=0,"✗ 账户不在基础资料里",IF(O860="","✗ 没选收支项目",IF(P860="未知","✗ 收支项目不在基础资料里",IF(AND(P860="应收",J860=""),"✗ 这笔要选客户",IF(AND(P860="应收",COUNTIF(总览汇总!$B$5:$B$304,J860)=0),"✗ 客户不在总览汇总名单里",IF(AND(P860="应付",K860=""),"✗ 这笔要选供应商",IF(AND(P860="应付",COUNTIF(基础资料!$Q$5:$Q$54,K860)=0),"✗ 供应商不在基础资料里",IF(AND(P860="费用",L860=""),"✗ 费用支出要选费用项目",IF(AND(L860&lt;&gt;"",COUNTIF(基础资料!$AI$5:$AI$54,L860)=0),"✗ 费用项目不在基础资料里",IF(AND(IFERROR(INDEX(基础资料!$AD$5:$AD$34,MATCH(O860,基础资料!$AC$5:$AC$34,0)),"")="收",N(G860)&lt;&gt;0),"✗ 这类是收款，金额填到收入列",IF(AND(IFERROR(INDEX(基础资料!$AD$5:$AD$34,MATCH(O860,基础资料!$AC$5:$AC$34,0)),"")="支",N(F860)&lt;&gt;0),"✗ 这类是付款，金额填到支出列",IF(N(H860)&lt;0,"⚠ 账户余额成负数了，核对一下","√"))))))))))))))))))</f>
      </c>
      <c r="O860" s="78">
        <f>IF(D860&lt;&gt;"",D860,IF(AND(F860="",G860=""),"",IF(J860&lt;&gt;"",IF(N(F860)&gt;0,"客户回款","客户退款"),IF(K860&lt;&gt;"",IF(N(G860)&gt;0,"供应商付款","供应商退款"),IF(L860&lt;&gt;"","费用支出","")))))</f>
      </c>
      <c r="P860" s="78">
        <f>IF(O860="","",IFERROR(INDEX(基础资料!$AE$5:$AE$34,MATCH(O860,基础资料!$AC$5:$AC$34,0)),"未知"))</f>
      </c>
      <c r="Q860" s="78">
        <f>IF(P860="应收",COUNTIF(P$7:P860,"应收"),"")</f>
      </c>
      <c r="R860" s="78">
        <f>IF(P860="应付",COUNTIF(P$7:P860,"应付"),"")</f>
      </c>
      <c r="S860" s="78">
        <f>N(F860)-N(G860)</f>
        <v>0</v>
      </c>
    </row>
    <row r="861">
      <c r="A861" s="109">
        <f>IF(AND(F861="",G861=""),"",ROW()-6)</f>
      </c>
      <c r="B861" s="140" t="n"/>
      <c r="C861" s="141" t="n"/>
      <c r="D861" s="141" t="n"/>
      <c r="E861" s="142" t="n"/>
      <c r="F861" s="143" t="n"/>
      <c r="G861" s="144" t="n"/>
      <c r="H861" s="145">
        <f>IF(OR(C861="",AND(F861="",G861="")),"",SUMIF(基础资料!$W$5:$W$24,C861,基础资料!$X$5:$X$24)+SUMIF(C$7:C861,C861,F$7:F861)-SUMIF(C$7:C861,C861,G$7:G861))</f>
      </c>
      <c r="I861" s="145">
        <f>IF(AND(F861="",G861=""),"",SUM(基础资料!$X$5:$X$24)+SUM(F$7:F861)-SUM(G$7:G861))</f>
      </c>
      <c r="J861" s="141" t="n"/>
      <c r="K861" s="141" t="n"/>
      <c r="L861" s="141" t="n"/>
      <c r="M861" s="142" t="n"/>
      <c r="N861" s="146">
        <f>IF(AND(AND(F861="",G861=""),B861="",C861="",D861="",J861="",K861="",L861=""),"",IF(AND(F861="",G861=""),"✗ 没填金额",IF(AND(N(F861)&lt;&gt;0,N(G861)&lt;&gt;0),"✗ 收入、支出只能填一边",IF(NOT(ISNUMBER(B861)),"✗ 日期不是真日期（要像 2026/9/25 这样填）",IF(OR(B861&lt;年初日,B861&gt;年末日),"✗ 日期不在本会计年度",IF(C861="","✗ 没选账户",IF(COUNTIF(基础资料!$W$5:$W$24,C861)=0,"✗ 账户不在基础资料里",IF(O861="","✗ 没选收支项目",IF(P861="未知","✗ 收支项目不在基础资料里",IF(AND(P861="应收",J861=""),"✗ 这笔要选客户",IF(AND(P861="应收",COUNTIF(总览汇总!$B$5:$B$304,J861)=0),"✗ 客户不在总览汇总名单里",IF(AND(P861="应付",K861=""),"✗ 这笔要选供应商",IF(AND(P861="应付",COUNTIF(基础资料!$Q$5:$Q$54,K861)=0),"✗ 供应商不在基础资料里",IF(AND(P861="费用",L861=""),"✗ 费用支出要选费用项目",IF(AND(L861&lt;&gt;"",COUNTIF(基础资料!$AI$5:$AI$54,L861)=0),"✗ 费用项目不在基础资料里",IF(AND(IFERROR(INDEX(基础资料!$AD$5:$AD$34,MATCH(O861,基础资料!$AC$5:$AC$34,0)),"")="收",N(G861)&lt;&gt;0),"✗ 这类是收款，金额填到收入列",IF(AND(IFERROR(INDEX(基础资料!$AD$5:$AD$34,MATCH(O861,基础资料!$AC$5:$AC$34,0)),"")="支",N(F861)&lt;&gt;0),"✗ 这类是付款，金额填到支出列",IF(N(H861)&lt;0,"⚠ 账户余额成负数了，核对一下","√"))))))))))))))))))</f>
      </c>
      <c r="O861" s="78">
        <f>IF(D861&lt;&gt;"",D861,IF(AND(F861="",G861=""),"",IF(J861&lt;&gt;"",IF(N(F861)&gt;0,"客户回款","客户退款"),IF(K861&lt;&gt;"",IF(N(G861)&gt;0,"供应商付款","供应商退款"),IF(L861&lt;&gt;"","费用支出","")))))</f>
      </c>
      <c r="P861" s="78">
        <f>IF(O861="","",IFERROR(INDEX(基础资料!$AE$5:$AE$34,MATCH(O861,基础资料!$AC$5:$AC$34,0)),"未知"))</f>
      </c>
      <c r="Q861" s="78">
        <f>IF(P861="应收",COUNTIF(P$7:P861,"应收"),"")</f>
      </c>
      <c r="R861" s="78">
        <f>IF(P861="应付",COUNTIF(P$7:P861,"应付"),"")</f>
      </c>
      <c r="S861" s="78">
        <f>N(F861)-N(G861)</f>
        <v>0</v>
      </c>
    </row>
    <row r="862">
      <c r="A862" s="109">
        <f>IF(AND(F862="",G862=""),"",ROW()-6)</f>
      </c>
      <c r="B862" s="140" t="n"/>
      <c r="C862" s="141" t="n"/>
      <c r="D862" s="141" t="n"/>
      <c r="E862" s="142" t="n"/>
      <c r="F862" s="143" t="n"/>
      <c r="G862" s="144" t="n"/>
      <c r="H862" s="145">
        <f>IF(OR(C862="",AND(F862="",G862="")),"",SUMIF(基础资料!$W$5:$W$24,C862,基础资料!$X$5:$X$24)+SUMIF(C$7:C862,C862,F$7:F862)-SUMIF(C$7:C862,C862,G$7:G862))</f>
      </c>
      <c r="I862" s="145">
        <f>IF(AND(F862="",G862=""),"",SUM(基础资料!$X$5:$X$24)+SUM(F$7:F862)-SUM(G$7:G862))</f>
      </c>
      <c r="J862" s="141" t="n"/>
      <c r="K862" s="141" t="n"/>
      <c r="L862" s="141" t="n"/>
      <c r="M862" s="142" t="n"/>
      <c r="N862" s="146">
        <f>IF(AND(AND(F862="",G862=""),B862="",C862="",D862="",J862="",K862="",L862=""),"",IF(AND(F862="",G862=""),"✗ 没填金额",IF(AND(N(F862)&lt;&gt;0,N(G862)&lt;&gt;0),"✗ 收入、支出只能填一边",IF(NOT(ISNUMBER(B862)),"✗ 日期不是真日期（要像 2026/9/25 这样填）",IF(OR(B862&lt;年初日,B862&gt;年末日),"✗ 日期不在本会计年度",IF(C862="","✗ 没选账户",IF(COUNTIF(基础资料!$W$5:$W$24,C862)=0,"✗ 账户不在基础资料里",IF(O862="","✗ 没选收支项目",IF(P862="未知","✗ 收支项目不在基础资料里",IF(AND(P862="应收",J862=""),"✗ 这笔要选客户",IF(AND(P862="应收",COUNTIF(总览汇总!$B$5:$B$304,J862)=0),"✗ 客户不在总览汇总名单里",IF(AND(P862="应付",K862=""),"✗ 这笔要选供应商",IF(AND(P862="应付",COUNTIF(基础资料!$Q$5:$Q$54,K862)=0),"✗ 供应商不在基础资料里",IF(AND(P862="费用",L862=""),"✗ 费用支出要选费用项目",IF(AND(L862&lt;&gt;"",COUNTIF(基础资料!$AI$5:$AI$54,L862)=0),"✗ 费用项目不在基础资料里",IF(AND(IFERROR(INDEX(基础资料!$AD$5:$AD$34,MATCH(O862,基础资料!$AC$5:$AC$34,0)),"")="收",N(G862)&lt;&gt;0),"✗ 这类是收款，金额填到收入列",IF(AND(IFERROR(INDEX(基础资料!$AD$5:$AD$34,MATCH(O862,基础资料!$AC$5:$AC$34,0)),"")="支",N(F862)&lt;&gt;0),"✗ 这类是付款，金额填到支出列",IF(N(H862)&lt;0,"⚠ 账户余额成负数了，核对一下","√"))))))))))))))))))</f>
      </c>
      <c r="O862" s="78">
        <f>IF(D862&lt;&gt;"",D862,IF(AND(F862="",G862=""),"",IF(J862&lt;&gt;"",IF(N(F862)&gt;0,"客户回款","客户退款"),IF(K862&lt;&gt;"",IF(N(G862)&gt;0,"供应商付款","供应商退款"),IF(L862&lt;&gt;"","费用支出","")))))</f>
      </c>
      <c r="P862" s="78">
        <f>IF(O862="","",IFERROR(INDEX(基础资料!$AE$5:$AE$34,MATCH(O862,基础资料!$AC$5:$AC$34,0)),"未知"))</f>
      </c>
      <c r="Q862" s="78">
        <f>IF(P862="应收",COUNTIF(P$7:P862,"应收"),"")</f>
      </c>
      <c r="R862" s="78">
        <f>IF(P862="应付",COUNTIF(P$7:P862,"应付"),"")</f>
      </c>
      <c r="S862" s="78">
        <f>N(F862)-N(G862)</f>
        <v>0</v>
      </c>
    </row>
    <row r="863">
      <c r="A863" s="109">
        <f>IF(AND(F863="",G863=""),"",ROW()-6)</f>
      </c>
      <c r="B863" s="140" t="n"/>
      <c r="C863" s="141" t="n"/>
      <c r="D863" s="141" t="n"/>
      <c r="E863" s="142" t="n"/>
      <c r="F863" s="143" t="n"/>
      <c r="G863" s="144" t="n"/>
      <c r="H863" s="145">
        <f>IF(OR(C863="",AND(F863="",G863="")),"",SUMIF(基础资料!$W$5:$W$24,C863,基础资料!$X$5:$X$24)+SUMIF(C$7:C863,C863,F$7:F863)-SUMIF(C$7:C863,C863,G$7:G863))</f>
      </c>
      <c r="I863" s="145">
        <f>IF(AND(F863="",G863=""),"",SUM(基础资料!$X$5:$X$24)+SUM(F$7:F863)-SUM(G$7:G863))</f>
      </c>
      <c r="J863" s="141" t="n"/>
      <c r="K863" s="141" t="n"/>
      <c r="L863" s="141" t="n"/>
      <c r="M863" s="142" t="n"/>
      <c r="N863" s="146">
        <f>IF(AND(AND(F863="",G863=""),B863="",C863="",D863="",J863="",K863="",L863=""),"",IF(AND(F863="",G863=""),"✗ 没填金额",IF(AND(N(F863)&lt;&gt;0,N(G863)&lt;&gt;0),"✗ 收入、支出只能填一边",IF(NOT(ISNUMBER(B863)),"✗ 日期不是真日期（要像 2026/9/25 这样填）",IF(OR(B863&lt;年初日,B863&gt;年末日),"✗ 日期不在本会计年度",IF(C863="","✗ 没选账户",IF(COUNTIF(基础资料!$W$5:$W$24,C863)=0,"✗ 账户不在基础资料里",IF(O863="","✗ 没选收支项目",IF(P863="未知","✗ 收支项目不在基础资料里",IF(AND(P863="应收",J863=""),"✗ 这笔要选客户",IF(AND(P863="应收",COUNTIF(总览汇总!$B$5:$B$304,J863)=0),"✗ 客户不在总览汇总名单里",IF(AND(P863="应付",K863=""),"✗ 这笔要选供应商",IF(AND(P863="应付",COUNTIF(基础资料!$Q$5:$Q$54,K863)=0),"✗ 供应商不在基础资料里",IF(AND(P863="费用",L863=""),"✗ 费用支出要选费用项目",IF(AND(L863&lt;&gt;"",COUNTIF(基础资料!$AI$5:$AI$54,L863)=0),"✗ 费用项目不在基础资料里",IF(AND(IFERROR(INDEX(基础资料!$AD$5:$AD$34,MATCH(O863,基础资料!$AC$5:$AC$34,0)),"")="收",N(G863)&lt;&gt;0),"✗ 这类是收款，金额填到收入列",IF(AND(IFERROR(INDEX(基础资料!$AD$5:$AD$34,MATCH(O863,基础资料!$AC$5:$AC$34,0)),"")="支",N(F863)&lt;&gt;0),"✗ 这类是付款，金额填到支出列",IF(N(H863)&lt;0,"⚠ 账户余额成负数了，核对一下","√"))))))))))))))))))</f>
      </c>
      <c r="O863" s="78">
        <f>IF(D863&lt;&gt;"",D863,IF(AND(F863="",G863=""),"",IF(J863&lt;&gt;"",IF(N(F863)&gt;0,"客户回款","客户退款"),IF(K863&lt;&gt;"",IF(N(G863)&gt;0,"供应商付款","供应商退款"),IF(L863&lt;&gt;"","费用支出","")))))</f>
      </c>
      <c r="P863" s="78">
        <f>IF(O863="","",IFERROR(INDEX(基础资料!$AE$5:$AE$34,MATCH(O863,基础资料!$AC$5:$AC$34,0)),"未知"))</f>
      </c>
      <c r="Q863" s="78">
        <f>IF(P863="应收",COUNTIF(P$7:P863,"应收"),"")</f>
      </c>
      <c r="R863" s="78">
        <f>IF(P863="应付",COUNTIF(P$7:P863,"应付"),"")</f>
      </c>
      <c r="S863" s="78">
        <f>N(F863)-N(G863)</f>
        <v>0</v>
      </c>
    </row>
    <row r="864">
      <c r="A864" s="109">
        <f>IF(AND(F864="",G864=""),"",ROW()-6)</f>
      </c>
      <c r="B864" s="140" t="n"/>
      <c r="C864" s="141" t="n"/>
      <c r="D864" s="141" t="n"/>
      <c r="E864" s="142" t="n"/>
      <c r="F864" s="143" t="n"/>
      <c r="G864" s="144" t="n"/>
      <c r="H864" s="145">
        <f>IF(OR(C864="",AND(F864="",G864="")),"",SUMIF(基础资料!$W$5:$W$24,C864,基础资料!$X$5:$X$24)+SUMIF(C$7:C864,C864,F$7:F864)-SUMIF(C$7:C864,C864,G$7:G864))</f>
      </c>
      <c r="I864" s="145">
        <f>IF(AND(F864="",G864=""),"",SUM(基础资料!$X$5:$X$24)+SUM(F$7:F864)-SUM(G$7:G864))</f>
      </c>
      <c r="J864" s="141" t="n"/>
      <c r="K864" s="141" t="n"/>
      <c r="L864" s="141" t="n"/>
      <c r="M864" s="142" t="n"/>
      <c r="N864" s="146">
        <f>IF(AND(AND(F864="",G864=""),B864="",C864="",D864="",J864="",K864="",L864=""),"",IF(AND(F864="",G864=""),"✗ 没填金额",IF(AND(N(F864)&lt;&gt;0,N(G864)&lt;&gt;0),"✗ 收入、支出只能填一边",IF(NOT(ISNUMBER(B864)),"✗ 日期不是真日期（要像 2026/9/25 这样填）",IF(OR(B864&lt;年初日,B864&gt;年末日),"✗ 日期不在本会计年度",IF(C864="","✗ 没选账户",IF(COUNTIF(基础资料!$W$5:$W$24,C864)=0,"✗ 账户不在基础资料里",IF(O864="","✗ 没选收支项目",IF(P864="未知","✗ 收支项目不在基础资料里",IF(AND(P864="应收",J864=""),"✗ 这笔要选客户",IF(AND(P864="应收",COUNTIF(总览汇总!$B$5:$B$304,J864)=0),"✗ 客户不在总览汇总名单里",IF(AND(P864="应付",K864=""),"✗ 这笔要选供应商",IF(AND(P864="应付",COUNTIF(基础资料!$Q$5:$Q$54,K864)=0),"✗ 供应商不在基础资料里",IF(AND(P864="费用",L864=""),"✗ 费用支出要选费用项目",IF(AND(L864&lt;&gt;"",COUNTIF(基础资料!$AI$5:$AI$54,L864)=0),"✗ 费用项目不在基础资料里",IF(AND(IFERROR(INDEX(基础资料!$AD$5:$AD$34,MATCH(O864,基础资料!$AC$5:$AC$34,0)),"")="收",N(G864)&lt;&gt;0),"✗ 这类是收款，金额填到收入列",IF(AND(IFERROR(INDEX(基础资料!$AD$5:$AD$34,MATCH(O864,基础资料!$AC$5:$AC$34,0)),"")="支",N(F864)&lt;&gt;0),"✗ 这类是付款，金额填到支出列",IF(N(H864)&lt;0,"⚠ 账户余额成负数了，核对一下","√"))))))))))))))))))</f>
      </c>
      <c r="O864" s="78">
        <f>IF(D864&lt;&gt;"",D864,IF(AND(F864="",G864=""),"",IF(J864&lt;&gt;"",IF(N(F864)&gt;0,"客户回款","客户退款"),IF(K864&lt;&gt;"",IF(N(G864)&gt;0,"供应商付款","供应商退款"),IF(L864&lt;&gt;"","费用支出","")))))</f>
      </c>
      <c r="P864" s="78">
        <f>IF(O864="","",IFERROR(INDEX(基础资料!$AE$5:$AE$34,MATCH(O864,基础资料!$AC$5:$AC$34,0)),"未知"))</f>
      </c>
      <c r="Q864" s="78">
        <f>IF(P864="应收",COUNTIF(P$7:P864,"应收"),"")</f>
      </c>
      <c r="R864" s="78">
        <f>IF(P864="应付",COUNTIF(P$7:P864,"应付"),"")</f>
      </c>
      <c r="S864" s="78">
        <f>N(F864)-N(G864)</f>
        <v>0</v>
      </c>
    </row>
    <row r="865">
      <c r="A865" s="109">
        <f>IF(AND(F865="",G865=""),"",ROW()-6)</f>
      </c>
      <c r="B865" s="140" t="n"/>
      <c r="C865" s="141" t="n"/>
      <c r="D865" s="141" t="n"/>
      <c r="E865" s="142" t="n"/>
      <c r="F865" s="143" t="n"/>
      <c r="G865" s="144" t="n"/>
      <c r="H865" s="145">
        <f>IF(OR(C865="",AND(F865="",G865="")),"",SUMIF(基础资料!$W$5:$W$24,C865,基础资料!$X$5:$X$24)+SUMIF(C$7:C865,C865,F$7:F865)-SUMIF(C$7:C865,C865,G$7:G865))</f>
      </c>
      <c r="I865" s="145">
        <f>IF(AND(F865="",G865=""),"",SUM(基础资料!$X$5:$X$24)+SUM(F$7:F865)-SUM(G$7:G865))</f>
      </c>
      <c r="J865" s="141" t="n"/>
      <c r="K865" s="141" t="n"/>
      <c r="L865" s="141" t="n"/>
      <c r="M865" s="142" t="n"/>
      <c r="N865" s="146">
        <f>IF(AND(AND(F865="",G865=""),B865="",C865="",D865="",J865="",K865="",L865=""),"",IF(AND(F865="",G865=""),"✗ 没填金额",IF(AND(N(F865)&lt;&gt;0,N(G865)&lt;&gt;0),"✗ 收入、支出只能填一边",IF(NOT(ISNUMBER(B865)),"✗ 日期不是真日期（要像 2026/9/25 这样填）",IF(OR(B865&lt;年初日,B865&gt;年末日),"✗ 日期不在本会计年度",IF(C865="","✗ 没选账户",IF(COUNTIF(基础资料!$W$5:$W$24,C865)=0,"✗ 账户不在基础资料里",IF(O865="","✗ 没选收支项目",IF(P865="未知","✗ 收支项目不在基础资料里",IF(AND(P865="应收",J865=""),"✗ 这笔要选客户",IF(AND(P865="应收",COUNTIF(总览汇总!$B$5:$B$304,J865)=0),"✗ 客户不在总览汇总名单里",IF(AND(P865="应付",K865=""),"✗ 这笔要选供应商",IF(AND(P865="应付",COUNTIF(基础资料!$Q$5:$Q$54,K865)=0),"✗ 供应商不在基础资料里",IF(AND(P865="费用",L865=""),"✗ 费用支出要选费用项目",IF(AND(L865&lt;&gt;"",COUNTIF(基础资料!$AI$5:$AI$54,L865)=0),"✗ 费用项目不在基础资料里",IF(AND(IFERROR(INDEX(基础资料!$AD$5:$AD$34,MATCH(O865,基础资料!$AC$5:$AC$34,0)),"")="收",N(G865)&lt;&gt;0),"✗ 这类是收款，金额填到收入列",IF(AND(IFERROR(INDEX(基础资料!$AD$5:$AD$34,MATCH(O865,基础资料!$AC$5:$AC$34,0)),"")="支",N(F865)&lt;&gt;0),"✗ 这类是付款，金额填到支出列",IF(N(H865)&lt;0,"⚠ 账户余额成负数了，核对一下","√"))))))))))))))))))</f>
      </c>
      <c r="O865" s="78">
        <f>IF(D865&lt;&gt;"",D865,IF(AND(F865="",G865=""),"",IF(J865&lt;&gt;"",IF(N(F865)&gt;0,"客户回款","客户退款"),IF(K865&lt;&gt;"",IF(N(G865)&gt;0,"供应商付款","供应商退款"),IF(L865&lt;&gt;"","费用支出","")))))</f>
      </c>
      <c r="P865" s="78">
        <f>IF(O865="","",IFERROR(INDEX(基础资料!$AE$5:$AE$34,MATCH(O865,基础资料!$AC$5:$AC$34,0)),"未知"))</f>
      </c>
      <c r="Q865" s="78">
        <f>IF(P865="应收",COUNTIF(P$7:P865,"应收"),"")</f>
      </c>
      <c r="R865" s="78">
        <f>IF(P865="应付",COUNTIF(P$7:P865,"应付"),"")</f>
      </c>
      <c r="S865" s="78">
        <f>N(F865)-N(G865)</f>
        <v>0</v>
      </c>
    </row>
    <row r="866">
      <c r="A866" s="109">
        <f>IF(AND(F866="",G866=""),"",ROW()-6)</f>
      </c>
      <c r="B866" s="140" t="n"/>
      <c r="C866" s="141" t="n"/>
      <c r="D866" s="141" t="n"/>
      <c r="E866" s="142" t="n"/>
      <c r="F866" s="143" t="n"/>
      <c r="G866" s="144" t="n"/>
      <c r="H866" s="145">
        <f>IF(OR(C866="",AND(F866="",G866="")),"",SUMIF(基础资料!$W$5:$W$24,C866,基础资料!$X$5:$X$24)+SUMIF(C$7:C866,C866,F$7:F866)-SUMIF(C$7:C866,C866,G$7:G866))</f>
      </c>
      <c r="I866" s="145">
        <f>IF(AND(F866="",G866=""),"",SUM(基础资料!$X$5:$X$24)+SUM(F$7:F866)-SUM(G$7:G866))</f>
      </c>
      <c r="J866" s="141" t="n"/>
      <c r="K866" s="141" t="n"/>
      <c r="L866" s="141" t="n"/>
      <c r="M866" s="142" t="n"/>
      <c r="N866" s="146">
        <f>IF(AND(AND(F866="",G866=""),B866="",C866="",D866="",J866="",K866="",L866=""),"",IF(AND(F866="",G866=""),"✗ 没填金额",IF(AND(N(F866)&lt;&gt;0,N(G866)&lt;&gt;0),"✗ 收入、支出只能填一边",IF(NOT(ISNUMBER(B866)),"✗ 日期不是真日期（要像 2026/9/25 这样填）",IF(OR(B866&lt;年初日,B866&gt;年末日),"✗ 日期不在本会计年度",IF(C866="","✗ 没选账户",IF(COUNTIF(基础资料!$W$5:$W$24,C866)=0,"✗ 账户不在基础资料里",IF(O866="","✗ 没选收支项目",IF(P866="未知","✗ 收支项目不在基础资料里",IF(AND(P866="应收",J866=""),"✗ 这笔要选客户",IF(AND(P866="应收",COUNTIF(总览汇总!$B$5:$B$304,J866)=0),"✗ 客户不在总览汇总名单里",IF(AND(P866="应付",K866=""),"✗ 这笔要选供应商",IF(AND(P866="应付",COUNTIF(基础资料!$Q$5:$Q$54,K866)=0),"✗ 供应商不在基础资料里",IF(AND(P866="费用",L866=""),"✗ 费用支出要选费用项目",IF(AND(L866&lt;&gt;"",COUNTIF(基础资料!$AI$5:$AI$54,L866)=0),"✗ 费用项目不在基础资料里",IF(AND(IFERROR(INDEX(基础资料!$AD$5:$AD$34,MATCH(O866,基础资料!$AC$5:$AC$34,0)),"")="收",N(G866)&lt;&gt;0),"✗ 这类是收款，金额填到收入列",IF(AND(IFERROR(INDEX(基础资料!$AD$5:$AD$34,MATCH(O866,基础资料!$AC$5:$AC$34,0)),"")="支",N(F866)&lt;&gt;0),"✗ 这类是付款，金额填到支出列",IF(N(H866)&lt;0,"⚠ 账户余额成负数了，核对一下","√"))))))))))))))))))</f>
      </c>
      <c r="O866" s="78">
        <f>IF(D866&lt;&gt;"",D866,IF(AND(F866="",G866=""),"",IF(J866&lt;&gt;"",IF(N(F866)&gt;0,"客户回款","客户退款"),IF(K866&lt;&gt;"",IF(N(G866)&gt;0,"供应商付款","供应商退款"),IF(L866&lt;&gt;"","费用支出","")))))</f>
      </c>
      <c r="P866" s="78">
        <f>IF(O866="","",IFERROR(INDEX(基础资料!$AE$5:$AE$34,MATCH(O866,基础资料!$AC$5:$AC$34,0)),"未知"))</f>
      </c>
      <c r="Q866" s="78">
        <f>IF(P866="应收",COUNTIF(P$7:P866,"应收"),"")</f>
      </c>
      <c r="R866" s="78">
        <f>IF(P866="应付",COUNTIF(P$7:P866,"应付"),"")</f>
      </c>
      <c r="S866" s="78">
        <f>N(F866)-N(G866)</f>
        <v>0</v>
      </c>
    </row>
    <row r="867">
      <c r="A867" s="109">
        <f>IF(AND(F867="",G867=""),"",ROW()-6)</f>
      </c>
      <c r="B867" s="140" t="n"/>
      <c r="C867" s="141" t="n"/>
      <c r="D867" s="141" t="n"/>
      <c r="E867" s="142" t="n"/>
      <c r="F867" s="143" t="n"/>
      <c r="G867" s="144" t="n"/>
      <c r="H867" s="145">
        <f>IF(OR(C867="",AND(F867="",G867="")),"",SUMIF(基础资料!$W$5:$W$24,C867,基础资料!$X$5:$X$24)+SUMIF(C$7:C867,C867,F$7:F867)-SUMIF(C$7:C867,C867,G$7:G867))</f>
      </c>
      <c r="I867" s="145">
        <f>IF(AND(F867="",G867=""),"",SUM(基础资料!$X$5:$X$24)+SUM(F$7:F867)-SUM(G$7:G867))</f>
      </c>
      <c r="J867" s="141" t="n"/>
      <c r="K867" s="141" t="n"/>
      <c r="L867" s="141" t="n"/>
      <c r="M867" s="142" t="n"/>
      <c r="N867" s="146">
        <f>IF(AND(AND(F867="",G867=""),B867="",C867="",D867="",J867="",K867="",L867=""),"",IF(AND(F867="",G867=""),"✗ 没填金额",IF(AND(N(F867)&lt;&gt;0,N(G867)&lt;&gt;0),"✗ 收入、支出只能填一边",IF(NOT(ISNUMBER(B867)),"✗ 日期不是真日期（要像 2026/9/25 这样填）",IF(OR(B867&lt;年初日,B867&gt;年末日),"✗ 日期不在本会计年度",IF(C867="","✗ 没选账户",IF(COUNTIF(基础资料!$W$5:$W$24,C867)=0,"✗ 账户不在基础资料里",IF(O867="","✗ 没选收支项目",IF(P867="未知","✗ 收支项目不在基础资料里",IF(AND(P867="应收",J867=""),"✗ 这笔要选客户",IF(AND(P867="应收",COUNTIF(总览汇总!$B$5:$B$304,J867)=0),"✗ 客户不在总览汇总名单里",IF(AND(P867="应付",K867=""),"✗ 这笔要选供应商",IF(AND(P867="应付",COUNTIF(基础资料!$Q$5:$Q$54,K867)=0),"✗ 供应商不在基础资料里",IF(AND(P867="费用",L867=""),"✗ 费用支出要选费用项目",IF(AND(L867&lt;&gt;"",COUNTIF(基础资料!$AI$5:$AI$54,L867)=0),"✗ 费用项目不在基础资料里",IF(AND(IFERROR(INDEX(基础资料!$AD$5:$AD$34,MATCH(O867,基础资料!$AC$5:$AC$34,0)),"")="收",N(G867)&lt;&gt;0),"✗ 这类是收款，金额填到收入列",IF(AND(IFERROR(INDEX(基础资料!$AD$5:$AD$34,MATCH(O867,基础资料!$AC$5:$AC$34,0)),"")="支",N(F867)&lt;&gt;0),"✗ 这类是付款，金额填到支出列",IF(N(H867)&lt;0,"⚠ 账户余额成负数了，核对一下","√"))))))))))))))))))</f>
      </c>
      <c r="O867" s="78">
        <f>IF(D867&lt;&gt;"",D867,IF(AND(F867="",G867=""),"",IF(J867&lt;&gt;"",IF(N(F867)&gt;0,"客户回款","客户退款"),IF(K867&lt;&gt;"",IF(N(G867)&gt;0,"供应商付款","供应商退款"),IF(L867&lt;&gt;"","费用支出","")))))</f>
      </c>
      <c r="P867" s="78">
        <f>IF(O867="","",IFERROR(INDEX(基础资料!$AE$5:$AE$34,MATCH(O867,基础资料!$AC$5:$AC$34,0)),"未知"))</f>
      </c>
      <c r="Q867" s="78">
        <f>IF(P867="应收",COUNTIF(P$7:P867,"应收"),"")</f>
      </c>
      <c r="R867" s="78">
        <f>IF(P867="应付",COUNTIF(P$7:P867,"应付"),"")</f>
      </c>
      <c r="S867" s="78">
        <f>N(F867)-N(G867)</f>
        <v>0</v>
      </c>
    </row>
    <row r="868">
      <c r="A868" s="109">
        <f>IF(AND(F868="",G868=""),"",ROW()-6)</f>
      </c>
      <c r="B868" s="140" t="n"/>
      <c r="C868" s="141" t="n"/>
      <c r="D868" s="141" t="n"/>
      <c r="E868" s="142" t="n"/>
      <c r="F868" s="143" t="n"/>
      <c r="G868" s="144" t="n"/>
      <c r="H868" s="145">
        <f>IF(OR(C868="",AND(F868="",G868="")),"",SUMIF(基础资料!$W$5:$W$24,C868,基础资料!$X$5:$X$24)+SUMIF(C$7:C868,C868,F$7:F868)-SUMIF(C$7:C868,C868,G$7:G868))</f>
      </c>
      <c r="I868" s="145">
        <f>IF(AND(F868="",G868=""),"",SUM(基础资料!$X$5:$X$24)+SUM(F$7:F868)-SUM(G$7:G868))</f>
      </c>
      <c r="J868" s="141" t="n"/>
      <c r="K868" s="141" t="n"/>
      <c r="L868" s="141" t="n"/>
      <c r="M868" s="142" t="n"/>
      <c r="N868" s="146">
        <f>IF(AND(AND(F868="",G868=""),B868="",C868="",D868="",J868="",K868="",L868=""),"",IF(AND(F868="",G868=""),"✗ 没填金额",IF(AND(N(F868)&lt;&gt;0,N(G868)&lt;&gt;0),"✗ 收入、支出只能填一边",IF(NOT(ISNUMBER(B868)),"✗ 日期不是真日期（要像 2026/9/25 这样填）",IF(OR(B868&lt;年初日,B868&gt;年末日),"✗ 日期不在本会计年度",IF(C868="","✗ 没选账户",IF(COUNTIF(基础资料!$W$5:$W$24,C868)=0,"✗ 账户不在基础资料里",IF(O868="","✗ 没选收支项目",IF(P868="未知","✗ 收支项目不在基础资料里",IF(AND(P868="应收",J868=""),"✗ 这笔要选客户",IF(AND(P868="应收",COUNTIF(总览汇总!$B$5:$B$304,J868)=0),"✗ 客户不在总览汇总名单里",IF(AND(P868="应付",K868=""),"✗ 这笔要选供应商",IF(AND(P868="应付",COUNTIF(基础资料!$Q$5:$Q$54,K868)=0),"✗ 供应商不在基础资料里",IF(AND(P868="费用",L868=""),"✗ 费用支出要选费用项目",IF(AND(L868&lt;&gt;"",COUNTIF(基础资料!$AI$5:$AI$54,L868)=0),"✗ 费用项目不在基础资料里",IF(AND(IFERROR(INDEX(基础资料!$AD$5:$AD$34,MATCH(O868,基础资料!$AC$5:$AC$34,0)),"")="收",N(G868)&lt;&gt;0),"✗ 这类是收款，金额填到收入列",IF(AND(IFERROR(INDEX(基础资料!$AD$5:$AD$34,MATCH(O868,基础资料!$AC$5:$AC$34,0)),"")="支",N(F868)&lt;&gt;0),"✗ 这类是付款，金额填到支出列",IF(N(H868)&lt;0,"⚠ 账户余额成负数了，核对一下","√"))))))))))))))))))</f>
      </c>
      <c r="O868" s="78">
        <f>IF(D868&lt;&gt;"",D868,IF(AND(F868="",G868=""),"",IF(J868&lt;&gt;"",IF(N(F868)&gt;0,"客户回款","客户退款"),IF(K868&lt;&gt;"",IF(N(G868)&gt;0,"供应商付款","供应商退款"),IF(L868&lt;&gt;"","费用支出","")))))</f>
      </c>
      <c r="P868" s="78">
        <f>IF(O868="","",IFERROR(INDEX(基础资料!$AE$5:$AE$34,MATCH(O868,基础资料!$AC$5:$AC$34,0)),"未知"))</f>
      </c>
      <c r="Q868" s="78">
        <f>IF(P868="应收",COUNTIF(P$7:P868,"应收"),"")</f>
      </c>
      <c r="R868" s="78">
        <f>IF(P868="应付",COUNTIF(P$7:P868,"应付"),"")</f>
      </c>
      <c r="S868" s="78">
        <f>N(F868)-N(G868)</f>
        <v>0</v>
      </c>
    </row>
    <row r="869">
      <c r="A869" s="109">
        <f>IF(AND(F869="",G869=""),"",ROW()-6)</f>
      </c>
      <c r="B869" s="140" t="n"/>
      <c r="C869" s="141" t="n"/>
      <c r="D869" s="141" t="n"/>
      <c r="E869" s="142" t="n"/>
      <c r="F869" s="143" t="n"/>
      <c r="G869" s="144" t="n"/>
      <c r="H869" s="145">
        <f>IF(OR(C869="",AND(F869="",G869="")),"",SUMIF(基础资料!$W$5:$W$24,C869,基础资料!$X$5:$X$24)+SUMIF(C$7:C869,C869,F$7:F869)-SUMIF(C$7:C869,C869,G$7:G869))</f>
      </c>
      <c r="I869" s="145">
        <f>IF(AND(F869="",G869=""),"",SUM(基础资料!$X$5:$X$24)+SUM(F$7:F869)-SUM(G$7:G869))</f>
      </c>
      <c r="J869" s="141" t="n"/>
      <c r="K869" s="141" t="n"/>
      <c r="L869" s="141" t="n"/>
      <c r="M869" s="142" t="n"/>
      <c r="N869" s="146">
        <f>IF(AND(AND(F869="",G869=""),B869="",C869="",D869="",J869="",K869="",L869=""),"",IF(AND(F869="",G869=""),"✗ 没填金额",IF(AND(N(F869)&lt;&gt;0,N(G869)&lt;&gt;0),"✗ 收入、支出只能填一边",IF(NOT(ISNUMBER(B869)),"✗ 日期不是真日期（要像 2026/9/25 这样填）",IF(OR(B869&lt;年初日,B869&gt;年末日),"✗ 日期不在本会计年度",IF(C869="","✗ 没选账户",IF(COUNTIF(基础资料!$W$5:$W$24,C869)=0,"✗ 账户不在基础资料里",IF(O869="","✗ 没选收支项目",IF(P869="未知","✗ 收支项目不在基础资料里",IF(AND(P869="应收",J869=""),"✗ 这笔要选客户",IF(AND(P869="应收",COUNTIF(总览汇总!$B$5:$B$304,J869)=0),"✗ 客户不在总览汇总名单里",IF(AND(P869="应付",K869=""),"✗ 这笔要选供应商",IF(AND(P869="应付",COUNTIF(基础资料!$Q$5:$Q$54,K869)=0),"✗ 供应商不在基础资料里",IF(AND(P869="费用",L869=""),"✗ 费用支出要选费用项目",IF(AND(L869&lt;&gt;"",COUNTIF(基础资料!$AI$5:$AI$54,L869)=0),"✗ 费用项目不在基础资料里",IF(AND(IFERROR(INDEX(基础资料!$AD$5:$AD$34,MATCH(O869,基础资料!$AC$5:$AC$34,0)),"")="收",N(G869)&lt;&gt;0),"✗ 这类是收款，金额填到收入列",IF(AND(IFERROR(INDEX(基础资料!$AD$5:$AD$34,MATCH(O869,基础资料!$AC$5:$AC$34,0)),"")="支",N(F869)&lt;&gt;0),"✗ 这类是付款，金额填到支出列",IF(N(H869)&lt;0,"⚠ 账户余额成负数了，核对一下","√"))))))))))))))))))</f>
      </c>
      <c r="O869" s="78">
        <f>IF(D869&lt;&gt;"",D869,IF(AND(F869="",G869=""),"",IF(J869&lt;&gt;"",IF(N(F869)&gt;0,"客户回款","客户退款"),IF(K869&lt;&gt;"",IF(N(G869)&gt;0,"供应商付款","供应商退款"),IF(L869&lt;&gt;"","费用支出","")))))</f>
      </c>
      <c r="P869" s="78">
        <f>IF(O869="","",IFERROR(INDEX(基础资料!$AE$5:$AE$34,MATCH(O869,基础资料!$AC$5:$AC$34,0)),"未知"))</f>
      </c>
      <c r="Q869" s="78">
        <f>IF(P869="应收",COUNTIF(P$7:P869,"应收"),"")</f>
      </c>
      <c r="R869" s="78">
        <f>IF(P869="应付",COUNTIF(P$7:P869,"应付"),"")</f>
      </c>
      <c r="S869" s="78">
        <f>N(F869)-N(G869)</f>
        <v>0</v>
      </c>
    </row>
    <row r="870">
      <c r="A870" s="109">
        <f>IF(AND(F870="",G870=""),"",ROW()-6)</f>
      </c>
      <c r="B870" s="140" t="n"/>
      <c r="C870" s="141" t="n"/>
      <c r="D870" s="141" t="n"/>
      <c r="E870" s="142" t="n"/>
      <c r="F870" s="143" t="n"/>
      <c r="G870" s="144" t="n"/>
      <c r="H870" s="145">
        <f>IF(OR(C870="",AND(F870="",G870="")),"",SUMIF(基础资料!$W$5:$W$24,C870,基础资料!$X$5:$X$24)+SUMIF(C$7:C870,C870,F$7:F870)-SUMIF(C$7:C870,C870,G$7:G870))</f>
      </c>
      <c r="I870" s="145">
        <f>IF(AND(F870="",G870=""),"",SUM(基础资料!$X$5:$X$24)+SUM(F$7:F870)-SUM(G$7:G870))</f>
      </c>
      <c r="J870" s="141" t="n"/>
      <c r="K870" s="141" t="n"/>
      <c r="L870" s="141" t="n"/>
      <c r="M870" s="142" t="n"/>
      <c r="N870" s="146">
        <f>IF(AND(AND(F870="",G870=""),B870="",C870="",D870="",J870="",K870="",L870=""),"",IF(AND(F870="",G870=""),"✗ 没填金额",IF(AND(N(F870)&lt;&gt;0,N(G870)&lt;&gt;0),"✗ 收入、支出只能填一边",IF(NOT(ISNUMBER(B870)),"✗ 日期不是真日期（要像 2026/9/25 这样填）",IF(OR(B870&lt;年初日,B870&gt;年末日),"✗ 日期不在本会计年度",IF(C870="","✗ 没选账户",IF(COUNTIF(基础资料!$W$5:$W$24,C870)=0,"✗ 账户不在基础资料里",IF(O870="","✗ 没选收支项目",IF(P870="未知","✗ 收支项目不在基础资料里",IF(AND(P870="应收",J870=""),"✗ 这笔要选客户",IF(AND(P870="应收",COUNTIF(总览汇总!$B$5:$B$304,J870)=0),"✗ 客户不在总览汇总名单里",IF(AND(P870="应付",K870=""),"✗ 这笔要选供应商",IF(AND(P870="应付",COUNTIF(基础资料!$Q$5:$Q$54,K870)=0),"✗ 供应商不在基础资料里",IF(AND(P870="费用",L870=""),"✗ 费用支出要选费用项目",IF(AND(L870&lt;&gt;"",COUNTIF(基础资料!$AI$5:$AI$54,L870)=0),"✗ 费用项目不在基础资料里",IF(AND(IFERROR(INDEX(基础资料!$AD$5:$AD$34,MATCH(O870,基础资料!$AC$5:$AC$34,0)),"")="收",N(G870)&lt;&gt;0),"✗ 这类是收款，金额填到收入列",IF(AND(IFERROR(INDEX(基础资料!$AD$5:$AD$34,MATCH(O870,基础资料!$AC$5:$AC$34,0)),"")="支",N(F870)&lt;&gt;0),"✗ 这类是付款，金额填到支出列",IF(N(H870)&lt;0,"⚠ 账户余额成负数了，核对一下","√"))))))))))))))))))</f>
      </c>
      <c r="O870" s="78">
        <f>IF(D870&lt;&gt;"",D870,IF(AND(F870="",G870=""),"",IF(J870&lt;&gt;"",IF(N(F870)&gt;0,"客户回款","客户退款"),IF(K870&lt;&gt;"",IF(N(G870)&gt;0,"供应商付款","供应商退款"),IF(L870&lt;&gt;"","费用支出","")))))</f>
      </c>
      <c r="P870" s="78">
        <f>IF(O870="","",IFERROR(INDEX(基础资料!$AE$5:$AE$34,MATCH(O870,基础资料!$AC$5:$AC$34,0)),"未知"))</f>
      </c>
      <c r="Q870" s="78">
        <f>IF(P870="应收",COUNTIF(P$7:P870,"应收"),"")</f>
      </c>
      <c r="R870" s="78">
        <f>IF(P870="应付",COUNTIF(P$7:P870,"应付"),"")</f>
      </c>
      <c r="S870" s="78">
        <f>N(F870)-N(G870)</f>
        <v>0</v>
      </c>
    </row>
    <row r="871">
      <c r="A871" s="109">
        <f>IF(AND(F871="",G871=""),"",ROW()-6)</f>
      </c>
      <c r="B871" s="140" t="n"/>
      <c r="C871" s="141" t="n"/>
      <c r="D871" s="141" t="n"/>
      <c r="E871" s="142" t="n"/>
      <c r="F871" s="143" t="n"/>
      <c r="G871" s="144" t="n"/>
      <c r="H871" s="145">
        <f>IF(OR(C871="",AND(F871="",G871="")),"",SUMIF(基础资料!$W$5:$W$24,C871,基础资料!$X$5:$X$24)+SUMIF(C$7:C871,C871,F$7:F871)-SUMIF(C$7:C871,C871,G$7:G871))</f>
      </c>
      <c r="I871" s="145">
        <f>IF(AND(F871="",G871=""),"",SUM(基础资料!$X$5:$X$24)+SUM(F$7:F871)-SUM(G$7:G871))</f>
      </c>
      <c r="J871" s="141" t="n"/>
      <c r="K871" s="141" t="n"/>
      <c r="L871" s="141" t="n"/>
      <c r="M871" s="142" t="n"/>
      <c r="N871" s="146">
        <f>IF(AND(AND(F871="",G871=""),B871="",C871="",D871="",J871="",K871="",L871=""),"",IF(AND(F871="",G871=""),"✗ 没填金额",IF(AND(N(F871)&lt;&gt;0,N(G871)&lt;&gt;0),"✗ 收入、支出只能填一边",IF(NOT(ISNUMBER(B871)),"✗ 日期不是真日期（要像 2026/9/25 这样填）",IF(OR(B871&lt;年初日,B871&gt;年末日),"✗ 日期不在本会计年度",IF(C871="","✗ 没选账户",IF(COUNTIF(基础资料!$W$5:$W$24,C871)=0,"✗ 账户不在基础资料里",IF(O871="","✗ 没选收支项目",IF(P871="未知","✗ 收支项目不在基础资料里",IF(AND(P871="应收",J871=""),"✗ 这笔要选客户",IF(AND(P871="应收",COUNTIF(总览汇总!$B$5:$B$304,J871)=0),"✗ 客户不在总览汇总名单里",IF(AND(P871="应付",K871=""),"✗ 这笔要选供应商",IF(AND(P871="应付",COUNTIF(基础资料!$Q$5:$Q$54,K871)=0),"✗ 供应商不在基础资料里",IF(AND(P871="费用",L871=""),"✗ 费用支出要选费用项目",IF(AND(L871&lt;&gt;"",COUNTIF(基础资料!$AI$5:$AI$54,L871)=0),"✗ 费用项目不在基础资料里",IF(AND(IFERROR(INDEX(基础资料!$AD$5:$AD$34,MATCH(O871,基础资料!$AC$5:$AC$34,0)),"")="收",N(G871)&lt;&gt;0),"✗ 这类是收款，金额填到收入列",IF(AND(IFERROR(INDEX(基础资料!$AD$5:$AD$34,MATCH(O871,基础资料!$AC$5:$AC$34,0)),"")="支",N(F871)&lt;&gt;0),"✗ 这类是付款，金额填到支出列",IF(N(H871)&lt;0,"⚠ 账户余额成负数了，核对一下","√"))))))))))))))))))</f>
      </c>
      <c r="O871" s="78">
        <f>IF(D871&lt;&gt;"",D871,IF(AND(F871="",G871=""),"",IF(J871&lt;&gt;"",IF(N(F871)&gt;0,"客户回款","客户退款"),IF(K871&lt;&gt;"",IF(N(G871)&gt;0,"供应商付款","供应商退款"),IF(L871&lt;&gt;"","费用支出","")))))</f>
      </c>
      <c r="P871" s="78">
        <f>IF(O871="","",IFERROR(INDEX(基础资料!$AE$5:$AE$34,MATCH(O871,基础资料!$AC$5:$AC$34,0)),"未知"))</f>
      </c>
      <c r="Q871" s="78">
        <f>IF(P871="应收",COUNTIF(P$7:P871,"应收"),"")</f>
      </c>
      <c r="R871" s="78">
        <f>IF(P871="应付",COUNTIF(P$7:P871,"应付"),"")</f>
      </c>
      <c r="S871" s="78">
        <f>N(F871)-N(G871)</f>
        <v>0</v>
      </c>
    </row>
    <row r="872">
      <c r="A872" s="109">
        <f>IF(AND(F872="",G872=""),"",ROW()-6)</f>
      </c>
      <c r="B872" s="140" t="n"/>
      <c r="C872" s="141" t="n"/>
      <c r="D872" s="141" t="n"/>
      <c r="E872" s="142" t="n"/>
      <c r="F872" s="143" t="n"/>
      <c r="G872" s="144" t="n"/>
      <c r="H872" s="145">
        <f>IF(OR(C872="",AND(F872="",G872="")),"",SUMIF(基础资料!$W$5:$W$24,C872,基础资料!$X$5:$X$24)+SUMIF(C$7:C872,C872,F$7:F872)-SUMIF(C$7:C872,C872,G$7:G872))</f>
      </c>
      <c r="I872" s="145">
        <f>IF(AND(F872="",G872=""),"",SUM(基础资料!$X$5:$X$24)+SUM(F$7:F872)-SUM(G$7:G872))</f>
      </c>
      <c r="J872" s="141" t="n"/>
      <c r="K872" s="141" t="n"/>
      <c r="L872" s="141" t="n"/>
      <c r="M872" s="142" t="n"/>
      <c r="N872" s="146">
        <f>IF(AND(AND(F872="",G872=""),B872="",C872="",D872="",J872="",K872="",L872=""),"",IF(AND(F872="",G872=""),"✗ 没填金额",IF(AND(N(F872)&lt;&gt;0,N(G872)&lt;&gt;0),"✗ 收入、支出只能填一边",IF(NOT(ISNUMBER(B872)),"✗ 日期不是真日期（要像 2026/9/25 这样填）",IF(OR(B872&lt;年初日,B872&gt;年末日),"✗ 日期不在本会计年度",IF(C872="","✗ 没选账户",IF(COUNTIF(基础资料!$W$5:$W$24,C872)=0,"✗ 账户不在基础资料里",IF(O872="","✗ 没选收支项目",IF(P872="未知","✗ 收支项目不在基础资料里",IF(AND(P872="应收",J872=""),"✗ 这笔要选客户",IF(AND(P872="应收",COUNTIF(总览汇总!$B$5:$B$304,J872)=0),"✗ 客户不在总览汇总名单里",IF(AND(P872="应付",K872=""),"✗ 这笔要选供应商",IF(AND(P872="应付",COUNTIF(基础资料!$Q$5:$Q$54,K872)=0),"✗ 供应商不在基础资料里",IF(AND(P872="费用",L872=""),"✗ 费用支出要选费用项目",IF(AND(L872&lt;&gt;"",COUNTIF(基础资料!$AI$5:$AI$54,L872)=0),"✗ 费用项目不在基础资料里",IF(AND(IFERROR(INDEX(基础资料!$AD$5:$AD$34,MATCH(O872,基础资料!$AC$5:$AC$34,0)),"")="收",N(G872)&lt;&gt;0),"✗ 这类是收款，金额填到收入列",IF(AND(IFERROR(INDEX(基础资料!$AD$5:$AD$34,MATCH(O872,基础资料!$AC$5:$AC$34,0)),"")="支",N(F872)&lt;&gt;0),"✗ 这类是付款，金额填到支出列",IF(N(H872)&lt;0,"⚠ 账户余额成负数了，核对一下","√"))))))))))))))))))</f>
      </c>
      <c r="O872" s="78">
        <f>IF(D872&lt;&gt;"",D872,IF(AND(F872="",G872=""),"",IF(J872&lt;&gt;"",IF(N(F872)&gt;0,"客户回款","客户退款"),IF(K872&lt;&gt;"",IF(N(G872)&gt;0,"供应商付款","供应商退款"),IF(L872&lt;&gt;"","费用支出","")))))</f>
      </c>
      <c r="P872" s="78">
        <f>IF(O872="","",IFERROR(INDEX(基础资料!$AE$5:$AE$34,MATCH(O872,基础资料!$AC$5:$AC$34,0)),"未知"))</f>
      </c>
      <c r="Q872" s="78">
        <f>IF(P872="应收",COUNTIF(P$7:P872,"应收"),"")</f>
      </c>
      <c r="R872" s="78">
        <f>IF(P872="应付",COUNTIF(P$7:P872,"应付"),"")</f>
      </c>
      <c r="S872" s="78">
        <f>N(F872)-N(G872)</f>
        <v>0</v>
      </c>
    </row>
    <row r="873">
      <c r="A873" s="109">
        <f>IF(AND(F873="",G873=""),"",ROW()-6)</f>
      </c>
      <c r="B873" s="140" t="n"/>
      <c r="C873" s="141" t="n"/>
      <c r="D873" s="141" t="n"/>
      <c r="E873" s="142" t="n"/>
      <c r="F873" s="143" t="n"/>
      <c r="G873" s="144" t="n"/>
      <c r="H873" s="145">
        <f>IF(OR(C873="",AND(F873="",G873="")),"",SUMIF(基础资料!$W$5:$W$24,C873,基础资料!$X$5:$X$24)+SUMIF(C$7:C873,C873,F$7:F873)-SUMIF(C$7:C873,C873,G$7:G873))</f>
      </c>
      <c r="I873" s="145">
        <f>IF(AND(F873="",G873=""),"",SUM(基础资料!$X$5:$X$24)+SUM(F$7:F873)-SUM(G$7:G873))</f>
      </c>
      <c r="J873" s="141" t="n"/>
      <c r="K873" s="141" t="n"/>
      <c r="L873" s="141" t="n"/>
      <c r="M873" s="142" t="n"/>
      <c r="N873" s="146">
        <f>IF(AND(AND(F873="",G873=""),B873="",C873="",D873="",J873="",K873="",L873=""),"",IF(AND(F873="",G873=""),"✗ 没填金额",IF(AND(N(F873)&lt;&gt;0,N(G873)&lt;&gt;0),"✗ 收入、支出只能填一边",IF(NOT(ISNUMBER(B873)),"✗ 日期不是真日期（要像 2026/9/25 这样填）",IF(OR(B873&lt;年初日,B873&gt;年末日),"✗ 日期不在本会计年度",IF(C873="","✗ 没选账户",IF(COUNTIF(基础资料!$W$5:$W$24,C873)=0,"✗ 账户不在基础资料里",IF(O873="","✗ 没选收支项目",IF(P873="未知","✗ 收支项目不在基础资料里",IF(AND(P873="应收",J873=""),"✗ 这笔要选客户",IF(AND(P873="应收",COUNTIF(总览汇总!$B$5:$B$304,J873)=0),"✗ 客户不在总览汇总名单里",IF(AND(P873="应付",K873=""),"✗ 这笔要选供应商",IF(AND(P873="应付",COUNTIF(基础资料!$Q$5:$Q$54,K873)=0),"✗ 供应商不在基础资料里",IF(AND(P873="费用",L873=""),"✗ 费用支出要选费用项目",IF(AND(L873&lt;&gt;"",COUNTIF(基础资料!$AI$5:$AI$54,L873)=0),"✗ 费用项目不在基础资料里",IF(AND(IFERROR(INDEX(基础资料!$AD$5:$AD$34,MATCH(O873,基础资料!$AC$5:$AC$34,0)),"")="收",N(G873)&lt;&gt;0),"✗ 这类是收款，金额填到收入列",IF(AND(IFERROR(INDEX(基础资料!$AD$5:$AD$34,MATCH(O873,基础资料!$AC$5:$AC$34,0)),"")="支",N(F873)&lt;&gt;0),"✗ 这类是付款，金额填到支出列",IF(N(H873)&lt;0,"⚠ 账户余额成负数了，核对一下","√"))))))))))))))))))</f>
      </c>
      <c r="O873" s="78">
        <f>IF(D873&lt;&gt;"",D873,IF(AND(F873="",G873=""),"",IF(J873&lt;&gt;"",IF(N(F873)&gt;0,"客户回款","客户退款"),IF(K873&lt;&gt;"",IF(N(G873)&gt;0,"供应商付款","供应商退款"),IF(L873&lt;&gt;"","费用支出","")))))</f>
      </c>
      <c r="P873" s="78">
        <f>IF(O873="","",IFERROR(INDEX(基础资料!$AE$5:$AE$34,MATCH(O873,基础资料!$AC$5:$AC$34,0)),"未知"))</f>
      </c>
      <c r="Q873" s="78">
        <f>IF(P873="应收",COUNTIF(P$7:P873,"应收"),"")</f>
      </c>
      <c r="R873" s="78">
        <f>IF(P873="应付",COUNTIF(P$7:P873,"应付"),"")</f>
      </c>
      <c r="S873" s="78">
        <f>N(F873)-N(G873)</f>
        <v>0</v>
      </c>
    </row>
    <row r="874">
      <c r="A874" s="109">
        <f>IF(AND(F874="",G874=""),"",ROW()-6)</f>
      </c>
      <c r="B874" s="140" t="n"/>
      <c r="C874" s="141" t="n"/>
      <c r="D874" s="141" t="n"/>
      <c r="E874" s="142" t="n"/>
      <c r="F874" s="143" t="n"/>
      <c r="G874" s="144" t="n"/>
      <c r="H874" s="145">
        <f>IF(OR(C874="",AND(F874="",G874="")),"",SUMIF(基础资料!$W$5:$W$24,C874,基础资料!$X$5:$X$24)+SUMIF(C$7:C874,C874,F$7:F874)-SUMIF(C$7:C874,C874,G$7:G874))</f>
      </c>
      <c r="I874" s="145">
        <f>IF(AND(F874="",G874=""),"",SUM(基础资料!$X$5:$X$24)+SUM(F$7:F874)-SUM(G$7:G874))</f>
      </c>
      <c r="J874" s="141" t="n"/>
      <c r="K874" s="141" t="n"/>
      <c r="L874" s="141" t="n"/>
      <c r="M874" s="142" t="n"/>
      <c r="N874" s="146">
        <f>IF(AND(AND(F874="",G874=""),B874="",C874="",D874="",J874="",K874="",L874=""),"",IF(AND(F874="",G874=""),"✗ 没填金额",IF(AND(N(F874)&lt;&gt;0,N(G874)&lt;&gt;0),"✗ 收入、支出只能填一边",IF(NOT(ISNUMBER(B874)),"✗ 日期不是真日期（要像 2026/9/25 这样填）",IF(OR(B874&lt;年初日,B874&gt;年末日),"✗ 日期不在本会计年度",IF(C874="","✗ 没选账户",IF(COUNTIF(基础资料!$W$5:$W$24,C874)=0,"✗ 账户不在基础资料里",IF(O874="","✗ 没选收支项目",IF(P874="未知","✗ 收支项目不在基础资料里",IF(AND(P874="应收",J874=""),"✗ 这笔要选客户",IF(AND(P874="应收",COUNTIF(总览汇总!$B$5:$B$304,J874)=0),"✗ 客户不在总览汇总名单里",IF(AND(P874="应付",K874=""),"✗ 这笔要选供应商",IF(AND(P874="应付",COUNTIF(基础资料!$Q$5:$Q$54,K874)=0),"✗ 供应商不在基础资料里",IF(AND(P874="费用",L874=""),"✗ 费用支出要选费用项目",IF(AND(L874&lt;&gt;"",COUNTIF(基础资料!$AI$5:$AI$54,L874)=0),"✗ 费用项目不在基础资料里",IF(AND(IFERROR(INDEX(基础资料!$AD$5:$AD$34,MATCH(O874,基础资料!$AC$5:$AC$34,0)),"")="收",N(G874)&lt;&gt;0),"✗ 这类是收款，金额填到收入列",IF(AND(IFERROR(INDEX(基础资料!$AD$5:$AD$34,MATCH(O874,基础资料!$AC$5:$AC$34,0)),"")="支",N(F874)&lt;&gt;0),"✗ 这类是付款，金额填到支出列",IF(N(H874)&lt;0,"⚠ 账户余额成负数了，核对一下","√"))))))))))))))))))</f>
      </c>
      <c r="O874" s="78">
        <f>IF(D874&lt;&gt;"",D874,IF(AND(F874="",G874=""),"",IF(J874&lt;&gt;"",IF(N(F874)&gt;0,"客户回款","客户退款"),IF(K874&lt;&gt;"",IF(N(G874)&gt;0,"供应商付款","供应商退款"),IF(L874&lt;&gt;"","费用支出","")))))</f>
      </c>
      <c r="P874" s="78">
        <f>IF(O874="","",IFERROR(INDEX(基础资料!$AE$5:$AE$34,MATCH(O874,基础资料!$AC$5:$AC$34,0)),"未知"))</f>
      </c>
      <c r="Q874" s="78">
        <f>IF(P874="应收",COUNTIF(P$7:P874,"应收"),"")</f>
      </c>
      <c r="R874" s="78">
        <f>IF(P874="应付",COUNTIF(P$7:P874,"应付"),"")</f>
      </c>
      <c r="S874" s="78">
        <f>N(F874)-N(G874)</f>
        <v>0</v>
      </c>
    </row>
    <row r="875">
      <c r="A875" s="109">
        <f>IF(AND(F875="",G875=""),"",ROW()-6)</f>
      </c>
      <c r="B875" s="140" t="n"/>
      <c r="C875" s="141" t="n"/>
      <c r="D875" s="141" t="n"/>
      <c r="E875" s="142" t="n"/>
      <c r="F875" s="143" t="n"/>
      <c r="G875" s="144" t="n"/>
      <c r="H875" s="145">
        <f>IF(OR(C875="",AND(F875="",G875="")),"",SUMIF(基础资料!$W$5:$W$24,C875,基础资料!$X$5:$X$24)+SUMIF(C$7:C875,C875,F$7:F875)-SUMIF(C$7:C875,C875,G$7:G875))</f>
      </c>
      <c r="I875" s="145">
        <f>IF(AND(F875="",G875=""),"",SUM(基础资料!$X$5:$X$24)+SUM(F$7:F875)-SUM(G$7:G875))</f>
      </c>
      <c r="J875" s="141" t="n"/>
      <c r="K875" s="141" t="n"/>
      <c r="L875" s="141" t="n"/>
      <c r="M875" s="142" t="n"/>
      <c r="N875" s="146">
        <f>IF(AND(AND(F875="",G875=""),B875="",C875="",D875="",J875="",K875="",L875=""),"",IF(AND(F875="",G875=""),"✗ 没填金额",IF(AND(N(F875)&lt;&gt;0,N(G875)&lt;&gt;0),"✗ 收入、支出只能填一边",IF(NOT(ISNUMBER(B875)),"✗ 日期不是真日期（要像 2026/9/25 这样填）",IF(OR(B875&lt;年初日,B875&gt;年末日),"✗ 日期不在本会计年度",IF(C875="","✗ 没选账户",IF(COUNTIF(基础资料!$W$5:$W$24,C875)=0,"✗ 账户不在基础资料里",IF(O875="","✗ 没选收支项目",IF(P875="未知","✗ 收支项目不在基础资料里",IF(AND(P875="应收",J875=""),"✗ 这笔要选客户",IF(AND(P875="应收",COUNTIF(总览汇总!$B$5:$B$304,J875)=0),"✗ 客户不在总览汇总名单里",IF(AND(P875="应付",K875=""),"✗ 这笔要选供应商",IF(AND(P875="应付",COUNTIF(基础资料!$Q$5:$Q$54,K875)=0),"✗ 供应商不在基础资料里",IF(AND(P875="费用",L875=""),"✗ 费用支出要选费用项目",IF(AND(L875&lt;&gt;"",COUNTIF(基础资料!$AI$5:$AI$54,L875)=0),"✗ 费用项目不在基础资料里",IF(AND(IFERROR(INDEX(基础资料!$AD$5:$AD$34,MATCH(O875,基础资料!$AC$5:$AC$34,0)),"")="收",N(G875)&lt;&gt;0),"✗ 这类是收款，金额填到收入列",IF(AND(IFERROR(INDEX(基础资料!$AD$5:$AD$34,MATCH(O875,基础资料!$AC$5:$AC$34,0)),"")="支",N(F875)&lt;&gt;0),"✗ 这类是付款，金额填到支出列",IF(N(H875)&lt;0,"⚠ 账户余额成负数了，核对一下","√"))))))))))))))))))</f>
      </c>
      <c r="O875" s="78">
        <f>IF(D875&lt;&gt;"",D875,IF(AND(F875="",G875=""),"",IF(J875&lt;&gt;"",IF(N(F875)&gt;0,"客户回款","客户退款"),IF(K875&lt;&gt;"",IF(N(G875)&gt;0,"供应商付款","供应商退款"),IF(L875&lt;&gt;"","费用支出","")))))</f>
      </c>
      <c r="P875" s="78">
        <f>IF(O875="","",IFERROR(INDEX(基础资料!$AE$5:$AE$34,MATCH(O875,基础资料!$AC$5:$AC$34,0)),"未知"))</f>
      </c>
      <c r="Q875" s="78">
        <f>IF(P875="应收",COUNTIF(P$7:P875,"应收"),"")</f>
      </c>
      <c r="R875" s="78">
        <f>IF(P875="应付",COUNTIF(P$7:P875,"应付"),"")</f>
      </c>
      <c r="S875" s="78">
        <f>N(F875)-N(G875)</f>
        <v>0</v>
      </c>
    </row>
    <row r="876">
      <c r="A876" s="109">
        <f>IF(AND(F876="",G876=""),"",ROW()-6)</f>
      </c>
      <c r="B876" s="140" t="n"/>
      <c r="C876" s="141" t="n"/>
      <c r="D876" s="141" t="n"/>
      <c r="E876" s="142" t="n"/>
      <c r="F876" s="143" t="n"/>
      <c r="G876" s="144" t="n"/>
      <c r="H876" s="145">
        <f>IF(OR(C876="",AND(F876="",G876="")),"",SUMIF(基础资料!$W$5:$W$24,C876,基础资料!$X$5:$X$24)+SUMIF(C$7:C876,C876,F$7:F876)-SUMIF(C$7:C876,C876,G$7:G876))</f>
      </c>
      <c r="I876" s="145">
        <f>IF(AND(F876="",G876=""),"",SUM(基础资料!$X$5:$X$24)+SUM(F$7:F876)-SUM(G$7:G876))</f>
      </c>
      <c r="J876" s="141" t="n"/>
      <c r="K876" s="141" t="n"/>
      <c r="L876" s="141" t="n"/>
      <c r="M876" s="142" t="n"/>
      <c r="N876" s="146">
        <f>IF(AND(AND(F876="",G876=""),B876="",C876="",D876="",J876="",K876="",L876=""),"",IF(AND(F876="",G876=""),"✗ 没填金额",IF(AND(N(F876)&lt;&gt;0,N(G876)&lt;&gt;0),"✗ 收入、支出只能填一边",IF(NOT(ISNUMBER(B876)),"✗ 日期不是真日期（要像 2026/9/25 这样填）",IF(OR(B876&lt;年初日,B876&gt;年末日),"✗ 日期不在本会计年度",IF(C876="","✗ 没选账户",IF(COUNTIF(基础资料!$W$5:$W$24,C876)=0,"✗ 账户不在基础资料里",IF(O876="","✗ 没选收支项目",IF(P876="未知","✗ 收支项目不在基础资料里",IF(AND(P876="应收",J876=""),"✗ 这笔要选客户",IF(AND(P876="应收",COUNTIF(总览汇总!$B$5:$B$304,J876)=0),"✗ 客户不在总览汇总名单里",IF(AND(P876="应付",K876=""),"✗ 这笔要选供应商",IF(AND(P876="应付",COUNTIF(基础资料!$Q$5:$Q$54,K876)=0),"✗ 供应商不在基础资料里",IF(AND(P876="费用",L876=""),"✗ 费用支出要选费用项目",IF(AND(L876&lt;&gt;"",COUNTIF(基础资料!$AI$5:$AI$54,L876)=0),"✗ 费用项目不在基础资料里",IF(AND(IFERROR(INDEX(基础资料!$AD$5:$AD$34,MATCH(O876,基础资料!$AC$5:$AC$34,0)),"")="收",N(G876)&lt;&gt;0),"✗ 这类是收款，金额填到收入列",IF(AND(IFERROR(INDEX(基础资料!$AD$5:$AD$34,MATCH(O876,基础资料!$AC$5:$AC$34,0)),"")="支",N(F876)&lt;&gt;0),"✗ 这类是付款，金额填到支出列",IF(N(H876)&lt;0,"⚠ 账户余额成负数了，核对一下","√"))))))))))))))))))</f>
      </c>
      <c r="O876" s="78">
        <f>IF(D876&lt;&gt;"",D876,IF(AND(F876="",G876=""),"",IF(J876&lt;&gt;"",IF(N(F876)&gt;0,"客户回款","客户退款"),IF(K876&lt;&gt;"",IF(N(G876)&gt;0,"供应商付款","供应商退款"),IF(L876&lt;&gt;"","费用支出","")))))</f>
      </c>
      <c r="P876" s="78">
        <f>IF(O876="","",IFERROR(INDEX(基础资料!$AE$5:$AE$34,MATCH(O876,基础资料!$AC$5:$AC$34,0)),"未知"))</f>
      </c>
      <c r="Q876" s="78">
        <f>IF(P876="应收",COUNTIF(P$7:P876,"应收"),"")</f>
      </c>
      <c r="R876" s="78">
        <f>IF(P876="应付",COUNTIF(P$7:P876,"应付"),"")</f>
      </c>
      <c r="S876" s="78">
        <f>N(F876)-N(G876)</f>
        <v>0</v>
      </c>
    </row>
    <row r="877">
      <c r="A877" s="109">
        <f>IF(AND(F877="",G877=""),"",ROW()-6)</f>
      </c>
      <c r="B877" s="140" t="n"/>
      <c r="C877" s="141" t="n"/>
      <c r="D877" s="141" t="n"/>
      <c r="E877" s="142" t="n"/>
      <c r="F877" s="143" t="n"/>
      <c r="G877" s="144" t="n"/>
      <c r="H877" s="145">
        <f>IF(OR(C877="",AND(F877="",G877="")),"",SUMIF(基础资料!$W$5:$W$24,C877,基础资料!$X$5:$X$24)+SUMIF(C$7:C877,C877,F$7:F877)-SUMIF(C$7:C877,C877,G$7:G877))</f>
      </c>
      <c r="I877" s="145">
        <f>IF(AND(F877="",G877=""),"",SUM(基础资料!$X$5:$X$24)+SUM(F$7:F877)-SUM(G$7:G877))</f>
      </c>
      <c r="J877" s="141" t="n"/>
      <c r="K877" s="141" t="n"/>
      <c r="L877" s="141" t="n"/>
      <c r="M877" s="142" t="n"/>
      <c r="N877" s="146">
        <f>IF(AND(AND(F877="",G877=""),B877="",C877="",D877="",J877="",K877="",L877=""),"",IF(AND(F877="",G877=""),"✗ 没填金额",IF(AND(N(F877)&lt;&gt;0,N(G877)&lt;&gt;0),"✗ 收入、支出只能填一边",IF(NOT(ISNUMBER(B877)),"✗ 日期不是真日期（要像 2026/9/25 这样填）",IF(OR(B877&lt;年初日,B877&gt;年末日),"✗ 日期不在本会计年度",IF(C877="","✗ 没选账户",IF(COUNTIF(基础资料!$W$5:$W$24,C877)=0,"✗ 账户不在基础资料里",IF(O877="","✗ 没选收支项目",IF(P877="未知","✗ 收支项目不在基础资料里",IF(AND(P877="应收",J877=""),"✗ 这笔要选客户",IF(AND(P877="应收",COUNTIF(总览汇总!$B$5:$B$304,J877)=0),"✗ 客户不在总览汇总名单里",IF(AND(P877="应付",K877=""),"✗ 这笔要选供应商",IF(AND(P877="应付",COUNTIF(基础资料!$Q$5:$Q$54,K877)=0),"✗ 供应商不在基础资料里",IF(AND(P877="费用",L877=""),"✗ 费用支出要选费用项目",IF(AND(L877&lt;&gt;"",COUNTIF(基础资料!$AI$5:$AI$54,L877)=0),"✗ 费用项目不在基础资料里",IF(AND(IFERROR(INDEX(基础资料!$AD$5:$AD$34,MATCH(O877,基础资料!$AC$5:$AC$34,0)),"")="收",N(G877)&lt;&gt;0),"✗ 这类是收款，金额填到收入列",IF(AND(IFERROR(INDEX(基础资料!$AD$5:$AD$34,MATCH(O877,基础资料!$AC$5:$AC$34,0)),"")="支",N(F877)&lt;&gt;0),"✗ 这类是付款，金额填到支出列",IF(N(H877)&lt;0,"⚠ 账户余额成负数了，核对一下","√"))))))))))))))))))</f>
      </c>
      <c r="O877" s="78">
        <f>IF(D877&lt;&gt;"",D877,IF(AND(F877="",G877=""),"",IF(J877&lt;&gt;"",IF(N(F877)&gt;0,"客户回款","客户退款"),IF(K877&lt;&gt;"",IF(N(G877)&gt;0,"供应商付款","供应商退款"),IF(L877&lt;&gt;"","费用支出","")))))</f>
      </c>
      <c r="P877" s="78">
        <f>IF(O877="","",IFERROR(INDEX(基础资料!$AE$5:$AE$34,MATCH(O877,基础资料!$AC$5:$AC$34,0)),"未知"))</f>
      </c>
      <c r="Q877" s="78">
        <f>IF(P877="应收",COUNTIF(P$7:P877,"应收"),"")</f>
      </c>
      <c r="R877" s="78">
        <f>IF(P877="应付",COUNTIF(P$7:P877,"应付"),"")</f>
      </c>
      <c r="S877" s="78">
        <f>N(F877)-N(G877)</f>
        <v>0</v>
      </c>
    </row>
    <row r="878">
      <c r="A878" s="109">
        <f>IF(AND(F878="",G878=""),"",ROW()-6)</f>
      </c>
      <c r="B878" s="140" t="n"/>
      <c r="C878" s="141" t="n"/>
      <c r="D878" s="141" t="n"/>
      <c r="E878" s="142" t="n"/>
      <c r="F878" s="143" t="n"/>
      <c r="G878" s="144" t="n"/>
      <c r="H878" s="145">
        <f>IF(OR(C878="",AND(F878="",G878="")),"",SUMIF(基础资料!$W$5:$W$24,C878,基础资料!$X$5:$X$24)+SUMIF(C$7:C878,C878,F$7:F878)-SUMIF(C$7:C878,C878,G$7:G878))</f>
      </c>
      <c r="I878" s="145">
        <f>IF(AND(F878="",G878=""),"",SUM(基础资料!$X$5:$X$24)+SUM(F$7:F878)-SUM(G$7:G878))</f>
      </c>
      <c r="J878" s="141" t="n"/>
      <c r="K878" s="141" t="n"/>
      <c r="L878" s="141" t="n"/>
      <c r="M878" s="142" t="n"/>
      <c r="N878" s="146">
        <f>IF(AND(AND(F878="",G878=""),B878="",C878="",D878="",J878="",K878="",L878=""),"",IF(AND(F878="",G878=""),"✗ 没填金额",IF(AND(N(F878)&lt;&gt;0,N(G878)&lt;&gt;0),"✗ 收入、支出只能填一边",IF(NOT(ISNUMBER(B878)),"✗ 日期不是真日期（要像 2026/9/25 这样填）",IF(OR(B878&lt;年初日,B878&gt;年末日),"✗ 日期不在本会计年度",IF(C878="","✗ 没选账户",IF(COUNTIF(基础资料!$W$5:$W$24,C878)=0,"✗ 账户不在基础资料里",IF(O878="","✗ 没选收支项目",IF(P878="未知","✗ 收支项目不在基础资料里",IF(AND(P878="应收",J878=""),"✗ 这笔要选客户",IF(AND(P878="应收",COUNTIF(总览汇总!$B$5:$B$304,J878)=0),"✗ 客户不在总览汇总名单里",IF(AND(P878="应付",K878=""),"✗ 这笔要选供应商",IF(AND(P878="应付",COUNTIF(基础资料!$Q$5:$Q$54,K878)=0),"✗ 供应商不在基础资料里",IF(AND(P878="费用",L878=""),"✗ 费用支出要选费用项目",IF(AND(L878&lt;&gt;"",COUNTIF(基础资料!$AI$5:$AI$54,L878)=0),"✗ 费用项目不在基础资料里",IF(AND(IFERROR(INDEX(基础资料!$AD$5:$AD$34,MATCH(O878,基础资料!$AC$5:$AC$34,0)),"")="收",N(G878)&lt;&gt;0),"✗ 这类是收款，金额填到收入列",IF(AND(IFERROR(INDEX(基础资料!$AD$5:$AD$34,MATCH(O878,基础资料!$AC$5:$AC$34,0)),"")="支",N(F878)&lt;&gt;0),"✗ 这类是付款，金额填到支出列",IF(N(H878)&lt;0,"⚠ 账户余额成负数了，核对一下","√"))))))))))))))))))</f>
      </c>
      <c r="O878" s="78">
        <f>IF(D878&lt;&gt;"",D878,IF(AND(F878="",G878=""),"",IF(J878&lt;&gt;"",IF(N(F878)&gt;0,"客户回款","客户退款"),IF(K878&lt;&gt;"",IF(N(G878)&gt;0,"供应商付款","供应商退款"),IF(L878&lt;&gt;"","费用支出","")))))</f>
      </c>
      <c r="P878" s="78">
        <f>IF(O878="","",IFERROR(INDEX(基础资料!$AE$5:$AE$34,MATCH(O878,基础资料!$AC$5:$AC$34,0)),"未知"))</f>
      </c>
      <c r="Q878" s="78">
        <f>IF(P878="应收",COUNTIF(P$7:P878,"应收"),"")</f>
      </c>
      <c r="R878" s="78">
        <f>IF(P878="应付",COUNTIF(P$7:P878,"应付"),"")</f>
      </c>
      <c r="S878" s="78">
        <f>N(F878)-N(G878)</f>
        <v>0</v>
      </c>
    </row>
    <row r="879">
      <c r="A879" s="109">
        <f>IF(AND(F879="",G879=""),"",ROW()-6)</f>
      </c>
      <c r="B879" s="140" t="n"/>
      <c r="C879" s="141" t="n"/>
      <c r="D879" s="141" t="n"/>
      <c r="E879" s="142" t="n"/>
      <c r="F879" s="143" t="n"/>
      <c r="G879" s="144" t="n"/>
      <c r="H879" s="145">
        <f>IF(OR(C879="",AND(F879="",G879="")),"",SUMIF(基础资料!$W$5:$W$24,C879,基础资料!$X$5:$X$24)+SUMIF(C$7:C879,C879,F$7:F879)-SUMIF(C$7:C879,C879,G$7:G879))</f>
      </c>
      <c r="I879" s="145">
        <f>IF(AND(F879="",G879=""),"",SUM(基础资料!$X$5:$X$24)+SUM(F$7:F879)-SUM(G$7:G879))</f>
      </c>
      <c r="J879" s="141" t="n"/>
      <c r="K879" s="141" t="n"/>
      <c r="L879" s="141" t="n"/>
      <c r="M879" s="142" t="n"/>
      <c r="N879" s="146">
        <f>IF(AND(AND(F879="",G879=""),B879="",C879="",D879="",J879="",K879="",L879=""),"",IF(AND(F879="",G879=""),"✗ 没填金额",IF(AND(N(F879)&lt;&gt;0,N(G879)&lt;&gt;0),"✗ 收入、支出只能填一边",IF(NOT(ISNUMBER(B879)),"✗ 日期不是真日期（要像 2026/9/25 这样填）",IF(OR(B879&lt;年初日,B879&gt;年末日),"✗ 日期不在本会计年度",IF(C879="","✗ 没选账户",IF(COUNTIF(基础资料!$W$5:$W$24,C879)=0,"✗ 账户不在基础资料里",IF(O879="","✗ 没选收支项目",IF(P879="未知","✗ 收支项目不在基础资料里",IF(AND(P879="应收",J879=""),"✗ 这笔要选客户",IF(AND(P879="应收",COUNTIF(总览汇总!$B$5:$B$304,J879)=0),"✗ 客户不在总览汇总名单里",IF(AND(P879="应付",K879=""),"✗ 这笔要选供应商",IF(AND(P879="应付",COUNTIF(基础资料!$Q$5:$Q$54,K879)=0),"✗ 供应商不在基础资料里",IF(AND(P879="费用",L879=""),"✗ 费用支出要选费用项目",IF(AND(L879&lt;&gt;"",COUNTIF(基础资料!$AI$5:$AI$54,L879)=0),"✗ 费用项目不在基础资料里",IF(AND(IFERROR(INDEX(基础资料!$AD$5:$AD$34,MATCH(O879,基础资料!$AC$5:$AC$34,0)),"")="收",N(G879)&lt;&gt;0),"✗ 这类是收款，金额填到收入列",IF(AND(IFERROR(INDEX(基础资料!$AD$5:$AD$34,MATCH(O879,基础资料!$AC$5:$AC$34,0)),"")="支",N(F879)&lt;&gt;0),"✗ 这类是付款，金额填到支出列",IF(N(H879)&lt;0,"⚠ 账户余额成负数了，核对一下","√"))))))))))))))))))</f>
      </c>
      <c r="O879" s="78">
        <f>IF(D879&lt;&gt;"",D879,IF(AND(F879="",G879=""),"",IF(J879&lt;&gt;"",IF(N(F879)&gt;0,"客户回款","客户退款"),IF(K879&lt;&gt;"",IF(N(G879)&gt;0,"供应商付款","供应商退款"),IF(L879&lt;&gt;"","费用支出","")))))</f>
      </c>
      <c r="P879" s="78">
        <f>IF(O879="","",IFERROR(INDEX(基础资料!$AE$5:$AE$34,MATCH(O879,基础资料!$AC$5:$AC$34,0)),"未知"))</f>
      </c>
      <c r="Q879" s="78">
        <f>IF(P879="应收",COUNTIF(P$7:P879,"应收"),"")</f>
      </c>
      <c r="R879" s="78">
        <f>IF(P879="应付",COUNTIF(P$7:P879,"应付"),"")</f>
      </c>
      <c r="S879" s="78">
        <f>N(F879)-N(G879)</f>
        <v>0</v>
      </c>
    </row>
    <row r="880">
      <c r="A880" s="109">
        <f>IF(AND(F880="",G880=""),"",ROW()-6)</f>
      </c>
      <c r="B880" s="140" t="n"/>
      <c r="C880" s="141" t="n"/>
      <c r="D880" s="141" t="n"/>
      <c r="E880" s="142" t="n"/>
      <c r="F880" s="143" t="n"/>
      <c r="G880" s="144" t="n"/>
      <c r="H880" s="145">
        <f>IF(OR(C880="",AND(F880="",G880="")),"",SUMIF(基础资料!$W$5:$W$24,C880,基础资料!$X$5:$X$24)+SUMIF(C$7:C880,C880,F$7:F880)-SUMIF(C$7:C880,C880,G$7:G880))</f>
      </c>
      <c r="I880" s="145">
        <f>IF(AND(F880="",G880=""),"",SUM(基础资料!$X$5:$X$24)+SUM(F$7:F880)-SUM(G$7:G880))</f>
      </c>
      <c r="J880" s="141" t="n"/>
      <c r="K880" s="141" t="n"/>
      <c r="L880" s="141" t="n"/>
      <c r="M880" s="142" t="n"/>
      <c r="N880" s="146">
        <f>IF(AND(AND(F880="",G880=""),B880="",C880="",D880="",J880="",K880="",L880=""),"",IF(AND(F880="",G880=""),"✗ 没填金额",IF(AND(N(F880)&lt;&gt;0,N(G880)&lt;&gt;0),"✗ 收入、支出只能填一边",IF(NOT(ISNUMBER(B880)),"✗ 日期不是真日期（要像 2026/9/25 这样填）",IF(OR(B880&lt;年初日,B880&gt;年末日),"✗ 日期不在本会计年度",IF(C880="","✗ 没选账户",IF(COUNTIF(基础资料!$W$5:$W$24,C880)=0,"✗ 账户不在基础资料里",IF(O880="","✗ 没选收支项目",IF(P880="未知","✗ 收支项目不在基础资料里",IF(AND(P880="应收",J880=""),"✗ 这笔要选客户",IF(AND(P880="应收",COUNTIF(总览汇总!$B$5:$B$304,J880)=0),"✗ 客户不在总览汇总名单里",IF(AND(P880="应付",K880=""),"✗ 这笔要选供应商",IF(AND(P880="应付",COUNTIF(基础资料!$Q$5:$Q$54,K880)=0),"✗ 供应商不在基础资料里",IF(AND(P880="费用",L880=""),"✗ 费用支出要选费用项目",IF(AND(L880&lt;&gt;"",COUNTIF(基础资料!$AI$5:$AI$54,L880)=0),"✗ 费用项目不在基础资料里",IF(AND(IFERROR(INDEX(基础资料!$AD$5:$AD$34,MATCH(O880,基础资料!$AC$5:$AC$34,0)),"")="收",N(G880)&lt;&gt;0),"✗ 这类是收款，金额填到收入列",IF(AND(IFERROR(INDEX(基础资料!$AD$5:$AD$34,MATCH(O880,基础资料!$AC$5:$AC$34,0)),"")="支",N(F880)&lt;&gt;0),"✗ 这类是付款，金额填到支出列",IF(N(H880)&lt;0,"⚠ 账户余额成负数了，核对一下","√"))))))))))))))))))</f>
      </c>
      <c r="O880" s="78">
        <f>IF(D880&lt;&gt;"",D880,IF(AND(F880="",G880=""),"",IF(J880&lt;&gt;"",IF(N(F880)&gt;0,"客户回款","客户退款"),IF(K880&lt;&gt;"",IF(N(G880)&gt;0,"供应商付款","供应商退款"),IF(L880&lt;&gt;"","费用支出","")))))</f>
      </c>
      <c r="P880" s="78">
        <f>IF(O880="","",IFERROR(INDEX(基础资料!$AE$5:$AE$34,MATCH(O880,基础资料!$AC$5:$AC$34,0)),"未知"))</f>
      </c>
      <c r="Q880" s="78">
        <f>IF(P880="应收",COUNTIF(P$7:P880,"应收"),"")</f>
      </c>
      <c r="R880" s="78">
        <f>IF(P880="应付",COUNTIF(P$7:P880,"应付"),"")</f>
      </c>
      <c r="S880" s="78">
        <f>N(F880)-N(G880)</f>
        <v>0</v>
      </c>
    </row>
    <row r="881">
      <c r="A881" s="109">
        <f>IF(AND(F881="",G881=""),"",ROW()-6)</f>
      </c>
      <c r="B881" s="140" t="n"/>
      <c r="C881" s="141" t="n"/>
      <c r="D881" s="141" t="n"/>
      <c r="E881" s="142" t="n"/>
      <c r="F881" s="143" t="n"/>
      <c r="G881" s="144" t="n"/>
      <c r="H881" s="145">
        <f>IF(OR(C881="",AND(F881="",G881="")),"",SUMIF(基础资料!$W$5:$W$24,C881,基础资料!$X$5:$X$24)+SUMIF(C$7:C881,C881,F$7:F881)-SUMIF(C$7:C881,C881,G$7:G881))</f>
      </c>
      <c r="I881" s="145">
        <f>IF(AND(F881="",G881=""),"",SUM(基础资料!$X$5:$X$24)+SUM(F$7:F881)-SUM(G$7:G881))</f>
      </c>
      <c r="J881" s="141" t="n"/>
      <c r="K881" s="141" t="n"/>
      <c r="L881" s="141" t="n"/>
      <c r="M881" s="142" t="n"/>
      <c r="N881" s="146">
        <f>IF(AND(AND(F881="",G881=""),B881="",C881="",D881="",J881="",K881="",L881=""),"",IF(AND(F881="",G881=""),"✗ 没填金额",IF(AND(N(F881)&lt;&gt;0,N(G881)&lt;&gt;0),"✗ 收入、支出只能填一边",IF(NOT(ISNUMBER(B881)),"✗ 日期不是真日期（要像 2026/9/25 这样填）",IF(OR(B881&lt;年初日,B881&gt;年末日),"✗ 日期不在本会计年度",IF(C881="","✗ 没选账户",IF(COUNTIF(基础资料!$W$5:$W$24,C881)=0,"✗ 账户不在基础资料里",IF(O881="","✗ 没选收支项目",IF(P881="未知","✗ 收支项目不在基础资料里",IF(AND(P881="应收",J881=""),"✗ 这笔要选客户",IF(AND(P881="应收",COUNTIF(总览汇总!$B$5:$B$304,J881)=0),"✗ 客户不在总览汇总名单里",IF(AND(P881="应付",K881=""),"✗ 这笔要选供应商",IF(AND(P881="应付",COUNTIF(基础资料!$Q$5:$Q$54,K881)=0),"✗ 供应商不在基础资料里",IF(AND(P881="费用",L881=""),"✗ 费用支出要选费用项目",IF(AND(L881&lt;&gt;"",COUNTIF(基础资料!$AI$5:$AI$54,L881)=0),"✗ 费用项目不在基础资料里",IF(AND(IFERROR(INDEX(基础资料!$AD$5:$AD$34,MATCH(O881,基础资料!$AC$5:$AC$34,0)),"")="收",N(G881)&lt;&gt;0),"✗ 这类是收款，金额填到收入列",IF(AND(IFERROR(INDEX(基础资料!$AD$5:$AD$34,MATCH(O881,基础资料!$AC$5:$AC$34,0)),"")="支",N(F881)&lt;&gt;0),"✗ 这类是付款，金额填到支出列",IF(N(H881)&lt;0,"⚠ 账户余额成负数了，核对一下","√"))))))))))))))))))</f>
      </c>
      <c r="O881" s="78">
        <f>IF(D881&lt;&gt;"",D881,IF(AND(F881="",G881=""),"",IF(J881&lt;&gt;"",IF(N(F881)&gt;0,"客户回款","客户退款"),IF(K881&lt;&gt;"",IF(N(G881)&gt;0,"供应商付款","供应商退款"),IF(L881&lt;&gt;"","费用支出","")))))</f>
      </c>
      <c r="P881" s="78">
        <f>IF(O881="","",IFERROR(INDEX(基础资料!$AE$5:$AE$34,MATCH(O881,基础资料!$AC$5:$AC$34,0)),"未知"))</f>
      </c>
      <c r="Q881" s="78">
        <f>IF(P881="应收",COUNTIF(P$7:P881,"应收"),"")</f>
      </c>
      <c r="R881" s="78">
        <f>IF(P881="应付",COUNTIF(P$7:P881,"应付"),"")</f>
      </c>
      <c r="S881" s="78">
        <f>N(F881)-N(G881)</f>
        <v>0</v>
      </c>
    </row>
    <row r="882">
      <c r="A882" s="109">
        <f>IF(AND(F882="",G882=""),"",ROW()-6)</f>
      </c>
      <c r="B882" s="140" t="n"/>
      <c r="C882" s="141" t="n"/>
      <c r="D882" s="141" t="n"/>
      <c r="E882" s="142" t="n"/>
      <c r="F882" s="143" t="n"/>
      <c r="G882" s="144" t="n"/>
      <c r="H882" s="145">
        <f>IF(OR(C882="",AND(F882="",G882="")),"",SUMIF(基础资料!$W$5:$W$24,C882,基础资料!$X$5:$X$24)+SUMIF(C$7:C882,C882,F$7:F882)-SUMIF(C$7:C882,C882,G$7:G882))</f>
      </c>
      <c r="I882" s="145">
        <f>IF(AND(F882="",G882=""),"",SUM(基础资料!$X$5:$X$24)+SUM(F$7:F882)-SUM(G$7:G882))</f>
      </c>
      <c r="J882" s="141" t="n"/>
      <c r="K882" s="141" t="n"/>
      <c r="L882" s="141" t="n"/>
      <c r="M882" s="142" t="n"/>
      <c r="N882" s="146">
        <f>IF(AND(AND(F882="",G882=""),B882="",C882="",D882="",J882="",K882="",L882=""),"",IF(AND(F882="",G882=""),"✗ 没填金额",IF(AND(N(F882)&lt;&gt;0,N(G882)&lt;&gt;0),"✗ 收入、支出只能填一边",IF(NOT(ISNUMBER(B882)),"✗ 日期不是真日期（要像 2026/9/25 这样填）",IF(OR(B882&lt;年初日,B882&gt;年末日),"✗ 日期不在本会计年度",IF(C882="","✗ 没选账户",IF(COUNTIF(基础资料!$W$5:$W$24,C882)=0,"✗ 账户不在基础资料里",IF(O882="","✗ 没选收支项目",IF(P882="未知","✗ 收支项目不在基础资料里",IF(AND(P882="应收",J882=""),"✗ 这笔要选客户",IF(AND(P882="应收",COUNTIF(总览汇总!$B$5:$B$304,J882)=0),"✗ 客户不在总览汇总名单里",IF(AND(P882="应付",K882=""),"✗ 这笔要选供应商",IF(AND(P882="应付",COUNTIF(基础资料!$Q$5:$Q$54,K882)=0),"✗ 供应商不在基础资料里",IF(AND(P882="费用",L882=""),"✗ 费用支出要选费用项目",IF(AND(L882&lt;&gt;"",COUNTIF(基础资料!$AI$5:$AI$54,L882)=0),"✗ 费用项目不在基础资料里",IF(AND(IFERROR(INDEX(基础资料!$AD$5:$AD$34,MATCH(O882,基础资料!$AC$5:$AC$34,0)),"")="收",N(G882)&lt;&gt;0),"✗ 这类是收款，金额填到收入列",IF(AND(IFERROR(INDEX(基础资料!$AD$5:$AD$34,MATCH(O882,基础资料!$AC$5:$AC$34,0)),"")="支",N(F882)&lt;&gt;0),"✗ 这类是付款，金额填到支出列",IF(N(H882)&lt;0,"⚠ 账户余额成负数了，核对一下","√"))))))))))))))))))</f>
      </c>
      <c r="O882" s="78">
        <f>IF(D882&lt;&gt;"",D882,IF(AND(F882="",G882=""),"",IF(J882&lt;&gt;"",IF(N(F882)&gt;0,"客户回款","客户退款"),IF(K882&lt;&gt;"",IF(N(G882)&gt;0,"供应商付款","供应商退款"),IF(L882&lt;&gt;"","费用支出","")))))</f>
      </c>
      <c r="P882" s="78">
        <f>IF(O882="","",IFERROR(INDEX(基础资料!$AE$5:$AE$34,MATCH(O882,基础资料!$AC$5:$AC$34,0)),"未知"))</f>
      </c>
      <c r="Q882" s="78">
        <f>IF(P882="应收",COUNTIF(P$7:P882,"应收"),"")</f>
      </c>
      <c r="R882" s="78">
        <f>IF(P882="应付",COUNTIF(P$7:P882,"应付"),"")</f>
      </c>
      <c r="S882" s="78">
        <f>N(F882)-N(G882)</f>
        <v>0</v>
      </c>
    </row>
    <row r="883">
      <c r="A883" s="109">
        <f>IF(AND(F883="",G883=""),"",ROW()-6)</f>
      </c>
      <c r="B883" s="140" t="n"/>
      <c r="C883" s="141" t="n"/>
      <c r="D883" s="141" t="n"/>
      <c r="E883" s="142" t="n"/>
      <c r="F883" s="143" t="n"/>
      <c r="G883" s="144" t="n"/>
      <c r="H883" s="145">
        <f>IF(OR(C883="",AND(F883="",G883="")),"",SUMIF(基础资料!$W$5:$W$24,C883,基础资料!$X$5:$X$24)+SUMIF(C$7:C883,C883,F$7:F883)-SUMIF(C$7:C883,C883,G$7:G883))</f>
      </c>
      <c r="I883" s="145">
        <f>IF(AND(F883="",G883=""),"",SUM(基础资料!$X$5:$X$24)+SUM(F$7:F883)-SUM(G$7:G883))</f>
      </c>
      <c r="J883" s="141" t="n"/>
      <c r="K883" s="141" t="n"/>
      <c r="L883" s="141" t="n"/>
      <c r="M883" s="142" t="n"/>
      <c r="N883" s="146">
        <f>IF(AND(AND(F883="",G883=""),B883="",C883="",D883="",J883="",K883="",L883=""),"",IF(AND(F883="",G883=""),"✗ 没填金额",IF(AND(N(F883)&lt;&gt;0,N(G883)&lt;&gt;0),"✗ 收入、支出只能填一边",IF(NOT(ISNUMBER(B883)),"✗ 日期不是真日期（要像 2026/9/25 这样填）",IF(OR(B883&lt;年初日,B883&gt;年末日),"✗ 日期不在本会计年度",IF(C883="","✗ 没选账户",IF(COUNTIF(基础资料!$W$5:$W$24,C883)=0,"✗ 账户不在基础资料里",IF(O883="","✗ 没选收支项目",IF(P883="未知","✗ 收支项目不在基础资料里",IF(AND(P883="应收",J883=""),"✗ 这笔要选客户",IF(AND(P883="应收",COUNTIF(总览汇总!$B$5:$B$304,J883)=0),"✗ 客户不在总览汇总名单里",IF(AND(P883="应付",K883=""),"✗ 这笔要选供应商",IF(AND(P883="应付",COUNTIF(基础资料!$Q$5:$Q$54,K883)=0),"✗ 供应商不在基础资料里",IF(AND(P883="费用",L883=""),"✗ 费用支出要选费用项目",IF(AND(L883&lt;&gt;"",COUNTIF(基础资料!$AI$5:$AI$54,L883)=0),"✗ 费用项目不在基础资料里",IF(AND(IFERROR(INDEX(基础资料!$AD$5:$AD$34,MATCH(O883,基础资料!$AC$5:$AC$34,0)),"")="收",N(G883)&lt;&gt;0),"✗ 这类是收款，金额填到收入列",IF(AND(IFERROR(INDEX(基础资料!$AD$5:$AD$34,MATCH(O883,基础资料!$AC$5:$AC$34,0)),"")="支",N(F883)&lt;&gt;0),"✗ 这类是付款，金额填到支出列",IF(N(H883)&lt;0,"⚠ 账户余额成负数了，核对一下","√"))))))))))))))))))</f>
      </c>
      <c r="O883" s="78">
        <f>IF(D883&lt;&gt;"",D883,IF(AND(F883="",G883=""),"",IF(J883&lt;&gt;"",IF(N(F883)&gt;0,"客户回款","客户退款"),IF(K883&lt;&gt;"",IF(N(G883)&gt;0,"供应商付款","供应商退款"),IF(L883&lt;&gt;"","费用支出","")))))</f>
      </c>
      <c r="P883" s="78">
        <f>IF(O883="","",IFERROR(INDEX(基础资料!$AE$5:$AE$34,MATCH(O883,基础资料!$AC$5:$AC$34,0)),"未知"))</f>
      </c>
      <c r="Q883" s="78">
        <f>IF(P883="应收",COUNTIF(P$7:P883,"应收"),"")</f>
      </c>
      <c r="R883" s="78">
        <f>IF(P883="应付",COUNTIF(P$7:P883,"应付"),"")</f>
      </c>
      <c r="S883" s="78">
        <f>N(F883)-N(G883)</f>
        <v>0</v>
      </c>
    </row>
    <row r="884">
      <c r="A884" s="109">
        <f>IF(AND(F884="",G884=""),"",ROW()-6)</f>
      </c>
      <c r="B884" s="140" t="n"/>
      <c r="C884" s="141" t="n"/>
      <c r="D884" s="141" t="n"/>
      <c r="E884" s="142" t="n"/>
      <c r="F884" s="143" t="n"/>
      <c r="G884" s="144" t="n"/>
      <c r="H884" s="145">
        <f>IF(OR(C884="",AND(F884="",G884="")),"",SUMIF(基础资料!$W$5:$W$24,C884,基础资料!$X$5:$X$24)+SUMIF(C$7:C884,C884,F$7:F884)-SUMIF(C$7:C884,C884,G$7:G884))</f>
      </c>
      <c r="I884" s="145">
        <f>IF(AND(F884="",G884=""),"",SUM(基础资料!$X$5:$X$24)+SUM(F$7:F884)-SUM(G$7:G884))</f>
      </c>
      <c r="J884" s="141" t="n"/>
      <c r="K884" s="141" t="n"/>
      <c r="L884" s="141" t="n"/>
      <c r="M884" s="142" t="n"/>
      <c r="N884" s="146">
        <f>IF(AND(AND(F884="",G884=""),B884="",C884="",D884="",J884="",K884="",L884=""),"",IF(AND(F884="",G884=""),"✗ 没填金额",IF(AND(N(F884)&lt;&gt;0,N(G884)&lt;&gt;0),"✗ 收入、支出只能填一边",IF(NOT(ISNUMBER(B884)),"✗ 日期不是真日期（要像 2026/9/25 这样填）",IF(OR(B884&lt;年初日,B884&gt;年末日),"✗ 日期不在本会计年度",IF(C884="","✗ 没选账户",IF(COUNTIF(基础资料!$W$5:$W$24,C884)=0,"✗ 账户不在基础资料里",IF(O884="","✗ 没选收支项目",IF(P884="未知","✗ 收支项目不在基础资料里",IF(AND(P884="应收",J884=""),"✗ 这笔要选客户",IF(AND(P884="应收",COUNTIF(总览汇总!$B$5:$B$304,J884)=0),"✗ 客户不在总览汇总名单里",IF(AND(P884="应付",K884=""),"✗ 这笔要选供应商",IF(AND(P884="应付",COUNTIF(基础资料!$Q$5:$Q$54,K884)=0),"✗ 供应商不在基础资料里",IF(AND(P884="费用",L884=""),"✗ 费用支出要选费用项目",IF(AND(L884&lt;&gt;"",COUNTIF(基础资料!$AI$5:$AI$54,L884)=0),"✗ 费用项目不在基础资料里",IF(AND(IFERROR(INDEX(基础资料!$AD$5:$AD$34,MATCH(O884,基础资料!$AC$5:$AC$34,0)),"")="收",N(G884)&lt;&gt;0),"✗ 这类是收款，金额填到收入列",IF(AND(IFERROR(INDEX(基础资料!$AD$5:$AD$34,MATCH(O884,基础资料!$AC$5:$AC$34,0)),"")="支",N(F884)&lt;&gt;0),"✗ 这类是付款，金额填到支出列",IF(N(H884)&lt;0,"⚠ 账户余额成负数了，核对一下","√"))))))))))))))))))</f>
      </c>
      <c r="O884" s="78">
        <f>IF(D884&lt;&gt;"",D884,IF(AND(F884="",G884=""),"",IF(J884&lt;&gt;"",IF(N(F884)&gt;0,"客户回款","客户退款"),IF(K884&lt;&gt;"",IF(N(G884)&gt;0,"供应商付款","供应商退款"),IF(L884&lt;&gt;"","费用支出","")))))</f>
      </c>
      <c r="P884" s="78">
        <f>IF(O884="","",IFERROR(INDEX(基础资料!$AE$5:$AE$34,MATCH(O884,基础资料!$AC$5:$AC$34,0)),"未知"))</f>
      </c>
      <c r="Q884" s="78">
        <f>IF(P884="应收",COUNTIF(P$7:P884,"应收"),"")</f>
      </c>
      <c r="R884" s="78">
        <f>IF(P884="应付",COUNTIF(P$7:P884,"应付"),"")</f>
      </c>
      <c r="S884" s="78">
        <f>N(F884)-N(G884)</f>
        <v>0</v>
      </c>
    </row>
    <row r="885">
      <c r="A885" s="109">
        <f>IF(AND(F885="",G885=""),"",ROW()-6)</f>
      </c>
      <c r="B885" s="140" t="n"/>
      <c r="C885" s="141" t="n"/>
      <c r="D885" s="141" t="n"/>
      <c r="E885" s="142" t="n"/>
      <c r="F885" s="143" t="n"/>
      <c r="G885" s="144" t="n"/>
      <c r="H885" s="145">
        <f>IF(OR(C885="",AND(F885="",G885="")),"",SUMIF(基础资料!$W$5:$W$24,C885,基础资料!$X$5:$X$24)+SUMIF(C$7:C885,C885,F$7:F885)-SUMIF(C$7:C885,C885,G$7:G885))</f>
      </c>
      <c r="I885" s="145">
        <f>IF(AND(F885="",G885=""),"",SUM(基础资料!$X$5:$X$24)+SUM(F$7:F885)-SUM(G$7:G885))</f>
      </c>
      <c r="J885" s="141" t="n"/>
      <c r="K885" s="141" t="n"/>
      <c r="L885" s="141" t="n"/>
      <c r="M885" s="142" t="n"/>
      <c r="N885" s="146">
        <f>IF(AND(AND(F885="",G885=""),B885="",C885="",D885="",J885="",K885="",L885=""),"",IF(AND(F885="",G885=""),"✗ 没填金额",IF(AND(N(F885)&lt;&gt;0,N(G885)&lt;&gt;0),"✗ 收入、支出只能填一边",IF(NOT(ISNUMBER(B885)),"✗ 日期不是真日期（要像 2026/9/25 这样填）",IF(OR(B885&lt;年初日,B885&gt;年末日),"✗ 日期不在本会计年度",IF(C885="","✗ 没选账户",IF(COUNTIF(基础资料!$W$5:$W$24,C885)=0,"✗ 账户不在基础资料里",IF(O885="","✗ 没选收支项目",IF(P885="未知","✗ 收支项目不在基础资料里",IF(AND(P885="应收",J885=""),"✗ 这笔要选客户",IF(AND(P885="应收",COUNTIF(总览汇总!$B$5:$B$304,J885)=0),"✗ 客户不在总览汇总名单里",IF(AND(P885="应付",K885=""),"✗ 这笔要选供应商",IF(AND(P885="应付",COUNTIF(基础资料!$Q$5:$Q$54,K885)=0),"✗ 供应商不在基础资料里",IF(AND(P885="费用",L885=""),"✗ 费用支出要选费用项目",IF(AND(L885&lt;&gt;"",COUNTIF(基础资料!$AI$5:$AI$54,L885)=0),"✗ 费用项目不在基础资料里",IF(AND(IFERROR(INDEX(基础资料!$AD$5:$AD$34,MATCH(O885,基础资料!$AC$5:$AC$34,0)),"")="收",N(G885)&lt;&gt;0),"✗ 这类是收款，金额填到收入列",IF(AND(IFERROR(INDEX(基础资料!$AD$5:$AD$34,MATCH(O885,基础资料!$AC$5:$AC$34,0)),"")="支",N(F885)&lt;&gt;0),"✗ 这类是付款，金额填到支出列",IF(N(H885)&lt;0,"⚠ 账户余额成负数了，核对一下","√"))))))))))))))))))</f>
      </c>
      <c r="O885" s="78">
        <f>IF(D885&lt;&gt;"",D885,IF(AND(F885="",G885=""),"",IF(J885&lt;&gt;"",IF(N(F885)&gt;0,"客户回款","客户退款"),IF(K885&lt;&gt;"",IF(N(G885)&gt;0,"供应商付款","供应商退款"),IF(L885&lt;&gt;"","费用支出","")))))</f>
      </c>
      <c r="P885" s="78">
        <f>IF(O885="","",IFERROR(INDEX(基础资料!$AE$5:$AE$34,MATCH(O885,基础资料!$AC$5:$AC$34,0)),"未知"))</f>
      </c>
      <c r="Q885" s="78">
        <f>IF(P885="应收",COUNTIF(P$7:P885,"应收"),"")</f>
      </c>
      <c r="R885" s="78">
        <f>IF(P885="应付",COUNTIF(P$7:P885,"应付"),"")</f>
      </c>
      <c r="S885" s="78">
        <f>N(F885)-N(G885)</f>
        <v>0</v>
      </c>
    </row>
    <row r="886">
      <c r="A886" s="109">
        <f>IF(AND(F886="",G886=""),"",ROW()-6)</f>
      </c>
      <c r="B886" s="140" t="n"/>
      <c r="C886" s="141" t="n"/>
      <c r="D886" s="141" t="n"/>
      <c r="E886" s="142" t="n"/>
      <c r="F886" s="143" t="n"/>
      <c r="G886" s="144" t="n"/>
      <c r="H886" s="145">
        <f>IF(OR(C886="",AND(F886="",G886="")),"",SUMIF(基础资料!$W$5:$W$24,C886,基础资料!$X$5:$X$24)+SUMIF(C$7:C886,C886,F$7:F886)-SUMIF(C$7:C886,C886,G$7:G886))</f>
      </c>
      <c r="I886" s="145">
        <f>IF(AND(F886="",G886=""),"",SUM(基础资料!$X$5:$X$24)+SUM(F$7:F886)-SUM(G$7:G886))</f>
      </c>
      <c r="J886" s="141" t="n"/>
      <c r="K886" s="141" t="n"/>
      <c r="L886" s="141" t="n"/>
      <c r="M886" s="142" t="n"/>
      <c r="N886" s="146">
        <f>IF(AND(AND(F886="",G886=""),B886="",C886="",D886="",J886="",K886="",L886=""),"",IF(AND(F886="",G886=""),"✗ 没填金额",IF(AND(N(F886)&lt;&gt;0,N(G886)&lt;&gt;0),"✗ 收入、支出只能填一边",IF(NOT(ISNUMBER(B886)),"✗ 日期不是真日期（要像 2026/9/25 这样填）",IF(OR(B886&lt;年初日,B886&gt;年末日),"✗ 日期不在本会计年度",IF(C886="","✗ 没选账户",IF(COUNTIF(基础资料!$W$5:$W$24,C886)=0,"✗ 账户不在基础资料里",IF(O886="","✗ 没选收支项目",IF(P886="未知","✗ 收支项目不在基础资料里",IF(AND(P886="应收",J886=""),"✗ 这笔要选客户",IF(AND(P886="应收",COUNTIF(总览汇总!$B$5:$B$304,J886)=0),"✗ 客户不在总览汇总名单里",IF(AND(P886="应付",K886=""),"✗ 这笔要选供应商",IF(AND(P886="应付",COUNTIF(基础资料!$Q$5:$Q$54,K886)=0),"✗ 供应商不在基础资料里",IF(AND(P886="费用",L886=""),"✗ 费用支出要选费用项目",IF(AND(L886&lt;&gt;"",COUNTIF(基础资料!$AI$5:$AI$54,L886)=0),"✗ 费用项目不在基础资料里",IF(AND(IFERROR(INDEX(基础资料!$AD$5:$AD$34,MATCH(O886,基础资料!$AC$5:$AC$34,0)),"")="收",N(G886)&lt;&gt;0),"✗ 这类是收款，金额填到收入列",IF(AND(IFERROR(INDEX(基础资料!$AD$5:$AD$34,MATCH(O886,基础资料!$AC$5:$AC$34,0)),"")="支",N(F886)&lt;&gt;0),"✗ 这类是付款，金额填到支出列",IF(N(H886)&lt;0,"⚠ 账户余额成负数了，核对一下","√"))))))))))))))))))</f>
      </c>
      <c r="O886" s="78">
        <f>IF(D886&lt;&gt;"",D886,IF(AND(F886="",G886=""),"",IF(J886&lt;&gt;"",IF(N(F886)&gt;0,"客户回款","客户退款"),IF(K886&lt;&gt;"",IF(N(G886)&gt;0,"供应商付款","供应商退款"),IF(L886&lt;&gt;"","费用支出","")))))</f>
      </c>
      <c r="P886" s="78">
        <f>IF(O886="","",IFERROR(INDEX(基础资料!$AE$5:$AE$34,MATCH(O886,基础资料!$AC$5:$AC$34,0)),"未知"))</f>
      </c>
      <c r="Q886" s="78">
        <f>IF(P886="应收",COUNTIF(P$7:P886,"应收"),"")</f>
      </c>
      <c r="R886" s="78">
        <f>IF(P886="应付",COUNTIF(P$7:P886,"应付"),"")</f>
      </c>
      <c r="S886" s="78">
        <f>N(F886)-N(G886)</f>
        <v>0</v>
      </c>
    </row>
    <row r="887">
      <c r="A887" s="109">
        <f>IF(AND(F887="",G887=""),"",ROW()-6)</f>
      </c>
      <c r="B887" s="140" t="n"/>
      <c r="C887" s="141" t="n"/>
      <c r="D887" s="141" t="n"/>
      <c r="E887" s="142" t="n"/>
      <c r="F887" s="143" t="n"/>
      <c r="G887" s="144" t="n"/>
      <c r="H887" s="145">
        <f>IF(OR(C887="",AND(F887="",G887="")),"",SUMIF(基础资料!$W$5:$W$24,C887,基础资料!$X$5:$X$24)+SUMIF(C$7:C887,C887,F$7:F887)-SUMIF(C$7:C887,C887,G$7:G887))</f>
      </c>
      <c r="I887" s="145">
        <f>IF(AND(F887="",G887=""),"",SUM(基础资料!$X$5:$X$24)+SUM(F$7:F887)-SUM(G$7:G887))</f>
      </c>
      <c r="J887" s="141" t="n"/>
      <c r="K887" s="141" t="n"/>
      <c r="L887" s="141" t="n"/>
      <c r="M887" s="142" t="n"/>
      <c r="N887" s="146">
        <f>IF(AND(AND(F887="",G887=""),B887="",C887="",D887="",J887="",K887="",L887=""),"",IF(AND(F887="",G887=""),"✗ 没填金额",IF(AND(N(F887)&lt;&gt;0,N(G887)&lt;&gt;0),"✗ 收入、支出只能填一边",IF(NOT(ISNUMBER(B887)),"✗ 日期不是真日期（要像 2026/9/25 这样填）",IF(OR(B887&lt;年初日,B887&gt;年末日),"✗ 日期不在本会计年度",IF(C887="","✗ 没选账户",IF(COUNTIF(基础资料!$W$5:$W$24,C887)=0,"✗ 账户不在基础资料里",IF(O887="","✗ 没选收支项目",IF(P887="未知","✗ 收支项目不在基础资料里",IF(AND(P887="应收",J887=""),"✗ 这笔要选客户",IF(AND(P887="应收",COUNTIF(总览汇总!$B$5:$B$304,J887)=0),"✗ 客户不在总览汇总名单里",IF(AND(P887="应付",K887=""),"✗ 这笔要选供应商",IF(AND(P887="应付",COUNTIF(基础资料!$Q$5:$Q$54,K887)=0),"✗ 供应商不在基础资料里",IF(AND(P887="费用",L887=""),"✗ 费用支出要选费用项目",IF(AND(L887&lt;&gt;"",COUNTIF(基础资料!$AI$5:$AI$54,L887)=0),"✗ 费用项目不在基础资料里",IF(AND(IFERROR(INDEX(基础资料!$AD$5:$AD$34,MATCH(O887,基础资料!$AC$5:$AC$34,0)),"")="收",N(G887)&lt;&gt;0),"✗ 这类是收款，金额填到收入列",IF(AND(IFERROR(INDEX(基础资料!$AD$5:$AD$34,MATCH(O887,基础资料!$AC$5:$AC$34,0)),"")="支",N(F887)&lt;&gt;0),"✗ 这类是付款，金额填到支出列",IF(N(H887)&lt;0,"⚠ 账户余额成负数了，核对一下","√"))))))))))))))))))</f>
      </c>
      <c r="O887" s="78">
        <f>IF(D887&lt;&gt;"",D887,IF(AND(F887="",G887=""),"",IF(J887&lt;&gt;"",IF(N(F887)&gt;0,"客户回款","客户退款"),IF(K887&lt;&gt;"",IF(N(G887)&gt;0,"供应商付款","供应商退款"),IF(L887&lt;&gt;"","费用支出","")))))</f>
      </c>
      <c r="P887" s="78">
        <f>IF(O887="","",IFERROR(INDEX(基础资料!$AE$5:$AE$34,MATCH(O887,基础资料!$AC$5:$AC$34,0)),"未知"))</f>
      </c>
      <c r="Q887" s="78">
        <f>IF(P887="应收",COUNTIF(P$7:P887,"应收"),"")</f>
      </c>
      <c r="R887" s="78">
        <f>IF(P887="应付",COUNTIF(P$7:P887,"应付"),"")</f>
      </c>
      <c r="S887" s="78">
        <f>N(F887)-N(G887)</f>
        <v>0</v>
      </c>
    </row>
    <row r="888">
      <c r="A888" s="109">
        <f>IF(AND(F888="",G888=""),"",ROW()-6)</f>
      </c>
      <c r="B888" s="140" t="n"/>
      <c r="C888" s="141" t="n"/>
      <c r="D888" s="141" t="n"/>
      <c r="E888" s="142" t="n"/>
      <c r="F888" s="143" t="n"/>
      <c r="G888" s="144" t="n"/>
      <c r="H888" s="145">
        <f>IF(OR(C888="",AND(F888="",G888="")),"",SUMIF(基础资料!$W$5:$W$24,C888,基础资料!$X$5:$X$24)+SUMIF(C$7:C888,C888,F$7:F888)-SUMIF(C$7:C888,C888,G$7:G888))</f>
      </c>
      <c r="I888" s="145">
        <f>IF(AND(F888="",G888=""),"",SUM(基础资料!$X$5:$X$24)+SUM(F$7:F888)-SUM(G$7:G888))</f>
      </c>
      <c r="J888" s="141" t="n"/>
      <c r="K888" s="141" t="n"/>
      <c r="L888" s="141" t="n"/>
      <c r="M888" s="142" t="n"/>
      <c r="N888" s="146">
        <f>IF(AND(AND(F888="",G888=""),B888="",C888="",D888="",J888="",K888="",L888=""),"",IF(AND(F888="",G888=""),"✗ 没填金额",IF(AND(N(F888)&lt;&gt;0,N(G888)&lt;&gt;0),"✗ 收入、支出只能填一边",IF(NOT(ISNUMBER(B888)),"✗ 日期不是真日期（要像 2026/9/25 这样填）",IF(OR(B888&lt;年初日,B888&gt;年末日),"✗ 日期不在本会计年度",IF(C888="","✗ 没选账户",IF(COUNTIF(基础资料!$W$5:$W$24,C888)=0,"✗ 账户不在基础资料里",IF(O888="","✗ 没选收支项目",IF(P888="未知","✗ 收支项目不在基础资料里",IF(AND(P888="应收",J888=""),"✗ 这笔要选客户",IF(AND(P888="应收",COUNTIF(总览汇总!$B$5:$B$304,J888)=0),"✗ 客户不在总览汇总名单里",IF(AND(P888="应付",K888=""),"✗ 这笔要选供应商",IF(AND(P888="应付",COUNTIF(基础资料!$Q$5:$Q$54,K888)=0),"✗ 供应商不在基础资料里",IF(AND(P888="费用",L888=""),"✗ 费用支出要选费用项目",IF(AND(L888&lt;&gt;"",COUNTIF(基础资料!$AI$5:$AI$54,L888)=0),"✗ 费用项目不在基础资料里",IF(AND(IFERROR(INDEX(基础资料!$AD$5:$AD$34,MATCH(O888,基础资料!$AC$5:$AC$34,0)),"")="收",N(G888)&lt;&gt;0),"✗ 这类是收款，金额填到收入列",IF(AND(IFERROR(INDEX(基础资料!$AD$5:$AD$34,MATCH(O888,基础资料!$AC$5:$AC$34,0)),"")="支",N(F888)&lt;&gt;0),"✗ 这类是付款，金额填到支出列",IF(N(H888)&lt;0,"⚠ 账户余额成负数了，核对一下","√"))))))))))))))))))</f>
      </c>
      <c r="O888" s="78">
        <f>IF(D888&lt;&gt;"",D888,IF(AND(F888="",G888=""),"",IF(J888&lt;&gt;"",IF(N(F888)&gt;0,"客户回款","客户退款"),IF(K888&lt;&gt;"",IF(N(G888)&gt;0,"供应商付款","供应商退款"),IF(L888&lt;&gt;"","费用支出","")))))</f>
      </c>
      <c r="P888" s="78">
        <f>IF(O888="","",IFERROR(INDEX(基础资料!$AE$5:$AE$34,MATCH(O888,基础资料!$AC$5:$AC$34,0)),"未知"))</f>
      </c>
      <c r="Q888" s="78">
        <f>IF(P888="应收",COUNTIF(P$7:P888,"应收"),"")</f>
      </c>
      <c r="R888" s="78">
        <f>IF(P888="应付",COUNTIF(P$7:P888,"应付"),"")</f>
      </c>
      <c r="S888" s="78">
        <f>N(F888)-N(G888)</f>
        <v>0</v>
      </c>
    </row>
    <row r="889">
      <c r="A889" s="109">
        <f>IF(AND(F889="",G889=""),"",ROW()-6)</f>
      </c>
      <c r="B889" s="140" t="n"/>
      <c r="C889" s="141" t="n"/>
      <c r="D889" s="141" t="n"/>
      <c r="E889" s="142" t="n"/>
      <c r="F889" s="143" t="n"/>
      <c r="G889" s="144" t="n"/>
      <c r="H889" s="145">
        <f>IF(OR(C889="",AND(F889="",G889="")),"",SUMIF(基础资料!$W$5:$W$24,C889,基础资料!$X$5:$X$24)+SUMIF(C$7:C889,C889,F$7:F889)-SUMIF(C$7:C889,C889,G$7:G889))</f>
      </c>
      <c r="I889" s="145">
        <f>IF(AND(F889="",G889=""),"",SUM(基础资料!$X$5:$X$24)+SUM(F$7:F889)-SUM(G$7:G889))</f>
      </c>
      <c r="J889" s="141" t="n"/>
      <c r="K889" s="141" t="n"/>
      <c r="L889" s="141" t="n"/>
      <c r="M889" s="142" t="n"/>
      <c r="N889" s="146">
        <f>IF(AND(AND(F889="",G889=""),B889="",C889="",D889="",J889="",K889="",L889=""),"",IF(AND(F889="",G889=""),"✗ 没填金额",IF(AND(N(F889)&lt;&gt;0,N(G889)&lt;&gt;0),"✗ 收入、支出只能填一边",IF(NOT(ISNUMBER(B889)),"✗ 日期不是真日期（要像 2026/9/25 这样填）",IF(OR(B889&lt;年初日,B889&gt;年末日),"✗ 日期不在本会计年度",IF(C889="","✗ 没选账户",IF(COUNTIF(基础资料!$W$5:$W$24,C889)=0,"✗ 账户不在基础资料里",IF(O889="","✗ 没选收支项目",IF(P889="未知","✗ 收支项目不在基础资料里",IF(AND(P889="应收",J889=""),"✗ 这笔要选客户",IF(AND(P889="应收",COUNTIF(总览汇总!$B$5:$B$304,J889)=0),"✗ 客户不在总览汇总名单里",IF(AND(P889="应付",K889=""),"✗ 这笔要选供应商",IF(AND(P889="应付",COUNTIF(基础资料!$Q$5:$Q$54,K889)=0),"✗ 供应商不在基础资料里",IF(AND(P889="费用",L889=""),"✗ 费用支出要选费用项目",IF(AND(L889&lt;&gt;"",COUNTIF(基础资料!$AI$5:$AI$54,L889)=0),"✗ 费用项目不在基础资料里",IF(AND(IFERROR(INDEX(基础资料!$AD$5:$AD$34,MATCH(O889,基础资料!$AC$5:$AC$34,0)),"")="收",N(G889)&lt;&gt;0),"✗ 这类是收款，金额填到收入列",IF(AND(IFERROR(INDEX(基础资料!$AD$5:$AD$34,MATCH(O889,基础资料!$AC$5:$AC$34,0)),"")="支",N(F889)&lt;&gt;0),"✗ 这类是付款，金额填到支出列",IF(N(H889)&lt;0,"⚠ 账户余额成负数了，核对一下","√"))))))))))))))))))</f>
      </c>
      <c r="O889" s="78">
        <f>IF(D889&lt;&gt;"",D889,IF(AND(F889="",G889=""),"",IF(J889&lt;&gt;"",IF(N(F889)&gt;0,"客户回款","客户退款"),IF(K889&lt;&gt;"",IF(N(G889)&gt;0,"供应商付款","供应商退款"),IF(L889&lt;&gt;"","费用支出","")))))</f>
      </c>
      <c r="P889" s="78">
        <f>IF(O889="","",IFERROR(INDEX(基础资料!$AE$5:$AE$34,MATCH(O889,基础资料!$AC$5:$AC$34,0)),"未知"))</f>
      </c>
      <c r="Q889" s="78">
        <f>IF(P889="应收",COUNTIF(P$7:P889,"应收"),"")</f>
      </c>
      <c r="R889" s="78">
        <f>IF(P889="应付",COUNTIF(P$7:P889,"应付"),"")</f>
      </c>
      <c r="S889" s="78">
        <f>N(F889)-N(G889)</f>
        <v>0</v>
      </c>
    </row>
    <row r="890">
      <c r="A890" s="109">
        <f>IF(AND(F890="",G890=""),"",ROW()-6)</f>
      </c>
      <c r="B890" s="140" t="n"/>
      <c r="C890" s="141" t="n"/>
      <c r="D890" s="141" t="n"/>
      <c r="E890" s="142" t="n"/>
      <c r="F890" s="143" t="n"/>
      <c r="G890" s="144" t="n"/>
      <c r="H890" s="145">
        <f>IF(OR(C890="",AND(F890="",G890="")),"",SUMIF(基础资料!$W$5:$W$24,C890,基础资料!$X$5:$X$24)+SUMIF(C$7:C890,C890,F$7:F890)-SUMIF(C$7:C890,C890,G$7:G890))</f>
      </c>
      <c r="I890" s="145">
        <f>IF(AND(F890="",G890=""),"",SUM(基础资料!$X$5:$X$24)+SUM(F$7:F890)-SUM(G$7:G890))</f>
      </c>
      <c r="J890" s="141" t="n"/>
      <c r="K890" s="141" t="n"/>
      <c r="L890" s="141" t="n"/>
      <c r="M890" s="142" t="n"/>
      <c r="N890" s="146">
        <f>IF(AND(AND(F890="",G890=""),B890="",C890="",D890="",J890="",K890="",L890=""),"",IF(AND(F890="",G890=""),"✗ 没填金额",IF(AND(N(F890)&lt;&gt;0,N(G890)&lt;&gt;0),"✗ 收入、支出只能填一边",IF(NOT(ISNUMBER(B890)),"✗ 日期不是真日期（要像 2026/9/25 这样填）",IF(OR(B890&lt;年初日,B890&gt;年末日),"✗ 日期不在本会计年度",IF(C890="","✗ 没选账户",IF(COUNTIF(基础资料!$W$5:$W$24,C890)=0,"✗ 账户不在基础资料里",IF(O890="","✗ 没选收支项目",IF(P890="未知","✗ 收支项目不在基础资料里",IF(AND(P890="应收",J890=""),"✗ 这笔要选客户",IF(AND(P890="应收",COUNTIF(总览汇总!$B$5:$B$304,J890)=0),"✗ 客户不在总览汇总名单里",IF(AND(P890="应付",K890=""),"✗ 这笔要选供应商",IF(AND(P890="应付",COUNTIF(基础资料!$Q$5:$Q$54,K890)=0),"✗ 供应商不在基础资料里",IF(AND(P890="费用",L890=""),"✗ 费用支出要选费用项目",IF(AND(L890&lt;&gt;"",COUNTIF(基础资料!$AI$5:$AI$54,L890)=0),"✗ 费用项目不在基础资料里",IF(AND(IFERROR(INDEX(基础资料!$AD$5:$AD$34,MATCH(O890,基础资料!$AC$5:$AC$34,0)),"")="收",N(G890)&lt;&gt;0),"✗ 这类是收款，金额填到收入列",IF(AND(IFERROR(INDEX(基础资料!$AD$5:$AD$34,MATCH(O890,基础资料!$AC$5:$AC$34,0)),"")="支",N(F890)&lt;&gt;0),"✗ 这类是付款，金额填到支出列",IF(N(H890)&lt;0,"⚠ 账户余额成负数了，核对一下","√"))))))))))))))))))</f>
      </c>
      <c r="O890" s="78">
        <f>IF(D890&lt;&gt;"",D890,IF(AND(F890="",G890=""),"",IF(J890&lt;&gt;"",IF(N(F890)&gt;0,"客户回款","客户退款"),IF(K890&lt;&gt;"",IF(N(G890)&gt;0,"供应商付款","供应商退款"),IF(L890&lt;&gt;"","费用支出","")))))</f>
      </c>
      <c r="P890" s="78">
        <f>IF(O890="","",IFERROR(INDEX(基础资料!$AE$5:$AE$34,MATCH(O890,基础资料!$AC$5:$AC$34,0)),"未知"))</f>
      </c>
      <c r="Q890" s="78">
        <f>IF(P890="应收",COUNTIF(P$7:P890,"应收"),"")</f>
      </c>
      <c r="R890" s="78">
        <f>IF(P890="应付",COUNTIF(P$7:P890,"应付"),"")</f>
      </c>
      <c r="S890" s="78">
        <f>N(F890)-N(G890)</f>
        <v>0</v>
      </c>
    </row>
    <row r="891">
      <c r="A891" s="109">
        <f>IF(AND(F891="",G891=""),"",ROW()-6)</f>
      </c>
      <c r="B891" s="140" t="n"/>
      <c r="C891" s="141" t="n"/>
      <c r="D891" s="141" t="n"/>
      <c r="E891" s="142" t="n"/>
      <c r="F891" s="143" t="n"/>
      <c r="G891" s="144" t="n"/>
      <c r="H891" s="145">
        <f>IF(OR(C891="",AND(F891="",G891="")),"",SUMIF(基础资料!$W$5:$W$24,C891,基础资料!$X$5:$X$24)+SUMIF(C$7:C891,C891,F$7:F891)-SUMIF(C$7:C891,C891,G$7:G891))</f>
      </c>
      <c r="I891" s="145">
        <f>IF(AND(F891="",G891=""),"",SUM(基础资料!$X$5:$X$24)+SUM(F$7:F891)-SUM(G$7:G891))</f>
      </c>
      <c r="J891" s="141" t="n"/>
      <c r="K891" s="141" t="n"/>
      <c r="L891" s="141" t="n"/>
      <c r="M891" s="142" t="n"/>
      <c r="N891" s="146">
        <f>IF(AND(AND(F891="",G891=""),B891="",C891="",D891="",J891="",K891="",L891=""),"",IF(AND(F891="",G891=""),"✗ 没填金额",IF(AND(N(F891)&lt;&gt;0,N(G891)&lt;&gt;0),"✗ 收入、支出只能填一边",IF(NOT(ISNUMBER(B891)),"✗ 日期不是真日期（要像 2026/9/25 这样填）",IF(OR(B891&lt;年初日,B891&gt;年末日),"✗ 日期不在本会计年度",IF(C891="","✗ 没选账户",IF(COUNTIF(基础资料!$W$5:$W$24,C891)=0,"✗ 账户不在基础资料里",IF(O891="","✗ 没选收支项目",IF(P891="未知","✗ 收支项目不在基础资料里",IF(AND(P891="应收",J891=""),"✗ 这笔要选客户",IF(AND(P891="应收",COUNTIF(总览汇总!$B$5:$B$304,J891)=0),"✗ 客户不在总览汇总名单里",IF(AND(P891="应付",K891=""),"✗ 这笔要选供应商",IF(AND(P891="应付",COUNTIF(基础资料!$Q$5:$Q$54,K891)=0),"✗ 供应商不在基础资料里",IF(AND(P891="费用",L891=""),"✗ 费用支出要选费用项目",IF(AND(L891&lt;&gt;"",COUNTIF(基础资料!$AI$5:$AI$54,L891)=0),"✗ 费用项目不在基础资料里",IF(AND(IFERROR(INDEX(基础资料!$AD$5:$AD$34,MATCH(O891,基础资料!$AC$5:$AC$34,0)),"")="收",N(G891)&lt;&gt;0),"✗ 这类是收款，金额填到收入列",IF(AND(IFERROR(INDEX(基础资料!$AD$5:$AD$34,MATCH(O891,基础资料!$AC$5:$AC$34,0)),"")="支",N(F891)&lt;&gt;0),"✗ 这类是付款，金额填到支出列",IF(N(H891)&lt;0,"⚠ 账户余额成负数了，核对一下","√"))))))))))))))))))</f>
      </c>
      <c r="O891" s="78">
        <f>IF(D891&lt;&gt;"",D891,IF(AND(F891="",G891=""),"",IF(J891&lt;&gt;"",IF(N(F891)&gt;0,"客户回款","客户退款"),IF(K891&lt;&gt;"",IF(N(G891)&gt;0,"供应商付款","供应商退款"),IF(L891&lt;&gt;"","费用支出","")))))</f>
      </c>
      <c r="P891" s="78">
        <f>IF(O891="","",IFERROR(INDEX(基础资料!$AE$5:$AE$34,MATCH(O891,基础资料!$AC$5:$AC$34,0)),"未知"))</f>
      </c>
      <c r="Q891" s="78">
        <f>IF(P891="应收",COUNTIF(P$7:P891,"应收"),"")</f>
      </c>
      <c r="R891" s="78">
        <f>IF(P891="应付",COUNTIF(P$7:P891,"应付"),"")</f>
      </c>
      <c r="S891" s="78">
        <f>N(F891)-N(G891)</f>
        <v>0</v>
      </c>
    </row>
    <row r="892">
      <c r="A892" s="109">
        <f>IF(AND(F892="",G892=""),"",ROW()-6)</f>
      </c>
      <c r="B892" s="140" t="n"/>
      <c r="C892" s="141" t="n"/>
      <c r="D892" s="141" t="n"/>
      <c r="E892" s="142" t="n"/>
      <c r="F892" s="143" t="n"/>
      <c r="G892" s="144" t="n"/>
      <c r="H892" s="145">
        <f>IF(OR(C892="",AND(F892="",G892="")),"",SUMIF(基础资料!$W$5:$W$24,C892,基础资料!$X$5:$X$24)+SUMIF(C$7:C892,C892,F$7:F892)-SUMIF(C$7:C892,C892,G$7:G892))</f>
      </c>
      <c r="I892" s="145">
        <f>IF(AND(F892="",G892=""),"",SUM(基础资料!$X$5:$X$24)+SUM(F$7:F892)-SUM(G$7:G892))</f>
      </c>
      <c r="J892" s="141" t="n"/>
      <c r="K892" s="141" t="n"/>
      <c r="L892" s="141" t="n"/>
      <c r="M892" s="142" t="n"/>
      <c r="N892" s="146">
        <f>IF(AND(AND(F892="",G892=""),B892="",C892="",D892="",J892="",K892="",L892=""),"",IF(AND(F892="",G892=""),"✗ 没填金额",IF(AND(N(F892)&lt;&gt;0,N(G892)&lt;&gt;0),"✗ 收入、支出只能填一边",IF(NOT(ISNUMBER(B892)),"✗ 日期不是真日期（要像 2026/9/25 这样填）",IF(OR(B892&lt;年初日,B892&gt;年末日),"✗ 日期不在本会计年度",IF(C892="","✗ 没选账户",IF(COUNTIF(基础资料!$W$5:$W$24,C892)=0,"✗ 账户不在基础资料里",IF(O892="","✗ 没选收支项目",IF(P892="未知","✗ 收支项目不在基础资料里",IF(AND(P892="应收",J892=""),"✗ 这笔要选客户",IF(AND(P892="应收",COUNTIF(总览汇总!$B$5:$B$304,J892)=0),"✗ 客户不在总览汇总名单里",IF(AND(P892="应付",K892=""),"✗ 这笔要选供应商",IF(AND(P892="应付",COUNTIF(基础资料!$Q$5:$Q$54,K892)=0),"✗ 供应商不在基础资料里",IF(AND(P892="费用",L892=""),"✗ 费用支出要选费用项目",IF(AND(L892&lt;&gt;"",COUNTIF(基础资料!$AI$5:$AI$54,L892)=0),"✗ 费用项目不在基础资料里",IF(AND(IFERROR(INDEX(基础资料!$AD$5:$AD$34,MATCH(O892,基础资料!$AC$5:$AC$34,0)),"")="收",N(G892)&lt;&gt;0),"✗ 这类是收款，金额填到收入列",IF(AND(IFERROR(INDEX(基础资料!$AD$5:$AD$34,MATCH(O892,基础资料!$AC$5:$AC$34,0)),"")="支",N(F892)&lt;&gt;0),"✗ 这类是付款，金额填到支出列",IF(N(H892)&lt;0,"⚠ 账户余额成负数了，核对一下","√"))))))))))))))))))</f>
      </c>
      <c r="O892" s="78">
        <f>IF(D892&lt;&gt;"",D892,IF(AND(F892="",G892=""),"",IF(J892&lt;&gt;"",IF(N(F892)&gt;0,"客户回款","客户退款"),IF(K892&lt;&gt;"",IF(N(G892)&gt;0,"供应商付款","供应商退款"),IF(L892&lt;&gt;"","费用支出","")))))</f>
      </c>
      <c r="P892" s="78">
        <f>IF(O892="","",IFERROR(INDEX(基础资料!$AE$5:$AE$34,MATCH(O892,基础资料!$AC$5:$AC$34,0)),"未知"))</f>
      </c>
      <c r="Q892" s="78">
        <f>IF(P892="应收",COUNTIF(P$7:P892,"应收"),"")</f>
      </c>
      <c r="R892" s="78">
        <f>IF(P892="应付",COUNTIF(P$7:P892,"应付"),"")</f>
      </c>
      <c r="S892" s="78">
        <f>N(F892)-N(G892)</f>
        <v>0</v>
      </c>
    </row>
    <row r="893">
      <c r="A893" s="109">
        <f>IF(AND(F893="",G893=""),"",ROW()-6)</f>
      </c>
      <c r="B893" s="140" t="n"/>
      <c r="C893" s="141" t="n"/>
      <c r="D893" s="141" t="n"/>
      <c r="E893" s="142" t="n"/>
      <c r="F893" s="143" t="n"/>
      <c r="G893" s="144" t="n"/>
      <c r="H893" s="145">
        <f>IF(OR(C893="",AND(F893="",G893="")),"",SUMIF(基础资料!$W$5:$W$24,C893,基础资料!$X$5:$X$24)+SUMIF(C$7:C893,C893,F$7:F893)-SUMIF(C$7:C893,C893,G$7:G893))</f>
      </c>
      <c r="I893" s="145">
        <f>IF(AND(F893="",G893=""),"",SUM(基础资料!$X$5:$X$24)+SUM(F$7:F893)-SUM(G$7:G893))</f>
      </c>
      <c r="J893" s="141" t="n"/>
      <c r="K893" s="141" t="n"/>
      <c r="L893" s="141" t="n"/>
      <c r="M893" s="142" t="n"/>
      <c r="N893" s="146">
        <f>IF(AND(AND(F893="",G893=""),B893="",C893="",D893="",J893="",K893="",L893=""),"",IF(AND(F893="",G893=""),"✗ 没填金额",IF(AND(N(F893)&lt;&gt;0,N(G893)&lt;&gt;0),"✗ 收入、支出只能填一边",IF(NOT(ISNUMBER(B893)),"✗ 日期不是真日期（要像 2026/9/25 这样填）",IF(OR(B893&lt;年初日,B893&gt;年末日),"✗ 日期不在本会计年度",IF(C893="","✗ 没选账户",IF(COUNTIF(基础资料!$W$5:$W$24,C893)=0,"✗ 账户不在基础资料里",IF(O893="","✗ 没选收支项目",IF(P893="未知","✗ 收支项目不在基础资料里",IF(AND(P893="应收",J893=""),"✗ 这笔要选客户",IF(AND(P893="应收",COUNTIF(总览汇总!$B$5:$B$304,J893)=0),"✗ 客户不在总览汇总名单里",IF(AND(P893="应付",K893=""),"✗ 这笔要选供应商",IF(AND(P893="应付",COUNTIF(基础资料!$Q$5:$Q$54,K893)=0),"✗ 供应商不在基础资料里",IF(AND(P893="费用",L893=""),"✗ 费用支出要选费用项目",IF(AND(L893&lt;&gt;"",COUNTIF(基础资料!$AI$5:$AI$54,L893)=0),"✗ 费用项目不在基础资料里",IF(AND(IFERROR(INDEX(基础资料!$AD$5:$AD$34,MATCH(O893,基础资料!$AC$5:$AC$34,0)),"")="收",N(G893)&lt;&gt;0),"✗ 这类是收款，金额填到收入列",IF(AND(IFERROR(INDEX(基础资料!$AD$5:$AD$34,MATCH(O893,基础资料!$AC$5:$AC$34,0)),"")="支",N(F893)&lt;&gt;0),"✗ 这类是付款，金额填到支出列",IF(N(H893)&lt;0,"⚠ 账户余额成负数了，核对一下","√"))))))))))))))))))</f>
      </c>
      <c r="O893" s="78">
        <f>IF(D893&lt;&gt;"",D893,IF(AND(F893="",G893=""),"",IF(J893&lt;&gt;"",IF(N(F893)&gt;0,"客户回款","客户退款"),IF(K893&lt;&gt;"",IF(N(G893)&gt;0,"供应商付款","供应商退款"),IF(L893&lt;&gt;"","费用支出","")))))</f>
      </c>
      <c r="P893" s="78">
        <f>IF(O893="","",IFERROR(INDEX(基础资料!$AE$5:$AE$34,MATCH(O893,基础资料!$AC$5:$AC$34,0)),"未知"))</f>
      </c>
      <c r="Q893" s="78">
        <f>IF(P893="应收",COUNTIF(P$7:P893,"应收"),"")</f>
      </c>
      <c r="R893" s="78">
        <f>IF(P893="应付",COUNTIF(P$7:P893,"应付"),"")</f>
      </c>
      <c r="S893" s="78">
        <f>N(F893)-N(G893)</f>
        <v>0</v>
      </c>
    </row>
    <row r="894">
      <c r="A894" s="109">
        <f>IF(AND(F894="",G894=""),"",ROW()-6)</f>
      </c>
      <c r="B894" s="140" t="n"/>
      <c r="C894" s="141" t="n"/>
      <c r="D894" s="141" t="n"/>
      <c r="E894" s="142" t="n"/>
      <c r="F894" s="143" t="n"/>
      <c r="G894" s="144" t="n"/>
      <c r="H894" s="145">
        <f>IF(OR(C894="",AND(F894="",G894="")),"",SUMIF(基础资料!$W$5:$W$24,C894,基础资料!$X$5:$X$24)+SUMIF(C$7:C894,C894,F$7:F894)-SUMIF(C$7:C894,C894,G$7:G894))</f>
      </c>
      <c r="I894" s="145">
        <f>IF(AND(F894="",G894=""),"",SUM(基础资料!$X$5:$X$24)+SUM(F$7:F894)-SUM(G$7:G894))</f>
      </c>
      <c r="J894" s="141" t="n"/>
      <c r="K894" s="141" t="n"/>
      <c r="L894" s="141" t="n"/>
      <c r="M894" s="142" t="n"/>
      <c r="N894" s="146">
        <f>IF(AND(AND(F894="",G894=""),B894="",C894="",D894="",J894="",K894="",L894=""),"",IF(AND(F894="",G894=""),"✗ 没填金额",IF(AND(N(F894)&lt;&gt;0,N(G894)&lt;&gt;0),"✗ 收入、支出只能填一边",IF(NOT(ISNUMBER(B894)),"✗ 日期不是真日期（要像 2026/9/25 这样填）",IF(OR(B894&lt;年初日,B894&gt;年末日),"✗ 日期不在本会计年度",IF(C894="","✗ 没选账户",IF(COUNTIF(基础资料!$W$5:$W$24,C894)=0,"✗ 账户不在基础资料里",IF(O894="","✗ 没选收支项目",IF(P894="未知","✗ 收支项目不在基础资料里",IF(AND(P894="应收",J894=""),"✗ 这笔要选客户",IF(AND(P894="应收",COUNTIF(总览汇总!$B$5:$B$304,J894)=0),"✗ 客户不在总览汇总名单里",IF(AND(P894="应付",K894=""),"✗ 这笔要选供应商",IF(AND(P894="应付",COUNTIF(基础资料!$Q$5:$Q$54,K894)=0),"✗ 供应商不在基础资料里",IF(AND(P894="费用",L894=""),"✗ 费用支出要选费用项目",IF(AND(L894&lt;&gt;"",COUNTIF(基础资料!$AI$5:$AI$54,L894)=0),"✗ 费用项目不在基础资料里",IF(AND(IFERROR(INDEX(基础资料!$AD$5:$AD$34,MATCH(O894,基础资料!$AC$5:$AC$34,0)),"")="收",N(G894)&lt;&gt;0),"✗ 这类是收款，金额填到收入列",IF(AND(IFERROR(INDEX(基础资料!$AD$5:$AD$34,MATCH(O894,基础资料!$AC$5:$AC$34,0)),"")="支",N(F894)&lt;&gt;0),"✗ 这类是付款，金额填到支出列",IF(N(H894)&lt;0,"⚠ 账户余额成负数了，核对一下","√"))))))))))))))))))</f>
      </c>
      <c r="O894" s="78">
        <f>IF(D894&lt;&gt;"",D894,IF(AND(F894="",G894=""),"",IF(J894&lt;&gt;"",IF(N(F894)&gt;0,"客户回款","客户退款"),IF(K894&lt;&gt;"",IF(N(G894)&gt;0,"供应商付款","供应商退款"),IF(L894&lt;&gt;"","费用支出","")))))</f>
      </c>
      <c r="P894" s="78">
        <f>IF(O894="","",IFERROR(INDEX(基础资料!$AE$5:$AE$34,MATCH(O894,基础资料!$AC$5:$AC$34,0)),"未知"))</f>
      </c>
      <c r="Q894" s="78">
        <f>IF(P894="应收",COUNTIF(P$7:P894,"应收"),"")</f>
      </c>
      <c r="R894" s="78">
        <f>IF(P894="应付",COUNTIF(P$7:P894,"应付"),"")</f>
      </c>
      <c r="S894" s="78">
        <f>N(F894)-N(G894)</f>
        <v>0</v>
      </c>
    </row>
    <row r="895">
      <c r="A895" s="109">
        <f>IF(AND(F895="",G895=""),"",ROW()-6)</f>
      </c>
      <c r="B895" s="140" t="n"/>
      <c r="C895" s="141" t="n"/>
      <c r="D895" s="141" t="n"/>
      <c r="E895" s="142" t="n"/>
      <c r="F895" s="143" t="n"/>
      <c r="G895" s="144" t="n"/>
      <c r="H895" s="145">
        <f>IF(OR(C895="",AND(F895="",G895="")),"",SUMIF(基础资料!$W$5:$W$24,C895,基础资料!$X$5:$X$24)+SUMIF(C$7:C895,C895,F$7:F895)-SUMIF(C$7:C895,C895,G$7:G895))</f>
      </c>
      <c r="I895" s="145">
        <f>IF(AND(F895="",G895=""),"",SUM(基础资料!$X$5:$X$24)+SUM(F$7:F895)-SUM(G$7:G895))</f>
      </c>
      <c r="J895" s="141" t="n"/>
      <c r="K895" s="141" t="n"/>
      <c r="L895" s="141" t="n"/>
      <c r="M895" s="142" t="n"/>
      <c r="N895" s="146">
        <f>IF(AND(AND(F895="",G895=""),B895="",C895="",D895="",J895="",K895="",L895=""),"",IF(AND(F895="",G895=""),"✗ 没填金额",IF(AND(N(F895)&lt;&gt;0,N(G895)&lt;&gt;0),"✗ 收入、支出只能填一边",IF(NOT(ISNUMBER(B895)),"✗ 日期不是真日期（要像 2026/9/25 这样填）",IF(OR(B895&lt;年初日,B895&gt;年末日),"✗ 日期不在本会计年度",IF(C895="","✗ 没选账户",IF(COUNTIF(基础资料!$W$5:$W$24,C895)=0,"✗ 账户不在基础资料里",IF(O895="","✗ 没选收支项目",IF(P895="未知","✗ 收支项目不在基础资料里",IF(AND(P895="应收",J895=""),"✗ 这笔要选客户",IF(AND(P895="应收",COUNTIF(总览汇总!$B$5:$B$304,J895)=0),"✗ 客户不在总览汇总名单里",IF(AND(P895="应付",K895=""),"✗ 这笔要选供应商",IF(AND(P895="应付",COUNTIF(基础资料!$Q$5:$Q$54,K895)=0),"✗ 供应商不在基础资料里",IF(AND(P895="费用",L895=""),"✗ 费用支出要选费用项目",IF(AND(L895&lt;&gt;"",COUNTIF(基础资料!$AI$5:$AI$54,L895)=0),"✗ 费用项目不在基础资料里",IF(AND(IFERROR(INDEX(基础资料!$AD$5:$AD$34,MATCH(O895,基础资料!$AC$5:$AC$34,0)),"")="收",N(G895)&lt;&gt;0),"✗ 这类是收款，金额填到收入列",IF(AND(IFERROR(INDEX(基础资料!$AD$5:$AD$34,MATCH(O895,基础资料!$AC$5:$AC$34,0)),"")="支",N(F895)&lt;&gt;0),"✗ 这类是付款，金额填到支出列",IF(N(H895)&lt;0,"⚠ 账户余额成负数了，核对一下","√"))))))))))))))))))</f>
      </c>
      <c r="O895" s="78">
        <f>IF(D895&lt;&gt;"",D895,IF(AND(F895="",G895=""),"",IF(J895&lt;&gt;"",IF(N(F895)&gt;0,"客户回款","客户退款"),IF(K895&lt;&gt;"",IF(N(G895)&gt;0,"供应商付款","供应商退款"),IF(L895&lt;&gt;"","费用支出","")))))</f>
      </c>
      <c r="P895" s="78">
        <f>IF(O895="","",IFERROR(INDEX(基础资料!$AE$5:$AE$34,MATCH(O895,基础资料!$AC$5:$AC$34,0)),"未知"))</f>
      </c>
      <c r="Q895" s="78">
        <f>IF(P895="应收",COUNTIF(P$7:P895,"应收"),"")</f>
      </c>
      <c r="R895" s="78">
        <f>IF(P895="应付",COUNTIF(P$7:P895,"应付"),"")</f>
      </c>
      <c r="S895" s="78">
        <f>N(F895)-N(G895)</f>
        <v>0</v>
      </c>
    </row>
    <row r="896">
      <c r="A896" s="109">
        <f>IF(AND(F896="",G896=""),"",ROW()-6)</f>
      </c>
      <c r="B896" s="140" t="n"/>
      <c r="C896" s="141" t="n"/>
      <c r="D896" s="141" t="n"/>
      <c r="E896" s="142" t="n"/>
      <c r="F896" s="143" t="n"/>
      <c r="G896" s="144" t="n"/>
      <c r="H896" s="145">
        <f>IF(OR(C896="",AND(F896="",G896="")),"",SUMIF(基础资料!$W$5:$W$24,C896,基础资料!$X$5:$X$24)+SUMIF(C$7:C896,C896,F$7:F896)-SUMIF(C$7:C896,C896,G$7:G896))</f>
      </c>
      <c r="I896" s="145">
        <f>IF(AND(F896="",G896=""),"",SUM(基础资料!$X$5:$X$24)+SUM(F$7:F896)-SUM(G$7:G896))</f>
      </c>
      <c r="J896" s="141" t="n"/>
      <c r="K896" s="141" t="n"/>
      <c r="L896" s="141" t="n"/>
      <c r="M896" s="142" t="n"/>
      <c r="N896" s="146">
        <f>IF(AND(AND(F896="",G896=""),B896="",C896="",D896="",J896="",K896="",L896=""),"",IF(AND(F896="",G896=""),"✗ 没填金额",IF(AND(N(F896)&lt;&gt;0,N(G896)&lt;&gt;0),"✗ 收入、支出只能填一边",IF(NOT(ISNUMBER(B896)),"✗ 日期不是真日期（要像 2026/9/25 这样填）",IF(OR(B896&lt;年初日,B896&gt;年末日),"✗ 日期不在本会计年度",IF(C896="","✗ 没选账户",IF(COUNTIF(基础资料!$W$5:$W$24,C896)=0,"✗ 账户不在基础资料里",IF(O896="","✗ 没选收支项目",IF(P896="未知","✗ 收支项目不在基础资料里",IF(AND(P896="应收",J896=""),"✗ 这笔要选客户",IF(AND(P896="应收",COUNTIF(总览汇总!$B$5:$B$304,J896)=0),"✗ 客户不在总览汇总名单里",IF(AND(P896="应付",K896=""),"✗ 这笔要选供应商",IF(AND(P896="应付",COUNTIF(基础资料!$Q$5:$Q$54,K896)=0),"✗ 供应商不在基础资料里",IF(AND(P896="费用",L896=""),"✗ 费用支出要选费用项目",IF(AND(L896&lt;&gt;"",COUNTIF(基础资料!$AI$5:$AI$54,L896)=0),"✗ 费用项目不在基础资料里",IF(AND(IFERROR(INDEX(基础资料!$AD$5:$AD$34,MATCH(O896,基础资料!$AC$5:$AC$34,0)),"")="收",N(G896)&lt;&gt;0),"✗ 这类是收款，金额填到收入列",IF(AND(IFERROR(INDEX(基础资料!$AD$5:$AD$34,MATCH(O896,基础资料!$AC$5:$AC$34,0)),"")="支",N(F896)&lt;&gt;0),"✗ 这类是付款，金额填到支出列",IF(N(H896)&lt;0,"⚠ 账户余额成负数了，核对一下","√"))))))))))))))))))</f>
      </c>
      <c r="O896" s="78">
        <f>IF(D896&lt;&gt;"",D896,IF(AND(F896="",G896=""),"",IF(J896&lt;&gt;"",IF(N(F896)&gt;0,"客户回款","客户退款"),IF(K896&lt;&gt;"",IF(N(G896)&gt;0,"供应商付款","供应商退款"),IF(L896&lt;&gt;"","费用支出","")))))</f>
      </c>
      <c r="P896" s="78">
        <f>IF(O896="","",IFERROR(INDEX(基础资料!$AE$5:$AE$34,MATCH(O896,基础资料!$AC$5:$AC$34,0)),"未知"))</f>
      </c>
      <c r="Q896" s="78">
        <f>IF(P896="应收",COUNTIF(P$7:P896,"应收"),"")</f>
      </c>
      <c r="R896" s="78">
        <f>IF(P896="应付",COUNTIF(P$7:P896,"应付"),"")</f>
      </c>
      <c r="S896" s="78">
        <f>N(F896)-N(G896)</f>
        <v>0</v>
      </c>
    </row>
    <row r="897">
      <c r="A897" s="109">
        <f>IF(AND(F897="",G897=""),"",ROW()-6)</f>
      </c>
      <c r="B897" s="140" t="n"/>
      <c r="C897" s="141" t="n"/>
      <c r="D897" s="141" t="n"/>
      <c r="E897" s="142" t="n"/>
      <c r="F897" s="143" t="n"/>
      <c r="G897" s="144" t="n"/>
      <c r="H897" s="145">
        <f>IF(OR(C897="",AND(F897="",G897="")),"",SUMIF(基础资料!$W$5:$W$24,C897,基础资料!$X$5:$X$24)+SUMIF(C$7:C897,C897,F$7:F897)-SUMIF(C$7:C897,C897,G$7:G897))</f>
      </c>
      <c r="I897" s="145">
        <f>IF(AND(F897="",G897=""),"",SUM(基础资料!$X$5:$X$24)+SUM(F$7:F897)-SUM(G$7:G897))</f>
      </c>
      <c r="J897" s="141" t="n"/>
      <c r="K897" s="141" t="n"/>
      <c r="L897" s="141" t="n"/>
      <c r="M897" s="142" t="n"/>
      <c r="N897" s="146">
        <f>IF(AND(AND(F897="",G897=""),B897="",C897="",D897="",J897="",K897="",L897=""),"",IF(AND(F897="",G897=""),"✗ 没填金额",IF(AND(N(F897)&lt;&gt;0,N(G897)&lt;&gt;0),"✗ 收入、支出只能填一边",IF(NOT(ISNUMBER(B897)),"✗ 日期不是真日期（要像 2026/9/25 这样填）",IF(OR(B897&lt;年初日,B897&gt;年末日),"✗ 日期不在本会计年度",IF(C897="","✗ 没选账户",IF(COUNTIF(基础资料!$W$5:$W$24,C897)=0,"✗ 账户不在基础资料里",IF(O897="","✗ 没选收支项目",IF(P897="未知","✗ 收支项目不在基础资料里",IF(AND(P897="应收",J897=""),"✗ 这笔要选客户",IF(AND(P897="应收",COUNTIF(总览汇总!$B$5:$B$304,J897)=0),"✗ 客户不在总览汇总名单里",IF(AND(P897="应付",K897=""),"✗ 这笔要选供应商",IF(AND(P897="应付",COUNTIF(基础资料!$Q$5:$Q$54,K897)=0),"✗ 供应商不在基础资料里",IF(AND(P897="费用",L897=""),"✗ 费用支出要选费用项目",IF(AND(L897&lt;&gt;"",COUNTIF(基础资料!$AI$5:$AI$54,L897)=0),"✗ 费用项目不在基础资料里",IF(AND(IFERROR(INDEX(基础资料!$AD$5:$AD$34,MATCH(O897,基础资料!$AC$5:$AC$34,0)),"")="收",N(G897)&lt;&gt;0),"✗ 这类是收款，金额填到收入列",IF(AND(IFERROR(INDEX(基础资料!$AD$5:$AD$34,MATCH(O897,基础资料!$AC$5:$AC$34,0)),"")="支",N(F897)&lt;&gt;0),"✗ 这类是付款，金额填到支出列",IF(N(H897)&lt;0,"⚠ 账户余额成负数了，核对一下","√"))))))))))))))))))</f>
      </c>
      <c r="O897" s="78">
        <f>IF(D897&lt;&gt;"",D897,IF(AND(F897="",G897=""),"",IF(J897&lt;&gt;"",IF(N(F897)&gt;0,"客户回款","客户退款"),IF(K897&lt;&gt;"",IF(N(G897)&gt;0,"供应商付款","供应商退款"),IF(L897&lt;&gt;"","费用支出","")))))</f>
      </c>
      <c r="P897" s="78">
        <f>IF(O897="","",IFERROR(INDEX(基础资料!$AE$5:$AE$34,MATCH(O897,基础资料!$AC$5:$AC$34,0)),"未知"))</f>
      </c>
      <c r="Q897" s="78">
        <f>IF(P897="应收",COUNTIF(P$7:P897,"应收"),"")</f>
      </c>
      <c r="R897" s="78">
        <f>IF(P897="应付",COUNTIF(P$7:P897,"应付"),"")</f>
      </c>
      <c r="S897" s="78">
        <f>N(F897)-N(G897)</f>
        <v>0</v>
      </c>
    </row>
    <row r="898">
      <c r="A898" s="109">
        <f>IF(AND(F898="",G898=""),"",ROW()-6)</f>
      </c>
      <c r="B898" s="140" t="n"/>
      <c r="C898" s="141" t="n"/>
      <c r="D898" s="141" t="n"/>
      <c r="E898" s="142" t="n"/>
      <c r="F898" s="143" t="n"/>
      <c r="G898" s="144" t="n"/>
      <c r="H898" s="145">
        <f>IF(OR(C898="",AND(F898="",G898="")),"",SUMIF(基础资料!$W$5:$W$24,C898,基础资料!$X$5:$X$24)+SUMIF(C$7:C898,C898,F$7:F898)-SUMIF(C$7:C898,C898,G$7:G898))</f>
      </c>
      <c r="I898" s="145">
        <f>IF(AND(F898="",G898=""),"",SUM(基础资料!$X$5:$X$24)+SUM(F$7:F898)-SUM(G$7:G898))</f>
      </c>
      <c r="J898" s="141" t="n"/>
      <c r="K898" s="141" t="n"/>
      <c r="L898" s="141" t="n"/>
      <c r="M898" s="142" t="n"/>
      <c r="N898" s="146">
        <f>IF(AND(AND(F898="",G898=""),B898="",C898="",D898="",J898="",K898="",L898=""),"",IF(AND(F898="",G898=""),"✗ 没填金额",IF(AND(N(F898)&lt;&gt;0,N(G898)&lt;&gt;0),"✗ 收入、支出只能填一边",IF(NOT(ISNUMBER(B898)),"✗ 日期不是真日期（要像 2026/9/25 这样填）",IF(OR(B898&lt;年初日,B898&gt;年末日),"✗ 日期不在本会计年度",IF(C898="","✗ 没选账户",IF(COUNTIF(基础资料!$W$5:$W$24,C898)=0,"✗ 账户不在基础资料里",IF(O898="","✗ 没选收支项目",IF(P898="未知","✗ 收支项目不在基础资料里",IF(AND(P898="应收",J898=""),"✗ 这笔要选客户",IF(AND(P898="应收",COUNTIF(总览汇总!$B$5:$B$304,J898)=0),"✗ 客户不在总览汇总名单里",IF(AND(P898="应付",K898=""),"✗ 这笔要选供应商",IF(AND(P898="应付",COUNTIF(基础资料!$Q$5:$Q$54,K898)=0),"✗ 供应商不在基础资料里",IF(AND(P898="费用",L898=""),"✗ 费用支出要选费用项目",IF(AND(L898&lt;&gt;"",COUNTIF(基础资料!$AI$5:$AI$54,L898)=0),"✗ 费用项目不在基础资料里",IF(AND(IFERROR(INDEX(基础资料!$AD$5:$AD$34,MATCH(O898,基础资料!$AC$5:$AC$34,0)),"")="收",N(G898)&lt;&gt;0),"✗ 这类是收款，金额填到收入列",IF(AND(IFERROR(INDEX(基础资料!$AD$5:$AD$34,MATCH(O898,基础资料!$AC$5:$AC$34,0)),"")="支",N(F898)&lt;&gt;0),"✗ 这类是付款，金额填到支出列",IF(N(H898)&lt;0,"⚠ 账户余额成负数了，核对一下","√"))))))))))))))))))</f>
      </c>
      <c r="O898" s="78">
        <f>IF(D898&lt;&gt;"",D898,IF(AND(F898="",G898=""),"",IF(J898&lt;&gt;"",IF(N(F898)&gt;0,"客户回款","客户退款"),IF(K898&lt;&gt;"",IF(N(G898)&gt;0,"供应商付款","供应商退款"),IF(L898&lt;&gt;"","费用支出","")))))</f>
      </c>
      <c r="P898" s="78">
        <f>IF(O898="","",IFERROR(INDEX(基础资料!$AE$5:$AE$34,MATCH(O898,基础资料!$AC$5:$AC$34,0)),"未知"))</f>
      </c>
      <c r="Q898" s="78">
        <f>IF(P898="应收",COUNTIF(P$7:P898,"应收"),"")</f>
      </c>
      <c r="R898" s="78">
        <f>IF(P898="应付",COUNTIF(P$7:P898,"应付"),"")</f>
      </c>
      <c r="S898" s="78">
        <f>N(F898)-N(G898)</f>
        <v>0</v>
      </c>
    </row>
    <row r="899">
      <c r="A899" s="109">
        <f>IF(AND(F899="",G899=""),"",ROW()-6)</f>
      </c>
      <c r="B899" s="140" t="n"/>
      <c r="C899" s="141" t="n"/>
      <c r="D899" s="141" t="n"/>
      <c r="E899" s="142" t="n"/>
      <c r="F899" s="143" t="n"/>
      <c r="G899" s="144" t="n"/>
      <c r="H899" s="145">
        <f>IF(OR(C899="",AND(F899="",G899="")),"",SUMIF(基础资料!$W$5:$W$24,C899,基础资料!$X$5:$X$24)+SUMIF(C$7:C899,C899,F$7:F899)-SUMIF(C$7:C899,C899,G$7:G899))</f>
      </c>
      <c r="I899" s="145">
        <f>IF(AND(F899="",G899=""),"",SUM(基础资料!$X$5:$X$24)+SUM(F$7:F899)-SUM(G$7:G899))</f>
      </c>
      <c r="J899" s="141" t="n"/>
      <c r="K899" s="141" t="n"/>
      <c r="L899" s="141" t="n"/>
      <c r="M899" s="142" t="n"/>
      <c r="N899" s="146">
        <f>IF(AND(AND(F899="",G899=""),B899="",C899="",D899="",J899="",K899="",L899=""),"",IF(AND(F899="",G899=""),"✗ 没填金额",IF(AND(N(F899)&lt;&gt;0,N(G899)&lt;&gt;0),"✗ 收入、支出只能填一边",IF(NOT(ISNUMBER(B899)),"✗ 日期不是真日期（要像 2026/9/25 这样填）",IF(OR(B899&lt;年初日,B899&gt;年末日),"✗ 日期不在本会计年度",IF(C899="","✗ 没选账户",IF(COUNTIF(基础资料!$W$5:$W$24,C899)=0,"✗ 账户不在基础资料里",IF(O899="","✗ 没选收支项目",IF(P899="未知","✗ 收支项目不在基础资料里",IF(AND(P899="应收",J899=""),"✗ 这笔要选客户",IF(AND(P899="应收",COUNTIF(总览汇总!$B$5:$B$304,J899)=0),"✗ 客户不在总览汇总名单里",IF(AND(P899="应付",K899=""),"✗ 这笔要选供应商",IF(AND(P899="应付",COUNTIF(基础资料!$Q$5:$Q$54,K899)=0),"✗ 供应商不在基础资料里",IF(AND(P899="费用",L899=""),"✗ 费用支出要选费用项目",IF(AND(L899&lt;&gt;"",COUNTIF(基础资料!$AI$5:$AI$54,L899)=0),"✗ 费用项目不在基础资料里",IF(AND(IFERROR(INDEX(基础资料!$AD$5:$AD$34,MATCH(O899,基础资料!$AC$5:$AC$34,0)),"")="收",N(G899)&lt;&gt;0),"✗ 这类是收款，金额填到收入列",IF(AND(IFERROR(INDEX(基础资料!$AD$5:$AD$34,MATCH(O899,基础资料!$AC$5:$AC$34,0)),"")="支",N(F899)&lt;&gt;0),"✗ 这类是付款，金额填到支出列",IF(N(H899)&lt;0,"⚠ 账户余额成负数了，核对一下","√"))))))))))))))))))</f>
      </c>
      <c r="O899" s="78">
        <f>IF(D899&lt;&gt;"",D899,IF(AND(F899="",G899=""),"",IF(J899&lt;&gt;"",IF(N(F899)&gt;0,"客户回款","客户退款"),IF(K899&lt;&gt;"",IF(N(G899)&gt;0,"供应商付款","供应商退款"),IF(L899&lt;&gt;"","费用支出","")))))</f>
      </c>
      <c r="P899" s="78">
        <f>IF(O899="","",IFERROR(INDEX(基础资料!$AE$5:$AE$34,MATCH(O899,基础资料!$AC$5:$AC$34,0)),"未知"))</f>
      </c>
      <c r="Q899" s="78">
        <f>IF(P899="应收",COUNTIF(P$7:P899,"应收"),"")</f>
      </c>
      <c r="R899" s="78">
        <f>IF(P899="应付",COUNTIF(P$7:P899,"应付"),"")</f>
      </c>
      <c r="S899" s="78">
        <f>N(F899)-N(G899)</f>
        <v>0</v>
      </c>
    </row>
    <row r="900">
      <c r="A900" s="109">
        <f>IF(AND(F900="",G900=""),"",ROW()-6)</f>
      </c>
      <c r="B900" s="140" t="n"/>
      <c r="C900" s="141" t="n"/>
      <c r="D900" s="141" t="n"/>
      <c r="E900" s="142" t="n"/>
      <c r="F900" s="143" t="n"/>
      <c r="G900" s="144" t="n"/>
      <c r="H900" s="145">
        <f>IF(OR(C900="",AND(F900="",G900="")),"",SUMIF(基础资料!$W$5:$W$24,C900,基础资料!$X$5:$X$24)+SUMIF(C$7:C900,C900,F$7:F900)-SUMIF(C$7:C900,C900,G$7:G900))</f>
      </c>
      <c r="I900" s="145">
        <f>IF(AND(F900="",G900=""),"",SUM(基础资料!$X$5:$X$24)+SUM(F$7:F900)-SUM(G$7:G900))</f>
      </c>
      <c r="J900" s="141" t="n"/>
      <c r="K900" s="141" t="n"/>
      <c r="L900" s="141" t="n"/>
      <c r="M900" s="142" t="n"/>
      <c r="N900" s="146">
        <f>IF(AND(AND(F900="",G900=""),B900="",C900="",D900="",J900="",K900="",L900=""),"",IF(AND(F900="",G900=""),"✗ 没填金额",IF(AND(N(F900)&lt;&gt;0,N(G900)&lt;&gt;0),"✗ 收入、支出只能填一边",IF(NOT(ISNUMBER(B900)),"✗ 日期不是真日期（要像 2026/9/25 这样填）",IF(OR(B900&lt;年初日,B900&gt;年末日),"✗ 日期不在本会计年度",IF(C900="","✗ 没选账户",IF(COUNTIF(基础资料!$W$5:$W$24,C900)=0,"✗ 账户不在基础资料里",IF(O900="","✗ 没选收支项目",IF(P900="未知","✗ 收支项目不在基础资料里",IF(AND(P900="应收",J900=""),"✗ 这笔要选客户",IF(AND(P900="应收",COUNTIF(总览汇总!$B$5:$B$304,J900)=0),"✗ 客户不在总览汇总名单里",IF(AND(P900="应付",K900=""),"✗ 这笔要选供应商",IF(AND(P900="应付",COUNTIF(基础资料!$Q$5:$Q$54,K900)=0),"✗ 供应商不在基础资料里",IF(AND(P900="费用",L900=""),"✗ 费用支出要选费用项目",IF(AND(L900&lt;&gt;"",COUNTIF(基础资料!$AI$5:$AI$54,L900)=0),"✗ 费用项目不在基础资料里",IF(AND(IFERROR(INDEX(基础资料!$AD$5:$AD$34,MATCH(O900,基础资料!$AC$5:$AC$34,0)),"")="收",N(G900)&lt;&gt;0),"✗ 这类是收款，金额填到收入列",IF(AND(IFERROR(INDEX(基础资料!$AD$5:$AD$34,MATCH(O900,基础资料!$AC$5:$AC$34,0)),"")="支",N(F900)&lt;&gt;0),"✗ 这类是付款，金额填到支出列",IF(N(H900)&lt;0,"⚠ 账户余额成负数了，核对一下","√"))))))))))))))))))</f>
      </c>
      <c r="O900" s="78">
        <f>IF(D900&lt;&gt;"",D900,IF(AND(F900="",G900=""),"",IF(J900&lt;&gt;"",IF(N(F900)&gt;0,"客户回款","客户退款"),IF(K900&lt;&gt;"",IF(N(G900)&gt;0,"供应商付款","供应商退款"),IF(L900&lt;&gt;"","费用支出","")))))</f>
      </c>
      <c r="P900" s="78">
        <f>IF(O900="","",IFERROR(INDEX(基础资料!$AE$5:$AE$34,MATCH(O900,基础资料!$AC$5:$AC$34,0)),"未知"))</f>
      </c>
      <c r="Q900" s="78">
        <f>IF(P900="应收",COUNTIF(P$7:P900,"应收"),"")</f>
      </c>
      <c r="R900" s="78">
        <f>IF(P900="应付",COUNTIF(P$7:P900,"应付"),"")</f>
      </c>
      <c r="S900" s="78">
        <f>N(F900)-N(G900)</f>
        <v>0</v>
      </c>
    </row>
    <row r="901">
      <c r="A901" s="109">
        <f>IF(AND(F901="",G901=""),"",ROW()-6)</f>
      </c>
      <c r="B901" s="140" t="n"/>
      <c r="C901" s="141" t="n"/>
      <c r="D901" s="141" t="n"/>
      <c r="E901" s="142" t="n"/>
      <c r="F901" s="143" t="n"/>
      <c r="G901" s="144" t="n"/>
      <c r="H901" s="145">
        <f>IF(OR(C901="",AND(F901="",G901="")),"",SUMIF(基础资料!$W$5:$W$24,C901,基础资料!$X$5:$X$24)+SUMIF(C$7:C901,C901,F$7:F901)-SUMIF(C$7:C901,C901,G$7:G901))</f>
      </c>
      <c r="I901" s="145">
        <f>IF(AND(F901="",G901=""),"",SUM(基础资料!$X$5:$X$24)+SUM(F$7:F901)-SUM(G$7:G901))</f>
      </c>
      <c r="J901" s="141" t="n"/>
      <c r="K901" s="141" t="n"/>
      <c r="L901" s="141" t="n"/>
      <c r="M901" s="142" t="n"/>
      <c r="N901" s="146">
        <f>IF(AND(AND(F901="",G901=""),B901="",C901="",D901="",J901="",K901="",L901=""),"",IF(AND(F901="",G901=""),"✗ 没填金额",IF(AND(N(F901)&lt;&gt;0,N(G901)&lt;&gt;0),"✗ 收入、支出只能填一边",IF(NOT(ISNUMBER(B901)),"✗ 日期不是真日期（要像 2026/9/25 这样填）",IF(OR(B901&lt;年初日,B901&gt;年末日),"✗ 日期不在本会计年度",IF(C901="","✗ 没选账户",IF(COUNTIF(基础资料!$W$5:$W$24,C901)=0,"✗ 账户不在基础资料里",IF(O901="","✗ 没选收支项目",IF(P901="未知","✗ 收支项目不在基础资料里",IF(AND(P901="应收",J901=""),"✗ 这笔要选客户",IF(AND(P901="应收",COUNTIF(总览汇总!$B$5:$B$304,J901)=0),"✗ 客户不在总览汇总名单里",IF(AND(P901="应付",K901=""),"✗ 这笔要选供应商",IF(AND(P901="应付",COUNTIF(基础资料!$Q$5:$Q$54,K901)=0),"✗ 供应商不在基础资料里",IF(AND(P901="费用",L901=""),"✗ 费用支出要选费用项目",IF(AND(L901&lt;&gt;"",COUNTIF(基础资料!$AI$5:$AI$54,L901)=0),"✗ 费用项目不在基础资料里",IF(AND(IFERROR(INDEX(基础资料!$AD$5:$AD$34,MATCH(O901,基础资料!$AC$5:$AC$34,0)),"")="收",N(G901)&lt;&gt;0),"✗ 这类是收款，金额填到收入列",IF(AND(IFERROR(INDEX(基础资料!$AD$5:$AD$34,MATCH(O901,基础资料!$AC$5:$AC$34,0)),"")="支",N(F901)&lt;&gt;0),"✗ 这类是付款，金额填到支出列",IF(N(H901)&lt;0,"⚠ 账户余额成负数了，核对一下","√"))))))))))))))))))</f>
      </c>
      <c r="O901" s="78">
        <f>IF(D901&lt;&gt;"",D901,IF(AND(F901="",G901=""),"",IF(J901&lt;&gt;"",IF(N(F901)&gt;0,"客户回款","客户退款"),IF(K901&lt;&gt;"",IF(N(G901)&gt;0,"供应商付款","供应商退款"),IF(L901&lt;&gt;"","费用支出","")))))</f>
      </c>
      <c r="P901" s="78">
        <f>IF(O901="","",IFERROR(INDEX(基础资料!$AE$5:$AE$34,MATCH(O901,基础资料!$AC$5:$AC$34,0)),"未知"))</f>
      </c>
      <c r="Q901" s="78">
        <f>IF(P901="应收",COUNTIF(P$7:P901,"应收"),"")</f>
      </c>
      <c r="R901" s="78">
        <f>IF(P901="应付",COUNTIF(P$7:P901,"应付"),"")</f>
      </c>
      <c r="S901" s="78">
        <f>N(F901)-N(G901)</f>
        <v>0</v>
      </c>
    </row>
    <row r="902">
      <c r="A902" s="109">
        <f>IF(AND(F902="",G902=""),"",ROW()-6)</f>
      </c>
      <c r="B902" s="140" t="n"/>
      <c r="C902" s="141" t="n"/>
      <c r="D902" s="141" t="n"/>
      <c r="E902" s="142" t="n"/>
      <c r="F902" s="143" t="n"/>
      <c r="G902" s="144" t="n"/>
      <c r="H902" s="145">
        <f>IF(OR(C902="",AND(F902="",G902="")),"",SUMIF(基础资料!$W$5:$W$24,C902,基础资料!$X$5:$X$24)+SUMIF(C$7:C902,C902,F$7:F902)-SUMIF(C$7:C902,C902,G$7:G902))</f>
      </c>
      <c r="I902" s="145">
        <f>IF(AND(F902="",G902=""),"",SUM(基础资料!$X$5:$X$24)+SUM(F$7:F902)-SUM(G$7:G902))</f>
      </c>
      <c r="J902" s="141" t="n"/>
      <c r="K902" s="141" t="n"/>
      <c r="L902" s="141" t="n"/>
      <c r="M902" s="142" t="n"/>
      <c r="N902" s="146">
        <f>IF(AND(AND(F902="",G902=""),B902="",C902="",D902="",J902="",K902="",L902=""),"",IF(AND(F902="",G902=""),"✗ 没填金额",IF(AND(N(F902)&lt;&gt;0,N(G902)&lt;&gt;0),"✗ 收入、支出只能填一边",IF(NOT(ISNUMBER(B902)),"✗ 日期不是真日期（要像 2026/9/25 这样填）",IF(OR(B902&lt;年初日,B902&gt;年末日),"✗ 日期不在本会计年度",IF(C902="","✗ 没选账户",IF(COUNTIF(基础资料!$W$5:$W$24,C902)=0,"✗ 账户不在基础资料里",IF(O902="","✗ 没选收支项目",IF(P902="未知","✗ 收支项目不在基础资料里",IF(AND(P902="应收",J902=""),"✗ 这笔要选客户",IF(AND(P902="应收",COUNTIF(总览汇总!$B$5:$B$304,J902)=0),"✗ 客户不在总览汇总名单里",IF(AND(P902="应付",K902=""),"✗ 这笔要选供应商",IF(AND(P902="应付",COUNTIF(基础资料!$Q$5:$Q$54,K902)=0),"✗ 供应商不在基础资料里",IF(AND(P902="费用",L902=""),"✗ 费用支出要选费用项目",IF(AND(L902&lt;&gt;"",COUNTIF(基础资料!$AI$5:$AI$54,L902)=0),"✗ 费用项目不在基础资料里",IF(AND(IFERROR(INDEX(基础资料!$AD$5:$AD$34,MATCH(O902,基础资料!$AC$5:$AC$34,0)),"")="收",N(G902)&lt;&gt;0),"✗ 这类是收款，金额填到收入列",IF(AND(IFERROR(INDEX(基础资料!$AD$5:$AD$34,MATCH(O902,基础资料!$AC$5:$AC$34,0)),"")="支",N(F902)&lt;&gt;0),"✗ 这类是付款，金额填到支出列",IF(N(H902)&lt;0,"⚠ 账户余额成负数了，核对一下","√"))))))))))))))))))</f>
      </c>
      <c r="O902" s="78">
        <f>IF(D902&lt;&gt;"",D902,IF(AND(F902="",G902=""),"",IF(J902&lt;&gt;"",IF(N(F902)&gt;0,"客户回款","客户退款"),IF(K902&lt;&gt;"",IF(N(G902)&gt;0,"供应商付款","供应商退款"),IF(L902&lt;&gt;"","费用支出","")))))</f>
      </c>
      <c r="P902" s="78">
        <f>IF(O902="","",IFERROR(INDEX(基础资料!$AE$5:$AE$34,MATCH(O902,基础资料!$AC$5:$AC$34,0)),"未知"))</f>
      </c>
      <c r="Q902" s="78">
        <f>IF(P902="应收",COUNTIF(P$7:P902,"应收"),"")</f>
      </c>
      <c r="R902" s="78">
        <f>IF(P902="应付",COUNTIF(P$7:P902,"应付"),"")</f>
      </c>
      <c r="S902" s="78">
        <f>N(F902)-N(G902)</f>
        <v>0</v>
      </c>
    </row>
    <row r="903">
      <c r="A903" s="109">
        <f>IF(AND(F903="",G903=""),"",ROW()-6)</f>
      </c>
      <c r="B903" s="140" t="n"/>
      <c r="C903" s="141" t="n"/>
      <c r="D903" s="141" t="n"/>
      <c r="E903" s="142" t="n"/>
      <c r="F903" s="143" t="n"/>
      <c r="G903" s="144" t="n"/>
      <c r="H903" s="145">
        <f>IF(OR(C903="",AND(F903="",G903="")),"",SUMIF(基础资料!$W$5:$W$24,C903,基础资料!$X$5:$X$24)+SUMIF(C$7:C903,C903,F$7:F903)-SUMIF(C$7:C903,C903,G$7:G903))</f>
      </c>
      <c r="I903" s="145">
        <f>IF(AND(F903="",G903=""),"",SUM(基础资料!$X$5:$X$24)+SUM(F$7:F903)-SUM(G$7:G903))</f>
      </c>
      <c r="J903" s="141" t="n"/>
      <c r="K903" s="141" t="n"/>
      <c r="L903" s="141" t="n"/>
      <c r="M903" s="142" t="n"/>
      <c r="N903" s="146">
        <f>IF(AND(AND(F903="",G903=""),B903="",C903="",D903="",J903="",K903="",L903=""),"",IF(AND(F903="",G903=""),"✗ 没填金额",IF(AND(N(F903)&lt;&gt;0,N(G903)&lt;&gt;0),"✗ 收入、支出只能填一边",IF(NOT(ISNUMBER(B903)),"✗ 日期不是真日期（要像 2026/9/25 这样填）",IF(OR(B903&lt;年初日,B903&gt;年末日),"✗ 日期不在本会计年度",IF(C903="","✗ 没选账户",IF(COUNTIF(基础资料!$W$5:$W$24,C903)=0,"✗ 账户不在基础资料里",IF(O903="","✗ 没选收支项目",IF(P903="未知","✗ 收支项目不在基础资料里",IF(AND(P903="应收",J903=""),"✗ 这笔要选客户",IF(AND(P903="应收",COUNTIF(总览汇总!$B$5:$B$304,J903)=0),"✗ 客户不在总览汇总名单里",IF(AND(P903="应付",K903=""),"✗ 这笔要选供应商",IF(AND(P903="应付",COUNTIF(基础资料!$Q$5:$Q$54,K903)=0),"✗ 供应商不在基础资料里",IF(AND(P903="费用",L903=""),"✗ 费用支出要选费用项目",IF(AND(L903&lt;&gt;"",COUNTIF(基础资料!$AI$5:$AI$54,L903)=0),"✗ 费用项目不在基础资料里",IF(AND(IFERROR(INDEX(基础资料!$AD$5:$AD$34,MATCH(O903,基础资料!$AC$5:$AC$34,0)),"")="收",N(G903)&lt;&gt;0),"✗ 这类是收款，金额填到收入列",IF(AND(IFERROR(INDEX(基础资料!$AD$5:$AD$34,MATCH(O903,基础资料!$AC$5:$AC$34,0)),"")="支",N(F903)&lt;&gt;0),"✗ 这类是付款，金额填到支出列",IF(N(H903)&lt;0,"⚠ 账户余额成负数了，核对一下","√"))))))))))))))))))</f>
      </c>
      <c r="O903" s="78">
        <f>IF(D903&lt;&gt;"",D903,IF(AND(F903="",G903=""),"",IF(J903&lt;&gt;"",IF(N(F903)&gt;0,"客户回款","客户退款"),IF(K903&lt;&gt;"",IF(N(G903)&gt;0,"供应商付款","供应商退款"),IF(L903&lt;&gt;"","费用支出","")))))</f>
      </c>
      <c r="P903" s="78">
        <f>IF(O903="","",IFERROR(INDEX(基础资料!$AE$5:$AE$34,MATCH(O903,基础资料!$AC$5:$AC$34,0)),"未知"))</f>
      </c>
      <c r="Q903" s="78">
        <f>IF(P903="应收",COUNTIF(P$7:P903,"应收"),"")</f>
      </c>
      <c r="R903" s="78">
        <f>IF(P903="应付",COUNTIF(P$7:P903,"应付"),"")</f>
      </c>
      <c r="S903" s="78">
        <f>N(F903)-N(G903)</f>
        <v>0</v>
      </c>
    </row>
    <row r="904">
      <c r="A904" s="109">
        <f>IF(AND(F904="",G904=""),"",ROW()-6)</f>
      </c>
      <c r="B904" s="140" t="n"/>
      <c r="C904" s="141" t="n"/>
      <c r="D904" s="141" t="n"/>
      <c r="E904" s="142" t="n"/>
      <c r="F904" s="143" t="n"/>
      <c r="G904" s="144" t="n"/>
      <c r="H904" s="145">
        <f>IF(OR(C904="",AND(F904="",G904="")),"",SUMIF(基础资料!$W$5:$W$24,C904,基础资料!$X$5:$X$24)+SUMIF(C$7:C904,C904,F$7:F904)-SUMIF(C$7:C904,C904,G$7:G904))</f>
      </c>
      <c r="I904" s="145">
        <f>IF(AND(F904="",G904=""),"",SUM(基础资料!$X$5:$X$24)+SUM(F$7:F904)-SUM(G$7:G904))</f>
      </c>
      <c r="J904" s="141" t="n"/>
      <c r="K904" s="141" t="n"/>
      <c r="L904" s="141" t="n"/>
      <c r="M904" s="142" t="n"/>
      <c r="N904" s="146">
        <f>IF(AND(AND(F904="",G904=""),B904="",C904="",D904="",J904="",K904="",L904=""),"",IF(AND(F904="",G904=""),"✗ 没填金额",IF(AND(N(F904)&lt;&gt;0,N(G904)&lt;&gt;0),"✗ 收入、支出只能填一边",IF(NOT(ISNUMBER(B904)),"✗ 日期不是真日期（要像 2026/9/25 这样填）",IF(OR(B904&lt;年初日,B904&gt;年末日),"✗ 日期不在本会计年度",IF(C904="","✗ 没选账户",IF(COUNTIF(基础资料!$W$5:$W$24,C904)=0,"✗ 账户不在基础资料里",IF(O904="","✗ 没选收支项目",IF(P904="未知","✗ 收支项目不在基础资料里",IF(AND(P904="应收",J904=""),"✗ 这笔要选客户",IF(AND(P904="应收",COUNTIF(总览汇总!$B$5:$B$304,J904)=0),"✗ 客户不在总览汇总名单里",IF(AND(P904="应付",K904=""),"✗ 这笔要选供应商",IF(AND(P904="应付",COUNTIF(基础资料!$Q$5:$Q$54,K904)=0),"✗ 供应商不在基础资料里",IF(AND(P904="费用",L904=""),"✗ 费用支出要选费用项目",IF(AND(L904&lt;&gt;"",COUNTIF(基础资料!$AI$5:$AI$54,L904)=0),"✗ 费用项目不在基础资料里",IF(AND(IFERROR(INDEX(基础资料!$AD$5:$AD$34,MATCH(O904,基础资料!$AC$5:$AC$34,0)),"")="收",N(G904)&lt;&gt;0),"✗ 这类是收款，金额填到收入列",IF(AND(IFERROR(INDEX(基础资料!$AD$5:$AD$34,MATCH(O904,基础资料!$AC$5:$AC$34,0)),"")="支",N(F904)&lt;&gt;0),"✗ 这类是付款，金额填到支出列",IF(N(H904)&lt;0,"⚠ 账户余额成负数了，核对一下","√"))))))))))))))))))</f>
      </c>
      <c r="O904" s="78">
        <f>IF(D904&lt;&gt;"",D904,IF(AND(F904="",G904=""),"",IF(J904&lt;&gt;"",IF(N(F904)&gt;0,"客户回款","客户退款"),IF(K904&lt;&gt;"",IF(N(G904)&gt;0,"供应商付款","供应商退款"),IF(L904&lt;&gt;"","费用支出","")))))</f>
      </c>
      <c r="P904" s="78">
        <f>IF(O904="","",IFERROR(INDEX(基础资料!$AE$5:$AE$34,MATCH(O904,基础资料!$AC$5:$AC$34,0)),"未知"))</f>
      </c>
      <c r="Q904" s="78">
        <f>IF(P904="应收",COUNTIF(P$7:P904,"应收"),"")</f>
      </c>
      <c r="R904" s="78">
        <f>IF(P904="应付",COUNTIF(P$7:P904,"应付"),"")</f>
      </c>
      <c r="S904" s="78">
        <f>N(F904)-N(G904)</f>
        <v>0</v>
      </c>
    </row>
    <row r="905">
      <c r="A905" s="109">
        <f>IF(AND(F905="",G905=""),"",ROW()-6)</f>
      </c>
      <c r="B905" s="140" t="n"/>
      <c r="C905" s="141" t="n"/>
      <c r="D905" s="141" t="n"/>
      <c r="E905" s="142" t="n"/>
      <c r="F905" s="143" t="n"/>
      <c r="G905" s="144" t="n"/>
      <c r="H905" s="145">
        <f>IF(OR(C905="",AND(F905="",G905="")),"",SUMIF(基础资料!$W$5:$W$24,C905,基础资料!$X$5:$X$24)+SUMIF(C$7:C905,C905,F$7:F905)-SUMIF(C$7:C905,C905,G$7:G905))</f>
      </c>
      <c r="I905" s="145">
        <f>IF(AND(F905="",G905=""),"",SUM(基础资料!$X$5:$X$24)+SUM(F$7:F905)-SUM(G$7:G905))</f>
      </c>
      <c r="J905" s="141" t="n"/>
      <c r="K905" s="141" t="n"/>
      <c r="L905" s="141" t="n"/>
      <c r="M905" s="142" t="n"/>
      <c r="N905" s="146">
        <f>IF(AND(AND(F905="",G905=""),B905="",C905="",D905="",J905="",K905="",L905=""),"",IF(AND(F905="",G905=""),"✗ 没填金额",IF(AND(N(F905)&lt;&gt;0,N(G905)&lt;&gt;0),"✗ 收入、支出只能填一边",IF(NOT(ISNUMBER(B905)),"✗ 日期不是真日期（要像 2026/9/25 这样填）",IF(OR(B905&lt;年初日,B905&gt;年末日),"✗ 日期不在本会计年度",IF(C905="","✗ 没选账户",IF(COUNTIF(基础资料!$W$5:$W$24,C905)=0,"✗ 账户不在基础资料里",IF(O905="","✗ 没选收支项目",IF(P905="未知","✗ 收支项目不在基础资料里",IF(AND(P905="应收",J905=""),"✗ 这笔要选客户",IF(AND(P905="应收",COUNTIF(总览汇总!$B$5:$B$304,J905)=0),"✗ 客户不在总览汇总名单里",IF(AND(P905="应付",K905=""),"✗ 这笔要选供应商",IF(AND(P905="应付",COUNTIF(基础资料!$Q$5:$Q$54,K905)=0),"✗ 供应商不在基础资料里",IF(AND(P905="费用",L905=""),"✗ 费用支出要选费用项目",IF(AND(L905&lt;&gt;"",COUNTIF(基础资料!$AI$5:$AI$54,L905)=0),"✗ 费用项目不在基础资料里",IF(AND(IFERROR(INDEX(基础资料!$AD$5:$AD$34,MATCH(O905,基础资料!$AC$5:$AC$34,0)),"")="收",N(G905)&lt;&gt;0),"✗ 这类是收款，金额填到收入列",IF(AND(IFERROR(INDEX(基础资料!$AD$5:$AD$34,MATCH(O905,基础资料!$AC$5:$AC$34,0)),"")="支",N(F905)&lt;&gt;0),"✗ 这类是付款，金额填到支出列",IF(N(H905)&lt;0,"⚠ 账户余额成负数了，核对一下","√"))))))))))))))))))</f>
      </c>
      <c r="O905" s="78">
        <f>IF(D905&lt;&gt;"",D905,IF(AND(F905="",G905=""),"",IF(J905&lt;&gt;"",IF(N(F905)&gt;0,"客户回款","客户退款"),IF(K905&lt;&gt;"",IF(N(G905)&gt;0,"供应商付款","供应商退款"),IF(L905&lt;&gt;"","费用支出","")))))</f>
      </c>
      <c r="P905" s="78">
        <f>IF(O905="","",IFERROR(INDEX(基础资料!$AE$5:$AE$34,MATCH(O905,基础资料!$AC$5:$AC$34,0)),"未知"))</f>
      </c>
      <c r="Q905" s="78">
        <f>IF(P905="应收",COUNTIF(P$7:P905,"应收"),"")</f>
      </c>
      <c r="R905" s="78">
        <f>IF(P905="应付",COUNTIF(P$7:P905,"应付"),"")</f>
      </c>
      <c r="S905" s="78">
        <f>N(F905)-N(G905)</f>
        <v>0</v>
      </c>
    </row>
    <row r="906">
      <c r="A906" s="109">
        <f>IF(AND(F906="",G906=""),"",ROW()-6)</f>
      </c>
      <c r="B906" s="140" t="n"/>
      <c r="C906" s="141" t="n"/>
      <c r="D906" s="141" t="n"/>
      <c r="E906" s="142" t="n"/>
      <c r="F906" s="143" t="n"/>
      <c r="G906" s="144" t="n"/>
      <c r="H906" s="145">
        <f>IF(OR(C906="",AND(F906="",G906="")),"",SUMIF(基础资料!$W$5:$W$24,C906,基础资料!$X$5:$X$24)+SUMIF(C$7:C906,C906,F$7:F906)-SUMIF(C$7:C906,C906,G$7:G906))</f>
      </c>
      <c r="I906" s="145">
        <f>IF(AND(F906="",G906=""),"",SUM(基础资料!$X$5:$X$24)+SUM(F$7:F906)-SUM(G$7:G906))</f>
      </c>
      <c r="J906" s="141" t="n"/>
      <c r="K906" s="141" t="n"/>
      <c r="L906" s="141" t="n"/>
      <c r="M906" s="142" t="n"/>
      <c r="N906" s="146">
        <f>IF(AND(AND(F906="",G906=""),B906="",C906="",D906="",J906="",K906="",L906=""),"",IF(AND(F906="",G906=""),"✗ 没填金额",IF(AND(N(F906)&lt;&gt;0,N(G906)&lt;&gt;0),"✗ 收入、支出只能填一边",IF(NOT(ISNUMBER(B906)),"✗ 日期不是真日期（要像 2026/9/25 这样填）",IF(OR(B906&lt;年初日,B906&gt;年末日),"✗ 日期不在本会计年度",IF(C906="","✗ 没选账户",IF(COUNTIF(基础资料!$W$5:$W$24,C906)=0,"✗ 账户不在基础资料里",IF(O906="","✗ 没选收支项目",IF(P906="未知","✗ 收支项目不在基础资料里",IF(AND(P906="应收",J906=""),"✗ 这笔要选客户",IF(AND(P906="应收",COUNTIF(总览汇总!$B$5:$B$304,J906)=0),"✗ 客户不在总览汇总名单里",IF(AND(P906="应付",K906=""),"✗ 这笔要选供应商",IF(AND(P906="应付",COUNTIF(基础资料!$Q$5:$Q$54,K906)=0),"✗ 供应商不在基础资料里",IF(AND(P906="费用",L906=""),"✗ 费用支出要选费用项目",IF(AND(L906&lt;&gt;"",COUNTIF(基础资料!$AI$5:$AI$54,L906)=0),"✗ 费用项目不在基础资料里",IF(AND(IFERROR(INDEX(基础资料!$AD$5:$AD$34,MATCH(O906,基础资料!$AC$5:$AC$34,0)),"")="收",N(G906)&lt;&gt;0),"✗ 这类是收款，金额填到收入列",IF(AND(IFERROR(INDEX(基础资料!$AD$5:$AD$34,MATCH(O906,基础资料!$AC$5:$AC$34,0)),"")="支",N(F906)&lt;&gt;0),"✗ 这类是付款，金额填到支出列",IF(N(H906)&lt;0,"⚠ 账户余额成负数了，核对一下","√"))))))))))))))))))</f>
      </c>
      <c r="O906" s="78">
        <f>IF(D906&lt;&gt;"",D906,IF(AND(F906="",G906=""),"",IF(J906&lt;&gt;"",IF(N(F906)&gt;0,"客户回款","客户退款"),IF(K906&lt;&gt;"",IF(N(G906)&gt;0,"供应商付款","供应商退款"),IF(L906&lt;&gt;"","费用支出","")))))</f>
      </c>
      <c r="P906" s="78">
        <f>IF(O906="","",IFERROR(INDEX(基础资料!$AE$5:$AE$34,MATCH(O906,基础资料!$AC$5:$AC$34,0)),"未知"))</f>
      </c>
      <c r="Q906" s="78">
        <f>IF(P906="应收",COUNTIF(P$7:P906,"应收"),"")</f>
      </c>
      <c r="R906" s="78">
        <f>IF(P906="应付",COUNTIF(P$7:P906,"应付"),"")</f>
      </c>
      <c r="S906" s="78">
        <f>N(F906)-N(G906)</f>
        <v>0</v>
      </c>
    </row>
    <row r="907">
      <c r="A907" s="109">
        <f>IF(AND(F907="",G907=""),"",ROW()-6)</f>
      </c>
      <c r="B907" s="140" t="n"/>
      <c r="C907" s="141" t="n"/>
      <c r="D907" s="141" t="n"/>
      <c r="E907" s="142" t="n"/>
      <c r="F907" s="143" t="n"/>
      <c r="G907" s="144" t="n"/>
      <c r="H907" s="145">
        <f>IF(OR(C907="",AND(F907="",G907="")),"",SUMIF(基础资料!$W$5:$W$24,C907,基础资料!$X$5:$X$24)+SUMIF(C$7:C907,C907,F$7:F907)-SUMIF(C$7:C907,C907,G$7:G907))</f>
      </c>
      <c r="I907" s="145">
        <f>IF(AND(F907="",G907=""),"",SUM(基础资料!$X$5:$X$24)+SUM(F$7:F907)-SUM(G$7:G907))</f>
      </c>
      <c r="J907" s="141" t="n"/>
      <c r="K907" s="141" t="n"/>
      <c r="L907" s="141" t="n"/>
      <c r="M907" s="142" t="n"/>
      <c r="N907" s="146">
        <f>IF(AND(AND(F907="",G907=""),B907="",C907="",D907="",J907="",K907="",L907=""),"",IF(AND(F907="",G907=""),"✗ 没填金额",IF(AND(N(F907)&lt;&gt;0,N(G907)&lt;&gt;0),"✗ 收入、支出只能填一边",IF(NOT(ISNUMBER(B907)),"✗ 日期不是真日期（要像 2026/9/25 这样填）",IF(OR(B907&lt;年初日,B907&gt;年末日),"✗ 日期不在本会计年度",IF(C907="","✗ 没选账户",IF(COUNTIF(基础资料!$W$5:$W$24,C907)=0,"✗ 账户不在基础资料里",IF(O907="","✗ 没选收支项目",IF(P907="未知","✗ 收支项目不在基础资料里",IF(AND(P907="应收",J907=""),"✗ 这笔要选客户",IF(AND(P907="应收",COUNTIF(总览汇总!$B$5:$B$304,J907)=0),"✗ 客户不在总览汇总名单里",IF(AND(P907="应付",K907=""),"✗ 这笔要选供应商",IF(AND(P907="应付",COUNTIF(基础资料!$Q$5:$Q$54,K907)=0),"✗ 供应商不在基础资料里",IF(AND(P907="费用",L907=""),"✗ 费用支出要选费用项目",IF(AND(L907&lt;&gt;"",COUNTIF(基础资料!$AI$5:$AI$54,L907)=0),"✗ 费用项目不在基础资料里",IF(AND(IFERROR(INDEX(基础资料!$AD$5:$AD$34,MATCH(O907,基础资料!$AC$5:$AC$34,0)),"")="收",N(G907)&lt;&gt;0),"✗ 这类是收款，金额填到收入列",IF(AND(IFERROR(INDEX(基础资料!$AD$5:$AD$34,MATCH(O907,基础资料!$AC$5:$AC$34,0)),"")="支",N(F907)&lt;&gt;0),"✗ 这类是付款，金额填到支出列",IF(N(H907)&lt;0,"⚠ 账户余额成负数了，核对一下","√"))))))))))))))))))</f>
      </c>
      <c r="O907" s="78">
        <f>IF(D907&lt;&gt;"",D907,IF(AND(F907="",G907=""),"",IF(J907&lt;&gt;"",IF(N(F907)&gt;0,"客户回款","客户退款"),IF(K907&lt;&gt;"",IF(N(G907)&gt;0,"供应商付款","供应商退款"),IF(L907&lt;&gt;"","费用支出","")))))</f>
      </c>
      <c r="P907" s="78">
        <f>IF(O907="","",IFERROR(INDEX(基础资料!$AE$5:$AE$34,MATCH(O907,基础资料!$AC$5:$AC$34,0)),"未知"))</f>
      </c>
      <c r="Q907" s="78">
        <f>IF(P907="应收",COUNTIF(P$7:P907,"应收"),"")</f>
      </c>
      <c r="R907" s="78">
        <f>IF(P907="应付",COUNTIF(P$7:P907,"应付"),"")</f>
      </c>
      <c r="S907" s="78">
        <f>N(F907)-N(G907)</f>
        <v>0</v>
      </c>
    </row>
    <row r="908">
      <c r="A908" s="109">
        <f>IF(AND(F908="",G908=""),"",ROW()-6)</f>
      </c>
      <c r="B908" s="140" t="n"/>
      <c r="C908" s="141" t="n"/>
      <c r="D908" s="141" t="n"/>
      <c r="E908" s="142" t="n"/>
      <c r="F908" s="143" t="n"/>
      <c r="G908" s="144" t="n"/>
      <c r="H908" s="145">
        <f>IF(OR(C908="",AND(F908="",G908="")),"",SUMIF(基础资料!$W$5:$W$24,C908,基础资料!$X$5:$X$24)+SUMIF(C$7:C908,C908,F$7:F908)-SUMIF(C$7:C908,C908,G$7:G908))</f>
      </c>
      <c r="I908" s="145">
        <f>IF(AND(F908="",G908=""),"",SUM(基础资料!$X$5:$X$24)+SUM(F$7:F908)-SUM(G$7:G908))</f>
      </c>
      <c r="J908" s="141" t="n"/>
      <c r="K908" s="141" t="n"/>
      <c r="L908" s="141" t="n"/>
      <c r="M908" s="142" t="n"/>
      <c r="N908" s="146">
        <f>IF(AND(AND(F908="",G908=""),B908="",C908="",D908="",J908="",K908="",L908=""),"",IF(AND(F908="",G908=""),"✗ 没填金额",IF(AND(N(F908)&lt;&gt;0,N(G908)&lt;&gt;0),"✗ 收入、支出只能填一边",IF(NOT(ISNUMBER(B908)),"✗ 日期不是真日期（要像 2026/9/25 这样填）",IF(OR(B908&lt;年初日,B908&gt;年末日),"✗ 日期不在本会计年度",IF(C908="","✗ 没选账户",IF(COUNTIF(基础资料!$W$5:$W$24,C908)=0,"✗ 账户不在基础资料里",IF(O908="","✗ 没选收支项目",IF(P908="未知","✗ 收支项目不在基础资料里",IF(AND(P908="应收",J908=""),"✗ 这笔要选客户",IF(AND(P908="应收",COUNTIF(总览汇总!$B$5:$B$304,J908)=0),"✗ 客户不在总览汇总名单里",IF(AND(P908="应付",K908=""),"✗ 这笔要选供应商",IF(AND(P908="应付",COUNTIF(基础资料!$Q$5:$Q$54,K908)=0),"✗ 供应商不在基础资料里",IF(AND(P908="费用",L908=""),"✗ 费用支出要选费用项目",IF(AND(L908&lt;&gt;"",COUNTIF(基础资料!$AI$5:$AI$54,L908)=0),"✗ 费用项目不在基础资料里",IF(AND(IFERROR(INDEX(基础资料!$AD$5:$AD$34,MATCH(O908,基础资料!$AC$5:$AC$34,0)),"")="收",N(G908)&lt;&gt;0),"✗ 这类是收款，金额填到收入列",IF(AND(IFERROR(INDEX(基础资料!$AD$5:$AD$34,MATCH(O908,基础资料!$AC$5:$AC$34,0)),"")="支",N(F908)&lt;&gt;0),"✗ 这类是付款，金额填到支出列",IF(N(H908)&lt;0,"⚠ 账户余额成负数了，核对一下","√"))))))))))))))))))</f>
      </c>
      <c r="O908" s="78">
        <f>IF(D908&lt;&gt;"",D908,IF(AND(F908="",G908=""),"",IF(J908&lt;&gt;"",IF(N(F908)&gt;0,"客户回款","客户退款"),IF(K908&lt;&gt;"",IF(N(G908)&gt;0,"供应商付款","供应商退款"),IF(L908&lt;&gt;"","费用支出","")))))</f>
      </c>
      <c r="P908" s="78">
        <f>IF(O908="","",IFERROR(INDEX(基础资料!$AE$5:$AE$34,MATCH(O908,基础资料!$AC$5:$AC$34,0)),"未知"))</f>
      </c>
      <c r="Q908" s="78">
        <f>IF(P908="应收",COUNTIF(P$7:P908,"应收"),"")</f>
      </c>
      <c r="R908" s="78">
        <f>IF(P908="应付",COUNTIF(P$7:P908,"应付"),"")</f>
      </c>
      <c r="S908" s="78">
        <f>N(F908)-N(G908)</f>
        <v>0</v>
      </c>
    </row>
    <row r="909">
      <c r="A909" s="109">
        <f>IF(AND(F909="",G909=""),"",ROW()-6)</f>
      </c>
      <c r="B909" s="140" t="n"/>
      <c r="C909" s="141" t="n"/>
      <c r="D909" s="141" t="n"/>
      <c r="E909" s="142" t="n"/>
      <c r="F909" s="143" t="n"/>
      <c r="G909" s="144" t="n"/>
      <c r="H909" s="145">
        <f>IF(OR(C909="",AND(F909="",G909="")),"",SUMIF(基础资料!$W$5:$W$24,C909,基础资料!$X$5:$X$24)+SUMIF(C$7:C909,C909,F$7:F909)-SUMIF(C$7:C909,C909,G$7:G909))</f>
      </c>
      <c r="I909" s="145">
        <f>IF(AND(F909="",G909=""),"",SUM(基础资料!$X$5:$X$24)+SUM(F$7:F909)-SUM(G$7:G909))</f>
      </c>
      <c r="J909" s="141" t="n"/>
      <c r="K909" s="141" t="n"/>
      <c r="L909" s="141" t="n"/>
      <c r="M909" s="142" t="n"/>
      <c r="N909" s="146">
        <f>IF(AND(AND(F909="",G909=""),B909="",C909="",D909="",J909="",K909="",L909=""),"",IF(AND(F909="",G909=""),"✗ 没填金额",IF(AND(N(F909)&lt;&gt;0,N(G909)&lt;&gt;0),"✗ 收入、支出只能填一边",IF(NOT(ISNUMBER(B909)),"✗ 日期不是真日期（要像 2026/9/25 这样填）",IF(OR(B909&lt;年初日,B909&gt;年末日),"✗ 日期不在本会计年度",IF(C909="","✗ 没选账户",IF(COUNTIF(基础资料!$W$5:$W$24,C909)=0,"✗ 账户不在基础资料里",IF(O909="","✗ 没选收支项目",IF(P909="未知","✗ 收支项目不在基础资料里",IF(AND(P909="应收",J909=""),"✗ 这笔要选客户",IF(AND(P909="应收",COUNTIF(总览汇总!$B$5:$B$304,J909)=0),"✗ 客户不在总览汇总名单里",IF(AND(P909="应付",K909=""),"✗ 这笔要选供应商",IF(AND(P909="应付",COUNTIF(基础资料!$Q$5:$Q$54,K909)=0),"✗ 供应商不在基础资料里",IF(AND(P909="费用",L909=""),"✗ 费用支出要选费用项目",IF(AND(L909&lt;&gt;"",COUNTIF(基础资料!$AI$5:$AI$54,L909)=0),"✗ 费用项目不在基础资料里",IF(AND(IFERROR(INDEX(基础资料!$AD$5:$AD$34,MATCH(O909,基础资料!$AC$5:$AC$34,0)),"")="收",N(G909)&lt;&gt;0),"✗ 这类是收款，金额填到收入列",IF(AND(IFERROR(INDEX(基础资料!$AD$5:$AD$34,MATCH(O909,基础资料!$AC$5:$AC$34,0)),"")="支",N(F909)&lt;&gt;0),"✗ 这类是付款，金额填到支出列",IF(N(H909)&lt;0,"⚠ 账户余额成负数了，核对一下","√"))))))))))))))))))</f>
      </c>
      <c r="O909" s="78">
        <f>IF(D909&lt;&gt;"",D909,IF(AND(F909="",G909=""),"",IF(J909&lt;&gt;"",IF(N(F909)&gt;0,"客户回款","客户退款"),IF(K909&lt;&gt;"",IF(N(G909)&gt;0,"供应商付款","供应商退款"),IF(L909&lt;&gt;"","费用支出","")))))</f>
      </c>
      <c r="P909" s="78">
        <f>IF(O909="","",IFERROR(INDEX(基础资料!$AE$5:$AE$34,MATCH(O909,基础资料!$AC$5:$AC$34,0)),"未知"))</f>
      </c>
      <c r="Q909" s="78">
        <f>IF(P909="应收",COUNTIF(P$7:P909,"应收"),"")</f>
      </c>
      <c r="R909" s="78">
        <f>IF(P909="应付",COUNTIF(P$7:P909,"应付"),"")</f>
      </c>
      <c r="S909" s="78">
        <f>N(F909)-N(G909)</f>
        <v>0</v>
      </c>
    </row>
    <row r="910">
      <c r="A910" s="109">
        <f>IF(AND(F910="",G910=""),"",ROW()-6)</f>
      </c>
      <c r="B910" s="140" t="n"/>
      <c r="C910" s="141" t="n"/>
      <c r="D910" s="141" t="n"/>
      <c r="E910" s="142" t="n"/>
      <c r="F910" s="143" t="n"/>
      <c r="G910" s="144" t="n"/>
      <c r="H910" s="145">
        <f>IF(OR(C910="",AND(F910="",G910="")),"",SUMIF(基础资料!$W$5:$W$24,C910,基础资料!$X$5:$X$24)+SUMIF(C$7:C910,C910,F$7:F910)-SUMIF(C$7:C910,C910,G$7:G910))</f>
      </c>
      <c r="I910" s="145">
        <f>IF(AND(F910="",G910=""),"",SUM(基础资料!$X$5:$X$24)+SUM(F$7:F910)-SUM(G$7:G910))</f>
      </c>
      <c r="J910" s="141" t="n"/>
      <c r="K910" s="141" t="n"/>
      <c r="L910" s="141" t="n"/>
      <c r="M910" s="142" t="n"/>
      <c r="N910" s="146">
        <f>IF(AND(AND(F910="",G910=""),B910="",C910="",D910="",J910="",K910="",L910=""),"",IF(AND(F910="",G910=""),"✗ 没填金额",IF(AND(N(F910)&lt;&gt;0,N(G910)&lt;&gt;0),"✗ 收入、支出只能填一边",IF(NOT(ISNUMBER(B910)),"✗ 日期不是真日期（要像 2026/9/25 这样填）",IF(OR(B910&lt;年初日,B910&gt;年末日),"✗ 日期不在本会计年度",IF(C910="","✗ 没选账户",IF(COUNTIF(基础资料!$W$5:$W$24,C910)=0,"✗ 账户不在基础资料里",IF(O910="","✗ 没选收支项目",IF(P910="未知","✗ 收支项目不在基础资料里",IF(AND(P910="应收",J910=""),"✗ 这笔要选客户",IF(AND(P910="应收",COUNTIF(总览汇总!$B$5:$B$304,J910)=0),"✗ 客户不在总览汇总名单里",IF(AND(P910="应付",K910=""),"✗ 这笔要选供应商",IF(AND(P910="应付",COUNTIF(基础资料!$Q$5:$Q$54,K910)=0),"✗ 供应商不在基础资料里",IF(AND(P910="费用",L910=""),"✗ 费用支出要选费用项目",IF(AND(L910&lt;&gt;"",COUNTIF(基础资料!$AI$5:$AI$54,L910)=0),"✗ 费用项目不在基础资料里",IF(AND(IFERROR(INDEX(基础资料!$AD$5:$AD$34,MATCH(O910,基础资料!$AC$5:$AC$34,0)),"")="收",N(G910)&lt;&gt;0),"✗ 这类是收款，金额填到收入列",IF(AND(IFERROR(INDEX(基础资料!$AD$5:$AD$34,MATCH(O910,基础资料!$AC$5:$AC$34,0)),"")="支",N(F910)&lt;&gt;0),"✗ 这类是付款，金额填到支出列",IF(N(H910)&lt;0,"⚠ 账户余额成负数了，核对一下","√"))))))))))))))))))</f>
      </c>
      <c r="O910" s="78">
        <f>IF(D910&lt;&gt;"",D910,IF(AND(F910="",G910=""),"",IF(J910&lt;&gt;"",IF(N(F910)&gt;0,"客户回款","客户退款"),IF(K910&lt;&gt;"",IF(N(G910)&gt;0,"供应商付款","供应商退款"),IF(L910&lt;&gt;"","费用支出","")))))</f>
      </c>
      <c r="P910" s="78">
        <f>IF(O910="","",IFERROR(INDEX(基础资料!$AE$5:$AE$34,MATCH(O910,基础资料!$AC$5:$AC$34,0)),"未知"))</f>
      </c>
      <c r="Q910" s="78">
        <f>IF(P910="应收",COUNTIF(P$7:P910,"应收"),"")</f>
      </c>
      <c r="R910" s="78">
        <f>IF(P910="应付",COUNTIF(P$7:P910,"应付"),"")</f>
      </c>
      <c r="S910" s="78">
        <f>N(F910)-N(G910)</f>
        <v>0</v>
      </c>
    </row>
    <row r="911">
      <c r="A911" s="109">
        <f>IF(AND(F911="",G911=""),"",ROW()-6)</f>
      </c>
      <c r="B911" s="140" t="n"/>
      <c r="C911" s="141" t="n"/>
      <c r="D911" s="141" t="n"/>
      <c r="E911" s="142" t="n"/>
      <c r="F911" s="143" t="n"/>
      <c r="G911" s="144" t="n"/>
      <c r="H911" s="145">
        <f>IF(OR(C911="",AND(F911="",G911="")),"",SUMIF(基础资料!$W$5:$W$24,C911,基础资料!$X$5:$X$24)+SUMIF(C$7:C911,C911,F$7:F911)-SUMIF(C$7:C911,C911,G$7:G911))</f>
      </c>
      <c r="I911" s="145">
        <f>IF(AND(F911="",G911=""),"",SUM(基础资料!$X$5:$X$24)+SUM(F$7:F911)-SUM(G$7:G911))</f>
      </c>
      <c r="J911" s="141" t="n"/>
      <c r="K911" s="141" t="n"/>
      <c r="L911" s="141" t="n"/>
      <c r="M911" s="142" t="n"/>
      <c r="N911" s="146">
        <f>IF(AND(AND(F911="",G911=""),B911="",C911="",D911="",J911="",K911="",L911=""),"",IF(AND(F911="",G911=""),"✗ 没填金额",IF(AND(N(F911)&lt;&gt;0,N(G911)&lt;&gt;0),"✗ 收入、支出只能填一边",IF(NOT(ISNUMBER(B911)),"✗ 日期不是真日期（要像 2026/9/25 这样填）",IF(OR(B911&lt;年初日,B911&gt;年末日),"✗ 日期不在本会计年度",IF(C911="","✗ 没选账户",IF(COUNTIF(基础资料!$W$5:$W$24,C911)=0,"✗ 账户不在基础资料里",IF(O911="","✗ 没选收支项目",IF(P911="未知","✗ 收支项目不在基础资料里",IF(AND(P911="应收",J911=""),"✗ 这笔要选客户",IF(AND(P911="应收",COUNTIF(总览汇总!$B$5:$B$304,J911)=0),"✗ 客户不在总览汇总名单里",IF(AND(P911="应付",K911=""),"✗ 这笔要选供应商",IF(AND(P911="应付",COUNTIF(基础资料!$Q$5:$Q$54,K911)=0),"✗ 供应商不在基础资料里",IF(AND(P911="费用",L911=""),"✗ 费用支出要选费用项目",IF(AND(L911&lt;&gt;"",COUNTIF(基础资料!$AI$5:$AI$54,L911)=0),"✗ 费用项目不在基础资料里",IF(AND(IFERROR(INDEX(基础资料!$AD$5:$AD$34,MATCH(O911,基础资料!$AC$5:$AC$34,0)),"")="收",N(G911)&lt;&gt;0),"✗ 这类是收款，金额填到收入列",IF(AND(IFERROR(INDEX(基础资料!$AD$5:$AD$34,MATCH(O911,基础资料!$AC$5:$AC$34,0)),"")="支",N(F911)&lt;&gt;0),"✗ 这类是付款，金额填到支出列",IF(N(H911)&lt;0,"⚠ 账户余额成负数了，核对一下","√"))))))))))))))))))</f>
      </c>
      <c r="O911" s="78">
        <f>IF(D911&lt;&gt;"",D911,IF(AND(F911="",G911=""),"",IF(J911&lt;&gt;"",IF(N(F911)&gt;0,"客户回款","客户退款"),IF(K911&lt;&gt;"",IF(N(G911)&gt;0,"供应商付款","供应商退款"),IF(L911&lt;&gt;"","费用支出","")))))</f>
      </c>
      <c r="P911" s="78">
        <f>IF(O911="","",IFERROR(INDEX(基础资料!$AE$5:$AE$34,MATCH(O911,基础资料!$AC$5:$AC$34,0)),"未知"))</f>
      </c>
      <c r="Q911" s="78">
        <f>IF(P911="应收",COUNTIF(P$7:P911,"应收"),"")</f>
      </c>
      <c r="R911" s="78">
        <f>IF(P911="应付",COUNTIF(P$7:P911,"应付"),"")</f>
      </c>
      <c r="S911" s="78">
        <f>N(F911)-N(G911)</f>
        <v>0</v>
      </c>
    </row>
    <row r="912">
      <c r="A912" s="109">
        <f>IF(AND(F912="",G912=""),"",ROW()-6)</f>
      </c>
      <c r="B912" s="140" t="n"/>
      <c r="C912" s="141" t="n"/>
      <c r="D912" s="141" t="n"/>
      <c r="E912" s="142" t="n"/>
      <c r="F912" s="143" t="n"/>
      <c r="G912" s="144" t="n"/>
      <c r="H912" s="145">
        <f>IF(OR(C912="",AND(F912="",G912="")),"",SUMIF(基础资料!$W$5:$W$24,C912,基础资料!$X$5:$X$24)+SUMIF(C$7:C912,C912,F$7:F912)-SUMIF(C$7:C912,C912,G$7:G912))</f>
      </c>
      <c r="I912" s="145">
        <f>IF(AND(F912="",G912=""),"",SUM(基础资料!$X$5:$X$24)+SUM(F$7:F912)-SUM(G$7:G912))</f>
      </c>
      <c r="J912" s="141" t="n"/>
      <c r="K912" s="141" t="n"/>
      <c r="L912" s="141" t="n"/>
      <c r="M912" s="142" t="n"/>
      <c r="N912" s="146">
        <f>IF(AND(AND(F912="",G912=""),B912="",C912="",D912="",J912="",K912="",L912=""),"",IF(AND(F912="",G912=""),"✗ 没填金额",IF(AND(N(F912)&lt;&gt;0,N(G912)&lt;&gt;0),"✗ 收入、支出只能填一边",IF(NOT(ISNUMBER(B912)),"✗ 日期不是真日期（要像 2026/9/25 这样填）",IF(OR(B912&lt;年初日,B912&gt;年末日),"✗ 日期不在本会计年度",IF(C912="","✗ 没选账户",IF(COUNTIF(基础资料!$W$5:$W$24,C912)=0,"✗ 账户不在基础资料里",IF(O912="","✗ 没选收支项目",IF(P912="未知","✗ 收支项目不在基础资料里",IF(AND(P912="应收",J912=""),"✗ 这笔要选客户",IF(AND(P912="应收",COUNTIF(总览汇总!$B$5:$B$304,J912)=0),"✗ 客户不在总览汇总名单里",IF(AND(P912="应付",K912=""),"✗ 这笔要选供应商",IF(AND(P912="应付",COUNTIF(基础资料!$Q$5:$Q$54,K912)=0),"✗ 供应商不在基础资料里",IF(AND(P912="费用",L912=""),"✗ 费用支出要选费用项目",IF(AND(L912&lt;&gt;"",COUNTIF(基础资料!$AI$5:$AI$54,L912)=0),"✗ 费用项目不在基础资料里",IF(AND(IFERROR(INDEX(基础资料!$AD$5:$AD$34,MATCH(O912,基础资料!$AC$5:$AC$34,0)),"")="收",N(G912)&lt;&gt;0),"✗ 这类是收款，金额填到收入列",IF(AND(IFERROR(INDEX(基础资料!$AD$5:$AD$34,MATCH(O912,基础资料!$AC$5:$AC$34,0)),"")="支",N(F912)&lt;&gt;0),"✗ 这类是付款，金额填到支出列",IF(N(H912)&lt;0,"⚠ 账户余额成负数了，核对一下","√"))))))))))))))))))</f>
      </c>
      <c r="O912" s="78">
        <f>IF(D912&lt;&gt;"",D912,IF(AND(F912="",G912=""),"",IF(J912&lt;&gt;"",IF(N(F912)&gt;0,"客户回款","客户退款"),IF(K912&lt;&gt;"",IF(N(G912)&gt;0,"供应商付款","供应商退款"),IF(L912&lt;&gt;"","费用支出","")))))</f>
      </c>
      <c r="P912" s="78">
        <f>IF(O912="","",IFERROR(INDEX(基础资料!$AE$5:$AE$34,MATCH(O912,基础资料!$AC$5:$AC$34,0)),"未知"))</f>
      </c>
      <c r="Q912" s="78">
        <f>IF(P912="应收",COUNTIF(P$7:P912,"应收"),"")</f>
      </c>
      <c r="R912" s="78">
        <f>IF(P912="应付",COUNTIF(P$7:P912,"应付"),"")</f>
      </c>
      <c r="S912" s="78">
        <f>N(F912)-N(G912)</f>
        <v>0</v>
      </c>
    </row>
    <row r="913">
      <c r="A913" s="109">
        <f>IF(AND(F913="",G913=""),"",ROW()-6)</f>
      </c>
      <c r="B913" s="140" t="n"/>
      <c r="C913" s="141" t="n"/>
      <c r="D913" s="141" t="n"/>
      <c r="E913" s="142" t="n"/>
      <c r="F913" s="143" t="n"/>
      <c r="G913" s="144" t="n"/>
      <c r="H913" s="145">
        <f>IF(OR(C913="",AND(F913="",G913="")),"",SUMIF(基础资料!$W$5:$W$24,C913,基础资料!$X$5:$X$24)+SUMIF(C$7:C913,C913,F$7:F913)-SUMIF(C$7:C913,C913,G$7:G913))</f>
      </c>
      <c r="I913" s="145">
        <f>IF(AND(F913="",G913=""),"",SUM(基础资料!$X$5:$X$24)+SUM(F$7:F913)-SUM(G$7:G913))</f>
      </c>
      <c r="J913" s="141" t="n"/>
      <c r="K913" s="141" t="n"/>
      <c r="L913" s="141" t="n"/>
      <c r="M913" s="142" t="n"/>
      <c r="N913" s="146">
        <f>IF(AND(AND(F913="",G913=""),B913="",C913="",D913="",J913="",K913="",L913=""),"",IF(AND(F913="",G913=""),"✗ 没填金额",IF(AND(N(F913)&lt;&gt;0,N(G913)&lt;&gt;0),"✗ 收入、支出只能填一边",IF(NOT(ISNUMBER(B913)),"✗ 日期不是真日期（要像 2026/9/25 这样填）",IF(OR(B913&lt;年初日,B913&gt;年末日),"✗ 日期不在本会计年度",IF(C913="","✗ 没选账户",IF(COUNTIF(基础资料!$W$5:$W$24,C913)=0,"✗ 账户不在基础资料里",IF(O913="","✗ 没选收支项目",IF(P913="未知","✗ 收支项目不在基础资料里",IF(AND(P913="应收",J913=""),"✗ 这笔要选客户",IF(AND(P913="应收",COUNTIF(总览汇总!$B$5:$B$304,J913)=0),"✗ 客户不在总览汇总名单里",IF(AND(P913="应付",K913=""),"✗ 这笔要选供应商",IF(AND(P913="应付",COUNTIF(基础资料!$Q$5:$Q$54,K913)=0),"✗ 供应商不在基础资料里",IF(AND(P913="费用",L913=""),"✗ 费用支出要选费用项目",IF(AND(L913&lt;&gt;"",COUNTIF(基础资料!$AI$5:$AI$54,L913)=0),"✗ 费用项目不在基础资料里",IF(AND(IFERROR(INDEX(基础资料!$AD$5:$AD$34,MATCH(O913,基础资料!$AC$5:$AC$34,0)),"")="收",N(G913)&lt;&gt;0),"✗ 这类是收款，金额填到收入列",IF(AND(IFERROR(INDEX(基础资料!$AD$5:$AD$34,MATCH(O913,基础资料!$AC$5:$AC$34,0)),"")="支",N(F913)&lt;&gt;0),"✗ 这类是付款，金额填到支出列",IF(N(H913)&lt;0,"⚠ 账户余额成负数了，核对一下","√"))))))))))))))))))</f>
      </c>
      <c r="O913" s="78">
        <f>IF(D913&lt;&gt;"",D913,IF(AND(F913="",G913=""),"",IF(J913&lt;&gt;"",IF(N(F913)&gt;0,"客户回款","客户退款"),IF(K913&lt;&gt;"",IF(N(G913)&gt;0,"供应商付款","供应商退款"),IF(L913&lt;&gt;"","费用支出","")))))</f>
      </c>
      <c r="P913" s="78">
        <f>IF(O913="","",IFERROR(INDEX(基础资料!$AE$5:$AE$34,MATCH(O913,基础资料!$AC$5:$AC$34,0)),"未知"))</f>
      </c>
      <c r="Q913" s="78">
        <f>IF(P913="应收",COUNTIF(P$7:P913,"应收"),"")</f>
      </c>
      <c r="R913" s="78">
        <f>IF(P913="应付",COUNTIF(P$7:P913,"应付"),"")</f>
      </c>
      <c r="S913" s="78">
        <f>N(F913)-N(G913)</f>
        <v>0</v>
      </c>
    </row>
    <row r="914">
      <c r="A914" s="109">
        <f>IF(AND(F914="",G914=""),"",ROW()-6)</f>
      </c>
      <c r="B914" s="140" t="n"/>
      <c r="C914" s="141" t="n"/>
      <c r="D914" s="141" t="n"/>
      <c r="E914" s="142" t="n"/>
      <c r="F914" s="143" t="n"/>
      <c r="G914" s="144" t="n"/>
      <c r="H914" s="145">
        <f>IF(OR(C914="",AND(F914="",G914="")),"",SUMIF(基础资料!$W$5:$W$24,C914,基础资料!$X$5:$X$24)+SUMIF(C$7:C914,C914,F$7:F914)-SUMIF(C$7:C914,C914,G$7:G914))</f>
      </c>
      <c r="I914" s="145">
        <f>IF(AND(F914="",G914=""),"",SUM(基础资料!$X$5:$X$24)+SUM(F$7:F914)-SUM(G$7:G914))</f>
      </c>
      <c r="J914" s="141" t="n"/>
      <c r="K914" s="141" t="n"/>
      <c r="L914" s="141" t="n"/>
      <c r="M914" s="142" t="n"/>
      <c r="N914" s="146">
        <f>IF(AND(AND(F914="",G914=""),B914="",C914="",D914="",J914="",K914="",L914=""),"",IF(AND(F914="",G914=""),"✗ 没填金额",IF(AND(N(F914)&lt;&gt;0,N(G914)&lt;&gt;0),"✗ 收入、支出只能填一边",IF(NOT(ISNUMBER(B914)),"✗ 日期不是真日期（要像 2026/9/25 这样填）",IF(OR(B914&lt;年初日,B914&gt;年末日),"✗ 日期不在本会计年度",IF(C914="","✗ 没选账户",IF(COUNTIF(基础资料!$W$5:$W$24,C914)=0,"✗ 账户不在基础资料里",IF(O914="","✗ 没选收支项目",IF(P914="未知","✗ 收支项目不在基础资料里",IF(AND(P914="应收",J914=""),"✗ 这笔要选客户",IF(AND(P914="应收",COUNTIF(总览汇总!$B$5:$B$304,J914)=0),"✗ 客户不在总览汇总名单里",IF(AND(P914="应付",K914=""),"✗ 这笔要选供应商",IF(AND(P914="应付",COUNTIF(基础资料!$Q$5:$Q$54,K914)=0),"✗ 供应商不在基础资料里",IF(AND(P914="费用",L914=""),"✗ 费用支出要选费用项目",IF(AND(L914&lt;&gt;"",COUNTIF(基础资料!$AI$5:$AI$54,L914)=0),"✗ 费用项目不在基础资料里",IF(AND(IFERROR(INDEX(基础资料!$AD$5:$AD$34,MATCH(O914,基础资料!$AC$5:$AC$34,0)),"")="收",N(G914)&lt;&gt;0),"✗ 这类是收款，金额填到收入列",IF(AND(IFERROR(INDEX(基础资料!$AD$5:$AD$34,MATCH(O914,基础资料!$AC$5:$AC$34,0)),"")="支",N(F914)&lt;&gt;0),"✗ 这类是付款，金额填到支出列",IF(N(H914)&lt;0,"⚠ 账户余额成负数了，核对一下","√"))))))))))))))))))</f>
      </c>
      <c r="O914" s="78">
        <f>IF(D914&lt;&gt;"",D914,IF(AND(F914="",G914=""),"",IF(J914&lt;&gt;"",IF(N(F914)&gt;0,"客户回款","客户退款"),IF(K914&lt;&gt;"",IF(N(G914)&gt;0,"供应商付款","供应商退款"),IF(L914&lt;&gt;"","费用支出","")))))</f>
      </c>
      <c r="P914" s="78">
        <f>IF(O914="","",IFERROR(INDEX(基础资料!$AE$5:$AE$34,MATCH(O914,基础资料!$AC$5:$AC$34,0)),"未知"))</f>
      </c>
      <c r="Q914" s="78">
        <f>IF(P914="应收",COUNTIF(P$7:P914,"应收"),"")</f>
      </c>
      <c r="R914" s="78">
        <f>IF(P914="应付",COUNTIF(P$7:P914,"应付"),"")</f>
      </c>
      <c r="S914" s="78">
        <f>N(F914)-N(G914)</f>
        <v>0</v>
      </c>
    </row>
    <row r="915">
      <c r="A915" s="109">
        <f>IF(AND(F915="",G915=""),"",ROW()-6)</f>
      </c>
      <c r="B915" s="140" t="n"/>
      <c r="C915" s="141" t="n"/>
      <c r="D915" s="141" t="n"/>
      <c r="E915" s="142" t="n"/>
      <c r="F915" s="143" t="n"/>
      <c r="G915" s="144" t="n"/>
      <c r="H915" s="145">
        <f>IF(OR(C915="",AND(F915="",G915="")),"",SUMIF(基础资料!$W$5:$W$24,C915,基础资料!$X$5:$X$24)+SUMIF(C$7:C915,C915,F$7:F915)-SUMIF(C$7:C915,C915,G$7:G915))</f>
      </c>
      <c r="I915" s="145">
        <f>IF(AND(F915="",G915=""),"",SUM(基础资料!$X$5:$X$24)+SUM(F$7:F915)-SUM(G$7:G915))</f>
      </c>
      <c r="J915" s="141" t="n"/>
      <c r="K915" s="141" t="n"/>
      <c r="L915" s="141" t="n"/>
      <c r="M915" s="142" t="n"/>
      <c r="N915" s="146">
        <f>IF(AND(AND(F915="",G915=""),B915="",C915="",D915="",J915="",K915="",L915=""),"",IF(AND(F915="",G915=""),"✗ 没填金额",IF(AND(N(F915)&lt;&gt;0,N(G915)&lt;&gt;0),"✗ 收入、支出只能填一边",IF(NOT(ISNUMBER(B915)),"✗ 日期不是真日期（要像 2026/9/25 这样填）",IF(OR(B915&lt;年初日,B915&gt;年末日),"✗ 日期不在本会计年度",IF(C915="","✗ 没选账户",IF(COUNTIF(基础资料!$W$5:$W$24,C915)=0,"✗ 账户不在基础资料里",IF(O915="","✗ 没选收支项目",IF(P915="未知","✗ 收支项目不在基础资料里",IF(AND(P915="应收",J915=""),"✗ 这笔要选客户",IF(AND(P915="应收",COUNTIF(总览汇总!$B$5:$B$304,J915)=0),"✗ 客户不在总览汇总名单里",IF(AND(P915="应付",K915=""),"✗ 这笔要选供应商",IF(AND(P915="应付",COUNTIF(基础资料!$Q$5:$Q$54,K915)=0),"✗ 供应商不在基础资料里",IF(AND(P915="费用",L915=""),"✗ 费用支出要选费用项目",IF(AND(L915&lt;&gt;"",COUNTIF(基础资料!$AI$5:$AI$54,L915)=0),"✗ 费用项目不在基础资料里",IF(AND(IFERROR(INDEX(基础资料!$AD$5:$AD$34,MATCH(O915,基础资料!$AC$5:$AC$34,0)),"")="收",N(G915)&lt;&gt;0),"✗ 这类是收款，金额填到收入列",IF(AND(IFERROR(INDEX(基础资料!$AD$5:$AD$34,MATCH(O915,基础资料!$AC$5:$AC$34,0)),"")="支",N(F915)&lt;&gt;0),"✗ 这类是付款，金额填到支出列",IF(N(H915)&lt;0,"⚠ 账户余额成负数了，核对一下","√"))))))))))))))))))</f>
      </c>
      <c r="O915" s="78">
        <f>IF(D915&lt;&gt;"",D915,IF(AND(F915="",G915=""),"",IF(J915&lt;&gt;"",IF(N(F915)&gt;0,"客户回款","客户退款"),IF(K915&lt;&gt;"",IF(N(G915)&gt;0,"供应商付款","供应商退款"),IF(L915&lt;&gt;"","费用支出","")))))</f>
      </c>
      <c r="P915" s="78">
        <f>IF(O915="","",IFERROR(INDEX(基础资料!$AE$5:$AE$34,MATCH(O915,基础资料!$AC$5:$AC$34,0)),"未知"))</f>
      </c>
      <c r="Q915" s="78">
        <f>IF(P915="应收",COUNTIF(P$7:P915,"应收"),"")</f>
      </c>
      <c r="R915" s="78">
        <f>IF(P915="应付",COUNTIF(P$7:P915,"应付"),"")</f>
      </c>
      <c r="S915" s="78">
        <f>N(F915)-N(G915)</f>
        <v>0</v>
      </c>
    </row>
    <row r="916">
      <c r="A916" s="109">
        <f>IF(AND(F916="",G916=""),"",ROW()-6)</f>
      </c>
      <c r="B916" s="140" t="n"/>
      <c r="C916" s="141" t="n"/>
      <c r="D916" s="141" t="n"/>
      <c r="E916" s="142" t="n"/>
      <c r="F916" s="143" t="n"/>
      <c r="G916" s="144" t="n"/>
      <c r="H916" s="145">
        <f>IF(OR(C916="",AND(F916="",G916="")),"",SUMIF(基础资料!$W$5:$W$24,C916,基础资料!$X$5:$X$24)+SUMIF(C$7:C916,C916,F$7:F916)-SUMIF(C$7:C916,C916,G$7:G916))</f>
      </c>
      <c r="I916" s="145">
        <f>IF(AND(F916="",G916=""),"",SUM(基础资料!$X$5:$X$24)+SUM(F$7:F916)-SUM(G$7:G916))</f>
      </c>
      <c r="J916" s="141" t="n"/>
      <c r="K916" s="141" t="n"/>
      <c r="L916" s="141" t="n"/>
      <c r="M916" s="142" t="n"/>
      <c r="N916" s="146">
        <f>IF(AND(AND(F916="",G916=""),B916="",C916="",D916="",J916="",K916="",L916=""),"",IF(AND(F916="",G916=""),"✗ 没填金额",IF(AND(N(F916)&lt;&gt;0,N(G916)&lt;&gt;0),"✗ 收入、支出只能填一边",IF(NOT(ISNUMBER(B916)),"✗ 日期不是真日期（要像 2026/9/25 这样填）",IF(OR(B916&lt;年初日,B916&gt;年末日),"✗ 日期不在本会计年度",IF(C916="","✗ 没选账户",IF(COUNTIF(基础资料!$W$5:$W$24,C916)=0,"✗ 账户不在基础资料里",IF(O916="","✗ 没选收支项目",IF(P916="未知","✗ 收支项目不在基础资料里",IF(AND(P916="应收",J916=""),"✗ 这笔要选客户",IF(AND(P916="应收",COUNTIF(总览汇总!$B$5:$B$304,J916)=0),"✗ 客户不在总览汇总名单里",IF(AND(P916="应付",K916=""),"✗ 这笔要选供应商",IF(AND(P916="应付",COUNTIF(基础资料!$Q$5:$Q$54,K916)=0),"✗ 供应商不在基础资料里",IF(AND(P916="费用",L916=""),"✗ 费用支出要选费用项目",IF(AND(L916&lt;&gt;"",COUNTIF(基础资料!$AI$5:$AI$54,L916)=0),"✗ 费用项目不在基础资料里",IF(AND(IFERROR(INDEX(基础资料!$AD$5:$AD$34,MATCH(O916,基础资料!$AC$5:$AC$34,0)),"")="收",N(G916)&lt;&gt;0),"✗ 这类是收款，金额填到收入列",IF(AND(IFERROR(INDEX(基础资料!$AD$5:$AD$34,MATCH(O916,基础资料!$AC$5:$AC$34,0)),"")="支",N(F916)&lt;&gt;0),"✗ 这类是付款，金额填到支出列",IF(N(H916)&lt;0,"⚠ 账户余额成负数了，核对一下","√"))))))))))))))))))</f>
      </c>
      <c r="O916" s="78">
        <f>IF(D916&lt;&gt;"",D916,IF(AND(F916="",G916=""),"",IF(J916&lt;&gt;"",IF(N(F916)&gt;0,"客户回款","客户退款"),IF(K916&lt;&gt;"",IF(N(G916)&gt;0,"供应商付款","供应商退款"),IF(L916&lt;&gt;"","费用支出","")))))</f>
      </c>
      <c r="P916" s="78">
        <f>IF(O916="","",IFERROR(INDEX(基础资料!$AE$5:$AE$34,MATCH(O916,基础资料!$AC$5:$AC$34,0)),"未知"))</f>
      </c>
      <c r="Q916" s="78">
        <f>IF(P916="应收",COUNTIF(P$7:P916,"应收"),"")</f>
      </c>
      <c r="R916" s="78">
        <f>IF(P916="应付",COUNTIF(P$7:P916,"应付"),"")</f>
      </c>
      <c r="S916" s="78">
        <f>N(F916)-N(G916)</f>
        <v>0</v>
      </c>
    </row>
    <row r="917">
      <c r="A917" s="109">
        <f>IF(AND(F917="",G917=""),"",ROW()-6)</f>
      </c>
      <c r="B917" s="140" t="n"/>
      <c r="C917" s="141" t="n"/>
      <c r="D917" s="141" t="n"/>
      <c r="E917" s="142" t="n"/>
      <c r="F917" s="143" t="n"/>
      <c r="G917" s="144" t="n"/>
      <c r="H917" s="145">
        <f>IF(OR(C917="",AND(F917="",G917="")),"",SUMIF(基础资料!$W$5:$W$24,C917,基础资料!$X$5:$X$24)+SUMIF(C$7:C917,C917,F$7:F917)-SUMIF(C$7:C917,C917,G$7:G917))</f>
      </c>
      <c r="I917" s="145">
        <f>IF(AND(F917="",G917=""),"",SUM(基础资料!$X$5:$X$24)+SUM(F$7:F917)-SUM(G$7:G917))</f>
      </c>
      <c r="J917" s="141" t="n"/>
      <c r="K917" s="141" t="n"/>
      <c r="L917" s="141" t="n"/>
      <c r="M917" s="142" t="n"/>
      <c r="N917" s="146">
        <f>IF(AND(AND(F917="",G917=""),B917="",C917="",D917="",J917="",K917="",L917=""),"",IF(AND(F917="",G917=""),"✗ 没填金额",IF(AND(N(F917)&lt;&gt;0,N(G917)&lt;&gt;0),"✗ 收入、支出只能填一边",IF(NOT(ISNUMBER(B917)),"✗ 日期不是真日期（要像 2026/9/25 这样填）",IF(OR(B917&lt;年初日,B917&gt;年末日),"✗ 日期不在本会计年度",IF(C917="","✗ 没选账户",IF(COUNTIF(基础资料!$W$5:$W$24,C917)=0,"✗ 账户不在基础资料里",IF(O917="","✗ 没选收支项目",IF(P917="未知","✗ 收支项目不在基础资料里",IF(AND(P917="应收",J917=""),"✗ 这笔要选客户",IF(AND(P917="应收",COUNTIF(总览汇总!$B$5:$B$304,J917)=0),"✗ 客户不在总览汇总名单里",IF(AND(P917="应付",K917=""),"✗ 这笔要选供应商",IF(AND(P917="应付",COUNTIF(基础资料!$Q$5:$Q$54,K917)=0),"✗ 供应商不在基础资料里",IF(AND(P917="费用",L917=""),"✗ 费用支出要选费用项目",IF(AND(L917&lt;&gt;"",COUNTIF(基础资料!$AI$5:$AI$54,L917)=0),"✗ 费用项目不在基础资料里",IF(AND(IFERROR(INDEX(基础资料!$AD$5:$AD$34,MATCH(O917,基础资料!$AC$5:$AC$34,0)),"")="收",N(G917)&lt;&gt;0),"✗ 这类是收款，金额填到收入列",IF(AND(IFERROR(INDEX(基础资料!$AD$5:$AD$34,MATCH(O917,基础资料!$AC$5:$AC$34,0)),"")="支",N(F917)&lt;&gt;0),"✗ 这类是付款，金额填到支出列",IF(N(H917)&lt;0,"⚠ 账户余额成负数了，核对一下","√"))))))))))))))))))</f>
      </c>
      <c r="O917" s="78">
        <f>IF(D917&lt;&gt;"",D917,IF(AND(F917="",G917=""),"",IF(J917&lt;&gt;"",IF(N(F917)&gt;0,"客户回款","客户退款"),IF(K917&lt;&gt;"",IF(N(G917)&gt;0,"供应商付款","供应商退款"),IF(L917&lt;&gt;"","费用支出","")))))</f>
      </c>
      <c r="P917" s="78">
        <f>IF(O917="","",IFERROR(INDEX(基础资料!$AE$5:$AE$34,MATCH(O917,基础资料!$AC$5:$AC$34,0)),"未知"))</f>
      </c>
      <c r="Q917" s="78">
        <f>IF(P917="应收",COUNTIF(P$7:P917,"应收"),"")</f>
      </c>
      <c r="R917" s="78">
        <f>IF(P917="应付",COUNTIF(P$7:P917,"应付"),"")</f>
      </c>
      <c r="S917" s="78">
        <f>N(F917)-N(G917)</f>
        <v>0</v>
      </c>
    </row>
    <row r="918">
      <c r="A918" s="109">
        <f>IF(AND(F918="",G918=""),"",ROW()-6)</f>
      </c>
      <c r="B918" s="140" t="n"/>
      <c r="C918" s="141" t="n"/>
      <c r="D918" s="141" t="n"/>
      <c r="E918" s="142" t="n"/>
      <c r="F918" s="143" t="n"/>
      <c r="G918" s="144" t="n"/>
      <c r="H918" s="145">
        <f>IF(OR(C918="",AND(F918="",G918="")),"",SUMIF(基础资料!$W$5:$W$24,C918,基础资料!$X$5:$X$24)+SUMIF(C$7:C918,C918,F$7:F918)-SUMIF(C$7:C918,C918,G$7:G918))</f>
      </c>
      <c r="I918" s="145">
        <f>IF(AND(F918="",G918=""),"",SUM(基础资料!$X$5:$X$24)+SUM(F$7:F918)-SUM(G$7:G918))</f>
      </c>
      <c r="J918" s="141" t="n"/>
      <c r="K918" s="141" t="n"/>
      <c r="L918" s="141" t="n"/>
      <c r="M918" s="142" t="n"/>
      <c r="N918" s="146">
        <f>IF(AND(AND(F918="",G918=""),B918="",C918="",D918="",J918="",K918="",L918=""),"",IF(AND(F918="",G918=""),"✗ 没填金额",IF(AND(N(F918)&lt;&gt;0,N(G918)&lt;&gt;0),"✗ 收入、支出只能填一边",IF(NOT(ISNUMBER(B918)),"✗ 日期不是真日期（要像 2026/9/25 这样填）",IF(OR(B918&lt;年初日,B918&gt;年末日),"✗ 日期不在本会计年度",IF(C918="","✗ 没选账户",IF(COUNTIF(基础资料!$W$5:$W$24,C918)=0,"✗ 账户不在基础资料里",IF(O918="","✗ 没选收支项目",IF(P918="未知","✗ 收支项目不在基础资料里",IF(AND(P918="应收",J918=""),"✗ 这笔要选客户",IF(AND(P918="应收",COUNTIF(总览汇总!$B$5:$B$304,J918)=0),"✗ 客户不在总览汇总名单里",IF(AND(P918="应付",K918=""),"✗ 这笔要选供应商",IF(AND(P918="应付",COUNTIF(基础资料!$Q$5:$Q$54,K918)=0),"✗ 供应商不在基础资料里",IF(AND(P918="费用",L918=""),"✗ 费用支出要选费用项目",IF(AND(L918&lt;&gt;"",COUNTIF(基础资料!$AI$5:$AI$54,L918)=0),"✗ 费用项目不在基础资料里",IF(AND(IFERROR(INDEX(基础资料!$AD$5:$AD$34,MATCH(O918,基础资料!$AC$5:$AC$34,0)),"")="收",N(G918)&lt;&gt;0),"✗ 这类是收款，金额填到收入列",IF(AND(IFERROR(INDEX(基础资料!$AD$5:$AD$34,MATCH(O918,基础资料!$AC$5:$AC$34,0)),"")="支",N(F918)&lt;&gt;0),"✗ 这类是付款，金额填到支出列",IF(N(H918)&lt;0,"⚠ 账户余额成负数了，核对一下","√"))))))))))))))))))</f>
      </c>
      <c r="O918" s="78">
        <f>IF(D918&lt;&gt;"",D918,IF(AND(F918="",G918=""),"",IF(J918&lt;&gt;"",IF(N(F918)&gt;0,"客户回款","客户退款"),IF(K918&lt;&gt;"",IF(N(G918)&gt;0,"供应商付款","供应商退款"),IF(L918&lt;&gt;"","费用支出","")))))</f>
      </c>
      <c r="P918" s="78">
        <f>IF(O918="","",IFERROR(INDEX(基础资料!$AE$5:$AE$34,MATCH(O918,基础资料!$AC$5:$AC$34,0)),"未知"))</f>
      </c>
      <c r="Q918" s="78">
        <f>IF(P918="应收",COUNTIF(P$7:P918,"应收"),"")</f>
      </c>
      <c r="R918" s="78">
        <f>IF(P918="应付",COUNTIF(P$7:P918,"应付"),"")</f>
      </c>
      <c r="S918" s="78">
        <f>N(F918)-N(G918)</f>
        <v>0</v>
      </c>
    </row>
    <row r="919">
      <c r="A919" s="109">
        <f>IF(AND(F919="",G919=""),"",ROW()-6)</f>
      </c>
      <c r="B919" s="140" t="n"/>
      <c r="C919" s="141" t="n"/>
      <c r="D919" s="141" t="n"/>
      <c r="E919" s="142" t="n"/>
      <c r="F919" s="143" t="n"/>
      <c r="G919" s="144" t="n"/>
      <c r="H919" s="145">
        <f>IF(OR(C919="",AND(F919="",G919="")),"",SUMIF(基础资料!$W$5:$W$24,C919,基础资料!$X$5:$X$24)+SUMIF(C$7:C919,C919,F$7:F919)-SUMIF(C$7:C919,C919,G$7:G919))</f>
      </c>
      <c r="I919" s="145">
        <f>IF(AND(F919="",G919=""),"",SUM(基础资料!$X$5:$X$24)+SUM(F$7:F919)-SUM(G$7:G919))</f>
      </c>
      <c r="J919" s="141" t="n"/>
      <c r="K919" s="141" t="n"/>
      <c r="L919" s="141" t="n"/>
      <c r="M919" s="142" t="n"/>
      <c r="N919" s="146">
        <f>IF(AND(AND(F919="",G919=""),B919="",C919="",D919="",J919="",K919="",L919=""),"",IF(AND(F919="",G919=""),"✗ 没填金额",IF(AND(N(F919)&lt;&gt;0,N(G919)&lt;&gt;0),"✗ 收入、支出只能填一边",IF(NOT(ISNUMBER(B919)),"✗ 日期不是真日期（要像 2026/9/25 这样填）",IF(OR(B919&lt;年初日,B919&gt;年末日),"✗ 日期不在本会计年度",IF(C919="","✗ 没选账户",IF(COUNTIF(基础资料!$W$5:$W$24,C919)=0,"✗ 账户不在基础资料里",IF(O919="","✗ 没选收支项目",IF(P919="未知","✗ 收支项目不在基础资料里",IF(AND(P919="应收",J919=""),"✗ 这笔要选客户",IF(AND(P919="应收",COUNTIF(总览汇总!$B$5:$B$304,J919)=0),"✗ 客户不在总览汇总名单里",IF(AND(P919="应付",K919=""),"✗ 这笔要选供应商",IF(AND(P919="应付",COUNTIF(基础资料!$Q$5:$Q$54,K919)=0),"✗ 供应商不在基础资料里",IF(AND(P919="费用",L919=""),"✗ 费用支出要选费用项目",IF(AND(L919&lt;&gt;"",COUNTIF(基础资料!$AI$5:$AI$54,L919)=0),"✗ 费用项目不在基础资料里",IF(AND(IFERROR(INDEX(基础资料!$AD$5:$AD$34,MATCH(O919,基础资料!$AC$5:$AC$34,0)),"")="收",N(G919)&lt;&gt;0),"✗ 这类是收款，金额填到收入列",IF(AND(IFERROR(INDEX(基础资料!$AD$5:$AD$34,MATCH(O919,基础资料!$AC$5:$AC$34,0)),"")="支",N(F919)&lt;&gt;0),"✗ 这类是付款，金额填到支出列",IF(N(H919)&lt;0,"⚠ 账户余额成负数了，核对一下","√"))))))))))))))))))</f>
      </c>
      <c r="O919" s="78">
        <f>IF(D919&lt;&gt;"",D919,IF(AND(F919="",G919=""),"",IF(J919&lt;&gt;"",IF(N(F919)&gt;0,"客户回款","客户退款"),IF(K919&lt;&gt;"",IF(N(G919)&gt;0,"供应商付款","供应商退款"),IF(L919&lt;&gt;"","费用支出","")))))</f>
      </c>
      <c r="P919" s="78">
        <f>IF(O919="","",IFERROR(INDEX(基础资料!$AE$5:$AE$34,MATCH(O919,基础资料!$AC$5:$AC$34,0)),"未知"))</f>
      </c>
      <c r="Q919" s="78">
        <f>IF(P919="应收",COUNTIF(P$7:P919,"应收"),"")</f>
      </c>
      <c r="R919" s="78">
        <f>IF(P919="应付",COUNTIF(P$7:P919,"应付"),"")</f>
      </c>
      <c r="S919" s="78">
        <f>N(F919)-N(G919)</f>
        <v>0</v>
      </c>
    </row>
    <row r="920">
      <c r="A920" s="109">
        <f>IF(AND(F920="",G920=""),"",ROW()-6)</f>
      </c>
      <c r="B920" s="140" t="n"/>
      <c r="C920" s="141" t="n"/>
      <c r="D920" s="141" t="n"/>
      <c r="E920" s="142" t="n"/>
      <c r="F920" s="143" t="n"/>
      <c r="G920" s="144" t="n"/>
      <c r="H920" s="145">
        <f>IF(OR(C920="",AND(F920="",G920="")),"",SUMIF(基础资料!$W$5:$W$24,C920,基础资料!$X$5:$X$24)+SUMIF(C$7:C920,C920,F$7:F920)-SUMIF(C$7:C920,C920,G$7:G920))</f>
      </c>
      <c r="I920" s="145">
        <f>IF(AND(F920="",G920=""),"",SUM(基础资料!$X$5:$X$24)+SUM(F$7:F920)-SUM(G$7:G920))</f>
      </c>
      <c r="J920" s="141" t="n"/>
      <c r="K920" s="141" t="n"/>
      <c r="L920" s="141" t="n"/>
      <c r="M920" s="142" t="n"/>
      <c r="N920" s="146">
        <f>IF(AND(AND(F920="",G920=""),B920="",C920="",D920="",J920="",K920="",L920=""),"",IF(AND(F920="",G920=""),"✗ 没填金额",IF(AND(N(F920)&lt;&gt;0,N(G920)&lt;&gt;0),"✗ 收入、支出只能填一边",IF(NOT(ISNUMBER(B920)),"✗ 日期不是真日期（要像 2026/9/25 这样填）",IF(OR(B920&lt;年初日,B920&gt;年末日),"✗ 日期不在本会计年度",IF(C920="","✗ 没选账户",IF(COUNTIF(基础资料!$W$5:$W$24,C920)=0,"✗ 账户不在基础资料里",IF(O920="","✗ 没选收支项目",IF(P920="未知","✗ 收支项目不在基础资料里",IF(AND(P920="应收",J920=""),"✗ 这笔要选客户",IF(AND(P920="应收",COUNTIF(总览汇总!$B$5:$B$304,J920)=0),"✗ 客户不在总览汇总名单里",IF(AND(P920="应付",K920=""),"✗ 这笔要选供应商",IF(AND(P920="应付",COUNTIF(基础资料!$Q$5:$Q$54,K920)=0),"✗ 供应商不在基础资料里",IF(AND(P920="费用",L920=""),"✗ 费用支出要选费用项目",IF(AND(L920&lt;&gt;"",COUNTIF(基础资料!$AI$5:$AI$54,L920)=0),"✗ 费用项目不在基础资料里",IF(AND(IFERROR(INDEX(基础资料!$AD$5:$AD$34,MATCH(O920,基础资料!$AC$5:$AC$34,0)),"")="收",N(G920)&lt;&gt;0),"✗ 这类是收款，金额填到收入列",IF(AND(IFERROR(INDEX(基础资料!$AD$5:$AD$34,MATCH(O920,基础资料!$AC$5:$AC$34,0)),"")="支",N(F920)&lt;&gt;0),"✗ 这类是付款，金额填到支出列",IF(N(H920)&lt;0,"⚠ 账户余额成负数了，核对一下","√"))))))))))))))))))</f>
      </c>
      <c r="O920" s="78">
        <f>IF(D920&lt;&gt;"",D920,IF(AND(F920="",G920=""),"",IF(J920&lt;&gt;"",IF(N(F920)&gt;0,"客户回款","客户退款"),IF(K920&lt;&gt;"",IF(N(G920)&gt;0,"供应商付款","供应商退款"),IF(L920&lt;&gt;"","费用支出","")))))</f>
      </c>
      <c r="P920" s="78">
        <f>IF(O920="","",IFERROR(INDEX(基础资料!$AE$5:$AE$34,MATCH(O920,基础资料!$AC$5:$AC$34,0)),"未知"))</f>
      </c>
      <c r="Q920" s="78">
        <f>IF(P920="应收",COUNTIF(P$7:P920,"应收"),"")</f>
      </c>
      <c r="R920" s="78">
        <f>IF(P920="应付",COUNTIF(P$7:P920,"应付"),"")</f>
      </c>
      <c r="S920" s="78">
        <f>N(F920)-N(G920)</f>
        <v>0</v>
      </c>
    </row>
    <row r="921">
      <c r="A921" s="109">
        <f>IF(AND(F921="",G921=""),"",ROW()-6)</f>
      </c>
      <c r="B921" s="140" t="n"/>
      <c r="C921" s="141" t="n"/>
      <c r="D921" s="141" t="n"/>
      <c r="E921" s="142" t="n"/>
      <c r="F921" s="143" t="n"/>
      <c r="G921" s="144" t="n"/>
      <c r="H921" s="145">
        <f>IF(OR(C921="",AND(F921="",G921="")),"",SUMIF(基础资料!$W$5:$W$24,C921,基础资料!$X$5:$X$24)+SUMIF(C$7:C921,C921,F$7:F921)-SUMIF(C$7:C921,C921,G$7:G921))</f>
      </c>
      <c r="I921" s="145">
        <f>IF(AND(F921="",G921=""),"",SUM(基础资料!$X$5:$X$24)+SUM(F$7:F921)-SUM(G$7:G921))</f>
      </c>
      <c r="J921" s="141" t="n"/>
      <c r="K921" s="141" t="n"/>
      <c r="L921" s="141" t="n"/>
      <c r="M921" s="142" t="n"/>
      <c r="N921" s="146">
        <f>IF(AND(AND(F921="",G921=""),B921="",C921="",D921="",J921="",K921="",L921=""),"",IF(AND(F921="",G921=""),"✗ 没填金额",IF(AND(N(F921)&lt;&gt;0,N(G921)&lt;&gt;0),"✗ 收入、支出只能填一边",IF(NOT(ISNUMBER(B921)),"✗ 日期不是真日期（要像 2026/9/25 这样填）",IF(OR(B921&lt;年初日,B921&gt;年末日),"✗ 日期不在本会计年度",IF(C921="","✗ 没选账户",IF(COUNTIF(基础资料!$W$5:$W$24,C921)=0,"✗ 账户不在基础资料里",IF(O921="","✗ 没选收支项目",IF(P921="未知","✗ 收支项目不在基础资料里",IF(AND(P921="应收",J921=""),"✗ 这笔要选客户",IF(AND(P921="应收",COUNTIF(总览汇总!$B$5:$B$304,J921)=0),"✗ 客户不在总览汇总名单里",IF(AND(P921="应付",K921=""),"✗ 这笔要选供应商",IF(AND(P921="应付",COUNTIF(基础资料!$Q$5:$Q$54,K921)=0),"✗ 供应商不在基础资料里",IF(AND(P921="费用",L921=""),"✗ 费用支出要选费用项目",IF(AND(L921&lt;&gt;"",COUNTIF(基础资料!$AI$5:$AI$54,L921)=0),"✗ 费用项目不在基础资料里",IF(AND(IFERROR(INDEX(基础资料!$AD$5:$AD$34,MATCH(O921,基础资料!$AC$5:$AC$34,0)),"")="收",N(G921)&lt;&gt;0),"✗ 这类是收款，金额填到收入列",IF(AND(IFERROR(INDEX(基础资料!$AD$5:$AD$34,MATCH(O921,基础资料!$AC$5:$AC$34,0)),"")="支",N(F921)&lt;&gt;0),"✗ 这类是付款，金额填到支出列",IF(N(H921)&lt;0,"⚠ 账户余额成负数了，核对一下","√"))))))))))))))))))</f>
      </c>
      <c r="O921" s="78">
        <f>IF(D921&lt;&gt;"",D921,IF(AND(F921="",G921=""),"",IF(J921&lt;&gt;"",IF(N(F921)&gt;0,"客户回款","客户退款"),IF(K921&lt;&gt;"",IF(N(G921)&gt;0,"供应商付款","供应商退款"),IF(L921&lt;&gt;"","费用支出","")))))</f>
      </c>
      <c r="P921" s="78">
        <f>IF(O921="","",IFERROR(INDEX(基础资料!$AE$5:$AE$34,MATCH(O921,基础资料!$AC$5:$AC$34,0)),"未知"))</f>
      </c>
      <c r="Q921" s="78">
        <f>IF(P921="应收",COUNTIF(P$7:P921,"应收"),"")</f>
      </c>
      <c r="R921" s="78">
        <f>IF(P921="应付",COUNTIF(P$7:P921,"应付"),"")</f>
      </c>
      <c r="S921" s="78">
        <f>N(F921)-N(G921)</f>
        <v>0</v>
      </c>
    </row>
    <row r="922">
      <c r="A922" s="109">
        <f>IF(AND(F922="",G922=""),"",ROW()-6)</f>
      </c>
      <c r="B922" s="140" t="n"/>
      <c r="C922" s="141" t="n"/>
      <c r="D922" s="141" t="n"/>
      <c r="E922" s="142" t="n"/>
      <c r="F922" s="143" t="n"/>
      <c r="G922" s="144" t="n"/>
      <c r="H922" s="145">
        <f>IF(OR(C922="",AND(F922="",G922="")),"",SUMIF(基础资料!$W$5:$W$24,C922,基础资料!$X$5:$X$24)+SUMIF(C$7:C922,C922,F$7:F922)-SUMIF(C$7:C922,C922,G$7:G922))</f>
      </c>
      <c r="I922" s="145">
        <f>IF(AND(F922="",G922=""),"",SUM(基础资料!$X$5:$X$24)+SUM(F$7:F922)-SUM(G$7:G922))</f>
      </c>
      <c r="J922" s="141" t="n"/>
      <c r="K922" s="141" t="n"/>
      <c r="L922" s="141" t="n"/>
      <c r="M922" s="142" t="n"/>
      <c r="N922" s="146">
        <f>IF(AND(AND(F922="",G922=""),B922="",C922="",D922="",J922="",K922="",L922=""),"",IF(AND(F922="",G922=""),"✗ 没填金额",IF(AND(N(F922)&lt;&gt;0,N(G922)&lt;&gt;0),"✗ 收入、支出只能填一边",IF(NOT(ISNUMBER(B922)),"✗ 日期不是真日期（要像 2026/9/25 这样填）",IF(OR(B922&lt;年初日,B922&gt;年末日),"✗ 日期不在本会计年度",IF(C922="","✗ 没选账户",IF(COUNTIF(基础资料!$W$5:$W$24,C922)=0,"✗ 账户不在基础资料里",IF(O922="","✗ 没选收支项目",IF(P922="未知","✗ 收支项目不在基础资料里",IF(AND(P922="应收",J922=""),"✗ 这笔要选客户",IF(AND(P922="应收",COUNTIF(总览汇总!$B$5:$B$304,J922)=0),"✗ 客户不在总览汇总名单里",IF(AND(P922="应付",K922=""),"✗ 这笔要选供应商",IF(AND(P922="应付",COUNTIF(基础资料!$Q$5:$Q$54,K922)=0),"✗ 供应商不在基础资料里",IF(AND(P922="费用",L922=""),"✗ 费用支出要选费用项目",IF(AND(L922&lt;&gt;"",COUNTIF(基础资料!$AI$5:$AI$54,L922)=0),"✗ 费用项目不在基础资料里",IF(AND(IFERROR(INDEX(基础资料!$AD$5:$AD$34,MATCH(O922,基础资料!$AC$5:$AC$34,0)),"")="收",N(G922)&lt;&gt;0),"✗ 这类是收款，金额填到收入列",IF(AND(IFERROR(INDEX(基础资料!$AD$5:$AD$34,MATCH(O922,基础资料!$AC$5:$AC$34,0)),"")="支",N(F922)&lt;&gt;0),"✗ 这类是付款，金额填到支出列",IF(N(H922)&lt;0,"⚠ 账户余额成负数了，核对一下","√"))))))))))))))))))</f>
      </c>
      <c r="O922" s="78">
        <f>IF(D922&lt;&gt;"",D922,IF(AND(F922="",G922=""),"",IF(J922&lt;&gt;"",IF(N(F922)&gt;0,"客户回款","客户退款"),IF(K922&lt;&gt;"",IF(N(G922)&gt;0,"供应商付款","供应商退款"),IF(L922&lt;&gt;"","费用支出","")))))</f>
      </c>
      <c r="P922" s="78">
        <f>IF(O922="","",IFERROR(INDEX(基础资料!$AE$5:$AE$34,MATCH(O922,基础资料!$AC$5:$AC$34,0)),"未知"))</f>
      </c>
      <c r="Q922" s="78">
        <f>IF(P922="应收",COUNTIF(P$7:P922,"应收"),"")</f>
      </c>
      <c r="R922" s="78">
        <f>IF(P922="应付",COUNTIF(P$7:P922,"应付"),"")</f>
      </c>
      <c r="S922" s="78">
        <f>N(F922)-N(G922)</f>
        <v>0</v>
      </c>
    </row>
    <row r="923">
      <c r="A923" s="109">
        <f>IF(AND(F923="",G923=""),"",ROW()-6)</f>
      </c>
      <c r="B923" s="140" t="n"/>
      <c r="C923" s="141" t="n"/>
      <c r="D923" s="141" t="n"/>
      <c r="E923" s="142" t="n"/>
      <c r="F923" s="143" t="n"/>
      <c r="G923" s="144" t="n"/>
      <c r="H923" s="145">
        <f>IF(OR(C923="",AND(F923="",G923="")),"",SUMIF(基础资料!$W$5:$W$24,C923,基础资料!$X$5:$X$24)+SUMIF(C$7:C923,C923,F$7:F923)-SUMIF(C$7:C923,C923,G$7:G923))</f>
      </c>
      <c r="I923" s="145">
        <f>IF(AND(F923="",G923=""),"",SUM(基础资料!$X$5:$X$24)+SUM(F$7:F923)-SUM(G$7:G923))</f>
      </c>
      <c r="J923" s="141" t="n"/>
      <c r="K923" s="141" t="n"/>
      <c r="L923" s="141" t="n"/>
      <c r="M923" s="142" t="n"/>
      <c r="N923" s="146">
        <f>IF(AND(AND(F923="",G923=""),B923="",C923="",D923="",J923="",K923="",L923=""),"",IF(AND(F923="",G923=""),"✗ 没填金额",IF(AND(N(F923)&lt;&gt;0,N(G923)&lt;&gt;0),"✗ 收入、支出只能填一边",IF(NOT(ISNUMBER(B923)),"✗ 日期不是真日期（要像 2026/9/25 这样填）",IF(OR(B923&lt;年初日,B923&gt;年末日),"✗ 日期不在本会计年度",IF(C923="","✗ 没选账户",IF(COUNTIF(基础资料!$W$5:$W$24,C923)=0,"✗ 账户不在基础资料里",IF(O923="","✗ 没选收支项目",IF(P923="未知","✗ 收支项目不在基础资料里",IF(AND(P923="应收",J923=""),"✗ 这笔要选客户",IF(AND(P923="应收",COUNTIF(总览汇总!$B$5:$B$304,J923)=0),"✗ 客户不在总览汇总名单里",IF(AND(P923="应付",K923=""),"✗ 这笔要选供应商",IF(AND(P923="应付",COUNTIF(基础资料!$Q$5:$Q$54,K923)=0),"✗ 供应商不在基础资料里",IF(AND(P923="费用",L923=""),"✗ 费用支出要选费用项目",IF(AND(L923&lt;&gt;"",COUNTIF(基础资料!$AI$5:$AI$54,L923)=0),"✗ 费用项目不在基础资料里",IF(AND(IFERROR(INDEX(基础资料!$AD$5:$AD$34,MATCH(O923,基础资料!$AC$5:$AC$34,0)),"")="收",N(G923)&lt;&gt;0),"✗ 这类是收款，金额填到收入列",IF(AND(IFERROR(INDEX(基础资料!$AD$5:$AD$34,MATCH(O923,基础资料!$AC$5:$AC$34,0)),"")="支",N(F923)&lt;&gt;0),"✗ 这类是付款，金额填到支出列",IF(N(H923)&lt;0,"⚠ 账户余额成负数了，核对一下","√"))))))))))))))))))</f>
      </c>
      <c r="O923" s="78">
        <f>IF(D923&lt;&gt;"",D923,IF(AND(F923="",G923=""),"",IF(J923&lt;&gt;"",IF(N(F923)&gt;0,"客户回款","客户退款"),IF(K923&lt;&gt;"",IF(N(G923)&gt;0,"供应商付款","供应商退款"),IF(L923&lt;&gt;"","费用支出","")))))</f>
      </c>
      <c r="P923" s="78">
        <f>IF(O923="","",IFERROR(INDEX(基础资料!$AE$5:$AE$34,MATCH(O923,基础资料!$AC$5:$AC$34,0)),"未知"))</f>
      </c>
      <c r="Q923" s="78">
        <f>IF(P923="应收",COUNTIF(P$7:P923,"应收"),"")</f>
      </c>
      <c r="R923" s="78">
        <f>IF(P923="应付",COUNTIF(P$7:P923,"应付"),"")</f>
      </c>
      <c r="S923" s="78">
        <f>N(F923)-N(G923)</f>
        <v>0</v>
      </c>
    </row>
    <row r="924">
      <c r="A924" s="109">
        <f>IF(AND(F924="",G924=""),"",ROW()-6)</f>
      </c>
      <c r="B924" s="140" t="n"/>
      <c r="C924" s="141" t="n"/>
      <c r="D924" s="141" t="n"/>
      <c r="E924" s="142" t="n"/>
      <c r="F924" s="143" t="n"/>
      <c r="G924" s="144" t="n"/>
      <c r="H924" s="145">
        <f>IF(OR(C924="",AND(F924="",G924="")),"",SUMIF(基础资料!$W$5:$W$24,C924,基础资料!$X$5:$X$24)+SUMIF(C$7:C924,C924,F$7:F924)-SUMIF(C$7:C924,C924,G$7:G924))</f>
      </c>
      <c r="I924" s="145">
        <f>IF(AND(F924="",G924=""),"",SUM(基础资料!$X$5:$X$24)+SUM(F$7:F924)-SUM(G$7:G924))</f>
      </c>
      <c r="J924" s="141" t="n"/>
      <c r="K924" s="141" t="n"/>
      <c r="L924" s="141" t="n"/>
      <c r="M924" s="142" t="n"/>
      <c r="N924" s="146">
        <f>IF(AND(AND(F924="",G924=""),B924="",C924="",D924="",J924="",K924="",L924=""),"",IF(AND(F924="",G924=""),"✗ 没填金额",IF(AND(N(F924)&lt;&gt;0,N(G924)&lt;&gt;0),"✗ 收入、支出只能填一边",IF(NOT(ISNUMBER(B924)),"✗ 日期不是真日期（要像 2026/9/25 这样填）",IF(OR(B924&lt;年初日,B924&gt;年末日),"✗ 日期不在本会计年度",IF(C924="","✗ 没选账户",IF(COUNTIF(基础资料!$W$5:$W$24,C924)=0,"✗ 账户不在基础资料里",IF(O924="","✗ 没选收支项目",IF(P924="未知","✗ 收支项目不在基础资料里",IF(AND(P924="应收",J924=""),"✗ 这笔要选客户",IF(AND(P924="应收",COUNTIF(总览汇总!$B$5:$B$304,J924)=0),"✗ 客户不在总览汇总名单里",IF(AND(P924="应付",K924=""),"✗ 这笔要选供应商",IF(AND(P924="应付",COUNTIF(基础资料!$Q$5:$Q$54,K924)=0),"✗ 供应商不在基础资料里",IF(AND(P924="费用",L924=""),"✗ 费用支出要选费用项目",IF(AND(L924&lt;&gt;"",COUNTIF(基础资料!$AI$5:$AI$54,L924)=0),"✗ 费用项目不在基础资料里",IF(AND(IFERROR(INDEX(基础资料!$AD$5:$AD$34,MATCH(O924,基础资料!$AC$5:$AC$34,0)),"")="收",N(G924)&lt;&gt;0),"✗ 这类是收款，金额填到收入列",IF(AND(IFERROR(INDEX(基础资料!$AD$5:$AD$34,MATCH(O924,基础资料!$AC$5:$AC$34,0)),"")="支",N(F924)&lt;&gt;0),"✗ 这类是付款，金额填到支出列",IF(N(H924)&lt;0,"⚠ 账户余额成负数了，核对一下","√"))))))))))))))))))</f>
      </c>
      <c r="O924" s="78">
        <f>IF(D924&lt;&gt;"",D924,IF(AND(F924="",G924=""),"",IF(J924&lt;&gt;"",IF(N(F924)&gt;0,"客户回款","客户退款"),IF(K924&lt;&gt;"",IF(N(G924)&gt;0,"供应商付款","供应商退款"),IF(L924&lt;&gt;"","费用支出","")))))</f>
      </c>
      <c r="P924" s="78">
        <f>IF(O924="","",IFERROR(INDEX(基础资料!$AE$5:$AE$34,MATCH(O924,基础资料!$AC$5:$AC$34,0)),"未知"))</f>
      </c>
      <c r="Q924" s="78">
        <f>IF(P924="应收",COUNTIF(P$7:P924,"应收"),"")</f>
      </c>
      <c r="R924" s="78">
        <f>IF(P924="应付",COUNTIF(P$7:P924,"应付"),"")</f>
      </c>
      <c r="S924" s="78">
        <f>N(F924)-N(G924)</f>
        <v>0</v>
      </c>
    </row>
    <row r="925">
      <c r="A925" s="109">
        <f>IF(AND(F925="",G925=""),"",ROW()-6)</f>
      </c>
      <c r="B925" s="140" t="n"/>
      <c r="C925" s="141" t="n"/>
      <c r="D925" s="141" t="n"/>
      <c r="E925" s="142" t="n"/>
      <c r="F925" s="143" t="n"/>
      <c r="G925" s="144" t="n"/>
      <c r="H925" s="145">
        <f>IF(OR(C925="",AND(F925="",G925="")),"",SUMIF(基础资料!$W$5:$W$24,C925,基础资料!$X$5:$X$24)+SUMIF(C$7:C925,C925,F$7:F925)-SUMIF(C$7:C925,C925,G$7:G925))</f>
      </c>
      <c r="I925" s="145">
        <f>IF(AND(F925="",G925=""),"",SUM(基础资料!$X$5:$X$24)+SUM(F$7:F925)-SUM(G$7:G925))</f>
      </c>
      <c r="J925" s="141" t="n"/>
      <c r="K925" s="141" t="n"/>
      <c r="L925" s="141" t="n"/>
      <c r="M925" s="142" t="n"/>
      <c r="N925" s="146">
        <f>IF(AND(AND(F925="",G925=""),B925="",C925="",D925="",J925="",K925="",L925=""),"",IF(AND(F925="",G925=""),"✗ 没填金额",IF(AND(N(F925)&lt;&gt;0,N(G925)&lt;&gt;0),"✗ 收入、支出只能填一边",IF(NOT(ISNUMBER(B925)),"✗ 日期不是真日期（要像 2026/9/25 这样填）",IF(OR(B925&lt;年初日,B925&gt;年末日),"✗ 日期不在本会计年度",IF(C925="","✗ 没选账户",IF(COUNTIF(基础资料!$W$5:$W$24,C925)=0,"✗ 账户不在基础资料里",IF(O925="","✗ 没选收支项目",IF(P925="未知","✗ 收支项目不在基础资料里",IF(AND(P925="应收",J925=""),"✗ 这笔要选客户",IF(AND(P925="应收",COUNTIF(总览汇总!$B$5:$B$304,J925)=0),"✗ 客户不在总览汇总名单里",IF(AND(P925="应付",K925=""),"✗ 这笔要选供应商",IF(AND(P925="应付",COUNTIF(基础资料!$Q$5:$Q$54,K925)=0),"✗ 供应商不在基础资料里",IF(AND(P925="费用",L925=""),"✗ 费用支出要选费用项目",IF(AND(L925&lt;&gt;"",COUNTIF(基础资料!$AI$5:$AI$54,L925)=0),"✗ 费用项目不在基础资料里",IF(AND(IFERROR(INDEX(基础资料!$AD$5:$AD$34,MATCH(O925,基础资料!$AC$5:$AC$34,0)),"")="收",N(G925)&lt;&gt;0),"✗ 这类是收款，金额填到收入列",IF(AND(IFERROR(INDEX(基础资料!$AD$5:$AD$34,MATCH(O925,基础资料!$AC$5:$AC$34,0)),"")="支",N(F925)&lt;&gt;0),"✗ 这类是付款，金额填到支出列",IF(N(H925)&lt;0,"⚠ 账户余额成负数了，核对一下","√"))))))))))))))))))</f>
      </c>
      <c r="O925" s="78">
        <f>IF(D925&lt;&gt;"",D925,IF(AND(F925="",G925=""),"",IF(J925&lt;&gt;"",IF(N(F925)&gt;0,"客户回款","客户退款"),IF(K925&lt;&gt;"",IF(N(G925)&gt;0,"供应商付款","供应商退款"),IF(L925&lt;&gt;"","费用支出","")))))</f>
      </c>
      <c r="P925" s="78">
        <f>IF(O925="","",IFERROR(INDEX(基础资料!$AE$5:$AE$34,MATCH(O925,基础资料!$AC$5:$AC$34,0)),"未知"))</f>
      </c>
      <c r="Q925" s="78">
        <f>IF(P925="应收",COUNTIF(P$7:P925,"应收"),"")</f>
      </c>
      <c r="R925" s="78">
        <f>IF(P925="应付",COUNTIF(P$7:P925,"应付"),"")</f>
      </c>
      <c r="S925" s="78">
        <f>N(F925)-N(G925)</f>
        <v>0</v>
      </c>
    </row>
    <row r="926">
      <c r="A926" s="109">
        <f>IF(AND(F926="",G926=""),"",ROW()-6)</f>
      </c>
      <c r="B926" s="140" t="n"/>
      <c r="C926" s="141" t="n"/>
      <c r="D926" s="141" t="n"/>
      <c r="E926" s="142" t="n"/>
      <c r="F926" s="143" t="n"/>
      <c r="G926" s="144" t="n"/>
      <c r="H926" s="145">
        <f>IF(OR(C926="",AND(F926="",G926="")),"",SUMIF(基础资料!$W$5:$W$24,C926,基础资料!$X$5:$X$24)+SUMIF(C$7:C926,C926,F$7:F926)-SUMIF(C$7:C926,C926,G$7:G926))</f>
      </c>
      <c r="I926" s="145">
        <f>IF(AND(F926="",G926=""),"",SUM(基础资料!$X$5:$X$24)+SUM(F$7:F926)-SUM(G$7:G926))</f>
      </c>
      <c r="J926" s="141" t="n"/>
      <c r="K926" s="141" t="n"/>
      <c r="L926" s="141" t="n"/>
      <c r="M926" s="142" t="n"/>
      <c r="N926" s="146">
        <f>IF(AND(AND(F926="",G926=""),B926="",C926="",D926="",J926="",K926="",L926=""),"",IF(AND(F926="",G926=""),"✗ 没填金额",IF(AND(N(F926)&lt;&gt;0,N(G926)&lt;&gt;0),"✗ 收入、支出只能填一边",IF(NOT(ISNUMBER(B926)),"✗ 日期不是真日期（要像 2026/9/25 这样填）",IF(OR(B926&lt;年初日,B926&gt;年末日),"✗ 日期不在本会计年度",IF(C926="","✗ 没选账户",IF(COUNTIF(基础资料!$W$5:$W$24,C926)=0,"✗ 账户不在基础资料里",IF(O926="","✗ 没选收支项目",IF(P926="未知","✗ 收支项目不在基础资料里",IF(AND(P926="应收",J926=""),"✗ 这笔要选客户",IF(AND(P926="应收",COUNTIF(总览汇总!$B$5:$B$304,J926)=0),"✗ 客户不在总览汇总名单里",IF(AND(P926="应付",K926=""),"✗ 这笔要选供应商",IF(AND(P926="应付",COUNTIF(基础资料!$Q$5:$Q$54,K926)=0),"✗ 供应商不在基础资料里",IF(AND(P926="费用",L926=""),"✗ 费用支出要选费用项目",IF(AND(L926&lt;&gt;"",COUNTIF(基础资料!$AI$5:$AI$54,L926)=0),"✗ 费用项目不在基础资料里",IF(AND(IFERROR(INDEX(基础资料!$AD$5:$AD$34,MATCH(O926,基础资料!$AC$5:$AC$34,0)),"")="收",N(G926)&lt;&gt;0),"✗ 这类是收款，金额填到收入列",IF(AND(IFERROR(INDEX(基础资料!$AD$5:$AD$34,MATCH(O926,基础资料!$AC$5:$AC$34,0)),"")="支",N(F926)&lt;&gt;0),"✗ 这类是付款，金额填到支出列",IF(N(H926)&lt;0,"⚠ 账户余额成负数了，核对一下","√"))))))))))))))))))</f>
      </c>
      <c r="O926" s="78">
        <f>IF(D926&lt;&gt;"",D926,IF(AND(F926="",G926=""),"",IF(J926&lt;&gt;"",IF(N(F926)&gt;0,"客户回款","客户退款"),IF(K926&lt;&gt;"",IF(N(G926)&gt;0,"供应商付款","供应商退款"),IF(L926&lt;&gt;"","费用支出","")))))</f>
      </c>
      <c r="P926" s="78">
        <f>IF(O926="","",IFERROR(INDEX(基础资料!$AE$5:$AE$34,MATCH(O926,基础资料!$AC$5:$AC$34,0)),"未知"))</f>
      </c>
      <c r="Q926" s="78">
        <f>IF(P926="应收",COUNTIF(P$7:P926,"应收"),"")</f>
      </c>
      <c r="R926" s="78">
        <f>IF(P926="应付",COUNTIF(P$7:P926,"应付"),"")</f>
      </c>
      <c r="S926" s="78">
        <f>N(F926)-N(G926)</f>
        <v>0</v>
      </c>
    </row>
    <row r="927">
      <c r="A927" s="109">
        <f>IF(AND(F927="",G927=""),"",ROW()-6)</f>
      </c>
      <c r="B927" s="140" t="n"/>
      <c r="C927" s="141" t="n"/>
      <c r="D927" s="141" t="n"/>
      <c r="E927" s="142" t="n"/>
      <c r="F927" s="143" t="n"/>
      <c r="G927" s="144" t="n"/>
      <c r="H927" s="145">
        <f>IF(OR(C927="",AND(F927="",G927="")),"",SUMIF(基础资料!$W$5:$W$24,C927,基础资料!$X$5:$X$24)+SUMIF(C$7:C927,C927,F$7:F927)-SUMIF(C$7:C927,C927,G$7:G927))</f>
      </c>
      <c r="I927" s="145">
        <f>IF(AND(F927="",G927=""),"",SUM(基础资料!$X$5:$X$24)+SUM(F$7:F927)-SUM(G$7:G927))</f>
      </c>
      <c r="J927" s="141" t="n"/>
      <c r="K927" s="141" t="n"/>
      <c r="L927" s="141" t="n"/>
      <c r="M927" s="142" t="n"/>
      <c r="N927" s="146">
        <f>IF(AND(AND(F927="",G927=""),B927="",C927="",D927="",J927="",K927="",L927=""),"",IF(AND(F927="",G927=""),"✗ 没填金额",IF(AND(N(F927)&lt;&gt;0,N(G927)&lt;&gt;0),"✗ 收入、支出只能填一边",IF(NOT(ISNUMBER(B927)),"✗ 日期不是真日期（要像 2026/9/25 这样填）",IF(OR(B927&lt;年初日,B927&gt;年末日),"✗ 日期不在本会计年度",IF(C927="","✗ 没选账户",IF(COUNTIF(基础资料!$W$5:$W$24,C927)=0,"✗ 账户不在基础资料里",IF(O927="","✗ 没选收支项目",IF(P927="未知","✗ 收支项目不在基础资料里",IF(AND(P927="应收",J927=""),"✗ 这笔要选客户",IF(AND(P927="应收",COUNTIF(总览汇总!$B$5:$B$304,J927)=0),"✗ 客户不在总览汇总名单里",IF(AND(P927="应付",K927=""),"✗ 这笔要选供应商",IF(AND(P927="应付",COUNTIF(基础资料!$Q$5:$Q$54,K927)=0),"✗ 供应商不在基础资料里",IF(AND(P927="费用",L927=""),"✗ 费用支出要选费用项目",IF(AND(L927&lt;&gt;"",COUNTIF(基础资料!$AI$5:$AI$54,L927)=0),"✗ 费用项目不在基础资料里",IF(AND(IFERROR(INDEX(基础资料!$AD$5:$AD$34,MATCH(O927,基础资料!$AC$5:$AC$34,0)),"")="收",N(G927)&lt;&gt;0),"✗ 这类是收款，金额填到收入列",IF(AND(IFERROR(INDEX(基础资料!$AD$5:$AD$34,MATCH(O927,基础资料!$AC$5:$AC$34,0)),"")="支",N(F927)&lt;&gt;0),"✗ 这类是付款，金额填到支出列",IF(N(H927)&lt;0,"⚠ 账户余额成负数了，核对一下","√"))))))))))))))))))</f>
      </c>
      <c r="O927" s="78">
        <f>IF(D927&lt;&gt;"",D927,IF(AND(F927="",G927=""),"",IF(J927&lt;&gt;"",IF(N(F927)&gt;0,"客户回款","客户退款"),IF(K927&lt;&gt;"",IF(N(G927)&gt;0,"供应商付款","供应商退款"),IF(L927&lt;&gt;"","费用支出","")))))</f>
      </c>
      <c r="P927" s="78">
        <f>IF(O927="","",IFERROR(INDEX(基础资料!$AE$5:$AE$34,MATCH(O927,基础资料!$AC$5:$AC$34,0)),"未知"))</f>
      </c>
      <c r="Q927" s="78">
        <f>IF(P927="应收",COUNTIF(P$7:P927,"应收"),"")</f>
      </c>
      <c r="R927" s="78">
        <f>IF(P927="应付",COUNTIF(P$7:P927,"应付"),"")</f>
      </c>
      <c r="S927" s="78">
        <f>N(F927)-N(G927)</f>
        <v>0</v>
      </c>
    </row>
    <row r="928">
      <c r="A928" s="109">
        <f>IF(AND(F928="",G928=""),"",ROW()-6)</f>
      </c>
      <c r="B928" s="140" t="n"/>
      <c r="C928" s="141" t="n"/>
      <c r="D928" s="141" t="n"/>
      <c r="E928" s="142" t="n"/>
      <c r="F928" s="143" t="n"/>
      <c r="G928" s="144" t="n"/>
      <c r="H928" s="145">
        <f>IF(OR(C928="",AND(F928="",G928="")),"",SUMIF(基础资料!$W$5:$W$24,C928,基础资料!$X$5:$X$24)+SUMIF(C$7:C928,C928,F$7:F928)-SUMIF(C$7:C928,C928,G$7:G928))</f>
      </c>
      <c r="I928" s="145">
        <f>IF(AND(F928="",G928=""),"",SUM(基础资料!$X$5:$X$24)+SUM(F$7:F928)-SUM(G$7:G928))</f>
      </c>
      <c r="J928" s="141" t="n"/>
      <c r="K928" s="141" t="n"/>
      <c r="L928" s="141" t="n"/>
      <c r="M928" s="142" t="n"/>
      <c r="N928" s="146">
        <f>IF(AND(AND(F928="",G928=""),B928="",C928="",D928="",J928="",K928="",L928=""),"",IF(AND(F928="",G928=""),"✗ 没填金额",IF(AND(N(F928)&lt;&gt;0,N(G928)&lt;&gt;0),"✗ 收入、支出只能填一边",IF(NOT(ISNUMBER(B928)),"✗ 日期不是真日期（要像 2026/9/25 这样填）",IF(OR(B928&lt;年初日,B928&gt;年末日),"✗ 日期不在本会计年度",IF(C928="","✗ 没选账户",IF(COUNTIF(基础资料!$W$5:$W$24,C928)=0,"✗ 账户不在基础资料里",IF(O928="","✗ 没选收支项目",IF(P928="未知","✗ 收支项目不在基础资料里",IF(AND(P928="应收",J928=""),"✗ 这笔要选客户",IF(AND(P928="应收",COUNTIF(总览汇总!$B$5:$B$304,J928)=0),"✗ 客户不在总览汇总名单里",IF(AND(P928="应付",K928=""),"✗ 这笔要选供应商",IF(AND(P928="应付",COUNTIF(基础资料!$Q$5:$Q$54,K928)=0),"✗ 供应商不在基础资料里",IF(AND(P928="费用",L928=""),"✗ 费用支出要选费用项目",IF(AND(L928&lt;&gt;"",COUNTIF(基础资料!$AI$5:$AI$54,L928)=0),"✗ 费用项目不在基础资料里",IF(AND(IFERROR(INDEX(基础资料!$AD$5:$AD$34,MATCH(O928,基础资料!$AC$5:$AC$34,0)),"")="收",N(G928)&lt;&gt;0),"✗ 这类是收款，金额填到收入列",IF(AND(IFERROR(INDEX(基础资料!$AD$5:$AD$34,MATCH(O928,基础资料!$AC$5:$AC$34,0)),"")="支",N(F928)&lt;&gt;0),"✗ 这类是付款，金额填到支出列",IF(N(H928)&lt;0,"⚠ 账户余额成负数了，核对一下","√"))))))))))))))))))</f>
      </c>
      <c r="O928" s="78">
        <f>IF(D928&lt;&gt;"",D928,IF(AND(F928="",G928=""),"",IF(J928&lt;&gt;"",IF(N(F928)&gt;0,"客户回款","客户退款"),IF(K928&lt;&gt;"",IF(N(G928)&gt;0,"供应商付款","供应商退款"),IF(L928&lt;&gt;"","费用支出","")))))</f>
      </c>
      <c r="P928" s="78">
        <f>IF(O928="","",IFERROR(INDEX(基础资料!$AE$5:$AE$34,MATCH(O928,基础资料!$AC$5:$AC$34,0)),"未知"))</f>
      </c>
      <c r="Q928" s="78">
        <f>IF(P928="应收",COUNTIF(P$7:P928,"应收"),"")</f>
      </c>
      <c r="R928" s="78">
        <f>IF(P928="应付",COUNTIF(P$7:P928,"应付"),"")</f>
      </c>
      <c r="S928" s="78">
        <f>N(F928)-N(G928)</f>
        <v>0</v>
      </c>
    </row>
    <row r="929">
      <c r="A929" s="109">
        <f>IF(AND(F929="",G929=""),"",ROW()-6)</f>
      </c>
      <c r="B929" s="140" t="n"/>
      <c r="C929" s="141" t="n"/>
      <c r="D929" s="141" t="n"/>
      <c r="E929" s="142" t="n"/>
      <c r="F929" s="143" t="n"/>
      <c r="G929" s="144" t="n"/>
      <c r="H929" s="145">
        <f>IF(OR(C929="",AND(F929="",G929="")),"",SUMIF(基础资料!$W$5:$W$24,C929,基础资料!$X$5:$X$24)+SUMIF(C$7:C929,C929,F$7:F929)-SUMIF(C$7:C929,C929,G$7:G929))</f>
      </c>
      <c r="I929" s="145">
        <f>IF(AND(F929="",G929=""),"",SUM(基础资料!$X$5:$X$24)+SUM(F$7:F929)-SUM(G$7:G929))</f>
      </c>
      <c r="J929" s="141" t="n"/>
      <c r="K929" s="141" t="n"/>
      <c r="L929" s="141" t="n"/>
      <c r="M929" s="142" t="n"/>
      <c r="N929" s="146">
        <f>IF(AND(AND(F929="",G929=""),B929="",C929="",D929="",J929="",K929="",L929=""),"",IF(AND(F929="",G929=""),"✗ 没填金额",IF(AND(N(F929)&lt;&gt;0,N(G929)&lt;&gt;0),"✗ 收入、支出只能填一边",IF(NOT(ISNUMBER(B929)),"✗ 日期不是真日期（要像 2026/9/25 这样填）",IF(OR(B929&lt;年初日,B929&gt;年末日),"✗ 日期不在本会计年度",IF(C929="","✗ 没选账户",IF(COUNTIF(基础资料!$W$5:$W$24,C929)=0,"✗ 账户不在基础资料里",IF(O929="","✗ 没选收支项目",IF(P929="未知","✗ 收支项目不在基础资料里",IF(AND(P929="应收",J929=""),"✗ 这笔要选客户",IF(AND(P929="应收",COUNTIF(总览汇总!$B$5:$B$304,J929)=0),"✗ 客户不在总览汇总名单里",IF(AND(P929="应付",K929=""),"✗ 这笔要选供应商",IF(AND(P929="应付",COUNTIF(基础资料!$Q$5:$Q$54,K929)=0),"✗ 供应商不在基础资料里",IF(AND(P929="费用",L929=""),"✗ 费用支出要选费用项目",IF(AND(L929&lt;&gt;"",COUNTIF(基础资料!$AI$5:$AI$54,L929)=0),"✗ 费用项目不在基础资料里",IF(AND(IFERROR(INDEX(基础资料!$AD$5:$AD$34,MATCH(O929,基础资料!$AC$5:$AC$34,0)),"")="收",N(G929)&lt;&gt;0),"✗ 这类是收款，金额填到收入列",IF(AND(IFERROR(INDEX(基础资料!$AD$5:$AD$34,MATCH(O929,基础资料!$AC$5:$AC$34,0)),"")="支",N(F929)&lt;&gt;0),"✗ 这类是付款，金额填到支出列",IF(N(H929)&lt;0,"⚠ 账户余额成负数了，核对一下","√"))))))))))))))))))</f>
      </c>
      <c r="O929" s="78">
        <f>IF(D929&lt;&gt;"",D929,IF(AND(F929="",G929=""),"",IF(J929&lt;&gt;"",IF(N(F929)&gt;0,"客户回款","客户退款"),IF(K929&lt;&gt;"",IF(N(G929)&gt;0,"供应商付款","供应商退款"),IF(L929&lt;&gt;"","费用支出","")))))</f>
      </c>
      <c r="P929" s="78">
        <f>IF(O929="","",IFERROR(INDEX(基础资料!$AE$5:$AE$34,MATCH(O929,基础资料!$AC$5:$AC$34,0)),"未知"))</f>
      </c>
      <c r="Q929" s="78">
        <f>IF(P929="应收",COUNTIF(P$7:P929,"应收"),"")</f>
      </c>
      <c r="R929" s="78">
        <f>IF(P929="应付",COUNTIF(P$7:P929,"应付"),"")</f>
      </c>
      <c r="S929" s="78">
        <f>N(F929)-N(G929)</f>
        <v>0</v>
      </c>
    </row>
    <row r="930">
      <c r="A930" s="109">
        <f>IF(AND(F930="",G930=""),"",ROW()-6)</f>
      </c>
      <c r="B930" s="140" t="n"/>
      <c r="C930" s="141" t="n"/>
      <c r="D930" s="141" t="n"/>
      <c r="E930" s="142" t="n"/>
      <c r="F930" s="143" t="n"/>
      <c r="G930" s="144" t="n"/>
      <c r="H930" s="145">
        <f>IF(OR(C930="",AND(F930="",G930="")),"",SUMIF(基础资料!$W$5:$W$24,C930,基础资料!$X$5:$X$24)+SUMIF(C$7:C930,C930,F$7:F930)-SUMIF(C$7:C930,C930,G$7:G930))</f>
      </c>
      <c r="I930" s="145">
        <f>IF(AND(F930="",G930=""),"",SUM(基础资料!$X$5:$X$24)+SUM(F$7:F930)-SUM(G$7:G930))</f>
      </c>
      <c r="J930" s="141" t="n"/>
      <c r="K930" s="141" t="n"/>
      <c r="L930" s="141" t="n"/>
      <c r="M930" s="142" t="n"/>
      <c r="N930" s="146">
        <f>IF(AND(AND(F930="",G930=""),B930="",C930="",D930="",J930="",K930="",L930=""),"",IF(AND(F930="",G930=""),"✗ 没填金额",IF(AND(N(F930)&lt;&gt;0,N(G930)&lt;&gt;0),"✗ 收入、支出只能填一边",IF(NOT(ISNUMBER(B930)),"✗ 日期不是真日期（要像 2026/9/25 这样填）",IF(OR(B930&lt;年初日,B930&gt;年末日),"✗ 日期不在本会计年度",IF(C930="","✗ 没选账户",IF(COUNTIF(基础资料!$W$5:$W$24,C930)=0,"✗ 账户不在基础资料里",IF(O930="","✗ 没选收支项目",IF(P930="未知","✗ 收支项目不在基础资料里",IF(AND(P930="应收",J930=""),"✗ 这笔要选客户",IF(AND(P930="应收",COUNTIF(总览汇总!$B$5:$B$304,J930)=0),"✗ 客户不在总览汇总名单里",IF(AND(P930="应付",K930=""),"✗ 这笔要选供应商",IF(AND(P930="应付",COUNTIF(基础资料!$Q$5:$Q$54,K930)=0),"✗ 供应商不在基础资料里",IF(AND(P930="费用",L930=""),"✗ 费用支出要选费用项目",IF(AND(L930&lt;&gt;"",COUNTIF(基础资料!$AI$5:$AI$54,L930)=0),"✗ 费用项目不在基础资料里",IF(AND(IFERROR(INDEX(基础资料!$AD$5:$AD$34,MATCH(O930,基础资料!$AC$5:$AC$34,0)),"")="收",N(G930)&lt;&gt;0),"✗ 这类是收款，金额填到收入列",IF(AND(IFERROR(INDEX(基础资料!$AD$5:$AD$34,MATCH(O930,基础资料!$AC$5:$AC$34,0)),"")="支",N(F930)&lt;&gt;0),"✗ 这类是付款，金额填到支出列",IF(N(H930)&lt;0,"⚠ 账户余额成负数了，核对一下","√"))))))))))))))))))</f>
      </c>
      <c r="O930" s="78">
        <f>IF(D930&lt;&gt;"",D930,IF(AND(F930="",G930=""),"",IF(J930&lt;&gt;"",IF(N(F930)&gt;0,"客户回款","客户退款"),IF(K930&lt;&gt;"",IF(N(G930)&gt;0,"供应商付款","供应商退款"),IF(L930&lt;&gt;"","费用支出","")))))</f>
      </c>
      <c r="P930" s="78">
        <f>IF(O930="","",IFERROR(INDEX(基础资料!$AE$5:$AE$34,MATCH(O930,基础资料!$AC$5:$AC$34,0)),"未知"))</f>
      </c>
      <c r="Q930" s="78">
        <f>IF(P930="应收",COUNTIF(P$7:P930,"应收"),"")</f>
      </c>
      <c r="R930" s="78">
        <f>IF(P930="应付",COUNTIF(P$7:P930,"应付"),"")</f>
      </c>
      <c r="S930" s="78">
        <f>N(F930)-N(G930)</f>
        <v>0</v>
      </c>
    </row>
    <row r="931">
      <c r="A931" s="109">
        <f>IF(AND(F931="",G931=""),"",ROW()-6)</f>
      </c>
      <c r="B931" s="140" t="n"/>
      <c r="C931" s="141" t="n"/>
      <c r="D931" s="141" t="n"/>
      <c r="E931" s="142" t="n"/>
      <c r="F931" s="143" t="n"/>
      <c r="G931" s="144" t="n"/>
      <c r="H931" s="145">
        <f>IF(OR(C931="",AND(F931="",G931="")),"",SUMIF(基础资料!$W$5:$W$24,C931,基础资料!$X$5:$X$24)+SUMIF(C$7:C931,C931,F$7:F931)-SUMIF(C$7:C931,C931,G$7:G931))</f>
      </c>
      <c r="I931" s="145">
        <f>IF(AND(F931="",G931=""),"",SUM(基础资料!$X$5:$X$24)+SUM(F$7:F931)-SUM(G$7:G931))</f>
      </c>
      <c r="J931" s="141" t="n"/>
      <c r="K931" s="141" t="n"/>
      <c r="L931" s="141" t="n"/>
      <c r="M931" s="142" t="n"/>
      <c r="N931" s="146">
        <f>IF(AND(AND(F931="",G931=""),B931="",C931="",D931="",J931="",K931="",L931=""),"",IF(AND(F931="",G931=""),"✗ 没填金额",IF(AND(N(F931)&lt;&gt;0,N(G931)&lt;&gt;0),"✗ 收入、支出只能填一边",IF(NOT(ISNUMBER(B931)),"✗ 日期不是真日期（要像 2026/9/25 这样填）",IF(OR(B931&lt;年初日,B931&gt;年末日),"✗ 日期不在本会计年度",IF(C931="","✗ 没选账户",IF(COUNTIF(基础资料!$W$5:$W$24,C931)=0,"✗ 账户不在基础资料里",IF(O931="","✗ 没选收支项目",IF(P931="未知","✗ 收支项目不在基础资料里",IF(AND(P931="应收",J931=""),"✗ 这笔要选客户",IF(AND(P931="应收",COUNTIF(总览汇总!$B$5:$B$304,J931)=0),"✗ 客户不在总览汇总名单里",IF(AND(P931="应付",K931=""),"✗ 这笔要选供应商",IF(AND(P931="应付",COUNTIF(基础资料!$Q$5:$Q$54,K931)=0),"✗ 供应商不在基础资料里",IF(AND(P931="费用",L931=""),"✗ 费用支出要选费用项目",IF(AND(L931&lt;&gt;"",COUNTIF(基础资料!$AI$5:$AI$54,L931)=0),"✗ 费用项目不在基础资料里",IF(AND(IFERROR(INDEX(基础资料!$AD$5:$AD$34,MATCH(O931,基础资料!$AC$5:$AC$34,0)),"")="收",N(G931)&lt;&gt;0),"✗ 这类是收款，金额填到收入列",IF(AND(IFERROR(INDEX(基础资料!$AD$5:$AD$34,MATCH(O931,基础资料!$AC$5:$AC$34,0)),"")="支",N(F931)&lt;&gt;0),"✗ 这类是付款，金额填到支出列",IF(N(H931)&lt;0,"⚠ 账户余额成负数了，核对一下","√"))))))))))))))))))</f>
      </c>
      <c r="O931" s="78">
        <f>IF(D931&lt;&gt;"",D931,IF(AND(F931="",G931=""),"",IF(J931&lt;&gt;"",IF(N(F931)&gt;0,"客户回款","客户退款"),IF(K931&lt;&gt;"",IF(N(G931)&gt;0,"供应商付款","供应商退款"),IF(L931&lt;&gt;"","费用支出","")))))</f>
      </c>
      <c r="P931" s="78">
        <f>IF(O931="","",IFERROR(INDEX(基础资料!$AE$5:$AE$34,MATCH(O931,基础资料!$AC$5:$AC$34,0)),"未知"))</f>
      </c>
      <c r="Q931" s="78">
        <f>IF(P931="应收",COUNTIF(P$7:P931,"应收"),"")</f>
      </c>
      <c r="R931" s="78">
        <f>IF(P931="应付",COUNTIF(P$7:P931,"应付"),"")</f>
      </c>
      <c r="S931" s="78">
        <f>N(F931)-N(G931)</f>
        <v>0</v>
      </c>
    </row>
    <row r="932">
      <c r="A932" s="109">
        <f>IF(AND(F932="",G932=""),"",ROW()-6)</f>
      </c>
      <c r="B932" s="140" t="n"/>
      <c r="C932" s="141" t="n"/>
      <c r="D932" s="141" t="n"/>
      <c r="E932" s="142" t="n"/>
      <c r="F932" s="143" t="n"/>
      <c r="G932" s="144" t="n"/>
      <c r="H932" s="145">
        <f>IF(OR(C932="",AND(F932="",G932="")),"",SUMIF(基础资料!$W$5:$W$24,C932,基础资料!$X$5:$X$24)+SUMIF(C$7:C932,C932,F$7:F932)-SUMIF(C$7:C932,C932,G$7:G932))</f>
      </c>
      <c r="I932" s="145">
        <f>IF(AND(F932="",G932=""),"",SUM(基础资料!$X$5:$X$24)+SUM(F$7:F932)-SUM(G$7:G932))</f>
      </c>
      <c r="J932" s="141" t="n"/>
      <c r="K932" s="141" t="n"/>
      <c r="L932" s="141" t="n"/>
      <c r="M932" s="142" t="n"/>
      <c r="N932" s="146">
        <f>IF(AND(AND(F932="",G932=""),B932="",C932="",D932="",J932="",K932="",L932=""),"",IF(AND(F932="",G932=""),"✗ 没填金额",IF(AND(N(F932)&lt;&gt;0,N(G932)&lt;&gt;0),"✗ 收入、支出只能填一边",IF(NOT(ISNUMBER(B932)),"✗ 日期不是真日期（要像 2026/9/25 这样填）",IF(OR(B932&lt;年初日,B932&gt;年末日),"✗ 日期不在本会计年度",IF(C932="","✗ 没选账户",IF(COUNTIF(基础资料!$W$5:$W$24,C932)=0,"✗ 账户不在基础资料里",IF(O932="","✗ 没选收支项目",IF(P932="未知","✗ 收支项目不在基础资料里",IF(AND(P932="应收",J932=""),"✗ 这笔要选客户",IF(AND(P932="应收",COUNTIF(总览汇总!$B$5:$B$304,J932)=0),"✗ 客户不在总览汇总名单里",IF(AND(P932="应付",K932=""),"✗ 这笔要选供应商",IF(AND(P932="应付",COUNTIF(基础资料!$Q$5:$Q$54,K932)=0),"✗ 供应商不在基础资料里",IF(AND(P932="费用",L932=""),"✗ 费用支出要选费用项目",IF(AND(L932&lt;&gt;"",COUNTIF(基础资料!$AI$5:$AI$54,L932)=0),"✗ 费用项目不在基础资料里",IF(AND(IFERROR(INDEX(基础资料!$AD$5:$AD$34,MATCH(O932,基础资料!$AC$5:$AC$34,0)),"")="收",N(G932)&lt;&gt;0),"✗ 这类是收款，金额填到收入列",IF(AND(IFERROR(INDEX(基础资料!$AD$5:$AD$34,MATCH(O932,基础资料!$AC$5:$AC$34,0)),"")="支",N(F932)&lt;&gt;0),"✗ 这类是付款，金额填到支出列",IF(N(H932)&lt;0,"⚠ 账户余额成负数了，核对一下","√"))))))))))))))))))</f>
      </c>
      <c r="O932" s="78">
        <f>IF(D932&lt;&gt;"",D932,IF(AND(F932="",G932=""),"",IF(J932&lt;&gt;"",IF(N(F932)&gt;0,"客户回款","客户退款"),IF(K932&lt;&gt;"",IF(N(G932)&gt;0,"供应商付款","供应商退款"),IF(L932&lt;&gt;"","费用支出","")))))</f>
      </c>
      <c r="P932" s="78">
        <f>IF(O932="","",IFERROR(INDEX(基础资料!$AE$5:$AE$34,MATCH(O932,基础资料!$AC$5:$AC$34,0)),"未知"))</f>
      </c>
      <c r="Q932" s="78">
        <f>IF(P932="应收",COUNTIF(P$7:P932,"应收"),"")</f>
      </c>
      <c r="R932" s="78">
        <f>IF(P932="应付",COUNTIF(P$7:P932,"应付"),"")</f>
      </c>
      <c r="S932" s="78">
        <f>N(F932)-N(G932)</f>
        <v>0</v>
      </c>
    </row>
    <row r="933">
      <c r="A933" s="109">
        <f>IF(AND(F933="",G933=""),"",ROW()-6)</f>
      </c>
      <c r="B933" s="140" t="n"/>
      <c r="C933" s="141" t="n"/>
      <c r="D933" s="141" t="n"/>
      <c r="E933" s="142" t="n"/>
      <c r="F933" s="143" t="n"/>
      <c r="G933" s="144" t="n"/>
      <c r="H933" s="145">
        <f>IF(OR(C933="",AND(F933="",G933="")),"",SUMIF(基础资料!$W$5:$W$24,C933,基础资料!$X$5:$X$24)+SUMIF(C$7:C933,C933,F$7:F933)-SUMIF(C$7:C933,C933,G$7:G933))</f>
      </c>
      <c r="I933" s="145">
        <f>IF(AND(F933="",G933=""),"",SUM(基础资料!$X$5:$X$24)+SUM(F$7:F933)-SUM(G$7:G933))</f>
      </c>
      <c r="J933" s="141" t="n"/>
      <c r="K933" s="141" t="n"/>
      <c r="L933" s="141" t="n"/>
      <c r="M933" s="142" t="n"/>
      <c r="N933" s="146">
        <f>IF(AND(AND(F933="",G933=""),B933="",C933="",D933="",J933="",K933="",L933=""),"",IF(AND(F933="",G933=""),"✗ 没填金额",IF(AND(N(F933)&lt;&gt;0,N(G933)&lt;&gt;0),"✗ 收入、支出只能填一边",IF(NOT(ISNUMBER(B933)),"✗ 日期不是真日期（要像 2026/9/25 这样填）",IF(OR(B933&lt;年初日,B933&gt;年末日),"✗ 日期不在本会计年度",IF(C933="","✗ 没选账户",IF(COUNTIF(基础资料!$W$5:$W$24,C933)=0,"✗ 账户不在基础资料里",IF(O933="","✗ 没选收支项目",IF(P933="未知","✗ 收支项目不在基础资料里",IF(AND(P933="应收",J933=""),"✗ 这笔要选客户",IF(AND(P933="应收",COUNTIF(总览汇总!$B$5:$B$304,J933)=0),"✗ 客户不在总览汇总名单里",IF(AND(P933="应付",K933=""),"✗ 这笔要选供应商",IF(AND(P933="应付",COUNTIF(基础资料!$Q$5:$Q$54,K933)=0),"✗ 供应商不在基础资料里",IF(AND(P933="费用",L933=""),"✗ 费用支出要选费用项目",IF(AND(L933&lt;&gt;"",COUNTIF(基础资料!$AI$5:$AI$54,L933)=0),"✗ 费用项目不在基础资料里",IF(AND(IFERROR(INDEX(基础资料!$AD$5:$AD$34,MATCH(O933,基础资料!$AC$5:$AC$34,0)),"")="收",N(G933)&lt;&gt;0),"✗ 这类是收款，金额填到收入列",IF(AND(IFERROR(INDEX(基础资料!$AD$5:$AD$34,MATCH(O933,基础资料!$AC$5:$AC$34,0)),"")="支",N(F933)&lt;&gt;0),"✗ 这类是付款，金额填到支出列",IF(N(H933)&lt;0,"⚠ 账户余额成负数了，核对一下","√"))))))))))))))))))</f>
      </c>
      <c r="O933" s="78">
        <f>IF(D933&lt;&gt;"",D933,IF(AND(F933="",G933=""),"",IF(J933&lt;&gt;"",IF(N(F933)&gt;0,"客户回款","客户退款"),IF(K933&lt;&gt;"",IF(N(G933)&gt;0,"供应商付款","供应商退款"),IF(L933&lt;&gt;"","费用支出","")))))</f>
      </c>
      <c r="P933" s="78">
        <f>IF(O933="","",IFERROR(INDEX(基础资料!$AE$5:$AE$34,MATCH(O933,基础资料!$AC$5:$AC$34,0)),"未知"))</f>
      </c>
      <c r="Q933" s="78">
        <f>IF(P933="应收",COUNTIF(P$7:P933,"应收"),"")</f>
      </c>
      <c r="R933" s="78">
        <f>IF(P933="应付",COUNTIF(P$7:P933,"应付"),"")</f>
      </c>
      <c r="S933" s="78">
        <f>N(F933)-N(G933)</f>
        <v>0</v>
      </c>
    </row>
    <row r="934">
      <c r="A934" s="109">
        <f>IF(AND(F934="",G934=""),"",ROW()-6)</f>
      </c>
      <c r="B934" s="140" t="n"/>
      <c r="C934" s="141" t="n"/>
      <c r="D934" s="141" t="n"/>
      <c r="E934" s="142" t="n"/>
      <c r="F934" s="143" t="n"/>
      <c r="G934" s="144" t="n"/>
      <c r="H934" s="145">
        <f>IF(OR(C934="",AND(F934="",G934="")),"",SUMIF(基础资料!$W$5:$W$24,C934,基础资料!$X$5:$X$24)+SUMIF(C$7:C934,C934,F$7:F934)-SUMIF(C$7:C934,C934,G$7:G934))</f>
      </c>
      <c r="I934" s="145">
        <f>IF(AND(F934="",G934=""),"",SUM(基础资料!$X$5:$X$24)+SUM(F$7:F934)-SUM(G$7:G934))</f>
      </c>
      <c r="J934" s="141" t="n"/>
      <c r="K934" s="141" t="n"/>
      <c r="L934" s="141" t="n"/>
      <c r="M934" s="142" t="n"/>
      <c r="N934" s="146">
        <f>IF(AND(AND(F934="",G934=""),B934="",C934="",D934="",J934="",K934="",L934=""),"",IF(AND(F934="",G934=""),"✗ 没填金额",IF(AND(N(F934)&lt;&gt;0,N(G934)&lt;&gt;0),"✗ 收入、支出只能填一边",IF(NOT(ISNUMBER(B934)),"✗ 日期不是真日期（要像 2026/9/25 这样填）",IF(OR(B934&lt;年初日,B934&gt;年末日),"✗ 日期不在本会计年度",IF(C934="","✗ 没选账户",IF(COUNTIF(基础资料!$W$5:$W$24,C934)=0,"✗ 账户不在基础资料里",IF(O934="","✗ 没选收支项目",IF(P934="未知","✗ 收支项目不在基础资料里",IF(AND(P934="应收",J934=""),"✗ 这笔要选客户",IF(AND(P934="应收",COUNTIF(总览汇总!$B$5:$B$304,J934)=0),"✗ 客户不在总览汇总名单里",IF(AND(P934="应付",K934=""),"✗ 这笔要选供应商",IF(AND(P934="应付",COUNTIF(基础资料!$Q$5:$Q$54,K934)=0),"✗ 供应商不在基础资料里",IF(AND(P934="费用",L934=""),"✗ 费用支出要选费用项目",IF(AND(L934&lt;&gt;"",COUNTIF(基础资料!$AI$5:$AI$54,L934)=0),"✗ 费用项目不在基础资料里",IF(AND(IFERROR(INDEX(基础资料!$AD$5:$AD$34,MATCH(O934,基础资料!$AC$5:$AC$34,0)),"")="收",N(G934)&lt;&gt;0),"✗ 这类是收款，金额填到收入列",IF(AND(IFERROR(INDEX(基础资料!$AD$5:$AD$34,MATCH(O934,基础资料!$AC$5:$AC$34,0)),"")="支",N(F934)&lt;&gt;0),"✗ 这类是付款，金额填到支出列",IF(N(H934)&lt;0,"⚠ 账户余额成负数了，核对一下","√"))))))))))))))))))</f>
      </c>
      <c r="O934" s="78">
        <f>IF(D934&lt;&gt;"",D934,IF(AND(F934="",G934=""),"",IF(J934&lt;&gt;"",IF(N(F934)&gt;0,"客户回款","客户退款"),IF(K934&lt;&gt;"",IF(N(G934)&gt;0,"供应商付款","供应商退款"),IF(L934&lt;&gt;"","费用支出","")))))</f>
      </c>
      <c r="P934" s="78">
        <f>IF(O934="","",IFERROR(INDEX(基础资料!$AE$5:$AE$34,MATCH(O934,基础资料!$AC$5:$AC$34,0)),"未知"))</f>
      </c>
      <c r="Q934" s="78">
        <f>IF(P934="应收",COUNTIF(P$7:P934,"应收"),"")</f>
      </c>
      <c r="R934" s="78">
        <f>IF(P934="应付",COUNTIF(P$7:P934,"应付"),"")</f>
      </c>
      <c r="S934" s="78">
        <f>N(F934)-N(G934)</f>
        <v>0</v>
      </c>
    </row>
    <row r="935">
      <c r="A935" s="109">
        <f>IF(AND(F935="",G935=""),"",ROW()-6)</f>
      </c>
      <c r="B935" s="140" t="n"/>
      <c r="C935" s="141" t="n"/>
      <c r="D935" s="141" t="n"/>
      <c r="E935" s="142" t="n"/>
      <c r="F935" s="143" t="n"/>
      <c r="G935" s="144" t="n"/>
      <c r="H935" s="145">
        <f>IF(OR(C935="",AND(F935="",G935="")),"",SUMIF(基础资料!$W$5:$W$24,C935,基础资料!$X$5:$X$24)+SUMIF(C$7:C935,C935,F$7:F935)-SUMIF(C$7:C935,C935,G$7:G935))</f>
      </c>
      <c r="I935" s="145">
        <f>IF(AND(F935="",G935=""),"",SUM(基础资料!$X$5:$X$24)+SUM(F$7:F935)-SUM(G$7:G935))</f>
      </c>
      <c r="J935" s="141" t="n"/>
      <c r="K935" s="141" t="n"/>
      <c r="L935" s="141" t="n"/>
      <c r="M935" s="142" t="n"/>
      <c r="N935" s="146">
        <f>IF(AND(AND(F935="",G935=""),B935="",C935="",D935="",J935="",K935="",L935=""),"",IF(AND(F935="",G935=""),"✗ 没填金额",IF(AND(N(F935)&lt;&gt;0,N(G935)&lt;&gt;0),"✗ 收入、支出只能填一边",IF(NOT(ISNUMBER(B935)),"✗ 日期不是真日期（要像 2026/9/25 这样填）",IF(OR(B935&lt;年初日,B935&gt;年末日),"✗ 日期不在本会计年度",IF(C935="","✗ 没选账户",IF(COUNTIF(基础资料!$W$5:$W$24,C935)=0,"✗ 账户不在基础资料里",IF(O935="","✗ 没选收支项目",IF(P935="未知","✗ 收支项目不在基础资料里",IF(AND(P935="应收",J935=""),"✗ 这笔要选客户",IF(AND(P935="应收",COUNTIF(总览汇总!$B$5:$B$304,J935)=0),"✗ 客户不在总览汇总名单里",IF(AND(P935="应付",K935=""),"✗ 这笔要选供应商",IF(AND(P935="应付",COUNTIF(基础资料!$Q$5:$Q$54,K935)=0),"✗ 供应商不在基础资料里",IF(AND(P935="费用",L935=""),"✗ 费用支出要选费用项目",IF(AND(L935&lt;&gt;"",COUNTIF(基础资料!$AI$5:$AI$54,L935)=0),"✗ 费用项目不在基础资料里",IF(AND(IFERROR(INDEX(基础资料!$AD$5:$AD$34,MATCH(O935,基础资料!$AC$5:$AC$34,0)),"")="收",N(G935)&lt;&gt;0),"✗ 这类是收款，金额填到收入列",IF(AND(IFERROR(INDEX(基础资料!$AD$5:$AD$34,MATCH(O935,基础资料!$AC$5:$AC$34,0)),"")="支",N(F935)&lt;&gt;0),"✗ 这类是付款，金额填到支出列",IF(N(H935)&lt;0,"⚠ 账户余额成负数了，核对一下","√"))))))))))))))))))</f>
      </c>
      <c r="O935" s="78">
        <f>IF(D935&lt;&gt;"",D935,IF(AND(F935="",G935=""),"",IF(J935&lt;&gt;"",IF(N(F935)&gt;0,"客户回款","客户退款"),IF(K935&lt;&gt;"",IF(N(G935)&gt;0,"供应商付款","供应商退款"),IF(L935&lt;&gt;"","费用支出","")))))</f>
      </c>
      <c r="P935" s="78">
        <f>IF(O935="","",IFERROR(INDEX(基础资料!$AE$5:$AE$34,MATCH(O935,基础资料!$AC$5:$AC$34,0)),"未知"))</f>
      </c>
      <c r="Q935" s="78">
        <f>IF(P935="应收",COUNTIF(P$7:P935,"应收"),"")</f>
      </c>
      <c r="R935" s="78">
        <f>IF(P935="应付",COUNTIF(P$7:P935,"应付"),"")</f>
      </c>
      <c r="S935" s="78">
        <f>N(F935)-N(G935)</f>
        <v>0</v>
      </c>
    </row>
    <row r="936">
      <c r="A936" s="109">
        <f>IF(AND(F936="",G936=""),"",ROW()-6)</f>
      </c>
      <c r="B936" s="140" t="n"/>
      <c r="C936" s="141" t="n"/>
      <c r="D936" s="141" t="n"/>
      <c r="E936" s="142" t="n"/>
      <c r="F936" s="143" t="n"/>
      <c r="G936" s="144" t="n"/>
      <c r="H936" s="145">
        <f>IF(OR(C936="",AND(F936="",G936="")),"",SUMIF(基础资料!$W$5:$W$24,C936,基础资料!$X$5:$X$24)+SUMIF(C$7:C936,C936,F$7:F936)-SUMIF(C$7:C936,C936,G$7:G936))</f>
      </c>
      <c r="I936" s="145">
        <f>IF(AND(F936="",G936=""),"",SUM(基础资料!$X$5:$X$24)+SUM(F$7:F936)-SUM(G$7:G936))</f>
      </c>
      <c r="J936" s="141" t="n"/>
      <c r="K936" s="141" t="n"/>
      <c r="L936" s="141" t="n"/>
      <c r="M936" s="142" t="n"/>
      <c r="N936" s="146">
        <f>IF(AND(AND(F936="",G936=""),B936="",C936="",D936="",J936="",K936="",L936=""),"",IF(AND(F936="",G936=""),"✗ 没填金额",IF(AND(N(F936)&lt;&gt;0,N(G936)&lt;&gt;0),"✗ 收入、支出只能填一边",IF(NOT(ISNUMBER(B936)),"✗ 日期不是真日期（要像 2026/9/25 这样填）",IF(OR(B936&lt;年初日,B936&gt;年末日),"✗ 日期不在本会计年度",IF(C936="","✗ 没选账户",IF(COUNTIF(基础资料!$W$5:$W$24,C936)=0,"✗ 账户不在基础资料里",IF(O936="","✗ 没选收支项目",IF(P936="未知","✗ 收支项目不在基础资料里",IF(AND(P936="应收",J936=""),"✗ 这笔要选客户",IF(AND(P936="应收",COUNTIF(总览汇总!$B$5:$B$304,J936)=0),"✗ 客户不在总览汇总名单里",IF(AND(P936="应付",K936=""),"✗ 这笔要选供应商",IF(AND(P936="应付",COUNTIF(基础资料!$Q$5:$Q$54,K936)=0),"✗ 供应商不在基础资料里",IF(AND(P936="费用",L936=""),"✗ 费用支出要选费用项目",IF(AND(L936&lt;&gt;"",COUNTIF(基础资料!$AI$5:$AI$54,L936)=0),"✗ 费用项目不在基础资料里",IF(AND(IFERROR(INDEX(基础资料!$AD$5:$AD$34,MATCH(O936,基础资料!$AC$5:$AC$34,0)),"")="收",N(G936)&lt;&gt;0),"✗ 这类是收款，金额填到收入列",IF(AND(IFERROR(INDEX(基础资料!$AD$5:$AD$34,MATCH(O936,基础资料!$AC$5:$AC$34,0)),"")="支",N(F936)&lt;&gt;0),"✗ 这类是付款，金额填到支出列",IF(N(H936)&lt;0,"⚠ 账户余额成负数了，核对一下","√"))))))))))))))))))</f>
      </c>
      <c r="O936" s="78">
        <f>IF(D936&lt;&gt;"",D936,IF(AND(F936="",G936=""),"",IF(J936&lt;&gt;"",IF(N(F936)&gt;0,"客户回款","客户退款"),IF(K936&lt;&gt;"",IF(N(G936)&gt;0,"供应商付款","供应商退款"),IF(L936&lt;&gt;"","费用支出","")))))</f>
      </c>
      <c r="P936" s="78">
        <f>IF(O936="","",IFERROR(INDEX(基础资料!$AE$5:$AE$34,MATCH(O936,基础资料!$AC$5:$AC$34,0)),"未知"))</f>
      </c>
      <c r="Q936" s="78">
        <f>IF(P936="应收",COUNTIF(P$7:P936,"应收"),"")</f>
      </c>
      <c r="R936" s="78">
        <f>IF(P936="应付",COUNTIF(P$7:P936,"应付"),"")</f>
      </c>
      <c r="S936" s="78">
        <f>N(F936)-N(G936)</f>
        <v>0</v>
      </c>
    </row>
    <row r="937">
      <c r="A937" s="109">
        <f>IF(AND(F937="",G937=""),"",ROW()-6)</f>
      </c>
      <c r="B937" s="140" t="n"/>
      <c r="C937" s="141" t="n"/>
      <c r="D937" s="141" t="n"/>
      <c r="E937" s="142" t="n"/>
      <c r="F937" s="143" t="n"/>
      <c r="G937" s="144" t="n"/>
      <c r="H937" s="145">
        <f>IF(OR(C937="",AND(F937="",G937="")),"",SUMIF(基础资料!$W$5:$W$24,C937,基础资料!$X$5:$X$24)+SUMIF(C$7:C937,C937,F$7:F937)-SUMIF(C$7:C937,C937,G$7:G937))</f>
      </c>
      <c r="I937" s="145">
        <f>IF(AND(F937="",G937=""),"",SUM(基础资料!$X$5:$X$24)+SUM(F$7:F937)-SUM(G$7:G937))</f>
      </c>
      <c r="J937" s="141" t="n"/>
      <c r="K937" s="141" t="n"/>
      <c r="L937" s="141" t="n"/>
      <c r="M937" s="142" t="n"/>
      <c r="N937" s="146">
        <f>IF(AND(AND(F937="",G937=""),B937="",C937="",D937="",J937="",K937="",L937=""),"",IF(AND(F937="",G937=""),"✗ 没填金额",IF(AND(N(F937)&lt;&gt;0,N(G937)&lt;&gt;0),"✗ 收入、支出只能填一边",IF(NOT(ISNUMBER(B937)),"✗ 日期不是真日期（要像 2026/9/25 这样填）",IF(OR(B937&lt;年初日,B937&gt;年末日),"✗ 日期不在本会计年度",IF(C937="","✗ 没选账户",IF(COUNTIF(基础资料!$W$5:$W$24,C937)=0,"✗ 账户不在基础资料里",IF(O937="","✗ 没选收支项目",IF(P937="未知","✗ 收支项目不在基础资料里",IF(AND(P937="应收",J937=""),"✗ 这笔要选客户",IF(AND(P937="应收",COUNTIF(总览汇总!$B$5:$B$304,J937)=0),"✗ 客户不在总览汇总名单里",IF(AND(P937="应付",K937=""),"✗ 这笔要选供应商",IF(AND(P937="应付",COUNTIF(基础资料!$Q$5:$Q$54,K937)=0),"✗ 供应商不在基础资料里",IF(AND(P937="费用",L937=""),"✗ 费用支出要选费用项目",IF(AND(L937&lt;&gt;"",COUNTIF(基础资料!$AI$5:$AI$54,L937)=0),"✗ 费用项目不在基础资料里",IF(AND(IFERROR(INDEX(基础资料!$AD$5:$AD$34,MATCH(O937,基础资料!$AC$5:$AC$34,0)),"")="收",N(G937)&lt;&gt;0),"✗ 这类是收款，金额填到收入列",IF(AND(IFERROR(INDEX(基础资料!$AD$5:$AD$34,MATCH(O937,基础资料!$AC$5:$AC$34,0)),"")="支",N(F937)&lt;&gt;0),"✗ 这类是付款，金额填到支出列",IF(N(H937)&lt;0,"⚠ 账户余额成负数了，核对一下","√"))))))))))))))))))</f>
      </c>
      <c r="O937" s="78">
        <f>IF(D937&lt;&gt;"",D937,IF(AND(F937="",G937=""),"",IF(J937&lt;&gt;"",IF(N(F937)&gt;0,"客户回款","客户退款"),IF(K937&lt;&gt;"",IF(N(G937)&gt;0,"供应商付款","供应商退款"),IF(L937&lt;&gt;"","费用支出","")))))</f>
      </c>
      <c r="P937" s="78">
        <f>IF(O937="","",IFERROR(INDEX(基础资料!$AE$5:$AE$34,MATCH(O937,基础资料!$AC$5:$AC$34,0)),"未知"))</f>
      </c>
      <c r="Q937" s="78">
        <f>IF(P937="应收",COUNTIF(P$7:P937,"应收"),"")</f>
      </c>
      <c r="R937" s="78">
        <f>IF(P937="应付",COUNTIF(P$7:P937,"应付"),"")</f>
      </c>
      <c r="S937" s="78">
        <f>N(F937)-N(G937)</f>
        <v>0</v>
      </c>
    </row>
    <row r="938">
      <c r="A938" s="109">
        <f>IF(AND(F938="",G938=""),"",ROW()-6)</f>
      </c>
      <c r="B938" s="140" t="n"/>
      <c r="C938" s="141" t="n"/>
      <c r="D938" s="141" t="n"/>
      <c r="E938" s="142" t="n"/>
      <c r="F938" s="143" t="n"/>
      <c r="G938" s="144" t="n"/>
      <c r="H938" s="145">
        <f>IF(OR(C938="",AND(F938="",G938="")),"",SUMIF(基础资料!$W$5:$W$24,C938,基础资料!$X$5:$X$24)+SUMIF(C$7:C938,C938,F$7:F938)-SUMIF(C$7:C938,C938,G$7:G938))</f>
      </c>
      <c r="I938" s="145">
        <f>IF(AND(F938="",G938=""),"",SUM(基础资料!$X$5:$X$24)+SUM(F$7:F938)-SUM(G$7:G938))</f>
      </c>
      <c r="J938" s="141" t="n"/>
      <c r="K938" s="141" t="n"/>
      <c r="L938" s="141" t="n"/>
      <c r="M938" s="142" t="n"/>
      <c r="N938" s="146">
        <f>IF(AND(AND(F938="",G938=""),B938="",C938="",D938="",J938="",K938="",L938=""),"",IF(AND(F938="",G938=""),"✗ 没填金额",IF(AND(N(F938)&lt;&gt;0,N(G938)&lt;&gt;0),"✗ 收入、支出只能填一边",IF(NOT(ISNUMBER(B938)),"✗ 日期不是真日期（要像 2026/9/25 这样填）",IF(OR(B938&lt;年初日,B938&gt;年末日),"✗ 日期不在本会计年度",IF(C938="","✗ 没选账户",IF(COUNTIF(基础资料!$W$5:$W$24,C938)=0,"✗ 账户不在基础资料里",IF(O938="","✗ 没选收支项目",IF(P938="未知","✗ 收支项目不在基础资料里",IF(AND(P938="应收",J938=""),"✗ 这笔要选客户",IF(AND(P938="应收",COUNTIF(总览汇总!$B$5:$B$304,J938)=0),"✗ 客户不在总览汇总名单里",IF(AND(P938="应付",K938=""),"✗ 这笔要选供应商",IF(AND(P938="应付",COUNTIF(基础资料!$Q$5:$Q$54,K938)=0),"✗ 供应商不在基础资料里",IF(AND(P938="费用",L938=""),"✗ 费用支出要选费用项目",IF(AND(L938&lt;&gt;"",COUNTIF(基础资料!$AI$5:$AI$54,L938)=0),"✗ 费用项目不在基础资料里",IF(AND(IFERROR(INDEX(基础资料!$AD$5:$AD$34,MATCH(O938,基础资料!$AC$5:$AC$34,0)),"")="收",N(G938)&lt;&gt;0),"✗ 这类是收款，金额填到收入列",IF(AND(IFERROR(INDEX(基础资料!$AD$5:$AD$34,MATCH(O938,基础资料!$AC$5:$AC$34,0)),"")="支",N(F938)&lt;&gt;0),"✗ 这类是付款，金额填到支出列",IF(N(H938)&lt;0,"⚠ 账户余额成负数了，核对一下","√"))))))))))))))))))</f>
      </c>
      <c r="O938" s="78">
        <f>IF(D938&lt;&gt;"",D938,IF(AND(F938="",G938=""),"",IF(J938&lt;&gt;"",IF(N(F938)&gt;0,"客户回款","客户退款"),IF(K938&lt;&gt;"",IF(N(G938)&gt;0,"供应商付款","供应商退款"),IF(L938&lt;&gt;"","费用支出","")))))</f>
      </c>
      <c r="P938" s="78">
        <f>IF(O938="","",IFERROR(INDEX(基础资料!$AE$5:$AE$34,MATCH(O938,基础资料!$AC$5:$AC$34,0)),"未知"))</f>
      </c>
      <c r="Q938" s="78">
        <f>IF(P938="应收",COUNTIF(P$7:P938,"应收"),"")</f>
      </c>
      <c r="R938" s="78">
        <f>IF(P938="应付",COUNTIF(P$7:P938,"应付"),"")</f>
      </c>
      <c r="S938" s="78">
        <f>N(F938)-N(G938)</f>
        <v>0</v>
      </c>
    </row>
    <row r="939">
      <c r="A939" s="109">
        <f>IF(AND(F939="",G939=""),"",ROW()-6)</f>
      </c>
      <c r="B939" s="140" t="n"/>
      <c r="C939" s="141" t="n"/>
      <c r="D939" s="141" t="n"/>
      <c r="E939" s="142" t="n"/>
      <c r="F939" s="143" t="n"/>
      <c r="G939" s="144" t="n"/>
      <c r="H939" s="145">
        <f>IF(OR(C939="",AND(F939="",G939="")),"",SUMIF(基础资料!$W$5:$W$24,C939,基础资料!$X$5:$X$24)+SUMIF(C$7:C939,C939,F$7:F939)-SUMIF(C$7:C939,C939,G$7:G939))</f>
      </c>
      <c r="I939" s="145">
        <f>IF(AND(F939="",G939=""),"",SUM(基础资料!$X$5:$X$24)+SUM(F$7:F939)-SUM(G$7:G939))</f>
      </c>
      <c r="J939" s="141" t="n"/>
      <c r="K939" s="141" t="n"/>
      <c r="L939" s="141" t="n"/>
      <c r="M939" s="142" t="n"/>
      <c r="N939" s="146">
        <f>IF(AND(AND(F939="",G939=""),B939="",C939="",D939="",J939="",K939="",L939=""),"",IF(AND(F939="",G939=""),"✗ 没填金额",IF(AND(N(F939)&lt;&gt;0,N(G939)&lt;&gt;0),"✗ 收入、支出只能填一边",IF(NOT(ISNUMBER(B939)),"✗ 日期不是真日期（要像 2026/9/25 这样填）",IF(OR(B939&lt;年初日,B939&gt;年末日),"✗ 日期不在本会计年度",IF(C939="","✗ 没选账户",IF(COUNTIF(基础资料!$W$5:$W$24,C939)=0,"✗ 账户不在基础资料里",IF(O939="","✗ 没选收支项目",IF(P939="未知","✗ 收支项目不在基础资料里",IF(AND(P939="应收",J939=""),"✗ 这笔要选客户",IF(AND(P939="应收",COUNTIF(总览汇总!$B$5:$B$304,J939)=0),"✗ 客户不在总览汇总名单里",IF(AND(P939="应付",K939=""),"✗ 这笔要选供应商",IF(AND(P939="应付",COUNTIF(基础资料!$Q$5:$Q$54,K939)=0),"✗ 供应商不在基础资料里",IF(AND(P939="费用",L939=""),"✗ 费用支出要选费用项目",IF(AND(L939&lt;&gt;"",COUNTIF(基础资料!$AI$5:$AI$54,L939)=0),"✗ 费用项目不在基础资料里",IF(AND(IFERROR(INDEX(基础资料!$AD$5:$AD$34,MATCH(O939,基础资料!$AC$5:$AC$34,0)),"")="收",N(G939)&lt;&gt;0),"✗ 这类是收款，金额填到收入列",IF(AND(IFERROR(INDEX(基础资料!$AD$5:$AD$34,MATCH(O939,基础资料!$AC$5:$AC$34,0)),"")="支",N(F939)&lt;&gt;0),"✗ 这类是付款，金额填到支出列",IF(N(H939)&lt;0,"⚠ 账户余额成负数了，核对一下","√"))))))))))))))))))</f>
      </c>
      <c r="O939" s="78">
        <f>IF(D939&lt;&gt;"",D939,IF(AND(F939="",G939=""),"",IF(J939&lt;&gt;"",IF(N(F939)&gt;0,"客户回款","客户退款"),IF(K939&lt;&gt;"",IF(N(G939)&gt;0,"供应商付款","供应商退款"),IF(L939&lt;&gt;"","费用支出","")))))</f>
      </c>
      <c r="P939" s="78">
        <f>IF(O939="","",IFERROR(INDEX(基础资料!$AE$5:$AE$34,MATCH(O939,基础资料!$AC$5:$AC$34,0)),"未知"))</f>
      </c>
      <c r="Q939" s="78">
        <f>IF(P939="应收",COUNTIF(P$7:P939,"应收"),"")</f>
      </c>
      <c r="R939" s="78">
        <f>IF(P939="应付",COUNTIF(P$7:P939,"应付"),"")</f>
      </c>
      <c r="S939" s="78">
        <f>N(F939)-N(G939)</f>
        <v>0</v>
      </c>
    </row>
    <row r="940">
      <c r="A940" s="109">
        <f>IF(AND(F940="",G940=""),"",ROW()-6)</f>
      </c>
      <c r="B940" s="140" t="n"/>
      <c r="C940" s="141" t="n"/>
      <c r="D940" s="141" t="n"/>
      <c r="E940" s="142" t="n"/>
      <c r="F940" s="143" t="n"/>
      <c r="G940" s="144" t="n"/>
      <c r="H940" s="145">
        <f>IF(OR(C940="",AND(F940="",G940="")),"",SUMIF(基础资料!$W$5:$W$24,C940,基础资料!$X$5:$X$24)+SUMIF(C$7:C940,C940,F$7:F940)-SUMIF(C$7:C940,C940,G$7:G940))</f>
      </c>
      <c r="I940" s="145">
        <f>IF(AND(F940="",G940=""),"",SUM(基础资料!$X$5:$X$24)+SUM(F$7:F940)-SUM(G$7:G940))</f>
      </c>
      <c r="J940" s="141" t="n"/>
      <c r="K940" s="141" t="n"/>
      <c r="L940" s="141" t="n"/>
      <c r="M940" s="142" t="n"/>
      <c r="N940" s="146">
        <f>IF(AND(AND(F940="",G940=""),B940="",C940="",D940="",J940="",K940="",L940=""),"",IF(AND(F940="",G940=""),"✗ 没填金额",IF(AND(N(F940)&lt;&gt;0,N(G940)&lt;&gt;0),"✗ 收入、支出只能填一边",IF(NOT(ISNUMBER(B940)),"✗ 日期不是真日期（要像 2026/9/25 这样填）",IF(OR(B940&lt;年初日,B940&gt;年末日),"✗ 日期不在本会计年度",IF(C940="","✗ 没选账户",IF(COUNTIF(基础资料!$W$5:$W$24,C940)=0,"✗ 账户不在基础资料里",IF(O940="","✗ 没选收支项目",IF(P940="未知","✗ 收支项目不在基础资料里",IF(AND(P940="应收",J940=""),"✗ 这笔要选客户",IF(AND(P940="应收",COUNTIF(总览汇总!$B$5:$B$304,J940)=0),"✗ 客户不在总览汇总名单里",IF(AND(P940="应付",K940=""),"✗ 这笔要选供应商",IF(AND(P940="应付",COUNTIF(基础资料!$Q$5:$Q$54,K940)=0),"✗ 供应商不在基础资料里",IF(AND(P940="费用",L940=""),"✗ 费用支出要选费用项目",IF(AND(L940&lt;&gt;"",COUNTIF(基础资料!$AI$5:$AI$54,L940)=0),"✗ 费用项目不在基础资料里",IF(AND(IFERROR(INDEX(基础资料!$AD$5:$AD$34,MATCH(O940,基础资料!$AC$5:$AC$34,0)),"")="收",N(G940)&lt;&gt;0),"✗ 这类是收款，金额填到收入列",IF(AND(IFERROR(INDEX(基础资料!$AD$5:$AD$34,MATCH(O940,基础资料!$AC$5:$AC$34,0)),"")="支",N(F940)&lt;&gt;0),"✗ 这类是付款，金额填到支出列",IF(N(H940)&lt;0,"⚠ 账户余额成负数了，核对一下","√"))))))))))))))))))</f>
      </c>
      <c r="O940" s="78">
        <f>IF(D940&lt;&gt;"",D940,IF(AND(F940="",G940=""),"",IF(J940&lt;&gt;"",IF(N(F940)&gt;0,"客户回款","客户退款"),IF(K940&lt;&gt;"",IF(N(G940)&gt;0,"供应商付款","供应商退款"),IF(L940&lt;&gt;"","费用支出","")))))</f>
      </c>
      <c r="P940" s="78">
        <f>IF(O940="","",IFERROR(INDEX(基础资料!$AE$5:$AE$34,MATCH(O940,基础资料!$AC$5:$AC$34,0)),"未知"))</f>
      </c>
      <c r="Q940" s="78">
        <f>IF(P940="应收",COUNTIF(P$7:P940,"应收"),"")</f>
      </c>
      <c r="R940" s="78">
        <f>IF(P940="应付",COUNTIF(P$7:P940,"应付"),"")</f>
      </c>
      <c r="S940" s="78">
        <f>N(F940)-N(G940)</f>
        <v>0</v>
      </c>
    </row>
    <row r="941">
      <c r="A941" s="109">
        <f>IF(AND(F941="",G941=""),"",ROW()-6)</f>
      </c>
      <c r="B941" s="140" t="n"/>
      <c r="C941" s="141" t="n"/>
      <c r="D941" s="141" t="n"/>
      <c r="E941" s="142" t="n"/>
      <c r="F941" s="143" t="n"/>
      <c r="G941" s="144" t="n"/>
      <c r="H941" s="145">
        <f>IF(OR(C941="",AND(F941="",G941="")),"",SUMIF(基础资料!$W$5:$W$24,C941,基础资料!$X$5:$X$24)+SUMIF(C$7:C941,C941,F$7:F941)-SUMIF(C$7:C941,C941,G$7:G941))</f>
      </c>
      <c r="I941" s="145">
        <f>IF(AND(F941="",G941=""),"",SUM(基础资料!$X$5:$X$24)+SUM(F$7:F941)-SUM(G$7:G941))</f>
      </c>
      <c r="J941" s="141" t="n"/>
      <c r="K941" s="141" t="n"/>
      <c r="L941" s="141" t="n"/>
      <c r="M941" s="142" t="n"/>
      <c r="N941" s="146">
        <f>IF(AND(AND(F941="",G941=""),B941="",C941="",D941="",J941="",K941="",L941=""),"",IF(AND(F941="",G941=""),"✗ 没填金额",IF(AND(N(F941)&lt;&gt;0,N(G941)&lt;&gt;0),"✗ 收入、支出只能填一边",IF(NOT(ISNUMBER(B941)),"✗ 日期不是真日期（要像 2026/9/25 这样填）",IF(OR(B941&lt;年初日,B941&gt;年末日),"✗ 日期不在本会计年度",IF(C941="","✗ 没选账户",IF(COUNTIF(基础资料!$W$5:$W$24,C941)=0,"✗ 账户不在基础资料里",IF(O941="","✗ 没选收支项目",IF(P941="未知","✗ 收支项目不在基础资料里",IF(AND(P941="应收",J941=""),"✗ 这笔要选客户",IF(AND(P941="应收",COUNTIF(总览汇总!$B$5:$B$304,J941)=0),"✗ 客户不在总览汇总名单里",IF(AND(P941="应付",K941=""),"✗ 这笔要选供应商",IF(AND(P941="应付",COUNTIF(基础资料!$Q$5:$Q$54,K941)=0),"✗ 供应商不在基础资料里",IF(AND(P941="费用",L941=""),"✗ 费用支出要选费用项目",IF(AND(L941&lt;&gt;"",COUNTIF(基础资料!$AI$5:$AI$54,L941)=0),"✗ 费用项目不在基础资料里",IF(AND(IFERROR(INDEX(基础资料!$AD$5:$AD$34,MATCH(O941,基础资料!$AC$5:$AC$34,0)),"")="收",N(G941)&lt;&gt;0),"✗ 这类是收款，金额填到收入列",IF(AND(IFERROR(INDEX(基础资料!$AD$5:$AD$34,MATCH(O941,基础资料!$AC$5:$AC$34,0)),"")="支",N(F941)&lt;&gt;0),"✗ 这类是付款，金额填到支出列",IF(N(H941)&lt;0,"⚠ 账户余额成负数了，核对一下","√"))))))))))))))))))</f>
      </c>
      <c r="O941" s="78">
        <f>IF(D941&lt;&gt;"",D941,IF(AND(F941="",G941=""),"",IF(J941&lt;&gt;"",IF(N(F941)&gt;0,"客户回款","客户退款"),IF(K941&lt;&gt;"",IF(N(G941)&gt;0,"供应商付款","供应商退款"),IF(L941&lt;&gt;"","费用支出","")))))</f>
      </c>
      <c r="P941" s="78">
        <f>IF(O941="","",IFERROR(INDEX(基础资料!$AE$5:$AE$34,MATCH(O941,基础资料!$AC$5:$AC$34,0)),"未知"))</f>
      </c>
      <c r="Q941" s="78">
        <f>IF(P941="应收",COUNTIF(P$7:P941,"应收"),"")</f>
      </c>
      <c r="R941" s="78">
        <f>IF(P941="应付",COUNTIF(P$7:P941,"应付"),"")</f>
      </c>
      <c r="S941" s="78">
        <f>N(F941)-N(G941)</f>
        <v>0</v>
      </c>
    </row>
    <row r="942">
      <c r="A942" s="109">
        <f>IF(AND(F942="",G942=""),"",ROW()-6)</f>
      </c>
      <c r="B942" s="140" t="n"/>
      <c r="C942" s="141" t="n"/>
      <c r="D942" s="141" t="n"/>
      <c r="E942" s="142" t="n"/>
      <c r="F942" s="143" t="n"/>
      <c r="G942" s="144" t="n"/>
      <c r="H942" s="145">
        <f>IF(OR(C942="",AND(F942="",G942="")),"",SUMIF(基础资料!$W$5:$W$24,C942,基础资料!$X$5:$X$24)+SUMIF(C$7:C942,C942,F$7:F942)-SUMIF(C$7:C942,C942,G$7:G942))</f>
      </c>
      <c r="I942" s="145">
        <f>IF(AND(F942="",G942=""),"",SUM(基础资料!$X$5:$X$24)+SUM(F$7:F942)-SUM(G$7:G942))</f>
      </c>
      <c r="J942" s="141" t="n"/>
      <c r="K942" s="141" t="n"/>
      <c r="L942" s="141" t="n"/>
      <c r="M942" s="142" t="n"/>
      <c r="N942" s="146">
        <f>IF(AND(AND(F942="",G942=""),B942="",C942="",D942="",J942="",K942="",L942=""),"",IF(AND(F942="",G942=""),"✗ 没填金额",IF(AND(N(F942)&lt;&gt;0,N(G942)&lt;&gt;0),"✗ 收入、支出只能填一边",IF(NOT(ISNUMBER(B942)),"✗ 日期不是真日期（要像 2026/9/25 这样填）",IF(OR(B942&lt;年初日,B942&gt;年末日),"✗ 日期不在本会计年度",IF(C942="","✗ 没选账户",IF(COUNTIF(基础资料!$W$5:$W$24,C942)=0,"✗ 账户不在基础资料里",IF(O942="","✗ 没选收支项目",IF(P942="未知","✗ 收支项目不在基础资料里",IF(AND(P942="应收",J942=""),"✗ 这笔要选客户",IF(AND(P942="应收",COUNTIF(总览汇总!$B$5:$B$304,J942)=0),"✗ 客户不在总览汇总名单里",IF(AND(P942="应付",K942=""),"✗ 这笔要选供应商",IF(AND(P942="应付",COUNTIF(基础资料!$Q$5:$Q$54,K942)=0),"✗ 供应商不在基础资料里",IF(AND(P942="费用",L942=""),"✗ 费用支出要选费用项目",IF(AND(L942&lt;&gt;"",COUNTIF(基础资料!$AI$5:$AI$54,L942)=0),"✗ 费用项目不在基础资料里",IF(AND(IFERROR(INDEX(基础资料!$AD$5:$AD$34,MATCH(O942,基础资料!$AC$5:$AC$34,0)),"")="收",N(G942)&lt;&gt;0),"✗ 这类是收款，金额填到收入列",IF(AND(IFERROR(INDEX(基础资料!$AD$5:$AD$34,MATCH(O942,基础资料!$AC$5:$AC$34,0)),"")="支",N(F942)&lt;&gt;0),"✗ 这类是付款，金额填到支出列",IF(N(H942)&lt;0,"⚠ 账户余额成负数了，核对一下","√"))))))))))))))))))</f>
      </c>
      <c r="O942" s="78">
        <f>IF(D942&lt;&gt;"",D942,IF(AND(F942="",G942=""),"",IF(J942&lt;&gt;"",IF(N(F942)&gt;0,"客户回款","客户退款"),IF(K942&lt;&gt;"",IF(N(G942)&gt;0,"供应商付款","供应商退款"),IF(L942&lt;&gt;"","费用支出","")))))</f>
      </c>
      <c r="P942" s="78">
        <f>IF(O942="","",IFERROR(INDEX(基础资料!$AE$5:$AE$34,MATCH(O942,基础资料!$AC$5:$AC$34,0)),"未知"))</f>
      </c>
      <c r="Q942" s="78">
        <f>IF(P942="应收",COUNTIF(P$7:P942,"应收"),"")</f>
      </c>
      <c r="R942" s="78">
        <f>IF(P942="应付",COUNTIF(P$7:P942,"应付"),"")</f>
      </c>
      <c r="S942" s="78">
        <f>N(F942)-N(G942)</f>
        <v>0</v>
      </c>
    </row>
    <row r="943">
      <c r="A943" s="109">
        <f>IF(AND(F943="",G943=""),"",ROW()-6)</f>
      </c>
      <c r="B943" s="140" t="n"/>
      <c r="C943" s="141" t="n"/>
      <c r="D943" s="141" t="n"/>
      <c r="E943" s="142" t="n"/>
      <c r="F943" s="143" t="n"/>
      <c r="G943" s="144" t="n"/>
      <c r="H943" s="145">
        <f>IF(OR(C943="",AND(F943="",G943="")),"",SUMIF(基础资料!$W$5:$W$24,C943,基础资料!$X$5:$X$24)+SUMIF(C$7:C943,C943,F$7:F943)-SUMIF(C$7:C943,C943,G$7:G943))</f>
      </c>
      <c r="I943" s="145">
        <f>IF(AND(F943="",G943=""),"",SUM(基础资料!$X$5:$X$24)+SUM(F$7:F943)-SUM(G$7:G943))</f>
      </c>
      <c r="J943" s="141" t="n"/>
      <c r="K943" s="141" t="n"/>
      <c r="L943" s="141" t="n"/>
      <c r="M943" s="142" t="n"/>
      <c r="N943" s="146">
        <f>IF(AND(AND(F943="",G943=""),B943="",C943="",D943="",J943="",K943="",L943=""),"",IF(AND(F943="",G943=""),"✗ 没填金额",IF(AND(N(F943)&lt;&gt;0,N(G943)&lt;&gt;0),"✗ 收入、支出只能填一边",IF(NOT(ISNUMBER(B943)),"✗ 日期不是真日期（要像 2026/9/25 这样填）",IF(OR(B943&lt;年初日,B943&gt;年末日),"✗ 日期不在本会计年度",IF(C943="","✗ 没选账户",IF(COUNTIF(基础资料!$W$5:$W$24,C943)=0,"✗ 账户不在基础资料里",IF(O943="","✗ 没选收支项目",IF(P943="未知","✗ 收支项目不在基础资料里",IF(AND(P943="应收",J943=""),"✗ 这笔要选客户",IF(AND(P943="应收",COUNTIF(总览汇总!$B$5:$B$304,J943)=0),"✗ 客户不在总览汇总名单里",IF(AND(P943="应付",K943=""),"✗ 这笔要选供应商",IF(AND(P943="应付",COUNTIF(基础资料!$Q$5:$Q$54,K943)=0),"✗ 供应商不在基础资料里",IF(AND(P943="费用",L943=""),"✗ 费用支出要选费用项目",IF(AND(L943&lt;&gt;"",COUNTIF(基础资料!$AI$5:$AI$54,L943)=0),"✗ 费用项目不在基础资料里",IF(AND(IFERROR(INDEX(基础资料!$AD$5:$AD$34,MATCH(O943,基础资料!$AC$5:$AC$34,0)),"")="收",N(G943)&lt;&gt;0),"✗ 这类是收款，金额填到收入列",IF(AND(IFERROR(INDEX(基础资料!$AD$5:$AD$34,MATCH(O943,基础资料!$AC$5:$AC$34,0)),"")="支",N(F943)&lt;&gt;0),"✗ 这类是付款，金额填到支出列",IF(N(H943)&lt;0,"⚠ 账户余额成负数了，核对一下","√"))))))))))))))))))</f>
      </c>
      <c r="O943" s="78">
        <f>IF(D943&lt;&gt;"",D943,IF(AND(F943="",G943=""),"",IF(J943&lt;&gt;"",IF(N(F943)&gt;0,"客户回款","客户退款"),IF(K943&lt;&gt;"",IF(N(G943)&gt;0,"供应商付款","供应商退款"),IF(L943&lt;&gt;"","费用支出","")))))</f>
      </c>
      <c r="P943" s="78">
        <f>IF(O943="","",IFERROR(INDEX(基础资料!$AE$5:$AE$34,MATCH(O943,基础资料!$AC$5:$AC$34,0)),"未知"))</f>
      </c>
      <c r="Q943" s="78">
        <f>IF(P943="应收",COUNTIF(P$7:P943,"应收"),"")</f>
      </c>
      <c r="R943" s="78">
        <f>IF(P943="应付",COUNTIF(P$7:P943,"应付"),"")</f>
      </c>
      <c r="S943" s="78">
        <f>N(F943)-N(G943)</f>
        <v>0</v>
      </c>
    </row>
    <row r="944">
      <c r="A944" s="109">
        <f>IF(AND(F944="",G944=""),"",ROW()-6)</f>
      </c>
      <c r="B944" s="140" t="n"/>
      <c r="C944" s="141" t="n"/>
      <c r="D944" s="141" t="n"/>
      <c r="E944" s="142" t="n"/>
      <c r="F944" s="143" t="n"/>
      <c r="G944" s="144" t="n"/>
      <c r="H944" s="145">
        <f>IF(OR(C944="",AND(F944="",G944="")),"",SUMIF(基础资料!$W$5:$W$24,C944,基础资料!$X$5:$X$24)+SUMIF(C$7:C944,C944,F$7:F944)-SUMIF(C$7:C944,C944,G$7:G944))</f>
      </c>
      <c r="I944" s="145">
        <f>IF(AND(F944="",G944=""),"",SUM(基础资料!$X$5:$X$24)+SUM(F$7:F944)-SUM(G$7:G944))</f>
      </c>
      <c r="J944" s="141" t="n"/>
      <c r="K944" s="141" t="n"/>
      <c r="L944" s="141" t="n"/>
      <c r="M944" s="142" t="n"/>
      <c r="N944" s="146">
        <f>IF(AND(AND(F944="",G944=""),B944="",C944="",D944="",J944="",K944="",L944=""),"",IF(AND(F944="",G944=""),"✗ 没填金额",IF(AND(N(F944)&lt;&gt;0,N(G944)&lt;&gt;0),"✗ 收入、支出只能填一边",IF(NOT(ISNUMBER(B944)),"✗ 日期不是真日期（要像 2026/9/25 这样填）",IF(OR(B944&lt;年初日,B944&gt;年末日),"✗ 日期不在本会计年度",IF(C944="","✗ 没选账户",IF(COUNTIF(基础资料!$W$5:$W$24,C944)=0,"✗ 账户不在基础资料里",IF(O944="","✗ 没选收支项目",IF(P944="未知","✗ 收支项目不在基础资料里",IF(AND(P944="应收",J944=""),"✗ 这笔要选客户",IF(AND(P944="应收",COUNTIF(总览汇总!$B$5:$B$304,J944)=0),"✗ 客户不在总览汇总名单里",IF(AND(P944="应付",K944=""),"✗ 这笔要选供应商",IF(AND(P944="应付",COUNTIF(基础资料!$Q$5:$Q$54,K944)=0),"✗ 供应商不在基础资料里",IF(AND(P944="费用",L944=""),"✗ 费用支出要选费用项目",IF(AND(L944&lt;&gt;"",COUNTIF(基础资料!$AI$5:$AI$54,L944)=0),"✗ 费用项目不在基础资料里",IF(AND(IFERROR(INDEX(基础资料!$AD$5:$AD$34,MATCH(O944,基础资料!$AC$5:$AC$34,0)),"")="收",N(G944)&lt;&gt;0),"✗ 这类是收款，金额填到收入列",IF(AND(IFERROR(INDEX(基础资料!$AD$5:$AD$34,MATCH(O944,基础资料!$AC$5:$AC$34,0)),"")="支",N(F944)&lt;&gt;0),"✗ 这类是付款，金额填到支出列",IF(N(H944)&lt;0,"⚠ 账户余额成负数了，核对一下","√"))))))))))))))))))</f>
      </c>
      <c r="O944" s="78">
        <f>IF(D944&lt;&gt;"",D944,IF(AND(F944="",G944=""),"",IF(J944&lt;&gt;"",IF(N(F944)&gt;0,"客户回款","客户退款"),IF(K944&lt;&gt;"",IF(N(G944)&gt;0,"供应商付款","供应商退款"),IF(L944&lt;&gt;"","费用支出","")))))</f>
      </c>
      <c r="P944" s="78">
        <f>IF(O944="","",IFERROR(INDEX(基础资料!$AE$5:$AE$34,MATCH(O944,基础资料!$AC$5:$AC$34,0)),"未知"))</f>
      </c>
      <c r="Q944" s="78">
        <f>IF(P944="应收",COUNTIF(P$7:P944,"应收"),"")</f>
      </c>
      <c r="R944" s="78">
        <f>IF(P944="应付",COUNTIF(P$7:P944,"应付"),"")</f>
      </c>
      <c r="S944" s="78">
        <f>N(F944)-N(G944)</f>
        <v>0</v>
      </c>
    </row>
    <row r="945">
      <c r="A945" s="109">
        <f>IF(AND(F945="",G945=""),"",ROW()-6)</f>
      </c>
      <c r="B945" s="140" t="n"/>
      <c r="C945" s="141" t="n"/>
      <c r="D945" s="141" t="n"/>
      <c r="E945" s="142" t="n"/>
      <c r="F945" s="143" t="n"/>
      <c r="G945" s="144" t="n"/>
      <c r="H945" s="145">
        <f>IF(OR(C945="",AND(F945="",G945="")),"",SUMIF(基础资料!$W$5:$W$24,C945,基础资料!$X$5:$X$24)+SUMIF(C$7:C945,C945,F$7:F945)-SUMIF(C$7:C945,C945,G$7:G945))</f>
      </c>
      <c r="I945" s="145">
        <f>IF(AND(F945="",G945=""),"",SUM(基础资料!$X$5:$X$24)+SUM(F$7:F945)-SUM(G$7:G945))</f>
      </c>
      <c r="J945" s="141" t="n"/>
      <c r="K945" s="141" t="n"/>
      <c r="L945" s="141" t="n"/>
      <c r="M945" s="142" t="n"/>
      <c r="N945" s="146">
        <f>IF(AND(AND(F945="",G945=""),B945="",C945="",D945="",J945="",K945="",L945=""),"",IF(AND(F945="",G945=""),"✗ 没填金额",IF(AND(N(F945)&lt;&gt;0,N(G945)&lt;&gt;0),"✗ 收入、支出只能填一边",IF(NOT(ISNUMBER(B945)),"✗ 日期不是真日期（要像 2026/9/25 这样填）",IF(OR(B945&lt;年初日,B945&gt;年末日),"✗ 日期不在本会计年度",IF(C945="","✗ 没选账户",IF(COUNTIF(基础资料!$W$5:$W$24,C945)=0,"✗ 账户不在基础资料里",IF(O945="","✗ 没选收支项目",IF(P945="未知","✗ 收支项目不在基础资料里",IF(AND(P945="应收",J945=""),"✗ 这笔要选客户",IF(AND(P945="应收",COUNTIF(总览汇总!$B$5:$B$304,J945)=0),"✗ 客户不在总览汇总名单里",IF(AND(P945="应付",K945=""),"✗ 这笔要选供应商",IF(AND(P945="应付",COUNTIF(基础资料!$Q$5:$Q$54,K945)=0),"✗ 供应商不在基础资料里",IF(AND(P945="费用",L945=""),"✗ 费用支出要选费用项目",IF(AND(L945&lt;&gt;"",COUNTIF(基础资料!$AI$5:$AI$54,L945)=0),"✗ 费用项目不在基础资料里",IF(AND(IFERROR(INDEX(基础资料!$AD$5:$AD$34,MATCH(O945,基础资料!$AC$5:$AC$34,0)),"")="收",N(G945)&lt;&gt;0),"✗ 这类是收款，金额填到收入列",IF(AND(IFERROR(INDEX(基础资料!$AD$5:$AD$34,MATCH(O945,基础资料!$AC$5:$AC$34,0)),"")="支",N(F945)&lt;&gt;0),"✗ 这类是付款，金额填到支出列",IF(N(H945)&lt;0,"⚠ 账户余额成负数了，核对一下","√"))))))))))))))))))</f>
      </c>
      <c r="O945" s="78">
        <f>IF(D945&lt;&gt;"",D945,IF(AND(F945="",G945=""),"",IF(J945&lt;&gt;"",IF(N(F945)&gt;0,"客户回款","客户退款"),IF(K945&lt;&gt;"",IF(N(G945)&gt;0,"供应商付款","供应商退款"),IF(L945&lt;&gt;"","费用支出","")))))</f>
      </c>
      <c r="P945" s="78">
        <f>IF(O945="","",IFERROR(INDEX(基础资料!$AE$5:$AE$34,MATCH(O945,基础资料!$AC$5:$AC$34,0)),"未知"))</f>
      </c>
      <c r="Q945" s="78">
        <f>IF(P945="应收",COUNTIF(P$7:P945,"应收"),"")</f>
      </c>
      <c r="R945" s="78">
        <f>IF(P945="应付",COUNTIF(P$7:P945,"应付"),"")</f>
      </c>
      <c r="S945" s="78">
        <f>N(F945)-N(G945)</f>
        <v>0</v>
      </c>
    </row>
    <row r="946">
      <c r="A946" s="109">
        <f>IF(AND(F946="",G946=""),"",ROW()-6)</f>
      </c>
      <c r="B946" s="140" t="n"/>
      <c r="C946" s="141" t="n"/>
      <c r="D946" s="141" t="n"/>
      <c r="E946" s="142" t="n"/>
      <c r="F946" s="143" t="n"/>
      <c r="G946" s="144" t="n"/>
      <c r="H946" s="145">
        <f>IF(OR(C946="",AND(F946="",G946="")),"",SUMIF(基础资料!$W$5:$W$24,C946,基础资料!$X$5:$X$24)+SUMIF(C$7:C946,C946,F$7:F946)-SUMIF(C$7:C946,C946,G$7:G946))</f>
      </c>
      <c r="I946" s="145">
        <f>IF(AND(F946="",G946=""),"",SUM(基础资料!$X$5:$X$24)+SUM(F$7:F946)-SUM(G$7:G946))</f>
      </c>
      <c r="J946" s="141" t="n"/>
      <c r="K946" s="141" t="n"/>
      <c r="L946" s="141" t="n"/>
      <c r="M946" s="142" t="n"/>
      <c r="N946" s="146">
        <f>IF(AND(AND(F946="",G946=""),B946="",C946="",D946="",J946="",K946="",L946=""),"",IF(AND(F946="",G946=""),"✗ 没填金额",IF(AND(N(F946)&lt;&gt;0,N(G946)&lt;&gt;0),"✗ 收入、支出只能填一边",IF(NOT(ISNUMBER(B946)),"✗ 日期不是真日期（要像 2026/9/25 这样填）",IF(OR(B946&lt;年初日,B946&gt;年末日),"✗ 日期不在本会计年度",IF(C946="","✗ 没选账户",IF(COUNTIF(基础资料!$W$5:$W$24,C946)=0,"✗ 账户不在基础资料里",IF(O946="","✗ 没选收支项目",IF(P946="未知","✗ 收支项目不在基础资料里",IF(AND(P946="应收",J946=""),"✗ 这笔要选客户",IF(AND(P946="应收",COUNTIF(总览汇总!$B$5:$B$304,J946)=0),"✗ 客户不在总览汇总名单里",IF(AND(P946="应付",K946=""),"✗ 这笔要选供应商",IF(AND(P946="应付",COUNTIF(基础资料!$Q$5:$Q$54,K946)=0),"✗ 供应商不在基础资料里",IF(AND(P946="费用",L946=""),"✗ 费用支出要选费用项目",IF(AND(L946&lt;&gt;"",COUNTIF(基础资料!$AI$5:$AI$54,L946)=0),"✗ 费用项目不在基础资料里",IF(AND(IFERROR(INDEX(基础资料!$AD$5:$AD$34,MATCH(O946,基础资料!$AC$5:$AC$34,0)),"")="收",N(G946)&lt;&gt;0),"✗ 这类是收款，金额填到收入列",IF(AND(IFERROR(INDEX(基础资料!$AD$5:$AD$34,MATCH(O946,基础资料!$AC$5:$AC$34,0)),"")="支",N(F946)&lt;&gt;0),"✗ 这类是付款，金额填到支出列",IF(N(H946)&lt;0,"⚠ 账户余额成负数了，核对一下","√"))))))))))))))))))</f>
      </c>
      <c r="O946" s="78">
        <f>IF(D946&lt;&gt;"",D946,IF(AND(F946="",G946=""),"",IF(J946&lt;&gt;"",IF(N(F946)&gt;0,"客户回款","客户退款"),IF(K946&lt;&gt;"",IF(N(G946)&gt;0,"供应商付款","供应商退款"),IF(L946&lt;&gt;"","费用支出","")))))</f>
      </c>
      <c r="P946" s="78">
        <f>IF(O946="","",IFERROR(INDEX(基础资料!$AE$5:$AE$34,MATCH(O946,基础资料!$AC$5:$AC$34,0)),"未知"))</f>
      </c>
      <c r="Q946" s="78">
        <f>IF(P946="应收",COUNTIF(P$7:P946,"应收"),"")</f>
      </c>
      <c r="R946" s="78">
        <f>IF(P946="应付",COUNTIF(P$7:P946,"应付"),"")</f>
      </c>
      <c r="S946" s="78">
        <f>N(F946)-N(G946)</f>
        <v>0</v>
      </c>
    </row>
    <row r="947">
      <c r="A947" s="109">
        <f>IF(AND(F947="",G947=""),"",ROW()-6)</f>
      </c>
      <c r="B947" s="140" t="n"/>
      <c r="C947" s="141" t="n"/>
      <c r="D947" s="141" t="n"/>
      <c r="E947" s="142" t="n"/>
      <c r="F947" s="143" t="n"/>
      <c r="G947" s="144" t="n"/>
      <c r="H947" s="145">
        <f>IF(OR(C947="",AND(F947="",G947="")),"",SUMIF(基础资料!$W$5:$W$24,C947,基础资料!$X$5:$X$24)+SUMIF(C$7:C947,C947,F$7:F947)-SUMIF(C$7:C947,C947,G$7:G947))</f>
      </c>
      <c r="I947" s="145">
        <f>IF(AND(F947="",G947=""),"",SUM(基础资料!$X$5:$X$24)+SUM(F$7:F947)-SUM(G$7:G947))</f>
      </c>
      <c r="J947" s="141" t="n"/>
      <c r="K947" s="141" t="n"/>
      <c r="L947" s="141" t="n"/>
      <c r="M947" s="142" t="n"/>
      <c r="N947" s="146">
        <f>IF(AND(AND(F947="",G947=""),B947="",C947="",D947="",J947="",K947="",L947=""),"",IF(AND(F947="",G947=""),"✗ 没填金额",IF(AND(N(F947)&lt;&gt;0,N(G947)&lt;&gt;0),"✗ 收入、支出只能填一边",IF(NOT(ISNUMBER(B947)),"✗ 日期不是真日期（要像 2026/9/25 这样填）",IF(OR(B947&lt;年初日,B947&gt;年末日),"✗ 日期不在本会计年度",IF(C947="","✗ 没选账户",IF(COUNTIF(基础资料!$W$5:$W$24,C947)=0,"✗ 账户不在基础资料里",IF(O947="","✗ 没选收支项目",IF(P947="未知","✗ 收支项目不在基础资料里",IF(AND(P947="应收",J947=""),"✗ 这笔要选客户",IF(AND(P947="应收",COUNTIF(总览汇总!$B$5:$B$304,J947)=0),"✗ 客户不在总览汇总名单里",IF(AND(P947="应付",K947=""),"✗ 这笔要选供应商",IF(AND(P947="应付",COUNTIF(基础资料!$Q$5:$Q$54,K947)=0),"✗ 供应商不在基础资料里",IF(AND(P947="费用",L947=""),"✗ 费用支出要选费用项目",IF(AND(L947&lt;&gt;"",COUNTIF(基础资料!$AI$5:$AI$54,L947)=0),"✗ 费用项目不在基础资料里",IF(AND(IFERROR(INDEX(基础资料!$AD$5:$AD$34,MATCH(O947,基础资料!$AC$5:$AC$34,0)),"")="收",N(G947)&lt;&gt;0),"✗ 这类是收款，金额填到收入列",IF(AND(IFERROR(INDEX(基础资料!$AD$5:$AD$34,MATCH(O947,基础资料!$AC$5:$AC$34,0)),"")="支",N(F947)&lt;&gt;0),"✗ 这类是付款，金额填到支出列",IF(N(H947)&lt;0,"⚠ 账户余额成负数了，核对一下","√"))))))))))))))))))</f>
      </c>
      <c r="O947" s="78">
        <f>IF(D947&lt;&gt;"",D947,IF(AND(F947="",G947=""),"",IF(J947&lt;&gt;"",IF(N(F947)&gt;0,"客户回款","客户退款"),IF(K947&lt;&gt;"",IF(N(G947)&gt;0,"供应商付款","供应商退款"),IF(L947&lt;&gt;"","费用支出","")))))</f>
      </c>
      <c r="P947" s="78">
        <f>IF(O947="","",IFERROR(INDEX(基础资料!$AE$5:$AE$34,MATCH(O947,基础资料!$AC$5:$AC$34,0)),"未知"))</f>
      </c>
      <c r="Q947" s="78">
        <f>IF(P947="应收",COUNTIF(P$7:P947,"应收"),"")</f>
      </c>
      <c r="R947" s="78">
        <f>IF(P947="应付",COUNTIF(P$7:P947,"应付"),"")</f>
      </c>
      <c r="S947" s="78">
        <f>N(F947)-N(G947)</f>
        <v>0</v>
      </c>
    </row>
    <row r="948">
      <c r="A948" s="109">
        <f>IF(AND(F948="",G948=""),"",ROW()-6)</f>
      </c>
      <c r="B948" s="140" t="n"/>
      <c r="C948" s="141" t="n"/>
      <c r="D948" s="141" t="n"/>
      <c r="E948" s="142" t="n"/>
      <c r="F948" s="143" t="n"/>
      <c r="G948" s="144" t="n"/>
      <c r="H948" s="145">
        <f>IF(OR(C948="",AND(F948="",G948="")),"",SUMIF(基础资料!$W$5:$W$24,C948,基础资料!$X$5:$X$24)+SUMIF(C$7:C948,C948,F$7:F948)-SUMIF(C$7:C948,C948,G$7:G948))</f>
      </c>
      <c r="I948" s="145">
        <f>IF(AND(F948="",G948=""),"",SUM(基础资料!$X$5:$X$24)+SUM(F$7:F948)-SUM(G$7:G948))</f>
      </c>
      <c r="J948" s="141" t="n"/>
      <c r="K948" s="141" t="n"/>
      <c r="L948" s="141" t="n"/>
      <c r="M948" s="142" t="n"/>
      <c r="N948" s="146">
        <f>IF(AND(AND(F948="",G948=""),B948="",C948="",D948="",J948="",K948="",L948=""),"",IF(AND(F948="",G948=""),"✗ 没填金额",IF(AND(N(F948)&lt;&gt;0,N(G948)&lt;&gt;0),"✗ 收入、支出只能填一边",IF(NOT(ISNUMBER(B948)),"✗ 日期不是真日期（要像 2026/9/25 这样填）",IF(OR(B948&lt;年初日,B948&gt;年末日),"✗ 日期不在本会计年度",IF(C948="","✗ 没选账户",IF(COUNTIF(基础资料!$W$5:$W$24,C948)=0,"✗ 账户不在基础资料里",IF(O948="","✗ 没选收支项目",IF(P948="未知","✗ 收支项目不在基础资料里",IF(AND(P948="应收",J948=""),"✗ 这笔要选客户",IF(AND(P948="应收",COUNTIF(总览汇总!$B$5:$B$304,J948)=0),"✗ 客户不在总览汇总名单里",IF(AND(P948="应付",K948=""),"✗ 这笔要选供应商",IF(AND(P948="应付",COUNTIF(基础资料!$Q$5:$Q$54,K948)=0),"✗ 供应商不在基础资料里",IF(AND(P948="费用",L948=""),"✗ 费用支出要选费用项目",IF(AND(L948&lt;&gt;"",COUNTIF(基础资料!$AI$5:$AI$54,L948)=0),"✗ 费用项目不在基础资料里",IF(AND(IFERROR(INDEX(基础资料!$AD$5:$AD$34,MATCH(O948,基础资料!$AC$5:$AC$34,0)),"")="收",N(G948)&lt;&gt;0),"✗ 这类是收款，金额填到收入列",IF(AND(IFERROR(INDEX(基础资料!$AD$5:$AD$34,MATCH(O948,基础资料!$AC$5:$AC$34,0)),"")="支",N(F948)&lt;&gt;0),"✗ 这类是付款，金额填到支出列",IF(N(H948)&lt;0,"⚠ 账户余额成负数了，核对一下","√"))))))))))))))))))</f>
      </c>
      <c r="O948" s="78">
        <f>IF(D948&lt;&gt;"",D948,IF(AND(F948="",G948=""),"",IF(J948&lt;&gt;"",IF(N(F948)&gt;0,"客户回款","客户退款"),IF(K948&lt;&gt;"",IF(N(G948)&gt;0,"供应商付款","供应商退款"),IF(L948&lt;&gt;"","费用支出","")))))</f>
      </c>
      <c r="P948" s="78">
        <f>IF(O948="","",IFERROR(INDEX(基础资料!$AE$5:$AE$34,MATCH(O948,基础资料!$AC$5:$AC$34,0)),"未知"))</f>
      </c>
      <c r="Q948" s="78">
        <f>IF(P948="应收",COUNTIF(P$7:P948,"应收"),"")</f>
      </c>
      <c r="R948" s="78">
        <f>IF(P948="应付",COUNTIF(P$7:P948,"应付"),"")</f>
      </c>
      <c r="S948" s="78">
        <f>N(F948)-N(G948)</f>
        <v>0</v>
      </c>
    </row>
    <row r="949">
      <c r="A949" s="109">
        <f>IF(AND(F949="",G949=""),"",ROW()-6)</f>
      </c>
      <c r="B949" s="140" t="n"/>
      <c r="C949" s="141" t="n"/>
      <c r="D949" s="141" t="n"/>
      <c r="E949" s="142" t="n"/>
      <c r="F949" s="143" t="n"/>
      <c r="G949" s="144" t="n"/>
      <c r="H949" s="145">
        <f>IF(OR(C949="",AND(F949="",G949="")),"",SUMIF(基础资料!$W$5:$W$24,C949,基础资料!$X$5:$X$24)+SUMIF(C$7:C949,C949,F$7:F949)-SUMIF(C$7:C949,C949,G$7:G949))</f>
      </c>
      <c r="I949" s="145">
        <f>IF(AND(F949="",G949=""),"",SUM(基础资料!$X$5:$X$24)+SUM(F$7:F949)-SUM(G$7:G949))</f>
      </c>
      <c r="J949" s="141" t="n"/>
      <c r="K949" s="141" t="n"/>
      <c r="L949" s="141" t="n"/>
      <c r="M949" s="142" t="n"/>
      <c r="N949" s="146">
        <f>IF(AND(AND(F949="",G949=""),B949="",C949="",D949="",J949="",K949="",L949=""),"",IF(AND(F949="",G949=""),"✗ 没填金额",IF(AND(N(F949)&lt;&gt;0,N(G949)&lt;&gt;0),"✗ 收入、支出只能填一边",IF(NOT(ISNUMBER(B949)),"✗ 日期不是真日期（要像 2026/9/25 这样填）",IF(OR(B949&lt;年初日,B949&gt;年末日),"✗ 日期不在本会计年度",IF(C949="","✗ 没选账户",IF(COUNTIF(基础资料!$W$5:$W$24,C949)=0,"✗ 账户不在基础资料里",IF(O949="","✗ 没选收支项目",IF(P949="未知","✗ 收支项目不在基础资料里",IF(AND(P949="应收",J949=""),"✗ 这笔要选客户",IF(AND(P949="应收",COUNTIF(总览汇总!$B$5:$B$304,J949)=0),"✗ 客户不在总览汇总名单里",IF(AND(P949="应付",K949=""),"✗ 这笔要选供应商",IF(AND(P949="应付",COUNTIF(基础资料!$Q$5:$Q$54,K949)=0),"✗ 供应商不在基础资料里",IF(AND(P949="费用",L949=""),"✗ 费用支出要选费用项目",IF(AND(L949&lt;&gt;"",COUNTIF(基础资料!$AI$5:$AI$54,L949)=0),"✗ 费用项目不在基础资料里",IF(AND(IFERROR(INDEX(基础资料!$AD$5:$AD$34,MATCH(O949,基础资料!$AC$5:$AC$34,0)),"")="收",N(G949)&lt;&gt;0),"✗ 这类是收款，金额填到收入列",IF(AND(IFERROR(INDEX(基础资料!$AD$5:$AD$34,MATCH(O949,基础资料!$AC$5:$AC$34,0)),"")="支",N(F949)&lt;&gt;0),"✗ 这类是付款，金额填到支出列",IF(N(H949)&lt;0,"⚠ 账户余额成负数了，核对一下","√"))))))))))))))))))</f>
      </c>
      <c r="O949" s="78">
        <f>IF(D949&lt;&gt;"",D949,IF(AND(F949="",G949=""),"",IF(J949&lt;&gt;"",IF(N(F949)&gt;0,"客户回款","客户退款"),IF(K949&lt;&gt;"",IF(N(G949)&gt;0,"供应商付款","供应商退款"),IF(L949&lt;&gt;"","费用支出","")))))</f>
      </c>
      <c r="P949" s="78">
        <f>IF(O949="","",IFERROR(INDEX(基础资料!$AE$5:$AE$34,MATCH(O949,基础资料!$AC$5:$AC$34,0)),"未知"))</f>
      </c>
      <c r="Q949" s="78">
        <f>IF(P949="应收",COUNTIF(P$7:P949,"应收"),"")</f>
      </c>
      <c r="R949" s="78">
        <f>IF(P949="应付",COUNTIF(P$7:P949,"应付"),"")</f>
      </c>
      <c r="S949" s="78">
        <f>N(F949)-N(G949)</f>
        <v>0</v>
      </c>
    </row>
    <row r="950">
      <c r="A950" s="109">
        <f>IF(AND(F950="",G950=""),"",ROW()-6)</f>
      </c>
      <c r="B950" s="140" t="n"/>
      <c r="C950" s="141" t="n"/>
      <c r="D950" s="141" t="n"/>
      <c r="E950" s="142" t="n"/>
      <c r="F950" s="143" t="n"/>
      <c r="G950" s="144" t="n"/>
      <c r="H950" s="145">
        <f>IF(OR(C950="",AND(F950="",G950="")),"",SUMIF(基础资料!$W$5:$W$24,C950,基础资料!$X$5:$X$24)+SUMIF(C$7:C950,C950,F$7:F950)-SUMIF(C$7:C950,C950,G$7:G950))</f>
      </c>
      <c r="I950" s="145">
        <f>IF(AND(F950="",G950=""),"",SUM(基础资料!$X$5:$X$24)+SUM(F$7:F950)-SUM(G$7:G950))</f>
      </c>
      <c r="J950" s="141" t="n"/>
      <c r="K950" s="141" t="n"/>
      <c r="L950" s="141" t="n"/>
      <c r="M950" s="142" t="n"/>
      <c r="N950" s="146">
        <f>IF(AND(AND(F950="",G950=""),B950="",C950="",D950="",J950="",K950="",L950=""),"",IF(AND(F950="",G950=""),"✗ 没填金额",IF(AND(N(F950)&lt;&gt;0,N(G950)&lt;&gt;0),"✗ 收入、支出只能填一边",IF(NOT(ISNUMBER(B950)),"✗ 日期不是真日期（要像 2026/9/25 这样填）",IF(OR(B950&lt;年初日,B950&gt;年末日),"✗ 日期不在本会计年度",IF(C950="","✗ 没选账户",IF(COUNTIF(基础资料!$W$5:$W$24,C950)=0,"✗ 账户不在基础资料里",IF(O950="","✗ 没选收支项目",IF(P950="未知","✗ 收支项目不在基础资料里",IF(AND(P950="应收",J950=""),"✗ 这笔要选客户",IF(AND(P950="应收",COUNTIF(总览汇总!$B$5:$B$304,J950)=0),"✗ 客户不在总览汇总名单里",IF(AND(P950="应付",K950=""),"✗ 这笔要选供应商",IF(AND(P950="应付",COUNTIF(基础资料!$Q$5:$Q$54,K950)=0),"✗ 供应商不在基础资料里",IF(AND(P950="费用",L950=""),"✗ 费用支出要选费用项目",IF(AND(L950&lt;&gt;"",COUNTIF(基础资料!$AI$5:$AI$54,L950)=0),"✗ 费用项目不在基础资料里",IF(AND(IFERROR(INDEX(基础资料!$AD$5:$AD$34,MATCH(O950,基础资料!$AC$5:$AC$34,0)),"")="收",N(G950)&lt;&gt;0),"✗ 这类是收款，金额填到收入列",IF(AND(IFERROR(INDEX(基础资料!$AD$5:$AD$34,MATCH(O950,基础资料!$AC$5:$AC$34,0)),"")="支",N(F950)&lt;&gt;0),"✗ 这类是付款，金额填到支出列",IF(N(H950)&lt;0,"⚠ 账户余额成负数了，核对一下","√"))))))))))))))))))</f>
      </c>
      <c r="O950" s="78">
        <f>IF(D950&lt;&gt;"",D950,IF(AND(F950="",G950=""),"",IF(J950&lt;&gt;"",IF(N(F950)&gt;0,"客户回款","客户退款"),IF(K950&lt;&gt;"",IF(N(G950)&gt;0,"供应商付款","供应商退款"),IF(L950&lt;&gt;"","费用支出","")))))</f>
      </c>
      <c r="P950" s="78">
        <f>IF(O950="","",IFERROR(INDEX(基础资料!$AE$5:$AE$34,MATCH(O950,基础资料!$AC$5:$AC$34,0)),"未知"))</f>
      </c>
      <c r="Q950" s="78">
        <f>IF(P950="应收",COUNTIF(P$7:P950,"应收"),"")</f>
      </c>
      <c r="R950" s="78">
        <f>IF(P950="应付",COUNTIF(P$7:P950,"应付"),"")</f>
      </c>
      <c r="S950" s="78">
        <f>N(F950)-N(G950)</f>
        <v>0</v>
      </c>
    </row>
    <row r="951">
      <c r="A951" s="109">
        <f>IF(AND(F951="",G951=""),"",ROW()-6)</f>
      </c>
      <c r="B951" s="140" t="n"/>
      <c r="C951" s="141" t="n"/>
      <c r="D951" s="141" t="n"/>
      <c r="E951" s="142" t="n"/>
      <c r="F951" s="143" t="n"/>
      <c r="G951" s="144" t="n"/>
      <c r="H951" s="145">
        <f>IF(OR(C951="",AND(F951="",G951="")),"",SUMIF(基础资料!$W$5:$W$24,C951,基础资料!$X$5:$X$24)+SUMIF(C$7:C951,C951,F$7:F951)-SUMIF(C$7:C951,C951,G$7:G951))</f>
      </c>
      <c r="I951" s="145">
        <f>IF(AND(F951="",G951=""),"",SUM(基础资料!$X$5:$X$24)+SUM(F$7:F951)-SUM(G$7:G951))</f>
      </c>
      <c r="J951" s="141" t="n"/>
      <c r="K951" s="141" t="n"/>
      <c r="L951" s="141" t="n"/>
      <c r="M951" s="142" t="n"/>
      <c r="N951" s="146">
        <f>IF(AND(AND(F951="",G951=""),B951="",C951="",D951="",J951="",K951="",L951=""),"",IF(AND(F951="",G951=""),"✗ 没填金额",IF(AND(N(F951)&lt;&gt;0,N(G951)&lt;&gt;0),"✗ 收入、支出只能填一边",IF(NOT(ISNUMBER(B951)),"✗ 日期不是真日期（要像 2026/9/25 这样填）",IF(OR(B951&lt;年初日,B951&gt;年末日),"✗ 日期不在本会计年度",IF(C951="","✗ 没选账户",IF(COUNTIF(基础资料!$W$5:$W$24,C951)=0,"✗ 账户不在基础资料里",IF(O951="","✗ 没选收支项目",IF(P951="未知","✗ 收支项目不在基础资料里",IF(AND(P951="应收",J951=""),"✗ 这笔要选客户",IF(AND(P951="应收",COUNTIF(总览汇总!$B$5:$B$304,J951)=0),"✗ 客户不在总览汇总名单里",IF(AND(P951="应付",K951=""),"✗ 这笔要选供应商",IF(AND(P951="应付",COUNTIF(基础资料!$Q$5:$Q$54,K951)=0),"✗ 供应商不在基础资料里",IF(AND(P951="费用",L951=""),"✗ 费用支出要选费用项目",IF(AND(L951&lt;&gt;"",COUNTIF(基础资料!$AI$5:$AI$54,L951)=0),"✗ 费用项目不在基础资料里",IF(AND(IFERROR(INDEX(基础资料!$AD$5:$AD$34,MATCH(O951,基础资料!$AC$5:$AC$34,0)),"")="收",N(G951)&lt;&gt;0),"✗ 这类是收款，金额填到收入列",IF(AND(IFERROR(INDEX(基础资料!$AD$5:$AD$34,MATCH(O951,基础资料!$AC$5:$AC$34,0)),"")="支",N(F951)&lt;&gt;0),"✗ 这类是付款，金额填到支出列",IF(N(H951)&lt;0,"⚠ 账户余额成负数了，核对一下","√"))))))))))))))))))</f>
      </c>
      <c r="O951" s="78">
        <f>IF(D951&lt;&gt;"",D951,IF(AND(F951="",G951=""),"",IF(J951&lt;&gt;"",IF(N(F951)&gt;0,"客户回款","客户退款"),IF(K951&lt;&gt;"",IF(N(G951)&gt;0,"供应商付款","供应商退款"),IF(L951&lt;&gt;"","费用支出","")))))</f>
      </c>
      <c r="P951" s="78">
        <f>IF(O951="","",IFERROR(INDEX(基础资料!$AE$5:$AE$34,MATCH(O951,基础资料!$AC$5:$AC$34,0)),"未知"))</f>
      </c>
      <c r="Q951" s="78">
        <f>IF(P951="应收",COUNTIF(P$7:P951,"应收"),"")</f>
      </c>
      <c r="R951" s="78">
        <f>IF(P951="应付",COUNTIF(P$7:P951,"应付"),"")</f>
      </c>
      <c r="S951" s="78">
        <f>N(F951)-N(G951)</f>
        <v>0</v>
      </c>
    </row>
    <row r="952">
      <c r="A952" s="109">
        <f>IF(AND(F952="",G952=""),"",ROW()-6)</f>
      </c>
      <c r="B952" s="140" t="n"/>
      <c r="C952" s="141" t="n"/>
      <c r="D952" s="141" t="n"/>
      <c r="E952" s="142" t="n"/>
      <c r="F952" s="143" t="n"/>
      <c r="G952" s="144" t="n"/>
      <c r="H952" s="145">
        <f>IF(OR(C952="",AND(F952="",G952="")),"",SUMIF(基础资料!$W$5:$W$24,C952,基础资料!$X$5:$X$24)+SUMIF(C$7:C952,C952,F$7:F952)-SUMIF(C$7:C952,C952,G$7:G952))</f>
      </c>
      <c r="I952" s="145">
        <f>IF(AND(F952="",G952=""),"",SUM(基础资料!$X$5:$X$24)+SUM(F$7:F952)-SUM(G$7:G952))</f>
      </c>
      <c r="J952" s="141" t="n"/>
      <c r="K952" s="141" t="n"/>
      <c r="L952" s="141" t="n"/>
      <c r="M952" s="142" t="n"/>
      <c r="N952" s="146">
        <f>IF(AND(AND(F952="",G952=""),B952="",C952="",D952="",J952="",K952="",L952=""),"",IF(AND(F952="",G952=""),"✗ 没填金额",IF(AND(N(F952)&lt;&gt;0,N(G952)&lt;&gt;0),"✗ 收入、支出只能填一边",IF(NOT(ISNUMBER(B952)),"✗ 日期不是真日期（要像 2026/9/25 这样填）",IF(OR(B952&lt;年初日,B952&gt;年末日),"✗ 日期不在本会计年度",IF(C952="","✗ 没选账户",IF(COUNTIF(基础资料!$W$5:$W$24,C952)=0,"✗ 账户不在基础资料里",IF(O952="","✗ 没选收支项目",IF(P952="未知","✗ 收支项目不在基础资料里",IF(AND(P952="应收",J952=""),"✗ 这笔要选客户",IF(AND(P952="应收",COUNTIF(总览汇总!$B$5:$B$304,J952)=0),"✗ 客户不在总览汇总名单里",IF(AND(P952="应付",K952=""),"✗ 这笔要选供应商",IF(AND(P952="应付",COUNTIF(基础资料!$Q$5:$Q$54,K952)=0),"✗ 供应商不在基础资料里",IF(AND(P952="费用",L952=""),"✗ 费用支出要选费用项目",IF(AND(L952&lt;&gt;"",COUNTIF(基础资料!$AI$5:$AI$54,L952)=0),"✗ 费用项目不在基础资料里",IF(AND(IFERROR(INDEX(基础资料!$AD$5:$AD$34,MATCH(O952,基础资料!$AC$5:$AC$34,0)),"")="收",N(G952)&lt;&gt;0),"✗ 这类是收款，金额填到收入列",IF(AND(IFERROR(INDEX(基础资料!$AD$5:$AD$34,MATCH(O952,基础资料!$AC$5:$AC$34,0)),"")="支",N(F952)&lt;&gt;0),"✗ 这类是付款，金额填到支出列",IF(N(H952)&lt;0,"⚠ 账户余额成负数了，核对一下","√"))))))))))))))))))</f>
      </c>
      <c r="O952" s="78">
        <f>IF(D952&lt;&gt;"",D952,IF(AND(F952="",G952=""),"",IF(J952&lt;&gt;"",IF(N(F952)&gt;0,"客户回款","客户退款"),IF(K952&lt;&gt;"",IF(N(G952)&gt;0,"供应商付款","供应商退款"),IF(L952&lt;&gt;"","费用支出","")))))</f>
      </c>
      <c r="P952" s="78">
        <f>IF(O952="","",IFERROR(INDEX(基础资料!$AE$5:$AE$34,MATCH(O952,基础资料!$AC$5:$AC$34,0)),"未知"))</f>
      </c>
      <c r="Q952" s="78">
        <f>IF(P952="应收",COUNTIF(P$7:P952,"应收"),"")</f>
      </c>
      <c r="R952" s="78">
        <f>IF(P952="应付",COUNTIF(P$7:P952,"应付"),"")</f>
      </c>
      <c r="S952" s="78">
        <f>N(F952)-N(G952)</f>
        <v>0</v>
      </c>
    </row>
    <row r="953">
      <c r="A953" s="109">
        <f>IF(AND(F953="",G953=""),"",ROW()-6)</f>
      </c>
      <c r="B953" s="140" t="n"/>
      <c r="C953" s="141" t="n"/>
      <c r="D953" s="141" t="n"/>
      <c r="E953" s="142" t="n"/>
      <c r="F953" s="143" t="n"/>
      <c r="G953" s="144" t="n"/>
      <c r="H953" s="145">
        <f>IF(OR(C953="",AND(F953="",G953="")),"",SUMIF(基础资料!$W$5:$W$24,C953,基础资料!$X$5:$X$24)+SUMIF(C$7:C953,C953,F$7:F953)-SUMIF(C$7:C953,C953,G$7:G953))</f>
      </c>
      <c r="I953" s="145">
        <f>IF(AND(F953="",G953=""),"",SUM(基础资料!$X$5:$X$24)+SUM(F$7:F953)-SUM(G$7:G953))</f>
      </c>
      <c r="J953" s="141" t="n"/>
      <c r="K953" s="141" t="n"/>
      <c r="L953" s="141" t="n"/>
      <c r="M953" s="142" t="n"/>
      <c r="N953" s="146">
        <f>IF(AND(AND(F953="",G953=""),B953="",C953="",D953="",J953="",K953="",L953=""),"",IF(AND(F953="",G953=""),"✗ 没填金额",IF(AND(N(F953)&lt;&gt;0,N(G953)&lt;&gt;0),"✗ 收入、支出只能填一边",IF(NOT(ISNUMBER(B953)),"✗ 日期不是真日期（要像 2026/9/25 这样填）",IF(OR(B953&lt;年初日,B953&gt;年末日),"✗ 日期不在本会计年度",IF(C953="","✗ 没选账户",IF(COUNTIF(基础资料!$W$5:$W$24,C953)=0,"✗ 账户不在基础资料里",IF(O953="","✗ 没选收支项目",IF(P953="未知","✗ 收支项目不在基础资料里",IF(AND(P953="应收",J953=""),"✗ 这笔要选客户",IF(AND(P953="应收",COUNTIF(总览汇总!$B$5:$B$304,J953)=0),"✗ 客户不在总览汇总名单里",IF(AND(P953="应付",K953=""),"✗ 这笔要选供应商",IF(AND(P953="应付",COUNTIF(基础资料!$Q$5:$Q$54,K953)=0),"✗ 供应商不在基础资料里",IF(AND(P953="费用",L953=""),"✗ 费用支出要选费用项目",IF(AND(L953&lt;&gt;"",COUNTIF(基础资料!$AI$5:$AI$54,L953)=0),"✗ 费用项目不在基础资料里",IF(AND(IFERROR(INDEX(基础资料!$AD$5:$AD$34,MATCH(O953,基础资料!$AC$5:$AC$34,0)),"")="收",N(G953)&lt;&gt;0),"✗ 这类是收款，金额填到收入列",IF(AND(IFERROR(INDEX(基础资料!$AD$5:$AD$34,MATCH(O953,基础资料!$AC$5:$AC$34,0)),"")="支",N(F953)&lt;&gt;0),"✗ 这类是付款，金额填到支出列",IF(N(H953)&lt;0,"⚠ 账户余额成负数了，核对一下","√"))))))))))))))))))</f>
      </c>
      <c r="O953" s="78">
        <f>IF(D953&lt;&gt;"",D953,IF(AND(F953="",G953=""),"",IF(J953&lt;&gt;"",IF(N(F953)&gt;0,"客户回款","客户退款"),IF(K953&lt;&gt;"",IF(N(G953)&gt;0,"供应商付款","供应商退款"),IF(L953&lt;&gt;"","费用支出","")))))</f>
      </c>
      <c r="P953" s="78">
        <f>IF(O953="","",IFERROR(INDEX(基础资料!$AE$5:$AE$34,MATCH(O953,基础资料!$AC$5:$AC$34,0)),"未知"))</f>
      </c>
      <c r="Q953" s="78">
        <f>IF(P953="应收",COUNTIF(P$7:P953,"应收"),"")</f>
      </c>
      <c r="R953" s="78">
        <f>IF(P953="应付",COUNTIF(P$7:P953,"应付"),"")</f>
      </c>
      <c r="S953" s="78">
        <f>N(F953)-N(G953)</f>
        <v>0</v>
      </c>
    </row>
    <row r="954">
      <c r="A954" s="109">
        <f>IF(AND(F954="",G954=""),"",ROW()-6)</f>
      </c>
      <c r="B954" s="140" t="n"/>
      <c r="C954" s="141" t="n"/>
      <c r="D954" s="141" t="n"/>
      <c r="E954" s="142" t="n"/>
      <c r="F954" s="143" t="n"/>
      <c r="G954" s="144" t="n"/>
      <c r="H954" s="145">
        <f>IF(OR(C954="",AND(F954="",G954="")),"",SUMIF(基础资料!$W$5:$W$24,C954,基础资料!$X$5:$X$24)+SUMIF(C$7:C954,C954,F$7:F954)-SUMIF(C$7:C954,C954,G$7:G954))</f>
      </c>
      <c r="I954" s="145">
        <f>IF(AND(F954="",G954=""),"",SUM(基础资料!$X$5:$X$24)+SUM(F$7:F954)-SUM(G$7:G954))</f>
      </c>
      <c r="J954" s="141" t="n"/>
      <c r="K954" s="141" t="n"/>
      <c r="L954" s="141" t="n"/>
      <c r="M954" s="142" t="n"/>
      <c r="N954" s="146">
        <f>IF(AND(AND(F954="",G954=""),B954="",C954="",D954="",J954="",K954="",L954=""),"",IF(AND(F954="",G954=""),"✗ 没填金额",IF(AND(N(F954)&lt;&gt;0,N(G954)&lt;&gt;0),"✗ 收入、支出只能填一边",IF(NOT(ISNUMBER(B954)),"✗ 日期不是真日期（要像 2026/9/25 这样填）",IF(OR(B954&lt;年初日,B954&gt;年末日),"✗ 日期不在本会计年度",IF(C954="","✗ 没选账户",IF(COUNTIF(基础资料!$W$5:$W$24,C954)=0,"✗ 账户不在基础资料里",IF(O954="","✗ 没选收支项目",IF(P954="未知","✗ 收支项目不在基础资料里",IF(AND(P954="应收",J954=""),"✗ 这笔要选客户",IF(AND(P954="应收",COUNTIF(总览汇总!$B$5:$B$304,J954)=0),"✗ 客户不在总览汇总名单里",IF(AND(P954="应付",K954=""),"✗ 这笔要选供应商",IF(AND(P954="应付",COUNTIF(基础资料!$Q$5:$Q$54,K954)=0),"✗ 供应商不在基础资料里",IF(AND(P954="费用",L954=""),"✗ 费用支出要选费用项目",IF(AND(L954&lt;&gt;"",COUNTIF(基础资料!$AI$5:$AI$54,L954)=0),"✗ 费用项目不在基础资料里",IF(AND(IFERROR(INDEX(基础资料!$AD$5:$AD$34,MATCH(O954,基础资料!$AC$5:$AC$34,0)),"")="收",N(G954)&lt;&gt;0),"✗ 这类是收款，金额填到收入列",IF(AND(IFERROR(INDEX(基础资料!$AD$5:$AD$34,MATCH(O954,基础资料!$AC$5:$AC$34,0)),"")="支",N(F954)&lt;&gt;0),"✗ 这类是付款，金额填到支出列",IF(N(H954)&lt;0,"⚠ 账户余额成负数了，核对一下","√"))))))))))))))))))</f>
      </c>
      <c r="O954" s="78">
        <f>IF(D954&lt;&gt;"",D954,IF(AND(F954="",G954=""),"",IF(J954&lt;&gt;"",IF(N(F954)&gt;0,"客户回款","客户退款"),IF(K954&lt;&gt;"",IF(N(G954)&gt;0,"供应商付款","供应商退款"),IF(L954&lt;&gt;"","费用支出","")))))</f>
      </c>
      <c r="P954" s="78">
        <f>IF(O954="","",IFERROR(INDEX(基础资料!$AE$5:$AE$34,MATCH(O954,基础资料!$AC$5:$AC$34,0)),"未知"))</f>
      </c>
      <c r="Q954" s="78">
        <f>IF(P954="应收",COUNTIF(P$7:P954,"应收"),"")</f>
      </c>
      <c r="R954" s="78">
        <f>IF(P954="应付",COUNTIF(P$7:P954,"应付"),"")</f>
      </c>
      <c r="S954" s="78">
        <f>N(F954)-N(G954)</f>
        <v>0</v>
      </c>
    </row>
    <row r="955">
      <c r="A955" s="109">
        <f>IF(AND(F955="",G955=""),"",ROW()-6)</f>
      </c>
      <c r="B955" s="140" t="n"/>
      <c r="C955" s="141" t="n"/>
      <c r="D955" s="141" t="n"/>
      <c r="E955" s="142" t="n"/>
      <c r="F955" s="143" t="n"/>
      <c r="G955" s="144" t="n"/>
      <c r="H955" s="145">
        <f>IF(OR(C955="",AND(F955="",G955="")),"",SUMIF(基础资料!$W$5:$W$24,C955,基础资料!$X$5:$X$24)+SUMIF(C$7:C955,C955,F$7:F955)-SUMIF(C$7:C955,C955,G$7:G955))</f>
      </c>
      <c r="I955" s="145">
        <f>IF(AND(F955="",G955=""),"",SUM(基础资料!$X$5:$X$24)+SUM(F$7:F955)-SUM(G$7:G955))</f>
      </c>
      <c r="J955" s="141" t="n"/>
      <c r="K955" s="141" t="n"/>
      <c r="L955" s="141" t="n"/>
      <c r="M955" s="142" t="n"/>
      <c r="N955" s="146">
        <f>IF(AND(AND(F955="",G955=""),B955="",C955="",D955="",J955="",K955="",L955=""),"",IF(AND(F955="",G955=""),"✗ 没填金额",IF(AND(N(F955)&lt;&gt;0,N(G955)&lt;&gt;0),"✗ 收入、支出只能填一边",IF(NOT(ISNUMBER(B955)),"✗ 日期不是真日期（要像 2026/9/25 这样填）",IF(OR(B955&lt;年初日,B955&gt;年末日),"✗ 日期不在本会计年度",IF(C955="","✗ 没选账户",IF(COUNTIF(基础资料!$W$5:$W$24,C955)=0,"✗ 账户不在基础资料里",IF(O955="","✗ 没选收支项目",IF(P955="未知","✗ 收支项目不在基础资料里",IF(AND(P955="应收",J955=""),"✗ 这笔要选客户",IF(AND(P955="应收",COUNTIF(总览汇总!$B$5:$B$304,J955)=0),"✗ 客户不在总览汇总名单里",IF(AND(P955="应付",K955=""),"✗ 这笔要选供应商",IF(AND(P955="应付",COUNTIF(基础资料!$Q$5:$Q$54,K955)=0),"✗ 供应商不在基础资料里",IF(AND(P955="费用",L955=""),"✗ 费用支出要选费用项目",IF(AND(L955&lt;&gt;"",COUNTIF(基础资料!$AI$5:$AI$54,L955)=0),"✗ 费用项目不在基础资料里",IF(AND(IFERROR(INDEX(基础资料!$AD$5:$AD$34,MATCH(O955,基础资料!$AC$5:$AC$34,0)),"")="收",N(G955)&lt;&gt;0),"✗ 这类是收款，金额填到收入列",IF(AND(IFERROR(INDEX(基础资料!$AD$5:$AD$34,MATCH(O955,基础资料!$AC$5:$AC$34,0)),"")="支",N(F955)&lt;&gt;0),"✗ 这类是付款，金额填到支出列",IF(N(H955)&lt;0,"⚠ 账户余额成负数了，核对一下","√"))))))))))))))))))</f>
      </c>
      <c r="O955" s="78">
        <f>IF(D955&lt;&gt;"",D955,IF(AND(F955="",G955=""),"",IF(J955&lt;&gt;"",IF(N(F955)&gt;0,"客户回款","客户退款"),IF(K955&lt;&gt;"",IF(N(G955)&gt;0,"供应商付款","供应商退款"),IF(L955&lt;&gt;"","费用支出","")))))</f>
      </c>
      <c r="P955" s="78">
        <f>IF(O955="","",IFERROR(INDEX(基础资料!$AE$5:$AE$34,MATCH(O955,基础资料!$AC$5:$AC$34,0)),"未知"))</f>
      </c>
      <c r="Q955" s="78">
        <f>IF(P955="应收",COUNTIF(P$7:P955,"应收"),"")</f>
      </c>
      <c r="R955" s="78">
        <f>IF(P955="应付",COUNTIF(P$7:P955,"应付"),"")</f>
      </c>
      <c r="S955" s="78">
        <f>N(F955)-N(G955)</f>
        <v>0</v>
      </c>
    </row>
    <row r="956">
      <c r="A956" s="109">
        <f>IF(AND(F956="",G956=""),"",ROW()-6)</f>
      </c>
      <c r="B956" s="140" t="n"/>
      <c r="C956" s="141" t="n"/>
      <c r="D956" s="141" t="n"/>
      <c r="E956" s="142" t="n"/>
      <c r="F956" s="143" t="n"/>
      <c r="G956" s="144" t="n"/>
      <c r="H956" s="145">
        <f>IF(OR(C956="",AND(F956="",G956="")),"",SUMIF(基础资料!$W$5:$W$24,C956,基础资料!$X$5:$X$24)+SUMIF(C$7:C956,C956,F$7:F956)-SUMIF(C$7:C956,C956,G$7:G956))</f>
      </c>
      <c r="I956" s="145">
        <f>IF(AND(F956="",G956=""),"",SUM(基础资料!$X$5:$X$24)+SUM(F$7:F956)-SUM(G$7:G956))</f>
      </c>
      <c r="J956" s="141" t="n"/>
      <c r="K956" s="141" t="n"/>
      <c r="L956" s="141" t="n"/>
      <c r="M956" s="142" t="n"/>
      <c r="N956" s="146">
        <f>IF(AND(AND(F956="",G956=""),B956="",C956="",D956="",J956="",K956="",L956=""),"",IF(AND(F956="",G956=""),"✗ 没填金额",IF(AND(N(F956)&lt;&gt;0,N(G956)&lt;&gt;0),"✗ 收入、支出只能填一边",IF(NOT(ISNUMBER(B956)),"✗ 日期不是真日期（要像 2026/9/25 这样填）",IF(OR(B956&lt;年初日,B956&gt;年末日),"✗ 日期不在本会计年度",IF(C956="","✗ 没选账户",IF(COUNTIF(基础资料!$W$5:$W$24,C956)=0,"✗ 账户不在基础资料里",IF(O956="","✗ 没选收支项目",IF(P956="未知","✗ 收支项目不在基础资料里",IF(AND(P956="应收",J956=""),"✗ 这笔要选客户",IF(AND(P956="应收",COUNTIF(总览汇总!$B$5:$B$304,J956)=0),"✗ 客户不在总览汇总名单里",IF(AND(P956="应付",K956=""),"✗ 这笔要选供应商",IF(AND(P956="应付",COUNTIF(基础资料!$Q$5:$Q$54,K956)=0),"✗ 供应商不在基础资料里",IF(AND(P956="费用",L956=""),"✗ 费用支出要选费用项目",IF(AND(L956&lt;&gt;"",COUNTIF(基础资料!$AI$5:$AI$54,L956)=0),"✗ 费用项目不在基础资料里",IF(AND(IFERROR(INDEX(基础资料!$AD$5:$AD$34,MATCH(O956,基础资料!$AC$5:$AC$34,0)),"")="收",N(G956)&lt;&gt;0),"✗ 这类是收款，金额填到收入列",IF(AND(IFERROR(INDEX(基础资料!$AD$5:$AD$34,MATCH(O956,基础资料!$AC$5:$AC$34,0)),"")="支",N(F956)&lt;&gt;0),"✗ 这类是付款，金额填到支出列",IF(N(H956)&lt;0,"⚠ 账户余额成负数了，核对一下","√"))))))))))))))))))</f>
      </c>
      <c r="O956" s="78">
        <f>IF(D956&lt;&gt;"",D956,IF(AND(F956="",G956=""),"",IF(J956&lt;&gt;"",IF(N(F956)&gt;0,"客户回款","客户退款"),IF(K956&lt;&gt;"",IF(N(G956)&gt;0,"供应商付款","供应商退款"),IF(L956&lt;&gt;"","费用支出","")))))</f>
      </c>
      <c r="P956" s="78">
        <f>IF(O956="","",IFERROR(INDEX(基础资料!$AE$5:$AE$34,MATCH(O956,基础资料!$AC$5:$AC$34,0)),"未知"))</f>
      </c>
      <c r="Q956" s="78">
        <f>IF(P956="应收",COUNTIF(P$7:P956,"应收"),"")</f>
      </c>
      <c r="R956" s="78">
        <f>IF(P956="应付",COUNTIF(P$7:P956,"应付"),"")</f>
      </c>
      <c r="S956" s="78">
        <f>N(F956)-N(G956)</f>
        <v>0</v>
      </c>
    </row>
    <row r="957">
      <c r="A957" s="109">
        <f>IF(AND(F957="",G957=""),"",ROW()-6)</f>
      </c>
      <c r="B957" s="140" t="n"/>
      <c r="C957" s="141" t="n"/>
      <c r="D957" s="141" t="n"/>
      <c r="E957" s="142" t="n"/>
      <c r="F957" s="143" t="n"/>
      <c r="G957" s="144" t="n"/>
      <c r="H957" s="145">
        <f>IF(OR(C957="",AND(F957="",G957="")),"",SUMIF(基础资料!$W$5:$W$24,C957,基础资料!$X$5:$X$24)+SUMIF(C$7:C957,C957,F$7:F957)-SUMIF(C$7:C957,C957,G$7:G957))</f>
      </c>
      <c r="I957" s="145">
        <f>IF(AND(F957="",G957=""),"",SUM(基础资料!$X$5:$X$24)+SUM(F$7:F957)-SUM(G$7:G957))</f>
      </c>
      <c r="J957" s="141" t="n"/>
      <c r="K957" s="141" t="n"/>
      <c r="L957" s="141" t="n"/>
      <c r="M957" s="142" t="n"/>
      <c r="N957" s="146">
        <f>IF(AND(AND(F957="",G957=""),B957="",C957="",D957="",J957="",K957="",L957=""),"",IF(AND(F957="",G957=""),"✗ 没填金额",IF(AND(N(F957)&lt;&gt;0,N(G957)&lt;&gt;0),"✗ 收入、支出只能填一边",IF(NOT(ISNUMBER(B957)),"✗ 日期不是真日期（要像 2026/9/25 这样填）",IF(OR(B957&lt;年初日,B957&gt;年末日),"✗ 日期不在本会计年度",IF(C957="","✗ 没选账户",IF(COUNTIF(基础资料!$W$5:$W$24,C957)=0,"✗ 账户不在基础资料里",IF(O957="","✗ 没选收支项目",IF(P957="未知","✗ 收支项目不在基础资料里",IF(AND(P957="应收",J957=""),"✗ 这笔要选客户",IF(AND(P957="应收",COUNTIF(总览汇总!$B$5:$B$304,J957)=0),"✗ 客户不在总览汇总名单里",IF(AND(P957="应付",K957=""),"✗ 这笔要选供应商",IF(AND(P957="应付",COUNTIF(基础资料!$Q$5:$Q$54,K957)=0),"✗ 供应商不在基础资料里",IF(AND(P957="费用",L957=""),"✗ 费用支出要选费用项目",IF(AND(L957&lt;&gt;"",COUNTIF(基础资料!$AI$5:$AI$54,L957)=0),"✗ 费用项目不在基础资料里",IF(AND(IFERROR(INDEX(基础资料!$AD$5:$AD$34,MATCH(O957,基础资料!$AC$5:$AC$34,0)),"")="收",N(G957)&lt;&gt;0),"✗ 这类是收款，金额填到收入列",IF(AND(IFERROR(INDEX(基础资料!$AD$5:$AD$34,MATCH(O957,基础资料!$AC$5:$AC$34,0)),"")="支",N(F957)&lt;&gt;0),"✗ 这类是付款，金额填到支出列",IF(N(H957)&lt;0,"⚠ 账户余额成负数了，核对一下","√"))))))))))))))))))</f>
      </c>
      <c r="O957" s="78">
        <f>IF(D957&lt;&gt;"",D957,IF(AND(F957="",G957=""),"",IF(J957&lt;&gt;"",IF(N(F957)&gt;0,"客户回款","客户退款"),IF(K957&lt;&gt;"",IF(N(G957)&gt;0,"供应商付款","供应商退款"),IF(L957&lt;&gt;"","费用支出","")))))</f>
      </c>
      <c r="P957" s="78">
        <f>IF(O957="","",IFERROR(INDEX(基础资料!$AE$5:$AE$34,MATCH(O957,基础资料!$AC$5:$AC$34,0)),"未知"))</f>
      </c>
      <c r="Q957" s="78">
        <f>IF(P957="应收",COUNTIF(P$7:P957,"应收"),"")</f>
      </c>
      <c r="R957" s="78">
        <f>IF(P957="应付",COUNTIF(P$7:P957,"应付"),"")</f>
      </c>
      <c r="S957" s="78">
        <f>N(F957)-N(G957)</f>
        <v>0</v>
      </c>
    </row>
    <row r="958">
      <c r="A958" s="109">
        <f>IF(AND(F958="",G958=""),"",ROW()-6)</f>
      </c>
      <c r="B958" s="140" t="n"/>
      <c r="C958" s="141" t="n"/>
      <c r="D958" s="141" t="n"/>
      <c r="E958" s="142" t="n"/>
      <c r="F958" s="143" t="n"/>
      <c r="G958" s="144" t="n"/>
      <c r="H958" s="145">
        <f>IF(OR(C958="",AND(F958="",G958="")),"",SUMIF(基础资料!$W$5:$W$24,C958,基础资料!$X$5:$X$24)+SUMIF(C$7:C958,C958,F$7:F958)-SUMIF(C$7:C958,C958,G$7:G958))</f>
      </c>
      <c r="I958" s="145">
        <f>IF(AND(F958="",G958=""),"",SUM(基础资料!$X$5:$X$24)+SUM(F$7:F958)-SUM(G$7:G958))</f>
      </c>
      <c r="J958" s="141" t="n"/>
      <c r="K958" s="141" t="n"/>
      <c r="L958" s="141" t="n"/>
      <c r="M958" s="142" t="n"/>
      <c r="N958" s="146">
        <f>IF(AND(AND(F958="",G958=""),B958="",C958="",D958="",J958="",K958="",L958=""),"",IF(AND(F958="",G958=""),"✗ 没填金额",IF(AND(N(F958)&lt;&gt;0,N(G958)&lt;&gt;0),"✗ 收入、支出只能填一边",IF(NOT(ISNUMBER(B958)),"✗ 日期不是真日期（要像 2026/9/25 这样填）",IF(OR(B958&lt;年初日,B958&gt;年末日),"✗ 日期不在本会计年度",IF(C958="","✗ 没选账户",IF(COUNTIF(基础资料!$W$5:$W$24,C958)=0,"✗ 账户不在基础资料里",IF(O958="","✗ 没选收支项目",IF(P958="未知","✗ 收支项目不在基础资料里",IF(AND(P958="应收",J958=""),"✗ 这笔要选客户",IF(AND(P958="应收",COUNTIF(总览汇总!$B$5:$B$304,J958)=0),"✗ 客户不在总览汇总名单里",IF(AND(P958="应付",K958=""),"✗ 这笔要选供应商",IF(AND(P958="应付",COUNTIF(基础资料!$Q$5:$Q$54,K958)=0),"✗ 供应商不在基础资料里",IF(AND(P958="费用",L958=""),"✗ 费用支出要选费用项目",IF(AND(L958&lt;&gt;"",COUNTIF(基础资料!$AI$5:$AI$54,L958)=0),"✗ 费用项目不在基础资料里",IF(AND(IFERROR(INDEX(基础资料!$AD$5:$AD$34,MATCH(O958,基础资料!$AC$5:$AC$34,0)),"")="收",N(G958)&lt;&gt;0),"✗ 这类是收款，金额填到收入列",IF(AND(IFERROR(INDEX(基础资料!$AD$5:$AD$34,MATCH(O958,基础资料!$AC$5:$AC$34,0)),"")="支",N(F958)&lt;&gt;0),"✗ 这类是付款，金额填到支出列",IF(N(H958)&lt;0,"⚠ 账户余额成负数了，核对一下","√"))))))))))))))))))</f>
      </c>
      <c r="O958" s="78">
        <f>IF(D958&lt;&gt;"",D958,IF(AND(F958="",G958=""),"",IF(J958&lt;&gt;"",IF(N(F958)&gt;0,"客户回款","客户退款"),IF(K958&lt;&gt;"",IF(N(G958)&gt;0,"供应商付款","供应商退款"),IF(L958&lt;&gt;"","费用支出","")))))</f>
      </c>
      <c r="P958" s="78">
        <f>IF(O958="","",IFERROR(INDEX(基础资料!$AE$5:$AE$34,MATCH(O958,基础资料!$AC$5:$AC$34,0)),"未知"))</f>
      </c>
      <c r="Q958" s="78">
        <f>IF(P958="应收",COUNTIF(P$7:P958,"应收"),"")</f>
      </c>
      <c r="R958" s="78">
        <f>IF(P958="应付",COUNTIF(P$7:P958,"应付"),"")</f>
      </c>
      <c r="S958" s="78">
        <f>N(F958)-N(G958)</f>
        <v>0</v>
      </c>
    </row>
    <row r="959">
      <c r="A959" s="109">
        <f>IF(AND(F959="",G959=""),"",ROW()-6)</f>
      </c>
      <c r="B959" s="140" t="n"/>
      <c r="C959" s="141" t="n"/>
      <c r="D959" s="141" t="n"/>
      <c r="E959" s="142" t="n"/>
      <c r="F959" s="143" t="n"/>
      <c r="G959" s="144" t="n"/>
      <c r="H959" s="145">
        <f>IF(OR(C959="",AND(F959="",G959="")),"",SUMIF(基础资料!$W$5:$W$24,C959,基础资料!$X$5:$X$24)+SUMIF(C$7:C959,C959,F$7:F959)-SUMIF(C$7:C959,C959,G$7:G959))</f>
      </c>
      <c r="I959" s="145">
        <f>IF(AND(F959="",G959=""),"",SUM(基础资料!$X$5:$X$24)+SUM(F$7:F959)-SUM(G$7:G959))</f>
      </c>
      <c r="J959" s="141" t="n"/>
      <c r="K959" s="141" t="n"/>
      <c r="L959" s="141" t="n"/>
      <c r="M959" s="142" t="n"/>
      <c r="N959" s="146">
        <f>IF(AND(AND(F959="",G959=""),B959="",C959="",D959="",J959="",K959="",L959=""),"",IF(AND(F959="",G959=""),"✗ 没填金额",IF(AND(N(F959)&lt;&gt;0,N(G959)&lt;&gt;0),"✗ 收入、支出只能填一边",IF(NOT(ISNUMBER(B959)),"✗ 日期不是真日期（要像 2026/9/25 这样填）",IF(OR(B959&lt;年初日,B959&gt;年末日),"✗ 日期不在本会计年度",IF(C959="","✗ 没选账户",IF(COUNTIF(基础资料!$W$5:$W$24,C959)=0,"✗ 账户不在基础资料里",IF(O959="","✗ 没选收支项目",IF(P959="未知","✗ 收支项目不在基础资料里",IF(AND(P959="应收",J959=""),"✗ 这笔要选客户",IF(AND(P959="应收",COUNTIF(总览汇总!$B$5:$B$304,J959)=0),"✗ 客户不在总览汇总名单里",IF(AND(P959="应付",K959=""),"✗ 这笔要选供应商",IF(AND(P959="应付",COUNTIF(基础资料!$Q$5:$Q$54,K959)=0),"✗ 供应商不在基础资料里",IF(AND(P959="费用",L959=""),"✗ 费用支出要选费用项目",IF(AND(L959&lt;&gt;"",COUNTIF(基础资料!$AI$5:$AI$54,L959)=0),"✗ 费用项目不在基础资料里",IF(AND(IFERROR(INDEX(基础资料!$AD$5:$AD$34,MATCH(O959,基础资料!$AC$5:$AC$34,0)),"")="收",N(G959)&lt;&gt;0),"✗ 这类是收款，金额填到收入列",IF(AND(IFERROR(INDEX(基础资料!$AD$5:$AD$34,MATCH(O959,基础资料!$AC$5:$AC$34,0)),"")="支",N(F959)&lt;&gt;0),"✗ 这类是付款，金额填到支出列",IF(N(H959)&lt;0,"⚠ 账户余额成负数了，核对一下","√"))))))))))))))))))</f>
      </c>
      <c r="O959" s="78">
        <f>IF(D959&lt;&gt;"",D959,IF(AND(F959="",G959=""),"",IF(J959&lt;&gt;"",IF(N(F959)&gt;0,"客户回款","客户退款"),IF(K959&lt;&gt;"",IF(N(G959)&gt;0,"供应商付款","供应商退款"),IF(L959&lt;&gt;"","费用支出","")))))</f>
      </c>
      <c r="P959" s="78">
        <f>IF(O959="","",IFERROR(INDEX(基础资料!$AE$5:$AE$34,MATCH(O959,基础资料!$AC$5:$AC$34,0)),"未知"))</f>
      </c>
      <c r="Q959" s="78">
        <f>IF(P959="应收",COUNTIF(P$7:P959,"应收"),"")</f>
      </c>
      <c r="R959" s="78">
        <f>IF(P959="应付",COUNTIF(P$7:P959,"应付"),"")</f>
      </c>
      <c r="S959" s="78">
        <f>N(F959)-N(G959)</f>
        <v>0</v>
      </c>
    </row>
    <row r="960">
      <c r="A960" s="109">
        <f>IF(AND(F960="",G960=""),"",ROW()-6)</f>
      </c>
      <c r="B960" s="140" t="n"/>
      <c r="C960" s="141" t="n"/>
      <c r="D960" s="141" t="n"/>
      <c r="E960" s="142" t="n"/>
      <c r="F960" s="143" t="n"/>
      <c r="G960" s="144" t="n"/>
      <c r="H960" s="145">
        <f>IF(OR(C960="",AND(F960="",G960="")),"",SUMIF(基础资料!$W$5:$W$24,C960,基础资料!$X$5:$X$24)+SUMIF(C$7:C960,C960,F$7:F960)-SUMIF(C$7:C960,C960,G$7:G960))</f>
      </c>
      <c r="I960" s="145">
        <f>IF(AND(F960="",G960=""),"",SUM(基础资料!$X$5:$X$24)+SUM(F$7:F960)-SUM(G$7:G960))</f>
      </c>
      <c r="J960" s="141" t="n"/>
      <c r="K960" s="141" t="n"/>
      <c r="L960" s="141" t="n"/>
      <c r="M960" s="142" t="n"/>
      <c r="N960" s="146">
        <f>IF(AND(AND(F960="",G960=""),B960="",C960="",D960="",J960="",K960="",L960=""),"",IF(AND(F960="",G960=""),"✗ 没填金额",IF(AND(N(F960)&lt;&gt;0,N(G960)&lt;&gt;0),"✗ 收入、支出只能填一边",IF(NOT(ISNUMBER(B960)),"✗ 日期不是真日期（要像 2026/9/25 这样填）",IF(OR(B960&lt;年初日,B960&gt;年末日),"✗ 日期不在本会计年度",IF(C960="","✗ 没选账户",IF(COUNTIF(基础资料!$W$5:$W$24,C960)=0,"✗ 账户不在基础资料里",IF(O960="","✗ 没选收支项目",IF(P960="未知","✗ 收支项目不在基础资料里",IF(AND(P960="应收",J960=""),"✗ 这笔要选客户",IF(AND(P960="应收",COUNTIF(总览汇总!$B$5:$B$304,J960)=0),"✗ 客户不在总览汇总名单里",IF(AND(P960="应付",K960=""),"✗ 这笔要选供应商",IF(AND(P960="应付",COUNTIF(基础资料!$Q$5:$Q$54,K960)=0),"✗ 供应商不在基础资料里",IF(AND(P960="费用",L960=""),"✗ 费用支出要选费用项目",IF(AND(L960&lt;&gt;"",COUNTIF(基础资料!$AI$5:$AI$54,L960)=0),"✗ 费用项目不在基础资料里",IF(AND(IFERROR(INDEX(基础资料!$AD$5:$AD$34,MATCH(O960,基础资料!$AC$5:$AC$34,0)),"")="收",N(G960)&lt;&gt;0),"✗ 这类是收款，金额填到收入列",IF(AND(IFERROR(INDEX(基础资料!$AD$5:$AD$34,MATCH(O960,基础资料!$AC$5:$AC$34,0)),"")="支",N(F960)&lt;&gt;0),"✗ 这类是付款，金额填到支出列",IF(N(H960)&lt;0,"⚠ 账户余额成负数了，核对一下","√"))))))))))))))))))</f>
      </c>
      <c r="O960" s="78">
        <f>IF(D960&lt;&gt;"",D960,IF(AND(F960="",G960=""),"",IF(J960&lt;&gt;"",IF(N(F960)&gt;0,"客户回款","客户退款"),IF(K960&lt;&gt;"",IF(N(G960)&gt;0,"供应商付款","供应商退款"),IF(L960&lt;&gt;"","费用支出","")))))</f>
      </c>
      <c r="P960" s="78">
        <f>IF(O960="","",IFERROR(INDEX(基础资料!$AE$5:$AE$34,MATCH(O960,基础资料!$AC$5:$AC$34,0)),"未知"))</f>
      </c>
      <c r="Q960" s="78">
        <f>IF(P960="应收",COUNTIF(P$7:P960,"应收"),"")</f>
      </c>
      <c r="R960" s="78">
        <f>IF(P960="应付",COUNTIF(P$7:P960,"应付"),"")</f>
      </c>
      <c r="S960" s="78">
        <f>N(F960)-N(G960)</f>
        <v>0</v>
      </c>
    </row>
    <row r="961">
      <c r="A961" s="109">
        <f>IF(AND(F961="",G961=""),"",ROW()-6)</f>
      </c>
      <c r="B961" s="140" t="n"/>
      <c r="C961" s="141" t="n"/>
      <c r="D961" s="141" t="n"/>
      <c r="E961" s="142" t="n"/>
      <c r="F961" s="143" t="n"/>
      <c r="G961" s="144" t="n"/>
      <c r="H961" s="145">
        <f>IF(OR(C961="",AND(F961="",G961="")),"",SUMIF(基础资料!$W$5:$W$24,C961,基础资料!$X$5:$X$24)+SUMIF(C$7:C961,C961,F$7:F961)-SUMIF(C$7:C961,C961,G$7:G961))</f>
      </c>
      <c r="I961" s="145">
        <f>IF(AND(F961="",G961=""),"",SUM(基础资料!$X$5:$X$24)+SUM(F$7:F961)-SUM(G$7:G961))</f>
      </c>
      <c r="J961" s="141" t="n"/>
      <c r="K961" s="141" t="n"/>
      <c r="L961" s="141" t="n"/>
      <c r="M961" s="142" t="n"/>
      <c r="N961" s="146">
        <f>IF(AND(AND(F961="",G961=""),B961="",C961="",D961="",J961="",K961="",L961=""),"",IF(AND(F961="",G961=""),"✗ 没填金额",IF(AND(N(F961)&lt;&gt;0,N(G961)&lt;&gt;0),"✗ 收入、支出只能填一边",IF(NOT(ISNUMBER(B961)),"✗ 日期不是真日期（要像 2026/9/25 这样填）",IF(OR(B961&lt;年初日,B961&gt;年末日),"✗ 日期不在本会计年度",IF(C961="","✗ 没选账户",IF(COUNTIF(基础资料!$W$5:$W$24,C961)=0,"✗ 账户不在基础资料里",IF(O961="","✗ 没选收支项目",IF(P961="未知","✗ 收支项目不在基础资料里",IF(AND(P961="应收",J961=""),"✗ 这笔要选客户",IF(AND(P961="应收",COUNTIF(总览汇总!$B$5:$B$304,J961)=0),"✗ 客户不在总览汇总名单里",IF(AND(P961="应付",K961=""),"✗ 这笔要选供应商",IF(AND(P961="应付",COUNTIF(基础资料!$Q$5:$Q$54,K961)=0),"✗ 供应商不在基础资料里",IF(AND(P961="费用",L961=""),"✗ 费用支出要选费用项目",IF(AND(L961&lt;&gt;"",COUNTIF(基础资料!$AI$5:$AI$54,L961)=0),"✗ 费用项目不在基础资料里",IF(AND(IFERROR(INDEX(基础资料!$AD$5:$AD$34,MATCH(O961,基础资料!$AC$5:$AC$34,0)),"")="收",N(G961)&lt;&gt;0),"✗ 这类是收款，金额填到收入列",IF(AND(IFERROR(INDEX(基础资料!$AD$5:$AD$34,MATCH(O961,基础资料!$AC$5:$AC$34,0)),"")="支",N(F961)&lt;&gt;0),"✗ 这类是付款，金额填到支出列",IF(N(H961)&lt;0,"⚠ 账户余额成负数了，核对一下","√"))))))))))))))))))</f>
      </c>
      <c r="O961" s="78">
        <f>IF(D961&lt;&gt;"",D961,IF(AND(F961="",G961=""),"",IF(J961&lt;&gt;"",IF(N(F961)&gt;0,"客户回款","客户退款"),IF(K961&lt;&gt;"",IF(N(G961)&gt;0,"供应商付款","供应商退款"),IF(L961&lt;&gt;"","费用支出","")))))</f>
      </c>
      <c r="P961" s="78">
        <f>IF(O961="","",IFERROR(INDEX(基础资料!$AE$5:$AE$34,MATCH(O961,基础资料!$AC$5:$AC$34,0)),"未知"))</f>
      </c>
      <c r="Q961" s="78">
        <f>IF(P961="应收",COUNTIF(P$7:P961,"应收"),"")</f>
      </c>
      <c r="R961" s="78">
        <f>IF(P961="应付",COUNTIF(P$7:P961,"应付"),"")</f>
      </c>
      <c r="S961" s="78">
        <f>N(F961)-N(G961)</f>
        <v>0</v>
      </c>
    </row>
    <row r="962">
      <c r="A962" s="109">
        <f>IF(AND(F962="",G962=""),"",ROW()-6)</f>
      </c>
      <c r="B962" s="140" t="n"/>
      <c r="C962" s="141" t="n"/>
      <c r="D962" s="141" t="n"/>
      <c r="E962" s="142" t="n"/>
      <c r="F962" s="143" t="n"/>
      <c r="G962" s="144" t="n"/>
      <c r="H962" s="145">
        <f>IF(OR(C962="",AND(F962="",G962="")),"",SUMIF(基础资料!$W$5:$W$24,C962,基础资料!$X$5:$X$24)+SUMIF(C$7:C962,C962,F$7:F962)-SUMIF(C$7:C962,C962,G$7:G962))</f>
      </c>
      <c r="I962" s="145">
        <f>IF(AND(F962="",G962=""),"",SUM(基础资料!$X$5:$X$24)+SUM(F$7:F962)-SUM(G$7:G962))</f>
      </c>
      <c r="J962" s="141" t="n"/>
      <c r="K962" s="141" t="n"/>
      <c r="L962" s="141" t="n"/>
      <c r="M962" s="142" t="n"/>
      <c r="N962" s="146">
        <f>IF(AND(AND(F962="",G962=""),B962="",C962="",D962="",J962="",K962="",L962=""),"",IF(AND(F962="",G962=""),"✗ 没填金额",IF(AND(N(F962)&lt;&gt;0,N(G962)&lt;&gt;0),"✗ 收入、支出只能填一边",IF(NOT(ISNUMBER(B962)),"✗ 日期不是真日期（要像 2026/9/25 这样填）",IF(OR(B962&lt;年初日,B962&gt;年末日),"✗ 日期不在本会计年度",IF(C962="","✗ 没选账户",IF(COUNTIF(基础资料!$W$5:$W$24,C962)=0,"✗ 账户不在基础资料里",IF(O962="","✗ 没选收支项目",IF(P962="未知","✗ 收支项目不在基础资料里",IF(AND(P962="应收",J962=""),"✗ 这笔要选客户",IF(AND(P962="应收",COUNTIF(总览汇总!$B$5:$B$304,J962)=0),"✗ 客户不在总览汇总名单里",IF(AND(P962="应付",K962=""),"✗ 这笔要选供应商",IF(AND(P962="应付",COUNTIF(基础资料!$Q$5:$Q$54,K962)=0),"✗ 供应商不在基础资料里",IF(AND(P962="费用",L962=""),"✗ 费用支出要选费用项目",IF(AND(L962&lt;&gt;"",COUNTIF(基础资料!$AI$5:$AI$54,L962)=0),"✗ 费用项目不在基础资料里",IF(AND(IFERROR(INDEX(基础资料!$AD$5:$AD$34,MATCH(O962,基础资料!$AC$5:$AC$34,0)),"")="收",N(G962)&lt;&gt;0),"✗ 这类是收款，金额填到收入列",IF(AND(IFERROR(INDEX(基础资料!$AD$5:$AD$34,MATCH(O962,基础资料!$AC$5:$AC$34,0)),"")="支",N(F962)&lt;&gt;0),"✗ 这类是付款，金额填到支出列",IF(N(H962)&lt;0,"⚠ 账户余额成负数了，核对一下","√"))))))))))))))))))</f>
      </c>
      <c r="O962" s="78">
        <f>IF(D962&lt;&gt;"",D962,IF(AND(F962="",G962=""),"",IF(J962&lt;&gt;"",IF(N(F962)&gt;0,"客户回款","客户退款"),IF(K962&lt;&gt;"",IF(N(G962)&gt;0,"供应商付款","供应商退款"),IF(L962&lt;&gt;"","费用支出","")))))</f>
      </c>
      <c r="P962" s="78">
        <f>IF(O962="","",IFERROR(INDEX(基础资料!$AE$5:$AE$34,MATCH(O962,基础资料!$AC$5:$AC$34,0)),"未知"))</f>
      </c>
      <c r="Q962" s="78">
        <f>IF(P962="应收",COUNTIF(P$7:P962,"应收"),"")</f>
      </c>
      <c r="R962" s="78">
        <f>IF(P962="应付",COUNTIF(P$7:P962,"应付"),"")</f>
      </c>
      <c r="S962" s="78">
        <f>N(F962)-N(G962)</f>
        <v>0</v>
      </c>
    </row>
    <row r="963">
      <c r="A963" s="109">
        <f>IF(AND(F963="",G963=""),"",ROW()-6)</f>
      </c>
      <c r="B963" s="140" t="n"/>
      <c r="C963" s="141" t="n"/>
      <c r="D963" s="141" t="n"/>
      <c r="E963" s="142" t="n"/>
      <c r="F963" s="143" t="n"/>
      <c r="G963" s="144" t="n"/>
      <c r="H963" s="145">
        <f>IF(OR(C963="",AND(F963="",G963="")),"",SUMIF(基础资料!$W$5:$W$24,C963,基础资料!$X$5:$X$24)+SUMIF(C$7:C963,C963,F$7:F963)-SUMIF(C$7:C963,C963,G$7:G963))</f>
      </c>
      <c r="I963" s="145">
        <f>IF(AND(F963="",G963=""),"",SUM(基础资料!$X$5:$X$24)+SUM(F$7:F963)-SUM(G$7:G963))</f>
      </c>
      <c r="J963" s="141" t="n"/>
      <c r="K963" s="141" t="n"/>
      <c r="L963" s="141" t="n"/>
      <c r="M963" s="142" t="n"/>
      <c r="N963" s="146">
        <f>IF(AND(AND(F963="",G963=""),B963="",C963="",D963="",J963="",K963="",L963=""),"",IF(AND(F963="",G963=""),"✗ 没填金额",IF(AND(N(F963)&lt;&gt;0,N(G963)&lt;&gt;0),"✗ 收入、支出只能填一边",IF(NOT(ISNUMBER(B963)),"✗ 日期不是真日期（要像 2026/9/25 这样填）",IF(OR(B963&lt;年初日,B963&gt;年末日),"✗ 日期不在本会计年度",IF(C963="","✗ 没选账户",IF(COUNTIF(基础资料!$W$5:$W$24,C963)=0,"✗ 账户不在基础资料里",IF(O963="","✗ 没选收支项目",IF(P963="未知","✗ 收支项目不在基础资料里",IF(AND(P963="应收",J963=""),"✗ 这笔要选客户",IF(AND(P963="应收",COUNTIF(总览汇总!$B$5:$B$304,J963)=0),"✗ 客户不在总览汇总名单里",IF(AND(P963="应付",K963=""),"✗ 这笔要选供应商",IF(AND(P963="应付",COUNTIF(基础资料!$Q$5:$Q$54,K963)=0),"✗ 供应商不在基础资料里",IF(AND(P963="费用",L963=""),"✗ 费用支出要选费用项目",IF(AND(L963&lt;&gt;"",COUNTIF(基础资料!$AI$5:$AI$54,L963)=0),"✗ 费用项目不在基础资料里",IF(AND(IFERROR(INDEX(基础资料!$AD$5:$AD$34,MATCH(O963,基础资料!$AC$5:$AC$34,0)),"")="收",N(G963)&lt;&gt;0),"✗ 这类是收款，金额填到收入列",IF(AND(IFERROR(INDEX(基础资料!$AD$5:$AD$34,MATCH(O963,基础资料!$AC$5:$AC$34,0)),"")="支",N(F963)&lt;&gt;0),"✗ 这类是付款，金额填到支出列",IF(N(H963)&lt;0,"⚠ 账户余额成负数了，核对一下","√"))))))))))))))))))</f>
      </c>
      <c r="O963" s="78">
        <f>IF(D963&lt;&gt;"",D963,IF(AND(F963="",G963=""),"",IF(J963&lt;&gt;"",IF(N(F963)&gt;0,"客户回款","客户退款"),IF(K963&lt;&gt;"",IF(N(G963)&gt;0,"供应商付款","供应商退款"),IF(L963&lt;&gt;"","费用支出","")))))</f>
      </c>
      <c r="P963" s="78">
        <f>IF(O963="","",IFERROR(INDEX(基础资料!$AE$5:$AE$34,MATCH(O963,基础资料!$AC$5:$AC$34,0)),"未知"))</f>
      </c>
      <c r="Q963" s="78">
        <f>IF(P963="应收",COUNTIF(P$7:P963,"应收"),"")</f>
      </c>
      <c r="R963" s="78">
        <f>IF(P963="应付",COUNTIF(P$7:P963,"应付"),"")</f>
      </c>
      <c r="S963" s="78">
        <f>N(F963)-N(G963)</f>
        <v>0</v>
      </c>
    </row>
    <row r="964">
      <c r="A964" s="109">
        <f>IF(AND(F964="",G964=""),"",ROW()-6)</f>
      </c>
      <c r="B964" s="140" t="n"/>
      <c r="C964" s="141" t="n"/>
      <c r="D964" s="141" t="n"/>
      <c r="E964" s="142" t="n"/>
      <c r="F964" s="143" t="n"/>
      <c r="G964" s="144" t="n"/>
      <c r="H964" s="145">
        <f>IF(OR(C964="",AND(F964="",G964="")),"",SUMIF(基础资料!$W$5:$W$24,C964,基础资料!$X$5:$X$24)+SUMIF(C$7:C964,C964,F$7:F964)-SUMIF(C$7:C964,C964,G$7:G964))</f>
      </c>
      <c r="I964" s="145">
        <f>IF(AND(F964="",G964=""),"",SUM(基础资料!$X$5:$X$24)+SUM(F$7:F964)-SUM(G$7:G964))</f>
      </c>
      <c r="J964" s="141" t="n"/>
      <c r="K964" s="141" t="n"/>
      <c r="L964" s="141" t="n"/>
      <c r="M964" s="142" t="n"/>
      <c r="N964" s="146">
        <f>IF(AND(AND(F964="",G964=""),B964="",C964="",D964="",J964="",K964="",L964=""),"",IF(AND(F964="",G964=""),"✗ 没填金额",IF(AND(N(F964)&lt;&gt;0,N(G964)&lt;&gt;0),"✗ 收入、支出只能填一边",IF(NOT(ISNUMBER(B964)),"✗ 日期不是真日期（要像 2026/9/25 这样填）",IF(OR(B964&lt;年初日,B964&gt;年末日),"✗ 日期不在本会计年度",IF(C964="","✗ 没选账户",IF(COUNTIF(基础资料!$W$5:$W$24,C964)=0,"✗ 账户不在基础资料里",IF(O964="","✗ 没选收支项目",IF(P964="未知","✗ 收支项目不在基础资料里",IF(AND(P964="应收",J964=""),"✗ 这笔要选客户",IF(AND(P964="应收",COUNTIF(总览汇总!$B$5:$B$304,J964)=0),"✗ 客户不在总览汇总名单里",IF(AND(P964="应付",K964=""),"✗ 这笔要选供应商",IF(AND(P964="应付",COUNTIF(基础资料!$Q$5:$Q$54,K964)=0),"✗ 供应商不在基础资料里",IF(AND(P964="费用",L964=""),"✗ 费用支出要选费用项目",IF(AND(L964&lt;&gt;"",COUNTIF(基础资料!$AI$5:$AI$54,L964)=0),"✗ 费用项目不在基础资料里",IF(AND(IFERROR(INDEX(基础资料!$AD$5:$AD$34,MATCH(O964,基础资料!$AC$5:$AC$34,0)),"")="收",N(G964)&lt;&gt;0),"✗ 这类是收款，金额填到收入列",IF(AND(IFERROR(INDEX(基础资料!$AD$5:$AD$34,MATCH(O964,基础资料!$AC$5:$AC$34,0)),"")="支",N(F964)&lt;&gt;0),"✗ 这类是付款，金额填到支出列",IF(N(H964)&lt;0,"⚠ 账户余额成负数了，核对一下","√"))))))))))))))))))</f>
      </c>
      <c r="O964" s="78">
        <f>IF(D964&lt;&gt;"",D964,IF(AND(F964="",G964=""),"",IF(J964&lt;&gt;"",IF(N(F964)&gt;0,"客户回款","客户退款"),IF(K964&lt;&gt;"",IF(N(G964)&gt;0,"供应商付款","供应商退款"),IF(L964&lt;&gt;"","费用支出","")))))</f>
      </c>
      <c r="P964" s="78">
        <f>IF(O964="","",IFERROR(INDEX(基础资料!$AE$5:$AE$34,MATCH(O964,基础资料!$AC$5:$AC$34,0)),"未知"))</f>
      </c>
      <c r="Q964" s="78">
        <f>IF(P964="应收",COUNTIF(P$7:P964,"应收"),"")</f>
      </c>
      <c r="R964" s="78">
        <f>IF(P964="应付",COUNTIF(P$7:P964,"应付"),"")</f>
      </c>
      <c r="S964" s="78">
        <f>N(F964)-N(G964)</f>
        <v>0</v>
      </c>
    </row>
    <row r="965">
      <c r="A965" s="109">
        <f>IF(AND(F965="",G965=""),"",ROW()-6)</f>
      </c>
      <c r="B965" s="140" t="n"/>
      <c r="C965" s="141" t="n"/>
      <c r="D965" s="141" t="n"/>
      <c r="E965" s="142" t="n"/>
      <c r="F965" s="143" t="n"/>
      <c r="G965" s="144" t="n"/>
      <c r="H965" s="145">
        <f>IF(OR(C965="",AND(F965="",G965="")),"",SUMIF(基础资料!$W$5:$W$24,C965,基础资料!$X$5:$X$24)+SUMIF(C$7:C965,C965,F$7:F965)-SUMIF(C$7:C965,C965,G$7:G965))</f>
      </c>
      <c r="I965" s="145">
        <f>IF(AND(F965="",G965=""),"",SUM(基础资料!$X$5:$X$24)+SUM(F$7:F965)-SUM(G$7:G965))</f>
      </c>
      <c r="J965" s="141" t="n"/>
      <c r="K965" s="141" t="n"/>
      <c r="L965" s="141" t="n"/>
      <c r="M965" s="142" t="n"/>
      <c r="N965" s="146">
        <f>IF(AND(AND(F965="",G965=""),B965="",C965="",D965="",J965="",K965="",L965=""),"",IF(AND(F965="",G965=""),"✗ 没填金额",IF(AND(N(F965)&lt;&gt;0,N(G965)&lt;&gt;0),"✗ 收入、支出只能填一边",IF(NOT(ISNUMBER(B965)),"✗ 日期不是真日期（要像 2026/9/25 这样填）",IF(OR(B965&lt;年初日,B965&gt;年末日),"✗ 日期不在本会计年度",IF(C965="","✗ 没选账户",IF(COUNTIF(基础资料!$W$5:$W$24,C965)=0,"✗ 账户不在基础资料里",IF(O965="","✗ 没选收支项目",IF(P965="未知","✗ 收支项目不在基础资料里",IF(AND(P965="应收",J965=""),"✗ 这笔要选客户",IF(AND(P965="应收",COUNTIF(总览汇总!$B$5:$B$304,J965)=0),"✗ 客户不在总览汇总名单里",IF(AND(P965="应付",K965=""),"✗ 这笔要选供应商",IF(AND(P965="应付",COUNTIF(基础资料!$Q$5:$Q$54,K965)=0),"✗ 供应商不在基础资料里",IF(AND(P965="费用",L965=""),"✗ 费用支出要选费用项目",IF(AND(L965&lt;&gt;"",COUNTIF(基础资料!$AI$5:$AI$54,L965)=0),"✗ 费用项目不在基础资料里",IF(AND(IFERROR(INDEX(基础资料!$AD$5:$AD$34,MATCH(O965,基础资料!$AC$5:$AC$34,0)),"")="收",N(G965)&lt;&gt;0),"✗ 这类是收款，金额填到收入列",IF(AND(IFERROR(INDEX(基础资料!$AD$5:$AD$34,MATCH(O965,基础资料!$AC$5:$AC$34,0)),"")="支",N(F965)&lt;&gt;0),"✗ 这类是付款，金额填到支出列",IF(N(H965)&lt;0,"⚠ 账户余额成负数了，核对一下","√"))))))))))))))))))</f>
      </c>
      <c r="O965" s="78">
        <f>IF(D965&lt;&gt;"",D965,IF(AND(F965="",G965=""),"",IF(J965&lt;&gt;"",IF(N(F965)&gt;0,"客户回款","客户退款"),IF(K965&lt;&gt;"",IF(N(G965)&gt;0,"供应商付款","供应商退款"),IF(L965&lt;&gt;"","费用支出","")))))</f>
      </c>
      <c r="P965" s="78">
        <f>IF(O965="","",IFERROR(INDEX(基础资料!$AE$5:$AE$34,MATCH(O965,基础资料!$AC$5:$AC$34,0)),"未知"))</f>
      </c>
      <c r="Q965" s="78">
        <f>IF(P965="应收",COUNTIF(P$7:P965,"应收"),"")</f>
      </c>
      <c r="R965" s="78">
        <f>IF(P965="应付",COUNTIF(P$7:P965,"应付"),"")</f>
      </c>
      <c r="S965" s="78">
        <f>N(F965)-N(G965)</f>
        <v>0</v>
      </c>
    </row>
    <row r="966">
      <c r="A966" s="109">
        <f>IF(AND(F966="",G966=""),"",ROW()-6)</f>
      </c>
      <c r="B966" s="140" t="n"/>
      <c r="C966" s="141" t="n"/>
      <c r="D966" s="141" t="n"/>
      <c r="E966" s="142" t="n"/>
      <c r="F966" s="143" t="n"/>
      <c r="G966" s="144" t="n"/>
      <c r="H966" s="145">
        <f>IF(OR(C966="",AND(F966="",G966="")),"",SUMIF(基础资料!$W$5:$W$24,C966,基础资料!$X$5:$X$24)+SUMIF(C$7:C966,C966,F$7:F966)-SUMIF(C$7:C966,C966,G$7:G966))</f>
      </c>
      <c r="I966" s="145">
        <f>IF(AND(F966="",G966=""),"",SUM(基础资料!$X$5:$X$24)+SUM(F$7:F966)-SUM(G$7:G966))</f>
      </c>
      <c r="J966" s="141" t="n"/>
      <c r="K966" s="141" t="n"/>
      <c r="L966" s="141" t="n"/>
      <c r="M966" s="142" t="n"/>
      <c r="N966" s="146">
        <f>IF(AND(AND(F966="",G966=""),B966="",C966="",D966="",J966="",K966="",L966=""),"",IF(AND(F966="",G966=""),"✗ 没填金额",IF(AND(N(F966)&lt;&gt;0,N(G966)&lt;&gt;0),"✗ 收入、支出只能填一边",IF(NOT(ISNUMBER(B966)),"✗ 日期不是真日期（要像 2026/9/25 这样填）",IF(OR(B966&lt;年初日,B966&gt;年末日),"✗ 日期不在本会计年度",IF(C966="","✗ 没选账户",IF(COUNTIF(基础资料!$W$5:$W$24,C966)=0,"✗ 账户不在基础资料里",IF(O966="","✗ 没选收支项目",IF(P966="未知","✗ 收支项目不在基础资料里",IF(AND(P966="应收",J966=""),"✗ 这笔要选客户",IF(AND(P966="应收",COUNTIF(总览汇总!$B$5:$B$304,J966)=0),"✗ 客户不在总览汇总名单里",IF(AND(P966="应付",K966=""),"✗ 这笔要选供应商",IF(AND(P966="应付",COUNTIF(基础资料!$Q$5:$Q$54,K966)=0),"✗ 供应商不在基础资料里",IF(AND(P966="费用",L966=""),"✗ 费用支出要选费用项目",IF(AND(L966&lt;&gt;"",COUNTIF(基础资料!$AI$5:$AI$54,L966)=0),"✗ 费用项目不在基础资料里",IF(AND(IFERROR(INDEX(基础资料!$AD$5:$AD$34,MATCH(O966,基础资料!$AC$5:$AC$34,0)),"")="收",N(G966)&lt;&gt;0),"✗ 这类是收款，金额填到收入列",IF(AND(IFERROR(INDEX(基础资料!$AD$5:$AD$34,MATCH(O966,基础资料!$AC$5:$AC$34,0)),"")="支",N(F966)&lt;&gt;0),"✗ 这类是付款，金额填到支出列",IF(N(H966)&lt;0,"⚠ 账户余额成负数了，核对一下","√"))))))))))))))))))</f>
      </c>
      <c r="O966" s="78">
        <f>IF(D966&lt;&gt;"",D966,IF(AND(F966="",G966=""),"",IF(J966&lt;&gt;"",IF(N(F966)&gt;0,"客户回款","客户退款"),IF(K966&lt;&gt;"",IF(N(G966)&gt;0,"供应商付款","供应商退款"),IF(L966&lt;&gt;"","费用支出","")))))</f>
      </c>
      <c r="P966" s="78">
        <f>IF(O966="","",IFERROR(INDEX(基础资料!$AE$5:$AE$34,MATCH(O966,基础资料!$AC$5:$AC$34,0)),"未知"))</f>
      </c>
      <c r="Q966" s="78">
        <f>IF(P966="应收",COUNTIF(P$7:P966,"应收"),"")</f>
      </c>
      <c r="R966" s="78">
        <f>IF(P966="应付",COUNTIF(P$7:P966,"应付"),"")</f>
      </c>
      <c r="S966" s="78">
        <f>N(F966)-N(G966)</f>
        <v>0</v>
      </c>
    </row>
    <row r="967">
      <c r="A967" s="109">
        <f>IF(AND(F967="",G967=""),"",ROW()-6)</f>
      </c>
      <c r="B967" s="140" t="n"/>
      <c r="C967" s="141" t="n"/>
      <c r="D967" s="141" t="n"/>
      <c r="E967" s="142" t="n"/>
      <c r="F967" s="143" t="n"/>
      <c r="G967" s="144" t="n"/>
      <c r="H967" s="145">
        <f>IF(OR(C967="",AND(F967="",G967="")),"",SUMIF(基础资料!$W$5:$W$24,C967,基础资料!$X$5:$X$24)+SUMIF(C$7:C967,C967,F$7:F967)-SUMIF(C$7:C967,C967,G$7:G967))</f>
      </c>
      <c r="I967" s="145">
        <f>IF(AND(F967="",G967=""),"",SUM(基础资料!$X$5:$X$24)+SUM(F$7:F967)-SUM(G$7:G967))</f>
      </c>
      <c r="J967" s="141" t="n"/>
      <c r="K967" s="141" t="n"/>
      <c r="L967" s="141" t="n"/>
      <c r="M967" s="142" t="n"/>
      <c r="N967" s="146">
        <f>IF(AND(AND(F967="",G967=""),B967="",C967="",D967="",J967="",K967="",L967=""),"",IF(AND(F967="",G967=""),"✗ 没填金额",IF(AND(N(F967)&lt;&gt;0,N(G967)&lt;&gt;0),"✗ 收入、支出只能填一边",IF(NOT(ISNUMBER(B967)),"✗ 日期不是真日期（要像 2026/9/25 这样填）",IF(OR(B967&lt;年初日,B967&gt;年末日),"✗ 日期不在本会计年度",IF(C967="","✗ 没选账户",IF(COUNTIF(基础资料!$W$5:$W$24,C967)=0,"✗ 账户不在基础资料里",IF(O967="","✗ 没选收支项目",IF(P967="未知","✗ 收支项目不在基础资料里",IF(AND(P967="应收",J967=""),"✗ 这笔要选客户",IF(AND(P967="应收",COUNTIF(总览汇总!$B$5:$B$304,J967)=0),"✗ 客户不在总览汇总名单里",IF(AND(P967="应付",K967=""),"✗ 这笔要选供应商",IF(AND(P967="应付",COUNTIF(基础资料!$Q$5:$Q$54,K967)=0),"✗ 供应商不在基础资料里",IF(AND(P967="费用",L967=""),"✗ 费用支出要选费用项目",IF(AND(L967&lt;&gt;"",COUNTIF(基础资料!$AI$5:$AI$54,L967)=0),"✗ 费用项目不在基础资料里",IF(AND(IFERROR(INDEX(基础资料!$AD$5:$AD$34,MATCH(O967,基础资料!$AC$5:$AC$34,0)),"")="收",N(G967)&lt;&gt;0),"✗ 这类是收款，金额填到收入列",IF(AND(IFERROR(INDEX(基础资料!$AD$5:$AD$34,MATCH(O967,基础资料!$AC$5:$AC$34,0)),"")="支",N(F967)&lt;&gt;0),"✗ 这类是付款，金额填到支出列",IF(N(H967)&lt;0,"⚠ 账户余额成负数了，核对一下","√"))))))))))))))))))</f>
      </c>
      <c r="O967" s="78">
        <f>IF(D967&lt;&gt;"",D967,IF(AND(F967="",G967=""),"",IF(J967&lt;&gt;"",IF(N(F967)&gt;0,"客户回款","客户退款"),IF(K967&lt;&gt;"",IF(N(G967)&gt;0,"供应商付款","供应商退款"),IF(L967&lt;&gt;"","费用支出","")))))</f>
      </c>
      <c r="P967" s="78">
        <f>IF(O967="","",IFERROR(INDEX(基础资料!$AE$5:$AE$34,MATCH(O967,基础资料!$AC$5:$AC$34,0)),"未知"))</f>
      </c>
      <c r="Q967" s="78">
        <f>IF(P967="应收",COUNTIF(P$7:P967,"应收"),"")</f>
      </c>
      <c r="R967" s="78">
        <f>IF(P967="应付",COUNTIF(P$7:P967,"应付"),"")</f>
      </c>
      <c r="S967" s="78">
        <f>N(F967)-N(G967)</f>
        <v>0</v>
      </c>
    </row>
    <row r="968">
      <c r="A968" s="109">
        <f>IF(AND(F968="",G968=""),"",ROW()-6)</f>
      </c>
      <c r="B968" s="140" t="n"/>
      <c r="C968" s="141" t="n"/>
      <c r="D968" s="141" t="n"/>
      <c r="E968" s="142" t="n"/>
      <c r="F968" s="143" t="n"/>
      <c r="G968" s="144" t="n"/>
      <c r="H968" s="145">
        <f>IF(OR(C968="",AND(F968="",G968="")),"",SUMIF(基础资料!$W$5:$W$24,C968,基础资料!$X$5:$X$24)+SUMIF(C$7:C968,C968,F$7:F968)-SUMIF(C$7:C968,C968,G$7:G968))</f>
      </c>
      <c r="I968" s="145">
        <f>IF(AND(F968="",G968=""),"",SUM(基础资料!$X$5:$X$24)+SUM(F$7:F968)-SUM(G$7:G968))</f>
      </c>
      <c r="J968" s="141" t="n"/>
      <c r="K968" s="141" t="n"/>
      <c r="L968" s="141" t="n"/>
      <c r="M968" s="142" t="n"/>
      <c r="N968" s="146">
        <f>IF(AND(AND(F968="",G968=""),B968="",C968="",D968="",J968="",K968="",L968=""),"",IF(AND(F968="",G968=""),"✗ 没填金额",IF(AND(N(F968)&lt;&gt;0,N(G968)&lt;&gt;0),"✗ 收入、支出只能填一边",IF(NOT(ISNUMBER(B968)),"✗ 日期不是真日期（要像 2026/9/25 这样填）",IF(OR(B968&lt;年初日,B968&gt;年末日),"✗ 日期不在本会计年度",IF(C968="","✗ 没选账户",IF(COUNTIF(基础资料!$W$5:$W$24,C968)=0,"✗ 账户不在基础资料里",IF(O968="","✗ 没选收支项目",IF(P968="未知","✗ 收支项目不在基础资料里",IF(AND(P968="应收",J968=""),"✗ 这笔要选客户",IF(AND(P968="应收",COUNTIF(总览汇总!$B$5:$B$304,J968)=0),"✗ 客户不在总览汇总名单里",IF(AND(P968="应付",K968=""),"✗ 这笔要选供应商",IF(AND(P968="应付",COUNTIF(基础资料!$Q$5:$Q$54,K968)=0),"✗ 供应商不在基础资料里",IF(AND(P968="费用",L968=""),"✗ 费用支出要选费用项目",IF(AND(L968&lt;&gt;"",COUNTIF(基础资料!$AI$5:$AI$54,L968)=0),"✗ 费用项目不在基础资料里",IF(AND(IFERROR(INDEX(基础资料!$AD$5:$AD$34,MATCH(O968,基础资料!$AC$5:$AC$34,0)),"")="收",N(G968)&lt;&gt;0),"✗ 这类是收款，金额填到收入列",IF(AND(IFERROR(INDEX(基础资料!$AD$5:$AD$34,MATCH(O968,基础资料!$AC$5:$AC$34,0)),"")="支",N(F968)&lt;&gt;0),"✗ 这类是付款，金额填到支出列",IF(N(H968)&lt;0,"⚠ 账户余额成负数了，核对一下","√"))))))))))))))))))</f>
      </c>
      <c r="O968" s="78">
        <f>IF(D968&lt;&gt;"",D968,IF(AND(F968="",G968=""),"",IF(J968&lt;&gt;"",IF(N(F968)&gt;0,"客户回款","客户退款"),IF(K968&lt;&gt;"",IF(N(G968)&gt;0,"供应商付款","供应商退款"),IF(L968&lt;&gt;"","费用支出","")))))</f>
      </c>
      <c r="P968" s="78">
        <f>IF(O968="","",IFERROR(INDEX(基础资料!$AE$5:$AE$34,MATCH(O968,基础资料!$AC$5:$AC$34,0)),"未知"))</f>
      </c>
      <c r="Q968" s="78">
        <f>IF(P968="应收",COUNTIF(P$7:P968,"应收"),"")</f>
      </c>
      <c r="R968" s="78">
        <f>IF(P968="应付",COUNTIF(P$7:P968,"应付"),"")</f>
      </c>
      <c r="S968" s="78">
        <f>N(F968)-N(G968)</f>
        <v>0</v>
      </c>
    </row>
    <row r="969">
      <c r="A969" s="109">
        <f>IF(AND(F969="",G969=""),"",ROW()-6)</f>
      </c>
      <c r="B969" s="140" t="n"/>
      <c r="C969" s="141" t="n"/>
      <c r="D969" s="141" t="n"/>
      <c r="E969" s="142" t="n"/>
      <c r="F969" s="143" t="n"/>
      <c r="G969" s="144" t="n"/>
      <c r="H969" s="145">
        <f>IF(OR(C969="",AND(F969="",G969="")),"",SUMIF(基础资料!$W$5:$W$24,C969,基础资料!$X$5:$X$24)+SUMIF(C$7:C969,C969,F$7:F969)-SUMIF(C$7:C969,C969,G$7:G969))</f>
      </c>
      <c r="I969" s="145">
        <f>IF(AND(F969="",G969=""),"",SUM(基础资料!$X$5:$X$24)+SUM(F$7:F969)-SUM(G$7:G969))</f>
      </c>
      <c r="J969" s="141" t="n"/>
      <c r="K969" s="141" t="n"/>
      <c r="L969" s="141" t="n"/>
      <c r="M969" s="142" t="n"/>
      <c r="N969" s="146">
        <f>IF(AND(AND(F969="",G969=""),B969="",C969="",D969="",J969="",K969="",L969=""),"",IF(AND(F969="",G969=""),"✗ 没填金额",IF(AND(N(F969)&lt;&gt;0,N(G969)&lt;&gt;0),"✗ 收入、支出只能填一边",IF(NOT(ISNUMBER(B969)),"✗ 日期不是真日期（要像 2026/9/25 这样填）",IF(OR(B969&lt;年初日,B969&gt;年末日),"✗ 日期不在本会计年度",IF(C969="","✗ 没选账户",IF(COUNTIF(基础资料!$W$5:$W$24,C969)=0,"✗ 账户不在基础资料里",IF(O969="","✗ 没选收支项目",IF(P969="未知","✗ 收支项目不在基础资料里",IF(AND(P969="应收",J969=""),"✗ 这笔要选客户",IF(AND(P969="应收",COUNTIF(总览汇总!$B$5:$B$304,J969)=0),"✗ 客户不在总览汇总名单里",IF(AND(P969="应付",K969=""),"✗ 这笔要选供应商",IF(AND(P969="应付",COUNTIF(基础资料!$Q$5:$Q$54,K969)=0),"✗ 供应商不在基础资料里",IF(AND(P969="费用",L969=""),"✗ 费用支出要选费用项目",IF(AND(L969&lt;&gt;"",COUNTIF(基础资料!$AI$5:$AI$54,L969)=0),"✗ 费用项目不在基础资料里",IF(AND(IFERROR(INDEX(基础资料!$AD$5:$AD$34,MATCH(O969,基础资料!$AC$5:$AC$34,0)),"")="收",N(G969)&lt;&gt;0),"✗ 这类是收款，金额填到收入列",IF(AND(IFERROR(INDEX(基础资料!$AD$5:$AD$34,MATCH(O969,基础资料!$AC$5:$AC$34,0)),"")="支",N(F969)&lt;&gt;0),"✗ 这类是付款，金额填到支出列",IF(N(H969)&lt;0,"⚠ 账户余额成负数了，核对一下","√"))))))))))))))))))</f>
      </c>
      <c r="O969" s="78">
        <f>IF(D969&lt;&gt;"",D969,IF(AND(F969="",G969=""),"",IF(J969&lt;&gt;"",IF(N(F969)&gt;0,"客户回款","客户退款"),IF(K969&lt;&gt;"",IF(N(G969)&gt;0,"供应商付款","供应商退款"),IF(L969&lt;&gt;"","费用支出","")))))</f>
      </c>
      <c r="P969" s="78">
        <f>IF(O969="","",IFERROR(INDEX(基础资料!$AE$5:$AE$34,MATCH(O969,基础资料!$AC$5:$AC$34,0)),"未知"))</f>
      </c>
      <c r="Q969" s="78">
        <f>IF(P969="应收",COUNTIF(P$7:P969,"应收"),"")</f>
      </c>
      <c r="R969" s="78">
        <f>IF(P969="应付",COUNTIF(P$7:P969,"应付"),"")</f>
      </c>
      <c r="S969" s="78">
        <f>N(F969)-N(G969)</f>
        <v>0</v>
      </c>
    </row>
    <row r="970">
      <c r="A970" s="109">
        <f>IF(AND(F970="",G970=""),"",ROW()-6)</f>
      </c>
      <c r="B970" s="140" t="n"/>
      <c r="C970" s="141" t="n"/>
      <c r="D970" s="141" t="n"/>
      <c r="E970" s="142" t="n"/>
      <c r="F970" s="143" t="n"/>
      <c r="G970" s="144" t="n"/>
      <c r="H970" s="145">
        <f>IF(OR(C970="",AND(F970="",G970="")),"",SUMIF(基础资料!$W$5:$W$24,C970,基础资料!$X$5:$X$24)+SUMIF(C$7:C970,C970,F$7:F970)-SUMIF(C$7:C970,C970,G$7:G970))</f>
      </c>
      <c r="I970" s="145">
        <f>IF(AND(F970="",G970=""),"",SUM(基础资料!$X$5:$X$24)+SUM(F$7:F970)-SUM(G$7:G970))</f>
      </c>
      <c r="J970" s="141" t="n"/>
      <c r="K970" s="141" t="n"/>
      <c r="L970" s="141" t="n"/>
      <c r="M970" s="142" t="n"/>
      <c r="N970" s="146">
        <f>IF(AND(AND(F970="",G970=""),B970="",C970="",D970="",J970="",K970="",L970=""),"",IF(AND(F970="",G970=""),"✗ 没填金额",IF(AND(N(F970)&lt;&gt;0,N(G970)&lt;&gt;0),"✗ 收入、支出只能填一边",IF(NOT(ISNUMBER(B970)),"✗ 日期不是真日期（要像 2026/9/25 这样填）",IF(OR(B970&lt;年初日,B970&gt;年末日),"✗ 日期不在本会计年度",IF(C970="","✗ 没选账户",IF(COUNTIF(基础资料!$W$5:$W$24,C970)=0,"✗ 账户不在基础资料里",IF(O970="","✗ 没选收支项目",IF(P970="未知","✗ 收支项目不在基础资料里",IF(AND(P970="应收",J970=""),"✗ 这笔要选客户",IF(AND(P970="应收",COUNTIF(总览汇总!$B$5:$B$304,J970)=0),"✗ 客户不在总览汇总名单里",IF(AND(P970="应付",K970=""),"✗ 这笔要选供应商",IF(AND(P970="应付",COUNTIF(基础资料!$Q$5:$Q$54,K970)=0),"✗ 供应商不在基础资料里",IF(AND(P970="费用",L970=""),"✗ 费用支出要选费用项目",IF(AND(L970&lt;&gt;"",COUNTIF(基础资料!$AI$5:$AI$54,L970)=0),"✗ 费用项目不在基础资料里",IF(AND(IFERROR(INDEX(基础资料!$AD$5:$AD$34,MATCH(O970,基础资料!$AC$5:$AC$34,0)),"")="收",N(G970)&lt;&gt;0),"✗ 这类是收款，金额填到收入列",IF(AND(IFERROR(INDEX(基础资料!$AD$5:$AD$34,MATCH(O970,基础资料!$AC$5:$AC$34,0)),"")="支",N(F970)&lt;&gt;0),"✗ 这类是付款，金额填到支出列",IF(N(H970)&lt;0,"⚠ 账户余额成负数了，核对一下","√"))))))))))))))))))</f>
      </c>
      <c r="O970" s="78">
        <f>IF(D970&lt;&gt;"",D970,IF(AND(F970="",G970=""),"",IF(J970&lt;&gt;"",IF(N(F970)&gt;0,"客户回款","客户退款"),IF(K970&lt;&gt;"",IF(N(G970)&gt;0,"供应商付款","供应商退款"),IF(L970&lt;&gt;"","费用支出","")))))</f>
      </c>
      <c r="P970" s="78">
        <f>IF(O970="","",IFERROR(INDEX(基础资料!$AE$5:$AE$34,MATCH(O970,基础资料!$AC$5:$AC$34,0)),"未知"))</f>
      </c>
      <c r="Q970" s="78">
        <f>IF(P970="应收",COUNTIF(P$7:P970,"应收"),"")</f>
      </c>
      <c r="R970" s="78">
        <f>IF(P970="应付",COUNTIF(P$7:P970,"应付"),"")</f>
      </c>
      <c r="S970" s="78">
        <f>N(F970)-N(G970)</f>
        <v>0</v>
      </c>
    </row>
    <row r="971">
      <c r="A971" s="109">
        <f>IF(AND(F971="",G971=""),"",ROW()-6)</f>
      </c>
      <c r="B971" s="140" t="n"/>
      <c r="C971" s="141" t="n"/>
      <c r="D971" s="141" t="n"/>
      <c r="E971" s="142" t="n"/>
      <c r="F971" s="143" t="n"/>
      <c r="G971" s="144" t="n"/>
      <c r="H971" s="145">
        <f>IF(OR(C971="",AND(F971="",G971="")),"",SUMIF(基础资料!$W$5:$W$24,C971,基础资料!$X$5:$X$24)+SUMIF(C$7:C971,C971,F$7:F971)-SUMIF(C$7:C971,C971,G$7:G971))</f>
      </c>
      <c r="I971" s="145">
        <f>IF(AND(F971="",G971=""),"",SUM(基础资料!$X$5:$X$24)+SUM(F$7:F971)-SUM(G$7:G971))</f>
      </c>
      <c r="J971" s="141" t="n"/>
      <c r="K971" s="141" t="n"/>
      <c r="L971" s="141" t="n"/>
      <c r="M971" s="142" t="n"/>
      <c r="N971" s="146">
        <f>IF(AND(AND(F971="",G971=""),B971="",C971="",D971="",J971="",K971="",L971=""),"",IF(AND(F971="",G971=""),"✗ 没填金额",IF(AND(N(F971)&lt;&gt;0,N(G971)&lt;&gt;0),"✗ 收入、支出只能填一边",IF(NOT(ISNUMBER(B971)),"✗ 日期不是真日期（要像 2026/9/25 这样填）",IF(OR(B971&lt;年初日,B971&gt;年末日),"✗ 日期不在本会计年度",IF(C971="","✗ 没选账户",IF(COUNTIF(基础资料!$W$5:$W$24,C971)=0,"✗ 账户不在基础资料里",IF(O971="","✗ 没选收支项目",IF(P971="未知","✗ 收支项目不在基础资料里",IF(AND(P971="应收",J971=""),"✗ 这笔要选客户",IF(AND(P971="应收",COUNTIF(总览汇总!$B$5:$B$304,J971)=0),"✗ 客户不在总览汇总名单里",IF(AND(P971="应付",K971=""),"✗ 这笔要选供应商",IF(AND(P971="应付",COUNTIF(基础资料!$Q$5:$Q$54,K971)=0),"✗ 供应商不在基础资料里",IF(AND(P971="费用",L971=""),"✗ 费用支出要选费用项目",IF(AND(L971&lt;&gt;"",COUNTIF(基础资料!$AI$5:$AI$54,L971)=0),"✗ 费用项目不在基础资料里",IF(AND(IFERROR(INDEX(基础资料!$AD$5:$AD$34,MATCH(O971,基础资料!$AC$5:$AC$34,0)),"")="收",N(G971)&lt;&gt;0),"✗ 这类是收款，金额填到收入列",IF(AND(IFERROR(INDEX(基础资料!$AD$5:$AD$34,MATCH(O971,基础资料!$AC$5:$AC$34,0)),"")="支",N(F971)&lt;&gt;0),"✗ 这类是付款，金额填到支出列",IF(N(H971)&lt;0,"⚠ 账户余额成负数了，核对一下","√"))))))))))))))))))</f>
      </c>
      <c r="O971" s="78">
        <f>IF(D971&lt;&gt;"",D971,IF(AND(F971="",G971=""),"",IF(J971&lt;&gt;"",IF(N(F971)&gt;0,"客户回款","客户退款"),IF(K971&lt;&gt;"",IF(N(G971)&gt;0,"供应商付款","供应商退款"),IF(L971&lt;&gt;"","费用支出","")))))</f>
      </c>
      <c r="P971" s="78">
        <f>IF(O971="","",IFERROR(INDEX(基础资料!$AE$5:$AE$34,MATCH(O971,基础资料!$AC$5:$AC$34,0)),"未知"))</f>
      </c>
      <c r="Q971" s="78">
        <f>IF(P971="应收",COUNTIF(P$7:P971,"应收"),"")</f>
      </c>
      <c r="R971" s="78">
        <f>IF(P971="应付",COUNTIF(P$7:P971,"应付"),"")</f>
      </c>
      <c r="S971" s="78">
        <f>N(F971)-N(G971)</f>
        <v>0</v>
      </c>
    </row>
    <row r="972">
      <c r="A972" s="109">
        <f>IF(AND(F972="",G972=""),"",ROW()-6)</f>
      </c>
      <c r="B972" s="140" t="n"/>
      <c r="C972" s="141" t="n"/>
      <c r="D972" s="141" t="n"/>
      <c r="E972" s="142" t="n"/>
      <c r="F972" s="143" t="n"/>
      <c r="G972" s="144" t="n"/>
      <c r="H972" s="145">
        <f>IF(OR(C972="",AND(F972="",G972="")),"",SUMIF(基础资料!$W$5:$W$24,C972,基础资料!$X$5:$X$24)+SUMIF(C$7:C972,C972,F$7:F972)-SUMIF(C$7:C972,C972,G$7:G972))</f>
      </c>
      <c r="I972" s="145">
        <f>IF(AND(F972="",G972=""),"",SUM(基础资料!$X$5:$X$24)+SUM(F$7:F972)-SUM(G$7:G972))</f>
      </c>
      <c r="J972" s="141" t="n"/>
      <c r="K972" s="141" t="n"/>
      <c r="L972" s="141" t="n"/>
      <c r="M972" s="142" t="n"/>
      <c r="N972" s="146">
        <f>IF(AND(AND(F972="",G972=""),B972="",C972="",D972="",J972="",K972="",L972=""),"",IF(AND(F972="",G972=""),"✗ 没填金额",IF(AND(N(F972)&lt;&gt;0,N(G972)&lt;&gt;0),"✗ 收入、支出只能填一边",IF(NOT(ISNUMBER(B972)),"✗ 日期不是真日期（要像 2026/9/25 这样填）",IF(OR(B972&lt;年初日,B972&gt;年末日),"✗ 日期不在本会计年度",IF(C972="","✗ 没选账户",IF(COUNTIF(基础资料!$W$5:$W$24,C972)=0,"✗ 账户不在基础资料里",IF(O972="","✗ 没选收支项目",IF(P972="未知","✗ 收支项目不在基础资料里",IF(AND(P972="应收",J972=""),"✗ 这笔要选客户",IF(AND(P972="应收",COUNTIF(总览汇总!$B$5:$B$304,J972)=0),"✗ 客户不在总览汇总名单里",IF(AND(P972="应付",K972=""),"✗ 这笔要选供应商",IF(AND(P972="应付",COUNTIF(基础资料!$Q$5:$Q$54,K972)=0),"✗ 供应商不在基础资料里",IF(AND(P972="费用",L972=""),"✗ 费用支出要选费用项目",IF(AND(L972&lt;&gt;"",COUNTIF(基础资料!$AI$5:$AI$54,L972)=0),"✗ 费用项目不在基础资料里",IF(AND(IFERROR(INDEX(基础资料!$AD$5:$AD$34,MATCH(O972,基础资料!$AC$5:$AC$34,0)),"")="收",N(G972)&lt;&gt;0),"✗ 这类是收款，金额填到收入列",IF(AND(IFERROR(INDEX(基础资料!$AD$5:$AD$34,MATCH(O972,基础资料!$AC$5:$AC$34,0)),"")="支",N(F972)&lt;&gt;0),"✗ 这类是付款，金额填到支出列",IF(N(H972)&lt;0,"⚠ 账户余额成负数了，核对一下","√"))))))))))))))))))</f>
      </c>
      <c r="O972" s="78">
        <f>IF(D972&lt;&gt;"",D972,IF(AND(F972="",G972=""),"",IF(J972&lt;&gt;"",IF(N(F972)&gt;0,"客户回款","客户退款"),IF(K972&lt;&gt;"",IF(N(G972)&gt;0,"供应商付款","供应商退款"),IF(L972&lt;&gt;"","费用支出","")))))</f>
      </c>
      <c r="P972" s="78">
        <f>IF(O972="","",IFERROR(INDEX(基础资料!$AE$5:$AE$34,MATCH(O972,基础资料!$AC$5:$AC$34,0)),"未知"))</f>
      </c>
      <c r="Q972" s="78">
        <f>IF(P972="应收",COUNTIF(P$7:P972,"应收"),"")</f>
      </c>
      <c r="R972" s="78">
        <f>IF(P972="应付",COUNTIF(P$7:P972,"应付"),"")</f>
      </c>
      <c r="S972" s="78">
        <f>N(F972)-N(G972)</f>
        <v>0</v>
      </c>
    </row>
    <row r="973">
      <c r="A973" s="109">
        <f>IF(AND(F973="",G973=""),"",ROW()-6)</f>
      </c>
      <c r="B973" s="140" t="n"/>
      <c r="C973" s="141" t="n"/>
      <c r="D973" s="141" t="n"/>
      <c r="E973" s="142" t="n"/>
      <c r="F973" s="143" t="n"/>
      <c r="G973" s="144" t="n"/>
      <c r="H973" s="145">
        <f>IF(OR(C973="",AND(F973="",G973="")),"",SUMIF(基础资料!$W$5:$W$24,C973,基础资料!$X$5:$X$24)+SUMIF(C$7:C973,C973,F$7:F973)-SUMIF(C$7:C973,C973,G$7:G973))</f>
      </c>
      <c r="I973" s="145">
        <f>IF(AND(F973="",G973=""),"",SUM(基础资料!$X$5:$X$24)+SUM(F$7:F973)-SUM(G$7:G973))</f>
      </c>
      <c r="J973" s="141" t="n"/>
      <c r="K973" s="141" t="n"/>
      <c r="L973" s="141" t="n"/>
      <c r="M973" s="142" t="n"/>
      <c r="N973" s="146">
        <f>IF(AND(AND(F973="",G973=""),B973="",C973="",D973="",J973="",K973="",L973=""),"",IF(AND(F973="",G973=""),"✗ 没填金额",IF(AND(N(F973)&lt;&gt;0,N(G973)&lt;&gt;0),"✗ 收入、支出只能填一边",IF(NOT(ISNUMBER(B973)),"✗ 日期不是真日期（要像 2026/9/25 这样填）",IF(OR(B973&lt;年初日,B973&gt;年末日),"✗ 日期不在本会计年度",IF(C973="","✗ 没选账户",IF(COUNTIF(基础资料!$W$5:$W$24,C973)=0,"✗ 账户不在基础资料里",IF(O973="","✗ 没选收支项目",IF(P973="未知","✗ 收支项目不在基础资料里",IF(AND(P973="应收",J973=""),"✗ 这笔要选客户",IF(AND(P973="应收",COUNTIF(总览汇总!$B$5:$B$304,J973)=0),"✗ 客户不在总览汇总名单里",IF(AND(P973="应付",K973=""),"✗ 这笔要选供应商",IF(AND(P973="应付",COUNTIF(基础资料!$Q$5:$Q$54,K973)=0),"✗ 供应商不在基础资料里",IF(AND(P973="费用",L973=""),"✗ 费用支出要选费用项目",IF(AND(L973&lt;&gt;"",COUNTIF(基础资料!$AI$5:$AI$54,L973)=0),"✗ 费用项目不在基础资料里",IF(AND(IFERROR(INDEX(基础资料!$AD$5:$AD$34,MATCH(O973,基础资料!$AC$5:$AC$34,0)),"")="收",N(G973)&lt;&gt;0),"✗ 这类是收款，金额填到收入列",IF(AND(IFERROR(INDEX(基础资料!$AD$5:$AD$34,MATCH(O973,基础资料!$AC$5:$AC$34,0)),"")="支",N(F973)&lt;&gt;0),"✗ 这类是付款，金额填到支出列",IF(N(H973)&lt;0,"⚠ 账户余额成负数了，核对一下","√"))))))))))))))))))</f>
      </c>
      <c r="O973" s="78">
        <f>IF(D973&lt;&gt;"",D973,IF(AND(F973="",G973=""),"",IF(J973&lt;&gt;"",IF(N(F973)&gt;0,"客户回款","客户退款"),IF(K973&lt;&gt;"",IF(N(G973)&gt;0,"供应商付款","供应商退款"),IF(L973&lt;&gt;"","费用支出","")))))</f>
      </c>
      <c r="P973" s="78">
        <f>IF(O973="","",IFERROR(INDEX(基础资料!$AE$5:$AE$34,MATCH(O973,基础资料!$AC$5:$AC$34,0)),"未知"))</f>
      </c>
      <c r="Q973" s="78">
        <f>IF(P973="应收",COUNTIF(P$7:P973,"应收"),"")</f>
      </c>
      <c r="R973" s="78">
        <f>IF(P973="应付",COUNTIF(P$7:P973,"应付"),"")</f>
      </c>
      <c r="S973" s="78">
        <f>N(F973)-N(G973)</f>
        <v>0</v>
      </c>
    </row>
    <row r="974">
      <c r="A974" s="109">
        <f>IF(AND(F974="",G974=""),"",ROW()-6)</f>
      </c>
      <c r="B974" s="140" t="n"/>
      <c r="C974" s="141" t="n"/>
      <c r="D974" s="141" t="n"/>
      <c r="E974" s="142" t="n"/>
      <c r="F974" s="143" t="n"/>
      <c r="G974" s="144" t="n"/>
      <c r="H974" s="145">
        <f>IF(OR(C974="",AND(F974="",G974="")),"",SUMIF(基础资料!$W$5:$W$24,C974,基础资料!$X$5:$X$24)+SUMIF(C$7:C974,C974,F$7:F974)-SUMIF(C$7:C974,C974,G$7:G974))</f>
      </c>
      <c r="I974" s="145">
        <f>IF(AND(F974="",G974=""),"",SUM(基础资料!$X$5:$X$24)+SUM(F$7:F974)-SUM(G$7:G974))</f>
      </c>
      <c r="J974" s="141" t="n"/>
      <c r="K974" s="141" t="n"/>
      <c r="L974" s="141" t="n"/>
      <c r="M974" s="142" t="n"/>
      <c r="N974" s="146">
        <f>IF(AND(AND(F974="",G974=""),B974="",C974="",D974="",J974="",K974="",L974=""),"",IF(AND(F974="",G974=""),"✗ 没填金额",IF(AND(N(F974)&lt;&gt;0,N(G974)&lt;&gt;0),"✗ 收入、支出只能填一边",IF(NOT(ISNUMBER(B974)),"✗ 日期不是真日期（要像 2026/9/25 这样填）",IF(OR(B974&lt;年初日,B974&gt;年末日),"✗ 日期不在本会计年度",IF(C974="","✗ 没选账户",IF(COUNTIF(基础资料!$W$5:$W$24,C974)=0,"✗ 账户不在基础资料里",IF(O974="","✗ 没选收支项目",IF(P974="未知","✗ 收支项目不在基础资料里",IF(AND(P974="应收",J974=""),"✗ 这笔要选客户",IF(AND(P974="应收",COUNTIF(总览汇总!$B$5:$B$304,J974)=0),"✗ 客户不在总览汇总名单里",IF(AND(P974="应付",K974=""),"✗ 这笔要选供应商",IF(AND(P974="应付",COUNTIF(基础资料!$Q$5:$Q$54,K974)=0),"✗ 供应商不在基础资料里",IF(AND(P974="费用",L974=""),"✗ 费用支出要选费用项目",IF(AND(L974&lt;&gt;"",COUNTIF(基础资料!$AI$5:$AI$54,L974)=0),"✗ 费用项目不在基础资料里",IF(AND(IFERROR(INDEX(基础资料!$AD$5:$AD$34,MATCH(O974,基础资料!$AC$5:$AC$34,0)),"")="收",N(G974)&lt;&gt;0),"✗ 这类是收款，金额填到收入列",IF(AND(IFERROR(INDEX(基础资料!$AD$5:$AD$34,MATCH(O974,基础资料!$AC$5:$AC$34,0)),"")="支",N(F974)&lt;&gt;0),"✗ 这类是付款，金额填到支出列",IF(N(H974)&lt;0,"⚠ 账户余额成负数了，核对一下","√"))))))))))))))))))</f>
      </c>
      <c r="O974" s="78">
        <f>IF(D974&lt;&gt;"",D974,IF(AND(F974="",G974=""),"",IF(J974&lt;&gt;"",IF(N(F974)&gt;0,"客户回款","客户退款"),IF(K974&lt;&gt;"",IF(N(G974)&gt;0,"供应商付款","供应商退款"),IF(L974&lt;&gt;"","费用支出","")))))</f>
      </c>
      <c r="P974" s="78">
        <f>IF(O974="","",IFERROR(INDEX(基础资料!$AE$5:$AE$34,MATCH(O974,基础资料!$AC$5:$AC$34,0)),"未知"))</f>
      </c>
      <c r="Q974" s="78">
        <f>IF(P974="应收",COUNTIF(P$7:P974,"应收"),"")</f>
      </c>
      <c r="R974" s="78">
        <f>IF(P974="应付",COUNTIF(P$7:P974,"应付"),"")</f>
      </c>
      <c r="S974" s="78">
        <f>N(F974)-N(G974)</f>
        <v>0</v>
      </c>
    </row>
    <row r="975">
      <c r="A975" s="109">
        <f>IF(AND(F975="",G975=""),"",ROW()-6)</f>
      </c>
      <c r="B975" s="140" t="n"/>
      <c r="C975" s="141" t="n"/>
      <c r="D975" s="141" t="n"/>
      <c r="E975" s="142" t="n"/>
      <c r="F975" s="143" t="n"/>
      <c r="G975" s="144" t="n"/>
      <c r="H975" s="145">
        <f>IF(OR(C975="",AND(F975="",G975="")),"",SUMIF(基础资料!$W$5:$W$24,C975,基础资料!$X$5:$X$24)+SUMIF(C$7:C975,C975,F$7:F975)-SUMIF(C$7:C975,C975,G$7:G975))</f>
      </c>
      <c r="I975" s="145">
        <f>IF(AND(F975="",G975=""),"",SUM(基础资料!$X$5:$X$24)+SUM(F$7:F975)-SUM(G$7:G975))</f>
      </c>
      <c r="J975" s="141" t="n"/>
      <c r="K975" s="141" t="n"/>
      <c r="L975" s="141" t="n"/>
      <c r="M975" s="142" t="n"/>
      <c r="N975" s="146">
        <f>IF(AND(AND(F975="",G975=""),B975="",C975="",D975="",J975="",K975="",L975=""),"",IF(AND(F975="",G975=""),"✗ 没填金额",IF(AND(N(F975)&lt;&gt;0,N(G975)&lt;&gt;0),"✗ 收入、支出只能填一边",IF(NOT(ISNUMBER(B975)),"✗ 日期不是真日期（要像 2026/9/25 这样填）",IF(OR(B975&lt;年初日,B975&gt;年末日),"✗ 日期不在本会计年度",IF(C975="","✗ 没选账户",IF(COUNTIF(基础资料!$W$5:$W$24,C975)=0,"✗ 账户不在基础资料里",IF(O975="","✗ 没选收支项目",IF(P975="未知","✗ 收支项目不在基础资料里",IF(AND(P975="应收",J975=""),"✗ 这笔要选客户",IF(AND(P975="应收",COUNTIF(总览汇总!$B$5:$B$304,J975)=0),"✗ 客户不在总览汇总名单里",IF(AND(P975="应付",K975=""),"✗ 这笔要选供应商",IF(AND(P975="应付",COUNTIF(基础资料!$Q$5:$Q$54,K975)=0),"✗ 供应商不在基础资料里",IF(AND(P975="费用",L975=""),"✗ 费用支出要选费用项目",IF(AND(L975&lt;&gt;"",COUNTIF(基础资料!$AI$5:$AI$54,L975)=0),"✗ 费用项目不在基础资料里",IF(AND(IFERROR(INDEX(基础资料!$AD$5:$AD$34,MATCH(O975,基础资料!$AC$5:$AC$34,0)),"")="收",N(G975)&lt;&gt;0),"✗ 这类是收款，金额填到收入列",IF(AND(IFERROR(INDEX(基础资料!$AD$5:$AD$34,MATCH(O975,基础资料!$AC$5:$AC$34,0)),"")="支",N(F975)&lt;&gt;0),"✗ 这类是付款，金额填到支出列",IF(N(H975)&lt;0,"⚠ 账户余额成负数了，核对一下","√"))))))))))))))))))</f>
      </c>
      <c r="O975" s="78">
        <f>IF(D975&lt;&gt;"",D975,IF(AND(F975="",G975=""),"",IF(J975&lt;&gt;"",IF(N(F975)&gt;0,"客户回款","客户退款"),IF(K975&lt;&gt;"",IF(N(G975)&gt;0,"供应商付款","供应商退款"),IF(L975&lt;&gt;"","费用支出","")))))</f>
      </c>
      <c r="P975" s="78">
        <f>IF(O975="","",IFERROR(INDEX(基础资料!$AE$5:$AE$34,MATCH(O975,基础资料!$AC$5:$AC$34,0)),"未知"))</f>
      </c>
      <c r="Q975" s="78">
        <f>IF(P975="应收",COUNTIF(P$7:P975,"应收"),"")</f>
      </c>
      <c r="R975" s="78">
        <f>IF(P975="应付",COUNTIF(P$7:P975,"应付"),"")</f>
      </c>
      <c r="S975" s="78">
        <f>N(F975)-N(G975)</f>
        <v>0</v>
      </c>
    </row>
    <row r="976">
      <c r="A976" s="109">
        <f>IF(AND(F976="",G976=""),"",ROW()-6)</f>
      </c>
      <c r="B976" s="140" t="n"/>
      <c r="C976" s="141" t="n"/>
      <c r="D976" s="141" t="n"/>
      <c r="E976" s="142" t="n"/>
      <c r="F976" s="143" t="n"/>
      <c r="G976" s="144" t="n"/>
      <c r="H976" s="145">
        <f>IF(OR(C976="",AND(F976="",G976="")),"",SUMIF(基础资料!$W$5:$W$24,C976,基础资料!$X$5:$X$24)+SUMIF(C$7:C976,C976,F$7:F976)-SUMIF(C$7:C976,C976,G$7:G976))</f>
      </c>
      <c r="I976" s="145">
        <f>IF(AND(F976="",G976=""),"",SUM(基础资料!$X$5:$X$24)+SUM(F$7:F976)-SUM(G$7:G976))</f>
      </c>
      <c r="J976" s="141" t="n"/>
      <c r="K976" s="141" t="n"/>
      <c r="L976" s="141" t="n"/>
      <c r="M976" s="142" t="n"/>
      <c r="N976" s="146">
        <f>IF(AND(AND(F976="",G976=""),B976="",C976="",D976="",J976="",K976="",L976=""),"",IF(AND(F976="",G976=""),"✗ 没填金额",IF(AND(N(F976)&lt;&gt;0,N(G976)&lt;&gt;0),"✗ 收入、支出只能填一边",IF(NOT(ISNUMBER(B976)),"✗ 日期不是真日期（要像 2026/9/25 这样填）",IF(OR(B976&lt;年初日,B976&gt;年末日),"✗ 日期不在本会计年度",IF(C976="","✗ 没选账户",IF(COUNTIF(基础资料!$W$5:$W$24,C976)=0,"✗ 账户不在基础资料里",IF(O976="","✗ 没选收支项目",IF(P976="未知","✗ 收支项目不在基础资料里",IF(AND(P976="应收",J976=""),"✗ 这笔要选客户",IF(AND(P976="应收",COUNTIF(总览汇总!$B$5:$B$304,J976)=0),"✗ 客户不在总览汇总名单里",IF(AND(P976="应付",K976=""),"✗ 这笔要选供应商",IF(AND(P976="应付",COUNTIF(基础资料!$Q$5:$Q$54,K976)=0),"✗ 供应商不在基础资料里",IF(AND(P976="费用",L976=""),"✗ 费用支出要选费用项目",IF(AND(L976&lt;&gt;"",COUNTIF(基础资料!$AI$5:$AI$54,L976)=0),"✗ 费用项目不在基础资料里",IF(AND(IFERROR(INDEX(基础资料!$AD$5:$AD$34,MATCH(O976,基础资料!$AC$5:$AC$34,0)),"")="收",N(G976)&lt;&gt;0),"✗ 这类是收款，金额填到收入列",IF(AND(IFERROR(INDEX(基础资料!$AD$5:$AD$34,MATCH(O976,基础资料!$AC$5:$AC$34,0)),"")="支",N(F976)&lt;&gt;0),"✗ 这类是付款，金额填到支出列",IF(N(H976)&lt;0,"⚠ 账户余额成负数了，核对一下","√"))))))))))))))))))</f>
      </c>
      <c r="O976" s="78">
        <f>IF(D976&lt;&gt;"",D976,IF(AND(F976="",G976=""),"",IF(J976&lt;&gt;"",IF(N(F976)&gt;0,"客户回款","客户退款"),IF(K976&lt;&gt;"",IF(N(G976)&gt;0,"供应商付款","供应商退款"),IF(L976&lt;&gt;"","费用支出","")))))</f>
      </c>
      <c r="P976" s="78">
        <f>IF(O976="","",IFERROR(INDEX(基础资料!$AE$5:$AE$34,MATCH(O976,基础资料!$AC$5:$AC$34,0)),"未知"))</f>
      </c>
      <c r="Q976" s="78">
        <f>IF(P976="应收",COUNTIF(P$7:P976,"应收"),"")</f>
      </c>
      <c r="R976" s="78">
        <f>IF(P976="应付",COUNTIF(P$7:P976,"应付"),"")</f>
      </c>
      <c r="S976" s="78">
        <f>N(F976)-N(G976)</f>
        <v>0</v>
      </c>
    </row>
    <row r="977">
      <c r="A977" s="109">
        <f>IF(AND(F977="",G977=""),"",ROW()-6)</f>
      </c>
      <c r="B977" s="140" t="n"/>
      <c r="C977" s="141" t="n"/>
      <c r="D977" s="141" t="n"/>
      <c r="E977" s="142" t="n"/>
      <c r="F977" s="143" t="n"/>
      <c r="G977" s="144" t="n"/>
      <c r="H977" s="145">
        <f>IF(OR(C977="",AND(F977="",G977="")),"",SUMIF(基础资料!$W$5:$W$24,C977,基础资料!$X$5:$X$24)+SUMIF(C$7:C977,C977,F$7:F977)-SUMIF(C$7:C977,C977,G$7:G977))</f>
      </c>
      <c r="I977" s="145">
        <f>IF(AND(F977="",G977=""),"",SUM(基础资料!$X$5:$X$24)+SUM(F$7:F977)-SUM(G$7:G977))</f>
      </c>
      <c r="J977" s="141" t="n"/>
      <c r="K977" s="141" t="n"/>
      <c r="L977" s="141" t="n"/>
      <c r="M977" s="142" t="n"/>
      <c r="N977" s="146">
        <f>IF(AND(AND(F977="",G977=""),B977="",C977="",D977="",J977="",K977="",L977=""),"",IF(AND(F977="",G977=""),"✗ 没填金额",IF(AND(N(F977)&lt;&gt;0,N(G977)&lt;&gt;0),"✗ 收入、支出只能填一边",IF(NOT(ISNUMBER(B977)),"✗ 日期不是真日期（要像 2026/9/25 这样填）",IF(OR(B977&lt;年初日,B977&gt;年末日),"✗ 日期不在本会计年度",IF(C977="","✗ 没选账户",IF(COUNTIF(基础资料!$W$5:$W$24,C977)=0,"✗ 账户不在基础资料里",IF(O977="","✗ 没选收支项目",IF(P977="未知","✗ 收支项目不在基础资料里",IF(AND(P977="应收",J977=""),"✗ 这笔要选客户",IF(AND(P977="应收",COUNTIF(总览汇总!$B$5:$B$304,J977)=0),"✗ 客户不在总览汇总名单里",IF(AND(P977="应付",K977=""),"✗ 这笔要选供应商",IF(AND(P977="应付",COUNTIF(基础资料!$Q$5:$Q$54,K977)=0),"✗ 供应商不在基础资料里",IF(AND(P977="费用",L977=""),"✗ 费用支出要选费用项目",IF(AND(L977&lt;&gt;"",COUNTIF(基础资料!$AI$5:$AI$54,L977)=0),"✗ 费用项目不在基础资料里",IF(AND(IFERROR(INDEX(基础资料!$AD$5:$AD$34,MATCH(O977,基础资料!$AC$5:$AC$34,0)),"")="收",N(G977)&lt;&gt;0),"✗ 这类是收款，金额填到收入列",IF(AND(IFERROR(INDEX(基础资料!$AD$5:$AD$34,MATCH(O977,基础资料!$AC$5:$AC$34,0)),"")="支",N(F977)&lt;&gt;0),"✗ 这类是付款，金额填到支出列",IF(N(H977)&lt;0,"⚠ 账户余额成负数了，核对一下","√"))))))))))))))))))</f>
      </c>
      <c r="O977" s="78">
        <f>IF(D977&lt;&gt;"",D977,IF(AND(F977="",G977=""),"",IF(J977&lt;&gt;"",IF(N(F977)&gt;0,"客户回款","客户退款"),IF(K977&lt;&gt;"",IF(N(G977)&gt;0,"供应商付款","供应商退款"),IF(L977&lt;&gt;"","费用支出","")))))</f>
      </c>
      <c r="P977" s="78">
        <f>IF(O977="","",IFERROR(INDEX(基础资料!$AE$5:$AE$34,MATCH(O977,基础资料!$AC$5:$AC$34,0)),"未知"))</f>
      </c>
      <c r="Q977" s="78">
        <f>IF(P977="应收",COUNTIF(P$7:P977,"应收"),"")</f>
      </c>
      <c r="R977" s="78">
        <f>IF(P977="应付",COUNTIF(P$7:P977,"应付"),"")</f>
      </c>
      <c r="S977" s="78">
        <f>N(F977)-N(G977)</f>
        <v>0</v>
      </c>
    </row>
    <row r="978">
      <c r="A978" s="109">
        <f>IF(AND(F978="",G978=""),"",ROW()-6)</f>
      </c>
      <c r="B978" s="140" t="n"/>
      <c r="C978" s="141" t="n"/>
      <c r="D978" s="141" t="n"/>
      <c r="E978" s="142" t="n"/>
      <c r="F978" s="143" t="n"/>
      <c r="G978" s="144" t="n"/>
      <c r="H978" s="145">
        <f>IF(OR(C978="",AND(F978="",G978="")),"",SUMIF(基础资料!$W$5:$W$24,C978,基础资料!$X$5:$X$24)+SUMIF(C$7:C978,C978,F$7:F978)-SUMIF(C$7:C978,C978,G$7:G978))</f>
      </c>
      <c r="I978" s="145">
        <f>IF(AND(F978="",G978=""),"",SUM(基础资料!$X$5:$X$24)+SUM(F$7:F978)-SUM(G$7:G978))</f>
      </c>
      <c r="J978" s="141" t="n"/>
      <c r="K978" s="141" t="n"/>
      <c r="L978" s="141" t="n"/>
      <c r="M978" s="142" t="n"/>
      <c r="N978" s="146">
        <f>IF(AND(AND(F978="",G978=""),B978="",C978="",D978="",J978="",K978="",L978=""),"",IF(AND(F978="",G978=""),"✗ 没填金额",IF(AND(N(F978)&lt;&gt;0,N(G978)&lt;&gt;0),"✗ 收入、支出只能填一边",IF(NOT(ISNUMBER(B978)),"✗ 日期不是真日期（要像 2026/9/25 这样填）",IF(OR(B978&lt;年初日,B978&gt;年末日),"✗ 日期不在本会计年度",IF(C978="","✗ 没选账户",IF(COUNTIF(基础资料!$W$5:$W$24,C978)=0,"✗ 账户不在基础资料里",IF(O978="","✗ 没选收支项目",IF(P978="未知","✗ 收支项目不在基础资料里",IF(AND(P978="应收",J978=""),"✗ 这笔要选客户",IF(AND(P978="应收",COUNTIF(总览汇总!$B$5:$B$304,J978)=0),"✗ 客户不在总览汇总名单里",IF(AND(P978="应付",K978=""),"✗ 这笔要选供应商",IF(AND(P978="应付",COUNTIF(基础资料!$Q$5:$Q$54,K978)=0),"✗ 供应商不在基础资料里",IF(AND(P978="费用",L978=""),"✗ 费用支出要选费用项目",IF(AND(L978&lt;&gt;"",COUNTIF(基础资料!$AI$5:$AI$54,L978)=0),"✗ 费用项目不在基础资料里",IF(AND(IFERROR(INDEX(基础资料!$AD$5:$AD$34,MATCH(O978,基础资料!$AC$5:$AC$34,0)),"")="收",N(G978)&lt;&gt;0),"✗ 这类是收款，金额填到收入列",IF(AND(IFERROR(INDEX(基础资料!$AD$5:$AD$34,MATCH(O978,基础资料!$AC$5:$AC$34,0)),"")="支",N(F978)&lt;&gt;0),"✗ 这类是付款，金额填到支出列",IF(N(H978)&lt;0,"⚠ 账户余额成负数了，核对一下","√"))))))))))))))))))</f>
      </c>
      <c r="O978" s="78">
        <f>IF(D978&lt;&gt;"",D978,IF(AND(F978="",G978=""),"",IF(J978&lt;&gt;"",IF(N(F978)&gt;0,"客户回款","客户退款"),IF(K978&lt;&gt;"",IF(N(G978)&gt;0,"供应商付款","供应商退款"),IF(L978&lt;&gt;"","费用支出","")))))</f>
      </c>
      <c r="P978" s="78">
        <f>IF(O978="","",IFERROR(INDEX(基础资料!$AE$5:$AE$34,MATCH(O978,基础资料!$AC$5:$AC$34,0)),"未知"))</f>
      </c>
      <c r="Q978" s="78">
        <f>IF(P978="应收",COUNTIF(P$7:P978,"应收"),"")</f>
      </c>
      <c r="R978" s="78">
        <f>IF(P978="应付",COUNTIF(P$7:P978,"应付"),"")</f>
      </c>
      <c r="S978" s="78">
        <f>N(F978)-N(G978)</f>
        <v>0</v>
      </c>
    </row>
    <row r="979">
      <c r="A979" s="109">
        <f>IF(AND(F979="",G979=""),"",ROW()-6)</f>
      </c>
      <c r="B979" s="140" t="n"/>
      <c r="C979" s="141" t="n"/>
      <c r="D979" s="141" t="n"/>
      <c r="E979" s="142" t="n"/>
      <c r="F979" s="143" t="n"/>
      <c r="G979" s="144" t="n"/>
      <c r="H979" s="145">
        <f>IF(OR(C979="",AND(F979="",G979="")),"",SUMIF(基础资料!$W$5:$W$24,C979,基础资料!$X$5:$X$24)+SUMIF(C$7:C979,C979,F$7:F979)-SUMIF(C$7:C979,C979,G$7:G979))</f>
      </c>
      <c r="I979" s="145">
        <f>IF(AND(F979="",G979=""),"",SUM(基础资料!$X$5:$X$24)+SUM(F$7:F979)-SUM(G$7:G979))</f>
      </c>
      <c r="J979" s="141" t="n"/>
      <c r="K979" s="141" t="n"/>
      <c r="L979" s="141" t="n"/>
      <c r="M979" s="142" t="n"/>
      <c r="N979" s="146">
        <f>IF(AND(AND(F979="",G979=""),B979="",C979="",D979="",J979="",K979="",L979=""),"",IF(AND(F979="",G979=""),"✗ 没填金额",IF(AND(N(F979)&lt;&gt;0,N(G979)&lt;&gt;0),"✗ 收入、支出只能填一边",IF(NOT(ISNUMBER(B979)),"✗ 日期不是真日期（要像 2026/9/25 这样填）",IF(OR(B979&lt;年初日,B979&gt;年末日),"✗ 日期不在本会计年度",IF(C979="","✗ 没选账户",IF(COUNTIF(基础资料!$W$5:$W$24,C979)=0,"✗ 账户不在基础资料里",IF(O979="","✗ 没选收支项目",IF(P979="未知","✗ 收支项目不在基础资料里",IF(AND(P979="应收",J979=""),"✗ 这笔要选客户",IF(AND(P979="应收",COUNTIF(总览汇总!$B$5:$B$304,J979)=0),"✗ 客户不在总览汇总名单里",IF(AND(P979="应付",K979=""),"✗ 这笔要选供应商",IF(AND(P979="应付",COUNTIF(基础资料!$Q$5:$Q$54,K979)=0),"✗ 供应商不在基础资料里",IF(AND(P979="费用",L979=""),"✗ 费用支出要选费用项目",IF(AND(L979&lt;&gt;"",COUNTIF(基础资料!$AI$5:$AI$54,L979)=0),"✗ 费用项目不在基础资料里",IF(AND(IFERROR(INDEX(基础资料!$AD$5:$AD$34,MATCH(O979,基础资料!$AC$5:$AC$34,0)),"")="收",N(G979)&lt;&gt;0),"✗ 这类是收款，金额填到收入列",IF(AND(IFERROR(INDEX(基础资料!$AD$5:$AD$34,MATCH(O979,基础资料!$AC$5:$AC$34,0)),"")="支",N(F979)&lt;&gt;0),"✗ 这类是付款，金额填到支出列",IF(N(H979)&lt;0,"⚠ 账户余额成负数了，核对一下","√"))))))))))))))))))</f>
      </c>
      <c r="O979" s="78">
        <f>IF(D979&lt;&gt;"",D979,IF(AND(F979="",G979=""),"",IF(J979&lt;&gt;"",IF(N(F979)&gt;0,"客户回款","客户退款"),IF(K979&lt;&gt;"",IF(N(G979)&gt;0,"供应商付款","供应商退款"),IF(L979&lt;&gt;"","费用支出","")))))</f>
      </c>
      <c r="P979" s="78">
        <f>IF(O979="","",IFERROR(INDEX(基础资料!$AE$5:$AE$34,MATCH(O979,基础资料!$AC$5:$AC$34,0)),"未知"))</f>
      </c>
      <c r="Q979" s="78">
        <f>IF(P979="应收",COUNTIF(P$7:P979,"应收"),"")</f>
      </c>
      <c r="R979" s="78">
        <f>IF(P979="应付",COUNTIF(P$7:P979,"应付"),"")</f>
      </c>
      <c r="S979" s="78">
        <f>N(F979)-N(G979)</f>
        <v>0</v>
      </c>
    </row>
    <row r="980">
      <c r="A980" s="109">
        <f>IF(AND(F980="",G980=""),"",ROW()-6)</f>
      </c>
      <c r="B980" s="140" t="n"/>
      <c r="C980" s="141" t="n"/>
      <c r="D980" s="141" t="n"/>
      <c r="E980" s="142" t="n"/>
      <c r="F980" s="143" t="n"/>
      <c r="G980" s="144" t="n"/>
      <c r="H980" s="145">
        <f>IF(OR(C980="",AND(F980="",G980="")),"",SUMIF(基础资料!$W$5:$W$24,C980,基础资料!$X$5:$X$24)+SUMIF(C$7:C980,C980,F$7:F980)-SUMIF(C$7:C980,C980,G$7:G980))</f>
      </c>
      <c r="I980" s="145">
        <f>IF(AND(F980="",G980=""),"",SUM(基础资料!$X$5:$X$24)+SUM(F$7:F980)-SUM(G$7:G980))</f>
      </c>
      <c r="J980" s="141" t="n"/>
      <c r="K980" s="141" t="n"/>
      <c r="L980" s="141" t="n"/>
      <c r="M980" s="142" t="n"/>
      <c r="N980" s="146">
        <f>IF(AND(AND(F980="",G980=""),B980="",C980="",D980="",J980="",K980="",L980=""),"",IF(AND(F980="",G980=""),"✗ 没填金额",IF(AND(N(F980)&lt;&gt;0,N(G980)&lt;&gt;0),"✗ 收入、支出只能填一边",IF(NOT(ISNUMBER(B980)),"✗ 日期不是真日期（要像 2026/9/25 这样填）",IF(OR(B980&lt;年初日,B980&gt;年末日),"✗ 日期不在本会计年度",IF(C980="","✗ 没选账户",IF(COUNTIF(基础资料!$W$5:$W$24,C980)=0,"✗ 账户不在基础资料里",IF(O980="","✗ 没选收支项目",IF(P980="未知","✗ 收支项目不在基础资料里",IF(AND(P980="应收",J980=""),"✗ 这笔要选客户",IF(AND(P980="应收",COUNTIF(总览汇总!$B$5:$B$304,J980)=0),"✗ 客户不在总览汇总名单里",IF(AND(P980="应付",K980=""),"✗ 这笔要选供应商",IF(AND(P980="应付",COUNTIF(基础资料!$Q$5:$Q$54,K980)=0),"✗ 供应商不在基础资料里",IF(AND(P980="费用",L980=""),"✗ 费用支出要选费用项目",IF(AND(L980&lt;&gt;"",COUNTIF(基础资料!$AI$5:$AI$54,L980)=0),"✗ 费用项目不在基础资料里",IF(AND(IFERROR(INDEX(基础资料!$AD$5:$AD$34,MATCH(O980,基础资料!$AC$5:$AC$34,0)),"")="收",N(G980)&lt;&gt;0),"✗ 这类是收款，金额填到收入列",IF(AND(IFERROR(INDEX(基础资料!$AD$5:$AD$34,MATCH(O980,基础资料!$AC$5:$AC$34,0)),"")="支",N(F980)&lt;&gt;0),"✗ 这类是付款，金额填到支出列",IF(N(H980)&lt;0,"⚠ 账户余额成负数了，核对一下","√"))))))))))))))))))</f>
      </c>
      <c r="O980" s="78">
        <f>IF(D980&lt;&gt;"",D980,IF(AND(F980="",G980=""),"",IF(J980&lt;&gt;"",IF(N(F980)&gt;0,"客户回款","客户退款"),IF(K980&lt;&gt;"",IF(N(G980)&gt;0,"供应商付款","供应商退款"),IF(L980&lt;&gt;"","费用支出","")))))</f>
      </c>
      <c r="P980" s="78">
        <f>IF(O980="","",IFERROR(INDEX(基础资料!$AE$5:$AE$34,MATCH(O980,基础资料!$AC$5:$AC$34,0)),"未知"))</f>
      </c>
      <c r="Q980" s="78">
        <f>IF(P980="应收",COUNTIF(P$7:P980,"应收"),"")</f>
      </c>
      <c r="R980" s="78">
        <f>IF(P980="应付",COUNTIF(P$7:P980,"应付"),"")</f>
      </c>
      <c r="S980" s="78">
        <f>N(F980)-N(G980)</f>
        <v>0</v>
      </c>
    </row>
    <row r="981">
      <c r="A981" s="109">
        <f>IF(AND(F981="",G981=""),"",ROW()-6)</f>
      </c>
      <c r="B981" s="140" t="n"/>
      <c r="C981" s="141" t="n"/>
      <c r="D981" s="141" t="n"/>
      <c r="E981" s="142" t="n"/>
      <c r="F981" s="143" t="n"/>
      <c r="G981" s="144" t="n"/>
      <c r="H981" s="145">
        <f>IF(OR(C981="",AND(F981="",G981="")),"",SUMIF(基础资料!$W$5:$W$24,C981,基础资料!$X$5:$X$24)+SUMIF(C$7:C981,C981,F$7:F981)-SUMIF(C$7:C981,C981,G$7:G981))</f>
      </c>
      <c r="I981" s="145">
        <f>IF(AND(F981="",G981=""),"",SUM(基础资料!$X$5:$X$24)+SUM(F$7:F981)-SUM(G$7:G981))</f>
      </c>
      <c r="J981" s="141" t="n"/>
      <c r="K981" s="141" t="n"/>
      <c r="L981" s="141" t="n"/>
      <c r="M981" s="142" t="n"/>
      <c r="N981" s="146">
        <f>IF(AND(AND(F981="",G981=""),B981="",C981="",D981="",J981="",K981="",L981=""),"",IF(AND(F981="",G981=""),"✗ 没填金额",IF(AND(N(F981)&lt;&gt;0,N(G981)&lt;&gt;0),"✗ 收入、支出只能填一边",IF(NOT(ISNUMBER(B981)),"✗ 日期不是真日期（要像 2026/9/25 这样填）",IF(OR(B981&lt;年初日,B981&gt;年末日),"✗ 日期不在本会计年度",IF(C981="","✗ 没选账户",IF(COUNTIF(基础资料!$W$5:$W$24,C981)=0,"✗ 账户不在基础资料里",IF(O981="","✗ 没选收支项目",IF(P981="未知","✗ 收支项目不在基础资料里",IF(AND(P981="应收",J981=""),"✗ 这笔要选客户",IF(AND(P981="应收",COUNTIF(总览汇总!$B$5:$B$304,J981)=0),"✗ 客户不在总览汇总名单里",IF(AND(P981="应付",K981=""),"✗ 这笔要选供应商",IF(AND(P981="应付",COUNTIF(基础资料!$Q$5:$Q$54,K981)=0),"✗ 供应商不在基础资料里",IF(AND(P981="费用",L981=""),"✗ 费用支出要选费用项目",IF(AND(L981&lt;&gt;"",COUNTIF(基础资料!$AI$5:$AI$54,L981)=0),"✗ 费用项目不在基础资料里",IF(AND(IFERROR(INDEX(基础资料!$AD$5:$AD$34,MATCH(O981,基础资料!$AC$5:$AC$34,0)),"")="收",N(G981)&lt;&gt;0),"✗ 这类是收款，金额填到收入列",IF(AND(IFERROR(INDEX(基础资料!$AD$5:$AD$34,MATCH(O981,基础资料!$AC$5:$AC$34,0)),"")="支",N(F981)&lt;&gt;0),"✗ 这类是付款，金额填到支出列",IF(N(H981)&lt;0,"⚠ 账户余额成负数了，核对一下","√"))))))))))))))))))</f>
      </c>
      <c r="O981" s="78">
        <f>IF(D981&lt;&gt;"",D981,IF(AND(F981="",G981=""),"",IF(J981&lt;&gt;"",IF(N(F981)&gt;0,"客户回款","客户退款"),IF(K981&lt;&gt;"",IF(N(G981)&gt;0,"供应商付款","供应商退款"),IF(L981&lt;&gt;"","费用支出","")))))</f>
      </c>
      <c r="P981" s="78">
        <f>IF(O981="","",IFERROR(INDEX(基础资料!$AE$5:$AE$34,MATCH(O981,基础资料!$AC$5:$AC$34,0)),"未知"))</f>
      </c>
      <c r="Q981" s="78">
        <f>IF(P981="应收",COUNTIF(P$7:P981,"应收"),"")</f>
      </c>
      <c r="R981" s="78">
        <f>IF(P981="应付",COUNTIF(P$7:P981,"应付"),"")</f>
      </c>
      <c r="S981" s="78">
        <f>N(F981)-N(G981)</f>
        <v>0</v>
      </c>
    </row>
    <row r="982">
      <c r="A982" s="109">
        <f>IF(AND(F982="",G982=""),"",ROW()-6)</f>
      </c>
      <c r="B982" s="140" t="n"/>
      <c r="C982" s="141" t="n"/>
      <c r="D982" s="141" t="n"/>
      <c r="E982" s="142" t="n"/>
      <c r="F982" s="143" t="n"/>
      <c r="G982" s="144" t="n"/>
      <c r="H982" s="145">
        <f>IF(OR(C982="",AND(F982="",G982="")),"",SUMIF(基础资料!$W$5:$W$24,C982,基础资料!$X$5:$X$24)+SUMIF(C$7:C982,C982,F$7:F982)-SUMIF(C$7:C982,C982,G$7:G982))</f>
      </c>
      <c r="I982" s="145">
        <f>IF(AND(F982="",G982=""),"",SUM(基础资料!$X$5:$X$24)+SUM(F$7:F982)-SUM(G$7:G982))</f>
      </c>
      <c r="J982" s="141" t="n"/>
      <c r="K982" s="141" t="n"/>
      <c r="L982" s="141" t="n"/>
      <c r="M982" s="142" t="n"/>
      <c r="N982" s="146">
        <f>IF(AND(AND(F982="",G982=""),B982="",C982="",D982="",J982="",K982="",L982=""),"",IF(AND(F982="",G982=""),"✗ 没填金额",IF(AND(N(F982)&lt;&gt;0,N(G982)&lt;&gt;0),"✗ 收入、支出只能填一边",IF(NOT(ISNUMBER(B982)),"✗ 日期不是真日期（要像 2026/9/25 这样填）",IF(OR(B982&lt;年初日,B982&gt;年末日),"✗ 日期不在本会计年度",IF(C982="","✗ 没选账户",IF(COUNTIF(基础资料!$W$5:$W$24,C982)=0,"✗ 账户不在基础资料里",IF(O982="","✗ 没选收支项目",IF(P982="未知","✗ 收支项目不在基础资料里",IF(AND(P982="应收",J982=""),"✗ 这笔要选客户",IF(AND(P982="应收",COUNTIF(总览汇总!$B$5:$B$304,J982)=0),"✗ 客户不在总览汇总名单里",IF(AND(P982="应付",K982=""),"✗ 这笔要选供应商",IF(AND(P982="应付",COUNTIF(基础资料!$Q$5:$Q$54,K982)=0),"✗ 供应商不在基础资料里",IF(AND(P982="费用",L982=""),"✗ 费用支出要选费用项目",IF(AND(L982&lt;&gt;"",COUNTIF(基础资料!$AI$5:$AI$54,L982)=0),"✗ 费用项目不在基础资料里",IF(AND(IFERROR(INDEX(基础资料!$AD$5:$AD$34,MATCH(O982,基础资料!$AC$5:$AC$34,0)),"")="收",N(G982)&lt;&gt;0),"✗ 这类是收款，金额填到收入列",IF(AND(IFERROR(INDEX(基础资料!$AD$5:$AD$34,MATCH(O982,基础资料!$AC$5:$AC$34,0)),"")="支",N(F982)&lt;&gt;0),"✗ 这类是付款，金额填到支出列",IF(N(H982)&lt;0,"⚠ 账户余额成负数了，核对一下","√"))))))))))))))))))</f>
      </c>
      <c r="O982" s="78">
        <f>IF(D982&lt;&gt;"",D982,IF(AND(F982="",G982=""),"",IF(J982&lt;&gt;"",IF(N(F982)&gt;0,"客户回款","客户退款"),IF(K982&lt;&gt;"",IF(N(G982)&gt;0,"供应商付款","供应商退款"),IF(L982&lt;&gt;"","费用支出","")))))</f>
      </c>
      <c r="P982" s="78">
        <f>IF(O982="","",IFERROR(INDEX(基础资料!$AE$5:$AE$34,MATCH(O982,基础资料!$AC$5:$AC$34,0)),"未知"))</f>
      </c>
      <c r="Q982" s="78">
        <f>IF(P982="应收",COUNTIF(P$7:P982,"应收"),"")</f>
      </c>
      <c r="R982" s="78">
        <f>IF(P982="应付",COUNTIF(P$7:P982,"应付"),"")</f>
      </c>
      <c r="S982" s="78">
        <f>N(F982)-N(G982)</f>
        <v>0</v>
      </c>
    </row>
    <row r="983">
      <c r="A983" s="109">
        <f>IF(AND(F983="",G983=""),"",ROW()-6)</f>
      </c>
      <c r="B983" s="140" t="n"/>
      <c r="C983" s="141" t="n"/>
      <c r="D983" s="141" t="n"/>
      <c r="E983" s="142" t="n"/>
      <c r="F983" s="143" t="n"/>
      <c r="G983" s="144" t="n"/>
      <c r="H983" s="145">
        <f>IF(OR(C983="",AND(F983="",G983="")),"",SUMIF(基础资料!$W$5:$W$24,C983,基础资料!$X$5:$X$24)+SUMIF(C$7:C983,C983,F$7:F983)-SUMIF(C$7:C983,C983,G$7:G983))</f>
      </c>
      <c r="I983" s="145">
        <f>IF(AND(F983="",G983=""),"",SUM(基础资料!$X$5:$X$24)+SUM(F$7:F983)-SUM(G$7:G983))</f>
      </c>
      <c r="J983" s="141" t="n"/>
      <c r="K983" s="141" t="n"/>
      <c r="L983" s="141" t="n"/>
      <c r="M983" s="142" t="n"/>
      <c r="N983" s="146">
        <f>IF(AND(AND(F983="",G983=""),B983="",C983="",D983="",J983="",K983="",L983=""),"",IF(AND(F983="",G983=""),"✗ 没填金额",IF(AND(N(F983)&lt;&gt;0,N(G983)&lt;&gt;0),"✗ 收入、支出只能填一边",IF(NOT(ISNUMBER(B983)),"✗ 日期不是真日期（要像 2026/9/25 这样填）",IF(OR(B983&lt;年初日,B983&gt;年末日),"✗ 日期不在本会计年度",IF(C983="","✗ 没选账户",IF(COUNTIF(基础资料!$W$5:$W$24,C983)=0,"✗ 账户不在基础资料里",IF(O983="","✗ 没选收支项目",IF(P983="未知","✗ 收支项目不在基础资料里",IF(AND(P983="应收",J983=""),"✗ 这笔要选客户",IF(AND(P983="应收",COUNTIF(总览汇总!$B$5:$B$304,J983)=0),"✗ 客户不在总览汇总名单里",IF(AND(P983="应付",K983=""),"✗ 这笔要选供应商",IF(AND(P983="应付",COUNTIF(基础资料!$Q$5:$Q$54,K983)=0),"✗ 供应商不在基础资料里",IF(AND(P983="费用",L983=""),"✗ 费用支出要选费用项目",IF(AND(L983&lt;&gt;"",COUNTIF(基础资料!$AI$5:$AI$54,L983)=0),"✗ 费用项目不在基础资料里",IF(AND(IFERROR(INDEX(基础资料!$AD$5:$AD$34,MATCH(O983,基础资料!$AC$5:$AC$34,0)),"")="收",N(G983)&lt;&gt;0),"✗ 这类是收款，金额填到收入列",IF(AND(IFERROR(INDEX(基础资料!$AD$5:$AD$34,MATCH(O983,基础资料!$AC$5:$AC$34,0)),"")="支",N(F983)&lt;&gt;0),"✗ 这类是付款，金额填到支出列",IF(N(H983)&lt;0,"⚠ 账户余额成负数了，核对一下","√"))))))))))))))))))</f>
      </c>
      <c r="O983" s="78">
        <f>IF(D983&lt;&gt;"",D983,IF(AND(F983="",G983=""),"",IF(J983&lt;&gt;"",IF(N(F983)&gt;0,"客户回款","客户退款"),IF(K983&lt;&gt;"",IF(N(G983)&gt;0,"供应商付款","供应商退款"),IF(L983&lt;&gt;"","费用支出","")))))</f>
      </c>
      <c r="P983" s="78">
        <f>IF(O983="","",IFERROR(INDEX(基础资料!$AE$5:$AE$34,MATCH(O983,基础资料!$AC$5:$AC$34,0)),"未知"))</f>
      </c>
      <c r="Q983" s="78">
        <f>IF(P983="应收",COUNTIF(P$7:P983,"应收"),"")</f>
      </c>
      <c r="R983" s="78">
        <f>IF(P983="应付",COUNTIF(P$7:P983,"应付"),"")</f>
      </c>
      <c r="S983" s="78">
        <f>N(F983)-N(G983)</f>
        <v>0</v>
      </c>
    </row>
    <row r="984">
      <c r="A984" s="109">
        <f>IF(AND(F984="",G984=""),"",ROW()-6)</f>
      </c>
      <c r="B984" s="140" t="n"/>
      <c r="C984" s="141" t="n"/>
      <c r="D984" s="141" t="n"/>
      <c r="E984" s="142" t="n"/>
      <c r="F984" s="143" t="n"/>
      <c r="G984" s="144" t="n"/>
      <c r="H984" s="145">
        <f>IF(OR(C984="",AND(F984="",G984="")),"",SUMIF(基础资料!$W$5:$W$24,C984,基础资料!$X$5:$X$24)+SUMIF(C$7:C984,C984,F$7:F984)-SUMIF(C$7:C984,C984,G$7:G984))</f>
      </c>
      <c r="I984" s="145">
        <f>IF(AND(F984="",G984=""),"",SUM(基础资料!$X$5:$X$24)+SUM(F$7:F984)-SUM(G$7:G984))</f>
      </c>
      <c r="J984" s="141" t="n"/>
      <c r="K984" s="141" t="n"/>
      <c r="L984" s="141" t="n"/>
      <c r="M984" s="142" t="n"/>
      <c r="N984" s="146">
        <f>IF(AND(AND(F984="",G984=""),B984="",C984="",D984="",J984="",K984="",L984=""),"",IF(AND(F984="",G984=""),"✗ 没填金额",IF(AND(N(F984)&lt;&gt;0,N(G984)&lt;&gt;0),"✗ 收入、支出只能填一边",IF(NOT(ISNUMBER(B984)),"✗ 日期不是真日期（要像 2026/9/25 这样填）",IF(OR(B984&lt;年初日,B984&gt;年末日),"✗ 日期不在本会计年度",IF(C984="","✗ 没选账户",IF(COUNTIF(基础资料!$W$5:$W$24,C984)=0,"✗ 账户不在基础资料里",IF(O984="","✗ 没选收支项目",IF(P984="未知","✗ 收支项目不在基础资料里",IF(AND(P984="应收",J984=""),"✗ 这笔要选客户",IF(AND(P984="应收",COUNTIF(总览汇总!$B$5:$B$304,J984)=0),"✗ 客户不在总览汇总名单里",IF(AND(P984="应付",K984=""),"✗ 这笔要选供应商",IF(AND(P984="应付",COUNTIF(基础资料!$Q$5:$Q$54,K984)=0),"✗ 供应商不在基础资料里",IF(AND(P984="费用",L984=""),"✗ 费用支出要选费用项目",IF(AND(L984&lt;&gt;"",COUNTIF(基础资料!$AI$5:$AI$54,L984)=0),"✗ 费用项目不在基础资料里",IF(AND(IFERROR(INDEX(基础资料!$AD$5:$AD$34,MATCH(O984,基础资料!$AC$5:$AC$34,0)),"")="收",N(G984)&lt;&gt;0),"✗ 这类是收款，金额填到收入列",IF(AND(IFERROR(INDEX(基础资料!$AD$5:$AD$34,MATCH(O984,基础资料!$AC$5:$AC$34,0)),"")="支",N(F984)&lt;&gt;0),"✗ 这类是付款，金额填到支出列",IF(N(H984)&lt;0,"⚠ 账户余额成负数了，核对一下","√"))))))))))))))))))</f>
      </c>
      <c r="O984" s="78">
        <f>IF(D984&lt;&gt;"",D984,IF(AND(F984="",G984=""),"",IF(J984&lt;&gt;"",IF(N(F984)&gt;0,"客户回款","客户退款"),IF(K984&lt;&gt;"",IF(N(G984)&gt;0,"供应商付款","供应商退款"),IF(L984&lt;&gt;"","费用支出","")))))</f>
      </c>
      <c r="P984" s="78">
        <f>IF(O984="","",IFERROR(INDEX(基础资料!$AE$5:$AE$34,MATCH(O984,基础资料!$AC$5:$AC$34,0)),"未知"))</f>
      </c>
      <c r="Q984" s="78">
        <f>IF(P984="应收",COUNTIF(P$7:P984,"应收"),"")</f>
      </c>
      <c r="R984" s="78">
        <f>IF(P984="应付",COUNTIF(P$7:P984,"应付"),"")</f>
      </c>
      <c r="S984" s="78">
        <f>N(F984)-N(G984)</f>
        <v>0</v>
      </c>
    </row>
    <row r="985">
      <c r="A985" s="109">
        <f>IF(AND(F985="",G985=""),"",ROW()-6)</f>
      </c>
      <c r="B985" s="140" t="n"/>
      <c r="C985" s="141" t="n"/>
      <c r="D985" s="141" t="n"/>
      <c r="E985" s="142" t="n"/>
      <c r="F985" s="143" t="n"/>
      <c r="G985" s="144" t="n"/>
      <c r="H985" s="145">
        <f>IF(OR(C985="",AND(F985="",G985="")),"",SUMIF(基础资料!$W$5:$W$24,C985,基础资料!$X$5:$X$24)+SUMIF(C$7:C985,C985,F$7:F985)-SUMIF(C$7:C985,C985,G$7:G985))</f>
      </c>
      <c r="I985" s="145">
        <f>IF(AND(F985="",G985=""),"",SUM(基础资料!$X$5:$X$24)+SUM(F$7:F985)-SUM(G$7:G985))</f>
      </c>
      <c r="J985" s="141" t="n"/>
      <c r="K985" s="141" t="n"/>
      <c r="L985" s="141" t="n"/>
      <c r="M985" s="142" t="n"/>
      <c r="N985" s="146">
        <f>IF(AND(AND(F985="",G985=""),B985="",C985="",D985="",J985="",K985="",L985=""),"",IF(AND(F985="",G985=""),"✗ 没填金额",IF(AND(N(F985)&lt;&gt;0,N(G985)&lt;&gt;0),"✗ 收入、支出只能填一边",IF(NOT(ISNUMBER(B985)),"✗ 日期不是真日期（要像 2026/9/25 这样填）",IF(OR(B985&lt;年初日,B985&gt;年末日),"✗ 日期不在本会计年度",IF(C985="","✗ 没选账户",IF(COUNTIF(基础资料!$W$5:$W$24,C985)=0,"✗ 账户不在基础资料里",IF(O985="","✗ 没选收支项目",IF(P985="未知","✗ 收支项目不在基础资料里",IF(AND(P985="应收",J985=""),"✗ 这笔要选客户",IF(AND(P985="应收",COUNTIF(总览汇总!$B$5:$B$304,J985)=0),"✗ 客户不在总览汇总名单里",IF(AND(P985="应付",K985=""),"✗ 这笔要选供应商",IF(AND(P985="应付",COUNTIF(基础资料!$Q$5:$Q$54,K985)=0),"✗ 供应商不在基础资料里",IF(AND(P985="费用",L985=""),"✗ 费用支出要选费用项目",IF(AND(L985&lt;&gt;"",COUNTIF(基础资料!$AI$5:$AI$54,L985)=0),"✗ 费用项目不在基础资料里",IF(AND(IFERROR(INDEX(基础资料!$AD$5:$AD$34,MATCH(O985,基础资料!$AC$5:$AC$34,0)),"")="收",N(G985)&lt;&gt;0),"✗ 这类是收款，金额填到收入列",IF(AND(IFERROR(INDEX(基础资料!$AD$5:$AD$34,MATCH(O985,基础资料!$AC$5:$AC$34,0)),"")="支",N(F985)&lt;&gt;0),"✗ 这类是付款，金额填到支出列",IF(N(H985)&lt;0,"⚠ 账户余额成负数了，核对一下","√"))))))))))))))))))</f>
      </c>
      <c r="O985" s="78">
        <f>IF(D985&lt;&gt;"",D985,IF(AND(F985="",G985=""),"",IF(J985&lt;&gt;"",IF(N(F985)&gt;0,"客户回款","客户退款"),IF(K985&lt;&gt;"",IF(N(G985)&gt;0,"供应商付款","供应商退款"),IF(L985&lt;&gt;"","费用支出","")))))</f>
      </c>
      <c r="P985" s="78">
        <f>IF(O985="","",IFERROR(INDEX(基础资料!$AE$5:$AE$34,MATCH(O985,基础资料!$AC$5:$AC$34,0)),"未知"))</f>
      </c>
      <c r="Q985" s="78">
        <f>IF(P985="应收",COUNTIF(P$7:P985,"应收"),"")</f>
      </c>
      <c r="R985" s="78">
        <f>IF(P985="应付",COUNTIF(P$7:P985,"应付"),"")</f>
      </c>
      <c r="S985" s="78">
        <f>N(F985)-N(G985)</f>
        <v>0</v>
      </c>
    </row>
    <row r="986">
      <c r="A986" s="109">
        <f>IF(AND(F986="",G986=""),"",ROW()-6)</f>
      </c>
      <c r="B986" s="140" t="n"/>
      <c r="C986" s="141" t="n"/>
      <c r="D986" s="141" t="n"/>
      <c r="E986" s="142" t="n"/>
      <c r="F986" s="143" t="n"/>
      <c r="G986" s="144" t="n"/>
      <c r="H986" s="145">
        <f>IF(OR(C986="",AND(F986="",G986="")),"",SUMIF(基础资料!$W$5:$W$24,C986,基础资料!$X$5:$X$24)+SUMIF(C$7:C986,C986,F$7:F986)-SUMIF(C$7:C986,C986,G$7:G986))</f>
      </c>
      <c r="I986" s="145">
        <f>IF(AND(F986="",G986=""),"",SUM(基础资料!$X$5:$X$24)+SUM(F$7:F986)-SUM(G$7:G986))</f>
      </c>
      <c r="J986" s="141" t="n"/>
      <c r="K986" s="141" t="n"/>
      <c r="L986" s="141" t="n"/>
      <c r="M986" s="142" t="n"/>
      <c r="N986" s="146">
        <f>IF(AND(AND(F986="",G986=""),B986="",C986="",D986="",J986="",K986="",L986=""),"",IF(AND(F986="",G986=""),"✗ 没填金额",IF(AND(N(F986)&lt;&gt;0,N(G986)&lt;&gt;0),"✗ 收入、支出只能填一边",IF(NOT(ISNUMBER(B986)),"✗ 日期不是真日期（要像 2026/9/25 这样填）",IF(OR(B986&lt;年初日,B986&gt;年末日),"✗ 日期不在本会计年度",IF(C986="","✗ 没选账户",IF(COUNTIF(基础资料!$W$5:$W$24,C986)=0,"✗ 账户不在基础资料里",IF(O986="","✗ 没选收支项目",IF(P986="未知","✗ 收支项目不在基础资料里",IF(AND(P986="应收",J986=""),"✗ 这笔要选客户",IF(AND(P986="应收",COUNTIF(总览汇总!$B$5:$B$304,J986)=0),"✗ 客户不在总览汇总名单里",IF(AND(P986="应付",K986=""),"✗ 这笔要选供应商",IF(AND(P986="应付",COUNTIF(基础资料!$Q$5:$Q$54,K986)=0),"✗ 供应商不在基础资料里",IF(AND(P986="费用",L986=""),"✗ 费用支出要选费用项目",IF(AND(L986&lt;&gt;"",COUNTIF(基础资料!$AI$5:$AI$54,L986)=0),"✗ 费用项目不在基础资料里",IF(AND(IFERROR(INDEX(基础资料!$AD$5:$AD$34,MATCH(O986,基础资料!$AC$5:$AC$34,0)),"")="收",N(G986)&lt;&gt;0),"✗ 这类是收款，金额填到收入列",IF(AND(IFERROR(INDEX(基础资料!$AD$5:$AD$34,MATCH(O986,基础资料!$AC$5:$AC$34,0)),"")="支",N(F986)&lt;&gt;0),"✗ 这类是付款，金额填到支出列",IF(N(H986)&lt;0,"⚠ 账户余额成负数了，核对一下","√"))))))))))))))))))</f>
      </c>
      <c r="O986" s="78">
        <f>IF(D986&lt;&gt;"",D986,IF(AND(F986="",G986=""),"",IF(J986&lt;&gt;"",IF(N(F986)&gt;0,"客户回款","客户退款"),IF(K986&lt;&gt;"",IF(N(G986)&gt;0,"供应商付款","供应商退款"),IF(L986&lt;&gt;"","费用支出","")))))</f>
      </c>
      <c r="P986" s="78">
        <f>IF(O986="","",IFERROR(INDEX(基础资料!$AE$5:$AE$34,MATCH(O986,基础资料!$AC$5:$AC$34,0)),"未知"))</f>
      </c>
      <c r="Q986" s="78">
        <f>IF(P986="应收",COUNTIF(P$7:P986,"应收"),"")</f>
      </c>
      <c r="R986" s="78">
        <f>IF(P986="应付",COUNTIF(P$7:P986,"应付"),"")</f>
      </c>
      <c r="S986" s="78">
        <f>N(F986)-N(G986)</f>
        <v>0</v>
      </c>
    </row>
    <row r="987">
      <c r="A987" s="109">
        <f>IF(AND(F987="",G987=""),"",ROW()-6)</f>
      </c>
      <c r="B987" s="140" t="n"/>
      <c r="C987" s="141" t="n"/>
      <c r="D987" s="141" t="n"/>
      <c r="E987" s="142" t="n"/>
      <c r="F987" s="143" t="n"/>
      <c r="G987" s="144" t="n"/>
      <c r="H987" s="145">
        <f>IF(OR(C987="",AND(F987="",G987="")),"",SUMIF(基础资料!$W$5:$W$24,C987,基础资料!$X$5:$X$24)+SUMIF(C$7:C987,C987,F$7:F987)-SUMIF(C$7:C987,C987,G$7:G987))</f>
      </c>
      <c r="I987" s="145">
        <f>IF(AND(F987="",G987=""),"",SUM(基础资料!$X$5:$X$24)+SUM(F$7:F987)-SUM(G$7:G987))</f>
      </c>
      <c r="J987" s="141" t="n"/>
      <c r="K987" s="141" t="n"/>
      <c r="L987" s="141" t="n"/>
      <c r="M987" s="142" t="n"/>
      <c r="N987" s="146">
        <f>IF(AND(AND(F987="",G987=""),B987="",C987="",D987="",J987="",K987="",L987=""),"",IF(AND(F987="",G987=""),"✗ 没填金额",IF(AND(N(F987)&lt;&gt;0,N(G987)&lt;&gt;0),"✗ 收入、支出只能填一边",IF(NOT(ISNUMBER(B987)),"✗ 日期不是真日期（要像 2026/9/25 这样填）",IF(OR(B987&lt;年初日,B987&gt;年末日),"✗ 日期不在本会计年度",IF(C987="","✗ 没选账户",IF(COUNTIF(基础资料!$W$5:$W$24,C987)=0,"✗ 账户不在基础资料里",IF(O987="","✗ 没选收支项目",IF(P987="未知","✗ 收支项目不在基础资料里",IF(AND(P987="应收",J987=""),"✗ 这笔要选客户",IF(AND(P987="应收",COUNTIF(总览汇总!$B$5:$B$304,J987)=0),"✗ 客户不在总览汇总名单里",IF(AND(P987="应付",K987=""),"✗ 这笔要选供应商",IF(AND(P987="应付",COUNTIF(基础资料!$Q$5:$Q$54,K987)=0),"✗ 供应商不在基础资料里",IF(AND(P987="费用",L987=""),"✗ 费用支出要选费用项目",IF(AND(L987&lt;&gt;"",COUNTIF(基础资料!$AI$5:$AI$54,L987)=0),"✗ 费用项目不在基础资料里",IF(AND(IFERROR(INDEX(基础资料!$AD$5:$AD$34,MATCH(O987,基础资料!$AC$5:$AC$34,0)),"")="收",N(G987)&lt;&gt;0),"✗ 这类是收款，金额填到收入列",IF(AND(IFERROR(INDEX(基础资料!$AD$5:$AD$34,MATCH(O987,基础资料!$AC$5:$AC$34,0)),"")="支",N(F987)&lt;&gt;0),"✗ 这类是付款，金额填到支出列",IF(N(H987)&lt;0,"⚠ 账户余额成负数了，核对一下","√"))))))))))))))))))</f>
      </c>
      <c r="O987" s="78">
        <f>IF(D987&lt;&gt;"",D987,IF(AND(F987="",G987=""),"",IF(J987&lt;&gt;"",IF(N(F987)&gt;0,"客户回款","客户退款"),IF(K987&lt;&gt;"",IF(N(G987)&gt;0,"供应商付款","供应商退款"),IF(L987&lt;&gt;"","费用支出","")))))</f>
      </c>
      <c r="P987" s="78">
        <f>IF(O987="","",IFERROR(INDEX(基础资料!$AE$5:$AE$34,MATCH(O987,基础资料!$AC$5:$AC$34,0)),"未知"))</f>
      </c>
      <c r="Q987" s="78">
        <f>IF(P987="应收",COUNTIF(P$7:P987,"应收"),"")</f>
      </c>
      <c r="R987" s="78">
        <f>IF(P987="应付",COUNTIF(P$7:P987,"应付"),"")</f>
      </c>
      <c r="S987" s="78">
        <f>N(F987)-N(G987)</f>
        <v>0</v>
      </c>
    </row>
    <row r="988">
      <c r="A988" s="109">
        <f>IF(AND(F988="",G988=""),"",ROW()-6)</f>
      </c>
      <c r="B988" s="140" t="n"/>
      <c r="C988" s="141" t="n"/>
      <c r="D988" s="141" t="n"/>
      <c r="E988" s="142" t="n"/>
      <c r="F988" s="143" t="n"/>
      <c r="G988" s="144" t="n"/>
      <c r="H988" s="145">
        <f>IF(OR(C988="",AND(F988="",G988="")),"",SUMIF(基础资料!$W$5:$W$24,C988,基础资料!$X$5:$X$24)+SUMIF(C$7:C988,C988,F$7:F988)-SUMIF(C$7:C988,C988,G$7:G988))</f>
      </c>
      <c r="I988" s="145">
        <f>IF(AND(F988="",G988=""),"",SUM(基础资料!$X$5:$X$24)+SUM(F$7:F988)-SUM(G$7:G988))</f>
      </c>
      <c r="J988" s="141" t="n"/>
      <c r="K988" s="141" t="n"/>
      <c r="L988" s="141" t="n"/>
      <c r="M988" s="142" t="n"/>
      <c r="N988" s="146">
        <f>IF(AND(AND(F988="",G988=""),B988="",C988="",D988="",J988="",K988="",L988=""),"",IF(AND(F988="",G988=""),"✗ 没填金额",IF(AND(N(F988)&lt;&gt;0,N(G988)&lt;&gt;0),"✗ 收入、支出只能填一边",IF(NOT(ISNUMBER(B988)),"✗ 日期不是真日期（要像 2026/9/25 这样填）",IF(OR(B988&lt;年初日,B988&gt;年末日),"✗ 日期不在本会计年度",IF(C988="","✗ 没选账户",IF(COUNTIF(基础资料!$W$5:$W$24,C988)=0,"✗ 账户不在基础资料里",IF(O988="","✗ 没选收支项目",IF(P988="未知","✗ 收支项目不在基础资料里",IF(AND(P988="应收",J988=""),"✗ 这笔要选客户",IF(AND(P988="应收",COUNTIF(总览汇总!$B$5:$B$304,J988)=0),"✗ 客户不在总览汇总名单里",IF(AND(P988="应付",K988=""),"✗ 这笔要选供应商",IF(AND(P988="应付",COUNTIF(基础资料!$Q$5:$Q$54,K988)=0),"✗ 供应商不在基础资料里",IF(AND(P988="费用",L988=""),"✗ 费用支出要选费用项目",IF(AND(L988&lt;&gt;"",COUNTIF(基础资料!$AI$5:$AI$54,L988)=0),"✗ 费用项目不在基础资料里",IF(AND(IFERROR(INDEX(基础资料!$AD$5:$AD$34,MATCH(O988,基础资料!$AC$5:$AC$34,0)),"")="收",N(G988)&lt;&gt;0),"✗ 这类是收款，金额填到收入列",IF(AND(IFERROR(INDEX(基础资料!$AD$5:$AD$34,MATCH(O988,基础资料!$AC$5:$AC$34,0)),"")="支",N(F988)&lt;&gt;0),"✗ 这类是付款，金额填到支出列",IF(N(H988)&lt;0,"⚠ 账户余额成负数了，核对一下","√"))))))))))))))))))</f>
      </c>
      <c r="O988" s="78">
        <f>IF(D988&lt;&gt;"",D988,IF(AND(F988="",G988=""),"",IF(J988&lt;&gt;"",IF(N(F988)&gt;0,"客户回款","客户退款"),IF(K988&lt;&gt;"",IF(N(G988)&gt;0,"供应商付款","供应商退款"),IF(L988&lt;&gt;"","费用支出","")))))</f>
      </c>
      <c r="P988" s="78">
        <f>IF(O988="","",IFERROR(INDEX(基础资料!$AE$5:$AE$34,MATCH(O988,基础资料!$AC$5:$AC$34,0)),"未知"))</f>
      </c>
      <c r="Q988" s="78">
        <f>IF(P988="应收",COUNTIF(P$7:P988,"应收"),"")</f>
      </c>
      <c r="R988" s="78">
        <f>IF(P988="应付",COUNTIF(P$7:P988,"应付"),"")</f>
      </c>
      <c r="S988" s="78">
        <f>N(F988)-N(G988)</f>
        <v>0</v>
      </c>
    </row>
    <row r="989">
      <c r="A989" s="109">
        <f>IF(AND(F989="",G989=""),"",ROW()-6)</f>
      </c>
      <c r="B989" s="140" t="n"/>
      <c r="C989" s="141" t="n"/>
      <c r="D989" s="141" t="n"/>
      <c r="E989" s="142" t="n"/>
      <c r="F989" s="143" t="n"/>
      <c r="G989" s="144" t="n"/>
      <c r="H989" s="145">
        <f>IF(OR(C989="",AND(F989="",G989="")),"",SUMIF(基础资料!$W$5:$W$24,C989,基础资料!$X$5:$X$24)+SUMIF(C$7:C989,C989,F$7:F989)-SUMIF(C$7:C989,C989,G$7:G989))</f>
      </c>
      <c r="I989" s="145">
        <f>IF(AND(F989="",G989=""),"",SUM(基础资料!$X$5:$X$24)+SUM(F$7:F989)-SUM(G$7:G989))</f>
      </c>
      <c r="J989" s="141" t="n"/>
      <c r="K989" s="141" t="n"/>
      <c r="L989" s="141" t="n"/>
      <c r="M989" s="142" t="n"/>
      <c r="N989" s="146">
        <f>IF(AND(AND(F989="",G989=""),B989="",C989="",D989="",J989="",K989="",L989=""),"",IF(AND(F989="",G989=""),"✗ 没填金额",IF(AND(N(F989)&lt;&gt;0,N(G989)&lt;&gt;0),"✗ 收入、支出只能填一边",IF(NOT(ISNUMBER(B989)),"✗ 日期不是真日期（要像 2026/9/25 这样填）",IF(OR(B989&lt;年初日,B989&gt;年末日),"✗ 日期不在本会计年度",IF(C989="","✗ 没选账户",IF(COUNTIF(基础资料!$W$5:$W$24,C989)=0,"✗ 账户不在基础资料里",IF(O989="","✗ 没选收支项目",IF(P989="未知","✗ 收支项目不在基础资料里",IF(AND(P989="应收",J989=""),"✗ 这笔要选客户",IF(AND(P989="应收",COUNTIF(总览汇总!$B$5:$B$304,J989)=0),"✗ 客户不在总览汇总名单里",IF(AND(P989="应付",K989=""),"✗ 这笔要选供应商",IF(AND(P989="应付",COUNTIF(基础资料!$Q$5:$Q$54,K989)=0),"✗ 供应商不在基础资料里",IF(AND(P989="费用",L989=""),"✗ 费用支出要选费用项目",IF(AND(L989&lt;&gt;"",COUNTIF(基础资料!$AI$5:$AI$54,L989)=0),"✗ 费用项目不在基础资料里",IF(AND(IFERROR(INDEX(基础资料!$AD$5:$AD$34,MATCH(O989,基础资料!$AC$5:$AC$34,0)),"")="收",N(G989)&lt;&gt;0),"✗ 这类是收款，金额填到收入列",IF(AND(IFERROR(INDEX(基础资料!$AD$5:$AD$34,MATCH(O989,基础资料!$AC$5:$AC$34,0)),"")="支",N(F989)&lt;&gt;0),"✗ 这类是付款，金额填到支出列",IF(N(H989)&lt;0,"⚠ 账户余额成负数了，核对一下","√"))))))))))))))))))</f>
      </c>
      <c r="O989" s="78">
        <f>IF(D989&lt;&gt;"",D989,IF(AND(F989="",G989=""),"",IF(J989&lt;&gt;"",IF(N(F989)&gt;0,"客户回款","客户退款"),IF(K989&lt;&gt;"",IF(N(G989)&gt;0,"供应商付款","供应商退款"),IF(L989&lt;&gt;"","费用支出","")))))</f>
      </c>
      <c r="P989" s="78">
        <f>IF(O989="","",IFERROR(INDEX(基础资料!$AE$5:$AE$34,MATCH(O989,基础资料!$AC$5:$AC$34,0)),"未知"))</f>
      </c>
      <c r="Q989" s="78">
        <f>IF(P989="应收",COUNTIF(P$7:P989,"应收"),"")</f>
      </c>
      <c r="R989" s="78">
        <f>IF(P989="应付",COUNTIF(P$7:P989,"应付"),"")</f>
      </c>
      <c r="S989" s="78">
        <f>N(F989)-N(G989)</f>
        <v>0</v>
      </c>
    </row>
    <row r="990">
      <c r="A990" s="109">
        <f>IF(AND(F990="",G990=""),"",ROW()-6)</f>
      </c>
      <c r="B990" s="140" t="n"/>
      <c r="C990" s="141" t="n"/>
      <c r="D990" s="141" t="n"/>
      <c r="E990" s="142" t="n"/>
      <c r="F990" s="143" t="n"/>
      <c r="G990" s="144" t="n"/>
      <c r="H990" s="145">
        <f>IF(OR(C990="",AND(F990="",G990="")),"",SUMIF(基础资料!$W$5:$W$24,C990,基础资料!$X$5:$X$24)+SUMIF(C$7:C990,C990,F$7:F990)-SUMIF(C$7:C990,C990,G$7:G990))</f>
      </c>
      <c r="I990" s="145">
        <f>IF(AND(F990="",G990=""),"",SUM(基础资料!$X$5:$X$24)+SUM(F$7:F990)-SUM(G$7:G990))</f>
      </c>
      <c r="J990" s="141" t="n"/>
      <c r="K990" s="141" t="n"/>
      <c r="L990" s="141" t="n"/>
      <c r="M990" s="142" t="n"/>
      <c r="N990" s="146">
        <f>IF(AND(AND(F990="",G990=""),B990="",C990="",D990="",J990="",K990="",L990=""),"",IF(AND(F990="",G990=""),"✗ 没填金额",IF(AND(N(F990)&lt;&gt;0,N(G990)&lt;&gt;0),"✗ 收入、支出只能填一边",IF(NOT(ISNUMBER(B990)),"✗ 日期不是真日期（要像 2026/9/25 这样填）",IF(OR(B990&lt;年初日,B990&gt;年末日),"✗ 日期不在本会计年度",IF(C990="","✗ 没选账户",IF(COUNTIF(基础资料!$W$5:$W$24,C990)=0,"✗ 账户不在基础资料里",IF(O990="","✗ 没选收支项目",IF(P990="未知","✗ 收支项目不在基础资料里",IF(AND(P990="应收",J990=""),"✗ 这笔要选客户",IF(AND(P990="应收",COUNTIF(总览汇总!$B$5:$B$304,J990)=0),"✗ 客户不在总览汇总名单里",IF(AND(P990="应付",K990=""),"✗ 这笔要选供应商",IF(AND(P990="应付",COUNTIF(基础资料!$Q$5:$Q$54,K990)=0),"✗ 供应商不在基础资料里",IF(AND(P990="费用",L990=""),"✗ 费用支出要选费用项目",IF(AND(L990&lt;&gt;"",COUNTIF(基础资料!$AI$5:$AI$54,L990)=0),"✗ 费用项目不在基础资料里",IF(AND(IFERROR(INDEX(基础资料!$AD$5:$AD$34,MATCH(O990,基础资料!$AC$5:$AC$34,0)),"")="收",N(G990)&lt;&gt;0),"✗ 这类是收款，金额填到收入列",IF(AND(IFERROR(INDEX(基础资料!$AD$5:$AD$34,MATCH(O990,基础资料!$AC$5:$AC$34,0)),"")="支",N(F990)&lt;&gt;0),"✗ 这类是付款，金额填到支出列",IF(N(H990)&lt;0,"⚠ 账户余额成负数了，核对一下","√"))))))))))))))))))</f>
      </c>
      <c r="O990" s="78">
        <f>IF(D990&lt;&gt;"",D990,IF(AND(F990="",G990=""),"",IF(J990&lt;&gt;"",IF(N(F990)&gt;0,"客户回款","客户退款"),IF(K990&lt;&gt;"",IF(N(G990)&gt;0,"供应商付款","供应商退款"),IF(L990&lt;&gt;"","费用支出","")))))</f>
      </c>
      <c r="P990" s="78">
        <f>IF(O990="","",IFERROR(INDEX(基础资料!$AE$5:$AE$34,MATCH(O990,基础资料!$AC$5:$AC$34,0)),"未知"))</f>
      </c>
      <c r="Q990" s="78">
        <f>IF(P990="应收",COUNTIF(P$7:P990,"应收"),"")</f>
      </c>
      <c r="R990" s="78">
        <f>IF(P990="应付",COUNTIF(P$7:P990,"应付"),"")</f>
      </c>
      <c r="S990" s="78">
        <f>N(F990)-N(G990)</f>
        <v>0</v>
      </c>
    </row>
    <row r="991">
      <c r="A991" s="109">
        <f>IF(AND(F991="",G991=""),"",ROW()-6)</f>
      </c>
      <c r="B991" s="140" t="n"/>
      <c r="C991" s="141" t="n"/>
      <c r="D991" s="141" t="n"/>
      <c r="E991" s="142" t="n"/>
      <c r="F991" s="143" t="n"/>
      <c r="G991" s="144" t="n"/>
      <c r="H991" s="145">
        <f>IF(OR(C991="",AND(F991="",G991="")),"",SUMIF(基础资料!$W$5:$W$24,C991,基础资料!$X$5:$X$24)+SUMIF(C$7:C991,C991,F$7:F991)-SUMIF(C$7:C991,C991,G$7:G991))</f>
      </c>
      <c r="I991" s="145">
        <f>IF(AND(F991="",G991=""),"",SUM(基础资料!$X$5:$X$24)+SUM(F$7:F991)-SUM(G$7:G991))</f>
      </c>
      <c r="J991" s="141" t="n"/>
      <c r="K991" s="141" t="n"/>
      <c r="L991" s="141" t="n"/>
      <c r="M991" s="142" t="n"/>
      <c r="N991" s="146">
        <f>IF(AND(AND(F991="",G991=""),B991="",C991="",D991="",J991="",K991="",L991=""),"",IF(AND(F991="",G991=""),"✗ 没填金额",IF(AND(N(F991)&lt;&gt;0,N(G991)&lt;&gt;0),"✗ 收入、支出只能填一边",IF(NOT(ISNUMBER(B991)),"✗ 日期不是真日期（要像 2026/9/25 这样填）",IF(OR(B991&lt;年初日,B991&gt;年末日),"✗ 日期不在本会计年度",IF(C991="","✗ 没选账户",IF(COUNTIF(基础资料!$W$5:$W$24,C991)=0,"✗ 账户不在基础资料里",IF(O991="","✗ 没选收支项目",IF(P991="未知","✗ 收支项目不在基础资料里",IF(AND(P991="应收",J991=""),"✗ 这笔要选客户",IF(AND(P991="应收",COUNTIF(总览汇总!$B$5:$B$304,J991)=0),"✗ 客户不在总览汇总名单里",IF(AND(P991="应付",K991=""),"✗ 这笔要选供应商",IF(AND(P991="应付",COUNTIF(基础资料!$Q$5:$Q$54,K991)=0),"✗ 供应商不在基础资料里",IF(AND(P991="费用",L991=""),"✗ 费用支出要选费用项目",IF(AND(L991&lt;&gt;"",COUNTIF(基础资料!$AI$5:$AI$54,L991)=0),"✗ 费用项目不在基础资料里",IF(AND(IFERROR(INDEX(基础资料!$AD$5:$AD$34,MATCH(O991,基础资料!$AC$5:$AC$34,0)),"")="收",N(G991)&lt;&gt;0),"✗ 这类是收款，金额填到收入列",IF(AND(IFERROR(INDEX(基础资料!$AD$5:$AD$34,MATCH(O991,基础资料!$AC$5:$AC$34,0)),"")="支",N(F991)&lt;&gt;0),"✗ 这类是付款，金额填到支出列",IF(N(H991)&lt;0,"⚠ 账户余额成负数了，核对一下","√"))))))))))))))))))</f>
      </c>
      <c r="O991" s="78">
        <f>IF(D991&lt;&gt;"",D991,IF(AND(F991="",G991=""),"",IF(J991&lt;&gt;"",IF(N(F991)&gt;0,"客户回款","客户退款"),IF(K991&lt;&gt;"",IF(N(G991)&gt;0,"供应商付款","供应商退款"),IF(L991&lt;&gt;"","费用支出","")))))</f>
      </c>
      <c r="P991" s="78">
        <f>IF(O991="","",IFERROR(INDEX(基础资料!$AE$5:$AE$34,MATCH(O991,基础资料!$AC$5:$AC$34,0)),"未知"))</f>
      </c>
      <c r="Q991" s="78">
        <f>IF(P991="应收",COUNTIF(P$7:P991,"应收"),"")</f>
      </c>
      <c r="R991" s="78">
        <f>IF(P991="应付",COUNTIF(P$7:P991,"应付"),"")</f>
      </c>
      <c r="S991" s="78">
        <f>N(F991)-N(G991)</f>
        <v>0</v>
      </c>
    </row>
    <row r="992">
      <c r="A992" s="109">
        <f>IF(AND(F992="",G992=""),"",ROW()-6)</f>
      </c>
      <c r="B992" s="140" t="n"/>
      <c r="C992" s="141" t="n"/>
      <c r="D992" s="141" t="n"/>
      <c r="E992" s="142" t="n"/>
      <c r="F992" s="143" t="n"/>
      <c r="G992" s="144" t="n"/>
      <c r="H992" s="145">
        <f>IF(OR(C992="",AND(F992="",G992="")),"",SUMIF(基础资料!$W$5:$W$24,C992,基础资料!$X$5:$X$24)+SUMIF(C$7:C992,C992,F$7:F992)-SUMIF(C$7:C992,C992,G$7:G992))</f>
      </c>
      <c r="I992" s="145">
        <f>IF(AND(F992="",G992=""),"",SUM(基础资料!$X$5:$X$24)+SUM(F$7:F992)-SUM(G$7:G992))</f>
      </c>
      <c r="J992" s="141" t="n"/>
      <c r="K992" s="141" t="n"/>
      <c r="L992" s="141" t="n"/>
      <c r="M992" s="142" t="n"/>
      <c r="N992" s="146">
        <f>IF(AND(AND(F992="",G992=""),B992="",C992="",D992="",J992="",K992="",L992=""),"",IF(AND(F992="",G992=""),"✗ 没填金额",IF(AND(N(F992)&lt;&gt;0,N(G992)&lt;&gt;0),"✗ 收入、支出只能填一边",IF(NOT(ISNUMBER(B992)),"✗ 日期不是真日期（要像 2026/9/25 这样填）",IF(OR(B992&lt;年初日,B992&gt;年末日),"✗ 日期不在本会计年度",IF(C992="","✗ 没选账户",IF(COUNTIF(基础资料!$W$5:$W$24,C992)=0,"✗ 账户不在基础资料里",IF(O992="","✗ 没选收支项目",IF(P992="未知","✗ 收支项目不在基础资料里",IF(AND(P992="应收",J992=""),"✗ 这笔要选客户",IF(AND(P992="应收",COUNTIF(总览汇总!$B$5:$B$304,J992)=0),"✗ 客户不在总览汇总名单里",IF(AND(P992="应付",K992=""),"✗ 这笔要选供应商",IF(AND(P992="应付",COUNTIF(基础资料!$Q$5:$Q$54,K992)=0),"✗ 供应商不在基础资料里",IF(AND(P992="费用",L992=""),"✗ 费用支出要选费用项目",IF(AND(L992&lt;&gt;"",COUNTIF(基础资料!$AI$5:$AI$54,L992)=0),"✗ 费用项目不在基础资料里",IF(AND(IFERROR(INDEX(基础资料!$AD$5:$AD$34,MATCH(O992,基础资料!$AC$5:$AC$34,0)),"")="收",N(G992)&lt;&gt;0),"✗ 这类是收款，金额填到收入列",IF(AND(IFERROR(INDEX(基础资料!$AD$5:$AD$34,MATCH(O992,基础资料!$AC$5:$AC$34,0)),"")="支",N(F992)&lt;&gt;0),"✗ 这类是付款，金额填到支出列",IF(N(H992)&lt;0,"⚠ 账户余额成负数了，核对一下","√"))))))))))))))))))</f>
      </c>
      <c r="O992" s="78">
        <f>IF(D992&lt;&gt;"",D992,IF(AND(F992="",G992=""),"",IF(J992&lt;&gt;"",IF(N(F992)&gt;0,"客户回款","客户退款"),IF(K992&lt;&gt;"",IF(N(G992)&gt;0,"供应商付款","供应商退款"),IF(L992&lt;&gt;"","费用支出","")))))</f>
      </c>
      <c r="P992" s="78">
        <f>IF(O992="","",IFERROR(INDEX(基础资料!$AE$5:$AE$34,MATCH(O992,基础资料!$AC$5:$AC$34,0)),"未知"))</f>
      </c>
      <c r="Q992" s="78">
        <f>IF(P992="应收",COUNTIF(P$7:P992,"应收"),"")</f>
      </c>
      <c r="R992" s="78">
        <f>IF(P992="应付",COUNTIF(P$7:P992,"应付"),"")</f>
      </c>
      <c r="S992" s="78">
        <f>N(F992)-N(G992)</f>
        <v>0</v>
      </c>
    </row>
    <row r="993">
      <c r="A993" s="109">
        <f>IF(AND(F993="",G993=""),"",ROW()-6)</f>
      </c>
      <c r="B993" s="140" t="n"/>
      <c r="C993" s="141" t="n"/>
      <c r="D993" s="141" t="n"/>
      <c r="E993" s="142" t="n"/>
      <c r="F993" s="143" t="n"/>
      <c r="G993" s="144" t="n"/>
      <c r="H993" s="145">
        <f>IF(OR(C993="",AND(F993="",G993="")),"",SUMIF(基础资料!$W$5:$W$24,C993,基础资料!$X$5:$X$24)+SUMIF(C$7:C993,C993,F$7:F993)-SUMIF(C$7:C993,C993,G$7:G993))</f>
      </c>
      <c r="I993" s="145">
        <f>IF(AND(F993="",G993=""),"",SUM(基础资料!$X$5:$X$24)+SUM(F$7:F993)-SUM(G$7:G993))</f>
      </c>
      <c r="J993" s="141" t="n"/>
      <c r="K993" s="141" t="n"/>
      <c r="L993" s="141" t="n"/>
      <c r="M993" s="142" t="n"/>
      <c r="N993" s="146">
        <f>IF(AND(AND(F993="",G993=""),B993="",C993="",D993="",J993="",K993="",L993=""),"",IF(AND(F993="",G993=""),"✗ 没填金额",IF(AND(N(F993)&lt;&gt;0,N(G993)&lt;&gt;0),"✗ 收入、支出只能填一边",IF(NOT(ISNUMBER(B993)),"✗ 日期不是真日期（要像 2026/9/25 这样填）",IF(OR(B993&lt;年初日,B993&gt;年末日),"✗ 日期不在本会计年度",IF(C993="","✗ 没选账户",IF(COUNTIF(基础资料!$W$5:$W$24,C993)=0,"✗ 账户不在基础资料里",IF(O993="","✗ 没选收支项目",IF(P993="未知","✗ 收支项目不在基础资料里",IF(AND(P993="应收",J993=""),"✗ 这笔要选客户",IF(AND(P993="应收",COUNTIF(总览汇总!$B$5:$B$304,J993)=0),"✗ 客户不在总览汇总名单里",IF(AND(P993="应付",K993=""),"✗ 这笔要选供应商",IF(AND(P993="应付",COUNTIF(基础资料!$Q$5:$Q$54,K993)=0),"✗ 供应商不在基础资料里",IF(AND(P993="费用",L993=""),"✗ 费用支出要选费用项目",IF(AND(L993&lt;&gt;"",COUNTIF(基础资料!$AI$5:$AI$54,L993)=0),"✗ 费用项目不在基础资料里",IF(AND(IFERROR(INDEX(基础资料!$AD$5:$AD$34,MATCH(O993,基础资料!$AC$5:$AC$34,0)),"")="收",N(G993)&lt;&gt;0),"✗ 这类是收款，金额填到收入列",IF(AND(IFERROR(INDEX(基础资料!$AD$5:$AD$34,MATCH(O993,基础资料!$AC$5:$AC$34,0)),"")="支",N(F993)&lt;&gt;0),"✗ 这类是付款，金额填到支出列",IF(N(H993)&lt;0,"⚠ 账户余额成负数了，核对一下","√"))))))))))))))))))</f>
      </c>
      <c r="O993" s="78">
        <f>IF(D993&lt;&gt;"",D993,IF(AND(F993="",G993=""),"",IF(J993&lt;&gt;"",IF(N(F993)&gt;0,"客户回款","客户退款"),IF(K993&lt;&gt;"",IF(N(G993)&gt;0,"供应商付款","供应商退款"),IF(L993&lt;&gt;"","费用支出","")))))</f>
      </c>
      <c r="P993" s="78">
        <f>IF(O993="","",IFERROR(INDEX(基础资料!$AE$5:$AE$34,MATCH(O993,基础资料!$AC$5:$AC$34,0)),"未知"))</f>
      </c>
      <c r="Q993" s="78">
        <f>IF(P993="应收",COUNTIF(P$7:P993,"应收"),"")</f>
      </c>
      <c r="R993" s="78">
        <f>IF(P993="应付",COUNTIF(P$7:P993,"应付"),"")</f>
      </c>
      <c r="S993" s="78">
        <f>N(F993)-N(G993)</f>
        <v>0</v>
      </c>
    </row>
    <row r="994">
      <c r="A994" s="109">
        <f>IF(AND(F994="",G994=""),"",ROW()-6)</f>
      </c>
      <c r="B994" s="140" t="n"/>
      <c r="C994" s="141" t="n"/>
      <c r="D994" s="141" t="n"/>
      <c r="E994" s="142" t="n"/>
      <c r="F994" s="143" t="n"/>
      <c r="G994" s="144" t="n"/>
      <c r="H994" s="145">
        <f>IF(OR(C994="",AND(F994="",G994="")),"",SUMIF(基础资料!$W$5:$W$24,C994,基础资料!$X$5:$X$24)+SUMIF(C$7:C994,C994,F$7:F994)-SUMIF(C$7:C994,C994,G$7:G994))</f>
      </c>
      <c r="I994" s="145">
        <f>IF(AND(F994="",G994=""),"",SUM(基础资料!$X$5:$X$24)+SUM(F$7:F994)-SUM(G$7:G994))</f>
      </c>
      <c r="J994" s="141" t="n"/>
      <c r="K994" s="141" t="n"/>
      <c r="L994" s="141" t="n"/>
      <c r="M994" s="142" t="n"/>
      <c r="N994" s="146">
        <f>IF(AND(AND(F994="",G994=""),B994="",C994="",D994="",J994="",K994="",L994=""),"",IF(AND(F994="",G994=""),"✗ 没填金额",IF(AND(N(F994)&lt;&gt;0,N(G994)&lt;&gt;0),"✗ 收入、支出只能填一边",IF(NOT(ISNUMBER(B994)),"✗ 日期不是真日期（要像 2026/9/25 这样填）",IF(OR(B994&lt;年初日,B994&gt;年末日),"✗ 日期不在本会计年度",IF(C994="","✗ 没选账户",IF(COUNTIF(基础资料!$W$5:$W$24,C994)=0,"✗ 账户不在基础资料里",IF(O994="","✗ 没选收支项目",IF(P994="未知","✗ 收支项目不在基础资料里",IF(AND(P994="应收",J994=""),"✗ 这笔要选客户",IF(AND(P994="应收",COUNTIF(总览汇总!$B$5:$B$304,J994)=0),"✗ 客户不在总览汇总名单里",IF(AND(P994="应付",K994=""),"✗ 这笔要选供应商",IF(AND(P994="应付",COUNTIF(基础资料!$Q$5:$Q$54,K994)=0),"✗ 供应商不在基础资料里",IF(AND(P994="费用",L994=""),"✗ 费用支出要选费用项目",IF(AND(L994&lt;&gt;"",COUNTIF(基础资料!$AI$5:$AI$54,L994)=0),"✗ 费用项目不在基础资料里",IF(AND(IFERROR(INDEX(基础资料!$AD$5:$AD$34,MATCH(O994,基础资料!$AC$5:$AC$34,0)),"")="收",N(G994)&lt;&gt;0),"✗ 这类是收款，金额填到收入列",IF(AND(IFERROR(INDEX(基础资料!$AD$5:$AD$34,MATCH(O994,基础资料!$AC$5:$AC$34,0)),"")="支",N(F994)&lt;&gt;0),"✗ 这类是付款，金额填到支出列",IF(N(H994)&lt;0,"⚠ 账户余额成负数了，核对一下","√"))))))))))))))))))</f>
      </c>
      <c r="O994" s="78">
        <f>IF(D994&lt;&gt;"",D994,IF(AND(F994="",G994=""),"",IF(J994&lt;&gt;"",IF(N(F994)&gt;0,"客户回款","客户退款"),IF(K994&lt;&gt;"",IF(N(G994)&gt;0,"供应商付款","供应商退款"),IF(L994&lt;&gt;"","费用支出","")))))</f>
      </c>
      <c r="P994" s="78">
        <f>IF(O994="","",IFERROR(INDEX(基础资料!$AE$5:$AE$34,MATCH(O994,基础资料!$AC$5:$AC$34,0)),"未知"))</f>
      </c>
      <c r="Q994" s="78">
        <f>IF(P994="应收",COUNTIF(P$7:P994,"应收"),"")</f>
      </c>
      <c r="R994" s="78">
        <f>IF(P994="应付",COUNTIF(P$7:P994,"应付"),"")</f>
      </c>
      <c r="S994" s="78">
        <f>N(F994)-N(G994)</f>
        <v>0</v>
      </c>
    </row>
    <row r="995">
      <c r="A995" s="109">
        <f>IF(AND(F995="",G995=""),"",ROW()-6)</f>
      </c>
      <c r="B995" s="140" t="n"/>
      <c r="C995" s="141" t="n"/>
      <c r="D995" s="141" t="n"/>
      <c r="E995" s="142" t="n"/>
      <c r="F995" s="143" t="n"/>
      <c r="G995" s="144" t="n"/>
      <c r="H995" s="145">
        <f>IF(OR(C995="",AND(F995="",G995="")),"",SUMIF(基础资料!$W$5:$W$24,C995,基础资料!$X$5:$X$24)+SUMIF(C$7:C995,C995,F$7:F995)-SUMIF(C$7:C995,C995,G$7:G995))</f>
      </c>
      <c r="I995" s="145">
        <f>IF(AND(F995="",G995=""),"",SUM(基础资料!$X$5:$X$24)+SUM(F$7:F995)-SUM(G$7:G995))</f>
      </c>
      <c r="J995" s="141" t="n"/>
      <c r="K995" s="141" t="n"/>
      <c r="L995" s="141" t="n"/>
      <c r="M995" s="142" t="n"/>
      <c r="N995" s="146">
        <f>IF(AND(AND(F995="",G995=""),B995="",C995="",D995="",J995="",K995="",L995=""),"",IF(AND(F995="",G995=""),"✗ 没填金额",IF(AND(N(F995)&lt;&gt;0,N(G995)&lt;&gt;0),"✗ 收入、支出只能填一边",IF(NOT(ISNUMBER(B995)),"✗ 日期不是真日期（要像 2026/9/25 这样填）",IF(OR(B995&lt;年初日,B995&gt;年末日),"✗ 日期不在本会计年度",IF(C995="","✗ 没选账户",IF(COUNTIF(基础资料!$W$5:$W$24,C995)=0,"✗ 账户不在基础资料里",IF(O995="","✗ 没选收支项目",IF(P995="未知","✗ 收支项目不在基础资料里",IF(AND(P995="应收",J995=""),"✗ 这笔要选客户",IF(AND(P995="应收",COUNTIF(总览汇总!$B$5:$B$304,J995)=0),"✗ 客户不在总览汇总名单里",IF(AND(P995="应付",K995=""),"✗ 这笔要选供应商",IF(AND(P995="应付",COUNTIF(基础资料!$Q$5:$Q$54,K995)=0),"✗ 供应商不在基础资料里",IF(AND(P995="费用",L995=""),"✗ 费用支出要选费用项目",IF(AND(L995&lt;&gt;"",COUNTIF(基础资料!$AI$5:$AI$54,L995)=0),"✗ 费用项目不在基础资料里",IF(AND(IFERROR(INDEX(基础资料!$AD$5:$AD$34,MATCH(O995,基础资料!$AC$5:$AC$34,0)),"")="收",N(G995)&lt;&gt;0),"✗ 这类是收款，金额填到收入列",IF(AND(IFERROR(INDEX(基础资料!$AD$5:$AD$34,MATCH(O995,基础资料!$AC$5:$AC$34,0)),"")="支",N(F995)&lt;&gt;0),"✗ 这类是付款，金额填到支出列",IF(N(H995)&lt;0,"⚠ 账户余额成负数了，核对一下","√"))))))))))))))))))</f>
      </c>
      <c r="O995" s="78">
        <f>IF(D995&lt;&gt;"",D995,IF(AND(F995="",G995=""),"",IF(J995&lt;&gt;"",IF(N(F995)&gt;0,"客户回款","客户退款"),IF(K995&lt;&gt;"",IF(N(G995)&gt;0,"供应商付款","供应商退款"),IF(L995&lt;&gt;"","费用支出","")))))</f>
      </c>
      <c r="P995" s="78">
        <f>IF(O995="","",IFERROR(INDEX(基础资料!$AE$5:$AE$34,MATCH(O995,基础资料!$AC$5:$AC$34,0)),"未知"))</f>
      </c>
      <c r="Q995" s="78">
        <f>IF(P995="应收",COUNTIF(P$7:P995,"应收"),"")</f>
      </c>
      <c r="R995" s="78">
        <f>IF(P995="应付",COUNTIF(P$7:P995,"应付"),"")</f>
      </c>
      <c r="S995" s="78">
        <f>N(F995)-N(G995)</f>
        <v>0</v>
      </c>
    </row>
    <row r="996">
      <c r="A996" s="109">
        <f>IF(AND(F996="",G996=""),"",ROW()-6)</f>
      </c>
      <c r="B996" s="140" t="n"/>
      <c r="C996" s="141" t="n"/>
      <c r="D996" s="141" t="n"/>
      <c r="E996" s="142" t="n"/>
      <c r="F996" s="143" t="n"/>
      <c r="G996" s="144" t="n"/>
      <c r="H996" s="145">
        <f>IF(OR(C996="",AND(F996="",G996="")),"",SUMIF(基础资料!$W$5:$W$24,C996,基础资料!$X$5:$X$24)+SUMIF(C$7:C996,C996,F$7:F996)-SUMIF(C$7:C996,C996,G$7:G996))</f>
      </c>
      <c r="I996" s="145">
        <f>IF(AND(F996="",G996=""),"",SUM(基础资料!$X$5:$X$24)+SUM(F$7:F996)-SUM(G$7:G996))</f>
      </c>
      <c r="J996" s="141" t="n"/>
      <c r="K996" s="141" t="n"/>
      <c r="L996" s="141" t="n"/>
      <c r="M996" s="142" t="n"/>
      <c r="N996" s="146">
        <f>IF(AND(AND(F996="",G996=""),B996="",C996="",D996="",J996="",K996="",L996=""),"",IF(AND(F996="",G996=""),"✗ 没填金额",IF(AND(N(F996)&lt;&gt;0,N(G996)&lt;&gt;0),"✗ 收入、支出只能填一边",IF(NOT(ISNUMBER(B996)),"✗ 日期不是真日期（要像 2026/9/25 这样填）",IF(OR(B996&lt;年初日,B996&gt;年末日),"✗ 日期不在本会计年度",IF(C996="","✗ 没选账户",IF(COUNTIF(基础资料!$W$5:$W$24,C996)=0,"✗ 账户不在基础资料里",IF(O996="","✗ 没选收支项目",IF(P996="未知","✗ 收支项目不在基础资料里",IF(AND(P996="应收",J996=""),"✗ 这笔要选客户",IF(AND(P996="应收",COUNTIF(总览汇总!$B$5:$B$304,J996)=0),"✗ 客户不在总览汇总名单里",IF(AND(P996="应付",K996=""),"✗ 这笔要选供应商",IF(AND(P996="应付",COUNTIF(基础资料!$Q$5:$Q$54,K996)=0),"✗ 供应商不在基础资料里",IF(AND(P996="费用",L996=""),"✗ 费用支出要选费用项目",IF(AND(L996&lt;&gt;"",COUNTIF(基础资料!$AI$5:$AI$54,L996)=0),"✗ 费用项目不在基础资料里",IF(AND(IFERROR(INDEX(基础资料!$AD$5:$AD$34,MATCH(O996,基础资料!$AC$5:$AC$34,0)),"")="收",N(G996)&lt;&gt;0),"✗ 这类是收款，金额填到收入列",IF(AND(IFERROR(INDEX(基础资料!$AD$5:$AD$34,MATCH(O996,基础资料!$AC$5:$AC$34,0)),"")="支",N(F996)&lt;&gt;0),"✗ 这类是付款，金额填到支出列",IF(N(H996)&lt;0,"⚠ 账户余额成负数了，核对一下","√"))))))))))))))))))</f>
      </c>
      <c r="O996" s="78">
        <f>IF(D996&lt;&gt;"",D996,IF(AND(F996="",G996=""),"",IF(J996&lt;&gt;"",IF(N(F996)&gt;0,"客户回款","客户退款"),IF(K996&lt;&gt;"",IF(N(G996)&gt;0,"供应商付款","供应商退款"),IF(L996&lt;&gt;"","费用支出","")))))</f>
      </c>
      <c r="P996" s="78">
        <f>IF(O996="","",IFERROR(INDEX(基础资料!$AE$5:$AE$34,MATCH(O996,基础资料!$AC$5:$AC$34,0)),"未知"))</f>
      </c>
      <c r="Q996" s="78">
        <f>IF(P996="应收",COUNTIF(P$7:P996,"应收"),"")</f>
      </c>
      <c r="R996" s="78">
        <f>IF(P996="应付",COUNTIF(P$7:P996,"应付"),"")</f>
      </c>
      <c r="S996" s="78">
        <f>N(F996)-N(G996)</f>
        <v>0</v>
      </c>
    </row>
    <row r="997">
      <c r="A997" s="109">
        <f>IF(AND(F997="",G997=""),"",ROW()-6)</f>
      </c>
      <c r="B997" s="140" t="n"/>
      <c r="C997" s="141" t="n"/>
      <c r="D997" s="141" t="n"/>
      <c r="E997" s="142" t="n"/>
      <c r="F997" s="143" t="n"/>
      <c r="G997" s="144" t="n"/>
      <c r="H997" s="145">
        <f>IF(OR(C997="",AND(F997="",G997="")),"",SUMIF(基础资料!$W$5:$W$24,C997,基础资料!$X$5:$X$24)+SUMIF(C$7:C997,C997,F$7:F997)-SUMIF(C$7:C997,C997,G$7:G997))</f>
      </c>
      <c r="I997" s="145">
        <f>IF(AND(F997="",G997=""),"",SUM(基础资料!$X$5:$X$24)+SUM(F$7:F997)-SUM(G$7:G997))</f>
      </c>
      <c r="J997" s="141" t="n"/>
      <c r="K997" s="141" t="n"/>
      <c r="L997" s="141" t="n"/>
      <c r="M997" s="142" t="n"/>
      <c r="N997" s="146">
        <f>IF(AND(AND(F997="",G997=""),B997="",C997="",D997="",J997="",K997="",L997=""),"",IF(AND(F997="",G997=""),"✗ 没填金额",IF(AND(N(F997)&lt;&gt;0,N(G997)&lt;&gt;0),"✗ 收入、支出只能填一边",IF(NOT(ISNUMBER(B997)),"✗ 日期不是真日期（要像 2026/9/25 这样填）",IF(OR(B997&lt;年初日,B997&gt;年末日),"✗ 日期不在本会计年度",IF(C997="","✗ 没选账户",IF(COUNTIF(基础资料!$W$5:$W$24,C997)=0,"✗ 账户不在基础资料里",IF(O997="","✗ 没选收支项目",IF(P997="未知","✗ 收支项目不在基础资料里",IF(AND(P997="应收",J997=""),"✗ 这笔要选客户",IF(AND(P997="应收",COUNTIF(总览汇总!$B$5:$B$304,J997)=0),"✗ 客户不在总览汇总名单里",IF(AND(P997="应付",K997=""),"✗ 这笔要选供应商",IF(AND(P997="应付",COUNTIF(基础资料!$Q$5:$Q$54,K997)=0),"✗ 供应商不在基础资料里",IF(AND(P997="费用",L997=""),"✗ 费用支出要选费用项目",IF(AND(L997&lt;&gt;"",COUNTIF(基础资料!$AI$5:$AI$54,L997)=0),"✗ 费用项目不在基础资料里",IF(AND(IFERROR(INDEX(基础资料!$AD$5:$AD$34,MATCH(O997,基础资料!$AC$5:$AC$34,0)),"")="收",N(G997)&lt;&gt;0),"✗ 这类是收款，金额填到收入列",IF(AND(IFERROR(INDEX(基础资料!$AD$5:$AD$34,MATCH(O997,基础资料!$AC$5:$AC$34,0)),"")="支",N(F997)&lt;&gt;0),"✗ 这类是付款，金额填到支出列",IF(N(H997)&lt;0,"⚠ 账户余额成负数了，核对一下","√"))))))))))))))))))</f>
      </c>
      <c r="O997" s="78">
        <f>IF(D997&lt;&gt;"",D997,IF(AND(F997="",G997=""),"",IF(J997&lt;&gt;"",IF(N(F997)&gt;0,"客户回款","客户退款"),IF(K997&lt;&gt;"",IF(N(G997)&gt;0,"供应商付款","供应商退款"),IF(L997&lt;&gt;"","费用支出","")))))</f>
      </c>
      <c r="P997" s="78">
        <f>IF(O997="","",IFERROR(INDEX(基础资料!$AE$5:$AE$34,MATCH(O997,基础资料!$AC$5:$AC$34,0)),"未知"))</f>
      </c>
      <c r="Q997" s="78">
        <f>IF(P997="应收",COUNTIF(P$7:P997,"应收"),"")</f>
      </c>
      <c r="R997" s="78">
        <f>IF(P997="应付",COUNTIF(P$7:P997,"应付"),"")</f>
      </c>
      <c r="S997" s="78">
        <f>N(F997)-N(G997)</f>
        <v>0</v>
      </c>
    </row>
    <row r="998">
      <c r="A998" s="109">
        <f>IF(AND(F998="",G998=""),"",ROW()-6)</f>
      </c>
      <c r="B998" s="140" t="n"/>
      <c r="C998" s="141" t="n"/>
      <c r="D998" s="141" t="n"/>
      <c r="E998" s="142" t="n"/>
      <c r="F998" s="143" t="n"/>
      <c r="G998" s="144" t="n"/>
      <c r="H998" s="145">
        <f>IF(OR(C998="",AND(F998="",G998="")),"",SUMIF(基础资料!$W$5:$W$24,C998,基础资料!$X$5:$X$24)+SUMIF(C$7:C998,C998,F$7:F998)-SUMIF(C$7:C998,C998,G$7:G998))</f>
      </c>
      <c r="I998" s="145">
        <f>IF(AND(F998="",G998=""),"",SUM(基础资料!$X$5:$X$24)+SUM(F$7:F998)-SUM(G$7:G998))</f>
      </c>
      <c r="J998" s="141" t="n"/>
      <c r="K998" s="141" t="n"/>
      <c r="L998" s="141" t="n"/>
      <c r="M998" s="142" t="n"/>
      <c r="N998" s="146">
        <f>IF(AND(AND(F998="",G998=""),B998="",C998="",D998="",J998="",K998="",L998=""),"",IF(AND(F998="",G998=""),"✗ 没填金额",IF(AND(N(F998)&lt;&gt;0,N(G998)&lt;&gt;0),"✗ 收入、支出只能填一边",IF(NOT(ISNUMBER(B998)),"✗ 日期不是真日期（要像 2026/9/25 这样填）",IF(OR(B998&lt;年初日,B998&gt;年末日),"✗ 日期不在本会计年度",IF(C998="","✗ 没选账户",IF(COUNTIF(基础资料!$W$5:$W$24,C998)=0,"✗ 账户不在基础资料里",IF(O998="","✗ 没选收支项目",IF(P998="未知","✗ 收支项目不在基础资料里",IF(AND(P998="应收",J998=""),"✗ 这笔要选客户",IF(AND(P998="应收",COUNTIF(总览汇总!$B$5:$B$304,J998)=0),"✗ 客户不在总览汇总名单里",IF(AND(P998="应付",K998=""),"✗ 这笔要选供应商",IF(AND(P998="应付",COUNTIF(基础资料!$Q$5:$Q$54,K998)=0),"✗ 供应商不在基础资料里",IF(AND(P998="费用",L998=""),"✗ 费用支出要选费用项目",IF(AND(L998&lt;&gt;"",COUNTIF(基础资料!$AI$5:$AI$54,L998)=0),"✗ 费用项目不在基础资料里",IF(AND(IFERROR(INDEX(基础资料!$AD$5:$AD$34,MATCH(O998,基础资料!$AC$5:$AC$34,0)),"")="收",N(G998)&lt;&gt;0),"✗ 这类是收款，金额填到收入列",IF(AND(IFERROR(INDEX(基础资料!$AD$5:$AD$34,MATCH(O998,基础资料!$AC$5:$AC$34,0)),"")="支",N(F998)&lt;&gt;0),"✗ 这类是付款，金额填到支出列",IF(N(H998)&lt;0,"⚠ 账户余额成负数了，核对一下","√"))))))))))))))))))</f>
      </c>
      <c r="O998" s="78">
        <f>IF(D998&lt;&gt;"",D998,IF(AND(F998="",G998=""),"",IF(J998&lt;&gt;"",IF(N(F998)&gt;0,"客户回款","客户退款"),IF(K998&lt;&gt;"",IF(N(G998)&gt;0,"供应商付款","供应商退款"),IF(L998&lt;&gt;"","费用支出","")))))</f>
      </c>
      <c r="P998" s="78">
        <f>IF(O998="","",IFERROR(INDEX(基础资料!$AE$5:$AE$34,MATCH(O998,基础资料!$AC$5:$AC$34,0)),"未知"))</f>
      </c>
      <c r="Q998" s="78">
        <f>IF(P998="应收",COUNTIF(P$7:P998,"应收"),"")</f>
      </c>
      <c r="R998" s="78">
        <f>IF(P998="应付",COUNTIF(P$7:P998,"应付"),"")</f>
      </c>
      <c r="S998" s="78">
        <f>N(F998)-N(G998)</f>
        <v>0</v>
      </c>
    </row>
    <row r="999">
      <c r="A999" s="109">
        <f>IF(AND(F999="",G999=""),"",ROW()-6)</f>
      </c>
      <c r="B999" s="140" t="n"/>
      <c r="C999" s="141" t="n"/>
      <c r="D999" s="141" t="n"/>
      <c r="E999" s="142" t="n"/>
      <c r="F999" s="143" t="n"/>
      <c r="G999" s="144" t="n"/>
      <c r="H999" s="145">
        <f>IF(OR(C999="",AND(F999="",G999="")),"",SUMIF(基础资料!$W$5:$W$24,C999,基础资料!$X$5:$X$24)+SUMIF(C$7:C999,C999,F$7:F999)-SUMIF(C$7:C999,C999,G$7:G999))</f>
      </c>
      <c r="I999" s="145">
        <f>IF(AND(F999="",G999=""),"",SUM(基础资料!$X$5:$X$24)+SUM(F$7:F999)-SUM(G$7:G999))</f>
      </c>
      <c r="J999" s="141" t="n"/>
      <c r="K999" s="141" t="n"/>
      <c r="L999" s="141" t="n"/>
      <c r="M999" s="142" t="n"/>
      <c r="N999" s="146">
        <f>IF(AND(AND(F999="",G999=""),B999="",C999="",D999="",J999="",K999="",L999=""),"",IF(AND(F999="",G999=""),"✗ 没填金额",IF(AND(N(F999)&lt;&gt;0,N(G999)&lt;&gt;0),"✗ 收入、支出只能填一边",IF(NOT(ISNUMBER(B999)),"✗ 日期不是真日期（要像 2026/9/25 这样填）",IF(OR(B999&lt;年初日,B999&gt;年末日),"✗ 日期不在本会计年度",IF(C999="","✗ 没选账户",IF(COUNTIF(基础资料!$W$5:$W$24,C999)=0,"✗ 账户不在基础资料里",IF(O999="","✗ 没选收支项目",IF(P999="未知","✗ 收支项目不在基础资料里",IF(AND(P999="应收",J999=""),"✗ 这笔要选客户",IF(AND(P999="应收",COUNTIF(总览汇总!$B$5:$B$304,J999)=0),"✗ 客户不在总览汇总名单里",IF(AND(P999="应付",K999=""),"✗ 这笔要选供应商",IF(AND(P999="应付",COUNTIF(基础资料!$Q$5:$Q$54,K999)=0),"✗ 供应商不在基础资料里",IF(AND(P999="费用",L999=""),"✗ 费用支出要选费用项目",IF(AND(L999&lt;&gt;"",COUNTIF(基础资料!$AI$5:$AI$54,L999)=0),"✗ 费用项目不在基础资料里",IF(AND(IFERROR(INDEX(基础资料!$AD$5:$AD$34,MATCH(O999,基础资料!$AC$5:$AC$34,0)),"")="收",N(G999)&lt;&gt;0),"✗ 这类是收款，金额填到收入列",IF(AND(IFERROR(INDEX(基础资料!$AD$5:$AD$34,MATCH(O999,基础资料!$AC$5:$AC$34,0)),"")="支",N(F999)&lt;&gt;0),"✗ 这类是付款，金额填到支出列",IF(N(H999)&lt;0,"⚠ 账户余额成负数了，核对一下","√"))))))))))))))))))</f>
      </c>
      <c r="O999" s="78">
        <f>IF(D999&lt;&gt;"",D999,IF(AND(F999="",G999=""),"",IF(J999&lt;&gt;"",IF(N(F999)&gt;0,"客户回款","客户退款"),IF(K999&lt;&gt;"",IF(N(G999)&gt;0,"供应商付款","供应商退款"),IF(L999&lt;&gt;"","费用支出","")))))</f>
      </c>
      <c r="P999" s="78">
        <f>IF(O999="","",IFERROR(INDEX(基础资料!$AE$5:$AE$34,MATCH(O999,基础资料!$AC$5:$AC$34,0)),"未知"))</f>
      </c>
      <c r="Q999" s="78">
        <f>IF(P999="应收",COUNTIF(P$7:P999,"应收"),"")</f>
      </c>
      <c r="R999" s="78">
        <f>IF(P999="应付",COUNTIF(P$7:P999,"应付"),"")</f>
      </c>
      <c r="S999" s="78">
        <f>N(F999)-N(G999)</f>
        <v>0</v>
      </c>
    </row>
    <row r="1000">
      <c r="A1000" s="109">
        <f>IF(AND(F1000="",G1000=""),"",ROW()-6)</f>
      </c>
      <c r="B1000" s="140" t="n"/>
      <c r="C1000" s="141" t="n"/>
      <c r="D1000" s="141" t="n"/>
      <c r="E1000" s="142" t="n"/>
      <c r="F1000" s="143" t="n"/>
      <c r="G1000" s="144" t="n"/>
      <c r="H1000" s="145">
        <f>IF(OR(C1000="",AND(F1000="",G1000="")),"",SUMIF(基础资料!$W$5:$W$24,C1000,基础资料!$X$5:$X$24)+SUMIF(C$7:C1000,C1000,F$7:F1000)-SUMIF(C$7:C1000,C1000,G$7:G1000))</f>
      </c>
      <c r="I1000" s="145">
        <f>IF(AND(F1000="",G1000=""),"",SUM(基础资料!$X$5:$X$24)+SUM(F$7:F1000)-SUM(G$7:G1000))</f>
      </c>
      <c r="J1000" s="141" t="n"/>
      <c r="K1000" s="141" t="n"/>
      <c r="L1000" s="141" t="n"/>
      <c r="M1000" s="142" t="n"/>
      <c r="N1000" s="146">
        <f>IF(AND(AND(F1000="",G1000=""),B1000="",C1000="",D1000="",J1000="",K1000="",L1000=""),"",IF(AND(F1000="",G1000=""),"✗ 没填金额",IF(AND(N(F1000)&lt;&gt;0,N(G1000)&lt;&gt;0),"✗ 收入、支出只能填一边",IF(NOT(ISNUMBER(B1000)),"✗ 日期不是真日期（要像 2026/9/25 这样填）",IF(OR(B1000&lt;年初日,B1000&gt;年末日),"✗ 日期不在本会计年度",IF(C1000="","✗ 没选账户",IF(COUNTIF(基础资料!$W$5:$W$24,C1000)=0,"✗ 账户不在基础资料里",IF(O1000="","✗ 没选收支项目",IF(P1000="未知","✗ 收支项目不在基础资料里",IF(AND(P1000="应收",J1000=""),"✗ 这笔要选客户",IF(AND(P1000="应收",COUNTIF(总览汇总!$B$5:$B$304,J1000)=0),"✗ 客户不在总览汇总名单里",IF(AND(P1000="应付",K1000=""),"✗ 这笔要选供应商",IF(AND(P1000="应付",COUNTIF(基础资料!$Q$5:$Q$54,K1000)=0),"✗ 供应商不在基础资料里",IF(AND(P1000="费用",L1000=""),"✗ 费用支出要选费用项目",IF(AND(L1000&lt;&gt;"",COUNTIF(基础资料!$AI$5:$AI$54,L1000)=0),"✗ 费用项目不在基础资料里",IF(AND(IFERROR(INDEX(基础资料!$AD$5:$AD$34,MATCH(O1000,基础资料!$AC$5:$AC$34,0)),"")="收",N(G1000)&lt;&gt;0),"✗ 这类是收款，金额填到收入列",IF(AND(IFERROR(INDEX(基础资料!$AD$5:$AD$34,MATCH(O1000,基础资料!$AC$5:$AC$34,0)),"")="支",N(F1000)&lt;&gt;0),"✗ 这类是付款，金额填到支出列",IF(N(H1000)&lt;0,"⚠ 账户余额成负数了，核对一下","√"))))))))))))))))))</f>
      </c>
      <c r="O1000" s="78">
        <f>IF(D1000&lt;&gt;"",D1000,IF(AND(F1000="",G1000=""),"",IF(J1000&lt;&gt;"",IF(N(F1000)&gt;0,"客户回款","客户退款"),IF(K1000&lt;&gt;"",IF(N(G1000)&gt;0,"供应商付款","供应商退款"),IF(L1000&lt;&gt;"","费用支出","")))))</f>
      </c>
      <c r="P1000" s="78">
        <f>IF(O1000="","",IFERROR(INDEX(基础资料!$AE$5:$AE$34,MATCH(O1000,基础资料!$AC$5:$AC$34,0)),"未知"))</f>
      </c>
      <c r="Q1000" s="78">
        <f>IF(P1000="应收",COUNTIF(P$7:P1000,"应收"),"")</f>
      </c>
      <c r="R1000" s="78">
        <f>IF(P1000="应付",COUNTIF(P$7:P1000,"应付"),"")</f>
      </c>
      <c r="S1000" s="78">
        <f>N(F1000)-N(G1000)</f>
        <v>0</v>
      </c>
    </row>
    <row r="1001">
      <c r="A1001" s="109">
        <f>IF(AND(F1001="",G1001=""),"",ROW()-6)</f>
      </c>
      <c r="B1001" s="140" t="n"/>
      <c r="C1001" s="141" t="n"/>
      <c r="D1001" s="141" t="n"/>
      <c r="E1001" s="142" t="n"/>
      <c r="F1001" s="143" t="n"/>
      <c r="G1001" s="144" t="n"/>
      <c r="H1001" s="145">
        <f>IF(OR(C1001="",AND(F1001="",G1001="")),"",SUMIF(基础资料!$W$5:$W$24,C1001,基础资料!$X$5:$X$24)+SUMIF(C$7:C1001,C1001,F$7:F1001)-SUMIF(C$7:C1001,C1001,G$7:G1001))</f>
      </c>
      <c r="I1001" s="145">
        <f>IF(AND(F1001="",G1001=""),"",SUM(基础资料!$X$5:$X$24)+SUM(F$7:F1001)-SUM(G$7:G1001))</f>
      </c>
      <c r="J1001" s="141" t="n"/>
      <c r="K1001" s="141" t="n"/>
      <c r="L1001" s="141" t="n"/>
      <c r="M1001" s="142" t="n"/>
      <c r="N1001" s="146">
        <f>IF(AND(AND(F1001="",G1001=""),B1001="",C1001="",D1001="",J1001="",K1001="",L1001=""),"",IF(AND(F1001="",G1001=""),"✗ 没填金额",IF(AND(N(F1001)&lt;&gt;0,N(G1001)&lt;&gt;0),"✗ 收入、支出只能填一边",IF(NOT(ISNUMBER(B1001)),"✗ 日期不是真日期（要像 2026/9/25 这样填）",IF(OR(B1001&lt;年初日,B1001&gt;年末日),"✗ 日期不在本会计年度",IF(C1001="","✗ 没选账户",IF(COUNTIF(基础资料!$W$5:$W$24,C1001)=0,"✗ 账户不在基础资料里",IF(O1001="","✗ 没选收支项目",IF(P1001="未知","✗ 收支项目不在基础资料里",IF(AND(P1001="应收",J1001=""),"✗ 这笔要选客户",IF(AND(P1001="应收",COUNTIF(总览汇总!$B$5:$B$304,J1001)=0),"✗ 客户不在总览汇总名单里",IF(AND(P1001="应付",K1001=""),"✗ 这笔要选供应商",IF(AND(P1001="应付",COUNTIF(基础资料!$Q$5:$Q$54,K1001)=0),"✗ 供应商不在基础资料里",IF(AND(P1001="费用",L1001=""),"✗ 费用支出要选费用项目",IF(AND(L1001&lt;&gt;"",COUNTIF(基础资料!$AI$5:$AI$54,L1001)=0),"✗ 费用项目不在基础资料里",IF(AND(IFERROR(INDEX(基础资料!$AD$5:$AD$34,MATCH(O1001,基础资料!$AC$5:$AC$34,0)),"")="收",N(G1001)&lt;&gt;0),"✗ 这类是收款，金额填到收入列",IF(AND(IFERROR(INDEX(基础资料!$AD$5:$AD$34,MATCH(O1001,基础资料!$AC$5:$AC$34,0)),"")="支",N(F1001)&lt;&gt;0),"✗ 这类是付款，金额填到支出列",IF(N(H1001)&lt;0,"⚠ 账户余额成负数了，核对一下","√"))))))))))))))))))</f>
      </c>
      <c r="O1001" s="78">
        <f>IF(D1001&lt;&gt;"",D1001,IF(AND(F1001="",G1001=""),"",IF(J1001&lt;&gt;"",IF(N(F1001)&gt;0,"客户回款","客户退款"),IF(K1001&lt;&gt;"",IF(N(G1001)&gt;0,"供应商付款","供应商退款"),IF(L1001&lt;&gt;"","费用支出","")))))</f>
      </c>
      <c r="P1001" s="78">
        <f>IF(O1001="","",IFERROR(INDEX(基础资料!$AE$5:$AE$34,MATCH(O1001,基础资料!$AC$5:$AC$34,0)),"未知"))</f>
      </c>
      <c r="Q1001" s="78">
        <f>IF(P1001="应收",COUNTIF(P$7:P1001,"应收"),"")</f>
      </c>
      <c r="R1001" s="78">
        <f>IF(P1001="应付",COUNTIF(P$7:P1001,"应付"),"")</f>
      </c>
      <c r="S1001" s="78">
        <f>N(F1001)-N(G1001)</f>
        <v>0</v>
      </c>
    </row>
    <row r="1002">
      <c r="A1002" s="109">
        <f>IF(AND(F1002="",G1002=""),"",ROW()-6)</f>
      </c>
      <c r="B1002" s="140" t="n"/>
      <c r="C1002" s="141" t="n"/>
      <c r="D1002" s="141" t="n"/>
      <c r="E1002" s="142" t="n"/>
      <c r="F1002" s="143" t="n"/>
      <c r="G1002" s="144" t="n"/>
      <c r="H1002" s="145">
        <f>IF(OR(C1002="",AND(F1002="",G1002="")),"",SUMIF(基础资料!$W$5:$W$24,C1002,基础资料!$X$5:$X$24)+SUMIF(C$7:C1002,C1002,F$7:F1002)-SUMIF(C$7:C1002,C1002,G$7:G1002))</f>
      </c>
      <c r="I1002" s="145">
        <f>IF(AND(F1002="",G1002=""),"",SUM(基础资料!$X$5:$X$24)+SUM(F$7:F1002)-SUM(G$7:G1002))</f>
      </c>
      <c r="J1002" s="141" t="n"/>
      <c r="K1002" s="141" t="n"/>
      <c r="L1002" s="141" t="n"/>
      <c r="M1002" s="142" t="n"/>
      <c r="N1002" s="146">
        <f>IF(AND(AND(F1002="",G1002=""),B1002="",C1002="",D1002="",J1002="",K1002="",L1002=""),"",IF(AND(F1002="",G1002=""),"✗ 没填金额",IF(AND(N(F1002)&lt;&gt;0,N(G1002)&lt;&gt;0),"✗ 收入、支出只能填一边",IF(NOT(ISNUMBER(B1002)),"✗ 日期不是真日期（要像 2026/9/25 这样填）",IF(OR(B1002&lt;年初日,B1002&gt;年末日),"✗ 日期不在本会计年度",IF(C1002="","✗ 没选账户",IF(COUNTIF(基础资料!$W$5:$W$24,C1002)=0,"✗ 账户不在基础资料里",IF(O1002="","✗ 没选收支项目",IF(P1002="未知","✗ 收支项目不在基础资料里",IF(AND(P1002="应收",J1002=""),"✗ 这笔要选客户",IF(AND(P1002="应收",COUNTIF(总览汇总!$B$5:$B$304,J1002)=0),"✗ 客户不在总览汇总名单里",IF(AND(P1002="应付",K1002=""),"✗ 这笔要选供应商",IF(AND(P1002="应付",COUNTIF(基础资料!$Q$5:$Q$54,K1002)=0),"✗ 供应商不在基础资料里",IF(AND(P1002="费用",L1002=""),"✗ 费用支出要选费用项目",IF(AND(L1002&lt;&gt;"",COUNTIF(基础资料!$AI$5:$AI$54,L1002)=0),"✗ 费用项目不在基础资料里",IF(AND(IFERROR(INDEX(基础资料!$AD$5:$AD$34,MATCH(O1002,基础资料!$AC$5:$AC$34,0)),"")="收",N(G1002)&lt;&gt;0),"✗ 这类是收款，金额填到收入列",IF(AND(IFERROR(INDEX(基础资料!$AD$5:$AD$34,MATCH(O1002,基础资料!$AC$5:$AC$34,0)),"")="支",N(F1002)&lt;&gt;0),"✗ 这类是付款，金额填到支出列",IF(N(H1002)&lt;0,"⚠ 账户余额成负数了，核对一下","√"))))))))))))))))))</f>
      </c>
      <c r="O1002" s="78">
        <f>IF(D1002&lt;&gt;"",D1002,IF(AND(F1002="",G1002=""),"",IF(J1002&lt;&gt;"",IF(N(F1002)&gt;0,"客户回款","客户退款"),IF(K1002&lt;&gt;"",IF(N(G1002)&gt;0,"供应商付款","供应商退款"),IF(L1002&lt;&gt;"","费用支出","")))))</f>
      </c>
      <c r="P1002" s="78">
        <f>IF(O1002="","",IFERROR(INDEX(基础资料!$AE$5:$AE$34,MATCH(O1002,基础资料!$AC$5:$AC$34,0)),"未知"))</f>
      </c>
      <c r="Q1002" s="78">
        <f>IF(P1002="应收",COUNTIF(P$7:P1002,"应收"),"")</f>
      </c>
      <c r="R1002" s="78">
        <f>IF(P1002="应付",COUNTIF(P$7:P1002,"应付"),"")</f>
      </c>
      <c r="S1002" s="78">
        <f>N(F1002)-N(G1002)</f>
        <v>0</v>
      </c>
    </row>
    <row r="1003">
      <c r="A1003" s="109">
        <f>IF(AND(F1003="",G1003=""),"",ROW()-6)</f>
      </c>
      <c r="B1003" s="140" t="n"/>
      <c r="C1003" s="141" t="n"/>
      <c r="D1003" s="141" t="n"/>
      <c r="E1003" s="142" t="n"/>
      <c r="F1003" s="143" t="n"/>
      <c r="G1003" s="144" t="n"/>
      <c r="H1003" s="145">
        <f>IF(OR(C1003="",AND(F1003="",G1003="")),"",SUMIF(基础资料!$W$5:$W$24,C1003,基础资料!$X$5:$X$24)+SUMIF(C$7:C1003,C1003,F$7:F1003)-SUMIF(C$7:C1003,C1003,G$7:G1003))</f>
      </c>
      <c r="I1003" s="145">
        <f>IF(AND(F1003="",G1003=""),"",SUM(基础资料!$X$5:$X$24)+SUM(F$7:F1003)-SUM(G$7:G1003))</f>
      </c>
      <c r="J1003" s="141" t="n"/>
      <c r="K1003" s="141" t="n"/>
      <c r="L1003" s="141" t="n"/>
      <c r="M1003" s="142" t="n"/>
      <c r="N1003" s="146">
        <f>IF(AND(AND(F1003="",G1003=""),B1003="",C1003="",D1003="",J1003="",K1003="",L1003=""),"",IF(AND(F1003="",G1003=""),"✗ 没填金额",IF(AND(N(F1003)&lt;&gt;0,N(G1003)&lt;&gt;0),"✗ 收入、支出只能填一边",IF(NOT(ISNUMBER(B1003)),"✗ 日期不是真日期（要像 2026/9/25 这样填）",IF(OR(B1003&lt;年初日,B1003&gt;年末日),"✗ 日期不在本会计年度",IF(C1003="","✗ 没选账户",IF(COUNTIF(基础资料!$W$5:$W$24,C1003)=0,"✗ 账户不在基础资料里",IF(O1003="","✗ 没选收支项目",IF(P1003="未知","✗ 收支项目不在基础资料里",IF(AND(P1003="应收",J1003=""),"✗ 这笔要选客户",IF(AND(P1003="应收",COUNTIF(总览汇总!$B$5:$B$304,J1003)=0),"✗ 客户不在总览汇总名单里",IF(AND(P1003="应付",K1003=""),"✗ 这笔要选供应商",IF(AND(P1003="应付",COUNTIF(基础资料!$Q$5:$Q$54,K1003)=0),"✗ 供应商不在基础资料里",IF(AND(P1003="费用",L1003=""),"✗ 费用支出要选费用项目",IF(AND(L1003&lt;&gt;"",COUNTIF(基础资料!$AI$5:$AI$54,L1003)=0),"✗ 费用项目不在基础资料里",IF(AND(IFERROR(INDEX(基础资料!$AD$5:$AD$34,MATCH(O1003,基础资料!$AC$5:$AC$34,0)),"")="收",N(G1003)&lt;&gt;0),"✗ 这类是收款，金额填到收入列",IF(AND(IFERROR(INDEX(基础资料!$AD$5:$AD$34,MATCH(O1003,基础资料!$AC$5:$AC$34,0)),"")="支",N(F1003)&lt;&gt;0),"✗ 这类是付款，金额填到支出列",IF(N(H1003)&lt;0,"⚠ 账户余额成负数了，核对一下","√"))))))))))))))))))</f>
      </c>
      <c r="O1003" s="78">
        <f>IF(D1003&lt;&gt;"",D1003,IF(AND(F1003="",G1003=""),"",IF(J1003&lt;&gt;"",IF(N(F1003)&gt;0,"客户回款","客户退款"),IF(K1003&lt;&gt;"",IF(N(G1003)&gt;0,"供应商付款","供应商退款"),IF(L1003&lt;&gt;"","费用支出","")))))</f>
      </c>
      <c r="P1003" s="78">
        <f>IF(O1003="","",IFERROR(INDEX(基础资料!$AE$5:$AE$34,MATCH(O1003,基础资料!$AC$5:$AC$34,0)),"未知"))</f>
      </c>
      <c r="Q1003" s="78">
        <f>IF(P1003="应收",COUNTIF(P$7:P1003,"应收"),"")</f>
      </c>
      <c r="R1003" s="78">
        <f>IF(P1003="应付",COUNTIF(P$7:P1003,"应付"),"")</f>
      </c>
      <c r="S1003" s="78">
        <f>N(F1003)-N(G1003)</f>
        <v>0</v>
      </c>
    </row>
    <row r="1004">
      <c r="A1004" s="109">
        <f>IF(AND(F1004="",G1004=""),"",ROW()-6)</f>
      </c>
      <c r="B1004" s="140" t="n"/>
      <c r="C1004" s="141" t="n"/>
      <c r="D1004" s="141" t="n"/>
      <c r="E1004" s="142" t="n"/>
      <c r="F1004" s="143" t="n"/>
      <c r="G1004" s="144" t="n"/>
      <c r="H1004" s="145">
        <f>IF(OR(C1004="",AND(F1004="",G1004="")),"",SUMIF(基础资料!$W$5:$W$24,C1004,基础资料!$X$5:$X$24)+SUMIF(C$7:C1004,C1004,F$7:F1004)-SUMIF(C$7:C1004,C1004,G$7:G1004))</f>
      </c>
      <c r="I1004" s="145">
        <f>IF(AND(F1004="",G1004=""),"",SUM(基础资料!$X$5:$X$24)+SUM(F$7:F1004)-SUM(G$7:G1004))</f>
      </c>
      <c r="J1004" s="141" t="n"/>
      <c r="K1004" s="141" t="n"/>
      <c r="L1004" s="141" t="n"/>
      <c r="M1004" s="142" t="n"/>
      <c r="N1004" s="146">
        <f>IF(AND(AND(F1004="",G1004=""),B1004="",C1004="",D1004="",J1004="",K1004="",L1004=""),"",IF(AND(F1004="",G1004=""),"✗ 没填金额",IF(AND(N(F1004)&lt;&gt;0,N(G1004)&lt;&gt;0),"✗ 收入、支出只能填一边",IF(NOT(ISNUMBER(B1004)),"✗ 日期不是真日期（要像 2026/9/25 这样填）",IF(OR(B1004&lt;年初日,B1004&gt;年末日),"✗ 日期不在本会计年度",IF(C1004="","✗ 没选账户",IF(COUNTIF(基础资料!$W$5:$W$24,C1004)=0,"✗ 账户不在基础资料里",IF(O1004="","✗ 没选收支项目",IF(P1004="未知","✗ 收支项目不在基础资料里",IF(AND(P1004="应收",J1004=""),"✗ 这笔要选客户",IF(AND(P1004="应收",COUNTIF(总览汇总!$B$5:$B$304,J1004)=0),"✗ 客户不在总览汇总名单里",IF(AND(P1004="应付",K1004=""),"✗ 这笔要选供应商",IF(AND(P1004="应付",COUNTIF(基础资料!$Q$5:$Q$54,K1004)=0),"✗ 供应商不在基础资料里",IF(AND(P1004="费用",L1004=""),"✗ 费用支出要选费用项目",IF(AND(L1004&lt;&gt;"",COUNTIF(基础资料!$AI$5:$AI$54,L1004)=0),"✗ 费用项目不在基础资料里",IF(AND(IFERROR(INDEX(基础资料!$AD$5:$AD$34,MATCH(O1004,基础资料!$AC$5:$AC$34,0)),"")="收",N(G1004)&lt;&gt;0),"✗ 这类是收款，金额填到收入列",IF(AND(IFERROR(INDEX(基础资料!$AD$5:$AD$34,MATCH(O1004,基础资料!$AC$5:$AC$34,0)),"")="支",N(F1004)&lt;&gt;0),"✗ 这类是付款，金额填到支出列",IF(N(H1004)&lt;0,"⚠ 账户余额成负数了，核对一下","√"))))))))))))))))))</f>
      </c>
      <c r="O1004" s="78">
        <f>IF(D1004&lt;&gt;"",D1004,IF(AND(F1004="",G1004=""),"",IF(J1004&lt;&gt;"",IF(N(F1004)&gt;0,"客户回款","客户退款"),IF(K1004&lt;&gt;"",IF(N(G1004)&gt;0,"供应商付款","供应商退款"),IF(L1004&lt;&gt;"","费用支出","")))))</f>
      </c>
      <c r="P1004" s="78">
        <f>IF(O1004="","",IFERROR(INDEX(基础资料!$AE$5:$AE$34,MATCH(O1004,基础资料!$AC$5:$AC$34,0)),"未知"))</f>
      </c>
      <c r="Q1004" s="78">
        <f>IF(P1004="应收",COUNTIF(P$7:P1004,"应收"),"")</f>
      </c>
      <c r="R1004" s="78">
        <f>IF(P1004="应付",COUNTIF(P$7:P1004,"应付"),"")</f>
      </c>
      <c r="S1004" s="78">
        <f>N(F1004)-N(G1004)</f>
        <v>0</v>
      </c>
    </row>
    <row r="1005">
      <c r="A1005" s="109">
        <f>IF(AND(F1005="",G1005=""),"",ROW()-6)</f>
      </c>
      <c r="B1005" s="140" t="n"/>
      <c r="C1005" s="141" t="n"/>
      <c r="D1005" s="141" t="n"/>
      <c r="E1005" s="142" t="n"/>
      <c r="F1005" s="143" t="n"/>
      <c r="G1005" s="144" t="n"/>
      <c r="H1005" s="145">
        <f>IF(OR(C1005="",AND(F1005="",G1005="")),"",SUMIF(基础资料!$W$5:$W$24,C1005,基础资料!$X$5:$X$24)+SUMIF(C$7:C1005,C1005,F$7:F1005)-SUMIF(C$7:C1005,C1005,G$7:G1005))</f>
      </c>
      <c r="I1005" s="145">
        <f>IF(AND(F1005="",G1005=""),"",SUM(基础资料!$X$5:$X$24)+SUM(F$7:F1005)-SUM(G$7:G1005))</f>
      </c>
      <c r="J1005" s="141" t="n"/>
      <c r="K1005" s="141" t="n"/>
      <c r="L1005" s="141" t="n"/>
      <c r="M1005" s="142" t="n"/>
      <c r="N1005" s="146">
        <f>IF(AND(AND(F1005="",G1005=""),B1005="",C1005="",D1005="",J1005="",K1005="",L1005=""),"",IF(AND(F1005="",G1005=""),"✗ 没填金额",IF(AND(N(F1005)&lt;&gt;0,N(G1005)&lt;&gt;0),"✗ 收入、支出只能填一边",IF(NOT(ISNUMBER(B1005)),"✗ 日期不是真日期（要像 2026/9/25 这样填）",IF(OR(B1005&lt;年初日,B1005&gt;年末日),"✗ 日期不在本会计年度",IF(C1005="","✗ 没选账户",IF(COUNTIF(基础资料!$W$5:$W$24,C1005)=0,"✗ 账户不在基础资料里",IF(O1005="","✗ 没选收支项目",IF(P1005="未知","✗ 收支项目不在基础资料里",IF(AND(P1005="应收",J1005=""),"✗ 这笔要选客户",IF(AND(P1005="应收",COUNTIF(总览汇总!$B$5:$B$304,J1005)=0),"✗ 客户不在总览汇总名单里",IF(AND(P1005="应付",K1005=""),"✗ 这笔要选供应商",IF(AND(P1005="应付",COUNTIF(基础资料!$Q$5:$Q$54,K1005)=0),"✗ 供应商不在基础资料里",IF(AND(P1005="费用",L1005=""),"✗ 费用支出要选费用项目",IF(AND(L1005&lt;&gt;"",COUNTIF(基础资料!$AI$5:$AI$54,L1005)=0),"✗ 费用项目不在基础资料里",IF(AND(IFERROR(INDEX(基础资料!$AD$5:$AD$34,MATCH(O1005,基础资料!$AC$5:$AC$34,0)),"")="收",N(G1005)&lt;&gt;0),"✗ 这类是收款，金额填到收入列",IF(AND(IFERROR(INDEX(基础资料!$AD$5:$AD$34,MATCH(O1005,基础资料!$AC$5:$AC$34,0)),"")="支",N(F1005)&lt;&gt;0),"✗ 这类是付款，金额填到支出列",IF(N(H1005)&lt;0,"⚠ 账户余额成负数了，核对一下","√"))))))))))))))))))</f>
      </c>
      <c r="O1005" s="78">
        <f>IF(D1005&lt;&gt;"",D1005,IF(AND(F1005="",G1005=""),"",IF(J1005&lt;&gt;"",IF(N(F1005)&gt;0,"客户回款","客户退款"),IF(K1005&lt;&gt;"",IF(N(G1005)&gt;0,"供应商付款","供应商退款"),IF(L1005&lt;&gt;"","费用支出","")))))</f>
      </c>
      <c r="P1005" s="78">
        <f>IF(O1005="","",IFERROR(INDEX(基础资料!$AE$5:$AE$34,MATCH(O1005,基础资料!$AC$5:$AC$34,0)),"未知"))</f>
      </c>
      <c r="Q1005" s="78">
        <f>IF(P1005="应收",COUNTIF(P$7:P1005,"应收"),"")</f>
      </c>
      <c r="R1005" s="78">
        <f>IF(P1005="应付",COUNTIF(P$7:P1005,"应付"),"")</f>
      </c>
      <c r="S1005" s="78">
        <f>N(F1005)-N(G1005)</f>
        <v>0</v>
      </c>
    </row>
    <row r="1006">
      <c r="A1006" s="109">
        <f>IF(AND(F1006="",G1006=""),"",ROW()-6)</f>
      </c>
      <c r="B1006" s="140" t="n"/>
      <c r="C1006" s="141" t="n"/>
      <c r="D1006" s="141" t="n"/>
      <c r="E1006" s="142" t="n"/>
      <c r="F1006" s="143" t="n"/>
      <c r="G1006" s="144" t="n"/>
      <c r="H1006" s="145">
        <f>IF(OR(C1006="",AND(F1006="",G1006="")),"",SUMIF(基础资料!$W$5:$W$24,C1006,基础资料!$X$5:$X$24)+SUMIF(C$7:C1006,C1006,F$7:F1006)-SUMIF(C$7:C1006,C1006,G$7:G1006))</f>
      </c>
      <c r="I1006" s="145">
        <f>IF(AND(F1006="",G1006=""),"",SUM(基础资料!$X$5:$X$24)+SUM(F$7:F1006)-SUM(G$7:G1006))</f>
      </c>
      <c r="J1006" s="141" t="n"/>
      <c r="K1006" s="141" t="n"/>
      <c r="L1006" s="141" t="n"/>
      <c r="M1006" s="142" t="n"/>
      <c r="N1006" s="146">
        <f>IF(AND(AND(F1006="",G1006=""),B1006="",C1006="",D1006="",J1006="",K1006="",L1006=""),"",IF(AND(F1006="",G1006=""),"✗ 没填金额",IF(AND(N(F1006)&lt;&gt;0,N(G1006)&lt;&gt;0),"✗ 收入、支出只能填一边",IF(NOT(ISNUMBER(B1006)),"✗ 日期不是真日期（要像 2026/9/25 这样填）",IF(OR(B1006&lt;年初日,B1006&gt;年末日),"✗ 日期不在本会计年度",IF(C1006="","✗ 没选账户",IF(COUNTIF(基础资料!$W$5:$W$24,C1006)=0,"✗ 账户不在基础资料里",IF(O1006="","✗ 没选收支项目",IF(P1006="未知","✗ 收支项目不在基础资料里",IF(AND(P1006="应收",J1006=""),"✗ 这笔要选客户",IF(AND(P1006="应收",COUNTIF(总览汇总!$B$5:$B$304,J1006)=0),"✗ 客户不在总览汇总名单里",IF(AND(P1006="应付",K1006=""),"✗ 这笔要选供应商",IF(AND(P1006="应付",COUNTIF(基础资料!$Q$5:$Q$54,K1006)=0),"✗ 供应商不在基础资料里",IF(AND(P1006="费用",L1006=""),"✗ 费用支出要选费用项目",IF(AND(L1006&lt;&gt;"",COUNTIF(基础资料!$AI$5:$AI$54,L1006)=0),"✗ 费用项目不在基础资料里",IF(AND(IFERROR(INDEX(基础资料!$AD$5:$AD$34,MATCH(O1006,基础资料!$AC$5:$AC$34,0)),"")="收",N(G1006)&lt;&gt;0),"✗ 这类是收款，金额填到收入列",IF(AND(IFERROR(INDEX(基础资料!$AD$5:$AD$34,MATCH(O1006,基础资料!$AC$5:$AC$34,0)),"")="支",N(F1006)&lt;&gt;0),"✗ 这类是付款，金额填到支出列",IF(N(H1006)&lt;0,"⚠ 账户余额成负数了，核对一下","√"))))))))))))))))))</f>
      </c>
      <c r="O1006" s="78">
        <f>IF(D1006&lt;&gt;"",D1006,IF(AND(F1006="",G1006=""),"",IF(J1006&lt;&gt;"",IF(N(F1006)&gt;0,"客户回款","客户退款"),IF(K1006&lt;&gt;"",IF(N(G1006)&gt;0,"供应商付款","供应商退款"),IF(L1006&lt;&gt;"","费用支出","")))))</f>
      </c>
      <c r="P1006" s="78">
        <f>IF(O1006="","",IFERROR(INDEX(基础资料!$AE$5:$AE$34,MATCH(O1006,基础资料!$AC$5:$AC$34,0)),"未知"))</f>
      </c>
      <c r="Q1006" s="78">
        <f>IF(P1006="应收",COUNTIF(P$7:P1006,"应收"),"")</f>
      </c>
      <c r="R1006" s="78">
        <f>IF(P1006="应付",COUNTIF(P$7:P1006,"应付"),"")</f>
      </c>
      <c r="S1006" s="78">
        <f>N(F1006)-N(G1006)</f>
        <v>0</v>
      </c>
    </row>
    <row r="1007">
      <c r="A1007" s="109">
        <f>IF(AND(F1007="",G1007=""),"",ROW()-6)</f>
      </c>
      <c r="B1007" s="140" t="n"/>
      <c r="C1007" s="141" t="n"/>
      <c r="D1007" s="141" t="n"/>
      <c r="E1007" s="142" t="n"/>
      <c r="F1007" s="143" t="n"/>
      <c r="G1007" s="144" t="n"/>
      <c r="H1007" s="145">
        <f>IF(OR(C1007="",AND(F1007="",G1007="")),"",SUMIF(基础资料!$W$5:$W$24,C1007,基础资料!$X$5:$X$24)+SUMIF(C$7:C1007,C1007,F$7:F1007)-SUMIF(C$7:C1007,C1007,G$7:G1007))</f>
      </c>
      <c r="I1007" s="145">
        <f>IF(AND(F1007="",G1007=""),"",SUM(基础资料!$X$5:$X$24)+SUM(F$7:F1007)-SUM(G$7:G1007))</f>
      </c>
      <c r="J1007" s="141" t="n"/>
      <c r="K1007" s="141" t="n"/>
      <c r="L1007" s="141" t="n"/>
      <c r="M1007" s="142" t="n"/>
      <c r="N1007" s="146">
        <f>IF(AND(AND(F1007="",G1007=""),B1007="",C1007="",D1007="",J1007="",K1007="",L1007=""),"",IF(AND(F1007="",G1007=""),"✗ 没填金额",IF(AND(N(F1007)&lt;&gt;0,N(G1007)&lt;&gt;0),"✗ 收入、支出只能填一边",IF(NOT(ISNUMBER(B1007)),"✗ 日期不是真日期（要像 2026/9/25 这样填）",IF(OR(B1007&lt;年初日,B1007&gt;年末日),"✗ 日期不在本会计年度",IF(C1007="","✗ 没选账户",IF(COUNTIF(基础资料!$W$5:$W$24,C1007)=0,"✗ 账户不在基础资料里",IF(O1007="","✗ 没选收支项目",IF(P1007="未知","✗ 收支项目不在基础资料里",IF(AND(P1007="应收",J1007=""),"✗ 这笔要选客户",IF(AND(P1007="应收",COUNTIF(总览汇总!$B$5:$B$304,J1007)=0),"✗ 客户不在总览汇总名单里",IF(AND(P1007="应付",K1007=""),"✗ 这笔要选供应商",IF(AND(P1007="应付",COUNTIF(基础资料!$Q$5:$Q$54,K1007)=0),"✗ 供应商不在基础资料里",IF(AND(P1007="费用",L1007=""),"✗ 费用支出要选费用项目",IF(AND(L1007&lt;&gt;"",COUNTIF(基础资料!$AI$5:$AI$54,L1007)=0),"✗ 费用项目不在基础资料里",IF(AND(IFERROR(INDEX(基础资料!$AD$5:$AD$34,MATCH(O1007,基础资料!$AC$5:$AC$34,0)),"")="收",N(G1007)&lt;&gt;0),"✗ 这类是收款，金额填到收入列",IF(AND(IFERROR(INDEX(基础资料!$AD$5:$AD$34,MATCH(O1007,基础资料!$AC$5:$AC$34,0)),"")="支",N(F1007)&lt;&gt;0),"✗ 这类是付款，金额填到支出列",IF(N(H1007)&lt;0,"⚠ 账户余额成负数了，核对一下","√"))))))))))))))))))</f>
      </c>
      <c r="O1007" s="78">
        <f>IF(D1007&lt;&gt;"",D1007,IF(AND(F1007="",G1007=""),"",IF(J1007&lt;&gt;"",IF(N(F1007)&gt;0,"客户回款","客户退款"),IF(K1007&lt;&gt;"",IF(N(G1007)&gt;0,"供应商付款","供应商退款"),IF(L1007&lt;&gt;"","费用支出","")))))</f>
      </c>
      <c r="P1007" s="78">
        <f>IF(O1007="","",IFERROR(INDEX(基础资料!$AE$5:$AE$34,MATCH(O1007,基础资料!$AC$5:$AC$34,0)),"未知"))</f>
      </c>
      <c r="Q1007" s="78">
        <f>IF(P1007="应收",COUNTIF(P$7:P1007,"应收"),"")</f>
      </c>
      <c r="R1007" s="78">
        <f>IF(P1007="应付",COUNTIF(P$7:P1007,"应付"),"")</f>
      </c>
      <c r="S1007" s="78">
        <f>N(F1007)-N(G1007)</f>
        <v>0</v>
      </c>
    </row>
    <row r="1008">
      <c r="A1008" s="109">
        <f>IF(AND(F1008="",G1008=""),"",ROW()-6)</f>
      </c>
      <c r="B1008" s="140" t="n"/>
      <c r="C1008" s="141" t="n"/>
      <c r="D1008" s="141" t="n"/>
      <c r="E1008" s="142" t="n"/>
      <c r="F1008" s="143" t="n"/>
      <c r="G1008" s="144" t="n"/>
      <c r="H1008" s="145">
        <f>IF(OR(C1008="",AND(F1008="",G1008="")),"",SUMIF(基础资料!$W$5:$W$24,C1008,基础资料!$X$5:$X$24)+SUMIF(C$7:C1008,C1008,F$7:F1008)-SUMIF(C$7:C1008,C1008,G$7:G1008))</f>
      </c>
      <c r="I1008" s="145">
        <f>IF(AND(F1008="",G1008=""),"",SUM(基础资料!$X$5:$X$24)+SUM(F$7:F1008)-SUM(G$7:G1008))</f>
      </c>
      <c r="J1008" s="141" t="n"/>
      <c r="K1008" s="141" t="n"/>
      <c r="L1008" s="141" t="n"/>
      <c r="M1008" s="142" t="n"/>
      <c r="N1008" s="146">
        <f>IF(AND(AND(F1008="",G1008=""),B1008="",C1008="",D1008="",J1008="",K1008="",L1008=""),"",IF(AND(F1008="",G1008=""),"✗ 没填金额",IF(AND(N(F1008)&lt;&gt;0,N(G1008)&lt;&gt;0),"✗ 收入、支出只能填一边",IF(NOT(ISNUMBER(B1008)),"✗ 日期不是真日期（要像 2026/9/25 这样填）",IF(OR(B1008&lt;年初日,B1008&gt;年末日),"✗ 日期不在本会计年度",IF(C1008="","✗ 没选账户",IF(COUNTIF(基础资料!$W$5:$W$24,C1008)=0,"✗ 账户不在基础资料里",IF(O1008="","✗ 没选收支项目",IF(P1008="未知","✗ 收支项目不在基础资料里",IF(AND(P1008="应收",J1008=""),"✗ 这笔要选客户",IF(AND(P1008="应收",COUNTIF(总览汇总!$B$5:$B$304,J1008)=0),"✗ 客户不在总览汇总名单里",IF(AND(P1008="应付",K1008=""),"✗ 这笔要选供应商",IF(AND(P1008="应付",COUNTIF(基础资料!$Q$5:$Q$54,K1008)=0),"✗ 供应商不在基础资料里",IF(AND(P1008="费用",L1008=""),"✗ 费用支出要选费用项目",IF(AND(L1008&lt;&gt;"",COUNTIF(基础资料!$AI$5:$AI$54,L1008)=0),"✗ 费用项目不在基础资料里",IF(AND(IFERROR(INDEX(基础资料!$AD$5:$AD$34,MATCH(O1008,基础资料!$AC$5:$AC$34,0)),"")="收",N(G1008)&lt;&gt;0),"✗ 这类是收款，金额填到收入列",IF(AND(IFERROR(INDEX(基础资料!$AD$5:$AD$34,MATCH(O1008,基础资料!$AC$5:$AC$34,0)),"")="支",N(F1008)&lt;&gt;0),"✗ 这类是付款，金额填到支出列",IF(N(H1008)&lt;0,"⚠ 账户余额成负数了，核对一下","√"))))))))))))))))))</f>
      </c>
      <c r="O1008" s="78">
        <f>IF(D1008&lt;&gt;"",D1008,IF(AND(F1008="",G1008=""),"",IF(J1008&lt;&gt;"",IF(N(F1008)&gt;0,"客户回款","客户退款"),IF(K1008&lt;&gt;"",IF(N(G1008)&gt;0,"供应商付款","供应商退款"),IF(L1008&lt;&gt;"","费用支出","")))))</f>
      </c>
      <c r="P1008" s="78">
        <f>IF(O1008="","",IFERROR(INDEX(基础资料!$AE$5:$AE$34,MATCH(O1008,基础资料!$AC$5:$AC$34,0)),"未知"))</f>
      </c>
      <c r="Q1008" s="78">
        <f>IF(P1008="应收",COUNTIF(P$7:P1008,"应收"),"")</f>
      </c>
      <c r="R1008" s="78">
        <f>IF(P1008="应付",COUNTIF(P$7:P1008,"应付"),"")</f>
      </c>
      <c r="S1008" s="78">
        <f>N(F1008)-N(G1008)</f>
        <v>0</v>
      </c>
    </row>
    <row r="1009">
      <c r="A1009" s="109">
        <f>IF(AND(F1009="",G1009=""),"",ROW()-6)</f>
      </c>
      <c r="B1009" s="140" t="n"/>
      <c r="C1009" s="141" t="n"/>
      <c r="D1009" s="141" t="n"/>
      <c r="E1009" s="142" t="n"/>
      <c r="F1009" s="143" t="n"/>
      <c r="G1009" s="144" t="n"/>
      <c r="H1009" s="145">
        <f>IF(OR(C1009="",AND(F1009="",G1009="")),"",SUMIF(基础资料!$W$5:$W$24,C1009,基础资料!$X$5:$X$24)+SUMIF(C$7:C1009,C1009,F$7:F1009)-SUMIF(C$7:C1009,C1009,G$7:G1009))</f>
      </c>
      <c r="I1009" s="145">
        <f>IF(AND(F1009="",G1009=""),"",SUM(基础资料!$X$5:$X$24)+SUM(F$7:F1009)-SUM(G$7:G1009))</f>
      </c>
      <c r="J1009" s="141" t="n"/>
      <c r="K1009" s="141" t="n"/>
      <c r="L1009" s="141" t="n"/>
      <c r="M1009" s="142" t="n"/>
      <c r="N1009" s="146">
        <f>IF(AND(AND(F1009="",G1009=""),B1009="",C1009="",D1009="",J1009="",K1009="",L1009=""),"",IF(AND(F1009="",G1009=""),"✗ 没填金额",IF(AND(N(F1009)&lt;&gt;0,N(G1009)&lt;&gt;0),"✗ 收入、支出只能填一边",IF(NOT(ISNUMBER(B1009)),"✗ 日期不是真日期（要像 2026/9/25 这样填）",IF(OR(B1009&lt;年初日,B1009&gt;年末日),"✗ 日期不在本会计年度",IF(C1009="","✗ 没选账户",IF(COUNTIF(基础资料!$W$5:$W$24,C1009)=0,"✗ 账户不在基础资料里",IF(O1009="","✗ 没选收支项目",IF(P1009="未知","✗ 收支项目不在基础资料里",IF(AND(P1009="应收",J1009=""),"✗ 这笔要选客户",IF(AND(P1009="应收",COUNTIF(总览汇总!$B$5:$B$304,J1009)=0),"✗ 客户不在总览汇总名单里",IF(AND(P1009="应付",K1009=""),"✗ 这笔要选供应商",IF(AND(P1009="应付",COUNTIF(基础资料!$Q$5:$Q$54,K1009)=0),"✗ 供应商不在基础资料里",IF(AND(P1009="费用",L1009=""),"✗ 费用支出要选费用项目",IF(AND(L1009&lt;&gt;"",COUNTIF(基础资料!$AI$5:$AI$54,L1009)=0),"✗ 费用项目不在基础资料里",IF(AND(IFERROR(INDEX(基础资料!$AD$5:$AD$34,MATCH(O1009,基础资料!$AC$5:$AC$34,0)),"")="收",N(G1009)&lt;&gt;0),"✗ 这类是收款，金额填到收入列",IF(AND(IFERROR(INDEX(基础资料!$AD$5:$AD$34,MATCH(O1009,基础资料!$AC$5:$AC$34,0)),"")="支",N(F1009)&lt;&gt;0),"✗ 这类是付款，金额填到支出列",IF(N(H1009)&lt;0,"⚠ 账户余额成负数了，核对一下","√"))))))))))))))))))</f>
      </c>
      <c r="O1009" s="78">
        <f>IF(D1009&lt;&gt;"",D1009,IF(AND(F1009="",G1009=""),"",IF(J1009&lt;&gt;"",IF(N(F1009)&gt;0,"客户回款","客户退款"),IF(K1009&lt;&gt;"",IF(N(G1009)&gt;0,"供应商付款","供应商退款"),IF(L1009&lt;&gt;"","费用支出","")))))</f>
      </c>
      <c r="P1009" s="78">
        <f>IF(O1009="","",IFERROR(INDEX(基础资料!$AE$5:$AE$34,MATCH(O1009,基础资料!$AC$5:$AC$34,0)),"未知"))</f>
      </c>
      <c r="Q1009" s="78">
        <f>IF(P1009="应收",COUNTIF(P$7:P1009,"应收"),"")</f>
      </c>
      <c r="R1009" s="78">
        <f>IF(P1009="应付",COUNTIF(P$7:P1009,"应付"),"")</f>
      </c>
      <c r="S1009" s="78">
        <f>N(F1009)-N(G1009)</f>
        <v>0</v>
      </c>
    </row>
    <row r="1010">
      <c r="A1010" s="109">
        <f>IF(AND(F1010="",G1010=""),"",ROW()-6)</f>
      </c>
      <c r="B1010" s="140" t="n"/>
      <c r="C1010" s="141" t="n"/>
      <c r="D1010" s="141" t="n"/>
      <c r="E1010" s="142" t="n"/>
      <c r="F1010" s="143" t="n"/>
      <c r="G1010" s="144" t="n"/>
      <c r="H1010" s="145">
        <f>IF(OR(C1010="",AND(F1010="",G1010="")),"",SUMIF(基础资料!$W$5:$W$24,C1010,基础资料!$X$5:$X$24)+SUMIF(C$7:C1010,C1010,F$7:F1010)-SUMIF(C$7:C1010,C1010,G$7:G1010))</f>
      </c>
      <c r="I1010" s="145">
        <f>IF(AND(F1010="",G1010=""),"",SUM(基础资料!$X$5:$X$24)+SUM(F$7:F1010)-SUM(G$7:G1010))</f>
      </c>
      <c r="J1010" s="141" t="n"/>
      <c r="K1010" s="141" t="n"/>
      <c r="L1010" s="141" t="n"/>
      <c r="M1010" s="142" t="n"/>
      <c r="N1010" s="146">
        <f>IF(AND(AND(F1010="",G1010=""),B1010="",C1010="",D1010="",J1010="",K1010="",L1010=""),"",IF(AND(F1010="",G1010=""),"✗ 没填金额",IF(AND(N(F1010)&lt;&gt;0,N(G1010)&lt;&gt;0),"✗ 收入、支出只能填一边",IF(NOT(ISNUMBER(B1010)),"✗ 日期不是真日期（要像 2026/9/25 这样填）",IF(OR(B1010&lt;年初日,B1010&gt;年末日),"✗ 日期不在本会计年度",IF(C1010="","✗ 没选账户",IF(COUNTIF(基础资料!$W$5:$W$24,C1010)=0,"✗ 账户不在基础资料里",IF(O1010="","✗ 没选收支项目",IF(P1010="未知","✗ 收支项目不在基础资料里",IF(AND(P1010="应收",J1010=""),"✗ 这笔要选客户",IF(AND(P1010="应收",COUNTIF(总览汇总!$B$5:$B$304,J1010)=0),"✗ 客户不在总览汇总名单里",IF(AND(P1010="应付",K1010=""),"✗ 这笔要选供应商",IF(AND(P1010="应付",COUNTIF(基础资料!$Q$5:$Q$54,K1010)=0),"✗ 供应商不在基础资料里",IF(AND(P1010="费用",L1010=""),"✗ 费用支出要选费用项目",IF(AND(L1010&lt;&gt;"",COUNTIF(基础资料!$AI$5:$AI$54,L1010)=0),"✗ 费用项目不在基础资料里",IF(AND(IFERROR(INDEX(基础资料!$AD$5:$AD$34,MATCH(O1010,基础资料!$AC$5:$AC$34,0)),"")="收",N(G1010)&lt;&gt;0),"✗ 这类是收款，金额填到收入列",IF(AND(IFERROR(INDEX(基础资料!$AD$5:$AD$34,MATCH(O1010,基础资料!$AC$5:$AC$34,0)),"")="支",N(F1010)&lt;&gt;0),"✗ 这类是付款，金额填到支出列",IF(N(H1010)&lt;0,"⚠ 账户余额成负数了，核对一下","√"))))))))))))))))))</f>
      </c>
      <c r="O1010" s="78">
        <f>IF(D1010&lt;&gt;"",D1010,IF(AND(F1010="",G1010=""),"",IF(J1010&lt;&gt;"",IF(N(F1010)&gt;0,"客户回款","客户退款"),IF(K1010&lt;&gt;"",IF(N(G1010)&gt;0,"供应商付款","供应商退款"),IF(L1010&lt;&gt;"","费用支出","")))))</f>
      </c>
      <c r="P1010" s="78">
        <f>IF(O1010="","",IFERROR(INDEX(基础资料!$AE$5:$AE$34,MATCH(O1010,基础资料!$AC$5:$AC$34,0)),"未知"))</f>
      </c>
      <c r="Q1010" s="78">
        <f>IF(P1010="应收",COUNTIF(P$7:P1010,"应收"),"")</f>
      </c>
      <c r="R1010" s="78">
        <f>IF(P1010="应付",COUNTIF(P$7:P1010,"应付"),"")</f>
      </c>
      <c r="S1010" s="78">
        <f>N(F1010)-N(G1010)</f>
        <v>0</v>
      </c>
    </row>
    <row r="1011">
      <c r="A1011" s="109">
        <f>IF(AND(F1011="",G1011=""),"",ROW()-6)</f>
      </c>
      <c r="B1011" s="140" t="n"/>
      <c r="C1011" s="141" t="n"/>
      <c r="D1011" s="141" t="n"/>
      <c r="E1011" s="142" t="n"/>
      <c r="F1011" s="143" t="n"/>
      <c r="G1011" s="144" t="n"/>
      <c r="H1011" s="145">
        <f>IF(OR(C1011="",AND(F1011="",G1011="")),"",SUMIF(基础资料!$W$5:$W$24,C1011,基础资料!$X$5:$X$24)+SUMIF(C$7:C1011,C1011,F$7:F1011)-SUMIF(C$7:C1011,C1011,G$7:G1011))</f>
      </c>
      <c r="I1011" s="145">
        <f>IF(AND(F1011="",G1011=""),"",SUM(基础资料!$X$5:$X$24)+SUM(F$7:F1011)-SUM(G$7:G1011))</f>
      </c>
      <c r="J1011" s="141" t="n"/>
      <c r="K1011" s="141" t="n"/>
      <c r="L1011" s="141" t="n"/>
      <c r="M1011" s="142" t="n"/>
      <c r="N1011" s="146">
        <f>IF(AND(AND(F1011="",G1011=""),B1011="",C1011="",D1011="",J1011="",K1011="",L1011=""),"",IF(AND(F1011="",G1011=""),"✗ 没填金额",IF(AND(N(F1011)&lt;&gt;0,N(G1011)&lt;&gt;0),"✗ 收入、支出只能填一边",IF(NOT(ISNUMBER(B1011)),"✗ 日期不是真日期（要像 2026/9/25 这样填）",IF(OR(B1011&lt;年初日,B1011&gt;年末日),"✗ 日期不在本会计年度",IF(C1011="","✗ 没选账户",IF(COUNTIF(基础资料!$W$5:$W$24,C1011)=0,"✗ 账户不在基础资料里",IF(O1011="","✗ 没选收支项目",IF(P1011="未知","✗ 收支项目不在基础资料里",IF(AND(P1011="应收",J1011=""),"✗ 这笔要选客户",IF(AND(P1011="应收",COUNTIF(总览汇总!$B$5:$B$304,J1011)=0),"✗ 客户不在总览汇总名单里",IF(AND(P1011="应付",K1011=""),"✗ 这笔要选供应商",IF(AND(P1011="应付",COUNTIF(基础资料!$Q$5:$Q$54,K1011)=0),"✗ 供应商不在基础资料里",IF(AND(P1011="费用",L1011=""),"✗ 费用支出要选费用项目",IF(AND(L1011&lt;&gt;"",COUNTIF(基础资料!$AI$5:$AI$54,L1011)=0),"✗ 费用项目不在基础资料里",IF(AND(IFERROR(INDEX(基础资料!$AD$5:$AD$34,MATCH(O1011,基础资料!$AC$5:$AC$34,0)),"")="收",N(G1011)&lt;&gt;0),"✗ 这类是收款，金额填到收入列",IF(AND(IFERROR(INDEX(基础资料!$AD$5:$AD$34,MATCH(O1011,基础资料!$AC$5:$AC$34,0)),"")="支",N(F1011)&lt;&gt;0),"✗ 这类是付款，金额填到支出列",IF(N(H1011)&lt;0,"⚠ 账户余额成负数了，核对一下","√"))))))))))))))))))</f>
      </c>
      <c r="O1011" s="78">
        <f>IF(D1011&lt;&gt;"",D1011,IF(AND(F1011="",G1011=""),"",IF(J1011&lt;&gt;"",IF(N(F1011)&gt;0,"客户回款","客户退款"),IF(K1011&lt;&gt;"",IF(N(G1011)&gt;0,"供应商付款","供应商退款"),IF(L1011&lt;&gt;"","费用支出","")))))</f>
      </c>
      <c r="P1011" s="78">
        <f>IF(O1011="","",IFERROR(INDEX(基础资料!$AE$5:$AE$34,MATCH(O1011,基础资料!$AC$5:$AC$34,0)),"未知"))</f>
      </c>
      <c r="Q1011" s="78">
        <f>IF(P1011="应收",COUNTIF(P$7:P1011,"应收"),"")</f>
      </c>
      <c r="R1011" s="78">
        <f>IF(P1011="应付",COUNTIF(P$7:P1011,"应付"),"")</f>
      </c>
      <c r="S1011" s="78">
        <f>N(F1011)-N(G1011)</f>
        <v>0</v>
      </c>
    </row>
    <row r="1012">
      <c r="A1012" s="109">
        <f>IF(AND(F1012="",G1012=""),"",ROW()-6)</f>
      </c>
      <c r="B1012" s="140" t="n"/>
      <c r="C1012" s="141" t="n"/>
      <c r="D1012" s="141" t="n"/>
      <c r="E1012" s="142" t="n"/>
      <c r="F1012" s="143" t="n"/>
      <c r="G1012" s="144" t="n"/>
      <c r="H1012" s="145">
        <f>IF(OR(C1012="",AND(F1012="",G1012="")),"",SUMIF(基础资料!$W$5:$W$24,C1012,基础资料!$X$5:$X$24)+SUMIF(C$7:C1012,C1012,F$7:F1012)-SUMIF(C$7:C1012,C1012,G$7:G1012))</f>
      </c>
      <c r="I1012" s="145">
        <f>IF(AND(F1012="",G1012=""),"",SUM(基础资料!$X$5:$X$24)+SUM(F$7:F1012)-SUM(G$7:G1012))</f>
      </c>
      <c r="J1012" s="141" t="n"/>
      <c r="K1012" s="141" t="n"/>
      <c r="L1012" s="141" t="n"/>
      <c r="M1012" s="142" t="n"/>
      <c r="N1012" s="146">
        <f>IF(AND(AND(F1012="",G1012=""),B1012="",C1012="",D1012="",J1012="",K1012="",L1012=""),"",IF(AND(F1012="",G1012=""),"✗ 没填金额",IF(AND(N(F1012)&lt;&gt;0,N(G1012)&lt;&gt;0),"✗ 收入、支出只能填一边",IF(NOT(ISNUMBER(B1012)),"✗ 日期不是真日期（要像 2026/9/25 这样填）",IF(OR(B1012&lt;年初日,B1012&gt;年末日),"✗ 日期不在本会计年度",IF(C1012="","✗ 没选账户",IF(COUNTIF(基础资料!$W$5:$W$24,C1012)=0,"✗ 账户不在基础资料里",IF(O1012="","✗ 没选收支项目",IF(P1012="未知","✗ 收支项目不在基础资料里",IF(AND(P1012="应收",J1012=""),"✗ 这笔要选客户",IF(AND(P1012="应收",COUNTIF(总览汇总!$B$5:$B$304,J1012)=0),"✗ 客户不在总览汇总名单里",IF(AND(P1012="应付",K1012=""),"✗ 这笔要选供应商",IF(AND(P1012="应付",COUNTIF(基础资料!$Q$5:$Q$54,K1012)=0),"✗ 供应商不在基础资料里",IF(AND(P1012="费用",L1012=""),"✗ 费用支出要选费用项目",IF(AND(L1012&lt;&gt;"",COUNTIF(基础资料!$AI$5:$AI$54,L1012)=0),"✗ 费用项目不在基础资料里",IF(AND(IFERROR(INDEX(基础资料!$AD$5:$AD$34,MATCH(O1012,基础资料!$AC$5:$AC$34,0)),"")="收",N(G1012)&lt;&gt;0),"✗ 这类是收款，金额填到收入列",IF(AND(IFERROR(INDEX(基础资料!$AD$5:$AD$34,MATCH(O1012,基础资料!$AC$5:$AC$34,0)),"")="支",N(F1012)&lt;&gt;0),"✗ 这类是付款，金额填到支出列",IF(N(H1012)&lt;0,"⚠ 账户余额成负数了，核对一下","√"))))))))))))))))))</f>
      </c>
      <c r="O1012" s="78">
        <f>IF(D1012&lt;&gt;"",D1012,IF(AND(F1012="",G1012=""),"",IF(J1012&lt;&gt;"",IF(N(F1012)&gt;0,"客户回款","客户退款"),IF(K1012&lt;&gt;"",IF(N(G1012)&gt;0,"供应商付款","供应商退款"),IF(L1012&lt;&gt;"","费用支出","")))))</f>
      </c>
      <c r="P1012" s="78">
        <f>IF(O1012="","",IFERROR(INDEX(基础资料!$AE$5:$AE$34,MATCH(O1012,基础资料!$AC$5:$AC$34,0)),"未知"))</f>
      </c>
      <c r="Q1012" s="78">
        <f>IF(P1012="应收",COUNTIF(P$7:P1012,"应收"),"")</f>
      </c>
      <c r="R1012" s="78">
        <f>IF(P1012="应付",COUNTIF(P$7:P1012,"应付"),"")</f>
      </c>
      <c r="S1012" s="78">
        <f>N(F1012)-N(G1012)</f>
        <v>0</v>
      </c>
    </row>
    <row r="1013">
      <c r="A1013" s="109">
        <f>IF(AND(F1013="",G1013=""),"",ROW()-6)</f>
      </c>
      <c r="B1013" s="140" t="n"/>
      <c r="C1013" s="141" t="n"/>
      <c r="D1013" s="141" t="n"/>
      <c r="E1013" s="142" t="n"/>
      <c r="F1013" s="143" t="n"/>
      <c r="G1013" s="144" t="n"/>
      <c r="H1013" s="145">
        <f>IF(OR(C1013="",AND(F1013="",G1013="")),"",SUMIF(基础资料!$W$5:$W$24,C1013,基础资料!$X$5:$X$24)+SUMIF(C$7:C1013,C1013,F$7:F1013)-SUMIF(C$7:C1013,C1013,G$7:G1013))</f>
      </c>
      <c r="I1013" s="145">
        <f>IF(AND(F1013="",G1013=""),"",SUM(基础资料!$X$5:$X$24)+SUM(F$7:F1013)-SUM(G$7:G1013))</f>
      </c>
      <c r="J1013" s="141" t="n"/>
      <c r="K1013" s="141" t="n"/>
      <c r="L1013" s="141" t="n"/>
      <c r="M1013" s="142" t="n"/>
      <c r="N1013" s="146">
        <f>IF(AND(AND(F1013="",G1013=""),B1013="",C1013="",D1013="",J1013="",K1013="",L1013=""),"",IF(AND(F1013="",G1013=""),"✗ 没填金额",IF(AND(N(F1013)&lt;&gt;0,N(G1013)&lt;&gt;0),"✗ 收入、支出只能填一边",IF(NOT(ISNUMBER(B1013)),"✗ 日期不是真日期（要像 2026/9/25 这样填）",IF(OR(B1013&lt;年初日,B1013&gt;年末日),"✗ 日期不在本会计年度",IF(C1013="","✗ 没选账户",IF(COUNTIF(基础资料!$W$5:$W$24,C1013)=0,"✗ 账户不在基础资料里",IF(O1013="","✗ 没选收支项目",IF(P1013="未知","✗ 收支项目不在基础资料里",IF(AND(P1013="应收",J1013=""),"✗ 这笔要选客户",IF(AND(P1013="应收",COUNTIF(总览汇总!$B$5:$B$304,J1013)=0),"✗ 客户不在总览汇总名单里",IF(AND(P1013="应付",K1013=""),"✗ 这笔要选供应商",IF(AND(P1013="应付",COUNTIF(基础资料!$Q$5:$Q$54,K1013)=0),"✗ 供应商不在基础资料里",IF(AND(P1013="费用",L1013=""),"✗ 费用支出要选费用项目",IF(AND(L1013&lt;&gt;"",COUNTIF(基础资料!$AI$5:$AI$54,L1013)=0),"✗ 费用项目不在基础资料里",IF(AND(IFERROR(INDEX(基础资料!$AD$5:$AD$34,MATCH(O1013,基础资料!$AC$5:$AC$34,0)),"")="收",N(G1013)&lt;&gt;0),"✗ 这类是收款，金额填到收入列",IF(AND(IFERROR(INDEX(基础资料!$AD$5:$AD$34,MATCH(O1013,基础资料!$AC$5:$AC$34,0)),"")="支",N(F1013)&lt;&gt;0),"✗ 这类是付款，金额填到支出列",IF(N(H1013)&lt;0,"⚠ 账户余额成负数了，核对一下","√"))))))))))))))))))</f>
      </c>
      <c r="O1013" s="78">
        <f>IF(D1013&lt;&gt;"",D1013,IF(AND(F1013="",G1013=""),"",IF(J1013&lt;&gt;"",IF(N(F1013)&gt;0,"客户回款","客户退款"),IF(K1013&lt;&gt;"",IF(N(G1013)&gt;0,"供应商付款","供应商退款"),IF(L1013&lt;&gt;"","费用支出","")))))</f>
      </c>
      <c r="P1013" s="78">
        <f>IF(O1013="","",IFERROR(INDEX(基础资料!$AE$5:$AE$34,MATCH(O1013,基础资料!$AC$5:$AC$34,0)),"未知"))</f>
      </c>
      <c r="Q1013" s="78">
        <f>IF(P1013="应收",COUNTIF(P$7:P1013,"应收"),"")</f>
      </c>
      <c r="R1013" s="78">
        <f>IF(P1013="应付",COUNTIF(P$7:P1013,"应付"),"")</f>
      </c>
      <c r="S1013" s="78">
        <f>N(F1013)-N(G1013)</f>
        <v>0</v>
      </c>
    </row>
    <row r="1014">
      <c r="A1014" s="109">
        <f>IF(AND(F1014="",G1014=""),"",ROW()-6)</f>
      </c>
      <c r="B1014" s="140" t="n"/>
      <c r="C1014" s="141" t="n"/>
      <c r="D1014" s="141" t="n"/>
      <c r="E1014" s="142" t="n"/>
      <c r="F1014" s="143" t="n"/>
      <c r="G1014" s="144" t="n"/>
      <c r="H1014" s="145">
        <f>IF(OR(C1014="",AND(F1014="",G1014="")),"",SUMIF(基础资料!$W$5:$W$24,C1014,基础资料!$X$5:$X$24)+SUMIF(C$7:C1014,C1014,F$7:F1014)-SUMIF(C$7:C1014,C1014,G$7:G1014))</f>
      </c>
      <c r="I1014" s="145">
        <f>IF(AND(F1014="",G1014=""),"",SUM(基础资料!$X$5:$X$24)+SUM(F$7:F1014)-SUM(G$7:G1014))</f>
      </c>
      <c r="J1014" s="141" t="n"/>
      <c r="K1014" s="141" t="n"/>
      <c r="L1014" s="141" t="n"/>
      <c r="M1014" s="142" t="n"/>
      <c r="N1014" s="146">
        <f>IF(AND(AND(F1014="",G1014=""),B1014="",C1014="",D1014="",J1014="",K1014="",L1014=""),"",IF(AND(F1014="",G1014=""),"✗ 没填金额",IF(AND(N(F1014)&lt;&gt;0,N(G1014)&lt;&gt;0),"✗ 收入、支出只能填一边",IF(NOT(ISNUMBER(B1014)),"✗ 日期不是真日期（要像 2026/9/25 这样填）",IF(OR(B1014&lt;年初日,B1014&gt;年末日),"✗ 日期不在本会计年度",IF(C1014="","✗ 没选账户",IF(COUNTIF(基础资料!$W$5:$W$24,C1014)=0,"✗ 账户不在基础资料里",IF(O1014="","✗ 没选收支项目",IF(P1014="未知","✗ 收支项目不在基础资料里",IF(AND(P1014="应收",J1014=""),"✗ 这笔要选客户",IF(AND(P1014="应收",COUNTIF(总览汇总!$B$5:$B$304,J1014)=0),"✗ 客户不在总览汇总名单里",IF(AND(P1014="应付",K1014=""),"✗ 这笔要选供应商",IF(AND(P1014="应付",COUNTIF(基础资料!$Q$5:$Q$54,K1014)=0),"✗ 供应商不在基础资料里",IF(AND(P1014="费用",L1014=""),"✗ 费用支出要选费用项目",IF(AND(L1014&lt;&gt;"",COUNTIF(基础资料!$AI$5:$AI$54,L1014)=0),"✗ 费用项目不在基础资料里",IF(AND(IFERROR(INDEX(基础资料!$AD$5:$AD$34,MATCH(O1014,基础资料!$AC$5:$AC$34,0)),"")="收",N(G1014)&lt;&gt;0),"✗ 这类是收款，金额填到收入列",IF(AND(IFERROR(INDEX(基础资料!$AD$5:$AD$34,MATCH(O1014,基础资料!$AC$5:$AC$34,0)),"")="支",N(F1014)&lt;&gt;0),"✗ 这类是付款，金额填到支出列",IF(N(H1014)&lt;0,"⚠ 账户余额成负数了，核对一下","√"))))))))))))))))))</f>
      </c>
      <c r="O1014" s="78">
        <f>IF(D1014&lt;&gt;"",D1014,IF(AND(F1014="",G1014=""),"",IF(J1014&lt;&gt;"",IF(N(F1014)&gt;0,"客户回款","客户退款"),IF(K1014&lt;&gt;"",IF(N(G1014)&gt;0,"供应商付款","供应商退款"),IF(L1014&lt;&gt;"","费用支出","")))))</f>
      </c>
      <c r="P1014" s="78">
        <f>IF(O1014="","",IFERROR(INDEX(基础资料!$AE$5:$AE$34,MATCH(O1014,基础资料!$AC$5:$AC$34,0)),"未知"))</f>
      </c>
      <c r="Q1014" s="78">
        <f>IF(P1014="应收",COUNTIF(P$7:P1014,"应收"),"")</f>
      </c>
      <c r="R1014" s="78">
        <f>IF(P1014="应付",COUNTIF(P$7:P1014,"应付"),"")</f>
      </c>
      <c r="S1014" s="78">
        <f>N(F1014)-N(G1014)</f>
        <v>0</v>
      </c>
    </row>
    <row r="1015">
      <c r="A1015" s="109">
        <f>IF(AND(F1015="",G1015=""),"",ROW()-6)</f>
      </c>
      <c r="B1015" s="140" t="n"/>
      <c r="C1015" s="141" t="n"/>
      <c r="D1015" s="141" t="n"/>
      <c r="E1015" s="142" t="n"/>
      <c r="F1015" s="143" t="n"/>
      <c r="G1015" s="144" t="n"/>
      <c r="H1015" s="145">
        <f>IF(OR(C1015="",AND(F1015="",G1015="")),"",SUMIF(基础资料!$W$5:$W$24,C1015,基础资料!$X$5:$X$24)+SUMIF(C$7:C1015,C1015,F$7:F1015)-SUMIF(C$7:C1015,C1015,G$7:G1015))</f>
      </c>
      <c r="I1015" s="145">
        <f>IF(AND(F1015="",G1015=""),"",SUM(基础资料!$X$5:$X$24)+SUM(F$7:F1015)-SUM(G$7:G1015))</f>
      </c>
      <c r="J1015" s="141" t="n"/>
      <c r="K1015" s="141" t="n"/>
      <c r="L1015" s="141" t="n"/>
      <c r="M1015" s="142" t="n"/>
      <c r="N1015" s="146">
        <f>IF(AND(AND(F1015="",G1015=""),B1015="",C1015="",D1015="",J1015="",K1015="",L1015=""),"",IF(AND(F1015="",G1015=""),"✗ 没填金额",IF(AND(N(F1015)&lt;&gt;0,N(G1015)&lt;&gt;0),"✗ 收入、支出只能填一边",IF(NOT(ISNUMBER(B1015)),"✗ 日期不是真日期（要像 2026/9/25 这样填）",IF(OR(B1015&lt;年初日,B1015&gt;年末日),"✗ 日期不在本会计年度",IF(C1015="","✗ 没选账户",IF(COUNTIF(基础资料!$W$5:$W$24,C1015)=0,"✗ 账户不在基础资料里",IF(O1015="","✗ 没选收支项目",IF(P1015="未知","✗ 收支项目不在基础资料里",IF(AND(P1015="应收",J1015=""),"✗ 这笔要选客户",IF(AND(P1015="应收",COUNTIF(总览汇总!$B$5:$B$304,J1015)=0),"✗ 客户不在总览汇总名单里",IF(AND(P1015="应付",K1015=""),"✗ 这笔要选供应商",IF(AND(P1015="应付",COUNTIF(基础资料!$Q$5:$Q$54,K1015)=0),"✗ 供应商不在基础资料里",IF(AND(P1015="费用",L1015=""),"✗ 费用支出要选费用项目",IF(AND(L1015&lt;&gt;"",COUNTIF(基础资料!$AI$5:$AI$54,L1015)=0),"✗ 费用项目不在基础资料里",IF(AND(IFERROR(INDEX(基础资料!$AD$5:$AD$34,MATCH(O1015,基础资料!$AC$5:$AC$34,0)),"")="收",N(G1015)&lt;&gt;0),"✗ 这类是收款，金额填到收入列",IF(AND(IFERROR(INDEX(基础资料!$AD$5:$AD$34,MATCH(O1015,基础资料!$AC$5:$AC$34,0)),"")="支",N(F1015)&lt;&gt;0),"✗ 这类是付款，金额填到支出列",IF(N(H1015)&lt;0,"⚠ 账户余额成负数了，核对一下","√"))))))))))))))))))</f>
      </c>
      <c r="O1015" s="78">
        <f>IF(D1015&lt;&gt;"",D1015,IF(AND(F1015="",G1015=""),"",IF(J1015&lt;&gt;"",IF(N(F1015)&gt;0,"客户回款","客户退款"),IF(K1015&lt;&gt;"",IF(N(G1015)&gt;0,"供应商付款","供应商退款"),IF(L1015&lt;&gt;"","费用支出","")))))</f>
      </c>
      <c r="P1015" s="78">
        <f>IF(O1015="","",IFERROR(INDEX(基础资料!$AE$5:$AE$34,MATCH(O1015,基础资料!$AC$5:$AC$34,0)),"未知"))</f>
      </c>
      <c r="Q1015" s="78">
        <f>IF(P1015="应收",COUNTIF(P$7:P1015,"应收"),"")</f>
      </c>
      <c r="R1015" s="78">
        <f>IF(P1015="应付",COUNTIF(P$7:P1015,"应付"),"")</f>
      </c>
      <c r="S1015" s="78">
        <f>N(F1015)-N(G1015)</f>
        <v>0</v>
      </c>
    </row>
    <row r="1016">
      <c r="A1016" s="109">
        <f>IF(AND(F1016="",G1016=""),"",ROW()-6)</f>
      </c>
      <c r="B1016" s="140" t="n"/>
      <c r="C1016" s="141" t="n"/>
      <c r="D1016" s="141" t="n"/>
      <c r="E1016" s="142" t="n"/>
      <c r="F1016" s="143" t="n"/>
      <c r="G1016" s="144" t="n"/>
      <c r="H1016" s="145">
        <f>IF(OR(C1016="",AND(F1016="",G1016="")),"",SUMIF(基础资料!$W$5:$W$24,C1016,基础资料!$X$5:$X$24)+SUMIF(C$7:C1016,C1016,F$7:F1016)-SUMIF(C$7:C1016,C1016,G$7:G1016))</f>
      </c>
      <c r="I1016" s="145">
        <f>IF(AND(F1016="",G1016=""),"",SUM(基础资料!$X$5:$X$24)+SUM(F$7:F1016)-SUM(G$7:G1016))</f>
      </c>
      <c r="J1016" s="141" t="n"/>
      <c r="K1016" s="141" t="n"/>
      <c r="L1016" s="141" t="n"/>
      <c r="M1016" s="142" t="n"/>
      <c r="N1016" s="146">
        <f>IF(AND(AND(F1016="",G1016=""),B1016="",C1016="",D1016="",J1016="",K1016="",L1016=""),"",IF(AND(F1016="",G1016=""),"✗ 没填金额",IF(AND(N(F1016)&lt;&gt;0,N(G1016)&lt;&gt;0),"✗ 收入、支出只能填一边",IF(NOT(ISNUMBER(B1016)),"✗ 日期不是真日期（要像 2026/9/25 这样填）",IF(OR(B1016&lt;年初日,B1016&gt;年末日),"✗ 日期不在本会计年度",IF(C1016="","✗ 没选账户",IF(COUNTIF(基础资料!$W$5:$W$24,C1016)=0,"✗ 账户不在基础资料里",IF(O1016="","✗ 没选收支项目",IF(P1016="未知","✗ 收支项目不在基础资料里",IF(AND(P1016="应收",J1016=""),"✗ 这笔要选客户",IF(AND(P1016="应收",COUNTIF(总览汇总!$B$5:$B$304,J1016)=0),"✗ 客户不在总览汇总名单里",IF(AND(P1016="应付",K1016=""),"✗ 这笔要选供应商",IF(AND(P1016="应付",COUNTIF(基础资料!$Q$5:$Q$54,K1016)=0),"✗ 供应商不在基础资料里",IF(AND(P1016="费用",L1016=""),"✗ 费用支出要选费用项目",IF(AND(L1016&lt;&gt;"",COUNTIF(基础资料!$AI$5:$AI$54,L1016)=0),"✗ 费用项目不在基础资料里",IF(AND(IFERROR(INDEX(基础资料!$AD$5:$AD$34,MATCH(O1016,基础资料!$AC$5:$AC$34,0)),"")="收",N(G1016)&lt;&gt;0),"✗ 这类是收款，金额填到收入列",IF(AND(IFERROR(INDEX(基础资料!$AD$5:$AD$34,MATCH(O1016,基础资料!$AC$5:$AC$34,0)),"")="支",N(F1016)&lt;&gt;0),"✗ 这类是付款，金额填到支出列",IF(N(H1016)&lt;0,"⚠ 账户余额成负数了，核对一下","√"))))))))))))))))))</f>
      </c>
      <c r="O1016" s="78">
        <f>IF(D1016&lt;&gt;"",D1016,IF(AND(F1016="",G1016=""),"",IF(J1016&lt;&gt;"",IF(N(F1016)&gt;0,"客户回款","客户退款"),IF(K1016&lt;&gt;"",IF(N(G1016)&gt;0,"供应商付款","供应商退款"),IF(L1016&lt;&gt;"","费用支出","")))))</f>
      </c>
      <c r="P1016" s="78">
        <f>IF(O1016="","",IFERROR(INDEX(基础资料!$AE$5:$AE$34,MATCH(O1016,基础资料!$AC$5:$AC$34,0)),"未知"))</f>
      </c>
      <c r="Q1016" s="78">
        <f>IF(P1016="应收",COUNTIF(P$7:P1016,"应收"),"")</f>
      </c>
      <c r="R1016" s="78">
        <f>IF(P1016="应付",COUNTIF(P$7:P1016,"应付"),"")</f>
      </c>
      <c r="S1016" s="78">
        <f>N(F1016)-N(G1016)</f>
        <v>0</v>
      </c>
    </row>
    <row r="1017">
      <c r="A1017" s="109">
        <f>IF(AND(F1017="",G1017=""),"",ROW()-6)</f>
      </c>
      <c r="B1017" s="140" t="n"/>
      <c r="C1017" s="141" t="n"/>
      <c r="D1017" s="141" t="n"/>
      <c r="E1017" s="142" t="n"/>
      <c r="F1017" s="143" t="n"/>
      <c r="G1017" s="144" t="n"/>
      <c r="H1017" s="145">
        <f>IF(OR(C1017="",AND(F1017="",G1017="")),"",SUMIF(基础资料!$W$5:$W$24,C1017,基础资料!$X$5:$X$24)+SUMIF(C$7:C1017,C1017,F$7:F1017)-SUMIF(C$7:C1017,C1017,G$7:G1017))</f>
      </c>
      <c r="I1017" s="145">
        <f>IF(AND(F1017="",G1017=""),"",SUM(基础资料!$X$5:$X$24)+SUM(F$7:F1017)-SUM(G$7:G1017))</f>
      </c>
      <c r="J1017" s="141" t="n"/>
      <c r="K1017" s="141" t="n"/>
      <c r="L1017" s="141" t="n"/>
      <c r="M1017" s="142" t="n"/>
      <c r="N1017" s="146">
        <f>IF(AND(AND(F1017="",G1017=""),B1017="",C1017="",D1017="",J1017="",K1017="",L1017=""),"",IF(AND(F1017="",G1017=""),"✗ 没填金额",IF(AND(N(F1017)&lt;&gt;0,N(G1017)&lt;&gt;0),"✗ 收入、支出只能填一边",IF(NOT(ISNUMBER(B1017)),"✗ 日期不是真日期（要像 2026/9/25 这样填）",IF(OR(B1017&lt;年初日,B1017&gt;年末日),"✗ 日期不在本会计年度",IF(C1017="","✗ 没选账户",IF(COUNTIF(基础资料!$W$5:$W$24,C1017)=0,"✗ 账户不在基础资料里",IF(O1017="","✗ 没选收支项目",IF(P1017="未知","✗ 收支项目不在基础资料里",IF(AND(P1017="应收",J1017=""),"✗ 这笔要选客户",IF(AND(P1017="应收",COUNTIF(总览汇总!$B$5:$B$304,J1017)=0),"✗ 客户不在总览汇总名单里",IF(AND(P1017="应付",K1017=""),"✗ 这笔要选供应商",IF(AND(P1017="应付",COUNTIF(基础资料!$Q$5:$Q$54,K1017)=0),"✗ 供应商不在基础资料里",IF(AND(P1017="费用",L1017=""),"✗ 费用支出要选费用项目",IF(AND(L1017&lt;&gt;"",COUNTIF(基础资料!$AI$5:$AI$54,L1017)=0),"✗ 费用项目不在基础资料里",IF(AND(IFERROR(INDEX(基础资料!$AD$5:$AD$34,MATCH(O1017,基础资料!$AC$5:$AC$34,0)),"")="收",N(G1017)&lt;&gt;0),"✗ 这类是收款，金额填到收入列",IF(AND(IFERROR(INDEX(基础资料!$AD$5:$AD$34,MATCH(O1017,基础资料!$AC$5:$AC$34,0)),"")="支",N(F1017)&lt;&gt;0),"✗ 这类是付款，金额填到支出列",IF(N(H1017)&lt;0,"⚠ 账户余额成负数了，核对一下","√"))))))))))))))))))</f>
      </c>
      <c r="O1017" s="78">
        <f>IF(D1017&lt;&gt;"",D1017,IF(AND(F1017="",G1017=""),"",IF(J1017&lt;&gt;"",IF(N(F1017)&gt;0,"客户回款","客户退款"),IF(K1017&lt;&gt;"",IF(N(G1017)&gt;0,"供应商付款","供应商退款"),IF(L1017&lt;&gt;"","费用支出","")))))</f>
      </c>
      <c r="P1017" s="78">
        <f>IF(O1017="","",IFERROR(INDEX(基础资料!$AE$5:$AE$34,MATCH(O1017,基础资料!$AC$5:$AC$34,0)),"未知"))</f>
      </c>
      <c r="Q1017" s="78">
        <f>IF(P1017="应收",COUNTIF(P$7:P1017,"应收"),"")</f>
      </c>
      <c r="R1017" s="78">
        <f>IF(P1017="应付",COUNTIF(P$7:P1017,"应付"),"")</f>
      </c>
      <c r="S1017" s="78">
        <f>N(F1017)-N(G1017)</f>
        <v>0</v>
      </c>
    </row>
    <row r="1018">
      <c r="A1018" s="109">
        <f>IF(AND(F1018="",G1018=""),"",ROW()-6)</f>
      </c>
      <c r="B1018" s="140" t="n"/>
      <c r="C1018" s="141" t="n"/>
      <c r="D1018" s="141" t="n"/>
      <c r="E1018" s="142" t="n"/>
      <c r="F1018" s="143" t="n"/>
      <c r="G1018" s="144" t="n"/>
      <c r="H1018" s="145">
        <f>IF(OR(C1018="",AND(F1018="",G1018="")),"",SUMIF(基础资料!$W$5:$W$24,C1018,基础资料!$X$5:$X$24)+SUMIF(C$7:C1018,C1018,F$7:F1018)-SUMIF(C$7:C1018,C1018,G$7:G1018))</f>
      </c>
      <c r="I1018" s="145">
        <f>IF(AND(F1018="",G1018=""),"",SUM(基础资料!$X$5:$X$24)+SUM(F$7:F1018)-SUM(G$7:G1018))</f>
      </c>
      <c r="J1018" s="141" t="n"/>
      <c r="K1018" s="141" t="n"/>
      <c r="L1018" s="141" t="n"/>
      <c r="M1018" s="142" t="n"/>
      <c r="N1018" s="146">
        <f>IF(AND(AND(F1018="",G1018=""),B1018="",C1018="",D1018="",J1018="",K1018="",L1018=""),"",IF(AND(F1018="",G1018=""),"✗ 没填金额",IF(AND(N(F1018)&lt;&gt;0,N(G1018)&lt;&gt;0),"✗ 收入、支出只能填一边",IF(NOT(ISNUMBER(B1018)),"✗ 日期不是真日期（要像 2026/9/25 这样填）",IF(OR(B1018&lt;年初日,B1018&gt;年末日),"✗ 日期不在本会计年度",IF(C1018="","✗ 没选账户",IF(COUNTIF(基础资料!$W$5:$W$24,C1018)=0,"✗ 账户不在基础资料里",IF(O1018="","✗ 没选收支项目",IF(P1018="未知","✗ 收支项目不在基础资料里",IF(AND(P1018="应收",J1018=""),"✗ 这笔要选客户",IF(AND(P1018="应收",COUNTIF(总览汇总!$B$5:$B$304,J1018)=0),"✗ 客户不在总览汇总名单里",IF(AND(P1018="应付",K1018=""),"✗ 这笔要选供应商",IF(AND(P1018="应付",COUNTIF(基础资料!$Q$5:$Q$54,K1018)=0),"✗ 供应商不在基础资料里",IF(AND(P1018="费用",L1018=""),"✗ 费用支出要选费用项目",IF(AND(L1018&lt;&gt;"",COUNTIF(基础资料!$AI$5:$AI$54,L1018)=0),"✗ 费用项目不在基础资料里",IF(AND(IFERROR(INDEX(基础资料!$AD$5:$AD$34,MATCH(O1018,基础资料!$AC$5:$AC$34,0)),"")="收",N(G1018)&lt;&gt;0),"✗ 这类是收款，金额填到收入列",IF(AND(IFERROR(INDEX(基础资料!$AD$5:$AD$34,MATCH(O1018,基础资料!$AC$5:$AC$34,0)),"")="支",N(F1018)&lt;&gt;0),"✗ 这类是付款，金额填到支出列",IF(N(H1018)&lt;0,"⚠ 账户余额成负数了，核对一下","√"))))))))))))))))))</f>
      </c>
      <c r="O1018" s="78">
        <f>IF(D1018&lt;&gt;"",D1018,IF(AND(F1018="",G1018=""),"",IF(J1018&lt;&gt;"",IF(N(F1018)&gt;0,"客户回款","客户退款"),IF(K1018&lt;&gt;"",IF(N(G1018)&gt;0,"供应商付款","供应商退款"),IF(L1018&lt;&gt;"","费用支出","")))))</f>
      </c>
      <c r="P1018" s="78">
        <f>IF(O1018="","",IFERROR(INDEX(基础资料!$AE$5:$AE$34,MATCH(O1018,基础资料!$AC$5:$AC$34,0)),"未知"))</f>
      </c>
      <c r="Q1018" s="78">
        <f>IF(P1018="应收",COUNTIF(P$7:P1018,"应收"),"")</f>
      </c>
      <c r="R1018" s="78">
        <f>IF(P1018="应付",COUNTIF(P$7:P1018,"应付"),"")</f>
      </c>
      <c r="S1018" s="78">
        <f>N(F1018)-N(G1018)</f>
        <v>0</v>
      </c>
    </row>
    <row r="1019">
      <c r="A1019" s="109">
        <f>IF(AND(F1019="",G1019=""),"",ROW()-6)</f>
      </c>
      <c r="B1019" s="140" t="n"/>
      <c r="C1019" s="141" t="n"/>
      <c r="D1019" s="141" t="n"/>
      <c r="E1019" s="142" t="n"/>
      <c r="F1019" s="143" t="n"/>
      <c r="G1019" s="144" t="n"/>
      <c r="H1019" s="145">
        <f>IF(OR(C1019="",AND(F1019="",G1019="")),"",SUMIF(基础资料!$W$5:$W$24,C1019,基础资料!$X$5:$X$24)+SUMIF(C$7:C1019,C1019,F$7:F1019)-SUMIF(C$7:C1019,C1019,G$7:G1019))</f>
      </c>
      <c r="I1019" s="145">
        <f>IF(AND(F1019="",G1019=""),"",SUM(基础资料!$X$5:$X$24)+SUM(F$7:F1019)-SUM(G$7:G1019))</f>
      </c>
      <c r="J1019" s="141" t="n"/>
      <c r="K1019" s="141" t="n"/>
      <c r="L1019" s="141" t="n"/>
      <c r="M1019" s="142" t="n"/>
      <c r="N1019" s="146">
        <f>IF(AND(AND(F1019="",G1019=""),B1019="",C1019="",D1019="",J1019="",K1019="",L1019=""),"",IF(AND(F1019="",G1019=""),"✗ 没填金额",IF(AND(N(F1019)&lt;&gt;0,N(G1019)&lt;&gt;0),"✗ 收入、支出只能填一边",IF(NOT(ISNUMBER(B1019)),"✗ 日期不是真日期（要像 2026/9/25 这样填）",IF(OR(B1019&lt;年初日,B1019&gt;年末日),"✗ 日期不在本会计年度",IF(C1019="","✗ 没选账户",IF(COUNTIF(基础资料!$W$5:$W$24,C1019)=0,"✗ 账户不在基础资料里",IF(O1019="","✗ 没选收支项目",IF(P1019="未知","✗ 收支项目不在基础资料里",IF(AND(P1019="应收",J1019=""),"✗ 这笔要选客户",IF(AND(P1019="应收",COUNTIF(总览汇总!$B$5:$B$304,J1019)=0),"✗ 客户不在总览汇总名单里",IF(AND(P1019="应付",K1019=""),"✗ 这笔要选供应商",IF(AND(P1019="应付",COUNTIF(基础资料!$Q$5:$Q$54,K1019)=0),"✗ 供应商不在基础资料里",IF(AND(P1019="费用",L1019=""),"✗ 费用支出要选费用项目",IF(AND(L1019&lt;&gt;"",COUNTIF(基础资料!$AI$5:$AI$54,L1019)=0),"✗ 费用项目不在基础资料里",IF(AND(IFERROR(INDEX(基础资料!$AD$5:$AD$34,MATCH(O1019,基础资料!$AC$5:$AC$34,0)),"")="收",N(G1019)&lt;&gt;0),"✗ 这类是收款，金额填到收入列",IF(AND(IFERROR(INDEX(基础资料!$AD$5:$AD$34,MATCH(O1019,基础资料!$AC$5:$AC$34,0)),"")="支",N(F1019)&lt;&gt;0),"✗ 这类是付款，金额填到支出列",IF(N(H1019)&lt;0,"⚠ 账户余额成负数了，核对一下","√"))))))))))))))))))</f>
      </c>
      <c r="O1019" s="78">
        <f>IF(D1019&lt;&gt;"",D1019,IF(AND(F1019="",G1019=""),"",IF(J1019&lt;&gt;"",IF(N(F1019)&gt;0,"客户回款","客户退款"),IF(K1019&lt;&gt;"",IF(N(G1019)&gt;0,"供应商付款","供应商退款"),IF(L1019&lt;&gt;"","费用支出","")))))</f>
      </c>
      <c r="P1019" s="78">
        <f>IF(O1019="","",IFERROR(INDEX(基础资料!$AE$5:$AE$34,MATCH(O1019,基础资料!$AC$5:$AC$34,0)),"未知"))</f>
      </c>
      <c r="Q1019" s="78">
        <f>IF(P1019="应收",COUNTIF(P$7:P1019,"应收"),"")</f>
      </c>
      <c r="R1019" s="78">
        <f>IF(P1019="应付",COUNTIF(P$7:P1019,"应付"),"")</f>
      </c>
      <c r="S1019" s="78">
        <f>N(F1019)-N(G1019)</f>
        <v>0</v>
      </c>
    </row>
    <row r="1020">
      <c r="A1020" s="109">
        <f>IF(AND(F1020="",G1020=""),"",ROW()-6)</f>
      </c>
      <c r="B1020" s="140" t="n"/>
      <c r="C1020" s="141" t="n"/>
      <c r="D1020" s="141" t="n"/>
      <c r="E1020" s="142" t="n"/>
      <c r="F1020" s="143" t="n"/>
      <c r="G1020" s="144" t="n"/>
      <c r="H1020" s="145">
        <f>IF(OR(C1020="",AND(F1020="",G1020="")),"",SUMIF(基础资料!$W$5:$W$24,C1020,基础资料!$X$5:$X$24)+SUMIF(C$7:C1020,C1020,F$7:F1020)-SUMIF(C$7:C1020,C1020,G$7:G1020))</f>
      </c>
      <c r="I1020" s="145">
        <f>IF(AND(F1020="",G1020=""),"",SUM(基础资料!$X$5:$X$24)+SUM(F$7:F1020)-SUM(G$7:G1020))</f>
      </c>
      <c r="J1020" s="141" t="n"/>
      <c r="K1020" s="141" t="n"/>
      <c r="L1020" s="141" t="n"/>
      <c r="M1020" s="142" t="n"/>
      <c r="N1020" s="146">
        <f>IF(AND(AND(F1020="",G1020=""),B1020="",C1020="",D1020="",J1020="",K1020="",L1020=""),"",IF(AND(F1020="",G1020=""),"✗ 没填金额",IF(AND(N(F1020)&lt;&gt;0,N(G1020)&lt;&gt;0),"✗ 收入、支出只能填一边",IF(NOT(ISNUMBER(B1020)),"✗ 日期不是真日期（要像 2026/9/25 这样填）",IF(OR(B1020&lt;年初日,B1020&gt;年末日),"✗ 日期不在本会计年度",IF(C1020="","✗ 没选账户",IF(COUNTIF(基础资料!$W$5:$W$24,C1020)=0,"✗ 账户不在基础资料里",IF(O1020="","✗ 没选收支项目",IF(P1020="未知","✗ 收支项目不在基础资料里",IF(AND(P1020="应收",J1020=""),"✗ 这笔要选客户",IF(AND(P1020="应收",COUNTIF(总览汇总!$B$5:$B$304,J1020)=0),"✗ 客户不在总览汇总名单里",IF(AND(P1020="应付",K1020=""),"✗ 这笔要选供应商",IF(AND(P1020="应付",COUNTIF(基础资料!$Q$5:$Q$54,K1020)=0),"✗ 供应商不在基础资料里",IF(AND(P1020="费用",L1020=""),"✗ 费用支出要选费用项目",IF(AND(L1020&lt;&gt;"",COUNTIF(基础资料!$AI$5:$AI$54,L1020)=0),"✗ 费用项目不在基础资料里",IF(AND(IFERROR(INDEX(基础资料!$AD$5:$AD$34,MATCH(O1020,基础资料!$AC$5:$AC$34,0)),"")="收",N(G1020)&lt;&gt;0),"✗ 这类是收款，金额填到收入列",IF(AND(IFERROR(INDEX(基础资料!$AD$5:$AD$34,MATCH(O1020,基础资料!$AC$5:$AC$34,0)),"")="支",N(F1020)&lt;&gt;0),"✗ 这类是付款，金额填到支出列",IF(N(H1020)&lt;0,"⚠ 账户余额成负数了，核对一下","√"))))))))))))))))))</f>
      </c>
      <c r="O1020" s="78">
        <f>IF(D1020&lt;&gt;"",D1020,IF(AND(F1020="",G1020=""),"",IF(J1020&lt;&gt;"",IF(N(F1020)&gt;0,"客户回款","客户退款"),IF(K1020&lt;&gt;"",IF(N(G1020)&gt;0,"供应商付款","供应商退款"),IF(L1020&lt;&gt;"","费用支出","")))))</f>
      </c>
      <c r="P1020" s="78">
        <f>IF(O1020="","",IFERROR(INDEX(基础资料!$AE$5:$AE$34,MATCH(O1020,基础资料!$AC$5:$AC$34,0)),"未知"))</f>
      </c>
      <c r="Q1020" s="78">
        <f>IF(P1020="应收",COUNTIF(P$7:P1020,"应收"),"")</f>
      </c>
      <c r="R1020" s="78">
        <f>IF(P1020="应付",COUNTIF(P$7:P1020,"应付"),"")</f>
      </c>
      <c r="S1020" s="78">
        <f>N(F1020)-N(G1020)</f>
        <v>0</v>
      </c>
    </row>
    <row r="1021">
      <c r="A1021" s="109">
        <f>IF(AND(F1021="",G1021=""),"",ROW()-6)</f>
      </c>
      <c r="B1021" s="140" t="n"/>
      <c r="C1021" s="141" t="n"/>
      <c r="D1021" s="141" t="n"/>
      <c r="E1021" s="142" t="n"/>
      <c r="F1021" s="143" t="n"/>
      <c r="G1021" s="144" t="n"/>
      <c r="H1021" s="145">
        <f>IF(OR(C1021="",AND(F1021="",G1021="")),"",SUMIF(基础资料!$W$5:$W$24,C1021,基础资料!$X$5:$X$24)+SUMIF(C$7:C1021,C1021,F$7:F1021)-SUMIF(C$7:C1021,C1021,G$7:G1021))</f>
      </c>
      <c r="I1021" s="145">
        <f>IF(AND(F1021="",G1021=""),"",SUM(基础资料!$X$5:$X$24)+SUM(F$7:F1021)-SUM(G$7:G1021))</f>
      </c>
      <c r="J1021" s="141" t="n"/>
      <c r="K1021" s="141" t="n"/>
      <c r="L1021" s="141" t="n"/>
      <c r="M1021" s="142" t="n"/>
      <c r="N1021" s="146">
        <f>IF(AND(AND(F1021="",G1021=""),B1021="",C1021="",D1021="",J1021="",K1021="",L1021=""),"",IF(AND(F1021="",G1021=""),"✗ 没填金额",IF(AND(N(F1021)&lt;&gt;0,N(G1021)&lt;&gt;0),"✗ 收入、支出只能填一边",IF(NOT(ISNUMBER(B1021)),"✗ 日期不是真日期（要像 2026/9/25 这样填）",IF(OR(B1021&lt;年初日,B1021&gt;年末日),"✗ 日期不在本会计年度",IF(C1021="","✗ 没选账户",IF(COUNTIF(基础资料!$W$5:$W$24,C1021)=0,"✗ 账户不在基础资料里",IF(O1021="","✗ 没选收支项目",IF(P1021="未知","✗ 收支项目不在基础资料里",IF(AND(P1021="应收",J1021=""),"✗ 这笔要选客户",IF(AND(P1021="应收",COUNTIF(总览汇总!$B$5:$B$304,J1021)=0),"✗ 客户不在总览汇总名单里",IF(AND(P1021="应付",K1021=""),"✗ 这笔要选供应商",IF(AND(P1021="应付",COUNTIF(基础资料!$Q$5:$Q$54,K1021)=0),"✗ 供应商不在基础资料里",IF(AND(P1021="费用",L1021=""),"✗ 费用支出要选费用项目",IF(AND(L1021&lt;&gt;"",COUNTIF(基础资料!$AI$5:$AI$54,L1021)=0),"✗ 费用项目不在基础资料里",IF(AND(IFERROR(INDEX(基础资料!$AD$5:$AD$34,MATCH(O1021,基础资料!$AC$5:$AC$34,0)),"")="收",N(G1021)&lt;&gt;0),"✗ 这类是收款，金额填到收入列",IF(AND(IFERROR(INDEX(基础资料!$AD$5:$AD$34,MATCH(O1021,基础资料!$AC$5:$AC$34,0)),"")="支",N(F1021)&lt;&gt;0),"✗ 这类是付款，金额填到支出列",IF(N(H1021)&lt;0,"⚠ 账户余额成负数了，核对一下","√"))))))))))))))))))</f>
      </c>
      <c r="O1021" s="78">
        <f>IF(D1021&lt;&gt;"",D1021,IF(AND(F1021="",G1021=""),"",IF(J1021&lt;&gt;"",IF(N(F1021)&gt;0,"客户回款","客户退款"),IF(K1021&lt;&gt;"",IF(N(G1021)&gt;0,"供应商付款","供应商退款"),IF(L1021&lt;&gt;"","费用支出","")))))</f>
      </c>
      <c r="P1021" s="78">
        <f>IF(O1021="","",IFERROR(INDEX(基础资料!$AE$5:$AE$34,MATCH(O1021,基础资料!$AC$5:$AC$34,0)),"未知"))</f>
      </c>
      <c r="Q1021" s="78">
        <f>IF(P1021="应收",COUNTIF(P$7:P1021,"应收"),"")</f>
      </c>
      <c r="R1021" s="78">
        <f>IF(P1021="应付",COUNTIF(P$7:P1021,"应付"),"")</f>
      </c>
      <c r="S1021" s="78">
        <f>N(F1021)-N(G1021)</f>
        <v>0</v>
      </c>
    </row>
    <row r="1022">
      <c r="A1022" s="109">
        <f>IF(AND(F1022="",G1022=""),"",ROW()-6)</f>
      </c>
      <c r="B1022" s="140" t="n"/>
      <c r="C1022" s="141" t="n"/>
      <c r="D1022" s="141" t="n"/>
      <c r="E1022" s="142" t="n"/>
      <c r="F1022" s="143" t="n"/>
      <c r="G1022" s="144" t="n"/>
      <c r="H1022" s="145">
        <f>IF(OR(C1022="",AND(F1022="",G1022="")),"",SUMIF(基础资料!$W$5:$W$24,C1022,基础资料!$X$5:$X$24)+SUMIF(C$7:C1022,C1022,F$7:F1022)-SUMIF(C$7:C1022,C1022,G$7:G1022))</f>
      </c>
      <c r="I1022" s="145">
        <f>IF(AND(F1022="",G1022=""),"",SUM(基础资料!$X$5:$X$24)+SUM(F$7:F1022)-SUM(G$7:G1022))</f>
      </c>
      <c r="J1022" s="141" t="n"/>
      <c r="K1022" s="141" t="n"/>
      <c r="L1022" s="141" t="n"/>
      <c r="M1022" s="142" t="n"/>
      <c r="N1022" s="146">
        <f>IF(AND(AND(F1022="",G1022=""),B1022="",C1022="",D1022="",J1022="",K1022="",L1022=""),"",IF(AND(F1022="",G1022=""),"✗ 没填金额",IF(AND(N(F1022)&lt;&gt;0,N(G1022)&lt;&gt;0),"✗ 收入、支出只能填一边",IF(NOT(ISNUMBER(B1022)),"✗ 日期不是真日期（要像 2026/9/25 这样填）",IF(OR(B1022&lt;年初日,B1022&gt;年末日),"✗ 日期不在本会计年度",IF(C1022="","✗ 没选账户",IF(COUNTIF(基础资料!$W$5:$W$24,C1022)=0,"✗ 账户不在基础资料里",IF(O1022="","✗ 没选收支项目",IF(P1022="未知","✗ 收支项目不在基础资料里",IF(AND(P1022="应收",J1022=""),"✗ 这笔要选客户",IF(AND(P1022="应收",COUNTIF(总览汇总!$B$5:$B$304,J1022)=0),"✗ 客户不在总览汇总名单里",IF(AND(P1022="应付",K1022=""),"✗ 这笔要选供应商",IF(AND(P1022="应付",COUNTIF(基础资料!$Q$5:$Q$54,K1022)=0),"✗ 供应商不在基础资料里",IF(AND(P1022="费用",L1022=""),"✗ 费用支出要选费用项目",IF(AND(L1022&lt;&gt;"",COUNTIF(基础资料!$AI$5:$AI$54,L1022)=0),"✗ 费用项目不在基础资料里",IF(AND(IFERROR(INDEX(基础资料!$AD$5:$AD$34,MATCH(O1022,基础资料!$AC$5:$AC$34,0)),"")="收",N(G1022)&lt;&gt;0),"✗ 这类是收款，金额填到收入列",IF(AND(IFERROR(INDEX(基础资料!$AD$5:$AD$34,MATCH(O1022,基础资料!$AC$5:$AC$34,0)),"")="支",N(F1022)&lt;&gt;0),"✗ 这类是付款，金额填到支出列",IF(N(H1022)&lt;0,"⚠ 账户余额成负数了，核对一下","√"))))))))))))))))))</f>
      </c>
      <c r="O1022" s="78">
        <f>IF(D1022&lt;&gt;"",D1022,IF(AND(F1022="",G1022=""),"",IF(J1022&lt;&gt;"",IF(N(F1022)&gt;0,"客户回款","客户退款"),IF(K1022&lt;&gt;"",IF(N(G1022)&gt;0,"供应商付款","供应商退款"),IF(L1022&lt;&gt;"","费用支出","")))))</f>
      </c>
      <c r="P1022" s="78">
        <f>IF(O1022="","",IFERROR(INDEX(基础资料!$AE$5:$AE$34,MATCH(O1022,基础资料!$AC$5:$AC$34,0)),"未知"))</f>
      </c>
      <c r="Q1022" s="78">
        <f>IF(P1022="应收",COUNTIF(P$7:P1022,"应收"),"")</f>
      </c>
      <c r="R1022" s="78">
        <f>IF(P1022="应付",COUNTIF(P$7:P1022,"应付"),"")</f>
      </c>
      <c r="S1022" s="78">
        <f>N(F1022)-N(G1022)</f>
        <v>0</v>
      </c>
    </row>
    <row r="1023">
      <c r="A1023" s="109">
        <f>IF(AND(F1023="",G1023=""),"",ROW()-6)</f>
      </c>
      <c r="B1023" s="140" t="n"/>
      <c r="C1023" s="141" t="n"/>
      <c r="D1023" s="141" t="n"/>
      <c r="E1023" s="142" t="n"/>
      <c r="F1023" s="143" t="n"/>
      <c r="G1023" s="144" t="n"/>
      <c r="H1023" s="145">
        <f>IF(OR(C1023="",AND(F1023="",G1023="")),"",SUMIF(基础资料!$W$5:$W$24,C1023,基础资料!$X$5:$X$24)+SUMIF(C$7:C1023,C1023,F$7:F1023)-SUMIF(C$7:C1023,C1023,G$7:G1023))</f>
      </c>
      <c r="I1023" s="145">
        <f>IF(AND(F1023="",G1023=""),"",SUM(基础资料!$X$5:$X$24)+SUM(F$7:F1023)-SUM(G$7:G1023))</f>
      </c>
      <c r="J1023" s="141" t="n"/>
      <c r="K1023" s="141" t="n"/>
      <c r="L1023" s="141" t="n"/>
      <c r="M1023" s="142" t="n"/>
      <c r="N1023" s="146">
        <f>IF(AND(AND(F1023="",G1023=""),B1023="",C1023="",D1023="",J1023="",K1023="",L1023=""),"",IF(AND(F1023="",G1023=""),"✗ 没填金额",IF(AND(N(F1023)&lt;&gt;0,N(G1023)&lt;&gt;0),"✗ 收入、支出只能填一边",IF(NOT(ISNUMBER(B1023)),"✗ 日期不是真日期（要像 2026/9/25 这样填）",IF(OR(B1023&lt;年初日,B1023&gt;年末日),"✗ 日期不在本会计年度",IF(C1023="","✗ 没选账户",IF(COUNTIF(基础资料!$W$5:$W$24,C1023)=0,"✗ 账户不在基础资料里",IF(O1023="","✗ 没选收支项目",IF(P1023="未知","✗ 收支项目不在基础资料里",IF(AND(P1023="应收",J1023=""),"✗ 这笔要选客户",IF(AND(P1023="应收",COUNTIF(总览汇总!$B$5:$B$304,J1023)=0),"✗ 客户不在总览汇总名单里",IF(AND(P1023="应付",K1023=""),"✗ 这笔要选供应商",IF(AND(P1023="应付",COUNTIF(基础资料!$Q$5:$Q$54,K1023)=0),"✗ 供应商不在基础资料里",IF(AND(P1023="费用",L1023=""),"✗ 费用支出要选费用项目",IF(AND(L1023&lt;&gt;"",COUNTIF(基础资料!$AI$5:$AI$54,L1023)=0),"✗ 费用项目不在基础资料里",IF(AND(IFERROR(INDEX(基础资料!$AD$5:$AD$34,MATCH(O1023,基础资料!$AC$5:$AC$34,0)),"")="收",N(G1023)&lt;&gt;0),"✗ 这类是收款，金额填到收入列",IF(AND(IFERROR(INDEX(基础资料!$AD$5:$AD$34,MATCH(O1023,基础资料!$AC$5:$AC$34,0)),"")="支",N(F1023)&lt;&gt;0),"✗ 这类是付款，金额填到支出列",IF(N(H1023)&lt;0,"⚠ 账户余额成负数了，核对一下","√"))))))))))))))))))</f>
      </c>
      <c r="O1023" s="78">
        <f>IF(D1023&lt;&gt;"",D1023,IF(AND(F1023="",G1023=""),"",IF(J1023&lt;&gt;"",IF(N(F1023)&gt;0,"客户回款","客户退款"),IF(K1023&lt;&gt;"",IF(N(G1023)&gt;0,"供应商付款","供应商退款"),IF(L1023&lt;&gt;"","费用支出","")))))</f>
      </c>
      <c r="P1023" s="78">
        <f>IF(O1023="","",IFERROR(INDEX(基础资料!$AE$5:$AE$34,MATCH(O1023,基础资料!$AC$5:$AC$34,0)),"未知"))</f>
      </c>
      <c r="Q1023" s="78">
        <f>IF(P1023="应收",COUNTIF(P$7:P1023,"应收"),"")</f>
      </c>
      <c r="R1023" s="78">
        <f>IF(P1023="应付",COUNTIF(P$7:P1023,"应付"),"")</f>
      </c>
      <c r="S1023" s="78">
        <f>N(F1023)-N(G1023)</f>
        <v>0</v>
      </c>
    </row>
    <row r="1024">
      <c r="A1024" s="109">
        <f>IF(AND(F1024="",G1024=""),"",ROW()-6)</f>
      </c>
      <c r="B1024" s="140" t="n"/>
      <c r="C1024" s="141" t="n"/>
      <c r="D1024" s="141" t="n"/>
      <c r="E1024" s="142" t="n"/>
      <c r="F1024" s="143" t="n"/>
      <c r="G1024" s="144" t="n"/>
      <c r="H1024" s="145">
        <f>IF(OR(C1024="",AND(F1024="",G1024="")),"",SUMIF(基础资料!$W$5:$W$24,C1024,基础资料!$X$5:$X$24)+SUMIF(C$7:C1024,C1024,F$7:F1024)-SUMIF(C$7:C1024,C1024,G$7:G1024))</f>
      </c>
      <c r="I1024" s="145">
        <f>IF(AND(F1024="",G1024=""),"",SUM(基础资料!$X$5:$X$24)+SUM(F$7:F1024)-SUM(G$7:G1024))</f>
      </c>
      <c r="J1024" s="141" t="n"/>
      <c r="K1024" s="141" t="n"/>
      <c r="L1024" s="141" t="n"/>
      <c r="M1024" s="142" t="n"/>
      <c r="N1024" s="146">
        <f>IF(AND(AND(F1024="",G1024=""),B1024="",C1024="",D1024="",J1024="",K1024="",L1024=""),"",IF(AND(F1024="",G1024=""),"✗ 没填金额",IF(AND(N(F1024)&lt;&gt;0,N(G1024)&lt;&gt;0),"✗ 收入、支出只能填一边",IF(NOT(ISNUMBER(B1024)),"✗ 日期不是真日期（要像 2026/9/25 这样填）",IF(OR(B1024&lt;年初日,B1024&gt;年末日),"✗ 日期不在本会计年度",IF(C1024="","✗ 没选账户",IF(COUNTIF(基础资料!$W$5:$W$24,C1024)=0,"✗ 账户不在基础资料里",IF(O1024="","✗ 没选收支项目",IF(P1024="未知","✗ 收支项目不在基础资料里",IF(AND(P1024="应收",J1024=""),"✗ 这笔要选客户",IF(AND(P1024="应收",COUNTIF(总览汇总!$B$5:$B$304,J1024)=0),"✗ 客户不在总览汇总名单里",IF(AND(P1024="应付",K1024=""),"✗ 这笔要选供应商",IF(AND(P1024="应付",COUNTIF(基础资料!$Q$5:$Q$54,K1024)=0),"✗ 供应商不在基础资料里",IF(AND(P1024="费用",L1024=""),"✗ 费用支出要选费用项目",IF(AND(L1024&lt;&gt;"",COUNTIF(基础资料!$AI$5:$AI$54,L1024)=0),"✗ 费用项目不在基础资料里",IF(AND(IFERROR(INDEX(基础资料!$AD$5:$AD$34,MATCH(O1024,基础资料!$AC$5:$AC$34,0)),"")="收",N(G1024)&lt;&gt;0),"✗ 这类是收款，金额填到收入列",IF(AND(IFERROR(INDEX(基础资料!$AD$5:$AD$34,MATCH(O1024,基础资料!$AC$5:$AC$34,0)),"")="支",N(F1024)&lt;&gt;0),"✗ 这类是付款，金额填到支出列",IF(N(H1024)&lt;0,"⚠ 账户余额成负数了，核对一下","√"))))))))))))))))))</f>
      </c>
      <c r="O1024" s="78">
        <f>IF(D1024&lt;&gt;"",D1024,IF(AND(F1024="",G1024=""),"",IF(J1024&lt;&gt;"",IF(N(F1024)&gt;0,"客户回款","客户退款"),IF(K1024&lt;&gt;"",IF(N(G1024)&gt;0,"供应商付款","供应商退款"),IF(L1024&lt;&gt;"","费用支出","")))))</f>
      </c>
      <c r="P1024" s="78">
        <f>IF(O1024="","",IFERROR(INDEX(基础资料!$AE$5:$AE$34,MATCH(O1024,基础资料!$AC$5:$AC$34,0)),"未知"))</f>
      </c>
      <c r="Q1024" s="78">
        <f>IF(P1024="应收",COUNTIF(P$7:P1024,"应收"),"")</f>
      </c>
      <c r="R1024" s="78">
        <f>IF(P1024="应付",COUNTIF(P$7:P1024,"应付"),"")</f>
      </c>
      <c r="S1024" s="78">
        <f>N(F1024)-N(G1024)</f>
        <v>0</v>
      </c>
    </row>
    <row r="1025">
      <c r="A1025" s="109">
        <f>IF(AND(F1025="",G1025=""),"",ROW()-6)</f>
      </c>
      <c r="B1025" s="140" t="n"/>
      <c r="C1025" s="141" t="n"/>
      <c r="D1025" s="141" t="n"/>
      <c r="E1025" s="142" t="n"/>
      <c r="F1025" s="143" t="n"/>
      <c r="G1025" s="144" t="n"/>
      <c r="H1025" s="145">
        <f>IF(OR(C1025="",AND(F1025="",G1025="")),"",SUMIF(基础资料!$W$5:$W$24,C1025,基础资料!$X$5:$X$24)+SUMIF(C$7:C1025,C1025,F$7:F1025)-SUMIF(C$7:C1025,C1025,G$7:G1025))</f>
      </c>
      <c r="I1025" s="145">
        <f>IF(AND(F1025="",G1025=""),"",SUM(基础资料!$X$5:$X$24)+SUM(F$7:F1025)-SUM(G$7:G1025))</f>
      </c>
      <c r="J1025" s="141" t="n"/>
      <c r="K1025" s="141" t="n"/>
      <c r="L1025" s="141" t="n"/>
      <c r="M1025" s="142" t="n"/>
      <c r="N1025" s="146">
        <f>IF(AND(AND(F1025="",G1025=""),B1025="",C1025="",D1025="",J1025="",K1025="",L1025=""),"",IF(AND(F1025="",G1025=""),"✗ 没填金额",IF(AND(N(F1025)&lt;&gt;0,N(G1025)&lt;&gt;0),"✗ 收入、支出只能填一边",IF(NOT(ISNUMBER(B1025)),"✗ 日期不是真日期（要像 2026/9/25 这样填）",IF(OR(B1025&lt;年初日,B1025&gt;年末日),"✗ 日期不在本会计年度",IF(C1025="","✗ 没选账户",IF(COUNTIF(基础资料!$W$5:$W$24,C1025)=0,"✗ 账户不在基础资料里",IF(O1025="","✗ 没选收支项目",IF(P1025="未知","✗ 收支项目不在基础资料里",IF(AND(P1025="应收",J1025=""),"✗ 这笔要选客户",IF(AND(P1025="应收",COUNTIF(总览汇总!$B$5:$B$304,J1025)=0),"✗ 客户不在总览汇总名单里",IF(AND(P1025="应付",K1025=""),"✗ 这笔要选供应商",IF(AND(P1025="应付",COUNTIF(基础资料!$Q$5:$Q$54,K1025)=0),"✗ 供应商不在基础资料里",IF(AND(P1025="费用",L1025=""),"✗ 费用支出要选费用项目",IF(AND(L1025&lt;&gt;"",COUNTIF(基础资料!$AI$5:$AI$54,L1025)=0),"✗ 费用项目不在基础资料里",IF(AND(IFERROR(INDEX(基础资料!$AD$5:$AD$34,MATCH(O1025,基础资料!$AC$5:$AC$34,0)),"")="收",N(G1025)&lt;&gt;0),"✗ 这类是收款，金额填到收入列",IF(AND(IFERROR(INDEX(基础资料!$AD$5:$AD$34,MATCH(O1025,基础资料!$AC$5:$AC$34,0)),"")="支",N(F1025)&lt;&gt;0),"✗ 这类是付款，金额填到支出列",IF(N(H1025)&lt;0,"⚠ 账户余额成负数了，核对一下","√"))))))))))))))))))</f>
      </c>
      <c r="O1025" s="78">
        <f>IF(D1025&lt;&gt;"",D1025,IF(AND(F1025="",G1025=""),"",IF(J1025&lt;&gt;"",IF(N(F1025)&gt;0,"客户回款","客户退款"),IF(K1025&lt;&gt;"",IF(N(G1025)&gt;0,"供应商付款","供应商退款"),IF(L1025&lt;&gt;"","费用支出","")))))</f>
      </c>
      <c r="P1025" s="78">
        <f>IF(O1025="","",IFERROR(INDEX(基础资料!$AE$5:$AE$34,MATCH(O1025,基础资料!$AC$5:$AC$34,0)),"未知"))</f>
      </c>
      <c r="Q1025" s="78">
        <f>IF(P1025="应收",COUNTIF(P$7:P1025,"应收"),"")</f>
      </c>
      <c r="R1025" s="78">
        <f>IF(P1025="应付",COUNTIF(P$7:P1025,"应付"),"")</f>
      </c>
      <c r="S1025" s="78">
        <f>N(F1025)-N(G1025)</f>
        <v>0</v>
      </c>
    </row>
    <row r="1026">
      <c r="A1026" s="109">
        <f>IF(AND(F1026="",G1026=""),"",ROW()-6)</f>
      </c>
      <c r="B1026" s="140" t="n"/>
      <c r="C1026" s="141" t="n"/>
      <c r="D1026" s="141" t="n"/>
      <c r="E1026" s="142" t="n"/>
      <c r="F1026" s="143" t="n"/>
      <c r="G1026" s="144" t="n"/>
      <c r="H1026" s="145">
        <f>IF(OR(C1026="",AND(F1026="",G1026="")),"",SUMIF(基础资料!$W$5:$W$24,C1026,基础资料!$X$5:$X$24)+SUMIF(C$7:C1026,C1026,F$7:F1026)-SUMIF(C$7:C1026,C1026,G$7:G1026))</f>
      </c>
      <c r="I1026" s="145">
        <f>IF(AND(F1026="",G1026=""),"",SUM(基础资料!$X$5:$X$24)+SUM(F$7:F1026)-SUM(G$7:G1026))</f>
      </c>
      <c r="J1026" s="141" t="n"/>
      <c r="K1026" s="141" t="n"/>
      <c r="L1026" s="141" t="n"/>
      <c r="M1026" s="142" t="n"/>
      <c r="N1026" s="146">
        <f>IF(AND(AND(F1026="",G1026=""),B1026="",C1026="",D1026="",J1026="",K1026="",L1026=""),"",IF(AND(F1026="",G1026=""),"✗ 没填金额",IF(AND(N(F1026)&lt;&gt;0,N(G1026)&lt;&gt;0),"✗ 收入、支出只能填一边",IF(NOT(ISNUMBER(B1026)),"✗ 日期不是真日期（要像 2026/9/25 这样填）",IF(OR(B1026&lt;年初日,B1026&gt;年末日),"✗ 日期不在本会计年度",IF(C1026="","✗ 没选账户",IF(COUNTIF(基础资料!$W$5:$W$24,C1026)=0,"✗ 账户不在基础资料里",IF(O1026="","✗ 没选收支项目",IF(P1026="未知","✗ 收支项目不在基础资料里",IF(AND(P1026="应收",J1026=""),"✗ 这笔要选客户",IF(AND(P1026="应收",COUNTIF(总览汇总!$B$5:$B$304,J1026)=0),"✗ 客户不在总览汇总名单里",IF(AND(P1026="应付",K1026=""),"✗ 这笔要选供应商",IF(AND(P1026="应付",COUNTIF(基础资料!$Q$5:$Q$54,K1026)=0),"✗ 供应商不在基础资料里",IF(AND(P1026="费用",L1026=""),"✗ 费用支出要选费用项目",IF(AND(L1026&lt;&gt;"",COUNTIF(基础资料!$AI$5:$AI$54,L1026)=0),"✗ 费用项目不在基础资料里",IF(AND(IFERROR(INDEX(基础资料!$AD$5:$AD$34,MATCH(O1026,基础资料!$AC$5:$AC$34,0)),"")="收",N(G1026)&lt;&gt;0),"✗ 这类是收款，金额填到收入列",IF(AND(IFERROR(INDEX(基础资料!$AD$5:$AD$34,MATCH(O1026,基础资料!$AC$5:$AC$34,0)),"")="支",N(F1026)&lt;&gt;0),"✗ 这类是付款，金额填到支出列",IF(N(H1026)&lt;0,"⚠ 账户余额成负数了，核对一下","√"))))))))))))))))))</f>
      </c>
      <c r="O1026" s="78">
        <f>IF(D1026&lt;&gt;"",D1026,IF(AND(F1026="",G1026=""),"",IF(J1026&lt;&gt;"",IF(N(F1026)&gt;0,"客户回款","客户退款"),IF(K1026&lt;&gt;"",IF(N(G1026)&gt;0,"供应商付款","供应商退款"),IF(L1026&lt;&gt;"","费用支出","")))))</f>
      </c>
      <c r="P1026" s="78">
        <f>IF(O1026="","",IFERROR(INDEX(基础资料!$AE$5:$AE$34,MATCH(O1026,基础资料!$AC$5:$AC$34,0)),"未知"))</f>
      </c>
      <c r="Q1026" s="78">
        <f>IF(P1026="应收",COUNTIF(P$7:P1026,"应收"),"")</f>
      </c>
      <c r="R1026" s="78">
        <f>IF(P1026="应付",COUNTIF(P$7:P1026,"应付"),"")</f>
      </c>
      <c r="S1026" s="78">
        <f>N(F1026)-N(G1026)</f>
        <v>0</v>
      </c>
    </row>
    <row r="1027">
      <c r="A1027" s="109">
        <f>IF(AND(F1027="",G1027=""),"",ROW()-6)</f>
      </c>
      <c r="B1027" s="140" t="n"/>
      <c r="C1027" s="141" t="n"/>
      <c r="D1027" s="141" t="n"/>
      <c r="E1027" s="142" t="n"/>
      <c r="F1027" s="143" t="n"/>
      <c r="G1027" s="144" t="n"/>
      <c r="H1027" s="145">
        <f>IF(OR(C1027="",AND(F1027="",G1027="")),"",SUMIF(基础资料!$W$5:$W$24,C1027,基础资料!$X$5:$X$24)+SUMIF(C$7:C1027,C1027,F$7:F1027)-SUMIF(C$7:C1027,C1027,G$7:G1027))</f>
      </c>
      <c r="I1027" s="145">
        <f>IF(AND(F1027="",G1027=""),"",SUM(基础资料!$X$5:$X$24)+SUM(F$7:F1027)-SUM(G$7:G1027))</f>
      </c>
      <c r="J1027" s="141" t="n"/>
      <c r="K1027" s="141" t="n"/>
      <c r="L1027" s="141" t="n"/>
      <c r="M1027" s="142" t="n"/>
      <c r="N1027" s="146">
        <f>IF(AND(AND(F1027="",G1027=""),B1027="",C1027="",D1027="",J1027="",K1027="",L1027=""),"",IF(AND(F1027="",G1027=""),"✗ 没填金额",IF(AND(N(F1027)&lt;&gt;0,N(G1027)&lt;&gt;0),"✗ 收入、支出只能填一边",IF(NOT(ISNUMBER(B1027)),"✗ 日期不是真日期（要像 2026/9/25 这样填）",IF(OR(B1027&lt;年初日,B1027&gt;年末日),"✗ 日期不在本会计年度",IF(C1027="","✗ 没选账户",IF(COUNTIF(基础资料!$W$5:$W$24,C1027)=0,"✗ 账户不在基础资料里",IF(O1027="","✗ 没选收支项目",IF(P1027="未知","✗ 收支项目不在基础资料里",IF(AND(P1027="应收",J1027=""),"✗ 这笔要选客户",IF(AND(P1027="应收",COUNTIF(总览汇总!$B$5:$B$304,J1027)=0),"✗ 客户不在总览汇总名单里",IF(AND(P1027="应付",K1027=""),"✗ 这笔要选供应商",IF(AND(P1027="应付",COUNTIF(基础资料!$Q$5:$Q$54,K1027)=0),"✗ 供应商不在基础资料里",IF(AND(P1027="费用",L1027=""),"✗ 费用支出要选费用项目",IF(AND(L1027&lt;&gt;"",COUNTIF(基础资料!$AI$5:$AI$54,L1027)=0),"✗ 费用项目不在基础资料里",IF(AND(IFERROR(INDEX(基础资料!$AD$5:$AD$34,MATCH(O1027,基础资料!$AC$5:$AC$34,0)),"")="收",N(G1027)&lt;&gt;0),"✗ 这类是收款，金额填到收入列",IF(AND(IFERROR(INDEX(基础资料!$AD$5:$AD$34,MATCH(O1027,基础资料!$AC$5:$AC$34,0)),"")="支",N(F1027)&lt;&gt;0),"✗ 这类是付款，金额填到支出列",IF(N(H1027)&lt;0,"⚠ 账户余额成负数了，核对一下","√"))))))))))))))))))</f>
      </c>
      <c r="O1027" s="78">
        <f>IF(D1027&lt;&gt;"",D1027,IF(AND(F1027="",G1027=""),"",IF(J1027&lt;&gt;"",IF(N(F1027)&gt;0,"客户回款","客户退款"),IF(K1027&lt;&gt;"",IF(N(G1027)&gt;0,"供应商付款","供应商退款"),IF(L1027&lt;&gt;"","费用支出","")))))</f>
      </c>
      <c r="P1027" s="78">
        <f>IF(O1027="","",IFERROR(INDEX(基础资料!$AE$5:$AE$34,MATCH(O1027,基础资料!$AC$5:$AC$34,0)),"未知"))</f>
      </c>
      <c r="Q1027" s="78">
        <f>IF(P1027="应收",COUNTIF(P$7:P1027,"应收"),"")</f>
      </c>
      <c r="R1027" s="78">
        <f>IF(P1027="应付",COUNTIF(P$7:P1027,"应付"),"")</f>
      </c>
      <c r="S1027" s="78">
        <f>N(F1027)-N(G1027)</f>
        <v>0</v>
      </c>
    </row>
    <row r="1028">
      <c r="A1028" s="109">
        <f>IF(AND(F1028="",G1028=""),"",ROW()-6)</f>
      </c>
      <c r="B1028" s="140" t="n"/>
      <c r="C1028" s="141" t="n"/>
      <c r="D1028" s="141" t="n"/>
      <c r="E1028" s="142" t="n"/>
      <c r="F1028" s="143" t="n"/>
      <c r="G1028" s="144" t="n"/>
      <c r="H1028" s="145">
        <f>IF(OR(C1028="",AND(F1028="",G1028="")),"",SUMIF(基础资料!$W$5:$W$24,C1028,基础资料!$X$5:$X$24)+SUMIF(C$7:C1028,C1028,F$7:F1028)-SUMIF(C$7:C1028,C1028,G$7:G1028))</f>
      </c>
      <c r="I1028" s="145">
        <f>IF(AND(F1028="",G1028=""),"",SUM(基础资料!$X$5:$X$24)+SUM(F$7:F1028)-SUM(G$7:G1028))</f>
      </c>
      <c r="J1028" s="141" t="n"/>
      <c r="K1028" s="141" t="n"/>
      <c r="L1028" s="141" t="n"/>
      <c r="M1028" s="142" t="n"/>
      <c r="N1028" s="146">
        <f>IF(AND(AND(F1028="",G1028=""),B1028="",C1028="",D1028="",J1028="",K1028="",L1028=""),"",IF(AND(F1028="",G1028=""),"✗ 没填金额",IF(AND(N(F1028)&lt;&gt;0,N(G1028)&lt;&gt;0),"✗ 收入、支出只能填一边",IF(NOT(ISNUMBER(B1028)),"✗ 日期不是真日期（要像 2026/9/25 这样填）",IF(OR(B1028&lt;年初日,B1028&gt;年末日),"✗ 日期不在本会计年度",IF(C1028="","✗ 没选账户",IF(COUNTIF(基础资料!$W$5:$W$24,C1028)=0,"✗ 账户不在基础资料里",IF(O1028="","✗ 没选收支项目",IF(P1028="未知","✗ 收支项目不在基础资料里",IF(AND(P1028="应收",J1028=""),"✗ 这笔要选客户",IF(AND(P1028="应收",COUNTIF(总览汇总!$B$5:$B$304,J1028)=0),"✗ 客户不在总览汇总名单里",IF(AND(P1028="应付",K1028=""),"✗ 这笔要选供应商",IF(AND(P1028="应付",COUNTIF(基础资料!$Q$5:$Q$54,K1028)=0),"✗ 供应商不在基础资料里",IF(AND(P1028="费用",L1028=""),"✗ 费用支出要选费用项目",IF(AND(L1028&lt;&gt;"",COUNTIF(基础资料!$AI$5:$AI$54,L1028)=0),"✗ 费用项目不在基础资料里",IF(AND(IFERROR(INDEX(基础资料!$AD$5:$AD$34,MATCH(O1028,基础资料!$AC$5:$AC$34,0)),"")="收",N(G1028)&lt;&gt;0),"✗ 这类是收款，金额填到收入列",IF(AND(IFERROR(INDEX(基础资料!$AD$5:$AD$34,MATCH(O1028,基础资料!$AC$5:$AC$34,0)),"")="支",N(F1028)&lt;&gt;0),"✗ 这类是付款，金额填到支出列",IF(N(H1028)&lt;0,"⚠ 账户余额成负数了，核对一下","√"))))))))))))))))))</f>
      </c>
      <c r="O1028" s="78">
        <f>IF(D1028&lt;&gt;"",D1028,IF(AND(F1028="",G1028=""),"",IF(J1028&lt;&gt;"",IF(N(F1028)&gt;0,"客户回款","客户退款"),IF(K1028&lt;&gt;"",IF(N(G1028)&gt;0,"供应商付款","供应商退款"),IF(L1028&lt;&gt;"","费用支出","")))))</f>
      </c>
      <c r="P1028" s="78">
        <f>IF(O1028="","",IFERROR(INDEX(基础资料!$AE$5:$AE$34,MATCH(O1028,基础资料!$AC$5:$AC$34,0)),"未知"))</f>
      </c>
      <c r="Q1028" s="78">
        <f>IF(P1028="应收",COUNTIF(P$7:P1028,"应收"),"")</f>
      </c>
      <c r="R1028" s="78">
        <f>IF(P1028="应付",COUNTIF(P$7:P1028,"应付"),"")</f>
      </c>
      <c r="S1028" s="78">
        <f>N(F1028)-N(G1028)</f>
        <v>0</v>
      </c>
    </row>
    <row r="1029">
      <c r="A1029" s="109">
        <f>IF(AND(F1029="",G1029=""),"",ROW()-6)</f>
      </c>
      <c r="B1029" s="140" t="n"/>
      <c r="C1029" s="141" t="n"/>
      <c r="D1029" s="141" t="n"/>
      <c r="E1029" s="142" t="n"/>
      <c r="F1029" s="143" t="n"/>
      <c r="G1029" s="144" t="n"/>
      <c r="H1029" s="145">
        <f>IF(OR(C1029="",AND(F1029="",G1029="")),"",SUMIF(基础资料!$W$5:$W$24,C1029,基础资料!$X$5:$X$24)+SUMIF(C$7:C1029,C1029,F$7:F1029)-SUMIF(C$7:C1029,C1029,G$7:G1029))</f>
      </c>
      <c r="I1029" s="145">
        <f>IF(AND(F1029="",G1029=""),"",SUM(基础资料!$X$5:$X$24)+SUM(F$7:F1029)-SUM(G$7:G1029))</f>
      </c>
      <c r="J1029" s="141" t="n"/>
      <c r="K1029" s="141" t="n"/>
      <c r="L1029" s="141" t="n"/>
      <c r="M1029" s="142" t="n"/>
      <c r="N1029" s="146">
        <f>IF(AND(AND(F1029="",G1029=""),B1029="",C1029="",D1029="",J1029="",K1029="",L1029=""),"",IF(AND(F1029="",G1029=""),"✗ 没填金额",IF(AND(N(F1029)&lt;&gt;0,N(G1029)&lt;&gt;0),"✗ 收入、支出只能填一边",IF(NOT(ISNUMBER(B1029)),"✗ 日期不是真日期（要像 2026/9/25 这样填）",IF(OR(B1029&lt;年初日,B1029&gt;年末日),"✗ 日期不在本会计年度",IF(C1029="","✗ 没选账户",IF(COUNTIF(基础资料!$W$5:$W$24,C1029)=0,"✗ 账户不在基础资料里",IF(O1029="","✗ 没选收支项目",IF(P1029="未知","✗ 收支项目不在基础资料里",IF(AND(P1029="应收",J1029=""),"✗ 这笔要选客户",IF(AND(P1029="应收",COUNTIF(总览汇总!$B$5:$B$304,J1029)=0),"✗ 客户不在总览汇总名单里",IF(AND(P1029="应付",K1029=""),"✗ 这笔要选供应商",IF(AND(P1029="应付",COUNTIF(基础资料!$Q$5:$Q$54,K1029)=0),"✗ 供应商不在基础资料里",IF(AND(P1029="费用",L1029=""),"✗ 费用支出要选费用项目",IF(AND(L1029&lt;&gt;"",COUNTIF(基础资料!$AI$5:$AI$54,L1029)=0),"✗ 费用项目不在基础资料里",IF(AND(IFERROR(INDEX(基础资料!$AD$5:$AD$34,MATCH(O1029,基础资料!$AC$5:$AC$34,0)),"")="收",N(G1029)&lt;&gt;0),"✗ 这类是收款，金额填到收入列",IF(AND(IFERROR(INDEX(基础资料!$AD$5:$AD$34,MATCH(O1029,基础资料!$AC$5:$AC$34,0)),"")="支",N(F1029)&lt;&gt;0),"✗ 这类是付款，金额填到支出列",IF(N(H1029)&lt;0,"⚠ 账户余额成负数了，核对一下","√"))))))))))))))))))</f>
      </c>
      <c r="O1029" s="78">
        <f>IF(D1029&lt;&gt;"",D1029,IF(AND(F1029="",G1029=""),"",IF(J1029&lt;&gt;"",IF(N(F1029)&gt;0,"客户回款","客户退款"),IF(K1029&lt;&gt;"",IF(N(G1029)&gt;0,"供应商付款","供应商退款"),IF(L1029&lt;&gt;"","费用支出","")))))</f>
      </c>
      <c r="P1029" s="78">
        <f>IF(O1029="","",IFERROR(INDEX(基础资料!$AE$5:$AE$34,MATCH(O1029,基础资料!$AC$5:$AC$34,0)),"未知"))</f>
      </c>
      <c r="Q1029" s="78">
        <f>IF(P1029="应收",COUNTIF(P$7:P1029,"应收"),"")</f>
      </c>
      <c r="R1029" s="78">
        <f>IF(P1029="应付",COUNTIF(P$7:P1029,"应付"),"")</f>
      </c>
      <c r="S1029" s="78">
        <f>N(F1029)-N(G1029)</f>
        <v>0</v>
      </c>
    </row>
    <row r="1030">
      <c r="A1030" s="109">
        <f>IF(AND(F1030="",G1030=""),"",ROW()-6)</f>
      </c>
      <c r="B1030" s="140" t="n"/>
      <c r="C1030" s="141" t="n"/>
      <c r="D1030" s="141" t="n"/>
      <c r="E1030" s="142" t="n"/>
      <c r="F1030" s="143" t="n"/>
      <c r="G1030" s="144" t="n"/>
      <c r="H1030" s="145">
        <f>IF(OR(C1030="",AND(F1030="",G1030="")),"",SUMIF(基础资料!$W$5:$W$24,C1030,基础资料!$X$5:$X$24)+SUMIF(C$7:C1030,C1030,F$7:F1030)-SUMIF(C$7:C1030,C1030,G$7:G1030))</f>
      </c>
      <c r="I1030" s="145">
        <f>IF(AND(F1030="",G1030=""),"",SUM(基础资料!$X$5:$X$24)+SUM(F$7:F1030)-SUM(G$7:G1030))</f>
      </c>
      <c r="J1030" s="141" t="n"/>
      <c r="K1030" s="141" t="n"/>
      <c r="L1030" s="141" t="n"/>
      <c r="M1030" s="142" t="n"/>
      <c r="N1030" s="146">
        <f>IF(AND(AND(F1030="",G1030=""),B1030="",C1030="",D1030="",J1030="",K1030="",L1030=""),"",IF(AND(F1030="",G1030=""),"✗ 没填金额",IF(AND(N(F1030)&lt;&gt;0,N(G1030)&lt;&gt;0),"✗ 收入、支出只能填一边",IF(NOT(ISNUMBER(B1030)),"✗ 日期不是真日期（要像 2026/9/25 这样填）",IF(OR(B1030&lt;年初日,B1030&gt;年末日),"✗ 日期不在本会计年度",IF(C1030="","✗ 没选账户",IF(COUNTIF(基础资料!$W$5:$W$24,C1030)=0,"✗ 账户不在基础资料里",IF(O1030="","✗ 没选收支项目",IF(P1030="未知","✗ 收支项目不在基础资料里",IF(AND(P1030="应收",J1030=""),"✗ 这笔要选客户",IF(AND(P1030="应收",COUNTIF(总览汇总!$B$5:$B$304,J1030)=0),"✗ 客户不在总览汇总名单里",IF(AND(P1030="应付",K1030=""),"✗ 这笔要选供应商",IF(AND(P1030="应付",COUNTIF(基础资料!$Q$5:$Q$54,K1030)=0),"✗ 供应商不在基础资料里",IF(AND(P1030="费用",L1030=""),"✗ 费用支出要选费用项目",IF(AND(L1030&lt;&gt;"",COUNTIF(基础资料!$AI$5:$AI$54,L1030)=0),"✗ 费用项目不在基础资料里",IF(AND(IFERROR(INDEX(基础资料!$AD$5:$AD$34,MATCH(O1030,基础资料!$AC$5:$AC$34,0)),"")="收",N(G1030)&lt;&gt;0),"✗ 这类是收款，金额填到收入列",IF(AND(IFERROR(INDEX(基础资料!$AD$5:$AD$34,MATCH(O1030,基础资料!$AC$5:$AC$34,0)),"")="支",N(F1030)&lt;&gt;0),"✗ 这类是付款，金额填到支出列",IF(N(H1030)&lt;0,"⚠ 账户余额成负数了，核对一下","√"))))))))))))))))))</f>
      </c>
      <c r="O1030" s="78">
        <f>IF(D1030&lt;&gt;"",D1030,IF(AND(F1030="",G1030=""),"",IF(J1030&lt;&gt;"",IF(N(F1030)&gt;0,"客户回款","客户退款"),IF(K1030&lt;&gt;"",IF(N(G1030)&gt;0,"供应商付款","供应商退款"),IF(L1030&lt;&gt;"","费用支出","")))))</f>
      </c>
      <c r="P1030" s="78">
        <f>IF(O1030="","",IFERROR(INDEX(基础资料!$AE$5:$AE$34,MATCH(O1030,基础资料!$AC$5:$AC$34,0)),"未知"))</f>
      </c>
      <c r="Q1030" s="78">
        <f>IF(P1030="应收",COUNTIF(P$7:P1030,"应收"),"")</f>
      </c>
      <c r="R1030" s="78">
        <f>IF(P1030="应付",COUNTIF(P$7:P1030,"应付"),"")</f>
      </c>
      <c r="S1030" s="78">
        <f>N(F1030)-N(G1030)</f>
        <v>0</v>
      </c>
    </row>
    <row r="1031">
      <c r="A1031" s="109">
        <f>IF(AND(F1031="",G1031=""),"",ROW()-6)</f>
      </c>
      <c r="B1031" s="140" t="n"/>
      <c r="C1031" s="141" t="n"/>
      <c r="D1031" s="141" t="n"/>
      <c r="E1031" s="142" t="n"/>
      <c r="F1031" s="143" t="n"/>
      <c r="G1031" s="144" t="n"/>
      <c r="H1031" s="145">
        <f>IF(OR(C1031="",AND(F1031="",G1031="")),"",SUMIF(基础资料!$W$5:$W$24,C1031,基础资料!$X$5:$X$24)+SUMIF(C$7:C1031,C1031,F$7:F1031)-SUMIF(C$7:C1031,C1031,G$7:G1031))</f>
      </c>
      <c r="I1031" s="145">
        <f>IF(AND(F1031="",G1031=""),"",SUM(基础资料!$X$5:$X$24)+SUM(F$7:F1031)-SUM(G$7:G1031))</f>
      </c>
      <c r="J1031" s="141" t="n"/>
      <c r="K1031" s="141" t="n"/>
      <c r="L1031" s="141" t="n"/>
      <c r="M1031" s="142" t="n"/>
      <c r="N1031" s="146">
        <f>IF(AND(AND(F1031="",G1031=""),B1031="",C1031="",D1031="",J1031="",K1031="",L1031=""),"",IF(AND(F1031="",G1031=""),"✗ 没填金额",IF(AND(N(F1031)&lt;&gt;0,N(G1031)&lt;&gt;0),"✗ 收入、支出只能填一边",IF(NOT(ISNUMBER(B1031)),"✗ 日期不是真日期（要像 2026/9/25 这样填）",IF(OR(B1031&lt;年初日,B1031&gt;年末日),"✗ 日期不在本会计年度",IF(C1031="","✗ 没选账户",IF(COUNTIF(基础资料!$W$5:$W$24,C1031)=0,"✗ 账户不在基础资料里",IF(O1031="","✗ 没选收支项目",IF(P1031="未知","✗ 收支项目不在基础资料里",IF(AND(P1031="应收",J1031=""),"✗ 这笔要选客户",IF(AND(P1031="应收",COUNTIF(总览汇总!$B$5:$B$304,J1031)=0),"✗ 客户不在总览汇总名单里",IF(AND(P1031="应付",K1031=""),"✗ 这笔要选供应商",IF(AND(P1031="应付",COUNTIF(基础资料!$Q$5:$Q$54,K1031)=0),"✗ 供应商不在基础资料里",IF(AND(P1031="费用",L1031=""),"✗ 费用支出要选费用项目",IF(AND(L1031&lt;&gt;"",COUNTIF(基础资料!$AI$5:$AI$54,L1031)=0),"✗ 费用项目不在基础资料里",IF(AND(IFERROR(INDEX(基础资料!$AD$5:$AD$34,MATCH(O1031,基础资料!$AC$5:$AC$34,0)),"")="收",N(G1031)&lt;&gt;0),"✗ 这类是收款，金额填到收入列",IF(AND(IFERROR(INDEX(基础资料!$AD$5:$AD$34,MATCH(O1031,基础资料!$AC$5:$AC$34,0)),"")="支",N(F1031)&lt;&gt;0),"✗ 这类是付款，金额填到支出列",IF(N(H1031)&lt;0,"⚠ 账户余额成负数了，核对一下","√"))))))))))))))))))</f>
      </c>
      <c r="O1031" s="78">
        <f>IF(D1031&lt;&gt;"",D1031,IF(AND(F1031="",G1031=""),"",IF(J1031&lt;&gt;"",IF(N(F1031)&gt;0,"客户回款","客户退款"),IF(K1031&lt;&gt;"",IF(N(G1031)&gt;0,"供应商付款","供应商退款"),IF(L1031&lt;&gt;"","费用支出","")))))</f>
      </c>
      <c r="P1031" s="78">
        <f>IF(O1031="","",IFERROR(INDEX(基础资料!$AE$5:$AE$34,MATCH(O1031,基础资料!$AC$5:$AC$34,0)),"未知"))</f>
      </c>
      <c r="Q1031" s="78">
        <f>IF(P1031="应收",COUNTIF(P$7:P1031,"应收"),"")</f>
      </c>
      <c r="R1031" s="78">
        <f>IF(P1031="应付",COUNTIF(P$7:P1031,"应付"),"")</f>
      </c>
      <c r="S1031" s="78">
        <f>N(F1031)-N(G1031)</f>
        <v>0</v>
      </c>
    </row>
    <row r="1032">
      <c r="A1032" s="109">
        <f>IF(AND(F1032="",G1032=""),"",ROW()-6)</f>
      </c>
      <c r="B1032" s="140" t="n"/>
      <c r="C1032" s="141" t="n"/>
      <c r="D1032" s="141" t="n"/>
      <c r="E1032" s="142" t="n"/>
      <c r="F1032" s="143" t="n"/>
      <c r="G1032" s="144" t="n"/>
      <c r="H1032" s="145">
        <f>IF(OR(C1032="",AND(F1032="",G1032="")),"",SUMIF(基础资料!$W$5:$W$24,C1032,基础资料!$X$5:$X$24)+SUMIF(C$7:C1032,C1032,F$7:F1032)-SUMIF(C$7:C1032,C1032,G$7:G1032))</f>
      </c>
      <c r="I1032" s="145">
        <f>IF(AND(F1032="",G1032=""),"",SUM(基础资料!$X$5:$X$24)+SUM(F$7:F1032)-SUM(G$7:G1032))</f>
      </c>
      <c r="J1032" s="141" t="n"/>
      <c r="K1032" s="141" t="n"/>
      <c r="L1032" s="141" t="n"/>
      <c r="M1032" s="142" t="n"/>
      <c r="N1032" s="146">
        <f>IF(AND(AND(F1032="",G1032=""),B1032="",C1032="",D1032="",J1032="",K1032="",L1032=""),"",IF(AND(F1032="",G1032=""),"✗ 没填金额",IF(AND(N(F1032)&lt;&gt;0,N(G1032)&lt;&gt;0),"✗ 收入、支出只能填一边",IF(NOT(ISNUMBER(B1032)),"✗ 日期不是真日期（要像 2026/9/25 这样填）",IF(OR(B1032&lt;年初日,B1032&gt;年末日),"✗ 日期不在本会计年度",IF(C1032="","✗ 没选账户",IF(COUNTIF(基础资料!$W$5:$W$24,C1032)=0,"✗ 账户不在基础资料里",IF(O1032="","✗ 没选收支项目",IF(P1032="未知","✗ 收支项目不在基础资料里",IF(AND(P1032="应收",J1032=""),"✗ 这笔要选客户",IF(AND(P1032="应收",COUNTIF(总览汇总!$B$5:$B$304,J1032)=0),"✗ 客户不在总览汇总名单里",IF(AND(P1032="应付",K1032=""),"✗ 这笔要选供应商",IF(AND(P1032="应付",COUNTIF(基础资料!$Q$5:$Q$54,K1032)=0),"✗ 供应商不在基础资料里",IF(AND(P1032="费用",L1032=""),"✗ 费用支出要选费用项目",IF(AND(L1032&lt;&gt;"",COUNTIF(基础资料!$AI$5:$AI$54,L1032)=0),"✗ 费用项目不在基础资料里",IF(AND(IFERROR(INDEX(基础资料!$AD$5:$AD$34,MATCH(O1032,基础资料!$AC$5:$AC$34,0)),"")="收",N(G1032)&lt;&gt;0),"✗ 这类是收款，金额填到收入列",IF(AND(IFERROR(INDEX(基础资料!$AD$5:$AD$34,MATCH(O1032,基础资料!$AC$5:$AC$34,0)),"")="支",N(F1032)&lt;&gt;0),"✗ 这类是付款，金额填到支出列",IF(N(H1032)&lt;0,"⚠ 账户余额成负数了，核对一下","√"))))))))))))))))))</f>
      </c>
      <c r="O1032" s="78">
        <f>IF(D1032&lt;&gt;"",D1032,IF(AND(F1032="",G1032=""),"",IF(J1032&lt;&gt;"",IF(N(F1032)&gt;0,"客户回款","客户退款"),IF(K1032&lt;&gt;"",IF(N(G1032)&gt;0,"供应商付款","供应商退款"),IF(L1032&lt;&gt;"","费用支出","")))))</f>
      </c>
      <c r="P1032" s="78">
        <f>IF(O1032="","",IFERROR(INDEX(基础资料!$AE$5:$AE$34,MATCH(O1032,基础资料!$AC$5:$AC$34,0)),"未知"))</f>
      </c>
      <c r="Q1032" s="78">
        <f>IF(P1032="应收",COUNTIF(P$7:P1032,"应收"),"")</f>
      </c>
      <c r="R1032" s="78">
        <f>IF(P1032="应付",COUNTIF(P$7:P1032,"应付"),"")</f>
      </c>
      <c r="S1032" s="78">
        <f>N(F1032)-N(G1032)</f>
        <v>0</v>
      </c>
    </row>
    <row r="1033">
      <c r="A1033" s="109">
        <f>IF(AND(F1033="",G1033=""),"",ROW()-6)</f>
      </c>
      <c r="B1033" s="140" t="n"/>
      <c r="C1033" s="141" t="n"/>
      <c r="D1033" s="141" t="n"/>
      <c r="E1033" s="142" t="n"/>
      <c r="F1033" s="143" t="n"/>
      <c r="G1033" s="144" t="n"/>
      <c r="H1033" s="145">
        <f>IF(OR(C1033="",AND(F1033="",G1033="")),"",SUMIF(基础资料!$W$5:$W$24,C1033,基础资料!$X$5:$X$24)+SUMIF(C$7:C1033,C1033,F$7:F1033)-SUMIF(C$7:C1033,C1033,G$7:G1033))</f>
      </c>
      <c r="I1033" s="145">
        <f>IF(AND(F1033="",G1033=""),"",SUM(基础资料!$X$5:$X$24)+SUM(F$7:F1033)-SUM(G$7:G1033))</f>
      </c>
      <c r="J1033" s="141" t="n"/>
      <c r="K1033" s="141" t="n"/>
      <c r="L1033" s="141" t="n"/>
      <c r="M1033" s="142" t="n"/>
      <c r="N1033" s="146">
        <f>IF(AND(AND(F1033="",G1033=""),B1033="",C1033="",D1033="",J1033="",K1033="",L1033=""),"",IF(AND(F1033="",G1033=""),"✗ 没填金额",IF(AND(N(F1033)&lt;&gt;0,N(G1033)&lt;&gt;0),"✗ 收入、支出只能填一边",IF(NOT(ISNUMBER(B1033)),"✗ 日期不是真日期（要像 2026/9/25 这样填）",IF(OR(B1033&lt;年初日,B1033&gt;年末日),"✗ 日期不在本会计年度",IF(C1033="","✗ 没选账户",IF(COUNTIF(基础资料!$W$5:$W$24,C1033)=0,"✗ 账户不在基础资料里",IF(O1033="","✗ 没选收支项目",IF(P1033="未知","✗ 收支项目不在基础资料里",IF(AND(P1033="应收",J1033=""),"✗ 这笔要选客户",IF(AND(P1033="应收",COUNTIF(总览汇总!$B$5:$B$304,J1033)=0),"✗ 客户不在总览汇总名单里",IF(AND(P1033="应付",K1033=""),"✗ 这笔要选供应商",IF(AND(P1033="应付",COUNTIF(基础资料!$Q$5:$Q$54,K1033)=0),"✗ 供应商不在基础资料里",IF(AND(P1033="费用",L1033=""),"✗ 费用支出要选费用项目",IF(AND(L1033&lt;&gt;"",COUNTIF(基础资料!$AI$5:$AI$54,L1033)=0),"✗ 费用项目不在基础资料里",IF(AND(IFERROR(INDEX(基础资料!$AD$5:$AD$34,MATCH(O1033,基础资料!$AC$5:$AC$34,0)),"")="收",N(G1033)&lt;&gt;0),"✗ 这类是收款，金额填到收入列",IF(AND(IFERROR(INDEX(基础资料!$AD$5:$AD$34,MATCH(O1033,基础资料!$AC$5:$AC$34,0)),"")="支",N(F1033)&lt;&gt;0),"✗ 这类是付款，金额填到支出列",IF(N(H1033)&lt;0,"⚠ 账户余额成负数了，核对一下","√"))))))))))))))))))</f>
      </c>
      <c r="O1033" s="78">
        <f>IF(D1033&lt;&gt;"",D1033,IF(AND(F1033="",G1033=""),"",IF(J1033&lt;&gt;"",IF(N(F1033)&gt;0,"客户回款","客户退款"),IF(K1033&lt;&gt;"",IF(N(G1033)&gt;0,"供应商付款","供应商退款"),IF(L1033&lt;&gt;"","费用支出","")))))</f>
      </c>
      <c r="P1033" s="78">
        <f>IF(O1033="","",IFERROR(INDEX(基础资料!$AE$5:$AE$34,MATCH(O1033,基础资料!$AC$5:$AC$34,0)),"未知"))</f>
      </c>
      <c r="Q1033" s="78">
        <f>IF(P1033="应收",COUNTIF(P$7:P1033,"应收"),"")</f>
      </c>
      <c r="R1033" s="78">
        <f>IF(P1033="应付",COUNTIF(P$7:P1033,"应付"),"")</f>
      </c>
      <c r="S1033" s="78">
        <f>N(F1033)-N(G1033)</f>
        <v>0</v>
      </c>
    </row>
    <row r="1034">
      <c r="A1034" s="109">
        <f>IF(AND(F1034="",G1034=""),"",ROW()-6)</f>
      </c>
      <c r="B1034" s="140" t="n"/>
      <c r="C1034" s="141" t="n"/>
      <c r="D1034" s="141" t="n"/>
      <c r="E1034" s="142" t="n"/>
      <c r="F1034" s="143" t="n"/>
      <c r="G1034" s="144" t="n"/>
      <c r="H1034" s="145">
        <f>IF(OR(C1034="",AND(F1034="",G1034="")),"",SUMIF(基础资料!$W$5:$W$24,C1034,基础资料!$X$5:$X$24)+SUMIF(C$7:C1034,C1034,F$7:F1034)-SUMIF(C$7:C1034,C1034,G$7:G1034))</f>
      </c>
      <c r="I1034" s="145">
        <f>IF(AND(F1034="",G1034=""),"",SUM(基础资料!$X$5:$X$24)+SUM(F$7:F1034)-SUM(G$7:G1034))</f>
      </c>
      <c r="J1034" s="141" t="n"/>
      <c r="K1034" s="141" t="n"/>
      <c r="L1034" s="141" t="n"/>
      <c r="M1034" s="142" t="n"/>
      <c r="N1034" s="146">
        <f>IF(AND(AND(F1034="",G1034=""),B1034="",C1034="",D1034="",J1034="",K1034="",L1034=""),"",IF(AND(F1034="",G1034=""),"✗ 没填金额",IF(AND(N(F1034)&lt;&gt;0,N(G1034)&lt;&gt;0),"✗ 收入、支出只能填一边",IF(NOT(ISNUMBER(B1034)),"✗ 日期不是真日期（要像 2026/9/25 这样填）",IF(OR(B1034&lt;年初日,B1034&gt;年末日),"✗ 日期不在本会计年度",IF(C1034="","✗ 没选账户",IF(COUNTIF(基础资料!$W$5:$W$24,C1034)=0,"✗ 账户不在基础资料里",IF(O1034="","✗ 没选收支项目",IF(P1034="未知","✗ 收支项目不在基础资料里",IF(AND(P1034="应收",J1034=""),"✗ 这笔要选客户",IF(AND(P1034="应收",COUNTIF(总览汇总!$B$5:$B$304,J1034)=0),"✗ 客户不在总览汇总名单里",IF(AND(P1034="应付",K1034=""),"✗ 这笔要选供应商",IF(AND(P1034="应付",COUNTIF(基础资料!$Q$5:$Q$54,K1034)=0),"✗ 供应商不在基础资料里",IF(AND(P1034="费用",L1034=""),"✗ 费用支出要选费用项目",IF(AND(L1034&lt;&gt;"",COUNTIF(基础资料!$AI$5:$AI$54,L1034)=0),"✗ 费用项目不在基础资料里",IF(AND(IFERROR(INDEX(基础资料!$AD$5:$AD$34,MATCH(O1034,基础资料!$AC$5:$AC$34,0)),"")="收",N(G1034)&lt;&gt;0),"✗ 这类是收款，金额填到收入列",IF(AND(IFERROR(INDEX(基础资料!$AD$5:$AD$34,MATCH(O1034,基础资料!$AC$5:$AC$34,0)),"")="支",N(F1034)&lt;&gt;0),"✗ 这类是付款，金额填到支出列",IF(N(H1034)&lt;0,"⚠ 账户余额成负数了，核对一下","√"))))))))))))))))))</f>
      </c>
      <c r="O1034" s="78">
        <f>IF(D1034&lt;&gt;"",D1034,IF(AND(F1034="",G1034=""),"",IF(J1034&lt;&gt;"",IF(N(F1034)&gt;0,"客户回款","客户退款"),IF(K1034&lt;&gt;"",IF(N(G1034)&gt;0,"供应商付款","供应商退款"),IF(L1034&lt;&gt;"","费用支出","")))))</f>
      </c>
      <c r="P1034" s="78">
        <f>IF(O1034="","",IFERROR(INDEX(基础资料!$AE$5:$AE$34,MATCH(O1034,基础资料!$AC$5:$AC$34,0)),"未知"))</f>
      </c>
      <c r="Q1034" s="78">
        <f>IF(P1034="应收",COUNTIF(P$7:P1034,"应收"),"")</f>
      </c>
      <c r="R1034" s="78">
        <f>IF(P1034="应付",COUNTIF(P$7:P1034,"应付"),"")</f>
      </c>
      <c r="S1034" s="78">
        <f>N(F1034)-N(G1034)</f>
        <v>0</v>
      </c>
    </row>
    <row r="1035">
      <c r="A1035" s="109">
        <f>IF(AND(F1035="",G1035=""),"",ROW()-6)</f>
      </c>
      <c r="B1035" s="140" t="n"/>
      <c r="C1035" s="141" t="n"/>
      <c r="D1035" s="141" t="n"/>
      <c r="E1035" s="142" t="n"/>
      <c r="F1035" s="143" t="n"/>
      <c r="G1035" s="144" t="n"/>
      <c r="H1035" s="145">
        <f>IF(OR(C1035="",AND(F1035="",G1035="")),"",SUMIF(基础资料!$W$5:$W$24,C1035,基础资料!$X$5:$X$24)+SUMIF(C$7:C1035,C1035,F$7:F1035)-SUMIF(C$7:C1035,C1035,G$7:G1035))</f>
      </c>
      <c r="I1035" s="145">
        <f>IF(AND(F1035="",G1035=""),"",SUM(基础资料!$X$5:$X$24)+SUM(F$7:F1035)-SUM(G$7:G1035))</f>
      </c>
      <c r="J1035" s="141" t="n"/>
      <c r="K1035" s="141" t="n"/>
      <c r="L1035" s="141" t="n"/>
      <c r="M1035" s="142" t="n"/>
      <c r="N1035" s="146">
        <f>IF(AND(AND(F1035="",G1035=""),B1035="",C1035="",D1035="",J1035="",K1035="",L1035=""),"",IF(AND(F1035="",G1035=""),"✗ 没填金额",IF(AND(N(F1035)&lt;&gt;0,N(G1035)&lt;&gt;0),"✗ 收入、支出只能填一边",IF(NOT(ISNUMBER(B1035)),"✗ 日期不是真日期（要像 2026/9/25 这样填）",IF(OR(B1035&lt;年初日,B1035&gt;年末日),"✗ 日期不在本会计年度",IF(C1035="","✗ 没选账户",IF(COUNTIF(基础资料!$W$5:$W$24,C1035)=0,"✗ 账户不在基础资料里",IF(O1035="","✗ 没选收支项目",IF(P1035="未知","✗ 收支项目不在基础资料里",IF(AND(P1035="应收",J1035=""),"✗ 这笔要选客户",IF(AND(P1035="应收",COUNTIF(总览汇总!$B$5:$B$304,J1035)=0),"✗ 客户不在总览汇总名单里",IF(AND(P1035="应付",K1035=""),"✗ 这笔要选供应商",IF(AND(P1035="应付",COUNTIF(基础资料!$Q$5:$Q$54,K1035)=0),"✗ 供应商不在基础资料里",IF(AND(P1035="费用",L1035=""),"✗ 费用支出要选费用项目",IF(AND(L1035&lt;&gt;"",COUNTIF(基础资料!$AI$5:$AI$54,L1035)=0),"✗ 费用项目不在基础资料里",IF(AND(IFERROR(INDEX(基础资料!$AD$5:$AD$34,MATCH(O1035,基础资料!$AC$5:$AC$34,0)),"")="收",N(G1035)&lt;&gt;0),"✗ 这类是收款，金额填到收入列",IF(AND(IFERROR(INDEX(基础资料!$AD$5:$AD$34,MATCH(O1035,基础资料!$AC$5:$AC$34,0)),"")="支",N(F1035)&lt;&gt;0),"✗ 这类是付款，金额填到支出列",IF(N(H1035)&lt;0,"⚠ 账户余额成负数了，核对一下","√"))))))))))))))))))</f>
      </c>
      <c r="O1035" s="78">
        <f>IF(D1035&lt;&gt;"",D1035,IF(AND(F1035="",G1035=""),"",IF(J1035&lt;&gt;"",IF(N(F1035)&gt;0,"客户回款","客户退款"),IF(K1035&lt;&gt;"",IF(N(G1035)&gt;0,"供应商付款","供应商退款"),IF(L1035&lt;&gt;"","费用支出","")))))</f>
      </c>
      <c r="P1035" s="78">
        <f>IF(O1035="","",IFERROR(INDEX(基础资料!$AE$5:$AE$34,MATCH(O1035,基础资料!$AC$5:$AC$34,0)),"未知"))</f>
      </c>
      <c r="Q1035" s="78">
        <f>IF(P1035="应收",COUNTIF(P$7:P1035,"应收"),"")</f>
      </c>
      <c r="R1035" s="78">
        <f>IF(P1035="应付",COUNTIF(P$7:P1035,"应付"),"")</f>
      </c>
      <c r="S1035" s="78">
        <f>N(F1035)-N(G1035)</f>
        <v>0</v>
      </c>
    </row>
    <row r="1036">
      <c r="A1036" s="109">
        <f>IF(AND(F1036="",G1036=""),"",ROW()-6)</f>
      </c>
      <c r="B1036" s="140" t="n"/>
      <c r="C1036" s="141" t="n"/>
      <c r="D1036" s="141" t="n"/>
      <c r="E1036" s="142" t="n"/>
      <c r="F1036" s="143" t="n"/>
      <c r="G1036" s="144" t="n"/>
      <c r="H1036" s="145">
        <f>IF(OR(C1036="",AND(F1036="",G1036="")),"",SUMIF(基础资料!$W$5:$W$24,C1036,基础资料!$X$5:$X$24)+SUMIF(C$7:C1036,C1036,F$7:F1036)-SUMIF(C$7:C1036,C1036,G$7:G1036))</f>
      </c>
      <c r="I1036" s="145">
        <f>IF(AND(F1036="",G1036=""),"",SUM(基础资料!$X$5:$X$24)+SUM(F$7:F1036)-SUM(G$7:G1036))</f>
      </c>
      <c r="J1036" s="141" t="n"/>
      <c r="K1036" s="141" t="n"/>
      <c r="L1036" s="141" t="n"/>
      <c r="M1036" s="142" t="n"/>
      <c r="N1036" s="146">
        <f>IF(AND(AND(F1036="",G1036=""),B1036="",C1036="",D1036="",J1036="",K1036="",L1036=""),"",IF(AND(F1036="",G1036=""),"✗ 没填金额",IF(AND(N(F1036)&lt;&gt;0,N(G1036)&lt;&gt;0),"✗ 收入、支出只能填一边",IF(NOT(ISNUMBER(B1036)),"✗ 日期不是真日期（要像 2026/9/25 这样填）",IF(OR(B1036&lt;年初日,B1036&gt;年末日),"✗ 日期不在本会计年度",IF(C1036="","✗ 没选账户",IF(COUNTIF(基础资料!$W$5:$W$24,C1036)=0,"✗ 账户不在基础资料里",IF(O1036="","✗ 没选收支项目",IF(P1036="未知","✗ 收支项目不在基础资料里",IF(AND(P1036="应收",J1036=""),"✗ 这笔要选客户",IF(AND(P1036="应收",COUNTIF(总览汇总!$B$5:$B$304,J1036)=0),"✗ 客户不在总览汇总名单里",IF(AND(P1036="应付",K1036=""),"✗ 这笔要选供应商",IF(AND(P1036="应付",COUNTIF(基础资料!$Q$5:$Q$54,K1036)=0),"✗ 供应商不在基础资料里",IF(AND(P1036="费用",L1036=""),"✗ 费用支出要选费用项目",IF(AND(L1036&lt;&gt;"",COUNTIF(基础资料!$AI$5:$AI$54,L1036)=0),"✗ 费用项目不在基础资料里",IF(AND(IFERROR(INDEX(基础资料!$AD$5:$AD$34,MATCH(O1036,基础资料!$AC$5:$AC$34,0)),"")="收",N(G1036)&lt;&gt;0),"✗ 这类是收款，金额填到收入列",IF(AND(IFERROR(INDEX(基础资料!$AD$5:$AD$34,MATCH(O1036,基础资料!$AC$5:$AC$34,0)),"")="支",N(F1036)&lt;&gt;0),"✗ 这类是付款，金额填到支出列",IF(N(H1036)&lt;0,"⚠ 账户余额成负数了，核对一下","√"))))))))))))))))))</f>
      </c>
      <c r="O1036" s="78">
        <f>IF(D1036&lt;&gt;"",D1036,IF(AND(F1036="",G1036=""),"",IF(J1036&lt;&gt;"",IF(N(F1036)&gt;0,"客户回款","客户退款"),IF(K1036&lt;&gt;"",IF(N(G1036)&gt;0,"供应商付款","供应商退款"),IF(L1036&lt;&gt;"","费用支出","")))))</f>
      </c>
      <c r="P1036" s="78">
        <f>IF(O1036="","",IFERROR(INDEX(基础资料!$AE$5:$AE$34,MATCH(O1036,基础资料!$AC$5:$AC$34,0)),"未知"))</f>
      </c>
      <c r="Q1036" s="78">
        <f>IF(P1036="应收",COUNTIF(P$7:P1036,"应收"),"")</f>
      </c>
      <c r="R1036" s="78">
        <f>IF(P1036="应付",COUNTIF(P$7:P1036,"应付"),"")</f>
      </c>
      <c r="S1036" s="78">
        <f>N(F1036)-N(G1036)</f>
        <v>0</v>
      </c>
    </row>
    <row r="1037">
      <c r="A1037" s="109">
        <f>IF(AND(F1037="",G1037=""),"",ROW()-6)</f>
      </c>
      <c r="B1037" s="140" t="n"/>
      <c r="C1037" s="141" t="n"/>
      <c r="D1037" s="141" t="n"/>
      <c r="E1037" s="142" t="n"/>
      <c r="F1037" s="143" t="n"/>
      <c r="G1037" s="144" t="n"/>
      <c r="H1037" s="145">
        <f>IF(OR(C1037="",AND(F1037="",G1037="")),"",SUMIF(基础资料!$W$5:$W$24,C1037,基础资料!$X$5:$X$24)+SUMIF(C$7:C1037,C1037,F$7:F1037)-SUMIF(C$7:C1037,C1037,G$7:G1037))</f>
      </c>
      <c r="I1037" s="145">
        <f>IF(AND(F1037="",G1037=""),"",SUM(基础资料!$X$5:$X$24)+SUM(F$7:F1037)-SUM(G$7:G1037))</f>
      </c>
      <c r="J1037" s="141" t="n"/>
      <c r="K1037" s="141" t="n"/>
      <c r="L1037" s="141" t="n"/>
      <c r="M1037" s="142" t="n"/>
      <c r="N1037" s="146">
        <f>IF(AND(AND(F1037="",G1037=""),B1037="",C1037="",D1037="",J1037="",K1037="",L1037=""),"",IF(AND(F1037="",G1037=""),"✗ 没填金额",IF(AND(N(F1037)&lt;&gt;0,N(G1037)&lt;&gt;0),"✗ 收入、支出只能填一边",IF(NOT(ISNUMBER(B1037)),"✗ 日期不是真日期（要像 2026/9/25 这样填）",IF(OR(B1037&lt;年初日,B1037&gt;年末日),"✗ 日期不在本会计年度",IF(C1037="","✗ 没选账户",IF(COUNTIF(基础资料!$W$5:$W$24,C1037)=0,"✗ 账户不在基础资料里",IF(O1037="","✗ 没选收支项目",IF(P1037="未知","✗ 收支项目不在基础资料里",IF(AND(P1037="应收",J1037=""),"✗ 这笔要选客户",IF(AND(P1037="应收",COUNTIF(总览汇总!$B$5:$B$304,J1037)=0),"✗ 客户不在总览汇总名单里",IF(AND(P1037="应付",K1037=""),"✗ 这笔要选供应商",IF(AND(P1037="应付",COUNTIF(基础资料!$Q$5:$Q$54,K1037)=0),"✗ 供应商不在基础资料里",IF(AND(P1037="费用",L1037=""),"✗ 费用支出要选费用项目",IF(AND(L1037&lt;&gt;"",COUNTIF(基础资料!$AI$5:$AI$54,L1037)=0),"✗ 费用项目不在基础资料里",IF(AND(IFERROR(INDEX(基础资料!$AD$5:$AD$34,MATCH(O1037,基础资料!$AC$5:$AC$34,0)),"")="收",N(G1037)&lt;&gt;0),"✗ 这类是收款，金额填到收入列",IF(AND(IFERROR(INDEX(基础资料!$AD$5:$AD$34,MATCH(O1037,基础资料!$AC$5:$AC$34,0)),"")="支",N(F1037)&lt;&gt;0),"✗ 这类是付款，金额填到支出列",IF(N(H1037)&lt;0,"⚠ 账户余额成负数了，核对一下","√"))))))))))))))))))</f>
      </c>
      <c r="O1037" s="78">
        <f>IF(D1037&lt;&gt;"",D1037,IF(AND(F1037="",G1037=""),"",IF(J1037&lt;&gt;"",IF(N(F1037)&gt;0,"客户回款","客户退款"),IF(K1037&lt;&gt;"",IF(N(G1037)&gt;0,"供应商付款","供应商退款"),IF(L1037&lt;&gt;"","费用支出","")))))</f>
      </c>
      <c r="P1037" s="78">
        <f>IF(O1037="","",IFERROR(INDEX(基础资料!$AE$5:$AE$34,MATCH(O1037,基础资料!$AC$5:$AC$34,0)),"未知"))</f>
      </c>
      <c r="Q1037" s="78">
        <f>IF(P1037="应收",COUNTIF(P$7:P1037,"应收"),"")</f>
      </c>
      <c r="R1037" s="78">
        <f>IF(P1037="应付",COUNTIF(P$7:P1037,"应付"),"")</f>
      </c>
      <c r="S1037" s="78">
        <f>N(F1037)-N(G1037)</f>
        <v>0</v>
      </c>
    </row>
    <row r="1038">
      <c r="A1038" s="109">
        <f>IF(AND(F1038="",G1038=""),"",ROW()-6)</f>
      </c>
      <c r="B1038" s="140" t="n"/>
      <c r="C1038" s="141" t="n"/>
      <c r="D1038" s="141" t="n"/>
      <c r="E1038" s="142" t="n"/>
      <c r="F1038" s="143" t="n"/>
      <c r="G1038" s="144" t="n"/>
      <c r="H1038" s="145">
        <f>IF(OR(C1038="",AND(F1038="",G1038="")),"",SUMIF(基础资料!$W$5:$W$24,C1038,基础资料!$X$5:$X$24)+SUMIF(C$7:C1038,C1038,F$7:F1038)-SUMIF(C$7:C1038,C1038,G$7:G1038))</f>
      </c>
      <c r="I1038" s="145">
        <f>IF(AND(F1038="",G1038=""),"",SUM(基础资料!$X$5:$X$24)+SUM(F$7:F1038)-SUM(G$7:G1038))</f>
      </c>
      <c r="J1038" s="141" t="n"/>
      <c r="K1038" s="141" t="n"/>
      <c r="L1038" s="141" t="n"/>
      <c r="M1038" s="142" t="n"/>
      <c r="N1038" s="146">
        <f>IF(AND(AND(F1038="",G1038=""),B1038="",C1038="",D1038="",J1038="",K1038="",L1038=""),"",IF(AND(F1038="",G1038=""),"✗ 没填金额",IF(AND(N(F1038)&lt;&gt;0,N(G1038)&lt;&gt;0),"✗ 收入、支出只能填一边",IF(NOT(ISNUMBER(B1038)),"✗ 日期不是真日期（要像 2026/9/25 这样填）",IF(OR(B1038&lt;年初日,B1038&gt;年末日),"✗ 日期不在本会计年度",IF(C1038="","✗ 没选账户",IF(COUNTIF(基础资料!$W$5:$W$24,C1038)=0,"✗ 账户不在基础资料里",IF(O1038="","✗ 没选收支项目",IF(P1038="未知","✗ 收支项目不在基础资料里",IF(AND(P1038="应收",J1038=""),"✗ 这笔要选客户",IF(AND(P1038="应收",COUNTIF(总览汇总!$B$5:$B$304,J1038)=0),"✗ 客户不在总览汇总名单里",IF(AND(P1038="应付",K1038=""),"✗ 这笔要选供应商",IF(AND(P1038="应付",COUNTIF(基础资料!$Q$5:$Q$54,K1038)=0),"✗ 供应商不在基础资料里",IF(AND(P1038="费用",L1038=""),"✗ 费用支出要选费用项目",IF(AND(L1038&lt;&gt;"",COUNTIF(基础资料!$AI$5:$AI$54,L1038)=0),"✗ 费用项目不在基础资料里",IF(AND(IFERROR(INDEX(基础资料!$AD$5:$AD$34,MATCH(O1038,基础资料!$AC$5:$AC$34,0)),"")="收",N(G1038)&lt;&gt;0),"✗ 这类是收款，金额填到收入列",IF(AND(IFERROR(INDEX(基础资料!$AD$5:$AD$34,MATCH(O1038,基础资料!$AC$5:$AC$34,0)),"")="支",N(F1038)&lt;&gt;0),"✗ 这类是付款，金额填到支出列",IF(N(H1038)&lt;0,"⚠ 账户余额成负数了，核对一下","√"))))))))))))))))))</f>
      </c>
      <c r="O1038" s="78">
        <f>IF(D1038&lt;&gt;"",D1038,IF(AND(F1038="",G1038=""),"",IF(J1038&lt;&gt;"",IF(N(F1038)&gt;0,"客户回款","客户退款"),IF(K1038&lt;&gt;"",IF(N(G1038)&gt;0,"供应商付款","供应商退款"),IF(L1038&lt;&gt;"","费用支出","")))))</f>
      </c>
      <c r="P1038" s="78">
        <f>IF(O1038="","",IFERROR(INDEX(基础资料!$AE$5:$AE$34,MATCH(O1038,基础资料!$AC$5:$AC$34,0)),"未知"))</f>
      </c>
      <c r="Q1038" s="78">
        <f>IF(P1038="应收",COUNTIF(P$7:P1038,"应收"),"")</f>
      </c>
      <c r="R1038" s="78">
        <f>IF(P1038="应付",COUNTIF(P$7:P1038,"应付"),"")</f>
      </c>
      <c r="S1038" s="78">
        <f>N(F1038)-N(G1038)</f>
        <v>0</v>
      </c>
    </row>
    <row r="1039">
      <c r="A1039" s="109">
        <f>IF(AND(F1039="",G1039=""),"",ROW()-6)</f>
      </c>
      <c r="B1039" s="140" t="n"/>
      <c r="C1039" s="141" t="n"/>
      <c r="D1039" s="141" t="n"/>
      <c r="E1039" s="142" t="n"/>
      <c r="F1039" s="143" t="n"/>
      <c r="G1039" s="144" t="n"/>
      <c r="H1039" s="145">
        <f>IF(OR(C1039="",AND(F1039="",G1039="")),"",SUMIF(基础资料!$W$5:$W$24,C1039,基础资料!$X$5:$X$24)+SUMIF(C$7:C1039,C1039,F$7:F1039)-SUMIF(C$7:C1039,C1039,G$7:G1039))</f>
      </c>
      <c r="I1039" s="145">
        <f>IF(AND(F1039="",G1039=""),"",SUM(基础资料!$X$5:$X$24)+SUM(F$7:F1039)-SUM(G$7:G1039))</f>
      </c>
      <c r="J1039" s="141" t="n"/>
      <c r="K1039" s="141" t="n"/>
      <c r="L1039" s="141" t="n"/>
      <c r="M1039" s="142" t="n"/>
      <c r="N1039" s="146">
        <f>IF(AND(AND(F1039="",G1039=""),B1039="",C1039="",D1039="",J1039="",K1039="",L1039=""),"",IF(AND(F1039="",G1039=""),"✗ 没填金额",IF(AND(N(F1039)&lt;&gt;0,N(G1039)&lt;&gt;0),"✗ 收入、支出只能填一边",IF(NOT(ISNUMBER(B1039)),"✗ 日期不是真日期（要像 2026/9/25 这样填）",IF(OR(B1039&lt;年初日,B1039&gt;年末日),"✗ 日期不在本会计年度",IF(C1039="","✗ 没选账户",IF(COUNTIF(基础资料!$W$5:$W$24,C1039)=0,"✗ 账户不在基础资料里",IF(O1039="","✗ 没选收支项目",IF(P1039="未知","✗ 收支项目不在基础资料里",IF(AND(P1039="应收",J1039=""),"✗ 这笔要选客户",IF(AND(P1039="应收",COUNTIF(总览汇总!$B$5:$B$304,J1039)=0),"✗ 客户不在总览汇总名单里",IF(AND(P1039="应付",K1039=""),"✗ 这笔要选供应商",IF(AND(P1039="应付",COUNTIF(基础资料!$Q$5:$Q$54,K1039)=0),"✗ 供应商不在基础资料里",IF(AND(P1039="费用",L1039=""),"✗ 费用支出要选费用项目",IF(AND(L1039&lt;&gt;"",COUNTIF(基础资料!$AI$5:$AI$54,L1039)=0),"✗ 费用项目不在基础资料里",IF(AND(IFERROR(INDEX(基础资料!$AD$5:$AD$34,MATCH(O1039,基础资料!$AC$5:$AC$34,0)),"")="收",N(G1039)&lt;&gt;0),"✗ 这类是收款，金额填到收入列",IF(AND(IFERROR(INDEX(基础资料!$AD$5:$AD$34,MATCH(O1039,基础资料!$AC$5:$AC$34,0)),"")="支",N(F1039)&lt;&gt;0),"✗ 这类是付款，金额填到支出列",IF(N(H1039)&lt;0,"⚠ 账户余额成负数了，核对一下","√"))))))))))))))))))</f>
      </c>
      <c r="O1039" s="78">
        <f>IF(D1039&lt;&gt;"",D1039,IF(AND(F1039="",G1039=""),"",IF(J1039&lt;&gt;"",IF(N(F1039)&gt;0,"客户回款","客户退款"),IF(K1039&lt;&gt;"",IF(N(G1039)&gt;0,"供应商付款","供应商退款"),IF(L1039&lt;&gt;"","费用支出","")))))</f>
      </c>
      <c r="P1039" s="78">
        <f>IF(O1039="","",IFERROR(INDEX(基础资料!$AE$5:$AE$34,MATCH(O1039,基础资料!$AC$5:$AC$34,0)),"未知"))</f>
      </c>
      <c r="Q1039" s="78">
        <f>IF(P1039="应收",COUNTIF(P$7:P1039,"应收"),"")</f>
      </c>
      <c r="R1039" s="78">
        <f>IF(P1039="应付",COUNTIF(P$7:P1039,"应付"),"")</f>
      </c>
      <c r="S1039" s="78">
        <f>N(F1039)-N(G1039)</f>
        <v>0</v>
      </c>
    </row>
    <row r="1040">
      <c r="A1040" s="109">
        <f>IF(AND(F1040="",G1040=""),"",ROW()-6)</f>
      </c>
      <c r="B1040" s="140" t="n"/>
      <c r="C1040" s="141" t="n"/>
      <c r="D1040" s="141" t="n"/>
      <c r="E1040" s="142" t="n"/>
      <c r="F1040" s="143" t="n"/>
      <c r="G1040" s="144" t="n"/>
      <c r="H1040" s="145">
        <f>IF(OR(C1040="",AND(F1040="",G1040="")),"",SUMIF(基础资料!$W$5:$W$24,C1040,基础资料!$X$5:$X$24)+SUMIF(C$7:C1040,C1040,F$7:F1040)-SUMIF(C$7:C1040,C1040,G$7:G1040))</f>
      </c>
      <c r="I1040" s="145">
        <f>IF(AND(F1040="",G1040=""),"",SUM(基础资料!$X$5:$X$24)+SUM(F$7:F1040)-SUM(G$7:G1040))</f>
      </c>
      <c r="J1040" s="141" t="n"/>
      <c r="K1040" s="141" t="n"/>
      <c r="L1040" s="141" t="n"/>
      <c r="M1040" s="142" t="n"/>
      <c r="N1040" s="146">
        <f>IF(AND(AND(F1040="",G1040=""),B1040="",C1040="",D1040="",J1040="",K1040="",L1040=""),"",IF(AND(F1040="",G1040=""),"✗ 没填金额",IF(AND(N(F1040)&lt;&gt;0,N(G1040)&lt;&gt;0),"✗ 收入、支出只能填一边",IF(NOT(ISNUMBER(B1040)),"✗ 日期不是真日期（要像 2026/9/25 这样填）",IF(OR(B1040&lt;年初日,B1040&gt;年末日),"✗ 日期不在本会计年度",IF(C1040="","✗ 没选账户",IF(COUNTIF(基础资料!$W$5:$W$24,C1040)=0,"✗ 账户不在基础资料里",IF(O1040="","✗ 没选收支项目",IF(P1040="未知","✗ 收支项目不在基础资料里",IF(AND(P1040="应收",J1040=""),"✗ 这笔要选客户",IF(AND(P1040="应收",COUNTIF(总览汇总!$B$5:$B$304,J1040)=0),"✗ 客户不在总览汇总名单里",IF(AND(P1040="应付",K1040=""),"✗ 这笔要选供应商",IF(AND(P1040="应付",COUNTIF(基础资料!$Q$5:$Q$54,K1040)=0),"✗ 供应商不在基础资料里",IF(AND(P1040="费用",L1040=""),"✗ 费用支出要选费用项目",IF(AND(L1040&lt;&gt;"",COUNTIF(基础资料!$AI$5:$AI$54,L1040)=0),"✗ 费用项目不在基础资料里",IF(AND(IFERROR(INDEX(基础资料!$AD$5:$AD$34,MATCH(O1040,基础资料!$AC$5:$AC$34,0)),"")="收",N(G1040)&lt;&gt;0),"✗ 这类是收款，金额填到收入列",IF(AND(IFERROR(INDEX(基础资料!$AD$5:$AD$34,MATCH(O1040,基础资料!$AC$5:$AC$34,0)),"")="支",N(F1040)&lt;&gt;0),"✗ 这类是付款，金额填到支出列",IF(N(H1040)&lt;0,"⚠ 账户余额成负数了，核对一下","√"))))))))))))))))))</f>
      </c>
      <c r="O1040" s="78">
        <f>IF(D1040&lt;&gt;"",D1040,IF(AND(F1040="",G1040=""),"",IF(J1040&lt;&gt;"",IF(N(F1040)&gt;0,"客户回款","客户退款"),IF(K1040&lt;&gt;"",IF(N(G1040)&gt;0,"供应商付款","供应商退款"),IF(L1040&lt;&gt;"","费用支出","")))))</f>
      </c>
      <c r="P1040" s="78">
        <f>IF(O1040="","",IFERROR(INDEX(基础资料!$AE$5:$AE$34,MATCH(O1040,基础资料!$AC$5:$AC$34,0)),"未知"))</f>
      </c>
      <c r="Q1040" s="78">
        <f>IF(P1040="应收",COUNTIF(P$7:P1040,"应收"),"")</f>
      </c>
      <c r="R1040" s="78">
        <f>IF(P1040="应付",COUNTIF(P$7:P1040,"应付"),"")</f>
      </c>
      <c r="S1040" s="78">
        <f>N(F1040)-N(G1040)</f>
        <v>0</v>
      </c>
    </row>
    <row r="1041">
      <c r="A1041" s="109">
        <f>IF(AND(F1041="",G1041=""),"",ROW()-6)</f>
      </c>
      <c r="B1041" s="140" t="n"/>
      <c r="C1041" s="141" t="n"/>
      <c r="D1041" s="141" t="n"/>
      <c r="E1041" s="142" t="n"/>
      <c r="F1041" s="143" t="n"/>
      <c r="G1041" s="144" t="n"/>
      <c r="H1041" s="145">
        <f>IF(OR(C1041="",AND(F1041="",G1041="")),"",SUMIF(基础资料!$W$5:$W$24,C1041,基础资料!$X$5:$X$24)+SUMIF(C$7:C1041,C1041,F$7:F1041)-SUMIF(C$7:C1041,C1041,G$7:G1041))</f>
      </c>
      <c r="I1041" s="145">
        <f>IF(AND(F1041="",G1041=""),"",SUM(基础资料!$X$5:$X$24)+SUM(F$7:F1041)-SUM(G$7:G1041))</f>
      </c>
      <c r="J1041" s="141" t="n"/>
      <c r="K1041" s="141" t="n"/>
      <c r="L1041" s="141" t="n"/>
      <c r="M1041" s="142" t="n"/>
      <c r="N1041" s="146">
        <f>IF(AND(AND(F1041="",G1041=""),B1041="",C1041="",D1041="",J1041="",K1041="",L1041=""),"",IF(AND(F1041="",G1041=""),"✗ 没填金额",IF(AND(N(F1041)&lt;&gt;0,N(G1041)&lt;&gt;0),"✗ 收入、支出只能填一边",IF(NOT(ISNUMBER(B1041)),"✗ 日期不是真日期（要像 2026/9/25 这样填）",IF(OR(B1041&lt;年初日,B1041&gt;年末日),"✗ 日期不在本会计年度",IF(C1041="","✗ 没选账户",IF(COUNTIF(基础资料!$W$5:$W$24,C1041)=0,"✗ 账户不在基础资料里",IF(O1041="","✗ 没选收支项目",IF(P1041="未知","✗ 收支项目不在基础资料里",IF(AND(P1041="应收",J1041=""),"✗ 这笔要选客户",IF(AND(P1041="应收",COUNTIF(总览汇总!$B$5:$B$304,J1041)=0),"✗ 客户不在总览汇总名单里",IF(AND(P1041="应付",K1041=""),"✗ 这笔要选供应商",IF(AND(P1041="应付",COUNTIF(基础资料!$Q$5:$Q$54,K1041)=0),"✗ 供应商不在基础资料里",IF(AND(P1041="费用",L1041=""),"✗ 费用支出要选费用项目",IF(AND(L1041&lt;&gt;"",COUNTIF(基础资料!$AI$5:$AI$54,L1041)=0),"✗ 费用项目不在基础资料里",IF(AND(IFERROR(INDEX(基础资料!$AD$5:$AD$34,MATCH(O1041,基础资料!$AC$5:$AC$34,0)),"")="收",N(G1041)&lt;&gt;0),"✗ 这类是收款，金额填到收入列",IF(AND(IFERROR(INDEX(基础资料!$AD$5:$AD$34,MATCH(O1041,基础资料!$AC$5:$AC$34,0)),"")="支",N(F1041)&lt;&gt;0),"✗ 这类是付款，金额填到支出列",IF(N(H1041)&lt;0,"⚠ 账户余额成负数了，核对一下","√"))))))))))))))))))</f>
      </c>
      <c r="O1041" s="78">
        <f>IF(D1041&lt;&gt;"",D1041,IF(AND(F1041="",G1041=""),"",IF(J1041&lt;&gt;"",IF(N(F1041)&gt;0,"客户回款","客户退款"),IF(K1041&lt;&gt;"",IF(N(G1041)&gt;0,"供应商付款","供应商退款"),IF(L1041&lt;&gt;"","费用支出","")))))</f>
      </c>
      <c r="P1041" s="78">
        <f>IF(O1041="","",IFERROR(INDEX(基础资料!$AE$5:$AE$34,MATCH(O1041,基础资料!$AC$5:$AC$34,0)),"未知"))</f>
      </c>
      <c r="Q1041" s="78">
        <f>IF(P1041="应收",COUNTIF(P$7:P1041,"应收"),"")</f>
      </c>
      <c r="R1041" s="78">
        <f>IF(P1041="应付",COUNTIF(P$7:P1041,"应付"),"")</f>
      </c>
      <c r="S1041" s="78">
        <f>N(F1041)-N(G1041)</f>
        <v>0</v>
      </c>
    </row>
    <row r="1042">
      <c r="A1042" s="109">
        <f>IF(AND(F1042="",G1042=""),"",ROW()-6)</f>
      </c>
      <c r="B1042" s="140" t="n"/>
      <c r="C1042" s="141" t="n"/>
      <c r="D1042" s="141" t="n"/>
      <c r="E1042" s="142" t="n"/>
      <c r="F1042" s="143" t="n"/>
      <c r="G1042" s="144" t="n"/>
      <c r="H1042" s="145">
        <f>IF(OR(C1042="",AND(F1042="",G1042="")),"",SUMIF(基础资料!$W$5:$W$24,C1042,基础资料!$X$5:$X$24)+SUMIF(C$7:C1042,C1042,F$7:F1042)-SUMIF(C$7:C1042,C1042,G$7:G1042))</f>
      </c>
      <c r="I1042" s="145">
        <f>IF(AND(F1042="",G1042=""),"",SUM(基础资料!$X$5:$X$24)+SUM(F$7:F1042)-SUM(G$7:G1042))</f>
      </c>
      <c r="J1042" s="141" t="n"/>
      <c r="K1042" s="141" t="n"/>
      <c r="L1042" s="141" t="n"/>
      <c r="M1042" s="142" t="n"/>
      <c r="N1042" s="146">
        <f>IF(AND(AND(F1042="",G1042=""),B1042="",C1042="",D1042="",J1042="",K1042="",L1042=""),"",IF(AND(F1042="",G1042=""),"✗ 没填金额",IF(AND(N(F1042)&lt;&gt;0,N(G1042)&lt;&gt;0),"✗ 收入、支出只能填一边",IF(NOT(ISNUMBER(B1042)),"✗ 日期不是真日期（要像 2026/9/25 这样填）",IF(OR(B1042&lt;年初日,B1042&gt;年末日),"✗ 日期不在本会计年度",IF(C1042="","✗ 没选账户",IF(COUNTIF(基础资料!$W$5:$W$24,C1042)=0,"✗ 账户不在基础资料里",IF(O1042="","✗ 没选收支项目",IF(P1042="未知","✗ 收支项目不在基础资料里",IF(AND(P1042="应收",J1042=""),"✗ 这笔要选客户",IF(AND(P1042="应收",COUNTIF(总览汇总!$B$5:$B$304,J1042)=0),"✗ 客户不在总览汇总名单里",IF(AND(P1042="应付",K1042=""),"✗ 这笔要选供应商",IF(AND(P1042="应付",COUNTIF(基础资料!$Q$5:$Q$54,K1042)=0),"✗ 供应商不在基础资料里",IF(AND(P1042="费用",L1042=""),"✗ 费用支出要选费用项目",IF(AND(L1042&lt;&gt;"",COUNTIF(基础资料!$AI$5:$AI$54,L1042)=0),"✗ 费用项目不在基础资料里",IF(AND(IFERROR(INDEX(基础资料!$AD$5:$AD$34,MATCH(O1042,基础资料!$AC$5:$AC$34,0)),"")="收",N(G1042)&lt;&gt;0),"✗ 这类是收款，金额填到收入列",IF(AND(IFERROR(INDEX(基础资料!$AD$5:$AD$34,MATCH(O1042,基础资料!$AC$5:$AC$34,0)),"")="支",N(F1042)&lt;&gt;0),"✗ 这类是付款，金额填到支出列",IF(N(H1042)&lt;0,"⚠ 账户余额成负数了，核对一下","√"))))))))))))))))))</f>
      </c>
      <c r="O1042" s="78">
        <f>IF(D1042&lt;&gt;"",D1042,IF(AND(F1042="",G1042=""),"",IF(J1042&lt;&gt;"",IF(N(F1042)&gt;0,"客户回款","客户退款"),IF(K1042&lt;&gt;"",IF(N(G1042)&gt;0,"供应商付款","供应商退款"),IF(L1042&lt;&gt;"","费用支出","")))))</f>
      </c>
      <c r="P1042" s="78">
        <f>IF(O1042="","",IFERROR(INDEX(基础资料!$AE$5:$AE$34,MATCH(O1042,基础资料!$AC$5:$AC$34,0)),"未知"))</f>
      </c>
      <c r="Q1042" s="78">
        <f>IF(P1042="应收",COUNTIF(P$7:P1042,"应收"),"")</f>
      </c>
      <c r="R1042" s="78">
        <f>IF(P1042="应付",COUNTIF(P$7:P1042,"应付"),"")</f>
      </c>
      <c r="S1042" s="78">
        <f>N(F1042)-N(G1042)</f>
        <v>0</v>
      </c>
    </row>
    <row r="1043">
      <c r="A1043" s="109">
        <f>IF(AND(F1043="",G1043=""),"",ROW()-6)</f>
      </c>
      <c r="B1043" s="140" t="n"/>
      <c r="C1043" s="141" t="n"/>
      <c r="D1043" s="141" t="n"/>
      <c r="E1043" s="142" t="n"/>
      <c r="F1043" s="143" t="n"/>
      <c r="G1043" s="144" t="n"/>
      <c r="H1043" s="145">
        <f>IF(OR(C1043="",AND(F1043="",G1043="")),"",SUMIF(基础资料!$W$5:$W$24,C1043,基础资料!$X$5:$X$24)+SUMIF(C$7:C1043,C1043,F$7:F1043)-SUMIF(C$7:C1043,C1043,G$7:G1043))</f>
      </c>
      <c r="I1043" s="145">
        <f>IF(AND(F1043="",G1043=""),"",SUM(基础资料!$X$5:$X$24)+SUM(F$7:F1043)-SUM(G$7:G1043))</f>
      </c>
      <c r="J1043" s="141" t="n"/>
      <c r="K1043" s="141" t="n"/>
      <c r="L1043" s="141" t="n"/>
      <c r="M1043" s="142" t="n"/>
      <c r="N1043" s="146">
        <f>IF(AND(AND(F1043="",G1043=""),B1043="",C1043="",D1043="",J1043="",K1043="",L1043=""),"",IF(AND(F1043="",G1043=""),"✗ 没填金额",IF(AND(N(F1043)&lt;&gt;0,N(G1043)&lt;&gt;0),"✗ 收入、支出只能填一边",IF(NOT(ISNUMBER(B1043)),"✗ 日期不是真日期（要像 2026/9/25 这样填）",IF(OR(B1043&lt;年初日,B1043&gt;年末日),"✗ 日期不在本会计年度",IF(C1043="","✗ 没选账户",IF(COUNTIF(基础资料!$W$5:$W$24,C1043)=0,"✗ 账户不在基础资料里",IF(O1043="","✗ 没选收支项目",IF(P1043="未知","✗ 收支项目不在基础资料里",IF(AND(P1043="应收",J1043=""),"✗ 这笔要选客户",IF(AND(P1043="应收",COUNTIF(总览汇总!$B$5:$B$304,J1043)=0),"✗ 客户不在总览汇总名单里",IF(AND(P1043="应付",K1043=""),"✗ 这笔要选供应商",IF(AND(P1043="应付",COUNTIF(基础资料!$Q$5:$Q$54,K1043)=0),"✗ 供应商不在基础资料里",IF(AND(P1043="费用",L1043=""),"✗ 费用支出要选费用项目",IF(AND(L1043&lt;&gt;"",COUNTIF(基础资料!$AI$5:$AI$54,L1043)=0),"✗ 费用项目不在基础资料里",IF(AND(IFERROR(INDEX(基础资料!$AD$5:$AD$34,MATCH(O1043,基础资料!$AC$5:$AC$34,0)),"")="收",N(G1043)&lt;&gt;0),"✗ 这类是收款，金额填到收入列",IF(AND(IFERROR(INDEX(基础资料!$AD$5:$AD$34,MATCH(O1043,基础资料!$AC$5:$AC$34,0)),"")="支",N(F1043)&lt;&gt;0),"✗ 这类是付款，金额填到支出列",IF(N(H1043)&lt;0,"⚠ 账户余额成负数了，核对一下","√"))))))))))))))))))</f>
      </c>
      <c r="O1043" s="78">
        <f>IF(D1043&lt;&gt;"",D1043,IF(AND(F1043="",G1043=""),"",IF(J1043&lt;&gt;"",IF(N(F1043)&gt;0,"客户回款","客户退款"),IF(K1043&lt;&gt;"",IF(N(G1043)&gt;0,"供应商付款","供应商退款"),IF(L1043&lt;&gt;"","费用支出","")))))</f>
      </c>
      <c r="P1043" s="78">
        <f>IF(O1043="","",IFERROR(INDEX(基础资料!$AE$5:$AE$34,MATCH(O1043,基础资料!$AC$5:$AC$34,0)),"未知"))</f>
      </c>
      <c r="Q1043" s="78">
        <f>IF(P1043="应收",COUNTIF(P$7:P1043,"应收"),"")</f>
      </c>
      <c r="R1043" s="78">
        <f>IF(P1043="应付",COUNTIF(P$7:P1043,"应付"),"")</f>
      </c>
      <c r="S1043" s="78">
        <f>N(F1043)-N(G1043)</f>
        <v>0</v>
      </c>
    </row>
    <row r="1044">
      <c r="A1044" s="109">
        <f>IF(AND(F1044="",G1044=""),"",ROW()-6)</f>
      </c>
      <c r="B1044" s="140" t="n"/>
      <c r="C1044" s="141" t="n"/>
      <c r="D1044" s="141" t="n"/>
      <c r="E1044" s="142" t="n"/>
      <c r="F1044" s="143" t="n"/>
      <c r="G1044" s="144" t="n"/>
      <c r="H1044" s="145">
        <f>IF(OR(C1044="",AND(F1044="",G1044="")),"",SUMIF(基础资料!$W$5:$W$24,C1044,基础资料!$X$5:$X$24)+SUMIF(C$7:C1044,C1044,F$7:F1044)-SUMIF(C$7:C1044,C1044,G$7:G1044))</f>
      </c>
      <c r="I1044" s="145">
        <f>IF(AND(F1044="",G1044=""),"",SUM(基础资料!$X$5:$X$24)+SUM(F$7:F1044)-SUM(G$7:G1044))</f>
      </c>
      <c r="J1044" s="141" t="n"/>
      <c r="K1044" s="141" t="n"/>
      <c r="L1044" s="141" t="n"/>
      <c r="M1044" s="142" t="n"/>
      <c r="N1044" s="146">
        <f>IF(AND(AND(F1044="",G1044=""),B1044="",C1044="",D1044="",J1044="",K1044="",L1044=""),"",IF(AND(F1044="",G1044=""),"✗ 没填金额",IF(AND(N(F1044)&lt;&gt;0,N(G1044)&lt;&gt;0),"✗ 收入、支出只能填一边",IF(NOT(ISNUMBER(B1044)),"✗ 日期不是真日期（要像 2026/9/25 这样填）",IF(OR(B1044&lt;年初日,B1044&gt;年末日),"✗ 日期不在本会计年度",IF(C1044="","✗ 没选账户",IF(COUNTIF(基础资料!$W$5:$W$24,C1044)=0,"✗ 账户不在基础资料里",IF(O1044="","✗ 没选收支项目",IF(P1044="未知","✗ 收支项目不在基础资料里",IF(AND(P1044="应收",J1044=""),"✗ 这笔要选客户",IF(AND(P1044="应收",COUNTIF(总览汇总!$B$5:$B$304,J1044)=0),"✗ 客户不在总览汇总名单里",IF(AND(P1044="应付",K1044=""),"✗ 这笔要选供应商",IF(AND(P1044="应付",COUNTIF(基础资料!$Q$5:$Q$54,K1044)=0),"✗ 供应商不在基础资料里",IF(AND(P1044="费用",L1044=""),"✗ 费用支出要选费用项目",IF(AND(L1044&lt;&gt;"",COUNTIF(基础资料!$AI$5:$AI$54,L1044)=0),"✗ 费用项目不在基础资料里",IF(AND(IFERROR(INDEX(基础资料!$AD$5:$AD$34,MATCH(O1044,基础资料!$AC$5:$AC$34,0)),"")="收",N(G1044)&lt;&gt;0),"✗ 这类是收款，金额填到收入列",IF(AND(IFERROR(INDEX(基础资料!$AD$5:$AD$34,MATCH(O1044,基础资料!$AC$5:$AC$34,0)),"")="支",N(F1044)&lt;&gt;0),"✗ 这类是付款，金额填到支出列",IF(N(H1044)&lt;0,"⚠ 账户余额成负数了，核对一下","√"))))))))))))))))))</f>
      </c>
      <c r="O1044" s="78">
        <f>IF(D1044&lt;&gt;"",D1044,IF(AND(F1044="",G1044=""),"",IF(J1044&lt;&gt;"",IF(N(F1044)&gt;0,"客户回款","客户退款"),IF(K1044&lt;&gt;"",IF(N(G1044)&gt;0,"供应商付款","供应商退款"),IF(L1044&lt;&gt;"","费用支出","")))))</f>
      </c>
      <c r="P1044" s="78">
        <f>IF(O1044="","",IFERROR(INDEX(基础资料!$AE$5:$AE$34,MATCH(O1044,基础资料!$AC$5:$AC$34,0)),"未知"))</f>
      </c>
      <c r="Q1044" s="78">
        <f>IF(P1044="应收",COUNTIF(P$7:P1044,"应收"),"")</f>
      </c>
      <c r="R1044" s="78">
        <f>IF(P1044="应付",COUNTIF(P$7:P1044,"应付"),"")</f>
      </c>
      <c r="S1044" s="78">
        <f>N(F1044)-N(G1044)</f>
        <v>0</v>
      </c>
    </row>
    <row r="1045">
      <c r="A1045" s="109">
        <f>IF(AND(F1045="",G1045=""),"",ROW()-6)</f>
      </c>
      <c r="B1045" s="140" t="n"/>
      <c r="C1045" s="141" t="n"/>
      <c r="D1045" s="141" t="n"/>
      <c r="E1045" s="142" t="n"/>
      <c r="F1045" s="143" t="n"/>
      <c r="G1045" s="144" t="n"/>
      <c r="H1045" s="145">
        <f>IF(OR(C1045="",AND(F1045="",G1045="")),"",SUMIF(基础资料!$W$5:$W$24,C1045,基础资料!$X$5:$X$24)+SUMIF(C$7:C1045,C1045,F$7:F1045)-SUMIF(C$7:C1045,C1045,G$7:G1045))</f>
      </c>
      <c r="I1045" s="145">
        <f>IF(AND(F1045="",G1045=""),"",SUM(基础资料!$X$5:$X$24)+SUM(F$7:F1045)-SUM(G$7:G1045))</f>
      </c>
      <c r="J1045" s="141" t="n"/>
      <c r="K1045" s="141" t="n"/>
      <c r="L1045" s="141" t="n"/>
      <c r="M1045" s="142" t="n"/>
      <c r="N1045" s="146">
        <f>IF(AND(AND(F1045="",G1045=""),B1045="",C1045="",D1045="",J1045="",K1045="",L1045=""),"",IF(AND(F1045="",G1045=""),"✗ 没填金额",IF(AND(N(F1045)&lt;&gt;0,N(G1045)&lt;&gt;0),"✗ 收入、支出只能填一边",IF(NOT(ISNUMBER(B1045)),"✗ 日期不是真日期（要像 2026/9/25 这样填）",IF(OR(B1045&lt;年初日,B1045&gt;年末日),"✗ 日期不在本会计年度",IF(C1045="","✗ 没选账户",IF(COUNTIF(基础资料!$W$5:$W$24,C1045)=0,"✗ 账户不在基础资料里",IF(O1045="","✗ 没选收支项目",IF(P1045="未知","✗ 收支项目不在基础资料里",IF(AND(P1045="应收",J1045=""),"✗ 这笔要选客户",IF(AND(P1045="应收",COUNTIF(总览汇总!$B$5:$B$304,J1045)=0),"✗ 客户不在总览汇总名单里",IF(AND(P1045="应付",K1045=""),"✗ 这笔要选供应商",IF(AND(P1045="应付",COUNTIF(基础资料!$Q$5:$Q$54,K1045)=0),"✗ 供应商不在基础资料里",IF(AND(P1045="费用",L1045=""),"✗ 费用支出要选费用项目",IF(AND(L1045&lt;&gt;"",COUNTIF(基础资料!$AI$5:$AI$54,L1045)=0),"✗ 费用项目不在基础资料里",IF(AND(IFERROR(INDEX(基础资料!$AD$5:$AD$34,MATCH(O1045,基础资料!$AC$5:$AC$34,0)),"")="收",N(G1045)&lt;&gt;0),"✗ 这类是收款，金额填到收入列",IF(AND(IFERROR(INDEX(基础资料!$AD$5:$AD$34,MATCH(O1045,基础资料!$AC$5:$AC$34,0)),"")="支",N(F1045)&lt;&gt;0),"✗ 这类是付款，金额填到支出列",IF(N(H1045)&lt;0,"⚠ 账户余额成负数了，核对一下","√"))))))))))))))))))</f>
      </c>
      <c r="O1045" s="78">
        <f>IF(D1045&lt;&gt;"",D1045,IF(AND(F1045="",G1045=""),"",IF(J1045&lt;&gt;"",IF(N(F1045)&gt;0,"客户回款","客户退款"),IF(K1045&lt;&gt;"",IF(N(G1045)&gt;0,"供应商付款","供应商退款"),IF(L1045&lt;&gt;"","费用支出","")))))</f>
      </c>
      <c r="P1045" s="78">
        <f>IF(O1045="","",IFERROR(INDEX(基础资料!$AE$5:$AE$34,MATCH(O1045,基础资料!$AC$5:$AC$34,0)),"未知"))</f>
      </c>
      <c r="Q1045" s="78">
        <f>IF(P1045="应收",COUNTIF(P$7:P1045,"应收"),"")</f>
      </c>
      <c r="R1045" s="78">
        <f>IF(P1045="应付",COUNTIF(P$7:P1045,"应付"),"")</f>
      </c>
      <c r="S1045" s="78">
        <f>N(F1045)-N(G1045)</f>
        <v>0</v>
      </c>
    </row>
    <row r="1046">
      <c r="A1046" s="109">
        <f>IF(AND(F1046="",G1046=""),"",ROW()-6)</f>
      </c>
      <c r="B1046" s="140" t="n"/>
      <c r="C1046" s="141" t="n"/>
      <c r="D1046" s="141" t="n"/>
      <c r="E1046" s="142" t="n"/>
      <c r="F1046" s="143" t="n"/>
      <c r="G1046" s="144" t="n"/>
      <c r="H1046" s="145">
        <f>IF(OR(C1046="",AND(F1046="",G1046="")),"",SUMIF(基础资料!$W$5:$W$24,C1046,基础资料!$X$5:$X$24)+SUMIF(C$7:C1046,C1046,F$7:F1046)-SUMIF(C$7:C1046,C1046,G$7:G1046))</f>
      </c>
      <c r="I1046" s="145">
        <f>IF(AND(F1046="",G1046=""),"",SUM(基础资料!$X$5:$X$24)+SUM(F$7:F1046)-SUM(G$7:G1046))</f>
      </c>
      <c r="J1046" s="141" t="n"/>
      <c r="K1046" s="141" t="n"/>
      <c r="L1046" s="141" t="n"/>
      <c r="M1046" s="142" t="n"/>
      <c r="N1046" s="146">
        <f>IF(AND(AND(F1046="",G1046=""),B1046="",C1046="",D1046="",J1046="",K1046="",L1046=""),"",IF(AND(F1046="",G1046=""),"✗ 没填金额",IF(AND(N(F1046)&lt;&gt;0,N(G1046)&lt;&gt;0),"✗ 收入、支出只能填一边",IF(NOT(ISNUMBER(B1046)),"✗ 日期不是真日期（要像 2026/9/25 这样填）",IF(OR(B1046&lt;年初日,B1046&gt;年末日),"✗ 日期不在本会计年度",IF(C1046="","✗ 没选账户",IF(COUNTIF(基础资料!$W$5:$W$24,C1046)=0,"✗ 账户不在基础资料里",IF(O1046="","✗ 没选收支项目",IF(P1046="未知","✗ 收支项目不在基础资料里",IF(AND(P1046="应收",J1046=""),"✗ 这笔要选客户",IF(AND(P1046="应收",COUNTIF(总览汇总!$B$5:$B$304,J1046)=0),"✗ 客户不在总览汇总名单里",IF(AND(P1046="应付",K1046=""),"✗ 这笔要选供应商",IF(AND(P1046="应付",COUNTIF(基础资料!$Q$5:$Q$54,K1046)=0),"✗ 供应商不在基础资料里",IF(AND(P1046="费用",L1046=""),"✗ 费用支出要选费用项目",IF(AND(L1046&lt;&gt;"",COUNTIF(基础资料!$AI$5:$AI$54,L1046)=0),"✗ 费用项目不在基础资料里",IF(AND(IFERROR(INDEX(基础资料!$AD$5:$AD$34,MATCH(O1046,基础资料!$AC$5:$AC$34,0)),"")="收",N(G1046)&lt;&gt;0),"✗ 这类是收款，金额填到收入列",IF(AND(IFERROR(INDEX(基础资料!$AD$5:$AD$34,MATCH(O1046,基础资料!$AC$5:$AC$34,0)),"")="支",N(F1046)&lt;&gt;0),"✗ 这类是付款，金额填到支出列",IF(N(H1046)&lt;0,"⚠ 账户余额成负数了，核对一下","√"))))))))))))))))))</f>
      </c>
      <c r="O1046" s="78">
        <f>IF(D1046&lt;&gt;"",D1046,IF(AND(F1046="",G1046=""),"",IF(J1046&lt;&gt;"",IF(N(F1046)&gt;0,"客户回款","客户退款"),IF(K1046&lt;&gt;"",IF(N(G1046)&gt;0,"供应商付款","供应商退款"),IF(L1046&lt;&gt;"","费用支出","")))))</f>
      </c>
      <c r="P1046" s="78">
        <f>IF(O1046="","",IFERROR(INDEX(基础资料!$AE$5:$AE$34,MATCH(O1046,基础资料!$AC$5:$AC$34,0)),"未知"))</f>
      </c>
      <c r="Q1046" s="78">
        <f>IF(P1046="应收",COUNTIF(P$7:P1046,"应收"),"")</f>
      </c>
      <c r="R1046" s="78">
        <f>IF(P1046="应付",COUNTIF(P$7:P1046,"应付"),"")</f>
      </c>
      <c r="S1046" s="78">
        <f>N(F1046)-N(G1046)</f>
        <v>0</v>
      </c>
    </row>
    <row r="1047">
      <c r="A1047" s="109">
        <f>IF(AND(F1047="",G1047=""),"",ROW()-6)</f>
      </c>
      <c r="B1047" s="140" t="n"/>
      <c r="C1047" s="141" t="n"/>
      <c r="D1047" s="141" t="n"/>
      <c r="E1047" s="142" t="n"/>
      <c r="F1047" s="143" t="n"/>
      <c r="G1047" s="144" t="n"/>
      <c r="H1047" s="145">
        <f>IF(OR(C1047="",AND(F1047="",G1047="")),"",SUMIF(基础资料!$W$5:$W$24,C1047,基础资料!$X$5:$X$24)+SUMIF(C$7:C1047,C1047,F$7:F1047)-SUMIF(C$7:C1047,C1047,G$7:G1047))</f>
      </c>
      <c r="I1047" s="145">
        <f>IF(AND(F1047="",G1047=""),"",SUM(基础资料!$X$5:$X$24)+SUM(F$7:F1047)-SUM(G$7:G1047))</f>
      </c>
      <c r="J1047" s="141" t="n"/>
      <c r="K1047" s="141" t="n"/>
      <c r="L1047" s="141" t="n"/>
      <c r="M1047" s="142" t="n"/>
      <c r="N1047" s="146">
        <f>IF(AND(AND(F1047="",G1047=""),B1047="",C1047="",D1047="",J1047="",K1047="",L1047=""),"",IF(AND(F1047="",G1047=""),"✗ 没填金额",IF(AND(N(F1047)&lt;&gt;0,N(G1047)&lt;&gt;0),"✗ 收入、支出只能填一边",IF(NOT(ISNUMBER(B1047)),"✗ 日期不是真日期（要像 2026/9/25 这样填）",IF(OR(B1047&lt;年初日,B1047&gt;年末日),"✗ 日期不在本会计年度",IF(C1047="","✗ 没选账户",IF(COUNTIF(基础资料!$W$5:$W$24,C1047)=0,"✗ 账户不在基础资料里",IF(O1047="","✗ 没选收支项目",IF(P1047="未知","✗ 收支项目不在基础资料里",IF(AND(P1047="应收",J1047=""),"✗ 这笔要选客户",IF(AND(P1047="应收",COUNTIF(总览汇总!$B$5:$B$304,J1047)=0),"✗ 客户不在总览汇总名单里",IF(AND(P1047="应付",K1047=""),"✗ 这笔要选供应商",IF(AND(P1047="应付",COUNTIF(基础资料!$Q$5:$Q$54,K1047)=0),"✗ 供应商不在基础资料里",IF(AND(P1047="费用",L1047=""),"✗ 费用支出要选费用项目",IF(AND(L1047&lt;&gt;"",COUNTIF(基础资料!$AI$5:$AI$54,L1047)=0),"✗ 费用项目不在基础资料里",IF(AND(IFERROR(INDEX(基础资料!$AD$5:$AD$34,MATCH(O1047,基础资料!$AC$5:$AC$34,0)),"")="收",N(G1047)&lt;&gt;0),"✗ 这类是收款，金额填到收入列",IF(AND(IFERROR(INDEX(基础资料!$AD$5:$AD$34,MATCH(O1047,基础资料!$AC$5:$AC$34,0)),"")="支",N(F1047)&lt;&gt;0),"✗ 这类是付款，金额填到支出列",IF(N(H1047)&lt;0,"⚠ 账户余额成负数了，核对一下","√"))))))))))))))))))</f>
      </c>
      <c r="O1047" s="78">
        <f>IF(D1047&lt;&gt;"",D1047,IF(AND(F1047="",G1047=""),"",IF(J1047&lt;&gt;"",IF(N(F1047)&gt;0,"客户回款","客户退款"),IF(K1047&lt;&gt;"",IF(N(G1047)&gt;0,"供应商付款","供应商退款"),IF(L1047&lt;&gt;"","费用支出","")))))</f>
      </c>
      <c r="P1047" s="78">
        <f>IF(O1047="","",IFERROR(INDEX(基础资料!$AE$5:$AE$34,MATCH(O1047,基础资料!$AC$5:$AC$34,0)),"未知"))</f>
      </c>
      <c r="Q1047" s="78">
        <f>IF(P1047="应收",COUNTIF(P$7:P1047,"应收"),"")</f>
      </c>
      <c r="R1047" s="78">
        <f>IF(P1047="应付",COUNTIF(P$7:P1047,"应付"),"")</f>
      </c>
      <c r="S1047" s="78">
        <f>N(F1047)-N(G1047)</f>
        <v>0</v>
      </c>
    </row>
    <row r="1048">
      <c r="A1048" s="109">
        <f>IF(AND(F1048="",G1048=""),"",ROW()-6)</f>
      </c>
      <c r="B1048" s="140" t="n"/>
      <c r="C1048" s="141" t="n"/>
      <c r="D1048" s="141" t="n"/>
      <c r="E1048" s="142" t="n"/>
      <c r="F1048" s="143" t="n"/>
      <c r="G1048" s="144" t="n"/>
      <c r="H1048" s="145">
        <f>IF(OR(C1048="",AND(F1048="",G1048="")),"",SUMIF(基础资料!$W$5:$W$24,C1048,基础资料!$X$5:$X$24)+SUMIF(C$7:C1048,C1048,F$7:F1048)-SUMIF(C$7:C1048,C1048,G$7:G1048))</f>
      </c>
      <c r="I1048" s="145">
        <f>IF(AND(F1048="",G1048=""),"",SUM(基础资料!$X$5:$X$24)+SUM(F$7:F1048)-SUM(G$7:G1048))</f>
      </c>
      <c r="J1048" s="141" t="n"/>
      <c r="K1048" s="141" t="n"/>
      <c r="L1048" s="141" t="n"/>
      <c r="M1048" s="142" t="n"/>
      <c r="N1048" s="146">
        <f>IF(AND(AND(F1048="",G1048=""),B1048="",C1048="",D1048="",J1048="",K1048="",L1048=""),"",IF(AND(F1048="",G1048=""),"✗ 没填金额",IF(AND(N(F1048)&lt;&gt;0,N(G1048)&lt;&gt;0),"✗ 收入、支出只能填一边",IF(NOT(ISNUMBER(B1048)),"✗ 日期不是真日期（要像 2026/9/25 这样填）",IF(OR(B1048&lt;年初日,B1048&gt;年末日),"✗ 日期不在本会计年度",IF(C1048="","✗ 没选账户",IF(COUNTIF(基础资料!$W$5:$W$24,C1048)=0,"✗ 账户不在基础资料里",IF(O1048="","✗ 没选收支项目",IF(P1048="未知","✗ 收支项目不在基础资料里",IF(AND(P1048="应收",J1048=""),"✗ 这笔要选客户",IF(AND(P1048="应收",COUNTIF(总览汇总!$B$5:$B$304,J1048)=0),"✗ 客户不在总览汇总名单里",IF(AND(P1048="应付",K1048=""),"✗ 这笔要选供应商",IF(AND(P1048="应付",COUNTIF(基础资料!$Q$5:$Q$54,K1048)=0),"✗ 供应商不在基础资料里",IF(AND(P1048="费用",L1048=""),"✗ 费用支出要选费用项目",IF(AND(L1048&lt;&gt;"",COUNTIF(基础资料!$AI$5:$AI$54,L1048)=0),"✗ 费用项目不在基础资料里",IF(AND(IFERROR(INDEX(基础资料!$AD$5:$AD$34,MATCH(O1048,基础资料!$AC$5:$AC$34,0)),"")="收",N(G1048)&lt;&gt;0),"✗ 这类是收款，金额填到收入列",IF(AND(IFERROR(INDEX(基础资料!$AD$5:$AD$34,MATCH(O1048,基础资料!$AC$5:$AC$34,0)),"")="支",N(F1048)&lt;&gt;0),"✗ 这类是付款，金额填到支出列",IF(N(H1048)&lt;0,"⚠ 账户余额成负数了，核对一下","√"))))))))))))))))))</f>
      </c>
      <c r="O1048" s="78">
        <f>IF(D1048&lt;&gt;"",D1048,IF(AND(F1048="",G1048=""),"",IF(J1048&lt;&gt;"",IF(N(F1048)&gt;0,"客户回款","客户退款"),IF(K1048&lt;&gt;"",IF(N(G1048)&gt;0,"供应商付款","供应商退款"),IF(L1048&lt;&gt;"","费用支出","")))))</f>
      </c>
      <c r="P1048" s="78">
        <f>IF(O1048="","",IFERROR(INDEX(基础资料!$AE$5:$AE$34,MATCH(O1048,基础资料!$AC$5:$AC$34,0)),"未知"))</f>
      </c>
      <c r="Q1048" s="78">
        <f>IF(P1048="应收",COUNTIF(P$7:P1048,"应收"),"")</f>
      </c>
      <c r="R1048" s="78">
        <f>IF(P1048="应付",COUNTIF(P$7:P1048,"应付"),"")</f>
      </c>
      <c r="S1048" s="78">
        <f>N(F1048)-N(G1048)</f>
        <v>0</v>
      </c>
    </row>
    <row r="1049">
      <c r="A1049" s="109">
        <f>IF(AND(F1049="",G1049=""),"",ROW()-6)</f>
      </c>
      <c r="B1049" s="140" t="n"/>
      <c r="C1049" s="141" t="n"/>
      <c r="D1049" s="141" t="n"/>
      <c r="E1049" s="142" t="n"/>
      <c r="F1049" s="143" t="n"/>
      <c r="G1049" s="144" t="n"/>
      <c r="H1049" s="145">
        <f>IF(OR(C1049="",AND(F1049="",G1049="")),"",SUMIF(基础资料!$W$5:$W$24,C1049,基础资料!$X$5:$X$24)+SUMIF(C$7:C1049,C1049,F$7:F1049)-SUMIF(C$7:C1049,C1049,G$7:G1049))</f>
      </c>
      <c r="I1049" s="145">
        <f>IF(AND(F1049="",G1049=""),"",SUM(基础资料!$X$5:$X$24)+SUM(F$7:F1049)-SUM(G$7:G1049))</f>
      </c>
      <c r="J1049" s="141" t="n"/>
      <c r="K1049" s="141" t="n"/>
      <c r="L1049" s="141" t="n"/>
      <c r="M1049" s="142" t="n"/>
      <c r="N1049" s="146">
        <f>IF(AND(AND(F1049="",G1049=""),B1049="",C1049="",D1049="",J1049="",K1049="",L1049=""),"",IF(AND(F1049="",G1049=""),"✗ 没填金额",IF(AND(N(F1049)&lt;&gt;0,N(G1049)&lt;&gt;0),"✗ 收入、支出只能填一边",IF(NOT(ISNUMBER(B1049)),"✗ 日期不是真日期（要像 2026/9/25 这样填）",IF(OR(B1049&lt;年初日,B1049&gt;年末日),"✗ 日期不在本会计年度",IF(C1049="","✗ 没选账户",IF(COUNTIF(基础资料!$W$5:$W$24,C1049)=0,"✗ 账户不在基础资料里",IF(O1049="","✗ 没选收支项目",IF(P1049="未知","✗ 收支项目不在基础资料里",IF(AND(P1049="应收",J1049=""),"✗ 这笔要选客户",IF(AND(P1049="应收",COUNTIF(总览汇总!$B$5:$B$304,J1049)=0),"✗ 客户不在总览汇总名单里",IF(AND(P1049="应付",K1049=""),"✗ 这笔要选供应商",IF(AND(P1049="应付",COUNTIF(基础资料!$Q$5:$Q$54,K1049)=0),"✗ 供应商不在基础资料里",IF(AND(P1049="费用",L1049=""),"✗ 费用支出要选费用项目",IF(AND(L1049&lt;&gt;"",COUNTIF(基础资料!$AI$5:$AI$54,L1049)=0),"✗ 费用项目不在基础资料里",IF(AND(IFERROR(INDEX(基础资料!$AD$5:$AD$34,MATCH(O1049,基础资料!$AC$5:$AC$34,0)),"")="收",N(G1049)&lt;&gt;0),"✗ 这类是收款，金额填到收入列",IF(AND(IFERROR(INDEX(基础资料!$AD$5:$AD$34,MATCH(O1049,基础资料!$AC$5:$AC$34,0)),"")="支",N(F1049)&lt;&gt;0),"✗ 这类是付款，金额填到支出列",IF(N(H1049)&lt;0,"⚠ 账户余额成负数了，核对一下","√"))))))))))))))))))</f>
      </c>
      <c r="O1049" s="78">
        <f>IF(D1049&lt;&gt;"",D1049,IF(AND(F1049="",G1049=""),"",IF(J1049&lt;&gt;"",IF(N(F1049)&gt;0,"客户回款","客户退款"),IF(K1049&lt;&gt;"",IF(N(G1049)&gt;0,"供应商付款","供应商退款"),IF(L1049&lt;&gt;"","费用支出","")))))</f>
      </c>
      <c r="P1049" s="78">
        <f>IF(O1049="","",IFERROR(INDEX(基础资料!$AE$5:$AE$34,MATCH(O1049,基础资料!$AC$5:$AC$34,0)),"未知"))</f>
      </c>
      <c r="Q1049" s="78">
        <f>IF(P1049="应收",COUNTIF(P$7:P1049,"应收"),"")</f>
      </c>
      <c r="R1049" s="78">
        <f>IF(P1049="应付",COUNTIF(P$7:P1049,"应付"),"")</f>
      </c>
      <c r="S1049" s="78">
        <f>N(F1049)-N(G1049)</f>
        <v>0</v>
      </c>
    </row>
    <row r="1050">
      <c r="A1050" s="109">
        <f>IF(AND(F1050="",G1050=""),"",ROW()-6)</f>
      </c>
      <c r="B1050" s="140" t="n"/>
      <c r="C1050" s="141" t="n"/>
      <c r="D1050" s="141" t="n"/>
      <c r="E1050" s="142" t="n"/>
      <c r="F1050" s="143" t="n"/>
      <c r="G1050" s="144" t="n"/>
      <c r="H1050" s="145">
        <f>IF(OR(C1050="",AND(F1050="",G1050="")),"",SUMIF(基础资料!$W$5:$W$24,C1050,基础资料!$X$5:$X$24)+SUMIF(C$7:C1050,C1050,F$7:F1050)-SUMIF(C$7:C1050,C1050,G$7:G1050))</f>
      </c>
      <c r="I1050" s="145">
        <f>IF(AND(F1050="",G1050=""),"",SUM(基础资料!$X$5:$X$24)+SUM(F$7:F1050)-SUM(G$7:G1050))</f>
      </c>
      <c r="J1050" s="141" t="n"/>
      <c r="K1050" s="141" t="n"/>
      <c r="L1050" s="141" t="n"/>
      <c r="M1050" s="142" t="n"/>
      <c r="N1050" s="146">
        <f>IF(AND(AND(F1050="",G1050=""),B1050="",C1050="",D1050="",J1050="",K1050="",L1050=""),"",IF(AND(F1050="",G1050=""),"✗ 没填金额",IF(AND(N(F1050)&lt;&gt;0,N(G1050)&lt;&gt;0),"✗ 收入、支出只能填一边",IF(NOT(ISNUMBER(B1050)),"✗ 日期不是真日期（要像 2026/9/25 这样填）",IF(OR(B1050&lt;年初日,B1050&gt;年末日),"✗ 日期不在本会计年度",IF(C1050="","✗ 没选账户",IF(COUNTIF(基础资料!$W$5:$W$24,C1050)=0,"✗ 账户不在基础资料里",IF(O1050="","✗ 没选收支项目",IF(P1050="未知","✗ 收支项目不在基础资料里",IF(AND(P1050="应收",J1050=""),"✗ 这笔要选客户",IF(AND(P1050="应收",COUNTIF(总览汇总!$B$5:$B$304,J1050)=0),"✗ 客户不在总览汇总名单里",IF(AND(P1050="应付",K1050=""),"✗ 这笔要选供应商",IF(AND(P1050="应付",COUNTIF(基础资料!$Q$5:$Q$54,K1050)=0),"✗ 供应商不在基础资料里",IF(AND(P1050="费用",L1050=""),"✗ 费用支出要选费用项目",IF(AND(L1050&lt;&gt;"",COUNTIF(基础资料!$AI$5:$AI$54,L1050)=0),"✗ 费用项目不在基础资料里",IF(AND(IFERROR(INDEX(基础资料!$AD$5:$AD$34,MATCH(O1050,基础资料!$AC$5:$AC$34,0)),"")="收",N(G1050)&lt;&gt;0),"✗ 这类是收款，金额填到收入列",IF(AND(IFERROR(INDEX(基础资料!$AD$5:$AD$34,MATCH(O1050,基础资料!$AC$5:$AC$34,0)),"")="支",N(F1050)&lt;&gt;0),"✗ 这类是付款，金额填到支出列",IF(N(H1050)&lt;0,"⚠ 账户余额成负数了，核对一下","√"))))))))))))))))))</f>
      </c>
      <c r="O1050" s="78">
        <f>IF(D1050&lt;&gt;"",D1050,IF(AND(F1050="",G1050=""),"",IF(J1050&lt;&gt;"",IF(N(F1050)&gt;0,"客户回款","客户退款"),IF(K1050&lt;&gt;"",IF(N(G1050)&gt;0,"供应商付款","供应商退款"),IF(L1050&lt;&gt;"","费用支出","")))))</f>
      </c>
      <c r="P1050" s="78">
        <f>IF(O1050="","",IFERROR(INDEX(基础资料!$AE$5:$AE$34,MATCH(O1050,基础资料!$AC$5:$AC$34,0)),"未知"))</f>
      </c>
      <c r="Q1050" s="78">
        <f>IF(P1050="应收",COUNTIF(P$7:P1050,"应收"),"")</f>
      </c>
      <c r="R1050" s="78">
        <f>IF(P1050="应付",COUNTIF(P$7:P1050,"应付"),"")</f>
      </c>
      <c r="S1050" s="78">
        <f>N(F1050)-N(G1050)</f>
        <v>0</v>
      </c>
    </row>
    <row r="1051">
      <c r="A1051" s="109">
        <f>IF(AND(F1051="",G1051=""),"",ROW()-6)</f>
      </c>
      <c r="B1051" s="140" t="n"/>
      <c r="C1051" s="141" t="n"/>
      <c r="D1051" s="141" t="n"/>
      <c r="E1051" s="142" t="n"/>
      <c r="F1051" s="143" t="n"/>
      <c r="G1051" s="144" t="n"/>
      <c r="H1051" s="145">
        <f>IF(OR(C1051="",AND(F1051="",G1051="")),"",SUMIF(基础资料!$W$5:$W$24,C1051,基础资料!$X$5:$X$24)+SUMIF(C$7:C1051,C1051,F$7:F1051)-SUMIF(C$7:C1051,C1051,G$7:G1051))</f>
      </c>
      <c r="I1051" s="145">
        <f>IF(AND(F1051="",G1051=""),"",SUM(基础资料!$X$5:$X$24)+SUM(F$7:F1051)-SUM(G$7:G1051))</f>
      </c>
      <c r="J1051" s="141" t="n"/>
      <c r="K1051" s="141" t="n"/>
      <c r="L1051" s="141" t="n"/>
      <c r="M1051" s="142" t="n"/>
      <c r="N1051" s="146">
        <f>IF(AND(AND(F1051="",G1051=""),B1051="",C1051="",D1051="",J1051="",K1051="",L1051=""),"",IF(AND(F1051="",G1051=""),"✗ 没填金额",IF(AND(N(F1051)&lt;&gt;0,N(G1051)&lt;&gt;0),"✗ 收入、支出只能填一边",IF(NOT(ISNUMBER(B1051)),"✗ 日期不是真日期（要像 2026/9/25 这样填）",IF(OR(B1051&lt;年初日,B1051&gt;年末日),"✗ 日期不在本会计年度",IF(C1051="","✗ 没选账户",IF(COUNTIF(基础资料!$W$5:$W$24,C1051)=0,"✗ 账户不在基础资料里",IF(O1051="","✗ 没选收支项目",IF(P1051="未知","✗ 收支项目不在基础资料里",IF(AND(P1051="应收",J1051=""),"✗ 这笔要选客户",IF(AND(P1051="应收",COUNTIF(总览汇总!$B$5:$B$304,J1051)=0),"✗ 客户不在总览汇总名单里",IF(AND(P1051="应付",K1051=""),"✗ 这笔要选供应商",IF(AND(P1051="应付",COUNTIF(基础资料!$Q$5:$Q$54,K1051)=0),"✗ 供应商不在基础资料里",IF(AND(P1051="费用",L1051=""),"✗ 费用支出要选费用项目",IF(AND(L1051&lt;&gt;"",COUNTIF(基础资料!$AI$5:$AI$54,L1051)=0),"✗ 费用项目不在基础资料里",IF(AND(IFERROR(INDEX(基础资料!$AD$5:$AD$34,MATCH(O1051,基础资料!$AC$5:$AC$34,0)),"")="收",N(G1051)&lt;&gt;0),"✗ 这类是收款，金额填到收入列",IF(AND(IFERROR(INDEX(基础资料!$AD$5:$AD$34,MATCH(O1051,基础资料!$AC$5:$AC$34,0)),"")="支",N(F1051)&lt;&gt;0),"✗ 这类是付款，金额填到支出列",IF(N(H1051)&lt;0,"⚠ 账户余额成负数了，核对一下","√"))))))))))))))))))</f>
      </c>
      <c r="O1051" s="78">
        <f>IF(D1051&lt;&gt;"",D1051,IF(AND(F1051="",G1051=""),"",IF(J1051&lt;&gt;"",IF(N(F1051)&gt;0,"客户回款","客户退款"),IF(K1051&lt;&gt;"",IF(N(G1051)&gt;0,"供应商付款","供应商退款"),IF(L1051&lt;&gt;"","费用支出","")))))</f>
      </c>
      <c r="P1051" s="78">
        <f>IF(O1051="","",IFERROR(INDEX(基础资料!$AE$5:$AE$34,MATCH(O1051,基础资料!$AC$5:$AC$34,0)),"未知"))</f>
      </c>
      <c r="Q1051" s="78">
        <f>IF(P1051="应收",COUNTIF(P$7:P1051,"应收"),"")</f>
      </c>
      <c r="R1051" s="78">
        <f>IF(P1051="应付",COUNTIF(P$7:P1051,"应付"),"")</f>
      </c>
      <c r="S1051" s="78">
        <f>N(F1051)-N(G1051)</f>
        <v>0</v>
      </c>
    </row>
    <row r="1052">
      <c r="A1052" s="109">
        <f>IF(AND(F1052="",G1052=""),"",ROW()-6)</f>
      </c>
      <c r="B1052" s="140" t="n"/>
      <c r="C1052" s="141" t="n"/>
      <c r="D1052" s="141" t="n"/>
      <c r="E1052" s="142" t="n"/>
      <c r="F1052" s="143" t="n"/>
      <c r="G1052" s="144" t="n"/>
      <c r="H1052" s="145">
        <f>IF(OR(C1052="",AND(F1052="",G1052="")),"",SUMIF(基础资料!$W$5:$W$24,C1052,基础资料!$X$5:$X$24)+SUMIF(C$7:C1052,C1052,F$7:F1052)-SUMIF(C$7:C1052,C1052,G$7:G1052))</f>
      </c>
      <c r="I1052" s="145">
        <f>IF(AND(F1052="",G1052=""),"",SUM(基础资料!$X$5:$X$24)+SUM(F$7:F1052)-SUM(G$7:G1052))</f>
      </c>
      <c r="J1052" s="141" t="n"/>
      <c r="K1052" s="141" t="n"/>
      <c r="L1052" s="141" t="n"/>
      <c r="M1052" s="142" t="n"/>
      <c r="N1052" s="146">
        <f>IF(AND(AND(F1052="",G1052=""),B1052="",C1052="",D1052="",J1052="",K1052="",L1052=""),"",IF(AND(F1052="",G1052=""),"✗ 没填金额",IF(AND(N(F1052)&lt;&gt;0,N(G1052)&lt;&gt;0),"✗ 收入、支出只能填一边",IF(NOT(ISNUMBER(B1052)),"✗ 日期不是真日期（要像 2026/9/25 这样填）",IF(OR(B1052&lt;年初日,B1052&gt;年末日),"✗ 日期不在本会计年度",IF(C1052="","✗ 没选账户",IF(COUNTIF(基础资料!$W$5:$W$24,C1052)=0,"✗ 账户不在基础资料里",IF(O1052="","✗ 没选收支项目",IF(P1052="未知","✗ 收支项目不在基础资料里",IF(AND(P1052="应收",J1052=""),"✗ 这笔要选客户",IF(AND(P1052="应收",COUNTIF(总览汇总!$B$5:$B$304,J1052)=0),"✗ 客户不在总览汇总名单里",IF(AND(P1052="应付",K1052=""),"✗ 这笔要选供应商",IF(AND(P1052="应付",COUNTIF(基础资料!$Q$5:$Q$54,K1052)=0),"✗ 供应商不在基础资料里",IF(AND(P1052="费用",L1052=""),"✗ 费用支出要选费用项目",IF(AND(L1052&lt;&gt;"",COUNTIF(基础资料!$AI$5:$AI$54,L1052)=0),"✗ 费用项目不在基础资料里",IF(AND(IFERROR(INDEX(基础资料!$AD$5:$AD$34,MATCH(O1052,基础资料!$AC$5:$AC$34,0)),"")="收",N(G1052)&lt;&gt;0),"✗ 这类是收款，金额填到收入列",IF(AND(IFERROR(INDEX(基础资料!$AD$5:$AD$34,MATCH(O1052,基础资料!$AC$5:$AC$34,0)),"")="支",N(F1052)&lt;&gt;0),"✗ 这类是付款，金额填到支出列",IF(N(H1052)&lt;0,"⚠ 账户余额成负数了，核对一下","√"))))))))))))))))))</f>
      </c>
      <c r="O1052" s="78">
        <f>IF(D1052&lt;&gt;"",D1052,IF(AND(F1052="",G1052=""),"",IF(J1052&lt;&gt;"",IF(N(F1052)&gt;0,"客户回款","客户退款"),IF(K1052&lt;&gt;"",IF(N(G1052)&gt;0,"供应商付款","供应商退款"),IF(L1052&lt;&gt;"","费用支出","")))))</f>
      </c>
      <c r="P1052" s="78">
        <f>IF(O1052="","",IFERROR(INDEX(基础资料!$AE$5:$AE$34,MATCH(O1052,基础资料!$AC$5:$AC$34,0)),"未知"))</f>
      </c>
      <c r="Q1052" s="78">
        <f>IF(P1052="应收",COUNTIF(P$7:P1052,"应收"),"")</f>
      </c>
      <c r="R1052" s="78">
        <f>IF(P1052="应付",COUNTIF(P$7:P1052,"应付"),"")</f>
      </c>
      <c r="S1052" s="78">
        <f>N(F1052)-N(G1052)</f>
        <v>0</v>
      </c>
    </row>
    <row r="1053">
      <c r="A1053" s="109">
        <f>IF(AND(F1053="",G1053=""),"",ROW()-6)</f>
      </c>
      <c r="B1053" s="140" t="n"/>
      <c r="C1053" s="141" t="n"/>
      <c r="D1053" s="141" t="n"/>
      <c r="E1053" s="142" t="n"/>
      <c r="F1053" s="143" t="n"/>
      <c r="G1053" s="144" t="n"/>
      <c r="H1053" s="145">
        <f>IF(OR(C1053="",AND(F1053="",G1053="")),"",SUMIF(基础资料!$W$5:$W$24,C1053,基础资料!$X$5:$X$24)+SUMIF(C$7:C1053,C1053,F$7:F1053)-SUMIF(C$7:C1053,C1053,G$7:G1053))</f>
      </c>
      <c r="I1053" s="145">
        <f>IF(AND(F1053="",G1053=""),"",SUM(基础资料!$X$5:$X$24)+SUM(F$7:F1053)-SUM(G$7:G1053))</f>
      </c>
      <c r="J1053" s="141" t="n"/>
      <c r="K1053" s="141" t="n"/>
      <c r="L1053" s="141" t="n"/>
      <c r="M1053" s="142" t="n"/>
      <c r="N1053" s="146">
        <f>IF(AND(AND(F1053="",G1053=""),B1053="",C1053="",D1053="",J1053="",K1053="",L1053=""),"",IF(AND(F1053="",G1053=""),"✗ 没填金额",IF(AND(N(F1053)&lt;&gt;0,N(G1053)&lt;&gt;0),"✗ 收入、支出只能填一边",IF(NOT(ISNUMBER(B1053)),"✗ 日期不是真日期（要像 2026/9/25 这样填）",IF(OR(B1053&lt;年初日,B1053&gt;年末日),"✗ 日期不在本会计年度",IF(C1053="","✗ 没选账户",IF(COUNTIF(基础资料!$W$5:$W$24,C1053)=0,"✗ 账户不在基础资料里",IF(O1053="","✗ 没选收支项目",IF(P1053="未知","✗ 收支项目不在基础资料里",IF(AND(P1053="应收",J1053=""),"✗ 这笔要选客户",IF(AND(P1053="应收",COUNTIF(总览汇总!$B$5:$B$304,J1053)=0),"✗ 客户不在总览汇总名单里",IF(AND(P1053="应付",K1053=""),"✗ 这笔要选供应商",IF(AND(P1053="应付",COUNTIF(基础资料!$Q$5:$Q$54,K1053)=0),"✗ 供应商不在基础资料里",IF(AND(P1053="费用",L1053=""),"✗ 费用支出要选费用项目",IF(AND(L1053&lt;&gt;"",COUNTIF(基础资料!$AI$5:$AI$54,L1053)=0),"✗ 费用项目不在基础资料里",IF(AND(IFERROR(INDEX(基础资料!$AD$5:$AD$34,MATCH(O1053,基础资料!$AC$5:$AC$34,0)),"")="收",N(G1053)&lt;&gt;0),"✗ 这类是收款，金额填到收入列",IF(AND(IFERROR(INDEX(基础资料!$AD$5:$AD$34,MATCH(O1053,基础资料!$AC$5:$AC$34,0)),"")="支",N(F1053)&lt;&gt;0),"✗ 这类是付款，金额填到支出列",IF(N(H1053)&lt;0,"⚠ 账户余额成负数了，核对一下","√"))))))))))))))))))</f>
      </c>
      <c r="O1053" s="78">
        <f>IF(D1053&lt;&gt;"",D1053,IF(AND(F1053="",G1053=""),"",IF(J1053&lt;&gt;"",IF(N(F1053)&gt;0,"客户回款","客户退款"),IF(K1053&lt;&gt;"",IF(N(G1053)&gt;0,"供应商付款","供应商退款"),IF(L1053&lt;&gt;"","费用支出","")))))</f>
      </c>
      <c r="P1053" s="78">
        <f>IF(O1053="","",IFERROR(INDEX(基础资料!$AE$5:$AE$34,MATCH(O1053,基础资料!$AC$5:$AC$34,0)),"未知"))</f>
      </c>
      <c r="Q1053" s="78">
        <f>IF(P1053="应收",COUNTIF(P$7:P1053,"应收"),"")</f>
      </c>
      <c r="R1053" s="78">
        <f>IF(P1053="应付",COUNTIF(P$7:P1053,"应付"),"")</f>
      </c>
      <c r="S1053" s="78">
        <f>N(F1053)-N(G1053)</f>
        <v>0</v>
      </c>
    </row>
    <row r="1054">
      <c r="A1054" s="109">
        <f>IF(AND(F1054="",G1054=""),"",ROW()-6)</f>
      </c>
      <c r="B1054" s="140" t="n"/>
      <c r="C1054" s="141" t="n"/>
      <c r="D1054" s="141" t="n"/>
      <c r="E1054" s="142" t="n"/>
      <c r="F1054" s="143" t="n"/>
      <c r="G1054" s="144" t="n"/>
      <c r="H1054" s="145">
        <f>IF(OR(C1054="",AND(F1054="",G1054="")),"",SUMIF(基础资料!$W$5:$W$24,C1054,基础资料!$X$5:$X$24)+SUMIF(C$7:C1054,C1054,F$7:F1054)-SUMIF(C$7:C1054,C1054,G$7:G1054))</f>
      </c>
      <c r="I1054" s="145">
        <f>IF(AND(F1054="",G1054=""),"",SUM(基础资料!$X$5:$X$24)+SUM(F$7:F1054)-SUM(G$7:G1054))</f>
      </c>
      <c r="J1054" s="141" t="n"/>
      <c r="K1054" s="141" t="n"/>
      <c r="L1054" s="141" t="n"/>
      <c r="M1054" s="142" t="n"/>
      <c r="N1054" s="146">
        <f>IF(AND(AND(F1054="",G1054=""),B1054="",C1054="",D1054="",J1054="",K1054="",L1054=""),"",IF(AND(F1054="",G1054=""),"✗ 没填金额",IF(AND(N(F1054)&lt;&gt;0,N(G1054)&lt;&gt;0),"✗ 收入、支出只能填一边",IF(NOT(ISNUMBER(B1054)),"✗ 日期不是真日期（要像 2026/9/25 这样填）",IF(OR(B1054&lt;年初日,B1054&gt;年末日),"✗ 日期不在本会计年度",IF(C1054="","✗ 没选账户",IF(COUNTIF(基础资料!$W$5:$W$24,C1054)=0,"✗ 账户不在基础资料里",IF(O1054="","✗ 没选收支项目",IF(P1054="未知","✗ 收支项目不在基础资料里",IF(AND(P1054="应收",J1054=""),"✗ 这笔要选客户",IF(AND(P1054="应收",COUNTIF(总览汇总!$B$5:$B$304,J1054)=0),"✗ 客户不在总览汇总名单里",IF(AND(P1054="应付",K1054=""),"✗ 这笔要选供应商",IF(AND(P1054="应付",COUNTIF(基础资料!$Q$5:$Q$54,K1054)=0),"✗ 供应商不在基础资料里",IF(AND(P1054="费用",L1054=""),"✗ 费用支出要选费用项目",IF(AND(L1054&lt;&gt;"",COUNTIF(基础资料!$AI$5:$AI$54,L1054)=0),"✗ 费用项目不在基础资料里",IF(AND(IFERROR(INDEX(基础资料!$AD$5:$AD$34,MATCH(O1054,基础资料!$AC$5:$AC$34,0)),"")="收",N(G1054)&lt;&gt;0),"✗ 这类是收款，金额填到收入列",IF(AND(IFERROR(INDEX(基础资料!$AD$5:$AD$34,MATCH(O1054,基础资料!$AC$5:$AC$34,0)),"")="支",N(F1054)&lt;&gt;0),"✗ 这类是付款，金额填到支出列",IF(N(H1054)&lt;0,"⚠ 账户余额成负数了，核对一下","√"))))))))))))))))))</f>
      </c>
      <c r="O1054" s="78">
        <f>IF(D1054&lt;&gt;"",D1054,IF(AND(F1054="",G1054=""),"",IF(J1054&lt;&gt;"",IF(N(F1054)&gt;0,"客户回款","客户退款"),IF(K1054&lt;&gt;"",IF(N(G1054)&gt;0,"供应商付款","供应商退款"),IF(L1054&lt;&gt;"","费用支出","")))))</f>
      </c>
      <c r="P1054" s="78">
        <f>IF(O1054="","",IFERROR(INDEX(基础资料!$AE$5:$AE$34,MATCH(O1054,基础资料!$AC$5:$AC$34,0)),"未知"))</f>
      </c>
      <c r="Q1054" s="78">
        <f>IF(P1054="应收",COUNTIF(P$7:P1054,"应收"),"")</f>
      </c>
      <c r="R1054" s="78">
        <f>IF(P1054="应付",COUNTIF(P$7:P1054,"应付"),"")</f>
      </c>
      <c r="S1054" s="78">
        <f>N(F1054)-N(G1054)</f>
        <v>0</v>
      </c>
    </row>
    <row r="1055">
      <c r="A1055" s="109">
        <f>IF(AND(F1055="",G1055=""),"",ROW()-6)</f>
      </c>
      <c r="B1055" s="140" t="n"/>
      <c r="C1055" s="141" t="n"/>
      <c r="D1055" s="141" t="n"/>
      <c r="E1055" s="142" t="n"/>
      <c r="F1055" s="143" t="n"/>
      <c r="G1055" s="144" t="n"/>
      <c r="H1055" s="145">
        <f>IF(OR(C1055="",AND(F1055="",G1055="")),"",SUMIF(基础资料!$W$5:$W$24,C1055,基础资料!$X$5:$X$24)+SUMIF(C$7:C1055,C1055,F$7:F1055)-SUMIF(C$7:C1055,C1055,G$7:G1055))</f>
      </c>
      <c r="I1055" s="145">
        <f>IF(AND(F1055="",G1055=""),"",SUM(基础资料!$X$5:$X$24)+SUM(F$7:F1055)-SUM(G$7:G1055))</f>
      </c>
      <c r="J1055" s="141" t="n"/>
      <c r="K1055" s="141" t="n"/>
      <c r="L1055" s="141" t="n"/>
      <c r="M1055" s="142" t="n"/>
      <c r="N1055" s="146">
        <f>IF(AND(AND(F1055="",G1055=""),B1055="",C1055="",D1055="",J1055="",K1055="",L1055=""),"",IF(AND(F1055="",G1055=""),"✗ 没填金额",IF(AND(N(F1055)&lt;&gt;0,N(G1055)&lt;&gt;0),"✗ 收入、支出只能填一边",IF(NOT(ISNUMBER(B1055)),"✗ 日期不是真日期（要像 2026/9/25 这样填）",IF(OR(B1055&lt;年初日,B1055&gt;年末日),"✗ 日期不在本会计年度",IF(C1055="","✗ 没选账户",IF(COUNTIF(基础资料!$W$5:$W$24,C1055)=0,"✗ 账户不在基础资料里",IF(O1055="","✗ 没选收支项目",IF(P1055="未知","✗ 收支项目不在基础资料里",IF(AND(P1055="应收",J1055=""),"✗ 这笔要选客户",IF(AND(P1055="应收",COUNTIF(总览汇总!$B$5:$B$304,J1055)=0),"✗ 客户不在总览汇总名单里",IF(AND(P1055="应付",K1055=""),"✗ 这笔要选供应商",IF(AND(P1055="应付",COUNTIF(基础资料!$Q$5:$Q$54,K1055)=0),"✗ 供应商不在基础资料里",IF(AND(P1055="费用",L1055=""),"✗ 费用支出要选费用项目",IF(AND(L1055&lt;&gt;"",COUNTIF(基础资料!$AI$5:$AI$54,L1055)=0),"✗ 费用项目不在基础资料里",IF(AND(IFERROR(INDEX(基础资料!$AD$5:$AD$34,MATCH(O1055,基础资料!$AC$5:$AC$34,0)),"")="收",N(G1055)&lt;&gt;0),"✗ 这类是收款，金额填到收入列",IF(AND(IFERROR(INDEX(基础资料!$AD$5:$AD$34,MATCH(O1055,基础资料!$AC$5:$AC$34,0)),"")="支",N(F1055)&lt;&gt;0),"✗ 这类是付款，金额填到支出列",IF(N(H1055)&lt;0,"⚠ 账户余额成负数了，核对一下","√"))))))))))))))))))</f>
      </c>
      <c r="O1055" s="78">
        <f>IF(D1055&lt;&gt;"",D1055,IF(AND(F1055="",G1055=""),"",IF(J1055&lt;&gt;"",IF(N(F1055)&gt;0,"客户回款","客户退款"),IF(K1055&lt;&gt;"",IF(N(G1055)&gt;0,"供应商付款","供应商退款"),IF(L1055&lt;&gt;"","费用支出","")))))</f>
      </c>
      <c r="P1055" s="78">
        <f>IF(O1055="","",IFERROR(INDEX(基础资料!$AE$5:$AE$34,MATCH(O1055,基础资料!$AC$5:$AC$34,0)),"未知"))</f>
      </c>
      <c r="Q1055" s="78">
        <f>IF(P1055="应收",COUNTIF(P$7:P1055,"应收"),"")</f>
      </c>
      <c r="R1055" s="78">
        <f>IF(P1055="应付",COUNTIF(P$7:P1055,"应付"),"")</f>
      </c>
      <c r="S1055" s="78">
        <f>N(F1055)-N(G1055)</f>
        <v>0</v>
      </c>
    </row>
    <row r="1056">
      <c r="A1056" s="109">
        <f>IF(AND(F1056="",G1056=""),"",ROW()-6)</f>
      </c>
      <c r="B1056" s="140" t="n"/>
      <c r="C1056" s="141" t="n"/>
      <c r="D1056" s="141" t="n"/>
      <c r="E1056" s="142" t="n"/>
      <c r="F1056" s="143" t="n"/>
      <c r="G1056" s="144" t="n"/>
      <c r="H1056" s="145">
        <f>IF(OR(C1056="",AND(F1056="",G1056="")),"",SUMIF(基础资料!$W$5:$W$24,C1056,基础资料!$X$5:$X$24)+SUMIF(C$7:C1056,C1056,F$7:F1056)-SUMIF(C$7:C1056,C1056,G$7:G1056))</f>
      </c>
      <c r="I1056" s="145">
        <f>IF(AND(F1056="",G1056=""),"",SUM(基础资料!$X$5:$X$24)+SUM(F$7:F1056)-SUM(G$7:G1056))</f>
      </c>
      <c r="J1056" s="141" t="n"/>
      <c r="K1056" s="141" t="n"/>
      <c r="L1056" s="141" t="n"/>
      <c r="M1056" s="142" t="n"/>
      <c r="N1056" s="146">
        <f>IF(AND(AND(F1056="",G1056=""),B1056="",C1056="",D1056="",J1056="",K1056="",L1056=""),"",IF(AND(F1056="",G1056=""),"✗ 没填金额",IF(AND(N(F1056)&lt;&gt;0,N(G1056)&lt;&gt;0),"✗ 收入、支出只能填一边",IF(NOT(ISNUMBER(B1056)),"✗ 日期不是真日期（要像 2026/9/25 这样填）",IF(OR(B1056&lt;年初日,B1056&gt;年末日),"✗ 日期不在本会计年度",IF(C1056="","✗ 没选账户",IF(COUNTIF(基础资料!$W$5:$W$24,C1056)=0,"✗ 账户不在基础资料里",IF(O1056="","✗ 没选收支项目",IF(P1056="未知","✗ 收支项目不在基础资料里",IF(AND(P1056="应收",J1056=""),"✗ 这笔要选客户",IF(AND(P1056="应收",COUNTIF(总览汇总!$B$5:$B$304,J1056)=0),"✗ 客户不在总览汇总名单里",IF(AND(P1056="应付",K1056=""),"✗ 这笔要选供应商",IF(AND(P1056="应付",COUNTIF(基础资料!$Q$5:$Q$54,K1056)=0),"✗ 供应商不在基础资料里",IF(AND(P1056="费用",L1056=""),"✗ 费用支出要选费用项目",IF(AND(L1056&lt;&gt;"",COUNTIF(基础资料!$AI$5:$AI$54,L1056)=0),"✗ 费用项目不在基础资料里",IF(AND(IFERROR(INDEX(基础资料!$AD$5:$AD$34,MATCH(O1056,基础资料!$AC$5:$AC$34,0)),"")="收",N(G1056)&lt;&gt;0),"✗ 这类是收款，金额填到收入列",IF(AND(IFERROR(INDEX(基础资料!$AD$5:$AD$34,MATCH(O1056,基础资料!$AC$5:$AC$34,0)),"")="支",N(F1056)&lt;&gt;0),"✗ 这类是付款，金额填到支出列",IF(N(H1056)&lt;0,"⚠ 账户余额成负数了，核对一下","√"))))))))))))))))))</f>
      </c>
      <c r="O1056" s="78">
        <f>IF(D1056&lt;&gt;"",D1056,IF(AND(F1056="",G1056=""),"",IF(J1056&lt;&gt;"",IF(N(F1056)&gt;0,"客户回款","客户退款"),IF(K1056&lt;&gt;"",IF(N(G1056)&gt;0,"供应商付款","供应商退款"),IF(L1056&lt;&gt;"","费用支出","")))))</f>
      </c>
      <c r="P1056" s="78">
        <f>IF(O1056="","",IFERROR(INDEX(基础资料!$AE$5:$AE$34,MATCH(O1056,基础资料!$AC$5:$AC$34,0)),"未知"))</f>
      </c>
      <c r="Q1056" s="78">
        <f>IF(P1056="应收",COUNTIF(P$7:P1056,"应收"),"")</f>
      </c>
      <c r="R1056" s="78">
        <f>IF(P1056="应付",COUNTIF(P$7:P1056,"应付"),"")</f>
      </c>
      <c r="S1056" s="78">
        <f>N(F1056)-N(G1056)</f>
        <v>0</v>
      </c>
    </row>
    <row r="1057">
      <c r="A1057" s="109">
        <f>IF(AND(F1057="",G1057=""),"",ROW()-6)</f>
      </c>
      <c r="B1057" s="140" t="n"/>
      <c r="C1057" s="141" t="n"/>
      <c r="D1057" s="141" t="n"/>
      <c r="E1057" s="142" t="n"/>
      <c r="F1057" s="143" t="n"/>
      <c r="G1057" s="144" t="n"/>
      <c r="H1057" s="145">
        <f>IF(OR(C1057="",AND(F1057="",G1057="")),"",SUMIF(基础资料!$W$5:$W$24,C1057,基础资料!$X$5:$X$24)+SUMIF(C$7:C1057,C1057,F$7:F1057)-SUMIF(C$7:C1057,C1057,G$7:G1057))</f>
      </c>
      <c r="I1057" s="145">
        <f>IF(AND(F1057="",G1057=""),"",SUM(基础资料!$X$5:$X$24)+SUM(F$7:F1057)-SUM(G$7:G1057))</f>
      </c>
      <c r="J1057" s="141" t="n"/>
      <c r="K1057" s="141" t="n"/>
      <c r="L1057" s="141" t="n"/>
      <c r="M1057" s="142" t="n"/>
      <c r="N1057" s="146">
        <f>IF(AND(AND(F1057="",G1057=""),B1057="",C1057="",D1057="",J1057="",K1057="",L1057=""),"",IF(AND(F1057="",G1057=""),"✗ 没填金额",IF(AND(N(F1057)&lt;&gt;0,N(G1057)&lt;&gt;0),"✗ 收入、支出只能填一边",IF(NOT(ISNUMBER(B1057)),"✗ 日期不是真日期（要像 2026/9/25 这样填）",IF(OR(B1057&lt;年初日,B1057&gt;年末日),"✗ 日期不在本会计年度",IF(C1057="","✗ 没选账户",IF(COUNTIF(基础资料!$W$5:$W$24,C1057)=0,"✗ 账户不在基础资料里",IF(O1057="","✗ 没选收支项目",IF(P1057="未知","✗ 收支项目不在基础资料里",IF(AND(P1057="应收",J1057=""),"✗ 这笔要选客户",IF(AND(P1057="应收",COUNTIF(总览汇总!$B$5:$B$304,J1057)=0),"✗ 客户不在总览汇总名单里",IF(AND(P1057="应付",K1057=""),"✗ 这笔要选供应商",IF(AND(P1057="应付",COUNTIF(基础资料!$Q$5:$Q$54,K1057)=0),"✗ 供应商不在基础资料里",IF(AND(P1057="费用",L1057=""),"✗ 费用支出要选费用项目",IF(AND(L1057&lt;&gt;"",COUNTIF(基础资料!$AI$5:$AI$54,L1057)=0),"✗ 费用项目不在基础资料里",IF(AND(IFERROR(INDEX(基础资料!$AD$5:$AD$34,MATCH(O1057,基础资料!$AC$5:$AC$34,0)),"")="收",N(G1057)&lt;&gt;0),"✗ 这类是收款，金额填到收入列",IF(AND(IFERROR(INDEX(基础资料!$AD$5:$AD$34,MATCH(O1057,基础资料!$AC$5:$AC$34,0)),"")="支",N(F1057)&lt;&gt;0),"✗ 这类是付款，金额填到支出列",IF(N(H1057)&lt;0,"⚠ 账户余额成负数了，核对一下","√"))))))))))))))))))</f>
      </c>
      <c r="O1057" s="78">
        <f>IF(D1057&lt;&gt;"",D1057,IF(AND(F1057="",G1057=""),"",IF(J1057&lt;&gt;"",IF(N(F1057)&gt;0,"客户回款","客户退款"),IF(K1057&lt;&gt;"",IF(N(G1057)&gt;0,"供应商付款","供应商退款"),IF(L1057&lt;&gt;"","费用支出","")))))</f>
      </c>
      <c r="P1057" s="78">
        <f>IF(O1057="","",IFERROR(INDEX(基础资料!$AE$5:$AE$34,MATCH(O1057,基础资料!$AC$5:$AC$34,0)),"未知"))</f>
      </c>
      <c r="Q1057" s="78">
        <f>IF(P1057="应收",COUNTIF(P$7:P1057,"应收"),"")</f>
      </c>
      <c r="R1057" s="78">
        <f>IF(P1057="应付",COUNTIF(P$7:P1057,"应付"),"")</f>
      </c>
      <c r="S1057" s="78">
        <f>N(F1057)-N(G1057)</f>
        <v>0</v>
      </c>
    </row>
    <row r="1058">
      <c r="A1058" s="109">
        <f>IF(AND(F1058="",G1058=""),"",ROW()-6)</f>
      </c>
      <c r="B1058" s="140" t="n"/>
      <c r="C1058" s="141" t="n"/>
      <c r="D1058" s="141" t="n"/>
      <c r="E1058" s="142" t="n"/>
      <c r="F1058" s="143" t="n"/>
      <c r="G1058" s="144" t="n"/>
      <c r="H1058" s="145">
        <f>IF(OR(C1058="",AND(F1058="",G1058="")),"",SUMIF(基础资料!$W$5:$W$24,C1058,基础资料!$X$5:$X$24)+SUMIF(C$7:C1058,C1058,F$7:F1058)-SUMIF(C$7:C1058,C1058,G$7:G1058))</f>
      </c>
      <c r="I1058" s="145">
        <f>IF(AND(F1058="",G1058=""),"",SUM(基础资料!$X$5:$X$24)+SUM(F$7:F1058)-SUM(G$7:G1058))</f>
      </c>
      <c r="J1058" s="141" t="n"/>
      <c r="K1058" s="141" t="n"/>
      <c r="L1058" s="141" t="n"/>
      <c r="M1058" s="142" t="n"/>
      <c r="N1058" s="146">
        <f>IF(AND(AND(F1058="",G1058=""),B1058="",C1058="",D1058="",J1058="",K1058="",L1058=""),"",IF(AND(F1058="",G1058=""),"✗ 没填金额",IF(AND(N(F1058)&lt;&gt;0,N(G1058)&lt;&gt;0),"✗ 收入、支出只能填一边",IF(NOT(ISNUMBER(B1058)),"✗ 日期不是真日期（要像 2026/9/25 这样填）",IF(OR(B1058&lt;年初日,B1058&gt;年末日),"✗ 日期不在本会计年度",IF(C1058="","✗ 没选账户",IF(COUNTIF(基础资料!$W$5:$W$24,C1058)=0,"✗ 账户不在基础资料里",IF(O1058="","✗ 没选收支项目",IF(P1058="未知","✗ 收支项目不在基础资料里",IF(AND(P1058="应收",J1058=""),"✗ 这笔要选客户",IF(AND(P1058="应收",COUNTIF(总览汇总!$B$5:$B$304,J1058)=0),"✗ 客户不在总览汇总名单里",IF(AND(P1058="应付",K1058=""),"✗ 这笔要选供应商",IF(AND(P1058="应付",COUNTIF(基础资料!$Q$5:$Q$54,K1058)=0),"✗ 供应商不在基础资料里",IF(AND(P1058="费用",L1058=""),"✗ 费用支出要选费用项目",IF(AND(L1058&lt;&gt;"",COUNTIF(基础资料!$AI$5:$AI$54,L1058)=0),"✗ 费用项目不在基础资料里",IF(AND(IFERROR(INDEX(基础资料!$AD$5:$AD$34,MATCH(O1058,基础资料!$AC$5:$AC$34,0)),"")="收",N(G1058)&lt;&gt;0),"✗ 这类是收款，金额填到收入列",IF(AND(IFERROR(INDEX(基础资料!$AD$5:$AD$34,MATCH(O1058,基础资料!$AC$5:$AC$34,0)),"")="支",N(F1058)&lt;&gt;0),"✗ 这类是付款，金额填到支出列",IF(N(H1058)&lt;0,"⚠ 账户余额成负数了，核对一下","√"))))))))))))))))))</f>
      </c>
      <c r="O1058" s="78">
        <f>IF(D1058&lt;&gt;"",D1058,IF(AND(F1058="",G1058=""),"",IF(J1058&lt;&gt;"",IF(N(F1058)&gt;0,"客户回款","客户退款"),IF(K1058&lt;&gt;"",IF(N(G1058)&gt;0,"供应商付款","供应商退款"),IF(L1058&lt;&gt;"","费用支出","")))))</f>
      </c>
      <c r="P1058" s="78">
        <f>IF(O1058="","",IFERROR(INDEX(基础资料!$AE$5:$AE$34,MATCH(O1058,基础资料!$AC$5:$AC$34,0)),"未知"))</f>
      </c>
      <c r="Q1058" s="78">
        <f>IF(P1058="应收",COUNTIF(P$7:P1058,"应收"),"")</f>
      </c>
      <c r="R1058" s="78">
        <f>IF(P1058="应付",COUNTIF(P$7:P1058,"应付"),"")</f>
      </c>
      <c r="S1058" s="78">
        <f>N(F1058)-N(G1058)</f>
        <v>0</v>
      </c>
    </row>
    <row r="1059">
      <c r="A1059" s="109">
        <f>IF(AND(F1059="",G1059=""),"",ROW()-6)</f>
      </c>
      <c r="B1059" s="140" t="n"/>
      <c r="C1059" s="141" t="n"/>
      <c r="D1059" s="141" t="n"/>
      <c r="E1059" s="142" t="n"/>
      <c r="F1059" s="143" t="n"/>
      <c r="G1059" s="144" t="n"/>
      <c r="H1059" s="145">
        <f>IF(OR(C1059="",AND(F1059="",G1059="")),"",SUMIF(基础资料!$W$5:$W$24,C1059,基础资料!$X$5:$X$24)+SUMIF(C$7:C1059,C1059,F$7:F1059)-SUMIF(C$7:C1059,C1059,G$7:G1059))</f>
      </c>
      <c r="I1059" s="145">
        <f>IF(AND(F1059="",G1059=""),"",SUM(基础资料!$X$5:$X$24)+SUM(F$7:F1059)-SUM(G$7:G1059))</f>
      </c>
      <c r="J1059" s="141" t="n"/>
      <c r="K1059" s="141" t="n"/>
      <c r="L1059" s="141" t="n"/>
      <c r="M1059" s="142" t="n"/>
      <c r="N1059" s="146">
        <f>IF(AND(AND(F1059="",G1059=""),B1059="",C1059="",D1059="",J1059="",K1059="",L1059=""),"",IF(AND(F1059="",G1059=""),"✗ 没填金额",IF(AND(N(F1059)&lt;&gt;0,N(G1059)&lt;&gt;0),"✗ 收入、支出只能填一边",IF(NOT(ISNUMBER(B1059)),"✗ 日期不是真日期（要像 2026/9/25 这样填）",IF(OR(B1059&lt;年初日,B1059&gt;年末日),"✗ 日期不在本会计年度",IF(C1059="","✗ 没选账户",IF(COUNTIF(基础资料!$W$5:$W$24,C1059)=0,"✗ 账户不在基础资料里",IF(O1059="","✗ 没选收支项目",IF(P1059="未知","✗ 收支项目不在基础资料里",IF(AND(P1059="应收",J1059=""),"✗ 这笔要选客户",IF(AND(P1059="应收",COUNTIF(总览汇总!$B$5:$B$304,J1059)=0),"✗ 客户不在总览汇总名单里",IF(AND(P1059="应付",K1059=""),"✗ 这笔要选供应商",IF(AND(P1059="应付",COUNTIF(基础资料!$Q$5:$Q$54,K1059)=0),"✗ 供应商不在基础资料里",IF(AND(P1059="费用",L1059=""),"✗ 费用支出要选费用项目",IF(AND(L1059&lt;&gt;"",COUNTIF(基础资料!$AI$5:$AI$54,L1059)=0),"✗ 费用项目不在基础资料里",IF(AND(IFERROR(INDEX(基础资料!$AD$5:$AD$34,MATCH(O1059,基础资料!$AC$5:$AC$34,0)),"")="收",N(G1059)&lt;&gt;0),"✗ 这类是收款，金额填到收入列",IF(AND(IFERROR(INDEX(基础资料!$AD$5:$AD$34,MATCH(O1059,基础资料!$AC$5:$AC$34,0)),"")="支",N(F1059)&lt;&gt;0),"✗ 这类是付款，金额填到支出列",IF(N(H1059)&lt;0,"⚠ 账户余额成负数了，核对一下","√"))))))))))))))))))</f>
      </c>
      <c r="O1059" s="78">
        <f>IF(D1059&lt;&gt;"",D1059,IF(AND(F1059="",G1059=""),"",IF(J1059&lt;&gt;"",IF(N(F1059)&gt;0,"客户回款","客户退款"),IF(K1059&lt;&gt;"",IF(N(G1059)&gt;0,"供应商付款","供应商退款"),IF(L1059&lt;&gt;"","费用支出","")))))</f>
      </c>
      <c r="P1059" s="78">
        <f>IF(O1059="","",IFERROR(INDEX(基础资料!$AE$5:$AE$34,MATCH(O1059,基础资料!$AC$5:$AC$34,0)),"未知"))</f>
      </c>
      <c r="Q1059" s="78">
        <f>IF(P1059="应收",COUNTIF(P$7:P1059,"应收"),"")</f>
      </c>
      <c r="R1059" s="78">
        <f>IF(P1059="应付",COUNTIF(P$7:P1059,"应付"),"")</f>
      </c>
      <c r="S1059" s="78">
        <f>N(F1059)-N(G1059)</f>
        <v>0</v>
      </c>
    </row>
    <row r="1060">
      <c r="A1060" s="109">
        <f>IF(AND(F1060="",G1060=""),"",ROW()-6)</f>
      </c>
      <c r="B1060" s="140" t="n"/>
      <c r="C1060" s="141" t="n"/>
      <c r="D1060" s="141" t="n"/>
      <c r="E1060" s="142" t="n"/>
      <c r="F1060" s="143" t="n"/>
      <c r="G1060" s="144" t="n"/>
      <c r="H1060" s="145">
        <f>IF(OR(C1060="",AND(F1060="",G1060="")),"",SUMIF(基础资料!$W$5:$W$24,C1060,基础资料!$X$5:$X$24)+SUMIF(C$7:C1060,C1060,F$7:F1060)-SUMIF(C$7:C1060,C1060,G$7:G1060))</f>
      </c>
      <c r="I1060" s="145">
        <f>IF(AND(F1060="",G1060=""),"",SUM(基础资料!$X$5:$X$24)+SUM(F$7:F1060)-SUM(G$7:G1060))</f>
      </c>
      <c r="J1060" s="141" t="n"/>
      <c r="K1060" s="141" t="n"/>
      <c r="L1060" s="141" t="n"/>
      <c r="M1060" s="142" t="n"/>
      <c r="N1060" s="146">
        <f>IF(AND(AND(F1060="",G1060=""),B1060="",C1060="",D1060="",J1060="",K1060="",L1060=""),"",IF(AND(F1060="",G1060=""),"✗ 没填金额",IF(AND(N(F1060)&lt;&gt;0,N(G1060)&lt;&gt;0),"✗ 收入、支出只能填一边",IF(NOT(ISNUMBER(B1060)),"✗ 日期不是真日期（要像 2026/9/25 这样填）",IF(OR(B1060&lt;年初日,B1060&gt;年末日),"✗ 日期不在本会计年度",IF(C1060="","✗ 没选账户",IF(COUNTIF(基础资料!$W$5:$W$24,C1060)=0,"✗ 账户不在基础资料里",IF(O1060="","✗ 没选收支项目",IF(P1060="未知","✗ 收支项目不在基础资料里",IF(AND(P1060="应收",J1060=""),"✗ 这笔要选客户",IF(AND(P1060="应收",COUNTIF(总览汇总!$B$5:$B$304,J1060)=0),"✗ 客户不在总览汇总名单里",IF(AND(P1060="应付",K1060=""),"✗ 这笔要选供应商",IF(AND(P1060="应付",COUNTIF(基础资料!$Q$5:$Q$54,K1060)=0),"✗ 供应商不在基础资料里",IF(AND(P1060="费用",L1060=""),"✗ 费用支出要选费用项目",IF(AND(L1060&lt;&gt;"",COUNTIF(基础资料!$AI$5:$AI$54,L1060)=0),"✗ 费用项目不在基础资料里",IF(AND(IFERROR(INDEX(基础资料!$AD$5:$AD$34,MATCH(O1060,基础资料!$AC$5:$AC$34,0)),"")="收",N(G1060)&lt;&gt;0),"✗ 这类是收款，金额填到收入列",IF(AND(IFERROR(INDEX(基础资料!$AD$5:$AD$34,MATCH(O1060,基础资料!$AC$5:$AC$34,0)),"")="支",N(F1060)&lt;&gt;0),"✗ 这类是付款，金额填到支出列",IF(N(H1060)&lt;0,"⚠ 账户余额成负数了，核对一下","√"))))))))))))))))))</f>
      </c>
      <c r="O1060" s="78">
        <f>IF(D1060&lt;&gt;"",D1060,IF(AND(F1060="",G1060=""),"",IF(J1060&lt;&gt;"",IF(N(F1060)&gt;0,"客户回款","客户退款"),IF(K1060&lt;&gt;"",IF(N(G1060)&gt;0,"供应商付款","供应商退款"),IF(L1060&lt;&gt;"","费用支出","")))))</f>
      </c>
      <c r="P1060" s="78">
        <f>IF(O1060="","",IFERROR(INDEX(基础资料!$AE$5:$AE$34,MATCH(O1060,基础资料!$AC$5:$AC$34,0)),"未知"))</f>
      </c>
      <c r="Q1060" s="78">
        <f>IF(P1060="应收",COUNTIF(P$7:P1060,"应收"),"")</f>
      </c>
      <c r="R1060" s="78">
        <f>IF(P1060="应付",COUNTIF(P$7:P1060,"应付"),"")</f>
      </c>
      <c r="S1060" s="78">
        <f>N(F1060)-N(G1060)</f>
        <v>0</v>
      </c>
    </row>
    <row r="1061">
      <c r="A1061" s="109">
        <f>IF(AND(F1061="",G1061=""),"",ROW()-6)</f>
      </c>
      <c r="B1061" s="140" t="n"/>
      <c r="C1061" s="141" t="n"/>
      <c r="D1061" s="141" t="n"/>
      <c r="E1061" s="142" t="n"/>
      <c r="F1061" s="143" t="n"/>
      <c r="G1061" s="144" t="n"/>
      <c r="H1061" s="145">
        <f>IF(OR(C1061="",AND(F1061="",G1061="")),"",SUMIF(基础资料!$W$5:$W$24,C1061,基础资料!$X$5:$X$24)+SUMIF(C$7:C1061,C1061,F$7:F1061)-SUMIF(C$7:C1061,C1061,G$7:G1061))</f>
      </c>
      <c r="I1061" s="145">
        <f>IF(AND(F1061="",G1061=""),"",SUM(基础资料!$X$5:$X$24)+SUM(F$7:F1061)-SUM(G$7:G1061))</f>
      </c>
      <c r="J1061" s="141" t="n"/>
      <c r="K1061" s="141" t="n"/>
      <c r="L1061" s="141" t="n"/>
      <c r="M1061" s="142" t="n"/>
      <c r="N1061" s="146">
        <f>IF(AND(AND(F1061="",G1061=""),B1061="",C1061="",D1061="",J1061="",K1061="",L1061=""),"",IF(AND(F1061="",G1061=""),"✗ 没填金额",IF(AND(N(F1061)&lt;&gt;0,N(G1061)&lt;&gt;0),"✗ 收入、支出只能填一边",IF(NOT(ISNUMBER(B1061)),"✗ 日期不是真日期（要像 2026/9/25 这样填）",IF(OR(B1061&lt;年初日,B1061&gt;年末日),"✗ 日期不在本会计年度",IF(C1061="","✗ 没选账户",IF(COUNTIF(基础资料!$W$5:$W$24,C1061)=0,"✗ 账户不在基础资料里",IF(O1061="","✗ 没选收支项目",IF(P1061="未知","✗ 收支项目不在基础资料里",IF(AND(P1061="应收",J1061=""),"✗ 这笔要选客户",IF(AND(P1061="应收",COUNTIF(总览汇总!$B$5:$B$304,J1061)=0),"✗ 客户不在总览汇总名单里",IF(AND(P1061="应付",K1061=""),"✗ 这笔要选供应商",IF(AND(P1061="应付",COUNTIF(基础资料!$Q$5:$Q$54,K1061)=0),"✗ 供应商不在基础资料里",IF(AND(P1061="费用",L1061=""),"✗ 费用支出要选费用项目",IF(AND(L1061&lt;&gt;"",COUNTIF(基础资料!$AI$5:$AI$54,L1061)=0),"✗ 费用项目不在基础资料里",IF(AND(IFERROR(INDEX(基础资料!$AD$5:$AD$34,MATCH(O1061,基础资料!$AC$5:$AC$34,0)),"")="收",N(G1061)&lt;&gt;0),"✗ 这类是收款，金额填到收入列",IF(AND(IFERROR(INDEX(基础资料!$AD$5:$AD$34,MATCH(O1061,基础资料!$AC$5:$AC$34,0)),"")="支",N(F1061)&lt;&gt;0),"✗ 这类是付款，金额填到支出列",IF(N(H1061)&lt;0,"⚠ 账户余额成负数了，核对一下","√"))))))))))))))))))</f>
      </c>
      <c r="O1061" s="78">
        <f>IF(D1061&lt;&gt;"",D1061,IF(AND(F1061="",G1061=""),"",IF(J1061&lt;&gt;"",IF(N(F1061)&gt;0,"客户回款","客户退款"),IF(K1061&lt;&gt;"",IF(N(G1061)&gt;0,"供应商付款","供应商退款"),IF(L1061&lt;&gt;"","费用支出","")))))</f>
      </c>
      <c r="P1061" s="78">
        <f>IF(O1061="","",IFERROR(INDEX(基础资料!$AE$5:$AE$34,MATCH(O1061,基础资料!$AC$5:$AC$34,0)),"未知"))</f>
      </c>
      <c r="Q1061" s="78">
        <f>IF(P1061="应收",COUNTIF(P$7:P1061,"应收"),"")</f>
      </c>
      <c r="R1061" s="78">
        <f>IF(P1061="应付",COUNTIF(P$7:P1061,"应付"),"")</f>
      </c>
      <c r="S1061" s="78">
        <f>N(F1061)-N(G1061)</f>
        <v>0</v>
      </c>
    </row>
    <row r="1062">
      <c r="A1062" s="109">
        <f>IF(AND(F1062="",G1062=""),"",ROW()-6)</f>
      </c>
      <c r="B1062" s="140" t="n"/>
      <c r="C1062" s="141" t="n"/>
      <c r="D1062" s="141" t="n"/>
      <c r="E1062" s="142" t="n"/>
      <c r="F1062" s="143" t="n"/>
      <c r="G1062" s="144" t="n"/>
      <c r="H1062" s="145">
        <f>IF(OR(C1062="",AND(F1062="",G1062="")),"",SUMIF(基础资料!$W$5:$W$24,C1062,基础资料!$X$5:$X$24)+SUMIF(C$7:C1062,C1062,F$7:F1062)-SUMIF(C$7:C1062,C1062,G$7:G1062))</f>
      </c>
      <c r="I1062" s="145">
        <f>IF(AND(F1062="",G1062=""),"",SUM(基础资料!$X$5:$X$24)+SUM(F$7:F1062)-SUM(G$7:G1062))</f>
      </c>
      <c r="J1062" s="141" t="n"/>
      <c r="K1062" s="141" t="n"/>
      <c r="L1062" s="141" t="n"/>
      <c r="M1062" s="142" t="n"/>
      <c r="N1062" s="146">
        <f>IF(AND(AND(F1062="",G1062=""),B1062="",C1062="",D1062="",J1062="",K1062="",L1062=""),"",IF(AND(F1062="",G1062=""),"✗ 没填金额",IF(AND(N(F1062)&lt;&gt;0,N(G1062)&lt;&gt;0),"✗ 收入、支出只能填一边",IF(NOT(ISNUMBER(B1062)),"✗ 日期不是真日期（要像 2026/9/25 这样填）",IF(OR(B1062&lt;年初日,B1062&gt;年末日),"✗ 日期不在本会计年度",IF(C1062="","✗ 没选账户",IF(COUNTIF(基础资料!$W$5:$W$24,C1062)=0,"✗ 账户不在基础资料里",IF(O1062="","✗ 没选收支项目",IF(P1062="未知","✗ 收支项目不在基础资料里",IF(AND(P1062="应收",J1062=""),"✗ 这笔要选客户",IF(AND(P1062="应收",COUNTIF(总览汇总!$B$5:$B$304,J1062)=0),"✗ 客户不在总览汇总名单里",IF(AND(P1062="应付",K1062=""),"✗ 这笔要选供应商",IF(AND(P1062="应付",COUNTIF(基础资料!$Q$5:$Q$54,K1062)=0),"✗ 供应商不在基础资料里",IF(AND(P1062="费用",L1062=""),"✗ 费用支出要选费用项目",IF(AND(L1062&lt;&gt;"",COUNTIF(基础资料!$AI$5:$AI$54,L1062)=0),"✗ 费用项目不在基础资料里",IF(AND(IFERROR(INDEX(基础资料!$AD$5:$AD$34,MATCH(O1062,基础资料!$AC$5:$AC$34,0)),"")="收",N(G1062)&lt;&gt;0),"✗ 这类是收款，金额填到收入列",IF(AND(IFERROR(INDEX(基础资料!$AD$5:$AD$34,MATCH(O1062,基础资料!$AC$5:$AC$34,0)),"")="支",N(F1062)&lt;&gt;0),"✗ 这类是付款，金额填到支出列",IF(N(H1062)&lt;0,"⚠ 账户余额成负数了，核对一下","√"))))))))))))))))))</f>
      </c>
      <c r="O1062" s="78">
        <f>IF(D1062&lt;&gt;"",D1062,IF(AND(F1062="",G1062=""),"",IF(J1062&lt;&gt;"",IF(N(F1062)&gt;0,"客户回款","客户退款"),IF(K1062&lt;&gt;"",IF(N(G1062)&gt;0,"供应商付款","供应商退款"),IF(L1062&lt;&gt;"","费用支出","")))))</f>
      </c>
      <c r="P1062" s="78">
        <f>IF(O1062="","",IFERROR(INDEX(基础资料!$AE$5:$AE$34,MATCH(O1062,基础资料!$AC$5:$AC$34,0)),"未知"))</f>
      </c>
      <c r="Q1062" s="78">
        <f>IF(P1062="应收",COUNTIF(P$7:P1062,"应收"),"")</f>
      </c>
      <c r="R1062" s="78">
        <f>IF(P1062="应付",COUNTIF(P$7:P1062,"应付"),"")</f>
      </c>
      <c r="S1062" s="78">
        <f>N(F1062)-N(G1062)</f>
        <v>0</v>
      </c>
    </row>
    <row r="1063">
      <c r="A1063" s="109">
        <f>IF(AND(F1063="",G1063=""),"",ROW()-6)</f>
      </c>
      <c r="B1063" s="140" t="n"/>
      <c r="C1063" s="141" t="n"/>
      <c r="D1063" s="141" t="n"/>
      <c r="E1063" s="142" t="n"/>
      <c r="F1063" s="143" t="n"/>
      <c r="G1063" s="144" t="n"/>
      <c r="H1063" s="145">
        <f>IF(OR(C1063="",AND(F1063="",G1063="")),"",SUMIF(基础资料!$W$5:$W$24,C1063,基础资料!$X$5:$X$24)+SUMIF(C$7:C1063,C1063,F$7:F1063)-SUMIF(C$7:C1063,C1063,G$7:G1063))</f>
      </c>
      <c r="I1063" s="145">
        <f>IF(AND(F1063="",G1063=""),"",SUM(基础资料!$X$5:$X$24)+SUM(F$7:F1063)-SUM(G$7:G1063))</f>
      </c>
      <c r="J1063" s="141" t="n"/>
      <c r="K1063" s="141" t="n"/>
      <c r="L1063" s="141" t="n"/>
      <c r="M1063" s="142" t="n"/>
      <c r="N1063" s="146">
        <f>IF(AND(AND(F1063="",G1063=""),B1063="",C1063="",D1063="",J1063="",K1063="",L1063=""),"",IF(AND(F1063="",G1063=""),"✗ 没填金额",IF(AND(N(F1063)&lt;&gt;0,N(G1063)&lt;&gt;0),"✗ 收入、支出只能填一边",IF(NOT(ISNUMBER(B1063)),"✗ 日期不是真日期（要像 2026/9/25 这样填）",IF(OR(B1063&lt;年初日,B1063&gt;年末日),"✗ 日期不在本会计年度",IF(C1063="","✗ 没选账户",IF(COUNTIF(基础资料!$W$5:$W$24,C1063)=0,"✗ 账户不在基础资料里",IF(O1063="","✗ 没选收支项目",IF(P1063="未知","✗ 收支项目不在基础资料里",IF(AND(P1063="应收",J1063=""),"✗ 这笔要选客户",IF(AND(P1063="应收",COUNTIF(总览汇总!$B$5:$B$304,J1063)=0),"✗ 客户不在总览汇总名单里",IF(AND(P1063="应付",K1063=""),"✗ 这笔要选供应商",IF(AND(P1063="应付",COUNTIF(基础资料!$Q$5:$Q$54,K1063)=0),"✗ 供应商不在基础资料里",IF(AND(P1063="费用",L1063=""),"✗ 费用支出要选费用项目",IF(AND(L1063&lt;&gt;"",COUNTIF(基础资料!$AI$5:$AI$54,L1063)=0),"✗ 费用项目不在基础资料里",IF(AND(IFERROR(INDEX(基础资料!$AD$5:$AD$34,MATCH(O1063,基础资料!$AC$5:$AC$34,0)),"")="收",N(G1063)&lt;&gt;0),"✗ 这类是收款，金额填到收入列",IF(AND(IFERROR(INDEX(基础资料!$AD$5:$AD$34,MATCH(O1063,基础资料!$AC$5:$AC$34,0)),"")="支",N(F1063)&lt;&gt;0),"✗ 这类是付款，金额填到支出列",IF(N(H1063)&lt;0,"⚠ 账户余额成负数了，核对一下","√"))))))))))))))))))</f>
      </c>
      <c r="O1063" s="78">
        <f>IF(D1063&lt;&gt;"",D1063,IF(AND(F1063="",G1063=""),"",IF(J1063&lt;&gt;"",IF(N(F1063)&gt;0,"客户回款","客户退款"),IF(K1063&lt;&gt;"",IF(N(G1063)&gt;0,"供应商付款","供应商退款"),IF(L1063&lt;&gt;"","费用支出","")))))</f>
      </c>
      <c r="P1063" s="78">
        <f>IF(O1063="","",IFERROR(INDEX(基础资料!$AE$5:$AE$34,MATCH(O1063,基础资料!$AC$5:$AC$34,0)),"未知"))</f>
      </c>
      <c r="Q1063" s="78">
        <f>IF(P1063="应收",COUNTIF(P$7:P1063,"应收"),"")</f>
      </c>
      <c r="R1063" s="78">
        <f>IF(P1063="应付",COUNTIF(P$7:P1063,"应付"),"")</f>
      </c>
      <c r="S1063" s="78">
        <f>N(F1063)-N(G1063)</f>
        <v>0</v>
      </c>
    </row>
    <row r="1064">
      <c r="A1064" s="109">
        <f>IF(AND(F1064="",G1064=""),"",ROW()-6)</f>
      </c>
      <c r="B1064" s="140" t="n"/>
      <c r="C1064" s="141" t="n"/>
      <c r="D1064" s="141" t="n"/>
      <c r="E1064" s="142" t="n"/>
      <c r="F1064" s="143" t="n"/>
      <c r="G1064" s="144" t="n"/>
      <c r="H1064" s="145">
        <f>IF(OR(C1064="",AND(F1064="",G1064="")),"",SUMIF(基础资料!$W$5:$W$24,C1064,基础资料!$X$5:$X$24)+SUMIF(C$7:C1064,C1064,F$7:F1064)-SUMIF(C$7:C1064,C1064,G$7:G1064))</f>
      </c>
      <c r="I1064" s="145">
        <f>IF(AND(F1064="",G1064=""),"",SUM(基础资料!$X$5:$X$24)+SUM(F$7:F1064)-SUM(G$7:G1064))</f>
      </c>
      <c r="J1064" s="141" t="n"/>
      <c r="K1064" s="141" t="n"/>
      <c r="L1064" s="141" t="n"/>
      <c r="M1064" s="142" t="n"/>
      <c r="N1064" s="146">
        <f>IF(AND(AND(F1064="",G1064=""),B1064="",C1064="",D1064="",J1064="",K1064="",L1064=""),"",IF(AND(F1064="",G1064=""),"✗ 没填金额",IF(AND(N(F1064)&lt;&gt;0,N(G1064)&lt;&gt;0),"✗ 收入、支出只能填一边",IF(NOT(ISNUMBER(B1064)),"✗ 日期不是真日期（要像 2026/9/25 这样填）",IF(OR(B1064&lt;年初日,B1064&gt;年末日),"✗ 日期不在本会计年度",IF(C1064="","✗ 没选账户",IF(COUNTIF(基础资料!$W$5:$W$24,C1064)=0,"✗ 账户不在基础资料里",IF(O1064="","✗ 没选收支项目",IF(P1064="未知","✗ 收支项目不在基础资料里",IF(AND(P1064="应收",J1064=""),"✗ 这笔要选客户",IF(AND(P1064="应收",COUNTIF(总览汇总!$B$5:$B$304,J1064)=0),"✗ 客户不在总览汇总名单里",IF(AND(P1064="应付",K1064=""),"✗ 这笔要选供应商",IF(AND(P1064="应付",COUNTIF(基础资料!$Q$5:$Q$54,K1064)=0),"✗ 供应商不在基础资料里",IF(AND(P1064="费用",L1064=""),"✗ 费用支出要选费用项目",IF(AND(L1064&lt;&gt;"",COUNTIF(基础资料!$AI$5:$AI$54,L1064)=0),"✗ 费用项目不在基础资料里",IF(AND(IFERROR(INDEX(基础资料!$AD$5:$AD$34,MATCH(O1064,基础资料!$AC$5:$AC$34,0)),"")="收",N(G1064)&lt;&gt;0),"✗ 这类是收款，金额填到收入列",IF(AND(IFERROR(INDEX(基础资料!$AD$5:$AD$34,MATCH(O1064,基础资料!$AC$5:$AC$34,0)),"")="支",N(F1064)&lt;&gt;0),"✗ 这类是付款，金额填到支出列",IF(N(H1064)&lt;0,"⚠ 账户余额成负数了，核对一下","√"))))))))))))))))))</f>
      </c>
      <c r="O1064" s="78">
        <f>IF(D1064&lt;&gt;"",D1064,IF(AND(F1064="",G1064=""),"",IF(J1064&lt;&gt;"",IF(N(F1064)&gt;0,"客户回款","客户退款"),IF(K1064&lt;&gt;"",IF(N(G1064)&gt;0,"供应商付款","供应商退款"),IF(L1064&lt;&gt;"","费用支出","")))))</f>
      </c>
      <c r="P1064" s="78">
        <f>IF(O1064="","",IFERROR(INDEX(基础资料!$AE$5:$AE$34,MATCH(O1064,基础资料!$AC$5:$AC$34,0)),"未知"))</f>
      </c>
      <c r="Q1064" s="78">
        <f>IF(P1064="应收",COUNTIF(P$7:P1064,"应收"),"")</f>
      </c>
      <c r="R1064" s="78">
        <f>IF(P1064="应付",COUNTIF(P$7:P1064,"应付"),"")</f>
      </c>
      <c r="S1064" s="78">
        <f>N(F1064)-N(G1064)</f>
        <v>0</v>
      </c>
    </row>
    <row r="1065">
      <c r="A1065" s="109">
        <f>IF(AND(F1065="",G1065=""),"",ROW()-6)</f>
      </c>
      <c r="B1065" s="140" t="n"/>
      <c r="C1065" s="141" t="n"/>
      <c r="D1065" s="141" t="n"/>
      <c r="E1065" s="142" t="n"/>
      <c r="F1065" s="143" t="n"/>
      <c r="G1065" s="144" t="n"/>
      <c r="H1065" s="145">
        <f>IF(OR(C1065="",AND(F1065="",G1065="")),"",SUMIF(基础资料!$W$5:$W$24,C1065,基础资料!$X$5:$X$24)+SUMIF(C$7:C1065,C1065,F$7:F1065)-SUMIF(C$7:C1065,C1065,G$7:G1065))</f>
      </c>
      <c r="I1065" s="145">
        <f>IF(AND(F1065="",G1065=""),"",SUM(基础资料!$X$5:$X$24)+SUM(F$7:F1065)-SUM(G$7:G1065))</f>
      </c>
      <c r="J1065" s="141" t="n"/>
      <c r="K1065" s="141" t="n"/>
      <c r="L1065" s="141" t="n"/>
      <c r="M1065" s="142" t="n"/>
      <c r="N1065" s="146">
        <f>IF(AND(AND(F1065="",G1065=""),B1065="",C1065="",D1065="",J1065="",K1065="",L1065=""),"",IF(AND(F1065="",G1065=""),"✗ 没填金额",IF(AND(N(F1065)&lt;&gt;0,N(G1065)&lt;&gt;0),"✗ 收入、支出只能填一边",IF(NOT(ISNUMBER(B1065)),"✗ 日期不是真日期（要像 2026/9/25 这样填）",IF(OR(B1065&lt;年初日,B1065&gt;年末日),"✗ 日期不在本会计年度",IF(C1065="","✗ 没选账户",IF(COUNTIF(基础资料!$W$5:$W$24,C1065)=0,"✗ 账户不在基础资料里",IF(O1065="","✗ 没选收支项目",IF(P1065="未知","✗ 收支项目不在基础资料里",IF(AND(P1065="应收",J1065=""),"✗ 这笔要选客户",IF(AND(P1065="应收",COUNTIF(总览汇总!$B$5:$B$304,J1065)=0),"✗ 客户不在总览汇总名单里",IF(AND(P1065="应付",K1065=""),"✗ 这笔要选供应商",IF(AND(P1065="应付",COUNTIF(基础资料!$Q$5:$Q$54,K1065)=0),"✗ 供应商不在基础资料里",IF(AND(P1065="费用",L1065=""),"✗ 费用支出要选费用项目",IF(AND(L1065&lt;&gt;"",COUNTIF(基础资料!$AI$5:$AI$54,L1065)=0),"✗ 费用项目不在基础资料里",IF(AND(IFERROR(INDEX(基础资料!$AD$5:$AD$34,MATCH(O1065,基础资料!$AC$5:$AC$34,0)),"")="收",N(G1065)&lt;&gt;0),"✗ 这类是收款，金额填到收入列",IF(AND(IFERROR(INDEX(基础资料!$AD$5:$AD$34,MATCH(O1065,基础资料!$AC$5:$AC$34,0)),"")="支",N(F1065)&lt;&gt;0),"✗ 这类是付款，金额填到支出列",IF(N(H1065)&lt;0,"⚠ 账户余额成负数了，核对一下","√"))))))))))))))))))</f>
      </c>
      <c r="O1065" s="78">
        <f>IF(D1065&lt;&gt;"",D1065,IF(AND(F1065="",G1065=""),"",IF(J1065&lt;&gt;"",IF(N(F1065)&gt;0,"客户回款","客户退款"),IF(K1065&lt;&gt;"",IF(N(G1065)&gt;0,"供应商付款","供应商退款"),IF(L1065&lt;&gt;"","费用支出","")))))</f>
      </c>
      <c r="P1065" s="78">
        <f>IF(O1065="","",IFERROR(INDEX(基础资料!$AE$5:$AE$34,MATCH(O1065,基础资料!$AC$5:$AC$34,0)),"未知"))</f>
      </c>
      <c r="Q1065" s="78">
        <f>IF(P1065="应收",COUNTIF(P$7:P1065,"应收"),"")</f>
      </c>
      <c r="R1065" s="78">
        <f>IF(P1065="应付",COUNTIF(P$7:P1065,"应付"),"")</f>
      </c>
      <c r="S1065" s="78">
        <f>N(F1065)-N(G1065)</f>
        <v>0</v>
      </c>
    </row>
    <row r="1066">
      <c r="A1066" s="109">
        <f>IF(AND(F1066="",G1066=""),"",ROW()-6)</f>
      </c>
      <c r="B1066" s="140" t="n"/>
      <c r="C1066" s="141" t="n"/>
      <c r="D1066" s="141" t="n"/>
      <c r="E1066" s="142" t="n"/>
      <c r="F1066" s="143" t="n"/>
      <c r="G1066" s="144" t="n"/>
      <c r="H1066" s="145">
        <f>IF(OR(C1066="",AND(F1066="",G1066="")),"",SUMIF(基础资料!$W$5:$W$24,C1066,基础资料!$X$5:$X$24)+SUMIF(C$7:C1066,C1066,F$7:F1066)-SUMIF(C$7:C1066,C1066,G$7:G1066))</f>
      </c>
      <c r="I1066" s="145">
        <f>IF(AND(F1066="",G1066=""),"",SUM(基础资料!$X$5:$X$24)+SUM(F$7:F1066)-SUM(G$7:G1066))</f>
      </c>
      <c r="J1066" s="141" t="n"/>
      <c r="K1066" s="141" t="n"/>
      <c r="L1066" s="141" t="n"/>
      <c r="M1066" s="142" t="n"/>
      <c r="N1066" s="146">
        <f>IF(AND(AND(F1066="",G1066=""),B1066="",C1066="",D1066="",J1066="",K1066="",L1066=""),"",IF(AND(F1066="",G1066=""),"✗ 没填金额",IF(AND(N(F1066)&lt;&gt;0,N(G1066)&lt;&gt;0),"✗ 收入、支出只能填一边",IF(NOT(ISNUMBER(B1066)),"✗ 日期不是真日期（要像 2026/9/25 这样填）",IF(OR(B1066&lt;年初日,B1066&gt;年末日),"✗ 日期不在本会计年度",IF(C1066="","✗ 没选账户",IF(COUNTIF(基础资料!$W$5:$W$24,C1066)=0,"✗ 账户不在基础资料里",IF(O1066="","✗ 没选收支项目",IF(P1066="未知","✗ 收支项目不在基础资料里",IF(AND(P1066="应收",J1066=""),"✗ 这笔要选客户",IF(AND(P1066="应收",COUNTIF(总览汇总!$B$5:$B$304,J1066)=0),"✗ 客户不在总览汇总名单里",IF(AND(P1066="应付",K1066=""),"✗ 这笔要选供应商",IF(AND(P1066="应付",COUNTIF(基础资料!$Q$5:$Q$54,K1066)=0),"✗ 供应商不在基础资料里",IF(AND(P1066="费用",L1066=""),"✗ 费用支出要选费用项目",IF(AND(L1066&lt;&gt;"",COUNTIF(基础资料!$AI$5:$AI$54,L1066)=0),"✗ 费用项目不在基础资料里",IF(AND(IFERROR(INDEX(基础资料!$AD$5:$AD$34,MATCH(O1066,基础资料!$AC$5:$AC$34,0)),"")="收",N(G1066)&lt;&gt;0),"✗ 这类是收款，金额填到收入列",IF(AND(IFERROR(INDEX(基础资料!$AD$5:$AD$34,MATCH(O1066,基础资料!$AC$5:$AC$34,0)),"")="支",N(F1066)&lt;&gt;0),"✗ 这类是付款，金额填到支出列",IF(N(H1066)&lt;0,"⚠ 账户余额成负数了，核对一下","√"))))))))))))))))))</f>
      </c>
      <c r="O1066" s="78">
        <f>IF(D1066&lt;&gt;"",D1066,IF(AND(F1066="",G1066=""),"",IF(J1066&lt;&gt;"",IF(N(F1066)&gt;0,"客户回款","客户退款"),IF(K1066&lt;&gt;"",IF(N(G1066)&gt;0,"供应商付款","供应商退款"),IF(L1066&lt;&gt;"","费用支出","")))))</f>
      </c>
      <c r="P1066" s="78">
        <f>IF(O1066="","",IFERROR(INDEX(基础资料!$AE$5:$AE$34,MATCH(O1066,基础资料!$AC$5:$AC$34,0)),"未知"))</f>
      </c>
      <c r="Q1066" s="78">
        <f>IF(P1066="应收",COUNTIF(P$7:P1066,"应收"),"")</f>
      </c>
      <c r="R1066" s="78">
        <f>IF(P1066="应付",COUNTIF(P$7:P1066,"应付"),"")</f>
      </c>
      <c r="S1066" s="78">
        <f>N(F1066)-N(G1066)</f>
        <v>0</v>
      </c>
    </row>
    <row r="1067">
      <c r="A1067" s="109">
        <f>IF(AND(F1067="",G1067=""),"",ROW()-6)</f>
      </c>
      <c r="B1067" s="140" t="n"/>
      <c r="C1067" s="141" t="n"/>
      <c r="D1067" s="141" t="n"/>
      <c r="E1067" s="142" t="n"/>
      <c r="F1067" s="143" t="n"/>
      <c r="G1067" s="144" t="n"/>
      <c r="H1067" s="145">
        <f>IF(OR(C1067="",AND(F1067="",G1067="")),"",SUMIF(基础资料!$W$5:$W$24,C1067,基础资料!$X$5:$X$24)+SUMIF(C$7:C1067,C1067,F$7:F1067)-SUMIF(C$7:C1067,C1067,G$7:G1067))</f>
      </c>
      <c r="I1067" s="145">
        <f>IF(AND(F1067="",G1067=""),"",SUM(基础资料!$X$5:$X$24)+SUM(F$7:F1067)-SUM(G$7:G1067))</f>
      </c>
      <c r="J1067" s="141" t="n"/>
      <c r="K1067" s="141" t="n"/>
      <c r="L1067" s="141" t="n"/>
      <c r="M1067" s="142" t="n"/>
      <c r="N1067" s="146">
        <f>IF(AND(AND(F1067="",G1067=""),B1067="",C1067="",D1067="",J1067="",K1067="",L1067=""),"",IF(AND(F1067="",G1067=""),"✗ 没填金额",IF(AND(N(F1067)&lt;&gt;0,N(G1067)&lt;&gt;0),"✗ 收入、支出只能填一边",IF(NOT(ISNUMBER(B1067)),"✗ 日期不是真日期（要像 2026/9/25 这样填）",IF(OR(B1067&lt;年初日,B1067&gt;年末日),"✗ 日期不在本会计年度",IF(C1067="","✗ 没选账户",IF(COUNTIF(基础资料!$W$5:$W$24,C1067)=0,"✗ 账户不在基础资料里",IF(O1067="","✗ 没选收支项目",IF(P1067="未知","✗ 收支项目不在基础资料里",IF(AND(P1067="应收",J1067=""),"✗ 这笔要选客户",IF(AND(P1067="应收",COUNTIF(总览汇总!$B$5:$B$304,J1067)=0),"✗ 客户不在总览汇总名单里",IF(AND(P1067="应付",K1067=""),"✗ 这笔要选供应商",IF(AND(P1067="应付",COUNTIF(基础资料!$Q$5:$Q$54,K1067)=0),"✗ 供应商不在基础资料里",IF(AND(P1067="费用",L1067=""),"✗ 费用支出要选费用项目",IF(AND(L1067&lt;&gt;"",COUNTIF(基础资料!$AI$5:$AI$54,L1067)=0),"✗ 费用项目不在基础资料里",IF(AND(IFERROR(INDEX(基础资料!$AD$5:$AD$34,MATCH(O1067,基础资料!$AC$5:$AC$34,0)),"")="收",N(G1067)&lt;&gt;0),"✗ 这类是收款，金额填到收入列",IF(AND(IFERROR(INDEX(基础资料!$AD$5:$AD$34,MATCH(O1067,基础资料!$AC$5:$AC$34,0)),"")="支",N(F1067)&lt;&gt;0),"✗ 这类是付款，金额填到支出列",IF(N(H1067)&lt;0,"⚠ 账户余额成负数了，核对一下","√"))))))))))))))))))</f>
      </c>
      <c r="O1067" s="78">
        <f>IF(D1067&lt;&gt;"",D1067,IF(AND(F1067="",G1067=""),"",IF(J1067&lt;&gt;"",IF(N(F1067)&gt;0,"客户回款","客户退款"),IF(K1067&lt;&gt;"",IF(N(G1067)&gt;0,"供应商付款","供应商退款"),IF(L1067&lt;&gt;"","费用支出","")))))</f>
      </c>
      <c r="P1067" s="78">
        <f>IF(O1067="","",IFERROR(INDEX(基础资料!$AE$5:$AE$34,MATCH(O1067,基础资料!$AC$5:$AC$34,0)),"未知"))</f>
      </c>
      <c r="Q1067" s="78">
        <f>IF(P1067="应收",COUNTIF(P$7:P1067,"应收"),"")</f>
      </c>
      <c r="R1067" s="78">
        <f>IF(P1067="应付",COUNTIF(P$7:P1067,"应付"),"")</f>
      </c>
      <c r="S1067" s="78">
        <f>N(F1067)-N(G1067)</f>
        <v>0</v>
      </c>
    </row>
    <row r="1068">
      <c r="A1068" s="109">
        <f>IF(AND(F1068="",G1068=""),"",ROW()-6)</f>
      </c>
      <c r="B1068" s="140" t="n"/>
      <c r="C1068" s="141" t="n"/>
      <c r="D1068" s="141" t="n"/>
      <c r="E1068" s="142" t="n"/>
      <c r="F1068" s="143" t="n"/>
      <c r="G1068" s="144" t="n"/>
      <c r="H1068" s="145">
        <f>IF(OR(C1068="",AND(F1068="",G1068="")),"",SUMIF(基础资料!$W$5:$W$24,C1068,基础资料!$X$5:$X$24)+SUMIF(C$7:C1068,C1068,F$7:F1068)-SUMIF(C$7:C1068,C1068,G$7:G1068))</f>
      </c>
      <c r="I1068" s="145">
        <f>IF(AND(F1068="",G1068=""),"",SUM(基础资料!$X$5:$X$24)+SUM(F$7:F1068)-SUM(G$7:G1068))</f>
      </c>
      <c r="J1068" s="141" t="n"/>
      <c r="K1068" s="141" t="n"/>
      <c r="L1068" s="141" t="n"/>
      <c r="M1068" s="142" t="n"/>
      <c r="N1068" s="146">
        <f>IF(AND(AND(F1068="",G1068=""),B1068="",C1068="",D1068="",J1068="",K1068="",L1068=""),"",IF(AND(F1068="",G1068=""),"✗ 没填金额",IF(AND(N(F1068)&lt;&gt;0,N(G1068)&lt;&gt;0),"✗ 收入、支出只能填一边",IF(NOT(ISNUMBER(B1068)),"✗ 日期不是真日期（要像 2026/9/25 这样填）",IF(OR(B1068&lt;年初日,B1068&gt;年末日),"✗ 日期不在本会计年度",IF(C1068="","✗ 没选账户",IF(COUNTIF(基础资料!$W$5:$W$24,C1068)=0,"✗ 账户不在基础资料里",IF(O1068="","✗ 没选收支项目",IF(P1068="未知","✗ 收支项目不在基础资料里",IF(AND(P1068="应收",J1068=""),"✗ 这笔要选客户",IF(AND(P1068="应收",COUNTIF(总览汇总!$B$5:$B$304,J1068)=0),"✗ 客户不在总览汇总名单里",IF(AND(P1068="应付",K1068=""),"✗ 这笔要选供应商",IF(AND(P1068="应付",COUNTIF(基础资料!$Q$5:$Q$54,K1068)=0),"✗ 供应商不在基础资料里",IF(AND(P1068="费用",L1068=""),"✗ 费用支出要选费用项目",IF(AND(L1068&lt;&gt;"",COUNTIF(基础资料!$AI$5:$AI$54,L1068)=0),"✗ 费用项目不在基础资料里",IF(AND(IFERROR(INDEX(基础资料!$AD$5:$AD$34,MATCH(O1068,基础资料!$AC$5:$AC$34,0)),"")="收",N(G1068)&lt;&gt;0),"✗ 这类是收款，金额填到收入列",IF(AND(IFERROR(INDEX(基础资料!$AD$5:$AD$34,MATCH(O1068,基础资料!$AC$5:$AC$34,0)),"")="支",N(F1068)&lt;&gt;0),"✗ 这类是付款，金额填到支出列",IF(N(H1068)&lt;0,"⚠ 账户余额成负数了，核对一下","√"))))))))))))))))))</f>
      </c>
      <c r="O1068" s="78">
        <f>IF(D1068&lt;&gt;"",D1068,IF(AND(F1068="",G1068=""),"",IF(J1068&lt;&gt;"",IF(N(F1068)&gt;0,"客户回款","客户退款"),IF(K1068&lt;&gt;"",IF(N(G1068)&gt;0,"供应商付款","供应商退款"),IF(L1068&lt;&gt;"","费用支出","")))))</f>
      </c>
      <c r="P1068" s="78">
        <f>IF(O1068="","",IFERROR(INDEX(基础资料!$AE$5:$AE$34,MATCH(O1068,基础资料!$AC$5:$AC$34,0)),"未知"))</f>
      </c>
      <c r="Q1068" s="78">
        <f>IF(P1068="应收",COUNTIF(P$7:P1068,"应收"),"")</f>
      </c>
      <c r="R1068" s="78">
        <f>IF(P1068="应付",COUNTIF(P$7:P1068,"应付"),"")</f>
      </c>
      <c r="S1068" s="78">
        <f>N(F1068)-N(G1068)</f>
        <v>0</v>
      </c>
    </row>
    <row r="1069">
      <c r="A1069" s="109">
        <f>IF(AND(F1069="",G1069=""),"",ROW()-6)</f>
      </c>
      <c r="B1069" s="140" t="n"/>
      <c r="C1069" s="141" t="n"/>
      <c r="D1069" s="141" t="n"/>
      <c r="E1069" s="142" t="n"/>
      <c r="F1069" s="143" t="n"/>
      <c r="G1069" s="144" t="n"/>
      <c r="H1069" s="145">
        <f>IF(OR(C1069="",AND(F1069="",G1069="")),"",SUMIF(基础资料!$W$5:$W$24,C1069,基础资料!$X$5:$X$24)+SUMIF(C$7:C1069,C1069,F$7:F1069)-SUMIF(C$7:C1069,C1069,G$7:G1069))</f>
      </c>
      <c r="I1069" s="145">
        <f>IF(AND(F1069="",G1069=""),"",SUM(基础资料!$X$5:$X$24)+SUM(F$7:F1069)-SUM(G$7:G1069))</f>
      </c>
      <c r="J1069" s="141" t="n"/>
      <c r="K1069" s="141" t="n"/>
      <c r="L1069" s="141" t="n"/>
      <c r="M1069" s="142" t="n"/>
      <c r="N1069" s="146">
        <f>IF(AND(AND(F1069="",G1069=""),B1069="",C1069="",D1069="",J1069="",K1069="",L1069=""),"",IF(AND(F1069="",G1069=""),"✗ 没填金额",IF(AND(N(F1069)&lt;&gt;0,N(G1069)&lt;&gt;0),"✗ 收入、支出只能填一边",IF(NOT(ISNUMBER(B1069)),"✗ 日期不是真日期（要像 2026/9/25 这样填）",IF(OR(B1069&lt;年初日,B1069&gt;年末日),"✗ 日期不在本会计年度",IF(C1069="","✗ 没选账户",IF(COUNTIF(基础资料!$W$5:$W$24,C1069)=0,"✗ 账户不在基础资料里",IF(O1069="","✗ 没选收支项目",IF(P1069="未知","✗ 收支项目不在基础资料里",IF(AND(P1069="应收",J1069=""),"✗ 这笔要选客户",IF(AND(P1069="应收",COUNTIF(总览汇总!$B$5:$B$304,J1069)=0),"✗ 客户不在总览汇总名单里",IF(AND(P1069="应付",K1069=""),"✗ 这笔要选供应商",IF(AND(P1069="应付",COUNTIF(基础资料!$Q$5:$Q$54,K1069)=0),"✗ 供应商不在基础资料里",IF(AND(P1069="费用",L1069=""),"✗ 费用支出要选费用项目",IF(AND(L1069&lt;&gt;"",COUNTIF(基础资料!$AI$5:$AI$54,L1069)=0),"✗ 费用项目不在基础资料里",IF(AND(IFERROR(INDEX(基础资料!$AD$5:$AD$34,MATCH(O1069,基础资料!$AC$5:$AC$34,0)),"")="收",N(G1069)&lt;&gt;0),"✗ 这类是收款，金额填到收入列",IF(AND(IFERROR(INDEX(基础资料!$AD$5:$AD$34,MATCH(O1069,基础资料!$AC$5:$AC$34,0)),"")="支",N(F1069)&lt;&gt;0),"✗ 这类是付款，金额填到支出列",IF(N(H1069)&lt;0,"⚠ 账户余额成负数了，核对一下","√"))))))))))))))))))</f>
      </c>
      <c r="O1069" s="78">
        <f>IF(D1069&lt;&gt;"",D1069,IF(AND(F1069="",G1069=""),"",IF(J1069&lt;&gt;"",IF(N(F1069)&gt;0,"客户回款","客户退款"),IF(K1069&lt;&gt;"",IF(N(G1069)&gt;0,"供应商付款","供应商退款"),IF(L1069&lt;&gt;"","费用支出","")))))</f>
      </c>
      <c r="P1069" s="78">
        <f>IF(O1069="","",IFERROR(INDEX(基础资料!$AE$5:$AE$34,MATCH(O1069,基础资料!$AC$5:$AC$34,0)),"未知"))</f>
      </c>
      <c r="Q1069" s="78">
        <f>IF(P1069="应收",COUNTIF(P$7:P1069,"应收"),"")</f>
      </c>
      <c r="R1069" s="78">
        <f>IF(P1069="应付",COUNTIF(P$7:P1069,"应付"),"")</f>
      </c>
      <c r="S1069" s="78">
        <f>N(F1069)-N(G1069)</f>
        <v>0</v>
      </c>
    </row>
    <row r="1070">
      <c r="A1070" s="109">
        <f>IF(AND(F1070="",G1070=""),"",ROW()-6)</f>
      </c>
      <c r="B1070" s="140" t="n"/>
      <c r="C1070" s="141" t="n"/>
      <c r="D1070" s="141" t="n"/>
      <c r="E1070" s="142" t="n"/>
      <c r="F1070" s="143" t="n"/>
      <c r="G1070" s="144" t="n"/>
      <c r="H1070" s="145">
        <f>IF(OR(C1070="",AND(F1070="",G1070="")),"",SUMIF(基础资料!$W$5:$W$24,C1070,基础资料!$X$5:$X$24)+SUMIF(C$7:C1070,C1070,F$7:F1070)-SUMIF(C$7:C1070,C1070,G$7:G1070))</f>
      </c>
      <c r="I1070" s="145">
        <f>IF(AND(F1070="",G1070=""),"",SUM(基础资料!$X$5:$X$24)+SUM(F$7:F1070)-SUM(G$7:G1070))</f>
      </c>
      <c r="J1070" s="141" t="n"/>
      <c r="K1070" s="141" t="n"/>
      <c r="L1070" s="141" t="n"/>
      <c r="M1070" s="142" t="n"/>
      <c r="N1070" s="146">
        <f>IF(AND(AND(F1070="",G1070=""),B1070="",C1070="",D1070="",J1070="",K1070="",L1070=""),"",IF(AND(F1070="",G1070=""),"✗ 没填金额",IF(AND(N(F1070)&lt;&gt;0,N(G1070)&lt;&gt;0),"✗ 收入、支出只能填一边",IF(NOT(ISNUMBER(B1070)),"✗ 日期不是真日期（要像 2026/9/25 这样填）",IF(OR(B1070&lt;年初日,B1070&gt;年末日),"✗ 日期不在本会计年度",IF(C1070="","✗ 没选账户",IF(COUNTIF(基础资料!$W$5:$W$24,C1070)=0,"✗ 账户不在基础资料里",IF(O1070="","✗ 没选收支项目",IF(P1070="未知","✗ 收支项目不在基础资料里",IF(AND(P1070="应收",J1070=""),"✗ 这笔要选客户",IF(AND(P1070="应收",COUNTIF(总览汇总!$B$5:$B$304,J1070)=0),"✗ 客户不在总览汇总名单里",IF(AND(P1070="应付",K1070=""),"✗ 这笔要选供应商",IF(AND(P1070="应付",COUNTIF(基础资料!$Q$5:$Q$54,K1070)=0),"✗ 供应商不在基础资料里",IF(AND(P1070="费用",L1070=""),"✗ 费用支出要选费用项目",IF(AND(L1070&lt;&gt;"",COUNTIF(基础资料!$AI$5:$AI$54,L1070)=0),"✗ 费用项目不在基础资料里",IF(AND(IFERROR(INDEX(基础资料!$AD$5:$AD$34,MATCH(O1070,基础资料!$AC$5:$AC$34,0)),"")="收",N(G1070)&lt;&gt;0),"✗ 这类是收款，金额填到收入列",IF(AND(IFERROR(INDEX(基础资料!$AD$5:$AD$34,MATCH(O1070,基础资料!$AC$5:$AC$34,0)),"")="支",N(F1070)&lt;&gt;0),"✗ 这类是付款，金额填到支出列",IF(N(H1070)&lt;0,"⚠ 账户余额成负数了，核对一下","√"))))))))))))))))))</f>
      </c>
      <c r="O1070" s="78">
        <f>IF(D1070&lt;&gt;"",D1070,IF(AND(F1070="",G1070=""),"",IF(J1070&lt;&gt;"",IF(N(F1070)&gt;0,"客户回款","客户退款"),IF(K1070&lt;&gt;"",IF(N(G1070)&gt;0,"供应商付款","供应商退款"),IF(L1070&lt;&gt;"","费用支出","")))))</f>
      </c>
      <c r="P1070" s="78">
        <f>IF(O1070="","",IFERROR(INDEX(基础资料!$AE$5:$AE$34,MATCH(O1070,基础资料!$AC$5:$AC$34,0)),"未知"))</f>
      </c>
      <c r="Q1070" s="78">
        <f>IF(P1070="应收",COUNTIF(P$7:P1070,"应收"),"")</f>
      </c>
      <c r="R1070" s="78">
        <f>IF(P1070="应付",COUNTIF(P$7:P1070,"应付"),"")</f>
      </c>
      <c r="S1070" s="78">
        <f>N(F1070)-N(G1070)</f>
        <v>0</v>
      </c>
    </row>
    <row r="1071">
      <c r="A1071" s="109">
        <f>IF(AND(F1071="",G1071=""),"",ROW()-6)</f>
      </c>
      <c r="B1071" s="140" t="n"/>
      <c r="C1071" s="141" t="n"/>
      <c r="D1071" s="141" t="n"/>
      <c r="E1071" s="142" t="n"/>
      <c r="F1071" s="143" t="n"/>
      <c r="G1071" s="144" t="n"/>
      <c r="H1071" s="145">
        <f>IF(OR(C1071="",AND(F1071="",G1071="")),"",SUMIF(基础资料!$W$5:$W$24,C1071,基础资料!$X$5:$X$24)+SUMIF(C$7:C1071,C1071,F$7:F1071)-SUMIF(C$7:C1071,C1071,G$7:G1071))</f>
      </c>
      <c r="I1071" s="145">
        <f>IF(AND(F1071="",G1071=""),"",SUM(基础资料!$X$5:$X$24)+SUM(F$7:F1071)-SUM(G$7:G1071))</f>
      </c>
      <c r="J1071" s="141" t="n"/>
      <c r="K1071" s="141" t="n"/>
      <c r="L1071" s="141" t="n"/>
      <c r="M1071" s="142" t="n"/>
      <c r="N1071" s="146">
        <f>IF(AND(AND(F1071="",G1071=""),B1071="",C1071="",D1071="",J1071="",K1071="",L1071=""),"",IF(AND(F1071="",G1071=""),"✗ 没填金额",IF(AND(N(F1071)&lt;&gt;0,N(G1071)&lt;&gt;0),"✗ 收入、支出只能填一边",IF(NOT(ISNUMBER(B1071)),"✗ 日期不是真日期（要像 2026/9/25 这样填）",IF(OR(B1071&lt;年初日,B1071&gt;年末日),"✗ 日期不在本会计年度",IF(C1071="","✗ 没选账户",IF(COUNTIF(基础资料!$W$5:$W$24,C1071)=0,"✗ 账户不在基础资料里",IF(O1071="","✗ 没选收支项目",IF(P1071="未知","✗ 收支项目不在基础资料里",IF(AND(P1071="应收",J1071=""),"✗ 这笔要选客户",IF(AND(P1071="应收",COUNTIF(总览汇总!$B$5:$B$304,J1071)=0),"✗ 客户不在总览汇总名单里",IF(AND(P1071="应付",K1071=""),"✗ 这笔要选供应商",IF(AND(P1071="应付",COUNTIF(基础资料!$Q$5:$Q$54,K1071)=0),"✗ 供应商不在基础资料里",IF(AND(P1071="费用",L1071=""),"✗ 费用支出要选费用项目",IF(AND(L1071&lt;&gt;"",COUNTIF(基础资料!$AI$5:$AI$54,L1071)=0),"✗ 费用项目不在基础资料里",IF(AND(IFERROR(INDEX(基础资料!$AD$5:$AD$34,MATCH(O1071,基础资料!$AC$5:$AC$34,0)),"")="收",N(G1071)&lt;&gt;0),"✗ 这类是收款，金额填到收入列",IF(AND(IFERROR(INDEX(基础资料!$AD$5:$AD$34,MATCH(O1071,基础资料!$AC$5:$AC$34,0)),"")="支",N(F1071)&lt;&gt;0),"✗ 这类是付款，金额填到支出列",IF(N(H1071)&lt;0,"⚠ 账户余额成负数了，核对一下","√"))))))))))))))))))</f>
      </c>
      <c r="O1071" s="78">
        <f>IF(D1071&lt;&gt;"",D1071,IF(AND(F1071="",G1071=""),"",IF(J1071&lt;&gt;"",IF(N(F1071)&gt;0,"客户回款","客户退款"),IF(K1071&lt;&gt;"",IF(N(G1071)&gt;0,"供应商付款","供应商退款"),IF(L1071&lt;&gt;"","费用支出","")))))</f>
      </c>
      <c r="P1071" s="78">
        <f>IF(O1071="","",IFERROR(INDEX(基础资料!$AE$5:$AE$34,MATCH(O1071,基础资料!$AC$5:$AC$34,0)),"未知"))</f>
      </c>
      <c r="Q1071" s="78">
        <f>IF(P1071="应收",COUNTIF(P$7:P1071,"应收"),"")</f>
      </c>
      <c r="R1071" s="78">
        <f>IF(P1071="应付",COUNTIF(P$7:P1071,"应付"),"")</f>
      </c>
      <c r="S1071" s="78">
        <f>N(F1071)-N(G1071)</f>
        <v>0</v>
      </c>
    </row>
    <row r="1072">
      <c r="A1072" s="109">
        <f>IF(AND(F1072="",G1072=""),"",ROW()-6)</f>
      </c>
      <c r="B1072" s="140" t="n"/>
      <c r="C1072" s="141" t="n"/>
      <c r="D1072" s="141" t="n"/>
      <c r="E1072" s="142" t="n"/>
      <c r="F1072" s="143" t="n"/>
      <c r="G1072" s="144" t="n"/>
      <c r="H1072" s="145">
        <f>IF(OR(C1072="",AND(F1072="",G1072="")),"",SUMIF(基础资料!$W$5:$W$24,C1072,基础资料!$X$5:$X$24)+SUMIF(C$7:C1072,C1072,F$7:F1072)-SUMIF(C$7:C1072,C1072,G$7:G1072))</f>
      </c>
      <c r="I1072" s="145">
        <f>IF(AND(F1072="",G1072=""),"",SUM(基础资料!$X$5:$X$24)+SUM(F$7:F1072)-SUM(G$7:G1072))</f>
      </c>
      <c r="J1072" s="141" t="n"/>
      <c r="K1072" s="141" t="n"/>
      <c r="L1072" s="141" t="n"/>
      <c r="M1072" s="142" t="n"/>
      <c r="N1072" s="146">
        <f>IF(AND(AND(F1072="",G1072=""),B1072="",C1072="",D1072="",J1072="",K1072="",L1072=""),"",IF(AND(F1072="",G1072=""),"✗ 没填金额",IF(AND(N(F1072)&lt;&gt;0,N(G1072)&lt;&gt;0),"✗ 收入、支出只能填一边",IF(NOT(ISNUMBER(B1072)),"✗ 日期不是真日期（要像 2026/9/25 这样填）",IF(OR(B1072&lt;年初日,B1072&gt;年末日),"✗ 日期不在本会计年度",IF(C1072="","✗ 没选账户",IF(COUNTIF(基础资料!$W$5:$W$24,C1072)=0,"✗ 账户不在基础资料里",IF(O1072="","✗ 没选收支项目",IF(P1072="未知","✗ 收支项目不在基础资料里",IF(AND(P1072="应收",J1072=""),"✗ 这笔要选客户",IF(AND(P1072="应收",COUNTIF(总览汇总!$B$5:$B$304,J1072)=0),"✗ 客户不在总览汇总名单里",IF(AND(P1072="应付",K1072=""),"✗ 这笔要选供应商",IF(AND(P1072="应付",COUNTIF(基础资料!$Q$5:$Q$54,K1072)=0),"✗ 供应商不在基础资料里",IF(AND(P1072="费用",L1072=""),"✗ 费用支出要选费用项目",IF(AND(L1072&lt;&gt;"",COUNTIF(基础资料!$AI$5:$AI$54,L1072)=0),"✗ 费用项目不在基础资料里",IF(AND(IFERROR(INDEX(基础资料!$AD$5:$AD$34,MATCH(O1072,基础资料!$AC$5:$AC$34,0)),"")="收",N(G1072)&lt;&gt;0),"✗ 这类是收款，金额填到收入列",IF(AND(IFERROR(INDEX(基础资料!$AD$5:$AD$34,MATCH(O1072,基础资料!$AC$5:$AC$34,0)),"")="支",N(F1072)&lt;&gt;0),"✗ 这类是付款，金额填到支出列",IF(N(H1072)&lt;0,"⚠ 账户余额成负数了，核对一下","√"))))))))))))))))))</f>
      </c>
      <c r="O1072" s="78">
        <f>IF(D1072&lt;&gt;"",D1072,IF(AND(F1072="",G1072=""),"",IF(J1072&lt;&gt;"",IF(N(F1072)&gt;0,"客户回款","客户退款"),IF(K1072&lt;&gt;"",IF(N(G1072)&gt;0,"供应商付款","供应商退款"),IF(L1072&lt;&gt;"","费用支出","")))))</f>
      </c>
      <c r="P1072" s="78">
        <f>IF(O1072="","",IFERROR(INDEX(基础资料!$AE$5:$AE$34,MATCH(O1072,基础资料!$AC$5:$AC$34,0)),"未知"))</f>
      </c>
      <c r="Q1072" s="78">
        <f>IF(P1072="应收",COUNTIF(P$7:P1072,"应收"),"")</f>
      </c>
      <c r="R1072" s="78">
        <f>IF(P1072="应付",COUNTIF(P$7:P1072,"应付"),"")</f>
      </c>
      <c r="S1072" s="78">
        <f>N(F1072)-N(G1072)</f>
        <v>0</v>
      </c>
    </row>
    <row r="1073">
      <c r="A1073" s="109">
        <f>IF(AND(F1073="",G1073=""),"",ROW()-6)</f>
      </c>
      <c r="B1073" s="140" t="n"/>
      <c r="C1073" s="141" t="n"/>
      <c r="D1073" s="141" t="n"/>
      <c r="E1073" s="142" t="n"/>
      <c r="F1073" s="143" t="n"/>
      <c r="G1073" s="144" t="n"/>
      <c r="H1073" s="145">
        <f>IF(OR(C1073="",AND(F1073="",G1073="")),"",SUMIF(基础资料!$W$5:$W$24,C1073,基础资料!$X$5:$X$24)+SUMIF(C$7:C1073,C1073,F$7:F1073)-SUMIF(C$7:C1073,C1073,G$7:G1073))</f>
      </c>
      <c r="I1073" s="145">
        <f>IF(AND(F1073="",G1073=""),"",SUM(基础资料!$X$5:$X$24)+SUM(F$7:F1073)-SUM(G$7:G1073))</f>
      </c>
      <c r="J1073" s="141" t="n"/>
      <c r="K1073" s="141" t="n"/>
      <c r="L1073" s="141" t="n"/>
      <c r="M1073" s="142" t="n"/>
      <c r="N1073" s="146">
        <f>IF(AND(AND(F1073="",G1073=""),B1073="",C1073="",D1073="",J1073="",K1073="",L1073=""),"",IF(AND(F1073="",G1073=""),"✗ 没填金额",IF(AND(N(F1073)&lt;&gt;0,N(G1073)&lt;&gt;0),"✗ 收入、支出只能填一边",IF(NOT(ISNUMBER(B1073)),"✗ 日期不是真日期（要像 2026/9/25 这样填）",IF(OR(B1073&lt;年初日,B1073&gt;年末日),"✗ 日期不在本会计年度",IF(C1073="","✗ 没选账户",IF(COUNTIF(基础资料!$W$5:$W$24,C1073)=0,"✗ 账户不在基础资料里",IF(O1073="","✗ 没选收支项目",IF(P1073="未知","✗ 收支项目不在基础资料里",IF(AND(P1073="应收",J1073=""),"✗ 这笔要选客户",IF(AND(P1073="应收",COUNTIF(总览汇总!$B$5:$B$304,J1073)=0),"✗ 客户不在总览汇总名单里",IF(AND(P1073="应付",K1073=""),"✗ 这笔要选供应商",IF(AND(P1073="应付",COUNTIF(基础资料!$Q$5:$Q$54,K1073)=0),"✗ 供应商不在基础资料里",IF(AND(P1073="费用",L1073=""),"✗ 费用支出要选费用项目",IF(AND(L1073&lt;&gt;"",COUNTIF(基础资料!$AI$5:$AI$54,L1073)=0),"✗ 费用项目不在基础资料里",IF(AND(IFERROR(INDEX(基础资料!$AD$5:$AD$34,MATCH(O1073,基础资料!$AC$5:$AC$34,0)),"")="收",N(G1073)&lt;&gt;0),"✗ 这类是收款，金额填到收入列",IF(AND(IFERROR(INDEX(基础资料!$AD$5:$AD$34,MATCH(O1073,基础资料!$AC$5:$AC$34,0)),"")="支",N(F1073)&lt;&gt;0),"✗ 这类是付款，金额填到支出列",IF(N(H1073)&lt;0,"⚠ 账户余额成负数了，核对一下","√"))))))))))))))))))</f>
      </c>
      <c r="O1073" s="78">
        <f>IF(D1073&lt;&gt;"",D1073,IF(AND(F1073="",G1073=""),"",IF(J1073&lt;&gt;"",IF(N(F1073)&gt;0,"客户回款","客户退款"),IF(K1073&lt;&gt;"",IF(N(G1073)&gt;0,"供应商付款","供应商退款"),IF(L1073&lt;&gt;"","费用支出","")))))</f>
      </c>
      <c r="P1073" s="78">
        <f>IF(O1073="","",IFERROR(INDEX(基础资料!$AE$5:$AE$34,MATCH(O1073,基础资料!$AC$5:$AC$34,0)),"未知"))</f>
      </c>
      <c r="Q1073" s="78">
        <f>IF(P1073="应收",COUNTIF(P$7:P1073,"应收"),"")</f>
      </c>
      <c r="R1073" s="78">
        <f>IF(P1073="应付",COUNTIF(P$7:P1073,"应付"),"")</f>
      </c>
      <c r="S1073" s="78">
        <f>N(F1073)-N(G1073)</f>
        <v>0</v>
      </c>
    </row>
    <row r="1074">
      <c r="A1074" s="109">
        <f>IF(AND(F1074="",G1074=""),"",ROW()-6)</f>
      </c>
      <c r="B1074" s="140" t="n"/>
      <c r="C1074" s="141" t="n"/>
      <c r="D1074" s="141" t="n"/>
      <c r="E1074" s="142" t="n"/>
      <c r="F1074" s="143" t="n"/>
      <c r="G1074" s="144" t="n"/>
      <c r="H1074" s="145">
        <f>IF(OR(C1074="",AND(F1074="",G1074="")),"",SUMIF(基础资料!$W$5:$W$24,C1074,基础资料!$X$5:$X$24)+SUMIF(C$7:C1074,C1074,F$7:F1074)-SUMIF(C$7:C1074,C1074,G$7:G1074))</f>
      </c>
      <c r="I1074" s="145">
        <f>IF(AND(F1074="",G1074=""),"",SUM(基础资料!$X$5:$X$24)+SUM(F$7:F1074)-SUM(G$7:G1074))</f>
      </c>
      <c r="J1074" s="141" t="n"/>
      <c r="K1074" s="141" t="n"/>
      <c r="L1074" s="141" t="n"/>
      <c r="M1074" s="142" t="n"/>
      <c r="N1074" s="146">
        <f>IF(AND(AND(F1074="",G1074=""),B1074="",C1074="",D1074="",J1074="",K1074="",L1074=""),"",IF(AND(F1074="",G1074=""),"✗ 没填金额",IF(AND(N(F1074)&lt;&gt;0,N(G1074)&lt;&gt;0),"✗ 收入、支出只能填一边",IF(NOT(ISNUMBER(B1074)),"✗ 日期不是真日期（要像 2026/9/25 这样填）",IF(OR(B1074&lt;年初日,B1074&gt;年末日),"✗ 日期不在本会计年度",IF(C1074="","✗ 没选账户",IF(COUNTIF(基础资料!$W$5:$W$24,C1074)=0,"✗ 账户不在基础资料里",IF(O1074="","✗ 没选收支项目",IF(P1074="未知","✗ 收支项目不在基础资料里",IF(AND(P1074="应收",J1074=""),"✗ 这笔要选客户",IF(AND(P1074="应收",COUNTIF(总览汇总!$B$5:$B$304,J1074)=0),"✗ 客户不在总览汇总名单里",IF(AND(P1074="应付",K1074=""),"✗ 这笔要选供应商",IF(AND(P1074="应付",COUNTIF(基础资料!$Q$5:$Q$54,K1074)=0),"✗ 供应商不在基础资料里",IF(AND(P1074="费用",L1074=""),"✗ 费用支出要选费用项目",IF(AND(L1074&lt;&gt;"",COUNTIF(基础资料!$AI$5:$AI$54,L1074)=0),"✗ 费用项目不在基础资料里",IF(AND(IFERROR(INDEX(基础资料!$AD$5:$AD$34,MATCH(O1074,基础资料!$AC$5:$AC$34,0)),"")="收",N(G1074)&lt;&gt;0),"✗ 这类是收款，金额填到收入列",IF(AND(IFERROR(INDEX(基础资料!$AD$5:$AD$34,MATCH(O1074,基础资料!$AC$5:$AC$34,0)),"")="支",N(F1074)&lt;&gt;0),"✗ 这类是付款，金额填到支出列",IF(N(H1074)&lt;0,"⚠ 账户余额成负数了，核对一下","√"))))))))))))))))))</f>
      </c>
      <c r="O1074" s="78">
        <f>IF(D1074&lt;&gt;"",D1074,IF(AND(F1074="",G1074=""),"",IF(J1074&lt;&gt;"",IF(N(F1074)&gt;0,"客户回款","客户退款"),IF(K1074&lt;&gt;"",IF(N(G1074)&gt;0,"供应商付款","供应商退款"),IF(L1074&lt;&gt;"","费用支出","")))))</f>
      </c>
      <c r="P1074" s="78">
        <f>IF(O1074="","",IFERROR(INDEX(基础资料!$AE$5:$AE$34,MATCH(O1074,基础资料!$AC$5:$AC$34,0)),"未知"))</f>
      </c>
      <c r="Q1074" s="78">
        <f>IF(P1074="应收",COUNTIF(P$7:P1074,"应收"),"")</f>
      </c>
      <c r="R1074" s="78">
        <f>IF(P1074="应付",COUNTIF(P$7:P1074,"应付"),"")</f>
      </c>
      <c r="S1074" s="78">
        <f>N(F1074)-N(G1074)</f>
        <v>0</v>
      </c>
    </row>
    <row r="1075">
      <c r="A1075" s="109">
        <f>IF(AND(F1075="",G1075=""),"",ROW()-6)</f>
      </c>
      <c r="B1075" s="140" t="n"/>
      <c r="C1075" s="141" t="n"/>
      <c r="D1075" s="141" t="n"/>
      <c r="E1075" s="142" t="n"/>
      <c r="F1075" s="143" t="n"/>
      <c r="G1075" s="144" t="n"/>
      <c r="H1075" s="145">
        <f>IF(OR(C1075="",AND(F1075="",G1075="")),"",SUMIF(基础资料!$W$5:$W$24,C1075,基础资料!$X$5:$X$24)+SUMIF(C$7:C1075,C1075,F$7:F1075)-SUMIF(C$7:C1075,C1075,G$7:G1075))</f>
      </c>
      <c r="I1075" s="145">
        <f>IF(AND(F1075="",G1075=""),"",SUM(基础资料!$X$5:$X$24)+SUM(F$7:F1075)-SUM(G$7:G1075))</f>
      </c>
      <c r="J1075" s="141" t="n"/>
      <c r="K1075" s="141" t="n"/>
      <c r="L1075" s="141" t="n"/>
      <c r="M1075" s="142" t="n"/>
      <c r="N1075" s="146">
        <f>IF(AND(AND(F1075="",G1075=""),B1075="",C1075="",D1075="",J1075="",K1075="",L1075=""),"",IF(AND(F1075="",G1075=""),"✗ 没填金额",IF(AND(N(F1075)&lt;&gt;0,N(G1075)&lt;&gt;0),"✗ 收入、支出只能填一边",IF(NOT(ISNUMBER(B1075)),"✗ 日期不是真日期（要像 2026/9/25 这样填）",IF(OR(B1075&lt;年初日,B1075&gt;年末日),"✗ 日期不在本会计年度",IF(C1075="","✗ 没选账户",IF(COUNTIF(基础资料!$W$5:$W$24,C1075)=0,"✗ 账户不在基础资料里",IF(O1075="","✗ 没选收支项目",IF(P1075="未知","✗ 收支项目不在基础资料里",IF(AND(P1075="应收",J1075=""),"✗ 这笔要选客户",IF(AND(P1075="应收",COUNTIF(总览汇总!$B$5:$B$304,J1075)=0),"✗ 客户不在总览汇总名单里",IF(AND(P1075="应付",K1075=""),"✗ 这笔要选供应商",IF(AND(P1075="应付",COUNTIF(基础资料!$Q$5:$Q$54,K1075)=0),"✗ 供应商不在基础资料里",IF(AND(P1075="费用",L1075=""),"✗ 费用支出要选费用项目",IF(AND(L1075&lt;&gt;"",COUNTIF(基础资料!$AI$5:$AI$54,L1075)=0),"✗ 费用项目不在基础资料里",IF(AND(IFERROR(INDEX(基础资料!$AD$5:$AD$34,MATCH(O1075,基础资料!$AC$5:$AC$34,0)),"")="收",N(G1075)&lt;&gt;0),"✗ 这类是收款，金额填到收入列",IF(AND(IFERROR(INDEX(基础资料!$AD$5:$AD$34,MATCH(O1075,基础资料!$AC$5:$AC$34,0)),"")="支",N(F1075)&lt;&gt;0),"✗ 这类是付款，金额填到支出列",IF(N(H1075)&lt;0,"⚠ 账户余额成负数了，核对一下","√"))))))))))))))))))</f>
      </c>
      <c r="O1075" s="78">
        <f>IF(D1075&lt;&gt;"",D1075,IF(AND(F1075="",G1075=""),"",IF(J1075&lt;&gt;"",IF(N(F1075)&gt;0,"客户回款","客户退款"),IF(K1075&lt;&gt;"",IF(N(G1075)&gt;0,"供应商付款","供应商退款"),IF(L1075&lt;&gt;"","费用支出","")))))</f>
      </c>
      <c r="P1075" s="78">
        <f>IF(O1075="","",IFERROR(INDEX(基础资料!$AE$5:$AE$34,MATCH(O1075,基础资料!$AC$5:$AC$34,0)),"未知"))</f>
      </c>
      <c r="Q1075" s="78">
        <f>IF(P1075="应收",COUNTIF(P$7:P1075,"应收"),"")</f>
      </c>
      <c r="R1075" s="78">
        <f>IF(P1075="应付",COUNTIF(P$7:P1075,"应付"),"")</f>
      </c>
      <c r="S1075" s="78">
        <f>N(F1075)-N(G1075)</f>
        <v>0</v>
      </c>
    </row>
    <row r="1076">
      <c r="A1076" s="109">
        <f>IF(AND(F1076="",G1076=""),"",ROW()-6)</f>
      </c>
      <c r="B1076" s="140" t="n"/>
      <c r="C1076" s="141" t="n"/>
      <c r="D1076" s="141" t="n"/>
      <c r="E1076" s="142" t="n"/>
      <c r="F1076" s="143" t="n"/>
      <c r="G1076" s="144" t="n"/>
      <c r="H1076" s="145">
        <f>IF(OR(C1076="",AND(F1076="",G1076="")),"",SUMIF(基础资料!$W$5:$W$24,C1076,基础资料!$X$5:$X$24)+SUMIF(C$7:C1076,C1076,F$7:F1076)-SUMIF(C$7:C1076,C1076,G$7:G1076))</f>
      </c>
      <c r="I1076" s="145">
        <f>IF(AND(F1076="",G1076=""),"",SUM(基础资料!$X$5:$X$24)+SUM(F$7:F1076)-SUM(G$7:G1076))</f>
      </c>
      <c r="J1076" s="141" t="n"/>
      <c r="K1076" s="141" t="n"/>
      <c r="L1076" s="141" t="n"/>
      <c r="M1076" s="142" t="n"/>
      <c r="N1076" s="146">
        <f>IF(AND(AND(F1076="",G1076=""),B1076="",C1076="",D1076="",J1076="",K1076="",L1076=""),"",IF(AND(F1076="",G1076=""),"✗ 没填金额",IF(AND(N(F1076)&lt;&gt;0,N(G1076)&lt;&gt;0),"✗ 收入、支出只能填一边",IF(NOT(ISNUMBER(B1076)),"✗ 日期不是真日期（要像 2026/9/25 这样填）",IF(OR(B1076&lt;年初日,B1076&gt;年末日),"✗ 日期不在本会计年度",IF(C1076="","✗ 没选账户",IF(COUNTIF(基础资料!$W$5:$W$24,C1076)=0,"✗ 账户不在基础资料里",IF(O1076="","✗ 没选收支项目",IF(P1076="未知","✗ 收支项目不在基础资料里",IF(AND(P1076="应收",J1076=""),"✗ 这笔要选客户",IF(AND(P1076="应收",COUNTIF(总览汇总!$B$5:$B$304,J1076)=0),"✗ 客户不在总览汇总名单里",IF(AND(P1076="应付",K1076=""),"✗ 这笔要选供应商",IF(AND(P1076="应付",COUNTIF(基础资料!$Q$5:$Q$54,K1076)=0),"✗ 供应商不在基础资料里",IF(AND(P1076="费用",L1076=""),"✗ 费用支出要选费用项目",IF(AND(L1076&lt;&gt;"",COUNTIF(基础资料!$AI$5:$AI$54,L1076)=0),"✗ 费用项目不在基础资料里",IF(AND(IFERROR(INDEX(基础资料!$AD$5:$AD$34,MATCH(O1076,基础资料!$AC$5:$AC$34,0)),"")="收",N(G1076)&lt;&gt;0),"✗ 这类是收款，金额填到收入列",IF(AND(IFERROR(INDEX(基础资料!$AD$5:$AD$34,MATCH(O1076,基础资料!$AC$5:$AC$34,0)),"")="支",N(F1076)&lt;&gt;0),"✗ 这类是付款，金额填到支出列",IF(N(H1076)&lt;0,"⚠ 账户余额成负数了，核对一下","√"))))))))))))))))))</f>
      </c>
      <c r="O1076" s="78">
        <f>IF(D1076&lt;&gt;"",D1076,IF(AND(F1076="",G1076=""),"",IF(J1076&lt;&gt;"",IF(N(F1076)&gt;0,"客户回款","客户退款"),IF(K1076&lt;&gt;"",IF(N(G1076)&gt;0,"供应商付款","供应商退款"),IF(L1076&lt;&gt;"","费用支出","")))))</f>
      </c>
      <c r="P1076" s="78">
        <f>IF(O1076="","",IFERROR(INDEX(基础资料!$AE$5:$AE$34,MATCH(O1076,基础资料!$AC$5:$AC$34,0)),"未知"))</f>
      </c>
      <c r="Q1076" s="78">
        <f>IF(P1076="应收",COUNTIF(P$7:P1076,"应收"),"")</f>
      </c>
      <c r="R1076" s="78">
        <f>IF(P1076="应付",COUNTIF(P$7:P1076,"应付"),"")</f>
      </c>
      <c r="S1076" s="78">
        <f>N(F1076)-N(G1076)</f>
        <v>0</v>
      </c>
    </row>
    <row r="1077">
      <c r="A1077" s="109">
        <f>IF(AND(F1077="",G1077=""),"",ROW()-6)</f>
      </c>
      <c r="B1077" s="140" t="n"/>
      <c r="C1077" s="141" t="n"/>
      <c r="D1077" s="141" t="n"/>
      <c r="E1077" s="142" t="n"/>
      <c r="F1077" s="143" t="n"/>
      <c r="G1077" s="144" t="n"/>
      <c r="H1077" s="145">
        <f>IF(OR(C1077="",AND(F1077="",G1077="")),"",SUMIF(基础资料!$W$5:$W$24,C1077,基础资料!$X$5:$X$24)+SUMIF(C$7:C1077,C1077,F$7:F1077)-SUMIF(C$7:C1077,C1077,G$7:G1077))</f>
      </c>
      <c r="I1077" s="145">
        <f>IF(AND(F1077="",G1077=""),"",SUM(基础资料!$X$5:$X$24)+SUM(F$7:F1077)-SUM(G$7:G1077))</f>
      </c>
      <c r="J1077" s="141" t="n"/>
      <c r="K1077" s="141" t="n"/>
      <c r="L1077" s="141" t="n"/>
      <c r="M1077" s="142" t="n"/>
      <c r="N1077" s="146">
        <f>IF(AND(AND(F1077="",G1077=""),B1077="",C1077="",D1077="",J1077="",K1077="",L1077=""),"",IF(AND(F1077="",G1077=""),"✗ 没填金额",IF(AND(N(F1077)&lt;&gt;0,N(G1077)&lt;&gt;0),"✗ 收入、支出只能填一边",IF(NOT(ISNUMBER(B1077)),"✗ 日期不是真日期（要像 2026/9/25 这样填）",IF(OR(B1077&lt;年初日,B1077&gt;年末日),"✗ 日期不在本会计年度",IF(C1077="","✗ 没选账户",IF(COUNTIF(基础资料!$W$5:$W$24,C1077)=0,"✗ 账户不在基础资料里",IF(O1077="","✗ 没选收支项目",IF(P1077="未知","✗ 收支项目不在基础资料里",IF(AND(P1077="应收",J1077=""),"✗ 这笔要选客户",IF(AND(P1077="应收",COUNTIF(总览汇总!$B$5:$B$304,J1077)=0),"✗ 客户不在总览汇总名单里",IF(AND(P1077="应付",K1077=""),"✗ 这笔要选供应商",IF(AND(P1077="应付",COUNTIF(基础资料!$Q$5:$Q$54,K1077)=0),"✗ 供应商不在基础资料里",IF(AND(P1077="费用",L1077=""),"✗ 费用支出要选费用项目",IF(AND(L1077&lt;&gt;"",COUNTIF(基础资料!$AI$5:$AI$54,L1077)=0),"✗ 费用项目不在基础资料里",IF(AND(IFERROR(INDEX(基础资料!$AD$5:$AD$34,MATCH(O1077,基础资料!$AC$5:$AC$34,0)),"")="收",N(G1077)&lt;&gt;0),"✗ 这类是收款，金额填到收入列",IF(AND(IFERROR(INDEX(基础资料!$AD$5:$AD$34,MATCH(O1077,基础资料!$AC$5:$AC$34,0)),"")="支",N(F1077)&lt;&gt;0),"✗ 这类是付款，金额填到支出列",IF(N(H1077)&lt;0,"⚠ 账户余额成负数了，核对一下","√"))))))))))))))))))</f>
      </c>
      <c r="O1077" s="78">
        <f>IF(D1077&lt;&gt;"",D1077,IF(AND(F1077="",G1077=""),"",IF(J1077&lt;&gt;"",IF(N(F1077)&gt;0,"客户回款","客户退款"),IF(K1077&lt;&gt;"",IF(N(G1077)&gt;0,"供应商付款","供应商退款"),IF(L1077&lt;&gt;"","费用支出","")))))</f>
      </c>
      <c r="P1077" s="78">
        <f>IF(O1077="","",IFERROR(INDEX(基础资料!$AE$5:$AE$34,MATCH(O1077,基础资料!$AC$5:$AC$34,0)),"未知"))</f>
      </c>
      <c r="Q1077" s="78">
        <f>IF(P1077="应收",COUNTIF(P$7:P1077,"应收"),"")</f>
      </c>
      <c r="R1077" s="78">
        <f>IF(P1077="应付",COUNTIF(P$7:P1077,"应付"),"")</f>
      </c>
      <c r="S1077" s="78">
        <f>N(F1077)-N(G1077)</f>
        <v>0</v>
      </c>
    </row>
    <row r="1078">
      <c r="A1078" s="109">
        <f>IF(AND(F1078="",G1078=""),"",ROW()-6)</f>
      </c>
      <c r="B1078" s="140" t="n"/>
      <c r="C1078" s="141" t="n"/>
      <c r="D1078" s="141" t="n"/>
      <c r="E1078" s="142" t="n"/>
      <c r="F1078" s="143" t="n"/>
      <c r="G1078" s="144" t="n"/>
      <c r="H1078" s="145">
        <f>IF(OR(C1078="",AND(F1078="",G1078="")),"",SUMIF(基础资料!$W$5:$W$24,C1078,基础资料!$X$5:$X$24)+SUMIF(C$7:C1078,C1078,F$7:F1078)-SUMIF(C$7:C1078,C1078,G$7:G1078))</f>
      </c>
      <c r="I1078" s="145">
        <f>IF(AND(F1078="",G1078=""),"",SUM(基础资料!$X$5:$X$24)+SUM(F$7:F1078)-SUM(G$7:G1078))</f>
      </c>
      <c r="J1078" s="141" t="n"/>
      <c r="K1078" s="141" t="n"/>
      <c r="L1078" s="141" t="n"/>
      <c r="M1078" s="142" t="n"/>
      <c r="N1078" s="146">
        <f>IF(AND(AND(F1078="",G1078=""),B1078="",C1078="",D1078="",J1078="",K1078="",L1078=""),"",IF(AND(F1078="",G1078=""),"✗ 没填金额",IF(AND(N(F1078)&lt;&gt;0,N(G1078)&lt;&gt;0),"✗ 收入、支出只能填一边",IF(NOT(ISNUMBER(B1078)),"✗ 日期不是真日期（要像 2026/9/25 这样填）",IF(OR(B1078&lt;年初日,B1078&gt;年末日),"✗ 日期不在本会计年度",IF(C1078="","✗ 没选账户",IF(COUNTIF(基础资料!$W$5:$W$24,C1078)=0,"✗ 账户不在基础资料里",IF(O1078="","✗ 没选收支项目",IF(P1078="未知","✗ 收支项目不在基础资料里",IF(AND(P1078="应收",J1078=""),"✗ 这笔要选客户",IF(AND(P1078="应收",COUNTIF(总览汇总!$B$5:$B$304,J1078)=0),"✗ 客户不在总览汇总名单里",IF(AND(P1078="应付",K1078=""),"✗ 这笔要选供应商",IF(AND(P1078="应付",COUNTIF(基础资料!$Q$5:$Q$54,K1078)=0),"✗ 供应商不在基础资料里",IF(AND(P1078="费用",L1078=""),"✗ 费用支出要选费用项目",IF(AND(L1078&lt;&gt;"",COUNTIF(基础资料!$AI$5:$AI$54,L1078)=0),"✗ 费用项目不在基础资料里",IF(AND(IFERROR(INDEX(基础资料!$AD$5:$AD$34,MATCH(O1078,基础资料!$AC$5:$AC$34,0)),"")="收",N(G1078)&lt;&gt;0),"✗ 这类是收款，金额填到收入列",IF(AND(IFERROR(INDEX(基础资料!$AD$5:$AD$34,MATCH(O1078,基础资料!$AC$5:$AC$34,0)),"")="支",N(F1078)&lt;&gt;0),"✗ 这类是付款，金额填到支出列",IF(N(H1078)&lt;0,"⚠ 账户余额成负数了，核对一下","√"))))))))))))))))))</f>
      </c>
      <c r="O1078" s="78">
        <f>IF(D1078&lt;&gt;"",D1078,IF(AND(F1078="",G1078=""),"",IF(J1078&lt;&gt;"",IF(N(F1078)&gt;0,"客户回款","客户退款"),IF(K1078&lt;&gt;"",IF(N(G1078)&gt;0,"供应商付款","供应商退款"),IF(L1078&lt;&gt;"","费用支出","")))))</f>
      </c>
      <c r="P1078" s="78">
        <f>IF(O1078="","",IFERROR(INDEX(基础资料!$AE$5:$AE$34,MATCH(O1078,基础资料!$AC$5:$AC$34,0)),"未知"))</f>
      </c>
      <c r="Q1078" s="78">
        <f>IF(P1078="应收",COUNTIF(P$7:P1078,"应收"),"")</f>
      </c>
      <c r="R1078" s="78">
        <f>IF(P1078="应付",COUNTIF(P$7:P1078,"应付"),"")</f>
      </c>
      <c r="S1078" s="78">
        <f>N(F1078)-N(G1078)</f>
        <v>0</v>
      </c>
    </row>
    <row r="1079">
      <c r="A1079" s="109">
        <f>IF(AND(F1079="",G1079=""),"",ROW()-6)</f>
      </c>
      <c r="B1079" s="140" t="n"/>
      <c r="C1079" s="141" t="n"/>
      <c r="D1079" s="141" t="n"/>
      <c r="E1079" s="142" t="n"/>
      <c r="F1079" s="143" t="n"/>
      <c r="G1079" s="144" t="n"/>
      <c r="H1079" s="145">
        <f>IF(OR(C1079="",AND(F1079="",G1079="")),"",SUMIF(基础资料!$W$5:$W$24,C1079,基础资料!$X$5:$X$24)+SUMIF(C$7:C1079,C1079,F$7:F1079)-SUMIF(C$7:C1079,C1079,G$7:G1079))</f>
      </c>
      <c r="I1079" s="145">
        <f>IF(AND(F1079="",G1079=""),"",SUM(基础资料!$X$5:$X$24)+SUM(F$7:F1079)-SUM(G$7:G1079))</f>
      </c>
      <c r="J1079" s="141" t="n"/>
      <c r="K1079" s="141" t="n"/>
      <c r="L1079" s="141" t="n"/>
      <c r="M1079" s="142" t="n"/>
      <c r="N1079" s="146">
        <f>IF(AND(AND(F1079="",G1079=""),B1079="",C1079="",D1079="",J1079="",K1079="",L1079=""),"",IF(AND(F1079="",G1079=""),"✗ 没填金额",IF(AND(N(F1079)&lt;&gt;0,N(G1079)&lt;&gt;0),"✗ 收入、支出只能填一边",IF(NOT(ISNUMBER(B1079)),"✗ 日期不是真日期（要像 2026/9/25 这样填）",IF(OR(B1079&lt;年初日,B1079&gt;年末日),"✗ 日期不在本会计年度",IF(C1079="","✗ 没选账户",IF(COUNTIF(基础资料!$W$5:$W$24,C1079)=0,"✗ 账户不在基础资料里",IF(O1079="","✗ 没选收支项目",IF(P1079="未知","✗ 收支项目不在基础资料里",IF(AND(P1079="应收",J1079=""),"✗ 这笔要选客户",IF(AND(P1079="应收",COUNTIF(总览汇总!$B$5:$B$304,J1079)=0),"✗ 客户不在总览汇总名单里",IF(AND(P1079="应付",K1079=""),"✗ 这笔要选供应商",IF(AND(P1079="应付",COUNTIF(基础资料!$Q$5:$Q$54,K1079)=0),"✗ 供应商不在基础资料里",IF(AND(P1079="费用",L1079=""),"✗ 费用支出要选费用项目",IF(AND(L1079&lt;&gt;"",COUNTIF(基础资料!$AI$5:$AI$54,L1079)=0),"✗ 费用项目不在基础资料里",IF(AND(IFERROR(INDEX(基础资料!$AD$5:$AD$34,MATCH(O1079,基础资料!$AC$5:$AC$34,0)),"")="收",N(G1079)&lt;&gt;0),"✗ 这类是收款，金额填到收入列",IF(AND(IFERROR(INDEX(基础资料!$AD$5:$AD$34,MATCH(O1079,基础资料!$AC$5:$AC$34,0)),"")="支",N(F1079)&lt;&gt;0),"✗ 这类是付款，金额填到支出列",IF(N(H1079)&lt;0,"⚠ 账户余额成负数了，核对一下","√"))))))))))))))))))</f>
      </c>
      <c r="O1079" s="78">
        <f>IF(D1079&lt;&gt;"",D1079,IF(AND(F1079="",G1079=""),"",IF(J1079&lt;&gt;"",IF(N(F1079)&gt;0,"客户回款","客户退款"),IF(K1079&lt;&gt;"",IF(N(G1079)&gt;0,"供应商付款","供应商退款"),IF(L1079&lt;&gt;"","费用支出","")))))</f>
      </c>
      <c r="P1079" s="78">
        <f>IF(O1079="","",IFERROR(INDEX(基础资料!$AE$5:$AE$34,MATCH(O1079,基础资料!$AC$5:$AC$34,0)),"未知"))</f>
      </c>
      <c r="Q1079" s="78">
        <f>IF(P1079="应收",COUNTIF(P$7:P1079,"应收"),"")</f>
      </c>
      <c r="R1079" s="78">
        <f>IF(P1079="应付",COUNTIF(P$7:P1079,"应付"),"")</f>
      </c>
      <c r="S1079" s="78">
        <f>N(F1079)-N(G1079)</f>
        <v>0</v>
      </c>
    </row>
    <row r="1080">
      <c r="A1080" s="109">
        <f>IF(AND(F1080="",G1080=""),"",ROW()-6)</f>
      </c>
      <c r="B1080" s="140" t="n"/>
      <c r="C1080" s="141" t="n"/>
      <c r="D1080" s="141" t="n"/>
      <c r="E1080" s="142" t="n"/>
      <c r="F1080" s="143" t="n"/>
      <c r="G1080" s="144" t="n"/>
      <c r="H1080" s="145">
        <f>IF(OR(C1080="",AND(F1080="",G1080="")),"",SUMIF(基础资料!$W$5:$W$24,C1080,基础资料!$X$5:$X$24)+SUMIF(C$7:C1080,C1080,F$7:F1080)-SUMIF(C$7:C1080,C1080,G$7:G1080))</f>
      </c>
      <c r="I1080" s="145">
        <f>IF(AND(F1080="",G1080=""),"",SUM(基础资料!$X$5:$X$24)+SUM(F$7:F1080)-SUM(G$7:G1080))</f>
      </c>
      <c r="J1080" s="141" t="n"/>
      <c r="K1080" s="141" t="n"/>
      <c r="L1080" s="141" t="n"/>
      <c r="M1080" s="142" t="n"/>
      <c r="N1080" s="146">
        <f>IF(AND(AND(F1080="",G1080=""),B1080="",C1080="",D1080="",J1080="",K1080="",L1080=""),"",IF(AND(F1080="",G1080=""),"✗ 没填金额",IF(AND(N(F1080)&lt;&gt;0,N(G1080)&lt;&gt;0),"✗ 收入、支出只能填一边",IF(NOT(ISNUMBER(B1080)),"✗ 日期不是真日期（要像 2026/9/25 这样填）",IF(OR(B1080&lt;年初日,B1080&gt;年末日),"✗ 日期不在本会计年度",IF(C1080="","✗ 没选账户",IF(COUNTIF(基础资料!$W$5:$W$24,C1080)=0,"✗ 账户不在基础资料里",IF(O1080="","✗ 没选收支项目",IF(P1080="未知","✗ 收支项目不在基础资料里",IF(AND(P1080="应收",J1080=""),"✗ 这笔要选客户",IF(AND(P1080="应收",COUNTIF(总览汇总!$B$5:$B$304,J1080)=0),"✗ 客户不在总览汇总名单里",IF(AND(P1080="应付",K1080=""),"✗ 这笔要选供应商",IF(AND(P1080="应付",COUNTIF(基础资料!$Q$5:$Q$54,K1080)=0),"✗ 供应商不在基础资料里",IF(AND(P1080="费用",L1080=""),"✗ 费用支出要选费用项目",IF(AND(L1080&lt;&gt;"",COUNTIF(基础资料!$AI$5:$AI$54,L1080)=0),"✗ 费用项目不在基础资料里",IF(AND(IFERROR(INDEX(基础资料!$AD$5:$AD$34,MATCH(O1080,基础资料!$AC$5:$AC$34,0)),"")="收",N(G1080)&lt;&gt;0),"✗ 这类是收款，金额填到收入列",IF(AND(IFERROR(INDEX(基础资料!$AD$5:$AD$34,MATCH(O1080,基础资料!$AC$5:$AC$34,0)),"")="支",N(F1080)&lt;&gt;0),"✗ 这类是付款，金额填到支出列",IF(N(H1080)&lt;0,"⚠ 账户余额成负数了，核对一下","√"))))))))))))))))))</f>
      </c>
      <c r="O1080" s="78">
        <f>IF(D1080&lt;&gt;"",D1080,IF(AND(F1080="",G1080=""),"",IF(J1080&lt;&gt;"",IF(N(F1080)&gt;0,"客户回款","客户退款"),IF(K1080&lt;&gt;"",IF(N(G1080)&gt;0,"供应商付款","供应商退款"),IF(L1080&lt;&gt;"","费用支出","")))))</f>
      </c>
      <c r="P1080" s="78">
        <f>IF(O1080="","",IFERROR(INDEX(基础资料!$AE$5:$AE$34,MATCH(O1080,基础资料!$AC$5:$AC$34,0)),"未知"))</f>
      </c>
      <c r="Q1080" s="78">
        <f>IF(P1080="应收",COUNTIF(P$7:P1080,"应收"),"")</f>
      </c>
      <c r="R1080" s="78">
        <f>IF(P1080="应付",COUNTIF(P$7:P1080,"应付"),"")</f>
      </c>
      <c r="S1080" s="78">
        <f>N(F1080)-N(G1080)</f>
        <v>0</v>
      </c>
    </row>
    <row r="1081">
      <c r="A1081" s="109">
        <f>IF(AND(F1081="",G1081=""),"",ROW()-6)</f>
      </c>
      <c r="B1081" s="140" t="n"/>
      <c r="C1081" s="141" t="n"/>
      <c r="D1081" s="141" t="n"/>
      <c r="E1081" s="142" t="n"/>
      <c r="F1081" s="143" t="n"/>
      <c r="G1081" s="144" t="n"/>
      <c r="H1081" s="145">
        <f>IF(OR(C1081="",AND(F1081="",G1081="")),"",SUMIF(基础资料!$W$5:$W$24,C1081,基础资料!$X$5:$X$24)+SUMIF(C$7:C1081,C1081,F$7:F1081)-SUMIF(C$7:C1081,C1081,G$7:G1081))</f>
      </c>
      <c r="I1081" s="145">
        <f>IF(AND(F1081="",G1081=""),"",SUM(基础资料!$X$5:$X$24)+SUM(F$7:F1081)-SUM(G$7:G1081))</f>
      </c>
      <c r="J1081" s="141" t="n"/>
      <c r="K1081" s="141" t="n"/>
      <c r="L1081" s="141" t="n"/>
      <c r="M1081" s="142" t="n"/>
      <c r="N1081" s="146">
        <f>IF(AND(AND(F1081="",G1081=""),B1081="",C1081="",D1081="",J1081="",K1081="",L1081=""),"",IF(AND(F1081="",G1081=""),"✗ 没填金额",IF(AND(N(F1081)&lt;&gt;0,N(G1081)&lt;&gt;0),"✗ 收入、支出只能填一边",IF(NOT(ISNUMBER(B1081)),"✗ 日期不是真日期（要像 2026/9/25 这样填）",IF(OR(B1081&lt;年初日,B1081&gt;年末日),"✗ 日期不在本会计年度",IF(C1081="","✗ 没选账户",IF(COUNTIF(基础资料!$W$5:$W$24,C1081)=0,"✗ 账户不在基础资料里",IF(O1081="","✗ 没选收支项目",IF(P1081="未知","✗ 收支项目不在基础资料里",IF(AND(P1081="应收",J1081=""),"✗ 这笔要选客户",IF(AND(P1081="应收",COUNTIF(总览汇总!$B$5:$B$304,J1081)=0),"✗ 客户不在总览汇总名单里",IF(AND(P1081="应付",K1081=""),"✗ 这笔要选供应商",IF(AND(P1081="应付",COUNTIF(基础资料!$Q$5:$Q$54,K1081)=0),"✗ 供应商不在基础资料里",IF(AND(P1081="费用",L1081=""),"✗ 费用支出要选费用项目",IF(AND(L1081&lt;&gt;"",COUNTIF(基础资料!$AI$5:$AI$54,L1081)=0),"✗ 费用项目不在基础资料里",IF(AND(IFERROR(INDEX(基础资料!$AD$5:$AD$34,MATCH(O1081,基础资料!$AC$5:$AC$34,0)),"")="收",N(G1081)&lt;&gt;0),"✗ 这类是收款，金额填到收入列",IF(AND(IFERROR(INDEX(基础资料!$AD$5:$AD$34,MATCH(O1081,基础资料!$AC$5:$AC$34,0)),"")="支",N(F1081)&lt;&gt;0),"✗ 这类是付款，金额填到支出列",IF(N(H1081)&lt;0,"⚠ 账户余额成负数了，核对一下","√"))))))))))))))))))</f>
      </c>
      <c r="O1081" s="78">
        <f>IF(D1081&lt;&gt;"",D1081,IF(AND(F1081="",G1081=""),"",IF(J1081&lt;&gt;"",IF(N(F1081)&gt;0,"客户回款","客户退款"),IF(K1081&lt;&gt;"",IF(N(G1081)&gt;0,"供应商付款","供应商退款"),IF(L1081&lt;&gt;"","费用支出","")))))</f>
      </c>
      <c r="P1081" s="78">
        <f>IF(O1081="","",IFERROR(INDEX(基础资料!$AE$5:$AE$34,MATCH(O1081,基础资料!$AC$5:$AC$34,0)),"未知"))</f>
      </c>
      <c r="Q1081" s="78">
        <f>IF(P1081="应收",COUNTIF(P$7:P1081,"应收"),"")</f>
      </c>
      <c r="R1081" s="78">
        <f>IF(P1081="应付",COUNTIF(P$7:P1081,"应付"),"")</f>
      </c>
      <c r="S1081" s="78">
        <f>N(F1081)-N(G1081)</f>
        <v>0</v>
      </c>
    </row>
    <row r="1082">
      <c r="A1082" s="109">
        <f>IF(AND(F1082="",G1082=""),"",ROW()-6)</f>
      </c>
      <c r="B1082" s="140" t="n"/>
      <c r="C1082" s="141" t="n"/>
      <c r="D1082" s="141" t="n"/>
      <c r="E1082" s="142" t="n"/>
      <c r="F1082" s="143" t="n"/>
      <c r="G1082" s="144" t="n"/>
      <c r="H1082" s="145">
        <f>IF(OR(C1082="",AND(F1082="",G1082="")),"",SUMIF(基础资料!$W$5:$W$24,C1082,基础资料!$X$5:$X$24)+SUMIF(C$7:C1082,C1082,F$7:F1082)-SUMIF(C$7:C1082,C1082,G$7:G1082))</f>
      </c>
      <c r="I1082" s="145">
        <f>IF(AND(F1082="",G1082=""),"",SUM(基础资料!$X$5:$X$24)+SUM(F$7:F1082)-SUM(G$7:G1082))</f>
      </c>
      <c r="J1082" s="141" t="n"/>
      <c r="K1082" s="141" t="n"/>
      <c r="L1082" s="141" t="n"/>
      <c r="M1082" s="142" t="n"/>
      <c r="N1082" s="146">
        <f>IF(AND(AND(F1082="",G1082=""),B1082="",C1082="",D1082="",J1082="",K1082="",L1082=""),"",IF(AND(F1082="",G1082=""),"✗ 没填金额",IF(AND(N(F1082)&lt;&gt;0,N(G1082)&lt;&gt;0),"✗ 收入、支出只能填一边",IF(NOT(ISNUMBER(B1082)),"✗ 日期不是真日期（要像 2026/9/25 这样填）",IF(OR(B1082&lt;年初日,B1082&gt;年末日),"✗ 日期不在本会计年度",IF(C1082="","✗ 没选账户",IF(COUNTIF(基础资料!$W$5:$W$24,C1082)=0,"✗ 账户不在基础资料里",IF(O1082="","✗ 没选收支项目",IF(P1082="未知","✗ 收支项目不在基础资料里",IF(AND(P1082="应收",J1082=""),"✗ 这笔要选客户",IF(AND(P1082="应收",COUNTIF(总览汇总!$B$5:$B$304,J1082)=0),"✗ 客户不在总览汇总名单里",IF(AND(P1082="应付",K1082=""),"✗ 这笔要选供应商",IF(AND(P1082="应付",COUNTIF(基础资料!$Q$5:$Q$54,K1082)=0),"✗ 供应商不在基础资料里",IF(AND(P1082="费用",L1082=""),"✗ 费用支出要选费用项目",IF(AND(L1082&lt;&gt;"",COUNTIF(基础资料!$AI$5:$AI$54,L1082)=0),"✗ 费用项目不在基础资料里",IF(AND(IFERROR(INDEX(基础资料!$AD$5:$AD$34,MATCH(O1082,基础资料!$AC$5:$AC$34,0)),"")="收",N(G1082)&lt;&gt;0),"✗ 这类是收款，金额填到收入列",IF(AND(IFERROR(INDEX(基础资料!$AD$5:$AD$34,MATCH(O1082,基础资料!$AC$5:$AC$34,0)),"")="支",N(F1082)&lt;&gt;0),"✗ 这类是付款，金额填到支出列",IF(N(H1082)&lt;0,"⚠ 账户余额成负数了，核对一下","√"))))))))))))))))))</f>
      </c>
      <c r="O1082" s="78">
        <f>IF(D1082&lt;&gt;"",D1082,IF(AND(F1082="",G1082=""),"",IF(J1082&lt;&gt;"",IF(N(F1082)&gt;0,"客户回款","客户退款"),IF(K1082&lt;&gt;"",IF(N(G1082)&gt;0,"供应商付款","供应商退款"),IF(L1082&lt;&gt;"","费用支出","")))))</f>
      </c>
      <c r="P1082" s="78">
        <f>IF(O1082="","",IFERROR(INDEX(基础资料!$AE$5:$AE$34,MATCH(O1082,基础资料!$AC$5:$AC$34,0)),"未知"))</f>
      </c>
      <c r="Q1082" s="78">
        <f>IF(P1082="应收",COUNTIF(P$7:P1082,"应收"),"")</f>
      </c>
      <c r="R1082" s="78">
        <f>IF(P1082="应付",COUNTIF(P$7:P1082,"应付"),"")</f>
      </c>
      <c r="S1082" s="78">
        <f>N(F1082)-N(G1082)</f>
        <v>0</v>
      </c>
    </row>
    <row r="1083">
      <c r="A1083" s="109">
        <f>IF(AND(F1083="",G1083=""),"",ROW()-6)</f>
      </c>
      <c r="B1083" s="140" t="n"/>
      <c r="C1083" s="141" t="n"/>
      <c r="D1083" s="141" t="n"/>
      <c r="E1083" s="142" t="n"/>
      <c r="F1083" s="143" t="n"/>
      <c r="G1083" s="144" t="n"/>
      <c r="H1083" s="145">
        <f>IF(OR(C1083="",AND(F1083="",G1083="")),"",SUMIF(基础资料!$W$5:$W$24,C1083,基础资料!$X$5:$X$24)+SUMIF(C$7:C1083,C1083,F$7:F1083)-SUMIF(C$7:C1083,C1083,G$7:G1083))</f>
      </c>
      <c r="I1083" s="145">
        <f>IF(AND(F1083="",G1083=""),"",SUM(基础资料!$X$5:$X$24)+SUM(F$7:F1083)-SUM(G$7:G1083))</f>
      </c>
      <c r="J1083" s="141" t="n"/>
      <c r="K1083" s="141" t="n"/>
      <c r="L1083" s="141" t="n"/>
      <c r="M1083" s="142" t="n"/>
      <c r="N1083" s="146">
        <f>IF(AND(AND(F1083="",G1083=""),B1083="",C1083="",D1083="",J1083="",K1083="",L1083=""),"",IF(AND(F1083="",G1083=""),"✗ 没填金额",IF(AND(N(F1083)&lt;&gt;0,N(G1083)&lt;&gt;0),"✗ 收入、支出只能填一边",IF(NOT(ISNUMBER(B1083)),"✗ 日期不是真日期（要像 2026/9/25 这样填）",IF(OR(B1083&lt;年初日,B1083&gt;年末日),"✗ 日期不在本会计年度",IF(C1083="","✗ 没选账户",IF(COUNTIF(基础资料!$W$5:$W$24,C1083)=0,"✗ 账户不在基础资料里",IF(O1083="","✗ 没选收支项目",IF(P1083="未知","✗ 收支项目不在基础资料里",IF(AND(P1083="应收",J1083=""),"✗ 这笔要选客户",IF(AND(P1083="应收",COUNTIF(总览汇总!$B$5:$B$304,J1083)=0),"✗ 客户不在总览汇总名单里",IF(AND(P1083="应付",K1083=""),"✗ 这笔要选供应商",IF(AND(P1083="应付",COUNTIF(基础资料!$Q$5:$Q$54,K1083)=0),"✗ 供应商不在基础资料里",IF(AND(P1083="费用",L1083=""),"✗ 费用支出要选费用项目",IF(AND(L1083&lt;&gt;"",COUNTIF(基础资料!$AI$5:$AI$54,L1083)=0),"✗ 费用项目不在基础资料里",IF(AND(IFERROR(INDEX(基础资料!$AD$5:$AD$34,MATCH(O1083,基础资料!$AC$5:$AC$34,0)),"")="收",N(G1083)&lt;&gt;0),"✗ 这类是收款，金额填到收入列",IF(AND(IFERROR(INDEX(基础资料!$AD$5:$AD$34,MATCH(O1083,基础资料!$AC$5:$AC$34,0)),"")="支",N(F1083)&lt;&gt;0),"✗ 这类是付款，金额填到支出列",IF(N(H1083)&lt;0,"⚠ 账户余额成负数了，核对一下","√"))))))))))))))))))</f>
      </c>
      <c r="O1083" s="78">
        <f>IF(D1083&lt;&gt;"",D1083,IF(AND(F1083="",G1083=""),"",IF(J1083&lt;&gt;"",IF(N(F1083)&gt;0,"客户回款","客户退款"),IF(K1083&lt;&gt;"",IF(N(G1083)&gt;0,"供应商付款","供应商退款"),IF(L1083&lt;&gt;"","费用支出","")))))</f>
      </c>
      <c r="P1083" s="78">
        <f>IF(O1083="","",IFERROR(INDEX(基础资料!$AE$5:$AE$34,MATCH(O1083,基础资料!$AC$5:$AC$34,0)),"未知"))</f>
      </c>
      <c r="Q1083" s="78">
        <f>IF(P1083="应收",COUNTIF(P$7:P1083,"应收"),"")</f>
      </c>
      <c r="R1083" s="78">
        <f>IF(P1083="应付",COUNTIF(P$7:P1083,"应付"),"")</f>
      </c>
      <c r="S1083" s="78">
        <f>N(F1083)-N(G1083)</f>
        <v>0</v>
      </c>
    </row>
    <row r="1084">
      <c r="A1084" s="109">
        <f>IF(AND(F1084="",G1084=""),"",ROW()-6)</f>
      </c>
      <c r="B1084" s="140" t="n"/>
      <c r="C1084" s="141" t="n"/>
      <c r="D1084" s="141" t="n"/>
      <c r="E1084" s="142" t="n"/>
      <c r="F1084" s="143" t="n"/>
      <c r="G1084" s="144" t="n"/>
      <c r="H1084" s="145">
        <f>IF(OR(C1084="",AND(F1084="",G1084="")),"",SUMIF(基础资料!$W$5:$W$24,C1084,基础资料!$X$5:$X$24)+SUMIF(C$7:C1084,C1084,F$7:F1084)-SUMIF(C$7:C1084,C1084,G$7:G1084))</f>
      </c>
      <c r="I1084" s="145">
        <f>IF(AND(F1084="",G1084=""),"",SUM(基础资料!$X$5:$X$24)+SUM(F$7:F1084)-SUM(G$7:G1084))</f>
      </c>
      <c r="J1084" s="141" t="n"/>
      <c r="K1084" s="141" t="n"/>
      <c r="L1084" s="141" t="n"/>
      <c r="M1084" s="142" t="n"/>
      <c r="N1084" s="146">
        <f>IF(AND(AND(F1084="",G1084=""),B1084="",C1084="",D1084="",J1084="",K1084="",L1084=""),"",IF(AND(F1084="",G1084=""),"✗ 没填金额",IF(AND(N(F1084)&lt;&gt;0,N(G1084)&lt;&gt;0),"✗ 收入、支出只能填一边",IF(NOT(ISNUMBER(B1084)),"✗ 日期不是真日期（要像 2026/9/25 这样填）",IF(OR(B1084&lt;年初日,B1084&gt;年末日),"✗ 日期不在本会计年度",IF(C1084="","✗ 没选账户",IF(COUNTIF(基础资料!$W$5:$W$24,C1084)=0,"✗ 账户不在基础资料里",IF(O1084="","✗ 没选收支项目",IF(P1084="未知","✗ 收支项目不在基础资料里",IF(AND(P1084="应收",J1084=""),"✗ 这笔要选客户",IF(AND(P1084="应收",COUNTIF(总览汇总!$B$5:$B$304,J1084)=0),"✗ 客户不在总览汇总名单里",IF(AND(P1084="应付",K1084=""),"✗ 这笔要选供应商",IF(AND(P1084="应付",COUNTIF(基础资料!$Q$5:$Q$54,K1084)=0),"✗ 供应商不在基础资料里",IF(AND(P1084="费用",L1084=""),"✗ 费用支出要选费用项目",IF(AND(L1084&lt;&gt;"",COUNTIF(基础资料!$AI$5:$AI$54,L1084)=0),"✗ 费用项目不在基础资料里",IF(AND(IFERROR(INDEX(基础资料!$AD$5:$AD$34,MATCH(O1084,基础资料!$AC$5:$AC$34,0)),"")="收",N(G1084)&lt;&gt;0),"✗ 这类是收款，金额填到收入列",IF(AND(IFERROR(INDEX(基础资料!$AD$5:$AD$34,MATCH(O1084,基础资料!$AC$5:$AC$34,0)),"")="支",N(F1084)&lt;&gt;0),"✗ 这类是付款，金额填到支出列",IF(N(H1084)&lt;0,"⚠ 账户余额成负数了，核对一下","√"))))))))))))))))))</f>
      </c>
      <c r="O1084" s="78">
        <f>IF(D1084&lt;&gt;"",D1084,IF(AND(F1084="",G1084=""),"",IF(J1084&lt;&gt;"",IF(N(F1084)&gt;0,"客户回款","客户退款"),IF(K1084&lt;&gt;"",IF(N(G1084)&gt;0,"供应商付款","供应商退款"),IF(L1084&lt;&gt;"","费用支出","")))))</f>
      </c>
      <c r="P1084" s="78">
        <f>IF(O1084="","",IFERROR(INDEX(基础资料!$AE$5:$AE$34,MATCH(O1084,基础资料!$AC$5:$AC$34,0)),"未知"))</f>
      </c>
      <c r="Q1084" s="78">
        <f>IF(P1084="应收",COUNTIF(P$7:P1084,"应收"),"")</f>
      </c>
      <c r="R1084" s="78">
        <f>IF(P1084="应付",COUNTIF(P$7:P1084,"应付"),"")</f>
      </c>
      <c r="S1084" s="78">
        <f>N(F1084)-N(G1084)</f>
        <v>0</v>
      </c>
    </row>
    <row r="1085">
      <c r="A1085" s="109">
        <f>IF(AND(F1085="",G1085=""),"",ROW()-6)</f>
      </c>
      <c r="B1085" s="140" t="n"/>
      <c r="C1085" s="141" t="n"/>
      <c r="D1085" s="141" t="n"/>
      <c r="E1085" s="142" t="n"/>
      <c r="F1085" s="143" t="n"/>
      <c r="G1085" s="144" t="n"/>
      <c r="H1085" s="145">
        <f>IF(OR(C1085="",AND(F1085="",G1085="")),"",SUMIF(基础资料!$W$5:$W$24,C1085,基础资料!$X$5:$X$24)+SUMIF(C$7:C1085,C1085,F$7:F1085)-SUMIF(C$7:C1085,C1085,G$7:G1085))</f>
      </c>
      <c r="I1085" s="145">
        <f>IF(AND(F1085="",G1085=""),"",SUM(基础资料!$X$5:$X$24)+SUM(F$7:F1085)-SUM(G$7:G1085))</f>
      </c>
      <c r="J1085" s="141" t="n"/>
      <c r="K1085" s="141" t="n"/>
      <c r="L1085" s="141" t="n"/>
      <c r="M1085" s="142" t="n"/>
      <c r="N1085" s="146">
        <f>IF(AND(AND(F1085="",G1085=""),B1085="",C1085="",D1085="",J1085="",K1085="",L1085=""),"",IF(AND(F1085="",G1085=""),"✗ 没填金额",IF(AND(N(F1085)&lt;&gt;0,N(G1085)&lt;&gt;0),"✗ 收入、支出只能填一边",IF(NOT(ISNUMBER(B1085)),"✗ 日期不是真日期（要像 2026/9/25 这样填）",IF(OR(B1085&lt;年初日,B1085&gt;年末日),"✗ 日期不在本会计年度",IF(C1085="","✗ 没选账户",IF(COUNTIF(基础资料!$W$5:$W$24,C1085)=0,"✗ 账户不在基础资料里",IF(O1085="","✗ 没选收支项目",IF(P1085="未知","✗ 收支项目不在基础资料里",IF(AND(P1085="应收",J1085=""),"✗ 这笔要选客户",IF(AND(P1085="应收",COUNTIF(总览汇总!$B$5:$B$304,J1085)=0),"✗ 客户不在总览汇总名单里",IF(AND(P1085="应付",K1085=""),"✗ 这笔要选供应商",IF(AND(P1085="应付",COUNTIF(基础资料!$Q$5:$Q$54,K1085)=0),"✗ 供应商不在基础资料里",IF(AND(P1085="费用",L1085=""),"✗ 费用支出要选费用项目",IF(AND(L1085&lt;&gt;"",COUNTIF(基础资料!$AI$5:$AI$54,L1085)=0),"✗ 费用项目不在基础资料里",IF(AND(IFERROR(INDEX(基础资料!$AD$5:$AD$34,MATCH(O1085,基础资料!$AC$5:$AC$34,0)),"")="收",N(G1085)&lt;&gt;0),"✗ 这类是收款，金额填到收入列",IF(AND(IFERROR(INDEX(基础资料!$AD$5:$AD$34,MATCH(O1085,基础资料!$AC$5:$AC$34,0)),"")="支",N(F1085)&lt;&gt;0),"✗ 这类是付款，金额填到支出列",IF(N(H1085)&lt;0,"⚠ 账户余额成负数了，核对一下","√"))))))))))))))))))</f>
      </c>
      <c r="O1085" s="78">
        <f>IF(D1085&lt;&gt;"",D1085,IF(AND(F1085="",G1085=""),"",IF(J1085&lt;&gt;"",IF(N(F1085)&gt;0,"客户回款","客户退款"),IF(K1085&lt;&gt;"",IF(N(G1085)&gt;0,"供应商付款","供应商退款"),IF(L1085&lt;&gt;"","费用支出","")))))</f>
      </c>
      <c r="P1085" s="78">
        <f>IF(O1085="","",IFERROR(INDEX(基础资料!$AE$5:$AE$34,MATCH(O1085,基础资料!$AC$5:$AC$34,0)),"未知"))</f>
      </c>
      <c r="Q1085" s="78">
        <f>IF(P1085="应收",COUNTIF(P$7:P1085,"应收"),"")</f>
      </c>
      <c r="R1085" s="78">
        <f>IF(P1085="应付",COUNTIF(P$7:P1085,"应付"),"")</f>
      </c>
      <c r="S1085" s="78">
        <f>N(F1085)-N(G1085)</f>
        <v>0</v>
      </c>
    </row>
    <row r="1086">
      <c r="A1086" s="109">
        <f>IF(AND(F1086="",G1086=""),"",ROW()-6)</f>
      </c>
      <c r="B1086" s="140" t="n"/>
      <c r="C1086" s="141" t="n"/>
      <c r="D1086" s="141" t="n"/>
      <c r="E1086" s="142" t="n"/>
      <c r="F1086" s="143" t="n"/>
      <c r="G1086" s="144" t="n"/>
      <c r="H1086" s="145">
        <f>IF(OR(C1086="",AND(F1086="",G1086="")),"",SUMIF(基础资料!$W$5:$W$24,C1086,基础资料!$X$5:$X$24)+SUMIF(C$7:C1086,C1086,F$7:F1086)-SUMIF(C$7:C1086,C1086,G$7:G1086))</f>
      </c>
      <c r="I1086" s="145">
        <f>IF(AND(F1086="",G1086=""),"",SUM(基础资料!$X$5:$X$24)+SUM(F$7:F1086)-SUM(G$7:G1086))</f>
      </c>
      <c r="J1086" s="141" t="n"/>
      <c r="K1086" s="141" t="n"/>
      <c r="L1086" s="141" t="n"/>
      <c r="M1086" s="142" t="n"/>
      <c r="N1086" s="146">
        <f>IF(AND(AND(F1086="",G1086=""),B1086="",C1086="",D1086="",J1086="",K1086="",L1086=""),"",IF(AND(F1086="",G1086=""),"✗ 没填金额",IF(AND(N(F1086)&lt;&gt;0,N(G1086)&lt;&gt;0),"✗ 收入、支出只能填一边",IF(NOT(ISNUMBER(B1086)),"✗ 日期不是真日期（要像 2026/9/25 这样填）",IF(OR(B1086&lt;年初日,B1086&gt;年末日),"✗ 日期不在本会计年度",IF(C1086="","✗ 没选账户",IF(COUNTIF(基础资料!$W$5:$W$24,C1086)=0,"✗ 账户不在基础资料里",IF(O1086="","✗ 没选收支项目",IF(P1086="未知","✗ 收支项目不在基础资料里",IF(AND(P1086="应收",J1086=""),"✗ 这笔要选客户",IF(AND(P1086="应收",COUNTIF(总览汇总!$B$5:$B$304,J1086)=0),"✗ 客户不在总览汇总名单里",IF(AND(P1086="应付",K1086=""),"✗ 这笔要选供应商",IF(AND(P1086="应付",COUNTIF(基础资料!$Q$5:$Q$54,K1086)=0),"✗ 供应商不在基础资料里",IF(AND(P1086="费用",L1086=""),"✗ 费用支出要选费用项目",IF(AND(L1086&lt;&gt;"",COUNTIF(基础资料!$AI$5:$AI$54,L1086)=0),"✗ 费用项目不在基础资料里",IF(AND(IFERROR(INDEX(基础资料!$AD$5:$AD$34,MATCH(O1086,基础资料!$AC$5:$AC$34,0)),"")="收",N(G1086)&lt;&gt;0),"✗ 这类是收款，金额填到收入列",IF(AND(IFERROR(INDEX(基础资料!$AD$5:$AD$34,MATCH(O1086,基础资料!$AC$5:$AC$34,0)),"")="支",N(F1086)&lt;&gt;0),"✗ 这类是付款，金额填到支出列",IF(N(H1086)&lt;0,"⚠ 账户余额成负数了，核对一下","√"))))))))))))))))))</f>
      </c>
      <c r="O1086" s="78">
        <f>IF(D1086&lt;&gt;"",D1086,IF(AND(F1086="",G1086=""),"",IF(J1086&lt;&gt;"",IF(N(F1086)&gt;0,"客户回款","客户退款"),IF(K1086&lt;&gt;"",IF(N(G1086)&gt;0,"供应商付款","供应商退款"),IF(L1086&lt;&gt;"","费用支出","")))))</f>
      </c>
      <c r="P1086" s="78">
        <f>IF(O1086="","",IFERROR(INDEX(基础资料!$AE$5:$AE$34,MATCH(O1086,基础资料!$AC$5:$AC$34,0)),"未知"))</f>
      </c>
      <c r="Q1086" s="78">
        <f>IF(P1086="应收",COUNTIF(P$7:P1086,"应收"),"")</f>
      </c>
      <c r="R1086" s="78">
        <f>IF(P1086="应付",COUNTIF(P$7:P1086,"应付"),"")</f>
      </c>
      <c r="S1086" s="78">
        <f>N(F1086)-N(G1086)</f>
        <v>0</v>
      </c>
    </row>
    <row r="1087">
      <c r="A1087" s="109">
        <f>IF(AND(F1087="",G1087=""),"",ROW()-6)</f>
      </c>
      <c r="B1087" s="140" t="n"/>
      <c r="C1087" s="141" t="n"/>
      <c r="D1087" s="141" t="n"/>
      <c r="E1087" s="142" t="n"/>
      <c r="F1087" s="143" t="n"/>
      <c r="G1087" s="144" t="n"/>
      <c r="H1087" s="145">
        <f>IF(OR(C1087="",AND(F1087="",G1087="")),"",SUMIF(基础资料!$W$5:$W$24,C1087,基础资料!$X$5:$X$24)+SUMIF(C$7:C1087,C1087,F$7:F1087)-SUMIF(C$7:C1087,C1087,G$7:G1087))</f>
      </c>
      <c r="I1087" s="145">
        <f>IF(AND(F1087="",G1087=""),"",SUM(基础资料!$X$5:$X$24)+SUM(F$7:F1087)-SUM(G$7:G1087))</f>
      </c>
      <c r="J1087" s="141" t="n"/>
      <c r="K1087" s="141" t="n"/>
      <c r="L1087" s="141" t="n"/>
      <c r="M1087" s="142" t="n"/>
      <c r="N1087" s="146">
        <f>IF(AND(AND(F1087="",G1087=""),B1087="",C1087="",D1087="",J1087="",K1087="",L1087=""),"",IF(AND(F1087="",G1087=""),"✗ 没填金额",IF(AND(N(F1087)&lt;&gt;0,N(G1087)&lt;&gt;0),"✗ 收入、支出只能填一边",IF(NOT(ISNUMBER(B1087)),"✗ 日期不是真日期（要像 2026/9/25 这样填）",IF(OR(B1087&lt;年初日,B1087&gt;年末日),"✗ 日期不在本会计年度",IF(C1087="","✗ 没选账户",IF(COUNTIF(基础资料!$W$5:$W$24,C1087)=0,"✗ 账户不在基础资料里",IF(O1087="","✗ 没选收支项目",IF(P1087="未知","✗ 收支项目不在基础资料里",IF(AND(P1087="应收",J1087=""),"✗ 这笔要选客户",IF(AND(P1087="应收",COUNTIF(总览汇总!$B$5:$B$304,J1087)=0),"✗ 客户不在总览汇总名单里",IF(AND(P1087="应付",K1087=""),"✗ 这笔要选供应商",IF(AND(P1087="应付",COUNTIF(基础资料!$Q$5:$Q$54,K1087)=0),"✗ 供应商不在基础资料里",IF(AND(P1087="费用",L1087=""),"✗ 费用支出要选费用项目",IF(AND(L1087&lt;&gt;"",COUNTIF(基础资料!$AI$5:$AI$54,L1087)=0),"✗ 费用项目不在基础资料里",IF(AND(IFERROR(INDEX(基础资料!$AD$5:$AD$34,MATCH(O1087,基础资料!$AC$5:$AC$34,0)),"")="收",N(G1087)&lt;&gt;0),"✗ 这类是收款，金额填到收入列",IF(AND(IFERROR(INDEX(基础资料!$AD$5:$AD$34,MATCH(O1087,基础资料!$AC$5:$AC$34,0)),"")="支",N(F1087)&lt;&gt;0),"✗ 这类是付款，金额填到支出列",IF(N(H1087)&lt;0,"⚠ 账户余额成负数了，核对一下","√"))))))))))))))))))</f>
      </c>
      <c r="O1087" s="78">
        <f>IF(D1087&lt;&gt;"",D1087,IF(AND(F1087="",G1087=""),"",IF(J1087&lt;&gt;"",IF(N(F1087)&gt;0,"客户回款","客户退款"),IF(K1087&lt;&gt;"",IF(N(G1087)&gt;0,"供应商付款","供应商退款"),IF(L1087&lt;&gt;"","费用支出","")))))</f>
      </c>
      <c r="P1087" s="78">
        <f>IF(O1087="","",IFERROR(INDEX(基础资料!$AE$5:$AE$34,MATCH(O1087,基础资料!$AC$5:$AC$34,0)),"未知"))</f>
      </c>
      <c r="Q1087" s="78">
        <f>IF(P1087="应收",COUNTIF(P$7:P1087,"应收"),"")</f>
      </c>
      <c r="R1087" s="78">
        <f>IF(P1087="应付",COUNTIF(P$7:P1087,"应付"),"")</f>
      </c>
      <c r="S1087" s="78">
        <f>N(F1087)-N(G1087)</f>
        <v>0</v>
      </c>
    </row>
    <row r="1088">
      <c r="A1088" s="109">
        <f>IF(AND(F1088="",G1088=""),"",ROW()-6)</f>
      </c>
      <c r="B1088" s="140" t="n"/>
      <c r="C1088" s="141" t="n"/>
      <c r="D1088" s="141" t="n"/>
      <c r="E1088" s="142" t="n"/>
      <c r="F1088" s="143" t="n"/>
      <c r="G1088" s="144" t="n"/>
      <c r="H1088" s="145">
        <f>IF(OR(C1088="",AND(F1088="",G1088="")),"",SUMIF(基础资料!$W$5:$W$24,C1088,基础资料!$X$5:$X$24)+SUMIF(C$7:C1088,C1088,F$7:F1088)-SUMIF(C$7:C1088,C1088,G$7:G1088))</f>
      </c>
      <c r="I1088" s="145">
        <f>IF(AND(F1088="",G1088=""),"",SUM(基础资料!$X$5:$X$24)+SUM(F$7:F1088)-SUM(G$7:G1088))</f>
      </c>
      <c r="J1088" s="141" t="n"/>
      <c r="K1088" s="141" t="n"/>
      <c r="L1088" s="141" t="n"/>
      <c r="M1088" s="142" t="n"/>
      <c r="N1088" s="146">
        <f>IF(AND(AND(F1088="",G1088=""),B1088="",C1088="",D1088="",J1088="",K1088="",L1088=""),"",IF(AND(F1088="",G1088=""),"✗ 没填金额",IF(AND(N(F1088)&lt;&gt;0,N(G1088)&lt;&gt;0),"✗ 收入、支出只能填一边",IF(NOT(ISNUMBER(B1088)),"✗ 日期不是真日期（要像 2026/9/25 这样填）",IF(OR(B1088&lt;年初日,B1088&gt;年末日),"✗ 日期不在本会计年度",IF(C1088="","✗ 没选账户",IF(COUNTIF(基础资料!$W$5:$W$24,C1088)=0,"✗ 账户不在基础资料里",IF(O1088="","✗ 没选收支项目",IF(P1088="未知","✗ 收支项目不在基础资料里",IF(AND(P1088="应收",J1088=""),"✗ 这笔要选客户",IF(AND(P1088="应收",COUNTIF(总览汇总!$B$5:$B$304,J1088)=0),"✗ 客户不在总览汇总名单里",IF(AND(P1088="应付",K1088=""),"✗ 这笔要选供应商",IF(AND(P1088="应付",COUNTIF(基础资料!$Q$5:$Q$54,K1088)=0),"✗ 供应商不在基础资料里",IF(AND(P1088="费用",L1088=""),"✗ 费用支出要选费用项目",IF(AND(L1088&lt;&gt;"",COUNTIF(基础资料!$AI$5:$AI$54,L1088)=0),"✗ 费用项目不在基础资料里",IF(AND(IFERROR(INDEX(基础资料!$AD$5:$AD$34,MATCH(O1088,基础资料!$AC$5:$AC$34,0)),"")="收",N(G1088)&lt;&gt;0),"✗ 这类是收款，金额填到收入列",IF(AND(IFERROR(INDEX(基础资料!$AD$5:$AD$34,MATCH(O1088,基础资料!$AC$5:$AC$34,0)),"")="支",N(F1088)&lt;&gt;0),"✗ 这类是付款，金额填到支出列",IF(N(H1088)&lt;0,"⚠ 账户余额成负数了，核对一下","√"))))))))))))))))))</f>
      </c>
      <c r="O1088" s="78">
        <f>IF(D1088&lt;&gt;"",D1088,IF(AND(F1088="",G1088=""),"",IF(J1088&lt;&gt;"",IF(N(F1088)&gt;0,"客户回款","客户退款"),IF(K1088&lt;&gt;"",IF(N(G1088)&gt;0,"供应商付款","供应商退款"),IF(L1088&lt;&gt;"","费用支出","")))))</f>
      </c>
      <c r="P1088" s="78">
        <f>IF(O1088="","",IFERROR(INDEX(基础资料!$AE$5:$AE$34,MATCH(O1088,基础资料!$AC$5:$AC$34,0)),"未知"))</f>
      </c>
      <c r="Q1088" s="78">
        <f>IF(P1088="应收",COUNTIF(P$7:P1088,"应收"),"")</f>
      </c>
      <c r="R1088" s="78">
        <f>IF(P1088="应付",COUNTIF(P$7:P1088,"应付"),"")</f>
      </c>
      <c r="S1088" s="78">
        <f>N(F1088)-N(G1088)</f>
        <v>0</v>
      </c>
    </row>
    <row r="1089">
      <c r="A1089" s="109">
        <f>IF(AND(F1089="",G1089=""),"",ROW()-6)</f>
      </c>
      <c r="B1089" s="140" t="n"/>
      <c r="C1089" s="141" t="n"/>
      <c r="D1089" s="141" t="n"/>
      <c r="E1089" s="142" t="n"/>
      <c r="F1089" s="143" t="n"/>
      <c r="G1089" s="144" t="n"/>
      <c r="H1089" s="145">
        <f>IF(OR(C1089="",AND(F1089="",G1089="")),"",SUMIF(基础资料!$W$5:$W$24,C1089,基础资料!$X$5:$X$24)+SUMIF(C$7:C1089,C1089,F$7:F1089)-SUMIF(C$7:C1089,C1089,G$7:G1089))</f>
      </c>
      <c r="I1089" s="145">
        <f>IF(AND(F1089="",G1089=""),"",SUM(基础资料!$X$5:$X$24)+SUM(F$7:F1089)-SUM(G$7:G1089))</f>
      </c>
      <c r="J1089" s="141" t="n"/>
      <c r="K1089" s="141" t="n"/>
      <c r="L1089" s="141" t="n"/>
      <c r="M1089" s="142" t="n"/>
      <c r="N1089" s="146">
        <f>IF(AND(AND(F1089="",G1089=""),B1089="",C1089="",D1089="",J1089="",K1089="",L1089=""),"",IF(AND(F1089="",G1089=""),"✗ 没填金额",IF(AND(N(F1089)&lt;&gt;0,N(G1089)&lt;&gt;0),"✗ 收入、支出只能填一边",IF(NOT(ISNUMBER(B1089)),"✗ 日期不是真日期（要像 2026/9/25 这样填）",IF(OR(B1089&lt;年初日,B1089&gt;年末日),"✗ 日期不在本会计年度",IF(C1089="","✗ 没选账户",IF(COUNTIF(基础资料!$W$5:$W$24,C1089)=0,"✗ 账户不在基础资料里",IF(O1089="","✗ 没选收支项目",IF(P1089="未知","✗ 收支项目不在基础资料里",IF(AND(P1089="应收",J1089=""),"✗ 这笔要选客户",IF(AND(P1089="应收",COUNTIF(总览汇总!$B$5:$B$304,J1089)=0),"✗ 客户不在总览汇总名单里",IF(AND(P1089="应付",K1089=""),"✗ 这笔要选供应商",IF(AND(P1089="应付",COUNTIF(基础资料!$Q$5:$Q$54,K1089)=0),"✗ 供应商不在基础资料里",IF(AND(P1089="费用",L1089=""),"✗ 费用支出要选费用项目",IF(AND(L1089&lt;&gt;"",COUNTIF(基础资料!$AI$5:$AI$54,L1089)=0),"✗ 费用项目不在基础资料里",IF(AND(IFERROR(INDEX(基础资料!$AD$5:$AD$34,MATCH(O1089,基础资料!$AC$5:$AC$34,0)),"")="收",N(G1089)&lt;&gt;0),"✗ 这类是收款，金额填到收入列",IF(AND(IFERROR(INDEX(基础资料!$AD$5:$AD$34,MATCH(O1089,基础资料!$AC$5:$AC$34,0)),"")="支",N(F1089)&lt;&gt;0),"✗ 这类是付款，金额填到支出列",IF(N(H1089)&lt;0,"⚠ 账户余额成负数了，核对一下","√"))))))))))))))))))</f>
      </c>
      <c r="O1089" s="78">
        <f>IF(D1089&lt;&gt;"",D1089,IF(AND(F1089="",G1089=""),"",IF(J1089&lt;&gt;"",IF(N(F1089)&gt;0,"客户回款","客户退款"),IF(K1089&lt;&gt;"",IF(N(G1089)&gt;0,"供应商付款","供应商退款"),IF(L1089&lt;&gt;"","费用支出","")))))</f>
      </c>
      <c r="P1089" s="78">
        <f>IF(O1089="","",IFERROR(INDEX(基础资料!$AE$5:$AE$34,MATCH(O1089,基础资料!$AC$5:$AC$34,0)),"未知"))</f>
      </c>
      <c r="Q1089" s="78">
        <f>IF(P1089="应收",COUNTIF(P$7:P1089,"应收"),"")</f>
      </c>
      <c r="R1089" s="78">
        <f>IF(P1089="应付",COUNTIF(P$7:P1089,"应付"),"")</f>
      </c>
      <c r="S1089" s="78">
        <f>N(F1089)-N(G1089)</f>
        <v>0</v>
      </c>
    </row>
    <row r="1090">
      <c r="A1090" s="109">
        <f>IF(AND(F1090="",G1090=""),"",ROW()-6)</f>
      </c>
      <c r="B1090" s="140" t="n"/>
      <c r="C1090" s="141" t="n"/>
      <c r="D1090" s="141" t="n"/>
      <c r="E1090" s="142" t="n"/>
      <c r="F1090" s="143" t="n"/>
      <c r="G1090" s="144" t="n"/>
      <c r="H1090" s="145">
        <f>IF(OR(C1090="",AND(F1090="",G1090="")),"",SUMIF(基础资料!$W$5:$W$24,C1090,基础资料!$X$5:$X$24)+SUMIF(C$7:C1090,C1090,F$7:F1090)-SUMIF(C$7:C1090,C1090,G$7:G1090))</f>
      </c>
      <c r="I1090" s="145">
        <f>IF(AND(F1090="",G1090=""),"",SUM(基础资料!$X$5:$X$24)+SUM(F$7:F1090)-SUM(G$7:G1090))</f>
      </c>
      <c r="J1090" s="141" t="n"/>
      <c r="K1090" s="141" t="n"/>
      <c r="L1090" s="141" t="n"/>
      <c r="M1090" s="142" t="n"/>
      <c r="N1090" s="146">
        <f>IF(AND(AND(F1090="",G1090=""),B1090="",C1090="",D1090="",J1090="",K1090="",L1090=""),"",IF(AND(F1090="",G1090=""),"✗ 没填金额",IF(AND(N(F1090)&lt;&gt;0,N(G1090)&lt;&gt;0),"✗ 收入、支出只能填一边",IF(NOT(ISNUMBER(B1090)),"✗ 日期不是真日期（要像 2026/9/25 这样填）",IF(OR(B1090&lt;年初日,B1090&gt;年末日),"✗ 日期不在本会计年度",IF(C1090="","✗ 没选账户",IF(COUNTIF(基础资料!$W$5:$W$24,C1090)=0,"✗ 账户不在基础资料里",IF(O1090="","✗ 没选收支项目",IF(P1090="未知","✗ 收支项目不在基础资料里",IF(AND(P1090="应收",J1090=""),"✗ 这笔要选客户",IF(AND(P1090="应收",COUNTIF(总览汇总!$B$5:$B$304,J1090)=0),"✗ 客户不在总览汇总名单里",IF(AND(P1090="应付",K1090=""),"✗ 这笔要选供应商",IF(AND(P1090="应付",COUNTIF(基础资料!$Q$5:$Q$54,K1090)=0),"✗ 供应商不在基础资料里",IF(AND(P1090="费用",L1090=""),"✗ 费用支出要选费用项目",IF(AND(L1090&lt;&gt;"",COUNTIF(基础资料!$AI$5:$AI$54,L1090)=0),"✗ 费用项目不在基础资料里",IF(AND(IFERROR(INDEX(基础资料!$AD$5:$AD$34,MATCH(O1090,基础资料!$AC$5:$AC$34,0)),"")="收",N(G1090)&lt;&gt;0),"✗ 这类是收款，金额填到收入列",IF(AND(IFERROR(INDEX(基础资料!$AD$5:$AD$34,MATCH(O1090,基础资料!$AC$5:$AC$34,0)),"")="支",N(F1090)&lt;&gt;0),"✗ 这类是付款，金额填到支出列",IF(N(H1090)&lt;0,"⚠ 账户余额成负数了，核对一下","√"))))))))))))))))))</f>
      </c>
      <c r="O1090" s="78">
        <f>IF(D1090&lt;&gt;"",D1090,IF(AND(F1090="",G1090=""),"",IF(J1090&lt;&gt;"",IF(N(F1090)&gt;0,"客户回款","客户退款"),IF(K1090&lt;&gt;"",IF(N(G1090)&gt;0,"供应商付款","供应商退款"),IF(L1090&lt;&gt;"","费用支出","")))))</f>
      </c>
      <c r="P1090" s="78">
        <f>IF(O1090="","",IFERROR(INDEX(基础资料!$AE$5:$AE$34,MATCH(O1090,基础资料!$AC$5:$AC$34,0)),"未知"))</f>
      </c>
      <c r="Q1090" s="78">
        <f>IF(P1090="应收",COUNTIF(P$7:P1090,"应收"),"")</f>
      </c>
      <c r="R1090" s="78">
        <f>IF(P1090="应付",COUNTIF(P$7:P1090,"应付"),"")</f>
      </c>
      <c r="S1090" s="78">
        <f>N(F1090)-N(G1090)</f>
        <v>0</v>
      </c>
    </row>
    <row r="1091">
      <c r="A1091" s="109">
        <f>IF(AND(F1091="",G1091=""),"",ROW()-6)</f>
      </c>
      <c r="B1091" s="140" t="n"/>
      <c r="C1091" s="141" t="n"/>
      <c r="D1091" s="141" t="n"/>
      <c r="E1091" s="142" t="n"/>
      <c r="F1091" s="143" t="n"/>
      <c r="G1091" s="144" t="n"/>
      <c r="H1091" s="145">
        <f>IF(OR(C1091="",AND(F1091="",G1091="")),"",SUMIF(基础资料!$W$5:$W$24,C1091,基础资料!$X$5:$X$24)+SUMIF(C$7:C1091,C1091,F$7:F1091)-SUMIF(C$7:C1091,C1091,G$7:G1091))</f>
      </c>
      <c r="I1091" s="145">
        <f>IF(AND(F1091="",G1091=""),"",SUM(基础资料!$X$5:$X$24)+SUM(F$7:F1091)-SUM(G$7:G1091))</f>
      </c>
      <c r="J1091" s="141" t="n"/>
      <c r="K1091" s="141" t="n"/>
      <c r="L1091" s="141" t="n"/>
      <c r="M1091" s="142" t="n"/>
      <c r="N1091" s="146">
        <f>IF(AND(AND(F1091="",G1091=""),B1091="",C1091="",D1091="",J1091="",K1091="",L1091=""),"",IF(AND(F1091="",G1091=""),"✗ 没填金额",IF(AND(N(F1091)&lt;&gt;0,N(G1091)&lt;&gt;0),"✗ 收入、支出只能填一边",IF(NOT(ISNUMBER(B1091)),"✗ 日期不是真日期（要像 2026/9/25 这样填）",IF(OR(B1091&lt;年初日,B1091&gt;年末日),"✗ 日期不在本会计年度",IF(C1091="","✗ 没选账户",IF(COUNTIF(基础资料!$W$5:$W$24,C1091)=0,"✗ 账户不在基础资料里",IF(O1091="","✗ 没选收支项目",IF(P1091="未知","✗ 收支项目不在基础资料里",IF(AND(P1091="应收",J1091=""),"✗ 这笔要选客户",IF(AND(P1091="应收",COUNTIF(总览汇总!$B$5:$B$304,J1091)=0),"✗ 客户不在总览汇总名单里",IF(AND(P1091="应付",K1091=""),"✗ 这笔要选供应商",IF(AND(P1091="应付",COUNTIF(基础资料!$Q$5:$Q$54,K1091)=0),"✗ 供应商不在基础资料里",IF(AND(P1091="费用",L1091=""),"✗ 费用支出要选费用项目",IF(AND(L1091&lt;&gt;"",COUNTIF(基础资料!$AI$5:$AI$54,L1091)=0),"✗ 费用项目不在基础资料里",IF(AND(IFERROR(INDEX(基础资料!$AD$5:$AD$34,MATCH(O1091,基础资料!$AC$5:$AC$34,0)),"")="收",N(G1091)&lt;&gt;0),"✗ 这类是收款，金额填到收入列",IF(AND(IFERROR(INDEX(基础资料!$AD$5:$AD$34,MATCH(O1091,基础资料!$AC$5:$AC$34,0)),"")="支",N(F1091)&lt;&gt;0),"✗ 这类是付款，金额填到支出列",IF(N(H1091)&lt;0,"⚠ 账户余额成负数了，核对一下","√"))))))))))))))))))</f>
      </c>
      <c r="O1091" s="78">
        <f>IF(D1091&lt;&gt;"",D1091,IF(AND(F1091="",G1091=""),"",IF(J1091&lt;&gt;"",IF(N(F1091)&gt;0,"客户回款","客户退款"),IF(K1091&lt;&gt;"",IF(N(G1091)&gt;0,"供应商付款","供应商退款"),IF(L1091&lt;&gt;"","费用支出","")))))</f>
      </c>
      <c r="P1091" s="78">
        <f>IF(O1091="","",IFERROR(INDEX(基础资料!$AE$5:$AE$34,MATCH(O1091,基础资料!$AC$5:$AC$34,0)),"未知"))</f>
      </c>
      <c r="Q1091" s="78">
        <f>IF(P1091="应收",COUNTIF(P$7:P1091,"应收"),"")</f>
      </c>
      <c r="R1091" s="78">
        <f>IF(P1091="应付",COUNTIF(P$7:P1091,"应付"),"")</f>
      </c>
      <c r="S1091" s="78">
        <f>N(F1091)-N(G1091)</f>
        <v>0</v>
      </c>
    </row>
    <row r="1092">
      <c r="A1092" s="109">
        <f>IF(AND(F1092="",G1092=""),"",ROW()-6)</f>
      </c>
      <c r="B1092" s="140" t="n"/>
      <c r="C1092" s="141" t="n"/>
      <c r="D1092" s="141" t="n"/>
      <c r="E1092" s="142" t="n"/>
      <c r="F1092" s="143" t="n"/>
      <c r="G1092" s="144" t="n"/>
      <c r="H1092" s="145">
        <f>IF(OR(C1092="",AND(F1092="",G1092="")),"",SUMIF(基础资料!$W$5:$W$24,C1092,基础资料!$X$5:$X$24)+SUMIF(C$7:C1092,C1092,F$7:F1092)-SUMIF(C$7:C1092,C1092,G$7:G1092))</f>
      </c>
      <c r="I1092" s="145">
        <f>IF(AND(F1092="",G1092=""),"",SUM(基础资料!$X$5:$X$24)+SUM(F$7:F1092)-SUM(G$7:G1092))</f>
      </c>
      <c r="J1092" s="141" t="n"/>
      <c r="K1092" s="141" t="n"/>
      <c r="L1092" s="141" t="n"/>
      <c r="M1092" s="142" t="n"/>
      <c r="N1092" s="146">
        <f>IF(AND(AND(F1092="",G1092=""),B1092="",C1092="",D1092="",J1092="",K1092="",L1092=""),"",IF(AND(F1092="",G1092=""),"✗ 没填金额",IF(AND(N(F1092)&lt;&gt;0,N(G1092)&lt;&gt;0),"✗ 收入、支出只能填一边",IF(NOT(ISNUMBER(B1092)),"✗ 日期不是真日期（要像 2026/9/25 这样填）",IF(OR(B1092&lt;年初日,B1092&gt;年末日),"✗ 日期不在本会计年度",IF(C1092="","✗ 没选账户",IF(COUNTIF(基础资料!$W$5:$W$24,C1092)=0,"✗ 账户不在基础资料里",IF(O1092="","✗ 没选收支项目",IF(P1092="未知","✗ 收支项目不在基础资料里",IF(AND(P1092="应收",J1092=""),"✗ 这笔要选客户",IF(AND(P1092="应收",COUNTIF(总览汇总!$B$5:$B$304,J1092)=0),"✗ 客户不在总览汇总名单里",IF(AND(P1092="应付",K1092=""),"✗ 这笔要选供应商",IF(AND(P1092="应付",COUNTIF(基础资料!$Q$5:$Q$54,K1092)=0),"✗ 供应商不在基础资料里",IF(AND(P1092="费用",L1092=""),"✗ 费用支出要选费用项目",IF(AND(L1092&lt;&gt;"",COUNTIF(基础资料!$AI$5:$AI$54,L1092)=0),"✗ 费用项目不在基础资料里",IF(AND(IFERROR(INDEX(基础资料!$AD$5:$AD$34,MATCH(O1092,基础资料!$AC$5:$AC$34,0)),"")="收",N(G1092)&lt;&gt;0),"✗ 这类是收款，金额填到收入列",IF(AND(IFERROR(INDEX(基础资料!$AD$5:$AD$34,MATCH(O1092,基础资料!$AC$5:$AC$34,0)),"")="支",N(F1092)&lt;&gt;0),"✗ 这类是付款，金额填到支出列",IF(N(H1092)&lt;0,"⚠ 账户余额成负数了，核对一下","√"))))))))))))))))))</f>
      </c>
      <c r="O1092" s="78">
        <f>IF(D1092&lt;&gt;"",D1092,IF(AND(F1092="",G1092=""),"",IF(J1092&lt;&gt;"",IF(N(F1092)&gt;0,"客户回款","客户退款"),IF(K1092&lt;&gt;"",IF(N(G1092)&gt;0,"供应商付款","供应商退款"),IF(L1092&lt;&gt;"","费用支出","")))))</f>
      </c>
      <c r="P1092" s="78">
        <f>IF(O1092="","",IFERROR(INDEX(基础资料!$AE$5:$AE$34,MATCH(O1092,基础资料!$AC$5:$AC$34,0)),"未知"))</f>
      </c>
      <c r="Q1092" s="78">
        <f>IF(P1092="应收",COUNTIF(P$7:P1092,"应收"),"")</f>
      </c>
      <c r="R1092" s="78">
        <f>IF(P1092="应付",COUNTIF(P$7:P1092,"应付"),"")</f>
      </c>
      <c r="S1092" s="78">
        <f>N(F1092)-N(G1092)</f>
        <v>0</v>
      </c>
    </row>
    <row r="1093">
      <c r="A1093" s="109">
        <f>IF(AND(F1093="",G1093=""),"",ROW()-6)</f>
      </c>
      <c r="B1093" s="140" t="n"/>
      <c r="C1093" s="141" t="n"/>
      <c r="D1093" s="141" t="n"/>
      <c r="E1093" s="142" t="n"/>
      <c r="F1093" s="143" t="n"/>
      <c r="G1093" s="144" t="n"/>
      <c r="H1093" s="145">
        <f>IF(OR(C1093="",AND(F1093="",G1093="")),"",SUMIF(基础资料!$W$5:$W$24,C1093,基础资料!$X$5:$X$24)+SUMIF(C$7:C1093,C1093,F$7:F1093)-SUMIF(C$7:C1093,C1093,G$7:G1093))</f>
      </c>
      <c r="I1093" s="145">
        <f>IF(AND(F1093="",G1093=""),"",SUM(基础资料!$X$5:$X$24)+SUM(F$7:F1093)-SUM(G$7:G1093))</f>
      </c>
      <c r="J1093" s="141" t="n"/>
      <c r="K1093" s="141" t="n"/>
      <c r="L1093" s="141" t="n"/>
      <c r="M1093" s="142" t="n"/>
      <c r="N1093" s="146">
        <f>IF(AND(AND(F1093="",G1093=""),B1093="",C1093="",D1093="",J1093="",K1093="",L1093=""),"",IF(AND(F1093="",G1093=""),"✗ 没填金额",IF(AND(N(F1093)&lt;&gt;0,N(G1093)&lt;&gt;0),"✗ 收入、支出只能填一边",IF(NOT(ISNUMBER(B1093)),"✗ 日期不是真日期（要像 2026/9/25 这样填）",IF(OR(B1093&lt;年初日,B1093&gt;年末日),"✗ 日期不在本会计年度",IF(C1093="","✗ 没选账户",IF(COUNTIF(基础资料!$W$5:$W$24,C1093)=0,"✗ 账户不在基础资料里",IF(O1093="","✗ 没选收支项目",IF(P1093="未知","✗ 收支项目不在基础资料里",IF(AND(P1093="应收",J1093=""),"✗ 这笔要选客户",IF(AND(P1093="应收",COUNTIF(总览汇总!$B$5:$B$304,J1093)=0),"✗ 客户不在总览汇总名单里",IF(AND(P1093="应付",K1093=""),"✗ 这笔要选供应商",IF(AND(P1093="应付",COUNTIF(基础资料!$Q$5:$Q$54,K1093)=0),"✗ 供应商不在基础资料里",IF(AND(P1093="费用",L1093=""),"✗ 费用支出要选费用项目",IF(AND(L1093&lt;&gt;"",COUNTIF(基础资料!$AI$5:$AI$54,L1093)=0),"✗ 费用项目不在基础资料里",IF(AND(IFERROR(INDEX(基础资料!$AD$5:$AD$34,MATCH(O1093,基础资料!$AC$5:$AC$34,0)),"")="收",N(G1093)&lt;&gt;0),"✗ 这类是收款，金额填到收入列",IF(AND(IFERROR(INDEX(基础资料!$AD$5:$AD$34,MATCH(O1093,基础资料!$AC$5:$AC$34,0)),"")="支",N(F1093)&lt;&gt;0),"✗ 这类是付款，金额填到支出列",IF(N(H1093)&lt;0,"⚠ 账户余额成负数了，核对一下","√"))))))))))))))))))</f>
      </c>
      <c r="O1093" s="78">
        <f>IF(D1093&lt;&gt;"",D1093,IF(AND(F1093="",G1093=""),"",IF(J1093&lt;&gt;"",IF(N(F1093)&gt;0,"客户回款","客户退款"),IF(K1093&lt;&gt;"",IF(N(G1093)&gt;0,"供应商付款","供应商退款"),IF(L1093&lt;&gt;"","费用支出","")))))</f>
      </c>
      <c r="P1093" s="78">
        <f>IF(O1093="","",IFERROR(INDEX(基础资料!$AE$5:$AE$34,MATCH(O1093,基础资料!$AC$5:$AC$34,0)),"未知"))</f>
      </c>
      <c r="Q1093" s="78">
        <f>IF(P1093="应收",COUNTIF(P$7:P1093,"应收"),"")</f>
      </c>
      <c r="R1093" s="78">
        <f>IF(P1093="应付",COUNTIF(P$7:P1093,"应付"),"")</f>
      </c>
      <c r="S1093" s="78">
        <f>N(F1093)-N(G1093)</f>
        <v>0</v>
      </c>
    </row>
    <row r="1094">
      <c r="A1094" s="109">
        <f>IF(AND(F1094="",G1094=""),"",ROW()-6)</f>
      </c>
      <c r="B1094" s="140" t="n"/>
      <c r="C1094" s="141" t="n"/>
      <c r="D1094" s="141" t="n"/>
      <c r="E1094" s="142" t="n"/>
      <c r="F1094" s="143" t="n"/>
      <c r="G1094" s="144" t="n"/>
      <c r="H1094" s="145">
        <f>IF(OR(C1094="",AND(F1094="",G1094="")),"",SUMIF(基础资料!$W$5:$W$24,C1094,基础资料!$X$5:$X$24)+SUMIF(C$7:C1094,C1094,F$7:F1094)-SUMIF(C$7:C1094,C1094,G$7:G1094))</f>
      </c>
      <c r="I1094" s="145">
        <f>IF(AND(F1094="",G1094=""),"",SUM(基础资料!$X$5:$X$24)+SUM(F$7:F1094)-SUM(G$7:G1094))</f>
      </c>
      <c r="J1094" s="141" t="n"/>
      <c r="K1094" s="141" t="n"/>
      <c r="L1094" s="141" t="n"/>
      <c r="M1094" s="142" t="n"/>
      <c r="N1094" s="146">
        <f>IF(AND(AND(F1094="",G1094=""),B1094="",C1094="",D1094="",J1094="",K1094="",L1094=""),"",IF(AND(F1094="",G1094=""),"✗ 没填金额",IF(AND(N(F1094)&lt;&gt;0,N(G1094)&lt;&gt;0),"✗ 收入、支出只能填一边",IF(NOT(ISNUMBER(B1094)),"✗ 日期不是真日期（要像 2026/9/25 这样填）",IF(OR(B1094&lt;年初日,B1094&gt;年末日),"✗ 日期不在本会计年度",IF(C1094="","✗ 没选账户",IF(COUNTIF(基础资料!$W$5:$W$24,C1094)=0,"✗ 账户不在基础资料里",IF(O1094="","✗ 没选收支项目",IF(P1094="未知","✗ 收支项目不在基础资料里",IF(AND(P1094="应收",J1094=""),"✗ 这笔要选客户",IF(AND(P1094="应收",COUNTIF(总览汇总!$B$5:$B$304,J1094)=0),"✗ 客户不在总览汇总名单里",IF(AND(P1094="应付",K1094=""),"✗ 这笔要选供应商",IF(AND(P1094="应付",COUNTIF(基础资料!$Q$5:$Q$54,K1094)=0),"✗ 供应商不在基础资料里",IF(AND(P1094="费用",L1094=""),"✗ 费用支出要选费用项目",IF(AND(L1094&lt;&gt;"",COUNTIF(基础资料!$AI$5:$AI$54,L1094)=0),"✗ 费用项目不在基础资料里",IF(AND(IFERROR(INDEX(基础资料!$AD$5:$AD$34,MATCH(O1094,基础资料!$AC$5:$AC$34,0)),"")="收",N(G1094)&lt;&gt;0),"✗ 这类是收款，金额填到收入列",IF(AND(IFERROR(INDEX(基础资料!$AD$5:$AD$34,MATCH(O1094,基础资料!$AC$5:$AC$34,0)),"")="支",N(F1094)&lt;&gt;0),"✗ 这类是付款，金额填到支出列",IF(N(H1094)&lt;0,"⚠ 账户余额成负数了，核对一下","√"))))))))))))))))))</f>
      </c>
      <c r="O1094" s="78">
        <f>IF(D1094&lt;&gt;"",D1094,IF(AND(F1094="",G1094=""),"",IF(J1094&lt;&gt;"",IF(N(F1094)&gt;0,"客户回款","客户退款"),IF(K1094&lt;&gt;"",IF(N(G1094)&gt;0,"供应商付款","供应商退款"),IF(L1094&lt;&gt;"","费用支出","")))))</f>
      </c>
      <c r="P1094" s="78">
        <f>IF(O1094="","",IFERROR(INDEX(基础资料!$AE$5:$AE$34,MATCH(O1094,基础资料!$AC$5:$AC$34,0)),"未知"))</f>
      </c>
      <c r="Q1094" s="78">
        <f>IF(P1094="应收",COUNTIF(P$7:P1094,"应收"),"")</f>
      </c>
      <c r="R1094" s="78">
        <f>IF(P1094="应付",COUNTIF(P$7:P1094,"应付"),"")</f>
      </c>
      <c r="S1094" s="78">
        <f>N(F1094)-N(G1094)</f>
        <v>0</v>
      </c>
    </row>
    <row r="1095">
      <c r="A1095" s="109">
        <f>IF(AND(F1095="",G1095=""),"",ROW()-6)</f>
      </c>
      <c r="B1095" s="140" t="n"/>
      <c r="C1095" s="141" t="n"/>
      <c r="D1095" s="141" t="n"/>
      <c r="E1095" s="142" t="n"/>
      <c r="F1095" s="143" t="n"/>
      <c r="G1095" s="144" t="n"/>
      <c r="H1095" s="145">
        <f>IF(OR(C1095="",AND(F1095="",G1095="")),"",SUMIF(基础资料!$W$5:$W$24,C1095,基础资料!$X$5:$X$24)+SUMIF(C$7:C1095,C1095,F$7:F1095)-SUMIF(C$7:C1095,C1095,G$7:G1095))</f>
      </c>
      <c r="I1095" s="145">
        <f>IF(AND(F1095="",G1095=""),"",SUM(基础资料!$X$5:$X$24)+SUM(F$7:F1095)-SUM(G$7:G1095))</f>
      </c>
      <c r="J1095" s="141" t="n"/>
      <c r="K1095" s="141" t="n"/>
      <c r="L1095" s="141" t="n"/>
      <c r="M1095" s="142" t="n"/>
      <c r="N1095" s="146">
        <f>IF(AND(AND(F1095="",G1095=""),B1095="",C1095="",D1095="",J1095="",K1095="",L1095=""),"",IF(AND(F1095="",G1095=""),"✗ 没填金额",IF(AND(N(F1095)&lt;&gt;0,N(G1095)&lt;&gt;0),"✗ 收入、支出只能填一边",IF(NOT(ISNUMBER(B1095)),"✗ 日期不是真日期（要像 2026/9/25 这样填）",IF(OR(B1095&lt;年初日,B1095&gt;年末日),"✗ 日期不在本会计年度",IF(C1095="","✗ 没选账户",IF(COUNTIF(基础资料!$W$5:$W$24,C1095)=0,"✗ 账户不在基础资料里",IF(O1095="","✗ 没选收支项目",IF(P1095="未知","✗ 收支项目不在基础资料里",IF(AND(P1095="应收",J1095=""),"✗ 这笔要选客户",IF(AND(P1095="应收",COUNTIF(总览汇总!$B$5:$B$304,J1095)=0),"✗ 客户不在总览汇总名单里",IF(AND(P1095="应付",K1095=""),"✗ 这笔要选供应商",IF(AND(P1095="应付",COUNTIF(基础资料!$Q$5:$Q$54,K1095)=0),"✗ 供应商不在基础资料里",IF(AND(P1095="费用",L1095=""),"✗ 费用支出要选费用项目",IF(AND(L1095&lt;&gt;"",COUNTIF(基础资料!$AI$5:$AI$54,L1095)=0),"✗ 费用项目不在基础资料里",IF(AND(IFERROR(INDEX(基础资料!$AD$5:$AD$34,MATCH(O1095,基础资料!$AC$5:$AC$34,0)),"")="收",N(G1095)&lt;&gt;0),"✗ 这类是收款，金额填到收入列",IF(AND(IFERROR(INDEX(基础资料!$AD$5:$AD$34,MATCH(O1095,基础资料!$AC$5:$AC$34,0)),"")="支",N(F1095)&lt;&gt;0),"✗ 这类是付款，金额填到支出列",IF(N(H1095)&lt;0,"⚠ 账户余额成负数了，核对一下","√"))))))))))))))))))</f>
      </c>
      <c r="O1095" s="78">
        <f>IF(D1095&lt;&gt;"",D1095,IF(AND(F1095="",G1095=""),"",IF(J1095&lt;&gt;"",IF(N(F1095)&gt;0,"客户回款","客户退款"),IF(K1095&lt;&gt;"",IF(N(G1095)&gt;0,"供应商付款","供应商退款"),IF(L1095&lt;&gt;"","费用支出","")))))</f>
      </c>
      <c r="P1095" s="78">
        <f>IF(O1095="","",IFERROR(INDEX(基础资料!$AE$5:$AE$34,MATCH(O1095,基础资料!$AC$5:$AC$34,0)),"未知"))</f>
      </c>
      <c r="Q1095" s="78">
        <f>IF(P1095="应收",COUNTIF(P$7:P1095,"应收"),"")</f>
      </c>
      <c r="R1095" s="78">
        <f>IF(P1095="应付",COUNTIF(P$7:P1095,"应付"),"")</f>
      </c>
      <c r="S1095" s="78">
        <f>N(F1095)-N(G1095)</f>
        <v>0</v>
      </c>
    </row>
    <row r="1096">
      <c r="A1096" s="109">
        <f>IF(AND(F1096="",G1096=""),"",ROW()-6)</f>
      </c>
      <c r="B1096" s="140" t="n"/>
      <c r="C1096" s="141" t="n"/>
      <c r="D1096" s="141" t="n"/>
      <c r="E1096" s="142" t="n"/>
      <c r="F1096" s="143" t="n"/>
      <c r="G1096" s="144" t="n"/>
      <c r="H1096" s="145">
        <f>IF(OR(C1096="",AND(F1096="",G1096="")),"",SUMIF(基础资料!$W$5:$W$24,C1096,基础资料!$X$5:$X$24)+SUMIF(C$7:C1096,C1096,F$7:F1096)-SUMIF(C$7:C1096,C1096,G$7:G1096))</f>
      </c>
      <c r="I1096" s="145">
        <f>IF(AND(F1096="",G1096=""),"",SUM(基础资料!$X$5:$X$24)+SUM(F$7:F1096)-SUM(G$7:G1096))</f>
      </c>
      <c r="J1096" s="141" t="n"/>
      <c r="K1096" s="141" t="n"/>
      <c r="L1096" s="141" t="n"/>
      <c r="M1096" s="142" t="n"/>
      <c r="N1096" s="146">
        <f>IF(AND(AND(F1096="",G1096=""),B1096="",C1096="",D1096="",J1096="",K1096="",L1096=""),"",IF(AND(F1096="",G1096=""),"✗ 没填金额",IF(AND(N(F1096)&lt;&gt;0,N(G1096)&lt;&gt;0),"✗ 收入、支出只能填一边",IF(NOT(ISNUMBER(B1096)),"✗ 日期不是真日期（要像 2026/9/25 这样填）",IF(OR(B1096&lt;年初日,B1096&gt;年末日),"✗ 日期不在本会计年度",IF(C1096="","✗ 没选账户",IF(COUNTIF(基础资料!$W$5:$W$24,C1096)=0,"✗ 账户不在基础资料里",IF(O1096="","✗ 没选收支项目",IF(P1096="未知","✗ 收支项目不在基础资料里",IF(AND(P1096="应收",J1096=""),"✗ 这笔要选客户",IF(AND(P1096="应收",COUNTIF(总览汇总!$B$5:$B$304,J1096)=0),"✗ 客户不在总览汇总名单里",IF(AND(P1096="应付",K1096=""),"✗ 这笔要选供应商",IF(AND(P1096="应付",COUNTIF(基础资料!$Q$5:$Q$54,K1096)=0),"✗ 供应商不在基础资料里",IF(AND(P1096="费用",L1096=""),"✗ 费用支出要选费用项目",IF(AND(L1096&lt;&gt;"",COUNTIF(基础资料!$AI$5:$AI$54,L1096)=0),"✗ 费用项目不在基础资料里",IF(AND(IFERROR(INDEX(基础资料!$AD$5:$AD$34,MATCH(O1096,基础资料!$AC$5:$AC$34,0)),"")="收",N(G1096)&lt;&gt;0),"✗ 这类是收款，金额填到收入列",IF(AND(IFERROR(INDEX(基础资料!$AD$5:$AD$34,MATCH(O1096,基础资料!$AC$5:$AC$34,0)),"")="支",N(F1096)&lt;&gt;0),"✗ 这类是付款，金额填到支出列",IF(N(H1096)&lt;0,"⚠ 账户余额成负数了，核对一下","√"))))))))))))))))))</f>
      </c>
      <c r="O1096" s="78">
        <f>IF(D1096&lt;&gt;"",D1096,IF(AND(F1096="",G1096=""),"",IF(J1096&lt;&gt;"",IF(N(F1096)&gt;0,"客户回款","客户退款"),IF(K1096&lt;&gt;"",IF(N(G1096)&gt;0,"供应商付款","供应商退款"),IF(L1096&lt;&gt;"","费用支出","")))))</f>
      </c>
      <c r="P1096" s="78">
        <f>IF(O1096="","",IFERROR(INDEX(基础资料!$AE$5:$AE$34,MATCH(O1096,基础资料!$AC$5:$AC$34,0)),"未知"))</f>
      </c>
      <c r="Q1096" s="78">
        <f>IF(P1096="应收",COUNTIF(P$7:P1096,"应收"),"")</f>
      </c>
      <c r="R1096" s="78">
        <f>IF(P1096="应付",COUNTIF(P$7:P1096,"应付"),"")</f>
      </c>
      <c r="S1096" s="78">
        <f>N(F1096)-N(G1096)</f>
        <v>0</v>
      </c>
    </row>
    <row r="1097">
      <c r="A1097" s="109">
        <f>IF(AND(F1097="",G1097=""),"",ROW()-6)</f>
      </c>
      <c r="B1097" s="140" t="n"/>
      <c r="C1097" s="141" t="n"/>
      <c r="D1097" s="141" t="n"/>
      <c r="E1097" s="142" t="n"/>
      <c r="F1097" s="143" t="n"/>
      <c r="G1097" s="144" t="n"/>
      <c r="H1097" s="145">
        <f>IF(OR(C1097="",AND(F1097="",G1097="")),"",SUMIF(基础资料!$W$5:$W$24,C1097,基础资料!$X$5:$X$24)+SUMIF(C$7:C1097,C1097,F$7:F1097)-SUMIF(C$7:C1097,C1097,G$7:G1097))</f>
      </c>
      <c r="I1097" s="145">
        <f>IF(AND(F1097="",G1097=""),"",SUM(基础资料!$X$5:$X$24)+SUM(F$7:F1097)-SUM(G$7:G1097))</f>
      </c>
      <c r="J1097" s="141" t="n"/>
      <c r="K1097" s="141" t="n"/>
      <c r="L1097" s="141" t="n"/>
      <c r="M1097" s="142" t="n"/>
      <c r="N1097" s="146">
        <f>IF(AND(AND(F1097="",G1097=""),B1097="",C1097="",D1097="",J1097="",K1097="",L1097=""),"",IF(AND(F1097="",G1097=""),"✗ 没填金额",IF(AND(N(F1097)&lt;&gt;0,N(G1097)&lt;&gt;0),"✗ 收入、支出只能填一边",IF(NOT(ISNUMBER(B1097)),"✗ 日期不是真日期（要像 2026/9/25 这样填）",IF(OR(B1097&lt;年初日,B1097&gt;年末日),"✗ 日期不在本会计年度",IF(C1097="","✗ 没选账户",IF(COUNTIF(基础资料!$W$5:$W$24,C1097)=0,"✗ 账户不在基础资料里",IF(O1097="","✗ 没选收支项目",IF(P1097="未知","✗ 收支项目不在基础资料里",IF(AND(P1097="应收",J1097=""),"✗ 这笔要选客户",IF(AND(P1097="应收",COUNTIF(总览汇总!$B$5:$B$304,J1097)=0),"✗ 客户不在总览汇总名单里",IF(AND(P1097="应付",K1097=""),"✗ 这笔要选供应商",IF(AND(P1097="应付",COUNTIF(基础资料!$Q$5:$Q$54,K1097)=0),"✗ 供应商不在基础资料里",IF(AND(P1097="费用",L1097=""),"✗ 费用支出要选费用项目",IF(AND(L1097&lt;&gt;"",COUNTIF(基础资料!$AI$5:$AI$54,L1097)=0),"✗ 费用项目不在基础资料里",IF(AND(IFERROR(INDEX(基础资料!$AD$5:$AD$34,MATCH(O1097,基础资料!$AC$5:$AC$34,0)),"")="收",N(G1097)&lt;&gt;0),"✗ 这类是收款，金额填到收入列",IF(AND(IFERROR(INDEX(基础资料!$AD$5:$AD$34,MATCH(O1097,基础资料!$AC$5:$AC$34,0)),"")="支",N(F1097)&lt;&gt;0),"✗ 这类是付款，金额填到支出列",IF(N(H1097)&lt;0,"⚠ 账户余额成负数了，核对一下","√"))))))))))))))))))</f>
      </c>
      <c r="O1097" s="78">
        <f>IF(D1097&lt;&gt;"",D1097,IF(AND(F1097="",G1097=""),"",IF(J1097&lt;&gt;"",IF(N(F1097)&gt;0,"客户回款","客户退款"),IF(K1097&lt;&gt;"",IF(N(G1097)&gt;0,"供应商付款","供应商退款"),IF(L1097&lt;&gt;"","费用支出","")))))</f>
      </c>
      <c r="P1097" s="78">
        <f>IF(O1097="","",IFERROR(INDEX(基础资料!$AE$5:$AE$34,MATCH(O1097,基础资料!$AC$5:$AC$34,0)),"未知"))</f>
      </c>
      <c r="Q1097" s="78">
        <f>IF(P1097="应收",COUNTIF(P$7:P1097,"应收"),"")</f>
      </c>
      <c r="R1097" s="78">
        <f>IF(P1097="应付",COUNTIF(P$7:P1097,"应付"),"")</f>
      </c>
      <c r="S1097" s="78">
        <f>N(F1097)-N(G1097)</f>
        <v>0</v>
      </c>
    </row>
    <row r="1098">
      <c r="A1098" s="109">
        <f>IF(AND(F1098="",G1098=""),"",ROW()-6)</f>
      </c>
      <c r="B1098" s="140" t="n"/>
      <c r="C1098" s="141" t="n"/>
      <c r="D1098" s="141" t="n"/>
      <c r="E1098" s="142" t="n"/>
      <c r="F1098" s="143" t="n"/>
      <c r="G1098" s="144" t="n"/>
      <c r="H1098" s="145">
        <f>IF(OR(C1098="",AND(F1098="",G1098="")),"",SUMIF(基础资料!$W$5:$W$24,C1098,基础资料!$X$5:$X$24)+SUMIF(C$7:C1098,C1098,F$7:F1098)-SUMIF(C$7:C1098,C1098,G$7:G1098))</f>
      </c>
      <c r="I1098" s="145">
        <f>IF(AND(F1098="",G1098=""),"",SUM(基础资料!$X$5:$X$24)+SUM(F$7:F1098)-SUM(G$7:G1098))</f>
      </c>
      <c r="J1098" s="141" t="n"/>
      <c r="K1098" s="141" t="n"/>
      <c r="L1098" s="141" t="n"/>
      <c r="M1098" s="142" t="n"/>
      <c r="N1098" s="146">
        <f>IF(AND(AND(F1098="",G1098=""),B1098="",C1098="",D1098="",J1098="",K1098="",L1098=""),"",IF(AND(F1098="",G1098=""),"✗ 没填金额",IF(AND(N(F1098)&lt;&gt;0,N(G1098)&lt;&gt;0),"✗ 收入、支出只能填一边",IF(NOT(ISNUMBER(B1098)),"✗ 日期不是真日期（要像 2026/9/25 这样填）",IF(OR(B1098&lt;年初日,B1098&gt;年末日),"✗ 日期不在本会计年度",IF(C1098="","✗ 没选账户",IF(COUNTIF(基础资料!$W$5:$W$24,C1098)=0,"✗ 账户不在基础资料里",IF(O1098="","✗ 没选收支项目",IF(P1098="未知","✗ 收支项目不在基础资料里",IF(AND(P1098="应收",J1098=""),"✗ 这笔要选客户",IF(AND(P1098="应收",COUNTIF(总览汇总!$B$5:$B$304,J1098)=0),"✗ 客户不在总览汇总名单里",IF(AND(P1098="应付",K1098=""),"✗ 这笔要选供应商",IF(AND(P1098="应付",COUNTIF(基础资料!$Q$5:$Q$54,K1098)=0),"✗ 供应商不在基础资料里",IF(AND(P1098="费用",L1098=""),"✗ 费用支出要选费用项目",IF(AND(L1098&lt;&gt;"",COUNTIF(基础资料!$AI$5:$AI$54,L1098)=0),"✗ 费用项目不在基础资料里",IF(AND(IFERROR(INDEX(基础资料!$AD$5:$AD$34,MATCH(O1098,基础资料!$AC$5:$AC$34,0)),"")="收",N(G1098)&lt;&gt;0),"✗ 这类是收款，金额填到收入列",IF(AND(IFERROR(INDEX(基础资料!$AD$5:$AD$34,MATCH(O1098,基础资料!$AC$5:$AC$34,0)),"")="支",N(F1098)&lt;&gt;0),"✗ 这类是付款，金额填到支出列",IF(N(H1098)&lt;0,"⚠ 账户余额成负数了，核对一下","√"))))))))))))))))))</f>
      </c>
      <c r="O1098" s="78">
        <f>IF(D1098&lt;&gt;"",D1098,IF(AND(F1098="",G1098=""),"",IF(J1098&lt;&gt;"",IF(N(F1098)&gt;0,"客户回款","客户退款"),IF(K1098&lt;&gt;"",IF(N(G1098)&gt;0,"供应商付款","供应商退款"),IF(L1098&lt;&gt;"","费用支出","")))))</f>
      </c>
      <c r="P1098" s="78">
        <f>IF(O1098="","",IFERROR(INDEX(基础资料!$AE$5:$AE$34,MATCH(O1098,基础资料!$AC$5:$AC$34,0)),"未知"))</f>
      </c>
      <c r="Q1098" s="78">
        <f>IF(P1098="应收",COUNTIF(P$7:P1098,"应收"),"")</f>
      </c>
      <c r="R1098" s="78">
        <f>IF(P1098="应付",COUNTIF(P$7:P1098,"应付"),"")</f>
      </c>
      <c r="S1098" s="78">
        <f>N(F1098)-N(G1098)</f>
        <v>0</v>
      </c>
    </row>
    <row r="1099">
      <c r="A1099" s="109">
        <f>IF(AND(F1099="",G1099=""),"",ROW()-6)</f>
      </c>
      <c r="B1099" s="140" t="n"/>
      <c r="C1099" s="141" t="n"/>
      <c r="D1099" s="141" t="n"/>
      <c r="E1099" s="142" t="n"/>
      <c r="F1099" s="143" t="n"/>
      <c r="G1099" s="144" t="n"/>
      <c r="H1099" s="145">
        <f>IF(OR(C1099="",AND(F1099="",G1099="")),"",SUMIF(基础资料!$W$5:$W$24,C1099,基础资料!$X$5:$X$24)+SUMIF(C$7:C1099,C1099,F$7:F1099)-SUMIF(C$7:C1099,C1099,G$7:G1099))</f>
      </c>
      <c r="I1099" s="145">
        <f>IF(AND(F1099="",G1099=""),"",SUM(基础资料!$X$5:$X$24)+SUM(F$7:F1099)-SUM(G$7:G1099))</f>
      </c>
      <c r="J1099" s="141" t="n"/>
      <c r="K1099" s="141" t="n"/>
      <c r="L1099" s="141" t="n"/>
      <c r="M1099" s="142" t="n"/>
      <c r="N1099" s="146">
        <f>IF(AND(AND(F1099="",G1099=""),B1099="",C1099="",D1099="",J1099="",K1099="",L1099=""),"",IF(AND(F1099="",G1099=""),"✗ 没填金额",IF(AND(N(F1099)&lt;&gt;0,N(G1099)&lt;&gt;0),"✗ 收入、支出只能填一边",IF(NOT(ISNUMBER(B1099)),"✗ 日期不是真日期（要像 2026/9/25 这样填）",IF(OR(B1099&lt;年初日,B1099&gt;年末日),"✗ 日期不在本会计年度",IF(C1099="","✗ 没选账户",IF(COUNTIF(基础资料!$W$5:$W$24,C1099)=0,"✗ 账户不在基础资料里",IF(O1099="","✗ 没选收支项目",IF(P1099="未知","✗ 收支项目不在基础资料里",IF(AND(P1099="应收",J1099=""),"✗ 这笔要选客户",IF(AND(P1099="应收",COUNTIF(总览汇总!$B$5:$B$304,J1099)=0),"✗ 客户不在总览汇总名单里",IF(AND(P1099="应付",K1099=""),"✗ 这笔要选供应商",IF(AND(P1099="应付",COUNTIF(基础资料!$Q$5:$Q$54,K1099)=0),"✗ 供应商不在基础资料里",IF(AND(P1099="费用",L1099=""),"✗ 费用支出要选费用项目",IF(AND(L1099&lt;&gt;"",COUNTIF(基础资料!$AI$5:$AI$54,L1099)=0),"✗ 费用项目不在基础资料里",IF(AND(IFERROR(INDEX(基础资料!$AD$5:$AD$34,MATCH(O1099,基础资料!$AC$5:$AC$34,0)),"")="收",N(G1099)&lt;&gt;0),"✗ 这类是收款，金额填到收入列",IF(AND(IFERROR(INDEX(基础资料!$AD$5:$AD$34,MATCH(O1099,基础资料!$AC$5:$AC$34,0)),"")="支",N(F1099)&lt;&gt;0),"✗ 这类是付款，金额填到支出列",IF(N(H1099)&lt;0,"⚠ 账户余额成负数了，核对一下","√"))))))))))))))))))</f>
      </c>
      <c r="O1099" s="78">
        <f>IF(D1099&lt;&gt;"",D1099,IF(AND(F1099="",G1099=""),"",IF(J1099&lt;&gt;"",IF(N(F1099)&gt;0,"客户回款","客户退款"),IF(K1099&lt;&gt;"",IF(N(G1099)&gt;0,"供应商付款","供应商退款"),IF(L1099&lt;&gt;"","费用支出","")))))</f>
      </c>
      <c r="P1099" s="78">
        <f>IF(O1099="","",IFERROR(INDEX(基础资料!$AE$5:$AE$34,MATCH(O1099,基础资料!$AC$5:$AC$34,0)),"未知"))</f>
      </c>
      <c r="Q1099" s="78">
        <f>IF(P1099="应收",COUNTIF(P$7:P1099,"应收"),"")</f>
      </c>
      <c r="R1099" s="78">
        <f>IF(P1099="应付",COUNTIF(P$7:P1099,"应付"),"")</f>
      </c>
      <c r="S1099" s="78">
        <f>N(F1099)-N(G1099)</f>
        <v>0</v>
      </c>
    </row>
    <row r="1100">
      <c r="A1100" s="109">
        <f>IF(AND(F1100="",G1100=""),"",ROW()-6)</f>
      </c>
      <c r="B1100" s="140" t="n"/>
      <c r="C1100" s="141" t="n"/>
      <c r="D1100" s="141" t="n"/>
      <c r="E1100" s="142" t="n"/>
      <c r="F1100" s="143" t="n"/>
      <c r="G1100" s="144" t="n"/>
      <c r="H1100" s="145">
        <f>IF(OR(C1100="",AND(F1100="",G1100="")),"",SUMIF(基础资料!$W$5:$W$24,C1100,基础资料!$X$5:$X$24)+SUMIF(C$7:C1100,C1100,F$7:F1100)-SUMIF(C$7:C1100,C1100,G$7:G1100))</f>
      </c>
      <c r="I1100" s="145">
        <f>IF(AND(F1100="",G1100=""),"",SUM(基础资料!$X$5:$X$24)+SUM(F$7:F1100)-SUM(G$7:G1100))</f>
      </c>
      <c r="J1100" s="141" t="n"/>
      <c r="K1100" s="141" t="n"/>
      <c r="L1100" s="141" t="n"/>
      <c r="M1100" s="142" t="n"/>
      <c r="N1100" s="146">
        <f>IF(AND(AND(F1100="",G1100=""),B1100="",C1100="",D1100="",J1100="",K1100="",L1100=""),"",IF(AND(F1100="",G1100=""),"✗ 没填金额",IF(AND(N(F1100)&lt;&gt;0,N(G1100)&lt;&gt;0),"✗ 收入、支出只能填一边",IF(NOT(ISNUMBER(B1100)),"✗ 日期不是真日期（要像 2026/9/25 这样填）",IF(OR(B1100&lt;年初日,B1100&gt;年末日),"✗ 日期不在本会计年度",IF(C1100="","✗ 没选账户",IF(COUNTIF(基础资料!$W$5:$W$24,C1100)=0,"✗ 账户不在基础资料里",IF(O1100="","✗ 没选收支项目",IF(P1100="未知","✗ 收支项目不在基础资料里",IF(AND(P1100="应收",J1100=""),"✗ 这笔要选客户",IF(AND(P1100="应收",COUNTIF(总览汇总!$B$5:$B$304,J1100)=0),"✗ 客户不在总览汇总名单里",IF(AND(P1100="应付",K1100=""),"✗ 这笔要选供应商",IF(AND(P1100="应付",COUNTIF(基础资料!$Q$5:$Q$54,K1100)=0),"✗ 供应商不在基础资料里",IF(AND(P1100="费用",L1100=""),"✗ 费用支出要选费用项目",IF(AND(L1100&lt;&gt;"",COUNTIF(基础资料!$AI$5:$AI$54,L1100)=0),"✗ 费用项目不在基础资料里",IF(AND(IFERROR(INDEX(基础资料!$AD$5:$AD$34,MATCH(O1100,基础资料!$AC$5:$AC$34,0)),"")="收",N(G1100)&lt;&gt;0),"✗ 这类是收款，金额填到收入列",IF(AND(IFERROR(INDEX(基础资料!$AD$5:$AD$34,MATCH(O1100,基础资料!$AC$5:$AC$34,0)),"")="支",N(F1100)&lt;&gt;0),"✗ 这类是付款，金额填到支出列",IF(N(H1100)&lt;0,"⚠ 账户余额成负数了，核对一下","√"))))))))))))))))))</f>
      </c>
      <c r="O1100" s="78">
        <f>IF(D1100&lt;&gt;"",D1100,IF(AND(F1100="",G1100=""),"",IF(J1100&lt;&gt;"",IF(N(F1100)&gt;0,"客户回款","客户退款"),IF(K1100&lt;&gt;"",IF(N(G1100)&gt;0,"供应商付款","供应商退款"),IF(L1100&lt;&gt;"","费用支出","")))))</f>
      </c>
      <c r="P1100" s="78">
        <f>IF(O1100="","",IFERROR(INDEX(基础资料!$AE$5:$AE$34,MATCH(O1100,基础资料!$AC$5:$AC$34,0)),"未知"))</f>
      </c>
      <c r="Q1100" s="78">
        <f>IF(P1100="应收",COUNTIF(P$7:P1100,"应收"),"")</f>
      </c>
      <c r="R1100" s="78">
        <f>IF(P1100="应付",COUNTIF(P$7:P1100,"应付"),"")</f>
      </c>
      <c r="S1100" s="78">
        <f>N(F1100)-N(G1100)</f>
        <v>0</v>
      </c>
    </row>
    <row r="1101">
      <c r="A1101" s="109">
        <f>IF(AND(F1101="",G1101=""),"",ROW()-6)</f>
      </c>
      <c r="B1101" s="140" t="n"/>
      <c r="C1101" s="141" t="n"/>
      <c r="D1101" s="141" t="n"/>
      <c r="E1101" s="142" t="n"/>
      <c r="F1101" s="143" t="n"/>
      <c r="G1101" s="144" t="n"/>
      <c r="H1101" s="145">
        <f>IF(OR(C1101="",AND(F1101="",G1101="")),"",SUMIF(基础资料!$W$5:$W$24,C1101,基础资料!$X$5:$X$24)+SUMIF(C$7:C1101,C1101,F$7:F1101)-SUMIF(C$7:C1101,C1101,G$7:G1101))</f>
      </c>
      <c r="I1101" s="145">
        <f>IF(AND(F1101="",G1101=""),"",SUM(基础资料!$X$5:$X$24)+SUM(F$7:F1101)-SUM(G$7:G1101))</f>
      </c>
      <c r="J1101" s="141" t="n"/>
      <c r="K1101" s="141" t="n"/>
      <c r="L1101" s="141" t="n"/>
      <c r="M1101" s="142" t="n"/>
      <c r="N1101" s="146">
        <f>IF(AND(AND(F1101="",G1101=""),B1101="",C1101="",D1101="",J1101="",K1101="",L1101=""),"",IF(AND(F1101="",G1101=""),"✗ 没填金额",IF(AND(N(F1101)&lt;&gt;0,N(G1101)&lt;&gt;0),"✗ 收入、支出只能填一边",IF(NOT(ISNUMBER(B1101)),"✗ 日期不是真日期（要像 2026/9/25 这样填）",IF(OR(B1101&lt;年初日,B1101&gt;年末日),"✗ 日期不在本会计年度",IF(C1101="","✗ 没选账户",IF(COUNTIF(基础资料!$W$5:$W$24,C1101)=0,"✗ 账户不在基础资料里",IF(O1101="","✗ 没选收支项目",IF(P1101="未知","✗ 收支项目不在基础资料里",IF(AND(P1101="应收",J1101=""),"✗ 这笔要选客户",IF(AND(P1101="应收",COUNTIF(总览汇总!$B$5:$B$304,J1101)=0),"✗ 客户不在总览汇总名单里",IF(AND(P1101="应付",K1101=""),"✗ 这笔要选供应商",IF(AND(P1101="应付",COUNTIF(基础资料!$Q$5:$Q$54,K1101)=0),"✗ 供应商不在基础资料里",IF(AND(P1101="费用",L1101=""),"✗ 费用支出要选费用项目",IF(AND(L1101&lt;&gt;"",COUNTIF(基础资料!$AI$5:$AI$54,L1101)=0),"✗ 费用项目不在基础资料里",IF(AND(IFERROR(INDEX(基础资料!$AD$5:$AD$34,MATCH(O1101,基础资料!$AC$5:$AC$34,0)),"")="收",N(G1101)&lt;&gt;0),"✗ 这类是收款，金额填到收入列",IF(AND(IFERROR(INDEX(基础资料!$AD$5:$AD$34,MATCH(O1101,基础资料!$AC$5:$AC$34,0)),"")="支",N(F1101)&lt;&gt;0),"✗ 这类是付款，金额填到支出列",IF(N(H1101)&lt;0,"⚠ 账户余额成负数了，核对一下","√"))))))))))))))))))</f>
      </c>
      <c r="O1101" s="78">
        <f>IF(D1101&lt;&gt;"",D1101,IF(AND(F1101="",G1101=""),"",IF(J1101&lt;&gt;"",IF(N(F1101)&gt;0,"客户回款","客户退款"),IF(K1101&lt;&gt;"",IF(N(G1101)&gt;0,"供应商付款","供应商退款"),IF(L1101&lt;&gt;"","费用支出","")))))</f>
      </c>
      <c r="P1101" s="78">
        <f>IF(O1101="","",IFERROR(INDEX(基础资料!$AE$5:$AE$34,MATCH(O1101,基础资料!$AC$5:$AC$34,0)),"未知"))</f>
      </c>
      <c r="Q1101" s="78">
        <f>IF(P1101="应收",COUNTIF(P$7:P1101,"应收"),"")</f>
      </c>
      <c r="R1101" s="78">
        <f>IF(P1101="应付",COUNTIF(P$7:P1101,"应付"),"")</f>
      </c>
      <c r="S1101" s="78">
        <f>N(F1101)-N(G1101)</f>
        <v>0</v>
      </c>
    </row>
    <row r="1102">
      <c r="A1102" s="109">
        <f>IF(AND(F1102="",G1102=""),"",ROW()-6)</f>
      </c>
      <c r="B1102" s="140" t="n"/>
      <c r="C1102" s="141" t="n"/>
      <c r="D1102" s="141" t="n"/>
      <c r="E1102" s="142" t="n"/>
      <c r="F1102" s="143" t="n"/>
      <c r="G1102" s="144" t="n"/>
      <c r="H1102" s="145">
        <f>IF(OR(C1102="",AND(F1102="",G1102="")),"",SUMIF(基础资料!$W$5:$W$24,C1102,基础资料!$X$5:$X$24)+SUMIF(C$7:C1102,C1102,F$7:F1102)-SUMIF(C$7:C1102,C1102,G$7:G1102))</f>
      </c>
      <c r="I1102" s="145">
        <f>IF(AND(F1102="",G1102=""),"",SUM(基础资料!$X$5:$X$24)+SUM(F$7:F1102)-SUM(G$7:G1102))</f>
      </c>
      <c r="J1102" s="141" t="n"/>
      <c r="K1102" s="141" t="n"/>
      <c r="L1102" s="141" t="n"/>
      <c r="M1102" s="142" t="n"/>
      <c r="N1102" s="146">
        <f>IF(AND(AND(F1102="",G1102=""),B1102="",C1102="",D1102="",J1102="",K1102="",L1102=""),"",IF(AND(F1102="",G1102=""),"✗ 没填金额",IF(AND(N(F1102)&lt;&gt;0,N(G1102)&lt;&gt;0),"✗ 收入、支出只能填一边",IF(NOT(ISNUMBER(B1102)),"✗ 日期不是真日期（要像 2026/9/25 这样填）",IF(OR(B1102&lt;年初日,B1102&gt;年末日),"✗ 日期不在本会计年度",IF(C1102="","✗ 没选账户",IF(COUNTIF(基础资料!$W$5:$W$24,C1102)=0,"✗ 账户不在基础资料里",IF(O1102="","✗ 没选收支项目",IF(P1102="未知","✗ 收支项目不在基础资料里",IF(AND(P1102="应收",J1102=""),"✗ 这笔要选客户",IF(AND(P1102="应收",COUNTIF(总览汇总!$B$5:$B$304,J1102)=0),"✗ 客户不在总览汇总名单里",IF(AND(P1102="应付",K1102=""),"✗ 这笔要选供应商",IF(AND(P1102="应付",COUNTIF(基础资料!$Q$5:$Q$54,K1102)=0),"✗ 供应商不在基础资料里",IF(AND(P1102="费用",L1102=""),"✗ 费用支出要选费用项目",IF(AND(L1102&lt;&gt;"",COUNTIF(基础资料!$AI$5:$AI$54,L1102)=0),"✗ 费用项目不在基础资料里",IF(AND(IFERROR(INDEX(基础资料!$AD$5:$AD$34,MATCH(O1102,基础资料!$AC$5:$AC$34,0)),"")="收",N(G1102)&lt;&gt;0),"✗ 这类是收款，金额填到收入列",IF(AND(IFERROR(INDEX(基础资料!$AD$5:$AD$34,MATCH(O1102,基础资料!$AC$5:$AC$34,0)),"")="支",N(F1102)&lt;&gt;0),"✗ 这类是付款，金额填到支出列",IF(N(H1102)&lt;0,"⚠ 账户余额成负数了，核对一下","√"))))))))))))))))))</f>
      </c>
      <c r="O1102" s="78">
        <f>IF(D1102&lt;&gt;"",D1102,IF(AND(F1102="",G1102=""),"",IF(J1102&lt;&gt;"",IF(N(F1102)&gt;0,"客户回款","客户退款"),IF(K1102&lt;&gt;"",IF(N(G1102)&gt;0,"供应商付款","供应商退款"),IF(L1102&lt;&gt;"","费用支出","")))))</f>
      </c>
      <c r="P1102" s="78">
        <f>IF(O1102="","",IFERROR(INDEX(基础资料!$AE$5:$AE$34,MATCH(O1102,基础资料!$AC$5:$AC$34,0)),"未知"))</f>
      </c>
      <c r="Q1102" s="78">
        <f>IF(P1102="应收",COUNTIF(P$7:P1102,"应收"),"")</f>
      </c>
      <c r="R1102" s="78">
        <f>IF(P1102="应付",COUNTIF(P$7:P1102,"应付"),"")</f>
      </c>
      <c r="S1102" s="78">
        <f>N(F1102)-N(G1102)</f>
        <v>0</v>
      </c>
    </row>
    <row r="1103">
      <c r="A1103" s="109">
        <f>IF(AND(F1103="",G1103=""),"",ROW()-6)</f>
      </c>
      <c r="B1103" s="140" t="n"/>
      <c r="C1103" s="141" t="n"/>
      <c r="D1103" s="141" t="n"/>
      <c r="E1103" s="142" t="n"/>
      <c r="F1103" s="143" t="n"/>
      <c r="G1103" s="144" t="n"/>
      <c r="H1103" s="145">
        <f>IF(OR(C1103="",AND(F1103="",G1103="")),"",SUMIF(基础资料!$W$5:$W$24,C1103,基础资料!$X$5:$X$24)+SUMIF(C$7:C1103,C1103,F$7:F1103)-SUMIF(C$7:C1103,C1103,G$7:G1103))</f>
      </c>
      <c r="I1103" s="145">
        <f>IF(AND(F1103="",G1103=""),"",SUM(基础资料!$X$5:$X$24)+SUM(F$7:F1103)-SUM(G$7:G1103))</f>
      </c>
      <c r="J1103" s="141" t="n"/>
      <c r="K1103" s="141" t="n"/>
      <c r="L1103" s="141" t="n"/>
      <c r="M1103" s="142" t="n"/>
      <c r="N1103" s="146">
        <f>IF(AND(AND(F1103="",G1103=""),B1103="",C1103="",D1103="",J1103="",K1103="",L1103=""),"",IF(AND(F1103="",G1103=""),"✗ 没填金额",IF(AND(N(F1103)&lt;&gt;0,N(G1103)&lt;&gt;0),"✗ 收入、支出只能填一边",IF(NOT(ISNUMBER(B1103)),"✗ 日期不是真日期（要像 2026/9/25 这样填）",IF(OR(B1103&lt;年初日,B1103&gt;年末日),"✗ 日期不在本会计年度",IF(C1103="","✗ 没选账户",IF(COUNTIF(基础资料!$W$5:$W$24,C1103)=0,"✗ 账户不在基础资料里",IF(O1103="","✗ 没选收支项目",IF(P1103="未知","✗ 收支项目不在基础资料里",IF(AND(P1103="应收",J1103=""),"✗ 这笔要选客户",IF(AND(P1103="应收",COUNTIF(总览汇总!$B$5:$B$304,J1103)=0),"✗ 客户不在总览汇总名单里",IF(AND(P1103="应付",K1103=""),"✗ 这笔要选供应商",IF(AND(P1103="应付",COUNTIF(基础资料!$Q$5:$Q$54,K1103)=0),"✗ 供应商不在基础资料里",IF(AND(P1103="费用",L1103=""),"✗ 费用支出要选费用项目",IF(AND(L1103&lt;&gt;"",COUNTIF(基础资料!$AI$5:$AI$54,L1103)=0),"✗ 费用项目不在基础资料里",IF(AND(IFERROR(INDEX(基础资料!$AD$5:$AD$34,MATCH(O1103,基础资料!$AC$5:$AC$34,0)),"")="收",N(G1103)&lt;&gt;0),"✗ 这类是收款，金额填到收入列",IF(AND(IFERROR(INDEX(基础资料!$AD$5:$AD$34,MATCH(O1103,基础资料!$AC$5:$AC$34,0)),"")="支",N(F1103)&lt;&gt;0),"✗ 这类是付款，金额填到支出列",IF(N(H1103)&lt;0,"⚠ 账户余额成负数了，核对一下","√"))))))))))))))))))</f>
      </c>
      <c r="O1103" s="78">
        <f>IF(D1103&lt;&gt;"",D1103,IF(AND(F1103="",G1103=""),"",IF(J1103&lt;&gt;"",IF(N(F1103)&gt;0,"客户回款","客户退款"),IF(K1103&lt;&gt;"",IF(N(G1103)&gt;0,"供应商付款","供应商退款"),IF(L1103&lt;&gt;"","费用支出","")))))</f>
      </c>
      <c r="P1103" s="78">
        <f>IF(O1103="","",IFERROR(INDEX(基础资料!$AE$5:$AE$34,MATCH(O1103,基础资料!$AC$5:$AC$34,0)),"未知"))</f>
      </c>
      <c r="Q1103" s="78">
        <f>IF(P1103="应收",COUNTIF(P$7:P1103,"应收"),"")</f>
      </c>
      <c r="R1103" s="78">
        <f>IF(P1103="应付",COUNTIF(P$7:P1103,"应付"),"")</f>
      </c>
      <c r="S1103" s="78">
        <f>N(F1103)-N(G1103)</f>
        <v>0</v>
      </c>
    </row>
    <row r="1104">
      <c r="A1104" s="109">
        <f>IF(AND(F1104="",G1104=""),"",ROW()-6)</f>
      </c>
      <c r="B1104" s="140" t="n"/>
      <c r="C1104" s="141" t="n"/>
      <c r="D1104" s="141" t="n"/>
      <c r="E1104" s="142" t="n"/>
      <c r="F1104" s="143" t="n"/>
      <c r="G1104" s="144" t="n"/>
      <c r="H1104" s="145">
        <f>IF(OR(C1104="",AND(F1104="",G1104="")),"",SUMIF(基础资料!$W$5:$W$24,C1104,基础资料!$X$5:$X$24)+SUMIF(C$7:C1104,C1104,F$7:F1104)-SUMIF(C$7:C1104,C1104,G$7:G1104))</f>
      </c>
      <c r="I1104" s="145">
        <f>IF(AND(F1104="",G1104=""),"",SUM(基础资料!$X$5:$X$24)+SUM(F$7:F1104)-SUM(G$7:G1104))</f>
      </c>
      <c r="J1104" s="141" t="n"/>
      <c r="K1104" s="141" t="n"/>
      <c r="L1104" s="141" t="n"/>
      <c r="M1104" s="142" t="n"/>
      <c r="N1104" s="146">
        <f>IF(AND(AND(F1104="",G1104=""),B1104="",C1104="",D1104="",J1104="",K1104="",L1104=""),"",IF(AND(F1104="",G1104=""),"✗ 没填金额",IF(AND(N(F1104)&lt;&gt;0,N(G1104)&lt;&gt;0),"✗ 收入、支出只能填一边",IF(NOT(ISNUMBER(B1104)),"✗ 日期不是真日期（要像 2026/9/25 这样填）",IF(OR(B1104&lt;年初日,B1104&gt;年末日),"✗ 日期不在本会计年度",IF(C1104="","✗ 没选账户",IF(COUNTIF(基础资料!$W$5:$W$24,C1104)=0,"✗ 账户不在基础资料里",IF(O1104="","✗ 没选收支项目",IF(P1104="未知","✗ 收支项目不在基础资料里",IF(AND(P1104="应收",J1104=""),"✗ 这笔要选客户",IF(AND(P1104="应收",COUNTIF(总览汇总!$B$5:$B$304,J1104)=0),"✗ 客户不在总览汇总名单里",IF(AND(P1104="应付",K1104=""),"✗ 这笔要选供应商",IF(AND(P1104="应付",COUNTIF(基础资料!$Q$5:$Q$54,K1104)=0),"✗ 供应商不在基础资料里",IF(AND(P1104="费用",L1104=""),"✗ 费用支出要选费用项目",IF(AND(L1104&lt;&gt;"",COUNTIF(基础资料!$AI$5:$AI$54,L1104)=0),"✗ 费用项目不在基础资料里",IF(AND(IFERROR(INDEX(基础资料!$AD$5:$AD$34,MATCH(O1104,基础资料!$AC$5:$AC$34,0)),"")="收",N(G1104)&lt;&gt;0),"✗ 这类是收款，金额填到收入列",IF(AND(IFERROR(INDEX(基础资料!$AD$5:$AD$34,MATCH(O1104,基础资料!$AC$5:$AC$34,0)),"")="支",N(F1104)&lt;&gt;0),"✗ 这类是付款，金额填到支出列",IF(N(H1104)&lt;0,"⚠ 账户余额成负数了，核对一下","√"))))))))))))))))))</f>
      </c>
      <c r="O1104" s="78">
        <f>IF(D1104&lt;&gt;"",D1104,IF(AND(F1104="",G1104=""),"",IF(J1104&lt;&gt;"",IF(N(F1104)&gt;0,"客户回款","客户退款"),IF(K1104&lt;&gt;"",IF(N(G1104)&gt;0,"供应商付款","供应商退款"),IF(L1104&lt;&gt;"","费用支出","")))))</f>
      </c>
      <c r="P1104" s="78">
        <f>IF(O1104="","",IFERROR(INDEX(基础资料!$AE$5:$AE$34,MATCH(O1104,基础资料!$AC$5:$AC$34,0)),"未知"))</f>
      </c>
      <c r="Q1104" s="78">
        <f>IF(P1104="应收",COUNTIF(P$7:P1104,"应收"),"")</f>
      </c>
      <c r="R1104" s="78">
        <f>IF(P1104="应付",COUNTIF(P$7:P1104,"应付"),"")</f>
      </c>
      <c r="S1104" s="78">
        <f>N(F1104)-N(G1104)</f>
        <v>0</v>
      </c>
    </row>
    <row r="1105">
      <c r="A1105" s="109">
        <f>IF(AND(F1105="",G1105=""),"",ROW()-6)</f>
      </c>
      <c r="B1105" s="140" t="n"/>
      <c r="C1105" s="141" t="n"/>
      <c r="D1105" s="141" t="n"/>
      <c r="E1105" s="142" t="n"/>
      <c r="F1105" s="143" t="n"/>
      <c r="G1105" s="144" t="n"/>
      <c r="H1105" s="145">
        <f>IF(OR(C1105="",AND(F1105="",G1105="")),"",SUMIF(基础资料!$W$5:$W$24,C1105,基础资料!$X$5:$X$24)+SUMIF(C$7:C1105,C1105,F$7:F1105)-SUMIF(C$7:C1105,C1105,G$7:G1105))</f>
      </c>
      <c r="I1105" s="145">
        <f>IF(AND(F1105="",G1105=""),"",SUM(基础资料!$X$5:$X$24)+SUM(F$7:F1105)-SUM(G$7:G1105))</f>
      </c>
      <c r="J1105" s="141" t="n"/>
      <c r="K1105" s="141" t="n"/>
      <c r="L1105" s="141" t="n"/>
      <c r="M1105" s="142" t="n"/>
      <c r="N1105" s="146">
        <f>IF(AND(AND(F1105="",G1105=""),B1105="",C1105="",D1105="",J1105="",K1105="",L1105=""),"",IF(AND(F1105="",G1105=""),"✗ 没填金额",IF(AND(N(F1105)&lt;&gt;0,N(G1105)&lt;&gt;0),"✗ 收入、支出只能填一边",IF(NOT(ISNUMBER(B1105)),"✗ 日期不是真日期（要像 2026/9/25 这样填）",IF(OR(B1105&lt;年初日,B1105&gt;年末日),"✗ 日期不在本会计年度",IF(C1105="","✗ 没选账户",IF(COUNTIF(基础资料!$W$5:$W$24,C1105)=0,"✗ 账户不在基础资料里",IF(O1105="","✗ 没选收支项目",IF(P1105="未知","✗ 收支项目不在基础资料里",IF(AND(P1105="应收",J1105=""),"✗ 这笔要选客户",IF(AND(P1105="应收",COUNTIF(总览汇总!$B$5:$B$304,J1105)=0),"✗ 客户不在总览汇总名单里",IF(AND(P1105="应付",K1105=""),"✗ 这笔要选供应商",IF(AND(P1105="应付",COUNTIF(基础资料!$Q$5:$Q$54,K1105)=0),"✗ 供应商不在基础资料里",IF(AND(P1105="费用",L1105=""),"✗ 费用支出要选费用项目",IF(AND(L1105&lt;&gt;"",COUNTIF(基础资料!$AI$5:$AI$54,L1105)=0),"✗ 费用项目不在基础资料里",IF(AND(IFERROR(INDEX(基础资料!$AD$5:$AD$34,MATCH(O1105,基础资料!$AC$5:$AC$34,0)),"")="收",N(G1105)&lt;&gt;0),"✗ 这类是收款，金额填到收入列",IF(AND(IFERROR(INDEX(基础资料!$AD$5:$AD$34,MATCH(O1105,基础资料!$AC$5:$AC$34,0)),"")="支",N(F1105)&lt;&gt;0),"✗ 这类是付款，金额填到支出列",IF(N(H1105)&lt;0,"⚠ 账户余额成负数了，核对一下","√"))))))))))))))))))</f>
      </c>
      <c r="O1105" s="78">
        <f>IF(D1105&lt;&gt;"",D1105,IF(AND(F1105="",G1105=""),"",IF(J1105&lt;&gt;"",IF(N(F1105)&gt;0,"客户回款","客户退款"),IF(K1105&lt;&gt;"",IF(N(G1105)&gt;0,"供应商付款","供应商退款"),IF(L1105&lt;&gt;"","费用支出","")))))</f>
      </c>
      <c r="P1105" s="78">
        <f>IF(O1105="","",IFERROR(INDEX(基础资料!$AE$5:$AE$34,MATCH(O1105,基础资料!$AC$5:$AC$34,0)),"未知"))</f>
      </c>
      <c r="Q1105" s="78">
        <f>IF(P1105="应收",COUNTIF(P$7:P1105,"应收"),"")</f>
      </c>
      <c r="R1105" s="78">
        <f>IF(P1105="应付",COUNTIF(P$7:P1105,"应付"),"")</f>
      </c>
      <c r="S1105" s="78">
        <f>N(F1105)-N(G1105)</f>
        <v>0</v>
      </c>
    </row>
    <row r="1106">
      <c r="A1106" s="109">
        <f>IF(AND(F1106="",G1106=""),"",ROW()-6)</f>
      </c>
      <c r="B1106" s="140" t="n"/>
      <c r="C1106" s="141" t="n"/>
      <c r="D1106" s="141" t="n"/>
      <c r="E1106" s="142" t="n"/>
      <c r="F1106" s="143" t="n"/>
      <c r="G1106" s="144" t="n"/>
      <c r="H1106" s="145">
        <f>IF(OR(C1106="",AND(F1106="",G1106="")),"",SUMIF(基础资料!$W$5:$W$24,C1106,基础资料!$X$5:$X$24)+SUMIF(C$7:C1106,C1106,F$7:F1106)-SUMIF(C$7:C1106,C1106,G$7:G1106))</f>
      </c>
      <c r="I1106" s="145">
        <f>IF(AND(F1106="",G1106=""),"",SUM(基础资料!$X$5:$X$24)+SUM(F$7:F1106)-SUM(G$7:G1106))</f>
      </c>
      <c r="J1106" s="141" t="n"/>
      <c r="K1106" s="141" t="n"/>
      <c r="L1106" s="141" t="n"/>
      <c r="M1106" s="142" t="n"/>
      <c r="N1106" s="146">
        <f>IF(AND(AND(F1106="",G1106=""),B1106="",C1106="",D1106="",J1106="",K1106="",L1106=""),"",IF(AND(F1106="",G1106=""),"✗ 没填金额",IF(AND(N(F1106)&lt;&gt;0,N(G1106)&lt;&gt;0),"✗ 收入、支出只能填一边",IF(NOT(ISNUMBER(B1106)),"✗ 日期不是真日期（要像 2026/9/25 这样填）",IF(OR(B1106&lt;年初日,B1106&gt;年末日),"✗ 日期不在本会计年度",IF(C1106="","✗ 没选账户",IF(COUNTIF(基础资料!$W$5:$W$24,C1106)=0,"✗ 账户不在基础资料里",IF(O1106="","✗ 没选收支项目",IF(P1106="未知","✗ 收支项目不在基础资料里",IF(AND(P1106="应收",J1106=""),"✗ 这笔要选客户",IF(AND(P1106="应收",COUNTIF(总览汇总!$B$5:$B$304,J1106)=0),"✗ 客户不在总览汇总名单里",IF(AND(P1106="应付",K1106=""),"✗ 这笔要选供应商",IF(AND(P1106="应付",COUNTIF(基础资料!$Q$5:$Q$54,K1106)=0),"✗ 供应商不在基础资料里",IF(AND(P1106="费用",L1106=""),"✗ 费用支出要选费用项目",IF(AND(L1106&lt;&gt;"",COUNTIF(基础资料!$AI$5:$AI$54,L1106)=0),"✗ 费用项目不在基础资料里",IF(AND(IFERROR(INDEX(基础资料!$AD$5:$AD$34,MATCH(O1106,基础资料!$AC$5:$AC$34,0)),"")="收",N(G1106)&lt;&gt;0),"✗ 这类是收款，金额填到收入列",IF(AND(IFERROR(INDEX(基础资料!$AD$5:$AD$34,MATCH(O1106,基础资料!$AC$5:$AC$34,0)),"")="支",N(F1106)&lt;&gt;0),"✗ 这类是付款，金额填到支出列",IF(N(H1106)&lt;0,"⚠ 账户余额成负数了，核对一下","√"))))))))))))))))))</f>
      </c>
      <c r="O1106" s="78">
        <f>IF(D1106&lt;&gt;"",D1106,IF(AND(F1106="",G1106=""),"",IF(J1106&lt;&gt;"",IF(N(F1106)&gt;0,"客户回款","客户退款"),IF(K1106&lt;&gt;"",IF(N(G1106)&gt;0,"供应商付款","供应商退款"),IF(L1106&lt;&gt;"","费用支出","")))))</f>
      </c>
      <c r="P1106" s="78">
        <f>IF(O1106="","",IFERROR(INDEX(基础资料!$AE$5:$AE$34,MATCH(O1106,基础资料!$AC$5:$AC$34,0)),"未知"))</f>
      </c>
      <c r="Q1106" s="78">
        <f>IF(P1106="应收",COUNTIF(P$7:P1106,"应收"),"")</f>
      </c>
      <c r="R1106" s="78">
        <f>IF(P1106="应付",COUNTIF(P$7:P1106,"应付"),"")</f>
      </c>
      <c r="S1106" s="78">
        <f>N(F1106)-N(G1106)</f>
        <v>0</v>
      </c>
    </row>
    <row r="1107">
      <c r="A1107" s="109">
        <f>IF(AND(F1107="",G1107=""),"",ROW()-6)</f>
      </c>
      <c r="B1107" s="140" t="n"/>
      <c r="C1107" s="141" t="n"/>
      <c r="D1107" s="141" t="n"/>
      <c r="E1107" s="142" t="n"/>
      <c r="F1107" s="143" t="n"/>
      <c r="G1107" s="144" t="n"/>
      <c r="H1107" s="145">
        <f>IF(OR(C1107="",AND(F1107="",G1107="")),"",SUMIF(基础资料!$W$5:$W$24,C1107,基础资料!$X$5:$X$24)+SUMIF(C$7:C1107,C1107,F$7:F1107)-SUMIF(C$7:C1107,C1107,G$7:G1107))</f>
      </c>
      <c r="I1107" s="145">
        <f>IF(AND(F1107="",G1107=""),"",SUM(基础资料!$X$5:$X$24)+SUM(F$7:F1107)-SUM(G$7:G1107))</f>
      </c>
      <c r="J1107" s="141" t="n"/>
      <c r="K1107" s="141" t="n"/>
      <c r="L1107" s="141" t="n"/>
      <c r="M1107" s="142" t="n"/>
      <c r="N1107" s="146">
        <f>IF(AND(AND(F1107="",G1107=""),B1107="",C1107="",D1107="",J1107="",K1107="",L1107=""),"",IF(AND(F1107="",G1107=""),"✗ 没填金额",IF(AND(N(F1107)&lt;&gt;0,N(G1107)&lt;&gt;0),"✗ 收入、支出只能填一边",IF(NOT(ISNUMBER(B1107)),"✗ 日期不是真日期（要像 2026/9/25 这样填）",IF(OR(B1107&lt;年初日,B1107&gt;年末日),"✗ 日期不在本会计年度",IF(C1107="","✗ 没选账户",IF(COUNTIF(基础资料!$W$5:$W$24,C1107)=0,"✗ 账户不在基础资料里",IF(O1107="","✗ 没选收支项目",IF(P1107="未知","✗ 收支项目不在基础资料里",IF(AND(P1107="应收",J1107=""),"✗ 这笔要选客户",IF(AND(P1107="应收",COUNTIF(总览汇总!$B$5:$B$304,J1107)=0),"✗ 客户不在总览汇总名单里",IF(AND(P1107="应付",K1107=""),"✗ 这笔要选供应商",IF(AND(P1107="应付",COUNTIF(基础资料!$Q$5:$Q$54,K1107)=0),"✗ 供应商不在基础资料里",IF(AND(P1107="费用",L1107=""),"✗ 费用支出要选费用项目",IF(AND(L1107&lt;&gt;"",COUNTIF(基础资料!$AI$5:$AI$54,L1107)=0),"✗ 费用项目不在基础资料里",IF(AND(IFERROR(INDEX(基础资料!$AD$5:$AD$34,MATCH(O1107,基础资料!$AC$5:$AC$34,0)),"")="收",N(G1107)&lt;&gt;0),"✗ 这类是收款，金额填到收入列",IF(AND(IFERROR(INDEX(基础资料!$AD$5:$AD$34,MATCH(O1107,基础资料!$AC$5:$AC$34,0)),"")="支",N(F1107)&lt;&gt;0),"✗ 这类是付款，金额填到支出列",IF(N(H1107)&lt;0,"⚠ 账户余额成负数了，核对一下","√"))))))))))))))))))</f>
      </c>
      <c r="O1107" s="78">
        <f>IF(D1107&lt;&gt;"",D1107,IF(AND(F1107="",G1107=""),"",IF(J1107&lt;&gt;"",IF(N(F1107)&gt;0,"客户回款","客户退款"),IF(K1107&lt;&gt;"",IF(N(G1107)&gt;0,"供应商付款","供应商退款"),IF(L1107&lt;&gt;"","费用支出","")))))</f>
      </c>
      <c r="P1107" s="78">
        <f>IF(O1107="","",IFERROR(INDEX(基础资料!$AE$5:$AE$34,MATCH(O1107,基础资料!$AC$5:$AC$34,0)),"未知"))</f>
      </c>
      <c r="Q1107" s="78">
        <f>IF(P1107="应收",COUNTIF(P$7:P1107,"应收"),"")</f>
      </c>
      <c r="R1107" s="78">
        <f>IF(P1107="应付",COUNTIF(P$7:P1107,"应付"),"")</f>
      </c>
      <c r="S1107" s="78">
        <f>N(F1107)-N(G1107)</f>
        <v>0</v>
      </c>
    </row>
    <row r="1108">
      <c r="A1108" s="109">
        <f>IF(AND(F1108="",G1108=""),"",ROW()-6)</f>
      </c>
      <c r="B1108" s="140" t="n"/>
      <c r="C1108" s="141" t="n"/>
      <c r="D1108" s="141" t="n"/>
      <c r="E1108" s="142" t="n"/>
      <c r="F1108" s="143" t="n"/>
      <c r="G1108" s="144" t="n"/>
      <c r="H1108" s="145">
        <f>IF(OR(C1108="",AND(F1108="",G1108="")),"",SUMIF(基础资料!$W$5:$W$24,C1108,基础资料!$X$5:$X$24)+SUMIF(C$7:C1108,C1108,F$7:F1108)-SUMIF(C$7:C1108,C1108,G$7:G1108))</f>
      </c>
      <c r="I1108" s="145">
        <f>IF(AND(F1108="",G1108=""),"",SUM(基础资料!$X$5:$X$24)+SUM(F$7:F1108)-SUM(G$7:G1108))</f>
      </c>
      <c r="J1108" s="141" t="n"/>
      <c r="K1108" s="141" t="n"/>
      <c r="L1108" s="141" t="n"/>
      <c r="M1108" s="142" t="n"/>
      <c r="N1108" s="146">
        <f>IF(AND(AND(F1108="",G1108=""),B1108="",C1108="",D1108="",J1108="",K1108="",L1108=""),"",IF(AND(F1108="",G1108=""),"✗ 没填金额",IF(AND(N(F1108)&lt;&gt;0,N(G1108)&lt;&gt;0),"✗ 收入、支出只能填一边",IF(NOT(ISNUMBER(B1108)),"✗ 日期不是真日期（要像 2026/9/25 这样填）",IF(OR(B1108&lt;年初日,B1108&gt;年末日),"✗ 日期不在本会计年度",IF(C1108="","✗ 没选账户",IF(COUNTIF(基础资料!$W$5:$W$24,C1108)=0,"✗ 账户不在基础资料里",IF(O1108="","✗ 没选收支项目",IF(P1108="未知","✗ 收支项目不在基础资料里",IF(AND(P1108="应收",J1108=""),"✗ 这笔要选客户",IF(AND(P1108="应收",COUNTIF(总览汇总!$B$5:$B$304,J1108)=0),"✗ 客户不在总览汇总名单里",IF(AND(P1108="应付",K1108=""),"✗ 这笔要选供应商",IF(AND(P1108="应付",COUNTIF(基础资料!$Q$5:$Q$54,K1108)=0),"✗ 供应商不在基础资料里",IF(AND(P1108="费用",L1108=""),"✗ 费用支出要选费用项目",IF(AND(L1108&lt;&gt;"",COUNTIF(基础资料!$AI$5:$AI$54,L1108)=0),"✗ 费用项目不在基础资料里",IF(AND(IFERROR(INDEX(基础资料!$AD$5:$AD$34,MATCH(O1108,基础资料!$AC$5:$AC$34,0)),"")="收",N(G1108)&lt;&gt;0),"✗ 这类是收款，金额填到收入列",IF(AND(IFERROR(INDEX(基础资料!$AD$5:$AD$34,MATCH(O1108,基础资料!$AC$5:$AC$34,0)),"")="支",N(F1108)&lt;&gt;0),"✗ 这类是付款，金额填到支出列",IF(N(H1108)&lt;0,"⚠ 账户余额成负数了，核对一下","√"))))))))))))))))))</f>
      </c>
      <c r="O1108" s="78">
        <f>IF(D1108&lt;&gt;"",D1108,IF(AND(F1108="",G1108=""),"",IF(J1108&lt;&gt;"",IF(N(F1108)&gt;0,"客户回款","客户退款"),IF(K1108&lt;&gt;"",IF(N(G1108)&gt;0,"供应商付款","供应商退款"),IF(L1108&lt;&gt;"","费用支出","")))))</f>
      </c>
      <c r="P1108" s="78">
        <f>IF(O1108="","",IFERROR(INDEX(基础资料!$AE$5:$AE$34,MATCH(O1108,基础资料!$AC$5:$AC$34,0)),"未知"))</f>
      </c>
      <c r="Q1108" s="78">
        <f>IF(P1108="应收",COUNTIF(P$7:P1108,"应收"),"")</f>
      </c>
      <c r="R1108" s="78">
        <f>IF(P1108="应付",COUNTIF(P$7:P1108,"应付"),"")</f>
      </c>
      <c r="S1108" s="78">
        <f>N(F1108)-N(G1108)</f>
        <v>0</v>
      </c>
    </row>
    <row r="1109">
      <c r="A1109" s="109">
        <f>IF(AND(F1109="",G1109=""),"",ROW()-6)</f>
      </c>
      <c r="B1109" s="140" t="n"/>
      <c r="C1109" s="141" t="n"/>
      <c r="D1109" s="141" t="n"/>
      <c r="E1109" s="142" t="n"/>
      <c r="F1109" s="143" t="n"/>
      <c r="G1109" s="144" t="n"/>
      <c r="H1109" s="145">
        <f>IF(OR(C1109="",AND(F1109="",G1109="")),"",SUMIF(基础资料!$W$5:$W$24,C1109,基础资料!$X$5:$X$24)+SUMIF(C$7:C1109,C1109,F$7:F1109)-SUMIF(C$7:C1109,C1109,G$7:G1109))</f>
      </c>
      <c r="I1109" s="145">
        <f>IF(AND(F1109="",G1109=""),"",SUM(基础资料!$X$5:$X$24)+SUM(F$7:F1109)-SUM(G$7:G1109))</f>
      </c>
      <c r="J1109" s="141" t="n"/>
      <c r="K1109" s="141" t="n"/>
      <c r="L1109" s="141" t="n"/>
      <c r="M1109" s="142" t="n"/>
      <c r="N1109" s="146">
        <f>IF(AND(AND(F1109="",G1109=""),B1109="",C1109="",D1109="",J1109="",K1109="",L1109=""),"",IF(AND(F1109="",G1109=""),"✗ 没填金额",IF(AND(N(F1109)&lt;&gt;0,N(G1109)&lt;&gt;0),"✗ 收入、支出只能填一边",IF(NOT(ISNUMBER(B1109)),"✗ 日期不是真日期（要像 2026/9/25 这样填）",IF(OR(B1109&lt;年初日,B1109&gt;年末日),"✗ 日期不在本会计年度",IF(C1109="","✗ 没选账户",IF(COUNTIF(基础资料!$W$5:$W$24,C1109)=0,"✗ 账户不在基础资料里",IF(O1109="","✗ 没选收支项目",IF(P1109="未知","✗ 收支项目不在基础资料里",IF(AND(P1109="应收",J1109=""),"✗ 这笔要选客户",IF(AND(P1109="应收",COUNTIF(总览汇总!$B$5:$B$304,J1109)=0),"✗ 客户不在总览汇总名单里",IF(AND(P1109="应付",K1109=""),"✗ 这笔要选供应商",IF(AND(P1109="应付",COUNTIF(基础资料!$Q$5:$Q$54,K1109)=0),"✗ 供应商不在基础资料里",IF(AND(P1109="费用",L1109=""),"✗ 费用支出要选费用项目",IF(AND(L1109&lt;&gt;"",COUNTIF(基础资料!$AI$5:$AI$54,L1109)=0),"✗ 费用项目不在基础资料里",IF(AND(IFERROR(INDEX(基础资料!$AD$5:$AD$34,MATCH(O1109,基础资料!$AC$5:$AC$34,0)),"")="收",N(G1109)&lt;&gt;0),"✗ 这类是收款，金额填到收入列",IF(AND(IFERROR(INDEX(基础资料!$AD$5:$AD$34,MATCH(O1109,基础资料!$AC$5:$AC$34,0)),"")="支",N(F1109)&lt;&gt;0),"✗ 这类是付款，金额填到支出列",IF(N(H1109)&lt;0,"⚠ 账户余额成负数了，核对一下","√"))))))))))))))))))</f>
      </c>
      <c r="O1109" s="78">
        <f>IF(D1109&lt;&gt;"",D1109,IF(AND(F1109="",G1109=""),"",IF(J1109&lt;&gt;"",IF(N(F1109)&gt;0,"客户回款","客户退款"),IF(K1109&lt;&gt;"",IF(N(G1109)&gt;0,"供应商付款","供应商退款"),IF(L1109&lt;&gt;"","费用支出","")))))</f>
      </c>
      <c r="P1109" s="78">
        <f>IF(O1109="","",IFERROR(INDEX(基础资料!$AE$5:$AE$34,MATCH(O1109,基础资料!$AC$5:$AC$34,0)),"未知"))</f>
      </c>
      <c r="Q1109" s="78">
        <f>IF(P1109="应收",COUNTIF(P$7:P1109,"应收"),"")</f>
      </c>
      <c r="R1109" s="78">
        <f>IF(P1109="应付",COUNTIF(P$7:P1109,"应付"),"")</f>
      </c>
      <c r="S1109" s="78">
        <f>N(F1109)-N(G1109)</f>
        <v>0</v>
      </c>
    </row>
    <row r="1110">
      <c r="A1110" s="109">
        <f>IF(AND(F1110="",G1110=""),"",ROW()-6)</f>
      </c>
      <c r="B1110" s="140" t="n"/>
      <c r="C1110" s="141" t="n"/>
      <c r="D1110" s="141" t="n"/>
      <c r="E1110" s="142" t="n"/>
      <c r="F1110" s="143" t="n"/>
      <c r="G1110" s="144" t="n"/>
      <c r="H1110" s="145">
        <f>IF(OR(C1110="",AND(F1110="",G1110="")),"",SUMIF(基础资料!$W$5:$W$24,C1110,基础资料!$X$5:$X$24)+SUMIF(C$7:C1110,C1110,F$7:F1110)-SUMIF(C$7:C1110,C1110,G$7:G1110))</f>
      </c>
      <c r="I1110" s="145">
        <f>IF(AND(F1110="",G1110=""),"",SUM(基础资料!$X$5:$X$24)+SUM(F$7:F1110)-SUM(G$7:G1110))</f>
      </c>
      <c r="J1110" s="141" t="n"/>
      <c r="K1110" s="141" t="n"/>
      <c r="L1110" s="141" t="n"/>
      <c r="M1110" s="142" t="n"/>
      <c r="N1110" s="146">
        <f>IF(AND(AND(F1110="",G1110=""),B1110="",C1110="",D1110="",J1110="",K1110="",L1110=""),"",IF(AND(F1110="",G1110=""),"✗ 没填金额",IF(AND(N(F1110)&lt;&gt;0,N(G1110)&lt;&gt;0),"✗ 收入、支出只能填一边",IF(NOT(ISNUMBER(B1110)),"✗ 日期不是真日期（要像 2026/9/25 这样填）",IF(OR(B1110&lt;年初日,B1110&gt;年末日),"✗ 日期不在本会计年度",IF(C1110="","✗ 没选账户",IF(COUNTIF(基础资料!$W$5:$W$24,C1110)=0,"✗ 账户不在基础资料里",IF(O1110="","✗ 没选收支项目",IF(P1110="未知","✗ 收支项目不在基础资料里",IF(AND(P1110="应收",J1110=""),"✗ 这笔要选客户",IF(AND(P1110="应收",COUNTIF(总览汇总!$B$5:$B$304,J1110)=0),"✗ 客户不在总览汇总名单里",IF(AND(P1110="应付",K1110=""),"✗ 这笔要选供应商",IF(AND(P1110="应付",COUNTIF(基础资料!$Q$5:$Q$54,K1110)=0),"✗ 供应商不在基础资料里",IF(AND(P1110="费用",L1110=""),"✗ 费用支出要选费用项目",IF(AND(L1110&lt;&gt;"",COUNTIF(基础资料!$AI$5:$AI$54,L1110)=0),"✗ 费用项目不在基础资料里",IF(AND(IFERROR(INDEX(基础资料!$AD$5:$AD$34,MATCH(O1110,基础资料!$AC$5:$AC$34,0)),"")="收",N(G1110)&lt;&gt;0),"✗ 这类是收款，金额填到收入列",IF(AND(IFERROR(INDEX(基础资料!$AD$5:$AD$34,MATCH(O1110,基础资料!$AC$5:$AC$34,0)),"")="支",N(F1110)&lt;&gt;0),"✗ 这类是付款，金额填到支出列",IF(N(H1110)&lt;0,"⚠ 账户余额成负数了，核对一下","√"))))))))))))))))))</f>
      </c>
      <c r="O1110" s="78">
        <f>IF(D1110&lt;&gt;"",D1110,IF(AND(F1110="",G1110=""),"",IF(J1110&lt;&gt;"",IF(N(F1110)&gt;0,"客户回款","客户退款"),IF(K1110&lt;&gt;"",IF(N(G1110)&gt;0,"供应商付款","供应商退款"),IF(L1110&lt;&gt;"","费用支出","")))))</f>
      </c>
      <c r="P1110" s="78">
        <f>IF(O1110="","",IFERROR(INDEX(基础资料!$AE$5:$AE$34,MATCH(O1110,基础资料!$AC$5:$AC$34,0)),"未知"))</f>
      </c>
      <c r="Q1110" s="78">
        <f>IF(P1110="应收",COUNTIF(P$7:P1110,"应收"),"")</f>
      </c>
      <c r="R1110" s="78">
        <f>IF(P1110="应付",COUNTIF(P$7:P1110,"应付"),"")</f>
      </c>
      <c r="S1110" s="78">
        <f>N(F1110)-N(G1110)</f>
        <v>0</v>
      </c>
    </row>
    <row r="1111">
      <c r="A1111" s="109">
        <f>IF(AND(F1111="",G1111=""),"",ROW()-6)</f>
      </c>
      <c r="B1111" s="140" t="n"/>
      <c r="C1111" s="141" t="n"/>
      <c r="D1111" s="141" t="n"/>
      <c r="E1111" s="142" t="n"/>
      <c r="F1111" s="143" t="n"/>
      <c r="G1111" s="144" t="n"/>
      <c r="H1111" s="145">
        <f>IF(OR(C1111="",AND(F1111="",G1111="")),"",SUMIF(基础资料!$W$5:$W$24,C1111,基础资料!$X$5:$X$24)+SUMIF(C$7:C1111,C1111,F$7:F1111)-SUMIF(C$7:C1111,C1111,G$7:G1111))</f>
      </c>
      <c r="I1111" s="145">
        <f>IF(AND(F1111="",G1111=""),"",SUM(基础资料!$X$5:$X$24)+SUM(F$7:F1111)-SUM(G$7:G1111))</f>
      </c>
      <c r="J1111" s="141" t="n"/>
      <c r="K1111" s="141" t="n"/>
      <c r="L1111" s="141" t="n"/>
      <c r="M1111" s="142" t="n"/>
      <c r="N1111" s="146">
        <f>IF(AND(AND(F1111="",G1111=""),B1111="",C1111="",D1111="",J1111="",K1111="",L1111=""),"",IF(AND(F1111="",G1111=""),"✗ 没填金额",IF(AND(N(F1111)&lt;&gt;0,N(G1111)&lt;&gt;0),"✗ 收入、支出只能填一边",IF(NOT(ISNUMBER(B1111)),"✗ 日期不是真日期（要像 2026/9/25 这样填）",IF(OR(B1111&lt;年初日,B1111&gt;年末日),"✗ 日期不在本会计年度",IF(C1111="","✗ 没选账户",IF(COUNTIF(基础资料!$W$5:$W$24,C1111)=0,"✗ 账户不在基础资料里",IF(O1111="","✗ 没选收支项目",IF(P1111="未知","✗ 收支项目不在基础资料里",IF(AND(P1111="应收",J1111=""),"✗ 这笔要选客户",IF(AND(P1111="应收",COUNTIF(总览汇总!$B$5:$B$304,J1111)=0),"✗ 客户不在总览汇总名单里",IF(AND(P1111="应付",K1111=""),"✗ 这笔要选供应商",IF(AND(P1111="应付",COUNTIF(基础资料!$Q$5:$Q$54,K1111)=0),"✗ 供应商不在基础资料里",IF(AND(P1111="费用",L1111=""),"✗ 费用支出要选费用项目",IF(AND(L1111&lt;&gt;"",COUNTIF(基础资料!$AI$5:$AI$54,L1111)=0),"✗ 费用项目不在基础资料里",IF(AND(IFERROR(INDEX(基础资料!$AD$5:$AD$34,MATCH(O1111,基础资料!$AC$5:$AC$34,0)),"")="收",N(G1111)&lt;&gt;0),"✗ 这类是收款，金额填到收入列",IF(AND(IFERROR(INDEX(基础资料!$AD$5:$AD$34,MATCH(O1111,基础资料!$AC$5:$AC$34,0)),"")="支",N(F1111)&lt;&gt;0),"✗ 这类是付款，金额填到支出列",IF(N(H1111)&lt;0,"⚠ 账户余额成负数了，核对一下","√"))))))))))))))))))</f>
      </c>
      <c r="O1111" s="78">
        <f>IF(D1111&lt;&gt;"",D1111,IF(AND(F1111="",G1111=""),"",IF(J1111&lt;&gt;"",IF(N(F1111)&gt;0,"客户回款","客户退款"),IF(K1111&lt;&gt;"",IF(N(G1111)&gt;0,"供应商付款","供应商退款"),IF(L1111&lt;&gt;"","费用支出","")))))</f>
      </c>
      <c r="P1111" s="78">
        <f>IF(O1111="","",IFERROR(INDEX(基础资料!$AE$5:$AE$34,MATCH(O1111,基础资料!$AC$5:$AC$34,0)),"未知"))</f>
      </c>
      <c r="Q1111" s="78">
        <f>IF(P1111="应收",COUNTIF(P$7:P1111,"应收"),"")</f>
      </c>
      <c r="R1111" s="78">
        <f>IF(P1111="应付",COUNTIF(P$7:P1111,"应付"),"")</f>
      </c>
      <c r="S1111" s="78">
        <f>N(F1111)-N(G1111)</f>
        <v>0</v>
      </c>
    </row>
    <row r="1112">
      <c r="A1112" s="109">
        <f>IF(AND(F1112="",G1112=""),"",ROW()-6)</f>
      </c>
      <c r="B1112" s="140" t="n"/>
      <c r="C1112" s="141" t="n"/>
      <c r="D1112" s="141" t="n"/>
      <c r="E1112" s="142" t="n"/>
      <c r="F1112" s="143" t="n"/>
      <c r="G1112" s="144" t="n"/>
      <c r="H1112" s="145">
        <f>IF(OR(C1112="",AND(F1112="",G1112="")),"",SUMIF(基础资料!$W$5:$W$24,C1112,基础资料!$X$5:$X$24)+SUMIF(C$7:C1112,C1112,F$7:F1112)-SUMIF(C$7:C1112,C1112,G$7:G1112))</f>
      </c>
      <c r="I1112" s="145">
        <f>IF(AND(F1112="",G1112=""),"",SUM(基础资料!$X$5:$X$24)+SUM(F$7:F1112)-SUM(G$7:G1112))</f>
      </c>
      <c r="J1112" s="141" t="n"/>
      <c r="K1112" s="141" t="n"/>
      <c r="L1112" s="141" t="n"/>
      <c r="M1112" s="142" t="n"/>
      <c r="N1112" s="146">
        <f>IF(AND(AND(F1112="",G1112=""),B1112="",C1112="",D1112="",J1112="",K1112="",L1112=""),"",IF(AND(F1112="",G1112=""),"✗ 没填金额",IF(AND(N(F1112)&lt;&gt;0,N(G1112)&lt;&gt;0),"✗ 收入、支出只能填一边",IF(NOT(ISNUMBER(B1112)),"✗ 日期不是真日期（要像 2026/9/25 这样填）",IF(OR(B1112&lt;年初日,B1112&gt;年末日),"✗ 日期不在本会计年度",IF(C1112="","✗ 没选账户",IF(COUNTIF(基础资料!$W$5:$W$24,C1112)=0,"✗ 账户不在基础资料里",IF(O1112="","✗ 没选收支项目",IF(P1112="未知","✗ 收支项目不在基础资料里",IF(AND(P1112="应收",J1112=""),"✗ 这笔要选客户",IF(AND(P1112="应收",COUNTIF(总览汇总!$B$5:$B$304,J1112)=0),"✗ 客户不在总览汇总名单里",IF(AND(P1112="应付",K1112=""),"✗ 这笔要选供应商",IF(AND(P1112="应付",COUNTIF(基础资料!$Q$5:$Q$54,K1112)=0),"✗ 供应商不在基础资料里",IF(AND(P1112="费用",L1112=""),"✗ 费用支出要选费用项目",IF(AND(L1112&lt;&gt;"",COUNTIF(基础资料!$AI$5:$AI$54,L1112)=0),"✗ 费用项目不在基础资料里",IF(AND(IFERROR(INDEX(基础资料!$AD$5:$AD$34,MATCH(O1112,基础资料!$AC$5:$AC$34,0)),"")="收",N(G1112)&lt;&gt;0),"✗ 这类是收款，金额填到收入列",IF(AND(IFERROR(INDEX(基础资料!$AD$5:$AD$34,MATCH(O1112,基础资料!$AC$5:$AC$34,0)),"")="支",N(F1112)&lt;&gt;0),"✗ 这类是付款，金额填到支出列",IF(N(H1112)&lt;0,"⚠ 账户余额成负数了，核对一下","√"))))))))))))))))))</f>
      </c>
      <c r="O1112" s="78">
        <f>IF(D1112&lt;&gt;"",D1112,IF(AND(F1112="",G1112=""),"",IF(J1112&lt;&gt;"",IF(N(F1112)&gt;0,"客户回款","客户退款"),IF(K1112&lt;&gt;"",IF(N(G1112)&gt;0,"供应商付款","供应商退款"),IF(L1112&lt;&gt;"","费用支出","")))))</f>
      </c>
      <c r="P1112" s="78">
        <f>IF(O1112="","",IFERROR(INDEX(基础资料!$AE$5:$AE$34,MATCH(O1112,基础资料!$AC$5:$AC$34,0)),"未知"))</f>
      </c>
      <c r="Q1112" s="78">
        <f>IF(P1112="应收",COUNTIF(P$7:P1112,"应收"),"")</f>
      </c>
      <c r="R1112" s="78">
        <f>IF(P1112="应付",COUNTIF(P$7:P1112,"应付"),"")</f>
      </c>
      <c r="S1112" s="78">
        <f>N(F1112)-N(G1112)</f>
        <v>0</v>
      </c>
    </row>
    <row r="1113">
      <c r="A1113" s="109">
        <f>IF(AND(F1113="",G1113=""),"",ROW()-6)</f>
      </c>
      <c r="B1113" s="140" t="n"/>
      <c r="C1113" s="141" t="n"/>
      <c r="D1113" s="141" t="n"/>
      <c r="E1113" s="142" t="n"/>
      <c r="F1113" s="143" t="n"/>
      <c r="G1113" s="144" t="n"/>
      <c r="H1113" s="145">
        <f>IF(OR(C1113="",AND(F1113="",G1113="")),"",SUMIF(基础资料!$W$5:$W$24,C1113,基础资料!$X$5:$X$24)+SUMIF(C$7:C1113,C1113,F$7:F1113)-SUMIF(C$7:C1113,C1113,G$7:G1113))</f>
      </c>
      <c r="I1113" s="145">
        <f>IF(AND(F1113="",G1113=""),"",SUM(基础资料!$X$5:$X$24)+SUM(F$7:F1113)-SUM(G$7:G1113))</f>
      </c>
      <c r="J1113" s="141" t="n"/>
      <c r="K1113" s="141" t="n"/>
      <c r="L1113" s="141" t="n"/>
      <c r="M1113" s="142" t="n"/>
      <c r="N1113" s="146">
        <f>IF(AND(AND(F1113="",G1113=""),B1113="",C1113="",D1113="",J1113="",K1113="",L1113=""),"",IF(AND(F1113="",G1113=""),"✗ 没填金额",IF(AND(N(F1113)&lt;&gt;0,N(G1113)&lt;&gt;0),"✗ 收入、支出只能填一边",IF(NOT(ISNUMBER(B1113)),"✗ 日期不是真日期（要像 2026/9/25 这样填）",IF(OR(B1113&lt;年初日,B1113&gt;年末日),"✗ 日期不在本会计年度",IF(C1113="","✗ 没选账户",IF(COUNTIF(基础资料!$W$5:$W$24,C1113)=0,"✗ 账户不在基础资料里",IF(O1113="","✗ 没选收支项目",IF(P1113="未知","✗ 收支项目不在基础资料里",IF(AND(P1113="应收",J1113=""),"✗ 这笔要选客户",IF(AND(P1113="应收",COUNTIF(总览汇总!$B$5:$B$304,J1113)=0),"✗ 客户不在总览汇总名单里",IF(AND(P1113="应付",K1113=""),"✗ 这笔要选供应商",IF(AND(P1113="应付",COUNTIF(基础资料!$Q$5:$Q$54,K1113)=0),"✗ 供应商不在基础资料里",IF(AND(P1113="费用",L1113=""),"✗ 费用支出要选费用项目",IF(AND(L1113&lt;&gt;"",COUNTIF(基础资料!$AI$5:$AI$54,L1113)=0),"✗ 费用项目不在基础资料里",IF(AND(IFERROR(INDEX(基础资料!$AD$5:$AD$34,MATCH(O1113,基础资料!$AC$5:$AC$34,0)),"")="收",N(G1113)&lt;&gt;0),"✗ 这类是收款，金额填到收入列",IF(AND(IFERROR(INDEX(基础资料!$AD$5:$AD$34,MATCH(O1113,基础资料!$AC$5:$AC$34,0)),"")="支",N(F1113)&lt;&gt;0),"✗ 这类是付款，金额填到支出列",IF(N(H1113)&lt;0,"⚠ 账户余额成负数了，核对一下","√"))))))))))))))))))</f>
      </c>
      <c r="O1113" s="78">
        <f>IF(D1113&lt;&gt;"",D1113,IF(AND(F1113="",G1113=""),"",IF(J1113&lt;&gt;"",IF(N(F1113)&gt;0,"客户回款","客户退款"),IF(K1113&lt;&gt;"",IF(N(G1113)&gt;0,"供应商付款","供应商退款"),IF(L1113&lt;&gt;"","费用支出","")))))</f>
      </c>
      <c r="P1113" s="78">
        <f>IF(O1113="","",IFERROR(INDEX(基础资料!$AE$5:$AE$34,MATCH(O1113,基础资料!$AC$5:$AC$34,0)),"未知"))</f>
      </c>
      <c r="Q1113" s="78">
        <f>IF(P1113="应收",COUNTIF(P$7:P1113,"应收"),"")</f>
      </c>
      <c r="R1113" s="78">
        <f>IF(P1113="应付",COUNTIF(P$7:P1113,"应付"),"")</f>
      </c>
      <c r="S1113" s="78">
        <f>N(F1113)-N(G1113)</f>
        <v>0</v>
      </c>
    </row>
    <row r="1114">
      <c r="A1114" s="109">
        <f>IF(AND(F1114="",G1114=""),"",ROW()-6)</f>
      </c>
      <c r="B1114" s="140" t="n"/>
      <c r="C1114" s="141" t="n"/>
      <c r="D1114" s="141" t="n"/>
      <c r="E1114" s="142" t="n"/>
      <c r="F1114" s="143" t="n"/>
      <c r="G1114" s="144" t="n"/>
      <c r="H1114" s="145">
        <f>IF(OR(C1114="",AND(F1114="",G1114="")),"",SUMIF(基础资料!$W$5:$W$24,C1114,基础资料!$X$5:$X$24)+SUMIF(C$7:C1114,C1114,F$7:F1114)-SUMIF(C$7:C1114,C1114,G$7:G1114))</f>
      </c>
      <c r="I1114" s="145">
        <f>IF(AND(F1114="",G1114=""),"",SUM(基础资料!$X$5:$X$24)+SUM(F$7:F1114)-SUM(G$7:G1114))</f>
      </c>
      <c r="J1114" s="141" t="n"/>
      <c r="K1114" s="141" t="n"/>
      <c r="L1114" s="141" t="n"/>
      <c r="M1114" s="142" t="n"/>
      <c r="N1114" s="146">
        <f>IF(AND(AND(F1114="",G1114=""),B1114="",C1114="",D1114="",J1114="",K1114="",L1114=""),"",IF(AND(F1114="",G1114=""),"✗ 没填金额",IF(AND(N(F1114)&lt;&gt;0,N(G1114)&lt;&gt;0),"✗ 收入、支出只能填一边",IF(NOT(ISNUMBER(B1114)),"✗ 日期不是真日期（要像 2026/9/25 这样填）",IF(OR(B1114&lt;年初日,B1114&gt;年末日),"✗ 日期不在本会计年度",IF(C1114="","✗ 没选账户",IF(COUNTIF(基础资料!$W$5:$W$24,C1114)=0,"✗ 账户不在基础资料里",IF(O1114="","✗ 没选收支项目",IF(P1114="未知","✗ 收支项目不在基础资料里",IF(AND(P1114="应收",J1114=""),"✗ 这笔要选客户",IF(AND(P1114="应收",COUNTIF(总览汇总!$B$5:$B$304,J1114)=0),"✗ 客户不在总览汇总名单里",IF(AND(P1114="应付",K1114=""),"✗ 这笔要选供应商",IF(AND(P1114="应付",COUNTIF(基础资料!$Q$5:$Q$54,K1114)=0),"✗ 供应商不在基础资料里",IF(AND(P1114="费用",L1114=""),"✗ 费用支出要选费用项目",IF(AND(L1114&lt;&gt;"",COUNTIF(基础资料!$AI$5:$AI$54,L1114)=0),"✗ 费用项目不在基础资料里",IF(AND(IFERROR(INDEX(基础资料!$AD$5:$AD$34,MATCH(O1114,基础资料!$AC$5:$AC$34,0)),"")="收",N(G1114)&lt;&gt;0),"✗ 这类是收款，金额填到收入列",IF(AND(IFERROR(INDEX(基础资料!$AD$5:$AD$34,MATCH(O1114,基础资料!$AC$5:$AC$34,0)),"")="支",N(F1114)&lt;&gt;0),"✗ 这类是付款，金额填到支出列",IF(N(H1114)&lt;0,"⚠ 账户余额成负数了，核对一下","√"))))))))))))))))))</f>
      </c>
      <c r="O1114" s="78">
        <f>IF(D1114&lt;&gt;"",D1114,IF(AND(F1114="",G1114=""),"",IF(J1114&lt;&gt;"",IF(N(F1114)&gt;0,"客户回款","客户退款"),IF(K1114&lt;&gt;"",IF(N(G1114)&gt;0,"供应商付款","供应商退款"),IF(L1114&lt;&gt;"","费用支出","")))))</f>
      </c>
      <c r="P1114" s="78">
        <f>IF(O1114="","",IFERROR(INDEX(基础资料!$AE$5:$AE$34,MATCH(O1114,基础资料!$AC$5:$AC$34,0)),"未知"))</f>
      </c>
      <c r="Q1114" s="78">
        <f>IF(P1114="应收",COUNTIF(P$7:P1114,"应收"),"")</f>
      </c>
      <c r="R1114" s="78">
        <f>IF(P1114="应付",COUNTIF(P$7:P1114,"应付"),"")</f>
      </c>
      <c r="S1114" s="78">
        <f>N(F1114)-N(G1114)</f>
        <v>0</v>
      </c>
    </row>
    <row r="1115">
      <c r="A1115" s="109">
        <f>IF(AND(F1115="",G1115=""),"",ROW()-6)</f>
      </c>
      <c r="B1115" s="140" t="n"/>
      <c r="C1115" s="141" t="n"/>
      <c r="D1115" s="141" t="n"/>
      <c r="E1115" s="142" t="n"/>
      <c r="F1115" s="143" t="n"/>
      <c r="G1115" s="144" t="n"/>
      <c r="H1115" s="145">
        <f>IF(OR(C1115="",AND(F1115="",G1115="")),"",SUMIF(基础资料!$W$5:$W$24,C1115,基础资料!$X$5:$X$24)+SUMIF(C$7:C1115,C1115,F$7:F1115)-SUMIF(C$7:C1115,C1115,G$7:G1115))</f>
      </c>
      <c r="I1115" s="145">
        <f>IF(AND(F1115="",G1115=""),"",SUM(基础资料!$X$5:$X$24)+SUM(F$7:F1115)-SUM(G$7:G1115))</f>
      </c>
      <c r="J1115" s="141" t="n"/>
      <c r="K1115" s="141" t="n"/>
      <c r="L1115" s="141" t="n"/>
      <c r="M1115" s="142" t="n"/>
      <c r="N1115" s="146">
        <f>IF(AND(AND(F1115="",G1115=""),B1115="",C1115="",D1115="",J1115="",K1115="",L1115=""),"",IF(AND(F1115="",G1115=""),"✗ 没填金额",IF(AND(N(F1115)&lt;&gt;0,N(G1115)&lt;&gt;0),"✗ 收入、支出只能填一边",IF(NOT(ISNUMBER(B1115)),"✗ 日期不是真日期（要像 2026/9/25 这样填）",IF(OR(B1115&lt;年初日,B1115&gt;年末日),"✗ 日期不在本会计年度",IF(C1115="","✗ 没选账户",IF(COUNTIF(基础资料!$W$5:$W$24,C1115)=0,"✗ 账户不在基础资料里",IF(O1115="","✗ 没选收支项目",IF(P1115="未知","✗ 收支项目不在基础资料里",IF(AND(P1115="应收",J1115=""),"✗ 这笔要选客户",IF(AND(P1115="应收",COUNTIF(总览汇总!$B$5:$B$304,J1115)=0),"✗ 客户不在总览汇总名单里",IF(AND(P1115="应付",K1115=""),"✗ 这笔要选供应商",IF(AND(P1115="应付",COUNTIF(基础资料!$Q$5:$Q$54,K1115)=0),"✗ 供应商不在基础资料里",IF(AND(P1115="费用",L1115=""),"✗ 费用支出要选费用项目",IF(AND(L1115&lt;&gt;"",COUNTIF(基础资料!$AI$5:$AI$54,L1115)=0),"✗ 费用项目不在基础资料里",IF(AND(IFERROR(INDEX(基础资料!$AD$5:$AD$34,MATCH(O1115,基础资料!$AC$5:$AC$34,0)),"")="收",N(G1115)&lt;&gt;0),"✗ 这类是收款，金额填到收入列",IF(AND(IFERROR(INDEX(基础资料!$AD$5:$AD$34,MATCH(O1115,基础资料!$AC$5:$AC$34,0)),"")="支",N(F1115)&lt;&gt;0),"✗ 这类是付款，金额填到支出列",IF(N(H1115)&lt;0,"⚠ 账户余额成负数了，核对一下","√"))))))))))))))))))</f>
      </c>
      <c r="O1115" s="78">
        <f>IF(D1115&lt;&gt;"",D1115,IF(AND(F1115="",G1115=""),"",IF(J1115&lt;&gt;"",IF(N(F1115)&gt;0,"客户回款","客户退款"),IF(K1115&lt;&gt;"",IF(N(G1115)&gt;0,"供应商付款","供应商退款"),IF(L1115&lt;&gt;"","费用支出","")))))</f>
      </c>
      <c r="P1115" s="78">
        <f>IF(O1115="","",IFERROR(INDEX(基础资料!$AE$5:$AE$34,MATCH(O1115,基础资料!$AC$5:$AC$34,0)),"未知"))</f>
      </c>
      <c r="Q1115" s="78">
        <f>IF(P1115="应收",COUNTIF(P$7:P1115,"应收"),"")</f>
      </c>
      <c r="R1115" s="78">
        <f>IF(P1115="应付",COUNTIF(P$7:P1115,"应付"),"")</f>
      </c>
      <c r="S1115" s="78">
        <f>N(F1115)-N(G1115)</f>
        <v>0</v>
      </c>
    </row>
    <row r="1116">
      <c r="A1116" s="109">
        <f>IF(AND(F1116="",G1116=""),"",ROW()-6)</f>
      </c>
      <c r="B1116" s="140" t="n"/>
      <c r="C1116" s="141" t="n"/>
      <c r="D1116" s="141" t="n"/>
      <c r="E1116" s="142" t="n"/>
      <c r="F1116" s="143" t="n"/>
      <c r="G1116" s="144" t="n"/>
      <c r="H1116" s="145">
        <f>IF(OR(C1116="",AND(F1116="",G1116="")),"",SUMIF(基础资料!$W$5:$W$24,C1116,基础资料!$X$5:$X$24)+SUMIF(C$7:C1116,C1116,F$7:F1116)-SUMIF(C$7:C1116,C1116,G$7:G1116))</f>
      </c>
      <c r="I1116" s="145">
        <f>IF(AND(F1116="",G1116=""),"",SUM(基础资料!$X$5:$X$24)+SUM(F$7:F1116)-SUM(G$7:G1116))</f>
      </c>
      <c r="J1116" s="141" t="n"/>
      <c r="K1116" s="141" t="n"/>
      <c r="L1116" s="141" t="n"/>
      <c r="M1116" s="142" t="n"/>
      <c r="N1116" s="146">
        <f>IF(AND(AND(F1116="",G1116=""),B1116="",C1116="",D1116="",J1116="",K1116="",L1116=""),"",IF(AND(F1116="",G1116=""),"✗ 没填金额",IF(AND(N(F1116)&lt;&gt;0,N(G1116)&lt;&gt;0),"✗ 收入、支出只能填一边",IF(NOT(ISNUMBER(B1116)),"✗ 日期不是真日期（要像 2026/9/25 这样填）",IF(OR(B1116&lt;年初日,B1116&gt;年末日),"✗ 日期不在本会计年度",IF(C1116="","✗ 没选账户",IF(COUNTIF(基础资料!$W$5:$W$24,C1116)=0,"✗ 账户不在基础资料里",IF(O1116="","✗ 没选收支项目",IF(P1116="未知","✗ 收支项目不在基础资料里",IF(AND(P1116="应收",J1116=""),"✗ 这笔要选客户",IF(AND(P1116="应收",COUNTIF(总览汇总!$B$5:$B$304,J1116)=0),"✗ 客户不在总览汇总名单里",IF(AND(P1116="应付",K1116=""),"✗ 这笔要选供应商",IF(AND(P1116="应付",COUNTIF(基础资料!$Q$5:$Q$54,K1116)=0),"✗ 供应商不在基础资料里",IF(AND(P1116="费用",L1116=""),"✗ 费用支出要选费用项目",IF(AND(L1116&lt;&gt;"",COUNTIF(基础资料!$AI$5:$AI$54,L1116)=0),"✗ 费用项目不在基础资料里",IF(AND(IFERROR(INDEX(基础资料!$AD$5:$AD$34,MATCH(O1116,基础资料!$AC$5:$AC$34,0)),"")="收",N(G1116)&lt;&gt;0),"✗ 这类是收款，金额填到收入列",IF(AND(IFERROR(INDEX(基础资料!$AD$5:$AD$34,MATCH(O1116,基础资料!$AC$5:$AC$34,0)),"")="支",N(F1116)&lt;&gt;0),"✗ 这类是付款，金额填到支出列",IF(N(H1116)&lt;0,"⚠ 账户余额成负数了，核对一下","√"))))))))))))))))))</f>
      </c>
      <c r="O1116" s="78">
        <f>IF(D1116&lt;&gt;"",D1116,IF(AND(F1116="",G1116=""),"",IF(J1116&lt;&gt;"",IF(N(F1116)&gt;0,"客户回款","客户退款"),IF(K1116&lt;&gt;"",IF(N(G1116)&gt;0,"供应商付款","供应商退款"),IF(L1116&lt;&gt;"","费用支出","")))))</f>
      </c>
      <c r="P1116" s="78">
        <f>IF(O1116="","",IFERROR(INDEX(基础资料!$AE$5:$AE$34,MATCH(O1116,基础资料!$AC$5:$AC$34,0)),"未知"))</f>
      </c>
      <c r="Q1116" s="78">
        <f>IF(P1116="应收",COUNTIF(P$7:P1116,"应收"),"")</f>
      </c>
      <c r="R1116" s="78">
        <f>IF(P1116="应付",COUNTIF(P$7:P1116,"应付"),"")</f>
      </c>
      <c r="S1116" s="78">
        <f>N(F1116)-N(G1116)</f>
        <v>0</v>
      </c>
    </row>
    <row r="1117">
      <c r="A1117" s="109">
        <f>IF(AND(F1117="",G1117=""),"",ROW()-6)</f>
      </c>
      <c r="B1117" s="140" t="n"/>
      <c r="C1117" s="141" t="n"/>
      <c r="D1117" s="141" t="n"/>
      <c r="E1117" s="142" t="n"/>
      <c r="F1117" s="143" t="n"/>
      <c r="G1117" s="144" t="n"/>
      <c r="H1117" s="145">
        <f>IF(OR(C1117="",AND(F1117="",G1117="")),"",SUMIF(基础资料!$W$5:$W$24,C1117,基础资料!$X$5:$X$24)+SUMIF(C$7:C1117,C1117,F$7:F1117)-SUMIF(C$7:C1117,C1117,G$7:G1117))</f>
      </c>
      <c r="I1117" s="145">
        <f>IF(AND(F1117="",G1117=""),"",SUM(基础资料!$X$5:$X$24)+SUM(F$7:F1117)-SUM(G$7:G1117))</f>
      </c>
      <c r="J1117" s="141" t="n"/>
      <c r="K1117" s="141" t="n"/>
      <c r="L1117" s="141" t="n"/>
      <c r="M1117" s="142" t="n"/>
      <c r="N1117" s="146">
        <f>IF(AND(AND(F1117="",G1117=""),B1117="",C1117="",D1117="",J1117="",K1117="",L1117=""),"",IF(AND(F1117="",G1117=""),"✗ 没填金额",IF(AND(N(F1117)&lt;&gt;0,N(G1117)&lt;&gt;0),"✗ 收入、支出只能填一边",IF(NOT(ISNUMBER(B1117)),"✗ 日期不是真日期（要像 2026/9/25 这样填）",IF(OR(B1117&lt;年初日,B1117&gt;年末日),"✗ 日期不在本会计年度",IF(C1117="","✗ 没选账户",IF(COUNTIF(基础资料!$W$5:$W$24,C1117)=0,"✗ 账户不在基础资料里",IF(O1117="","✗ 没选收支项目",IF(P1117="未知","✗ 收支项目不在基础资料里",IF(AND(P1117="应收",J1117=""),"✗ 这笔要选客户",IF(AND(P1117="应收",COUNTIF(总览汇总!$B$5:$B$304,J1117)=0),"✗ 客户不在总览汇总名单里",IF(AND(P1117="应付",K1117=""),"✗ 这笔要选供应商",IF(AND(P1117="应付",COUNTIF(基础资料!$Q$5:$Q$54,K1117)=0),"✗ 供应商不在基础资料里",IF(AND(P1117="费用",L1117=""),"✗ 费用支出要选费用项目",IF(AND(L1117&lt;&gt;"",COUNTIF(基础资料!$AI$5:$AI$54,L1117)=0),"✗ 费用项目不在基础资料里",IF(AND(IFERROR(INDEX(基础资料!$AD$5:$AD$34,MATCH(O1117,基础资料!$AC$5:$AC$34,0)),"")="收",N(G1117)&lt;&gt;0),"✗ 这类是收款，金额填到收入列",IF(AND(IFERROR(INDEX(基础资料!$AD$5:$AD$34,MATCH(O1117,基础资料!$AC$5:$AC$34,0)),"")="支",N(F1117)&lt;&gt;0),"✗ 这类是付款，金额填到支出列",IF(N(H1117)&lt;0,"⚠ 账户余额成负数了，核对一下","√"))))))))))))))))))</f>
      </c>
      <c r="O1117" s="78">
        <f>IF(D1117&lt;&gt;"",D1117,IF(AND(F1117="",G1117=""),"",IF(J1117&lt;&gt;"",IF(N(F1117)&gt;0,"客户回款","客户退款"),IF(K1117&lt;&gt;"",IF(N(G1117)&gt;0,"供应商付款","供应商退款"),IF(L1117&lt;&gt;"","费用支出","")))))</f>
      </c>
      <c r="P1117" s="78">
        <f>IF(O1117="","",IFERROR(INDEX(基础资料!$AE$5:$AE$34,MATCH(O1117,基础资料!$AC$5:$AC$34,0)),"未知"))</f>
      </c>
      <c r="Q1117" s="78">
        <f>IF(P1117="应收",COUNTIF(P$7:P1117,"应收"),"")</f>
      </c>
      <c r="R1117" s="78">
        <f>IF(P1117="应付",COUNTIF(P$7:P1117,"应付"),"")</f>
      </c>
      <c r="S1117" s="78">
        <f>N(F1117)-N(G1117)</f>
        <v>0</v>
      </c>
    </row>
    <row r="1118">
      <c r="A1118" s="109">
        <f>IF(AND(F1118="",G1118=""),"",ROW()-6)</f>
      </c>
      <c r="B1118" s="140" t="n"/>
      <c r="C1118" s="141" t="n"/>
      <c r="D1118" s="141" t="n"/>
      <c r="E1118" s="142" t="n"/>
      <c r="F1118" s="143" t="n"/>
      <c r="G1118" s="144" t="n"/>
      <c r="H1118" s="145">
        <f>IF(OR(C1118="",AND(F1118="",G1118="")),"",SUMIF(基础资料!$W$5:$W$24,C1118,基础资料!$X$5:$X$24)+SUMIF(C$7:C1118,C1118,F$7:F1118)-SUMIF(C$7:C1118,C1118,G$7:G1118))</f>
      </c>
      <c r="I1118" s="145">
        <f>IF(AND(F1118="",G1118=""),"",SUM(基础资料!$X$5:$X$24)+SUM(F$7:F1118)-SUM(G$7:G1118))</f>
      </c>
      <c r="J1118" s="141" t="n"/>
      <c r="K1118" s="141" t="n"/>
      <c r="L1118" s="141" t="n"/>
      <c r="M1118" s="142" t="n"/>
      <c r="N1118" s="146">
        <f>IF(AND(AND(F1118="",G1118=""),B1118="",C1118="",D1118="",J1118="",K1118="",L1118=""),"",IF(AND(F1118="",G1118=""),"✗ 没填金额",IF(AND(N(F1118)&lt;&gt;0,N(G1118)&lt;&gt;0),"✗ 收入、支出只能填一边",IF(NOT(ISNUMBER(B1118)),"✗ 日期不是真日期（要像 2026/9/25 这样填）",IF(OR(B1118&lt;年初日,B1118&gt;年末日),"✗ 日期不在本会计年度",IF(C1118="","✗ 没选账户",IF(COUNTIF(基础资料!$W$5:$W$24,C1118)=0,"✗ 账户不在基础资料里",IF(O1118="","✗ 没选收支项目",IF(P1118="未知","✗ 收支项目不在基础资料里",IF(AND(P1118="应收",J1118=""),"✗ 这笔要选客户",IF(AND(P1118="应收",COUNTIF(总览汇总!$B$5:$B$304,J1118)=0),"✗ 客户不在总览汇总名单里",IF(AND(P1118="应付",K1118=""),"✗ 这笔要选供应商",IF(AND(P1118="应付",COUNTIF(基础资料!$Q$5:$Q$54,K1118)=0),"✗ 供应商不在基础资料里",IF(AND(P1118="费用",L1118=""),"✗ 费用支出要选费用项目",IF(AND(L1118&lt;&gt;"",COUNTIF(基础资料!$AI$5:$AI$54,L1118)=0),"✗ 费用项目不在基础资料里",IF(AND(IFERROR(INDEX(基础资料!$AD$5:$AD$34,MATCH(O1118,基础资料!$AC$5:$AC$34,0)),"")="收",N(G1118)&lt;&gt;0),"✗ 这类是收款，金额填到收入列",IF(AND(IFERROR(INDEX(基础资料!$AD$5:$AD$34,MATCH(O1118,基础资料!$AC$5:$AC$34,0)),"")="支",N(F1118)&lt;&gt;0),"✗ 这类是付款，金额填到支出列",IF(N(H1118)&lt;0,"⚠ 账户余额成负数了，核对一下","√"))))))))))))))))))</f>
      </c>
      <c r="O1118" s="78">
        <f>IF(D1118&lt;&gt;"",D1118,IF(AND(F1118="",G1118=""),"",IF(J1118&lt;&gt;"",IF(N(F1118)&gt;0,"客户回款","客户退款"),IF(K1118&lt;&gt;"",IF(N(G1118)&gt;0,"供应商付款","供应商退款"),IF(L1118&lt;&gt;"","费用支出","")))))</f>
      </c>
      <c r="P1118" s="78">
        <f>IF(O1118="","",IFERROR(INDEX(基础资料!$AE$5:$AE$34,MATCH(O1118,基础资料!$AC$5:$AC$34,0)),"未知"))</f>
      </c>
      <c r="Q1118" s="78">
        <f>IF(P1118="应收",COUNTIF(P$7:P1118,"应收"),"")</f>
      </c>
      <c r="R1118" s="78">
        <f>IF(P1118="应付",COUNTIF(P$7:P1118,"应付"),"")</f>
      </c>
      <c r="S1118" s="78">
        <f>N(F1118)-N(G1118)</f>
        <v>0</v>
      </c>
    </row>
    <row r="1119">
      <c r="A1119" s="109">
        <f>IF(AND(F1119="",G1119=""),"",ROW()-6)</f>
      </c>
      <c r="B1119" s="140" t="n"/>
      <c r="C1119" s="141" t="n"/>
      <c r="D1119" s="141" t="n"/>
      <c r="E1119" s="142" t="n"/>
      <c r="F1119" s="143" t="n"/>
      <c r="G1119" s="144" t="n"/>
      <c r="H1119" s="145">
        <f>IF(OR(C1119="",AND(F1119="",G1119="")),"",SUMIF(基础资料!$W$5:$W$24,C1119,基础资料!$X$5:$X$24)+SUMIF(C$7:C1119,C1119,F$7:F1119)-SUMIF(C$7:C1119,C1119,G$7:G1119))</f>
      </c>
      <c r="I1119" s="145">
        <f>IF(AND(F1119="",G1119=""),"",SUM(基础资料!$X$5:$X$24)+SUM(F$7:F1119)-SUM(G$7:G1119))</f>
      </c>
      <c r="J1119" s="141" t="n"/>
      <c r="K1119" s="141" t="n"/>
      <c r="L1119" s="141" t="n"/>
      <c r="M1119" s="142" t="n"/>
      <c r="N1119" s="146">
        <f>IF(AND(AND(F1119="",G1119=""),B1119="",C1119="",D1119="",J1119="",K1119="",L1119=""),"",IF(AND(F1119="",G1119=""),"✗ 没填金额",IF(AND(N(F1119)&lt;&gt;0,N(G1119)&lt;&gt;0),"✗ 收入、支出只能填一边",IF(NOT(ISNUMBER(B1119)),"✗ 日期不是真日期（要像 2026/9/25 这样填）",IF(OR(B1119&lt;年初日,B1119&gt;年末日),"✗ 日期不在本会计年度",IF(C1119="","✗ 没选账户",IF(COUNTIF(基础资料!$W$5:$W$24,C1119)=0,"✗ 账户不在基础资料里",IF(O1119="","✗ 没选收支项目",IF(P1119="未知","✗ 收支项目不在基础资料里",IF(AND(P1119="应收",J1119=""),"✗ 这笔要选客户",IF(AND(P1119="应收",COUNTIF(总览汇总!$B$5:$B$304,J1119)=0),"✗ 客户不在总览汇总名单里",IF(AND(P1119="应付",K1119=""),"✗ 这笔要选供应商",IF(AND(P1119="应付",COUNTIF(基础资料!$Q$5:$Q$54,K1119)=0),"✗ 供应商不在基础资料里",IF(AND(P1119="费用",L1119=""),"✗ 费用支出要选费用项目",IF(AND(L1119&lt;&gt;"",COUNTIF(基础资料!$AI$5:$AI$54,L1119)=0),"✗ 费用项目不在基础资料里",IF(AND(IFERROR(INDEX(基础资料!$AD$5:$AD$34,MATCH(O1119,基础资料!$AC$5:$AC$34,0)),"")="收",N(G1119)&lt;&gt;0),"✗ 这类是收款，金额填到收入列",IF(AND(IFERROR(INDEX(基础资料!$AD$5:$AD$34,MATCH(O1119,基础资料!$AC$5:$AC$34,0)),"")="支",N(F1119)&lt;&gt;0),"✗ 这类是付款，金额填到支出列",IF(N(H1119)&lt;0,"⚠ 账户余额成负数了，核对一下","√"))))))))))))))))))</f>
      </c>
      <c r="O1119" s="78">
        <f>IF(D1119&lt;&gt;"",D1119,IF(AND(F1119="",G1119=""),"",IF(J1119&lt;&gt;"",IF(N(F1119)&gt;0,"客户回款","客户退款"),IF(K1119&lt;&gt;"",IF(N(G1119)&gt;0,"供应商付款","供应商退款"),IF(L1119&lt;&gt;"","费用支出","")))))</f>
      </c>
      <c r="P1119" s="78">
        <f>IF(O1119="","",IFERROR(INDEX(基础资料!$AE$5:$AE$34,MATCH(O1119,基础资料!$AC$5:$AC$34,0)),"未知"))</f>
      </c>
      <c r="Q1119" s="78">
        <f>IF(P1119="应收",COUNTIF(P$7:P1119,"应收"),"")</f>
      </c>
      <c r="R1119" s="78">
        <f>IF(P1119="应付",COUNTIF(P$7:P1119,"应付"),"")</f>
      </c>
      <c r="S1119" s="78">
        <f>N(F1119)-N(G1119)</f>
        <v>0</v>
      </c>
    </row>
    <row r="1120">
      <c r="A1120" s="109">
        <f>IF(AND(F1120="",G1120=""),"",ROW()-6)</f>
      </c>
      <c r="B1120" s="140" t="n"/>
      <c r="C1120" s="141" t="n"/>
      <c r="D1120" s="141" t="n"/>
      <c r="E1120" s="142" t="n"/>
      <c r="F1120" s="143" t="n"/>
      <c r="G1120" s="144" t="n"/>
      <c r="H1120" s="145">
        <f>IF(OR(C1120="",AND(F1120="",G1120="")),"",SUMIF(基础资料!$W$5:$W$24,C1120,基础资料!$X$5:$X$24)+SUMIF(C$7:C1120,C1120,F$7:F1120)-SUMIF(C$7:C1120,C1120,G$7:G1120))</f>
      </c>
      <c r="I1120" s="145">
        <f>IF(AND(F1120="",G1120=""),"",SUM(基础资料!$X$5:$X$24)+SUM(F$7:F1120)-SUM(G$7:G1120))</f>
      </c>
      <c r="J1120" s="141" t="n"/>
      <c r="K1120" s="141" t="n"/>
      <c r="L1120" s="141" t="n"/>
      <c r="M1120" s="142" t="n"/>
      <c r="N1120" s="146">
        <f>IF(AND(AND(F1120="",G1120=""),B1120="",C1120="",D1120="",J1120="",K1120="",L1120=""),"",IF(AND(F1120="",G1120=""),"✗ 没填金额",IF(AND(N(F1120)&lt;&gt;0,N(G1120)&lt;&gt;0),"✗ 收入、支出只能填一边",IF(NOT(ISNUMBER(B1120)),"✗ 日期不是真日期（要像 2026/9/25 这样填）",IF(OR(B1120&lt;年初日,B1120&gt;年末日),"✗ 日期不在本会计年度",IF(C1120="","✗ 没选账户",IF(COUNTIF(基础资料!$W$5:$W$24,C1120)=0,"✗ 账户不在基础资料里",IF(O1120="","✗ 没选收支项目",IF(P1120="未知","✗ 收支项目不在基础资料里",IF(AND(P1120="应收",J1120=""),"✗ 这笔要选客户",IF(AND(P1120="应收",COUNTIF(总览汇总!$B$5:$B$304,J1120)=0),"✗ 客户不在总览汇总名单里",IF(AND(P1120="应付",K1120=""),"✗ 这笔要选供应商",IF(AND(P1120="应付",COUNTIF(基础资料!$Q$5:$Q$54,K1120)=0),"✗ 供应商不在基础资料里",IF(AND(P1120="费用",L1120=""),"✗ 费用支出要选费用项目",IF(AND(L1120&lt;&gt;"",COUNTIF(基础资料!$AI$5:$AI$54,L1120)=0),"✗ 费用项目不在基础资料里",IF(AND(IFERROR(INDEX(基础资料!$AD$5:$AD$34,MATCH(O1120,基础资料!$AC$5:$AC$34,0)),"")="收",N(G1120)&lt;&gt;0),"✗ 这类是收款，金额填到收入列",IF(AND(IFERROR(INDEX(基础资料!$AD$5:$AD$34,MATCH(O1120,基础资料!$AC$5:$AC$34,0)),"")="支",N(F1120)&lt;&gt;0),"✗ 这类是付款，金额填到支出列",IF(N(H1120)&lt;0,"⚠ 账户余额成负数了，核对一下","√"))))))))))))))))))</f>
      </c>
      <c r="O1120" s="78">
        <f>IF(D1120&lt;&gt;"",D1120,IF(AND(F1120="",G1120=""),"",IF(J1120&lt;&gt;"",IF(N(F1120)&gt;0,"客户回款","客户退款"),IF(K1120&lt;&gt;"",IF(N(G1120)&gt;0,"供应商付款","供应商退款"),IF(L1120&lt;&gt;"","费用支出","")))))</f>
      </c>
      <c r="P1120" s="78">
        <f>IF(O1120="","",IFERROR(INDEX(基础资料!$AE$5:$AE$34,MATCH(O1120,基础资料!$AC$5:$AC$34,0)),"未知"))</f>
      </c>
      <c r="Q1120" s="78">
        <f>IF(P1120="应收",COUNTIF(P$7:P1120,"应收"),"")</f>
      </c>
      <c r="R1120" s="78">
        <f>IF(P1120="应付",COUNTIF(P$7:P1120,"应付"),"")</f>
      </c>
      <c r="S1120" s="78">
        <f>N(F1120)-N(G1120)</f>
        <v>0</v>
      </c>
    </row>
    <row r="1121">
      <c r="A1121" s="109">
        <f>IF(AND(F1121="",G1121=""),"",ROW()-6)</f>
      </c>
      <c r="B1121" s="140" t="n"/>
      <c r="C1121" s="141" t="n"/>
      <c r="D1121" s="141" t="n"/>
      <c r="E1121" s="142" t="n"/>
      <c r="F1121" s="143" t="n"/>
      <c r="G1121" s="144" t="n"/>
      <c r="H1121" s="145">
        <f>IF(OR(C1121="",AND(F1121="",G1121="")),"",SUMIF(基础资料!$W$5:$W$24,C1121,基础资料!$X$5:$X$24)+SUMIF(C$7:C1121,C1121,F$7:F1121)-SUMIF(C$7:C1121,C1121,G$7:G1121))</f>
      </c>
      <c r="I1121" s="145">
        <f>IF(AND(F1121="",G1121=""),"",SUM(基础资料!$X$5:$X$24)+SUM(F$7:F1121)-SUM(G$7:G1121))</f>
      </c>
      <c r="J1121" s="141" t="n"/>
      <c r="K1121" s="141" t="n"/>
      <c r="L1121" s="141" t="n"/>
      <c r="M1121" s="142" t="n"/>
      <c r="N1121" s="146">
        <f>IF(AND(AND(F1121="",G1121=""),B1121="",C1121="",D1121="",J1121="",K1121="",L1121=""),"",IF(AND(F1121="",G1121=""),"✗ 没填金额",IF(AND(N(F1121)&lt;&gt;0,N(G1121)&lt;&gt;0),"✗ 收入、支出只能填一边",IF(NOT(ISNUMBER(B1121)),"✗ 日期不是真日期（要像 2026/9/25 这样填）",IF(OR(B1121&lt;年初日,B1121&gt;年末日),"✗ 日期不在本会计年度",IF(C1121="","✗ 没选账户",IF(COUNTIF(基础资料!$W$5:$W$24,C1121)=0,"✗ 账户不在基础资料里",IF(O1121="","✗ 没选收支项目",IF(P1121="未知","✗ 收支项目不在基础资料里",IF(AND(P1121="应收",J1121=""),"✗ 这笔要选客户",IF(AND(P1121="应收",COUNTIF(总览汇总!$B$5:$B$304,J1121)=0),"✗ 客户不在总览汇总名单里",IF(AND(P1121="应付",K1121=""),"✗ 这笔要选供应商",IF(AND(P1121="应付",COUNTIF(基础资料!$Q$5:$Q$54,K1121)=0),"✗ 供应商不在基础资料里",IF(AND(P1121="费用",L1121=""),"✗ 费用支出要选费用项目",IF(AND(L1121&lt;&gt;"",COUNTIF(基础资料!$AI$5:$AI$54,L1121)=0),"✗ 费用项目不在基础资料里",IF(AND(IFERROR(INDEX(基础资料!$AD$5:$AD$34,MATCH(O1121,基础资料!$AC$5:$AC$34,0)),"")="收",N(G1121)&lt;&gt;0),"✗ 这类是收款，金额填到收入列",IF(AND(IFERROR(INDEX(基础资料!$AD$5:$AD$34,MATCH(O1121,基础资料!$AC$5:$AC$34,0)),"")="支",N(F1121)&lt;&gt;0),"✗ 这类是付款，金额填到支出列",IF(N(H1121)&lt;0,"⚠ 账户余额成负数了，核对一下","√"))))))))))))))))))</f>
      </c>
      <c r="O1121" s="78">
        <f>IF(D1121&lt;&gt;"",D1121,IF(AND(F1121="",G1121=""),"",IF(J1121&lt;&gt;"",IF(N(F1121)&gt;0,"客户回款","客户退款"),IF(K1121&lt;&gt;"",IF(N(G1121)&gt;0,"供应商付款","供应商退款"),IF(L1121&lt;&gt;"","费用支出","")))))</f>
      </c>
      <c r="P1121" s="78">
        <f>IF(O1121="","",IFERROR(INDEX(基础资料!$AE$5:$AE$34,MATCH(O1121,基础资料!$AC$5:$AC$34,0)),"未知"))</f>
      </c>
      <c r="Q1121" s="78">
        <f>IF(P1121="应收",COUNTIF(P$7:P1121,"应收"),"")</f>
      </c>
      <c r="R1121" s="78">
        <f>IF(P1121="应付",COUNTIF(P$7:P1121,"应付"),"")</f>
      </c>
      <c r="S1121" s="78">
        <f>N(F1121)-N(G1121)</f>
        <v>0</v>
      </c>
    </row>
    <row r="1122">
      <c r="A1122" s="109">
        <f>IF(AND(F1122="",G1122=""),"",ROW()-6)</f>
      </c>
      <c r="B1122" s="140" t="n"/>
      <c r="C1122" s="141" t="n"/>
      <c r="D1122" s="141" t="n"/>
      <c r="E1122" s="142" t="n"/>
      <c r="F1122" s="143" t="n"/>
      <c r="G1122" s="144" t="n"/>
      <c r="H1122" s="145">
        <f>IF(OR(C1122="",AND(F1122="",G1122="")),"",SUMIF(基础资料!$W$5:$W$24,C1122,基础资料!$X$5:$X$24)+SUMIF(C$7:C1122,C1122,F$7:F1122)-SUMIF(C$7:C1122,C1122,G$7:G1122))</f>
      </c>
      <c r="I1122" s="145">
        <f>IF(AND(F1122="",G1122=""),"",SUM(基础资料!$X$5:$X$24)+SUM(F$7:F1122)-SUM(G$7:G1122))</f>
      </c>
      <c r="J1122" s="141" t="n"/>
      <c r="K1122" s="141" t="n"/>
      <c r="L1122" s="141" t="n"/>
      <c r="M1122" s="142" t="n"/>
      <c r="N1122" s="146">
        <f>IF(AND(AND(F1122="",G1122=""),B1122="",C1122="",D1122="",J1122="",K1122="",L1122=""),"",IF(AND(F1122="",G1122=""),"✗ 没填金额",IF(AND(N(F1122)&lt;&gt;0,N(G1122)&lt;&gt;0),"✗ 收入、支出只能填一边",IF(NOT(ISNUMBER(B1122)),"✗ 日期不是真日期（要像 2026/9/25 这样填）",IF(OR(B1122&lt;年初日,B1122&gt;年末日),"✗ 日期不在本会计年度",IF(C1122="","✗ 没选账户",IF(COUNTIF(基础资料!$W$5:$W$24,C1122)=0,"✗ 账户不在基础资料里",IF(O1122="","✗ 没选收支项目",IF(P1122="未知","✗ 收支项目不在基础资料里",IF(AND(P1122="应收",J1122=""),"✗ 这笔要选客户",IF(AND(P1122="应收",COUNTIF(总览汇总!$B$5:$B$304,J1122)=0),"✗ 客户不在总览汇总名单里",IF(AND(P1122="应付",K1122=""),"✗ 这笔要选供应商",IF(AND(P1122="应付",COUNTIF(基础资料!$Q$5:$Q$54,K1122)=0),"✗ 供应商不在基础资料里",IF(AND(P1122="费用",L1122=""),"✗ 费用支出要选费用项目",IF(AND(L1122&lt;&gt;"",COUNTIF(基础资料!$AI$5:$AI$54,L1122)=0),"✗ 费用项目不在基础资料里",IF(AND(IFERROR(INDEX(基础资料!$AD$5:$AD$34,MATCH(O1122,基础资料!$AC$5:$AC$34,0)),"")="收",N(G1122)&lt;&gt;0),"✗ 这类是收款，金额填到收入列",IF(AND(IFERROR(INDEX(基础资料!$AD$5:$AD$34,MATCH(O1122,基础资料!$AC$5:$AC$34,0)),"")="支",N(F1122)&lt;&gt;0),"✗ 这类是付款，金额填到支出列",IF(N(H1122)&lt;0,"⚠ 账户余额成负数了，核对一下","√"))))))))))))))))))</f>
      </c>
      <c r="O1122" s="78">
        <f>IF(D1122&lt;&gt;"",D1122,IF(AND(F1122="",G1122=""),"",IF(J1122&lt;&gt;"",IF(N(F1122)&gt;0,"客户回款","客户退款"),IF(K1122&lt;&gt;"",IF(N(G1122)&gt;0,"供应商付款","供应商退款"),IF(L1122&lt;&gt;"","费用支出","")))))</f>
      </c>
      <c r="P1122" s="78">
        <f>IF(O1122="","",IFERROR(INDEX(基础资料!$AE$5:$AE$34,MATCH(O1122,基础资料!$AC$5:$AC$34,0)),"未知"))</f>
      </c>
      <c r="Q1122" s="78">
        <f>IF(P1122="应收",COUNTIF(P$7:P1122,"应收"),"")</f>
      </c>
      <c r="R1122" s="78">
        <f>IF(P1122="应付",COUNTIF(P$7:P1122,"应付"),"")</f>
      </c>
      <c r="S1122" s="78">
        <f>N(F1122)-N(G1122)</f>
        <v>0</v>
      </c>
    </row>
    <row r="1123">
      <c r="A1123" s="109">
        <f>IF(AND(F1123="",G1123=""),"",ROW()-6)</f>
      </c>
      <c r="B1123" s="140" t="n"/>
      <c r="C1123" s="141" t="n"/>
      <c r="D1123" s="141" t="n"/>
      <c r="E1123" s="142" t="n"/>
      <c r="F1123" s="143" t="n"/>
      <c r="G1123" s="144" t="n"/>
      <c r="H1123" s="145">
        <f>IF(OR(C1123="",AND(F1123="",G1123="")),"",SUMIF(基础资料!$W$5:$W$24,C1123,基础资料!$X$5:$X$24)+SUMIF(C$7:C1123,C1123,F$7:F1123)-SUMIF(C$7:C1123,C1123,G$7:G1123))</f>
      </c>
      <c r="I1123" s="145">
        <f>IF(AND(F1123="",G1123=""),"",SUM(基础资料!$X$5:$X$24)+SUM(F$7:F1123)-SUM(G$7:G1123))</f>
      </c>
      <c r="J1123" s="141" t="n"/>
      <c r="K1123" s="141" t="n"/>
      <c r="L1123" s="141" t="n"/>
      <c r="M1123" s="142" t="n"/>
      <c r="N1123" s="146">
        <f>IF(AND(AND(F1123="",G1123=""),B1123="",C1123="",D1123="",J1123="",K1123="",L1123=""),"",IF(AND(F1123="",G1123=""),"✗ 没填金额",IF(AND(N(F1123)&lt;&gt;0,N(G1123)&lt;&gt;0),"✗ 收入、支出只能填一边",IF(NOT(ISNUMBER(B1123)),"✗ 日期不是真日期（要像 2026/9/25 这样填）",IF(OR(B1123&lt;年初日,B1123&gt;年末日),"✗ 日期不在本会计年度",IF(C1123="","✗ 没选账户",IF(COUNTIF(基础资料!$W$5:$W$24,C1123)=0,"✗ 账户不在基础资料里",IF(O1123="","✗ 没选收支项目",IF(P1123="未知","✗ 收支项目不在基础资料里",IF(AND(P1123="应收",J1123=""),"✗ 这笔要选客户",IF(AND(P1123="应收",COUNTIF(总览汇总!$B$5:$B$304,J1123)=0),"✗ 客户不在总览汇总名单里",IF(AND(P1123="应付",K1123=""),"✗ 这笔要选供应商",IF(AND(P1123="应付",COUNTIF(基础资料!$Q$5:$Q$54,K1123)=0),"✗ 供应商不在基础资料里",IF(AND(P1123="费用",L1123=""),"✗ 费用支出要选费用项目",IF(AND(L1123&lt;&gt;"",COUNTIF(基础资料!$AI$5:$AI$54,L1123)=0),"✗ 费用项目不在基础资料里",IF(AND(IFERROR(INDEX(基础资料!$AD$5:$AD$34,MATCH(O1123,基础资料!$AC$5:$AC$34,0)),"")="收",N(G1123)&lt;&gt;0),"✗ 这类是收款，金额填到收入列",IF(AND(IFERROR(INDEX(基础资料!$AD$5:$AD$34,MATCH(O1123,基础资料!$AC$5:$AC$34,0)),"")="支",N(F1123)&lt;&gt;0),"✗ 这类是付款，金额填到支出列",IF(N(H1123)&lt;0,"⚠ 账户余额成负数了，核对一下","√"))))))))))))))))))</f>
      </c>
      <c r="O1123" s="78">
        <f>IF(D1123&lt;&gt;"",D1123,IF(AND(F1123="",G1123=""),"",IF(J1123&lt;&gt;"",IF(N(F1123)&gt;0,"客户回款","客户退款"),IF(K1123&lt;&gt;"",IF(N(G1123)&gt;0,"供应商付款","供应商退款"),IF(L1123&lt;&gt;"","费用支出","")))))</f>
      </c>
      <c r="P1123" s="78">
        <f>IF(O1123="","",IFERROR(INDEX(基础资料!$AE$5:$AE$34,MATCH(O1123,基础资料!$AC$5:$AC$34,0)),"未知"))</f>
      </c>
      <c r="Q1123" s="78">
        <f>IF(P1123="应收",COUNTIF(P$7:P1123,"应收"),"")</f>
      </c>
      <c r="R1123" s="78">
        <f>IF(P1123="应付",COUNTIF(P$7:P1123,"应付"),"")</f>
      </c>
      <c r="S1123" s="78">
        <f>N(F1123)-N(G1123)</f>
        <v>0</v>
      </c>
    </row>
    <row r="1124">
      <c r="A1124" s="109">
        <f>IF(AND(F1124="",G1124=""),"",ROW()-6)</f>
      </c>
      <c r="B1124" s="140" t="n"/>
      <c r="C1124" s="141" t="n"/>
      <c r="D1124" s="141" t="n"/>
      <c r="E1124" s="142" t="n"/>
      <c r="F1124" s="143" t="n"/>
      <c r="G1124" s="144" t="n"/>
      <c r="H1124" s="145">
        <f>IF(OR(C1124="",AND(F1124="",G1124="")),"",SUMIF(基础资料!$W$5:$W$24,C1124,基础资料!$X$5:$X$24)+SUMIF(C$7:C1124,C1124,F$7:F1124)-SUMIF(C$7:C1124,C1124,G$7:G1124))</f>
      </c>
      <c r="I1124" s="145">
        <f>IF(AND(F1124="",G1124=""),"",SUM(基础资料!$X$5:$X$24)+SUM(F$7:F1124)-SUM(G$7:G1124))</f>
      </c>
      <c r="J1124" s="141" t="n"/>
      <c r="K1124" s="141" t="n"/>
      <c r="L1124" s="141" t="n"/>
      <c r="M1124" s="142" t="n"/>
      <c r="N1124" s="146">
        <f>IF(AND(AND(F1124="",G1124=""),B1124="",C1124="",D1124="",J1124="",K1124="",L1124=""),"",IF(AND(F1124="",G1124=""),"✗ 没填金额",IF(AND(N(F1124)&lt;&gt;0,N(G1124)&lt;&gt;0),"✗ 收入、支出只能填一边",IF(NOT(ISNUMBER(B1124)),"✗ 日期不是真日期（要像 2026/9/25 这样填）",IF(OR(B1124&lt;年初日,B1124&gt;年末日),"✗ 日期不在本会计年度",IF(C1124="","✗ 没选账户",IF(COUNTIF(基础资料!$W$5:$W$24,C1124)=0,"✗ 账户不在基础资料里",IF(O1124="","✗ 没选收支项目",IF(P1124="未知","✗ 收支项目不在基础资料里",IF(AND(P1124="应收",J1124=""),"✗ 这笔要选客户",IF(AND(P1124="应收",COUNTIF(总览汇总!$B$5:$B$304,J1124)=0),"✗ 客户不在总览汇总名单里",IF(AND(P1124="应付",K1124=""),"✗ 这笔要选供应商",IF(AND(P1124="应付",COUNTIF(基础资料!$Q$5:$Q$54,K1124)=0),"✗ 供应商不在基础资料里",IF(AND(P1124="费用",L1124=""),"✗ 费用支出要选费用项目",IF(AND(L1124&lt;&gt;"",COUNTIF(基础资料!$AI$5:$AI$54,L1124)=0),"✗ 费用项目不在基础资料里",IF(AND(IFERROR(INDEX(基础资料!$AD$5:$AD$34,MATCH(O1124,基础资料!$AC$5:$AC$34,0)),"")="收",N(G1124)&lt;&gt;0),"✗ 这类是收款，金额填到收入列",IF(AND(IFERROR(INDEX(基础资料!$AD$5:$AD$34,MATCH(O1124,基础资料!$AC$5:$AC$34,0)),"")="支",N(F1124)&lt;&gt;0),"✗ 这类是付款，金额填到支出列",IF(N(H1124)&lt;0,"⚠ 账户余额成负数了，核对一下","√"))))))))))))))))))</f>
      </c>
      <c r="O1124" s="78">
        <f>IF(D1124&lt;&gt;"",D1124,IF(AND(F1124="",G1124=""),"",IF(J1124&lt;&gt;"",IF(N(F1124)&gt;0,"客户回款","客户退款"),IF(K1124&lt;&gt;"",IF(N(G1124)&gt;0,"供应商付款","供应商退款"),IF(L1124&lt;&gt;"","费用支出","")))))</f>
      </c>
      <c r="P1124" s="78">
        <f>IF(O1124="","",IFERROR(INDEX(基础资料!$AE$5:$AE$34,MATCH(O1124,基础资料!$AC$5:$AC$34,0)),"未知"))</f>
      </c>
      <c r="Q1124" s="78">
        <f>IF(P1124="应收",COUNTIF(P$7:P1124,"应收"),"")</f>
      </c>
      <c r="R1124" s="78">
        <f>IF(P1124="应付",COUNTIF(P$7:P1124,"应付"),"")</f>
      </c>
      <c r="S1124" s="78">
        <f>N(F1124)-N(G1124)</f>
        <v>0</v>
      </c>
    </row>
    <row r="1125">
      <c r="A1125" s="109">
        <f>IF(AND(F1125="",G1125=""),"",ROW()-6)</f>
      </c>
      <c r="B1125" s="140" t="n"/>
      <c r="C1125" s="141" t="n"/>
      <c r="D1125" s="141" t="n"/>
      <c r="E1125" s="142" t="n"/>
      <c r="F1125" s="143" t="n"/>
      <c r="G1125" s="144" t="n"/>
      <c r="H1125" s="145">
        <f>IF(OR(C1125="",AND(F1125="",G1125="")),"",SUMIF(基础资料!$W$5:$W$24,C1125,基础资料!$X$5:$X$24)+SUMIF(C$7:C1125,C1125,F$7:F1125)-SUMIF(C$7:C1125,C1125,G$7:G1125))</f>
      </c>
      <c r="I1125" s="145">
        <f>IF(AND(F1125="",G1125=""),"",SUM(基础资料!$X$5:$X$24)+SUM(F$7:F1125)-SUM(G$7:G1125))</f>
      </c>
      <c r="J1125" s="141" t="n"/>
      <c r="K1125" s="141" t="n"/>
      <c r="L1125" s="141" t="n"/>
      <c r="M1125" s="142" t="n"/>
      <c r="N1125" s="146">
        <f>IF(AND(AND(F1125="",G1125=""),B1125="",C1125="",D1125="",J1125="",K1125="",L1125=""),"",IF(AND(F1125="",G1125=""),"✗ 没填金额",IF(AND(N(F1125)&lt;&gt;0,N(G1125)&lt;&gt;0),"✗ 收入、支出只能填一边",IF(NOT(ISNUMBER(B1125)),"✗ 日期不是真日期（要像 2026/9/25 这样填）",IF(OR(B1125&lt;年初日,B1125&gt;年末日),"✗ 日期不在本会计年度",IF(C1125="","✗ 没选账户",IF(COUNTIF(基础资料!$W$5:$W$24,C1125)=0,"✗ 账户不在基础资料里",IF(O1125="","✗ 没选收支项目",IF(P1125="未知","✗ 收支项目不在基础资料里",IF(AND(P1125="应收",J1125=""),"✗ 这笔要选客户",IF(AND(P1125="应收",COUNTIF(总览汇总!$B$5:$B$304,J1125)=0),"✗ 客户不在总览汇总名单里",IF(AND(P1125="应付",K1125=""),"✗ 这笔要选供应商",IF(AND(P1125="应付",COUNTIF(基础资料!$Q$5:$Q$54,K1125)=0),"✗ 供应商不在基础资料里",IF(AND(P1125="费用",L1125=""),"✗ 费用支出要选费用项目",IF(AND(L1125&lt;&gt;"",COUNTIF(基础资料!$AI$5:$AI$54,L1125)=0),"✗ 费用项目不在基础资料里",IF(AND(IFERROR(INDEX(基础资料!$AD$5:$AD$34,MATCH(O1125,基础资料!$AC$5:$AC$34,0)),"")="收",N(G1125)&lt;&gt;0),"✗ 这类是收款，金额填到收入列",IF(AND(IFERROR(INDEX(基础资料!$AD$5:$AD$34,MATCH(O1125,基础资料!$AC$5:$AC$34,0)),"")="支",N(F1125)&lt;&gt;0),"✗ 这类是付款，金额填到支出列",IF(N(H1125)&lt;0,"⚠ 账户余额成负数了，核对一下","√"))))))))))))))))))</f>
      </c>
      <c r="O1125" s="78">
        <f>IF(D1125&lt;&gt;"",D1125,IF(AND(F1125="",G1125=""),"",IF(J1125&lt;&gt;"",IF(N(F1125)&gt;0,"客户回款","客户退款"),IF(K1125&lt;&gt;"",IF(N(G1125)&gt;0,"供应商付款","供应商退款"),IF(L1125&lt;&gt;"","费用支出","")))))</f>
      </c>
      <c r="P1125" s="78">
        <f>IF(O1125="","",IFERROR(INDEX(基础资料!$AE$5:$AE$34,MATCH(O1125,基础资料!$AC$5:$AC$34,0)),"未知"))</f>
      </c>
      <c r="Q1125" s="78">
        <f>IF(P1125="应收",COUNTIF(P$7:P1125,"应收"),"")</f>
      </c>
      <c r="R1125" s="78">
        <f>IF(P1125="应付",COUNTIF(P$7:P1125,"应付"),"")</f>
      </c>
      <c r="S1125" s="78">
        <f>N(F1125)-N(G1125)</f>
        <v>0</v>
      </c>
    </row>
    <row r="1126">
      <c r="A1126" s="109">
        <f>IF(AND(F1126="",G1126=""),"",ROW()-6)</f>
      </c>
      <c r="B1126" s="140" t="n"/>
      <c r="C1126" s="141" t="n"/>
      <c r="D1126" s="141" t="n"/>
      <c r="E1126" s="142" t="n"/>
      <c r="F1126" s="143" t="n"/>
      <c r="G1126" s="144" t="n"/>
      <c r="H1126" s="145">
        <f>IF(OR(C1126="",AND(F1126="",G1126="")),"",SUMIF(基础资料!$W$5:$W$24,C1126,基础资料!$X$5:$X$24)+SUMIF(C$7:C1126,C1126,F$7:F1126)-SUMIF(C$7:C1126,C1126,G$7:G1126))</f>
      </c>
      <c r="I1126" s="145">
        <f>IF(AND(F1126="",G1126=""),"",SUM(基础资料!$X$5:$X$24)+SUM(F$7:F1126)-SUM(G$7:G1126))</f>
      </c>
      <c r="J1126" s="141" t="n"/>
      <c r="K1126" s="141" t="n"/>
      <c r="L1126" s="141" t="n"/>
      <c r="M1126" s="142" t="n"/>
      <c r="N1126" s="146">
        <f>IF(AND(AND(F1126="",G1126=""),B1126="",C1126="",D1126="",J1126="",K1126="",L1126=""),"",IF(AND(F1126="",G1126=""),"✗ 没填金额",IF(AND(N(F1126)&lt;&gt;0,N(G1126)&lt;&gt;0),"✗ 收入、支出只能填一边",IF(NOT(ISNUMBER(B1126)),"✗ 日期不是真日期（要像 2026/9/25 这样填）",IF(OR(B1126&lt;年初日,B1126&gt;年末日),"✗ 日期不在本会计年度",IF(C1126="","✗ 没选账户",IF(COUNTIF(基础资料!$W$5:$W$24,C1126)=0,"✗ 账户不在基础资料里",IF(O1126="","✗ 没选收支项目",IF(P1126="未知","✗ 收支项目不在基础资料里",IF(AND(P1126="应收",J1126=""),"✗ 这笔要选客户",IF(AND(P1126="应收",COUNTIF(总览汇总!$B$5:$B$304,J1126)=0),"✗ 客户不在总览汇总名单里",IF(AND(P1126="应付",K1126=""),"✗ 这笔要选供应商",IF(AND(P1126="应付",COUNTIF(基础资料!$Q$5:$Q$54,K1126)=0),"✗ 供应商不在基础资料里",IF(AND(P1126="费用",L1126=""),"✗ 费用支出要选费用项目",IF(AND(L1126&lt;&gt;"",COUNTIF(基础资料!$AI$5:$AI$54,L1126)=0),"✗ 费用项目不在基础资料里",IF(AND(IFERROR(INDEX(基础资料!$AD$5:$AD$34,MATCH(O1126,基础资料!$AC$5:$AC$34,0)),"")="收",N(G1126)&lt;&gt;0),"✗ 这类是收款，金额填到收入列",IF(AND(IFERROR(INDEX(基础资料!$AD$5:$AD$34,MATCH(O1126,基础资料!$AC$5:$AC$34,0)),"")="支",N(F1126)&lt;&gt;0),"✗ 这类是付款，金额填到支出列",IF(N(H1126)&lt;0,"⚠ 账户余额成负数了，核对一下","√"))))))))))))))))))</f>
      </c>
      <c r="O1126" s="78">
        <f>IF(D1126&lt;&gt;"",D1126,IF(AND(F1126="",G1126=""),"",IF(J1126&lt;&gt;"",IF(N(F1126)&gt;0,"客户回款","客户退款"),IF(K1126&lt;&gt;"",IF(N(G1126)&gt;0,"供应商付款","供应商退款"),IF(L1126&lt;&gt;"","费用支出","")))))</f>
      </c>
      <c r="P1126" s="78">
        <f>IF(O1126="","",IFERROR(INDEX(基础资料!$AE$5:$AE$34,MATCH(O1126,基础资料!$AC$5:$AC$34,0)),"未知"))</f>
      </c>
      <c r="Q1126" s="78">
        <f>IF(P1126="应收",COUNTIF(P$7:P1126,"应收"),"")</f>
      </c>
      <c r="R1126" s="78">
        <f>IF(P1126="应付",COUNTIF(P$7:P1126,"应付"),"")</f>
      </c>
      <c r="S1126" s="78">
        <f>N(F1126)-N(G1126)</f>
        <v>0</v>
      </c>
    </row>
    <row r="1127">
      <c r="A1127" s="109">
        <f>IF(AND(F1127="",G1127=""),"",ROW()-6)</f>
      </c>
      <c r="B1127" s="140" t="n"/>
      <c r="C1127" s="141" t="n"/>
      <c r="D1127" s="141" t="n"/>
      <c r="E1127" s="142" t="n"/>
      <c r="F1127" s="143" t="n"/>
      <c r="G1127" s="144" t="n"/>
      <c r="H1127" s="145">
        <f>IF(OR(C1127="",AND(F1127="",G1127="")),"",SUMIF(基础资料!$W$5:$W$24,C1127,基础资料!$X$5:$X$24)+SUMIF(C$7:C1127,C1127,F$7:F1127)-SUMIF(C$7:C1127,C1127,G$7:G1127))</f>
      </c>
      <c r="I1127" s="145">
        <f>IF(AND(F1127="",G1127=""),"",SUM(基础资料!$X$5:$X$24)+SUM(F$7:F1127)-SUM(G$7:G1127))</f>
      </c>
      <c r="J1127" s="141" t="n"/>
      <c r="K1127" s="141" t="n"/>
      <c r="L1127" s="141" t="n"/>
      <c r="M1127" s="142" t="n"/>
      <c r="N1127" s="146">
        <f>IF(AND(AND(F1127="",G1127=""),B1127="",C1127="",D1127="",J1127="",K1127="",L1127=""),"",IF(AND(F1127="",G1127=""),"✗ 没填金额",IF(AND(N(F1127)&lt;&gt;0,N(G1127)&lt;&gt;0),"✗ 收入、支出只能填一边",IF(NOT(ISNUMBER(B1127)),"✗ 日期不是真日期（要像 2026/9/25 这样填）",IF(OR(B1127&lt;年初日,B1127&gt;年末日),"✗ 日期不在本会计年度",IF(C1127="","✗ 没选账户",IF(COUNTIF(基础资料!$W$5:$W$24,C1127)=0,"✗ 账户不在基础资料里",IF(O1127="","✗ 没选收支项目",IF(P1127="未知","✗ 收支项目不在基础资料里",IF(AND(P1127="应收",J1127=""),"✗ 这笔要选客户",IF(AND(P1127="应收",COUNTIF(总览汇总!$B$5:$B$304,J1127)=0),"✗ 客户不在总览汇总名单里",IF(AND(P1127="应付",K1127=""),"✗ 这笔要选供应商",IF(AND(P1127="应付",COUNTIF(基础资料!$Q$5:$Q$54,K1127)=0),"✗ 供应商不在基础资料里",IF(AND(P1127="费用",L1127=""),"✗ 费用支出要选费用项目",IF(AND(L1127&lt;&gt;"",COUNTIF(基础资料!$AI$5:$AI$54,L1127)=0),"✗ 费用项目不在基础资料里",IF(AND(IFERROR(INDEX(基础资料!$AD$5:$AD$34,MATCH(O1127,基础资料!$AC$5:$AC$34,0)),"")="收",N(G1127)&lt;&gt;0),"✗ 这类是收款，金额填到收入列",IF(AND(IFERROR(INDEX(基础资料!$AD$5:$AD$34,MATCH(O1127,基础资料!$AC$5:$AC$34,0)),"")="支",N(F1127)&lt;&gt;0),"✗ 这类是付款，金额填到支出列",IF(N(H1127)&lt;0,"⚠ 账户余额成负数了，核对一下","√"))))))))))))))))))</f>
      </c>
      <c r="O1127" s="78">
        <f>IF(D1127&lt;&gt;"",D1127,IF(AND(F1127="",G1127=""),"",IF(J1127&lt;&gt;"",IF(N(F1127)&gt;0,"客户回款","客户退款"),IF(K1127&lt;&gt;"",IF(N(G1127)&gt;0,"供应商付款","供应商退款"),IF(L1127&lt;&gt;"","费用支出","")))))</f>
      </c>
      <c r="P1127" s="78">
        <f>IF(O1127="","",IFERROR(INDEX(基础资料!$AE$5:$AE$34,MATCH(O1127,基础资料!$AC$5:$AC$34,0)),"未知"))</f>
      </c>
      <c r="Q1127" s="78">
        <f>IF(P1127="应收",COUNTIF(P$7:P1127,"应收"),"")</f>
      </c>
      <c r="R1127" s="78">
        <f>IF(P1127="应付",COUNTIF(P$7:P1127,"应付"),"")</f>
      </c>
      <c r="S1127" s="78">
        <f>N(F1127)-N(G1127)</f>
        <v>0</v>
      </c>
    </row>
    <row r="1128">
      <c r="A1128" s="109">
        <f>IF(AND(F1128="",G1128=""),"",ROW()-6)</f>
      </c>
      <c r="B1128" s="140" t="n"/>
      <c r="C1128" s="141" t="n"/>
      <c r="D1128" s="141" t="n"/>
      <c r="E1128" s="142" t="n"/>
      <c r="F1128" s="143" t="n"/>
      <c r="G1128" s="144" t="n"/>
      <c r="H1128" s="145">
        <f>IF(OR(C1128="",AND(F1128="",G1128="")),"",SUMIF(基础资料!$W$5:$W$24,C1128,基础资料!$X$5:$X$24)+SUMIF(C$7:C1128,C1128,F$7:F1128)-SUMIF(C$7:C1128,C1128,G$7:G1128))</f>
      </c>
      <c r="I1128" s="145">
        <f>IF(AND(F1128="",G1128=""),"",SUM(基础资料!$X$5:$X$24)+SUM(F$7:F1128)-SUM(G$7:G1128))</f>
      </c>
      <c r="J1128" s="141" t="n"/>
      <c r="K1128" s="141" t="n"/>
      <c r="L1128" s="141" t="n"/>
      <c r="M1128" s="142" t="n"/>
      <c r="N1128" s="146">
        <f>IF(AND(AND(F1128="",G1128=""),B1128="",C1128="",D1128="",J1128="",K1128="",L1128=""),"",IF(AND(F1128="",G1128=""),"✗ 没填金额",IF(AND(N(F1128)&lt;&gt;0,N(G1128)&lt;&gt;0),"✗ 收入、支出只能填一边",IF(NOT(ISNUMBER(B1128)),"✗ 日期不是真日期（要像 2026/9/25 这样填）",IF(OR(B1128&lt;年初日,B1128&gt;年末日),"✗ 日期不在本会计年度",IF(C1128="","✗ 没选账户",IF(COUNTIF(基础资料!$W$5:$W$24,C1128)=0,"✗ 账户不在基础资料里",IF(O1128="","✗ 没选收支项目",IF(P1128="未知","✗ 收支项目不在基础资料里",IF(AND(P1128="应收",J1128=""),"✗ 这笔要选客户",IF(AND(P1128="应收",COUNTIF(总览汇总!$B$5:$B$304,J1128)=0),"✗ 客户不在总览汇总名单里",IF(AND(P1128="应付",K1128=""),"✗ 这笔要选供应商",IF(AND(P1128="应付",COUNTIF(基础资料!$Q$5:$Q$54,K1128)=0),"✗ 供应商不在基础资料里",IF(AND(P1128="费用",L1128=""),"✗ 费用支出要选费用项目",IF(AND(L1128&lt;&gt;"",COUNTIF(基础资料!$AI$5:$AI$54,L1128)=0),"✗ 费用项目不在基础资料里",IF(AND(IFERROR(INDEX(基础资料!$AD$5:$AD$34,MATCH(O1128,基础资料!$AC$5:$AC$34,0)),"")="收",N(G1128)&lt;&gt;0),"✗ 这类是收款，金额填到收入列",IF(AND(IFERROR(INDEX(基础资料!$AD$5:$AD$34,MATCH(O1128,基础资料!$AC$5:$AC$34,0)),"")="支",N(F1128)&lt;&gt;0),"✗ 这类是付款，金额填到支出列",IF(N(H1128)&lt;0,"⚠ 账户余额成负数了，核对一下","√"))))))))))))))))))</f>
      </c>
      <c r="O1128" s="78">
        <f>IF(D1128&lt;&gt;"",D1128,IF(AND(F1128="",G1128=""),"",IF(J1128&lt;&gt;"",IF(N(F1128)&gt;0,"客户回款","客户退款"),IF(K1128&lt;&gt;"",IF(N(G1128)&gt;0,"供应商付款","供应商退款"),IF(L1128&lt;&gt;"","费用支出","")))))</f>
      </c>
      <c r="P1128" s="78">
        <f>IF(O1128="","",IFERROR(INDEX(基础资料!$AE$5:$AE$34,MATCH(O1128,基础资料!$AC$5:$AC$34,0)),"未知"))</f>
      </c>
      <c r="Q1128" s="78">
        <f>IF(P1128="应收",COUNTIF(P$7:P1128,"应收"),"")</f>
      </c>
      <c r="R1128" s="78">
        <f>IF(P1128="应付",COUNTIF(P$7:P1128,"应付"),"")</f>
      </c>
      <c r="S1128" s="78">
        <f>N(F1128)-N(G1128)</f>
        <v>0</v>
      </c>
    </row>
    <row r="1129">
      <c r="A1129" s="109">
        <f>IF(AND(F1129="",G1129=""),"",ROW()-6)</f>
      </c>
      <c r="B1129" s="140" t="n"/>
      <c r="C1129" s="141" t="n"/>
      <c r="D1129" s="141" t="n"/>
      <c r="E1129" s="142" t="n"/>
      <c r="F1129" s="143" t="n"/>
      <c r="G1129" s="144" t="n"/>
      <c r="H1129" s="145">
        <f>IF(OR(C1129="",AND(F1129="",G1129="")),"",SUMIF(基础资料!$W$5:$W$24,C1129,基础资料!$X$5:$X$24)+SUMIF(C$7:C1129,C1129,F$7:F1129)-SUMIF(C$7:C1129,C1129,G$7:G1129))</f>
      </c>
      <c r="I1129" s="145">
        <f>IF(AND(F1129="",G1129=""),"",SUM(基础资料!$X$5:$X$24)+SUM(F$7:F1129)-SUM(G$7:G1129))</f>
      </c>
      <c r="J1129" s="141" t="n"/>
      <c r="K1129" s="141" t="n"/>
      <c r="L1129" s="141" t="n"/>
      <c r="M1129" s="142" t="n"/>
      <c r="N1129" s="146">
        <f>IF(AND(AND(F1129="",G1129=""),B1129="",C1129="",D1129="",J1129="",K1129="",L1129=""),"",IF(AND(F1129="",G1129=""),"✗ 没填金额",IF(AND(N(F1129)&lt;&gt;0,N(G1129)&lt;&gt;0),"✗ 收入、支出只能填一边",IF(NOT(ISNUMBER(B1129)),"✗ 日期不是真日期（要像 2026/9/25 这样填）",IF(OR(B1129&lt;年初日,B1129&gt;年末日),"✗ 日期不在本会计年度",IF(C1129="","✗ 没选账户",IF(COUNTIF(基础资料!$W$5:$W$24,C1129)=0,"✗ 账户不在基础资料里",IF(O1129="","✗ 没选收支项目",IF(P1129="未知","✗ 收支项目不在基础资料里",IF(AND(P1129="应收",J1129=""),"✗ 这笔要选客户",IF(AND(P1129="应收",COUNTIF(总览汇总!$B$5:$B$304,J1129)=0),"✗ 客户不在总览汇总名单里",IF(AND(P1129="应付",K1129=""),"✗ 这笔要选供应商",IF(AND(P1129="应付",COUNTIF(基础资料!$Q$5:$Q$54,K1129)=0),"✗ 供应商不在基础资料里",IF(AND(P1129="费用",L1129=""),"✗ 费用支出要选费用项目",IF(AND(L1129&lt;&gt;"",COUNTIF(基础资料!$AI$5:$AI$54,L1129)=0),"✗ 费用项目不在基础资料里",IF(AND(IFERROR(INDEX(基础资料!$AD$5:$AD$34,MATCH(O1129,基础资料!$AC$5:$AC$34,0)),"")="收",N(G1129)&lt;&gt;0),"✗ 这类是收款，金额填到收入列",IF(AND(IFERROR(INDEX(基础资料!$AD$5:$AD$34,MATCH(O1129,基础资料!$AC$5:$AC$34,0)),"")="支",N(F1129)&lt;&gt;0),"✗ 这类是付款，金额填到支出列",IF(N(H1129)&lt;0,"⚠ 账户余额成负数了，核对一下","√"))))))))))))))))))</f>
      </c>
      <c r="O1129" s="78">
        <f>IF(D1129&lt;&gt;"",D1129,IF(AND(F1129="",G1129=""),"",IF(J1129&lt;&gt;"",IF(N(F1129)&gt;0,"客户回款","客户退款"),IF(K1129&lt;&gt;"",IF(N(G1129)&gt;0,"供应商付款","供应商退款"),IF(L1129&lt;&gt;"","费用支出","")))))</f>
      </c>
      <c r="P1129" s="78">
        <f>IF(O1129="","",IFERROR(INDEX(基础资料!$AE$5:$AE$34,MATCH(O1129,基础资料!$AC$5:$AC$34,0)),"未知"))</f>
      </c>
      <c r="Q1129" s="78">
        <f>IF(P1129="应收",COUNTIF(P$7:P1129,"应收"),"")</f>
      </c>
      <c r="R1129" s="78">
        <f>IF(P1129="应付",COUNTIF(P$7:P1129,"应付"),"")</f>
      </c>
      <c r="S1129" s="78">
        <f>N(F1129)-N(G1129)</f>
        <v>0</v>
      </c>
    </row>
    <row r="1130">
      <c r="A1130" s="109">
        <f>IF(AND(F1130="",G1130=""),"",ROW()-6)</f>
      </c>
      <c r="B1130" s="140" t="n"/>
      <c r="C1130" s="141" t="n"/>
      <c r="D1130" s="141" t="n"/>
      <c r="E1130" s="142" t="n"/>
      <c r="F1130" s="143" t="n"/>
      <c r="G1130" s="144" t="n"/>
      <c r="H1130" s="145">
        <f>IF(OR(C1130="",AND(F1130="",G1130="")),"",SUMIF(基础资料!$W$5:$W$24,C1130,基础资料!$X$5:$X$24)+SUMIF(C$7:C1130,C1130,F$7:F1130)-SUMIF(C$7:C1130,C1130,G$7:G1130))</f>
      </c>
      <c r="I1130" s="145">
        <f>IF(AND(F1130="",G1130=""),"",SUM(基础资料!$X$5:$X$24)+SUM(F$7:F1130)-SUM(G$7:G1130))</f>
      </c>
      <c r="J1130" s="141" t="n"/>
      <c r="K1130" s="141" t="n"/>
      <c r="L1130" s="141" t="n"/>
      <c r="M1130" s="142" t="n"/>
      <c r="N1130" s="146">
        <f>IF(AND(AND(F1130="",G1130=""),B1130="",C1130="",D1130="",J1130="",K1130="",L1130=""),"",IF(AND(F1130="",G1130=""),"✗ 没填金额",IF(AND(N(F1130)&lt;&gt;0,N(G1130)&lt;&gt;0),"✗ 收入、支出只能填一边",IF(NOT(ISNUMBER(B1130)),"✗ 日期不是真日期（要像 2026/9/25 这样填）",IF(OR(B1130&lt;年初日,B1130&gt;年末日),"✗ 日期不在本会计年度",IF(C1130="","✗ 没选账户",IF(COUNTIF(基础资料!$W$5:$W$24,C1130)=0,"✗ 账户不在基础资料里",IF(O1130="","✗ 没选收支项目",IF(P1130="未知","✗ 收支项目不在基础资料里",IF(AND(P1130="应收",J1130=""),"✗ 这笔要选客户",IF(AND(P1130="应收",COUNTIF(总览汇总!$B$5:$B$304,J1130)=0),"✗ 客户不在总览汇总名单里",IF(AND(P1130="应付",K1130=""),"✗ 这笔要选供应商",IF(AND(P1130="应付",COUNTIF(基础资料!$Q$5:$Q$54,K1130)=0),"✗ 供应商不在基础资料里",IF(AND(P1130="费用",L1130=""),"✗ 费用支出要选费用项目",IF(AND(L1130&lt;&gt;"",COUNTIF(基础资料!$AI$5:$AI$54,L1130)=0),"✗ 费用项目不在基础资料里",IF(AND(IFERROR(INDEX(基础资料!$AD$5:$AD$34,MATCH(O1130,基础资料!$AC$5:$AC$34,0)),"")="收",N(G1130)&lt;&gt;0),"✗ 这类是收款，金额填到收入列",IF(AND(IFERROR(INDEX(基础资料!$AD$5:$AD$34,MATCH(O1130,基础资料!$AC$5:$AC$34,0)),"")="支",N(F1130)&lt;&gt;0),"✗ 这类是付款，金额填到支出列",IF(N(H1130)&lt;0,"⚠ 账户余额成负数了，核对一下","√"))))))))))))))))))</f>
      </c>
      <c r="O1130" s="78">
        <f>IF(D1130&lt;&gt;"",D1130,IF(AND(F1130="",G1130=""),"",IF(J1130&lt;&gt;"",IF(N(F1130)&gt;0,"客户回款","客户退款"),IF(K1130&lt;&gt;"",IF(N(G1130)&gt;0,"供应商付款","供应商退款"),IF(L1130&lt;&gt;"","费用支出","")))))</f>
      </c>
      <c r="P1130" s="78">
        <f>IF(O1130="","",IFERROR(INDEX(基础资料!$AE$5:$AE$34,MATCH(O1130,基础资料!$AC$5:$AC$34,0)),"未知"))</f>
      </c>
      <c r="Q1130" s="78">
        <f>IF(P1130="应收",COUNTIF(P$7:P1130,"应收"),"")</f>
      </c>
      <c r="R1130" s="78">
        <f>IF(P1130="应付",COUNTIF(P$7:P1130,"应付"),"")</f>
      </c>
      <c r="S1130" s="78">
        <f>N(F1130)-N(G1130)</f>
        <v>0</v>
      </c>
    </row>
    <row r="1131">
      <c r="A1131" s="109">
        <f>IF(AND(F1131="",G1131=""),"",ROW()-6)</f>
      </c>
      <c r="B1131" s="140" t="n"/>
      <c r="C1131" s="141" t="n"/>
      <c r="D1131" s="141" t="n"/>
      <c r="E1131" s="142" t="n"/>
      <c r="F1131" s="143" t="n"/>
      <c r="G1131" s="144" t="n"/>
      <c r="H1131" s="145">
        <f>IF(OR(C1131="",AND(F1131="",G1131="")),"",SUMIF(基础资料!$W$5:$W$24,C1131,基础资料!$X$5:$X$24)+SUMIF(C$7:C1131,C1131,F$7:F1131)-SUMIF(C$7:C1131,C1131,G$7:G1131))</f>
      </c>
      <c r="I1131" s="145">
        <f>IF(AND(F1131="",G1131=""),"",SUM(基础资料!$X$5:$X$24)+SUM(F$7:F1131)-SUM(G$7:G1131))</f>
      </c>
      <c r="J1131" s="141" t="n"/>
      <c r="K1131" s="141" t="n"/>
      <c r="L1131" s="141" t="n"/>
      <c r="M1131" s="142" t="n"/>
      <c r="N1131" s="146">
        <f>IF(AND(AND(F1131="",G1131=""),B1131="",C1131="",D1131="",J1131="",K1131="",L1131=""),"",IF(AND(F1131="",G1131=""),"✗ 没填金额",IF(AND(N(F1131)&lt;&gt;0,N(G1131)&lt;&gt;0),"✗ 收入、支出只能填一边",IF(NOT(ISNUMBER(B1131)),"✗ 日期不是真日期（要像 2026/9/25 这样填）",IF(OR(B1131&lt;年初日,B1131&gt;年末日),"✗ 日期不在本会计年度",IF(C1131="","✗ 没选账户",IF(COUNTIF(基础资料!$W$5:$W$24,C1131)=0,"✗ 账户不在基础资料里",IF(O1131="","✗ 没选收支项目",IF(P1131="未知","✗ 收支项目不在基础资料里",IF(AND(P1131="应收",J1131=""),"✗ 这笔要选客户",IF(AND(P1131="应收",COUNTIF(总览汇总!$B$5:$B$304,J1131)=0),"✗ 客户不在总览汇总名单里",IF(AND(P1131="应付",K1131=""),"✗ 这笔要选供应商",IF(AND(P1131="应付",COUNTIF(基础资料!$Q$5:$Q$54,K1131)=0),"✗ 供应商不在基础资料里",IF(AND(P1131="费用",L1131=""),"✗ 费用支出要选费用项目",IF(AND(L1131&lt;&gt;"",COUNTIF(基础资料!$AI$5:$AI$54,L1131)=0),"✗ 费用项目不在基础资料里",IF(AND(IFERROR(INDEX(基础资料!$AD$5:$AD$34,MATCH(O1131,基础资料!$AC$5:$AC$34,0)),"")="收",N(G1131)&lt;&gt;0),"✗ 这类是收款，金额填到收入列",IF(AND(IFERROR(INDEX(基础资料!$AD$5:$AD$34,MATCH(O1131,基础资料!$AC$5:$AC$34,0)),"")="支",N(F1131)&lt;&gt;0),"✗ 这类是付款，金额填到支出列",IF(N(H1131)&lt;0,"⚠ 账户余额成负数了，核对一下","√"))))))))))))))))))</f>
      </c>
      <c r="O1131" s="78">
        <f>IF(D1131&lt;&gt;"",D1131,IF(AND(F1131="",G1131=""),"",IF(J1131&lt;&gt;"",IF(N(F1131)&gt;0,"客户回款","客户退款"),IF(K1131&lt;&gt;"",IF(N(G1131)&gt;0,"供应商付款","供应商退款"),IF(L1131&lt;&gt;"","费用支出","")))))</f>
      </c>
      <c r="P1131" s="78">
        <f>IF(O1131="","",IFERROR(INDEX(基础资料!$AE$5:$AE$34,MATCH(O1131,基础资料!$AC$5:$AC$34,0)),"未知"))</f>
      </c>
      <c r="Q1131" s="78">
        <f>IF(P1131="应收",COUNTIF(P$7:P1131,"应收"),"")</f>
      </c>
      <c r="R1131" s="78">
        <f>IF(P1131="应付",COUNTIF(P$7:P1131,"应付"),"")</f>
      </c>
      <c r="S1131" s="78">
        <f>N(F1131)-N(G1131)</f>
        <v>0</v>
      </c>
    </row>
    <row r="1132">
      <c r="A1132" s="109">
        <f>IF(AND(F1132="",G1132=""),"",ROW()-6)</f>
      </c>
      <c r="B1132" s="140" t="n"/>
      <c r="C1132" s="141" t="n"/>
      <c r="D1132" s="141" t="n"/>
      <c r="E1132" s="142" t="n"/>
      <c r="F1132" s="143" t="n"/>
      <c r="G1132" s="144" t="n"/>
      <c r="H1132" s="145">
        <f>IF(OR(C1132="",AND(F1132="",G1132="")),"",SUMIF(基础资料!$W$5:$W$24,C1132,基础资料!$X$5:$X$24)+SUMIF(C$7:C1132,C1132,F$7:F1132)-SUMIF(C$7:C1132,C1132,G$7:G1132))</f>
      </c>
      <c r="I1132" s="145">
        <f>IF(AND(F1132="",G1132=""),"",SUM(基础资料!$X$5:$X$24)+SUM(F$7:F1132)-SUM(G$7:G1132))</f>
      </c>
      <c r="J1132" s="141" t="n"/>
      <c r="K1132" s="141" t="n"/>
      <c r="L1132" s="141" t="n"/>
      <c r="M1132" s="142" t="n"/>
      <c r="N1132" s="146">
        <f>IF(AND(AND(F1132="",G1132=""),B1132="",C1132="",D1132="",J1132="",K1132="",L1132=""),"",IF(AND(F1132="",G1132=""),"✗ 没填金额",IF(AND(N(F1132)&lt;&gt;0,N(G1132)&lt;&gt;0),"✗ 收入、支出只能填一边",IF(NOT(ISNUMBER(B1132)),"✗ 日期不是真日期（要像 2026/9/25 这样填）",IF(OR(B1132&lt;年初日,B1132&gt;年末日),"✗ 日期不在本会计年度",IF(C1132="","✗ 没选账户",IF(COUNTIF(基础资料!$W$5:$W$24,C1132)=0,"✗ 账户不在基础资料里",IF(O1132="","✗ 没选收支项目",IF(P1132="未知","✗ 收支项目不在基础资料里",IF(AND(P1132="应收",J1132=""),"✗ 这笔要选客户",IF(AND(P1132="应收",COUNTIF(总览汇总!$B$5:$B$304,J1132)=0),"✗ 客户不在总览汇总名单里",IF(AND(P1132="应付",K1132=""),"✗ 这笔要选供应商",IF(AND(P1132="应付",COUNTIF(基础资料!$Q$5:$Q$54,K1132)=0),"✗ 供应商不在基础资料里",IF(AND(P1132="费用",L1132=""),"✗ 费用支出要选费用项目",IF(AND(L1132&lt;&gt;"",COUNTIF(基础资料!$AI$5:$AI$54,L1132)=0),"✗ 费用项目不在基础资料里",IF(AND(IFERROR(INDEX(基础资料!$AD$5:$AD$34,MATCH(O1132,基础资料!$AC$5:$AC$34,0)),"")="收",N(G1132)&lt;&gt;0),"✗ 这类是收款，金额填到收入列",IF(AND(IFERROR(INDEX(基础资料!$AD$5:$AD$34,MATCH(O1132,基础资料!$AC$5:$AC$34,0)),"")="支",N(F1132)&lt;&gt;0),"✗ 这类是付款，金额填到支出列",IF(N(H1132)&lt;0,"⚠ 账户余额成负数了，核对一下","√"))))))))))))))))))</f>
      </c>
      <c r="O1132" s="78">
        <f>IF(D1132&lt;&gt;"",D1132,IF(AND(F1132="",G1132=""),"",IF(J1132&lt;&gt;"",IF(N(F1132)&gt;0,"客户回款","客户退款"),IF(K1132&lt;&gt;"",IF(N(G1132)&gt;0,"供应商付款","供应商退款"),IF(L1132&lt;&gt;"","费用支出","")))))</f>
      </c>
      <c r="P1132" s="78">
        <f>IF(O1132="","",IFERROR(INDEX(基础资料!$AE$5:$AE$34,MATCH(O1132,基础资料!$AC$5:$AC$34,0)),"未知"))</f>
      </c>
      <c r="Q1132" s="78">
        <f>IF(P1132="应收",COUNTIF(P$7:P1132,"应收"),"")</f>
      </c>
      <c r="R1132" s="78">
        <f>IF(P1132="应付",COUNTIF(P$7:P1132,"应付"),"")</f>
      </c>
      <c r="S1132" s="78">
        <f>N(F1132)-N(G1132)</f>
        <v>0</v>
      </c>
    </row>
    <row r="1133">
      <c r="A1133" s="109">
        <f>IF(AND(F1133="",G1133=""),"",ROW()-6)</f>
      </c>
      <c r="B1133" s="140" t="n"/>
      <c r="C1133" s="141" t="n"/>
      <c r="D1133" s="141" t="n"/>
      <c r="E1133" s="142" t="n"/>
      <c r="F1133" s="143" t="n"/>
      <c r="G1133" s="144" t="n"/>
      <c r="H1133" s="145">
        <f>IF(OR(C1133="",AND(F1133="",G1133="")),"",SUMIF(基础资料!$W$5:$W$24,C1133,基础资料!$X$5:$X$24)+SUMIF(C$7:C1133,C1133,F$7:F1133)-SUMIF(C$7:C1133,C1133,G$7:G1133))</f>
      </c>
      <c r="I1133" s="145">
        <f>IF(AND(F1133="",G1133=""),"",SUM(基础资料!$X$5:$X$24)+SUM(F$7:F1133)-SUM(G$7:G1133))</f>
      </c>
      <c r="J1133" s="141" t="n"/>
      <c r="K1133" s="141" t="n"/>
      <c r="L1133" s="141" t="n"/>
      <c r="M1133" s="142" t="n"/>
      <c r="N1133" s="146">
        <f>IF(AND(AND(F1133="",G1133=""),B1133="",C1133="",D1133="",J1133="",K1133="",L1133=""),"",IF(AND(F1133="",G1133=""),"✗ 没填金额",IF(AND(N(F1133)&lt;&gt;0,N(G1133)&lt;&gt;0),"✗ 收入、支出只能填一边",IF(NOT(ISNUMBER(B1133)),"✗ 日期不是真日期（要像 2026/9/25 这样填）",IF(OR(B1133&lt;年初日,B1133&gt;年末日),"✗ 日期不在本会计年度",IF(C1133="","✗ 没选账户",IF(COUNTIF(基础资料!$W$5:$W$24,C1133)=0,"✗ 账户不在基础资料里",IF(O1133="","✗ 没选收支项目",IF(P1133="未知","✗ 收支项目不在基础资料里",IF(AND(P1133="应收",J1133=""),"✗ 这笔要选客户",IF(AND(P1133="应收",COUNTIF(总览汇总!$B$5:$B$304,J1133)=0),"✗ 客户不在总览汇总名单里",IF(AND(P1133="应付",K1133=""),"✗ 这笔要选供应商",IF(AND(P1133="应付",COUNTIF(基础资料!$Q$5:$Q$54,K1133)=0),"✗ 供应商不在基础资料里",IF(AND(P1133="费用",L1133=""),"✗ 费用支出要选费用项目",IF(AND(L1133&lt;&gt;"",COUNTIF(基础资料!$AI$5:$AI$54,L1133)=0),"✗ 费用项目不在基础资料里",IF(AND(IFERROR(INDEX(基础资料!$AD$5:$AD$34,MATCH(O1133,基础资料!$AC$5:$AC$34,0)),"")="收",N(G1133)&lt;&gt;0),"✗ 这类是收款，金额填到收入列",IF(AND(IFERROR(INDEX(基础资料!$AD$5:$AD$34,MATCH(O1133,基础资料!$AC$5:$AC$34,0)),"")="支",N(F1133)&lt;&gt;0),"✗ 这类是付款，金额填到支出列",IF(N(H1133)&lt;0,"⚠ 账户余额成负数了，核对一下","√"))))))))))))))))))</f>
      </c>
      <c r="O1133" s="78">
        <f>IF(D1133&lt;&gt;"",D1133,IF(AND(F1133="",G1133=""),"",IF(J1133&lt;&gt;"",IF(N(F1133)&gt;0,"客户回款","客户退款"),IF(K1133&lt;&gt;"",IF(N(G1133)&gt;0,"供应商付款","供应商退款"),IF(L1133&lt;&gt;"","费用支出","")))))</f>
      </c>
      <c r="P1133" s="78">
        <f>IF(O1133="","",IFERROR(INDEX(基础资料!$AE$5:$AE$34,MATCH(O1133,基础资料!$AC$5:$AC$34,0)),"未知"))</f>
      </c>
      <c r="Q1133" s="78">
        <f>IF(P1133="应收",COUNTIF(P$7:P1133,"应收"),"")</f>
      </c>
      <c r="R1133" s="78">
        <f>IF(P1133="应付",COUNTIF(P$7:P1133,"应付"),"")</f>
      </c>
      <c r="S1133" s="78">
        <f>N(F1133)-N(G1133)</f>
        <v>0</v>
      </c>
    </row>
    <row r="1134">
      <c r="A1134" s="109">
        <f>IF(AND(F1134="",G1134=""),"",ROW()-6)</f>
      </c>
      <c r="B1134" s="140" t="n"/>
      <c r="C1134" s="141" t="n"/>
      <c r="D1134" s="141" t="n"/>
      <c r="E1134" s="142" t="n"/>
      <c r="F1134" s="143" t="n"/>
      <c r="G1134" s="144" t="n"/>
      <c r="H1134" s="145">
        <f>IF(OR(C1134="",AND(F1134="",G1134="")),"",SUMIF(基础资料!$W$5:$W$24,C1134,基础资料!$X$5:$X$24)+SUMIF(C$7:C1134,C1134,F$7:F1134)-SUMIF(C$7:C1134,C1134,G$7:G1134))</f>
      </c>
      <c r="I1134" s="145">
        <f>IF(AND(F1134="",G1134=""),"",SUM(基础资料!$X$5:$X$24)+SUM(F$7:F1134)-SUM(G$7:G1134))</f>
      </c>
      <c r="J1134" s="141" t="n"/>
      <c r="K1134" s="141" t="n"/>
      <c r="L1134" s="141" t="n"/>
      <c r="M1134" s="142" t="n"/>
      <c r="N1134" s="146">
        <f>IF(AND(AND(F1134="",G1134=""),B1134="",C1134="",D1134="",J1134="",K1134="",L1134=""),"",IF(AND(F1134="",G1134=""),"✗ 没填金额",IF(AND(N(F1134)&lt;&gt;0,N(G1134)&lt;&gt;0),"✗ 收入、支出只能填一边",IF(NOT(ISNUMBER(B1134)),"✗ 日期不是真日期（要像 2026/9/25 这样填）",IF(OR(B1134&lt;年初日,B1134&gt;年末日),"✗ 日期不在本会计年度",IF(C1134="","✗ 没选账户",IF(COUNTIF(基础资料!$W$5:$W$24,C1134)=0,"✗ 账户不在基础资料里",IF(O1134="","✗ 没选收支项目",IF(P1134="未知","✗ 收支项目不在基础资料里",IF(AND(P1134="应收",J1134=""),"✗ 这笔要选客户",IF(AND(P1134="应收",COUNTIF(总览汇总!$B$5:$B$304,J1134)=0),"✗ 客户不在总览汇总名单里",IF(AND(P1134="应付",K1134=""),"✗ 这笔要选供应商",IF(AND(P1134="应付",COUNTIF(基础资料!$Q$5:$Q$54,K1134)=0),"✗ 供应商不在基础资料里",IF(AND(P1134="费用",L1134=""),"✗ 费用支出要选费用项目",IF(AND(L1134&lt;&gt;"",COUNTIF(基础资料!$AI$5:$AI$54,L1134)=0),"✗ 费用项目不在基础资料里",IF(AND(IFERROR(INDEX(基础资料!$AD$5:$AD$34,MATCH(O1134,基础资料!$AC$5:$AC$34,0)),"")="收",N(G1134)&lt;&gt;0),"✗ 这类是收款，金额填到收入列",IF(AND(IFERROR(INDEX(基础资料!$AD$5:$AD$34,MATCH(O1134,基础资料!$AC$5:$AC$34,0)),"")="支",N(F1134)&lt;&gt;0),"✗ 这类是付款，金额填到支出列",IF(N(H1134)&lt;0,"⚠ 账户余额成负数了，核对一下","√"))))))))))))))))))</f>
      </c>
      <c r="O1134" s="78">
        <f>IF(D1134&lt;&gt;"",D1134,IF(AND(F1134="",G1134=""),"",IF(J1134&lt;&gt;"",IF(N(F1134)&gt;0,"客户回款","客户退款"),IF(K1134&lt;&gt;"",IF(N(G1134)&gt;0,"供应商付款","供应商退款"),IF(L1134&lt;&gt;"","费用支出","")))))</f>
      </c>
      <c r="P1134" s="78">
        <f>IF(O1134="","",IFERROR(INDEX(基础资料!$AE$5:$AE$34,MATCH(O1134,基础资料!$AC$5:$AC$34,0)),"未知"))</f>
      </c>
      <c r="Q1134" s="78">
        <f>IF(P1134="应收",COUNTIF(P$7:P1134,"应收"),"")</f>
      </c>
      <c r="R1134" s="78">
        <f>IF(P1134="应付",COUNTIF(P$7:P1134,"应付"),"")</f>
      </c>
      <c r="S1134" s="78">
        <f>N(F1134)-N(G1134)</f>
        <v>0</v>
      </c>
    </row>
    <row r="1135">
      <c r="A1135" s="109">
        <f>IF(AND(F1135="",G1135=""),"",ROW()-6)</f>
      </c>
      <c r="B1135" s="140" t="n"/>
      <c r="C1135" s="141" t="n"/>
      <c r="D1135" s="141" t="n"/>
      <c r="E1135" s="142" t="n"/>
      <c r="F1135" s="143" t="n"/>
      <c r="G1135" s="144" t="n"/>
      <c r="H1135" s="145">
        <f>IF(OR(C1135="",AND(F1135="",G1135="")),"",SUMIF(基础资料!$W$5:$W$24,C1135,基础资料!$X$5:$X$24)+SUMIF(C$7:C1135,C1135,F$7:F1135)-SUMIF(C$7:C1135,C1135,G$7:G1135))</f>
      </c>
      <c r="I1135" s="145">
        <f>IF(AND(F1135="",G1135=""),"",SUM(基础资料!$X$5:$X$24)+SUM(F$7:F1135)-SUM(G$7:G1135))</f>
      </c>
      <c r="J1135" s="141" t="n"/>
      <c r="K1135" s="141" t="n"/>
      <c r="L1135" s="141" t="n"/>
      <c r="M1135" s="142" t="n"/>
      <c r="N1135" s="146">
        <f>IF(AND(AND(F1135="",G1135=""),B1135="",C1135="",D1135="",J1135="",K1135="",L1135=""),"",IF(AND(F1135="",G1135=""),"✗ 没填金额",IF(AND(N(F1135)&lt;&gt;0,N(G1135)&lt;&gt;0),"✗ 收入、支出只能填一边",IF(NOT(ISNUMBER(B1135)),"✗ 日期不是真日期（要像 2026/9/25 这样填）",IF(OR(B1135&lt;年初日,B1135&gt;年末日),"✗ 日期不在本会计年度",IF(C1135="","✗ 没选账户",IF(COUNTIF(基础资料!$W$5:$W$24,C1135)=0,"✗ 账户不在基础资料里",IF(O1135="","✗ 没选收支项目",IF(P1135="未知","✗ 收支项目不在基础资料里",IF(AND(P1135="应收",J1135=""),"✗ 这笔要选客户",IF(AND(P1135="应收",COUNTIF(总览汇总!$B$5:$B$304,J1135)=0),"✗ 客户不在总览汇总名单里",IF(AND(P1135="应付",K1135=""),"✗ 这笔要选供应商",IF(AND(P1135="应付",COUNTIF(基础资料!$Q$5:$Q$54,K1135)=0),"✗ 供应商不在基础资料里",IF(AND(P1135="费用",L1135=""),"✗ 费用支出要选费用项目",IF(AND(L1135&lt;&gt;"",COUNTIF(基础资料!$AI$5:$AI$54,L1135)=0),"✗ 费用项目不在基础资料里",IF(AND(IFERROR(INDEX(基础资料!$AD$5:$AD$34,MATCH(O1135,基础资料!$AC$5:$AC$34,0)),"")="收",N(G1135)&lt;&gt;0),"✗ 这类是收款，金额填到收入列",IF(AND(IFERROR(INDEX(基础资料!$AD$5:$AD$34,MATCH(O1135,基础资料!$AC$5:$AC$34,0)),"")="支",N(F1135)&lt;&gt;0),"✗ 这类是付款，金额填到支出列",IF(N(H1135)&lt;0,"⚠ 账户余额成负数了，核对一下","√"))))))))))))))))))</f>
      </c>
      <c r="O1135" s="78">
        <f>IF(D1135&lt;&gt;"",D1135,IF(AND(F1135="",G1135=""),"",IF(J1135&lt;&gt;"",IF(N(F1135)&gt;0,"客户回款","客户退款"),IF(K1135&lt;&gt;"",IF(N(G1135)&gt;0,"供应商付款","供应商退款"),IF(L1135&lt;&gt;"","费用支出","")))))</f>
      </c>
      <c r="P1135" s="78">
        <f>IF(O1135="","",IFERROR(INDEX(基础资料!$AE$5:$AE$34,MATCH(O1135,基础资料!$AC$5:$AC$34,0)),"未知"))</f>
      </c>
      <c r="Q1135" s="78">
        <f>IF(P1135="应收",COUNTIF(P$7:P1135,"应收"),"")</f>
      </c>
      <c r="R1135" s="78">
        <f>IF(P1135="应付",COUNTIF(P$7:P1135,"应付"),"")</f>
      </c>
      <c r="S1135" s="78">
        <f>N(F1135)-N(G1135)</f>
        <v>0</v>
      </c>
    </row>
    <row r="1136">
      <c r="A1136" s="109">
        <f>IF(AND(F1136="",G1136=""),"",ROW()-6)</f>
      </c>
      <c r="B1136" s="140" t="n"/>
      <c r="C1136" s="141" t="n"/>
      <c r="D1136" s="141" t="n"/>
      <c r="E1136" s="142" t="n"/>
      <c r="F1136" s="143" t="n"/>
      <c r="G1136" s="144" t="n"/>
      <c r="H1136" s="145">
        <f>IF(OR(C1136="",AND(F1136="",G1136="")),"",SUMIF(基础资料!$W$5:$W$24,C1136,基础资料!$X$5:$X$24)+SUMIF(C$7:C1136,C1136,F$7:F1136)-SUMIF(C$7:C1136,C1136,G$7:G1136))</f>
      </c>
      <c r="I1136" s="145">
        <f>IF(AND(F1136="",G1136=""),"",SUM(基础资料!$X$5:$X$24)+SUM(F$7:F1136)-SUM(G$7:G1136))</f>
      </c>
      <c r="J1136" s="141" t="n"/>
      <c r="K1136" s="141" t="n"/>
      <c r="L1136" s="141" t="n"/>
      <c r="M1136" s="142" t="n"/>
      <c r="N1136" s="146">
        <f>IF(AND(AND(F1136="",G1136=""),B1136="",C1136="",D1136="",J1136="",K1136="",L1136=""),"",IF(AND(F1136="",G1136=""),"✗ 没填金额",IF(AND(N(F1136)&lt;&gt;0,N(G1136)&lt;&gt;0),"✗ 收入、支出只能填一边",IF(NOT(ISNUMBER(B1136)),"✗ 日期不是真日期（要像 2026/9/25 这样填）",IF(OR(B1136&lt;年初日,B1136&gt;年末日),"✗ 日期不在本会计年度",IF(C1136="","✗ 没选账户",IF(COUNTIF(基础资料!$W$5:$W$24,C1136)=0,"✗ 账户不在基础资料里",IF(O1136="","✗ 没选收支项目",IF(P1136="未知","✗ 收支项目不在基础资料里",IF(AND(P1136="应收",J1136=""),"✗ 这笔要选客户",IF(AND(P1136="应收",COUNTIF(总览汇总!$B$5:$B$304,J1136)=0),"✗ 客户不在总览汇总名单里",IF(AND(P1136="应付",K1136=""),"✗ 这笔要选供应商",IF(AND(P1136="应付",COUNTIF(基础资料!$Q$5:$Q$54,K1136)=0),"✗ 供应商不在基础资料里",IF(AND(P1136="费用",L1136=""),"✗ 费用支出要选费用项目",IF(AND(L1136&lt;&gt;"",COUNTIF(基础资料!$AI$5:$AI$54,L1136)=0),"✗ 费用项目不在基础资料里",IF(AND(IFERROR(INDEX(基础资料!$AD$5:$AD$34,MATCH(O1136,基础资料!$AC$5:$AC$34,0)),"")="收",N(G1136)&lt;&gt;0),"✗ 这类是收款，金额填到收入列",IF(AND(IFERROR(INDEX(基础资料!$AD$5:$AD$34,MATCH(O1136,基础资料!$AC$5:$AC$34,0)),"")="支",N(F1136)&lt;&gt;0),"✗ 这类是付款，金额填到支出列",IF(N(H1136)&lt;0,"⚠ 账户余额成负数了，核对一下","√"))))))))))))))))))</f>
      </c>
      <c r="O1136" s="78">
        <f>IF(D1136&lt;&gt;"",D1136,IF(AND(F1136="",G1136=""),"",IF(J1136&lt;&gt;"",IF(N(F1136)&gt;0,"客户回款","客户退款"),IF(K1136&lt;&gt;"",IF(N(G1136)&gt;0,"供应商付款","供应商退款"),IF(L1136&lt;&gt;"","费用支出","")))))</f>
      </c>
      <c r="P1136" s="78">
        <f>IF(O1136="","",IFERROR(INDEX(基础资料!$AE$5:$AE$34,MATCH(O1136,基础资料!$AC$5:$AC$34,0)),"未知"))</f>
      </c>
      <c r="Q1136" s="78">
        <f>IF(P1136="应收",COUNTIF(P$7:P1136,"应收"),"")</f>
      </c>
      <c r="R1136" s="78">
        <f>IF(P1136="应付",COUNTIF(P$7:P1136,"应付"),"")</f>
      </c>
      <c r="S1136" s="78">
        <f>N(F1136)-N(G1136)</f>
        <v>0</v>
      </c>
    </row>
    <row r="1137">
      <c r="A1137" s="109">
        <f>IF(AND(F1137="",G1137=""),"",ROW()-6)</f>
      </c>
      <c r="B1137" s="140" t="n"/>
      <c r="C1137" s="141" t="n"/>
      <c r="D1137" s="141" t="n"/>
      <c r="E1137" s="142" t="n"/>
      <c r="F1137" s="143" t="n"/>
      <c r="G1137" s="144" t="n"/>
      <c r="H1137" s="145">
        <f>IF(OR(C1137="",AND(F1137="",G1137="")),"",SUMIF(基础资料!$W$5:$W$24,C1137,基础资料!$X$5:$X$24)+SUMIF(C$7:C1137,C1137,F$7:F1137)-SUMIF(C$7:C1137,C1137,G$7:G1137))</f>
      </c>
      <c r="I1137" s="145">
        <f>IF(AND(F1137="",G1137=""),"",SUM(基础资料!$X$5:$X$24)+SUM(F$7:F1137)-SUM(G$7:G1137))</f>
      </c>
      <c r="J1137" s="141" t="n"/>
      <c r="K1137" s="141" t="n"/>
      <c r="L1137" s="141" t="n"/>
      <c r="M1137" s="142" t="n"/>
      <c r="N1137" s="146">
        <f>IF(AND(AND(F1137="",G1137=""),B1137="",C1137="",D1137="",J1137="",K1137="",L1137=""),"",IF(AND(F1137="",G1137=""),"✗ 没填金额",IF(AND(N(F1137)&lt;&gt;0,N(G1137)&lt;&gt;0),"✗ 收入、支出只能填一边",IF(NOT(ISNUMBER(B1137)),"✗ 日期不是真日期（要像 2026/9/25 这样填）",IF(OR(B1137&lt;年初日,B1137&gt;年末日),"✗ 日期不在本会计年度",IF(C1137="","✗ 没选账户",IF(COUNTIF(基础资料!$W$5:$W$24,C1137)=0,"✗ 账户不在基础资料里",IF(O1137="","✗ 没选收支项目",IF(P1137="未知","✗ 收支项目不在基础资料里",IF(AND(P1137="应收",J1137=""),"✗ 这笔要选客户",IF(AND(P1137="应收",COUNTIF(总览汇总!$B$5:$B$304,J1137)=0),"✗ 客户不在总览汇总名单里",IF(AND(P1137="应付",K1137=""),"✗ 这笔要选供应商",IF(AND(P1137="应付",COUNTIF(基础资料!$Q$5:$Q$54,K1137)=0),"✗ 供应商不在基础资料里",IF(AND(P1137="费用",L1137=""),"✗ 费用支出要选费用项目",IF(AND(L1137&lt;&gt;"",COUNTIF(基础资料!$AI$5:$AI$54,L1137)=0),"✗ 费用项目不在基础资料里",IF(AND(IFERROR(INDEX(基础资料!$AD$5:$AD$34,MATCH(O1137,基础资料!$AC$5:$AC$34,0)),"")="收",N(G1137)&lt;&gt;0),"✗ 这类是收款，金额填到收入列",IF(AND(IFERROR(INDEX(基础资料!$AD$5:$AD$34,MATCH(O1137,基础资料!$AC$5:$AC$34,0)),"")="支",N(F1137)&lt;&gt;0),"✗ 这类是付款，金额填到支出列",IF(N(H1137)&lt;0,"⚠ 账户余额成负数了，核对一下","√"))))))))))))))))))</f>
      </c>
      <c r="O1137" s="78">
        <f>IF(D1137&lt;&gt;"",D1137,IF(AND(F1137="",G1137=""),"",IF(J1137&lt;&gt;"",IF(N(F1137)&gt;0,"客户回款","客户退款"),IF(K1137&lt;&gt;"",IF(N(G1137)&gt;0,"供应商付款","供应商退款"),IF(L1137&lt;&gt;"","费用支出","")))))</f>
      </c>
      <c r="P1137" s="78">
        <f>IF(O1137="","",IFERROR(INDEX(基础资料!$AE$5:$AE$34,MATCH(O1137,基础资料!$AC$5:$AC$34,0)),"未知"))</f>
      </c>
      <c r="Q1137" s="78">
        <f>IF(P1137="应收",COUNTIF(P$7:P1137,"应收"),"")</f>
      </c>
      <c r="R1137" s="78">
        <f>IF(P1137="应付",COUNTIF(P$7:P1137,"应付"),"")</f>
      </c>
      <c r="S1137" s="78">
        <f>N(F1137)-N(G1137)</f>
        <v>0</v>
      </c>
    </row>
    <row r="1138">
      <c r="A1138" s="109">
        <f>IF(AND(F1138="",G1138=""),"",ROW()-6)</f>
      </c>
      <c r="B1138" s="140" t="n"/>
      <c r="C1138" s="141" t="n"/>
      <c r="D1138" s="141" t="n"/>
      <c r="E1138" s="142" t="n"/>
      <c r="F1138" s="143" t="n"/>
      <c r="G1138" s="144" t="n"/>
      <c r="H1138" s="145">
        <f>IF(OR(C1138="",AND(F1138="",G1138="")),"",SUMIF(基础资料!$W$5:$W$24,C1138,基础资料!$X$5:$X$24)+SUMIF(C$7:C1138,C1138,F$7:F1138)-SUMIF(C$7:C1138,C1138,G$7:G1138))</f>
      </c>
      <c r="I1138" s="145">
        <f>IF(AND(F1138="",G1138=""),"",SUM(基础资料!$X$5:$X$24)+SUM(F$7:F1138)-SUM(G$7:G1138))</f>
      </c>
      <c r="J1138" s="141" t="n"/>
      <c r="K1138" s="141" t="n"/>
      <c r="L1138" s="141" t="n"/>
      <c r="M1138" s="142" t="n"/>
      <c r="N1138" s="146">
        <f>IF(AND(AND(F1138="",G1138=""),B1138="",C1138="",D1138="",J1138="",K1138="",L1138=""),"",IF(AND(F1138="",G1138=""),"✗ 没填金额",IF(AND(N(F1138)&lt;&gt;0,N(G1138)&lt;&gt;0),"✗ 收入、支出只能填一边",IF(NOT(ISNUMBER(B1138)),"✗ 日期不是真日期（要像 2026/9/25 这样填）",IF(OR(B1138&lt;年初日,B1138&gt;年末日),"✗ 日期不在本会计年度",IF(C1138="","✗ 没选账户",IF(COUNTIF(基础资料!$W$5:$W$24,C1138)=0,"✗ 账户不在基础资料里",IF(O1138="","✗ 没选收支项目",IF(P1138="未知","✗ 收支项目不在基础资料里",IF(AND(P1138="应收",J1138=""),"✗ 这笔要选客户",IF(AND(P1138="应收",COUNTIF(总览汇总!$B$5:$B$304,J1138)=0),"✗ 客户不在总览汇总名单里",IF(AND(P1138="应付",K1138=""),"✗ 这笔要选供应商",IF(AND(P1138="应付",COUNTIF(基础资料!$Q$5:$Q$54,K1138)=0),"✗ 供应商不在基础资料里",IF(AND(P1138="费用",L1138=""),"✗ 费用支出要选费用项目",IF(AND(L1138&lt;&gt;"",COUNTIF(基础资料!$AI$5:$AI$54,L1138)=0),"✗ 费用项目不在基础资料里",IF(AND(IFERROR(INDEX(基础资料!$AD$5:$AD$34,MATCH(O1138,基础资料!$AC$5:$AC$34,0)),"")="收",N(G1138)&lt;&gt;0),"✗ 这类是收款，金额填到收入列",IF(AND(IFERROR(INDEX(基础资料!$AD$5:$AD$34,MATCH(O1138,基础资料!$AC$5:$AC$34,0)),"")="支",N(F1138)&lt;&gt;0),"✗ 这类是付款，金额填到支出列",IF(N(H1138)&lt;0,"⚠ 账户余额成负数了，核对一下","√"))))))))))))))))))</f>
      </c>
      <c r="O1138" s="78">
        <f>IF(D1138&lt;&gt;"",D1138,IF(AND(F1138="",G1138=""),"",IF(J1138&lt;&gt;"",IF(N(F1138)&gt;0,"客户回款","客户退款"),IF(K1138&lt;&gt;"",IF(N(G1138)&gt;0,"供应商付款","供应商退款"),IF(L1138&lt;&gt;"","费用支出","")))))</f>
      </c>
      <c r="P1138" s="78">
        <f>IF(O1138="","",IFERROR(INDEX(基础资料!$AE$5:$AE$34,MATCH(O1138,基础资料!$AC$5:$AC$34,0)),"未知"))</f>
      </c>
      <c r="Q1138" s="78">
        <f>IF(P1138="应收",COUNTIF(P$7:P1138,"应收"),"")</f>
      </c>
      <c r="R1138" s="78">
        <f>IF(P1138="应付",COUNTIF(P$7:P1138,"应付"),"")</f>
      </c>
      <c r="S1138" s="78">
        <f>N(F1138)-N(G1138)</f>
        <v>0</v>
      </c>
    </row>
    <row r="1139">
      <c r="A1139" s="109">
        <f>IF(AND(F1139="",G1139=""),"",ROW()-6)</f>
      </c>
      <c r="B1139" s="140" t="n"/>
      <c r="C1139" s="141" t="n"/>
      <c r="D1139" s="141" t="n"/>
      <c r="E1139" s="142" t="n"/>
      <c r="F1139" s="143" t="n"/>
      <c r="G1139" s="144" t="n"/>
      <c r="H1139" s="145">
        <f>IF(OR(C1139="",AND(F1139="",G1139="")),"",SUMIF(基础资料!$W$5:$W$24,C1139,基础资料!$X$5:$X$24)+SUMIF(C$7:C1139,C1139,F$7:F1139)-SUMIF(C$7:C1139,C1139,G$7:G1139))</f>
      </c>
      <c r="I1139" s="145">
        <f>IF(AND(F1139="",G1139=""),"",SUM(基础资料!$X$5:$X$24)+SUM(F$7:F1139)-SUM(G$7:G1139))</f>
      </c>
      <c r="J1139" s="141" t="n"/>
      <c r="K1139" s="141" t="n"/>
      <c r="L1139" s="141" t="n"/>
      <c r="M1139" s="142" t="n"/>
      <c r="N1139" s="146">
        <f>IF(AND(AND(F1139="",G1139=""),B1139="",C1139="",D1139="",J1139="",K1139="",L1139=""),"",IF(AND(F1139="",G1139=""),"✗ 没填金额",IF(AND(N(F1139)&lt;&gt;0,N(G1139)&lt;&gt;0),"✗ 收入、支出只能填一边",IF(NOT(ISNUMBER(B1139)),"✗ 日期不是真日期（要像 2026/9/25 这样填）",IF(OR(B1139&lt;年初日,B1139&gt;年末日),"✗ 日期不在本会计年度",IF(C1139="","✗ 没选账户",IF(COUNTIF(基础资料!$W$5:$W$24,C1139)=0,"✗ 账户不在基础资料里",IF(O1139="","✗ 没选收支项目",IF(P1139="未知","✗ 收支项目不在基础资料里",IF(AND(P1139="应收",J1139=""),"✗ 这笔要选客户",IF(AND(P1139="应收",COUNTIF(总览汇总!$B$5:$B$304,J1139)=0),"✗ 客户不在总览汇总名单里",IF(AND(P1139="应付",K1139=""),"✗ 这笔要选供应商",IF(AND(P1139="应付",COUNTIF(基础资料!$Q$5:$Q$54,K1139)=0),"✗ 供应商不在基础资料里",IF(AND(P1139="费用",L1139=""),"✗ 费用支出要选费用项目",IF(AND(L1139&lt;&gt;"",COUNTIF(基础资料!$AI$5:$AI$54,L1139)=0),"✗ 费用项目不在基础资料里",IF(AND(IFERROR(INDEX(基础资料!$AD$5:$AD$34,MATCH(O1139,基础资料!$AC$5:$AC$34,0)),"")="收",N(G1139)&lt;&gt;0),"✗ 这类是收款，金额填到收入列",IF(AND(IFERROR(INDEX(基础资料!$AD$5:$AD$34,MATCH(O1139,基础资料!$AC$5:$AC$34,0)),"")="支",N(F1139)&lt;&gt;0),"✗ 这类是付款，金额填到支出列",IF(N(H1139)&lt;0,"⚠ 账户余额成负数了，核对一下","√"))))))))))))))))))</f>
      </c>
      <c r="O1139" s="78">
        <f>IF(D1139&lt;&gt;"",D1139,IF(AND(F1139="",G1139=""),"",IF(J1139&lt;&gt;"",IF(N(F1139)&gt;0,"客户回款","客户退款"),IF(K1139&lt;&gt;"",IF(N(G1139)&gt;0,"供应商付款","供应商退款"),IF(L1139&lt;&gt;"","费用支出","")))))</f>
      </c>
      <c r="P1139" s="78">
        <f>IF(O1139="","",IFERROR(INDEX(基础资料!$AE$5:$AE$34,MATCH(O1139,基础资料!$AC$5:$AC$34,0)),"未知"))</f>
      </c>
      <c r="Q1139" s="78">
        <f>IF(P1139="应收",COUNTIF(P$7:P1139,"应收"),"")</f>
      </c>
      <c r="R1139" s="78">
        <f>IF(P1139="应付",COUNTIF(P$7:P1139,"应付"),"")</f>
      </c>
      <c r="S1139" s="78">
        <f>N(F1139)-N(G1139)</f>
        <v>0</v>
      </c>
    </row>
    <row r="1140">
      <c r="A1140" s="109">
        <f>IF(AND(F1140="",G1140=""),"",ROW()-6)</f>
      </c>
      <c r="B1140" s="140" t="n"/>
      <c r="C1140" s="141" t="n"/>
      <c r="D1140" s="141" t="n"/>
      <c r="E1140" s="142" t="n"/>
      <c r="F1140" s="143" t="n"/>
      <c r="G1140" s="144" t="n"/>
      <c r="H1140" s="145">
        <f>IF(OR(C1140="",AND(F1140="",G1140="")),"",SUMIF(基础资料!$W$5:$W$24,C1140,基础资料!$X$5:$X$24)+SUMIF(C$7:C1140,C1140,F$7:F1140)-SUMIF(C$7:C1140,C1140,G$7:G1140))</f>
      </c>
      <c r="I1140" s="145">
        <f>IF(AND(F1140="",G1140=""),"",SUM(基础资料!$X$5:$X$24)+SUM(F$7:F1140)-SUM(G$7:G1140))</f>
      </c>
      <c r="J1140" s="141" t="n"/>
      <c r="K1140" s="141" t="n"/>
      <c r="L1140" s="141" t="n"/>
      <c r="M1140" s="142" t="n"/>
      <c r="N1140" s="146">
        <f>IF(AND(AND(F1140="",G1140=""),B1140="",C1140="",D1140="",J1140="",K1140="",L1140=""),"",IF(AND(F1140="",G1140=""),"✗ 没填金额",IF(AND(N(F1140)&lt;&gt;0,N(G1140)&lt;&gt;0),"✗ 收入、支出只能填一边",IF(NOT(ISNUMBER(B1140)),"✗ 日期不是真日期（要像 2026/9/25 这样填）",IF(OR(B1140&lt;年初日,B1140&gt;年末日),"✗ 日期不在本会计年度",IF(C1140="","✗ 没选账户",IF(COUNTIF(基础资料!$W$5:$W$24,C1140)=0,"✗ 账户不在基础资料里",IF(O1140="","✗ 没选收支项目",IF(P1140="未知","✗ 收支项目不在基础资料里",IF(AND(P1140="应收",J1140=""),"✗ 这笔要选客户",IF(AND(P1140="应收",COUNTIF(总览汇总!$B$5:$B$304,J1140)=0),"✗ 客户不在总览汇总名单里",IF(AND(P1140="应付",K1140=""),"✗ 这笔要选供应商",IF(AND(P1140="应付",COUNTIF(基础资料!$Q$5:$Q$54,K1140)=0),"✗ 供应商不在基础资料里",IF(AND(P1140="费用",L1140=""),"✗ 费用支出要选费用项目",IF(AND(L1140&lt;&gt;"",COUNTIF(基础资料!$AI$5:$AI$54,L1140)=0),"✗ 费用项目不在基础资料里",IF(AND(IFERROR(INDEX(基础资料!$AD$5:$AD$34,MATCH(O1140,基础资料!$AC$5:$AC$34,0)),"")="收",N(G1140)&lt;&gt;0),"✗ 这类是收款，金额填到收入列",IF(AND(IFERROR(INDEX(基础资料!$AD$5:$AD$34,MATCH(O1140,基础资料!$AC$5:$AC$34,0)),"")="支",N(F1140)&lt;&gt;0),"✗ 这类是付款，金额填到支出列",IF(N(H1140)&lt;0,"⚠ 账户余额成负数了，核对一下","√"))))))))))))))))))</f>
      </c>
      <c r="O1140" s="78">
        <f>IF(D1140&lt;&gt;"",D1140,IF(AND(F1140="",G1140=""),"",IF(J1140&lt;&gt;"",IF(N(F1140)&gt;0,"客户回款","客户退款"),IF(K1140&lt;&gt;"",IF(N(G1140)&gt;0,"供应商付款","供应商退款"),IF(L1140&lt;&gt;"","费用支出","")))))</f>
      </c>
      <c r="P1140" s="78">
        <f>IF(O1140="","",IFERROR(INDEX(基础资料!$AE$5:$AE$34,MATCH(O1140,基础资料!$AC$5:$AC$34,0)),"未知"))</f>
      </c>
      <c r="Q1140" s="78">
        <f>IF(P1140="应收",COUNTIF(P$7:P1140,"应收"),"")</f>
      </c>
      <c r="R1140" s="78">
        <f>IF(P1140="应付",COUNTIF(P$7:P1140,"应付"),"")</f>
      </c>
      <c r="S1140" s="78">
        <f>N(F1140)-N(G1140)</f>
        <v>0</v>
      </c>
    </row>
    <row r="1141">
      <c r="A1141" s="109">
        <f>IF(AND(F1141="",G1141=""),"",ROW()-6)</f>
      </c>
      <c r="B1141" s="140" t="n"/>
      <c r="C1141" s="141" t="n"/>
      <c r="D1141" s="141" t="n"/>
      <c r="E1141" s="142" t="n"/>
      <c r="F1141" s="143" t="n"/>
      <c r="G1141" s="144" t="n"/>
      <c r="H1141" s="145">
        <f>IF(OR(C1141="",AND(F1141="",G1141="")),"",SUMIF(基础资料!$W$5:$W$24,C1141,基础资料!$X$5:$X$24)+SUMIF(C$7:C1141,C1141,F$7:F1141)-SUMIF(C$7:C1141,C1141,G$7:G1141))</f>
      </c>
      <c r="I1141" s="145">
        <f>IF(AND(F1141="",G1141=""),"",SUM(基础资料!$X$5:$X$24)+SUM(F$7:F1141)-SUM(G$7:G1141))</f>
      </c>
      <c r="J1141" s="141" t="n"/>
      <c r="K1141" s="141" t="n"/>
      <c r="L1141" s="141" t="n"/>
      <c r="M1141" s="142" t="n"/>
      <c r="N1141" s="146">
        <f>IF(AND(AND(F1141="",G1141=""),B1141="",C1141="",D1141="",J1141="",K1141="",L1141=""),"",IF(AND(F1141="",G1141=""),"✗ 没填金额",IF(AND(N(F1141)&lt;&gt;0,N(G1141)&lt;&gt;0),"✗ 收入、支出只能填一边",IF(NOT(ISNUMBER(B1141)),"✗ 日期不是真日期（要像 2026/9/25 这样填）",IF(OR(B1141&lt;年初日,B1141&gt;年末日),"✗ 日期不在本会计年度",IF(C1141="","✗ 没选账户",IF(COUNTIF(基础资料!$W$5:$W$24,C1141)=0,"✗ 账户不在基础资料里",IF(O1141="","✗ 没选收支项目",IF(P1141="未知","✗ 收支项目不在基础资料里",IF(AND(P1141="应收",J1141=""),"✗ 这笔要选客户",IF(AND(P1141="应收",COUNTIF(总览汇总!$B$5:$B$304,J1141)=0),"✗ 客户不在总览汇总名单里",IF(AND(P1141="应付",K1141=""),"✗ 这笔要选供应商",IF(AND(P1141="应付",COUNTIF(基础资料!$Q$5:$Q$54,K1141)=0),"✗ 供应商不在基础资料里",IF(AND(P1141="费用",L1141=""),"✗ 费用支出要选费用项目",IF(AND(L1141&lt;&gt;"",COUNTIF(基础资料!$AI$5:$AI$54,L1141)=0),"✗ 费用项目不在基础资料里",IF(AND(IFERROR(INDEX(基础资料!$AD$5:$AD$34,MATCH(O1141,基础资料!$AC$5:$AC$34,0)),"")="收",N(G1141)&lt;&gt;0),"✗ 这类是收款，金额填到收入列",IF(AND(IFERROR(INDEX(基础资料!$AD$5:$AD$34,MATCH(O1141,基础资料!$AC$5:$AC$34,0)),"")="支",N(F1141)&lt;&gt;0),"✗ 这类是付款，金额填到支出列",IF(N(H1141)&lt;0,"⚠ 账户余额成负数了，核对一下","√"))))))))))))))))))</f>
      </c>
      <c r="O1141" s="78">
        <f>IF(D1141&lt;&gt;"",D1141,IF(AND(F1141="",G1141=""),"",IF(J1141&lt;&gt;"",IF(N(F1141)&gt;0,"客户回款","客户退款"),IF(K1141&lt;&gt;"",IF(N(G1141)&gt;0,"供应商付款","供应商退款"),IF(L1141&lt;&gt;"","费用支出","")))))</f>
      </c>
      <c r="P1141" s="78">
        <f>IF(O1141="","",IFERROR(INDEX(基础资料!$AE$5:$AE$34,MATCH(O1141,基础资料!$AC$5:$AC$34,0)),"未知"))</f>
      </c>
      <c r="Q1141" s="78">
        <f>IF(P1141="应收",COUNTIF(P$7:P1141,"应收"),"")</f>
      </c>
      <c r="R1141" s="78">
        <f>IF(P1141="应付",COUNTIF(P$7:P1141,"应付"),"")</f>
      </c>
      <c r="S1141" s="78">
        <f>N(F1141)-N(G1141)</f>
        <v>0</v>
      </c>
    </row>
    <row r="1142">
      <c r="A1142" s="109">
        <f>IF(AND(F1142="",G1142=""),"",ROW()-6)</f>
      </c>
      <c r="B1142" s="140" t="n"/>
      <c r="C1142" s="141" t="n"/>
      <c r="D1142" s="141" t="n"/>
      <c r="E1142" s="142" t="n"/>
      <c r="F1142" s="143" t="n"/>
      <c r="G1142" s="144" t="n"/>
      <c r="H1142" s="145">
        <f>IF(OR(C1142="",AND(F1142="",G1142="")),"",SUMIF(基础资料!$W$5:$W$24,C1142,基础资料!$X$5:$X$24)+SUMIF(C$7:C1142,C1142,F$7:F1142)-SUMIF(C$7:C1142,C1142,G$7:G1142))</f>
      </c>
      <c r="I1142" s="145">
        <f>IF(AND(F1142="",G1142=""),"",SUM(基础资料!$X$5:$X$24)+SUM(F$7:F1142)-SUM(G$7:G1142))</f>
      </c>
      <c r="J1142" s="141" t="n"/>
      <c r="K1142" s="141" t="n"/>
      <c r="L1142" s="141" t="n"/>
      <c r="M1142" s="142" t="n"/>
      <c r="N1142" s="146">
        <f>IF(AND(AND(F1142="",G1142=""),B1142="",C1142="",D1142="",J1142="",K1142="",L1142=""),"",IF(AND(F1142="",G1142=""),"✗ 没填金额",IF(AND(N(F1142)&lt;&gt;0,N(G1142)&lt;&gt;0),"✗ 收入、支出只能填一边",IF(NOT(ISNUMBER(B1142)),"✗ 日期不是真日期（要像 2026/9/25 这样填）",IF(OR(B1142&lt;年初日,B1142&gt;年末日),"✗ 日期不在本会计年度",IF(C1142="","✗ 没选账户",IF(COUNTIF(基础资料!$W$5:$W$24,C1142)=0,"✗ 账户不在基础资料里",IF(O1142="","✗ 没选收支项目",IF(P1142="未知","✗ 收支项目不在基础资料里",IF(AND(P1142="应收",J1142=""),"✗ 这笔要选客户",IF(AND(P1142="应收",COUNTIF(总览汇总!$B$5:$B$304,J1142)=0),"✗ 客户不在总览汇总名单里",IF(AND(P1142="应付",K1142=""),"✗ 这笔要选供应商",IF(AND(P1142="应付",COUNTIF(基础资料!$Q$5:$Q$54,K1142)=0),"✗ 供应商不在基础资料里",IF(AND(P1142="费用",L1142=""),"✗ 费用支出要选费用项目",IF(AND(L1142&lt;&gt;"",COUNTIF(基础资料!$AI$5:$AI$54,L1142)=0),"✗ 费用项目不在基础资料里",IF(AND(IFERROR(INDEX(基础资料!$AD$5:$AD$34,MATCH(O1142,基础资料!$AC$5:$AC$34,0)),"")="收",N(G1142)&lt;&gt;0),"✗ 这类是收款，金额填到收入列",IF(AND(IFERROR(INDEX(基础资料!$AD$5:$AD$34,MATCH(O1142,基础资料!$AC$5:$AC$34,0)),"")="支",N(F1142)&lt;&gt;0),"✗ 这类是付款，金额填到支出列",IF(N(H1142)&lt;0,"⚠ 账户余额成负数了，核对一下","√"))))))))))))))))))</f>
      </c>
      <c r="O1142" s="78">
        <f>IF(D1142&lt;&gt;"",D1142,IF(AND(F1142="",G1142=""),"",IF(J1142&lt;&gt;"",IF(N(F1142)&gt;0,"客户回款","客户退款"),IF(K1142&lt;&gt;"",IF(N(G1142)&gt;0,"供应商付款","供应商退款"),IF(L1142&lt;&gt;"","费用支出","")))))</f>
      </c>
      <c r="P1142" s="78">
        <f>IF(O1142="","",IFERROR(INDEX(基础资料!$AE$5:$AE$34,MATCH(O1142,基础资料!$AC$5:$AC$34,0)),"未知"))</f>
      </c>
      <c r="Q1142" s="78">
        <f>IF(P1142="应收",COUNTIF(P$7:P1142,"应收"),"")</f>
      </c>
      <c r="R1142" s="78">
        <f>IF(P1142="应付",COUNTIF(P$7:P1142,"应付"),"")</f>
      </c>
      <c r="S1142" s="78">
        <f>N(F1142)-N(G1142)</f>
        <v>0</v>
      </c>
    </row>
    <row r="1143">
      <c r="A1143" s="109">
        <f>IF(AND(F1143="",G1143=""),"",ROW()-6)</f>
      </c>
      <c r="B1143" s="140" t="n"/>
      <c r="C1143" s="141" t="n"/>
      <c r="D1143" s="141" t="n"/>
      <c r="E1143" s="142" t="n"/>
      <c r="F1143" s="143" t="n"/>
      <c r="G1143" s="144" t="n"/>
      <c r="H1143" s="145">
        <f>IF(OR(C1143="",AND(F1143="",G1143="")),"",SUMIF(基础资料!$W$5:$W$24,C1143,基础资料!$X$5:$X$24)+SUMIF(C$7:C1143,C1143,F$7:F1143)-SUMIF(C$7:C1143,C1143,G$7:G1143))</f>
      </c>
      <c r="I1143" s="145">
        <f>IF(AND(F1143="",G1143=""),"",SUM(基础资料!$X$5:$X$24)+SUM(F$7:F1143)-SUM(G$7:G1143))</f>
      </c>
      <c r="J1143" s="141" t="n"/>
      <c r="K1143" s="141" t="n"/>
      <c r="L1143" s="141" t="n"/>
      <c r="M1143" s="142" t="n"/>
      <c r="N1143" s="146">
        <f>IF(AND(AND(F1143="",G1143=""),B1143="",C1143="",D1143="",J1143="",K1143="",L1143=""),"",IF(AND(F1143="",G1143=""),"✗ 没填金额",IF(AND(N(F1143)&lt;&gt;0,N(G1143)&lt;&gt;0),"✗ 收入、支出只能填一边",IF(NOT(ISNUMBER(B1143)),"✗ 日期不是真日期（要像 2026/9/25 这样填）",IF(OR(B1143&lt;年初日,B1143&gt;年末日),"✗ 日期不在本会计年度",IF(C1143="","✗ 没选账户",IF(COUNTIF(基础资料!$W$5:$W$24,C1143)=0,"✗ 账户不在基础资料里",IF(O1143="","✗ 没选收支项目",IF(P1143="未知","✗ 收支项目不在基础资料里",IF(AND(P1143="应收",J1143=""),"✗ 这笔要选客户",IF(AND(P1143="应收",COUNTIF(总览汇总!$B$5:$B$304,J1143)=0),"✗ 客户不在总览汇总名单里",IF(AND(P1143="应付",K1143=""),"✗ 这笔要选供应商",IF(AND(P1143="应付",COUNTIF(基础资料!$Q$5:$Q$54,K1143)=0),"✗ 供应商不在基础资料里",IF(AND(P1143="费用",L1143=""),"✗ 费用支出要选费用项目",IF(AND(L1143&lt;&gt;"",COUNTIF(基础资料!$AI$5:$AI$54,L1143)=0),"✗ 费用项目不在基础资料里",IF(AND(IFERROR(INDEX(基础资料!$AD$5:$AD$34,MATCH(O1143,基础资料!$AC$5:$AC$34,0)),"")="收",N(G1143)&lt;&gt;0),"✗ 这类是收款，金额填到收入列",IF(AND(IFERROR(INDEX(基础资料!$AD$5:$AD$34,MATCH(O1143,基础资料!$AC$5:$AC$34,0)),"")="支",N(F1143)&lt;&gt;0),"✗ 这类是付款，金额填到支出列",IF(N(H1143)&lt;0,"⚠ 账户余额成负数了，核对一下","√"))))))))))))))))))</f>
      </c>
      <c r="O1143" s="78">
        <f>IF(D1143&lt;&gt;"",D1143,IF(AND(F1143="",G1143=""),"",IF(J1143&lt;&gt;"",IF(N(F1143)&gt;0,"客户回款","客户退款"),IF(K1143&lt;&gt;"",IF(N(G1143)&gt;0,"供应商付款","供应商退款"),IF(L1143&lt;&gt;"","费用支出","")))))</f>
      </c>
      <c r="P1143" s="78">
        <f>IF(O1143="","",IFERROR(INDEX(基础资料!$AE$5:$AE$34,MATCH(O1143,基础资料!$AC$5:$AC$34,0)),"未知"))</f>
      </c>
      <c r="Q1143" s="78">
        <f>IF(P1143="应收",COUNTIF(P$7:P1143,"应收"),"")</f>
      </c>
      <c r="R1143" s="78">
        <f>IF(P1143="应付",COUNTIF(P$7:P1143,"应付"),"")</f>
      </c>
      <c r="S1143" s="78">
        <f>N(F1143)-N(G1143)</f>
        <v>0</v>
      </c>
    </row>
    <row r="1144">
      <c r="A1144" s="109">
        <f>IF(AND(F1144="",G1144=""),"",ROW()-6)</f>
      </c>
      <c r="B1144" s="140" t="n"/>
      <c r="C1144" s="141" t="n"/>
      <c r="D1144" s="141" t="n"/>
      <c r="E1144" s="142" t="n"/>
      <c r="F1144" s="143" t="n"/>
      <c r="G1144" s="144" t="n"/>
      <c r="H1144" s="145">
        <f>IF(OR(C1144="",AND(F1144="",G1144="")),"",SUMIF(基础资料!$W$5:$W$24,C1144,基础资料!$X$5:$X$24)+SUMIF(C$7:C1144,C1144,F$7:F1144)-SUMIF(C$7:C1144,C1144,G$7:G1144))</f>
      </c>
      <c r="I1144" s="145">
        <f>IF(AND(F1144="",G1144=""),"",SUM(基础资料!$X$5:$X$24)+SUM(F$7:F1144)-SUM(G$7:G1144))</f>
      </c>
      <c r="J1144" s="141" t="n"/>
      <c r="K1144" s="141" t="n"/>
      <c r="L1144" s="141" t="n"/>
      <c r="M1144" s="142" t="n"/>
      <c r="N1144" s="146">
        <f>IF(AND(AND(F1144="",G1144=""),B1144="",C1144="",D1144="",J1144="",K1144="",L1144=""),"",IF(AND(F1144="",G1144=""),"✗ 没填金额",IF(AND(N(F1144)&lt;&gt;0,N(G1144)&lt;&gt;0),"✗ 收入、支出只能填一边",IF(NOT(ISNUMBER(B1144)),"✗ 日期不是真日期（要像 2026/9/25 这样填）",IF(OR(B1144&lt;年初日,B1144&gt;年末日),"✗ 日期不在本会计年度",IF(C1144="","✗ 没选账户",IF(COUNTIF(基础资料!$W$5:$W$24,C1144)=0,"✗ 账户不在基础资料里",IF(O1144="","✗ 没选收支项目",IF(P1144="未知","✗ 收支项目不在基础资料里",IF(AND(P1144="应收",J1144=""),"✗ 这笔要选客户",IF(AND(P1144="应收",COUNTIF(总览汇总!$B$5:$B$304,J1144)=0),"✗ 客户不在总览汇总名单里",IF(AND(P1144="应付",K1144=""),"✗ 这笔要选供应商",IF(AND(P1144="应付",COUNTIF(基础资料!$Q$5:$Q$54,K1144)=0),"✗ 供应商不在基础资料里",IF(AND(P1144="费用",L1144=""),"✗ 费用支出要选费用项目",IF(AND(L1144&lt;&gt;"",COUNTIF(基础资料!$AI$5:$AI$54,L1144)=0),"✗ 费用项目不在基础资料里",IF(AND(IFERROR(INDEX(基础资料!$AD$5:$AD$34,MATCH(O1144,基础资料!$AC$5:$AC$34,0)),"")="收",N(G1144)&lt;&gt;0),"✗ 这类是收款，金额填到收入列",IF(AND(IFERROR(INDEX(基础资料!$AD$5:$AD$34,MATCH(O1144,基础资料!$AC$5:$AC$34,0)),"")="支",N(F1144)&lt;&gt;0),"✗ 这类是付款，金额填到支出列",IF(N(H1144)&lt;0,"⚠ 账户余额成负数了，核对一下","√"))))))))))))))))))</f>
      </c>
      <c r="O1144" s="78">
        <f>IF(D1144&lt;&gt;"",D1144,IF(AND(F1144="",G1144=""),"",IF(J1144&lt;&gt;"",IF(N(F1144)&gt;0,"客户回款","客户退款"),IF(K1144&lt;&gt;"",IF(N(G1144)&gt;0,"供应商付款","供应商退款"),IF(L1144&lt;&gt;"","费用支出","")))))</f>
      </c>
      <c r="P1144" s="78">
        <f>IF(O1144="","",IFERROR(INDEX(基础资料!$AE$5:$AE$34,MATCH(O1144,基础资料!$AC$5:$AC$34,0)),"未知"))</f>
      </c>
      <c r="Q1144" s="78">
        <f>IF(P1144="应收",COUNTIF(P$7:P1144,"应收"),"")</f>
      </c>
      <c r="R1144" s="78">
        <f>IF(P1144="应付",COUNTIF(P$7:P1144,"应付"),"")</f>
      </c>
      <c r="S1144" s="78">
        <f>N(F1144)-N(G1144)</f>
        <v>0</v>
      </c>
    </row>
    <row r="1145">
      <c r="A1145" s="109">
        <f>IF(AND(F1145="",G1145=""),"",ROW()-6)</f>
      </c>
      <c r="B1145" s="140" t="n"/>
      <c r="C1145" s="141" t="n"/>
      <c r="D1145" s="141" t="n"/>
      <c r="E1145" s="142" t="n"/>
      <c r="F1145" s="143" t="n"/>
      <c r="G1145" s="144" t="n"/>
      <c r="H1145" s="145">
        <f>IF(OR(C1145="",AND(F1145="",G1145="")),"",SUMIF(基础资料!$W$5:$W$24,C1145,基础资料!$X$5:$X$24)+SUMIF(C$7:C1145,C1145,F$7:F1145)-SUMIF(C$7:C1145,C1145,G$7:G1145))</f>
      </c>
      <c r="I1145" s="145">
        <f>IF(AND(F1145="",G1145=""),"",SUM(基础资料!$X$5:$X$24)+SUM(F$7:F1145)-SUM(G$7:G1145))</f>
      </c>
      <c r="J1145" s="141" t="n"/>
      <c r="K1145" s="141" t="n"/>
      <c r="L1145" s="141" t="n"/>
      <c r="M1145" s="142" t="n"/>
      <c r="N1145" s="146">
        <f>IF(AND(AND(F1145="",G1145=""),B1145="",C1145="",D1145="",J1145="",K1145="",L1145=""),"",IF(AND(F1145="",G1145=""),"✗ 没填金额",IF(AND(N(F1145)&lt;&gt;0,N(G1145)&lt;&gt;0),"✗ 收入、支出只能填一边",IF(NOT(ISNUMBER(B1145)),"✗ 日期不是真日期（要像 2026/9/25 这样填）",IF(OR(B1145&lt;年初日,B1145&gt;年末日),"✗ 日期不在本会计年度",IF(C1145="","✗ 没选账户",IF(COUNTIF(基础资料!$W$5:$W$24,C1145)=0,"✗ 账户不在基础资料里",IF(O1145="","✗ 没选收支项目",IF(P1145="未知","✗ 收支项目不在基础资料里",IF(AND(P1145="应收",J1145=""),"✗ 这笔要选客户",IF(AND(P1145="应收",COUNTIF(总览汇总!$B$5:$B$304,J1145)=0),"✗ 客户不在总览汇总名单里",IF(AND(P1145="应付",K1145=""),"✗ 这笔要选供应商",IF(AND(P1145="应付",COUNTIF(基础资料!$Q$5:$Q$54,K1145)=0),"✗ 供应商不在基础资料里",IF(AND(P1145="费用",L1145=""),"✗ 费用支出要选费用项目",IF(AND(L1145&lt;&gt;"",COUNTIF(基础资料!$AI$5:$AI$54,L1145)=0),"✗ 费用项目不在基础资料里",IF(AND(IFERROR(INDEX(基础资料!$AD$5:$AD$34,MATCH(O1145,基础资料!$AC$5:$AC$34,0)),"")="收",N(G1145)&lt;&gt;0),"✗ 这类是收款，金额填到收入列",IF(AND(IFERROR(INDEX(基础资料!$AD$5:$AD$34,MATCH(O1145,基础资料!$AC$5:$AC$34,0)),"")="支",N(F1145)&lt;&gt;0),"✗ 这类是付款，金额填到支出列",IF(N(H1145)&lt;0,"⚠ 账户余额成负数了，核对一下","√"))))))))))))))))))</f>
      </c>
      <c r="O1145" s="78">
        <f>IF(D1145&lt;&gt;"",D1145,IF(AND(F1145="",G1145=""),"",IF(J1145&lt;&gt;"",IF(N(F1145)&gt;0,"客户回款","客户退款"),IF(K1145&lt;&gt;"",IF(N(G1145)&gt;0,"供应商付款","供应商退款"),IF(L1145&lt;&gt;"","费用支出","")))))</f>
      </c>
      <c r="P1145" s="78">
        <f>IF(O1145="","",IFERROR(INDEX(基础资料!$AE$5:$AE$34,MATCH(O1145,基础资料!$AC$5:$AC$34,0)),"未知"))</f>
      </c>
      <c r="Q1145" s="78">
        <f>IF(P1145="应收",COUNTIF(P$7:P1145,"应收"),"")</f>
      </c>
      <c r="R1145" s="78">
        <f>IF(P1145="应付",COUNTIF(P$7:P1145,"应付"),"")</f>
      </c>
      <c r="S1145" s="78">
        <f>N(F1145)-N(G1145)</f>
        <v>0</v>
      </c>
    </row>
    <row r="1146">
      <c r="A1146" s="109">
        <f>IF(AND(F1146="",G1146=""),"",ROW()-6)</f>
      </c>
      <c r="B1146" s="140" t="n"/>
      <c r="C1146" s="141" t="n"/>
      <c r="D1146" s="141" t="n"/>
      <c r="E1146" s="142" t="n"/>
      <c r="F1146" s="143" t="n"/>
      <c r="G1146" s="144" t="n"/>
      <c r="H1146" s="145">
        <f>IF(OR(C1146="",AND(F1146="",G1146="")),"",SUMIF(基础资料!$W$5:$W$24,C1146,基础资料!$X$5:$X$24)+SUMIF(C$7:C1146,C1146,F$7:F1146)-SUMIF(C$7:C1146,C1146,G$7:G1146))</f>
      </c>
      <c r="I1146" s="145">
        <f>IF(AND(F1146="",G1146=""),"",SUM(基础资料!$X$5:$X$24)+SUM(F$7:F1146)-SUM(G$7:G1146))</f>
      </c>
      <c r="J1146" s="141" t="n"/>
      <c r="K1146" s="141" t="n"/>
      <c r="L1146" s="141" t="n"/>
      <c r="M1146" s="142" t="n"/>
      <c r="N1146" s="146">
        <f>IF(AND(AND(F1146="",G1146=""),B1146="",C1146="",D1146="",J1146="",K1146="",L1146=""),"",IF(AND(F1146="",G1146=""),"✗ 没填金额",IF(AND(N(F1146)&lt;&gt;0,N(G1146)&lt;&gt;0),"✗ 收入、支出只能填一边",IF(NOT(ISNUMBER(B1146)),"✗ 日期不是真日期（要像 2026/9/25 这样填）",IF(OR(B1146&lt;年初日,B1146&gt;年末日),"✗ 日期不在本会计年度",IF(C1146="","✗ 没选账户",IF(COUNTIF(基础资料!$W$5:$W$24,C1146)=0,"✗ 账户不在基础资料里",IF(O1146="","✗ 没选收支项目",IF(P1146="未知","✗ 收支项目不在基础资料里",IF(AND(P1146="应收",J1146=""),"✗ 这笔要选客户",IF(AND(P1146="应收",COUNTIF(总览汇总!$B$5:$B$304,J1146)=0),"✗ 客户不在总览汇总名单里",IF(AND(P1146="应付",K1146=""),"✗ 这笔要选供应商",IF(AND(P1146="应付",COUNTIF(基础资料!$Q$5:$Q$54,K1146)=0),"✗ 供应商不在基础资料里",IF(AND(P1146="费用",L1146=""),"✗ 费用支出要选费用项目",IF(AND(L1146&lt;&gt;"",COUNTIF(基础资料!$AI$5:$AI$54,L1146)=0),"✗ 费用项目不在基础资料里",IF(AND(IFERROR(INDEX(基础资料!$AD$5:$AD$34,MATCH(O1146,基础资料!$AC$5:$AC$34,0)),"")="收",N(G1146)&lt;&gt;0),"✗ 这类是收款，金额填到收入列",IF(AND(IFERROR(INDEX(基础资料!$AD$5:$AD$34,MATCH(O1146,基础资料!$AC$5:$AC$34,0)),"")="支",N(F1146)&lt;&gt;0),"✗ 这类是付款，金额填到支出列",IF(N(H1146)&lt;0,"⚠ 账户余额成负数了，核对一下","√"))))))))))))))))))</f>
      </c>
      <c r="O1146" s="78">
        <f>IF(D1146&lt;&gt;"",D1146,IF(AND(F1146="",G1146=""),"",IF(J1146&lt;&gt;"",IF(N(F1146)&gt;0,"客户回款","客户退款"),IF(K1146&lt;&gt;"",IF(N(G1146)&gt;0,"供应商付款","供应商退款"),IF(L1146&lt;&gt;"","费用支出","")))))</f>
      </c>
      <c r="P1146" s="78">
        <f>IF(O1146="","",IFERROR(INDEX(基础资料!$AE$5:$AE$34,MATCH(O1146,基础资料!$AC$5:$AC$34,0)),"未知"))</f>
      </c>
      <c r="Q1146" s="78">
        <f>IF(P1146="应收",COUNTIF(P$7:P1146,"应收"),"")</f>
      </c>
      <c r="R1146" s="78">
        <f>IF(P1146="应付",COUNTIF(P$7:P1146,"应付"),"")</f>
      </c>
      <c r="S1146" s="78">
        <f>N(F1146)-N(G1146)</f>
        <v>0</v>
      </c>
    </row>
    <row r="1147">
      <c r="A1147" s="109">
        <f>IF(AND(F1147="",G1147=""),"",ROW()-6)</f>
      </c>
      <c r="B1147" s="140" t="n"/>
      <c r="C1147" s="141" t="n"/>
      <c r="D1147" s="141" t="n"/>
      <c r="E1147" s="142" t="n"/>
      <c r="F1147" s="143" t="n"/>
      <c r="G1147" s="144" t="n"/>
      <c r="H1147" s="145">
        <f>IF(OR(C1147="",AND(F1147="",G1147="")),"",SUMIF(基础资料!$W$5:$W$24,C1147,基础资料!$X$5:$X$24)+SUMIF(C$7:C1147,C1147,F$7:F1147)-SUMIF(C$7:C1147,C1147,G$7:G1147))</f>
      </c>
      <c r="I1147" s="145">
        <f>IF(AND(F1147="",G1147=""),"",SUM(基础资料!$X$5:$X$24)+SUM(F$7:F1147)-SUM(G$7:G1147))</f>
      </c>
      <c r="J1147" s="141" t="n"/>
      <c r="K1147" s="141" t="n"/>
      <c r="L1147" s="141" t="n"/>
      <c r="M1147" s="142" t="n"/>
      <c r="N1147" s="146">
        <f>IF(AND(AND(F1147="",G1147=""),B1147="",C1147="",D1147="",J1147="",K1147="",L1147=""),"",IF(AND(F1147="",G1147=""),"✗ 没填金额",IF(AND(N(F1147)&lt;&gt;0,N(G1147)&lt;&gt;0),"✗ 收入、支出只能填一边",IF(NOT(ISNUMBER(B1147)),"✗ 日期不是真日期（要像 2026/9/25 这样填）",IF(OR(B1147&lt;年初日,B1147&gt;年末日),"✗ 日期不在本会计年度",IF(C1147="","✗ 没选账户",IF(COUNTIF(基础资料!$W$5:$W$24,C1147)=0,"✗ 账户不在基础资料里",IF(O1147="","✗ 没选收支项目",IF(P1147="未知","✗ 收支项目不在基础资料里",IF(AND(P1147="应收",J1147=""),"✗ 这笔要选客户",IF(AND(P1147="应收",COUNTIF(总览汇总!$B$5:$B$304,J1147)=0),"✗ 客户不在总览汇总名单里",IF(AND(P1147="应付",K1147=""),"✗ 这笔要选供应商",IF(AND(P1147="应付",COUNTIF(基础资料!$Q$5:$Q$54,K1147)=0),"✗ 供应商不在基础资料里",IF(AND(P1147="费用",L1147=""),"✗ 费用支出要选费用项目",IF(AND(L1147&lt;&gt;"",COUNTIF(基础资料!$AI$5:$AI$54,L1147)=0),"✗ 费用项目不在基础资料里",IF(AND(IFERROR(INDEX(基础资料!$AD$5:$AD$34,MATCH(O1147,基础资料!$AC$5:$AC$34,0)),"")="收",N(G1147)&lt;&gt;0),"✗ 这类是收款，金额填到收入列",IF(AND(IFERROR(INDEX(基础资料!$AD$5:$AD$34,MATCH(O1147,基础资料!$AC$5:$AC$34,0)),"")="支",N(F1147)&lt;&gt;0),"✗ 这类是付款，金额填到支出列",IF(N(H1147)&lt;0,"⚠ 账户余额成负数了，核对一下","√"))))))))))))))))))</f>
      </c>
      <c r="O1147" s="78">
        <f>IF(D1147&lt;&gt;"",D1147,IF(AND(F1147="",G1147=""),"",IF(J1147&lt;&gt;"",IF(N(F1147)&gt;0,"客户回款","客户退款"),IF(K1147&lt;&gt;"",IF(N(G1147)&gt;0,"供应商付款","供应商退款"),IF(L1147&lt;&gt;"","费用支出","")))))</f>
      </c>
      <c r="P1147" s="78">
        <f>IF(O1147="","",IFERROR(INDEX(基础资料!$AE$5:$AE$34,MATCH(O1147,基础资料!$AC$5:$AC$34,0)),"未知"))</f>
      </c>
      <c r="Q1147" s="78">
        <f>IF(P1147="应收",COUNTIF(P$7:P1147,"应收"),"")</f>
      </c>
      <c r="R1147" s="78">
        <f>IF(P1147="应付",COUNTIF(P$7:P1147,"应付"),"")</f>
      </c>
      <c r="S1147" s="78">
        <f>N(F1147)-N(G1147)</f>
        <v>0</v>
      </c>
    </row>
    <row r="1148">
      <c r="A1148" s="109">
        <f>IF(AND(F1148="",G1148=""),"",ROW()-6)</f>
      </c>
      <c r="B1148" s="140" t="n"/>
      <c r="C1148" s="141" t="n"/>
      <c r="D1148" s="141" t="n"/>
      <c r="E1148" s="142" t="n"/>
      <c r="F1148" s="143" t="n"/>
      <c r="G1148" s="144" t="n"/>
      <c r="H1148" s="145">
        <f>IF(OR(C1148="",AND(F1148="",G1148="")),"",SUMIF(基础资料!$W$5:$W$24,C1148,基础资料!$X$5:$X$24)+SUMIF(C$7:C1148,C1148,F$7:F1148)-SUMIF(C$7:C1148,C1148,G$7:G1148))</f>
      </c>
      <c r="I1148" s="145">
        <f>IF(AND(F1148="",G1148=""),"",SUM(基础资料!$X$5:$X$24)+SUM(F$7:F1148)-SUM(G$7:G1148))</f>
      </c>
      <c r="J1148" s="141" t="n"/>
      <c r="K1148" s="141" t="n"/>
      <c r="L1148" s="141" t="n"/>
      <c r="M1148" s="142" t="n"/>
      <c r="N1148" s="146">
        <f>IF(AND(AND(F1148="",G1148=""),B1148="",C1148="",D1148="",J1148="",K1148="",L1148=""),"",IF(AND(F1148="",G1148=""),"✗ 没填金额",IF(AND(N(F1148)&lt;&gt;0,N(G1148)&lt;&gt;0),"✗ 收入、支出只能填一边",IF(NOT(ISNUMBER(B1148)),"✗ 日期不是真日期（要像 2026/9/25 这样填）",IF(OR(B1148&lt;年初日,B1148&gt;年末日),"✗ 日期不在本会计年度",IF(C1148="","✗ 没选账户",IF(COUNTIF(基础资料!$W$5:$W$24,C1148)=0,"✗ 账户不在基础资料里",IF(O1148="","✗ 没选收支项目",IF(P1148="未知","✗ 收支项目不在基础资料里",IF(AND(P1148="应收",J1148=""),"✗ 这笔要选客户",IF(AND(P1148="应收",COUNTIF(总览汇总!$B$5:$B$304,J1148)=0),"✗ 客户不在总览汇总名单里",IF(AND(P1148="应付",K1148=""),"✗ 这笔要选供应商",IF(AND(P1148="应付",COUNTIF(基础资料!$Q$5:$Q$54,K1148)=0),"✗ 供应商不在基础资料里",IF(AND(P1148="费用",L1148=""),"✗ 费用支出要选费用项目",IF(AND(L1148&lt;&gt;"",COUNTIF(基础资料!$AI$5:$AI$54,L1148)=0),"✗ 费用项目不在基础资料里",IF(AND(IFERROR(INDEX(基础资料!$AD$5:$AD$34,MATCH(O1148,基础资料!$AC$5:$AC$34,0)),"")="收",N(G1148)&lt;&gt;0),"✗ 这类是收款，金额填到收入列",IF(AND(IFERROR(INDEX(基础资料!$AD$5:$AD$34,MATCH(O1148,基础资料!$AC$5:$AC$34,0)),"")="支",N(F1148)&lt;&gt;0),"✗ 这类是付款，金额填到支出列",IF(N(H1148)&lt;0,"⚠ 账户余额成负数了，核对一下","√"))))))))))))))))))</f>
      </c>
      <c r="O1148" s="78">
        <f>IF(D1148&lt;&gt;"",D1148,IF(AND(F1148="",G1148=""),"",IF(J1148&lt;&gt;"",IF(N(F1148)&gt;0,"客户回款","客户退款"),IF(K1148&lt;&gt;"",IF(N(G1148)&gt;0,"供应商付款","供应商退款"),IF(L1148&lt;&gt;"","费用支出","")))))</f>
      </c>
      <c r="P1148" s="78">
        <f>IF(O1148="","",IFERROR(INDEX(基础资料!$AE$5:$AE$34,MATCH(O1148,基础资料!$AC$5:$AC$34,0)),"未知"))</f>
      </c>
      <c r="Q1148" s="78">
        <f>IF(P1148="应收",COUNTIF(P$7:P1148,"应收"),"")</f>
      </c>
      <c r="R1148" s="78">
        <f>IF(P1148="应付",COUNTIF(P$7:P1148,"应付"),"")</f>
      </c>
      <c r="S1148" s="78">
        <f>N(F1148)-N(G1148)</f>
        <v>0</v>
      </c>
    </row>
    <row r="1149">
      <c r="A1149" s="109">
        <f>IF(AND(F1149="",G1149=""),"",ROW()-6)</f>
      </c>
      <c r="B1149" s="140" t="n"/>
      <c r="C1149" s="141" t="n"/>
      <c r="D1149" s="141" t="n"/>
      <c r="E1149" s="142" t="n"/>
      <c r="F1149" s="143" t="n"/>
      <c r="G1149" s="144" t="n"/>
      <c r="H1149" s="145">
        <f>IF(OR(C1149="",AND(F1149="",G1149="")),"",SUMIF(基础资料!$W$5:$W$24,C1149,基础资料!$X$5:$X$24)+SUMIF(C$7:C1149,C1149,F$7:F1149)-SUMIF(C$7:C1149,C1149,G$7:G1149))</f>
      </c>
      <c r="I1149" s="145">
        <f>IF(AND(F1149="",G1149=""),"",SUM(基础资料!$X$5:$X$24)+SUM(F$7:F1149)-SUM(G$7:G1149))</f>
      </c>
      <c r="J1149" s="141" t="n"/>
      <c r="K1149" s="141" t="n"/>
      <c r="L1149" s="141" t="n"/>
      <c r="M1149" s="142" t="n"/>
      <c r="N1149" s="146">
        <f>IF(AND(AND(F1149="",G1149=""),B1149="",C1149="",D1149="",J1149="",K1149="",L1149=""),"",IF(AND(F1149="",G1149=""),"✗ 没填金额",IF(AND(N(F1149)&lt;&gt;0,N(G1149)&lt;&gt;0),"✗ 收入、支出只能填一边",IF(NOT(ISNUMBER(B1149)),"✗ 日期不是真日期（要像 2026/9/25 这样填）",IF(OR(B1149&lt;年初日,B1149&gt;年末日),"✗ 日期不在本会计年度",IF(C1149="","✗ 没选账户",IF(COUNTIF(基础资料!$W$5:$W$24,C1149)=0,"✗ 账户不在基础资料里",IF(O1149="","✗ 没选收支项目",IF(P1149="未知","✗ 收支项目不在基础资料里",IF(AND(P1149="应收",J1149=""),"✗ 这笔要选客户",IF(AND(P1149="应收",COUNTIF(总览汇总!$B$5:$B$304,J1149)=0),"✗ 客户不在总览汇总名单里",IF(AND(P1149="应付",K1149=""),"✗ 这笔要选供应商",IF(AND(P1149="应付",COUNTIF(基础资料!$Q$5:$Q$54,K1149)=0),"✗ 供应商不在基础资料里",IF(AND(P1149="费用",L1149=""),"✗ 费用支出要选费用项目",IF(AND(L1149&lt;&gt;"",COUNTIF(基础资料!$AI$5:$AI$54,L1149)=0),"✗ 费用项目不在基础资料里",IF(AND(IFERROR(INDEX(基础资料!$AD$5:$AD$34,MATCH(O1149,基础资料!$AC$5:$AC$34,0)),"")="收",N(G1149)&lt;&gt;0),"✗ 这类是收款，金额填到收入列",IF(AND(IFERROR(INDEX(基础资料!$AD$5:$AD$34,MATCH(O1149,基础资料!$AC$5:$AC$34,0)),"")="支",N(F1149)&lt;&gt;0),"✗ 这类是付款，金额填到支出列",IF(N(H1149)&lt;0,"⚠ 账户余额成负数了，核对一下","√"))))))))))))))))))</f>
      </c>
      <c r="O1149" s="78">
        <f>IF(D1149&lt;&gt;"",D1149,IF(AND(F1149="",G1149=""),"",IF(J1149&lt;&gt;"",IF(N(F1149)&gt;0,"客户回款","客户退款"),IF(K1149&lt;&gt;"",IF(N(G1149)&gt;0,"供应商付款","供应商退款"),IF(L1149&lt;&gt;"","费用支出","")))))</f>
      </c>
      <c r="P1149" s="78">
        <f>IF(O1149="","",IFERROR(INDEX(基础资料!$AE$5:$AE$34,MATCH(O1149,基础资料!$AC$5:$AC$34,0)),"未知"))</f>
      </c>
      <c r="Q1149" s="78">
        <f>IF(P1149="应收",COUNTIF(P$7:P1149,"应收"),"")</f>
      </c>
      <c r="R1149" s="78">
        <f>IF(P1149="应付",COUNTIF(P$7:P1149,"应付"),"")</f>
      </c>
      <c r="S1149" s="78">
        <f>N(F1149)-N(G1149)</f>
        <v>0</v>
      </c>
    </row>
    <row r="1150">
      <c r="A1150" s="109">
        <f>IF(AND(F1150="",G1150=""),"",ROW()-6)</f>
      </c>
      <c r="B1150" s="140" t="n"/>
      <c r="C1150" s="141" t="n"/>
      <c r="D1150" s="141" t="n"/>
      <c r="E1150" s="142" t="n"/>
      <c r="F1150" s="143" t="n"/>
      <c r="G1150" s="144" t="n"/>
      <c r="H1150" s="145">
        <f>IF(OR(C1150="",AND(F1150="",G1150="")),"",SUMIF(基础资料!$W$5:$W$24,C1150,基础资料!$X$5:$X$24)+SUMIF(C$7:C1150,C1150,F$7:F1150)-SUMIF(C$7:C1150,C1150,G$7:G1150))</f>
      </c>
      <c r="I1150" s="145">
        <f>IF(AND(F1150="",G1150=""),"",SUM(基础资料!$X$5:$X$24)+SUM(F$7:F1150)-SUM(G$7:G1150))</f>
      </c>
      <c r="J1150" s="141" t="n"/>
      <c r="K1150" s="141" t="n"/>
      <c r="L1150" s="141" t="n"/>
      <c r="M1150" s="142" t="n"/>
      <c r="N1150" s="146">
        <f>IF(AND(AND(F1150="",G1150=""),B1150="",C1150="",D1150="",J1150="",K1150="",L1150=""),"",IF(AND(F1150="",G1150=""),"✗ 没填金额",IF(AND(N(F1150)&lt;&gt;0,N(G1150)&lt;&gt;0),"✗ 收入、支出只能填一边",IF(NOT(ISNUMBER(B1150)),"✗ 日期不是真日期（要像 2026/9/25 这样填）",IF(OR(B1150&lt;年初日,B1150&gt;年末日),"✗ 日期不在本会计年度",IF(C1150="","✗ 没选账户",IF(COUNTIF(基础资料!$W$5:$W$24,C1150)=0,"✗ 账户不在基础资料里",IF(O1150="","✗ 没选收支项目",IF(P1150="未知","✗ 收支项目不在基础资料里",IF(AND(P1150="应收",J1150=""),"✗ 这笔要选客户",IF(AND(P1150="应收",COUNTIF(总览汇总!$B$5:$B$304,J1150)=0),"✗ 客户不在总览汇总名单里",IF(AND(P1150="应付",K1150=""),"✗ 这笔要选供应商",IF(AND(P1150="应付",COUNTIF(基础资料!$Q$5:$Q$54,K1150)=0),"✗ 供应商不在基础资料里",IF(AND(P1150="费用",L1150=""),"✗ 费用支出要选费用项目",IF(AND(L1150&lt;&gt;"",COUNTIF(基础资料!$AI$5:$AI$54,L1150)=0),"✗ 费用项目不在基础资料里",IF(AND(IFERROR(INDEX(基础资料!$AD$5:$AD$34,MATCH(O1150,基础资料!$AC$5:$AC$34,0)),"")="收",N(G1150)&lt;&gt;0),"✗ 这类是收款，金额填到收入列",IF(AND(IFERROR(INDEX(基础资料!$AD$5:$AD$34,MATCH(O1150,基础资料!$AC$5:$AC$34,0)),"")="支",N(F1150)&lt;&gt;0),"✗ 这类是付款，金额填到支出列",IF(N(H1150)&lt;0,"⚠ 账户余额成负数了，核对一下","√"))))))))))))))))))</f>
      </c>
      <c r="O1150" s="78">
        <f>IF(D1150&lt;&gt;"",D1150,IF(AND(F1150="",G1150=""),"",IF(J1150&lt;&gt;"",IF(N(F1150)&gt;0,"客户回款","客户退款"),IF(K1150&lt;&gt;"",IF(N(G1150)&gt;0,"供应商付款","供应商退款"),IF(L1150&lt;&gt;"","费用支出","")))))</f>
      </c>
      <c r="P1150" s="78">
        <f>IF(O1150="","",IFERROR(INDEX(基础资料!$AE$5:$AE$34,MATCH(O1150,基础资料!$AC$5:$AC$34,0)),"未知"))</f>
      </c>
      <c r="Q1150" s="78">
        <f>IF(P1150="应收",COUNTIF(P$7:P1150,"应收"),"")</f>
      </c>
      <c r="R1150" s="78">
        <f>IF(P1150="应付",COUNTIF(P$7:P1150,"应付"),"")</f>
      </c>
      <c r="S1150" s="78">
        <f>N(F1150)-N(G1150)</f>
        <v>0</v>
      </c>
    </row>
    <row r="1151">
      <c r="A1151" s="109">
        <f>IF(AND(F1151="",G1151=""),"",ROW()-6)</f>
      </c>
      <c r="B1151" s="140" t="n"/>
      <c r="C1151" s="141" t="n"/>
      <c r="D1151" s="141" t="n"/>
      <c r="E1151" s="142" t="n"/>
      <c r="F1151" s="143" t="n"/>
      <c r="G1151" s="144" t="n"/>
      <c r="H1151" s="145">
        <f>IF(OR(C1151="",AND(F1151="",G1151="")),"",SUMIF(基础资料!$W$5:$W$24,C1151,基础资料!$X$5:$X$24)+SUMIF(C$7:C1151,C1151,F$7:F1151)-SUMIF(C$7:C1151,C1151,G$7:G1151))</f>
      </c>
      <c r="I1151" s="145">
        <f>IF(AND(F1151="",G1151=""),"",SUM(基础资料!$X$5:$X$24)+SUM(F$7:F1151)-SUM(G$7:G1151))</f>
      </c>
      <c r="J1151" s="141" t="n"/>
      <c r="K1151" s="141" t="n"/>
      <c r="L1151" s="141" t="n"/>
      <c r="M1151" s="142" t="n"/>
      <c r="N1151" s="146">
        <f>IF(AND(AND(F1151="",G1151=""),B1151="",C1151="",D1151="",J1151="",K1151="",L1151=""),"",IF(AND(F1151="",G1151=""),"✗ 没填金额",IF(AND(N(F1151)&lt;&gt;0,N(G1151)&lt;&gt;0),"✗ 收入、支出只能填一边",IF(NOT(ISNUMBER(B1151)),"✗ 日期不是真日期（要像 2026/9/25 这样填）",IF(OR(B1151&lt;年初日,B1151&gt;年末日),"✗ 日期不在本会计年度",IF(C1151="","✗ 没选账户",IF(COUNTIF(基础资料!$W$5:$W$24,C1151)=0,"✗ 账户不在基础资料里",IF(O1151="","✗ 没选收支项目",IF(P1151="未知","✗ 收支项目不在基础资料里",IF(AND(P1151="应收",J1151=""),"✗ 这笔要选客户",IF(AND(P1151="应收",COUNTIF(总览汇总!$B$5:$B$304,J1151)=0),"✗ 客户不在总览汇总名单里",IF(AND(P1151="应付",K1151=""),"✗ 这笔要选供应商",IF(AND(P1151="应付",COUNTIF(基础资料!$Q$5:$Q$54,K1151)=0),"✗ 供应商不在基础资料里",IF(AND(P1151="费用",L1151=""),"✗ 费用支出要选费用项目",IF(AND(L1151&lt;&gt;"",COUNTIF(基础资料!$AI$5:$AI$54,L1151)=0),"✗ 费用项目不在基础资料里",IF(AND(IFERROR(INDEX(基础资料!$AD$5:$AD$34,MATCH(O1151,基础资料!$AC$5:$AC$34,0)),"")="收",N(G1151)&lt;&gt;0),"✗ 这类是收款，金额填到收入列",IF(AND(IFERROR(INDEX(基础资料!$AD$5:$AD$34,MATCH(O1151,基础资料!$AC$5:$AC$34,0)),"")="支",N(F1151)&lt;&gt;0),"✗ 这类是付款，金额填到支出列",IF(N(H1151)&lt;0,"⚠ 账户余额成负数了，核对一下","√"))))))))))))))))))</f>
      </c>
      <c r="O1151" s="78">
        <f>IF(D1151&lt;&gt;"",D1151,IF(AND(F1151="",G1151=""),"",IF(J1151&lt;&gt;"",IF(N(F1151)&gt;0,"客户回款","客户退款"),IF(K1151&lt;&gt;"",IF(N(G1151)&gt;0,"供应商付款","供应商退款"),IF(L1151&lt;&gt;"","费用支出","")))))</f>
      </c>
      <c r="P1151" s="78">
        <f>IF(O1151="","",IFERROR(INDEX(基础资料!$AE$5:$AE$34,MATCH(O1151,基础资料!$AC$5:$AC$34,0)),"未知"))</f>
      </c>
      <c r="Q1151" s="78">
        <f>IF(P1151="应收",COUNTIF(P$7:P1151,"应收"),"")</f>
      </c>
      <c r="R1151" s="78">
        <f>IF(P1151="应付",COUNTIF(P$7:P1151,"应付"),"")</f>
      </c>
      <c r="S1151" s="78">
        <f>N(F1151)-N(G1151)</f>
        <v>0</v>
      </c>
    </row>
    <row r="1152">
      <c r="A1152" s="109">
        <f>IF(AND(F1152="",G1152=""),"",ROW()-6)</f>
      </c>
      <c r="B1152" s="140" t="n"/>
      <c r="C1152" s="141" t="n"/>
      <c r="D1152" s="141" t="n"/>
      <c r="E1152" s="142" t="n"/>
      <c r="F1152" s="143" t="n"/>
      <c r="G1152" s="144" t="n"/>
      <c r="H1152" s="145">
        <f>IF(OR(C1152="",AND(F1152="",G1152="")),"",SUMIF(基础资料!$W$5:$W$24,C1152,基础资料!$X$5:$X$24)+SUMIF(C$7:C1152,C1152,F$7:F1152)-SUMIF(C$7:C1152,C1152,G$7:G1152))</f>
      </c>
      <c r="I1152" s="145">
        <f>IF(AND(F1152="",G1152=""),"",SUM(基础资料!$X$5:$X$24)+SUM(F$7:F1152)-SUM(G$7:G1152))</f>
      </c>
      <c r="J1152" s="141" t="n"/>
      <c r="K1152" s="141" t="n"/>
      <c r="L1152" s="141" t="n"/>
      <c r="M1152" s="142" t="n"/>
      <c r="N1152" s="146">
        <f>IF(AND(AND(F1152="",G1152=""),B1152="",C1152="",D1152="",J1152="",K1152="",L1152=""),"",IF(AND(F1152="",G1152=""),"✗ 没填金额",IF(AND(N(F1152)&lt;&gt;0,N(G1152)&lt;&gt;0),"✗ 收入、支出只能填一边",IF(NOT(ISNUMBER(B1152)),"✗ 日期不是真日期（要像 2026/9/25 这样填）",IF(OR(B1152&lt;年初日,B1152&gt;年末日),"✗ 日期不在本会计年度",IF(C1152="","✗ 没选账户",IF(COUNTIF(基础资料!$W$5:$W$24,C1152)=0,"✗ 账户不在基础资料里",IF(O1152="","✗ 没选收支项目",IF(P1152="未知","✗ 收支项目不在基础资料里",IF(AND(P1152="应收",J1152=""),"✗ 这笔要选客户",IF(AND(P1152="应收",COUNTIF(总览汇总!$B$5:$B$304,J1152)=0),"✗ 客户不在总览汇总名单里",IF(AND(P1152="应付",K1152=""),"✗ 这笔要选供应商",IF(AND(P1152="应付",COUNTIF(基础资料!$Q$5:$Q$54,K1152)=0),"✗ 供应商不在基础资料里",IF(AND(P1152="费用",L1152=""),"✗ 费用支出要选费用项目",IF(AND(L1152&lt;&gt;"",COUNTIF(基础资料!$AI$5:$AI$54,L1152)=0),"✗ 费用项目不在基础资料里",IF(AND(IFERROR(INDEX(基础资料!$AD$5:$AD$34,MATCH(O1152,基础资料!$AC$5:$AC$34,0)),"")="收",N(G1152)&lt;&gt;0),"✗ 这类是收款，金额填到收入列",IF(AND(IFERROR(INDEX(基础资料!$AD$5:$AD$34,MATCH(O1152,基础资料!$AC$5:$AC$34,0)),"")="支",N(F1152)&lt;&gt;0),"✗ 这类是付款，金额填到支出列",IF(N(H1152)&lt;0,"⚠ 账户余额成负数了，核对一下","√"))))))))))))))))))</f>
      </c>
      <c r="O1152" s="78">
        <f>IF(D1152&lt;&gt;"",D1152,IF(AND(F1152="",G1152=""),"",IF(J1152&lt;&gt;"",IF(N(F1152)&gt;0,"客户回款","客户退款"),IF(K1152&lt;&gt;"",IF(N(G1152)&gt;0,"供应商付款","供应商退款"),IF(L1152&lt;&gt;"","费用支出","")))))</f>
      </c>
      <c r="P1152" s="78">
        <f>IF(O1152="","",IFERROR(INDEX(基础资料!$AE$5:$AE$34,MATCH(O1152,基础资料!$AC$5:$AC$34,0)),"未知"))</f>
      </c>
      <c r="Q1152" s="78">
        <f>IF(P1152="应收",COUNTIF(P$7:P1152,"应收"),"")</f>
      </c>
      <c r="R1152" s="78">
        <f>IF(P1152="应付",COUNTIF(P$7:P1152,"应付"),"")</f>
      </c>
      <c r="S1152" s="78">
        <f>N(F1152)-N(G1152)</f>
        <v>0</v>
      </c>
    </row>
    <row r="1153">
      <c r="A1153" s="109">
        <f>IF(AND(F1153="",G1153=""),"",ROW()-6)</f>
      </c>
      <c r="B1153" s="140" t="n"/>
      <c r="C1153" s="141" t="n"/>
      <c r="D1153" s="141" t="n"/>
      <c r="E1153" s="142" t="n"/>
      <c r="F1153" s="143" t="n"/>
      <c r="G1153" s="144" t="n"/>
      <c r="H1153" s="145">
        <f>IF(OR(C1153="",AND(F1153="",G1153="")),"",SUMIF(基础资料!$W$5:$W$24,C1153,基础资料!$X$5:$X$24)+SUMIF(C$7:C1153,C1153,F$7:F1153)-SUMIF(C$7:C1153,C1153,G$7:G1153))</f>
      </c>
      <c r="I1153" s="145">
        <f>IF(AND(F1153="",G1153=""),"",SUM(基础资料!$X$5:$X$24)+SUM(F$7:F1153)-SUM(G$7:G1153))</f>
      </c>
      <c r="J1153" s="141" t="n"/>
      <c r="K1153" s="141" t="n"/>
      <c r="L1153" s="141" t="n"/>
      <c r="M1153" s="142" t="n"/>
      <c r="N1153" s="146">
        <f>IF(AND(AND(F1153="",G1153=""),B1153="",C1153="",D1153="",J1153="",K1153="",L1153=""),"",IF(AND(F1153="",G1153=""),"✗ 没填金额",IF(AND(N(F1153)&lt;&gt;0,N(G1153)&lt;&gt;0),"✗ 收入、支出只能填一边",IF(NOT(ISNUMBER(B1153)),"✗ 日期不是真日期（要像 2026/9/25 这样填）",IF(OR(B1153&lt;年初日,B1153&gt;年末日),"✗ 日期不在本会计年度",IF(C1153="","✗ 没选账户",IF(COUNTIF(基础资料!$W$5:$W$24,C1153)=0,"✗ 账户不在基础资料里",IF(O1153="","✗ 没选收支项目",IF(P1153="未知","✗ 收支项目不在基础资料里",IF(AND(P1153="应收",J1153=""),"✗ 这笔要选客户",IF(AND(P1153="应收",COUNTIF(总览汇总!$B$5:$B$304,J1153)=0),"✗ 客户不在总览汇总名单里",IF(AND(P1153="应付",K1153=""),"✗ 这笔要选供应商",IF(AND(P1153="应付",COUNTIF(基础资料!$Q$5:$Q$54,K1153)=0),"✗ 供应商不在基础资料里",IF(AND(P1153="费用",L1153=""),"✗ 费用支出要选费用项目",IF(AND(L1153&lt;&gt;"",COUNTIF(基础资料!$AI$5:$AI$54,L1153)=0),"✗ 费用项目不在基础资料里",IF(AND(IFERROR(INDEX(基础资料!$AD$5:$AD$34,MATCH(O1153,基础资料!$AC$5:$AC$34,0)),"")="收",N(G1153)&lt;&gt;0),"✗ 这类是收款，金额填到收入列",IF(AND(IFERROR(INDEX(基础资料!$AD$5:$AD$34,MATCH(O1153,基础资料!$AC$5:$AC$34,0)),"")="支",N(F1153)&lt;&gt;0),"✗ 这类是付款，金额填到支出列",IF(N(H1153)&lt;0,"⚠ 账户余额成负数了，核对一下","√"))))))))))))))))))</f>
      </c>
      <c r="O1153" s="78">
        <f>IF(D1153&lt;&gt;"",D1153,IF(AND(F1153="",G1153=""),"",IF(J1153&lt;&gt;"",IF(N(F1153)&gt;0,"客户回款","客户退款"),IF(K1153&lt;&gt;"",IF(N(G1153)&gt;0,"供应商付款","供应商退款"),IF(L1153&lt;&gt;"","费用支出","")))))</f>
      </c>
      <c r="P1153" s="78">
        <f>IF(O1153="","",IFERROR(INDEX(基础资料!$AE$5:$AE$34,MATCH(O1153,基础资料!$AC$5:$AC$34,0)),"未知"))</f>
      </c>
      <c r="Q1153" s="78">
        <f>IF(P1153="应收",COUNTIF(P$7:P1153,"应收"),"")</f>
      </c>
      <c r="R1153" s="78">
        <f>IF(P1153="应付",COUNTIF(P$7:P1153,"应付"),"")</f>
      </c>
      <c r="S1153" s="78">
        <f>N(F1153)-N(G1153)</f>
        <v>0</v>
      </c>
    </row>
    <row r="1154">
      <c r="A1154" s="109">
        <f>IF(AND(F1154="",G1154=""),"",ROW()-6)</f>
      </c>
      <c r="B1154" s="140" t="n"/>
      <c r="C1154" s="141" t="n"/>
      <c r="D1154" s="141" t="n"/>
      <c r="E1154" s="142" t="n"/>
      <c r="F1154" s="143" t="n"/>
      <c r="G1154" s="144" t="n"/>
      <c r="H1154" s="145">
        <f>IF(OR(C1154="",AND(F1154="",G1154="")),"",SUMIF(基础资料!$W$5:$W$24,C1154,基础资料!$X$5:$X$24)+SUMIF(C$7:C1154,C1154,F$7:F1154)-SUMIF(C$7:C1154,C1154,G$7:G1154))</f>
      </c>
      <c r="I1154" s="145">
        <f>IF(AND(F1154="",G1154=""),"",SUM(基础资料!$X$5:$X$24)+SUM(F$7:F1154)-SUM(G$7:G1154))</f>
      </c>
      <c r="J1154" s="141" t="n"/>
      <c r="K1154" s="141" t="n"/>
      <c r="L1154" s="141" t="n"/>
      <c r="M1154" s="142" t="n"/>
      <c r="N1154" s="146">
        <f>IF(AND(AND(F1154="",G1154=""),B1154="",C1154="",D1154="",J1154="",K1154="",L1154=""),"",IF(AND(F1154="",G1154=""),"✗ 没填金额",IF(AND(N(F1154)&lt;&gt;0,N(G1154)&lt;&gt;0),"✗ 收入、支出只能填一边",IF(NOT(ISNUMBER(B1154)),"✗ 日期不是真日期（要像 2026/9/25 这样填）",IF(OR(B1154&lt;年初日,B1154&gt;年末日),"✗ 日期不在本会计年度",IF(C1154="","✗ 没选账户",IF(COUNTIF(基础资料!$W$5:$W$24,C1154)=0,"✗ 账户不在基础资料里",IF(O1154="","✗ 没选收支项目",IF(P1154="未知","✗ 收支项目不在基础资料里",IF(AND(P1154="应收",J1154=""),"✗ 这笔要选客户",IF(AND(P1154="应收",COUNTIF(总览汇总!$B$5:$B$304,J1154)=0),"✗ 客户不在总览汇总名单里",IF(AND(P1154="应付",K1154=""),"✗ 这笔要选供应商",IF(AND(P1154="应付",COUNTIF(基础资料!$Q$5:$Q$54,K1154)=0),"✗ 供应商不在基础资料里",IF(AND(P1154="费用",L1154=""),"✗ 费用支出要选费用项目",IF(AND(L1154&lt;&gt;"",COUNTIF(基础资料!$AI$5:$AI$54,L1154)=0),"✗ 费用项目不在基础资料里",IF(AND(IFERROR(INDEX(基础资料!$AD$5:$AD$34,MATCH(O1154,基础资料!$AC$5:$AC$34,0)),"")="收",N(G1154)&lt;&gt;0),"✗ 这类是收款，金额填到收入列",IF(AND(IFERROR(INDEX(基础资料!$AD$5:$AD$34,MATCH(O1154,基础资料!$AC$5:$AC$34,0)),"")="支",N(F1154)&lt;&gt;0),"✗ 这类是付款，金额填到支出列",IF(N(H1154)&lt;0,"⚠ 账户余额成负数了，核对一下","√"))))))))))))))))))</f>
      </c>
      <c r="O1154" s="78">
        <f>IF(D1154&lt;&gt;"",D1154,IF(AND(F1154="",G1154=""),"",IF(J1154&lt;&gt;"",IF(N(F1154)&gt;0,"客户回款","客户退款"),IF(K1154&lt;&gt;"",IF(N(G1154)&gt;0,"供应商付款","供应商退款"),IF(L1154&lt;&gt;"","费用支出","")))))</f>
      </c>
      <c r="P1154" s="78">
        <f>IF(O1154="","",IFERROR(INDEX(基础资料!$AE$5:$AE$34,MATCH(O1154,基础资料!$AC$5:$AC$34,0)),"未知"))</f>
      </c>
      <c r="Q1154" s="78">
        <f>IF(P1154="应收",COUNTIF(P$7:P1154,"应收"),"")</f>
      </c>
      <c r="R1154" s="78">
        <f>IF(P1154="应付",COUNTIF(P$7:P1154,"应付"),"")</f>
      </c>
      <c r="S1154" s="78">
        <f>N(F1154)-N(G1154)</f>
        <v>0</v>
      </c>
    </row>
    <row r="1155">
      <c r="A1155" s="109">
        <f>IF(AND(F1155="",G1155=""),"",ROW()-6)</f>
      </c>
      <c r="B1155" s="140" t="n"/>
      <c r="C1155" s="141" t="n"/>
      <c r="D1155" s="141" t="n"/>
      <c r="E1155" s="142" t="n"/>
      <c r="F1155" s="143" t="n"/>
      <c r="G1155" s="144" t="n"/>
      <c r="H1155" s="145">
        <f>IF(OR(C1155="",AND(F1155="",G1155="")),"",SUMIF(基础资料!$W$5:$W$24,C1155,基础资料!$X$5:$X$24)+SUMIF(C$7:C1155,C1155,F$7:F1155)-SUMIF(C$7:C1155,C1155,G$7:G1155))</f>
      </c>
      <c r="I1155" s="145">
        <f>IF(AND(F1155="",G1155=""),"",SUM(基础资料!$X$5:$X$24)+SUM(F$7:F1155)-SUM(G$7:G1155))</f>
      </c>
      <c r="J1155" s="141" t="n"/>
      <c r="K1155" s="141" t="n"/>
      <c r="L1155" s="141" t="n"/>
      <c r="M1155" s="142" t="n"/>
      <c r="N1155" s="146">
        <f>IF(AND(AND(F1155="",G1155=""),B1155="",C1155="",D1155="",J1155="",K1155="",L1155=""),"",IF(AND(F1155="",G1155=""),"✗ 没填金额",IF(AND(N(F1155)&lt;&gt;0,N(G1155)&lt;&gt;0),"✗ 收入、支出只能填一边",IF(NOT(ISNUMBER(B1155)),"✗ 日期不是真日期（要像 2026/9/25 这样填）",IF(OR(B1155&lt;年初日,B1155&gt;年末日),"✗ 日期不在本会计年度",IF(C1155="","✗ 没选账户",IF(COUNTIF(基础资料!$W$5:$W$24,C1155)=0,"✗ 账户不在基础资料里",IF(O1155="","✗ 没选收支项目",IF(P1155="未知","✗ 收支项目不在基础资料里",IF(AND(P1155="应收",J1155=""),"✗ 这笔要选客户",IF(AND(P1155="应收",COUNTIF(总览汇总!$B$5:$B$304,J1155)=0),"✗ 客户不在总览汇总名单里",IF(AND(P1155="应付",K1155=""),"✗ 这笔要选供应商",IF(AND(P1155="应付",COUNTIF(基础资料!$Q$5:$Q$54,K1155)=0),"✗ 供应商不在基础资料里",IF(AND(P1155="费用",L1155=""),"✗ 费用支出要选费用项目",IF(AND(L1155&lt;&gt;"",COUNTIF(基础资料!$AI$5:$AI$54,L1155)=0),"✗ 费用项目不在基础资料里",IF(AND(IFERROR(INDEX(基础资料!$AD$5:$AD$34,MATCH(O1155,基础资料!$AC$5:$AC$34,0)),"")="收",N(G1155)&lt;&gt;0),"✗ 这类是收款，金额填到收入列",IF(AND(IFERROR(INDEX(基础资料!$AD$5:$AD$34,MATCH(O1155,基础资料!$AC$5:$AC$34,0)),"")="支",N(F1155)&lt;&gt;0),"✗ 这类是付款，金额填到支出列",IF(N(H1155)&lt;0,"⚠ 账户余额成负数了，核对一下","√"))))))))))))))))))</f>
      </c>
      <c r="O1155" s="78">
        <f>IF(D1155&lt;&gt;"",D1155,IF(AND(F1155="",G1155=""),"",IF(J1155&lt;&gt;"",IF(N(F1155)&gt;0,"客户回款","客户退款"),IF(K1155&lt;&gt;"",IF(N(G1155)&gt;0,"供应商付款","供应商退款"),IF(L1155&lt;&gt;"","费用支出","")))))</f>
      </c>
      <c r="P1155" s="78">
        <f>IF(O1155="","",IFERROR(INDEX(基础资料!$AE$5:$AE$34,MATCH(O1155,基础资料!$AC$5:$AC$34,0)),"未知"))</f>
      </c>
      <c r="Q1155" s="78">
        <f>IF(P1155="应收",COUNTIF(P$7:P1155,"应收"),"")</f>
      </c>
      <c r="R1155" s="78">
        <f>IF(P1155="应付",COUNTIF(P$7:P1155,"应付"),"")</f>
      </c>
      <c r="S1155" s="78">
        <f>N(F1155)-N(G1155)</f>
        <v>0</v>
      </c>
    </row>
    <row r="1156">
      <c r="A1156" s="109">
        <f>IF(AND(F1156="",G1156=""),"",ROW()-6)</f>
      </c>
      <c r="B1156" s="140" t="n"/>
      <c r="C1156" s="141" t="n"/>
      <c r="D1156" s="141" t="n"/>
      <c r="E1156" s="142" t="n"/>
      <c r="F1156" s="143" t="n"/>
      <c r="G1156" s="144" t="n"/>
      <c r="H1156" s="145">
        <f>IF(OR(C1156="",AND(F1156="",G1156="")),"",SUMIF(基础资料!$W$5:$W$24,C1156,基础资料!$X$5:$X$24)+SUMIF(C$7:C1156,C1156,F$7:F1156)-SUMIF(C$7:C1156,C1156,G$7:G1156))</f>
      </c>
      <c r="I1156" s="145">
        <f>IF(AND(F1156="",G1156=""),"",SUM(基础资料!$X$5:$X$24)+SUM(F$7:F1156)-SUM(G$7:G1156))</f>
      </c>
      <c r="J1156" s="141" t="n"/>
      <c r="K1156" s="141" t="n"/>
      <c r="L1156" s="141" t="n"/>
      <c r="M1156" s="142" t="n"/>
      <c r="N1156" s="146">
        <f>IF(AND(AND(F1156="",G1156=""),B1156="",C1156="",D1156="",J1156="",K1156="",L1156=""),"",IF(AND(F1156="",G1156=""),"✗ 没填金额",IF(AND(N(F1156)&lt;&gt;0,N(G1156)&lt;&gt;0),"✗ 收入、支出只能填一边",IF(NOT(ISNUMBER(B1156)),"✗ 日期不是真日期（要像 2026/9/25 这样填）",IF(OR(B1156&lt;年初日,B1156&gt;年末日),"✗ 日期不在本会计年度",IF(C1156="","✗ 没选账户",IF(COUNTIF(基础资料!$W$5:$W$24,C1156)=0,"✗ 账户不在基础资料里",IF(O1156="","✗ 没选收支项目",IF(P1156="未知","✗ 收支项目不在基础资料里",IF(AND(P1156="应收",J1156=""),"✗ 这笔要选客户",IF(AND(P1156="应收",COUNTIF(总览汇总!$B$5:$B$304,J1156)=0),"✗ 客户不在总览汇总名单里",IF(AND(P1156="应付",K1156=""),"✗ 这笔要选供应商",IF(AND(P1156="应付",COUNTIF(基础资料!$Q$5:$Q$54,K1156)=0),"✗ 供应商不在基础资料里",IF(AND(P1156="费用",L1156=""),"✗ 费用支出要选费用项目",IF(AND(L1156&lt;&gt;"",COUNTIF(基础资料!$AI$5:$AI$54,L1156)=0),"✗ 费用项目不在基础资料里",IF(AND(IFERROR(INDEX(基础资料!$AD$5:$AD$34,MATCH(O1156,基础资料!$AC$5:$AC$34,0)),"")="收",N(G1156)&lt;&gt;0),"✗ 这类是收款，金额填到收入列",IF(AND(IFERROR(INDEX(基础资料!$AD$5:$AD$34,MATCH(O1156,基础资料!$AC$5:$AC$34,0)),"")="支",N(F1156)&lt;&gt;0),"✗ 这类是付款，金额填到支出列",IF(N(H1156)&lt;0,"⚠ 账户余额成负数了，核对一下","√"))))))))))))))))))</f>
      </c>
      <c r="O1156" s="78">
        <f>IF(D1156&lt;&gt;"",D1156,IF(AND(F1156="",G1156=""),"",IF(J1156&lt;&gt;"",IF(N(F1156)&gt;0,"客户回款","客户退款"),IF(K1156&lt;&gt;"",IF(N(G1156)&gt;0,"供应商付款","供应商退款"),IF(L1156&lt;&gt;"","费用支出","")))))</f>
      </c>
      <c r="P1156" s="78">
        <f>IF(O1156="","",IFERROR(INDEX(基础资料!$AE$5:$AE$34,MATCH(O1156,基础资料!$AC$5:$AC$34,0)),"未知"))</f>
      </c>
      <c r="Q1156" s="78">
        <f>IF(P1156="应收",COUNTIF(P$7:P1156,"应收"),"")</f>
      </c>
      <c r="R1156" s="78">
        <f>IF(P1156="应付",COUNTIF(P$7:P1156,"应付"),"")</f>
      </c>
      <c r="S1156" s="78">
        <f>N(F1156)-N(G1156)</f>
        <v>0</v>
      </c>
    </row>
    <row r="1157">
      <c r="A1157" s="109">
        <f>IF(AND(F1157="",G1157=""),"",ROW()-6)</f>
      </c>
      <c r="B1157" s="140" t="n"/>
      <c r="C1157" s="141" t="n"/>
      <c r="D1157" s="141" t="n"/>
      <c r="E1157" s="142" t="n"/>
      <c r="F1157" s="143" t="n"/>
      <c r="G1157" s="144" t="n"/>
      <c r="H1157" s="145">
        <f>IF(OR(C1157="",AND(F1157="",G1157="")),"",SUMIF(基础资料!$W$5:$W$24,C1157,基础资料!$X$5:$X$24)+SUMIF(C$7:C1157,C1157,F$7:F1157)-SUMIF(C$7:C1157,C1157,G$7:G1157))</f>
      </c>
      <c r="I1157" s="145">
        <f>IF(AND(F1157="",G1157=""),"",SUM(基础资料!$X$5:$X$24)+SUM(F$7:F1157)-SUM(G$7:G1157))</f>
      </c>
      <c r="J1157" s="141" t="n"/>
      <c r="K1157" s="141" t="n"/>
      <c r="L1157" s="141" t="n"/>
      <c r="M1157" s="142" t="n"/>
      <c r="N1157" s="146">
        <f>IF(AND(AND(F1157="",G1157=""),B1157="",C1157="",D1157="",J1157="",K1157="",L1157=""),"",IF(AND(F1157="",G1157=""),"✗ 没填金额",IF(AND(N(F1157)&lt;&gt;0,N(G1157)&lt;&gt;0),"✗ 收入、支出只能填一边",IF(NOT(ISNUMBER(B1157)),"✗ 日期不是真日期（要像 2026/9/25 这样填）",IF(OR(B1157&lt;年初日,B1157&gt;年末日),"✗ 日期不在本会计年度",IF(C1157="","✗ 没选账户",IF(COUNTIF(基础资料!$W$5:$W$24,C1157)=0,"✗ 账户不在基础资料里",IF(O1157="","✗ 没选收支项目",IF(P1157="未知","✗ 收支项目不在基础资料里",IF(AND(P1157="应收",J1157=""),"✗ 这笔要选客户",IF(AND(P1157="应收",COUNTIF(总览汇总!$B$5:$B$304,J1157)=0),"✗ 客户不在总览汇总名单里",IF(AND(P1157="应付",K1157=""),"✗ 这笔要选供应商",IF(AND(P1157="应付",COUNTIF(基础资料!$Q$5:$Q$54,K1157)=0),"✗ 供应商不在基础资料里",IF(AND(P1157="费用",L1157=""),"✗ 费用支出要选费用项目",IF(AND(L1157&lt;&gt;"",COUNTIF(基础资料!$AI$5:$AI$54,L1157)=0),"✗ 费用项目不在基础资料里",IF(AND(IFERROR(INDEX(基础资料!$AD$5:$AD$34,MATCH(O1157,基础资料!$AC$5:$AC$34,0)),"")="收",N(G1157)&lt;&gt;0),"✗ 这类是收款，金额填到收入列",IF(AND(IFERROR(INDEX(基础资料!$AD$5:$AD$34,MATCH(O1157,基础资料!$AC$5:$AC$34,0)),"")="支",N(F1157)&lt;&gt;0),"✗ 这类是付款，金额填到支出列",IF(N(H1157)&lt;0,"⚠ 账户余额成负数了，核对一下","√"))))))))))))))))))</f>
      </c>
      <c r="O1157" s="78">
        <f>IF(D1157&lt;&gt;"",D1157,IF(AND(F1157="",G1157=""),"",IF(J1157&lt;&gt;"",IF(N(F1157)&gt;0,"客户回款","客户退款"),IF(K1157&lt;&gt;"",IF(N(G1157)&gt;0,"供应商付款","供应商退款"),IF(L1157&lt;&gt;"","费用支出","")))))</f>
      </c>
      <c r="P1157" s="78">
        <f>IF(O1157="","",IFERROR(INDEX(基础资料!$AE$5:$AE$34,MATCH(O1157,基础资料!$AC$5:$AC$34,0)),"未知"))</f>
      </c>
      <c r="Q1157" s="78">
        <f>IF(P1157="应收",COUNTIF(P$7:P1157,"应收"),"")</f>
      </c>
      <c r="R1157" s="78">
        <f>IF(P1157="应付",COUNTIF(P$7:P1157,"应付"),"")</f>
      </c>
      <c r="S1157" s="78">
        <f>N(F1157)-N(G1157)</f>
        <v>0</v>
      </c>
    </row>
    <row r="1158">
      <c r="A1158" s="109">
        <f>IF(AND(F1158="",G1158=""),"",ROW()-6)</f>
      </c>
      <c r="B1158" s="140" t="n"/>
      <c r="C1158" s="141" t="n"/>
      <c r="D1158" s="141" t="n"/>
      <c r="E1158" s="142" t="n"/>
      <c r="F1158" s="143" t="n"/>
      <c r="G1158" s="144" t="n"/>
      <c r="H1158" s="145">
        <f>IF(OR(C1158="",AND(F1158="",G1158="")),"",SUMIF(基础资料!$W$5:$W$24,C1158,基础资料!$X$5:$X$24)+SUMIF(C$7:C1158,C1158,F$7:F1158)-SUMIF(C$7:C1158,C1158,G$7:G1158))</f>
      </c>
      <c r="I1158" s="145">
        <f>IF(AND(F1158="",G1158=""),"",SUM(基础资料!$X$5:$X$24)+SUM(F$7:F1158)-SUM(G$7:G1158))</f>
      </c>
      <c r="J1158" s="141" t="n"/>
      <c r="K1158" s="141" t="n"/>
      <c r="L1158" s="141" t="n"/>
      <c r="M1158" s="142" t="n"/>
      <c r="N1158" s="146">
        <f>IF(AND(AND(F1158="",G1158=""),B1158="",C1158="",D1158="",J1158="",K1158="",L1158=""),"",IF(AND(F1158="",G1158=""),"✗ 没填金额",IF(AND(N(F1158)&lt;&gt;0,N(G1158)&lt;&gt;0),"✗ 收入、支出只能填一边",IF(NOT(ISNUMBER(B1158)),"✗ 日期不是真日期（要像 2026/9/25 这样填）",IF(OR(B1158&lt;年初日,B1158&gt;年末日),"✗ 日期不在本会计年度",IF(C1158="","✗ 没选账户",IF(COUNTIF(基础资料!$W$5:$W$24,C1158)=0,"✗ 账户不在基础资料里",IF(O1158="","✗ 没选收支项目",IF(P1158="未知","✗ 收支项目不在基础资料里",IF(AND(P1158="应收",J1158=""),"✗ 这笔要选客户",IF(AND(P1158="应收",COUNTIF(总览汇总!$B$5:$B$304,J1158)=0),"✗ 客户不在总览汇总名单里",IF(AND(P1158="应付",K1158=""),"✗ 这笔要选供应商",IF(AND(P1158="应付",COUNTIF(基础资料!$Q$5:$Q$54,K1158)=0),"✗ 供应商不在基础资料里",IF(AND(P1158="费用",L1158=""),"✗ 费用支出要选费用项目",IF(AND(L1158&lt;&gt;"",COUNTIF(基础资料!$AI$5:$AI$54,L1158)=0),"✗ 费用项目不在基础资料里",IF(AND(IFERROR(INDEX(基础资料!$AD$5:$AD$34,MATCH(O1158,基础资料!$AC$5:$AC$34,0)),"")="收",N(G1158)&lt;&gt;0),"✗ 这类是收款，金额填到收入列",IF(AND(IFERROR(INDEX(基础资料!$AD$5:$AD$34,MATCH(O1158,基础资料!$AC$5:$AC$34,0)),"")="支",N(F1158)&lt;&gt;0),"✗ 这类是付款，金额填到支出列",IF(N(H1158)&lt;0,"⚠ 账户余额成负数了，核对一下","√"))))))))))))))))))</f>
      </c>
      <c r="O1158" s="78">
        <f>IF(D1158&lt;&gt;"",D1158,IF(AND(F1158="",G1158=""),"",IF(J1158&lt;&gt;"",IF(N(F1158)&gt;0,"客户回款","客户退款"),IF(K1158&lt;&gt;"",IF(N(G1158)&gt;0,"供应商付款","供应商退款"),IF(L1158&lt;&gt;"","费用支出","")))))</f>
      </c>
      <c r="P1158" s="78">
        <f>IF(O1158="","",IFERROR(INDEX(基础资料!$AE$5:$AE$34,MATCH(O1158,基础资料!$AC$5:$AC$34,0)),"未知"))</f>
      </c>
      <c r="Q1158" s="78">
        <f>IF(P1158="应收",COUNTIF(P$7:P1158,"应收"),"")</f>
      </c>
      <c r="R1158" s="78">
        <f>IF(P1158="应付",COUNTIF(P$7:P1158,"应付"),"")</f>
      </c>
      <c r="S1158" s="78">
        <f>N(F1158)-N(G1158)</f>
        <v>0</v>
      </c>
    </row>
    <row r="1159">
      <c r="A1159" s="109">
        <f>IF(AND(F1159="",G1159=""),"",ROW()-6)</f>
      </c>
      <c r="B1159" s="140" t="n"/>
      <c r="C1159" s="141" t="n"/>
      <c r="D1159" s="141" t="n"/>
      <c r="E1159" s="142" t="n"/>
      <c r="F1159" s="143" t="n"/>
      <c r="G1159" s="144" t="n"/>
      <c r="H1159" s="145">
        <f>IF(OR(C1159="",AND(F1159="",G1159="")),"",SUMIF(基础资料!$W$5:$W$24,C1159,基础资料!$X$5:$X$24)+SUMIF(C$7:C1159,C1159,F$7:F1159)-SUMIF(C$7:C1159,C1159,G$7:G1159))</f>
      </c>
      <c r="I1159" s="145">
        <f>IF(AND(F1159="",G1159=""),"",SUM(基础资料!$X$5:$X$24)+SUM(F$7:F1159)-SUM(G$7:G1159))</f>
      </c>
      <c r="J1159" s="141" t="n"/>
      <c r="K1159" s="141" t="n"/>
      <c r="L1159" s="141" t="n"/>
      <c r="M1159" s="142" t="n"/>
      <c r="N1159" s="146">
        <f>IF(AND(AND(F1159="",G1159=""),B1159="",C1159="",D1159="",J1159="",K1159="",L1159=""),"",IF(AND(F1159="",G1159=""),"✗ 没填金额",IF(AND(N(F1159)&lt;&gt;0,N(G1159)&lt;&gt;0),"✗ 收入、支出只能填一边",IF(NOT(ISNUMBER(B1159)),"✗ 日期不是真日期（要像 2026/9/25 这样填）",IF(OR(B1159&lt;年初日,B1159&gt;年末日),"✗ 日期不在本会计年度",IF(C1159="","✗ 没选账户",IF(COUNTIF(基础资料!$W$5:$W$24,C1159)=0,"✗ 账户不在基础资料里",IF(O1159="","✗ 没选收支项目",IF(P1159="未知","✗ 收支项目不在基础资料里",IF(AND(P1159="应收",J1159=""),"✗ 这笔要选客户",IF(AND(P1159="应收",COUNTIF(总览汇总!$B$5:$B$304,J1159)=0),"✗ 客户不在总览汇总名单里",IF(AND(P1159="应付",K1159=""),"✗ 这笔要选供应商",IF(AND(P1159="应付",COUNTIF(基础资料!$Q$5:$Q$54,K1159)=0),"✗ 供应商不在基础资料里",IF(AND(P1159="费用",L1159=""),"✗ 费用支出要选费用项目",IF(AND(L1159&lt;&gt;"",COUNTIF(基础资料!$AI$5:$AI$54,L1159)=0),"✗ 费用项目不在基础资料里",IF(AND(IFERROR(INDEX(基础资料!$AD$5:$AD$34,MATCH(O1159,基础资料!$AC$5:$AC$34,0)),"")="收",N(G1159)&lt;&gt;0),"✗ 这类是收款，金额填到收入列",IF(AND(IFERROR(INDEX(基础资料!$AD$5:$AD$34,MATCH(O1159,基础资料!$AC$5:$AC$34,0)),"")="支",N(F1159)&lt;&gt;0),"✗ 这类是付款，金额填到支出列",IF(N(H1159)&lt;0,"⚠ 账户余额成负数了，核对一下","√"))))))))))))))))))</f>
      </c>
      <c r="O1159" s="78">
        <f>IF(D1159&lt;&gt;"",D1159,IF(AND(F1159="",G1159=""),"",IF(J1159&lt;&gt;"",IF(N(F1159)&gt;0,"客户回款","客户退款"),IF(K1159&lt;&gt;"",IF(N(G1159)&gt;0,"供应商付款","供应商退款"),IF(L1159&lt;&gt;"","费用支出","")))))</f>
      </c>
      <c r="P1159" s="78">
        <f>IF(O1159="","",IFERROR(INDEX(基础资料!$AE$5:$AE$34,MATCH(O1159,基础资料!$AC$5:$AC$34,0)),"未知"))</f>
      </c>
      <c r="Q1159" s="78">
        <f>IF(P1159="应收",COUNTIF(P$7:P1159,"应收"),"")</f>
      </c>
      <c r="R1159" s="78">
        <f>IF(P1159="应付",COUNTIF(P$7:P1159,"应付"),"")</f>
      </c>
      <c r="S1159" s="78">
        <f>N(F1159)-N(G1159)</f>
        <v>0</v>
      </c>
    </row>
    <row r="1160">
      <c r="A1160" s="109">
        <f>IF(AND(F1160="",G1160=""),"",ROW()-6)</f>
      </c>
      <c r="B1160" s="140" t="n"/>
      <c r="C1160" s="141" t="n"/>
      <c r="D1160" s="141" t="n"/>
      <c r="E1160" s="142" t="n"/>
      <c r="F1160" s="143" t="n"/>
      <c r="G1160" s="144" t="n"/>
      <c r="H1160" s="145">
        <f>IF(OR(C1160="",AND(F1160="",G1160="")),"",SUMIF(基础资料!$W$5:$W$24,C1160,基础资料!$X$5:$X$24)+SUMIF(C$7:C1160,C1160,F$7:F1160)-SUMIF(C$7:C1160,C1160,G$7:G1160))</f>
      </c>
      <c r="I1160" s="145">
        <f>IF(AND(F1160="",G1160=""),"",SUM(基础资料!$X$5:$X$24)+SUM(F$7:F1160)-SUM(G$7:G1160))</f>
      </c>
      <c r="J1160" s="141" t="n"/>
      <c r="K1160" s="141" t="n"/>
      <c r="L1160" s="141" t="n"/>
      <c r="M1160" s="142" t="n"/>
      <c r="N1160" s="146">
        <f>IF(AND(AND(F1160="",G1160=""),B1160="",C1160="",D1160="",J1160="",K1160="",L1160=""),"",IF(AND(F1160="",G1160=""),"✗ 没填金额",IF(AND(N(F1160)&lt;&gt;0,N(G1160)&lt;&gt;0),"✗ 收入、支出只能填一边",IF(NOT(ISNUMBER(B1160)),"✗ 日期不是真日期（要像 2026/9/25 这样填）",IF(OR(B1160&lt;年初日,B1160&gt;年末日),"✗ 日期不在本会计年度",IF(C1160="","✗ 没选账户",IF(COUNTIF(基础资料!$W$5:$W$24,C1160)=0,"✗ 账户不在基础资料里",IF(O1160="","✗ 没选收支项目",IF(P1160="未知","✗ 收支项目不在基础资料里",IF(AND(P1160="应收",J1160=""),"✗ 这笔要选客户",IF(AND(P1160="应收",COUNTIF(总览汇总!$B$5:$B$304,J1160)=0),"✗ 客户不在总览汇总名单里",IF(AND(P1160="应付",K1160=""),"✗ 这笔要选供应商",IF(AND(P1160="应付",COUNTIF(基础资料!$Q$5:$Q$54,K1160)=0),"✗ 供应商不在基础资料里",IF(AND(P1160="费用",L1160=""),"✗ 费用支出要选费用项目",IF(AND(L1160&lt;&gt;"",COUNTIF(基础资料!$AI$5:$AI$54,L1160)=0),"✗ 费用项目不在基础资料里",IF(AND(IFERROR(INDEX(基础资料!$AD$5:$AD$34,MATCH(O1160,基础资料!$AC$5:$AC$34,0)),"")="收",N(G1160)&lt;&gt;0),"✗ 这类是收款，金额填到收入列",IF(AND(IFERROR(INDEX(基础资料!$AD$5:$AD$34,MATCH(O1160,基础资料!$AC$5:$AC$34,0)),"")="支",N(F1160)&lt;&gt;0),"✗ 这类是付款，金额填到支出列",IF(N(H1160)&lt;0,"⚠ 账户余额成负数了，核对一下","√"))))))))))))))))))</f>
      </c>
      <c r="O1160" s="78">
        <f>IF(D1160&lt;&gt;"",D1160,IF(AND(F1160="",G1160=""),"",IF(J1160&lt;&gt;"",IF(N(F1160)&gt;0,"客户回款","客户退款"),IF(K1160&lt;&gt;"",IF(N(G1160)&gt;0,"供应商付款","供应商退款"),IF(L1160&lt;&gt;"","费用支出","")))))</f>
      </c>
      <c r="P1160" s="78">
        <f>IF(O1160="","",IFERROR(INDEX(基础资料!$AE$5:$AE$34,MATCH(O1160,基础资料!$AC$5:$AC$34,0)),"未知"))</f>
      </c>
      <c r="Q1160" s="78">
        <f>IF(P1160="应收",COUNTIF(P$7:P1160,"应收"),"")</f>
      </c>
      <c r="R1160" s="78">
        <f>IF(P1160="应付",COUNTIF(P$7:P1160,"应付"),"")</f>
      </c>
      <c r="S1160" s="78">
        <f>N(F1160)-N(G1160)</f>
        <v>0</v>
      </c>
    </row>
    <row r="1161">
      <c r="A1161" s="109">
        <f>IF(AND(F1161="",G1161=""),"",ROW()-6)</f>
      </c>
      <c r="B1161" s="140" t="n"/>
      <c r="C1161" s="141" t="n"/>
      <c r="D1161" s="141" t="n"/>
      <c r="E1161" s="142" t="n"/>
      <c r="F1161" s="143" t="n"/>
      <c r="G1161" s="144" t="n"/>
      <c r="H1161" s="145">
        <f>IF(OR(C1161="",AND(F1161="",G1161="")),"",SUMIF(基础资料!$W$5:$W$24,C1161,基础资料!$X$5:$X$24)+SUMIF(C$7:C1161,C1161,F$7:F1161)-SUMIF(C$7:C1161,C1161,G$7:G1161))</f>
      </c>
      <c r="I1161" s="145">
        <f>IF(AND(F1161="",G1161=""),"",SUM(基础资料!$X$5:$X$24)+SUM(F$7:F1161)-SUM(G$7:G1161))</f>
      </c>
      <c r="J1161" s="141" t="n"/>
      <c r="K1161" s="141" t="n"/>
      <c r="L1161" s="141" t="n"/>
      <c r="M1161" s="142" t="n"/>
      <c r="N1161" s="146">
        <f>IF(AND(AND(F1161="",G1161=""),B1161="",C1161="",D1161="",J1161="",K1161="",L1161=""),"",IF(AND(F1161="",G1161=""),"✗ 没填金额",IF(AND(N(F1161)&lt;&gt;0,N(G1161)&lt;&gt;0),"✗ 收入、支出只能填一边",IF(NOT(ISNUMBER(B1161)),"✗ 日期不是真日期（要像 2026/9/25 这样填）",IF(OR(B1161&lt;年初日,B1161&gt;年末日),"✗ 日期不在本会计年度",IF(C1161="","✗ 没选账户",IF(COUNTIF(基础资料!$W$5:$W$24,C1161)=0,"✗ 账户不在基础资料里",IF(O1161="","✗ 没选收支项目",IF(P1161="未知","✗ 收支项目不在基础资料里",IF(AND(P1161="应收",J1161=""),"✗ 这笔要选客户",IF(AND(P1161="应收",COUNTIF(总览汇总!$B$5:$B$304,J1161)=0),"✗ 客户不在总览汇总名单里",IF(AND(P1161="应付",K1161=""),"✗ 这笔要选供应商",IF(AND(P1161="应付",COUNTIF(基础资料!$Q$5:$Q$54,K1161)=0),"✗ 供应商不在基础资料里",IF(AND(P1161="费用",L1161=""),"✗ 费用支出要选费用项目",IF(AND(L1161&lt;&gt;"",COUNTIF(基础资料!$AI$5:$AI$54,L1161)=0),"✗ 费用项目不在基础资料里",IF(AND(IFERROR(INDEX(基础资料!$AD$5:$AD$34,MATCH(O1161,基础资料!$AC$5:$AC$34,0)),"")="收",N(G1161)&lt;&gt;0),"✗ 这类是收款，金额填到收入列",IF(AND(IFERROR(INDEX(基础资料!$AD$5:$AD$34,MATCH(O1161,基础资料!$AC$5:$AC$34,0)),"")="支",N(F1161)&lt;&gt;0),"✗ 这类是付款，金额填到支出列",IF(N(H1161)&lt;0,"⚠ 账户余额成负数了，核对一下","√"))))))))))))))))))</f>
      </c>
      <c r="O1161" s="78">
        <f>IF(D1161&lt;&gt;"",D1161,IF(AND(F1161="",G1161=""),"",IF(J1161&lt;&gt;"",IF(N(F1161)&gt;0,"客户回款","客户退款"),IF(K1161&lt;&gt;"",IF(N(G1161)&gt;0,"供应商付款","供应商退款"),IF(L1161&lt;&gt;"","费用支出","")))))</f>
      </c>
      <c r="P1161" s="78">
        <f>IF(O1161="","",IFERROR(INDEX(基础资料!$AE$5:$AE$34,MATCH(O1161,基础资料!$AC$5:$AC$34,0)),"未知"))</f>
      </c>
      <c r="Q1161" s="78">
        <f>IF(P1161="应收",COUNTIF(P$7:P1161,"应收"),"")</f>
      </c>
      <c r="R1161" s="78">
        <f>IF(P1161="应付",COUNTIF(P$7:P1161,"应付"),"")</f>
      </c>
      <c r="S1161" s="78">
        <f>N(F1161)-N(G1161)</f>
        <v>0</v>
      </c>
    </row>
    <row r="1162">
      <c r="A1162" s="109">
        <f>IF(AND(F1162="",G1162=""),"",ROW()-6)</f>
      </c>
      <c r="B1162" s="140" t="n"/>
      <c r="C1162" s="141" t="n"/>
      <c r="D1162" s="141" t="n"/>
      <c r="E1162" s="142" t="n"/>
      <c r="F1162" s="143" t="n"/>
      <c r="G1162" s="144" t="n"/>
      <c r="H1162" s="145">
        <f>IF(OR(C1162="",AND(F1162="",G1162="")),"",SUMIF(基础资料!$W$5:$W$24,C1162,基础资料!$X$5:$X$24)+SUMIF(C$7:C1162,C1162,F$7:F1162)-SUMIF(C$7:C1162,C1162,G$7:G1162))</f>
      </c>
      <c r="I1162" s="145">
        <f>IF(AND(F1162="",G1162=""),"",SUM(基础资料!$X$5:$X$24)+SUM(F$7:F1162)-SUM(G$7:G1162))</f>
      </c>
      <c r="J1162" s="141" t="n"/>
      <c r="K1162" s="141" t="n"/>
      <c r="L1162" s="141" t="n"/>
      <c r="M1162" s="142" t="n"/>
      <c r="N1162" s="146">
        <f>IF(AND(AND(F1162="",G1162=""),B1162="",C1162="",D1162="",J1162="",K1162="",L1162=""),"",IF(AND(F1162="",G1162=""),"✗ 没填金额",IF(AND(N(F1162)&lt;&gt;0,N(G1162)&lt;&gt;0),"✗ 收入、支出只能填一边",IF(NOT(ISNUMBER(B1162)),"✗ 日期不是真日期（要像 2026/9/25 这样填）",IF(OR(B1162&lt;年初日,B1162&gt;年末日),"✗ 日期不在本会计年度",IF(C1162="","✗ 没选账户",IF(COUNTIF(基础资料!$W$5:$W$24,C1162)=0,"✗ 账户不在基础资料里",IF(O1162="","✗ 没选收支项目",IF(P1162="未知","✗ 收支项目不在基础资料里",IF(AND(P1162="应收",J1162=""),"✗ 这笔要选客户",IF(AND(P1162="应收",COUNTIF(总览汇总!$B$5:$B$304,J1162)=0),"✗ 客户不在总览汇总名单里",IF(AND(P1162="应付",K1162=""),"✗ 这笔要选供应商",IF(AND(P1162="应付",COUNTIF(基础资料!$Q$5:$Q$54,K1162)=0),"✗ 供应商不在基础资料里",IF(AND(P1162="费用",L1162=""),"✗ 费用支出要选费用项目",IF(AND(L1162&lt;&gt;"",COUNTIF(基础资料!$AI$5:$AI$54,L1162)=0),"✗ 费用项目不在基础资料里",IF(AND(IFERROR(INDEX(基础资料!$AD$5:$AD$34,MATCH(O1162,基础资料!$AC$5:$AC$34,0)),"")="收",N(G1162)&lt;&gt;0),"✗ 这类是收款，金额填到收入列",IF(AND(IFERROR(INDEX(基础资料!$AD$5:$AD$34,MATCH(O1162,基础资料!$AC$5:$AC$34,0)),"")="支",N(F1162)&lt;&gt;0),"✗ 这类是付款，金额填到支出列",IF(N(H1162)&lt;0,"⚠ 账户余额成负数了，核对一下","√"))))))))))))))))))</f>
      </c>
      <c r="O1162" s="78">
        <f>IF(D1162&lt;&gt;"",D1162,IF(AND(F1162="",G1162=""),"",IF(J1162&lt;&gt;"",IF(N(F1162)&gt;0,"客户回款","客户退款"),IF(K1162&lt;&gt;"",IF(N(G1162)&gt;0,"供应商付款","供应商退款"),IF(L1162&lt;&gt;"","费用支出","")))))</f>
      </c>
      <c r="P1162" s="78">
        <f>IF(O1162="","",IFERROR(INDEX(基础资料!$AE$5:$AE$34,MATCH(O1162,基础资料!$AC$5:$AC$34,0)),"未知"))</f>
      </c>
      <c r="Q1162" s="78">
        <f>IF(P1162="应收",COUNTIF(P$7:P1162,"应收"),"")</f>
      </c>
      <c r="R1162" s="78">
        <f>IF(P1162="应付",COUNTIF(P$7:P1162,"应付"),"")</f>
      </c>
      <c r="S1162" s="78">
        <f>N(F1162)-N(G1162)</f>
        <v>0</v>
      </c>
    </row>
    <row r="1163">
      <c r="A1163" s="109">
        <f>IF(AND(F1163="",G1163=""),"",ROW()-6)</f>
      </c>
      <c r="B1163" s="140" t="n"/>
      <c r="C1163" s="141" t="n"/>
      <c r="D1163" s="141" t="n"/>
      <c r="E1163" s="142" t="n"/>
      <c r="F1163" s="143" t="n"/>
      <c r="G1163" s="144" t="n"/>
      <c r="H1163" s="145">
        <f>IF(OR(C1163="",AND(F1163="",G1163="")),"",SUMIF(基础资料!$W$5:$W$24,C1163,基础资料!$X$5:$X$24)+SUMIF(C$7:C1163,C1163,F$7:F1163)-SUMIF(C$7:C1163,C1163,G$7:G1163))</f>
      </c>
      <c r="I1163" s="145">
        <f>IF(AND(F1163="",G1163=""),"",SUM(基础资料!$X$5:$X$24)+SUM(F$7:F1163)-SUM(G$7:G1163))</f>
      </c>
      <c r="J1163" s="141" t="n"/>
      <c r="K1163" s="141" t="n"/>
      <c r="L1163" s="141" t="n"/>
      <c r="M1163" s="142" t="n"/>
      <c r="N1163" s="146">
        <f>IF(AND(AND(F1163="",G1163=""),B1163="",C1163="",D1163="",J1163="",K1163="",L1163=""),"",IF(AND(F1163="",G1163=""),"✗ 没填金额",IF(AND(N(F1163)&lt;&gt;0,N(G1163)&lt;&gt;0),"✗ 收入、支出只能填一边",IF(NOT(ISNUMBER(B1163)),"✗ 日期不是真日期（要像 2026/9/25 这样填）",IF(OR(B1163&lt;年初日,B1163&gt;年末日),"✗ 日期不在本会计年度",IF(C1163="","✗ 没选账户",IF(COUNTIF(基础资料!$W$5:$W$24,C1163)=0,"✗ 账户不在基础资料里",IF(O1163="","✗ 没选收支项目",IF(P1163="未知","✗ 收支项目不在基础资料里",IF(AND(P1163="应收",J1163=""),"✗ 这笔要选客户",IF(AND(P1163="应收",COUNTIF(总览汇总!$B$5:$B$304,J1163)=0),"✗ 客户不在总览汇总名单里",IF(AND(P1163="应付",K1163=""),"✗ 这笔要选供应商",IF(AND(P1163="应付",COUNTIF(基础资料!$Q$5:$Q$54,K1163)=0),"✗ 供应商不在基础资料里",IF(AND(P1163="费用",L1163=""),"✗ 费用支出要选费用项目",IF(AND(L1163&lt;&gt;"",COUNTIF(基础资料!$AI$5:$AI$54,L1163)=0),"✗ 费用项目不在基础资料里",IF(AND(IFERROR(INDEX(基础资料!$AD$5:$AD$34,MATCH(O1163,基础资料!$AC$5:$AC$34,0)),"")="收",N(G1163)&lt;&gt;0),"✗ 这类是收款，金额填到收入列",IF(AND(IFERROR(INDEX(基础资料!$AD$5:$AD$34,MATCH(O1163,基础资料!$AC$5:$AC$34,0)),"")="支",N(F1163)&lt;&gt;0),"✗ 这类是付款，金额填到支出列",IF(N(H1163)&lt;0,"⚠ 账户余额成负数了，核对一下","√"))))))))))))))))))</f>
      </c>
      <c r="O1163" s="78">
        <f>IF(D1163&lt;&gt;"",D1163,IF(AND(F1163="",G1163=""),"",IF(J1163&lt;&gt;"",IF(N(F1163)&gt;0,"客户回款","客户退款"),IF(K1163&lt;&gt;"",IF(N(G1163)&gt;0,"供应商付款","供应商退款"),IF(L1163&lt;&gt;"","费用支出","")))))</f>
      </c>
      <c r="P1163" s="78">
        <f>IF(O1163="","",IFERROR(INDEX(基础资料!$AE$5:$AE$34,MATCH(O1163,基础资料!$AC$5:$AC$34,0)),"未知"))</f>
      </c>
      <c r="Q1163" s="78">
        <f>IF(P1163="应收",COUNTIF(P$7:P1163,"应收"),"")</f>
      </c>
      <c r="R1163" s="78">
        <f>IF(P1163="应付",COUNTIF(P$7:P1163,"应付"),"")</f>
      </c>
      <c r="S1163" s="78">
        <f>N(F1163)-N(G1163)</f>
        <v>0</v>
      </c>
    </row>
    <row r="1164">
      <c r="A1164" s="109">
        <f>IF(AND(F1164="",G1164=""),"",ROW()-6)</f>
      </c>
      <c r="B1164" s="140" t="n"/>
      <c r="C1164" s="141" t="n"/>
      <c r="D1164" s="141" t="n"/>
      <c r="E1164" s="142" t="n"/>
      <c r="F1164" s="143" t="n"/>
      <c r="G1164" s="144" t="n"/>
      <c r="H1164" s="145">
        <f>IF(OR(C1164="",AND(F1164="",G1164="")),"",SUMIF(基础资料!$W$5:$W$24,C1164,基础资料!$X$5:$X$24)+SUMIF(C$7:C1164,C1164,F$7:F1164)-SUMIF(C$7:C1164,C1164,G$7:G1164))</f>
      </c>
      <c r="I1164" s="145">
        <f>IF(AND(F1164="",G1164=""),"",SUM(基础资料!$X$5:$X$24)+SUM(F$7:F1164)-SUM(G$7:G1164))</f>
      </c>
      <c r="J1164" s="141" t="n"/>
      <c r="K1164" s="141" t="n"/>
      <c r="L1164" s="141" t="n"/>
      <c r="M1164" s="142" t="n"/>
      <c r="N1164" s="146">
        <f>IF(AND(AND(F1164="",G1164=""),B1164="",C1164="",D1164="",J1164="",K1164="",L1164=""),"",IF(AND(F1164="",G1164=""),"✗ 没填金额",IF(AND(N(F1164)&lt;&gt;0,N(G1164)&lt;&gt;0),"✗ 收入、支出只能填一边",IF(NOT(ISNUMBER(B1164)),"✗ 日期不是真日期（要像 2026/9/25 这样填）",IF(OR(B1164&lt;年初日,B1164&gt;年末日),"✗ 日期不在本会计年度",IF(C1164="","✗ 没选账户",IF(COUNTIF(基础资料!$W$5:$W$24,C1164)=0,"✗ 账户不在基础资料里",IF(O1164="","✗ 没选收支项目",IF(P1164="未知","✗ 收支项目不在基础资料里",IF(AND(P1164="应收",J1164=""),"✗ 这笔要选客户",IF(AND(P1164="应收",COUNTIF(总览汇总!$B$5:$B$304,J1164)=0),"✗ 客户不在总览汇总名单里",IF(AND(P1164="应付",K1164=""),"✗ 这笔要选供应商",IF(AND(P1164="应付",COUNTIF(基础资料!$Q$5:$Q$54,K1164)=0),"✗ 供应商不在基础资料里",IF(AND(P1164="费用",L1164=""),"✗ 费用支出要选费用项目",IF(AND(L1164&lt;&gt;"",COUNTIF(基础资料!$AI$5:$AI$54,L1164)=0),"✗ 费用项目不在基础资料里",IF(AND(IFERROR(INDEX(基础资料!$AD$5:$AD$34,MATCH(O1164,基础资料!$AC$5:$AC$34,0)),"")="收",N(G1164)&lt;&gt;0),"✗ 这类是收款，金额填到收入列",IF(AND(IFERROR(INDEX(基础资料!$AD$5:$AD$34,MATCH(O1164,基础资料!$AC$5:$AC$34,0)),"")="支",N(F1164)&lt;&gt;0),"✗ 这类是付款，金额填到支出列",IF(N(H1164)&lt;0,"⚠ 账户余额成负数了，核对一下","√"))))))))))))))))))</f>
      </c>
      <c r="O1164" s="78">
        <f>IF(D1164&lt;&gt;"",D1164,IF(AND(F1164="",G1164=""),"",IF(J1164&lt;&gt;"",IF(N(F1164)&gt;0,"客户回款","客户退款"),IF(K1164&lt;&gt;"",IF(N(G1164)&gt;0,"供应商付款","供应商退款"),IF(L1164&lt;&gt;"","费用支出","")))))</f>
      </c>
      <c r="P1164" s="78">
        <f>IF(O1164="","",IFERROR(INDEX(基础资料!$AE$5:$AE$34,MATCH(O1164,基础资料!$AC$5:$AC$34,0)),"未知"))</f>
      </c>
      <c r="Q1164" s="78">
        <f>IF(P1164="应收",COUNTIF(P$7:P1164,"应收"),"")</f>
      </c>
      <c r="R1164" s="78">
        <f>IF(P1164="应付",COUNTIF(P$7:P1164,"应付"),"")</f>
      </c>
      <c r="S1164" s="78">
        <f>N(F1164)-N(G1164)</f>
        <v>0</v>
      </c>
    </row>
    <row r="1165">
      <c r="A1165" s="109">
        <f>IF(AND(F1165="",G1165=""),"",ROW()-6)</f>
      </c>
      <c r="B1165" s="140" t="n"/>
      <c r="C1165" s="141" t="n"/>
      <c r="D1165" s="141" t="n"/>
      <c r="E1165" s="142" t="n"/>
      <c r="F1165" s="143" t="n"/>
      <c r="G1165" s="144" t="n"/>
      <c r="H1165" s="145">
        <f>IF(OR(C1165="",AND(F1165="",G1165="")),"",SUMIF(基础资料!$W$5:$W$24,C1165,基础资料!$X$5:$X$24)+SUMIF(C$7:C1165,C1165,F$7:F1165)-SUMIF(C$7:C1165,C1165,G$7:G1165))</f>
      </c>
      <c r="I1165" s="145">
        <f>IF(AND(F1165="",G1165=""),"",SUM(基础资料!$X$5:$X$24)+SUM(F$7:F1165)-SUM(G$7:G1165))</f>
      </c>
      <c r="J1165" s="141" t="n"/>
      <c r="K1165" s="141" t="n"/>
      <c r="L1165" s="141" t="n"/>
      <c r="M1165" s="142" t="n"/>
      <c r="N1165" s="146">
        <f>IF(AND(AND(F1165="",G1165=""),B1165="",C1165="",D1165="",J1165="",K1165="",L1165=""),"",IF(AND(F1165="",G1165=""),"✗ 没填金额",IF(AND(N(F1165)&lt;&gt;0,N(G1165)&lt;&gt;0),"✗ 收入、支出只能填一边",IF(NOT(ISNUMBER(B1165)),"✗ 日期不是真日期（要像 2026/9/25 这样填）",IF(OR(B1165&lt;年初日,B1165&gt;年末日),"✗ 日期不在本会计年度",IF(C1165="","✗ 没选账户",IF(COUNTIF(基础资料!$W$5:$W$24,C1165)=0,"✗ 账户不在基础资料里",IF(O1165="","✗ 没选收支项目",IF(P1165="未知","✗ 收支项目不在基础资料里",IF(AND(P1165="应收",J1165=""),"✗ 这笔要选客户",IF(AND(P1165="应收",COUNTIF(总览汇总!$B$5:$B$304,J1165)=0),"✗ 客户不在总览汇总名单里",IF(AND(P1165="应付",K1165=""),"✗ 这笔要选供应商",IF(AND(P1165="应付",COUNTIF(基础资料!$Q$5:$Q$54,K1165)=0),"✗ 供应商不在基础资料里",IF(AND(P1165="费用",L1165=""),"✗ 费用支出要选费用项目",IF(AND(L1165&lt;&gt;"",COUNTIF(基础资料!$AI$5:$AI$54,L1165)=0),"✗ 费用项目不在基础资料里",IF(AND(IFERROR(INDEX(基础资料!$AD$5:$AD$34,MATCH(O1165,基础资料!$AC$5:$AC$34,0)),"")="收",N(G1165)&lt;&gt;0),"✗ 这类是收款，金额填到收入列",IF(AND(IFERROR(INDEX(基础资料!$AD$5:$AD$34,MATCH(O1165,基础资料!$AC$5:$AC$34,0)),"")="支",N(F1165)&lt;&gt;0),"✗ 这类是付款，金额填到支出列",IF(N(H1165)&lt;0,"⚠ 账户余额成负数了，核对一下","√"))))))))))))))))))</f>
      </c>
      <c r="O1165" s="78">
        <f>IF(D1165&lt;&gt;"",D1165,IF(AND(F1165="",G1165=""),"",IF(J1165&lt;&gt;"",IF(N(F1165)&gt;0,"客户回款","客户退款"),IF(K1165&lt;&gt;"",IF(N(G1165)&gt;0,"供应商付款","供应商退款"),IF(L1165&lt;&gt;"","费用支出","")))))</f>
      </c>
      <c r="P1165" s="78">
        <f>IF(O1165="","",IFERROR(INDEX(基础资料!$AE$5:$AE$34,MATCH(O1165,基础资料!$AC$5:$AC$34,0)),"未知"))</f>
      </c>
      <c r="Q1165" s="78">
        <f>IF(P1165="应收",COUNTIF(P$7:P1165,"应收"),"")</f>
      </c>
      <c r="R1165" s="78">
        <f>IF(P1165="应付",COUNTIF(P$7:P1165,"应付"),"")</f>
      </c>
      <c r="S1165" s="78">
        <f>N(F1165)-N(G1165)</f>
        <v>0</v>
      </c>
    </row>
    <row r="1166">
      <c r="A1166" s="109">
        <f>IF(AND(F1166="",G1166=""),"",ROW()-6)</f>
      </c>
      <c r="B1166" s="140" t="n"/>
      <c r="C1166" s="141" t="n"/>
      <c r="D1166" s="141" t="n"/>
      <c r="E1166" s="142" t="n"/>
      <c r="F1166" s="143" t="n"/>
      <c r="G1166" s="144" t="n"/>
      <c r="H1166" s="145">
        <f>IF(OR(C1166="",AND(F1166="",G1166="")),"",SUMIF(基础资料!$W$5:$W$24,C1166,基础资料!$X$5:$X$24)+SUMIF(C$7:C1166,C1166,F$7:F1166)-SUMIF(C$7:C1166,C1166,G$7:G1166))</f>
      </c>
      <c r="I1166" s="145">
        <f>IF(AND(F1166="",G1166=""),"",SUM(基础资料!$X$5:$X$24)+SUM(F$7:F1166)-SUM(G$7:G1166))</f>
      </c>
      <c r="J1166" s="141" t="n"/>
      <c r="K1166" s="141" t="n"/>
      <c r="L1166" s="141" t="n"/>
      <c r="M1166" s="142" t="n"/>
      <c r="N1166" s="146">
        <f>IF(AND(AND(F1166="",G1166=""),B1166="",C1166="",D1166="",J1166="",K1166="",L1166=""),"",IF(AND(F1166="",G1166=""),"✗ 没填金额",IF(AND(N(F1166)&lt;&gt;0,N(G1166)&lt;&gt;0),"✗ 收入、支出只能填一边",IF(NOT(ISNUMBER(B1166)),"✗ 日期不是真日期（要像 2026/9/25 这样填）",IF(OR(B1166&lt;年初日,B1166&gt;年末日),"✗ 日期不在本会计年度",IF(C1166="","✗ 没选账户",IF(COUNTIF(基础资料!$W$5:$W$24,C1166)=0,"✗ 账户不在基础资料里",IF(O1166="","✗ 没选收支项目",IF(P1166="未知","✗ 收支项目不在基础资料里",IF(AND(P1166="应收",J1166=""),"✗ 这笔要选客户",IF(AND(P1166="应收",COUNTIF(总览汇总!$B$5:$B$304,J1166)=0),"✗ 客户不在总览汇总名单里",IF(AND(P1166="应付",K1166=""),"✗ 这笔要选供应商",IF(AND(P1166="应付",COUNTIF(基础资料!$Q$5:$Q$54,K1166)=0),"✗ 供应商不在基础资料里",IF(AND(P1166="费用",L1166=""),"✗ 费用支出要选费用项目",IF(AND(L1166&lt;&gt;"",COUNTIF(基础资料!$AI$5:$AI$54,L1166)=0),"✗ 费用项目不在基础资料里",IF(AND(IFERROR(INDEX(基础资料!$AD$5:$AD$34,MATCH(O1166,基础资料!$AC$5:$AC$34,0)),"")="收",N(G1166)&lt;&gt;0),"✗ 这类是收款，金额填到收入列",IF(AND(IFERROR(INDEX(基础资料!$AD$5:$AD$34,MATCH(O1166,基础资料!$AC$5:$AC$34,0)),"")="支",N(F1166)&lt;&gt;0),"✗ 这类是付款，金额填到支出列",IF(N(H1166)&lt;0,"⚠ 账户余额成负数了，核对一下","√"))))))))))))))))))</f>
      </c>
      <c r="O1166" s="78">
        <f>IF(D1166&lt;&gt;"",D1166,IF(AND(F1166="",G1166=""),"",IF(J1166&lt;&gt;"",IF(N(F1166)&gt;0,"客户回款","客户退款"),IF(K1166&lt;&gt;"",IF(N(G1166)&gt;0,"供应商付款","供应商退款"),IF(L1166&lt;&gt;"","费用支出","")))))</f>
      </c>
      <c r="P1166" s="78">
        <f>IF(O1166="","",IFERROR(INDEX(基础资料!$AE$5:$AE$34,MATCH(O1166,基础资料!$AC$5:$AC$34,0)),"未知"))</f>
      </c>
      <c r="Q1166" s="78">
        <f>IF(P1166="应收",COUNTIF(P$7:P1166,"应收"),"")</f>
      </c>
      <c r="R1166" s="78">
        <f>IF(P1166="应付",COUNTIF(P$7:P1166,"应付"),"")</f>
      </c>
      <c r="S1166" s="78">
        <f>N(F1166)-N(G1166)</f>
        <v>0</v>
      </c>
    </row>
    <row r="1167">
      <c r="A1167" s="109">
        <f>IF(AND(F1167="",G1167=""),"",ROW()-6)</f>
      </c>
      <c r="B1167" s="140" t="n"/>
      <c r="C1167" s="141" t="n"/>
      <c r="D1167" s="141" t="n"/>
      <c r="E1167" s="142" t="n"/>
      <c r="F1167" s="143" t="n"/>
      <c r="G1167" s="144" t="n"/>
      <c r="H1167" s="145">
        <f>IF(OR(C1167="",AND(F1167="",G1167="")),"",SUMIF(基础资料!$W$5:$W$24,C1167,基础资料!$X$5:$X$24)+SUMIF(C$7:C1167,C1167,F$7:F1167)-SUMIF(C$7:C1167,C1167,G$7:G1167))</f>
      </c>
      <c r="I1167" s="145">
        <f>IF(AND(F1167="",G1167=""),"",SUM(基础资料!$X$5:$X$24)+SUM(F$7:F1167)-SUM(G$7:G1167))</f>
      </c>
      <c r="J1167" s="141" t="n"/>
      <c r="K1167" s="141" t="n"/>
      <c r="L1167" s="141" t="n"/>
      <c r="M1167" s="142" t="n"/>
      <c r="N1167" s="146">
        <f>IF(AND(AND(F1167="",G1167=""),B1167="",C1167="",D1167="",J1167="",K1167="",L1167=""),"",IF(AND(F1167="",G1167=""),"✗ 没填金额",IF(AND(N(F1167)&lt;&gt;0,N(G1167)&lt;&gt;0),"✗ 收入、支出只能填一边",IF(NOT(ISNUMBER(B1167)),"✗ 日期不是真日期（要像 2026/9/25 这样填）",IF(OR(B1167&lt;年初日,B1167&gt;年末日),"✗ 日期不在本会计年度",IF(C1167="","✗ 没选账户",IF(COUNTIF(基础资料!$W$5:$W$24,C1167)=0,"✗ 账户不在基础资料里",IF(O1167="","✗ 没选收支项目",IF(P1167="未知","✗ 收支项目不在基础资料里",IF(AND(P1167="应收",J1167=""),"✗ 这笔要选客户",IF(AND(P1167="应收",COUNTIF(总览汇总!$B$5:$B$304,J1167)=0),"✗ 客户不在总览汇总名单里",IF(AND(P1167="应付",K1167=""),"✗ 这笔要选供应商",IF(AND(P1167="应付",COUNTIF(基础资料!$Q$5:$Q$54,K1167)=0),"✗ 供应商不在基础资料里",IF(AND(P1167="费用",L1167=""),"✗ 费用支出要选费用项目",IF(AND(L1167&lt;&gt;"",COUNTIF(基础资料!$AI$5:$AI$54,L1167)=0),"✗ 费用项目不在基础资料里",IF(AND(IFERROR(INDEX(基础资料!$AD$5:$AD$34,MATCH(O1167,基础资料!$AC$5:$AC$34,0)),"")="收",N(G1167)&lt;&gt;0),"✗ 这类是收款，金额填到收入列",IF(AND(IFERROR(INDEX(基础资料!$AD$5:$AD$34,MATCH(O1167,基础资料!$AC$5:$AC$34,0)),"")="支",N(F1167)&lt;&gt;0),"✗ 这类是付款，金额填到支出列",IF(N(H1167)&lt;0,"⚠ 账户余额成负数了，核对一下","√"))))))))))))))))))</f>
      </c>
      <c r="O1167" s="78">
        <f>IF(D1167&lt;&gt;"",D1167,IF(AND(F1167="",G1167=""),"",IF(J1167&lt;&gt;"",IF(N(F1167)&gt;0,"客户回款","客户退款"),IF(K1167&lt;&gt;"",IF(N(G1167)&gt;0,"供应商付款","供应商退款"),IF(L1167&lt;&gt;"","费用支出","")))))</f>
      </c>
      <c r="P1167" s="78">
        <f>IF(O1167="","",IFERROR(INDEX(基础资料!$AE$5:$AE$34,MATCH(O1167,基础资料!$AC$5:$AC$34,0)),"未知"))</f>
      </c>
      <c r="Q1167" s="78">
        <f>IF(P1167="应收",COUNTIF(P$7:P1167,"应收"),"")</f>
      </c>
      <c r="R1167" s="78">
        <f>IF(P1167="应付",COUNTIF(P$7:P1167,"应付"),"")</f>
      </c>
      <c r="S1167" s="78">
        <f>N(F1167)-N(G1167)</f>
        <v>0</v>
      </c>
    </row>
    <row r="1168">
      <c r="A1168" s="109">
        <f>IF(AND(F1168="",G1168=""),"",ROW()-6)</f>
      </c>
      <c r="B1168" s="140" t="n"/>
      <c r="C1168" s="141" t="n"/>
      <c r="D1168" s="141" t="n"/>
      <c r="E1168" s="142" t="n"/>
      <c r="F1168" s="143" t="n"/>
      <c r="G1168" s="144" t="n"/>
      <c r="H1168" s="145">
        <f>IF(OR(C1168="",AND(F1168="",G1168="")),"",SUMIF(基础资料!$W$5:$W$24,C1168,基础资料!$X$5:$X$24)+SUMIF(C$7:C1168,C1168,F$7:F1168)-SUMIF(C$7:C1168,C1168,G$7:G1168))</f>
      </c>
      <c r="I1168" s="145">
        <f>IF(AND(F1168="",G1168=""),"",SUM(基础资料!$X$5:$X$24)+SUM(F$7:F1168)-SUM(G$7:G1168))</f>
      </c>
      <c r="J1168" s="141" t="n"/>
      <c r="K1168" s="141" t="n"/>
      <c r="L1168" s="141" t="n"/>
      <c r="M1168" s="142" t="n"/>
      <c r="N1168" s="146">
        <f>IF(AND(AND(F1168="",G1168=""),B1168="",C1168="",D1168="",J1168="",K1168="",L1168=""),"",IF(AND(F1168="",G1168=""),"✗ 没填金额",IF(AND(N(F1168)&lt;&gt;0,N(G1168)&lt;&gt;0),"✗ 收入、支出只能填一边",IF(NOT(ISNUMBER(B1168)),"✗ 日期不是真日期（要像 2026/9/25 这样填）",IF(OR(B1168&lt;年初日,B1168&gt;年末日),"✗ 日期不在本会计年度",IF(C1168="","✗ 没选账户",IF(COUNTIF(基础资料!$W$5:$W$24,C1168)=0,"✗ 账户不在基础资料里",IF(O1168="","✗ 没选收支项目",IF(P1168="未知","✗ 收支项目不在基础资料里",IF(AND(P1168="应收",J1168=""),"✗ 这笔要选客户",IF(AND(P1168="应收",COUNTIF(总览汇总!$B$5:$B$304,J1168)=0),"✗ 客户不在总览汇总名单里",IF(AND(P1168="应付",K1168=""),"✗ 这笔要选供应商",IF(AND(P1168="应付",COUNTIF(基础资料!$Q$5:$Q$54,K1168)=0),"✗ 供应商不在基础资料里",IF(AND(P1168="费用",L1168=""),"✗ 费用支出要选费用项目",IF(AND(L1168&lt;&gt;"",COUNTIF(基础资料!$AI$5:$AI$54,L1168)=0),"✗ 费用项目不在基础资料里",IF(AND(IFERROR(INDEX(基础资料!$AD$5:$AD$34,MATCH(O1168,基础资料!$AC$5:$AC$34,0)),"")="收",N(G1168)&lt;&gt;0),"✗ 这类是收款，金额填到收入列",IF(AND(IFERROR(INDEX(基础资料!$AD$5:$AD$34,MATCH(O1168,基础资料!$AC$5:$AC$34,0)),"")="支",N(F1168)&lt;&gt;0),"✗ 这类是付款，金额填到支出列",IF(N(H1168)&lt;0,"⚠ 账户余额成负数了，核对一下","√"))))))))))))))))))</f>
      </c>
      <c r="O1168" s="78">
        <f>IF(D1168&lt;&gt;"",D1168,IF(AND(F1168="",G1168=""),"",IF(J1168&lt;&gt;"",IF(N(F1168)&gt;0,"客户回款","客户退款"),IF(K1168&lt;&gt;"",IF(N(G1168)&gt;0,"供应商付款","供应商退款"),IF(L1168&lt;&gt;"","费用支出","")))))</f>
      </c>
      <c r="P1168" s="78">
        <f>IF(O1168="","",IFERROR(INDEX(基础资料!$AE$5:$AE$34,MATCH(O1168,基础资料!$AC$5:$AC$34,0)),"未知"))</f>
      </c>
      <c r="Q1168" s="78">
        <f>IF(P1168="应收",COUNTIF(P$7:P1168,"应收"),"")</f>
      </c>
      <c r="R1168" s="78">
        <f>IF(P1168="应付",COUNTIF(P$7:P1168,"应付"),"")</f>
      </c>
      <c r="S1168" s="78">
        <f>N(F1168)-N(G1168)</f>
        <v>0</v>
      </c>
    </row>
    <row r="1169">
      <c r="A1169" s="109">
        <f>IF(AND(F1169="",G1169=""),"",ROW()-6)</f>
      </c>
      <c r="B1169" s="140" t="n"/>
      <c r="C1169" s="141" t="n"/>
      <c r="D1169" s="141" t="n"/>
      <c r="E1169" s="142" t="n"/>
      <c r="F1169" s="143" t="n"/>
      <c r="G1169" s="144" t="n"/>
      <c r="H1169" s="145">
        <f>IF(OR(C1169="",AND(F1169="",G1169="")),"",SUMIF(基础资料!$W$5:$W$24,C1169,基础资料!$X$5:$X$24)+SUMIF(C$7:C1169,C1169,F$7:F1169)-SUMIF(C$7:C1169,C1169,G$7:G1169))</f>
      </c>
      <c r="I1169" s="145">
        <f>IF(AND(F1169="",G1169=""),"",SUM(基础资料!$X$5:$X$24)+SUM(F$7:F1169)-SUM(G$7:G1169))</f>
      </c>
      <c r="J1169" s="141" t="n"/>
      <c r="K1169" s="141" t="n"/>
      <c r="L1169" s="141" t="n"/>
      <c r="M1169" s="142" t="n"/>
      <c r="N1169" s="146">
        <f>IF(AND(AND(F1169="",G1169=""),B1169="",C1169="",D1169="",J1169="",K1169="",L1169=""),"",IF(AND(F1169="",G1169=""),"✗ 没填金额",IF(AND(N(F1169)&lt;&gt;0,N(G1169)&lt;&gt;0),"✗ 收入、支出只能填一边",IF(NOT(ISNUMBER(B1169)),"✗ 日期不是真日期（要像 2026/9/25 这样填）",IF(OR(B1169&lt;年初日,B1169&gt;年末日),"✗ 日期不在本会计年度",IF(C1169="","✗ 没选账户",IF(COUNTIF(基础资料!$W$5:$W$24,C1169)=0,"✗ 账户不在基础资料里",IF(O1169="","✗ 没选收支项目",IF(P1169="未知","✗ 收支项目不在基础资料里",IF(AND(P1169="应收",J1169=""),"✗ 这笔要选客户",IF(AND(P1169="应收",COUNTIF(总览汇总!$B$5:$B$304,J1169)=0),"✗ 客户不在总览汇总名单里",IF(AND(P1169="应付",K1169=""),"✗ 这笔要选供应商",IF(AND(P1169="应付",COUNTIF(基础资料!$Q$5:$Q$54,K1169)=0),"✗ 供应商不在基础资料里",IF(AND(P1169="费用",L1169=""),"✗ 费用支出要选费用项目",IF(AND(L1169&lt;&gt;"",COUNTIF(基础资料!$AI$5:$AI$54,L1169)=0),"✗ 费用项目不在基础资料里",IF(AND(IFERROR(INDEX(基础资料!$AD$5:$AD$34,MATCH(O1169,基础资料!$AC$5:$AC$34,0)),"")="收",N(G1169)&lt;&gt;0),"✗ 这类是收款，金额填到收入列",IF(AND(IFERROR(INDEX(基础资料!$AD$5:$AD$34,MATCH(O1169,基础资料!$AC$5:$AC$34,0)),"")="支",N(F1169)&lt;&gt;0),"✗ 这类是付款，金额填到支出列",IF(N(H1169)&lt;0,"⚠ 账户余额成负数了，核对一下","√"))))))))))))))))))</f>
      </c>
      <c r="O1169" s="78">
        <f>IF(D1169&lt;&gt;"",D1169,IF(AND(F1169="",G1169=""),"",IF(J1169&lt;&gt;"",IF(N(F1169)&gt;0,"客户回款","客户退款"),IF(K1169&lt;&gt;"",IF(N(G1169)&gt;0,"供应商付款","供应商退款"),IF(L1169&lt;&gt;"","费用支出","")))))</f>
      </c>
      <c r="P1169" s="78">
        <f>IF(O1169="","",IFERROR(INDEX(基础资料!$AE$5:$AE$34,MATCH(O1169,基础资料!$AC$5:$AC$34,0)),"未知"))</f>
      </c>
      <c r="Q1169" s="78">
        <f>IF(P1169="应收",COUNTIF(P$7:P1169,"应收"),"")</f>
      </c>
      <c r="R1169" s="78">
        <f>IF(P1169="应付",COUNTIF(P$7:P1169,"应付"),"")</f>
      </c>
      <c r="S1169" s="78">
        <f>N(F1169)-N(G1169)</f>
        <v>0</v>
      </c>
    </row>
    <row r="1170">
      <c r="A1170" s="109">
        <f>IF(AND(F1170="",G1170=""),"",ROW()-6)</f>
      </c>
      <c r="B1170" s="140" t="n"/>
      <c r="C1170" s="141" t="n"/>
      <c r="D1170" s="141" t="n"/>
      <c r="E1170" s="142" t="n"/>
      <c r="F1170" s="143" t="n"/>
      <c r="G1170" s="144" t="n"/>
      <c r="H1170" s="145">
        <f>IF(OR(C1170="",AND(F1170="",G1170="")),"",SUMIF(基础资料!$W$5:$W$24,C1170,基础资料!$X$5:$X$24)+SUMIF(C$7:C1170,C1170,F$7:F1170)-SUMIF(C$7:C1170,C1170,G$7:G1170))</f>
      </c>
      <c r="I1170" s="145">
        <f>IF(AND(F1170="",G1170=""),"",SUM(基础资料!$X$5:$X$24)+SUM(F$7:F1170)-SUM(G$7:G1170))</f>
      </c>
      <c r="J1170" s="141" t="n"/>
      <c r="K1170" s="141" t="n"/>
      <c r="L1170" s="141" t="n"/>
      <c r="M1170" s="142" t="n"/>
      <c r="N1170" s="146">
        <f>IF(AND(AND(F1170="",G1170=""),B1170="",C1170="",D1170="",J1170="",K1170="",L1170=""),"",IF(AND(F1170="",G1170=""),"✗ 没填金额",IF(AND(N(F1170)&lt;&gt;0,N(G1170)&lt;&gt;0),"✗ 收入、支出只能填一边",IF(NOT(ISNUMBER(B1170)),"✗ 日期不是真日期（要像 2026/9/25 这样填）",IF(OR(B1170&lt;年初日,B1170&gt;年末日),"✗ 日期不在本会计年度",IF(C1170="","✗ 没选账户",IF(COUNTIF(基础资料!$W$5:$W$24,C1170)=0,"✗ 账户不在基础资料里",IF(O1170="","✗ 没选收支项目",IF(P1170="未知","✗ 收支项目不在基础资料里",IF(AND(P1170="应收",J1170=""),"✗ 这笔要选客户",IF(AND(P1170="应收",COUNTIF(总览汇总!$B$5:$B$304,J1170)=0),"✗ 客户不在总览汇总名单里",IF(AND(P1170="应付",K1170=""),"✗ 这笔要选供应商",IF(AND(P1170="应付",COUNTIF(基础资料!$Q$5:$Q$54,K1170)=0),"✗ 供应商不在基础资料里",IF(AND(P1170="费用",L1170=""),"✗ 费用支出要选费用项目",IF(AND(L1170&lt;&gt;"",COUNTIF(基础资料!$AI$5:$AI$54,L1170)=0),"✗ 费用项目不在基础资料里",IF(AND(IFERROR(INDEX(基础资料!$AD$5:$AD$34,MATCH(O1170,基础资料!$AC$5:$AC$34,0)),"")="收",N(G1170)&lt;&gt;0),"✗ 这类是收款，金额填到收入列",IF(AND(IFERROR(INDEX(基础资料!$AD$5:$AD$34,MATCH(O1170,基础资料!$AC$5:$AC$34,0)),"")="支",N(F1170)&lt;&gt;0),"✗ 这类是付款，金额填到支出列",IF(N(H1170)&lt;0,"⚠ 账户余额成负数了，核对一下","√"))))))))))))))))))</f>
      </c>
      <c r="O1170" s="78">
        <f>IF(D1170&lt;&gt;"",D1170,IF(AND(F1170="",G1170=""),"",IF(J1170&lt;&gt;"",IF(N(F1170)&gt;0,"客户回款","客户退款"),IF(K1170&lt;&gt;"",IF(N(G1170)&gt;0,"供应商付款","供应商退款"),IF(L1170&lt;&gt;"","费用支出","")))))</f>
      </c>
      <c r="P1170" s="78">
        <f>IF(O1170="","",IFERROR(INDEX(基础资料!$AE$5:$AE$34,MATCH(O1170,基础资料!$AC$5:$AC$34,0)),"未知"))</f>
      </c>
      <c r="Q1170" s="78">
        <f>IF(P1170="应收",COUNTIF(P$7:P1170,"应收"),"")</f>
      </c>
      <c r="R1170" s="78">
        <f>IF(P1170="应付",COUNTIF(P$7:P1170,"应付"),"")</f>
      </c>
      <c r="S1170" s="78">
        <f>N(F1170)-N(G1170)</f>
        <v>0</v>
      </c>
    </row>
    <row r="1171">
      <c r="A1171" s="109">
        <f>IF(AND(F1171="",G1171=""),"",ROW()-6)</f>
      </c>
      <c r="B1171" s="140" t="n"/>
      <c r="C1171" s="141" t="n"/>
      <c r="D1171" s="141" t="n"/>
      <c r="E1171" s="142" t="n"/>
      <c r="F1171" s="143" t="n"/>
      <c r="G1171" s="144" t="n"/>
      <c r="H1171" s="145">
        <f>IF(OR(C1171="",AND(F1171="",G1171="")),"",SUMIF(基础资料!$W$5:$W$24,C1171,基础资料!$X$5:$X$24)+SUMIF(C$7:C1171,C1171,F$7:F1171)-SUMIF(C$7:C1171,C1171,G$7:G1171))</f>
      </c>
      <c r="I1171" s="145">
        <f>IF(AND(F1171="",G1171=""),"",SUM(基础资料!$X$5:$X$24)+SUM(F$7:F1171)-SUM(G$7:G1171))</f>
      </c>
      <c r="J1171" s="141" t="n"/>
      <c r="K1171" s="141" t="n"/>
      <c r="L1171" s="141" t="n"/>
      <c r="M1171" s="142" t="n"/>
      <c r="N1171" s="146">
        <f>IF(AND(AND(F1171="",G1171=""),B1171="",C1171="",D1171="",J1171="",K1171="",L1171=""),"",IF(AND(F1171="",G1171=""),"✗ 没填金额",IF(AND(N(F1171)&lt;&gt;0,N(G1171)&lt;&gt;0),"✗ 收入、支出只能填一边",IF(NOT(ISNUMBER(B1171)),"✗ 日期不是真日期（要像 2026/9/25 这样填）",IF(OR(B1171&lt;年初日,B1171&gt;年末日),"✗ 日期不在本会计年度",IF(C1171="","✗ 没选账户",IF(COUNTIF(基础资料!$W$5:$W$24,C1171)=0,"✗ 账户不在基础资料里",IF(O1171="","✗ 没选收支项目",IF(P1171="未知","✗ 收支项目不在基础资料里",IF(AND(P1171="应收",J1171=""),"✗ 这笔要选客户",IF(AND(P1171="应收",COUNTIF(总览汇总!$B$5:$B$304,J1171)=0),"✗ 客户不在总览汇总名单里",IF(AND(P1171="应付",K1171=""),"✗ 这笔要选供应商",IF(AND(P1171="应付",COUNTIF(基础资料!$Q$5:$Q$54,K1171)=0),"✗ 供应商不在基础资料里",IF(AND(P1171="费用",L1171=""),"✗ 费用支出要选费用项目",IF(AND(L1171&lt;&gt;"",COUNTIF(基础资料!$AI$5:$AI$54,L1171)=0),"✗ 费用项目不在基础资料里",IF(AND(IFERROR(INDEX(基础资料!$AD$5:$AD$34,MATCH(O1171,基础资料!$AC$5:$AC$34,0)),"")="收",N(G1171)&lt;&gt;0),"✗ 这类是收款，金额填到收入列",IF(AND(IFERROR(INDEX(基础资料!$AD$5:$AD$34,MATCH(O1171,基础资料!$AC$5:$AC$34,0)),"")="支",N(F1171)&lt;&gt;0),"✗ 这类是付款，金额填到支出列",IF(N(H1171)&lt;0,"⚠ 账户余额成负数了，核对一下","√"))))))))))))))))))</f>
      </c>
      <c r="O1171" s="78">
        <f>IF(D1171&lt;&gt;"",D1171,IF(AND(F1171="",G1171=""),"",IF(J1171&lt;&gt;"",IF(N(F1171)&gt;0,"客户回款","客户退款"),IF(K1171&lt;&gt;"",IF(N(G1171)&gt;0,"供应商付款","供应商退款"),IF(L1171&lt;&gt;"","费用支出","")))))</f>
      </c>
      <c r="P1171" s="78">
        <f>IF(O1171="","",IFERROR(INDEX(基础资料!$AE$5:$AE$34,MATCH(O1171,基础资料!$AC$5:$AC$34,0)),"未知"))</f>
      </c>
      <c r="Q1171" s="78">
        <f>IF(P1171="应收",COUNTIF(P$7:P1171,"应收"),"")</f>
      </c>
      <c r="R1171" s="78">
        <f>IF(P1171="应付",COUNTIF(P$7:P1171,"应付"),"")</f>
      </c>
      <c r="S1171" s="78">
        <f>N(F1171)-N(G1171)</f>
        <v>0</v>
      </c>
    </row>
    <row r="1172">
      <c r="A1172" s="109">
        <f>IF(AND(F1172="",G1172=""),"",ROW()-6)</f>
      </c>
      <c r="B1172" s="140" t="n"/>
      <c r="C1172" s="141" t="n"/>
      <c r="D1172" s="141" t="n"/>
      <c r="E1172" s="142" t="n"/>
      <c r="F1172" s="143" t="n"/>
      <c r="G1172" s="144" t="n"/>
      <c r="H1172" s="145">
        <f>IF(OR(C1172="",AND(F1172="",G1172="")),"",SUMIF(基础资料!$W$5:$W$24,C1172,基础资料!$X$5:$X$24)+SUMIF(C$7:C1172,C1172,F$7:F1172)-SUMIF(C$7:C1172,C1172,G$7:G1172))</f>
      </c>
      <c r="I1172" s="145">
        <f>IF(AND(F1172="",G1172=""),"",SUM(基础资料!$X$5:$X$24)+SUM(F$7:F1172)-SUM(G$7:G1172))</f>
      </c>
      <c r="J1172" s="141" t="n"/>
      <c r="K1172" s="141" t="n"/>
      <c r="L1172" s="141" t="n"/>
      <c r="M1172" s="142" t="n"/>
      <c r="N1172" s="146">
        <f>IF(AND(AND(F1172="",G1172=""),B1172="",C1172="",D1172="",J1172="",K1172="",L1172=""),"",IF(AND(F1172="",G1172=""),"✗ 没填金额",IF(AND(N(F1172)&lt;&gt;0,N(G1172)&lt;&gt;0),"✗ 收入、支出只能填一边",IF(NOT(ISNUMBER(B1172)),"✗ 日期不是真日期（要像 2026/9/25 这样填）",IF(OR(B1172&lt;年初日,B1172&gt;年末日),"✗ 日期不在本会计年度",IF(C1172="","✗ 没选账户",IF(COUNTIF(基础资料!$W$5:$W$24,C1172)=0,"✗ 账户不在基础资料里",IF(O1172="","✗ 没选收支项目",IF(P1172="未知","✗ 收支项目不在基础资料里",IF(AND(P1172="应收",J1172=""),"✗ 这笔要选客户",IF(AND(P1172="应收",COUNTIF(总览汇总!$B$5:$B$304,J1172)=0),"✗ 客户不在总览汇总名单里",IF(AND(P1172="应付",K1172=""),"✗ 这笔要选供应商",IF(AND(P1172="应付",COUNTIF(基础资料!$Q$5:$Q$54,K1172)=0),"✗ 供应商不在基础资料里",IF(AND(P1172="费用",L1172=""),"✗ 费用支出要选费用项目",IF(AND(L1172&lt;&gt;"",COUNTIF(基础资料!$AI$5:$AI$54,L1172)=0),"✗ 费用项目不在基础资料里",IF(AND(IFERROR(INDEX(基础资料!$AD$5:$AD$34,MATCH(O1172,基础资料!$AC$5:$AC$34,0)),"")="收",N(G1172)&lt;&gt;0),"✗ 这类是收款，金额填到收入列",IF(AND(IFERROR(INDEX(基础资料!$AD$5:$AD$34,MATCH(O1172,基础资料!$AC$5:$AC$34,0)),"")="支",N(F1172)&lt;&gt;0),"✗ 这类是付款，金额填到支出列",IF(N(H1172)&lt;0,"⚠ 账户余额成负数了，核对一下","√"))))))))))))))))))</f>
      </c>
      <c r="O1172" s="78">
        <f>IF(D1172&lt;&gt;"",D1172,IF(AND(F1172="",G1172=""),"",IF(J1172&lt;&gt;"",IF(N(F1172)&gt;0,"客户回款","客户退款"),IF(K1172&lt;&gt;"",IF(N(G1172)&gt;0,"供应商付款","供应商退款"),IF(L1172&lt;&gt;"","费用支出","")))))</f>
      </c>
      <c r="P1172" s="78">
        <f>IF(O1172="","",IFERROR(INDEX(基础资料!$AE$5:$AE$34,MATCH(O1172,基础资料!$AC$5:$AC$34,0)),"未知"))</f>
      </c>
      <c r="Q1172" s="78">
        <f>IF(P1172="应收",COUNTIF(P$7:P1172,"应收"),"")</f>
      </c>
      <c r="R1172" s="78">
        <f>IF(P1172="应付",COUNTIF(P$7:P1172,"应付"),"")</f>
      </c>
      <c r="S1172" s="78">
        <f>N(F1172)-N(G1172)</f>
        <v>0</v>
      </c>
    </row>
    <row r="1173">
      <c r="A1173" s="109">
        <f>IF(AND(F1173="",G1173=""),"",ROW()-6)</f>
      </c>
      <c r="B1173" s="140" t="n"/>
      <c r="C1173" s="141" t="n"/>
      <c r="D1173" s="141" t="n"/>
      <c r="E1173" s="142" t="n"/>
      <c r="F1173" s="143" t="n"/>
      <c r="G1173" s="144" t="n"/>
      <c r="H1173" s="145">
        <f>IF(OR(C1173="",AND(F1173="",G1173="")),"",SUMIF(基础资料!$W$5:$W$24,C1173,基础资料!$X$5:$X$24)+SUMIF(C$7:C1173,C1173,F$7:F1173)-SUMIF(C$7:C1173,C1173,G$7:G1173))</f>
      </c>
      <c r="I1173" s="145">
        <f>IF(AND(F1173="",G1173=""),"",SUM(基础资料!$X$5:$X$24)+SUM(F$7:F1173)-SUM(G$7:G1173))</f>
      </c>
      <c r="J1173" s="141" t="n"/>
      <c r="K1173" s="141" t="n"/>
      <c r="L1173" s="141" t="n"/>
      <c r="M1173" s="142" t="n"/>
      <c r="N1173" s="146">
        <f>IF(AND(AND(F1173="",G1173=""),B1173="",C1173="",D1173="",J1173="",K1173="",L1173=""),"",IF(AND(F1173="",G1173=""),"✗ 没填金额",IF(AND(N(F1173)&lt;&gt;0,N(G1173)&lt;&gt;0),"✗ 收入、支出只能填一边",IF(NOT(ISNUMBER(B1173)),"✗ 日期不是真日期（要像 2026/9/25 这样填）",IF(OR(B1173&lt;年初日,B1173&gt;年末日),"✗ 日期不在本会计年度",IF(C1173="","✗ 没选账户",IF(COUNTIF(基础资料!$W$5:$W$24,C1173)=0,"✗ 账户不在基础资料里",IF(O1173="","✗ 没选收支项目",IF(P1173="未知","✗ 收支项目不在基础资料里",IF(AND(P1173="应收",J1173=""),"✗ 这笔要选客户",IF(AND(P1173="应收",COUNTIF(总览汇总!$B$5:$B$304,J1173)=0),"✗ 客户不在总览汇总名单里",IF(AND(P1173="应付",K1173=""),"✗ 这笔要选供应商",IF(AND(P1173="应付",COUNTIF(基础资料!$Q$5:$Q$54,K1173)=0),"✗ 供应商不在基础资料里",IF(AND(P1173="费用",L1173=""),"✗ 费用支出要选费用项目",IF(AND(L1173&lt;&gt;"",COUNTIF(基础资料!$AI$5:$AI$54,L1173)=0),"✗ 费用项目不在基础资料里",IF(AND(IFERROR(INDEX(基础资料!$AD$5:$AD$34,MATCH(O1173,基础资料!$AC$5:$AC$34,0)),"")="收",N(G1173)&lt;&gt;0),"✗ 这类是收款，金额填到收入列",IF(AND(IFERROR(INDEX(基础资料!$AD$5:$AD$34,MATCH(O1173,基础资料!$AC$5:$AC$34,0)),"")="支",N(F1173)&lt;&gt;0),"✗ 这类是付款，金额填到支出列",IF(N(H1173)&lt;0,"⚠ 账户余额成负数了，核对一下","√"))))))))))))))))))</f>
      </c>
      <c r="O1173" s="78">
        <f>IF(D1173&lt;&gt;"",D1173,IF(AND(F1173="",G1173=""),"",IF(J1173&lt;&gt;"",IF(N(F1173)&gt;0,"客户回款","客户退款"),IF(K1173&lt;&gt;"",IF(N(G1173)&gt;0,"供应商付款","供应商退款"),IF(L1173&lt;&gt;"","费用支出","")))))</f>
      </c>
      <c r="P1173" s="78">
        <f>IF(O1173="","",IFERROR(INDEX(基础资料!$AE$5:$AE$34,MATCH(O1173,基础资料!$AC$5:$AC$34,0)),"未知"))</f>
      </c>
      <c r="Q1173" s="78">
        <f>IF(P1173="应收",COUNTIF(P$7:P1173,"应收"),"")</f>
      </c>
      <c r="R1173" s="78">
        <f>IF(P1173="应付",COUNTIF(P$7:P1173,"应付"),"")</f>
      </c>
      <c r="S1173" s="78">
        <f>N(F1173)-N(G1173)</f>
        <v>0</v>
      </c>
    </row>
    <row r="1174">
      <c r="A1174" s="109">
        <f>IF(AND(F1174="",G1174=""),"",ROW()-6)</f>
      </c>
      <c r="B1174" s="140" t="n"/>
      <c r="C1174" s="141" t="n"/>
      <c r="D1174" s="141" t="n"/>
      <c r="E1174" s="142" t="n"/>
      <c r="F1174" s="143" t="n"/>
      <c r="G1174" s="144" t="n"/>
      <c r="H1174" s="145">
        <f>IF(OR(C1174="",AND(F1174="",G1174="")),"",SUMIF(基础资料!$W$5:$W$24,C1174,基础资料!$X$5:$X$24)+SUMIF(C$7:C1174,C1174,F$7:F1174)-SUMIF(C$7:C1174,C1174,G$7:G1174))</f>
      </c>
      <c r="I1174" s="145">
        <f>IF(AND(F1174="",G1174=""),"",SUM(基础资料!$X$5:$X$24)+SUM(F$7:F1174)-SUM(G$7:G1174))</f>
      </c>
      <c r="J1174" s="141" t="n"/>
      <c r="K1174" s="141" t="n"/>
      <c r="L1174" s="141" t="n"/>
      <c r="M1174" s="142" t="n"/>
      <c r="N1174" s="146">
        <f>IF(AND(AND(F1174="",G1174=""),B1174="",C1174="",D1174="",J1174="",K1174="",L1174=""),"",IF(AND(F1174="",G1174=""),"✗ 没填金额",IF(AND(N(F1174)&lt;&gt;0,N(G1174)&lt;&gt;0),"✗ 收入、支出只能填一边",IF(NOT(ISNUMBER(B1174)),"✗ 日期不是真日期（要像 2026/9/25 这样填）",IF(OR(B1174&lt;年初日,B1174&gt;年末日),"✗ 日期不在本会计年度",IF(C1174="","✗ 没选账户",IF(COUNTIF(基础资料!$W$5:$W$24,C1174)=0,"✗ 账户不在基础资料里",IF(O1174="","✗ 没选收支项目",IF(P1174="未知","✗ 收支项目不在基础资料里",IF(AND(P1174="应收",J1174=""),"✗ 这笔要选客户",IF(AND(P1174="应收",COUNTIF(总览汇总!$B$5:$B$304,J1174)=0),"✗ 客户不在总览汇总名单里",IF(AND(P1174="应付",K1174=""),"✗ 这笔要选供应商",IF(AND(P1174="应付",COUNTIF(基础资料!$Q$5:$Q$54,K1174)=0),"✗ 供应商不在基础资料里",IF(AND(P1174="费用",L1174=""),"✗ 费用支出要选费用项目",IF(AND(L1174&lt;&gt;"",COUNTIF(基础资料!$AI$5:$AI$54,L1174)=0),"✗ 费用项目不在基础资料里",IF(AND(IFERROR(INDEX(基础资料!$AD$5:$AD$34,MATCH(O1174,基础资料!$AC$5:$AC$34,0)),"")="收",N(G1174)&lt;&gt;0),"✗ 这类是收款，金额填到收入列",IF(AND(IFERROR(INDEX(基础资料!$AD$5:$AD$34,MATCH(O1174,基础资料!$AC$5:$AC$34,0)),"")="支",N(F1174)&lt;&gt;0),"✗ 这类是付款，金额填到支出列",IF(N(H1174)&lt;0,"⚠ 账户余额成负数了，核对一下","√"))))))))))))))))))</f>
      </c>
      <c r="O1174" s="78">
        <f>IF(D1174&lt;&gt;"",D1174,IF(AND(F1174="",G1174=""),"",IF(J1174&lt;&gt;"",IF(N(F1174)&gt;0,"客户回款","客户退款"),IF(K1174&lt;&gt;"",IF(N(G1174)&gt;0,"供应商付款","供应商退款"),IF(L1174&lt;&gt;"","费用支出","")))))</f>
      </c>
      <c r="P1174" s="78">
        <f>IF(O1174="","",IFERROR(INDEX(基础资料!$AE$5:$AE$34,MATCH(O1174,基础资料!$AC$5:$AC$34,0)),"未知"))</f>
      </c>
      <c r="Q1174" s="78">
        <f>IF(P1174="应收",COUNTIF(P$7:P1174,"应收"),"")</f>
      </c>
      <c r="R1174" s="78">
        <f>IF(P1174="应付",COUNTIF(P$7:P1174,"应付"),"")</f>
      </c>
      <c r="S1174" s="78">
        <f>N(F1174)-N(G1174)</f>
        <v>0</v>
      </c>
    </row>
    <row r="1175">
      <c r="A1175" s="109">
        <f>IF(AND(F1175="",G1175=""),"",ROW()-6)</f>
      </c>
      <c r="B1175" s="140" t="n"/>
      <c r="C1175" s="141" t="n"/>
      <c r="D1175" s="141" t="n"/>
      <c r="E1175" s="142" t="n"/>
      <c r="F1175" s="143" t="n"/>
      <c r="G1175" s="144" t="n"/>
      <c r="H1175" s="145">
        <f>IF(OR(C1175="",AND(F1175="",G1175="")),"",SUMIF(基础资料!$W$5:$W$24,C1175,基础资料!$X$5:$X$24)+SUMIF(C$7:C1175,C1175,F$7:F1175)-SUMIF(C$7:C1175,C1175,G$7:G1175))</f>
      </c>
      <c r="I1175" s="145">
        <f>IF(AND(F1175="",G1175=""),"",SUM(基础资料!$X$5:$X$24)+SUM(F$7:F1175)-SUM(G$7:G1175))</f>
      </c>
      <c r="J1175" s="141" t="n"/>
      <c r="K1175" s="141" t="n"/>
      <c r="L1175" s="141" t="n"/>
      <c r="M1175" s="142" t="n"/>
      <c r="N1175" s="146">
        <f>IF(AND(AND(F1175="",G1175=""),B1175="",C1175="",D1175="",J1175="",K1175="",L1175=""),"",IF(AND(F1175="",G1175=""),"✗ 没填金额",IF(AND(N(F1175)&lt;&gt;0,N(G1175)&lt;&gt;0),"✗ 收入、支出只能填一边",IF(NOT(ISNUMBER(B1175)),"✗ 日期不是真日期（要像 2026/9/25 这样填）",IF(OR(B1175&lt;年初日,B1175&gt;年末日),"✗ 日期不在本会计年度",IF(C1175="","✗ 没选账户",IF(COUNTIF(基础资料!$W$5:$W$24,C1175)=0,"✗ 账户不在基础资料里",IF(O1175="","✗ 没选收支项目",IF(P1175="未知","✗ 收支项目不在基础资料里",IF(AND(P1175="应收",J1175=""),"✗ 这笔要选客户",IF(AND(P1175="应收",COUNTIF(总览汇总!$B$5:$B$304,J1175)=0),"✗ 客户不在总览汇总名单里",IF(AND(P1175="应付",K1175=""),"✗ 这笔要选供应商",IF(AND(P1175="应付",COUNTIF(基础资料!$Q$5:$Q$54,K1175)=0),"✗ 供应商不在基础资料里",IF(AND(P1175="费用",L1175=""),"✗ 费用支出要选费用项目",IF(AND(L1175&lt;&gt;"",COUNTIF(基础资料!$AI$5:$AI$54,L1175)=0),"✗ 费用项目不在基础资料里",IF(AND(IFERROR(INDEX(基础资料!$AD$5:$AD$34,MATCH(O1175,基础资料!$AC$5:$AC$34,0)),"")="收",N(G1175)&lt;&gt;0),"✗ 这类是收款，金额填到收入列",IF(AND(IFERROR(INDEX(基础资料!$AD$5:$AD$34,MATCH(O1175,基础资料!$AC$5:$AC$34,0)),"")="支",N(F1175)&lt;&gt;0),"✗ 这类是付款，金额填到支出列",IF(N(H1175)&lt;0,"⚠ 账户余额成负数了，核对一下","√"))))))))))))))))))</f>
      </c>
      <c r="O1175" s="78">
        <f>IF(D1175&lt;&gt;"",D1175,IF(AND(F1175="",G1175=""),"",IF(J1175&lt;&gt;"",IF(N(F1175)&gt;0,"客户回款","客户退款"),IF(K1175&lt;&gt;"",IF(N(G1175)&gt;0,"供应商付款","供应商退款"),IF(L1175&lt;&gt;"","费用支出","")))))</f>
      </c>
      <c r="P1175" s="78">
        <f>IF(O1175="","",IFERROR(INDEX(基础资料!$AE$5:$AE$34,MATCH(O1175,基础资料!$AC$5:$AC$34,0)),"未知"))</f>
      </c>
      <c r="Q1175" s="78">
        <f>IF(P1175="应收",COUNTIF(P$7:P1175,"应收"),"")</f>
      </c>
      <c r="R1175" s="78">
        <f>IF(P1175="应付",COUNTIF(P$7:P1175,"应付"),"")</f>
      </c>
      <c r="S1175" s="78">
        <f>N(F1175)-N(G1175)</f>
        <v>0</v>
      </c>
    </row>
    <row r="1176">
      <c r="A1176" s="109">
        <f>IF(AND(F1176="",G1176=""),"",ROW()-6)</f>
      </c>
      <c r="B1176" s="140" t="n"/>
      <c r="C1176" s="141" t="n"/>
      <c r="D1176" s="141" t="n"/>
      <c r="E1176" s="142" t="n"/>
      <c r="F1176" s="143" t="n"/>
      <c r="G1176" s="144" t="n"/>
      <c r="H1176" s="145">
        <f>IF(OR(C1176="",AND(F1176="",G1176="")),"",SUMIF(基础资料!$W$5:$W$24,C1176,基础资料!$X$5:$X$24)+SUMIF(C$7:C1176,C1176,F$7:F1176)-SUMIF(C$7:C1176,C1176,G$7:G1176))</f>
      </c>
      <c r="I1176" s="145">
        <f>IF(AND(F1176="",G1176=""),"",SUM(基础资料!$X$5:$X$24)+SUM(F$7:F1176)-SUM(G$7:G1176))</f>
      </c>
      <c r="J1176" s="141" t="n"/>
      <c r="K1176" s="141" t="n"/>
      <c r="L1176" s="141" t="n"/>
      <c r="M1176" s="142" t="n"/>
      <c r="N1176" s="146">
        <f>IF(AND(AND(F1176="",G1176=""),B1176="",C1176="",D1176="",J1176="",K1176="",L1176=""),"",IF(AND(F1176="",G1176=""),"✗ 没填金额",IF(AND(N(F1176)&lt;&gt;0,N(G1176)&lt;&gt;0),"✗ 收入、支出只能填一边",IF(NOT(ISNUMBER(B1176)),"✗ 日期不是真日期（要像 2026/9/25 这样填）",IF(OR(B1176&lt;年初日,B1176&gt;年末日),"✗ 日期不在本会计年度",IF(C1176="","✗ 没选账户",IF(COUNTIF(基础资料!$W$5:$W$24,C1176)=0,"✗ 账户不在基础资料里",IF(O1176="","✗ 没选收支项目",IF(P1176="未知","✗ 收支项目不在基础资料里",IF(AND(P1176="应收",J1176=""),"✗ 这笔要选客户",IF(AND(P1176="应收",COUNTIF(总览汇总!$B$5:$B$304,J1176)=0),"✗ 客户不在总览汇总名单里",IF(AND(P1176="应付",K1176=""),"✗ 这笔要选供应商",IF(AND(P1176="应付",COUNTIF(基础资料!$Q$5:$Q$54,K1176)=0),"✗ 供应商不在基础资料里",IF(AND(P1176="费用",L1176=""),"✗ 费用支出要选费用项目",IF(AND(L1176&lt;&gt;"",COUNTIF(基础资料!$AI$5:$AI$54,L1176)=0),"✗ 费用项目不在基础资料里",IF(AND(IFERROR(INDEX(基础资料!$AD$5:$AD$34,MATCH(O1176,基础资料!$AC$5:$AC$34,0)),"")="收",N(G1176)&lt;&gt;0),"✗ 这类是收款，金额填到收入列",IF(AND(IFERROR(INDEX(基础资料!$AD$5:$AD$34,MATCH(O1176,基础资料!$AC$5:$AC$34,0)),"")="支",N(F1176)&lt;&gt;0),"✗ 这类是付款，金额填到支出列",IF(N(H1176)&lt;0,"⚠ 账户余额成负数了，核对一下","√"))))))))))))))))))</f>
      </c>
      <c r="O1176" s="78">
        <f>IF(D1176&lt;&gt;"",D1176,IF(AND(F1176="",G1176=""),"",IF(J1176&lt;&gt;"",IF(N(F1176)&gt;0,"客户回款","客户退款"),IF(K1176&lt;&gt;"",IF(N(G1176)&gt;0,"供应商付款","供应商退款"),IF(L1176&lt;&gt;"","费用支出","")))))</f>
      </c>
      <c r="P1176" s="78">
        <f>IF(O1176="","",IFERROR(INDEX(基础资料!$AE$5:$AE$34,MATCH(O1176,基础资料!$AC$5:$AC$34,0)),"未知"))</f>
      </c>
      <c r="Q1176" s="78">
        <f>IF(P1176="应收",COUNTIF(P$7:P1176,"应收"),"")</f>
      </c>
      <c r="R1176" s="78">
        <f>IF(P1176="应付",COUNTIF(P$7:P1176,"应付"),"")</f>
      </c>
      <c r="S1176" s="78">
        <f>N(F1176)-N(G1176)</f>
        <v>0</v>
      </c>
    </row>
    <row r="1177">
      <c r="A1177" s="109">
        <f>IF(AND(F1177="",G1177=""),"",ROW()-6)</f>
      </c>
      <c r="B1177" s="140" t="n"/>
      <c r="C1177" s="141" t="n"/>
      <c r="D1177" s="141" t="n"/>
      <c r="E1177" s="142" t="n"/>
      <c r="F1177" s="143" t="n"/>
      <c r="G1177" s="144" t="n"/>
      <c r="H1177" s="145">
        <f>IF(OR(C1177="",AND(F1177="",G1177="")),"",SUMIF(基础资料!$W$5:$W$24,C1177,基础资料!$X$5:$X$24)+SUMIF(C$7:C1177,C1177,F$7:F1177)-SUMIF(C$7:C1177,C1177,G$7:G1177))</f>
      </c>
      <c r="I1177" s="145">
        <f>IF(AND(F1177="",G1177=""),"",SUM(基础资料!$X$5:$X$24)+SUM(F$7:F1177)-SUM(G$7:G1177))</f>
      </c>
      <c r="J1177" s="141" t="n"/>
      <c r="K1177" s="141" t="n"/>
      <c r="L1177" s="141" t="n"/>
      <c r="M1177" s="142" t="n"/>
      <c r="N1177" s="146">
        <f>IF(AND(AND(F1177="",G1177=""),B1177="",C1177="",D1177="",J1177="",K1177="",L1177=""),"",IF(AND(F1177="",G1177=""),"✗ 没填金额",IF(AND(N(F1177)&lt;&gt;0,N(G1177)&lt;&gt;0),"✗ 收入、支出只能填一边",IF(NOT(ISNUMBER(B1177)),"✗ 日期不是真日期（要像 2026/9/25 这样填）",IF(OR(B1177&lt;年初日,B1177&gt;年末日),"✗ 日期不在本会计年度",IF(C1177="","✗ 没选账户",IF(COUNTIF(基础资料!$W$5:$W$24,C1177)=0,"✗ 账户不在基础资料里",IF(O1177="","✗ 没选收支项目",IF(P1177="未知","✗ 收支项目不在基础资料里",IF(AND(P1177="应收",J1177=""),"✗ 这笔要选客户",IF(AND(P1177="应收",COUNTIF(总览汇总!$B$5:$B$304,J1177)=0),"✗ 客户不在总览汇总名单里",IF(AND(P1177="应付",K1177=""),"✗ 这笔要选供应商",IF(AND(P1177="应付",COUNTIF(基础资料!$Q$5:$Q$54,K1177)=0),"✗ 供应商不在基础资料里",IF(AND(P1177="费用",L1177=""),"✗ 费用支出要选费用项目",IF(AND(L1177&lt;&gt;"",COUNTIF(基础资料!$AI$5:$AI$54,L1177)=0),"✗ 费用项目不在基础资料里",IF(AND(IFERROR(INDEX(基础资料!$AD$5:$AD$34,MATCH(O1177,基础资料!$AC$5:$AC$34,0)),"")="收",N(G1177)&lt;&gt;0),"✗ 这类是收款，金额填到收入列",IF(AND(IFERROR(INDEX(基础资料!$AD$5:$AD$34,MATCH(O1177,基础资料!$AC$5:$AC$34,0)),"")="支",N(F1177)&lt;&gt;0),"✗ 这类是付款，金额填到支出列",IF(N(H1177)&lt;0,"⚠ 账户余额成负数了，核对一下","√"))))))))))))))))))</f>
      </c>
      <c r="O1177" s="78">
        <f>IF(D1177&lt;&gt;"",D1177,IF(AND(F1177="",G1177=""),"",IF(J1177&lt;&gt;"",IF(N(F1177)&gt;0,"客户回款","客户退款"),IF(K1177&lt;&gt;"",IF(N(G1177)&gt;0,"供应商付款","供应商退款"),IF(L1177&lt;&gt;"","费用支出","")))))</f>
      </c>
      <c r="P1177" s="78">
        <f>IF(O1177="","",IFERROR(INDEX(基础资料!$AE$5:$AE$34,MATCH(O1177,基础资料!$AC$5:$AC$34,0)),"未知"))</f>
      </c>
      <c r="Q1177" s="78">
        <f>IF(P1177="应收",COUNTIF(P$7:P1177,"应收"),"")</f>
      </c>
      <c r="R1177" s="78">
        <f>IF(P1177="应付",COUNTIF(P$7:P1177,"应付"),"")</f>
      </c>
      <c r="S1177" s="78">
        <f>N(F1177)-N(G1177)</f>
        <v>0</v>
      </c>
    </row>
    <row r="1178">
      <c r="A1178" s="109">
        <f>IF(AND(F1178="",G1178=""),"",ROW()-6)</f>
      </c>
      <c r="B1178" s="140" t="n"/>
      <c r="C1178" s="141" t="n"/>
      <c r="D1178" s="141" t="n"/>
      <c r="E1178" s="142" t="n"/>
      <c r="F1178" s="143" t="n"/>
      <c r="G1178" s="144" t="n"/>
      <c r="H1178" s="145">
        <f>IF(OR(C1178="",AND(F1178="",G1178="")),"",SUMIF(基础资料!$W$5:$W$24,C1178,基础资料!$X$5:$X$24)+SUMIF(C$7:C1178,C1178,F$7:F1178)-SUMIF(C$7:C1178,C1178,G$7:G1178))</f>
      </c>
      <c r="I1178" s="145">
        <f>IF(AND(F1178="",G1178=""),"",SUM(基础资料!$X$5:$X$24)+SUM(F$7:F1178)-SUM(G$7:G1178))</f>
      </c>
      <c r="J1178" s="141" t="n"/>
      <c r="K1178" s="141" t="n"/>
      <c r="L1178" s="141" t="n"/>
      <c r="M1178" s="142" t="n"/>
      <c r="N1178" s="146">
        <f>IF(AND(AND(F1178="",G1178=""),B1178="",C1178="",D1178="",J1178="",K1178="",L1178=""),"",IF(AND(F1178="",G1178=""),"✗ 没填金额",IF(AND(N(F1178)&lt;&gt;0,N(G1178)&lt;&gt;0),"✗ 收入、支出只能填一边",IF(NOT(ISNUMBER(B1178)),"✗ 日期不是真日期（要像 2026/9/25 这样填）",IF(OR(B1178&lt;年初日,B1178&gt;年末日),"✗ 日期不在本会计年度",IF(C1178="","✗ 没选账户",IF(COUNTIF(基础资料!$W$5:$W$24,C1178)=0,"✗ 账户不在基础资料里",IF(O1178="","✗ 没选收支项目",IF(P1178="未知","✗ 收支项目不在基础资料里",IF(AND(P1178="应收",J1178=""),"✗ 这笔要选客户",IF(AND(P1178="应收",COUNTIF(总览汇总!$B$5:$B$304,J1178)=0),"✗ 客户不在总览汇总名单里",IF(AND(P1178="应付",K1178=""),"✗ 这笔要选供应商",IF(AND(P1178="应付",COUNTIF(基础资料!$Q$5:$Q$54,K1178)=0),"✗ 供应商不在基础资料里",IF(AND(P1178="费用",L1178=""),"✗ 费用支出要选费用项目",IF(AND(L1178&lt;&gt;"",COUNTIF(基础资料!$AI$5:$AI$54,L1178)=0),"✗ 费用项目不在基础资料里",IF(AND(IFERROR(INDEX(基础资料!$AD$5:$AD$34,MATCH(O1178,基础资料!$AC$5:$AC$34,0)),"")="收",N(G1178)&lt;&gt;0),"✗ 这类是收款，金额填到收入列",IF(AND(IFERROR(INDEX(基础资料!$AD$5:$AD$34,MATCH(O1178,基础资料!$AC$5:$AC$34,0)),"")="支",N(F1178)&lt;&gt;0),"✗ 这类是付款，金额填到支出列",IF(N(H1178)&lt;0,"⚠ 账户余额成负数了，核对一下","√"))))))))))))))))))</f>
      </c>
      <c r="O1178" s="78">
        <f>IF(D1178&lt;&gt;"",D1178,IF(AND(F1178="",G1178=""),"",IF(J1178&lt;&gt;"",IF(N(F1178)&gt;0,"客户回款","客户退款"),IF(K1178&lt;&gt;"",IF(N(G1178)&gt;0,"供应商付款","供应商退款"),IF(L1178&lt;&gt;"","费用支出","")))))</f>
      </c>
      <c r="P1178" s="78">
        <f>IF(O1178="","",IFERROR(INDEX(基础资料!$AE$5:$AE$34,MATCH(O1178,基础资料!$AC$5:$AC$34,0)),"未知"))</f>
      </c>
      <c r="Q1178" s="78">
        <f>IF(P1178="应收",COUNTIF(P$7:P1178,"应收"),"")</f>
      </c>
      <c r="R1178" s="78">
        <f>IF(P1178="应付",COUNTIF(P$7:P1178,"应付"),"")</f>
      </c>
      <c r="S1178" s="78">
        <f>N(F1178)-N(G1178)</f>
        <v>0</v>
      </c>
    </row>
    <row r="1179">
      <c r="A1179" s="109">
        <f>IF(AND(F1179="",G1179=""),"",ROW()-6)</f>
      </c>
      <c r="B1179" s="140" t="n"/>
      <c r="C1179" s="141" t="n"/>
      <c r="D1179" s="141" t="n"/>
      <c r="E1179" s="142" t="n"/>
      <c r="F1179" s="143" t="n"/>
      <c r="G1179" s="144" t="n"/>
      <c r="H1179" s="145">
        <f>IF(OR(C1179="",AND(F1179="",G1179="")),"",SUMIF(基础资料!$W$5:$W$24,C1179,基础资料!$X$5:$X$24)+SUMIF(C$7:C1179,C1179,F$7:F1179)-SUMIF(C$7:C1179,C1179,G$7:G1179))</f>
      </c>
      <c r="I1179" s="145">
        <f>IF(AND(F1179="",G1179=""),"",SUM(基础资料!$X$5:$X$24)+SUM(F$7:F1179)-SUM(G$7:G1179))</f>
      </c>
      <c r="J1179" s="141" t="n"/>
      <c r="K1179" s="141" t="n"/>
      <c r="L1179" s="141" t="n"/>
      <c r="M1179" s="142" t="n"/>
      <c r="N1179" s="146">
        <f>IF(AND(AND(F1179="",G1179=""),B1179="",C1179="",D1179="",J1179="",K1179="",L1179=""),"",IF(AND(F1179="",G1179=""),"✗ 没填金额",IF(AND(N(F1179)&lt;&gt;0,N(G1179)&lt;&gt;0),"✗ 收入、支出只能填一边",IF(NOT(ISNUMBER(B1179)),"✗ 日期不是真日期（要像 2026/9/25 这样填）",IF(OR(B1179&lt;年初日,B1179&gt;年末日),"✗ 日期不在本会计年度",IF(C1179="","✗ 没选账户",IF(COUNTIF(基础资料!$W$5:$W$24,C1179)=0,"✗ 账户不在基础资料里",IF(O1179="","✗ 没选收支项目",IF(P1179="未知","✗ 收支项目不在基础资料里",IF(AND(P1179="应收",J1179=""),"✗ 这笔要选客户",IF(AND(P1179="应收",COUNTIF(总览汇总!$B$5:$B$304,J1179)=0),"✗ 客户不在总览汇总名单里",IF(AND(P1179="应付",K1179=""),"✗ 这笔要选供应商",IF(AND(P1179="应付",COUNTIF(基础资料!$Q$5:$Q$54,K1179)=0),"✗ 供应商不在基础资料里",IF(AND(P1179="费用",L1179=""),"✗ 费用支出要选费用项目",IF(AND(L1179&lt;&gt;"",COUNTIF(基础资料!$AI$5:$AI$54,L1179)=0),"✗ 费用项目不在基础资料里",IF(AND(IFERROR(INDEX(基础资料!$AD$5:$AD$34,MATCH(O1179,基础资料!$AC$5:$AC$34,0)),"")="收",N(G1179)&lt;&gt;0),"✗ 这类是收款，金额填到收入列",IF(AND(IFERROR(INDEX(基础资料!$AD$5:$AD$34,MATCH(O1179,基础资料!$AC$5:$AC$34,0)),"")="支",N(F1179)&lt;&gt;0),"✗ 这类是付款，金额填到支出列",IF(N(H1179)&lt;0,"⚠ 账户余额成负数了，核对一下","√"))))))))))))))))))</f>
      </c>
      <c r="O1179" s="78">
        <f>IF(D1179&lt;&gt;"",D1179,IF(AND(F1179="",G1179=""),"",IF(J1179&lt;&gt;"",IF(N(F1179)&gt;0,"客户回款","客户退款"),IF(K1179&lt;&gt;"",IF(N(G1179)&gt;0,"供应商付款","供应商退款"),IF(L1179&lt;&gt;"","费用支出","")))))</f>
      </c>
      <c r="P1179" s="78">
        <f>IF(O1179="","",IFERROR(INDEX(基础资料!$AE$5:$AE$34,MATCH(O1179,基础资料!$AC$5:$AC$34,0)),"未知"))</f>
      </c>
      <c r="Q1179" s="78">
        <f>IF(P1179="应收",COUNTIF(P$7:P1179,"应收"),"")</f>
      </c>
      <c r="R1179" s="78">
        <f>IF(P1179="应付",COUNTIF(P$7:P1179,"应付"),"")</f>
      </c>
      <c r="S1179" s="78">
        <f>N(F1179)-N(G1179)</f>
        <v>0</v>
      </c>
    </row>
    <row r="1180">
      <c r="A1180" s="109">
        <f>IF(AND(F1180="",G1180=""),"",ROW()-6)</f>
      </c>
      <c r="B1180" s="140" t="n"/>
      <c r="C1180" s="141" t="n"/>
      <c r="D1180" s="141" t="n"/>
      <c r="E1180" s="142" t="n"/>
      <c r="F1180" s="143" t="n"/>
      <c r="G1180" s="144" t="n"/>
      <c r="H1180" s="145">
        <f>IF(OR(C1180="",AND(F1180="",G1180="")),"",SUMIF(基础资料!$W$5:$W$24,C1180,基础资料!$X$5:$X$24)+SUMIF(C$7:C1180,C1180,F$7:F1180)-SUMIF(C$7:C1180,C1180,G$7:G1180))</f>
      </c>
      <c r="I1180" s="145">
        <f>IF(AND(F1180="",G1180=""),"",SUM(基础资料!$X$5:$X$24)+SUM(F$7:F1180)-SUM(G$7:G1180))</f>
      </c>
      <c r="J1180" s="141" t="n"/>
      <c r="K1180" s="141" t="n"/>
      <c r="L1180" s="141" t="n"/>
      <c r="M1180" s="142" t="n"/>
      <c r="N1180" s="146">
        <f>IF(AND(AND(F1180="",G1180=""),B1180="",C1180="",D1180="",J1180="",K1180="",L1180=""),"",IF(AND(F1180="",G1180=""),"✗ 没填金额",IF(AND(N(F1180)&lt;&gt;0,N(G1180)&lt;&gt;0),"✗ 收入、支出只能填一边",IF(NOT(ISNUMBER(B1180)),"✗ 日期不是真日期（要像 2026/9/25 这样填）",IF(OR(B1180&lt;年初日,B1180&gt;年末日),"✗ 日期不在本会计年度",IF(C1180="","✗ 没选账户",IF(COUNTIF(基础资料!$W$5:$W$24,C1180)=0,"✗ 账户不在基础资料里",IF(O1180="","✗ 没选收支项目",IF(P1180="未知","✗ 收支项目不在基础资料里",IF(AND(P1180="应收",J1180=""),"✗ 这笔要选客户",IF(AND(P1180="应收",COUNTIF(总览汇总!$B$5:$B$304,J1180)=0),"✗ 客户不在总览汇总名单里",IF(AND(P1180="应付",K1180=""),"✗ 这笔要选供应商",IF(AND(P1180="应付",COUNTIF(基础资料!$Q$5:$Q$54,K1180)=0),"✗ 供应商不在基础资料里",IF(AND(P1180="费用",L1180=""),"✗ 费用支出要选费用项目",IF(AND(L1180&lt;&gt;"",COUNTIF(基础资料!$AI$5:$AI$54,L1180)=0),"✗ 费用项目不在基础资料里",IF(AND(IFERROR(INDEX(基础资料!$AD$5:$AD$34,MATCH(O1180,基础资料!$AC$5:$AC$34,0)),"")="收",N(G1180)&lt;&gt;0),"✗ 这类是收款，金额填到收入列",IF(AND(IFERROR(INDEX(基础资料!$AD$5:$AD$34,MATCH(O1180,基础资料!$AC$5:$AC$34,0)),"")="支",N(F1180)&lt;&gt;0),"✗ 这类是付款，金额填到支出列",IF(N(H1180)&lt;0,"⚠ 账户余额成负数了，核对一下","√"))))))))))))))))))</f>
      </c>
      <c r="O1180" s="78">
        <f>IF(D1180&lt;&gt;"",D1180,IF(AND(F1180="",G1180=""),"",IF(J1180&lt;&gt;"",IF(N(F1180)&gt;0,"客户回款","客户退款"),IF(K1180&lt;&gt;"",IF(N(G1180)&gt;0,"供应商付款","供应商退款"),IF(L1180&lt;&gt;"","费用支出","")))))</f>
      </c>
      <c r="P1180" s="78">
        <f>IF(O1180="","",IFERROR(INDEX(基础资料!$AE$5:$AE$34,MATCH(O1180,基础资料!$AC$5:$AC$34,0)),"未知"))</f>
      </c>
      <c r="Q1180" s="78">
        <f>IF(P1180="应收",COUNTIF(P$7:P1180,"应收"),"")</f>
      </c>
      <c r="R1180" s="78">
        <f>IF(P1180="应付",COUNTIF(P$7:P1180,"应付"),"")</f>
      </c>
      <c r="S1180" s="78">
        <f>N(F1180)-N(G1180)</f>
        <v>0</v>
      </c>
    </row>
    <row r="1181">
      <c r="A1181" s="109">
        <f>IF(AND(F1181="",G1181=""),"",ROW()-6)</f>
      </c>
      <c r="B1181" s="140" t="n"/>
      <c r="C1181" s="141" t="n"/>
      <c r="D1181" s="141" t="n"/>
      <c r="E1181" s="142" t="n"/>
      <c r="F1181" s="143" t="n"/>
      <c r="G1181" s="144" t="n"/>
      <c r="H1181" s="145">
        <f>IF(OR(C1181="",AND(F1181="",G1181="")),"",SUMIF(基础资料!$W$5:$W$24,C1181,基础资料!$X$5:$X$24)+SUMIF(C$7:C1181,C1181,F$7:F1181)-SUMIF(C$7:C1181,C1181,G$7:G1181))</f>
      </c>
      <c r="I1181" s="145">
        <f>IF(AND(F1181="",G1181=""),"",SUM(基础资料!$X$5:$X$24)+SUM(F$7:F1181)-SUM(G$7:G1181))</f>
      </c>
      <c r="J1181" s="141" t="n"/>
      <c r="K1181" s="141" t="n"/>
      <c r="L1181" s="141" t="n"/>
      <c r="M1181" s="142" t="n"/>
      <c r="N1181" s="146">
        <f>IF(AND(AND(F1181="",G1181=""),B1181="",C1181="",D1181="",J1181="",K1181="",L1181=""),"",IF(AND(F1181="",G1181=""),"✗ 没填金额",IF(AND(N(F1181)&lt;&gt;0,N(G1181)&lt;&gt;0),"✗ 收入、支出只能填一边",IF(NOT(ISNUMBER(B1181)),"✗ 日期不是真日期（要像 2026/9/25 这样填）",IF(OR(B1181&lt;年初日,B1181&gt;年末日),"✗ 日期不在本会计年度",IF(C1181="","✗ 没选账户",IF(COUNTIF(基础资料!$W$5:$W$24,C1181)=0,"✗ 账户不在基础资料里",IF(O1181="","✗ 没选收支项目",IF(P1181="未知","✗ 收支项目不在基础资料里",IF(AND(P1181="应收",J1181=""),"✗ 这笔要选客户",IF(AND(P1181="应收",COUNTIF(总览汇总!$B$5:$B$304,J1181)=0),"✗ 客户不在总览汇总名单里",IF(AND(P1181="应付",K1181=""),"✗ 这笔要选供应商",IF(AND(P1181="应付",COUNTIF(基础资料!$Q$5:$Q$54,K1181)=0),"✗ 供应商不在基础资料里",IF(AND(P1181="费用",L1181=""),"✗ 费用支出要选费用项目",IF(AND(L1181&lt;&gt;"",COUNTIF(基础资料!$AI$5:$AI$54,L1181)=0),"✗ 费用项目不在基础资料里",IF(AND(IFERROR(INDEX(基础资料!$AD$5:$AD$34,MATCH(O1181,基础资料!$AC$5:$AC$34,0)),"")="收",N(G1181)&lt;&gt;0),"✗ 这类是收款，金额填到收入列",IF(AND(IFERROR(INDEX(基础资料!$AD$5:$AD$34,MATCH(O1181,基础资料!$AC$5:$AC$34,0)),"")="支",N(F1181)&lt;&gt;0),"✗ 这类是付款，金额填到支出列",IF(N(H1181)&lt;0,"⚠ 账户余额成负数了，核对一下","√"))))))))))))))))))</f>
      </c>
      <c r="O1181" s="78">
        <f>IF(D1181&lt;&gt;"",D1181,IF(AND(F1181="",G1181=""),"",IF(J1181&lt;&gt;"",IF(N(F1181)&gt;0,"客户回款","客户退款"),IF(K1181&lt;&gt;"",IF(N(G1181)&gt;0,"供应商付款","供应商退款"),IF(L1181&lt;&gt;"","费用支出","")))))</f>
      </c>
      <c r="P1181" s="78">
        <f>IF(O1181="","",IFERROR(INDEX(基础资料!$AE$5:$AE$34,MATCH(O1181,基础资料!$AC$5:$AC$34,0)),"未知"))</f>
      </c>
      <c r="Q1181" s="78">
        <f>IF(P1181="应收",COUNTIF(P$7:P1181,"应收"),"")</f>
      </c>
      <c r="R1181" s="78">
        <f>IF(P1181="应付",COUNTIF(P$7:P1181,"应付"),"")</f>
      </c>
      <c r="S1181" s="78">
        <f>N(F1181)-N(G1181)</f>
        <v>0</v>
      </c>
    </row>
    <row r="1182">
      <c r="A1182" s="109">
        <f>IF(AND(F1182="",G1182=""),"",ROW()-6)</f>
      </c>
      <c r="B1182" s="140" t="n"/>
      <c r="C1182" s="141" t="n"/>
      <c r="D1182" s="141" t="n"/>
      <c r="E1182" s="142" t="n"/>
      <c r="F1182" s="143" t="n"/>
      <c r="G1182" s="144" t="n"/>
      <c r="H1182" s="145">
        <f>IF(OR(C1182="",AND(F1182="",G1182="")),"",SUMIF(基础资料!$W$5:$W$24,C1182,基础资料!$X$5:$X$24)+SUMIF(C$7:C1182,C1182,F$7:F1182)-SUMIF(C$7:C1182,C1182,G$7:G1182))</f>
      </c>
      <c r="I1182" s="145">
        <f>IF(AND(F1182="",G1182=""),"",SUM(基础资料!$X$5:$X$24)+SUM(F$7:F1182)-SUM(G$7:G1182))</f>
      </c>
      <c r="J1182" s="141" t="n"/>
      <c r="K1182" s="141" t="n"/>
      <c r="L1182" s="141" t="n"/>
      <c r="M1182" s="142" t="n"/>
      <c r="N1182" s="146">
        <f>IF(AND(AND(F1182="",G1182=""),B1182="",C1182="",D1182="",J1182="",K1182="",L1182=""),"",IF(AND(F1182="",G1182=""),"✗ 没填金额",IF(AND(N(F1182)&lt;&gt;0,N(G1182)&lt;&gt;0),"✗ 收入、支出只能填一边",IF(NOT(ISNUMBER(B1182)),"✗ 日期不是真日期（要像 2026/9/25 这样填）",IF(OR(B1182&lt;年初日,B1182&gt;年末日),"✗ 日期不在本会计年度",IF(C1182="","✗ 没选账户",IF(COUNTIF(基础资料!$W$5:$W$24,C1182)=0,"✗ 账户不在基础资料里",IF(O1182="","✗ 没选收支项目",IF(P1182="未知","✗ 收支项目不在基础资料里",IF(AND(P1182="应收",J1182=""),"✗ 这笔要选客户",IF(AND(P1182="应收",COUNTIF(总览汇总!$B$5:$B$304,J1182)=0),"✗ 客户不在总览汇总名单里",IF(AND(P1182="应付",K1182=""),"✗ 这笔要选供应商",IF(AND(P1182="应付",COUNTIF(基础资料!$Q$5:$Q$54,K1182)=0),"✗ 供应商不在基础资料里",IF(AND(P1182="费用",L1182=""),"✗ 费用支出要选费用项目",IF(AND(L1182&lt;&gt;"",COUNTIF(基础资料!$AI$5:$AI$54,L1182)=0),"✗ 费用项目不在基础资料里",IF(AND(IFERROR(INDEX(基础资料!$AD$5:$AD$34,MATCH(O1182,基础资料!$AC$5:$AC$34,0)),"")="收",N(G1182)&lt;&gt;0),"✗ 这类是收款，金额填到收入列",IF(AND(IFERROR(INDEX(基础资料!$AD$5:$AD$34,MATCH(O1182,基础资料!$AC$5:$AC$34,0)),"")="支",N(F1182)&lt;&gt;0),"✗ 这类是付款，金额填到支出列",IF(N(H1182)&lt;0,"⚠ 账户余额成负数了，核对一下","√"))))))))))))))))))</f>
      </c>
      <c r="O1182" s="78">
        <f>IF(D1182&lt;&gt;"",D1182,IF(AND(F1182="",G1182=""),"",IF(J1182&lt;&gt;"",IF(N(F1182)&gt;0,"客户回款","客户退款"),IF(K1182&lt;&gt;"",IF(N(G1182)&gt;0,"供应商付款","供应商退款"),IF(L1182&lt;&gt;"","费用支出","")))))</f>
      </c>
      <c r="P1182" s="78">
        <f>IF(O1182="","",IFERROR(INDEX(基础资料!$AE$5:$AE$34,MATCH(O1182,基础资料!$AC$5:$AC$34,0)),"未知"))</f>
      </c>
      <c r="Q1182" s="78">
        <f>IF(P1182="应收",COUNTIF(P$7:P1182,"应收"),"")</f>
      </c>
      <c r="R1182" s="78">
        <f>IF(P1182="应付",COUNTIF(P$7:P1182,"应付"),"")</f>
      </c>
      <c r="S1182" s="78">
        <f>N(F1182)-N(G1182)</f>
        <v>0</v>
      </c>
    </row>
    <row r="1183">
      <c r="A1183" s="109">
        <f>IF(AND(F1183="",G1183=""),"",ROW()-6)</f>
      </c>
      <c r="B1183" s="140" t="n"/>
      <c r="C1183" s="141" t="n"/>
      <c r="D1183" s="141" t="n"/>
      <c r="E1183" s="142" t="n"/>
      <c r="F1183" s="143" t="n"/>
      <c r="G1183" s="144" t="n"/>
      <c r="H1183" s="145">
        <f>IF(OR(C1183="",AND(F1183="",G1183="")),"",SUMIF(基础资料!$W$5:$W$24,C1183,基础资料!$X$5:$X$24)+SUMIF(C$7:C1183,C1183,F$7:F1183)-SUMIF(C$7:C1183,C1183,G$7:G1183))</f>
      </c>
      <c r="I1183" s="145">
        <f>IF(AND(F1183="",G1183=""),"",SUM(基础资料!$X$5:$X$24)+SUM(F$7:F1183)-SUM(G$7:G1183))</f>
      </c>
      <c r="J1183" s="141" t="n"/>
      <c r="K1183" s="141" t="n"/>
      <c r="L1183" s="141" t="n"/>
      <c r="M1183" s="142" t="n"/>
      <c r="N1183" s="146">
        <f>IF(AND(AND(F1183="",G1183=""),B1183="",C1183="",D1183="",J1183="",K1183="",L1183=""),"",IF(AND(F1183="",G1183=""),"✗ 没填金额",IF(AND(N(F1183)&lt;&gt;0,N(G1183)&lt;&gt;0),"✗ 收入、支出只能填一边",IF(NOT(ISNUMBER(B1183)),"✗ 日期不是真日期（要像 2026/9/25 这样填）",IF(OR(B1183&lt;年初日,B1183&gt;年末日),"✗ 日期不在本会计年度",IF(C1183="","✗ 没选账户",IF(COUNTIF(基础资料!$W$5:$W$24,C1183)=0,"✗ 账户不在基础资料里",IF(O1183="","✗ 没选收支项目",IF(P1183="未知","✗ 收支项目不在基础资料里",IF(AND(P1183="应收",J1183=""),"✗ 这笔要选客户",IF(AND(P1183="应收",COUNTIF(总览汇总!$B$5:$B$304,J1183)=0),"✗ 客户不在总览汇总名单里",IF(AND(P1183="应付",K1183=""),"✗ 这笔要选供应商",IF(AND(P1183="应付",COUNTIF(基础资料!$Q$5:$Q$54,K1183)=0),"✗ 供应商不在基础资料里",IF(AND(P1183="费用",L1183=""),"✗ 费用支出要选费用项目",IF(AND(L1183&lt;&gt;"",COUNTIF(基础资料!$AI$5:$AI$54,L1183)=0),"✗ 费用项目不在基础资料里",IF(AND(IFERROR(INDEX(基础资料!$AD$5:$AD$34,MATCH(O1183,基础资料!$AC$5:$AC$34,0)),"")="收",N(G1183)&lt;&gt;0),"✗ 这类是收款，金额填到收入列",IF(AND(IFERROR(INDEX(基础资料!$AD$5:$AD$34,MATCH(O1183,基础资料!$AC$5:$AC$34,0)),"")="支",N(F1183)&lt;&gt;0),"✗ 这类是付款，金额填到支出列",IF(N(H1183)&lt;0,"⚠ 账户余额成负数了，核对一下","√"))))))))))))))))))</f>
      </c>
      <c r="O1183" s="78">
        <f>IF(D1183&lt;&gt;"",D1183,IF(AND(F1183="",G1183=""),"",IF(J1183&lt;&gt;"",IF(N(F1183)&gt;0,"客户回款","客户退款"),IF(K1183&lt;&gt;"",IF(N(G1183)&gt;0,"供应商付款","供应商退款"),IF(L1183&lt;&gt;"","费用支出","")))))</f>
      </c>
      <c r="P1183" s="78">
        <f>IF(O1183="","",IFERROR(INDEX(基础资料!$AE$5:$AE$34,MATCH(O1183,基础资料!$AC$5:$AC$34,0)),"未知"))</f>
      </c>
      <c r="Q1183" s="78">
        <f>IF(P1183="应收",COUNTIF(P$7:P1183,"应收"),"")</f>
      </c>
      <c r="R1183" s="78">
        <f>IF(P1183="应付",COUNTIF(P$7:P1183,"应付"),"")</f>
      </c>
      <c r="S1183" s="78">
        <f>N(F1183)-N(G1183)</f>
        <v>0</v>
      </c>
    </row>
    <row r="1184">
      <c r="A1184" s="109">
        <f>IF(AND(F1184="",G1184=""),"",ROW()-6)</f>
      </c>
      <c r="B1184" s="140" t="n"/>
      <c r="C1184" s="141" t="n"/>
      <c r="D1184" s="141" t="n"/>
      <c r="E1184" s="142" t="n"/>
      <c r="F1184" s="143" t="n"/>
      <c r="G1184" s="144" t="n"/>
      <c r="H1184" s="145">
        <f>IF(OR(C1184="",AND(F1184="",G1184="")),"",SUMIF(基础资料!$W$5:$W$24,C1184,基础资料!$X$5:$X$24)+SUMIF(C$7:C1184,C1184,F$7:F1184)-SUMIF(C$7:C1184,C1184,G$7:G1184))</f>
      </c>
      <c r="I1184" s="145">
        <f>IF(AND(F1184="",G1184=""),"",SUM(基础资料!$X$5:$X$24)+SUM(F$7:F1184)-SUM(G$7:G1184))</f>
      </c>
      <c r="J1184" s="141" t="n"/>
      <c r="K1184" s="141" t="n"/>
      <c r="L1184" s="141" t="n"/>
      <c r="M1184" s="142" t="n"/>
      <c r="N1184" s="146">
        <f>IF(AND(AND(F1184="",G1184=""),B1184="",C1184="",D1184="",J1184="",K1184="",L1184=""),"",IF(AND(F1184="",G1184=""),"✗ 没填金额",IF(AND(N(F1184)&lt;&gt;0,N(G1184)&lt;&gt;0),"✗ 收入、支出只能填一边",IF(NOT(ISNUMBER(B1184)),"✗ 日期不是真日期（要像 2026/9/25 这样填）",IF(OR(B1184&lt;年初日,B1184&gt;年末日),"✗ 日期不在本会计年度",IF(C1184="","✗ 没选账户",IF(COUNTIF(基础资料!$W$5:$W$24,C1184)=0,"✗ 账户不在基础资料里",IF(O1184="","✗ 没选收支项目",IF(P1184="未知","✗ 收支项目不在基础资料里",IF(AND(P1184="应收",J1184=""),"✗ 这笔要选客户",IF(AND(P1184="应收",COUNTIF(总览汇总!$B$5:$B$304,J1184)=0),"✗ 客户不在总览汇总名单里",IF(AND(P1184="应付",K1184=""),"✗ 这笔要选供应商",IF(AND(P1184="应付",COUNTIF(基础资料!$Q$5:$Q$54,K1184)=0),"✗ 供应商不在基础资料里",IF(AND(P1184="费用",L1184=""),"✗ 费用支出要选费用项目",IF(AND(L1184&lt;&gt;"",COUNTIF(基础资料!$AI$5:$AI$54,L1184)=0),"✗ 费用项目不在基础资料里",IF(AND(IFERROR(INDEX(基础资料!$AD$5:$AD$34,MATCH(O1184,基础资料!$AC$5:$AC$34,0)),"")="收",N(G1184)&lt;&gt;0),"✗ 这类是收款，金额填到收入列",IF(AND(IFERROR(INDEX(基础资料!$AD$5:$AD$34,MATCH(O1184,基础资料!$AC$5:$AC$34,0)),"")="支",N(F1184)&lt;&gt;0),"✗ 这类是付款，金额填到支出列",IF(N(H1184)&lt;0,"⚠ 账户余额成负数了，核对一下","√"))))))))))))))))))</f>
      </c>
      <c r="O1184" s="78">
        <f>IF(D1184&lt;&gt;"",D1184,IF(AND(F1184="",G1184=""),"",IF(J1184&lt;&gt;"",IF(N(F1184)&gt;0,"客户回款","客户退款"),IF(K1184&lt;&gt;"",IF(N(G1184)&gt;0,"供应商付款","供应商退款"),IF(L1184&lt;&gt;"","费用支出","")))))</f>
      </c>
      <c r="P1184" s="78">
        <f>IF(O1184="","",IFERROR(INDEX(基础资料!$AE$5:$AE$34,MATCH(O1184,基础资料!$AC$5:$AC$34,0)),"未知"))</f>
      </c>
      <c r="Q1184" s="78">
        <f>IF(P1184="应收",COUNTIF(P$7:P1184,"应收"),"")</f>
      </c>
      <c r="R1184" s="78">
        <f>IF(P1184="应付",COUNTIF(P$7:P1184,"应付"),"")</f>
      </c>
      <c r="S1184" s="78">
        <f>N(F1184)-N(G1184)</f>
        <v>0</v>
      </c>
    </row>
    <row r="1185">
      <c r="A1185" s="109">
        <f>IF(AND(F1185="",G1185=""),"",ROW()-6)</f>
      </c>
      <c r="B1185" s="140" t="n"/>
      <c r="C1185" s="141" t="n"/>
      <c r="D1185" s="141" t="n"/>
      <c r="E1185" s="142" t="n"/>
      <c r="F1185" s="143" t="n"/>
      <c r="G1185" s="144" t="n"/>
      <c r="H1185" s="145">
        <f>IF(OR(C1185="",AND(F1185="",G1185="")),"",SUMIF(基础资料!$W$5:$W$24,C1185,基础资料!$X$5:$X$24)+SUMIF(C$7:C1185,C1185,F$7:F1185)-SUMIF(C$7:C1185,C1185,G$7:G1185))</f>
      </c>
      <c r="I1185" s="145">
        <f>IF(AND(F1185="",G1185=""),"",SUM(基础资料!$X$5:$X$24)+SUM(F$7:F1185)-SUM(G$7:G1185))</f>
      </c>
      <c r="J1185" s="141" t="n"/>
      <c r="K1185" s="141" t="n"/>
      <c r="L1185" s="141" t="n"/>
      <c r="M1185" s="142" t="n"/>
      <c r="N1185" s="146">
        <f>IF(AND(AND(F1185="",G1185=""),B1185="",C1185="",D1185="",J1185="",K1185="",L1185=""),"",IF(AND(F1185="",G1185=""),"✗ 没填金额",IF(AND(N(F1185)&lt;&gt;0,N(G1185)&lt;&gt;0),"✗ 收入、支出只能填一边",IF(NOT(ISNUMBER(B1185)),"✗ 日期不是真日期（要像 2026/9/25 这样填）",IF(OR(B1185&lt;年初日,B1185&gt;年末日),"✗ 日期不在本会计年度",IF(C1185="","✗ 没选账户",IF(COUNTIF(基础资料!$W$5:$W$24,C1185)=0,"✗ 账户不在基础资料里",IF(O1185="","✗ 没选收支项目",IF(P1185="未知","✗ 收支项目不在基础资料里",IF(AND(P1185="应收",J1185=""),"✗ 这笔要选客户",IF(AND(P1185="应收",COUNTIF(总览汇总!$B$5:$B$304,J1185)=0),"✗ 客户不在总览汇总名单里",IF(AND(P1185="应付",K1185=""),"✗ 这笔要选供应商",IF(AND(P1185="应付",COUNTIF(基础资料!$Q$5:$Q$54,K1185)=0),"✗ 供应商不在基础资料里",IF(AND(P1185="费用",L1185=""),"✗ 费用支出要选费用项目",IF(AND(L1185&lt;&gt;"",COUNTIF(基础资料!$AI$5:$AI$54,L1185)=0),"✗ 费用项目不在基础资料里",IF(AND(IFERROR(INDEX(基础资料!$AD$5:$AD$34,MATCH(O1185,基础资料!$AC$5:$AC$34,0)),"")="收",N(G1185)&lt;&gt;0),"✗ 这类是收款，金额填到收入列",IF(AND(IFERROR(INDEX(基础资料!$AD$5:$AD$34,MATCH(O1185,基础资料!$AC$5:$AC$34,0)),"")="支",N(F1185)&lt;&gt;0),"✗ 这类是付款，金额填到支出列",IF(N(H1185)&lt;0,"⚠ 账户余额成负数了，核对一下","√"))))))))))))))))))</f>
      </c>
      <c r="O1185" s="78">
        <f>IF(D1185&lt;&gt;"",D1185,IF(AND(F1185="",G1185=""),"",IF(J1185&lt;&gt;"",IF(N(F1185)&gt;0,"客户回款","客户退款"),IF(K1185&lt;&gt;"",IF(N(G1185)&gt;0,"供应商付款","供应商退款"),IF(L1185&lt;&gt;"","费用支出","")))))</f>
      </c>
      <c r="P1185" s="78">
        <f>IF(O1185="","",IFERROR(INDEX(基础资料!$AE$5:$AE$34,MATCH(O1185,基础资料!$AC$5:$AC$34,0)),"未知"))</f>
      </c>
      <c r="Q1185" s="78">
        <f>IF(P1185="应收",COUNTIF(P$7:P1185,"应收"),"")</f>
      </c>
      <c r="R1185" s="78">
        <f>IF(P1185="应付",COUNTIF(P$7:P1185,"应付"),"")</f>
      </c>
      <c r="S1185" s="78">
        <f>N(F1185)-N(G1185)</f>
        <v>0</v>
      </c>
    </row>
    <row r="1186">
      <c r="A1186" s="109">
        <f>IF(AND(F1186="",G1186=""),"",ROW()-6)</f>
      </c>
      <c r="B1186" s="140" t="n"/>
      <c r="C1186" s="141" t="n"/>
      <c r="D1186" s="141" t="n"/>
      <c r="E1186" s="142" t="n"/>
      <c r="F1186" s="143" t="n"/>
      <c r="G1186" s="144" t="n"/>
      <c r="H1186" s="145">
        <f>IF(OR(C1186="",AND(F1186="",G1186="")),"",SUMIF(基础资料!$W$5:$W$24,C1186,基础资料!$X$5:$X$24)+SUMIF(C$7:C1186,C1186,F$7:F1186)-SUMIF(C$7:C1186,C1186,G$7:G1186))</f>
      </c>
      <c r="I1186" s="145">
        <f>IF(AND(F1186="",G1186=""),"",SUM(基础资料!$X$5:$X$24)+SUM(F$7:F1186)-SUM(G$7:G1186))</f>
      </c>
      <c r="J1186" s="141" t="n"/>
      <c r="K1186" s="141" t="n"/>
      <c r="L1186" s="141" t="n"/>
      <c r="M1186" s="142" t="n"/>
      <c r="N1186" s="146">
        <f>IF(AND(AND(F1186="",G1186=""),B1186="",C1186="",D1186="",J1186="",K1186="",L1186=""),"",IF(AND(F1186="",G1186=""),"✗ 没填金额",IF(AND(N(F1186)&lt;&gt;0,N(G1186)&lt;&gt;0),"✗ 收入、支出只能填一边",IF(NOT(ISNUMBER(B1186)),"✗ 日期不是真日期（要像 2026/9/25 这样填）",IF(OR(B1186&lt;年初日,B1186&gt;年末日),"✗ 日期不在本会计年度",IF(C1186="","✗ 没选账户",IF(COUNTIF(基础资料!$W$5:$W$24,C1186)=0,"✗ 账户不在基础资料里",IF(O1186="","✗ 没选收支项目",IF(P1186="未知","✗ 收支项目不在基础资料里",IF(AND(P1186="应收",J1186=""),"✗ 这笔要选客户",IF(AND(P1186="应收",COUNTIF(总览汇总!$B$5:$B$304,J1186)=0),"✗ 客户不在总览汇总名单里",IF(AND(P1186="应付",K1186=""),"✗ 这笔要选供应商",IF(AND(P1186="应付",COUNTIF(基础资料!$Q$5:$Q$54,K1186)=0),"✗ 供应商不在基础资料里",IF(AND(P1186="费用",L1186=""),"✗ 费用支出要选费用项目",IF(AND(L1186&lt;&gt;"",COUNTIF(基础资料!$AI$5:$AI$54,L1186)=0),"✗ 费用项目不在基础资料里",IF(AND(IFERROR(INDEX(基础资料!$AD$5:$AD$34,MATCH(O1186,基础资料!$AC$5:$AC$34,0)),"")="收",N(G1186)&lt;&gt;0),"✗ 这类是收款，金额填到收入列",IF(AND(IFERROR(INDEX(基础资料!$AD$5:$AD$34,MATCH(O1186,基础资料!$AC$5:$AC$34,0)),"")="支",N(F1186)&lt;&gt;0),"✗ 这类是付款，金额填到支出列",IF(N(H1186)&lt;0,"⚠ 账户余额成负数了，核对一下","√"))))))))))))))))))</f>
      </c>
      <c r="O1186" s="78">
        <f>IF(D1186&lt;&gt;"",D1186,IF(AND(F1186="",G1186=""),"",IF(J1186&lt;&gt;"",IF(N(F1186)&gt;0,"客户回款","客户退款"),IF(K1186&lt;&gt;"",IF(N(G1186)&gt;0,"供应商付款","供应商退款"),IF(L1186&lt;&gt;"","费用支出","")))))</f>
      </c>
      <c r="P1186" s="78">
        <f>IF(O1186="","",IFERROR(INDEX(基础资料!$AE$5:$AE$34,MATCH(O1186,基础资料!$AC$5:$AC$34,0)),"未知"))</f>
      </c>
      <c r="Q1186" s="78">
        <f>IF(P1186="应收",COUNTIF(P$7:P1186,"应收"),"")</f>
      </c>
      <c r="R1186" s="78">
        <f>IF(P1186="应付",COUNTIF(P$7:P1186,"应付"),"")</f>
      </c>
      <c r="S1186" s="78">
        <f>N(F1186)-N(G1186)</f>
        <v>0</v>
      </c>
    </row>
    <row r="1187">
      <c r="A1187" s="109">
        <f>IF(AND(F1187="",G1187=""),"",ROW()-6)</f>
      </c>
      <c r="B1187" s="140" t="n"/>
      <c r="C1187" s="141" t="n"/>
      <c r="D1187" s="141" t="n"/>
      <c r="E1187" s="142" t="n"/>
      <c r="F1187" s="143" t="n"/>
      <c r="G1187" s="144" t="n"/>
      <c r="H1187" s="145">
        <f>IF(OR(C1187="",AND(F1187="",G1187="")),"",SUMIF(基础资料!$W$5:$W$24,C1187,基础资料!$X$5:$X$24)+SUMIF(C$7:C1187,C1187,F$7:F1187)-SUMIF(C$7:C1187,C1187,G$7:G1187))</f>
      </c>
      <c r="I1187" s="145">
        <f>IF(AND(F1187="",G1187=""),"",SUM(基础资料!$X$5:$X$24)+SUM(F$7:F1187)-SUM(G$7:G1187))</f>
      </c>
      <c r="J1187" s="141" t="n"/>
      <c r="K1187" s="141" t="n"/>
      <c r="L1187" s="141" t="n"/>
      <c r="M1187" s="142" t="n"/>
      <c r="N1187" s="146">
        <f>IF(AND(AND(F1187="",G1187=""),B1187="",C1187="",D1187="",J1187="",K1187="",L1187=""),"",IF(AND(F1187="",G1187=""),"✗ 没填金额",IF(AND(N(F1187)&lt;&gt;0,N(G1187)&lt;&gt;0),"✗ 收入、支出只能填一边",IF(NOT(ISNUMBER(B1187)),"✗ 日期不是真日期（要像 2026/9/25 这样填）",IF(OR(B1187&lt;年初日,B1187&gt;年末日),"✗ 日期不在本会计年度",IF(C1187="","✗ 没选账户",IF(COUNTIF(基础资料!$W$5:$W$24,C1187)=0,"✗ 账户不在基础资料里",IF(O1187="","✗ 没选收支项目",IF(P1187="未知","✗ 收支项目不在基础资料里",IF(AND(P1187="应收",J1187=""),"✗ 这笔要选客户",IF(AND(P1187="应收",COUNTIF(总览汇总!$B$5:$B$304,J1187)=0),"✗ 客户不在总览汇总名单里",IF(AND(P1187="应付",K1187=""),"✗ 这笔要选供应商",IF(AND(P1187="应付",COUNTIF(基础资料!$Q$5:$Q$54,K1187)=0),"✗ 供应商不在基础资料里",IF(AND(P1187="费用",L1187=""),"✗ 费用支出要选费用项目",IF(AND(L1187&lt;&gt;"",COUNTIF(基础资料!$AI$5:$AI$54,L1187)=0),"✗ 费用项目不在基础资料里",IF(AND(IFERROR(INDEX(基础资料!$AD$5:$AD$34,MATCH(O1187,基础资料!$AC$5:$AC$34,0)),"")="收",N(G1187)&lt;&gt;0),"✗ 这类是收款，金额填到收入列",IF(AND(IFERROR(INDEX(基础资料!$AD$5:$AD$34,MATCH(O1187,基础资料!$AC$5:$AC$34,0)),"")="支",N(F1187)&lt;&gt;0),"✗ 这类是付款，金额填到支出列",IF(N(H1187)&lt;0,"⚠ 账户余额成负数了，核对一下","√"))))))))))))))))))</f>
      </c>
      <c r="O1187" s="78">
        <f>IF(D1187&lt;&gt;"",D1187,IF(AND(F1187="",G1187=""),"",IF(J1187&lt;&gt;"",IF(N(F1187)&gt;0,"客户回款","客户退款"),IF(K1187&lt;&gt;"",IF(N(G1187)&gt;0,"供应商付款","供应商退款"),IF(L1187&lt;&gt;"","费用支出","")))))</f>
      </c>
      <c r="P1187" s="78">
        <f>IF(O1187="","",IFERROR(INDEX(基础资料!$AE$5:$AE$34,MATCH(O1187,基础资料!$AC$5:$AC$34,0)),"未知"))</f>
      </c>
      <c r="Q1187" s="78">
        <f>IF(P1187="应收",COUNTIF(P$7:P1187,"应收"),"")</f>
      </c>
      <c r="R1187" s="78">
        <f>IF(P1187="应付",COUNTIF(P$7:P1187,"应付"),"")</f>
      </c>
      <c r="S1187" s="78">
        <f>N(F1187)-N(G1187)</f>
        <v>0</v>
      </c>
    </row>
    <row r="1188">
      <c r="A1188" s="109">
        <f>IF(AND(F1188="",G1188=""),"",ROW()-6)</f>
      </c>
      <c r="B1188" s="140" t="n"/>
      <c r="C1188" s="141" t="n"/>
      <c r="D1188" s="141" t="n"/>
      <c r="E1188" s="142" t="n"/>
      <c r="F1188" s="143" t="n"/>
      <c r="G1188" s="144" t="n"/>
      <c r="H1188" s="145">
        <f>IF(OR(C1188="",AND(F1188="",G1188="")),"",SUMIF(基础资料!$W$5:$W$24,C1188,基础资料!$X$5:$X$24)+SUMIF(C$7:C1188,C1188,F$7:F1188)-SUMIF(C$7:C1188,C1188,G$7:G1188))</f>
      </c>
      <c r="I1188" s="145">
        <f>IF(AND(F1188="",G1188=""),"",SUM(基础资料!$X$5:$X$24)+SUM(F$7:F1188)-SUM(G$7:G1188))</f>
      </c>
      <c r="J1188" s="141" t="n"/>
      <c r="K1188" s="141" t="n"/>
      <c r="L1188" s="141" t="n"/>
      <c r="M1188" s="142" t="n"/>
      <c r="N1188" s="146">
        <f>IF(AND(AND(F1188="",G1188=""),B1188="",C1188="",D1188="",J1188="",K1188="",L1188=""),"",IF(AND(F1188="",G1188=""),"✗ 没填金额",IF(AND(N(F1188)&lt;&gt;0,N(G1188)&lt;&gt;0),"✗ 收入、支出只能填一边",IF(NOT(ISNUMBER(B1188)),"✗ 日期不是真日期（要像 2026/9/25 这样填）",IF(OR(B1188&lt;年初日,B1188&gt;年末日),"✗ 日期不在本会计年度",IF(C1188="","✗ 没选账户",IF(COUNTIF(基础资料!$W$5:$W$24,C1188)=0,"✗ 账户不在基础资料里",IF(O1188="","✗ 没选收支项目",IF(P1188="未知","✗ 收支项目不在基础资料里",IF(AND(P1188="应收",J1188=""),"✗ 这笔要选客户",IF(AND(P1188="应收",COUNTIF(总览汇总!$B$5:$B$304,J1188)=0),"✗ 客户不在总览汇总名单里",IF(AND(P1188="应付",K1188=""),"✗ 这笔要选供应商",IF(AND(P1188="应付",COUNTIF(基础资料!$Q$5:$Q$54,K1188)=0),"✗ 供应商不在基础资料里",IF(AND(P1188="费用",L1188=""),"✗ 费用支出要选费用项目",IF(AND(L1188&lt;&gt;"",COUNTIF(基础资料!$AI$5:$AI$54,L1188)=0),"✗ 费用项目不在基础资料里",IF(AND(IFERROR(INDEX(基础资料!$AD$5:$AD$34,MATCH(O1188,基础资料!$AC$5:$AC$34,0)),"")="收",N(G1188)&lt;&gt;0),"✗ 这类是收款，金额填到收入列",IF(AND(IFERROR(INDEX(基础资料!$AD$5:$AD$34,MATCH(O1188,基础资料!$AC$5:$AC$34,0)),"")="支",N(F1188)&lt;&gt;0),"✗ 这类是付款，金额填到支出列",IF(N(H1188)&lt;0,"⚠ 账户余额成负数了，核对一下","√"))))))))))))))))))</f>
      </c>
      <c r="O1188" s="78">
        <f>IF(D1188&lt;&gt;"",D1188,IF(AND(F1188="",G1188=""),"",IF(J1188&lt;&gt;"",IF(N(F1188)&gt;0,"客户回款","客户退款"),IF(K1188&lt;&gt;"",IF(N(G1188)&gt;0,"供应商付款","供应商退款"),IF(L1188&lt;&gt;"","费用支出","")))))</f>
      </c>
      <c r="P1188" s="78">
        <f>IF(O1188="","",IFERROR(INDEX(基础资料!$AE$5:$AE$34,MATCH(O1188,基础资料!$AC$5:$AC$34,0)),"未知"))</f>
      </c>
      <c r="Q1188" s="78">
        <f>IF(P1188="应收",COUNTIF(P$7:P1188,"应收"),"")</f>
      </c>
      <c r="R1188" s="78">
        <f>IF(P1188="应付",COUNTIF(P$7:P1188,"应付"),"")</f>
      </c>
      <c r="S1188" s="78">
        <f>N(F1188)-N(G1188)</f>
        <v>0</v>
      </c>
    </row>
    <row r="1189">
      <c r="A1189" s="109">
        <f>IF(AND(F1189="",G1189=""),"",ROW()-6)</f>
      </c>
      <c r="B1189" s="140" t="n"/>
      <c r="C1189" s="141" t="n"/>
      <c r="D1189" s="141" t="n"/>
      <c r="E1189" s="142" t="n"/>
      <c r="F1189" s="143" t="n"/>
      <c r="G1189" s="144" t="n"/>
      <c r="H1189" s="145">
        <f>IF(OR(C1189="",AND(F1189="",G1189="")),"",SUMIF(基础资料!$W$5:$W$24,C1189,基础资料!$X$5:$X$24)+SUMIF(C$7:C1189,C1189,F$7:F1189)-SUMIF(C$7:C1189,C1189,G$7:G1189))</f>
      </c>
      <c r="I1189" s="145">
        <f>IF(AND(F1189="",G1189=""),"",SUM(基础资料!$X$5:$X$24)+SUM(F$7:F1189)-SUM(G$7:G1189))</f>
      </c>
      <c r="J1189" s="141" t="n"/>
      <c r="K1189" s="141" t="n"/>
      <c r="L1189" s="141" t="n"/>
      <c r="M1189" s="142" t="n"/>
      <c r="N1189" s="146">
        <f>IF(AND(AND(F1189="",G1189=""),B1189="",C1189="",D1189="",J1189="",K1189="",L1189=""),"",IF(AND(F1189="",G1189=""),"✗ 没填金额",IF(AND(N(F1189)&lt;&gt;0,N(G1189)&lt;&gt;0),"✗ 收入、支出只能填一边",IF(NOT(ISNUMBER(B1189)),"✗ 日期不是真日期（要像 2026/9/25 这样填）",IF(OR(B1189&lt;年初日,B1189&gt;年末日),"✗ 日期不在本会计年度",IF(C1189="","✗ 没选账户",IF(COUNTIF(基础资料!$W$5:$W$24,C1189)=0,"✗ 账户不在基础资料里",IF(O1189="","✗ 没选收支项目",IF(P1189="未知","✗ 收支项目不在基础资料里",IF(AND(P1189="应收",J1189=""),"✗ 这笔要选客户",IF(AND(P1189="应收",COUNTIF(总览汇总!$B$5:$B$304,J1189)=0),"✗ 客户不在总览汇总名单里",IF(AND(P1189="应付",K1189=""),"✗ 这笔要选供应商",IF(AND(P1189="应付",COUNTIF(基础资料!$Q$5:$Q$54,K1189)=0),"✗ 供应商不在基础资料里",IF(AND(P1189="费用",L1189=""),"✗ 费用支出要选费用项目",IF(AND(L1189&lt;&gt;"",COUNTIF(基础资料!$AI$5:$AI$54,L1189)=0),"✗ 费用项目不在基础资料里",IF(AND(IFERROR(INDEX(基础资料!$AD$5:$AD$34,MATCH(O1189,基础资料!$AC$5:$AC$34,0)),"")="收",N(G1189)&lt;&gt;0),"✗ 这类是收款，金额填到收入列",IF(AND(IFERROR(INDEX(基础资料!$AD$5:$AD$34,MATCH(O1189,基础资料!$AC$5:$AC$34,0)),"")="支",N(F1189)&lt;&gt;0),"✗ 这类是付款，金额填到支出列",IF(N(H1189)&lt;0,"⚠ 账户余额成负数了，核对一下","√"))))))))))))))))))</f>
      </c>
      <c r="O1189" s="78">
        <f>IF(D1189&lt;&gt;"",D1189,IF(AND(F1189="",G1189=""),"",IF(J1189&lt;&gt;"",IF(N(F1189)&gt;0,"客户回款","客户退款"),IF(K1189&lt;&gt;"",IF(N(G1189)&gt;0,"供应商付款","供应商退款"),IF(L1189&lt;&gt;"","费用支出","")))))</f>
      </c>
      <c r="P1189" s="78">
        <f>IF(O1189="","",IFERROR(INDEX(基础资料!$AE$5:$AE$34,MATCH(O1189,基础资料!$AC$5:$AC$34,0)),"未知"))</f>
      </c>
      <c r="Q1189" s="78">
        <f>IF(P1189="应收",COUNTIF(P$7:P1189,"应收"),"")</f>
      </c>
      <c r="R1189" s="78">
        <f>IF(P1189="应付",COUNTIF(P$7:P1189,"应付"),"")</f>
      </c>
      <c r="S1189" s="78">
        <f>N(F1189)-N(G1189)</f>
        <v>0</v>
      </c>
    </row>
    <row r="1190">
      <c r="A1190" s="109">
        <f>IF(AND(F1190="",G1190=""),"",ROW()-6)</f>
      </c>
      <c r="B1190" s="140" t="n"/>
      <c r="C1190" s="141" t="n"/>
      <c r="D1190" s="141" t="n"/>
      <c r="E1190" s="142" t="n"/>
      <c r="F1190" s="143" t="n"/>
      <c r="G1190" s="144" t="n"/>
      <c r="H1190" s="145">
        <f>IF(OR(C1190="",AND(F1190="",G1190="")),"",SUMIF(基础资料!$W$5:$W$24,C1190,基础资料!$X$5:$X$24)+SUMIF(C$7:C1190,C1190,F$7:F1190)-SUMIF(C$7:C1190,C1190,G$7:G1190))</f>
      </c>
      <c r="I1190" s="145">
        <f>IF(AND(F1190="",G1190=""),"",SUM(基础资料!$X$5:$X$24)+SUM(F$7:F1190)-SUM(G$7:G1190))</f>
      </c>
      <c r="J1190" s="141" t="n"/>
      <c r="K1190" s="141" t="n"/>
      <c r="L1190" s="141" t="n"/>
      <c r="M1190" s="142" t="n"/>
      <c r="N1190" s="146">
        <f>IF(AND(AND(F1190="",G1190=""),B1190="",C1190="",D1190="",J1190="",K1190="",L1190=""),"",IF(AND(F1190="",G1190=""),"✗ 没填金额",IF(AND(N(F1190)&lt;&gt;0,N(G1190)&lt;&gt;0),"✗ 收入、支出只能填一边",IF(NOT(ISNUMBER(B1190)),"✗ 日期不是真日期（要像 2026/9/25 这样填）",IF(OR(B1190&lt;年初日,B1190&gt;年末日),"✗ 日期不在本会计年度",IF(C1190="","✗ 没选账户",IF(COUNTIF(基础资料!$W$5:$W$24,C1190)=0,"✗ 账户不在基础资料里",IF(O1190="","✗ 没选收支项目",IF(P1190="未知","✗ 收支项目不在基础资料里",IF(AND(P1190="应收",J1190=""),"✗ 这笔要选客户",IF(AND(P1190="应收",COUNTIF(总览汇总!$B$5:$B$304,J1190)=0),"✗ 客户不在总览汇总名单里",IF(AND(P1190="应付",K1190=""),"✗ 这笔要选供应商",IF(AND(P1190="应付",COUNTIF(基础资料!$Q$5:$Q$54,K1190)=0),"✗ 供应商不在基础资料里",IF(AND(P1190="费用",L1190=""),"✗ 费用支出要选费用项目",IF(AND(L1190&lt;&gt;"",COUNTIF(基础资料!$AI$5:$AI$54,L1190)=0),"✗ 费用项目不在基础资料里",IF(AND(IFERROR(INDEX(基础资料!$AD$5:$AD$34,MATCH(O1190,基础资料!$AC$5:$AC$34,0)),"")="收",N(G1190)&lt;&gt;0),"✗ 这类是收款，金额填到收入列",IF(AND(IFERROR(INDEX(基础资料!$AD$5:$AD$34,MATCH(O1190,基础资料!$AC$5:$AC$34,0)),"")="支",N(F1190)&lt;&gt;0),"✗ 这类是付款，金额填到支出列",IF(N(H1190)&lt;0,"⚠ 账户余额成负数了，核对一下","√"))))))))))))))))))</f>
      </c>
      <c r="O1190" s="78">
        <f>IF(D1190&lt;&gt;"",D1190,IF(AND(F1190="",G1190=""),"",IF(J1190&lt;&gt;"",IF(N(F1190)&gt;0,"客户回款","客户退款"),IF(K1190&lt;&gt;"",IF(N(G1190)&gt;0,"供应商付款","供应商退款"),IF(L1190&lt;&gt;"","费用支出","")))))</f>
      </c>
      <c r="P1190" s="78">
        <f>IF(O1190="","",IFERROR(INDEX(基础资料!$AE$5:$AE$34,MATCH(O1190,基础资料!$AC$5:$AC$34,0)),"未知"))</f>
      </c>
      <c r="Q1190" s="78">
        <f>IF(P1190="应收",COUNTIF(P$7:P1190,"应收"),"")</f>
      </c>
      <c r="R1190" s="78">
        <f>IF(P1190="应付",COUNTIF(P$7:P1190,"应付"),"")</f>
      </c>
      <c r="S1190" s="78">
        <f>N(F1190)-N(G1190)</f>
        <v>0</v>
      </c>
    </row>
    <row r="1191">
      <c r="A1191" s="109">
        <f>IF(AND(F1191="",G1191=""),"",ROW()-6)</f>
      </c>
      <c r="B1191" s="140" t="n"/>
      <c r="C1191" s="141" t="n"/>
      <c r="D1191" s="141" t="n"/>
      <c r="E1191" s="142" t="n"/>
      <c r="F1191" s="143" t="n"/>
      <c r="G1191" s="144" t="n"/>
      <c r="H1191" s="145">
        <f>IF(OR(C1191="",AND(F1191="",G1191="")),"",SUMIF(基础资料!$W$5:$W$24,C1191,基础资料!$X$5:$X$24)+SUMIF(C$7:C1191,C1191,F$7:F1191)-SUMIF(C$7:C1191,C1191,G$7:G1191))</f>
      </c>
      <c r="I1191" s="145">
        <f>IF(AND(F1191="",G1191=""),"",SUM(基础资料!$X$5:$X$24)+SUM(F$7:F1191)-SUM(G$7:G1191))</f>
      </c>
      <c r="J1191" s="141" t="n"/>
      <c r="K1191" s="141" t="n"/>
      <c r="L1191" s="141" t="n"/>
      <c r="M1191" s="142" t="n"/>
      <c r="N1191" s="146">
        <f>IF(AND(AND(F1191="",G1191=""),B1191="",C1191="",D1191="",J1191="",K1191="",L1191=""),"",IF(AND(F1191="",G1191=""),"✗ 没填金额",IF(AND(N(F1191)&lt;&gt;0,N(G1191)&lt;&gt;0),"✗ 收入、支出只能填一边",IF(NOT(ISNUMBER(B1191)),"✗ 日期不是真日期（要像 2026/9/25 这样填）",IF(OR(B1191&lt;年初日,B1191&gt;年末日),"✗ 日期不在本会计年度",IF(C1191="","✗ 没选账户",IF(COUNTIF(基础资料!$W$5:$W$24,C1191)=0,"✗ 账户不在基础资料里",IF(O1191="","✗ 没选收支项目",IF(P1191="未知","✗ 收支项目不在基础资料里",IF(AND(P1191="应收",J1191=""),"✗ 这笔要选客户",IF(AND(P1191="应收",COUNTIF(总览汇总!$B$5:$B$304,J1191)=0),"✗ 客户不在总览汇总名单里",IF(AND(P1191="应付",K1191=""),"✗ 这笔要选供应商",IF(AND(P1191="应付",COUNTIF(基础资料!$Q$5:$Q$54,K1191)=0),"✗ 供应商不在基础资料里",IF(AND(P1191="费用",L1191=""),"✗ 费用支出要选费用项目",IF(AND(L1191&lt;&gt;"",COUNTIF(基础资料!$AI$5:$AI$54,L1191)=0),"✗ 费用项目不在基础资料里",IF(AND(IFERROR(INDEX(基础资料!$AD$5:$AD$34,MATCH(O1191,基础资料!$AC$5:$AC$34,0)),"")="收",N(G1191)&lt;&gt;0),"✗ 这类是收款，金额填到收入列",IF(AND(IFERROR(INDEX(基础资料!$AD$5:$AD$34,MATCH(O1191,基础资料!$AC$5:$AC$34,0)),"")="支",N(F1191)&lt;&gt;0),"✗ 这类是付款，金额填到支出列",IF(N(H1191)&lt;0,"⚠ 账户余额成负数了，核对一下","√"))))))))))))))))))</f>
      </c>
      <c r="O1191" s="78">
        <f>IF(D1191&lt;&gt;"",D1191,IF(AND(F1191="",G1191=""),"",IF(J1191&lt;&gt;"",IF(N(F1191)&gt;0,"客户回款","客户退款"),IF(K1191&lt;&gt;"",IF(N(G1191)&gt;0,"供应商付款","供应商退款"),IF(L1191&lt;&gt;"","费用支出","")))))</f>
      </c>
      <c r="P1191" s="78">
        <f>IF(O1191="","",IFERROR(INDEX(基础资料!$AE$5:$AE$34,MATCH(O1191,基础资料!$AC$5:$AC$34,0)),"未知"))</f>
      </c>
      <c r="Q1191" s="78">
        <f>IF(P1191="应收",COUNTIF(P$7:P1191,"应收"),"")</f>
      </c>
      <c r="R1191" s="78">
        <f>IF(P1191="应付",COUNTIF(P$7:P1191,"应付"),"")</f>
      </c>
      <c r="S1191" s="78">
        <f>N(F1191)-N(G1191)</f>
        <v>0</v>
      </c>
    </row>
    <row r="1192">
      <c r="A1192" s="109">
        <f>IF(AND(F1192="",G1192=""),"",ROW()-6)</f>
      </c>
      <c r="B1192" s="140" t="n"/>
      <c r="C1192" s="141" t="n"/>
      <c r="D1192" s="141" t="n"/>
      <c r="E1192" s="142" t="n"/>
      <c r="F1192" s="143" t="n"/>
      <c r="G1192" s="144" t="n"/>
      <c r="H1192" s="145">
        <f>IF(OR(C1192="",AND(F1192="",G1192="")),"",SUMIF(基础资料!$W$5:$W$24,C1192,基础资料!$X$5:$X$24)+SUMIF(C$7:C1192,C1192,F$7:F1192)-SUMIF(C$7:C1192,C1192,G$7:G1192))</f>
      </c>
      <c r="I1192" s="145">
        <f>IF(AND(F1192="",G1192=""),"",SUM(基础资料!$X$5:$X$24)+SUM(F$7:F1192)-SUM(G$7:G1192))</f>
      </c>
      <c r="J1192" s="141" t="n"/>
      <c r="K1192" s="141" t="n"/>
      <c r="L1192" s="141" t="n"/>
      <c r="M1192" s="142" t="n"/>
      <c r="N1192" s="146">
        <f>IF(AND(AND(F1192="",G1192=""),B1192="",C1192="",D1192="",J1192="",K1192="",L1192=""),"",IF(AND(F1192="",G1192=""),"✗ 没填金额",IF(AND(N(F1192)&lt;&gt;0,N(G1192)&lt;&gt;0),"✗ 收入、支出只能填一边",IF(NOT(ISNUMBER(B1192)),"✗ 日期不是真日期（要像 2026/9/25 这样填）",IF(OR(B1192&lt;年初日,B1192&gt;年末日),"✗ 日期不在本会计年度",IF(C1192="","✗ 没选账户",IF(COUNTIF(基础资料!$W$5:$W$24,C1192)=0,"✗ 账户不在基础资料里",IF(O1192="","✗ 没选收支项目",IF(P1192="未知","✗ 收支项目不在基础资料里",IF(AND(P1192="应收",J1192=""),"✗ 这笔要选客户",IF(AND(P1192="应收",COUNTIF(总览汇总!$B$5:$B$304,J1192)=0),"✗ 客户不在总览汇总名单里",IF(AND(P1192="应付",K1192=""),"✗ 这笔要选供应商",IF(AND(P1192="应付",COUNTIF(基础资料!$Q$5:$Q$54,K1192)=0),"✗ 供应商不在基础资料里",IF(AND(P1192="费用",L1192=""),"✗ 费用支出要选费用项目",IF(AND(L1192&lt;&gt;"",COUNTIF(基础资料!$AI$5:$AI$54,L1192)=0),"✗ 费用项目不在基础资料里",IF(AND(IFERROR(INDEX(基础资料!$AD$5:$AD$34,MATCH(O1192,基础资料!$AC$5:$AC$34,0)),"")="收",N(G1192)&lt;&gt;0),"✗ 这类是收款，金额填到收入列",IF(AND(IFERROR(INDEX(基础资料!$AD$5:$AD$34,MATCH(O1192,基础资料!$AC$5:$AC$34,0)),"")="支",N(F1192)&lt;&gt;0),"✗ 这类是付款，金额填到支出列",IF(N(H1192)&lt;0,"⚠ 账户余额成负数了，核对一下","√"))))))))))))))))))</f>
      </c>
      <c r="O1192" s="78">
        <f>IF(D1192&lt;&gt;"",D1192,IF(AND(F1192="",G1192=""),"",IF(J1192&lt;&gt;"",IF(N(F1192)&gt;0,"客户回款","客户退款"),IF(K1192&lt;&gt;"",IF(N(G1192)&gt;0,"供应商付款","供应商退款"),IF(L1192&lt;&gt;"","费用支出","")))))</f>
      </c>
      <c r="P1192" s="78">
        <f>IF(O1192="","",IFERROR(INDEX(基础资料!$AE$5:$AE$34,MATCH(O1192,基础资料!$AC$5:$AC$34,0)),"未知"))</f>
      </c>
      <c r="Q1192" s="78">
        <f>IF(P1192="应收",COUNTIF(P$7:P1192,"应收"),"")</f>
      </c>
      <c r="R1192" s="78">
        <f>IF(P1192="应付",COUNTIF(P$7:P1192,"应付"),"")</f>
      </c>
      <c r="S1192" s="78">
        <f>N(F1192)-N(G1192)</f>
        <v>0</v>
      </c>
    </row>
    <row r="1193">
      <c r="A1193" s="109">
        <f>IF(AND(F1193="",G1193=""),"",ROW()-6)</f>
      </c>
      <c r="B1193" s="140" t="n"/>
      <c r="C1193" s="141" t="n"/>
      <c r="D1193" s="141" t="n"/>
      <c r="E1193" s="142" t="n"/>
      <c r="F1193" s="143" t="n"/>
      <c r="G1193" s="144" t="n"/>
      <c r="H1193" s="145">
        <f>IF(OR(C1193="",AND(F1193="",G1193="")),"",SUMIF(基础资料!$W$5:$W$24,C1193,基础资料!$X$5:$X$24)+SUMIF(C$7:C1193,C1193,F$7:F1193)-SUMIF(C$7:C1193,C1193,G$7:G1193))</f>
      </c>
      <c r="I1193" s="145">
        <f>IF(AND(F1193="",G1193=""),"",SUM(基础资料!$X$5:$X$24)+SUM(F$7:F1193)-SUM(G$7:G1193))</f>
      </c>
      <c r="J1193" s="141" t="n"/>
      <c r="K1193" s="141" t="n"/>
      <c r="L1193" s="141" t="n"/>
      <c r="M1193" s="142" t="n"/>
      <c r="N1193" s="146">
        <f>IF(AND(AND(F1193="",G1193=""),B1193="",C1193="",D1193="",J1193="",K1193="",L1193=""),"",IF(AND(F1193="",G1193=""),"✗ 没填金额",IF(AND(N(F1193)&lt;&gt;0,N(G1193)&lt;&gt;0),"✗ 收入、支出只能填一边",IF(NOT(ISNUMBER(B1193)),"✗ 日期不是真日期（要像 2026/9/25 这样填）",IF(OR(B1193&lt;年初日,B1193&gt;年末日),"✗ 日期不在本会计年度",IF(C1193="","✗ 没选账户",IF(COUNTIF(基础资料!$W$5:$W$24,C1193)=0,"✗ 账户不在基础资料里",IF(O1193="","✗ 没选收支项目",IF(P1193="未知","✗ 收支项目不在基础资料里",IF(AND(P1193="应收",J1193=""),"✗ 这笔要选客户",IF(AND(P1193="应收",COUNTIF(总览汇总!$B$5:$B$304,J1193)=0),"✗ 客户不在总览汇总名单里",IF(AND(P1193="应付",K1193=""),"✗ 这笔要选供应商",IF(AND(P1193="应付",COUNTIF(基础资料!$Q$5:$Q$54,K1193)=0),"✗ 供应商不在基础资料里",IF(AND(P1193="费用",L1193=""),"✗ 费用支出要选费用项目",IF(AND(L1193&lt;&gt;"",COUNTIF(基础资料!$AI$5:$AI$54,L1193)=0),"✗ 费用项目不在基础资料里",IF(AND(IFERROR(INDEX(基础资料!$AD$5:$AD$34,MATCH(O1193,基础资料!$AC$5:$AC$34,0)),"")="收",N(G1193)&lt;&gt;0),"✗ 这类是收款，金额填到收入列",IF(AND(IFERROR(INDEX(基础资料!$AD$5:$AD$34,MATCH(O1193,基础资料!$AC$5:$AC$34,0)),"")="支",N(F1193)&lt;&gt;0),"✗ 这类是付款，金额填到支出列",IF(N(H1193)&lt;0,"⚠ 账户余额成负数了，核对一下","√"))))))))))))))))))</f>
      </c>
      <c r="O1193" s="78">
        <f>IF(D1193&lt;&gt;"",D1193,IF(AND(F1193="",G1193=""),"",IF(J1193&lt;&gt;"",IF(N(F1193)&gt;0,"客户回款","客户退款"),IF(K1193&lt;&gt;"",IF(N(G1193)&gt;0,"供应商付款","供应商退款"),IF(L1193&lt;&gt;"","费用支出","")))))</f>
      </c>
      <c r="P1193" s="78">
        <f>IF(O1193="","",IFERROR(INDEX(基础资料!$AE$5:$AE$34,MATCH(O1193,基础资料!$AC$5:$AC$34,0)),"未知"))</f>
      </c>
      <c r="Q1193" s="78">
        <f>IF(P1193="应收",COUNTIF(P$7:P1193,"应收"),"")</f>
      </c>
      <c r="R1193" s="78">
        <f>IF(P1193="应付",COUNTIF(P$7:P1193,"应付"),"")</f>
      </c>
      <c r="S1193" s="78">
        <f>N(F1193)-N(G1193)</f>
        <v>0</v>
      </c>
    </row>
    <row r="1194">
      <c r="A1194" s="109">
        <f>IF(AND(F1194="",G1194=""),"",ROW()-6)</f>
      </c>
      <c r="B1194" s="140" t="n"/>
      <c r="C1194" s="141" t="n"/>
      <c r="D1194" s="141" t="n"/>
      <c r="E1194" s="142" t="n"/>
      <c r="F1194" s="143" t="n"/>
      <c r="G1194" s="144" t="n"/>
      <c r="H1194" s="145">
        <f>IF(OR(C1194="",AND(F1194="",G1194="")),"",SUMIF(基础资料!$W$5:$W$24,C1194,基础资料!$X$5:$X$24)+SUMIF(C$7:C1194,C1194,F$7:F1194)-SUMIF(C$7:C1194,C1194,G$7:G1194))</f>
      </c>
      <c r="I1194" s="145">
        <f>IF(AND(F1194="",G1194=""),"",SUM(基础资料!$X$5:$X$24)+SUM(F$7:F1194)-SUM(G$7:G1194))</f>
      </c>
      <c r="J1194" s="141" t="n"/>
      <c r="K1194" s="141" t="n"/>
      <c r="L1194" s="141" t="n"/>
      <c r="M1194" s="142" t="n"/>
      <c r="N1194" s="146">
        <f>IF(AND(AND(F1194="",G1194=""),B1194="",C1194="",D1194="",J1194="",K1194="",L1194=""),"",IF(AND(F1194="",G1194=""),"✗ 没填金额",IF(AND(N(F1194)&lt;&gt;0,N(G1194)&lt;&gt;0),"✗ 收入、支出只能填一边",IF(NOT(ISNUMBER(B1194)),"✗ 日期不是真日期（要像 2026/9/25 这样填）",IF(OR(B1194&lt;年初日,B1194&gt;年末日),"✗ 日期不在本会计年度",IF(C1194="","✗ 没选账户",IF(COUNTIF(基础资料!$W$5:$W$24,C1194)=0,"✗ 账户不在基础资料里",IF(O1194="","✗ 没选收支项目",IF(P1194="未知","✗ 收支项目不在基础资料里",IF(AND(P1194="应收",J1194=""),"✗ 这笔要选客户",IF(AND(P1194="应收",COUNTIF(总览汇总!$B$5:$B$304,J1194)=0),"✗ 客户不在总览汇总名单里",IF(AND(P1194="应付",K1194=""),"✗ 这笔要选供应商",IF(AND(P1194="应付",COUNTIF(基础资料!$Q$5:$Q$54,K1194)=0),"✗ 供应商不在基础资料里",IF(AND(P1194="费用",L1194=""),"✗ 费用支出要选费用项目",IF(AND(L1194&lt;&gt;"",COUNTIF(基础资料!$AI$5:$AI$54,L1194)=0),"✗ 费用项目不在基础资料里",IF(AND(IFERROR(INDEX(基础资料!$AD$5:$AD$34,MATCH(O1194,基础资料!$AC$5:$AC$34,0)),"")="收",N(G1194)&lt;&gt;0),"✗ 这类是收款，金额填到收入列",IF(AND(IFERROR(INDEX(基础资料!$AD$5:$AD$34,MATCH(O1194,基础资料!$AC$5:$AC$34,0)),"")="支",N(F1194)&lt;&gt;0),"✗ 这类是付款，金额填到支出列",IF(N(H1194)&lt;0,"⚠ 账户余额成负数了，核对一下","√"))))))))))))))))))</f>
      </c>
      <c r="O1194" s="78">
        <f>IF(D1194&lt;&gt;"",D1194,IF(AND(F1194="",G1194=""),"",IF(J1194&lt;&gt;"",IF(N(F1194)&gt;0,"客户回款","客户退款"),IF(K1194&lt;&gt;"",IF(N(G1194)&gt;0,"供应商付款","供应商退款"),IF(L1194&lt;&gt;"","费用支出","")))))</f>
      </c>
      <c r="P1194" s="78">
        <f>IF(O1194="","",IFERROR(INDEX(基础资料!$AE$5:$AE$34,MATCH(O1194,基础资料!$AC$5:$AC$34,0)),"未知"))</f>
      </c>
      <c r="Q1194" s="78">
        <f>IF(P1194="应收",COUNTIF(P$7:P1194,"应收"),"")</f>
      </c>
      <c r="R1194" s="78">
        <f>IF(P1194="应付",COUNTIF(P$7:P1194,"应付"),"")</f>
      </c>
      <c r="S1194" s="78">
        <f>N(F1194)-N(G1194)</f>
        <v>0</v>
      </c>
    </row>
    <row r="1195">
      <c r="A1195" s="109">
        <f>IF(AND(F1195="",G1195=""),"",ROW()-6)</f>
      </c>
      <c r="B1195" s="140" t="n"/>
      <c r="C1195" s="141" t="n"/>
      <c r="D1195" s="141" t="n"/>
      <c r="E1195" s="142" t="n"/>
      <c r="F1195" s="143" t="n"/>
      <c r="G1195" s="144" t="n"/>
      <c r="H1195" s="145">
        <f>IF(OR(C1195="",AND(F1195="",G1195="")),"",SUMIF(基础资料!$W$5:$W$24,C1195,基础资料!$X$5:$X$24)+SUMIF(C$7:C1195,C1195,F$7:F1195)-SUMIF(C$7:C1195,C1195,G$7:G1195))</f>
      </c>
      <c r="I1195" s="145">
        <f>IF(AND(F1195="",G1195=""),"",SUM(基础资料!$X$5:$X$24)+SUM(F$7:F1195)-SUM(G$7:G1195))</f>
      </c>
      <c r="J1195" s="141" t="n"/>
      <c r="K1195" s="141" t="n"/>
      <c r="L1195" s="141" t="n"/>
      <c r="M1195" s="142" t="n"/>
      <c r="N1195" s="146">
        <f>IF(AND(AND(F1195="",G1195=""),B1195="",C1195="",D1195="",J1195="",K1195="",L1195=""),"",IF(AND(F1195="",G1195=""),"✗ 没填金额",IF(AND(N(F1195)&lt;&gt;0,N(G1195)&lt;&gt;0),"✗ 收入、支出只能填一边",IF(NOT(ISNUMBER(B1195)),"✗ 日期不是真日期（要像 2026/9/25 这样填）",IF(OR(B1195&lt;年初日,B1195&gt;年末日),"✗ 日期不在本会计年度",IF(C1195="","✗ 没选账户",IF(COUNTIF(基础资料!$W$5:$W$24,C1195)=0,"✗ 账户不在基础资料里",IF(O1195="","✗ 没选收支项目",IF(P1195="未知","✗ 收支项目不在基础资料里",IF(AND(P1195="应收",J1195=""),"✗ 这笔要选客户",IF(AND(P1195="应收",COUNTIF(总览汇总!$B$5:$B$304,J1195)=0),"✗ 客户不在总览汇总名单里",IF(AND(P1195="应付",K1195=""),"✗ 这笔要选供应商",IF(AND(P1195="应付",COUNTIF(基础资料!$Q$5:$Q$54,K1195)=0),"✗ 供应商不在基础资料里",IF(AND(P1195="费用",L1195=""),"✗ 费用支出要选费用项目",IF(AND(L1195&lt;&gt;"",COUNTIF(基础资料!$AI$5:$AI$54,L1195)=0),"✗ 费用项目不在基础资料里",IF(AND(IFERROR(INDEX(基础资料!$AD$5:$AD$34,MATCH(O1195,基础资料!$AC$5:$AC$34,0)),"")="收",N(G1195)&lt;&gt;0),"✗ 这类是收款，金额填到收入列",IF(AND(IFERROR(INDEX(基础资料!$AD$5:$AD$34,MATCH(O1195,基础资料!$AC$5:$AC$34,0)),"")="支",N(F1195)&lt;&gt;0),"✗ 这类是付款，金额填到支出列",IF(N(H1195)&lt;0,"⚠ 账户余额成负数了，核对一下","√"))))))))))))))))))</f>
      </c>
      <c r="O1195" s="78">
        <f>IF(D1195&lt;&gt;"",D1195,IF(AND(F1195="",G1195=""),"",IF(J1195&lt;&gt;"",IF(N(F1195)&gt;0,"客户回款","客户退款"),IF(K1195&lt;&gt;"",IF(N(G1195)&gt;0,"供应商付款","供应商退款"),IF(L1195&lt;&gt;"","费用支出","")))))</f>
      </c>
      <c r="P1195" s="78">
        <f>IF(O1195="","",IFERROR(INDEX(基础资料!$AE$5:$AE$34,MATCH(O1195,基础资料!$AC$5:$AC$34,0)),"未知"))</f>
      </c>
      <c r="Q1195" s="78">
        <f>IF(P1195="应收",COUNTIF(P$7:P1195,"应收"),"")</f>
      </c>
      <c r="R1195" s="78">
        <f>IF(P1195="应付",COUNTIF(P$7:P1195,"应付"),"")</f>
      </c>
      <c r="S1195" s="78">
        <f>N(F1195)-N(G1195)</f>
        <v>0</v>
      </c>
    </row>
    <row r="1196">
      <c r="A1196" s="109">
        <f>IF(AND(F1196="",G1196=""),"",ROW()-6)</f>
      </c>
      <c r="B1196" s="140" t="n"/>
      <c r="C1196" s="141" t="n"/>
      <c r="D1196" s="141" t="n"/>
      <c r="E1196" s="142" t="n"/>
      <c r="F1196" s="143" t="n"/>
      <c r="G1196" s="144" t="n"/>
      <c r="H1196" s="145">
        <f>IF(OR(C1196="",AND(F1196="",G1196="")),"",SUMIF(基础资料!$W$5:$W$24,C1196,基础资料!$X$5:$X$24)+SUMIF(C$7:C1196,C1196,F$7:F1196)-SUMIF(C$7:C1196,C1196,G$7:G1196))</f>
      </c>
      <c r="I1196" s="145">
        <f>IF(AND(F1196="",G1196=""),"",SUM(基础资料!$X$5:$X$24)+SUM(F$7:F1196)-SUM(G$7:G1196))</f>
      </c>
      <c r="J1196" s="141" t="n"/>
      <c r="K1196" s="141" t="n"/>
      <c r="L1196" s="141" t="n"/>
      <c r="M1196" s="142" t="n"/>
      <c r="N1196" s="146">
        <f>IF(AND(AND(F1196="",G1196=""),B1196="",C1196="",D1196="",J1196="",K1196="",L1196=""),"",IF(AND(F1196="",G1196=""),"✗ 没填金额",IF(AND(N(F1196)&lt;&gt;0,N(G1196)&lt;&gt;0),"✗ 收入、支出只能填一边",IF(NOT(ISNUMBER(B1196)),"✗ 日期不是真日期（要像 2026/9/25 这样填）",IF(OR(B1196&lt;年初日,B1196&gt;年末日),"✗ 日期不在本会计年度",IF(C1196="","✗ 没选账户",IF(COUNTIF(基础资料!$W$5:$W$24,C1196)=0,"✗ 账户不在基础资料里",IF(O1196="","✗ 没选收支项目",IF(P1196="未知","✗ 收支项目不在基础资料里",IF(AND(P1196="应收",J1196=""),"✗ 这笔要选客户",IF(AND(P1196="应收",COUNTIF(总览汇总!$B$5:$B$304,J1196)=0),"✗ 客户不在总览汇总名单里",IF(AND(P1196="应付",K1196=""),"✗ 这笔要选供应商",IF(AND(P1196="应付",COUNTIF(基础资料!$Q$5:$Q$54,K1196)=0),"✗ 供应商不在基础资料里",IF(AND(P1196="费用",L1196=""),"✗ 费用支出要选费用项目",IF(AND(L1196&lt;&gt;"",COUNTIF(基础资料!$AI$5:$AI$54,L1196)=0),"✗ 费用项目不在基础资料里",IF(AND(IFERROR(INDEX(基础资料!$AD$5:$AD$34,MATCH(O1196,基础资料!$AC$5:$AC$34,0)),"")="收",N(G1196)&lt;&gt;0),"✗ 这类是收款，金额填到收入列",IF(AND(IFERROR(INDEX(基础资料!$AD$5:$AD$34,MATCH(O1196,基础资料!$AC$5:$AC$34,0)),"")="支",N(F1196)&lt;&gt;0),"✗ 这类是付款，金额填到支出列",IF(N(H1196)&lt;0,"⚠ 账户余额成负数了，核对一下","√"))))))))))))))))))</f>
      </c>
      <c r="O1196" s="78">
        <f>IF(D1196&lt;&gt;"",D1196,IF(AND(F1196="",G1196=""),"",IF(J1196&lt;&gt;"",IF(N(F1196)&gt;0,"客户回款","客户退款"),IF(K1196&lt;&gt;"",IF(N(G1196)&gt;0,"供应商付款","供应商退款"),IF(L1196&lt;&gt;"","费用支出","")))))</f>
      </c>
      <c r="P1196" s="78">
        <f>IF(O1196="","",IFERROR(INDEX(基础资料!$AE$5:$AE$34,MATCH(O1196,基础资料!$AC$5:$AC$34,0)),"未知"))</f>
      </c>
      <c r="Q1196" s="78">
        <f>IF(P1196="应收",COUNTIF(P$7:P1196,"应收"),"")</f>
      </c>
      <c r="R1196" s="78">
        <f>IF(P1196="应付",COUNTIF(P$7:P1196,"应付"),"")</f>
      </c>
      <c r="S1196" s="78">
        <f>N(F1196)-N(G1196)</f>
        <v>0</v>
      </c>
    </row>
    <row r="1197">
      <c r="A1197" s="109">
        <f>IF(AND(F1197="",G1197=""),"",ROW()-6)</f>
      </c>
      <c r="B1197" s="140" t="n"/>
      <c r="C1197" s="141" t="n"/>
      <c r="D1197" s="141" t="n"/>
      <c r="E1197" s="142" t="n"/>
      <c r="F1197" s="143" t="n"/>
      <c r="G1197" s="144" t="n"/>
      <c r="H1197" s="145">
        <f>IF(OR(C1197="",AND(F1197="",G1197="")),"",SUMIF(基础资料!$W$5:$W$24,C1197,基础资料!$X$5:$X$24)+SUMIF(C$7:C1197,C1197,F$7:F1197)-SUMIF(C$7:C1197,C1197,G$7:G1197))</f>
      </c>
      <c r="I1197" s="145">
        <f>IF(AND(F1197="",G1197=""),"",SUM(基础资料!$X$5:$X$24)+SUM(F$7:F1197)-SUM(G$7:G1197))</f>
      </c>
      <c r="J1197" s="141" t="n"/>
      <c r="K1197" s="141" t="n"/>
      <c r="L1197" s="141" t="n"/>
      <c r="M1197" s="142" t="n"/>
      <c r="N1197" s="146">
        <f>IF(AND(AND(F1197="",G1197=""),B1197="",C1197="",D1197="",J1197="",K1197="",L1197=""),"",IF(AND(F1197="",G1197=""),"✗ 没填金额",IF(AND(N(F1197)&lt;&gt;0,N(G1197)&lt;&gt;0),"✗ 收入、支出只能填一边",IF(NOT(ISNUMBER(B1197)),"✗ 日期不是真日期（要像 2026/9/25 这样填）",IF(OR(B1197&lt;年初日,B1197&gt;年末日),"✗ 日期不在本会计年度",IF(C1197="","✗ 没选账户",IF(COUNTIF(基础资料!$W$5:$W$24,C1197)=0,"✗ 账户不在基础资料里",IF(O1197="","✗ 没选收支项目",IF(P1197="未知","✗ 收支项目不在基础资料里",IF(AND(P1197="应收",J1197=""),"✗ 这笔要选客户",IF(AND(P1197="应收",COUNTIF(总览汇总!$B$5:$B$304,J1197)=0),"✗ 客户不在总览汇总名单里",IF(AND(P1197="应付",K1197=""),"✗ 这笔要选供应商",IF(AND(P1197="应付",COUNTIF(基础资料!$Q$5:$Q$54,K1197)=0),"✗ 供应商不在基础资料里",IF(AND(P1197="费用",L1197=""),"✗ 费用支出要选费用项目",IF(AND(L1197&lt;&gt;"",COUNTIF(基础资料!$AI$5:$AI$54,L1197)=0),"✗ 费用项目不在基础资料里",IF(AND(IFERROR(INDEX(基础资料!$AD$5:$AD$34,MATCH(O1197,基础资料!$AC$5:$AC$34,0)),"")="收",N(G1197)&lt;&gt;0),"✗ 这类是收款，金额填到收入列",IF(AND(IFERROR(INDEX(基础资料!$AD$5:$AD$34,MATCH(O1197,基础资料!$AC$5:$AC$34,0)),"")="支",N(F1197)&lt;&gt;0),"✗ 这类是付款，金额填到支出列",IF(N(H1197)&lt;0,"⚠ 账户余额成负数了，核对一下","√"))))))))))))))))))</f>
      </c>
      <c r="O1197" s="78">
        <f>IF(D1197&lt;&gt;"",D1197,IF(AND(F1197="",G1197=""),"",IF(J1197&lt;&gt;"",IF(N(F1197)&gt;0,"客户回款","客户退款"),IF(K1197&lt;&gt;"",IF(N(G1197)&gt;0,"供应商付款","供应商退款"),IF(L1197&lt;&gt;"","费用支出","")))))</f>
      </c>
      <c r="P1197" s="78">
        <f>IF(O1197="","",IFERROR(INDEX(基础资料!$AE$5:$AE$34,MATCH(O1197,基础资料!$AC$5:$AC$34,0)),"未知"))</f>
      </c>
      <c r="Q1197" s="78">
        <f>IF(P1197="应收",COUNTIF(P$7:P1197,"应收"),"")</f>
      </c>
      <c r="R1197" s="78">
        <f>IF(P1197="应付",COUNTIF(P$7:P1197,"应付"),"")</f>
      </c>
      <c r="S1197" s="78">
        <f>N(F1197)-N(G1197)</f>
        <v>0</v>
      </c>
    </row>
    <row r="1198">
      <c r="A1198" s="109">
        <f>IF(AND(F1198="",G1198=""),"",ROW()-6)</f>
      </c>
      <c r="B1198" s="140" t="n"/>
      <c r="C1198" s="141" t="n"/>
      <c r="D1198" s="141" t="n"/>
      <c r="E1198" s="142" t="n"/>
      <c r="F1198" s="143" t="n"/>
      <c r="G1198" s="144" t="n"/>
      <c r="H1198" s="145">
        <f>IF(OR(C1198="",AND(F1198="",G1198="")),"",SUMIF(基础资料!$W$5:$W$24,C1198,基础资料!$X$5:$X$24)+SUMIF(C$7:C1198,C1198,F$7:F1198)-SUMIF(C$7:C1198,C1198,G$7:G1198))</f>
      </c>
      <c r="I1198" s="145">
        <f>IF(AND(F1198="",G1198=""),"",SUM(基础资料!$X$5:$X$24)+SUM(F$7:F1198)-SUM(G$7:G1198))</f>
      </c>
      <c r="J1198" s="141" t="n"/>
      <c r="K1198" s="141" t="n"/>
      <c r="L1198" s="141" t="n"/>
      <c r="M1198" s="142" t="n"/>
      <c r="N1198" s="146">
        <f>IF(AND(AND(F1198="",G1198=""),B1198="",C1198="",D1198="",J1198="",K1198="",L1198=""),"",IF(AND(F1198="",G1198=""),"✗ 没填金额",IF(AND(N(F1198)&lt;&gt;0,N(G1198)&lt;&gt;0),"✗ 收入、支出只能填一边",IF(NOT(ISNUMBER(B1198)),"✗ 日期不是真日期（要像 2026/9/25 这样填）",IF(OR(B1198&lt;年初日,B1198&gt;年末日),"✗ 日期不在本会计年度",IF(C1198="","✗ 没选账户",IF(COUNTIF(基础资料!$W$5:$W$24,C1198)=0,"✗ 账户不在基础资料里",IF(O1198="","✗ 没选收支项目",IF(P1198="未知","✗ 收支项目不在基础资料里",IF(AND(P1198="应收",J1198=""),"✗ 这笔要选客户",IF(AND(P1198="应收",COUNTIF(总览汇总!$B$5:$B$304,J1198)=0),"✗ 客户不在总览汇总名单里",IF(AND(P1198="应付",K1198=""),"✗ 这笔要选供应商",IF(AND(P1198="应付",COUNTIF(基础资料!$Q$5:$Q$54,K1198)=0),"✗ 供应商不在基础资料里",IF(AND(P1198="费用",L1198=""),"✗ 费用支出要选费用项目",IF(AND(L1198&lt;&gt;"",COUNTIF(基础资料!$AI$5:$AI$54,L1198)=0),"✗ 费用项目不在基础资料里",IF(AND(IFERROR(INDEX(基础资料!$AD$5:$AD$34,MATCH(O1198,基础资料!$AC$5:$AC$34,0)),"")="收",N(G1198)&lt;&gt;0),"✗ 这类是收款，金额填到收入列",IF(AND(IFERROR(INDEX(基础资料!$AD$5:$AD$34,MATCH(O1198,基础资料!$AC$5:$AC$34,0)),"")="支",N(F1198)&lt;&gt;0),"✗ 这类是付款，金额填到支出列",IF(N(H1198)&lt;0,"⚠ 账户余额成负数了，核对一下","√"))))))))))))))))))</f>
      </c>
      <c r="O1198" s="78">
        <f>IF(D1198&lt;&gt;"",D1198,IF(AND(F1198="",G1198=""),"",IF(J1198&lt;&gt;"",IF(N(F1198)&gt;0,"客户回款","客户退款"),IF(K1198&lt;&gt;"",IF(N(G1198)&gt;0,"供应商付款","供应商退款"),IF(L1198&lt;&gt;"","费用支出","")))))</f>
      </c>
      <c r="P1198" s="78">
        <f>IF(O1198="","",IFERROR(INDEX(基础资料!$AE$5:$AE$34,MATCH(O1198,基础资料!$AC$5:$AC$34,0)),"未知"))</f>
      </c>
      <c r="Q1198" s="78">
        <f>IF(P1198="应收",COUNTIF(P$7:P1198,"应收"),"")</f>
      </c>
      <c r="R1198" s="78">
        <f>IF(P1198="应付",COUNTIF(P$7:P1198,"应付"),"")</f>
      </c>
      <c r="S1198" s="78">
        <f>N(F1198)-N(G1198)</f>
        <v>0</v>
      </c>
    </row>
    <row r="1199">
      <c r="A1199" s="109">
        <f>IF(AND(F1199="",G1199=""),"",ROW()-6)</f>
      </c>
      <c r="B1199" s="140" t="n"/>
      <c r="C1199" s="141" t="n"/>
      <c r="D1199" s="141" t="n"/>
      <c r="E1199" s="142" t="n"/>
      <c r="F1199" s="143" t="n"/>
      <c r="G1199" s="144" t="n"/>
      <c r="H1199" s="145">
        <f>IF(OR(C1199="",AND(F1199="",G1199="")),"",SUMIF(基础资料!$W$5:$W$24,C1199,基础资料!$X$5:$X$24)+SUMIF(C$7:C1199,C1199,F$7:F1199)-SUMIF(C$7:C1199,C1199,G$7:G1199))</f>
      </c>
      <c r="I1199" s="145">
        <f>IF(AND(F1199="",G1199=""),"",SUM(基础资料!$X$5:$X$24)+SUM(F$7:F1199)-SUM(G$7:G1199))</f>
      </c>
      <c r="J1199" s="141" t="n"/>
      <c r="K1199" s="141" t="n"/>
      <c r="L1199" s="141" t="n"/>
      <c r="M1199" s="142" t="n"/>
      <c r="N1199" s="146">
        <f>IF(AND(AND(F1199="",G1199=""),B1199="",C1199="",D1199="",J1199="",K1199="",L1199=""),"",IF(AND(F1199="",G1199=""),"✗ 没填金额",IF(AND(N(F1199)&lt;&gt;0,N(G1199)&lt;&gt;0),"✗ 收入、支出只能填一边",IF(NOT(ISNUMBER(B1199)),"✗ 日期不是真日期（要像 2026/9/25 这样填）",IF(OR(B1199&lt;年初日,B1199&gt;年末日),"✗ 日期不在本会计年度",IF(C1199="","✗ 没选账户",IF(COUNTIF(基础资料!$W$5:$W$24,C1199)=0,"✗ 账户不在基础资料里",IF(O1199="","✗ 没选收支项目",IF(P1199="未知","✗ 收支项目不在基础资料里",IF(AND(P1199="应收",J1199=""),"✗ 这笔要选客户",IF(AND(P1199="应收",COUNTIF(总览汇总!$B$5:$B$304,J1199)=0),"✗ 客户不在总览汇总名单里",IF(AND(P1199="应付",K1199=""),"✗ 这笔要选供应商",IF(AND(P1199="应付",COUNTIF(基础资料!$Q$5:$Q$54,K1199)=0),"✗ 供应商不在基础资料里",IF(AND(P1199="费用",L1199=""),"✗ 费用支出要选费用项目",IF(AND(L1199&lt;&gt;"",COUNTIF(基础资料!$AI$5:$AI$54,L1199)=0),"✗ 费用项目不在基础资料里",IF(AND(IFERROR(INDEX(基础资料!$AD$5:$AD$34,MATCH(O1199,基础资料!$AC$5:$AC$34,0)),"")="收",N(G1199)&lt;&gt;0),"✗ 这类是收款，金额填到收入列",IF(AND(IFERROR(INDEX(基础资料!$AD$5:$AD$34,MATCH(O1199,基础资料!$AC$5:$AC$34,0)),"")="支",N(F1199)&lt;&gt;0),"✗ 这类是付款，金额填到支出列",IF(N(H1199)&lt;0,"⚠ 账户余额成负数了，核对一下","√"))))))))))))))))))</f>
      </c>
      <c r="O1199" s="78">
        <f>IF(D1199&lt;&gt;"",D1199,IF(AND(F1199="",G1199=""),"",IF(J1199&lt;&gt;"",IF(N(F1199)&gt;0,"客户回款","客户退款"),IF(K1199&lt;&gt;"",IF(N(G1199)&gt;0,"供应商付款","供应商退款"),IF(L1199&lt;&gt;"","费用支出","")))))</f>
      </c>
      <c r="P1199" s="78">
        <f>IF(O1199="","",IFERROR(INDEX(基础资料!$AE$5:$AE$34,MATCH(O1199,基础资料!$AC$5:$AC$34,0)),"未知"))</f>
      </c>
      <c r="Q1199" s="78">
        <f>IF(P1199="应收",COUNTIF(P$7:P1199,"应收"),"")</f>
      </c>
      <c r="R1199" s="78">
        <f>IF(P1199="应付",COUNTIF(P$7:P1199,"应付"),"")</f>
      </c>
      <c r="S1199" s="78">
        <f>N(F1199)-N(G1199)</f>
        <v>0</v>
      </c>
    </row>
    <row r="1200">
      <c r="A1200" s="109">
        <f>IF(AND(F1200="",G1200=""),"",ROW()-6)</f>
      </c>
      <c r="B1200" s="140" t="n"/>
      <c r="C1200" s="141" t="n"/>
      <c r="D1200" s="141" t="n"/>
      <c r="E1200" s="142" t="n"/>
      <c r="F1200" s="143" t="n"/>
      <c r="G1200" s="144" t="n"/>
      <c r="H1200" s="145">
        <f>IF(OR(C1200="",AND(F1200="",G1200="")),"",SUMIF(基础资料!$W$5:$W$24,C1200,基础资料!$X$5:$X$24)+SUMIF(C$7:C1200,C1200,F$7:F1200)-SUMIF(C$7:C1200,C1200,G$7:G1200))</f>
      </c>
      <c r="I1200" s="145">
        <f>IF(AND(F1200="",G1200=""),"",SUM(基础资料!$X$5:$X$24)+SUM(F$7:F1200)-SUM(G$7:G1200))</f>
      </c>
      <c r="J1200" s="141" t="n"/>
      <c r="K1200" s="141" t="n"/>
      <c r="L1200" s="141" t="n"/>
      <c r="M1200" s="142" t="n"/>
      <c r="N1200" s="146">
        <f>IF(AND(AND(F1200="",G1200=""),B1200="",C1200="",D1200="",J1200="",K1200="",L1200=""),"",IF(AND(F1200="",G1200=""),"✗ 没填金额",IF(AND(N(F1200)&lt;&gt;0,N(G1200)&lt;&gt;0),"✗ 收入、支出只能填一边",IF(NOT(ISNUMBER(B1200)),"✗ 日期不是真日期（要像 2026/9/25 这样填）",IF(OR(B1200&lt;年初日,B1200&gt;年末日),"✗ 日期不在本会计年度",IF(C1200="","✗ 没选账户",IF(COUNTIF(基础资料!$W$5:$W$24,C1200)=0,"✗ 账户不在基础资料里",IF(O1200="","✗ 没选收支项目",IF(P1200="未知","✗ 收支项目不在基础资料里",IF(AND(P1200="应收",J1200=""),"✗ 这笔要选客户",IF(AND(P1200="应收",COUNTIF(总览汇总!$B$5:$B$304,J1200)=0),"✗ 客户不在总览汇总名单里",IF(AND(P1200="应付",K1200=""),"✗ 这笔要选供应商",IF(AND(P1200="应付",COUNTIF(基础资料!$Q$5:$Q$54,K1200)=0),"✗ 供应商不在基础资料里",IF(AND(P1200="费用",L1200=""),"✗ 费用支出要选费用项目",IF(AND(L1200&lt;&gt;"",COUNTIF(基础资料!$AI$5:$AI$54,L1200)=0),"✗ 费用项目不在基础资料里",IF(AND(IFERROR(INDEX(基础资料!$AD$5:$AD$34,MATCH(O1200,基础资料!$AC$5:$AC$34,0)),"")="收",N(G1200)&lt;&gt;0),"✗ 这类是收款，金额填到收入列",IF(AND(IFERROR(INDEX(基础资料!$AD$5:$AD$34,MATCH(O1200,基础资料!$AC$5:$AC$34,0)),"")="支",N(F1200)&lt;&gt;0),"✗ 这类是付款，金额填到支出列",IF(N(H1200)&lt;0,"⚠ 账户余额成负数了，核对一下","√"))))))))))))))))))</f>
      </c>
      <c r="O1200" s="78">
        <f>IF(D1200&lt;&gt;"",D1200,IF(AND(F1200="",G1200=""),"",IF(J1200&lt;&gt;"",IF(N(F1200)&gt;0,"客户回款","客户退款"),IF(K1200&lt;&gt;"",IF(N(G1200)&gt;0,"供应商付款","供应商退款"),IF(L1200&lt;&gt;"","费用支出","")))))</f>
      </c>
      <c r="P1200" s="78">
        <f>IF(O1200="","",IFERROR(INDEX(基础资料!$AE$5:$AE$34,MATCH(O1200,基础资料!$AC$5:$AC$34,0)),"未知"))</f>
      </c>
      <c r="Q1200" s="78">
        <f>IF(P1200="应收",COUNTIF(P$7:P1200,"应收"),"")</f>
      </c>
      <c r="R1200" s="78">
        <f>IF(P1200="应付",COUNTIF(P$7:P1200,"应付"),"")</f>
      </c>
      <c r="S1200" s="78">
        <f>N(F1200)-N(G1200)</f>
        <v>0</v>
      </c>
    </row>
    <row r="1201">
      <c r="A1201" s="109">
        <f>IF(AND(F1201="",G1201=""),"",ROW()-6)</f>
      </c>
      <c r="B1201" s="140" t="n"/>
      <c r="C1201" s="141" t="n"/>
      <c r="D1201" s="141" t="n"/>
      <c r="E1201" s="142" t="n"/>
      <c r="F1201" s="143" t="n"/>
      <c r="G1201" s="144" t="n"/>
      <c r="H1201" s="145">
        <f>IF(OR(C1201="",AND(F1201="",G1201="")),"",SUMIF(基础资料!$W$5:$W$24,C1201,基础资料!$X$5:$X$24)+SUMIF(C$7:C1201,C1201,F$7:F1201)-SUMIF(C$7:C1201,C1201,G$7:G1201))</f>
      </c>
      <c r="I1201" s="145">
        <f>IF(AND(F1201="",G1201=""),"",SUM(基础资料!$X$5:$X$24)+SUM(F$7:F1201)-SUM(G$7:G1201))</f>
      </c>
      <c r="J1201" s="141" t="n"/>
      <c r="K1201" s="141" t="n"/>
      <c r="L1201" s="141" t="n"/>
      <c r="M1201" s="142" t="n"/>
      <c r="N1201" s="146">
        <f>IF(AND(AND(F1201="",G1201=""),B1201="",C1201="",D1201="",J1201="",K1201="",L1201=""),"",IF(AND(F1201="",G1201=""),"✗ 没填金额",IF(AND(N(F1201)&lt;&gt;0,N(G1201)&lt;&gt;0),"✗ 收入、支出只能填一边",IF(NOT(ISNUMBER(B1201)),"✗ 日期不是真日期（要像 2026/9/25 这样填）",IF(OR(B1201&lt;年初日,B1201&gt;年末日),"✗ 日期不在本会计年度",IF(C1201="","✗ 没选账户",IF(COUNTIF(基础资料!$W$5:$W$24,C1201)=0,"✗ 账户不在基础资料里",IF(O1201="","✗ 没选收支项目",IF(P1201="未知","✗ 收支项目不在基础资料里",IF(AND(P1201="应收",J1201=""),"✗ 这笔要选客户",IF(AND(P1201="应收",COUNTIF(总览汇总!$B$5:$B$304,J1201)=0),"✗ 客户不在总览汇总名单里",IF(AND(P1201="应付",K1201=""),"✗ 这笔要选供应商",IF(AND(P1201="应付",COUNTIF(基础资料!$Q$5:$Q$54,K1201)=0),"✗ 供应商不在基础资料里",IF(AND(P1201="费用",L1201=""),"✗ 费用支出要选费用项目",IF(AND(L1201&lt;&gt;"",COUNTIF(基础资料!$AI$5:$AI$54,L1201)=0),"✗ 费用项目不在基础资料里",IF(AND(IFERROR(INDEX(基础资料!$AD$5:$AD$34,MATCH(O1201,基础资料!$AC$5:$AC$34,0)),"")="收",N(G1201)&lt;&gt;0),"✗ 这类是收款，金额填到收入列",IF(AND(IFERROR(INDEX(基础资料!$AD$5:$AD$34,MATCH(O1201,基础资料!$AC$5:$AC$34,0)),"")="支",N(F1201)&lt;&gt;0),"✗ 这类是付款，金额填到支出列",IF(N(H1201)&lt;0,"⚠ 账户余额成负数了，核对一下","√"))))))))))))))))))</f>
      </c>
      <c r="O1201" s="78">
        <f>IF(D1201&lt;&gt;"",D1201,IF(AND(F1201="",G1201=""),"",IF(J1201&lt;&gt;"",IF(N(F1201)&gt;0,"客户回款","客户退款"),IF(K1201&lt;&gt;"",IF(N(G1201)&gt;0,"供应商付款","供应商退款"),IF(L1201&lt;&gt;"","费用支出","")))))</f>
      </c>
      <c r="P1201" s="78">
        <f>IF(O1201="","",IFERROR(INDEX(基础资料!$AE$5:$AE$34,MATCH(O1201,基础资料!$AC$5:$AC$34,0)),"未知"))</f>
      </c>
      <c r="Q1201" s="78">
        <f>IF(P1201="应收",COUNTIF(P$7:P1201,"应收"),"")</f>
      </c>
      <c r="R1201" s="78">
        <f>IF(P1201="应付",COUNTIF(P$7:P1201,"应付"),"")</f>
      </c>
      <c r="S1201" s="78">
        <f>N(F1201)-N(G1201)</f>
        <v>0</v>
      </c>
    </row>
    <row r="1202">
      <c r="A1202" s="109">
        <f>IF(AND(F1202="",G1202=""),"",ROW()-6)</f>
      </c>
      <c r="B1202" s="140" t="n"/>
      <c r="C1202" s="141" t="n"/>
      <c r="D1202" s="141" t="n"/>
      <c r="E1202" s="142" t="n"/>
      <c r="F1202" s="143" t="n"/>
      <c r="G1202" s="144" t="n"/>
      <c r="H1202" s="145">
        <f>IF(OR(C1202="",AND(F1202="",G1202="")),"",SUMIF(基础资料!$W$5:$W$24,C1202,基础资料!$X$5:$X$24)+SUMIF(C$7:C1202,C1202,F$7:F1202)-SUMIF(C$7:C1202,C1202,G$7:G1202))</f>
      </c>
      <c r="I1202" s="145">
        <f>IF(AND(F1202="",G1202=""),"",SUM(基础资料!$X$5:$X$24)+SUM(F$7:F1202)-SUM(G$7:G1202))</f>
      </c>
      <c r="J1202" s="141" t="n"/>
      <c r="K1202" s="141" t="n"/>
      <c r="L1202" s="141" t="n"/>
      <c r="M1202" s="142" t="n"/>
      <c r="N1202" s="146">
        <f>IF(AND(AND(F1202="",G1202=""),B1202="",C1202="",D1202="",J1202="",K1202="",L1202=""),"",IF(AND(F1202="",G1202=""),"✗ 没填金额",IF(AND(N(F1202)&lt;&gt;0,N(G1202)&lt;&gt;0),"✗ 收入、支出只能填一边",IF(NOT(ISNUMBER(B1202)),"✗ 日期不是真日期（要像 2026/9/25 这样填）",IF(OR(B1202&lt;年初日,B1202&gt;年末日),"✗ 日期不在本会计年度",IF(C1202="","✗ 没选账户",IF(COUNTIF(基础资料!$W$5:$W$24,C1202)=0,"✗ 账户不在基础资料里",IF(O1202="","✗ 没选收支项目",IF(P1202="未知","✗ 收支项目不在基础资料里",IF(AND(P1202="应收",J1202=""),"✗ 这笔要选客户",IF(AND(P1202="应收",COUNTIF(总览汇总!$B$5:$B$304,J1202)=0),"✗ 客户不在总览汇总名单里",IF(AND(P1202="应付",K1202=""),"✗ 这笔要选供应商",IF(AND(P1202="应付",COUNTIF(基础资料!$Q$5:$Q$54,K1202)=0),"✗ 供应商不在基础资料里",IF(AND(P1202="费用",L1202=""),"✗ 费用支出要选费用项目",IF(AND(L1202&lt;&gt;"",COUNTIF(基础资料!$AI$5:$AI$54,L1202)=0),"✗ 费用项目不在基础资料里",IF(AND(IFERROR(INDEX(基础资料!$AD$5:$AD$34,MATCH(O1202,基础资料!$AC$5:$AC$34,0)),"")="收",N(G1202)&lt;&gt;0),"✗ 这类是收款，金额填到收入列",IF(AND(IFERROR(INDEX(基础资料!$AD$5:$AD$34,MATCH(O1202,基础资料!$AC$5:$AC$34,0)),"")="支",N(F1202)&lt;&gt;0),"✗ 这类是付款，金额填到支出列",IF(N(H1202)&lt;0,"⚠ 账户余额成负数了，核对一下","√"))))))))))))))))))</f>
      </c>
      <c r="O1202" s="78">
        <f>IF(D1202&lt;&gt;"",D1202,IF(AND(F1202="",G1202=""),"",IF(J1202&lt;&gt;"",IF(N(F1202)&gt;0,"客户回款","客户退款"),IF(K1202&lt;&gt;"",IF(N(G1202)&gt;0,"供应商付款","供应商退款"),IF(L1202&lt;&gt;"","费用支出","")))))</f>
      </c>
      <c r="P1202" s="78">
        <f>IF(O1202="","",IFERROR(INDEX(基础资料!$AE$5:$AE$34,MATCH(O1202,基础资料!$AC$5:$AC$34,0)),"未知"))</f>
      </c>
      <c r="Q1202" s="78">
        <f>IF(P1202="应收",COUNTIF(P$7:P1202,"应收"),"")</f>
      </c>
      <c r="R1202" s="78">
        <f>IF(P1202="应付",COUNTIF(P$7:P1202,"应付"),"")</f>
      </c>
      <c r="S1202" s="78">
        <f>N(F1202)-N(G1202)</f>
        <v>0</v>
      </c>
    </row>
    <row r="1203">
      <c r="A1203" s="109">
        <f>IF(AND(F1203="",G1203=""),"",ROW()-6)</f>
      </c>
      <c r="B1203" s="140" t="n"/>
      <c r="C1203" s="141" t="n"/>
      <c r="D1203" s="141" t="n"/>
      <c r="E1203" s="142" t="n"/>
      <c r="F1203" s="143" t="n"/>
      <c r="G1203" s="144" t="n"/>
      <c r="H1203" s="145">
        <f>IF(OR(C1203="",AND(F1203="",G1203="")),"",SUMIF(基础资料!$W$5:$W$24,C1203,基础资料!$X$5:$X$24)+SUMIF(C$7:C1203,C1203,F$7:F1203)-SUMIF(C$7:C1203,C1203,G$7:G1203))</f>
      </c>
      <c r="I1203" s="145">
        <f>IF(AND(F1203="",G1203=""),"",SUM(基础资料!$X$5:$X$24)+SUM(F$7:F1203)-SUM(G$7:G1203))</f>
      </c>
      <c r="J1203" s="141" t="n"/>
      <c r="K1203" s="141" t="n"/>
      <c r="L1203" s="141" t="n"/>
      <c r="M1203" s="142" t="n"/>
      <c r="N1203" s="146">
        <f>IF(AND(AND(F1203="",G1203=""),B1203="",C1203="",D1203="",J1203="",K1203="",L1203=""),"",IF(AND(F1203="",G1203=""),"✗ 没填金额",IF(AND(N(F1203)&lt;&gt;0,N(G1203)&lt;&gt;0),"✗ 收入、支出只能填一边",IF(NOT(ISNUMBER(B1203)),"✗ 日期不是真日期（要像 2026/9/25 这样填）",IF(OR(B1203&lt;年初日,B1203&gt;年末日),"✗ 日期不在本会计年度",IF(C1203="","✗ 没选账户",IF(COUNTIF(基础资料!$W$5:$W$24,C1203)=0,"✗ 账户不在基础资料里",IF(O1203="","✗ 没选收支项目",IF(P1203="未知","✗ 收支项目不在基础资料里",IF(AND(P1203="应收",J1203=""),"✗ 这笔要选客户",IF(AND(P1203="应收",COUNTIF(总览汇总!$B$5:$B$304,J1203)=0),"✗ 客户不在总览汇总名单里",IF(AND(P1203="应付",K1203=""),"✗ 这笔要选供应商",IF(AND(P1203="应付",COUNTIF(基础资料!$Q$5:$Q$54,K1203)=0),"✗ 供应商不在基础资料里",IF(AND(P1203="费用",L1203=""),"✗ 费用支出要选费用项目",IF(AND(L1203&lt;&gt;"",COUNTIF(基础资料!$AI$5:$AI$54,L1203)=0),"✗ 费用项目不在基础资料里",IF(AND(IFERROR(INDEX(基础资料!$AD$5:$AD$34,MATCH(O1203,基础资料!$AC$5:$AC$34,0)),"")="收",N(G1203)&lt;&gt;0),"✗ 这类是收款，金额填到收入列",IF(AND(IFERROR(INDEX(基础资料!$AD$5:$AD$34,MATCH(O1203,基础资料!$AC$5:$AC$34,0)),"")="支",N(F1203)&lt;&gt;0),"✗ 这类是付款，金额填到支出列",IF(N(H1203)&lt;0,"⚠ 账户余额成负数了，核对一下","√"))))))))))))))))))</f>
      </c>
      <c r="O1203" s="78">
        <f>IF(D1203&lt;&gt;"",D1203,IF(AND(F1203="",G1203=""),"",IF(J1203&lt;&gt;"",IF(N(F1203)&gt;0,"客户回款","客户退款"),IF(K1203&lt;&gt;"",IF(N(G1203)&gt;0,"供应商付款","供应商退款"),IF(L1203&lt;&gt;"","费用支出","")))))</f>
      </c>
      <c r="P1203" s="78">
        <f>IF(O1203="","",IFERROR(INDEX(基础资料!$AE$5:$AE$34,MATCH(O1203,基础资料!$AC$5:$AC$34,0)),"未知"))</f>
      </c>
      <c r="Q1203" s="78">
        <f>IF(P1203="应收",COUNTIF(P$7:P1203,"应收"),"")</f>
      </c>
      <c r="R1203" s="78">
        <f>IF(P1203="应付",COUNTIF(P$7:P1203,"应付"),"")</f>
      </c>
      <c r="S1203" s="78">
        <f>N(F1203)-N(G1203)</f>
        <v>0</v>
      </c>
    </row>
    <row r="1204">
      <c r="A1204" s="109">
        <f>IF(AND(F1204="",G1204=""),"",ROW()-6)</f>
      </c>
      <c r="B1204" s="140" t="n"/>
      <c r="C1204" s="141" t="n"/>
      <c r="D1204" s="141" t="n"/>
      <c r="E1204" s="142" t="n"/>
      <c r="F1204" s="143" t="n"/>
      <c r="G1204" s="144" t="n"/>
      <c r="H1204" s="145">
        <f>IF(OR(C1204="",AND(F1204="",G1204="")),"",SUMIF(基础资料!$W$5:$W$24,C1204,基础资料!$X$5:$X$24)+SUMIF(C$7:C1204,C1204,F$7:F1204)-SUMIF(C$7:C1204,C1204,G$7:G1204))</f>
      </c>
      <c r="I1204" s="145">
        <f>IF(AND(F1204="",G1204=""),"",SUM(基础资料!$X$5:$X$24)+SUM(F$7:F1204)-SUM(G$7:G1204))</f>
      </c>
      <c r="J1204" s="141" t="n"/>
      <c r="K1204" s="141" t="n"/>
      <c r="L1204" s="141" t="n"/>
      <c r="M1204" s="142" t="n"/>
      <c r="N1204" s="146">
        <f>IF(AND(AND(F1204="",G1204=""),B1204="",C1204="",D1204="",J1204="",K1204="",L1204=""),"",IF(AND(F1204="",G1204=""),"✗ 没填金额",IF(AND(N(F1204)&lt;&gt;0,N(G1204)&lt;&gt;0),"✗ 收入、支出只能填一边",IF(NOT(ISNUMBER(B1204)),"✗ 日期不是真日期（要像 2026/9/25 这样填）",IF(OR(B1204&lt;年初日,B1204&gt;年末日),"✗ 日期不在本会计年度",IF(C1204="","✗ 没选账户",IF(COUNTIF(基础资料!$W$5:$W$24,C1204)=0,"✗ 账户不在基础资料里",IF(O1204="","✗ 没选收支项目",IF(P1204="未知","✗ 收支项目不在基础资料里",IF(AND(P1204="应收",J1204=""),"✗ 这笔要选客户",IF(AND(P1204="应收",COUNTIF(总览汇总!$B$5:$B$304,J1204)=0),"✗ 客户不在总览汇总名单里",IF(AND(P1204="应付",K1204=""),"✗ 这笔要选供应商",IF(AND(P1204="应付",COUNTIF(基础资料!$Q$5:$Q$54,K1204)=0),"✗ 供应商不在基础资料里",IF(AND(P1204="费用",L1204=""),"✗ 费用支出要选费用项目",IF(AND(L1204&lt;&gt;"",COUNTIF(基础资料!$AI$5:$AI$54,L1204)=0),"✗ 费用项目不在基础资料里",IF(AND(IFERROR(INDEX(基础资料!$AD$5:$AD$34,MATCH(O1204,基础资料!$AC$5:$AC$34,0)),"")="收",N(G1204)&lt;&gt;0),"✗ 这类是收款，金额填到收入列",IF(AND(IFERROR(INDEX(基础资料!$AD$5:$AD$34,MATCH(O1204,基础资料!$AC$5:$AC$34,0)),"")="支",N(F1204)&lt;&gt;0),"✗ 这类是付款，金额填到支出列",IF(N(H1204)&lt;0,"⚠ 账户余额成负数了，核对一下","√"))))))))))))))))))</f>
      </c>
      <c r="O1204" s="78">
        <f>IF(D1204&lt;&gt;"",D1204,IF(AND(F1204="",G1204=""),"",IF(J1204&lt;&gt;"",IF(N(F1204)&gt;0,"客户回款","客户退款"),IF(K1204&lt;&gt;"",IF(N(G1204)&gt;0,"供应商付款","供应商退款"),IF(L1204&lt;&gt;"","费用支出","")))))</f>
      </c>
      <c r="P1204" s="78">
        <f>IF(O1204="","",IFERROR(INDEX(基础资料!$AE$5:$AE$34,MATCH(O1204,基础资料!$AC$5:$AC$34,0)),"未知"))</f>
      </c>
      <c r="Q1204" s="78">
        <f>IF(P1204="应收",COUNTIF(P$7:P1204,"应收"),"")</f>
      </c>
      <c r="R1204" s="78">
        <f>IF(P1204="应付",COUNTIF(P$7:P1204,"应付"),"")</f>
      </c>
      <c r="S1204" s="78">
        <f>N(F1204)-N(G1204)</f>
        <v>0</v>
      </c>
    </row>
    <row r="1205">
      <c r="A1205" s="109">
        <f>IF(AND(F1205="",G1205=""),"",ROW()-6)</f>
      </c>
      <c r="B1205" s="140" t="n"/>
      <c r="C1205" s="141" t="n"/>
      <c r="D1205" s="141" t="n"/>
      <c r="E1205" s="142" t="n"/>
      <c r="F1205" s="143" t="n"/>
      <c r="G1205" s="144" t="n"/>
      <c r="H1205" s="145">
        <f>IF(OR(C1205="",AND(F1205="",G1205="")),"",SUMIF(基础资料!$W$5:$W$24,C1205,基础资料!$X$5:$X$24)+SUMIF(C$7:C1205,C1205,F$7:F1205)-SUMIF(C$7:C1205,C1205,G$7:G1205))</f>
      </c>
      <c r="I1205" s="145">
        <f>IF(AND(F1205="",G1205=""),"",SUM(基础资料!$X$5:$X$24)+SUM(F$7:F1205)-SUM(G$7:G1205))</f>
      </c>
      <c r="J1205" s="141" t="n"/>
      <c r="K1205" s="141" t="n"/>
      <c r="L1205" s="141" t="n"/>
      <c r="M1205" s="142" t="n"/>
      <c r="N1205" s="146">
        <f>IF(AND(AND(F1205="",G1205=""),B1205="",C1205="",D1205="",J1205="",K1205="",L1205=""),"",IF(AND(F1205="",G1205=""),"✗ 没填金额",IF(AND(N(F1205)&lt;&gt;0,N(G1205)&lt;&gt;0),"✗ 收入、支出只能填一边",IF(NOT(ISNUMBER(B1205)),"✗ 日期不是真日期（要像 2026/9/25 这样填）",IF(OR(B1205&lt;年初日,B1205&gt;年末日),"✗ 日期不在本会计年度",IF(C1205="","✗ 没选账户",IF(COUNTIF(基础资料!$W$5:$W$24,C1205)=0,"✗ 账户不在基础资料里",IF(O1205="","✗ 没选收支项目",IF(P1205="未知","✗ 收支项目不在基础资料里",IF(AND(P1205="应收",J1205=""),"✗ 这笔要选客户",IF(AND(P1205="应收",COUNTIF(总览汇总!$B$5:$B$304,J1205)=0),"✗ 客户不在总览汇总名单里",IF(AND(P1205="应付",K1205=""),"✗ 这笔要选供应商",IF(AND(P1205="应付",COUNTIF(基础资料!$Q$5:$Q$54,K1205)=0),"✗ 供应商不在基础资料里",IF(AND(P1205="费用",L1205=""),"✗ 费用支出要选费用项目",IF(AND(L1205&lt;&gt;"",COUNTIF(基础资料!$AI$5:$AI$54,L1205)=0),"✗ 费用项目不在基础资料里",IF(AND(IFERROR(INDEX(基础资料!$AD$5:$AD$34,MATCH(O1205,基础资料!$AC$5:$AC$34,0)),"")="收",N(G1205)&lt;&gt;0),"✗ 这类是收款，金额填到收入列",IF(AND(IFERROR(INDEX(基础资料!$AD$5:$AD$34,MATCH(O1205,基础资料!$AC$5:$AC$34,0)),"")="支",N(F1205)&lt;&gt;0),"✗ 这类是付款，金额填到支出列",IF(N(H1205)&lt;0,"⚠ 账户余额成负数了，核对一下","√"))))))))))))))))))</f>
      </c>
      <c r="O1205" s="78">
        <f>IF(D1205&lt;&gt;"",D1205,IF(AND(F1205="",G1205=""),"",IF(J1205&lt;&gt;"",IF(N(F1205)&gt;0,"客户回款","客户退款"),IF(K1205&lt;&gt;"",IF(N(G1205)&gt;0,"供应商付款","供应商退款"),IF(L1205&lt;&gt;"","费用支出","")))))</f>
      </c>
      <c r="P1205" s="78">
        <f>IF(O1205="","",IFERROR(INDEX(基础资料!$AE$5:$AE$34,MATCH(O1205,基础资料!$AC$5:$AC$34,0)),"未知"))</f>
      </c>
      <c r="Q1205" s="78">
        <f>IF(P1205="应收",COUNTIF(P$7:P1205,"应收"),"")</f>
      </c>
      <c r="R1205" s="78">
        <f>IF(P1205="应付",COUNTIF(P$7:P1205,"应付"),"")</f>
      </c>
      <c r="S1205" s="78">
        <f>N(F1205)-N(G1205)</f>
        <v>0</v>
      </c>
    </row>
    <row r="1206">
      <c r="A1206" s="109">
        <f>IF(AND(F1206="",G1206=""),"",ROW()-6)</f>
      </c>
      <c r="B1206" s="140" t="n"/>
      <c r="C1206" s="141" t="n"/>
      <c r="D1206" s="141" t="n"/>
      <c r="E1206" s="142" t="n"/>
      <c r="F1206" s="143" t="n"/>
      <c r="G1206" s="144" t="n"/>
      <c r="H1206" s="145">
        <f>IF(OR(C1206="",AND(F1206="",G1206="")),"",SUMIF(基础资料!$W$5:$W$24,C1206,基础资料!$X$5:$X$24)+SUMIF(C$7:C1206,C1206,F$7:F1206)-SUMIF(C$7:C1206,C1206,G$7:G1206))</f>
      </c>
      <c r="I1206" s="145">
        <f>IF(AND(F1206="",G1206=""),"",SUM(基础资料!$X$5:$X$24)+SUM(F$7:F1206)-SUM(G$7:G1206))</f>
      </c>
      <c r="J1206" s="141" t="n"/>
      <c r="K1206" s="141" t="n"/>
      <c r="L1206" s="141" t="n"/>
      <c r="M1206" s="142" t="n"/>
      <c r="N1206" s="146">
        <f>IF(AND(AND(F1206="",G1206=""),B1206="",C1206="",D1206="",J1206="",K1206="",L1206=""),"",IF(AND(F1206="",G1206=""),"✗ 没填金额",IF(AND(N(F1206)&lt;&gt;0,N(G1206)&lt;&gt;0),"✗ 收入、支出只能填一边",IF(NOT(ISNUMBER(B1206)),"✗ 日期不是真日期（要像 2026/9/25 这样填）",IF(OR(B1206&lt;年初日,B1206&gt;年末日),"✗ 日期不在本会计年度",IF(C1206="","✗ 没选账户",IF(COUNTIF(基础资料!$W$5:$W$24,C1206)=0,"✗ 账户不在基础资料里",IF(O1206="","✗ 没选收支项目",IF(P1206="未知","✗ 收支项目不在基础资料里",IF(AND(P1206="应收",J1206=""),"✗ 这笔要选客户",IF(AND(P1206="应收",COUNTIF(总览汇总!$B$5:$B$304,J1206)=0),"✗ 客户不在总览汇总名单里",IF(AND(P1206="应付",K1206=""),"✗ 这笔要选供应商",IF(AND(P1206="应付",COUNTIF(基础资料!$Q$5:$Q$54,K1206)=0),"✗ 供应商不在基础资料里",IF(AND(P1206="费用",L1206=""),"✗ 费用支出要选费用项目",IF(AND(L1206&lt;&gt;"",COUNTIF(基础资料!$AI$5:$AI$54,L1206)=0),"✗ 费用项目不在基础资料里",IF(AND(IFERROR(INDEX(基础资料!$AD$5:$AD$34,MATCH(O1206,基础资料!$AC$5:$AC$34,0)),"")="收",N(G1206)&lt;&gt;0),"✗ 这类是收款，金额填到收入列",IF(AND(IFERROR(INDEX(基础资料!$AD$5:$AD$34,MATCH(O1206,基础资料!$AC$5:$AC$34,0)),"")="支",N(F1206)&lt;&gt;0),"✗ 这类是付款，金额填到支出列",IF(N(H1206)&lt;0,"⚠ 账户余额成负数了，核对一下","√"))))))))))))))))))</f>
      </c>
      <c r="O1206" s="78">
        <f>IF(D1206&lt;&gt;"",D1206,IF(AND(F1206="",G1206=""),"",IF(J1206&lt;&gt;"",IF(N(F1206)&gt;0,"客户回款","客户退款"),IF(K1206&lt;&gt;"",IF(N(G1206)&gt;0,"供应商付款","供应商退款"),IF(L1206&lt;&gt;"","费用支出","")))))</f>
      </c>
      <c r="P1206" s="78">
        <f>IF(O1206="","",IFERROR(INDEX(基础资料!$AE$5:$AE$34,MATCH(O1206,基础资料!$AC$5:$AC$34,0)),"未知"))</f>
      </c>
      <c r="Q1206" s="78">
        <f>IF(P1206="应收",COUNTIF(P$7:P1206,"应收"),"")</f>
      </c>
      <c r="R1206" s="78">
        <f>IF(P1206="应付",COUNTIF(P$7:P1206,"应付"),"")</f>
      </c>
      <c r="S1206" s="78">
        <f>N(F1206)-N(G1206)</f>
        <v>0</v>
      </c>
    </row>
    <row r="1207">
      <c r="A1207" s="109">
        <f>IF(AND(F1207="",G1207=""),"",ROW()-6)</f>
      </c>
      <c r="B1207" s="140" t="n"/>
      <c r="C1207" s="141" t="n"/>
      <c r="D1207" s="141" t="n"/>
      <c r="E1207" s="142" t="n"/>
      <c r="F1207" s="143" t="n"/>
      <c r="G1207" s="144" t="n"/>
      <c r="H1207" s="145">
        <f>IF(OR(C1207="",AND(F1207="",G1207="")),"",SUMIF(基础资料!$W$5:$W$24,C1207,基础资料!$X$5:$X$24)+SUMIF(C$7:C1207,C1207,F$7:F1207)-SUMIF(C$7:C1207,C1207,G$7:G1207))</f>
      </c>
      <c r="I1207" s="145">
        <f>IF(AND(F1207="",G1207=""),"",SUM(基础资料!$X$5:$X$24)+SUM(F$7:F1207)-SUM(G$7:G1207))</f>
      </c>
      <c r="J1207" s="141" t="n"/>
      <c r="K1207" s="141" t="n"/>
      <c r="L1207" s="141" t="n"/>
      <c r="M1207" s="142" t="n"/>
      <c r="N1207" s="146">
        <f>IF(AND(AND(F1207="",G1207=""),B1207="",C1207="",D1207="",J1207="",K1207="",L1207=""),"",IF(AND(F1207="",G1207=""),"✗ 没填金额",IF(AND(N(F1207)&lt;&gt;0,N(G1207)&lt;&gt;0),"✗ 收入、支出只能填一边",IF(NOT(ISNUMBER(B1207)),"✗ 日期不是真日期（要像 2026/9/25 这样填）",IF(OR(B1207&lt;年初日,B1207&gt;年末日),"✗ 日期不在本会计年度",IF(C1207="","✗ 没选账户",IF(COUNTIF(基础资料!$W$5:$W$24,C1207)=0,"✗ 账户不在基础资料里",IF(O1207="","✗ 没选收支项目",IF(P1207="未知","✗ 收支项目不在基础资料里",IF(AND(P1207="应收",J1207=""),"✗ 这笔要选客户",IF(AND(P1207="应收",COUNTIF(总览汇总!$B$5:$B$304,J1207)=0),"✗ 客户不在总览汇总名单里",IF(AND(P1207="应付",K1207=""),"✗ 这笔要选供应商",IF(AND(P1207="应付",COUNTIF(基础资料!$Q$5:$Q$54,K1207)=0),"✗ 供应商不在基础资料里",IF(AND(P1207="费用",L1207=""),"✗ 费用支出要选费用项目",IF(AND(L1207&lt;&gt;"",COUNTIF(基础资料!$AI$5:$AI$54,L1207)=0),"✗ 费用项目不在基础资料里",IF(AND(IFERROR(INDEX(基础资料!$AD$5:$AD$34,MATCH(O1207,基础资料!$AC$5:$AC$34,0)),"")="收",N(G1207)&lt;&gt;0),"✗ 这类是收款，金额填到收入列",IF(AND(IFERROR(INDEX(基础资料!$AD$5:$AD$34,MATCH(O1207,基础资料!$AC$5:$AC$34,0)),"")="支",N(F1207)&lt;&gt;0),"✗ 这类是付款，金额填到支出列",IF(N(H1207)&lt;0,"⚠ 账户余额成负数了，核对一下","√"))))))))))))))))))</f>
      </c>
      <c r="O1207" s="78">
        <f>IF(D1207&lt;&gt;"",D1207,IF(AND(F1207="",G1207=""),"",IF(J1207&lt;&gt;"",IF(N(F1207)&gt;0,"客户回款","客户退款"),IF(K1207&lt;&gt;"",IF(N(G1207)&gt;0,"供应商付款","供应商退款"),IF(L1207&lt;&gt;"","费用支出","")))))</f>
      </c>
      <c r="P1207" s="78">
        <f>IF(O1207="","",IFERROR(INDEX(基础资料!$AE$5:$AE$34,MATCH(O1207,基础资料!$AC$5:$AC$34,0)),"未知"))</f>
      </c>
      <c r="Q1207" s="78">
        <f>IF(P1207="应收",COUNTIF(P$7:P1207,"应收"),"")</f>
      </c>
      <c r="R1207" s="78">
        <f>IF(P1207="应付",COUNTIF(P$7:P1207,"应付"),"")</f>
      </c>
      <c r="S1207" s="78">
        <f>N(F1207)-N(G1207)</f>
        <v>0</v>
      </c>
    </row>
    <row r="1208">
      <c r="A1208" s="109">
        <f>IF(AND(F1208="",G1208=""),"",ROW()-6)</f>
      </c>
      <c r="B1208" s="140" t="n"/>
      <c r="C1208" s="141" t="n"/>
      <c r="D1208" s="141" t="n"/>
      <c r="E1208" s="142" t="n"/>
      <c r="F1208" s="143" t="n"/>
      <c r="G1208" s="144" t="n"/>
      <c r="H1208" s="145">
        <f>IF(OR(C1208="",AND(F1208="",G1208="")),"",SUMIF(基础资料!$W$5:$W$24,C1208,基础资料!$X$5:$X$24)+SUMIF(C$7:C1208,C1208,F$7:F1208)-SUMIF(C$7:C1208,C1208,G$7:G1208))</f>
      </c>
      <c r="I1208" s="145">
        <f>IF(AND(F1208="",G1208=""),"",SUM(基础资料!$X$5:$X$24)+SUM(F$7:F1208)-SUM(G$7:G1208))</f>
      </c>
      <c r="J1208" s="141" t="n"/>
      <c r="K1208" s="141" t="n"/>
      <c r="L1208" s="141" t="n"/>
      <c r="M1208" s="142" t="n"/>
      <c r="N1208" s="146">
        <f>IF(AND(AND(F1208="",G1208=""),B1208="",C1208="",D1208="",J1208="",K1208="",L1208=""),"",IF(AND(F1208="",G1208=""),"✗ 没填金额",IF(AND(N(F1208)&lt;&gt;0,N(G1208)&lt;&gt;0),"✗ 收入、支出只能填一边",IF(NOT(ISNUMBER(B1208)),"✗ 日期不是真日期（要像 2026/9/25 这样填）",IF(OR(B1208&lt;年初日,B1208&gt;年末日),"✗ 日期不在本会计年度",IF(C1208="","✗ 没选账户",IF(COUNTIF(基础资料!$W$5:$W$24,C1208)=0,"✗ 账户不在基础资料里",IF(O1208="","✗ 没选收支项目",IF(P1208="未知","✗ 收支项目不在基础资料里",IF(AND(P1208="应收",J1208=""),"✗ 这笔要选客户",IF(AND(P1208="应收",COUNTIF(总览汇总!$B$5:$B$304,J1208)=0),"✗ 客户不在总览汇总名单里",IF(AND(P1208="应付",K1208=""),"✗ 这笔要选供应商",IF(AND(P1208="应付",COUNTIF(基础资料!$Q$5:$Q$54,K1208)=0),"✗ 供应商不在基础资料里",IF(AND(P1208="费用",L1208=""),"✗ 费用支出要选费用项目",IF(AND(L1208&lt;&gt;"",COUNTIF(基础资料!$AI$5:$AI$54,L1208)=0),"✗ 费用项目不在基础资料里",IF(AND(IFERROR(INDEX(基础资料!$AD$5:$AD$34,MATCH(O1208,基础资料!$AC$5:$AC$34,0)),"")="收",N(G1208)&lt;&gt;0),"✗ 这类是收款，金额填到收入列",IF(AND(IFERROR(INDEX(基础资料!$AD$5:$AD$34,MATCH(O1208,基础资料!$AC$5:$AC$34,0)),"")="支",N(F1208)&lt;&gt;0),"✗ 这类是付款，金额填到支出列",IF(N(H1208)&lt;0,"⚠ 账户余额成负数了，核对一下","√"))))))))))))))))))</f>
      </c>
      <c r="O1208" s="78">
        <f>IF(D1208&lt;&gt;"",D1208,IF(AND(F1208="",G1208=""),"",IF(J1208&lt;&gt;"",IF(N(F1208)&gt;0,"客户回款","客户退款"),IF(K1208&lt;&gt;"",IF(N(G1208)&gt;0,"供应商付款","供应商退款"),IF(L1208&lt;&gt;"","费用支出","")))))</f>
      </c>
      <c r="P1208" s="78">
        <f>IF(O1208="","",IFERROR(INDEX(基础资料!$AE$5:$AE$34,MATCH(O1208,基础资料!$AC$5:$AC$34,0)),"未知"))</f>
      </c>
      <c r="Q1208" s="78">
        <f>IF(P1208="应收",COUNTIF(P$7:P1208,"应收"),"")</f>
      </c>
      <c r="R1208" s="78">
        <f>IF(P1208="应付",COUNTIF(P$7:P1208,"应付"),"")</f>
      </c>
      <c r="S1208" s="78">
        <f>N(F1208)-N(G1208)</f>
        <v>0</v>
      </c>
    </row>
    <row r="1209">
      <c r="A1209" s="109">
        <f>IF(AND(F1209="",G1209=""),"",ROW()-6)</f>
      </c>
      <c r="B1209" s="140" t="n"/>
      <c r="C1209" s="141" t="n"/>
      <c r="D1209" s="141" t="n"/>
      <c r="E1209" s="142" t="n"/>
      <c r="F1209" s="143" t="n"/>
      <c r="G1209" s="144" t="n"/>
      <c r="H1209" s="145">
        <f>IF(OR(C1209="",AND(F1209="",G1209="")),"",SUMIF(基础资料!$W$5:$W$24,C1209,基础资料!$X$5:$X$24)+SUMIF(C$7:C1209,C1209,F$7:F1209)-SUMIF(C$7:C1209,C1209,G$7:G1209))</f>
      </c>
      <c r="I1209" s="145">
        <f>IF(AND(F1209="",G1209=""),"",SUM(基础资料!$X$5:$X$24)+SUM(F$7:F1209)-SUM(G$7:G1209))</f>
      </c>
      <c r="J1209" s="141" t="n"/>
      <c r="K1209" s="141" t="n"/>
      <c r="L1209" s="141" t="n"/>
      <c r="M1209" s="142" t="n"/>
      <c r="N1209" s="146">
        <f>IF(AND(AND(F1209="",G1209=""),B1209="",C1209="",D1209="",J1209="",K1209="",L1209=""),"",IF(AND(F1209="",G1209=""),"✗ 没填金额",IF(AND(N(F1209)&lt;&gt;0,N(G1209)&lt;&gt;0),"✗ 收入、支出只能填一边",IF(NOT(ISNUMBER(B1209)),"✗ 日期不是真日期（要像 2026/9/25 这样填）",IF(OR(B1209&lt;年初日,B1209&gt;年末日),"✗ 日期不在本会计年度",IF(C1209="","✗ 没选账户",IF(COUNTIF(基础资料!$W$5:$W$24,C1209)=0,"✗ 账户不在基础资料里",IF(O1209="","✗ 没选收支项目",IF(P1209="未知","✗ 收支项目不在基础资料里",IF(AND(P1209="应收",J1209=""),"✗ 这笔要选客户",IF(AND(P1209="应收",COUNTIF(总览汇总!$B$5:$B$304,J1209)=0),"✗ 客户不在总览汇总名单里",IF(AND(P1209="应付",K1209=""),"✗ 这笔要选供应商",IF(AND(P1209="应付",COUNTIF(基础资料!$Q$5:$Q$54,K1209)=0),"✗ 供应商不在基础资料里",IF(AND(P1209="费用",L1209=""),"✗ 费用支出要选费用项目",IF(AND(L1209&lt;&gt;"",COUNTIF(基础资料!$AI$5:$AI$54,L1209)=0),"✗ 费用项目不在基础资料里",IF(AND(IFERROR(INDEX(基础资料!$AD$5:$AD$34,MATCH(O1209,基础资料!$AC$5:$AC$34,0)),"")="收",N(G1209)&lt;&gt;0),"✗ 这类是收款，金额填到收入列",IF(AND(IFERROR(INDEX(基础资料!$AD$5:$AD$34,MATCH(O1209,基础资料!$AC$5:$AC$34,0)),"")="支",N(F1209)&lt;&gt;0),"✗ 这类是付款，金额填到支出列",IF(N(H1209)&lt;0,"⚠ 账户余额成负数了，核对一下","√"))))))))))))))))))</f>
      </c>
      <c r="O1209" s="78">
        <f>IF(D1209&lt;&gt;"",D1209,IF(AND(F1209="",G1209=""),"",IF(J1209&lt;&gt;"",IF(N(F1209)&gt;0,"客户回款","客户退款"),IF(K1209&lt;&gt;"",IF(N(G1209)&gt;0,"供应商付款","供应商退款"),IF(L1209&lt;&gt;"","费用支出","")))))</f>
      </c>
      <c r="P1209" s="78">
        <f>IF(O1209="","",IFERROR(INDEX(基础资料!$AE$5:$AE$34,MATCH(O1209,基础资料!$AC$5:$AC$34,0)),"未知"))</f>
      </c>
      <c r="Q1209" s="78">
        <f>IF(P1209="应收",COUNTIF(P$7:P1209,"应收"),"")</f>
      </c>
      <c r="R1209" s="78">
        <f>IF(P1209="应付",COUNTIF(P$7:P1209,"应付"),"")</f>
      </c>
      <c r="S1209" s="78">
        <f>N(F1209)-N(G1209)</f>
        <v>0</v>
      </c>
    </row>
    <row r="1210">
      <c r="A1210" s="109">
        <f>IF(AND(F1210="",G1210=""),"",ROW()-6)</f>
      </c>
      <c r="B1210" s="140" t="n"/>
      <c r="C1210" s="141" t="n"/>
      <c r="D1210" s="141" t="n"/>
      <c r="E1210" s="142" t="n"/>
      <c r="F1210" s="143" t="n"/>
      <c r="G1210" s="144" t="n"/>
      <c r="H1210" s="145">
        <f>IF(OR(C1210="",AND(F1210="",G1210="")),"",SUMIF(基础资料!$W$5:$W$24,C1210,基础资料!$X$5:$X$24)+SUMIF(C$7:C1210,C1210,F$7:F1210)-SUMIF(C$7:C1210,C1210,G$7:G1210))</f>
      </c>
      <c r="I1210" s="145">
        <f>IF(AND(F1210="",G1210=""),"",SUM(基础资料!$X$5:$X$24)+SUM(F$7:F1210)-SUM(G$7:G1210))</f>
      </c>
      <c r="J1210" s="141" t="n"/>
      <c r="K1210" s="141" t="n"/>
      <c r="L1210" s="141" t="n"/>
      <c r="M1210" s="142" t="n"/>
      <c r="N1210" s="146">
        <f>IF(AND(AND(F1210="",G1210=""),B1210="",C1210="",D1210="",J1210="",K1210="",L1210=""),"",IF(AND(F1210="",G1210=""),"✗ 没填金额",IF(AND(N(F1210)&lt;&gt;0,N(G1210)&lt;&gt;0),"✗ 收入、支出只能填一边",IF(NOT(ISNUMBER(B1210)),"✗ 日期不是真日期（要像 2026/9/25 这样填）",IF(OR(B1210&lt;年初日,B1210&gt;年末日),"✗ 日期不在本会计年度",IF(C1210="","✗ 没选账户",IF(COUNTIF(基础资料!$W$5:$W$24,C1210)=0,"✗ 账户不在基础资料里",IF(O1210="","✗ 没选收支项目",IF(P1210="未知","✗ 收支项目不在基础资料里",IF(AND(P1210="应收",J1210=""),"✗ 这笔要选客户",IF(AND(P1210="应收",COUNTIF(总览汇总!$B$5:$B$304,J1210)=0),"✗ 客户不在总览汇总名单里",IF(AND(P1210="应付",K1210=""),"✗ 这笔要选供应商",IF(AND(P1210="应付",COUNTIF(基础资料!$Q$5:$Q$54,K1210)=0),"✗ 供应商不在基础资料里",IF(AND(P1210="费用",L1210=""),"✗ 费用支出要选费用项目",IF(AND(L1210&lt;&gt;"",COUNTIF(基础资料!$AI$5:$AI$54,L1210)=0),"✗ 费用项目不在基础资料里",IF(AND(IFERROR(INDEX(基础资料!$AD$5:$AD$34,MATCH(O1210,基础资料!$AC$5:$AC$34,0)),"")="收",N(G1210)&lt;&gt;0),"✗ 这类是收款，金额填到收入列",IF(AND(IFERROR(INDEX(基础资料!$AD$5:$AD$34,MATCH(O1210,基础资料!$AC$5:$AC$34,0)),"")="支",N(F1210)&lt;&gt;0),"✗ 这类是付款，金额填到支出列",IF(N(H1210)&lt;0,"⚠ 账户余额成负数了，核对一下","√"))))))))))))))))))</f>
      </c>
      <c r="O1210" s="78">
        <f>IF(D1210&lt;&gt;"",D1210,IF(AND(F1210="",G1210=""),"",IF(J1210&lt;&gt;"",IF(N(F1210)&gt;0,"客户回款","客户退款"),IF(K1210&lt;&gt;"",IF(N(G1210)&gt;0,"供应商付款","供应商退款"),IF(L1210&lt;&gt;"","费用支出","")))))</f>
      </c>
      <c r="P1210" s="78">
        <f>IF(O1210="","",IFERROR(INDEX(基础资料!$AE$5:$AE$34,MATCH(O1210,基础资料!$AC$5:$AC$34,0)),"未知"))</f>
      </c>
      <c r="Q1210" s="78">
        <f>IF(P1210="应收",COUNTIF(P$7:P1210,"应收"),"")</f>
      </c>
      <c r="R1210" s="78">
        <f>IF(P1210="应付",COUNTIF(P$7:P1210,"应付"),"")</f>
      </c>
      <c r="S1210" s="78">
        <f>N(F1210)-N(G1210)</f>
        <v>0</v>
      </c>
    </row>
    <row r="1211">
      <c r="A1211" s="109">
        <f>IF(AND(F1211="",G1211=""),"",ROW()-6)</f>
      </c>
      <c r="B1211" s="140" t="n"/>
      <c r="C1211" s="141" t="n"/>
      <c r="D1211" s="141" t="n"/>
      <c r="E1211" s="142" t="n"/>
      <c r="F1211" s="143" t="n"/>
      <c r="G1211" s="144" t="n"/>
      <c r="H1211" s="145">
        <f>IF(OR(C1211="",AND(F1211="",G1211="")),"",SUMIF(基础资料!$W$5:$W$24,C1211,基础资料!$X$5:$X$24)+SUMIF(C$7:C1211,C1211,F$7:F1211)-SUMIF(C$7:C1211,C1211,G$7:G1211))</f>
      </c>
      <c r="I1211" s="145">
        <f>IF(AND(F1211="",G1211=""),"",SUM(基础资料!$X$5:$X$24)+SUM(F$7:F1211)-SUM(G$7:G1211))</f>
      </c>
      <c r="J1211" s="141" t="n"/>
      <c r="K1211" s="141" t="n"/>
      <c r="L1211" s="141" t="n"/>
      <c r="M1211" s="142" t="n"/>
      <c r="N1211" s="146">
        <f>IF(AND(AND(F1211="",G1211=""),B1211="",C1211="",D1211="",J1211="",K1211="",L1211=""),"",IF(AND(F1211="",G1211=""),"✗ 没填金额",IF(AND(N(F1211)&lt;&gt;0,N(G1211)&lt;&gt;0),"✗ 收入、支出只能填一边",IF(NOT(ISNUMBER(B1211)),"✗ 日期不是真日期（要像 2026/9/25 这样填）",IF(OR(B1211&lt;年初日,B1211&gt;年末日),"✗ 日期不在本会计年度",IF(C1211="","✗ 没选账户",IF(COUNTIF(基础资料!$W$5:$W$24,C1211)=0,"✗ 账户不在基础资料里",IF(O1211="","✗ 没选收支项目",IF(P1211="未知","✗ 收支项目不在基础资料里",IF(AND(P1211="应收",J1211=""),"✗ 这笔要选客户",IF(AND(P1211="应收",COUNTIF(总览汇总!$B$5:$B$304,J1211)=0),"✗ 客户不在总览汇总名单里",IF(AND(P1211="应付",K1211=""),"✗ 这笔要选供应商",IF(AND(P1211="应付",COUNTIF(基础资料!$Q$5:$Q$54,K1211)=0),"✗ 供应商不在基础资料里",IF(AND(P1211="费用",L1211=""),"✗ 费用支出要选费用项目",IF(AND(L1211&lt;&gt;"",COUNTIF(基础资料!$AI$5:$AI$54,L1211)=0),"✗ 费用项目不在基础资料里",IF(AND(IFERROR(INDEX(基础资料!$AD$5:$AD$34,MATCH(O1211,基础资料!$AC$5:$AC$34,0)),"")="收",N(G1211)&lt;&gt;0),"✗ 这类是收款，金额填到收入列",IF(AND(IFERROR(INDEX(基础资料!$AD$5:$AD$34,MATCH(O1211,基础资料!$AC$5:$AC$34,0)),"")="支",N(F1211)&lt;&gt;0),"✗ 这类是付款，金额填到支出列",IF(N(H1211)&lt;0,"⚠ 账户余额成负数了，核对一下","√"))))))))))))))))))</f>
      </c>
      <c r="O1211" s="78">
        <f>IF(D1211&lt;&gt;"",D1211,IF(AND(F1211="",G1211=""),"",IF(J1211&lt;&gt;"",IF(N(F1211)&gt;0,"客户回款","客户退款"),IF(K1211&lt;&gt;"",IF(N(G1211)&gt;0,"供应商付款","供应商退款"),IF(L1211&lt;&gt;"","费用支出","")))))</f>
      </c>
      <c r="P1211" s="78">
        <f>IF(O1211="","",IFERROR(INDEX(基础资料!$AE$5:$AE$34,MATCH(O1211,基础资料!$AC$5:$AC$34,0)),"未知"))</f>
      </c>
      <c r="Q1211" s="78">
        <f>IF(P1211="应收",COUNTIF(P$7:P1211,"应收"),"")</f>
      </c>
      <c r="R1211" s="78">
        <f>IF(P1211="应付",COUNTIF(P$7:P1211,"应付"),"")</f>
      </c>
      <c r="S1211" s="78">
        <f>N(F1211)-N(G1211)</f>
        <v>0</v>
      </c>
    </row>
    <row r="1212">
      <c r="A1212" s="109">
        <f>IF(AND(F1212="",G1212=""),"",ROW()-6)</f>
      </c>
      <c r="B1212" s="140" t="n"/>
      <c r="C1212" s="141" t="n"/>
      <c r="D1212" s="141" t="n"/>
      <c r="E1212" s="142" t="n"/>
      <c r="F1212" s="143" t="n"/>
      <c r="G1212" s="144" t="n"/>
      <c r="H1212" s="145">
        <f>IF(OR(C1212="",AND(F1212="",G1212="")),"",SUMIF(基础资料!$W$5:$W$24,C1212,基础资料!$X$5:$X$24)+SUMIF(C$7:C1212,C1212,F$7:F1212)-SUMIF(C$7:C1212,C1212,G$7:G1212))</f>
      </c>
      <c r="I1212" s="145">
        <f>IF(AND(F1212="",G1212=""),"",SUM(基础资料!$X$5:$X$24)+SUM(F$7:F1212)-SUM(G$7:G1212))</f>
      </c>
      <c r="J1212" s="141" t="n"/>
      <c r="K1212" s="141" t="n"/>
      <c r="L1212" s="141" t="n"/>
      <c r="M1212" s="142" t="n"/>
      <c r="N1212" s="146">
        <f>IF(AND(AND(F1212="",G1212=""),B1212="",C1212="",D1212="",J1212="",K1212="",L1212=""),"",IF(AND(F1212="",G1212=""),"✗ 没填金额",IF(AND(N(F1212)&lt;&gt;0,N(G1212)&lt;&gt;0),"✗ 收入、支出只能填一边",IF(NOT(ISNUMBER(B1212)),"✗ 日期不是真日期（要像 2026/9/25 这样填）",IF(OR(B1212&lt;年初日,B1212&gt;年末日),"✗ 日期不在本会计年度",IF(C1212="","✗ 没选账户",IF(COUNTIF(基础资料!$W$5:$W$24,C1212)=0,"✗ 账户不在基础资料里",IF(O1212="","✗ 没选收支项目",IF(P1212="未知","✗ 收支项目不在基础资料里",IF(AND(P1212="应收",J1212=""),"✗ 这笔要选客户",IF(AND(P1212="应收",COUNTIF(总览汇总!$B$5:$B$304,J1212)=0),"✗ 客户不在总览汇总名单里",IF(AND(P1212="应付",K1212=""),"✗ 这笔要选供应商",IF(AND(P1212="应付",COUNTIF(基础资料!$Q$5:$Q$54,K1212)=0),"✗ 供应商不在基础资料里",IF(AND(P1212="费用",L1212=""),"✗ 费用支出要选费用项目",IF(AND(L1212&lt;&gt;"",COUNTIF(基础资料!$AI$5:$AI$54,L1212)=0),"✗ 费用项目不在基础资料里",IF(AND(IFERROR(INDEX(基础资料!$AD$5:$AD$34,MATCH(O1212,基础资料!$AC$5:$AC$34,0)),"")="收",N(G1212)&lt;&gt;0),"✗ 这类是收款，金额填到收入列",IF(AND(IFERROR(INDEX(基础资料!$AD$5:$AD$34,MATCH(O1212,基础资料!$AC$5:$AC$34,0)),"")="支",N(F1212)&lt;&gt;0),"✗ 这类是付款，金额填到支出列",IF(N(H1212)&lt;0,"⚠ 账户余额成负数了，核对一下","√"))))))))))))))))))</f>
      </c>
      <c r="O1212" s="78">
        <f>IF(D1212&lt;&gt;"",D1212,IF(AND(F1212="",G1212=""),"",IF(J1212&lt;&gt;"",IF(N(F1212)&gt;0,"客户回款","客户退款"),IF(K1212&lt;&gt;"",IF(N(G1212)&gt;0,"供应商付款","供应商退款"),IF(L1212&lt;&gt;"","费用支出","")))))</f>
      </c>
      <c r="P1212" s="78">
        <f>IF(O1212="","",IFERROR(INDEX(基础资料!$AE$5:$AE$34,MATCH(O1212,基础资料!$AC$5:$AC$34,0)),"未知"))</f>
      </c>
      <c r="Q1212" s="78">
        <f>IF(P1212="应收",COUNTIF(P$7:P1212,"应收"),"")</f>
      </c>
      <c r="R1212" s="78">
        <f>IF(P1212="应付",COUNTIF(P$7:P1212,"应付"),"")</f>
      </c>
      <c r="S1212" s="78">
        <f>N(F1212)-N(G1212)</f>
        <v>0</v>
      </c>
    </row>
    <row r="1213">
      <c r="A1213" s="109">
        <f>IF(AND(F1213="",G1213=""),"",ROW()-6)</f>
      </c>
      <c r="B1213" s="140" t="n"/>
      <c r="C1213" s="141" t="n"/>
      <c r="D1213" s="141" t="n"/>
      <c r="E1213" s="142" t="n"/>
      <c r="F1213" s="143" t="n"/>
      <c r="G1213" s="144" t="n"/>
      <c r="H1213" s="145">
        <f>IF(OR(C1213="",AND(F1213="",G1213="")),"",SUMIF(基础资料!$W$5:$W$24,C1213,基础资料!$X$5:$X$24)+SUMIF(C$7:C1213,C1213,F$7:F1213)-SUMIF(C$7:C1213,C1213,G$7:G1213))</f>
      </c>
      <c r="I1213" s="145">
        <f>IF(AND(F1213="",G1213=""),"",SUM(基础资料!$X$5:$X$24)+SUM(F$7:F1213)-SUM(G$7:G1213))</f>
      </c>
      <c r="J1213" s="141" t="n"/>
      <c r="K1213" s="141" t="n"/>
      <c r="L1213" s="141" t="n"/>
      <c r="M1213" s="142" t="n"/>
      <c r="N1213" s="146">
        <f>IF(AND(AND(F1213="",G1213=""),B1213="",C1213="",D1213="",J1213="",K1213="",L1213=""),"",IF(AND(F1213="",G1213=""),"✗ 没填金额",IF(AND(N(F1213)&lt;&gt;0,N(G1213)&lt;&gt;0),"✗ 收入、支出只能填一边",IF(NOT(ISNUMBER(B1213)),"✗ 日期不是真日期（要像 2026/9/25 这样填）",IF(OR(B1213&lt;年初日,B1213&gt;年末日),"✗ 日期不在本会计年度",IF(C1213="","✗ 没选账户",IF(COUNTIF(基础资料!$W$5:$W$24,C1213)=0,"✗ 账户不在基础资料里",IF(O1213="","✗ 没选收支项目",IF(P1213="未知","✗ 收支项目不在基础资料里",IF(AND(P1213="应收",J1213=""),"✗ 这笔要选客户",IF(AND(P1213="应收",COUNTIF(总览汇总!$B$5:$B$304,J1213)=0),"✗ 客户不在总览汇总名单里",IF(AND(P1213="应付",K1213=""),"✗ 这笔要选供应商",IF(AND(P1213="应付",COUNTIF(基础资料!$Q$5:$Q$54,K1213)=0),"✗ 供应商不在基础资料里",IF(AND(P1213="费用",L1213=""),"✗ 费用支出要选费用项目",IF(AND(L1213&lt;&gt;"",COUNTIF(基础资料!$AI$5:$AI$54,L1213)=0),"✗ 费用项目不在基础资料里",IF(AND(IFERROR(INDEX(基础资料!$AD$5:$AD$34,MATCH(O1213,基础资料!$AC$5:$AC$34,0)),"")="收",N(G1213)&lt;&gt;0),"✗ 这类是收款，金额填到收入列",IF(AND(IFERROR(INDEX(基础资料!$AD$5:$AD$34,MATCH(O1213,基础资料!$AC$5:$AC$34,0)),"")="支",N(F1213)&lt;&gt;0),"✗ 这类是付款，金额填到支出列",IF(N(H1213)&lt;0,"⚠ 账户余额成负数了，核对一下","√"))))))))))))))))))</f>
      </c>
      <c r="O1213" s="78">
        <f>IF(D1213&lt;&gt;"",D1213,IF(AND(F1213="",G1213=""),"",IF(J1213&lt;&gt;"",IF(N(F1213)&gt;0,"客户回款","客户退款"),IF(K1213&lt;&gt;"",IF(N(G1213)&gt;0,"供应商付款","供应商退款"),IF(L1213&lt;&gt;"","费用支出","")))))</f>
      </c>
      <c r="P1213" s="78">
        <f>IF(O1213="","",IFERROR(INDEX(基础资料!$AE$5:$AE$34,MATCH(O1213,基础资料!$AC$5:$AC$34,0)),"未知"))</f>
      </c>
      <c r="Q1213" s="78">
        <f>IF(P1213="应收",COUNTIF(P$7:P1213,"应收"),"")</f>
      </c>
      <c r="R1213" s="78">
        <f>IF(P1213="应付",COUNTIF(P$7:P1213,"应付"),"")</f>
      </c>
      <c r="S1213" s="78">
        <f>N(F1213)-N(G1213)</f>
        <v>0</v>
      </c>
    </row>
    <row r="1214">
      <c r="A1214" s="109">
        <f>IF(AND(F1214="",G1214=""),"",ROW()-6)</f>
      </c>
      <c r="B1214" s="140" t="n"/>
      <c r="C1214" s="141" t="n"/>
      <c r="D1214" s="141" t="n"/>
      <c r="E1214" s="142" t="n"/>
      <c r="F1214" s="143" t="n"/>
      <c r="G1214" s="144" t="n"/>
      <c r="H1214" s="145">
        <f>IF(OR(C1214="",AND(F1214="",G1214="")),"",SUMIF(基础资料!$W$5:$W$24,C1214,基础资料!$X$5:$X$24)+SUMIF(C$7:C1214,C1214,F$7:F1214)-SUMIF(C$7:C1214,C1214,G$7:G1214))</f>
      </c>
      <c r="I1214" s="145">
        <f>IF(AND(F1214="",G1214=""),"",SUM(基础资料!$X$5:$X$24)+SUM(F$7:F1214)-SUM(G$7:G1214))</f>
      </c>
      <c r="J1214" s="141" t="n"/>
      <c r="K1214" s="141" t="n"/>
      <c r="L1214" s="141" t="n"/>
      <c r="M1214" s="142" t="n"/>
      <c r="N1214" s="146">
        <f>IF(AND(AND(F1214="",G1214=""),B1214="",C1214="",D1214="",J1214="",K1214="",L1214=""),"",IF(AND(F1214="",G1214=""),"✗ 没填金额",IF(AND(N(F1214)&lt;&gt;0,N(G1214)&lt;&gt;0),"✗ 收入、支出只能填一边",IF(NOT(ISNUMBER(B1214)),"✗ 日期不是真日期（要像 2026/9/25 这样填）",IF(OR(B1214&lt;年初日,B1214&gt;年末日),"✗ 日期不在本会计年度",IF(C1214="","✗ 没选账户",IF(COUNTIF(基础资料!$W$5:$W$24,C1214)=0,"✗ 账户不在基础资料里",IF(O1214="","✗ 没选收支项目",IF(P1214="未知","✗ 收支项目不在基础资料里",IF(AND(P1214="应收",J1214=""),"✗ 这笔要选客户",IF(AND(P1214="应收",COUNTIF(总览汇总!$B$5:$B$304,J1214)=0),"✗ 客户不在总览汇总名单里",IF(AND(P1214="应付",K1214=""),"✗ 这笔要选供应商",IF(AND(P1214="应付",COUNTIF(基础资料!$Q$5:$Q$54,K1214)=0),"✗ 供应商不在基础资料里",IF(AND(P1214="费用",L1214=""),"✗ 费用支出要选费用项目",IF(AND(L1214&lt;&gt;"",COUNTIF(基础资料!$AI$5:$AI$54,L1214)=0),"✗ 费用项目不在基础资料里",IF(AND(IFERROR(INDEX(基础资料!$AD$5:$AD$34,MATCH(O1214,基础资料!$AC$5:$AC$34,0)),"")="收",N(G1214)&lt;&gt;0),"✗ 这类是收款，金额填到收入列",IF(AND(IFERROR(INDEX(基础资料!$AD$5:$AD$34,MATCH(O1214,基础资料!$AC$5:$AC$34,0)),"")="支",N(F1214)&lt;&gt;0),"✗ 这类是付款，金额填到支出列",IF(N(H1214)&lt;0,"⚠ 账户余额成负数了，核对一下","√"))))))))))))))))))</f>
      </c>
      <c r="O1214" s="78">
        <f>IF(D1214&lt;&gt;"",D1214,IF(AND(F1214="",G1214=""),"",IF(J1214&lt;&gt;"",IF(N(F1214)&gt;0,"客户回款","客户退款"),IF(K1214&lt;&gt;"",IF(N(G1214)&gt;0,"供应商付款","供应商退款"),IF(L1214&lt;&gt;"","费用支出","")))))</f>
      </c>
      <c r="P1214" s="78">
        <f>IF(O1214="","",IFERROR(INDEX(基础资料!$AE$5:$AE$34,MATCH(O1214,基础资料!$AC$5:$AC$34,0)),"未知"))</f>
      </c>
      <c r="Q1214" s="78">
        <f>IF(P1214="应收",COUNTIF(P$7:P1214,"应收"),"")</f>
      </c>
      <c r="R1214" s="78">
        <f>IF(P1214="应付",COUNTIF(P$7:P1214,"应付"),"")</f>
      </c>
      <c r="S1214" s="78">
        <f>N(F1214)-N(G1214)</f>
        <v>0</v>
      </c>
    </row>
    <row r="1215">
      <c r="A1215" s="109">
        <f>IF(AND(F1215="",G1215=""),"",ROW()-6)</f>
      </c>
      <c r="B1215" s="140" t="n"/>
      <c r="C1215" s="141" t="n"/>
      <c r="D1215" s="141" t="n"/>
      <c r="E1215" s="142" t="n"/>
      <c r="F1215" s="143" t="n"/>
      <c r="G1215" s="144" t="n"/>
      <c r="H1215" s="145">
        <f>IF(OR(C1215="",AND(F1215="",G1215="")),"",SUMIF(基础资料!$W$5:$W$24,C1215,基础资料!$X$5:$X$24)+SUMIF(C$7:C1215,C1215,F$7:F1215)-SUMIF(C$7:C1215,C1215,G$7:G1215))</f>
      </c>
      <c r="I1215" s="145">
        <f>IF(AND(F1215="",G1215=""),"",SUM(基础资料!$X$5:$X$24)+SUM(F$7:F1215)-SUM(G$7:G1215))</f>
      </c>
      <c r="J1215" s="141" t="n"/>
      <c r="K1215" s="141" t="n"/>
      <c r="L1215" s="141" t="n"/>
      <c r="M1215" s="142" t="n"/>
      <c r="N1215" s="146">
        <f>IF(AND(AND(F1215="",G1215=""),B1215="",C1215="",D1215="",J1215="",K1215="",L1215=""),"",IF(AND(F1215="",G1215=""),"✗ 没填金额",IF(AND(N(F1215)&lt;&gt;0,N(G1215)&lt;&gt;0),"✗ 收入、支出只能填一边",IF(NOT(ISNUMBER(B1215)),"✗ 日期不是真日期（要像 2026/9/25 这样填）",IF(OR(B1215&lt;年初日,B1215&gt;年末日),"✗ 日期不在本会计年度",IF(C1215="","✗ 没选账户",IF(COUNTIF(基础资料!$W$5:$W$24,C1215)=0,"✗ 账户不在基础资料里",IF(O1215="","✗ 没选收支项目",IF(P1215="未知","✗ 收支项目不在基础资料里",IF(AND(P1215="应收",J1215=""),"✗ 这笔要选客户",IF(AND(P1215="应收",COUNTIF(总览汇总!$B$5:$B$304,J1215)=0),"✗ 客户不在总览汇总名单里",IF(AND(P1215="应付",K1215=""),"✗ 这笔要选供应商",IF(AND(P1215="应付",COUNTIF(基础资料!$Q$5:$Q$54,K1215)=0),"✗ 供应商不在基础资料里",IF(AND(P1215="费用",L1215=""),"✗ 费用支出要选费用项目",IF(AND(L1215&lt;&gt;"",COUNTIF(基础资料!$AI$5:$AI$54,L1215)=0),"✗ 费用项目不在基础资料里",IF(AND(IFERROR(INDEX(基础资料!$AD$5:$AD$34,MATCH(O1215,基础资料!$AC$5:$AC$34,0)),"")="收",N(G1215)&lt;&gt;0),"✗ 这类是收款，金额填到收入列",IF(AND(IFERROR(INDEX(基础资料!$AD$5:$AD$34,MATCH(O1215,基础资料!$AC$5:$AC$34,0)),"")="支",N(F1215)&lt;&gt;0),"✗ 这类是付款，金额填到支出列",IF(N(H1215)&lt;0,"⚠ 账户余额成负数了，核对一下","√"))))))))))))))))))</f>
      </c>
      <c r="O1215" s="78">
        <f>IF(D1215&lt;&gt;"",D1215,IF(AND(F1215="",G1215=""),"",IF(J1215&lt;&gt;"",IF(N(F1215)&gt;0,"客户回款","客户退款"),IF(K1215&lt;&gt;"",IF(N(G1215)&gt;0,"供应商付款","供应商退款"),IF(L1215&lt;&gt;"","费用支出","")))))</f>
      </c>
      <c r="P1215" s="78">
        <f>IF(O1215="","",IFERROR(INDEX(基础资料!$AE$5:$AE$34,MATCH(O1215,基础资料!$AC$5:$AC$34,0)),"未知"))</f>
      </c>
      <c r="Q1215" s="78">
        <f>IF(P1215="应收",COUNTIF(P$7:P1215,"应收"),"")</f>
      </c>
      <c r="R1215" s="78">
        <f>IF(P1215="应付",COUNTIF(P$7:P1215,"应付"),"")</f>
      </c>
      <c r="S1215" s="78">
        <f>N(F1215)-N(G1215)</f>
        <v>0</v>
      </c>
    </row>
    <row r="1216">
      <c r="A1216" s="109">
        <f>IF(AND(F1216="",G1216=""),"",ROW()-6)</f>
      </c>
      <c r="B1216" s="140" t="n"/>
      <c r="C1216" s="141" t="n"/>
      <c r="D1216" s="141" t="n"/>
      <c r="E1216" s="142" t="n"/>
      <c r="F1216" s="143" t="n"/>
      <c r="G1216" s="144" t="n"/>
      <c r="H1216" s="145">
        <f>IF(OR(C1216="",AND(F1216="",G1216="")),"",SUMIF(基础资料!$W$5:$W$24,C1216,基础资料!$X$5:$X$24)+SUMIF(C$7:C1216,C1216,F$7:F1216)-SUMIF(C$7:C1216,C1216,G$7:G1216))</f>
      </c>
      <c r="I1216" s="145">
        <f>IF(AND(F1216="",G1216=""),"",SUM(基础资料!$X$5:$X$24)+SUM(F$7:F1216)-SUM(G$7:G1216))</f>
      </c>
      <c r="J1216" s="141" t="n"/>
      <c r="K1216" s="141" t="n"/>
      <c r="L1216" s="141" t="n"/>
      <c r="M1216" s="142" t="n"/>
      <c r="N1216" s="146">
        <f>IF(AND(AND(F1216="",G1216=""),B1216="",C1216="",D1216="",J1216="",K1216="",L1216=""),"",IF(AND(F1216="",G1216=""),"✗ 没填金额",IF(AND(N(F1216)&lt;&gt;0,N(G1216)&lt;&gt;0),"✗ 收入、支出只能填一边",IF(NOT(ISNUMBER(B1216)),"✗ 日期不是真日期（要像 2026/9/25 这样填）",IF(OR(B1216&lt;年初日,B1216&gt;年末日),"✗ 日期不在本会计年度",IF(C1216="","✗ 没选账户",IF(COUNTIF(基础资料!$W$5:$W$24,C1216)=0,"✗ 账户不在基础资料里",IF(O1216="","✗ 没选收支项目",IF(P1216="未知","✗ 收支项目不在基础资料里",IF(AND(P1216="应收",J1216=""),"✗ 这笔要选客户",IF(AND(P1216="应收",COUNTIF(总览汇总!$B$5:$B$304,J1216)=0),"✗ 客户不在总览汇总名单里",IF(AND(P1216="应付",K1216=""),"✗ 这笔要选供应商",IF(AND(P1216="应付",COUNTIF(基础资料!$Q$5:$Q$54,K1216)=0),"✗ 供应商不在基础资料里",IF(AND(P1216="费用",L1216=""),"✗ 费用支出要选费用项目",IF(AND(L1216&lt;&gt;"",COUNTIF(基础资料!$AI$5:$AI$54,L1216)=0),"✗ 费用项目不在基础资料里",IF(AND(IFERROR(INDEX(基础资料!$AD$5:$AD$34,MATCH(O1216,基础资料!$AC$5:$AC$34,0)),"")="收",N(G1216)&lt;&gt;0),"✗ 这类是收款，金额填到收入列",IF(AND(IFERROR(INDEX(基础资料!$AD$5:$AD$34,MATCH(O1216,基础资料!$AC$5:$AC$34,0)),"")="支",N(F1216)&lt;&gt;0),"✗ 这类是付款，金额填到支出列",IF(N(H1216)&lt;0,"⚠ 账户余额成负数了，核对一下","√"))))))))))))))))))</f>
      </c>
      <c r="O1216" s="78">
        <f>IF(D1216&lt;&gt;"",D1216,IF(AND(F1216="",G1216=""),"",IF(J1216&lt;&gt;"",IF(N(F1216)&gt;0,"客户回款","客户退款"),IF(K1216&lt;&gt;"",IF(N(G1216)&gt;0,"供应商付款","供应商退款"),IF(L1216&lt;&gt;"","费用支出","")))))</f>
      </c>
      <c r="P1216" s="78">
        <f>IF(O1216="","",IFERROR(INDEX(基础资料!$AE$5:$AE$34,MATCH(O1216,基础资料!$AC$5:$AC$34,0)),"未知"))</f>
      </c>
      <c r="Q1216" s="78">
        <f>IF(P1216="应收",COUNTIF(P$7:P1216,"应收"),"")</f>
      </c>
      <c r="R1216" s="78">
        <f>IF(P1216="应付",COUNTIF(P$7:P1216,"应付"),"")</f>
      </c>
      <c r="S1216" s="78">
        <f>N(F1216)-N(G1216)</f>
        <v>0</v>
      </c>
    </row>
    <row r="1217">
      <c r="A1217" s="109">
        <f>IF(AND(F1217="",G1217=""),"",ROW()-6)</f>
      </c>
      <c r="B1217" s="140" t="n"/>
      <c r="C1217" s="141" t="n"/>
      <c r="D1217" s="141" t="n"/>
      <c r="E1217" s="142" t="n"/>
      <c r="F1217" s="143" t="n"/>
      <c r="G1217" s="144" t="n"/>
      <c r="H1217" s="145">
        <f>IF(OR(C1217="",AND(F1217="",G1217="")),"",SUMIF(基础资料!$W$5:$W$24,C1217,基础资料!$X$5:$X$24)+SUMIF(C$7:C1217,C1217,F$7:F1217)-SUMIF(C$7:C1217,C1217,G$7:G1217))</f>
      </c>
      <c r="I1217" s="145">
        <f>IF(AND(F1217="",G1217=""),"",SUM(基础资料!$X$5:$X$24)+SUM(F$7:F1217)-SUM(G$7:G1217))</f>
      </c>
      <c r="J1217" s="141" t="n"/>
      <c r="K1217" s="141" t="n"/>
      <c r="L1217" s="141" t="n"/>
      <c r="M1217" s="142" t="n"/>
      <c r="N1217" s="146">
        <f>IF(AND(AND(F1217="",G1217=""),B1217="",C1217="",D1217="",J1217="",K1217="",L1217=""),"",IF(AND(F1217="",G1217=""),"✗ 没填金额",IF(AND(N(F1217)&lt;&gt;0,N(G1217)&lt;&gt;0),"✗ 收入、支出只能填一边",IF(NOT(ISNUMBER(B1217)),"✗ 日期不是真日期（要像 2026/9/25 这样填）",IF(OR(B1217&lt;年初日,B1217&gt;年末日),"✗ 日期不在本会计年度",IF(C1217="","✗ 没选账户",IF(COUNTIF(基础资料!$W$5:$W$24,C1217)=0,"✗ 账户不在基础资料里",IF(O1217="","✗ 没选收支项目",IF(P1217="未知","✗ 收支项目不在基础资料里",IF(AND(P1217="应收",J1217=""),"✗ 这笔要选客户",IF(AND(P1217="应收",COUNTIF(总览汇总!$B$5:$B$304,J1217)=0),"✗ 客户不在总览汇总名单里",IF(AND(P1217="应付",K1217=""),"✗ 这笔要选供应商",IF(AND(P1217="应付",COUNTIF(基础资料!$Q$5:$Q$54,K1217)=0),"✗ 供应商不在基础资料里",IF(AND(P1217="费用",L1217=""),"✗ 费用支出要选费用项目",IF(AND(L1217&lt;&gt;"",COUNTIF(基础资料!$AI$5:$AI$54,L1217)=0),"✗ 费用项目不在基础资料里",IF(AND(IFERROR(INDEX(基础资料!$AD$5:$AD$34,MATCH(O1217,基础资料!$AC$5:$AC$34,0)),"")="收",N(G1217)&lt;&gt;0),"✗ 这类是收款，金额填到收入列",IF(AND(IFERROR(INDEX(基础资料!$AD$5:$AD$34,MATCH(O1217,基础资料!$AC$5:$AC$34,0)),"")="支",N(F1217)&lt;&gt;0),"✗ 这类是付款，金额填到支出列",IF(N(H1217)&lt;0,"⚠ 账户余额成负数了，核对一下","√"))))))))))))))))))</f>
      </c>
      <c r="O1217" s="78">
        <f>IF(D1217&lt;&gt;"",D1217,IF(AND(F1217="",G1217=""),"",IF(J1217&lt;&gt;"",IF(N(F1217)&gt;0,"客户回款","客户退款"),IF(K1217&lt;&gt;"",IF(N(G1217)&gt;0,"供应商付款","供应商退款"),IF(L1217&lt;&gt;"","费用支出","")))))</f>
      </c>
      <c r="P1217" s="78">
        <f>IF(O1217="","",IFERROR(INDEX(基础资料!$AE$5:$AE$34,MATCH(O1217,基础资料!$AC$5:$AC$34,0)),"未知"))</f>
      </c>
      <c r="Q1217" s="78">
        <f>IF(P1217="应收",COUNTIF(P$7:P1217,"应收"),"")</f>
      </c>
      <c r="R1217" s="78">
        <f>IF(P1217="应付",COUNTIF(P$7:P1217,"应付"),"")</f>
      </c>
      <c r="S1217" s="78">
        <f>N(F1217)-N(G1217)</f>
        <v>0</v>
      </c>
    </row>
    <row r="1218">
      <c r="A1218" s="109">
        <f>IF(AND(F1218="",G1218=""),"",ROW()-6)</f>
      </c>
      <c r="B1218" s="140" t="n"/>
      <c r="C1218" s="141" t="n"/>
      <c r="D1218" s="141" t="n"/>
      <c r="E1218" s="142" t="n"/>
      <c r="F1218" s="143" t="n"/>
      <c r="G1218" s="144" t="n"/>
      <c r="H1218" s="145">
        <f>IF(OR(C1218="",AND(F1218="",G1218="")),"",SUMIF(基础资料!$W$5:$W$24,C1218,基础资料!$X$5:$X$24)+SUMIF(C$7:C1218,C1218,F$7:F1218)-SUMIF(C$7:C1218,C1218,G$7:G1218))</f>
      </c>
      <c r="I1218" s="145">
        <f>IF(AND(F1218="",G1218=""),"",SUM(基础资料!$X$5:$X$24)+SUM(F$7:F1218)-SUM(G$7:G1218))</f>
      </c>
      <c r="J1218" s="141" t="n"/>
      <c r="K1218" s="141" t="n"/>
      <c r="L1218" s="141" t="n"/>
      <c r="M1218" s="142" t="n"/>
      <c r="N1218" s="146">
        <f>IF(AND(AND(F1218="",G1218=""),B1218="",C1218="",D1218="",J1218="",K1218="",L1218=""),"",IF(AND(F1218="",G1218=""),"✗ 没填金额",IF(AND(N(F1218)&lt;&gt;0,N(G1218)&lt;&gt;0),"✗ 收入、支出只能填一边",IF(NOT(ISNUMBER(B1218)),"✗ 日期不是真日期（要像 2026/9/25 这样填）",IF(OR(B1218&lt;年初日,B1218&gt;年末日),"✗ 日期不在本会计年度",IF(C1218="","✗ 没选账户",IF(COUNTIF(基础资料!$W$5:$W$24,C1218)=0,"✗ 账户不在基础资料里",IF(O1218="","✗ 没选收支项目",IF(P1218="未知","✗ 收支项目不在基础资料里",IF(AND(P1218="应收",J1218=""),"✗ 这笔要选客户",IF(AND(P1218="应收",COUNTIF(总览汇总!$B$5:$B$304,J1218)=0),"✗ 客户不在总览汇总名单里",IF(AND(P1218="应付",K1218=""),"✗ 这笔要选供应商",IF(AND(P1218="应付",COUNTIF(基础资料!$Q$5:$Q$54,K1218)=0),"✗ 供应商不在基础资料里",IF(AND(P1218="费用",L1218=""),"✗ 费用支出要选费用项目",IF(AND(L1218&lt;&gt;"",COUNTIF(基础资料!$AI$5:$AI$54,L1218)=0),"✗ 费用项目不在基础资料里",IF(AND(IFERROR(INDEX(基础资料!$AD$5:$AD$34,MATCH(O1218,基础资料!$AC$5:$AC$34,0)),"")="收",N(G1218)&lt;&gt;0),"✗ 这类是收款，金额填到收入列",IF(AND(IFERROR(INDEX(基础资料!$AD$5:$AD$34,MATCH(O1218,基础资料!$AC$5:$AC$34,0)),"")="支",N(F1218)&lt;&gt;0),"✗ 这类是付款，金额填到支出列",IF(N(H1218)&lt;0,"⚠ 账户余额成负数了，核对一下","√"))))))))))))))))))</f>
      </c>
      <c r="O1218" s="78">
        <f>IF(D1218&lt;&gt;"",D1218,IF(AND(F1218="",G1218=""),"",IF(J1218&lt;&gt;"",IF(N(F1218)&gt;0,"客户回款","客户退款"),IF(K1218&lt;&gt;"",IF(N(G1218)&gt;0,"供应商付款","供应商退款"),IF(L1218&lt;&gt;"","费用支出","")))))</f>
      </c>
      <c r="P1218" s="78">
        <f>IF(O1218="","",IFERROR(INDEX(基础资料!$AE$5:$AE$34,MATCH(O1218,基础资料!$AC$5:$AC$34,0)),"未知"))</f>
      </c>
      <c r="Q1218" s="78">
        <f>IF(P1218="应收",COUNTIF(P$7:P1218,"应收"),"")</f>
      </c>
      <c r="R1218" s="78">
        <f>IF(P1218="应付",COUNTIF(P$7:P1218,"应付"),"")</f>
      </c>
      <c r="S1218" s="78">
        <f>N(F1218)-N(G1218)</f>
        <v>0</v>
      </c>
    </row>
    <row r="1219">
      <c r="A1219" s="109">
        <f>IF(AND(F1219="",G1219=""),"",ROW()-6)</f>
      </c>
      <c r="B1219" s="140" t="n"/>
      <c r="C1219" s="141" t="n"/>
      <c r="D1219" s="141" t="n"/>
      <c r="E1219" s="142" t="n"/>
      <c r="F1219" s="143" t="n"/>
      <c r="G1219" s="144" t="n"/>
      <c r="H1219" s="145">
        <f>IF(OR(C1219="",AND(F1219="",G1219="")),"",SUMIF(基础资料!$W$5:$W$24,C1219,基础资料!$X$5:$X$24)+SUMIF(C$7:C1219,C1219,F$7:F1219)-SUMIF(C$7:C1219,C1219,G$7:G1219))</f>
      </c>
      <c r="I1219" s="145">
        <f>IF(AND(F1219="",G1219=""),"",SUM(基础资料!$X$5:$X$24)+SUM(F$7:F1219)-SUM(G$7:G1219))</f>
      </c>
      <c r="J1219" s="141" t="n"/>
      <c r="K1219" s="141" t="n"/>
      <c r="L1219" s="141" t="n"/>
      <c r="M1219" s="142" t="n"/>
      <c r="N1219" s="146">
        <f>IF(AND(AND(F1219="",G1219=""),B1219="",C1219="",D1219="",J1219="",K1219="",L1219=""),"",IF(AND(F1219="",G1219=""),"✗ 没填金额",IF(AND(N(F1219)&lt;&gt;0,N(G1219)&lt;&gt;0),"✗ 收入、支出只能填一边",IF(NOT(ISNUMBER(B1219)),"✗ 日期不是真日期（要像 2026/9/25 这样填）",IF(OR(B1219&lt;年初日,B1219&gt;年末日),"✗ 日期不在本会计年度",IF(C1219="","✗ 没选账户",IF(COUNTIF(基础资料!$W$5:$W$24,C1219)=0,"✗ 账户不在基础资料里",IF(O1219="","✗ 没选收支项目",IF(P1219="未知","✗ 收支项目不在基础资料里",IF(AND(P1219="应收",J1219=""),"✗ 这笔要选客户",IF(AND(P1219="应收",COUNTIF(总览汇总!$B$5:$B$304,J1219)=0),"✗ 客户不在总览汇总名单里",IF(AND(P1219="应付",K1219=""),"✗ 这笔要选供应商",IF(AND(P1219="应付",COUNTIF(基础资料!$Q$5:$Q$54,K1219)=0),"✗ 供应商不在基础资料里",IF(AND(P1219="费用",L1219=""),"✗ 费用支出要选费用项目",IF(AND(L1219&lt;&gt;"",COUNTIF(基础资料!$AI$5:$AI$54,L1219)=0),"✗ 费用项目不在基础资料里",IF(AND(IFERROR(INDEX(基础资料!$AD$5:$AD$34,MATCH(O1219,基础资料!$AC$5:$AC$34,0)),"")="收",N(G1219)&lt;&gt;0),"✗ 这类是收款，金额填到收入列",IF(AND(IFERROR(INDEX(基础资料!$AD$5:$AD$34,MATCH(O1219,基础资料!$AC$5:$AC$34,0)),"")="支",N(F1219)&lt;&gt;0),"✗ 这类是付款，金额填到支出列",IF(N(H1219)&lt;0,"⚠ 账户余额成负数了，核对一下","√"))))))))))))))))))</f>
      </c>
      <c r="O1219" s="78">
        <f>IF(D1219&lt;&gt;"",D1219,IF(AND(F1219="",G1219=""),"",IF(J1219&lt;&gt;"",IF(N(F1219)&gt;0,"客户回款","客户退款"),IF(K1219&lt;&gt;"",IF(N(G1219)&gt;0,"供应商付款","供应商退款"),IF(L1219&lt;&gt;"","费用支出","")))))</f>
      </c>
      <c r="P1219" s="78">
        <f>IF(O1219="","",IFERROR(INDEX(基础资料!$AE$5:$AE$34,MATCH(O1219,基础资料!$AC$5:$AC$34,0)),"未知"))</f>
      </c>
      <c r="Q1219" s="78">
        <f>IF(P1219="应收",COUNTIF(P$7:P1219,"应收"),"")</f>
      </c>
      <c r="R1219" s="78">
        <f>IF(P1219="应付",COUNTIF(P$7:P1219,"应付"),"")</f>
      </c>
      <c r="S1219" s="78">
        <f>N(F1219)-N(G1219)</f>
        <v>0</v>
      </c>
    </row>
    <row r="1220">
      <c r="A1220" s="109">
        <f>IF(AND(F1220="",G1220=""),"",ROW()-6)</f>
      </c>
      <c r="B1220" s="140" t="n"/>
      <c r="C1220" s="141" t="n"/>
      <c r="D1220" s="141" t="n"/>
      <c r="E1220" s="142" t="n"/>
      <c r="F1220" s="143" t="n"/>
      <c r="G1220" s="144" t="n"/>
      <c r="H1220" s="145">
        <f>IF(OR(C1220="",AND(F1220="",G1220="")),"",SUMIF(基础资料!$W$5:$W$24,C1220,基础资料!$X$5:$X$24)+SUMIF(C$7:C1220,C1220,F$7:F1220)-SUMIF(C$7:C1220,C1220,G$7:G1220))</f>
      </c>
      <c r="I1220" s="145">
        <f>IF(AND(F1220="",G1220=""),"",SUM(基础资料!$X$5:$X$24)+SUM(F$7:F1220)-SUM(G$7:G1220))</f>
      </c>
      <c r="J1220" s="141" t="n"/>
      <c r="K1220" s="141" t="n"/>
      <c r="L1220" s="141" t="n"/>
      <c r="M1220" s="142" t="n"/>
      <c r="N1220" s="146">
        <f>IF(AND(AND(F1220="",G1220=""),B1220="",C1220="",D1220="",J1220="",K1220="",L1220=""),"",IF(AND(F1220="",G1220=""),"✗ 没填金额",IF(AND(N(F1220)&lt;&gt;0,N(G1220)&lt;&gt;0),"✗ 收入、支出只能填一边",IF(NOT(ISNUMBER(B1220)),"✗ 日期不是真日期（要像 2026/9/25 这样填）",IF(OR(B1220&lt;年初日,B1220&gt;年末日),"✗ 日期不在本会计年度",IF(C1220="","✗ 没选账户",IF(COUNTIF(基础资料!$W$5:$W$24,C1220)=0,"✗ 账户不在基础资料里",IF(O1220="","✗ 没选收支项目",IF(P1220="未知","✗ 收支项目不在基础资料里",IF(AND(P1220="应收",J1220=""),"✗ 这笔要选客户",IF(AND(P1220="应收",COUNTIF(总览汇总!$B$5:$B$304,J1220)=0),"✗ 客户不在总览汇总名单里",IF(AND(P1220="应付",K1220=""),"✗ 这笔要选供应商",IF(AND(P1220="应付",COUNTIF(基础资料!$Q$5:$Q$54,K1220)=0),"✗ 供应商不在基础资料里",IF(AND(P1220="费用",L1220=""),"✗ 费用支出要选费用项目",IF(AND(L1220&lt;&gt;"",COUNTIF(基础资料!$AI$5:$AI$54,L1220)=0),"✗ 费用项目不在基础资料里",IF(AND(IFERROR(INDEX(基础资料!$AD$5:$AD$34,MATCH(O1220,基础资料!$AC$5:$AC$34,0)),"")="收",N(G1220)&lt;&gt;0),"✗ 这类是收款，金额填到收入列",IF(AND(IFERROR(INDEX(基础资料!$AD$5:$AD$34,MATCH(O1220,基础资料!$AC$5:$AC$34,0)),"")="支",N(F1220)&lt;&gt;0),"✗ 这类是付款，金额填到支出列",IF(N(H1220)&lt;0,"⚠ 账户余额成负数了，核对一下","√"))))))))))))))))))</f>
      </c>
      <c r="O1220" s="78">
        <f>IF(D1220&lt;&gt;"",D1220,IF(AND(F1220="",G1220=""),"",IF(J1220&lt;&gt;"",IF(N(F1220)&gt;0,"客户回款","客户退款"),IF(K1220&lt;&gt;"",IF(N(G1220)&gt;0,"供应商付款","供应商退款"),IF(L1220&lt;&gt;"","费用支出","")))))</f>
      </c>
      <c r="P1220" s="78">
        <f>IF(O1220="","",IFERROR(INDEX(基础资料!$AE$5:$AE$34,MATCH(O1220,基础资料!$AC$5:$AC$34,0)),"未知"))</f>
      </c>
      <c r="Q1220" s="78">
        <f>IF(P1220="应收",COUNTIF(P$7:P1220,"应收"),"")</f>
      </c>
      <c r="R1220" s="78">
        <f>IF(P1220="应付",COUNTIF(P$7:P1220,"应付"),"")</f>
      </c>
      <c r="S1220" s="78">
        <f>N(F1220)-N(G1220)</f>
        <v>0</v>
      </c>
    </row>
    <row r="1221">
      <c r="A1221" s="109">
        <f>IF(AND(F1221="",G1221=""),"",ROW()-6)</f>
      </c>
      <c r="B1221" s="140" t="n"/>
      <c r="C1221" s="141" t="n"/>
      <c r="D1221" s="141" t="n"/>
      <c r="E1221" s="142" t="n"/>
      <c r="F1221" s="143" t="n"/>
      <c r="G1221" s="144" t="n"/>
      <c r="H1221" s="145">
        <f>IF(OR(C1221="",AND(F1221="",G1221="")),"",SUMIF(基础资料!$W$5:$W$24,C1221,基础资料!$X$5:$X$24)+SUMIF(C$7:C1221,C1221,F$7:F1221)-SUMIF(C$7:C1221,C1221,G$7:G1221))</f>
      </c>
      <c r="I1221" s="145">
        <f>IF(AND(F1221="",G1221=""),"",SUM(基础资料!$X$5:$X$24)+SUM(F$7:F1221)-SUM(G$7:G1221))</f>
      </c>
      <c r="J1221" s="141" t="n"/>
      <c r="K1221" s="141" t="n"/>
      <c r="L1221" s="141" t="n"/>
      <c r="M1221" s="142" t="n"/>
      <c r="N1221" s="146">
        <f>IF(AND(AND(F1221="",G1221=""),B1221="",C1221="",D1221="",J1221="",K1221="",L1221=""),"",IF(AND(F1221="",G1221=""),"✗ 没填金额",IF(AND(N(F1221)&lt;&gt;0,N(G1221)&lt;&gt;0),"✗ 收入、支出只能填一边",IF(NOT(ISNUMBER(B1221)),"✗ 日期不是真日期（要像 2026/9/25 这样填）",IF(OR(B1221&lt;年初日,B1221&gt;年末日),"✗ 日期不在本会计年度",IF(C1221="","✗ 没选账户",IF(COUNTIF(基础资料!$W$5:$W$24,C1221)=0,"✗ 账户不在基础资料里",IF(O1221="","✗ 没选收支项目",IF(P1221="未知","✗ 收支项目不在基础资料里",IF(AND(P1221="应收",J1221=""),"✗ 这笔要选客户",IF(AND(P1221="应收",COUNTIF(总览汇总!$B$5:$B$304,J1221)=0),"✗ 客户不在总览汇总名单里",IF(AND(P1221="应付",K1221=""),"✗ 这笔要选供应商",IF(AND(P1221="应付",COUNTIF(基础资料!$Q$5:$Q$54,K1221)=0),"✗ 供应商不在基础资料里",IF(AND(P1221="费用",L1221=""),"✗ 费用支出要选费用项目",IF(AND(L1221&lt;&gt;"",COUNTIF(基础资料!$AI$5:$AI$54,L1221)=0),"✗ 费用项目不在基础资料里",IF(AND(IFERROR(INDEX(基础资料!$AD$5:$AD$34,MATCH(O1221,基础资料!$AC$5:$AC$34,0)),"")="收",N(G1221)&lt;&gt;0),"✗ 这类是收款，金额填到收入列",IF(AND(IFERROR(INDEX(基础资料!$AD$5:$AD$34,MATCH(O1221,基础资料!$AC$5:$AC$34,0)),"")="支",N(F1221)&lt;&gt;0),"✗ 这类是付款，金额填到支出列",IF(N(H1221)&lt;0,"⚠ 账户余额成负数了，核对一下","√"))))))))))))))))))</f>
      </c>
      <c r="O1221" s="78">
        <f>IF(D1221&lt;&gt;"",D1221,IF(AND(F1221="",G1221=""),"",IF(J1221&lt;&gt;"",IF(N(F1221)&gt;0,"客户回款","客户退款"),IF(K1221&lt;&gt;"",IF(N(G1221)&gt;0,"供应商付款","供应商退款"),IF(L1221&lt;&gt;"","费用支出","")))))</f>
      </c>
      <c r="P1221" s="78">
        <f>IF(O1221="","",IFERROR(INDEX(基础资料!$AE$5:$AE$34,MATCH(O1221,基础资料!$AC$5:$AC$34,0)),"未知"))</f>
      </c>
      <c r="Q1221" s="78">
        <f>IF(P1221="应收",COUNTIF(P$7:P1221,"应收"),"")</f>
      </c>
      <c r="R1221" s="78">
        <f>IF(P1221="应付",COUNTIF(P$7:P1221,"应付"),"")</f>
      </c>
      <c r="S1221" s="78">
        <f>N(F1221)-N(G1221)</f>
        <v>0</v>
      </c>
    </row>
    <row r="1222">
      <c r="A1222" s="109">
        <f>IF(AND(F1222="",G1222=""),"",ROW()-6)</f>
      </c>
      <c r="B1222" s="140" t="n"/>
      <c r="C1222" s="141" t="n"/>
      <c r="D1222" s="141" t="n"/>
      <c r="E1222" s="142" t="n"/>
      <c r="F1222" s="143" t="n"/>
      <c r="G1222" s="144" t="n"/>
      <c r="H1222" s="145">
        <f>IF(OR(C1222="",AND(F1222="",G1222="")),"",SUMIF(基础资料!$W$5:$W$24,C1222,基础资料!$X$5:$X$24)+SUMIF(C$7:C1222,C1222,F$7:F1222)-SUMIF(C$7:C1222,C1222,G$7:G1222))</f>
      </c>
      <c r="I1222" s="145">
        <f>IF(AND(F1222="",G1222=""),"",SUM(基础资料!$X$5:$X$24)+SUM(F$7:F1222)-SUM(G$7:G1222))</f>
      </c>
      <c r="J1222" s="141" t="n"/>
      <c r="K1222" s="141" t="n"/>
      <c r="L1222" s="141" t="n"/>
      <c r="M1222" s="142" t="n"/>
      <c r="N1222" s="146">
        <f>IF(AND(AND(F1222="",G1222=""),B1222="",C1222="",D1222="",J1222="",K1222="",L1222=""),"",IF(AND(F1222="",G1222=""),"✗ 没填金额",IF(AND(N(F1222)&lt;&gt;0,N(G1222)&lt;&gt;0),"✗ 收入、支出只能填一边",IF(NOT(ISNUMBER(B1222)),"✗ 日期不是真日期（要像 2026/9/25 这样填）",IF(OR(B1222&lt;年初日,B1222&gt;年末日),"✗ 日期不在本会计年度",IF(C1222="","✗ 没选账户",IF(COUNTIF(基础资料!$W$5:$W$24,C1222)=0,"✗ 账户不在基础资料里",IF(O1222="","✗ 没选收支项目",IF(P1222="未知","✗ 收支项目不在基础资料里",IF(AND(P1222="应收",J1222=""),"✗ 这笔要选客户",IF(AND(P1222="应收",COUNTIF(总览汇总!$B$5:$B$304,J1222)=0),"✗ 客户不在总览汇总名单里",IF(AND(P1222="应付",K1222=""),"✗ 这笔要选供应商",IF(AND(P1222="应付",COUNTIF(基础资料!$Q$5:$Q$54,K1222)=0),"✗ 供应商不在基础资料里",IF(AND(P1222="费用",L1222=""),"✗ 费用支出要选费用项目",IF(AND(L1222&lt;&gt;"",COUNTIF(基础资料!$AI$5:$AI$54,L1222)=0),"✗ 费用项目不在基础资料里",IF(AND(IFERROR(INDEX(基础资料!$AD$5:$AD$34,MATCH(O1222,基础资料!$AC$5:$AC$34,0)),"")="收",N(G1222)&lt;&gt;0),"✗ 这类是收款，金额填到收入列",IF(AND(IFERROR(INDEX(基础资料!$AD$5:$AD$34,MATCH(O1222,基础资料!$AC$5:$AC$34,0)),"")="支",N(F1222)&lt;&gt;0),"✗ 这类是付款，金额填到支出列",IF(N(H1222)&lt;0,"⚠ 账户余额成负数了，核对一下","√"))))))))))))))))))</f>
      </c>
      <c r="O1222" s="78">
        <f>IF(D1222&lt;&gt;"",D1222,IF(AND(F1222="",G1222=""),"",IF(J1222&lt;&gt;"",IF(N(F1222)&gt;0,"客户回款","客户退款"),IF(K1222&lt;&gt;"",IF(N(G1222)&gt;0,"供应商付款","供应商退款"),IF(L1222&lt;&gt;"","费用支出","")))))</f>
      </c>
      <c r="P1222" s="78">
        <f>IF(O1222="","",IFERROR(INDEX(基础资料!$AE$5:$AE$34,MATCH(O1222,基础资料!$AC$5:$AC$34,0)),"未知"))</f>
      </c>
      <c r="Q1222" s="78">
        <f>IF(P1222="应收",COUNTIF(P$7:P1222,"应收"),"")</f>
      </c>
      <c r="R1222" s="78">
        <f>IF(P1222="应付",COUNTIF(P$7:P1222,"应付"),"")</f>
      </c>
      <c r="S1222" s="78">
        <f>N(F1222)-N(G1222)</f>
        <v>0</v>
      </c>
    </row>
    <row r="1223">
      <c r="A1223" s="109">
        <f>IF(AND(F1223="",G1223=""),"",ROW()-6)</f>
      </c>
      <c r="B1223" s="140" t="n"/>
      <c r="C1223" s="141" t="n"/>
      <c r="D1223" s="141" t="n"/>
      <c r="E1223" s="142" t="n"/>
      <c r="F1223" s="143" t="n"/>
      <c r="G1223" s="144" t="n"/>
      <c r="H1223" s="145">
        <f>IF(OR(C1223="",AND(F1223="",G1223="")),"",SUMIF(基础资料!$W$5:$W$24,C1223,基础资料!$X$5:$X$24)+SUMIF(C$7:C1223,C1223,F$7:F1223)-SUMIF(C$7:C1223,C1223,G$7:G1223))</f>
      </c>
      <c r="I1223" s="145">
        <f>IF(AND(F1223="",G1223=""),"",SUM(基础资料!$X$5:$X$24)+SUM(F$7:F1223)-SUM(G$7:G1223))</f>
      </c>
      <c r="J1223" s="141" t="n"/>
      <c r="K1223" s="141" t="n"/>
      <c r="L1223" s="141" t="n"/>
      <c r="M1223" s="142" t="n"/>
      <c r="N1223" s="146">
        <f>IF(AND(AND(F1223="",G1223=""),B1223="",C1223="",D1223="",J1223="",K1223="",L1223=""),"",IF(AND(F1223="",G1223=""),"✗ 没填金额",IF(AND(N(F1223)&lt;&gt;0,N(G1223)&lt;&gt;0),"✗ 收入、支出只能填一边",IF(NOT(ISNUMBER(B1223)),"✗ 日期不是真日期（要像 2026/9/25 这样填）",IF(OR(B1223&lt;年初日,B1223&gt;年末日),"✗ 日期不在本会计年度",IF(C1223="","✗ 没选账户",IF(COUNTIF(基础资料!$W$5:$W$24,C1223)=0,"✗ 账户不在基础资料里",IF(O1223="","✗ 没选收支项目",IF(P1223="未知","✗ 收支项目不在基础资料里",IF(AND(P1223="应收",J1223=""),"✗ 这笔要选客户",IF(AND(P1223="应收",COUNTIF(总览汇总!$B$5:$B$304,J1223)=0),"✗ 客户不在总览汇总名单里",IF(AND(P1223="应付",K1223=""),"✗ 这笔要选供应商",IF(AND(P1223="应付",COUNTIF(基础资料!$Q$5:$Q$54,K1223)=0),"✗ 供应商不在基础资料里",IF(AND(P1223="费用",L1223=""),"✗ 费用支出要选费用项目",IF(AND(L1223&lt;&gt;"",COUNTIF(基础资料!$AI$5:$AI$54,L1223)=0),"✗ 费用项目不在基础资料里",IF(AND(IFERROR(INDEX(基础资料!$AD$5:$AD$34,MATCH(O1223,基础资料!$AC$5:$AC$34,0)),"")="收",N(G1223)&lt;&gt;0),"✗ 这类是收款，金额填到收入列",IF(AND(IFERROR(INDEX(基础资料!$AD$5:$AD$34,MATCH(O1223,基础资料!$AC$5:$AC$34,0)),"")="支",N(F1223)&lt;&gt;0),"✗ 这类是付款，金额填到支出列",IF(N(H1223)&lt;0,"⚠ 账户余额成负数了，核对一下","√"))))))))))))))))))</f>
      </c>
      <c r="O1223" s="78">
        <f>IF(D1223&lt;&gt;"",D1223,IF(AND(F1223="",G1223=""),"",IF(J1223&lt;&gt;"",IF(N(F1223)&gt;0,"客户回款","客户退款"),IF(K1223&lt;&gt;"",IF(N(G1223)&gt;0,"供应商付款","供应商退款"),IF(L1223&lt;&gt;"","费用支出","")))))</f>
      </c>
      <c r="P1223" s="78">
        <f>IF(O1223="","",IFERROR(INDEX(基础资料!$AE$5:$AE$34,MATCH(O1223,基础资料!$AC$5:$AC$34,0)),"未知"))</f>
      </c>
      <c r="Q1223" s="78">
        <f>IF(P1223="应收",COUNTIF(P$7:P1223,"应收"),"")</f>
      </c>
      <c r="R1223" s="78">
        <f>IF(P1223="应付",COUNTIF(P$7:P1223,"应付"),"")</f>
      </c>
      <c r="S1223" s="78">
        <f>N(F1223)-N(G1223)</f>
        <v>0</v>
      </c>
    </row>
    <row r="1224">
      <c r="A1224" s="109">
        <f>IF(AND(F1224="",G1224=""),"",ROW()-6)</f>
      </c>
      <c r="B1224" s="140" t="n"/>
      <c r="C1224" s="141" t="n"/>
      <c r="D1224" s="141" t="n"/>
      <c r="E1224" s="142" t="n"/>
      <c r="F1224" s="143" t="n"/>
      <c r="G1224" s="144" t="n"/>
      <c r="H1224" s="145">
        <f>IF(OR(C1224="",AND(F1224="",G1224="")),"",SUMIF(基础资料!$W$5:$W$24,C1224,基础资料!$X$5:$X$24)+SUMIF(C$7:C1224,C1224,F$7:F1224)-SUMIF(C$7:C1224,C1224,G$7:G1224))</f>
      </c>
      <c r="I1224" s="145">
        <f>IF(AND(F1224="",G1224=""),"",SUM(基础资料!$X$5:$X$24)+SUM(F$7:F1224)-SUM(G$7:G1224))</f>
      </c>
      <c r="J1224" s="141" t="n"/>
      <c r="K1224" s="141" t="n"/>
      <c r="L1224" s="141" t="n"/>
      <c r="M1224" s="142" t="n"/>
      <c r="N1224" s="146">
        <f>IF(AND(AND(F1224="",G1224=""),B1224="",C1224="",D1224="",J1224="",K1224="",L1224=""),"",IF(AND(F1224="",G1224=""),"✗ 没填金额",IF(AND(N(F1224)&lt;&gt;0,N(G1224)&lt;&gt;0),"✗ 收入、支出只能填一边",IF(NOT(ISNUMBER(B1224)),"✗ 日期不是真日期（要像 2026/9/25 这样填）",IF(OR(B1224&lt;年初日,B1224&gt;年末日),"✗ 日期不在本会计年度",IF(C1224="","✗ 没选账户",IF(COUNTIF(基础资料!$W$5:$W$24,C1224)=0,"✗ 账户不在基础资料里",IF(O1224="","✗ 没选收支项目",IF(P1224="未知","✗ 收支项目不在基础资料里",IF(AND(P1224="应收",J1224=""),"✗ 这笔要选客户",IF(AND(P1224="应收",COUNTIF(总览汇总!$B$5:$B$304,J1224)=0),"✗ 客户不在总览汇总名单里",IF(AND(P1224="应付",K1224=""),"✗ 这笔要选供应商",IF(AND(P1224="应付",COUNTIF(基础资料!$Q$5:$Q$54,K1224)=0),"✗ 供应商不在基础资料里",IF(AND(P1224="费用",L1224=""),"✗ 费用支出要选费用项目",IF(AND(L1224&lt;&gt;"",COUNTIF(基础资料!$AI$5:$AI$54,L1224)=0),"✗ 费用项目不在基础资料里",IF(AND(IFERROR(INDEX(基础资料!$AD$5:$AD$34,MATCH(O1224,基础资料!$AC$5:$AC$34,0)),"")="收",N(G1224)&lt;&gt;0),"✗ 这类是收款，金额填到收入列",IF(AND(IFERROR(INDEX(基础资料!$AD$5:$AD$34,MATCH(O1224,基础资料!$AC$5:$AC$34,0)),"")="支",N(F1224)&lt;&gt;0),"✗ 这类是付款，金额填到支出列",IF(N(H1224)&lt;0,"⚠ 账户余额成负数了，核对一下","√"))))))))))))))))))</f>
      </c>
      <c r="O1224" s="78">
        <f>IF(D1224&lt;&gt;"",D1224,IF(AND(F1224="",G1224=""),"",IF(J1224&lt;&gt;"",IF(N(F1224)&gt;0,"客户回款","客户退款"),IF(K1224&lt;&gt;"",IF(N(G1224)&gt;0,"供应商付款","供应商退款"),IF(L1224&lt;&gt;"","费用支出","")))))</f>
      </c>
      <c r="P1224" s="78">
        <f>IF(O1224="","",IFERROR(INDEX(基础资料!$AE$5:$AE$34,MATCH(O1224,基础资料!$AC$5:$AC$34,0)),"未知"))</f>
      </c>
      <c r="Q1224" s="78">
        <f>IF(P1224="应收",COUNTIF(P$7:P1224,"应收"),"")</f>
      </c>
      <c r="R1224" s="78">
        <f>IF(P1224="应付",COUNTIF(P$7:P1224,"应付"),"")</f>
      </c>
      <c r="S1224" s="78">
        <f>N(F1224)-N(G1224)</f>
        <v>0</v>
      </c>
    </row>
    <row r="1225">
      <c r="A1225" s="109">
        <f>IF(AND(F1225="",G1225=""),"",ROW()-6)</f>
      </c>
      <c r="B1225" s="140" t="n"/>
      <c r="C1225" s="141" t="n"/>
      <c r="D1225" s="141" t="n"/>
      <c r="E1225" s="142" t="n"/>
      <c r="F1225" s="143" t="n"/>
      <c r="G1225" s="144" t="n"/>
      <c r="H1225" s="145">
        <f>IF(OR(C1225="",AND(F1225="",G1225="")),"",SUMIF(基础资料!$W$5:$W$24,C1225,基础资料!$X$5:$X$24)+SUMIF(C$7:C1225,C1225,F$7:F1225)-SUMIF(C$7:C1225,C1225,G$7:G1225))</f>
      </c>
      <c r="I1225" s="145">
        <f>IF(AND(F1225="",G1225=""),"",SUM(基础资料!$X$5:$X$24)+SUM(F$7:F1225)-SUM(G$7:G1225))</f>
      </c>
      <c r="J1225" s="141" t="n"/>
      <c r="K1225" s="141" t="n"/>
      <c r="L1225" s="141" t="n"/>
      <c r="M1225" s="142" t="n"/>
      <c r="N1225" s="146">
        <f>IF(AND(AND(F1225="",G1225=""),B1225="",C1225="",D1225="",J1225="",K1225="",L1225=""),"",IF(AND(F1225="",G1225=""),"✗ 没填金额",IF(AND(N(F1225)&lt;&gt;0,N(G1225)&lt;&gt;0),"✗ 收入、支出只能填一边",IF(NOT(ISNUMBER(B1225)),"✗ 日期不是真日期（要像 2026/9/25 这样填）",IF(OR(B1225&lt;年初日,B1225&gt;年末日),"✗ 日期不在本会计年度",IF(C1225="","✗ 没选账户",IF(COUNTIF(基础资料!$W$5:$W$24,C1225)=0,"✗ 账户不在基础资料里",IF(O1225="","✗ 没选收支项目",IF(P1225="未知","✗ 收支项目不在基础资料里",IF(AND(P1225="应收",J1225=""),"✗ 这笔要选客户",IF(AND(P1225="应收",COUNTIF(总览汇总!$B$5:$B$304,J1225)=0),"✗ 客户不在总览汇总名单里",IF(AND(P1225="应付",K1225=""),"✗ 这笔要选供应商",IF(AND(P1225="应付",COUNTIF(基础资料!$Q$5:$Q$54,K1225)=0),"✗ 供应商不在基础资料里",IF(AND(P1225="费用",L1225=""),"✗ 费用支出要选费用项目",IF(AND(L1225&lt;&gt;"",COUNTIF(基础资料!$AI$5:$AI$54,L1225)=0),"✗ 费用项目不在基础资料里",IF(AND(IFERROR(INDEX(基础资料!$AD$5:$AD$34,MATCH(O1225,基础资料!$AC$5:$AC$34,0)),"")="收",N(G1225)&lt;&gt;0),"✗ 这类是收款，金额填到收入列",IF(AND(IFERROR(INDEX(基础资料!$AD$5:$AD$34,MATCH(O1225,基础资料!$AC$5:$AC$34,0)),"")="支",N(F1225)&lt;&gt;0),"✗ 这类是付款，金额填到支出列",IF(N(H1225)&lt;0,"⚠ 账户余额成负数了，核对一下","√"))))))))))))))))))</f>
      </c>
      <c r="O1225" s="78">
        <f>IF(D1225&lt;&gt;"",D1225,IF(AND(F1225="",G1225=""),"",IF(J1225&lt;&gt;"",IF(N(F1225)&gt;0,"客户回款","客户退款"),IF(K1225&lt;&gt;"",IF(N(G1225)&gt;0,"供应商付款","供应商退款"),IF(L1225&lt;&gt;"","费用支出","")))))</f>
      </c>
      <c r="P1225" s="78">
        <f>IF(O1225="","",IFERROR(INDEX(基础资料!$AE$5:$AE$34,MATCH(O1225,基础资料!$AC$5:$AC$34,0)),"未知"))</f>
      </c>
      <c r="Q1225" s="78">
        <f>IF(P1225="应收",COUNTIF(P$7:P1225,"应收"),"")</f>
      </c>
      <c r="R1225" s="78">
        <f>IF(P1225="应付",COUNTIF(P$7:P1225,"应付"),"")</f>
      </c>
      <c r="S1225" s="78">
        <f>N(F1225)-N(G1225)</f>
        <v>0</v>
      </c>
    </row>
    <row r="1226">
      <c r="A1226" s="109">
        <f>IF(AND(F1226="",G1226=""),"",ROW()-6)</f>
      </c>
      <c r="B1226" s="140" t="n"/>
      <c r="C1226" s="141" t="n"/>
      <c r="D1226" s="141" t="n"/>
      <c r="E1226" s="142" t="n"/>
      <c r="F1226" s="143" t="n"/>
      <c r="G1226" s="144" t="n"/>
      <c r="H1226" s="145">
        <f>IF(OR(C1226="",AND(F1226="",G1226="")),"",SUMIF(基础资料!$W$5:$W$24,C1226,基础资料!$X$5:$X$24)+SUMIF(C$7:C1226,C1226,F$7:F1226)-SUMIF(C$7:C1226,C1226,G$7:G1226))</f>
      </c>
      <c r="I1226" s="145">
        <f>IF(AND(F1226="",G1226=""),"",SUM(基础资料!$X$5:$X$24)+SUM(F$7:F1226)-SUM(G$7:G1226))</f>
      </c>
      <c r="J1226" s="141" t="n"/>
      <c r="K1226" s="141" t="n"/>
      <c r="L1226" s="141" t="n"/>
      <c r="M1226" s="142" t="n"/>
      <c r="N1226" s="146">
        <f>IF(AND(AND(F1226="",G1226=""),B1226="",C1226="",D1226="",J1226="",K1226="",L1226=""),"",IF(AND(F1226="",G1226=""),"✗ 没填金额",IF(AND(N(F1226)&lt;&gt;0,N(G1226)&lt;&gt;0),"✗ 收入、支出只能填一边",IF(NOT(ISNUMBER(B1226)),"✗ 日期不是真日期（要像 2026/9/25 这样填）",IF(OR(B1226&lt;年初日,B1226&gt;年末日),"✗ 日期不在本会计年度",IF(C1226="","✗ 没选账户",IF(COUNTIF(基础资料!$W$5:$W$24,C1226)=0,"✗ 账户不在基础资料里",IF(O1226="","✗ 没选收支项目",IF(P1226="未知","✗ 收支项目不在基础资料里",IF(AND(P1226="应收",J1226=""),"✗ 这笔要选客户",IF(AND(P1226="应收",COUNTIF(总览汇总!$B$5:$B$304,J1226)=0),"✗ 客户不在总览汇总名单里",IF(AND(P1226="应付",K1226=""),"✗ 这笔要选供应商",IF(AND(P1226="应付",COUNTIF(基础资料!$Q$5:$Q$54,K1226)=0),"✗ 供应商不在基础资料里",IF(AND(P1226="费用",L1226=""),"✗ 费用支出要选费用项目",IF(AND(L1226&lt;&gt;"",COUNTIF(基础资料!$AI$5:$AI$54,L1226)=0),"✗ 费用项目不在基础资料里",IF(AND(IFERROR(INDEX(基础资料!$AD$5:$AD$34,MATCH(O1226,基础资料!$AC$5:$AC$34,0)),"")="收",N(G1226)&lt;&gt;0),"✗ 这类是收款，金额填到收入列",IF(AND(IFERROR(INDEX(基础资料!$AD$5:$AD$34,MATCH(O1226,基础资料!$AC$5:$AC$34,0)),"")="支",N(F1226)&lt;&gt;0),"✗ 这类是付款，金额填到支出列",IF(N(H1226)&lt;0,"⚠ 账户余额成负数了，核对一下","√"))))))))))))))))))</f>
      </c>
      <c r="O1226" s="78">
        <f>IF(D1226&lt;&gt;"",D1226,IF(AND(F1226="",G1226=""),"",IF(J1226&lt;&gt;"",IF(N(F1226)&gt;0,"客户回款","客户退款"),IF(K1226&lt;&gt;"",IF(N(G1226)&gt;0,"供应商付款","供应商退款"),IF(L1226&lt;&gt;"","费用支出","")))))</f>
      </c>
      <c r="P1226" s="78">
        <f>IF(O1226="","",IFERROR(INDEX(基础资料!$AE$5:$AE$34,MATCH(O1226,基础资料!$AC$5:$AC$34,0)),"未知"))</f>
      </c>
      <c r="Q1226" s="78">
        <f>IF(P1226="应收",COUNTIF(P$7:P1226,"应收"),"")</f>
      </c>
      <c r="R1226" s="78">
        <f>IF(P1226="应付",COUNTIF(P$7:P1226,"应付"),"")</f>
      </c>
      <c r="S1226" s="78">
        <f>N(F1226)-N(G1226)</f>
        <v>0</v>
      </c>
    </row>
    <row r="1227">
      <c r="A1227" s="109">
        <f>IF(AND(F1227="",G1227=""),"",ROW()-6)</f>
      </c>
      <c r="B1227" s="140" t="n"/>
      <c r="C1227" s="141" t="n"/>
      <c r="D1227" s="141" t="n"/>
      <c r="E1227" s="142" t="n"/>
      <c r="F1227" s="143" t="n"/>
      <c r="G1227" s="144" t="n"/>
      <c r="H1227" s="145">
        <f>IF(OR(C1227="",AND(F1227="",G1227="")),"",SUMIF(基础资料!$W$5:$W$24,C1227,基础资料!$X$5:$X$24)+SUMIF(C$7:C1227,C1227,F$7:F1227)-SUMIF(C$7:C1227,C1227,G$7:G1227))</f>
      </c>
      <c r="I1227" s="145">
        <f>IF(AND(F1227="",G1227=""),"",SUM(基础资料!$X$5:$X$24)+SUM(F$7:F1227)-SUM(G$7:G1227))</f>
      </c>
      <c r="J1227" s="141" t="n"/>
      <c r="K1227" s="141" t="n"/>
      <c r="L1227" s="141" t="n"/>
      <c r="M1227" s="142" t="n"/>
      <c r="N1227" s="146">
        <f>IF(AND(AND(F1227="",G1227=""),B1227="",C1227="",D1227="",J1227="",K1227="",L1227=""),"",IF(AND(F1227="",G1227=""),"✗ 没填金额",IF(AND(N(F1227)&lt;&gt;0,N(G1227)&lt;&gt;0),"✗ 收入、支出只能填一边",IF(NOT(ISNUMBER(B1227)),"✗ 日期不是真日期（要像 2026/9/25 这样填）",IF(OR(B1227&lt;年初日,B1227&gt;年末日),"✗ 日期不在本会计年度",IF(C1227="","✗ 没选账户",IF(COUNTIF(基础资料!$W$5:$W$24,C1227)=0,"✗ 账户不在基础资料里",IF(O1227="","✗ 没选收支项目",IF(P1227="未知","✗ 收支项目不在基础资料里",IF(AND(P1227="应收",J1227=""),"✗ 这笔要选客户",IF(AND(P1227="应收",COUNTIF(总览汇总!$B$5:$B$304,J1227)=0),"✗ 客户不在总览汇总名单里",IF(AND(P1227="应付",K1227=""),"✗ 这笔要选供应商",IF(AND(P1227="应付",COUNTIF(基础资料!$Q$5:$Q$54,K1227)=0),"✗ 供应商不在基础资料里",IF(AND(P1227="费用",L1227=""),"✗ 费用支出要选费用项目",IF(AND(L1227&lt;&gt;"",COUNTIF(基础资料!$AI$5:$AI$54,L1227)=0),"✗ 费用项目不在基础资料里",IF(AND(IFERROR(INDEX(基础资料!$AD$5:$AD$34,MATCH(O1227,基础资料!$AC$5:$AC$34,0)),"")="收",N(G1227)&lt;&gt;0),"✗ 这类是收款，金额填到收入列",IF(AND(IFERROR(INDEX(基础资料!$AD$5:$AD$34,MATCH(O1227,基础资料!$AC$5:$AC$34,0)),"")="支",N(F1227)&lt;&gt;0),"✗ 这类是付款，金额填到支出列",IF(N(H1227)&lt;0,"⚠ 账户余额成负数了，核对一下","√"))))))))))))))))))</f>
      </c>
      <c r="O1227" s="78">
        <f>IF(D1227&lt;&gt;"",D1227,IF(AND(F1227="",G1227=""),"",IF(J1227&lt;&gt;"",IF(N(F1227)&gt;0,"客户回款","客户退款"),IF(K1227&lt;&gt;"",IF(N(G1227)&gt;0,"供应商付款","供应商退款"),IF(L1227&lt;&gt;"","费用支出","")))))</f>
      </c>
      <c r="P1227" s="78">
        <f>IF(O1227="","",IFERROR(INDEX(基础资料!$AE$5:$AE$34,MATCH(O1227,基础资料!$AC$5:$AC$34,0)),"未知"))</f>
      </c>
      <c r="Q1227" s="78">
        <f>IF(P1227="应收",COUNTIF(P$7:P1227,"应收"),"")</f>
      </c>
      <c r="R1227" s="78">
        <f>IF(P1227="应付",COUNTIF(P$7:P1227,"应付"),"")</f>
      </c>
      <c r="S1227" s="78">
        <f>N(F1227)-N(G1227)</f>
        <v>0</v>
      </c>
    </row>
    <row r="1228">
      <c r="A1228" s="109">
        <f>IF(AND(F1228="",G1228=""),"",ROW()-6)</f>
      </c>
      <c r="B1228" s="140" t="n"/>
      <c r="C1228" s="141" t="n"/>
      <c r="D1228" s="141" t="n"/>
      <c r="E1228" s="142" t="n"/>
      <c r="F1228" s="143" t="n"/>
      <c r="G1228" s="144" t="n"/>
      <c r="H1228" s="145">
        <f>IF(OR(C1228="",AND(F1228="",G1228="")),"",SUMIF(基础资料!$W$5:$W$24,C1228,基础资料!$X$5:$X$24)+SUMIF(C$7:C1228,C1228,F$7:F1228)-SUMIF(C$7:C1228,C1228,G$7:G1228))</f>
      </c>
      <c r="I1228" s="145">
        <f>IF(AND(F1228="",G1228=""),"",SUM(基础资料!$X$5:$X$24)+SUM(F$7:F1228)-SUM(G$7:G1228))</f>
      </c>
      <c r="J1228" s="141" t="n"/>
      <c r="K1228" s="141" t="n"/>
      <c r="L1228" s="141" t="n"/>
      <c r="M1228" s="142" t="n"/>
      <c r="N1228" s="146">
        <f>IF(AND(AND(F1228="",G1228=""),B1228="",C1228="",D1228="",J1228="",K1228="",L1228=""),"",IF(AND(F1228="",G1228=""),"✗ 没填金额",IF(AND(N(F1228)&lt;&gt;0,N(G1228)&lt;&gt;0),"✗ 收入、支出只能填一边",IF(NOT(ISNUMBER(B1228)),"✗ 日期不是真日期（要像 2026/9/25 这样填）",IF(OR(B1228&lt;年初日,B1228&gt;年末日),"✗ 日期不在本会计年度",IF(C1228="","✗ 没选账户",IF(COUNTIF(基础资料!$W$5:$W$24,C1228)=0,"✗ 账户不在基础资料里",IF(O1228="","✗ 没选收支项目",IF(P1228="未知","✗ 收支项目不在基础资料里",IF(AND(P1228="应收",J1228=""),"✗ 这笔要选客户",IF(AND(P1228="应收",COUNTIF(总览汇总!$B$5:$B$304,J1228)=0),"✗ 客户不在总览汇总名单里",IF(AND(P1228="应付",K1228=""),"✗ 这笔要选供应商",IF(AND(P1228="应付",COUNTIF(基础资料!$Q$5:$Q$54,K1228)=0),"✗ 供应商不在基础资料里",IF(AND(P1228="费用",L1228=""),"✗ 费用支出要选费用项目",IF(AND(L1228&lt;&gt;"",COUNTIF(基础资料!$AI$5:$AI$54,L1228)=0),"✗ 费用项目不在基础资料里",IF(AND(IFERROR(INDEX(基础资料!$AD$5:$AD$34,MATCH(O1228,基础资料!$AC$5:$AC$34,0)),"")="收",N(G1228)&lt;&gt;0),"✗ 这类是收款，金额填到收入列",IF(AND(IFERROR(INDEX(基础资料!$AD$5:$AD$34,MATCH(O1228,基础资料!$AC$5:$AC$34,0)),"")="支",N(F1228)&lt;&gt;0),"✗ 这类是付款，金额填到支出列",IF(N(H1228)&lt;0,"⚠ 账户余额成负数了，核对一下","√"))))))))))))))))))</f>
      </c>
      <c r="O1228" s="78">
        <f>IF(D1228&lt;&gt;"",D1228,IF(AND(F1228="",G1228=""),"",IF(J1228&lt;&gt;"",IF(N(F1228)&gt;0,"客户回款","客户退款"),IF(K1228&lt;&gt;"",IF(N(G1228)&gt;0,"供应商付款","供应商退款"),IF(L1228&lt;&gt;"","费用支出","")))))</f>
      </c>
      <c r="P1228" s="78">
        <f>IF(O1228="","",IFERROR(INDEX(基础资料!$AE$5:$AE$34,MATCH(O1228,基础资料!$AC$5:$AC$34,0)),"未知"))</f>
      </c>
      <c r="Q1228" s="78">
        <f>IF(P1228="应收",COUNTIF(P$7:P1228,"应收"),"")</f>
      </c>
      <c r="R1228" s="78">
        <f>IF(P1228="应付",COUNTIF(P$7:P1228,"应付"),"")</f>
      </c>
      <c r="S1228" s="78">
        <f>N(F1228)-N(G1228)</f>
        <v>0</v>
      </c>
    </row>
    <row r="1229">
      <c r="A1229" s="109">
        <f>IF(AND(F1229="",G1229=""),"",ROW()-6)</f>
      </c>
      <c r="B1229" s="140" t="n"/>
      <c r="C1229" s="141" t="n"/>
      <c r="D1229" s="141" t="n"/>
      <c r="E1229" s="142" t="n"/>
      <c r="F1229" s="143" t="n"/>
      <c r="G1229" s="144" t="n"/>
      <c r="H1229" s="145">
        <f>IF(OR(C1229="",AND(F1229="",G1229="")),"",SUMIF(基础资料!$W$5:$W$24,C1229,基础资料!$X$5:$X$24)+SUMIF(C$7:C1229,C1229,F$7:F1229)-SUMIF(C$7:C1229,C1229,G$7:G1229))</f>
      </c>
      <c r="I1229" s="145">
        <f>IF(AND(F1229="",G1229=""),"",SUM(基础资料!$X$5:$X$24)+SUM(F$7:F1229)-SUM(G$7:G1229))</f>
      </c>
      <c r="J1229" s="141" t="n"/>
      <c r="K1229" s="141" t="n"/>
      <c r="L1229" s="141" t="n"/>
      <c r="M1229" s="142" t="n"/>
      <c r="N1229" s="146">
        <f>IF(AND(AND(F1229="",G1229=""),B1229="",C1229="",D1229="",J1229="",K1229="",L1229=""),"",IF(AND(F1229="",G1229=""),"✗ 没填金额",IF(AND(N(F1229)&lt;&gt;0,N(G1229)&lt;&gt;0),"✗ 收入、支出只能填一边",IF(NOT(ISNUMBER(B1229)),"✗ 日期不是真日期（要像 2026/9/25 这样填）",IF(OR(B1229&lt;年初日,B1229&gt;年末日),"✗ 日期不在本会计年度",IF(C1229="","✗ 没选账户",IF(COUNTIF(基础资料!$W$5:$W$24,C1229)=0,"✗ 账户不在基础资料里",IF(O1229="","✗ 没选收支项目",IF(P1229="未知","✗ 收支项目不在基础资料里",IF(AND(P1229="应收",J1229=""),"✗ 这笔要选客户",IF(AND(P1229="应收",COUNTIF(总览汇总!$B$5:$B$304,J1229)=0),"✗ 客户不在总览汇总名单里",IF(AND(P1229="应付",K1229=""),"✗ 这笔要选供应商",IF(AND(P1229="应付",COUNTIF(基础资料!$Q$5:$Q$54,K1229)=0),"✗ 供应商不在基础资料里",IF(AND(P1229="费用",L1229=""),"✗ 费用支出要选费用项目",IF(AND(L1229&lt;&gt;"",COUNTIF(基础资料!$AI$5:$AI$54,L1229)=0),"✗ 费用项目不在基础资料里",IF(AND(IFERROR(INDEX(基础资料!$AD$5:$AD$34,MATCH(O1229,基础资料!$AC$5:$AC$34,0)),"")="收",N(G1229)&lt;&gt;0),"✗ 这类是收款，金额填到收入列",IF(AND(IFERROR(INDEX(基础资料!$AD$5:$AD$34,MATCH(O1229,基础资料!$AC$5:$AC$34,0)),"")="支",N(F1229)&lt;&gt;0),"✗ 这类是付款，金额填到支出列",IF(N(H1229)&lt;0,"⚠ 账户余额成负数了，核对一下","√"))))))))))))))))))</f>
      </c>
      <c r="O1229" s="78">
        <f>IF(D1229&lt;&gt;"",D1229,IF(AND(F1229="",G1229=""),"",IF(J1229&lt;&gt;"",IF(N(F1229)&gt;0,"客户回款","客户退款"),IF(K1229&lt;&gt;"",IF(N(G1229)&gt;0,"供应商付款","供应商退款"),IF(L1229&lt;&gt;"","费用支出","")))))</f>
      </c>
      <c r="P1229" s="78">
        <f>IF(O1229="","",IFERROR(INDEX(基础资料!$AE$5:$AE$34,MATCH(O1229,基础资料!$AC$5:$AC$34,0)),"未知"))</f>
      </c>
      <c r="Q1229" s="78">
        <f>IF(P1229="应收",COUNTIF(P$7:P1229,"应收"),"")</f>
      </c>
      <c r="R1229" s="78">
        <f>IF(P1229="应付",COUNTIF(P$7:P1229,"应付"),"")</f>
      </c>
      <c r="S1229" s="78">
        <f>N(F1229)-N(G1229)</f>
        <v>0</v>
      </c>
    </row>
    <row r="1230">
      <c r="A1230" s="109">
        <f>IF(AND(F1230="",G1230=""),"",ROW()-6)</f>
      </c>
      <c r="B1230" s="140" t="n"/>
      <c r="C1230" s="141" t="n"/>
      <c r="D1230" s="141" t="n"/>
      <c r="E1230" s="142" t="n"/>
      <c r="F1230" s="143" t="n"/>
      <c r="G1230" s="144" t="n"/>
      <c r="H1230" s="145">
        <f>IF(OR(C1230="",AND(F1230="",G1230="")),"",SUMIF(基础资料!$W$5:$W$24,C1230,基础资料!$X$5:$X$24)+SUMIF(C$7:C1230,C1230,F$7:F1230)-SUMIF(C$7:C1230,C1230,G$7:G1230))</f>
      </c>
      <c r="I1230" s="145">
        <f>IF(AND(F1230="",G1230=""),"",SUM(基础资料!$X$5:$X$24)+SUM(F$7:F1230)-SUM(G$7:G1230))</f>
      </c>
      <c r="J1230" s="141" t="n"/>
      <c r="K1230" s="141" t="n"/>
      <c r="L1230" s="141" t="n"/>
      <c r="M1230" s="142" t="n"/>
      <c r="N1230" s="146">
        <f>IF(AND(AND(F1230="",G1230=""),B1230="",C1230="",D1230="",J1230="",K1230="",L1230=""),"",IF(AND(F1230="",G1230=""),"✗ 没填金额",IF(AND(N(F1230)&lt;&gt;0,N(G1230)&lt;&gt;0),"✗ 收入、支出只能填一边",IF(NOT(ISNUMBER(B1230)),"✗ 日期不是真日期（要像 2026/9/25 这样填）",IF(OR(B1230&lt;年初日,B1230&gt;年末日),"✗ 日期不在本会计年度",IF(C1230="","✗ 没选账户",IF(COUNTIF(基础资料!$W$5:$W$24,C1230)=0,"✗ 账户不在基础资料里",IF(O1230="","✗ 没选收支项目",IF(P1230="未知","✗ 收支项目不在基础资料里",IF(AND(P1230="应收",J1230=""),"✗ 这笔要选客户",IF(AND(P1230="应收",COUNTIF(总览汇总!$B$5:$B$304,J1230)=0),"✗ 客户不在总览汇总名单里",IF(AND(P1230="应付",K1230=""),"✗ 这笔要选供应商",IF(AND(P1230="应付",COUNTIF(基础资料!$Q$5:$Q$54,K1230)=0),"✗ 供应商不在基础资料里",IF(AND(P1230="费用",L1230=""),"✗ 费用支出要选费用项目",IF(AND(L1230&lt;&gt;"",COUNTIF(基础资料!$AI$5:$AI$54,L1230)=0),"✗ 费用项目不在基础资料里",IF(AND(IFERROR(INDEX(基础资料!$AD$5:$AD$34,MATCH(O1230,基础资料!$AC$5:$AC$34,0)),"")="收",N(G1230)&lt;&gt;0),"✗ 这类是收款，金额填到收入列",IF(AND(IFERROR(INDEX(基础资料!$AD$5:$AD$34,MATCH(O1230,基础资料!$AC$5:$AC$34,0)),"")="支",N(F1230)&lt;&gt;0),"✗ 这类是付款，金额填到支出列",IF(N(H1230)&lt;0,"⚠ 账户余额成负数了，核对一下","√"))))))))))))))))))</f>
      </c>
      <c r="O1230" s="78">
        <f>IF(D1230&lt;&gt;"",D1230,IF(AND(F1230="",G1230=""),"",IF(J1230&lt;&gt;"",IF(N(F1230)&gt;0,"客户回款","客户退款"),IF(K1230&lt;&gt;"",IF(N(G1230)&gt;0,"供应商付款","供应商退款"),IF(L1230&lt;&gt;"","费用支出","")))))</f>
      </c>
      <c r="P1230" s="78">
        <f>IF(O1230="","",IFERROR(INDEX(基础资料!$AE$5:$AE$34,MATCH(O1230,基础资料!$AC$5:$AC$34,0)),"未知"))</f>
      </c>
      <c r="Q1230" s="78">
        <f>IF(P1230="应收",COUNTIF(P$7:P1230,"应收"),"")</f>
      </c>
      <c r="R1230" s="78">
        <f>IF(P1230="应付",COUNTIF(P$7:P1230,"应付"),"")</f>
      </c>
      <c r="S1230" s="78">
        <f>N(F1230)-N(G1230)</f>
        <v>0</v>
      </c>
    </row>
    <row r="1231">
      <c r="A1231" s="109">
        <f>IF(AND(F1231="",G1231=""),"",ROW()-6)</f>
      </c>
      <c r="B1231" s="140" t="n"/>
      <c r="C1231" s="141" t="n"/>
      <c r="D1231" s="141" t="n"/>
      <c r="E1231" s="142" t="n"/>
      <c r="F1231" s="143" t="n"/>
      <c r="G1231" s="144" t="n"/>
      <c r="H1231" s="145">
        <f>IF(OR(C1231="",AND(F1231="",G1231="")),"",SUMIF(基础资料!$W$5:$W$24,C1231,基础资料!$X$5:$X$24)+SUMIF(C$7:C1231,C1231,F$7:F1231)-SUMIF(C$7:C1231,C1231,G$7:G1231))</f>
      </c>
      <c r="I1231" s="145">
        <f>IF(AND(F1231="",G1231=""),"",SUM(基础资料!$X$5:$X$24)+SUM(F$7:F1231)-SUM(G$7:G1231))</f>
      </c>
      <c r="J1231" s="141" t="n"/>
      <c r="K1231" s="141" t="n"/>
      <c r="L1231" s="141" t="n"/>
      <c r="M1231" s="142" t="n"/>
      <c r="N1231" s="146">
        <f>IF(AND(AND(F1231="",G1231=""),B1231="",C1231="",D1231="",J1231="",K1231="",L1231=""),"",IF(AND(F1231="",G1231=""),"✗ 没填金额",IF(AND(N(F1231)&lt;&gt;0,N(G1231)&lt;&gt;0),"✗ 收入、支出只能填一边",IF(NOT(ISNUMBER(B1231)),"✗ 日期不是真日期（要像 2026/9/25 这样填）",IF(OR(B1231&lt;年初日,B1231&gt;年末日),"✗ 日期不在本会计年度",IF(C1231="","✗ 没选账户",IF(COUNTIF(基础资料!$W$5:$W$24,C1231)=0,"✗ 账户不在基础资料里",IF(O1231="","✗ 没选收支项目",IF(P1231="未知","✗ 收支项目不在基础资料里",IF(AND(P1231="应收",J1231=""),"✗ 这笔要选客户",IF(AND(P1231="应收",COUNTIF(总览汇总!$B$5:$B$304,J1231)=0),"✗ 客户不在总览汇总名单里",IF(AND(P1231="应付",K1231=""),"✗ 这笔要选供应商",IF(AND(P1231="应付",COUNTIF(基础资料!$Q$5:$Q$54,K1231)=0),"✗ 供应商不在基础资料里",IF(AND(P1231="费用",L1231=""),"✗ 费用支出要选费用项目",IF(AND(L1231&lt;&gt;"",COUNTIF(基础资料!$AI$5:$AI$54,L1231)=0),"✗ 费用项目不在基础资料里",IF(AND(IFERROR(INDEX(基础资料!$AD$5:$AD$34,MATCH(O1231,基础资料!$AC$5:$AC$34,0)),"")="收",N(G1231)&lt;&gt;0),"✗ 这类是收款，金额填到收入列",IF(AND(IFERROR(INDEX(基础资料!$AD$5:$AD$34,MATCH(O1231,基础资料!$AC$5:$AC$34,0)),"")="支",N(F1231)&lt;&gt;0),"✗ 这类是付款，金额填到支出列",IF(N(H1231)&lt;0,"⚠ 账户余额成负数了，核对一下","√"))))))))))))))))))</f>
      </c>
      <c r="O1231" s="78">
        <f>IF(D1231&lt;&gt;"",D1231,IF(AND(F1231="",G1231=""),"",IF(J1231&lt;&gt;"",IF(N(F1231)&gt;0,"客户回款","客户退款"),IF(K1231&lt;&gt;"",IF(N(G1231)&gt;0,"供应商付款","供应商退款"),IF(L1231&lt;&gt;"","费用支出","")))))</f>
      </c>
      <c r="P1231" s="78">
        <f>IF(O1231="","",IFERROR(INDEX(基础资料!$AE$5:$AE$34,MATCH(O1231,基础资料!$AC$5:$AC$34,0)),"未知"))</f>
      </c>
      <c r="Q1231" s="78">
        <f>IF(P1231="应收",COUNTIF(P$7:P1231,"应收"),"")</f>
      </c>
      <c r="R1231" s="78">
        <f>IF(P1231="应付",COUNTIF(P$7:P1231,"应付"),"")</f>
      </c>
      <c r="S1231" s="78">
        <f>N(F1231)-N(G1231)</f>
        <v>0</v>
      </c>
    </row>
    <row r="1232">
      <c r="A1232" s="109">
        <f>IF(AND(F1232="",G1232=""),"",ROW()-6)</f>
      </c>
      <c r="B1232" s="140" t="n"/>
      <c r="C1232" s="141" t="n"/>
      <c r="D1232" s="141" t="n"/>
      <c r="E1232" s="142" t="n"/>
      <c r="F1232" s="143" t="n"/>
      <c r="G1232" s="144" t="n"/>
      <c r="H1232" s="145">
        <f>IF(OR(C1232="",AND(F1232="",G1232="")),"",SUMIF(基础资料!$W$5:$W$24,C1232,基础资料!$X$5:$X$24)+SUMIF(C$7:C1232,C1232,F$7:F1232)-SUMIF(C$7:C1232,C1232,G$7:G1232))</f>
      </c>
      <c r="I1232" s="145">
        <f>IF(AND(F1232="",G1232=""),"",SUM(基础资料!$X$5:$X$24)+SUM(F$7:F1232)-SUM(G$7:G1232))</f>
      </c>
      <c r="J1232" s="141" t="n"/>
      <c r="K1232" s="141" t="n"/>
      <c r="L1232" s="141" t="n"/>
      <c r="M1232" s="142" t="n"/>
      <c r="N1232" s="146">
        <f>IF(AND(AND(F1232="",G1232=""),B1232="",C1232="",D1232="",J1232="",K1232="",L1232=""),"",IF(AND(F1232="",G1232=""),"✗ 没填金额",IF(AND(N(F1232)&lt;&gt;0,N(G1232)&lt;&gt;0),"✗ 收入、支出只能填一边",IF(NOT(ISNUMBER(B1232)),"✗ 日期不是真日期（要像 2026/9/25 这样填）",IF(OR(B1232&lt;年初日,B1232&gt;年末日),"✗ 日期不在本会计年度",IF(C1232="","✗ 没选账户",IF(COUNTIF(基础资料!$W$5:$W$24,C1232)=0,"✗ 账户不在基础资料里",IF(O1232="","✗ 没选收支项目",IF(P1232="未知","✗ 收支项目不在基础资料里",IF(AND(P1232="应收",J1232=""),"✗ 这笔要选客户",IF(AND(P1232="应收",COUNTIF(总览汇总!$B$5:$B$304,J1232)=0),"✗ 客户不在总览汇总名单里",IF(AND(P1232="应付",K1232=""),"✗ 这笔要选供应商",IF(AND(P1232="应付",COUNTIF(基础资料!$Q$5:$Q$54,K1232)=0),"✗ 供应商不在基础资料里",IF(AND(P1232="费用",L1232=""),"✗ 费用支出要选费用项目",IF(AND(L1232&lt;&gt;"",COUNTIF(基础资料!$AI$5:$AI$54,L1232)=0),"✗ 费用项目不在基础资料里",IF(AND(IFERROR(INDEX(基础资料!$AD$5:$AD$34,MATCH(O1232,基础资料!$AC$5:$AC$34,0)),"")="收",N(G1232)&lt;&gt;0),"✗ 这类是收款，金额填到收入列",IF(AND(IFERROR(INDEX(基础资料!$AD$5:$AD$34,MATCH(O1232,基础资料!$AC$5:$AC$34,0)),"")="支",N(F1232)&lt;&gt;0),"✗ 这类是付款，金额填到支出列",IF(N(H1232)&lt;0,"⚠ 账户余额成负数了，核对一下","√"))))))))))))))))))</f>
      </c>
      <c r="O1232" s="78">
        <f>IF(D1232&lt;&gt;"",D1232,IF(AND(F1232="",G1232=""),"",IF(J1232&lt;&gt;"",IF(N(F1232)&gt;0,"客户回款","客户退款"),IF(K1232&lt;&gt;"",IF(N(G1232)&gt;0,"供应商付款","供应商退款"),IF(L1232&lt;&gt;"","费用支出","")))))</f>
      </c>
      <c r="P1232" s="78">
        <f>IF(O1232="","",IFERROR(INDEX(基础资料!$AE$5:$AE$34,MATCH(O1232,基础资料!$AC$5:$AC$34,0)),"未知"))</f>
      </c>
      <c r="Q1232" s="78">
        <f>IF(P1232="应收",COUNTIF(P$7:P1232,"应收"),"")</f>
      </c>
      <c r="R1232" s="78">
        <f>IF(P1232="应付",COUNTIF(P$7:P1232,"应付"),"")</f>
      </c>
      <c r="S1232" s="78">
        <f>N(F1232)-N(G1232)</f>
        <v>0</v>
      </c>
    </row>
    <row r="1233">
      <c r="A1233" s="109">
        <f>IF(AND(F1233="",G1233=""),"",ROW()-6)</f>
      </c>
      <c r="B1233" s="140" t="n"/>
      <c r="C1233" s="141" t="n"/>
      <c r="D1233" s="141" t="n"/>
      <c r="E1233" s="142" t="n"/>
      <c r="F1233" s="143" t="n"/>
      <c r="G1233" s="144" t="n"/>
      <c r="H1233" s="145">
        <f>IF(OR(C1233="",AND(F1233="",G1233="")),"",SUMIF(基础资料!$W$5:$W$24,C1233,基础资料!$X$5:$X$24)+SUMIF(C$7:C1233,C1233,F$7:F1233)-SUMIF(C$7:C1233,C1233,G$7:G1233))</f>
      </c>
      <c r="I1233" s="145">
        <f>IF(AND(F1233="",G1233=""),"",SUM(基础资料!$X$5:$X$24)+SUM(F$7:F1233)-SUM(G$7:G1233))</f>
      </c>
      <c r="J1233" s="141" t="n"/>
      <c r="K1233" s="141" t="n"/>
      <c r="L1233" s="141" t="n"/>
      <c r="M1233" s="142" t="n"/>
      <c r="N1233" s="146">
        <f>IF(AND(AND(F1233="",G1233=""),B1233="",C1233="",D1233="",J1233="",K1233="",L1233=""),"",IF(AND(F1233="",G1233=""),"✗ 没填金额",IF(AND(N(F1233)&lt;&gt;0,N(G1233)&lt;&gt;0),"✗ 收入、支出只能填一边",IF(NOT(ISNUMBER(B1233)),"✗ 日期不是真日期（要像 2026/9/25 这样填）",IF(OR(B1233&lt;年初日,B1233&gt;年末日),"✗ 日期不在本会计年度",IF(C1233="","✗ 没选账户",IF(COUNTIF(基础资料!$W$5:$W$24,C1233)=0,"✗ 账户不在基础资料里",IF(O1233="","✗ 没选收支项目",IF(P1233="未知","✗ 收支项目不在基础资料里",IF(AND(P1233="应收",J1233=""),"✗ 这笔要选客户",IF(AND(P1233="应收",COUNTIF(总览汇总!$B$5:$B$304,J1233)=0),"✗ 客户不在总览汇总名单里",IF(AND(P1233="应付",K1233=""),"✗ 这笔要选供应商",IF(AND(P1233="应付",COUNTIF(基础资料!$Q$5:$Q$54,K1233)=0),"✗ 供应商不在基础资料里",IF(AND(P1233="费用",L1233=""),"✗ 费用支出要选费用项目",IF(AND(L1233&lt;&gt;"",COUNTIF(基础资料!$AI$5:$AI$54,L1233)=0),"✗ 费用项目不在基础资料里",IF(AND(IFERROR(INDEX(基础资料!$AD$5:$AD$34,MATCH(O1233,基础资料!$AC$5:$AC$34,0)),"")="收",N(G1233)&lt;&gt;0),"✗ 这类是收款，金额填到收入列",IF(AND(IFERROR(INDEX(基础资料!$AD$5:$AD$34,MATCH(O1233,基础资料!$AC$5:$AC$34,0)),"")="支",N(F1233)&lt;&gt;0),"✗ 这类是付款，金额填到支出列",IF(N(H1233)&lt;0,"⚠ 账户余额成负数了，核对一下","√"))))))))))))))))))</f>
      </c>
      <c r="O1233" s="78">
        <f>IF(D1233&lt;&gt;"",D1233,IF(AND(F1233="",G1233=""),"",IF(J1233&lt;&gt;"",IF(N(F1233)&gt;0,"客户回款","客户退款"),IF(K1233&lt;&gt;"",IF(N(G1233)&gt;0,"供应商付款","供应商退款"),IF(L1233&lt;&gt;"","费用支出","")))))</f>
      </c>
      <c r="P1233" s="78">
        <f>IF(O1233="","",IFERROR(INDEX(基础资料!$AE$5:$AE$34,MATCH(O1233,基础资料!$AC$5:$AC$34,0)),"未知"))</f>
      </c>
      <c r="Q1233" s="78">
        <f>IF(P1233="应收",COUNTIF(P$7:P1233,"应收"),"")</f>
      </c>
      <c r="R1233" s="78">
        <f>IF(P1233="应付",COUNTIF(P$7:P1233,"应付"),"")</f>
      </c>
      <c r="S1233" s="78">
        <f>N(F1233)-N(G1233)</f>
        <v>0</v>
      </c>
    </row>
    <row r="1234">
      <c r="A1234" s="109">
        <f>IF(AND(F1234="",G1234=""),"",ROW()-6)</f>
      </c>
      <c r="B1234" s="140" t="n"/>
      <c r="C1234" s="141" t="n"/>
      <c r="D1234" s="141" t="n"/>
      <c r="E1234" s="142" t="n"/>
      <c r="F1234" s="143" t="n"/>
      <c r="G1234" s="144" t="n"/>
      <c r="H1234" s="145">
        <f>IF(OR(C1234="",AND(F1234="",G1234="")),"",SUMIF(基础资料!$W$5:$W$24,C1234,基础资料!$X$5:$X$24)+SUMIF(C$7:C1234,C1234,F$7:F1234)-SUMIF(C$7:C1234,C1234,G$7:G1234))</f>
      </c>
      <c r="I1234" s="145">
        <f>IF(AND(F1234="",G1234=""),"",SUM(基础资料!$X$5:$X$24)+SUM(F$7:F1234)-SUM(G$7:G1234))</f>
      </c>
      <c r="J1234" s="141" t="n"/>
      <c r="K1234" s="141" t="n"/>
      <c r="L1234" s="141" t="n"/>
      <c r="M1234" s="142" t="n"/>
      <c r="N1234" s="146">
        <f>IF(AND(AND(F1234="",G1234=""),B1234="",C1234="",D1234="",J1234="",K1234="",L1234=""),"",IF(AND(F1234="",G1234=""),"✗ 没填金额",IF(AND(N(F1234)&lt;&gt;0,N(G1234)&lt;&gt;0),"✗ 收入、支出只能填一边",IF(NOT(ISNUMBER(B1234)),"✗ 日期不是真日期（要像 2026/9/25 这样填）",IF(OR(B1234&lt;年初日,B1234&gt;年末日),"✗ 日期不在本会计年度",IF(C1234="","✗ 没选账户",IF(COUNTIF(基础资料!$W$5:$W$24,C1234)=0,"✗ 账户不在基础资料里",IF(O1234="","✗ 没选收支项目",IF(P1234="未知","✗ 收支项目不在基础资料里",IF(AND(P1234="应收",J1234=""),"✗ 这笔要选客户",IF(AND(P1234="应收",COUNTIF(总览汇总!$B$5:$B$304,J1234)=0),"✗ 客户不在总览汇总名单里",IF(AND(P1234="应付",K1234=""),"✗ 这笔要选供应商",IF(AND(P1234="应付",COUNTIF(基础资料!$Q$5:$Q$54,K1234)=0),"✗ 供应商不在基础资料里",IF(AND(P1234="费用",L1234=""),"✗ 费用支出要选费用项目",IF(AND(L1234&lt;&gt;"",COUNTIF(基础资料!$AI$5:$AI$54,L1234)=0),"✗ 费用项目不在基础资料里",IF(AND(IFERROR(INDEX(基础资料!$AD$5:$AD$34,MATCH(O1234,基础资料!$AC$5:$AC$34,0)),"")="收",N(G1234)&lt;&gt;0),"✗ 这类是收款，金额填到收入列",IF(AND(IFERROR(INDEX(基础资料!$AD$5:$AD$34,MATCH(O1234,基础资料!$AC$5:$AC$34,0)),"")="支",N(F1234)&lt;&gt;0),"✗ 这类是付款，金额填到支出列",IF(N(H1234)&lt;0,"⚠ 账户余额成负数了，核对一下","√"))))))))))))))))))</f>
      </c>
      <c r="O1234" s="78">
        <f>IF(D1234&lt;&gt;"",D1234,IF(AND(F1234="",G1234=""),"",IF(J1234&lt;&gt;"",IF(N(F1234)&gt;0,"客户回款","客户退款"),IF(K1234&lt;&gt;"",IF(N(G1234)&gt;0,"供应商付款","供应商退款"),IF(L1234&lt;&gt;"","费用支出","")))))</f>
      </c>
      <c r="P1234" s="78">
        <f>IF(O1234="","",IFERROR(INDEX(基础资料!$AE$5:$AE$34,MATCH(O1234,基础资料!$AC$5:$AC$34,0)),"未知"))</f>
      </c>
      <c r="Q1234" s="78">
        <f>IF(P1234="应收",COUNTIF(P$7:P1234,"应收"),"")</f>
      </c>
      <c r="R1234" s="78">
        <f>IF(P1234="应付",COUNTIF(P$7:P1234,"应付"),"")</f>
      </c>
      <c r="S1234" s="78">
        <f>N(F1234)-N(G1234)</f>
        <v>0</v>
      </c>
    </row>
    <row r="1235">
      <c r="A1235" s="109">
        <f>IF(AND(F1235="",G1235=""),"",ROW()-6)</f>
      </c>
      <c r="B1235" s="140" t="n"/>
      <c r="C1235" s="141" t="n"/>
      <c r="D1235" s="141" t="n"/>
      <c r="E1235" s="142" t="n"/>
      <c r="F1235" s="143" t="n"/>
      <c r="G1235" s="144" t="n"/>
      <c r="H1235" s="145">
        <f>IF(OR(C1235="",AND(F1235="",G1235="")),"",SUMIF(基础资料!$W$5:$W$24,C1235,基础资料!$X$5:$X$24)+SUMIF(C$7:C1235,C1235,F$7:F1235)-SUMIF(C$7:C1235,C1235,G$7:G1235))</f>
      </c>
      <c r="I1235" s="145">
        <f>IF(AND(F1235="",G1235=""),"",SUM(基础资料!$X$5:$X$24)+SUM(F$7:F1235)-SUM(G$7:G1235))</f>
      </c>
      <c r="J1235" s="141" t="n"/>
      <c r="K1235" s="141" t="n"/>
      <c r="L1235" s="141" t="n"/>
      <c r="M1235" s="142" t="n"/>
      <c r="N1235" s="146">
        <f>IF(AND(AND(F1235="",G1235=""),B1235="",C1235="",D1235="",J1235="",K1235="",L1235=""),"",IF(AND(F1235="",G1235=""),"✗ 没填金额",IF(AND(N(F1235)&lt;&gt;0,N(G1235)&lt;&gt;0),"✗ 收入、支出只能填一边",IF(NOT(ISNUMBER(B1235)),"✗ 日期不是真日期（要像 2026/9/25 这样填）",IF(OR(B1235&lt;年初日,B1235&gt;年末日),"✗ 日期不在本会计年度",IF(C1235="","✗ 没选账户",IF(COUNTIF(基础资料!$W$5:$W$24,C1235)=0,"✗ 账户不在基础资料里",IF(O1235="","✗ 没选收支项目",IF(P1235="未知","✗ 收支项目不在基础资料里",IF(AND(P1235="应收",J1235=""),"✗ 这笔要选客户",IF(AND(P1235="应收",COUNTIF(总览汇总!$B$5:$B$304,J1235)=0),"✗ 客户不在总览汇总名单里",IF(AND(P1235="应付",K1235=""),"✗ 这笔要选供应商",IF(AND(P1235="应付",COUNTIF(基础资料!$Q$5:$Q$54,K1235)=0),"✗ 供应商不在基础资料里",IF(AND(P1235="费用",L1235=""),"✗ 费用支出要选费用项目",IF(AND(L1235&lt;&gt;"",COUNTIF(基础资料!$AI$5:$AI$54,L1235)=0),"✗ 费用项目不在基础资料里",IF(AND(IFERROR(INDEX(基础资料!$AD$5:$AD$34,MATCH(O1235,基础资料!$AC$5:$AC$34,0)),"")="收",N(G1235)&lt;&gt;0),"✗ 这类是收款，金额填到收入列",IF(AND(IFERROR(INDEX(基础资料!$AD$5:$AD$34,MATCH(O1235,基础资料!$AC$5:$AC$34,0)),"")="支",N(F1235)&lt;&gt;0),"✗ 这类是付款，金额填到支出列",IF(N(H1235)&lt;0,"⚠ 账户余额成负数了，核对一下","√"))))))))))))))))))</f>
      </c>
      <c r="O1235" s="78">
        <f>IF(D1235&lt;&gt;"",D1235,IF(AND(F1235="",G1235=""),"",IF(J1235&lt;&gt;"",IF(N(F1235)&gt;0,"客户回款","客户退款"),IF(K1235&lt;&gt;"",IF(N(G1235)&gt;0,"供应商付款","供应商退款"),IF(L1235&lt;&gt;"","费用支出","")))))</f>
      </c>
      <c r="P1235" s="78">
        <f>IF(O1235="","",IFERROR(INDEX(基础资料!$AE$5:$AE$34,MATCH(O1235,基础资料!$AC$5:$AC$34,0)),"未知"))</f>
      </c>
      <c r="Q1235" s="78">
        <f>IF(P1235="应收",COUNTIF(P$7:P1235,"应收"),"")</f>
      </c>
      <c r="R1235" s="78">
        <f>IF(P1235="应付",COUNTIF(P$7:P1235,"应付"),"")</f>
      </c>
      <c r="S1235" s="78">
        <f>N(F1235)-N(G1235)</f>
        <v>0</v>
      </c>
    </row>
    <row r="1236">
      <c r="A1236" s="109">
        <f>IF(AND(F1236="",G1236=""),"",ROW()-6)</f>
      </c>
      <c r="B1236" s="140" t="n"/>
      <c r="C1236" s="141" t="n"/>
      <c r="D1236" s="141" t="n"/>
      <c r="E1236" s="142" t="n"/>
      <c r="F1236" s="143" t="n"/>
      <c r="G1236" s="144" t="n"/>
      <c r="H1236" s="145">
        <f>IF(OR(C1236="",AND(F1236="",G1236="")),"",SUMIF(基础资料!$W$5:$W$24,C1236,基础资料!$X$5:$X$24)+SUMIF(C$7:C1236,C1236,F$7:F1236)-SUMIF(C$7:C1236,C1236,G$7:G1236))</f>
      </c>
      <c r="I1236" s="145">
        <f>IF(AND(F1236="",G1236=""),"",SUM(基础资料!$X$5:$X$24)+SUM(F$7:F1236)-SUM(G$7:G1236))</f>
      </c>
      <c r="J1236" s="141" t="n"/>
      <c r="K1236" s="141" t="n"/>
      <c r="L1236" s="141" t="n"/>
      <c r="M1236" s="142" t="n"/>
      <c r="N1236" s="146">
        <f>IF(AND(AND(F1236="",G1236=""),B1236="",C1236="",D1236="",J1236="",K1236="",L1236=""),"",IF(AND(F1236="",G1236=""),"✗ 没填金额",IF(AND(N(F1236)&lt;&gt;0,N(G1236)&lt;&gt;0),"✗ 收入、支出只能填一边",IF(NOT(ISNUMBER(B1236)),"✗ 日期不是真日期（要像 2026/9/25 这样填）",IF(OR(B1236&lt;年初日,B1236&gt;年末日),"✗ 日期不在本会计年度",IF(C1236="","✗ 没选账户",IF(COUNTIF(基础资料!$W$5:$W$24,C1236)=0,"✗ 账户不在基础资料里",IF(O1236="","✗ 没选收支项目",IF(P1236="未知","✗ 收支项目不在基础资料里",IF(AND(P1236="应收",J1236=""),"✗ 这笔要选客户",IF(AND(P1236="应收",COUNTIF(总览汇总!$B$5:$B$304,J1236)=0),"✗ 客户不在总览汇总名单里",IF(AND(P1236="应付",K1236=""),"✗ 这笔要选供应商",IF(AND(P1236="应付",COUNTIF(基础资料!$Q$5:$Q$54,K1236)=0),"✗ 供应商不在基础资料里",IF(AND(P1236="费用",L1236=""),"✗ 费用支出要选费用项目",IF(AND(L1236&lt;&gt;"",COUNTIF(基础资料!$AI$5:$AI$54,L1236)=0),"✗ 费用项目不在基础资料里",IF(AND(IFERROR(INDEX(基础资料!$AD$5:$AD$34,MATCH(O1236,基础资料!$AC$5:$AC$34,0)),"")="收",N(G1236)&lt;&gt;0),"✗ 这类是收款，金额填到收入列",IF(AND(IFERROR(INDEX(基础资料!$AD$5:$AD$34,MATCH(O1236,基础资料!$AC$5:$AC$34,0)),"")="支",N(F1236)&lt;&gt;0),"✗ 这类是付款，金额填到支出列",IF(N(H1236)&lt;0,"⚠ 账户余额成负数了，核对一下","√"))))))))))))))))))</f>
      </c>
      <c r="O1236" s="78">
        <f>IF(D1236&lt;&gt;"",D1236,IF(AND(F1236="",G1236=""),"",IF(J1236&lt;&gt;"",IF(N(F1236)&gt;0,"客户回款","客户退款"),IF(K1236&lt;&gt;"",IF(N(G1236)&gt;0,"供应商付款","供应商退款"),IF(L1236&lt;&gt;"","费用支出","")))))</f>
      </c>
      <c r="P1236" s="78">
        <f>IF(O1236="","",IFERROR(INDEX(基础资料!$AE$5:$AE$34,MATCH(O1236,基础资料!$AC$5:$AC$34,0)),"未知"))</f>
      </c>
      <c r="Q1236" s="78">
        <f>IF(P1236="应收",COUNTIF(P$7:P1236,"应收"),"")</f>
      </c>
      <c r="R1236" s="78">
        <f>IF(P1236="应付",COUNTIF(P$7:P1236,"应付"),"")</f>
      </c>
      <c r="S1236" s="78">
        <f>N(F1236)-N(G1236)</f>
        <v>0</v>
      </c>
    </row>
    <row r="1237">
      <c r="A1237" s="109">
        <f>IF(AND(F1237="",G1237=""),"",ROW()-6)</f>
      </c>
      <c r="B1237" s="140" t="n"/>
      <c r="C1237" s="141" t="n"/>
      <c r="D1237" s="141" t="n"/>
      <c r="E1237" s="142" t="n"/>
      <c r="F1237" s="143" t="n"/>
      <c r="G1237" s="144" t="n"/>
      <c r="H1237" s="145">
        <f>IF(OR(C1237="",AND(F1237="",G1237="")),"",SUMIF(基础资料!$W$5:$W$24,C1237,基础资料!$X$5:$X$24)+SUMIF(C$7:C1237,C1237,F$7:F1237)-SUMIF(C$7:C1237,C1237,G$7:G1237))</f>
      </c>
      <c r="I1237" s="145">
        <f>IF(AND(F1237="",G1237=""),"",SUM(基础资料!$X$5:$X$24)+SUM(F$7:F1237)-SUM(G$7:G1237))</f>
      </c>
      <c r="J1237" s="141" t="n"/>
      <c r="K1237" s="141" t="n"/>
      <c r="L1237" s="141" t="n"/>
      <c r="M1237" s="142" t="n"/>
      <c r="N1237" s="146">
        <f>IF(AND(AND(F1237="",G1237=""),B1237="",C1237="",D1237="",J1237="",K1237="",L1237=""),"",IF(AND(F1237="",G1237=""),"✗ 没填金额",IF(AND(N(F1237)&lt;&gt;0,N(G1237)&lt;&gt;0),"✗ 收入、支出只能填一边",IF(NOT(ISNUMBER(B1237)),"✗ 日期不是真日期（要像 2026/9/25 这样填）",IF(OR(B1237&lt;年初日,B1237&gt;年末日),"✗ 日期不在本会计年度",IF(C1237="","✗ 没选账户",IF(COUNTIF(基础资料!$W$5:$W$24,C1237)=0,"✗ 账户不在基础资料里",IF(O1237="","✗ 没选收支项目",IF(P1237="未知","✗ 收支项目不在基础资料里",IF(AND(P1237="应收",J1237=""),"✗ 这笔要选客户",IF(AND(P1237="应收",COUNTIF(总览汇总!$B$5:$B$304,J1237)=0),"✗ 客户不在总览汇总名单里",IF(AND(P1237="应付",K1237=""),"✗ 这笔要选供应商",IF(AND(P1237="应付",COUNTIF(基础资料!$Q$5:$Q$54,K1237)=0),"✗ 供应商不在基础资料里",IF(AND(P1237="费用",L1237=""),"✗ 费用支出要选费用项目",IF(AND(L1237&lt;&gt;"",COUNTIF(基础资料!$AI$5:$AI$54,L1237)=0),"✗ 费用项目不在基础资料里",IF(AND(IFERROR(INDEX(基础资料!$AD$5:$AD$34,MATCH(O1237,基础资料!$AC$5:$AC$34,0)),"")="收",N(G1237)&lt;&gt;0),"✗ 这类是收款，金额填到收入列",IF(AND(IFERROR(INDEX(基础资料!$AD$5:$AD$34,MATCH(O1237,基础资料!$AC$5:$AC$34,0)),"")="支",N(F1237)&lt;&gt;0),"✗ 这类是付款，金额填到支出列",IF(N(H1237)&lt;0,"⚠ 账户余额成负数了，核对一下","√"))))))))))))))))))</f>
      </c>
      <c r="O1237" s="78">
        <f>IF(D1237&lt;&gt;"",D1237,IF(AND(F1237="",G1237=""),"",IF(J1237&lt;&gt;"",IF(N(F1237)&gt;0,"客户回款","客户退款"),IF(K1237&lt;&gt;"",IF(N(G1237)&gt;0,"供应商付款","供应商退款"),IF(L1237&lt;&gt;"","费用支出","")))))</f>
      </c>
      <c r="P1237" s="78">
        <f>IF(O1237="","",IFERROR(INDEX(基础资料!$AE$5:$AE$34,MATCH(O1237,基础资料!$AC$5:$AC$34,0)),"未知"))</f>
      </c>
      <c r="Q1237" s="78">
        <f>IF(P1237="应收",COUNTIF(P$7:P1237,"应收"),"")</f>
      </c>
      <c r="R1237" s="78">
        <f>IF(P1237="应付",COUNTIF(P$7:P1237,"应付"),"")</f>
      </c>
      <c r="S1237" s="78">
        <f>N(F1237)-N(G1237)</f>
        <v>0</v>
      </c>
    </row>
    <row r="1238">
      <c r="A1238" s="109">
        <f>IF(AND(F1238="",G1238=""),"",ROW()-6)</f>
      </c>
      <c r="B1238" s="140" t="n"/>
      <c r="C1238" s="141" t="n"/>
      <c r="D1238" s="141" t="n"/>
      <c r="E1238" s="142" t="n"/>
      <c r="F1238" s="143" t="n"/>
      <c r="G1238" s="144" t="n"/>
      <c r="H1238" s="145">
        <f>IF(OR(C1238="",AND(F1238="",G1238="")),"",SUMIF(基础资料!$W$5:$W$24,C1238,基础资料!$X$5:$X$24)+SUMIF(C$7:C1238,C1238,F$7:F1238)-SUMIF(C$7:C1238,C1238,G$7:G1238))</f>
      </c>
      <c r="I1238" s="145">
        <f>IF(AND(F1238="",G1238=""),"",SUM(基础资料!$X$5:$X$24)+SUM(F$7:F1238)-SUM(G$7:G1238))</f>
      </c>
      <c r="J1238" s="141" t="n"/>
      <c r="K1238" s="141" t="n"/>
      <c r="L1238" s="141" t="n"/>
      <c r="M1238" s="142" t="n"/>
      <c r="N1238" s="146">
        <f>IF(AND(AND(F1238="",G1238=""),B1238="",C1238="",D1238="",J1238="",K1238="",L1238=""),"",IF(AND(F1238="",G1238=""),"✗ 没填金额",IF(AND(N(F1238)&lt;&gt;0,N(G1238)&lt;&gt;0),"✗ 收入、支出只能填一边",IF(NOT(ISNUMBER(B1238)),"✗ 日期不是真日期（要像 2026/9/25 这样填）",IF(OR(B1238&lt;年初日,B1238&gt;年末日),"✗ 日期不在本会计年度",IF(C1238="","✗ 没选账户",IF(COUNTIF(基础资料!$W$5:$W$24,C1238)=0,"✗ 账户不在基础资料里",IF(O1238="","✗ 没选收支项目",IF(P1238="未知","✗ 收支项目不在基础资料里",IF(AND(P1238="应收",J1238=""),"✗ 这笔要选客户",IF(AND(P1238="应收",COUNTIF(总览汇总!$B$5:$B$304,J1238)=0),"✗ 客户不在总览汇总名单里",IF(AND(P1238="应付",K1238=""),"✗ 这笔要选供应商",IF(AND(P1238="应付",COUNTIF(基础资料!$Q$5:$Q$54,K1238)=0),"✗ 供应商不在基础资料里",IF(AND(P1238="费用",L1238=""),"✗ 费用支出要选费用项目",IF(AND(L1238&lt;&gt;"",COUNTIF(基础资料!$AI$5:$AI$54,L1238)=0),"✗ 费用项目不在基础资料里",IF(AND(IFERROR(INDEX(基础资料!$AD$5:$AD$34,MATCH(O1238,基础资料!$AC$5:$AC$34,0)),"")="收",N(G1238)&lt;&gt;0),"✗ 这类是收款，金额填到收入列",IF(AND(IFERROR(INDEX(基础资料!$AD$5:$AD$34,MATCH(O1238,基础资料!$AC$5:$AC$34,0)),"")="支",N(F1238)&lt;&gt;0),"✗ 这类是付款，金额填到支出列",IF(N(H1238)&lt;0,"⚠ 账户余额成负数了，核对一下","√"))))))))))))))))))</f>
      </c>
      <c r="O1238" s="78">
        <f>IF(D1238&lt;&gt;"",D1238,IF(AND(F1238="",G1238=""),"",IF(J1238&lt;&gt;"",IF(N(F1238)&gt;0,"客户回款","客户退款"),IF(K1238&lt;&gt;"",IF(N(G1238)&gt;0,"供应商付款","供应商退款"),IF(L1238&lt;&gt;"","费用支出","")))))</f>
      </c>
      <c r="P1238" s="78">
        <f>IF(O1238="","",IFERROR(INDEX(基础资料!$AE$5:$AE$34,MATCH(O1238,基础资料!$AC$5:$AC$34,0)),"未知"))</f>
      </c>
      <c r="Q1238" s="78">
        <f>IF(P1238="应收",COUNTIF(P$7:P1238,"应收"),"")</f>
      </c>
      <c r="R1238" s="78">
        <f>IF(P1238="应付",COUNTIF(P$7:P1238,"应付"),"")</f>
      </c>
      <c r="S1238" s="78">
        <f>N(F1238)-N(G1238)</f>
        <v>0</v>
      </c>
    </row>
    <row r="1239">
      <c r="A1239" s="109">
        <f>IF(AND(F1239="",G1239=""),"",ROW()-6)</f>
      </c>
      <c r="B1239" s="140" t="n"/>
      <c r="C1239" s="141" t="n"/>
      <c r="D1239" s="141" t="n"/>
      <c r="E1239" s="142" t="n"/>
      <c r="F1239" s="143" t="n"/>
      <c r="G1239" s="144" t="n"/>
      <c r="H1239" s="145">
        <f>IF(OR(C1239="",AND(F1239="",G1239="")),"",SUMIF(基础资料!$W$5:$W$24,C1239,基础资料!$X$5:$X$24)+SUMIF(C$7:C1239,C1239,F$7:F1239)-SUMIF(C$7:C1239,C1239,G$7:G1239))</f>
      </c>
      <c r="I1239" s="145">
        <f>IF(AND(F1239="",G1239=""),"",SUM(基础资料!$X$5:$X$24)+SUM(F$7:F1239)-SUM(G$7:G1239))</f>
      </c>
      <c r="J1239" s="141" t="n"/>
      <c r="K1239" s="141" t="n"/>
      <c r="L1239" s="141" t="n"/>
      <c r="M1239" s="142" t="n"/>
      <c r="N1239" s="146">
        <f>IF(AND(AND(F1239="",G1239=""),B1239="",C1239="",D1239="",J1239="",K1239="",L1239=""),"",IF(AND(F1239="",G1239=""),"✗ 没填金额",IF(AND(N(F1239)&lt;&gt;0,N(G1239)&lt;&gt;0),"✗ 收入、支出只能填一边",IF(NOT(ISNUMBER(B1239)),"✗ 日期不是真日期（要像 2026/9/25 这样填）",IF(OR(B1239&lt;年初日,B1239&gt;年末日),"✗ 日期不在本会计年度",IF(C1239="","✗ 没选账户",IF(COUNTIF(基础资料!$W$5:$W$24,C1239)=0,"✗ 账户不在基础资料里",IF(O1239="","✗ 没选收支项目",IF(P1239="未知","✗ 收支项目不在基础资料里",IF(AND(P1239="应收",J1239=""),"✗ 这笔要选客户",IF(AND(P1239="应收",COUNTIF(总览汇总!$B$5:$B$304,J1239)=0),"✗ 客户不在总览汇总名单里",IF(AND(P1239="应付",K1239=""),"✗ 这笔要选供应商",IF(AND(P1239="应付",COUNTIF(基础资料!$Q$5:$Q$54,K1239)=0),"✗ 供应商不在基础资料里",IF(AND(P1239="费用",L1239=""),"✗ 费用支出要选费用项目",IF(AND(L1239&lt;&gt;"",COUNTIF(基础资料!$AI$5:$AI$54,L1239)=0),"✗ 费用项目不在基础资料里",IF(AND(IFERROR(INDEX(基础资料!$AD$5:$AD$34,MATCH(O1239,基础资料!$AC$5:$AC$34,0)),"")="收",N(G1239)&lt;&gt;0),"✗ 这类是收款，金额填到收入列",IF(AND(IFERROR(INDEX(基础资料!$AD$5:$AD$34,MATCH(O1239,基础资料!$AC$5:$AC$34,0)),"")="支",N(F1239)&lt;&gt;0),"✗ 这类是付款，金额填到支出列",IF(N(H1239)&lt;0,"⚠ 账户余额成负数了，核对一下","√"))))))))))))))))))</f>
      </c>
      <c r="O1239" s="78">
        <f>IF(D1239&lt;&gt;"",D1239,IF(AND(F1239="",G1239=""),"",IF(J1239&lt;&gt;"",IF(N(F1239)&gt;0,"客户回款","客户退款"),IF(K1239&lt;&gt;"",IF(N(G1239)&gt;0,"供应商付款","供应商退款"),IF(L1239&lt;&gt;"","费用支出","")))))</f>
      </c>
      <c r="P1239" s="78">
        <f>IF(O1239="","",IFERROR(INDEX(基础资料!$AE$5:$AE$34,MATCH(O1239,基础资料!$AC$5:$AC$34,0)),"未知"))</f>
      </c>
      <c r="Q1239" s="78">
        <f>IF(P1239="应收",COUNTIF(P$7:P1239,"应收"),"")</f>
      </c>
      <c r="R1239" s="78">
        <f>IF(P1239="应付",COUNTIF(P$7:P1239,"应付"),"")</f>
      </c>
      <c r="S1239" s="78">
        <f>N(F1239)-N(G1239)</f>
        <v>0</v>
      </c>
    </row>
    <row r="1240">
      <c r="A1240" s="109">
        <f>IF(AND(F1240="",G1240=""),"",ROW()-6)</f>
      </c>
      <c r="B1240" s="140" t="n"/>
      <c r="C1240" s="141" t="n"/>
      <c r="D1240" s="141" t="n"/>
      <c r="E1240" s="142" t="n"/>
      <c r="F1240" s="143" t="n"/>
      <c r="G1240" s="144" t="n"/>
      <c r="H1240" s="145">
        <f>IF(OR(C1240="",AND(F1240="",G1240="")),"",SUMIF(基础资料!$W$5:$W$24,C1240,基础资料!$X$5:$X$24)+SUMIF(C$7:C1240,C1240,F$7:F1240)-SUMIF(C$7:C1240,C1240,G$7:G1240))</f>
      </c>
      <c r="I1240" s="145">
        <f>IF(AND(F1240="",G1240=""),"",SUM(基础资料!$X$5:$X$24)+SUM(F$7:F1240)-SUM(G$7:G1240))</f>
      </c>
      <c r="J1240" s="141" t="n"/>
      <c r="K1240" s="141" t="n"/>
      <c r="L1240" s="141" t="n"/>
      <c r="M1240" s="142" t="n"/>
      <c r="N1240" s="146">
        <f>IF(AND(AND(F1240="",G1240=""),B1240="",C1240="",D1240="",J1240="",K1240="",L1240=""),"",IF(AND(F1240="",G1240=""),"✗ 没填金额",IF(AND(N(F1240)&lt;&gt;0,N(G1240)&lt;&gt;0),"✗ 收入、支出只能填一边",IF(NOT(ISNUMBER(B1240)),"✗ 日期不是真日期（要像 2026/9/25 这样填）",IF(OR(B1240&lt;年初日,B1240&gt;年末日),"✗ 日期不在本会计年度",IF(C1240="","✗ 没选账户",IF(COUNTIF(基础资料!$W$5:$W$24,C1240)=0,"✗ 账户不在基础资料里",IF(O1240="","✗ 没选收支项目",IF(P1240="未知","✗ 收支项目不在基础资料里",IF(AND(P1240="应收",J1240=""),"✗ 这笔要选客户",IF(AND(P1240="应收",COUNTIF(总览汇总!$B$5:$B$304,J1240)=0),"✗ 客户不在总览汇总名单里",IF(AND(P1240="应付",K1240=""),"✗ 这笔要选供应商",IF(AND(P1240="应付",COUNTIF(基础资料!$Q$5:$Q$54,K1240)=0),"✗ 供应商不在基础资料里",IF(AND(P1240="费用",L1240=""),"✗ 费用支出要选费用项目",IF(AND(L1240&lt;&gt;"",COUNTIF(基础资料!$AI$5:$AI$54,L1240)=0),"✗ 费用项目不在基础资料里",IF(AND(IFERROR(INDEX(基础资料!$AD$5:$AD$34,MATCH(O1240,基础资料!$AC$5:$AC$34,0)),"")="收",N(G1240)&lt;&gt;0),"✗ 这类是收款，金额填到收入列",IF(AND(IFERROR(INDEX(基础资料!$AD$5:$AD$34,MATCH(O1240,基础资料!$AC$5:$AC$34,0)),"")="支",N(F1240)&lt;&gt;0),"✗ 这类是付款，金额填到支出列",IF(N(H1240)&lt;0,"⚠ 账户余额成负数了，核对一下","√"))))))))))))))))))</f>
      </c>
      <c r="O1240" s="78">
        <f>IF(D1240&lt;&gt;"",D1240,IF(AND(F1240="",G1240=""),"",IF(J1240&lt;&gt;"",IF(N(F1240)&gt;0,"客户回款","客户退款"),IF(K1240&lt;&gt;"",IF(N(G1240)&gt;0,"供应商付款","供应商退款"),IF(L1240&lt;&gt;"","费用支出","")))))</f>
      </c>
      <c r="P1240" s="78">
        <f>IF(O1240="","",IFERROR(INDEX(基础资料!$AE$5:$AE$34,MATCH(O1240,基础资料!$AC$5:$AC$34,0)),"未知"))</f>
      </c>
      <c r="Q1240" s="78">
        <f>IF(P1240="应收",COUNTIF(P$7:P1240,"应收"),"")</f>
      </c>
      <c r="R1240" s="78">
        <f>IF(P1240="应付",COUNTIF(P$7:P1240,"应付"),"")</f>
      </c>
      <c r="S1240" s="78">
        <f>N(F1240)-N(G1240)</f>
        <v>0</v>
      </c>
    </row>
    <row r="1241">
      <c r="A1241" s="109">
        <f>IF(AND(F1241="",G1241=""),"",ROW()-6)</f>
      </c>
      <c r="B1241" s="140" t="n"/>
      <c r="C1241" s="141" t="n"/>
      <c r="D1241" s="141" t="n"/>
      <c r="E1241" s="142" t="n"/>
      <c r="F1241" s="143" t="n"/>
      <c r="G1241" s="144" t="n"/>
      <c r="H1241" s="145">
        <f>IF(OR(C1241="",AND(F1241="",G1241="")),"",SUMIF(基础资料!$W$5:$W$24,C1241,基础资料!$X$5:$X$24)+SUMIF(C$7:C1241,C1241,F$7:F1241)-SUMIF(C$7:C1241,C1241,G$7:G1241))</f>
      </c>
      <c r="I1241" s="145">
        <f>IF(AND(F1241="",G1241=""),"",SUM(基础资料!$X$5:$X$24)+SUM(F$7:F1241)-SUM(G$7:G1241))</f>
      </c>
      <c r="J1241" s="141" t="n"/>
      <c r="K1241" s="141" t="n"/>
      <c r="L1241" s="141" t="n"/>
      <c r="M1241" s="142" t="n"/>
      <c r="N1241" s="146">
        <f>IF(AND(AND(F1241="",G1241=""),B1241="",C1241="",D1241="",J1241="",K1241="",L1241=""),"",IF(AND(F1241="",G1241=""),"✗ 没填金额",IF(AND(N(F1241)&lt;&gt;0,N(G1241)&lt;&gt;0),"✗ 收入、支出只能填一边",IF(NOT(ISNUMBER(B1241)),"✗ 日期不是真日期（要像 2026/9/25 这样填）",IF(OR(B1241&lt;年初日,B1241&gt;年末日),"✗ 日期不在本会计年度",IF(C1241="","✗ 没选账户",IF(COUNTIF(基础资料!$W$5:$W$24,C1241)=0,"✗ 账户不在基础资料里",IF(O1241="","✗ 没选收支项目",IF(P1241="未知","✗ 收支项目不在基础资料里",IF(AND(P1241="应收",J1241=""),"✗ 这笔要选客户",IF(AND(P1241="应收",COUNTIF(总览汇总!$B$5:$B$304,J1241)=0),"✗ 客户不在总览汇总名单里",IF(AND(P1241="应付",K1241=""),"✗ 这笔要选供应商",IF(AND(P1241="应付",COUNTIF(基础资料!$Q$5:$Q$54,K1241)=0),"✗ 供应商不在基础资料里",IF(AND(P1241="费用",L1241=""),"✗ 费用支出要选费用项目",IF(AND(L1241&lt;&gt;"",COUNTIF(基础资料!$AI$5:$AI$54,L1241)=0),"✗ 费用项目不在基础资料里",IF(AND(IFERROR(INDEX(基础资料!$AD$5:$AD$34,MATCH(O1241,基础资料!$AC$5:$AC$34,0)),"")="收",N(G1241)&lt;&gt;0),"✗ 这类是收款，金额填到收入列",IF(AND(IFERROR(INDEX(基础资料!$AD$5:$AD$34,MATCH(O1241,基础资料!$AC$5:$AC$34,0)),"")="支",N(F1241)&lt;&gt;0),"✗ 这类是付款，金额填到支出列",IF(N(H1241)&lt;0,"⚠ 账户余额成负数了，核对一下","√"))))))))))))))))))</f>
      </c>
      <c r="O1241" s="78">
        <f>IF(D1241&lt;&gt;"",D1241,IF(AND(F1241="",G1241=""),"",IF(J1241&lt;&gt;"",IF(N(F1241)&gt;0,"客户回款","客户退款"),IF(K1241&lt;&gt;"",IF(N(G1241)&gt;0,"供应商付款","供应商退款"),IF(L1241&lt;&gt;"","费用支出","")))))</f>
      </c>
      <c r="P1241" s="78">
        <f>IF(O1241="","",IFERROR(INDEX(基础资料!$AE$5:$AE$34,MATCH(O1241,基础资料!$AC$5:$AC$34,0)),"未知"))</f>
      </c>
      <c r="Q1241" s="78">
        <f>IF(P1241="应收",COUNTIF(P$7:P1241,"应收"),"")</f>
      </c>
      <c r="R1241" s="78">
        <f>IF(P1241="应付",COUNTIF(P$7:P1241,"应付"),"")</f>
      </c>
      <c r="S1241" s="78">
        <f>N(F1241)-N(G1241)</f>
        <v>0</v>
      </c>
    </row>
    <row r="1242">
      <c r="A1242" s="109">
        <f>IF(AND(F1242="",G1242=""),"",ROW()-6)</f>
      </c>
      <c r="B1242" s="140" t="n"/>
      <c r="C1242" s="141" t="n"/>
      <c r="D1242" s="141" t="n"/>
      <c r="E1242" s="142" t="n"/>
      <c r="F1242" s="143" t="n"/>
      <c r="G1242" s="144" t="n"/>
      <c r="H1242" s="145">
        <f>IF(OR(C1242="",AND(F1242="",G1242="")),"",SUMIF(基础资料!$W$5:$W$24,C1242,基础资料!$X$5:$X$24)+SUMIF(C$7:C1242,C1242,F$7:F1242)-SUMIF(C$7:C1242,C1242,G$7:G1242))</f>
      </c>
      <c r="I1242" s="145">
        <f>IF(AND(F1242="",G1242=""),"",SUM(基础资料!$X$5:$X$24)+SUM(F$7:F1242)-SUM(G$7:G1242))</f>
      </c>
      <c r="J1242" s="141" t="n"/>
      <c r="K1242" s="141" t="n"/>
      <c r="L1242" s="141" t="n"/>
      <c r="M1242" s="142" t="n"/>
      <c r="N1242" s="146">
        <f>IF(AND(AND(F1242="",G1242=""),B1242="",C1242="",D1242="",J1242="",K1242="",L1242=""),"",IF(AND(F1242="",G1242=""),"✗ 没填金额",IF(AND(N(F1242)&lt;&gt;0,N(G1242)&lt;&gt;0),"✗ 收入、支出只能填一边",IF(NOT(ISNUMBER(B1242)),"✗ 日期不是真日期（要像 2026/9/25 这样填）",IF(OR(B1242&lt;年初日,B1242&gt;年末日),"✗ 日期不在本会计年度",IF(C1242="","✗ 没选账户",IF(COUNTIF(基础资料!$W$5:$W$24,C1242)=0,"✗ 账户不在基础资料里",IF(O1242="","✗ 没选收支项目",IF(P1242="未知","✗ 收支项目不在基础资料里",IF(AND(P1242="应收",J1242=""),"✗ 这笔要选客户",IF(AND(P1242="应收",COUNTIF(总览汇总!$B$5:$B$304,J1242)=0),"✗ 客户不在总览汇总名单里",IF(AND(P1242="应付",K1242=""),"✗ 这笔要选供应商",IF(AND(P1242="应付",COUNTIF(基础资料!$Q$5:$Q$54,K1242)=0),"✗ 供应商不在基础资料里",IF(AND(P1242="费用",L1242=""),"✗ 费用支出要选费用项目",IF(AND(L1242&lt;&gt;"",COUNTIF(基础资料!$AI$5:$AI$54,L1242)=0),"✗ 费用项目不在基础资料里",IF(AND(IFERROR(INDEX(基础资料!$AD$5:$AD$34,MATCH(O1242,基础资料!$AC$5:$AC$34,0)),"")="收",N(G1242)&lt;&gt;0),"✗ 这类是收款，金额填到收入列",IF(AND(IFERROR(INDEX(基础资料!$AD$5:$AD$34,MATCH(O1242,基础资料!$AC$5:$AC$34,0)),"")="支",N(F1242)&lt;&gt;0),"✗ 这类是付款，金额填到支出列",IF(N(H1242)&lt;0,"⚠ 账户余额成负数了，核对一下","√"))))))))))))))))))</f>
      </c>
      <c r="O1242" s="78">
        <f>IF(D1242&lt;&gt;"",D1242,IF(AND(F1242="",G1242=""),"",IF(J1242&lt;&gt;"",IF(N(F1242)&gt;0,"客户回款","客户退款"),IF(K1242&lt;&gt;"",IF(N(G1242)&gt;0,"供应商付款","供应商退款"),IF(L1242&lt;&gt;"","费用支出","")))))</f>
      </c>
      <c r="P1242" s="78">
        <f>IF(O1242="","",IFERROR(INDEX(基础资料!$AE$5:$AE$34,MATCH(O1242,基础资料!$AC$5:$AC$34,0)),"未知"))</f>
      </c>
      <c r="Q1242" s="78">
        <f>IF(P1242="应收",COUNTIF(P$7:P1242,"应收"),"")</f>
      </c>
      <c r="R1242" s="78">
        <f>IF(P1242="应付",COUNTIF(P$7:P1242,"应付"),"")</f>
      </c>
      <c r="S1242" s="78">
        <f>N(F1242)-N(G1242)</f>
        <v>0</v>
      </c>
    </row>
    <row r="1243">
      <c r="A1243" s="109">
        <f>IF(AND(F1243="",G1243=""),"",ROW()-6)</f>
      </c>
      <c r="B1243" s="140" t="n"/>
      <c r="C1243" s="141" t="n"/>
      <c r="D1243" s="141" t="n"/>
      <c r="E1243" s="142" t="n"/>
      <c r="F1243" s="143" t="n"/>
      <c r="G1243" s="144" t="n"/>
      <c r="H1243" s="145">
        <f>IF(OR(C1243="",AND(F1243="",G1243="")),"",SUMIF(基础资料!$W$5:$W$24,C1243,基础资料!$X$5:$X$24)+SUMIF(C$7:C1243,C1243,F$7:F1243)-SUMIF(C$7:C1243,C1243,G$7:G1243))</f>
      </c>
      <c r="I1243" s="145">
        <f>IF(AND(F1243="",G1243=""),"",SUM(基础资料!$X$5:$X$24)+SUM(F$7:F1243)-SUM(G$7:G1243))</f>
      </c>
      <c r="J1243" s="141" t="n"/>
      <c r="K1243" s="141" t="n"/>
      <c r="L1243" s="141" t="n"/>
      <c r="M1243" s="142" t="n"/>
      <c r="N1243" s="146">
        <f>IF(AND(AND(F1243="",G1243=""),B1243="",C1243="",D1243="",J1243="",K1243="",L1243=""),"",IF(AND(F1243="",G1243=""),"✗ 没填金额",IF(AND(N(F1243)&lt;&gt;0,N(G1243)&lt;&gt;0),"✗ 收入、支出只能填一边",IF(NOT(ISNUMBER(B1243)),"✗ 日期不是真日期（要像 2026/9/25 这样填）",IF(OR(B1243&lt;年初日,B1243&gt;年末日),"✗ 日期不在本会计年度",IF(C1243="","✗ 没选账户",IF(COUNTIF(基础资料!$W$5:$W$24,C1243)=0,"✗ 账户不在基础资料里",IF(O1243="","✗ 没选收支项目",IF(P1243="未知","✗ 收支项目不在基础资料里",IF(AND(P1243="应收",J1243=""),"✗ 这笔要选客户",IF(AND(P1243="应收",COUNTIF(总览汇总!$B$5:$B$304,J1243)=0),"✗ 客户不在总览汇总名单里",IF(AND(P1243="应付",K1243=""),"✗ 这笔要选供应商",IF(AND(P1243="应付",COUNTIF(基础资料!$Q$5:$Q$54,K1243)=0),"✗ 供应商不在基础资料里",IF(AND(P1243="费用",L1243=""),"✗ 费用支出要选费用项目",IF(AND(L1243&lt;&gt;"",COUNTIF(基础资料!$AI$5:$AI$54,L1243)=0),"✗ 费用项目不在基础资料里",IF(AND(IFERROR(INDEX(基础资料!$AD$5:$AD$34,MATCH(O1243,基础资料!$AC$5:$AC$34,0)),"")="收",N(G1243)&lt;&gt;0),"✗ 这类是收款，金额填到收入列",IF(AND(IFERROR(INDEX(基础资料!$AD$5:$AD$34,MATCH(O1243,基础资料!$AC$5:$AC$34,0)),"")="支",N(F1243)&lt;&gt;0),"✗ 这类是付款，金额填到支出列",IF(N(H1243)&lt;0,"⚠ 账户余额成负数了，核对一下","√"))))))))))))))))))</f>
      </c>
      <c r="O1243" s="78">
        <f>IF(D1243&lt;&gt;"",D1243,IF(AND(F1243="",G1243=""),"",IF(J1243&lt;&gt;"",IF(N(F1243)&gt;0,"客户回款","客户退款"),IF(K1243&lt;&gt;"",IF(N(G1243)&gt;0,"供应商付款","供应商退款"),IF(L1243&lt;&gt;"","费用支出","")))))</f>
      </c>
      <c r="P1243" s="78">
        <f>IF(O1243="","",IFERROR(INDEX(基础资料!$AE$5:$AE$34,MATCH(O1243,基础资料!$AC$5:$AC$34,0)),"未知"))</f>
      </c>
      <c r="Q1243" s="78">
        <f>IF(P1243="应收",COUNTIF(P$7:P1243,"应收"),"")</f>
      </c>
      <c r="R1243" s="78">
        <f>IF(P1243="应付",COUNTIF(P$7:P1243,"应付"),"")</f>
      </c>
      <c r="S1243" s="78">
        <f>N(F1243)-N(G1243)</f>
        <v>0</v>
      </c>
    </row>
    <row r="1244">
      <c r="A1244" s="109">
        <f>IF(AND(F1244="",G1244=""),"",ROW()-6)</f>
      </c>
      <c r="B1244" s="140" t="n"/>
      <c r="C1244" s="141" t="n"/>
      <c r="D1244" s="141" t="n"/>
      <c r="E1244" s="142" t="n"/>
      <c r="F1244" s="143" t="n"/>
      <c r="G1244" s="144" t="n"/>
      <c r="H1244" s="145">
        <f>IF(OR(C1244="",AND(F1244="",G1244="")),"",SUMIF(基础资料!$W$5:$W$24,C1244,基础资料!$X$5:$X$24)+SUMIF(C$7:C1244,C1244,F$7:F1244)-SUMIF(C$7:C1244,C1244,G$7:G1244))</f>
      </c>
      <c r="I1244" s="145">
        <f>IF(AND(F1244="",G1244=""),"",SUM(基础资料!$X$5:$X$24)+SUM(F$7:F1244)-SUM(G$7:G1244))</f>
      </c>
      <c r="J1244" s="141" t="n"/>
      <c r="K1244" s="141" t="n"/>
      <c r="L1244" s="141" t="n"/>
      <c r="M1244" s="142" t="n"/>
      <c r="N1244" s="146">
        <f>IF(AND(AND(F1244="",G1244=""),B1244="",C1244="",D1244="",J1244="",K1244="",L1244=""),"",IF(AND(F1244="",G1244=""),"✗ 没填金额",IF(AND(N(F1244)&lt;&gt;0,N(G1244)&lt;&gt;0),"✗ 收入、支出只能填一边",IF(NOT(ISNUMBER(B1244)),"✗ 日期不是真日期（要像 2026/9/25 这样填）",IF(OR(B1244&lt;年初日,B1244&gt;年末日),"✗ 日期不在本会计年度",IF(C1244="","✗ 没选账户",IF(COUNTIF(基础资料!$W$5:$W$24,C1244)=0,"✗ 账户不在基础资料里",IF(O1244="","✗ 没选收支项目",IF(P1244="未知","✗ 收支项目不在基础资料里",IF(AND(P1244="应收",J1244=""),"✗ 这笔要选客户",IF(AND(P1244="应收",COUNTIF(总览汇总!$B$5:$B$304,J1244)=0),"✗ 客户不在总览汇总名单里",IF(AND(P1244="应付",K1244=""),"✗ 这笔要选供应商",IF(AND(P1244="应付",COUNTIF(基础资料!$Q$5:$Q$54,K1244)=0),"✗ 供应商不在基础资料里",IF(AND(P1244="费用",L1244=""),"✗ 费用支出要选费用项目",IF(AND(L1244&lt;&gt;"",COUNTIF(基础资料!$AI$5:$AI$54,L1244)=0),"✗ 费用项目不在基础资料里",IF(AND(IFERROR(INDEX(基础资料!$AD$5:$AD$34,MATCH(O1244,基础资料!$AC$5:$AC$34,0)),"")="收",N(G1244)&lt;&gt;0),"✗ 这类是收款，金额填到收入列",IF(AND(IFERROR(INDEX(基础资料!$AD$5:$AD$34,MATCH(O1244,基础资料!$AC$5:$AC$34,0)),"")="支",N(F1244)&lt;&gt;0),"✗ 这类是付款，金额填到支出列",IF(N(H1244)&lt;0,"⚠ 账户余额成负数了，核对一下","√"))))))))))))))))))</f>
      </c>
      <c r="O1244" s="78">
        <f>IF(D1244&lt;&gt;"",D1244,IF(AND(F1244="",G1244=""),"",IF(J1244&lt;&gt;"",IF(N(F1244)&gt;0,"客户回款","客户退款"),IF(K1244&lt;&gt;"",IF(N(G1244)&gt;0,"供应商付款","供应商退款"),IF(L1244&lt;&gt;"","费用支出","")))))</f>
      </c>
      <c r="P1244" s="78">
        <f>IF(O1244="","",IFERROR(INDEX(基础资料!$AE$5:$AE$34,MATCH(O1244,基础资料!$AC$5:$AC$34,0)),"未知"))</f>
      </c>
      <c r="Q1244" s="78">
        <f>IF(P1244="应收",COUNTIF(P$7:P1244,"应收"),"")</f>
      </c>
      <c r="R1244" s="78">
        <f>IF(P1244="应付",COUNTIF(P$7:P1244,"应付"),"")</f>
      </c>
      <c r="S1244" s="78">
        <f>N(F1244)-N(G1244)</f>
        <v>0</v>
      </c>
    </row>
    <row r="1245">
      <c r="A1245" s="109">
        <f>IF(AND(F1245="",G1245=""),"",ROW()-6)</f>
      </c>
      <c r="B1245" s="140" t="n"/>
      <c r="C1245" s="141" t="n"/>
      <c r="D1245" s="141" t="n"/>
      <c r="E1245" s="142" t="n"/>
      <c r="F1245" s="143" t="n"/>
      <c r="G1245" s="144" t="n"/>
      <c r="H1245" s="145">
        <f>IF(OR(C1245="",AND(F1245="",G1245="")),"",SUMIF(基础资料!$W$5:$W$24,C1245,基础资料!$X$5:$X$24)+SUMIF(C$7:C1245,C1245,F$7:F1245)-SUMIF(C$7:C1245,C1245,G$7:G1245))</f>
      </c>
      <c r="I1245" s="145">
        <f>IF(AND(F1245="",G1245=""),"",SUM(基础资料!$X$5:$X$24)+SUM(F$7:F1245)-SUM(G$7:G1245))</f>
      </c>
      <c r="J1245" s="141" t="n"/>
      <c r="K1245" s="141" t="n"/>
      <c r="L1245" s="141" t="n"/>
      <c r="M1245" s="142" t="n"/>
      <c r="N1245" s="146">
        <f>IF(AND(AND(F1245="",G1245=""),B1245="",C1245="",D1245="",J1245="",K1245="",L1245=""),"",IF(AND(F1245="",G1245=""),"✗ 没填金额",IF(AND(N(F1245)&lt;&gt;0,N(G1245)&lt;&gt;0),"✗ 收入、支出只能填一边",IF(NOT(ISNUMBER(B1245)),"✗ 日期不是真日期（要像 2026/9/25 这样填）",IF(OR(B1245&lt;年初日,B1245&gt;年末日),"✗ 日期不在本会计年度",IF(C1245="","✗ 没选账户",IF(COUNTIF(基础资料!$W$5:$W$24,C1245)=0,"✗ 账户不在基础资料里",IF(O1245="","✗ 没选收支项目",IF(P1245="未知","✗ 收支项目不在基础资料里",IF(AND(P1245="应收",J1245=""),"✗ 这笔要选客户",IF(AND(P1245="应收",COUNTIF(总览汇总!$B$5:$B$304,J1245)=0),"✗ 客户不在总览汇总名单里",IF(AND(P1245="应付",K1245=""),"✗ 这笔要选供应商",IF(AND(P1245="应付",COUNTIF(基础资料!$Q$5:$Q$54,K1245)=0),"✗ 供应商不在基础资料里",IF(AND(P1245="费用",L1245=""),"✗ 费用支出要选费用项目",IF(AND(L1245&lt;&gt;"",COUNTIF(基础资料!$AI$5:$AI$54,L1245)=0),"✗ 费用项目不在基础资料里",IF(AND(IFERROR(INDEX(基础资料!$AD$5:$AD$34,MATCH(O1245,基础资料!$AC$5:$AC$34,0)),"")="收",N(G1245)&lt;&gt;0),"✗ 这类是收款，金额填到收入列",IF(AND(IFERROR(INDEX(基础资料!$AD$5:$AD$34,MATCH(O1245,基础资料!$AC$5:$AC$34,0)),"")="支",N(F1245)&lt;&gt;0),"✗ 这类是付款，金额填到支出列",IF(N(H1245)&lt;0,"⚠ 账户余额成负数了，核对一下","√"))))))))))))))))))</f>
      </c>
      <c r="O1245" s="78">
        <f>IF(D1245&lt;&gt;"",D1245,IF(AND(F1245="",G1245=""),"",IF(J1245&lt;&gt;"",IF(N(F1245)&gt;0,"客户回款","客户退款"),IF(K1245&lt;&gt;"",IF(N(G1245)&gt;0,"供应商付款","供应商退款"),IF(L1245&lt;&gt;"","费用支出","")))))</f>
      </c>
      <c r="P1245" s="78">
        <f>IF(O1245="","",IFERROR(INDEX(基础资料!$AE$5:$AE$34,MATCH(O1245,基础资料!$AC$5:$AC$34,0)),"未知"))</f>
      </c>
      <c r="Q1245" s="78">
        <f>IF(P1245="应收",COUNTIF(P$7:P1245,"应收"),"")</f>
      </c>
      <c r="R1245" s="78">
        <f>IF(P1245="应付",COUNTIF(P$7:P1245,"应付"),"")</f>
      </c>
      <c r="S1245" s="78">
        <f>N(F1245)-N(G1245)</f>
        <v>0</v>
      </c>
    </row>
    <row r="1246">
      <c r="A1246" s="109">
        <f>IF(AND(F1246="",G1246=""),"",ROW()-6)</f>
      </c>
      <c r="B1246" s="140" t="n"/>
      <c r="C1246" s="141" t="n"/>
      <c r="D1246" s="141" t="n"/>
      <c r="E1246" s="142" t="n"/>
      <c r="F1246" s="143" t="n"/>
      <c r="G1246" s="144" t="n"/>
      <c r="H1246" s="145">
        <f>IF(OR(C1246="",AND(F1246="",G1246="")),"",SUMIF(基础资料!$W$5:$W$24,C1246,基础资料!$X$5:$X$24)+SUMIF(C$7:C1246,C1246,F$7:F1246)-SUMIF(C$7:C1246,C1246,G$7:G1246))</f>
      </c>
      <c r="I1246" s="145">
        <f>IF(AND(F1246="",G1246=""),"",SUM(基础资料!$X$5:$X$24)+SUM(F$7:F1246)-SUM(G$7:G1246))</f>
      </c>
      <c r="J1246" s="141" t="n"/>
      <c r="K1246" s="141" t="n"/>
      <c r="L1246" s="141" t="n"/>
      <c r="M1246" s="142" t="n"/>
      <c r="N1246" s="146">
        <f>IF(AND(AND(F1246="",G1246=""),B1246="",C1246="",D1246="",J1246="",K1246="",L1246=""),"",IF(AND(F1246="",G1246=""),"✗ 没填金额",IF(AND(N(F1246)&lt;&gt;0,N(G1246)&lt;&gt;0),"✗ 收入、支出只能填一边",IF(NOT(ISNUMBER(B1246)),"✗ 日期不是真日期（要像 2026/9/25 这样填）",IF(OR(B1246&lt;年初日,B1246&gt;年末日),"✗ 日期不在本会计年度",IF(C1246="","✗ 没选账户",IF(COUNTIF(基础资料!$W$5:$W$24,C1246)=0,"✗ 账户不在基础资料里",IF(O1246="","✗ 没选收支项目",IF(P1246="未知","✗ 收支项目不在基础资料里",IF(AND(P1246="应收",J1246=""),"✗ 这笔要选客户",IF(AND(P1246="应收",COUNTIF(总览汇总!$B$5:$B$304,J1246)=0),"✗ 客户不在总览汇总名单里",IF(AND(P1246="应付",K1246=""),"✗ 这笔要选供应商",IF(AND(P1246="应付",COUNTIF(基础资料!$Q$5:$Q$54,K1246)=0),"✗ 供应商不在基础资料里",IF(AND(P1246="费用",L1246=""),"✗ 费用支出要选费用项目",IF(AND(L1246&lt;&gt;"",COUNTIF(基础资料!$AI$5:$AI$54,L1246)=0),"✗ 费用项目不在基础资料里",IF(AND(IFERROR(INDEX(基础资料!$AD$5:$AD$34,MATCH(O1246,基础资料!$AC$5:$AC$34,0)),"")="收",N(G1246)&lt;&gt;0),"✗ 这类是收款，金额填到收入列",IF(AND(IFERROR(INDEX(基础资料!$AD$5:$AD$34,MATCH(O1246,基础资料!$AC$5:$AC$34,0)),"")="支",N(F1246)&lt;&gt;0),"✗ 这类是付款，金额填到支出列",IF(N(H1246)&lt;0,"⚠ 账户余额成负数了，核对一下","√"))))))))))))))))))</f>
      </c>
      <c r="O1246" s="78">
        <f>IF(D1246&lt;&gt;"",D1246,IF(AND(F1246="",G1246=""),"",IF(J1246&lt;&gt;"",IF(N(F1246)&gt;0,"客户回款","客户退款"),IF(K1246&lt;&gt;"",IF(N(G1246)&gt;0,"供应商付款","供应商退款"),IF(L1246&lt;&gt;"","费用支出","")))))</f>
      </c>
      <c r="P1246" s="78">
        <f>IF(O1246="","",IFERROR(INDEX(基础资料!$AE$5:$AE$34,MATCH(O1246,基础资料!$AC$5:$AC$34,0)),"未知"))</f>
      </c>
      <c r="Q1246" s="78">
        <f>IF(P1246="应收",COUNTIF(P$7:P1246,"应收"),"")</f>
      </c>
      <c r="R1246" s="78">
        <f>IF(P1246="应付",COUNTIF(P$7:P1246,"应付"),"")</f>
      </c>
      <c r="S1246" s="78">
        <f>N(F1246)-N(G1246)</f>
        <v>0</v>
      </c>
    </row>
    <row r="1247">
      <c r="A1247" s="109">
        <f>IF(AND(F1247="",G1247=""),"",ROW()-6)</f>
      </c>
      <c r="B1247" s="140" t="n"/>
      <c r="C1247" s="141" t="n"/>
      <c r="D1247" s="141" t="n"/>
      <c r="E1247" s="142" t="n"/>
      <c r="F1247" s="143" t="n"/>
      <c r="G1247" s="144" t="n"/>
      <c r="H1247" s="145">
        <f>IF(OR(C1247="",AND(F1247="",G1247="")),"",SUMIF(基础资料!$W$5:$W$24,C1247,基础资料!$X$5:$X$24)+SUMIF(C$7:C1247,C1247,F$7:F1247)-SUMIF(C$7:C1247,C1247,G$7:G1247))</f>
      </c>
      <c r="I1247" s="145">
        <f>IF(AND(F1247="",G1247=""),"",SUM(基础资料!$X$5:$X$24)+SUM(F$7:F1247)-SUM(G$7:G1247))</f>
      </c>
      <c r="J1247" s="141" t="n"/>
      <c r="K1247" s="141" t="n"/>
      <c r="L1247" s="141" t="n"/>
      <c r="M1247" s="142" t="n"/>
      <c r="N1247" s="146">
        <f>IF(AND(AND(F1247="",G1247=""),B1247="",C1247="",D1247="",J1247="",K1247="",L1247=""),"",IF(AND(F1247="",G1247=""),"✗ 没填金额",IF(AND(N(F1247)&lt;&gt;0,N(G1247)&lt;&gt;0),"✗ 收入、支出只能填一边",IF(NOT(ISNUMBER(B1247)),"✗ 日期不是真日期（要像 2026/9/25 这样填）",IF(OR(B1247&lt;年初日,B1247&gt;年末日),"✗ 日期不在本会计年度",IF(C1247="","✗ 没选账户",IF(COUNTIF(基础资料!$W$5:$W$24,C1247)=0,"✗ 账户不在基础资料里",IF(O1247="","✗ 没选收支项目",IF(P1247="未知","✗ 收支项目不在基础资料里",IF(AND(P1247="应收",J1247=""),"✗ 这笔要选客户",IF(AND(P1247="应收",COUNTIF(总览汇总!$B$5:$B$304,J1247)=0),"✗ 客户不在总览汇总名单里",IF(AND(P1247="应付",K1247=""),"✗ 这笔要选供应商",IF(AND(P1247="应付",COUNTIF(基础资料!$Q$5:$Q$54,K1247)=0),"✗ 供应商不在基础资料里",IF(AND(P1247="费用",L1247=""),"✗ 费用支出要选费用项目",IF(AND(L1247&lt;&gt;"",COUNTIF(基础资料!$AI$5:$AI$54,L1247)=0),"✗ 费用项目不在基础资料里",IF(AND(IFERROR(INDEX(基础资料!$AD$5:$AD$34,MATCH(O1247,基础资料!$AC$5:$AC$34,0)),"")="收",N(G1247)&lt;&gt;0),"✗ 这类是收款，金额填到收入列",IF(AND(IFERROR(INDEX(基础资料!$AD$5:$AD$34,MATCH(O1247,基础资料!$AC$5:$AC$34,0)),"")="支",N(F1247)&lt;&gt;0),"✗ 这类是付款，金额填到支出列",IF(N(H1247)&lt;0,"⚠ 账户余额成负数了，核对一下","√"))))))))))))))))))</f>
      </c>
      <c r="O1247" s="78">
        <f>IF(D1247&lt;&gt;"",D1247,IF(AND(F1247="",G1247=""),"",IF(J1247&lt;&gt;"",IF(N(F1247)&gt;0,"客户回款","客户退款"),IF(K1247&lt;&gt;"",IF(N(G1247)&gt;0,"供应商付款","供应商退款"),IF(L1247&lt;&gt;"","费用支出","")))))</f>
      </c>
      <c r="P1247" s="78">
        <f>IF(O1247="","",IFERROR(INDEX(基础资料!$AE$5:$AE$34,MATCH(O1247,基础资料!$AC$5:$AC$34,0)),"未知"))</f>
      </c>
      <c r="Q1247" s="78">
        <f>IF(P1247="应收",COUNTIF(P$7:P1247,"应收"),"")</f>
      </c>
      <c r="R1247" s="78">
        <f>IF(P1247="应付",COUNTIF(P$7:P1247,"应付"),"")</f>
      </c>
      <c r="S1247" s="78">
        <f>N(F1247)-N(G1247)</f>
        <v>0</v>
      </c>
    </row>
    <row r="1248">
      <c r="A1248" s="109">
        <f>IF(AND(F1248="",G1248=""),"",ROW()-6)</f>
      </c>
      <c r="B1248" s="140" t="n"/>
      <c r="C1248" s="141" t="n"/>
      <c r="D1248" s="141" t="n"/>
      <c r="E1248" s="142" t="n"/>
      <c r="F1248" s="143" t="n"/>
      <c r="G1248" s="144" t="n"/>
      <c r="H1248" s="145">
        <f>IF(OR(C1248="",AND(F1248="",G1248="")),"",SUMIF(基础资料!$W$5:$W$24,C1248,基础资料!$X$5:$X$24)+SUMIF(C$7:C1248,C1248,F$7:F1248)-SUMIF(C$7:C1248,C1248,G$7:G1248))</f>
      </c>
      <c r="I1248" s="145">
        <f>IF(AND(F1248="",G1248=""),"",SUM(基础资料!$X$5:$X$24)+SUM(F$7:F1248)-SUM(G$7:G1248))</f>
      </c>
      <c r="J1248" s="141" t="n"/>
      <c r="K1248" s="141" t="n"/>
      <c r="L1248" s="141" t="n"/>
      <c r="M1248" s="142" t="n"/>
      <c r="N1248" s="146">
        <f>IF(AND(AND(F1248="",G1248=""),B1248="",C1248="",D1248="",J1248="",K1248="",L1248=""),"",IF(AND(F1248="",G1248=""),"✗ 没填金额",IF(AND(N(F1248)&lt;&gt;0,N(G1248)&lt;&gt;0),"✗ 收入、支出只能填一边",IF(NOT(ISNUMBER(B1248)),"✗ 日期不是真日期（要像 2026/9/25 这样填）",IF(OR(B1248&lt;年初日,B1248&gt;年末日),"✗ 日期不在本会计年度",IF(C1248="","✗ 没选账户",IF(COUNTIF(基础资料!$W$5:$W$24,C1248)=0,"✗ 账户不在基础资料里",IF(O1248="","✗ 没选收支项目",IF(P1248="未知","✗ 收支项目不在基础资料里",IF(AND(P1248="应收",J1248=""),"✗ 这笔要选客户",IF(AND(P1248="应收",COUNTIF(总览汇总!$B$5:$B$304,J1248)=0),"✗ 客户不在总览汇总名单里",IF(AND(P1248="应付",K1248=""),"✗ 这笔要选供应商",IF(AND(P1248="应付",COUNTIF(基础资料!$Q$5:$Q$54,K1248)=0),"✗ 供应商不在基础资料里",IF(AND(P1248="费用",L1248=""),"✗ 费用支出要选费用项目",IF(AND(L1248&lt;&gt;"",COUNTIF(基础资料!$AI$5:$AI$54,L1248)=0),"✗ 费用项目不在基础资料里",IF(AND(IFERROR(INDEX(基础资料!$AD$5:$AD$34,MATCH(O1248,基础资料!$AC$5:$AC$34,0)),"")="收",N(G1248)&lt;&gt;0),"✗ 这类是收款，金额填到收入列",IF(AND(IFERROR(INDEX(基础资料!$AD$5:$AD$34,MATCH(O1248,基础资料!$AC$5:$AC$34,0)),"")="支",N(F1248)&lt;&gt;0),"✗ 这类是付款，金额填到支出列",IF(N(H1248)&lt;0,"⚠ 账户余额成负数了，核对一下","√"))))))))))))))))))</f>
      </c>
      <c r="O1248" s="78">
        <f>IF(D1248&lt;&gt;"",D1248,IF(AND(F1248="",G1248=""),"",IF(J1248&lt;&gt;"",IF(N(F1248)&gt;0,"客户回款","客户退款"),IF(K1248&lt;&gt;"",IF(N(G1248)&gt;0,"供应商付款","供应商退款"),IF(L1248&lt;&gt;"","费用支出","")))))</f>
      </c>
      <c r="P1248" s="78">
        <f>IF(O1248="","",IFERROR(INDEX(基础资料!$AE$5:$AE$34,MATCH(O1248,基础资料!$AC$5:$AC$34,0)),"未知"))</f>
      </c>
      <c r="Q1248" s="78">
        <f>IF(P1248="应收",COUNTIF(P$7:P1248,"应收"),"")</f>
      </c>
      <c r="R1248" s="78">
        <f>IF(P1248="应付",COUNTIF(P$7:P1248,"应付"),"")</f>
      </c>
      <c r="S1248" s="78">
        <f>N(F1248)-N(G1248)</f>
        <v>0</v>
      </c>
    </row>
    <row r="1249">
      <c r="A1249" s="109">
        <f>IF(AND(F1249="",G1249=""),"",ROW()-6)</f>
      </c>
      <c r="B1249" s="140" t="n"/>
      <c r="C1249" s="141" t="n"/>
      <c r="D1249" s="141" t="n"/>
      <c r="E1249" s="142" t="n"/>
      <c r="F1249" s="143" t="n"/>
      <c r="G1249" s="144" t="n"/>
      <c r="H1249" s="145">
        <f>IF(OR(C1249="",AND(F1249="",G1249="")),"",SUMIF(基础资料!$W$5:$W$24,C1249,基础资料!$X$5:$X$24)+SUMIF(C$7:C1249,C1249,F$7:F1249)-SUMIF(C$7:C1249,C1249,G$7:G1249))</f>
      </c>
      <c r="I1249" s="145">
        <f>IF(AND(F1249="",G1249=""),"",SUM(基础资料!$X$5:$X$24)+SUM(F$7:F1249)-SUM(G$7:G1249))</f>
      </c>
      <c r="J1249" s="141" t="n"/>
      <c r="K1249" s="141" t="n"/>
      <c r="L1249" s="141" t="n"/>
      <c r="M1249" s="142" t="n"/>
      <c r="N1249" s="146">
        <f>IF(AND(AND(F1249="",G1249=""),B1249="",C1249="",D1249="",J1249="",K1249="",L1249=""),"",IF(AND(F1249="",G1249=""),"✗ 没填金额",IF(AND(N(F1249)&lt;&gt;0,N(G1249)&lt;&gt;0),"✗ 收入、支出只能填一边",IF(NOT(ISNUMBER(B1249)),"✗ 日期不是真日期（要像 2026/9/25 这样填）",IF(OR(B1249&lt;年初日,B1249&gt;年末日),"✗ 日期不在本会计年度",IF(C1249="","✗ 没选账户",IF(COUNTIF(基础资料!$W$5:$W$24,C1249)=0,"✗ 账户不在基础资料里",IF(O1249="","✗ 没选收支项目",IF(P1249="未知","✗ 收支项目不在基础资料里",IF(AND(P1249="应收",J1249=""),"✗ 这笔要选客户",IF(AND(P1249="应收",COUNTIF(总览汇总!$B$5:$B$304,J1249)=0),"✗ 客户不在总览汇总名单里",IF(AND(P1249="应付",K1249=""),"✗ 这笔要选供应商",IF(AND(P1249="应付",COUNTIF(基础资料!$Q$5:$Q$54,K1249)=0),"✗ 供应商不在基础资料里",IF(AND(P1249="费用",L1249=""),"✗ 费用支出要选费用项目",IF(AND(L1249&lt;&gt;"",COUNTIF(基础资料!$AI$5:$AI$54,L1249)=0),"✗ 费用项目不在基础资料里",IF(AND(IFERROR(INDEX(基础资料!$AD$5:$AD$34,MATCH(O1249,基础资料!$AC$5:$AC$34,0)),"")="收",N(G1249)&lt;&gt;0),"✗ 这类是收款，金额填到收入列",IF(AND(IFERROR(INDEX(基础资料!$AD$5:$AD$34,MATCH(O1249,基础资料!$AC$5:$AC$34,0)),"")="支",N(F1249)&lt;&gt;0),"✗ 这类是付款，金额填到支出列",IF(N(H1249)&lt;0,"⚠ 账户余额成负数了，核对一下","√"))))))))))))))))))</f>
      </c>
      <c r="O1249" s="78">
        <f>IF(D1249&lt;&gt;"",D1249,IF(AND(F1249="",G1249=""),"",IF(J1249&lt;&gt;"",IF(N(F1249)&gt;0,"客户回款","客户退款"),IF(K1249&lt;&gt;"",IF(N(G1249)&gt;0,"供应商付款","供应商退款"),IF(L1249&lt;&gt;"","费用支出","")))))</f>
      </c>
      <c r="P1249" s="78">
        <f>IF(O1249="","",IFERROR(INDEX(基础资料!$AE$5:$AE$34,MATCH(O1249,基础资料!$AC$5:$AC$34,0)),"未知"))</f>
      </c>
      <c r="Q1249" s="78">
        <f>IF(P1249="应收",COUNTIF(P$7:P1249,"应收"),"")</f>
      </c>
      <c r="R1249" s="78">
        <f>IF(P1249="应付",COUNTIF(P$7:P1249,"应付"),"")</f>
      </c>
      <c r="S1249" s="78">
        <f>N(F1249)-N(G1249)</f>
        <v>0</v>
      </c>
    </row>
    <row r="1250">
      <c r="A1250" s="109">
        <f>IF(AND(F1250="",G1250=""),"",ROW()-6)</f>
      </c>
      <c r="B1250" s="140" t="n"/>
      <c r="C1250" s="141" t="n"/>
      <c r="D1250" s="141" t="n"/>
      <c r="E1250" s="142" t="n"/>
      <c r="F1250" s="143" t="n"/>
      <c r="G1250" s="144" t="n"/>
      <c r="H1250" s="145">
        <f>IF(OR(C1250="",AND(F1250="",G1250="")),"",SUMIF(基础资料!$W$5:$W$24,C1250,基础资料!$X$5:$X$24)+SUMIF(C$7:C1250,C1250,F$7:F1250)-SUMIF(C$7:C1250,C1250,G$7:G1250))</f>
      </c>
      <c r="I1250" s="145">
        <f>IF(AND(F1250="",G1250=""),"",SUM(基础资料!$X$5:$X$24)+SUM(F$7:F1250)-SUM(G$7:G1250))</f>
      </c>
      <c r="J1250" s="141" t="n"/>
      <c r="K1250" s="141" t="n"/>
      <c r="L1250" s="141" t="n"/>
      <c r="M1250" s="142" t="n"/>
      <c r="N1250" s="146">
        <f>IF(AND(AND(F1250="",G1250=""),B1250="",C1250="",D1250="",J1250="",K1250="",L1250=""),"",IF(AND(F1250="",G1250=""),"✗ 没填金额",IF(AND(N(F1250)&lt;&gt;0,N(G1250)&lt;&gt;0),"✗ 收入、支出只能填一边",IF(NOT(ISNUMBER(B1250)),"✗ 日期不是真日期（要像 2026/9/25 这样填）",IF(OR(B1250&lt;年初日,B1250&gt;年末日),"✗ 日期不在本会计年度",IF(C1250="","✗ 没选账户",IF(COUNTIF(基础资料!$W$5:$W$24,C1250)=0,"✗ 账户不在基础资料里",IF(O1250="","✗ 没选收支项目",IF(P1250="未知","✗ 收支项目不在基础资料里",IF(AND(P1250="应收",J1250=""),"✗ 这笔要选客户",IF(AND(P1250="应收",COUNTIF(总览汇总!$B$5:$B$304,J1250)=0),"✗ 客户不在总览汇总名单里",IF(AND(P1250="应付",K1250=""),"✗ 这笔要选供应商",IF(AND(P1250="应付",COUNTIF(基础资料!$Q$5:$Q$54,K1250)=0),"✗ 供应商不在基础资料里",IF(AND(P1250="费用",L1250=""),"✗ 费用支出要选费用项目",IF(AND(L1250&lt;&gt;"",COUNTIF(基础资料!$AI$5:$AI$54,L1250)=0),"✗ 费用项目不在基础资料里",IF(AND(IFERROR(INDEX(基础资料!$AD$5:$AD$34,MATCH(O1250,基础资料!$AC$5:$AC$34,0)),"")="收",N(G1250)&lt;&gt;0),"✗ 这类是收款，金额填到收入列",IF(AND(IFERROR(INDEX(基础资料!$AD$5:$AD$34,MATCH(O1250,基础资料!$AC$5:$AC$34,0)),"")="支",N(F1250)&lt;&gt;0),"✗ 这类是付款，金额填到支出列",IF(N(H1250)&lt;0,"⚠ 账户余额成负数了，核对一下","√"))))))))))))))))))</f>
      </c>
      <c r="O1250" s="78">
        <f>IF(D1250&lt;&gt;"",D1250,IF(AND(F1250="",G1250=""),"",IF(J1250&lt;&gt;"",IF(N(F1250)&gt;0,"客户回款","客户退款"),IF(K1250&lt;&gt;"",IF(N(G1250)&gt;0,"供应商付款","供应商退款"),IF(L1250&lt;&gt;"","费用支出","")))))</f>
      </c>
      <c r="P1250" s="78">
        <f>IF(O1250="","",IFERROR(INDEX(基础资料!$AE$5:$AE$34,MATCH(O1250,基础资料!$AC$5:$AC$34,0)),"未知"))</f>
      </c>
      <c r="Q1250" s="78">
        <f>IF(P1250="应收",COUNTIF(P$7:P1250,"应收"),"")</f>
      </c>
      <c r="R1250" s="78">
        <f>IF(P1250="应付",COUNTIF(P$7:P1250,"应付"),"")</f>
      </c>
      <c r="S1250" s="78">
        <f>N(F1250)-N(G1250)</f>
        <v>0</v>
      </c>
    </row>
    <row r="1251">
      <c r="A1251" s="109">
        <f>IF(AND(F1251="",G1251=""),"",ROW()-6)</f>
      </c>
      <c r="B1251" s="140" t="n"/>
      <c r="C1251" s="141" t="n"/>
      <c r="D1251" s="141" t="n"/>
      <c r="E1251" s="142" t="n"/>
      <c r="F1251" s="143" t="n"/>
      <c r="G1251" s="144" t="n"/>
      <c r="H1251" s="145">
        <f>IF(OR(C1251="",AND(F1251="",G1251="")),"",SUMIF(基础资料!$W$5:$W$24,C1251,基础资料!$X$5:$X$24)+SUMIF(C$7:C1251,C1251,F$7:F1251)-SUMIF(C$7:C1251,C1251,G$7:G1251))</f>
      </c>
      <c r="I1251" s="145">
        <f>IF(AND(F1251="",G1251=""),"",SUM(基础资料!$X$5:$X$24)+SUM(F$7:F1251)-SUM(G$7:G1251))</f>
      </c>
      <c r="J1251" s="141" t="n"/>
      <c r="K1251" s="141" t="n"/>
      <c r="L1251" s="141" t="n"/>
      <c r="M1251" s="142" t="n"/>
      <c r="N1251" s="146">
        <f>IF(AND(AND(F1251="",G1251=""),B1251="",C1251="",D1251="",J1251="",K1251="",L1251=""),"",IF(AND(F1251="",G1251=""),"✗ 没填金额",IF(AND(N(F1251)&lt;&gt;0,N(G1251)&lt;&gt;0),"✗ 收入、支出只能填一边",IF(NOT(ISNUMBER(B1251)),"✗ 日期不是真日期（要像 2026/9/25 这样填）",IF(OR(B1251&lt;年初日,B1251&gt;年末日),"✗ 日期不在本会计年度",IF(C1251="","✗ 没选账户",IF(COUNTIF(基础资料!$W$5:$W$24,C1251)=0,"✗ 账户不在基础资料里",IF(O1251="","✗ 没选收支项目",IF(P1251="未知","✗ 收支项目不在基础资料里",IF(AND(P1251="应收",J1251=""),"✗ 这笔要选客户",IF(AND(P1251="应收",COUNTIF(总览汇总!$B$5:$B$304,J1251)=0),"✗ 客户不在总览汇总名单里",IF(AND(P1251="应付",K1251=""),"✗ 这笔要选供应商",IF(AND(P1251="应付",COUNTIF(基础资料!$Q$5:$Q$54,K1251)=0),"✗ 供应商不在基础资料里",IF(AND(P1251="费用",L1251=""),"✗ 费用支出要选费用项目",IF(AND(L1251&lt;&gt;"",COUNTIF(基础资料!$AI$5:$AI$54,L1251)=0),"✗ 费用项目不在基础资料里",IF(AND(IFERROR(INDEX(基础资料!$AD$5:$AD$34,MATCH(O1251,基础资料!$AC$5:$AC$34,0)),"")="收",N(G1251)&lt;&gt;0),"✗ 这类是收款，金额填到收入列",IF(AND(IFERROR(INDEX(基础资料!$AD$5:$AD$34,MATCH(O1251,基础资料!$AC$5:$AC$34,0)),"")="支",N(F1251)&lt;&gt;0),"✗ 这类是付款，金额填到支出列",IF(N(H1251)&lt;0,"⚠ 账户余额成负数了，核对一下","√"))))))))))))))))))</f>
      </c>
      <c r="O1251" s="78">
        <f>IF(D1251&lt;&gt;"",D1251,IF(AND(F1251="",G1251=""),"",IF(J1251&lt;&gt;"",IF(N(F1251)&gt;0,"客户回款","客户退款"),IF(K1251&lt;&gt;"",IF(N(G1251)&gt;0,"供应商付款","供应商退款"),IF(L1251&lt;&gt;"","费用支出","")))))</f>
      </c>
      <c r="P1251" s="78">
        <f>IF(O1251="","",IFERROR(INDEX(基础资料!$AE$5:$AE$34,MATCH(O1251,基础资料!$AC$5:$AC$34,0)),"未知"))</f>
      </c>
      <c r="Q1251" s="78">
        <f>IF(P1251="应收",COUNTIF(P$7:P1251,"应收"),"")</f>
      </c>
      <c r="R1251" s="78">
        <f>IF(P1251="应付",COUNTIF(P$7:P1251,"应付"),"")</f>
      </c>
      <c r="S1251" s="78">
        <f>N(F1251)-N(G1251)</f>
        <v>0</v>
      </c>
    </row>
    <row r="1252">
      <c r="A1252" s="109">
        <f>IF(AND(F1252="",G1252=""),"",ROW()-6)</f>
      </c>
      <c r="B1252" s="140" t="n"/>
      <c r="C1252" s="141" t="n"/>
      <c r="D1252" s="141" t="n"/>
      <c r="E1252" s="142" t="n"/>
      <c r="F1252" s="143" t="n"/>
      <c r="G1252" s="144" t="n"/>
      <c r="H1252" s="145">
        <f>IF(OR(C1252="",AND(F1252="",G1252="")),"",SUMIF(基础资料!$W$5:$W$24,C1252,基础资料!$X$5:$X$24)+SUMIF(C$7:C1252,C1252,F$7:F1252)-SUMIF(C$7:C1252,C1252,G$7:G1252))</f>
      </c>
      <c r="I1252" s="145">
        <f>IF(AND(F1252="",G1252=""),"",SUM(基础资料!$X$5:$X$24)+SUM(F$7:F1252)-SUM(G$7:G1252))</f>
      </c>
      <c r="J1252" s="141" t="n"/>
      <c r="K1252" s="141" t="n"/>
      <c r="L1252" s="141" t="n"/>
      <c r="M1252" s="142" t="n"/>
      <c r="N1252" s="146">
        <f>IF(AND(AND(F1252="",G1252=""),B1252="",C1252="",D1252="",J1252="",K1252="",L1252=""),"",IF(AND(F1252="",G1252=""),"✗ 没填金额",IF(AND(N(F1252)&lt;&gt;0,N(G1252)&lt;&gt;0),"✗ 收入、支出只能填一边",IF(NOT(ISNUMBER(B1252)),"✗ 日期不是真日期（要像 2026/9/25 这样填）",IF(OR(B1252&lt;年初日,B1252&gt;年末日),"✗ 日期不在本会计年度",IF(C1252="","✗ 没选账户",IF(COUNTIF(基础资料!$W$5:$W$24,C1252)=0,"✗ 账户不在基础资料里",IF(O1252="","✗ 没选收支项目",IF(P1252="未知","✗ 收支项目不在基础资料里",IF(AND(P1252="应收",J1252=""),"✗ 这笔要选客户",IF(AND(P1252="应收",COUNTIF(总览汇总!$B$5:$B$304,J1252)=0),"✗ 客户不在总览汇总名单里",IF(AND(P1252="应付",K1252=""),"✗ 这笔要选供应商",IF(AND(P1252="应付",COUNTIF(基础资料!$Q$5:$Q$54,K1252)=0),"✗ 供应商不在基础资料里",IF(AND(P1252="费用",L1252=""),"✗ 费用支出要选费用项目",IF(AND(L1252&lt;&gt;"",COUNTIF(基础资料!$AI$5:$AI$54,L1252)=0),"✗ 费用项目不在基础资料里",IF(AND(IFERROR(INDEX(基础资料!$AD$5:$AD$34,MATCH(O1252,基础资料!$AC$5:$AC$34,0)),"")="收",N(G1252)&lt;&gt;0),"✗ 这类是收款，金额填到收入列",IF(AND(IFERROR(INDEX(基础资料!$AD$5:$AD$34,MATCH(O1252,基础资料!$AC$5:$AC$34,0)),"")="支",N(F1252)&lt;&gt;0),"✗ 这类是付款，金额填到支出列",IF(N(H1252)&lt;0,"⚠ 账户余额成负数了，核对一下","√"))))))))))))))))))</f>
      </c>
      <c r="O1252" s="78">
        <f>IF(D1252&lt;&gt;"",D1252,IF(AND(F1252="",G1252=""),"",IF(J1252&lt;&gt;"",IF(N(F1252)&gt;0,"客户回款","客户退款"),IF(K1252&lt;&gt;"",IF(N(G1252)&gt;0,"供应商付款","供应商退款"),IF(L1252&lt;&gt;"","费用支出","")))))</f>
      </c>
      <c r="P1252" s="78">
        <f>IF(O1252="","",IFERROR(INDEX(基础资料!$AE$5:$AE$34,MATCH(O1252,基础资料!$AC$5:$AC$34,0)),"未知"))</f>
      </c>
      <c r="Q1252" s="78">
        <f>IF(P1252="应收",COUNTIF(P$7:P1252,"应收"),"")</f>
      </c>
      <c r="R1252" s="78">
        <f>IF(P1252="应付",COUNTIF(P$7:P1252,"应付"),"")</f>
      </c>
      <c r="S1252" s="78">
        <f>N(F1252)-N(G1252)</f>
        <v>0</v>
      </c>
    </row>
    <row r="1253">
      <c r="A1253" s="109">
        <f>IF(AND(F1253="",G1253=""),"",ROW()-6)</f>
      </c>
      <c r="B1253" s="140" t="n"/>
      <c r="C1253" s="141" t="n"/>
      <c r="D1253" s="141" t="n"/>
      <c r="E1253" s="142" t="n"/>
      <c r="F1253" s="143" t="n"/>
      <c r="G1253" s="144" t="n"/>
      <c r="H1253" s="145">
        <f>IF(OR(C1253="",AND(F1253="",G1253="")),"",SUMIF(基础资料!$W$5:$W$24,C1253,基础资料!$X$5:$X$24)+SUMIF(C$7:C1253,C1253,F$7:F1253)-SUMIF(C$7:C1253,C1253,G$7:G1253))</f>
      </c>
      <c r="I1253" s="145">
        <f>IF(AND(F1253="",G1253=""),"",SUM(基础资料!$X$5:$X$24)+SUM(F$7:F1253)-SUM(G$7:G1253))</f>
      </c>
      <c r="J1253" s="141" t="n"/>
      <c r="K1253" s="141" t="n"/>
      <c r="L1253" s="141" t="n"/>
      <c r="M1253" s="142" t="n"/>
      <c r="N1253" s="146">
        <f>IF(AND(AND(F1253="",G1253=""),B1253="",C1253="",D1253="",J1253="",K1253="",L1253=""),"",IF(AND(F1253="",G1253=""),"✗ 没填金额",IF(AND(N(F1253)&lt;&gt;0,N(G1253)&lt;&gt;0),"✗ 收入、支出只能填一边",IF(NOT(ISNUMBER(B1253)),"✗ 日期不是真日期（要像 2026/9/25 这样填）",IF(OR(B1253&lt;年初日,B1253&gt;年末日),"✗ 日期不在本会计年度",IF(C1253="","✗ 没选账户",IF(COUNTIF(基础资料!$W$5:$W$24,C1253)=0,"✗ 账户不在基础资料里",IF(O1253="","✗ 没选收支项目",IF(P1253="未知","✗ 收支项目不在基础资料里",IF(AND(P1253="应收",J1253=""),"✗ 这笔要选客户",IF(AND(P1253="应收",COUNTIF(总览汇总!$B$5:$B$304,J1253)=0),"✗ 客户不在总览汇总名单里",IF(AND(P1253="应付",K1253=""),"✗ 这笔要选供应商",IF(AND(P1253="应付",COUNTIF(基础资料!$Q$5:$Q$54,K1253)=0),"✗ 供应商不在基础资料里",IF(AND(P1253="费用",L1253=""),"✗ 费用支出要选费用项目",IF(AND(L1253&lt;&gt;"",COUNTIF(基础资料!$AI$5:$AI$54,L1253)=0),"✗ 费用项目不在基础资料里",IF(AND(IFERROR(INDEX(基础资料!$AD$5:$AD$34,MATCH(O1253,基础资料!$AC$5:$AC$34,0)),"")="收",N(G1253)&lt;&gt;0),"✗ 这类是收款，金额填到收入列",IF(AND(IFERROR(INDEX(基础资料!$AD$5:$AD$34,MATCH(O1253,基础资料!$AC$5:$AC$34,0)),"")="支",N(F1253)&lt;&gt;0),"✗ 这类是付款，金额填到支出列",IF(N(H1253)&lt;0,"⚠ 账户余额成负数了，核对一下","√"))))))))))))))))))</f>
      </c>
      <c r="O1253" s="78">
        <f>IF(D1253&lt;&gt;"",D1253,IF(AND(F1253="",G1253=""),"",IF(J1253&lt;&gt;"",IF(N(F1253)&gt;0,"客户回款","客户退款"),IF(K1253&lt;&gt;"",IF(N(G1253)&gt;0,"供应商付款","供应商退款"),IF(L1253&lt;&gt;"","费用支出","")))))</f>
      </c>
      <c r="P1253" s="78">
        <f>IF(O1253="","",IFERROR(INDEX(基础资料!$AE$5:$AE$34,MATCH(O1253,基础资料!$AC$5:$AC$34,0)),"未知"))</f>
      </c>
      <c r="Q1253" s="78">
        <f>IF(P1253="应收",COUNTIF(P$7:P1253,"应收"),"")</f>
      </c>
      <c r="R1253" s="78">
        <f>IF(P1253="应付",COUNTIF(P$7:P1253,"应付"),"")</f>
      </c>
      <c r="S1253" s="78">
        <f>N(F1253)-N(G1253)</f>
        <v>0</v>
      </c>
    </row>
    <row r="1254">
      <c r="A1254" s="109">
        <f>IF(AND(F1254="",G1254=""),"",ROW()-6)</f>
      </c>
      <c r="B1254" s="140" t="n"/>
      <c r="C1254" s="141" t="n"/>
      <c r="D1254" s="141" t="n"/>
      <c r="E1254" s="142" t="n"/>
      <c r="F1254" s="143" t="n"/>
      <c r="G1254" s="144" t="n"/>
      <c r="H1254" s="145">
        <f>IF(OR(C1254="",AND(F1254="",G1254="")),"",SUMIF(基础资料!$W$5:$W$24,C1254,基础资料!$X$5:$X$24)+SUMIF(C$7:C1254,C1254,F$7:F1254)-SUMIF(C$7:C1254,C1254,G$7:G1254))</f>
      </c>
      <c r="I1254" s="145">
        <f>IF(AND(F1254="",G1254=""),"",SUM(基础资料!$X$5:$X$24)+SUM(F$7:F1254)-SUM(G$7:G1254))</f>
      </c>
      <c r="J1254" s="141" t="n"/>
      <c r="K1254" s="141" t="n"/>
      <c r="L1254" s="141" t="n"/>
      <c r="M1254" s="142" t="n"/>
      <c r="N1254" s="146">
        <f>IF(AND(AND(F1254="",G1254=""),B1254="",C1254="",D1254="",J1254="",K1254="",L1254=""),"",IF(AND(F1254="",G1254=""),"✗ 没填金额",IF(AND(N(F1254)&lt;&gt;0,N(G1254)&lt;&gt;0),"✗ 收入、支出只能填一边",IF(NOT(ISNUMBER(B1254)),"✗ 日期不是真日期（要像 2026/9/25 这样填）",IF(OR(B1254&lt;年初日,B1254&gt;年末日),"✗ 日期不在本会计年度",IF(C1254="","✗ 没选账户",IF(COUNTIF(基础资料!$W$5:$W$24,C1254)=0,"✗ 账户不在基础资料里",IF(O1254="","✗ 没选收支项目",IF(P1254="未知","✗ 收支项目不在基础资料里",IF(AND(P1254="应收",J1254=""),"✗ 这笔要选客户",IF(AND(P1254="应收",COUNTIF(总览汇总!$B$5:$B$304,J1254)=0),"✗ 客户不在总览汇总名单里",IF(AND(P1254="应付",K1254=""),"✗ 这笔要选供应商",IF(AND(P1254="应付",COUNTIF(基础资料!$Q$5:$Q$54,K1254)=0),"✗ 供应商不在基础资料里",IF(AND(P1254="费用",L1254=""),"✗ 费用支出要选费用项目",IF(AND(L1254&lt;&gt;"",COUNTIF(基础资料!$AI$5:$AI$54,L1254)=0),"✗ 费用项目不在基础资料里",IF(AND(IFERROR(INDEX(基础资料!$AD$5:$AD$34,MATCH(O1254,基础资料!$AC$5:$AC$34,0)),"")="收",N(G1254)&lt;&gt;0),"✗ 这类是收款，金额填到收入列",IF(AND(IFERROR(INDEX(基础资料!$AD$5:$AD$34,MATCH(O1254,基础资料!$AC$5:$AC$34,0)),"")="支",N(F1254)&lt;&gt;0),"✗ 这类是付款，金额填到支出列",IF(N(H1254)&lt;0,"⚠ 账户余额成负数了，核对一下","√"))))))))))))))))))</f>
      </c>
      <c r="O1254" s="78">
        <f>IF(D1254&lt;&gt;"",D1254,IF(AND(F1254="",G1254=""),"",IF(J1254&lt;&gt;"",IF(N(F1254)&gt;0,"客户回款","客户退款"),IF(K1254&lt;&gt;"",IF(N(G1254)&gt;0,"供应商付款","供应商退款"),IF(L1254&lt;&gt;"","费用支出","")))))</f>
      </c>
      <c r="P1254" s="78">
        <f>IF(O1254="","",IFERROR(INDEX(基础资料!$AE$5:$AE$34,MATCH(O1254,基础资料!$AC$5:$AC$34,0)),"未知"))</f>
      </c>
      <c r="Q1254" s="78">
        <f>IF(P1254="应收",COUNTIF(P$7:P1254,"应收"),"")</f>
      </c>
      <c r="R1254" s="78">
        <f>IF(P1254="应付",COUNTIF(P$7:P1254,"应付"),"")</f>
      </c>
      <c r="S1254" s="78">
        <f>N(F1254)-N(G1254)</f>
        <v>0</v>
      </c>
    </row>
    <row r="1255">
      <c r="A1255" s="109">
        <f>IF(AND(F1255="",G1255=""),"",ROW()-6)</f>
      </c>
      <c r="B1255" s="140" t="n"/>
      <c r="C1255" s="141" t="n"/>
      <c r="D1255" s="141" t="n"/>
      <c r="E1255" s="142" t="n"/>
      <c r="F1255" s="143" t="n"/>
      <c r="G1255" s="144" t="n"/>
      <c r="H1255" s="145">
        <f>IF(OR(C1255="",AND(F1255="",G1255="")),"",SUMIF(基础资料!$W$5:$W$24,C1255,基础资料!$X$5:$X$24)+SUMIF(C$7:C1255,C1255,F$7:F1255)-SUMIF(C$7:C1255,C1255,G$7:G1255))</f>
      </c>
      <c r="I1255" s="145">
        <f>IF(AND(F1255="",G1255=""),"",SUM(基础资料!$X$5:$X$24)+SUM(F$7:F1255)-SUM(G$7:G1255))</f>
      </c>
      <c r="J1255" s="141" t="n"/>
      <c r="K1255" s="141" t="n"/>
      <c r="L1255" s="141" t="n"/>
      <c r="M1255" s="142" t="n"/>
      <c r="N1255" s="146">
        <f>IF(AND(AND(F1255="",G1255=""),B1255="",C1255="",D1255="",J1255="",K1255="",L1255=""),"",IF(AND(F1255="",G1255=""),"✗ 没填金额",IF(AND(N(F1255)&lt;&gt;0,N(G1255)&lt;&gt;0),"✗ 收入、支出只能填一边",IF(NOT(ISNUMBER(B1255)),"✗ 日期不是真日期（要像 2026/9/25 这样填）",IF(OR(B1255&lt;年初日,B1255&gt;年末日),"✗ 日期不在本会计年度",IF(C1255="","✗ 没选账户",IF(COUNTIF(基础资料!$W$5:$W$24,C1255)=0,"✗ 账户不在基础资料里",IF(O1255="","✗ 没选收支项目",IF(P1255="未知","✗ 收支项目不在基础资料里",IF(AND(P1255="应收",J1255=""),"✗ 这笔要选客户",IF(AND(P1255="应收",COUNTIF(总览汇总!$B$5:$B$304,J1255)=0),"✗ 客户不在总览汇总名单里",IF(AND(P1255="应付",K1255=""),"✗ 这笔要选供应商",IF(AND(P1255="应付",COUNTIF(基础资料!$Q$5:$Q$54,K1255)=0),"✗ 供应商不在基础资料里",IF(AND(P1255="费用",L1255=""),"✗ 费用支出要选费用项目",IF(AND(L1255&lt;&gt;"",COUNTIF(基础资料!$AI$5:$AI$54,L1255)=0),"✗ 费用项目不在基础资料里",IF(AND(IFERROR(INDEX(基础资料!$AD$5:$AD$34,MATCH(O1255,基础资料!$AC$5:$AC$34,0)),"")="收",N(G1255)&lt;&gt;0),"✗ 这类是收款，金额填到收入列",IF(AND(IFERROR(INDEX(基础资料!$AD$5:$AD$34,MATCH(O1255,基础资料!$AC$5:$AC$34,0)),"")="支",N(F1255)&lt;&gt;0),"✗ 这类是付款，金额填到支出列",IF(N(H1255)&lt;0,"⚠ 账户余额成负数了，核对一下","√"))))))))))))))))))</f>
      </c>
      <c r="O1255" s="78">
        <f>IF(D1255&lt;&gt;"",D1255,IF(AND(F1255="",G1255=""),"",IF(J1255&lt;&gt;"",IF(N(F1255)&gt;0,"客户回款","客户退款"),IF(K1255&lt;&gt;"",IF(N(G1255)&gt;0,"供应商付款","供应商退款"),IF(L1255&lt;&gt;"","费用支出","")))))</f>
      </c>
      <c r="P1255" s="78">
        <f>IF(O1255="","",IFERROR(INDEX(基础资料!$AE$5:$AE$34,MATCH(O1255,基础资料!$AC$5:$AC$34,0)),"未知"))</f>
      </c>
      <c r="Q1255" s="78">
        <f>IF(P1255="应收",COUNTIF(P$7:P1255,"应收"),"")</f>
      </c>
      <c r="R1255" s="78">
        <f>IF(P1255="应付",COUNTIF(P$7:P1255,"应付"),"")</f>
      </c>
      <c r="S1255" s="78">
        <f>N(F1255)-N(G1255)</f>
        <v>0</v>
      </c>
    </row>
    <row r="1256">
      <c r="A1256" s="109">
        <f>IF(AND(F1256="",G1256=""),"",ROW()-6)</f>
      </c>
      <c r="B1256" s="140" t="n"/>
      <c r="C1256" s="141" t="n"/>
      <c r="D1256" s="141" t="n"/>
      <c r="E1256" s="142" t="n"/>
      <c r="F1256" s="143" t="n"/>
      <c r="G1256" s="144" t="n"/>
      <c r="H1256" s="145">
        <f>IF(OR(C1256="",AND(F1256="",G1256="")),"",SUMIF(基础资料!$W$5:$W$24,C1256,基础资料!$X$5:$X$24)+SUMIF(C$7:C1256,C1256,F$7:F1256)-SUMIF(C$7:C1256,C1256,G$7:G1256))</f>
      </c>
      <c r="I1256" s="145">
        <f>IF(AND(F1256="",G1256=""),"",SUM(基础资料!$X$5:$X$24)+SUM(F$7:F1256)-SUM(G$7:G1256))</f>
      </c>
      <c r="J1256" s="141" t="n"/>
      <c r="K1256" s="141" t="n"/>
      <c r="L1256" s="141" t="n"/>
      <c r="M1256" s="142" t="n"/>
      <c r="N1256" s="146">
        <f>IF(AND(AND(F1256="",G1256=""),B1256="",C1256="",D1256="",J1256="",K1256="",L1256=""),"",IF(AND(F1256="",G1256=""),"✗ 没填金额",IF(AND(N(F1256)&lt;&gt;0,N(G1256)&lt;&gt;0),"✗ 收入、支出只能填一边",IF(NOT(ISNUMBER(B1256)),"✗ 日期不是真日期（要像 2026/9/25 这样填）",IF(OR(B1256&lt;年初日,B1256&gt;年末日),"✗ 日期不在本会计年度",IF(C1256="","✗ 没选账户",IF(COUNTIF(基础资料!$W$5:$W$24,C1256)=0,"✗ 账户不在基础资料里",IF(O1256="","✗ 没选收支项目",IF(P1256="未知","✗ 收支项目不在基础资料里",IF(AND(P1256="应收",J1256=""),"✗ 这笔要选客户",IF(AND(P1256="应收",COUNTIF(总览汇总!$B$5:$B$304,J1256)=0),"✗ 客户不在总览汇总名单里",IF(AND(P1256="应付",K1256=""),"✗ 这笔要选供应商",IF(AND(P1256="应付",COUNTIF(基础资料!$Q$5:$Q$54,K1256)=0),"✗ 供应商不在基础资料里",IF(AND(P1256="费用",L1256=""),"✗ 费用支出要选费用项目",IF(AND(L1256&lt;&gt;"",COUNTIF(基础资料!$AI$5:$AI$54,L1256)=0),"✗ 费用项目不在基础资料里",IF(AND(IFERROR(INDEX(基础资料!$AD$5:$AD$34,MATCH(O1256,基础资料!$AC$5:$AC$34,0)),"")="收",N(G1256)&lt;&gt;0),"✗ 这类是收款，金额填到收入列",IF(AND(IFERROR(INDEX(基础资料!$AD$5:$AD$34,MATCH(O1256,基础资料!$AC$5:$AC$34,0)),"")="支",N(F1256)&lt;&gt;0),"✗ 这类是付款，金额填到支出列",IF(N(H1256)&lt;0,"⚠ 账户余额成负数了，核对一下","√"))))))))))))))))))</f>
      </c>
      <c r="O1256" s="78">
        <f>IF(D1256&lt;&gt;"",D1256,IF(AND(F1256="",G1256=""),"",IF(J1256&lt;&gt;"",IF(N(F1256)&gt;0,"客户回款","客户退款"),IF(K1256&lt;&gt;"",IF(N(G1256)&gt;0,"供应商付款","供应商退款"),IF(L1256&lt;&gt;"","费用支出","")))))</f>
      </c>
      <c r="P1256" s="78">
        <f>IF(O1256="","",IFERROR(INDEX(基础资料!$AE$5:$AE$34,MATCH(O1256,基础资料!$AC$5:$AC$34,0)),"未知"))</f>
      </c>
      <c r="Q1256" s="78">
        <f>IF(P1256="应收",COUNTIF(P$7:P1256,"应收"),"")</f>
      </c>
      <c r="R1256" s="78">
        <f>IF(P1256="应付",COUNTIF(P$7:P1256,"应付"),"")</f>
      </c>
      <c r="S1256" s="78">
        <f>N(F1256)-N(G1256)</f>
        <v>0</v>
      </c>
    </row>
    <row r="1257">
      <c r="A1257" s="109">
        <f>IF(AND(F1257="",G1257=""),"",ROW()-6)</f>
      </c>
      <c r="B1257" s="140" t="n"/>
      <c r="C1257" s="141" t="n"/>
      <c r="D1257" s="141" t="n"/>
      <c r="E1257" s="142" t="n"/>
      <c r="F1257" s="143" t="n"/>
      <c r="G1257" s="144" t="n"/>
      <c r="H1257" s="145">
        <f>IF(OR(C1257="",AND(F1257="",G1257="")),"",SUMIF(基础资料!$W$5:$W$24,C1257,基础资料!$X$5:$X$24)+SUMIF(C$7:C1257,C1257,F$7:F1257)-SUMIF(C$7:C1257,C1257,G$7:G1257))</f>
      </c>
      <c r="I1257" s="145">
        <f>IF(AND(F1257="",G1257=""),"",SUM(基础资料!$X$5:$X$24)+SUM(F$7:F1257)-SUM(G$7:G1257))</f>
      </c>
      <c r="J1257" s="141" t="n"/>
      <c r="K1257" s="141" t="n"/>
      <c r="L1257" s="141" t="n"/>
      <c r="M1257" s="142" t="n"/>
      <c r="N1257" s="146">
        <f>IF(AND(AND(F1257="",G1257=""),B1257="",C1257="",D1257="",J1257="",K1257="",L1257=""),"",IF(AND(F1257="",G1257=""),"✗ 没填金额",IF(AND(N(F1257)&lt;&gt;0,N(G1257)&lt;&gt;0),"✗ 收入、支出只能填一边",IF(NOT(ISNUMBER(B1257)),"✗ 日期不是真日期（要像 2026/9/25 这样填）",IF(OR(B1257&lt;年初日,B1257&gt;年末日),"✗ 日期不在本会计年度",IF(C1257="","✗ 没选账户",IF(COUNTIF(基础资料!$W$5:$W$24,C1257)=0,"✗ 账户不在基础资料里",IF(O1257="","✗ 没选收支项目",IF(P1257="未知","✗ 收支项目不在基础资料里",IF(AND(P1257="应收",J1257=""),"✗ 这笔要选客户",IF(AND(P1257="应收",COUNTIF(总览汇总!$B$5:$B$304,J1257)=0),"✗ 客户不在总览汇总名单里",IF(AND(P1257="应付",K1257=""),"✗ 这笔要选供应商",IF(AND(P1257="应付",COUNTIF(基础资料!$Q$5:$Q$54,K1257)=0),"✗ 供应商不在基础资料里",IF(AND(P1257="费用",L1257=""),"✗ 费用支出要选费用项目",IF(AND(L1257&lt;&gt;"",COUNTIF(基础资料!$AI$5:$AI$54,L1257)=0),"✗ 费用项目不在基础资料里",IF(AND(IFERROR(INDEX(基础资料!$AD$5:$AD$34,MATCH(O1257,基础资料!$AC$5:$AC$34,0)),"")="收",N(G1257)&lt;&gt;0),"✗ 这类是收款，金额填到收入列",IF(AND(IFERROR(INDEX(基础资料!$AD$5:$AD$34,MATCH(O1257,基础资料!$AC$5:$AC$34,0)),"")="支",N(F1257)&lt;&gt;0),"✗ 这类是付款，金额填到支出列",IF(N(H1257)&lt;0,"⚠ 账户余额成负数了，核对一下","√"))))))))))))))))))</f>
      </c>
      <c r="O1257" s="78">
        <f>IF(D1257&lt;&gt;"",D1257,IF(AND(F1257="",G1257=""),"",IF(J1257&lt;&gt;"",IF(N(F1257)&gt;0,"客户回款","客户退款"),IF(K1257&lt;&gt;"",IF(N(G1257)&gt;0,"供应商付款","供应商退款"),IF(L1257&lt;&gt;"","费用支出","")))))</f>
      </c>
      <c r="P1257" s="78">
        <f>IF(O1257="","",IFERROR(INDEX(基础资料!$AE$5:$AE$34,MATCH(O1257,基础资料!$AC$5:$AC$34,0)),"未知"))</f>
      </c>
      <c r="Q1257" s="78">
        <f>IF(P1257="应收",COUNTIF(P$7:P1257,"应收"),"")</f>
      </c>
      <c r="R1257" s="78">
        <f>IF(P1257="应付",COUNTIF(P$7:P1257,"应付"),"")</f>
      </c>
      <c r="S1257" s="78">
        <f>N(F1257)-N(G1257)</f>
        <v>0</v>
      </c>
    </row>
    <row r="1258">
      <c r="A1258" s="109">
        <f>IF(AND(F1258="",G1258=""),"",ROW()-6)</f>
      </c>
      <c r="B1258" s="140" t="n"/>
      <c r="C1258" s="141" t="n"/>
      <c r="D1258" s="141" t="n"/>
      <c r="E1258" s="142" t="n"/>
      <c r="F1258" s="143" t="n"/>
      <c r="G1258" s="144" t="n"/>
      <c r="H1258" s="145">
        <f>IF(OR(C1258="",AND(F1258="",G1258="")),"",SUMIF(基础资料!$W$5:$W$24,C1258,基础资料!$X$5:$X$24)+SUMIF(C$7:C1258,C1258,F$7:F1258)-SUMIF(C$7:C1258,C1258,G$7:G1258))</f>
      </c>
      <c r="I1258" s="145">
        <f>IF(AND(F1258="",G1258=""),"",SUM(基础资料!$X$5:$X$24)+SUM(F$7:F1258)-SUM(G$7:G1258))</f>
      </c>
      <c r="J1258" s="141" t="n"/>
      <c r="K1258" s="141" t="n"/>
      <c r="L1258" s="141" t="n"/>
      <c r="M1258" s="142" t="n"/>
      <c r="N1258" s="146">
        <f>IF(AND(AND(F1258="",G1258=""),B1258="",C1258="",D1258="",J1258="",K1258="",L1258=""),"",IF(AND(F1258="",G1258=""),"✗ 没填金额",IF(AND(N(F1258)&lt;&gt;0,N(G1258)&lt;&gt;0),"✗ 收入、支出只能填一边",IF(NOT(ISNUMBER(B1258)),"✗ 日期不是真日期（要像 2026/9/25 这样填）",IF(OR(B1258&lt;年初日,B1258&gt;年末日),"✗ 日期不在本会计年度",IF(C1258="","✗ 没选账户",IF(COUNTIF(基础资料!$W$5:$W$24,C1258)=0,"✗ 账户不在基础资料里",IF(O1258="","✗ 没选收支项目",IF(P1258="未知","✗ 收支项目不在基础资料里",IF(AND(P1258="应收",J1258=""),"✗ 这笔要选客户",IF(AND(P1258="应收",COUNTIF(总览汇总!$B$5:$B$304,J1258)=0),"✗ 客户不在总览汇总名单里",IF(AND(P1258="应付",K1258=""),"✗ 这笔要选供应商",IF(AND(P1258="应付",COUNTIF(基础资料!$Q$5:$Q$54,K1258)=0),"✗ 供应商不在基础资料里",IF(AND(P1258="费用",L1258=""),"✗ 费用支出要选费用项目",IF(AND(L1258&lt;&gt;"",COUNTIF(基础资料!$AI$5:$AI$54,L1258)=0),"✗ 费用项目不在基础资料里",IF(AND(IFERROR(INDEX(基础资料!$AD$5:$AD$34,MATCH(O1258,基础资料!$AC$5:$AC$34,0)),"")="收",N(G1258)&lt;&gt;0),"✗ 这类是收款，金额填到收入列",IF(AND(IFERROR(INDEX(基础资料!$AD$5:$AD$34,MATCH(O1258,基础资料!$AC$5:$AC$34,0)),"")="支",N(F1258)&lt;&gt;0),"✗ 这类是付款，金额填到支出列",IF(N(H1258)&lt;0,"⚠ 账户余额成负数了，核对一下","√"))))))))))))))))))</f>
      </c>
      <c r="O1258" s="78">
        <f>IF(D1258&lt;&gt;"",D1258,IF(AND(F1258="",G1258=""),"",IF(J1258&lt;&gt;"",IF(N(F1258)&gt;0,"客户回款","客户退款"),IF(K1258&lt;&gt;"",IF(N(G1258)&gt;0,"供应商付款","供应商退款"),IF(L1258&lt;&gt;"","费用支出","")))))</f>
      </c>
      <c r="P1258" s="78">
        <f>IF(O1258="","",IFERROR(INDEX(基础资料!$AE$5:$AE$34,MATCH(O1258,基础资料!$AC$5:$AC$34,0)),"未知"))</f>
      </c>
      <c r="Q1258" s="78">
        <f>IF(P1258="应收",COUNTIF(P$7:P1258,"应收"),"")</f>
      </c>
      <c r="R1258" s="78">
        <f>IF(P1258="应付",COUNTIF(P$7:P1258,"应付"),"")</f>
      </c>
      <c r="S1258" s="78">
        <f>N(F1258)-N(G1258)</f>
        <v>0</v>
      </c>
    </row>
    <row r="1259">
      <c r="A1259" s="109">
        <f>IF(AND(F1259="",G1259=""),"",ROW()-6)</f>
      </c>
      <c r="B1259" s="140" t="n"/>
      <c r="C1259" s="141" t="n"/>
      <c r="D1259" s="141" t="n"/>
      <c r="E1259" s="142" t="n"/>
      <c r="F1259" s="143" t="n"/>
      <c r="G1259" s="144" t="n"/>
      <c r="H1259" s="145">
        <f>IF(OR(C1259="",AND(F1259="",G1259="")),"",SUMIF(基础资料!$W$5:$W$24,C1259,基础资料!$X$5:$X$24)+SUMIF(C$7:C1259,C1259,F$7:F1259)-SUMIF(C$7:C1259,C1259,G$7:G1259))</f>
      </c>
      <c r="I1259" s="145">
        <f>IF(AND(F1259="",G1259=""),"",SUM(基础资料!$X$5:$X$24)+SUM(F$7:F1259)-SUM(G$7:G1259))</f>
      </c>
      <c r="J1259" s="141" t="n"/>
      <c r="K1259" s="141" t="n"/>
      <c r="L1259" s="141" t="n"/>
      <c r="M1259" s="142" t="n"/>
      <c r="N1259" s="146">
        <f>IF(AND(AND(F1259="",G1259=""),B1259="",C1259="",D1259="",J1259="",K1259="",L1259=""),"",IF(AND(F1259="",G1259=""),"✗ 没填金额",IF(AND(N(F1259)&lt;&gt;0,N(G1259)&lt;&gt;0),"✗ 收入、支出只能填一边",IF(NOT(ISNUMBER(B1259)),"✗ 日期不是真日期（要像 2026/9/25 这样填）",IF(OR(B1259&lt;年初日,B1259&gt;年末日),"✗ 日期不在本会计年度",IF(C1259="","✗ 没选账户",IF(COUNTIF(基础资料!$W$5:$W$24,C1259)=0,"✗ 账户不在基础资料里",IF(O1259="","✗ 没选收支项目",IF(P1259="未知","✗ 收支项目不在基础资料里",IF(AND(P1259="应收",J1259=""),"✗ 这笔要选客户",IF(AND(P1259="应收",COUNTIF(总览汇总!$B$5:$B$304,J1259)=0),"✗ 客户不在总览汇总名单里",IF(AND(P1259="应付",K1259=""),"✗ 这笔要选供应商",IF(AND(P1259="应付",COUNTIF(基础资料!$Q$5:$Q$54,K1259)=0),"✗ 供应商不在基础资料里",IF(AND(P1259="费用",L1259=""),"✗ 费用支出要选费用项目",IF(AND(L1259&lt;&gt;"",COUNTIF(基础资料!$AI$5:$AI$54,L1259)=0),"✗ 费用项目不在基础资料里",IF(AND(IFERROR(INDEX(基础资料!$AD$5:$AD$34,MATCH(O1259,基础资料!$AC$5:$AC$34,0)),"")="收",N(G1259)&lt;&gt;0),"✗ 这类是收款，金额填到收入列",IF(AND(IFERROR(INDEX(基础资料!$AD$5:$AD$34,MATCH(O1259,基础资料!$AC$5:$AC$34,0)),"")="支",N(F1259)&lt;&gt;0),"✗ 这类是付款，金额填到支出列",IF(N(H1259)&lt;0,"⚠ 账户余额成负数了，核对一下","√"))))))))))))))))))</f>
      </c>
      <c r="O1259" s="78">
        <f>IF(D1259&lt;&gt;"",D1259,IF(AND(F1259="",G1259=""),"",IF(J1259&lt;&gt;"",IF(N(F1259)&gt;0,"客户回款","客户退款"),IF(K1259&lt;&gt;"",IF(N(G1259)&gt;0,"供应商付款","供应商退款"),IF(L1259&lt;&gt;"","费用支出","")))))</f>
      </c>
      <c r="P1259" s="78">
        <f>IF(O1259="","",IFERROR(INDEX(基础资料!$AE$5:$AE$34,MATCH(O1259,基础资料!$AC$5:$AC$34,0)),"未知"))</f>
      </c>
      <c r="Q1259" s="78">
        <f>IF(P1259="应收",COUNTIF(P$7:P1259,"应收"),"")</f>
      </c>
      <c r="R1259" s="78">
        <f>IF(P1259="应付",COUNTIF(P$7:P1259,"应付"),"")</f>
      </c>
      <c r="S1259" s="78">
        <f>N(F1259)-N(G1259)</f>
        <v>0</v>
      </c>
    </row>
    <row r="1260">
      <c r="A1260" s="109">
        <f>IF(AND(F1260="",G1260=""),"",ROW()-6)</f>
      </c>
      <c r="B1260" s="140" t="n"/>
      <c r="C1260" s="141" t="n"/>
      <c r="D1260" s="141" t="n"/>
      <c r="E1260" s="142" t="n"/>
      <c r="F1260" s="143" t="n"/>
      <c r="G1260" s="144" t="n"/>
      <c r="H1260" s="145">
        <f>IF(OR(C1260="",AND(F1260="",G1260="")),"",SUMIF(基础资料!$W$5:$W$24,C1260,基础资料!$X$5:$X$24)+SUMIF(C$7:C1260,C1260,F$7:F1260)-SUMIF(C$7:C1260,C1260,G$7:G1260))</f>
      </c>
      <c r="I1260" s="145">
        <f>IF(AND(F1260="",G1260=""),"",SUM(基础资料!$X$5:$X$24)+SUM(F$7:F1260)-SUM(G$7:G1260))</f>
      </c>
      <c r="J1260" s="141" t="n"/>
      <c r="K1260" s="141" t="n"/>
      <c r="L1260" s="141" t="n"/>
      <c r="M1260" s="142" t="n"/>
      <c r="N1260" s="146">
        <f>IF(AND(AND(F1260="",G1260=""),B1260="",C1260="",D1260="",J1260="",K1260="",L1260=""),"",IF(AND(F1260="",G1260=""),"✗ 没填金额",IF(AND(N(F1260)&lt;&gt;0,N(G1260)&lt;&gt;0),"✗ 收入、支出只能填一边",IF(NOT(ISNUMBER(B1260)),"✗ 日期不是真日期（要像 2026/9/25 这样填）",IF(OR(B1260&lt;年初日,B1260&gt;年末日),"✗ 日期不在本会计年度",IF(C1260="","✗ 没选账户",IF(COUNTIF(基础资料!$W$5:$W$24,C1260)=0,"✗ 账户不在基础资料里",IF(O1260="","✗ 没选收支项目",IF(P1260="未知","✗ 收支项目不在基础资料里",IF(AND(P1260="应收",J1260=""),"✗ 这笔要选客户",IF(AND(P1260="应收",COUNTIF(总览汇总!$B$5:$B$304,J1260)=0),"✗ 客户不在总览汇总名单里",IF(AND(P1260="应付",K1260=""),"✗ 这笔要选供应商",IF(AND(P1260="应付",COUNTIF(基础资料!$Q$5:$Q$54,K1260)=0),"✗ 供应商不在基础资料里",IF(AND(P1260="费用",L1260=""),"✗ 费用支出要选费用项目",IF(AND(L1260&lt;&gt;"",COUNTIF(基础资料!$AI$5:$AI$54,L1260)=0),"✗ 费用项目不在基础资料里",IF(AND(IFERROR(INDEX(基础资料!$AD$5:$AD$34,MATCH(O1260,基础资料!$AC$5:$AC$34,0)),"")="收",N(G1260)&lt;&gt;0),"✗ 这类是收款，金额填到收入列",IF(AND(IFERROR(INDEX(基础资料!$AD$5:$AD$34,MATCH(O1260,基础资料!$AC$5:$AC$34,0)),"")="支",N(F1260)&lt;&gt;0),"✗ 这类是付款，金额填到支出列",IF(N(H1260)&lt;0,"⚠ 账户余额成负数了，核对一下","√"))))))))))))))))))</f>
      </c>
      <c r="O1260" s="78">
        <f>IF(D1260&lt;&gt;"",D1260,IF(AND(F1260="",G1260=""),"",IF(J1260&lt;&gt;"",IF(N(F1260)&gt;0,"客户回款","客户退款"),IF(K1260&lt;&gt;"",IF(N(G1260)&gt;0,"供应商付款","供应商退款"),IF(L1260&lt;&gt;"","费用支出","")))))</f>
      </c>
      <c r="P1260" s="78">
        <f>IF(O1260="","",IFERROR(INDEX(基础资料!$AE$5:$AE$34,MATCH(O1260,基础资料!$AC$5:$AC$34,0)),"未知"))</f>
      </c>
      <c r="Q1260" s="78">
        <f>IF(P1260="应收",COUNTIF(P$7:P1260,"应收"),"")</f>
      </c>
      <c r="R1260" s="78">
        <f>IF(P1260="应付",COUNTIF(P$7:P1260,"应付"),"")</f>
      </c>
      <c r="S1260" s="78">
        <f>N(F1260)-N(G1260)</f>
        <v>0</v>
      </c>
    </row>
    <row r="1261">
      <c r="A1261" s="109">
        <f>IF(AND(F1261="",G1261=""),"",ROW()-6)</f>
      </c>
      <c r="B1261" s="140" t="n"/>
      <c r="C1261" s="141" t="n"/>
      <c r="D1261" s="141" t="n"/>
      <c r="E1261" s="142" t="n"/>
      <c r="F1261" s="143" t="n"/>
      <c r="G1261" s="144" t="n"/>
      <c r="H1261" s="145">
        <f>IF(OR(C1261="",AND(F1261="",G1261="")),"",SUMIF(基础资料!$W$5:$W$24,C1261,基础资料!$X$5:$X$24)+SUMIF(C$7:C1261,C1261,F$7:F1261)-SUMIF(C$7:C1261,C1261,G$7:G1261))</f>
      </c>
      <c r="I1261" s="145">
        <f>IF(AND(F1261="",G1261=""),"",SUM(基础资料!$X$5:$X$24)+SUM(F$7:F1261)-SUM(G$7:G1261))</f>
      </c>
      <c r="J1261" s="141" t="n"/>
      <c r="K1261" s="141" t="n"/>
      <c r="L1261" s="141" t="n"/>
      <c r="M1261" s="142" t="n"/>
      <c r="N1261" s="146">
        <f>IF(AND(AND(F1261="",G1261=""),B1261="",C1261="",D1261="",J1261="",K1261="",L1261=""),"",IF(AND(F1261="",G1261=""),"✗ 没填金额",IF(AND(N(F1261)&lt;&gt;0,N(G1261)&lt;&gt;0),"✗ 收入、支出只能填一边",IF(NOT(ISNUMBER(B1261)),"✗ 日期不是真日期（要像 2026/9/25 这样填）",IF(OR(B1261&lt;年初日,B1261&gt;年末日),"✗ 日期不在本会计年度",IF(C1261="","✗ 没选账户",IF(COUNTIF(基础资料!$W$5:$W$24,C1261)=0,"✗ 账户不在基础资料里",IF(O1261="","✗ 没选收支项目",IF(P1261="未知","✗ 收支项目不在基础资料里",IF(AND(P1261="应收",J1261=""),"✗ 这笔要选客户",IF(AND(P1261="应收",COUNTIF(总览汇总!$B$5:$B$304,J1261)=0),"✗ 客户不在总览汇总名单里",IF(AND(P1261="应付",K1261=""),"✗ 这笔要选供应商",IF(AND(P1261="应付",COUNTIF(基础资料!$Q$5:$Q$54,K1261)=0),"✗ 供应商不在基础资料里",IF(AND(P1261="费用",L1261=""),"✗ 费用支出要选费用项目",IF(AND(L1261&lt;&gt;"",COUNTIF(基础资料!$AI$5:$AI$54,L1261)=0),"✗ 费用项目不在基础资料里",IF(AND(IFERROR(INDEX(基础资料!$AD$5:$AD$34,MATCH(O1261,基础资料!$AC$5:$AC$34,0)),"")="收",N(G1261)&lt;&gt;0),"✗ 这类是收款，金额填到收入列",IF(AND(IFERROR(INDEX(基础资料!$AD$5:$AD$34,MATCH(O1261,基础资料!$AC$5:$AC$34,0)),"")="支",N(F1261)&lt;&gt;0),"✗ 这类是付款，金额填到支出列",IF(N(H1261)&lt;0,"⚠ 账户余额成负数了，核对一下","√"))))))))))))))))))</f>
      </c>
      <c r="O1261" s="78">
        <f>IF(D1261&lt;&gt;"",D1261,IF(AND(F1261="",G1261=""),"",IF(J1261&lt;&gt;"",IF(N(F1261)&gt;0,"客户回款","客户退款"),IF(K1261&lt;&gt;"",IF(N(G1261)&gt;0,"供应商付款","供应商退款"),IF(L1261&lt;&gt;"","费用支出","")))))</f>
      </c>
      <c r="P1261" s="78">
        <f>IF(O1261="","",IFERROR(INDEX(基础资料!$AE$5:$AE$34,MATCH(O1261,基础资料!$AC$5:$AC$34,0)),"未知"))</f>
      </c>
      <c r="Q1261" s="78">
        <f>IF(P1261="应收",COUNTIF(P$7:P1261,"应收"),"")</f>
      </c>
      <c r="R1261" s="78">
        <f>IF(P1261="应付",COUNTIF(P$7:P1261,"应付"),"")</f>
      </c>
      <c r="S1261" s="78">
        <f>N(F1261)-N(G1261)</f>
        <v>0</v>
      </c>
    </row>
    <row r="1262">
      <c r="A1262" s="109">
        <f>IF(AND(F1262="",G1262=""),"",ROW()-6)</f>
      </c>
      <c r="B1262" s="140" t="n"/>
      <c r="C1262" s="141" t="n"/>
      <c r="D1262" s="141" t="n"/>
      <c r="E1262" s="142" t="n"/>
      <c r="F1262" s="143" t="n"/>
      <c r="G1262" s="144" t="n"/>
      <c r="H1262" s="145">
        <f>IF(OR(C1262="",AND(F1262="",G1262="")),"",SUMIF(基础资料!$W$5:$W$24,C1262,基础资料!$X$5:$X$24)+SUMIF(C$7:C1262,C1262,F$7:F1262)-SUMIF(C$7:C1262,C1262,G$7:G1262))</f>
      </c>
      <c r="I1262" s="145">
        <f>IF(AND(F1262="",G1262=""),"",SUM(基础资料!$X$5:$X$24)+SUM(F$7:F1262)-SUM(G$7:G1262))</f>
      </c>
      <c r="J1262" s="141" t="n"/>
      <c r="K1262" s="141" t="n"/>
      <c r="L1262" s="141" t="n"/>
      <c r="M1262" s="142" t="n"/>
      <c r="N1262" s="146">
        <f>IF(AND(AND(F1262="",G1262=""),B1262="",C1262="",D1262="",J1262="",K1262="",L1262=""),"",IF(AND(F1262="",G1262=""),"✗ 没填金额",IF(AND(N(F1262)&lt;&gt;0,N(G1262)&lt;&gt;0),"✗ 收入、支出只能填一边",IF(NOT(ISNUMBER(B1262)),"✗ 日期不是真日期（要像 2026/9/25 这样填）",IF(OR(B1262&lt;年初日,B1262&gt;年末日),"✗ 日期不在本会计年度",IF(C1262="","✗ 没选账户",IF(COUNTIF(基础资料!$W$5:$W$24,C1262)=0,"✗ 账户不在基础资料里",IF(O1262="","✗ 没选收支项目",IF(P1262="未知","✗ 收支项目不在基础资料里",IF(AND(P1262="应收",J1262=""),"✗ 这笔要选客户",IF(AND(P1262="应收",COUNTIF(总览汇总!$B$5:$B$304,J1262)=0),"✗ 客户不在总览汇总名单里",IF(AND(P1262="应付",K1262=""),"✗ 这笔要选供应商",IF(AND(P1262="应付",COUNTIF(基础资料!$Q$5:$Q$54,K1262)=0),"✗ 供应商不在基础资料里",IF(AND(P1262="费用",L1262=""),"✗ 费用支出要选费用项目",IF(AND(L1262&lt;&gt;"",COUNTIF(基础资料!$AI$5:$AI$54,L1262)=0),"✗ 费用项目不在基础资料里",IF(AND(IFERROR(INDEX(基础资料!$AD$5:$AD$34,MATCH(O1262,基础资料!$AC$5:$AC$34,0)),"")="收",N(G1262)&lt;&gt;0),"✗ 这类是收款，金额填到收入列",IF(AND(IFERROR(INDEX(基础资料!$AD$5:$AD$34,MATCH(O1262,基础资料!$AC$5:$AC$34,0)),"")="支",N(F1262)&lt;&gt;0),"✗ 这类是付款，金额填到支出列",IF(N(H1262)&lt;0,"⚠ 账户余额成负数了，核对一下","√"))))))))))))))))))</f>
      </c>
      <c r="O1262" s="78">
        <f>IF(D1262&lt;&gt;"",D1262,IF(AND(F1262="",G1262=""),"",IF(J1262&lt;&gt;"",IF(N(F1262)&gt;0,"客户回款","客户退款"),IF(K1262&lt;&gt;"",IF(N(G1262)&gt;0,"供应商付款","供应商退款"),IF(L1262&lt;&gt;"","费用支出","")))))</f>
      </c>
      <c r="P1262" s="78">
        <f>IF(O1262="","",IFERROR(INDEX(基础资料!$AE$5:$AE$34,MATCH(O1262,基础资料!$AC$5:$AC$34,0)),"未知"))</f>
      </c>
      <c r="Q1262" s="78">
        <f>IF(P1262="应收",COUNTIF(P$7:P1262,"应收"),"")</f>
      </c>
      <c r="R1262" s="78">
        <f>IF(P1262="应付",COUNTIF(P$7:P1262,"应付"),"")</f>
      </c>
      <c r="S1262" s="78">
        <f>N(F1262)-N(G1262)</f>
        <v>0</v>
      </c>
    </row>
    <row r="1263">
      <c r="A1263" s="109">
        <f>IF(AND(F1263="",G1263=""),"",ROW()-6)</f>
      </c>
      <c r="B1263" s="140" t="n"/>
      <c r="C1263" s="141" t="n"/>
      <c r="D1263" s="141" t="n"/>
      <c r="E1263" s="142" t="n"/>
      <c r="F1263" s="143" t="n"/>
      <c r="G1263" s="144" t="n"/>
      <c r="H1263" s="145">
        <f>IF(OR(C1263="",AND(F1263="",G1263="")),"",SUMIF(基础资料!$W$5:$W$24,C1263,基础资料!$X$5:$X$24)+SUMIF(C$7:C1263,C1263,F$7:F1263)-SUMIF(C$7:C1263,C1263,G$7:G1263))</f>
      </c>
      <c r="I1263" s="145">
        <f>IF(AND(F1263="",G1263=""),"",SUM(基础资料!$X$5:$X$24)+SUM(F$7:F1263)-SUM(G$7:G1263))</f>
      </c>
      <c r="J1263" s="141" t="n"/>
      <c r="K1263" s="141" t="n"/>
      <c r="L1263" s="141" t="n"/>
      <c r="M1263" s="142" t="n"/>
      <c r="N1263" s="146">
        <f>IF(AND(AND(F1263="",G1263=""),B1263="",C1263="",D1263="",J1263="",K1263="",L1263=""),"",IF(AND(F1263="",G1263=""),"✗ 没填金额",IF(AND(N(F1263)&lt;&gt;0,N(G1263)&lt;&gt;0),"✗ 收入、支出只能填一边",IF(NOT(ISNUMBER(B1263)),"✗ 日期不是真日期（要像 2026/9/25 这样填）",IF(OR(B1263&lt;年初日,B1263&gt;年末日),"✗ 日期不在本会计年度",IF(C1263="","✗ 没选账户",IF(COUNTIF(基础资料!$W$5:$W$24,C1263)=0,"✗ 账户不在基础资料里",IF(O1263="","✗ 没选收支项目",IF(P1263="未知","✗ 收支项目不在基础资料里",IF(AND(P1263="应收",J1263=""),"✗ 这笔要选客户",IF(AND(P1263="应收",COUNTIF(总览汇总!$B$5:$B$304,J1263)=0),"✗ 客户不在总览汇总名单里",IF(AND(P1263="应付",K1263=""),"✗ 这笔要选供应商",IF(AND(P1263="应付",COUNTIF(基础资料!$Q$5:$Q$54,K1263)=0),"✗ 供应商不在基础资料里",IF(AND(P1263="费用",L1263=""),"✗ 费用支出要选费用项目",IF(AND(L1263&lt;&gt;"",COUNTIF(基础资料!$AI$5:$AI$54,L1263)=0),"✗ 费用项目不在基础资料里",IF(AND(IFERROR(INDEX(基础资料!$AD$5:$AD$34,MATCH(O1263,基础资料!$AC$5:$AC$34,0)),"")="收",N(G1263)&lt;&gt;0),"✗ 这类是收款，金额填到收入列",IF(AND(IFERROR(INDEX(基础资料!$AD$5:$AD$34,MATCH(O1263,基础资料!$AC$5:$AC$34,0)),"")="支",N(F1263)&lt;&gt;0),"✗ 这类是付款，金额填到支出列",IF(N(H1263)&lt;0,"⚠ 账户余额成负数了，核对一下","√"))))))))))))))))))</f>
      </c>
      <c r="O1263" s="78">
        <f>IF(D1263&lt;&gt;"",D1263,IF(AND(F1263="",G1263=""),"",IF(J1263&lt;&gt;"",IF(N(F1263)&gt;0,"客户回款","客户退款"),IF(K1263&lt;&gt;"",IF(N(G1263)&gt;0,"供应商付款","供应商退款"),IF(L1263&lt;&gt;"","费用支出","")))))</f>
      </c>
      <c r="P1263" s="78">
        <f>IF(O1263="","",IFERROR(INDEX(基础资料!$AE$5:$AE$34,MATCH(O1263,基础资料!$AC$5:$AC$34,0)),"未知"))</f>
      </c>
      <c r="Q1263" s="78">
        <f>IF(P1263="应收",COUNTIF(P$7:P1263,"应收"),"")</f>
      </c>
      <c r="R1263" s="78">
        <f>IF(P1263="应付",COUNTIF(P$7:P1263,"应付"),"")</f>
      </c>
      <c r="S1263" s="78">
        <f>N(F1263)-N(G1263)</f>
        <v>0</v>
      </c>
    </row>
    <row r="1264">
      <c r="A1264" s="109">
        <f>IF(AND(F1264="",G1264=""),"",ROW()-6)</f>
      </c>
      <c r="B1264" s="140" t="n"/>
      <c r="C1264" s="141" t="n"/>
      <c r="D1264" s="141" t="n"/>
      <c r="E1264" s="142" t="n"/>
      <c r="F1264" s="143" t="n"/>
      <c r="G1264" s="144" t="n"/>
      <c r="H1264" s="145">
        <f>IF(OR(C1264="",AND(F1264="",G1264="")),"",SUMIF(基础资料!$W$5:$W$24,C1264,基础资料!$X$5:$X$24)+SUMIF(C$7:C1264,C1264,F$7:F1264)-SUMIF(C$7:C1264,C1264,G$7:G1264))</f>
      </c>
      <c r="I1264" s="145">
        <f>IF(AND(F1264="",G1264=""),"",SUM(基础资料!$X$5:$X$24)+SUM(F$7:F1264)-SUM(G$7:G1264))</f>
      </c>
      <c r="J1264" s="141" t="n"/>
      <c r="K1264" s="141" t="n"/>
      <c r="L1264" s="141" t="n"/>
      <c r="M1264" s="142" t="n"/>
      <c r="N1264" s="146">
        <f>IF(AND(AND(F1264="",G1264=""),B1264="",C1264="",D1264="",J1264="",K1264="",L1264=""),"",IF(AND(F1264="",G1264=""),"✗ 没填金额",IF(AND(N(F1264)&lt;&gt;0,N(G1264)&lt;&gt;0),"✗ 收入、支出只能填一边",IF(NOT(ISNUMBER(B1264)),"✗ 日期不是真日期（要像 2026/9/25 这样填）",IF(OR(B1264&lt;年初日,B1264&gt;年末日),"✗ 日期不在本会计年度",IF(C1264="","✗ 没选账户",IF(COUNTIF(基础资料!$W$5:$W$24,C1264)=0,"✗ 账户不在基础资料里",IF(O1264="","✗ 没选收支项目",IF(P1264="未知","✗ 收支项目不在基础资料里",IF(AND(P1264="应收",J1264=""),"✗ 这笔要选客户",IF(AND(P1264="应收",COUNTIF(总览汇总!$B$5:$B$304,J1264)=0),"✗ 客户不在总览汇总名单里",IF(AND(P1264="应付",K1264=""),"✗ 这笔要选供应商",IF(AND(P1264="应付",COUNTIF(基础资料!$Q$5:$Q$54,K1264)=0),"✗ 供应商不在基础资料里",IF(AND(P1264="费用",L1264=""),"✗ 费用支出要选费用项目",IF(AND(L1264&lt;&gt;"",COUNTIF(基础资料!$AI$5:$AI$54,L1264)=0),"✗ 费用项目不在基础资料里",IF(AND(IFERROR(INDEX(基础资料!$AD$5:$AD$34,MATCH(O1264,基础资料!$AC$5:$AC$34,0)),"")="收",N(G1264)&lt;&gt;0),"✗ 这类是收款，金额填到收入列",IF(AND(IFERROR(INDEX(基础资料!$AD$5:$AD$34,MATCH(O1264,基础资料!$AC$5:$AC$34,0)),"")="支",N(F1264)&lt;&gt;0),"✗ 这类是付款，金额填到支出列",IF(N(H1264)&lt;0,"⚠ 账户余额成负数了，核对一下","√"))))))))))))))))))</f>
      </c>
      <c r="O1264" s="78">
        <f>IF(D1264&lt;&gt;"",D1264,IF(AND(F1264="",G1264=""),"",IF(J1264&lt;&gt;"",IF(N(F1264)&gt;0,"客户回款","客户退款"),IF(K1264&lt;&gt;"",IF(N(G1264)&gt;0,"供应商付款","供应商退款"),IF(L1264&lt;&gt;"","费用支出","")))))</f>
      </c>
      <c r="P1264" s="78">
        <f>IF(O1264="","",IFERROR(INDEX(基础资料!$AE$5:$AE$34,MATCH(O1264,基础资料!$AC$5:$AC$34,0)),"未知"))</f>
      </c>
      <c r="Q1264" s="78">
        <f>IF(P1264="应收",COUNTIF(P$7:P1264,"应收"),"")</f>
      </c>
      <c r="R1264" s="78">
        <f>IF(P1264="应付",COUNTIF(P$7:P1264,"应付"),"")</f>
      </c>
      <c r="S1264" s="78">
        <f>N(F1264)-N(G1264)</f>
        <v>0</v>
      </c>
    </row>
    <row r="1265">
      <c r="A1265" s="109">
        <f>IF(AND(F1265="",G1265=""),"",ROW()-6)</f>
      </c>
      <c r="B1265" s="140" t="n"/>
      <c r="C1265" s="141" t="n"/>
      <c r="D1265" s="141" t="n"/>
      <c r="E1265" s="142" t="n"/>
      <c r="F1265" s="143" t="n"/>
      <c r="G1265" s="144" t="n"/>
      <c r="H1265" s="145">
        <f>IF(OR(C1265="",AND(F1265="",G1265="")),"",SUMIF(基础资料!$W$5:$W$24,C1265,基础资料!$X$5:$X$24)+SUMIF(C$7:C1265,C1265,F$7:F1265)-SUMIF(C$7:C1265,C1265,G$7:G1265))</f>
      </c>
      <c r="I1265" s="145">
        <f>IF(AND(F1265="",G1265=""),"",SUM(基础资料!$X$5:$X$24)+SUM(F$7:F1265)-SUM(G$7:G1265))</f>
      </c>
      <c r="J1265" s="141" t="n"/>
      <c r="K1265" s="141" t="n"/>
      <c r="L1265" s="141" t="n"/>
      <c r="M1265" s="142" t="n"/>
      <c r="N1265" s="146">
        <f>IF(AND(AND(F1265="",G1265=""),B1265="",C1265="",D1265="",J1265="",K1265="",L1265=""),"",IF(AND(F1265="",G1265=""),"✗ 没填金额",IF(AND(N(F1265)&lt;&gt;0,N(G1265)&lt;&gt;0),"✗ 收入、支出只能填一边",IF(NOT(ISNUMBER(B1265)),"✗ 日期不是真日期（要像 2026/9/25 这样填）",IF(OR(B1265&lt;年初日,B1265&gt;年末日),"✗ 日期不在本会计年度",IF(C1265="","✗ 没选账户",IF(COUNTIF(基础资料!$W$5:$W$24,C1265)=0,"✗ 账户不在基础资料里",IF(O1265="","✗ 没选收支项目",IF(P1265="未知","✗ 收支项目不在基础资料里",IF(AND(P1265="应收",J1265=""),"✗ 这笔要选客户",IF(AND(P1265="应收",COUNTIF(总览汇总!$B$5:$B$304,J1265)=0),"✗ 客户不在总览汇总名单里",IF(AND(P1265="应付",K1265=""),"✗ 这笔要选供应商",IF(AND(P1265="应付",COUNTIF(基础资料!$Q$5:$Q$54,K1265)=0),"✗ 供应商不在基础资料里",IF(AND(P1265="费用",L1265=""),"✗ 费用支出要选费用项目",IF(AND(L1265&lt;&gt;"",COUNTIF(基础资料!$AI$5:$AI$54,L1265)=0),"✗ 费用项目不在基础资料里",IF(AND(IFERROR(INDEX(基础资料!$AD$5:$AD$34,MATCH(O1265,基础资料!$AC$5:$AC$34,0)),"")="收",N(G1265)&lt;&gt;0),"✗ 这类是收款，金额填到收入列",IF(AND(IFERROR(INDEX(基础资料!$AD$5:$AD$34,MATCH(O1265,基础资料!$AC$5:$AC$34,0)),"")="支",N(F1265)&lt;&gt;0),"✗ 这类是付款，金额填到支出列",IF(N(H1265)&lt;0,"⚠ 账户余额成负数了，核对一下","√"))))))))))))))))))</f>
      </c>
      <c r="O1265" s="78">
        <f>IF(D1265&lt;&gt;"",D1265,IF(AND(F1265="",G1265=""),"",IF(J1265&lt;&gt;"",IF(N(F1265)&gt;0,"客户回款","客户退款"),IF(K1265&lt;&gt;"",IF(N(G1265)&gt;0,"供应商付款","供应商退款"),IF(L1265&lt;&gt;"","费用支出","")))))</f>
      </c>
      <c r="P1265" s="78">
        <f>IF(O1265="","",IFERROR(INDEX(基础资料!$AE$5:$AE$34,MATCH(O1265,基础资料!$AC$5:$AC$34,0)),"未知"))</f>
      </c>
      <c r="Q1265" s="78">
        <f>IF(P1265="应收",COUNTIF(P$7:P1265,"应收"),"")</f>
      </c>
      <c r="R1265" s="78">
        <f>IF(P1265="应付",COUNTIF(P$7:P1265,"应付"),"")</f>
      </c>
      <c r="S1265" s="78">
        <f>N(F1265)-N(G1265)</f>
        <v>0</v>
      </c>
    </row>
    <row r="1266">
      <c r="A1266" s="109">
        <f>IF(AND(F1266="",G1266=""),"",ROW()-6)</f>
      </c>
      <c r="B1266" s="140" t="n"/>
      <c r="C1266" s="141" t="n"/>
      <c r="D1266" s="141" t="n"/>
      <c r="E1266" s="142" t="n"/>
      <c r="F1266" s="143" t="n"/>
      <c r="G1266" s="144" t="n"/>
      <c r="H1266" s="145">
        <f>IF(OR(C1266="",AND(F1266="",G1266="")),"",SUMIF(基础资料!$W$5:$W$24,C1266,基础资料!$X$5:$X$24)+SUMIF(C$7:C1266,C1266,F$7:F1266)-SUMIF(C$7:C1266,C1266,G$7:G1266))</f>
      </c>
      <c r="I1266" s="145">
        <f>IF(AND(F1266="",G1266=""),"",SUM(基础资料!$X$5:$X$24)+SUM(F$7:F1266)-SUM(G$7:G1266))</f>
      </c>
      <c r="J1266" s="141" t="n"/>
      <c r="K1266" s="141" t="n"/>
      <c r="L1266" s="141" t="n"/>
      <c r="M1266" s="142" t="n"/>
      <c r="N1266" s="146">
        <f>IF(AND(AND(F1266="",G1266=""),B1266="",C1266="",D1266="",J1266="",K1266="",L1266=""),"",IF(AND(F1266="",G1266=""),"✗ 没填金额",IF(AND(N(F1266)&lt;&gt;0,N(G1266)&lt;&gt;0),"✗ 收入、支出只能填一边",IF(NOT(ISNUMBER(B1266)),"✗ 日期不是真日期（要像 2026/9/25 这样填）",IF(OR(B1266&lt;年初日,B1266&gt;年末日),"✗ 日期不在本会计年度",IF(C1266="","✗ 没选账户",IF(COUNTIF(基础资料!$W$5:$W$24,C1266)=0,"✗ 账户不在基础资料里",IF(O1266="","✗ 没选收支项目",IF(P1266="未知","✗ 收支项目不在基础资料里",IF(AND(P1266="应收",J1266=""),"✗ 这笔要选客户",IF(AND(P1266="应收",COUNTIF(总览汇总!$B$5:$B$304,J1266)=0),"✗ 客户不在总览汇总名单里",IF(AND(P1266="应付",K1266=""),"✗ 这笔要选供应商",IF(AND(P1266="应付",COUNTIF(基础资料!$Q$5:$Q$54,K1266)=0),"✗ 供应商不在基础资料里",IF(AND(P1266="费用",L1266=""),"✗ 费用支出要选费用项目",IF(AND(L1266&lt;&gt;"",COUNTIF(基础资料!$AI$5:$AI$54,L1266)=0),"✗ 费用项目不在基础资料里",IF(AND(IFERROR(INDEX(基础资料!$AD$5:$AD$34,MATCH(O1266,基础资料!$AC$5:$AC$34,0)),"")="收",N(G1266)&lt;&gt;0),"✗ 这类是收款，金额填到收入列",IF(AND(IFERROR(INDEX(基础资料!$AD$5:$AD$34,MATCH(O1266,基础资料!$AC$5:$AC$34,0)),"")="支",N(F1266)&lt;&gt;0),"✗ 这类是付款，金额填到支出列",IF(N(H1266)&lt;0,"⚠ 账户余额成负数了，核对一下","√"))))))))))))))))))</f>
      </c>
      <c r="O1266" s="78">
        <f>IF(D1266&lt;&gt;"",D1266,IF(AND(F1266="",G1266=""),"",IF(J1266&lt;&gt;"",IF(N(F1266)&gt;0,"客户回款","客户退款"),IF(K1266&lt;&gt;"",IF(N(G1266)&gt;0,"供应商付款","供应商退款"),IF(L1266&lt;&gt;"","费用支出","")))))</f>
      </c>
      <c r="P1266" s="78">
        <f>IF(O1266="","",IFERROR(INDEX(基础资料!$AE$5:$AE$34,MATCH(O1266,基础资料!$AC$5:$AC$34,0)),"未知"))</f>
      </c>
      <c r="Q1266" s="78">
        <f>IF(P1266="应收",COUNTIF(P$7:P1266,"应收"),"")</f>
      </c>
      <c r="R1266" s="78">
        <f>IF(P1266="应付",COUNTIF(P$7:P1266,"应付"),"")</f>
      </c>
      <c r="S1266" s="78">
        <f>N(F1266)-N(G1266)</f>
        <v>0</v>
      </c>
    </row>
    <row r="1267">
      <c r="A1267" s="109">
        <f>IF(AND(F1267="",G1267=""),"",ROW()-6)</f>
      </c>
      <c r="B1267" s="140" t="n"/>
      <c r="C1267" s="141" t="n"/>
      <c r="D1267" s="141" t="n"/>
      <c r="E1267" s="142" t="n"/>
      <c r="F1267" s="143" t="n"/>
      <c r="G1267" s="144" t="n"/>
      <c r="H1267" s="145">
        <f>IF(OR(C1267="",AND(F1267="",G1267="")),"",SUMIF(基础资料!$W$5:$W$24,C1267,基础资料!$X$5:$X$24)+SUMIF(C$7:C1267,C1267,F$7:F1267)-SUMIF(C$7:C1267,C1267,G$7:G1267))</f>
      </c>
      <c r="I1267" s="145">
        <f>IF(AND(F1267="",G1267=""),"",SUM(基础资料!$X$5:$X$24)+SUM(F$7:F1267)-SUM(G$7:G1267))</f>
      </c>
      <c r="J1267" s="141" t="n"/>
      <c r="K1267" s="141" t="n"/>
      <c r="L1267" s="141" t="n"/>
      <c r="M1267" s="142" t="n"/>
      <c r="N1267" s="146">
        <f>IF(AND(AND(F1267="",G1267=""),B1267="",C1267="",D1267="",J1267="",K1267="",L1267=""),"",IF(AND(F1267="",G1267=""),"✗ 没填金额",IF(AND(N(F1267)&lt;&gt;0,N(G1267)&lt;&gt;0),"✗ 收入、支出只能填一边",IF(NOT(ISNUMBER(B1267)),"✗ 日期不是真日期（要像 2026/9/25 这样填）",IF(OR(B1267&lt;年初日,B1267&gt;年末日),"✗ 日期不在本会计年度",IF(C1267="","✗ 没选账户",IF(COUNTIF(基础资料!$W$5:$W$24,C1267)=0,"✗ 账户不在基础资料里",IF(O1267="","✗ 没选收支项目",IF(P1267="未知","✗ 收支项目不在基础资料里",IF(AND(P1267="应收",J1267=""),"✗ 这笔要选客户",IF(AND(P1267="应收",COUNTIF(总览汇总!$B$5:$B$304,J1267)=0),"✗ 客户不在总览汇总名单里",IF(AND(P1267="应付",K1267=""),"✗ 这笔要选供应商",IF(AND(P1267="应付",COUNTIF(基础资料!$Q$5:$Q$54,K1267)=0),"✗ 供应商不在基础资料里",IF(AND(P1267="费用",L1267=""),"✗ 费用支出要选费用项目",IF(AND(L1267&lt;&gt;"",COUNTIF(基础资料!$AI$5:$AI$54,L1267)=0),"✗ 费用项目不在基础资料里",IF(AND(IFERROR(INDEX(基础资料!$AD$5:$AD$34,MATCH(O1267,基础资料!$AC$5:$AC$34,0)),"")="收",N(G1267)&lt;&gt;0),"✗ 这类是收款，金额填到收入列",IF(AND(IFERROR(INDEX(基础资料!$AD$5:$AD$34,MATCH(O1267,基础资料!$AC$5:$AC$34,0)),"")="支",N(F1267)&lt;&gt;0),"✗ 这类是付款，金额填到支出列",IF(N(H1267)&lt;0,"⚠ 账户余额成负数了，核对一下","√"))))))))))))))))))</f>
      </c>
      <c r="O1267" s="78">
        <f>IF(D1267&lt;&gt;"",D1267,IF(AND(F1267="",G1267=""),"",IF(J1267&lt;&gt;"",IF(N(F1267)&gt;0,"客户回款","客户退款"),IF(K1267&lt;&gt;"",IF(N(G1267)&gt;0,"供应商付款","供应商退款"),IF(L1267&lt;&gt;"","费用支出","")))))</f>
      </c>
      <c r="P1267" s="78">
        <f>IF(O1267="","",IFERROR(INDEX(基础资料!$AE$5:$AE$34,MATCH(O1267,基础资料!$AC$5:$AC$34,0)),"未知"))</f>
      </c>
      <c r="Q1267" s="78">
        <f>IF(P1267="应收",COUNTIF(P$7:P1267,"应收"),"")</f>
      </c>
      <c r="R1267" s="78">
        <f>IF(P1267="应付",COUNTIF(P$7:P1267,"应付"),"")</f>
      </c>
      <c r="S1267" s="78">
        <f>N(F1267)-N(G1267)</f>
        <v>0</v>
      </c>
    </row>
    <row r="1268">
      <c r="A1268" s="109">
        <f>IF(AND(F1268="",G1268=""),"",ROW()-6)</f>
      </c>
      <c r="B1268" s="140" t="n"/>
      <c r="C1268" s="141" t="n"/>
      <c r="D1268" s="141" t="n"/>
      <c r="E1268" s="142" t="n"/>
      <c r="F1268" s="143" t="n"/>
      <c r="G1268" s="144" t="n"/>
      <c r="H1268" s="145">
        <f>IF(OR(C1268="",AND(F1268="",G1268="")),"",SUMIF(基础资料!$W$5:$W$24,C1268,基础资料!$X$5:$X$24)+SUMIF(C$7:C1268,C1268,F$7:F1268)-SUMIF(C$7:C1268,C1268,G$7:G1268))</f>
      </c>
      <c r="I1268" s="145">
        <f>IF(AND(F1268="",G1268=""),"",SUM(基础资料!$X$5:$X$24)+SUM(F$7:F1268)-SUM(G$7:G1268))</f>
      </c>
      <c r="J1268" s="141" t="n"/>
      <c r="K1268" s="141" t="n"/>
      <c r="L1268" s="141" t="n"/>
      <c r="M1268" s="142" t="n"/>
      <c r="N1268" s="146">
        <f>IF(AND(AND(F1268="",G1268=""),B1268="",C1268="",D1268="",J1268="",K1268="",L1268=""),"",IF(AND(F1268="",G1268=""),"✗ 没填金额",IF(AND(N(F1268)&lt;&gt;0,N(G1268)&lt;&gt;0),"✗ 收入、支出只能填一边",IF(NOT(ISNUMBER(B1268)),"✗ 日期不是真日期（要像 2026/9/25 这样填）",IF(OR(B1268&lt;年初日,B1268&gt;年末日),"✗ 日期不在本会计年度",IF(C1268="","✗ 没选账户",IF(COUNTIF(基础资料!$W$5:$W$24,C1268)=0,"✗ 账户不在基础资料里",IF(O1268="","✗ 没选收支项目",IF(P1268="未知","✗ 收支项目不在基础资料里",IF(AND(P1268="应收",J1268=""),"✗ 这笔要选客户",IF(AND(P1268="应收",COUNTIF(总览汇总!$B$5:$B$304,J1268)=0),"✗ 客户不在总览汇总名单里",IF(AND(P1268="应付",K1268=""),"✗ 这笔要选供应商",IF(AND(P1268="应付",COUNTIF(基础资料!$Q$5:$Q$54,K1268)=0),"✗ 供应商不在基础资料里",IF(AND(P1268="费用",L1268=""),"✗ 费用支出要选费用项目",IF(AND(L1268&lt;&gt;"",COUNTIF(基础资料!$AI$5:$AI$54,L1268)=0),"✗ 费用项目不在基础资料里",IF(AND(IFERROR(INDEX(基础资料!$AD$5:$AD$34,MATCH(O1268,基础资料!$AC$5:$AC$34,0)),"")="收",N(G1268)&lt;&gt;0),"✗ 这类是收款，金额填到收入列",IF(AND(IFERROR(INDEX(基础资料!$AD$5:$AD$34,MATCH(O1268,基础资料!$AC$5:$AC$34,0)),"")="支",N(F1268)&lt;&gt;0),"✗ 这类是付款，金额填到支出列",IF(N(H1268)&lt;0,"⚠ 账户余额成负数了，核对一下","√"))))))))))))))))))</f>
      </c>
      <c r="O1268" s="78">
        <f>IF(D1268&lt;&gt;"",D1268,IF(AND(F1268="",G1268=""),"",IF(J1268&lt;&gt;"",IF(N(F1268)&gt;0,"客户回款","客户退款"),IF(K1268&lt;&gt;"",IF(N(G1268)&gt;0,"供应商付款","供应商退款"),IF(L1268&lt;&gt;"","费用支出","")))))</f>
      </c>
      <c r="P1268" s="78">
        <f>IF(O1268="","",IFERROR(INDEX(基础资料!$AE$5:$AE$34,MATCH(O1268,基础资料!$AC$5:$AC$34,0)),"未知"))</f>
      </c>
      <c r="Q1268" s="78">
        <f>IF(P1268="应收",COUNTIF(P$7:P1268,"应收"),"")</f>
      </c>
      <c r="R1268" s="78">
        <f>IF(P1268="应付",COUNTIF(P$7:P1268,"应付"),"")</f>
      </c>
      <c r="S1268" s="78">
        <f>N(F1268)-N(G1268)</f>
        <v>0</v>
      </c>
    </row>
    <row r="1269">
      <c r="A1269" s="109">
        <f>IF(AND(F1269="",G1269=""),"",ROW()-6)</f>
      </c>
      <c r="B1269" s="140" t="n"/>
      <c r="C1269" s="141" t="n"/>
      <c r="D1269" s="141" t="n"/>
      <c r="E1269" s="142" t="n"/>
      <c r="F1269" s="143" t="n"/>
      <c r="G1269" s="144" t="n"/>
      <c r="H1269" s="145">
        <f>IF(OR(C1269="",AND(F1269="",G1269="")),"",SUMIF(基础资料!$W$5:$W$24,C1269,基础资料!$X$5:$X$24)+SUMIF(C$7:C1269,C1269,F$7:F1269)-SUMIF(C$7:C1269,C1269,G$7:G1269))</f>
      </c>
      <c r="I1269" s="145">
        <f>IF(AND(F1269="",G1269=""),"",SUM(基础资料!$X$5:$X$24)+SUM(F$7:F1269)-SUM(G$7:G1269))</f>
      </c>
      <c r="J1269" s="141" t="n"/>
      <c r="K1269" s="141" t="n"/>
      <c r="L1269" s="141" t="n"/>
      <c r="M1269" s="142" t="n"/>
      <c r="N1269" s="146">
        <f>IF(AND(AND(F1269="",G1269=""),B1269="",C1269="",D1269="",J1269="",K1269="",L1269=""),"",IF(AND(F1269="",G1269=""),"✗ 没填金额",IF(AND(N(F1269)&lt;&gt;0,N(G1269)&lt;&gt;0),"✗ 收入、支出只能填一边",IF(NOT(ISNUMBER(B1269)),"✗ 日期不是真日期（要像 2026/9/25 这样填）",IF(OR(B1269&lt;年初日,B1269&gt;年末日),"✗ 日期不在本会计年度",IF(C1269="","✗ 没选账户",IF(COUNTIF(基础资料!$W$5:$W$24,C1269)=0,"✗ 账户不在基础资料里",IF(O1269="","✗ 没选收支项目",IF(P1269="未知","✗ 收支项目不在基础资料里",IF(AND(P1269="应收",J1269=""),"✗ 这笔要选客户",IF(AND(P1269="应收",COUNTIF(总览汇总!$B$5:$B$304,J1269)=0),"✗ 客户不在总览汇总名单里",IF(AND(P1269="应付",K1269=""),"✗ 这笔要选供应商",IF(AND(P1269="应付",COUNTIF(基础资料!$Q$5:$Q$54,K1269)=0),"✗ 供应商不在基础资料里",IF(AND(P1269="费用",L1269=""),"✗ 费用支出要选费用项目",IF(AND(L1269&lt;&gt;"",COUNTIF(基础资料!$AI$5:$AI$54,L1269)=0),"✗ 费用项目不在基础资料里",IF(AND(IFERROR(INDEX(基础资料!$AD$5:$AD$34,MATCH(O1269,基础资料!$AC$5:$AC$34,0)),"")="收",N(G1269)&lt;&gt;0),"✗ 这类是收款，金额填到收入列",IF(AND(IFERROR(INDEX(基础资料!$AD$5:$AD$34,MATCH(O1269,基础资料!$AC$5:$AC$34,0)),"")="支",N(F1269)&lt;&gt;0),"✗ 这类是付款，金额填到支出列",IF(N(H1269)&lt;0,"⚠ 账户余额成负数了，核对一下","√"))))))))))))))))))</f>
      </c>
      <c r="O1269" s="78">
        <f>IF(D1269&lt;&gt;"",D1269,IF(AND(F1269="",G1269=""),"",IF(J1269&lt;&gt;"",IF(N(F1269)&gt;0,"客户回款","客户退款"),IF(K1269&lt;&gt;"",IF(N(G1269)&gt;0,"供应商付款","供应商退款"),IF(L1269&lt;&gt;"","费用支出","")))))</f>
      </c>
      <c r="P1269" s="78">
        <f>IF(O1269="","",IFERROR(INDEX(基础资料!$AE$5:$AE$34,MATCH(O1269,基础资料!$AC$5:$AC$34,0)),"未知"))</f>
      </c>
      <c r="Q1269" s="78">
        <f>IF(P1269="应收",COUNTIF(P$7:P1269,"应收"),"")</f>
      </c>
      <c r="R1269" s="78">
        <f>IF(P1269="应付",COUNTIF(P$7:P1269,"应付"),"")</f>
      </c>
      <c r="S1269" s="78">
        <f>N(F1269)-N(G1269)</f>
        <v>0</v>
      </c>
    </row>
    <row r="1270">
      <c r="A1270" s="109">
        <f>IF(AND(F1270="",G1270=""),"",ROW()-6)</f>
      </c>
      <c r="B1270" s="140" t="n"/>
      <c r="C1270" s="141" t="n"/>
      <c r="D1270" s="141" t="n"/>
      <c r="E1270" s="142" t="n"/>
      <c r="F1270" s="143" t="n"/>
      <c r="G1270" s="144" t="n"/>
      <c r="H1270" s="145">
        <f>IF(OR(C1270="",AND(F1270="",G1270="")),"",SUMIF(基础资料!$W$5:$W$24,C1270,基础资料!$X$5:$X$24)+SUMIF(C$7:C1270,C1270,F$7:F1270)-SUMIF(C$7:C1270,C1270,G$7:G1270))</f>
      </c>
      <c r="I1270" s="145">
        <f>IF(AND(F1270="",G1270=""),"",SUM(基础资料!$X$5:$X$24)+SUM(F$7:F1270)-SUM(G$7:G1270))</f>
      </c>
      <c r="J1270" s="141" t="n"/>
      <c r="K1270" s="141" t="n"/>
      <c r="L1270" s="141" t="n"/>
      <c r="M1270" s="142" t="n"/>
      <c r="N1270" s="146">
        <f>IF(AND(AND(F1270="",G1270=""),B1270="",C1270="",D1270="",J1270="",K1270="",L1270=""),"",IF(AND(F1270="",G1270=""),"✗ 没填金额",IF(AND(N(F1270)&lt;&gt;0,N(G1270)&lt;&gt;0),"✗ 收入、支出只能填一边",IF(NOT(ISNUMBER(B1270)),"✗ 日期不是真日期（要像 2026/9/25 这样填）",IF(OR(B1270&lt;年初日,B1270&gt;年末日),"✗ 日期不在本会计年度",IF(C1270="","✗ 没选账户",IF(COUNTIF(基础资料!$W$5:$W$24,C1270)=0,"✗ 账户不在基础资料里",IF(O1270="","✗ 没选收支项目",IF(P1270="未知","✗ 收支项目不在基础资料里",IF(AND(P1270="应收",J1270=""),"✗ 这笔要选客户",IF(AND(P1270="应收",COUNTIF(总览汇总!$B$5:$B$304,J1270)=0),"✗ 客户不在总览汇总名单里",IF(AND(P1270="应付",K1270=""),"✗ 这笔要选供应商",IF(AND(P1270="应付",COUNTIF(基础资料!$Q$5:$Q$54,K1270)=0),"✗ 供应商不在基础资料里",IF(AND(P1270="费用",L1270=""),"✗ 费用支出要选费用项目",IF(AND(L1270&lt;&gt;"",COUNTIF(基础资料!$AI$5:$AI$54,L1270)=0),"✗ 费用项目不在基础资料里",IF(AND(IFERROR(INDEX(基础资料!$AD$5:$AD$34,MATCH(O1270,基础资料!$AC$5:$AC$34,0)),"")="收",N(G1270)&lt;&gt;0),"✗ 这类是收款，金额填到收入列",IF(AND(IFERROR(INDEX(基础资料!$AD$5:$AD$34,MATCH(O1270,基础资料!$AC$5:$AC$34,0)),"")="支",N(F1270)&lt;&gt;0),"✗ 这类是付款，金额填到支出列",IF(N(H1270)&lt;0,"⚠ 账户余额成负数了，核对一下","√"))))))))))))))))))</f>
      </c>
      <c r="O1270" s="78">
        <f>IF(D1270&lt;&gt;"",D1270,IF(AND(F1270="",G1270=""),"",IF(J1270&lt;&gt;"",IF(N(F1270)&gt;0,"客户回款","客户退款"),IF(K1270&lt;&gt;"",IF(N(G1270)&gt;0,"供应商付款","供应商退款"),IF(L1270&lt;&gt;"","费用支出","")))))</f>
      </c>
      <c r="P1270" s="78">
        <f>IF(O1270="","",IFERROR(INDEX(基础资料!$AE$5:$AE$34,MATCH(O1270,基础资料!$AC$5:$AC$34,0)),"未知"))</f>
      </c>
      <c r="Q1270" s="78">
        <f>IF(P1270="应收",COUNTIF(P$7:P1270,"应收"),"")</f>
      </c>
      <c r="R1270" s="78">
        <f>IF(P1270="应付",COUNTIF(P$7:P1270,"应付"),"")</f>
      </c>
      <c r="S1270" s="78">
        <f>N(F1270)-N(G1270)</f>
        <v>0</v>
      </c>
    </row>
    <row r="1271">
      <c r="A1271" s="109">
        <f>IF(AND(F1271="",G1271=""),"",ROW()-6)</f>
      </c>
      <c r="B1271" s="140" t="n"/>
      <c r="C1271" s="141" t="n"/>
      <c r="D1271" s="141" t="n"/>
      <c r="E1271" s="142" t="n"/>
      <c r="F1271" s="143" t="n"/>
      <c r="G1271" s="144" t="n"/>
      <c r="H1271" s="145">
        <f>IF(OR(C1271="",AND(F1271="",G1271="")),"",SUMIF(基础资料!$W$5:$W$24,C1271,基础资料!$X$5:$X$24)+SUMIF(C$7:C1271,C1271,F$7:F1271)-SUMIF(C$7:C1271,C1271,G$7:G1271))</f>
      </c>
      <c r="I1271" s="145">
        <f>IF(AND(F1271="",G1271=""),"",SUM(基础资料!$X$5:$X$24)+SUM(F$7:F1271)-SUM(G$7:G1271))</f>
      </c>
      <c r="J1271" s="141" t="n"/>
      <c r="K1271" s="141" t="n"/>
      <c r="L1271" s="141" t="n"/>
      <c r="M1271" s="142" t="n"/>
      <c r="N1271" s="146">
        <f>IF(AND(AND(F1271="",G1271=""),B1271="",C1271="",D1271="",J1271="",K1271="",L1271=""),"",IF(AND(F1271="",G1271=""),"✗ 没填金额",IF(AND(N(F1271)&lt;&gt;0,N(G1271)&lt;&gt;0),"✗ 收入、支出只能填一边",IF(NOT(ISNUMBER(B1271)),"✗ 日期不是真日期（要像 2026/9/25 这样填）",IF(OR(B1271&lt;年初日,B1271&gt;年末日),"✗ 日期不在本会计年度",IF(C1271="","✗ 没选账户",IF(COUNTIF(基础资料!$W$5:$W$24,C1271)=0,"✗ 账户不在基础资料里",IF(O1271="","✗ 没选收支项目",IF(P1271="未知","✗ 收支项目不在基础资料里",IF(AND(P1271="应收",J1271=""),"✗ 这笔要选客户",IF(AND(P1271="应收",COUNTIF(总览汇总!$B$5:$B$304,J1271)=0),"✗ 客户不在总览汇总名单里",IF(AND(P1271="应付",K1271=""),"✗ 这笔要选供应商",IF(AND(P1271="应付",COUNTIF(基础资料!$Q$5:$Q$54,K1271)=0),"✗ 供应商不在基础资料里",IF(AND(P1271="费用",L1271=""),"✗ 费用支出要选费用项目",IF(AND(L1271&lt;&gt;"",COUNTIF(基础资料!$AI$5:$AI$54,L1271)=0),"✗ 费用项目不在基础资料里",IF(AND(IFERROR(INDEX(基础资料!$AD$5:$AD$34,MATCH(O1271,基础资料!$AC$5:$AC$34,0)),"")="收",N(G1271)&lt;&gt;0),"✗ 这类是收款，金额填到收入列",IF(AND(IFERROR(INDEX(基础资料!$AD$5:$AD$34,MATCH(O1271,基础资料!$AC$5:$AC$34,0)),"")="支",N(F1271)&lt;&gt;0),"✗ 这类是付款，金额填到支出列",IF(N(H1271)&lt;0,"⚠ 账户余额成负数了，核对一下","√"))))))))))))))))))</f>
      </c>
      <c r="O1271" s="78">
        <f>IF(D1271&lt;&gt;"",D1271,IF(AND(F1271="",G1271=""),"",IF(J1271&lt;&gt;"",IF(N(F1271)&gt;0,"客户回款","客户退款"),IF(K1271&lt;&gt;"",IF(N(G1271)&gt;0,"供应商付款","供应商退款"),IF(L1271&lt;&gt;"","费用支出","")))))</f>
      </c>
      <c r="P1271" s="78">
        <f>IF(O1271="","",IFERROR(INDEX(基础资料!$AE$5:$AE$34,MATCH(O1271,基础资料!$AC$5:$AC$34,0)),"未知"))</f>
      </c>
      <c r="Q1271" s="78">
        <f>IF(P1271="应收",COUNTIF(P$7:P1271,"应收"),"")</f>
      </c>
      <c r="R1271" s="78">
        <f>IF(P1271="应付",COUNTIF(P$7:P1271,"应付"),"")</f>
      </c>
      <c r="S1271" s="78">
        <f>N(F1271)-N(G1271)</f>
        <v>0</v>
      </c>
    </row>
    <row r="1272">
      <c r="A1272" s="109">
        <f>IF(AND(F1272="",G1272=""),"",ROW()-6)</f>
      </c>
      <c r="B1272" s="140" t="n"/>
      <c r="C1272" s="141" t="n"/>
      <c r="D1272" s="141" t="n"/>
      <c r="E1272" s="142" t="n"/>
      <c r="F1272" s="143" t="n"/>
      <c r="G1272" s="144" t="n"/>
      <c r="H1272" s="145">
        <f>IF(OR(C1272="",AND(F1272="",G1272="")),"",SUMIF(基础资料!$W$5:$W$24,C1272,基础资料!$X$5:$X$24)+SUMIF(C$7:C1272,C1272,F$7:F1272)-SUMIF(C$7:C1272,C1272,G$7:G1272))</f>
      </c>
      <c r="I1272" s="145">
        <f>IF(AND(F1272="",G1272=""),"",SUM(基础资料!$X$5:$X$24)+SUM(F$7:F1272)-SUM(G$7:G1272))</f>
      </c>
      <c r="J1272" s="141" t="n"/>
      <c r="K1272" s="141" t="n"/>
      <c r="L1272" s="141" t="n"/>
      <c r="M1272" s="142" t="n"/>
      <c r="N1272" s="146">
        <f>IF(AND(AND(F1272="",G1272=""),B1272="",C1272="",D1272="",J1272="",K1272="",L1272=""),"",IF(AND(F1272="",G1272=""),"✗ 没填金额",IF(AND(N(F1272)&lt;&gt;0,N(G1272)&lt;&gt;0),"✗ 收入、支出只能填一边",IF(NOT(ISNUMBER(B1272)),"✗ 日期不是真日期（要像 2026/9/25 这样填）",IF(OR(B1272&lt;年初日,B1272&gt;年末日),"✗ 日期不在本会计年度",IF(C1272="","✗ 没选账户",IF(COUNTIF(基础资料!$W$5:$W$24,C1272)=0,"✗ 账户不在基础资料里",IF(O1272="","✗ 没选收支项目",IF(P1272="未知","✗ 收支项目不在基础资料里",IF(AND(P1272="应收",J1272=""),"✗ 这笔要选客户",IF(AND(P1272="应收",COUNTIF(总览汇总!$B$5:$B$304,J1272)=0),"✗ 客户不在总览汇总名单里",IF(AND(P1272="应付",K1272=""),"✗ 这笔要选供应商",IF(AND(P1272="应付",COUNTIF(基础资料!$Q$5:$Q$54,K1272)=0),"✗ 供应商不在基础资料里",IF(AND(P1272="费用",L1272=""),"✗ 费用支出要选费用项目",IF(AND(L1272&lt;&gt;"",COUNTIF(基础资料!$AI$5:$AI$54,L1272)=0),"✗ 费用项目不在基础资料里",IF(AND(IFERROR(INDEX(基础资料!$AD$5:$AD$34,MATCH(O1272,基础资料!$AC$5:$AC$34,0)),"")="收",N(G1272)&lt;&gt;0),"✗ 这类是收款，金额填到收入列",IF(AND(IFERROR(INDEX(基础资料!$AD$5:$AD$34,MATCH(O1272,基础资料!$AC$5:$AC$34,0)),"")="支",N(F1272)&lt;&gt;0),"✗ 这类是付款，金额填到支出列",IF(N(H1272)&lt;0,"⚠ 账户余额成负数了，核对一下","√"))))))))))))))))))</f>
      </c>
      <c r="O1272" s="78">
        <f>IF(D1272&lt;&gt;"",D1272,IF(AND(F1272="",G1272=""),"",IF(J1272&lt;&gt;"",IF(N(F1272)&gt;0,"客户回款","客户退款"),IF(K1272&lt;&gt;"",IF(N(G1272)&gt;0,"供应商付款","供应商退款"),IF(L1272&lt;&gt;"","费用支出","")))))</f>
      </c>
      <c r="P1272" s="78">
        <f>IF(O1272="","",IFERROR(INDEX(基础资料!$AE$5:$AE$34,MATCH(O1272,基础资料!$AC$5:$AC$34,0)),"未知"))</f>
      </c>
      <c r="Q1272" s="78">
        <f>IF(P1272="应收",COUNTIF(P$7:P1272,"应收"),"")</f>
      </c>
      <c r="R1272" s="78">
        <f>IF(P1272="应付",COUNTIF(P$7:P1272,"应付"),"")</f>
      </c>
      <c r="S1272" s="78">
        <f>N(F1272)-N(G1272)</f>
        <v>0</v>
      </c>
    </row>
    <row r="1273">
      <c r="A1273" s="109">
        <f>IF(AND(F1273="",G1273=""),"",ROW()-6)</f>
      </c>
      <c r="B1273" s="140" t="n"/>
      <c r="C1273" s="141" t="n"/>
      <c r="D1273" s="141" t="n"/>
      <c r="E1273" s="142" t="n"/>
      <c r="F1273" s="143" t="n"/>
      <c r="G1273" s="144" t="n"/>
      <c r="H1273" s="145">
        <f>IF(OR(C1273="",AND(F1273="",G1273="")),"",SUMIF(基础资料!$W$5:$W$24,C1273,基础资料!$X$5:$X$24)+SUMIF(C$7:C1273,C1273,F$7:F1273)-SUMIF(C$7:C1273,C1273,G$7:G1273))</f>
      </c>
      <c r="I1273" s="145">
        <f>IF(AND(F1273="",G1273=""),"",SUM(基础资料!$X$5:$X$24)+SUM(F$7:F1273)-SUM(G$7:G1273))</f>
      </c>
      <c r="J1273" s="141" t="n"/>
      <c r="K1273" s="141" t="n"/>
      <c r="L1273" s="141" t="n"/>
      <c r="M1273" s="142" t="n"/>
      <c r="N1273" s="146">
        <f>IF(AND(AND(F1273="",G1273=""),B1273="",C1273="",D1273="",J1273="",K1273="",L1273=""),"",IF(AND(F1273="",G1273=""),"✗ 没填金额",IF(AND(N(F1273)&lt;&gt;0,N(G1273)&lt;&gt;0),"✗ 收入、支出只能填一边",IF(NOT(ISNUMBER(B1273)),"✗ 日期不是真日期（要像 2026/9/25 这样填）",IF(OR(B1273&lt;年初日,B1273&gt;年末日),"✗ 日期不在本会计年度",IF(C1273="","✗ 没选账户",IF(COUNTIF(基础资料!$W$5:$W$24,C1273)=0,"✗ 账户不在基础资料里",IF(O1273="","✗ 没选收支项目",IF(P1273="未知","✗ 收支项目不在基础资料里",IF(AND(P1273="应收",J1273=""),"✗ 这笔要选客户",IF(AND(P1273="应收",COUNTIF(总览汇总!$B$5:$B$304,J1273)=0),"✗ 客户不在总览汇总名单里",IF(AND(P1273="应付",K1273=""),"✗ 这笔要选供应商",IF(AND(P1273="应付",COUNTIF(基础资料!$Q$5:$Q$54,K1273)=0),"✗ 供应商不在基础资料里",IF(AND(P1273="费用",L1273=""),"✗ 费用支出要选费用项目",IF(AND(L1273&lt;&gt;"",COUNTIF(基础资料!$AI$5:$AI$54,L1273)=0),"✗ 费用项目不在基础资料里",IF(AND(IFERROR(INDEX(基础资料!$AD$5:$AD$34,MATCH(O1273,基础资料!$AC$5:$AC$34,0)),"")="收",N(G1273)&lt;&gt;0),"✗ 这类是收款，金额填到收入列",IF(AND(IFERROR(INDEX(基础资料!$AD$5:$AD$34,MATCH(O1273,基础资料!$AC$5:$AC$34,0)),"")="支",N(F1273)&lt;&gt;0),"✗ 这类是付款，金额填到支出列",IF(N(H1273)&lt;0,"⚠ 账户余额成负数了，核对一下","√"))))))))))))))))))</f>
      </c>
      <c r="O1273" s="78">
        <f>IF(D1273&lt;&gt;"",D1273,IF(AND(F1273="",G1273=""),"",IF(J1273&lt;&gt;"",IF(N(F1273)&gt;0,"客户回款","客户退款"),IF(K1273&lt;&gt;"",IF(N(G1273)&gt;0,"供应商付款","供应商退款"),IF(L1273&lt;&gt;"","费用支出","")))))</f>
      </c>
      <c r="P1273" s="78">
        <f>IF(O1273="","",IFERROR(INDEX(基础资料!$AE$5:$AE$34,MATCH(O1273,基础资料!$AC$5:$AC$34,0)),"未知"))</f>
      </c>
      <c r="Q1273" s="78">
        <f>IF(P1273="应收",COUNTIF(P$7:P1273,"应收"),"")</f>
      </c>
      <c r="R1273" s="78">
        <f>IF(P1273="应付",COUNTIF(P$7:P1273,"应付"),"")</f>
      </c>
      <c r="S1273" s="78">
        <f>N(F1273)-N(G1273)</f>
        <v>0</v>
      </c>
    </row>
    <row r="1274">
      <c r="A1274" s="109">
        <f>IF(AND(F1274="",G1274=""),"",ROW()-6)</f>
      </c>
      <c r="B1274" s="140" t="n"/>
      <c r="C1274" s="141" t="n"/>
      <c r="D1274" s="141" t="n"/>
      <c r="E1274" s="142" t="n"/>
      <c r="F1274" s="143" t="n"/>
      <c r="G1274" s="144" t="n"/>
      <c r="H1274" s="145">
        <f>IF(OR(C1274="",AND(F1274="",G1274="")),"",SUMIF(基础资料!$W$5:$W$24,C1274,基础资料!$X$5:$X$24)+SUMIF(C$7:C1274,C1274,F$7:F1274)-SUMIF(C$7:C1274,C1274,G$7:G1274))</f>
      </c>
      <c r="I1274" s="145">
        <f>IF(AND(F1274="",G1274=""),"",SUM(基础资料!$X$5:$X$24)+SUM(F$7:F1274)-SUM(G$7:G1274))</f>
      </c>
      <c r="J1274" s="141" t="n"/>
      <c r="K1274" s="141" t="n"/>
      <c r="L1274" s="141" t="n"/>
      <c r="M1274" s="142" t="n"/>
      <c r="N1274" s="146">
        <f>IF(AND(AND(F1274="",G1274=""),B1274="",C1274="",D1274="",J1274="",K1274="",L1274=""),"",IF(AND(F1274="",G1274=""),"✗ 没填金额",IF(AND(N(F1274)&lt;&gt;0,N(G1274)&lt;&gt;0),"✗ 收入、支出只能填一边",IF(NOT(ISNUMBER(B1274)),"✗ 日期不是真日期（要像 2026/9/25 这样填）",IF(OR(B1274&lt;年初日,B1274&gt;年末日),"✗ 日期不在本会计年度",IF(C1274="","✗ 没选账户",IF(COUNTIF(基础资料!$W$5:$W$24,C1274)=0,"✗ 账户不在基础资料里",IF(O1274="","✗ 没选收支项目",IF(P1274="未知","✗ 收支项目不在基础资料里",IF(AND(P1274="应收",J1274=""),"✗ 这笔要选客户",IF(AND(P1274="应收",COUNTIF(总览汇总!$B$5:$B$304,J1274)=0),"✗ 客户不在总览汇总名单里",IF(AND(P1274="应付",K1274=""),"✗ 这笔要选供应商",IF(AND(P1274="应付",COUNTIF(基础资料!$Q$5:$Q$54,K1274)=0),"✗ 供应商不在基础资料里",IF(AND(P1274="费用",L1274=""),"✗ 费用支出要选费用项目",IF(AND(L1274&lt;&gt;"",COUNTIF(基础资料!$AI$5:$AI$54,L1274)=0),"✗ 费用项目不在基础资料里",IF(AND(IFERROR(INDEX(基础资料!$AD$5:$AD$34,MATCH(O1274,基础资料!$AC$5:$AC$34,0)),"")="收",N(G1274)&lt;&gt;0),"✗ 这类是收款，金额填到收入列",IF(AND(IFERROR(INDEX(基础资料!$AD$5:$AD$34,MATCH(O1274,基础资料!$AC$5:$AC$34,0)),"")="支",N(F1274)&lt;&gt;0),"✗ 这类是付款，金额填到支出列",IF(N(H1274)&lt;0,"⚠ 账户余额成负数了，核对一下","√"))))))))))))))))))</f>
      </c>
      <c r="O1274" s="78">
        <f>IF(D1274&lt;&gt;"",D1274,IF(AND(F1274="",G1274=""),"",IF(J1274&lt;&gt;"",IF(N(F1274)&gt;0,"客户回款","客户退款"),IF(K1274&lt;&gt;"",IF(N(G1274)&gt;0,"供应商付款","供应商退款"),IF(L1274&lt;&gt;"","费用支出","")))))</f>
      </c>
      <c r="P1274" s="78">
        <f>IF(O1274="","",IFERROR(INDEX(基础资料!$AE$5:$AE$34,MATCH(O1274,基础资料!$AC$5:$AC$34,0)),"未知"))</f>
      </c>
      <c r="Q1274" s="78">
        <f>IF(P1274="应收",COUNTIF(P$7:P1274,"应收"),"")</f>
      </c>
      <c r="R1274" s="78">
        <f>IF(P1274="应付",COUNTIF(P$7:P1274,"应付"),"")</f>
      </c>
      <c r="S1274" s="78">
        <f>N(F1274)-N(G1274)</f>
        <v>0</v>
      </c>
    </row>
    <row r="1275">
      <c r="A1275" s="109">
        <f>IF(AND(F1275="",G1275=""),"",ROW()-6)</f>
      </c>
      <c r="B1275" s="140" t="n"/>
      <c r="C1275" s="141" t="n"/>
      <c r="D1275" s="141" t="n"/>
      <c r="E1275" s="142" t="n"/>
      <c r="F1275" s="143" t="n"/>
      <c r="G1275" s="144" t="n"/>
      <c r="H1275" s="145">
        <f>IF(OR(C1275="",AND(F1275="",G1275="")),"",SUMIF(基础资料!$W$5:$W$24,C1275,基础资料!$X$5:$X$24)+SUMIF(C$7:C1275,C1275,F$7:F1275)-SUMIF(C$7:C1275,C1275,G$7:G1275))</f>
      </c>
      <c r="I1275" s="145">
        <f>IF(AND(F1275="",G1275=""),"",SUM(基础资料!$X$5:$X$24)+SUM(F$7:F1275)-SUM(G$7:G1275))</f>
      </c>
      <c r="J1275" s="141" t="n"/>
      <c r="K1275" s="141" t="n"/>
      <c r="L1275" s="141" t="n"/>
      <c r="M1275" s="142" t="n"/>
      <c r="N1275" s="146">
        <f>IF(AND(AND(F1275="",G1275=""),B1275="",C1275="",D1275="",J1275="",K1275="",L1275=""),"",IF(AND(F1275="",G1275=""),"✗ 没填金额",IF(AND(N(F1275)&lt;&gt;0,N(G1275)&lt;&gt;0),"✗ 收入、支出只能填一边",IF(NOT(ISNUMBER(B1275)),"✗ 日期不是真日期（要像 2026/9/25 这样填）",IF(OR(B1275&lt;年初日,B1275&gt;年末日),"✗ 日期不在本会计年度",IF(C1275="","✗ 没选账户",IF(COUNTIF(基础资料!$W$5:$W$24,C1275)=0,"✗ 账户不在基础资料里",IF(O1275="","✗ 没选收支项目",IF(P1275="未知","✗ 收支项目不在基础资料里",IF(AND(P1275="应收",J1275=""),"✗ 这笔要选客户",IF(AND(P1275="应收",COUNTIF(总览汇总!$B$5:$B$304,J1275)=0),"✗ 客户不在总览汇总名单里",IF(AND(P1275="应付",K1275=""),"✗ 这笔要选供应商",IF(AND(P1275="应付",COUNTIF(基础资料!$Q$5:$Q$54,K1275)=0),"✗ 供应商不在基础资料里",IF(AND(P1275="费用",L1275=""),"✗ 费用支出要选费用项目",IF(AND(L1275&lt;&gt;"",COUNTIF(基础资料!$AI$5:$AI$54,L1275)=0),"✗ 费用项目不在基础资料里",IF(AND(IFERROR(INDEX(基础资料!$AD$5:$AD$34,MATCH(O1275,基础资料!$AC$5:$AC$34,0)),"")="收",N(G1275)&lt;&gt;0),"✗ 这类是收款，金额填到收入列",IF(AND(IFERROR(INDEX(基础资料!$AD$5:$AD$34,MATCH(O1275,基础资料!$AC$5:$AC$34,0)),"")="支",N(F1275)&lt;&gt;0),"✗ 这类是付款，金额填到支出列",IF(N(H1275)&lt;0,"⚠ 账户余额成负数了，核对一下","√"))))))))))))))))))</f>
      </c>
      <c r="O1275" s="78">
        <f>IF(D1275&lt;&gt;"",D1275,IF(AND(F1275="",G1275=""),"",IF(J1275&lt;&gt;"",IF(N(F1275)&gt;0,"客户回款","客户退款"),IF(K1275&lt;&gt;"",IF(N(G1275)&gt;0,"供应商付款","供应商退款"),IF(L1275&lt;&gt;"","费用支出","")))))</f>
      </c>
      <c r="P1275" s="78">
        <f>IF(O1275="","",IFERROR(INDEX(基础资料!$AE$5:$AE$34,MATCH(O1275,基础资料!$AC$5:$AC$34,0)),"未知"))</f>
      </c>
      <c r="Q1275" s="78">
        <f>IF(P1275="应收",COUNTIF(P$7:P1275,"应收"),"")</f>
      </c>
      <c r="R1275" s="78">
        <f>IF(P1275="应付",COUNTIF(P$7:P1275,"应付"),"")</f>
      </c>
      <c r="S1275" s="78">
        <f>N(F1275)-N(G1275)</f>
        <v>0</v>
      </c>
    </row>
    <row r="1276">
      <c r="A1276" s="109">
        <f>IF(AND(F1276="",G1276=""),"",ROW()-6)</f>
      </c>
      <c r="B1276" s="140" t="n"/>
      <c r="C1276" s="141" t="n"/>
      <c r="D1276" s="141" t="n"/>
      <c r="E1276" s="142" t="n"/>
      <c r="F1276" s="143" t="n"/>
      <c r="G1276" s="144" t="n"/>
      <c r="H1276" s="145">
        <f>IF(OR(C1276="",AND(F1276="",G1276="")),"",SUMIF(基础资料!$W$5:$W$24,C1276,基础资料!$X$5:$X$24)+SUMIF(C$7:C1276,C1276,F$7:F1276)-SUMIF(C$7:C1276,C1276,G$7:G1276))</f>
      </c>
      <c r="I1276" s="145">
        <f>IF(AND(F1276="",G1276=""),"",SUM(基础资料!$X$5:$X$24)+SUM(F$7:F1276)-SUM(G$7:G1276))</f>
      </c>
      <c r="J1276" s="141" t="n"/>
      <c r="K1276" s="141" t="n"/>
      <c r="L1276" s="141" t="n"/>
      <c r="M1276" s="142" t="n"/>
      <c r="N1276" s="146">
        <f>IF(AND(AND(F1276="",G1276=""),B1276="",C1276="",D1276="",J1276="",K1276="",L1276=""),"",IF(AND(F1276="",G1276=""),"✗ 没填金额",IF(AND(N(F1276)&lt;&gt;0,N(G1276)&lt;&gt;0),"✗ 收入、支出只能填一边",IF(NOT(ISNUMBER(B1276)),"✗ 日期不是真日期（要像 2026/9/25 这样填）",IF(OR(B1276&lt;年初日,B1276&gt;年末日),"✗ 日期不在本会计年度",IF(C1276="","✗ 没选账户",IF(COUNTIF(基础资料!$W$5:$W$24,C1276)=0,"✗ 账户不在基础资料里",IF(O1276="","✗ 没选收支项目",IF(P1276="未知","✗ 收支项目不在基础资料里",IF(AND(P1276="应收",J1276=""),"✗ 这笔要选客户",IF(AND(P1276="应收",COUNTIF(总览汇总!$B$5:$B$304,J1276)=0),"✗ 客户不在总览汇总名单里",IF(AND(P1276="应付",K1276=""),"✗ 这笔要选供应商",IF(AND(P1276="应付",COUNTIF(基础资料!$Q$5:$Q$54,K1276)=0),"✗ 供应商不在基础资料里",IF(AND(P1276="费用",L1276=""),"✗ 费用支出要选费用项目",IF(AND(L1276&lt;&gt;"",COUNTIF(基础资料!$AI$5:$AI$54,L1276)=0),"✗ 费用项目不在基础资料里",IF(AND(IFERROR(INDEX(基础资料!$AD$5:$AD$34,MATCH(O1276,基础资料!$AC$5:$AC$34,0)),"")="收",N(G1276)&lt;&gt;0),"✗ 这类是收款，金额填到收入列",IF(AND(IFERROR(INDEX(基础资料!$AD$5:$AD$34,MATCH(O1276,基础资料!$AC$5:$AC$34,0)),"")="支",N(F1276)&lt;&gt;0),"✗ 这类是付款，金额填到支出列",IF(N(H1276)&lt;0,"⚠ 账户余额成负数了，核对一下","√"))))))))))))))))))</f>
      </c>
      <c r="O1276" s="78">
        <f>IF(D1276&lt;&gt;"",D1276,IF(AND(F1276="",G1276=""),"",IF(J1276&lt;&gt;"",IF(N(F1276)&gt;0,"客户回款","客户退款"),IF(K1276&lt;&gt;"",IF(N(G1276)&gt;0,"供应商付款","供应商退款"),IF(L1276&lt;&gt;"","费用支出","")))))</f>
      </c>
      <c r="P1276" s="78">
        <f>IF(O1276="","",IFERROR(INDEX(基础资料!$AE$5:$AE$34,MATCH(O1276,基础资料!$AC$5:$AC$34,0)),"未知"))</f>
      </c>
      <c r="Q1276" s="78">
        <f>IF(P1276="应收",COUNTIF(P$7:P1276,"应收"),"")</f>
      </c>
      <c r="R1276" s="78">
        <f>IF(P1276="应付",COUNTIF(P$7:P1276,"应付"),"")</f>
      </c>
      <c r="S1276" s="78">
        <f>N(F1276)-N(G1276)</f>
        <v>0</v>
      </c>
    </row>
    <row r="1277">
      <c r="A1277" s="109">
        <f>IF(AND(F1277="",G1277=""),"",ROW()-6)</f>
      </c>
      <c r="B1277" s="140" t="n"/>
      <c r="C1277" s="141" t="n"/>
      <c r="D1277" s="141" t="n"/>
      <c r="E1277" s="142" t="n"/>
      <c r="F1277" s="143" t="n"/>
      <c r="G1277" s="144" t="n"/>
      <c r="H1277" s="145">
        <f>IF(OR(C1277="",AND(F1277="",G1277="")),"",SUMIF(基础资料!$W$5:$W$24,C1277,基础资料!$X$5:$X$24)+SUMIF(C$7:C1277,C1277,F$7:F1277)-SUMIF(C$7:C1277,C1277,G$7:G1277))</f>
      </c>
      <c r="I1277" s="145">
        <f>IF(AND(F1277="",G1277=""),"",SUM(基础资料!$X$5:$X$24)+SUM(F$7:F1277)-SUM(G$7:G1277))</f>
      </c>
      <c r="J1277" s="141" t="n"/>
      <c r="K1277" s="141" t="n"/>
      <c r="L1277" s="141" t="n"/>
      <c r="M1277" s="142" t="n"/>
      <c r="N1277" s="146">
        <f>IF(AND(AND(F1277="",G1277=""),B1277="",C1277="",D1277="",J1277="",K1277="",L1277=""),"",IF(AND(F1277="",G1277=""),"✗ 没填金额",IF(AND(N(F1277)&lt;&gt;0,N(G1277)&lt;&gt;0),"✗ 收入、支出只能填一边",IF(NOT(ISNUMBER(B1277)),"✗ 日期不是真日期（要像 2026/9/25 这样填）",IF(OR(B1277&lt;年初日,B1277&gt;年末日),"✗ 日期不在本会计年度",IF(C1277="","✗ 没选账户",IF(COUNTIF(基础资料!$W$5:$W$24,C1277)=0,"✗ 账户不在基础资料里",IF(O1277="","✗ 没选收支项目",IF(P1277="未知","✗ 收支项目不在基础资料里",IF(AND(P1277="应收",J1277=""),"✗ 这笔要选客户",IF(AND(P1277="应收",COUNTIF(总览汇总!$B$5:$B$304,J1277)=0),"✗ 客户不在总览汇总名单里",IF(AND(P1277="应付",K1277=""),"✗ 这笔要选供应商",IF(AND(P1277="应付",COUNTIF(基础资料!$Q$5:$Q$54,K1277)=0),"✗ 供应商不在基础资料里",IF(AND(P1277="费用",L1277=""),"✗ 费用支出要选费用项目",IF(AND(L1277&lt;&gt;"",COUNTIF(基础资料!$AI$5:$AI$54,L1277)=0),"✗ 费用项目不在基础资料里",IF(AND(IFERROR(INDEX(基础资料!$AD$5:$AD$34,MATCH(O1277,基础资料!$AC$5:$AC$34,0)),"")="收",N(G1277)&lt;&gt;0),"✗ 这类是收款，金额填到收入列",IF(AND(IFERROR(INDEX(基础资料!$AD$5:$AD$34,MATCH(O1277,基础资料!$AC$5:$AC$34,0)),"")="支",N(F1277)&lt;&gt;0),"✗ 这类是付款，金额填到支出列",IF(N(H1277)&lt;0,"⚠ 账户余额成负数了，核对一下","√"))))))))))))))))))</f>
      </c>
      <c r="O1277" s="78">
        <f>IF(D1277&lt;&gt;"",D1277,IF(AND(F1277="",G1277=""),"",IF(J1277&lt;&gt;"",IF(N(F1277)&gt;0,"客户回款","客户退款"),IF(K1277&lt;&gt;"",IF(N(G1277)&gt;0,"供应商付款","供应商退款"),IF(L1277&lt;&gt;"","费用支出","")))))</f>
      </c>
      <c r="P1277" s="78">
        <f>IF(O1277="","",IFERROR(INDEX(基础资料!$AE$5:$AE$34,MATCH(O1277,基础资料!$AC$5:$AC$34,0)),"未知"))</f>
      </c>
      <c r="Q1277" s="78">
        <f>IF(P1277="应收",COUNTIF(P$7:P1277,"应收"),"")</f>
      </c>
      <c r="R1277" s="78">
        <f>IF(P1277="应付",COUNTIF(P$7:P1277,"应付"),"")</f>
      </c>
      <c r="S1277" s="78">
        <f>N(F1277)-N(G1277)</f>
        <v>0</v>
      </c>
    </row>
    <row r="1278">
      <c r="A1278" s="109">
        <f>IF(AND(F1278="",G1278=""),"",ROW()-6)</f>
      </c>
      <c r="B1278" s="140" t="n"/>
      <c r="C1278" s="141" t="n"/>
      <c r="D1278" s="141" t="n"/>
      <c r="E1278" s="142" t="n"/>
      <c r="F1278" s="143" t="n"/>
      <c r="G1278" s="144" t="n"/>
      <c r="H1278" s="145">
        <f>IF(OR(C1278="",AND(F1278="",G1278="")),"",SUMIF(基础资料!$W$5:$W$24,C1278,基础资料!$X$5:$X$24)+SUMIF(C$7:C1278,C1278,F$7:F1278)-SUMIF(C$7:C1278,C1278,G$7:G1278))</f>
      </c>
      <c r="I1278" s="145">
        <f>IF(AND(F1278="",G1278=""),"",SUM(基础资料!$X$5:$X$24)+SUM(F$7:F1278)-SUM(G$7:G1278))</f>
      </c>
      <c r="J1278" s="141" t="n"/>
      <c r="K1278" s="141" t="n"/>
      <c r="L1278" s="141" t="n"/>
      <c r="M1278" s="142" t="n"/>
      <c r="N1278" s="146">
        <f>IF(AND(AND(F1278="",G1278=""),B1278="",C1278="",D1278="",J1278="",K1278="",L1278=""),"",IF(AND(F1278="",G1278=""),"✗ 没填金额",IF(AND(N(F1278)&lt;&gt;0,N(G1278)&lt;&gt;0),"✗ 收入、支出只能填一边",IF(NOT(ISNUMBER(B1278)),"✗ 日期不是真日期（要像 2026/9/25 这样填）",IF(OR(B1278&lt;年初日,B1278&gt;年末日),"✗ 日期不在本会计年度",IF(C1278="","✗ 没选账户",IF(COUNTIF(基础资料!$W$5:$W$24,C1278)=0,"✗ 账户不在基础资料里",IF(O1278="","✗ 没选收支项目",IF(P1278="未知","✗ 收支项目不在基础资料里",IF(AND(P1278="应收",J1278=""),"✗ 这笔要选客户",IF(AND(P1278="应收",COUNTIF(总览汇总!$B$5:$B$304,J1278)=0),"✗ 客户不在总览汇总名单里",IF(AND(P1278="应付",K1278=""),"✗ 这笔要选供应商",IF(AND(P1278="应付",COUNTIF(基础资料!$Q$5:$Q$54,K1278)=0),"✗ 供应商不在基础资料里",IF(AND(P1278="费用",L1278=""),"✗ 费用支出要选费用项目",IF(AND(L1278&lt;&gt;"",COUNTIF(基础资料!$AI$5:$AI$54,L1278)=0),"✗ 费用项目不在基础资料里",IF(AND(IFERROR(INDEX(基础资料!$AD$5:$AD$34,MATCH(O1278,基础资料!$AC$5:$AC$34,0)),"")="收",N(G1278)&lt;&gt;0),"✗ 这类是收款，金额填到收入列",IF(AND(IFERROR(INDEX(基础资料!$AD$5:$AD$34,MATCH(O1278,基础资料!$AC$5:$AC$34,0)),"")="支",N(F1278)&lt;&gt;0),"✗ 这类是付款，金额填到支出列",IF(N(H1278)&lt;0,"⚠ 账户余额成负数了，核对一下","√"))))))))))))))))))</f>
      </c>
      <c r="O1278" s="78">
        <f>IF(D1278&lt;&gt;"",D1278,IF(AND(F1278="",G1278=""),"",IF(J1278&lt;&gt;"",IF(N(F1278)&gt;0,"客户回款","客户退款"),IF(K1278&lt;&gt;"",IF(N(G1278)&gt;0,"供应商付款","供应商退款"),IF(L1278&lt;&gt;"","费用支出","")))))</f>
      </c>
      <c r="P1278" s="78">
        <f>IF(O1278="","",IFERROR(INDEX(基础资料!$AE$5:$AE$34,MATCH(O1278,基础资料!$AC$5:$AC$34,0)),"未知"))</f>
      </c>
      <c r="Q1278" s="78">
        <f>IF(P1278="应收",COUNTIF(P$7:P1278,"应收"),"")</f>
      </c>
      <c r="R1278" s="78">
        <f>IF(P1278="应付",COUNTIF(P$7:P1278,"应付"),"")</f>
      </c>
      <c r="S1278" s="78">
        <f>N(F1278)-N(G1278)</f>
        <v>0</v>
      </c>
    </row>
    <row r="1279">
      <c r="A1279" s="109">
        <f>IF(AND(F1279="",G1279=""),"",ROW()-6)</f>
      </c>
      <c r="B1279" s="140" t="n"/>
      <c r="C1279" s="141" t="n"/>
      <c r="D1279" s="141" t="n"/>
      <c r="E1279" s="142" t="n"/>
      <c r="F1279" s="143" t="n"/>
      <c r="G1279" s="144" t="n"/>
      <c r="H1279" s="145">
        <f>IF(OR(C1279="",AND(F1279="",G1279="")),"",SUMIF(基础资料!$W$5:$W$24,C1279,基础资料!$X$5:$X$24)+SUMIF(C$7:C1279,C1279,F$7:F1279)-SUMIF(C$7:C1279,C1279,G$7:G1279))</f>
      </c>
      <c r="I1279" s="145">
        <f>IF(AND(F1279="",G1279=""),"",SUM(基础资料!$X$5:$X$24)+SUM(F$7:F1279)-SUM(G$7:G1279))</f>
      </c>
      <c r="J1279" s="141" t="n"/>
      <c r="K1279" s="141" t="n"/>
      <c r="L1279" s="141" t="n"/>
      <c r="M1279" s="142" t="n"/>
      <c r="N1279" s="146">
        <f>IF(AND(AND(F1279="",G1279=""),B1279="",C1279="",D1279="",J1279="",K1279="",L1279=""),"",IF(AND(F1279="",G1279=""),"✗ 没填金额",IF(AND(N(F1279)&lt;&gt;0,N(G1279)&lt;&gt;0),"✗ 收入、支出只能填一边",IF(NOT(ISNUMBER(B1279)),"✗ 日期不是真日期（要像 2026/9/25 这样填）",IF(OR(B1279&lt;年初日,B1279&gt;年末日),"✗ 日期不在本会计年度",IF(C1279="","✗ 没选账户",IF(COUNTIF(基础资料!$W$5:$W$24,C1279)=0,"✗ 账户不在基础资料里",IF(O1279="","✗ 没选收支项目",IF(P1279="未知","✗ 收支项目不在基础资料里",IF(AND(P1279="应收",J1279=""),"✗ 这笔要选客户",IF(AND(P1279="应收",COUNTIF(总览汇总!$B$5:$B$304,J1279)=0),"✗ 客户不在总览汇总名单里",IF(AND(P1279="应付",K1279=""),"✗ 这笔要选供应商",IF(AND(P1279="应付",COUNTIF(基础资料!$Q$5:$Q$54,K1279)=0),"✗ 供应商不在基础资料里",IF(AND(P1279="费用",L1279=""),"✗ 费用支出要选费用项目",IF(AND(L1279&lt;&gt;"",COUNTIF(基础资料!$AI$5:$AI$54,L1279)=0),"✗ 费用项目不在基础资料里",IF(AND(IFERROR(INDEX(基础资料!$AD$5:$AD$34,MATCH(O1279,基础资料!$AC$5:$AC$34,0)),"")="收",N(G1279)&lt;&gt;0),"✗ 这类是收款，金额填到收入列",IF(AND(IFERROR(INDEX(基础资料!$AD$5:$AD$34,MATCH(O1279,基础资料!$AC$5:$AC$34,0)),"")="支",N(F1279)&lt;&gt;0),"✗ 这类是付款，金额填到支出列",IF(N(H1279)&lt;0,"⚠ 账户余额成负数了，核对一下","√"))))))))))))))))))</f>
      </c>
      <c r="O1279" s="78">
        <f>IF(D1279&lt;&gt;"",D1279,IF(AND(F1279="",G1279=""),"",IF(J1279&lt;&gt;"",IF(N(F1279)&gt;0,"客户回款","客户退款"),IF(K1279&lt;&gt;"",IF(N(G1279)&gt;0,"供应商付款","供应商退款"),IF(L1279&lt;&gt;"","费用支出","")))))</f>
      </c>
      <c r="P1279" s="78">
        <f>IF(O1279="","",IFERROR(INDEX(基础资料!$AE$5:$AE$34,MATCH(O1279,基础资料!$AC$5:$AC$34,0)),"未知"))</f>
      </c>
      <c r="Q1279" s="78">
        <f>IF(P1279="应收",COUNTIF(P$7:P1279,"应收"),"")</f>
      </c>
      <c r="R1279" s="78">
        <f>IF(P1279="应付",COUNTIF(P$7:P1279,"应付"),"")</f>
      </c>
      <c r="S1279" s="78">
        <f>N(F1279)-N(G1279)</f>
        <v>0</v>
      </c>
    </row>
    <row r="1280">
      <c r="A1280" s="109">
        <f>IF(AND(F1280="",G1280=""),"",ROW()-6)</f>
      </c>
      <c r="B1280" s="140" t="n"/>
      <c r="C1280" s="141" t="n"/>
      <c r="D1280" s="141" t="n"/>
      <c r="E1280" s="142" t="n"/>
      <c r="F1280" s="143" t="n"/>
      <c r="G1280" s="144" t="n"/>
      <c r="H1280" s="145">
        <f>IF(OR(C1280="",AND(F1280="",G1280="")),"",SUMIF(基础资料!$W$5:$W$24,C1280,基础资料!$X$5:$X$24)+SUMIF(C$7:C1280,C1280,F$7:F1280)-SUMIF(C$7:C1280,C1280,G$7:G1280))</f>
      </c>
      <c r="I1280" s="145">
        <f>IF(AND(F1280="",G1280=""),"",SUM(基础资料!$X$5:$X$24)+SUM(F$7:F1280)-SUM(G$7:G1280))</f>
      </c>
      <c r="J1280" s="141" t="n"/>
      <c r="K1280" s="141" t="n"/>
      <c r="L1280" s="141" t="n"/>
      <c r="M1280" s="142" t="n"/>
      <c r="N1280" s="146">
        <f>IF(AND(AND(F1280="",G1280=""),B1280="",C1280="",D1280="",J1280="",K1280="",L1280=""),"",IF(AND(F1280="",G1280=""),"✗ 没填金额",IF(AND(N(F1280)&lt;&gt;0,N(G1280)&lt;&gt;0),"✗ 收入、支出只能填一边",IF(NOT(ISNUMBER(B1280)),"✗ 日期不是真日期（要像 2026/9/25 这样填）",IF(OR(B1280&lt;年初日,B1280&gt;年末日),"✗ 日期不在本会计年度",IF(C1280="","✗ 没选账户",IF(COUNTIF(基础资料!$W$5:$W$24,C1280)=0,"✗ 账户不在基础资料里",IF(O1280="","✗ 没选收支项目",IF(P1280="未知","✗ 收支项目不在基础资料里",IF(AND(P1280="应收",J1280=""),"✗ 这笔要选客户",IF(AND(P1280="应收",COUNTIF(总览汇总!$B$5:$B$304,J1280)=0),"✗ 客户不在总览汇总名单里",IF(AND(P1280="应付",K1280=""),"✗ 这笔要选供应商",IF(AND(P1280="应付",COUNTIF(基础资料!$Q$5:$Q$54,K1280)=0),"✗ 供应商不在基础资料里",IF(AND(P1280="费用",L1280=""),"✗ 费用支出要选费用项目",IF(AND(L1280&lt;&gt;"",COUNTIF(基础资料!$AI$5:$AI$54,L1280)=0),"✗ 费用项目不在基础资料里",IF(AND(IFERROR(INDEX(基础资料!$AD$5:$AD$34,MATCH(O1280,基础资料!$AC$5:$AC$34,0)),"")="收",N(G1280)&lt;&gt;0),"✗ 这类是收款，金额填到收入列",IF(AND(IFERROR(INDEX(基础资料!$AD$5:$AD$34,MATCH(O1280,基础资料!$AC$5:$AC$34,0)),"")="支",N(F1280)&lt;&gt;0),"✗ 这类是付款，金额填到支出列",IF(N(H1280)&lt;0,"⚠ 账户余额成负数了，核对一下","√"))))))))))))))))))</f>
      </c>
      <c r="O1280" s="78">
        <f>IF(D1280&lt;&gt;"",D1280,IF(AND(F1280="",G1280=""),"",IF(J1280&lt;&gt;"",IF(N(F1280)&gt;0,"客户回款","客户退款"),IF(K1280&lt;&gt;"",IF(N(G1280)&gt;0,"供应商付款","供应商退款"),IF(L1280&lt;&gt;"","费用支出","")))))</f>
      </c>
      <c r="P1280" s="78">
        <f>IF(O1280="","",IFERROR(INDEX(基础资料!$AE$5:$AE$34,MATCH(O1280,基础资料!$AC$5:$AC$34,0)),"未知"))</f>
      </c>
      <c r="Q1280" s="78">
        <f>IF(P1280="应收",COUNTIF(P$7:P1280,"应收"),"")</f>
      </c>
      <c r="R1280" s="78">
        <f>IF(P1280="应付",COUNTIF(P$7:P1280,"应付"),"")</f>
      </c>
      <c r="S1280" s="78">
        <f>N(F1280)-N(G1280)</f>
        <v>0</v>
      </c>
    </row>
    <row r="1281">
      <c r="A1281" s="109">
        <f>IF(AND(F1281="",G1281=""),"",ROW()-6)</f>
      </c>
      <c r="B1281" s="140" t="n"/>
      <c r="C1281" s="141" t="n"/>
      <c r="D1281" s="141" t="n"/>
      <c r="E1281" s="142" t="n"/>
      <c r="F1281" s="143" t="n"/>
      <c r="G1281" s="144" t="n"/>
      <c r="H1281" s="145">
        <f>IF(OR(C1281="",AND(F1281="",G1281="")),"",SUMIF(基础资料!$W$5:$W$24,C1281,基础资料!$X$5:$X$24)+SUMIF(C$7:C1281,C1281,F$7:F1281)-SUMIF(C$7:C1281,C1281,G$7:G1281))</f>
      </c>
      <c r="I1281" s="145">
        <f>IF(AND(F1281="",G1281=""),"",SUM(基础资料!$X$5:$X$24)+SUM(F$7:F1281)-SUM(G$7:G1281))</f>
      </c>
      <c r="J1281" s="141" t="n"/>
      <c r="K1281" s="141" t="n"/>
      <c r="L1281" s="141" t="n"/>
      <c r="M1281" s="142" t="n"/>
      <c r="N1281" s="146">
        <f>IF(AND(AND(F1281="",G1281=""),B1281="",C1281="",D1281="",J1281="",K1281="",L1281=""),"",IF(AND(F1281="",G1281=""),"✗ 没填金额",IF(AND(N(F1281)&lt;&gt;0,N(G1281)&lt;&gt;0),"✗ 收入、支出只能填一边",IF(NOT(ISNUMBER(B1281)),"✗ 日期不是真日期（要像 2026/9/25 这样填）",IF(OR(B1281&lt;年初日,B1281&gt;年末日),"✗ 日期不在本会计年度",IF(C1281="","✗ 没选账户",IF(COUNTIF(基础资料!$W$5:$W$24,C1281)=0,"✗ 账户不在基础资料里",IF(O1281="","✗ 没选收支项目",IF(P1281="未知","✗ 收支项目不在基础资料里",IF(AND(P1281="应收",J1281=""),"✗ 这笔要选客户",IF(AND(P1281="应收",COUNTIF(总览汇总!$B$5:$B$304,J1281)=0),"✗ 客户不在总览汇总名单里",IF(AND(P1281="应付",K1281=""),"✗ 这笔要选供应商",IF(AND(P1281="应付",COUNTIF(基础资料!$Q$5:$Q$54,K1281)=0),"✗ 供应商不在基础资料里",IF(AND(P1281="费用",L1281=""),"✗ 费用支出要选费用项目",IF(AND(L1281&lt;&gt;"",COUNTIF(基础资料!$AI$5:$AI$54,L1281)=0),"✗ 费用项目不在基础资料里",IF(AND(IFERROR(INDEX(基础资料!$AD$5:$AD$34,MATCH(O1281,基础资料!$AC$5:$AC$34,0)),"")="收",N(G1281)&lt;&gt;0),"✗ 这类是收款，金额填到收入列",IF(AND(IFERROR(INDEX(基础资料!$AD$5:$AD$34,MATCH(O1281,基础资料!$AC$5:$AC$34,0)),"")="支",N(F1281)&lt;&gt;0),"✗ 这类是付款，金额填到支出列",IF(N(H1281)&lt;0,"⚠ 账户余额成负数了，核对一下","√"))))))))))))))))))</f>
      </c>
      <c r="O1281" s="78">
        <f>IF(D1281&lt;&gt;"",D1281,IF(AND(F1281="",G1281=""),"",IF(J1281&lt;&gt;"",IF(N(F1281)&gt;0,"客户回款","客户退款"),IF(K1281&lt;&gt;"",IF(N(G1281)&gt;0,"供应商付款","供应商退款"),IF(L1281&lt;&gt;"","费用支出","")))))</f>
      </c>
      <c r="P1281" s="78">
        <f>IF(O1281="","",IFERROR(INDEX(基础资料!$AE$5:$AE$34,MATCH(O1281,基础资料!$AC$5:$AC$34,0)),"未知"))</f>
      </c>
      <c r="Q1281" s="78">
        <f>IF(P1281="应收",COUNTIF(P$7:P1281,"应收"),"")</f>
      </c>
      <c r="R1281" s="78">
        <f>IF(P1281="应付",COUNTIF(P$7:P1281,"应付"),"")</f>
      </c>
      <c r="S1281" s="78">
        <f>N(F1281)-N(G1281)</f>
        <v>0</v>
      </c>
    </row>
    <row r="1282">
      <c r="A1282" s="109">
        <f>IF(AND(F1282="",G1282=""),"",ROW()-6)</f>
      </c>
      <c r="B1282" s="140" t="n"/>
      <c r="C1282" s="141" t="n"/>
      <c r="D1282" s="141" t="n"/>
      <c r="E1282" s="142" t="n"/>
      <c r="F1282" s="143" t="n"/>
      <c r="G1282" s="144" t="n"/>
      <c r="H1282" s="145">
        <f>IF(OR(C1282="",AND(F1282="",G1282="")),"",SUMIF(基础资料!$W$5:$W$24,C1282,基础资料!$X$5:$X$24)+SUMIF(C$7:C1282,C1282,F$7:F1282)-SUMIF(C$7:C1282,C1282,G$7:G1282))</f>
      </c>
      <c r="I1282" s="145">
        <f>IF(AND(F1282="",G1282=""),"",SUM(基础资料!$X$5:$X$24)+SUM(F$7:F1282)-SUM(G$7:G1282))</f>
      </c>
      <c r="J1282" s="141" t="n"/>
      <c r="K1282" s="141" t="n"/>
      <c r="L1282" s="141" t="n"/>
      <c r="M1282" s="142" t="n"/>
      <c r="N1282" s="146">
        <f>IF(AND(AND(F1282="",G1282=""),B1282="",C1282="",D1282="",J1282="",K1282="",L1282=""),"",IF(AND(F1282="",G1282=""),"✗ 没填金额",IF(AND(N(F1282)&lt;&gt;0,N(G1282)&lt;&gt;0),"✗ 收入、支出只能填一边",IF(NOT(ISNUMBER(B1282)),"✗ 日期不是真日期（要像 2026/9/25 这样填）",IF(OR(B1282&lt;年初日,B1282&gt;年末日),"✗ 日期不在本会计年度",IF(C1282="","✗ 没选账户",IF(COUNTIF(基础资料!$W$5:$W$24,C1282)=0,"✗ 账户不在基础资料里",IF(O1282="","✗ 没选收支项目",IF(P1282="未知","✗ 收支项目不在基础资料里",IF(AND(P1282="应收",J1282=""),"✗ 这笔要选客户",IF(AND(P1282="应收",COUNTIF(总览汇总!$B$5:$B$304,J1282)=0),"✗ 客户不在总览汇总名单里",IF(AND(P1282="应付",K1282=""),"✗ 这笔要选供应商",IF(AND(P1282="应付",COUNTIF(基础资料!$Q$5:$Q$54,K1282)=0),"✗ 供应商不在基础资料里",IF(AND(P1282="费用",L1282=""),"✗ 费用支出要选费用项目",IF(AND(L1282&lt;&gt;"",COUNTIF(基础资料!$AI$5:$AI$54,L1282)=0),"✗ 费用项目不在基础资料里",IF(AND(IFERROR(INDEX(基础资料!$AD$5:$AD$34,MATCH(O1282,基础资料!$AC$5:$AC$34,0)),"")="收",N(G1282)&lt;&gt;0),"✗ 这类是收款，金额填到收入列",IF(AND(IFERROR(INDEX(基础资料!$AD$5:$AD$34,MATCH(O1282,基础资料!$AC$5:$AC$34,0)),"")="支",N(F1282)&lt;&gt;0),"✗ 这类是付款，金额填到支出列",IF(N(H1282)&lt;0,"⚠ 账户余额成负数了，核对一下","√"))))))))))))))))))</f>
      </c>
      <c r="O1282" s="78">
        <f>IF(D1282&lt;&gt;"",D1282,IF(AND(F1282="",G1282=""),"",IF(J1282&lt;&gt;"",IF(N(F1282)&gt;0,"客户回款","客户退款"),IF(K1282&lt;&gt;"",IF(N(G1282)&gt;0,"供应商付款","供应商退款"),IF(L1282&lt;&gt;"","费用支出","")))))</f>
      </c>
      <c r="P1282" s="78">
        <f>IF(O1282="","",IFERROR(INDEX(基础资料!$AE$5:$AE$34,MATCH(O1282,基础资料!$AC$5:$AC$34,0)),"未知"))</f>
      </c>
      <c r="Q1282" s="78">
        <f>IF(P1282="应收",COUNTIF(P$7:P1282,"应收"),"")</f>
      </c>
      <c r="R1282" s="78">
        <f>IF(P1282="应付",COUNTIF(P$7:P1282,"应付"),"")</f>
      </c>
      <c r="S1282" s="78">
        <f>N(F1282)-N(G1282)</f>
        <v>0</v>
      </c>
    </row>
    <row r="1283">
      <c r="A1283" s="109">
        <f>IF(AND(F1283="",G1283=""),"",ROW()-6)</f>
      </c>
      <c r="B1283" s="140" t="n"/>
      <c r="C1283" s="141" t="n"/>
      <c r="D1283" s="141" t="n"/>
      <c r="E1283" s="142" t="n"/>
      <c r="F1283" s="143" t="n"/>
      <c r="G1283" s="144" t="n"/>
      <c r="H1283" s="145">
        <f>IF(OR(C1283="",AND(F1283="",G1283="")),"",SUMIF(基础资料!$W$5:$W$24,C1283,基础资料!$X$5:$X$24)+SUMIF(C$7:C1283,C1283,F$7:F1283)-SUMIF(C$7:C1283,C1283,G$7:G1283))</f>
      </c>
      <c r="I1283" s="145">
        <f>IF(AND(F1283="",G1283=""),"",SUM(基础资料!$X$5:$X$24)+SUM(F$7:F1283)-SUM(G$7:G1283))</f>
      </c>
      <c r="J1283" s="141" t="n"/>
      <c r="K1283" s="141" t="n"/>
      <c r="L1283" s="141" t="n"/>
      <c r="M1283" s="142" t="n"/>
      <c r="N1283" s="146">
        <f>IF(AND(AND(F1283="",G1283=""),B1283="",C1283="",D1283="",J1283="",K1283="",L1283=""),"",IF(AND(F1283="",G1283=""),"✗ 没填金额",IF(AND(N(F1283)&lt;&gt;0,N(G1283)&lt;&gt;0),"✗ 收入、支出只能填一边",IF(NOT(ISNUMBER(B1283)),"✗ 日期不是真日期（要像 2026/9/25 这样填）",IF(OR(B1283&lt;年初日,B1283&gt;年末日),"✗ 日期不在本会计年度",IF(C1283="","✗ 没选账户",IF(COUNTIF(基础资料!$W$5:$W$24,C1283)=0,"✗ 账户不在基础资料里",IF(O1283="","✗ 没选收支项目",IF(P1283="未知","✗ 收支项目不在基础资料里",IF(AND(P1283="应收",J1283=""),"✗ 这笔要选客户",IF(AND(P1283="应收",COUNTIF(总览汇总!$B$5:$B$304,J1283)=0),"✗ 客户不在总览汇总名单里",IF(AND(P1283="应付",K1283=""),"✗ 这笔要选供应商",IF(AND(P1283="应付",COUNTIF(基础资料!$Q$5:$Q$54,K1283)=0),"✗ 供应商不在基础资料里",IF(AND(P1283="费用",L1283=""),"✗ 费用支出要选费用项目",IF(AND(L1283&lt;&gt;"",COUNTIF(基础资料!$AI$5:$AI$54,L1283)=0),"✗ 费用项目不在基础资料里",IF(AND(IFERROR(INDEX(基础资料!$AD$5:$AD$34,MATCH(O1283,基础资料!$AC$5:$AC$34,0)),"")="收",N(G1283)&lt;&gt;0),"✗ 这类是收款，金额填到收入列",IF(AND(IFERROR(INDEX(基础资料!$AD$5:$AD$34,MATCH(O1283,基础资料!$AC$5:$AC$34,0)),"")="支",N(F1283)&lt;&gt;0),"✗ 这类是付款，金额填到支出列",IF(N(H1283)&lt;0,"⚠ 账户余额成负数了，核对一下","√"))))))))))))))))))</f>
      </c>
      <c r="O1283" s="78">
        <f>IF(D1283&lt;&gt;"",D1283,IF(AND(F1283="",G1283=""),"",IF(J1283&lt;&gt;"",IF(N(F1283)&gt;0,"客户回款","客户退款"),IF(K1283&lt;&gt;"",IF(N(G1283)&gt;0,"供应商付款","供应商退款"),IF(L1283&lt;&gt;"","费用支出","")))))</f>
      </c>
      <c r="P1283" s="78">
        <f>IF(O1283="","",IFERROR(INDEX(基础资料!$AE$5:$AE$34,MATCH(O1283,基础资料!$AC$5:$AC$34,0)),"未知"))</f>
      </c>
      <c r="Q1283" s="78">
        <f>IF(P1283="应收",COUNTIF(P$7:P1283,"应收"),"")</f>
      </c>
      <c r="R1283" s="78">
        <f>IF(P1283="应付",COUNTIF(P$7:P1283,"应付"),"")</f>
      </c>
      <c r="S1283" s="78">
        <f>N(F1283)-N(G1283)</f>
        <v>0</v>
      </c>
    </row>
    <row r="1284">
      <c r="A1284" s="109">
        <f>IF(AND(F1284="",G1284=""),"",ROW()-6)</f>
      </c>
      <c r="B1284" s="140" t="n"/>
      <c r="C1284" s="141" t="n"/>
      <c r="D1284" s="141" t="n"/>
      <c r="E1284" s="142" t="n"/>
      <c r="F1284" s="143" t="n"/>
      <c r="G1284" s="144" t="n"/>
      <c r="H1284" s="145">
        <f>IF(OR(C1284="",AND(F1284="",G1284="")),"",SUMIF(基础资料!$W$5:$W$24,C1284,基础资料!$X$5:$X$24)+SUMIF(C$7:C1284,C1284,F$7:F1284)-SUMIF(C$7:C1284,C1284,G$7:G1284))</f>
      </c>
      <c r="I1284" s="145">
        <f>IF(AND(F1284="",G1284=""),"",SUM(基础资料!$X$5:$X$24)+SUM(F$7:F1284)-SUM(G$7:G1284))</f>
      </c>
      <c r="J1284" s="141" t="n"/>
      <c r="K1284" s="141" t="n"/>
      <c r="L1284" s="141" t="n"/>
      <c r="M1284" s="142" t="n"/>
      <c r="N1284" s="146">
        <f>IF(AND(AND(F1284="",G1284=""),B1284="",C1284="",D1284="",J1284="",K1284="",L1284=""),"",IF(AND(F1284="",G1284=""),"✗ 没填金额",IF(AND(N(F1284)&lt;&gt;0,N(G1284)&lt;&gt;0),"✗ 收入、支出只能填一边",IF(NOT(ISNUMBER(B1284)),"✗ 日期不是真日期（要像 2026/9/25 这样填）",IF(OR(B1284&lt;年初日,B1284&gt;年末日),"✗ 日期不在本会计年度",IF(C1284="","✗ 没选账户",IF(COUNTIF(基础资料!$W$5:$W$24,C1284)=0,"✗ 账户不在基础资料里",IF(O1284="","✗ 没选收支项目",IF(P1284="未知","✗ 收支项目不在基础资料里",IF(AND(P1284="应收",J1284=""),"✗ 这笔要选客户",IF(AND(P1284="应收",COUNTIF(总览汇总!$B$5:$B$304,J1284)=0),"✗ 客户不在总览汇总名单里",IF(AND(P1284="应付",K1284=""),"✗ 这笔要选供应商",IF(AND(P1284="应付",COUNTIF(基础资料!$Q$5:$Q$54,K1284)=0),"✗ 供应商不在基础资料里",IF(AND(P1284="费用",L1284=""),"✗ 费用支出要选费用项目",IF(AND(L1284&lt;&gt;"",COUNTIF(基础资料!$AI$5:$AI$54,L1284)=0),"✗ 费用项目不在基础资料里",IF(AND(IFERROR(INDEX(基础资料!$AD$5:$AD$34,MATCH(O1284,基础资料!$AC$5:$AC$34,0)),"")="收",N(G1284)&lt;&gt;0),"✗ 这类是收款，金额填到收入列",IF(AND(IFERROR(INDEX(基础资料!$AD$5:$AD$34,MATCH(O1284,基础资料!$AC$5:$AC$34,0)),"")="支",N(F1284)&lt;&gt;0),"✗ 这类是付款，金额填到支出列",IF(N(H1284)&lt;0,"⚠ 账户余额成负数了，核对一下","√"))))))))))))))))))</f>
      </c>
      <c r="O1284" s="78">
        <f>IF(D1284&lt;&gt;"",D1284,IF(AND(F1284="",G1284=""),"",IF(J1284&lt;&gt;"",IF(N(F1284)&gt;0,"客户回款","客户退款"),IF(K1284&lt;&gt;"",IF(N(G1284)&gt;0,"供应商付款","供应商退款"),IF(L1284&lt;&gt;"","费用支出","")))))</f>
      </c>
      <c r="P1284" s="78">
        <f>IF(O1284="","",IFERROR(INDEX(基础资料!$AE$5:$AE$34,MATCH(O1284,基础资料!$AC$5:$AC$34,0)),"未知"))</f>
      </c>
      <c r="Q1284" s="78">
        <f>IF(P1284="应收",COUNTIF(P$7:P1284,"应收"),"")</f>
      </c>
      <c r="R1284" s="78">
        <f>IF(P1284="应付",COUNTIF(P$7:P1284,"应付"),"")</f>
      </c>
      <c r="S1284" s="78">
        <f>N(F1284)-N(G1284)</f>
        <v>0</v>
      </c>
    </row>
    <row r="1285">
      <c r="A1285" s="109">
        <f>IF(AND(F1285="",G1285=""),"",ROW()-6)</f>
      </c>
      <c r="B1285" s="140" t="n"/>
      <c r="C1285" s="141" t="n"/>
      <c r="D1285" s="141" t="n"/>
      <c r="E1285" s="142" t="n"/>
      <c r="F1285" s="143" t="n"/>
      <c r="G1285" s="144" t="n"/>
      <c r="H1285" s="145">
        <f>IF(OR(C1285="",AND(F1285="",G1285="")),"",SUMIF(基础资料!$W$5:$W$24,C1285,基础资料!$X$5:$X$24)+SUMIF(C$7:C1285,C1285,F$7:F1285)-SUMIF(C$7:C1285,C1285,G$7:G1285))</f>
      </c>
      <c r="I1285" s="145">
        <f>IF(AND(F1285="",G1285=""),"",SUM(基础资料!$X$5:$X$24)+SUM(F$7:F1285)-SUM(G$7:G1285))</f>
      </c>
      <c r="J1285" s="141" t="n"/>
      <c r="K1285" s="141" t="n"/>
      <c r="L1285" s="141" t="n"/>
      <c r="M1285" s="142" t="n"/>
      <c r="N1285" s="146">
        <f>IF(AND(AND(F1285="",G1285=""),B1285="",C1285="",D1285="",J1285="",K1285="",L1285=""),"",IF(AND(F1285="",G1285=""),"✗ 没填金额",IF(AND(N(F1285)&lt;&gt;0,N(G1285)&lt;&gt;0),"✗ 收入、支出只能填一边",IF(NOT(ISNUMBER(B1285)),"✗ 日期不是真日期（要像 2026/9/25 这样填）",IF(OR(B1285&lt;年初日,B1285&gt;年末日),"✗ 日期不在本会计年度",IF(C1285="","✗ 没选账户",IF(COUNTIF(基础资料!$W$5:$W$24,C1285)=0,"✗ 账户不在基础资料里",IF(O1285="","✗ 没选收支项目",IF(P1285="未知","✗ 收支项目不在基础资料里",IF(AND(P1285="应收",J1285=""),"✗ 这笔要选客户",IF(AND(P1285="应收",COUNTIF(总览汇总!$B$5:$B$304,J1285)=0),"✗ 客户不在总览汇总名单里",IF(AND(P1285="应付",K1285=""),"✗ 这笔要选供应商",IF(AND(P1285="应付",COUNTIF(基础资料!$Q$5:$Q$54,K1285)=0),"✗ 供应商不在基础资料里",IF(AND(P1285="费用",L1285=""),"✗ 费用支出要选费用项目",IF(AND(L1285&lt;&gt;"",COUNTIF(基础资料!$AI$5:$AI$54,L1285)=0),"✗ 费用项目不在基础资料里",IF(AND(IFERROR(INDEX(基础资料!$AD$5:$AD$34,MATCH(O1285,基础资料!$AC$5:$AC$34,0)),"")="收",N(G1285)&lt;&gt;0),"✗ 这类是收款，金额填到收入列",IF(AND(IFERROR(INDEX(基础资料!$AD$5:$AD$34,MATCH(O1285,基础资料!$AC$5:$AC$34,0)),"")="支",N(F1285)&lt;&gt;0),"✗ 这类是付款，金额填到支出列",IF(N(H1285)&lt;0,"⚠ 账户余额成负数了，核对一下","√"))))))))))))))))))</f>
      </c>
      <c r="O1285" s="78">
        <f>IF(D1285&lt;&gt;"",D1285,IF(AND(F1285="",G1285=""),"",IF(J1285&lt;&gt;"",IF(N(F1285)&gt;0,"客户回款","客户退款"),IF(K1285&lt;&gt;"",IF(N(G1285)&gt;0,"供应商付款","供应商退款"),IF(L1285&lt;&gt;"","费用支出","")))))</f>
      </c>
      <c r="P1285" s="78">
        <f>IF(O1285="","",IFERROR(INDEX(基础资料!$AE$5:$AE$34,MATCH(O1285,基础资料!$AC$5:$AC$34,0)),"未知"))</f>
      </c>
      <c r="Q1285" s="78">
        <f>IF(P1285="应收",COUNTIF(P$7:P1285,"应收"),"")</f>
      </c>
      <c r="R1285" s="78">
        <f>IF(P1285="应付",COUNTIF(P$7:P1285,"应付"),"")</f>
      </c>
      <c r="S1285" s="78">
        <f>N(F1285)-N(G1285)</f>
        <v>0</v>
      </c>
    </row>
    <row r="1286">
      <c r="A1286" s="109">
        <f>IF(AND(F1286="",G1286=""),"",ROW()-6)</f>
      </c>
      <c r="B1286" s="140" t="n"/>
      <c r="C1286" s="141" t="n"/>
      <c r="D1286" s="141" t="n"/>
      <c r="E1286" s="142" t="n"/>
      <c r="F1286" s="143" t="n"/>
      <c r="G1286" s="144" t="n"/>
      <c r="H1286" s="145">
        <f>IF(OR(C1286="",AND(F1286="",G1286="")),"",SUMIF(基础资料!$W$5:$W$24,C1286,基础资料!$X$5:$X$24)+SUMIF(C$7:C1286,C1286,F$7:F1286)-SUMIF(C$7:C1286,C1286,G$7:G1286))</f>
      </c>
      <c r="I1286" s="145">
        <f>IF(AND(F1286="",G1286=""),"",SUM(基础资料!$X$5:$X$24)+SUM(F$7:F1286)-SUM(G$7:G1286))</f>
      </c>
      <c r="J1286" s="141" t="n"/>
      <c r="K1286" s="141" t="n"/>
      <c r="L1286" s="141" t="n"/>
      <c r="M1286" s="142" t="n"/>
      <c r="N1286" s="146">
        <f>IF(AND(AND(F1286="",G1286=""),B1286="",C1286="",D1286="",J1286="",K1286="",L1286=""),"",IF(AND(F1286="",G1286=""),"✗ 没填金额",IF(AND(N(F1286)&lt;&gt;0,N(G1286)&lt;&gt;0),"✗ 收入、支出只能填一边",IF(NOT(ISNUMBER(B1286)),"✗ 日期不是真日期（要像 2026/9/25 这样填）",IF(OR(B1286&lt;年初日,B1286&gt;年末日),"✗ 日期不在本会计年度",IF(C1286="","✗ 没选账户",IF(COUNTIF(基础资料!$W$5:$W$24,C1286)=0,"✗ 账户不在基础资料里",IF(O1286="","✗ 没选收支项目",IF(P1286="未知","✗ 收支项目不在基础资料里",IF(AND(P1286="应收",J1286=""),"✗ 这笔要选客户",IF(AND(P1286="应收",COUNTIF(总览汇总!$B$5:$B$304,J1286)=0),"✗ 客户不在总览汇总名单里",IF(AND(P1286="应付",K1286=""),"✗ 这笔要选供应商",IF(AND(P1286="应付",COUNTIF(基础资料!$Q$5:$Q$54,K1286)=0),"✗ 供应商不在基础资料里",IF(AND(P1286="费用",L1286=""),"✗ 费用支出要选费用项目",IF(AND(L1286&lt;&gt;"",COUNTIF(基础资料!$AI$5:$AI$54,L1286)=0),"✗ 费用项目不在基础资料里",IF(AND(IFERROR(INDEX(基础资料!$AD$5:$AD$34,MATCH(O1286,基础资料!$AC$5:$AC$34,0)),"")="收",N(G1286)&lt;&gt;0),"✗ 这类是收款，金额填到收入列",IF(AND(IFERROR(INDEX(基础资料!$AD$5:$AD$34,MATCH(O1286,基础资料!$AC$5:$AC$34,0)),"")="支",N(F1286)&lt;&gt;0),"✗ 这类是付款，金额填到支出列",IF(N(H1286)&lt;0,"⚠ 账户余额成负数了，核对一下","√"))))))))))))))))))</f>
      </c>
      <c r="O1286" s="78">
        <f>IF(D1286&lt;&gt;"",D1286,IF(AND(F1286="",G1286=""),"",IF(J1286&lt;&gt;"",IF(N(F1286)&gt;0,"客户回款","客户退款"),IF(K1286&lt;&gt;"",IF(N(G1286)&gt;0,"供应商付款","供应商退款"),IF(L1286&lt;&gt;"","费用支出","")))))</f>
      </c>
      <c r="P1286" s="78">
        <f>IF(O1286="","",IFERROR(INDEX(基础资料!$AE$5:$AE$34,MATCH(O1286,基础资料!$AC$5:$AC$34,0)),"未知"))</f>
      </c>
      <c r="Q1286" s="78">
        <f>IF(P1286="应收",COUNTIF(P$7:P1286,"应收"),"")</f>
      </c>
      <c r="R1286" s="78">
        <f>IF(P1286="应付",COUNTIF(P$7:P1286,"应付"),"")</f>
      </c>
      <c r="S1286" s="78">
        <f>N(F1286)-N(G1286)</f>
        <v>0</v>
      </c>
    </row>
    <row r="1287">
      <c r="A1287" s="109">
        <f>IF(AND(F1287="",G1287=""),"",ROW()-6)</f>
      </c>
      <c r="B1287" s="140" t="n"/>
      <c r="C1287" s="141" t="n"/>
      <c r="D1287" s="141" t="n"/>
      <c r="E1287" s="142" t="n"/>
      <c r="F1287" s="143" t="n"/>
      <c r="G1287" s="144" t="n"/>
      <c r="H1287" s="145">
        <f>IF(OR(C1287="",AND(F1287="",G1287="")),"",SUMIF(基础资料!$W$5:$W$24,C1287,基础资料!$X$5:$X$24)+SUMIF(C$7:C1287,C1287,F$7:F1287)-SUMIF(C$7:C1287,C1287,G$7:G1287))</f>
      </c>
      <c r="I1287" s="145">
        <f>IF(AND(F1287="",G1287=""),"",SUM(基础资料!$X$5:$X$24)+SUM(F$7:F1287)-SUM(G$7:G1287))</f>
      </c>
      <c r="J1287" s="141" t="n"/>
      <c r="K1287" s="141" t="n"/>
      <c r="L1287" s="141" t="n"/>
      <c r="M1287" s="142" t="n"/>
      <c r="N1287" s="146">
        <f>IF(AND(AND(F1287="",G1287=""),B1287="",C1287="",D1287="",J1287="",K1287="",L1287=""),"",IF(AND(F1287="",G1287=""),"✗ 没填金额",IF(AND(N(F1287)&lt;&gt;0,N(G1287)&lt;&gt;0),"✗ 收入、支出只能填一边",IF(NOT(ISNUMBER(B1287)),"✗ 日期不是真日期（要像 2026/9/25 这样填）",IF(OR(B1287&lt;年初日,B1287&gt;年末日),"✗ 日期不在本会计年度",IF(C1287="","✗ 没选账户",IF(COUNTIF(基础资料!$W$5:$W$24,C1287)=0,"✗ 账户不在基础资料里",IF(O1287="","✗ 没选收支项目",IF(P1287="未知","✗ 收支项目不在基础资料里",IF(AND(P1287="应收",J1287=""),"✗ 这笔要选客户",IF(AND(P1287="应收",COUNTIF(总览汇总!$B$5:$B$304,J1287)=0),"✗ 客户不在总览汇总名单里",IF(AND(P1287="应付",K1287=""),"✗ 这笔要选供应商",IF(AND(P1287="应付",COUNTIF(基础资料!$Q$5:$Q$54,K1287)=0),"✗ 供应商不在基础资料里",IF(AND(P1287="费用",L1287=""),"✗ 费用支出要选费用项目",IF(AND(L1287&lt;&gt;"",COUNTIF(基础资料!$AI$5:$AI$54,L1287)=0),"✗ 费用项目不在基础资料里",IF(AND(IFERROR(INDEX(基础资料!$AD$5:$AD$34,MATCH(O1287,基础资料!$AC$5:$AC$34,0)),"")="收",N(G1287)&lt;&gt;0),"✗ 这类是收款，金额填到收入列",IF(AND(IFERROR(INDEX(基础资料!$AD$5:$AD$34,MATCH(O1287,基础资料!$AC$5:$AC$34,0)),"")="支",N(F1287)&lt;&gt;0),"✗ 这类是付款，金额填到支出列",IF(N(H1287)&lt;0,"⚠ 账户余额成负数了，核对一下","√"))))))))))))))))))</f>
      </c>
      <c r="O1287" s="78">
        <f>IF(D1287&lt;&gt;"",D1287,IF(AND(F1287="",G1287=""),"",IF(J1287&lt;&gt;"",IF(N(F1287)&gt;0,"客户回款","客户退款"),IF(K1287&lt;&gt;"",IF(N(G1287)&gt;0,"供应商付款","供应商退款"),IF(L1287&lt;&gt;"","费用支出","")))))</f>
      </c>
      <c r="P1287" s="78">
        <f>IF(O1287="","",IFERROR(INDEX(基础资料!$AE$5:$AE$34,MATCH(O1287,基础资料!$AC$5:$AC$34,0)),"未知"))</f>
      </c>
      <c r="Q1287" s="78">
        <f>IF(P1287="应收",COUNTIF(P$7:P1287,"应收"),"")</f>
      </c>
      <c r="R1287" s="78">
        <f>IF(P1287="应付",COUNTIF(P$7:P1287,"应付"),"")</f>
      </c>
      <c r="S1287" s="78">
        <f>N(F1287)-N(G1287)</f>
        <v>0</v>
      </c>
    </row>
    <row r="1288">
      <c r="A1288" s="109">
        <f>IF(AND(F1288="",G1288=""),"",ROW()-6)</f>
      </c>
      <c r="B1288" s="140" t="n"/>
      <c r="C1288" s="141" t="n"/>
      <c r="D1288" s="141" t="n"/>
      <c r="E1288" s="142" t="n"/>
      <c r="F1288" s="143" t="n"/>
      <c r="G1288" s="144" t="n"/>
      <c r="H1288" s="145">
        <f>IF(OR(C1288="",AND(F1288="",G1288="")),"",SUMIF(基础资料!$W$5:$W$24,C1288,基础资料!$X$5:$X$24)+SUMIF(C$7:C1288,C1288,F$7:F1288)-SUMIF(C$7:C1288,C1288,G$7:G1288))</f>
      </c>
      <c r="I1288" s="145">
        <f>IF(AND(F1288="",G1288=""),"",SUM(基础资料!$X$5:$X$24)+SUM(F$7:F1288)-SUM(G$7:G1288))</f>
      </c>
      <c r="J1288" s="141" t="n"/>
      <c r="K1288" s="141" t="n"/>
      <c r="L1288" s="141" t="n"/>
      <c r="M1288" s="142" t="n"/>
      <c r="N1288" s="146">
        <f>IF(AND(AND(F1288="",G1288=""),B1288="",C1288="",D1288="",J1288="",K1288="",L1288=""),"",IF(AND(F1288="",G1288=""),"✗ 没填金额",IF(AND(N(F1288)&lt;&gt;0,N(G1288)&lt;&gt;0),"✗ 收入、支出只能填一边",IF(NOT(ISNUMBER(B1288)),"✗ 日期不是真日期（要像 2026/9/25 这样填）",IF(OR(B1288&lt;年初日,B1288&gt;年末日),"✗ 日期不在本会计年度",IF(C1288="","✗ 没选账户",IF(COUNTIF(基础资料!$W$5:$W$24,C1288)=0,"✗ 账户不在基础资料里",IF(O1288="","✗ 没选收支项目",IF(P1288="未知","✗ 收支项目不在基础资料里",IF(AND(P1288="应收",J1288=""),"✗ 这笔要选客户",IF(AND(P1288="应收",COUNTIF(总览汇总!$B$5:$B$304,J1288)=0),"✗ 客户不在总览汇总名单里",IF(AND(P1288="应付",K1288=""),"✗ 这笔要选供应商",IF(AND(P1288="应付",COUNTIF(基础资料!$Q$5:$Q$54,K1288)=0),"✗ 供应商不在基础资料里",IF(AND(P1288="费用",L1288=""),"✗ 费用支出要选费用项目",IF(AND(L1288&lt;&gt;"",COUNTIF(基础资料!$AI$5:$AI$54,L1288)=0),"✗ 费用项目不在基础资料里",IF(AND(IFERROR(INDEX(基础资料!$AD$5:$AD$34,MATCH(O1288,基础资料!$AC$5:$AC$34,0)),"")="收",N(G1288)&lt;&gt;0),"✗ 这类是收款，金额填到收入列",IF(AND(IFERROR(INDEX(基础资料!$AD$5:$AD$34,MATCH(O1288,基础资料!$AC$5:$AC$34,0)),"")="支",N(F1288)&lt;&gt;0),"✗ 这类是付款，金额填到支出列",IF(N(H1288)&lt;0,"⚠ 账户余额成负数了，核对一下","√"))))))))))))))))))</f>
      </c>
      <c r="O1288" s="78">
        <f>IF(D1288&lt;&gt;"",D1288,IF(AND(F1288="",G1288=""),"",IF(J1288&lt;&gt;"",IF(N(F1288)&gt;0,"客户回款","客户退款"),IF(K1288&lt;&gt;"",IF(N(G1288)&gt;0,"供应商付款","供应商退款"),IF(L1288&lt;&gt;"","费用支出","")))))</f>
      </c>
      <c r="P1288" s="78">
        <f>IF(O1288="","",IFERROR(INDEX(基础资料!$AE$5:$AE$34,MATCH(O1288,基础资料!$AC$5:$AC$34,0)),"未知"))</f>
      </c>
      <c r="Q1288" s="78">
        <f>IF(P1288="应收",COUNTIF(P$7:P1288,"应收"),"")</f>
      </c>
      <c r="R1288" s="78">
        <f>IF(P1288="应付",COUNTIF(P$7:P1288,"应付"),"")</f>
      </c>
      <c r="S1288" s="78">
        <f>N(F1288)-N(G1288)</f>
        <v>0</v>
      </c>
    </row>
    <row r="1289">
      <c r="A1289" s="109">
        <f>IF(AND(F1289="",G1289=""),"",ROW()-6)</f>
      </c>
      <c r="B1289" s="140" t="n"/>
      <c r="C1289" s="141" t="n"/>
      <c r="D1289" s="141" t="n"/>
      <c r="E1289" s="142" t="n"/>
      <c r="F1289" s="143" t="n"/>
      <c r="G1289" s="144" t="n"/>
      <c r="H1289" s="145">
        <f>IF(OR(C1289="",AND(F1289="",G1289="")),"",SUMIF(基础资料!$W$5:$W$24,C1289,基础资料!$X$5:$X$24)+SUMIF(C$7:C1289,C1289,F$7:F1289)-SUMIF(C$7:C1289,C1289,G$7:G1289))</f>
      </c>
      <c r="I1289" s="145">
        <f>IF(AND(F1289="",G1289=""),"",SUM(基础资料!$X$5:$X$24)+SUM(F$7:F1289)-SUM(G$7:G1289))</f>
      </c>
      <c r="J1289" s="141" t="n"/>
      <c r="K1289" s="141" t="n"/>
      <c r="L1289" s="141" t="n"/>
      <c r="M1289" s="142" t="n"/>
      <c r="N1289" s="146">
        <f>IF(AND(AND(F1289="",G1289=""),B1289="",C1289="",D1289="",J1289="",K1289="",L1289=""),"",IF(AND(F1289="",G1289=""),"✗ 没填金额",IF(AND(N(F1289)&lt;&gt;0,N(G1289)&lt;&gt;0),"✗ 收入、支出只能填一边",IF(NOT(ISNUMBER(B1289)),"✗ 日期不是真日期（要像 2026/9/25 这样填）",IF(OR(B1289&lt;年初日,B1289&gt;年末日),"✗ 日期不在本会计年度",IF(C1289="","✗ 没选账户",IF(COUNTIF(基础资料!$W$5:$W$24,C1289)=0,"✗ 账户不在基础资料里",IF(O1289="","✗ 没选收支项目",IF(P1289="未知","✗ 收支项目不在基础资料里",IF(AND(P1289="应收",J1289=""),"✗ 这笔要选客户",IF(AND(P1289="应收",COUNTIF(总览汇总!$B$5:$B$304,J1289)=0),"✗ 客户不在总览汇总名单里",IF(AND(P1289="应付",K1289=""),"✗ 这笔要选供应商",IF(AND(P1289="应付",COUNTIF(基础资料!$Q$5:$Q$54,K1289)=0),"✗ 供应商不在基础资料里",IF(AND(P1289="费用",L1289=""),"✗ 费用支出要选费用项目",IF(AND(L1289&lt;&gt;"",COUNTIF(基础资料!$AI$5:$AI$54,L1289)=0),"✗ 费用项目不在基础资料里",IF(AND(IFERROR(INDEX(基础资料!$AD$5:$AD$34,MATCH(O1289,基础资料!$AC$5:$AC$34,0)),"")="收",N(G1289)&lt;&gt;0),"✗ 这类是收款，金额填到收入列",IF(AND(IFERROR(INDEX(基础资料!$AD$5:$AD$34,MATCH(O1289,基础资料!$AC$5:$AC$34,0)),"")="支",N(F1289)&lt;&gt;0),"✗ 这类是付款，金额填到支出列",IF(N(H1289)&lt;0,"⚠ 账户余额成负数了，核对一下","√"))))))))))))))))))</f>
      </c>
      <c r="O1289" s="78">
        <f>IF(D1289&lt;&gt;"",D1289,IF(AND(F1289="",G1289=""),"",IF(J1289&lt;&gt;"",IF(N(F1289)&gt;0,"客户回款","客户退款"),IF(K1289&lt;&gt;"",IF(N(G1289)&gt;0,"供应商付款","供应商退款"),IF(L1289&lt;&gt;"","费用支出","")))))</f>
      </c>
      <c r="P1289" s="78">
        <f>IF(O1289="","",IFERROR(INDEX(基础资料!$AE$5:$AE$34,MATCH(O1289,基础资料!$AC$5:$AC$34,0)),"未知"))</f>
      </c>
      <c r="Q1289" s="78">
        <f>IF(P1289="应收",COUNTIF(P$7:P1289,"应收"),"")</f>
      </c>
      <c r="R1289" s="78">
        <f>IF(P1289="应付",COUNTIF(P$7:P1289,"应付"),"")</f>
      </c>
      <c r="S1289" s="78">
        <f>N(F1289)-N(G1289)</f>
        <v>0</v>
      </c>
    </row>
    <row r="1290">
      <c r="A1290" s="109">
        <f>IF(AND(F1290="",G1290=""),"",ROW()-6)</f>
      </c>
      <c r="B1290" s="140" t="n"/>
      <c r="C1290" s="141" t="n"/>
      <c r="D1290" s="141" t="n"/>
      <c r="E1290" s="142" t="n"/>
      <c r="F1290" s="143" t="n"/>
      <c r="G1290" s="144" t="n"/>
      <c r="H1290" s="145">
        <f>IF(OR(C1290="",AND(F1290="",G1290="")),"",SUMIF(基础资料!$W$5:$W$24,C1290,基础资料!$X$5:$X$24)+SUMIF(C$7:C1290,C1290,F$7:F1290)-SUMIF(C$7:C1290,C1290,G$7:G1290))</f>
      </c>
      <c r="I1290" s="145">
        <f>IF(AND(F1290="",G1290=""),"",SUM(基础资料!$X$5:$X$24)+SUM(F$7:F1290)-SUM(G$7:G1290))</f>
      </c>
      <c r="J1290" s="141" t="n"/>
      <c r="K1290" s="141" t="n"/>
      <c r="L1290" s="141" t="n"/>
      <c r="M1290" s="142" t="n"/>
      <c r="N1290" s="146">
        <f>IF(AND(AND(F1290="",G1290=""),B1290="",C1290="",D1290="",J1290="",K1290="",L1290=""),"",IF(AND(F1290="",G1290=""),"✗ 没填金额",IF(AND(N(F1290)&lt;&gt;0,N(G1290)&lt;&gt;0),"✗ 收入、支出只能填一边",IF(NOT(ISNUMBER(B1290)),"✗ 日期不是真日期（要像 2026/9/25 这样填）",IF(OR(B1290&lt;年初日,B1290&gt;年末日),"✗ 日期不在本会计年度",IF(C1290="","✗ 没选账户",IF(COUNTIF(基础资料!$W$5:$W$24,C1290)=0,"✗ 账户不在基础资料里",IF(O1290="","✗ 没选收支项目",IF(P1290="未知","✗ 收支项目不在基础资料里",IF(AND(P1290="应收",J1290=""),"✗ 这笔要选客户",IF(AND(P1290="应收",COUNTIF(总览汇总!$B$5:$B$304,J1290)=0),"✗ 客户不在总览汇总名单里",IF(AND(P1290="应付",K1290=""),"✗ 这笔要选供应商",IF(AND(P1290="应付",COUNTIF(基础资料!$Q$5:$Q$54,K1290)=0),"✗ 供应商不在基础资料里",IF(AND(P1290="费用",L1290=""),"✗ 费用支出要选费用项目",IF(AND(L1290&lt;&gt;"",COUNTIF(基础资料!$AI$5:$AI$54,L1290)=0),"✗ 费用项目不在基础资料里",IF(AND(IFERROR(INDEX(基础资料!$AD$5:$AD$34,MATCH(O1290,基础资料!$AC$5:$AC$34,0)),"")="收",N(G1290)&lt;&gt;0),"✗ 这类是收款，金额填到收入列",IF(AND(IFERROR(INDEX(基础资料!$AD$5:$AD$34,MATCH(O1290,基础资料!$AC$5:$AC$34,0)),"")="支",N(F1290)&lt;&gt;0),"✗ 这类是付款，金额填到支出列",IF(N(H1290)&lt;0,"⚠ 账户余额成负数了，核对一下","√"))))))))))))))))))</f>
      </c>
      <c r="O1290" s="78">
        <f>IF(D1290&lt;&gt;"",D1290,IF(AND(F1290="",G1290=""),"",IF(J1290&lt;&gt;"",IF(N(F1290)&gt;0,"客户回款","客户退款"),IF(K1290&lt;&gt;"",IF(N(G1290)&gt;0,"供应商付款","供应商退款"),IF(L1290&lt;&gt;"","费用支出","")))))</f>
      </c>
      <c r="P1290" s="78">
        <f>IF(O1290="","",IFERROR(INDEX(基础资料!$AE$5:$AE$34,MATCH(O1290,基础资料!$AC$5:$AC$34,0)),"未知"))</f>
      </c>
      <c r="Q1290" s="78">
        <f>IF(P1290="应收",COUNTIF(P$7:P1290,"应收"),"")</f>
      </c>
      <c r="R1290" s="78">
        <f>IF(P1290="应付",COUNTIF(P$7:P1290,"应付"),"")</f>
      </c>
      <c r="S1290" s="78">
        <f>N(F1290)-N(G1290)</f>
        <v>0</v>
      </c>
    </row>
    <row r="1291">
      <c r="A1291" s="109">
        <f>IF(AND(F1291="",G1291=""),"",ROW()-6)</f>
      </c>
      <c r="B1291" s="140" t="n"/>
      <c r="C1291" s="141" t="n"/>
      <c r="D1291" s="141" t="n"/>
      <c r="E1291" s="142" t="n"/>
      <c r="F1291" s="143" t="n"/>
      <c r="G1291" s="144" t="n"/>
      <c r="H1291" s="145">
        <f>IF(OR(C1291="",AND(F1291="",G1291="")),"",SUMIF(基础资料!$W$5:$W$24,C1291,基础资料!$X$5:$X$24)+SUMIF(C$7:C1291,C1291,F$7:F1291)-SUMIF(C$7:C1291,C1291,G$7:G1291))</f>
      </c>
      <c r="I1291" s="145">
        <f>IF(AND(F1291="",G1291=""),"",SUM(基础资料!$X$5:$X$24)+SUM(F$7:F1291)-SUM(G$7:G1291))</f>
      </c>
      <c r="J1291" s="141" t="n"/>
      <c r="K1291" s="141" t="n"/>
      <c r="L1291" s="141" t="n"/>
      <c r="M1291" s="142" t="n"/>
      <c r="N1291" s="146">
        <f>IF(AND(AND(F1291="",G1291=""),B1291="",C1291="",D1291="",J1291="",K1291="",L1291=""),"",IF(AND(F1291="",G1291=""),"✗ 没填金额",IF(AND(N(F1291)&lt;&gt;0,N(G1291)&lt;&gt;0),"✗ 收入、支出只能填一边",IF(NOT(ISNUMBER(B1291)),"✗ 日期不是真日期（要像 2026/9/25 这样填）",IF(OR(B1291&lt;年初日,B1291&gt;年末日),"✗ 日期不在本会计年度",IF(C1291="","✗ 没选账户",IF(COUNTIF(基础资料!$W$5:$W$24,C1291)=0,"✗ 账户不在基础资料里",IF(O1291="","✗ 没选收支项目",IF(P1291="未知","✗ 收支项目不在基础资料里",IF(AND(P1291="应收",J1291=""),"✗ 这笔要选客户",IF(AND(P1291="应收",COUNTIF(总览汇总!$B$5:$B$304,J1291)=0),"✗ 客户不在总览汇总名单里",IF(AND(P1291="应付",K1291=""),"✗ 这笔要选供应商",IF(AND(P1291="应付",COUNTIF(基础资料!$Q$5:$Q$54,K1291)=0),"✗ 供应商不在基础资料里",IF(AND(P1291="费用",L1291=""),"✗ 费用支出要选费用项目",IF(AND(L1291&lt;&gt;"",COUNTIF(基础资料!$AI$5:$AI$54,L1291)=0),"✗ 费用项目不在基础资料里",IF(AND(IFERROR(INDEX(基础资料!$AD$5:$AD$34,MATCH(O1291,基础资料!$AC$5:$AC$34,0)),"")="收",N(G1291)&lt;&gt;0),"✗ 这类是收款，金额填到收入列",IF(AND(IFERROR(INDEX(基础资料!$AD$5:$AD$34,MATCH(O1291,基础资料!$AC$5:$AC$34,0)),"")="支",N(F1291)&lt;&gt;0),"✗ 这类是付款，金额填到支出列",IF(N(H1291)&lt;0,"⚠ 账户余额成负数了，核对一下","√"))))))))))))))))))</f>
      </c>
      <c r="O1291" s="78">
        <f>IF(D1291&lt;&gt;"",D1291,IF(AND(F1291="",G1291=""),"",IF(J1291&lt;&gt;"",IF(N(F1291)&gt;0,"客户回款","客户退款"),IF(K1291&lt;&gt;"",IF(N(G1291)&gt;0,"供应商付款","供应商退款"),IF(L1291&lt;&gt;"","费用支出","")))))</f>
      </c>
      <c r="P1291" s="78">
        <f>IF(O1291="","",IFERROR(INDEX(基础资料!$AE$5:$AE$34,MATCH(O1291,基础资料!$AC$5:$AC$34,0)),"未知"))</f>
      </c>
      <c r="Q1291" s="78">
        <f>IF(P1291="应收",COUNTIF(P$7:P1291,"应收"),"")</f>
      </c>
      <c r="R1291" s="78">
        <f>IF(P1291="应付",COUNTIF(P$7:P1291,"应付"),"")</f>
      </c>
      <c r="S1291" s="78">
        <f>N(F1291)-N(G1291)</f>
        <v>0</v>
      </c>
    </row>
    <row r="1292">
      <c r="A1292" s="109">
        <f>IF(AND(F1292="",G1292=""),"",ROW()-6)</f>
      </c>
      <c r="B1292" s="140" t="n"/>
      <c r="C1292" s="141" t="n"/>
      <c r="D1292" s="141" t="n"/>
      <c r="E1292" s="142" t="n"/>
      <c r="F1292" s="143" t="n"/>
      <c r="G1292" s="144" t="n"/>
      <c r="H1292" s="145">
        <f>IF(OR(C1292="",AND(F1292="",G1292="")),"",SUMIF(基础资料!$W$5:$W$24,C1292,基础资料!$X$5:$X$24)+SUMIF(C$7:C1292,C1292,F$7:F1292)-SUMIF(C$7:C1292,C1292,G$7:G1292))</f>
      </c>
      <c r="I1292" s="145">
        <f>IF(AND(F1292="",G1292=""),"",SUM(基础资料!$X$5:$X$24)+SUM(F$7:F1292)-SUM(G$7:G1292))</f>
      </c>
      <c r="J1292" s="141" t="n"/>
      <c r="K1292" s="141" t="n"/>
      <c r="L1292" s="141" t="n"/>
      <c r="M1292" s="142" t="n"/>
      <c r="N1292" s="146">
        <f>IF(AND(AND(F1292="",G1292=""),B1292="",C1292="",D1292="",J1292="",K1292="",L1292=""),"",IF(AND(F1292="",G1292=""),"✗ 没填金额",IF(AND(N(F1292)&lt;&gt;0,N(G1292)&lt;&gt;0),"✗ 收入、支出只能填一边",IF(NOT(ISNUMBER(B1292)),"✗ 日期不是真日期（要像 2026/9/25 这样填）",IF(OR(B1292&lt;年初日,B1292&gt;年末日),"✗ 日期不在本会计年度",IF(C1292="","✗ 没选账户",IF(COUNTIF(基础资料!$W$5:$W$24,C1292)=0,"✗ 账户不在基础资料里",IF(O1292="","✗ 没选收支项目",IF(P1292="未知","✗ 收支项目不在基础资料里",IF(AND(P1292="应收",J1292=""),"✗ 这笔要选客户",IF(AND(P1292="应收",COUNTIF(总览汇总!$B$5:$B$304,J1292)=0),"✗ 客户不在总览汇总名单里",IF(AND(P1292="应付",K1292=""),"✗ 这笔要选供应商",IF(AND(P1292="应付",COUNTIF(基础资料!$Q$5:$Q$54,K1292)=0),"✗ 供应商不在基础资料里",IF(AND(P1292="费用",L1292=""),"✗ 费用支出要选费用项目",IF(AND(L1292&lt;&gt;"",COUNTIF(基础资料!$AI$5:$AI$54,L1292)=0),"✗ 费用项目不在基础资料里",IF(AND(IFERROR(INDEX(基础资料!$AD$5:$AD$34,MATCH(O1292,基础资料!$AC$5:$AC$34,0)),"")="收",N(G1292)&lt;&gt;0),"✗ 这类是收款，金额填到收入列",IF(AND(IFERROR(INDEX(基础资料!$AD$5:$AD$34,MATCH(O1292,基础资料!$AC$5:$AC$34,0)),"")="支",N(F1292)&lt;&gt;0),"✗ 这类是付款，金额填到支出列",IF(N(H1292)&lt;0,"⚠ 账户余额成负数了，核对一下","√"))))))))))))))))))</f>
      </c>
      <c r="O1292" s="78">
        <f>IF(D1292&lt;&gt;"",D1292,IF(AND(F1292="",G1292=""),"",IF(J1292&lt;&gt;"",IF(N(F1292)&gt;0,"客户回款","客户退款"),IF(K1292&lt;&gt;"",IF(N(G1292)&gt;0,"供应商付款","供应商退款"),IF(L1292&lt;&gt;"","费用支出","")))))</f>
      </c>
      <c r="P1292" s="78">
        <f>IF(O1292="","",IFERROR(INDEX(基础资料!$AE$5:$AE$34,MATCH(O1292,基础资料!$AC$5:$AC$34,0)),"未知"))</f>
      </c>
      <c r="Q1292" s="78">
        <f>IF(P1292="应收",COUNTIF(P$7:P1292,"应收"),"")</f>
      </c>
      <c r="R1292" s="78">
        <f>IF(P1292="应付",COUNTIF(P$7:P1292,"应付"),"")</f>
      </c>
      <c r="S1292" s="78">
        <f>N(F1292)-N(G1292)</f>
        <v>0</v>
      </c>
    </row>
    <row r="1293">
      <c r="A1293" s="109">
        <f>IF(AND(F1293="",G1293=""),"",ROW()-6)</f>
      </c>
      <c r="B1293" s="140" t="n"/>
      <c r="C1293" s="141" t="n"/>
      <c r="D1293" s="141" t="n"/>
      <c r="E1293" s="142" t="n"/>
      <c r="F1293" s="143" t="n"/>
      <c r="G1293" s="144" t="n"/>
      <c r="H1293" s="145">
        <f>IF(OR(C1293="",AND(F1293="",G1293="")),"",SUMIF(基础资料!$W$5:$W$24,C1293,基础资料!$X$5:$X$24)+SUMIF(C$7:C1293,C1293,F$7:F1293)-SUMIF(C$7:C1293,C1293,G$7:G1293))</f>
      </c>
      <c r="I1293" s="145">
        <f>IF(AND(F1293="",G1293=""),"",SUM(基础资料!$X$5:$X$24)+SUM(F$7:F1293)-SUM(G$7:G1293))</f>
      </c>
      <c r="J1293" s="141" t="n"/>
      <c r="K1293" s="141" t="n"/>
      <c r="L1293" s="141" t="n"/>
      <c r="M1293" s="142" t="n"/>
      <c r="N1293" s="146">
        <f>IF(AND(AND(F1293="",G1293=""),B1293="",C1293="",D1293="",J1293="",K1293="",L1293=""),"",IF(AND(F1293="",G1293=""),"✗ 没填金额",IF(AND(N(F1293)&lt;&gt;0,N(G1293)&lt;&gt;0),"✗ 收入、支出只能填一边",IF(NOT(ISNUMBER(B1293)),"✗ 日期不是真日期（要像 2026/9/25 这样填）",IF(OR(B1293&lt;年初日,B1293&gt;年末日),"✗ 日期不在本会计年度",IF(C1293="","✗ 没选账户",IF(COUNTIF(基础资料!$W$5:$W$24,C1293)=0,"✗ 账户不在基础资料里",IF(O1293="","✗ 没选收支项目",IF(P1293="未知","✗ 收支项目不在基础资料里",IF(AND(P1293="应收",J1293=""),"✗ 这笔要选客户",IF(AND(P1293="应收",COUNTIF(总览汇总!$B$5:$B$304,J1293)=0),"✗ 客户不在总览汇总名单里",IF(AND(P1293="应付",K1293=""),"✗ 这笔要选供应商",IF(AND(P1293="应付",COUNTIF(基础资料!$Q$5:$Q$54,K1293)=0),"✗ 供应商不在基础资料里",IF(AND(P1293="费用",L1293=""),"✗ 费用支出要选费用项目",IF(AND(L1293&lt;&gt;"",COUNTIF(基础资料!$AI$5:$AI$54,L1293)=0),"✗ 费用项目不在基础资料里",IF(AND(IFERROR(INDEX(基础资料!$AD$5:$AD$34,MATCH(O1293,基础资料!$AC$5:$AC$34,0)),"")="收",N(G1293)&lt;&gt;0),"✗ 这类是收款，金额填到收入列",IF(AND(IFERROR(INDEX(基础资料!$AD$5:$AD$34,MATCH(O1293,基础资料!$AC$5:$AC$34,0)),"")="支",N(F1293)&lt;&gt;0),"✗ 这类是付款，金额填到支出列",IF(N(H1293)&lt;0,"⚠ 账户余额成负数了，核对一下","√"))))))))))))))))))</f>
      </c>
      <c r="O1293" s="78">
        <f>IF(D1293&lt;&gt;"",D1293,IF(AND(F1293="",G1293=""),"",IF(J1293&lt;&gt;"",IF(N(F1293)&gt;0,"客户回款","客户退款"),IF(K1293&lt;&gt;"",IF(N(G1293)&gt;0,"供应商付款","供应商退款"),IF(L1293&lt;&gt;"","费用支出","")))))</f>
      </c>
      <c r="P1293" s="78">
        <f>IF(O1293="","",IFERROR(INDEX(基础资料!$AE$5:$AE$34,MATCH(O1293,基础资料!$AC$5:$AC$34,0)),"未知"))</f>
      </c>
      <c r="Q1293" s="78">
        <f>IF(P1293="应收",COUNTIF(P$7:P1293,"应收"),"")</f>
      </c>
      <c r="R1293" s="78">
        <f>IF(P1293="应付",COUNTIF(P$7:P1293,"应付"),"")</f>
      </c>
      <c r="S1293" s="78">
        <f>N(F1293)-N(G1293)</f>
        <v>0</v>
      </c>
    </row>
    <row r="1294">
      <c r="A1294" s="109">
        <f>IF(AND(F1294="",G1294=""),"",ROW()-6)</f>
      </c>
      <c r="B1294" s="140" t="n"/>
      <c r="C1294" s="141" t="n"/>
      <c r="D1294" s="141" t="n"/>
      <c r="E1294" s="142" t="n"/>
      <c r="F1294" s="143" t="n"/>
      <c r="G1294" s="144" t="n"/>
      <c r="H1294" s="145">
        <f>IF(OR(C1294="",AND(F1294="",G1294="")),"",SUMIF(基础资料!$W$5:$W$24,C1294,基础资料!$X$5:$X$24)+SUMIF(C$7:C1294,C1294,F$7:F1294)-SUMIF(C$7:C1294,C1294,G$7:G1294))</f>
      </c>
      <c r="I1294" s="145">
        <f>IF(AND(F1294="",G1294=""),"",SUM(基础资料!$X$5:$X$24)+SUM(F$7:F1294)-SUM(G$7:G1294))</f>
      </c>
      <c r="J1294" s="141" t="n"/>
      <c r="K1294" s="141" t="n"/>
      <c r="L1294" s="141" t="n"/>
      <c r="M1294" s="142" t="n"/>
      <c r="N1294" s="146">
        <f>IF(AND(AND(F1294="",G1294=""),B1294="",C1294="",D1294="",J1294="",K1294="",L1294=""),"",IF(AND(F1294="",G1294=""),"✗ 没填金额",IF(AND(N(F1294)&lt;&gt;0,N(G1294)&lt;&gt;0),"✗ 收入、支出只能填一边",IF(NOT(ISNUMBER(B1294)),"✗ 日期不是真日期（要像 2026/9/25 这样填）",IF(OR(B1294&lt;年初日,B1294&gt;年末日),"✗ 日期不在本会计年度",IF(C1294="","✗ 没选账户",IF(COUNTIF(基础资料!$W$5:$W$24,C1294)=0,"✗ 账户不在基础资料里",IF(O1294="","✗ 没选收支项目",IF(P1294="未知","✗ 收支项目不在基础资料里",IF(AND(P1294="应收",J1294=""),"✗ 这笔要选客户",IF(AND(P1294="应收",COUNTIF(总览汇总!$B$5:$B$304,J1294)=0),"✗ 客户不在总览汇总名单里",IF(AND(P1294="应付",K1294=""),"✗ 这笔要选供应商",IF(AND(P1294="应付",COUNTIF(基础资料!$Q$5:$Q$54,K1294)=0),"✗ 供应商不在基础资料里",IF(AND(P1294="费用",L1294=""),"✗ 费用支出要选费用项目",IF(AND(L1294&lt;&gt;"",COUNTIF(基础资料!$AI$5:$AI$54,L1294)=0),"✗ 费用项目不在基础资料里",IF(AND(IFERROR(INDEX(基础资料!$AD$5:$AD$34,MATCH(O1294,基础资料!$AC$5:$AC$34,0)),"")="收",N(G1294)&lt;&gt;0),"✗ 这类是收款，金额填到收入列",IF(AND(IFERROR(INDEX(基础资料!$AD$5:$AD$34,MATCH(O1294,基础资料!$AC$5:$AC$34,0)),"")="支",N(F1294)&lt;&gt;0),"✗ 这类是付款，金额填到支出列",IF(N(H1294)&lt;0,"⚠ 账户余额成负数了，核对一下","√"))))))))))))))))))</f>
      </c>
      <c r="O1294" s="78">
        <f>IF(D1294&lt;&gt;"",D1294,IF(AND(F1294="",G1294=""),"",IF(J1294&lt;&gt;"",IF(N(F1294)&gt;0,"客户回款","客户退款"),IF(K1294&lt;&gt;"",IF(N(G1294)&gt;0,"供应商付款","供应商退款"),IF(L1294&lt;&gt;"","费用支出","")))))</f>
      </c>
      <c r="P1294" s="78">
        <f>IF(O1294="","",IFERROR(INDEX(基础资料!$AE$5:$AE$34,MATCH(O1294,基础资料!$AC$5:$AC$34,0)),"未知"))</f>
      </c>
      <c r="Q1294" s="78">
        <f>IF(P1294="应收",COUNTIF(P$7:P1294,"应收"),"")</f>
      </c>
      <c r="R1294" s="78">
        <f>IF(P1294="应付",COUNTIF(P$7:P1294,"应付"),"")</f>
      </c>
      <c r="S1294" s="78">
        <f>N(F1294)-N(G1294)</f>
        <v>0</v>
      </c>
    </row>
    <row r="1295">
      <c r="A1295" s="109">
        <f>IF(AND(F1295="",G1295=""),"",ROW()-6)</f>
      </c>
      <c r="B1295" s="140" t="n"/>
      <c r="C1295" s="141" t="n"/>
      <c r="D1295" s="141" t="n"/>
      <c r="E1295" s="142" t="n"/>
      <c r="F1295" s="143" t="n"/>
      <c r="G1295" s="144" t="n"/>
      <c r="H1295" s="145">
        <f>IF(OR(C1295="",AND(F1295="",G1295="")),"",SUMIF(基础资料!$W$5:$W$24,C1295,基础资料!$X$5:$X$24)+SUMIF(C$7:C1295,C1295,F$7:F1295)-SUMIF(C$7:C1295,C1295,G$7:G1295))</f>
      </c>
      <c r="I1295" s="145">
        <f>IF(AND(F1295="",G1295=""),"",SUM(基础资料!$X$5:$X$24)+SUM(F$7:F1295)-SUM(G$7:G1295))</f>
      </c>
      <c r="J1295" s="141" t="n"/>
      <c r="K1295" s="141" t="n"/>
      <c r="L1295" s="141" t="n"/>
      <c r="M1295" s="142" t="n"/>
      <c r="N1295" s="146">
        <f>IF(AND(AND(F1295="",G1295=""),B1295="",C1295="",D1295="",J1295="",K1295="",L1295=""),"",IF(AND(F1295="",G1295=""),"✗ 没填金额",IF(AND(N(F1295)&lt;&gt;0,N(G1295)&lt;&gt;0),"✗ 收入、支出只能填一边",IF(NOT(ISNUMBER(B1295)),"✗ 日期不是真日期（要像 2026/9/25 这样填）",IF(OR(B1295&lt;年初日,B1295&gt;年末日),"✗ 日期不在本会计年度",IF(C1295="","✗ 没选账户",IF(COUNTIF(基础资料!$W$5:$W$24,C1295)=0,"✗ 账户不在基础资料里",IF(O1295="","✗ 没选收支项目",IF(P1295="未知","✗ 收支项目不在基础资料里",IF(AND(P1295="应收",J1295=""),"✗ 这笔要选客户",IF(AND(P1295="应收",COUNTIF(总览汇总!$B$5:$B$304,J1295)=0),"✗ 客户不在总览汇总名单里",IF(AND(P1295="应付",K1295=""),"✗ 这笔要选供应商",IF(AND(P1295="应付",COUNTIF(基础资料!$Q$5:$Q$54,K1295)=0),"✗ 供应商不在基础资料里",IF(AND(P1295="费用",L1295=""),"✗ 费用支出要选费用项目",IF(AND(L1295&lt;&gt;"",COUNTIF(基础资料!$AI$5:$AI$54,L1295)=0),"✗ 费用项目不在基础资料里",IF(AND(IFERROR(INDEX(基础资料!$AD$5:$AD$34,MATCH(O1295,基础资料!$AC$5:$AC$34,0)),"")="收",N(G1295)&lt;&gt;0),"✗ 这类是收款，金额填到收入列",IF(AND(IFERROR(INDEX(基础资料!$AD$5:$AD$34,MATCH(O1295,基础资料!$AC$5:$AC$34,0)),"")="支",N(F1295)&lt;&gt;0),"✗ 这类是付款，金额填到支出列",IF(N(H1295)&lt;0,"⚠ 账户余额成负数了，核对一下","√"))))))))))))))))))</f>
      </c>
      <c r="O1295" s="78">
        <f>IF(D1295&lt;&gt;"",D1295,IF(AND(F1295="",G1295=""),"",IF(J1295&lt;&gt;"",IF(N(F1295)&gt;0,"客户回款","客户退款"),IF(K1295&lt;&gt;"",IF(N(G1295)&gt;0,"供应商付款","供应商退款"),IF(L1295&lt;&gt;"","费用支出","")))))</f>
      </c>
      <c r="P1295" s="78">
        <f>IF(O1295="","",IFERROR(INDEX(基础资料!$AE$5:$AE$34,MATCH(O1295,基础资料!$AC$5:$AC$34,0)),"未知"))</f>
      </c>
      <c r="Q1295" s="78">
        <f>IF(P1295="应收",COUNTIF(P$7:P1295,"应收"),"")</f>
      </c>
      <c r="R1295" s="78">
        <f>IF(P1295="应付",COUNTIF(P$7:P1295,"应付"),"")</f>
      </c>
      <c r="S1295" s="78">
        <f>N(F1295)-N(G1295)</f>
        <v>0</v>
      </c>
    </row>
    <row r="1296">
      <c r="A1296" s="109">
        <f>IF(AND(F1296="",G1296=""),"",ROW()-6)</f>
      </c>
      <c r="B1296" s="140" t="n"/>
      <c r="C1296" s="141" t="n"/>
      <c r="D1296" s="141" t="n"/>
      <c r="E1296" s="142" t="n"/>
      <c r="F1296" s="143" t="n"/>
      <c r="G1296" s="144" t="n"/>
      <c r="H1296" s="145">
        <f>IF(OR(C1296="",AND(F1296="",G1296="")),"",SUMIF(基础资料!$W$5:$W$24,C1296,基础资料!$X$5:$X$24)+SUMIF(C$7:C1296,C1296,F$7:F1296)-SUMIF(C$7:C1296,C1296,G$7:G1296))</f>
      </c>
      <c r="I1296" s="145">
        <f>IF(AND(F1296="",G1296=""),"",SUM(基础资料!$X$5:$X$24)+SUM(F$7:F1296)-SUM(G$7:G1296))</f>
      </c>
      <c r="J1296" s="141" t="n"/>
      <c r="K1296" s="141" t="n"/>
      <c r="L1296" s="141" t="n"/>
      <c r="M1296" s="142" t="n"/>
      <c r="N1296" s="146">
        <f>IF(AND(AND(F1296="",G1296=""),B1296="",C1296="",D1296="",J1296="",K1296="",L1296=""),"",IF(AND(F1296="",G1296=""),"✗ 没填金额",IF(AND(N(F1296)&lt;&gt;0,N(G1296)&lt;&gt;0),"✗ 收入、支出只能填一边",IF(NOT(ISNUMBER(B1296)),"✗ 日期不是真日期（要像 2026/9/25 这样填）",IF(OR(B1296&lt;年初日,B1296&gt;年末日),"✗ 日期不在本会计年度",IF(C1296="","✗ 没选账户",IF(COUNTIF(基础资料!$W$5:$W$24,C1296)=0,"✗ 账户不在基础资料里",IF(O1296="","✗ 没选收支项目",IF(P1296="未知","✗ 收支项目不在基础资料里",IF(AND(P1296="应收",J1296=""),"✗ 这笔要选客户",IF(AND(P1296="应收",COUNTIF(总览汇总!$B$5:$B$304,J1296)=0),"✗ 客户不在总览汇总名单里",IF(AND(P1296="应付",K1296=""),"✗ 这笔要选供应商",IF(AND(P1296="应付",COUNTIF(基础资料!$Q$5:$Q$54,K1296)=0),"✗ 供应商不在基础资料里",IF(AND(P1296="费用",L1296=""),"✗ 费用支出要选费用项目",IF(AND(L1296&lt;&gt;"",COUNTIF(基础资料!$AI$5:$AI$54,L1296)=0),"✗ 费用项目不在基础资料里",IF(AND(IFERROR(INDEX(基础资料!$AD$5:$AD$34,MATCH(O1296,基础资料!$AC$5:$AC$34,0)),"")="收",N(G1296)&lt;&gt;0),"✗ 这类是收款，金额填到收入列",IF(AND(IFERROR(INDEX(基础资料!$AD$5:$AD$34,MATCH(O1296,基础资料!$AC$5:$AC$34,0)),"")="支",N(F1296)&lt;&gt;0),"✗ 这类是付款，金额填到支出列",IF(N(H1296)&lt;0,"⚠ 账户余额成负数了，核对一下","√"))))))))))))))))))</f>
      </c>
      <c r="O1296" s="78">
        <f>IF(D1296&lt;&gt;"",D1296,IF(AND(F1296="",G1296=""),"",IF(J1296&lt;&gt;"",IF(N(F1296)&gt;0,"客户回款","客户退款"),IF(K1296&lt;&gt;"",IF(N(G1296)&gt;0,"供应商付款","供应商退款"),IF(L1296&lt;&gt;"","费用支出","")))))</f>
      </c>
      <c r="P1296" s="78">
        <f>IF(O1296="","",IFERROR(INDEX(基础资料!$AE$5:$AE$34,MATCH(O1296,基础资料!$AC$5:$AC$34,0)),"未知"))</f>
      </c>
      <c r="Q1296" s="78">
        <f>IF(P1296="应收",COUNTIF(P$7:P1296,"应收"),"")</f>
      </c>
      <c r="R1296" s="78">
        <f>IF(P1296="应付",COUNTIF(P$7:P1296,"应付"),"")</f>
      </c>
      <c r="S1296" s="78">
        <f>N(F1296)-N(G1296)</f>
        <v>0</v>
      </c>
    </row>
    <row r="1297">
      <c r="A1297" s="109">
        <f>IF(AND(F1297="",G1297=""),"",ROW()-6)</f>
      </c>
      <c r="B1297" s="140" t="n"/>
      <c r="C1297" s="141" t="n"/>
      <c r="D1297" s="141" t="n"/>
      <c r="E1297" s="142" t="n"/>
      <c r="F1297" s="143" t="n"/>
      <c r="G1297" s="144" t="n"/>
      <c r="H1297" s="145">
        <f>IF(OR(C1297="",AND(F1297="",G1297="")),"",SUMIF(基础资料!$W$5:$W$24,C1297,基础资料!$X$5:$X$24)+SUMIF(C$7:C1297,C1297,F$7:F1297)-SUMIF(C$7:C1297,C1297,G$7:G1297))</f>
      </c>
      <c r="I1297" s="145">
        <f>IF(AND(F1297="",G1297=""),"",SUM(基础资料!$X$5:$X$24)+SUM(F$7:F1297)-SUM(G$7:G1297))</f>
      </c>
      <c r="J1297" s="141" t="n"/>
      <c r="K1297" s="141" t="n"/>
      <c r="L1297" s="141" t="n"/>
      <c r="M1297" s="142" t="n"/>
      <c r="N1297" s="146">
        <f>IF(AND(AND(F1297="",G1297=""),B1297="",C1297="",D1297="",J1297="",K1297="",L1297=""),"",IF(AND(F1297="",G1297=""),"✗ 没填金额",IF(AND(N(F1297)&lt;&gt;0,N(G1297)&lt;&gt;0),"✗ 收入、支出只能填一边",IF(NOT(ISNUMBER(B1297)),"✗ 日期不是真日期（要像 2026/9/25 这样填）",IF(OR(B1297&lt;年初日,B1297&gt;年末日),"✗ 日期不在本会计年度",IF(C1297="","✗ 没选账户",IF(COUNTIF(基础资料!$W$5:$W$24,C1297)=0,"✗ 账户不在基础资料里",IF(O1297="","✗ 没选收支项目",IF(P1297="未知","✗ 收支项目不在基础资料里",IF(AND(P1297="应收",J1297=""),"✗ 这笔要选客户",IF(AND(P1297="应收",COUNTIF(总览汇总!$B$5:$B$304,J1297)=0),"✗ 客户不在总览汇总名单里",IF(AND(P1297="应付",K1297=""),"✗ 这笔要选供应商",IF(AND(P1297="应付",COUNTIF(基础资料!$Q$5:$Q$54,K1297)=0),"✗ 供应商不在基础资料里",IF(AND(P1297="费用",L1297=""),"✗ 费用支出要选费用项目",IF(AND(L1297&lt;&gt;"",COUNTIF(基础资料!$AI$5:$AI$54,L1297)=0),"✗ 费用项目不在基础资料里",IF(AND(IFERROR(INDEX(基础资料!$AD$5:$AD$34,MATCH(O1297,基础资料!$AC$5:$AC$34,0)),"")="收",N(G1297)&lt;&gt;0),"✗ 这类是收款，金额填到收入列",IF(AND(IFERROR(INDEX(基础资料!$AD$5:$AD$34,MATCH(O1297,基础资料!$AC$5:$AC$34,0)),"")="支",N(F1297)&lt;&gt;0),"✗ 这类是付款，金额填到支出列",IF(N(H1297)&lt;0,"⚠ 账户余额成负数了，核对一下","√"))))))))))))))))))</f>
      </c>
      <c r="O1297" s="78">
        <f>IF(D1297&lt;&gt;"",D1297,IF(AND(F1297="",G1297=""),"",IF(J1297&lt;&gt;"",IF(N(F1297)&gt;0,"客户回款","客户退款"),IF(K1297&lt;&gt;"",IF(N(G1297)&gt;0,"供应商付款","供应商退款"),IF(L1297&lt;&gt;"","费用支出","")))))</f>
      </c>
      <c r="P1297" s="78">
        <f>IF(O1297="","",IFERROR(INDEX(基础资料!$AE$5:$AE$34,MATCH(O1297,基础资料!$AC$5:$AC$34,0)),"未知"))</f>
      </c>
      <c r="Q1297" s="78">
        <f>IF(P1297="应收",COUNTIF(P$7:P1297,"应收"),"")</f>
      </c>
      <c r="R1297" s="78">
        <f>IF(P1297="应付",COUNTIF(P$7:P1297,"应付"),"")</f>
      </c>
      <c r="S1297" s="78">
        <f>N(F1297)-N(G1297)</f>
        <v>0</v>
      </c>
    </row>
    <row r="1298">
      <c r="A1298" s="109">
        <f>IF(AND(F1298="",G1298=""),"",ROW()-6)</f>
      </c>
      <c r="B1298" s="140" t="n"/>
      <c r="C1298" s="141" t="n"/>
      <c r="D1298" s="141" t="n"/>
      <c r="E1298" s="142" t="n"/>
      <c r="F1298" s="143" t="n"/>
      <c r="G1298" s="144" t="n"/>
      <c r="H1298" s="145">
        <f>IF(OR(C1298="",AND(F1298="",G1298="")),"",SUMIF(基础资料!$W$5:$W$24,C1298,基础资料!$X$5:$X$24)+SUMIF(C$7:C1298,C1298,F$7:F1298)-SUMIF(C$7:C1298,C1298,G$7:G1298))</f>
      </c>
      <c r="I1298" s="145">
        <f>IF(AND(F1298="",G1298=""),"",SUM(基础资料!$X$5:$X$24)+SUM(F$7:F1298)-SUM(G$7:G1298))</f>
      </c>
      <c r="J1298" s="141" t="n"/>
      <c r="K1298" s="141" t="n"/>
      <c r="L1298" s="141" t="n"/>
      <c r="M1298" s="142" t="n"/>
      <c r="N1298" s="146">
        <f>IF(AND(AND(F1298="",G1298=""),B1298="",C1298="",D1298="",J1298="",K1298="",L1298=""),"",IF(AND(F1298="",G1298=""),"✗ 没填金额",IF(AND(N(F1298)&lt;&gt;0,N(G1298)&lt;&gt;0),"✗ 收入、支出只能填一边",IF(NOT(ISNUMBER(B1298)),"✗ 日期不是真日期（要像 2026/9/25 这样填）",IF(OR(B1298&lt;年初日,B1298&gt;年末日),"✗ 日期不在本会计年度",IF(C1298="","✗ 没选账户",IF(COUNTIF(基础资料!$W$5:$W$24,C1298)=0,"✗ 账户不在基础资料里",IF(O1298="","✗ 没选收支项目",IF(P1298="未知","✗ 收支项目不在基础资料里",IF(AND(P1298="应收",J1298=""),"✗ 这笔要选客户",IF(AND(P1298="应收",COUNTIF(总览汇总!$B$5:$B$304,J1298)=0),"✗ 客户不在总览汇总名单里",IF(AND(P1298="应付",K1298=""),"✗ 这笔要选供应商",IF(AND(P1298="应付",COUNTIF(基础资料!$Q$5:$Q$54,K1298)=0),"✗ 供应商不在基础资料里",IF(AND(P1298="费用",L1298=""),"✗ 费用支出要选费用项目",IF(AND(L1298&lt;&gt;"",COUNTIF(基础资料!$AI$5:$AI$54,L1298)=0),"✗ 费用项目不在基础资料里",IF(AND(IFERROR(INDEX(基础资料!$AD$5:$AD$34,MATCH(O1298,基础资料!$AC$5:$AC$34,0)),"")="收",N(G1298)&lt;&gt;0),"✗ 这类是收款，金额填到收入列",IF(AND(IFERROR(INDEX(基础资料!$AD$5:$AD$34,MATCH(O1298,基础资料!$AC$5:$AC$34,0)),"")="支",N(F1298)&lt;&gt;0),"✗ 这类是付款，金额填到支出列",IF(N(H1298)&lt;0,"⚠ 账户余额成负数了，核对一下","√"))))))))))))))))))</f>
      </c>
      <c r="O1298" s="78">
        <f>IF(D1298&lt;&gt;"",D1298,IF(AND(F1298="",G1298=""),"",IF(J1298&lt;&gt;"",IF(N(F1298)&gt;0,"客户回款","客户退款"),IF(K1298&lt;&gt;"",IF(N(G1298)&gt;0,"供应商付款","供应商退款"),IF(L1298&lt;&gt;"","费用支出","")))))</f>
      </c>
      <c r="P1298" s="78">
        <f>IF(O1298="","",IFERROR(INDEX(基础资料!$AE$5:$AE$34,MATCH(O1298,基础资料!$AC$5:$AC$34,0)),"未知"))</f>
      </c>
      <c r="Q1298" s="78">
        <f>IF(P1298="应收",COUNTIF(P$7:P1298,"应收"),"")</f>
      </c>
      <c r="R1298" s="78">
        <f>IF(P1298="应付",COUNTIF(P$7:P1298,"应付"),"")</f>
      </c>
      <c r="S1298" s="78">
        <f>N(F1298)-N(G1298)</f>
        <v>0</v>
      </c>
    </row>
    <row r="1299">
      <c r="A1299" s="109">
        <f>IF(AND(F1299="",G1299=""),"",ROW()-6)</f>
      </c>
      <c r="B1299" s="140" t="n"/>
      <c r="C1299" s="141" t="n"/>
      <c r="D1299" s="141" t="n"/>
      <c r="E1299" s="142" t="n"/>
      <c r="F1299" s="143" t="n"/>
      <c r="G1299" s="144" t="n"/>
      <c r="H1299" s="145">
        <f>IF(OR(C1299="",AND(F1299="",G1299="")),"",SUMIF(基础资料!$W$5:$W$24,C1299,基础资料!$X$5:$X$24)+SUMIF(C$7:C1299,C1299,F$7:F1299)-SUMIF(C$7:C1299,C1299,G$7:G1299))</f>
      </c>
      <c r="I1299" s="145">
        <f>IF(AND(F1299="",G1299=""),"",SUM(基础资料!$X$5:$X$24)+SUM(F$7:F1299)-SUM(G$7:G1299))</f>
      </c>
      <c r="J1299" s="141" t="n"/>
      <c r="K1299" s="141" t="n"/>
      <c r="L1299" s="141" t="n"/>
      <c r="M1299" s="142" t="n"/>
      <c r="N1299" s="146">
        <f>IF(AND(AND(F1299="",G1299=""),B1299="",C1299="",D1299="",J1299="",K1299="",L1299=""),"",IF(AND(F1299="",G1299=""),"✗ 没填金额",IF(AND(N(F1299)&lt;&gt;0,N(G1299)&lt;&gt;0),"✗ 收入、支出只能填一边",IF(NOT(ISNUMBER(B1299)),"✗ 日期不是真日期（要像 2026/9/25 这样填）",IF(OR(B1299&lt;年初日,B1299&gt;年末日),"✗ 日期不在本会计年度",IF(C1299="","✗ 没选账户",IF(COUNTIF(基础资料!$W$5:$W$24,C1299)=0,"✗ 账户不在基础资料里",IF(O1299="","✗ 没选收支项目",IF(P1299="未知","✗ 收支项目不在基础资料里",IF(AND(P1299="应收",J1299=""),"✗ 这笔要选客户",IF(AND(P1299="应收",COUNTIF(总览汇总!$B$5:$B$304,J1299)=0),"✗ 客户不在总览汇总名单里",IF(AND(P1299="应付",K1299=""),"✗ 这笔要选供应商",IF(AND(P1299="应付",COUNTIF(基础资料!$Q$5:$Q$54,K1299)=0),"✗ 供应商不在基础资料里",IF(AND(P1299="费用",L1299=""),"✗ 费用支出要选费用项目",IF(AND(L1299&lt;&gt;"",COUNTIF(基础资料!$AI$5:$AI$54,L1299)=0),"✗ 费用项目不在基础资料里",IF(AND(IFERROR(INDEX(基础资料!$AD$5:$AD$34,MATCH(O1299,基础资料!$AC$5:$AC$34,0)),"")="收",N(G1299)&lt;&gt;0),"✗ 这类是收款，金额填到收入列",IF(AND(IFERROR(INDEX(基础资料!$AD$5:$AD$34,MATCH(O1299,基础资料!$AC$5:$AC$34,0)),"")="支",N(F1299)&lt;&gt;0),"✗ 这类是付款，金额填到支出列",IF(N(H1299)&lt;0,"⚠ 账户余额成负数了，核对一下","√"))))))))))))))))))</f>
      </c>
      <c r="O1299" s="78">
        <f>IF(D1299&lt;&gt;"",D1299,IF(AND(F1299="",G1299=""),"",IF(J1299&lt;&gt;"",IF(N(F1299)&gt;0,"客户回款","客户退款"),IF(K1299&lt;&gt;"",IF(N(G1299)&gt;0,"供应商付款","供应商退款"),IF(L1299&lt;&gt;"","费用支出","")))))</f>
      </c>
      <c r="P1299" s="78">
        <f>IF(O1299="","",IFERROR(INDEX(基础资料!$AE$5:$AE$34,MATCH(O1299,基础资料!$AC$5:$AC$34,0)),"未知"))</f>
      </c>
      <c r="Q1299" s="78">
        <f>IF(P1299="应收",COUNTIF(P$7:P1299,"应收"),"")</f>
      </c>
      <c r="R1299" s="78">
        <f>IF(P1299="应付",COUNTIF(P$7:P1299,"应付"),"")</f>
      </c>
      <c r="S1299" s="78">
        <f>N(F1299)-N(G1299)</f>
        <v>0</v>
      </c>
    </row>
    <row r="1300">
      <c r="A1300" s="109">
        <f>IF(AND(F1300="",G1300=""),"",ROW()-6)</f>
      </c>
      <c r="B1300" s="140" t="n"/>
      <c r="C1300" s="141" t="n"/>
      <c r="D1300" s="141" t="n"/>
      <c r="E1300" s="142" t="n"/>
      <c r="F1300" s="143" t="n"/>
      <c r="G1300" s="144" t="n"/>
      <c r="H1300" s="145">
        <f>IF(OR(C1300="",AND(F1300="",G1300="")),"",SUMIF(基础资料!$W$5:$W$24,C1300,基础资料!$X$5:$X$24)+SUMIF(C$7:C1300,C1300,F$7:F1300)-SUMIF(C$7:C1300,C1300,G$7:G1300))</f>
      </c>
      <c r="I1300" s="145">
        <f>IF(AND(F1300="",G1300=""),"",SUM(基础资料!$X$5:$X$24)+SUM(F$7:F1300)-SUM(G$7:G1300))</f>
      </c>
      <c r="J1300" s="141" t="n"/>
      <c r="K1300" s="141" t="n"/>
      <c r="L1300" s="141" t="n"/>
      <c r="M1300" s="142" t="n"/>
      <c r="N1300" s="146">
        <f>IF(AND(AND(F1300="",G1300=""),B1300="",C1300="",D1300="",J1300="",K1300="",L1300=""),"",IF(AND(F1300="",G1300=""),"✗ 没填金额",IF(AND(N(F1300)&lt;&gt;0,N(G1300)&lt;&gt;0),"✗ 收入、支出只能填一边",IF(NOT(ISNUMBER(B1300)),"✗ 日期不是真日期（要像 2026/9/25 这样填）",IF(OR(B1300&lt;年初日,B1300&gt;年末日),"✗ 日期不在本会计年度",IF(C1300="","✗ 没选账户",IF(COUNTIF(基础资料!$W$5:$W$24,C1300)=0,"✗ 账户不在基础资料里",IF(O1300="","✗ 没选收支项目",IF(P1300="未知","✗ 收支项目不在基础资料里",IF(AND(P1300="应收",J1300=""),"✗ 这笔要选客户",IF(AND(P1300="应收",COUNTIF(总览汇总!$B$5:$B$304,J1300)=0),"✗ 客户不在总览汇总名单里",IF(AND(P1300="应付",K1300=""),"✗ 这笔要选供应商",IF(AND(P1300="应付",COUNTIF(基础资料!$Q$5:$Q$54,K1300)=0),"✗ 供应商不在基础资料里",IF(AND(P1300="费用",L1300=""),"✗ 费用支出要选费用项目",IF(AND(L1300&lt;&gt;"",COUNTIF(基础资料!$AI$5:$AI$54,L1300)=0),"✗ 费用项目不在基础资料里",IF(AND(IFERROR(INDEX(基础资料!$AD$5:$AD$34,MATCH(O1300,基础资料!$AC$5:$AC$34,0)),"")="收",N(G1300)&lt;&gt;0),"✗ 这类是收款，金额填到收入列",IF(AND(IFERROR(INDEX(基础资料!$AD$5:$AD$34,MATCH(O1300,基础资料!$AC$5:$AC$34,0)),"")="支",N(F1300)&lt;&gt;0),"✗ 这类是付款，金额填到支出列",IF(N(H1300)&lt;0,"⚠ 账户余额成负数了，核对一下","√"))))))))))))))))))</f>
      </c>
      <c r="O1300" s="78">
        <f>IF(D1300&lt;&gt;"",D1300,IF(AND(F1300="",G1300=""),"",IF(J1300&lt;&gt;"",IF(N(F1300)&gt;0,"客户回款","客户退款"),IF(K1300&lt;&gt;"",IF(N(G1300)&gt;0,"供应商付款","供应商退款"),IF(L1300&lt;&gt;"","费用支出","")))))</f>
      </c>
      <c r="P1300" s="78">
        <f>IF(O1300="","",IFERROR(INDEX(基础资料!$AE$5:$AE$34,MATCH(O1300,基础资料!$AC$5:$AC$34,0)),"未知"))</f>
      </c>
      <c r="Q1300" s="78">
        <f>IF(P1300="应收",COUNTIF(P$7:P1300,"应收"),"")</f>
      </c>
      <c r="R1300" s="78">
        <f>IF(P1300="应付",COUNTIF(P$7:P1300,"应付"),"")</f>
      </c>
      <c r="S1300" s="78">
        <f>N(F1300)-N(G1300)</f>
        <v>0</v>
      </c>
    </row>
    <row r="1301">
      <c r="A1301" s="109">
        <f>IF(AND(F1301="",G1301=""),"",ROW()-6)</f>
      </c>
      <c r="B1301" s="140" t="n"/>
      <c r="C1301" s="141" t="n"/>
      <c r="D1301" s="141" t="n"/>
      <c r="E1301" s="142" t="n"/>
      <c r="F1301" s="143" t="n"/>
      <c r="G1301" s="144" t="n"/>
      <c r="H1301" s="145">
        <f>IF(OR(C1301="",AND(F1301="",G1301="")),"",SUMIF(基础资料!$W$5:$W$24,C1301,基础资料!$X$5:$X$24)+SUMIF(C$7:C1301,C1301,F$7:F1301)-SUMIF(C$7:C1301,C1301,G$7:G1301))</f>
      </c>
      <c r="I1301" s="145">
        <f>IF(AND(F1301="",G1301=""),"",SUM(基础资料!$X$5:$X$24)+SUM(F$7:F1301)-SUM(G$7:G1301))</f>
      </c>
      <c r="J1301" s="141" t="n"/>
      <c r="K1301" s="141" t="n"/>
      <c r="L1301" s="141" t="n"/>
      <c r="M1301" s="142" t="n"/>
      <c r="N1301" s="146">
        <f>IF(AND(AND(F1301="",G1301=""),B1301="",C1301="",D1301="",J1301="",K1301="",L1301=""),"",IF(AND(F1301="",G1301=""),"✗ 没填金额",IF(AND(N(F1301)&lt;&gt;0,N(G1301)&lt;&gt;0),"✗ 收入、支出只能填一边",IF(NOT(ISNUMBER(B1301)),"✗ 日期不是真日期（要像 2026/9/25 这样填）",IF(OR(B1301&lt;年初日,B1301&gt;年末日),"✗ 日期不在本会计年度",IF(C1301="","✗ 没选账户",IF(COUNTIF(基础资料!$W$5:$W$24,C1301)=0,"✗ 账户不在基础资料里",IF(O1301="","✗ 没选收支项目",IF(P1301="未知","✗ 收支项目不在基础资料里",IF(AND(P1301="应收",J1301=""),"✗ 这笔要选客户",IF(AND(P1301="应收",COUNTIF(总览汇总!$B$5:$B$304,J1301)=0),"✗ 客户不在总览汇总名单里",IF(AND(P1301="应付",K1301=""),"✗ 这笔要选供应商",IF(AND(P1301="应付",COUNTIF(基础资料!$Q$5:$Q$54,K1301)=0),"✗ 供应商不在基础资料里",IF(AND(P1301="费用",L1301=""),"✗ 费用支出要选费用项目",IF(AND(L1301&lt;&gt;"",COUNTIF(基础资料!$AI$5:$AI$54,L1301)=0),"✗ 费用项目不在基础资料里",IF(AND(IFERROR(INDEX(基础资料!$AD$5:$AD$34,MATCH(O1301,基础资料!$AC$5:$AC$34,0)),"")="收",N(G1301)&lt;&gt;0),"✗ 这类是收款，金额填到收入列",IF(AND(IFERROR(INDEX(基础资料!$AD$5:$AD$34,MATCH(O1301,基础资料!$AC$5:$AC$34,0)),"")="支",N(F1301)&lt;&gt;0),"✗ 这类是付款，金额填到支出列",IF(N(H1301)&lt;0,"⚠ 账户余额成负数了，核对一下","√"))))))))))))))))))</f>
      </c>
      <c r="O1301" s="78">
        <f>IF(D1301&lt;&gt;"",D1301,IF(AND(F1301="",G1301=""),"",IF(J1301&lt;&gt;"",IF(N(F1301)&gt;0,"客户回款","客户退款"),IF(K1301&lt;&gt;"",IF(N(G1301)&gt;0,"供应商付款","供应商退款"),IF(L1301&lt;&gt;"","费用支出","")))))</f>
      </c>
      <c r="P1301" s="78">
        <f>IF(O1301="","",IFERROR(INDEX(基础资料!$AE$5:$AE$34,MATCH(O1301,基础资料!$AC$5:$AC$34,0)),"未知"))</f>
      </c>
      <c r="Q1301" s="78">
        <f>IF(P1301="应收",COUNTIF(P$7:P1301,"应收"),"")</f>
      </c>
      <c r="R1301" s="78">
        <f>IF(P1301="应付",COUNTIF(P$7:P1301,"应付"),"")</f>
      </c>
      <c r="S1301" s="78">
        <f>N(F1301)-N(G1301)</f>
        <v>0</v>
      </c>
    </row>
    <row r="1302">
      <c r="A1302" s="109">
        <f>IF(AND(F1302="",G1302=""),"",ROW()-6)</f>
      </c>
      <c r="B1302" s="140" t="n"/>
      <c r="C1302" s="141" t="n"/>
      <c r="D1302" s="141" t="n"/>
      <c r="E1302" s="142" t="n"/>
      <c r="F1302" s="143" t="n"/>
      <c r="G1302" s="144" t="n"/>
      <c r="H1302" s="145">
        <f>IF(OR(C1302="",AND(F1302="",G1302="")),"",SUMIF(基础资料!$W$5:$W$24,C1302,基础资料!$X$5:$X$24)+SUMIF(C$7:C1302,C1302,F$7:F1302)-SUMIF(C$7:C1302,C1302,G$7:G1302))</f>
      </c>
      <c r="I1302" s="145">
        <f>IF(AND(F1302="",G1302=""),"",SUM(基础资料!$X$5:$X$24)+SUM(F$7:F1302)-SUM(G$7:G1302))</f>
      </c>
      <c r="J1302" s="141" t="n"/>
      <c r="K1302" s="141" t="n"/>
      <c r="L1302" s="141" t="n"/>
      <c r="M1302" s="142" t="n"/>
      <c r="N1302" s="146">
        <f>IF(AND(AND(F1302="",G1302=""),B1302="",C1302="",D1302="",J1302="",K1302="",L1302=""),"",IF(AND(F1302="",G1302=""),"✗ 没填金额",IF(AND(N(F1302)&lt;&gt;0,N(G1302)&lt;&gt;0),"✗ 收入、支出只能填一边",IF(NOT(ISNUMBER(B1302)),"✗ 日期不是真日期（要像 2026/9/25 这样填）",IF(OR(B1302&lt;年初日,B1302&gt;年末日),"✗ 日期不在本会计年度",IF(C1302="","✗ 没选账户",IF(COUNTIF(基础资料!$W$5:$W$24,C1302)=0,"✗ 账户不在基础资料里",IF(O1302="","✗ 没选收支项目",IF(P1302="未知","✗ 收支项目不在基础资料里",IF(AND(P1302="应收",J1302=""),"✗ 这笔要选客户",IF(AND(P1302="应收",COUNTIF(总览汇总!$B$5:$B$304,J1302)=0),"✗ 客户不在总览汇总名单里",IF(AND(P1302="应付",K1302=""),"✗ 这笔要选供应商",IF(AND(P1302="应付",COUNTIF(基础资料!$Q$5:$Q$54,K1302)=0),"✗ 供应商不在基础资料里",IF(AND(P1302="费用",L1302=""),"✗ 费用支出要选费用项目",IF(AND(L1302&lt;&gt;"",COUNTIF(基础资料!$AI$5:$AI$54,L1302)=0),"✗ 费用项目不在基础资料里",IF(AND(IFERROR(INDEX(基础资料!$AD$5:$AD$34,MATCH(O1302,基础资料!$AC$5:$AC$34,0)),"")="收",N(G1302)&lt;&gt;0),"✗ 这类是收款，金额填到收入列",IF(AND(IFERROR(INDEX(基础资料!$AD$5:$AD$34,MATCH(O1302,基础资料!$AC$5:$AC$34,0)),"")="支",N(F1302)&lt;&gt;0),"✗ 这类是付款，金额填到支出列",IF(N(H1302)&lt;0,"⚠ 账户余额成负数了，核对一下","√"))))))))))))))))))</f>
      </c>
      <c r="O1302" s="78">
        <f>IF(D1302&lt;&gt;"",D1302,IF(AND(F1302="",G1302=""),"",IF(J1302&lt;&gt;"",IF(N(F1302)&gt;0,"客户回款","客户退款"),IF(K1302&lt;&gt;"",IF(N(G1302)&gt;0,"供应商付款","供应商退款"),IF(L1302&lt;&gt;"","费用支出","")))))</f>
      </c>
      <c r="P1302" s="78">
        <f>IF(O1302="","",IFERROR(INDEX(基础资料!$AE$5:$AE$34,MATCH(O1302,基础资料!$AC$5:$AC$34,0)),"未知"))</f>
      </c>
      <c r="Q1302" s="78">
        <f>IF(P1302="应收",COUNTIF(P$7:P1302,"应收"),"")</f>
      </c>
      <c r="R1302" s="78">
        <f>IF(P1302="应付",COUNTIF(P$7:P1302,"应付"),"")</f>
      </c>
      <c r="S1302" s="78">
        <f>N(F1302)-N(G1302)</f>
        <v>0</v>
      </c>
    </row>
    <row r="1303">
      <c r="A1303" s="109">
        <f>IF(AND(F1303="",G1303=""),"",ROW()-6)</f>
      </c>
      <c r="B1303" s="140" t="n"/>
      <c r="C1303" s="141" t="n"/>
      <c r="D1303" s="141" t="n"/>
      <c r="E1303" s="142" t="n"/>
      <c r="F1303" s="143" t="n"/>
      <c r="G1303" s="144" t="n"/>
      <c r="H1303" s="145">
        <f>IF(OR(C1303="",AND(F1303="",G1303="")),"",SUMIF(基础资料!$W$5:$W$24,C1303,基础资料!$X$5:$X$24)+SUMIF(C$7:C1303,C1303,F$7:F1303)-SUMIF(C$7:C1303,C1303,G$7:G1303))</f>
      </c>
      <c r="I1303" s="145">
        <f>IF(AND(F1303="",G1303=""),"",SUM(基础资料!$X$5:$X$24)+SUM(F$7:F1303)-SUM(G$7:G1303))</f>
      </c>
      <c r="J1303" s="141" t="n"/>
      <c r="K1303" s="141" t="n"/>
      <c r="L1303" s="141" t="n"/>
      <c r="M1303" s="142" t="n"/>
      <c r="N1303" s="146">
        <f>IF(AND(AND(F1303="",G1303=""),B1303="",C1303="",D1303="",J1303="",K1303="",L1303=""),"",IF(AND(F1303="",G1303=""),"✗ 没填金额",IF(AND(N(F1303)&lt;&gt;0,N(G1303)&lt;&gt;0),"✗ 收入、支出只能填一边",IF(NOT(ISNUMBER(B1303)),"✗ 日期不是真日期（要像 2026/9/25 这样填）",IF(OR(B1303&lt;年初日,B1303&gt;年末日),"✗ 日期不在本会计年度",IF(C1303="","✗ 没选账户",IF(COUNTIF(基础资料!$W$5:$W$24,C1303)=0,"✗ 账户不在基础资料里",IF(O1303="","✗ 没选收支项目",IF(P1303="未知","✗ 收支项目不在基础资料里",IF(AND(P1303="应收",J1303=""),"✗ 这笔要选客户",IF(AND(P1303="应收",COUNTIF(总览汇总!$B$5:$B$304,J1303)=0),"✗ 客户不在总览汇总名单里",IF(AND(P1303="应付",K1303=""),"✗ 这笔要选供应商",IF(AND(P1303="应付",COUNTIF(基础资料!$Q$5:$Q$54,K1303)=0),"✗ 供应商不在基础资料里",IF(AND(P1303="费用",L1303=""),"✗ 费用支出要选费用项目",IF(AND(L1303&lt;&gt;"",COUNTIF(基础资料!$AI$5:$AI$54,L1303)=0),"✗ 费用项目不在基础资料里",IF(AND(IFERROR(INDEX(基础资料!$AD$5:$AD$34,MATCH(O1303,基础资料!$AC$5:$AC$34,0)),"")="收",N(G1303)&lt;&gt;0),"✗ 这类是收款，金额填到收入列",IF(AND(IFERROR(INDEX(基础资料!$AD$5:$AD$34,MATCH(O1303,基础资料!$AC$5:$AC$34,0)),"")="支",N(F1303)&lt;&gt;0),"✗ 这类是付款，金额填到支出列",IF(N(H1303)&lt;0,"⚠ 账户余额成负数了，核对一下","√"))))))))))))))))))</f>
      </c>
      <c r="O1303" s="78">
        <f>IF(D1303&lt;&gt;"",D1303,IF(AND(F1303="",G1303=""),"",IF(J1303&lt;&gt;"",IF(N(F1303)&gt;0,"客户回款","客户退款"),IF(K1303&lt;&gt;"",IF(N(G1303)&gt;0,"供应商付款","供应商退款"),IF(L1303&lt;&gt;"","费用支出","")))))</f>
      </c>
      <c r="P1303" s="78">
        <f>IF(O1303="","",IFERROR(INDEX(基础资料!$AE$5:$AE$34,MATCH(O1303,基础资料!$AC$5:$AC$34,0)),"未知"))</f>
      </c>
      <c r="Q1303" s="78">
        <f>IF(P1303="应收",COUNTIF(P$7:P1303,"应收"),"")</f>
      </c>
      <c r="R1303" s="78">
        <f>IF(P1303="应付",COUNTIF(P$7:P1303,"应付"),"")</f>
      </c>
      <c r="S1303" s="78">
        <f>N(F1303)-N(G1303)</f>
        <v>0</v>
      </c>
    </row>
    <row r="1304">
      <c r="A1304" s="109">
        <f>IF(AND(F1304="",G1304=""),"",ROW()-6)</f>
      </c>
      <c r="B1304" s="140" t="n"/>
      <c r="C1304" s="141" t="n"/>
      <c r="D1304" s="141" t="n"/>
      <c r="E1304" s="142" t="n"/>
      <c r="F1304" s="143" t="n"/>
      <c r="G1304" s="144" t="n"/>
      <c r="H1304" s="145">
        <f>IF(OR(C1304="",AND(F1304="",G1304="")),"",SUMIF(基础资料!$W$5:$W$24,C1304,基础资料!$X$5:$X$24)+SUMIF(C$7:C1304,C1304,F$7:F1304)-SUMIF(C$7:C1304,C1304,G$7:G1304))</f>
      </c>
      <c r="I1304" s="145">
        <f>IF(AND(F1304="",G1304=""),"",SUM(基础资料!$X$5:$X$24)+SUM(F$7:F1304)-SUM(G$7:G1304))</f>
      </c>
      <c r="J1304" s="141" t="n"/>
      <c r="K1304" s="141" t="n"/>
      <c r="L1304" s="141" t="n"/>
      <c r="M1304" s="142" t="n"/>
      <c r="N1304" s="146">
        <f>IF(AND(AND(F1304="",G1304=""),B1304="",C1304="",D1304="",J1304="",K1304="",L1304=""),"",IF(AND(F1304="",G1304=""),"✗ 没填金额",IF(AND(N(F1304)&lt;&gt;0,N(G1304)&lt;&gt;0),"✗ 收入、支出只能填一边",IF(NOT(ISNUMBER(B1304)),"✗ 日期不是真日期（要像 2026/9/25 这样填）",IF(OR(B1304&lt;年初日,B1304&gt;年末日),"✗ 日期不在本会计年度",IF(C1304="","✗ 没选账户",IF(COUNTIF(基础资料!$W$5:$W$24,C1304)=0,"✗ 账户不在基础资料里",IF(O1304="","✗ 没选收支项目",IF(P1304="未知","✗ 收支项目不在基础资料里",IF(AND(P1304="应收",J1304=""),"✗ 这笔要选客户",IF(AND(P1304="应收",COUNTIF(总览汇总!$B$5:$B$304,J1304)=0),"✗ 客户不在总览汇总名单里",IF(AND(P1304="应付",K1304=""),"✗ 这笔要选供应商",IF(AND(P1304="应付",COUNTIF(基础资料!$Q$5:$Q$54,K1304)=0),"✗ 供应商不在基础资料里",IF(AND(P1304="费用",L1304=""),"✗ 费用支出要选费用项目",IF(AND(L1304&lt;&gt;"",COUNTIF(基础资料!$AI$5:$AI$54,L1304)=0),"✗ 费用项目不在基础资料里",IF(AND(IFERROR(INDEX(基础资料!$AD$5:$AD$34,MATCH(O1304,基础资料!$AC$5:$AC$34,0)),"")="收",N(G1304)&lt;&gt;0),"✗ 这类是收款，金额填到收入列",IF(AND(IFERROR(INDEX(基础资料!$AD$5:$AD$34,MATCH(O1304,基础资料!$AC$5:$AC$34,0)),"")="支",N(F1304)&lt;&gt;0),"✗ 这类是付款，金额填到支出列",IF(N(H1304)&lt;0,"⚠ 账户余额成负数了，核对一下","√"))))))))))))))))))</f>
      </c>
      <c r="O1304" s="78">
        <f>IF(D1304&lt;&gt;"",D1304,IF(AND(F1304="",G1304=""),"",IF(J1304&lt;&gt;"",IF(N(F1304)&gt;0,"客户回款","客户退款"),IF(K1304&lt;&gt;"",IF(N(G1304)&gt;0,"供应商付款","供应商退款"),IF(L1304&lt;&gt;"","费用支出","")))))</f>
      </c>
      <c r="P1304" s="78">
        <f>IF(O1304="","",IFERROR(INDEX(基础资料!$AE$5:$AE$34,MATCH(O1304,基础资料!$AC$5:$AC$34,0)),"未知"))</f>
      </c>
      <c r="Q1304" s="78">
        <f>IF(P1304="应收",COUNTIF(P$7:P1304,"应收"),"")</f>
      </c>
      <c r="R1304" s="78">
        <f>IF(P1304="应付",COUNTIF(P$7:P1304,"应付"),"")</f>
      </c>
      <c r="S1304" s="78">
        <f>N(F1304)-N(G1304)</f>
        <v>0</v>
      </c>
    </row>
    <row r="1305">
      <c r="A1305" s="109">
        <f>IF(AND(F1305="",G1305=""),"",ROW()-6)</f>
      </c>
      <c r="B1305" s="140" t="n"/>
      <c r="C1305" s="141" t="n"/>
      <c r="D1305" s="141" t="n"/>
      <c r="E1305" s="142" t="n"/>
      <c r="F1305" s="143" t="n"/>
      <c r="G1305" s="144" t="n"/>
      <c r="H1305" s="145">
        <f>IF(OR(C1305="",AND(F1305="",G1305="")),"",SUMIF(基础资料!$W$5:$W$24,C1305,基础资料!$X$5:$X$24)+SUMIF(C$7:C1305,C1305,F$7:F1305)-SUMIF(C$7:C1305,C1305,G$7:G1305))</f>
      </c>
      <c r="I1305" s="145">
        <f>IF(AND(F1305="",G1305=""),"",SUM(基础资料!$X$5:$X$24)+SUM(F$7:F1305)-SUM(G$7:G1305))</f>
      </c>
      <c r="J1305" s="141" t="n"/>
      <c r="K1305" s="141" t="n"/>
      <c r="L1305" s="141" t="n"/>
      <c r="M1305" s="142" t="n"/>
      <c r="N1305" s="146">
        <f>IF(AND(AND(F1305="",G1305=""),B1305="",C1305="",D1305="",J1305="",K1305="",L1305=""),"",IF(AND(F1305="",G1305=""),"✗ 没填金额",IF(AND(N(F1305)&lt;&gt;0,N(G1305)&lt;&gt;0),"✗ 收入、支出只能填一边",IF(NOT(ISNUMBER(B1305)),"✗ 日期不是真日期（要像 2026/9/25 这样填）",IF(OR(B1305&lt;年初日,B1305&gt;年末日),"✗ 日期不在本会计年度",IF(C1305="","✗ 没选账户",IF(COUNTIF(基础资料!$W$5:$W$24,C1305)=0,"✗ 账户不在基础资料里",IF(O1305="","✗ 没选收支项目",IF(P1305="未知","✗ 收支项目不在基础资料里",IF(AND(P1305="应收",J1305=""),"✗ 这笔要选客户",IF(AND(P1305="应收",COUNTIF(总览汇总!$B$5:$B$304,J1305)=0),"✗ 客户不在总览汇总名单里",IF(AND(P1305="应付",K1305=""),"✗ 这笔要选供应商",IF(AND(P1305="应付",COUNTIF(基础资料!$Q$5:$Q$54,K1305)=0),"✗ 供应商不在基础资料里",IF(AND(P1305="费用",L1305=""),"✗ 费用支出要选费用项目",IF(AND(L1305&lt;&gt;"",COUNTIF(基础资料!$AI$5:$AI$54,L1305)=0),"✗ 费用项目不在基础资料里",IF(AND(IFERROR(INDEX(基础资料!$AD$5:$AD$34,MATCH(O1305,基础资料!$AC$5:$AC$34,0)),"")="收",N(G1305)&lt;&gt;0),"✗ 这类是收款，金额填到收入列",IF(AND(IFERROR(INDEX(基础资料!$AD$5:$AD$34,MATCH(O1305,基础资料!$AC$5:$AC$34,0)),"")="支",N(F1305)&lt;&gt;0),"✗ 这类是付款，金额填到支出列",IF(N(H1305)&lt;0,"⚠ 账户余额成负数了，核对一下","√"))))))))))))))))))</f>
      </c>
      <c r="O1305" s="78">
        <f>IF(D1305&lt;&gt;"",D1305,IF(AND(F1305="",G1305=""),"",IF(J1305&lt;&gt;"",IF(N(F1305)&gt;0,"客户回款","客户退款"),IF(K1305&lt;&gt;"",IF(N(G1305)&gt;0,"供应商付款","供应商退款"),IF(L1305&lt;&gt;"","费用支出","")))))</f>
      </c>
      <c r="P1305" s="78">
        <f>IF(O1305="","",IFERROR(INDEX(基础资料!$AE$5:$AE$34,MATCH(O1305,基础资料!$AC$5:$AC$34,0)),"未知"))</f>
      </c>
      <c r="Q1305" s="78">
        <f>IF(P1305="应收",COUNTIF(P$7:P1305,"应收"),"")</f>
      </c>
      <c r="R1305" s="78">
        <f>IF(P1305="应付",COUNTIF(P$7:P1305,"应付"),"")</f>
      </c>
      <c r="S1305" s="78">
        <f>N(F1305)-N(G1305)</f>
        <v>0</v>
      </c>
    </row>
    <row r="1306">
      <c r="A1306" s="109">
        <f>IF(AND(F1306="",G1306=""),"",ROW()-6)</f>
      </c>
      <c r="B1306" s="140" t="n"/>
      <c r="C1306" s="141" t="n"/>
      <c r="D1306" s="141" t="n"/>
      <c r="E1306" s="142" t="n"/>
      <c r="F1306" s="143" t="n"/>
      <c r="G1306" s="144" t="n"/>
      <c r="H1306" s="145">
        <f>IF(OR(C1306="",AND(F1306="",G1306="")),"",SUMIF(基础资料!$W$5:$W$24,C1306,基础资料!$X$5:$X$24)+SUMIF(C$7:C1306,C1306,F$7:F1306)-SUMIF(C$7:C1306,C1306,G$7:G1306))</f>
      </c>
      <c r="I1306" s="145">
        <f>IF(AND(F1306="",G1306=""),"",SUM(基础资料!$X$5:$X$24)+SUM(F$7:F1306)-SUM(G$7:G1306))</f>
      </c>
      <c r="J1306" s="141" t="n"/>
      <c r="K1306" s="141" t="n"/>
      <c r="L1306" s="141" t="n"/>
      <c r="M1306" s="142" t="n"/>
      <c r="N1306" s="146">
        <f>IF(AND(AND(F1306="",G1306=""),B1306="",C1306="",D1306="",J1306="",K1306="",L1306=""),"",IF(AND(F1306="",G1306=""),"✗ 没填金额",IF(AND(N(F1306)&lt;&gt;0,N(G1306)&lt;&gt;0),"✗ 收入、支出只能填一边",IF(NOT(ISNUMBER(B1306)),"✗ 日期不是真日期（要像 2026/9/25 这样填）",IF(OR(B1306&lt;年初日,B1306&gt;年末日),"✗ 日期不在本会计年度",IF(C1306="","✗ 没选账户",IF(COUNTIF(基础资料!$W$5:$W$24,C1306)=0,"✗ 账户不在基础资料里",IF(O1306="","✗ 没选收支项目",IF(P1306="未知","✗ 收支项目不在基础资料里",IF(AND(P1306="应收",J1306=""),"✗ 这笔要选客户",IF(AND(P1306="应收",COUNTIF(总览汇总!$B$5:$B$304,J1306)=0),"✗ 客户不在总览汇总名单里",IF(AND(P1306="应付",K1306=""),"✗ 这笔要选供应商",IF(AND(P1306="应付",COUNTIF(基础资料!$Q$5:$Q$54,K1306)=0),"✗ 供应商不在基础资料里",IF(AND(P1306="费用",L1306=""),"✗ 费用支出要选费用项目",IF(AND(L1306&lt;&gt;"",COUNTIF(基础资料!$AI$5:$AI$54,L1306)=0),"✗ 费用项目不在基础资料里",IF(AND(IFERROR(INDEX(基础资料!$AD$5:$AD$34,MATCH(O1306,基础资料!$AC$5:$AC$34,0)),"")="收",N(G1306)&lt;&gt;0),"✗ 这类是收款，金额填到收入列",IF(AND(IFERROR(INDEX(基础资料!$AD$5:$AD$34,MATCH(O1306,基础资料!$AC$5:$AC$34,0)),"")="支",N(F1306)&lt;&gt;0),"✗ 这类是付款，金额填到支出列",IF(N(H1306)&lt;0,"⚠ 账户余额成负数了，核对一下","√"))))))))))))))))))</f>
      </c>
      <c r="O1306" s="78">
        <f>IF(D1306&lt;&gt;"",D1306,IF(AND(F1306="",G1306=""),"",IF(J1306&lt;&gt;"",IF(N(F1306)&gt;0,"客户回款","客户退款"),IF(K1306&lt;&gt;"",IF(N(G1306)&gt;0,"供应商付款","供应商退款"),IF(L1306&lt;&gt;"","费用支出","")))))</f>
      </c>
      <c r="P1306" s="78">
        <f>IF(O1306="","",IFERROR(INDEX(基础资料!$AE$5:$AE$34,MATCH(O1306,基础资料!$AC$5:$AC$34,0)),"未知"))</f>
      </c>
      <c r="Q1306" s="78">
        <f>IF(P1306="应收",COUNTIF(P$7:P1306,"应收"),"")</f>
      </c>
      <c r="R1306" s="78">
        <f>IF(P1306="应付",COUNTIF(P$7:P1306,"应付"),"")</f>
      </c>
      <c r="S1306" s="78">
        <f>N(F1306)-N(G1306)</f>
        <v>0</v>
      </c>
    </row>
    <row r="1307">
      <c r="A1307" s="109">
        <f>IF(AND(F1307="",G1307=""),"",ROW()-6)</f>
      </c>
      <c r="B1307" s="140" t="n"/>
      <c r="C1307" s="141" t="n"/>
      <c r="D1307" s="141" t="n"/>
      <c r="E1307" s="142" t="n"/>
      <c r="F1307" s="143" t="n"/>
      <c r="G1307" s="144" t="n"/>
      <c r="H1307" s="145">
        <f>IF(OR(C1307="",AND(F1307="",G1307="")),"",SUMIF(基础资料!$W$5:$W$24,C1307,基础资料!$X$5:$X$24)+SUMIF(C$7:C1307,C1307,F$7:F1307)-SUMIF(C$7:C1307,C1307,G$7:G1307))</f>
      </c>
      <c r="I1307" s="145">
        <f>IF(AND(F1307="",G1307=""),"",SUM(基础资料!$X$5:$X$24)+SUM(F$7:F1307)-SUM(G$7:G1307))</f>
      </c>
      <c r="J1307" s="141" t="n"/>
      <c r="K1307" s="141" t="n"/>
      <c r="L1307" s="141" t="n"/>
      <c r="M1307" s="142" t="n"/>
      <c r="N1307" s="146">
        <f>IF(AND(AND(F1307="",G1307=""),B1307="",C1307="",D1307="",J1307="",K1307="",L1307=""),"",IF(AND(F1307="",G1307=""),"✗ 没填金额",IF(AND(N(F1307)&lt;&gt;0,N(G1307)&lt;&gt;0),"✗ 收入、支出只能填一边",IF(NOT(ISNUMBER(B1307)),"✗ 日期不是真日期（要像 2026/9/25 这样填）",IF(OR(B1307&lt;年初日,B1307&gt;年末日),"✗ 日期不在本会计年度",IF(C1307="","✗ 没选账户",IF(COUNTIF(基础资料!$W$5:$W$24,C1307)=0,"✗ 账户不在基础资料里",IF(O1307="","✗ 没选收支项目",IF(P1307="未知","✗ 收支项目不在基础资料里",IF(AND(P1307="应收",J1307=""),"✗ 这笔要选客户",IF(AND(P1307="应收",COUNTIF(总览汇总!$B$5:$B$304,J1307)=0),"✗ 客户不在总览汇总名单里",IF(AND(P1307="应付",K1307=""),"✗ 这笔要选供应商",IF(AND(P1307="应付",COUNTIF(基础资料!$Q$5:$Q$54,K1307)=0),"✗ 供应商不在基础资料里",IF(AND(P1307="费用",L1307=""),"✗ 费用支出要选费用项目",IF(AND(L1307&lt;&gt;"",COUNTIF(基础资料!$AI$5:$AI$54,L1307)=0),"✗ 费用项目不在基础资料里",IF(AND(IFERROR(INDEX(基础资料!$AD$5:$AD$34,MATCH(O1307,基础资料!$AC$5:$AC$34,0)),"")="收",N(G1307)&lt;&gt;0),"✗ 这类是收款，金额填到收入列",IF(AND(IFERROR(INDEX(基础资料!$AD$5:$AD$34,MATCH(O1307,基础资料!$AC$5:$AC$34,0)),"")="支",N(F1307)&lt;&gt;0),"✗ 这类是付款，金额填到支出列",IF(N(H1307)&lt;0,"⚠ 账户余额成负数了，核对一下","√"))))))))))))))))))</f>
      </c>
      <c r="O1307" s="78">
        <f>IF(D1307&lt;&gt;"",D1307,IF(AND(F1307="",G1307=""),"",IF(J1307&lt;&gt;"",IF(N(F1307)&gt;0,"客户回款","客户退款"),IF(K1307&lt;&gt;"",IF(N(G1307)&gt;0,"供应商付款","供应商退款"),IF(L1307&lt;&gt;"","费用支出","")))))</f>
      </c>
      <c r="P1307" s="78">
        <f>IF(O1307="","",IFERROR(INDEX(基础资料!$AE$5:$AE$34,MATCH(O1307,基础资料!$AC$5:$AC$34,0)),"未知"))</f>
      </c>
      <c r="Q1307" s="78">
        <f>IF(P1307="应收",COUNTIF(P$7:P1307,"应收"),"")</f>
      </c>
      <c r="R1307" s="78">
        <f>IF(P1307="应付",COUNTIF(P$7:P1307,"应付"),"")</f>
      </c>
      <c r="S1307" s="78">
        <f>N(F1307)-N(G1307)</f>
        <v>0</v>
      </c>
    </row>
    <row r="1308">
      <c r="A1308" s="109">
        <f>IF(AND(F1308="",G1308=""),"",ROW()-6)</f>
      </c>
      <c r="B1308" s="140" t="n"/>
      <c r="C1308" s="141" t="n"/>
      <c r="D1308" s="141" t="n"/>
      <c r="E1308" s="142" t="n"/>
      <c r="F1308" s="143" t="n"/>
      <c r="G1308" s="144" t="n"/>
      <c r="H1308" s="145">
        <f>IF(OR(C1308="",AND(F1308="",G1308="")),"",SUMIF(基础资料!$W$5:$W$24,C1308,基础资料!$X$5:$X$24)+SUMIF(C$7:C1308,C1308,F$7:F1308)-SUMIF(C$7:C1308,C1308,G$7:G1308))</f>
      </c>
      <c r="I1308" s="145">
        <f>IF(AND(F1308="",G1308=""),"",SUM(基础资料!$X$5:$X$24)+SUM(F$7:F1308)-SUM(G$7:G1308))</f>
      </c>
      <c r="J1308" s="141" t="n"/>
      <c r="K1308" s="141" t="n"/>
      <c r="L1308" s="141" t="n"/>
      <c r="M1308" s="142" t="n"/>
      <c r="N1308" s="146">
        <f>IF(AND(AND(F1308="",G1308=""),B1308="",C1308="",D1308="",J1308="",K1308="",L1308=""),"",IF(AND(F1308="",G1308=""),"✗ 没填金额",IF(AND(N(F1308)&lt;&gt;0,N(G1308)&lt;&gt;0),"✗ 收入、支出只能填一边",IF(NOT(ISNUMBER(B1308)),"✗ 日期不是真日期（要像 2026/9/25 这样填）",IF(OR(B1308&lt;年初日,B1308&gt;年末日),"✗ 日期不在本会计年度",IF(C1308="","✗ 没选账户",IF(COUNTIF(基础资料!$W$5:$W$24,C1308)=0,"✗ 账户不在基础资料里",IF(O1308="","✗ 没选收支项目",IF(P1308="未知","✗ 收支项目不在基础资料里",IF(AND(P1308="应收",J1308=""),"✗ 这笔要选客户",IF(AND(P1308="应收",COUNTIF(总览汇总!$B$5:$B$304,J1308)=0),"✗ 客户不在总览汇总名单里",IF(AND(P1308="应付",K1308=""),"✗ 这笔要选供应商",IF(AND(P1308="应付",COUNTIF(基础资料!$Q$5:$Q$54,K1308)=0),"✗ 供应商不在基础资料里",IF(AND(P1308="费用",L1308=""),"✗ 费用支出要选费用项目",IF(AND(L1308&lt;&gt;"",COUNTIF(基础资料!$AI$5:$AI$54,L1308)=0),"✗ 费用项目不在基础资料里",IF(AND(IFERROR(INDEX(基础资料!$AD$5:$AD$34,MATCH(O1308,基础资料!$AC$5:$AC$34,0)),"")="收",N(G1308)&lt;&gt;0),"✗ 这类是收款，金额填到收入列",IF(AND(IFERROR(INDEX(基础资料!$AD$5:$AD$34,MATCH(O1308,基础资料!$AC$5:$AC$34,0)),"")="支",N(F1308)&lt;&gt;0),"✗ 这类是付款，金额填到支出列",IF(N(H1308)&lt;0,"⚠ 账户余额成负数了，核对一下","√"))))))))))))))))))</f>
      </c>
      <c r="O1308" s="78">
        <f>IF(D1308&lt;&gt;"",D1308,IF(AND(F1308="",G1308=""),"",IF(J1308&lt;&gt;"",IF(N(F1308)&gt;0,"客户回款","客户退款"),IF(K1308&lt;&gt;"",IF(N(G1308)&gt;0,"供应商付款","供应商退款"),IF(L1308&lt;&gt;"","费用支出","")))))</f>
      </c>
      <c r="P1308" s="78">
        <f>IF(O1308="","",IFERROR(INDEX(基础资料!$AE$5:$AE$34,MATCH(O1308,基础资料!$AC$5:$AC$34,0)),"未知"))</f>
      </c>
      <c r="Q1308" s="78">
        <f>IF(P1308="应收",COUNTIF(P$7:P1308,"应收"),"")</f>
      </c>
      <c r="R1308" s="78">
        <f>IF(P1308="应付",COUNTIF(P$7:P1308,"应付"),"")</f>
      </c>
      <c r="S1308" s="78">
        <f>N(F1308)-N(G1308)</f>
        <v>0</v>
      </c>
    </row>
    <row r="1309">
      <c r="A1309" s="109">
        <f>IF(AND(F1309="",G1309=""),"",ROW()-6)</f>
      </c>
      <c r="B1309" s="140" t="n"/>
      <c r="C1309" s="141" t="n"/>
      <c r="D1309" s="141" t="n"/>
      <c r="E1309" s="142" t="n"/>
      <c r="F1309" s="143" t="n"/>
      <c r="G1309" s="144" t="n"/>
      <c r="H1309" s="145">
        <f>IF(OR(C1309="",AND(F1309="",G1309="")),"",SUMIF(基础资料!$W$5:$W$24,C1309,基础资料!$X$5:$X$24)+SUMIF(C$7:C1309,C1309,F$7:F1309)-SUMIF(C$7:C1309,C1309,G$7:G1309))</f>
      </c>
      <c r="I1309" s="145">
        <f>IF(AND(F1309="",G1309=""),"",SUM(基础资料!$X$5:$X$24)+SUM(F$7:F1309)-SUM(G$7:G1309))</f>
      </c>
      <c r="J1309" s="141" t="n"/>
      <c r="K1309" s="141" t="n"/>
      <c r="L1309" s="141" t="n"/>
      <c r="M1309" s="142" t="n"/>
      <c r="N1309" s="146">
        <f>IF(AND(AND(F1309="",G1309=""),B1309="",C1309="",D1309="",J1309="",K1309="",L1309=""),"",IF(AND(F1309="",G1309=""),"✗ 没填金额",IF(AND(N(F1309)&lt;&gt;0,N(G1309)&lt;&gt;0),"✗ 收入、支出只能填一边",IF(NOT(ISNUMBER(B1309)),"✗ 日期不是真日期（要像 2026/9/25 这样填）",IF(OR(B1309&lt;年初日,B1309&gt;年末日),"✗ 日期不在本会计年度",IF(C1309="","✗ 没选账户",IF(COUNTIF(基础资料!$W$5:$W$24,C1309)=0,"✗ 账户不在基础资料里",IF(O1309="","✗ 没选收支项目",IF(P1309="未知","✗ 收支项目不在基础资料里",IF(AND(P1309="应收",J1309=""),"✗ 这笔要选客户",IF(AND(P1309="应收",COUNTIF(总览汇总!$B$5:$B$304,J1309)=0),"✗ 客户不在总览汇总名单里",IF(AND(P1309="应付",K1309=""),"✗ 这笔要选供应商",IF(AND(P1309="应付",COUNTIF(基础资料!$Q$5:$Q$54,K1309)=0),"✗ 供应商不在基础资料里",IF(AND(P1309="费用",L1309=""),"✗ 费用支出要选费用项目",IF(AND(L1309&lt;&gt;"",COUNTIF(基础资料!$AI$5:$AI$54,L1309)=0),"✗ 费用项目不在基础资料里",IF(AND(IFERROR(INDEX(基础资料!$AD$5:$AD$34,MATCH(O1309,基础资料!$AC$5:$AC$34,0)),"")="收",N(G1309)&lt;&gt;0),"✗ 这类是收款，金额填到收入列",IF(AND(IFERROR(INDEX(基础资料!$AD$5:$AD$34,MATCH(O1309,基础资料!$AC$5:$AC$34,0)),"")="支",N(F1309)&lt;&gt;0),"✗ 这类是付款，金额填到支出列",IF(N(H1309)&lt;0,"⚠ 账户余额成负数了，核对一下","√"))))))))))))))))))</f>
      </c>
      <c r="O1309" s="78">
        <f>IF(D1309&lt;&gt;"",D1309,IF(AND(F1309="",G1309=""),"",IF(J1309&lt;&gt;"",IF(N(F1309)&gt;0,"客户回款","客户退款"),IF(K1309&lt;&gt;"",IF(N(G1309)&gt;0,"供应商付款","供应商退款"),IF(L1309&lt;&gt;"","费用支出","")))))</f>
      </c>
      <c r="P1309" s="78">
        <f>IF(O1309="","",IFERROR(INDEX(基础资料!$AE$5:$AE$34,MATCH(O1309,基础资料!$AC$5:$AC$34,0)),"未知"))</f>
      </c>
      <c r="Q1309" s="78">
        <f>IF(P1309="应收",COUNTIF(P$7:P1309,"应收"),"")</f>
      </c>
      <c r="R1309" s="78">
        <f>IF(P1309="应付",COUNTIF(P$7:P1309,"应付"),"")</f>
      </c>
      <c r="S1309" s="78">
        <f>N(F1309)-N(G1309)</f>
        <v>0</v>
      </c>
    </row>
    <row r="1310">
      <c r="A1310" s="109">
        <f>IF(AND(F1310="",G1310=""),"",ROW()-6)</f>
      </c>
      <c r="B1310" s="140" t="n"/>
      <c r="C1310" s="141" t="n"/>
      <c r="D1310" s="141" t="n"/>
      <c r="E1310" s="142" t="n"/>
      <c r="F1310" s="143" t="n"/>
      <c r="G1310" s="144" t="n"/>
      <c r="H1310" s="145">
        <f>IF(OR(C1310="",AND(F1310="",G1310="")),"",SUMIF(基础资料!$W$5:$W$24,C1310,基础资料!$X$5:$X$24)+SUMIF(C$7:C1310,C1310,F$7:F1310)-SUMIF(C$7:C1310,C1310,G$7:G1310))</f>
      </c>
      <c r="I1310" s="145">
        <f>IF(AND(F1310="",G1310=""),"",SUM(基础资料!$X$5:$X$24)+SUM(F$7:F1310)-SUM(G$7:G1310))</f>
      </c>
      <c r="J1310" s="141" t="n"/>
      <c r="K1310" s="141" t="n"/>
      <c r="L1310" s="141" t="n"/>
      <c r="M1310" s="142" t="n"/>
      <c r="N1310" s="146">
        <f>IF(AND(AND(F1310="",G1310=""),B1310="",C1310="",D1310="",J1310="",K1310="",L1310=""),"",IF(AND(F1310="",G1310=""),"✗ 没填金额",IF(AND(N(F1310)&lt;&gt;0,N(G1310)&lt;&gt;0),"✗ 收入、支出只能填一边",IF(NOT(ISNUMBER(B1310)),"✗ 日期不是真日期（要像 2026/9/25 这样填）",IF(OR(B1310&lt;年初日,B1310&gt;年末日),"✗ 日期不在本会计年度",IF(C1310="","✗ 没选账户",IF(COUNTIF(基础资料!$W$5:$W$24,C1310)=0,"✗ 账户不在基础资料里",IF(O1310="","✗ 没选收支项目",IF(P1310="未知","✗ 收支项目不在基础资料里",IF(AND(P1310="应收",J1310=""),"✗ 这笔要选客户",IF(AND(P1310="应收",COUNTIF(总览汇总!$B$5:$B$304,J1310)=0),"✗ 客户不在总览汇总名单里",IF(AND(P1310="应付",K1310=""),"✗ 这笔要选供应商",IF(AND(P1310="应付",COUNTIF(基础资料!$Q$5:$Q$54,K1310)=0),"✗ 供应商不在基础资料里",IF(AND(P1310="费用",L1310=""),"✗ 费用支出要选费用项目",IF(AND(L1310&lt;&gt;"",COUNTIF(基础资料!$AI$5:$AI$54,L1310)=0),"✗ 费用项目不在基础资料里",IF(AND(IFERROR(INDEX(基础资料!$AD$5:$AD$34,MATCH(O1310,基础资料!$AC$5:$AC$34,0)),"")="收",N(G1310)&lt;&gt;0),"✗ 这类是收款，金额填到收入列",IF(AND(IFERROR(INDEX(基础资料!$AD$5:$AD$34,MATCH(O1310,基础资料!$AC$5:$AC$34,0)),"")="支",N(F1310)&lt;&gt;0),"✗ 这类是付款，金额填到支出列",IF(N(H1310)&lt;0,"⚠ 账户余额成负数了，核对一下","√"))))))))))))))))))</f>
      </c>
      <c r="O1310" s="78">
        <f>IF(D1310&lt;&gt;"",D1310,IF(AND(F1310="",G1310=""),"",IF(J1310&lt;&gt;"",IF(N(F1310)&gt;0,"客户回款","客户退款"),IF(K1310&lt;&gt;"",IF(N(G1310)&gt;0,"供应商付款","供应商退款"),IF(L1310&lt;&gt;"","费用支出","")))))</f>
      </c>
      <c r="P1310" s="78">
        <f>IF(O1310="","",IFERROR(INDEX(基础资料!$AE$5:$AE$34,MATCH(O1310,基础资料!$AC$5:$AC$34,0)),"未知"))</f>
      </c>
      <c r="Q1310" s="78">
        <f>IF(P1310="应收",COUNTIF(P$7:P1310,"应收"),"")</f>
      </c>
      <c r="R1310" s="78">
        <f>IF(P1310="应付",COUNTIF(P$7:P1310,"应付"),"")</f>
      </c>
      <c r="S1310" s="78">
        <f>N(F1310)-N(G1310)</f>
        <v>0</v>
      </c>
    </row>
    <row r="1311">
      <c r="A1311" s="109">
        <f>IF(AND(F1311="",G1311=""),"",ROW()-6)</f>
      </c>
      <c r="B1311" s="140" t="n"/>
      <c r="C1311" s="141" t="n"/>
      <c r="D1311" s="141" t="n"/>
      <c r="E1311" s="142" t="n"/>
      <c r="F1311" s="143" t="n"/>
      <c r="G1311" s="144" t="n"/>
      <c r="H1311" s="145">
        <f>IF(OR(C1311="",AND(F1311="",G1311="")),"",SUMIF(基础资料!$W$5:$W$24,C1311,基础资料!$X$5:$X$24)+SUMIF(C$7:C1311,C1311,F$7:F1311)-SUMIF(C$7:C1311,C1311,G$7:G1311))</f>
      </c>
      <c r="I1311" s="145">
        <f>IF(AND(F1311="",G1311=""),"",SUM(基础资料!$X$5:$X$24)+SUM(F$7:F1311)-SUM(G$7:G1311))</f>
      </c>
      <c r="J1311" s="141" t="n"/>
      <c r="K1311" s="141" t="n"/>
      <c r="L1311" s="141" t="n"/>
      <c r="M1311" s="142" t="n"/>
      <c r="N1311" s="146">
        <f>IF(AND(AND(F1311="",G1311=""),B1311="",C1311="",D1311="",J1311="",K1311="",L1311=""),"",IF(AND(F1311="",G1311=""),"✗ 没填金额",IF(AND(N(F1311)&lt;&gt;0,N(G1311)&lt;&gt;0),"✗ 收入、支出只能填一边",IF(NOT(ISNUMBER(B1311)),"✗ 日期不是真日期（要像 2026/9/25 这样填）",IF(OR(B1311&lt;年初日,B1311&gt;年末日),"✗ 日期不在本会计年度",IF(C1311="","✗ 没选账户",IF(COUNTIF(基础资料!$W$5:$W$24,C1311)=0,"✗ 账户不在基础资料里",IF(O1311="","✗ 没选收支项目",IF(P1311="未知","✗ 收支项目不在基础资料里",IF(AND(P1311="应收",J1311=""),"✗ 这笔要选客户",IF(AND(P1311="应收",COUNTIF(总览汇总!$B$5:$B$304,J1311)=0),"✗ 客户不在总览汇总名单里",IF(AND(P1311="应付",K1311=""),"✗ 这笔要选供应商",IF(AND(P1311="应付",COUNTIF(基础资料!$Q$5:$Q$54,K1311)=0),"✗ 供应商不在基础资料里",IF(AND(P1311="费用",L1311=""),"✗ 费用支出要选费用项目",IF(AND(L1311&lt;&gt;"",COUNTIF(基础资料!$AI$5:$AI$54,L1311)=0),"✗ 费用项目不在基础资料里",IF(AND(IFERROR(INDEX(基础资料!$AD$5:$AD$34,MATCH(O1311,基础资料!$AC$5:$AC$34,0)),"")="收",N(G1311)&lt;&gt;0),"✗ 这类是收款，金额填到收入列",IF(AND(IFERROR(INDEX(基础资料!$AD$5:$AD$34,MATCH(O1311,基础资料!$AC$5:$AC$34,0)),"")="支",N(F1311)&lt;&gt;0),"✗ 这类是付款，金额填到支出列",IF(N(H1311)&lt;0,"⚠ 账户余额成负数了，核对一下","√"))))))))))))))))))</f>
      </c>
      <c r="O1311" s="78">
        <f>IF(D1311&lt;&gt;"",D1311,IF(AND(F1311="",G1311=""),"",IF(J1311&lt;&gt;"",IF(N(F1311)&gt;0,"客户回款","客户退款"),IF(K1311&lt;&gt;"",IF(N(G1311)&gt;0,"供应商付款","供应商退款"),IF(L1311&lt;&gt;"","费用支出","")))))</f>
      </c>
      <c r="P1311" s="78">
        <f>IF(O1311="","",IFERROR(INDEX(基础资料!$AE$5:$AE$34,MATCH(O1311,基础资料!$AC$5:$AC$34,0)),"未知"))</f>
      </c>
      <c r="Q1311" s="78">
        <f>IF(P1311="应收",COUNTIF(P$7:P1311,"应收"),"")</f>
      </c>
      <c r="R1311" s="78">
        <f>IF(P1311="应付",COUNTIF(P$7:P1311,"应付"),"")</f>
      </c>
      <c r="S1311" s="78">
        <f>N(F1311)-N(G1311)</f>
        <v>0</v>
      </c>
    </row>
    <row r="1312">
      <c r="A1312" s="109">
        <f>IF(AND(F1312="",G1312=""),"",ROW()-6)</f>
      </c>
      <c r="B1312" s="140" t="n"/>
      <c r="C1312" s="141" t="n"/>
      <c r="D1312" s="141" t="n"/>
      <c r="E1312" s="142" t="n"/>
      <c r="F1312" s="143" t="n"/>
      <c r="G1312" s="144" t="n"/>
      <c r="H1312" s="145">
        <f>IF(OR(C1312="",AND(F1312="",G1312="")),"",SUMIF(基础资料!$W$5:$W$24,C1312,基础资料!$X$5:$X$24)+SUMIF(C$7:C1312,C1312,F$7:F1312)-SUMIF(C$7:C1312,C1312,G$7:G1312))</f>
      </c>
      <c r="I1312" s="145">
        <f>IF(AND(F1312="",G1312=""),"",SUM(基础资料!$X$5:$X$24)+SUM(F$7:F1312)-SUM(G$7:G1312))</f>
      </c>
      <c r="J1312" s="141" t="n"/>
      <c r="K1312" s="141" t="n"/>
      <c r="L1312" s="141" t="n"/>
      <c r="M1312" s="142" t="n"/>
      <c r="N1312" s="146">
        <f>IF(AND(AND(F1312="",G1312=""),B1312="",C1312="",D1312="",J1312="",K1312="",L1312=""),"",IF(AND(F1312="",G1312=""),"✗ 没填金额",IF(AND(N(F1312)&lt;&gt;0,N(G1312)&lt;&gt;0),"✗ 收入、支出只能填一边",IF(NOT(ISNUMBER(B1312)),"✗ 日期不是真日期（要像 2026/9/25 这样填）",IF(OR(B1312&lt;年初日,B1312&gt;年末日),"✗ 日期不在本会计年度",IF(C1312="","✗ 没选账户",IF(COUNTIF(基础资料!$W$5:$W$24,C1312)=0,"✗ 账户不在基础资料里",IF(O1312="","✗ 没选收支项目",IF(P1312="未知","✗ 收支项目不在基础资料里",IF(AND(P1312="应收",J1312=""),"✗ 这笔要选客户",IF(AND(P1312="应收",COUNTIF(总览汇总!$B$5:$B$304,J1312)=0),"✗ 客户不在总览汇总名单里",IF(AND(P1312="应付",K1312=""),"✗ 这笔要选供应商",IF(AND(P1312="应付",COUNTIF(基础资料!$Q$5:$Q$54,K1312)=0),"✗ 供应商不在基础资料里",IF(AND(P1312="费用",L1312=""),"✗ 费用支出要选费用项目",IF(AND(L1312&lt;&gt;"",COUNTIF(基础资料!$AI$5:$AI$54,L1312)=0),"✗ 费用项目不在基础资料里",IF(AND(IFERROR(INDEX(基础资料!$AD$5:$AD$34,MATCH(O1312,基础资料!$AC$5:$AC$34,0)),"")="收",N(G1312)&lt;&gt;0),"✗ 这类是收款，金额填到收入列",IF(AND(IFERROR(INDEX(基础资料!$AD$5:$AD$34,MATCH(O1312,基础资料!$AC$5:$AC$34,0)),"")="支",N(F1312)&lt;&gt;0),"✗ 这类是付款，金额填到支出列",IF(N(H1312)&lt;0,"⚠ 账户余额成负数了，核对一下","√"))))))))))))))))))</f>
      </c>
      <c r="O1312" s="78">
        <f>IF(D1312&lt;&gt;"",D1312,IF(AND(F1312="",G1312=""),"",IF(J1312&lt;&gt;"",IF(N(F1312)&gt;0,"客户回款","客户退款"),IF(K1312&lt;&gt;"",IF(N(G1312)&gt;0,"供应商付款","供应商退款"),IF(L1312&lt;&gt;"","费用支出","")))))</f>
      </c>
      <c r="P1312" s="78">
        <f>IF(O1312="","",IFERROR(INDEX(基础资料!$AE$5:$AE$34,MATCH(O1312,基础资料!$AC$5:$AC$34,0)),"未知"))</f>
      </c>
      <c r="Q1312" s="78">
        <f>IF(P1312="应收",COUNTIF(P$7:P1312,"应收"),"")</f>
      </c>
      <c r="R1312" s="78">
        <f>IF(P1312="应付",COUNTIF(P$7:P1312,"应付"),"")</f>
      </c>
      <c r="S1312" s="78">
        <f>N(F1312)-N(G1312)</f>
        <v>0</v>
      </c>
    </row>
    <row r="1313">
      <c r="A1313" s="109">
        <f>IF(AND(F1313="",G1313=""),"",ROW()-6)</f>
      </c>
      <c r="B1313" s="140" t="n"/>
      <c r="C1313" s="141" t="n"/>
      <c r="D1313" s="141" t="n"/>
      <c r="E1313" s="142" t="n"/>
      <c r="F1313" s="143" t="n"/>
      <c r="G1313" s="144" t="n"/>
      <c r="H1313" s="145">
        <f>IF(OR(C1313="",AND(F1313="",G1313="")),"",SUMIF(基础资料!$W$5:$W$24,C1313,基础资料!$X$5:$X$24)+SUMIF(C$7:C1313,C1313,F$7:F1313)-SUMIF(C$7:C1313,C1313,G$7:G1313))</f>
      </c>
      <c r="I1313" s="145">
        <f>IF(AND(F1313="",G1313=""),"",SUM(基础资料!$X$5:$X$24)+SUM(F$7:F1313)-SUM(G$7:G1313))</f>
      </c>
      <c r="J1313" s="141" t="n"/>
      <c r="K1313" s="141" t="n"/>
      <c r="L1313" s="141" t="n"/>
      <c r="M1313" s="142" t="n"/>
      <c r="N1313" s="146">
        <f>IF(AND(AND(F1313="",G1313=""),B1313="",C1313="",D1313="",J1313="",K1313="",L1313=""),"",IF(AND(F1313="",G1313=""),"✗ 没填金额",IF(AND(N(F1313)&lt;&gt;0,N(G1313)&lt;&gt;0),"✗ 收入、支出只能填一边",IF(NOT(ISNUMBER(B1313)),"✗ 日期不是真日期（要像 2026/9/25 这样填）",IF(OR(B1313&lt;年初日,B1313&gt;年末日),"✗ 日期不在本会计年度",IF(C1313="","✗ 没选账户",IF(COUNTIF(基础资料!$W$5:$W$24,C1313)=0,"✗ 账户不在基础资料里",IF(O1313="","✗ 没选收支项目",IF(P1313="未知","✗ 收支项目不在基础资料里",IF(AND(P1313="应收",J1313=""),"✗ 这笔要选客户",IF(AND(P1313="应收",COUNTIF(总览汇总!$B$5:$B$304,J1313)=0),"✗ 客户不在总览汇总名单里",IF(AND(P1313="应付",K1313=""),"✗ 这笔要选供应商",IF(AND(P1313="应付",COUNTIF(基础资料!$Q$5:$Q$54,K1313)=0),"✗ 供应商不在基础资料里",IF(AND(P1313="费用",L1313=""),"✗ 费用支出要选费用项目",IF(AND(L1313&lt;&gt;"",COUNTIF(基础资料!$AI$5:$AI$54,L1313)=0),"✗ 费用项目不在基础资料里",IF(AND(IFERROR(INDEX(基础资料!$AD$5:$AD$34,MATCH(O1313,基础资料!$AC$5:$AC$34,0)),"")="收",N(G1313)&lt;&gt;0),"✗ 这类是收款，金额填到收入列",IF(AND(IFERROR(INDEX(基础资料!$AD$5:$AD$34,MATCH(O1313,基础资料!$AC$5:$AC$34,0)),"")="支",N(F1313)&lt;&gt;0),"✗ 这类是付款，金额填到支出列",IF(N(H1313)&lt;0,"⚠ 账户余额成负数了，核对一下","√"))))))))))))))))))</f>
      </c>
      <c r="O1313" s="78">
        <f>IF(D1313&lt;&gt;"",D1313,IF(AND(F1313="",G1313=""),"",IF(J1313&lt;&gt;"",IF(N(F1313)&gt;0,"客户回款","客户退款"),IF(K1313&lt;&gt;"",IF(N(G1313)&gt;0,"供应商付款","供应商退款"),IF(L1313&lt;&gt;"","费用支出","")))))</f>
      </c>
      <c r="P1313" s="78">
        <f>IF(O1313="","",IFERROR(INDEX(基础资料!$AE$5:$AE$34,MATCH(O1313,基础资料!$AC$5:$AC$34,0)),"未知"))</f>
      </c>
      <c r="Q1313" s="78">
        <f>IF(P1313="应收",COUNTIF(P$7:P1313,"应收"),"")</f>
      </c>
      <c r="R1313" s="78">
        <f>IF(P1313="应付",COUNTIF(P$7:P1313,"应付"),"")</f>
      </c>
      <c r="S1313" s="78">
        <f>N(F1313)-N(G1313)</f>
        <v>0</v>
      </c>
    </row>
    <row r="1314">
      <c r="A1314" s="109">
        <f>IF(AND(F1314="",G1314=""),"",ROW()-6)</f>
      </c>
      <c r="B1314" s="140" t="n"/>
      <c r="C1314" s="141" t="n"/>
      <c r="D1314" s="141" t="n"/>
      <c r="E1314" s="142" t="n"/>
      <c r="F1314" s="143" t="n"/>
      <c r="G1314" s="144" t="n"/>
      <c r="H1314" s="145">
        <f>IF(OR(C1314="",AND(F1314="",G1314="")),"",SUMIF(基础资料!$W$5:$W$24,C1314,基础资料!$X$5:$X$24)+SUMIF(C$7:C1314,C1314,F$7:F1314)-SUMIF(C$7:C1314,C1314,G$7:G1314))</f>
      </c>
      <c r="I1314" s="145">
        <f>IF(AND(F1314="",G1314=""),"",SUM(基础资料!$X$5:$X$24)+SUM(F$7:F1314)-SUM(G$7:G1314))</f>
      </c>
      <c r="J1314" s="141" t="n"/>
      <c r="K1314" s="141" t="n"/>
      <c r="L1314" s="141" t="n"/>
      <c r="M1314" s="142" t="n"/>
      <c r="N1314" s="146">
        <f>IF(AND(AND(F1314="",G1314=""),B1314="",C1314="",D1314="",J1314="",K1314="",L1314=""),"",IF(AND(F1314="",G1314=""),"✗ 没填金额",IF(AND(N(F1314)&lt;&gt;0,N(G1314)&lt;&gt;0),"✗ 收入、支出只能填一边",IF(NOT(ISNUMBER(B1314)),"✗ 日期不是真日期（要像 2026/9/25 这样填）",IF(OR(B1314&lt;年初日,B1314&gt;年末日),"✗ 日期不在本会计年度",IF(C1314="","✗ 没选账户",IF(COUNTIF(基础资料!$W$5:$W$24,C1314)=0,"✗ 账户不在基础资料里",IF(O1314="","✗ 没选收支项目",IF(P1314="未知","✗ 收支项目不在基础资料里",IF(AND(P1314="应收",J1314=""),"✗ 这笔要选客户",IF(AND(P1314="应收",COUNTIF(总览汇总!$B$5:$B$304,J1314)=0),"✗ 客户不在总览汇总名单里",IF(AND(P1314="应付",K1314=""),"✗ 这笔要选供应商",IF(AND(P1314="应付",COUNTIF(基础资料!$Q$5:$Q$54,K1314)=0),"✗ 供应商不在基础资料里",IF(AND(P1314="费用",L1314=""),"✗ 费用支出要选费用项目",IF(AND(L1314&lt;&gt;"",COUNTIF(基础资料!$AI$5:$AI$54,L1314)=0),"✗ 费用项目不在基础资料里",IF(AND(IFERROR(INDEX(基础资料!$AD$5:$AD$34,MATCH(O1314,基础资料!$AC$5:$AC$34,0)),"")="收",N(G1314)&lt;&gt;0),"✗ 这类是收款，金额填到收入列",IF(AND(IFERROR(INDEX(基础资料!$AD$5:$AD$34,MATCH(O1314,基础资料!$AC$5:$AC$34,0)),"")="支",N(F1314)&lt;&gt;0),"✗ 这类是付款，金额填到支出列",IF(N(H1314)&lt;0,"⚠ 账户余额成负数了，核对一下","√"))))))))))))))))))</f>
      </c>
      <c r="O1314" s="78">
        <f>IF(D1314&lt;&gt;"",D1314,IF(AND(F1314="",G1314=""),"",IF(J1314&lt;&gt;"",IF(N(F1314)&gt;0,"客户回款","客户退款"),IF(K1314&lt;&gt;"",IF(N(G1314)&gt;0,"供应商付款","供应商退款"),IF(L1314&lt;&gt;"","费用支出","")))))</f>
      </c>
      <c r="P1314" s="78">
        <f>IF(O1314="","",IFERROR(INDEX(基础资料!$AE$5:$AE$34,MATCH(O1314,基础资料!$AC$5:$AC$34,0)),"未知"))</f>
      </c>
      <c r="Q1314" s="78">
        <f>IF(P1314="应收",COUNTIF(P$7:P1314,"应收"),"")</f>
      </c>
      <c r="R1314" s="78">
        <f>IF(P1314="应付",COUNTIF(P$7:P1314,"应付"),"")</f>
      </c>
      <c r="S1314" s="78">
        <f>N(F1314)-N(G1314)</f>
        <v>0</v>
      </c>
    </row>
    <row r="1315">
      <c r="A1315" s="109">
        <f>IF(AND(F1315="",G1315=""),"",ROW()-6)</f>
      </c>
      <c r="B1315" s="140" t="n"/>
      <c r="C1315" s="141" t="n"/>
      <c r="D1315" s="141" t="n"/>
      <c r="E1315" s="142" t="n"/>
      <c r="F1315" s="143" t="n"/>
      <c r="G1315" s="144" t="n"/>
      <c r="H1315" s="145">
        <f>IF(OR(C1315="",AND(F1315="",G1315="")),"",SUMIF(基础资料!$W$5:$W$24,C1315,基础资料!$X$5:$X$24)+SUMIF(C$7:C1315,C1315,F$7:F1315)-SUMIF(C$7:C1315,C1315,G$7:G1315))</f>
      </c>
      <c r="I1315" s="145">
        <f>IF(AND(F1315="",G1315=""),"",SUM(基础资料!$X$5:$X$24)+SUM(F$7:F1315)-SUM(G$7:G1315))</f>
      </c>
      <c r="J1315" s="141" t="n"/>
      <c r="K1315" s="141" t="n"/>
      <c r="L1315" s="141" t="n"/>
      <c r="M1315" s="142" t="n"/>
      <c r="N1315" s="146">
        <f>IF(AND(AND(F1315="",G1315=""),B1315="",C1315="",D1315="",J1315="",K1315="",L1315=""),"",IF(AND(F1315="",G1315=""),"✗ 没填金额",IF(AND(N(F1315)&lt;&gt;0,N(G1315)&lt;&gt;0),"✗ 收入、支出只能填一边",IF(NOT(ISNUMBER(B1315)),"✗ 日期不是真日期（要像 2026/9/25 这样填）",IF(OR(B1315&lt;年初日,B1315&gt;年末日),"✗ 日期不在本会计年度",IF(C1315="","✗ 没选账户",IF(COUNTIF(基础资料!$W$5:$W$24,C1315)=0,"✗ 账户不在基础资料里",IF(O1315="","✗ 没选收支项目",IF(P1315="未知","✗ 收支项目不在基础资料里",IF(AND(P1315="应收",J1315=""),"✗ 这笔要选客户",IF(AND(P1315="应收",COUNTIF(总览汇总!$B$5:$B$304,J1315)=0),"✗ 客户不在总览汇总名单里",IF(AND(P1315="应付",K1315=""),"✗ 这笔要选供应商",IF(AND(P1315="应付",COUNTIF(基础资料!$Q$5:$Q$54,K1315)=0),"✗ 供应商不在基础资料里",IF(AND(P1315="费用",L1315=""),"✗ 费用支出要选费用项目",IF(AND(L1315&lt;&gt;"",COUNTIF(基础资料!$AI$5:$AI$54,L1315)=0),"✗ 费用项目不在基础资料里",IF(AND(IFERROR(INDEX(基础资料!$AD$5:$AD$34,MATCH(O1315,基础资料!$AC$5:$AC$34,0)),"")="收",N(G1315)&lt;&gt;0),"✗ 这类是收款，金额填到收入列",IF(AND(IFERROR(INDEX(基础资料!$AD$5:$AD$34,MATCH(O1315,基础资料!$AC$5:$AC$34,0)),"")="支",N(F1315)&lt;&gt;0),"✗ 这类是付款，金额填到支出列",IF(N(H1315)&lt;0,"⚠ 账户余额成负数了，核对一下","√"))))))))))))))))))</f>
      </c>
      <c r="O1315" s="78">
        <f>IF(D1315&lt;&gt;"",D1315,IF(AND(F1315="",G1315=""),"",IF(J1315&lt;&gt;"",IF(N(F1315)&gt;0,"客户回款","客户退款"),IF(K1315&lt;&gt;"",IF(N(G1315)&gt;0,"供应商付款","供应商退款"),IF(L1315&lt;&gt;"","费用支出","")))))</f>
      </c>
      <c r="P1315" s="78">
        <f>IF(O1315="","",IFERROR(INDEX(基础资料!$AE$5:$AE$34,MATCH(O1315,基础资料!$AC$5:$AC$34,0)),"未知"))</f>
      </c>
      <c r="Q1315" s="78">
        <f>IF(P1315="应收",COUNTIF(P$7:P1315,"应收"),"")</f>
      </c>
      <c r="R1315" s="78">
        <f>IF(P1315="应付",COUNTIF(P$7:P1315,"应付"),"")</f>
      </c>
      <c r="S1315" s="78">
        <f>N(F1315)-N(G1315)</f>
        <v>0</v>
      </c>
    </row>
    <row r="1316">
      <c r="A1316" s="109">
        <f>IF(AND(F1316="",G1316=""),"",ROW()-6)</f>
      </c>
      <c r="B1316" s="140" t="n"/>
      <c r="C1316" s="141" t="n"/>
      <c r="D1316" s="141" t="n"/>
      <c r="E1316" s="142" t="n"/>
      <c r="F1316" s="143" t="n"/>
      <c r="G1316" s="144" t="n"/>
      <c r="H1316" s="145">
        <f>IF(OR(C1316="",AND(F1316="",G1316="")),"",SUMIF(基础资料!$W$5:$W$24,C1316,基础资料!$X$5:$X$24)+SUMIF(C$7:C1316,C1316,F$7:F1316)-SUMIF(C$7:C1316,C1316,G$7:G1316))</f>
      </c>
      <c r="I1316" s="145">
        <f>IF(AND(F1316="",G1316=""),"",SUM(基础资料!$X$5:$X$24)+SUM(F$7:F1316)-SUM(G$7:G1316))</f>
      </c>
      <c r="J1316" s="141" t="n"/>
      <c r="K1316" s="141" t="n"/>
      <c r="L1316" s="141" t="n"/>
      <c r="M1316" s="142" t="n"/>
      <c r="N1316" s="146">
        <f>IF(AND(AND(F1316="",G1316=""),B1316="",C1316="",D1316="",J1316="",K1316="",L1316=""),"",IF(AND(F1316="",G1316=""),"✗ 没填金额",IF(AND(N(F1316)&lt;&gt;0,N(G1316)&lt;&gt;0),"✗ 收入、支出只能填一边",IF(NOT(ISNUMBER(B1316)),"✗ 日期不是真日期（要像 2026/9/25 这样填）",IF(OR(B1316&lt;年初日,B1316&gt;年末日),"✗ 日期不在本会计年度",IF(C1316="","✗ 没选账户",IF(COUNTIF(基础资料!$W$5:$W$24,C1316)=0,"✗ 账户不在基础资料里",IF(O1316="","✗ 没选收支项目",IF(P1316="未知","✗ 收支项目不在基础资料里",IF(AND(P1316="应收",J1316=""),"✗ 这笔要选客户",IF(AND(P1316="应收",COUNTIF(总览汇总!$B$5:$B$304,J1316)=0),"✗ 客户不在总览汇总名单里",IF(AND(P1316="应付",K1316=""),"✗ 这笔要选供应商",IF(AND(P1316="应付",COUNTIF(基础资料!$Q$5:$Q$54,K1316)=0),"✗ 供应商不在基础资料里",IF(AND(P1316="费用",L1316=""),"✗ 费用支出要选费用项目",IF(AND(L1316&lt;&gt;"",COUNTIF(基础资料!$AI$5:$AI$54,L1316)=0),"✗ 费用项目不在基础资料里",IF(AND(IFERROR(INDEX(基础资料!$AD$5:$AD$34,MATCH(O1316,基础资料!$AC$5:$AC$34,0)),"")="收",N(G1316)&lt;&gt;0),"✗ 这类是收款，金额填到收入列",IF(AND(IFERROR(INDEX(基础资料!$AD$5:$AD$34,MATCH(O1316,基础资料!$AC$5:$AC$34,0)),"")="支",N(F1316)&lt;&gt;0),"✗ 这类是付款，金额填到支出列",IF(N(H1316)&lt;0,"⚠ 账户余额成负数了，核对一下","√"))))))))))))))))))</f>
      </c>
      <c r="O1316" s="78">
        <f>IF(D1316&lt;&gt;"",D1316,IF(AND(F1316="",G1316=""),"",IF(J1316&lt;&gt;"",IF(N(F1316)&gt;0,"客户回款","客户退款"),IF(K1316&lt;&gt;"",IF(N(G1316)&gt;0,"供应商付款","供应商退款"),IF(L1316&lt;&gt;"","费用支出","")))))</f>
      </c>
      <c r="P1316" s="78">
        <f>IF(O1316="","",IFERROR(INDEX(基础资料!$AE$5:$AE$34,MATCH(O1316,基础资料!$AC$5:$AC$34,0)),"未知"))</f>
      </c>
      <c r="Q1316" s="78">
        <f>IF(P1316="应收",COUNTIF(P$7:P1316,"应收"),"")</f>
      </c>
      <c r="R1316" s="78">
        <f>IF(P1316="应付",COUNTIF(P$7:P1316,"应付"),"")</f>
      </c>
      <c r="S1316" s="78">
        <f>N(F1316)-N(G1316)</f>
        <v>0</v>
      </c>
    </row>
    <row r="1317">
      <c r="A1317" s="109">
        <f>IF(AND(F1317="",G1317=""),"",ROW()-6)</f>
      </c>
      <c r="B1317" s="140" t="n"/>
      <c r="C1317" s="141" t="n"/>
      <c r="D1317" s="141" t="n"/>
      <c r="E1317" s="142" t="n"/>
      <c r="F1317" s="143" t="n"/>
      <c r="G1317" s="144" t="n"/>
      <c r="H1317" s="145">
        <f>IF(OR(C1317="",AND(F1317="",G1317="")),"",SUMIF(基础资料!$W$5:$W$24,C1317,基础资料!$X$5:$X$24)+SUMIF(C$7:C1317,C1317,F$7:F1317)-SUMIF(C$7:C1317,C1317,G$7:G1317))</f>
      </c>
      <c r="I1317" s="145">
        <f>IF(AND(F1317="",G1317=""),"",SUM(基础资料!$X$5:$X$24)+SUM(F$7:F1317)-SUM(G$7:G1317))</f>
      </c>
      <c r="J1317" s="141" t="n"/>
      <c r="K1317" s="141" t="n"/>
      <c r="L1317" s="141" t="n"/>
      <c r="M1317" s="142" t="n"/>
      <c r="N1317" s="146">
        <f>IF(AND(AND(F1317="",G1317=""),B1317="",C1317="",D1317="",J1317="",K1317="",L1317=""),"",IF(AND(F1317="",G1317=""),"✗ 没填金额",IF(AND(N(F1317)&lt;&gt;0,N(G1317)&lt;&gt;0),"✗ 收入、支出只能填一边",IF(NOT(ISNUMBER(B1317)),"✗ 日期不是真日期（要像 2026/9/25 这样填）",IF(OR(B1317&lt;年初日,B1317&gt;年末日),"✗ 日期不在本会计年度",IF(C1317="","✗ 没选账户",IF(COUNTIF(基础资料!$W$5:$W$24,C1317)=0,"✗ 账户不在基础资料里",IF(O1317="","✗ 没选收支项目",IF(P1317="未知","✗ 收支项目不在基础资料里",IF(AND(P1317="应收",J1317=""),"✗ 这笔要选客户",IF(AND(P1317="应收",COUNTIF(总览汇总!$B$5:$B$304,J1317)=0),"✗ 客户不在总览汇总名单里",IF(AND(P1317="应付",K1317=""),"✗ 这笔要选供应商",IF(AND(P1317="应付",COUNTIF(基础资料!$Q$5:$Q$54,K1317)=0),"✗ 供应商不在基础资料里",IF(AND(P1317="费用",L1317=""),"✗ 费用支出要选费用项目",IF(AND(L1317&lt;&gt;"",COUNTIF(基础资料!$AI$5:$AI$54,L1317)=0),"✗ 费用项目不在基础资料里",IF(AND(IFERROR(INDEX(基础资料!$AD$5:$AD$34,MATCH(O1317,基础资料!$AC$5:$AC$34,0)),"")="收",N(G1317)&lt;&gt;0),"✗ 这类是收款，金额填到收入列",IF(AND(IFERROR(INDEX(基础资料!$AD$5:$AD$34,MATCH(O1317,基础资料!$AC$5:$AC$34,0)),"")="支",N(F1317)&lt;&gt;0),"✗ 这类是付款，金额填到支出列",IF(N(H1317)&lt;0,"⚠ 账户余额成负数了，核对一下","√"))))))))))))))))))</f>
      </c>
      <c r="O1317" s="78">
        <f>IF(D1317&lt;&gt;"",D1317,IF(AND(F1317="",G1317=""),"",IF(J1317&lt;&gt;"",IF(N(F1317)&gt;0,"客户回款","客户退款"),IF(K1317&lt;&gt;"",IF(N(G1317)&gt;0,"供应商付款","供应商退款"),IF(L1317&lt;&gt;"","费用支出","")))))</f>
      </c>
      <c r="P1317" s="78">
        <f>IF(O1317="","",IFERROR(INDEX(基础资料!$AE$5:$AE$34,MATCH(O1317,基础资料!$AC$5:$AC$34,0)),"未知"))</f>
      </c>
      <c r="Q1317" s="78">
        <f>IF(P1317="应收",COUNTIF(P$7:P1317,"应收"),"")</f>
      </c>
      <c r="R1317" s="78">
        <f>IF(P1317="应付",COUNTIF(P$7:P1317,"应付"),"")</f>
      </c>
      <c r="S1317" s="78">
        <f>N(F1317)-N(G1317)</f>
        <v>0</v>
      </c>
    </row>
    <row r="1318">
      <c r="A1318" s="109">
        <f>IF(AND(F1318="",G1318=""),"",ROW()-6)</f>
      </c>
      <c r="B1318" s="140" t="n"/>
      <c r="C1318" s="141" t="n"/>
      <c r="D1318" s="141" t="n"/>
      <c r="E1318" s="142" t="n"/>
      <c r="F1318" s="143" t="n"/>
      <c r="G1318" s="144" t="n"/>
      <c r="H1318" s="145">
        <f>IF(OR(C1318="",AND(F1318="",G1318="")),"",SUMIF(基础资料!$W$5:$W$24,C1318,基础资料!$X$5:$X$24)+SUMIF(C$7:C1318,C1318,F$7:F1318)-SUMIF(C$7:C1318,C1318,G$7:G1318))</f>
      </c>
      <c r="I1318" s="145">
        <f>IF(AND(F1318="",G1318=""),"",SUM(基础资料!$X$5:$X$24)+SUM(F$7:F1318)-SUM(G$7:G1318))</f>
      </c>
      <c r="J1318" s="141" t="n"/>
      <c r="K1318" s="141" t="n"/>
      <c r="L1318" s="141" t="n"/>
      <c r="M1318" s="142" t="n"/>
      <c r="N1318" s="146">
        <f>IF(AND(AND(F1318="",G1318=""),B1318="",C1318="",D1318="",J1318="",K1318="",L1318=""),"",IF(AND(F1318="",G1318=""),"✗ 没填金额",IF(AND(N(F1318)&lt;&gt;0,N(G1318)&lt;&gt;0),"✗ 收入、支出只能填一边",IF(NOT(ISNUMBER(B1318)),"✗ 日期不是真日期（要像 2026/9/25 这样填）",IF(OR(B1318&lt;年初日,B1318&gt;年末日),"✗ 日期不在本会计年度",IF(C1318="","✗ 没选账户",IF(COUNTIF(基础资料!$W$5:$W$24,C1318)=0,"✗ 账户不在基础资料里",IF(O1318="","✗ 没选收支项目",IF(P1318="未知","✗ 收支项目不在基础资料里",IF(AND(P1318="应收",J1318=""),"✗ 这笔要选客户",IF(AND(P1318="应收",COUNTIF(总览汇总!$B$5:$B$304,J1318)=0),"✗ 客户不在总览汇总名单里",IF(AND(P1318="应付",K1318=""),"✗ 这笔要选供应商",IF(AND(P1318="应付",COUNTIF(基础资料!$Q$5:$Q$54,K1318)=0),"✗ 供应商不在基础资料里",IF(AND(P1318="费用",L1318=""),"✗ 费用支出要选费用项目",IF(AND(L1318&lt;&gt;"",COUNTIF(基础资料!$AI$5:$AI$54,L1318)=0),"✗ 费用项目不在基础资料里",IF(AND(IFERROR(INDEX(基础资料!$AD$5:$AD$34,MATCH(O1318,基础资料!$AC$5:$AC$34,0)),"")="收",N(G1318)&lt;&gt;0),"✗ 这类是收款，金额填到收入列",IF(AND(IFERROR(INDEX(基础资料!$AD$5:$AD$34,MATCH(O1318,基础资料!$AC$5:$AC$34,0)),"")="支",N(F1318)&lt;&gt;0),"✗ 这类是付款，金额填到支出列",IF(N(H1318)&lt;0,"⚠ 账户余额成负数了，核对一下","√"))))))))))))))))))</f>
      </c>
      <c r="O1318" s="78">
        <f>IF(D1318&lt;&gt;"",D1318,IF(AND(F1318="",G1318=""),"",IF(J1318&lt;&gt;"",IF(N(F1318)&gt;0,"客户回款","客户退款"),IF(K1318&lt;&gt;"",IF(N(G1318)&gt;0,"供应商付款","供应商退款"),IF(L1318&lt;&gt;"","费用支出","")))))</f>
      </c>
      <c r="P1318" s="78">
        <f>IF(O1318="","",IFERROR(INDEX(基础资料!$AE$5:$AE$34,MATCH(O1318,基础资料!$AC$5:$AC$34,0)),"未知"))</f>
      </c>
      <c r="Q1318" s="78">
        <f>IF(P1318="应收",COUNTIF(P$7:P1318,"应收"),"")</f>
      </c>
      <c r="R1318" s="78">
        <f>IF(P1318="应付",COUNTIF(P$7:P1318,"应付"),"")</f>
      </c>
      <c r="S1318" s="78">
        <f>N(F1318)-N(G1318)</f>
        <v>0</v>
      </c>
    </row>
    <row r="1319">
      <c r="A1319" s="109">
        <f>IF(AND(F1319="",G1319=""),"",ROW()-6)</f>
      </c>
      <c r="B1319" s="140" t="n"/>
      <c r="C1319" s="141" t="n"/>
      <c r="D1319" s="141" t="n"/>
      <c r="E1319" s="142" t="n"/>
      <c r="F1319" s="143" t="n"/>
      <c r="G1319" s="144" t="n"/>
      <c r="H1319" s="145">
        <f>IF(OR(C1319="",AND(F1319="",G1319="")),"",SUMIF(基础资料!$W$5:$W$24,C1319,基础资料!$X$5:$X$24)+SUMIF(C$7:C1319,C1319,F$7:F1319)-SUMIF(C$7:C1319,C1319,G$7:G1319))</f>
      </c>
      <c r="I1319" s="145">
        <f>IF(AND(F1319="",G1319=""),"",SUM(基础资料!$X$5:$X$24)+SUM(F$7:F1319)-SUM(G$7:G1319))</f>
      </c>
      <c r="J1319" s="141" t="n"/>
      <c r="K1319" s="141" t="n"/>
      <c r="L1319" s="141" t="n"/>
      <c r="M1319" s="142" t="n"/>
      <c r="N1319" s="146">
        <f>IF(AND(AND(F1319="",G1319=""),B1319="",C1319="",D1319="",J1319="",K1319="",L1319=""),"",IF(AND(F1319="",G1319=""),"✗ 没填金额",IF(AND(N(F1319)&lt;&gt;0,N(G1319)&lt;&gt;0),"✗ 收入、支出只能填一边",IF(NOT(ISNUMBER(B1319)),"✗ 日期不是真日期（要像 2026/9/25 这样填）",IF(OR(B1319&lt;年初日,B1319&gt;年末日),"✗ 日期不在本会计年度",IF(C1319="","✗ 没选账户",IF(COUNTIF(基础资料!$W$5:$W$24,C1319)=0,"✗ 账户不在基础资料里",IF(O1319="","✗ 没选收支项目",IF(P1319="未知","✗ 收支项目不在基础资料里",IF(AND(P1319="应收",J1319=""),"✗ 这笔要选客户",IF(AND(P1319="应收",COUNTIF(总览汇总!$B$5:$B$304,J1319)=0),"✗ 客户不在总览汇总名单里",IF(AND(P1319="应付",K1319=""),"✗ 这笔要选供应商",IF(AND(P1319="应付",COUNTIF(基础资料!$Q$5:$Q$54,K1319)=0),"✗ 供应商不在基础资料里",IF(AND(P1319="费用",L1319=""),"✗ 费用支出要选费用项目",IF(AND(L1319&lt;&gt;"",COUNTIF(基础资料!$AI$5:$AI$54,L1319)=0),"✗ 费用项目不在基础资料里",IF(AND(IFERROR(INDEX(基础资料!$AD$5:$AD$34,MATCH(O1319,基础资料!$AC$5:$AC$34,0)),"")="收",N(G1319)&lt;&gt;0),"✗ 这类是收款，金额填到收入列",IF(AND(IFERROR(INDEX(基础资料!$AD$5:$AD$34,MATCH(O1319,基础资料!$AC$5:$AC$34,0)),"")="支",N(F1319)&lt;&gt;0),"✗ 这类是付款，金额填到支出列",IF(N(H1319)&lt;0,"⚠ 账户余额成负数了，核对一下","√"))))))))))))))))))</f>
      </c>
      <c r="O1319" s="78">
        <f>IF(D1319&lt;&gt;"",D1319,IF(AND(F1319="",G1319=""),"",IF(J1319&lt;&gt;"",IF(N(F1319)&gt;0,"客户回款","客户退款"),IF(K1319&lt;&gt;"",IF(N(G1319)&gt;0,"供应商付款","供应商退款"),IF(L1319&lt;&gt;"","费用支出","")))))</f>
      </c>
      <c r="P1319" s="78">
        <f>IF(O1319="","",IFERROR(INDEX(基础资料!$AE$5:$AE$34,MATCH(O1319,基础资料!$AC$5:$AC$34,0)),"未知"))</f>
      </c>
      <c r="Q1319" s="78">
        <f>IF(P1319="应收",COUNTIF(P$7:P1319,"应收"),"")</f>
      </c>
      <c r="R1319" s="78">
        <f>IF(P1319="应付",COUNTIF(P$7:P1319,"应付"),"")</f>
      </c>
      <c r="S1319" s="78">
        <f>N(F1319)-N(G1319)</f>
        <v>0</v>
      </c>
    </row>
    <row r="1320">
      <c r="A1320" s="109">
        <f>IF(AND(F1320="",G1320=""),"",ROW()-6)</f>
      </c>
      <c r="B1320" s="140" t="n"/>
      <c r="C1320" s="141" t="n"/>
      <c r="D1320" s="141" t="n"/>
      <c r="E1320" s="142" t="n"/>
      <c r="F1320" s="143" t="n"/>
      <c r="G1320" s="144" t="n"/>
      <c r="H1320" s="145">
        <f>IF(OR(C1320="",AND(F1320="",G1320="")),"",SUMIF(基础资料!$W$5:$W$24,C1320,基础资料!$X$5:$X$24)+SUMIF(C$7:C1320,C1320,F$7:F1320)-SUMIF(C$7:C1320,C1320,G$7:G1320))</f>
      </c>
      <c r="I1320" s="145">
        <f>IF(AND(F1320="",G1320=""),"",SUM(基础资料!$X$5:$X$24)+SUM(F$7:F1320)-SUM(G$7:G1320))</f>
      </c>
      <c r="J1320" s="141" t="n"/>
      <c r="K1320" s="141" t="n"/>
      <c r="L1320" s="141" t="n"/>
      <c r="M1320" s="142" t="n"/>
      <c r="N1320" s="146">
        <f>IF(AND(AND(F1320="",G1320=""),B1320="",C1320="",D1320="",J1320="",K1320="",L1320=""),"",IF(AND(F1320="",G1320=""),"✗ 没填金额",IF(AND(N(F1320)&lt;&gt;0,N(G1320)&lt;&gt;0),"✗ 收入、支出只能填一边",IF(NOT(ISNUMBER(B1320)),"✗ 日期不是真日期（要像 2026/9/25 这样填）",IF(OR(B1320&lt;年初日,B1320&gt;年末日),"✗ 日期不在本会计年度",IF(C1320="","✗ 没选账户",IF(COUNTIF(基础资料!$W$5:$W$24,C1320)=0,"✗ 账户不在基础资料里",IF(O1320="","✗ 没选收支项目",IF(P1320="未知","✗ 收支项目不在基础资料里",IF(AND(P1320="应收",J1320=""),"✗ 这笔要选客户",IF(AND(P1320="应收",COUNTIF(总览汇总!$B$5:$B$304,J1320)=0),"✗ 客户不在总览汇总名单里",IF(AND(P1320="应付",K1320=""),"✗ 这笔要选供应商",IF(AND(P1320="应付",COUNTIF(基础资料!$Q$5:$Q$54,K1320)=0),"✗ 供应商不在基础资料里",IF(AND(P1320="费用",L1320=""),"✗ 费用支出要选费用项目",IF(AND(L1320&lt;&gt;"",COUNTIF(基础资料!$AI$5:$AI$54,L1320)=0),"✗ 费用项目不在基础资料里",IF(AND(IFERROR(INDEX(基础资料!$AD$5:$AD$34,MATCH(O1320,基础资料!$AC$5:$AC$34,0)),"")="收",N(G1320)&lt;&gt;0),"✗ 这类是收款，金额填到收入列",IF(AND(IFERROR(INDEX(基础资料!$AD$5:$AD$34,MATCH(O1320,基础资料!$AC$5:$AC$34,0)),"")="支",N(F1320)&lt;&gt;0),"✗ 这类是付款，金额填到支出列",IF(N(H1320)&lt;0,"⚠ 账户余额成负数了，核对一下","√"))))))))))))))))))</f>
      </c>
      <c r="O1320" s="78">
        <f>IF(D1320&lt;&gt;"",D1320,IF(AND(F1320="",G1320=""),"",IF(J1320&lt;&gt;"",IF(N(F1320)&gt;0,"客户回款","客户退款"),IF(K1320&lt;&gt;"",IF(N(G1320)&gt;0,"供应商付款","供应商退款"),IF(L1320&lt;&gt;"","费用支出","")))))</f>
      </c>
      <c r="P1320" s="78">
        <f>IF(O1320="","",IFERROR(INDEX(基础资料!$AE$5:$AE$34,MATCH(O1320,基础资料!$AC$5:$AC$34,0)),"未知"))</f>
      </c>
      <c r="Q1320" s="78">
        <f>IF(P1320="应收",COUNTIF(P$7:P1320,"应收"),"")</f>
      </c>
      <c r="R1320" s="78">
        <f>IF(P1320="应付",COUNTIF(P$7:P1320,"应付"),"")</f>
      </c>
      <c r="S1320" s="78">
        <f>N(F1320)-N(G1320)</f>
        <v>0</v>
      </c>
    </row>
    <row r="1321">
      <c r="A1321" s="109">
        <f>IF(AND(F1321="",G1321=""),"",ROW()-6)</f>
      </c>
      <c r="B1321" s="140" t="n"/>
      <c r="C1321" s="141" t="n"/>
      <c r="D1321" s="141" t="n"/>
      <c r="E1321" s="142" t="n"/>
      <c r="F1321" s="143" t="n"/>
      <c r="G1321" s="144" t="n"/>
      <c r="H1321" s="145">
        <f>IF(OR(C1321="",AND(F1321="",G1321="")),"",SUMIF(基础资料!$W$5:$W$24,C1321,基础资料!$X$5:$X$24)+SUMIF(C$7:C1321,C1321,F$7:F1321)-SUMIF(C$7:C1321,C1321,G$7:G1321))</f>
      </c>
      <c r="I1321" s="145">
        <f>IF(AND(F1321="",G1321=""),"",SUM(基础资料!$X$5:$X$24)+SUM(F$7:F1321)-SUM(G$7:G1321))</f>
      </c>
      <c r="J1321" s="141" t="n"/>
      <c r="K1321" s="141" t="n"/>
      <c r="L1321" s="141" t="n"/>
      <c r="M1321" s="142" t="n"/>
      <c r="N1321" s="146">
        <f>IF(AND(AND(F1321="",G1321=""),B1321="",C1321="",D1321="",J1321="",K1321="",L1321=""),"",IF(AND(F1321="",G1321=""),"✗ 没填金额",IF(AND(N(F1321)&lt;&gt;0,N(G1321)&lt;&gt;0),"✗ 收入、支出只能填一边",IF(NOT(ISNUMBER(B1321)),"✗ 日期不是真日期（要像 2026/9/25 这样填）",IF(OR(B1321&lt;年初日,B1321&gt;年末日),"✗ 日期不在本会计年度",IF(C1321="","✗ 没选账户",IF(COUNTIF(基础资料!$W$5:$W$24,C1321)=0,"✗ 账户不在基础资料里",IF(O1321="","✗ 没选收支项目",IF(P1321="未知","✗ 收支项目不在基础资料里",IF(AND(P1321="应收",J1321=""),"✗ 这笔要选客户",IF(AND(P1321="应收",COUNTIF(总览汇总!$B$5:$B$304,J1321)=0),"✗ 客户不在总览汇总名单里",IF(AND(P1321="应付",K1321=""),"✗ 这笔要选供应商",IF(AND(P1321="应付",COUNTIF(基础资料!$Q$5:$Q$54,K1321)=0),"✗ 供应商不在基础资料里",IF(AND(P1321="费用",L1321=""),"✗ 费用支出要选费用项目",IF(AND(L1321&lt;&gt;"",COUNTIF(基础资料!$AI$5:$AI$54,L1321)=0),"✗ 费用项目不在基础资料里",IF(AND(IFERROR(INDEX(基础资料!$AD$5:$AD$34,MATCH(O1321,基础资料!$AC$5:$AC$34,0)),"")="收",N(G1321)&lt;&gt;0),"✗ 这类是收款，金额填到收入列",IF(AND(IFERROR(INDEX(基础资料!$AD$5:$AD$34,MATCH(O1321,基础资料!$AC$5:$AC$34,0)),"")="支",N(F1321)&lt;&gt;0),"✗ 这类是付款，金额填到支出列",IF(N(H1321)&lt;0,"⚠ 账户余额成负数了，核对一下","√"))))))))))))))))))</f>
      </c>
      <c r="O1321" s="78">
        <f>IF(D1321&lt;&gt;"",D1321,IF(AND(F1321="",G1321=""),"",IF(J1321&lt;&gt;"",IF(N(F1321)&gt;0,"客户回款","客户退款"),IF(K1321&lt;&gt;"",IF(N(G1321)&gt;0,"供应商付款","供应商退款"),IF(L1321&lt;&gt;"","费用支出","")))))</f>
      </c>
      <c r="P1321" s="78">
        <f>IF(O1321="","",IFERROR(INDEX(基础资料!$AE$5:$AE$34,MATCH(O1321,基础资料!$AC$5:$AC$34,0)),"未知"))</f>
      </c>
      <c r="Q1321" s="78">
        <f>IF(P1321="应收",COUNTIF(P$7:P1321,"应收"),"")</f>
      </c>
      <c r="R1321" s="78">
        <f>IF(P1321="应付",COUNTIF(P$7:P1321,"应付"),"")</f>
      </c>
      <c r="S1321" s="78">
        <f>N(F1321)-N(G1321)</f>
        <v>0</v>
      </c>
    </row>
    <row r="1322">
      <c r="A1322" s="109">
        <f>IF(AND(F1322="",G1322=""),"",ROW()-6)</f>
      </c>
      <c r="B1322" s="140" t="n"/>
      <c r="C1322" s="141" t="n"/>
      <c r="D1322" s="141" t="n"/>
      <c r="E1322" s="142" t="n"/>
      <c r="F1322" s="143" t="n"/>
      <c r="G1322" s="144" t="n"/>
      <c r="H1322" s="145">
        <f>IF(OR(C1322="",AND(F1322="",G1322="")),"",SUMIF(基础资料!$W$5:$W$24,C1322,基础资料!$X$5:$X$24)+SUMIF(C$7:C1322,C1322,F$7:F1322)-SUMIF(C$7:C1322,C1322,G$7:G1322))</f>
      </c>
      <c r="I1322" s="145">
        <f>IF(AND(F1322="",G1322=""),"",SUM(基础资料!$X$5:$X$24)+SUM(F$7:F1322)-SUM(G$7:G1322))</f>
      </c>
      <c r="J1322" s="141" t="n"/>
      <c r="K1322" s="141" t="n"/>
      <c r="L1322" s="141" t="n"/>
      <c r="M1322" s="142" t="n"/>
      <c r="N1322" s="146">
        <f>IF(AND(AND(F1322="",G1322=""),B1322="",C1322="",D1322="",J1322="",K1322="",L1322=""),"",IF(AND(F1322="",G1322=""),"✗ 没填金额",IF(AND(N(F1322)&lt;&gt;0,N(G1322)&lt;&gt;0),"✗ 收入、支出只能填一边",IF(NOT(ISNUMBER(B1322)),"✗ 日期不是真日期（要像 2026/9/25 这样填）",IF(OR(B1322&lt;年初日,B1322&gt;年末日),"✗ 日期不在本会计年度",IF(C1322="","✗ 没选账户",IF(COUNTIF(基础资料!$W$5:$W$24,C1322)=0,"✗ 账户不在基础资料里",IF(O1322="","✗ 没选收支项目",IF(P1322="未知","✗ 收支项目不在基础资料里",IF(AND(P1322="应收",J1322=""),"✗ 这笔要选客户",IF(AND(P1322="应收",COUNTIF(总览汇总!$B$5:$B$304,J1322)=0),"✗ 客户不在总览汇总名单里",IF(AND(P1322="应付",K1322=""),"✗ 这笔要选供应商",IF(AND(P1322="应付",COUNTIF(基础资料!$Q$5:$Q$54,K1322)=0),"✗ 供应商不在基础资料里",IF(AND(P1322="费用",L1322=""),"✗ 费用支出要选费用项目",IF(AND(L1322&lt;&gt;"",COUNTIF(基础资料!$AI$5:$AI$54,L1322)=0),"✗ 费用项目不在基础资料里",IF(AND(IFERROR(INDEX(基础资料!$AD$5:$AD$34,MATCH(O1322,基础资料!$AC$5:$AC$34,0)),"")="收",N(G1322)&lt;&gt;0),"✗ 这类是收款，金额填到收入列",IF(AND(IFERROR(INDEX(基础资料!$AD$5:$AD$34,MATCH(O1322,基础资料!$AC$5:$AC$34,0)),"")="支",N(F1322)&lt;&gt;0),"✗ 这类是付款，金额填到支出列",IF(N(H1322)&lt;0,"⚠ 账户余额成负数了，核对一下","√"))))))))))))))))))</f>
      </c>
      <c r="O1322" s="78">
        <f>IF(D1322&lt;&gt;"",D1322,IF(AND(F1322="",G1322=""),"",IF(J1322&lt;&gt;"",IF(N(F1322)&gt;0,"客户回款","客户退款"),IF(K1322&lt;&gt;"",IF(N(G1322)&gt;0,"供应商付款","供应商退款"),IF(L1322&lt;&gt;"","费用支出","")))))</f>
      </c>
      <c r="P1322" s="78">
        <f>IF(O1322="","",IFERROR(INDEX(基础资料!$AE$5:$AE$34,MATCH(O1322,基础资料!$AC$5:$AC$34,0)),"未知"))</f>
      </c>
      <c r="Q1322" s="78">
        <f>IF(P1322="应收",COUNTIF(P$7:P1322,"应收"),"")</f>
      </c>
      <c r="R1322" s="78">
        <f>IF(P1322="应付",COUNTIF(P$7:P1322,"应付"),"")</f>
      </c>
      <c r="S1322" s="78">
        <f>N(F1322)-N(G1322)</f>
        <v>0</v>
      </c>
    </row>
    <row r="1323">
      <c r="A1323" s="109">
        <f>IF(AND(F1323="",G1323=""),"",ROW()-6)</f>
      </c>
      <c r="B1323" s="140" t="n"/>
      <c r="C1323" s="141" t="n"/>
      <c r="D1323" s="141" t="n"/>
      <c r="E1323" s="142" t="n"/>
      <c r="F1323" s="143" t="n"/>
      <c r="G1323" s="144" t="n"/>
      <c r="H1323" s="145">
        <f>IF(OR(C1323="",AND(F1323="",G1323="")),"",SUMIF(基础资料!$W$5:$W$24,C1323,基础资料!$X$5:$X$24)+SUMIF(C$7:C1323,C1323,F$7:F1323)-SUMIF(C$7:C1323,C1323,G$7:G1323))</f>
      </c>
      <c r="I1323" s="145">
        <f>IF(AND(F1323="",G1323=""),"",SUM(基础资料!$X$5:$X$24)+SUM(F$7:F1323)-SUM(G$7:G1323))</f>
      </c>
      <c r="J1323" s="141" t="n"/>
      <c r="K1323" s="141" t="n"/>
      <c r="L1323" s="141" t="n"/>
      <c r="M1323" s="142" t="n"/>
      <c r="N1323" s="146">
        <f>IF(AND(AND(F1323="",G1323=""),B1323="",C1323="",D1323="",J1323="",K1323="",L1323=""),"",IF(AND(F1323="",G1323=""),"✗ 没填金额",IF(AND(N(F1323)&lt;&gt;0,N(G1323)&lt;&gt;0),"✗ 收入、支出只能填一边",IF(NOT(ISNUMBER(B1323)),"✗ 日期不是真日期（要像 2026/9/25 这样填）",IF(OR(B1323&lt;年初日,B1323&gt;年末日),"✗ 日期不在本会计年度",IF(C1323="","✗ 没选账户",IF(COUNTIF(基础资料!$W$5:$W$24,C1323)=0,"✗ 账户不在基础资料里",IF(O1323="","✗ 没选收支项目",IF(P1323="未知","✗ 收支项目不在基础资料里",IF(AND(P1323="应收",J1323=""),"✗ 这笔要选客户",IF(AND(P1323="应收",COUNTIF(总览汇总!$B$5:$B$304,J1323)=0),"✗ 客户不在总览汇总名单里",IF(AND(P1323="应付",K1323=""),"✗ 这笔要选供应商",IF(AND(P1323="应付",COUNTIF(基础资料!$Q$5:$Q$54,K1323)=0),"✗ 供应商不在基础资料里",IF(AND(P1323="费用",L1323=""),"✗ 费用支出要选费用项目",IF(AND(L1323&lt;&gt;"",COUNTIF(基础资料!$AI$5:$AI$54,L1323)=0),"✗ 费用项目不在基础资料里",IF(AND(IFERROR(INDEX(基础资料!$AD$5:$AD$34,MATCH(O1323,基础资料!$AC$5:$AC$34,0)),"")="收",N(G1323)&lt;&gt;0),"✗ 这类是收款，金额填到收入列",IF(AND(IFERROR(INDEX(基础资料!$AD$5:$AD$34,MATCH(O1323,基础资料!$AC$5:$AC$34,0)),"")="支",N(F1323)&lt;&gt;0),"✗ 这类是付款，金额填到支出列",IF(N(H1323)&lt;0,"⚠ 账户余额成负数了，核对一下","√"))))))))))))))))))</f>
      </c>
      <c r="O1323" s="78">
        <f>IF(D1323&lt;&gt;"",D1323,IF(AND(F1323="",G1323=""),"",IF(J1323&lt;&gt;"",IF(N(F1323)&gt;0,"客户回款","客户退款"),IF(K1323&lt;&gt;"",IF(N(G1323)&gt;0,"供应商付款","供应商退款"),IF(L1323&lt;&gt;"","费用支出","")))))</f>
      </c>
      <c r="P1323" s="78">
        <f>IF(O1323="","",IFERROR(INDEX(基础资料!$AE$5:$AE$34,MATCH(O1323,基础资料!$AC$5:$AC$34,0)),"未知"))</f>
      </c>
      <c r="Q1323" s="78">
        <f>IF(P1323="应收",COUNTIF(P$7:P1323,"应收"),"")</f>
      </c>
      <c r="R1323" s="78">
        <f>IF(P1323="应付",COUNTIF(P$7:P1323,"应付"),"")</f>
      </c>
      <c r="S1323" s="78">
        <f>N(F1323)-N(G1323)</f>
        <v>0</v>
      </c>
    </row>
    <row r="1324">
      <c r="A1324" s="109">
        <f>IF(AND(F1324="",G1324=""),"",ROW()-6)</f>
      </c>
      <c r="B1324" s="140" t="n"/>
      <c r="C1324" s="141" t="n"/>
      <c r="D1324" s="141" t="n"/>
      <c r="E1324" s="142" t="n"/>
      <c r="F1324" s="143" t="n"/>
      <c r="G1324" s="144" t="n"/>
      <c r="H1324" s="145">
        <f>IF(OR(C1324="",AND(F1324="",G1324="")),"",SUMIF(基础资料!$W$5:$W$24,C1324,基础资料!$X$5:$X$24)+SUMIF(C$7:C1324,C1324,F$7:F1324)-SUMIF(C$7:C1324,C1324,G$7:G1324))</f>
      </c>
      <c r="I1324" s="145">
        <f>IF(AND(F1324="",G1324=""),"",SUM(基础资料!$X$5:$X$24)+SUM(F$7:F1324)-SUM(G$7:G1324))</f>
      </c>
      <c r="J1324" s="141" t="n"/>
      <c r="K1324" s="141" t="n"/>
      <c r="L1324" s="141" t="n"/>
      <c r="M1324" s="142" t="n"/>
      <c r="N1324" s="146">
        <f>IF(AND(AND(F1324="",G1324=""),B1324="",C1324="",D1324="",J1324="",K1324="",L1324=""),"",IF(AND(F1324="",G1324=""),"✗ 没填金额",IF(AND(N(F1324)&lt;&gt;0,N(G1324)&lt;&gt;0),"✗ 收入、支出只能填一边",IF(NOT(ISNUMBER(B1324)),"✗ 日期不是真日期（要像 2026/9/25 这样填）",IF(OR(B1324&lt;年初日,B1324&gt;年末日),"✗ 日期不在本会计年度",IF(C1324="","✗ 没选账户",IF(COUNTIF(基础资料!$W$5:$W$24,C1324)=0,"✗ 账户不在基础资料里",IF(O1324="","✗ 没选收支项目",IF(P1324="未知","✗ 收支项目不在基础资料里",IF(AND(P1324="应收",J1324=""),"✗ 这笔要选客户",IF(AND(P1324="应收",COUNTIF(总览汇总!$B$5:$B$304,J1324)=0),"✗ 客户不在总览汇总名单里",IF(AND(P1324="应付",K1324=""),"✗ 这笔要选供应商",IF(AND(P1324="应付",COUNTIF(基础资料!$Q$5:$Q$54,K1324)=0),"✗ 供应商不在基础资料里",IF(AND(P1324="费用",L1324=""),"✗ 费用支出要选费用项目",IF(AND(L1324&lt;&gt;"",COUNTIF(基础资料!$AI$5:$AI$54,L1324)=0),"✗ 费用项目不在基础资料里",IF(AND(IFERROR(INDEX(基础资料!$AD$5:$AD$34,MATCH(O1324,基础资料!$AC$5:$AC$34,0)),"")="收",N(G1324)&lt;&gt;0),"✗ 这类是收款，金额填到收入列",IF(AND(IFERROR(INDEX(基础资料!$AD$5:$AD$34,MATCH(O1324,基础资料!$AC$5:$AC$34,0)),"")="支",N(F1324)&lt;&gt;0),"✗ 这类是付款，金额填到支出列",IF(N(H1324)&lt;0,"⚠ 账户余额成负数了，核对一下","√"))))))))))))))))))</f>
      </c>
      <c r="O1324" s="78">
        <f>IF(D1324&lt;&gt;"",D1324,IF(AND(F1324="",G1324=""),"",IF(J1324&lt;&gt;"",IF(N(F1324)&gt;0,"客户回款","客户退款"),IF(K1324&lt;&gt;"",IF(N(G1324)&gt;0,"供应商付款","供应商退款"),IF(L1324&lt;&gt;"","费用支出","")))))</f>
      </c>
      <c r="P1324" s="78">
        <f>IF(O1324="","",IFERROR(INDEX(基础资料!$AE$5:$AE$34,MATCH(O1324,基础资料!$AC$5:$AC$34,0)),"未知"))</f>
      </c>
      <c r="Q1324" s="78">
        <f>IF(P1324="应收",COUNTIF(P$7:P1324,"应收"),"")</f>
      </c>
      <c r="R1324" s="78">
        <f>IF(P1324="应付",COUNTIF(P$7:P1324,"应付"),"")</f>
      </c>
      <c r="S1324" s="78">
        <f>N(F1324)-N(G1324)</f>
        <v>0</v>
      </c>
    </row>
    <row r="1325">
      <c r="A1325" s="109">
        <f>IF(AND(F1325="",G1325=""),"",ROW()-6)</f>
      </c>
      <c r="B1325" s="140" t="n"/>
      <c r="C1325" s="141" t="n"/>
      <c r="D1325" s="141" t="n"/>
      <c r="E1325" s="142" t="n"/>
      <c r="F1325" s="143" t="n"/>
      <c r="G1325" s="144" t="n"/>
      <c r="H1325" s="145">
        <f>IF(OR(C1325="",AND(F1325="",G1325="")),"",SUMIF(基础资料!$W$5:$W$24,C1325,基础资料!$X$5:$X$24)+SUMIF(C$7:C1325,C1325,F$7:F1325)-SUMIF(C$7:C1325,C1325,G$7:G1325))</f>
      </c>
      <c r="I1325" s="145">
        <f>IF(AND(F1325="",G1325=""),"",SUM(基础资料!$X$5:$X$24)+SUM(F$7:F1325)-SUM(G$7:G1325))</f>
      </c>
      <c r="J1325" s="141" t="n"/>
      <c r="K1325" s="141" t="n"/>
      <c r="L1325" s="141" t="n"/>
      <c r="M1325" s="142" t="n"/>
      <c r="N1325" s="146">
        <f>IF(AND(AND(F1325="",G1325=""),B1325="",C1325="",D1325="",J1325="",K1325="",L1325=""),"",IF(AND(F1325="",G1325=""),"✗ 没填金额",IF(AND(N(F1325)&lt;&gt;0,N(G1325)&lt;&gt;0),"✗ 收入、支出只能填一边",IF(NOT(ISNUMBER(B1325)),"✗ 日期不是真日期（要像 2026/9/25 这样填）",IF(OR(B1325&lt;年初日,B1325&gt;年末日),"✗ 日期不在本会计年度",IF(C1325="","✗ 没选账户",IF(COUNTIF(基础资料!$W$5:$W$24,C1325)=0,"✗ 账户不在基础资料里",IF(O1325="","✗ 没选收支项目",IF(P1325="未知","✗ 收支项目不在基础资料里",IF(AND(P1325="应收",J1325=""),"✗ 这笔要选客户",IF(AND(P1325="应收",COUNTIF(总览汇总!$B$5:$B$304,J1325)=0),"✗ 客户不在总览汇总名单里",IF(AND(P1325="应付",K1325=""),"✗ 这笔要选供应商",IF(AND(P1325="应付",COUNTIF(基础资料!$Q$5:$Q$54,K1325)=0),"✗ 供应商不在基础资料里",IF(AND(P1325="费用",L1325=""),"✗ 费用支出要选费用项目",IF(AND(L1325&lt;&gt;"",COUNTIF(基础资料!$AI$5:$AI$54,L1325)=0),"✗ 费用项目不在基础资料里",IF(AND(IFERROR(INDEX(基础资料!$AD$5:$AD$34,MATCH(O1325,基础资料!$AC$5:$AC$34,0)),"")="收",N(G1325)&lt;&gt;0),"✗ 这类是收款，金额填到收入列",IF(AND(IFERROR(INDEX(基础资料!$AD$5:$AD$34,MATCH(O1325,基础资料!$AC$5:$AC$34,0)),"")="支",N(F1325)&lt;&gt;0),"✗ 这类是付款，金额填到支出列",IF(N(H1325)&lt;0,"⚠ 账户余额成负数了，核对一下","√"))))))))))))))))))</f>
      </c>
      <c r="O1325" s="78">
        <f>IF(D1325&lt;&gt;"",D1325,IF(AND(F1325="",G1325=""),"",IF(J1325&lt;&gt;"",IF(N(F1325)&gt;0,"客户回款","客户退款"),IF(K1325&lt;&gt;"",IF(N(G1325)&gt;0,"供应商付款","供应商退款"),IF(L1325&lt;&gt;"","费用支出","")))))</f>
      </c>
      <c r="P1325" s="78">
        <f>IF(O1325="","",IFERROR(INDEX(基础资料!$AE$5:$AE$34,MATCH(O1325,基础资料!$AC$5:$AC$34,0)),"未知"))</f>
      </c>
      <c r="Q1325" s="78">
        <f>IF(P1325="应收",COUNTIF(P$7:P1325,"应收"),"")</f>
      </c>
      <c r="R1325" s="78">
        <f>IF(P1325="应付",COUNTIF(P$7:P1325,"应付"),"")</f>
      </c>
      <c r="S1325" s="78">
        <f>N(F1325)-N(G1325)</f>
        <v>0</v>
      </c>
    </row>
    <row r="1326">
      <c r="A1326" s="109">
        <f>IF(AND(F1326="",G1326=""),"",ROW()-6)</f>
      </c>
      <c r="B1326" s="140" t="n"/>
      <c r="C1326" s="141" t="n"/>
      <c r="D1326" s="141" t="n"/>
      <c r="E1326" s="142" t="n"/>
      <c r="F1326" s="143" t="n"/>
      <c r="G1326" s="144" t="n"/>
      <c r="H1326" s="145">
        <f>IF(OR(C1326="",AND(F1326="",G1326="")),"",SUMIF(基础资料!$W$5:$W$24,C1326,基础资料!$X$5:$X$24)+SUMIF(C$7:C1326,C1326,F$7:F1326)-SUMIF(C$7:C1326,C1326,G$7:G1326))</f>
      </c>
      <c r="I1326" s="145">
        <f>IF(AND(F1326="",G1326=""),"",SUM(基础资料!$X$5:$X$24)+SUM(F$7:F1326)-SUM(G$7:G1326))</f>
      </c>
      <c r="J1326" s="141" t="n"/>
      <c r="K1326" s="141" t="n"/>
      <c r="L1326" s="141" t="n"/>
      <c r="M1326" s="142" t="n"/>
      <c r="N1326" s="146">
        <f>IF(AND(AND(F1326="",G1326=""),B1326="",C1326="",D1326="",J1326="",K1326="",L1326=""),"",IF(AND(F1326="",G1326=""),"✗ 没填金额",IF(AND(N(F1326)&lt;&gt;0,N(G1326)&lt;&gt;0),"✗ 收入、支出只能填一边",IF(NOT(ISNUMBER(B1326)),"✗ 日期不是真日期（要像 2026/9/25 这样填）",IF(OR(B1326&lt;年初日,B1326&gt;年末日),"✗ 日期不在本会计年度",IF(C1326="","✗ 没选账户",IF(COUNTIF(基础资料!$W$5:$W$24,C1326)=0,"✗ 账户不在基础资料里",IF(O1326="","✗ 没选收支项目",IF(P1326="未知","✗ 收支项目不在基础资料里",IF(AND(P1326="应收",J1326=""),"✗ 这笔要选客户",IF(AND(P1326="应收",COUNTIF(总览汇总!$B$5:$B$304,J1326)=0),"✗ 客户不在总览汇总名单里",IF(AND(P1326="应付",K1326=""),"✗ 这笔要选供应商",IF(AND(P1326="应付",COUNTIF(基础资料!$Q$5:$Q$54,K1326)=0),"✗ 供应商不在基础资料里",IF(AND(P1326="费用",L1326=""),"✗ 费用支出要选费用项目",IF(AND(L1326&lt;&gt;"",COUNTIF(基础资料!$AI$5:$AI$54,L1326)=0),"✗ 费用项目不在基础资料里",IF(AND(IFERROR(INDEX(基础资料!$AD$5:$AD$34,MATCH(O1326,基础资料!$AC$5:$AC$34,0)),"")="收",N(G1326)&lt;&gt;0),"✗ 这类是收款，金额填到收入列",IF(AND(IFERROR(INDEX(基础资料!$AD$5:$AD$34,MATCH(O1326,基础资料!$AC$5:$AC$34,0)),"")="支",N(F1326)&lt;&gt;0),"✗ 这类是付款，金额填到支出列",IF(N(H1326)&lt;0,"⚠ 账户余额成负数了，核对一下","√"))))))))))))))))))</f>
      </c>
      <c r="O1326" s="78">
        <f>IF(D1326&lt;&gt;"",D1326,IF(AND(F1326="",G1326=""),"",IF(J1326&lt;&gt;"",IF(N(F1326)&gt;0,"客户回款","客户退款"),IF(K1326&lt;&gt;"",IF(N(G1326)&gt;0,"供应商付款","供应商退款"),IF(L1326&lt;&gt;"","费用支出","")))))</f>
      </c>
      <c r="P1326" s="78">
        <f>IF(O1326="","",IFERROR(INDEX(基础资料!$AE$5:$AE$34,MATCH(O1326,基础资料!$AC$5:$AC$34,0)),"未知"))</f>
      </c>
      <c r="Q1326" s="78">
        <f>IF(P1326="应收",COUNTIF(P$7:P1326,"应收"),"")</f>
      </c>
      <c r="R1326" s="78">
        <f>IF(P1326="应付",COUNTIF(P$7:P1326,"应付"),"")</f>
      </c>
      <c r="S1326" s="78">
        <f>N(F1326)-N(G1326)</f>
        <v>0</v>
      </c>
    </row>
    <row r="1327">
      <c r="A1327" s="109">
        <f>IF(AND(F1327="",G1327=""),"",ROW()-6)</f>
      </c>
      <c r="B1327" s="140" t="n"/>
      <c r="C1327" s="141" t="n"/>
      <c r="D1327" s="141" t="n"/>
      <c r="E1327" s="142" t="n"/>
      <c r="F1327" s="143" t="n"/>
      <c r="G1327" s="144" t="n"/>
      <c r="H1327" s="145">
        <f>IF(OR(C1327="",AND(F1327="",G1327="")),"",SUMIF(基础资料!$W$5:$W$24,C1327,基础资料!$X$5:$X$24)+SUMIF(C$7:C1327,C1327,F$7:F1327)-SUMIF(C$7:C1327,C1327,G$7:G1327))</f>
      </c>
      <c r="I1327" s="145">
        <f>IF(AND(F1327="",G1327=""),"",SUM(基础资料!$X$5:$X$24)+SUM(F$7:F1327)-SUM(G$7:G1327))</f>
      </c>
      <c r="J1327" s="141" t="n"/>
      <c r="K1327" s="141" t="n"/>
      <c r="L1327" s="141" t="n"/>
      <c r="M1327" s="142" t="n"/>
      <c r="N1327" s="146">
        <f>IF(AND(AND(F1327="",G1327=""),B1327="",C1327="",D1327="",J1327="",K1327="",L1327=""),"",IF(AND(F1327="",G1327=""),"✗ 没填金额",IF(AND(N(F1327)&lt;&gt;0,N(G1327)&lt;&gt;0),"✗ 收入、支出只能填一边",IF(NOT(ISNUMBER(B1327)),"✗ 日期不是真日期（要像 2026/9/25 这样填）",IF(OR(B1327&lt;年初日,B1327&gt;年末日),"✗ 日期不在本会计年度",IF(C1327="","✗ 没选账户",IF(COUNTIF(基础资料!$W$5:$W$24,C1327)=0,"✗ 账户不在基础资料里",IF(O1327="","✗ 没选收支项目",IF(P1327="未知","✗ 收支项目不在基础资料里",IF(AND(P1327="应收",J1327=""),"✗ 这笔要选客户",IF(AND(P1327="应收",COUNTIF(总览汇总!$B$5:$B$304,J1327)=0),"✗ 客户不在总览汇总名单里",IF(AND(P1327="应付",K1327=""),"✗ 这笔要选供应商",IF(AND(P1327="应付",COUNTIF(基础资料!$Q$5:$Q$54,K1327)=0),"✗ 供应商不在基础资料里",IF(AND(P1327="费用",L1327=""),"✗ 费用支出要选费用项目",IF(AND(L1327&lt;&gt;"",COUNTIF(基础资料!$AI$5:$AI$54,L1327)=0),"✗ 费用项目不在基础资料里",IF(AND(IFERROR(INDEX(基础资料!$AD$5:$AD$34,MATCH(O1327,基础资料!$AC$5:$AC$34,0)),"")="收",N(G1327)&lt;&gt;0),"✗ 这类是收款，金额填到收入列",IF(AND(IFERROR(INDEX(基础资料!$AD$5:$AD$34,MATCH(O1327,基础资料!$AC$5:$AC$34,0)),"")="支",N(F1327)&lt;&gt;0),"✗ 这类是付款，金额填到支出列",IF(N(H1327)&lt;0,"⚠ 账户余额成负数了，核对一下","√"))))))))))))))))))</f>
      </c>
      <c r="O1327" s="78">
        <f>IF(D1327&lt;&gt;"",D1327,IF(AND(F1327="",G1327=""),"",IF(J1327&lt;&gt;"",IF(N(F1327)&gt;0,"客户回款","客户退款"),IF(K1327&lt;&gt;"",IF(N(G1327)&gt;0,"供应商付款","供应商退款"),IF(L1327&lt;&gt;"","费用支出","")))))</f>
      </c>
      <c r="P1327" s="78">
        <f>IF(O1327="","",IFERROR(INDEX(基础资料!$AE$5:$AE$34,MATCH(O1327,基础资料!$AC$5:$AC$34,0)),"未知"))</f>
      </c>
      <c r="Q1327" s="78">
        <f>IF(P1327="应收",COUNTIF(P$7:P1327,"应收"),"")</f>
      </c>
      <c r="R1327" s="78">
        <f>IF(P1327="应付",COUNTIF(P$7:P1327,"应付"),"")</f>
      </c>
      <c r="S1327" s="78">
        <f>N(F1327)-N(G1327)</f>
        <v>0</v>
      </c>
    </row>
    <row r="1328">
      <c r="A1328" s="109">
        <f>IF(AND(F1328="",G1328=""),"",ROW()-6)</f>
      </c>
      <c r="B1328" s="140" t="n"/>
      <c r="C1328" s="141" t="n"/>
      <c r="D1328" s="141" t="n"/>
      <c r="E1328" s="142" t="n"/>
      <c r="F1328" s="143" t="n"/>
      <c r="G1328" s="144" t="n"/>
      <c r="H1328" s="145">
        <f>IF(OR(C1328="",AND(F1328="",G1328="")),"",SUMIF(基础资料!$W$5:$W$24,C1328,基础资料!$X$5:$X$24)+SUMIF(C$7:C1328,C1328,F$7:F1328)-SUMIF(C$7:C1328,C1328,G$7:G1328))</f>
      </c>
      <c r="I1328" s="145">
        <f>IF(AND(F1328="",G1328=""),"",SUM(基础资料!$X$5:$X$24)+SUM(F$7:F1328)-SUM(G$7:G1328))</f>
      </c>
      <c r="J1328" s="141" t="n"/>
      <c r="K1328" s="141" t="n"/>
      <c r="L1328" s="141" t="n"/>
      <c r="M1328" s="142" t="n"/>
      <c r="N1328" s="146">
        <f>IF(AND(AND(F1328="",G1328=""),B1328="",C1328="",D1328="",J1328="",K1328="",L1328=""),"",IF(AND(F1328="",G1328=""),"✗ 没填金额",IF(AND(N(F1328)&lt;&gt;0,N(G1328)&lt;&gt;0),"✗ 收入、支出只能填一边",IF(NOT(ISNUMBER(B1328)),"✗ 日期不是真日期（要像 2026/9/25 这样填）",IF(OR(B1328&lt;年初日,B1328&gt;年末日),"✗ 日期不在本会计年度",IF(C1328="","✗ 没选账户",IF(COUNTIF(基础资料!$W$5:$W$24,C1328)=0,"✗ 账户不在基础资料里",IF(O1328="","✗ 没选收支项目",IF(P1328="未知","✗ 收支项目不在基础资料里",IF(AND(P1328="应收",J1328=""),"✗ 这笔要选客户",IF(AND(P1328="应收",COUNTIF(总览汇总!$B$5:$B$304,J1328)=0),"✗ 客户不在总览汇总名单里",IF(AND(P1328="应付",K1328=""),"✗ 这笔要选供应商",IF(AND(P1328="应付",COUNTIF(基础资料!$Q$5:$Q$54,K1328)=0),"✗ 供应商不在基础资料里",IF(AND(P1328="费用",L1328=""),"✗ 费用支出要选费用项目",IF(AND(L1328&lt;&gt;"",COUNTIF(基础资料!$AI$5:$AI$54,L1328)=0),"✗ 费用项目不在基础资料里",IF(AND(IFERROR(INDEX(基础资料!$AD$5:$AD$34,MATCH(O1328,基础资料!$AC$5:$AC$34,0)),"")="收",N(G1328)&lt;&gt;0),"✗ 这类是收款，金额填到收入列",IF(AND(IFERROR(INDEX(基础资料!$AD$5:$AD$34,MATCH(O1328,基础资料!$AC$5:$AC$34,0)),"")="支",N(F1328)&lt;&gt;0),"✗ 这类是付款，金额填到支出列",IF(N(H1328)&lt;0,"⚠ 账户余额成负数了，核对一下","√"))))))))))))))))))</f>
      </c>
      <c r="O1328" s="78">
        <f>IF(D1328&lt;&gt;"",D1328,IF(AND(F1328="",G1328=""),"",IF(J1328&lt;&gt;"",IF(N(F1328)&gt;0,"客户回款","客户退款"),IF(K1328&lt;&gt;"",IF(N(G1328)&gt;0,"供应商付款","供应商退款"),IF(L1328&lt;&gt;"","费用支出","")))))</f>
      </c>
      <c r="P1328" s="78">
        <f>IF(O1328="","",IFERROR(INDEX(基础资料!$AE$5:$AE$34,MATCH(O1328,基础资料!$AC$5:$AC$34,0)),"未知"))</f>
      </c>
      <c r="Q1328" s="78">
        <f>IF(P1328="应收",COUNTIF(P$7:P1328,"应收"),"")</f>
      </c>
      <c r="R1328" s="78">
        <f>IF(P1328="应付",COUNTIF(P$7:P1328,"应付"),"")</f>
      </c>
      <c r="S1328" s="78">
        <f>N(F1328)-N(G1328)</f>
        <v>0</v>
      </c>
    </row>
    <row r="1329">
      <c r="A1329" s="109">
        <f>IF(AND(F1329="",G1329=""),"",ROW()-6)</f>
      </c>
      <c r="B1329" s="140" t="n"/>
      <c r="C1329" s="141" t="n"/>
      <c r="D1329" s="141" t="n"/>
      <c r="E1329" s="142" t="n"/>
      <c r="F1329" s="143" t="n"/>
      <c r="G1329" s="144" t="n"/>
      <c r="H1329" s="145">
        <f>IF(OR(C1329="",AND(F1329="",G1329="")),"",SUMIF(基础资料!$W$5:$W$24,C1329,基础资料!$X$5:$X$24)+SUMIF(C$7:C1329,C1329,F$7:F1329)-SUMIF(C$7:C1329,C1329,G$7:G1329))</f>
      </c>
      <c r="I1329" s="145">
        <f>IF(AND(F1329="",G1329=""),"",SUM(基础资料!$X$5:$X$24)+SUM(F$7:F1329)-SUM(G$7:G1329))</f>
      </c>
      <c r="J1329" s="141" t="n"/>
      <c r="K1329" s="141" t="n"/>
      <c r="L1329" s="141" t="n"/>
      <c r="M1329" s="142" t="n"/>
      <c r="N1329" s="146">
        <f>IF(AND(AND(F1329="",G1329=""),B1329="",C1329="",D1329="",J1329="",K1329="",L1329=""),"",IF(AND(F1329="",G1329=""),"✗ 没填金额",IF(AND(N(F1329)&lt;&gt;0,N(G1329)&lt;&gt;0),"✗ 收入、支出只能填一边",IF(NOT(ISNUMBER(B1329)),"✗ 日期不是真日期（要像 2026/9/25 这样填）",IF(OR(B1329&lt;年初日,B1329&gt;年末日),"✗ 日期不在本会计年度",IF(C1329="","✗ 没选账户",IF(COUNTIF(基础资料!$W$5:$W$24,C1329)=0,"✗ 账户不在基础资料里",IF(O1329="","✗ 没选收支项目",IF(P1329="未知","✗ 收支项目不在基础资料里",IF(AND(P1329="应收",J1329=""),"✗ 这笔要选客户",IF(AND(P1329="应收",COUNTIF(总览汇总!$B$5:$B$304,J1329)=0),"✗ 客户不在总览汇总名单里",IF(AND(P1329="应付",K1329=""),"✗ 这笔要选供应商",IF(AND(P1329="应付",COUNTIF(基础资料!$Q$5:$Q$54,K1329)=0),"✗ 供应商不在基础资料里",IF(AND(P1329="费用",L1329=""),"✗ 费用支出要选费用项目",IF(AND(L1329&lt;&gt;"",COUNTIF(基础资料!$AI$5:$AI$54,L1329)=0),"✗ 费用项目不在基础资料里",IF(AND(IFERROR(INDEX(基础资料!$AD$5:$AD$34,MATCH(O1329,基础资料!$AC$5:$AC$34,0)),"")="收",N(G1329)&lt;&gt;0),"✗ 这类是收款，金额填到收入列",IF(AND(IFERROR(INDEX(基础资料!$AD$5:$AD$34,MATCH(O1329,基础资料!$AC$5:$AC$34,0)),"")="支",N(F1329)&lt;&gt;0),"✗ 这类是付款，金额填到支出列",IF(N(H1329)&lt;0,"⚠ 账户余额成负数了，核对一下","√"))))))))))))))))))</f>
      </c>
      <c r="O1329" s="78">
        <f>IF(D1329&lt;&gt;"",D1329,IF(AND(F1329="",G1329=""),"",IF(J1329&lt;&gt;"",IF(N(F1329)&gt;0,"客户回款","客户退款"),IF(K1329&lt;&gt;"",IF(N(G1329)&gt;0,"供应商付款","供应商退款"),IF(L1329&lt;&gt;"","费用支出","")))))</f>
      </c>
      <c r="P1329" s="78">
        <f>IF(O1329="","",IFERROR(INDEX(基础资料!$AE$5:$AE$34,MATCH(O1329,基础资料!$AC$5:$AC$34,0)),"未知"))</f>
      </c>
      <c r="Q1329" s="78">
        <f>IF(P1329="应收",COUNTIF(P$7:P1329,"应收"),"")</f>
      </c>
      <c r="R1329" s="78">
        <f>IF(P1329="应付",COUNTIF(P$7:P1329,"应付"),"")</f>
      </c>
      <c r="S1329" s="78">
        <f>N(F1329)-N(G1329)</f>
        <v>0</v>
      </c>
    </row>
    <row r="1330">
      <c r="A1330" s="109">
        <f>IF(AND(F1330="",G1330=""),"",ROW()-6)</f>
      </c>
      <c r="B1330" s="140" t="n"/>
      <c r="C1330" s="141" t="n"/>
      <c r="D1330" s="141" t="n"/>
      <c r="E1330" s="142" t="n"/>
      <c r="F1330" s="143" t="n"/>
      <c r="G1330" s="144" t="n"/>
      <c r="H1330" s="145">
        <f>IF(OR(C1330="",AND(F1330="",G1330="")),"",SUMIF(基础资料!$W$5:$W$24,C1330,基础资料!$X$5:$X$24)+SUMIF(C$7:C1330,C1330,F$7:F1330)-SUMIF(C$7:C1330,C1330,G$7:G1330))</f>
      </c>
      <c r="I1330" s="145">
        <f>IF(AND(F1330="",G1330=""),"",SUM(基础资料!$X$5:$X$24)+SUM(F$7:F1330)-SUM(G$7:G1330))</f>
      </c>
      <c r="J1330" s="141" t="n"/>
      <c r="K1330" s="141" t="n"/>
      <c r="L1330" s="141" t="n"/>
      <c r="M1330" s="142" t="n"/>
      <c r="N1330" s="146">
        <f>IF(AND(AND(F1330="",G1330=""),B1330="",C1330="",D1330="",J1330="",K1330="",L1330=""),"",IF(AND(F1330="",G1330=""),"✗ 没填金额",IF(AND(N(F1330)&lt;&gt;0,N(G1330)&lt;&gt;0),"✗ 收入、支出只能填一边",IF(NOT(ISNUMBER(B1330)),"✗ 日期不是真日期（要像 2026/9/25 这样填）",IF(OR(B1330&lt;年初日,B1330&gt;年末日),"✗ 日期不在本会计年度",IF(C1330="","✗ 没选账户",IF(COUNTIF(基础资料!$W$5:$W$24,C1330)=0,"✗ 账户不在基础资料里",IF(O1330="","✗ 没选收支项目",IF(P1330="未知","✗ 收支项目不在基础资料里",IF(AND(P1330="应收",J1330=""),"✗ 这笔要选客户",IF(AND(P1330="应收",COUNTIF(总览汇总!$B$5:$B$304,J1330)=0),"✗ 客户不在总览汇总名单里",IF(AND(P1330="应付",K1330=""),"✗ 这笔要选供应商",IF(AND(P1330="应付",COUNTIF(基础资料!$Q$5:$Q$54,K1330)=0),"✗ 供应商不在基础资料里",IF(AND(P1330="费用",L1330=""),"✗ 费用支出要选费用项目",IF(AND(L1330&lt;&gt;"",COUNTIF(基础资料!$AI$5:$AI$54,L1330)=0),"✗ 费用项目不在基础资料里",IF(AND(IFERROR(INDEX(基础资料!$AD$5:$AD$34,MATCH(O1330,基础资料!$AC$5:$AC$34,0)),"")="收",N(G1330)&lt;&gt;0),"✗ 这类是收款，金额填到收入列",IF(AND(IFERROR(INDEX(基础资料!$AD$5:$AD$34,MATCH(O1330,基础资料!$AC$5:$AC$34,0)),"")="支",N(F1330)&lt;&gt;0),"✗ 这类是付款，金额填到支出列",IF(N(H1330)&lt;0,"⚠ 账户余额成负数了，核对一下","√"))))))))))))))))))</f>
      </c>
      <c r="O1330" s="78">
        <f>IF(D1330&lt;&gt;"",D1330,IF(AND(F1330="",G1330=""),"",IF(J1330&lt;&gt;"",IF(N(F1330)&gt;0,"客户回款","客户退款"),IF(K1330&lt;&gt;"",IF(N(G1330)&gt;0,"供应商付款","供应商退款"),IF(L1330&lt;&gt;"","费用支出","")))))</f>
      </c>
      <c r="P1330" s="78">
        <f>IF(O1330="","",IFERROR(INDEX(基础资料!$AE$5:$AE$34,MATCH(O1330,基础资料!$AC$5:$AC$34,0)),"未知"))</f>
      </c>
      <c r="Q1330" s="78">
        <f>IF(P1330="应收",COUNTIF(P$7:P1330,"应收"),"")</f>
      </c>
      <c r="R1330" s="78">
        <f>IF(P1330="应付",COUNTIF(P$7:P1330,"应付"),"")</f>
      </c>
      <c r="S1330" s="78">
        <f>N(F1330)-N(G1330)</f>
        <v>0</v>
      </c>
    </row>
    <row r="1331">
      <c r="A1331" s="109">
        <f>IF(AND(F1331="",G1331=""),"",ROW()-6)</f>
      </c>
      <c r="B1331" s="140" t="n"/>
      <c r="C1331" s="141" t="n"/>
      <c r="D1331" s="141" t="n"/>
      <c r="E1331" s="142" t="n"/>
      <c r="F1331" s="143" t="n"/>
      <c r="G1331" s="144" t="n"/>
      <c r="H1331" s="145">
        <f>IF(OR(C1331="",AND(F1331="",G1331="")),"",SUMIF(基础资料!$W$5:$W$24,C1331,基础资料!$X$5:$X$24)+SUMIF(C$7:C1331,C1331,F$7:F1331)-SUMIF(C$7:C1331,C1331,G$7:G1331))</f>
      </c>
      <c r="I1331" s="145">
        <f>IF(AND(F1331="",G1331=""),"",SUM(基础资料!$X$5:$X$24)+SUM(F$7:F1331)-SUM(G$7:G1331))</f>
      </c>
      <c r="J1331" s="141" t="n"/>
      <c r="K1331" s="141" t="n"/>
      <c r="L1331" s="141" t="n"/>
      <c r="M1331" s="142" t="n"/>
      <c r="N1331" s="146">
        <f>IF(AND(AND(F1331="",G1331=""),B1331="",C1331="",D1331="",J1331="",K1331="",L1331=""),"",IF(AND(F1331="",G1331=""),"✗ 没填金额",IF(AND(N(F1331)&lt;&gt;0,N(G1331)&lt;&gt;0),"✗ 收入、支出只能填一边",IF(NOT(ISNUMBER(B1331)),"✗ 日期不是真日期（要像 2026/9/25 这样填）",IF(OR(B1331&lt;年初日,B1331&gt;年末日),"✗ 日期不在本会计年度",IF(C1331="","✗ 没选账户",IF(COUNTIF(基础资料!$W$5:$W$24,C1331)=0,"✗ 账户不在基础资料里",IF(O1331="","✗ 没选收支项目",IF(P1331="未知","✗ 收支项目不在基础资料里",IF(AND(P1331="应收",J1331=""),"✗ 这笔要选客户",IF(AND(P1331="应收",COUNTIF(总览汇总!$B$5:$B$304,J1331)=0),"✗ 客户不在总览汇总名单里",IF(AND(P1331="应付",K1331=""),"✗ 这笔要选供应商",IF(AND(P1331="应付",COUNTIF(基础资料!$Q$5:$Q$54,K1331)=0),"✗ 供应商不在基础资料里",IF(AND(P1331="费用",L1331=""),"✗ 费用支出要选费用项目",IF(AND(L1331&lt;&gt;"",COUNTIF(基础资料!$AI$5:$AI$54,L1331)=0),"✗ 费用项目不在基础资料里",IF(AND(IFERROR(INDEX(基础资料!$AD$5:$AD$34,MATCH(O1331,基础资料!$AC$5:$AC$34,0)),"")="收",N(G1331)&lt;&gt;0),"✗ 这类是收款，金额填到收入列",IF(AND(IFERROR(INDEX(基础资料!$AD$5:$AD$34,MATCH(O1331,基础资料!$AC$5:$AC$34,0)),"")="支",N(F1331)&lt;&gt;0),"✗ 这类是付款，金额填到支出列",IF(N(H1331)&lt;0,"⚠ 账户余额成负数了，核对一下","√"))))))))))))))))))</f>
      </c>
      <c r="O1331" s="78">
        <f>IF(D1331&lt;&gt;"",D1331,IF(AND(F1331="",G1331=""),"",IF(J1331&lt;&gt;"",IF(N(F1331)&gt;0,"客户回款","客户退款"),IF(K1331&lt;&gt;"",IF(N(G1331)&gt;0,"供应商付款","供应商退款"),IF(L1331&lt;&gt;"","费用支出","")))))</f>
      </c>
      <c r="P1331" s="78">
        <f>IF(O1331="","",IFERROR(INDEX(基础资料!$AE$5:$AE$34,MATCH(O1331,基础资料!$AC$5:$AC$34,0)),"未知"))</f>
      </c>
      <c r="Q1331" s="78">
        <f>IF(P1331="应收",COUNTIF(P$7:P1331,"应收"),"")</f>
      </c>
      <c r="R1331" s="78">
        <f>IF(P1331="应付",COUNTIF(P$7:P1331,"应付"),"")</f>
      </c>
      <c r="S1331" s="78">
        <f>N(F1331)-N(G1331)</f>
        <v>0</v>
      </c>
    </row>
    <row r="1332">
      <c r="A1332" s="109">
        <f>IF(AND(F1332="",G1332=""),"",ROW()-6)</f>
      </c>
      <c r="B1332" s="140" t="n"/>
      <c r="C1332" s="141" t="n"/>
      <c r="D1332" s="141" t="n"/>
      <c r="E1332" s="142" t="n"/>
      <c r="F1332" s="143" t="n"/>
      <c r="G1332" s="144" t="n"/>
      <c r="H1332" s="145">
        <f>IF(OR(C1332="",AND(F1332="",G1332="")),"",SUMIF(基础资料!$W$5:$W$24,C1332,基础资料!$X$5:$X$24)+SUMIF(C$7:C1332,C1332,F$7:F1332)-SUMIF(C$7:C1332,C1332,G$7:G1332))</f>
      </c>
      <c r="I1332" s="145">
        <f>IF(AND(F1332="",G1332=""),"",SUM(基础资料!$X$5:$X$24)+SUM(F$7:F1332)-SUM(G$7:G1332))</f>
      </c>
      <c r="J1332" s="141" t="n"/>
      <c r="K1332" s="141" t="n"/>
      <c r="L1332" s="141" t="n"/>
      <c r="M1332" s="142" t="n"/>
      <c r="N1332" s="146">
        <f>IF(AND(AND(F1332="",G1332=""),B1332="",C1332="",D1332="",J1332="",K1332="",L1332=""),"",IF(AND(F1332="",G1332=""),"✗ 没填金额",IF(AND(N(F1332)&lt;&gt;0,N(G1332)&lt;&gt;0),"✗ 收入、支出只能填一边",IF(NOT(ISNUMBER(B1332)),"✗ 日期不是真日期（要像 2026/9/25 这样填）",IF(OR(B1332&lt;年初日,B1332&gt;年末日),"✗ 日期不在本会计年度",IF(C1332="","✗ 没选账户",IF(COUNTIF(基础资料!$W$5:$W$24,C1332)=0,"✗ 账户不在基础资料里",IF(O1332="","✗ 没选收支项目",IF(P1332="未知","✗ 收支项目不在基础资料里",IF(AND(P1332="应收",J1332=""),"✗ 这笔要选客户",IF(AND(P1332="应收",COUNTIF(总览汇总!$B$5:$B$304,J1332)=0),"✗ 客户不在总览汇总名单里",IF(AND(P1332="应付",K1332=""),"✗ 这笔要选供应商",IF(AND(P1332="应付",COUNTIF(基础资料!$Q$5:$Q$54,K1332)=0),"✗ 供应商不在基础资料里",IF(AND(P1332="费用",L1332=""),"✗ 费用支出要选费用项目",IF(AND(L1332&lt;&gt;"",COUNTIF(基础资料!$AI$5:$AI$54,L1332)=0),"✗ 费用项目不在基础资料里",IF(AND(IFERROR(INDEX(基础资料!$AD$5:$AD$34,MATCH(O1332,基础资料!$AC$5:$AC$34,0)),"")="收",N(G1332)&lt;&gt;0),"✗ 这类是收款，金额填到收入列",IF(AND(IFERROR(INDEX(基础资料!$AD$5:$AD$34,MATCH(O1332,基础资料!$AC$5:$AC$34,0)),"")="支",N(F1332)&lt;&gt;0),"✗ 这类是付款，金额填到支出列",IF(N(H1332)&lt;0,"⚠ 账户余额成负数了，核对一下","√"))))))))))))))))))</f>
      </c>
      <c r="O1332" s="78">
        <f>IF(D1332&lt;&gt;"",D1332,IF(AND(F1332="",G1332=""),"",IF(J1332&lt;&gt;"",IF(N(F1332)&gt;0,"客户回款","客户退款"),IF(K1332&lt;&gt;"",IF(N(G1332)&gt;0,"供应商付款","供应商退款"),IF(L1332&lt;&gt;"","费用支出","")))))</f>
      </c>
      <c r="P1332" s="78">
        <f>IF(O1332="","",IFERROR(INDEX(基础资料!$AE$5:$AE$34,MATCH(O1332,基础资料!$AC$5:$AC$34,0)),"未知"))</f>
      </c>
      <c r="Q1332" s="78">
        <f>IF(P1332="应收",COUNTIF(P$7:P1332,"应收"),"")</f>
      </c>
      <c r="R1332" s="78">
        <f>IF(P1332="应付",COUNTIF(P$7:P1332,"应付"),"")</f>
      </c>
      <c r="S1332" s="78">
        <f>N(F1332)-N(G1332)</f>
        <v>0</v>
      </c>
    </row>
    <row r="1333">
      <c r="A1333" s="109">
        <f>IF(AND(F1333="",G1333=""),"",ROW()-6)</f>
      </c>
      <c r="B1333" s="140" t="n"/>
      <c r="C1333" s="141" t="n"/>
      <c r="D1333" s="141" t="n"/>
      <c r="E1333" s="142" t="n"/>
      <c r="F1333" s="143" t="n"/>
      <c r="G1333" s="144" t="n"/>
      <c r="H1333" s="145">
        <f>IF(OR(C1333="",AND(F1333="",G1333="")),"",SUMIF(基础资料!$W$5:$W$24,C1333,基础资料!$X$5:$X$24)+SUMIF(C$7:C1333,C1333,F$7:F1333)-SUMIF(C$7:C1333,C1333,G$7:G1333))</f>
      </c>
      <c r="I1333" s="145">
        <f>IF(AND(F1333="",G1333=""),"",SUM(基础资料!$X$5:$X$24)+SUM(F$7:F1333)-SUM(G$7:G1333))</f>
      </c>
      <c r="J1333" s="141" t="n"/>
      <c r="K1333" s="141" t="n"/>
      <c r="L1333" s="141" t="n"/>
      <c r="M1333" s="142" t="n"/>
      <c r="N1333" s="146">
        <f>IF(AND(AND(F1333="",G1333=""),B1333="",C1333="",D1333="",J1333="",K1333="",L1333=""),"",IF(AND(F1333="",G1333=""),"✗ 没填金额",IF(AND(N(F1333)&lt;&gt;0,N(G1333)&lt;&gt;0),"✗ 收入、支出只能填一边",IF(NOT(ISNUMBER(B1333)),"✗ 日期不是真日期（要像 2026/9/25 这样填）",IF(OR(B1333&lt;年初日,B1333&gt;年末日),"✗ 日期不在本会计年度",IF(C1333="","✗ 没选账户",IF(COUNTIF(基础资料!$W$5:$W$24,C1333)=0,"✗ 账户不在基础资料里",IF(O1333="","✗ 没选收支项目",IF(P1333="未知","✗ 收支项目不在基础资料里",IF(AND(P1333="应收",J1333=""),"✗ 这笔要选客户",IF(AND(P1333="应收",COUNTIF(总览汇总!$B$5:$B$304,J1333)=0),"✗ 客户不在总览汇总名单里",IF(AND(P1333="应付",K1333=""),"✗ 这笔要选供应商",IF(AND(P1333="应付",COUNTIF(基础资料!$Q$5:$Q$54,K1333)=0),"✗ 供应商不在基础资料里",IF(AND(P1333="费用",L1333=""),"✗ 费用支出要选费用项目",IF(AND(L1333&lt;&gt;"",COUNTIF(基础资料!$AI$5:$AI$54,L1333)=0),"✗ 费用项目不在基础资料里",IF(AND(IFERROR(INDEX(基础资料!$AD$5:$AD$34,MATCH(O1333,基础资料!$AC$5:$AC$34,0)),"")="收",N(G1333)&lt;&gt;0),"✗ 这类是收款，金额填到收入列",IF(AND(IFERROR(INDEX(基础资料!$AD$5:$AD$34,MATCH(O1333,基础资料!$AC$5:$AC$34,0)),"")="支",N(F1333)&lt;&gt;0),"✗ 这类是付款，金额填到支出列",IF(N(H1333)&lt;0,"⚠ 账户余额成负数了，核对一下","√"))))))))))))))))))</f>
      </c>
      <c r="O1333" s="78">
        <f>IF(D1333&lt;&gt;"",D1333,IF(AND(F1333="",G1333=""),"",IF(J1333&lt;&gt;"",IF(N(F1333)&gt;0,"客户回款","客户退款"),IF(K1333&lt;&gt;"",IF(N(G1333)&gt;0,"供应商付款","供应商退款"),IF(L1333&lt;&gt;"","费用支出","")))))</f>
      </c>
      <c r="P1333" s="78">
        <f>IF(O1333="","",IFERROR(INDEX(基础资料!$AE$5:$AE$34,MATCH(O1333,基础资料!$AC$5:$AC$34,0)),"未知"))</f>
      </c>
      <c r="Q1333" s="78">
        <f>IF(P1333="应收",COUNTIF(P$7:P1333,"应收"),"")</f>
      </c>
      <c r="R1333" s="78">
        <f>IF(P1333="应付",COUNTIF(P$7:P1333,"应付"),"")</f>
      </c>
      <c r="S1333" s="78">
        <f>N(F1333)-N(G1333)</f>
        <v>0</v>
      </c>
    </row>
    <row r="1334">
      <c r="A1334" s="109">
        <f>IF(AND(F1334="",G1334=""),"",ROW()-6)</f>
      </c>
      <c r="B1334" s="140" t="n"/>
      <c r="C1334" s="141" t="n"/>
      <c r="D1334" s="141" t="n"/>
      <c r="E1334" s="142" t="n"/>
      <c r="F1334" s="143" t="n"/>
      <c r="G1334" s="144" t="n"/>
      <c r="H1334" s="145">
        <f>IF(OR(C1334="",AND(F1334="",G1334="")),"",SUMIF(基础资料!$W$5:$W$24,C1334,基础资料!$X$5:$X$24)+SUMIF(C$7:C1334,C1334,F$7:F1334)-SUMIF(C$7:C1334,C1334,G$7:G1334))</f>
      </c>
      <c r="I1334" s="145">
        <f>IF(AND(F1334="",G1334=""),"",SUM(基础资料!$X$5:$X$24)+SUM(F$7:F1334)-SUM(G$7:G1334))</f>
      </c>
      <c r="J1334" s="141" t="n"/>
      <c r="K1334" s="141" t="n"/>
      <c r="L1334" s="141" t="n"/>
      <c r="M1334" s="142" t="n"/>
      <c r="N1334" s="146">
        <f>IF(AND(AND(F1334="",G1334=""),B1334="",C1334="",D1334="",J1334="",K1334="",L1334=""),"",IF(AND(F1334="",G1334=""),"✗ 没填金额",IF(AND(N(F1334)&lt;&gt;0,N(G1334)&lt;&gt;0),"✗ 收入、支出只能填一边",IF(NOT(ISNUMBER(B1334)),"✗ 日期不是真日期（要像 2026/9/25 这样填）",IF(OR(B1334&lt;年初日,B1334&gt;年末日),"✗ 日期不在本会计年度",IF(C1334="","✗ 没选账户",IF(COUNTIF(基础资料!$W$5:$W$24,C1334)=0,"✗ 账户不在基础资料里",IF(O1334="","✗ 没选收支项目",IF(P1334="未知","✗ 收支项目不在基础资料里",IF(AND(P1334="应收",J1334=""),"✗ 这笔要选客户",IF(AND(P1334="应收",COUNTIF(总览汇总!$B$5:$B$304,J1334)=0),"✗ 客户不在总览汇总名单里",IF(AND(P1334="应付",K1334=""),"✗ 这笔要选供应商",IF(AND(P1334="应付",COUNTIF(基础资料!$Q$5:$Q$54,K1334)=0),"✗ 供应商不在基础资料里",IF(AND(P1334="费用",L1334=""),"✗ 费用支出要选费用项目",IF(AND(L1334&lt;&gt;"",COUNTIF(基础资料!$AI$5:$AI$54,L1334)=0),"✗ 费用项目不在基础资料里",IF(AND(IFERROR(INDEX(基础资料!$AD$5:$AD$34,MATCH(O1334,基础资料!$AC$5:$AC$34,0)),"")="收",N(G1334)&lt;&gt;0),"✗ 这类是收款，金额填到收入列",IF(AND(IFERROR(INDEX(基础资料!$AD$5:$AD$34,MATCH(O1334,基础资料!$AC$5:$AC$34,0)),"")="支",N(F1334)&lt;&gt;0),"✗ 这类是付款，金额填到支出列",IF(N(H1334)&lt;0,"⚠ 账户余额成负数了，核对一下","√"))))))))))))))))))</f>
      </c>
      <c r="O1334" s="78">
        <f>IF(D1334&lt;&gt;"",D1334,IF(AND(F1334="",G1334=""),"",IF(J1334&lt;&gt;"",IF(N(F1334)&gt;0,"客户回款","客户退款"),IF(K1334&lt;&gt;"",IF(N(G1334)&gt;0,"供应商付款","供应商退款"),IF(L1334&lt;&gt;"","费用支出","")))))</f>
      </c>
      <c r="P1334" s="78">
        <f>IF(O1334="","",IFERROR(INDEX(基础资料!$AE$5:$AE$34,MATCH(O1334,基础资料!$AC$5:$AC$34,0)),"未知"))</f>
      </c>
      <c r="Q1334" s="78">
        <f>IF(P1334="应收",COUNTIF(P$7:P1334,"应收"),"")</f>
      </c>
      <c r="R1334" s="78">
        <f>IF(P1334="应付",COUNTIF(P$7:P1334,"应付"),"")</f>
      </c>
      <c r="S1334" s="78">
        <f>N(F1334)-N(G1334)</f>
        <v>0</v>
      </c>
    </row>
    <row r="1335">
      <c r="A1335" s="109">
        <f>IF(AND(F1335="",G1335=""),"",ROW()-6)</f>
      </c>
      <c r="B1335" s="140" t="n"/>
      <c r="C1335" s="141" t="n"/>
      <c r="D1335" s="141" t="n"/>
      <c r="E1335" s="142" t="n"/>
      <c r="F1335" s="143" t="n"/>
      <c r="G1335" s="144" t="n"/>
      <c r="H1335" s="145">
        <f>IF(OR(C1335="",AND(F1335="",G1335="")),"",SUMIF(基础资料!$W$5:$W$24,C1335,基础资料!$X$5:$X$24)+SUMIF(C$7:C1335,C1335,F$7:F1335)-SUMIF(C$7:C1335,C1335,G$7:G1335))</f>
      </c>
      <c r="I1335" s="145">
        <f>IF(AND(F1335="",G1335=""),"",SUM(基础资料!$X$5:$X$24)+SUM(F$7:F1335)-SUM(G$7:G1335))</f>
      </c>
      <c r="J1335" s="141" t="n"/>
      <c r="K1335" s="141" t="n"/>
      <c r="L1335" s="141" t="n"/>
      <c r="M1335" s="142" t="n"/>
      <c r="N1335" s="146">
        <f>IF(AND(AND(F1335="",G1335=""),B1335="",C1335="",D1335="",J1335="",K1335="",L1335=""),"",IF(AND(F1335="",G1335=""),"✗ 没填金额",IF(AND(N(F1335)&lt;&gt;0,N(G1335)&lt;&gt;0),"✗ 收入、支出只能填一边",IF(NOT(ISNUMBER(B1335)),"✗ 日期不是真日期（要像 2026/9/25 这样填）",IF(OR(B1335&lt;年初日,B1335&gt;年末日),"✗ 日期不在本会计年度",IF(C1335="","✗ 没选账户",IF(COUNTIF(基础资料!$W$5:$W$24,C1335)=0,"✗ 账户不在基础资料里",IF(O1335="","✗ 没选收支项目",IF(P1335="未知","✗ 收支项目不在基础资料里",IF(AND(P1335="应收",J1335=""),"✗ 这笔要选客户",IF(AND(P1335="应收",COUNTIF(总览汇总!$B$5:$B$304,J1335)=0),"✗ 客户不在总览汇总名单里",IF(AND(P1335="应付",K1335=""),"✗ 这笔要选供应商",IF(AND(P1335="应付",COUNTIF(基础资料!$Q$5:$Q$54,K1335)=0),"✗ 供应商不在基础资料里",IF(AND(P1335="费用",L1335=""),"✗ 费用支出要选费用项目",IF(AND(L1335&lt;&gt;"",COUNTIF(基础资料!$AI$5:$AI$54,L1335)=0),"✗ 费用项目不在基础资料里",IF(AND(IFERROR(INDEX(基础资料!$AD$5:$AD$34,MATCH(O1335,基础资料!$AC$5:$AC$34,0)),"")="收",N(G1335)&lt;&gt;0),"✗ 这类是收款，金额填到收入列",IF(AND(IFERROR(INDEX(基础资料!$AD$5:$AD$34,MATCH(O1335,基础资料!$AC$5:$AC$34,0)),"")="支",N(F1335)&lt;&gt;0),"✗ 这类是付款，金额填到支出列",IF(N(H1335)&lt;0,"⚠ 账户余额成负数了，核对一下","√"))))))))))))))))))</f>
      </c>
      <c r="O1335" s="78">
        <f>IF(D1335&lt;&gt;"",D1335,IF(AND(F1335="",G1335=""),"",IF(J1335&lt;&gt;"",IF(N(F1335)&gt;0,"客户回款","客户退款"),IF(K1335&lt;&gt;"",IF(N(G1335)&gt;0,"供应商付款","供应商退款"),IF(L1335&lt;&gt;"","费用支出","")))))</f>
      </c>
      <c r="P1335" s="78">
        <f>IF(O1335="","",IFERROR(INDEX(基础资料!$AE$5:$AE$34,MATCH(O1335,基础资料!$AC$5:$AC$34,0)),"未知"))</f>
      </c>
      <c r="Q1335" s="78">
        <f>IF(P1335="应收",COUNTIF(P$7:P1335,"应收"),"")</f>
      </c>
      <c r="R1335" s="78">
        <f>IF(P1335="应付",COUNTIF(P$7:P1335,"应付"),"")</f>
      </c>
      <c r="S1335" s="78">
        <f>N(F1335)-N(G1335)</f>
        <v>0</v>
      </c>
    </row>
    <row r="1336">
      <c r="A1336" s="109">
        <f>IF(AND(F1336="",G1336=""),"",ROW()-6)</f>
      </c>
      <c r="B1336" s="140" t="n"/>
      <c r="C1336" s="141" t="n"/>
      <c r="D1336" s="141" t="n"/>
      <c r="E1336" s="142" t="n"/>
      <c r="F1336" s="143" t="n"/>
      <c r="G1336" s="144" t="n"/>
      <c r="H1336" s="145">
        <f>IF(OR(C1336="",AND(F1336="",G1336="")),"",SUMIF(基础资料!$W$5:$W$24,C1336,基础资料!$X$5:$X$24)+SUMIF(C$7:C1336,C1336,F$7:F1336)-SUMIF(C$7:C1336,C1336,G$7:G1336))</f>
      </c>
      <c r="I1336" s="145">
        <f>IF(AND(F1336="",G1336=""),"",SUM(基础资料!$X$5:$X$24)+SUM(F$7:F1336)-SUM(G$7:G1336))</f>
      </c>
      <c r="J1336" s="141" t="n"/>
      <c r="K1336" s="141" t="n"/>
      <c r="L1336" s="141" t="n"/>
      <c r="M1336" s="142" t="n"/>
      <c r="N1336" s="146">
        <f>IF(AND(AND(F1336="",G1336=""),B1336="",C1336="",D1336="",J1336="",K1336="",L1336=""),"",IF(AND(F1336="",G1336=""),"✗ 没填金额",IF(AND(N(F1336)&lt;&gt;0,N(G1336)&lt;&gt;0),"✗ 收入、支出只能填一边",IF(NOT(ISNUMBER(B1336)),"✗ 日期不是真日期（要像 2026/9/25 这样填）",IF(OR(B1336&lt;年初日,B1336&gt;年末日),"✗ 日期不在本会计年度",IF(C1336="","✗ 没选账户",IF(COUNTIF(基础资料!$W$5:$W$24,C1336)=0,"✗ 账户不在基础资料里",IF(O1336="","✗ 没选收支项目",IF(P1336="未知","✗ 收支项目不在基础资料里",IF(AND(P1336="应收",J1336=""),"✗ 这笔要选客户",IF(AND(P1336="应收",COUNTIF(总览汇总!$B$5:$B$304,J1336)=0),"✗ 客户不在总览汇总名单里",IF(AND(P1336="应付",K1336=""),"✗ 这笔要选供应商",IF(AND(P1336="应付",COUNTIF(基础资料!$Q$5:$Q$54,K1336)=0),"✗ 供应商不在基础资料里",IF(AND(P1336="费用",L1336=""),"✗ 费用支出要选费用项目",IF(AND(L1336&lt;&gt;"",COUNTIF(基础资料!$AI$5:$AI$54,L1336)=0),"✗ 费用项目不在基础资料里",IF(AND(IFERROR(INDEX(基础资料!$AD$5:$AD$34,MATCH(O1336,基础资料!$AC$5:$AC$34,0)),"")="收",N(G1336)&lt;&gt;0),"✗ 这类是收款，金额填到收入列",IF(AND(IFERROR(INDEX(基础资料!$AD$5:$AD$34,MATCH(O1336,基础资料!$AC$5:$AC$34,0)),"")="支",N(F1336)&lt;&gt;0),"✗ 这类是付款，金额填到支出列",IF(N(H1336)&lt;0,"⚠ 账户余额成负数了，核对一下","√"))))))))))))))))))</f>
      </c>
      <c r="O1336" s="78">
        <f>IF(D1336&lt;&gt;"",D1336,IF(AND(F1336="",G1336=""),"",IF(J1336&lt;&gt;"",IF(N(F1336)&gt;0,"客户回款","客户退款"),IF(K1336&lt;&gt;"",IF(N(G1336)&gt;0,"供应商付款","供应商退款"),IF(L1336&lt;&gt;"","费用支出","")))))</f>
      </c>
      <c r="P1336" s="78">
        <f>IF(O1336="","",IFERROR(INDEX(基础资料!$AE$5:$AE$34,MATCH(O1336,基础资料!$AC$5:$AC$34,0)),"未知"))</f>
      </c>
      <c r="Q1336" s="78">
        <f>IF(P1336="应收",COUNTIF(P$7:P1336,"应收"),"")</f>
      </c>
      <c r="R1336" s="78">
        <f>IF(P1336="应付",COUNTIF(P$7:P1336,"应付"),"")</f>
      </c>
      <c r="S1336" s="78">
        <f>N(F1336)-N(G1336)</f>
        <v>0</v>
      </c>
    </row>
    <row r="1337">
      <c r="A1337" s="109">
        <f>IF(AND(F1337="",G1337=""),"",ROW()-6)</f>
      </c>
      <c r="B1337" s="140" t="n"/>
      <c r="C1337" s="141" t="n"/>
      <c r="D1337" s="141" t="n"/>
      <c r="E1337" s="142" t="n"/>
      <c r="F1337" s="143" t="n"/>
      <c r="G1337" s="144" t="n"/>
      <c r="H1337" s="145">
        <f>IF(OR(C1337="",AND(F1337="",G1337="")),"",SUMIF(基础资料!$W$5:$W$24,C1337,基础资料!$X$5:$X$24)+SUMIF(C$7:C1337,C1337,F$7:F1337)-SUMIF(C$7:C1337,C1337,G$7:G1337))</f>
      </c>
      <c r="I1337" s="145">
        <f>IF(AND(F1337="",G1337=""),"",SUM(基础资料!$X$5:$X$24)+SUM(F$7:F1337)-SUM(G$7:G1337))</f>
      </c>
      <c r="J1337" s="141" t="n"/>
      <c r="K1337" s="141" t="n"/>
      <c r="L1337" s="141" t="n"/>
      <c r="M1337" s="142" t="n"/>
      <c r="N1337" s="146">
        <f>IF(AND(AND(F1337="",G1337=""),B1337="",C1337="",D1337="",J1337="",K1337="",L1337=""),"",IF(AND(F1337="",G1337=""),"✗ 没填金额",IF(AND(N(F1337)&lt;&gt;0,N(G1337)&lt;&gt;0),"✗ 收入、支出只能填一边",IF(NOT(ISNUMBER(B1337)),"✗ 日期不是真日期（要像 2026/9/25 这样填）",IF(OR(B1337&lt;年初日,B1337&gt;年末日),"✗ 日期不在本会计年度",IF(C1337="","✗ 没选账户",IF(COUNTIF(基础资料!$W$5:$W$24,C1337)=0,"✗ 账户不在基础资料里",IF(O1337="","✗ 没选收支项目",IF(P1337="未知","✗ 收支项目不在基础资料里",IF(AND(P1337="应收",J1337=""),"✗ 这笔要选客户",IF(AND(P1337="应收",COUNTIF(总览汇总!$B$5:$B$304,J1337)=0),"✗ 客户不在总览汇总名单里",IF(AND(P1337="应付",K1337=""),"✗ 这笔要选供应商",IF(AND(P1337="应付",COUNTIF(基础资料!$Q$5:$Q$54,K1337)=0),"✗ 供应商不在基础资料里",IF(AND(P1337="费用",L1337=""),"✗ 费用支出要选费用项目",IF(AND(L1337&lt;&gt;"",COUNTIF(基础资料!$AI$5:$AI$54,L1337)=0),"✗ 费用项目不在基础资料里",IF(AND(IFERROR(INDEX(基础资料!$AD$5:$AD$34,MATCH(O1337,基础资料!$AC$5:$AC$34,0)),"")="收",N(G1337)&lt;&gt;0),"✗ 这类是收款，金额填到收入列",IF(AND(IFERROR(INDEX(基础资料!$AD$5:$AD$34,MATCH(O1337,基础资料!$AC$5:$AC$34,0)),"")="支",N(F1337)&lt;&gt;0),"✗ 这类是付款，金额填到支出列",IF(N(H1337)&lt;0,"⚠ 账户余额成负数了，核对一下","√"))))))))))))))))))</f>
      </c>
      <c r="O1337" s="78">
        <f>IF(D1337&lt;&gt;"",D1337,IF(AND(F1337="",G1337=""),"",IF(J1337&lt;&gt;"",IF(N(F1337)&gt;0,"客户回款","客户退款"),IF(K1337&lt;&gt;"",IF(N(G1337)&gt;0,"供应商付款","供应商退款"),IF(L1337&lt;&gt;"","费用支出","")))))</f>
      </c>
      <c r="P1337" s="78">
        <f>IF(O1337="","",IFERROR(INDEX(基础资料!$AE$5:$AE$34,MATCH(O1337,基础资料!$AC$5:$AC$34,0)),"未知"))</f>
      </c>
      <c r="Q1337" s="78">
        <f>IF(P1337="应收",COUNTIF(P$7:P1337,"应收"),"")</f>
      </c>
      <c r="R1337" s="78">
        <f>IF(P1337="应付",COUNTIF(P$7:P1337,"应付"),"")</f>
      </c>
      <c r="S1337" s="78">
        <f>N(F1337)-N(G1337)</f>
        <v>0</v>
      </c>
    </row>
    <row r="1338">
      <c r="A1338" s="109">
        <f>IF(AND(F1338="",G1338=""),"",ROW()-6)</f>
      </c>
      <c r="B1338" s="140" t="n"/>
      <c r="C1338" s="141" t="n"/>
      <c r="D1338" s="141" t="n"/>
      <c r="E1338" s="142" t="n"/>
      <c r="F1338" s="143" t="n"/>
      <c r="G1338" s="144" t="n"/>
      <c r="H1338" s="145">
        <f>IF(OR(C1338="",AND(F1338="",G1338="")),"",SUMIF(基础资料!$W$5:$W$24,C1338,基础资料!$X$5:$X$24)+SUMIF(C$7:C1338,C1338,F$7:F1338)-SUMIF(C$7:C1338,C1338,G$7:G1338))</f>
      </c>
      <c r="I1338" s="145">
        <f>IF(AND(F1338="",G1338=""),"",SUM(基础资料!$X$5:$X$24)+SUM(F$7:F1338)-SUM(G$7:G1338))</f>
      </c>
      <c r="J1338" s="141" t="n"/>
      <c r="K1338" s="141" t="n"/>
      <c r="L1338" s="141" t="n"/>
      <c r="M1338" s="142" t="n"/>
      <c r="N1338" s="146">
        <f>IF(AND(AND(F1338="",G1338=""),B1338="",C1338="",D1338="",J1338="",K1338="",L1338=""),"",IF(AND(F1338="",G1338=""),"✗ 没填金额",IF(AND(N(F1338)&lt;&gt;0,N(G1338)&lt;&gt;0),"✗ 收入、支出只能填一边",IF(NOT(ISNUMBER(B1338)),"✗ 日期不是真日期（要像 2026/9/25 这样填）",IF(OR(B1338&lt;年初日,B1338&gt;年末日),"✗ 日期不在本会计年度",IF(C1338="","✗ 没选账户",IF(COUNTIF(基础资料!$W$5:$W$24,C1338)=0,"✗ 账户不在基础资料里",IF(O1338="","✗ 没选收支项目",IF(P1338="未知","✗ 收支项目不在基础资料里",IF(AND(P1338="应收",J1338=""),"✗ 这笔要选客户",IF(AND(P1338="应收",COUNTIF(总览汇总!$B$5:$B$304,J1338)=0),"✗ 客户不在总览汇总名单里",IF(AND(P1338="应付",K1338=""),"✗ 这笔要选供应商",IF(AND(P1338="应付",COUNTIF(基础资料!$Q$5:$Q$54,K1338)=0),"✗ 供应商不在基础资料里",IF(AND(P1338="费用",L1338=""),"✗ 费用支出要选费用项目",IF(AND(L1338&lt;&gt;"",COUNTIF(基础资料!$AI$5:$AI$54,L1338)=0),"✗ 费用项目不在基础资料里",IF(AND(IFERROR(INDEX(基础资料!$AD$5:$AD$34,MATCH(O1338,基础资料!$AC$5:$AC$34,0)),"")="收",N(G1338)&lt;&gt;0),"✗ 这类是收款，金额填到收入列",IF(AND(IFERROR(INDEX(基础资料!$AD$5:$AD$34,MATCH(O1338,基础资料!$AC$5:$AC$34,0)),"")="支",N(F1338)&lt;&gt;0),"✗ 这类是付款，金额填到支出列",IF(N(H1338)&lt;0,"⚠ 账户余额成负数了，核对一下","√"))))))))))))))))))</f>
      </c>
      <c r="O1338" s="78">
        <f>IF(D1338&lt;&gt;"",D1338,IF(AND(F1338="",G1338=""),"",IF(J1338&lt;&gt;"",IF(N(F1338)&gt;0,"客户回款","客户退款"),IF(K1338&lt;&gt;"",IF(N(G1338)&gt;0,"供应商付款","供应商退款"),IF(L1338&lt;&gt;"","费用支出","")))))</f>
      </c>
      <c r="P1338" s="78">
        <f>IF(O1338="","",IFERROR(INDEX(基础资料!$AE$5:$AE$34,MATCH(O1338,基础资料!$AC$5:$AC$34,0)),"未知"))</f>
      </c>
      <c r="Q1338" s="78">
        <f>IF(P1338="应收",COUNTIF(P$7:P1338,"应收"),"")</f>
      </c>
      <c r="R1338" s="78">
        <f>IF(P1338="应付",COUNTIF(P$7:P1338,"应付"),"")</f>
      </c>
      <c r="S1338" s="78">
        <f>N(F1338)-N(G1338)</f>
        <v>0</v>
      </c>
    </row>
    <row r="1339">
      <c r="A1339" s="109">
        <f>IF(AND(F1339="",G1339=""),"",ROW()-6)</f>
      </c>
      <c r="B1339" s="140" t="n"/>
      <c r="C1339" s="141" t="n"/>
      <c r="D1339" s="141" t="n"/>
      <c r="E1339" s="142" t="n"/>
      <c r="F1339" s="143" t="n"/>
      <c r="G1339" s="144" t="n"/>
      <c r="H1339" s="145">
        <f>IF(OR(C1339="",AND(F1339="",G1339="")),"",SUMIF(基础资料!$W$5:$W$24,C1339,基础资料!$X$5:$X$24)+SUMIF(C$7:C1339,C1339,F$7:F1339)-SUMIF(C$7:C1339,C1339,G$7:G1339))</f>
      </c>
      <c r="I1339" s="145">
        <f>IF(AND(F1339="",G1339=""),"",SUM(基础资料!$X$5:$X$24)+SUM(F$7:F1339)-SUM(G$7:G1339))</f>
      </c>
      <c r="J1339" s="141" t="n"/>
      <c r="K1339" s="141" t="n"/>
      <c r="L1339" s="141" t="n"/>
      <c r="M1339" s="142" t="n"/>
      <c r="N1339" s="146">
        <f>IF(AND(AND(F1339="",G1339=""),B1339="",C1339="",D1339="",J1339="",K1339="",L1339=""),"",IF(AND(F1339="",G1339=""),"✗ 没填金额",IF(AND(N(F1339)&lt;&gt;0,N(G1339)&lt;&gt;0),"✗ 收入、支出只能填一边",IF(NOT(ISNUMBER(B1339)),"✗ 日期不是真日期（要像 2026/9/25 这样填）",IF(OR(B1339&lt;年初日,B1339&gt;年末日),"✗ 日期不在本会计年度",IF(C1339="","✗ 没选账户",IF(COUNTIF(基础资料!$W$5:$W$24,C1339)=0,"✗ 账户不在基础资料里",IF(O1339="","✗ 没选收支项目",IF(P1339="未知","✗ 收支项目不在基础资料里",IF(AND(P1339="应收",J1339=""),"✗ 这笔要选客户",IF(AND(P1339="应收",COUNTIF(总览汇总!$B$5:$B$304,J1339)=0),"✗ 客户不在总览汇总名单里",IF(AND(P1339="应付",K1339=""),"✗ 这笔要选供应商",IF(AND(P1339="应付",COUNTIF(基础资料!$Q$5:$Q$54,K1339)=0),"✗ 供应商不在基础资料里",IF(AND(P1339="费用",L1339=""),"✗ 费用支出要选费用项目",IF(AND(L1339&lt;&gt;"",COUNTIF(基础资料!$AI$5:$AI$54,L1339)=0),"✗ 费用项目不在基础资料里",IF(AND(IFERROR(INDEX(基础资料!$AD$5:$AD$34,MATCH(O1339,基础资料!$AC$5:$AC$34,0)),"")="收",N(G1339)&lt;&gt;0),"✗ 这类是收款，金额填到收入列",IF(AND(IFERROR(INDEX(基础资料!$AD$5:$AD$34,MATCH(O1339,基础资料!$AC$5:$AC$34,0)),"")="支",N(F1339)&lt;&gt;0),"✗ 这类是付款，金额填到支出列",IF(N(H1339)&lt;0,"⚠ 账户余额成负数了，核对一下","√"))))))))))))))))))</f>
      </c>
      <c r="O1339" s="78">
        <f>IF(D1339&lt;&gt;"",D1339,IF(AND(F1339="",G1339=""),"",IF(J1339&lt;&gt;"",IF(N(F1339)&gt;0,"客户回款","客户退款"),IF(K1339&lt;&gt;"",IF(N(G1339)&gt;0,"供应商付款","供应商退款"),IF(L1339&lt;&gt;"","费用支出","")))))</f>
      </c>
      <c r="P1339" s="78">
        <f>IF(O1339="","",IFERROR(INDEX(基础资料!$AE$5:$AE$34,MATCH(O1339,基础资料!$AC$5:$AC$34,0)),"未知"))</f>
      </c>
      <c r="Q1339" s="78">
        <f>IF(P1339="应收",COUNTIF(P$7:P1339,"应收"),"")</f>
      </c>
      <c r="R1339" s="78">
        <f>IF(P1339="应付",COUNTIF(P$7:P1339,"应付"),"")</f>
      </c>
      <c r="S1339" s="78">
        <f>N(F1339)-N(G1339)</f>
        <v>0</v>
      </c>
    </row>
    <row r="1340">
      <c r="A1340" s="109">
        <f>IF(AND(F1340="",G1340=""),"",ROW()-6)</f>
      </c>
      <c r="B1340" s="140" t="n"/>
      <c r="C1340" s="141" t="n"/>
      <c r="D1340" s="141" t="n"/>
      <c r="E1340" s="142" t="n"/>
      <c r="F1340" s="143" t="n"/>
      <c r="G1340" s="144" t="n"/>
      <c r="H1340" s="145">
        <f>IF(OR(C1340="",AND(F1340="",G1340="")),"",SUMIF(基础资料!$W$5:$W$24,C1340,基础资料!$X$5:$X$24)+SUMIF(C$7:C1340,C1340,F$7:F1340)-SUMIF(C$7:C1340,C1340,G$7:G1340))</f>
      </c>
      <c r="I1340" s="145">
        <f>IF(AND(F1340="",G1340=""),"",SUM(基础资料!$X$5:$X$24)+SUM(F$7:F1340)-SUM(G$7:G1340))</f>
      </c>
      <c r="J1340" s="141" t="n"/>
      <c r="K1340" s="141" t="n"/>
      <c r="L1340" s="141" t="n"/>
      <c r="M1340" s="142" t="n"/>
      <c r="N1340" s="146">
        <f>IF(AND(AND(F1340="",G1340=""),B1340="",C1340="",D1340="",J1340="",K1340="",L1340=""),"",IF(AND(F1340="",G1340=""),"✗ 没填金额",IF(AND(N(F1340)&lt;&gt;0,N(G1340)&lt;&gt;0),"✗ 收入、支出只能填一边",IF(NOT(ISNUMBER(B1340)),"✗ 日期不是真日期（要像 2026/9/25 这样填）",IF(OR(B1340&lt;年初日,B1340&gt;年末日),"✗ 日期不在本会计年度",IF(C1340="","✗ 没选账户",IF(COUNTIF(基础资料!$W$5:$W$24,C1340)=0,"✗ 账户不在基础资料里",IF(O1340="","✗ 没选收支项目",IF(P1340="未知","✗ 收支项目不在基础资料里",IF(AND(P1340="应收",J1340=""),"✗ 这笔要选客户",IF(AND(P1340="应收",COUNTIF(总览汇总!$B$5:$B$304,J1340)=0),"✗ 客户不在总览汇总名单里",IF(AND(P1340="应付",K1340=""),"✗ 这笔要选供应商",IF(AND(P1340="应付",COUNTIF(基础资料!$Q$5:$Q$54,K1340)=0),"✗ 供应商不在基础资料里",IF(AND(P1340="费用",L1340=""),"✗ 费用支出要选费用项目",IF(AND(L1340&lt;&gt;"",COUNTIF(基础资料!$AI$5:$AI$54,L1340)=0),"✗ 费用项目不在基础资料里",IF(AND(IFERROR(INDEX(基础资料!$AD$5:$AD$34,MATCH(O1340,基础资料!$AC$5:$AC$34,0)),"")="收",N(G1340)&lt;&gt;0),"✗ 这类是收款，金额填到收入列",IF(AND(IFERROR(INDEX(基础资料!$AD$5:$AD$34,MATCH(O1340,基础资料!$AC$5:$AC$34,0)),"")="支",N(F1340)&lt;&gt;0),"✗ 这类是付款，金额填到支出列",IF(N(H1340)&lt;0,"⚠ 账户余额成负数了，核对一下","√"))))))))))))))))))</f>
      </c>
      <c r="O1340" s="78">
        <f>IF(D1340&lt;&gt;"",D1340,IF(AND(F1340="",G1340=""),"",IF(J1340&lt;&gt;"",IF(N(F1340)&gt;0,"客户回款","客户退款"),IF(K1340&lt;&gt;"",IF(N(G1340)&gt;0,"供应商付款","供应商退款"),IF(L1340&lt;&gt;"","费用支出","")))))</f>
      </c>
      <c r="P1340" s="78">
        <f>IF(O1340="","",IFERROR(INDEX(基础资料!$AE$5:$AE$34,MATCH(O1340,基础资料!$AC$5:$AC$34,0)),"未知"))</f>
      </c>
      <c r="Q1340" s="78">
        <f>IF(P1340="应收",COUNTIF(P$7:P1340,"应收"),"")</f>
      </c>
      <c r="R1340" s="78">
        <f>IF(P1340="应付",COUNTIF(P$7:P1340,"应付"),"")</f>
      </c>
      <c r="S1340" s="78">
        <f>N(F1340)-N(G1340)</f>
        <v>0</v>
      </c>
    </row>
    <row r="1341">
      <c r="A1341" s="109">
        <f>IF(AND(F1341="",G1341=""),"",ROW()-6)</f>
      </c>
      <c r="B1341" s="140" t="n"/>
      <c r="C1341" s="141" t="n"/>
      <c r="D1341" s="141" t="n"/>
      <c r="E1341" s="142" t="n"/>
      <c r="F1341" s="143" t="n"/>
      <c r="G1341" s="144" t="n"/>
      <c r="H1341" s="145">
        <f>IF(OR(C1341="",AND(F1341="",G1341="")),"",SUMIF(基础资料!$W$5:$W$24,C1341,基础资料!$X$5:$X$24)+SUMIF(C$7:C1341,C1341,F$7:F1341)-SUMIF(C$7:C1341,C1341,G$7:G1341))</f>
      </c>
      <c r="I1341" s="145">
        <f>IF(AND(F1341="",G1341=""),"",SUM(基础资料!$X$5:$X$24)+SUM(F$7:F1341)-SUM(G$7:G1341))</f>
      </c>
      <c r="J1341" s="141" t="n"/>
      <c r="K1341" s="141" t="n"/>
      <c r="L1341" s="141" t="n"/>
      <c r="M1341" s="142" t="n"/>
      <c r="N1341" s="146">
        <f>IF(AND(AND(F1341="",G1341=""),B1341="",C1341="",D1341="",J1341="",K1341="",L1341=""),"",IF(AND(F1341="",G1341=""),"✗ 没填金额",IF(AND(N(F1341)&lt;&gt;0,N(G1341)&lt;&gt;0),"✗ 收入、支出只能填一边",IF(NOT(ISNUMBER(B1341)),"✗ 日期不是真日期（要像 2026/9/25 这样填）",IF(OR(B1341&lt;年初日,B1341&gt;年末日),"✗ 日期不在本会计年度",IF(C1341="","✗ 没选账户",IF(COUNTIF(基础资料!$W$5:$W$24,C1341)=0,"✗ 账户不在基础资料里",IF(O1341="","✗ 没选收支项目",IF(P1341="未知","✗ 收支项目不在基础资料里",IF(AND(P1341="应收",J1341=""),"✗ 这笔要选客户",IF(AND(P1341="应收",COUNTIF(总览汇总!$B$5:$B$304,J1341)=0),"✗ 客户不在总览汇总名单里",IF(AND(P1341="应付",K1341=""),"✗ 这笔要选供应商",IF(AND(P1341="应付",COUNTIF(基础资料!$Q$5:$Q$54,K1341)=0),"✗ 供应商不在基础资料里",IF(AND(P1341="费用",L1341=""),"✗ 费用支出要选费用项目",IF(AND(L1341&lt;&gt;"",COUNTIF(基础资料!$AI$5:$AI$54,L1341)=0),"✗ 费用项目不在基础资料里",IF(AND(IFERROR(INDEX(基础资料!$AD$5:$AD$34,MATCH(O1341,基础资料!$AC$5:$AC$34,0)),"")="收",N(G1341)&lt;&gt;0),"✗ 这类是收款，金额填到收入列",IF(AND(IFERROR(INDEX(基础资料!$AD$5:$AD$34,MATCH(O1341,基础资料!$AC$5:$AC$34,0)),"")="支",N(F1341)&lt;&gt;0),"✗ 这类是付款，金额填到支出列",IF(N(H1341)&lt;0,"⚠ 账户余额成负数了，核对一下","√"))))))))))))))))))</f>
      </c>
      <c r="O1341" s="78">
        <f>IF(D1341&lt;&gt;"",D1341,IF(AND(F1341="",G1341=""),"",IF(J1341&lt;&gt;"",IF(N(F1341)&gt;0,"客户回款","客户退款"),IF(K1341&lt;&gt;"",IF(N(G1341)&gt;0,"供应商付款","供应商退款"),IF(L1341&lt;&gt;"","费用支出","")))))</f>
      </c>
      <c r="P1341" s="78">
        <f>IF(O1341="","",IFERROR(INDEX(基础资料!$AE$5:$AE$34,MATCH(O1341,基础资料!$AC$5:$AC$34,0)),"未知"))</f>
      </c>
      <c r="Q1341" s="78">
        <f>IF(P1341="应收",COUNTIF(P$7:P1341,"应收"),"")</f>
      </c>
      <c r="R1341" s="78">
        <f>IF(P1341="应付",COUNTIF(P$7:P1341,"应付"),"")</f>
      </c>
      <c r="S1341" s="78">
        <f>N(F1341)-N(G1341)</f>
        <v>0</v>
      </c>
    </row>
    <row r="1342">
      <c r="A1342" s="109">
        <f>IF(AND(F1342="",G1342=""),"",ROW()-6)</f>
      </c>
      <c r="B1342" s="140" t="n"/>
      <c r="C1342" s="141" t="n"/>
      <c r="D1342" s="141" t="n"/>
      <c r="E1342" s="142" t="n"/>
      <c r="F1342" s="143" t="n"/>
      <c r="G1342" s="144" t="n"/>
      <c r="H1342" s="145">
        <f>IF(OR(C1342="",AND(F1342="",G1342="")),"",SUMIF(基础资料!$W$5:$W$24,C1342,基础资料!$X$5:$X$24)+SUMIF(C$7:C1342,C1342,F$7:F1342)-SUMIF(C$7:C1342,C1342,G$7:G1342))</f>
      </c>
      <c r="I1342" s="145">
        <f>IF(AND(F1342="",G1342=""),"",SUM(基础资料!$X$5:$X$24)+SUM(F$7:F1342)-SUM(G$7:G1342))</f>
      </c>
      <c r="J1342" s="141" t="n"/>
      <c r="K1342" s="141" t="n"/>
      <c r="L1342" s="141" t="n"/>
      <c r="M1342" s="142" t="n"/>
      <c r="N1342" s="146">
        <f>IF(AND(AND(F1342="",G1342=""),B1342="",C1342="",D1342="",J1342="",K1342="",L1342=""),"",IF(AND(F1342="",G1342=""),"✗ 没填金额",IF(AND(N(F1342)&lt;&gt;0,N(G1342)&lt;&gt;0),"✗ 收入、支出只能填一边",IF(NOT(ISNUMBER(B1342)),"✗ 日期不是真日期（要像 2026/9/25 这样填）",IF(OR(B1342&lt;年初日,B1342&gt;年末日),"✗ 日期不在本会计年度",IF(C1342="","✗ 没选账户",IF(COUNTIF(基础资料!$W$5:$W$24,C1342)=0,"✗ 账户不在基础资料里",IF(O1342="","✗ 没选收支项目",IF(P1342="未知","✗ 收支项目不在基础资料里",IF(AND(P1342="应收",J1342=""),"✗ 这笔要选客户",IF(AND(P1342="应收",COUNTIF(总览汇总!$B$5:$B$304,J1342)=0),"✗ 客户不在总览汇总名单里",IF(AND(P1342="应付",K1342=""),"✗ 这笔要选供应商",IF(AND(P1342="应付",COUNTIF(基础资料!$Q$5:$Q$54,K1342)=0),"✗ 供应商不在基础资料里",IF(AND(P1342="费用",L1342=""),"✗ 费用支出要选费用项目",IF(AND(L1342&lt;&gt;"",COUNTIF(基础资料!$AI$5:$AI$54,L1342)=0),"✗ 费用项目不在基础资料里",IF(AND(IFERROR(INDEX(基础资料!$AD$5:$AD$34,MATCH(O1342,基础资料!$AC$5:$AC$34,0)),"")="收",N(G1342)&lt;&gt;0),"✗ 这类是收款，金额填到收入列",IF(AND(IFERROR(INDEX(基础资料!$AD$5:$AD$34,MATCH(O1342,基础资料!$AC$5:$AC$34,0)),"")="支",N(F1342)&lt;&gt;0),"✗ 这类是付款，金额填到支出列",IF(N(H1342)&lt;0,"⚠ 账户余额成负数了，核对一下","√"))))))))))))))))))</f>
      </c>
      <c r="O1342" s="78">
        <f>IF(D1342&lt;&gt;"",D1342,IF(AND(F1342="",G1342=""),"",IF(J1342&lt;&gt;"",IF(N(F1342)&gt;0,"客户回款","客户退款"),IF(K1342&lt;&gt;"",IF(N(G1342)&gt;0,"供应商付款","供应商退款"),IF(L1342&lt;&gt;"","费用支出","")))))</f>
      </c>
      <c r="P1342" s="78">
        <f>IF(O1342="","",IFERROR(INDEX(基础资料!$AE$5:$AE$34,MATCH(O1342,基础资料!$AC$5:$AC$34,0)),"未知"))</f>
      </c>
      <c r="Q1342" s="78">
        <f>IF(P1342="应收",COUNTIF(P$7:P1342,"应收"),"")</f>
      </c>
      <c r="R1342" s="78">
        <f>IF(P1342="应付",COUNTIF(P$7:P1342,"应付"),"")</f>
      </c>
      <c r="S1342" s="78">
        <f>N(F1342)-N(G1342)</f>
        <v>0</v>
      </c>
    </row>
    <row r="1343">
      <c r="A1343" s="109">
        <f>IF(AND(F1343="",G1343=""),"",ROW()-6)</f>
      </c>
      <c r="B1343" s="140" t="n"/>
      <c r="C1343" s="141" t="n"/>
      <c r="D1343" s="141" t="n"/>
      <c r="E1343" s="142" t="n"/>
      <c r="F1343" s="143" t="n"/>
      <c r="G1343" s="144" t="n"/>
      <c r="H1343" s="145">
        <f>IF(OR(C1343="",AND(F1343="",G1343="")),"",SUMIF(基础资料!$W$5:$W$24,C1343,基础资料!$X$5:$X$24)+SUMIF(C$7:C1343,C1343,F$7:F1343)-SUMIF(C$7:C1343,C1343,G$7:G1343))</f>
      </c>
      <c r="I1343" s="145">
        <f>IF(AND(F1343="",G1343=""),"",SUM(基础资料!$X$5:$X$24)+SUM(F$7:F1343)-SUM(G$7:G1343))</f>
      </c>
      <c r="J1343" s="141" t="n"/>
      <c r="K1343" s="141" t="n"/>
      <c r="L1343" s="141" t="n"/>
      <c r="M1343" s="142" t="n"/>
      <c r="N1343" s="146">
        <f>IF(AND(AND(F1343="",G1343=""),B1343="",C1343="",D1343="",J1343="",K1343="",L1343=""),"",IF(AND(F1343="",G1343=""),"✗ 没填金额",IF(AND(N(F1343)&lt;&gt;0,N(G1343)&lt;&gt;0),"✗ 收入、支出只能填一边",IF(NOT(ISNUMBER(B1343)),"✗ 日期不是真日期（要像 2026/9/25 这样填）",IF(OR(B1343&lt;年初日,B1343&gt;年末日),"✗ 日期不在本会计年度",IF(C1343="","✗ 没选账户",IF(COUNTIF(基础资料!$W$5:$W$24,C1343)=0,"✗ 账户不在基础资料里",IF(O1343="","✗ 没选收支项目",IF(P1343="未知","✗ 收支项目不在基础资料里",IF(AND(P1343="应收",J1343=""),"✗ 这笔要选客户",IF(AND(P1343="应收",COUNTIF(总览汇总!$B$5:$B$304,J1343)=0),"✗ 客户不在总览汇总名单里",IF(AND(P1343="应付",K1343=""),"✗ 这笔要选供应商",IF(AND(P1343="应付",COUNTIF(基础资料!$Q$5:$Q$54,K1343)=0),"✗ 供应商不在基础资料里",IF(AND(P1343="费用",L1343=""),"✗ 费用支出要选费用项目",IF(AND(L1343&lt;&gt;"",COUNTIF(基础资料!$AI$5:$AI$54,L1343)=0),"✗ 费用项目不在基础资料里",IF(AND(IFERROR(INDEX(基础资料!$AD$5:$AD$34,MATCH(O1343,基础资料!$AC$5:$AC$34,0)),"")="收",N(G1343)&lt;&gt;0),"✗ 这类是收款，金额填到收入列",IF(AND(IFERROR(INDEX(基础资料!$AD$5:$AD$34,MATCH(O1343,基础资料!$AC$5:$AC$34,0)),"")="支",N(F1343)&lt;&gt;0),"✗ 这类是付款，金额填到支出列",IF(N(H1343)&lt;0,"⚠ 账户余额成负数了，核对一下","√"))))))))))))))))))</f>
      </c>
      <c r="O1343" s="78">
        <f>IF(D1343&lt;&gt;"",D1343,IF(AND(F1343="",G1343=""),"",IF(J1343&lt;&gt;"",IF(N(F1343)&gt;0,"客户回款","客户退款"),IF(K1343&lt;&gt;"",IF(N(G1343)&gt;0,"供应商付款","供应商退款"),IF(L1343&lt;&gt;"","费用支出","")))))</f>
      </c>
      <c r="P1343" s="78">
        <f>IF(O1343="","",IFERROR(INDEX(基础资料!$AE$5:$AE$34,MATCH(O1343,基础资料!$AC$5:$AC$34,0)),"未知"))</f>
      </c>
      <c r="Q1343" s="78">
        <f>IF(P1343="应收",COUNTIF(P$7:P1343,"应收"),"")</f>
      </c>
      <c r="R1343" s="78">
        <f>IF(P1343="应付",COUNTIF(P$7:P1343,"应付"),"")</f>
      </c>
      <c r="S1343" s="78">
        <f>N(F1343)-N(G1343)</f>
        <v>0</v>
      </c>
    </row>
    <row r="1344">
      <c r="A1344" s="109">
        <f>IF(AND(F1344="",G1344=""),"",ROW()-6)</f>
      </c>
      <c r="B1344" s="140" t="n"/>
      <c r="C1344" s="141" t="n"/>
      <c r="D1344" s="141" t="n"/>
      <c r="E1344" s="142" t="n"/>
      <c r="F1344" s="143" t="n"/>
      <c r="G1344" s="144" t="n"/>
      <c r="H1344" s="145">
        <f>IF(OR(C1344="",AND(F1344="",G1344="")),"",SUMIF(基础资料!$W$5:$W$24,C1344,基础资料!$X$5:$X$24)+SUMIF(C$7:C1344,C1344,F$7:F1344)-SUMIF(C$7:C1344,C1344,G$7:G1344))</f>
      </c>
      <c r="I1344" s="145">
        <f>IF(AND(F1344="",G1344=""),"",SUM(基础资料!$X$5:$X$24)+SUM(F$7:F1344)-SUM(G$7:G1344))</f>
      </c>
      <c r="J1344" s="141" t="n"/>
      <c r="K1344" s="141" t="n"/>
      <c r="L1344" s="141" t="n"/>
      <c r="M1344" s="142" t="n"/>
      <c r="N1344" s="146">
        <f>IF(AND(AND(F1344="",G1344=""),B1344="",C1344="",D1344="",J1344="",K1344="",L1344=""),"",IF(AND(F1344="",G1344=""),"✗ 没填金额",IF(AND(N(F1344)&lt;&gt;0,N(G1344)&lt;&gt;0),"✗ 收入、支出只能填一边",IF(NOT(ISNUMBER(B1344)),"✗ 日期不是真日期（要像 2026/9/25 这样填）",IF(OR(B1344&lt;年初日,B1344&gt;年末日),"✗ 日期不在本会计年度",IF(C1344="","✗ 没选账户",IF(COUNTIF(基础资料!$W$5:$W$24,C1344)=0,"✗ 账户不在基础资料里",IF(O1344="","✗ 没选收支项目",IF(P1344="未知","✗ 收支项目不在基础资料里",IF(AND(P1344="应收",J1344=""),"✗ 这笔要选客户",IF(AND(P1344="应收",COUNTIF(总览汇总!$B$5:$B$304,J1344)=0),"✗ 客户不在总览汇总名单里",IF(AND(P1344="应付",K1344=""),"✗ 这笔要选供应商",IF(AND(P1344="应付",COUNTIF(基础资料!$Q$5:$Q$54,K1344)=0),"✗ 供应商不在基础资料里",IF(AND(P1344="费用",L1344=""),"✗ 费用支出要选费用项目",IF(AND(L1344&lt;&gt;"",COUNTIF(基础资料!$AI$5:$AI$54,L1344)=0),"✗ 费用项目不在基础资料里",IF(AND(IFERROR(INDEX(基础资料!$AD$5:$AD$34,MATCH(O1344,基础资料!$AC$5:$AC$34,0)),"")="收",N(G1344)&lt;&gt;0),"✗ 这类是收款，金额填到收入列",IF(AND(IFERROR(INDEX(基础资料!$AD$5:$AD$34,MATCH(O1344,基础资料!$AC$5:$AC$34,0)),"")="支",N(F1344)&lt;&gt;0),"✗ 这类是付款，金额填到支出列",IF(N(H1344)&lt;0,"⚠ 账户余额成负数了，核对一下","√"))))))))))))))))))</f>
      </c>
      <c r="O1344" s="78">
        <f>IF(D1344&lt;&gt;"",D1344,IF(AND(F1344="",G1344=""),"",IF(J1344&lt;&gt;"",IF(N(F1344)&gt;0,"客户回款","客户退款"),IF(K1344&lt;&gt;"",IF(N(G1344)&gt;0,"供应商付款","供应商退款"),IF(L1344&lt;&gt;"","费用支出","")))))</f>
      </c>
      <c r="P1344" s="78">
        <f>IF(O1344="","",IFERROR(INDEX(基础资料!$AE$5:$AE$34,MATCH(O1344,基础资料!$AC$5:$AC$34,0)),"未知"))</f>
      </c>
      <c r="Q1344" s="78">
        <f>IF(P1344="应收",COUNTIF(P$7:P1344,"应收"),"")</f>
      </c>
      <c r="R1344" s="78">
        <f>IF(P1344="应付",COUNTIF(P$7:P1344,"应付"),"")</f>
      </c>
      <c r="S1344" s="78">
        <f>N(F1344)-N(G1344)</f>
        <v>0</v>
      </c>
    </row>
    <row r="1345">
      <c r="A1345" s="109">
        <f>IF(AND(F1345="",G1345=""),"",ROW()-6)</f>
      </c>
      <c r="B1345" s="140" t="n"/>
      <c r="C1345" s="141" t="n"/>
      <c r="D1345" s="141" t="n"/>
      <c r="E1345" s="142" t="n"/>
      <c r="F1345" s="143" t="n"/>
      <c r="G1345" s="144" t="n"/>
      <c r="H1345" s="145">
        <f>IF(OR(C1345="",AND(F1345="",G1345="")),"",SUMIF(基础资料!$W$5:$W$24,C1345,基础资料!$X$5:$X$24)+SUMIF(C$7:C1345,C1345,F$7:F1345)-SUMIF(C$7:C1345,C1345,G$7:G1345))</f>
      </c>
      <c r="I1345" s="145">
        <f>IF(AND(F1345="",G1345=""),"",SUM(基础资料!$X$5:$X$24)+SUM(F$7:F1345)-SUM(G$7:G1345))</f>
      </c>
      <c r="J1345" s="141" t="n"/>
      <c r="K1345" s="141" t="n"/>
      <c r="L1345" s="141" t="n"/>
      <c r="M1345" s="142" t="n"/>
      <c r="N1345" s="146">
        <f>IF(AND(AND(F1345="",G1345=""),B1345="",C1345="",D1345="",J1345="",K1345="",L1345=""),"",IF(AND(F1345="",G1345=""),"✗ 没填金额",IF(AND(N(F1345)&lt;&gt;0,N(G1345)&lt;&gt;0),"✗ 收入、支出只能填一边",IF(NOT(ISNUMBER(B1345)),"✗ 日期不是真日期（要像 2026/9/25 这样填）",IF(OR(B1345&lt;年初日,B1345&gt;年末日),"✗ 日期不在本会计年度",IF(C1345="","✗ 没选账户",IF(COUNTIF(基础资料!$W$5:$W$24,C1345)=0,"✗ 账户不在基础资料里",IF(O1345="","✗ 没选收支项目",IF(P1345="未知","✗ 收支项目不在基础资料里",IF(AND(P1345="应收",J1345=""),"✗ 这笔要选客户",IF(AND(P1345="应收",COUNTIF(总览汇总!$B$5:$B$304,J1345)=0),"✗ 客户不在总览汇总名单里",IF(AND(P1345="应付",K1345=""),"✗ 这笔要选供应商",IF(AND(P1345="应付",COUNTIF(基础资料!$Q$5:$Q$54,K1345)=0),"✗ 供应商不在基础资料里",IF(AND(P1345="费用",L1345=""),"✗ 费用支出要选费用项目",IF(AND(L1345&lt;&gt;"",COUNTIF(基础资料!$AI$5:$AI$54,L1345)=0),"✗ 费用项目不在基础资料里",IF(AND(IFERROR(INDEX(基础资料!$AD$5:$AD$34,MATCH(O1345,基础资料!$AC$5:$AC$34,0)),"")="收",N(G1345)&lt;&gt;0),"✗ 这类是收款，金额填到收入列",IF(AND(IFERROR(INDEX(基础资料!$AD$5:$AD$34,MATCH(O1345,基础资料!$AC$5:$AC$34,0)),"")="支",N(F1345)&lt;&gt;0),"✗ 这类是付款，金额填到支出列",IF(N(H1345)&lt;0,"⚠ 账户余额成负数了，核对一下","√"))))))))))))))))))</f>
      </c>
      <c r="O1345" s="78">
        <f>IF(D1345&lt;&gt;"",D1345,IF(AND(F1345="",G1345=""),"",IF(J1345&lt;&gt;"",IF(N(F1345)&gt;0,"客户回款","客户退款"),IF(K1345&lt;&gt;"",IF(N(G1345)&gt;0,"供应商付款","供应商退款"),IF(L1345&lt;&gt;"","费用支出","")))))</f>
      </c>
      <c r="P1345" s="78">
        <f>IF(O1345="","",IFERROR(INDEX(基础资料!$AE$5:$AE$34,MATCH(O1345,基础资料!$AC$5:$AC$34,0)),"未知"))</f>
      </c>
      <c r="Q1345" s="78">
        <f>IF(P1345="应收",COUNTIF(P$7:P1345,"应收"),"")</f>
      </c>
      <c r="R1345" s="78">
        <f>IF(P1345="应付",COUNTIF(P$7:P1345,"应付"),"")</f>
      </c>
      <c r="S1345" s="78">
        <f>N(F1345)-N(G1345)</f>
        <v>0</v>
      </c>
    </row>
    <row r="1346">
      <c r="A1346" s="109">
        <f>IF(AND(F1346="",G1346=""),"",ROW()-6)</f>
      </c>
      <c r="B1346" s="140" t="n"/>
      <c r="C1346" s="141" t="n"/>
      <c r="D1346" s="141" t="n"/>
      <c r="E1346" s="142" t="n"/>
      <c r="F1346" s="143" t="n"/>
      <c r="G1346" s="144" t="n"/>
      <c r="H1346" s="145">
        <f>IF(OR(C1346="",AND(F1346="",G1346="")),"",SUMIF(基础资料!$W$5:$W$24,C1346,基础资料!$X$5:$X$24)+SUMIF(C$7:C1346,C1346,F$7:F1346)-SUMIF(C$7:C1346,C1346,G$7:G1346))</f>
      </c>
      <c r="I1346" s="145">
        <f>IF(AND(F1346="",G1346=""),"",SUM(基础资料!$X$5:$X$24)+SUM(F$7:F1346)-SUM(G$7:G1346))</f>
      </c>
      <c r="J1346" s="141" t="n"/>
      <c r="K1346" s="141" t="n"/>
      <c r="L1346" s="141" t="n"/>
      <c r="M1346" s="142" t="n"/>
      <c r="N1346" s="146">
        <f>IF(AND(AND(F1346="",G1346=""),B1346="",C1346="",D1346="",J1346="",K1346="",L1346=""),"",IF(AND(F1346="",G1346=""),"✗ 没填金额",IF(AND(N(F1346)&lt;&gt;0,N(G1346)&lt;&gt;0),"✗ 收入、支出只能填一边",IF(NOT(ISNUMBER(B1346)),"✗ 日期不是真日期（要像 2026/9/25 这样填）",IF(OR(B1346&lt;年初日,B1346&gt;年末日),"✗ 日期不在本会计年度",IF(C1346="","✗ 没选账户",IF(COUNTIF(基础资料!$W$5:$W$24,C1346)=0,"✗ 账户不在基础资料里",IF(O1346="","✗ 没选收支项目",IF(P1346="未知","✗ 收支项目不在基础资料里",IF(AND(P1346="应收",J1346=""),"✗ 这笔要选客户",IF(AND(P1346="应收",COUNTIF(总览汇总!$B$5:$B$304,J1346)=0),"✗ 客户不在总览汇总名单里",IF(AND(P1346="应付",K1346=""),"✗ 这笔要选供应商",IF(AND(P1346="应付",COUNTIF(基础资料!$Q$5:$Q$54,K1346)=0),"✗ 供应商不在基础资料里",IF(AND(P1346="费用",L1346=""),"✗ 费用支出要选费用项目",IF(AND(L1346&lt;&gt;"",COUNTIF(基础资料!$AI$5:$AI$54,L1346)=0),"✗ 费用项目不在基础资料里",IF(AND(IFERROR(INDEX(基础资料!$AD$5:$AD$34,MATCH(O1346,基础资料!$AC$5:$AC$34,0)),"")="收",N(G1346)&lt;&gt;0),"✗ 这类是收款，金额填到收入列",IF(AND(IFERROR(INDEX(基础资料!$AD$5:$AD$34,MATCH(O1346,基础资料!$AC$5:$AC$34,0)),"")="支",N(F1346)&lt;&gt;0),"✗ 这类是付款，金额填到支出列",IF(N(H1346)&lt;0,"⚠ 账户余额成负数了，核对一下","√"))))))))))))))))))</f>
      </c>
      <c r="O1346" s="78">
        <f>IF(D1346&lt;&gt;"",D1346,IF(AND(F1346="",G1346=""),"",IF(J1346&lt;&gt;"",IF(N(F1346)&gt;0,"客户回款","客户退款"),IF(K1346&lt;&gt;"",IF(N(G1346)&gt;0,"供应商付款","供应商退款"),IF(L1346&lt;&gt;"","费用支出","")))))</f>
      </c>
      <c r="P1346" s="78">
        <f>IF(O1346="","",IFERROR(INDEX(基础资料!$AE$5:$AE$34,MATCH(O1346,基础资料!$AC$5:$AC$34,0)),"未知"))</f>
      </c>
      <c r="Q1346" s="78">
        <f>IF(P1346="应收",COUNTIF(P$7:P1346,"应收"),"")</f>
      </c>
      <c r="R1346" s="78">
        <f>IF(P1346="应付",COUNTIF(P$7:P1346,"应付"),"")</f>
      </c>
      <c r="S1346" s="78">
        <f>N(F1346)-N(G1346)</f>
        <v>0</v>
      </c>
    </row>
    <row r="1347">
      <c r="A1347" s="109">
        <f>IF(AND(F1347="",G1347=""),"",ROW()-6)</f>
      </c>
      <c r="B1347" s="140" t="n"/>
      <c r="C1347" s="141" t="n"/>
      <c r="D1347" s="141" t="n"/>
      <c r="E1347" s="142" t="n"/>
      <c r="F1347" s="143" t="n"/>
      <c r="G1347" s="144" t="n"/>
      <c r="H1347" s="145">
        <f>IF(OR(C1347="",AND(F1347="",G1347="")),"",SUMIF(基础资料!$W$5:$W$24,C1347,基础资料!$X$5:$X$24)+SUMIF(C$7:C1347,C1347,F$7:F1347)-SUMIF(C$7:C1347,C1347,G$7:G1347))</f>
      </c>
      <c r="I1347" s="145">
        <f>IF(AND(F1347="",G1347=""),"",SUM(基础资料!$X$5:$X$24)+SUM(F$7:F1347)-SUM(G$7:G1347))</f>
      </c>
      <c r="J1347" s="141" t="n"/>
      <c r="K1347" s="141" t="n"/>
      <c r="L1347" s="141" t="n"/>
      <c r="M1347" s="142" t="n"/>
      <c r="N1347" s="146">
        <f>IF(AND(AND(F1347="",G1347=""),B1347="",C1347="",D1347="",J1347="",K1347="",L1347=""),"",IF(AND(F1347="",G1347=""),"✗ 没填金额",IF(AND(N(F1347)&lt;&gt;0,N(G1347)&lt;&gt;0),"✗ 收入、支出只能填一边",IF(NOT(ISNUMBER(B1347)),"✗ 日期不是真日期（要像 2026/9/25 这样填）",IF(OR(B1347&lt;年初日,B1347&gt;年末日),"✗ 日期不在本会计年度",IF(C1347="","✗ 没选账户",IF(COUNTIF(基础资料!$W$5:$W$24,C1347)=0,"✗ 账户不在基础资料里",IF(O1347="","✗ 没选收支项目",IF(P1347="未知","✗ 收支项目不在基础资料里",IF(AND(P1347="应收",J1347=""),"✗ 这笔要选客户",IF(AND(P1347="应收",COUNTIF(总览汇总!$B$5:$B$304,J1347)=0),"✗ 客户不在总览汇总名单里",IF(AND(P1347="应付",K1347=""),"✗ 这笔要选供应商",IF(AND(P1347="应付",COUNTIF(基础资料!$Q$5:$Q$54,K1347)=0),"✗ 供应商不在基础资料里",IF(AND(P1347="费用",L1347=""),"✗ 费用支出要选费用项目",IF(AND(L1347&lt;&gt;"",COUNTIF(基础资料!$AI$5:$AI$54,L1347)=0),"✗ 费用项目不在基础资料里",IF(AND(IFERROR(INDEX(基础资料!$AD$5:$AD$34,MATCH(O1347,基础资料!$AC$5:$AC$34,0)),"")="收",N(G1347)&lt;&gt;0),"✗ 这类是收款，金额填到收入列",IF(AND(IFERROR(INDEX(基础资料!$AD$5:$AD$34,MATCH(O1347,基础资料!$AC$5:$AC$34,0)),"")="支",N(F1347)&lt;&gt;0),"✗ 这类是付款，金额填到支出列",IF(N(H1347)&lt;0,"⚠ 账户余额成负数了，核对一下","√"))))))))))))))))))</f>
      </c>
      <c r="O1347" s="78">
        <f>IF(D1347&lt;&gt;"",D1347,IF(AND(F1347="",G1347=""),"",IF(J1347&lt;&gt;"",IF(N(F1347)&gt;0,"客户回款","客户退款"),IF(K1347&lt;&gt;"",IF(N(G1347)&gt;0,"供应商付款","供应商退款"),IF(L1347&lt;&gt;"","费用支出","")))))</f>
      </c>
      <c r="P1347" s="78">
        <f>IF(O1347="","",IFERROR(INDEX(基础资料!$AE$5:$AE$34,MATCH(O1347,基础资料!$AC$5:$AC$34,0)),"未知"))</f>
      </c>
      <c r="Q1347" s="78">
        <f>IF(P1347="应收",COUNTIF(P$7:P1347,"应收"),"")</f>
      </c>
      <c r="R1347" s="78">
        <f>IF(P1347="应付",COUNTIF(P$7:P1347,"应付"),"")</f>
      </c>
      <c r="S1347" s="78">
        <f>N(F1347)-N(G1347)</f>
        <v>0</v>
      </c>
    </row>
    <row r="1348">
      <c r="A1348" s="109">
        <f>IF(AND(F1348="",G1348=""),"",ROW()-6)</f>
      </c>
      <c r="B1348" s="140" t="n"/>
      <c r="C1348" s="141" t="n"/>
      <c r="D1348" s="141" t="n"/>
      <c r="E1348" s="142" t="n"/>
      <c r="F1348" s="143" t="n"/>
      <c r="G1348" s="144" t="n"/>
      <c r="H1348" s="145">
        <f>IF(OR(C1348="",AND(F1348="",G1348="")),"",SUMIF(基础资料!$W$5:$W$24,C1348,基础资料!$X$5:$X$24)+SUMIF(C$7:C1348,C1348,F$7:F1348)-SUMIF(C$7:C1348,C1348,G$7:G1348))</f>
      </c>
      <c r="I1348" s="145">
        <f>IF(AND(F1348="",G1348=""),"",SUM(基础资料!$X$5:$X$24)+SUM(F$7:F1348)-SUM(G$7:G1348))</f>
      </c>
      <c r="J1348" s="141" t="n"/>
      <c r="K1348" s="141" t="n"/>
      <c r="L1348" s="141" t="n"/>
      <c r="M1348" s="142" t="n"/>
      <c r="N1348" s="146">
        <f>IF(AND(AND(F1348="",G1348=""),B1348="",C1348="",D1348="",J1348="",K1348="",L1348=""),"",IF(AND(F1348="",G1348=""),"✗ 没填金额",IF(AND(N(F1348)&lt;&gt;0,N(G1348)&lt;&gt;0),"✗ 收入、支出只能填一边",IF(NOT(ISNUMBER(B1348)),"✗ 日期不是真日期（要像 2026/9/25 这样填）",IF(OR(B1348&lt;年初日,B1348&gt;年末日),"✗ 日期不在本会计年度",IF(C1348="","✗ 没选账户",IF(COUNTIF(基础资料!$W$5:$W$24,C1348)=0,"✗ 账户不在基础资料里",IF(O1348="","✗ 没选收支项目",IF(P1348="未知","✗ 收支项目不在基础资料里",IF(AND(P1348="应收",J1348=""),"✗ 这笔要选客户",IF(AND(P1348="应收",COUNTIF(总览汇总!$B$5:$B$304,J1348)=0),"✗ 客户不在总览汇总名单里",IF(AND(P1348="应付",K1348=""),"✗ 这笔要选供应商",IF(AND(P1348="应付",COUNTIF(基础资料!$Q$5:$Q$54,K1348)=0),"✗ 供应商不在基础资料里",IF(AND(P1348="费用",L1348=""),"✗ 费用支出要选费用项目",IF(AND(L1348&lt;&gt;"",COUNTIF(基础资料!$AI$5:$AI$54,L1348)=0),"✗ 费用项目不在基础资料里",IF(AND(IFERROR(INDEX(基础资料!$AD$5:$AD$34,MATCH(O1348,基础资料!$AC$5:$AC$34,0)),"")="收",N(G1348)&lt;&gt;0),"✗ 这类是收款，金额填到收入列",IF(AND(IFERROR(INDEX(基础资料!$AD$5:$AD$34,MATCH(O1348,基础资料!$AC$5:$AC$34,0)),"")="支",N(F1348)&lt;&gt;0),"✗ 这类是付款，金额填到支出列",IF(N(H1348)&lt;0,"⚠ 账户余额成负数了，核对一下","√"))))))))))))))))))</f>
      </c>
      <c r="O1348" s="78">
        <f>IF(D1348&lt;&gt;"",D1348,IF(AND(F1348="",G1348=""),"",IF(J1348&lt;&gt;"",IF(N(F1348)&gt;0,"客户回款","客户退款"),IF(K1348&lt;&gt;"",IF(N(G1348)&gt;0,"供应商付款","供应商退款"),IF(L1348&lt;&gt;"","费用支出","")))))</f>
      </c>
      <c r="P1348" s="78">
        <f>IF(O1348="","",IFERROR(INDEX(基础资料!$AE$5:$AE$34,MATCH(O1348,基础资料!$AC$5:$AC$34,0)),"未知"))</f>
      </c>
      <c r="Q1348" s="78">
        <f>IF(P1348="应收",COUNTIF(P$7:P1348,"应收"),"")</f>
      </c>
      <c r="R1348" s="78">
        <f>IF(P1348="应付",COUNTIF(P$7:P1348,"应付"),"")</f>
      </c>
      <c r="S1348" s="78">
        <f>N(F1348)-N(G1348)</f>
        <v>0</v>
      </c>
    </row>
    <row r="1349">
      <c r="A1349" s="109">
        <f>IF(AND(F1349="",G1349=""),"",ROW()-6)</f>
      </c>
      <c r="B1349" s="140" t="n"/>
      <c r="C1349" s="141" t="n"/>
      <c r="D1349" s="141" t="n"/>
      <c r="E1349" s="142" t="n"/>
      <c r="F1349" s="143" t="n"/>
      <c r="G1349" s="144" t="n"/>
      <c r="H1349" s="145">
        <f>IF(OR(C1349="",AND(F1349="",G1349="")),"",SUMIF(基础资料!$W$5:$W$24,C1349,基础资料!$X$5:$X$24)+SUMIF(C$7:C1349,C1349,F$7:F1349)-SUMIF(C$7:C1349,C1349,G$7:G1349))</f>
      </c>
      <c r="I1349" s="145">
        <f>IF(AND(F1349="",G1349=""),"",SUM(基础资料!$X$5:$X$24)+SUM(F$7:F1349)-SUM(G$7:G1349))</f>
      </c>
      <c r="J1349" s="141" t="n"/>
      <c r="K1349" s="141" t="n"/>
      <c r="L1349" s="141" t="n"/>
      <c r="M1349" s="142" t="n"/>
      <c r="N1349" s="146">
        <f>IF(AND(AND(F1349="",G1349=""),B1349="",C1349="",D1349="",J1349="",K1349="",L1349=""),"",IF(AND(F1349="",G1349=""),"✗ 没填金额",IF(AND(N(F1349)&lt;&gt;0,N(G1349)&lt;&gt;0),"✗ 收入、支出只能填一边",IF(NOT(ISNUMBER(B1349)),"✗ 日期不是真日期（要像 2026/9/25 这样填）",IF(OR(B1349&lt;年初日,B1349&gt;年末日),"✗ 日期不在本会计年度",IF(C1349="","✗ 没选账户",IF(COUNTIF(基础资料!$W$5:$W$24,C1349)=0,"✗ 账户不在基础资料里",IF(O1349="","✗ 没选收支项目",IF(P1349="未知","✗ 收支项目不在基础资料里",IF(AND(P1349="应收",J1349=""),"✗ 这笔要选客户",IF(AND(P1349="应收",COUNTIF(总览汇总!$B$5:$B$304,J1349)=0),"✗ 客户不在总览汇总名单里",IF(AND(P1349="应付",K1349=""),"✗ 这笔要选供应商",IF(AND(P1349="应付",COUNTIF(基础资料!$Q$5:$Q$54,K1349)=0),"✗ 供应商不在基础资料里",IF(AND(P1349="费用",L1349=""),"✗ 费用支出要选费用项目",IF(AND(L1349&lt;&gt;"",COUNTIF(基础资料!$AI$5:$AI$54,L1349)=0),"✗ 费用项目不在基础资料里",IF(AND(IFERROR(INDEX(基础资料!$AD$5:$AD$34,MATCH(O1349,基础资料!$AC$5:$AC$34,0)),"")="收",N(G1349)&lt;&gt;0),"✗ 这类是收款，金额填到收入列",IF(AND(IFERROR(INDEX(基础资料!$AD$5:$AD$34,MATCH(O1349,基础资料!$AC$5:$AC$34,0)),"")="支",N(F1349)&lt;&gt;0),"✗ 这类是付款，金额填到支出列",IF(N(H1349)&lt;0,"⚠ 账户余额成负数了，核对一下","√"))))))))))))))))))</f>
      </c>
      <c r="O1349" s="78">
        <f>IF(D1349&lt;&gt;"",D1349,IF(AND(F1349="",G1349=""),"",IF(J1349&lt;&gt;"",IF(N(F1349)&gt;0,"客户回款","客户退款"),IF(K1349&lt;&gt;"",IF(N(G1349)&gt;0,"供应商付款","供应商退款"),IF(L1349&lt;&gt;"","费用支出","")))))</f>
      </c>
      <c r="P1349" s="78">
        <f>IF(O1349="","",IFERROR(INDEX(基础资料!$AE$5:$AE$34,MATCH(O1349,基础资料!$AC$5:$AC$34,0)),"未知"))</f>
      </c>
      <c r="Q1349" s="78">
        <f>IF(P1349="应收",COUNTIF(P$7:P1349,"应收"),"")</f>
      </c>
      <c r="R1349" s="78">
        <f>IF(P1349="应付",COUNTIF(P$7:P1349,"应付"),"")</f>
      </c>
      <c r="S1349" s="78">
        <f>N(F1349)-N(G1349)</f>
        <v>0</v>
      </c>
    </row>
    <row r="1350">
      <c r="A1350" s="109">
        <f>IF(AND(F1350="",G1350=""),"",ROW()-6)</f>
      </c>
      <c r="B1350" s="140" t="n"/>
      <c r="C1350" s="141" t="n"/>
      <c r="D1350" s="141" t="n"/>
      <c r="E1350" s="142" t="n"/>
      <c r="F1350" s="143" t="n"/>
      <c r="G1350" s="144" t="n"/>
      <c r="H1350" s="145">
        <f>IF(OR(C1350="",AND(F1350="",G1350="")),"",SUMIF(基础资料!$W$5:$W$24,C1350,基础资料!$X$5:$X$24)+SUMIF(C$7:C1350,C1350,F$7:F1350)-SUMIF(C$7:C1350,C1350,G$7:G1350))</f>
      </c>
      <c r="I1350" s="145">
        <f>IF(AND(F1350="",G1350=""),"",SUM(基础资料!$X$5:$X$24)+SUM(F$7:F1350)-SUM(G$7:G1350))</f>
      </c>
      <c r="J1350" s="141" t="n"/>
      <c r="K1350" s="141" t="n"/>
      <c r="L1350" s="141" t="n"/>
      <c r="M1350" s="142" t="n"/>
      <c r="N1350" s="146">
        <f>IF(AND(AND(F1350="",G1350=""),B1350="",C1350="",D1350="",J1350="",K1350="",L1350=""),"",IF(AND(F1350="",G1350=""),"✗ 没填金额",IF(AND(N(F1350)&lt;&gt;0,N(G1350)&lt;&gt;0),"✗ 收入、支出只能填一边",IF(NOT(ISNUMBER(B1350)),"✗ 日期不是真日期（要像 2026/9/25 这样填）",IF(OR(B1350&lt;年初日,B1350&gt;年末日),"✗ 日期不在本会计年度",IF(C1350="","✗ 没选账户",IF(COUNTIF(基础资料!$W$5:$W$24,C1350)=0,"✗ 账户不在基础资料里",IF(O1350="","✗ 没选收支项目",IF(P1350="未知","✗ 收支项目不在基础资料里",IF(AND(P1350="应收",J1350=""),"✗ 这笔要选客户",IF(AND(P1350="应收",COUNTIF(总览汇总!$B$5:$B$304,J1350)=0),"✗ 客户不在总览汇总名单里",IF(AND(P1350="应付",K1350=""),"✗ 这笔要选供应商",IF(AND(P1350="应付",COUNTIF(基础资料!$Q$5:$Q$54,K1350)=0),"✗ 供应商不在基础资料里",IF(AND(P1350="费用",L1350=""),"✗ 费用支出要选费用项目",IF(AND(L1350&lt;&gt;"",COUNTIF(基础资料!$AI$5:$AI$54,L1350)=0),"✗ 费用项目不在基础资料里",IF(AND(IFERROR(INDEX(基础资料!$AD$5:$AD$34,MATCH(O1350,基础资料!$AC$5:$AC$34,0)),"")="收",N(G1350)&lt;&gt;0),"✗ 这类是收款，金额填到收入列",IF(AND(IFERROR(INDEX(基础资料!$AD$5:$AD$34,MATCH(O1350,基础资料!$AC$5:$AC$34,0)),"")="支",N(F1350)&lt;&gt;0),"✗ 这类是付款，金额填到支出列",IF(N(H1350)&lt;0,"⚠ 账户余额成负数了，核对一下","√"))))))))))))))))))</f>
      </c>
      <c r="O1350" s="78">
        <f>IF(D1350&lt;&gt;"",D1350,IF(AND(F1350="",G1350=""),"",IF(J1350&lt;&gt;"",IF(N(F1350)&gt;0,"客户回款","客户退款"),IF(K1350&lt;&gt;"",IF(N(G1350)&gt;0,"供应商付款","供应商退款"),IF(L1350&lt;&gt;"","费用支出","")))))</f>
      </c>
      <c r="P1350" s="78">
        <f>IF(O1350="","",IFERROR(INDEX(基础资料!$AE$5:$AE$34,MATCH(O1350,基础资料!$AC$5:$AC$34,0)),"未知"))</f>
      </c>
      <c r="Q1350" s="78">
        <f>IF(P1350="应收",COUNTIF(P$7:P1350,"应收"),"")</f>
      </c>
      <c r="R1350" s="78">
        <f>IF(P1350="应付",COUNTIF(P$7:P1350,"应付"),"")</f>
      </c>
      <c r="S1350" s="78">
        <f>N(F1350)-N(G1350)</f>
        <v>0</v>
      </c>
    </row>
    <row r="1351">
      <c r="A1351" s="109">
        <f>IF(AND(F1351="",G1351=""),"",ROW()-6)</f>
      </c>
      <c r="B1351" s="140" t="n"/>
      <c r="C1351" s="141" t="n"/>
      <c r="D1351" s="141" t="n"/>
      <c r="E1351" s="142" t="n"/>
      <c r="F1351" s="143" t="n"/>
      <c r="G1351" s="144" t="n"/>
      <c r="H1351" s="145">
        <f>IF(OR(C1351="",AND(F1351="",G1351="")),"",SUMIF(基础资料!$W$5:$W$24,C1351,基础资料!$X$5:$X$24)+SUMIF(C$7:C1351,C1351,F$7:F1351)-SUMIF(C$7:C1351,C1351,G$7:G1351))</f>
      </c>
      <c r="I1351" s="145">
        <f>IF(AND(F1351="",G1351=""),"",SUM(基础资料!$X$5:$X$24)+SUM(F$7:F1351)-SUM(G$7:G1351))</f>
      </c>
      <c r="J1351" s="141" t="n"/>
      <c r="K1351" s="141" t="n"/>
      <c r="L1351" s="141" t="n"/>
      <c r="M1351" s="142" t="n"/>
      <c r="N1351" s="146">
        <f>IF(AND(AND(F1351="",G1351=""),B1351="",C1351="",D1351="",J1351="",K1351="",L1351=""),"",IF(AND(F1351="",G1351=""),"✗ 没填金额",IF(AND(N(F1351)&lt;&gt;0,N(G1351)&lt;&gt;0),"✗ 收入、支出只能填一边",IF(NOT(ISNUMBER(B1351)),"✗ 日期不是真日期（要像 2026/9/25 这样填）",IF(OR(B1351&lt;年初日,B1351&gt;年末日),"✗ 日期不在本会计年度",IF(C1351="","✗ 没选账户",IF(COUNTIF(基础资料!$W$5:$W$24,C1351)=0,"✗ 账户不在基础资料里",IF(O1351="","✗ 没选收支项目",IF(P1351="未知","✗ 收支项目不在基础资料里",IF(AND(P1351="应收",J1351=""),"✗ 这笔要选客户",IF(AND(P1351="应收",COUNTIF(总览汇总!$B$5:$B$304,J1351)=0),"✗ 客户不在总览汇总名单里",IF(AND(P1351="应付",K1351=""),"✗ 这笔要选供应商",IF(AND(P1351="应付",COUNTIF(基础资料!$Q$5:$Q$54,K1351)=0),"✗ 供应商不在基础资料里",IF(AND(P1351="费用",L1351=""),"✗ 费用支出要选费用项目",IF(AND(L1351&lt;&gt;"",COUNTIF(基础资料!$AI$5:$AI$54,L1351)=0),"✗ 费用项目不在基础资料里",IF(AND(IFERROR(INDEX(基础资料!$AD$5:$AD$34,MATCH(O1351,基础资料!$AC$5:$AC$34,0)),"")="收",N(G1351)&lt;&gt;0),"✗ 这类是收款，金额填到收入列",IF(AND(IFERROR(INDEX(基础资料!$AD$5:$AD$34,MATCH(O1351,基础资料!$AC$5:$AC$34,0)),"")="支",N(F1351)&lt;&gt;0),"✗ 这类是付款，金额填到支出列",IF(N(H1351)&lt;0,"⚠ 账户余额成负数了，核对一下","√"))))))))))))))))))</f>
      </c>
      <c r="O1351" s="78">
        <f>IF(D1351&lt;&gt;"",D1351,IF(AND(F1351="",G1351=""),"",IF(J1351&lt;&gt;"",IF(N(F1351)&gt;0,"客户回款","客户退款"),IF(K1351&lt;&gt;"",IF(N(G1351)&gt;0,"供应商付款","供应商退款"),IF(L1351&lt;&gt;"","费用支出","")))))</f>
      </c>
      <c r="P1351" s="78">
        <f>IF(O1351="","",IFERROR(INDEX(基础资料!$AE$5:$AE$34,MATCH(O1351,基础资料!$AC$5:$AC$34,0)),"未知"))</f>
      </c>
      <c r="Q1351" s="78">
        <f>IF(P1351="应收",COUNTIF(P$7:P1351,"应收"),"")</f>
      </c>
      <c r="R1351" s="78">
        <f>IF(P1351="应付",COUNTIF(P$7:P1351,"应付"),"")</f>
      </c>
      <c r="S1351" s="78">
        <f>N(F1351)-N(G1351)</f>
        <v>0</v>
      </c>
    </row>
    <row r="1352">
      <c r="A1352" s="109">
        <f>IF(AND(F1352="",G1352=""),"",ROW()-6)</f>
      </c>
      <c r="B1352" s="140" t="n"/>
      <c r="C1352" s="141" t="n"/>
      <c r="D1352" s="141" t="n"/>
      <c r="E1352" s="142" t="n"/>
      <c r="F1352" s="143" t="n"/>
      <c r="G1352" s="144" t="n"/>
      <c r="H1352" s="145">
        <f>IF(OR(C1352="",AND(F1352="",G1352="")),"",SUMIF(基础资料!$W$5:$W$24,C1352,基础资料!$X$5:$X$24)+SUMIF(C$7:C1352,C1352,F$7:F1352)-SUMIF(C$7:C1352,C1352,G$7:G1352))</f>
      </c>
      <c r="I1352" s="145">
        <f>IF(AND(F1352="",G1352=""),"",SUM(基础资料!$X$5:$X$24)+SUM(F$7:F1352)-SUM(G$7:G1352))</f>
      </c>
      <c r="J1352" s="141" t="n"/>
      <c r="K1352" s="141" t="n"/>
      <c r="L1352" s="141" t="n"/>
      <c r="M1352" s="142" t="n"/>
      <c r="N1352" s="146">
        <f>IF(AND(AND(F1352="",G1352=""),B1352="",C1352="",D1352="",J1352="",K1352="",L1352=""),"",IF(AND(F1352="",G1352=""),"✗ 没填金额",IF(AND(N(F1352)&lt;&gt;0,N(G1352)&lt;&gt;0),"✗ 收入、支出只能填一边",IF(NOT(ISNUMBER(B1352)),"✗ 日期不是真日期（要像 2026/9/25 这样填）",IF(OR(B1352&lt;年初日,B1352&gt;年末日),"✗ 日期不在本会计年度",IF(C1352="","✗ 没选账户",IF(COUNTIF(基础资料!$W$5:$W$24,C1352)=0,"✗ 账户不在基础资料里",IF(O1352="","✗ 没选收支项目",IF(P1352="未知","✗ 收支项目不在基础资料里",IF(AND(P1352="应收",J1352=""),"✗ 这笔要选客户",IF(AND(P1352="应收",COUNTIF(总览汇总!$B$5:$B$304,J1352)=0),"✗ 客户不在总览汇总名单里",IF(AND(P1352="应付",K1352=""),"✗ 这笔要选供应商",IF(AND(P1352="应付",COUNTIF(基础资料!$Q$5:$Q$54,K1352)=0),"✗ 供应商不在基础资料里",IF(AND(P1352="费用",L1352=""),"✗ 费用支出要选费用项目",IF(AND(L1352&lt;&gt;"",COUNTIF(基础资料!$AI$5:$AI$54,L1352)=0),"✗ 费用项目不在基础资料里",IF(AND(IFERROR(INDEX(基础资料!$AD$5:$AD$34,MATCH(O1352,基础资料!$AC$5:$AC$34,0)),"")="收",N(G1352)&lt;&gt;0),"✗ 这类是收款，金额填到收入列",IF(AND(IFERROR(INDEX(基础资料!$AD$5:$AD$34,MATCH(O1352,基础资料!$AC$5:$AC$34,0)),"")="支",N(F1352)&lt;&gt;0),"✗ 这类是付款，金额填到支出列",IF(N(H1352)&lt;0,"⚠ 账户余额成负数了，核对一下","√"))))))))))))))))))</f>
      </c>
      <c r="O1352" s="78">
        <f>IF(D1352&lt;&gt;"",D1352,IF(AND(F1352="",G1352=""),"",IF(J1352&lt;&gt;"",IF(N(F1352)&gt;0,"客户回款","客户退款"),IF(K1352&lt;&gt;"",IF(N(G1352)&gt;0,"供应商付款","供应商退款"),IF(L1352&lt;&gt;"","费用支出","")))))</f>
      </c>
      <c r="P1352" s="78">
        <f>IF(O1352="","",IFERROR(INDEX(基础资料!$AE$5:$AE$34,MATCH(O1352,基础资料!$AC$5:$AC$34,0)),"未知"))</f>
      </c>
      <c r="Q1352" s="78">
        <f>IF(P1352="应收",COUNTIF(P$7:P1352,"应收"),"")</f>
      </c>
      <c r="R1352" s="78">
        <f>IF(P1352="应付",COUNTIF(P$7:P1352,"应付"),"")</f>
      </c>
      <c r="S1352" s="78">
        <f>N(F1352)-N(G1352)</f>
        <v>0</v>
      </c>
    </row>
    <row r="1353">
      <c r="A1353" s="109">
        <f>IF(AND(F1353="",G1353=""),"",ROW()-6)</f>
      </c>
      <c r="B1353" s="140" t="n"/>
      <c r="C1353" s="141" t="n"/>
      <c r="D1353" s="141" t="n"/>
      <c r="E1353" s="142" t="n"/>
      <c r="F1353" s="143" t="n"/>
      <c r="G1353" s="144" t="n"/>
      <c r="H1353" s="145">
        <f>IF(OR(C1353="",AND(F1353="",G1353="")),"",SUMIF(基础资料!$W$5:$W$24,C1353,基础资料!$X$5:$X$24)+SUMIF(C$7:C1353,C1353,F$7:F1353)-SUMIF(C$7:C1353,C1353,G$7:G1353))</f>
      </c>
      <c r="I1353" s="145">
        <f>IF(AND(F1353="",G1353=""),"",SUM(基础资料!$X$5:$X$24)+SUM(F$7:F1353)-SUM(G$7:G1353))</f>
      </c>
      <c r="J1353" s="141" t="n"/>
      <c r="K1353" s="141" t="n"/>
      <c r="L1353" s="141" t="n"/>
      <c r="M1353" s="142" t="n"/>
      <c r="N1353" s="146">
        <f>IF(AND(AND(F1353="",G1353=""),B1353="",C1353="",D1353="",J1353="",K1353="",L1353=""),"",IF(AND(F1353="",G1353=""),"✗ 没填金额",IF(AND(N(F1353)&lt;&gt;0,N(G1353)&lt;&gt;0),"✗ 收入、支出只能填一边",IF(NOT(ISNUMBER(B1353)),"✗ 日期不是真日期（要像 2026/9/25 这样填）",IF(OR(B1353&lt;年初日,B1353&gt;年末日),"✗ 日期不在本会计年度",IF(C1353="","✗ 没选账户",IF(COUNTIF(基础资料!$W$5:$W$24,C1353)=0,"✗ 账户不在基础资料里",IF(O1353="","✗ 没选收支项目",IF(P1353="未知","✗ 收支项目不在基础资料里",IF(AND(P1353="应收",J1353=""),"✗ 这笔要选客户",IF(AND(P1353="应收",COUNTIF(总览汇总!$B$5:$B$304,J1353)=0),"✗ 客户不在总览汇总名单里",IF(AND(P1353="应付",K1353=""),"✗ 这笔要选供应商",IF(AND(P1353="应付",COUNTIF(基础资料!$Q$5:$Q$54,K1353)=0),"✗ 供应商不在基础资料里",IF(AND(P1353="费用",L1353=""),"✗ 费用支出要选费用项目",IF(AND(L1353&lt;&gt;"",COUNTIF(基础资料!$AI$5:$AI$54,L1353)=0),"✗ 费用项目不在基础资料里",IF(AND(IFERROR(INDEX(基础资料!$AD$5:$AD$34,MATCH(O1353,基础资料!$AC$5:$AC$34,0)),"")="收",N(G1353)&lt;&gt;0),"✗ 这类是收款，金额填到收入列",IF(AND(IFERROR(INDEX(基础资料!$AD$5:$AD$34,MATCH(O1353,基础资料!$AC$5:$AC$34,0)),"")="支",N(F1353)&lt;&gt;0),"✗ 这类是付款，金额填到支出列",IF(N(H1353)&lt;0,"⚠ 账户余额成负数了，核对一下","√"))))))))))))))))))</f>
      </c>
      <c r="O1353" s="78">
        <f>IF(D1353&lt;&gt;"",D1353,IF(AND(F1353="",G1353=""),"",IF(J1353&lt;&gt;"",IF(N(F1353)&gt;0,"客户回款","客户退款"),IF(K1353&lt;&gt;"",IF(N(G1353)&gt;0,"供应商付款","供应商退款"),IF(L1353&lt;&gt;"","费用支出","")))))</f>
      </c>
      <c r="P1353" s="78">
        <f>IF(O1353="","",IFERROR(INDEX(基础资料!$AE$5:$AE$34,MATCH(O1353,基础资料!$AC$5:$AC$34,0)),"未知"))</f>
      </c>
      <c r="Q1353" s="78">
        <f>IF(P1353="应收",COUNTIF(P$7:P1353,"应收"),"")</f>
      </c>
      <c r="R1353" s="78">
        <f>IF(P1353="应付",COUNTIF(P$7:P1353,"应付"),"")</f>
      </c>
      <c r="S1353" s="78">
        <f>N(F1353)-N(G1353)</f>
        <v>0</v>
      </c>
    </row>
    <row r="1354">
      <c r="A1354" s="109">
        <f>IF(AND(F1354="",G1354=""),"",ROW()-6)</f>
      </c>
      <c r="B1354" s="140" t="n"/>
      <c r="C1354" s="141" t="n"/>
      <c r="D1354" s="141" t="n"/>
      <c r="E1354" s="142" t="n"/>
      <c r="F1354" s="143" t="n"/>
      <c r="G1354" s="144" t="n"/>
      <c r="H1354" s="145">
        <f>IF(OR(C1354="",AND(F1354="",G1354="")),"",SUMIF(基础资料!$W$5:$W$24,C1354,基础资料!$X$5:$X$24)+SUMIF(C$7:C1354,C1354,F$7:F1354)-SUMIF(C$7:C1354,C1354,G$7:G1354))</f>
      </c>
      <c r="I1354" s="145">
        <f>IF(AND(F1354="",G1354=""),"",SUM(基础资料!$X$5:$X$24)+SUM(F$7:F1354)-SUM(G$7:G1354))</f>
      </c>
      <c r="J1354" s="141" t="n"/>
      <c r="K1354" s="141" t="n"/>
      <c r="L1354" s="141" t="n"/>
      <c r="M1354" s="142" t="n"/>
      <c r="N1354" s="146">
        <f>IF(AND(AND(F1354="",G1354=""),B1354="",C1354="",D1354="",J1354="",K1354="",L1354=""),"",IF(AND(F1354="",G1354=""),"✗ 没填金额",IF(AND(N(F1354)&lt;&gt;0,N(G1354)&lt;&gt;0),"✗ 收入、支出只能填一边",IF(NOT(ISNUMBER(B1354)),"✗ 日期不是真日期（要像 2026/9/25 这样填）",IF(OR(B1354&lt;年初日,B1354&gt;年末日),"✗ 日期不在本会计年度",IF(C1354="","✗ 没选账户",IF(COUNTIF(基础资料!$W$5:$W$24,C1354)=0,"✗ 账户不在基础资料里",IF(O1354="","✗ 没选收支项目",IF(P1354="未知","✗ 收支项目不在基础资料里",IF(AND(P1354="应收",J1354=""),"✗ 这笔要选客户",IF(AND(P1354="应收",COUNTIF(总览汇总!$B$5:$B$304,J1354)=0),"✗ 客户不在总览汇总名单里",IF(AND(P1354="应付",K1354=""),"✗ 这笔要选供应商",IF(AND(P1354="应付",COUNTIF(基础资料!$Q$5:$Q$54,K1354)=0),"✗ 供应商不在基础资料里",IF(AND(P1354="费用",L1354=""),"✗ 费用支出要选费用项目",IF(AND(L1354&lt;&gt;"",COUNTIF(基础资料!$AI$5:$AI$54,L1354)=0),"✗ 费用项目不在基础资料里",IF(AND(IFERROR(INDEX(基础资料!$AD$5:$AD$34,MATCH(O1354,基础资料!$AC$5:$AC$34,0)),"")="收",N(G1354)&lt;&gt;0),"✗ 这类是收款，金额填到收入列",IF(AND(IFERROR(INDEX(基础资料!$AD$5:$AD$34,MATCH(O1354,基础资料!$AC$5:$AC$34,0)),"")="支",N(F1354)&lt;&gt;0),"✗ 这类是付款，金额填到支出列",IF(N(H1354)&lt;0,"⚠ 账户余额成负数了，核对一下","√"))))))))))))))))))</f>
      </c>
      <c r="O1354" s="78">
        <f>IF(D1354&lt;&gt;"",D1354,IF(AND(F1354="",G1354=""),"",IF(J1354&lt;&gt;"",IF(N(F1354)&gt;0,"客户回款","客户退款"),IF(K1354&lt;&gt;"",IF(N(G1354)&gt;0,"供应商付款","供应商退款"),IF(L1354&lt;&gt;"","费用支出","")))))</f>
      </c>
      <c r="P1354" s="78">
        <f>IF(O1354="","",IFERROR(INDEX(基础资料!$AE$5:$AE$34,MATCH(O1354,基础资料!$AC$5:$AC$34,0)),"未知"))</f>
      </c>
      <c r="Q1354" s="78">
        <f>IF(P1354="应收",COUNTIF(P$7:P1354,"应收"),"")</f>
      </c>
      <c r="R1354" s="78">
        <f>IF(P1354="应付",COUNTIF(P$7:P1354,"应付"),"")</f>
      </c>
      <c r="S1354" s="78">
        <f>N(F1354)-N(G1354)</f>
        <v>0</v>
      </c>
    </row>
    <row r="1355">
      <c r="A1355" s="109">
        <f>IF(AND(F1355="",G1355=""),"",ROW()-6)</f>
      </c>
      <c r="B1355" s="140" t="n"/>
      <c r="C1355" s="141" t="n"/>
      <c r="D1355" s="141" t="n"/>
      <c r="E1355" s="142" t="n"/>
      <c r="F1355" s="143" t="n"/>
      <c r="G1355" s="144" t="n"/>
      <c r="H1355" s="145">
        <f>IF(OR(C1355="",AND(F1355="",G1355="")),"",SUMIF(基础资料!$W$5:$W$24,C1355,基础资料!$X$5:$X$24)+SUMIF(C$7:C1355,C1355,F$7:F1355)-SUMIF(C$7:C1355,C1355,G$7:G1355))</f>
      </c>
      <c r="I1355" s="145">
        <f>IF(AND(F1355="",G1355=""),"",SUM(基础资料!$X$5:$X$24)+SUM(F$7:F1355)-SUM(G$7:G1355))</f>
      </c>
      <c r="J1355" s="141" t="n"/>
      <c r="K1355" s="141" t="n"/>
      <c r="L1355" s="141" t="n"/>
      <c r="M1355" s="142" t="n"/>
      <c r="N1355" s="146">
        <f>IF(AND(AND(F1355="",G1355=""),B1355="",C1355="",D1355="",J1355="",K1355="",L1355=""),"",IF(AND(F1355="",G1355=""),"✗ 没填金额",IF(AND(N(F1355)&lt;&gt;0,N(G1355)&lt;&gt;0),"✗ 收入、支出只能填一边",IF(NOT(ISNUMBER(B1355)),"✗ 日期不是真日期（要像 2026/9/25 这样填）",IF(OR(B1355&lt;年初日,B1355&gt;年末日),"✗ 日期不在本会计年度",IF(C1355="","✗ 没选账户",IF(COUNTIF(基础资料!$W$5:$W$24,C1355)=0,"✗ 账户不在基础资料里",IF(O1355="","✗ 没选收支项目",IF(P1355="未知","✗ 收支项目不在基础资料里",IF(AND(P1355="应收",J1355=""),"✗ 这笔要选客户",IF(AND(P1355="应收",COUNTIF(总览汇总!$B$5:$B$304,J1355)=0),"✗ 客户不在总览汇总名单里",IF(AND(P1355="应付",K1355=""),"✗ 这笔要选供应商",IF(AND(P1355="应付",COUNTIF(基础资料!$Q$5:$Q$54,K1355)=0),"✗ 供应商不在基础资料里",IF(AND(P1355="费用",L1355=""),"✗ 费用支出要选费用项目",IF(AND(L1355&lt;&gt;"",COUNTIF(基础资料!$AI$5:$AI$54,L1355)=0),"✗ 费用项目不在基础资料里",IF(AND(IFERROR(INDEX(基础资料!$AD$5:$AD$34,MATCH(O1355,基础资料!$AC$5:$AC$34,0)),"")="收",N(G1355)&lt;&gt;0),"✗ 这类是收款，金额填到收入列",IF(AND(IFERROR(INDEX(基础资料!$AD$5:$AD$34,MATCH(O1355,基础资料!$AC$5:$AC$34,0)),"")="支",N(F1355)&lt;&gt;0),"✗ 这类是付款，金额填到支出列",IF(N(H1355)&lt;0,"⚠ 账户余额成负数了，核对一下","√"))))))))))))))))))</f>
      </c>
      <c r="O1355" s="78">
        <f>IF(D1355&lt;&gt;"",D1355,IF(AND(F1355="",G1355=""),"",IF(J1355&lt;&gt;"",IF(N(F1355)&gt;0,"客户回款","客户退款"),IF(K1355&lt;&gt;"",IF(N(G1355)&gt;0,"供应商付款","供应商退款"),IF(L1355&lt;&gt;"","费用支出","")))))</f>
      </c>
      <c r="P1355" s="78">
        <f>IF(O1355="","",IFERROR(INDEX(基础资料!$AE$5:$AE$34,MATCH(O1355,基础资料!$AC$5:$AC$34,0)),"未知"))</f>
      </c>
      <c r="Q1355" s="78">
        <f>IF(P1355="应收",COUNTIF(P$7:P1355,"应收"),"")</f>
      </c>
      <c r="R1355" s="78">
        <f>IF(P1355="应付",COUNTIF(P$7:P1355,"应付"),"")</f>
      </c>
      <c r="S1355" s="78">
        <f>N(F1355)-N(G1355)</f>
        <v>0</v>
      </c>
    </row>
    <row r="1356">
      <c r="A1356" s="109">
        <f>IF(AND(F1356="",G1356=""),"",ROW()-6)</f>
      </c>
      <c r="B1356" s="140" t="n"/>
      <c r="C1356" s="141" t="n"/>
      <c r="D1356" s="141" t="n"/>
      <c r="E1356" s="142" t="n"/>
      <c r="F1356" s="143" t="n"/>
      <c r="G1356" s="144" t="n"/>
      <c r="H1356" s="145">
        <f>IF(OR(C1356="",AND(F1356="",G1356="")),"",SUMIF(基础资料!$W$5:$W$24,C1356,基础资料!$X$5:$X$24)+SUMIF(C$7:C1356,C1356,F$7:F1356)-SUMIF(C$7:C1356,C1356,G$7:G1356))</f>
      </c>
      <c r="I1356" s="145">
        <f>IF(AND(F1356="",G1356=""),"",SUM(基础资料!$X$5:$X$24)+SUM(F$7:F1356)-SUM(G$7:G1356))</f>
      </c>
      <c r="J1356" s="141" t="n"/>
      <c r="K1356" s="141" t="n"/>
      <c r="L1356" s="141" t="n"/>
      <c r="M1356" s="142" t="n"/>
      <c r="N1356" s="146">
        <f>IF(AND(AND(F1356="",G1356=""),B1356="",C1356="",D1356="",J1356="",K1356="",L1356=""),"",IF(AND(F1356="",G1356=""),"✗ 没填金额",IF(AND(N(F1356)&lt;&gt;0,N(G1356)&lt;&gt;0),"✗ 收入、支出只能填一边",IF(NOT(ISNUMBER(B1356)),"✗ 日期不是真日期（要像 2026/9/25 这样填）",IF(OR(B1356&lt;年初日,B1356&gt;年末日),"✗ 日期不在本会计年度",IF(C1356="","✗ 没选账户",IF(COUNTIF(基础资料!$W$5:$W$24,C1356)=0,"✗ 账户不在基础资料里",IF(O1356="","✗ 没选收支项目",IF(P1356="未知","✗ 收支项目不在基础资料里",IF(AND(P1356="应收",J1356=""),"✗ 这笔要选客户",IF(AND(P1356="应收",COUNTIF(总览汇总!$B$5:$B$304,J1356)=0),"✗ 客户不在总览汇总名单里",IF(AND(P1356="应付",K1356=""),"✗ 这笔要选供应商",IF(AND(P1356="应付",COUNTIF(基础资料!$Q$5:$Q$54,K1356)=0),"✗ 供应商不在基础资料里",IF(AND(P1356="费用",L1356=""),"✗ 费用支出要选费用项目",IF(AND(L1356&lt;&gt;"",COUNTIF(基础资料!$AI$5:$AI$54,L1356)=0),"✗ 费用项目不在基础资料里",IF(AND(IFERROR(INDEX(基础资料!$AD$5:$AD$34,MATCH(O1356,基础资料!$AC$5:$AC$34,0)),"")="收",N(G1356)&lt;&gt;0),"✗ 这类是收款，金额填到收入列",IF(AND(IFERROR(INDEX(基础资料!$AD$5:$AD$34,MATCH(O1356,基础资料!$AC$5:$AC$34,0)),"")="支",N(F1356)&lt;&gt;0),"✗ 这类是付款，金额填到支出列",IF(N(H1356)&lt;0,"⚠ 账户余额成负数了，核对一下","√"))))))))))))))))))</f>
      </c>
      <c r="O1356" s="78">
        <f>IF(D1356&lt;&gt;"",D1356,IF(AND(F1356="",G1356=""),"",IF(J1356&lt;&gt;"",IF(N(F1356)&gt;0,"客户回款","客户退款"),IF(K1356&lt;&gt;"",IF(N(G1356)&gt;0,"供应商付款","供应商退款"),IF(L1356&lt;&gt;"","费用支出","")))))</f>
      </c>
      <c r="P1356" s="78">
        <f>IF(O1356="","",IFERROR(INDEX(基础资料!$AE$5:$AE$34,MATCH(O1356,基础资料!$AC$5:$AC$34,0)),"未知"))</f>
      </c>
      <c r="Q1356" s="78">
        <f>IF(P1356="应收",COUNTIF(P$7:P1356,"应收"),"")</f>
      </c>
      <c r="R1356" s="78">
        <f>IF(P1356="应付",COUNTIF(P$7:P1356,"应付"),"")</f>
      </c>
      <c r="S1356" s="78">
        <f>N(F1356)-N(G1356)</f>
        <v>0</v>
      </c>
    </row>
    <row r="1357">
      <c r="A1357" s="109">
        <f>IF(AND(F1357="",G1357=""),"",ROW()-6)</f>
      </c>
      <c r="B1357" s="140" t="n"/>
      <c r="C1357" s="141" t="n"/>
      <c r="D1357" s="141" t="n"/>
      <c r="E1357" s="142" t="n"/>
      <c r="F1357" s="143" t="n"/>
      <c r="G1357" s="144" t="n"/>
      <c r="H1357" s="145">
        <f>IF(OR(C1357="",AND(F1357="",G1357="")),"",SUMIF(基础资料!$W$5:$W$24,C1357,基础资料!$X$5:$X$24)+SUMIF(C$7:C1357,C1357,F$7:F1357)-SUMIF(C$7:C1357,C1357,G$7:G1357))</f>
      </c>
      <c r="I1357" s="145">
        <f>IF(AND(F1357="",G1357=""),"",SUM(基础资料!$X$5:$X$24)+SUM(F$7:F1357)-SUM(G$7:G1357))</f>
      </c>
      <c r="J1357" s="141" t="n"/>
      <c r="K1357" s="141" t="n"/>
      <c r="L1357" s="141" t="n"/>
      <c r="M1357" s="142" t="n"/>
      <c r="N1357" s="146">
        <f>IF(AND(AND(F1357="",G1357=""),B1357="",C1357="",D1357="",J1357="",K1357="",L1357=""),"",IF(AND(F1357="",G1357=""),"✗ 没填金额",IF(AND(N(F1357)&lt;&gt;0,N(G1357)&lt;&gt;0),"✗ 收入、支出只能填一边",IF(NOT(ISNUMBER(B1357)),"✗ 日期不是真日期（要像 2026/9/25 这样填）",IF(OR(B1357&lt;年初日,B1357&gt;年末日),"✗ 日期不在本会计年度",IF(C1357="","✗ 没选账户",IF(COUNTIF(基础资料!$W$5:$W$24,C1357)=0,"✗ 账户不在基础资料里",IF(O1357="","✗ 没选收支项目",IF(P1357="未知","✗ 收支项目不在基础资料里",IF(AND(P1357="应收",J1357=""),"✗ 这笔要选客户",IF(AND(P1357="应收",COUNTIF(总览汇总!$B$5:$B$304,J1357)=0),"✗ 客户不在总览汇总名单里",IF(AND(P1357="应付",K1357=""),"✗ 这笔要选供应商",IF(AND(P1357="应付",COUNTIF(基础资料!$Q$5:$Q$54,K1357)=0),"✗ 供应商不在基础资料里",IF(AND(P1357="费用",L1357=""),"✗ 费用支出要选费用项目",IF(AND(L1357&lt;&gt;"",COUNTIF(基础资料!$AI$5:$AI$54,L1357)=0),"✗ 费用项目不在基础资料里",IF(AND(IFERROR(INDEX(基础资料!$AD$5:$AD$34,MATCH(O1357,基础资料!$AC$5:$AC$34,0)),"")="收",N(G1357)&lt;&gt;0),"✗ 这类是收款，金额填到收入列",IF(AND(IFERROR(INDEX(基础资料!$AD$5:$AD$34,MATCH(O1357,基础资料!$AC$5:$AC$34,0)),"")="支",N(F1357)&lt;&gt;0),"✗ 这类是付款，金额填到支出列",IF(N(H1357)&lt;0,"⚠ 账户余额成负数了，核对一下","√"))))))))))))))))))</f>
      </c>
      <c r="O1357" s="78">
        <f>IF(D1357&lt;&gt;"",D1357,IF(AND(F1357="",G1357=""),"",IF(J1357&lt;&gt;"",IF(N(F1357)&gt;0,"客户回款","客户退款"),IF(K1357&lt;&gt;"",IF(N(G1357)&gt;0,"供应商付款","供应商退款"),IF(L1357&lt;&gt;"","费用支出","")))))</f>
      </c>
      <c r="P1357" s="78">
        <f>IF(O1357="","",IFERROR(INDEX(基础资料!$AE$5:$AE$34,MATCH(O1357,基础资料!$AC$5:$AC$34,0)),"未知"))</f>
      </c>
      <c r="Q1357" s="78">
        <f>IF(P1357="应收",COUNTIF(P$7:P1357,"应收"),"")</f>
      </c>
      <c r="R1357" s="78">
        <f>IF(P1357="应付",COUNTIF(P$7:P1357,"应付"),"")</f>
      </c>
      <c r="S1357" s="78">
        <f>N(F1357)-N(G1357)</f>
        <v>0</v>
      </c>
    </row>
    <row r="1358">
      <c r="A1358" s="109">
        <f>IF(AND(F1358="",G1358=""),"",ROW()-6)</f>
      </c>
      <c r="B1358" s="140" t="n"/>
      <c r="C1358" s="141" t="n"/>
      <c r="D1358" s="141" t="n"/>
      <c r="E1358" s="142" t="n"/>
      <c r="F1358" s="143" t="n"/>
      <c r="G1358" s="144" t="n"/>
      <c r="H1358" s="145">
        <f>IF(OR(C1358="",AND(F1358="",G1358="")),"",SUMIF(基础资料!$W$5:$W$24,C1358,基础资料!$X$5:$X$24)+SUMIF(C$7:C1358,C1358,F$7:F1358)-SUMIF(C$7:C1358,C1358,G$7:G1358))</f>
      </c>
      <c r="I1358" s="145">
        <f>IF(AND(F1358="",G1358=""),"",SUM(基础资料!$X$5:$X$24)+SUM(F$7:F1358)-SUM(G$7:G1358))</f>
      </c>
      <c r="J1358" s="141" t="n"/>
      <c r="K1358" s="141" t="n"/>
      <c r="L1358" s="141" t="n"/>
      <c r="M1358" s="142" t="n"/>
      <c r="N1358" s="146">
        <f>IF(AND(AND(F1358="",G1358=""),B1358="",C1358="",D1358="",J1358="",K1358="",L1358=""),"",IF(AND(F1358="",G1358=""),"✗ 没填金额",IF(AND(N(F1358)&lt;&gt;0,N(G1358)&lt;&gt;0),"✗ 收入、支出只能填一边",IF(NOT(ISNUMBER(B1358)),"✗ 日期不是真日期（要像 2026/9/25 这样填）",IF(OR(B1358&lt;年初日,B1358&gt;年末日),"✗ 日期不在本会计年度",IF(C1358="","✗ 没选账户",IF(COUNTIF(基础资料!$W$5:$W$24,C1358)=0,"✗ 账户不在基础资料里",IF(O1358="","✗ 没选收支项目",IF(P1358="未知","✗ 收支项目不在基础资料里",IF(AND(P1358="应收",J1358=""),"✗ 这笔要选客户",IF(AND(P1358="应收",COUNTIF(总览汇总!$B$5:$B$304,J1358)=0),"✗ 客户不在总览汇总名单里",IF(AND(P1358="应付",K1358=""),"✗ 这笔要选供应商",IF(AND(P1358="应付",COUNTIF(基础资料!$Q$5:$Q$54,K1358)=0),"✗ 供应商不在基础资料里",IF(AND(P1358="费用",L1358=""),"✗ 费用支出要选费用项目",IF(AND(L1358&lt;&gt;"",COUNTIF(基础资料!$AI$5:$AI$54,L1358)=0),"✗ 费用项目不在基础资料里",IF(AND(IFERROR(INDEX(基础资料!$AD$5:$AD$34,MATCH(O1358,基础资料!$AC$5:$AC$34,0)),"")="收",N(G1358)&lt;&gt;0),"✗ 这类是收款，金额填到收入列",IF(AND(IFERROR(INDEX(基础资料!$AD$5:$AD$34,MATCH(O1358,基础资料!$AC$5:$AC$34,0)),"")="支",N(F1358)&lt;&gt;0),"✗ 这类是付款，金额填到支出列",IF(N(H1358)&lt;0,"⚠ 账户余额成负数了，核对一下","√"))))))))))))))))))</f>
      </c>
      <c r="O1358" s="78">
        <f>IF(D1358&lt;&gt;"",D1358,IF(AND(F1358="",G1358=""),"",IF(J1358&lt;&gt;"",IF(N(F1358)&gt;0,"客户回款","客户退款"),IF(K1358&lt;&gt;"",IF(N(G1358)&gt;0,"供应商付款","供应商退款"),IF(L1358&lt;&gt;"","费用支出","")))))</f>
      </c>
      <c r="P1358" s="78">
        <f>IF(O1358="","",IFERROR(INDEX(基础资料!$AE$5:$AE$34,MATCH(O1358,基础资料!$AC$5:$AC$34,0)),"未知"))</f>
      </c>
      <c r="Q1358" s="78">
        <f>IF(P1358="应收",COUNTIF(P$7:P1358,"应收"),"")</f>
      </c>
      <c r="R1358" s="78">
        <f>IF(P1358="应付",COUNTIF(P$7:P1358,"应付"),"")</f>
      </c>
      <c r="S1358" s="78">
        <f>N(F1358)-N(G1358)</f>
        <v>0</v>
      </c>
    </row>
    <row r="1359">
      <c r="A1359" s="109">
        <f>IF(AND(F1359="",G1359=""),"",ROW()-6)</f>
      </c>
      <c r="B1359" s="140" t="n"/>
      <c r="C1359" s="141" t="n"/>
      <c r="D1359" s="141" t="n"/>
      <c r="E1359" s="142" t="n"/>
      <c r="F1359" s="143" t="n"/>
      <c r="G1359" s="144" t="n"/>
      <c r="H1359" s="145">
        <f>IF(OR(C1359="",AND(F1359="",G1359="")),"",SUMIF(基础资料!$W$5:$W$24,C1359,基础资料!$X$5:$X$24)+SUMIF(C$7:C1359,C1359,F$7:F1359)-SUMIF(C$7:C1359,C1359,G$7:G1359))</f>
      </c>
      <c r="I1359" s="145">
        <f>IF(AND(F1359="",G1359=""),"",SUM(基础资料!$X$5:$X$24)+SUM(F$7:F1359)-SUM(G$7:G1359))</f>
      </c>
      <c r="J1359" s="141" t="n"/>
      <c r="K1359" s="141" t="n"/>
      <c r="L1359" s="141" t="n"/>
      <c r="M1359" s="142" t="n"/>
      <c r="N1359" s="146">
        <f>IF(AND(AND(F1359="",G1359=""),B1359="",C1359="",D1359="",J1359="",K1359="",L1359=""),"",IF(AND(F1359="",G1359=""),"✗ 没填金额",IF(AND(N(F1359)&lt;&gt;0,N(G1359)&lt;&gt;0),"✗ 收入、支出只能填一边",IF(NOT(ISNUMBER(B1359)),"✗ 日期不是真日期（要像 2026/9/25 这样填）",IF(OR(B1359&lt;年初日,B1359&gt;年末日),"✗ 日期不在本会计年度",IF(C1359="","✗ 没选账户",IF(COUNTIF(基础资料!$W$5:$W$24,C1359)=0,"✗ 账户不在基础资料里",IF(O1359="","✗ 没选收支项目",IF(P1359="未知","✗ 收支项目不在基础资料里",IF(AND(P1359="应收",J1359=""),"✗ 这笔要选客户",IF(AND(P1359="应收",COUNTIF(总览汇总!$B$5:$B$304,J1359)=0),"✗ 客户不在总览汇总名单里",IF(AND(P1359="应付",K1359=""),"✗ 这笔要选供应商",IF(AND(P1359="应付",COUNTIF(基础资料!$Q$5:$Q$54,K1359)=0),"✗ 供应商不在基础资料里",IF(AND(P1359="费用",L1359=""),"✗ 费用支出要选费用项目",IF(AND(L1359&lt;&gt;"",COUNTIF(基础资料!$AI$5:$AI$54,L1359)=0),"✗ 费用项目不在基础资料里",IF(AND(IFERROR(INDEX(基础资料!$AD$5:$AD$34,MATCH(O1359,基础资料!$AC$5:$AC$34,0)),"")="收",N(G1359)&lt;&gt;0),"✗ 这类是收款，金额填到收入列",IF(AND(IFERROR(INDEX(基础资料!$AD$5:$AD$34,MATCH(O1359,基础资料!$AC$5:$AC$34,0)),"")="支",N(F1359)&lt;&gt;0),"✗ 这类是付款，金额填到支出列",IF(N(H1359)&lt;0,"⚠ 账户余额成负数了，核对一下","√"))))))))))))))))))</f>
      </c>
      <c r="O1359" s="78">
        <f>IF(D1359&lt;&gt;"",D1359,IF(AND(F1359="",G1359=""),"",IF(J1359&lt;&gt;"",IF(N(F1359)&gt;0,"客户回款","客户退款"),IF(K1359&lt;&gt;"",IF(N(G1359)&gt;0,"供应商付款","供应商退款"),IF(L1359&lt;&gt;"","费用支出","")))))</f>
      </c>
      <c r="P1359" s="78">
        <f>IF(O1359="","",IFERROR(INDEX(基础资料!$AE$5:$AE$34,MATCH(O1359,基础资料!$AC$5:$AC$34,0)),"未知"))</f>
      </c>
      <c r="Q1359" s="78">
        <f>IF(P1359="应收",COUNTIF(P$7:P1359,"应收"),"")</f>
      </c>
      <c r="R1359" s="78">
        <f>IF(P1359="应付",COUNTIF(P$7:P1359,"应付"),"")</f>
      </c>
      <c r="S1359" s="78">
        <f>N(F1359)-N(G1359)</f>
        <v>0</v>
      </c>
    </row>
    <row r="1360">
      <c r="A1360" s="109">
        <f>IF(AND(F1360="",G1360=""),"",ROW()-6)</f>
      </c>
      <c r="B1360" s="140" t="n"/>
      <c r="C1360" s="141" t="n"/>
      <c r="D1360" s="141" t="n"/>
      <c r="E1360" s="142" t="n"/>
      <c r="F1360" s="143" t="n"/>
      <c r="G1360" s="144" t="n"/>
      <c r="H1360" s="145">
        <f>IF(OR(C1360="",AND(F1360="",G1360="")),"",SUMIF(基础资料!$W$5:$W$24,C1360,基础资料!$X$5:$X$24)+SUMIF(C$7:C1360,C1360,F$7:F1360)-SUMIF(C$7:C1360,C1360,G$7:G1360))</f>
      </c>
      <c r="I1360" s="145">
        <f>IF(AND(F1360="",G1360=""),"",SUM(基础资料!$X$5:$X$24)+SUM(F$7:F1360)-SUM(G$7:G1360))</f>
      </c>
      <c r="J1360" s="141" t="n"/>
      <c r="K1360" s="141" t="n"/>
      <c r="L1360" s="141" t="n"/>
      <c r="M1360" s="142" t="n"/>
      <c r="N1360" s="146">
        <f>IF(AND(AND(F1360="",G1360=""),B1360="",C1360="",D1360="",J1360="",K1360="",L1360=""),"",IF(AND(F1360="",G1360=""),"✗ 没填金额",IF(AND(N(F1360)&lt;&gt;0,N(G1360)&lt;&gt;0),"✗ 收入、支出只能填一边",IF(NOT(ISNUMBER(B1360)),"✗ 日期不是真日期（要像 2026/9/25 这样填）",IF(OR(B1360&lt;年初日,B1360&gt;年末日),"✗ 日期不在本会计年度",IF(C1360="","✗ 没选账户",IF(COUNTIF(基础资料!$W$5:$W$24,C1360)=0,"✗ 账户不在基础资料里",IF(O1360="","✗ 没选收支项目",IF(P1360="未知","✗ 收支项目不在基础资料里",IF(AND(P1360="应收",J1360=""),"✗ 这笔要选客户",IF(AND(P1360="应收",COUNTIF(总览汇总!$B$5:$B$304,J1360)=0),"✗ 客户不在总览汇总名单里",IF(AND(P1360="应付",K1360=""),"✗ 这笔要选供应商",IF(AND(P1360="应付",COUNTIF(基础资料!$Q$5:$Q$54,K1360)=0),"✗ 供应商不在基础资料里",IF(AND(P1360="费用",L1360=""),"✗ 费用支出要选费用项目",IF(AND(L1360&lt;&gt;"",COUNTIF(基础资料!$AI$5:$AI$54,L1360)=0),"✗ 费用项目不在基础资料里",IF(AND(IFERROR(INDEX(基础资料!$AD$5:$AD$34,MATCH(O1360,基础资料!$AC$5:$AC$34,0)),"")="收",N(G1360)&lt;&gt;0),"✗ 这类是收款，金额填到收入列",IF(AND(IFERROR(INDEX(基础资料!$AD$5:$AD$34,MATCH(O1360,基础资料!$AC$5:$AC$34,0)),"")="支",N(F1360)&lt;&gt;0),"✗ 这类是付款，金额填到支出列",IF(N(H1360)&lt;0,"⚠ 账户余额成负数了，核对一下","√"))))))))))))))))))</f>
      </c>
      <c r="O1360" s="78">
        <f>IF(D1360&lt;&gt;"",D1360,IF(AND(F1360="",G1360=""),"",IF(J1360&lt;&gt;"",IF(N(F1360)&gt;0,"客户回款","客户退款"),IF(K1360&lt;&gt;"",IF(N(G1360)&gt;0,"供应商付款","供应商退款"),IF(L1360&lt;&gt;"","费用支出","")))))</f>
      </c>
      <c r="P1360" s="78">
        <f>IF(O1360="","",IFERROR(INDEX(基础资料!$AE$5:$AE$34,MATCH(O1360,基础资料!$AC$5:$AC$34,0)),"未知"))</f>
      </c>
      <c r="Q1360" s="78">
        <f>IF(P1360="应收",COUNTIF(P$7:P1360,"应收"),"")</f>
      </c>
      <c r="R1360" s="78">
        <f>IF(P1360="应付",COUNTIF(P$7:P1360,"应付"),"")</f>
      </c>
      <c r="S1360" s="78">
        <f>N(F1360)-N(G1360)</f>
        <v>0</v>
      </c>
    </row>
    <row r="1361">
      <c r="A1361" s="109">
        <f>IF(AND(F1361="",G1361=""),"",ROW()-6)</f>
      </c>
      <c r="B1361" s="140" t="n"/>
      <c r="C1361" s="141" t="n"/>
      <c r="D1361" s="141" t="n"/>
      <c r="E1361" s="142" t="n"/>
      <c r="F1361" s="143" t="n"/>
      <c r="G1361" s="144" t="n"/>
      <c r="H1361" s="145">
        <f>IF(OR(C1361="",AND(F1361="",G1361="")),"",SUMIF(基础资料!$W$5:$W$24,C1361,基础资料!$X$5:$X$24)+SUMIF(C$7:C1361,C1361,F$7:F1361)-SUMIF(C$7:C1361,C1361,G$7:G1361))</f>
      </c>
      <c r="I1361" s="145">
        <f>IF(AND(F1361="",G1361=""),"",SUM(基础资料!$X$5:$X$24)+SUM(F$7:F1361)-SUM(G$7:G1361))</f>
      </c>
      <c r="J1361" s="141" t="n"/>
      <c r="K1361" s="141" t="n"/>
      <c r="L1361" s="141" t="n"/>
      <c r="M1361" s="142" t="n"/>
      <c r="N1361" s="146">
        <f>IF(AND(AND(F1361="",G1361=""),B1361="",C1361="",D1361="",J1361="",K1361="",L1361=""),"",IF(AND(F1361="",G1361=""),"✗ 没填金额",IF(AND(N(F1361)&lt;&gt;0,N(G1361)&lt;&gt;0),"✗ 收入、支出只能填一边",IF(NOT(ISNUMBER(B1361)),"✗ 日期不是真日期（要像 2026/9/25 这样填）",IF(OR(B1361&lt;年初日,B1361&gt;年末日),"✗ 日期不在本会计年度",IF(C1361="","✗ 没选账户",IF(COUNTIF(基础资料!$W$5:$W$24,C1361)=0,"✗ 账户不在基础资料里",IF(O1361="","✗ 没选收支项目",IF(P1361="未知","✗ 收支项目不在基础资料里",IF(AND(P1361="应收",J1361=""),"✗ 这笔要选客户",IF(AND(P1361="应收",COUNTIF(总览汇总!$B$5:$B$304,J1361)=0),"✗ 客户不在总览汇总名单里",IF(AND(P1361="应付",K1361=""),"✗ 这笔要选供应商",IF(AND(P1361="应付",COUNTIF(基础资料!$Q$5:$Q$54,K1361)=0),"✗ 供应商不在基础资料里",IF(AND(P1361="费用",L1361=""),"✗ 费用支出要选费用项目",IF(AND(L1361&lt;&gt;"",COUNTIF(基础资料!$AI$5:$AI$54,L1361)=0),"✗ 费用项目不在基础资料里",IF(AND(IFERROR(INDEX(基础资料!$AD$5:$AD$34,MATCH(O1361,基础资料!$AC$5:$AC$34,0)),"")="收",N(G1361)&lt;&gt;0),"✗ 这类是收款，金额填到收入列",IF(AND(IFERROR(INDEX(基础资料!$AD$5:$AD$34,MATCH(O1361,基础资料!$AC$5:$AC$34,0)),"")="支",N(F1361)&lt;&gt;0),"✗ 这类是付款，金额填到支出列",IF(N(H1361)&lt;0,"⚠ 账户余额成负数了，核对一下","√"))))))))))))))))))</f>
      </c>
      <c r="O1361" s="78">
        <f>IF(D1361&lt;&gt;"",D1361,IF(AND(F1361="",G1361=""),"",IF(J1361&lt;&gt;"",IF(N(F1361)&gt;0,"客户回款","客户退款"),IF(K1361&lt;&gt;"",IF(N(G1361)&gt;0,"供应商付款","供应商退款"),IF(L1361&lt;&gt;"","费用支出","")))))</f>
      </c>
      <c r="P1361" s="78">
        <f>IF(O1361="","",IFERROR(INDEX(基础资料!$AE$5:$AE$34,MATCH(O1361,基础资料!$AC$5:$AC$34,0)),"未知"))</f>
      </c>
      <c r="Q1361" s="78">
        <f>IF(P1361="应收",COUNTIF(P$7:P1361,"应收"),"")</f>
      </c>
      <c r="R1361" s="78">
        <f>IF(P1361="应付",COUNTIF(P$7:P1361,"应付"),"")</f>
      </c>
      <c r="S1361" s="78">
        <f>N(F1361)-N(G1361)</f>
        <v>0</v>
      </c>
    </row>
    <row r="1362">
      <c r="A1362" s="109">
        <f>IF(AND(F1362="",G1362=""),"",ROW()-6)</f>
      </c>
      <c r="B1362" s="140" t="n"/>
      <c r="C1362" s="141" t="n"/>
      <c r="D1362" s="141" t="n"/>
      <c r="E1362" s="142" t="n"/>
      <c r="F1362" s="143" t="n"/>
      <c r="G1362" s="144" t="n"/>
      <c r="H1362" s="145">
        <f>IF(OR(C1362="",AND(F1362="",G1362="")),"",SUMIF(基础资料!$W$5:$W$24,C1362,基础资料!$X$5:$X$24)+SUMIF(C$7:C1362,C1362,F$7:F1362)-SUMIF(C$7:C1362,C1362,G$7:G1362))</f>
      </c>
      <c r="I1362" s="145">
        <f>IF(AND(F1362="",G1362=""),"",SUM(基础资料!$X$5:$X$24)+SUM(F$7:F1362)-SUM(G$7:G1362))</f>
      </c>
      <c r="J1362" s="141" t="n"/>
      <c r="K1362" s="141" t="n"/>
      <c r="L1362" s="141" t="n"/>
      <c r="M1362" s="142" t="n"/>
      <c r="N1362" s="146">
        <f>IF(AND(AND(F1362="",G1362=""),B1362="",C1362="",D1362="",J1362="",K1362="",L1362=""),"",IF(AND(F1362="",G1362=""),"✗ 没填金额",IF(AND(N(F1362)&lt;&gt;0,N(G1362)&lt;&gt;0),"✗ 收入、支出只能填一边",IF(NOT(ISNUMBER(B1362)),"✗ 日期不是真日期（要像 2026/9/25 这样填）",IF(OR(B1362&lt;年初日,B1362&gt;年末日),"✗ 日期不在本会计年度",IF(C1362="","✗ 没选账户",IF(COUNTIF(基础资料!$W$5:$W$24,C1362)=0,"✗ 账户不在基础资料里",IF(O1362="","✗ 没选收支项目",IF(P1362="未知","✗ 收支项目不在基础资料里",IF(AND(P1362="应收",J1362=""),"✗ 这笔要选客户",IF(AND(P1362="应收",COUNTIF(总览汇总!$B$5:$B$304,J1362)=0),"✗ 客户不在总览汇总名单里",IF(AND(P1362="应付",K1362=""),"✗ 这笔要选供应商",IF(AND(P1362="应付",COUNTIF(基础资料!$Q$5:$Q$54,K1362)=0),"✗ 供应商不在基础资料里",IF(AND(P1362="费用",L1362=""),"✗ 费用支出要选费用项目",IF(AND(L1362&lt;&gt;"",COUNTIF(基础资料!$AI$5:$AI$54,L1362)=0),"✗ 费用项目不在基础资料里",IF(AND(IFERROR(INDEX(基础资料!$AD$5:$AD$34,MATCH(O1362,基础资料!$AC$5:$AC$34,0)),"")="收",N(G1362)&lt;&gt;0),"✗ 这类是收款，金额填到收入列",IF(AND(IFERROR(INDEX(基础资料!$AD$5:$AD$34,MATCH(O1362,基础资料!$AC$5:$AC$34,0)),"")="支",N(F1362)&lt;&gt;0),"✗ 这类是付款，金额填到支出列",IF(N(H1362)&lt;0,"⚠ 账户余额成负数了，核对一下","√"))))))))))))))))))</f>
      </c>
      <c r="O1362" s="78">
        <f>IF(D1362&lt;&gt;"",D1362,IF(AND(F1362="",G1362=""),"",IF(J1362&lt;&gt;"",IF(N(F1362)&gt;0,"客户回款","客户退款"),IF(K1362&lt;&gt;"",IF(N(G1362)&gt;0,"供应商付款","供应商退款"),IF(L1362&lt;&gt;"","费用支出","")))))</f>
      </c>
      <c r="P1362" s="78">
        <f>IF(O1362="","",IFERROR(INDEX(基础资料!$AE$5:$AE$34,MATCH(O1362,基础资料!$AC$5:$AC$34,0)),"未知"))</f>
      </c>
      <c r="Q1362" s="78">
        <f>IF(P1362="应收",COUNTIF(P$7:P1362,"应收"),"")</f>
      </c>
      <c r="R1362" s="78">
        <f>IF(P1362="应付",COUNTIF(P$7:P1362,"应付"),"")</f>
      </c>
      <c r="S1362" s="78">
        <f>N(F1362)-N(G1362)</f>
        <v>0</v>
      </c>
    </row>
    <row r="1363">
      <c r="A1363" s="109">
        <f>IF(AND(F1363="",G1363=""),"",ROW()-6)</f>
      </c>
      <c r="B1363" s="140" t="n"/>
      <c r="C1363" s="141" t="n"/>
      <c r="D1363" s="141" t="n"/>
      <c r="E1363" s="142" t="n"/>
      <c r="F1363" s="143" t="n"/>
      <c r="G1363" s="144" t="n"/>
      <c r="H1363" s="145">
        <f>IF(OR(C1363="",AND(F1363="",G1363="")),"",SUMIF(基础资料!$W$5:$W$24,C1363,基础资料!$X$5:$X$24)+SUMIF(C$7:C1363,C1363,F$7:F1363)-SUMIF(C$7:C1363,C1363,G$7:G1363))</f>
      </c>
      <c r="I1363" s="145">
        <f>IF(AND(F1363="",G1363=""),"",SUM(基础资料!$X$5:$X$24)+SUM(F$7:F1363)-SUM(G$7:G1363))</f>
      </c>
      <c r="J1363" s="141" t="n"/>
      <c r="K1363" s="141" t="n"/>
      <c r="L1363" s="141" t="n"/>
      <c r="M1363" s="142" t="n"/>
      <c r="N1363" s="146">
        <f>IF(AND(AND(F1363="",G1363=""),B1363="",C1363="",D1363="",J1363="",K1363="",L1363=""),"",IF(AND(F1363="",G1363=""),"✗ 没填金额",IF(AND(N(F1363)&lt;&gt;0,N(G1363)&lt;&gt;0),"✗ 收入、支出只能填一边",IF(NOT(ISNUMBER(B1363)),"✗ 日期不是真日期（要像 2026/9/25 这样填）",IF(OR(B1363&lt;年初日,B1363&gt;年末日),"✗ 日期不在本会计年度",IF(C1363="","✗ 没选账户",IF(COUNTIF(基础资料!$W$5:$W$24,C1363)=0,"✗ 账户不在基础资料里",IF(O1363="","✗ 没选收支项目",IF(P1363="未知","✗ 收支项目不在基础资料里",IF(AND(P1363="应收",J1363=""),"✗ 这笔要选客户",IF(AND(P1363="应收",COUNTIF(总览汇总!$B$5:$B$304,J1363)=0),"✗ 客户不在总览汇总名单里",IF(AND(P1363="应付",K1363=""),"✗ 这笔要选供应商",IF(AND(P1363="应付",COUNTIF(基础资料!$Q$5:$Q$54,K1363)=0),"✗ 供应商不在基础资料里",IF(AND(P1363="费用",L1363=""),"✗ 费用支出要选费用项目",IF(AND(L1363&lt;&gt;"",COUNTIF(基础资料!$AI$5:$AI$54,L1363)=0),"✗ 费用项目不在基础资料里",IF(AND(IFERROR(INDEX(基础资料!$AD$5:$AD$34,MATCH(O1363,基础资料!$AC$5:$AC$34,0)),"")="收",N(G1363)&lt;&gt;0),"✗ 这类是收款，金额填到收入列",IF(AND(IFERROR(INDEX(基础资料!$AD$5:$AD$34,MATCH(O1363,基础资料!$AC$5:$AC$34,0)),"")="支",N(F1363)&lt;&gt;0),"✗ 这类是付款，金额填到支出列",IF(N(H1363)&lt;0,"⚠ 账户余额成负数了，核对一下","√"))))))))))))))))))</f>
      </c>
      <c r="O1363" s="78">
        <f>IF(D1363&lt;&gt;"",D1363,IF(AND(F1363="",G1363=""),"",IF(J1363&lt;&gt;"",IF(N(F1363)&gt;0,"客户回款","客户退款"),IF(K1363&lt;&gt;"",IF(N(G1363)&gt;0,"供应商付款","供应商退款"),IF(L1363&lt;&gt;"","费用支出","")))))</f>
      </c>
      <c r="P1363" s="78">
        <f>IF(O1363="","",IFERROR(INDEX(基础资料!$AE$5:$AE$34,MATCH(O1363,基础资料!$AC$5:$AC$34,0)),"未知"))</f>
      </c>
      <c r="Q1363" s="78">
        <f>IF(P1363="应收",COUNTIF(P$7:P1363,"应收"),"")</f>
      </c>
      <c r="R1363" s="78">
        <f>IF(P1363="应付",COUNTIF(P$7:P1363,"应付"),"")</f>
      </c>
      <c r="S1363" s="78">
        <f>N(F1363)-N(G1363)</f>
        <v>0</v>
      </c>
    </row>
    <row r="1364">
      <c r="A1364" s="109">
        <f>IF(AND(F1364="",G1364=""),"",ROW()-6)</f>
      </c>
      <c r="B1364" s="140" t="n"/>
      <c r="C1364" s="141" t="n"/>
      <c r="D1364" s="141" t="n"/>
      <c r="E1364" s="142" t="n"/>
      <c r="F1364" s="143" t="n"/>
      <c r="G1364" s="144" t="n"/>
      <c r="H1364" s="145">
        <f>IF(OR(C1364="",AND(F1364="",G1364="")),"",SUMIF(基础资料!$W$5:$W$24,C1364,基础资料!$X$5:$X$24)+SUMIF(C$7:C1364,C1364,F$7:F1364)-SUMIF(C$7:C1364,C1364,G$7:G1364))</f>
      </c>
      <c r="I1364" s="145">
        <f>IF(AND(F1364="",G1364=""),"",SUM(基础资料!$X$5:$X$24)+SUM(F$7:F1364)-SUM(G$7:G1364))</f>
      </c>
      <c r="J1364" s="141" t="n"/>
      <c r="K1364" s="141" t="n"/>
      <c r="L1364" s="141" t="n"/>
      <c r="M1364" s="142" t="n"/>
      <c r="N1364" s="146">
        <f>IF(AND(AND(F1364="",G1364=""),B1364="",C1364="",D1364="",J1364="",K1364="",L1364=""),"",IF(AND(F1364="",G1364=""),"✗ 没填金额",IF(AND(N(F1364)&lt;&gt;0,N(G1364)&lt;&gt;0),"✗ 收入、支出只能填一边",IF(NOT(ISNUMBER(B1364)),"✗ 日期不是真日期（要像 2026/9/25 这样填）",IF(OR(B1364&lt;年初日,B1364&gt;年末日),"✗ 日期不在本会计年度",IF(C1364="","✗ 没选账户",IF(COUNTIF(基础资料!$W$5:$W$24,C1364)=0,"✗ 账户不在基础资料里",IF(O1364="","✗ 没选收支项目",IF(P1364="未知","✗ 收支项目不在基础资料里",IF(AND(P1364="应收",J1364=""),"✗ 这笔要选客户",IF(AND(P1364="应收",COUNTIF(总览汇总!$B$5:$B$304,J1364)=0),"✗ 客户不在总览汇总名单里",IF(AND(P1364="应付",K1364=""),"✗ 这笔要选供应商",IF(AND(P1364="应付",COUNTIF(基础资料!$Q$5:$Q$54,K1364)=0),"✗ 供应商不在基础资料里",IF(AND(P1364="费用",L1364=""),"✗ 费用支出要选费用项目",IF(AND(L1364&lt;&gt;"",COUNTIF(基础资料!$AI$5:$AI$54,L1364)=0),"✗ 费用项目不在基础资料里",IF(AND(IFERROR(INDEX(基础资料!$AD$5:$AD$34,MATCH(O1364,基础资料!$AC$5:$AC$34,0)),"")="收",N(G1364)&lt;&gt;0),"✗ 这类是收款，金额填到收入列",IF(AND(IFERROR(INDEX(基础资料!$AD$5:$AD$34,MATCH(O1364,基础资料!$AC$5:$AC$34,0)),"")="支",N(F1364)&lt;&gt;0),"✗ 这类是付款，金额填到支出列",IF(N(H1364)&lt;0,"⚠ 账户余额成负数了，核对一下","√"))))))))))))))))))</f>
      </c>
      <c r="O1364" s="78">
        <f>IF(D1364&lt;&gt;"",D1364,IF(AND(F1364="",G1364=""),"",IF(J1364&lt;&gt;"",IF(N(F1364)&gt;0,"客户回款","客户退款"),IF(K1364&lt;&gt;"",IF(N(G1364)&gt;0,"供应商付款","供应商退款"),IF(L1364&lt;&gt;"","费用支出","")))))</f>
      </c>
      <c r="P1364" s="78">
        <f>IF(O1364="","",IFERROR(INDEX(基础资料!$AE$5:$AE$34,MATCH(O1364,基础资料!$AC$5:$AC$34,0)),"未知"))</f>
      </c>
      <c r="Q1364" s="78">
        <f>IF(P1364="应收",COUNTIF(P$7:P1364,"应收"),"")</f>
      </c>
      <c r="R1364" s="78">
        <f>IF(P1364="应付",COUNTIF(P$7:P1364,"应付"),"")</f>
      </c>
      <c r="S1364" s="78">
        <f>N(F1364)-N(G1364)</f>
        <v>0</v>
      </c>
    </row>
    <row r="1365">
      <c r="A1365" s="109">
        <f>IF(AND(F1365="",G1365=""),"",ROW()-6)</f>
      </c>
      <c r="B1365" s="140" t="n"/>
      <c r="C1365" s="141" t="n"/>
      <c r="D1365" s="141" t="n"/>
      <c r="E1365" s="142" t="n"/>
      <c r="F1365" s="143" t="n"/>
      <c r="G1365" s="144" t="n"/>
      <c r="H1365" s="145">
        <f>IF(OR(C1365="",AND(F1365="",G1365="")),"",SUMIF(基础资料!$W$5:$W$24,C1365,基础资料!$X$5:$X$24)+SUMIF(C$7:C1365,C1365,F$7:F1365)-SUMIF(C$7:C1365,C1365,G$7:G1365))</f>
      </c>
      <c r="I1365" s="145">
        <f>IF(AND(F1365="",G1365=""),"",SUM(基础资料!$X$5:$X$24)+SUM(F$7:F1365)-SUM(G$7:G1365))</f>
      </c>
      <c r="J1365" s="141" t="n"/>
      <c r="K1365" s="141" t="n"/>
      <c r="L1365" s="141" t="n"/>
      <c r="M1365" s="142" t="n"/>
      <c r="N1365" s="146">
        <f>IF(AND(AND(F1365="",G1365=""),B1365="",C1365="",D1365="",J1365="",K1365="",L1365=""),"",IF(AND(F1365="",G1365=""),"✗ 没填金额",IF(AND(N(F1365)&lt;&gt;0,N(G1365)&lt;&gt;0),"✗ 收入、支出只能填一边",IF(NOT(ISNUMBER(B1365)),"✗ 日期不是真日期（要像 2026/9/25 这样填）",IF(OR(B1365&lt;年初日,B1365&gt;年末日),"✗ 日期不在本会计年度",IF(C1365="","✗ 没选账户",IF(COUNTIF(基础资料!$W$5:$W$24,C1365)=0,"✗ 账户不在基础资料里",IF(O1365="","✗ 没选收支项目",IF(P1365="未知","✗ 收支项目不在基础资料里",IF(AND(P1365="应收",J1365=""),"✗ 这笔要选客户",IF(AND(P1365="应收",COUNTIF(总览汇总!$B$5:$B$304,J1365)=0),"✗ 客户不在总览汇总名单里",IF(AND(P1365="应付",K1365=""),"✗ 这笔要选供应商",IF(AND(P1365="应付",COUNTIF(基础资料!$Q$5:$Q$54,K1365)=0),"✗ 供应商不在基础资料里",IF(AND(P1365="费用",L1365=""),"✗ 费用支出要选费用项目",IF(AND(L1365&lt;&gt;"",COUNTIF(基础资料!$AI$5:$AI$54,L1365)=0),"✗ 费用项目不在基础资料里",IF(AND(IFERROR(INDEX(基础资料!$AD$5:$AD$34,MATCH(O1365,基础资料!$AC$5:$AC$34,0)),"")="收",N(G1365)&lt;&gt;0),"✗ 这类是收款，金额填到收入列",IF(AND(IFERROR(INDEX(基础资料!$AD$5:$AD$34,MATCH(O1365,基础资料!$AC$5:$AC$34,0)),"")="支",N(F1365)&lt;&gt;0),"✗ 这类是付款，金额填到支出列",IF(N(H1365)&lt;0,"⚠ 账户余额成负数了，核对一下","√"))))))))))))))))))</f>
      </c>
      <c r="O1365" s="78">
        <f>IF(D1365&lt;&gt;"",D1365,IF(AND(F1365="",G1365=""),"",IF(J1365&lt;&gt;"",IF(N(F1365)&gt;0,"客户回款","客户退款"),IF(K1365&lt;&gt;"",IF(N(G1365)&gt;0,"供应商付款","供应商退款"),IF(L1365&lt;&gt;"","费用支出","")))))</f>
      </c>
      <c r="P1365" s="78">
        <f>IF(O1365="","",IFERROR(INDEX(基础资料!$AE$5:$AE$34,MATCH(O1365,基础资料!$AC$5:$AC$34,0)),"未知"))</f>
      </c>
      <c r="Q1365" s="78">
        <f>IF(P1365="应收",COUNTIF(P$7:P1365,"应收"),"")</f>
      </c>
      <c r="R1365" s="78">
        <f>IF(P1365="应付",COUNTIF(P$7:P1365,"应付"),"")</f>
      </c>
      <c r="S1365" s="78">
        <f>N(F1365)-N(G1365)</f>
        <v>0</v>
      </c>
    </row>
    <row r="1366">
      <c r="A1366" s="109">
        <f>IF(AND(F1366="",G1366=""),"",ROW()-6)</f>
      </c>
      <c r="B1366" s="140" t="n"/>
      <c r="C1366" s="141" t="n"/>
      <c r="D1366" s="141" t="n"/>
      <c r="E1366" s="142" t="n"/>
      <c r="F1366" s="143" t="n"/>
      <c r="G1366" s="144" t="n"/>
      <c r="H1366" s="145">
        <f>IF(OR(C1366="",AND(F1366="",G1366="")),"",SUMIF(基础资料!$W$5:$W$24,C1366,基础资料!$X$5:$X$24)+SUMIF(C$7:C1366,C1366,F$7:F1366)-SUMIF(C$7:C1366,C1366,G$7:G1366))</f>
      </c>
      <c r="I1366" s="145">
        <f>IF(AND(F1366="",G1366=""),"",SUM(基础资料!$X$5:$X$24)+SUM(F$7:F1366)-SUM(G$7:G1366))</f>
      </c>
      <c r="J1366" s="141" t="n"/>
      <c r="K1366" s="141" t="n"/>
      <c r="L1366" s="141" t="n"/>
      <c r="M1366" s="142" t="n"/>
      <c r="N1366" s="146">
        <f>IF(AND(AND(F1366="",G1366=""),B1366="",C1366="",D1366="",J1366="",K1366="",L1366=""),"",IF(AND(F1366="",G1366=""),"✗ 没填金额",IF(AND(N(F1366)&lt;&gt;0,N(G1366)&lt;&gt;0),"✗ 收入、支出只能填一边",IF(NOT(ISNUMBER(B1366)),"✗ 日期不是真日期（要像 2026/9/25 这样填）",IF(OR(B1366&lt;年初日,B1366&gt;年末日),"✗ 日期不在本会计年度",IF(C1366="","✗ 没选账户",IF(COUNTIF(基础资料!$W$5:$W$24,C1366)=0,"✗ 账户不在基础资料里",IF(O1366="","✗ 没选收支项目",IF(P1366="未知","✗ 收支项目不在基础资料里",IF(AND(P1366="应收",J1366=""),"✗ 这笔要选客户",IF(AND(P1366="应收",COUNTIF(总览汇总!$B$5:$B$304,J1366)=0),"✗ 客户不在总览汇总名单里",IF(AND(P1366="应付",K1366=""),"✗ 这笔要选供应商",IF(AND(P1366="应付",COUNTIF(基础资料!$Q$5:$Q$54,K1366)=0),"✗ 供应商不在基础资料里",IF(AND(P1366="费用",L1366=""),"✗ 费用支出要选费用项目",IF(AND(L1366&lt;&gt;"",COUNTIF(基础资料!$AI$5:$AI$54,L1366)=0),"✗ 费用项目不在基础资料里",IF(AND(IFERROR(INDEX(基础资料!$AD$5:$AD$34,MATCH(O1366,基础资料!$AC$5:$AC$34,0)),"")="收",N(G1366)&lt;&gt;0),"✗ 这类是收款，金额填到收入列",IF(AND(IFERROR(INDEX(基础资料!$AD$5:$AD$34,MATCH(O1366,基础资料!$AC$5:$AC$34,0)),"")="支",N(F1366)&lt;&gt;0),"✗ 这类是付款，金额填到支出列",IF(N(H1366)&lt;0,"⚠ 账户余额成负数了，核对一下","√"))))))))))))))))))</f>
      </c>
      <c r="O1366" s="78">
        <f>IF(D1366&lt;&gt;"",D1366,IF(AND(F1366="",G1366=""),"",IF(J1366&lt;&gt;"",IF(N(F1366)&gt;0,"客户回款","客户退款"),IF(K1366&lt;&gt;"",IF(N(G1366)&gt;0,"供应商付款","供应商退款"),IF(L1366&lt;&gt;"","费用支出","")))))</f>
      </c>
      <c r="P1366" s="78">
        <f>IF(O1366="","",IFERROR(INDEX(基础资料!$AE$5:$AE$34,MATCH(O1366,基础资料!$AC$5:$AC$34,0)),"未知"))</f>
      </c>
      <c r="Q1366" s="78">
        <f>IF(P1366="应收",COUNTIF(P$7:P1366,"应收"),"")</f>
      </c>
      <c r="R1366" s="78">
        <f>IF(P1366="应付",COUNTIF(P$7:P1366,"应付"),"")</f>
      </c>
      <c r="S1366" s="78">
        <f>N(F1366)-N(G1366)</f>
        <v>0</v>
      </c>
    </row>
    <row r="1367">
      <c r="A1367" s="109">
        <f>IF(AND(F1367="",G1367=""),"",ROW()-6)</f>
      </c>
      <c r="B1367" s="140" t="n"/>
      <c r="C1367" s="141" t="n"/>
      <c r="D1367" s="141" t="n"/>
      <c r="E1367" s="142" t="n"/>
      <c r="F1367" s="143" t="n"/>
      <c r="G1367" s="144" t="n"/>
      <c r="H1367" s="145">
        <f>IF(OR(C1367="",AND(F1367="",G1367="")),"",SUMIF(基础资料!$W$5:$W$24,C1367,基础资料!$X$5:$X$24)+SUMIF(C$7:C1367,C1367,F$7:F1367)-SUMIF(C$7:C1367,C1367,G$7:G1367))</f>
      </c>
      <c r="I1367" s="145">
        <f>IF(AND(F1367="",G1367=""),"",SUM(基础资料!$X$5:$X$24)+SUM(F$7:F1367)-SUM(G$7:G1367))</f>
      </c>
      <c r="J1367" s="141" t="n"/>
      <c r="K1367" s="141" t="n"/>
      <c r="L1367" s="141" t="n"/>
      <c r="M1367" s="142" t="n"/>
      <c r="N1367" s="146">
        <f>IF(AND(AND(F1367="",G1367=""),B1367="",C1367="",D1367="",J1367="",K1367="",L1367=""),"",IF(AND(F1367="",G1367=""),"✗ 没填金额",IF(AND(N(F1367)&lt;&gt;0,N(G1367)&lt;&gt;0),"✗ 收入、支出只能填一边",IF(NOT(ISNUMBER(B1367)),"✗ 日期不是真日期（要像 2026/9/25 这样填）",IF(OR(B1367&lt;年初日,B1367&gt;年末日),"✗ 日期不在本会计年度",IF(C1367="","✗ 没选账户",IF(COUNTIF(基础资料!$W$5:$W$24,C1367)=0,"✗ 账户不在基础资料里",IF(O1367="","✗ 没选收支项目",IF(P1367="未知","✗ 收支项目不在基础资料里",IF(AND(P1367="应收",J1367=""),"✗ 这笔要选客户",IF(AND(P1367="应收",COUNTIF(总览汇总!$B$5:$B$304,J1367)=0),"✗ 客户不在总览汇总名单里",IF(AND(P1367="应付",K1367=""),"✗ 这笔要选供应商",IF(AND(P1367="应付",COUNTIF(基础资料!$Q$5:$Q$54,K1367)=0),"✗ 供应商不在基础资料里",IF(AND(P1367="费用",L1367=""),"✗ 费用支出要选费用项目",IF(AND(L1367&lt;&gt;"",COUNTIF(基础资料!$AI$5:$AI$54,L1367)=0),"✗ 费用项目不在基础资料里",IF(AND(IFERROR(INDEX(基础资料!$AD$5:$AD$34,MATCH(O1367,基础资料!$AC$5:$AC$34,0)),"")="收",N(G1367)&lt;&gt;0),"✗ 这类是收款，金额填到收入列",IF(AND(IFERROR(INDEX(基础资料!$AD$5:$AD$34,MATCH(O1367,基础资料!$AC$5:$AC$34,0)),"")="支",N(F1367)&lt;&gt;0),"✗ 这类是付款，金额填到支出列",IF(N(H1367)&lt;0,"⚠ 账户余额成负数了，核对一下","√"))))))))))))))))))</f>
      </c>
      <c r="O1367" s="78">
        <f>IF(D1367&lt;&gt;"",D1367,IF(AND(F1367="",G1367=""),"",IF(J1367&lt;&gt;"",IF(N(F1367)&gt;0,"客户回款","客户退款"),IF(K1367&lt;&gt;"",IF(N(G1367)&gt;0,"供应商付款","供应商退款"),IF(L1367&lt;&gt;"","费用支出","")))))</f>
      </c>
      <c r="P1367" s="78">
        <f>IF(O1367="","",IFERROR(INDEX(基础资料!$AE$5:$AE$34,MATCH(O1367,基础资料!$AC$5:$AC$34,0)),"未知"))</f>
      </c>
      <c r="Q1367" s="78">
        <f>IF(P1367="应收",COUNTIF(P$7:P1367,"应收"),"")</f>
      </c>
      <c r="R1367" s="78">
        <f>IF(P1367="应付",COUNTIF(P$7:P1367,"应付"),"")</f>
      </c>
      <c r="S1367" s="78">
        <f>N(F1367)-N(G1367)</f>
        <v>0</v>
      </c>
    </row>
    <row r="1368">
      <c r="A1368" s="109">
        <f>IF(AND(F1368="",G1368=""),"",ROW()-6)</f>
      </c>
      <c r="B1368" s="140" t="n"/>
      <c r="C1368" s="141" t="n"/>
      <c r="D1368" s="141" t="n"/>
      <c r="E1368" s="142" t="n"/>
      <c r="F1368" s="143" t="n"/>
      <c r="G1368" s="144" t="n"/>
      <c r="H1368" s="145">
        <f>IF(OR(C1368="",AND(F1368="",G1368="")),"",SUMIF(基础资料!$W$5:$W$24,C1368,基础资料!$X$5:$X$24)+SUMIF(C$7:C1368,C1368,F$7:F1368)-SUMIF(C$7:C1368,C1368,G$7:G1368))</f>
      </c>
      <c r="I1368" s="145">
        <f>IF(AND(F1368="",G1368=""),"",SUM(基础资料!$X$5:$X$24)+SUM(F$7:F1368)-SUM(G$7:G1368))</f>
      </c>
      <c r="J1368" s="141" t="n"/>
      <c r="K1368" s="141" t="n"/>
      <c r="L1368" s="141" t="n"/>
      <c r="M1368" s="142" t="n"/>
      <c r="N1368" s="146">
        <f>IF(AND(AND(F1368="",G1368=""),B1368="",C1368="",D1368="",J1368="",K1368="",L1368=""),"",IF(AND(F1368="",G1368=""),"✗ 没填金额",IF(AND(N(F1368)&lt;&gt;0,N(G1368)&lt;&gt;0),"✗ 收入、支出只能填一边",IF(NOT(ISNUMBER(B1368)),"✗ 日期不是真日期（要像 2026/9/25 这样填）",IF(OR(B1368&lt;年初日,B1368&gt;年末日),"✗ 日期不在本会计年度",IF(C1368="","✗ 没选账户",IF(COUNTIF(基础资料!$W$5:$W$24,C1368)=0,"✗ 账户不在基础资料里",IF(O1368="","✗ 没选收支项目",IF(P1368="未知","✗ 收支项目不在基础资料里",IF(AND(P1368="应收",J1368=""),"✗ 这笔要选客户",IF(AND(P1368="应收",COUNTIF(总览汇总!$B$5:$B$304,J1368)=0),"✗ 客户不在总览汇总名单里",IF(AND(P1368="应付",K1368=""),"✗ 这笔要选供应商",IF(AND(P1368="应付",COUNTIF(基础资料!$Q$5:$Q$54,K1368)=0),"✗ 供应商不在基础资料里",IF(AND(P1368="费用",L1368=""),"✗ 费用支出要选费用项目",IF(AND(L1368&lt;&gt;"",COUNTIF(基础资料!$AI$5:$AI$54,L1368)=0),"✗ 费用项目不在基础资料里",IF(AND(IFERROR(INDEX(基础资料!$AD$5:$AD$34,MATCH(O1368,基础资料!$AC$5:$AC$34,0)),"")="收",N(G1368)&lt;&gt;0),"✗ 这类是收款，金额填到收入列",IF(AND(IFERROR(INDEX(基础资料!$AD$5:$AD$34,MATCH(O1368,基础资料!$AC$5:$AC$34,0)),"")="支",N(F1368)&lt;&gt;0),"✗ 这类是付款，金额填到支出列",IF(N(H1368)&lt;0,"⚠ 账户余额成负数了，核对一下","√"))))))))))))))))))</f>
      </c>
      <c r="O1368" s="78">
        <f>IF(D1368&lt;&gt;"",D1368,IF(AND(F1368="",G1368=""),"",IF(J1368&lt;&gt;"",IF(N(F1368)&gt;0,"客户回款","客户退款"),IF(K1368&lt;&gt;"",IF(N(G1368)&gt;0,"供应商付款","供应商退款"),IF(L1368&lt;&gt;"","费用支出","")))))</f>
      </c>
      <c r="P1368" s="78">
        <f>IF(O1368="","",IFERROR(INDEX(基础资料!$AE$5:$AE$34,MATCH(O1368,基础资料!$AC$5:$AC$34,0)),"未知"))</f>
      </c>
      <c r="Q1368" s="78">
        <f>IF(P1368="应收",COUNTIF(P$7:P1368,"应收"),"")</f>
      </c>
      <c r="R1368" s="78">
        <f>IF(P1368="应付",COUNTIF(P$7:P1368,"应付"),"")</f>
      </c>
      <c r="S1368" s="78">
        <f>N(F1368)-N(G1368)</f>
        <v>0</v>
      </c>
    </row>
    <row r="1369">
      <c r="A1369" s="109">
        <f>IF(AND(F1369="",G1369=""),"",ROW()-6)</f>
      </c>
      <c r="B1369" s="140" t="n"/>
      <c r="C1369" s="141" t="n"/>
      <c r="D1369" s="141" t="n"/>
      <c r="E1369" s="142" t="n"/>
      <c r="F1369" s="143" t="n"/>
      <c r="G1369" s="144" t="n"/>
      <c r="H1369" s="145">
        <f>IF(OR(C1369="",AND(F1369="",G1369="")),"",SUMIF(基础资料!$W$5:$W$24,C1369,基础资料!$X$5:$X$24)+SUMIF(C$7:C1369,C1369,F$7:F1369)-SUMIF(C$7:C1369,C1369,G$7:G1369))</f>
      </c>
      <c r="I1369" s="145">
        <f>IF(AND(F1369="",G1369=""),"",SUM(基础资料!$X$5:$X$24)+SUM(F$7:F1369)-SUM(G$7:G1369))</f>
      </c>
      <c r="J1369" s="141" t="n"/>
      <c r="K1369" s="141" t="n"/>
      <c r="L1369" s="141" t="n"/>
      <c r="M1369" s="142" t="n"/>
      <c r="N1369" s="146">
        <f>IF(AND(AND(F1369="",G1369=""),B1369="",C1369="",D1369="",J1369="",K1369="",L1369=""),"",IF(AND(F1369="",G1369=""),"✗ 没填金额",IF(AND(N(F1369)&lt;&gt;0,N(G1369)&lt;&gt;0),"✗ 收入、支出只能填一边",IF(NOT(ISNUMBER(B1369)),"✗ 日期不是真日期（要像 2026/9/25 这样填）",IF(OR(B1369&lt;年初日,B1369&gt;年末日),"✗ 日期不在本会计年度",IF(C1369="","✗ 没选账户",IF(COUNTIF(基础资料!$W$5:$W$24,C1369)=0,"✗ 账户不在基础资料里",IF(O1369="","✗ 没选收支项目",IF(P1369="未知","✗ 收支项目不在基础资料里",IF(AND(P1369="应收",J1369=""),"✗ 这笔要选客户",IF(AND(P1369="应收",COUNTIF(总览汇总!$B$5:$B$304,J1369)=0),"✗ 客户不在总览汇总名单里",IF(AND(P1369="应付",K1369=""),"✗ 这笔要选供应商",IF(AND(P1369="应付",COUNTIF(基础资料!$Q$5:$Q$54,K1369)=0),"✗ 供应商不在基础资料里",IF(AND(P1369="费用",L1369=""),"✗ 费用支出要选费用项目",IF(AND(L1369&lt;&gt;"",COUNTIF(基础资料!$AI$5:$AI$54,L1369)=0),"✗ 费用项目不在基础资料里",IF(AND(IFERROR(INDEX(基础资料!$AD$5:$AD$34,MATCH(O1369,基础资料!$AC$5:$AC$34,0)),"")="收",N(G1369)&lt;&gt;0),"✗ 这类是收款，金额填到收入列",IF(AND(IFERROR(INDEX(基础资料!$AD$5:$AD$34,MATCH(O1369,基础资料!$AC$5:$AC$34,0)),"")="支",N(F1369)&lt;&gt;0),"✗ 这类是付款，金额填到支出列",IF(N(H1369)&lt;0,"⚠ 账户余额成负数了，核对一下","√"))))))))))))))))))</f>
      </c>
      <c r="O1369" s="78">
        <f>IF(D1369&lt;&gt;"",D1369,IF(AND(F1369="",G1369=""),"",IF(J1369&lt;&gt;"",IF(N(F1369)&gt;0,"客户回款","客户退款"),IF(K1369&lt;&gt;"",IF(N(G1369)&gt;0,"供应商付款","供应商退款"),IF(L1369&lt;&gt;"","费用支出","")))))</f>
      </c>
      <c r="P1369" s="78">
        <f>IF(O1369="","",IFERROR(INDEX(基础资料!$AE$5:$AE$34,MATCH(O1369,基础资料!$AC$5:$AC$34,0)),"未知"))</f>
      </c>
      <c r="Q1369" s="78">
        <f>IF(P1369="应收",COUNTIF(P$7:P1369,"应收"),"")</f>
      </c>
      <c r="R1369" s="78">
        <f>IF(P1369="应付",COUNTIF(P$7:P1369,"应付"),"")</f>
      </c>
      <c r="S1369" s="78">
        <f>N(F1369)-N(G1369)</f>
        <v>0</v>
      </c>
    </row>
    <row r="1370">
      <c r="A1370" s="109">
        <f>IF(AND(F1370="",G1370=""),"",ROW()-6)</f>
      </c>
      <c r="B1370" s="140" t="n"/>
      <c r="C1370" s="141" t="n"/>
      <c r="D1370" s="141" t="n"/>
      <c r="E1370" s="142" t="n"/>
      <c r="F1370" s="143" t="n"/>
      <c r="G1370" s="144" t="n"/>
      <c r="H1370" s="145">
        <f>IF(OR(C1370="",AND(F1370="",G1370="")),"",SUMIF(基础资料!$W$5:$W$24,C1370,基础资料!$X$5:$X$24)+SUMIF(C$7:C1370,C1370,F$7:F1370)-SUMIF(C$7:C1370,C1370,G$7:G1370))</f>
      </c>
      <c r="I1370" s="145">
        <f>IF(AND(F1370="",G1370=""),"",SUM(基础资料!$X$5:$X$24)+SUM(F$7:F1370)-SUM(G$7:G1370))</f>
      </c>
      <c r="J1370" s="141" t="n"/>
      <c r="K1370" s="141" t="n"/>
      <c r="L1370" s="141" t="n"/>
      <c r="M1370" s="142" t="n"/>
      <c r="N1370" s="146">
        <f>IF(AND(AND(F1370="",G1370=""),B1370="",C1370="",D1370="",J1370="",K1370="",L1370=""),"",IF(AND(F1370="",G1370=""),"✗ 没填金额",IF(AND(N(F1370)&lt;&gt;0,N(G1370)&lt;&gt;0),"✗ 收入、支出只能填一边",IF(NOT(ISNUMBER(B1370)),"✗ 日期不是真日期（要像 2026/9/25 这样填）",IF(OR(B1370&lt;年初日,B1370&gt;年末日),"✗ 日期不在本会计年度",IF(C1370="","✗ 没选账户",IF(COUNTIF(基础资料!$W$5:$W$24,C1370)=0,"✗ 账户不在基础资料里",IF(O1370="","✗ 没选收支项目",IF(P1370="未知","✗ 收支项目不在基础资料里",IF(AND(P1370="应收",J1370=""),"✗ 这笔要选客户",IF(AND(P1370="应收",COUNTIF(总览汇总!$B$5:$B$304,J1370)=0),"✗ 客户不在总览汇总名单里",IF(AND(P1370="应付",K1370=""),"✗ 这笔要选供应商",IF(AND(P1370="应付",COUNTIF(基础资料!$Q$5:$Q$54,K1370)=0),"✗ 供应商不在基础资料里",IF(AND(P1370="费用",L1370=""),"✗ 费用支出要选费用项目",IF(AND(L1370&lt;&gt;"",COUNTIF(基础资料!$AI$5:$AI$54,L1370)=0),"✗ 费用项目不在基础资料里",IF(AND(IFERROR(INDEX(基础资料!$AD$5:$AD$34,MATCH(O1370,基础资料!$AC$5:$AC$34,0)),"")="收",N(G1370)&lt;&gt;0),"✗ 这类是收款，金额填到收入列",IF(AND(IFERROR(INDEX(基础资料!$AD$5:$AD$34,MATCH(O1370,基础资料!$AC$5:$AC$34,0)),"")="支",N(F1370)&lt;&gt;0),"✗ 这类是付款，金额填到支出列",IF(N(H1370)&lt;0,"⚠ 账户余额成负数了，核对一下","√"))))))))))))))))))</f>
      </c>
      <c r="O1370" s="78">
        <f>IF(D1370&lt;&gt;"",D1370,IF(AND(F1370="",G1370=""),"",IF(J1370&lt;&gt;"",IF(N(F1370)&gt;0,"客户回款","客户退款"),IF(K1370&lt;&gt;"",IF(N(G1370)&gt;0,"供应商付款","供应商退款"),IF(L1370&lt;&gt;"","费用支出","")))))</f>
      </c>
      <c r="P1370" s="78">
        <f>IF(O1370="","",IFERROR(INDEX(基础资料!$AE$5:$AE$34,MATCH(O1370,基础资料!$AC$5:$AC$34,0)),"未知"))</f>
      </c>
      <c r="Q1370" s="78">
        <f>IF(P1370="应收",COUNTIF(P$7:P1370,"应收"),"")</f>
      </c>
      <c r="R1370" s="78">
        <f>IF(P1370="应付",COUNTIF(P$7:P1370,"应付"),"")</f>
      </c>
      <c r="S1370" s="78">
        <f>N(F1370)-N(G1370)</f>
        <v>0</v>
      </c>
    </row>
    <row r="1371">
      <c r="A1371" s="109">
        <f>IF(AND(F1371="",G1371=""),"",ROW()-6)</f>
      </c>
      <c r="B1371" s="140" t="n"/>
      <c r="C1371" s="141" t="n"/>
      <c r="D1371" s="141" t="n"/>
      <c r="E1371" s="142" t="n"/>
      <c r="F1371" s="143" t="n"/>
      <c r="G1371" s="144" t="n"/>
      <c r="H1371" s="145">
        <f>IF(OR(C1371="",AND(F1371="",G1371="")),"",SUMIF(基础资料!$W$5:$W$24,C1371,基础资料!$X$5:$X$24)+SUMIF(C$7:C1371,C1371,F$7:F1371)-SUMIF(C$7:C1371,C1371,G$7:G1371))</f>
      </c>
      <c r="I1371" s="145">
        <f>IF(AND(F1371="",G1371=""),"",SUM(基础资料!$X$5:$X$24)+SUM(F$7:F1371)-SUM(G$7:G1371))</f>
      </c>
      <c r="J1371" s="141" t="n"/>
      <c r="K1371" s="141" t="n"/>
      <c r="L1371" s="141" t="n"/>
      <c r="M1371" s="142" t="n"/>
      <c r="N1371" s="146">
        <f>IF(AND(AND(F1371="",G1371=""),B1371="",C1371="",D1371="",J1371="",K1371="",L1371=""),"",IF(AND(F1371="",G1371=""),"✗ 没填金额",IF(AND(N(F1371)&lt;&gt;0,N(G1371)&lt;&gt;0),"✗ 收入、支出只能填一边",IF(NOT(ISNUMBER(B1371)),"✗ 日期不是真日期（要像 2026/9/25 这样填）",IF(OR(B1371&lt;年初日,B1371&gt;年末日),"✗ 日期不在本会计年度",IF(C1371="","✗ 没选账户",IF(COUNTIF(基础资料!$W$5:$W$24,C1371)=0,"✗ 账户不在基础资料里",IF(O1371="","✗ 没选收支项目",IF(P1371="未知","✗ 收支项目不在基础资料里",IF(AND(P1371="应收",J1371=""),"✗ 这笔要选客户",IF(AND(P1371="应收",COUNTIF(总览汇总!$B$5:$B$304,J1371)=0),"✗ 客户不在总览汇总名单里",IF(AND(P1371="应付",K1371=""),"✗ 这笔要选供应商",IF(AND(P1371="应付",COUNTIF(基础资料!$Q$5:$Q$54,K1371)=0),"✗ 供应商不在基础资料里",IF(AND(P1371="费用",L1371=""),"✗ 费用支出要选费用项目",IF(AND(L1371&lt;&gt;"",COUNTIF(基础资料!$AI$5:$AI$54,L1371)=0),"✗ 费用项目不在基础资料里",IF(AND(IFERROR(INDEX(基础资料!$AD$5:$AD$34,MATCH(O1371,基础资料!$AC$5:$AC$34,0)),"")="收",N(G1371)&lt;&gt;0),"✗ 这类是收款，金额填到收入列",IF(AND(IFERROR(INDEX(基础资料!$AD$5:$AD$34,MATCH(O1371,基础资料!$AC$5:$AC$34,0)),"")="支",N(F1371)&lt;&gt;0),"✗ 这类是付款，金额填到支出列",IF(N(H1371)&lt;0,"⚠ 账户余额成负数了，核对一下","√"))))))))))))))))))</f>
      </c>
      <c r="O1371" s="78">
        <f>IF(D1371&lt;&gt;"",D1371,IF(AND(F1371="",G1371=""),"",IF(J1371&lt;&gt;"",IF(N(F1371)&gt;0,"客户回款","客户退款"),IF(K1371&lt;&gt;"",IF(N(G1371)&gt;0,"供应商付款","供应商退款"),IF(L1371&lt;&gt;"","费用支出","")))))</f>
      </c>
      <c r="P1371" s="78">
        <f>IF(O1371="","",IFERROR(INDEX(基础资料!$AE$5:$AE$34,MATCH(O1371,基础资料!$AC$5:$AC$34,0)),"未知"))</f>
      </c>
      <c r="Q1371" s="78">
        <f>IF(P1371="应收",COUNTIF(P$7:P1371,"应收"),"")</f>
      </c>
      <c r="R1371" s="78">
        <f>IF(P1371="应付",COUNTIF(P$7:P1371,"应付"),"")</f>
      </c>
      <c r="S1371" s="78">
        <f>N(F1371)-N(G1371)</f>
        <v>0</v>
      </c>
    </row>
    <row r="1372">
      <c r="A1372" s="109">
        <f>IF(AND(F1372="",G1372=""),"",ROW()-6)</f>
      </c>
      <c r="B1372" s="140" t="n"/>
      <c r="C1372" s="141" t="n"/>
      <c r="D1372" s="141" t="n"/>
      <c r="E1372" s="142" t="n"/>
      <c r="F1372" s="143" t="n"/>
      <c r="G1372" s="144" t="n"/>
      <c r="H1372" s="145">
        <f>IF(OR(C1372="",AND(F1372="",G1372="")),"",SUMIF(基础资料!$W$5:$W$24,C1372,基础资料!$X$5:$X$24)+SUMIF(C$7:C1372,C1372,F$7:F1372)-SUMIF(C$7:C1372,C1372,G$7:G1372))</f>
      </c>
      <c r="I1372" s="145">
        <f>IF(AND(F1372="",G1372=""),"",SUM(基础资料!$X$5:$X$24)+SUM(F$7:F1372)-SUM(G$7:G1372))</f>
      </c>
      <c r="J1372" s="141" t="n"/>
      <c r="K1372" s="141" t="n"/>
      <c r="L1372" s="141" t="n"/>
      <c r="M1372" s="142" t="n"/>
      <c r="N1372" s="146">
        <f>IF(AND(AND(F1372="",G1372=""),B1372="",C1372="",D1372="",J1372="",K1372="",L1372=""),"",IF(AND(F1372="",G1372=""),"✗ 没填金额",IF(AND(N(F1372)&lt;&gt;0,N(G1372)&lt;&gt;0),"✗ 收入、支出只能填一边",IF(NOT(ISNUMBER(B1372)),"✗ 日期不是真日期（要像 2026/9/25 这样填）",IF(OR(B1372&lt;年初日,B1372&gt;年末日),"✗ 日期不在本会计年度",IF(C1372="","✗ 没选账户",IF(COUNTIF(基础资料!$W$5:$W$24,C1372)=0,"✗ 账户不在基础资料里",IF(O1372="","✗ 没选收支项目",IF(P1372="未知","✗ 收支项目不在基础资料里",IF(AND(P1372="应收",J1372=""),"✗ 这笔要选客户",IF(AND(P1372="应收",COUNTIF(总览汇总!$B$5:$B$304,J1372)=0),"✗ 客户不在总览汇总名单里",IF(AND(P1372="应付",K1372=""),"✗ 这笔要选供应商",IF(AND(P1372="应付",COUNTIF(基础资料!$Q$5:$Q$54,K1372)=0),"✗ 供应商不在基础资料里",IF(AND(P1372="费用",L1372=""),"✗ 费用支出要选费用项目",IF(AND(L1372&lt;&gt;"",COUNTIF(基础资料!$AI$5:$AI$54,L1372)=0),"✗ 费用项目不在基础资料里",IF(AND(IFERROR(INDEX(基础资料!$AD$5:$AD$34,MATCH(O1372,基础资料!$AC$5:$AC$34,0)),"")="收",N(G1372)&lt;&gt;0),"✗ 这类是收款，金额填到收入列",IF(AND(IFERROR(INDEX(基础资料!$AD$5:$AD$34,MATCH(O1372,基础资料!$AC$5:$AC$34,0)),"")="支",N(F1372)&lt;&gt;0),"✗ 这类是付款，金额填到支出列",IF(N(H1372)&lt;0,"⚠ 账户余额成负数了，核对一下","√"))))))))))))))))))</f>
      </c>
      <c r="O1372" s="78">
        <f>IF(D1372&lt;&gt;"",D1372,IF(AND(F1372="",G1372=""),"",IF(J1372&lt;&gt;"",IF(N(F1372)&gt;0,"客户回款","客户退款"),IF(K1372&lt;&gt;"",IF(N(G1372)&gt;0,"供应商付款","供应商退款"),IF(L1372&lt;&gt;"","费用支出","")))))</f>
      </c>
      <c r="P1372" s="78">
        <f>IF(O1372="","",IFERROR(INDEX(基础资料!$AE$5:$AE$34,MATCH(O1372,基础资料!$AC$5:$AC$34,0)),"未知"))</f>
      </c>
      <c r="Q1372" s="78">
        <f>IF(P1372="应收",COUNTIF(P$7:P1372,"应收"),"")</f>
      </c>
      <c r="R1372" s="78">
        <f>IF(P1372="应付",COUNTIF(P$7:P1372,"应付"),"")</f>
      </c>
      <c r="S1372" s="78">
        <f>N(F1372)-N(G1372)</f>
        <v>0</v>
      </c>
    </row>
    <row r="1373">
      <c r="A1373" s="109">
        <f>IF(AND(F1373="",G1373=""),"",ROW()-6)</f>
      </c>
      <c r="B1373" s="140" t="n"/>
      <c r="C1373" s="141" t="n"/>
      <c r="D1373" s="141" t="n"/>
      <c r="E1373" s="142" t="n"/>
      <c r="F1373" s="143" t="n"/>
      <c r="G1373" s="144" t="n"/>
      <c r="H1373" s="145">
        <f>IF(OR(C1373="",AND(F1373="",G1373="")),"",SUMIF(基础资料!$W$5:$W$24,C1373,基础资料!$X$5:$X$24)+SUMIF(C$7:C1373,C1373,F$7:F1373)-SUMIF(C$7:C1373,C1373,G$7:G1373))</f>
      </c>
      <c r="I1373" s="145">
        <f>IF(AND(F1373="",G1373=""),"",SUM(基础资料!$X$5:$X$24)+SUM(F$7:F1373)-SUM(G$7:G1373))</f>
      </c>
      <c r="J1373" s="141" t="n"/>
      <c r="K1373" s="141" t="n"/>
      <c r="L1373" s="141" t="n"/>
      <c r="M1373" s="142" t="n"/>
      <c r="N1373" s="146">
        <f>IF(AND(AND(F1373="",G1373=""),B1373="",C1373="",D1373="",J1373="",K1373="",L1373=""),"",IF(AND(F1373="",G1373=""),"✗ 没填金额",IF(AND(N(F1373)&lt;&gt;0,N(G1373)&lt;&gt;0),"✗ 收入、支出只能填一边",IF(NOT(ISNUMBER(B1373)),"✗ 日期不是真日期（要像 2026/9/25 这样填）",IF(OR(B1373&lt;年初日,B1373&gt;年末日),"✗ 日期不在本会计年度",IF(C1373="","✗ 没选账户",IF(COUNTIF(基础资料!$W$5:$W$24,C1373)=0,"✗ 账户不在基础资料里",IF(O1373="","✗ 没选收支项目",IF(P1373="未知","✗ 收支项目不在基础资料里",IF(AND(P1373="应收",J1373=""),"✗ 这笔要选客户",IF(AND(P1373="应收",COUNTIF(总览汇总!$B$5:$B$304,J1373)=0),"✗ 客户不在总览汇总名单里",IF(AND(P1373="应付",K1373=""),"✗ 这笔要选供应商",IF(AND(P1373="应付",COUNTIF(基础资料!$Q$5:$Q$54,K1373)=0),"✗ 供应商不在基础资料里",IF(AND(P1373="费用",L1373=""),"✗ 费用支出要选费用项目",IF(AND(L1373&lt;&gt;"",COUNTIF(基础资料!$AI$5:$AI$54,L1373)=0),"✗ 费用项目不在基础资料里",IF(AND(IFERROR(INDEX(基础资料!$AD$5:$AD$34,MATCH(O1373,基础资料!$AC$5:$AC$34,0)),"")="收",N(G1373)&lt;&gt;0),"✗ 这类是收款，金额填到收入列",IF(AND(IFERROR(INDEX(基础资料!$AD$5:$AD$34,MATCH(O1373,基础资料!$AC$5:$AC$34,0)),"")="支",N(F1373)&lt;&gt;0),"✗ 这类是付款，金额填到支出列",IF(N(H1373)&lt;0,"⚠ 账户余额成负数了，核对一下","√"))))))))))))))))))</f>
      </c>
      <c r="O1373" s="78">
        <f>IF(D1373&lt;&gt;"",D1373,IF(AND(F1373="",G1373=""),"",IF(J1373&lt;&gt;"",IF(N(F1373)&gt;0,"客户回款","客户退款"),IF(K1373&lt;&gt;"",IF(N(G1373)&gt;0,"供应商付款","供应商退款"),IF(L1373&lt;&gt;"","费用支出","")))))</f>
      </c>
      <c r="P1373" s="78">
        <f>IF(O1373="","",IFERROR(INDEX(基础资料!$AE$5:$AE$34,MATCH(O1373,基础资料!$AC$5:$AC$34,0)),"未知"))</f>
      </c>
      <c r="Q1373" s="78">
        <f>IF(P1373="应收",COUNTIF(P$7:P1373,"应收"),"")</f>
      </c>
      <c r="R1373" s="78">
        <f>IF(P1373="应付",COUNTIF(P$7:P1373,"应付"),"")</f>
      </c>
      <c r="S1373" s="78">
        <f>N(F1373)-N(G1373)</f>
        <v>0</v>
      </c>
    </row>
    <row r="1374">
      <c r="A1374" s="109">
        <f>IF(AND(F1374="",G1374=""),"",ROW()-6)</f>
      </c>
      <c r="B1374" s="140" t="n"/>
      <c r="C1374" s="141" t="n"/>
      <c r="D1374" s="141" t="n"/>
      <c r="E1374" s="142" t="n"/>
      <c r="F1374" s="143" t="n"/>
      <c r="G1374" s="144" t="n"/>
      <c r="H1374" s="145">
        <f>IF(OR(C1374="",AND(F1374="",G1374="")),"",SUMIF(基础资料!$W$5:$W$24,C1374,基础资料!$X$5:$X$24)+SUMIF(C$7:C1374,C1374,F$7:F1374)-SUMIF(C$7:C1374,C1374,G$7:G1374))</f>
      </c>
      <c r="I1374" s="145">
        <f>IF(AND(F1374="",G1374=""),"",SUM(基础资料!$X$5:$X$24)+SUM(F$7:F1374)-SUM(G$7:G1374))</f>
      </c>
      <c r="J1374" s="141" t="n"/>
      <c r="K1374" s="141" t="n"/>
      <c r="L1374" s="141" t="n"/>
      <c r="M1374" s="142" t="n"/>
      <c r="N1374" s="146">
        <f>IF(AND(AND(F1374="",G1374=""),B1374="",C1374="",D1374="",J1374="",K1374="",L1374=""),"",IF(AND(F1374="",G1374=""),"✗ 没填金额",IF(AND(N(F1374)&lt;&gt;0,N(G1374)&lt;&gt;0),"✗ 收入、支出只能填一边",IF(NOT(ISNUMBER(B1374)),"✗ 日期不是真日期（要像 2026/9/25 这样填）",IF(OR(B1374&lt;年初日,B1374&gt;年末日),"✗ 日期不在本会计年度",IF(C1374="","✗ 没选账户",IF(COUNTIF(基础资料!$W$5:$W$24,C1374)=0,"✗ 账户不在基础资料里",IF(O1374="","✗ 没选收支项目",IF(P1374="未知","✗ 收支项目不在基础资料里",IF(AND(P1374="应收",J1374=""),"✗ 这笔要选客户",IF(AND(P1374="应收",COUNTIF(总览汇总!$B$5:$B$304,J1374)=0),"✗ 客户不在总览汇总名单里",IF(AND(P1374="应付",K1374=""),"✗ 这笔要选供应商",IF(AND(P1374="应付",COUNTIF(基础资料!$Q$5:$Q$54,K1374)=0),"✗ 供应商不在基础资料里",IF(AND(P1374="费用",L1374=""),"✗ 费用支出要选费用项目",IF(AND(L1374&lt;&gt;"",COUNTIF(基础资料!$AI$5:$AI$54,L1374)=0),"✗ 费用项目不在基础资料里",IF(AND(IFERROR(INDEX(基础资料!$AD$5:$AD$34,MATCH(O1374,基础资料!$AC$5:$AC$34,0)),"")="收",N(G1374)&lt;&gt;0),"✗ 这类是收款，金额填到收入列",IF(AND(IFERROR(INDEX(基础资料!$AD$5:$AD$34,MATCH(O1374,基础资料!$AC$5:$AC$34,0)),"")="支",N(F1374)&lt;&gt;0),"✗ 这类是付款，金额填到支出列",IF(N(H1374)&lt;0,"⚠ 账户余额成负数了，核对一下","√"))))))))))))))))))</f>
      </c>
      <c r="O1374" s="78">
        <f>IF(D1374&lt;&gt;"",D1374,IF(AND(F1374="",G1374=""),"",IF(J1374&lt;&gt;"",IF(N(F1374)&gt;0,"客户回款","客户退款"),IF(K1374&lt;&gt;"",IF(N(G1374)&gt;0,"供应商付款","供应商退款"),IF(L1374&lt;&gt;"","费用支出","")))))</f>
      </c>
      <c r="P1374" s="78">
        <f>IF(O1374="","",IFERROR(INDEX(基础资料!$AE$5:$AE$34,MATCH(O1374,基础资料!$AC$5:$AC$34,0)),"未知"))</f>
      </c>
      <c r="Q1374" s="78">
        <f>IF(P1374="应收",COUNTIF(P$7:P1374,"应收"),"")</f>
      </c>
      <c r="R1374" s="78">
        <f>IF(P1374="应付",COUNTIF(P$7:P1374,"应付"),"")</f>
      </c>
      <c r="S1374" s="78">
        <f>N(F1374)-N(G1374)</f>
        <v>0</v>
      </c>
    </row>
    <row r="1375">
      <c r="A1375" s="109">
        <f>IF(AND(F1375="",G1375=""),"",ROW()-6)</f>
      </c>
      <c r="B1375" s="140" t="n"/>
      <c r="C1375" s="141" t="n"/>
      <c r="D1375" s="141" t="n"/>
      <c r="E1375" s="142" t="n"/>
      <c r="F1375" s="143" t="n"/>
      <c r="G1375" s="144" t="n"/>
      <c r="H1375" s="145">
        <f>IF(OR(C1375="",AND(F1375="",G1375="")),"",SUMIF(基础资料!$W$5:$W$24,C1375,基础资料!$X$5:$X$24)+SUMIF(C$7:C1375,C1375,F$7:F1375)-SUMIF(C$7:C1375,C1375,G$7:G1375))</f>
      </c>
      <c r="I1375" s="145">
        <f>IF(AND(F1375="",G1375=""),"",SUM(基础资料!$X$5:$X$24)+SUM(F$7:F1375)-SUM(G$7:G1375))</f>
      </c>
      <c r="J1375" s="141" t="n"/>
      <c r="K1375" s="141" t="n"/>
      <c r="L1375" s="141" t="n"/>
      <c r="M1375" s="142" t="n"/>
      <c r="N1375" s="146">
        <f>IF(AND(AND(F1375="",G1375=""),B1375="",C1375="",D1375="",J1375="",K1375="",L1375=""),"",IF(AND(F1375="",G1375=""),"✗ 没填金额",IF(AND(N(F1375)&lt;&gt;0,N(G1375)&lt;&gt;0),"✗ 收入、支出只能填一边",IF(NOT(ISNUMBER(B1375)),"✗ 日期不是真日期（要像 2026/9/25 这样填）",IF(OR(B1375&lt;年初日,B1375&gt;年末日),"✗ 日期不在本会计年度",IF(C1375="","✗ 没选账户",IF(COUNTIF(基础资料!$W$5:$W$24,C1375)=0,"✗ 账户不在基础资料里",IF(O1375="","✗ 没选收支项目",IF(P1375="未知","✗ 收支项目不在基础资料里",IF(AND(P1375="应收",J1375=""),"✗ 这笔要选客户",IF(AND(P1375="应收",COUNTIF(总览汇总!$B$5:$B$304,J1375)=0),"✗ 客户不在总览汇总名单里",IF(AND(P1375="应付",K1375=""),"✗ 这笔要选供应商",IF(AND(P1375="应付",COUNTIF(基础资料!$Q$5:$Q$54,K1375)=0),"✗ 供应商不在基础资料里",IF(AND(P1375="费用",L1375=""),"✗ 费用支出要选费用项目",IF(AND(L1375&lt;&gt;"",COUNTIF(基础资料!$AI$5:$AI$54,L1375)=0),"✗ 费用项目不在基础资料里",IF(AND(IFERROR(INDEX(基础资料!$AD$5:$AD$34,MATCH(O1375,基础资料!$AC$5:$AC$34,0)),"")="收",N(G1375)&lt;&gt;0),"✗ 这类是收款，金额填到收入列",IF(AND(IFERROR(INDEX(基础资料!$AD$5:$AD$34,MATCH(O1375,基础资料!$AC$5:$AC$34,0)),"")="支",N(F1375)&lt;&gt;0),"✗ 这类是付款，金额填到支出列",IF(N(H1375)&lt;0,"⚠ 账户余额成负数了，核对一下","√"))))))))))))))))))</f>
      </c>
      <c r="O1375" s="78">
        <f>IF(D1375&lt;&gt;"",D1375,IF(AND(F1375="",G1375=""),"",IF(J1375&lt;&gt;"",IF(N(F1375)&gt;0,"客户回款","客户退款"),IF(K1375&lt;&gt;"",IF(N(G1375)&gt;0,"供应商付款","供应商退款"),IF(L1375&lt;&gt;"","费用支出","")))))</f>
      </c>
      <c r="P1375" s="78">
        <f>IF(O1375="","",IFERROR(INDEX(基础资料!$AE$5:$AE$34,MATCH(O1375,基础资料!$AC$5:$AC$34,0)),"未知"))</f>
      </c>
      <c r="Q1375" s="78">
        <f>IF(P1375="应收",COUNTIF(P$7:P1375,"应收"),"")</f>
      </c>
      <c r="R1375" s="78">
        <f>IF(P1375="应付",COUNTIF(P$7:P1375,"应付"),"")</f>
      </c>
      <c r="S1375" s="78">
        <f>N(F1375)-N(G1375)</f>
        <v>0</v>
      </c>
    </row>
    <row r="1376">
      <c r="A1376" s="109">
        <f>IF(AND(F1376="",G1376=""),"",ROW()-6)</f>
      </c>
      <c r="B1376" s="140" t="n"/>
      <c r="C1376" s="141" t="n"/>
      <c r="D1376" s="141" t="n"/>
      <c r="E1376" s="142" t="n"/>
      <c r="F1376" s="143" t="n"/>
      <c r="G1376" s="144" t="n"/>
      <c r="H1376" s="145">
        <f>IF(OR(C1376="",AND(F1376="",G1376="")),"",SUMIF(基础资料!$W$5:$W$24,C1376,基础资料!$X$5:$X$24)+SUMIF(C$7:C1376,C1376,F$7:F1376)-SUMIF(C$7:C1376,C1376,G$7:G1376))</f>
      </c>
      <c r="I1376" s="145">
        <f>IF(AND(F1376="",G1376=""),"",SUM(基础资料!$X$5:$X$24)+SUM(F$7:F1376)-SUM(G$7:G1376))</f>
      </c>
      <c r="J1376" s="141" t="n"/>
      <c r="K1376" s="141" t="n"/>
      <c r="L1376" s="141" t="n"/>
      <c r="M1376" s="142" t="n"/>
      <c r="N1376" s="146">
        <f>IF(AND(AND(F1376="",G1376=""),B1376="",C1376="",D1376="",J1376="",K1376="",L1376=""),"",IF(AND(F1376="",G1376=""),"✗ 没填金额",IF(AND(N(F1376)&lt;&gt;0,N(G1376)&lt;&gt;0),"✗ 收入、支出只能填一边",IF(NOT(ISNUMBER(B1376)),"✗ 日期不是真日期（要像 2026/9/25 这样填）",IF(OR(B1376&lt;年初日,B1376&gt;年末日),"✗ 日期不在本会计年度",IF(C1376="","✗ 没选账户",IF(COUNTIF(基础资料!$W$5:$W$24,C1376)=0,"✗ 账户不在基础资料里",IF(O1376="","✗ 没选收支项目",IF(P1376="未知","✗ 收支项目不在基础资料里",IF(AND(P1376="应收",J1376=""),"✗ 这笔要选客户",IF(AND(P1376="应收",COUNTIF(总览汇总!$B$5:$B$304,J1376)=0),"✗ 客户不在总览汇总名单里",IF(AND(P1376="应付",K1376=""),"✗ 这笔要选供应商",IF(AND(P1376="应付",COUNTIF(基础资料!$Q$5:$Q$54,K1376)=0),"✗ 供应商不在基础资料里",IF(AND(P1376="费用",L1376=""),"✗ 费用支出要选费用项目",IF(AND(L1376&lt;&gt;"",COUNTIF(基础资料!$AI$5:$AI$54,L1376)=0),"✗ 费用项目不在基础资料里",IF(AND(IFERROR(INDEX(基础资料!$AD$5:$AD$34,MATCH(O1376,基础资料!$AC$5:$AC$34,0)),"")="收",N(G1376)&lt;&gt;0),"✗ 这类是收款，金额填到收入列",IF(AND(IFERROR(INDEX(基础资料!$AD$5:$AD$34,MATCH(O1376,基础资料!$AC$5:$AC$34,0)),"")="支",N(F1376)&lt;&gt;0),"✗ 这类是付款，金额填到支出列",IF(N(H1376)&lt;0,"⚠ 账户余额成负数了，核对一下","√"))))))))))))))))))</f>
      </c>
      <c r="O1376" s="78">
        <f>IF(D1376&lt;&gt;"",D1376,IF(AND(F1376="",G1376=""),"",IF(J1376&lt;&gt;"",IF(N(F1376)&gt;0,"客户回款","客户退款"),IF(K1376&lt;&gt;"",IF(N(G1376)&gt;0,"供应商付款","供应商退款"),IF(L1376&lt;&gt;"","费用支出","")))))</f>
      </c>
      <c r="P1376" s="78">
        <f>IF(O1376="","",IFERROR(INDEX(基础资料!$AE$5:$AE$34,MATCH(O1376,基础资料!$AC$5:$AC$34,0)),"未知"))</f>
      </c>
      <c r="Q1376" s="78">
        <f>IF(P1376="应收",COUNTIF(P$7:P1376,"应收"),"")</f>
      </c>
      <c r="R1376" s="78">
        <f>IF(P1376="应付",COUNTIF(P$7:P1376,"应付"),"")</f>
      </c>
      <c r="S1376" s="78">
        <f>N(F1376)-N(G1376)</f>
        <v>0</v>
      </c>
    </row>
    <row r="1377">
      <c r="A1377" s="109">
        <f>IF(AND(F1377="",G1377=""),"",ROW()-6)</f>
      </c>
      <c r="B1377" s="140" t="n"/>
      <c r="C1377" s="141" t="n"/>
      <c r="D1377" s="141" t="n"/>
      <c r="E1377" s="142" t="n"/>
      <c r="F1377" s="143" t="n"/>
      <c r="G1377" s="144" t="n"/>
      <c r="H1377" s="145">
        <f>IF(OR(C1377="",AND(F1377="",G1377="")),"",SUMIF(基础资料!$W$5:$W$24,C1377,基础资料!$X$5:$X$24)+SUMIF(C$7:C1377,C1377,F$7:F1377)-SUMIF(C$7:C1377,C1377,G$7:G1377))</f>
      </c>
      <c r="I1377" s="145">
        <f>IF(AND(F1377="",G1377=""),"",SUM(基础资料!$X$5:$X$24)+SUM(F$7:F1377)-SUM(G$7:G1377))</f>
      </c>
      <c r="J1377" s="141" t="n"/>
      <c r="K1377" s="141" t="n"/>
      <c r="L1377" s="141" t="n"/>
      <c r="M1377" s="142" t="n"/>
      <c r="N1377" s="146">
        <f>IF(AND(AND(F1377="",G1377=""),B1377="",C1377="",D1377="",J1377="",K1377="",L1377=""),"",IF(AND(F1377="",G1377=""),"✗ 没填金额",IF(AND(N(F1377)&lt;&gt;0,N(G1377)&lt;&gt;0),"✗ 收入、支出只能填一边",IF(NOT(ISNUMBER(B1377)),"✗ 日期不是真日期（要像 2026/9/25 这样填）",IF(OR(B1377&lt;年初日,B1377&gt;年末日),"✗ 日期不在本会计年度",IF(C1377="","✗ 没选账户",IF(COUNTIF(基础资料!$W$5:$W$24,C1377)=0,"✗ 账户不在基础资料里",IF(O1377="","✗ 没选收支项目",IF(P1377="未知","✗ 收支项目不在基础资料里",IF(AND(P1377="应收",J1377=""),"✗ 这笔要选客户",IF(AND(P1377="应收",COUNTIF(总览汇总!$B$5:$B$304,J1377)=0),"✗ 客户不在总览汇总名单里",IF(AND(P1377="应付",K1377=""),"✗ 这笔要选供应商",IF(AND(P1377="应付",COUNTIF(基础资料!$Q$5:$Q$54,K1377)=0),"✗ 供应商不在基础资料里",IF(AND(P1377="费用",L1377=""),"✗ 费用支出要选费用项目",IF(AND(L1377&lt;&gt;"",COUNTIF(基础资料!$AI$5:$AI$54,L1377)=0),"✗ 费用项目不在基础资料里",IF(AND(IFERROR(INDEX(基础资料!$AD$5:$AD$34,MATCH(O1377,基础资料!$AC$5:$AC$34,0)),"")="收",N(G1377)&lt;&gt;0),"✗ 这类是收款，金额填到收入列",IF(AND(IFERROR(INDEX(基础资料!$AD$5:$AD$34,MATCH(O1377,基础资料!$AC$5:$AC$34,0)),"")="支",N(F1377)&lt;&gt;0),"✗ 这类是付款，金额填到支出列",IF(N(H1377)&lt;0,"⚠ 账户余额成负数了，核对一下","√"))))))))))))))))))</f>
      </c>
      <c r="O1377" s="78">
        <f>IF(D1377&lt;&gt;"",D1377,IF(AND(F1377="",G1377=""),"",IF(J1377&lt;&gt;"",IF(N(F1377)&gt;0,"客户回款","客户退款"),IF(K1377&lt;&gt;"",IF(N(G1377)&gt;0,"供应商付款","供应商退款"),IF(L1377&lt;&gt;"","费用支出","")))))</f>
      </c>
      <c r="P1377" s="78">
        <f>IF(O1377="","",IFERROR(INDEX(基础资料!$AE$5:$AE$34,MATCH(O1377,基础资料!$AC$5:$AC$34,0)),"未知"))</f>
      </c>
      <c r="Q1377" s="78">
        <f>IF(P1377="应收",COUNTIF(P$7:P1377,"应收"),"")</f>
      </c>
      <c r="R1377" s="78">
        <f>IF(P1377="应付",COUNTIF(P$7:P1377,"应付"),"")</f>
      </c>
      <c r="S1377" s="78">
        <f>N(F1377)-N(G1377)</f>
        <v>0</v>
      </c>
    </row>
    <row r="1378">
      <c r="A1378" s="109">
        <f>IF(AND(F1378="",G1378=""),"",ROW()-6)</f>
      </c>
      <c r="B1378" s="140" t="n"/>
      <c r="C1378" s="141" t="n"/>
      <c r="D1378" s="141" t="n"/>
      <c r="E1378" s="142" t="n"/>
      <c r="F1378" s="143" t="n"/>
      <c r="G1378" s="144" t="n"/>
      <c r="H1378" s="145">
        <f>IF(OR(C1378="",AND(F1378="",G1378="")),"",SUMIF(基础资料!$W$5:$W$24,C1378,基础资料!$X$5:$X$24)+SUMIF(C$7:C1378,C1378,F$7:F1378)-SUMIF(C$7:C1378,C1378,G$7:G1378))</f>
      </c>
      <c r="I1378" s="145">
        <f>IF(AND(F1378="",G1378=""),"",SUM(基础资料!$X$5:$X$24)+SUM(F$7:F1378)-SUM(G$7:G1378))</f>
      </c>
      <c r="J1378" s="141" t="n"/>
      <c r="K1378" s="141" t="n"/>
      <c r="L1378" s="141" t="n"/>
      <c r="M1378" s="142" t="n"/>
      <c r="N1378" s="146">
        <f>IF(AND(AND(F1378="",G1378=""),B1378="",C1378="",D1378="",J1378="",K1378="",L1378=""),"",IF(AND(F1378="",G1378=""),"✗ 没填金额",IF(AND(N(F1378)&lt;&gt;0,N(G1378)&lt;&gt;0),"✗ 收入、支出只能填一边",IF(NOT(ISNUMBER(B1378)),"✗ 日期不是真日期（要像 2026/9/25 这样填）",IF(OR(B1378&lt;年初日,B1378&gt;年末日),"✗ 日期不在本会计年度",IF(C1378="","✗ 没选账户",IF(COUNTIF(基础资料!$W$5:$W$24,C1378)=0,"✗ 账户不在基础资料里",IF(O1378="","✗ 没选收支项目",IF(P1378="未知","✗ 收支项目不在基础资料里",IF(AND(P1378="应收",J1378=""),"✗ 这笔要选客户",IF(AND(P1378="应收",COUNTIF(总览汇总!$B$5:$B$304,J1378)=0),"✗ 客户不在总览汇总名单里",IF(AND(P1378="应付",K1378=""),"✗ 这笔要选供应商",IF(AND(P1378="应付",COUNTIF(基础资料!$Q$5:$Q$54,K1378)=0),"✗ 供应商不在基础资料里",IF(AND(P1378="费用",L1378=""),"✗ 费用支出要选费用项目",IF(AND(L1378&lt;&gt;"",COUNTIF(基础资料!$AI$5:$AI$54,L1378)=0),"✗ 费用项目不在基础资料里",IF(AND(IFERROR(INDEX(基础资料!$AD$5:$AD$34,MATCH(O1378,基础资料!$AC$5:$AC$34,0)),"")="收",N(G1378)&lt;&gt;0),"✗ 这类是收款，金额填到收入列",IF(AND(IFERROR(INDEX(基础资料!$AD$5:$AD$34,MATCH(O1378,基础资料!$AC$5:$AC$34,0)),"")="支",N(F1378)&lt;&gt;0),"✗ 这类是付款，金额填到支出列",IF(N(H1378)&lt;0,"⚠ 账户余额成负数了，核对一下","√"))))))))))))))))))</f>
      </c>
      <c r="O1378" s="78">
        <f>IF(D1378&lt;&gt;"",D1378,IF(AND(F1378="",G1378=""),"",IF(J1378&lt;&gt;"",IF(N(F1378)&gt;0,"客户回款","客户退款"),IF(K1378&lt;&gt;"",IF(N(G1378)&gt;0,"供应商付款","供应商退款"),IF(L1378&lt;&gt;"","费用支出","")))))</f>
      </c>
      <c r="P1378" s="78">
        <f>IF(O1378="","",IFERROR(INDEX(基础资料!$AE$5:$AE$34,MATCH(O1378,基础资料!$AC$5:$AC$34,0)),"未知"))</f>
      </c>
      <c r="Q1378" s="78">
        <f>IF(P1378="应收",COUNTIF(P$7:P1378,"应收"),"")</f>
      </c>
      <c r="R1378" s="78">
        <f>IF(P1378="应付",COUNTIF(P$7:P1378,"应付"),"")</f>
      </c>
      <c r="S1378" s="78">
        <f>N(F1378)-N(G1378)</f>
        <v>0</v>
      </c>
    </row>
    <row r="1379">
      <c r="A1379" s="109">
        <f>IF(AND(F1379="",G1379=""),"",ROW()-6)</f>
      </c>
      <c r="B1379" s="140" t="n"/>
      <c r="C1379" s="141" t="n"/>
      <c r="D1379" s="141" t="n"/>
      <c r="E1379" s="142" t="n"/>
      <c r="F1379" s="143" t="n"/>
      <c r="G1379" s="144" t="n"/>
      <c r="H1379" s="145">
        <f>IF(OR(C1379="",AND(F1379="",G1379="")),"",SUMIF(基础资料!$W$5:$W$24,C1379,基础资料!$X$5:$X$24)+SUMIF(C$7:C1379,C1379,F$7:F1379)-SUMIF(C$7:C1379,C1379,G$7:G1379))</f>
      </c>
      <c r="I1379" s="145">
        <f>IF(AND(F1379="",G1379=""),"",SUM(基础资料!$X$5:$X$24)+SUM(F$7:F1379)-SUM(G$7:G1379))</f>
      </c>
      <c r="J1379" s="141" t="n"/>
      <c r="K1379" s="141" t="n"/>
      <c r="L1379" s="141" t="n"/>
      <c r="M1379" s="142" t="n"/>
      <c r="N1379" s="146">
        <f>IF(AND(AND(F1379="",G1379=""),B1379="",C1379="",D1379="",J1379="",K1379="",L1379=""),"",IF(AND(F1379="",G1379=""),"✗ 没填金额",IF(AND(N(F1379)&lt;&gt;0,N(G1379)&lt;&gt;0),"✗ 收入、支出只能填一边",IF(NOT(ISNUMBER(B1379)),"✗ 日期不是真日期（要像 2026/9/25 这样填）",IF(OR(B1379&lt;年初日,B1379&gt;年末日),"✗ 日期不在本会计年度",IF(C1379="","✗ 没选账户",IF(COUNTIF(基础资料!$W$5:$W$24,C1379)=0,"✗ 账户不在基础资料里",IF(O1379="","✗ 没选收支项目",IF(P1379="未知","✗ 收支项目不在基础资料里",IF(AND(P1379="应收",J1379=""),"✗ 这笔要选客户",IF(AND(P1379="应收",COUNTIF(总览汇总!$B$5:$B$304,J1379)=0),"✗ 客户不在总览汇总名单里",IF(AND(P1379="应付",K1379=""),"✗ 这笔要选供应商",IF(AND(P1379="应付",COUNTIF(基础资料!$Q$5:$Q$54,K1379)=0),"✗ 供应商不在基础资料里",IF(AND(P1379="费用",L1379=""),"✗ 费用支出要选费用项目",IF(AND(L1379&lt;&gt;"",COUNTIF(基础资料!$AI$5:$AI$54,L1379)=0),"✗ 费用项目不在基础资料里",IF(AND(IFERROR(INDEX(基础资料!$AD$5:$AD$34,MATCH(O1379,基础资料!$AC$5:$AC$34,0)),"")="收",N(G1379)&lt;&gt;0),"✗ 这类是收款，金额填到收入列",IF(AND(IFERROR(INDEX(基础资料!$AD$5:$AD$34,MATCH(O1379,基础资料!$AC$5:$AC$34,0)),"")="支",N(F1379)&lt;&gt;0),"✗ 这类是付款，金额填到支出列",IF(N(H1379)&lt;0,"⚠ 账户余额成负数了，核对一下","√"))))))))))))))))))</f>
      </c>
      <c r="O1379" s="78">
        <f>IF(D1379&lt;&gt;"",D1379,IF(AND(F1379="",G1379=""),"",IF(J1379&lt;&gt;"",IF(N(F1379)&gt;0,"客户回款","客户退款"),IF(K1379&lt;&gt;"",IF(N(G1379)&gt;0,"供应商付款","供应商退款"),IF(L1379&lt;&gt;"","费用支出","")))))</f>
      </c>
      <c r="P1379" s="78">
        <f>IF(O1379="","",IFERROR(INDEX(基础资料!$AE$5:$AE$34,MATCH(O1379,基础资料!$AC$5:$AC$34,0)),"未知"))</f>
      </c>
      <c r="Q1379" s="78">
        <f>IF(P1379="应收",COUNTIF(P$7:P1379,"应收"),"")</f>
      </c>
      <c r="R1379" s="78">
        <f>IF(P1379="应付",COUNTIF(P$7:P1379,"应付"),"")</f>
      </c>
      <c r="S1379" s="78">
        <f>N(F1379)-N(G1379)</f>
        <v>0</v>
      </c>
    </row>
    <row r="1380">
      <c r="A1380" s="109">
        <f>IF(AND(F1380="",G1380=""),"",ROW()-6)</f>
      </c>
      <c r="B1380" s="140" t="n"/>
      <c r="C1380" s="141" t="n"/>
      <c r="D1380" s="141" t="n"/>
      <c r="E1380" s="142" t="n"/>
      <c r="F1380" s="143" t="n"/>
      <c r="G1380" s="144" t="n"/>
      <c r="H1380" s="145">
        <f>IF(OR(C1380="",AND(F1380="",G1380="")),"",SUMIF(基础资料!$W$5:$W$24,C1380,基础资料!$X$5:$X$24)+SUMIF(C$7:C1380,C1380,F$7:F1380)-SUMIF(C$7:C1380,C1380,G$7:G1380))</f>
      </c>
      <c r="I1380" s="145">
        <f>IF(AND(F1380="",G1380=""),"",SUM(基础资料!$X$5:$X$24)+SUM(F$7:F1380)-SUM(G$7:G1380))</f>
      </c>
      <c r="J1380" s="141" t="n"/>
      <c r="K1380" s="141" t="n"/>
      <c r="L1380" s="141" t="n"/>
      <c r="M1380" s="142" t="n"/>
      <c r="N1380" s="146">
        <f>IF(AND(AND(F1380="",G1380=""),B1380="",C1380="",D1380="",J1380="",K1380="",L1380=""),"",IF(AND(F1380="",G1380=""),"✗ 没填金额",IF(AND(N(F1380)&lt;&gt;0,N(G1380)&lt;&gt;0),"✗ 收入、支出只能填一边",IF(NOT(ISNUMBER(B1380)),"✗ 日期不是真日期（要像 2026/9/25 这样填）",IF(OR(B1380&lt;年初日,B1380&gt;年末日),"✗ 日期不在本会计年度",IF(C1380="","✗ 没选账户",IF(COUNTIF(基础资料!$W$5:$W$24,C1380)=0,"✗ 账户不在基础资料里",IF(O1380="","✗ 没选收支项目",IF(P1380="未知","✗ 收支项目不在基础资料里",IF(AND(P1380="应收",J1380=""),"✗ 这笔要选客户",IF(AND(P1380="应收",COUNTIF(总览汇总!$B$5:$B$304,J1380)=0),"✗ 客户不在总览汇总名单里",IF(AND(P1380="应付",K1380=""),"✗ 这笔要选供应商",IF(AND(P1380="应付",COUNTIF(基础资料!$Q$5:$Q$54,K1380)=0),"✗ 供应商不在基础资料里",IF(AND(P1380="费用",L1380=""),"✗ 费用支出要选费用项目",IF(AND(L1380&lt;&gt;"",COUNTIF(基础资料!$AI$5:$AI$54,L1380)=0),"✗ 费用项目不在基础资料里",IF(AND(IFERROR(INDEX(基础资料!$AD$5:$AD$34,MATCH(O1380,基础资料!$AC$5:$AC$34,0)),"")="收",N(G1380)&lt;&gt;0),"✗ 这类是收款，金额填到收入列",IF(AND(IFERROR(INDEX(基础资料!$AD$5:$AD$34,MATCH(O1380,基础资料!$AC$5:$AC$34,0)),"")="支",N(F1380)&lt;&gt;0),"✗ 这类是付款，金额填到支出列",IF(N(H1380)&lt;0,"⚠ 账户余额成负数了，核对一下","√"))))))))))))))))))</f>
      </c>
      <c r="O1380" s="78">
        <f>IF(D1380&lt;&gt;"",D1380,IF(AND(F1380="",G1380=""),"",IF(J1380&lt;&gt;"",IF(N(F1380)&gt;0,"客户回款","客户退款"),IF(K1380&lt;&gt;"",IF(N(G1380)&gt;0,"供应商付款","供应商退款"),IF(L1380&lt;&gt;"","费用支出","")))))</f>
      </c>
      <c r="P1380" s="78">
        <f>IF(O1380="","",IFERROR(INDEX(基础资料!$AE$5:$AE$34,MATCH(O1380,基础资料!$AC$5:$AC$34,0)),"未知"))</f>
      </c>
      <c r="Q1380" s="78">
        <f>IF(P1380="应收",COUNTIF(P$7:P1380,"应收"),"")</f>
      </c>
      <c r="R1380" s="78">
        <f>IF(P1380="应付",COUNTIF(P$7:P1380,"应付"),"")</f>
      </c>
      <c r="S1380" s="78">
        <f>N(F1380)-N(G1380)</f>
        <v>0</v>
      </c>
    </row>
    <row r="1381">
      <c r="A1381" s="109">
        <f>IF(AND(F1381="",G1381=""),"",ROW()-6)</f>
      </c>
      <c r="B1381" s="140" t="n"/>
      <c r="C1381" s="141" t="n"/>
      <c r="D1381" s="141" t="n"/>
      <c r="E1381" s="142" t="n"/>
      <c r="F1381" s="143" t="n"/>
      <c r="G1381" s="144" t="n"/>
      <c r="H1381" s="145">
        <f>IF(OR(C1381="",AND(F1381="",G1381="")),"",SUMIF(基础资料!$W$5:$W$24,C1381,基础资料!$X$5:$X$24)+SUMIF(C$7:C1381,C1381,F$7:F1381)-SUMIF(C$7:C1381,C1381,G$7:G1381))</f>
      </c>
      <c r="I1381" s="145">
        <f>IF(AND(F1381="",G1381=""),"",SUM(基础资料!$X$5:$X$24)+SUM(F$7:F1381)-SUM(G$7:G1381))</f>
      </c>
      <c r="J1381" s="141" t="n"/>
      <c r="K1381" s="141" t="n"/>
      <c r="L1381" s="141" t="n"/>
      <c r="M1381" s="142" t="n"/>
      <c r="N1381" s="146">
        <f>IF(AND(AND(F1381="",G1381=""),B1381="",C1381="",D1381="",J1381="",K1381="",L1381=""),"",IF(AND(F1381="",G1381=""),"✗ 没填金额",IF(AND(N(F1381)&lt;&gt;0,N(G1381)&lt;&gt;0),"✗ 收入、支出只能填一边",IF(NOT(ISNUMBER(B1381)),"✗ 日期不是真日期（要像 2026/9/25 这样填）",IF(OR(B1381&lt;年初日,B1381&gt;年末日),"✗ 日期不在本会计年度",IF(C1381="","✗ 没选账户",IF(COUNTIF(基础资料!$W$5:$W$24,C1381)=0,"✗ 账户不在基础资料里",IF(O1381="","✗ 没选收支项目",IF(P1381="未知","✗ 收支项目不在基础资料里",IF(AND(P1381="应收",J1381=""),"✗ 这笔要选客户",IF(AND(P1381="应收",COUNTIF(总览汇总!$B$5:$B$304,J1381)=0),"✗ 客户不在总览汇总名单里",IF(AND(P1381="应付",K1381=""),"✗ 这笔要选供应商",IF(AND(P1381="应付",COUNTIF(基础资料!$Q$5:$Q$54,K1381)=0),"✗ 供应商不在基础资料里",IF(AND(P1381="费用",L1381=""),"✗ 费用支出要选费用项目",IF(AND(L1381&lt;&gt;"",COUNTIF(基础资料!$AI$5:$AI$54,L1381)=0),"✗ 费用项目不在基础资料里",IF(AND(IFERROR(INDEX(基础资料!$AD$5:$AD$34,MATCH(O1381,基础资料!$AC$5:$AC$34,0)),"")="收",N(G1381)&lt;&gt;0),"✗ 这类是收款，金额填到收入列",IF(AND(IFERROR(INDEX(基础资料!$AD$5:$AD$34,MATCH(O1381,基础资料!$AC$5:$AC$34,0)),"")="支",N(F1381)&lt;&gt;0),"✗ 这类是付款，金额填到支出列",IF(N(H1381)&lt;0,"⚠ 账户余额成负数了，核对一下","√"))))))))))))))))))</f>
      </c>
      <c r="O1381" s="78">
        <f>IF(D1381&lt;&gt;"",D1381,IF(AND(F1381="",G1381=""),"",IF(J1381&lt;&gt;"",IF(N(F1381)&gt;0,"客户回款","客户退款"),IF(K1381&lt;&gt;"",IF(N(G1381)&gt;0,"供应商付款","供应商退款"),IF(L1381&lt;&gt;"","费用支出","")))))</f>
      </c>
      <c r="P1381" s="78">
        <f>IF(O1381="","",IFERROR(INDEX(基础资料!$AE$5:$AE$34,MATCH(O1381,基础资料!$AC$5:$AC$34,0)),"未知"))</f>
      </c>
      <c r="Q1381" s="78">
        <f>IF(P1381="应收",COUNTIF(P$7:P1381,"应收"),"")</f>
      </c>
      <c r="R1381" s="78">
        <f>IF(P1381="应付",COUNTIF(P$7:P1381,"应付"),"")</f>
      </c>
      <c r="S1381" s="78">
        <f>N(F1381)-N(G1381)</f>
        <v>0</v>
      </c>
    </row>
    <row r="1382">
      <c r="A1382" s="109">
        <f>IF(AND(F1382="",G1382=""),"",ROW()-6)</f>
      </c>
      <c r="B1382" s="140" t="n"/>
      <c r="C1382" s="141" t="n"/>
      <c r="D1382" s="141" t="n"/>
      <c r="E1382" s="142" t="n"/>
      <c r="F1382" s="143" t="n"/>
      <c r="G1382" s="144" t="n"/>
      <c r="H1382" s="145">
        <f>IF(OR(C1382="",AND(F1382="",G1382="")),"",SUMIF(基础资料!$W$5:$W$24,C1382,基础资料!$X$5:$X$24)+SUMIF(C$7:C1382,C1382,F$7:F1382)-SUMIF(C$7:C1382,C1382,G$7:G1382))</f>
      </c>
      <c r="I1382" s="145">
        <f>IF(AND(F1382="",G1382=""),"",SUM(基础资料!$X$5:$X$24)+SUM(F$7:F1382)-SUM(G$7:G1382))</f>
      </c>
      <c r="J1382" s="141" t="n"/>
      <c r="K1382" s="141" t="n"/>
      <c r="L1382" s="141" t="n"/>
      <c r="M1382" s="142" t="n"/>
      <c r="N1382" s="146">
        <f>IF(AND(AND(F1382="",G1382=""),B1382="",C1382="",D1382="",J1382="",K1382="",L1382=""),"",IF(AND(F1382="",G1382=""),"✗ 没填金额",IF(AND(N(F1382)&lt;&gt;0,N(G1382)&lt;&gt;0),"✗ 收入、支出只能填一边",IF(NOT(ISNUMBER(B1382)),"✗ 日期不是真日期（要像 2026/9/25 这样填）",IF(OR(B1382&lt;年初日,B1382&gt;年末日),"✗ 日期不在本会计年度",IF(C1382="","✗ 没选账户",IF(COUNTIF(基础资料!$W$5:$W$24,C1382)=0,"✗ 账户不在基础资料里",IF(O1382="","✗ 没选收支项目",IF(P1382="未知","✗ 收支项目不在基础资料里",IF(AND(P1382="应收",J1382=""),"✗ 这笔要选客户",IF(AND(P1382="应收",COUNTIF(总览汇总!$B$5:$B$304,J1382)=0),"✗ 客户不在总览汇总名单里",IF(AND(P1382="应付",K1382=""),"✗ 这笔要选供应商",IF(AND(P1382="应付",COUNTIF(基础资料!$Q$5:$Q$54,K1382)=0),"✗ 供应商不在基础资料里",IF(AND(P1382="费用",L1382=""),"✗ 费用支出要选费用项目",IF(AND(L1382&lt;&gt;"",COUNTIF(基础资料!$AI$5:$AI$54,L1382)=0),"✗ 费用项目不在基础资料里",IF(AND(IFERROR(INDEX(基础资料!$AD$5:$AD$34,MATCH(O1382,基础资料!$AC$5:$AC$34,0)),"")="收",N(G1382)&lt;&gt;0),"✗ 这类是收款，金额填到收入列",IF(AND(IFERROR(INDEX(基础资料!$AD$5:$AD$34,MATCH(O1382,基础资料!$AC$5:$AC$34,0)),"")="支",N(F1382)&lt;&gt;0),"✗ 这类是付款，金额填到支出列",IF(N(H1382)&lt;0,"⚠ 账户余额成负数了，核对一下","√"))))))))))))))))))</f>
      </c>
      <c r="O1382" s="78">
        <f>IF(D1382&lt;&gt;"",D1382,IF(AND(F1382="",G1382=""),"",IF(J1382&lt;&gt;"",IF(N(F1382)&gt;0,"客户回款","客户退款"),IF(K1382&lt;&gt;"",IF(N(G1382)&gt;0,"供应商付款","供应商退款"),IF(L1382&lt;&gt;"","费用支出","")))))</f>
      </c>
      <c r="P1382" s="78">
        <f>IF(O1382="","",IFERROR(INDEX(基础资料!$AE$5:$AE$34,MATCH(O1382,基础资料!$AC$5:$AC$34,0)),"未知"))</f>
      </c>
      <c r="Q1382" s="78">
        <f>IF(P1382="应收",COUNTIF(P$7:P1382,"应收"),"")</f>
      </c>
      <c r="R1382" s="78">
        <f>IF(P1382="应付",COUNTIF(P$7:P1382,"应付"),"")</f>
      </c>
      <c r="S1382" s="78">
        <f>N(F1382)-N(G1382)</f>
        <v>0</v>
      </c>
    </row>
    <row r="1383">
      <c r="A1383" s="109">
        <f>IF(AND(F1383="",G1383=""),"",ROW()-6)</f>
      </c>
      <c r="B1383" s="140" t="n"/>
      <c r="C1383" s="141" t="n"/>
      <c r="D1383" s="141" t="n"/>
      <c r="E1383" s="142" t="n"/>
      <c r="F1383" s="143" t="n"/>
      <c r="G1383" s="144" t="n"/>
      <c r="H1383" s="145">
        <f>IF(OR(C1383="",AND(F1383="",G1383="")),"",SUMIF(基础资料!$W$5:$W$24,C1383,基础资料!$X$5:$X$24)+SUMIF(C$7:C1383,C1383,F$7:F1383)-SUMIF(C$7:C1383,C1383,G$7:G1383))</f>
      </c>
      <c r="I1383" s="145">
        <f>IF(AND(F1383="",G1383=""),"",SUM(基础资料!$X$5:$X$24)+SUM(F$7:F1383)-SUM(G$7:G1383))</f>
      </c>
      <c r="J1383" s="141" t="n"/>
      <c r="K1383" s="141" t="n"/>
      <c r="L1383" s="141" t="n"/>
      <c r="M1383" s="142" t="n"/>
      <c r="N1383" s="146">
        <f>IF(AND(AND(F1383="",G1383=""),B1383="",C1383="",D1383="",J1383="",K1383="",L1383=""),"",IF(AND(F1383="",G1383=""),"✗ 没填金额",IF(AND(N(F1383)&lt;&gt;0,N(G1383)&lt;&gt;0),"✗ 收入、支出只能填一边",IF(NOT(ISNUMBER(B1383)),"✗ 日期不是真日期（要像 2026/9/25 这样填）",IF(OR(B1383&lt;年初日,B1383&gt;年末日),"✗ 日期不在本会计年度",IF(C1383="","✗ 没选账户",IF(COUNTIF(基础资料!$W$5:$W$24,C1383)=0,"✗ 账户不在基础资料里",IF(O1383="","✗ 没选收支项目",IF(P1383="未知","✗ 收支项目不在基础资料里",IF(AND(P1383="应收",J1383=""),"✗ 这笔要选客户",IF(AND(P1383="应收",COUNTIF(总览汇总!$B$5:$B$304,J1383)=0),"✗ 客户不在总览汇总名单里",IF(AND(P1383="应付",K1383=""),"✗ 这笔要选供应商",IF(AND(P1383="应付",COUNTIF(基础资料!$Q$5:$Q$54,K1383)=0),"✗ 供应商不在基础资料里",IF(AND(P1383="费用",L1383=""),"✗ 费用支出要选费用项目",IF(AND(L1383&lt;&gt;"",COUNTIF(基础资料!$AI$5:$AI$54,L1383)=0),"✗ 费用项目不在基础资料里",IF(AND(IFERROR(INDEX(基础资料!$AD$5:$AD$34,MATCH(O1383,基础资料!$AC$5:$AC$34,0)),"")="收",N(G1383)&lt;&gt;0),"✗ 这类是收款，金额填到收入列",IF(AND(IFERROR(INDEX(基础资料!$AD$5:$AD$34,MATCH(O1383,基础资料!$AC$5:$AC$34,0)),"")="支",N(F1383)&lt;&gt;0),"✗ 这类是付款，金额填到支出列",IF(N(H1383)&lt;0,"⚠ 账户余额成负数了，核对一下","√"))))))))))))))))))</f>
      </c>
      <c r="O1383" s="78">
        <f>IF(D1383&lt;&gt;"",D1383,IF(AND(F1383="",G1383=""),"",IF(J1383&lt;&gt;"",IF(N(F1383)&gt;0,"客户回款","客户退款"),IF(K1383&lt;&gt;"",IF(N(G1383)&gt;0,"供应商付款","供应商退款"),IF(L1383&lt;&gt;"","费用支出","")))))</f>
      </c>
      <c r="P1383" s="78">
        <f>IF(O1383="","",IFERROR(INDEX(基础资料!$AE$5:$AE$34,MATCH(O1383,基础资料!$AC$5:$AC$34,0)),"未知"))</f>
      </c>
      <c r="Q1383" s="78">
        <f>IF(P1383="应收",COUNTIF(P$7:P1383,"应收"),"")</f>
      </c>
      <c r="R1383" s="78">
        <f>IF(P1383="应付",COUNTIF(P$7:P1383,"应付"),"")</f>
      </c>
      <c r="S1383" s="78">
        <f>N(F1383)-N(G1383)</f>
        <v>0</v>
      </c>
    </row>
    <row r="1384">
      <c r="A1384" s="109">
        <f>IF(AND(F1384="",G1384=""),"",ROW()-6)</f>
      </c>
      <c r="B1384" s="140" t="n"/>
      <c r="C1384" s="141" t="n"/>
      <c r="D1384" s="141" t="n"/>
      <c r="E1384" s="142" t="n"/>
      <c r="F1384" s="143" t="n"/>
      <c r="G1384" s="144" t="n"/>
      <c r="H1384" s="145">
        <f>IF(OR(C1384="",AND(F1384="",G1384="")),"",SUMIF(基础资料!$W$5:$W$24,C1384,基础资料!$X$5:$X$24)+SUMIF(C$7:C1384,C1384,F$7:F1384)-SUMIF(C$7:C1384,C1384,G$7:G1384))</f>
      </c>
      <c r="I1384" s="145">
        <f>IF(AND(F1384="",G1384=""),"",SUM(基础资料!$X$5:$X$24)+SUM(F$7:F1384)-SUM(G$7:G1384))</f>
      </c>
      <c r="J1384" s="141" t="n"/>
      <c r="K1384" s="141" t="n"/>
      <c r="L1384" s="141" t="n"/>
      <c r="M1384" s="142" t="n"/>
      <c r="N1384" s="146">
        <f>IF(AND(AND(F1384="",G1384=""),B1384="",C1384="",D1384="",J1384="",K1384="",L1384=""),"",IF(AND(F1384="",G1384=""),"✗ 没填金额",IF(AND(N(F1384)&lt;&gt;0,N(G1384)&lt;&gt;0),"✗ 收入、支出只能填一边",IF(NOT(ISNUMBER(B1384)),"✗ 日期不是真日期（要像 2026/9/25 这样填）",IF(OR(B1384&lt;年初日,B1384&gt;年末日),"✗ 日期不在本会计年度",IF(C1384="","✗ 没选账户",IF(COUNTIF(基础资料!$W$5:$W$24,C1384)=0,"✗ 账户不在基础资料里",IF(O1384="","✗ 没选收支项目",IF(P1384="未知","✗ 收支项目不在基础资料里",IF(AND(P1384="应收",J1384=""),"✗ 这笔要选客户",IF(AND(P1384="应收",COUNTIF(总览汇总!$B$5:$B$304,J1384)=0),"✗ 客户不在总览汇总名单里",IF(AND(P1384="应付",K1384=""),"✗ 这笔要选供应商",IF(AND(P1384="应付",COUNTIF(基础资料!$Q$5:$Q$54,K1384)=0),"✗ 供应商不在基础资料里",IF(AND(P1384="费用",L1384=""),"✗ 费用支出要选费用项目",IF(AND(L1384&lt;&gt;"",COUNTIF(基础资料!$AI$5:$AI$54,L1384)=0),"✗ 费用项目不在基础资料里",IF(AND(IFERROR(INDEX(基础资料!$AD$5:$AD$34,MATCH(O1384,基础资料!$AC$5:$AC$34,0)),"")="收",N(G1384)&lt;&gt;0),"✗ 这类是收款，金额填到收入列",IF(AND(IFERROR(INDEX(基础资料!$AD$5:$AD$34,MATCH(O1384,基础资料!$AC$5:$AC$34,0)),"")="支",N(F1384)&lt;&gt;0),"✗ 这类是付款，金额填到支出列",IF(N(H1384)&lt;0,"⚠ 账户余额成负数了，核对一下","√"))))))))))))))))))</f>
      </c>
      <c r="O1384" s="78">
        <f>IF(D1384&lt;&gt;"",D1384,IF(AND(F1384="",G1384=""),"",IF(J1384&lt;&gt;"",IF(N(F1384)&gt;0,"客户回款","客户退款"),IF(K1384&lt;&gt;"",IF(N(G1384)&gt;0,"供应商付款","供应商退款"),IF(L1384&lt;&gt;"","费用支出","")))))</f>
      </c>
      <c r="P1384" s="78">
        <f>IF(O1384="","",IFERROR(INDEX(基础资料!$AE$5:$AE$34,MATCH(O1384,基础资料!$AC$5:$AC$34,0)),"未知"))</f>
      </c>
      <c r="Q1384" s="78">
        <f>IF(P1384="应收",COUNTIF(P$7:P1384,"应收"),"")</f>
      </c>
      <c r="R1384" s="78">
        <f>IF(P1384="应付",COUNTIF(P$7:P1384,"应付"),"")</f>
      </c>
      <c r="S1384" s="78">
        <f>N(F1384)-N(G1384)</f>
        <v>0</v>
      </c>
    </row>
    <row r="1385">
      <c r="A1385" s="109">
        <f>IF(AND(F1385="",G1385=""),"",ROW()-6)</f>
      </c>
      <c r="B1385" s="140" t="n"/>
      <c r="C1385" s="141" t="n"/>
      <c r="D1385" s="141" t="n"/>
      <c r="E1385" s="142" t="n"/>
      <c r="F1385" s="143" t="n"/>
      <c r="G1385" s="144" t="n"/>
      <c r="H1385" s="145">
        <f>IF(OR(C1385="",AND(F1385="",G1385="")),"",SUMIF(基础资料!$W$5:$W$24,C1385,基础资料!$X$5:$X$24)+SUMIF(C$7:C1385,C1385,F$7:F1385)-SUMIF(C$7:C1385,C1385,G$7:G1385))</f>
      </c>
      <c r="I1385" s="145">
        <f>IF(AND(F1385="",G1385=""),"",SUM(基础资料!$X$5:$X$24)+SUM(F$7:F1385)-SUM(G$7:G1385))</f>
      </c>
      <c r="J1385" s="141" t="n"/>
      <c r="K1385" s="141" t="n"/>
      <c r="L1385" s="141" t="n"/>
      <c r="M1385" s="142" t="n"/>
      <c r="N1385" s="146">
        <f>IF(AND(AND(F1385="",G1385=""),B1385="",C1385="",D1385="",J1385="",K1385="",L1385=""),"",IF(AND(F1385="",G1385=""),"✗ 没填金额",IF(AND(N(F1385)&lt;&gt;0,N(G1385)&lt;&gt;0),"✗ 收入、支出只能填一边",IF(NOT(ISNUMBER(B1385)),"✗ 日期不是真日期（要像 2026/9/25 这样填）",IF(OR(B1385&lt;年初日,B1385&gt;年末日),"✗ 日期不在本会计年度",IF(C1385="","✗ 没选账户",IF(COUNTIF(基础资料!$W$5:$W$24,C1385)=0,"✗ 账户不在基础资料里",IF(O1385="","✗ 没选收支项目",IF(P1385="未知","✗ 收支项目不在基础资料里",IF(AND(P1385="应收",J1385=""),"✗ 这笔要选客户",IF(AND(P1385="应收",COUNTIF(总览汇总!$B$5:$B$304,J1385)=0),"✗ 客户不在总览汇总名单里",IF(AND(P1385="应付",K1385=""),"✗ 这笔要选供应商",IF(AND(P1385="应付",COUNTIF(基础资料!$Q$5:$Q$54,K1385)=0),"✗ 供应商不在基础资料里",IF(AND(P1385="费用",L1385=""),"✗ 费用支出要选费用项目",IF(AND(L1385&lt;&gt;"",COUNTIF(基础资料!$AI$5:$AI$54,L1385)=0),"✗ 费用项目不在基础资料里",IF(AND(IFERROR(INDEX(基础资料!$AD$5:$AD$34,MATCH(O1385,基础资料!$AC$5:$AC$34,0)),"")="收",N(G1385)&lt;&gt;0),"✗ 这类是收款，金额填到收入列",IF(AND(IFERROR(INDEX(基础资料!$AD$5:$AD$34,MATCH(O1385,基础资料!$AC$5:$AC$34,0)),"")="支",N(F1385)&lt;&gt;0),"✗ 这类是付款，金额填到支出列",IF(N(H1385)&lt;0,"⚠ 账户余额成负数了，核对一下","√"))))))))))))))))))</f>
      </c>
      <c r="O1385" s="78">
        <f>IF(D1385&lt;&gt;"",D1385,IF(AND(F1385="",G1385=""),"",IF(J1385&lt;&gt;"",IF(N(F1385)&gt;0,"客户回款","客户退款"),IF(K1385&lt;&gt;"",IF(N(G1385)&gt;0,"供应商付款","供应商退款"),IF(L1385&lt;&gt;"","费用支出","")))))</f>
      </c>
      <c r="P1385" s="78">
        <f>IF(O1385="","",IFERROR(INDEX(基础资料!$AE$5:$AE$34,MATCH(O1385,基础资料!$AC$5:$AC$34,0)),"未知"))</f>
      </c>
      <c r="Q1385" s="78">
        <f>IF(P1385="应收",COUNTIF(P$7:P1385,"应收"),"")</f>
      </c>
      <c r="R1385" s="78">
        <f>IF(P1385="应付",COUNTIF(P$7:P1385,"应付"),"")</f>
      </c>
      <c r="S1385" s="78">
        <f>N(F1385)-N(G1385)</f>
        <v>0</v>
      </c>
    </row>
    <row r="1386">
      <c r="A1386" s="109">
        <f>IF(AND(F1386="",G1386=""),"",ROW()-6)</f>
      </c>
      <c r="B1386" s="140" t="n"/>
      <c r="C1386" s="141" t="n"/>
      <c r="D1386" s="141" t="n"/>
      <c r="E1386" s="142" t="n"/>
      <c r="F1386" s="143" t="n"/>
      <c r="G1386" s="144" t="n"/>
      <c r="H1386" s="145">
        <f>IF(OR(C1386="",AND(F1386="",G1386="")),"",SUMIF(基础资料!$W$5:$W$24,C1386,基础资料!$X$5:$X$24)+SUMIF(C$7:C1386,C1386,F$7:F1386)-SUMIF(C$7:C1386,C1386,G$7:G1386))</f>
      </c>
      <c r="I1386" s="145">
        <f>IF(AND(F1386="",G1386=""),"",SUM(基础资料!$X$5:$X$24)+SUM(F$7:F1386)-SUM(G$7:G1386))</f>
      </c>
      <c r="J1386" s="141" t="n"/>
      <c r="K1386" s="141" t="n"/>
      <c r="L1386" s="141" t="n"/>
      <c r="M1386" s="142" t="n"/>
      <c r="N1386" s="146">
        <f>IF(AND(AND(F1386="",G1386=""),B1386="",C1386="",D1386="",J1386="",K1386="",L1386=""),"",IF(AND(F1386="",G1386=""),"✗ 没填金额",IF(AND(N(F1386)&lt;&gt;0,N(G1386)&lt;&gt;0),"✗ 收入、支出只能填一边",IF(NOT(ISNUMBER(B1386)),"✗ 日期不是真日期（要像 2026/9/25 这样填）",IF(OR(B1386&lt;年初日,B1386&gt;年末日),"✗ 日期不在本会计年度",IF(C1386="","✗ 没选账户",IF(COUNTIF(基础资料!$W$5:$W$24,C1386)=0,"✗ 账户不在基础资料里",IF(O1386="","✗ 没选收支项目",IF(P1386="未知","✗ 收支项目不在基础资料里",IF(AND(P1386="应收",J1386=""),"✗ 这笔要选客户",IF(AND(P1386="应收",COUNTIF(总览汇总!$B$5:$B$304,J1386)=0),"✗ 客户不在总览汇总名单里",IF(AND(P1386="应付",K1386=""),"✗ 这笔要选供应商",IF(AND(P1386="应付",COUNTIF(基础资料!$Q$5:$Q$54,K1386)=0),"✗ 供应商不在基础资料里",IF(AND(P1386="费用",L1386=""),"✗ 费用支出要选费用项目",IF(AND(L1386&lt;&gt;"",COUNTIF(基础资料!$AI$5:$AI$54,L1386)=0),"✗ 费用项目不在基础资料里",IF(AND(IFERROR(INDEX(基础资料!$AD$5:$AD$34,MATCH(O1386,基础资料!$AC$5:$AC$34,0)),"")="收",N(G1386)&lt;&gt;0),"✗ 这类是收款，金额填到收入列",IF(AND(IFERROR(INDEX(基础资料!$AD$5:$AD$34,MATCH(O1386,基础资料!$AC$5:$AC$34,0)),"")="支",N(F1386)&lt;&gt;0),"✗ 这类是付款，金额填到支出列",IF(N(H1386)&lt;0,"⚠ 账户余额成负数了，核对一下","√"))))))))))))))))))</f>
      </c>
      <c r="O1386" s="78">
        <f>IF(D1386&lt;&gt;"",D1386,IF(AND(F1386="",G1386=""),"",IF(J1386&lt;&gt;"",IF(N(F1386)&gt;0,"客户回款","客户退款"),IF(K1386&lt;&gt;"",IF(N(G1386)&gt;0,"供应商付款","供应商退款"),IF(L1386&lt;&gt;"","费用支出","")))))</f>
      </c>
      <c r="P1386" s="78">
        <f>IF(O1386="","",IFERROR(INDEX(基础资料!$AE$5:$AE$34,MATCH(O1386,基础资料!$AC$5:$AC$34,0)),"未知"))</f>
      </c>
      <c r="Q1386" s="78">
        <f>IF(P1386="应收",COUNTIF(P$7:P1386,"应收"),"")</f>
      </c>
      <c r="R1386" s="78">
        <f>IF(P1386="应付",COUNTIF(P$7:P1386,"应付"),"")</f>
      </c>
      <c r="S1386" s="78">
        <f>N(F1386)-N(G1386)</f>
        <v>0</v>
      </c>
    </row>
    <row r="1387">
      <c r="A1387" s="109">
        <f>IF(AND(F1387="",G1387=""),"",ROW()-6)</f>
      </c>
      <c r="B1387" s="140" t="n"/>
      <c r="C1387" s="141" t="n"/>
      <c r="D1387" s="141" t="n"/>
      <c r="E1387" s="142" t="n"/>
      <c r="F1387" s="143" t="n"/>
      <c r="G1387" s="144" t="n"/>
      <c r="H1387" s="145">
        <f>IF(OR(C1387="",AND(F1387="",G1387="")),"",SUMIF(基础资料!$W$5:$W$24,C1387,基础资料!$X$5:$X$24)+SUMIF(C$7:C1387,C1387,F$7:F1387)-SUMIF(C$7:C1387,C1387,G$7:G1387))</f>
      </c>
      <c r="I1387" s="145">
        <f>IF(AND(F1387="",G1387=""),"",SUM(基础资料!$X$5:$X$24)+SUM(F$7:F1387)-SUM(G$7:G1387))</f>
      </c>
      <c r="J1387" s="141" t="n"/>
      <c r="K1387" s="141" t="n"/>
      <c r="L1387" s="141" t="n"/>
      <c r="M1387" s="142" t="n"/>
      <c r="N1387" s="146">
        <f>IF(AND(AND(F1387="",G1387=""),B1387="",C1387="",D1387="",J1387="",K1387="",L1387=""),"",IF(AND(F1387="",G1387=""),"✗ 没填金额",IF(AND(N(F1387)&lt;&gt;0,N(G1387)&lt;&gt;0),"✗ 收入、支出只能填一边",IF(NOT(ISNUMBER(B1387)),"✗ 日期不是真日期（要像 2026/9/25 这样填）",IF(OR(B1387&lt;年初日,B1387&gt;年末日),"✗ 日期不在本会计年度",IF(C1387="","✗ 没选账户",IF(COUNTIF(基础资料!$W$5:$W$24,C1387)=0,"✗ 账户不在基础资料里",IF(O1387="","✗ 没选收支项目",IF(P1387="未知","✗ 收支项目不在基础资料里",IF(AND(P1387="应收",J1387=""),"✗ 这笔要选客户",IF(AND(P1387="应收",COUNTIF(总览汇总!$B$5:$B$304,J1387)=0),"✗ 客户不在总览汇总名单里",IF(AND(P1387="应付",K1387=""),"✗ 这笔要选供应商",IF(AND(P1387="应付",COUNTIF(基础资料!$Q$5:$Q$54,K1387)=0),"✗ 供应商不在基础资料里",IF(AND(P1387="费用",L1387=""),"✗ 费用支出要选费用项目",IF(AND(L1387&lt;&gt;"",COUNTIF(基础资料!$AI$5:$AI$54,L1387)=0),"✗ 费用项目不在基础资料里",IF(AND(IFERROR(INDEX(基础资料!$AD$5:$AD$34,MATCH(O1387,基础资料!$AC$5:$AC$34,0)),"")="收",N(G1387)&lt;&gt;0),"✗ 这类是收款，金额填到收入列",IF(AND(IFERROR(INDEX(基础资料!$AD$5:$AD$34,MATCH(O1387,基础资料!$AC$5:$AC$34,0)),"")="支",N(F1387)&lt;&gt;0),"✗ 这类是付款，金额填到支出列",IF(N(H1387)&lt;0,"⚠ 账户余额成负数了，核对一下","√"))))))))))))))))))</f>
      </c>
      <c r="O1387" s="78">
        <f>IF(D1387&lt;&gt;"",D1387,IF(AND(F1387="",G1387=""),"",IF(J1387&lt;&gt;"",IF(N(F1387)&gt;0,"客户回款","客户退款"),IF(K1387&lt;&gt;"",IF(N(G1387)&gt;0,"供应商付款","供应商退款"),IF(L1387&lt;&gt;"","费用支出","")))))</f>
      </c>
      <c r="P1387" s="78">
        <f>IF(O1387="","",IFERROR(INDEX(基础资料!$AE$5:$AE$34,MATCH(O1387,基础资料!$AC$5:$AC$34,0)),"未知"))</f>
      </c>
      <c r="Q1387" s="78">
        <f>IF(P1387="应收",COUNTIF(P$7:P1387,"应收"),"")</f>
      </c>
      <c r="R1387" s="78">
        <f>IF(P1387="应付",COUNTIF(P$7:P1387,"应付"),"")</f>
      </c>
      <c r="S1387" s="78">
        <f>N(F1387)-N(G1387)</f>
        <v>0</v>
      </c>
    </row>
    <row r="1388">
      <c r="A1388" s="109">
        <f>IF(AND(F1388="",G1388=""),"",ROW()-6)</f>
      </c>
      <c r="B1388" s="140" t="n"/>
      <c r="C1388" s="141" t="n"/>
      <c r="D1388" s="141" t="n"/>
      <c r="E1388" s="142" t="n"/>
      <c r="F1388" s="143" t="n"/>
      <c r="G1388" s="144" t="n"/>
      <c r="H1388" s="145">
        <f>IF(OR(C1388="",AND(F1388="",G1388="")),"",SUMIF(基础资料!$W$5:$W$24,C1388,基础资料!$X$5:$X$24)+SUMIF(C$7:C1388,C1388,F$7:F1388)-SUMIF(C$7:C1388,C1388,G$7:G1388))</f>
      </c>
      <c r="I1388" s="145">
        <f>IF(AND(F1388="",G1388=""),"",SUM(基础资料!$X$5:$X$24)+SUM(F$7:F1388)-SUM(G$7:G1388))</f>
      </c>
      <c r="J1388" s="141" t="n"/>
      <c r="K1388" s="141" t="n"/>
      <c r="L1388" s="141" t="n"/>
      <c r="M1388" s="142" t="n"/>
      <c r="N1388" s="146">
        <f>IF(AND(AND(F1388="",G1388=""),B1388="",C1388="",D1388="",J1388="",K1388="",L1388=""),"",IF(AND(F1388="",G1388=""),"✗ 没填金额",IF(AND(N(F1388)&lt;&gt;0,N(G1388)&lt;&gt;0),"✗ 收入、支出只能填一边",IF(NOT(ISNUMBER(B1388)),"✗ 日期不是真日期（要像 2026/9/25 这样填）",IF(OR(B1388&lt;年初日,B1388&gt;年末日),"✗ 日期不在本会计年度",IF(C1388="","✗ 没选账户",IF(COUNTIF(基础资料!$W$5:$W$24,C1388)=0,"✗ 账户不在基础资料里",IF(O1388="","✗ 没选收支项目",IF(P1388="未知","✗ 收支项目不在基础资料里",IF(AND(P1388="应收",J1388=""),"✗ 这笔要选客户",IF(AND(P1388="应收",COUNTIF(总览汇总!$B$5:$B$304,J1388)=0),"✗ 客户不在总览汇总名单里",IF(AND(P1388="应付",K1388=""),"✗ 这笔要选供应商",IF(AND(P1388="应付",COUNTIF(基础资料!$Q$5:$Q$54,K1388)=0),"✗ 供应商不在基础资料里",IF(AND(P1388="费用",L1388=""),"✗ 费用支出要选费用项目",IF(AND(L1388&lt;&gt;"",COUNTIF(基础资料!$AI$5:$AI$54,L1388)=0),"✗ 费用项目不在基础资料里",IF(AND(IFERROR(INDEX(基础资料!$AD$5:$AD$34,MATCH(O1388,基础资料!$AC$5:$AC$34,0)),"")="收",N(G1388)&lt;&gt;0),"✗ 这类是收款，金额填到收入列",IF(AND(IFERROR(INDEX(基础资料!$AD$5:$AD$34,MATCH(O1388,基础资料!$AC$5:$AC$34,0)),"")="支",N(F1388)&lt;&gt;0),"✗ 这类是付款，金额填到支出列",IF(N(H1388)&lt;0,"⚠ 账户余额成负数了，核对一下","√"))))))))))))))))))</f>
      </c>
      <c r="O1388" s="78">
        <f>IF(D1388&lt;&gt;"",D1388,IF(AND(F1388="",G1388=""),"",IF(J1388&lt;&gt;"",IF(N(F1388)&gt;0,"客户回款","客户退款"),IF(K1388&lt;&gt;"",IF(N(G1388)&gt;0,"供应商付款","供应商退款"),IF(L1388&lt;&gt;"","费用支出","")))))</f>
      </c>
      <c r="P1388" s="78">
        <f>IF(O1388="","",IFERROR(INDEX(基础资料!$AE$5:$AE$34,MATCH(O1388,基础资料!$AC$5:$AC$34,0)),"未知"))</f>
      </c>
      <c r="Q1388" s="78">
        <f>IF(P1388="应收",COUNTIF(P$7:P1388,"应收"),"")</f>
      </c>
      <c r="R1388" s="78">
        <f>IF(P1388="应付",COUNTIF(P$7:P1388,"应付"),"")</f>
      </c>
      <c r="S1388" s="78">
        <f>N(F1388)-N(G1388)</f>
        <v>0</v>
      </c>
    </row>
    <row r="1389">
      <c r="A1389" s="109">
        <f>IF(AND(F1389="",G1389=""),"",ROW()-6)</f>
      </c>
      <c r="B1389" s="140" t="n"/>
      <c r="C1389" s="141" t="n"/>
      <c r="D1389" s="141" t="n"/>
      <c r="E1389" s="142" t="n"/>
      <c r="F1389" s="143" t="n"/>
      <c r="G1389" s="144" t="n"/>
      <c r="H1389" s="145">
        <f>IF(OR(C1389="",AND(F1389="",G1389="")),"",SUMIF(基础资料!$W$5:$W$24,C1389,基础资料!$X$5:$X$24)+SUMIF(C$7:C1389,C1389,F$7:F1389)-SUMIF(C$7:C1389,C1389,G$7:G1389))</f>
      </c>
      <c r="I1389" s="145">
        <f>IF(AND(F1389="",G1389=""),"",SUM(基础资料!$X$5:$X$24)+SUM(F$7:F1389)-SUM(G$7:G1389))</f>
      </c>
      <c r="J1389" s="141" t="n"/>
      <c r="K1389" s="141" t="n"/>
      <c r="L1389" s="141" t="n"/>
      <c r="M1389" s="142" t="n"/>
      <c r="N1389" s="146">
        <f>IF(AND(AND(F1389="",G1389=""),B1389="",C1389="",D1389="",J1389="",K1389="",L1389=""),"",IF(AND(F1389="",G1389=""),"✗ 没填金额",IF(AND(N(F1389)&lt;&gt;0,N(G1389)&lt;&gt;0),"✗ 收入、支出只能填一边",IF(NOT(ISNUMBER(B1389)),"✗ 日期不是真日期（要像 2026/9/25 这样填）",IF(OR(B1389&lt;年初日,B1389&gt;年末日),"✗ 日期不在本会计年度",IF(C1389="","✗ 没选账户",IF(COUNTIF(基础资料!$W$5:$W$24,C1389)=0,"✗ 账户不在基础资料里",IF(O1389="","✗ 没选收支项目",IF(P1389="未知","✗ 收支项目不在基础资料里",IF(AND(P1389="应收",J1389=""),"✗ 这笔要选客户",IF(AND(P1389="应收",COUNTIF(总览汇总!$B$5:$B$304,J1389)=0),"✗ 客户不在总览汇总名单里",IF(AND(P1389="应付",K1389=""),"✗ 这笔要选供应商",IF(AND(P1389="应付",COUNTIF(基础资料!$Q$5:$Q$54,K1389)=0),"✗ 供应商不在基础资料里",IF(AND(P1389="费用",L1389=""),"✗ 费用支出要选费用项目",IF(AND(L1389&lt;&gt;"",COUNTIF(基础资料!$AI$5:$AI$54,L1389)=0),"✗ 费用项目不在基础资料里",IF(AND(IFERROR(INDEX(基础资料!$AD$5:$AD$34,MATCH(O1389,基础资料!$AC$5:$AC$34,0)),"")="收",N(G1389)&lt;&gt;0),"✗ 这类是收款，金额填到收入列",IF(AND(IFERROR(INDEX(基础资料!$AD$5:$AD$34,MATCH(O1389,基础资料!$AC$5:$AC$34,0)),"")="支",N(F1389)&lt;&gt;0),"✗ 这类是付款，金额填到支出列",IF(N(H1389)&lt;0,"⚠ 账户余额成负数了，核对一下","√"))))))))))))))))))</f>
      </c>
      <c r="O1389" s="78">
        <f>IF(D1389&lt;&gt;"",D1389,IF(AND(F1389="",G1389=""),"",IF(J1389&lt;&gt;"",IF(N(F1389)&gt;0,"客户回款","客户退款"),IF(K1389&lt;&gt;"",IF(N(G1389)&gt;0,"供应商付款","供应商退款"),IF(L1389&lt;&gt;"","费用支出","")))))</f>
      </c>
      <c r="P1389" s="78">
        <f>IF(O1389="","",IFERROR(INDEX(基础资料!$AE$5:$AE$34,MATCH(O1389,基础资料!$AC$5:$AC$34,0)),"未知"))</f>
      </c>
      <c r="Q1389" s="78">
        <f>IF(P1389="应收",COUNTIF(P$7:P1389,"应收"),"")</f>
      </c>
      <c r="R1389" s="78">
        <f>IF(P1389="应付",COUNTIF(P$7:P1389,"应付"),"")</f>
      </c>
      <c r="S1389" s="78">
        <f>N(F1389)-N(G1389)</f>
        <v>0</v>
      </c>
    </row>
    <row r="1390">
      <c r="A1390" s="109">
        <f>IF(AND(F1390="",G1390=""),"",ROW()-6)</f>
      </c>
      <c r="B1390" s="140" t="n"/>
      <c r="C1390" s="141" t="n"/>
      <c r="D1390" s="141" t="n"/>
      <c r="E1390" s="142" t="n"/>
      <c r="F1390" s="143" t="n"/>
      <c r="G1390" s="144" t="n"/>
      <c r="H1390" s="145">
        <f>IF(OR(C1390="",AND(F1390="",G1390="")),"",SUMIF(基础资料!$W$5:$W$24,C1390,基础资料!$X$5:$X$24)+SUMIF(C$7:C1390,C1390,F$7:F1390)-SUMIF(C$7:C1390,C1390,G$7:G1390))</f>
      </c>
      <c r="I1390" s="145">
        <f>IF(AND(F1390="",G1390=""),"",SUM(基础资料!$X$5:$X$24)+SUM(F$7:F1390)-SUM(G$7:G1390))</f>
      </c>
      <c r="J1390" s="141" t="n"/>
      <c r="K1390" s="141" t="n"/>
      <c r="L1390" s="141" t="n"/>
      <c r="M1390" s="142" t="n"/>
      <c r="N1390" s="146">
        <f>IF(AND(AND(F1390="",G1390=""),B1390="",C1390="",D1390="",J1390="",K1390="",L1390=""),"",IF(AND(F1390="",G1390=""),"✗ 没填金额",IF(AND(N(F1390)&lt;&gt;0,N(G1390)&lt;&gt;0),"✗ 收入、支出只能填一边",IF(NOT(ISNUMBER(B1390)),"✗ 日期不是真日期（要像 2026/9/25 这样填）",IF(OR(B1390&lt;年初日,B1390&gt;年末日),"✗ 日期不在本会计年度",IF(C1390="","✗ 没选账户",IF(COUNTIF(基础资料!$W$5:$W$24,C1390)=0,"✗ 账户不在基础资料里",IF(O1390="","✗ 没选收支项目",IF(P1390="未知","✗ 收支项目不在基础资料里",IF(AND(P1390="应收",J1390=""),"✗ 这笔要选客户",IF(AND(P1390="应收",COUNTIF(总览汇总!$B$5:$B$304,J1390)=0),"✗ 客户不在总览汇总名单里",IF(AND(P1390="应付",K1390=""),"✗ 这笔要选供应商",IF(AND(P1390="应付",COUNTIF(基础资料!$Q$5:$Q$54,K1390)=0),"✗ 供应商不在基础资料里",IF(AND(P1390="费用",L1390=""),"✗ 费用支出要选费用项目",IF(AND(L1390&lt;&gt;"",COUNTIF(基础资料!$AI$5:$AI$54,L1390)=0),"✗ 费用项目不在基础资料里",IF(AND(IFERROR(INDEX(基础资料!$AD$5:$AD$34,MATCH(O1390,基础资料!$AC$5:$AC$34,0)),"")="收",N(G1390)&lt;&gt;0),"✗ 这类是收款，金额填到收入列",IF(AND(IFERROR(INDEX(基础资料!$AD$5:$AD$34,MATCH(O1390,基础资料!$AC$5:$AC$34,0)),"")="支",N(F1390)&lt;&gt;0),"✗ 这类是付款，金额填到支出列",IF(N(H1390)&lt;0,"⚠ 账户余额成负数了，核对一下","√"))))))))))))))))))</f>
      </c>
      <c r="O1390" s="78">
        <f>IF(D1390&lt;&gt;"",D1390,IF(AND(F1390="",G1390=""),"",IF(J1390&lt;&gt;"",IF(N(F1390)&gt;0,"客户回款","客户退款"),IF(K1390&lt;&gt;"",IF(N(G1390)&gt;0,"供应商付款","供应商退款"),IF(L1390&lt;&gt;"","费用支出","")))))</f>
      </c>
      <c r="P1390" s="78">
        <f>IF(O1390="","",IFERROR(INDEX(基础资料!$AE$5:$AE$34,MATCH(O1390,基础资料!$AC$5:$AC$34,0)),"未知"))</f>
      </c>
      <c r="Q1390" s="78">
        <f>IF(P1390="应收",COUNTIF(P$7:P1390,"应收"),"")</f>
      </c>
      <c r="R1390" s="78">
        <f>IF(P1390="应付",COUNTIF(P$7:P1390,"应付"),"")</f>
      </c>
      <c r="S1390" s="78">
        <f>N(F1390)-N(G1390)</f>
        <v>0</v>
      </c>
    </row>
    <row r="1391">
      <c r="A1391" s="109">
        <f>IF(AND(F1391="",G1391=""),"",ROW()-6)</f>
      </c>
      <c r="B1391" s="140" t="n"/>
      <c r="C1391" s="141" t="n"/>
      <c r="D1391" s="141" t="n"/>
      <c r="E1391" s="142" t="n"/>
      <c r="F1391" s="143" t="n"/>
      <c r="G1391" s="144" t="n"/>
      <c r="H1391" s="145">
        <f>IF(OR(C1391="",AND(F1391="",G1391="")),"",SUMIF(基础资料!$W$5:$W$24,C1391,基础资料!$X$5:$X$24)+SUMIF(C$7:C1391,C1391,F$7:F1391)-SUMIF(C$7:C1391,C1391,G$7:G1391))</f>
      </c>
      <c r="I1391" s="145">
        <f>IF(AND(F1391="",G1391=""),"",SUM(基础资料!$X$5:$X$24)+SUM(F$7:F1391)-SUM(G$7:G1391))</f>
      </c>
      <c r="J1391" s="141" t="n"/>
      <c r="K1391" s="141" t="n"/>
      <c r="L1391" s="141" t="n"/>
      <c r="M1391" s="142" t="n"/>
      <c r="N1391" s="146">
        <f>IF(AND(AND(F1391="",G1391=""),B1391="",C1391="",D1391="",J1391="",K1391="",L1391=""),"",IF(AND(F1391="",G1391=""),"✗ 没填金额",IF(AND(N(F1391)&lt;&gt;0,N(G1391)&lt;&gt;0),"✗ 收入、支出只能填一边",IF(NOT(ISNUMBER(B1391)),"✗ 日期不是真日期（要像 2026/9/25 这样填）",IF(OR(B1391&lt;年初日,B1391&gt;年末日),"✗ 日期不在本会计年度",IF(C1391="","✗ 没选账户",IF(COUNTIF(基础资料!$W$5:$W$24,C1391)=0,"✗ 账户不在基础资料里",IF(O1391="","✗ 没选收支项目",IF(P1391="未知","✗ 收支项目不在基础资料里",IF(AND(P1391="应收",J1391=""),"✗ 这笔要选客户",IF(AND(P1391="应收",COUNTIF(总览汇总!$B$5:$B$304,J1391)=0),"✗ 客户不在总览汇总名单里",IF(AND(P1391="应付",K1391=""),"✗ 这笔要选供应商",IF(AND(P1391="应付",COUNTIF(基础资料!$Q$5:$Q$54,K1391)=0),"✗ 供应商不在基础资料里",IF(AND(P1391="费用",L1391=""),"✗ 费用支出要选费用项目",IF(AND(L1391&lt;&gt;"",COUNTIF(基础资料!$AI$5:$AI$54,L1391)=0),"✗ 费用项目不在基础资料里",IF(AND(IFERROR(INDEX(基础资料!$AD$5:$AD$34,MATCH(O1391,基础资料!$AC$5:$AC$34,0)),"")="收",N(G1391)&lt;&gt;0),"✗ 这类是收款，金额填到收入列",IF(AND(IFERROR(INDEX(基础资料!$AD$5:$AD$34,MATCH(O1391,基础资料!$AC$5:$AC$34,0)),"")="支",N(F1391)&lt;&gt;0),"✗ 这类是付款，金额填到支出列",IF(N(H1391)&lt;0,"⚠ 账户余额成负数了，核对一下","√"))))))))))))))))))</f>
      </c>
      <c r="O1391" s="78">
        <f>IF(D1391&lt;&gt;"",D1391,IF(AND(F1391="",G1391=""),"",IF(J1391&lt;&gt;"",IF(N(F1391)&gt;0,"客户回款","客户退款"),IF(K1391&lt;&gt;"",IF(N(G1391)&gt;0,"供应商付款","供应商退款"),IF(L1391&lt;&gt;"","费用支出","")))))</f>
      </c>
      <c r="P1391" s="78">
        <f>IF(O1391="","",IFERROR(INDEX(基础资料!$AE$5:$AE$34,MATCH(O1391,基础资料!$AC$5:$AC$34,0)),"未知"))</f>
      </c>
      <c r="Q1391" s="78">
        <f>IF(P1391="应收",COUNTIF(P$7:P1391,"应收"),"")</f>
      </c>
      <c r="R1391" s="78">
        <f>IF(P1391="应付",COUNTIF(P$7:P1391,"应付"),"")</f>
      </c>
      <c r="S1391" s="78">
        <f>N(F1391)-N(G1391)</f>
        <v>0</v>
      </c>
    </row>
    <row r="1392">
      <c r="A1392" s="109">
        <f>IF(AND(F1392="",G1392=""),"",ROW()-6)</f>
      </c>
      <c r="B1392" s="140" t="n"/>
      <c r="C1392" s="141" t="n"/>
      <c r="D1392" s="141" t="n"/>
      <c r="E1392" s="142" t="n"/>
      <c r="F1392" s="143" t="n"/>
      <c r="G1392" s="144" t="n"/>
      <c r="H1392" s="145">
        <f>IF(OR(C1392="",AND(F1392="",G1392="")),"",SUMIF(基础资料!$W$5:$W$24,C1392,基础资料!$X$5:$X$24)+SUMIF(C$7:C1392,C1392,F$7:F1392)-SUMIF(C$7:C1392,C1392,G$7:G1392))</f>
      </c>
      <c r="I1392" s="145">
        <f>IF(AND(F1392="",G1392=""),"",SUM(基础资料!$X$5:$X$24)+SUM(F$7:F1392)-SUM(G$7:G1392))</f>
      </c>
      <c r="J1392" s="141" t="n"/>
      <c r="K1392" s="141" t="n"/>
      <c r="L1392" s="141" t="n"/>
      <c r="M1392" s="142" t="n"/>
      <c r="N1392" s="146">
        <f>IF(AND(AND(F1392="",G1392=""),B1392="",C1392="",D1392="",J1392="",K1392="",L1392=""),"",IF(AND(F1392="",G1392=""),"✗ 没填金额",IF(AND(N(F1392)&lt;&gt;0,N(G1392)&lt;&gt;0),"✗ 收入、支出只能填一边",IF(NOT(ISNUMBER(B1392)),"✗ 日期不是真日期（要像 2026/9/25 这样填）",IF(OR(B1392&lt;年初日,B1392&gt;年末日),"✗ 日期不在本会计年度",IF(C1392="","✗ 没选账户",IF(COUNTIF(基础资料!$W$5:$W$24,C1392)=0,"✗ 账户不在基础资料里",IF(O1392="","✗ 没选收支项目",IF(P1392="未知","✗ 收支项目不在基础资料里",IF(AND(P1392="应收",J1392=""),"✗ 这笔要选客户",IF(AND(P1392="应收",COUNTIF(总览汇总!$B$5:$B$304,J1392)=0),"✗ 客户不在总览汇总名单里",IF(AND(P1392="应付",K1392=""),"✗ 这笔要选供应商",IF(AND(P1392="应付",COUNTIF(基础资料!$Q$5:$Q$54,K1392)=0),"✗ 供应商不在基础资料里",IF(AND(P1392="费用",L1392=""),"✗ 费用支出要选费用项目",IF(AND(L1392&lt;&gt;"",COUNTIF(基础资料!$AI$5:$AI$54,L1392)=0),"✗ 费用项目不在基础资料里",IF(AND(IFERROR(INDEX(基础资料!$AD$5:$AD$34,MATCH(O1392,基础资料!$AC$5:$AC$34,0)),"")="收",N(G1392)&lt;&gt;0),"✗ 这类是收款，金额填到收入列",IF(AND(IFERROR(INDEX(基础资料!$AD$5:$AD$34,MATCH(O1392,基础资料!$AC$5:$AC$34,0)),"")="支",N(F1392)&lt;&gt;0),"✗ 这类是付款，金额填到支出列",IF(N(H1392)&lt;0,"⚠ 账户余额成负数了，核对一下","√"))))))))))))))))))</f>
      </c>
      <c r="O1392" s="78">
        <f>IF(D1392&lt;&gt;"",D1392,IF(AND(F1392="",G1392=""),"",IF(J1392&lt;&gt;"",IF(N(F1392)&gt;0,"客户回款","客户退款"),IF(K1392&lt;&gt;"",IF(N(G1392)&gt;0,"供应商付款","供应商退款"),IF(L1392&lt;&gt;"","费用支出","")))))</f>
      </c>
      <c r="P1392" s="78">
        <f>IF(O1392="","",IFERROR(INDEX(基础资料!$AE$5:$AE$34,MATCH(O1392,基础资料!$AC$5:$AC$34,0)),"未知"))</f>
      </c>
      <c r="Q1392" s="78">
        <f>IF(P1392="应收",COUNTIF(P$7:P1392,"应收"),"")</f>
      </c>
      <c r="R1392" s="78">
        <f>IF(P1392="应付",COUNTIF(P$7:P1392,"应付"),"")</f>
      </c>
      <c r="S1392" s="78">
        <f>N(F1392)-N(G1392)</f>
        <v>0</v>
      </c>
    </row>
    <row r="1393">
      <c r="A1393" s="109">
        <f>IF(AND(F1393="",G1393=""),"",ROW()-6)</f>
      </c>
      <c r="B1393" s="140" t="n"/>
      <c r="C1393" s="141" t="n"/>
      <c r="D1393" s="141" t="n"/>
      <c r="E1393" s="142" t="n"/>
      <c r="F1393" s="143" t="n"/>
      <c r="G1393" s="144" t="n"/>
      <c r="H1393" s="145">
        <f>IF(OR(C1393="",AND(F1393="",G1393="")),"",SUMIF(基础资料!$W$5:$W$24,C1393,基础资料!$X$5:$X$24)+SUMIF(C$7:C1393,C1393,F$7:F1393)-SUMIF(C$7:C1393,C1393,G$7:G1393))</f>
      </c>
      <c r="I1393" s="145">
        <f>IF(AND(F1393="",G1393=""),"",SUM(基础资料!$X$5:$X$24)+SUM(F$7:F1393)-SUM(G$7:G1393))</f>
      </c>
      <c r="J1393" s="141" t="n"/>
      <c r="K1393" s="141" t="n"/>
      <c r="L1393" s="141" t="n"/>
      <c r="M1393" s="142" t="n"/>
      <c r="N1393" s="146">
        <f>IF(AND(AND(F1393="",G1393=""),B1393="",C1393="",D1393="",J1393="",K1393="",L1393=""),"",IF(AND(F1393="",G1393=""),"✗ 没填金额",IF(AND(N(F1393)&lt;&gt;0,N(G1393)&lt;&gt;0),"✗ 收入、支出只能填一边",IF(NOT(ISNUMBER(B1393)),"✗ 日期不是真日期（要像 2026/9/25 这样填）",IF(OR(B1393&lt;年初日,B1393&gt;年末日),"✗ 日期不在本会计年度",IF(C1393="","✗ 没选账户",IF(COUNTIF(基础资料!$W$5:$W$24,C1393)=0,"✗ 账户不在基础资料里",IF(O1393="","✗ 没选收支项目",IF(P1393="未知","✗ 收支项目不在基础资料里",IF(AND(P1393="应收",J1393=""),"✗ 这笔要选客户",IF(AND(P1393="应收",COUNTIF(总览汇总!$B$5:$B$304,J1393)=0),"✗ 客户不在总览汇总名单里",IF(AND(P1393="应付",K1393=""),"✗ 这笔要选供应商",IF(AND(P1393="应付",COUNTIF(基础资料!$Q$5:$Q$54,K1393)=0),"✗ 供应商不在基础资料里",IF(AND(P1393="费用",L1393=""),"✗ 费用支出要选费用项目",IF(AND(L1393&lt;&gt;"",COUNTIF(基础资料!$AI$5:$AI$54,L1393)=0),"✗ 费用项目不在基础资料里",IF(AND(IFERROR(INDEX(基础资料!$AD$5:$AD$34,MATCH(O1393,基础资料!$AC$5:$AC$34,0)),"")="收",N(G1393)&lt;&gt;0),"✗ 这类是收款，金额填到收入列",IF(AND(IFERROR(INDEX(基础资料!$AD$5:$AD$34,MATCH(O1393,基础资料!$AC$5:$AC$34,0)),"")="支",N(F1393)&lt;&gt;0),"✗ 这类是付款，金额填到支出列",IF(N(H1393)&lt;0,"⚠ 账户余额成负数了，核对一下","√"))))))))))))))))))</f>
      </c>
      <c r="O1393" s="78">
        <f>IF(D1393&lt;&gt;"",D1393,IF(AND(F1393="",G1393=""),"",IF(J1393&lt;&gt;"",IF(N(F1393)&gt;0,"客户回款","客户退款"),IF(K1393&lt;&gt;"",IF(N(G1393)&gt;0,"供应商付款","供应商退款"),IF(L1393&lt;&gt;"","费用支出","")))))</f>
      </c>
      <c r="P1393" s="78">
        <f>IF(O1393="","",IFERROR(INDEX(基础资料!$AE$5:$AE$34,MATCH(O1393,基础资料!$AC$5:$AC$34,0)),"未知"))</f>
      </c>
      <c r="Q1393" s="78">
        <f>IF(P1393="应收",COUNTIF(P$7:P1393,"应收"),"")</f>
      </c>
      <c r="R1393" s="78">
        <f>IF(P1393="应付",COUNTIF(P$7:P1393,"应付"),"")</f>
      </c>
      <c r="S1393" s="78">
        <f>N(F1393)-N(G1393)</f>
        <v>0</v>
      </c>
    </row>
    <row r="1394">
      <c r="A1394" s="109">
        <f>IF(AND(F1394="",G1394=""),"",ROW()-6)</f>
      </c>
      <c r="B1394" s="140" t="n"/>
      <c r="C1394" s="141" t="n"/>
      <c r="D1394" s="141" t="n"/>
      <c r="E1394" s="142" t="n"/>
      <c r="F1394" s="143" t="n"/>
      <c r="G1394" s="144" t="n"/>
      <c r="H1394" s="145">
        <f>IF(OR(C1394="",AND(F1394="",G1394="")),"",SUMIF(基础资料!$W$5:$W$24,C1394,基础资料!$X$5:$X$24)+SUMIF(C$7:C1394,C1394,F$7:F1394)-SUMIF(C$7:C1394,C1394,G$7:G1394))</f>
      </c>
      <c r="I1394" s="145">
        <f>IF(AND(F1394="",G1394=""),"",SUM(基础资料!$X$5:$X$24)+SUM(F$7:F1394)-SUM(G$7:G1394))</f>
      </c>
      <c r="J1394" s="141" t="n"/>
      <c r="K1394" s="141" t="n"/>
      <c r="L1394" s="141" t="n"/>
      <c r="M1394" s="142" t="n"/>
      <c r="N1394" s="146">
        <f>IF(AND(AND(F1394="",G1394=""),B1394="",C1394="",D1394="",J1394="",K1394="",L1394=""),"",IF(AND(F1394="",G1394=""),"✗ 没填金额",IF(AND(N(F1394)&lt;&gt;0,N(G1394)&lt;&gt;0),"✗ 收入、支出只能填一边",IF(NOT(ISNUMBER(B1394)),"✗ 日期不是真日期（要像 2026/9/25 这样填）",IF(OR(B1394&lt;年初日,B1394&gt;年末日),"✗ 日期不在本会计年度",IF(C1394="","✗ 没选账户",IF(COUNTIF(基础资料!$W$5:$W$24,C1394)=0,"✗ 账户不在基础资料里",IF(O1394="","✗ 没选收支项目",IF(P1394="未知","✗ 收支项目不在基础资料里",IF(AND(P1394="应收",J1394=""),"✗ 这笔要选客户",IF(AND(P1394="应收",COUNTIF(总览汇总!$B$5:$B$304,J1394)=0),"✗ 客户不在总览汇总名单里",IF(AND(P1394="应付",K1394=""),"✗ 这笔要选供应商",IF(AND(P1394="应付",COUNTIF(基础资料!$Q$5:$Q$54,K1394)=0),"✗ 供应商不在基础资料里",IF(AND(P1394="费用",L1394=""),"✗ 费用支出要选费用项目",IF(AND(L1394&lt;&gt;"",COUNTIF(基础资料!$AI$5:$AI$54,L1394)=0),"✗ 费用项目不在基础资料里",IF(AND(IFERROR(INDEX(基础资料!$AD$5:$AD$34,MATCH(O1394,基础资料!$AC$5:$AC$34,0)),"")="收",N(G1394)&lt;&gt;0),"✗ 这类是收款，金额填到收入列",IF(AND(IFERROR(INDEX(基础资料!$AD$5:$AD$34,MATCH(O1394,基础资料!$AC$5:$AC$34,0)),"")="支",N(F1394)&lt;&gt;0),"✗ 这类是付款，金额填到支出列",IF(N(H1394)&lt;0,"⚠ 账户余额成负数了，核对一下","√"))))))))))))))))))</f>
      </c>
      <c r="O1394" s="78">
        <f>IF(D1394&lt;&gt;"",D1394,IF(AND(F1394="",G1394=""),"",IF(J1394&lt;&gt;"",IF(N(F1394)&gt;0,"客户回款","客户退款"),IF(K1394&lt;&gt;"",IF(N(G1394)&gt;0,"供应商付款","供应商退款"),IF(L1394&lt;&gt;"","费用支出","")))))</f>
      </c>
      <c r="P1394" s="78">
        <f>IF(O1394="","",IFERROR(INDEX(基础资料!$AE$5:$AE$34,MATCH(O1394,基础资料!$AC$5:$AC$34,0)),"未知"))</f>
      </c>
      <c r="Q1394" s="78">
        <f>IF(P1394="应收",COUNTIF(P$7:P1394,"应收"),"")</f>
      </c>
      <c r="R1394" s="78">
        <f>IF(P1394="应付",COUNTIF(P$7:P1394,"应付"),"")</f>
      </c>
      <c r="S1394" s="78">
        <f>N(F1394)-N(G1394)</f>
        <v>0</v>
      </c>
    </row>
    <row r="1395">
      <c r="A1395" s="109">
        <f>IF(AND(F1395="",G1395=""),"",ROW()-6)</f>
      </c>
      <c r="B1395" s="140" t="n"/>
      <c r="C1395" s="141" t="n"/>
      <c r="D1395" s="141" t="n"/>
      <c r="E1395" s="142" t="n"/>
      <c r="F1395" s="143" t="n"/>
      <c r="G1395" s="144" t="n"/>
      <c r="H1395" s="145">
        <f>IF(OR(C1395="",AND(F1395="",G1395="")),"",SUMIF(基础资料!$W$5:$W$24,C1395,基础资料!$X$5:$X$24)+SUMIF(C$7:C1395,C1395,F$7:F1395)-SUMIF(C$7:C1395,C1395,G$7:G1395))</f>
      </c>
      <c r="I1395" s="145">
        <f>IF(AND(F1395="",G1395=""),"",SUM(基础资料!$X$5:$X$24)+SUM(F$7:F1395)-SUM(G$7:G1395))</f>
      </c>
      <c r="J1395" s="141" t="n"/>
      <c r="K1395" s="141" t="n"/>
      <c r="L1395" s="141" t="n"/>
      <c r="M1395" s="142" t="n"/>
      <c r="N1395" s="146">
        <f>IF(AND(AND(F1395="",G1395=""),B1395="",C1395="",D1395="",J1395="",K1395="",L1395=""),"",IF(AND(F1395="",G1395=""),"✗ 没填金额",IF(AND(N(F1395)&lt;&gt;0,N(G1395)&lt;&gt;0),"✗ 收入、支出只能填一边",IF(NOT(ISNUMBER(B1395)),"✗ 日期不是真日期（要像 2026/9/25 这样填）",IF(OR(B1395&lt;年初日,B1395&gt;年末日),"✗ 日期不在本会计年度",IF(C1395="","✗ 没选账户",IF(COUNTIF(基础资料!$W$5:$W$24,C1395)=0,"✗ 账户不在基础资料里",IF(O1395="","✗ 没选收支项目",IF(P1395="未知","✗ 收支项目不在基础资料里",IF(AND(P1395="应收",J1395=""),"✗ 这笔要选客户",IF(AND(P1395="应收",COUNTIF(总览汇总!$B$5:$B$304,J1395)=0),"✗ 客户不在总览汇总名单里",IF(AND(P1395="应付",K1395=""),"✗ 这笔要选供应商",IF(AND(P1395="应付",COUNTIF(基础资料!$Q$5:$Q$54,K1395)=0),"✗ 供应商不在基础资料里",IF(AND(P1395="费用",L1395=""),"✗ 费用支出要选费用项目",IF(AND(L1395&lt;&gt;"",COUNTIF(基础资料!$AI$5:$AI$54,L1395)=0),"✗ 费用项目不在基础资料里",IF(AND(IFERROR(INDEX(基础资料!$AD$5:$AD$34,MATCH(O1395,基础资料!$AC$5:$AC$34,0)),"")="收",N(G1395)&lt;&gt;0),"✗ 这类是收款，金额填到收入列",IF(AND(IFERROR(INDEX(基础资料!$AD$5:$AD$34,MATCH(O1395,基础资料!$AC$5:$AC$34,0)),"")="支",N(F1395)&lt;&gt;0),"✗ 这类是付款，金额填到支出列",IF(N(H1395)&lt;0,"⚠ 账户余额成负数了，核对一下","√"))))))))))))))))))</f>
      </c>
      <c r="O1395" s="78">
        <f>IF(D1395&lt;&gt;"",D1395,IF(AND(F1395="",G1395=""),"",IF(J1395&lt;&gt;"",IF(N(F1395)&gt;0,"客户回款","客户退款"),IF(K1395&lt;&gt;"",IF(N(G1395)&gt;0,"供应商付款","供应商退款"),IF(L1395&lt;&gt;"","费用支出","")))))</f>
      </c>
      <c r="P1395" s="78">
        <f>IF(O1395="","",IFERROR(INDEX(基础资料!$AE$5:$AE$34,MATCH(O1395,基础资料!$AC$5:$AC$34,0)),"未知"))</f>
      </c>
      <c r="Q1395" s="78">
        <f>IF(P1395="应收",COUNTIF(P$7:P1395,"应收"),"")</f>
      </c>
      <c r="R1395" s="78">
        <f>IF(P1395="应付",COUNTIF(P$7:P1395,"应付"),"")</f>
      </c>
      <c r="S1395" s="78">
        <f>N(F1395)-N(G1395)</f>
        <v>0</v>
      </c>
    </row>
    <row r="1396">
      <c r="A1396" s="109">
        <f>IF(AND(F1396="",G1396=""),"",ROW()-6)</f>
      </c>
      <c r="B1396" s="140" t="n"/>
      <c r="C1396" s="141" t="n"/>
      <c r="D1396" s="141" t="n"/>
      <c r="E1396" s="142" t="n"/>
      <c r="F1396" s="143" t="n"/>
      <c r="G1396" s="144" t="n"/>
      <c r="H1396" s="145">
        <f>IF(OR(C1396="",AND(F1396="",G1396="")),"",SUMIF(基础资料!$W$5:$W$24,C1396,基础资料!$X$5:$X$24)+SUMIF(C$7:C1396,C1396,F$7:F1396)-SUMIF(C$7:C1396,C1396,G$7:G1396))</f>
      </c>
      <c r="I1396" s="145">
        <f>IF(AND(F1396="",G1396=""),"",SUM(基础资料!$X$5:$X$24)+SUM(F$7:F1396)-SUM(G$7:G1396))</f>
      </c>
      <c r="J1396" s="141" t="n"/>
      <c r="K1396" s="141" t="n"/>
      <c r="L1396" s="141" t="n"/>
      <c r="M1396" s="142" t="n"/>
      <c r="N1396" s="146">
        <f>IF(AND(AND(F1396="",G1396=""),B1396="",C1396="",D1396="",J1396="",K1396="",L1396=""),"",IF(AND(F1396="",G1396=""),"✗ 没填金额",IF(AND(N(F1396)&lt;&gt;0,N(G1396)&lt;&gt;0),"✗ 收入、支出只能填一边",IF(NOT(ISNUMBER(B1396)),"✗ 日期不是真日期（要像 2026/9/25 这样填）",IF(OR(B1396&lt;年初日,B1396&gt;年末日),"✗ 日期不在本会计年度",IF(C1396="","✗ 没选账户",IF(COUNTIF(基础资料!$W$5:$W$24,C1396)=0,"✗ 账户不在基础资料里",IF(O1396="","✗ 没选收支项目",IF(P1396="未知","✗ 收支项目不在基础资料里",IF(AND(P1396="应收",J1396=""),"✗ 这笔要选客户",IF(AND(P1396="应收",COUNTIF(总览汇总!$B$5:$B$304,J1396)=0),"✗ 客户不在总览汇总名单里",IF(AND(P1396="应付",K1396=""),"✗ 这笔要选供应商",IF(AND(P1396="应付",COUNTIF(基础资料!$Q$5:$Q$54,K1396)=0),"✗ 供应商不在基础资料里",IF(AND(P1396="费用",L1396=""),"✗ 费用支出要选费用项目",IF(AND(L1396&lt;&gt;"",COUNTIF(基础资料!$AI$5:$AI$54,L1396)=0),"✗ 费用项目不在基础资料里",IF(AND(IFERROR(INDEX(基础资料!$AD$5:$AD$34,MATCH(O1396,基础资料!$AC$5:$AC$34,0)),"")="收",N(G1396)&lt;&gt;0),"✗ 这类是收款，金额填到收入列",IF(AND(IFERROR(INDEX(基础资料!$AD$5:$AD$34,MATCH(O1396,基础资料!$AC$5:$AC$34,0)),"")="支",N(F1396)&lt;&gt;0),"✗ 这类是付款，金额填到支出列",IF(N(H1396)&lt;0,"⚠ 账户余额成负数了，核对一下","√"))))))))))))))))))</f>
      </c>
      <c r="O1396" s="78">
        <f>IF(D1396&lt;&gt;"",D1396,IF(AND(F1396="",G1396=""),"",IF(J1396&lt;&gt;"",IF(N(F1396)&gt;0,"客户回款","客户退款"),IF(K1396&lt;&gt;"",IF(N(G1396)&gt;0,"供应商付款","供应商退款"),IF(L1396&lt;&gt;"","费用支出","")))))</f>
      </c>
      <c r="P1396" s="78">
        <f>IF(O1396="","",IFERROR(INDEX(基础资料!$AE$5:$AE$34,MATCH(O1396,基础资料!$AC$5:$AC$34,0)),"未知"))</f>
      </c>
      <c r="Q1396" s="78">
        <f>IF(P1396="应收",COUNTIF(P$7:P1396,"应收"),"")</f>
      </c>
      <c r="R1396" s="78">
        <f>IF(P1396="应付",COUNTIF(P$7:P1396,"应付"),"")</f>
      </c>
      <c r="S1396" s="78">
        <f>N(F1396)-N(G1396)</f>
        <v>0</v>
      </c>
    </row>
    <row r="1397">
      <c r="A1397" s="109">
        <f>IF(AND(F1397="",G1397=""),"",ROW()-6)</f>
      </c>
      <c r="B1397" s="140" t="n"/>
      <c r="C1397" s="141" t="n"/>
      <c r="D1397" s="141" t="n"/>
      <c r="E1397" s="142" t="n"/>
      <c r="F1397" s="143" t="n"/>
      <c r="G1397" s="144" t="n"/>
      <c r="H1397" s="145">
        <f>IF(OR(C1397="",AND(F1397="",G1397="")),"",SUMIF(基础资料!$W$5:$W$24,C1397,基础资料!$X$5:$X$24)+SUMIF(C$7:C1397,C1397,F$7:F1397)-SUMIF(C$7:C1397,C1397,G$7:G1397))</f>
      </c>
      <c r="I1397" s="145">
        <f>IF(AND(F1397="",G1397=""),"",SUM(基础资料!$X$5:$X$24)+SUM(F$7:F1397)-SUM(G$7:G1397))</f>
      </c>
      <c r="J1397" s="141" t="n"/>
      <c r="K1397" s="141" t="n"/>
      <c r="L1397" s="141" t="n"/>
      <c r="M1397" s="142" t="n"/>
      <c r="N1397" s="146">
        <f>IF(AND(AND(F1397="",G1397=""),B1397="",C1397="",D1397="",J1397="",K1397="",L1397=""),"",IF(AND(F1397="",G1397=""),"✗ 没填金额",IF(AND(N(F1397)&lt;&gt;0,N(G1397)&lt;&gt;0),"✗ 收入、支出只能填一边",IF(NOT(ISNUMBER(B1397)),"✗ 日期不是真日期（要像 2026/9/25 这样填）",IF(OR(B1397&lt;年初日,B1397&gt;年末日),"✗ 日期不在本会计年度",IF(C1397="","✗ 没选账户",IF(COUNTIF(基础资料!$W$5:$W$24,C1397)=0,"✗ 账户不在基础资料里",IF(O1397="","✗ 没选收支项目",IF(P1397="未知","✗ 收支项目不在基础资料里",IF(AND(P1397="应收",J1397=""),"✗ 这笔要选客户",IF(AND(P1397="应收",COUNTIF(总览汇总!$B$5:$B$304,J1397)=0),"✗ 客户不在总览汇总名单里",IF(AND(P1397="应付",K1397=""),"✗ 这笔要选供应商",IF(AND(P1397="应付",COUNTIF(基础资料!$Q$5:$Q$54,K1397)=0),"✗ 供应商不在基础资料里",IF(AND(P1397="费用",L1397=""),"✗ 费用支出要选费用项目",IF(AND(L1397&lt;&gt;"",COUNTIF(基础资料!$AI$5:$AI$54,L1397)=0),"✗ 费用项目不在基础资料里",IF(AND(IFERROR(INDEX(基础资料!$AD$5:$AD$34,MATCH(O1397,基础资料!$AC$5:$AC$34,0)),"")="收",N(G1397)&lt;&gt;0),"✗ 这类是收款，金额填到收入列",IF(AND(IFERROR(INDEX(基础资料!$AD$5:$AD$34,MATCH(O1397,基础资料!$AC$5:$AC$34,0)),"")="支",N(F1397)&lt;&gt;0),"✗ 这类是付款，金额填到支出列",IF(N(H1397)&lt;0,"⚠ 账户余额成负数了，核对一下","√"))))))))))))))))))</f>
      </c>
      <c r="O1397" s="78">
        <f>IF(D1397&lt;&gt;"",D1397,IF(AND(F1397="",G1397=""),"",IF(J1397&lt;&gt;"",IF(N(F1397)&gt;0,"客户回款","客户退款"),IF(K1397&lt;&gt;"",IF(N(G1397)&gt;0,"供应商付款","供应商退款"),IF(L1397&lt;&gt;"","费用支出","")))))</f>
      </c>
      <c r="P1397" s="78">
        <f>IF(O1397="","",IFERROR(INDEX(基础资料!$AE$5:$AE$34,MATCH(O1397,基础资料!$AC$5:$AC$34,0)),"未知"))</f>
      </c>
      <c r="Q1397" s="78">
        <f>IF(P1397="应收",COUNTIF(P$7:P1397,"应收"),"")</f>
      </c>
      <c r="R1397" s="78">
        <f>IF(P1397="应付",COUNTIF(P$7:P1397,"应付"),"")</f>
      </c>
      <c r="S1397" s="78">
        <f>N(F1397)-N(G1397)</f>
        <v>0</v>
      </c>
    </row>
    <row r="1398">
      <c r="A1398" s="109">
        <f>IF(AND(F1398="",G1398=""),"",ROW()-6)</f>
      </c>
      <c r="B1398" s="140" t="n"/>
      <c r="C1398" s="141" t="n"/>
      <c r="D1398" s="141" t="n"/>
      <c r="E1398" s="142" t="n"/>
      <c r="F1398" s="143" t="n"/>
      <c r="G1398" s="144" t="n"/>
      <c r="H1398" s="145">
        <f>IF(OR(C1398="",AND(F1398="",G1398="")),"",SUMIF(基础资料!$W$5:$W$24,C1398,基础资料!$X$5:$X$24)+SUMIF(C$7:C1398,C1398,F$7:F1398)-SUMIF(C$7:C1398,C1398,G$7:G1398))</f>
      </c>
      <c r="I1398" s="145">
        <f>IF(AND(F1398="",G1398=""),"",SUM(基础资料!$X$5:$X$24)+SUM(F$7:F1398)-SUM(G$7:G1398))</f>
      </c>
      <c r="J1398" s="141" t="n"/>
      <c r="K1398" s="141" t="n"/>
      <c r="L1398" s="141" t="n"/>
      <c r="M1398" s="142" t="n"/>
      <c r="N1398" s="146">
        <f>IF(AND(AND(F1398="",G1398=""),B1398="",C1398="",D1398="",J1398="",K1398="",L1398=""),"",IF(AND(F1398="",G1398=""),"✗ 没填金额",IF(AND(N(F1398)&lt;&gt;0,N(G1398)&lt;&gt;0),"✗ 收入、支出只能填一边",IF(NOT(ISNUMBER(B1398)),"✗ 日期不是真日期（要像 2026/9/25 这样填）",IF(OR(B1398&lt;年初日,B1398&gt;年末日),"✗ 日期不在本会计年度",IF(C1398="","✗ 没选账户",IF(COUNTIF(基础资料!$W$5:$W$24,C1398)=0,"✗ 账户不在基础资料里",IF(O1398="","✗ 没选收支项目",IF(P1398="未知","✗ 收支项目不在基础资料里",IF(AND(P1398="应收",J1398=""),"✗ 这笔要选客户",IF(AND(P1398="应收",COUNTIF(总览汇总!$B$5:$B$304,J1398)=0),"✗ 客户不在总览汇总名单里",IF(AND(P1398="应付",K1398=""),"✗ 这笔要选供应商",IF(AND(P1398="应付",COUNTIF(基础资料!$Q$5:$Q$54,K1398)=0),"✗ 供应商不在基础资料里",IF(AND(P1398="费用",L1398=""),"✗ 费用支出要选费用项目",IF(AND(L1398&lt;&gt;"",COUNTIF(基础资料!$AI$5:$AI$54,L1398)=0),"✗ 费用项目不在基础资料里",IF(AND(IFERROR(INDEX(基础资料!$AD$5:$AD$34,MATCH(O1398,基础资料!$AC$5:$AC$34,0)),"")="收",N(G1398)&lt;&gt;0),"✗ 这类是收款，金额填到收入列",IF(AND(IFERROR(INDEX(基础资料!$AD$5:$AD$34,MATCH(O1398,基础资料!$AC$5:$AC$34,0)),"")="支",N(F1398)&lt;&gt;0),"✗ 这类是付款，金额填到支出列",IF(N(H1398)&lt;0,"⚠ 账户余额成负数了，核对一下","√"))))))))))))))))))</f>
      </c>
      <c r="O1398" s="78">
        <f>IF(D1398&lt;&gt;"",D1398,IF(AND(F1398="",G1398=""),"",IF(J1398&lt;&gt;"",IF(N(F1398)&gt;0,"客户回款","客户退款"),IF(K1398&lt;&gt;"",IF(N(G1398)&gt;0,"供应商付款","供应商退款"),IF(L1398&lt;&gt;"","费用支出","")))))</f>
      </c>
      <c r="P1398" s="78">
        <f>IF(O1398="","",IFERROR(INDEX(基础资料!$AE$5:$AE$34,MATCH(O1398,基础资料!$AC$5:$AC$34,0)),"未知"))</f>
      </c>
      <c r="Q1398" s="78">
        <f>IF(P1398="应收",COUNTIF(P$7:P1398,"应收"),"")</f>
      </c>
      <c r="R1398" s="78">
        <f>IF(P1398="应付",COUNTIF(P$7:P1398,"应付"),"")</f>
      </c>
      <c r="S1398" s="78">
        <f>N(F1398)-N(G1398)</f>
        <v>0</v>
      </c>
    </row>
    <row r="1399">
      <c r="A1399" s="109">
        <f>IF(AND(F1399="",G1399=""),"",ROW()-6)</f>
      </c>
      <c r="B1399" s="140" t="n"/>
      <c r="C1399" s="141" t="n"/>
      <c r="D1399" s="141" t="n"/>
      <c r="E1399" s="142" t="n"/>
      <c r="F1399" s="143" t="n"/>
      <c r="G1399" s="144" t="n"/>
      <c r="H1399" s="145">
        <f>IF(OR(C1399="",AND(F1399="",G1399="")),"",SUMIF(基础资料!$W$5:$W$24,C1399,基础资料!$X$5:$X$24)+SUMIF(C$7:C1399,C1399,F$7:F1399)-SUMIF(C$7:C1399,C1399,G$7:G1399))</f>
      </c>
      <c r="I1399" s="145">
        <f>IF(AND(F1399="",G1399=""),"",SUM(基础资料!$X$5:$X$24)+SUM(F$7:F1399)-SUM(G$7:G1399))</f>
      </c>
      <c r="J1399" s="141" t="n"/>
      <c r="K1399" s="141" t="n"/>
      <c r="L1399" s="141" t="n"/>
      <c r="M1399" s="142" t="n"/>
      <c r="N1399" s="146">
        <f>IF(AND(AND(F1399="",G1399=""),B1399="",C1399="",D1399="",J1399="",K1399="",L1399=""),"",IF(AND(F1399="",G1399=""),"✗ 没填金额",IF(AND(N(F1399)&lt;&gt;0,N(G1399)&lt;&gt;0),"✗ 收入、支出只能填一边",IF(NOT(ISNUMBER(B1399)),"✗ 日期不是真日期（要像 2026/9/25 这样填）",IF(OR(B1399&lt;年初日,B1399&gt;年末日),"✗ 日期不在本会计年度",IF(C1399="","✗ 没选账户",IF(COUNTIF(基础资料!$W$5:$W$24,C1399)=0,"✗ 账户不在基础资料里",IF(O1399="","✗ 没选收支项目",IF(P1399="未知","✗ 收支项目不在基础资料里",IF(AND(P1399="应收",J1399=""),"✗ 这笔要选客户",IF(AND(P1399="应收",COUNTIF(总览汇总!$B$5:$B$304,J1399)=0),"✗ 客户不在总览汇总名单里",IF(AND(P1399="应付",K1399=""),"✗ 这笔要选供应商",IF(AND(P1399="应付",COUNTIF(基础资料!$Q$5:$Q$54,K1399)=0),"✗ 供应商不在基础资料里",IF(AND(P1399="费用",L1399=""),"✗ 费用支出要选费用项目",IF(AND(L1399&lt;&gt;"",COUNTIF(基础资料!$AI$5:$AI$54,L1399)=0),"✗ 费用项目不在基础资料里",IF(AND(IFERROR(INDEX(基础资料!$AD$5:$AD$34,MATCH(O1399,基础资料!$AC$5:$AC$34,0)),"")="收",N(G1399)&lt;&gt;0),"✗ 这类是收款，金额填到收入列",IF(AND(IFERROR(INDEX(基础资料!$AD$5:$AD$34,MATCH(O1399,基础资料!$AC$5:$AC$34,0)),"")="支",N(F1399)&lt;&gt;0),"✗ 这类是付款，金额填到支出列",IF(N(H1399)&lt;0,"⚠ 账户余额成负数了，核对一下","√"))))))))))))))))))</f>
      </c>
      <c r="O1399" s="78">
        <f>IF(D1399&lt;&gt;"",D1399,IF(AND(F1399="",G1399=""),"",IF(J1399&lt;&gt;"",IF(N(F1399)&gt;0,"客户回款","客户退款"),IF(K1399&lt;&gt;"",IF(N(G1399)&gt;0,"供应商付款","供应商退款"),IF(L1399&lt;&gt;"","费用支出","")))))</f>
      </c>
      <c r="P1399" s="78">
        <f>IF(O1399="","",IFERROR(INDEX(基础资料!$AE$5:$AE$34,MATCH(O1399,基础资料!$AC$5:$AC$34,0)),"未知"))</f>
      </c>
      <c r="Q1399" s="78">
        <f>IF(P1399="应收",COUNTIF(P$7:P1399,"应收"),"")</f>
      </c>
      <c r="R1399" s="78">
        <f>IF(P1399="应付",COUNTIF(P$7:P1399,"应付"),"")</f>
      </c>
      <c r="S1399" s="78">
        <f>N(F1399)-N(G1399)</f>
        <v>0</v>
      </c>
    </row>
    <row r="1400">
      <c r="A1400" s="109">
        <f>IF(AND(F1400="",G1400=""),"",ROW()-6)</f>
      </c>
      <c r="B1400" s="140" t="n"/>
      <c r="C1400" s="141" t="n"/>
      <c r="D1400" s="141" t="n"/>
      <c r="E1400" s="142" t="n"/>
      <c r="F1400" s="143" t="n"/>
      <c r="G1400" s="144" t="n"/>
      <c r="H1400" s="145">
        <f>IF(OR(C1400="",AND(F1400="",G1400="")),"",SUMIF(基础资料!$W$5:$W$24,C1400,基础资料!$X$5:$X$24)+SUMIF(C$7:C1400,C1400,F$7:F1400)-SUMIF(C$7:C1400,C1400,G$7:G1400))</f>
      </c>
      <c r="I1400" s="145">
        <f>IF(AND(F1400="",G1400=""),"",SUM(基础资料!$X$5:$X$24)+SUM(F$7:F1400)-SUM(G$7:G1400))</f>
      </c>
      <c r="J1400" s="141" t="n"/>
      <c r="K1400" s="141" t="n"/>
      <c r="L1400" s="141" t="n"/>
      <c r="M1400" s="142" t="n"/>
      <c r="N1400" s="146">
        <f>IF(AND(AND(F1400="",G1400=""),B1400="",C1400="",D1400="",J1400="",K1400="",L1400=""),"",IF(AND(F1400="",G1400=""),"✗ 没填金额",IF(AND(N(F1400)&lt;&gt;0,N(G1400)&lt;&gt;0),"✗ 收入、支出只能填一边",IF(NOT(ISNUMBER(B1400)),"✗ 日期不是真日期（要像 2026/9/25 这样填）",IF(OR(B1400&lt;年初日,B1400&gt;年末日),"✗ 日期不在本会计年度",IF(C1400="","✗ 没选账户",IF(COUNTIF(基础资料!$W$5:$W$24,C1400)=0,"✗ 账户不在基础资料里",IF(O1400="","✗ 没选收支项目",IF(P1400="未知","✗ 收支项目不在基础资料里",IF(AND(P1400="应收",J1400=""),"✗ 这笔要选客户",IF(AND(P1400="应收",COUNTIF(总览汇总!$B$5:$B$304,J1400)=0),"✗ 客户不在总览汇总名单里",IF(AND(P1400="应付",K1400=""),"✗ 这笔要选供应商",IF(AND(P1400="应付",COUNTIF(基础资料!$Q$5:$Q$54,K1400)=0),"✗ 供应商不在基础资料里",IF(AND(P1400="费用",L1400=""),"✗ 费用支出要选费用项目",IF(AND(L1400&lt;&gt;"",COUNTIF(基础资料!$AI$5:$AI$54,L1400)=0),"✗ 费用项目不在基础资料里",IF(AND(IFERROR(INDEX(基础资料!$AD$5:$AD$34,MATCH(O1400,基础资料!$AC$5:$AC$34,0)),"")="收",N(G1400)&lt;&gt;0),"✗ 这类是收款，金额填到收入列",IF(AND(IFERROR(INDEX(基础资料!$AD$5:$AD$34,MATCH(O1400,基础资料!$AC$5:$AC$34,0)),"")="支",N(F1400)&lt;&gt;0),"✗ 这类是付款，金额填到支出列",IF(N(H1400)&lt;0,"⚠ 账户余额成负数了，核对一下","√"))))))))))))))))))</f>
      </c>
      <c r="O1400" s="78">
        <f>IF(D1400&lt;&gt;"",D1400,IF(AND(F1400="",G1400=""),"",IF(J1400&lt;&gt;"",IF(N(F1400)&gt;0,"客户回款","客户退款"),IF(K1400&lt;&gt;"",IF(N(G1400)&gt;0,"供应商付款","供应商退款"),IF(L1400&lt;&gt;"","费用支出","")))))</f>
      </c>
      <c r="P1400" s="78">
        <f>IF(O1400="","",IFERROR(INDEX(基础资料!$AE$5:$AE$34,MATCH(O1400,基础资料!$AC$5:$AC$34,0)),"未知"))</f>
      </c>
      <c r="Q1400" s="78">
        <f>IF(P1400="应收",COUNTIF(P$7:P1400,"应收"),"")</f>
      </c>
      <c r="R1400" s="78">
        <f>IF(P1400="应付",COUNTIF(P$7:P1400,"应付"),"")</f>
      </c>
      <c r="S1400" s="78">
        <f>N(F1400)-N(G1400)</f>
        <v>0</v>
      </c>
    </row>
    <row r="1401">
      <c r="A1401" s="109">
        <f>IF(AND(F1401="",G1401=""),"",ROW()-6)</f>
      </c>
      <c r="B1401" s="140" t="n"/>
      <c r="C1401" s="141" t="n"/>
      <c r="D1401" s="141" t="n"/>
      <c r="E1401" s="142" t="n"/>
      <c r="F1401" s="143" t="n"/>
      <c r="G1401" s="144" t="n"/>
      <c r="H1401" s="145">
        <f>IF(OR(C1401="",AND(F1401="",G1401="")),"",SUMIF(基础资料!$W$5:$W$24,C1401,基础资料!$X$5:$X$24)+SUMIF(C$7:C1401,C1401,F$7:F1401)-SUMIF(C$7:C1401,C1401,G$7:G1401))</f>
      </c>
      <c r="I1401" s="145">
        <f>IF(AND(F1401="",G1401=""),"",SUM(基础资料!$X$5:$X$24)+SUM(F$7:F1401)-SUM(G$7:G1401))</f>
      </c>
      <c r="J1401" s="141" t="n"/>
      <c r="K1401" s="141" t="n"/>
      <c r="L1401" s="141" t="n"/>
      <c r="M1401" s="142" t="n"/>
      <c r="N1401" s="146">
        <f>IF(AND(AND(F1401="",G1401=""),B1401="",C1401="",D1401="",J1401="",K1401="",L1401=""),"",IF(AND(F1401="",G1401=""),"✗ 没填金额",IF(AND(N(F1401)&lt;&gt;0,N(G1401)&lt;&gt;0),"✗ 收入、支出只能填一边",IF(NOT(ISNUMBER(B1401)),"✗ 日期不是真日期（要像 2026/9/25 这样填）",IF(OR(B1401&lt;年初日,B1401&gt;年末日),"✗ 日期不在本会计年度",IF(C1401="","✗ 没选账户",IF(COUNTIF(基础资料!$W$5:$W$24,C1401)=0,"✗ 账户不在基础资料里",IF(O1401="","✗ 没选收支项目",IF(P1401="未知","✗ 收支项目不在基础资料里",IF(AND(P1401="应收",J1401=""),"✗ 这笔要选客户",IF(AND(P1401="应收",COUNTIF(总览汇总!$B$5:$B$304,J1401)=0),"✗ 客户不在总览汇总名单里",IF(AND(P1401="应付",K1401=""),"✗ 这笔要选供应商",IF(AND(P1401="应付",COUNTIF(基础资料!$Q$5:$Q$54,K1401)=0),"✗ 供应商不在基础资料里",IF(AND(P1401="费用",L1401=""),"✗ 费用支出要选费用项目",IF(AND(L1401&lt;&gt;"",COUNTIF(基础资料!$AI$5:$AI$54,L1401)=0),"✗ 费用项目不在基础资料里",IF(AND(IFERROR(INDEX(基础资料!$AD$5:$AD$34,MATCH(O1401,基础资料!$AC$5:$AC$34,0)),"")="收",N(G1401)&lt;&gt;0),"✗ 这类是收款，金额填到收入列",IF(AND(IFERROR(INDEX(基础资料!$AD$5:$AD$34,MATCH(O1401,基础资料!$AC$5:$AC$34,0)),"")="支",N(F1401)&lt;&gt;0),"✗ 这类是付款，金额填到支出列",IF(N(H1401)&lt;0,"⚠ 账户余额成负数了，核对一下","√"))))))))))))))))))</f>
      </c>
      <c r="O1401" s="78">
        <f>IF(D1401&lt;&gt;"",D1401,IF(AND(F1401="",G1401=""),"",IF(J1401&lt;&gt;"",IF(N(F1401)&gt;0,"客户回款","客户退款"),IF(K1401&lt;&gt;"",IF(N(G1401)&gt;0,"供应商付款","供应商退款"),IF(L1401&lt;&gt;"","费用支出","")))))</f>
      </c>
      <c r="P1401" s="78">
        <f>IF(O1401="","",IFERROR(INDEX(基础资料!$AE$5:$AE$34,MATCH(O1401,基础资料!$AC$5:$AC$34,0)),"未知"))</f>
      </c>
      <c r="Q1401" s="78">
        <f>IF(P1401="应收",COUNTIF(P$7:P1401,"应收"),"")</f>
      </c>
      <c r="R1401" s="78">
        <f>IF(P1401="应付",COUNTIF(P$7:P1401,"应付"),"")</f>
      </c>
      <c r="S1401" s="78">
        <f>N(F1401)-N(G1401)</f>
        <v>0</v>
      </c>
    </row>
    <row r="1402">
      <c r="A1402" s="109">
        <f>IF(AND(F1402="",G1402=""),"",ROW()-6)</f>
      </c>
      <c r="B1402" s="140" t="n"/>
      <c r="C1402" s="141" t="n"/>
      <c r="D1402" s="141" t="n"/>
      <c r="E1402" s="142" t="n"/>
      <c r="F1402" s="143" t="n"/>
      <c r="G1402" s="144" t="n"/>
      <c r="H1402" s="145">
        <f>IF(OR(C1402="",AND(F1402="",G1402="")),"",SUMIF(基础资料!$W$5:$W$24,C1402,基础资料!$X$5:$X$24)+SUMIF(C$7:C1402,C1402,F$7:F1402)-SUMIF(C$7:C1402,C1402,G$7:G1402))</f>
      </c>
      <c r="I1402" s="145">
        <f>IF(AND(F1402="",G1402=""),"",SUM(基础资料!$X$5:$X$24)+SUM(F$7:F1402)-SUM(G$7:G1402))</f>
      </c>
      <c r="J1402" s="141" t="n"/>
      <c r="K1402" s="141" t="n"/>
      <c r="L1402" s="141" t="n"/>
      <c r="M1402" s="142" t="n"/>
      <c r="N1402" s="146">
        <f>IF(AND(AND(F1402="",G1402=""),B1402="",C1402="",D1402="",J1402="",K1402="",L1402=""),"",IF(AND(F1402="",G1402=""),"✗ 没填金额",IF(AND(N(F1402)&lt;&gt;0,N(G1402)&lt;&gt;0),"✗ 收入、支出只能填一边",IF(NOT(ISNUMBER(B1402)),"✗ 日期不是真日期（要像 2026/9/25 这样填）",IF(OR(B1402&lt;年初日,B1402&gt;年末日),"✗ 日期不在本会计年度",IF(C1402="","✗ 没选账户",IF(COUNTIF(基础资料!$W$5:$W$24,C1402)=0,"✗ 账户不在基础资料里",IF(O1402="","✗ 没选收支项目",IF(P1402="未知","✗ 收支项目不在基础资料里",IF(AND(P1402="应收",J1402=""),"✗ 这笔要选客户",IF(AND(P1402="应收",COUNTIF(总览汇总!$B$5:$B$304,J1402)=0),"✗ 客户不在总览汇总名单里",IF(AND(P1402="应付",K1402=""),"✗ 这笔要选供应商",IF(AND(P1402="应付",COUNTIF(基础资料!$Q$5:$Q$54,K1402)=0),"✗ 供应商不在基础资料里",IF(AND(P1402="费用",L1402=""),"✗ 费用支出要选费用项目",IF(AND(L1402&lt;&gt;"",COUNTIF(基础资料!$AI$5:$AI$54,L1402)=0),"✗ 费用项目不在基础资料里",IF(AND(IFERROR(INDEX(基础资料!$AD$5:$AD$34,MATCH(O1402,基础资料!$AC$5:$AC$34,0)),"")="收",N(G1402)&lt;&gt;0),"✗ 这类是收款，金额填到收入列",IF(AND(IFERROR(INDEX(基础资料!$AD$5:$AD$34,MATCH(O1402,基础资料!$AC$5:$AC$34,0)),"")="支",N(F1402)&lt;&gt;0),"✗ 这类是付款，金额填到支出列",IF(N(H1402)&lt;0,"⚠ 账户余额成负数了，核对一下","√"))))))))))))))))))</f>
      </c>
      <c r="O1402" s="78">
        <f>IF(D1402&lt;&gt;"",D1402,IF(AND(F1402="",G1402=""),"",IF(J1402&lt;&gt;"",IF(N(F1402)&gt;0,"客户回款","客户退款"),IF(K1402&lt;&gt;"",IF(N(G1402)&gt;0,"供应商付款","供应商退款"),IF(L1402&lt;&gt;"","费用支出","")))))</f>
      </c>
      <c r="P1402" s="78">
        <f>IF(O1402="","",IFERROR(INDEX(基础资料!$AE$5:$AE$34,MATCH(O1402,基础资料!$AC$5:$AC$34,0)),"未知"))</f>
      </c>
      <c r="Q1402" s="78">
        <f>IF(P1402="应收",COUNTIF(P$7:P1402,"应收"),"")</f>
      </c>
      <c r="R1402" s="78">
        <f>IF(P1402="应付",COUNTIF(P$7:P1402,"应付"),"")</f>
      </c>
      <c r="S1402" s="78">
        <f>N(F1402)-N(G1402)</f>
        <v>0</v>
      </c>
    </row>
    <row r="1403">
      <c r="A1403" s="109">
        <f>IF(AND(F1403="",G1403=""),"",ROW()-6)</f>
      </c>
      <c r="B1403" s="140" t="n"/>
      <c r="C1403" s="141" t="n"/>
      <c r="D1403" s="141" t="n"/>
      <c r="E1403" s="142" t="n"/>
      <c r="F1403" s="143" t="n"/>
      <c r="G1403" s="144" t="n"/>
      <c r="H1403" s="145">
        <f>IF(OR(C1403="",AND(F1403="",G1403="")),"",SUMIF(基础资料!$W$5:$W$24,C1403,基础资料!$X$5:$X$24)+SUMIF(C$7:C1403,C1403,F$7:F1403)-SUMIF(C$7:C1403,C1403,G$7:G1403))</f>
      </c>
      <c r="I1403" s="145">
        <f>IF(AND(F1403="",G1403=""),"",SUM(基础资料!$X$5:$X$24)+SUM(F$7:F1403)-SUM(G$7:G1403))</f>
      </c>
      <c r="J1403" s="141" t="n"/>
      <c r="K1403" s="141" t="n"/>
      <c r="L1403" s="141" t="n"/>
      <c r="M1403" s="142" t="n"/>
      <c r="N1403" s="146">
        <f>IF(AND(AND(F1403="",G1403=""),B1403="",C1403="",D1403="",J1403="",K1403="",L1403=""),"",IF(AND(F1403="",G1403=""),"✗ 没填金额",IF(AND(N(F1403)&lt;&gt;0,N(G1403)&lt;&gt;0),"✗ 收入、支出只能填一边",IF(NOT(ISNUMBER(B1403)),"✗ 日期不是真日期（要像 2026/9/25 这样填）",IF(OR(B1403&lt;年初日,B1403&gt;年末日),"✗ 日期不在本会计年度",IF(C1403="","✗ 没选账户",IF(COUNTIF(基础资料!$W$5:$W$24,C1403)=0,"✗ 账户不在基础资料里",IF(O1403="","✗ 没选收支项目",IF(P1403="未知","✗ 收支项目不在基础资料里",IF(AND(P1403="应收",J1403=""),"✗ 这笔要选客户",IF(AND(P1403="应收",COUNTIF(总览汇总!$B$5:$B$304,J1403)=0),"✗ 客户不在总览汇总名单里",IF(AND(P1403="应付",K1403=""),"✗ 这笔要选供应商",IF(AND(P1403="应付",COUNTIF(基础资料!$Q$5:$Q$54,K1403)=0),"✗ 供应商不在基础资料里",IF(AND(P1403="费用",L1403=""),"✗ 费用支出要选费用项目",IF(AND(L1403&lt;&gt;"",COUNTIF(基础资料!$AI$5:$AI$54,L1403)=0),"✗ 费用项目不在基础资料里",IF(AND(IFERROR(INDEX(基础资料!$AD$5:$AD$34,MATCH(O1403,基础资料!$AC$5:$AC$34,0)),"")="收",N(G1403)&lt;&gt;0),"✗ 这类是收款，金额填到收入列",IF(AND(IFERROR(INDEX(基础资料!$AD$5:$AD$34,MATCH(O1403,基础资料!$AC$5:$AC$34,0)),"")="支",N(F1403)&lt;&gt;0),"✗ 这类是付款，金额填到支出列",IF(N(H1403)&lt;0,"⚠ 账户余额成负数了，核对一下","√"))))))))))))))))))</f>
      </c>
      <c r="O1403" s="78">
        <f>IF(D1403&lt;&gt;"",D1403,IF(AND(F1403="",G1403=""),"",IF(J1403&lt;&gt;"",IF(N(F1403)&gt;0,"客户回款","客户退款"),IF(K1403&lt;&gt;"",IF(N(G1403)&gt;0,"供应商付款","供应商退款"),IF(L1403&lt;&gt;"","费用支出","")))))</f>
      </c>
      <c r="P1403" s="78">
        <f>IF(O1403="","",IFERROR(INDEX(基础资料!$AE$5:$AE$34,MATCH(O1403,基础资料!$AC$5:$AC$34,0)),"未知"))</f>
      </c>
      <c r="Q1403" s="78">
        <f>IF(P1403="应收",COUNTIF(P$7:P1403,"应收"),"")</f>
      </c>
      <c r="R1403" s="78">
        <f>IF(P1403="应付",COUNTIF(P$7:P1403,"应付"),"")</f>
      </c>
      <c r="S1403" s="78">
        <f>N(F1403)-N(G1403)</f>
        <v>0</v>
      </c>
    </row>
    <row r="1404">
      <c r="A1404" s="109">
        <f>IF(AND(F1404="",G1404=""),"",ROW()-6)</f>
      </c>
      <c r="B1404" s="140" t="n"/>
      <c r="C1404" s="141" t="n"/>
      <c r="D1404" s="141" t="n"/>
      <c r="E1404" s="142" t="n"/>
      <c r="F1404" s="143" t="n"/>
      <c r="G1404" s="144" t="n"/>
      <c r="H1404" s="145">
        <f>IF(OR(C1404="",AND(F1404="",G1404="")),"",SUMIF(基础资料!$W$5:$W$24,C1404,基础资料!$X$5:$X$24)+SUMIF(C$7:C1404,C1404,F$7:F1404)-SUMIF(C$7:C1404,C1404,G$7:G1404))</f>
      </c>
      <c r="I1404" s="145">
        <f>IF(AND(F1404="",G1404=""),"",SUM(基础资料!$X$5:$X$24)+SUM(F$7:F1404)-SUM(G$7:G1404))</f>
      </c>
      <c r="J1404" s="141" t="n"/>
      <c r="K1404" s="141" t="n"/>
      <c r="L1404" s="141" t="n"/>
      <c r="M1404" s="142" t="n"/>
      <c r="N1404" s="146">
        <f>IF(AND(AND(F1404="",G1404=""),B1404="",C1404="",D1404="",J1404="",K1404="",L1404=""),"",IF(AND(F1404="",G1404=""),"✗ 没填金额",IF(AND(N(F1404)&lt;&gt;0,N(G1404)&lt;&gt;0),"✗ 收入、支出只能填一边",IF(NOT(ISNUMBER(B1404)),"✗ 日期不是真日期（要像 2026/9/25 这样填）",IF(OR(B1404&lt;年初日,B1404&gt;年末日),"✗ 日期不在本会计年度",IF(C1404="","✗ 没选账户",IF(COUNTIF(基础资料!$W$5:$W$24,C1404)=0,"✗ 账户不在基础资料里",IF(O1404="","✗ 没选收支项目",IF(P1404="未知","✗ 收支项目不在基础资料里",IF(AND(P1404="应收",J1404=""),"✗ 这笔要选客户",IF(AND(P1404="应收",COUNTIF(总览汇总!$B$5:$B$304,J1404)=0),"✗ 客户不在总览汇总名单里",IF(AND(P1404="应付",K1404=""),"✗ 这笔要选供应商",IF(AND(P1404="应付",COUNTIF(基础资料!$Q$5:$Q$54,K1404)=0),"✗ 供应商不在基础资料里",IF(AND(P1404="费用",L1404=""),"✗ 费用支出要选费用项目",IF(AND(L1404&lt;&gt;"",COUNTIF(基础资料!$AI$5:$AI$54,L1404)=0),"✗ 费用项目不在基础资料里",IF(AND(IFERROR(INDEX(基础资料!$AD$5:$AD$34,MATCH(O1404,基础资料!$AC$5:$AC$34,0)),"")="收",N(G1404)&lt;&gt;0),"✗ 这类是收款，金额填到收入列",IF(AND(IFERROR(INDEX(基础资料!$AD$5:$AD$34,MATCH(O1404,基础资料!$AC$5:$AC$34,0)),"")="支",N(F1404)&lt;&gt;0),"✗ 这类是付款，金额填到支出列",IF(N(H1404)&lt;0,"⚠ 账户余额成负数了，核对一下","√"))))))))))))))))))</f>
      </c>
      <c r="O1404" s="78">
        <f>IF(D1404&lt;&gt;"",D1404,IF(AND(F1404="",G1404=""),"",IF(J1404&lt;&gt;"",IF(N(F1404)&gt;0,"客户回款","客户退款"),IF(K1404&lt;&gt;"",IF(N(G1404)&gt;0,"供应商付款","供应商退款"),IF(L1404&lt;&gt;"","费用支出","")))))</f>
      </c>
      <c r="P1404" s="78">
        <f>IF(O1404="","",IFERROR(INDEX(基础资料!$AE$5:$AE$34,MATCH(O1404,基础资料!$AC$5:$AC$34,0)),"未知"))</f>
      </c>
      <c r="Q1404" s="78">
        <f>IF(P1404="应收",COUNTIF(P$7:P1404,"应收"),"")</f>
      </c>
      <c r="R1404" s="78">
        <f>IF(P1404="应付",COUNTIF(P$7:P1404,"应付"),"")</f>
      </c>
      <c r="S1404" s="78">
        <f>N(F1404)-N(G1404)</f>
        <v>0</v>
      </c>
    </row>
    <row r="1405">
      <c r="A1405" s="109">
        <f>IF(AND(F1405="",G1405=""),"",ROW()-6)</f>
      </c>
      <c r="B1405" s="140" t="n"/>
      <c r="C1405" s="141" t="n"/>
      <c r="D1405" s="141" t="n"/>
      <c r="E1405" s="142" t="n"/>
      <c r="F1405" s="143" t="n"/>
      <c r="G1405" s="144" t="n"/>
      <c r="H1405" s="145">
        <f>IF(OR(C1405="",AND(F1405="",G1405="")),"",SUMIF(基础资料!$W$5:$W$24,C1405,基础资料!$X$5:$X$24)+SUMIF(C$7:C1405,C1405,F$7:F1405)-SUMIF(C$7:C1405,C1405,G$7:G1405))</f>
      </c>
      <c r="I1405" s="145">
        <f>IF(AND(F1405="",G1405=""),"",SUM(基础资料!$X$5:$X$24)+SUM(F$7:F1405)-SUM(G$7:G1405))</f>
      </c>
      <c r="J1405" s="141" t="n"/>
      <c r="K1405" s="141" t="n"/>
      <c r="L1405" s="141" t="n"/>
      <c r="M1405" s="142" t="n"/>
      <c r="N1405" s="146">
        <f>IF(AND(AND(F1405="",G1405=""),B1405="",C1405="",D1405="",J1405="",K1405="",L1405=""),"",IF(AND(F1405="",G1405=""),"✗ 没填金额",IF(AND(N(F1405)&lt;&gt;0,N(G1405)&lt;&gt;0),"✗ 收入、支出只能填一边",IF(NOT(ISNUMBER(B1405)),"✗ 日期不是真日期（要像 2026/9/25 这样填）",IF(OR(B1405&lt;年初日,B1405&gt;年末日),"✗ 日期不在本会计年度",IF(C1405="","✗ 没选账户",IF(COUNTIF(基础资料!$W$5:$W$24,C1405)=0,"✗ 账户不在基础资料里",IF(O1405="","✗ 没选收支项目",IF(P1405="未知","✗ 收支项目不在基础资料里",IF(AND(P1405="应收",J1405=""),"✗ 这笔要选客户",IF(AND(P1405="应收",COUNTIF(总览汇总!$B$5:$B$304,J1405)=0),"✗ 客户不在总览汇总名单里",IF(AND(P1405="应付",K1405=""),"✗ 这笔要选供应商",IF(AND(P1405="应付",COUNTIF(基础资料!$Q$5:$Q$54,K1405)=0),"✗ 供应商不在基础资料里",IF(AND(P1405="费用",L1405=""),"✗ 费用支出要选费用项目",IF(AND(L1405&lt;&gt;"",COUNTIF(基础资料!$AI$5:$AI$54,L1405)=0),"✗ 费用项目不在基础资料里",IF(AND(IFERROR(INDEX(基础资料!$AD$5:$AD$34,MATCH(O1405,基础资料!$AC$5:$AC$34,0)),"")="收",N(G1405)&lt;&gt;0),"✗ 这类是收款，金额填到收入列",IF(AND(IFERROR(INDEX(基础资料!$AD$5:$AD$34,MATCH(O1405,基础资料!$AC$5:$AC$34,0)),"")="支",N(F1405)&lt;&gt;0),"✗ 这类是付款，金额填到支出列",IF(N(H1405)&lt;0,"⚠ 账户余额成负数了，核对一下","√"))))))))))))))))))</f>
      </c>
      <c r="O1405" s="78">
        <f>IF(D1405&lt;&gt;"",D1405,IF(AND(F1405="",G1405=""),"",IF(J1405&lt;&gt;"",IF(N(F1405)&gt;0,"客户回款","客户退款"),IF(K1405&lt;&gt;"",IF(N(G1405)&gt;0,"供应商付款","供应商退款"),IF(L1405&lt;&gt;"","费用支出","")))))</f>
      </c>
      <c r="P1405" s="78">
        <f>IF(O1405="","",IFERROR(INDEX(基础资料!$AE$5:$AE$34,MATCH(O1405,基础资料!$AC$5:$AC$34,0)),"未知"))</f>
      </c>
      <c r="Q1405" s="78">
        <f>IF(P1405="应收",COUNTIF(P$7:P1405,"应收"),"")</f>
      </c>
      <c r="R1405" s="78">
        <f>IF(P1405="应付",COUNTIF(P$7:P1405,"应付"),"")</f>
      </c>
      <c r="S1405" s="78">
        <f>N(F1405)-N(G1405)</f>
        <v>0</v>
      </c>
    </row>
    <row r="1406">
      <c r="A1406" s="109">
        <f>IF(AND(F1406="",G1406=""),"",ROW()-6)</f>
      </c>
      <c r="B1406" s="140" t="n"/>
      <c r="C1406" s="141" t="n"/>
      <c r="D1406" s="141" t="n"/>
      <c r="E1406" s="142" t="n"/>
      <c r="F1406" s="143" t="n"/>
      <c r="G1406" s="144" t="n"/>
      <c r="H1406" s="145">
        <f>IF(OR(C1406="",AND(F1406="",G1406="")),"",SUMIF(基础资料!$W$5:$W$24,C1406,基础资料!$X$5:$X$24)+SUMIF(C$7:C1406,C1406,F$7:F1406)-SUMIF(C$7:C1406,C1406,G$7:G1406))</f>
      </c>
      <c r="I1406" s="145">
        <f>IF(AND(F1406="",G1406=""),"",SUM(基础资料!$X$5:$X$24)+SUM(F$7:F1406)-SUM(G$7:G1406))</f>
      </c>
      <c r="J1406" s="141" t="n"/>
      <c r="K1406" s="141" t="n"/>
      <c r="L1406" s="141" t="n"/>
      <c r="M1406" s="142" t="n"/>
      <c r="N1406" s="146">
        <f>IF(AND(AND(F1406="",G1406=""),B1406="",C1406="",D1406="",J1406="",K1406="",L1406=""),"",IF(AND(F1406="",G1406=""),"✗ 没填金额",IF(AND(N(F1406)&lt;&gt;0,N(G1406)&lt;&gt;0),"✗ 收入、支出只能填一边",IF(NOT(ISNUMBER(B1406)),"✗ 日期不是真日期（要像 2026/9/25 这样填）",IF(OR(B1406&lt;年初日,B1406&gt;年末日),"✗ 日期不在本会计年度",IF(C1406="","✗ 没选账户",IF(COUNTIF(基础资料!$W$5:$W$24,C1406)=0,"✗ 账户不在基础资料里",IF(O1406="","✗ 没选收支项目",IF(P1406="未知","✗ 收支项目不在基础资料里",IF(AND(P1406="应收",J1406=""),"✗ 这笔要选客户",IF(AND(P1406="应收",COUNTIF(总览汇总!$B$5:$B$304,J1406)=0),"✗ 客户不在总览汇总名单里",IF(AND(P1406="应付",K1406=""),"✗ 这笔要选供应商",IF(AND(P1406="应付",COUNTIF(基础资料!$Q$5:$Q$54,K1406)=0),"✗ 供应商不在基础资料里",IF(AND(P1406="费用",L1406=""),"✗ 费用支出要选费用项目",IF(AND(L1406&lt;&gt;"",COUNTIF(基础资料!$AI$5:$AI$54,L1406)=0),"✗ 费用项目不在基础资料里",IF(AND(IFERROR(INDEX(基础资料!$AD$5:$AD$34,MATCH(O1406,基础资料!$AC$5:$AC$34,0)),"")="收",N(G1406)&lt;&gt;0),"✗ 这类是收款，金额填到收入列",IF(AND(IFERROR(INDEX(基础资料!$AD$5:$AD$34,MATCH(O1406,基础资料!$AC$5:$AC$34,0)),"")="支",N(F1406)&lt;&gt;0),"✗ 这类是付款，金额填到支出列",IF(N(H1406)&lt;0,"⚠ 账户余额成负数了，核对一下","√"))))))))))))))))))</f>
      </c>
      <c r="O1406" s="78">
        <f>IF(D1406&lt;&gt;"",D1406,IF(AND(F1406="",G1406=""),"",IF(J1406&lt;&gt;"",IF(N(F1406)&gt;0,"客户回款","客户退款"),IF(K1406&lt;&gt;"",IF(N(G1406)&gt;0,"供应商付款","供应商退款"),IF(L1406&lt;&gt;"","费用支出","")))))</f>
      </c>
      <c r="P1406" s="78">
        <f>IF(O1406="","",IFERROR(INDEX(基础资料!$AE$5:$AE$34,MATCH(O1406,基础资料!$AC$5:$AC$34,0)),"未知"))</f>
      </c>
      <c r="Q1406" s="78">
        <f>IF(P1406="应收",COUNTIF(P$7:P1406,"应收"),"")</f>
      </c>
      <c r="R1406" s="78">
        <f>IF(P1406="应付",COUNTIF(P$7:P1406,"应付"),"")</f>
      </c>
      <c r="S1406" s="78">
        <f>N(F1406)-N(G1406)</f>
        <v>0</v>
      </c>
    </row>
    <row r="1407">
      <c r="A1407" s="109">
        <f>IF(AND(F1407="",G1407=""),"",ROW()-6)</f>
      </c>
      <c r="B1407" s="140" t="n"/>
      <c r="C1407" s="141" t="n"/>
      <c r="D1407" s="141" t="n"/>
      <c r="E1407" s="142" t="n"/>
      <c r="F1407" s="143" t="n"/>
      <c r="G1407" s="144" t="n"/>
      <c r="H1407" s="145">
        <f>IF(OR(C1407="",AND(F1407="",G1407="")),"",SUMIF(基础资料!$W$5:$W$24,C1407,基础资料!$X$5:$X$24)+SUMIF(C$7:C1407,C1407,F$7:F1407)-SUMIF(C$7:C1407,C1407,G$7:G1407))</f>
      </c>
      <c r="I1407" s="145">
        <f>IF(AND(F1407="",G1407=""),"",SUM(基础资料!$X$5:$X$24)+SUM(F$7:F1407)-SUM(G$7:G1407))</f>
      </c>
      <c r="J1407" s="141" t="n"/>
      <c r="K1407" s="141" t="n"/>
      <c r="L1407" s="141" t="n"/>
      <c r="M1407" s="142" t="n"/>
      <c r="N1407" s="146">
        <f>IF(AND(AND(F1407="",G1407=""),B1407="",C1407="",D1407="",J1407="",K1407="",L1407=""),"",IF(AND(F1407="",G1407=""),"✗ 没填金额",IF(AND(N(F1407)&lt;&gt;0,N(G1407)&lt;&gt;0),"✗ 收入、支出只能填一边",IF(NOT(ISNUMBER(B1407)),"✗ 日期不是真日期（要像 2026/9/25 这样填）",IF(OR(B1407&lt;年初日,B1407&gt;年末日),"✗ 日期不在本会计年度",IF(C1407="","✗ 没选账户",IF(COUNTIF(基础资料!$W$5:$W$24,C1407)=0,"✗ 账户不在基础资料里",IF(O1407="","✗ 没选收支项目",IF(P1407="未知","✗ 收支项目不在基础资料里",IF(AND(P1407="应收",J1407=""),"✗ 这笔要选客户",IF(AND(P1407="应收",COUNTIF(总览汇总!$B$5:$B$304,J1407)=0),"✗ 客户不在总览汇总名单里",IF(AND(P1407="应付",K1407=""),"✗ 这笔要选供应商",IF(AND(P1407="应付",COUNTIF(基础资料!$Q$5:$Q$54,K1407)=0),"✗ 供应商不在基础资料里",IF(AND(P1407="费用",L1407=""),"✗ 费用支出要选费用项目",IF(AND(L1407&lt;&gt;"",COUNTIF(基础资料!$AI$5:$AI$54,L1407)=0),"✗ 费用项目不在基础资料里",IF(AND(IFERROR(INDEX(基础资料!$AD$5:$AD$34,MATCH(O1407,基础资料!$AC$5:$AC$34,0)),"")="收",N(G1407)&lt;&gt;0),"✗ 这类是收款，金额填到收入列",IF(AND(IFERROR(INDEX(基础资料!$AD$5:$AD$34,MATCH(O1407,基础资料!$AC$5:$AC$34,0)),"")="支",N(F1407)&lt;&gt;0),"✗ 这类是付款，金额填到支出列",IF(N(H1407)&lt;0,"⚠ 账户余额成负数了，核对一下","√"))))))))))))))))))</f>
      </c>
      <c r="O1407" s="78">
        <f>IF(D1407&lt;&gt;"",D1407,IF(AND(F1407="",G1407=""),"",IF(J1407&lt;&gt;"",IF(N(F1407)&gt;0,"客户回款","客户退款"),IF(K1407&lt;&gt;"",IF(N(G1407)&gt;0,"供应商付款","供应商退款"),IF(L1407&lt;&gt;"","费用支出","")))))</f>
      </c>
      <c r="P1407" s="78">
        <f>IF(O1407="","",IFERROR(INDEX(基础资料!$AE$5:$AE$34,MATCH(O1407,基础资料!$AC$5:$AC$34,0)),"未知"))</f>
      </c>
      <c r="Q1407" s="78">
        <f>IF(P1407="应收",COUNTIF(P$7:P1407,"应收"),"")</f>
      </c>
      <c r="R1407" s="78">
        <f>IF(P1407="应付",COUNTIF(P$7:P1407,"应付"),"")</f>
      </c>
      <c r="S1407" s="78">
        <f>N(F1407)-N(G1407)</f>
        <v>0</v>
      </c>
    </row>
    <row r="1408">
      <c r="A1408" s="109">
        <f>IF(AND(F1408="",G1408=""),"",ROW()-6)</f>
      </c>
      <c r="B1408" s="140" t="n"/>
      <c r="C1408" s="141" t="n"/>
      <c r="D1408" s="141" t="n"/>
      <c r="E1408" s="142" t="n"/>
      <c r="F1408" s="143" t="n"/>
      <c r="G1408" s="144" t="n"/>
      <c r="H1408" s="145">
        <f>IF(OR(C1408="",AND(F1408="",G1408="")),"",SUMIF(基础资料!$W$5:$W$24,C1408,基础资料!$X$5:$X$24)+SUMIF(C$7:C1408,C1408,F$7:F1408)-SUMIF(C$7:C1408,C1408,G$7:G1408))</f>
      </c>
      <c r="I1408" s="145">
        <f>IF(AND(F1408="",G1408=""),"",SUM(基础资料!$X$5:$X$24)+SUM(F$7:F1408)-SUM(G$7:G1408))</f>
      </c>
      <c r="J1408" s="141" t="n"/>
      <c r="K1408" s="141" t="n"/>
      <c r="L1408" s="141" t="n"/>
      <c r="M1408" s="142" t="n"/>
      <c r="N1408" s="146">
        <f>IF(AND(AND(F1408="",G1408=""),B1408="",C1408="",D1408="",J1408="",K1408="",L1408=""),"",IF(AND(F1408="",G1408=""),"✗ 没填金额",IF(AND(N(F1408)&lt;&gt;0,N(G1408)&lt;&gt;0),"✗ 收入、支出只能填一边",IF(NOT(ISNUMBER(B1408)),"✗ 日期不是真日期（要像 2026/9/25 这样填）",IF(OR(B1408&lt;年初日,B1408&gt;年末日),"✗ 日期不在本会计年度",IF(C1408="","✗ 没选账户",IF(COUNTIF(基础资料!$W$5:$W$24,C1408)=0,"✗ 账户不在基础资料里",IF(O1408="","✗ 没选收支项目",IF(P1408="未知","✗ 收支项目不在基础资料里",IF(AND(P1408="应收",J1408=""),"✗ 这笔要选客户",IF(AND(P1408="应收",COUNTIF(总览汇总!$B$5:$B$304,J1408)=0),"✗ 客户不在总览汇总名单里",IF(AND(P1408="应付",K1408=""),"✗ 这笔要选供应商",IF(AND(P1408="应付",COUNTIF(基础资料!$Q$5:$Q$54,K1408)=0),"✗ 供应商不在基础资料里",IF(AND(P1408="费用",L1408=""),"✗ 费用支出要选费用项目",IF(AND(L1408&lt;&gt;"",COUNTIF(基础资料!$AI$5:$AI$54,L1408)=0),"✗ 费用项目不在基础资料里",IF(AND(IFERROR(INDEX(基础资料!$AD$5:$AD$34,MATCH(O1408,基础资料!$AC$5:$AC$34,0)),"")="收",N(G1408)&lt;&gt;0),"✗ 这类是收款，金额填到收入列",IF(AND(IFERROR(INDEX(基础资料!$AD$5:$AD$34,MATCH(O1408,基础资料!$AC$5:$AC$34,0)),"")="支",N(F1408)&lt;&gt;0),"✗ 这类是付款，金额填到支出列",IF(N(H1408)&lt;0,"⚠ 账户余额成负数了，核对一下","√"))))))))))))))))))</f>
      </c>
      <c r="O1408" s="78">
        <f>IF(D1408&lt;&gt;"",D1408,IF(AND(F1408="",G1408=""),"",IF(J1408&lt;&gt;"",IF(N(F1408)&gt;0,"客户回款","客户退款"),IF(K1408&lt;&gt;"",IF(N(G1408)&gt;0,"供应商付款","供应商退款"),IF(L1408&lt;&gt;"","费用支出","")))))</f>
      </c>
      <c r="P1408" s="78">
        <f>IF(O1408="","",IFERROR(INDEX(基础资料!$AE$5:$AE$34,MATCH(O1408,基础资料!$AC$5:$AC$34,0)),"未知"))</f>
      </c>
      <c r="Q1408" s="78">
        <f>IF(P1408="应收",COUNTIF(P$7:P1408,"应收"),"")</f>
      </c>
      <c r="R1408" s="78">
        <f>IF(P1408="应付",COUNTIF(P$7:P1408,"应付"),"")</f>
      </c>
      <c r="S1408" s="78">
        <f>N(F1408)-N(G1408)</f>
        <v>0</v>
      </c>
    </row>
    <row r="1409">
      <c r="A1409" s="109">
        <f>IF(AND(F1409="",G1409=""),"",ROW()-6)</f>
      </c>
      <c r="B1409" s="140" t="n"/>
      <c r="C1409" s="141" t="n"/>
      <c r="D1409" s="141" t="n"/>
      <c r="E1409" s="142" t="n"/>
      <c r="F1409" s="143" t="n"/>
      <c r="G1409" s="144" t="n"/>
      <c r="H1409" s="145">
        <f>IF(OR(C1409="",AND(F1409="",G1409="")),"",SUMIF(基础资料!$W$5:$W$24,C1409,基础资料!$X$5:$X$24)+SUMIF(C$7:C1409,C1409,F$7:F1409)-SUMIF(C$7:C1409,C1409,G$7:G1409))</f>
      </c>
      <c r="I1409" s="145">
        <f>IF(AND(F1409="",G1409=""),"",SUM(基础资料!$X$5:$X$24)+SUM(F$7:F1409)-SUM(G$7:G1409))</f>
      </c>
      <c r="J1409" s="141" t="n"/>
      <c r="K1409" s="141" t="n"/>
      <c r="L1409" s="141" t="n"/>
      <c r="M1409" s="142" t="n"/>
      <c r="N1409" s="146">
        <f>IF(AND(AND(F1409="",G1409=""),B1409="",C1409="",D1409="",J1409="",K1409="",L1409=""),"",IF(AND(F1409="",G1409=""),"✗ 没填金额",IF(AND(N(F1409)&lt;&gt;0,N(G1409)&lt;&gt;0),"✗ 收入、支出只能填一边",IF(NOT(ISNUMBER(B1409)),"✗ 日期不是真日期（要像 2026/9/25 这样填）",IF(OR(B1409&lt;年初日,B1409&gt;年末日),"✗ 日期不在本会计年度",IF(C1409="","✗ 没选账户",IF(COUNTIF(基础资料!$W$5:$W$24,C1409)=0,"✗ 账户不在基础资料里",IF(O1409="","✗ 没选收支项目",IF(P1409="未知","✗ 收支项目不在基础资料里",IF(AND(P1409="应收",J1409=""),"✗ 这笔要选客户",IF(AND(P1409="应收",COUNTIF(总览汇总!$B$5:$B$304,J1409)=0),"✗ 客户不在总览汇总名单里",IF(AND(P1409="应付",K1409=""),"✗ 这笔要选供应商",IF(AND(P1409="应付",COUNTIF(基础资料!$Q$5:$Q$54,K1409)=0),"✗ 供应商不在基础资料里",IF(AND(P1409="费用",L1409=""),"✗ 费用支出要选费用项目",IF(AND(L1409&lt;&gt;"",COUNTIF(基础资料!$AI$5:$AI$54,L1409)=0),"✗ 费用项目不在基础资料里",IF(AND(IFERROR(INDEX(基础资料!$AD$5:$AD$34,MATCH(O1409,基础资料!$AC$5:$AC$34,0)),"")="收",N(G1409)&lt;&gt;0),"✗ 这类是收款，金额填到收入列",IF(AND(IFERROR(INDEX(基础资料!$AD$5:$AD$34,MATCH(O1409,基础资料!$AC$5:$AC$34,0)),"")="支",N(F1409)&lt;&gt;0),"✗ 这类是付款，金额填到支出列",IF(N(H1409)&lt;0,"⚠ 账户余额成负数了，核对一下","√"))))))))))))))))))</f>
      </c>
      <c r="O1409" s="78">
        <f>IF(D1409&lt;&gt;"",D1409,IF(AND(F1409="",G1409=""),"",IF(J1409&lt;&gt;"",IF(N(F1409)&gt;0,"客户回款","客户退款"),IF(K1409&lt;&gt;"",IF(N(G1409)&gt;0,"供应商付款","供应商退款"),IF(L1409&lt;&gt;"","费用支出","")))))</f>
      </c>
      <c r="P1409" s="78">
        <f>IF(O1409="","",IFERROR(INDEX(基础资料!$AE$5:$AE$34,MATCH(O1409,基础资料!$AC$5:$AC$34,0)),"未知"))</f>
      </c>
      <c r="Q1409" s="78">
        <f>IF(P1409="应收",COUNTIF(P$7:P1409,"应收"),"")</f>
      </c>
      <c r="R1409" s="78">
        <f>IF(P1409="应付",COUNTIF(P$7:P1409,"应付"),"")</f>
      </c>
      <c r="S1409" s="78">
        <f>N(F1409)-N(G1409)</f>
        <v>0</v>
      </c>
    </row>
    <row r="1410">
      <c r="A1410" s="109">
        <f>IF(AND(F1410="",G1410=""),"",ROW()-6)</f>
      </c>
      <c r="B1410" s="140" t="n"/>
      <c r="C1410" s="141" t="n"/>
      <c r="D1410" s="141" t="n"/>
      <c r="E1410" s="142" t="n"/>
      <c r="F1410" s="143" t="n"/>
      <c r="G1410" s="144" t="n"/>
      <c r="H1410" s="145">
        <f>IF(OR(C1410="",AND(F1410="",G1410="")),"",SUMIF(基础资料!$W$5:$W$24,C1410,基础资料!$X$5:$X$24)+SUMIF(C$7:C1410,C1410,F$7:F1410)-SUMIF(C$7:C1410,C1410,G$7:G1410))</f>
      </c>
      <c r="I1410" s="145">
        <f>IF(AND(F1410="",G1410=""),"",SUM(基础资料!$X$5:$X$24)+SUM(F$7:F1410)-SUM(G$7:G1410))</f>
      </c>
      <c r="J1410" s="141" t="n"/>
      <c r="K1410" s="141" t="n"/>
      <c r="L1410" s="141" t="n"/>
      <c r="M1410" s="142" t="n"/>
      <c r="N1410" s="146">
        <f>IF(AND(AND(F1410="",G1410=""),B1410="",C1410="",D1410="",J1410="",K1410="",L1410=""),"",IF(AND(F1410="",G1410=""),"✗ 没填金额",IF(AND(N(F1410)&lt;&gt;0,N(G1410)&lt;&gt;0),"✗ 收入、支出只能填一边",IF(NOT(ISNUMBER(B1410)),"✗ 日期不是真日期（要像 2026/9/25 这样填）",IF(OR(B1410&lt;年初日,B1410&gt;年末日),"✗ 日期不在本会计年度",IF(C1410="","✗ 没选账户",IF(COUNTIF(基础资料!$W$5:$W$24,C1410)=0,"✗ 账户不在基础资料里",IF(O1410="","✗ 没选收支项目",IF(P1410="未知","✗ 收支项目不在基础资料里",IF(AND(P1410="应收",J1410=""),"✗ 这笔要选客户",IF(AND(P1410="应收",COUNTIF(总览汇总!$B$5:$B$304,J1410)=0),"✗ 客户不在总览汇总名单里",IF(AND(P1410="应付",K1410=""),"✗ 这笔要选供应商",IF(AND(P1410="应付",COUNTIF(基础资料!$Q$5:$Q$54,K1410)=0),"✗ 供应商不在基础资料里",IF(AND(P1410="费用",L1410=""),"✗ 费用支出要选费用项目",IF(AND(L1410&lt;&gt;"",COUNTIF(基础资料!$AI$5:$AI$54,L1410)=0),"✗ 费用项目不在基础资料里",IF(AND(IFERROR(INDEX(基础资料!$AD$5:$AD$34,MATCH(O1410,基础资料!$AC$5:$AC$34,0)),"")="收",N(G1410)&lt;&gt;0),"✗ 这类是收款，金额填到收入列",IF(AND(IFERROR(INDEX(基础资料!$AD$5:$AD$34,MATCH(O1410,基础资料!$AC$5:$AC$34,0)),"")="支",N(F1410)&lt;&gt;0),"✗ 这类是付款，金额填到支出列",IF(N(H1410)&lt;0,"⚠ 账户余额成负数了，核对一下","√"))))))))))))))))))</f>
      </c>
      <c r="O1410" s="78">
        <f>IF(D1410&lt;&gt;"",D1410,IF(AND(F1410="",G1410=""),"",IF(J1410&lt;&gt;"",IF(N(F1410)&gt;0,"客户回款","客户退款"),IF(K1410&lt;&gt;"",IF(N(G1410)&gt;0,"供应商付款","供应商退款"),IF(L1410&lt;&gt;"","费用支出","")))))</f>
      </c>
      <c r="P1410" s="78">
        <f>IF(O1410="","",IFERROR(INDEX(基础资料!$AE$5:$AE$34,MATCH(O1410,基础资料!$AC$5:$AC$34,0)),"未知"))</f>
      </c>
      <c r="Q1410" s="78">
        <f>IF(P1410="应收",COUNTIF(P$7:P1410,"应收"),"")</f>
      </c>
      <c r="R1410" s="78">
        <f>IF(P1410="应付",COUNTIF(P$7:P1410,"应付"),"")</f>
      </c>
      <c r="S1410" s="78">
        <f>N(F1410)-N(G1410)</f>
        <v>0</v>
      </c>
    </row>
    <row r="1411">
      <c r="A1411" s="109">
        <f>IF(AND(F1411="",G1411=""),"",ROW()-6)</f>
      </c>
      <c r="B1411" s="140" t="n"/>
      <c r="C1411" s="141" t="n"/>
      <c r="D1411" s="141" t="n"/>
      <c r="E1411" s="142" t="n"/>
      <c r="F1411" s="143" t="n"/>
      <c r="G1411" s="144" t="n"/>
      <c r="H1411" s="145">
        <f>IF(OR(C1411="",AND(F1411="",G1411="")),"",SUMIF(基础资料!$W$5:$W$24,C1411,基础资料!$X$5:$X$24)+SUMIF(C$7:C1411,C1411,F$7:F1411)-SUMIF(C$7:C1411,C1411,G$7:G1411))</f>
      </c>
      <c r="I1411" s="145">
        <f>IF(AND(F1411="",G1411=""),"",SUM(基础资料!$X$5:$X$24)+SUM(F$7:F1411)-SUM(G$7:G1411))</f>
      </c>
      <c r="J1411" s="141" t="n"/>
      <c r="K1411" s="141" t="n"/>
      <c r="L1411" s="141" t="n"/>
      <c r="M1411" s="142" t="n"/>
      <c r="N1411" s="146">
        <f>IF(AND(AND(F1411="",G1411=""),B1411="",C1411="",D1411="",J1411="",K1411="",L1411=""),"",IF(AND(F1411="",G1411=""),"✗ 没填金额",IF(AND(N(F1411)&lt;&gt;0,N(G1411)&lt;&gt;0),"✗ 收入、支出只能填一边",IF(NOT(ISNUMBER(B1411)),"✗ 日期不是真日期（要像 2026/9/25 这样填）",IF(OR(B1411&lt;年初日,B1411&gt;年末日),"✗ 日期不在本会计年度",IF(C1411="","✗ 没选账户",IF(COUNTIF(基础资料!$W$5:$W$24,C1411)=0,"✗ 账户不在基础资料里",IF(O1411="","✗ 没选收支项目",IF(P1411="未知","✗ 收支项目不在基础资料里",IF(AND(P1411="应收",J1411=""),"✗ 这笔要选客户",IF(AND(P1411="应收",COUNTIF(总览汇总!$B$5:$B$304,J1411)=0),"✗ 客户不在总览汇总名单里",IF(AND(P1411="应付",K1411=""),"✗ 这笔要选供应商",IF(AND(P1411="应付",COUNTIF(基础资料!$Q$5:$Q$54,K1411)=0),"✗ 供应商不在基础资料里",IF(AND(P1411="费用",L1411=""),"✗ 费用支出要选费用项目",IF(AND(L1411&lt;&gt;"",COUNTIF(基础资料!$AI$5:$AI$54,L1411)=0),"✗ 费用项目不在基础资料里",IF(AND(IFERROR(INDEX(基础资料!$AD$5:$AD$34,MATCH(O1411,基础资料!$AC$5:$AC$34,0)),"")="收",N(G1411)&lt;&gt;0),"✗ 这类是收款，金额填到收入列",IF(AND(IFERROR(INDEX(基础资料!$AD$5:$AD$34,MATCH(O1411,基础资料!$AC$5:$AC$34,0)),"")="支",N(F1411)&lt;&gt;0),"✗ 这类是付款，金额填到支出列",IF(N(H1411)&lt;0,"⚠ 账户余额成负数了，核对一下","√"))))))))))))))))))</f>
      </c>
      <c r="O1411" s="78">
        <f>IF(D1411&lt;&gt;"",D1411,IF(AND(F1411="",G1411=""),"",IF(J1411&lt;&gt;"",IF(N(F1411)&gt;0,"客户回款","客户退款"),IF(K1411&lt;&gt;"",IF(N(G1411)&gt;0,"供应商付款","供应商退款"),IF(L1411&lt;&gt;"","费用支出","")))))</f>
      </c>
      <c r="P1411" s="78">
        <f>IF(O1411="","",IFERROR(INDEX(基础资料!$AE$5:$AE$34,MATCH(O1411,基础资料!$AC$5:$AC$34,0)),"未知"))</f>
      </c>
      <c r="Q1411" s="78">
        <f>IF(P1411="应收",COUNTIF(P$7:P1411,"应收"),"")</f>
      </c>
      <c r="R1411" s="78">
        <f>IF(P1411="应付",COUNTIF(P$7:P1411,"应付"),"")</f>
      </c>
      <c r="S1411" s="78">
        <f>N(F1411)-N(G1411)</f>
        <v>0</v>
      </c>
    </row>
    <row r="1412">
      <c r="A1412" s="109">
        <f>IF(AND(F1412="",G1412=""),"",ROW()-6)</f>
      </c>
      <c r="B1412" s="140" t="n"/>
      <c r="C1412" s="141" t="n"/>
      <c r="D1412" s="141" t="n"/>
      <c r="E1412" s="142" t="n"/>
      <c r="F1412" s="143" t="n"/>
      <c r="G1412" s="144" t="n"/>
      <c r="H1412" s="145">
        <f>IF(OR(C1412="",AND(F1412="",G1412="")),"",SUMIF(基础资料!$W$5:$W$24,C1412,基础资料!$X$5:$X$24)+SUMIF(C$7:C1412,C1412,F$7:F1412)-SUMIF(C$7:C1412,C1412,G$7:G1412))</f>
      </c>
      <c r="I1412" s="145">
        <f>IF(AND(F1412="",G1412=""),"",SUM(基础资料!$X$5:$X$24)+SUM(F$7:F1412)-SUM(G$7:G1412))</f>
      </c>
      <c r="J1412" s="141" t="n"/>
      <c r="K1412" s="141" t="n"/>
      <c r="L1412" s="141" t="n"/>
      <c r="M1412" s="142" t="n"/>
      <c r="N1412" s="146">
        <f>IF(AND(AND(F1412="",G1412=""),B1412="",C1412="",D1412="",J1412="",K1412="",L1412=""),"",IF(AND(F1412="",G1412=""),"✗ 没填金额",IF(AND(N(F1412)&lt;&gt;0,N(G1412)&lt;&gt;0),"✗ 收入、支出只能填一边",IF(NOT(ISNUMBER(B1412)),"✗ 日期不是真日期（要像 2026/9/25 这样填）",IF(OR(B1412&lt;年初日,B1412&gt;年末日),"✗ 日期不在本会计年度",IF(C1412="","✗ 没选账户",IF(COUNTIF(基础资料!$W$5:$W$24,C1412)=0,"✗ 账户不在基础资料里",IF(O1412="","✗ 没选收支项目",IF(P1412="未知","✗ 收支项目不在基础资料里",IF(AND(P1412="应收",J1412=""),"✗ 这笔要选客户",IF(AND(P1412="应收",COUNTIF(总览汇总!$B$5:$B$304,J1412)=0),"✗ 客户不在总览汇总名单里",IF(AND(P1412="应付",K1412=""),"✗ 这笔要选供应商",IF(AND(P1412="应付",COUNTIF(基础资料!$Q$5:$Q$54,K1412)=0),"✗ 供应商不在基础资料里",IF(AND(P1412="费用",L1412=""),"✗ 费用支出要选费用项目",IF(AND(L1412&lt;&gt;"",COUNTIF(基础资料!$AI$5:$AI$54,L1412)=0),"✗ 费用项目不在基础资料里",IF(AND(IFERROR(INDEX(基础资料!$AD$5:$AD$34,MATCH(O1412,基础资料!$AC$5:$AC$34,0)),"")="收",N(G1412)&lt;&gt;0),"✗ 这类是收款，金额填到收入列",IF(AND(IFERROR(INDEX(基础资料!$AD$5:$AD$34,MATCH(O1412,基础资料!$AC$5:$AC$34,0)),"")="支",N(F1412)&lt;&gt;0),"✗ 这类是付款，金额填到支出列",IF(N(H1412)&lt;0,"⚠ 账户余额成负数了，核对一下","√"))))))))))))))))))</f>
      </c>
      <c r="O1412" s="78">
        <f>IF(D1412&lt;&gt;"",D1412,IF(AND(F1412="",G1412=""),"",IF(J1412&lt;&gt;"",IF(N(F1412)&gt;0,"客户回款","客户退款"),IF(K1412&lt;&gt;"",IF(N(G1412)&gt;0,"供应商付款","供应商退款"),IF(L1412&lt;&gt;"","费用支出","")))))</f>
      </c>
      <c r="P1412" s="78">
        <f>IF(O1412="","",IFERROR(INDEX(基础资料!$AE$5:$AE$34,MATCH(O1412,基础资料!$AC$5:$AC$34,0)),"未知"))</f>
      </c>
      <c r="Q1412" s="78">
        <f>IF(P1412="应收",COUNTIF(P$7:P1412,"应收"),"")</f>
      </c>
      <c r="R1412" s="78">
        <f>IF(P1412="应付",COUNTIF(P$7:P1412,"应付"),"")</f>
      </c>
      <c r="S1412" s="78">
        <f>N(F1412)-N(G1412)</f>
        <v>0</v>
      </c>
    </row>
    <row r="1413">
      <c r="A1413" s="109">
        <f>IF(AND(F1413="",G1413=""),"",ROW()-6)</f>
      </c>
      <c r="B1413" s="140" t="n"/>
      <c r="C1413" s="141" t="n"/>
      <c r="D1413" s="141" t="n"/>
      <c r="E1413" s="142" t="n"/>
      <c r="F1413" s="143" t="n"/>
      <c r="G1413" s="144" t="n"/>
      <c r="H1413" s="145">
        <f>IF(OR(C1413="",AND(F1413="",G1413="")),"",SUMIF(基础资料!$W$5:$W$24,C1413,基础资料!$X$5:$X$24)+SUMIF(C$7:C1413,C1413,F$7:F1413)-SUMIF(C$7:C1413,C1413,G$7:G1413))</f>
      </c>
      <c r="I1413" s="145">
        <f>IF(AND(F1413="",G1413=""),"",SUM(基础资料!$X$5:$X$24)+SUM(F$7:F1413)-SUM(G$7:G1413))</f>
      </c>
      <c r="J1413" s="141" t="n"/>
      <c r="K1413" s="141" t="n"/>
      <c r="L1413" s="141" t="n"/>
      <c r="M1413" s="142" t="n"/>
      <c r="N1413" s="146">
        <f>IF(AND(AND(F1413="",G1413=""),B1413="",C1413="",D1413="",J1413="",K1413="",L1413=""),"",IF(AND(F1413="",G1413=""),"✗ 没填金额",IF(AND(N(F1413)&lt;&gt;0,N(G1413)&lt;&gt;0),"✗ 收入、支出只能填一边",IF(NOT(ISNUMBER(B1413)),"✗ 日期不是真日期（要像 2026/9/25 这样填）",IF(OR(B1413&lt;年初日,B1413&gt;年末日),"✗ 日期不在本会计年度",IF(C1413="","✗ 没选账户",IF(COUNTIF(基础资料!$W$5:$W$24,C1413)=0,"✗ 账户不在基础资料里",IF(O1413="","✗ 没选收支项目",IF(P1413="未知","✗ 收支项目不在基础资料里",IF(AND(P1413="应收",J1413=""),"✗ 这笔要选客户",IF(AND(P1413="应收",COUNTIF(总览汇总!$B$5:$B$304,J1413)=0),"✗ 客户不在总览汇总名单里",IF(AND(P1413="应付",K1413=""),"✗ 这笔要选供应商",IF(AND(P1413="应付",COUNTIF(基础资料!$Q$5:$Q$54,K1413)=0),"✗ 供应商不在基础资料里",IF(AND(P1413="费用",L1413=""),"✗ 费用支出要选费用项目",IF(AND(L1413&lt;&gt;"",COUNTIF(基础资料!$AI$5:$AI$54,L1413)=0),"✗ 费用项目不在基础资料里",IF(AND(IFERROR(INDEX(基础资料!$AD$5:$AD$34,MATCH(O1413,基础资料!$AC$5:$AC$34,0)),"")="收",N(G1413)&lt;&gt;0),"✗ 这类是收款，金额填到收入列",IF(AND(IFERROR(INDEX(基础资料!$AD$5:$AD$34,MATCH(O1413,基础资料!$AC$5:$AC$34,0)),"")="支",N(F1413)&lt;&gt;0),"✗ 这类是付款，金额填到支出列",IF(N(H1413)&lt;0,"⚠ 账户余额成负数了，核对一下","√"))))))))))))))))))</f>
      </c>
      <c r="O1413" s="78">
        <f>IF(D1413&lt;&gt;"",D1413,IF(AND(F1413="",G1413=""),"",IF(J1413&lt;&gt;"",IF(N(F1413)&gt;0,"客户回款","客户退款"),IF(K1413&lt;&gt;"",IF(N(G1413)&gt;0,"供应商付款","供应商退款"),IF(L1413&lt;&gt;"","费用支出","")))))</f>
      </c>
      <c r="P1413" s="78">
        <f>IF(O1413="","",IFERROR(INDEX(基础资料!$AE$5:$AE$34,MATCH(O1413,基础资料!$AC$5:$AC$34,0)),"未知"))</f>
      </c>
      <c r="Q1413" s="78">
        <f>IF(P1413="应收",COUNTIF(P$7:P1413,"应收"),"")</f>
      </c>
      <c r="R1413" s="78">
        <f>IF(P1413="应付",COUNTIF(P$7:P1413,"应付"),"")</f>
      </c>
      <c r="S1413" s="78">
        <f>N(F1413)-N(G1413)</f>
        <v>0</v>
      </c>
    </row>
    <row r="1414">
      <c r="A1414" s="109">
        <f>IF(AND(F1414="",G1414=""),"",ROW()-6)</f>
      </c>
      <c r="B1414" s="140" t="n"/>
      <c r="C1414" s="141" t="n"/>
      <c r="D1414" s="141" t="n"/>
      <c r="E1414" s="142" t="n"/>
      <c r="F1414" s="143" t="n"/>
      <c r="G1414" s="144" t="n"/>
      <c r="H1414" s="145">
        <f>IF(OR(C1414="",AND(F1414="",G1414="")),"",SUMIF(基础资料!$W$5:$W$24,C1414,基础资料!$X$5:$X$24)+SUMIF(C$7:C1414,C1414,F$7:F1414)-SUMIF(C$7:C1414,C1414,G$7:G1414))</f>
      </c>
      <c r="I1414" s="145">
        <f>IF(AND(F1414="",G1414=""),"",SUM(基础资料!$X$5:$X$24)+SUM(F$7:F1414)-SUM(G$7:G1414))</f>
      </c>
      <c r="J1414" s="141" t="n"/>
      <c r="K1414" s="141" t="n"/>
      <c r="L1414" s="141" t="n"/>
      <c r="M1414" s="142" t="n"/>
      <c r="N1414" s="146">
        <f>IF(AND(AND(F1414="",G1414=""),B1414="",C1414="",D1414="",J1414="",K1414="",L1414=""),"",IF(AND(F1414="",G1414=""),"✗ 没填金额",IF(AND(N(F1414)&lt;&gt;0,N(G1414)&lt;&gt;0),"✗ 收入、支出只能填一边",IF(NOT(ISNUMBER(B1414)),"✗ 日期不是真日期（要像 2026/9/25 这样填）",IF(OR(B1414&lt;年初日,B1414&gt;年末日),"✗ 日期不在本会计年度",IF(C1414="","✗ 没选账户",IF(COUNTIF(基础资料!$W$5:$W$24,C1414)=0,"✗ 账户不在基础资料里",IF(O1414="","✗ 没选收支项目",IF(P1414="未知","✗ 收支项目不在基础资料里",IF(AND(P1414="应收",J1414=""),"✗ 这笔要选客户",IF(AND(P1414="应收",COUNTIF(总览汇总!$B$5:$B$304,J1414)=0),"✗ 客户不在总览汇总名单里",IF(AND(P1414="应付",K1414=""),"✗ 这笔要选供应商",IF(AND(P1414="应付",COUNTIF(基础资料!$Q$5:$Q$54,K1414)=0),"✗ 供应商不在基础资料里",IF(AND(P1414="费用",L1414=""),"✗ 费用支出要选费用项目",IF(AND(L1414&lt;&gt;"",COUNTIF(基础资料!$AI$5:$AI$54,L1414)=0),"✗ 费用项目不在基础资料里",IF(AND(IFERROR(INDEX(基础资料!$AD$5:$AD$34,MATCH(O1414,基础资料!$AC$5:$AC$34,0)),"")="收",N(G1414)&lt;&gt;0),"✗ 这类是收款，金额填到收入列",IF(AND(IFERROR(INDEX(基础资料!$AD$5:$AD$34,MATCH(O1414,基础资料!$AC$5:$AC$34,0)),"")="支",N(F1414)&lt;&gt;0),"✗ 这类是付款，金额填到支出列",IF(N(H1414)&lt;0,"⚠ 账户余额成负数了，核对一下","√"))))))))))))))))))</f>
      </c>
      <c r="O1414" s="78">
        <f>IF(D1414&lt;&gt;"",D1414,IF(AND(F1414="",G1414=""),"",IF(J1414&lt;&gt;"",IF(N(F1414)&gt;0,"客户回款","客户退款"),IF(K1414&lt;&gt;"",IF(N(G1414)&gt;0,"供应商付款","供应商退款"),IF(L1414&lt;&gt;"","费用支出","")))))</f>
      </c>
      <c r="P1414" s="78">
        <f>IF(O1414="","",IFERROR(INDEX(基础资料!$AE$5:$AE$34,MATCH(O1414,基础资料!$AC$5:$AC$34,0)),"未知"))</f>
      </c>
      <c r="Q1414" s="78">
        <f>IF(P1414="应收",COUNTIF(P$7:P1414,"应收"),"")</f>
      </c>
      <c r="R1414" s="78">
        <f>IF(P1414="应付",COUNTIF(P$7:P1414,"应付"),"")</f>
      </c>
      <c r="S1414" s="78">
        <f>N(F1414)-N(G1414)</f>
        <v>0</v>
      </c>
    </row>
    <row r="1415">
      <c r="A1415" s="109">
        <f>IF(AND(F1415="",G1415=""),"",ROW()-6)</f>
      </c>
      <c r="B1415" s="140" t="n"/>
      <c r="C1415" s="141" t="n"/>
      <c r="D1415" s="141" t="n"/>
      <c r="E1415" s="142" t="n"/>
      <c r="F1415" s="143" t="n"/>
      <c r="G1415" s="144" t="n"/>
      <c r="H1415" s="145">
        <f>IF(OR(C1415="",AND(F1415="",G1415="")),"",SUMIF(基础资料!$W$5:$W$24,C1415,基础资料!$X$5:$X$24)+SUMIF(C$7:C1415,C1415,F$7:F1415)-SUMIF(C$7:C1415,C1415,G$7:G1415))</f>
      </c>
      <c r="I1415" s="145">
        <f>IF(AND(F1415="",G1415=""),"",SUM(基础资料!$X$5:$X$24)+SUM(F$7:F1415)-SUM(G$7:G1415))</f>
      </c>
      <c r="J1415" s="141" t="n"/>
      <c r="K1415" s="141" t="n"/>
      <c r="L1415" s="141" t="n"/>
      <c r="M1415" s="142" t="n"/>
      <c r="N1415" s="146">
        <f>IF(AND(AND(F1415="",G1415=""),B1415="",C1415="",D1415="",J1415="",K1415="",L1415=""),"",IF(AND(F1415="",G1415=""),"✗ 没填金额",IF(AND(N(F1415)&lt;&gt;0,N(G1415)&lt;&gt;0),"✗ 收入、支出只能填一边",IF(NOT(ISNUMBER(B1415)),"✗ 日期不是真日期（要像 2026/9/25 这样填）",IF(OR(B1415&lt;年初日,B1415&gt;年末日),"✗ 日期不在本会计年度",IF(C1415="","✗ 没选账户",IF(COUNTIF(基础资料!$W$5:$W$24,C1415)=0,"✗ 账户不在基础资料里",IF(O1415="","✗ 没选收支项目",IF(P1415="未知","✗ 收支项目不在基础资料里",IF(AND(P1415="应收",J1415=""),"✗ 这笔要选客户",IF(AND(P1415="应收",COUNTIF(总览汇总!$B$5:$B$304,J1415)=0),"✗ 客户不在总览汇总名单里",IF(AND(P1415="应付",K1415=""),"✗ 这笔要选供应商",IF(AND(P1415="应付",COUNTIF(基础资料!$Q$5:$Q$54,K1415)=0),"✗ 供应商不在基础资料里",IF(AND(P1415="费用",L1415=""),"✗ 费用支出要选费用项目",IF(AND(L1415&lt;&gt;"",COUNTIF(基础资料!$AI$5:$AI$54,L1415)=0),"✗ 费用项目不在基础资料里",IF(AND(IFERROR(INDEX(基础资料!$AD$5:$AD$34,MATCH(O1415,基础资料!$AC$5:$AC$34,0)),"")="收",N(G1415)&lt;&gt;0),"✗ 这类是收款，金额填到收入列",IF(AND(IFERROR(INDEX(基础资料!$AD$5:$AD$34,MATCH(O1415,基础资料!$AC$5:$AC$34,0)),"")="支",N(F1415)&lt;&gt;0),"✗ 这类是付款，金额填到支出列",IF(N(H1415)&lt;0,"⚠ 账户余额成负数了，核对一下","√"))))))))))))))))))</f>
      </c>
      <c r="O1415" s="78">
        <f>IF(D1415&lt;&gt;"",D1415,IF(AND(F1415="",G1415=""),"",IF(J1415&lt;&gt;"",IF(N(F1415)&gt;0,"客户回款","客户退款"),IF(K1415&lt;&gt;"",IF(N(G1415)&gt;0,"供应商付款","供应商退款"),IF(L1415&lt;&gt;"","费用支出","")))))</f>
      </c>
      <c r="P1415" s="78">
        <f>IF(O1415="","",IFERROR(INDEX(基础资料!$AE$5:$AE$34,MATCH(O1415,基础资料!$AC$5:$AC$34,0)),"未知"))</f>
      </c>
      <c r="Q1415" s="78">
        <f>IF(P1415="应收",COUNTIF(P$7:P1415,"应收"),"")</f>
      </c>
      <c r="R1415" s="78">
        <f>IF(P1415="应付",COUNTIF(P$7:P1415,"应付"),"")</f>
      </c>
      <c r="S1415" s="78">
        <f>N(F1415)-N(G1415)</f>
        <v>0</v>
      </c>
    </row>
    <row r="1416">
      <c r="A1416" s="109">
        <f>IF(AND(F1416="",G1416=""),"",ROW()-6)</f>
      </c>
      <c r="B1416" s="140" t="n"/>
      <c r="C1416" s="141" t="n"/>
      <c r="D1416" s="141" t="n"/>
      <c r="E1416" s="142" t="n"/>
      <c r="F1416" s="143" t="n"/>
      <c r="G1416" s="144" t="n"/>
      <c r="H1416" s="145">
        <f>IF(OR(C1416="",AND(F1416="",G1416="")),"",SUMIF(基础资料!$W$5:$W$24,C1416,基础资料!$X$5:$X$24)+SUMIF(C$7:C1416,C1416,F$7:F1416)-SUMIF(C$7:C1416,C1416,G$7:G1416))</f>
      </c>
      <c r="I1416" s="145">
        <f>IF(AND(F1416="",G1416=""),"",SUM(基础资料!$X$5:$X$24)+SUM(F$7:F1416)-SUM(G$7:G1416))</f>
      </c>
      <c r="J1416" s="141" t="n"/>
      <c r="K1416" s="141" t="n"/>
      <c r="L1416" s="141" t="n"/>
      <c r="M1416" s="142" t="n"/>
      <c r="N1416" s="146">
        <f>IF(AND(AND(F1416="",G1416=""),B1416="",C1416="",D1416="",J1416="",K1416="",L1416=""),"",IF(AND(F1416="",G1416=""),"✗ 没填金额",IF(AND(N(F1416)&lt;&gt;0,N(G1416)&lt;&gt;0),"✗ 收入、支出只能填一边",IF(NOT(ISNUMBER(B1416)),"✗ 日期不是真日期（要像 2026/9/25 这样填）",IF(OR(B1416&lt;年初日,B1416&gt;年末日),"✗ 日期不在本会计年度",IF(C1416="","✗ 没选账户",IF(COUNTIF(基础资料!$W$5:$W$24,C1416)=0,"✗ 账户不在基础资料里",IF(O1416="","✗ 没选收支项目",IF(P1416="未知","✗ 收支项目不在基础资料里",IF(AND(P1416="应收",J1416=""),"✗ 这笔要选客户",IF(AND(P1416="应收",COUNTIF(总览汇总!$B$5:$B$304,J1416)=0),"✗ 客户不在总览汇总名单里",IF(AND(P1416="应付",K1416=""),"✗ 这笔要选供应商",IF(AND(P1416="应付",COUNTIF(基础资料!$Q$5:$Q$54,K1416)=0),"✗ 供应商不在基础资料里",IF(AND(P1416="费用",L1416=""),"✗ 费用支出要选费用项目",IF(AND(L1416&lt;&gt;"",COUNTIF(基础资料!$AI$5:$AI$54,L1416)=0),"✗ 费用项目不在基础资料里",IF(AND(IFERROR(INDEX(基础资料!$AD$5:$AD$34,MATCH(O1416,基础资料!$AC$5:$AC$34,0)),"")="收",N(G1416)&lt;&gt;0),"✗ 这类是收款，金额填到收入列",IF(AND(IFERROR(INDEX(基础资料!$AD$5:$AD$34,MATCH(O1416,基础资料!$AC$5:$AC$34,0)),"")="支",N(F1416)&lt;&gt;0),"✗ 这类是付款，金额填到支出列",IF(N(H1416)&lt;0,"⚠ 账户余额成负数了，核对一下","√"))))))))))))))))))</f>
      </c>
      <c r="O1416" s="78">
        <f>IF(D1416&lt;&gt;"",D1416,IF(AND(F1416="",G1416=""),"",IF(J1416&lt;&gt;"",IF(N(F1416)&gt;0,"客户回款","客户退款"),IF(K1416&lt;&gt;"",IF(N(G1416)&gt;0,"供应商付款","供应商退款"),IF(L1416&lt;&gt;"","费用支出","")))))</f>
      </c>
      <c r="P1416" s="78">
        <f>IF(O1416="","",IFERROR(INDEX(基础资料!$AE$5:$AE$34,MATCH(O1416,基础资料!$AC$5:$AC$34,0)),"未知"))</f>
      </c>
      <c r="Q1416" s="78">
        <f>IF(P1416="应收",COUNTIF(P$7:P1416,"应收"),"")</f>
      </c>
      <c r="R1416" s="78">
        <f>IF(P1416="应付",COUNTIF(P$7:P1416,"应付"),"")</f>
      </c>
      <c r="S1416" s="78">
        <f>N(F1416)-N(G1416)</f>
        <v>0</v>
      </c>
    </row>
    <row r="1417">
      <c r="A1417" s="109">
        <f>IF(AND(F1417="",G1417=""),"",ROW()-6)</f>
      </c>
      <c r="B1417" s="140" t="n"/>
      <c r="C1417" s="141" t="n"/>
      <c r="D1417" s="141" t="n"/>
      <c r="E1417" s="142" t="n"/>
      <c r="F1417" s="143" t="n"/>
      <c r="G1417" s="144" t="n"/>
      <c r="H1417" s="145">
        <f>IF(OR(C1417="",AND(F1417="",G1417="")),"",SUMIF(基础资料!$W$5:$W$24,C1417,基础资料!$X$5:$X$24)+SUMIF(C$7:C1417,C1417,F$7:F1417)-SUMIF(C$7:C1417,C1417,G$7:G1417))</f>
      </c>
      <c r="I1417" s="145">
        <f>IF(AND(F1417="",G1417=""),"",SUM(基础资料!$X$5:$X$24)+SUM(F$7:F1417)-SUM(G$7:G1417))</f>
      </c>
      <c r="J1417" s="141" t="n"/>
      <c r="K1417" s="141" t="n"/>
      <c r="L1417" s="141" t="n"/>
      <c r="M1417" s="142" t="n"/>
      <c r="N1417" s="146">
        <f>IF(AND(AND(F1417="",G1417=""),B1417="",C1417="",D1417="",J1417="",K1417="",L1417=""),"",IF(AND(F1417="",G1417=""),"✗ 没填金额",IF(AND(N(F1417)&lt;&gt;0,N(G1417)&lt;&gt;0),"✗ 收入、支出只能填一边",IF(NOT(ISNUMBER(B1417)),"✗ 日期不是真日期（要像 2026/9/25 这样填）",IF(OR(B1417&lt;年初日,B1417&gt;年末日),"✗ 日期不在本会计年度",IF(C1417="","✗ 没选账户",IF(COUNTIF(基础资料!$W$5:$W$24,C1417)=0,"✗ 账户不在基础资料里",IF(O1417="","✗ 没选收支项目",IF(P1417="未知","✗ 收支项目不在基础资料里",IF(AND(P1417="应收",J1417=""),"✗ 这笔要选客户",IF(AND(P1417="应收",COUNTIF(总览汇总!$B$5:$B$304,J1417)=0),"✗ 客户不在总览汇总名单里",IF(AND(P1417="应付",K1417=""),"✗ 这笔要选供应商",IF(AND(P1417="应付",COUNTIF(基础资料!$Q$5:$Q$54,K1417)=0),"✗ 供应商不在基础资料里",IF(AND(P1417="费用",L1417=""),"✗ 费用支出要选费用项目",IF(AND(L1417&lt;&gt;"",COUNTIF(基础资料!$AI$5:$AI$54,L1417)=0),"✗ 费用项目不在基础资料里",IF(AND(IFERROR(INDEX(基础资料!$AD$5:$AD$34,MATCH(O1417,基础资料!$AC$5:$AC$34,0)),"")="收",N(G1417)&lt;&gt;0),"✗ 这类是收款，金额填到收入列",IF(AND(IFERROR(INDEX(基础资料!$AD$5:$AD$34,MATCH(O1417,基础资料!$AC$5:$AC$34,0)),"")="支",N(F1417)&lt;&gt;0),"✗ 这类是付款，金额填到支出列",IF(N(H1417)&lt;0,"⚠ 账户余额成负数了，核对一下","√"))))))))))))))))))</f>
      </c>
      <c r="O1417" s="78">
        <f>IF(D1417&lt;&gt;"",D1417,IF(AND(F1417="",G1417=""),"",IF(J1417&lt;&gt;"",IF(N(F1417)&gt;0,"客户回款","客户退款"),IF(K1417&lt;&gt;"",IF(N(G1417)&gt;0,"供应商付款","供应商退款"),IF(L1417&lt;&gt;"","费用支出","")))))</f>
      </c>
      <c r="P1417" s="78">
        <f>IF(O1417="","",IFERROR(INDEX(基础资料!$AE$5:$AE$34,MATCH(O1417,基础资料!$AC$5:$AC$34,0)),"未知"))</f>
      </c>
      <c r="Q1417" s="78">
        <f>IF(P1417="应收",COUNTIF(P$7:P1417,"应收"),"")</f>
      </c>
      <c r="R1417" s="78">
        <f>IF(P1417="应付",COUNTIF(P$7:P1417,"应付"),"")</f>
      </c>
      <c r="S1417" s="78">
        <f>N(F1417)-N(G1417)</f>
        <v>0</v>
      </c>
    </row>
    <row r="1418">
      <c r="A1418" s="109">
        <f>IF(AND(F1418="",G1418=""),"",ROW()-6)</f>
      </c>
      <c r="B1418" s="140" t="n"/>
      <c r="C1418" s="141" t="n"/>
      <c r="D1418" s="141" t="n"/>
      <c r="E1418" s="142" t="n"/>
      <c r="F1418" s="143" t="n"/>
      <c r="G1418" s="144" t="n"/>
      <c r="H1418" s="145">
        <f>IF(OR(C1418="",AND(F1418="",G1418="")),"",SUMIF(基础资料!$W$5:$W$24,C1418,基础资料!$X$5:$X$24)+SUMIF(C$7:C1418,C1418,F$7:F1418)-SUMIF(C$7:C1418,C1418,G$7:G1418))</f>
      </c>
      <c r="I1418" s="145">
        <f>IF(AND(F1418="",G1418=""),"",SUM(基础资料!$X$5:$X$24)+SUM(F$7:F1418)-SUM(G$7:G1418))</f>
      </c>
      <c r="J1418" s="141" t="n"/>
      <c r="K1418" s="141" t="n"/>
      <c r="L1418" s="141" t="n"/>
      <c r="M1418" s="142" t="n"/>
      <c r="N1418" s="146">
        <f>IF(AND(AND(F1418="",G1418=""),B1418="",C1418="",D1418="",J1418="",K1418="",L1418=""),"",IF(AND(F1418="",G1418=""),"✗ 没填金额",IF(AND(N(F1418)&lt;&gt;0,N(G1418)&lt;&gt;0),"✗ 收入、支出只能填一边",IF(NOT(ISNUMBER(B1418)),"✗ 日期不是真日期（要像 2026/9/25 这样填）",IF(OR(B1418&lt;年初日,B1418&gt;年末日),"✗ 日期不在本会计年度",IF(C1418="","✗ 没选账户",IF(COUNTIF(基础资料!$W$5:$W$24,C1418)=0,"✗ 账户不在基础资料里",IF(O1418="","✗ 没选收支项目",IF(P1418="未知","✗ 收支项目不在基础资料里",IF(AND(P1418="应收",J1418=""),"✗ 这笔要选客户",IF(AND(P1418="应收",COUNTIF(总览汇总!$B$5:$B$304,J1418)=0),"✗ 客户不在总览汇总名单里",IF(AND(P1418="应付",K1418=""),"✗ 这笔要选供应商",IF(AND(P1418="应付",COUNTIF(基础资料!$Q$5:$Q$54,K1418)=0),"✗ 供应商不在基础资料里",IF(AND(P1418="费用",L1418=""),"✗ 费用支出要选费用项目",IF(AND(L1418&lt;&gt;"",COUNTIF(基础资料!$AI$5:$AI$54,L1418)=0),"✗ 费用项目不在基础资料里",IF(AND(IFERROR(INDEX(基础资料!$AD$5:$AD$34,MATCH(O1418,基础资料!$AC$5:$AC$34,0)),"")="收",N(G1418)&lt;&gt;0),"✗ 这类是收款，金额填到收入列",IF(AND(IFERROR(INDEX(基础资料!$AD$5:$AD$34,MATCH(O1418,基础资料!$AC$5:$AC$34,0)),"")="支",N(F1418)&lt;&gt;0),"✗ 这类是付款，金额填到支出列",IF(N(H1418)&lt;0,"⚠ 账户余额成负数了，核对一下","√"))))))))))))))))))</f>
      </c>
      <c r="O1418" s="78">
        <f>IF(D1418&lt;&gt;"",D1418,IF(AND(F1418="",G1418=""),"",IF(J1418&lt;&gt;"",IF(N(F1418)&gt;0,"客户回款","客户退款"),IF(K1418&lt;&gt;"",IF(N(G1418)&gt;0,"供应商付款","供应商退款"),IF(L1418&lt;&gt;"","费用支出","")))))</f>
      </c>
      <c r="P1418" s="78">
        <f>IF(O1418="","",IFERROR(INDEX(基础资料!$AE$5:$AE$34,MATCH(O1418,基础资料!$AC$5:$AC$34,0)),"未知"))</f>
      </c>
      <c r="Q1418" s="78">
        <f>IF(P1418="应收",COUNTIF(P$7:P1418,"应收"),"")</f>
      </c>
      <c r="R1418" s="78">
        <f>IF(P1418="应付",COUNTIF(P$7:P1418,"应付"),"")</f>
      </c>
      <c r="S1418" s="78">
        <f>N(F1418)-N(G1418)</f>
        <v>0</v>
      </c>
    </row>
    <row r="1419">
      <c r="A1419" s="109">
        <f>IF(AND(F1419="",G1419=""),"",ROW()-6)</f>
      </c>
      <c r="B1419" s="140" t="n"/>
      <c r="C1419" s="141" t="n"/>
      <c r="D1419" s="141" t="n"/>
      <c r="E1419" s="142" t="n"/>
      <c r="F1419" s="143" t="n"/>
      <c r="G1419" s="144" t="n"/>
      <c r="H1419" s="145">
        <f>IF(OR(C1419="",AND(F1419="",G1419="")),"",SUMIF(基础资料!$W$5:$W$24,C1419,基础资料!$X$5:$X$24)+SUMIF(C$7:C1419,C1419,F$7:F1419)-SUMIF(C$7:C1419,C1419,G$7:G1419))</f>
      </c>
      <c r="I1419" s="145">
        <f>IF(AND(F1419="",G1419=""),"",SUM(基础资料!$X$5:$X$24)+SUM(F$7:F1419)-SUM(G$7:G1419))</f>
      </c>
      <c r="J1419" s="141" t="n"/>
      <c r="K1419" s="141" t="n"/>
      <c r="L1419" s="141" t="n"/>
      <c r="M1419" s="142" t="n"/>
      <c r="N1419" s="146">
        <f>IF(AND(AND(F1419="",G1419=""),B1419="",C1419="",D1419="",J1419="",K1419="",L1419=""),"",IF(AND(F1419="",G1419=""),"✗ 没填金额",IF(AND(N(F1419)&lt;&gt;0,N(G1419)&lt;&gt;0),"✗ 收入、支出只能填一边",IF(NOT(ISNUMBER(B1419)),"✗ 日期不是真日期（要像 2026/9/25 这样填）",IF(OR(B1419&lt;年初日,B1419&gt;年末日),"✗ 日期不在本会计年度",IF(C1419="","✗ 没选账户",IF(COUNTIF(基础资料!$W$5:$W$24,C1419)=0,"✗ 账户不在基础资料里",IF(O1419="","✗ 没选收支项目",IF(P1419="未知","✗ 收支项目不在基础资料里",IF(AND(P1419="应收",J1419=""),"✗ 这笔要选客户",IF(AND(P1419="应收",COUNTIF(总览汇总!$B$5:$B$304,J1419)=0),"✗ 客户不在总览汇总名单里",IF(AND(P1419="应付",K1419=""),"✗ 这笔要选供应商",IF(AND(P1419="应付",COUNTIF(基础资料!$Q$5:$Q$54,K1419)=0),"✗ 供应商不在基础资料里",IF(AND(P1419="费用",L1419=""),"✗ 费用支出要选费用项目",IF(AND(L1419&lt;&gt;"",COUNTIF(基础资料!$AI$5:$AI$54,L1419)=0),"✗ 费用项目不在基础资料里",IF(AND(IFERROR(INDEX(基础资料!$AD$5:$AD$34,MATCH(O1419,基础资料!$AC$5:$AC$34,0)),"")="收",N(G1419)&lt;&gt;0),"✗ 这类是收款，金额填到收入列",IF(AND(IFERROR(INDEX(基础资料!$AD$5:$AD$34,MATCH(O1419,基础资料!$AC$5:$AC$34,0)),"")="支",N(F1419)&lt;&gt;0),"✗ 这类是付款，金额填到支出列",IF(N(H1419)&lt;0,"⚠ 账户余额成负数了，核对一下","√"))))))))))))))))))</f>
      </c>
      <c r="O1419" s="78">
        <f>IF(D1419&lt;&gt;"",D1419,IF(AND(F1419="",G1419=""),"",IF(J1419&lt;&gt;"",IF(N(F1419)&gt;0,"客户回款","客户退款"),IF(K1419&lt;&gt;"",IF(N(G1419)&gt;0,"供应商付款","供应商退款"),IF(L1419&lt;&gt;"","费用支出","")))))</f>
      </c>
      <c r="P1419" s="78">
        <f>IF(O1419="","",IFERROR(INDEX(基础资料!$AE$5:$AE$34,MATCH(O1419,基础资料!$AC$5:$AC$34,0)),"未知"))</f>
      </c>
      <c r="Q1419" s="78">
        <f>IF(P1419="应收",COUNTIF(P$7:P1419,"应收"),"")</f>
      </c>
      <c r="R1419" s="78">
        <f>IF(P1419="应付",COUNTIF(P$7:P1419,"应付"),"")</f>
      </c>
      <c r="S1419" s="78">
        <f>N(F1419)-N(G1419)</f>
        <v>0</v>
      </c>
    </row>
    <row r="1420">
      <c r="A1420" s="109">
        <f>IF(AND(F1420="",G1420=""),"",ROW()-6)</f>
      </c>
      <c r="B1420" s="140" t="n"/>
      <c r="C1420" s="141" t="n"/>
      <c r="D1420" s="141" t="n"/>
      <c r="E1420" s="142" t="n"/>
      <c r="F1420" s="143" t="n"/>
      <c r="G1420" s="144" t="n"/>
      <c r="H1420" s="145">
        <f>IF(OR(C1420="",AND(F1420="",G1420="")),"",SUMIF(基础资料!$W$5:$W$24,C1420,基础资料!$X$5:$X$24)+SUMIF(C$7:C1420,C1420,F$7:F1420)-SUMIF(C$7:C1420,C1420,G$7:G1420))</f>
      </c>
      <c r="I1420" s="145">
        <f>IF(AND(F1420="",G1420=""),"",SUM(基础资料!$X$5:$X$24)+SUM(F$7:F1420)-SUM(G$7:G1420))</f>
      </c>
      <c r="J1420" s="141" t="n"/>
      <c r="K1420" s="141" t="n"/>
      <c r="L1420" s="141" t="n"/>
      <c r="M1420" s="142" t="n"/>
      <c r="N1420" s="146">
        <f>IF(AND(AND(F1420="",G1420=""),B1420="",C1420="",D1420="",J1420="",K1420="",L1420=""),"",IF(AND(F1420="",G1420=""),"✗ 没填金额",IF(AND(N(F1420)&lt;&gt;0,N(G1420)&lt;&gt;0),"✗ 收入、支出只能填一边",IF(NOT(ISNUMBER(B1420)),"✗ 日期不是真日期（要像 2026/9/25 这样填）",IF(OR(B1420&lt;年初日,B1420&gt;年末日),"✗ 日期不在本会计年度",IF(C1420="","✗ 没选账户",IF(COUNTIF(基础资料!$W$5:$W$24,C1420)=0,"✗ 账户不在基础资料里",IF(O1420="","✗ 没选收支项目",IF(P1420="未知","✗ 收支项目不在基础资料里",IF(AND(P1420="应收",J1420=""),"✗ 这笔要选客户",IF(AND(P1420="应收",COUNTIF(总览汇总!$B$5:$B$304,J1420)=0),"✗ 客户不在总览汇总名单里",IF(AND(P1420="应付",K1420=""),"✗ 这笔要选供应商",IF(AND(P1420="应付",COUNTIF(基础资料!$Q$5:$Q$54,K1420)=0),"✗ 供应商不在基础资料里",IF(AND(P1420="费用",L1420=""),"✗ 费用支出要选费用项目",IF(AND(L1420&lt;&gt;"",COUNTIF(基础资料!$AI$5:$AI$54,L1420)=0),"✗ 费用项目不在基础资料里",IF(AND(IFERROR(INDEX(基础资料!$AD$5:$AD$34,MATCH(O1420,基础资料!$AC$5:$AC$34,0)),"")="收",N(G1420)&lt;&gt;0),"✗ 这类是收款，金额填到收入列",IF(AND(IFERROR(INDEX(基础资料!$AD$5:$AD$34,MATCH(O1420,基础资料!$AC$5:$AC$34,0)),"")="支",N(F1420)&lt;&gt;0),"✗ 这类是付款，金额填到支出列",IF(N(H1420)&lt;0,"⚠ 账户余额成负数了，核对一下","√"))))))))))))))))))</f>
      </c>
      <c r="O1420" s="78">
        <f>IF(D1420&lt;&gt;"",D1420,IF(AND(F1420="",G1420=""),"",IF(J1420&lt;&gt;"",IF(N(F1420)&gt;0,"客户回款","客户退款"),IF(K1420&lt;&gt;"",IF(N(G1420)&gt;0,"供应商付款","供应商退款"),IF(L1420&lt;&gt;"","费用支出","")))))</f>
      </c>
      <c r="P1420" s="78">
        <f>IF(O1420="","",IFERROR(INDEX(基础资料!$AE$5:$AE$34,MATCH(O1420,基础资料!$AC$5:$AC$34,0)),"未知"))</f>
      </c>
      <c r="Q1420" s="78">
        <f>IF(P1420="应收",COUNTIF(P$7:P1420,"应收"),"")</f>
      </c>
      <c r="R1420" s="78">
        <f>IF(P1420="应付",COUNTIF(P$7:P1420,"应付"),"")</f>
      </c>
      <c r="S1420" s="78">
        <f>N(F1420)-N(G1420)</f>
        <v>0</v>
      </c>
    </row>
    <row r="1421">
      <c r="A1421" s="109">
        <f>IF(AND(F1421="",G1421=""),"",ROW()-6)</f>
      </c>
      <c r="B1421" s="140" t="n"/>
      <c r="C1421" s="141" t="n"/>
      <c r="D1421" s="141" t="n"/>
      <c r="E1421" s="142" t="n"/>
      <c r="F1421" s="143" t="n"/>
      <c r="G1421" s="144" t="n"/>
      <c r="H1421" s="145">
        <f>IF(OR(C1421="",AND(F1421="",G1421="")),"",SUMIF(基础资料!$W$5:$W$24,C1421,基础资料!$X$5:$X$24)+SUMIF(C$7:C1421,C1421,F$7:F1421)-SUMIF(C$7:C1421,C1421,G$7:G1421))</f>
      </c>
      <c r="I1421" s="145">
        <f>IF(AND(F1421="",G1421=""),"",SUM(基础资料!$X$5:$X$24)+SUM(F$7:F1421)-SUM(G$7:G1421))</f>
      </c>
      <c r="J1421" s="141" t="n"/>
      <c r="K1421" s="141" t="n"/>
      <c r="L1421" s="141" t="n"/>
      <c r="M1421" s="142" t="n"/>
      <c r="N1421" s="146">
        <f>IF(AND(AND(F1421="",G1421=""),B1421="",C1421="",D1421="",J1421="",K1421="",L1421=""),"",IF(AND(F1421="",G1421=""),"✗ 没填金额",IF(AND(N(F1421)&lt;&gt;0,N(G1421)&lt;&gt;0),"✗ 收入、支出只能填一边",IF(NOT(ISNUMBER(B1421)),"✗ 日期不是真日期（要像 2026/9/25 这样填）",IF(OR(B1421&lt;年初日,B1421&gt;年末日),"✗ 日期不在本会计年度",IF(C1421="","✗ 没选账户",IF(COUNTIF(基础资料!$W$5:$W$24,C1421)=0,"✗ 账户不在基础资料里",IF(O1421="","✗ 没选收支项目",IF(P1421="未知","✗ 收支项目不在基础资料里",IF(AND(P1421="应收",J1421=""),"✗ 这笔要选客户",IF(AND(P1421="应收",COUNTIF(总览汇总!$B$5:$B$304,J1421)=0),"✗ 客户不在总览汇总名单里",IF(AND(P1421="应付",K1421=""),"✗ 这笔要选供应商",IF(AND(P1421="应付",COUNTIF(基础资料!$Q$5:$Q$54,K1421)=0),"✗ 供应商不在基础资料里",IF(AND(P1421="费用",L1421=""),"✗ 费用支出要选费用项目",IF(AND(L1421&lt;&gt;"",COUNTIF(基础资料!$AI$5:$AI$54,L1421)=0),"✗ 费用项目不在基础资料里",IF(AND(IFERROR(INDEX(基础资料!$AD$5:$AD$34,MATCH(O1421,基础资料!$AC$5:$AC$34,0)),"")="收",N(G1421)&lt;&gt;0),"✗ 这类是收款，金额填到收入列",IF(AND(IFERROR(INDEX(基础资料!$AD$5:$AD$34,MATCH(O1421,基础资料!$AC$5:$AC$34,0)),"")="支",N(F1421)&lt;&gt;0),"✗ 这类是付款，金额填到支出列",IF(N(H1421)&lt;0,"⚠ 账户余额成负数了，核对一下","√"))))))))))))))))))</f>
      </c>
      <c r="O1421" s="78">
        <f>IF(D1421&lt;&gt;"",D1421,IF(AND(F1421="",G1421=""),"",IF(J1421&lt;&gt;"",IF(N(F1421)&gt;0,"客户回款","客户退款"),IF(K1421&lt;&gt;"",IF(N(G1421)&gt;0,"供应商付款","供应商退款"),IF(L1421&lt;&gt;"","费用支出","")))))</f>
      </c>
      <c r="P1421" s="78">
        <f>IF(O1421="","",IFERROR(INDEX(基础资料!$AE$5:$AE$34,MATCH(O1421,基础资料!$AC$5:$AC$34,0)),"未知"))</f>
      </c>
      <c r="Q1421" s="78">
        <f>IF(P1421="应收",COUNTIF(P$7:P1421,"应收"),"")</f>
      </c>
      <c r="R1421" s="78">
        <f>IF(P1421="应付",COUNTIF(P$7:P1421,"应付"),"")</f>
      </c>
      <c r="S1421" s="78">
        <f>N(F1421)-N(G1421)</f>
        <v>0</v>
      </c>
    </row>
    <row r="1422">
      <c r="A1422" s="109">
        <f>IF(AND(F1422="",G1422=""),"",ROW()-6)</f>
      </c>
      <c r="B1422" s="140" t="n"/>
      <c r="C1422" s="141" t="n"/>
      <c r="D1422" s="141" t="n"/>
      <c r="E1422" s="142" t="n"/>
      <c r="F1422" s="143" t="n"/>
      <c r="G1422" s="144" t="n"/>
      <c r="H1422" s="145">
        <f>IF(OR(C1422="",AND(F1422="",G1422="")),"",SUMIF(基础资料!$W$5:$W$24,C1422,基础资料!$X$5:$X$24)+SUMIF(C$7:C1422,C1422,F$7:F1422)-SUMIF(C$7:C1422,C1422,G$7:G1422))</f>
      </c>
      <c r="I1422" s="145">
        <f>IF(AND(F1422="",G1422=""),"",SUM(基础资料!$X$5:$X$24)+SUM(F$7:F1422)-SUM(G$7:G1422))</f>
      </c>
      <c r="J1422" s="141" t="n"/>
      <c r="K1422" s="141" t="n"/>
      <c r="L1422" s="141" t="n"/>
      <c r="M1422" s="142" t="n"/>
      <c r="N1422" s="146">
        <f>IF(AND(AND(F1422="",G1422=""),B1422="",C1422="",D1422="",J1422="",K1422="",L1422=""),"",IF(AND(F1422="",G1422=""),"✗ 没填金额",IF(AND(N(F1422)&lt;&gt;0,N(G1422)&lt;&gt;0),"✗ 收入、支出只能填一边",IF(NOT(ISNUMBER(B1422)),"✗ 日期不是真日期（要像 2026/9/25 这样填）",IF(OR(B1422&lt;年初日,B1422&gt;年末日),"✗ 日期不在本会计年度",IF(C1422="","✗ 没选账户",IF(COUNTIF(基础资料!$W$5:$W$24,C1422)=0,"✗ 账户不在基础资料里",IF(O1422="","✗ 没选收支项目",IF(P1422="未知","✗ 收支项目不在基础资料里",IF(AND(P1422="应收",J1422=""),"✗ 这笔要选客户",IF(AND(P1422="应收",COUNTIF(总览汇总!$B$5:$B$304,J1422)=0),"✗ 客户不在总览汇总名单里",IF(AND(P1422="应付",K1422=""),"✗ 这笔要选供应商",IF(AND(P1422="应付",COUNTIF(基础资料!$Q$5:$Q$54,K1422)=0),"✗ 供应商不在基础资料里",IF(AND(P1422="费用",L1422=""),"✗ 费用支出要选费用项目",IF(AND(L1422&lt;&gt;"",COUNTIF(基础资料!$AI$5:$AI$54,L1422)=0),"✗ 费用项目不在基础资料里",IF(AND(IFERROR(INDEX(基础资料!$AD$5:$AD$34,MATCH(O1422,基础资料!$AC$5:$AC$34,0)),"")="收",N(G1422)&lt;&gt;0),"✗ 这类是收款，金额填到收入列",IF(AND(IFERROR(INDEX(基础资料!$AD$5:$AD$34,MATCH(O1422,基础资料!$AC$5:$AC$34,0)),"")="支",N(F1422)&lt;&gt;0),"✗ 这类是付款，金额填到支出列",IF(N(H1422)&lt;0,"⚠ 账户余额成负数了，核对一下","√"))))))))))))))))))</f>
      </c>
      <c r="O1422" s="78">
        <f>IF(D1422&lt;&gt;"",D1422,IF(AND(F1422="",G1422=""),"",IF(J1422&lt;&gt;"",IF(N(F1422)&gt;0,"客户回款","客户退款"),IF(K1422&lt;&gt;"",IF(N(G1422)&gt;0,"供应商付款","供应商退款"),IF(L1422&lt;&gt;"","费用支出","")))))</f>
      </c>
      <c r="P1422" s="78">
        <f>IF(O1422="","",IFERROR(INDEX(基础资料!$AE$5:$AE$34,MATCH(O1422,基础资料!$AC$5:$AC$34,0)),"未知"))</f>
      </c>
      <c r="Q1422" s="78">
        <f>IF(P1422="应收",COUNTIF(P$7:P1422,"应收"),"")</f>
      </c>
      <c r="R1422" s="78">
        <f>IF(P1422="应付",COUNTIF(P$7:P1422,"应付"),"")</f>
      </c>
      <c r="S1422" s="78">
        <f>N(F1422)-N(G1422)</f>
        <v>0</v>
      </c>
    </row>
    <row r="1423">
      <c r="A1423" s="109">
        <f>IF(AND(F1423="",G1423=""),"",ROW()-6)</f>
      </c>
      <c r="B1423" s="140" t="n"/>
      <c r="C1423" s="141" t="n"/>
      <c r="D1423" s="141" t="n"/>
      <c r="E1423" s="142" t="n"/>
      <c r="F1423" s="143" t="n"/>
      <c r="G1423" s="144" t="n"/>
      <c r="H1423" s="145">
        <f>IF(OR(C1423="",AND(F1423="",G1423="")),"",SUMIF(基础资料!$W$5:$W$24,C1423,基础资料!$X$5:$X$24)+SUMIF(C$7:C1423,C1423,F$7:F1423)-SUMIF(C$7:C1423,C1423,G$7:G1423))</f>
      </c>
      <c r="I1423" s="145">
        <f>IF(AND(F1423="",G1423=""),"",SUM(基础资料!$X$5:$X$24)+SUM(F$7:F1423)-SUM(G$7:G1423))</f>
      </c>
      <c r="J1423" s="141" t="n"/>
      <c r="K1423" s="141" t="n"/>
      <c r="L1423" s="141" t="n"/>
      <c r="M1423" s="142" t="n"/>
      <c r="N1423" s="146">
        <f>IF(AND(AND(F1423="",G1423=""),B1423="",C1423="",D1423="",J1423="",K1423="",L1423=""),"",IF(AND(F1423="",G1423=""),"✗ 没填金额",IF(AND(N(F1423)&lt;&gt;0,N(G1423)&lt;&gt;0),"✗ 收入、支出只能填一边",IF(NOT(ISNUMBER(B1423)),"✗ 日期不是真日期（要像 2026/9/25 这样填）",IF(OR(B1423&lt;年初日,B1423&gt;年末日),"✗ 日期不在本会计年度",IF(C1423="","✗ 没选账户",IF(COUNTIF(基础资料!$W$5:$W$24,C1423)=0,"✗ 账户不在基础资料里",IF(O1423="","✗ 没选收支项目",IF(P1423="未知","✗ 收支项目不在基础资料里",IF(AND(P1423="应收",J1423=""),"✗ 这笔要选客户",IF(AND(P1423="应收",COUNTIF(总览汇总!$B$5:$B$304,J1423)=0),"✗ 客户不在总览汇总名单里",IF(AND(P1423="应付",K1423=""),"✗ 这笔要选供应商",IF(AND(P1423="应付",COUNTIF(基础资料!$Q$5:$Q$54,K1423)=0),"✗ 供应商不在基础资料里",IF(AND(P1423="费用",L1423=""),"✗ 费用支出要选费用项目",IF(AND(L1423&lt;&gt;"",COUNTIF(基础资料!$AI$5:$AI$54,L1423)=0),"✗ 费用项目不在基础资料里",IF(AND(IFERROR(INDEX(基础资料!$AD$5:$AD$34,MATCH(O1423,基础资料!$AC$5:$AC$34,0)),"")="收",N(G1423)&lt;&gt;0),"✗ 这类是收款，金额填到收入列",IF(AND(IFERROR(INDEX(基础资料!$AD$5:$AD$34,MATCH(O1423,基础资料!$AC$5:$AC$34,0)),"")="支",N(F1423)&lt;&gt;0),"✗ 这类是付款，金额填到支出列",IF(N(H1423)&lt;0,"⚠ 账户余额成负数了，核对一下","√"))))))))))))))))))</f>
      </c>
      <c r="O1423" s="78">
        <f>IF(D1423&lt;&gt;"",D1423,IF(AND(F1423="",G1423=""),"",IF(J1423&lt;&gt;"",IF(N(F1423)&gt;0,"客户回款","客户退款"),IF(K1423&lt;&gt;"",IF(N(G1423)&gt;0,"供应商付款","供应商退款"),IF(L1423&lt;&gt;"","费用支出","")))))</f>
      </c>
      <c r="P1423" s="78">
        <f>IF(O1423="","",IFERROR(INDEX(基础资料!$AE$5:$AE$34,MATCH(O1423,基础资料!$AC$5:$AC$34,0)),"未知"))</f>
      </c>
      <c r="Q1423" s="78">
        <f>IF(P1423="应收",COUNTIF(P$7:P1423,"应收"),"")</f>
      </c>
      <c r="R1423" s="78">
        <f>IF(P1423="应付",COUNTIF(P$7:P1423,"应付"),"")</f>
      </c>
      <c r="S1423" s="78">
        <f>N(F1423)-N(G1423)</f>
        <v>0</v>
      </c>
    </row>
    <row r="1424">
      <c r="A1424" s="109">
        <f>IF(AND(F1424="",G1424=""),"",ROW()-6)</f>
      </c>
      <c r="B1424" s="140" t="n"/>
      <c r="C1424" s="141" t="n"/>
      <c r="D1424" s="141" t="n"/>
      <c r="E1424" s="142" t="n"/>
      <c r="F1424" s="143" t="n"/>
      <c r="G1424" s="144" t="n"/>
      <c r="H1424" s="145">
        <f>IF(OR(C1424="",AND(F1424="",G1424="")),"",SUMIF(基础资料!$W$5:$W$24,C1424,基础资料!$X$5:$X$24)+SUMIF(C$7:C1424,C1424,F$7:F1424)-SUMIF(C$7:C1424,C1424,G$7:G1424))</f>
      </c>
      <c r="I1424" s="145">
        <f>IF(AND(F1424="",G1424=""),"",SUM(基础资料!$X$5:$X$24)+SUM(F$7:F1424)-SUM(G$7:G1424))</f>
      </c>
      <c r="J1424" s="141" t="n"/>
      <c r="K1424" s="141" t="n"/>
      <c r="L1424" s="141" t="n"/>
      <c r="M1424" s="142" t="n"/>
      <c r="N1424" s="146">
        <f>IF(AND(AND(F1424="",G1424=""),B1424="",C1424="",D1424="",J1424="",K1424="",L1424=""),"",IF(AND(F1424="",G1424=""),"✗ 没填金额",IF(AND(N(F1424)&lt;&gt;0,N(G1424)&lt;&gt;0),"✗ 收入、支出只能填一边",IF(NOT(ISNUMBER(B1424)),"✗ 日期不是真日期（要像 2026/9/25 这样填）",IF(OR(B1424&lt;年初日,B1424&gt;年末日),"✗ 日期不在本会计年度",IF(C1424="","✗ 没选账户",IF(COUNTIF(基础资料!$W$5:$W$24,C1424)=0,"✗ 账户不在基础资料里",IF(O1424="","✗ 没选收支项目",IF(P1424="未知","✗ 收支项目不在基础资料里",IF(AND(P1424="应收",J1424=""),"✗ 这笔要选客户",IF(AND(P1424="应收",COUNTIF(总览汇总!$B$5:$B$304,J1424)=0),"✗ 客户不在总览汇总名单里",IF(AND(P1424="应付",K1424=""),"✗ 这笔要选供应商",IF(AND(P1424="应付",COUNTIF(基础资料!$Q$5:$Q$54,K1424)=0),"✗ 供应商不在基础资料里",IF(AND(P1424="费用",L1424=""),"✗ 费用支出要选费用项目",IF(AND(L1424&lt;&gt;"",COUNTIF(基础资料!$AI$5:$AI$54,L1424)=0),"✗ 费用项目不在基础资料里",IF(AND(IFERROR(INDEX(基础资料!$AD$5:$AD$34,MATCH(O1424,基础资料!$AC$5:$AC$34,0)),"")="收",N(G1424)&lt;&gt;0),"✗ 这类是收款，金额填到收入列",IF(AND(IFERROR(INDEX(基础资料!$AD$5:$AD$34,MATCH(O1424,基础资料!$AC$5:$AC$34,0)),"")="支",N(F1424)&lt;&gt;0),"✗ 这类是付款，金额填到支出列",IF(N(H1424)&lt;0,"⚠ 账户余额成负数了，核对一下","√"))))))))))))))))))</f>
      </c>
      <c r="O1424" s="78">
        <f>IF(D1424&lt;&gt;"",D1424,IF(AND(F1424="",G1424=""),"",IF(J1424&lt;&gt;"",IF(N(F1424)&gt;0,"客户回款","客户退款"),IF(K1424&lt;&gt;"",IF(N(G1424)&gt;0,"供应商付款","供应商退款"),IF(L1424&lt;&gt;"","费用支出","")))))</f>
      </c>
      <c r="P1424" s="78">
        <f>IF(O1424="","",IFERROR(INDEX(基础资料!$AE$5:$AE$34,MATCH(O1424,基础资料!$AC$5:$AC$34,0)),"未知"))</f>
      </c>
      <c r="Q1424" s="78">
        <f>IF(P1424="应收",COUNTIF(P$7:P1424,"应收"),"")</f>
      </c>
      <c r="R1424" s="78">
        <f>IF(P1424="应付",COUNTIF(P$7:P1424,"应付"),"")</f>
      </c>
      <c r="S1424" s="78">
        <f>N(F1424)-N(G1424)</f>
        <v>0</v>
      </c>
    </row>
    <row r="1425">
      <c r="A1425" s="109">
        <f>IF(AND(F1425="",G1425=""),"",ROW()-6)</f>
      </c>
      <c r="B1425" s="140" t="n"/>
      <c r="C1425" s="141" t="n"/>
      <c r="D1425" s="141" t="n"/>
      <c r="E1425" s="142" t="n"/>
      <c r="F1425" s="143" t="n"/>
      <c r="G1425" s="144" t="n"/>
      <c r="H1425" s="145">
        <f>IF(OR(C1425="",AND(F1425="",G1425="")),"",SUMIF(基础资料!$W$5:$W$24,C1425,基础资料!$X$5:$X$24)+SUMIF(C$7:C1425,C1425,F$7:F1425)-SUMIF(C$7:C1425,C1425,G$7:G1425))</f>
      </c>
      <c r="I1425" s="145">
        <f>IF(AND(F1425="",G1425=""),"",SUM(基础资料!$X$5:$X$24)+SUM(F$7:F1425)-SUM(G$7:G1425))</f>
      </c>
      <c r="J1425" s="141" t="n"/>
      <c r="K1425" s="141" t="n"/>
      <c r="L1425" s="141" t="n"/>
      <c r="M1425" s="142" t="n"/>
      <c r="N1425" s="146">
        <f>IF(AND(AND(F1425="",G1425=""),B1425="",C1425="",D1425="",J1425="",K1425="",L1425=""),"",IF(AND(F1425="",G1425=""),"✗ 没填金额",IF(AND(N(F1425)&lt;&gt;0,N(G1425)&lt;&gt;0),"✗ 收入、支出只能填一边",IF(NOT(ISNUMBER(B1425)),"✗ 日期不是真日期（要像 2026/9/25 这样填）",IF(OR(B1425&lt;年初日,B1425&gt;年末日),"✗ 日期不在本会计年度",IF(C1425="","✗ 没选账户",IF(COUNTIF(基础资料!$W$5:$W$24,C1425)=0,"✗ 账户不在基础资料里",IF(O1425="","✗ 没选收支项目",IF(P1425="未知","✗ 收支项目不在基础资料里",IF(AND(P1425="应收",J1425=""),"✗ 这笔要选客户",IF(AND(P1425="应收",COUNTIF(总览汇总!$B$5:$B$304,J1425)=0),"✗ 客户不在总览汇总名单里",IF(AND(P1425="应付",K1425=""),"✗ 这笔要选供应商",IF(AND(P1425="应付",COUNTIF(基础资料!$Q$5:$Q$54,K1425)=0),"✗ 供应商不在基础资料里",IF(AND(P1425="费用",L1425=""),"✗ 费用支出要选费用项目",IF(AND(L1425&lt;&gt;"",COUNTIF(基础资料!$AI$5:$AI$54,L1425)=0),"✗ 费用项目不在基础资料里",IF(AND(IFERROR(INDEX(基础资料!$AD$5:$AD$34,MATCH(O1425,基础资料!$AC$5:$AC$34,0)),"")="收",N(G1425)&lt;&gt;0),"✗ 这类是收款，金额填到收入列",IF(AND(IFERROR(INDEX(基础资料!$AD$5:$AD$34,MATCH(O1425,基础资料!$AC$5:$AC$34,0)),"")="支",N(F1425)&lt;&gt;0),"✗ 这类是付款，金额填到支出列",IF(N(H1425)&lt;0,"⚠ 账户余额成负数了，核对一下","√"))))))))))))))))))</f>
      </c>
      <c r="O1425" s="78">
        <f>IF(D1425&lt;&gt;"",D1425,IF(AND(F1425="",G1425=""),"",IF(J1425&lt;&gt;"",IF(N(F1425)&gt;0,"客户回款","客户退款"),IF(K1425&lt;&gt;"",IF(N(G1425)&gt;0,"供应商付款","供应商退款"),IF(L1425&lt;&gt;"","费用支出","")))))</f>
      </c>
      <c r="P1425" s="78">
        <f>IF(O1425="","",IFERROR(INDEX(基础资料!$AE$5:$AE$34,MATCH(O1425,基础资料!$AC$5:$AC$34,0)),"未知"))</f>
      </c>
      <c r="Q1425" s="78">
        <f>IF(P1425="应收",COUNTIF(P$7:P1425,"应收"),"")</f>
      </c>
      <c r="R1425" s="78">
        <f>IF(P1425="应付",COUNTIF(P$7:P1425,"应付"),"")</f>
      </c>
      <c r="S1425" s="78">
        <f>N(F1425)-N(G1425)</f>
        <v>0</v>
      </c>
    </row>
    <row r="1426">
      <c r="A1426" s="109">
        <f>IF(AND(F1426="",G1426=""),"",ROW()-6)</f>
      </c>
      <c r="B1426" s="140" t="n"/>
      <c r="C1426" s="141" t="n"/>
      <c r="D1426" s="141" t="n"/>
      <c r="E1426" s="142" t="n"/>
      <c r="F1426" s="143" t="n"/>
      <c r="G1426" s="144" t="n"/>
      <c r="H1426" s="145">
        <f>IF(OR(C1426="",AND(F1426="",G1426="")),"",SUMIF(基础资料!$W$5:$W$24,C1426,基础资料!$X$5:$X$24)+SUMIF(C$7:C1426,C1426,F$7:F1426)-SUMIF(C$7:C1426,C1426,G$7:G1426))</f>
      </c>
      <c r="I1426" s="145">
        <f>IF(AND(F1426="",G1426=""),"",SUM(基础资料!$X$5:$X$24)+SUM(F$7:F1426)-SUM(G$7:G1426))</f>
      </c>
      <c r="J1426" s="141" t="n"/>
      <c r="K1426" s="141" t="n"/>
      <c r="L1426" s="141" t="n"/>
      <c r="M1426" s="142" t="n"/>
      <c r="N1426" s="146">
        <f>IF(AND(AND(F1426="",G1426=""),B1426="",C1426="",D1426="",J1426="",K1426="",L1426=""),"",IF(AND(F1426="",G1426=""),"✗ 没填金额",IF(AND(N(F1426)&lt;&gt;0,N(G1426)&lt;&gt;0),"✗ 收入、支出只能填一边",IF(NOT(ISNUMBER(B1426)),"✗ 日期不是真日期（要像 2026/9/25 这样填）",IF(OR(B1426&lt;年初日,B1426&gt;年末日),"✗ 日期不在本会计年度",IF(C1426="","✗ 没选账户",IF(COUNTIF(基础资料!$W$5:$W$24,C1426)=0,"✗ 账户不在基础资料里",IF(O1426="","✗ 没选收支项目",IF(P1426="未知","✗ 收支项目不在基础资料里",IF(AND(P1426="应收",J1426=""),"✗ 这笔要选客户",IF(AND(P1426="应收",COUNTIF(总览汇总!$B$5:$B$304,J1426)=0),"✗ 客户不在总览汇总名单里",IF(AND(P1426="应付",K1426=""),"✗ 这笔要选供应商",IF(AND(P1426="应付",COUNTIF(基础资料!$Q$5:$Q$54,K1426)=0),"✗ 供应商不在基础资料里",IF(AND(P1426="费用",L1426=""),"✗ 费用支出要选费用项目",IF(AND(L1426&lt;&gt;"",COUNTIF(基础资料!$AI$5:$AI$54,L1426)=0),"✗ 费用项目不在基础资料里",IF(AND(IFERROR(INDEX(基础资料!$AD$5:$AD$34,MATCH(O1426,基础资料!$AC$5:$AC$34,0)),"")="收",N(G1426)&lt;&gt;0),"✗ 这类是收款，金额填到收入列",IF(AND(IFERROR(INDEX(基础资料!$AD$5:$AD$34,MATCH(O1426,基础资料!$AC$5:$AC$34,0)),"")="支",N(F1426)&lt;&gt;0),"✗ 这类是付款，金额填到支出列",IF(N(H1426)&lt;0,"⚠ 账户余额成负数了，核对一下","√"))))))))))))))))))</f>
      </c>
      <c r="O1426" s="78">
        <f>IF(D1426&lt;&gt;"",D1426,IF(AND(F1426="",G1426=""),"",IF(J1426&lt;&gt;"",IF(N(F1426)&gt;0,"客户回款","客户退款"),IF(K1426&lt;&gt;"",IF(N(G1426)&gt;0,"供应商付款","供应商退款"),IF(L1426&lt;&gt;"","费用支出","")))))</f>
      </c>
      <c r="P1426" s="78">
        <f>IF(O1426="","",IFERROR(INDEX(基础资料!$AE$5:$AE$34,MATCH(O1426,基础资料!$AC$5:$AC$34,0)),"未知"))</f>
      </c>
      <c r="Q1426" s="78">
        <f>IF(P1426="应收",COUNTIF(P$7:P1426,"应收"),"")</f>
      </c>
      <c r="R1426" s="78">
        <f>IF(P1426="应付",COUNTIF(P$7:P1426,"应付"),"")</f>
      </c>
      <c r="S1426" s="78">
        <f>N(F1426)-N(G1426)</f>
        <v>0</v>
      </c>
    </row>
    <row r="1427">
      <c r="A1427" s="109">
        <f>IF(AND(F1427="",G1427=""),"",ROW()-6)</f>
      </c>
      <c r="B1427" s="140" t="n"/>
      <c r="C1427" s="141" t="n"/>
      <c r="D1427" s="141" t="n"/>
      <c r="E1427" s="142" t="n"/>
      <c r="F1427" s="143" t="n"/>
      <c r="G1427" s="144" t="n"/>
      <c r="H1427" s="145">
        <f>IF(OR(C1427="",AND(F1427="",G1427="")),"",SUMIF(基础资料!$W$5:$W$24,C1427,基础资料!$X$5:$X$24)+SUMIF(C$7:C1427,C1427,F$7:F1427)-SUMIF(C$7:C1427,C1427,G$7:G1427))</f>
      </c>
      <c r="I1427" s="145">
        <f>IF(AND(F1427="",G1427=""),"",SUM(基础资料!$X$5:$X$24)+SUM(F$7:F1427)-SUM(G$7:G1427))</f>
      </c>
      <c r="J1427" s="141" t="n"/>
      <c r="K1427" s="141" t="n"/>
      <c r="L1427" s="141" t="n"/>
      <c r="M1427" s="142" t="n"/>
      <c r="N1427" s="146">
        <f>IF(AND(AND(F1427="",G1427=""),B1427="",C1427="",D1427="",J1427="",K1427="",L1427=""),"",IF(AND(F1427="",G1427=""),"✗ 没填金额",IF(AND(N(F1427)&lt;&gt;0,N(G1427)&lt;&gt;0),"✗ 收入、支出只能填一边",IF(NOT(ISNUMBER(B1427)),"✗ 日期不是真日期（要像 2026/9/25 这样填）",IF(OR(B1427&lt;年初日,B1427&gt;年末日),"✗ 日期不在本会计年度",IF(C1427="","✗ 没选账户",IF(COUNTIF(基础资料!$W$5:$W$24,C1427)=0,"✗ 账户不在基础资料里",IF(O1427="","✗ 没选收支项目",IF(P1427="未知","✗ 收支项目不在基础资料里",IF(AND(P1427="应收",J1427=""),"✗ 这笔要选客户",IF(AND(P1427="应收",COUNTIF(总览汇总!$B$5:$B$304,J1427)=0),"✗ 客户不在总览汇总名单里",IF(AND(P1427="应付",K1427=""),"✗ 这笔要选供应商",IF(AND(P1427="应付",COUNTIF(基础资料!$Q$5:$Q$54,K1427)=0),"✗ 供应商不在基础资料里",IF(AND(P1427="费用",L1427=""),"✗ 费用支出要选费用项目",IF(AND(L1427&lt;&gt;"",COUNTIF(基础资料!$AI$5:$AI$54,L1427)=0),"✗ 费用项目不在基础资料里",IF(AND(IFERROR(INDEX(基础资料!$AD$5:$AD$34,MATCH(O1427,基础资料!$AC$5:$AC$34,0)),"")="收",N(G1427)&lt;&gt;0),"✗ 这类是收款，金额填到收入列",IF(AND(IFERROR(INDEX(基础资料!$AD$5:$AD$34,MATCH(O1427,基础资料!$AC$5:$AC$34,0)),"")="支",N(F1427)&lt;&gt;0),"✗ 这类是付款，金额填到支出列",IF(N(H1427)&lt;0,"⚠ 账户余额成负数了，核对一下","√"))))))))))))))))))</f>
      </c>
      <c r="O1427" s="78">
        <f>IF(D1427&lt;&gt;"",D1427,IF(AND(F1427="",G1427=""),"",IF(J1427&lt;&gt;"",IF(N(F1427)&gt;0,"客户回款","客户退款"),IF(K1427&lt;&gt;"",IF(N(G1427)&gt;0,"供应商付款","供应商退款"),IF(L1427&lt;&gt;"","费用支出","")))))</f>
      </c>
      <c r="P1427" s="78">
        <f>IF(O1427="","",IFERROR(INDEX(基础资料!$AE$5:$AE$34,MATCH(O1427,基础资料!$AC$5:$AC$34,0)),"未知"))</f>
      </c>
      <c r="Q1427" s="78">
        <f>IF(P1427="应收",COUNTIF(P$7:P1427,"应收"),"")</f>
      </c>
      <c r="R1427" s="78">
        <f>IF(P1427="应付",COUNTIF(P$7:P1427,"应付"),"")</f>
      </c>
      <c r="S1427" s="78">
        <f>N(F1427)-N(G1427)</f>
        <v>0</v>
      </c>
    </row>
    <row r="1428">
      <c r="A1428" s="109">
        <f>IF(AND(F1428="",G1428=""),"",ROW()-6)</f>
      </c>
      <c r="B1428" s="140" t="n"/>
      <c r="C1428" s="141" t="n"/>
      <c r="D1428" s="141" t="n"/>
      <c r="E1428" s="142" t="n"/>
      <c r="F1428" s="143" t="n"/>
      <c r="G1428" s="144" t="n"/>
      <c r="H1428" s="145">
        <f>IF(OR(C1428="",AND(F1428="",G1428="")),"",SUMIF(基础资料!$W$5:$W$24,C1428,基础资料!$X$5:$X$24)+SUMIF(C$7:C1428,C1428,F$7:F1428)-SUMIF(C$7:C1428,C1428,G$7:G1428))</f>
      </c>
      <c r="I1428" s="145">
        <f>IF(AND(F1428="",G1428=""),"",SUM(基础资料!$X$5:$X$24)+SUM(F$7:F1428)-SUM(G$7:G1428))</f>
      </c>
      <c r="J1428" s="141" t="n"/>
      <c r="K1428" s="141" t="n"/>
      <c r="L1428" s="141" t="n"/>
      <c r="M1428" s="142" t="n"/>
      <c r="N1428" s="146">
        <f>IF(AND(AND(F1428="",G1428=""),B1428="",C1428="",D1428="",J1428="",K1428="",L1428=""),"",IF(AND(F1428="",G1428=""),"✗ 没填金额",IF(AND(N(F1428)&lt;&gt;0,N(G1428)&lt;&gt;0),"✗ 收入、支出只能填一边",IF(NOT(ISNUMBER(B1428)),"✗ 日期不是真日期（要像 2026/9/25 这样填）",IF(OR(B1428&lt;年初日,B1428&gt;年末日),"✗ 日期不在本会计年度",IF(C1428="","✗ 没选账户",IF(COUNTIF(基础资料!$W$5:$W$24,C1428)=0,"✗ 账户不在基础资料里",IF(O1428="","✗ 没选收支项目",IF(P1428="未知","✗ 收支项目不在基础资料里",IF(AND(P1428="应收",J1428=""),"✗ 这笔要选客户",IF(AND(P1428="应收",COUNTIF(总览汇总!$B$5:$B$304,J1428)=0),"✗ 客户不在总览汇总名单里",IF(AND(P1428="应付",K1428=""),"✗ 这笔要选供应商",IF(AND(P1428="应付",COUNTIF(基础资料!$Q$5:$Q$54,K1428)=0),"✗ 供应商不在基础资料里",IF(AND(P1428="费用",L1428=""),"✗ 费用支出要选费用项目",IF(AND(L1428&lt;&gt;"",COUNTIF(基础资料!$AI$5:$AI$54,L1428)=0),"✗ 费用项目不在基础资料里",IF(AND(IFERROR(INDEX(基础资料!$AD$5:$AD$34,MATCH(O1428,基础资料!$AC$5:$AC$34,0)),"")="收",N(G1428)&lt;&gt;0),"✗ 这类是收款，金额填到收入列",IF(AND(IFERROR(INDEX(基础资料!$AD$5:$AD$34,MATCH(O1428,基础资料!$AC$5:$AC$34,0)),"")="支",N(F1428)&lt;&gt;0),"✗ 这类是付款，金额填到支出列",IF(N(H1428)&lt;0,"⚠ 账户余额成负数了，核对一下","√"))))))))))))))))))</f>
      </c>
      <c r="O1428" s="78">
        <f>IF(D1428&lt;&gt;"",D1428,IF(AND(F1428="",G1428=""),"",IF(J1428&lt;&gt;"",IF(N(F1428)&gt;0,"客户回款","客户退款"),IF(K1428&lt;&gt;"",IF(N(G1428)&gt;0,"供应商付款","供应商退款"),IF(L1428&lt;&gt;"","费用支出","")))))</f>
      </c>
      <c r="P1428" s="78">
        <f>IF(O1428="","",IFERROR(INDEX(基础资料!$AE$5:$AE$34,MATCH(O1428,基础资料!$AC$5:$AC$34,0)),"未知"))</f>
      </c>
      <c r="Q1428" s="78">
        <f>IF(P1428="应收",COUNTIF(P$7:P1428,"应收"),"")</f>
      </c>
      <c r="R1428" s="78">
        <f>IF(P1428="应付",COUNTIF(P$7:P1428,"应付"),"")</f>
      </c>
      <c r="S1428" s="78">
        <f>N(F1428)-N(G1428)</f>
        <v>0</v>
      </c>
    </row>
    <row r="1429">
      <c r="A1429" s="109">
        <f>IF(AND(F1429="",G1429=""),"",ROW()-6)</f>
      </c>
      <c r="B1429" s="140" t="n"/>
      <c r="C1429" s="141" t="n"/>
      <c r="D1429" s="141" t="n"/>
      <c r="E1429" s="142" t="n"/>
      <c r="F1429" s="143" t="n"/>
      <c r="G1429" s="144" t="n"/>
      <c r="H1429" s="145">
        <f>IF(OR(C1429="",AND(F1429="",G1429="")),"",SUMIF(基础资料!$W$5:$W$24,C1429,基础资料!$X$5:$X$24)+SUMIF(C$7:C1429,C1429,F$7:F1429)-SUMIF(C$7:C1429,C1429,G$7:G1429))</f>
      </c>
      <c r="I1429" s="145">
        <f>IF(AND(F1429="",G1429=""),"",SUM(基础资料!$X$5:$X$24)+SUM(F$7:F1429)-SUM(G$7:G1429))</f>
      </c>
      <c r="J1429" s="141" t="n"/>
      <c r="K1429" s="141" t="n"/>
      <c r="L1429" s="141" t="n"/>
      <c r="M1429" s="142" t="n"/>
      <c r="N1429" s="146">
        <f>IF(AND(AND(F1429="",G1429=""),B1429="",C1429="",D1429="",J1429="",K1429="",L1429=""),"",IF(AND(F1429="",G1429=""),"✗ 没填金额",IF(AND(N(F1429)&lt;&gt;0,N(G1429)&lt;&gt;0),"✗ 收入、支出只能填一边",IF(NOT(ISNUMBER(B1429)),"✗ 日期不是真日期（要像 2026/9/25 这样填）",IF(OR(B1429&lt;年初日,B1429&gt;年末日),"✗ 日期不在本会计年度",IF(C1429="","✗ 没选账户",IF(COUNTIF(基础资料!$W$5:$W$24,C1429)=0,"✗ 账户不在基础资料里",IF(O1429="","✗ 没选收支项目",IF(P1429="未知","✗ 收支项目不在基础资料里",IF(AND(P1429="应收",J1429=""),"✗ 这笔要选客户",IF(AND(P1429="应收",COUNTIF(总览汇总!$B$5:$B$304,J1429)=0),"✗ 客户不在总览汇总名单里",IF(AND(P1429="应付",K1429=""),"✗ 这笔要选供应商",IF(AND(P1429="应付",COUNTIF(基础资料!$Q$5:$Q$54,K1429)=0),"✗ 供应商不在基础资料里",IF(AND(P1429="费用",L1429=""),"✗ 费用支出要选费用项目",IF(AND(L1429&lt;&gt;"",COUNTIF(基础资料!$AI$5:$AI$54,L1429)=0),"✗ 费用项目不在基础资料里",IF(AND(IFERROR(INDEX(基础资料!$AD$5:$AD$34,MATCH(O1429,基础资料!$AC$5:$AC$34,0)),"")="收",N(G1429)&lt;&gt;0),"✗ 这类是收款，金额填到收入列",IF(AND(IFERROR(INDEX(基础资料!$AD$5:$AD$34,MATCH(O1429,基础资料!$AC$5:$AC$34,0)),"")="支",N(F1429)&lt;&gt;0),"✗ 这类是付款，金额填到支出列",IF(N(H1429)&lt;0,"⚠ 账户余额成负数了，核对一下","√"))))))))))))))))))</f>
      </c>
      <c r="O1429" s="78">
        <f>IF(D1429&lt;&gt;"",D1429,IF(AND(F1429="",G1429=""),"",IF(J1429&lt;&gt;"",IF(N(F1429)&gt;0,"客户回款","客户退款"),IF(K1429&lt;&gt;"",IF(N(G1429)&gt;0,"供应商付款","供应商退款"),IF(L1429&lt;&gt;"","费用支出","")))))</f>
      </c>
      <c r="P1429" s="78">
        <f>IF(O1429="","",IFERROR(INDEX(基础资料!$AE$5:$AE$34,MATCH(O1429,基础资料!$AC$5:$AC$34,0)),"未知"))</f>
      </c>
      <c r="Q1429" s="78">
        <f>IF(P1429="应收",COUNTIF(P$7:P1429,"应收"),"")</f>
      </c>
      <c r="R1429" s="78">
        <f>IF(P1429="应付",COUNTIF(P$7:P1429,"应付"),"")</f>
      </c>
      <c r="S1429" s="78">
        <f>N(F1429)-N(G1429)</f>
        <v>0</v>
      </c>
    </row>
    <row r="1430">
      <c r="A1430" s="109">
        <f>IF(AND(F1430="",G1430=""),"",ROW()-6)</f>
      </c>
      <c r="B1430" s="140" t="n"/>
      <c r="C1430" s="141" t="n"/>
      <c r="D1430" s="141" t="n"/>
      <c r="E1430" s="142" t="n"/>
      <c r="F1430" s="143" t="n"/>
      <c r="G1430" s="144" t="n"/>
      <c r="H1430" s="145">
        <f>IF(OR(C1430="",AND(F1430="",G1430="")),"",SUMIF(基础资料!$W$5:$W$24,C1430,基础资料!$X$5:$X$24)+SUMIF(C$7:C1430,C1430,F$7:F1430)-SUMIF(C$7:C1430,C1430,G$7:G1430))</f>
      </c>
      <c r="I1430" s="145">
        <f>IF(AND(F1430="",G1430=""),"",SUM(基础资料!$X$5:$X$24)+SUM(F$7:F1430)-SUM(G$7:G1430))</f>
      </c>
      <c r="J1430" s="141" t="n"/>
      <c r="K1430" s="141" t="n"/>
      <c r="L1430" s="141" t="n"/>
      <c r="M1430" s="142" t="n"/>
      <c r="N1430" s="146">
        <f>IF(AND(AND(F1430="",G1430=""),B1430="",C1430="",D1430="",J1430="",K1430="",L1430=""),"",IF(AND(F1430="",G1430=""),"✗ 没填金额",IF(AND(N(F1430)&lt;&gt;0,N(G1430)&lt;&gt;0),"✗ 收入、支出只能填一边",IF(NOT(ISNUMBER(B1430)),"✗ 日期不是真日期（要像 2026/9/25 这样填）",IF(OR(B1430&lt;年初日,B1430&gt;年末日),"✗ 日期不在本会计年度",IF(C1430="","✗ 没选账户",IF(COUNTIF(基础资料!$W$5:$W$24,C1430)=0,"✗ 账户不在基础资料里",IF(O1430="","✗ 没选收支项目",IF(P1430="未知","✗ 收支项目不在基础资料里",IF(AND(P1430="应收",J1430=""),"✗ 这笔要选客户",IF(AND(P1430="应收",COUNTIF(总览汇总!$B$5:$B$304,J1430)=0),"✗ 客户不在总览汇总名单里",IF(AND(P1430="应付",K1430=""),"✗ 这笔要选供应商",IF(AND(P1430="应付",COUNTIF(基础资料!$Q$5:$Q$54,K1430)=0),"✗ 供应商不在基础资料里",IF(AND(P1430="费用",L1430=""),"✗ 费用支出要选费用项目",IF(AND(L1430&lt;&gt;"",COUNTIF(基础资料!$AI$5:$AI$54,L1430)=0),"✗ 费用项目不在基础资料里",IF(AND(IFERROR(INDEX(基础资料!$AD$5:$AD$34,MATCH(O1430,基础资料!$AC$5:$AC$34,0)),"")="收",N(G1430)&lt;&gt;0),"✗ 这类是收款，金额填到收入列",IF(AND(IFERROR(INDEX(基础资料!$AD$5:$AD$34,MATCH(O1430,基础资料!$AC$5:$AC$34,0)),"")="支",N(F1430)&lt;&gt;0),"✗ 这类是付款，金额填到支出列",IF(N(H1430)&lt;0,"⚠ 账户余额成负数了，核对一下","√"))))))))))))))))))</f>
      </c>
      <c r="O1430" s="78">
        <f>IF(D1430&lt;&gt;"",D1430,IF(AND(F1430="",G1430=""),"",IF(J1430&lt;&gt;"",IF(N(F1430)&gt;0,"客户回款","客户退款"),IF(K1430&lt;&gt;"",IF(N(G1430)&gt;0,"供应商付款","供应商退款"),IF(L1430&lt;&gt;"","费用支出","")))))</f>
      </c>
      <c r="P1430" s="78">
        <f>IF(O1430="","",IFERROR(INDEX(基础资料!$AE$5:$AE$34,MATCH(O1430,基础资料!$AC$5:$AC$34,0)),"未知"))</f>
      </c>
      <c r="Q1430" s="78">
        <f>IF(P1430="应收",COUNTIF(P$7:P1430,"应收"),"")</f>
      </c>
      <c r="R1430" s="78">
        <f>IF(P1430="应付",COUNTIF(P$7:P1430,"应付"),"")</f>
      </c>
      <c r="S1430" s="78">
        <f>N(F1430)-N(G1430)</f>
        <v>0</v>
      </c>
    </row>
    <row r="1431">
      <c r="A1431" s="109">
        <f>IF(AND(F1431="",G1431=""),"",ROW()-6)</f>
      </c>
      <c r="B1431" s="140" t="n"/>
      <c r="C1431" s="141" t="n"/>
      <c r="D1431" s="141" t="n"/>
      <c r="E1431" s="142" t="n"/>
      <c r="F1431" s="143" t="n"/>
      <c r="G1431" s="144" t="n"/>
      <c r="H1431" s="145">
        <f>IF(OR(C1431="",AND(F1431="",G1431="")),"",SUMIF(基础资料!$W$5:$W$24,C1431,基础资料!$X$5:$X$24)+SUMIF(C$7:C1431,C1431,F$7:F1431)-SUMIF(C$7:C1431,C1431,G$7:G1431))</f>
      </c>
      <c r="I1431" s="145">
        <f>IF(AND(F1431="",G1431=""),"",SUM(基础资料!$X$5:$X$24)+SUM(F$7:F1431)-SUM(G$7:G1431))</f>
      </c>
      <c r="J1431" s="141" t="n"/>
      <c r="K1431" s="141" t="n"/>
      <c r="L1431" s="141" t="n"/>
      <c r="M1431" s="142" t="n"/>
      <c r="N1431" s="146">
        <f>IF(AND(AND(F1431="",G1431=""),B1431="",C1431="",D1431="",J1431="",K1431="",L1431=""),"",IF(AND(F1431="",G1431=""),"✗ 没填金额",IF(AND(N(F1431)&lt;&gt;0,N(G1431)&lt;&gt;0),"✗ 收入、支出只能填一边",IF(NOT(ISNUMBER(B1431)),"✗ 日期不是真日期（要像 2026/9/25 这样填）",IF(OR(B1431&lt;年初日,B1431&gt;年末日),"✗ 日期不在本会计年度",IF(C1431="","✗ 没选账户",IF(COUNTIF(基础资料!$W$5:$W$24,C1431)=0,"✗ 账户不在基础资料里",IF(O1431="","✗ 没选收支项目",IF(P1431="未知","✗ 收支项目不在基础资料里",IF(AND(P1431="应收",J1431=""),"✗ 这笔要选客户",IF(AND(P1431="应收",COUNTIF(总览汇总!$B$5:$B$304,J1431)=0),"✗ 客户不在总览汇总名单里",IF(AND(P1431="应付",K1431=""),"✗ 这笔要选供应商",IF(AND(P1431="应付",COUNTIF(基础资料!$Q$5:$Q$54,K1431)=0),"✗ 供应商不在基础资料里",IF(AND(P1431="费用",L1431=""),"✗ 费用支出要选费用项目",IF(AND(L1431&lt;&gt;"",COUNTIF(基础资料!$AI$5:$AI$54,L1431)=0),"✗ 费用项目不在基础资料里",IF(AND(IFERROR(INDEX(基础资料!$AD$5:$AD$34,MATCH(O1431,基础资料!$AC$5:$AC$34,0)),"")="收",N(G1431)&lt;&gt;0),"✗ 这类是收款，金额填到收入列",IF(AND(IFERROR(INDEX(基础资料!$AD$5:$AD$34,MATCH(O1431,基础资料!$AC$5:$AC$34,0)),"")="支",N(F1431)&lt;&gt;0),"✗ 这类是付款，金额填到支出列",IF(N(H1431)&lt;0,"⚠ 账户余额成负数了，核对一下","√"))))))))))))))))))</f>
      </c>
      <c r="O1431" s="78">
        <f>IF(D1431&lt;&gt;"",D1431,IF(AND(F1431="",G1431=""),"",IF(J1431&lt;&gt;"",IF(N(F1431)&gt;0,"客户回款","客户退款"),IF(K1431&lt;&gt;"",IF(N(G1431)&gt;0,"供应商付款","供应商退款"),IF(L1431&lt;&gt;"","费用支出","")))))</f>
      </c>
      <c r="P1431" s="78">
        <f>IF(O1431="","",IFERROR(INDEX(基础资料!$AE$5:$AE$34,MATCH(O1431,基础资料!$AC$5:$AC$34,0)),"未知"))</f>
      </c>
      <c r="Q1431" s="78">
        <f>IF(P1431="应收",COUNTIF(P$7:P1431,"应收"),"")</f>
      </c>
      <c r="R1431" s="78">
        <f>IF(P1431="应付",COUNTIF(P$7:P1431,"应付"),"")</f>
      </c>
      <c r="S1431" s="78">
        <f>N(F1431)-N(G1431)</f>
        <v>0</v>
      </c>
    </row>
    <row r="1432">
      <c r="A1432" s="109">
        <f>IF(AND(F1432="",G1432=""),"",ROW()-6)</f>
      </c>
      <c r="B1432" s="140" t="n"/>
      <c r="C1432" s="141" t="n"/>
      <c r="D1432" s="141" t="n"/>
      <c r="E1432" s="142" t="n"/>
      <c r="F1432" s="143" t="n"/>
      <c r="G1432" s="144" t="n"/>
      <c r="H1432" s="145">
        <f>IF(OR(C1432="",AND(F1432="",G1432="")),"",SUMIF(基础资料!$W$5:$W$24,C1432,基础资料!$X$5:$X$24)+SUMIF(C$7:C1432,C1432,F$7:F1432)-SUMIF(C$7:C1432,C1432,G$7:G1432))</f>
      </c>
      <c r="I1432" s="145">
        <f>IF(AND(F1432="",G1432=""),"",SUM(基础资料!$X$5:$X$24)+SUM(F$7:F1432)-SUM(G$7:G1432))</f>
      </c>
      <c r="J1432" s="141" t="n"/>
      <c r="K1432" s="141" t="n"/>
      <c r="L1432" s="141" t="n"/>
      <c r="M1432" s="142" t="n"/>
      <c r="N1432" s="146">
        <f>IF(AND(AND(F1432="",G1432=""),B1432="",C1432="",D1432="",J1432="",K1432="",L1432=""),"",IF(AND(F1432="",G1432=""),"✗ 没填金额",IF(AND(N(F1432)&lt;&gt;0,N(G1432)&lt;&gt;0),"✗ 收入、支出只能填一边",IF(NOT(ISNUMBER(B1432)),"✗ 日期不是真日期（要像 2026/9/25 这样填）",IF(OR(B1432&lt;年初日,B1432&gt;年末日),"✗ 日期不在本会计年度",IF(C1432="","✗ 没选账户",IF(COUNTIF(基础资料!$W$5:$W$24,C1432)=0,"✗ 账户不在基础资料里",IF(O1432="","✗ 没选收支项目",IF(P1432="未知","✗ 收支项目不在基础资料里",IF(AND(P1432="应收",J1432=""),"✗ 这笔要选客户",IF(AND(P1432="应收",COUNTIF(总览汇总!$B$5:$B$304,J1432)=0),"✗ 客户不在总览汇总名单里",IF(AND(P1432="应付",K1432=""),"✗ 这笔要选供应商",IF(AND(P1432="应付",COUNTIF(基础资料!$Q$5:$Q$54,K1432)=0),"✗ 供应商不在基础资料里",IF(AND(P1432="费用",L1432=""),"✗ 费用支出要选费用项目",IF(AND(L1432&lt;&gt;"",COUNTIF(基础资料!$AI$5:$AI$54,L1432)=0),"✗ 费用项目不在基础资料里",IF(AND(IFERROR(INDEX(基础资料!$AD$5:$AD$34,MATCH(O1432,基础资料!$AC$5:$AC$34,0)),"")="收",N(G1432)&lt;&gt;0),"✗ 这类是收款，金额填到收入列",IF(AND(IFERROR(INDEX(基础资料!$AD$5:$AD$34,MATCH(O1432,基础资料!$AC$5:$AC$34,0)),"")="支",N(F1432)&lt;&gt;0),"✗ 这类是付款，金额填到支出列",IF(N(H1432)&lt;0,"⚠ 账户余额成负数了，核对一下","√"))))))))))))))))))</f>
      </c>
      <c r="O1432" s="78">
        <f>IF(D1432&lt;&gt;"",D1432,IF(AND(F1432="",G1432=""),"",IF(J1432&lt;&gt;"",IF(N(F1432)&gt;0,"客户回款","客户退款"),IF(K1432&lt;&gt;"",IF(N(G1432)&gt;0,"供应商付款","供应商退款"),IF(L1432&lt;&gt;"","费用支出","")))))</f>
      </c>
      <c r="P1432" s="78">
        <f>IF(O1432="","",IFERROR(INDEX(基础资料!$AE$5:$AE$34,MATCH(O1432,基础资料!$AC$5:$AC$34,0)),"未知"))</f>
      </c>
      <c r="Q1432" s="78">
        <f>IF(P1432="应收",COUNTIF(P$7:P1432,"应收"),"")</f>
      </c>
      <c r="R1432" s="78">
        <f>IF(P1432="应付",COUNTIF(P$7:P1432,"应付"),"")</f>
      </c>
      <c r="S1432" s="78">
        <f>N(F1432)-N(G1432)</f>
        <v>0</v>
      </c>
    </row>
    <row r="1433">
      <c r="A1433" s="109">
        <f>IF(AND(F1433="",G1433=""),"",ROW()-6)</f>
      </c>
      <c r="B1433" s="140" t="n"/>
      <c r="C1433" s="141" t="n"/>
      <c r="D1433" s="141" t="n"/>
      <c r="E1433" s="142" t="n"/>
      <c r="F1433" s="143" t="n"/>
      <c r="G1433" s="144" t="n"/>
      <c r="H1433" s="145">
        <f>IF(OR(C1433="",AND(F1433="",G1433="")),"",SUMIF(基础资料!$W$5:$W$24,C1433,基础资料!$X$5:$X$24)+SUMIF(C$7:C1433,C1433,F$7:F1433)-SUMIF(C$7:C1433,C1433,G$7:G1433))</f>
      </c>
      <c r="I1433" s="145">
        <f>IF(AND(F1433="",G1433=""),"",SUM(基础资料!$X$5:$X$24)+SUM(F$7:F1433)-SUM(G$7:G1433))</f>
      </c>
      <c r="J1433" s="141" t="n"/>
      <c r="K1433" s="141" t="n"/>
      <c r="L1433" s="141" t="n"/>
      <c r="M1433" s="142" t="n"/>
      <c r="N1433" s="146">
        <f>IF(AND(AND(F1433="",G1433=""),B1433="",C1433="",D1433="",J1433="",K1433="",L1433=""),"",IF(AND(F1433="",G1433=""),"✗ 没填金额",IF(AND(N(F1433)&lt;&gt;0,N(G1433)&lt;&gt;0),"✗ 收入、支出只能填一边",IF(NOT(ISNUMBER(B1433)),"✗ 日期不是真日期（要像 2026/9/25 这样填）",IF(OR(B1433&lt;年初日,B1433&gt;年末日),"✗ 日期不在本会计年度",IF(C1433="","✗ 没选账户",IF(COUNTIF(基础资料!$W$5:$W$24,C1433)=0,"✗ 账户不在基础资料里",IF(O1433="","✗ 没选收支项目",IF(P1433="未知","✗ 收支项目不在基础资料里",IF(AND(P1433="应收",J1433=""),"✗ 这笔要选客户",IF(AND(P1433="应收",COUNTIF(总览汇总!$B$5:$B$304,J1433)=0),"✗ 客户不在总览汇总名单里",IF(AND(P1433="应付",K1433=""),"✗ 这笔要选供应商",IF(AND(P1433="应付",COUNTIF(基础资料!$Q$5:$Q$54,K1433)=0),"✗ 供应商不在基础资料里",IF(AND(P1433="费用",L1433=""),"✗ 费用支出要选费用项目",IF(AND(L1433&lt;&gt;"",COUNTIF(基础资料!$AI$5:$AI$54,L1433)=0),"✗ 费用项目不在基础资料里",IF(AND(IFERROR(INDEX(基础资料!$AD$5:$AD$34,MATCH(O1433,基础资料!$AC$5:$AC$34,0)),"")="收",N(G1433)&lt;&gt;0),"✗ 这类是收款，金额填到收入列",IF(AND(IFERROR(INDEX(基础资料!$AD$5:$AD$34,MATCH(O1433,基础资料!$AC$5:$AC$34,0)),"")="支",N(F1433)&lt;&gt;0),"✗ 这类是付款，金额填到支出列",IF(N(H1433)&lt;0,"⚠ 账户余额成负数了，核对一下","√"))))))))))))))))))</f>
      </c>
      <c r="O1433" s="78">
        <f>IF(D1433&lt;&gt;"",D1433,IF(AND(F1433="",G1433=""),"",IF(J1433&lt;&gt;"",IF(N(F1433)&gt;0,"客户回款","客户退款"),IF(K1433&lt;&gt;"",IF(N(G1433)&gt;0,"供应商付款","供应商退款"),IF(L1433&lt;&gt;"","费用支出","")))))</f>
      </c>
      <c r="P1433" s="78">
        <f>IF(O1433="","",IFERROR(INDEX(基础资料!$AE$5:$AE$34,MATCH(O1433,基础资料!$AC$5:$AC$34,0)),"未知"))</f>
      </c>
      <c r="Q1433" s="78">
        <f>IF(P1433="应收",COUNTIF(P$7:P1433,"应收"),"")</f>
      </c>
      <c r="R1433" s="78">
        <f>IF(P1433="应付",COUNTIF(P$7:P1433,"应付"),"")</f>
      </c>
      <c r="S1433" s="78">
        <f>N(F1433)-N(G1433)</f>
        <v>0</v>
      </c>
    </row>
    <row r="1434">
      <c r="A1434" s="109">
        <f>IF(AND(F1434="",G1434=""),"",ROW()-6)</f>
      </c>
      <c r="B1434" s="140" t="n"/>
      <c r="C1434" s="141" t="n"/>
      <c r="D1434" s="141" t="n"/>
      <c r="E1434" s="142" t="n"/>
      <c r="F1434" s="143" t="n"/>
      <c r="G1434" s="144" t="n"/>
      <c r="H1434" s="145">
        <f>IF(OR(C1434="",AND(F1434="",G1434="")),"",SUMIF(基础资料!$W$5:$W$24,C1434,基础资料!$X$5:$X$24)+SUMIF(C$7:C1434,C1434,F$7:F1434)-SUMIF(C$7:C1434,C1434,G$7:G1434))</f>
      </c>
      <c r="I1434" s="145">
        <f>IF(AND(F1434="",G1434=""),"",SUM(基础资料!$X$5:$X$24)+SUM(F$7:F1434)-SUM(G$7:G1434))</f>
      </c>
      <c r="J1434" s="141" t="n"/>
      <c r="K1434" s="141" t="n"/>
      <c r="L1434" s="141" t="n"/>
      <c r="M1434" s="142" t="n"/>
      <c r="N1434" s="146">
        <f>IF(AND(AND(F1434="",G1434=""),B1434="",C1434="",D1434="",J1434="",K1434="",L1434=""),"",IF(AND(F1434="",G1434=""),"✗ 没填金额",IF(AND(N(F1434)&lt;&gt;0,N(G1434)&lt;&gt;0),"✗ 收入、支出只能填一边",IF(NOT(ISNUMBER(B1434)),"✗ 日期不是真日期（要像 2026/9/25 这样填）",IF(OR(B1434&lt;年初日,B1434&gt;年末日),"✗ 日期不在本会计年度",IF(C1434="","✗ 没选账户",IF(COUNTIF(基础资料!$W$5:$W$24,C1434)=0,"✗ 账户不在基础资料里",IF(O1434="","✗ 没选收支项目",IF(P1434="未知","✗ 收支项目不在基础资料里",IF(AND(P1434="应收",J1434=""),"✗ 这笔要选客户",IF(AND(P1434="应收",COUNTIF(总览汇总!$B$5:$B$304,J1434)=0),"✗ 客户不在总览汇总名单里",IF(AND(P1434="应付",K1434=""),"✗ 这笔要选供应商",IF(AND(P1434="应付",COUNTIF(基础资料!$Q$5:$Q$54,K1434)=0),"✗ 供应商不在基础资料里",IF(AND(P1434="费用",L1434=""),"✗ 费用支出要选费用项目",IF(AND(L1434&lt;&gt;"",COUNTIF(基础资料!$AI$5:$AI$54,L1434)=0),"✗ 费用项目不在基础资料里",IF(AND(IFERROR(INDEX(基础资料!$AD$5:$AD$34,MATCH(O1434,基础资料!$AC$5:$AC$34,0)),"")="收",N(G1434)&lt;&gt;0),"✗ 这类是收款，金额填到收入列",IF(AND(IFERROR(INDEX(基础资料!$AD$5:$AD$34,MATCH(O1434,基础资料!$AC$5:$AC$34,0)),"")="支",N(F1434)&lt;&gt;0),"✗ 这类是付款，金额填到支出列",IF(N(H1434)&lt;0,"⚠ 账户余额成负数了，核对一下","√"))))))))))))))))))</f>
      </c>
      <c r="O1434" s="78">
        <f>IF(D1434&lt;&gt;"",D1434,IF(AND(F1434="",G1434=""),"",IF(J1434&lt;&gt;"",IF(N(F1434)&gt;0,"客户回款","客户退款"),IF(K1434&lt;&gt;"",IF(N(G1434)&gt;0,"供应商付款","供应商退款"),IF(L1434&lt;&gt;"","费用支出","")))))</f>
      </c>
      <c r="P1434" s="78">
        <f>IF(O1434="","",IFERROR(INDEX(基础资料!$AE$5:$AE$34,MATCH(O1434,基础资料!$AC$5:$AC$34,0)),"未知"))</f>
      </c>
      <c r="Q1434" s="78">
        <f>IF(P1434="应收",COUNTIF(P$7:P1434,"应收"),"")</f>
      </c>
      <c r="R1434" s="78">
        <f>IF(P1434="应付",COUNTIF(P$7:P1434,"应付"),"")</f>
      </c>
      <c r="S1434" s="78">
        <f>N(F1434)-N(G1434)</f>
        <v>0</v>
      </c>
    </row>
    <row r="1435">
      <c r="A1435" s="109">
        <f>IF(AND(F1435="",G1435=""),"",ROW()-6)</f>
      </c>
      <c r="B1435" s="140" t="n"/>
      <c r="C1435" s="141" t="n"/>
      <c r="D1435" s="141" t="n"/>
      <c r="E1435" s="142" t="n"/>
      <c r="F1435" s="143" t="n"/>
      <c r="G1435" s="144" t="n"/>
      <c r="H1435" s="145">
        <f>IF(OR(C1435="",AND(F1435="",G1435="")),"",SUMIF(基础资料!$W$5:$W$24,C1435,基础资料!$X$5:$X$24)+SUMIF(C$7:C1435,C1435,F$7:F1435)-SUMIF(C$7:C1435,C1435,G$7:G1435))</f>
      </c>
      <c r="I1435" s="145">
        <f>IF(AND(F1435="",G1435=""),"",SUM(基础资料!$X$5:$X$24)+SUM(F$7:F1435)-SUM(G$7:G1435))</f>
      </c>
      <c r="J1435" s="141" t="n"/>
      <c r="K1435" s="141" t="n"/>
      <c r="L1435" s="141" t="n"/>
      <c r="M1435" s="142" t="n"/>
      <c r="N1435" s="146">
        <f>IF(AND(AND(F1435="",G1435=""),B1435="",C1435="",D1435="",J1435="",K1435="",L1435=""),"",IF(AND(F1435="",G1435=""),"✗ 没填金额",IF(AND(N(F1435)&lt;&gt;0,N(G1435)&lt;&gt;0),"✗ 收入、支出只能填一边",IF(NOT(ISNUMBER(B1435)),"✗ 日期不是真日期（要像 2026/9/25 这样填）",IF(OR(B1435&lt;年初日,B1435&gt;年末日),"✗ 日期不在本会计年度",IF(C1435="","✗ 没选账户",IF(COUNTIF(基础资料!$W$5:$W$24,C1435)=0,"✗ 账户不在基础资料里",IF(O1435="","✗ 没选收支项目",IF(P1435="未知","✗ 收支项目不在基础资料里",IF(AND(P1435="应收",J1435=""),"✗ 这笔要选客户",IF(AND(P1435="应收",COUNTIF(总览汇总!$B$5:$B$304,J1435)=0),"✗ 客户不在总览汇总名单里",IF(AND(P1435="应付",K1435=""),"✗ 这笔要选供应商",IF(AND(P1435="应付",COUNTIF(基础资料!$Q$5:$Q$54,K1435)=0),"✗ 供应商不在基础资料里",IF(AND(P1435="费用",L1435=""),"✗ 费用支出要选费用项目",IF(AND(L1435&lt;&gt;"",COUNTIF(基础资料!$AI$5:$AI$54,L1435)=0),"✗ 费用项目不在基础资料里",IF(AND(IFERROR(INDEX(基础资料!$AD$5:$AD$34,MATCH(O1435,基础资料!$AC$5:$AC$34,0)),"")="收",N(G1435)&lt;&gt;0),"✗ 这类是收款，金额填到收入列",IF(AND(IFERROR(INDEX(基础资料!$AD$5:$AD$34,MATCH(O1435,基础资料!$AC$5:$AC$34,0)),"")="支",N(F1435)&lt;&gt;0),"✗ 这类是付款，金额填到支出列",IF(N(H1435)&lt;0,"⚠ 账户余额成负数了，核对一下","√"))))))))))))))))))</f>
      </c>
      <c r="O1435" s="78">
        <f>IF(D1435&lt;&gt;"",D1435,IF(AND(F1435="",G1435=""),"",IF(J1435&lt;&gt;"",IF(N(F1435)&gt;0,"客户回款","客户退款"),IF(K1435&lt;&gt;"",IF(N(G1435)&gt;0,"供应商付款","供应商退款"),IF(L1435&lt;&gt;"","费用支出","")))))</f>
      </c>
      <c r="P1435" s="78">
        <f>IF(O1435="","",IFERROR(INDEX(基础资料!$AE$5:$AE$34,MATCH(O1435,基础资料!$AC$5:$AC$34,0)),"未知"))</f>
      </c>
      <c r="Q1435" s="78">
        <f>IF(P1435="应收",COUNTIF(P$7:P1435,"应收"),"")</f>
      </c>
      <c r="R1435" s="78">
        <f>IF(P1435="应付",COUNTIF(P$7:P1435,"应付"),"")</f>
      </c>
      <c r="S1435" s="78">
        <f>N(F1435)-N(G1435)</f>
        <v>0</v>
      </c>
    </row>
    <row r="1436">
      <c r="A1436" s="109">
        <f>IF(AND(F1436="",G1436=""),"",ROW()-6)</f>
      </c>
      <c r="B1436" s="140" t="n"/>
      <c r="C1436" s="141" t="n"/>
      <c r="D1436" s="141" t="n"/>
      <c r="E1436" s="142" t="n"/>
      <c r="F1436" s="143" t="n"/>
      <c r="G1436" s="144" t="n"/>
      <c r="H1436" s="145">
        <f>IF(OR(C1436="",AND(F1436="",G1436="")),"",SUMIF(基础资料!$W$5:$W$24,C1436,基础资料!$X$5:$X$24)+SUMIF(C$7:C1436,C1436,F$7:F1436)-SUMIF(C$7:C1436,C1436,G$7:G1436))</f>
      </c>
      <c r="I1436" s="145">
        <f>IF(AND(F1436="",G1436=""),"",SUM(基础资料!$X$5:$X$24)+SUM(F$7:F1436)-SUM(G$7:G1436))</f>
      </c>
      <c r="J1436" s="141" t="n"/>
      <c r="K1436" s="141" t="n"/>
      <c r="L1436" s="141" t="n"/>
      <c r="M1436" s="142" t="n"/>
      <c r="N1436" s="146">
        <f>IF(AND(AND(F1436="",G1436=""),B1436="",C1436="",D1436="",J1436="",K1436="",L1436=""),"",IF(AND(F1436="",G1436=""),"✗ 没填金额",IF(AND(N(F1436)&lt;&gt;0,N(G1436)&lt;&gt;0),"✗ 收入、支出只能填一边",IF(NOT(ISNUMBER(B1436)),"✗ 日期不是真日期（要像 2026/9/25 这样填）",IF(OR(B1436&lt;年初日,B1436&gt;年末日),"✗ 日期不在本会计年度",IF(C1436="","✗ 没选账户",IF(COUNTIF(基础资料!$W$5:$W$24,C1436)=0,"✗ 账户不在基础资料里",IF(O1436="","✗ 没选收支项目",IF(P1436="未知","✗ 收支项目不在基础资料里",IF(AND(P1436="应收",J1436=""),"✗ 这笔要选客户",IF(AND(P1436="应收",COUNTIF(总览汇总!$B$5:$B$304,J1436)=0),"✗ 客户不在总览汇总名单里",IF(AND(P1436="应付",K1436=""),"✗ 这笔要选供应商",IF(AND(P1436="应付",COUNTIF(基础资料!$Q$5:$Q$54,K1436)=0),"✗ 供应商不在基础资料里",IF(AND(P1436="费用",L1436=""),"✗ 费用支出要选费用项目",IF(AND(L1436&lt;&gt;"",COUNTIF(基础资料!$AI$5:$AI$54,L1436)=0),"✗ 费用项目不在基础资料里",IF(AND(IFERROR(INDEX(基础资料!$AD$5:$AD$34,MATCH(O1436,基础资料!$AC$5:$AC$34,0)),"")="收",N(G1436)&lt;&gt;0),"✗ 这类是收款，金额填到收入列",IF(AND(IFERROR(INDEX(基础资料!$AD$5:$AD$34,MATCH(O1436,基础资料!$AC$5:$AC$34,0)),"")="支",N(F1436)&lt;&gt;0),"✗ 这类是付款，金额填到支出列",IF(N(H1436)&lt;0,"⚠ 账户余额成负数了，核对一下","√"))))))))))))))))))</f>
      </c>
      <c r="O1436" s="78">
        <f>IF(D1436&lt;&gt;"",D1436,IF(AND(F1436="",G1436=""),"",IF(J1436&lt;&gt;"",IF(N(F1436)&gt;0,"客户回款","客户退款"),IF(K1436&lt;&gt;"",IF(N(G1436)&gt;0,"供应商付款","供应商退款"),IF(L1436&lt;&gt;"","费用支出","")))))</f>
      </c>
      <c r="P1436" s="78">
        <f>IF(O1436="","",IFERROR(INDEX(基础资料!$AE$5:$AE$34,MATCH(O1436,基础资料!$AC$5:$AC$34,0)),"未知"))</f>
      </c>
      <c r="Q1436" s="78">
        <f>IF(P1436="应收",COUNTIF(P$7:P1436,"应收"),"")</f>
      </c>
      <c r="R1436" s="78">
        <f>IF(P1436="应付",COUNTIF(P$7:P1436,"应付"),"")</f>
      </c>
      <c r="S1436" s="78">
        <f>N(F1436)-N(G1436)</f>
        <v>0</v>
      </c>
    </row>
    <row r="1437">
      <c r="A1437" s="109">
        <f>IF(AND(F1437="",G1437=""),"",ROW()-6)</f>
      </c>
      <c r="B1437" s="140" t="n"/>
      <c r="C1437" s="141" t="n"/>
      <c r="D1437" s="141" t="n"/>
      <c r="E1437" s="142" t="n"/>
      <c r="F1437" s="143" t="n"/>
      <c r="G1437" s="144" t="n"/>
      <c r="H1437" s="145">
        <f>IF(OR(C1437="",AND(F1437="",G1437="")),"",SUMIF(基础资料!$W$5:$W$24,C1437,基础资料!$X$5:$X$24)+SUMIF(C$7:C1437,C1437,F$7:F1437)-SUMIF(C$7:C1437,C1437,G$7:G1437))</f>
      </c>
      <c r="I1437" s="145">
        <f>IF(AND(F1437="",G1437=""),"",SUM(基础资料!$X$5:$X$24)+SUM(F$7:F1437)-SUM(G$7:G1437))</f>
      </c>
      <c r="J1437" s="141" t="n"/>
      <c r="K1437" s="141" t="n"/>
      <c r="L1437" s="141" t="n"/>
      <c r="M1437" s="142" t="n"/>
      <c r="N1437" s="146">
        <f>IF(AND(AND(F1437="",G1437=""),B1437="",C1437="",D1437="",J1437="",K1437="",L1437=""),"",IF(AND(F1437="",G1437=""),"✗ 没填金额",IF(AND(N(F1437)&lt;&gt;0,N(G1437)&lt;&gt;0),"✗ 收入、支出只能填一边",IF(NOT(ISNUMBER(B1437)),"✗ 日期不是真日期（要像 2026/9/25 这样填）",IF(OR(B1437&lt;年初日,B1437&gt;年末日),"✗ 日期不在本会计年度",IF(C1437="","✗ 没选账户",IF(COUNTIF(基础资料!$W$5:$W$24,C1437)=0,"✗ 账户不在基础资料里",IF(O1437="","✗ 没选收支项目",IF(P1437="未知","✗ 收支项目不在基础资料里",IF(AND(P1437="应收",J1437=""),"✗ 这笔要选客户",IF(AND(P1437="应收",COUNTIF(总览汇总!$B$5:$B$304,J1437)=0),"✗ 客户不在总览汇总名单里",IF(AND(P1437="应付",K1437=""),"✗ 这笔要选供应商",IF(AND(P1437="应付",COUNTIF(基础资料!$Q$5:$Q$54,K1437)=0),"✗ 供应商不在基础资料里",IF(AND(P1437="费用",L1437=""),"✗ 费用支出要选费用项目",IF(AND(L1437&lt;&gt;"",COUNTIF(基础资料!$AI$5:$AI$54,L1437)=0),"✗ 费用项目不在基础资料里",IF(AND(IFERROR(INDEX(基础资料!$AD$5:$AD$34,MATCH(O1437,基础资料!$AC$5:$AC$34,0)),"")="收",N(G1437)&lt;&gt;0),"✗ 这类是收款，金额填到收入列",IF(AND(IFERROR(INDEX(基础资料!$AD$5:$AD$34,MATCH(O1437,基础资料!$AC$5:$AC$34,0)),"")="支",N(F1437)&lt;&gt;0),"✗ 这类是付款，金额填到支出列",IF(N(H1437)&lt;0,"⚠ 账户余额成负数了，核对一下","√"))))))))))))))))))</f>
      </c>
      <c r="O1437" s="78">
        <f>IF(D1437&lt;&gt;"",D1437,IF(AND(F1437="",G1437=""),"",IF(J1437&lt;&gt;"",IF(N(F1437)&gt;0,"客户回款","客户退款"),IF(K1437&lt;&gt;"",IF(N(G1437)&gt;0,"供应商付款","供应商退款"),IF(L1437&lt;&gt;"","费用支出","")))))</f>
      </c>
      <c r="P1437" s="78">
        <f>IF(O1437="","",IFERROR(INDEX(基础资料!$AE$5:$AE$34,MATCH(O1437,基础资料!$AC$5:$AC$34,0)),"未知"))</f>
      </c>
      <c r="Q1437" s="78">
        <f>IF(P1437="应收",COUNTIF(P$7:P1437,"应收"),"")</f>
      </c>
      <c r="R1437" s="78">
        <f>IF(P1437="应付",COUNTIF(P$7:P1437,"应付"),"")</f>
      </c>
      <c r="S1437" s="78">
        <f>N(F1437)-N(G1437)</f>
        <v>0</v>
      </c>
    </row>
    <row r="1438">
      <c r="A1438" s="109">
        <f>IF(AND(F1438="",G1438=""),"",ROW()-6)</f>
      </c>
      <c r="B1438" s="140" t="n"/>
      <c r="C1438" s="141" t="n"/>
      <c r="D1438" s="141" t="n"/>
      <c r="E1438" s="142" t="n"/>
      <c r="F1438" s="143" t="n"/>
      <c r="G1438" s="144" t="n"/>
      <c r="H1438" s="145">
        <f>IF(OR(C1438="",AND(F1438="",G1438="")),"",SUMIF(基础资料!$W$5:$W$24,C1438,基础资料!$X$5:$X$24)+SUMIF(C$7:C1438,C1438,F$7:F1438)-SUMIF(C$7:C1438,C1438,G$7:G1438))</f>
      </c>
      <c r="I1438" s="145">
        <f>IF(AND(F1438="",G1438=""),"",SUM(基础资料!$X$5:$X$24)+SUM(F$7:F1438)-SUM(G$7:G1438))</f>
      </c>
      <c r="J1438" s="141" t="n"/>
      <c r="K1438" s="141" t="n"/>
      <c r="L1438" s="141" t="n"/>
      <c r="M1438" s="142" t="n"/>
      <c r="N1438" s="146">
        <f>IF(AND(AND(F1438="",G1438=""),B1438="",C1438="",D1438="",J1438="",K1438="",L1438=""),"",IF(AND(F1438="",G1438=""),"✗ 没填金额",IF(AND(N(F1438)&lt;&gt;0,N(G1438)&lt;&gt;0),"✗ 收入、支出只能填一边",IF(NOT(ISNUMBER(B1438)),"✗ 日期不是真日期（要像 2026/9/25 这样填）",IF(OR(B1438&lt;年初日,B1438&gt;年末日),"✗ 日期不在本会计年度",IF(C1438="","✗ 没选账户",IF(COUNTIF(基础资料!$W$5:$W$24,C1438)=0,"✗ 账户不在基础资料里",IF(O1438="","✗ 没选收支项目",IF(P1438="未知","✗ 收支项目不在基础资料里",IF(AND(P1438="应收",J1438=""),"✗ 这笔要选客户",IF(AND(P1438="应收",COUNTIF(总览汇总!$B$5:$B$304,J1438)=0),"✗ 客户不在总览汇总名单里",IF(AND(P1438="应付",K1438=""),"✗ 这笔要选供应商",IF(AND(P1438="应付",COUNTIF(基础资料!$Q$5:$Q$54,K1438)=0),"✗ 供应商不在基础资料里",IF(AND(P1438="费用",L1438=""),"✗ 费用支出要选费用项目",IF(AND(L1438&lt;&gt;"",COUNTIF(基础资料!$AI$5:$AI$54,L1438)=0),"✗ 费用项目不在基础资料里",IF(AND(IFERROR(INDEX(基础资料!$AD$5:$AD$34,MATCH(O1438,基础资料!$AC$5:$AC$34,0)),"")="收",N(G1438)&lt;&gt;0),"✗ 这类是收款，金额填到收入列",IF(AND(IFERROR(INDEX(基础资料!$AD$5:$AD$34,MATCH(O1438,基础资料!$AC$5:$AC$34,0)),"")="支",N(F1438)&lt;&gt;0),"✗ 这类是付款，金额填到支出列",IF(N(H1438)&lt;0,"⚠ 账户余额成负数了，核对一下","√"))))))))))))))))))</f>
      </c>
      <c r="O1438" s="78">
        <f>IF(D1438&lt;&gt;"",D1438,IF(AND(F1438="",G1438=""),"",IF(J1438&lt;&gt;"",IF(N(F1438)&gt;0,"客户回款","客户退款"),IF(K1438&lt;&gt;"",IF(N(G1438)&gt;0,"供应商付款","供应商退款"),IF(L1438&lt;&gt;"","费用支出","")))))</f>
      </c>
      <c r="P1438" s="78">
        <f>IF(O1438="","",IFERROR(INDEX(基础资料!$AE$5:$AE$34,MATCH(O1438,基础资料!$AC$5:$AC$34,0)),"未知"))</f>
      </c>
      <c r="Q1438" s="78">
        <f>IF(P1438="应收",COUNTIF(P$7:P1438,"应收"),"")</f>
      </c>
      <c r="R1438" s="78">
        <f>IF(P1438="应付",COUNTIF(P$7:P1438,"应付"),"")</f>
      </c>
      <c r="S1438" s="78">
        <f>N(F1438)-N(G1438)</f>
        <v>0</v>
      </c>
    </row>
    <row r="1439">
      <c r="A1439" s="109">
        <f>IF(AND(F1439="",G1439=""),"",ROW()-6)</f>
      </c>
      <c r="B1439" s="140" t="n"/>
      <c r="C1439" s="141" t="n"/>
      <c r="D1439" s="141" t="n"/>
      <c r="E1439" s="142" t="n"/>
      <c r="F1439" s="143" t="n"/>
      <c r="G1439" s="144" t="n"/>
      <c r="H1439" s="145">
        <f>IF(OR(C1439="",AND(F1439="",G1439="")),"",SUMIF(基础资料!$W$5:$W$24,C1439,基础资料!$X$5:$X$24)+SUMIF(C$7:C1439,C1439,F$7:F1439)-SUMIF(C$7:C1439,C1439,G$7:G1439))</f>
      </c>
      <c r="I1439" s="145">
        <f>IF(AND(F1439="",G1439=""),"",SUM(基础资料!$X$5:$X$24)+SUM(F$7:F1439)-SUM(G$7:G1439))</f>
      </c>
      <c r="J1439" s="141" t="n"/>
      <c r="K1439" s="141" t="n"/>
      <c r="L1439" s="141" t="n"/>
      <c r="M1439" s="142" t="n"/>
      <c r="N1439" s="146">
        <f>IF(AND(AND(F1439="",G1439=""),B1439="",C1439="",D1439="",J1439="",K1439="",L1439=""),"",IF(AND(F1439="",G1439=""),"✗ 没填金额",IF(AND(N(F1439)&lt;&gt;0,N(G1439)&lt;&gt;0),"✗ 收入、支出只能填一边",IF(NOT(ISNUMBER(B1439)),"✗ 日期不是真日期（要像 2026/9/25 这样填）",IF(OR(B1439&lt;年初日,B1439&gt;年末日),"✗ 日期不在本会计年度",IF(C1439="","✗ 没选账户",IF(COUNTIF(基础资料!$W$5:$W$24,C1439)=0,"✗ 账户不在基础资料里",IF(O1439="","✗ 没选收支项目",IF(P1439="未知","✗ 收支项目不在基础资料里",IF(AND(P1439="应收",J1439=""),"✗ 这笔要选客户",IF(AND(P1439="应收",COUNTIF(总览汇总!$B$5:$B$304,J1439)=0),"✗ 客户不在总览汇总名单里",IF(AND(P1439="应付",K1439=""),"✗ 这笔要选供应商",IF(AND(P1439="应付",COUNTIF(基础资料!$Q$5:$Q$54,K1439)=0),"✗ 供应商不在基础资料里",IF(AND(P1439="费用",L1439=""),"✗ 费用支出要选费用项目",IF(AND(L1439&lt;&gt;"",COUNTIF(基础资料!$AI$5:$AI$54,L1439)=0),"✗ 费用项目不在基础资料里",IF(AND(IFERROR(INDEX(基础资料!$AD$5:$AD$34,MATCH(O1439,基础资料!$AC$5:$AC$34,0)),"")="收",N(G1439)&lt;&gt;0),"✗ 这类是收款，金额填到收入列",IF(AND(IFERROR(INDEX(基础资料!$AD$5:$AD$34,MATCH(O1439,基础资料!$AC$5:$AC$34,0)),"")="支",N(F1439)&lt;&gt;0),"✗ 这类是付款，金额填到支出列",IF(N(H1439)&lt;0,"⚠ 账户余额成负数了，核对一下","√"))))))))))))))))))</f>
      </c>
      <c r="O1439" s="78">
        <f>IF(D1439&lt;&gt;"",D1439,IF(AND(F1439="",G1439=""),"",IF(J1439&lt;&gt;"",IF(N(F1439)&gt;0,"客户回款","客户退款"),IF(K1439&lt;&gt;"",IF(N(G1439)&gt;0,"供应商付款","供应商退款"),IF(L1439&lt;&gt;"","费用支出","")))))</f>
      </c>
      <c r="P1439" s="78">
        <f>IF(O1439="","",IFERROR(INDEX(基础资料!$AE$5:$AE$34,MATCH(O1439,基础资料!$AC$5:$AC$34,0)),"未知"))</f>
      </c>
      <c r="Q1439" s="78">
        <f>IF(P1439="应收",COUNTIF(P$7:P1439,"应收"),"")</f>
      </c>
      <c r="R1439" s="78">
        <f>IF(P1439="应付",COUNTIF(P$7:P1439,"应付"),"")</f>
      </c>
      <c r="S1439" s="78">
        <f>N(F1439)-N(G1439)</f>
        <v>0</v>
      </c>
    </row>
    <row r="1440">
      <c r="A1440" s="109">
        <f>IF(AND(F1440="",G1440=""),"",ROW()-6)</f>
      </c>
      <c r="B1440" s="140" t="n"/>
      <c r="C1440" s="141" t="n"/>
      <c r="D1440" s="141" t="n"/>
      <c r="E1440" s="142" t="n"/>
      <c r="F1440" s="143" t="n"/>
      <c r="G1440" s="144" t="n"/>
      <c r="H1440" s="145">
        <f>IF(OR(C1440="",AND(F1440="",G1440="")),"",SUMIF(基础资料!$W$5:$W$24,C1440,基础资料!$X$5:$X$24)+SUMIF(C$7:C1440,C1440,F$7:F1440)-SUMIF(C$7:C1440,C1440,G$7:G1440))</f>
      </c>
      <c r="I1440" s="145">
        <f>IF(AND(F1440="",G1440=""),"",SUM(基础资料!$X$5:$X$24)+SUM(F$7:F1440)-SUM(G$7:G1440))</f>
      </c>
      <c r="J1440" s="141" t="n"/>
      <c r="K1440" s="141" t="n"/>
      <c r="L1440" s="141" t="n"/>
      <c r="M1440" s="142" t="n"/>
      <c r="N1440" s="146">
        <f>IF(AND(AND(F1440="",G1440=""),B1440="",C1440="",D1440="",J1440="",K1440="",L1440=""),"",IF(AND(F1440="",G1440=""),"✗ 没填金额",IF(AND(N(F1440)&lt;&gt;0,N(G1440)&lt;&gt;0),"✗ 收入、支出只能填一边",IF(NOT(ISNUMBER(B1440)),"✗ 日期不是真日期（要像 2026/9/25 这样填）",IF(OR(B1440&lt;年初日,B1440&gt;年末日),"✗ 日期不在本会计年度",IF(C1440="","✗ 没选账户",IF(COUNTIF(基础资料!$W$5:$W$24,C1440)=0,"✗ 账户不在基础资料里",IF(O1440="","✗ 没选收支项目",IF(P1440="未知","✗ 收支项目不在基础资料里",IF(AND(P1440="应收",J1440=""),"✗ 这笔要选客户",IF(AND(P1440="应收",COUNTIF(总览汇总!$B$5:$B$304,J1440)=0),"✗ 客户不在总览汇总名单里",IF(AND(P1440="应付",K1440=""),"✗ 这笔要选供应商",IF(AND(P1440="应付",COUNTIF(基础资料!$Q$5:$Q$54,K1440)=0),"✗ 供应商不在基础资料里",IF(AND(P1440="费用",L1440=""),"✗ 费用支出要选费用项目",IF(AND(L1440&lt;&gt;"",COUNTIF(基础资料!$AI$5:$AI$54,L1440)=0),"✗ 费用项目不在基础资料里",IF(AND(IFERROR(INDEX(基础资料!$AD$5:$AD$34,MATCH(O1440,基础资料!$AC$5:$AC$34,0)),"")="收",N(G1440)&lt;&gt;0),"✗ 这类是收款，金额填到收入列",IF(AND(IFERROR(INDEX(基础资料!$AD$5:$AD$34,MATCH(O1440,基础资料!$AC$5:$AC$34,0)),"")="支",N(F1440)&lt;&gt;0),"✗ 这类是付款，金额填到支出列",IF(N(H1440)&lt;0,"⚠ 账户余额成负数了，核对一下","√"))))))))))))))))))</f>
      </c>
      <c r="O1440" s="78">
        <f>IF(D1440&lt;&gt;"",D1440,IF(AND(F1440="",G1440=""),"",IF(J1440&lt;&gt;"",IF(N(F1440)&gt;0,"客户回款","客户退款"),IF(K1440&lt;&gt;"",IF(N(G1440)&gt;0,"供应商付款","供应商退款"),IF(L1440&lt;&gt;"","费用支出","")))))</f>
      </c>
      <c r="P1440" s="78">
        <f>IF(O1440="","",IFERROR(INDEX(基础资料!$AE$5:$AE$34,MATCH(O1440,基础资料!$AC$5:$AC$34,0)),"未知"))</f>
      </c>
      <c r="Q1440" s="78">
        <f>IF(P1440="应收",COUNTIF(P$7:P1440,"应收"),"")</f>
      </c>
      <c r="R1440" s="78">
        <f>IF(P1440="应付",COUNTIF(P$7:P1440,"应付"),"")</f>
      </c>
      <c r="S1440" s="78">
        <f>N(F1440)-N(G1440)</f>
        <v>0</v>
      </c>
    </row>
    <row r="1441">
      <c r="A1441" s="109">
        <f>IF(AND(F1441="",G1441=""),"",ROW()-6)</f>
      </c>
      <c r="B1441" s="140" t="n"/>
      <c r="C1441" s="141" t="n"/>
      <c r="D1441" s="141" t="n"/>
      <c r="E1441" s="142" t="n"/>
      <c r="F1441" s="143" t="n"/>
      <c r="G1441" s="144" t="n"/>
      <c r="H1441" s="145">
        <f>IF(OR(C1441="",AND(F1441="",G1441="")),"",SUMIF(基础资料!$W$5:$W$24,C1441,基础资料!$X$5:$X$24)+SUMIF(C$7:C1441,C1441,F$7:F1441)-SUMIF(C$7:C1441,C1441,G$7:G1441))</f>
      </c>
      <c r="I1441" s="145">
        <f>IF(AND(F1441="",G1441=""),"",SUM(基础资料!$X$5:$X$24)+SUM(F$7:F1441)-SUM(G$7:G1441))</f>
      </c>
      <c r="J1441" s="141" t="n"/>
      <c r="K1441" s="141" t="n"/>
      <c r="L1441" s="141" t="n"/>
      <c r="M1441" s="142" t="n"/>
      <c r="N1441" s="146">
        <f>IF(AND(AND(F1441="",G1441=""),B1441="",C1441="",D1441="",J1441="",K1441="",L1441=""),"",IF(AND(F1441="",G1441=""),"✗ 没填金额",IF(AND(N(F1441)&lt;&gt;0,N(G1441)&lt;&gt;0),"✗ 收入、支出只能填一边",IF(NOT(ISNUMBER(B1441)),"✗ 日期不是真日期（要像 2026/9/25 这样填）",IF(OR(B1441&lt;年初日,B1441&gt;年末日),"✗ 日期不在本会计年度",IF(C1441="","✗ 没选账户",IF(COUNTIF(基础资料!$W$5:$W$24,C1441)=0,"✗ 账户不在基础资料里",IF(O1441="","✗ 没选收支项目",IF(P1441="未知","✗ 收支项目不在基础资料里",IF(AND(P1441="应收",J1441=""),"✗ 这笔要选客户",IF(AND(P1441="应收",COUNTIF(总览汇总!$B$5:$B$304,J1441)=0),"✗ 客户不在总览汇总名单里",IF(AND(P1441="应付",K1441=""),"✗ 这笔要选供应商",IF(AND(P1441="应付",COUNTIF(基础资料!$Q$5:$Q$54,K1441)=0),"✗ 供应商不在基础资料里",IF(AND(P1441="费用",L1441=""),"✗ 费用支出要选费用项目",IF(AND(L1441&lt;&gt;"",COUNTIF(基础资料!$AI$5:$AI$54,L1441)=0),"✗ 费用项目不在基础资料里",IF(AND(IFERROR(INDEX(基础资料!$AD$5:$AD$34,MATCH(O1441,基础资料!$AC$5:$AC$34,0)),"")="收",N(G1441)&lt;&gt;0),"✗ 这类是收款，金额填到收入列",IF(AND(IFERROR(INDEX(基础资料!$AD$5:$AD$34,MATCH(O1441,基础资料!$AC$5:$AC$34,0)),"")="支",N(F1441)&lt;&gt;0),"✗ 这类是付款，金额填到支出列",IF(N(H1441)&lt;0,"⚠ 账户余额成负数了，核对一下","√"))))))))))))))))))</f>
      </c>
      <c r="O1441" s="78">
        <f>IF(D1441&lt;&gt;"",D1441,IF(AND(F1441="",G1441=""),"",IF(J1441&lt;&gt;"",IF(N(F1441)&gt;0,"客户回款","客户退款"),IF(K1441&lt;&gt;"",IF(N(G1441)&gt;0,"供应商付款","供应商退款"),IF(L1441&lt;&gt;"","费用支出","")))))</f>
      </c>
      <c r="P1441" s="78">
        <f>IF(O1441="","",IFERROR(INDEX(基础资料!$AE$5:$AE$34,MATCH(O1441,基础资料!$AC$5:$AC$34,0)),"未知"))</f>
      </c>
      <c r="Q1441" s="78">
        <f>IF(P1441="应收",COUNTIF(P$7:P1441,"应收"),"")</f>
      </c>
      <c r="R1441" s="78">
        <f>IF(P1441="应付",COUNTIF(P$7:P1441,"应付"),"")</f>
      </c>
      <c r="S1441" s="78">
        <f>N(F1441)-N(G1441)</f>
        <v>0</v>
      </c>
    </row>
    <row r="1442">
      <c r="A1442" s="109">
        <f>IF(AND(F1442="",G1442=""),"",ROW()-6)</f>
      </c>
      <c r="B1442" s="140" t="n"/>
      <c r="C1442" s="141" t="n"/>
      <c r="D1442" s="141" t="n"/>
      <c r="E1442" s="142" t="n"/>
      <c r="F1442" s="143" t="n"/>
      <c r="G1442" s="144" t="n"/>
      <c r="H1442" s="145">
        <f>IF(OR(C1442="",AND(F1442="",G1442="")),"",SUMIF(基础资料!$W$5:$W$24,C1442,基础资料!$X$5:$X$24)+SUMIF(C$7:C1442,C1442,F$7:F1442)-SUMIF(C$7:C1442,C1442,G$7:G1442))</f>
      </c>
      <c r="I1442" s="145">
        <f>IF(AND(F1442="",G1442=""),"",SUM(基础资料!$X$5:$X$24)+SUM(F$7:F1442)-SUM(G$7:G1442))</f>
      </c>
      <c r="J1442" s="141" t="n"/>
      <c r="K1442" s="141" t="n"/>
      <c r="L1442" s="141" t="n"/>
      <c r="M1442" s="142" t="n"/>
      <c r="N1442" s="146">
        <f>IF(AND(AND(F1442="",G1442=""),B1442="",C1442="",D1442="",J1442="",K1442="",L1442=""),"",IF(AND(F1442="",G1442=""),"✗ 没填金额",IF(AND(N(F1442)&lt;&gt;0,N(G1442)&lt;&gt;0),"✗ 收入、支出只能填一边",IF(NOT(ISNUMBER(B1442)),"✗ 日期不是真日期（要像 2026/9/25 这样填）",IF(OR(B1442&lt;年初日,B1442&gt;年末日),"✗ 日期不在本会计年度",IF(C1442="","✗ 没选账户",IF(COUNTIF(基础资料!$W$5:$W$24,C1442)=0,"✗ 账户不在基础资料里",IF(O1442="","✗ 没选收支项目",IF(P1442="未知","✗ 收支项目不在基础资料里",IF(AND(P1442="应收",J1442=""),"✗ 这笔要选客户",IF(AND(P1442="应收",COUNTIF(总览汇总!$B$5:$B$304,J1442)=0),"✗ 客户不在总览汇总名单里",IF(AND(P1442="应付",K1442=""),"✗ 这笔要选供应商",IF(AND(P1442="应付",COUNTIF(基础资料!$Q$5:$Q$54,K1442)=0),"✗ 供应商不在基础资料里",IF(AND(P1442="费用",L1442=""),"✗ 费用支出要选费用项目",IF(AND(L1442&lt;&gt;"",COUNTIF(基础资料!$AI$5:$AI$54,L1442)=0),"✗ 费用项目不在基础资料里",IF(AND(IFERROR(INDEX(基础资料!$AD$5:$AD$34,MATCH(O1442,基础资料!$AC$5:$AC$34,0)),"")="收",N(G1442)&lt;&gt;0),"✗ 这类是收款，金额填到收入列",IF(AND(IFERROR(INDEX(基础资料!$AD$5:$AD$34,MATCH(O1442,基础资料!$AC$5:$AC$34,0)),"")="支",N(F1442)&lt;&gt;0),"✗ 这类是付款，金额填到支出列",IF(N(H1442)&lt;0,"⚠ 账户余额成负数了，核对一下","√"))))))))))))))))))</f>
      </c>
      <c r="O1442" s="78">
        <f>IF(D1442&lt;&gt;"",D1442,IF(AND(F1442="",G1442=""),"",IF(J1442&lt;&gt;"",IF(N(F1442)&gt;0,"客户回款","客户退款"),IF(K1442&lt;&gt;"",IF(N(G1442)&gt;0,"供应商付款","供应商退款"),IF(L1442&lt;&gt;"","费用支出","")))))</f>
      </c>
      <c r="P1442" s="78">
        <f>IF(O1442="","",IFERROR(INDEX(基础资料!$AE$5:$AE$34,MATCH(O1442,基础资料!$AC$5:$AC$34,0)),"未知"))</f>
      </c>
      <c r="Q1442" s="78">
        <f>IF(P1442="应收",COUNTIF(P$7:P1442,"应收"),"")</f>
      </c>
      <c r="R1442" s="78">
        <f>IF(P1442="应付",COUNTIF(P$7:P1442,"应付"),"")</f>
      </c>
      <c r="S1442" s="78">
        <f>N(F1442)-N(G1442)</f>
        <v>0</v>
      </c>
    </row>
    <row r="1443">
      <c r="A1443" s="109">
        <f>IF(AND(F1443="",G1443=""),"",ROW()-6)</f>
      </c>
      <c r="B1443" s="140" t="n"/>
      <c r="C1443" s="141" t="n"/>
      <c r="D1443" s="141" t="n"/>
      <c r="E1443" s="142" t="n"/>
      <c r="F1443" s="143" t="n"/>
      <c r="G1443" s="144" t="n"/>
      <c r="H1443" s="145">
        <f>IF(OR(C1443="",AND(F1443="",G1443="")),"",SUMIF(基础资料!$W$5:$W$24,C1443,基础资料!$X$5:$X$24)+SUMIF(C$7:C1443,C1443,F$7:F1443)-SUMIF(C$7:C1443,C1443,G$7:G1443))</f>
      </c>
      <c r="I1443" s="145">
        <f>IF(AND(F1443="",G1443=""),"",SUM(基础资料!$X$5:$X$24)+SUM(F$7:F1443)-SUM(G$7:G1443))</f>
      </c>
      <c r="J1443" s="141" t="n"/>
      <c r="K1443" s="141" t="n"/>
      <c r="L1443" s="141" t="n"/>
      <c r="M1443" s="142" t="n"/>
      <c r="N1443" s="146">
        <f>IF(AND(AND(F1443="",G1443=""),B1443="",C1443="",D1443="",J1443="",K1443="",L1443=""),"",IF(AND(F1443="",G1443=""),"✗ 没填金额",IF(AND(N(F1443)&lt;&gt;0,N(G1443)&lt;&gt;0),"✗ 收入、支出只能填一边",IF(NOT(ISNUMBER(B1443)),"✗ 日期不是真日期（要像 2026/9/25 这样填）",IF(OR(B1443&lt;年初日,B1443&gt;年末日),"✗ 日期不在本会计年度",IF(C1443="","✗ 没选账户",IF(COUNTIF(基础资料!$W$5:$W$24,C1443)=0,"✗ 账户不在基础资料里",IF(O1443="","✗ 没选收支项目",IF(P1443="未知","✗ 收支项目不在基础资料里",IF(AND(P1443="应收",J1443=""),"✗ 这笔要选客户",IF(AND(P1443="应收",COUNTIF(总览汇总!$B$5:$B$304,J1443)=0),"✗ 客户不在总览汇总名单里",IF(AND(P1443="应付",K1443=""),"✗ 这笔要选供应商",IF(AND(P1443="应付",COUNTIF(基础资料!$Q$5:$Q$54,K1443)=0),"✗ 供应商不在基础资料里",IF(AND(P1443="费用",L1443=""),"✗ 费用支出要选费用项目",IF(AND(L1443&lt;&gt;"",COUNTIF(基础资料!$AI$5:$AI$54,L1443)=0),"✗ 费用项目不在基础资料里",IF(AND(IFERROR(INDEX(基础资料!$AD$5:$AD$34,MATCH(O1443,基础资料!$AC$5:$AC$34,0)),"")="收",N(G1443)&lt;&gt;0),"✗ 这类是收款，金额填到收入列",IF(AND(IFERROR(INDEX(基础资料!$AD$5:$AD$34,MATCH(O1443,基础资料!$AC$5:$AC$34,0)),"")="支",N(F1443)&lt;&gt;0),"✗ 这类是付款，金额填到支出列",IF(N(H1443)&lt;0,"⚠ 账户余额成负数了，核对一下","√"))))))))))))))))))</f>
      </c>
      <c r="O1443" s="78">
        <f>IF(D1443&lt;&gt;"",D1443,IF(AND(F1443="",G1443=""),"",IF(J1443&lt;&gt;"",IF(N(F1443)&gt;0,"客户回款","客户退款"),IF(K1443&lt;&gt;"",IF(N(G1443)&gt;0,"供应商付款","供应商退款"),IF(L1443&lt;&gt;"","费用支出","")))))</f>
      </c>
      <c r="P1443" s="78">
        <f>IF(O1443="","",IFERROR(INDEX(基础资料!$AE$5:$AE$34,MATCH(O1443,基础资料!$AC$5:$AC$34,0)),"未知"))</f>
      </c>
      <c r="Q1443" s="78">
        <f>IF(P1443="应收",COUNTIF(P$7:P1443,"应收"),"")</f>
      </c>
      <c r="R1443" s="78">
        <f>IF(P1443="应付",COUNTIF(P$7:P1443,"应付"),"")</f>
      </c>
      <c r="S1443" s="78">
        <f>N(F1443)-N(G1443)</f>
        <v>0</v>
      </c>
    </row>
    <row r="1444">
      <c r="A1444" s="109">
        <f>IF(AND(F1444="",G1444=""),"",ROW()-6)</f>
      </c>
      <c r="B1444" s="140" t="n"/>
      <c r="C1444" s="141" t="n"/>
      <c r="D1444" s="141" t="n"/>
      <c r="E1444" s="142" t="n"/>
      <c r="F1444" s="143" t="n"/>
      <c r="G1444" s="144" t="n"/>
      <c r="H1444" s="145">
        <f>IF(OR(C1444="",AND(F1444="",G1444="")),"",SUMIF(基础资料!$W$5:$W$24,C1444,基础资料!$X$5:$X$24)+SUMIF(C$7:C1444,C1444,F$7:F1444)-SUMIF(C$7:C1444,C1444,G$7:G1444))</f>
      </c>
      <c r="I1444" s="145">
        <f>IF(AND(F1444="",G1444=""),"",SUM(基础资料!$X$5:$X$24)+SUM(F$7:F1444)-SUM(G$7:G1444))</f>
      </c>
      <c r="J1444" s="141" t="n"/>
      <c r="K1444" s="141" t="n"/>
      <c r="L1444" s="141" t="n"/>
      <c r="M1444" s="142" t="n"/>
      <c r="N1444" s="146">
        <f>IF(AND(AND(F1444="",G1444=""),B1444="",C1444="",D1444="",J1444="",K1444="",L1444=""),"",IF(AND(F1444="",G1444=""),"✗ 没填金额",IF(AND(N(F1444)&lt;&gt;0,N(G1444)&lt;&gt;0),"✗ 收入、支出只能填一边",IF(NOT(ISNUMBER(B1444)),"✗ 日期不是真日期（要像 2026/9/25 这样填）",IF(OR(B1444&lt;年初日,B1444&gt;年末日),"✗ 日期不在本会计年度",IF(C1444="","✗ 没选账户",IF(COUNTIF(基础资料!$W$5:$W$24,C1444)=0,"✗ 账户不在基础资料里",IF(O1444="","✗ 没选收支项目",IF(P1444="未知","✗ 收支项目不在基础资料里",IF(AND(P1444="应收",J1444=""),"✗ 这笔要选客户",IF(AND(P1444="应收",COUNTIF(总览汇总!$B$5:$B$304,J1444)=0),"✗ 客户不在总览汇总名单里",IF(AND(P1444="应付",K1444=""),"✗ 这笔要选供应商",IF(AND(P1444="应付",COUNTIF(基础资料!$Q$5:$Q$54,K1444)=0),"✗ 供应商不在基础资料里",IF(AND(P1444="费用",L1444=""),"✗ 费用支出要选费用项目",IF(AND(L1444&lt;&gt;"",COUNTIF(基础资料!$AI$5:$AI$54,L1444)=0),"✗ 费用项目不在基础资料里",IF(AND(IFERROR(INDEX(基础资料!$AD$5:$AD$34,MATCH(O1444,基础资料!$AC$5:$AC$34,0)),"")="收",N(G1444)&lt;&gt;0),"✗ 这类是收款，金额填到收入列",IF(AND(IFERROR(INDEX(基础资料!$AD$5:$AD$34,MATCH(O1444,基础资料!$AC$5:$AC$34,0)),"")="支",N(F1444)&lt;&gt;0),"✗ 这类是付款，金额填到支出列",IF(N(H1444)&lt;0,"⚠ 账户余额成负数了，核对一下","√"))))))))))))))))))</f>
      </c>
      <c r="O1444" s="78">
        <f>IF(D1444&lt;&gt;"",D1444,IF(AND(F1444="",G1444=""),"",IF(J1444&lt;&gt;"",IF(N(F1444)&gt;0,"客户回款","客户退款"),IF(K1444&lt;&gt;"",IF(N(G1444)&gt;0,"供应商付款","供应商退款"),IF(L1444&lt;&gt;"","费用支出","")))))</f>
      </c>
      <c r="P1444" s="78">
        <f>IF(O1444="","",IFERROR(INDEX(基础资料!$AE$5:$AE$34,MATCH(O1444,基础资料!$AC$5:$AC$34,0)),"未知"))</f>
      </c>
      <c r="Q1444" s="78">
        <f>IF(P1444="应收",COUNTIF(P$7:P1444,"应收"),"")</f>
      </c>
      <c r="R1444" s="78">
        <f>IF(P1444="应付",COUNTIF(P$7:P1444,"应付"),"")</f>
      </c>
      <c r="S1444" s="78">
        <f>N(F1444)-N(G1444)</f>
        <v>0</v>
      </c>
    </row>
    <row r="1445">
      <c r="A1445" s="109">
        <f>IF(AND(F1445="",G1445=""),"",ROW()-6)</f>
      </c>
      <c r="B1445" s="140" t="n"/>
      <c r="C1445" s="141" t="n"/>
      <c r="D1445" s="141" t="n"/>
      <c r="E1445" s="142" t="n"/>
      <c r="F1445" s="143" t="n"/>
      <c r="G1445" s="144" t="n"/>
      <c r="H1445" s="145">
        <f>IF(OR(C1445="",AND(F1445="",G1445="")),"",SUMIF(基础资料!$W$5:$W$24,C1445,基础资料!$X$5:$X$24)+SUMIF(C$7:C1445,C1445,F$7:F1445)-SUMIF(C$7:C1445,C1445,G$7:G1445))</f>
      </c>
      <c r="I1445" s="145">
        <f>IF(AND(F1445="",G1445=""),"",SUM(基础资料!$X$5:$X$24)+SUM(F$7:F1445)-SUM(G$7:G1445))</f>
      </c>
      <c r="J1445" s="141" t="n"/>
      <c r="K1445" s="141" t="n"/>
      <c r="L1445" s="141" t="n"/>
      <c r="M1445" s="142" t="n"/>
      <c r="N1445" s="146">
        <f>IF(AND(AND(F1445="",G1445=""),B1445="",C1445="",D1445="",J1445="",K1445="",L1445=""),"",IF(AND(F1445="",G1445=""),"✗ 没填金额",IF(AND(N(F1445)&lt;&gt;0,N(G1445)&lt;&gt;0),"✗ 收入、支出只能填一边",IF(NOT(ISNUMBER(B1445)),"✗ 日期不是真日期（要像 2026/9/25 这样填）",IF(OR(B1445&lt;年初日,B1445&gt;年末日),"✗ 日期不在本会计年度",IF(C1445="","✗ 没选账户",IF(COUNTIF(基础资料!$W$5:$W$24,C1445)=0,"✗ 账户不在基础资料里",IF(O1445="","✗ 没选收支项目",IF(P1445="未知","✗ 收支项目不在基础资料里",IF(AND(P1445="应收",J1445=""),"✗ 这笔要选客户",IF(AND(P1445="应收",COUNTIF(总览汇总!$B$5:$B$304,J1445)=0),"✗ 客户不在总览汇总名单里",IF(AND(P1445="应付",K1445=""),"✗ 这笔要选供应商",IF(AND(P1445="应付",COUNTIF(基础资料!$Q$5:$Q$54,K1445)=0),"✗ 供应商不在基础资料里",IF(AND(P1445="费用",L1445=""),"✗ 费用支出要选费用项目",IF(AND(L1445&lt;&gt;"",COUNTIF(基础资料!$AI$5:$AI$54,L1445)=0),"✗ 费用项目不在基础资料里",IF(AND(IFERROR(INDEX(基础资料!$AD$5:$AD$34,MATCH(O1445,基础资料!$AC$5:$AC$34,0)),"")="收",N(G1445)&lt;&gt;0),"✗ 这类是收款，金额填到收入列",IF(AND(IFERROR(INDEX(基础资料!$AD$5:$AD$34,MATCH(O1445,基础资料!$AC$5:$AC$34,0)),"")="支",N(F1445)&lt;&gt;0),"✗ 这类是付款，金额填到支出列",IF(N(H1445)&lt;0,"⚠ 账户余额成负数了，核对一下","√"))))))))))))))))))</f>
      </c>
      <c r="O1445" s="78">
        <f>IF(D1445&lt;&gt;"",D1445,IF(AND(F1445="",G1445=""),"",IF(J1445&lt;&gt;"",IF(N(F1445)&gt;0,"客户回款","客户退款"),IF(K1445&lt;&gt;"",IF(N(G1445)&gt;0,"供应商付款","供应商退款"),IF(L1445&lt;&gt;"","费用支出","")))))</f>
      </c>
      <c r="P1445" s="78">
        <f>IF(O1445="","",IFERROR(INDEX(基础资料!$AE$5:$AE$34,MATCH(O1445,基础资料!$AC$5:$AC$34,0)),"未知"))</f>
      </c>
      <c r="Q1445" s="78">
        <f>IF(P1445="应收",COUNTIF(P$7:P1445,"应收"),"")</f>
      </c>
      <c r="R1445" s="78">
        <f>IF(P1445="应付",COUNTIF(P$7:P1445,"应付"),"")</f>
      </c>
      <c r="S1445" s="78">
        <f>N(F1445)-N(G1445)</f>
        <v>0</v>
      </c>
    </row>
    <row r="1446">
      <c r="A1446" s="109">
        <f>IF(AND(F1446="",G1446=""),"",ROW()-6)</f>
      </c>
      <c r="B1446" s="140" t="n"/>
      <c r="C1446" s="141" t="n"/>
      <c r="D1446" s="141" t="n"/>
      <c r="E1446" s="142" t="n"/>
      <c r="F1446" s="143" t="n"/>
      <c r="G1446" s="144" t="n"/>
      <c r="H1446" s="145">
        <f>IF(OR(C1446="",AND(F1446="",G1446="")),"",SUMIF(基础资料!$W$5:$W$24,C1446,基础资料!$X$5:$X$24)+SUMIF(C$7:C1446,C1446,F$7:F1446)-SUMIF(C$7:C1446,C1446,G$7:G1446))</f>
      </c>
      <c r="I1446" s="145">
        <f>IF(AND(F1446="",G1446=""),"",SUM(基础资料!$X$5:$X$24)+SUM(F$7:F1446)-SUM(G$7:G1446))</f>
      </c>
      <c r="J1446" s="141" t="n"/>
      <c r="K1446" s="141" t="n"/>
      <c r="L1446" s="141" t="n"/>
      <c r="M1446" s="142" t="n"/>
      <c r="N1446" s="146">
        <f>IF(AND(AND(F1446="",G1446=""),B1446="",C1446="",D1446="",J1446="",K1446="",L1446=""),"",IF(AND(F1446="",G1446=""),"✗ 没填金额",IF(AND(N(F1446)&lt;&gt;0,N(G1446)&lt;&gt;0),"✗ 收入、支出只能填一边",IF(NOT(ISNUMBER(B1446)),"✗ 日期不是真日期（要像 2026/9/25 这样填）",IF(OR(B1446&lt;年初日,B1446&gt;年末日),"✗ 日期不在本会计年度",IF(C1446="","✗ 没选账户",IF(COUNTIF(基础资料!$W$5:$W$24,C1446)=0,"✗ 账户不在基础资料里",IF(O1446="","✗ 没选收支项目",IF(P1446="未知","✗ 收支项目不在基础资料里",IF(AND(P1446="应收",J1446=""),"✗ 这笔要选客户",IF(AND(P1446="应收",COUNTIF(总览汇总!$B$5:$B$304,J1446)=0),"✗ 客户不在总览汇总名单里",IF(AND(P1446="应付",K1446=""),"✗ 这笔要选供应商",IF(AND(P1446="应付",COUNTIF(基础资料!$Q$5:$Q$54,K1446)=0),"✗ 供应商不在基础资料里",IF(AND(P1446="费用",L1446=""),"✗ 费用支出要选费用项目",IF(AND(L1446&lt;&gt;"",COUNTIF(基础资料!$AI$5:$AI$54,L1446)=0),"✗ 费用项目不在基础资料里",IF(AND(IFERROR(INDEX(基础资料!$AD$5:$AD$34,MATCH(O1446,基础资料!$AC$5:$AC$34,0)),"")="收",N(G1446)&lt;&gt;0),"✗ 这类是收款，金额填到收入列",IF(AND(IFERROR(INDEX(基础资料!$AD$5:$AD$34,MATCH(O1446,基础资料!$AC$5:$AC$34,0)),"")="支",N(F1446)&lt;&gt;0),"✗ 这类是付款，金额填到支出列",IF(N(H1446)&lt;0,"⚠ 账户余额成负数了，核对一下","√"))))))))))))))))))</f>
      </c>
      <c r="O1446" s="78">
        <f>IF(D1446&lt;&gt;"",D1446,IF(AND(F1446="",G1446=""),"",IF(J1446&lt;&gt;"",IF(N(F1446)&gt;0,"客户回款","客户退款"),IF(K1446&lt;&gt;"",IF(N(G1446)&gt;0,"供应商付款","供应商退款"),IF(L1446&lt;&gt;"","费用支出","")))))</f>
      </c>
      <c r="P1446" s="78">
        <f>IF(O1446="","",IFERROR(INDEX(基础资料!$AE$5:$AE$34,MATCH(O1446,基础资料!$AC$5:$AC$34,0)),"未知"))</f>
      </c>
      <c r="Q1446" s="78">
        <f>IF(P1446="应收",COUNTIF(P$7:P1446,"应收"),"")</f>
      </c>
      <c r="R1446" s="78">
        <f>IF(P1446="应付",COUNTIF(P$7:P1446,"应付"),"")</f>
      </c>
      <c r="S1446" s="78">
        <f>N(F1446)-N(G1446)</f>
        <v>0</v>
      </c>
    </row>
    <row r="1447">
      <c r="A1447" s="109">
        <f>IF(AND(F1447="",G1447=""),"",ROW()-6)</f>
      </c>
      <c r="B1447" s="140" t="n"/>
      <c r="C1447" s="141" t="n"/>
      <c r="D1447" s="141" t="n"/>
      <c r="E1447" s="142" t="n"/>
      <c r="F1447" s="143" t="n"/>
      <c r="G1447" s="144" t="n"/>
      <c r="H1447" s="145">
        <f>IF(OR(C1447="",AND(F1447="",G1447="")),"",SUMIF(基础资料!$W$5:$W$24,C1447,基础资料!$X$5:$X$24)+SUMIF(C$7:C1447,C1447,F$7:F1447)-SUMIF(C$7:C1447,C1447,G$7:G1447))</f>
      </c>
      <c r="I1447" s="145">
        <f>IF(AND(F1447="",G1447=""),"",SUM(基础资料!$X$5:$X$24)+SUM(F$7:F1447)-SUM(G$7:G1447))</f>
      </c>
      <c r="J1447" s="141" t="n"/>
      <c r="K1447" s="141" t="n"/>
      <c r="L1447" s="141" t="n"/>
      <c r="M1447" s="142" t="n"/>
      <c r="N1447" s="146">
        <f>IF(AND(AND(F1447="",G1447=""),B1447="",C1447="",D1447="",J1447="",K1447="",L1447=""),"",IF(AND(F1447="",G1447=""),"✗ 没填金额",IF(AND(N(F1447)&lt;&gt;0,N(G1447)&lt;&gt;0),"✗ 收入、支出只能填一边",IF(NOT(ISNUMBER(B1447)),"✗ 日期不是真日期（要像 2026/9/25 这样填）",IF(OR(B1447&lt;年初日,B1447&gt;年末日),"✗ 日期不在本会计年度",IF(C1447="","✗ 没选账户",IF(COUNTIF(基础资料!$W$5:$W$24,C1447)=0,"✗ 账户不在基础资料里",IF(O1447="","✗ 没选收支项目",IF(P1447="未知","✗ 收支项目不在基础资料里",IF(AND(P1447="应收",J1447=""),"✗ 这笔要选客户",IF(AND(P1447="应收",COUNTIF(总览汇总!$B$5:$B$304,J1447)=0),"✗ 客户不在总览汇总名单里",IF(AND(P1447="应付",K1447=""),"✗ 这笔要选供应商",IF(AND(P1447="应付",COUNTIF(基础资料!$Q$5:$Q$54,K1447)=0),"✗ 供应商不在基础资料里",IF(AND(P1447="费用",L1447=""),"✗ 费用支出要选费用项目",IF(AND(L1447&lt;&gt;"",COUNTIF(基础资料!$AI$5:$AI$54,L1447)=0),"✗ 费用项目不在基础资料里",IF(AND(IFERROR(INDEX(基础资料!$AD$5:$AD$34,MATCH(O1447,基础资料!$AC$5:$AC$34,0)),"")="收",N(G1447)&lt;&gt;0),"✗ 这类是收款，金额填到收入列",IF(AND(IFERROR(INDEX(基础资料!$AD$5:$AD$34,MATCH(O1447,基础资料!$AC$5:$AC$34,0)),"")="支",N(F1447)&lt;&gt;0),"✗ 这类是付款，金额填到支出列",IF(N(H1447)&lt;0,"⚠ 账户余额成负数了，核对一下","√"))))))))))))))))))</f>
      </c>
      <c r="O1447" s="78">
        <f>IF(D1447&lt;&gt;"",D1447,IF(AND(F1447="",G1447=""),"",IF(J1447&lt;&gt;"",IF(N(F1447)&gt;0,"客户回款","客户退款"),IF(K1447&lt;&gt;"",IF(N(G1447)&gt;0,"供应商付款","供应商退款"),IF(L1447&lt;&gt;"","费用支出","")))))</f>
      </c>
      <c r="P1447" s="78">
        <f>IF(O1447="","",IFERROR(INDEX(基础资料!$AE$5:$AE$34,MATCH(O1447,基础资料!$AC$5:$AC$34,0)),"未知"))</f>
      </c>
      <c r="Q1447" s="78">
        <f>IF(P1447="应收",COUNTIF(P$7:P1447,"应收"),"")</f>
      </c>
      <c r="R1447" s="78">
        <f>IF(P1447="应付",COUNTIF(P$7:P1447,"应付"),"")</f>
      </c>
      <c r="S1447" s="78">
        <f>N(F1447)-N(G1447)</f>
        <v>0</v>
      </c>
    </row>
    <row r="1448">
      <c r="A1448" s="109">
        <f>IF(AND(F1448="",G1448=""),"",ROW()-6)</f>
      </c>
      <c r="B1448" s="140" t="n"/>
      <c r="C1448" s="141" t="n"/>
      <c r="D1448" s="141" t="n"/>
      <c r="E1448" s="142" t="n"/>
      <c r="F1448" s="143" t="n"/>
      <c r="G1448" s="144" t="n"/>
      <c r="H1448" s="145">
        <f>IF(OR(C1448="",AND(F1448="",G1448="")),"",SUMIF(基础资料!$W$5:$W$24,C1448,基础资料!$X$5:$X$24)+SUMIF(C$7:C1448,C1448,F$7:F1448)-SUMIF(C$7:C1448,C1448,G$7:G1448))</f>
      </c>
      <c r="I1448" s="145">
        <f>IF(AND(F1448="",G1448=""),"",SUM(基础资料!$X$5:$X$24)+SUM(F$7:F1448)-SUM(G$7:G1448))</f>
      </c>
      <c r="J1448" s="141" t="n"/>
      <c r="K1448" s="141" t="n"/>
      <c r="L1448" s="141" t="n"/>
      <c r="M1448" s="142" t="n"/>
      <c r="N1448" s="146">
        <f>IF(AND(AND(F1448="",G1448=""),B1448="",C1448="",D1448="",J1448="",K1448="",L1448=""),"",IF(AND(F1448="",G1448=""),"✗ 没填金额",IF(AND(N(F1448)&lt;&gt;0,N(G1448)&lt;&gt;0),"✗ 收入、支出只能填一边",IF(NOT(ISNUMBER(B1448)),"✗ 日期不是真日期（要像 2026/9/25 这样填）",IF(OR(B1448&lt;年初日,B1448&gt;年末日),"✗ 日期不在本会计年度",IF(C1448="","✗ 没选账户",IF(COUNTIF(基础资料!$W$5:$W$24,C1448)=0,"✗ 账户不在基础资料里",IF(O1448="","✗ 没选收支项目",IF(P1448="未知","✗ 收支项目不在基础资料里",IF(AND(P1448="应收",J1448=""),"✗ 这笔要选客户",IF(AND(P1448="应收",COUNTIF(总览汇总!$B$5:$B$304,J1448)=0),"✗ 客户不在总览汇总名单里",IF(AND(P1448="应付",K1448=""),"✗ 这笔要选供应商",IF(AND(P1448="应付",COUNTIF(基础资料!$Q$5:$Q$54,K1448)=0),"✗ 供应商不在基础资料里",IF(AND(P1448="费用",L1448=""),"✗ 费用支出要选费用项目",IF(AND(L1448&lt;&gt;"",COUNTIF(基础资料!$AI$5:$AI$54,L1448)=0),"✗ 费用项目不在基础资料里",IF(AND(IFERROR(INDEX(基础资料!$AD$5:$AD$34,MATCH(O1448,基础资料!$AC$5:$AC$34,0)),"")="收",N(G1448)&lt;&gt;0),"✗ 这类是收款，金额填到收入列",IF(AND(IFERROR(INDEX(基础资料!$AD$5:$AD$34,MATCH(O1448,基础资料!$AC$5:$AC$34,0)),"")="支",N(F1448)&lt;&gt;0),"✗ 这类是付款，金额填到支出列",IF(N(H1448)&lt;0,"⚠ 账户余额成负数了，核对一下","√"))))))))))))))))))</f>
      </c>
      <c r="O1448" s="78">
        <f>IF(D1448&lt;&gt;"",D1448,IF(AND(F1448="",G1448=""),"",IF(J1448&lt;&gt;"",IF(N(F1448)&gt;0,"客户回款","客户退款"),IF(K1448&lt;&gt;"",IF(N(G1448)&gt;0,"供应商付款","供应商退款"),IF(L1448&lt;&gt;"","费用支出","")))))</f>
      </c>
      <c r="P1448" s="78">
        <f>IF(O1448="","",IFERROR(INDEX(基础资料!$AE$5:$AE$34,MATCH(O1448,基础资料!$AC$5:$AC$34,0)),"未知"))</f>
      </c>
      <c r="Q1448" s="78">
        <f>IF(P1448="应收",COUNTIF(P$7:P1448,"应收"),"")</f>
      </c>
      <c r="R1448" s="78">
        <f>IF(P1448="应付",COUNTIF(P$7:P1448,"应付"),"")</f>
      </c>
      <c r="S1448" s="78">
        <f>N(F1448)-N(G1448)</f>
        <v>0</v>
      </c>
    </row>
    <row r="1449">
      <c r="A1449" s="109">
        <f>IF(AND(F1449="",G1449=""),"",ROW()-6)</f>
      </c>
      <c r="B1449" s="140" t="n"/>
      <c r="C1449" s="141" t="n"/>
      <c r="D1449" s="141" t="n"/>
      <c r="E1449" s="142" t="n"/>
      <c r="F1449" s="143" t="n"/>
      <c r="G1449" s="144" t="n"/>
      <c r="H1449" s="145">
        <f>IF(OR(C1449="",AND(F1449="",G1449="")),"",SUMIF(基础资料!$W$5:$W$24,C1449,基础资料!$X$5:$X$24)+SUMIF(C$7:C1449,C1449,F$7:F1449)-SUMIF(C$7:C1449,C1449,G$7:G1449))</f>
      </c>
      <c r="I1449" s="145">
        <f>IF(AND(F1449="",G1449=""),"",SUM(基础资料!$X$5:$X$24)+SUM(F$7:F1449)-SUM(G$7:G1449))</f>
      </c>
      <c r="J1449" s="141" t="n"/>
      <c r="K1449" s="141" t="n"/>
      <c r="L1449" s="141" t="n"/>
      <c r="M1449" s="142" t="n"/>
      <c r="N1449" s="146">
        <f>IF(AND(AND(F1449="",G1449=""),B1449="",C1449="",D1449="",J1449="",K1449="",L1449=""),"",IF(AND(F1449="",G1449=""),"✗ 没填金额",IF(AND(N(F1449)&lt;&gt;0,N(G1449)&lt;&gt;0),"✗ 收入、支出只能填一边",IF(NOT(ISNUMBER(B1449)),"✗ 日期不是真日期（要像 2026/9/25 这样填）",IF(OR(B1449&lt;年初日,B1449&gt;年末日),"✗ 日期不在本会计年度",IF(C1449="","✗ 没选账户",IF(COUNTIF(基础资料!$W$5:$W$24,C1449)=0,"✗ 账户不在基础资料里",IF(O1449="","✗ 没选收支项目",IF(P1449="未知","✗ 收支项目不在基础资料里",IF(AND(P1449="应收",J1449=""),"✗ 这笔要选客户",IF(AND(P1449="应收",COUNTIF(总览汇总!$B$5:$B$304,J1449)=0),"✗ 客户不在总览汇总名单里",IF(AND(P1449="应付",K1449=""),"✗ 这笔要选供应商",IF(AND(P1449="应付",COUNTIF(基础资料!$Q$5:$Q$54,K1449)=0),"✗ 供应商不在基础资料里",IF(AND(P1449="费用",L1449=""),"✗ 费用支出要选费用项目",IF(AND(L1449&lt;&gt;"",COUNTIF(基础资料!$AI$5:$AI$54,L1449)=0),"✗ 费用项目不在基础资料里",IF(AND(IFERROR(INDEX(基础资料!$AD$5:$AD$34,MATCH(O1449,基础资料!$AC$5:$AC$34,0)),"")="收",N(G1449)&lt;&gt;0),"✗ 这类是收款，金额填到收入列",IF(AND(IFERROR(INDEX(基础资料!$AD$5:$AD$34,MATCH(O1449,基础资料!$AC$5:$AC$34,0)),"")="支",N(F1449)&lt;&gt;0),"✗ 这类是付款，金额填到支出列",IF(N(H1449)&lt;0,"⚠ 账户余额成负数了，核对一下","√"))))))))))))))))))</f>
      </c>
      <c r="O1449" s="78">
        <f>IF(D1449&lt;&gt;"",D1449,IF(AND(F1449="",G1449=""),"",IF(J1449&lt;&gt;"",IF(N(F1449)&gt;0,"客户回款","客户退款"),IF(K1449&lt;&gt;"",IF(N(G1449)&gt;0,"供应商付款","供应商退款"),IF(L1449&lt;&gt;"","费用支出","")))))</f>
      </c>
      <c r="P1449" s="78">
        <f>IF(O1449="","",IFERROR(INDEX(基础资料!$AE$5:$AE$34,MATCH(O1449,基础资料!$AC$5:$AC$34,0)),"未知"))</f>
      </c>
      <c r="Q1449" s="78">
        <f>IF(P1449="应收",COUNTIF(P$7:P1449,"应收"),"")</f>
      </c>
      <c r="R1449" s="78">
        <f>IF(P1449="应付",COUNTIF(P$7:P1449,"应付"),"")</f>
      </c>
      <c r="S1449" s="78">
        <f>N(F1449)-N(G1449)</f>
        <v>0</v>
      </c>
    </row>
    <row r="1450">
      <c r="A1450" s="109">
        <f>IF(AND(F1450="",G1450=""),"",ROW()-6)</f>
      </c>
      <c r="B1450" s="140" t="n"/>
      <c r="C1450" s="141" t="n"/>
      <c r="D1450" s="141" t="n"/>
      <c r="E1450" s="142" t="n"/>
      <c r="F1450" s="143" t="n"/>
      <c r="G1450" s="144" t="n"/>
      <c r="H1450" s="145">
        <f>IF(OR(C1450="",AND(F1450="",G1450="")),"",SUMIF(基础资料!$W$5:$W$24,C1450,基础资料!$X$5:$X$24)+SUMIF(C$7:C1450,C1450,F$7:F1450)-SUMIF(C$7:C1450,C1450,G$7:G1450))</f>
      </c>
      <c r="I1450" s="145">
        <f>IF(AND(F1450="",G1450=""),"",SUM(基础资料!$X$5:$X$24)+SUM(F$7:F1450)-SUM(G$7:G1450))</f>
      </c>
      <c r="J1450" s="141" t="n"/>
      <c r="K1450" s="141" t="n"/>
      <c r="L1450" s="141" t="n"/>
      <c r="M1450" s="142" t="n"/>
      <c r="N1450" s="146">
        <f>IF(AND(AND(F1450="",G1450=""),B1450="",C1450="",D1450="",J1450="",K1450="",L1450=""),"",IF(AND(F1450="",G1450=""),"✗ 没填金额",IF(AND(N(F1450)&lt;&gt;0,N(G1450)&lt;&gt;0),"✗ 收入、支出只能填一边",IF(NOT(ISNUMBER(B1450)),"✗ 日期不是真日期（要像 2026/9/25 这样填）",IF(OR(B1450&lt;年初日,B1450&gt;年末日),"✗ 日期不在本会计年度",IF(C1450="","✗ 没选账户",IF(COUNTIF(基础资料!$W$5:$W$24,C1450)=0,"✗ 账户不在基础资料里",IF(O1450="","✗ 没选收支项目",IF(P1450="未知","✗ 收支项目不在基础资料里",IF(AND(P1450="应收",J1450=""),"✗ 这笔要选客户",IF(AND(P1450="应收",COUNTIF(总览汇总!$B$5:$B$304,J1450)=0),"✗ 客户不在总览汇总名单里",IF(AND(P1450="应付",K1450=""),"✗ 这笔要选供应商",IF(AND(P1450="应付",COUNTIF(基础资料!$Q$5:$Q$54,K1450)=0),"✗ 供应商不在基础资料里",IF(AND(P1450="费用",L1450=""),"✗ 费用支出要选费用项目",IF(AND(L1450&lt;&gt;"",COUNTIF(基础资料!$AI$5:$AI$54,L1450)=0),"✗ 费用项目不在基础资料里",IF(AND(IFERROR(INDEX(基础资料!$AD$5:$AD$34,MATCH(O1450,基础资料!$AC$5:$AC$34,0)),"")="收",N(G1450)&lt;&gt;0),"✗ 这类是收款，金额填到收入列",IF(AND(IFERROR(INDEX(基础资料!$AD$5:$AD$34,MATCH(O1450,基础资料!$AC$5:$AC$34,0)),"")="支",N(F1450)&lt;&gt;0),"✗ 这类是付款，金额填到支出列",IF(N(H1450)&lt;0,"⚠ 账户余额成负数了，核对一下","√"))))))))))))))))))</f>
      </c>
      <c r="O1450" s="78">
        <f>IF(D1450&lt;&gt;"",D1450,IF(AND(F1450="",G1450=""),"",IF(J1450&lt;&gt;"",IF(N(F1450)&gt;0,"客户回款","客户退款"),IF(K1450&lt;&gt;"",IF(N(G1450)&gt;0,"供应商付款","供应商退款"),IF(L1450&lt;&gt;"","费用支出","")))))</f>
      </c>
      <c r="P1450" s="78">
        <f>IF(O1450="","",IFERROR(INDEX(基础资料!$AE$5:$AE$34,MATCH(O1450,基础资料!$AC$5:$AC$34,0)),"未知"))</f>
      </c>
      <c r="Q1450" s="78">
        <f>IF(P1450="应收",COUNTIF(P$7:P1450,"应收"),"")</f>
      </c>
      <c r="R1450" s="78">
        <f>IF(P1450="应付",COUNTIF(P$7:P1450,"应付"),"")</f>
      </c>
      <c r="S1450" s="78">
        <f>N(F1450)-N(G1450)</f>
        <v>0</v>
      </c>
    </row>
    <row r="1451">
      <c r="A1451" s="109">
        <f>IF(AND(F1451="",G1451=""),"",ROW()-6)</f>
      </c>
      <c r="B1451" s="140" t="n"/>
      <c r="C1451" s="141" t="n"/>
      <c r="D1451" s="141" t="n"/>
      <c r="E1451" s="142" t="n"/>
      <c r="F1451" s="143" t="n"/>
      <c r="G1451" s="144" t="n"/>
      <c r="H1451" s="145">
        <f>IF(OR(C1451="",AND(F1451="",G1451="")),"",SUMIF(基础资料!$W$5:$W$24,C1451,基础资料!$X$5:$X$24)+SUMIF(C$7:C1451,C1451,F$7:F1451)-SUMIF(C$7:C1451,C1451,G$7:G1451))</f>
      </c>
      <c r="I1451" s="145">
        <f>IF(AND(F1451="",G1451=""),"",SUM(基础资料!$X$5:$X$24)+SUM(F$7:F1451)-SUM(G$7:G1451))</f>
      </c>
      <c r="J1451" s="141" t="n"/>
      <c r="K1451" s="141" t="n"/>
      <c r="L1451" s="141" t="n"/>
      <c r="M1451" s="142" t="n"/>
      <c r="N1451" s="146">
        <f>IF(AND(AND(F1451="",G1451=""),B1451="",C1451="",D1451="",J1451="",K1451="",L1451=""),"",IF(AND(F1451="",G1451=""),"✗ 没填金额",IF(AND(N(F1451)&lt;&gt;0,N(G1451)&lt;&gt;0),"✗ 收入、支出只能填一边",IF(NOT(ISNUMBER(B1451)),"✗ 日期不是真日期（要像 2026/9/25 这样填）",IF(OR(B1451&lt;年初日,B1451&gt;年末日),"✗ 日期不在本会计年度",IF(C1451="","✗ 没选账户",IF(COUNTIF(基础资料!$W$5:$W$24,C1451)=0,"✗ 账户不在基础资料里",IF(O1451="","✗ 没选收支项目",IF(P1451="未知","✗ 收支项目不在基础资料里",IF(AND(P1451="应收",J1451=""),"✗ 这笔要选客户",IF(AND(P1451="应收",COUNTIF(总览汇总!$B$5:$B$304,J1451)=0),"✗ 客户不在总览汇总名单里",IF(AND(P1451="应付",K1451=""),"✗ 这笔要选供应商",IF(AND(P1451="应付",COUNTIF(基础资料!$Q$5:$Q$54,K1451)=0),"✗ 供应商不在基础资料里",IF(AND(P1451="费用",L1451=""),"✗ 费用支出要选费用项目",IF(AND(L1451&lt;&gt;"",COUNTIF(基础资料!$AI$5:$AI$54,L1451)=0),"✗ 费用项目不在基础资料里",IF(AND(IFERROR(INDEX(基础资料!$AD$5:$AD$34,MATCH(O1451,基础资料!$AC$5:$AC$34,0)),"")="收",N(G1451)&lt;&gt;0),"✗ 这类是收款，金额填到收入列",IF(AND(IFERROR(INDEX(基础资料!$AD$5:$AD$34,MATCH(O1451,基础资料!$AC$5:$AC$34,0)),"")="支",N(F1451)&lt;&gt;0),"✗ 这类是付款，金额填到支出列",IF(N(H1451)&lt;0,"⚠ 账户余额成负数了，核对一下","√"))))))))))))))))))</f>
      </c>
      <c r="O1451" s="78">
        <f>IF(D1451&lt;&gt;"",D1451,IF(AND(F1451="",G1451=""),"",IF(J1451&lt;&gt;"",IF(N(F1451)&gt;0,"客户回款","客户退款"),IF(K1451&lt;&gt;"",IF(N(G1451)&gt;0,"供应商付款","供应商退款"),IF(L1451&lt;&gt;"","费用支出","")))))</f>
      </c>
      <c r="P1451" s="78">
        <f>IF(O1451="","",IFERROR(INDEX(基础资料!$AE$5:$AE$34,MATCH(O1451,基础资料!$AC$5:$AC$34,0)),"未知"))</f>
      </c>
      <c r="Q1451" s="78">
        <f>IF(P1451="应收",COUNTIF(P$7:P1451,"应收"),"")</f>
      </c>
      <c r="R1451" s="78">
        <f>IF(P1451="应付",COUNTIF(P$7:P1451,"应付"),"")</f>
      </c>
      <c r="S1451" s="78">
        <f>N(F1451)-N(G1451)</f>
        <v>0</v>
      </c>
    </row>
    <row r="1452">
      <c r="A1452" s="109">
        <f>IF(AND(F1452="",G1452=""),"",ROW()-6)</f>
      </c>
      <c r="B1452" s="140" t="n"/>
      <c r="C1452" s="141" t="n"/>
      <c r="D1452" s="141" t="n"/>
      <c r="E1452" s="142" t="n"/>
      <c r="F1452" s="143" t="n"/>
      <c r="G1452" s="144" t="n"/>
      <c r="H1452" s="145">
        <f>IF(OR(C1452="",AND(F1452="",G1452="")),"",SUMIF(基础资料!$W$5:$W$24,C1452,基础资料!$X$5:$X$24)+SUMIF(C$7:C1452,C1452,F$7:F1452)-SUMIF(C$7:C1452,C1452,G$7:G1452))</f>
      </c>
      <c r="I1452" s="145">
        <f>IF(AND(F1452="",G1452=""),"",SUM(基础资料!$X$5:$X$24)+SUM(F$7:F1452)-SUM(G$7:G1452))</f>
      </c>
      <c r="J1452" s="141" t="n"/>
      <c r="K1452" s="141" t="n"/>
      <c r="L1452" s="141" t="n"/>
      <c r="M1452" s="142" t="n"/>
      <c r="N1452" s="146">
        <f>IF(AND(AND(F1452="",G1452=""),B1452="",C1452="",D1452="",J1452="",K1452="",L1452=""),"",IF(AND(F1452="",G1452=""),"✗ 没填金额",IF(AND(N(F1452)&lt;&gt;0,N(G1452)&lt;&gt;0),"✗ 收入、支出只能填一边",IF(NOT(ISNUMBER(B1452)),"✗ 日期不是真日期（要像 2026/9/25 这样填）",IF(OR(B1452&lt;年初日,B1452&gt;年末日),"✗ 日期不在本会计年度",IF(C1452="","✗ 没选账户",IF(COUNTIF(基础资料!$W$5:$W$24,C1452)=0,"✗ 账户不在基础资料里",IF(O1452="","✗ 没选收支项目",IF(P1452="未知","✗ 收支项目不在基础资料里",IF(AND(P1452="应收",J1452=""),"✗ 这笔要选客户",IF(AND(P1452="应收",COUNTIF(总览汇总!$B$5:$B$304,J1452)=0),"✗ 客户不在总览汇总名单里",IF(AND(P1452="应付",K1452=""),"✗ 这笔要选供应商",IF(AND(P1452="应付",COUNTIF(基础资料!$Q$5:$Q$54,K1452)=0),"✗ 供应商不在基础资料里",IF(AND(P1452="费用",L1452=""),"✗ 费用支出要选费用项目",IF(AND(L1452&lt;&gt;"",COUNTIF(基础资料!$AI$5:$AI$54,L1452)=0),"✗ 费用项目不在基础资料里",IF(AND(IFERROR(INDEX(基础资料!$AD$5:$AD$34,MATCH(O1452,基础资料!$AC$5:$AC$34,0)),"")="收",N(G1452)&lt;&gt;0),"✗ 这类是收款，金额填到收入列",IF(AND(IFERROR(INDEX(基础资料!$AD$5:$AD$34,MATCH(O1452,基础资料!$AC$5:$AC$34,0)),"")="支",N(F1452)&lt;&gt;0),"✗ 这类是付款，金额填到支出列",IF(N(H1452)&lt;0,"⚠ 账户余额成负数了，核对一下","√"))))))))))))))))))</f>
      </c>
      <c r="O1452" s="78">
        <f>IF(D1452&lt;&gt;"",D1452,IF(AND(F1452="",G1452=""),"",IF(J1452&lt;&gt;"",IF(N(F1452)&gt;0,"客户回款","客户退款"),IF(K1452&lt;&gt;"",IF(N(G1452)&gt;0,"供应商付款","供应商退款"),IF(L1452&lt;&gt;"","费用支出","")))))</f>
      </c>
      <c r="P1452" s="78">
        <f>IF(O1452="","",IFERROR(INDEX(基础资料!$AE$5:$AE$34,MATCH(O1452,基础资料!$AC$5:$AC$34,0)),"未知"))</f>
      </c>
      <c r="Q1452" s="78">
        <f>IF(P1452="应收",COUNTIF(P$7:P1452,"应收"),"")</f>
      </c>
      <c r="R1452" s="78">
        <f>IF(P1452="应付",COUNTIF(P$7:P1452,"应付"),"")</f>
      </c>
      <c r="S1452" s="78">
        <f>N(F1452)-N(G1452)</f>
        <v>0</v>
      </c>
    </row>
    <row r="1453">
      <c r="A1453" s="109">
        <f>IF(AND(F1453="",G1453=""),"",ROW()-6)</f>
      </c>
      <c r="B1453" s="140" t="n"/>
      <c r="C1453" s="141" t="n"/>
      <c r="D1453" s="141" t="n"/>
      <c r="E1453" s="142" t="n"/>
      <c r="F1453" s="143" t="n"/>
      <c r="G1453" s="144" t="n"/>
      <c r="H1453" s="145">
        <f>IF(OR(C1453="",AND(F1453="",G1453="")),"",SUMIF(基础资料!$W$5:$W$24,C1453,基础资料!$X$5:$X$24)+SUMIF(C$7:C1453,C1453,F$7:F1453)-SUMIF(C$7:C1453,C1453,G$7:G1453))</f>
      </c>
      <c r="I1453" s="145">
        <f>IF(AND(F1453="",G1453=""),"",SUM(基础资料!$X$5:$X$24)+SUM(F$7:F1453)-SUM(G$7:G1453))</f>
      </c>
      <c r="J1453" s="141" t="n"/>
      <c r="K1453" s="141" t="n"/>
      <c r="L1453" s="141" t="n"/>
      <c r="M1453" s="142" t="n"/>
      <c r="N1453" s="146">
        <f>IF(AND(AND(F1453="",G1453=""),B1453="",C1453="",D1453="",J1453="",K1453="",L1453=""),"",IF(AND(F1453="",G1453=""),"✗ 没填金额",IF(AND(N(F1453)&lt;&gt;0,N(G1453)&lt;&gt;0),"✗ 收入、支出只能填一边",IF(NOT(ISNUMBER(B1453)),"✗ 日期不是真日期（要像 2026/9/25 这样填）",IF(OR(B1453&lt;年初日,B1453&gt;年末日),"✗ 日期不在本会计年度",IF(C1453="","✗ 没选账户",IF(COUNTIF(基础资料!$W$5:$W$24,C1453)=0,"✗ 账户不在基础资料里",IF(O1453="","✗ 没选收支项目",IF(P1453="未知","✗ 收支项目不在基础资料里",IF(AND(P1453="应收",J1453=""),"✗ 这笔要选客户",IF(AND(P1453="应收",COUNTIF(总览汇总!$B$5:$B$304,J1453)=0),"✗ 客户不在总览汇总名单里",IF(AND(P1453="应付",K1453=""),"✗ 这笔要选供应商",IF(AND(P1453="应付",COUNTIF(基础资料!$Q$5:$Q$54,K1453)=0),"✗ 供应商不在基础资料里",IF(AND(P1453="费用",L1453=""),"✗ 费用支出要选费用项目",IF(AND(L1453&lt;&gt;"",COUNTIF(基础资料!$AI$5:$AI$54,L1453)=0),"✗ 费用项目不在基础资料里",IF(AND(IFERROR(INDEX(基础资料!$AD$5:$AD$34,MATCH(O1453,基础资料!$AC$5:$AC$34,0)),"")="收",N(G1453)&lt;&gt;0),"✗ 这类是收款，金额填到收入列",IF(AND(IFERROR(INDEX(基础资料!$AD$5:$AD$34,MATCH(O1453,基础资料!$AC$5:$AC$34,0)),"")="支",N(F1453)&lt;&gt;0),"✗ 这类是付款，金额填到支出列",IF(N(H1453)&lt;0,"⚠ 账户余额成负数了，核对一下","√"))))))))))))))))))</f>
      </c>
      <c r="O1453" s="78">
        <f>IF(D1453&lt;&gt;"",D1453,IF(AND(F1453="",G1453=""),"",IF(J1453&lt;&gt;"",IF(N(F1453)&gt;0,"客户回款","客户退款"),IF(K1453&lt;&gt;"",IF(N(G1453)&gt;0,"供应商付款","供应商退款"),IF(L1453&lt;&gt;"","费用支出","")))))</f>
      </c>
      <c r="P1453" s="78">
        <f>IF(O1453="","",IFERROR(INDEX(基础资料!$AE$5:$AE$34,MATCH(O1453,基础资料!$AC$5:$AC$34,0)),"未知"))</f>
      </c>
      <c r="Q1453" s="78">
        <f>IF(P1453="应收",COUNTIF(P$7:P1453,"应收"),"")</f>
      </c>
      <c r="R1453" s="78">
        <f>IF(P1453="应付",COUNTIF(P$7:P1453,"应付"),"")</f>
      </c>
      <c r="S1453" s="78">
        <f>N(F1453)-N(G1453)</f>
        <v>0</v>
      </c>
    </row>
    <row r="1454">
      <c r="A1454" s="109">
        <f>IF(AND(F1454="",G1454=""),"",ROW()-6)</f>
      </c>
      <c r="B1454" s="140" t="n"/>
      <c r="C1454" s="141" t="n"/>
      <c r="D1454" s="141" t="n"/>
      <c r="E1454" s="142" t="n"/>
      <c r="F1454" s="143" t="n"/>
      <c r="G1454" s="144" t="n"/>
      <c r="H1454" s="145">
        <f>IF(OR(C1454="",AND(F1454="",G1454="")),"",SUMIF(基础资料!$W$5:$W$24,C1454,基础资料!$X$5:$X$24)+SUMIF(C$7:C1454,C1454,F$7:F1454)-SUMIF(C$7:C1454,C1454,G$7:G1454))</f>
      </c>
      <c r="I1454" s="145">
        <f>IF(AND(F1454="",G1454=""),"",SUM(基础资料!$X$5:$X$24)+SUM(F$7:F1454)-SUM(G$7:G1454))</f>
      </c>
      <c r="J1454" s="141" t="n"/>
      <c r="K1454" s="141" t="n"/>
      <c r="L1454" s="141" t="n"/>
      <c r="M1454" s="142" t="n"/>
      <c r="N1454" s="146">
        <f>IF(AND(AND(F1454="",G1454=""),B1454="",C1454="",D1454="",J1454="",K1454="",L1454=""),"",IF(AND(F1454="",G1454=""),"✗ 没填金额",IF(AND(N(F1454)&lt;&gt;0,N(G1454)&lt;&gt;0),"✗ 收入、支出只能填一边",IF(NOT(ISNUMBER(B1454)),"✗ 日期不是真日期（要像 2026/9/25 这样填）",IF(OR(B1454&lt;年初日,B1454&gt;年末日),"✗ 日期不在本会计年度",IF(C1454="","✗ 没选账户",IF(COUNTIF(基础资料!$W$5:$W$24,C1454)=0,"✗ 账户不在基础资料里",IF(O1454="","✗ 没选收支项目",IF(P1454="未知","✗ 收支项目不在基础资料里",IF(AND(P1454="应收",J1454=""),"✗ 这笔要选客户",IF(AND(P1454="应收",COUNTIF(总览汇总!$B$5:$B$304,J1454)=0),"✗ 客户不在总览汇总名单里",IF(AND(P1454="应付",K1454=""),"✗ 这笔要选供应商",IF(AND(P1454="应付",COUNTIF(基础资料!$Q$5:$Q$54,K1454)=0),"✗ 供应商不在基础资料里",IF(AND(P1454="费用",L1454=""),"✗ 费用支出要选费用项目",IF(AND(L1454&lt;&gt;"",COUNTIF(基础资料!$AI$5:$AI$54,L1454)=0),"✗ 费用项目不在基础资料里",IF(AND(IFERROR(INDEX(基础资料!$AD$5:$AD$34,MATCH(O1454,基础资料!$AC$5:$AC$34,0)),"")="收",N(G1454)&lt;&gt;0),"✗ 这类是收款，金额填到收入列",IF(AND(IFERROR(INDEX(基础资料!$AD$5:$AD$34,MATCH(O1454,基础资料!$AC$5:$AC$34,0)),"")="支",N(F1454)&lt;&gt;0),"✗ 这类是付款，金额填到支出列",IF(N(H1454)&lt;0,"⚠ 账户余额成负数了，核对一下","√"))))))))))))))))))</f>
      </c>
      <c r="O1454" s="78">
        <f>IF(D1454&lt;&gt;"",D1454,IF(AND(F1454="",G1454=""),"",IF(J1454&lt;&gt;"",IF(N(F1454)&gt;0,"客户回款","客户退款"),IF(K1454&lt;&gt;"",IF(N(G1454)&gt;0,"供应商付款","供应商退款"),IF(L1454&lt;&gt;"","费用支出","")))))</f>
      </c>
      <c r="P1454" s="78">
        <f>IF(O1454="","",IFERROR(INDEX(基础资料!$AE$5:$AE$34,MATCH(O1454,基础资料!$AC$5:$AC$34,0)),"未知"))</f>
      </c>
      <c r="Q1454" s="78">
        <f>IF(P1454="应收",COUNTIF(P$7:P1454,"应收"),"")</f>
      </c>
      <c r="R1454" s="78">
        <f>IF(P1454="应付",COUNTIF(P$7:P1454,"应付"),"")</f>
      </c>
      <c r="S1454" s="78">
        <f>N(F1454)-N(G1454)</f>
        <v>0</v>
      </c>
    </row>
    <row r="1455">
      <c r="A1455" s="109">
        <f>IF(AND(F1455="",G1455=""),"",ROW()-6)</f>
      </c>
      <c r="B1455" s="140" t="n"/>
      <c r="C1455" s="141" t="n"/>
      <c r="D1455" s="141" t="n"/>
      <c r="E1455" s="142" t="n"/>
      <c r="F1455" s="143" t="n"/>
      <c r="G1455" s="144" t="n"/>
      <c r="H1455" s="145">
        <f>IF(OR(C1455="",AND(F1455="",G1455="")),"",SUMIF(基础资料!$W$5:$W$24,C1455,基础资料!$X$5:$X$24)+SUMIF(C$7:C1455,C1455,F$7:F1455)-SUMIF(C$7:C1455,C1455,G$7:G1455))</f>
      </c>
      <c r="I1455" s="145">
        <f>IF(AND(F1455="",G1455=""),"",SUM(基础资料!$X$5:$X$24)+SUM(F$7:F1455)-SUM(G$7:G1455))</f>
      </c>
      <c r="J1455" s="141" t="n"/>
      <c r="K1455" s="141" t="n"/>
      <c r="L1455" s="141" t="n"/>
      <c r="M1455" s="142" t="n"/>
      <c r="N1455" s="146">
        <f>IF(AND(AND(F1455="",G1455=""),B1455="",C1455="",D1455="",J1455="",K1455="",L1455=""),"",IF(AND(F1455="",G1455=""),"✗ 没填金额",IF(AND(N(F1455)&lt;&gt;0,N(G1455)&lt;&gt;0),"✗ 收入、支出只能填一边",IF(NOT(ISNUMBER(B1455)),"✗ 日期不是真日期（要像 2026/9/25 这样填）",IF(OR(B1455&lt;年初日,B1455&gt;年末日),"✗ 日期不在本会计年度",IF(C1455="","✗ 没选账户",IF(COUNTIF(基础资料!$W$5:$W$24,C1455)=0,"✗ 账户不在基础资料里",IF(O1455="","✗ 没选收支项目",IF(P1455="未知","✗ 收支项目不在基础资料里",IF(AND(P1455="应收",J1455=""),"✗ 这笔要选客户",IF(AND(P1455="应收",COUNTIF(总览汇总!$B$5:$B$304,J1455)=0),"✗ 客户不在总览汇总名单里",IF(AND(P1455="应付",K1455=""),"✗ 这笔要选供应商",IF(AND(P1455="应付",COUNTIF(基础资料!$Q$5:$Q$54,K1455)=0),"✗ 供应商不在基础资料里",IF(AND(P1455="费用",L1455=""),"✗ 费用支出要选费用项目",IF(AND(L1455&lt;&gt;"",COUNTIF(基础资料!$AI$5:$AI$54,L1455)=0),"✗ 费用项目不在基础资料里",IF(AND(IFERROR(INDEX(基础资料!$AD$5:$AD$34,MATCH(O1455,基础资料!$AC$5:$AC$34,0)),"")="收",N(G1455)&lt;&gt;0),"✗ 这类是收款，金额填到收入列",IF(AND(IFERROR(INDEX(基础资料!$AD$5:$AD$34,MATCH(O1455,基础资料!$AC$5:$AC$34,0)),"")="支",N(F1455)&lt;&gt;0),"✗ 这类是付款，金额填到支出列",IF(N(H1455)&lt;0,"⚠ 账户余额成负数了，核对一下","√"))))))))))))))))))</f>
      </c>
      <c r="O1455" s="78">
        <f>IF(D1455&lt;&gt;"",D1455,IF(AND(F1455="",G1455=""),"",IF(J1455&lt;&gt;"",IF(N(F1455)&gt;0,"客户回款","客户退款"),IF(K1455&lt;&gt;"",IF(N(G1455)&gt;0,"供应商付款","供应商退款"),IF(L1455&lt;&gt;"","费用支出","")))))</f>
      </c>
      <c r="P1455" s="78">
        <f>IF(O1455="","",IFERROR(INDEX(基础资料!$AE$5:$AE$34,MATCH(O1455,基础资料!$AC$5:$AC$34,0)),"未知"))</f>
      </c>
      <c r="Q1455" s="78">
        <f>IF(P1455="应收",COUNTIF(P$7:P1455,"应收"),"")</f>
      </c>
      <c r="R1455" s="78">
        <f>IF(P1455="应付",COUNTIF(P$7:P1455,"应付"),"")</f>
      </c>
      <c r="S1455" s="78">
        <f>N(F1455)-N(G1455)</f>
        <v>0</v>
      </c>
    </row>
    <row r="1456">
      <c r="A1456" s="109">
        <f>IF(AND(F1456="",G1456=""),"",ROW()-6)</f>
      </c>
      <c r="B1456" s="140" t="n"/>
      <c r="C1456" s="141" t="n"/>
      <c r="D1456" s="141" t="n"/>
      <c r="E1456" s="142" t="n"/>
      <c r="F1456" s="143" t="n"/>
      <c r="G1456" s="144" t="n"/>
      <c r="H1456" s="145">
        <f>IF(OR(C1456="",AND(F1456="",G1456="")),"",SUMIF(基础资料!$W$5:$W$24,C1456,基础资料!$X$5:$X$24)+SUMIF(C$7:C1456,C1456,F$7:F1456)-SUMIF(C$7:C1456,C1456,G$7:G1456))</f>
      </c>
      <c r="I1456" s="145">
        <f>IF(AND(F1456="",G1456=""),"",SUM(基础资料!$X$5:$X$24)+SUM(F$7:F1456)-SUM(G$7:G1456))</f>
      </c>
      <c r="J1456" s="141" t="n"/>
      <c r="K1456" s="141" t="n"/>
      <c r="L1456" s="141" t="n"/>
      <c r="M1456" s="142" t="n"/>
      <c r="N1456" s="146">
        <f>IF(AND(AND(F1456="",G1456=""),B1456="",C1456="",D1456="",J1456="",K1456="",L1456=""),"",IF(AND(F1456="",G1456=""),"✗ 没填金额",IF(AND(N(F1456)&lt;&gt;0,N(G1456)&lt;&gt;0),"✗ 收入、支出只能填一边",IF(NOT(ISNUMBER(B1456)),"✗ 日期不是真日期（要像 2026/9/25 这样填）",IF(OR(B1456&lt;年初日,B1456&gt;年末日),"✗ 日期不在本会计年度",IF(C1456="","✗ 没选账户",IF(COUNTIF(基础资料!$W$5:$W$24,C1456)=0,"✗ 账户不在基础资料里",IF(O1456="","✗ 没选收支项目",IF(P1456="未知","✗ 收支项目不在基础资料里",IF(AND(P1456="应收",J1456=""),"✗ 这笔要选客户",IF(AND(P1456="应收",COUNTIF(总览汇总!$B$5:$B$304,J1456)=0),"✗ 客户不在总览汇总名单里",IF(AND(P1456="应付",K1456=""),"✗ 这笔要选供应商",IF(AND(P1456="应付",COUNTIF(基础资料!$Q$5:$Q$54,K1456)=0),"✗ 供应商不在基础资料里",IF(AND(P1456="费用",L1456=""),"✗ 费用支出要选费用项目",IF(AND(L1456&lt;&gt;"",COUNTIF(基础资料!$AI$5:$AI$54,L1456)=0),"✗ 费用项目不在基础资料里",IF(AND(IFERROR(INDEX(基础资料!$AD$5:$AD$34,MATCH(O1456,基础资料!$AC$5:$AC$34,0)),"")="收",N(G1456)&lt;&gt;0),"✗ 这类是收款，金额填到收入列",IF(AND(IFERROR(INDEX(基础资料!$AD$5:$AD$34,MATCH(O1456,基础资料!$AC$5:$AC$34,0)),"")="支",N(F1456)&lt;&gt;0),"✗ 这类是付款，金额填到支出列",IF(N(H1456)&lt;0,"⚠ 账户余额成负数了，核对一下","√"))))))))))))))))))</f>
      </c>
      <c r="O1456" s="78">
        <f>IF(D1456&lt;&gt;"",D1456,IF(AND(F1456="",G1456=""),"",IF(J1456&lt;&gt;"",IF(N(F1456)&gt;0,"客户回款","客户退款"),IF(K1456&lt;&gt;"",IF(N(G1456)&gt;0,"供应商付款","供应商退款"),IF(L1456&lt;&gt;"","费用支出","")))))</f>
      </c>
      <c r="P1456" s="78">
        <f>IF(O1456="","",IFERROR(INDEX(基础资料!$AE$5:$AE$34,MATCH(O1456,基础资料!$AC$5:$AC$34,0)),"未知"))</f>
      </c>
      <c r="Q1456" s="78">
        <f>IF(P1456="应收",COUNTIF(P$7:P1456,"应收"),"")</f>
      </c>
      <c r="R1456" s="78">
        <f>IF(P1456="应付",COUNTIF(P$7:P1456,"应付"),"")</f>
      </c>
      <c r="S1456" s="78">
        <f>N(F1456)-N(G1456)</f>
        <v>0</v>
      </c>
    </row>
    <row r="1457">
      <c r="A1457" s="109">
        <f>IF(AND(F1457="",G1457=""),"",ROW()-6)</f>
      </c>
      <c r="B1457" s="140" t="n"/>
      <c r="C1457" s="141" t="n"/>
      <c r="D1457" s="141" t="n"/>
      <c r="E1457" s="142" t="n"/>
      <c r="F1457" s="143" t="n"/>
      <c r="G1457" s="144" t="n"/>
      <c r="H1457" s="145">
        <f>IF(OR(C1457="",AND(F1457="",G1457="")),"",SUMIF(基础资料!$W$5:$W$24,C1457,基础资料!$X$5:$X$24)+SUMIF(C$7:C1457,C1457,F$7:F1457)-SUMIF(C$7:C1457,C1457,G$7:G1457))</f>
      </c>
      <c r="I1457" s="145">
        <f>IF(AND(F1457="",G1457=""),"",SUM(基础资料!$X$5:$X$24)+SUM(F$7:F1457)-SUM(G$7:G1457))</f>
      </c>
      <c r="J1457" s="141" t="n"/>
      <c r="K1457" s="141" t="n"/>
      <c r="L1457" s="141" t="n"/>
      <c r="M1457" s="142" t="n"/>
      <c r="N1457" s="146">
        <f>IF(AND(AND(F1457="",G1457=""),B1457="",C1457="",D1457="",J1457="",K1457="",L1457=""),"",IF(AND(F1457="",G1457=""),"✗ 没填金额",IF(AND(N(F1457)&lt;&gt;0,N(G1457)&lt;&gt;0),"✗ 收入、支出只能填一边",IF(NOT(ISNUMBER(B1457)),"✗ 日期不是真日期（要像 2026/9/25 这样填）",IF(OR(B1457&lt;年初日,B1457&gt;年末日),"✗ 日期不在本会计年度",IF(C1457="","✗ 没选账户",IF(COUNTIF(基础资料!$W$5:$W$24,C1457)=0,"✗ 账户不在基础资料里",IF(O1457="","✗ 没选收支项目",IF(P1457="未知","✗ 收支项目不在基础资料里",IF(AND(P1457="应收",J1457=""),"✗ 这笔要选客户",IF(AND(P1457="应收",COUNTIF(总览汇总!$B$5:$B$304,J1457)=0),"✗ 客户不在总览汇总名单里",IF(AND(P1457="应付",K1457=""),"✗ 这笔要选供应商",IF(AND(P1457="应付",COUNTIF(基础资料!$Q$5:$Q$54,K1457)=0),"✗ 供应商不在基础资料里",IF(AND(P1457="费用",L1457=""),"✗ 费用支出要选费用项目",IF(AND(L1457&lt;&gt;"",COUNTIF(基础资料!$AI$5:$AI$54,L1457)=0),"✗ 费用项目不在基础资料里",IF(AND(IFERROR(INDEX(基础资料!$AD$5:$AD$34,MATCH(O1457,基础资料!$AC$5:$AC$34,0)),"")="收",N(G1457)&lt;&gt;0),"✗ 这类是收款，金额填到收入列",IF(AND(IFERROR(INDEX(基础资料!$AD$5:$AD$34,MATCH(O1457,基础资料!$AC$5:$AC$34,0)),"")="支",N(F1457)&lt;&gt;0),"✗ 这类是付款，金额填到支出列",IF(N(H1457)&lt;0,"⚠ 账户余额成负数了，核对一下","√"))))))))))))))))))</f>
      </c>
      <c r="O1457" s="78">
        <f>IF(D1457&lt;&gt;"",D1457,IF(AND(F1457="",G1457=""),"",IF(J1457&lt;&gt;"",IF(N(F1457)&gt;0,"客户回款","客户退款"),IF(K1457&lt;&gt;"",IF(N(G1457)&gt;0,"供应商付款","供应商退款"),IF(L1457&lt;&gt;"","费用支出","")))))</f>
      </c>
      <c r="P1457" s="78">
        <f>IF(O1457="","",IFERROR(INDEX(基础资料!$AE$5:$AE$34,MATCH(O1457,基础资料!$AC$5:$AC$34,0)),"未知"))</f>
      </c>
      <c r="Q1457" s="78">
        <f>IF(P1457="应收",COUNTIF(P$7:P1457,"应收"),"")</f>
      </c>
      <c r="R1457" s="78">
        <f>IF(P1457="应付",COUNTIF(P$7:P1457,"应付"),"")</f>
      </c>
      <c r="S1457" s="78">
        <f>N(F1457)-N(G1457)</f>
        <v>0</v>
      </c>
    </row>
    <row r="1458">
      <c r="A1458" s="109">
        <f>IF(AND(F1458="",G1458=""),"",ROW()-6)</f>
      </c>
      <c r="B1458" s="140" t="n"/>
      <c r="C1458" s="141" t="n"/>
      <c r="D1458" s="141" t="n"/>
      <c r="E1458" s="142" t="n"/>
      <c r="F1458" s="143" t="n"/>
      <c r="G1458" s="144" t="n"/>
      <c r="H1458" s="145">
        <f>IF(OR(C1458="",AND(F1458="",G1458="")),"",SUMIF(基础资料!$W$5:$W$24,C1458,基础资料!$X$5:$X$24)+SUMIF(C$7:C1458,C1458,F$7:F1458)-SUMIF(C$7:C1458,C1458,G$7:G1458))</f>
      </c>
      <c r="I1458" s="145">
        <f>IF(AND(F1458="",G1458=""),"",SUM(基础资料!$X$5:$X$24)+SUM(F$7:F1458)-SUM(G$7:G1458))</f>
      </c>
      <c r="J1458" s="141" t="n"/>
      <c r="K1458" s="141" t="n"/>
      <c r="L1458" s="141" t="n"/>
      <c r="M1458" s="142" t="n"/>
      <c r="N1458" s="146">
        <f>IF(AND(AND(F1458="",G1458=""),B1458="",C1458="",D1458="",J1458="",K1458="",L1458=""),"",IF(AND(F1458="",G1458=""),"✗ 没填金额",IF(AND(N(F1458)&lt;&gt;0,N(G1458)&lt;&gt;0),"✗ 收入、支出只能填一边",IF(NOT(ISNUMBER(B1458)),"✗ 日期不是真日期（要像 2026/9/25 这样填）",IF(OR(B1458&lt;年初日,B1458&gt;年末日),"✗ 日期不在本会计年度",IF(C1458="","✗ 没选账户",IF(COUNTIF(基础资料!$W$5:$W$24,C1458)=0,"✗ 账户不在基础资料里",IF(O1458="","✗ 没选收支项目",IF(P1458="未知","✗ 收支项目不在基础资料里",IF(AND(P1458="应收",J1458=""),"✗ 这笔要选客户",IF(AND(P1458="应收",COUNTIF(总览汇总!$B$5:$B$304,J1458)=0),"✗ 客户不在总览汇总名单里",IF(AND(P1458="应付",K1458=""),"✗ 这笔要选供应商",IF(AND(P1458="应付",COUNTIF(基础资料!$Q$5:$Q$54,K1458)=0),"✗ 供应商不在基础资料里",IF(AND(P1458="费用",L1458=""),"✗ 费用支出要选费用项目",IF(AND(L1458&lt;&gt;"",COUNTIF(基础资料!$AI$5:$AI$54,L1458)=0),"✗ 费用项目不在基础资料里",IF(AND(IFERROR(INDEX(基础资料!$AD$5:$AD$34,MATCH(O1458,基础资料!$AC$5:$AC$34,0)),"")="收",N(G1458)&lt;&gt;0),"✗ 这类是收款，金额填到收入列",IF(AND(IFERROR(INDEX(基础资料!$AD$5:$AD$34,MATCH(O1458,基础资料!$AC$5:$AC$34,0)),"")="支",N(F1458)&lt;&gt;0),"✗ 这类是付款，金额填到支出列",IF(N(H1458)&lt;0,"⚠ 账户余额成负数了，核对一下","√"))))))))))))))))))</f>
      </c>
      <c r="O1458" s="78">
        <f>IF(D1458&lt;&gt;"",D1458,IF(AND(F1458="",G1458=""),"",IF(J1458&lt;&gt;"",IF(N(F1458)&gt;0,"客户回款","客户退款"),IF(K1458&lt;&gt;"",IF(N(G1458)&gt;0,"供应商付款","供应商退款"),IF(L1458&lt;&gt;"","费用支出","")))))</f>
      </c>
      <c r="P1458" s="78">
        <f>IF(O1458="","",IFERROR(INDEX(基础资料!$AE$5:$AE$34,MATCH(O1458,基础资料!$AC$5:$AC$34,0)),"未知"))</f>
      </c>
      <c r="Q1458" s="78">
        <f>IF(P1458="应收",COUNTIF(P$7:P1458,"应收"),"")</f>
      </c>
      <c r="R1458" s="78">
        <f>IF(P1458="应付",COUNTIF(P$7:P1458,"应付"),"")</f>
      </c>
      <c r="S1458" s="78">
        <f>N(F1458)-N(G1458)</f>
        <v>0</v>
      </c>
    </row>
    <row r="1459">
      <c r="A1459" s="109">
        <f>IF(AND(F1459="",G1459=""),"",ROW()-6)</f>
      </c>
      <c r="B1459" s="140" t="n"/>
      <c r="C1459" s="141" t="n"/>
      <c r="D1459" s="141" t="n"/>
      <c r="E1459" s="142" t="n"/>
      <c r="F1459" s="143" t="n"/>
      <c r="G1459" s="144" t="n"/>
      <c r="H1459" s="145">
        <f>IF(OR(C1459="",AND(F1459="",G1459="")),"",SUMIF(基础资料!$W$5:$W$24,C1459,基础资料!$X$5:$X$24)+SUMIF(C$7:C1459,C1459,F$7:F1459)-SUMIF(C$7:C1459,C1459,G$7:G1459))</f>
      </c>
      <c r="I1459" s="145">
        <f>IF(AND(F1459="",G1459=""),"",SUM(基础资料!$X$5:$X$24)+SUM(F$7:F1459)-SUM(G$7:G1459))</f>
      </c>
      <c r="J1459" s="141" t="n"/>
      <c r="K1459" s="141" t="n"/>
      <c r="L1459" s="141" t="n"/>
      <c r="M1459" s="142" t="n"/>
      <c r="N1459" s="146">
        <f>IF(AND(AND(F1459="",G1459=""),B1459="",C1459="",D1459="",J1459="",K1459="",L1459=""),"",IF(AND(F1459="",G1459=""),"✗ 没填金额",IF(AND(N(F1459)&lt;&gt;0,N(G1459)&lt;&gt;0),"✗ 收入、支出只能填一边",IF(NOT(ISNUMBER(B1459)),"✗ 日期不是真日期（要像 2026/9/25 这样填）",IF(OR(B1459&lt;年初日,B1459&gt;年末日),"✗ 日期不在本会计年度",IF(C1459="","✗ 没选账户",IF(COUNTIF(基础资料!$W$5:$W$24,C1459)=0,"✗ 账户不在基础资料里",IF(O1459="","✗ 没选收支项目",IF(P1459="未知","✗ 收支项目不在基础资料里",IF(AND(P1459="应收",J1459=""),"✗ 这笔要选客户",IF(AND(P1459="应收",COUNTIF(总览汇总!$B$5:$B$304,J1459)=0),"✗ 客户不在总览汇总名单里",IF(AND(P1459="应付",K1459=""),"✗ 这笔要选供应商",IF(AND(P1459="应付",COUNTIF(基础资料!$Q$5:$Q$54,K1459)=0),"✗ 供应商不在基础资料里",IF(AND(P1459="费用",L1459=""),"✗ 费用支出要选费用项目",IF(AND(L1459&lt;&gt;"",COUNTIF(基础资料!$AI$5:$AI$54,L1459)=0),"✗ 费用项目不在基础资料里",IF(AND(IFERROR(INDEX(基础资料!$AD$5:$AD$34,MATCH(O1459,基础资料!$AC$5:$AC$34,0)),"")="收",N(G1459)&lt;&gt;0),"✗ 这类是收款，金额填到收入列",IF(AND(IFERROR(INDEX(基础资料!$AD$5:$AD$34,MATCH(O1459,基础资料!$AC$5:$AC$34,0)),"")="支",N(F1459)&lt;&gt;0),"✗ 这类是付款，金额填到支出列",IF(N(H1459)&lt;0,"⚠ 账户余额成负数了，核对一下","√"))))))))))))))))))</f>
      </c>
      <c r="O1459" s="78">
        <f>IF(D1459&lt;&gt;"",D1459,IF(AND(F1459="",G1459=""),"",IF(J1459&lt;&gt;"",IF(N(F1459)&gt;0,"客户回款","客户退款"),IF(K1459&lt;&gt;"",IF(N(G1459)&gt;0,"供应商付款","供应商退款"),IF(L1459&lt;&gt;"","费用支出","")))))</f>
      </c>
      <c r="P1459" s="78">
        <f>IF(O1459="","",IFERROR(INDEX(基础资料!$AE$5:$AE$34,MATCH(O1459,基础资料!$AC$5:$AC$34,0)),"未知"))</f>
      </c>
      <c r="Q1459" s="78">
        <f>IF(P1459="应收",COUNTIF(P$7:P1459,"应收"),"")</f>
      </c>
      <c r="R1459" s="78">
        <f>IF(P1459="应付",COUNTIF(P$7:P1459,"应付"),"")</f>
      </c>
      <c r="S1459" s="78">
        <f>N(F1459)-N(G1459)</f>
        <v>0</v>
      </c>
    </row>
    <row r="1460">
      <c r="A1460" s="109">
        <f>IF(AND(F1460="",G1460=""),"",ROW()-6)</f>
      </c>
      <c r="B1460" s="140" t="n"/>
      <c r="C1460" s="141" t="n"/>
      <c r="D1460" s="141" t="n"/>
      <c r="E1460" s="142" t="n"/>
      <c r="F1460" s="143" t="n"/>
      <c r="G1460" s="144" t="n"/>
      <c r="H1460" s="145">
        <f>IF(OR(C1460="",AND(F1460="",G1460="")),"",SUMIF(基础资料!$W$5:$W$24,C1460,基础资料!$X$5:$X$24)+SUMIF(C$7:C1460,C1460,F$7:F1460)-SUMIF(C$7:C1460,C1460,G$7:G1460))</f>
      </c>
      <c r="I1460" s="145">
        <f>IF(AND(F1460="",G1460=""),"",SUM(基础资料!$X$5:$X$24)+SUM(F$7:F1460)-SUM(G$7:G1460))</f>
      </c>
      <c r="J1460" s="141" t="n"/>
      <c r="K1460" s="141" t="n"/>
      <c r="L1460" s="141" t="n"/>
      <c r="M1460" s="142" t="n"/>
      <c r="N1460" s="146">
        <f>IF(AND(AND(F1460="",G1460=""),B1460="",C1460="",D1460="",J1460="",K1460="",L1460=""),"",IF(AND(F1460="",G1460=""),"✗ 没填金额",IF(AND(N(F1460)&lt;&gt;0,N(G1460)&lt;&gt;0),"✗ 收入、支出只能填一边",IF(NOT(ISNUMBER(B1460)),"✗ 日期不是真日期（要像 2026/9/25 这样填）",IF(OR(B1460&lt;年初日,B1460&gt;年末日),"✗ 日期不在本会计年度",IF(C1460="","✗ 没选账户",IF(COUNTIF(基础资料!$W$5:$W$24,C1460)=0,"✗ 账户不在基础资料里",IF(O1460="","✗ 没选收支项目",IF(P1460="未知","✗ 收支项目不在基础资料里",IF(AND(P1460="应收",J1460=""),"✗ 这笔要选客户",IF(AND(P1460="应收",COUNTIF(总览汇总!$B$5:$B$304,J1460)=0),"✗ 客户不在总览汇总名单里",IF(AND(P1460="应付",K1460=""),"✗ 这笔要选供应商",IF(AND(P1460="应付",COUNTIF(基础资料!$Q$5:$Q$54,K1460)=0),"✗ 供应商不在基础资料里",IF(AND(P1460="费用",L1460=""),"✗ 费用支出要选费用项目",IF(AND(L1460&lt;&gt;"",COUNTIF(基础资料!$AI$5:$AI$54,L1460)=0),"✗ 费用项目不在基础资料里",IF(AND(IFERROR(INDEX(基础资料!$AD$5:$AD$34,MATCH(O1460,基础资料!$AC$5:$AC$34,0)),"")="收",N(G1460)&lt;&gt;0),"✗ 这类是收款，金额填到收入列",IF(AND(IFERROR(INDEX(基础资料!$AD$5:$AD$34,MATCH(O1460,基础资料!$AC$5:$AC$34,0)),"")="支",N(F1460)&lt;&gt;0),"✗ 这类是付款，金额填到支出列",IF(N(H1460)&lt;0,"⚠ 账户余额成负数了，核对一下","√"))))))))))))))))))</f>
      </c>
      <c r="O1460" s="78">
        <f>IF(D1460&lt;&gt;"",D1460,IF(AND(F1460="",G1460=""),"",IF(J1460&lt;&gt;"",IF(N(F1460)&gt;0,"客户回款","客户退款"),IF(K1460&lt;&gt;"",IF(N(G1460)&gt;0,"供应商付款","供应商退款"),IF(L1460&lt;&gt;"","费用支出","")))))</f>
      </c>
      <c r="P1460" s="78">
        <f>IF(O1460="","",IFERROR(INDEX(基础资料!$AE$5:$AE$34,MATCH(O1460,基础资料!$AC$5:$AC$34,0)),"未知"))</f>
      </c>
      <c r="Q1460" s="78">
        <f>IF(P1460="应收",COUNTIF(P$7:P1460,"应收"),"")</f>
      </c>
      <c r="R1460" s="78">
        <f>IF(P1460="应付",COUNTIF(P$7:P1460,"应付"),"")</f>
      </c>
      <c r="S1460" s="78">
        <f>N(F1460)-N(G1460)</f>
        <v>0</v>
      </c>
    </row>
    <row r="1461">
      <c r="A1461" s="109">
        <f>IF(AND(F1461="",G1461=""),"",ROW()-6)</f>
      </c>
      <c r="B1461" s="140" t="n"/>
      <c r="C1461" s="141" t="n"/>
      <c r="D1461" s="141" t="n"/>
      <c r="E1461" s="142" t="n"/>
      <c r="F1461" s="143" t="n"/>
      <c r="G1461" s="144" t="n"/>
      <c r="H1461" s="145">
        <f>IF(OR(C1461="",AND(F1461="",G1461="")),"",SUMIF(基础资料!$W$5:$W$24,C1461,基础资料!$X$5:$X$24)+SUMIF(C$7:C1461,C1461,F$7:F1461)-SUMIF(C$7:C1461,C1461,G$7:G1461))</f>
      </c>
      <c r="I1461" s="145">
        <f>IF(AND(F1461="",G1461=""),"",SUM(基础资料!$X$5:$X$24)+SUM(F$7:F1461)-SUM(G$7:G1461))</f>
      </c>
      <c r="J1461" s="141" t="n"/>
      <c r="K1461" s="141" t="n"/>
      <c r="L1461" s="141" t="n"/>
      <c r="M1461" s="142" t="n"/>
      <c r="N1461" s="146">
        <f>IF(AND(AND(F1461="",G1461=""),B1461="",C1461="",D1461="",J1461="",K1461="",L1461=""),"",IF(AND(F1461="",G1461=""),"✗ 没填金额",IF(AND(N(F1461)&lt;&gt;0,N(G1461)&lt;&gt;0),"✗ 收入、支出只能填一边",IF(NOT(ISNUMBER(B1461)),"✗ 日期不是真日期（要像 2026/9/25 这样填）",IF(OR(B1461&lt;年初日,B1461&gt;年末日),"✗ 日期不在本会计年度",IF(C1461="","✗ 没选账户",IF(COUNTIF(基础资料!$W$5:$W$24,C1461)=0,"✗ 账户不在基础资料里",IF(O1461="","✗ 没选收支项目",IF(P1461="未知","✗ 收支项目不在基础资料里",IF(AND(P1461="应收",J1461=""),"✗ 这笔要选客户",IF(AND(P1461="应收",COUNTIF(总览汇总!$B$5:$B$304,J1461)=0),"✗ 客户不在总览汇总名单里",IF(AND(P1461="应付",K1461=""),"✗ 这笔要选供应商",IF(AND(P1461="应付",COUNTIF(基础资料!$Q$5:$Q$54,K1461)=0),"✗ 供应商不在基础资料里",IF(AND(P1461="费用",L1461=""),"✗ 费用支出要选费用项目",IF(AND(L1461&lt;&gt;"",COUNTIF(基础资料!$AI$5:$AI$54,L1461)=0),"✗ 费用项目不在基础资料里",IF(AND(IFERROR(INDEX(基础资料!$AD$5:$AD$34,MATCH(O1461,基础资料!$AC$5:$AC$34,0)),"")="收",N(G1461)&lt;&gt;0),"✗ 这类是收款，金额填到收入列",IF(AND(IFERROR(INDEX(基础资料!$AD$5:$AD$34,MATCH(O1461,基础资料!$AC$5:$AC$34,0)),"")="支",N(F1461)&lt;&gt;0),"✗ 这类是付款，金额填到支出列",IF(N(H1461)&lt;0,"⚠ 账户余额成负数了，核对一下","√"))))))))))))))))))</f>
      </c>
      <c r="O1461" s="78">
        <f>IF(D1461&lt;&gt;"",D1461,IF(AND(F1461="",G1461=""),"",IF(J1461&lt;&gt;"",IF(N(F1461)&gt;0,"客户回款","客户退款"),IF(K1461&lt;&gt;"",IF(N(G1461)&gt;0,"供应商付款","供应商退款"),IF(L1461&lt;&gt;"","费用支出","")))))</f>
      </c>
      <c r="P1461" s="78">
        <f>IF(O1461="","",IFERROR(INDEX(基础资料!$AE$5:$AE$34,MATCH(O1461,基础资料!$AC$5:$AC$34,0)),"未知"))</f>
      </c>
      <c r="Q1461" s="78">
        <f>IF(P1461="应收",COUNTIF(P$7:P1461,"应收"),"")</f>
      </c>
      <c r="R1461" s="78">
        <f>IF(P1461="应付",COUNTIF(P$7:P1461,"应付"),"")</f>
      </c>
      <c r="S1461" s="78">
        <f>N(F1461)-N(G1461)</f>
        <v>0</v>
      </c>
    </row>
    <row r="1462">
      <c r="A1462" s="109">
        <f>IF(AND(F1462="",G1462=""),"",ROW()-6)</f>
      </c>
      <c r="B1462" s="140" t="n"/>
      <c r="C1462" s="141" t="n"/>
      <c r="D1462" s="141" t="n"/>
      <c r="E1462" s="142" t="n"/>
      <c r="F1462" s="143" t="n"/>
      <c r="G1462" s="144" t="n"/>
      <c r="H1462" s="145">
        <f>IF(OR(C1462="",AND(F1462="",G1462="")),"",SUMIF(基础资料!$W$5:$W$24,C1462,基础资料!$X$5:$X$24)+SUMIF(C$7:C1462,C1462,F$7:F1462)-SUMIF(C$7:C1462,C1462,G$7:G1462))</f>
      </c>
      <c r="I1462" s="145">
        <f>IF(AND(F1462="",G1462=""),"",SUM(基础资料!$X$5:$X$24)+SUM(F$7:F1462)-SUM(G$7:G1462))</f>
      </c>
      <c r="J1462" s="141" t="n"/>
      <c r="K1462" s="141" t="n"/>
      <c r="L1462" s="141" t="n"/>
      <c r="M1462" s="142" t="n"/>
      <c r="N1462" s="146">
        <f>IF(AND(AND(F1462="",G1462=""),B1462="",C1462="",D1462="",J1462="",K1462="",L1462=""),"",IF(AND(F1462="",G1462=""),"✗ 没填金额",IF(AND(N(F1462)&lt;&gt;0,N(G1462)&lt;&gt;0),"✗ 收入、支出只能填一边",IF(NOT(ISNUMBER(B1462)),"✗ 日期不是真日期（要像 2026/9/25 这样填）",IF(OR(B1462&lt;年初日,B1462&gt;年末日),"✗ 日期不在本会计年度",IF(C1462="","✗ 没选账户",IF(COUNTIF(基础资料!$W$5:$W$24,C1462)=0,"✗ 账户不在基础资料里",IF(O1462="","✗ 没选收支项目",IF(P1462="未知","✗ 收支项目不在基础资料里",IF(AND(P1462="应收",J1462=""),"✗ 这笔要选客户",IF(AND(P1462="应收",COUNTIF(总览汇总!$B$5:$B$304,J1462)=0),"✗ 客户不在总览汇总名单里",IF(AND(P1462="应付",K1462=""),"✗ 这笔要选供应商",IF(AND(P1462="应付",COUNTIF(基础资料!$Q$5:$Q$54,K1462)=0),"✗ 供应商不在基础资料里",IF(AND(P1462="费用",L1462=""),"✗ 费用支出要选费用项目",IF(AND(L1462&lt;&gt;"",COUNTIF(基础资料!$AI$5:$AI$54,L1462)=0),"✗ 费用项目不在基础资料里",IF(AND(IFERROR(INDEX(基础资料!$AD$5:$AD$34,MATCH(O1462,基础资料!$AC$5:$AC$34,0)),"")="收",N(G1462)&lt;&gt;0),"✗ 这类是收款，金额填到收入列",IF(AND(IFERROR(INDEX(基础资料!$AD$5:$AD$34,MATCH(O1462,基础资料!$AC$5:$AC$34,0)),"")="支",N(F1462)&lt;&gt;0),"✗ 这类是付款，金额填到支出列",IF(N(H1462)&lt;0,"⚠ 账户余额成负数了，核对一下","√"))))))))))))))))))</f>
      </c>
      <c r="O1462" s="78">
        <f>IF(D1462&lt;&gt;"",D1462,IF(AND(F1462="",G1462=""),"",IF(J1462&lt;&gt;"",IF(N(F1462)&gt;0,"客户回款","客户退款"),IF(K1462&lt;&gt;"",IF(N(G1462)&gt;0,"供应商付款","供应商退款"),IF(L1462&lt;&gt;"","费用支出","")))))</f>
      </c>
      <c r="P1462" s="78">
        <f>IF(O1462="","",IFERROR(INDEX(基础资料!$AE$5:$AE$34,MATCH(O1462,基础资料!$AC$5:$AC$34,0)),"未知"))</f>
      </c>
      <c r="Q1462" s="78">
        <f>IF(P1462="应收",COUNTIF(P$7:P1462,"应收"),"")</f>
      </c>
      <c r="R1462" s="78">
        <f>IF(P1462="应付",COUNTIF(P$7:P1462,"应付"),"")</f>
      </c>
      <c r="S1462" s="78">
        <f>N(F1462)-N(G1462)</f>
        <v>0</v>
      </c>
    </row>
    <row r="1463">
      <c r="A1463" s="109">
        <f>IF(AND(F1463="",G1463=""),"",ROW()-6)</f>
      </c>
      <c r="B1463" s="140" t="n"/>
      <c r="C1463" s="141" t="n"/>
      <c r="D1463" s="141" t="n"/>
      <c r="E1463" s="142" t="n"/>
      <c r="F1463" s="143" t="n"/>
      <c r="G1463" s="144" t="n"/>
      <c r="H1463" s="145">
        <f>IF(OR(C1463="",AND(F1463="",G1463="")),"",SUMIF(基础资料!$W$5:$W$24,C1463,基础资料!$X$5:$X$24)+SUMIF(C$7:C1463,C1463,F$7:F1463)-SUMIF(C$7:C1463,C1463,G$7:G1463))</f>
      </c>
      <c r="I1463" s="145">
        <f>IF(AND(F1463="",G1463=""),"",SUM(基础资料!$X$5:$X$24)+SUM(F$7:F1463)-SUM(G$7:G1463))</f>
      </c>
      <c r="J1463" s="141" t="n"/>
      <c r="K1463" s="141" t="n"/>
      <c r="L1463" s="141" t="n"/>
      <c r="M1463" s="142" t="n"/>
      <c r="N1463" s="146">
        <f>IF(AND(AND(F1463="",G1463=""),B1463="",C1463="",D1463="",J1463="",K1463="",L1463=""),"",IF(AND(F1463="",G1463=""),"✗ 没填金额",IF(AND(N(F1463)&lt;&gt;0,N(G1463)&lt;&gt;0),"✗ 收入、支出只能填一边",IF(NOT(ISNUMBER(B1463)),"✗ 日期不是真日期（要像 2026/9/25 这样填）",IF(OR(B1463&lt;年初日,B1463&gt;年末日),"✗ 日期不在本会计年度",IF(C1463="","✗ 没选账户",IF(COUNTIF(基础资料!$W$5:$W$24,C1463)=0,"✗ 账户不在基础资料里",IF(O1463="","✗ 没选收支项目",IF(P1463="未知","✗ 收支项目不在基础资料里",IF(AND(P1463="应收",J1463=""),"✗ 这笔要选客户",IF(AND(P1463="应收",COUNTIF(总览汇总!$B$5:$B$304,J1463)=0),"✗ 客户不在总览汇总名单里",IF(AND(P1463="应付",K1463=""),"✗ 这笔要选供应商",IF(AND(P1463="应付",COUNTIF(基础资料!$Q$5:$Q$54,K1463)=0),"✗ 供应商不在基础资料里",IF(AND(P1463="费用",L1463=""),"✗ 费用支出要选费用项目",IF(AND(L1463&lt;&gt;"",COUNTIF(基础资料!$AI$5:$AI$54,L1463)=0),"✗ 费用项目不在基础资料里",IF(AND(IFERROR(INDEX(基础资料!$AD$5:$AD$34,MATCH(O1463,基础资料!$AC$5:$AC$34,0)),"")="收",N(G1463)&lt;&gt;0),"✗ 这类是收款，金额填到收入列",IF(AND(IFERROR(INDEX(基础资料!$AD$5:$AD$34,MATCH(O1463,基础资料!$AC$5:$AC$34,0)),"")="支",N(F1463)&lt;&gt;0),"✗ 这类是付款，金额填到支出列",IF(N(H1463)&lt;0,"⚠ 账户余额成负数了，核对一下","√"))))))))))))))))))</f>
      </c>
      <c r="O1463" s="78">
        <f>IF(D1463&lt;&gt;"",D1463,IF(AND(F1463="",G1463=""),"",IF(J1463&lt;&gt;"",IF(N(F1463)&gt;0,"客户回款","客户退款"),IF(K1463&lt;&gt;"",IF(N(G1463)&gt;0,"供应商付款","供应商退款"),IF(L1463&lt;&gt;"","费用支出","")))))</f>
      </c>
      <c r="P1463" s="78">
        <f>IF(O1463="","",IFERROR(INDEX(基础资料!$AE$5:$AE$34,MATCH(O1463,基础资料!$AC$5:$AC$34,0)),"未知"))</f>
      </c>
      <c r="Q1463" s="78">
        <f>IF(P1463="应收",COUNTIF(P$7:P1463,"应收"),"")</f>
      </c>
      <c r="R1463" s="78">
        <f>IF(P1463="应付",COUNTIF(P$7:P1463,"应付"),"")</f>
      </c>
      <c r="S1463" s="78">
        <f>N(F1463)-N(G1463)</f>
        <v>0</v>
      </c>
    </row>
    <row r="1464">
      <c r="A1464" s="109">
        <f>IF(AND(F1464="",G1464=""),"",ROW()-6)</f>
      </c>
      <c r="B1464" s="140" t="n"/>
      <c r="C1464" s="141" t="n"/>
      <c r="D1464" s="141" t="n"/>
      <c r="E1464" s="142" t="n"/>
      <c r="F1464" s="143" t="n"/>
      <c r="G1464" s="144" t="n"/>
      <c r="H1464" s="145">
        <f>IF(OR(C1464="",AND(F1464="",G1464="")),"",SUMIF(基础资料!$W$5:$W$24,C1464,基础资料!$X$5:$X$24)+SUMIF(C$7:C1464,C1464,F$7:F1464)-SUMIF(C$7:C1464,C1464,G$7:G1464))</f>
      </c>
      <c r="I1464" s="145">
        <f>IF(AND(F1464="",G1464=""),"",SUM(基础资料!$X$5:$X$24)+SUM(F$7:F1464)-SUM(G$7:G1464))</f>
      </c>
      <c r="J1464" s="141" t="n"/>
      <c r="K1464" s="141" t="n"/>
      <c r="L1464" s="141" t="n"/>
      <c r="M1464" s="142" t="n"/>
      <c r="N1464" s="146">
        <f>IF(AND(AND(F1464="",G1464=""),B1464="",C1464="",D1464="",J1464="",K1464="",L1464=""),"",IF(AND(F1464="",G1464=""),"✗ 没填金额",IF(AND(N(F1464)&lt;&gt;0,N(G1464)&lt;&gt;0),"✗ 收入、支出只能填一边",IF(NOT(ISNUMBER(B1464)),"✗ 日期不是真日期（要像 2026/9/25 这样填）",IF(OR(B1464&lt;年初日,B1464&gt;年末日),"✗ 日期不在本会计年度",IF(C1464="","✗ 没选账户",IF(COUNTIF(基础资料!$W$5:$W$24,C1464)=0,"✗ 账户不在基础资料里",IF(O1464="","✗ 没选收支项目",IF(P1464="未知","✗ 收支项目不在基础资料里",IF(AND(P1464="应收",J1464=""),"✗ 这笔要选客户",IF(AND(P1464="应收",COUNTIF(总览汇总!$B$5:$B$304,J1464)=0),"✗ 客户不在总览汇总名单里",IF(AND(P1464="应付",K1464=""),"✗ 这笔要选供应商",IF(AND(P1464="应付",COUNTIF(基础资料!$Q$5:$Q$54,K1464)=0),"✗ 供应商不在基础资料里",IF(AND(P1464="费用",L1464=""),"✗ 费用支出要选费用项目",IF(AND(L1464&lt;&gt;"",COUNTIF(基础资料!$AI$5:$AI$54,L1464)=0),"✗ 费用项目不在基础资料里",IF(AND(IFERROR(INDEX(基础资料!$AD$5:$AD$34,MATCH(O1464,基础资料!$AC$5:$AC$34,0)),"")="收",N(G1464)&lt;&gt;0),"✗ 这类是收款，金额填到收入列",IF(AND(IFERROR(INDEX(基础资料!$AD$5:$AD$34,MATCH(O1464,基础资料!$AC$5:$AC$34,0)),"")="支",N(F1464)&lt;&gt;0),"✗ 这类是付款，金额填到支出列",IF(N(H1464)&lt;0,"⚠ 账户余额成负数了，核对一下","√"))))))))))))))))))</f>
      </c>
      <c r="O1464" s="78">
        <f>IF(D1464&lt;&gt;"",D1464,IF(AND(F1464="",G1464=""),"",IF(J1464&lt;&gt;"",IF(N(F1464)&gt;0,"客户回款","客户退款"),IF(K1464&lt;&gt;"",IF(N(G1464)&gt;0,"供应商付款","供应商退款"),IF(L1464&lt;&gt;"","费用支出","")))))</f>
      </c>
      <c r="P1464" s="78">
        <f>IF(O1464="","",IFERROR(INDEX(基础资料!$AE$5:$AE$34,MATCH(O1464,基础资料!$AC$5:$AC$34,0)),"未知"))</f>
      </c>
      <c r="Q1464" s="78">
        <f>IF(P1464="应收",COUNTIF(P$7:P1464,"应收"),"")</f>
      </c>
      <c r="R1464" s="78">
        <f>IF(P1464="应付",COUNTIF(P$7:P1464,"应付"),"")</f>
      </c>
      <c r="S1464" s="78">
        <f>N(F1464)-N(G1464)</f>
        <v>0</v>
      </c>
    </row>
    <row r="1465">
      <c r="A1465" s="109">
        <f>IF(AND(F1465="",G1465=""),"",ROW()-6)</f>
      </c>
      <c r="B1465" s="140" t="n"/>
      <c r="C1465" s="141" t="n"/>
      <c r="D1465" s="141" t="n"/>
      <c r="E1465" s="142" t="n"/>
      <c r="F1465" s="143" t="n"/>
      <c r="G1465" s="144" t="n"/>
      <c r="H1465" s="145">
        <f>IF(OR(C1465="",AND(F1465="",G1465="")),"",SUMIF(基础资料!$W$5:$W$24,C1465,基础资料!$X$5:$X$24)+SUMIF(C$7:C1465,C1465,F$7:F1465)-SUMIF(C$7:C1465,C1465,G$7:G1465))</f>
      </c>
      <c r="I1465" s="145">
        <f>IF(AND(F1465="",G1465=""),"",SUM(基础资料!$X$5:$X$24)+SUM(F$7:F1465)-SUM(G$7:G1465))</f>
      </c>
      <c r="J1465" s="141" t="n"/>
      <c r="K1465" s="141" t="n"/>
      <c r="L1465" s="141" t="n"/>
      <c r="M1465" s="142" t="n"/>
      <c r="N1465" s="146">
        <f>IF(AND(AND(F1465="",G1465=""),B1465="",C1465="",D1465="",J1465="",K1465="",L1465=""),"",IF(AND(F1465="",G1465=""),"✗ 没填金额",IF(AND(N(F1465)&lt;&gt;0,N(G1465)&lt;&gt;0),"✗ 收入、支出只能填一边",IF(NOT(ISNUMBER(B1465)),"✗ 日期不是真日期（要像 2026/9/25 这样填）",IF(OR(B1465&lt;年初日,B1465&gt;年末日),"✗ 日期不在本会计年度",IF(C1465="","✗ 没选账户",IF(COUNTIF(基础资料!$W$5:$W$24,C1465)=0,"✗ 账户不在基础资料里",IF(O1465="","✗ 没选收支项目",IF(P1465="未知","✗ 收支项目不在基础资料里",IF(AND(P1465="应收",J1465=""),"✗ 这笔要选客户",IF(AND(P1465="应收",COUNTIF(总览汇总!$B$5:$B$304,J1465)=0),"✗ 客户不在总览汇总名单里",IF(AND(P1465="应付",K1465=""),"✗ 这笔要选供应商",IF(AND(P1465="应付",COUNTIF(基础资料!$Q$5:$Q$54,K1465)=0),"✗ 供应商不在基础资料里",IF(AND(P1465="费用",L1465=""),"✗ 费用支出要选费用项目",IF(AND(L1465&lt;&gt;"",COUNTIF(基础资料!$AI$5:$AI$54,L1465)=0),"✗ 费用项目不在基础资料里",IF(AND(IFERROR(INDEX(基础资料!$AD$5:$AD$34,MATCH(O1465,基础资料!$AC$5:$AC$34,0)),"")="收",N(G1465)&lt;&gt;0),"✗ 这类是收款，金额填到收入列",IF(AND(IFERROR(INDEX(基础资料!$AD$5:$AD$34,MATCH(O1465,基础资料!$AC$5:$AC$34,0)),"")="支",N(F1465)&lt;&gt;0),"✗ 这类是付款，金额填到支出列",IF(N(H1465)&lt;0,"⚠ 账户余额成负数了，核对一下","√"))))))))))))))))))</f>
      </c>
      <c r="O1465" s="78">
        <f>IF(D1465&lt;&gt;"",D1465,IF(AND(F1465="",G1465=""),"",IF(J1465&lt;&gt;"",IF(N(F1465)&gt;0,"客户回款","客户退款"),IF(K1465&lt;&gt;"",IF(N(G1465)&gt;0,"供应商付款","供应商退款"),IF(L1465&lt;&gt;"","费用支出","")))))</f>
      </c>
      <c r="P1465" s="78">
        <f>IF(O1465="","",IFERROR(INDEX(基础资料!$AE$5:$AE$34,MATCH(O1465,基础资料!$AC$5:$AC$34,0)),"未知"))</f>
      </c>
      <c r="Q1465" s="78">
        <f>IF(P1465="应收",COUNTIF(P$7:P1465,"应收"),"")</f>
      </c>
      <c r="R1465" s="78">
        <f>IF(P1465="应付",COUNTIF(P$7:P1465,"应付"),"")</f>
      </c>
      <c r="S1465" s="78">
        <f>N(F1465)-N(G1465)</f>
        <v>0</v>
      </c>
    </row>
    <row r="1466">
      <c r="A1466" s="109">
        <f>IF(AND(F1466="",G1466=""),"",ROW()-6)</f>
      </c>
      <c r="B1466" s="140" t="n"/>
      <c r="C1466" s="141" t="n"/>
      <c r="D1466" s="141" t="n"/>
      <c r="E1466" s="142" t="n"/>
      <c r="F1466" s="143" t="n"/>
      <c r="G1466" s="144" t="n"/>
      <c r="H1466" s="145">
        <f>IF(OR(C1466="",AND(F1466="",G1466="")),"",SUMIF(基础资料!$W$5:$W$24,C1466,基础资料!$X$5:$X$24)+SUMIF(C$7:C1466,C1466,F$7:F1466)-SUMIF(C$7:C1466,C1466,G$7:G1466))</f>
      </c>
      <c r="I1466" s="145">
        <f>IF(AND(F1466="",G1466=""),"",SUM(基础资料!$X$5:$X$24)+SUM(F$7:F1466)-SUM(G$7:G1466))</f>
      </c>
      <c r="J1466" s="141" t="n"/>
      <c r="K1466" s="141" t="n"/>
      <c r="L1466" s="141" t="n"/>
      <c r="M1466" s="142" t="n"/>
      <c r="N1466" s="146">
        <f>IF(AND(AND(F1466="",G1466=""),B1466="",C1466="",D1466="",J1466="",K1466="",L1466=""),"",IF(AND(F1466="",G1466=""),"✗ 没填金额",IF(AND(N(F1466)&lt;&gt;0,N(G1466)&lt;&gt;0),"✗ 收入、支出只能填一边",IF(NOT(ISNUMBER(B1466)),"✗ 日期不是真日期（要像 2026/9/25 这样填）",IF(OR(B1466&lt;年初日,B1466&gt;年末日),"✗ 日期不在本会计年度",IF(C1466="","✗ 没选账户",IF(COUNTIF(基础资料!$W$5:$W$24,C1466)=0,"✗ 账户不在基础资料里",IF(O1466="","✗ 没选收支项目",IF(P1466="未知","✗ 收支项目不在基础资料里",IF(AND(P1466="应收",J1466=""),"✗ 这笔要选客户",IF(AND(P1466="应收",COUNTIF(总览汇总!$B$5:$B$304,J1466)=0),"✗ 客户不在总览汇总名单里",IF(AND(P1466="应付",K1466=""),"✗ 这笔要选供应商",IF(AND(P1466="应付",COUNTIF(基础资料!$Q$5:$Q$54,K1466)=0),"✗ 供应商不在基础资料里",IF(AND(P1466="费用",L1466=""),"✗ 费用支出要选费用项目",IF(AND(L1466&lt;&gt;"",COUNTIF(基础资料!$AI$5:$AI$54,L1466)=0),"✗ 费用项目不在基础资料里",IF(AND(IFERROR(INDEX(基础资料!$AD$5:$AD$34,MATCH(O1466,基础资料!$AC$5:$AC$34,0)),"")="收",N(G1466)&lt;&gt;0),"✗ 这类是收款，金额填到收入列",IF(AND(IFERROR(INDEX(基础资料!$AD$5:$AD$34,MATCH(O1466,基础资料!$AC$5:$AC$34,0)),"")="支",N(F1466)&lt;&gt;0),"✗ 这类是付款，金额填到支出列",IF(N(H1466)&lt;0,"⚠ 账户余额成负数了，核对一下","√"))))))))))))))))))</f>
      </c>
      <c r="O1466" s="78">
        <f>IF(D1466&lt;&gt;"",D1466,IF(AND(F1466="",G1466=""),"",IF(J1466&lt;&gt;"",IF(N(F1466)&gt;0,"客户回款","客户退款"),IF(K1466&lt;&gt;"",IF(N(G1466)&gt;0,"供应商付款","供应商退款"),IF(L1466&lt;&gt;"","费用支出","")))))</f>
      </c>
      <c r="P1466" s="78">
        <f>IF(O1466="","",IFERROR(INDEX(基础资料!$AE$5:$AE$34,MATCH(O1466,基础资料!$AC$5:$AC$34,0)),"未知"))</f>
      </c>
      <c r="Q1466" s="78">
        <f>IF(P1466="应收",COUNTIF(P$7:P1466,"应收"),"")</f>
      </c>
      <c r="R1466" s="78">
        <f>IF(P1466="应付",COUNTIF(P$7:P1466,"应付"),"")</f>
      </c>
      <c r="S1466" s="78">
        <f>N(F1466)-N(G1466)</f>
        <v>0</v>
      </c>
    </row>
    <row r="1467">
      <c r="A1467" s="109">
        <f>IF(AND(F1467="",G1467=""),"",ROW()-6)</f>
      </c>
      <c r="B1467" s="140" t="n"/>
      <c r="C1467" s="141" t="n"/>
      <c r="D1467" s="141" t="n"/>
      <c r="E1467" s="142" t="n"/>
      <c r="F1467" s="143" t="n"/>
      <c r="G1467" s="144" t="n"/>
      <c r="H1467" s="145">
        <f>IF(OR(C1467="",AND(F1467="",G1467="")),"",SUMIF(基础资料!$W$5:$W$24,C1467,基础资料!$X$5:$X$24)+SUMIF(C$7:C1467,C1467,F$7:F1467)-SUMIF(C$7:C1467,C1467,G$7:G1467))</f>
      </c>
      <c r="I1467" s="145">
        <f>IF(AND(F1467="",G1467=""),"",SUM(基础资料!$X$5:$X$24)+SUM(F$7:F1467)-SUM(G$7:G1467))</f>
      </c>
      <c r="J1467" s="141" t="n"/>
      <c r="K1467" s="141" t="n"/>
      <c r="L1467" s="141" t="n"/>
      <c r="M1467" s="142" t="n"/>
      <c r="N1467" s="146">
        <f>IF(AND(AND(F1467="",G1467=""),B1467="",C1467="",D1467="",J1467="",K1467="",L1467=""),"",IF(AND(F1467="",G1467=""),"✗ 没填金额",IF(AND(N(F1467)&lt;&gt;0,N(G1467)&lt;&gt;0),"✗ 收入、支出只能填一边",IF(NOT(ISNUMBER(B1467)),"✗ 日期不是真日期（要像 2026/9/25 这样填）",IF(OR(B1467&lt;年初日,B1467&gt;年末日),"✗ 日期不在本会计年度",IF(C1467="","✗ 没选账户",IF(COUNTIF(基础资料!$W$5:$W$24,C1467)=0,"✗ 账户不在基础资料里",IF(O1467="","✗ 没选收支项目",IF(P1467="未知","✗ 收支项目不在基础资料里",IF(AND(P1467="应收",J1467=""),"✗ 这笔要选客户",IF(AND(P1467="应收",COUNTIF(总览汇总!$B$5:$B$304,J1467)=0),"✗ 客户不在总览汇总名单里",IF(AND(P1467="应付",K1467=""),"✗ 这笔要选供应商",IF(AND(P1467="应付",COUNTIF(基础资料!$Q$5:$Q$54,K1467)=0),"✗ 供应商不在基础资料里",IF(AND(P1467="费用",L1467=""),"✗ 费用支出要选费用项目",IF(AND(L1467&lt;&gt;"",COUNTIF(基础资料!$AI$5:$AI$54,L1467)=0),"✗ 费用项目不在基础资料里",IF(AND(IFERROR(INDEX(基础资料!$AD$5:$AD$34,MATCH(O1467,基础资料!$AC$5:$AC$34,0)),"")="收",N(G1467)&lt;&gt;0),"✗ 这类是收款，金额填到收入列",IF(AND(IFERROR(INDEX(基础资料!$AD$5:$AD$34,MATCH(O1467,基础资料!$AC$5:$AC$34,0)),"")="支",N(F1467)&lt;&gt;0),"✗ 这类是付款，金额填到支出列",IF(N(H1467)&lt;0,"⚠ 账户余额成负数了，核对一下","√"))))))))))))))))))</f>
      </c>
      <c r="O1467" s="78">
        <f>IF(D1467&lt;&gt;"",D1467,IF(AND(F1467="",G1467=""),"",IF(J1467&lt;&gt;"",IF(N(F1467)&gt;0,"客户回款","客户退款"),IF(K1467&lt;&gt;"",IF(N(G1467)&gt;0,"供应商付款","供应商退款"),IF(L1467&lt;&gt;"","费用支出","")))))</f>
      </c>
      <c r="P1467" s="78">
        <f>IF(O1467="","",IFERROR(INDEX(基础资料!$AE$5:$AE$34,MATCH(O1467,基础资料!$AC$5:$AC$34,0)),"未知"))</f>
      </c>
      <c r="Q1467" s="78">
        <f>IF(P1467="应收",COUNTIF(P$7:P1467,"应收"),"")</f>
      </c>
      <c r="R1467" s="78">
        <f>IF(P1467="应付",COUNTIF(P$7:P1467,"应付"),"")</f>
      </c>
      <c r="S1467" s="78">
        <f>N(F1467)-N(G1467)</f>
        <v>0</v>
      </c>
    </row>
    <row r="1468">
      <c r="A1468" s="109">
        <f>IF(AND(F1468="",G1468=""),"",ROW()-6)</f>
      </c>
      <c r="B1468" s="140" t="n"/>
      <c r="C1468" s="141" t="n"/>
      <c r="D1468" s="141" t="n"/>
      <c r="E1468" s="142" t="n"/>
      <c r="F1468" s="143" t="n"/>
      <c r="G1468" s="144" t="n"/>
      <c r="H1468" s="145">
        <f>IF(OR(C1468="",AND(F1468="",G1468="")),"",SUMIF(基础资料!$W$5:$W$24,C1468,基础资料!$X$5:$X$24)+SUMIF(C$7:C1468,C1468,F$7:F1468)-SUMIF(C$7:C1468,C1468,G$7:G1468))</f>
      </c>
      <c r="I1468" s="145">
        <f>IF(AND(F1468="",G1468=""),"",SUM(基础资料!$X$5:$X$24)+SUM(F$7:F1468)-SUM(G$7:G1468))</f>
      </c>
      <c r="J1468" s="141" t="n"/>
      <c r="K1468" s="141" t="n"/>
      <c r="L1468" s="141" t="n"/>
      <c r="M1468" s="142" t="n"/>
      <c r="N1468" s="146">
        <f>IF(AND(AND(F1468="",G1468=""),B1468="",C1468="",D1468="",J1468="",K1468="",L1468=""),"",IF(AND(F1468="",G1468=""),"✗ 没填金额",IF(AND(N(F1468)&lt;&gt;0,N(G1468)&lt;&gt;0),"✗ 收入、支出只能填一边",IF(NOT(ISNUMBER(B1468)),"✗ 日期不是真日期（要像 2026/9/25 这样填）",IF(OR(B1468&lt;年初日,B1468&gt;年末日),"✗ 日期不在本会计年度",IF(C1468="","✗ 没选账户",IF(COUNTIF(基础资料!$W$5:$W$24,C1468)=0,"✗ 账户不在基础资料里",IF(O1468="","✗ 没选收支项目",IF(P1468="未知","✗ 收支项目不在基础资料里",IF(AND(P1468="应收",J1468=""),"✗ 这笔要选客户",IF(AND(P1468="应收",COUNTIF(总览汇总!$B$5:$B$304,J1468)=0),"✗ 客户不在总览汇总名单里",IF(AND(P1468="应付",K1468=""),"✗ 这笔要选供应商",IF(AND(P1468="应付",COUNTIF(基础资料!$Q$5:$Q$54,K1468)=0),"✗ 供应商不在基础资料里",IF(AND(P1468="费用",L1468=""),"✗ 费用支出要选费用项目",IF(AND(L1468&lt;&gt;"",COUNTIF(基础资料!$AI$5:$AI$54,L1468)=0),"✗ 费用项目不在基础资料里",IF(AND(IFERROR(INDEX(基础资料!$AD$5:$AD$34,MATCH(O1468,基础资料!$AC$5:$AC$34,0)),"")="收",N(G1468)&lt;&gt;0),"✗ 这类是收款，金额填到收入列",IF(AND(IFERROR(INDEX(基础资料!$AD$5:$AD$34,MATCH(O1468,基础资料!$AC$5:$AC$34,0)),"")="支",N(F1468)&lt;&gt;0),"✗ 这类是付款，金额填到支出列",IF(N(H1468)&lt;0,"⚠ 账户余额成负数了，核对一下","√"))))))))))))))))))</f>
      </c>
      <c r="O1468" s="78">
        <f>IF(D1468&lt;&gt;"",D1468,IF(AND(F1468="",G1468=""),"",IF(J1468&lt;&gt;"",IF(N(F1468)&gt;0,"客户回款","客户退款"),IF(K1468&lt;&gt;"",IF(N(G1468)&gt;0,"供应商付款","供应商退款"),IF(L1468&lt;&gt;"","费用支出","")))))</f>
      </c>
      <c r="P1468" s="78">
        <f>IF(O1468="","",IFERROR(INDEX(基础资料!$AE$5:$AE$34,MATCH(O1468,基础资料!$AC$5:$AC$34,0)),"未知"))</f>
      </c>
      <c r="Q1468" s="78">
        <f>IF(P1468="应收",COUNTIF(P$7:P1468,"应收"),"")</f>
      </c>
      <c r="R1468" s="78">
        <f>IF(P1468="应付",COUNTIF(P$7:P1468,"应付"),"")</f>
      </c>
      <c r="S1468" s="78">
        <f>N(F1468)-N(G1468)</f>
        <v>0</v>
      </c>
    </row>
    <row r="1469">
      <c r="A1469" s="109">
        <f>IF(AND(F1469="",G1469=""),"",ROW()-6)</f>
      </c>
      <c r="B1469" s="140" t="n"/>
      <c r="C1469" s="141" t="n"/>
      <c r="D1469" s="141" t="n"/>
      <c r="E1469" s="142" t="n"/>
      <c r="F1469" s="143" t="n"/>
      <c r="G1469" s="144" t="n"/>
      <c r="H1469" s="145">
        <f>IF(OR(C1469="",AND(F1469="",G1469="")),"",SUMIF(基础资料!$W$5:$W$24,C1469,基础资料!$X$5:$X$24)+SUMIF(C$7:C1469,C1469,F$7:F1469)-SUMIF(C$7:C1469,C1469,G$7:G1469))</f>
      </c>
      <c r="I1469" s="145">
        <f>IF(AND(F1469="",G1469=""),"",SUM(基础资料!$X$5:$X$24)+SUM(F$7:F1469)-SUM(G$7:G1469))</f>
      </c>
      <c r="J1469" s="141" t="n"/>
      <c r="K1469" s="141" t="n"/>
      <c r="L1469" s="141" t="n"/>
      <c r="M1469" s="142" t="n"/>
      <c r="N1469" s="146">
        <f>IF(AND(AND(F1469="",G1469=""),B1469="",C1469="",D1469="",J1469="",K1469="",L1469=""),"",IF(AND(F1469="",G1469=""),"✗ 没填金额",IF(AND(N(F1469)&lt;&gt;0,N(G1469)&lt;&gt;0),"✗ 收入、支出只能填一边",IF(NOT(ISNUMBER(B1469)),"✗ 日期不是真日期（要像 2026/9/25 这样填）",IF(OR(B1469&lt;年初日,B1469&gt;年末日),"✗ 日期不在本会计年度",IF(C1469="","✗ 没选账户",IF(COUNTIF(基础资料!$W$5:$W$24,C1469)=0,"✗ 账户不在基础资料里",IF(O1469="","✗ 没选收支项目",IF(P1469="未知","✗ 收支项目不在基础资料里",IF(AND(P1469="应收",J1469=""),"✗ 这笔要选客户",IF(AND(P1469="应收",COUNTIF(总览汇总!$B$5:$B$304,J1469)=0),"✗ 客户不在总览汇总名单里",IF(AND(P1469="应付",K1469=""),"✗ 这笔要选供应商",IF(AND(P1469="应付",COUNTIF(基础资料!$Q$5:$Q$54,K1469)=0),"✗ 供应商不在基础资料里",IF(AND(P1469="费用",L1469=""),"✗ 费用支出要选费用项目",IF(AND(L1469&lt;&gt;"",COUNTIF(基础资料!$AI$5:$AI$54,L1469)=0),"✗ 费用项目不在基础资料里",IF(AND(IFERROR(INDEX(基础资料!$AD$5:$AD$34,MATCH(O1469,基础资料!$AC$5:$AC$34,0)),"")="收",N(G1469)&lt;&gt;0),"✗ 这类是收款，金额填到收入列",IF(AND(IFERROR(INDEX(基础资料!$AD$5:$AD$34,MATCH(O1469,基础资料!$AC$5:$AC$34,0)),"")="支",N(F1469)&lt;&gt;0),"✗ 这类是付款，金额填到支出列",IF(N(H1469)&lt;0,"⚠ 账户余额成负数了，核对一下","√"))))))))))))))))))</f>
      </c>
      <c r="O1469" s="78">
        <f>IF(D1469&lt;&gt;"",D1469,IF(AND(F1469="",G1469=""),"",IF(J1469&lt;&gt;"",IF(N(F1469)&gt;0,"客户回款","客户退款"),IF(K1469&lt;&gt;"",IF(N(G1469)&gt;0,"供应商付款","供应商退款"),IF(L1469&lt;&gt;"","费用支出","")))))</f>
      </c>
      <c r="P1469" s="78">
        <f>IF(O1469="","",IFERROR(INDEX(基础资料!$AE$5:$AE$34,MATCH(O1469,基础资料!$AC$5:$AC$34,0)),"未知"))</f>
      </c>
      <c r="Q1469" s="78">
        <f>IF(P1469="应收",COUNTIF(P$7:P1469,"应收"),"")</f>
      </c>
      <c r="R1469" s="78">
        <f>IF(P1469="应付",COUNTIF(P$7:P1469,"应付"),"")</f>
      </c>
      <c r="S1469" s="78">
        <f>N(F1469)-N(G1469)</f>
        <v>0</v>
      </c>
    </row>
    <row r="1470">
      <c r="A1470" s="109">
        <f>IF(AND(F1470="",G1470=""),"",ROW()-6)</f>
      </c>
      <c r="B1470" s="140" t="n"/>
      <c r="C1470" s="141" t="n"/>
      <c r="D1470" s="141" t="n"/>
      <c r="E1470" s="142" t="n"/>
      <c r="F1470" s="143" t="n"/>
      <c r="G1470" s="144" t="n"/>
      <c r="H1470" s="145">
        <f>IF(OR(C1470="",AND(F1470="",G1470="")),"",SUMIF(基础资料!$W$5:$W$24,C1470,基础资料!$X$5:$X$24)+SUMIF(C$7:C1470,C1470,F$7:F1470)-SUMIF(C$7:C1470,C1470,G$7:G1470))</f>
      </c>
      <c r="I1470" s="145">
        <f>IF(AND(F1470="",G1470=""),"",SUM(基础资料!$X$5:$X$24)+SUM(F$7:F1470)-SUM(G$7:G1470))</f>
      </c>
      <c r="J1470" s="141" t="n"/>
      <c r="K1470" s="141" t="n"/>
      <c r="L1470" s="141" t="n"/>
      <c r="M1470" s="142" t="n"/>
      <c r="N1470" s="146">
        <f>IF(AND(AND(F1470="",G1470=""),B1470="",C1470="",D1470="",J1470="",K1470="",L1470=""),"",IF(AND(F1470="",G1470=""),"✗ 没填金额",IF(AND(N(F1470)&lt;&gt;0,N(G1470)&lt;&gt;0),"✗ 收入、支出只能填一边",IF(NOT(ISNUMBER(B1470)),"✗ 日期不是真日期（要像 2026/9/25 这样填）",IF(OR(B1470&lt;年初日,B1470&gt;年末日),"✗ 日期不在本会计年度",IF(C1470="","✗ 没选账户",IF(COUNTIF(基础资料!$W$5:$W$24,C1470)=0,"✗ 账户不在基础资料里",IF(O1470="","✗ 没选收支项目",IF(P1470="未知","✗ 收支项目不在基础资料里",IF(AND(P1470="应收",J1470=""),"✗ 这笔要选客户",IF(AND(P1470="应收",COUNTIF(总览汇总!$B$5:$B$304,J1470)=0),"✗ 客户不在总览汇总名单里",IF(AND(P1470="应付",K1470=""),"✗ 这笔要选供应商",IF(AND(P1470="应付",COUNTIF(基础资料!$Q$5:$Q$54,K1470)=0),"✗ 供应商不在基础资料里",IF(AND(P1470="费用",L1470=""),"✗ 费用支出要选费用项目",IF(AND(L1470&lt;&gt;"",COUNTIF(基础资料!$AI$5:$AI$54,L1470)=0),"✗ 费用项目不在基础资料里",IF(AND(IFERROR(INDEX(基础资料!$AD$5:$AD$34,MATCH(O1470,基础资料!$AC$5:$AC$34,0)),"")="收",N(G1470)&lt;&gt;0),"✗ 这类是收款，金额填到收入列",IF(AND(IFERROR(INDEX(基础资料!$AD$5:$AD$34,MATCH(O1470,基础资料!$AC$5:$AC$34,0)),"")="支",N(F1470)&lt;&gt;0),"✗ 这类是付款，金额填到支出列",IF(N(H1470)&lt;0,"⚠ 账户余额成负数了，核对一下","√"))))))))))))))))))</f>
      </c>
      <c r="O1470" s="78">
        <f>IF(D1470&lt;&gt;"",D1470,IF(AND(F1470="",G1470=""),"",IF(J1470&lt;&gt;"",IF(N(F1470)&gt;0,"客户回款","客户退款"),IF(K1470&lt;&gt;"",IF(N(G1470)&gt;0,"供应商付款","供应商退款"),IF(L1470&lt;&gt;"","费用支出","")))))</f>
      </c>
      <c r="P1470" s="78">
        <f>IF(O1470="","",IFERROR(INDEX(基础资料!$AE$5:$AE$34,MATCH(O1470,基础资料!$AC$5:$AC$34,0)),"未知"))</f>
      </c>
      <c r="Q1470" s="78">
        <f>IF(P1470="应收",COUNTIF(P$7:P1470,"应收"),"")</f>
      </c>
      <c r="R1470" s="78">
        <f>IF(P1470="应付",COUNTIF(P$7:P1470,"应付"),"")</f>
      </c>
      <c r="S1470" s="78">
        <f>N(F1470)-N(G1470)</f>
        <v>0</v>
      </c>
    </row>
    <row r="1471">
      <c r="A1471" s="109">
        <f>IF(AND(F1471="",G1471=""),"",ROW()-6)</f>
      </c>
      <c r="B1471" s="140" t="n"/>
      <c r="C1471" s="141" t="n"/>
      <c r="D1471" s="141" t="n"/>
      <c r="E1471" s="142" t="n"/>
      <c r="F1471" s="143" t="n"/>
      <c r="G1471" s="144" t="n"/>
      <c r="H1471" s="145">
        <f>IF(OR(C1471="",AND(F1471="",G1471="")),"",SUMIF(基础资料!$W$5:$W$24,C1471,基础资料!$X$5:$X$24)+SUMIF(C$7:C1471,C1471,F$7:F1471)-SUMIF(C$7:C1471,C1471,G$7:G1471))</f>
      </c>
      <c r="I1471" s="145">
        <f>IF(AND(F1471="",G1471=""),"",SUM(基础资料!$X$5:$X$24)+SUM(F$7:F1471)-SUM(G$7:G1471))</f>
      </c>
      <c r="J1471" s="141" t="n"/>
      <c r="K1471" s="141" t="n"/>
      <c r="L1471" s="141" t="n"/>
      <c r="M1471" s="142" t="n"/>
      <c r="N1471" s="146">
        <f>IF(AND(AND(F1471="",G1471=""),B1471="",C1471="",D1471="",J1471="",K1471="",L1471=""),"",IF(AND(F1471="",G1471=""),"✗ 没填金额",IF(AND(N(F1471)&lt;&gt;0,N(G1471)&lt;&gt;0),"✗ 收入、支出只能填一边",IF(NOT(ISNUMBER(B1471)),"✗ 日期不是真日期（要像 2026/9/25 这样填）",IF(OR(B1471&lt;年初日,B1471&gt;年末日),"✗ 日期不在本会计年度",IF(C1471="","✗ 没选账户",IF(COUNTIF(基础资料!$W$5:$W$24,C1471)=0,"✗ 账户不在基础资料里",IF(O1471="","✗ 没选收支项目",IF(P1471="未知","✗ 收支项目不在基础资料里",IF(AND(P1471="应收",J1471=""),"✗ 这笔要选客户",IF(AND(P1471="应收",COUNTIF(总览汇总!$B$5:$B$304,J1471)=0),"✗ 客户不在总览汇总名单里",IF(AND(P1471="应付",K1471=""),"✗ 这笔要选供应商",IF(AND(P1471="应付",COUNTIF(基础资料!$Q$5:$Q$54,K1471)=0),"✗ 供应商不在基础资料里",IF(AND(P1471="费用",L1471=""),"✗ 费用支出要选费用项目",IF(AND(L1471&lt;&gt;"",COUNTIF(基础资料!$AI$5:$AI$54,L1471)=0),"✗ 费用项目不在基础资料里",IF(AND(IFERROR(INDEX(基础资料!$AD$5:$AD$34,MATCH(O1471,基础资料!$AC$5:$AC$34,0)),"")="收",N(G1471)&lt;&gt;0),"✗ 这类是收款，金额填到收入列",IF(AND(IFERROR(INDEX(基础资料!$AD$5:$AD$34,MATCH(O1471,基础资料!$AC$5:$AC$34,0)),"")="支",N(F1471)&lt;&gt;0),"✗ 这类是付款，金额填到支出列",IF(N(H1471)&lt;0,"⚠ 账户余额成负数了，核对一下","√"))))))))))))))))))</f>
      </c>
      <c r="O1471" s="78">
        <f>IF(D1471&lt;&gt;"",D1471,IF(AND(F1471="",G1471=""),"",IF(J1471&lt;&gt;"",IF(N(F1471)&gt;0,"客户回款","客户退款"),IF(K1471&lt;&gt;"",IF(N(G1471)&gt;0,"供应商付款","供应商退款"),IF(L1471&lt;&gt;"","费用支出","")))))</f>
      </c>
      <c r="P1471" s="78">
        <f>IF(O1471="","",IFERROR(INDEX(基础资料!$AE$5:$AE$34,MATCH(O1471,基础资料!$AC$5:$AC$34,0)),"未知"))</f>
      </c>
      <c r="Q1471" s="78">
        <f>IF(P1471="应收",COUNTIF(P$7:P1471,"应收"),"")</f>
      </c>
      <c r="R1471" s="78">
        <f>IF(P1471="应付",COUNTIF(P$7:P1471,"应付"),"")</f>
      </c>
      <c r="S1471" s="78">
        <f>N(F1471)-N(G1471)</f>
        <v>0</v>
      </c>
    </row>
    <row r="1472">
      <c r="A1472" s="109">
        <f>IF(AND(F1472="",G1472=""),"",ROW()-6)</f>
      </c>
      <c r="B1472" s="140" t="n"/>
      <c r="C1472" s="141" t="n"/>
      <c r="D1472" s="141" t="n"/>
      <c r="E1472" s="142" t="n"/>
      <c r="F1472" s="143" t="n"/>
      <c r="G1472" s="144" t="n"/>
      <c r="H1472" s="145">
        <f>IF(OR(C1472="",AND(F1472="",G1472="")),"",SUMIF(基础资料!$W$5:$W$24,C1472,基础资料!$X$5:$X$24)+SUMIF(C$7:C1472,C1472,F$7:F1472)-SUMIF(C$7:C1472,C1472,G$7:G1472))</f>
      </c>
      <c r="I1472" s="145">
        <f>IF(AND(F1472="",G1472=""),"",SUM(基础资料!$X$5:$X$24)+SUM(F$7:F1472)-SUM(G$7:G1472))</f>
      </c>
      <c r="J1472" s="141" t="n"/>
      <c r="K1472" s="141" t="n"/>
      <c r="L1472" s="141" t="n"/>
      <c r="M1472" s="142" t="n"/>
      <c r="N1472" s="146">
        <f>IF(AND(AND(F1472="",G1472=""),B1472="",C1472="",D1472="",J1472="",K1472="",L1472=""),"",IF(AND(F1472="",G1472=""),"✗ 没填金额",IF(AND(N(F1472)&lt;&gt;0,N(G1472)&lt;&gt;0),"✗ 收入、支出只能填一边",IF(NOT(ISNUMBER(B1472)),"✗ 日期不是真日期（要像 2026/9/25 这样填）",IF(OR(B1472&lt;年初日,B1472&gt;年末日),"✗ 日期不在本会计年度",IF(C1472="","✗ 没选账户",IF(COUNTIF(基础资料!$W$5:$W$24,C1472)=0,"✗ 账户不在基础资料里",IF(O1472="","✗ 没选收支项目",IF(P1472="未知","✗ 收支项目不在基础资料里",IF(AND(P1472="应收",J1472=""),"✗ 这笔要选客户",IF(AND(P1472="应收",COUNTIF(总览汇总!$B$5:$B$304,J1472)=0),"✗ 客户不在总览汇总名单里",IF(AND(P1472="应付",K1472=""),"✗ 这笔要选供应商",IF(AND(P1472="应付",COUNTIF(基础资料!$Q$5:$Q$54,K1472)=0),"✗ 供应商不在基础资料里",IF(AND(P1472="费用",L1472=""),"✗ 费用支出要选费用项目",IF(AND(L1472&lt;&gt;"",COUNTIF(基础资料!$AI$5:$AI$54,L1472)=0),"✗ 费用项目不在基础资料里",IF(AND(IFERROR(INDEX(基础资料!$AD$5:$AD$34,MATCH(O1472,基础资料!$AC$5:$AC$34,0)),"")="收",N(G1472)&lt;&gt;0),"✗ 这类是收款，金额填到收入列",IF(AND(IFERROR(INDEX(基础资料!$AD$5:$AD$34,MATCH(O1472,基础资料!$AC$5:$AC$34,0)),"")="支",N(F1472)&lt;&gt;0),"✗ 这类是付款，金额填到支出列",IF(N(H1472)&lt;0,"⚠ 账户余额成负数了，核对一下","√"))))))))))))))))))</f>
      </c>
      <c r="O1472" s="78">
        <f>IF(D1472&lt;&gt;"",D1472,IF(AND(F1472="",G1472=""),"",IF(J1472&lt;&gt;"",IF(N(F1472)&gt;0,"客户回款","客户退款"),IF(K1472&lt;&gt;"",IF(N(G1472)&gt;0,"供应商付款","供应商退款"),IF(L1472&lt;&gt;"","费用支出","")))))</f>
      </c>
      <c r="P1472" s="78">
        <f>IF(O1472="","",IFERROR(INDEX(基础资料!$AE$5:$AE$34,MATCH(O1472,基础资料!$AC$5:$AC$34,0)),"未知"))</f>
      </c>
      <c r="Q1472" s="78">
        <f>IF(P1472="应收",COUNTIF(P$7:P1472,"应收"),"")</f>
      </c>
      <c r="R1472" s="78">
        <f>IF(P1472="应付",COUNTIF(P$7:P1472,"应付"),"")</f>
      </c>
      <c r="S1472" s="78">
        <f>N(F1472)-N(G1472)</f>
        <v>0</v>
      </c>
    </row>
    <row r="1473">
      <c r="A1473" s="109">
        <f>IF(AND(F1473="",G1473=""),"",ROW()-6)</f>
      </c>
      <c r="B1473" s="140" t="n"/>
      <c r="C1473" s="141" t="n"/>
      <c r="D1473" s="141" t="n"/>
      <c r="E1473" s="142" t="n"/>
      <c r="F1473" s="143" t="n"/>
      <c r="G1473" s="144" t="n"/>
      <c r="H1473" s="145">
        <f>IF(OR(C1473="",AND(F1473="",G1473="")),"",SUMIF(基础资料!$W$5:$W$24,C1473,基础资料!$X$5:$X$24)+SUMIF(C$7:C1473,C1473,F$7:F1473)-SUMIF(C$7:C1473,C1473,G$7:G1473))</f>
      </c>
      <c r="I1473" s="145">
        <f>IF(AND(F1473="",G1473=""),"",SUM(基础资料!$X$5:$X$24)+SUM(F$7:F1473)-SUM(G$7:G1473))</f>
      </c>
      <c r="J1473" s="141" t="n"/>
      <c r="K1473" s="141" t="n"/>
      <c r="L1473" s="141" t="n"/>
      <c r="M1473" s="142" t="n"/>
      <c r="N1473" s="146">
        <f>IF(AND(AND(F1473="",G1473=""),B1473="",C1473="",D1473="",J1473="",K1473="",L1473=""),"",IF(AND(F1473="",G1473=""),"✗ 没填金额",IF(AND(N(F1473)&lt;&gt;0,N(G1473)&lt;&gt;0),"✗ 收入、支出只能填一边",IF(NOT(ISNUMBER(B1473)),"✗ 日期不是真日期（要像 2026/9/25 这样填）",IF(OR(B1473&lt;年初日,B1473&gt;年末日),"✗ 日期不在本会计年度",IF(C1473="","✗ 没选账户",IF(COUNTIF(基础资料!$W$5:$W$24,C1473)=0,"✗ 账户不在基础资料里",IF(O1473="","✗ 没选收支项目",IF(P1473="未知","✗ 收支项目不在基础资料里",IF(AND(P1473="应收",J1473=""),"✗ 这笔要选客户",IF(AND(P1473="应收",COUNTIF(总览汇总!$B$5:$B$304,J1473)=0),"✗ 客户不在总览汇总名单里",IF(AND(P1473="应付",K1473=""),"✗ 这笔要选供应商",IF(AND(P1473="应付",COUNTIF(基础资料!$Q$5:$Q$54,K1473)=0),"✗ 供应商不在基础资料里",IF(AND(P1473="费用",L1473=""),"✗ 费用支出要选费用项目",IF(AND(L1473&lt;&gt;"",COUNTIF(基础资料!$AI$5:$AI$54,L1473)=0),"✗ 费用项目不在基础资料里",IF(AND(IFERROR(INDEX(基础资料!$AD$5:$AD$34,MATCH(O1473,基础资料!$AC$5:$AC$34,0)),"")="收",N(G1473)&lt;&gt;0),"✗ 这类是收款，金额填到收入列",IF(AND(IFERROR(INDEX(基础资料!$AD$5:$AD$34,MATCH(O1473,基础资料!$AC$5:$AC$34,0)),"")="支",N(F1473)&lt;&gt;0),"✗ 这类是付款，金额填到支出列",IF(N(H1473)&lt;0,"⚠ 账户余额成负数了，核对一下","√"))))))))))))))))))</f>
      </c>
      <c r="O1473" s="78">
        <f>IF(D1473&lt;&gt;"",D1473,IF(AND(F1473="",G1473=""),"",IF(J1473&lt;&gt;"",IF(N(F1473)&gt;0,"客户回款","客户退款"),IF(K1473&lt;&gt;"",IF(N(G1473)&gt;0,"供应商付款","供应商退款"),IF(L1473&lt;&gt;"","费用支出","")))))</f>
      </c>
      <c r="P1473" s="78">
        <f>IF(O1473="","",IFERROR(INDEX(基础资料!$AE$5:$AE$34,MATCH(O1473,基础资料!$AC$5:$AC$34,0)),"未知"))</f>
      </c>
      <c r="Q1473" s="78">
        <f>IF(P1473="应收",COUNTIF(P$7:P1473,"应收"),"")</f>
      </c>
      <c r="R1473" s="78">
        <f>IF(P1473="应付",COUNTIF(P$7:P1473,"应付"),"")</f>
      </c>
      <c r="S1473" s="78">
        <f>N(F1473)-N(G1473)</f>
        <v>0</v>
      </c>
    </row>
    <row r="1474">
      <c r="A1474" s="109">
        <f>IF(AND(F1474="",G1474=""),"",ROW()-6)</f>
      </c>
      <c r="B1474" s="140" t="n"/>
      <c r="C1474" s="141" t="n"/>
      <c r="D1474" s="141" t="n"/>
      <c r="E1474" s="142" t="n"/>
      <c r="F1474" s="143" t="n"/>
      <c r="G1474" s="144" t="n"/>
      <c r="H1474" s="145">
        <f>IF(OR(C1474="",AND(F1474="",G1474="")),"",SUMIF(基础资料!$W$5:$W$24,C1474,基础资料!$X$5:$X$24)+SUMIF(C$7:C1474,C1474,F$7:F1474)-SUMIF(C$7:C1474,C1474,G$7:G1474))</f>
      </c>
      <c r="I1474" s="145">
        <f>IF(AND(F1474="",G1474=""),"",SUM(基础资料!$X$5:$X$24)+SUM(F$7:F1474)-SUM(G$7:G1474))</f>
      </c>
      <c r="J1474" s="141" t="n"/>
      <c r="K1474" s="141" t="n"/>
      <c r="L1474" s="141" t="n"/>
      <c r="M1474" s="142" t="n"/>
      <c r="N1474" s="146">
        <f>IF(AND(AND(F1474="",G1474=""),B1474="",C1474="",D1474="",J1474="",K1474="",L1474=""),"",IF(AND(F1474="",G1474=""),"✗ 没填金额",IF(AND(N(F1474)&lt;&gt;0,N(G1474)&lt;&gt;0),"✗ 收入、支出只能填一边",IF(NOT(ISNUMBER(B1474)),"✗ 日期不是真日期（要像 2026/9/25 这样填）",IF(OR(B1474&lt;年初日,B1474&gt;年末日),"✗ 日期不在本会计年度",IF(C1474="","✗ 没选账户",IF(COUNTIF(基础资料!$W$5:$W$24,C1474)=0,"✗ 账户不在基础资料里",IF(O1474="","✗ 没选收支项目",IF(P1474="未知","✗ 收支项目不在基础资料里",IF(AND(P1474="应收",J1474=""),"✗ 这笔要选客户",IF(AND(P1474="应收",COUNTIF(总览汇总!$B$5:$B$304,J1474)=0),"✗ 客户不在总览汇总名单里",IF(AND(P1474="应付",K1474=""),"✗ 这笔要选供应商",IF(AND(P1474="应付",COUNTIF(基础资料!$Q$5:$Q$54,K1474)=0),"✗ 供应商不在基础资料里",IF(AND(P1474="费用",L1474=""),"✗ 费用支出要选费用项目",IF(AND(L1474&lt;&gt;"",COUNTIF(基础资料!$AI$5:$AI$54,L1474)=0),"✗ 费用项目不在基础资料里",IF(AND(IFERROR(INDEX(基础资料!$AD$5:$AD$34,MATCH(O1474,基础资料!$AC$5:$AC$34,0)),"")="收",N(G1474)&lt;&gt;0),"✗ 这类是收款，金额填到收入列",IF(AND(IFERROR(INDEX(基础资料!$AD$5:$AD$34,MATCH(O1474,基础资料!$AC$5:$AC$34,0)),"")="支",N(F1474)&lt;&gt;0),"✗ 这类是付款，金额填到支出列",IF(N(H1474)&lt;0,"⚠ 账户余额成负数了，核对一下","√"))))))))))))))))))</f>
      </c>
      <c r="O1474" s="78">
        <f>IF(D1474&lt;&gt;"",D1474,IF(AND(F1474="",G1474=""),"",IF(J1474&lt;&gt;"",IF(N(F1474)&gt;0,"客户回款","客户退款"),IF(K1474&lt;&gt;"",IF(N(G1474)&gt;0,"供应商付款","供应商退款"),IF(L1474&lt;&gt;"","费用支出","")))))</f>
      </c>
      <c r="P1474" s="78">
        <f>IF(O1474="","",IFERROR(INDEX(基础资料!$AE$5:$AE$34,MATCH(O1474,基础资料!$AC$5:$AC$34,0)),"未知"))</f>
      </c>
      <c r="Q1474" s="78">
        <f>IF(P1474="应收",COUNTIF(P$7:P1474,"应收"),"")</f>
      </c>
      <c r="R1474" s="78">
        <f>IF(P1474="应付",COUNTIF(P$7:P1474,"应付"),"")</f>
      </c>
      <c r="S1474" s="78">
        <f>N(F1474)-N(G1474)</f>
        <v>0</v>
      </c>
    </row>
    <row r="1475">
      <c r="A1475" s="109">
        <f>IF(AND(F1475="",G1475=""),"",ROW()-6)</f>
      </c>
      <c r="B1475" s="140" t="n"/>
      <c r="C1475" s="141" t="n"/>
      <c r="D1475" s="141" t="n"/>
      <c r="E1475" s="142" t="n"/>
      <c r="F1475" s="143" t="n"/>
      <c r="G1475" s="144" t="n"/>
      <c r="H1475" s="145">
        <f>IF(OR(C1475="",AND(F1475="",G1475="")),"",SUMIF(基础资料!$W$5:$W$24,C1475,基础资料!$X$5:$X$24)+SUMIF(C$7:C1475,C1475,F$7:F1475)-SUMIF(C$7:C1475,C1475,G$7:G1475))</f>
      </c>
      <c r="I1475" s="145">
        <f>IF(AND(F1475="",G1475=""),"",SUM(基础资料!$X$5:$X$24)+SUM(F$7:F1475)-SUM(G$7:G1475))</f>
      </c>
      <c r="J1475" s="141" t="n"/>
      <c r="K1475" s="141" t="n"/>
      <c r="L1475" s="141" t="n"/>
      <c r="M1475" s="142" t="n"/>
      <c r="N1475" s="146">
        <f>IF(AND(AND(F1475="",G1475=""),B1475="",C1475="",D1475="",J1475="",K1475="",L1475=""),"",IF(AND(F1475="",G1475=""),"✗ 没填金额",IF(AND(N(F1475)&lt;&gt;0,N(G1475)&lt;&gt;0),"✗ 收入、支出只能填一边",IF(NOT(ISNUMBER(B1475)),"✗ 日期不是真日期（要像 2026/9/25 这样填）",IF(OR(B1475&lt;年初日,B1475&gt;年末日),"✗ 日期不在本会计年度",IF(C1475="","✗ 没选账户",IF(COUNTIF(基础资料!$W$5:$W$24,C1475)=0,"✗ 账户不在基础资料里",IF(O1475="","✗ 没选收支项目",IF(P1475="未知","✗ 收支项目不在基础资料里",IF(AND(P1475="应收",J1475=""),"✗ 这笔要选客户",IF(AND(P1475="应收",COUNTIF(总览汇总!$B$5:$B$304,J1475)=0),"✗ 客户不在总览汇总名单里",IF(AND(P1475="应付",K1475=""),"✗ 这笔要选供应商",IF(AND(P1475="应付",COUNTIF(基础资料!$Q$5:$Q$54,K1475)=0),"✗ 供应商不在基础资料里",IF(AND(P1475="费用",L1475=""),"✗ 费用支出要选费用项目",IF(AND(L1475&lt;&gt;"",COUNTIF(基础资料!$AI$5:$AI$54,L1475)=0),"✗ 费用项目不在基础资料里",IF(AND(IFERROR(INDEX(基础资料!$AD$5:$AD$34,MATCH(O1475,基础资料!$AC$5:$AC$34,0)),"")="收",N(G1475)&lt;&gt;0),"✗ 这类是收款，金额填到收入列",IF(AND(IFERROR(INDEX(基础资料!$AD$5:$AD$34,MATCH(O1475,基础资料!$AC$5:$AC$34,0)),"")="支",N(F1475)&lt;&gt;0),"✗ 这类是付款，金额填到支出列",IF(N(H1475)&lt;0,"⚠ 账户余额成负数了，核对一下","√"))))))))))))))))))</f>
      </c>
      <c r="O1475" s="78">
        <f>IF(D1475&lt;&gt;"",D1475,IF(AND(F1475="",G1475=""),"",IF(J1475&lt;&gt;"",IF(N(F1475)&gt;0,"客户回款","客户退款"),IF(K1475&lt;&gt;"",IF(N(G1475)&gt;0,"供应商付款","供应商退款"),IF(L1475&lt;&gt;"","费用支出","")))))</f>
      </c>
      <c r="P1475" s="78">
        <f>IF(O1475="","",IFERROR(INDEX(基础资料!$AE$5:$AE$34,MATCH(O1475,基础资料!$AC$5:$AC$34,0)),"未知"))</f>
      </c>
      <c r="Q1475" s="78">
        <f>IF(P1475="应收",COUNTIF(P$7:P1475,"应收"),"")</f>
      </c>
      <c r="R1475" s="78">
        <f>IF(P1475="应付",COUNTIF(P$7:P1475,"应付"),"")</f>
      </c>
      <c r="S1475" s="78">
        <f>N(F1475)-N(G1475)</f>
        <v>0</v>
      </c>
    </row>
    <row r="1476">
      <c r="A1476" s="109">
        <f>IF(AND(F1476="",G1476=""),"",ROW()-6)</f>
      </c>
      <c r="B1476" s="140" t="n"/>
      <c r="C1476" s="141" t="n"/>
      <c r="D1476" s="141" t="n"/>
      <c r="E1476" s="142" t="n"/>
      <c r="F1476" s="143" t="n"/>
      <c r="G1476" s="144" t="n"/>
      <c r="H1476" s="145">
        <f>IF(OR(C1476="",AND(F1476="",G1476="")),"",SUMIF(基础资料!$W$5:$W$24,C1476,基础资料!$X$5:$X$24)+SUMIF(C$7:C1476,C1476,F$7:F1476)-SUMIF(C$7:C1476,C1476,G$7:G1476))</f>
      </c>
      <c r="I1476" s="145">
        <f>IF(AND(F1476="",G1476=""),"",SUM(基础资料!$X$5:$X$24)+SUM(F$7:F1476)-SUM(G$7:G1476))</f>
      </c>
      <c r="J1476" s="141" t="n"/>
      <c r="K1476" s="141" t="n"/>
      <c r="L1476" s="141" t="n"/>
      <c r="M1476" s="142" t="n"/>
      <c r="N1476" s="146">
        <f>IF(AND(AND(F1476="",G1476=""),B1476="",C1476="",D1476="",J1476="",K1476="",L1476=""),"",IF(AND(F1476="",G1476=""),"✗ 没填金额",IF(AND(N(F1476)&lt;&gt;0,N(G1476)&lt;&gt;0),"✗ 收入、支出只能填一边",IF(NOT(ISNUMBER(B1476)),"✗ 日期不是真日期（要像 2026/9/25 这样填）",IF(OR(B1476&lt;年初日,B1476&gt;年末日),"✗ 日期不在本会计年度",IF(C1476="","✗ 没选账户",IF(COUNTIF(基础资料!$W$5:$W$24,C1476)=0,"✗ 账户不在基础资料里",IF(O1476="","✗ 没选收支项目",IF(P1476="未知","✗ 收支项目不在基础资料里",IF(AND(P1476="应收",J1476=""),"✗ 这笔要选客户",IF(AND(P1476="应收",COUNTIF(总览汇总!$B$5:$B$304,J1476)=0),"✗ 客户不在总览汇总名单里",IF(AND(P1476="应付",K1476=""),"✗ 这笔要选供应商",IF(AND(P1476="应付",COUNTIF(基础资料!$Q$5:$Q$54,K1476)=0),"✗ 供应商不在基础资料里",IF(AND(P1476="费用",L1476=""),"✗ 费用支出要选费用项目",IF(AND(L1476&lt;&gt;"",COUNTIF(基础资料!$AI$5:$AI$54,L1476)=0),"✗ 费用项目不在基础资料里",IF(AND(IFERROR(INDEX(基础资料!$AD$5:$AD$34,MATCH(O1476,基础资料!$AC$5:$AC$34,0)),"")="收",N(G1476)&lt;&gt;0),"✗ 这类是收款，金额填到收入列",IF(AND(IFERROR(INDEX(基础资料!$AD$5:$AD$34,MATCH(O1476,基础资料!$AC$5:$AC$34,0)),"")="支",N(F1476)&lt;&gt;0),"✗ 这类是付款，金额填到支出列",IF(N(H1476)&lt;0,"⚠ 账户余额成负数了，核对一下","√"))))))))))))))))))</f>
      </c>
      <c r="O1476" s="78">
        <f>IF(D1476&lt;&gt;"",D1476,IF(AND(F1476="",G1476=""),"",IF(J1476&lt;&gt;"",IF(N(F1476)&gt;0,"客户回款","客户退款"),IF(K1476&lt;&gt;"",IF(N(G1476)&gt;0,"供应商付款","供应商退款"),IF(L1476&lt;&gt;"","费用支出","")))))</f>
      </c>
      <c r="P1476" s="78">
        <f>IF(O1476="","",IFERROR(INDEX(基础资料!$AE$5:$AE$34,MATCH(O1476,基础资料!$AC$5:$AC$34,0)),"未知"))</f>
      </c>
      <c r="Q1476" s="78">
        <f>IF(P1476="应收",COUNTIF(P$7:P1476,"应收"),"")</f>
      </c>
      <c r="R1476" s="78">
        <f>IF(P1476="应付",COUNTIF(P$7:P1476,"应付"),"")</f>
      </c>
      <c r="S1476" s="78">
        <f>N(F1476)-N(G1476)</f>
        <v>0</v>
      </c>
    </row>
    <row r="1477">
      <c r="A1477" s="109">
        <f>IF(AND(F1477="",G1477=""),"",ROW()-6)</f>
      </c>
      <c r="B1477" s="140" t="n"/>
      <c r="C1477" s="141" t="n"/>
      <c r="D1477" s="141" t="n"/>
      <c r="E1477" s="142" t="n"/>
      <c r="F1477" s="143" t="n"/>
      <c r="G1477" s="144" t="n"/>
      <c r="H1477" s="145">
        <f>IF(OR(C1477="",AND(F1477="",G1477="")),"",SUMIF(基础资料!$W$5:$W$24,C1477,基础资料!$X$5:$X$24)+SUMIF(C$7:C1477,C1477,F$7:F1477)-SUMIF(C$7:C1477,C1477,G$7:G1477))</f>
      </c>
      <c r="I1477" s="145">
        <f>IF(AND(F1477="",G1477=""),"",SUM(基础资料!$X$5:$X$24)+SUM(F$7:F1477)-SUM(G$7:G1477))</f>
      </c>
      <c r="J1477" s="141" t="n"/>
      <c r="K1477" s="141" t="n"/>
      <c r="L1477" s="141" t="n"/>
      <c r="M1477" s="142" t="n"/>
      <c r="N1477" s="146">
        <f>IF(AND(AND(F1477="",G1477=""),B1477="",C1477="",D1477="",J1477="",K1477="",L1477=""),"",IF(AND(F1477="",G1477=""),"✗ 没填金额",IF(AND(N(F1477)&lt;&gt;0,N(G1477)&lt;&gt;0),"✗ 收入、支出只能填一边",IF(NOT(ISNUMBER(B1477)),"✗ 日期不是真日期（要像 2026/9/25 这样填）",IF(OR(B1477&lt;年初日,B1477&gt;年末日),"✗ 日期不在本会计年度",IF(C1477="","✗ 没选账户",IF(COUNTIF(基础资料!$W$5:$W$24,C1477)=0,"✗ 账户不在基础资料里",IF(O1477="","✗ 没选收支项目",IF(P1477="未知","✗ 收支项目不在基础资料里",IF(AND(P1477="应收",J1477=""),"✗ 这笔要选客户",IF(AND(P1477="应收",COUNTIF(总览汇总!$B$5:$B$304,J1477)=0),"✗ 客户不在总览汇总名单里",IF(AND(P1477="应付",K1477=""),"✗ 这笔要选供应商",IF(AND(P1477="应付",COUNTIF(基础资料!$Q$5:$Q$54,K1477)=0),"✗ 供应商不在基础资料里",IF(AND(P1477="费用",L1477=""),"✗ 费用支出要选费用项目",IF(AND(L1477&lt;&gt;"",COUNTIF(基础资料!$AI$5:$AI$54,L1477)=0),"✗ 费用项目不在基础资料里",IF(AND(IFERROR(INDEX(基础资料!$AD$5:$AD$34,MATCH(O1477,基础资料!$AC$5:$AC$34,0)),"")="收",N(G1477)&lt;&gt;0),"✗ 这类是收款，金额填到收入列",IF(AND(IFERROR(INDEX(基础资料!$AD$5:$AD$34,MATCH(O1477,基础资料!$AC$5:$AC$34,0)),"")="支",N(F1477)&lt;&gt;0),"✗ 这类是付款，金额填到支出列",IF(N(H1477)&lt;0,"⚠ 账户余额成负数了，核对一下","√"))))))))))))))))))</f>
      </c>
      <c r="O1477" s="78">
        <f>IF(D1477&lt;&gt;"",D1477,IF(AND(F1477="",G1477=""),"",IF(J1477&lt;&gt;"",IF(N(F1477)&gt;0,"客户回款","客户退款"),IF(K1477&lt;&gt;"",IF(N(G1477)&gt;0,"供应商付款","供应商退款"),IF(L1477&lt;&gt;"","费用支出","")))))</f>
      </c>
      <c r="P1477" s="78">
        <f>IF(O1477="","",IFERROR(INDEX(基础资料!$AE$5:$AE$34,MATCH(O1477,基础资料!$AC$5:$AC$34,0)),"未知"))</f>
      </c>
      <c r="Q1477" s="78">
        <f>IF(P1477="应收",COUNTIF(P$7:P1477,"应收"),"")</f>
      </c>
      <c r="R1477" s="78">
        <f>IF(P1477="应付",COUNTIF(P$7:P1477,"应付"),"")</f>
      </c>
      <c r="S1477" s="78">
        <f>N(F1477)-N(G1477)</f>
        <v>0</v>
      </c>
    </row>
    <row r="1478">
      <c r="A1478" s="109">
        <f>IF(AND(F1478="",G1478=""),"",ROW()-6)</f>
      </c>
      <c r="B1478" s="140" t="n"/>
      <c r="C1478" s="141" t="n"/>
      <c r="D1478" s="141" t="n"/>
      <c r="E1478" s="142" t="n"/>
      <c r="F1478" s="143" t="n"/>
      <c r="G1478" s="144" t="n"/>
      <c r="H1478" s="145">
        <f>IF(OR(C1478="",AND(F1478="",G1478="")),"",SUMIF(基础资料!$W$5:$W$24,C1478,基础资料!$X$5:$X$24)+SUMIF(C$7:C1478,C1478,F$7:F1478)-SUMIF(C$7:C1478,C1478,G$7:G1478))</f>
      </c>
      <c r="I1478" s="145">
        <f>IF(AND(F1478="",G1478=""),"",SUM(基础资料!$X$5:$X$24)+SUM(F$7:F1478)-SUM(G$7:G1478))</f>
      </c>
      <c r="J1478" s="141" t="n"/>
      <c r="K1478" s="141" t="n"/>
      <c r="L1478" s="141" t="n"/>
      <c r="M1478" s="142" t="n"/>
      <c r="N1478" s="146">
        <f>IF(AND(AND(F1478="",G1478=""),B1478="",C1478="",D1478="",J1478="",K1478="",L1478=""),"",IF(AND(F1478="",G1478=""),"✗ 没填金额",IF(AND(N(F1478)&lt;&gt;0,N(G1478)&lt;&gt;0),"✗ 收入、支出只能填一边",IF(NOT(ISNUMBER(B1478)),"✗ 日期不是真日期（要像 2026/9/25 这样填）",IF(OR(B1478&lt;年初日,B1478&gt;年末日),"✗ 日期不在本会计年度",IF(C1478="","✗ 没选账户",IF(COUNTIF(基础资料!$W$5:$W$24,C1478)=0,"✗ 账户不在基础资料里",IF(O1478="","✗ 没选收支项目",IF(P1478="未知","✗ 收支项目不在基础资料里",IF(AND(P1478="应收",J1478=""),"✗ 这笔要选客户",IF(AND(P1478="应收",COUNTIF(总览汇总!$B$5:$B$304,J1478)=0),"✗ 客户不在总览汇总名单里",IF(AND(P1478="应付",K1478=""),"✗ 这笔要选供应商",IF(AND(P1478="应付",COUNTIF(基础资料!$Q$5:$Q$54,K1478)=0),"✗ 供应商不在基础资料里",IF(AND(P1478="费用",L1478=""),"✗ 费用支出要选费用项目",IF(AND(L1478&lt;&gt;"",COUNTIF(基础资料!$AI$5:$AI$54,L1478)=0),"✗ 费用项目不在基础资料里",IF(AND(IFERROR(INDEX(基础资料!$AD$5:$AD$34,MATCH(O1478,基础资料!$AC$5:$AC$34,0)),"")="收",N(G1478)&lt;&gt;0),"✗ 这类是收款，金额填到收入列",IF(AND(IFERROR(INDEX(基础资料!$AD$5:$AD$34,MATCH(O1478,基础资料!$AC$5:$AC$34,0)),"")="支",N(F1478)&lt;&gt;0),"✗ 这类是付款，金额填到支出列",IF(N(H1478)&lt;0,"⚠ 账户余额成负数了，核对一下","√"))))))))))))))))))</f>
      </c>
      <c r="O1478" s="78">
        <f>IF(D1478&lt;&gt;"",D1478,IF(AND(F1478="",G1478=""),"",IF(J1478&lt;&gt;"",IF(N(F1478)&gt;0,"客户回款","客户退款"),IF(K1478&lt;&gt;"",IF(N(G1478)&gt;0,"供应商付款","供应商退款"),IF(L1478&lt;&gt;"","费用支出","")))))</f>
      </c>
      <c r="P1478" s="78">
        <f>IF(O1478="","",IFERROR(INDEX(基础资料!$AE$5:$AE$34,MATCH(O1478,基础资料!$AC$5:$AC$34,0)),"未知"))</f>
      </c>
      <c r="Q1478" s="78">
        <f>IF(P1478="应收",COUNTIF(P$7:P1478,"应收"),"")</f>
      </c>
      <c r="R1478" s="78">
        <f>IF(P1478="应付",COUNTIF(P$7:P1478,"应付"),"")</f>
      </c>
      <c r="S1478" s="78">
        <f>N(F1478)-N(G1478)</f>
        <v>0</v>
      </c>
    </row>
    <row r="1479">
      <c r="A1479" s="109">
        <f>IF(AND(F1479="",G1479=""),"",ROW()-6)</f>
      </c>
      <c r="B1479" s="140" t="n"/>
      <c r="C1479" s="141" t="n"/>
      <c r="D1479" s="141" t="n"/>
      <c r="E1479" s="142" t="n"/>
      <c r="F1479" s="143" t="n"/>
      <c r="G1479" s="144" t="n"/>
      <c r="H1479" s="145">
        <f>IF(OR(C1479="",AND(F1479="",G1479="")),"",SUMIF(基础资料!$W$5:$W$24,C1479,基础资料!$X$5:$X$24)+SUMIF(C$7:C1479,C1479,F$7:F1479)-SUMIF(C$7:C1479,C1479,G$7:G1479))</f>
      </c>
      <c r="I1479" s="145">
        <f>IF(AND(F1479="",G1479=""),"",SUM(基础资料!$X$5:$X$24)+SUM(F$7:F1479)-SUM(G$7:G1479))</f>
      </c>
      <c r="J1479" s="141" t="n"/>
      <c r="K1479" s="141" t="n"/>
      <c r="L1479" s="141" t="n"/>
      <c r="M1479" s="142" t="n"/>
      <c r="N1479" s="146">
        <f>IF(AND(AND(F1479="",G1479=""),B1479="",C1479="",D1479="",J1479="",K1479="",L1479=""),"",IF(AND(F1479="",G1479=""),"✗ 没填金额",IF(AND(N(F1479)&lt;&gt;0,N(G1479)&lt;&gt;0),"✗ 收入、支出只能填一边",IF(NOT(ISNUMBER(B1479)),"✗ 日期不是真日期（要像 2026/9/25 这样填）",IF(OR(B1479&lt;年初日,B1479&gt;年末日),"✗ 日期不在本会计年度",IF(C1479="","✗ 没选账户",IF(COUNTIF(基础资料!$W$5:$W$24,C1479)=0,"✗ 账户不在基础资料里",IF(O1479="","✗ 没选收支项目",IF(P1479="未知","✗ 收支项目不在基础资料里",IF(AND(P1479="应收",J1479=""),"✗ 这笔要选客户",IF(AND(P1479="应收",COUNTIF(总览汇总!$B$5:$B$304,J1479)=0),"✗ 客户不在总览汇总名单里",IF(AND(P1479="应付",K1479=""),"✗ 这笔要选供应商",IF(AND(P1479="应付",COUNTIF(基础资料!$Q$5:$Q$54,K1479)=0),"✗ 供应商不在基础资料里",IF(AND(P1479="费用",L1479=""),"✗ 费用支出要选费用项目",IF(AND(L1479&lt;&gt;"",COUNTIF(基础资料!$AI$5:$AI$54,L1479)=0),"✗ 费用项目不在基础资料里",IF(AND(IFERROR(INDEX(基础资料!$AD$5:$AD$34,MATCH(O1479,基础资料!$AC$5:$AC$34,0)),"")="收",N(G1479)&lt;&gt;0),"✗ 这类是收款，金额填到收入列",IF(AND(IFERROR(INDEX(基础资料!$AD$5:$AD$34,MATCH(O1479,基础资料!$AC$5:$AC$34,0)),"")="支",N(F1479)&lt;&gt;0),"✗ 这类是付款，金额填到支出列",IF(N(H1479)&lt;0,"⚠ 账户余额成负数了，核对一下","√"))))))))))))))))))</f>
      </c>
      <c r="O1479" s="78">
        <f>IF(D1479&lt;&gt;"",D1479,IF(AND(F1479="",G1479=""),"",IF(J1479&lt;&gt;"",IF(N(F1479)&gt;0,"客户回款","客户退款"),IF(K1479&lt;&gt;"",IF(N(G1479)&gt;0,"供应商付款","供应商退款"),IF(L1479&lt;&gt;"","费用支出","")))))</f>
      </c>
      <c r="P1479" s="78">
        <f>IF(O1479="","",IFERROR(INDEX(基础资料!$AE$5:$AE$34,MATCH(O1479,基础资料!$AC$5:$AC$34,0)),"未知"))</f>
      </c>
      <c r="Q1479" s="78">
        <f>IF(P1479="应收",COUNTIF(P$7:P1479,"应收"),"")</f>
      </c>
      <c r="R1479" s="78">
        <f>IF(P1479="应付",COUNTIF(P$7:P1479,"应付"),"")</f>
      </c>
      <c r="S1479" s="78">
        <f>N(F1479)-N(G1479)</f>
        <v>0</v>
      </c>
    </row>
    <row r="1480">
      <c r="A1480" s="109">
        <f>IF(AND(F1480="",G1480=""),"",ROW()-6)</f>
      </c>
      <c r="B1480" s="140" t="n"/>
      <c r="C1480" s="141" t="n"/>
      <c r="D1480" s="141" t="n"/>
      <c r="E1480" s="142" t="n"/>
      <c r="F1480" s="143" t="n"/>
      <c r="G1480" s="144" t="n"/>
      <c r="H1480" s="145">
        <f>IF(OR(C1480="",AND(F1480="",G1480="")),"",SUMIF(基础资料!$W$5:$W$24,C1480,基础资料!$X$5:$X$24)+SUMIF(C$7:C1480,C1480,F$7:F1480)-SUMIF(C$7:C1480,C1480,G$7:G1480))</f>
      </c>
      <c r="I1480" s="145">
        <f>IF(AND(F1480="",G1480=""),"",SUM(基础资料!$X$5:$X$24)+SUM(F$7:F1480)-SUM(G$7:G1480))</f>
      </c>
      <c r="J1480" s="141" t="n"/>
      <c r="K1480" s="141" t="n"/>
      <c r="L1480" s="141" t="n"/>
      <c r="M1480" s="142" t="n"/>
      <c r="N1480" s="146">
        <f>IF(AND(AND(F1480="",G1480=""),B1480="",C1480="",D1480="",J1480="",K1480="",L1480=""),"",IF(AND(F1480="",G1480=""),"✗ 没填金额",IF(AND(N(F1480)&lt;&gt;0,N(G1480)&lt;&gt;0),"✗ 收入、支出只能填一边",IF(NOT(ISNUMBER(B1480)),"✗ 日期不是真日期（要像 2026/9/25 这样填）",IF(OR(B1480&lt;年初日,B1480&gt;年末日),"✗ 日期不在本会计年度",IF(C1480="","✗ 没选账户",IF(COUNTIF(基础资料!$W$5:$W$24,C1480)=0,"✗ 账户不在基础资料里",IF(O1480="","✗ 没选收支项目",IF(P1480="未知","✗ 收支项目不在基础资料里",IF(AND(P1480="应收",J1480=""),"✗ 这笔要选客户",IF(AND(P1480="应收",COUNTIF(总览汇总!$B$5:$B$304,J1480)=0),"✗ 客户不在总览汇总名单里",IF(AND(P1480="应付",K1480=""),"✗ 这笔要选供应商",IF(AND(P1480="应付",COUNTIF(基础资料!$Q$5:$Q$54,K1480)=0),"✗ 供应商不在基础资料里",IF(AND(P1480="费用",L1480=""),"✗ 费用支出要选费用项目",IF(AND(L1480&lt;&gt;"",COUNTIF(基础资料!$AI$5:$AI$54,L1480)=0),"✗ 费用项目不在基础资料里",IF(AND(IFERROR(INDEX(基础资料!$AD$5:$AD$34,MATCH(O1480,基础资料!$AC$5:$AC$34,0)),"")="收",N(G1480)&lt;&gt;0),"✗ 这类是收款，金额填到收入列",IF(AND(IFERROR(INDEX(基础资料!$AD$5:$AD$34,MATCH(O1480,基础资料!$AC$5:$AC$34,0)),"")="支",N(F1480)&lt;&gt;0),"✗ 这类是付款，金额填到支出列",IF(N(H1480)&lt;0,"⚠ 账户余额成负数了，核对一下","√"))))))))))))))))))</f>
      </c>
      <c r="O1480" s="78">
        <f>IF(D1480&lt;&gt;"",D1480,IF(AND(F1480="",G1480=""),"",IF(J1480&lt;&gt;"",IF(N(F1480)&gt;0,"客户回款","客户退款"),IF(K1480&lt;&gt;"",IF(N(G1480)&gt;0,"供应商付款","供应商退款"),IF(L1480&lt;&gt;"","费用支出","")))))</f>
      </c>
      <c r="P1480" s="78">
        <f>IF(O1480="","",IFERROR(INDEX(基础资料!$AE$5:$AE$34,MATCH(O1480,基础资料!$AC$5:$AC$34,0)),"未知"))</f>
      </c>
      <c r="Q1480" s="78">
        <f>IF(P1480="应收",COUNTIF(P$7:P1480,"应收"),"")</f>
      </c>
      <c r="R1480" s="78">
        <f>IF(P1480="应付",COUNTIF(P$7:P1480,"应付"),"")</f>
      </c>
      <c r="S1480" s="78">
        <f>N(F1480)-N(G1480)</f>
        <v>0</v>
      </c>
    </row>
    <row r="1481">
      <c r="A1481" s="109">
        <f>IF(AND(F1481="",G1481=""),"",ROW()-6)</f>
      </c>
      <c r="B1481" s="140" t="n"/>
      <c r="C1481" s="141" t="n"/>
      <c r="D1481" s="141" t="n"/>
      <c r="E1481" s="142" t="n"/>
      <c r="F1481" s="143" t="n"/>
      <c r="G1481" s="144" t="n"/>
      <c r="H1481" s="145">
        <f>IF(OR(C1481="",AND(F1481="",G1481="")),"",SUMIF(基础资料!$W$5:$W$24,C1481,基础资料!$X$5:$X$24)+SUMIF(C$7:C1481,C1481,F$7:F1481)-SUMIF(C$7:C1481,C1481,G$7:G1481))</f>
      </c>
      <c r="I1481" s="145">
        <f>IF(AND(F1481="",G1481=""),"",SUM(基础资料!$X$5:$X$24)+SUM(F$7:F1481)-SUM(G$7:G1481))</f>
      </c>
      <c r="J1481" s="141" t="n"/>
      <c r="K1481" s="141" t="n"/>
      <c r="L1481" s="141" t="n"/>
      <c r="M1481" s="142" t="n"/>
      <c r="N1481" s="146">
        <f>IF(AND(AND(F1481="",G1481=""),B1481="",C1481="",D1481="",J1481="",K1481="",L1481=""),"",IF(AND(F1481="",G1481=""),"✗ 没填金额",IF(AND(N(F1481)&lt;&gt;0,N(G1481)&lt;&gt;0),"✗ 收入、支出只能填一边",IF(NOT(ISNUMBER(B1481)),"✗ 日期不是真日期（要像 2026/9/25 这样填）",IF(OR(B1481&lt;年初日,B1481&gt;年末日),"✗ 日期不在本会计年度",IF(C1481="","✗ 没选账户",IF(COUNTIF(基础资料!$W$5:$W$24,C1481)=0,"✗ 账户不在基础资料里",IF(O1481="","✗ 没选收支项目",IF(P1481="未知","✗ 收支项目不在基础资料里",IF(AND(P1481="应收",J1481=""),"✗ 这笔要选客户",IF(AND(P1481="应收",COUNTIF(总览汇总!$B$5:$B$304,J1481)=0),"✗ 客户不在总览汇总名单里",IF(AND(P1481="应付",K1481=""),"✗ 这笔要选供应商",IF(AND(P1481="应付",COUNTIF(基础资料!$Q$5:$Q$54,K1481)=0),"✗ 供应商不在基础资料里",IF(AND(P1481="费用",L1481=""),"✗ 费用支出要选费用项目",IF(AND(L1481&lt;&gt;"",COUNTIF(基础资料!$AI$5:$AI$54,L1481)=0),"✗ 费用项目不在基础资料里",IF(AND(IFERROR(INDEX(基础资料!$AD$5:$AD$34,MATCH(O1481,基础资料!$AC$5:$AC$34,0)),"")="收",N(G1481)&lt;&gt;0),"✗ 这类是收款，金额填到收入列",IF(AND(IFERROR(INDEX(基础资料!$AD$5:$AD$34,MATCH(O1481,基础资料!$AC$5:$AC$34,0)),"")="支",N(F1481)&lt;&gt;0),"✗ 这类是付款，金额填到支出列",IF(N(H1481)&lt;0,"⚠ 账户余额成负数了，核对一下","√"))))))))))))))))))</f>
      </c>
      <c r="O1481" s="78">
        <f>IF(D1481&lt;&gt;"",D1481,IF(AND(F1481="",G1481=""),"",IF(J1481&lt;&gt;"",IF(N(F1481)&gt;0,"客户回款","客户退款"),IF(K1481&lt;&gt;"",IF(N(G1481)&gt;0,"供应商付款","供应商退款"),IF(L1481&lt;&gt;"","费用支出","")))))</f>
      </c>
      <c r="P1481" s="78">
        <f>IF(O1481="","",IFERROR(INDEX(基础资料!$AE$5:$AE$34,MATCH(O1481,基础资料!$AC$5:$AC$34,0)),"未知"))</f>
      </c>
      <c r="Q1481" s="78">
        <f>IF(P1481="应收",COUNTIF(P$7:P1481,"应收"),"")</f>
      </c>
      <c r="R1481" s="78">
        <f>IF(P1481="应付",COUNTIF(P$7:P1481,"应付"),"")</f>
      </c>
      <c r="S1481" s="78">
        <f>N(F1481)-N(G1481)</f>
        <v>0</v>
      </c>
    </row>
    <row r="1482">
      <c r="A1482" s="109">
        <f>IF(AND(F1482="",G1482=""),"",ROW()-6)</f>
      </c>
      <c r="B1482" s="140" t="n"/>
      <c r="C1482" s="141" t="n"/>
      <c r="D1482" s="141" t="n"/>
      <c r="E1482" s="142" t="n"/>
      <c r="F1482" s="143" t="n"/>
      <c r="G1482" s="144" t="n"/>
      <c r="H1482" s="145">
        <f>IF(OR(C1482="",AND(F1482="",G1482="")),"",SUMIF(基础资料!$W$5:$W$24,C1482,基础资料!$X$5:$X$24)+SUMIF(C$7:C1482,C1482,F$7:F1482)-SUMIF(C$7:C1482,C1482,G$7:G1482))</f>
      </c>
      <c r="I1482" s="145">
        <f>IF(AND(F1482="",G1482=""),"",SUM(基础资料!$X$5:$X$24)+SUM(F$7:F1482)-SUM(G$7:G1482))</f>
      </c>
      <c r="J1482" s="141" t="n"/>
      <c r="K1482" s="141" t="n"/>
      <c r="L1482" s="141" t="n"/>
      <c r="M1482" s="142" t="n"/>
      <c r="N1482" s="146">
        <f>IF(AND(AND(F1482="",G1482=""),B1482="",C1482="",D1482="",J1482="",K1482="",L1482=""),"",IF(AND(F1482="",G1482=""),"✗ 没填金额",IF(AND(N(F1482)&lt;&gt;0,N(G1482)&lt;&gt;0),"✗ 收入、支出只能填一边",IF(NOT(ISNUMBER(B1482)),"✗ 日期不是真日期（要像 2026/9/25 这样填）",IF(OR(B1482&lt;年初日,B1482&gt;年末日),"✗ 日期不在本会计年度",IF(C1482="","✗ 没选账户",IF(COUNTIF(基础资料!$W$5:$W$24,C1482)=0,"✗ 账户不在基础资料里",IF(O1482="","✗ 没选收支项目",IF(P1482="未知","✗ 收支项目不在基础资料里",IF(AND(P1482="应收",J1482=""),"✗ 这笔要选客户",IF(AND(P1482="应收",COUNTIF(总览汇总!$B$5:$B$304,J1482)=0),"✗ 客户不在总览汇总名单里",IF(AND(P1482="应付",K1482=""),"✗ 这笔要选供应商",IF(AND(P1482="应付",COUNTIF(基础资料!$Q$5:$Q$54,K1482)=0),"✗ 供应商不在基础资料里",IF(AND(P1482="费用",L1482=""),"✗ 费用支出要选费用项目",IF(AND(L1482&lt;&gt;"",COUNTIF(基础资料!$AI$5:$AI$54,L1482)=0),"✗ 费用项目不在基础资料里",IF(AND(IFERROR(INDEX(基础资料!$AD$5:$AD$34,MATCH(O1482,基础资料!$AC$5:$AC$34,0)),"")="收",N(G1482)&lt;&gt;0),"✗ 这类是收款，金额填到收入列",IF(AND(IFERROR(INDEX(基础资料!$AD$5:$AD$34,MATCH(O1482,基础资料!$AC$5:$AC$34,0)),"")="支",N(F1482)&lt;&gt;0),"✗ 这类是付款，金额填到支出列",IF(N(H1482)&lt;0,"⚠ 账户余额成负数了，核对一下","√"))))))))))))))))))</f>
      </c>
      <c r="O1482" s="78">
        <f>IF(D1482&lt;&gt;"",D1482,IF(AND(F1482="",G1482=""),"",IF(J1482&lt;&gt;"",IF(N(F1482)&gt;0,"客户回款","客户退款"),IF(K1482&lt;&gt;"",IF(N(G1482)&gt;0,"供应商付款","供应商退款"),IF(L1482&lt;&gt;"","费用支出","")))))</f>
      </c>
      <c r="P1482" s="78">
        <f>IF(O1482="","",IFERROR(INDEX(基础资料!$AE$5:$AE$34,MATCH(O1482,基础资料!$AC$5:$AC$34,0)),"未知"))</f>
      </c>
      <c r="Q1482" s="78">
        <f>IF(P1482="应收",COUNTIF(P$7:P1482,"应收"),"")</f>
      </c>
      <c r="R1482" s="78">
        <f>IF(P1482="应付",COUNTIF(P$7:P1482,"应付"),"")</f>
      </c>
      <c r="S1482" s="78">
        <f>N(F1482)-N(G1482)</f>
        <v>0</v>
      </c>
    </row>
    <row r="1483">
      <c r="A1483" s="109">
        <f>IF(AND(F1483="",G1483=""),"",ROW()-6)</f>
      </c>
      <c r="B1483" s="140" t="n"/>
      <c r="C1483" s="141" t="n"/>
      <c r="D1483" s="141" t="n"/>
      <c r="E1483" s="142" t="n"/>
      <c r="F1483" s="143" t="n"/>
      <c r="G1483" s="144" t="n"/>
      <c r="H1483" s="145">
        <f>IF(OR(C1483="",AND(F1483="",G1483="")),"",SUMIF(基础资料!$W$5:$W$24,C1483,基础资料!$X$5:$X$24)+SUMIF(C$7:C1483,C1483,F$7:F1483)-SUMIF(C$7:C1483,C1483,G$7:G1483))</f>
      </c>
      <c r="I1483" s="145">
        <f>IF(AND(F1483="",G1483=""),"",SUM(基础资料!$X$5:$X$24)+SUM(F$7:F1483)-SUM(G$7:G1483))</f>
      </c>
      <c r="J1483" s="141" t="n"/>
      <c r="K1483" s="141" t="n"/>
      <c r="L1483" s="141" t="n"/>
      <c r="M1483" s="142" t="n"/>
      <c r="N1483" s="146">
        <f>IF(AND(AND(F1483="",G1483=""),B1483="",C1483="",D1483="",J1483="",K1483="",L1483=""),"",IF(AND(F1483="",G1483=""),"✗ 没填金额",IF(AND(N(F1483)&lt;&gt;0,N(G1483)&lt;&gt;0),"✗ 收入、支出只能填一边",IF(NOT(ISNUMBER(B1483)),"✗ 日期不是真日期（要像 2026/9/25 这样填）",IF(OR(B1483&lt;年初日,B1483&gt;年末日),"✗ 日期不在本会计年度",IF(C1483="","✗ 没选账户",IF(COUNTIF(基础资料!$W$5:$W$24,C1483)=0,"✗ 账户不在基础资料里",IF(O1483="","✗ 没选收支项目",IF(P1483="未知","✗ 收支项目不在基础资料里",IF(AND(P1483="应收",J1483=""),"✗ 这笔要选客户",IF(AND(P1483="应收",COUNTIF(总览汇总!$B$5:$B$304,J1483)=0),"✗ 客户不在总览汇总名单里",IF(AND(P1483="应付",K1483=""),"✗ 这笔要选供应商",IF(AND(P1483="应付",COUNTIF(基础资料!$Q$5:$Q$54,K1483)=0),"✗ 供应商不在基础资料里",IF(AND(P1483="费用",L1483=""),"✗ 费用支出要选费用项目",IF(AND(L1483&lt;&gt;"",COUNTIF(基础资料!$AI$5:$AI$54,L1483)=0),"✗ 费用项目不在基础资料里",IF(AND(IFERROR(INDEX(基础资料!$AD$5:$AD$34,MATCH(O1483,基础资料!$AC$5:$AC$34,0)),"")="收",N(G1483)&lt;&gt;0),"✗ 这类是收款，金额填到收入列",IF(AND(IFERROR(INDEX(基础资料!$AD$5:$AD$34,MATCH(O1483,基础资料!$AC$5:$AC$34,0)),"")="支",N(F1483)&lt;&gt;0),"✗ 这类是付款，金额填到支出列",IF(N(H1483)&lt;0,"⚠ 账户余额成负数了，核对一下","√"))))))))))))))))))</f>
      </c>
      <c r="O1483" s="78">
        <f>IF(D1483&lt;&gt;"",D1483,IF(AND(F1483="",G1483=""),"",IF(J1483&lt;&gt;"",IF(N(F1483)&gt;0,"客户回款","客户退款"),IF(K1483&lt;&gt;"",IF(N(G1483)&gt;0,"供应商付款","供应商退款"),IF(L1483&lt;&gt;"","费用支出","")))))</f>
      </c>
      <c r="P1483" s="78">
        <f>IF(O1483="","",IFERROR(INDEX(基础资料!$AE$5:$AE$34,MATCH(O1483,基础资料!$AC$5:$AC$34,0)),"未知"))</f>
      </c>
      <c r="Q1483" s="78">
        <f>IF(P1483="应收",COUNTIF(P$7:P1483,"应收"),"")</f>
      </c>
      <c r="R1483" s="78">
        <f>IF(P1483="应付",COUNTIF(P$7:P1483,"应付"),"")</f>
      </c>
      <c r="S1483" s="78">
        <f>N(F1483)-N(G1483)</f>
        <v>0</v>
      </c>
    </row>
    <row r="1484">
      <c r="A1484" s="109">
        <f>IF(AND(F1484="",G1484=""),"",ROW()-6)</f>
      </c>
      <c r="B1484" s="140" t="n"/>
      <c r="C1484" s="141" t="n"/>
      <c r="D1484" s="141" t="n"/>
      <c r="E1484" s="142" t="n"/>
      <c r="F1484" s="143" t="n"/>
      <c r="G1484" s="144" t="n"/>
      <c r="H1484" s="145">
        <f>IF(OR(C1484="",AND(F1484="",G1484="")),"",SUMIF(基础资料!$W$5:$W$24,C1484,基础资料!$X$5:$X$24)+SUMIF(C$7:C1484,C1484,F$7:F1484)-SUMIF(C$7:C1484,C1484,G$7:G1484))</f>
      </c>
      <c r="I1484" s="145">
        <f>IF(AND(F1484="",G1484=""),"",SUM(基础资料!$X$5:$X$24)+SUM(F$7:F1484)-SUM(G$7:G1484))</f>
      </c>
      <c r="J1484" s="141" t="n"/>
      <c r="K1484" s="141" t="n"/>
      <c r="L1484" s="141" t="n"/>
      <c r="M1484" s="142" t="n"/>
      <c r="N1484" s="146">
        <f>IF(AND(AND(F1484="",G1484=""),B1484="",C1484="",D1484="",J1484="",K1484="",L1484=""),"",IF(AND(F1484="",G1484=""),"✗ 没填金额",IF(AND(N(F1484)&lt;&gt;0,N(G1484)&lt;&gt;0),"✗ 收入、支出只能填一边",IF(NOT(ISNUMBER(B1484)),"✗ 日期不是真日期（要像 2026/9/25 这样填）",IF(OR(B1484&lt;年初日,B1484&gt;年末日),"✗ 日期不在本会计年度",IF(C1484="","✗ 没选账户",IF(COUNTIF(基础资料!$W$5:$W$24,C1484)=0,"✗ 账户不在基础资料里",IF(O1484="","✗ 没选收支项目",IF(P1484="未知","✗ 收支项目不在基础资料里",IF(AND(P1484="应收",J1484=""),"✗ 这笔要选客户",IF(AND(P1484="应收",COUNTIF(总览汇总!$B$5:$B$304,J1484)=0),"✗ 客户不在总览汇总名单里",IF(AND(P1484="应付",K1484=""),"✗ 这笔要选供应商",IF(AND(P1484="应付",COUNTIF(基础资料!$Q$5:$Q$54,K1484)=0),"✗ 供应商不在基础资料里",IF(AND(P1484="费用",L1484=""),"✗ 费用支出要选费用项目",IF(AND(L1484&lt;&gt;"",COUNTIF(基础资料!$AI$5:$AI$54,L1484)=0),"✗ 费用项目不在基础资料里",IF(AND(IFERROR(INDEX(基础资料!$AD$5:$AD$34,MATCH(O1484,基础资料!$AC$5:$AC$34,0)),"")="收",N(G1484)&lt;&gt;0),"✗ 这类是收款，金额填到收入列",IF(AND(IFERROR(INDEX(基础资料!$AD$5:$AD$34,MATCH(O1484,基础资料!$AC$5:$AC$34,0)),"")="支",N(F1484)&lt;&gt;0),"✗ 这类是付款，金额填到支出列",IF(N(H1484)&lt;0,"⚠ 账户余额成负数了，核对一下","√"))))))))))))))))))</f>
      </c>
      <c r="O1484" s="78">
        <f>IF(D1484&lt;&gt;"",D1484,IF(AND(F1484="",G1484=""),"",IF(J1484&lt;&gt;"",IF(N(F1484)&gt;0,"客户回款","客户退款"),IF(K1484&lt;&gt;"",IF(N(G1484)&gt;0,"供应商付款","供应商退款"),IF(L1484&lt;&gt;"","费用支出","")))))</f>
      </c>
      <c r="P1484" s="78">
        <f>IF(O1484="","",IFERROR(INDEX(基础资料!$AE$5:$AE$34,MATCH(O1484,基础资料!$AC$5:$AC$34,0)),"未知"))</f>
      </c>
      <c r="Q1484" s="78">
        <f>IF(P1484="应收",COUNTIF(P$7:P1484,"应收"),"")</f>
      </c>
      <c r="R1484" s="78">
        <f>IF(P1484="应付",COUNTIF(P$7:P1484,"应付"),"")</f>
      </c>
      <c r="S1484" s="78">
        <f>N(F1484)-N(G1484)</f>
        <v>0</v>
      </c>
    </row>
    <row r="1485">
      <c r="A1485" s="109">
        <f>IF(AND(F1485="",G1485=""),"",ROW()-6)</f>
      </c>
      <c r="B1485" s="140" t="n"/>
      <c r="C1485" s="141" t="n"/>
      <c r="D1485" s="141" t="n"/>
      <c r="E1485" s="142" t="n"/>
      <c r="F1485" s="143" t="n"/>
      <c r="G1485" s="144" t="n"/>
      <c r="H1485" s="145">
        <f>IF(OR(C1485="",AND(F1485="",G1485="")),"",SUMIF(基础资料!$W$5:$W$24,C1485,基础资料!$X$5:$X$24)+SUMIF(C$7:C1485,C1485,F$7:F1485)-SUMIF(C$7:C1485,C1485,G$7:G1485))</f>
      </c>
      <c r="I1485" s="145">
        <f>IF(AND(F1485="",G1485=""),"",SUM(基础资料!$X$5:$X$24)+SUM(F$7:F1485)-SUM(G$7:G1485))</f>
      </c>
      <c r="J1485" s="141" t="n"/>
      <c r="K1485" s="141" t="n"/>
      <c r="L1485" s="141" t="n"/>
      <c r="M1485" s="142" t="n"/>
      <c r="N1485" s="146">
        <f>IF(AND(AND(F1485="",G1485=""),B1485="",C1485="",D1485="",J1485="",K1485="",L1485=""),"",IF(AND(F1485="",G1485=""),"✗ 没填金额",IF(AND(N(F1485)&lt;&gt;0,N(G1485)&lt;&gt;0),"✗ 收入、支出只能填一边",IF(NOT(ISNUMBER(B1485)),"✗ 日期不是真日期（要像 2026/9/25 这样填）",IF(OR(B1485&lt;年初日,B1485&gt;年末日),"✗ 日期不在本会计年度",IF(C1485="","✗ 没选账户",IF(COUNTIF(基础资料!$W$5:$W$24,C1485)=0,"✗ 账户不在基础资料里",IF(O1485="","✗ 没选收支项目",IF(P1485="未知","✗ 收支项目不在基础资料里",IF(AND(P1485="应收",J1485=""),"✗ 这笔要选客户",IF(AND(P1485="应收",COUNTIF(总览汇总!$B$5:$B$304,J1485)=0),"✗ 客户不在总览汇总名单里",IF(AND(P1485="应付",K1485=""),"✗ 这笔要选供应商",IF(AND(P1485="应付",COUNTIF(基础资料!$Q$5:$Q$54,K1485)=0),"✗ 供应商不在基础资料里",IF(AND(P1485="费用",L1485=""),"✗ 费用支出要选费用项目",IF(AND(L1485&lt;&gt;"",COUNTIF(基础资料!$AI$5:$AI$54,L1485)=0),"✗ 费用项目不在基础资料里",IF(AND(IFERROR(INDEX(基础资料!$AD$5:$AD$34,MATCH(O1485,基础资料!$AC$5:$AC$34,0)),"")="收",N(G1485)&lt;&gt;0),"✗ 这类是收款，金额填到收入列",IF(AND(IFERROR(INDEX(基础资料!$AD$5:$AD$34,MATCH(O1485,基础资料!$AC$5:$AC$34,0)),"")="支",N(F1485)&lt;&gt;0),"✗ 这类是付款，金额填到支出列",IF(N(H1485)&lt;0,"⚠ 账户余额成负数了，核对一下","√"))))))))))))))))))</f>
      </c>
      <c r="O1485" s="78">
        <f>IF(D1485&lt;&gt;"",D1485,IF(AND(F1485="",G1485=""),"",IF(J1485&lt;&gt;"",IF(N(F1485)&gt;0,"客户回款","客户退款"),IF(K1485&lt;&gt;"",IF(N(G1485)&gt;0,"供应商付款","供应商退款"),IF(L1485&lt;&gt;"","费用支出","")))))</f>
      </c>
      <c r="P1485" s="78">
        <f>IF(O1485="","",IFERROR(INDEX(基础资料!$AE$5:$AE$34,MATCH(O1485,基础资料!$AC$5:$AC$34,0)),"未知"))</f>
      </c>
      <c r="Q1485" s="78">
        <f>IF(P1485="应收",COUNTIF(P$7:P1485,"应收"),"")</f>
      </c>
      <c r="R1485" s="78">
        <f>IF(P1485="应付",COUNTIF(P$7:P1485,"应付"),"")</f>
      </c>
      <c r="S1485" s="78">
        <f>N(F1485)-N(G1485)</f>
        <v>0</v>
      </c>
    </row>
    <row r="1486">
      <c r="A1486" s="109">
        <f>IF(AND(F1486="",G1486=""),"",ROW()-6)</f>
      </c>
      <c r="B1486" s="140" t="n"/>
      <c r="C1486" s="141" t="n"/>
      <c r="D1486" s="141" t="n"/>
      <c r="E1486" s="142" t="n"/>
      <c r="F1486" s="143" t="n"/>
      <c r="G1486" s="144" t="n"/>
      <c r="H1486" s="145">
        <f>IF(OR(C1486="",AND(F1486="",G1486="")),"",SUMIF(基础资料!$W$5:$W$24,C1486,基础资料!$X$5:$X$24)+SUMIF(C$7:C1486,C1486,F$7:F1486)-SUMIF(C$7:C1486,C1486,G$7:G1486))</f>
      </c>
      <c r="I1486" s="145">
        <f>IF(AND(F1486="",G1486=""),"",SUM(基础资料!$X$5:$X$24)+SUM(F$7:F1486)-SUM(G$7:G1486))</f>
      </c>
      <c r="J1486" s="141" t="n"/>
      <c r="K1486" s="141" t="n"/>
      <c r="L1486" s="141" t="n"/>
      <c r="M1486" s="142" t="n"/>
      <c r="N1486" s="146">
        <f>IF(AND(AND(F1486="",G1486=""),B1486="",C1486="",D1486="",J1486="",K1486="",L1486=""),"",IF(AND(F1486="",G1486=""),"✗ 没填金额",IF(AND(N(F1486)&lt;&gt;0,N(G1486)&lt;&gt;0),"✗ 收入、支出只能填一边",IF(NOT(ISNUMBER(B1486)),"✗ 日期不是真日期（要像 2026/9/25 这样填）",IF(OR(B1486&lt;年初日,B1486&gt;年末日),"✗ 日期不在本会计年度",IF(C1486="","✗ 没选账户",IF(COUNTIF(基础资料!$W$5:$W$24,C1486)=0,"✗ 账户不在基础资料里",IF(O1486="","✗ 没选收支项目",IF(P1486="未知","✗ 收支项目不在基础资料里",IF(AND(P1486="应收",J1486=""),"✗ 这笔要选客户",IF(AND(P1486="应收",COUNTIF(总览汇总!$B$5:$B$304,J1486)=0),"✗ 客户不在总览汇总名单里",IF(AND(P1486="应付",K1486=""),"✗ 这笔要选供应商",IF(AND(P1486="应付",COUNTIF(基础资料!$Q$5:$Q$54,K1486)=0),"✗ 供应商不在基础资料里",IF(AND(P1486="费用",L1486=""),"✗ 费用支出要选费用项目",IF(AND(L1486&lt;&gt;"",COUNTIF(基础资料!$AI$5:$AI$54,L1486)=0),"✗ 费用项目不在基础资料里",IF(AND(IFERROR(INDEX(基础资料!$AD$5:$AD$34,MATCH(O1486,基础资料!$AC$5:$AC$34,0)),"")="收",N(G1486)&lt;&gt;0),"✗ 这类是收款，金额填到收入列",IF(AND(IFERROR(INDEX(基础资料!$AD$5:$AD$34,MATCH(O1486,基础资料!$AC$5:$AC$34,0)),"")="支",N(F1486)&lt;&gt;0),"✗ 这类是付款，金额填到支出列",IF(N(H1486)&lt;0,"⚠ 账户余额成负数了，核对一下","√"))))))))))))))))))</f>
      </c>
      <c r="O1486" s="78">
        <f>IF(D1486&lt;&gt;"",D1486,IF(AND(F1486="",G1486=""),"",IF(J1486&lt;&gt;"",IF(N(F1486)&gt;0,"客户回款","客户退款"),IF(K1486&lt;&gt;"",IF(N(G1486)&gt;0,"供应商付款","供应商退款"),IF(L1486&lt;&gt;"","费用支出","")))))</f>
      </c>
      <c r="P1486" s="78">
        <f>IF(O1486="","",IFERROR(INDEX(基础资料!$AE$5:$AE$34,MATCH(O1486,基础资料!$AC$5:$AC$34,0)),"未知"))</f>
      </c>
      <c r="Q1486" s="78">
        <f>IF(P1486="应收",COUNTIF(P$7:P1486,"应收"),"")</f>
      </c>
      <c r="R1486" s="78">
        <f>IF(P1486="应付",COUNTIF(P$7:P1486,"应付"),"")</f>
      </c>
      <c r="S1486" s="78">
        <f>N(F1486)-N(G1486)</f>
        <v>0</v>
      </c>
    </row>
    <row r="1487">
      <c r="A1487" s="109">
        <f>IF(AND(F1487="",G1487=""),"",ROW()-6)</f>
      </c>
      <c r="B1487" s="140" t="n"/>
      <c r="C1487" s="141" t="n"/>
      <c r="D1487" s="141" t="n"/>
      <c r="E1487" s="142" t="n"/>
      <c r="F1487" s="143" t="n"/>
      <c r="G1487" s="144" t="n"/>
      <c r="H1487" s="145">
        <f>IF(OR(C1487="",AND(F1487="",G1487="")),"",SUMIF(基础资料!$W$5:$W$24,C1487,基础资料!$X$5:$X$24)+SUMIF(C$7:C1487,C1487,F$7:F1487)-SUMIF(C$7:C1487,C1487,G$7:G1487))</f>
      </c>
      <c r="I1487" s="145">
        <f>IF(AND(F1487="",G1487=""),"",SUM(基础资料!$X$5:$X$24)+SUM(F$7:F1487)-SUM(G$7:G1487))</f>
      </c>
      <c r="J1487" s="141" t="n"/>
      <c r="K1487" s="141" t="n"/>
      <c r="L1487" s="141" t="n"/>
      <c r="M1487" s="142" t="n"/>
      <c r="N1487" s="146">
        <f>IF(AND(AND(F1487="",G1487=""),B1487="",C1487="",D1487="",J1487="",K1487="",L1487=""),"",IF(AND(F1487="",G1487=""),"✗ 没填金额",IF(AND(N(F1487)&lt;&gt;0,N(G1487)&lt;&gt;0),"✗ 收入、支出只能填一边",IF(NOT(ISNUMBER(B1487)),"✗ 日期不是真日期（要像 2026/9/25 这样填）",IF(OR(B1487&lt;年初日,B1487&gt;年末日),"✗ 日期不在本会计年度",IF(C1487="","✗ 没选账户",IF(COUNTIF(基础资料!$W$5:$W$24,C1487)=0,"✗ 账户不在基础资料里",IF(O1487="","✗ 没选收支项目",IF(P1487="未知","✗ 收支项目不在基础资料里",IF(AND(P1487="应收",J1487=""),"✗ 这笔要选客户",IF(AND(P1487="应收",COUNTIF(总览汇总!$B$5:$B$304,J1487)=0),"✗ 客户不在总览汇总名单里",IF(AND(P1487="应付",K1487=""),"✗ 这笔要选供应商",IF(AND(P1487="应付",COUNTIF(基础资料!$Q$5:$Q$54,K1487)=0),"✗ 供应商不在基础资料里",IF(AND(P1487="费用",L1487=""),"✗ 费用支出要选费用项目",IF(AND(L1487&lt;&gt;"",COUNTIF(基础资料!$AI$5:$AI$54,L1487)=0),"✗ 费用项目不在基础资料里",IF(AND(IFERROR(INDEX(基础资料!$AD$5:$AD$34,MATCH(O1487,基础资料!$AC$5:$AC$34,0)),"")="收",N(G1487)&lt;&gt;0),"✗ 这类是收款，金额填到收入列",IF(AND(IFERROR(INDEX(基础资料!$AD$5:$AD$34,MATCH(O1487,基础资料!$AC$5:$AC$34,0)),"")="支",N(F1487)&lt;&gt;0),"✗ 这类是付款，金额填到支出列",IF(N(H1487)&lt;0,"⚠ 账户余额成负数了，核对一下","√"))))))))))))))))))</f>
      </c>
      <c r="O1487" s="78">
        <f>IF(D1487&lt;&gt;"",D1487,IF(AND(F1487="",G1487=""),"",IF(J1487&lt;&gt;"",IF(N(F1487)&gt;0,"客户回款","客户退款"),IF(K1487&lt;&gt;"",IF(N(G1487)&gt;0,"供应商付款","供应商退款"),IF(L1487&lt;&gt;"","费用支出","")))))</f>
      </c>
      <c r="P1487" s="78">
        <f>IF(O1487="","",IFERROR(INDEX(基础资料!$AE$5:$AE$34,MATCH(O1487,基础资料!$AC$5:$AC$34,0)),"未知"))</f>
      </c>
      <c r="Q1487" s="78">
        <f>IF(P1487="应收",COUNTIF(P$7:P1487,"应收"),"")</f>
      </c>
      <c r="R1487" s="78">
        <f>IF(P1487="应付",COUNTIF(P$7:P1487,"应付"),"")</f>
      </c>
      <c r="S1487" s="78">
        <f>N(F1487)-N(G1487)</f>
        <v>0</v>
      </c>
    </row>
    <row r="1488">
      <c r="A1488" s="109">
        <f>IF(AND(F1488="",G1488=""),"",ROW()-6)</f>
      </c>
      <c r="B1488" s="140" t="n"/>
      <c r="C1488" s="141" t="n"/>
      <c r="D1488" s="141" t="n"/>
      <c r="E1488" s="142" t="n"/>
      <c r="F1488" s="143" t="n"/>
      <c r="G1488" s="144" t="n"/>
      <c r="H1488" s="145">
        <f>IF(OR(C1488="",AND(F1488="",G1488="")),"",SUMIF(基础资料!$W$5:$W$24,C1488,基础资料!$X$5:$X$24)+SUMIF(C$7:C1488,C1488,F$7:F1488)-SUMIF(C$7:C1488,C1488,G$7:G1488))</f>
      </c>
      <c r="I1488" s="145">
        <f>IF(AND(F1488="",G1488=""),"",SUM(基础资料!$X$5:$X$24)+SUM(F$7:F1488)-SUM(G$7:G1488))</f>
      </c>
      <c r="J1488" s="141" t="n"/>
      <c r="K1488" s="141" t="n"/>
      <c r="L1488" s="141" t="n"/>
      <c r="M1488" s="142" t="n"/>
      <c r="N1488" s="146">
        <f>IF(AND(AND(F1488="",G1488=""),B1488="",C1488="",D1488="",J1488="",K1488="",L1488=""),"",IF(AND(F1488="",G1488=""),"✗ 没填金额",IF(AND(N(F1488)&lt;&gt;0,N(G1488)&lt;&gt;0),"✗ 收入、支出只能填一边",IF(NOT(ISNUMBER(B1488)),"✗ 日期不是真日期（要像 2026/9/25 这样填）",IF(OR(B1488&lt;年初日,B1488&gt;年末日),"✗ 日期不在本会计年度",IF(C1488="","✗ 没选账户",IF(COUNTIF(基础资料!$W$5:$W$24,C1488)=0,"✗ 账户不在基础资料里",IF(O1488="","✗ 没选收支项目",IF(P1488="未知","✗ 收支项目不在基础资料里",IF(AND(P1488="应收",J1488=""),"✗ 这笔要选客户",IF(AND(P1488="应收",COUNTIF(总览汇总!$B$5:$B$304,J1488)=0),"✗ 客户不在总览汇总名单里",IF(AND(P1488="应付",K1488=""),"✗ 这笔要选供应商",IF(AND(P1488="应付",COUNTIF(基础资料!$Q$5:$Q$54,K1488)=0),"✗ 供应商不在基础资料里",IF(AND(P1488="费用",L1488=""),"✗ 费用支出要选费用项目",IF(AND(L1488&lt;&gt;"",COUNTIF(基础资料!$AI$5:$AI$54,L1488)=0),"✗ 费用项目不在基础资料里",IF(AND(IFERROR(INDEX(基础资料!$AD$5:$AD$34,MATCH(O1488,基础资料!$AC$5:$AC$34,0)),"")="收",N(G1488)&lt;&gt;0),"✗ 这类是收款，金额填到收入列",IF(AND(IFERROR(INDEX(基础资料!$AD$5:$AD$34,MATCH(O1488,基础资料!$AC$5:$AC$34,0)),"")="支",N(F1488)&lt;&gt;0),"✗ 这类是付款，金额填到支出列",IF(N(H1488)&lt;0,"⚠ 账户余额成负数了，核对一下","√"))))))))))))))))))</f>
      </c>
      <c r="O1488" s="78">
        <f>IF(D1488&lt;&gt;"",D1488,IF(AND(F1488="",G1488=""),"",IF(J1488&lt;&gt;"",IF(N(F1488)&gt;0,"客户回款","客户退款"),IF(K1488&lt;&gt;"",IF(N(G1488)&gt;0,"供应商付款","供应商退款"),IF(L1488&lt;&gt;"","费用支出","")))))</f>
      </c>
      <c r="P1488" s="78">
        <f>IF(O1488="","",IFERROR(INDEX(基础资料!$AE$5:$AE$34,MATCH(O1488,基础资料!$AC$5:$AC$34,0)),"未知"))</f>
      </c>
      <c r="Q1488" s="78">
        <f>IF(P1488="应收",COUNTIF(P$7:P1488,"应收"),"")</f>
      </c>
      <c r="R1488" s="78">
        <f>IF(P1488="应付",COUNTIF(P$7:P1488,"应付"),"")</f>
      </c>
      <c r="S1488" s="78">
        <f>N(F1488)-N(G1488)</f>
        <v>0</v>
      </c>
    </row>
    <row r="1489">
      <c r="A1489" s="109">
        <f>IF(AND(F1489="",G1489=""),"",ROW()-6)</f>
      </c>
      <c r="B1489" s="140" t="n"/>
      <c r="C1489" s="141" t="n"/>
      <c r="D1489" s="141" t="n"/>
      <c r="E1489" s="142" t="n"/>
      <c r="F1489" s="143" t="n"/>
      <c r="G1489" s="144" t="n"/>
      <c r="H1489" s="145">
        <f>IF(OR(C1489="",AND(F1489="",G1489="")),"",SUMIF(基础资料!$W$5:$W$24,C1489,基础资料!$X$5:$X$24)+SUMIF(C$7:C1489,C1489,F$7:F1489)-SUMIF(C$7:C1489,C1489,G$7:G1489))</f>
      </c>
      <c r="I1489" s="145">
        <f>IF(AND(F1489="",G1489=""),"",SUM(基础资料!$X$5:$X$24)+SUM(F$7:F1489)-SUM(G$7:G1489))</f>
      </c>
      <c r="J1489" s="141" t="n"/>
      <c r="K1489" s="141" t="n"/>
      <c r="L1489" s="141" t="n"/>
      <c r="M1489" s="142" t="n"/>
      <c r="N1489" s="146">
        <f>IF(AND(AND(F1489="",G1489=""),B1489="",C1489="",D1489="",J1489="",K1489="",L1489=""),"",IF(AND(F1489="",G1489=""),"✗ 没填金额",IF(AND(N(F1489)&lt;&gt;0,N(G1489)&lt;&gt;0),"✗ 收入、支出只能填一边",IF(NOT(ISNUMBER(B1489)),"✗ 日期不是真日期（要像 2026/9/25 这样填）",IF(OR(B1489&lt;年初日,B1489&gt;年末日),"✗ 日期不在本会计年度",IF(C1489="","✗ 没选账户",IF(COUNTIF(基础资料!$W$5:$W$24,C1489)=0,"✗ 账户不在基础资料里",IF(O1489="","✗ 没选收支项目",IF(P1489="未知","✗ 收支项目不在基础资料里",IF(AND(P1489="应收",J1489=""),"✗ 这笔要选客户",IF(AND(P1489="应收",COUNTIF(总览汇总!$B$5:$B$304,J1489)=0),"✗ 客户不在总览汇总名单里",IF(AND(P1489="应付",K1489=""),"✗ 这笔要选供应商",IF(AND(P1489="应付",COUNTIF(基础资料!$Q$5:$Q$54,K1489)=0),"✗ 供应商不在基础资料里",IF(AND(P1489="费用",L1489=""),"✗ 费用支出要选费用项目",IF(AND(L1489&lt;&gt;"",COUNTIF(基础资料!$AI$5:$AI$54,L1489)=0),"✗ 费用项目不在基础资料里",IF(AND(IFERROR(INDEX(基础资料!$AD$5:$AD$34,MATCH(O1489,基础资料!$AC$5:$AC$34,0)),"")="收",N(G1489)&lt;&gt;0),"✗ 这类是收款，金额填到收入列",IF(AND(IFERROR(INDEX(基础资料!$AD$5:$AD$34,MATCH(O1489,基础资料!$AC$5:$AC$34,0)),"")="支",N(F1489)&lt;&gt;0),"✗ 这类是付款，金额填到支出列",IF(N(H1489)&lt;0,"⚠ 账户余额成负数了，核对一下","√"))))))))))))))))))</f>
      </c>
      <c r="O1489" s="78">
        <f>IF(D1489&lt;&gt;"",D1489,IF(AND(F1489="",G1489=""),"",IF(J1489&lt;&gt;"",IF(N(F1489)&gt;0,"客户回款","客户退款"),IF(K1489&lt;&gt;"",IF(N(G1489)&gt;0,"供应商付款","供应商退款"),IF(L1489&lt;&gt;"","费用支出","")))))</f>
      </c>
      <c r="P1489" s="78">
        <f>IF(O1489="","",IFERROR(INDEX(基础资料!$AE$5:$AE$34,MATCH(O1489,基础资料!$AC$5:$AC$34,0)),"未知"))</f>
      </c>
      <c r="Q1489" s="78">
        <f>IF(P1489="应收",COUNTIF(P$7:P1489,"应收"),"")</f>
      </c>
      <c r="R1489" s="78">
        <f>IF(P1489="应付",COUNTIF(P$7:P1489,"应付"),"")</f>
      </c>
      <c r="S1489" s="78">
        <f>N(F1489)-N(G1489)</f>
        <v>0</v>
      </c>
    </row>
    <row r="1490">
      <c r="A1490" s="109">
        <f>IF(AND(F1490="",G1490=""),"",ROW()-6)</f>
      </c>
      <c r="B1490" s="140" t="n"/>
      <c r="C1490" s="141" t="n"/>
      <c r="D1490" s="141" t="n"/>
      <c r="E1490" s="142" t="n"/>
      <c r="F1490" s="143" t="n"/>
      <c r="G1490" s="144" t="n"/>
      <c r="H1490" s="145">
        <f>IF(OR(C1490="",AND(F1490="",G1490="")),"",SUMIF(基础资料!$W$5:$W$24,C1490,基础资料!$X$5:$X$24)+SUMIF(C$7:C1490,C1490,F$7:F1490)-SUMIF(C$7:C1490,C1490,G$7:G1490))</f>
      </c>
      <c r="I1490" s="145">
        <f>IF(AND(F1490="",G1490=""),"",SUM(基础资料!$X$5:$X$24)+SUM(F$7:F1490)-SUM(G$7:G1490))</f>
      </c>
      <c r="J1490" s="141" t="n"/>
      <c r="K1490" s="141" t="n"/>
      <c r="L1490" s="141" t="n"/>
      <c r="M1490" s="142" t="n"/>
      <c r="N1490" s="146">
        <f>IF(AND(AND(F1490="",G1490=""),B1490="",C1490="",D1490="",J1490="",K1490="",L1490=""),"",IF(AND(F1490="",G1490=""),"✗ 没填金额",IF(AND(N(F1490)&lt;&gt;0,N(G1490)&lt;&gt;0),"✗ 收入、支出只能填一边",IF(NOT(ISNUMBER(B1490)),"✗ 日期不是真日期（要像 2026/9/25 这样填）",IF(OR(B1490&lt;年初日,B1490&gt;年末日),"✗ 日期不在本会计年度",IF(C1490="","✗ 没选账户",IF(COUNTIF(基础资料!$W$5:$W$24,C1490)=0,"✗ 账户不在基础资料里",IF(O1490="","✗ 没选收支项目",IF(P1490="未知","✗ 收支项目不在基础资料里",IF(AND(P1490="应收",J1490=""),"✗ 这笔要选客户",IF(AND(P1490="应收",COUNTIF(总览汇总!$B$5:$B$304,J1490)=0),"✗ 客户不在总览汇总名单里",IF(AND(P1490="应付",K1490=""),"✗ 这笔要选供应商",IF(AND(P1490="应付",COUNTIF(基础资料!$Q$5:$Q$54,K1490)=0),"✗ 供应商不在基础资料里",IF(AND(P1490="费用",L1490=""),"✗ 费用支出要选费用项目",IF(AND(L1490&lt;&gt;"",COUNTIF(基础资料!$AI$5:$AI$54,L1490)=0),"✗ 费用项目不在基础资料里",IF(AND(IFERROR(INDEX(基础资料!$AD$5:$AD$34,MATCH(O1490,基础资料!$AC$5:$AC$34,0)),"")="收",N(G1490)&lt;&gt;0),"✗ 这类是收款，金额填到收入列",IF(AND(IFERROR(INDEX(基础资料!$AD$5:$AD$34,MATCH(O1490,基础资料!$AC$5:$AC$34,0)),"")="支",N(F1490)&lt;&gt;0),"✗ 这类是付款，金额填到支出列",IF(N(H1490)&lt;0,"⚠ 账户余额成负数了，核对一下","√"))))))))))))))))))</f>
      </c>
      <c r="O1490" s="78">
        <f>IF(D1490&lt;&gt;"",D1490,IF(AND(F1490="",G1490=""),"",IF(J1490&lt;&gt;"",IF(N(F1490)&gt;0,"客户回款","客户退款"),IF(K1490&lt;&gt;"",IF(N(G1490)&gt;0,"供应商付款","供应商退款"),IF(L1490&lt;&gt;"","费用支出","")))))</f>
      </c>
      <c r="P1490" s="78">
        <f>IF(O1490="","",IFERROR(INDEX(基础资料!$AE$5:$AE$34,MATCH(O1490,基础资料!$AC$5:$AC$34,0)),"未知"))</f>
      </c>
      <c r="Q1490" s="78">
        <f>IF(P1490="应收",COUNTIF(P$7:P1490,"应收"),"")</f>
      </c>
      <c r="R1490" s="78">
        <f>IF(P1490="应付",COUNTIF(P$7:P1490,"应付"),"")</f>
      </c>
      <c r="S1490" s="78">
        <f>N(F1490)-N(G1490)</f>
        <v>0</v>
      </c>
    </row>
    <row r="1491">
      <c r="A1491" s="109">
        <f>IF(AND(F1491="",G1491=""),"",ROW()-6)</f>
      </c>
      <c r="B1491" s="140" t="n"/>
      <c r="C1491" s="141" t="n"/>
      <c r="D1491" s="141" t="n"/>
      <c r="E1491" s="142" t="n"/>
      <c r="F1491" s="143" t="n"/>
      <c r="G1491" s="144" t="n"/>
      <c r="H1491" s="145">
        <f>IF(OR(C1491="",AND(F1491="",G1491="")),"",SUMIF(基础资料!$W$5:$W$24,C1491,基础资料!$X$5:$X$24)+SUMIF(C$7:C1491,C1491,F$7:F1491)-SUMIF(C$7:C1491,C1491,G$7:G1491))</f>
      </c>
      <c r="I1491" s="145">
        <f>IF(AND(F1491="",G1491=""),"",SUM(基础资料!$X$5:$X$24)+SUM(F$7:F1491)-SUM(G$7:G1491))</f>
      </c>
      <c r="J1491" s="141" t="n"/>
      <c r="K1491" s="141" t="n"/>
      <c r="L1491" s="141" t="n"/>
      <c r="M1491" s="142" t="n"/>
      <c r="N1491" s="146">
        <f>IF(AND(AND(F1491="",G1491=""),B1491="",C1491="",D1491="",J1491="",K1491="",L1491=""),"",IF(AND(F1491="",G1491=""),"✗ 没填金额",IF(AND(N(F1491)&lt;&gt;0,N(G1491)&lt;&gt;0),"✗ 收入、支出只能填一边",IF(NOT(ISNUMBER(B1491)),"✗ 日期不是真日期（要像 2026/9/25 这样填）",IF(OR(B1491&lt;年初日,B1491&gt;年末日),"✗ 日期不在本会计年度",IF(C1491="","✗ 没选账户",IF(COUNTIF(基础资料!$W$5:$W$24,C1491)=0,"✗ 账户不在基础资料里",IF(O1491="","✗ 没选收支项目",IF(P1491="未知","✗ 收支项目不在基础资料里",IF(AND(P1491="应收",J1491=""),"✗ 这笔要选客户",IF(AND(P1491="应收",COUNTIF(总览汇总!$B$5:$B$304,J1491)=0),"✗ 客户不在总览汇总名单里",IF(AND(P1491="应付",K1491=""),"✗ 这笔要选供应商",IF(AND(P1491="应付",COUNTIF(基础资料!$Q$5:$Q$54,K1491)=0),"✗ 供应商不在基础资料里",IF(AND(P1491="费用",L1491=""),"✗ 费用支出要选费用项目",IF(AND(L1491&lt;&gt;"",COUNTIF(基础资料!$AI$5:$AI$54,L1491)=0),"✗ 费用项目不在基础资料里",IF(AND(IFERROR(INDEX(基础资料!$AD$5:$AD$34,MATCH(O1491,基础资料!$AC$5:$AC$34,0)),"")="收",N(G1491)&lt;&gt;0),"✗ 这类是收款，金额填到收入列",IF(AND(IFERROR(INDEX(基础资料!$AD$5:$AD$34,MATCH(O1491,基础资料!$AC$5:$AC$34,0)),"")="支",N(F1491)&lt;&gt;0),"✗ 这类是付款，金额填到支出列",IF(N(H1491)&lt;0,"⚠ 账户余额成负数了，核对一下","√"))))))))))))))))))</f>
      </c>
      <c r="O1491" s="78">
        <f>IF(D1491&lt;&gt;"",D1491,IF(AND(F1491="",G1491=""),"",IF(J1491&lt;&gt;"",IF(N(F1491)&gt;0,"客户回款","客户退款"),IF(K1491&lt;&gt;"",IF(N(G1491)&gt;0,"供应商付款","供应商退款"),IF(L1491&lt;&gt;"","费用支出","")))))</f>
      </c>
      <c r="P1491" s="78">
        <f>IF(O1491="","",IFERROR(INDEX(基础资料!$AE$5:$AE$34,MATCH(O1491,基础资料!$AC$5:$AC$34,0)),"未知"))</f>
      </c>
      <c r="Q1491" s="78">
        <f>IF(P1491="应收",COUNTIF(P$7:P1491,"应收"),"")</f>
      </c>
      <c r="R1491" s="78">
        <f>IF(P1491="应付",COUNTIF(P$7:P1491,"应付"),"")</f>
      </c>
      <c r="S1491" s="78">
        <f>N(F1491)-N(G1491)</f>
        <v>0</v>
      </c>
    </row>
    <row r="1492">
      <c r="A1492" s="109">
        <f>IF(AND(F1492="",G1492=""),"",ROW()-6)</f>
      </c>
      <c r="B1492" s="140" t="n"/>
      <c r="C1492" s="141" t="n"/>
      <c r="D1492" s="141" t="n"/>
      <c r="E1492" s="142" t="n"/>
      <c r="F1492" s="143" t="n"/>
      <c r="G1492" s="144" t="n"/>
      <c r="H1492" s="145">
        <f>IF(OR(C1492="",AND(F1492="",G1492="")),"",SUMIF(基础资料!$W$5:$W$24,C1492,基础资料!$X$5:$X$24)+SUMIF(C$7:C1492,C1492,F$7:F1492)-SUMIF(C$7:C1492,C1492,G$7:G1492))</f>
      </c>
      <c r="I1492" s="145">
        <f>IF(AND(F1492="",G1492=""),"",SUM(基础资料!$X$5:$X$24)+SUM(F$7:F1492)-SUM(G$7:G1492))</f>
      </c>
      <c r="J1492" s="141" t="n"/>
      <c r="K1492" s="141" t="n"/>
      <c r="L1492" s="141" t="n"/>
      <c r="M1492" s="142" t="n"/>
      <c r="N1492" s="146">
        <f>IF(AND(AND(F1492="",G1492=""),B1492="",C1492="",D1492="",J1492="",K1492="",L1492=""),"",IF(AND(F1492="",G1492=""),"✗ 没填金额",IF(AND(N(F1492)&lt;&gt;0,N(G1492)&lt;&gt;0),"✗ 收入、支出只能填一边",IF(NOT(ISNUMBER(B1492)),"✗ 日期不是真日期（要像 2026/9/25 这样填）",IF(OR(B1492&lt;年初日,B1492&gt;年末日),"✗ 日期不在本会计年度",IF(C1492="","✗ 没选账户",IF(COUNTIF(基础资料!$W$5:$W$24,C1492)=0,"✗ 账户不在基础资料里",IF(O1492="","✗ 没选收支项目",IF(P1492="未知","✗ 收支项目不在基础资料里",IF(AND(P1492="应收",J1492=""),"✗ 这笔要选客户",IF(AND(P1492="应收",COUNTIF(总览汇总!$B$5:$B$304,J1492)=0),"✗ 客户不在总览汇总名单里",IF(AND(P1492="应付",K1492=""),"✗ 这笔要选供应商",IF(AND(P1492="应付",COUNTIF(基础资料!$Q$5:$Q$54,K1492)=0),"✗ 供应商不在基础资料里",IF(AND(P1492="费用",L1492=""),"✗ 费用支出要选费用项目",IF(AND(L1492&lt;&gt;"",COUNTIF(基础资料!$AI$5:$AI$54,L1492)=0),"✗ 费用项目不在基础资料里",IF(AND(IFERROR(INDEX(基础资料!$AD$5:$AD$34,MATCH(O1492,基础资料!$AC$5:$AC$34,0)),"")="收",N(G1492)&lt;&gt;0),"✗ 这类是收款，金额填到收入列",IF(AND(IFERROR(INDEX(基础资料!$AD$5:$AD$34,MATCH(O1492,基础资料!$AC$5:$AC$34,0)),"")="支",N(F1492)&lt;&gt;0),"✗ 这类是付款，金额填到支出列",IF(N(H1492)&lt;0,"⚠ 账户余额成负数了，核对一下","√"))))))))))))))))))</f>
      </c>
      <c r="O1492" s="78">
        <f>IF(D1492&lt;&gt;"",D1492,IF(AND(F1492="",G1492=""),"",IF(J1492&lt;&gt;"",IF(N(F1492)&gt;0,"客户回款","客户退款"),IF(K1492&lt;&gt;"",IF(N(G1492)&gt;0,"供应商付款","供应商退款"),IF(L1492&lt;&gt;"","费用支出","")))))</f>
      </c>
      <c r="P1492" s="78">
        <f>IF(O1492="","",IFERROR(INDEX(基础资料!$AE$5:$AE$34,MATCH(O1492,基础资料!$AC$5:$AC$34,0)),"未知"))</f>
      </c>
      <c r="Q1492" s="78">
        <f>IF(P1492="应收",COUNTIF(P$7:P1492,"应收"),"")</f>
      </c>
      <c r="R1492" s="78">
        <f>IF(P1492="应付",COUNTIF(P$7:P1492,"应付"),"")</f>
      </c>
      <c r="S1492" s="78">
        <f>N(F1492)-N(G1492)</f>
        <v>0</v>
      </c>
    </row>
    <row r="1493">
      <c r="A1493" s="109">
        <f>IF(AND(F1493="",G1493=""),"",ROW()-6)</f>
      </c>
      <c r="B1493" s="140" t="n"/>
      <c r="C1493" s="141" t="n"/>
      <c r="D1493" s="141" t="n"/>
      <c r="E1493" s="142" t="n"/>
      <c r="F1493" s="143" t="n"/>
      <c r="G1493" s="144" t="n"/>
      <c r="H1493" s="145">
        <f>IF(OR(C1493="",AND(F1493="",G1493="")),"",SUMIF(基础资料!$W$5:$W$24,C1493,基础资料!$X$5:$X$24)+SUMIF(C$7:C1493,C1493,F$7:F1493)-SUMIF(C$7:C1493,C1493,G$7:G1493))</f>
      </c>
      <c r="I1493" s="145">
        <f>IF(AND(F1493="",G1493=""),"",SUM(基础资料!$X$5:$X$24)+SUM(F$7:F1493)-SUM(G$7:G1493))</f>
      </c>
      <c r="J1493" s="141" t="n"/>
      <c r="K1493" s="141" t="n"/>
      <c r="L1493" s="141" t="n"/>
      <c r="M1493" s="142" t="n"/>
      <c r="N1493" s="146">
        <f>IF(AND(AND(F1493="",G1493=""),B1493="",C1493="",D1493="",J1493="",K1493="",L1493=""),"",IF(AND(F1493="",G1493=""),"✗ 没填金额",IF(AND(N(F1493)&lt;&gt;0,N(G1493)&lt;&gt;0),"✗ 收入、支出只能填一边",IF(NOT(ISNUMBER(B1493)),"✗ 日期不是真日期（要像 2026/9/25 这样填）",IF(OR(B1493&lt;年初日,B1493&gt;年末日),"✗ 日期不在本会计年度",IF(C1493="","✗ 没选账户",IF(COUNTIF(基础资料!$W$5:$W$24,C1493)=0,"✗ 账户不在基础资料里",IF(O1493="","✗ 没选收支项目",IF(P1493="未知","✗ 收支项目不在基础资料里",IF(AND(P1493="应收",J1493=""),"✗ 这笔要选客户",IF(AND(P1493="应收",COUNTIF(总览汇总!$B$5:$B$304,J1493)=0),"✗ 客户不在总览汇总名单里",IF(AND(P1493="应付",K1493=""),"✗ 这笔要选供应商",IF(AND(P1493="应付",COUNTIF(基础资料!$Q$5:$Q$54,K1493)=0),"✗ 供应商不在基础资料里",IF(AND(P1493="费用",L1493=""),"✗ 费用支出要选费用项目",IF(AND(L1493&lt;&gt;"",COUNTIF(基础资料!$AI$5:$AI$54,L1493)=0),"✗ 费用项目不在基础资料里",IF(AND(IFERROR(INDEX(基础资料!$AD$5:$AD$34,MATCH(O1493,基础资料!$AC$5:$AC$34,0)),"")="收",N(G1493)&lt;&gt;0),"✗ 这类是收款，金额填到收入列",IF(AND(IFERROR(INDEX(基础资料!$AD$5:$AD$34,MATCH(O1493,基础资料!$AC$5:$AC$34,0)),"")="支",N(F1493)&lt;&gt;0),"✗ 这类是付款，金额填到支出列",IF(N(H1493)&lt;0,"⚠ 账户余额成负数了，核对一下","√"))))))))))))))))))</f>
      </c>
      <c r="O1493" s="78">
        <f>IF(D1493&lt;&gt;"",D1493,IF(AND(F1493="",G1493=""),"",IF(J1493&lt;&gt;"",IF(N(F1493)&gt;0,"客户回款","客户退款"),IF(K1493&lt;&gt;"",IF(N(G1493)&gt;0,"供应商付款","供应商退款"),IF(L1493&lt;&gt;"","费用支出","")))))</f>
      </c>
      <c r="P1493" s="78">
        <f>IF(O1493="","",IFERROR(INDEX(基础资料!$AE$5:$AE$34,MATCH(O1493,基础资料!$AC$5:$AC$34,0)),"未知"))</f>
      </c>
      <c r="Q1493" s="78">
        <f>IF(P1493="应收",COUNTIF(P$7:P1493,"应收"),"")</f>
      </c>
      <c r="R1493" s="78">
        <f>IF(P1493="应付",COUNTIF(P$7:P1493,"应付"),"")</f>
      </c>
      <c r="S1493" s="78">
        <f>N(F1493)-N(G1493)</f>
        <v>0</v>
      </c>
    </row>
    <row r="1494">
      <c r="A1494" s="109">
        <f>IF(AND(F1494="",G1494=""),"",ROW()-6)</f>
      </c>
      <c r="B1494" s="140" t="n"/>
      <c r="C1494" s="141" t="n"/>
      <c r="D1494" s="141" t="n"/>
      <c r="E1494" s="142" t="n"/>
      <c r="F1494" s="143" t="n"/>
      <c r="G1494" s="144" t="n"/>
      <c r="H1494" s="145">
        <f>IF(OR(C1494="",AND(F1494="",G1494="")),"",SUMIF(基础资料!$W$5:$W$24,C1494,基础资料!$X$5:$X$24)+SUMIF(C$7:C1494,C1494,F$7:F1494)-SUMIF(C$7:C1494,C1494,G$7:G1494))</f>
      </c>
      <c r="I1494" s="145">
        <f>IF(AND(F1494="",G1494=""),"",SUM(基础资料!$X$5:$X$24)+SUM(F$7:F1494)-SUM(G$7:G1494))</f>
      </c>
      <c r="J1494" s="141" t="n"/>
      <c r="K1494" s="141" t="n"/>
      <c r="L1494" s="141" t="n"/>
      <c r="M1494" s="142" t="n"/>
      <c r="N1494" s="146">
        <f>IF(AND(AND(F1494="",G1494=""),B1494="",C1494="",D1494="",J1494="",K1494="",L1494=""),"",IF(AND(F1494="",G1494=""),"✗ 没填金额",IF(AND(N(F1494)&lt;&gt;0,N(G1494)&lt;&gt;0),"✗ 收入、支出只能填一边",IF(NOT(ISNUMBER(B1494)),"✗ 日期不是真日期（要像 2026/9/25 这样填）",IF(OR(B1494&lt;年初日,B1494&gt;年末日),"✗ 日期不在本会计年度",IF(C1494="","✗ 没选账户",IF(COUNTIF(基础资料!$W$5:$W$24,C1494)=0,"✗ 账户不在基础资料里",IF(O1494="","✗ 没选收支项目",IF(P1494="未知","✗ 收支项目不在基础资料里",IF(AND(P1494="应收",J1494=""),"✗ 这笔要选客户",IF(AND(P1494="应收",COUNTIF(总览汇总!$B$5:$B$304,J1494)=0),"✗ 客户不在总览汇总名单里",IF(AND(P1494="应付",K1494=""),"✗ 这笔要选供应商",IF(AND(P1494="应付",COUNTIF(基础资料!$Q$5:$Q$54,K1494)=0),"✗ 供应商不在基础资料里",IF(AND(P1494="费用",L1494=""),"✗ 费用支出要选费用项目",IF(AND(L1494&lt;&gt;"",COUNTIF(基础资料!$AI$5:$AI$54,L1494)=0),"✗ 费用项目不在基础资料里",IF(AND(IFERROR(INDEX(基础资料!$AD$5:$AD$34,MATCH(O1494,基础资料!$AC$5:$AC$34,0)),"")="收",N(G1494)&lt;&gt;0),"✗ 这类是收款，金额填到收入列",IF(AND(IFERROR(INDEX(基础资料!$AD$5:$AD$34,MATCH(O1494,基础资料!$AC$5:$AC$34,0)),"")="支",N(F1494)&lt;&gt;0),"✗ 这类是付款，金额填到支出列",IF(N(H1494)&lt;0,"⚠ 账户余额成负数了，核对一下","√"))))))))))))))))))</f>
      </c>
      <c r="O1494" s="78">
        <f>IF(D1494&lt;&gt;"",D1494,IF(AND(F1494="",G1494=""),"",IF(J1494&lt;&gt;"",IF(N(F1494)&gt;0,"客户回款","客户退款"),IF(K1494&lt;&gt;"",IF(N(G1494)&gt;0,"供应商付款","供应商退款"),IF(L1494&lt;&gt;"","费用支出","")))))</f>
      </c>
      <c r="P1494" s="78">
        <f>IF(O1494="","",IFERROR(INDEX(基础资料!$AE$5:$AE$34,MATCH(O1494,基础资料!$AC$5:$AC$34,0)),"未知"))</f>
      </c>
      <c r="Q1494" s="78">
        <f>IF(P1494="应收",COUNTIF(P$7:P1494,"应收"),"")</f>
      </c>
      <c r="R1494" s="78">
        <f>IF(P1494="应付",COUNTIF(P$7:P1494,"应付"),"")</f>
      </c>
      <c r="S1494" s="78">
        <f>N(F1494)-N(G1494)</f>
        <v>0</v>
      </c>
    </row>
    <row r="1495">
      <c r="A1495" s="109">
        <f>IF(AND(F1495="",G1495=""),"",ROW()-6)</f>
      </c>
      <c r="B1495" s="140" t="n"/>
      <c r="C1495" s="141" t="n"/>
      <c r="D1495" s="141" t="n"/>
      <c r="E1495" s="142" t="n"/>
      <c r="F1495" s="143" t="n"/>
      <c r="G1495" s="144" t="n"/>
      <c r="H1495" s="145">
        <f>IF(OR(C1495="",AND(F1495="",G1495="")),"",SUMIF(基础资料!$W$5:$W$24,C1495,基础资料!$X$5:$X$24)+SUMIF(C$7:C1495,C1495,F$7:F1495)-SUMIF(C$7:C1495,C1495,G$7:G1495))</f>
      </c>
      <c r="I1495" s="145">
        <f>IF(AND(F1495="",G1495=""),"",SUM(基础资料!$X$5:$X$24)+SUM(F$7:F1495)-SUM(G$7:G1495))</f>
      </c>
      <c r="J1495" s="141" t="n"/>
      <c r="K1495" s="141" t="n"/>
      <c r="L1495" s="141" t="n"/>
      <c r="M1495" s="142" t="n"/>
      <c r="N1495" s="146">
        <f>IF(AND(AND(F1495="",G1495=""),B1495="",C1495="",D1495="",J1495="",K1495="",L1495=""),"",IF(AND(F1495="",G1495=""),"✗ 没填金额",IF(AND(N(F1495)&lt;&gt;0,N(G1495)&lt;&gt;0),"✗ 收入、支出只能填一边",IF(NOT(ISNUMBER(B1495)),"✗ 日期不是真日期（要像 2026/9/25 这样填）",IF(OR(B1495&lt;年初日,B1495&gt;年末日),"✗ 日期不在本会计年度",IF(C1495="","✗ 没选账户",IF(COUNTIF(基础资料!$W$5:$W$24,C1495)=0,"✗ 账户不在基础资料里",IF(O1495="","✗ 没选收支项目",IF(P1495="未知","✗ 收支项目不在基础资料里",IF(AND(P1495="应收",J1495=""),"✗ 这笔要选客户",IF(AND(P1495="应收",COUNTIF(总览汇总!$B$5:$B$304,J1495)=0),"✗ 客户不在总览汇总名单里",IF(AND(P1495="应付",K1495=""),"✗ 这笔要选供应商",IF(AND(P1495="应付",COUNTIF(基础资料!$Q$5:$Q$54,K1495)=0),"✗ 供应商不在基础资料里",IF(AND(P1495="费用",L1495=""),"✗ 费用支出要选费用项目",IF(AND(L1495&lt;&gt;"",COUNTIF(基础资料!$AI$5:$AI$54,L1495)=0),"✗ 费用项目不在基础资料里",IF(AND(IFERROR(INDEX(基础资料!$AD$5:$AD$34,MATCH(O1495,基础资料!$AC$5:$AC$34,0)),"")="收",N(G1495)&lt;&gt;0),"✗ 这类是收款，金额填到收入列",IF(AND(IFERROR(INDEX(基础资料!$AD$5:$AD$34,MATCH(O1495,基础资料!$AC$5:$AC$34,0)),"")="支",N(F1495)&lt;&gt;0),"✗ 这类是付款，金额填到支出列",IF(N(H1495)&lt;0,"⚠ 账户余额成负数了，核对一下","√"))))))))))))))))))</f>
      </c>
      <c r="O1495" s="78">
        <f>IF(D1495&lt;&gt;"",D1495,IF(AND(F1495="",G1495=""),"",IF(J1495&lt;&gt;"",IF(N(F1495)&gt;0,"客户回款","客户退款"),IF(K1495&lt;&gt;"",IF(N(G1495)&gt;0,"供应商付款","供应商退款"),IF(L1495&lt;&gt;"","费用支出","")))))</f>
      </c>
      <c r="P1495" s="78">
        <f>IF(O1495="","",IFERROR(INDEX(基础资料!$AE$5:$AE$34,MATCH(O1495,基础资料!$AC$5:$AC$34,0)),"未知"))</f>
      </c>
      <c r="Q1495" s="78">
        <f>IF(P1495="应收",COUNTIF(P$7:P1495,"应收"),"")</f>
      </c>
      <c r="R1495" s="78">
        <f>IF(P1495="应付",COUNTIF(P$7:P1495,"应付"),"")</f>
      </c>
      <c r="S1495" s="78">
        <f>N(F1495)-N(G1495)</f>
        <v>0</v>
      </c>
    </row>
    <row r="1496">
      <c r="A1496" s="109">
        <f>IF(AND(F1496="",G1496=""),"",ROW()-6)</f>
      </c>
      <c r="B1496" s="140" t="n"/>
      <c r="C1496" s="141" t="n"/>
      <c r="D1496" s="141" t="n"/>
      <c r="E1496" s="142" t="n"/>
      <c r="F1496" s="143" t="n"/>
      <c r="G1496" s="144" t="n"/>
      <c r="H1496" s="145">
        <f>IF(OR(C1496="",AND(F1496="",G1496="")),"",SUMIF(基础资料!$W$5:$W$24,C1496,基础资料!$X$5:$X$24)+SUMIF(C$7:C1496,C1496,F$7:F1496)-SUMIF(C$7:C1496,C1496,G$7:G1496))</f>
      </c>
      <c r="I1496" s="145">
        <f>IF(AND(F1496="",G1496=""),"",SUM(基础资料!$X$5:$X$24)+SUM(F$7:F1496)-SUM(G$7:G1496))</f>
      </c>
      <c r="J1496" s="141" t="n"/>
      <c r="K1496" s="141" t="n"/>
      <c r="L1496" s="141" t="n"/>
      <c r="M1496" s="142" t="n"/>
      <c r="N1496" s="146">
        <f>IF(AND(AND(F1496="",G1496=""),B1496="",C1496="",D1496="",J1496="",K1496="",L1496=""),"",IF(AND(F1496="",G1496=""),"✗ 没填金额",IF(AND(N(F1496)&lt;&gt;0,N(G1496)&lt;&gt;0),"✗ 收入、支出只能填一边",IF(NOT(ISNUMBER(B1496)),"✗ 日期不是真日期（要像 2026/9/25 这样填）",IF(OR(B1496&lt;年初日,B1496&gt;年末日),"✗ 日期不在本会计年度",IF(C1496="","✗ 没选账户",IF(COUNTIF(基础资料!$W$5:$W$24,C1496)=0,"✗ 账户不在基础资料里",IF(O1496="","✗ 没选收支项目",IF(P1496="未知","✗ 收支项目不在基础资料里",IF(AND(P1496="应收",J1496=""),"✗ 这笔要选客户",IF(AND(P1496="应收",COUNTIF(总览汇总!$B$5:$B$304,J1496)=0),"✗ 客户不在总览汇总名单里",IF(AND(P1496="应付",K1496=""),"✗ 这笔要选供应商",IF(AND(P1496="应付",COUNTIF(基础资料!$Q$5:$Q$54,K1496)=0),"✗ 供应商不在基础资料里",IF(AND(P1496="费用",L1496=""),"✗ 费用支出要选费用项目",IF(AND(L1496&lt;&gt;"",COUNTIF(基础资料!$AI$5:$AI$54,L1496)=0),"✗ 费用项目不在基础资料里",IF(AND(IFERROR(INDEX(基础资料!$AD$5:$AD$34,MATCH(O1496,基础资料!$AC$5:$AC$34,0)),"")="收",N(G1496)&lt;&gt;0),"✗ 这类是收款，金额填到收入列",IF(AND(IFERROR(INDEX(基础资料!$AD$5:$AD$34,MATCH(O1496,基础资料!$AC$5:$AC$34,0)),"")="支",N(F1496)&lt;&gt;0),"✗ 这类是付款，金额填到支出列",IF(N(H1496)&lt;0,"⚠ 账户余额成负数了，核对一下","√"))))))))))))))))))</f>
      </c>
      <c r="O1496" s="78">
        <f>IF(D1496&lt;&gt;"",D1496,IF(AND(F1496="",G1496=""),"",IF(J1496&lt;&gt;"",IF(N(F1496)&gt;0,"客户回款","客户退款"),IF(K1496&lt;&gt;"",IF(N(G1496)&gt;0,"供应商付款","供应商退款"),IF(L1496&lt;&gt;"","费用支出","")))))</f>
      </c>
      <c r="P1496" s="78">
        <f>IF(O1496="","",IFERROR(INDEX(基础资料!$AE$5:$AE$34,MATCH(O1496,基础资料!$AC$5:$AC$34,0)),"未知"))</f>
      </c>
      <c r="Q1496" s="78">
        <f>IF(P1496="应收",COUNTIF(P$7:P1496,"应收"),"")</f>
      </c>
      <c r="R1496" s="78">
        <f>IF(P1496="应付",COUNTIF(P$7:P1496,"应付"),"")</f>
      </c>
      <c r="S1496" s="78">
        <f>N(F1496)-N(G1496)</f>
        <v>0</v>
      </c>
    </row>
    <row r="1497">
      <c r="A1497" s="109">
        <f>IF(AND(F1497="",G1497=""),"",ROW()-6)</f>
      </c>
      <c r="B1497" s="140" t="n"/>
      <c r="C1497" s="141" t="n"/>
      <c r="D1497" s="141" t="n"/>
      <c r="E1497" s="142" t="n"/>
      <c r="F1497" s="143" t="n"/>
      <c r="G1497" s="144" t="n"/>
      <c r="H1497" s="145">
        <f>IF(OR(C1497="",AND(F1497="",G1497="")),"",SUMIF(基础资料!$W$5:$W$24,C1497,基础资料!$X$5:$X$24)+SUMIF(C$7:C1497,C1497,F$7:F1497)-SUMIF(C$7:C1497,C1497,G$7:G1497))</f>
      </c>
      <c r="I1497" s="145">
        <f>IF(AND(F1497="",G1497=""),"",SUM(基础资料!$X$5:$X$24)+SUM(F$7:F1497)-SUM(G$7:G1497))</f>
      </c>
      <c r="J1497" s="141" t="n"/>
      <c r="K1497" s="141" t="n"/>
      <c r="L1497" s="141" t="n"/>
      <c r="M1497" s="142" t="n"/>
      <c r="N1497" s="146">
        <f>IF(AND(AND(F1497="",G1497=""),B1497="",C1497="",D1497="",J1497="",K1497="",L1497=""),"",IF(AND(F1497="",G1497=""),"✗ 没填金额",IF(AND(N(F1497)&lt;&gt;0,N(G1497)&lt;&gt;0),"✗ 收入、支出只能填一边",IF(NOT(ISNUMBER(B1497)),"✗ 日期不是真日期（要像 2026/9/25 这样填）",IF(OR(B1497&lt;年初日,B1497&gt;年末日),"✗ 日期不在本会计年度",IF(C1497="","✗ 没选账户",IF(COUNTIF(基础资料!$W$5:$W$24,C1497)=0,"✗ 账户不在基础资料里",IF(O1497="","✗ 没选收支项目",IF(P1497="未知","✗ 收支项目不在基础资料里",IF(AND(P1497="应收",J1497=""),"✗ 这笔要选客户",IF(AND(P1497="应收",COUNTIF(总览汇总!$B$5:$B$304,J1497)=0),"✗ 客户不在总览汇总名单里",IF(AND(P1497="应付",K1497=""),"✗ 这笔要选供应商",IF(AND(P1497="应付",COUNTIF(基础资料!$Q$5:$Q$54,K1497)=0),"✗ 供应商不在基础资料里",IF(AND(P1497="费用",L1497=""),"✗ 费用支出要选费用项目",IF(AND(L1497&lt;&gt;"",COUNTIF(基础资料!$AI$5:$AI$54,L1497)=0),"✗ 费用项目不在基础资料里",IF(AND(IFERROR(INDEX(基础资料!$AD$5:$AD$34,MATCH(O1497,基础资料!$AC$5:$AC$34,0)),"")="收",N(G1497)&lt;&gt;0),"✗ 这类是收款，金额填到收入列",IF(AND(IFERROR(INDEX(基础资料!$AD$5:$AD$34,MATCH(O1497,基础资料!$AC$5:$AC$34,0)),"")="支",N(F1497)&lt;&gt;0),"✗ 这类是付款，金额填到支出列",IF(N(H1497)&lt;0,"⚠ 账户余额成负数了，核对一下","√"))))))))))))))))))</f>
      </c>
      <c r="O1497" s="78">
        <f>IF(D1497&lt;&gt;"",D1497,IF(AND(F1497="",G1497=""),"",IF(J1497&lt;&gt;"",IF(N(F1497)&gt;0,"客户回款","客户退款"),IF(K1497&lt;&gt;"",IF(N(G1497)&gt;0,"供应商付款","供应商退款"),IF(L1497&lt;&gt;"","费用支出","")))))</f>
      </c>
      <c r="P1497" s="78">
        <f>IF(O1497="","",IFERROR(INDEX(基础资料!$AE$5:$AE$34,MATCH(O1497,基础资料!$AC$5:$AC$34,0)),"未知"))</f>
      </c>
      <c r="Q1497" s="78">
        <f>IF(P1497="应收",COUNTIF(P$7:P1497,"应收"),"")</f>
      </c>
      <c r="R1497" s="78">
        <f>IF(P1497="应付",COUNTIF(P$7:P1497,"应付"),"")</f>
      </c>
      <c r="S1497" s="78">
        <f>N(F1497)-N(G1497)</f>
        <v>0</v>
      </c>
    </row>
    <row r="1498">
      <c r="A1498" s="109">
        <f>IF(AND(F1498="",G1498=""),"",ROW()-6)</f>
      </c>
      <c r="B1498" s="140" t="n"/>
      <c r="C1498" s="141" t="n"/>
      <c r="D1498" s="141" t="n"/>
      <c r="E1498" s="142" t="n"/>
      <c r="F1498" s="143" t="n"/>
      <c r="G1498" s="144" t="n"/>
      <c r="H1498" s="145">
        <f>IF(OR(C1498="",AND(F1498="",G1498="")),"",SUMIF(基础资料!$W$5:$W$24,C1498,基础资料!$X$5:$X$24)+SUMIF(C$7:C1498,C1498,F$7:F1498)-SUMIF(C$7:C1498,C1498,G$7:G1498))</f>
      </c>
      <c r="I1498" s="145">
        <f>IF(AND(F1498="",G1498=""),"",SUM(基础资料!$X$5:$X$24)+SUM(F$7:F1498)-SUM(G$7:G1498))</f>
      </c>
      <c r="J1498" s="141" t="n"/>
      <c r="K1498" s="141" t="n"/>
      <c r="L1498" s="141" t="n"/>
      <c r="M1498" s="142" t="n"/>
      <c r="N1498" s="146">
        <f>IF(AND(AND(F1498="",G1498=""),B1498="",C1498="",D1498="",J1498="",K1498="",L1498=""),"",IF(AND(F1498="",G1498=""),"✗ 没填金额",IF(AND(N(F1498)&lt;&gt;0,N(G1498)&lt;&gt;0),"✗ 收入、支出只能填一边",IF(NOT(ISNUMBER(B1498)),"✗ 日期不是真日期（要像 2026/9/25 这样填）",IF(OR(B1498&lt;年初日,B1498&gt;年末日),"✗ 日期不在本会计年度",IF(C1498="","✗ 没选账户",IF(COUNTIF(基础资料!$W$5:$W$24,C1498)=0,"✗ 账户不在基础资料里",IF(O1498="","✗ 没选收支项目",IF(P1498="未知","✗ 收支项目不在基础资料里",IF(AND(P1498="应收",J1498=""),"✗ 这笔要选客户",IF(AND(P1498="应收",COUNTIF(总览汇总!$B$5:$B$304,J1498)=0),"✗ 客户不在总览汇总名单里",IF(AND(P1498="应付",K1498=""),"✗ 这笔要选供应商",IF(AND(P1498="应付",COUNTIF(基础资料!$Q$5:$Q$54,K1498)=0),"✗ 供应商不在基础资料里",IF(AND(P1498="费用",L1498=""),"✗ 费用支出要选费用项目",IF(AND(L1498&lt;&gt;"",COUNTIF(基础资料!$AI$5:$AI$54,L1498)=0),"✗ 费用项目不在基础资料里",IF(AND(IFERROR(INDEX(基础资料!$AD$5:$AD$34,MATCH(O1498,基础资料!$AC$5:$AC$34,0)),"")="收",N(G1498)&lt;&gt;0),"✗ 这类是收款，金额填到收入列",IF(AND(IFERROR(INDEX(基础资料!$AD$5:$AD$34,MATCH(O1498,基础资料!$AC$5:$AC$34,0)),"")="支",N(F1498)&lt;&gt;0),"✗ 这类是付款，金额填到支出列",IF(N(H1498)&lt;0,"⚠ 账户余额成负数了，核对一下","√"))))))))))))))))))</f>
      </c>
      <c r="O1498" s="78">
        <f>IF(D1498&lt;&gt;"",D1498,IF(AND(F1498="",G1498=""),"",IF(J1498&lt;&gt;"",IF(N(F1498)&gt;0,"客户回款","客户退款"),IF(K1498&lt;&gt;"",IF(N(G1498)&gt;0,"供应商付款","供应商退款"),IF(L1498&lt;&gt;"","费用支出","")))))</f>
      </c>
      <c r="P1498" s="78">
        <f>IF(O1498="","",IFERROR(INDEX(基础资料!$AE$5:$AE$34,MATCH(O1498,基础资料!$AC$5:$AC$34,0)),"未知"))</f>
      </c>
      <c r="Q1498" s="78">
        <f>IF(P1498="应收",COUNTIF(P$7:P1498,"应收"),"")</f>
      </c>
      <c r="R1498" s="78">
        <f>IF(P1498="应付",COUNTIF(P$7:P1498,"应付"),"")</f>
      </c>
      <c r="S1498" s="78">
        <f>N(F1498)-N(G1498)</f>
        <v>0</v>
      </c>
    </row>
    <row r="1499">
      <c r="A1499" s="109">
        <f>IF(AND(F1499="",G1499=""),"",ROW()-6)</f>
      </c>
      <c r="B1499" s="140" t="n"/>
      <c r="C1499" s="141" t="n"/>
      <c r="D1499" s="141" t="n"/>
      <c r="E1499" s="142" t="n"/>
      <c r="F1499" s="143" t="n"/>
      <c r="G1499" s="144" t="n"/>
      <c r="H1499" s="145">
        <f>IF(OR(C1499="",AND(F1499="",G1499="")),"",SUMIF(基础资料!$W$5:$W$24,C1499,基础资料!$X$5:$X$24)+SUMIF(C$7:C1499,C1499,F$7:F1499)-SUMIF(C$7:C1499,C1499,G$7:G1499))</f>
      </c>
      <c r="I1499" s="145">
        <f>IF(AND(F1499="",G1499=""),"",SUM(基础资料!$X$5:$X$24)+SUM(F$7:F1499)-SUM(G$7:G1499))</f>
      </c>
      <c r="J1499" s="141" t="n"/>
      <c r="K1499" s="141" t="n"/>
      <c r="L1499" s="141" t="n"/>
      <c r="M1499" s="142" t="n"/>
      <c r="N1499" s="146">
        <f>IF(AND(AND(F1499="",G1499=""),B1499="",C1499="",D1499="",J1499="",K1499="",L1499=""),"",IF(AND(F1499="",G1499=""),"✗ 没填金额",IF(AND(N(F1499)&lt;&gt;0,N(G1499)&lt;&gt;0),"✗ 收入、支出只能填一边",IF(NOT(ISNUMBER(B1499)),"✗ 日期不是真日期（要像 2026/9/25 这样填）",IF(OR(B1499&lt;年初日,B1499&gt;年末日),"✗ 日期不在本会计年度",IF(C1499="","✗ 没选账户",IF(COUNTIF(基础资料!$W$5:$W$24,C1499)=0,"✗ 账户不在基础资料里",IF(O1499="","✗ 没选收支项目",IF(P1499="未知","✗ 收支项目不在基础资料里",IF(AND(P1499="应收",J1499=""),"✗ 这笔要选客户",IF(AND(P1499="应收",COUNTIF(总览汇总!$B$5:$B$304,J1499)=0),"✗ 客户不在总览汇总名单里",IF(AND(P1499="应付",K1499=""),"✗ 这笔要选供应商",IF(AND(P1499="应付",COUNTIF(基础资料!$Q$5:$Q$54,K1499)=0),"✗ 供应商不在基础资料里",IF(AND(P1499="费用",L1499=""),"✗ 费用支出要选费用项目",IF(AND(L1499&lt;&gt;"",COUNTIF(基础资料!$AI$5:$AI$54,L1499)=0),"✗ 费用项目不在基础资料里",IF(AND(IFERROR(INDEX(基础资料!$AD$5:$AD$34,MATCH(O1499,基础资料!$AC$5:$AC$34,0)),"")="收",N(G1499)&lt;&gt;0),"✗ 这类是收款，金额填到收入列",IF(AND(IFERROR(INDEX(基础资料!$AD$5:$AD$34,MATCH(O1499,基础资料!$AC$5:$AC$34,0)),"")="支",N(F1499)&lt;&gt;0),"✗ 这类是付款，金额填到支出列",IF(N(H1499)&lt;0,"⚠ 账户余额成负数了，核对一下","√"))))))))))))))))))</f>
      </c>
      <c r="O1499" s="78">
        <f>IF(D1499&lt;&gt;"",D1499,IF(AND(F1499="",G1499=""),"",IF(J1499&lt;&gt;"",IF(N(F1499)&gt;0,"客户回款","客户退款"),IF(K1499&lt;&gt;"",IF(N(G1499)&gt;0,"供应商付款","供应商退款"),IF(L1499&lt;&gt;"","费用支出","")))))</f>
      </c>
      <c r="P1499" s="78">
        <f>IF(O1499="","",IFERROR(INDEX(基础资料!$AE$5:$AE$34,MATCH(O1499,基础资料!$AC$5:$AC$34,0)),"未知"))</f>
      </c>
      <c r="Q1499" s="78">
        <f>IF(P1499="应收",COUNTIF(P$7:P1499,"应收"),"")</f>
      </c>
      <c r="R1499" s="78">
        <f>IF(P1499="应付",COUNTIF(P$7:P1499,"应付"),"")</f>
      </c>
      <c r="S1499" s="78">
        <f>N(F1499)-N(G1499)</f>
        <v>0</v>
      </c>
    </row>
    <row r="1500">
      <c r="A1500" s="109">
        <f>IF(AND(F1500="",G1500=""),"",ROW()-6)</f>
      </c>
      <c r="B1500" s="140" t="n"/>
      <c r="C1500" s="141" t="n"/>
      <c r="D1500" s="141" t="n"/>
      <c r="E1500" s="142" t="n"/>
      <c r="F1500" s="143" t="n"/>
      <c r="G1500" s="144" t="n"/>
      <c r="H1500" s="145">
        <f>IF(OR(C1500="",AND(F1500="",G1500="")),"",SUMIF(基础资料!$W$5:$W$24,C1500,基础资料!$X$5:$X$24)+SUMIF(C$7:C1500,C1500,F$7:F1500)-SUMIF(C$7:C1500,C1500,G$7:G1500))</f>
      </c>
      <c r="I1500" s="145">
        <f>IF(AND(F1500="",G1500=""),"",SUM(基础资料!$X$5:$X$24)+SUM(F$7:F1500)-SUM(G$7:G1500))</f>
      </c>
      <c r="J1500" s="141" t="n"/>
      <c r="K1500" s="141" t="n"/>
      <c r="L1500" s="141" t="n"/>
      <c r="M1500" s="142" t="n"/>
      <c r="N1500" s="146">
        <f>IF(AND(AND(F1500="",G1500=""),B1500="",C1500="",D1500="",J1500="",K1500="",L1500=""),"",IF(AND(F1500="",G1500=""),"✗ 没填金额",IF(AND(N(F1500)&lt;&gt;0,N(G1500)&lt;&gt;0),"✗ 收入、支出只能填一边",IF(NOT(ISNUMBER(B1500)),"✗ 日期不是真日期（要像 2026/9/25 这样填）",IF(OR(B1500&lt;年初日,B1500&gt;年末日),"✗ 日期不在本会计年度",IF(C1500="","✗ 没选账户",IF(COUNTIF(基础资料!$W$5:$W$24,C1500)=0,"✗ 账户不在基础资料里",IF(O1500="","✗ 没选收支项目",IF(P1500="未知","✗ 收支项目不在基础资料里",IF(AND(P1500="应收",J1500=""),"✗ 这笔要选客户",IF(AND(P1500="应收",COUNTIF(总览汇总!$B$5:$B$304,J1500)=0),"✗ 客户不在总览汇总名单里",IF(AND(P1500="应付",K1500=""),"✗ 这笔要选供应商",IF(AND(P1500="应付",COUNTIF(基础资料!$Q$5:$Q$54,K1500)=0),"✗ 供应商不在基础资料里",IF(AND(P1500="费用",L1500=""),"✗ 费用支出要选费用项目",IF(AND(L1500&lt;&gt;"",COUNTIF(基础资料!$AI$5:$AI$54,L1500)=0),"✗ 费用项目不在基础资料里",IF(AND(IFERROR(INDEX(基础资料!$AD$5:$AD$34,MATCH(O1500,基础资料!$AC$5:$AC$34,0)),"")="收",N(G1500)&lt;&gt;0),"✗ 这类是收款，金额填到收入列",IF(AND(IFERROR(INDEX(基础资料!$AD$5:$AD$34,MATCH(O1500,基础资料!$AC$5:$AC$34,0)),"")="支",N(F1500)&lt;&gt;0),"✗ 这类是付款，金额填到支出列",IF(N(H1500)&lt;0,"⚠ 账户余额成负数了，核对一下","√"))))))))))))))))))</f>
      </c>
      <c r="O1500" s="78">
        <f>IF(D1500&lt;&gt;"",D1500,IF(AND(F1500="",G1500=""),"",IF(J1500&lt;&gt;"",IF(N(F1500)&gt;0,"客户回款","客户退款"),IF(K1500&lt;&gt;"",IF(N(G1500)&gt;0,"供应商付款","供应商退款"),IF(L1500&lt;&gt;"","费用支出","")))))</f>
      </c>
      <c r="P1500" s="78">
        <f>IF(O1500="","",IFERROR(INDEX(基础资料!$AE$5:$AE$34,MATCH(O1500,基础资料!$AC$5:$AC$34,0)),"未知"))</f>
      </c>
      <c r="Q1500" s="78">
        <f>IF(P1500="应收",COUNTIF(P$7:P1500,"应收"),"")</f>
      </c>
      <c r="R1500" s="78">
        <f>IF(P1500="应付",COUNTIF(P$7:P1500,"应付"),"")</f>
      </c>
      <c r="S1500" s="78">
        <f>N(F1500)-N(G1500)</f>
        <v>0</v>
      </c>
    </row>
    <row r="1501">
      <c r="A1501" s="109">
        <f>IF(AND(F1501="",G1501=""),"",ROW()-6)</f>
      </c>
      <c r="B1501" s="140" t="n"/>
      <c r="C1501" s="141" t="n"/>
      <c r="D1501" s="141" t="n"/>
      <c r="E1501" s="142" t="n"/>
      <c r="F1501" s="143" t="n"/>
      <c r="G1501" s="144" t="n"/>
      <c r="H1501" s="145">
        <f>IF(OR(C1501="",AND(F1501="",G1501="")),"",SUMIF(基础资料!$W$5:$W$24,C1501,基础资料!$X$5:$X$24)+SUMIF(C$7:C1501,C1501,F$7:F1501)-SUMIF(C$7:C1501,C1501,G$7:G1501))</f>
      </c>
      <c r="I1501" s="145">
        <f>IF(AND(F1501="",G1501=""),"",SUM(基础资料!$X$5:$X$24)+SUM(F$7:F1501)-SUM(G$7:G1501))</f>
      </c>
      <c r="J1501" s="141" t="n"/>
      <c r="K1501" s="141" t="n"/>
      <c r="L1501" s="141" t="n"/>
      <c r="M1501" s="142" t="n"/>
      <c r="N1501" s="146">
        <f>IF(AND(AND(F1501="",G1501=""),B1501="",C1501="",D1501="",J1501="",K1501="",L1501=""),"",IF(AND(F1501="",G1501=""),"✗ 没填金额",IF(AND(N(F1501)&lt;&gt;0,N(G1501)&lt;&gt;0),"✗ 收入、支出只能填一边",IF(NOT(ISNUMBER(B1501)),"✗ 日期不是真日期（要像 2026/9/25 这样填）",IF(OR(B1501&lt;年初日,B1501&gt;年末日),"✗ 日期不在本会计年度",IF(C1501="","✗ 没选账户",IF(COUNTIF(基础资料!$W$5:$W$24,C1501)=0,"✗ 账户不在基础资料里",IF(O1501="","✗ 没选收支项目",IF(P1501="未知","✗ 收支项目不在基础资料里",IF(AND(P1501="应收",J1501=""),"✗ 这笔要选客户",IF(AND(P1501="应收",COUNTIF(总览汇总!$B$5:$B$304,J1501)=0),"✗ 客户不在总览汇总名单里",IF(AND(P1501="应付",K1501=""),"✗ 这笔要选供应商",IF(AND(P1501="应付",COUNTIF(基础资料!$Q$5:$Q$54,K1501)=0),"✗ 供应商不在基础资料里",IF(AND(P1501="费用",L1501=""),"✗ 费用支出要选费用项目",IF(AND(L1501&lt;&gt;"",COUNTIF(基础资料!$AI$5:$AI$54,L1501)=0),"✗ 费用项目不在基础资料里",IF(AND(IFERROR(INDEX(基础资料!$AD$5:$AD$34,MATCH(O1501,基础资料!$AC$5:$AC$34,0)),"")="收",N(G1501)&lt;&gt;0),"✗ 这类是收款，金额填到收入列",IF(AND(IFERROR(INDEX(基础资料!$AD$5:$AD$34,MATCH(O1501,基础资料!$AC$5:$AC$34,0)),"")="支",N(F1501)&lt;&gt;0),"✗ 这类是付款，金额填到支出列",IF(N(H1501)&lt;0,"⚠ 账户余额成负数了，核对一下","√"))))))))))))))))))</f>
      </c>
      <c r="O1501" s="78">
        <f>IF(D1501&lt;&gt;"",D1501,IF(AND(F1501="",G1501=""),"",IF(J1501&lt;&gt;"",IF(N(F1501)&gt;0,"客户回款","客户退款"),IF(K1501&lt;&gt;"",IF(N(G1501)&gt;0,"供应商付款","供应商退款"),IF(L1501&lt;&gt;"","费用支出","")))))</f>
      </c>
      <c r="P1501" s="78">
        <f>IF(O1501="","",IFERROR(INDEX(基础资料!$AE$5:$AE$34,MATCH(O1501,基础资料!$AC$5:$AC$34,0)),"未知"))</f>
      </c>
      <c r="Q1501" s="78">
        <f>IF(P1501="应收",COUNTIF(P$7:P1501,"应收"),"")</f>
      </c>
      <c r="R1501" s="78">
        <f>IF(P1501="应付",COUNTIF(P$7:P1501,"应付"),"")</f>
      </c>
      <c r="S1501" s="78">
        <f>N(F1501)-N(G1501)</f>
        <v>0</v>
      </c>
    </row>
    <row r="1502">
      <c r="A1502" s="109">
        <f>IF(AND(F1502="",G1502=""),"",ROW()-6)</f>
      </c>
      <c r="B1502" s="140" t="n"/>
      <c r="C1502" s="141" t="n"/>
      <c r="D1502" s="141" t="n"/>
      <c r="E1502" s="142" t="n"/>
      <c r="F1502" s="143" t="n"/>
      <c r="G1502" s="144" t="n"/>
      <c r="H1502" s="145">
        <f>IF(OR(C1502="",AND(F1502="",G1502="")),"",SUMIF(基础资料!$W$5:$W$24,C1502,基础资料!$X$5:$X$24)+SUMIF(C$7:C1502,C1502,F$7:F1502)-SUMIF(C$7:C1502,C1502,G$7:G1502))</f>
      </c>
      <c r="I1502" s="145">
        <f>IF(AND(F1502="",G1502=""),"",SUM(基础资料!$X$5:$X$24)+SUM(F$7:F1502)-SUM(G$7:G1502))</f>
      </c>
      <c r="J1502" s="141" t="n"/>
      <c r="K1502" s="141" t="n"/>
      <c r="L1502" s="141" t="n"/>
      <c r="M1502" s="142" t="n"/>
      <c r="N1502" s="146">
        <f>IF(AND(AND(F1502="",G1502=""),B1502="",C1502="",D1502="",J1502="",K1502="",L1502=""),"",IF(AND(F1502="",G1502=""),"✗ 没填金额",IF(AND(N(F1502)&lt;&gt;0,N(G1502)&lt;&gt;0),"✗ 收入、支出只能填一边",IF(NOT(ISNUMBER(B1502)),"✗ 日期不是真日期（要像 2026/9/25 这样填）",IF(OR(B1502&lt;年初日,B1502&gt;年末日),"✗ 日期不在本会计年度",IF(C1502="","✗ 没选账户",IF(COUNTIF(基础资料!$W$5:$W$24,C1502)=0,"✗ 账户不在基础资料里",IF(O1502="","✗ 没选收支项目",IF(P1502="未知","✗ 收支项目不在基础资料里",IF(AND(P1502="应收",J1502=""),"✗ 这笔要选客户",IF(AND(P1502="应收",COUNTIF(总览汇总!$B$5:$B$304,J1502)=0),"✗ 客户不在总览汇总名单里",IF(AND(P1502="应付",K1502=""),"✗ 这笔要选供应商",IF(AND(P1502="应付",COUNTIF(基础资料!$Q$5:$Q$54,K1502)=0),"✗ 供应商不在基础资料里",IF(AND(P1502="费用",L1502=""),"✗ 费用支出要选费用项目",IF(AND(L1502&lt;&gt;"",COUNTIF(基础资料!$AI$5:$AI$54,L1502)=0),"✗ 费用项目不在基础资料里",IF(AND(IFERROR(INDEX(基础资料!$AD$5:$AD$34,MATCH(O1502,基础资料!$AC$5:$AC$34,0)),"")="收",N(G1502)&lt;&gt;0),"✗ 这类是收款，金额填到收入列",IF(AND(IFERROR(INDEX(基础资料!$AD$5:$AD$34,MATCH(O1502,基础资料!$AC$5:$AC$34,0)),"")="支",N(F1502)&lt;&gt;0),"✗ 这类是付款，金额填到支出列",IF(N(H1502)&lt;0,"⚠ 账户余额成负数了，核对一下","√"))))))))))))))))))</f>
      </c>
      <c r="O1502" s="78">
        <f>IF(D1502&lt;&gt;"",D1502,IF(AND(F1502="",G1502=""),"",IF(J1502&lt;&gt;"",IF(N(F1502)&gt;0,"客户回款","客户退款"),IF(K1502&lt;&gt;"",IF(N(G1502)&gt;0,"供应商付款","供应商退款"),IF(L1502&lt;&gt;"","费用支出","")))))</f>
      </c>
      <c r="P1502" s="78">
        <f>IF(O1502="","",IFERROR(INDEX(基础资料!$AE$5:$AE$34,MATCH(O1502,基础资料!$AC$5:$AC$34,0)),"未知"))</f>
      </c>
      <c r="Q1502" s="78">
        <f>IF(P1502="应收",COUNTIF(P$7:P1502,"应收"),"")</f>
      </c>
      <c r="R1502" s="78">
        <f>IF(P1502="应付",COUNTIF(P$7:P1502,"应付"),"")</f>
      </c>
      <c r="S1502" s="78">
        <f>N(F1502)-N(G1502)</f>
        <v>0</v>
      </c>
    </row>
    <row r="1503">
      <c r="A1503" s="109">
        <f>IF(AND(F1503="",G1503=""),"",ROW()-6)</f>
      </c>
      <c r="B1503" s="140" t="n"/>
      <c r="C1503" s="141" t="n"/>
      <c r="D1503" s="141" t="n"/>
      <c r="E1503" s="142" t="n"/>
      <c r="F1503" s="143" t="n"/>
      <c r="G1503" s="144" t="n"/>
      <c r="H1503" s="145">
        <f>IF(OR(C1503="",AND(F1503="",G1503="")),"",SUMIF(基础资料!$W$5:$W$24,C1503,基础资料!$X$5:$X$24)+SUMIF(C$7:C1503,C1503,F$7:F1503)-SUMIF(C$7:C1503,C1503,G$7:G1503))</f>
      </c>
      <c r="I1503" s="145">
        <f>IF(AND(F1503="",G1503=""),"",SUM(基础资料!$X$5:$X$24)+SUM(F$7:F1503)-SUM(G$7:G1503))</f>
      </c>
      <c r="J1503" s="141" t="n"/>
      <c r="K1503" s="141" t="n"/>
      <c r="L1503" s="141" t="n"/>
      <c r="M1503" s="142" t="n"/>
      <c r="N1503" s="146">
        <f>IF(AND(AND(F1503="",G1503=""),B1503="",C1503="",D1503="",J1503="",K1503="",L1503=""),"",IF(AND(F1503="",G1503=""),"✗ 没填金额",IF(AND(N(F1503)&lt;&gt;0,N(G1503)&lt;&gt;0),"✗ 收入、支出只能填一边",IF(NOT(ISNUMBER(B1503)),"✗ 日期不是真日期（要像 2026/9/25 这样填）",IF(OR(B1503&lt;年初日,B1503&gt;年末日),"✗ 日期不在本会计年度",IF(C1503="","✗ 没选账户",IF(COUNTIF(基础资料!$W$5:$W$24,C1503)=0,"✗ 账户不在基础资料里",IF(O1503="","✗ 没选收支项目",IF(P1503="未知","✗ 收支项目不在基础资料里",IF(AND(P1503="应收",J1503=""),"✗ 这笔要选客户",IF(AND(P1503="应收",COUNTIF(总览汇总!$B$5:$B$304,J1503)=0),"✗ 客户不在总览汇总名单里",IF(AND(P1503="应付",K1503=""),"✗ 这笔要选供应商",IF(AND(P1503="应付",COUNTIF(基础资料!$Q$5:$Q$54,K1503)=0),"✗ 供应商不在基础资料里",IF(AND(P1503="费用",L1503=""),"✗ 费用支出要选费用项目",IF(AND(L1503&lt;&gt;"",COUNTIF(基础资料!$AI$5:$AI$54,L1503)=0),"✗ 费用项目不在基础资料里",IF(AND(IFERROR(INDEX(基础资料!$AD$5:$AD$34,MATCH(O1503,基础资料!$AC$5:$AC$34,0)),"")="收",N(G1503)&lt;&gt;0),"✗ 这类是收款，金额填到收入列",IF(AND(IFERROR(INDEX(基础资料!$AD$5:$AD$34,MATCH(O1503,基础资料!$AC$5:$AC$34,0)),"")="支",N(F1503)&lt;&gt;0),"✗ 这类是付款，金额填到支出列",IF(N(H1503)&lt;0,"⚠ 账户余额成负数了，核对一下","√"))))))))))))))))))</f>
      </c>
      <c r="O1503" s="78">
        <f>IF(D1503&lt;&gt;"",D1503,IF(AND(F1503="",G1503=""),"",IF(J1503&lt;&gt;"",IF(N(F1503)&gt;0,"客户回款","客户退款"),IF(K1503&lt;&gt;"",IF(N(G1503)&gt;0,"供应商付款","供应商退款"),IF(L1503&lt;&gt;"","费用支出","")))))</f>
      </c>
      <c r="P1503" s="78">
        <f>IF(O1503="","",IFERROR(INDEX(基础资料!$AE$5:$AE$34,MATCH(O1503,基础资料!$AC$5:$AC$34,0)),"未知"))</f>
      </c>
      <c r="Q1503" s="78">
        <f>IF(P1503="应收",COUNTIF(P$7:P1503,"应收"),"")</f>
      </c>
      <c r="R1503" s="78">
        <f>IF(P1503="应付",COUNTIF(P$7:P1503,"应付"),"")</f>
      </c>
      <c r="S1503" s="78">
        <f>N(F1503)-N(G1503)</f>
        <v>0</v>
      </c>
    </row>
    <row r="1504">
      <c r="A1504" s="109">
        <f>IF(AND(F1504="",G1504=""),"",ROW()-6)</f>
      </c>
      <c r="B1504" s="140" t="n"/>
      <c r="C1504" s="141" t="n"/>
      <c r="D1504" s="141" t="n"/>
      <c r="E1504" s="142" t="n"/>
      <c r="F1504" s="143" t="n"/>
      <c r="G1504" s="144" t="n"/>
      <c r="H1504" s="145">
        <f>IF(OR(C1504="",AND(F1504="",G1504="")),"",SUMIF(基础资料!$W$5:$W$24,C1504,基础资料!$X$5:$X$24)+SUMIF(C$7:C1504,C1504,F$7:F1504)-SUMIF(C$7:C1504,C1504,G$7:G1504))</f>
      </c>
      <c r="I1504" s="145">
        <f>IF(AND(F1504="",G1504=""),"",SUM(基础资料!$X$5:$X$24)+SUM(F$7:F1504)-SUM(G$7:G1504))</f>
      </c>
      <c r="J1504" s="141" t="n"/>
      <c r="K1504" s="141" t="n"/>
      <c r="L1504" s="141" t="n"/>
      <c r="M1504" s="142" t="n"/>
      <c r="N1504" s="146">
        <f>IF(AND(AND(F1504="",G1504=""),B1504="",C1504="",D1504="",J1504="",K1504="",L1504=""),"",IF(AND(F1504="",G1504=""),"✗ 没填金额",IF(AND(N(F1504)&lt;&gt;0,N(G1504)&lt;&gt;0),"✗ 收入、支出只能填一边",IF(NOT(ISNUMBER(B1504)),"✗ 日期不是真日期（要像 2026/9/25 这样填）",IF(OR(B1504&lt;年初日,B1504&gt;年末日),"✗ 日期不在本会计年度",IF(C1504="","✗ 没选账户",IF(COUNTIF(基础资料!$W$5:$W$24,C1504)=0,"✗ 账户不在基础资料里",IF(O1504="","✗ 没选收支项目",IF(P1504="未知","✗ 收支项目不在基础资料里",IF(AND(P1504="应收",J1504=""),"✗ 这笔要选客户",IF(AND(P1504="应收",COUNTIF(总览汇总!$B$5:$B$304,J1504)=0),"✗ 客户不在总览汇总名单里",IF(AND(P1504="应付",K1504=""),"✗ 这笔要选供应商",IF(AND(P1504="应付",COUNTIF(基础资料!$Q$5:$Q$54,K1504)=0),"✗ 供应商不在基础资料里",IF(AND(P1504="费用",L1504=""),"✗ 费用支出要选费用项目",IF(AND(L1504&lt;&gt;"",COUNTIF(基础资料!$AI$5:$AI$54,L1504)=0),"✗ 费用项目不在基础资料里",IF(AND(IFERROR(INDEX(基础资料!$AD$5:$AD$34,MATCH(O1504,基础资料!$AC$5:$AC$34,0)),"")="收",N(G1504)&lt;&gt;0),"✗ 这类是收款，金额填到收入列",IF(AND(IFERROR(INDEX(基础资料!$AD$5:$AD$34,MATCH(O1504,基础资料!$AC$5:$AC$34,0)),"")="支",N(F1504)&lt;&gt;0),"✗ 这类是付款，金额填到支出列",IF(N(H1504)&lt;0,"⚠ 账户余额成负数了，核对一下","√"))))))))))))))))))</f>
      </c>
      <c r="O1504" s="78">
        <f>IF(D1504&lt;&gt;"",D1504,IF(AND(F1504="",G1504=""),"",IF(J1504&lt;&gt;"",IF(N(F1504)&gt;0,"客户回款","客户退款"),IF(K1504&lt;&gt;"",IF(N(G1504)&gt;0,"供应商付款","供应商退款"),IF(L1504&lt;&gt;"","费用支出","")))))</f>
      </c>
      <c r="P1504" s="78">
        <f>IF(O1504="","",IFERROR(INDEX(基础资料!$AE$5:$AE$34,MATCH(O1504,基础资料!$AC$5:$AC$34,0)),"未知"))</f>
      </c>
      <c r="Q1504" s="78">
        <f>IF(P1504="应收",COUNTIF(P$7:P1504,"应收"),"")</f>
      </c>
      <c r="R1504" s="78">
        <f>IF(P1504="应付",COUNTIF(P$7:P1504,"应付"),"")</f>
      </c>
      <c r="S1504" s="78">
        <f>N(F1504)-N(G1504)</f>
        <v>0</v>
      </c>
    </row>
    <row r="1505">
      <c r="A1505" s="109">
        <f>IF(AND(F1505="",G1505=""),"",ROW()-6)</f>
      </c>
      <c r="B1505" s="140" t="n"/>
      <c r="C1505" s="141" t="n"/>
      <c r="D1505" s="141" t="n"/>
      <c r="E1505" s="142" t="n"/>
      <c r="F1505" s="143" t="n"/>
      <c r="G1505" s="144" t="n"/>
      <c r="H1505" s="145">
        <f>IF(OR(C1505="",AND(F1505="",G1505="")),"",SUMIF(基础资料!$W$5:$W$24,C1505,基础资料!$X$5:$X$24)+SUMIF(C$7:C1505,C1505,F$7:F1505)-SUMIF(C$7:C1505,C1505,G$7:G1505))</f>
      </c>
      <c r="I1505" s="145">
        <f>IF(AND(F1505="",G1505=""),"",SUM(基础资料!$X$5:$X$24)+SUM(F$7:F1505)-SUM(G$7:G1505))</f>
      </c>
      <c r="J1505" s="141" t="n"/>
      <c r="K1505" s="141" t="n"/>
      <c r="L1505" s="141" t="n"/>
      <c r="M1505" s="142" t="n"/>
      <c r="N1505" s="146">
        <f>IF(AND(AND(F1505="",G1505=""),B1505="",C1505="",D1505="",J1505="",K1505="",L1505=""),"",IF(AND(F1505="",G1505=""),"✗ 没填金额",IF(AND(N(F1505)&lt;&gt;0,N(G1505)&lt;&gt;0),"✗ 收入、支出只能填一边",IF(NOT(ISNUMBER(B1505)),"✗ 日期不是真日期（要像 2026/9/25 这样填）",IF(OR(B1505&lt;年初日,B1505&gt;年末日),"✗ 日期不在本会计年度",IF(C1505="","✗ 没选账户",IF(COUNTIF(基础资料!$W$5:$W$24,C1505)=0,"✗ 账户不在基础资料里",IF(O1505="","✗ 没选收支项目",IF(P1505="未知","✗ 收支项目不在基础资料里",IF(AND(P1505="应收",J1505=""),"✗ 这笔要选客户",IF(AND(P1505="应收",COUNTIF(总览汇总!$B$5:$B$304,J1505)=0),"✗ 客户不在总览汇总名单里",IF(AND(P1505="应付",K1505=""),"✗ 这笔要选供应商",IF(AND(P1505="应付",COUNTIF(基础资料!$Q$5:$Q$54,K1505)=0),"✗ 供应商不在基础资料里",IF(AND(P1505="费用",L1505=""),"✗ 费用支出要选费用项目",IF(AND(L1505&lt;&gt;"",COUNTIF(基础资料!$AI$5:$AI$54,L1505)=0),"✗ 费用项目不在基础资料里",IF(AND(IFERROR(INDEX(基础资料!$AD$5:$AD$34,MATCH(O1505,基础资料!$AC$5:$AC$34,0)),"")="收",N(G1505)&lt;&gt;0),"✗ 这类是收款，金额填到收入列",IF(AND(IFERROR(INDEX(基础资料!$AD$5:$AD$34,MATCH(O1505,基础资料!$AC$5:$AC$34,0)),"")="支",N(F1505)&lt;&gt;0),"✗ 这类是付款，金额填到支出列",IF(N(H1505)&lt;0,"⚠ 账户余额成负数了，核对一下","√"))))))))))))))))))</f>
      </c>
      <c r="O1505" s="78">
        <f>IF(D1505&lt;&gt;"",D1505,IF(AND(F1505="",G1505=""),"",IF(J1505&lt;&gt;"",IF(N(F1505)&gt;0,"客户回款","客户退款"),IF(K1505&lt;&gt;"",IF(N(G1505)&gt;0,"供应商付款","供应商退款"),IF(L1505&lt;&gt;"","费用支出","")))))</f>
      </c>
      <c r="P1505" s="78">
        <f>IF(O1505="","",IFERROR(INDEX(基础资料!$AE$5:$AE$34,MATCH(O1505,基础资料!$AC$5:$AC$34,0)),"未知"))</f>
      </c>
      <c r="Q1505" s="78">
        <f>IF(P1505="应收",COUNTIF(P$7:P1505,"应收"),"")</f>
      </c>
      <c r="R1505" s="78">
        <f>IF(P1505="应付",COUNTIF(P$7:P1505,"应付"),"")</f>
      </c>
      <c r="S1505" s="78">
        <f>N(F1505)-N(G1505)</f>
        <v>0</v>
      </c>
    </row>
    <row r="1506">
      <c r="A1506" s="109">
        <f>IF(AND(F1506="",G1506=""),"",ROW()-6)</f>
      </c>
      <c r="B1506" s="140" t="n"/>
      <c r="C1506" s="141" t="n"/>
      <c r="D1506" s="141" t="n"/>
      <c r="E1506" s="142" t="n"/>
      <c r="F1506" s="143" t="n"/>
      <c r="G1506" s="144" t="n"/>
      <c r="H1506" s="145">
        <f>IF(OR(C1506="",AND(F1506="",G1506="")),"",SUMIF(基础资料!$W$5:$W$24,C1506,基础资料!$X$5:$X$24)+SUMIF(C$7:C1506,C1506,F$7:F1506)-SUMIF(C$7:C1506,C1506,G$7:G1506))</f>
      </c>
      <c r="I1506" s="145">
        <f>IF(AND(F1506="",G1506=""),"",SUM(基础资料!$X$5:$X$24)+SUM(F$7:F1506)-SUM(G$7:G1506))</f>
      </c>
      <c r="J1506" s="141" t="n"/>
      <c r="K1506" s="141" t="n"/>
      <c r="L1506" s="141" t="n"/>
      <c r="M1506" s="142" t="n"/>
      <c r="N1506" s="146">
        <f>IF(AND(AND(F1506="",G1506=""),B1506="",C1506="",D1506="",J1506="",K1506="",L1506=""),"",IF(AND(F1506="",G1506=""),"✗ 没填金额",IF(AND(N(F1506)&lt;&gt;0,N(G1506)&lt;&gt;0),"✗ 收入、支出只能填一边",IF(NOT(ISNUMBER(B1506)),"✗ 日期不是真日期（要像 2026/9/25 这样填）",IF(OR(B1506&lt;年初日,B1506&gt;年末日),"✗ 日期不在本会计年度",IF(C1506="","✗ 没选账户",IF(COUNTIF(基础资料!$W$5:$W$24,C1506)=0,"✗ 账户不在基础资料里",IF(O1506="","✗ 没选收支项目",IF(P1506="未知","✗ 收支项目不在基础资料里",IF(AND(P1506="应收",J1506=""),"✗ 这笔要选客户",IF(AND(P1506="应收",COUNTIF(总览汇总!$B$5:$B$304,J1506)=0),"✗ 客户不在总览汇总名单里",IF(AND(P1506="应付",K1506=""),"✗ 这笔要选供应商",IF(AND(P1506="应付",COUNTIF(基础资料!$Q$5:$Q$54,K1506)=0),"✗ 供应商不在基础资料里",IF(AND(P1506="费用",L1506=""),"✗ 费用支出要选费用项目",IF(AND(L1506&lt;&gt;"",COUNTIF(基础资料!$AI$5:$AI$54,L1506)=0),"✗ 费用项目不在基础资料里",IF(AND(IFERROR(INDEX(基础资料!$AD$5:$AD$34,MATCH(O1506,基础资料!$AC$5:$AC$34,0)),"")="收",N(G1506)&lt;&gt;0),"✗ 这类是收款，金额填到收入列",IF(AND(IFERROR(INDEX(基础资料!$AD$5:$AD$34,MATCH(O1506,基础资料!$AC$5:$AC$34,0)),"")="支",N(F1506)&lt;&gt;0),"✗ 这类是付款，金额填到支出列",IF(N(H1506)&lt;0,"⚠ 账户余额成负数了，核对一下","√"))))))))))))))))))</f>
      </c>
      <c r="O1506" s="78">
        <f>IF(D1506&lt;&gt;"",D1506,IF(AND(F1506="",G1506=""),"",IF(J1506&lt;&gt;"",IF(N(F1506)&gt;0,"客户回款","客户退款"),IF(K1506&lt;&gt;"",IF(N(G1506)&gt;0,"供应商付款","供应商退款"),IF(L1506&lt;&gt;"","费用支出","")))))</f>
      </c>
      <c r="P1506" s="78">
        <f>IF(O1506="","",IFERROR(INDEX(基础资料!$AE$5:$AE$34,MATCH(O1506,基础资料!$AC$5:$AC$34,0)),"未知"))</f>
      </c>
      <c r="Q1506" s="78">
        <f>IF(P1506="应收",COUNTIF(P$7:P1506,"应收"),"")</f>
      </c>
      <c r="R1506" s="78">
        <f>IF(P1506="应付",COUNTIF(P$7:P1506,"应付"),"")</f>
      </c>
      <c r="S1506" s="78">
        <f>N(F1506)-N(G1506)</f>
        <v>0</v>
      </c>
    </row>
    <row r="1507">
      <c r="A1507" s="109">
        <f>IF(AND(F1507="",G1507=""),"",ROW()-6)</f>
      </c>
      <c r="B1507" s="140" t="n"/>
      <c r="C1507" s="141" t="n"/>
      <c r="D1507" s="141" t="n"/>
      <c r="E1507" s="142" t="n"/>
      <c r="F1507" s="143" t="n"/>
      <c r="G1507" s="144" t="n"/>
      <c r="H1507" s="145">
        <f>IF(OR(C1507="",AND(F1507="",G1507="")),"",SUMIF(基础资料!$W$5:$W$24,C1507,基础资料!$X$5:$X$24)+SUMIF(C$7:C1507,C1507,F$7:F1507)-SUMIF(C$7:C1507,C1507,G$7:G1507))</f>
      </c>
      <c r="I1507" s="145">
        <f>IF(AND(F1507="",G1507=""),"",SUM(基础资料!$X$5:$X$24)+SUM(F$7:F1507)-SUM(G$7:G1507))</f>
      </c>
      <c r="J1507" s="141" t="n"/>
      <c r="K1507" s="141" t="n"/>
      <c r="L1507" s="141" t="n"/>
      <c r="M1507" s="142" t="n"/>
      <c r="N1507" s="146">
        <f>IF(AND(AND(F1507="",G1507=""),B1507="",C1507="",D1507="",J1507="",K1507="",L1507=""),"",IF(AND(F1507="",G1507=""),"✗ 没填金额",IF(AND(N(F1507)&lt;&gt;0,N(G1507)&lt;&gt;0),"✗ 收入、支出只能填一边",IF(NOT(ISNUMBER(B1507)),"✗ 日期不是真日期（要像 2026/9/25 这样填）",IF(OR(B1507&lt;年初日,B1507&gt;年末日),"✗ 日期不在本会计年度",IF(C1507="","✗ 没选账户",IF(COUNTIF(基础资料!$W$5:$W$24,C1507)=0,"✗ 账户不在基础资料里",IF(O1507="","✗ 没选收支项目",IF(P1507="未知","✗ 收支项目不在基础资料里",IF(AND(P1507="应收",J1507=""),"✗ 这笔要选客户",IF(AND(P1507="应收",COUNTIF(总览汇总!$B$5:$B$304,J1507)=0),"✗ 客户不在总览汇总名单里",IF(AND(P1507="应付",K1507=""),"✗ 这笔要选供应商",IF(AND(P1507="应付",COUNTIF(基础资料!$Q$5:$Q$54,K1507)=0),"✗ 供应商不在基础资料里",IF(AND(P1507="费用",L1507=""),"✗ 费用支出要选费用项目",IF(AND(L1507&lt;&gt;"",COUNTIF(基础资料!$AI$5:$AI$54,L1507)=0),"✗ 费用项目不在基础资料里",IF(AND(IFERROR(INDEX(基础资料!$AD$5:$AD$34,MATCH(O1507,基础资料!$AC$5:$AC$34,0)),"")="收",N(G1507)&lt;&gt;0),"✗ 这类是收款，金额填到收入列",IF(AND(IFERROR(INDEX(基础资料!$AD$5:$AD$34,MATCH(O1507,基础资料!$AC$5:$AC$34,0)),"")="支",N(F1507)&lt;&gt;0),"✗ 这类是付款，金额填到支出列",IF(N(H1507)&lt;0,"⚠ 账户余额成负数了，核对一下","√"))))))))))))))))))</f>
      </c>
      <c r="O1507" s="78">
        <f>IF(D1507&lt;&gt;"",D1507,IF(AND(F1507="",G1507=""),"",IF(J1507&lt;&gt;"",IF(N(F1507)&gt;0,"客户回款","客户退款"),IF(K1507&lt;&gt;"",IF(N(G1507)&gt;0,"供应商付款","供应商退款"),IF(L1507&lt;&gt;"","费用支出","")))))</f>
      </c>
      <c r="P1507" s="78">
        <f>IF(O1507="","",IFERROR(INDEX(基础资料!$AE$5:$AE$34,MATCH(O1507,基础资料!$AC$5:$AC$34,0)),"未知"))</f>
      </c>
      <c r="Q1507" s="78">
        <f>IF(P1507="应收",COUNTIF(P$7:P1507,"应收"),"")</f>
      </c>
      <c r="R1507" s="78">
        <f>IF(P1507="应付",COUNTIF(P$7:P1507,"应付"),"")</f>
      </c>
      <c r="S1507" s="78">
        <f>N(F1507)-N(G1507)</f>
        <v>0</v>
      </c>
    </row>
    <row r="1508">
      <c r="A1508" s="109">
        <f>IF(AND(F1508="",G1508=""),"",ROW()-6)</f>
      </c>
      <c r="B1508" s="140" t="n"/>
      <c r="C1508" s="141" t="n"/>
      <c r="D1508" s="141" t="n"/>
      <c r="E1508" s="142" t="n"/>
      <c r="F1508" s="143" t="n"/>
      <c r="G1508" s="144" t="n"/>
      <c r="H1508" s="145">
        <f>IF(OR(C1508="",AND(F1508="",G1508="")),"",SUMIF(基础资料!$W$5:$W$24,C1508,基础资料!$X$5:$X$24)+SUMIF(C$7:C1508,C1508,F$7:F1508)-SUMIF(C$7:C1508,C1508,G$7:G1508))</f>
      </c>
      <c r="I1508" s="145">
        <f>IF(AND(F1508="",G1508=""),"",SUM(基础资料!$X$5:$X$24)+SUM(F$7:F1508)-SUM(G$7:G1508))</f>
      </c>
      <c r="J1508" s="141" t="n"/>
      <c r="K1508" s="141" t="n"/>
      <c r="L1508" s="141" t="n"/>
      <c r="M1508" s="142" t="n"/>
      <c r="N1508" s="146">
        <f>IF(AND(AND(F1508="",G1508=""),B1508="",C1508="",D1508="",J1508="",K1508="",L1508=""),"",IF(AND(F1508="",G1508=""),"✗ 没填金额",IF(AND(N(F1508)&lt;&gt;0,N(G1508)&lt;&gt;0),"✗ 收入、支出只能填一边",IF(NOT(ISNUMBER(B1508)),"✗ 日期不是真日期（要像 2026/9/25 这样填）",IF(OR(B1508&lt;年初日,B1508&gt;年末日),"✗ 日期不在本会计年度",IF(C1508="","✗ 没选账户",IF(COUNTIF(基础资料!$W$5:$W$24,C1508)=0,"✗ 账户不在基础资料里",IF(O1508="","✗ 没选收支项目",IF(P1508="未知","✗ 收支项目不在基础资料里",IF(AND(P1508="应收",J1508=""),"✗ 这笔要选客户",IF(AND(P1508="应收",COUNTIF(总览汇总!$B$5:$B$304,J1508)=0),"✗ 客户不在总览汇总名单里",IF(AND(P1508="应付",K1508=""),"✗ 这笔要选供应商",IF(AND(P1508="应付",COUNTIF(基础资料!$Q$5:$Q$54,K1508)=0),"✗ 供应商不在基础资料里",IF(AND(P1508="费用",L1508=""),"✗ 费用支出要选费用项目",IF(AND(L1508&lt;&gt;"",COUNTIF(基础资料!$AI$5:$AI$54,L1508)=0),"✗ 费用项目不在基础资料里",IF(AND(IFERROR(INDEX(基础资料!$AD$5:$AD$34,MATCH(O1508,基础资料!$AC$5:$AC$34,0)),"")="收",N(G1508)&lt;&gt;0),"✗ 这类是收款，金额填到收入列",IF(AND(IFERROR(INDEX(基础资料!$AD$5:$AD$34,MATCH(O1508,基础资料!$AC$5:$AC$34,0)),"")="支",N(F1508)&lt;&gt;0),"✗ 这类是付款，金额填到支出列",IF(N(H1508)&lt;0,"⚠ 账户余额成负数了，核对一下","√"))))))))))))))))))</f>
      </c>
      <c r="O1508" s="78">
        <f>IF(D1508&lt;&gt;"",D1508,IF(AND(F1508="",G1508=""),"",IF(J1508&lt;&gt;"",IF(N(F1508)&gt;0,"客户回款","客户退款"),IF(K1508&lt;&gt;"",IF(N(G1508)&gt;0,"供应商付款","供应商退款"),IF(L1508&lt;&gt;"","费用支出","")))))</f>
      </c>
      <c r="P1508" s="78">
        <f>IF(O1508="","",IFERROR(INDEX(基础资料!$AE$5:$AE$34,MATCH(O1508,基础资料!$AC$5:$AC$34,0)),"未知"))</f>
      </c>
      <c r="Q1508" s="78">
        <f>IF(P1508="应收",COUNTIF(P$7:P1508,"应收"),"")</f>
      </c>
      <c r="R1508" s="78">
        <f>IF(P1508="应付",COUNTIF(P$7:P1508,"应付"),"")</f>
      </c>
      <c r="S1508" s="78">
        <f>N(F1508)-N(G1508)</f>
        <v>0</v>
      </c>
    </row>
    <row r="1509">
      <c r="A1509" s="109">
        <f>IF(AND(F1509="",G1509=""),"",ROW()-6)</f>
      </c>
      <c r="B1509" s="140" t="n"/>
      <c r="C1509" s="141" t="n"/>
      <c r="D1509" s="141" t="n"/>
      <c r="E1509" s="142" t="n"/>
      <c r="F1509" s="143" t="n"/>
      <c r="G1509" s="144" t="n"/>
      <c r="H1509" s="145">
        <f>IF(OR(C1509="",AND(F1509="",G1509="")),"",SUMIF(基础资料!$W$5:$W$24,C1509,基础资料!$X$5:$X$24)+SUMIF(C$7:C1509,C1509,F$7:F1509)-SUMIF(C$7:C1509,C1509,G$7:G1509))</f>
      </c>
      <c r="I1509" s="145">
        <f>IF(AND(F1509="",G1509=""),"",SUM(基础资料!$X$5:$X$24)+SUM(F$7:F1509)-SUM(G$7:G1509))</f>
      </c>
      <c r="J1509" s="141" t="n"/>
      <c r="K1509" s="141" t="n"/>
      <c r="L1509" s="141" t="n"/>
      <c r="M1509" s="142" t="n"/>
      <c r="N1509" s="146">
        <f>IF(AND(AND(F1509="",G1509=""),B1509="",C1509="",D1509="",J1509="",K1509="",L1509=""),"",IF(AND(F1509="",G1509=""),"✗ 没填金额",IF(AND(N(F1509)&lt;&gt;0,N(G1509)&lt;&gt;0),"✗ 收入、支出只能填一边",IF(NOT(ISNUMBER(B1509)),"✗ 日期不是真日期（要像 2026/9/25 这样填）",IF(OR(B1509&lt;年初日,B1509&gt;年末日),"✗ 日期不在本会计年度",IF(C1509="","✗ 没选账户",IF(COUNTIF(基础资料!$W$5:$W$24,C1509)=0,"✗ 账户不在基础资料里",IF(O1509="","✗ 没选收支项目",IF(P1509="未知","✗ 收支项目不在基础资料里",IF(AND(P1509="应收",J1509=""),"✗ 这笔要选客户",IF(AND(P1509="应收",COUNTIF(总览汇总!$B$5:$B$304,J1509)=0),"✗ 客户不在总览汇总名单里",IF(AND(P1509="应付",K1509=""),"✗ 这笔要选供应商",IF(AND(P1509="应付",COUNTIF(基础资料!$Q$5:$Q$54,K1509)=0),"✗ 供应商不在基础资料里",IF(AND(P1509="费用",L1509=""),"✗ 费用支出要选费用项目",IF(AND(L1509&lt;&gt;"",COUNTIF(基础资料!$AI$5:$AI$54,L1509)=0),"✗ 费用项目不在基础资料里",IF(AND(IFERROR(INDEX(基础资料!$AD$5:$AD$34,MATCH(O1509,基础资料!$AC$5:$AC$34,0)),"")="收",N(G1509)&lt;&gt;0),"✗ 这类是收款，金额填到收入列",IF(AND(IFERROR(INDEX(基础资料!$AD$5:$AD$34,MATCH(O1509,基础资料!$AC$5:$AC$34,0)),"")="支",N(F1509)&lt;&gt;0),"✗ 这类是付款，金额填到支出列",IF(N(H1509)&lt;0,"⚠ 账户余额成负数了，核对一下","√"))))))))))))))))))</f>
      </c>
      <c r="O1509" s="78">
        <f>IF(D1509&lt;&gt;"",D1509,IF(AND(F1509="",G1509=""),"",IF(J1509&lt;&gt;"",IF(N(F1509)&gt;0,"客户回款","客户退款"),IF(K1509&lt;&gt;"",IF(N(G1509)&gt;0,"供应商付款","供应商退款"),IF(L1509&lt;&gt;"","费用支出","")))))</f>
      </c>
      <c r="P1509" s="78">
        <f>IF(O1509="","",IFERROR(INDEX(基础资料!$AE$5:$AE$34,MATCH(O1509,基础资料!$AC$5:$AC$34,0)),"未知"))</f>
      </c>
      <c r="Q1509" s="78">
        <f>IF(P1509="应收",COUNTIF(P$7:P1509,"应收"),"")</f>
      </c>
      <c r="R1509" s="78">
        <f>IF(P1509="应付",COUNTIF(P$7:P1509,"应付"),"")</f>
      </c>
      <c r="S1509" s="78">
        <f>N(F1509)-N(G1509)</f>
        <v>0</v>
      </c>
    </row>
    <row r="1510">
      <c r="A1510" s="109">
        <f>IF(AND(F1510="",G1510=""),"",ROW()-6)</f>
      </c>
      <c r="B1510" s="140" t="n"/>
      <c r="C1510" s="141" t="n"/>
      <c r="D1510" s="141" t="n"/>
      <c r="E1510" s="142" t="n"/>
      <c r="F1510" s="143" t="n"/>
      <c r="G1510" s="144" t="n"/>
      <c r="H1510" s="145">
        <f>IF(OR(C1510="",AND(F1510="",G1510="")),"",SUMIF(基础资料!$W$5:$W$24,C1510,基础资料!$X$5:$X$24)+SUMIF(C$7:C1510,C1510,F$7:F1510)-SUMIF(C$7:C1510,C1510,G$7:G1510))</f>
      </c>
      <c r="I1510" s="145">
        <f>IF(AND(F1510="",G1510=""),"",SUM(基础资料!$X$5:$X$24)+SUM(F$7:F1510)-SUM(G$7:G1510))</f>
      </c>
      <c r="J1510" s="141" t="n"/>
      <c r="K1510" s="141" t="n"/>
      <c r="L1510" s="141" t="n"/>
      <c r="M1510" s="142" t="n"/>
      <c r="N1510" s="146">
        <f>IF(AND(AND(F1510="",G1510=""),B1510="",C1510="",D1510="",J1510="",K1510="",L1510=""),"",IF(AND(F1510="",G1510=""),"✗ 没填金额",IF(AND(N(F1510)&lt;&gt;0,N(G1510)&lt;&gt;0),"✗ 收入、支出只能填一边",IF(NOT(ISNUMBER(B1510)),"✗ 日期不是真日期（要像 2026/9/25 这样填）",IF(OR(B1510&lt;年初日,B1510&gt;年末日),"✗ 日期不在本会计年度",IF(C1510="","✗ 没选账户",IF(COUNTIF(基础资料!$W$5:$W$24,C1510)=0,"✗ 账户不在基础资料里",IF(O1510="","✗ 没选收支项目",IF(P1510="未知","✗ 收支项目不在基础资料里",IF(AND(P1510="应收",J1510=""),"✗ 这笔要选客户",IF(AND(P1510="应收",COUNTIF(总览汇总!$B$5:$B$304,J1510)=0),"✗ 客户不在总览汇总名单里",IF(AND(P1510="应付",K1510=""),"✗ 这笔要选供应商",IF(AND(P1510="应付",COUNTIF(基础资料!$Q$5:$Q$54,K1510)=0),"✗ 供应商不在基础资料里",IF(AND(P1510="费用",L1510=""),"✗ 费用支出要选费用项目",IF(AND(L1510&lt;&gt;"",COUNTIF(基础资料!$AI$5:$AI$54,L1510)=0),"✗ 费用项目不在基础资料里",IF(AND(IFERROR(INDEX(基础资料!$AD$5:$AD$34,MATCH(O1510,基础资料!$AC$5:$AC$34,0)),"")="收",N(G1510)&lt;&gt;0),"✗ 这类是收款，金额填到收入列",IF(AND(IFERROR(INDEX(基础资料!$AD$5:$AD$34,MATCH(O1510,基础资料!$AC$5:$AC$34,0)),"")="支",N(F1510)&lt;&gt;0),"✗ 这类是付款，金额填到支出列",IF(N(H1510)&lt;0,"⚠ 账户余额成负数了，核对一下","√"))))))))))))))))))</f>
      </c>
      <c r="O1510" s="78">
        <f>IF(D1510&lt;&gt;"",D1510,IF(AND(F1510="",G1510=""),"",IF(J1510&lt;&gt;"",IF(N(F1510)&gt;0,"客户回款","客户退款"),IF(K1510&lt;&gt;"",IF(N(G1510)&gt;0,"供应商付款","供应商退款"),IF(L1510&lt;&gt;"","费用支出","")))))</f>
      </c>
      <c r="P1510" s="78">
        <f>IF(O1510="","",IFERROR(INDEX(基础资料!$AE$5:$AE$34,MATCH(O1510,基础资料!$AC$5:$AC$34,0)),"未知"))</f>
      </c>
      <c r="Q1510" s="78">
        <f>IF(P1510="应收",COUNTIF(P$7:P1510,"应收"),"")</f>
      </c>
      <c r="R1510" s="78">
        <f>IF(P1510="应付",COUNTIF(P$7:P1510,"应付"),"")</f>
      </c>
      <c r="S1510" s="78">
        <f>N(F1510)-N(G1510)</f>
        <v>0</v>
      </c>
    </row>
    <row r="1511">
      <c r="A1511" s="109">
        <f>IF(AND(F1511="",G1511=""),"",ROW()-6)</f>
      </c>
      <c r="B1511" s="140" t="n"/>
      <c r="C1511" s="141" t="n"/>
      <c r="D1511" s="141" t="n"/>
      <c r="E1511" s="142" t="n"/>
      <c r="F1511" s="143" t="n"/>
      <c r="G1511" s="144" t="n"/>
      <c r="H1511" s="145">
        <f>IF(OR(C1511="",AND(F1511="",G1511="")),"",SUMIF(基础资料!$W$5:$W$24,C1511,基础资料!$X$5:$X$24)+SUMIF(C$7:C1511,C1511,F$7:F1511)-SUMIF(C$7:C1511,C1511,G$7:G1511))</f>
      </c>
      <c r="I1511" s="145">
        <f>IF(AND(F1511="",G1511=""),"",SUM(基础资料!$X$5:$X$24)+SUM(F$7:F1511)-SUM(G$7:G1511))</f>
      </c>
      <c r="J1511" s="141" t="n"/>
      <c r="K1511" s="141" t="n"/>
      <c r="L1511" s="141" t="n"/>
      <c r="M1511" s="142" t="n"/>
      <c r="N1511" s="146">
        <f>IF(AND(AND(F1511="",G1511=""),B1511="",C1511="",D1511="",J1511="",K1511="",L1511=""),"",IF(AND(F1511="",G1511=""),"✗ 没填金额",IF(AND(N(F1511)&lt;&gt;0,N(G1511)&lt;&gt;0),"✗ 收入、支出只能填一边",IF(NOT(ISNUMBER(B1511)),"✗ 日期不是真日期（要像 2026/9/25 这样填）",IF(OR(B1511&lt;年初日,B1511&gt;年末日),"✗ 日期不在本会计年度",IF(C1511="","✗ 没选账户",IF(COUNTIF(基础资料!$W$5:$W$24,C1511)=0,"✗ 账户不在基础资料里",IF(O1511="","✗ 没选收支项目",IF(P1511="未知","✗ 收支项目不在基础资料里",IF(AND(P1511="应收",J1511=""),"✗ 这笔要选客户",IF(AND(P1511="应收",COUNTIF(总览汇总!$B$5:$B$304,J1511)=0),"✗ 客户不在总览汇总名单里",IF(AND(P1511="应付",K1511=""),"✗ 这笔要选供应商",IF(AND(P1511="应付",COUNTIF(基础资料!$Q$5:$Q$54,K1511)=0),"✗ 供应商不在基础资料里",IF(AND(P1511="费用",L1511=""),"✗ 费用支出要选费用项目",IF(AND(L1511&lt;&gt;"",COUNTIF(基础资料!$AI$5:$AI$54,L1511)=0),"✗ 费用项目不在基础资料里",IF(AND(IFERROR(INDEX(基础资料!$AD$5:$AD$34,MATCH(O1511,基础资料!$AC$5:$AC$34,0)),"")="收",N(G1511)&lt;&gt;0),"✗ 这类是收款，金额填到收入列",IF(AND(IFERROR(INDEX(基础资料!$AD$5:$AD$34,MATCH(O1511,基础资料!$AC$5:$AC$34,0)),"")="支",N(F1511)&lt;&gt;0),"✗ 这类是付款，金额填到支出列",IF(N(H1511)&lt;0,"⚠ 账户余额成负数了，核对一下","√"))))))))))))))))))</f>
      </c>
      <c r="O1511" s="78">
        <f>IF(D1511&lt;&gt;"",D1511,IF(AND(F1511="",G1511=""),"",IF(J1511&lt;&gt;"",IF(N(F1511)&gt;0,"客户回款","客户退款"),IF(K1511&lt;&gt;"",IF(N(G1511)&gt;0,"供应商付款","供应商退款"),IF(L1511&lt;&gt;"","费用支出","")))))</f>
      </c>
      <c r="P1511" s="78">
        <f>IF(O1511="","",IFERROR(INDEX(基础资料!$AE$5:$AE$34,MATCH(O1511,基础资料!$AC$5:$AC$34,0)),"未知"))</f>
      </c>
      <c r="Q1511" s="78">
        <f>IF(P1511="应收",COUNTIF(P$7:P1511,"应收"),"")</f>
      </c>
      <c r="R1511" s="78">
        <f>IF(P1511="应付",COUNTIF(P$7:P1511,"应付"),"")</f>
      </c>
      <c r="S1511" s="78">
        <f>N(F1511)-N(G1511)</f>
        <v>0</v>
      </c>
    </row>
    <row r="1512">
      <c r="A1512" s="109">
        <f>IF(AND(F1512="",G1512=""),"",ROW()-6)</f>
      </c>
      <c r="B1512" s="140" t="n"/>
      <c r="C1512" s="141" t="n"/>
      <c r="D1512" s="141" t="n"/>
      <c r="E1512" s="142" t="n"/>
      <c r="F1512" s="143" t="n"/>
      <c r="G1512" s="144" t="n"/>
      <c r="H1512" s="145">
        <f>IF(OR(C1512="",AND(F1512="",G1512="")),"",SUMIF(基础资料!$W$5:$W$24,C1512,基础资料!$X$5:$X$24)+SUMIF(C$7:C1512,C1512,F$7:F1512)-SUMIF(C$7:C1512,C1512,G$7:G1512))</f>
      </c>
      <c r="I1512" s="145">
        <f>IF(AND(F1512="",G1512=""),"",SUM(基础资料!$X$5:$X$24)+SUM(F$7:F1512)-SUM(G$7:G1512))</f>
      </c>
      <c r="J1512" s="141" t="n"/>
      <c r="K1512" s="141" t="n"/>
      <c r="L1512" s="141" t="n"/>
      <c r="M1512" s="142" t="n"/>
      <c r="N1512" s="146">
        <f>IF(AND(AND(F1512="",G1512=""),B1512="",C1512="",D1512="",J1512="",K1512="",L1512=""),"",IF(AND(F1512="",G1512=""),"✗ 没填金额",IF(AND(N(F1512)&lt;&gt;0,N(G1512)&lt;&gt;0),"✗ 收入、支出只能填一边",IF(NOT(ISNUMBER(B1512)),"✗ 日期不是真日期（要像 2026/9/25 这样填）",IF(OR(B1512&lt;年初日,B1512&gt;年末日),"✗ 日期不在本会计年度",IF(C1512="","✗ 没选账户",IF(COUNTIF(基础资料!$W$5:$W$24,C1512)=0,"✗ 账户不在基础资料里",IF(O1512="","✗ 没选收支项目",IF(P1512="未知","✗ 收支项目不在基础资料里",IF(AND(P1512="应收",J1512=""),"✗ 这笔要选客户",IF(AND(P1512="应收",COUNTIF(总览汇总!$B$5:$B$304,J1512)=0),"✗ 客户不在总览汇总名单里",IF(AND(P1512="应付",K1512=""),"✗ 这笔要选供应商",IF(AND(P1512="应付",COUNTIF(基础资料!$Q$5:$Q$54,K1512)=0),"✗ 供应商不在基础资料里",IF(AND(P1512="费用",L1512=""),"✗ 费用支出要选费用项目",IF(AND(L1512&lt;&gt;"",COUNTIF(基础资料!$AI$5:$AI$54,L1512)=0),"✗ 费用项目不在基础资料里",IF(AND(IFERROR(INDEX(基础资料!$AD$5:$AD$34,MATCH(O1512,基础资料!$AC$5:$AC$34,0)),"")="收",N(G1512)&lt;&gt;0),"✗ 这类是收款，金额填到收入列",IF(AND(IFERROR(INDEX(基础资料!$AD$5:$AD$34,MATCH(O1512,基础资料!$AC$5:$AC$34,0)),"")="支",N(F1512)&lt;&gt;0),"✗ 这类是付款，金额填到支出列",IF(N(H1512)&lt;0,"⚠ 账户余额成负数了，核对一下","√"))))))))))))))))))</f>
      </c>
      <c r="O1512" s="78">
        <f>IF(D1512&lt;&gt;"",D1512,IF(AND(F1512="",G1512=""),"",IF(J1512&lt;&gt;"",IF(N(F1512)&gt;0,"客户回款","客户退款"),IF(K1512&lt;&gt;"",IF(N(G1512)&gt;0,"供应商付款","供应商退款"),IF(L1512&lt;&gt;"","费用支出","")))))</f>
      </c>
      <c r="P1512" s="78">
        <f>IF(O1512="","",IFERROR(INDEX(基础资料!$AE$5:$AE$34,MATCH(O1512,基础资料!$AC$5:$AC$34,0)),"未知"))</f>
      </c>
      <c r="Q1512" s="78">
        <f>IF(P1512="应收",COUNTIF(P$7:P1512,"应收"),"")</f>
      </c>
      <c r="R1512" s="78">
        <f>IF(P1512="应付",COUNTIF(P$7:P1512,"应付"),"")</f>
      </c>
      <c r="S1512" s="78">
        <f>N(F1512)-N(G1512)</f>
        <v>0</v>
      </c>
    </row>
    <row r="1513">
      <c r="A1513" s="109">
        <f>IF(AND(F1513="",G1513=""),"",ROW()-6)</f>
      </c>
      <c r="B1513" s="140" t="n"/>
      <c r="C1513" s="141" t="n"/>
      <c r="D1513" s="141" t="n"/>
      <c r="E1513" s="142" t="n"/>
      <c r="F1513" s="143" t="n"/>
      <c r="G1513" s="144" t="n"/>
      <c r="H1513" s="145">
        <f>IF(OR(C1513="",AND(F1513="",G1513="")),"",SUMIF(基础资料!$W$5:$W$24,C1513,基础资料!$X$5:$X$24)+SUMIF(C$7:C1513,C1513,F$7:F1513)-SUMIF(C$7:C1513,C1513,G$7:G1513))</f>
      </c>
      <c r="I1513" s="145">
        <f>IF(AND(F1513="",G1513=""),"",SUM(基础资料!$X$5:$X$24)+SUM(F$7:F1513)-SUM(G$7:G1513))</f>
      </c>
      <c r="J1513" s="141" t="n"/>
      <c r="K1513" s="141" t="n"/>
      <c r="L1513" s="141" t="n"/>
      <c r="M1513" s="142" t="n"/>
      <c r="N1513" s="146">
        <f>IF(AND(AND(F1513="",G1513=""),B1513="",C1513="",D1513="",J1513="",K1513="",L1513=""),"",IF(AND(F1513="",G1513=""),"✗ 没填金额",IF(AND(N(F1513)&lt;&gt;0,N(G1513)&lt;&gt;0),"✗ 收入、支出只能填一边",IF(NOT(ISNUMBER(B1513)),"✗ 日期不是真日期（要像 2026/9/25 这样填）",IF(OR(B1513&lt;年初日,B1513&gt;年末日),"✗ 日期不在本会计年度",IF(C1513="","✗ 没选账户",IF(COUNTIF(基础资料!$W$5:$W$24,C1513)=0,"✗ 账户不在基础资料里",IF(O1513="","✗ 没选收支项目",IF(P1513="未知","✗ 收支项目不在基础资料里",IF(AND(P1513="应收",J1513=""),"✗ 这笔要选客户",IF(AND(P1513="应收",COUNTIF(总览汇总!$B$5:$B$304,J1513)=0),"✗ 客户不在总览汇总名单里",IF(AND(P1513="应付",K1513=""),"✗ 这笔要选供应商",IF(AND(P1513="应付",COUNTIF(基础资料!$Q$5:$Q$54,K1513)=0),"✗ 供应商不在基础资料里",IF(AND(P1513="费用",L1513=""),"✗ 费用支出要选费用项目",IF(AND(L1513&lt;&gt;"",COUNTIF(基础资料!$AI$5:$AI$54,L1513)=0),"✗ 费用项目不在基础资料里",IF(AND(IFERROR(INDEX(基础资料!$AD$5:$AD$34,MATCH(O1513,基础资料!$AC$5:$AC$34,0)),"")="收",N(G1513)&lt;&gt;0),"✗ 这类是收款，金额填到收入列",IF(AND(IFERROR(INDEX(基础资料!$AD$5:$AD$34,MATCH(O1513,基础资料!$AC$5:$AC$34,0)),"")="支",N(F1513)&lt;&gt;0),"✗ 这类是付款，金额填到支出列",IF(N(H1513)&lt;0,"⚠ 账户余额成负数了，核对一下","√"))))))))))))))))))</f>
      </c>
      <c r="O1513" s="78">
        <f>IF(D1513&lt;&gt;"",D1513,IF(AND(F1513="",G1513=""),"",IF(J1513&lt;&gt;"",IF(N(F1513)&gt;0,"客户回款","客户退款"),IF(K1513&lt;&gt;"",IF(N(G1513)&gt;0,"供应商付款","供应商退款"),IF(L1513&lt;&gt;"","费用支出","")))))</f>
      </c>
      <c r="P1513" s="78">
        <f>IF(O1513="","",IFERROR(INDEX(基础资料!$AE$5:$AE$34,MATCH(O1513,基础资料!$AC$5:$AC$34,0)),"未知"))</f>
      </c>
      <c r="Q1513" s="78">
        <f>IF(P1513="应收",COUNTIF(P$7:P1513,"应收"),"")</f>
      </c>
      <c r="R1513" s="78">
        <f>IF(P1513="应付",COUNTIF(P$7:P1513,"应付"),"")</f>
      </c>
      <c r="S1513" s="78">
        <f>N(F1513)-N(G1513)</f>
        <v>0</v>
      </c>
    </row>
    <row r="1514">
      <c r="A1514" s="109">
        <f>IF(AND(F1514="",G1514=""),"",ROW()-6)</f>
      </c>
      <c r="B1514" s="140" t="n"/>
      <c r="C1514" s="141" t="n"/>
      <c r="D1514" s="141" t="n"/>
      <c r="E1514" s="142" t="n"/>
      <c r="F1514" s="143" t="n"/>
      <c r="G1514" s="144" t="n"/>
      <c r="H1514" s="145">
        <f>IF(OR(C1514="",AND(F1514="",G1514="")),"",SUMIF(基础资料!$W$5:$W$24,C1514,基础资料!$X$5:$X$24)+SUMIF(C$7:C1514,C1514,F$7:F1514)-SUMIF(C$7:C1514,C1514,G$7:G1514))</f>
      </c>
      <c r="I1514" s="145">
        <f>IF(AND(F1514="",G1514=""),"",SUM(基础资料!$X$5:$X$24)+SUM(F$7:F1514)-SUM(G$7:G1514))</f>
      </c>
      <c r="J1514" s="141" t="n"/>
      <c r="K1514" s="141" t="n"/>
      <c r="L1514" s="141" t="n"/>
      <c r="M1514" s="142" t="n"/>
      <c r="N1514" s="146">
        <f>IF(AND(AND(F1514="",G1514=""),B1514="",C1514="",D1514="",J1514="",K1514="",L1514=""),"",IF(AND(F1514="",G1514=""),"✗ 没填金额",IF(AND(N(F1514)&lt;&gt;0,N(G1514)&lt;&gt;0),"✗ 收入、支出只能填一边",IF(NOT(ISNUMBER(B1514)),"✗ 日期不是真日期（要像 2026/9/25 这样填）",IF(OR(B1514&lt;年初日,B1514&gt;年末日),"✗ 日期不在本会计年度",IF(C1514="","✗ 没选账户",IF(COUNTIF(基础资料!$W$5:$W$24,C1514)=0,"✗ 账户不在基础资料里",IF(O1514="","✗ 没选收支项目",IF(P1514="未知","✗ 收支项目不在基础资料里",IF(AND(P1514="应收",J1514=""),"✗ 这笔要选客户",IF(AND(P1514="应收",COUNTIF(总览汇总!$B$5:$B$304,J1514)=0),"✗ 客户不在总览汇总名单里",IF(AND(P1514="应付",K1514=""),"✗ 这笔要选供应商",IF(AND(P1514="应付",COUNTIF(基础资料!$Q$5:$Q$54,K1514)=0),"✗ 供应商不在基础资料里",IF(AND(P1514="费用",L1514=""),"✗ 费用支出要选费用项目",IF(AND(L1514&lt;&gt;"",COUNTIF(基础资料!$AI$5:$AI$54,L1514)=0),"✗ 费用项目不在基础资料里",IF(AND(IFERROR(INDEX(基础资料!$AD$5:$AD$34,MATCH(O1514,基础资料!$AC$5:$AC$34,0)),"")="收",N(G1514)&lt;&gt;0),"✗ 这类是收款，金额填到收入列",IF(AND(IFERROR(INDEX(基础资料!$AD$5:$AD$34,MATCH(O1514,基础资料!$AC$5:$AC$34,0)),"")="支",N(F1514)&lt;&gt;0),"✗ 这类是付款，金额填到支出列",IF(N(H1514)&lt;0,"⚠ 账户余额成负数了，核对一下","√"))))))))))))))))))</f>
      </c>
      <c r="O1514" s="78">
        <f>IF(D1514&lt;&gt;"",D1514,IF(AND(F1514="",G1514=""),"",IF(J1514&lt;&gt;"",IF(N(F1514)&gt;0,"客户回款","客户退款"),IF(K1514&lt;&gt;"",IF(N(G1514)&gt;0,"供应商付款","供应商退款"),IF(L1514&lt;&gt;"","费用支出","")))))</f>
      </c>
      <c r="P1514" s="78">
        <f>IF(O1514="","",IFERROR(INDEX(基础资料!$AE$5:$AE$34,MATCH(O1514,基础资料!$AC$5:$AC$34,0)),"未知"))</f>
      </c>
      <c r="Q1514" s="78">
        <f>IF(P1514="应收",COUNTIF(P$7:P1514,"应收"),"")</f>
      </c>
      <c r="R1514" s="78">
        <f>IF(P1514="应付",COUNTIF(P$7:P1514,"应付"),"")</f>
      </c>
      <c r="S1514" s="78">
        <f>N(F1514)-N(G1514)</f>
        <v>0</v>
      </c>
    </row>
    <row r="1515">
      <c r="A1515" s="109">
        <f>IF(AND(F1515="",G1515=""),"",ROW()-6)</f>
      </c>
      <c r="B1515" s="140" t="n"/>
      <c r="C1515" s="141" t="n"/>
      <c r="D1515" s="141" t="n"/>
      <c r="E1515" s="142" t="n"/>
      <c r="F1515" s="143" t="n"/>
      <c r="G1515" s="144" t="n"/>
      <c r="H1515" s="145">
        <f>IF(OR(C1515="",AND(F1515="",G1515="")),"",SUMIF(基础资料!$W$5:$W$24,C1515,基础资料!$X$5:$X$24)+SUMIF(C$7:C1515,C1515,F$7:F1515)-SUMIF(C$7:C1515,C1515,G$7:G1515))</f>
      </c>
      <c r="I1515" s="145">
        <f>IF(AND(F1515="",G1515=""),"",SUM(基础资料!$X$5:$X$24)+SUM(F$7:F1515)-SUM(G$7:G1515))</f>
      </c>
      <c r="J1515" s="141" t="n"/>
      <c r="K1515" s="141" t="n"/>
      <c r="L1515" s="141" t="n"/>
      <c r="M1515" s="142" t="n"/>
      <c r="N1515" s="146">
        <f>IF(AND(AND(F1515="",G1515=""),B1515="",C1515="",D1515="",J1515="",K1515="",L1515=""),"",IF(AND(F1515="",G1515=""),"✗ 没填金额",IF(AND(N(F1515)&lt;&gt;0,N(G1515)&lt;&gt;0),"✗ 收入、支出只能填一边",IF(NOT(ISNUMBER(B1515)),"✗ 日期不是真日期（要像 2026/9/25 这样填）",IF(OR(B1515&lt;年初日,B1515&gt;年末日),"✗ 日期不在本会计年度",IF(C1515="","✗ 没选账户",IF(COUNTIF(基础资料!$W$5:$W$24,C1515)=0,"✗ 账户不在基础资料里",IF(O1515="","✗ 没选收支项目",IF(P1515="未知","✗ 收支项目不在基础资料里",IF(AND(P1515="应收",J1515=""),"✗ 这笔要选客户",IF(AND(P1515="应收",COUNTIF(总览汇总!$B$5:$B$304,J1515)=0),"✗ 客户不在总览汇总名单里",IF(AND(P1515="应付",K1515=""),"✗ 这笔要选供应商",IF(AND(P1515="应付",COUNTIF(基础资料!$Q$5:$Q$54,K1515)=0),"✗ 供应商不在基础资料里",IF(AND(P1515="费用",L1515=""),"✗ 费用支出要选费用项目",IF(AND(L1515&lt;&gt;"",COUNTIF(基础资料!$AI$5:$AI$54,L1515)=0),"✗ 费用项目不在基础资料里",IF(AND(IFERROR(INDEX(基础资料!$AD$5:$AD$34,MATCH(O1515,基础资料!$AC$5:$AC$34,0)),"")="收",N(G1515)&lt;&gt;0),"✗ 这类是收款，金额填到收入列",IF(AND(IFERROR(INDEX(基础资料!$AD$5:$AD$34,MATCH(O1515,基础资料!$AC$5:$AC$34,0)),"")="支",N(F1515)&lt;&gt;0),"✗ 这类是付款，金额填到支出列",IF(N(H1515)&lt;0,"⚠ 账户余额成负数了，核对一下","√"))))))))))))))))))</f>
      </c>
      <c r="O1515" s="78">
        <f>IF(D1515&lt;&gt;"",D1515,IF(AND(F1515="",G1515=""),"",IF(J1515&lt;&gt;"",IF(N(F1515)&gt;0,"客户回款","客户退款"),IF(K1515&lt;&gt;"",IF(N(G1515)&gt;0,"供应商付款","供应商退款"),IF(L1515&lt;&gt;"","费用支出","")))))</f>
      </c>
      <c r="P1515" s="78">
        <f>IF(O1515="","",IFERROR(INDEX(基础资料!$AE$5:$AE$34,MATCH(O1515,基础资料!$AC$5:$AC$34,0)),"未知"))</f>
      </c>
      <c r="Q1515" s="78">
        <f>IF(P1515="应收",COUNTIF(P$7:P1515,"应收"),"")</f>
      </c>
      <c r="R1515" s="78">
        <f>IF(P1515="应付",COUNTIF(P$7:P1515,"应付"),"")</f>
      </c>
      <c r="S1515" s="78">
        <f>N(F1515)-N(G1515)</f>
        <v>0</v>
      </c>
    </row>
    <row r="1516">
      <c r="A1516" s="109">
        <f>IF(AND(F1516="",G1516=""),"",ROW()-6)</f>
      </c>
      <c r="B1516" s="140" t="n"/>
      <c r="C1516" s="141" t="n"/>
      <c r="D1516" s="141" t="n"/>
      <c r="E1516" s="142" t="n"/>
      <c r="F1516" s="143" t="n"/>
      <c r="G1516" s="144" t="n"/>
      <c r="H1516" s="145">
        <f>IF(OR(C1516="",AND(F1516="",G1516="")),"",SUMIF(基础资料!$W$5:$W$24,C1516,基础资料!$X$5:$X$24)+SUMIF(C$7:C1516,C1516,F$7:F1516)-SUMIF(C$7:C1516,C1516,G$7:G1516))</f>
      </c>
      <c r="I1516" s="145">
        <f>IF(AND(F1516="",G1516=""),"",SUM(基础资料!$X$5:$X$24)+SUM(F$7:F1516)-SUM(G$7:G1516))</f>
      </c>
      <c r="J1516" s="141" t="n"/>
      <c r="K1516" s="141" t="n"/>
      <c r="L1516" s="141" t="n"/>
      <c r="M1516" s="142" t="n"/>
      <c r="N1516" s="146">
        <f>IF(AND(AND(F1516="",G1516=""),B1516="",C1516="",D1516="",J1516="",K1516="",L1516=""),"",IF(AND(F1516="",G1516=""),"✗ 没填金额",IF(AND(N(F1516)&lt;&gt;0,N(G1516)&lt;&gt;0),"✗ 收入、支出只能填一边",IF(NOT(ISNUMBER(B1516)),"✗ 日期不是真日期（要像 2026/9/25 这样填）",IF(OR(B1516&lt;年初日,B1516&gt;年末日),"✗ 日期不在本会计年度",IF(C1516="","✗ 没选账户",IF(COUNTIF(基础资料!$W$5:$W$24,C1516)=0,"✗ 账户不在基础资料里",IF(O1516="","✗ 没选收支项目",IF(P1516="未知","✗ 收支项目不在基础资料里",IF(AND(P1516="应收",J1516=""),"✗ 这笔要选客户",IF(AND(P1516="应收",COUNTIF(总览汇总!$B$5:$B$304,J1516)=0),"✗ 客户不在总览汇总名单里",IF(AND(P1516="应付",K1516=""),"✗ 这笔要选供应商",IF(AND(P1516="应付",COUNTIF(基础资料!$Q$5:$Q$54,K1516)=0),"✗ 供应商不在基础资料里",IF(AND(P1516="费用",L1516=""),"✗ 费用支出要选费用项目",IF(AND(L1516&lt;&gt;"",COUNTIF(基础资料!$AI$5:$AI$54,L1516)=0),"✗ 费用项目不在基础资料里",IF(AND(IFERROR(INDEX(基础资料!$AD$5:$AD$34,MATCH(O1516,基础资料!$AC$5:$AC$34,0)),"")="收",N(G1516)&lt;&gt;0),"✗ 这类是收款，金额填到收入列",IF(AND(IFERROR(INDEX(基础资料!$AD$5:$AD$34,MATCH(O1516,基础资料!$AC$5:$AC$34,0)),"")="支",N(F1516)&lt;&gt;0),"✗ 这类是付款，金额填到支出列",IF(N(H1516)&lt;0,"⚠ 账户余额成负数了，核对一下","√"))))))))))))))))))</f>
      </c>
      <c r="O1516" s="78">
        <f>IF(D1516&lt;&gt;"",D1516,IF(AND(F1516="",G1516=""),"",IF(J1516&lt;&gt;"",IF(N(F1516)&gt;0,"客户回款","客户退款"),IF(K1516&lt;&gt;"",IF(N(G1516)&gt;0,"供应商付款","供应商退款"),IF(L1516&lt;&gt;"","费用支出","")))))</f>
      </c>
      <c r="P1516" s="78">
        <f>IF(O1516="","",IFERROR(INDEX(基础资料!$AE$5:$AE$34,MATCH(O1516,基础资料!$AC$5:$AC$34,0)),"未知"))</f>
      </c>
      <c r="Q1516" s="78">
        <f>IF(P1516="应收",COUNTIF(P$7:P1516,"应收"),"")</f>
      </c>
      <c r="R1516" s="78">
        <f>IF(P1516="应付",COUNTIF(P$7:P1516,"应付"),"")</f>
      </c>
      <c r="S1516" s="78">
        <f>N(F1516)-N(G1516)</f>
        <v>0</v>
      </c>
    </row>
    <row r="1517">
      <c r="A1517" s="109">
        <f>IF(AND(F1517="",G1517=""),"",ROW()-6)</f>
      </c>
      <c r="B1517" s="140" t="n"/>
      <c r="C1517" s="141" t="n"/>
      <c r="D1517" s="141" t="n"/>
      <c r="E1517" s="142" t="n"/>
      <c r="F1517" s="143" t="n"/>
      <c r="G1517" s="144" t="n"/>
      <c r="H1517" s="145">
        <f>IF(OR(C1517="",AND(F1517="",G1517="")),"",SUMIF(基础资料!$W$5:$W$24,C1517,基础资料!$X$5:$X$24)+SUMIF(C$7:C1517,C1517,F$7:F1517)-SUMIF(C$7:C1517,C1517,G$7:G1517))</f>
      </c>
      <c r="I1517" s="145">
        <f>IF(AND(F1517="",G1517=""),"",SUM(基础资料!$X$5:$X$24)+SUM(F$7:F1517)-SUM(G$7:G1517))</f>
      </c>
      <c r="J1517" s="141" t="n"/>
      <c r="K1517" s="141" t="n"/>
      <c r="L1517" s="141" t="n"/>
      <c r="M1517" s="142" t="n"/>
      <c r="N1517" s="146">
        <f>IF(AND(AND(F1517="",G1517=""),B1517="",C1517="",D1517="",J1517="",K1517="",L1517=""),"",IF(AND(F1517="",G1517=""),"✗ 没填金额",IF(AND(N(F1517)&lt;&gt;0,N(G1517)&lt;&gt;0),"✗ 收入、支出只能填一边",IF(NOT(ISNUMBER(B1517)),"✗ 日期不是真日期（要像 2026/9/25 这样填）",IF(OR(B1517&lt;年初日,B1517&gt;年末日),"✗ 日期不在本会计年度",IF(C1517="","✗ 没选账户",IF(COUNTIF(基础资料!$W$5:$W$24,C1517)=0,"✗ 账户不在基础资料里",IF(O1517="","✗ 没选收支项目",IF(P1517="未知","✗ 收支项目不在基础资料里",IF(AND(P1517="应收",J1517=""),"✗ 这笔要选客户",IF(AND(P1517="应收",COUNTIF(总览汇总!$B$5:$B$304,J1517)=0),"✗ 客户不在总览汇总名单里",IF(AND(P1517="应付",K1517=""),"✗ 这笔要选供应商",IF(AND(P1517="应付",COUNTIF(基础资料!$Q$5:$Q$54,K1517)=0),"✗ 供应商不在基础资料里",IF(AND(P1517="费用",L1517=""),"✗ 费用支出要选费用项目",IF(AND(L1517&lt;&gt;"",COUNTIF(基础资料!$AI$5:$AI$54,L1517)=0),"✗ 费用项目不在基础资料里",IF(AND(IFERROR(INDEX(基础资料!$AD$5:$AD$34,MATCH(O1517,基础资料!$AC$5:$AC$34,0)),"")="收",N(G1517)&lt;&gt;0),"✗ 这类是收款，金额填到收入列",IF(AND(IFERROR(INDEX(基础资料!$AD$5:$AD$34,MATCH(O1517,基础资料!$AC$5:$AC$34,0)),"")="支",N(F1517)&lt;&gt;0),"✗ 这类是付款，金额填到支出列",IF(N(H1517)&lt;0,"⚠ 账户余额成负数了，核对一下","√"))))))))))))))))))</f>
      </c>
      <c r="O1517" s="78">
        <f>IF(D1517&lt;&gt;"",D1517,IF(AND(F1517="",G1517=""),"",IF(J1517&lt;&gt;"",IF(N(F1517)&gt;0,"客户回款","客户退款"),IF(K1517&lt;&gt;"",IF(N(G1517)&gt;0,"供应商付款","供应商退款"),IF(L1517&lt;&gt;"","费用支出","")))))</f>
      </c>
      <c r="P1517" s="78">
        <f>IF(O1517="","",IFERROR(INDEX(基础资料!$AE$5:$AE$34,MATCH(O1517,基础资料!$AC$5:$AC$34,0)),"未知"))</f>
      </c>
      <c r="Q1517" s="78">
        <f>IF(P1517="应收",COUNTIF(P$7:P1517,"应收"),"")</f>
      </c>
      <c r="R1517" s="78">
        <f>IF(P1517="应付",COUNTIF(P$7:P1517,"应付"),"")</f>
      </c>
      <c r="S1517" s="78">
        <f>N(F1517)-N(G1517)</f>
        <v>0</v>
      </c>
    </row>
    <row r="1518">
      <c r="A1518" s="109">
        <f>IF(AND(F1518="",G1518=""),"",ROW()-6)</f>
      </c>
      <c r="B1518" s="140" t="n"/>
      <c r="C1518" s="141" t="n"/>
      <c r="D1518" s="141" t="n"/>
      <c r="E1518" s="142" t="n"/>
      <c r="F1518" s="143" t="n"/>
      <c r="G1518" s="144" t="n"/>
      <c r="H1518" s="145">
        <f>IF(OR(C1518="",AND(F1518="",G1518="")),"",SUMIF(基础资料!$W$5:$W$24,C1518,基础资料!$X$5:$X$24)+SUMIF(C$7:C1518,C1518,F$7:F1518)-SUMIF(C$7:C1518,C1518,G$7:G1518))</f>
      </c>
      <c r="I1518" s="145">
        <f>IF(AND(F1518="",G1518=""),"",SUM(基础资料!$X$5:$X$24)+SUM(F$7:F1518)-SUM(G$7:G1518))</f>
      </c>
      <c r="J1518" s="141" t="n"/>
      <c r="K1518" s="141" t="n"/>
      <c r="L1518" s="141" t="n"/>
      <c r="M1518" s="142" t="n"/>
      <c r="N1518" s="146">
        <f>IF(AND(AND(F1518="",G1518=""),B1518="",C1518="",D1518="",J1518="",K1518="",L1518=""),"",IF(AND(F1518="",G1518=""),"✗ 没填金额",IF(AND(N(F1518)&lt;&gt;0,N(G1518)&lt;&gt;0),"✗ 收入、支出只能填一边",IF(NOT(ISNUMBER(B1518)),"✗ 日期不是真日期（要像 2026/9/25 这样填）",IF(OR(B1518&lt;年初日,B1518&gt;年末日),"✗ 日期不在本会计年度",IF(C1518="","✗ 没选账户",IF(COUNTIF(基础资料!$W$5:$W$24,C1518)=0,"✗ 账户不在基础资料里",IF(O1518="","✗ 没选收支项目",IF(P1518="未知","✗ 收支项目不在基础资料里",IF(AND(P1518="应收",J1518=""),"✗ 这笔要选客户",IF(AND(P1518="应收",COUNTIF(总览汇总!$B$5:$B$304,J1518)=0),"✗ 客户不在总览汇总名单里",IF(AND(P1518="应付",K1518=""),"✗ 这笔要选供应商",IF(AND(P1518="应付",COUNTIF(基础资料!$Q$5:$Q$54,K1518)=0),"✗ 供应商不在基础资料里",IF(AND(P1518="费用",L1518=""),"✗ 费用支出要选费用项目",IF(AND(L1518&lt;&gt;"",COUNTIF(基础资料!$AI$5:$AI$54,L1518)=0),"✗ 费用项目不在基础资料里",IF(AND(IFERROR(INDEX(基础资料!$AD$5:$AD$34,MATCH(O1518,基础资料!$AC$5:$AC$34,0)),"")="收",N(G1518)&lt;&gt;0),"✗ 这类是收款，金额填到收入列",IF(AND(IFERROR(INDEX(基础资料!$AD$5:$AD$34,MATCH(O1518,基础资料!$AC$5:$AC$34,0)),"")="支",N(F1518)&lt;&gt;0),"✗ 这类是付款，金额填到支出列",IF(N(H1518)&lt;0,"⚠ 账户余额成负数了，核对一下","√"))))))))))))))))))</f>
      </c>
      <c r="O1518" s="78">
        <f>IF(D1518&lt;&gt;"",D1518,IF(AND(F1518="",G1518=""),"",IF(J1518&lt;&gt;"",IF(N(F1518)&gt;0,"客户回款","客户退款"),IF(K1518&lt;&gt;"",IF(N(G1518)&gt;0,"供应商付款","供应商退款"),IF(L1518&lt;&gt;"","费用支出","")))))</f>
      </c>
      <c r="P1518" s="78">
        <f>IF(O1518="","",IFERROR(INDEX(基础资料!$AE$5:$AE$34,MATCH(O1518,基础资料!$AC$5:$AC$34,0)),"未知"))</f>
      </c>
      <c r="Q1518" s="78">
        <f>IF(P1518="应收",COUNTIF(P$7:P1518,"应收"),"")</f>
      </c>
      <c r="R1518" s="78">
        <f>IF(P1518="应付",COUNTIF(P$7:P1518,"应付"),"")</f>
      </c>
      <c r="S1518" s="78">
        <f>N(F1518)-N(G1518)</f>
        <v>0</v>
      </c>
    </row>
    <row r="1519">
      <c r="A1519" s="109">
        <f>IF(AND(F1519="",G1519=""),"",ROW()-6)</f>
      </c>
      <c r="B1519" s="140" t="n"/>
      <c r="C1519" s="141" t="n"/>
      <c r="D1519" s="141" t="n"/>
      <c r="E1519" s="142" t="n"/>
      <c r="F1519" s="143" t="n"/>
      <c r="G1519" s="144" t="n"/>
      <c r="H1519" s="145">
        <f>IF(OR(C1519="",AND(F1519="",G1519="")),"",SUMIF(基础资料!$W$5:$W$24,C1519,基础资料!$X$5:$X$24)+SUMIF(C$7:C1519,C1519,F$7:F1519)-SUMIF(C$7:C1519,C1519,G$7:G1519))</f>
      </c>
      <c r="I1519" s="145">
        <f>IF(AND(F1519="",G1519=""),"",SUM(基础资料!$X$5:$X$24)+SUM(F$7:F1519)-SUM(G$7:G1519))</f>
      </c>
      <c r="J1519" s="141" t="n"/>
      <c r="K1519" s="141" t="n"/>
      <c r="L1519" s="141" t="n"/>
      <c r="M1519" s="142" t="n"/>
      <c r="N1519" s="146">
        <f>IF(AND(AND(F1519="",G1519=""),B1519="",C1519="",D1519="",J1519="",K1519="",L1519=""),"",IF(AND(F1519="",G1519=""),"✗ 没填金额",IF(AND(N(F1519)&lt;&gt;0,N(G1519)&lt;&gt;0),"✗ 收入、支出只能填一边",IF(NOT(ISNUMBER(B1519)),"✗ 日期不是真日期（要像 2026/9/25 这样填）",IF(OR(B1519&lt;年初日,B1519&gt;年末日),"✗ 日期不在本会计年度",IF(C1519="","✗ 没选账户",IF(COUNTIF(基础资料!$W$5:$W$24,C1519)=0,"✗ 账户不在基础资料里",IF(O1519="","✗ 没选收支项目",IF(P1519="未知","✗ 收支项目不在基础资料里",IF(AND(P1519="应收",J1519=""),"✗ 这笔要选客户",IF(AND(P1519="应收",COUNTIF(总览汇总!$B$5:$B$304,J1519)=0),"✗ 客户不在总览汇总名单里",IF(AND(P1519="应付",K1519=""),"✗ 这笔要选供应商",IF(AND(P1519="应付",COUNTIF(基础资料!$Q$5:$Q$54,K1519)=0),"✗ 供应商不在基础资料里",IF(AND(P1519="费用",L1519=""),"✗ 费用支出要选费用项目",IF(AND(L1519&lt;&gt;"",COUNTIF(基础资料!$AI$5:$AI$54,L1519)=0),"✗ 费用项目不在基础资料里",IF(AND(IFERROR(INDEX(基础资料!$AD$5:$AD$34,MATCH(O1519,基础资料!$AC$5:$AC$34,0)),"")="收",N(G1519)&lt;&gt;0),"✗ 这类是收款，金额填到收入列",IF(AND(IFERROR(INDEX(基础资料!$AD$5:$AD$34,MATCH(O1519,基础资料!$AC$5:$AC$34,0)),"")="支",N(F1519)&lt;&gt;0),"✗ 这类是付款，金额填到支出列",IF(N(H1519)&lt;0,"⚠ 账户余额成负数了，核对一下","√"))))))))))))))))))</f>
      </c>
      <c r="O1519" s="78">
        <f>IF(D1519&lt;&gt;"",D1519,IF(AND(F1519="",G1519=""),"",IF(J1519&lt;&gt;"",IF(N(F1519)&gt;0,"客户回款","客户退款"),IF(K1519&lt;&gt;"",IF(N(G1519)&gt;0,"供应商付款","供应商退款"),IF(L1519&lt;&gt;"","费用支出","")))))</f>
      </c>
      <c r="P1519" s="78">
        <f>IF(O1519="","",IFERROR(INDEX(基础资料!$AE$5:$AE$34,MATCH(O1519,基础资料!$AC$5:$AC$34,0)),"未知"))</f>
      </c>
      <c r="Q1519" s="78">
        <f>IF(P1519="应收",COUNTIF(P$7:P1519,"应收"),"")</f>
      </c>
      <c r="R1519" s="78">
        <f>IF(P1519="应付",COUNTIF(P$7:P1519,"应付"),"")</f>
      </c>
      <c r="S1519" s="78">
        <f>N(F1519)-N(G1519)</f>
        <v>0</v>
      </c>
    </row>
    <row r="1520">
      <c r="A1520" s="109">
        <f>IF(AND(F1520="",G1520=""),"",ROW()-6)</f>
      </c>
      <c r="B1520" s="140" t="n"/>
      <c r="C1520" s="141" t="n"/>
      <c r="D1520" s="141" t="n"/>
      <c r="E1520" s="142" t="n"/>
      <c r="F1520" s="143" t="n"/>
      <c r="G1520" s="144" t="n"/>
      <c r="H1520" s="145">
        <f>IF(OR(C1520="",AND(F1520="",G1520="")),"",SUMIF(基础资料!$W$5:$W$24,C1520,基础资料!$X$5:$X$24)+SUMIF(C$7:C1520,C1520,F$7:F1520)-SUMIF(C$7:C1520,C1520,G$7:G1520))</f>
      </c>
      <c r="I1520" s="145">
        <f>IF(AND(F1520="",G1520=""),"",SUM(基础资料!$X$5:$X$24)+SUM(F$7:F1520)-SUM(G$7:G1520))</f>
      </c>
      <c r="J1520" s="141" t="n"/>
      <c r="K1520" s="141" t="n"/>
      <c r="L1520" s="141" t="n"/>
      <c r="M1520" s="142" t="n"/>
      <c r="N1520" s="146">
        <f>IF(AND(AND(F1520="",G1520=""),B1520="",C1520="",D1520="",J1520="",K1520="",L1520=""),"",IF(AND(F1520="",G1520=""),"✗ 没填金额",IF(AND(N(F1520)&lt;&gt;0,N(G1520)&lt;&gt;0),"✗ 收入、支出只能填一边",IF(NOT(ISNUMBER(B1520)),"✗ 日期不是真日期（要像 2026/9/25 这样填）",IF(OR(B1520&lt;年初日,B1520&gt;年末日),"✗ 日期不在本会计年度",IF(C1520="","✗ 没选账户",IF(COUNTIF(基础资料!$W$5:$W$24,C1520)=0,"✗ 账户不在基础资料里",IF(O1520="","✗ 没选收支项目",IF(P1520="未知","✗ 收支项目不在基础资料里",IF(AND(P1520="应收",J1520=""),"✗ 这笔要选客户",IF(AND(P1520="应收",COUNTIF(总览汇总!$B$5:$B$304,J1520)=0),"✗ 客户不在总览汇总名单里",IF(AND(P1520="应付",K1520=""),"✗ 这笔要选供应商",IF(AND(P1520="应付",COUNTIF(基础资料!$Q$5:$Q$54,K1520)=0),"✗ 供应商不在基础资料里",IF(AND(P1520="费用",L1520=""),"✗ 费用支出要选费用项目",IF(AND(L1520&lt;&gt;"",COUNTIF(基础资料!$AI$5:$AI$54,L1520)=0),"✗ 费用项目不在基础资料里",IF(AND(IFERROR(INDEX(基础资料!$AD$5:$AD$34,MATCH(O1520,基础资料!$AC$5:$AC$34,0)),"")="收",N(G1520)&lt;&gt;0),"✗ 这类是收款，金额填到收入列",IF(AND(IFERROR(INDEX(基础资料!$AD$5:$AD$34,MATCH(O1520,基础资料!$AC$5:$AC$34,0)),"")="支",N(F1520)&lt;&gt;0),"✗ 这类是付款，金额填到支出列",IF(N(H1520)&lt;0,"⚠ 账户余额成负数了，核对一下","√"))))))))))))))))))</f>
      </c>
      <c r="O1520" s="78">
        <f>IF(D1520&lt;&gt;"",D1520,IF(AND(F1520="",G1520=""),"",IF(J1520&lt;&gt;"",IF(N(F1520)&gt;0,"客户回款","客户退款"),IF(K1520&lt;&gt;"",IF(N(G1520)&gt;0,"供应商付款","供应商退款"),IF(L1520&lt;&gt;"","费用支出","")))))</f>
      </c>
      <c r="P1520" s="78">
        <f>IF(O1520="","",IFERROR(INDEX(基础资料!$AE$5:$AE$34,MATCH(O1520,基础资料!$AC$5:$AC$34,0)),"未知"))</f>
      </c>
      <c r="Q1520" s="78">
        <f>IF(P1520="应收",COUNTIF(P$7:P1520,"应收"),"")</f>
      </c>
      <c r="R1520" s="78">
        <f>IF(P1520="应付",COUNTIF(P$7:P1520,"应付"),"")</f>
      </c>
      <c r="S1520" s="78">
        <f>N(F1520)-N(G1520)</f>
        <v>0</v>
      </c>
    </row>
    <row r="1521">
      <c r="A1521" s="109">
        <f>IF(AND(F1521="",G1521=""),"",ROW()-6)</f>
      </c>
      <c r="B1521" s="140" t="n"/>
      <c r="C1521" s="141" t="n"/>
      <c r="D1521" s="141" t="n"/>
      <c r="E1521" s="142" t="n"/>
      <c r="F1521" s="143" t="n"/>
      <c r="G1521" s="144" t="n"/>
      <c r="H1521" s="145">
        <f>IF(OR(C1521="",AND(F1521="",G1521="")),"",SUMIF(基础资料!$W$5:$W$24,C1521,基础资料!$X$5:$X$24)+SUMIF(C$7:C1521,C1521,F$7:F1521)-SUMIF(C$7:C1521,C1521,G$7:G1521))</f>
      </c>
      <c r="I1521" s="145">
        <f>IF(AND(F1521="",G1521=""),"",SUM(基础资料!$X$5:$X$24)+SUM(F$7:F1521)-SUM(G$7:G1521))</f>
      </c>
      <c r="J1521" s="141" t="n"/>
      <c r="K1521" s="141" t="n"/>
      <c r="L1521" s="141" t="n"/>
      <c r="M1521" s="142" t="n"/>
      <c r="N1521" s="146">
        <f>IF(AND(AND(F1521="",G1521=""),B1521="",C1521="",D1521="",J1521="",K1521="",L1521=""),"",IF(AND(F1521="",G1521=""),"✗ 没填金额",IF(AND(N(F1521)&lt;&gt;0,N(G1521)&lt;&gt;0),"✗ 收入、支出只能填一边",IF(NOT(ISNUMBER(B1521)),"✗ 日期不是真日期（要像 2026/9/25 这样填）",IF(OR(B1521&lt;年初日,B1521&gt;年末日),"✗ 日期不在本会计年度",IF(C1521="","✗ 没选账户",IF(COUNTIF(基础资料!$W$5:$W$24,C1521)=0,"✗ 账户不在基础资料里",IF(O1521="","✗ 没选收支项目",IF(P1521="未知","✗ 收支项目不在基础资料里",IF(AND(P1521="应收",J1521=""),"✗ 这笔要选客户",IF(AND(P1521="应收",COUNTIF(总览汇总!$B$5:$B$304,J1521)=0),"✗ 客户不在总览汇总名单里",IF(AND(P1521="应付",K1521=""),"✗ 这笔要选供应商",IF(AND(P1521="应付",COUNTIF(基础资料!$Q$5:$Q$54,K1521)=0),"✗ 供应商不在基础资料里",IF(AND(P1521="费用",L1521=""),"✗ 费用支出要选费用项目",IF(AND(L1521&lt;&gt;"",COUNTIF(基础资料!$AI$5:$AI$54,L1521)=0),"✗ 费用项目不在基础资料里",IF(AND(IFERROR(INDEX(基础资料!$AD$5:$AD$34,MATCH(O1521,基础资料!$AC$5:$AC$34,0)),"")="收",N(G1521)&lt;&gt;0),"✗ 这类是收款，金额填到收入列",IF(AND(IFERROR(INDEX(基础资料!$AD$5:$AD$34,MATCH(O1521,基础资料!$AC$5:$AC$34,0)),"")="支",N(F1521)&lt;&gt;0),"✗ 这类是付款，金额填到支出列",IF(N(H1521)&lt;0,"⚠ 账户余额成负数了，核对一下","√"))))))))))))))))))</f>
      </c>
      <c r="O1521" s="78">
        <f>IF(D1521&lt;&gt;"",D1521,IF(AND(F1521="",G1521=""),"",IF(J1521&lt;&gt;"",IF(N(F1521)&gt;0,"客户回款","客户退款"),IF(K1521&lt;&gt;"",IF(N(G1521)&gt;0,"供应商付款","供应商退款"),IF(L1521&lt;&gt;"","费用支出","")))))</f>
      </c>
      <c r="P1521" s="78">
        <f>IF(O1521="","",IFERROR(INDEX(基础资料!$AE$5:$AE$34,MATCH(O1521,基础资料!$AC$5:$AC$34,0)),"未知"))</f>
      </c>
      <c r="Q1521" s="78">
        <f>IF(P1521="应收",COUNTIF(P$7:P1521,"应收"),"")</f>
      </c>
      <c r="R1521" s="78">
        <f>IF(P1521="应付",COUNTIF(P$7:P1521,"应付"),"")</f>
      </c>
      <c r="S1521" s="78">
        <f>N(F1521)-N(G1521)</f>
        <v>0</v>
      </c>
    </row>
    <row r="1522">
      <c r="A1522" s="109">
        <f>IF(AND(F1522="",G1522=""),"",ROW()-6)</f>
      </c>
      <c r="B1522" s="140" t="n"/>
      <c r="C1522" s="141" t="n"/>
      <c r="D1522" s="141" t="n"/>
      <c r="E1522" s="142" t="n"/>
      <c r="F1522" s="143" t="n"/>
      <c r="G1522" s="144" t="n"/>
      <c r="H1522" s="145">
        <f>IF(OR(C1522="",AND(F1522="",G1522="")),"",SUMIF(基础资料!$W$5:$W$24,C1522,基础资料!$X$5:$X$24)+SUMIF(C$7:C1522,C1522,F$7:F1522)-SUMIF(C$7:C1522,C1522,G$7:G1522))</f>
      </c>
      <c r="I1522" s="145">
        <f>IF(AND(F1522="",G1522=""),"",SUM(基础资料!$X$5:$X$24)+SUM(F$7:F1522)-SUM(G$7:G1522))</f>
      </c>
      <c r="J1522" s="141" t="n"/>
      <c r="K1522" s="141" t="n"/>
      <c r="L1522" s="141" t="n"/>
      <c r="M1522" s="142" t="n"/>
      <c r="N1522" s="146">
        <f>IF(AND(AND(F1522="",G1522=""),B1522="",C1522="",D1522="",J1522="",K1522="",L1522=""),"",IF(AND(F1522="",G1522=""),"✗ 没填金额",IF(AND(N(F1522)&lt;&gt;0,N(G1522)&lt;&gt;0),"✗ 收入、支出只能填一边",IF(NOT(ISNUMBER(B1522)),"✗ 日期不是真日期（要像 2026/9/25 这样填）",IF(OR(B1522&lt;年初日,B1522&gt;年末日),"✗ 日期不在本会计年度",IF(C1522="","✗ 没选账户",IF(COUNTIF(基础资料!$W$5:$W$24,C1522)=0,"✗ 账户不在基础资料里",IF(O1522="","✗ 没选收支项目",IF(P1522="未知","✗ 收支项目不在基础资料里",IF(AND(P1522="应收",J1522=""),"✗ 这笔要选客户",IF(AND(P1522="应收",COUNTIF(总览汇总!$B$5:$B$304,J1522)=0),"✗ 客户不在总览汇总名单里",IF(AND(P1522="应付",K1522=""),"✗ 这笔要选供应商",IF(AND(P1522="应付",COUNTIF(基础资料!$Q$5:$Q$54,K1522)=0),"✗ 供应商不在基础资料里",IF(AND(P1522="费用",L1522=""),"✗ 费用支出要选费用项目",IF(AND(L1522&lt;&gt;"",COUNTIF(基础资料!$AI$5:$AI$54,L1522)=0),"✗ 费用项目不在基础资料里",IF(AND(IFERROR(INDEX(基础资料!$AD$5:$AD$34,MATCH(O1522,基础资料!$AC$5:$AC$34,0)),"")="收",N(G1522)&lt;&gt;0),"✗ 这类是收款，金额填到收入列",IF(AND(IFERROR(INDEX(基础资料!$AD$5:$AD$34,MATCH(O1522,基础资料!$AC$5:$AC$34,0)),"")="支",N(F1522)&lt;&gt;0),"✗ 这类是付款，金额填到支出列",IF(N(H1522)&lt;0,"⚠ 账户余额成负数了，核对一下","√"))))))))))))))))))</f>
      </c>
      <c r="O1522" s="78">
        <f>IF(D1522&lt;&gt;"",D1522,IF(AND(F1522="",G1522=""),"",IF(J1522&lt;&gt;"",IF(N(F1522)&gt;0,"客户回款","客户退款"),IF(K1522&lt;&gt;"",IF(N(G1522)&gt;0,"供应商付款","供应商退款"),IF(L1522&lt;&gt;"","费用支出","")))))</f>
      </c>
      <c r="P1522" s="78">
        <f>IF(O1522="","",IFERROR(INDEX(基础资料!$AE$5:$AE$34,MATCH(O1522,基础资料!$AC$5:$AC$34,0)),"未知"))</f>
      </c>
      <c r="Q1522" s="78">
        <f>IF(P1522="应收",COUNTIF(P$7:P1522,"应收"),"")</f>
      </c>
      <c r="R1522" s="78">
        <f>IF(P1522="应付",COUNTIF(P$7:P1522,"应付"),"")</f>
      </c>
      <c r="S1522" s="78">
        <f>N(F1522)-N(G1522)</f>
        <v>0</v>
      </c>
    </row>
    <row r="1523">
      <c r="A1523" s="109">
        <f>IF(AND(F1523="",G1523=""),"",ROW()-6)</f>
      </c>
      <c r="B1523" s="140" t="n"/>
      <c r="C1523" s="141" t="n"/>
      <c r="D1523" s="141" t="n"/>
      <c r="E1523" s="142" t="n"/>
      <c r="F1523" s="143" t="n"/>
      <c r="G1523" s="144" t="n"/>
      <c r="H1523" s="145">
        <f>IF(OR(C1523="",AND(F1523="",G1523="")),"",SUMIF(基础资料!$W$5:$W$24,C1523,基础资料!$X$5:$X$24)+SUMIF(C$7:C1523,C1523,F$7:F1523)-SUMIF(C$7:C1523,C1523,G$7:G1523))</f>
      </c>
      <c r="I1523" s="145">
        <f>IF(AND(F1523="",G1523=""),"",SUM(基础资料!$X$5:$X$24)+SUM(F$7:F1523)-SUM(G$7:G1523))</f>
      </c>
      <c r="J1523" s="141" t="n"/>
      <c r="K1523" s="141" t="n"/>
      <c r="L1523" s="141" t="n"/>
      <c r="M1523" s="142" t="n"/>
      <c r="N1523" s="146">
        <f>IF(AND(AND(F1523="",G1523=""),B1523="",C1523="",D1523="",J1523="",K1523="",L1523=""),"",IF(AND(F1523="",G1523=""),"✗ 没填金额",IF(AND(N(F1523)&lt;&gt;0,N(G1523)&lt;&gt;0),"✗ 收入、支出只能填一边",IF(NOT(ISNUMBER(B1523)),"✗ 日期不是真日期（要像 2026/9/25 这样填）",IF(OR(B1523&lt;年初日,B1523&gt;年末日),"✗ 日期不在本会计年度",IF(C1523="","✗ 没选账户",IF(COUNTIF(基础资料!$W$5:$W$24,C1523)=0,"✗ 账户不在基础资料里",IF(O1523="","✗ 没选收支项目",IF(P1523="未知","✗ 收支项目不在基础资料里",IF(AND(P1523="应收",J1523=""),"✗ 这笔要选客户",IF(AND(P1523="应收",COUNTIF(总览汇总!$B$5:$B$304,J1523)=0),"✗ 客户不在总览汇总名单里",IF(AND(P1523="应付",K1523=""),"✗ 这笔要选供应商",IF(AND(P1523="应付",COUNTIF(基础资料!$Q$5:$Q$54,K1523)=0),"✗ 供应商不在基础资料里",IF(AND(P1523="费用",L1523=""),"✗ 费用支出要选费用项目",IF(AND(L1523&lt;&gt;"",COUNTIF(基础资料!$AI$5:$AI$54,L1523)=0),"✗ 费用项目不在基础资料里",IF(AND(IFERROR(INDEX(基础资料!$AD$5:$AD$34,MATCH(O1523,基础资料!$AC$5:$AC$34,0)),"")="收",N(G1523)&lt;&gt;0),"✗ 这类是收款，金额填到收入列",IF(AND(IFERROR(INDEX(基础资料!$AD$5:$AD$34,MATCH(O1523,基础资料!$AC$5:$AC$34,0)),"")="支",N(F1523)&lt;&gt;0),"✗ 这类是付款，金额填到支出列",IF(N(H1523)&lt;0,"⚠ 账户余额成负数了，核对一下","√"))))))))))))))))))</f>
      </c>
      <c r="O1523" s="78">
        <f>IF(D1523&lt;&gt;"",D1523,IF(AND(F1523="",G1523=""),"",IF(J1523&lt;&gt;"",IF(N(F1523)&gt;0,"客户回款","客户退款"),IF(K1523&lt;&gt;"",IF(N(G1523)&gt;0,"供应商付款","供应商退款"),IF(L1523&lt;&gt;"","费用支出","")))))</f>
      </c>
      <c r="P1523" s="78">
        <f>IF(O1523="","",IFERROR(INDEX(基础资料!$AE$5:$AE$34,MATCH(O1523,基础资料!$AC$5:$AC$34,0)),"未知"))</f>
      </c>
      <c r="Q1523" s="78">
        <f>IF(P1523="应收",COUNTIF(P$7:P1523,"应收"),"")</f>
      </c>
      <c r="R1523" s="78">
        <f>IF(P1523="应付",COUNTIF(P$7:P1523,"应付"),"")</f>
      </c>
      <c r="S1523" s="78">
        <f>N(F1523)-N(G1523)</f>
        <v>0</v>
      </c>
    </row>
    <row r="1524">
      <c r="A1524" s="109">
        <f>IF(AND(F1524="",G1524=""),"",ROW()-6)</f>
      </c>
      <c r="B1524" s="140" t="n"/>
      <c r="C1524" s="141" t="n"/>
      <c r="D1524" s="141" t="n"/>
      <c r="E1524" s="142" t="n"/>
      <c r="F1524" s="143" t="n"/>
      <c r="G1524" s="144" t="n"/>
      <c r="H1524" s="145">
        <f>IF(OR(C1524="",AND(F1524="",G1524="")),"",SUMIF(基础资料!$W$5:$W$24,C1524,基础资料!$X$5:$X$24)+SUMIF(C$7:C1524,C1524,F$7:F1524)-SUMIF(C$7:C1524,C1524,G$7:G1524))</f>
      </c>
      <c r="I1524" s="145">
        <f>IF(AND(F1524="",G1524=""),"",SUM(基础资料!$X$5:$X$24)+SUM(F$7:F1524)-SUM(G$7:G1524))</f>
      </c>
      <c r="J1524" s="141" t="n"/>
      <c r="K1524" s="141" t="n"/>
      <c r="L1524" s="141" t="n"/>
      <c r="M1524" s="142" t="n"/>
      <c r="N1524" s="146">
        <f>IF(AND(AND(F1524="",G1524=""),B1524="",C1524="",D1524="",J1524="",K1524="",L1524=""),"",IF(AND(F1524="",G1524=""),"✗ 没填金额",IF(AND(N(F1524)&lt;&gt;0,N(G1524)&lt;&gt;0),"✗ 收入、支出只能填一边",IF(NOT(ISNUMBER(B1524)),"✗ 日期不是真日期（要像 2026/9/25 这样填）",IF(OR(B1524&lt;年初日,B1524&gt;年末日),"✗ 日期不在本会计年度",IF(C1524="","✗ 没选账户",IF(COUNTIF(基础资料!$W$5:$W$24,C1524)=0,"✗ 账户不在基础资料里",IF(O1524="","✗ 没选收支项目",IF(P1524="未知","✗ 收支项目不在基础资料里",IF(AND(P1524="应收",J1524=""),"✗ 这笔要选客户",IF(AND(P1524="应收",COUNTIF(总览汇总!$B$5:$B$304,J1524)=0),"✗ 客户不在总览汇总名单里",IF(AND(P1524="应付",K1524=""),"✗ 这笔要选供应商",IF(AND(P1524="应付",COUNTIF(基础资料!$Q$5:$Q$54,K1524)=0),"✗ 供应商不在基础资料里",IF(AND(P1524="费用",L1524=""),"✗ 费用支出要选费用项目",IF(AND(L1524&lt;&gt;"",COUNTIF(基础资料!$AI$5:$AI$54,L1524)=0),"✗ 费用项目不在基础资料里",IF(AND(IFERROR(INDEX(基础资料!$AD$5:$AD$34,MATCH(O1524,基础资料!$AC$5:$AC$34,0)),"")="收",N(G1524)&lt;&gt;0),"✗ 这类是收款，金额填到收入列",IF(AND(IFERROR(INDEX(基础资料!$AD$5:$AD$34,MATCH(O1524,基础资料!$AC$5:$AC$34,0)),"")="支",N(F1524)&lt;&gt;0),"✗ 这类是付款，金额填到支出列",IF(N(H1524)&lt;0,"⚠ 账户余额成负数了，核对一下","√"))))))))))))))))))</f>
      </c>
      <c r="O1524" s="78">
        <f>IF(D1524&lt;&gt;"",D1524,IF(AND(F1524="",G1524=""),"",IF(J1524&lt;&gt;"",IF(N(F1524)&gt;0,"客户回款","客户退款"),IF(K1524&lt;&gt;"",IF(N(G1524)&gt;0,"供应商付款","供应商退款"),IF(L1524&lt;&gt;"","费用支出","")))))</f>
      </c>
      <c r="P1524" s="78">
        <f>IF(O1524="","",IFERROR(INDEX(基础资料!$AE$5:$AE$34,MATCH(O1524,基础资料!$AC$5:$AC$34,0)),"未知"))</f>
      </c>
      <c r="Q1524" s="78">
        <f>IF(P1524="应收",COUNTIF(P$7:P1524,"应收"),"")</f>
      </c>
      <c r="R1524" s="78">
        <f>IF(P1524="应付",COUNTIF(P$7:P1524,"应付"),"")</f>
      </c>
      <c r="S1524" s="78">
        <f>N(F1524)-N(G1524)</f>
        <v>0</v>
      </c>
    </row>
    <row r="1525">
      <c r="A1525" s="109">
        <f>IF(AND(F1525="",G1525=""),"",ROW()-6)</f>
      </c>
      <c r="B1525" s="140" t="n"/>
      <c r="C1525" s="141" t="n"/>
      <c r="D1525" s="141" t="n"/>
      <c r="E1525" s="142" t="n"/>
      <c r="F1525" s="143" t="n"/>
      <c r="G1525" s="144" t="n"/>
      <c r="H1525" s="145">
        <f>IF(OR(C1525="",AND(F1525="",G1525="")),"",SUMIF(基础资料!$W$5:$W$24,C1525,基础资料!$X$5:$X$24)+SUMIF(C$7:C1525,C1525,F$7:F1525)-SUMIF(C$7:C1525,C1525,G$7:G1525))</f>
      </c>
      <c r="I1525" s="145">
        <f>IF(AND(F1525="",G1525=""),"",SUM(基础资料!$X$5:$X$24)+SUM(F$7:F1525)-SUM(G$7:G1525))</f>
      </c>
      <c r="J1525" s="141" t="n"/>
      <c r="K1525" s="141" t="n"/>
      <c r="L1525" s="141" t="n"/>
      <c r="M1525" s="142" t="n"/>
      <c r="N1525" s="146">
        <f>IF(AND(AND(F1525="",G1525=""),B1525="",C1525="",D1525="",J1525="",K1525="",L1525=""),"",IF(AND(F1525="",G1525=""),"✗ 没填金额",IF(AND(N(F1525)&lt;&gt;0,N(G1525)&lt;&gt;0),"✗ 收入、支出只能填一边",IF(NOT(ISNUMBER(B1525)),"✗ 日期不是真日期（要像 2026/9/25 这样填）",IF(OR(B1525&lt;年初日,B1525&gt;年末日),"✗ 日期不在本会计年度",IF(C1525="","✗ 没选账户",IF(COUNTIF(基础资料!$W$5:$W$24,C1525)=0,"✗ 账户不在基础资料里",IF(O1525="","✗ 没选收支项目",IF(P1525="未知","✗ 收支项目不在基础资料里",IF(AND(P1525="应收",J1525=""),"✗ 这笔要选客户",IF(AND(P1525="应收",COUNTIF(总览汇总!$B$5:$B$304,J1525)=0),"✗ 客户不在总览汇总名单里",IF(AND(P1525="应付",K1525=""),"✗ 这笔要选供应商",IF(AND(P1525="应付",COUNTIF(基础资料!$Q$5:$Q$54,K1525)=0),"✗ 供应商不在基础资料里",IF(AND(P1525="费用",L1525=""),"✗ 费用支出要选费用项目",IF(AND(L1525&lt;&gt;"",COUNTIF(基础资料!$AI$5:$AI$54,L1525)=0),"✗ 费用项目不在基础资料里",IF(AND(IFERROR(INDEX(基础资料!$AD$5:$AD$34,MATCH(O1525,基础资料!$AC$5:$AC$34,0)),"")="收",N(G1525)&lt;&gt;0),"✗ 这类是收款，金额填到收入列",IF(AND(IFERROR(INDEX(基础资料!$AD$5:$AD$34,MATCH(O1525,基础资料!$AC$5:$AC$34,0)),"")="支",N(F1525)&lt;&gt;0),"✗ 这类是付款，金额填到支出列",IF(N(H1525)&lt;0,"⚠ 账户余额成负数了，核对一下","√"))))))))))))))))))</f>
      </c>
      <c r="O1525" s="78">
        <f>IF(D1525&lt;&gt;"",D1525,IF(AND(F1525="",G1525=""),"",IF(J1525&lt;&gt;"",IF(N(F1525)&gt;0,"客户回款","客户退款"),IF(K1525&lt;&gt;"",IF(N(G1525)&gt;0,"供应商付款","供应商退款"),IF(L1525&lt;&gt;"","费用支出","")))))</f>
      </c>
      <c r="P1525" s="78">
        <f>IF(O1525="","",IFERROR(INDEX(基础资料!$AE$5:$AE$34,MATCH(O1525,基础资料!$AC$5:$AC$34,0)),"未知"))</f>
      </c>
      <c r="Q1525" s="78">
        <f>IF(P1525="应收",COUNTIF(P$7:P1525,"应收"),"")</f>
      </c>
      <c r="R1525" s="78">
        <f>IF(P1525="应付",COUNTIF(P$7:P1525,"应付"),"")</f>
      </c>
      <c r="S1525" s="78">
        <f>N(F1525)-N(G1525)</f>
        <v>0</v>
      </c>
    </row>
    <row r="1526">
      <c r="A1526" s="109">
        <f>IF(AND(F1526="",G1526=""),"",ROW()-6)</f>
      </c>
      <c r="B1526" s="140" t="n"/>
      <c r="C1526" s="141" t="n"/>
      <c r="D1526" s="141" t="n"/>
      <c r="E1526" s="142" t="n"/>
      <c r="F1526" s="143" t="n"/>
      <c r="G1526" s="144" t="n"/>
      <c r="H1526" s="145">
        <f>IF(OR(C1526="",AND(F1526="",G1526="")),"",SUMIF(基础资料!$W$5:$W$24,C1526,基础资料!$X$5:$X$24)+SUMIF(C$7:C1526,C1526,F$7:F1526)-SUMIF(C$7:C1526,C1526,G$7:G1526))</f>
      </c>
      <c r="I1526" s="145">
        <f>IF(AND(F1526="",G1526=""),"",SUM(基础资料!$X$5:$X$24)+SUM(F$7:F1526)-SUM(G$7:G1526))</f>
      </c>
      <c r="J1526" s="141" t="n"/>
      <c r="K1526" s="141" t="n"/>
      <c r="L1526" s="141" t="n"/>
      <c r="M1526" s="142" t="n"/>
      <c r="N1526" s="146">
        <f>IF(AND(AND(F1526="",G1526=""),B1526="",C1526="",D1526="",J1526="",K1526="",L1526=""),"",IF(AND(F1526="",G1526=""),"✗ 没填金额",IF(AND(N(F1526)&lt;&gt;0,N(G1526)&lt;&gt;0),"✗ 收入、支出只能填一边",IF(NOT(ISNUMBER(B1526)),"✗ 日期不是真日期（要像 2026/9/25 这样填）",IF(OR(B1526&lt;年初日,B1526&gt;年末日),"✗ 日期不在本会计年度",IF(C1526="","✗ 没选账户",IF(COUNTIF(基础资料!$W$5:$W$24,C1526)=0,"✗ 账户不在基础资料里",IF(O1526="","✗ 没选收支项目",IF(P1526="未知","✗ 收支项目不在基础资料里",IF(AND(P1526="应收",J1526=""),"✗ 这笔要选客户",IF(AND(P1526="应收",COUNTIF(总览汇总!$B$5:$B$304,J1526)=0),"✗ 客户不在总览汇总名单里",IF(AND(P1526="应付",K1526=""),"✗ 这笔要选供应商",IF(AND(P1526="应付",COUNTIF(基础资料!$Q$5:$Q$54,K1526)=0),"✗ 供应商不在基础资料里",IF(AND(P1526="费用",L1526=""),"✗ 费用支出要选费用项目",IF(AND(L1526&lt;&gt;"",COUNTIF(基础资料!$AI$5:$AI$54,L1526)=0),"✗ 费用项目不在基础资料里",IF(AND(IFERROR(INDEX(基础资料!$AD$5:$AD$34,MATCH(O1526,基础资料!$AC$5:$AC$34,0)),"")="收",N(G1526)&lt;&gt;0),"✗ 这类是收款，金额填到收入列",IF(AND(IFERROR(INDEX(基础资料!$AD$5:$AD$34,MATCH(O1526,基础资料!$AC$5:$AC$34,0)),"")="支",N(F1526)&lt;&gt;0),"✗ 这类是付款，金额填到支出列",IF(N(H1526)&lt;0,"⚠ 账户余额成负数了，核对一下","√"))))))))))))))))))</f>
      </c>
      <c r="O1526" s="78">
        <f>IF(D1526&lt;&gt;"",D1526,IF(AND(F1526="",G1526=""),"",IF(J1526&lt;&gt;"",IF(N(F1526)&gt;0,"客户回款","客户退款"),IF(K1526&lt;&gt;"",IF(N(G1526)&gt;0,"供应商付款","供应商退款"),IF(L1526&lt;&gt;"","费用支出","")))))</f>
      </c>
      <c r="P1526" s="78">
        <f>IF(O1526="","",IFERROR(INDEX(基础资料!$AE$5:$AE$34,MATCH(O1526,基础资料!$AC$5:$AC$34,0)),"未知"))</f>
      </c>
      <c r="Q1526" s="78">
        <f>IF(P1526="应收",COUNTIF(P$7:P1526,"应收"),"")</f>
      </c>
      <c r="R1526" s="78">
        <f>IF(P1526="应付",COUNTIF(P$7:P1526,"应付"),"")</f>
      </c>
      <c r="S1526" s="78">
        <f>N(F1526)-N(G1526)</f>
        <v>0</v>
      </c>
    </row>
    <row r="1527">
      <c r="A1527" s="109">
        <f>IF(AND(F1527="",G1527=""),"",ROW()-6)</f>
      </c>
      <c r="B1527" s="140" t="n"/>
      <c r="C1527" s="141" t="n"/>
      <c r="D1527" s="141" t="n"/>
      <c r="E1527" s="142" t="n"/>
      <c r="F1527" s="143" t="n"/>
      <c r="G1527" s="144" t="n"/>
      <c r="H1527" s="145">
        <f>IF(OR(C1527="",AND(F1527="",G1527="")),"",SUMIF(基础资料!$W$5:$W$24,C1527,基础资料!$X$5:$X$24)+SUMIF(C$7:C1527,C1527,F$7:F1527)-SUMIF(C$7:C1527,C1527,G$7:G1527))</f>
      </c>
      <c r="I1527" s="145">
        <f>IF(AND(F1527="",G1527=""),"",SUM(基础资料!$X$5:$X$24)+SUM(F$7:F1527)-SUM(G$7:G1527))</f>
      </c>
      <c r="J1527" s="141" t="n"/>
      <c r="K1527" s="141" t="n"/>
      <c r="L1527" s="141" t="n"/>
      <c r="M1527" s="142" t="n"/>
      <c r="N1527" s="146">
        <f>IF(AND(AND(F1527="",G1527=""),B1527="",C1527="",D1527="",J1527="",K1527="",L1527=""),"",IF(AND(F1527="",G1527=""),"✗ 没填金额",IF(AND(N(F1527)&lt;&gt;0,N(G1527)&lt;&gt;0),"✗ 收入、支出只能填一边",IF(NOT(ISNUMBER(B1527)),"✗ 日期不是真日期（要像 2026/9/25 这样填）",IF(OR(B1527&lt;年初日,B1527&gt;年末日),"✗ 日期不在本会计年度",IF(C1527="","✗ 没选账户",IF(COUNTIF(基础资料!$W$5:$W$24,C1527)=0,"✗ 账户不在基础资料里",IF(O1527="","✗ 没选收支项目",IF(P1527="未知","✗ 收支项目不在基础资料里",IF(AND(P1527="应收",J1527=""),"✗ 这笔要选客户",IF(AND(P1527="应收",COUNTIF(总览汇总!$B$5:$B$304,J1527)=0),"✗ 客户不在总览汇总名单里",IF(AND(P1527="应付",K1527=""),"✗ 这笔要选供应商",IF(AND(P1527="应付",COUNTIF(基础资料!$Q$5:$Q$54,K1527)=0),"✗ 供应商不在基础资料里",IF(AND(P1527="费用",L1527=""),"✗ 费用支出要选费用项目",IF(AND(L1527&lt;&gt;"",COUNTIF(基础资料!$AI$5:$AI$54,L1527)=0),"✗ 费用项目不在基础资料里",IF(AND(IFERROR(INDEX(基础资料!$AD$5:$AD$34,MATCH(O1527,基础资料!$AC$5:$AC$34,0)),"")="收",N(G1527)&lt;&gt;0),"✗ 这类是收款，金额填到收入列",IF(AND(IFERROR(INDEX(基础资料!$AD$5:$AD$34,MATCH(O1527,基础资料!$AC$5:$AC$34,0)),"")="支",N(F1527)&lt;&gt;0),"✗ 这类是付款，金额填到支出列",IF(N(H1527)&lt;0,"⚠ 账户余额成负数了，核对一下","√"))))))))))))))))))</f>
      </c>
      <c r="O1527" s="78">
        <f>IF(D1527&lt;&gt;"",D1527,IF(AND(F1527="",G1527=""),"",IF(J1527&lt;&gt;"",IF(N(F1527)&gt;0,"客户回款","客户退款"),IF(K1527&lt;&gt;"",IF(N(G1527)&gt;0,"供应商付款","供应商退款"),IF(L1527&lt;&gt;"","费用支出","")))))</f>
      </c>
      <c r="P1527" s="78">
        <f>IF(O1527="","",IFERROR(INDEX(基础资料!$AE$5:$AE$34,MATCH(O1527,基础资料!$AC$5:$AC$34,0)),"未知"))</f>
      </c>
      <c r="Q1527" s="78">
        <f>IF(P1527="应收",COUNTIF(P$7:P1527,"应收"),"")</f>
      </c>
      <c r="R1527" s="78">
        <f>IF(P1527="应付",COUNTIF(P$7:P1527,"应付"),"")</f>
      </c>
      <c r="S1527" s="78">
        <f>N(F1527)-N(G1527)</f>
        <v>0</v>
      </c>
    </row>
    <row r="1528">
      <c r="A1528" s="109">
        <f>IF(AND(F1528="",G1528=""),"",ROW()-6)</f>
      </c>
      <c r="B1528" s="140" t="n"/>
      <c r="C1528" s="141" t="n"/>
      <c r="D1528" s="141" t="n"/>
      <c r="E1528" s="142" t="n"/>
      <c r="F1528" s="143" t="n"/>
      <c r="G1528" s="144" t="n"/>
      <c r="H1528" s="145">
        <f>IF(OR(C1528="",AND(F1528="",G1528="")),"",SUMIF(基础资料!$W$5:$W$24,C1528,基础资料!$X$5:$X$24)+SUMIF(C$7:C1528,C1528,F$7:F1528)-SUMIF(C$7:C1528,C1528,G$7:G1528))</f>
      </c>
      <c r="I1528" s="145">
        <f>IF(AND(F1528="",G1528=""),"",SUM(基础资料!$X$5:$X$24)+SUM(F$7:F1528)-SUM(G$7:G1528))</f>
      </c>
      <c r="J1528" s="141" t="n"/>
      <c r="K1528" s="141" t="n"/>
      <c r="L1528" s="141" t="n"/>
      <c r="M1528" s="142" t="n"/>
      <c r="N1528" s="146">
        <f>IF(AND(AND(F1528="",G1528=""),B1528="",C1528="",D1528="",J1528="",K1528="",L1528=""),"",IF(AND(F1528="",G1528=""),"✗ 没填金额",IF(AND(N(F1528)&lt;&gt;0,N(G1528)&lt;&gt;0),"✗ 收入、支出只能填一边",IF(NOT(ISNUMBER(B1528)),"✗ 日期不是真日期（要像 2026/9/25 这样填）",IF(OR(B1528&lt;年初日,B1528&gt;年末日),"✗ 日期不在本会计年度",IF(C1528="","✗ 没选账户",IF(COUNTIF(基础资料!$W$5:$W$24,C1528)=0,"✗ 账户不在基础资料里",IF(O1528="","✗ 没选收支项目",IF(P1528="未知","✗ 收支项目不在基础资料里",IF(AND(P1528="应收",J1528=""),"✗ 这笔要选客户",IF(AND(P1528="应收",COUNTIF(总览汇总!$B$5:$B$304,J1528)=0),"✗ 客户不在总览汇总名单里",IF(AND(P1528="应付",K1528=""),"✗ 这笔要选供应商",IF(AND(P1528="应付",COUNTIF(基础资料!$Q$5:$Q$54,K1528)=0),"✗ 供应商不在基础资料里",IF(AND(P1528="费用",L1528=""),"✗ 费用支出要选费用项目",IF(AND(L1528&lt;&gt;"",COUNTIF(基础资料!$AI$5:$AI$54,L1528)=0),"✗ 费用项目不在基础资料里",IF(AND(IFERROR(INDEX(基础资料!$AD$5:$AD$34,MATCH(O1528,基础资料!$AC$5:$AC$34,0)),"")="收",N(G1528)&lt;&gt;0),"✗ 这类是收款，金额填到收入列",IF(AND(IFERROR(INDEX(基础资料!$AD$5:$AD$34,MATCH(O1528,基础资料!$AC$5:$AC$34,0)),"")="支",N(F1528)&lt;&gt;0),"✗ 这类是付款，金额填到支出列",IF(N(H1528)&lt;0,"⚠ 账户余额成负数了，核对一下","√"))))))))))))))))))</f>
      </c>
      <c r="O1528" s="78">
        <f>IF(D1528&lt;&gt;"",D1528,IF(AND(F1528="",G1528=""),"",IF(J1528&lt;&gt;"",IF(N(F1528)&gt;0,"客户回款","客户退款"),IF(K1528&lt;&gt;"",IF(N(G1528)&gt;0,"供应商付款","供应商退款"),IF(L1528&lt;&gt;"","费用支出","")))))</f>
      </c>
      <c r="P1528" s="78">
        <f>IF(O1528="","",IFERROR(INDEX(基础资料!$AE$5:$AE$34,MATCH(O1528,基础资料!$AC$5:$AC$34,0)),"未知"))</f>
      </c>
      <c r="Q1528" s="78">
        <f>IF(P1528="应收",COUNTIF(P$7:P1528,"应收"),"")</f>
      </c>
      <c r="R1528" s="78">
        <f>IF(P1528="应付",COUNTIF(P$7:P1528,"应付"),"")</f>
      </c>
      <c r="S1528" s="78">
        <f>N(F1528)-N(G1528)</f>
        <v>0</v>
      </c>
    </row>
    <row r="1529">
      <c r="A1529" s="109">
        <f>IF(AND(F1529="",G1529=""),"",ROW()-6)</f>
      </c>
      <c r="B1529" s="140" t="n"/>
      <c r="C1529" s="141" t="n"/>
      <c r="D1529" s="141" t="n"/>
      <c r="E1529" s="142" t="n"/>
      <c r="F1529" s="143" t="n"/>
      <c r="G1529" s="144" t="n"/>
      <c r="H1529" s="145">
        <f>IF(OR(C1529="",AND(F1529="",G1529="")),"",SUMIF(基础资料!$W$5:$W$24,C1529,基础资料!$X$5:$X$24)+SUMIF(C$7:C1529,C1529,F$7:F1529)-SUMIF(C$7:C1529,C1529,G$7:G1529))</f>
      </c>
      <c r="I1529" s="145">
        <f>IF(AND(F1529="",G1529=""),"",SUM(基础资料!$X$5:$X$24)+SUM(F$7:F1529)-SUM(G$7:G1529))</f>
      </c>
      <c r="J1529" s="141" t="n"/>
      <c r="K1529" s="141" t="n"/>
      <c r="L1529" s="141" t="n"/>
      <c r="M1529" s="142" t="n"/>
      <c r="N1529" s="146">
        <f>IF(AND(AND(F1529="",G1529=""),B1529="",C1529="",D1529="",J1529="",K1529="",L1529=""),"",IF(AND(F1529="",G1529=""),"✗ 没填金额",IF(AND(N(F1529)&lt;&gt;0,N(G1529)&lt;&gt;0),"✗ 收入、支出只能填一边",IF(NOT(ISNUMBER(B1529)),"✗ 日期不是真日期（要像 2026/9/25 这样填）",IF(OR(B1529&lt;年初日,B1529&gt;年末日),"✗ 日期不在本会计年度",IF(C1529="","✗ 没选账户",IF(COUNTIF(基础资料!$W$5:$W$24,C1529)=0,"✗ 账户不在基础资料里",IF(O1529="","✗ 没选收支项目",IF(P1529="未知","✗ 收支项目不在基础资料里",IF(AND(P1529="应收",J1529=""),"✗ 这笔要选客户",IF(AND(P1529="应收",COUNTIF(总览汇总!$B$5:$B$304,J1529)=0),"✗ 客户不在总览汇总名单里",IF(AND(P1529="应付",K1529=""),"✗ 这笔要选供应商",IF(AND(P1529="应付",COUNTIF(基础资料!$Q$5:$Q$54,K1529)=0),"✗ 供应商不在基础资料里",IF(AND(P1529="费用",L1529=""),"✗ 费用支出要选费用项目",IF(AND(L1529&lt;&gt;"",COUNTIF(基础资料!$AI$5:$AI$54,L1529)=0),"✗ 费用项目不在基础资料里",IF(AND(IFERROR(INDEX(基础资料!$AD$5:$AD$34,MATCH(O1529,基础资料!$AC$5:$AC$34,0)),"")="收",N(G1529)&lt;&gt;0),"✗ 这类是收款，金额填到收入列",IF(AND(IFERROR(INDEX(基础资料!$AD$5:$AD$34,MATCH(O1529,基础资料!$AC$5:$AC$34,0)),"")="支",N(F1529)&lt;&gt;0),"✗ 这类是付款，金额填到支出列",IF(N(H1529)&lt;0,"⚠ 账户余额成负数了，核对一下","√"))))))))))))))))))</f>
      </c>
      <c r="O1529" s="78">
        <f>IF(D1529&lt;&gt;"",D1529,IF(AND(F1529="",G1529=""),"",IF(J1529&lt;&gt;"",IF(N(F1529)&gt;0,"客户回款","客户退款"),IF(K1529&lt;&gt;"",IF(N(G1529)&gt;0,"供应商付款","供应商退款"),IF(L1529&lt;&gt;"","费用支出","")))))</f>
      </c>
      <c r="P1529" s="78">
        <f>IF(O1529="","",IFERROR(INDEX(基础资料!$AE$5:$AE$34,MATCH(O1529,基础资料!$AC$5:$AC$34,0)),"未知"))</f>
      </c>
      <c r="Q1529" s="78">
        <f>IF(P1529="应收",COUNTIF(P$7:P1529,"应收"),"")</f>
      </c>
      <c r="R1529" s="78">
        <f>IF(P1529="应付",COUNTIF(P$7:P1529,"应付"),"")</f>
      </c>
      <c r="S1529" s="78">
        <f>N(F1529)-N(G1529)</f>
        <v>0</v>
      </c>
    </row>
    <row r="1530">
      <c r="A1530" s="109">
        <f>IF(AND(F1530="",G1530=""),"",ROW()-6)</f>
      </c>
      <c r="B1530" s="140" t="n"/>
      <c r="C1530" s="141" t="n"/>
      <c r="D1530" s="141" t="n"/>
      <c r="E1530" s="142" t="n"/>
      <c r="F1530" s="143" t="n"/>
      <c r="G1530" s="144" t="n"/>
      <c r="H1530" s="145">
        <f>IF(OR(C1530="",AND(F1530="",G1530="")),"",SUMIF(基础资料!$W$5:$W$24,C1530,基础资料!$X$5:$X$24)+SUMIF(C$7:C1530,C1530,F$7:F1530)-SUMIF(C$7:C1530,C1530,G$7:G1530))</f>
      </c>
      <c r="I1530" s="145">
        <f>IF(AND(F1530="",G1530=""),"",SUM(基础资料!$X$5:$X$24)+SUM(F$7:F1530)-SUM(G$7:G1530))</f>
      </c>
      <c r="J1530" s="141" t="n"/>
      <c r="K1530" s="141" t="n"/>
      <c r="L1530" s="141" t="n"/>
      <c r="M1530" s="142" t="n"/>
      <c r="N1530" s="146">
        <f>IF(AND(AND(F1530="",G1530=""),B1530="",C1530="",D1530="",J1530="",K1530="",L1530=""),"",IF(AND(F1530="",G1530=""),"✗ 没填金额",IF(AND(N(F1530)&lt;&gt;0,N(G1530)&lt;&gt;0),"✗ 收入、支出只能填一边",IF(NOT(ISNUMBER(B1530)),"✗ 日期不是真日期（要像 2026/9/25 这样填）",IF(OR(B1530&lt;年初日,B1530&gt;年末日),"✗ 日期不在本会计年度",IF(C1530="","✗ 没选账户",IF(COUNTIF(基础资料!$W$5:$W$24,C1530)=0,"✗ 账户不在基础资料里",IF(O1530="","✗ 没选收支项目",IF(P1530="未知","✗ 收支项目不在基础资料里",IF(AND(P1530="应收",J1530=""),"✗ 这笔要选客户",IF(AND(P1530="应收",COUNTIF(总览汇总!$B$5:$B$304,J1530)=0),"✗ 客户不在总览汇总名单里",IF(AND(P1530="应付",K1530=""),"✗ 这笔要选供应商",IF(AND(P1530="应付",COUNTIF(基础资料!$Q$5:$Q$54,K1530)=0),"✗ 供应商不在基础资料里",IF(AND(P1530="费用",L1530=""),"✗ 费用支出要选费用项目",IF(AND(L1530&lt;&gt;"",COUNTIF(基础资料!$AI$5:$AI$54,L1530)=0),"✗ 费用项目不在基础资料里",IF(AND(IFERROR(INDEX(基础资料!$AD$5:$AD$34,MATCH(O1530,基础资料!$AC$5:$AC$34,0)),"")="收",N(G1530)&lt;&gt;0),"✗ 这类是收款，金额填到收入列",IF(AND(IFERROR(INDEX(基础资料!$AD$5:$AD$34,MATCH(O1530,基础资料!$AC$5:$AC$34,0)),"")="支",N(F1530)&lt;&gt;0),"✗ 这类是付款，金额填到支出列",IF(N(H1530)&lt;0,"⚠ 账户余额成负数了，核对一下","√"))))))))))))))))))</f>
      </c>
      <c r="O1530" s="78">
        <f>IF(D1530&lt;&gt;"",D1530,IF(AND(F1530="",G1530=""),"",IF(J1530&lt;&gt;"",IF(N(F1530)&gt;0,"客户回款","客户退款"),IF(K1530&lt;&gt;"",IF(N(G1530)&gt;0,"供应商付款","供应商退款"),IF(L1530&lt;&gt;"","费用支出","")))))</f>
      </c>
      <c r="P1530" s="78">
        <f>IF(O1530="","",IFERROR(INDEX(基础资料!$AE$5:$AE$34,MATCH(O1530,基础资料!$AC$5:$AC$34,0)),"未知"))</f>
      </c>
      <c r="Q1530" s="78">
        <f>IF(P1530="应收",COUNTIF(P$7:P1530,"应收"),"")</f>
      </c>
      <c r="R1530" s="78">
        <f>IF(P1530="应付",COUNTIF(P$7:P1530,"应付"),"")</f>
      </c>
      <c r="S1530" s="78">
        <f>N(F1530)-N(G1530)</f>
        <v>0</v>
      </c>
    </row>
    <row r="1531">
      <c r="A1531" s="109">
        <f>IF(AND(F1531="",G1531=""),"",ROW()-6)</f>
      </c>
      <c r="B1531" s="140" t="n"/>
      <c r="C1531" s="141" t="n"/>
      <c r="D1531" s="141" t="n"/>
      <c r="E1531" s="142" t="n"/>
      <c r="F1531" s="143" t="n"/>
      <c r="G1531" s="144" t="n"/>
      <c r="H1531" s="145">
        <f>IF(OR(C1531="",AND(F1531="",G1531="")),"",SUMIF(基础资料!$W$5:$W$24,C1531,基础资料!$X$5:$X$24)+SUMIF(C$7:C1531,C1531,F$7:F1531)-SUMIF(C$7:C1531,C1531,G$7:G1531))</f>
      </c>
      <c r="I1531" s="145">
        <f>IF(AND(F1531="",G1531=""),"",SUM(基础资料!$X$5:$X$24)+SUM(F$7:F1531)-SUM(G$7:G1531))</f>
      </c>
      <c r="J1531" s="141" t="n"/>
      <c r="K1531" s="141" t="n"/>
      <c r="L1531" s="141" t="n"/>
      <c r="M1531" s="142" t="n"/>
      <c r="N1531" s="146">
        <f>IF(AND(AND(F1531="",G1531=""),B1531="",C1531="",D1531="",J1531="",K1531="",L1531=""),"",IF(AND(F1531="",G1531=""),"✗ 没填金额",IF(AND(N(F1531)&lt;&gt;0,N(G1531)&lt;&gt;0),"✗ 收入、支出只能填一边",IF(NOT(ISNUMBER(B1531)),"✗ 日期不是真日期（要像 2026/9/25 这样填）",IF(OR(B1531&lt;年初日,B1531&gt;年末日),"✗ 日期不在本会计年度",IF(C1531="","✗ 没选账户",IF(COUNTIF(基础资料!$W$5:$W$24,C1531)=0,"✗ 账户不在基础资料里",IF(O1531="","✗ 没选收支项目",IF(P1531="未知","✗ 收支项目不在基础资料里",IF(AND(P1531="应收",J1531=""),"✗ 这笔要选客户",IF(AND(P1531="应收",COUNTIF(总览汇总!$B$5:$B$304,J1531)=0),"✗ 客户不在总览汇总名单里",IF(AND(P1531="应付",K1531=""),"✗ 这笔要选供应商",IF(AND(P1531="应付",COUNTIF(基础资料!$Q$5:$Q$54,K1531)=0),"✗ 供应商不在基础资料里",IF(AND(P1531="费用",L1531=""),"✗ 费用支出要选费用项目",IF(AND(L1531&lt;&gt;"",COUNTIF(基础资料!$AI$5:$AI$54,L1531)=0),"✗ 费用项目不在基础资料里",IF(AND(IFERROR(INDEX(基础资料!$AD$5:$AD$34,MATCH(O1531,基础资料!$AC$5:$AC$34,0)),"")="收",N(G1531)&lt;&gt;0),"✗ 这类是收款，金额填到收入列",IF(AND(IFERROR(INDEX(基础资料!$AD$5:$AD$34,MATCH(O1531,基础资料!$AC$5:$AC$34,0)),"")="支",N(F1531)&lt;&gt;0),"✗ 这类是付款，金额填到支出列",IF(N(H1531)&lt;0,"⚠ 账户余额成负数了，核对一下","√"))))))))))))))))))</f>
      </c>
      <c r="O1531" s="78">
        <f>IF(D1531&lt;&gt;"",D1531,IF(AND(F1531="",G1531=""),"",IF(J1531&lt;&gt;"",IF(N(F1531)&gt;0,"客户回款","客户退款"),IF(K1531&lt;&gt;"",IF(N(G1531)&gt;0,"供应商付款","供应商退款"),IF(L1531&lt;&gt;"","费用支出","")))))</f>
      </c>
      <c r="P1531" s="78">
        <f>IF(O1531="","",IFERROR(INDEX(基础资料!$AE$5:$AE$34,MATCH(O1531,基础资料!$AC$5:$AC$34,0)),"未知"))</f>
      </c>
      <c r="Q1531" s="78">
        <f>IF(P1531="应收",COUNTIF(P$7:P1531,"应收"),"")</f>
      </c>
      <c r="R1531" s="78">
        <f>IF(P1531="应付",COUNTIF(P$7:P1531,"应付"),"")</f>
      </c>
      <c r="S1531" s="78">
        <f>N(F1531)-N(G1531)</f>
        <v>0</v>
      </c>
    </row>
    <row r="1532">
      <c r="A1532" s="109">
        <f>IF(AND(F1532="",G1532=""),"",ROW()-6)</f>
      </c>
      <c r="B1532" s="140" t="n"/>
      <c r="C1532" s="141" t="n"/>
      <c r="D1532" s="141" t="n"/>
      <c r="E1532" s="142" t="n"/>
      <c r="F1532" s="143" t="n"/>
      <c r="G1532" s="144" t="n"/>
      <c r="H1532" s="145">
        <f>IF(OR(C1532="",AND(F1532="",G1532="")),"",SUMIF(基础资料!$W$5:$W$24,C1532,基础资料!$X$5:$X$24)+SUMIF(C$7:C1532,C1532,F$7:F1532)-SUMIF(C$7:C1532,C1532,G$7:G1532))</f>
      </c>
      <c r="I1532" s="145">
        <f>IF(AND(F1532="",G1532=""),"",SUM(基础资料!$X$5:$X$24)+SUM(F$7:F1532)-SUM(G$7:G1532))</f>
      </c>
      <c r="J1532" s="141" t="n"/>
      <c r="K1532" s="141" t="n"/>
      <c r="L1532" s="141" t="n"/>
      <c r="M1532" s="142" t="n"/>
      <c r="N1532" s="146">
        <f>IF(AND(AND(F1532="",G1532=""),B1532="",C1532="",D1532="",J1532="",K1532="",L1532=""),"",IF(AND(F1532="",G1532=""),"✗ 没填金额",IF(AND(N(F1532)&lt;&gt;0,N(G1532)&lt;&gt;0),"✗ 收入、支出只能填一边",IF(NOT(ISNUMBER(B1532)),"✗ 日期不是真日期（要像 2026/9/25 这样填）",IF(OR(B1532&lt;年初日,B1532&gt;年末日),"✗ 日期不在本会计年度",IF(C1532="","✗ 没选账户",IF(COUNTIF(基础资料!$W$5:$W$24,C1532)=0,"✗ 账户不在基础资料里",IF(O1532="","✗ 没选收支项目",IF(P1532="未知","✗ 收支项目不在基础资料里",IF(AND(P1532="应收",J1532=""),"✗ 这笔要选客户",IF(AND(P1532="应收",COUNTIF(总览汇总!$B$5:$B$304,J1532)=0),"✗ 客户不在总览汇总名单里",IF(AND(P1532="应付",K1532=""),"✗ 这笔要选供应商",IF(AND(P1532="应付",COUNTIF(基础资料!$Q$5:$Q$54,K1532)=0),"✗ 供应商不在基础资料里",IF(AND(P1532="费用",L1532=""),"✗ 费用支出要选费用项目",IF(AND(L1532&lt;&gt;"",COUNTIF(基础资料!$AI$5:$AI$54,L1532)=0),"✗ 费用项目不在基础资料里",IF(AND(IFERROR(INDEX(基础资料!$AD$5:$AD$34,MATCH(O1532,基础资料!$AC$5:$AC$34,0)),"")="收",N(G1532)&lt;&gt;0),"✗ 这类是收款，金额填到收入列",IF(AND(IFERROR(INDEX(基础资料!$AD$5:$AD$34,MATCH(O1532,基础资料!$AC$5:$AC$34,0)),"")="支",N(F1532)&lt;&gt;0),"✗ 这类是付款，金额填到支出列",IF(N(H1532)&lt;0,"⚠ 账户余额成负数了，核对一下","√"))))))))))))))))))</f>
      </c>
      <c r="O1532" s="78">
        <f>IF(D1532&lt;&gt;"",D1532,IF(AND(F1532="",G1532=""),"",IF(J1532&lt;&gt;"",IF(N(F1532)&gt;0,"客户回款","客户退款"),IF(K1532&lt;&gt;"",IF(N(G1532)&gt;0,"供应商付款","供应商退款"),IF(L1532&lt;&gt;"","费用支出","")))))</f>
      </c>
      <c r="P1532" s="78">
        <f>IF(O1532="","",IFERROR(INDEX(基础资料!$AE$5:$AE$34,MATCH(O1532,基础资料!$AC$5:$AC$34,0)),"未知"))</f>
      </c>
      <c r="Q1532" s="78">
        <f>IF(P1532="应收",COUNTIF(P$7:P1532,"应收"),"")</f>
      </c>
      <c r="R1532" s="78">
        <f>IF(P1532="应付",COUNTIF(P$7:P1532,"应付"),"")</f>
      </c>
      <c r="S1532" s="78">
        <f>N(F1532)-N(G1532)</f>
        <v>0</v>
      </c>
    </row>
    <row r="1533">
      <c r="A1533" s="109">
        <f>IF(AND(F1533="",G1533=""),"",ROW()-6)</f>
      </c>
      <c r="B1533" s="140" t="n"/>
      <c r="C1533" s="141" t="n"/>
      <c r="D1533" s="141" t="n"/>
      <c r="E1533" s="142" t="n"/>
      <c r="F1533" s="143" t="n"/>
      <c r="G1533" s="144" t="n"/>
      <c r="H1533" s="145">
        <f>IF(OR(C1533="",AND(F1533="",G1533="")),"",SUMIF(基础资料!$W$5:$W$24,C1533,基础资料!$X$5:$X$24)+SUMIF(C$7:C1533,C1533,F$7:F1533)-SUMIF(C$7:C1533,C1533,G$7:G1533))</f>
      </c>
      <c r="I1533" s="145">
        <f>IF(AND(F1533="",G1533=""),"",SUM(基础资料!$X$5:$X$24)+SUM(F$7:F1533)-SUM(G$7:G1533))</f>
      </c>
      <c r="J1533" s="141" t="n"/>
      <c r="K1533" s="141" t="n"/>
      <c r="L1533" s="141" t="n"/>
      <c r="M1533" s="142" t="n"/>
      <c r="N1533" s="146">
        <f>IF(AND(AND(F1533="",G1533=""),B1533="",C1533="",D1533="",J1533="",K1533="",L1533=""),"",IF(AND(F1533="",G1533=""),"✗ 没填金额",IF(AND(N(F1533)&lt;&gt;0,N(G1533)&lt;&gt;0),"✗ 收入、支出只能填一边",IF(NOT(ISNUMBER(B1533)),"✗ 日期不是真日期（要像 2026/9/25 这样填）",IF(OR(B1533&lt;年初日,B1533&gt;年末日),"✗ 日期不在本会计年度",IF(C1533="","✗ 没选账户",IF(COUNTIF(基础资料!$W$5:$W$24,C1533)=0,"✗ 账户不在基础资料里",IF(O1533="","✗ 没选收支项目",IF(P1533="未知","✗ 收支项目不在基础资料里",IF(AND(P1533="应收",J1533=""),"✗ 这笔要选客户",IF(AND(P1533="应收",COUNTIF(总览汇总!$B$5:$B$304,J1533)=0),"✗ 客户不在总览汇总名单里",IF(AND(P1533="应付",K1533=""),"✗ 这笔要选供应商",IF(AND(P1533="应付",COUNTIF(基础资料!$Q$5:$Q$54,K1533)=0),"✗ 供应商不在基础资料里",IF(AND(P1533="费用",L1533=""),"✗ 费用支出要选费用项目",IF(AND(L1533&lt;&gt;"",COUNTIF(基础资料!$AI$5:$AI$54,L1533)=0),"✗ 费用项目不在基础资料里",IF(AND(IFERROR(INDEX(基础资料!$AD$5:$AD$34,MATCH(O1533,基础资料!$AC$5:$AC$34,0)),"")="收",N(G1533)&lt;&gt;0),"✗ 这类是收款，金额填到收入列",IF(AND(IFERROR(INDEX(基础资料!$AD$5:$AD$34,MATCH(O1533,基础资料!$AC$5:$AC$34,0)),"")="支",N(F1533)&lt;&gt;0),"✗ 这类是付款，金额填到支出列",IF(N(H1533)&lt;0,"⚠ 账户余额成负数了，核对一下","√"))))))))))))))))))</f>
      </c>
      <c r="O1533" s="78">
        <f>IF(D1533&lt;&gt;"",D1533,IF(AND(F1533="",G1533=""),"",IF(J1533&lt;&gt;"",IF(N(F1533)&gt;0,"客户回款","客户退款"),IF(K1533&lt;&gt;"",IF(N(G1533)&gt;0,"供应商付款","供应商退款"),IF(L1533&lt;&gt;"","费用支出","")))))</f>
      </c>
      <c r="P1533" s="78">
        <f>IF(O1533="","",IFERROR(INDEX(基础资料!$AE$5:$AE$34,MATCH(O1533,基础资料!$AC$5:$AC$34,0)),"未知"))</f>
      </c>
      <c r="Q1533" s="78">
        <f>IF(P1533="应收",COUNTIF(P$7:P1533,"应收"),"")</f>
      </c>
      <c r="R1533" s="78">
        <f>IF(P1533="应付",COUNTIF(P$7:P1533,"应付"),"")</f>
      </c>
      <c r="S1533" s="78">
        <f>N(F1533)-N(G1533)</f>
        <v>0</v>
      </c>
    </row>
    <row r="1534">
      <c r="A1534" s="109">
        <f>IF(AND(F1534="",G1534=""),"",ROW()-6)</f>
      </c>
      <c r="B1534" s="140" t="n"/>
      <c r="C1534" s="141" t="n"/>
      <c r="D1534" s="141" t="n"/>
      <c r="E1534" s="142" t="n"/>
      <c r="F1534" s="143" t="n"/>
      <c r="G1534" s="144" t="n"/>
      <c r="H1534" s="145">
        <f>IF(OR(C1534="",AND(F1534="",G1534="")),"",SUMIF(基础资料!$W$5:$W$24,C1534,基础资料!$X$5:$X$24)+SUMIF(C$7:C1534,C1534,F$7:F1534)-SUMIF(C$7:C1534,C1534,G$7:G1534))</f>
      </c>
      <c r="I1534" s="145">
        <f>IF(AND(F1534="",G1534=""),"",SUM(基础资料!$X$5:$X$24)+SUM(F$7:F1534)-SUM(G$7:G1534))</f>
      </c>
      <c r="J1534" s="141" t="n"/>
      <c r="K1534" s="141" t="n"/>
      <c r="L1534" s="141" t="n"/>
      <c r="M1534" s="142" t="n"/>
      <c r="N1534" s="146">
        <f>IF(AND(AND(F1534="",G1534=""),B1534="",C1534="",D1534="",J1534="",K1534="",L1534=""),"",IF(AND(F1534="",G1534=""),"✗ 没填金额",IF(AND(N(F1534)&lt;&gt;0,N(G1534)&lt;&gt;0),"✗ 收入、支出只能填一边",IF(NOT(ISNUMBER(B1534)),"✗ 日期不是真日期（要像 2026/9/25 这样填）",IF(OR(B1534&lt;年初日,B1534&gt;年末日),"✗ 日期不在本会计年度",IF(C1534="","✗ 没选账户",IF(COUNTIF(基础资料!$W$5:$W$24,C1534)=0,"✗ 账户不在基础资料里",IF(O1534="","✗ 没选收支项目",IF(P1534="未知","✗ 收支项目不在基础资料里",IF(AND(P1534="应收",J1534=""),"✗ 这笔要选客户",IF(AND(P1534="应收",COUNTIF(总览汇总!$B$5:$B$304,J1534)=0),"✗ 客户不在总览汇总名单里",IF(AND(P1534="应付",K1534=""),"✗ 这笔要选供应商",IF(AND(P1534="应付",COUNTIF(基础资料!$Q$5:$Q$54,K1534)=0),"✗ 供应商不在基础资料里",IF(AND(P1534="费用",L1534=""),"✗ 费用支出要选费用项目",IF(AND(L1534&lt;&gt;"",COUNTIF(基础资料!$AI$5:$AI$54,L1534)=0),"✗ 费用项目不在基础资料里",IF(AND(IFERROR(INDEX(基础资料!$AD$5:$AD$34,MATCH(O1534,基础资料!$AC$5:$AC$34,0)),"")="收",N(G1534)&lt;&gt;0),"✗ 这类是收款，金额填到收入列",IF(AND(IFERROR(INDEX(基础资料!$AD$5:$AD$34,MATCH(O1534,基础资料!$AC$5:$AC$34,0)),"")="支",N(F1534)&lt;&gt;0),"✗ 这类是付款，金额填到支出列",IF(N(H1534)&lt;0,"⚠ 账户余额成负数了，核对一下","√"))))))))))))))))))</f>
      </c>
      <c r="O1534" s="78">
        <f>IF(D1534&lt;&gt;"",D1534,IF(AND(F1534="",G1534=""),"",IF(J1534&lt;&gt;"",IF(N(F1534)&gt;0,"客户回款","客户退款"),IF(K1534&lt;&gt;"",IF(N(G1534)&gt;0,"供应商付款","供应商退款"),IF(L1534&lt;&gt;"","费用支出","")))))</f>
      </c>
      <c r="P1534" s="78">
        <f>IF(O1534="","",IFERROR(INDEX(基础资料!$AE$5:$AE$34,MATCH(O1534,基础资料!$AC$5:$AC$34,0)),"未知"))</f>
      </c>
      <c r="Q1534" s="78">
        <f>IF(P1534="应收",COUNTIF(P$7:P1534,"应收"),"")</f>
      </c>
      <c r="R1534" s="78">
        <f>IF(P1534="应付",COUNTIF(P$7:P1534,"应付"),"")</f>
      </c>
      <c r="S1534" s="78">
        <f>N(F1534)-N(G1534)</f>
        <v>0</v>
      </c>
    </row>
    <row r="1535">
      <c r="A1535" s="109">
        <f>IF(AND(F1535="",G1535=""),"",ROW()-6)</f>
      </c>
      <c r="B1535" s="140" t="n"/>
      <c r="C1535" s="141" t="n"/>
      <c r="D1535" s="141" t="n"/>
      <c r="E1535" s="142" t="n"/>
      <c r="F1535" s="143" t="n"/>
      <c r="G1535" s="144" t="n"/>
      <c r="H1535" s="145">
        <f>IF(OR(C1535="",AND(F1535="",G1535="")),"",SUMIF(基础资料!$W$5:$W$24,C1535,基础资料!$X$5:$X$24)+SUMIF(C$7:C1535,C1535,F$7:F1535)-SUMIF(C$7:C1535,C1535,G$7:G1535))</f>
      </c>
      <c r="I1535" s="145">
        <f>IF(AND(F1535="",G1535=""),"",SUM(基础资料!$X$5:$X$24)+SUM(F$7:F1535)-SUM(G$7:G1535))</f>
      </c>
      <c r="J1535" s="141" t="n"/>
      <c r="K1535" s="141" t="n"/>
      <c r="L1535" s="141" t="n"/>
      <c r="M1535" s="142" t="n"/>
      <c r="N1535" s="146">
        <f>IF(AND(AND(F1535="",G1535=""),B1535="",C1535="",D1535="",J1535="",K1535="",L1535=""),"",IF(AND(F1535="",G1535=""),"✗ 没填金额",IF(AND(N(F1535)&lt;&gt;0,N(G1535)&lt;&gt;0),"✗ 收入、支出只能填一边",IF(NOT(ISNUMBER(B1535)),"✗ 日期不是真日期（要像 2026/9/25 这样填）",IF(OR(B1535&lt;年初日,B1535&gt;年末日),"✗ 日期不在本会计年度",IF(C1535="","✗ 没选账户",IF(COUNTIF(基础资料!$W$5:$W$24,C1535)=0,"✗ 账户不在基础资料里",IF(O1535="","✗ 没选收支项目",IF(P1535="未知","✗ 收支项目不在基础资料里",IF(AND(P1535="应收",J1535=""),"✗ 这笔要选客户",IF(AND(P1535="应收",COUNTIF(总览汇总!$B$5:$B$304,J1535)=0),"✗ 客户不在总览汇总名单里",IF(AND(P1535="应付",K1535=""),"✗ 这笔要选供应商",IF(AND(P1535="应付",COUNTIF(基础资料!$Q$5:$Q$54,K1535)=0),"✗ 供应商不在基础资料里",IF(AND(P1535="费用",L1535=""),"✗ 费用支出要选费用项目",IF(AND(L1535&lt;&gt;"",COUNTIF(基础资料!$AI$5:$AI$54,L1535)=0),"✗ 费用项目不在基础资料里",IF(AND(IFERROR(INDEX(基础资料!$AD$5:$AD$34,MATCH(O1535,基础资料!$AC$5:$AC$34,0)),"")="收",N(G1535)&lt;&gt;0),"✗ 这类是收款，金额填到收入列",IF(AND(IFERROR(INDEX(基础资料!$AD$5:$AD$34,MATCH(O1535,基础资料!$AC$5:$AC$34,0)),"")="支",N(F1535)&lt;&gt;0),"✗ 这类是付款，金额填到支出列",IF(N(H1535)&lt;0,"⚠ 账户余额成负数了，核对一下","√"))))))))))))))))))</f>
      </c>
      <c r="O1535" s="78">
        <f>IF(D1535&lt;&gt;"",D1535,IF(AND(F1535="",G1535=""),"",IF(J1535&lt;&gt;"",IF(N(F1535)&gt;0,"客户回款","客户退款"),IF(K1535&lt;&gt;"",IF(N(G1535)&gt;0,"供应商付款","供应商退款"),IF(L1535&lt;&gt;"","费用支出","")))))</f>
      </c>
      <c r="P1535" s="78">
        <f>IF(O1535="","",IFERROR(INDEX(基础资料!$AE$5:$AE$34,MATCH(O1535,基础资料!$AC$5:$AC$34,0)),"未知"))</f>
      </c>
      <c r="Q1535" s="78">
        <f>IF(P1535="应收",COUNTIF(P$7:P1535,"应收"),"")</f>
      </c>
      <c r="R1535" s="78">
        <f>IF(P1535="应付",COUNTIF(P$7:P1535,"应付"),"")</f>
      </c>
      <c r="S1535" s="78">
        <f>N(F1535)-N(G1535)</f>
        <v>0</v>
      </c>
    </row>
    <row r="1536">
      <c r="A1536" s="109">
        <f>IF(AND(F1536="",G1536=""),"",ROW()-6)</f>
      </c>
      <c r="B1536" s="140" t="n"/>
      <c r="C1536" s="141" t="n"/>
      <c r="D1536" s="141" t="n"/>
      <c r="E1536" s="142" t="n"/>
      <c r="F1536" s="143" t="n"/>
      <c r="G1536" s="144" t="n"/>
      <c r="H1536" s="145">
        <f>IF(OR(C1536="",AND(F1536="",G1536="")),"",SUMIF(基础资料!$W$5:$W$24,C1536,基础资料!$X$5:$X$24)+SUMIF(C$7:C1536,C1536,F$7:F1536)-SUMIF(C$7:C1536,C1536,G$7:G1536))</f>
      </c>
      <c r="I1536" s="145">
        <f>IF(AND(F1536="",G1536=""),"",SUM(基础资料!$X$5:$X$24)+SUM(F$7:F1536)-SUM(G$7:G1536))</f>
      </c>
      <c r="J1536" s="141" t="n"/>
      <c r="K1536" s="141" t="n"/>
      <c r="L1536" s="141" t="n"/>
      <c r="M1536" s="142" t="n"/>
      <c r="N1536" s="146">
        <f>IF(AND(AND(F1536="",G1536=""),B1536="",C1536="",D1536="",J1536="",K1536="",L1536=""),"",IF(AND(F1536="",G1536=""),"✗ 没填金额",IF(AND(N(F1536)&lt;&gt;0,N(G1536)&lt;&gt;0),"✗ 收入、支出只能填一边",IF(NOT(ISNUMBER(B1536)),"✗ 日期不是真日期（要像 2026/9/25 这样填）",IF(OR(B1536&lt;年初日,B1536&gt;年末日),"✗ 日期不在本会计年度",IF(C1536="","✗ 没选账户",IF(COUNTIF(基础资料!$W$5:$W$24,C1536)=0,"✗ 账户不在基础资料里",IF(O1536="","✗ 没选收支项目",IF(P1536="未知","✗ 收支项目不在基础资料里",IF(AND(P1536="应收",J1536=""),"✗ 这笔要选客户",IF(AND(P1536="应收",COUNTIF(总览汇总!$B$5:$B$304,J1536)=0),"✗ 客户不在总览汇总名单里",IF(AND(P1536="应付",K1536=""),"✗ 这笔要选供应商",IF(AND(P1536="应付",COUNTIF(基础资料!$Q$5:$Q$54,K1536)=0),"✗ 供应商不在基础资料里",IF(AND(P1536="费用",L1536=""),"✗ 费用支出要选费用项目",IF(AND(L1536&lt;&gt;"",COUNTIF(基础资料!$AI$5:$AI$54,L1536)=0),"✗ 费用项目不在基础资料里",IF(AND(IFERROR(INDEX(基础资料!$AD$5:$AD$34,MATCH(O1536,基础资料!$AC$5:$AC$34,0)),"")="收",N(G1536)&lt;&gt;0),"✗ 这类是收款，金额填到收入列",IF(AND(IFERROR(INDEX(基础资料!$AD$5:$AD$34,MATCH(O1536,基础资料!$AC$5:$AC$34,0)),"")="支",N(F1536)&lt;&gt;0),"✗ 这类是付款，金额填到支出列",IF(N(H1536)&lt;0,"⚠ 账户余额成负数了，核对一下","√"))))))))))))))))))</f>
      </c>
      <c r="O1536" s="78">
        <f>IF(D1536&lt;&gt;"",D1536,IF(AND(F1536="",G1536=""),"",IF(J1536&lt;&gt;"",IF(N(F1536)&gt;0,"客户回款","客户退款"),IF(K1536&lt;&gt;"",IF(N(G1536)&gt;0,"供应商付款","供应商退款"),IF(L1536&lt;&gt;"","费用支出","")))))</f>
      </c>
      <c r="P1536" s="78">
        <f>IF(O1536="","",IFERROR(INDEX(基础资料!$AE$5:$AE$34,MATCH(O1536,基础资料!$AC$5:$AC$34,0)),"未知"))</f>
      </c>
      <c r="Q1536" s="78">
        <f>IF(P1536="应收",COUNTIF(P$7:P1536,"应收"),"")</f>
      </c>
      <c r="R1536" s="78">
        <f>IF(P1536="应付",COUNTIF(P$7:P1536,"应付"),"")</f>
      </c>
      <c r="S1536" s="78">
        <f>N(F1536)-N(G1536)</f>
        <v>0</v>
      </c>
    </row>
    <row r="1537">
      <c r="A1537" s="109">
        <f>IF(AND(F1537="",G1537=""),"",ROW()-6)</f>
      </c>
      <c r="B1537" s="140" t="n"/>
      <c r="C1537" s="141" t="n"/>
      <c r="D1537" s="141" t="n"/>
      <c r="E1537" s="142" t="n"/>
      <c r="F1537" s="143" t="n"/>
      <c r="G1537" s="144" t="n"/>
      <c r="H1537" s="145">
        <f>IF(OR(C1537="",AND(F1537="",G1537="")),"",SUMIF(基础资料!$W$5:$W$24,C1537,基础资料!$X$5:$X$24)+SUMIF(C$7:C1537,C1537,F$7:F1537)-SUMIF(C$7:C1537,C1537,G$7:G1537))</f>
      </c>
      <c r="I1537" s="145">
        <f>IF(AND(F1537="",G1537=""),"",SUM(基础资料!$X$5:$X$24)+SUM(F$7:F1537)-SUM(G$7:G1537))</f>
      </c>
      <c r="J1537" s="141" t="n"/>
      <c r="K1537" s="141" t="n"/>
      <c r="L1537" s="141" t="n"/>
      <c r="M1537" s="142" t="n"/>
      <c r="N1537" s="146">
        <f>IF(AND(AND(F1537="",G1537=""),B1537="",C1537="",D1537="",J1537="",K1537="",L1537=""),"",IF(AND(F1537="",G1537=""),"✗ 没填金额",IF(AND(N(F1537)&lt;&gt;0,N(G1537)&lt;&gt;0),"✗ 收入、支出只能填一边",IF(NOT(ISNUMBER(B1537)),"✗ 日期不是真日期（要像 2026/9/25 这样填）",IF(OR(B1537&lt;年初日,B1537&gt;年末日),"✗ 日期不在本会计年度",IF(C1537="","✗ 没选账户",IF(COUNTIF(基础资料!$W$5:$W$24,C1537)=0,"✗ 账户不在基础资料里",IF(O1537="","✗ 没选收支项目",IF(P1537="未知","✗ 收支项目不在基础资料里",IF(AND(P1537="应收",J1537=""),"✗ 这笔要选客户",IF(AND(P1537="应收",COUNTIF(总览汇总!$B$5:$B$304,J1537)=0),"✗ 客户不在总览汇总名单里",IF(AND(P1537="应付",K1537=""),"✗ 这笔要选供应商",IF(AND(P1537="应付",COUNTIF(基础资料!$Q$5:$Q$54,K1537)=0),"✗ 供应商不在基础资料里",IF(AND(P1537="费用",L1537=""),"✗ 费用支出要选费用项目",IF(AND(L1537&lt;&gt;"",COUNTIF(基础资料!$AI$5:$AI$54,L1537)=0),"✗ 费用项目不在基础资料里",IF(AND(IFERROR(INDEX(基础资料!$AD$5:$AD$34,MATCH(O1537,基础资料!$AC$5:$AC$34,0)),"")="收",N(G1537)&lt;&gt;0),"✗ 这类是收款，金额填到收入列",IF(AND(IFERROR(INDEX(基础资料!$AD$5:$AD$34,MATCH(O1537,基础资料!$AC$5:$AC$34,0)),"")="支",N(F1537)&lt;&gt;0),"✗ 这类是付款，金额填到支出列",IF(N(H1537)&lt;0,"⚠ 账户余额成负数了，核对一下","√"))))))))))))))))))</f>
      </c>
      <c r="O1537" s="78">
        <f>IF(D1537&lt;&gt;"",D1537,IF(AND(F1537="",G1537=""),"",IF(J1537&lt;&gt;"",IF(N(F1537)&gt;0,"客户回款","客户退款"),IF(K1537&lt;&gt;"",IF(N(G1537)&gt;0,"供应商付款","供应商退款"),IF(L1537&lt;&gt;"","费用支出","")))))</f>
      </c>
      <c r="P1537" s="78">
        <f>IF(O1537="","",IFERROR(INDEX(基础资料!$AE$5:$AE$34,MATCH(O1537,基础资料!$AC$5:$AC$34,0)),"未知"))</f>
      </c>
      <c r="Q1537" s="78">
        <f>IF(P1537="应收",COUNTIF(P$7:P1537,"应收"),"")</f>
      </c>
      <c r="R1537" s="78">
        <f>IF(P1537="应付",COUNTIF(P$7:P1537,"应付"),"")</f>
      </c>
      <c r="S1537" s="78">
        <f>N(F1537)-N(G1537)</f>
        <v>0</v>
      </c>
    </row>
    <row r="1538">
      <c r="A1538" s="109">
        <f>IF(AND(F1538="",G1538=""),"",ROW()-6)</f>
      </c>
      <c r="B1538" s="140" t="n"/>
      <c r="C1538" s="141" t="n"/>
      <c r="D1538" s="141" t="n"/>
      <c r="E1538" s="142" t="n"/>
      <c r="F1538" s="143" t="n"/>
      <c r="G1538" s="144" t="n"/>
      <c r="H1538" s="145">
        <f>IF(OR(C1538="",AND(F1538="",G1538="")),"",SUMIF(基础资料!$W$5:$W$24,C1538,基础资料!$X$5:$X$24)+SUMIF(C$7:C1538,C1538,F$7:F1538)-SUMIF(C$7:C1538,C1538,G$7:G1538))</f>
      </c>
      <c r="I1538" s="145">
        <f>IF(AND(F1538="",G1538=""),"",SUM(基础资料!$X$5:$X$24)+SUM(F$7:F1538)-SUM(G$7:G1538))</f>
      </c>
      <c r="J1538" s="141" t="n"/>
      <c r="K1538" s="141" t="n"/>
      <c r="L1538" s="141" t="n"/>
      <c r="M1538" s="142" t="n"/>
      <c r="N1538" s="146">
        <f>IF(AND(AND(F1538="",G1538=""),B1538="",C1538="",D1538="",J1538="",K1538="",L1538=""),"",IF(AND(F1538="",G1538=""),"✗ 没填金额",IF(AND(N(F1538)&lt;&gt;0,N(G1538)&lt;&gt;0),"✗ 收入、支出只能填一边",IF(NOT(ISNUMBER(B1538)),"✗ 日期不是真日期（要像 2026/9/25 这样填）",IF(OR(B1538&lt;年初日,B1538&gt;年末日),"✗ 日期不在本会计年度",IF(C1538="","✗ 没选账户",IF(COUNTIF(基础资料!$W$5:$W$24,C1538)=0,"✗ 账户不在基础资料里",IF(O1538="","✗ 没选收支项目",IF(P1538="未知","✗ 收支项目不在基础资料里",IF(AND(P1538="应收",J1538=""),"✗ 这笔要选客户",IF(AND(P1538="应收",COUNTIF(总览汇总!$B$5:$B$304,J1538)=0),"✗ 客户不在总览汇总名单里",IF(AND(P1538="应付",K1538=""),"✗ 这笔要选供应商",IF(AND(P1538="应付",COUNTIF(基础资料!$Q$5:$Q$54,K1538)=0),"✗ 供应商不在基础资料里",IF(AND(P1538="费用",L1538=""),"✗ 费用支出要选费用项目",IF(AND(L1538&lt;&gt;"",COUNTIF(基础资料!$AI$5:$AI$54,L1538)=0),"✗ 费用项目不在基础资料里",IF(AND(IFERROR(INDEX(基础资料!$AD$5:$AD$34,MATCH(O1538,基础资料!$AC$5:$AC$34,0)),"")="收",N(G1538)&lt;&gt;0),"✗ 这类是收款，金额填到收入列",IF(AND(IFERROR(INDEX(基础资料!$AD$5:$AD$34,MATCH(O1538,基础资料!$AC$5:$AC$34,0)),"")="支",N(F1538)&lt;&gt;0),"✗ 这类是付款，金额填到支出列",IF(N(H1538)&lt;0,"⚠ 账户余额成负数了，核对一下","√"))))))))))))))))))</f>
      </c>
      <c r="O1538" s="78">
        <f>IF(D1538&lt;&gt;"",D1538,IF(AND(F1538="",G1538=""),"",IF(J1538&lt;&gt;"",IF(N(F1538)&gt;0,"客户回款","客户退款"),IF(K1538&lt;&gt;"",IF(N(G1538)&gt;0,"供应商付款","供应商退款"),IF(L1538&lt;&gt;"","费用支出","")))))</f>
      </c>
      <c r="P1538" s="78">
        <f>IF(O1538="","",IFERROR(INDEX(基础资料!$AE$5:$AE$34,MATCH(O1538,基础资料!$AC$5:$AC$34,0)),"未知"))</f>
      </c>
      <c r="Q1538" s="78">
        <f>IF(P1538="应收",COUNTIF(P$7:P1538,"应收"),"")</f>
      </c>
      <c r="R1538" s="78">
        <f>IF(P1538="应付",COUNTIF(P$7:P1538,"应付"),"")</f>
      </c>
      <c r="S1538" s="78">
        <f>N(F1538)-N(G1538)</f>
        <v>0</v>
      </c>
    </row>
    <row r="1539">
      <c r="A1539" s="109">
        <f>IF(AND(F1539="",G1539=""),"",ROW()-6)</f>
      </c>
      <c r="B1539" s="140" t="n"/>
      <c r="C1539" s="141" t="n"/>
      <c r="D1539" s="141" t="n"/>
      <c r="E1539" s="142" t="n"/>
      <c r="F1539" s="143" t="n"/>
      <c r="G1539" s="144" t="n"/>
      <c r="H1539" s="145">
        <f>IF(OR(C1539="",AND(F1539="",G1539="")),"",SUMIF(基础资料!$W$5:$W$24,C1539,基础资料!$X$5:$X$24)+SUMIF(C$7:C1539,C1539,F$7:F1539)-SUMIF(C$7:C1539,C1539,G$7:G1539))</f>
      </c>
      <c r="I1539" s="145">
        <f>IF(AND(F1539="",G1539=""),"",SUM(基础资料!$X$5:$X$24)+SUM(F$7:F1539)-SUM(G$7:G1539))</f>
      </c>
      <c r="J1539" s="141" t="n"/>
      <c r="K1539" s="141" t="n"/>
      <c r="L1539" s="141" t="n"/>
      <c r="M1539" s="142" t="n"/>
      <c r="N1539" s="146">
        <f>IF(AND(AND(F1539="",G1539=""),B1539="",C1539="",D1539="",J1539="",K1539="",L1539=""),"",IF(AND(F1539="",G1539=""),"✗ 没填金额",IF(AND(N(F1539)&lt;&gt;0,N(G1539)&lt;&gt;0),"✗ 收入、支出只能填一边",IF(NOT(ISNUMBER(B1539)),"✗ 日期不是真日期（要像 2026/9/25 这样填）",IF(OR(B1539&lt;年初日,B1539&gt;年末日),"✗ 日期不在本会计年度",IF(C1539="","✗ 没选账户",IF(COUNTIF(基础资料!$W$5:$W$24,C1539)=0,"✗ 账户不在基础资料里",IF(O1539="","✗ 没选收支项目",IF(P1539="未知","✗ 收支项目不在基础资料里",IF(AND(P1539="应收",J1539=""),"✗ 这笔要选客户",IF(AND(P1539="应收",COUNTIF(总览汇总!$B$5:$B$304,J1539)=0),"✗ 客户不在总览汇总名单里",IF(AND(P1539="应付",K1539=""),"✗ 这笔要选供应商",IF(AND(P1539="应付",COUNTIF(基础资料!$Q$5:$Q$54,K1539)=0),"✗ 供应商不在基础资料里",IF(AND(P1539="费用",L1539=""),"✗ 费用支出要选费用项目",IF(AND(L1539&lt;&gt;"",COUNTIF(基础资料!$AI$5:$AI$54,L1539)=0),"✗ 费用项目不在基础资料里",IF(AND(IFERROR(INDEX(基础资料!$AD$5:$AD$34,MATCH(O1539,基础资料!$AC$5:$AC$34,0)),"")="收",N(G1539)&lt;&gt;0),"✗ 这类是收款，金额填到收入列",IF(AND(IFERROR(INDEX(基础资料!$AD$5:$AD$34,MATCH(O1539,基础资料!$AC$5:$AC$34,0)),"")="支",N(F1539)&lt;&gt;0),"✗ 这类是付款，金额填到支出列",IF(N(H1539)&lt;0,"⚠ 账户余额成负数了，核对一下","√"))))))))))))))))))</f>
      </c>
      <c r="O1539" s="78">
        <f>IF(D1539&lt;&gt;"",D1539,IF(AND(F1539="",G1539=""),"",IF(J1539&lt;&gt;"",IF(N(F1539)&gt;0,"客户回款","客户退款"),IF(K1539&lt;&gt;"",IF(N(G1539)&gt;0,"供应商付款","供应商退款"),IF(L1539&lt;&gt;"","费用支出","")))))</f>
      </c>
      <c r="P1539" s="78">
        <f>IF(O1539="","",IFERROR(INDEX(基础资料!$AE$5:$AE$34,MATCH(O1539,基础资料!$AC$5:$AC$34,0)),"未知"))</f>
      </c>
      <c r="Q1539" s="78">
        <f>IF(P1539="应收",COUNTIF(P$7:P1539,"应收"),"")</f>
      </c>
      <c r="R1539" s="78">
        <f>IF(P1539="应付",COUNTIF(P$7:P1539,"应付"),"")</f>
      </c>
      <c r="S1539" s="78">
        <f>N(F1539)-N(G1539)</f>
        <v>0</v>
      </c>
    </row>
    <row r="1540">
      <c r="A1540" s="109">
        <f>IF(AND(F1540="",G1540=""),"",ROW()-6)</f>
      </c>
      <c r="B1540" s="140" t="n"/>
      <c r="C1540" s="141" t="n"/>
      <c r="D1540" s="141" t="n"/>
      <c r="E1540" s="142" t="n"/>
      <c r="F1540" s="143" t="n"/>
      <c r="G1540" s="144" t="n"/>
      <c r="H1540" s="145">
        <f>IF(OR(C1540="",AND(F1540="",G1540="")),"",SUMIF(基础资料!$W$5:$W$24,C1540,基础资料!$X$5:$X$24)+SUMIF(C$7:C1540,C1540,F$7:F1540)-SUMIF(C$7:C1540,C1540,G$7:G1540))</f>
      </c>
      <c r="I1540" s="145">
        <f>IF(AND(F1540="",G1540=""),"",SUM(基础资料!$X$5:$X$24)+SUM(F$7:F1540)-SUM(G$7:G1540))</f>
      </c>
      <c r="J1540" s="141" t="n"/>
      <c r="K1540" s="141" t="n"/>
      <c r="L1540" s="141" t="n"/>
      <c r="M1540" s="142" t="n"/>
      <c r="N1540" s="146">
        <f>IF(AND(AND(F1540="",G1540=""),B1540="",C1540="",D1540="",J1540="",K1540="",L1540=""),"",IF(AND(F1540="",G1540=""),"✗ 没填金额",IF(AND(N(F1540)&lt;&gt;0,N(G1540)&lt;&gt;0),"✗ 收入、支出只能填一边",IF(NOT(ISNUMBER(B1540)),"✗ 日期不是真日期（要像 2026/9/25 这样填）",IF(OR(B1540&lt;年初日,B1540&gt;年末日),"✗ 日期不在本会计年度",IF(C1540="","✗ 没选账户",IF(COUNTIF(基础资料!$W$5:$W$24,C1540)=0,"✗ 账户不在基础资料里",IF(O1540="","✗ 没选收支项目",IF(P1540="未知","✗ 收支项目不在基础资料里",IF(AND(P1540="应收",J1540=""),"✗ 这笔要选客户",IF(AND(P1540="应收",COUNTIF(总览汇总!$B$5:$B$304,J1540)=0),"✗ 客户不在总览汇总名单里",IF(AND(P1540="应付",K1540=""),"✗ 这笔要选供应商",IF(AND(P1540="应付",COUNTIF(基础资料!$Q$5:$Q$54,K1540)=0),"✗ 供应商不在基础资料里",IF(AND(P1540="费用",L1540=""),"✗ 费用支出要选费用项目",IF(AND(L1540&lt;&gt;"",COUNTIF(基础资料!$AI$5:$AI$54,L1540)=0),"✗ 费用项目不在基础资料里",IF(AND(IFERROR(INDEX(基础资料!$AD$5:$AD$34,MATCH(O1540,基础资料!$AC$5:$AC$34,0)),"")="收",N(G1540)&lt;&gt;0),"✗ 这类是收款，金额填到收入列",IF(AND(IFERROR(INDEX(基础资料!$AD$5:$AD$34,MATCH(O1540,基础资料!$AC$5:$AC$34,0)),"")="支",N(F1540)&lt;&gt;0),"✗ 这类是付款，金额填到支出列",IF(N(H1540)&lt;0,"⚠ 账户余额成负数了，核对一下","√"))))))))))))))))))</f>
      </c>
      <c r="O1540" s="78">
        <f>IF(D1540&lt;&gt;"",D1540,IF(AND(F1540="",G1540=""),"",IF(J1540&lt;&gt;"",IF(N(F1540)&gt;0,"客户回款","客户退款"),IF(K1540&lt;&gt;"",IF(N(G1540)&gt;0,"供应商付款","供应商退款"),IF(L1540&lt;&gt;"","费用支出","")))))</f>
      </c>
      <c r="P1540" s="78">
        <f>IF(O1540="","",IFERROR(INDEX(基础资料!$AE$5:$AE$34,MATCH(O1540,基础资料!$AC$5:$AC$34,0)),"未知"))</f>
      </c>
      <c r="Q1540" s="78">
        <f>IF(P1540="应收",COUNTIF(P$7:P1540,"应收"),"")</f>
      </c>
      <c r="R1540" s="78">
        <f>IF(P1540="应付",COUNTIF(P$7:P1540,"应付"),"")</f>
      </c>
      <c r="S1540" s="78">
        <f>N(F1540)-N(G1540)</f>
        <v>0</v>
      </c>
    </row>
    <row r="1541">
      <c r="A1541" s="109">
        <f>IF(AND(F1541="",G1541=""),"",ROW()-6)</f>
      </c>
      <c r="B1541" s="140" t="n"/>
      <c r="C1541" s="141" t="n"/>
      <c r="D1541" s="141" t="n"/>
      <c r="E1541" s="142" t="n"/>
      <c r="F1541" s="143" t="n"/>
      <c r="G1541" s="144" t="n"/>
      <c r="H1541" s="145">
        <f>IF(OR(C1541="",AND(F1541="",G1541="")),"",SUMIF(基础资料!$W$5:$W$24,C1541,基础资料!$X$5:$X$24)+SUMIF(C$7:C1541,C1541,F$7:F1541)-SUMIF(C$7:C1541,C1541,G$7:G1541))</f>
      </c>
      <c r="I1541" s="145">
        <f>IF(AND(F1541="",G1541=""),"",SUM(基础资料!$X$5:$X$24)+SUM(F$7:F1541)-SUM(G$7:G1541))</f>
      </c>
      <c r="J1541" s="141" t="n"/>
      <c r="K1541" s="141" t="n"/>
      <c r="L1541" s="141" t="n"/>
      <c r="M1541" s="142" t="n"/>
      <c r="N1541" s="146">
        <f>IF(AND(AND(F1541="",G1541=""),B1541="",C1541="",D1541="",J1541="",K1541="",L1541=""),"",IF(AND(F1541="",G1541=""),"✗ 没填金额",IF(AND(N(F1541)&lt;&gt;0,N(G1541)&lt;&gt;0),"✗ 收入、支出只能填一边",IF(NOT(ISNUMBER(B1541)),"✗ 日期不是真日期（要像 2026/9/25 这样填）",IF(OR(B1541&lt;年初日,B1541&gt;年末日),"✗ 日期不在本会计年度",IF(C1541="","✗ 没选账户",IF(COUNTIF(基础资料!$W$5:$W$24,C1541)=0,"✗ 账户不在基础资料里",IF(O1541="","✗ 没选收支项目",IF(P1541="未知","✗ 收支项目不在基础资料里",IF(AND(P1541="应收",J1541=""),"✗ 这笔要选客户",IF(AND(P1541="应收",COUNTIF(总览汇总!$B$5:$B$304,J1541)=0),"✗ 客户不在总览汇总名单里",IF(AND(P1541="应付",K1541=""),"✗ 这笔要选供应商",IF(AND(P1541="应付",COUNTIF(基础资料!$Q$5:$Q$54,K1541)=0),"✗ 供应商不在基础资料里",IF(AND(P1541="费用",L1541=""),"✗ 费用支出要选费用项目",IF(AND(L1541&lt;&gt;"",COUNTIF(基础资料!$AI$5:$AI$54,L1541)=0),"✗ 费用项目不在基础资料里",IF(AND(IFERROR(INDEX(基础资料!$AD$5:$AD$34,MATCH(O1541,基础资料!$AC$5:$AC$34,0)),"")="收",N(G1541)&lt;&gt;0),"✗ 这类是收款，金额填到收入列",IF(AND(IFERROR(INDEX(基础资料!$AD$5:$AD$34,MATCH(O1541,基础资料!$AC$5:$AC$34,0)),"")="支",N(F1541)&lt;&gt;0),"✗ 这类是付款，金额填到支出列",IF(N(H1541)&lt;0,"⚠ 账户余额成负数了，核对一下","√"))))))))))))))))))</f>
      </c>
      <c r="O1541" s="78">
        <f>IF(D1541&lt;&gt;"",D1541,IF(AND(F1541="",G1541=""),"",IF(J1541&lt;&gt;"",IF(N(F1541)&gt;0,"客户回款","客户退款"),IF(K1541&lt;&gt;"",IF(N(G1541)&gt;0,"供应商付款","供应商退款"),IF(L1541&lt;&gt;"","费用支出","")))))</f>
      </c>
      <c r="P1541" s="78">
        <f>IF(O1541="","",IFERROR(INDEX(基础资料!$AE$5:$AE$34,MATCH(O1541,基础资料!$AC$5:$AC$34,0)),"未知"))</f>
      </c>
      <c r="Q1541" s="78">
        <f>IF(P1541="应收",COUNTIF(P$7:P1541,"应收"),"")</f>
      </c>
      <c r="R1541" s="78">
        <f>IF(P1541="应付",COUNTIF(P$7:P1541,"应付"),"")</f>
      </c>
      <c r="S1541" s="78">
        <f>N(F1541)-N(G1541)</f>
        <v>0</v>
      </c>
    </row>
    <row r="1542">
      <c r="A1542" s="109">
        <f>IF(AND(F1542="",G1542=""),"",ROW()-6)</f>
      </c>
      <c r="B1542" s="140" t="n"/>
      <c r="C1542" s="141" t="n"/>
      <c r="D1542" s="141" t="n"/>
      <c r="E1542" s="142" t="n"/>
      <c r="F1542" s="143" t="n"/>
      <c r="G1542" s="144" t="n"/>
      <c r="H1542" s="145">
        <f>IF(OR(C1542="",AND(F1542="",G1542="")),"",SUMIF(基础资料!$W$5:$W$24,C1542,基础资料!$X$5:$X$24)+SUMIF(C$7:C1542,C1542,F$7:F1542)-SUMIF(C$7:C1542,C1542,G$7:G1542))</f>
      </c>
      <c r="I1542" s="145">
        <f>IF(AND(F1542="",G1542=""),"",SUM(基础资料!$X$5:$X$24)+SUM(F$7:F1542)-SUM(G$7:G1542))</f>
      </c>
      <c r="J1542" s="141" t="n"/>
      <c r="K1542" s="141" t="n"/>
      <c r="L1542" s="141" t="n"/>
      <c r="M1542" s="142" t="n"/>
      <c r="N1542" s="146">
        <f>IF(AND(AND(F1542="",G1542=""),B1542="",C1542="",D1542="",J1542="",K1542="",L1542=""),"",IF(AND(F1542="",G1542=""),"✗ 没填金额",IF(AND(N(F1542)&lt;&gt;0,N(G1542)&lt;&gt;0),"✗ 收入、支出只能填一边",IF(NOT(ISNUMBER(B1542)),"✗ 日期不是真日期（要像 2026/9/25 这样填）",IF(OR(B1542&lt;年初日,B1542&gt;年末日),"✗ 日期不在本会计年度",IF(C1542="","✗ 没选账户",IF(COUNTIF(基础资料!$W$5:$W$24,C1542)=0,"✗ 账户不在基础资料里",IF(O1542="","✗ 没选收支项目",IF(P1542="未知","✗ 收支项目不在基础资料里",IF(AND(P1542="应收",J1542=""),"✗ 这笔要选客户",IF(AND(P1542="应收",COUNTIF(总览汇总!$B$5:$B$304,J1542)=0),"✗ 客户不在总览汇总名单里",IF(AND(P1542="应付",K1542=""),"✗ 这笔要选供应商",IF(AND(P1542="应付",COUNTIF(基础资料!$Q$5:$Q$54,K1542)=0),"✗ 供应商不在基础资料里",IF(AND(P1542="费用",L1542=""),"✗ 费用支出要选费用项目",IF(AND(L1542&lt;&gt;"",COUNTIF(基础资料!$AI$5:$AI$54,L1542)=0),"✗ 费用项目不在基础资料里",IF(AND(IFERROR(INDEX(基础资料!$AD$5:$AD$34,MATCH(O1542,基础资料!$AC$5:$AC$34,0)),"")="收",N(G1542)&lt;&gt;0),"✗ 这类是收款，金额填到收入列",IF(AND(IFERROR(INDEX(基础资料!$AD$5:$AD$34,MATCH(O1542,基础资料!$AC$5:$AC$34,0)),"")="支",N(F1542)&lt;&gt;0),"✗ 这类是付款，金额填到支出列",IF(N(H1542)&lt;0,"⚠ 账户余额成负数了，核对一下","√"))))))))))))))))))</f>
      </c>
      <c r="O1542" s="78">
        <f>IF(D1542&lt;&gt;"",D1542,IF(AND(F1542="",G1542=""),"",IF(J1542&lt;&gt;"",IF(N(F1542)&gt;0,"客户回款","客户退款"),IF(K1542&lt;&gt;"",IF(N(G1542)&gt;0,"供应商付款","供应商退款"),IF(L1542&lt;&gt;"","费用支出","")))))</f>
      </c>
      <c r="P1542" s="78">
        <f>IF(O1542="","",IFERROR(INDEX(基础资料!$AE$5:$AE$34,MATCH(O1542,基础资料!$AC$5:$AC$34,0)),"未知"))</f>
      </c>
      <c r="Q1542" s="78">
        <f>IF(P1542="应收",COUNTIF(P$7:P1542,"应收"),"")</f>
      </c>
      <c r="R1542" s="78">
        <f>IF(P1542="应付",COUNTIF(P$7:P1542,"应付"),"")</f>
      </c>
      <c r="S1542" s="78">
        <f>N(F1542)-N(G1542)</f>
        <v>0</v>
      </c>
    </row>
    <row r="1543">
      <c r="A1543" s="109">
        <f>IF(AND(F1543="",G1543=""),"",ROW()-6)</f>
      </c>
      <c r="B1543" s="140" t="n"/>
      <c r="C1543" s="141" t="n"/>
      <c r="D1543" s="141" t="n"/>
      <c r="E1543" s="142" t="n"/>
      <c r="F1543" s="143" t="n"/>
      <c r="G1543" s="144" t="n"/>
      <c r="H1543" s="145">
        <f>IF(OR(C1543="",AND(F1543="",G1543="")),"",SUMIF(基础资料!$W$5:$W$24,C1543,基础资料!$X$5:$X$24)+SUMIF(C$7:C1543,C1543,F$7:F1543)-SUMIF(C$7:C1543,C1543,G$7:G1543))</f>
      </c>
      <c r="I1543" s="145">
        <f>IF(AND(F1543="",G1543=""),"",SUM(基础资料!$X$5:$X$24)+SUM(F$7:F1543)-SUM(G$7:G1543))</f>
      </c>
      <c r="J1543" s="141" t="n"/>
      <c r="K1543" s="141" t="n"/>
      <c r="L1543" s="141" t="n"/>
      <c r="M1543" s="142" t="n"/>
      <c r="N1543" s="146">
        <f>IF(AND(AND(F1543="",G1543=""),B1543="",C1543="",D1543="",J1543="",K1543="",L1543=""),"",IF(AND(F1543="",G1543=""),"✗ 没填金额",IF(AND(N(F1543)&lt;&gt;0,N(G1543)&lt;&gt;0),"✗ 收入、支出只能填一边",IF(NOT(ISNUMBER(B1543)),"✗ 日期不是真日期（要像 2026/9/25 这样填）",IF(OR(B1543&lt;年初日,B1543&gt;年末日),"✗ 日期不在本会计年度",IF(C1543="","✗ 没选账户",IF(COUNTIF(基础资料!$W$5:$W$24,C1543)=0,"✗ 账户不在基础资料里",IF(O1543="","✗ 没选收支项目",IF(P1543="未知","✗ 收支项目不在基础资料里",IF(AND(P1543="应收",J1543=""),"✗ 这笔要选客户",IF(AND(P1543="应收",COUNTIF(总览汇总!$B$5:$B$304,J1543)=0),"✗ 客户不在总览汇总名单里",IF(AND(P1543="应付",K1543=""),"✗ 这笔要选供应商",IF(AND(P1543="应付",COUNTIF(基础资料!$Q$5:$Q$54,K1543)=0),"✗ 供应商不在基础资料里",IF(AND(P1543="费用",L1543=""),"✗ 费用支出要选费用项目",IF(AND(L1543&lt;&gt;"",COUNTIF(基础资料!$AI$5:$AI$54,L1543)=0),"✗ 费用项目不在基础资料里",IF(AND(IFERROR(INDEX(基础资料!$AD$5:$AD$34,MATCH(O1543,基础资料!$AC$5:$AC$34,0)),"")="收",N(G1543)&lt;&gt;0),"✗ 这类是收款，金额填到收入列",IF(AND(IFERROR(INDEX(基础资料!$AD$5:$AD$34,MATCH(O1543,基础资料!$AC$5:$AC$34,0)),"")="支",N(F1543)&lt;&gt;0),"✗ 这类是付款，金额填到支出列",IF(N(H1543)&lt;0,"⚠ 账户余额成负数了，核对一下","√"))))))))))))))))))</f>
      </c>
      <c r="O1543" s="78">
        <f>IF(D1543&lt;&gt;"",D1543,IF(AND(F1543="",G1543=""),"",IF(J1543&lt;&gt;"",IF(N(F1543)&gt;0,"客户回款","客户退款"),IF(K1543&lt;&gt;"",IF(N(G1543)&gt;0,"供应商付款","供应商退款"),IF(L1543&lt;&gt;"","费用支出","")))))</f>
      </c>
      <c r="P1543" s="78">
        <f>IF(O1543="","",IFERROR(INDEX(基础资料!$AE$5:$AE$34,MATCH(O1543,基础资料!$AC$5:$AC$34,0)),"未知"))</f>
      </c>
      <c r="Q1543" s="78">
        <f>IF(P1543="应收",COUNTIF(P$7:P1543,"应收"),"")</f>
      </c>
      <c r="R1543" s="78">
        <f>IF(P1543="应付",COUNTIF(P$7:P1543,"应付"),"")</f>
      </c>
      <c r="S1543" s="78">
        <f>N(F1543)-N(G1543)</f>
        <v>0</v>
      </c>
    </row>
    <row r="1544">
      <c r="A1544" s="109">
        <f>IF(AND(F1544="",G1544=""),"",ROW()-6)</f>
      </c>
      <c r="B1544" s="140" t="n"/>
      <c r="C1544" s="141" t="n"/>
      <c r="D1544" s="141" t="n"/>
      <c r="E1544" s="142" t="n"/>
      <c r="F1544" s="143" t="n"/>
      <c r="G1544" s="144" t="n"/>
      <c r="H1544" s="145">
        <f>IF(OR(C1544="",AND(F1544="",G1544="")),"",SUMIF(基础资料!$W$5:$W$24,C1544,基础资料!$X$5:$X$24)+SUMIF(C$7:C1544,C1544,F$7:F1544)-SUMIF(C$7:C1544,C1544,G$7:G1544))</f>
      </c>
      <c r="I1544" s="145">
        <f>IF(AND(F1544="",G1544=""),"",SUM(基础资料!$X$5:$X$24)+SUM(F$7:F1544)-SUM(G$7:G1544))</f>
      </c>
      <c r="J1544" s="141" t="n"/>
      <c r="K1544" s="141" t="n"/>
      <c r="L1544" s="141" t="n"/>
      <c r="M1544" s="142" t="n"/>
      <c r="N1544" s="146">
        <f>IF(AND(AND(F1544="",G1544=""),B1544="",C1544="",D1544="",J1544="",K1544="",L1544=""),"",IF(AND(F1544="",G1544=""),"✗ 没填金额",IF(AND(N(F1544)&lt;&gt;0,N(G1544)&lt;&gt;0),"✗ 收入、支出只能填一边",IF(NOT(ISNUMBER(B1544)),"✗ 日期不是真日期（要像 2026/9/25 这样填）",IF(OR(B1544&lt;年初日,B1544&gt;年末日),"✗ 日期不在本会计年度",IF(C1544="","✗ 没选账户",IF(COUNTIF(基础资料!$W$5:$W$24,C1544)=0,"✗ 账户不在基础资料里",IF(O1544="","✗ 没选收支项目",IF(P1544="未知","✗ 收支项目不在基础资料里",IF(AND(P1544="应收",J1544=""),"✗ 这笔要选客户",IF(AND(P1544="应收",COUNTIF(总览汇总!$B$5:$B$304,J1544)=0),"✗ 客户不在总览汇总名单里",IF(AND(P1544="应付",K1544=""),"✗ 这笔要选供应商",IF(AND(P1544="应付",COUNTIF(基础资料!$Q$5:$Q$54,K1544)=0),"✗ 供应商不在基础资料里",IF(AND(P1544="费用",L1544=""),"✗ 费用支出要选费用项目",IF(AND(L1544&lt;&gt;"",COUNTIF(基础资料!$AI$5:$AI$54,L1544)=0),"✗ 费用项目不在基础资料里",IF(AND(IFERROR(INDEX(基础资料!$AD$5:$AD$34,MATCH(O1544,基础资料!$AC$5:$AC$34,0)),"")="收",N(G1544)&lt;&gt;0),"✗ 这类是收款，金额填到收入列",IF(AND(IFERROR(INDEX(基础资料!$AD$5:$AD$34,MATCH(O1544,基础资料!$AC$5:$AC$34,0)),"")="支",N(F1544)&lt;&gt;0),"✗ 这类是付款，金额填到支出列",IF(N(H1544)&lt;0,"⚠ 账户余额成负数了，核对一下","√"))))))))))))))))))</f>
      </c>
      <c r="O1544" s="78">
        <f>IF(D1544&lt;&gt;"",D1544,IF(AND(F1544="",G1544=""),"",IF(J1544&lt;&gt;"",IF(N(F1544)&gt;0,"客户回款","客户退款"),IF(K1544&lt;&gt;"",IF(N(G1544)&gt;0,"供应商付款","供应商退款"),IF(L1544&lt;&gt;"","费用支出","")))))</f>
      </c>
      <c r="P1544" s="78">
        <f>IF(O1544="","",IFERROR(INDEX(基础资料!$AE$5:$AE$34,MATCH(O1544,基础资料!$AC$5:$AC$34,0)),"未知"))</f>
      </c>
      <c r="Q1544" s="78">
        <f>IF(P1544="应收",COUNTIF(P$7:P1544,"应收"),"")</f>
      </c>
      <c r="R1544" s="78">
        <f>IF(P1544="应付",COUNTIF(P$7:P1544,"应付"),"")</f>
      </c>
      <c r="S1544" s="78">
        <f>N(F1544)-N(G1544)</f>
        <v>0</v>
      </c>
    </row>
    <row r="1545">
      <c r="A1545" s="109">
        <f>IF(AND(F1545="",G1545=""),"",ROW()-6)</f>
      </c>
      <c r="B1545" s="140" t="n"/>
      <c r="C1545" s="141" t="n"/>
      <c r="D1545" s="141" t="n"/>
      <c r="E1545" s="142" t="n"/>
      <c r="F1545" s="143" t="n"/>
      <c r="G1545" s="144" t="n"/>
      <c r="H1545" s="145">
        <f>IF(OR(C1545="",AND(F1545="",G1545="")),"",SUMIF(基础资料!$W$5:$W$24,C1545,基础资料!$X$5:$X$24)+SUMIF(C$7:C1545,C1545,F$7:F1545)-SUMIF(C$7:C1545,C1545,G$7:G1545))</f>
      </c>
      <c r="I1545" s="145">
        <f>IF(AND(F1545="",G1545=""),"",SUM(基础资料!$X$5:$X$24)+SUM(F$7:F1545)-SUM(G$7:G1545))</f>
      </c>
      <c r="J1545" s="141" t="n"/>
      <c r="K1545" s="141" t="n"/>
      <c r="L1545" s="141" t="n"/>
      <c r="M1545" s="142" t="n"/>
      <c r="N1545" s="146">
        <f>IF(AND(AND(F1545="",G1545=""),B1545="",C1545="",D1545="",J1545="",K1545="",L1545=""),"",IF(AND(F1545="",G1545=""),"✗ 没填金额",IF(AND(N(F1545)&lt;&gt;0,N(G1545)&lt;&gt;0),"✗ 收入、支出只能填一边",IF(NOT(ISNUMBER(B1545)),"✗ 日期不是真日期（要像 2026/9/25 这样填）",IF(OR(B1545&lt;年初日,B1545&gt;年末日),"✗ 日期不在本会计年度",IF(C1545="","✗ 没选账户",IF(COUNTIF(基础资料!$W$5:$W$24,C1545)=0,"✗ 账户不在基础资料里",IF(O1545="","✗ 没选收支项目",IF(P1545="未知","✗ 收支项目不在基础资料里",IF(AND(P1545="应收",J1545=""),"✗ 这笔要选客户",IF(AND(P1545="应收",COUNTIF(总览汇总!$B$5:$B$304,J1545)=0),"✗ 客户不在总览汇总名单里",IF(AND(P1545="应付",K1545=""),"✗ 这笔要选供应商",IF(AND(P1545="应付",COUNTIF(基础资料!$Q$5:$Q$54,K1545)=0),"✗ 供应商不在基础资料里",IF(AND(P1545="费用",L1545=""),"✗ 费用支出要选费用项目",IF(AND(L1545&lt;&gt;"",COUNTIF(基础资料!$AI$5:$AI$54,L1545)=0),"✗ 费用项目不在基础资料里",IF(AND(IFERROR(INDEX(基础资料!$AD$5:$AD$34,MATCH(O1545,基础资料!$AC$5:$AC$34,0)),"")="收",N(G1545)&lt;&gt;0),"✗ 这类是收款，金额填到收入列",IF(AND(IFERROR(INDEX(基础资料!$AD$5:$AD$34,MATCH(O1545,基础资料!$AC$5:$AC$34,0)),"")="支",N(F1545)&lt;&gt;0),"✗ 这类是付款，金额填到支出列",IF(N(H1545)&lt;0,"⚠ 账户余额成负数了，核对一下","√"))))))))))))))))))</f>
      </c>
      <c r="O1545" s="78">
        <f>IF(D1545&lt;&gt;"",D1545,IF(AND(F1545="",G1545=""),"",IF(J1545&lt;&gt;"",IF(N(F1545)&gt;0,"客户回款","客户退款"),IF(K1545&lt;&gt;"",IF(N(G1545)&gt;0,"供应商付款","供应商退款"),IF(L1545&lt;&gt;"","费用支出","")))))</f>
      </c>
      <c r="P1545" s="78">
        <f>IF(O1545="","",IFERROR(INDEX(基础资料!$AE$5:$AE$34,MATCH(O1545,基础资料!$AC$5:$AC$34,0)),"未知"))</f>
      </c>
      <c r="Q1545" s="78">
        <f>IF(P1545="应收",COUNTIF(P$7:P1545,"应收"),"")</f>
      </c>
      <c r="R1545" s="78">
        <f>IF(P1545="应付",COUNTIF(P$7:P1545,"应付"),"")</f>
      </c>
      <c r="S1545" s="78">
        <f>N(F1545)-N(G1545)</f>
        <v>0</v>
      </c>
    </row>
    <row r="1546">
      <c r="A1546" s="109">
        <f>IF(AND(F1546="",G1546=""),"",ROW()-6)</f>
      </c>
      <c r="B1546" s="140" t="n"/>
      <c r="C1546" s="141" t="n"/>
      <c r="D1546" s="141" t="n"/>
      <c r="E1546" s="142" t="n"/>
      <c r="F1546" s="143" t="n"/>
      <c r="G1546" s="144" t="n"/>
      <c r="H1546" s="145">
        <f>IF(OR(C1546="",AND(F1546="",G1546="")),"",SUMIF(基础资料!$W$5:$W$24,C1546,基础资料!$X$5:$X$24)+SUMIF(C$7:C1546,C1546,F$7:F1546)-SUMIF(C$7:C1546,C1546,G$7:G1546))</f>
      </c>
      <c r="I1546" s="145">
        <f>IF(AND(F1546="",G1546=""),"",SUM(基础资料!$X$5:$X$24)+SUM(F$7:F1546)-SUM(G$7:G1546))</f>
      </c>
      <c r="J1546" s="141" t="n"/>
      <c r="K1546" s="141" t="n"/>
      <c r="L1546" s="141" t="n"/>
      <c r="M1546" s="142" t="n"/>
      <c r="N1546" s="146">
        <f>IF(AND(AND(F1546="",G1546=""),B1546="",C1546="",D1546="",J1546="",K1546="",L1546=""),"",IF(AND(F1546="",G1546=""),"✗ 没填金额",IF(AND(N(F1546)&lt;&gt;0,N(G1546)&lt;&gt;0),"✗ 收入、支出只能填一边",IF(NOT(ISNUMBER(B1546)),"✗ 日期不是真日期（要像 2026/9/25 这样填）",IF(OR(B1546&lt;年初日,B1546&gt;年末日),"✗ 日期不在本会计年度",IF(C1546="","✗ 没选账户",IF(COUNTIF(基础资料!$W$5:$W$24,C1546)=0,"✗ 账户不在基础资料里",IF(O1546="","✗ 没选收支项目",IF(P1546="未知","✗ 收支项目不在基础资料里",IF(AND(P1546="应收",J1546=""),"✗ 这笔要选客户",IF(AND(P1546="应收",COUNTIF(总览汇总!$B$5:$B$304,J1546)=0),"✗ 客户不在总览汇总名单里",IF(AND(P1546="应付",K1546=""),"✗ 这笔要选供应商",IF(AND(P1546="应付",COUNTIF(基础资料!$Q$5:$Q$54,K1546)=0),"✗ 供应商不在基础资料里",IF(AND(P1546="费用",L1546=""),"✗ 费用支出要选费用项目",IF(AND(L1546&lt;&gt;"",COUNTIF(基础资料!$AI$5:$AI$54,L1546)=0),"✗ 费用项目不在基础资料里",IF(AND(IFERROR(INDEX(基础资料!$AD$5:$AD$34,MATCH(O1546,基础资料!$AC$5:$AC$34,0)),"")="收",N(G1546)&lt;&gt;0),"✗ 这类是收款，金额填到收入列",IF(AND(IFERROR(INDEX(基础资料!$AD$5:$AD$34,MATCH(O1546,基础资料!$AC$5:$AC$34,0)),"")="支",N(F1546)&lt;&gt;0),"✗ 这类是付款，金额填到支出列",IF(N(H1546)&lt;0,"⚠ 账户余额成负数了，核对一下","√"))))))))))))))))))</f>
      </c>
      <c r="O1546" s="78">
        <f>IF(D1546&lt;&gt;"",D1546,IF(AND(F1546="",G1546=""),"",IF(J1546&lt;&gt;"",IF(N(F1546)&gt;0,"客户回款","客户退款"),IF(K1546&lt;&gt;"",IF(N(G1546)&gt;0,"供应商付款","供应商退款"),IF(L1546&lt;&gt;"","费用支出","")))))</f>
      </c>
      <c r="P1546" s="78">
        <f>IF(O1546="","",IFERROR(INDEX(基础资料!$AE$5:$AE$34,MATCH(O1546,基础资料!$AC$5:$AC$34,0)),"未知"))</f>
      </c>
      <c r="Q1546" s="78">
        <f>IF(P1546="应收",COUNTIF(P$7:P1546,"应收"),"")</f>
      </c>
      <c r="R1546" s="78">
        <f>IF(P1546="应付",COUNTIF(P$7:P1546,"应付"),"")</f>
      </c>
      <c r="S1546" s="78">
        <f>N(F1546)-N(G1546)</f>
        <v>0</v>
      </c>
    </row>
    <row r="1547">
      <c r="A1547" s="109">
        <f>IF(AND(F1547="",G1547=""),"",ROW()-6)</f>
      </c>
      <c r="B1547" s="140" t="n"/>
      <c r="C1547" s="141" t="n"/>
      <c r="D1547" s="141" t="n"/>
      <c r="E1547" s="142" t="n"/>
      <c r="F1547" s="143" t="n"/>
      <c r="G1547" s="144" t="n"/>
      <c r="H1547" s="145">
        <f>IF(OR(C1547="",AND(F1547="",G1547="")),"",SUMIF(基础资料!$W$5:$W$24,C1547,基础资料!$X$5:$X$24)+SUMIF(C$7:C1547,C1547,F$7:F1547)-SUMIF(C$7:C1547,C1547,G$7:G1547))</f>
      </c>
      <c r="I1547" s="145">
        <f>IF(AND(F1547="",G1547=""),"",SUM(基础资料!$X$5:$X$24)+SUM(F$7:F1547)-SUM(G$7:G1547))</f>
      </c>
      <c r="J1547" s="141" t="n"/>
      <c r="K1547" s="141" t="n"/>
      <c r="L1547" s="141" t="n"/>
      <c r="M1547" s="142" t="n"/>
      <c r="N1547" s="146">
        <f>IF(AND(AND(F1547="",G1547=""),B1547="",C1547="",D1547="",J1547="",K1547="",L1547=""),"",IF(AND(F1547="",G1547=""),"✗ 没填金额",IF(AND(N(F1547)&lt;&gt;0,N(G1547)&lt;&gt;0),"✗ 收入、支出只能填一边",IF(NOT(ISNUMBER(B1547)),"✗ 日期不是真日期（要像 2026/9/25 这样填）",IF(OR(B1547&lt;年初日,B1547&gt;年末日),"✗ 日期不在本会计年度",IF(C1547="","✗ 没选账户",IF(COUNTIF(基础资料!$W$5:$W$24,C1547)=0,"✗ 账户不在基础资料里",IF(O1547="","✗ 没选收支项目",IF(P1547="未知","✗ 收支项目不在基础资料里",IF(AND(P1547="应收",J1547=""),"✗ 这笔要选客户",IF(AND(P1547="应收",COUNTIF(总览汇总!$B$5:$B$304,J1547)=0),"✗ 客户不在总览汇总名单里",IF(AND(P1547="应付",K1547=""),"✗ 这笔要选供应商",IF(AND(P1547="应付",COUNTIF(基础资料!$Q$5:$Q$54,K1547)=0),"✗ 供应商不在基础资料里",IF(AND(P1547="费用",L1547=""),"✗ 费用支出要选费用项目",IF(AND(L1547&lt;&gt;"",COUNTIF(基础资料!$AI$5:$AI$54,L1547)=0),"✗ 费用项目不在基础资料里",IF(AND(IFERROR(INDEX(基础资料!$AD$5:$AD$34,MATCH(O1547,基础资料!$AC$5:$AC$34,0)),"")="收",N(G1547)&lt;&gt;0),"✗ 这类是收款，金额填到收入列",IF(AND(IFERROR(INDEX(基础资料!$AD$5:$AD$34,MATCH(O1547,基础资料!$AC$5:$AC$34,0)),"")="支",N(F1547)&lt;&gt;0),"✗ 这类是付款，金额填到支出列",IF(N(H1547)&lt;0,"⚠ 账户余额成负数了，核对一下","√"))))))))))))))))))</f>
      </c>
      <c r="O1547" s="78">
        <f>IF(D1547&lt;&gt;"",D1547,IF(AND(F1547="",G1547=""),"",IF(J1547&lt;&gt;"",IF(N(F1547)&gt;0,"客户回款","客户退款"),IF(K1547&lt;&gt;"",IF(N(G1547)&gt;0,"供应商付款","供应商退款"),IF(L1547&lt;&gt;"","费用支出","")))))</f>
      </c>
      <c r="P1547" s="78">
        <f>IF(O1547="","",IFERROR(INDEX(基础资料!$AE$5:$AE$34,MATCH(O1547,基础资料!$AC$5:$AC$34,0)),"未知"))</f>
      </c>
      <c r="Q1547" s="78">
        <f>IF(P1547="应收",COUNTIF(P$7:P1547,"应收"),"")</f>
      </c>
      <c r="R1547" s="78">
        <f>IF(P1547="应付",COUNTIF(P$7:P1547,"应付"),"")</f>
      </c>
      <c r="S1547" s="78">
        <f>N(F1547)-N(G1547)</f>
        <v>0</v>
      </c>
    </row>
    <row r="1548">
      <c r="A1548" s="109">
        <f>IF(AND(F1548="",G1548=""),"",ROW()-6)</f>
      </c>
      <c r="B1548" s="140" t="n"/>
      <c r="C1548" s="141" t="n"/>
      <c r="D1548" s="141" t="n"/>
      <c r="E1548" s="142" t="n"/>
      <c r="F1548" s="143" t="n"/>
      <c r="G1548" s="144" t="n"/>
      <c r="H1548" s="145">
        <f>IF(OR(C1548="",AND(F1548="",G1548="")),"",SUMIF(基础资料!$W$5:$W$24,C1548,基础资料!$X$5:$X$24)+SUMIF(C$7:C1548,C1548,F$7:F1548)-SUMIF(C$7:C1548,C1548,G$7:G1548))</f>
      </c>
      <c r="I1548" s="145">
        <f>IF(AND(F1548="",G1548=""),"",SUM(基础资料!$X$5:$X$24)+SUM(F$7:F1548)-SUM(G$7:G1548))</f>
      </c>
      <c r="J1548" s="141" t="n"/>
      <c r="K1548" s="141" t="n"/>
      <c r="L1548" s="141" t="n"/>
      <c r="M1548" s="142" t="n"/>
      <c r="N1548" s="146">
        <f>IF(AND(AND(F1548="",G1548=""),B1548="",C1548="",D1548="",J1548="",K1548="",L1548=""),"",IF(AND(F1548="",G1548=""),"✗ 没填金额",IF(AND(N(F1548)&lt;&gt;0,N(G1548)&lt;&gt;0),"✗ 收入、支出只能填一边",IF(NOT(ISNUMBER(B1548)),"✗ 日期不是真日期（要像 2026/9/25 这样填）",IF(OR(B1548&lt;年初日,B1548&gt;年末日),"✗ 日期不在本会计年度",IF(C1548="","✗ 没选账户",IF(COUNTIF(基础资料!$W$5:$W$24,C1548)=0,"✗ 账户不在基础资料里",IF(O1548="","✗ 没选收支项目",IF(P1548="未知","✗ 收支项目不在基础资料里",IF(AND(P1548="应收",J1548=""),"✗ 这笔要选客户",IF(AND(P1548="应收",COUNTIF(总览汇总!$B$5:$B$304,J1548)=0),"✗ 客户不在总览汇总名单里",IF(AND(P1548="应付",K1548=""),"✗ 这笔要选供应商",IF(AND(P1548="应付",COUNTIF(基础资料!$Q$5:$Q$54,K1548)=0),"✗ 供应商不在基础资料里",IF(AND(P1548="费用",L1548=""),"✗ 费用支出要选费用项目",IF(AND(L1548&lt;&gt;"",COUNTIF(基础资料!$AI$5:$AI$54,L1548)=0),"✗ 费用项目不在基础资料里",IF(AND(IFERROR(INDEX(基础资料!$AD$5:$AD$34,MATCH(O1548,基础资料!$AC$5:$AC$34,0)),"")="收",N(G1548)&lt;&gt;0),"✗ 这类是收款，金额填到收入列",IF(AND(IFERROR(INDEX(基础资料!$AD$5:$AD$34,MATCH(O1548,基础资料!$AC$5:$AC$34,0)),"")="支",N(F1548)&lt;&gt;0),"✗ 这类是付款，金额填到支出列",IF(N(H1548)&lt;0,"⚠ 账户余额成负数了，核对一下","√"))))))))))))))))))</f>
      </c>
      <c r="O1548" s="78">
        <f>IF(D1548&lt;&gt;"",D1548,IF(AND(F1548="",G1548=""),"",IF(J1548&lt;&gt;"",IF(N(F1548)&gt;0,"客户回款","客户退款"),IF(K1548&lt;&gt;"",IF(N(G1548)&gt;0,"供应商付款","供应商退款"),IF(L1548&lt;&gt;"","费用支出","")))))</f>
      </c>
      <c r="P1548" s="78">
        <f>IF(O1548="","",IFERROR(INDEX(基础资料!$AE$5:$AE$34,MATCH(O1548,基础资料!$AC$5:$AC$34,0)),"未知"))</f>
      </c>
      <c r="Q1548" s="78">
        <f>IF(P1548="应收",COUNTIF(P$7:P1548,"应收"),"")</f>
      </c>
      <c r="R1548" s="78">
        <f>IF(P1548="应付",COUNTIF(P$7:P1548,"应付"),"")</f>
      </c>
      <c r="S1548" s="78">
        <f>N(F1548)-N(G1548)</f>
        <v>0</v>
      </c>
    </row>
    <row r="1549">
      <c r="A1549" s="109">
        <f>IF(AND(F1549="",G1549=""),"",ROW()-6)</f>
      </c>
      <c r="B1549" s="140" t="n"/>
      <c r="C1549" s="141" t="n"/>
      <c r="D1549" s="141" t="n"/>
      <c r="E1549" s="142" t="n"/>
      <c r="F1549" s="143" t="n"/>
      <c r="G1549" s="144" t="n"/>
      <c r="H1549" s="145">
        <f>IF(OR(C1549="",AND(F1549="",G1549="")),"",SUMIF(基础资料!$W$5:$W$24,C1549,基础资料!$X$5:$X$24)+SUMIF(C$7:C1549,C1549,F$7:F1549)-SUMIF(C$7:C1549,C1549,G$7:G1549))</f>
      </c>
      <c r="I1549" s="145">
        <f>IF(AND(F1549="",G1549=""),"",SUM(基础资料!$X$5:$X$24)+SUM(F$7:F1549)-SUM(G$7:G1549))</f>
      </c>
      <c r="J1549" s="141" t="n"/>
      <c r="K1549" s="141" t="n"/>
      <c r="L1549" s="141" t="n"/>
      <c r="M1549" s="142" t="n"/>
      <c r="N1549" s="146">
        <f>IF(AND(AND(F1549="",G1549=""),B1549="",C1549="",D1549="",J1549="",K1549="",L1549=""),"",IF(AND(F1549="",G1549=""),"✗ 没填金额",IF(AND(N(F1549)&lt;&gt;0,N(G1549)&lt;&gt;0),"✗ 收入、支出只能填一边",IF(NOT(ISNUMBER(B1549)),"✗ 日期不是真日期（要像 2026/9/25 这样填）",IF(OR(B1549&lt;年初日,B1549&gt;年末日),"✗ 日期不在本会计年度",IF(C1549="","✗ 没选账户",IF(COUNTIF(基础资料!$W$5:$W$24,C1549)=0,"✗ 账户不在基础资料里",IF(O1549="","✗ 没选收支项目",IF(P1549="未知","✗ 收支项目不在基础资料里",IF(AND(P1549="应收",J1549=""),"✗ 这笔要选客户",IF(AND(P1549="应收",COUNTIF(总览汇总!$B$5:$B$304,J1549)=0),"✗ 客户不在总览汇总名单里",IF(AND(P1549="应付",K1549=""),"✗ 这笔要选供应商",IF(AND(P1549="应付",COUNTIF(基础资料!$Q$5:$Q$54,K1549)=0),"✗ 供应商不在基础资料里",IF(AND(P1549="费用",L1549=""),"✗ 费用支出要选费用项目",IF(AND(L1549&lt;&gt;"",COUNTIF(基础资料!$AI$5:$AI$54,L1549)=0),"✗ 费用项目不在基础资料里",IF(AND(IFERROR(INDEX(基础资料!$AD$5:$AD$34,MATCH(O1549,基础资料!$AC$5:$AC$34,0)),"")="收",N(G1549)&lt;&gt;0),"✗ 这类是收款，金额填到收入列",IF(AND(IFERROR(INDEX(基础资料!$AD$5:$AD$34,MATCH(O1549,基础资料!$AC$5:$AC$34,0)),"")="支",N(F1549)&lt;&gt;0),"✗ 这类是付款，金额填到支出列",IF(N(H1549)&lt;0,"⚠ 账户余额成负数了，核对一下","√"))))))))))))))))))</f>
      </c>
      <c r="O1549" s="78">
        <f>IF(D1549&lt;&gt;"",D1549,IF(AND(F1549="",G1549=""),"",IF(J1549&lt;&gt;"",IF(N(F1549)&gt;0,"客户回款","客户退款"),IF(K1549&lt;&gt;"",IF(N(G1549)&gt;0,"供应商付款","供应商退款"),IF(L1549&lt;&gt;"","费用支出","")))))</f>
      </c>
      <c r="P1549" s="78">
        <f>IF(O1549="","",IFERROR(INDEX(基础资料!$AE$5:$AE$34,MATCH(O1549,基础资料!$AC$5:$AC$34,0)),"未知"))</f>
      </c>
      <c r="Q1549" s="78">
        <f>IF(P1549="应收",COUNTIF(P$7:P1549,"应收"),"")</f>
      </c>
      <c r="R1549" s="78">
        <f>IF(P1549="应付",COUNTIF(P$7:P1549,"应付"),"")</f>
      </c>
      <c r="S1549" s="78">
        <f>N(F1549)-N(G1549)</f>
        <v>0</v>
      </c>
    </row>
    <row r="1550">
      <c r="A1550" s="109">
        <f>IF(AND(F1550="",G1550=""),"",ROW()-6)</f>
      </c>
      <c r="B1550" s="140" t="n"/>
      <c r="C1550" s="141" t="n"/>
      <c r="D1550" s="141" t="n"/>
      <c r="E1550" s="142" t="n"/>
      <c r="F1550" s="143" t="n"/>
      <c r="G1550" s="144" t="n"/>
      <c r="H1550" s="145">
        <f>IF(OR(C1550="",AND(F1550="",G1550="")),"",SUMIF(基础资料!$W$5:$W$24,C1550,基础资料!$X$5:$X$24)+SUMIF(C$7:C1550,C1550,F$7:F1550)-SUMIF(C$7:C1550,C1550,G$7:G1550))</f>
      </c>
      <c r="I1550" s="145">
        <f>IF(AND(F1550="",G1550=""),"",SUM(基础资料!$X$5:$X$24)+SUM(F$7:F1550)-SUM(G$7:G1550))</f>
      </c>
      <c r="J1550" s="141" t="n"/>
      <c r="K1550" s="141" t="n"/>
      <c r="L1550" s="141" t="n"/>
      <c r="M1550" s="142" t="n"/>
      <c r="N1550" s="146">
        <f>IF(AND(AND(F1550="",G1550=""),B1550="",C1550="",D1550="",J1550="",K1550="",L1550=""),"",IF(AND(F1550="",G1550=""),"✗ 没填金额",IF(AND(N(F1550)&lt;&gt;0,N(G1550)&lt;&gt;0),"✗ 收入、支出只能填一边",IF(NOT(ISNUMBER(B1550)),"✗ 日期不是真日期（要像 2026/9/25 这样填）",IF(OR(B1550&lt;年初日,B1550&gt;年末日),"✗ 日期不在本会计年度",IF(C1550="","✗ 没选账户",IF(COUNTIF(基础资料!$W$5:$W$24,C1550)=0,"✗ 账户不在基础资料里",IF(O1550="","✗ 没选收支项目",IF(P1550="未知","✗ 收支项目不在基础资料里",IF(AND(P1550="应收",J1550=""),"✗ 这笔要选客户",IF(AND(P1550="应收",COUNTIF(总览汇总!$B$5:$B$304,J1550)=0),"✗ 客户不在总览汇总名单里",IF(AND(P1550="应付",K1550=""),"✗ 这笔要选供应商",IF(AND(P1550="应付",COUNTIF(基础资料!$Q$5:$Q$54,K1550)=0),"✗ 供应商不在基础资料里",IF(AND(P1550="费用",L1550=""),"✗ 费用支出要选费用项目",IF(AND(L1550&lt;&gt;"",COUNTIF(基础资料!$AI$5:$AI$54,L1550)=0),"✗ 费用项目不在基础资料里",IF(AND(IFERROR(INDEX(基础资料!$AD$5:$AD$34,MATCH(O1550,基础资料!$AC$5:$AC$34,0)),"")="收",N(G1550)&lt;&gt;0),"✗ 这类是收款，金额填到收入列",IF(AND(IFERROR(INDEX(基础资料!$AD$5:$AD$34,MATCH(O1550,基础资料!$AC$5:$AC$34,0)),"")="支",N(F1550)&lt;&gt;0),"✗ 这类是付款，金额填到支出列",IF(N(H1550)&lt;0,"⚠ 账户余额成负数了，核对一下","√"))))))))))))))))))</f>
      </c>
      <c r="O1550" s="78">
        <f>IF(D1550&lt;&gt;"",D1550,IF(AND(F1550="",G1550=""),"",IF(J1550&lt;&gt;"",IF(N(F1550)&gt;0,"客户回款","客户退款"),IF(K1550&lt;&gt;"",IF(N(G1550)&gt;0,"供应商付款","供应商退款"),IF(L1550&lt;&gt;"","费用支出","")))))</f>
      </c>
      <c r="P1550" s="78">
        <f>IF(O1550="","",IFERROR(INDEX(基础资料!$AE$5:$AE$34,MATCH(O1550,基础资料!$AC$5:$AC$34,0)),"未知"))</f>
      </c>
      <c r="Q1550" s="78">
        <f>IF(P1550="应收",COUNTIF(P$7:P1550,"应收"),"")</f>
      </c>
      <c r="R1550" s="78">
        <f>IF(P1550="应付",COUNTIF(P$7:P1550,"应付"),"")</f>
      </c>
      <c r="S1550" s="78">
        <f>N(F1550)-N(G1550)</f>
        <v>0</v>
      </c>
    </row>
    <row r="1551">
      <c r="A1551" s="109">
        <f>IF(AND(F1551="",G1551=""),"",ROW()-6)</f>
      </c>
      <c r="B1551" s="140" t="n"/>
      <c r="C1551" s="141" t="n"/>
      <c r="D1551" s="141" t="n"/>
      <c r="E1551" s="142" t="n"/>
      <c r="F1551" s="143" t="n"/>
      <c r="G1551" s="144" t="n"/>
      <c r="H1551" s="145">
        <f>IF(OR(C1551="",AND(F1551="",G1551="")),"",SUMIF(基础资料!$W$5:$W$24,C1551,基础资料!$X$5:$X$24)+SUMIF(C$7:C1551,C1551,F$7:F1551)-SUMIF(C$7:C1551,C1551,G$7:G1551))</f>
      </c>
      <c r="I1551" s="145">
        <f>IF(AND(F1551="",G1551=""),"",SUM(基础资料!$X$5:$X$24)+SUM(F$7:F1551)-SUM(G$7:G1551))</f>
      </c>
      <c r="J1551" s="141" t="n"/>
      <c r="K1551" s="141" t="n"/>
      <c r="L1551" s="141" t="n"/>
      <c r="M1551" s="142" t="n"/>
      <c r="N1551" s="146">
        <f>IF(AND(AND(F1551="",G1551=""),B1551="",C1551="",D1551="",J1551="",K1551="",L1551=""),"",IF(AND(F1551="",G1551=""),"✗ 没填金额",IF(AND(N(F1551)&lt;&gt;0,N(G1551)&lt;&gt;0),"✗ 收入、支出只能填一边",IF(NOT(ISNUMBER(B1551)),"✗ 日期不是真日期（要像 2026/9/25 这样填）",IF(OR(B1551&lt;年初日,B1551&gt;年末日),"✗ 日期不在本会计年度",IF(C1551="","✗ 没选账户",IF(COUNTIF(基础资料!$W$5:$W$24,C1551)=0,"✗ 账户不在基础资料里",IF(O1551="","✗ 没选收支项目",IF(P1551="未知","✗ 收支项目不在基础资料里",IF(AND(P1551="应收",J1551=""),"✗ 这笔要选客户",IF(AND(P1551="应收",COUNTIF(总览汇总!$B$5:$B$304,J1551)=0),"✗ 客户不在总览汇总名单里",IF(AND(P1551="应付",K1551=""),"✗ 这笔要选供应商",IF(AND(P1551="应付",COUNTIF(基础资料!$Q$5:$Q$54,K1551)=0),"✗ 供应商不在基础资料里",IF(AND(P1551="费用",L1551=""),"✗ 费用支出要选费用项目",IF(AND(L1551&lt;&gt;"",COUNTIF(基础资料!$AI$5:$AI$54,L1551)=0),"✗ 费用项目不在基础资料里",IF(AND(IFERROR(INDEX(基础资料!$AD$5:$AD$34,MATCH(O1551,基础资料!$AC$5:$AC$34,0)),"")="收",N(G1551)&lt;&gt;0),"✗ 这类是收款，金额填到收入列",IF(AND(IFERROR(INDEX(基础资料!$AD$5:$AD$34,MATCH(O1551,基础资料!$AC$5:$AC$34,0)),"")="支",N(F1551)&lt;&gt;0),"✗ 这类是付款，金额填到支出列",IF(N(H1551)&lt;0,"⚠ 账户余额成负数了，核对一下","√"))))))))))))))))))</f>
      </c>
      <c r="O1551" s="78">
        <f>IF(D1551&lt;&gt;"",D1551,IF(AND(F1551="",G1551=""),"",IF(J1551&lt;&gt;"",IF(N(F1551)&gt;0,"客户回款","客户退款"),IF(K1551&lt;&gt;"",IF(N(G1551)&gt;0,"供应商付款","供应商退款"),IF(L1551&lt;&gt;"","费用支出","")))))</f>
      </c>
      <c r="P1551" s="78">
        <f>IF(O1551="","",IFERROR(INDEX(基础资料!$AE$5:$AE$34,MATCH(O1551,基础资料!$AC$5:$AC$34,0)),"未知"))</f>
      </c>
      <c r="Q1551" s="78">
        <f>IF(P1551="应收",COUNTIF(P$7:P1551,"应收"),"")</f>
      </c>
      <c r="R1551" s="78">
        <f>IF(P1551="应付",COUNTIF(P$7:P1551,"应付"),"")</f>
      </c>
      <c r="S1551" s="78">
        <f>N(F1551)-N(G1551)</f>
        <v>0</v>
      </c>
    </row>
    <row r="1552">
      <c r="A1552" s="109">
        <f>IF(AND(F1552="",G1552=""),"",ROW()-6)</f>
      </c>
      <c r="B1552" s="140" t="n"/>
      <c r="C1552" s="141" t="n"/>
      <c r="D1552" s="141" t="n"/>
      <c r="E1552" s="142" t="n"/>
      <c r="F1552" s="143" t="n"/>
      <c r="G1552" s="144" t="n"/>
      <c r="H1552" s="145">
        <f>IF(OR(C1552="",AND(F1552="",G1552="")),"",SUMIF(基础资料!$W$5:$W$24,C1552,基础资料!$X$5:$X$24)+SUMIF(C$7:C1552,C1552,F$7:F1552)-SUMIF(C$7:C1552,C1552,G$7:G1552))</f>
      </c>
      <c r="I1552" s="145">
        <f>IF(AND(F1552="",G1552=""),"",SUM(基础资料!$X$5:$X$24)+SUM(F$7:F1552)-SUM(G$7:G1552))</f>
      </c>
      <c r="J1552" s="141" t="n"/>
      <c r="K1552" s="141" t="n"/>
      <c r="L1552" s="141" t="n"/>
      <c r="M1552" s="142" t="n"/>
      <c r="N1552" s="146">
        <f>IF(AND(AND(F1552="",G1552=""),B1552="",C1552="",D1552="",J1552="",K1552="",L1552=""),"",IF(AND(F1552="",G1552=""),"✗ 没填金额",IF(AND(N(F1552)&lt;&gt;0,N(G1552)&lt;&gt;0),"✗ 收入、支出只能填一边",IF(NOT(ISNUMBER(B1552)),"✗ 日期不是真日期（要像 2026/9/25 这样填）",IF(OR(B1552&lt;年初日,B1552&gt;年末日),"✗ 日期不在本会计年度",IF(C1552="","✗ 没选账户",IF(COUNTIF(基础资料!$W$5:$W$24,C1552)=0,"✗ 账户不在基础资料里",IF(O1552="","✗ 没选收支项目",IF(P1552="未知","✗ 收支项目不在基础资料里",IF(AND(P1552="应收",J1552=""),"✗ 这笔要选客户",IF(AND(P1552="应收",COUNTIF(总览汇总!$B$5:$B$304,J1552)=0),"✗ 客户不在总览汇总名单里",IF(AND(P1552="应付",K1552=""),"✗ 这笔要选供应商",IF(AND(P1552="应付",COUNTIF(基础资料!$Q$5:$Q$54,K1552)=0),"✗ 供应商不在基础资料里",IF(AND(P1552="费用",L1552=""),"✗ 费用支出要选费用项目",IF(AND(L1552&lt;&gt;"",COUNTIF(基础资料!$AI$5:$AI$54,L1552)=0),"✗ 费用项目不在基础资料里",IF(AND(IFERROR(INDEX(基础资料!$AD$5:$AD$34,MATCH(O1552,基础资料!$AC$5:$AC$34,0)),"")="收",N(G1552)&lt;&gt;0),"✗ 这类是收款，金额填到收入列",IF(AND(IFERROR(INDEX(基础资料!$AD$5:$AD$34,MATCH(O1552,基础资料!$AC$5:$AC$34,0)),"")="支",N(F1552)&lt;&gt;0),"✗ 这类是付款，金额填到支出列",IF(N(H1552)&lt;0,"⚠ 账户余额成负数了，核对一下","√"))))))))))))))))))</f>
      </c>
      <c r="O1552" s="78">
        <f>IF(D1552&lt;&gt;"",D1552,IF(AND(F1552="",G1552=""),"",IF(J1552&lt;&gt;"",IF(N(F1552)&gt;0,"客户回款","客户退款"),IF(K1552&lt;&gt;"",IF(N(G1552)&gt;0,"供应商付款","供应商退款"),IF(L1552&lt;&gt;"","费用支出","")))))</f>
      </c>
      <c r="P1552" s="78">
        <f>IF(O1552="","",IFERROR(INDEX(基础资料!$AE$5:$AE$34,MATCH(O1552,基础资料!$AC$5:$AC$34,0)),"未知"))</f>
      </c>
      <c r="Q1552" s="78">
        <f>IF(P1552="应收",COUNTIF(P$7:P1552,"应收"),"")</f>
      </c>
      <c r="R1552" s="78">
        <f>IF(P1552="应付",COUNTIF(P$7:P1552,"应付"),"")</f>
      </c>
      <c r="S1552" s="78">
        <f>N(F1552)-N(G1552)</f>
        <v>0</v>
      </c>
    </row>
    <row r="1553">
      <c r="A1553" s="109">
        <f>IF(AND(F1553="",G1553=""),"",ROW()-6)</f>
      </c>
      <c r="B1553" s="140" t="n"/>
      <c r="C1553" s="141" t="n"/>
      <c r="D1553" s="141" t="n"/>
      <c r="E1553" s="142" t="n"/>
      <c r="F1553" s="143" t="n"/>
      <c r="G1553" s="144" t="n"/>
      <c r="H1553" s="145">
        <f>IF(OR(C1553="",AND(F1553="",G1553="")),"",SUMIF(基础资料!$W$5:$W$24,C1553,基础资料!$X$5:$X$24)+SUMIF(C$7:C1553,C1553,F$7:F1553)-SUMIF(C$7:C1553,C1553,G$7:G1553))</f>
      </c>
      <c r="I1553" s="145">
        <f>IF(AND(F1553="",G1553=""),"",SUM(基础资料!$X$5:$X$24)+SUM(F$7:F1553)-SUM(G$7:G1553))</f>
      </c>
      <c r="J1553" s="141" t="n"/>
      <c r="K1553" s="141" t="n"/>
      <c r="L1553" s="141" t="n"/>
      <c r="M1553" s="142" t="n"/>
      <c r="N1553" s="146">
        <f>IF(AND(AND(F1553="",G1553=""),B1553="",C1553="",D1553="",J1553="",K1553="",L1553=""),"",IF(AND(F1553="",G1553=""),"✗ 没填金额",IF(AND(N(F1553)&lt;&gt;0,N(G1553)&lt;&gt;0),"✗ 收入、支出只能填一边",IF(NOT(ISNUMBER(B1553)),"✗ 日期不是真日期（要像 2026/9/25 这样填）",IF(OR(B1553&lt;年初日,B1553&gt;年末日),"✗ 日期不在本会计年度",IF(C1553="","✗ 没选账户",IF(COUNTIF(基础资料!$W$5:$W$24,C1553)=0,"✗ 账户不在基础资料里",IF(O1553="","✗ 没选收支项目",IF(P1553="未知","✗ 收支项目不在基础资料里",IF(AND(P1553="应收",J1553=""),"✗ 这笔要选客户",IF(AND(P1553="应收",COUNTIF(总览汇总!$B$5:$B$304,J1553)=0),"✗ 客户不在总览汇总名单里",IF(AND(P1553="应付",K1553=""),"✗ 这笔要选供应商",IF(AND(P1553="应付",COUNTIF(基础资料!$Q$5:$Q$54,K1553)=0),"✗ 供应商不在基础资料里",IF(AND(P1553="费用",L1553=""),"✗ 费用支出要选费用项目",IF(AND(L1553&lt;&gt;"",COUNTIF(基础资料!$AI$5:$AI$54,L1553)=0),"✗ 费用项目不在基础资料里",IF(AND(IFERROR(INDEX(基础资料!$AD$5:$AD$34,MATCH(O1553,基础资料!$AC$5:$AC$34,0)),"")="收",N(G1553)&lt;&gt;0),"✗ 这类是收款，金额填到收入列",IF(AND(IFERROR(INDEX(基础资料!$AD$5:$AD$34,MATCH(O1553,基础资料!$AC$5:$AC$34,0)),"")="支",N(F1553)&lt;&gt;0),"✗ 这类是付款，金额填到支出列",IF(N(H1553)&lt;0,"⚠ 账户余额成负数了，核对一下","√"))))))))))))))))))</f>
      </c>
      <c r="O1553" s="78">
        <f>IF(D1553&lt;&gt;"",D1553,IF(AND(F1553="",G1553=""),"",IF(J1553&lt;&gt;"",IF(N(F1553)&gt;0,"客户回款","客户退款"),IF(K1553&lt;&gt;"",IF(N(G1553)&gt;0,"供应商付款","供应商退款"),IF(L1553&lt;&gt;"","费用支出","")))))</f>
      </c>
      <c r="P1553" s="78">
        <f>IF(O1553="","",IFERROR(INDEX(基础资料!$AE$5:$AE$34,MATCH(O1553,基础资料!$AC$5:$AC$34,0)),"未知"))</f>
      </c>
      <c r="Q1553" s="78">
        <f>IF(P1553="应收",COUNTIF(P$7:P1553,"应收"),"")</f>
      </c>
      <c r="R1553" s="78">
        <f>IF(P1553="应付",COUNTIF(P$7:P1553,"应付"),"")</f>
      </c>
      <c r="S1553" s="78">
        <f>N(F1553)-N(G1553)</f>
        <v>0</v>
      </c>
    </row>
    <row r="1554">
      <c r="A1554" s="109">
        <f>IF(AND(F1554="",G1554=""),"",ROW()-6)</f>
      </c>
      <c r="B1554" s="140" t="n"/>
      <c r="C1554" s="141" t="n"/>
      <c r="D1554" s="141" t="n"/>
      <c r="E1554" s="142" t="n"/>
      <c r="F1554" s="143" t="n"/>
      <c r="G1554" s="144" t="n"/>
      <c r="H1554" s="145">
        <f>IF(OR(C1554="",AND(F1554="",G1554="")),"",SUMIF(基础资料!$W$5:$W$24,C1554,基础资料!$X$5:$X$24)+SUMIF(C$7:C1554,C1554,F$7:F1554)-SUMIF(C$7:C1554,C1554,G$7:G1554))</f>
      </c>
      <c r="I1554" s="145">
        <f>IF(AND(F1554="",G1554=""),"",SUM(基础资料!$X$5:$X$24)+SUM(F$7:F1554)-SUM(G$7:G1554))</f>
      </c>
      <c r="J1554" s="141" t="n"/>
      <c r="K1554" s="141" t="n"/>
      <c r="L1554" s="141" t="n"/>
      <c r="M1554" s="142" t="n"/>
      <c r="N1554" s="146">
        <f>IF(AND(AND(F1554="",G1554=""),B1554="",C1554="",D1554="",J1554="",K1554="",L1554=""),"",IF(AND(F1554="",G1554=""),"✗ 没填金额",IF(AND(N(F1554)&lt;&gt;0,N(G1554)&lt;&gt;0),"✗ 收入、支出只能填一边",IF(NOT(ISNUMBER(B1554)),"✗ 日期不是真日期（要像 2026/9/25 这样填）",IF(OR(B1554&lt;年初日,B1554&gt;年末日),"✗ 日期不在本会计年度",IF(C1554="","✗ 没选账户",IF(COUNTIF(基础资料!$W$5:$W$24,C1554)=0,"✗ 账户不在基础资料里",IF(O1554="","✗ 没选收支项目",IF(P1554="未知","✗ 收支项目不在基础资料里",IF(AND(P1554="应收",J1554=""),"✗ 这笔要选客户",IF(AND(P1554="应收",COUNTIF(总览汇总!$B$5:$B$304,J1554)=0),"✗ 客户不在总览汇总名单里",IF(AND(P1554="应付",K1554=""),"✗ 这笔要选供应商",IF(AND(P1554="应付",COUNTIF(基础资料!$Q$5:$Q$54,K1554)=0),"✗ 供应商不在基础资料里",IF(AND(P1554="费用",L1554=""),"✗ 费用支出要选费用项目",IF(AND(L1554&lt;&gt;"",COUNTIF(基础资料!$AI$5:$AI$54,L1554)=0),"✗ 费用项目不在基础资料里",IF(AND(IFERROR(INDEX(基础资料!$AD$5:$AD$34,MATCH(O1554,基础资料!$AC$5:$AC$34,0)),"")="收",N(G1554)&lt;&gt;0),"✗ 这类是收款，金额填到收入列",IF(AND(IFERROR(INDEX(基础资料!$AD$5:$AD$34,MATCH(O1554,基础资料!$AC$5:$AC$34,0)),"")="支",N(F1554)&lt;&gt;0),"✗ 这类是付款，金额填到支出列",IF(N(H1554)&lt;0,"⚠ 账户余额成负数了，核对一下","√"))))))))))))))))))</f>
      </c>
      <c r="O1554" s="78">
        <f>IF(D1554&lt;&gt;"",D1554,IF(AND(F1554="",G1554=""),"",IF(J1554&lt;&gt;"",IF(N(F1554)&gt;0,"客户回款","客户退款"),IF(K1554&lt;&gt;"",IF(N(G1554)&gt;0,"供应商付款","供应商退款"),IF(L1554&lt;&gt;"","费用支出","")))))</f>
      </c>
      <c r="P1554" s="78">
        <f>IF(O1554="","",IFERROR(INDEX(基础资料!$AE$5:$AE$34,MATCH(O1554,基础资料!$AC$5:$AC$34,0)),"未知"))</f>
      </c>
      <c r="Q1554" s="78">
        <f>IF(P1554="应收",COUNTIF(P$7:P1554,"应收"),"")</f>
      </c>
      <c r="R1554" s="78">
        <f>IF(P1554="应付",COUNTIF(P$7:P1554,"应付"),"")</f>
      </c>
      <c r="S1554" s="78">
        <f>N(F1554)-N(G1554)</f>
        <v>0</v>
      </c>
    </row>
    <row r="1555">
      <c r="A1555" s="109">
        <f>IF(AND(F1555="",G1555=""),"",ROW()-6)</f>
      </c>
      <c r="B1555" s="140" t="n"/>
      <c r="C1555" s="141" t="n"/>
      <c r="D1555" s="141" t="n"/>
      <c r="E1555" s="142" t="n"/>
      <c r="F1555" s="143" t="n"/>
      <c r="G1555" s="144" t="n"/>
      <c r="H1555" s="145">
        <f>IF(OR(C1555="",AND(F1555="",G1555="")),"",SUMIF(基础资料!$W$5:$W$24,C1555,基础资料!$X$5:$X$24)+SUMIF(C$7:C1555,C1555,F$7:F1555)-SUMIF(C$7:C1555,C1555,G$7:G1555))</f>
      </c>
      <c r="I1555" s="145">
        <f>IF(AND(F1555="",G1555=""),"",SUM(基础资料!$X$5:$X$24)+SUM(F$7:F1555)-SUM(G$7:G1555))</f>
      </c>
      <c r="J1555" s="141" t="n"/>
      <c r="K1555" s="141" t="n"/>
      <c r="L1555" s="141" t="n"/>
      <c r="M1555" s="142" t="n"/>
      <c r="N1555" s="146">
        <f>IF(AND(AND(F1555="",G1555=""),B1555="",C1555="",D1555="",J1555="",K1555="",L1555=""),"",IF(AND(F1555="",G1555=""),"✗ 没填金额",IF(AND(N(F1555)&lt;&gt;0,N(G1555)&lt;&gt;0),"✗ 收入、支出只能填一边",IF(NOT(ISNUMBER(B1555)),"✗ 日期不是真日期（要像 2026/9/25 这样填）",IF(OR(B1555&lt;年初日,B1555&gt;年末日),"✗ 日期不在本会计年度",IF(C1555="","✗ 没选账户",IF(COUNTIF(基础资料!$W$5:$W$24,C1555)=0,"✗ 账户不在基础资料里",IF(O1555="","✗ 没选收支项目",IF(P1555="未知","✗ 收支项目不在基础资料里",IF(AND(P1555="应收",J1555=""),"✗ 这笔要选客户",IF(AND(P1555="应收",COUNTIF(总览汇总!$B$5:$B$304,J1555)=0),"✗ 客户不在总览汇总名单里",IF(AND(P1555="应付",K1555=""),"✗ 这笔要选供应商",IF(AND(P1555="应付",COUNTIF(基础资料!$Q$5:$Q$54,K1555)=0),"✗ 供应商不在基础资料里",IF(AND(P1555="费用",L1555=""),"✗ 费用支出要选费用项目",IF(AND(L1555&lt;&gt;"",COUNTIF(基础资料!$AI$5:$AI$54,L1555)=0),"✗ 费用项目不在基础资料里",IF(AND(IFERROR(INDEX(基础资料!$AD$5:$AD$34,MATCH(O1555,基础资料!$AC$5:$AC$34,0)),"")="收",N(G1555)&lt;&gt;0),"✗ 这类是收款，金额填到收入列",IF(AND(IFERROR(INDEX(基础资料!$AD$5:$AD$34,MATCH(O1555,基础资料!$AC$5:$AC$34,0)),"")="支",N(F1555)&lt;&gt;0),"✗ 这类是付款，金额填到支出列",IF(N(H1555)&lt;0,"⚠ 账户余额成负数了，核对一下","√"))))))))))))))))))</f>
      </c>
      <c r="O1555" s="78">
        <f>IF(D1555&lt;&gt;"",D1555,IF(AND(F1555="",G1555=""),"",IF(J1555&lt;&gt;"",IF(N(F1555)&gt;0,"客户回款","客户退款"),IF(K1555&lt;&gt;"",IF(N(G1555)&gt;0,"供应商付款","供应商退款"),IF(L1555&lt;&gt;"","费用支出","")))))</f>
      </c>
      <c r="P1555" s="78">
        <f>IF(O1555="","",IFERROR(INDEX(基础资料!$AE$5:$AE$34,MATCH(O1555,基础资料!$AC$5:$AC$34,0)),"未知"))</f>
      </c>
      <c r="Q1555" s="78">
        <f>IF(P1555="应收",COUNTIF(P$7:P1555,"应收"),"")</f>
      </c>
      <c r="R1555" s="78">
        <f>IF(P1555="应付",COUNTIF(P$7:P1555,"应付"),"")</f>
      </c>
      <c r="S1555" s="78">
        <f>N(F1555)-N(G1555)</f>
        <v>0</v>
      </c>
    </row>
    <row r="1556">
      <c r="A1556" s="109">
        <f>IF(AND(F1556="",G1556=""),"",ROW()-6)</f>
      </c>
      <c r="B1556" s="140" t="n"/>
      <c r="C1556" s="141" t="n"/>
      <c r="D1556" s="141" t="n"/>
      <c r="E1556" s="142" t="n"/>
      <c r="F1556" s="143" t="n"/>
      <c r="G1556" s="144" t="n"/>
      <c r="H1556" s="145">
        <f>IF(OR(C1556="",AND(F1556="",G1556="")),"",SUMIF(基础资料!$W$5:$W$24,C1556,基础资料!$X$5:$X$24)+SUMIF(C$7:C1556,C1556,F$7:F1556)-SUMIF(C$7:C1556,C1556,G$7:G1556))</f>
      </c>
      <c r="I1556" s="145">
        <f>IF(AND(F1556="",G1556=""),"",SUM(基础资料!$X$5:$X$24)+SUM(F$7:F1556)-SUM(G$7:G1556))</f>
      </c>
      <c r="J1556" s="141" t="n"/>
      <c r="K1556" s="141" t="n"/>
      <c r="L1556" s="141" t="n"/>
      <c r="M1556" s="142" t="n"/>
      <c r="N1556" s="146">
        <f>IF(AND(AND(F1556="",G1556=""),B1556="",C1556="",D1556="",J1556="",K1556="",L1556=""),"",IF(AND(F1556="",G1556=""),"✗ 没填金额",IF(AND(N(F1556)&lt;&gt;0,N(G1556)&lt;&gt;0),"✗ 收入、支出只能填一边",IF(NOT(ISNUMBER(B1556)),"✗ 日期不是真日期（要像 2026/9/25 这样填）",IF(OR(B1556&lt;年初日,B1556&gt;年末日),"✗ 日期不在本会计年度",IF(C1556="","✗ 没选账户",IF(COUNTIF(基础资料!$W$5:$W$24,C1556)=0,"✗ 账户不在基础资料里",IF(O1556="","✗ 没选收支项目",IF(P1556="未知","✗ 收支项目不在基础资料里",IF(AND(P1556="应收",J1556=""),"✗ 这笔要选客户",IF(AND(P1556="应收",COUNTIF(总览汇总!$B$5:$B$304,J1556)=0),"✗ 客户不在总览汇总名单里",IF(AND(P1556="应付",K1556=""),"✗ 这笔要选供应商",IF(AND(P1556="应付",COUNTIF(基础资料!$Q$5:$Q$54,K1556)=0),"✗ 供应商不在基础资料里",IF(AND(P1556="费用",L1556=""),"✗ 费用支出要选费用项目",IF(AND(L1556&lt;&gt;"",COUNTIF(基础资料!$AI$5:$AI$54,L1556)=0),"✗ 费用项目不在基础资料里",IF(AND(IFERROR(INDEX(基础资料!$AD$5:$AD$34,MATCH(O1556,基础资料!$AC$5:$AC$34,0)),"")="收",N(G1556)&lt;&gt;0),"✗ 这类是收款，金额填到收入列",IF(AND(IFERROR(INDEX(基础资料!$AD$5:$AD$34,MATCH(O1556,基础资料!$AC$5:$AC$34,0)),"")="支",N(F1556)&lt;&gt;0),"✗ 这类是付款，金额填到支出列",IF(N(H1556)&lt;0,"⚠ 账户余额成负数了，核对一下","√"))))))))))))))))))</f>
      </c>
      <c r="O1556" s="78">
        <f>IF(D1556&lt;&gt;"",D1556,IF(AND(F1556="",G1556=""),"",IF(J1556&lt;&gt;"",IF(N(F1556)&gt;0,"客户回款","客户退款"),IF(K1556&lt;&gt;"",IF(N(G1556)&gt;0,"供应商付款","供应商退款"),IF(L1556&lt;&gt;"","费用支出","")))))</f>
      </c>
      <c r="P1556" s="78">
        <f>IF(O1556="","",IFERROR(INDEX(基础资料!$AE$5:$AE$34,MATCH(O1556,基础资料!$AC$5:$AC$34,0)),"未知"))</f>
      </c>
      <c r="Q1556" s="78">
        <f>IF(P1556="应收",COUNTIF(P$7:P1556,"应收"),"")</f>
      </c>
      <c r="R1556" s="78">
        <f>IF(P1556="应付",COUNTIF(P$7:P1556,"应付"),"")</f>
      </c>
      <c r="S1556" s="78">
        <f>N(F1556)-N(G1556)</f>
        <v>0</v>
      </c>
    </row>
    <row r="1557">
      <c r="A1557" s="109">
        <f>IF(AND(F1557="",G1557=""),"",ROW()-6)</f>
      </c>
      <c r="B1557" s="140" t="n"/>
      <c r="C1557" s="141" t="n"/>
      <c r="D1557" s="141" t="n"/>
      <c r="E1557" s="142" t="n"/>
      <c r="F1557" s="143" t="n"/>
      <c r="G1557" s="144" t="n"/>
      <c r="H1557" s="145">
        <f>IF(OR(C1557="",AND(F1557="",G1557="")),"",SUMIF(基础资料!$W$5:$W$24,C1557,基础资料!$X$5:$X$24)+SUMIF(C$7:C1557,C1557,F$7:F1557)-SUMIF(C$7:C1557,C1557,G$7:G1557))</f>
      </c>
      <c r="I1557" s="145">
        <f>IF(AND(F1557="",G1557=""),"",SUM(基础资料!$X$5:$X$24)+SUM(F$7:F1557)-SUM(G$7:G1557))</f>
      </c>
      <c r="J1557" s="141" t="n"/>
      <c r="K1557" s="141" t="n"/>
      <c r="L1557" s="141" t="n"/>
      <c r="M1557" s="142" t="n"/>
      <c r="N1557" s="146">
        <f>IF(AND(AND(F1557="",G1557=""),B1557="",C1557="",D1557="",J1557="",K1557="",L1557=""),"",IF(AND(F1557="",G1557=""),"✗ 没填金额",IF(AND(N(F1557)&lt;&gt;0,N(G1557)&lt;&gt;0),"✗ 收入、支出只能填一边",IF(NOT(ISNUMBER(B1557)),"✗ 日期不是真日期（要像 2026/9/25 这样填）",IF(OR(B1557&lt;年初日,B1557&gt;年末日),"✗ 日期不在本会计年度",IF(C1557="","✗ 没选账户",IF(COUNTIF(基础资料!$W$5:$W$24,C1557)=0,"✗ 账户不在基础资料里",IF(O1557="","✗ 没选收支项目",IF(P1557="未知","✗ 收支项目不在基础资料里",IF(AND(P1557="应收",J1557=""),"✗ 这笔要选客户",IF(AND(P1557="应收",COUNTIF(总览汇总!$B$5:$B$304,J1557)=0),"✗ 客户不在总览汇总名单里",IF(AND(P1557="应付",K1557=""),"✗ 这笔要选供应商",IF(AND(P1557="应付",COUNTIF(基础资料!$Q$5:$Q$54,K1557)=0),"✗ 供应商不在基础资料里",IF(AND(P1557="费用",L1557=""),"✗ 费用支出要选费用项目",IF(AND(L1557&lt;&gt;"",COUNTIF(基础资料!$AI$5:$AI$54,L1557)=0),"✗ 费用项目不在基础资料里",IF(AND(IFERROR(INDEX(基础资料!$AD$5:$AD$34,MATCH(O1557,基础资料!$AC$5:$AC$34,0)),"")="收",N(G1557)&lt;&gt;0),"✗ 这类是收款，金额填到收入列",IF(AND(IFERROR(INDEX(基础资料!$AD$5:$AD$34,MATCH(O1557,基础资料!$AC$5:$AC$34,0)),"")="支",N(F1557)&lt;&gt;0),"✗ 这类是付款，金额填到支出列",IF(N(H1557)&lt;0,"⚠ 账户余额成负数了，核对一下","√"))))))))))))))))))</f>
      </c>
      <c r="O1557" s="78">
        <f>IF(D1557&lt;&gt;"",D1557,IF(AND(F1557="",G1557=""),"",IF(J1557&lt;&gt;"",IF(N(F1557)&gt;0,"客户回款","客户退款"),IF(K1557&lt;&gt;"",IF(N(G1557)&gt;0,"供应商付款","供应商退款"),IF(L1557&lt;&gt;"","费用支出","")))))</f>
      </c>
      <c r="P1557" s="78">
        <f>IF(O1557="","",IFERROR(INDEX(基础资料!$AE$5:$AE$34,MATCH(O1557,基础资料!$AC$5:$AC$34,0)),"未知"))</f>
      </c>
      <c r="Q1557" s="78">
        <f>IF(P1557="应收",COUNTIF(P$7:P1557,"应收"),"")</f>
      </c>
      <c r="R1557" s="78">
        <f>IF(P1557="应付",COUNTIF(P$7:P1557,"应付"),"")</f>
      </c>
      <c r="S1557" s="78">
        <f>N(F1557)-N(G1557)</f>
        <v>0</v>
      </c>
    </row>
    <row r="1558">
      <c r="A1558" s="109">
        <f>IF(AND(F1558="",G1558=""),"",ROW()-6)</f>
      </c>
      <c r="B1558" s="140" t="n"/>
      <c r="C1558" s="141" t="n"/>
      <c r="D1558" s="141" t="n"/>
      <c r="E1558" s="142" t="n"/>
      <c r="F1558" s="143" t="n"/>
      <c r="G1558" s="144" t="n"/>
      <c r="H1558" s="145">
        <f>IF(OR(C1558="",AND(F1558="",G1558="")),"",SUMIF(基础资料!$W$5:$W$24,C1558,基础资料!$X$5:$X$24)+SUMIF(C$7:C1558,C1558,F$7:F1558)-SUMIF(C$7:C1558,C1558,G$7:G1558))</f>
      </c>
      <c r="I1558" s="145">
        <f>IF(AND(F1558="",G1558=""),"",SUM(基础资料!$X$5:$X$24)+SUM(F$7:F1558)-SUM(G$7:G1558))</f>
      </c>
      <c r="J1558" s="141" t="n"/>
      <c r="K1558" s="141" t="n"/>
      <c r="L1558" s="141" t="n"/>
      <c r="M1558" s="142" t="n"/>
      <c r="N1558" s="146">
        <f>IF(AND(AND(F1558="",G1558=""),B1558="",C1558="",D1558="",J1558="",K1558="",L1558=""),"",IF(AND(F1558="",G1558=""),"✗ 没填金额",IF(AND(N(F1558)&lt;&gt;0,N(G1558)&lt;&gt;0),"✗ 收入、支出只能填一边",IF(NOT(ISNUMBER(B1558)),"✗ 日期不是真日期（要像 2026/9/25 这样填）",IF(OR(B1558&lt;年初日,B1558&gt;年末日),"✗ 日期不在本会计年度",IF(C1558="","✗ 没选账户",IF(COUNTIF(基础资料!$W$5:$W$24,C1558)=0,"✗ 账户不在基础资料里",IF(O1558="","✗ 没选收支项目",IF(P1558="未知","✗ 收支项目不在基础资料里",IF(AND(P1558="应收",J1558=""),"✗ 这笔要选客户",IF(AND(P1558="应收",COUNTIF(总览汇总!$B$5:$B$304,J1558)=0),"✗ 客户不在总览汇总名单里",IF(AND(P1558="应付",K1558=""),"✗ 这笔要选供应商",IF(AND(P1558="应付",COUNTIF(基础资料!$Q$5:$Q$54,K1558)=0),"✗ 供应商不在基础资料里",IF(AND(P1558="费用",L1558=""),"✗ 费用支出要选费用项目",IF(AND(L1558&lt;&gt;"",COUNTIF(基础资料!$AI$5:$AI$54,L1558)=0),"✗ 费用项目不在基础资料里",IF(AND(IFERROR(INDEX(基础资料!$AD$5:$AD$34,MATCH(O1558,基础资料!$AC$5:$AC$34,0)),"")="收",N(G1558)&lt;&gt;0),"✗ 这类是收款，金额填到收入列",IF(AND(IFERROR(INDEX(基础资料!$AD$5:$AD$34,MATCH(O1558,基础资料!$AC$5:$AC$34,0)),"")="支",N(F1558)&lt;&gt;0),"✗ 这类是付款，金额填到支出列",IF(N(H1558)&lt;0,"⚠ 账户余额成负数了，核对一下","√"))))))))))))))))))</f>
      </c>
      <c r="O1558" s="78">
        <f>IF(D1558&lt;&gt;"",D1558,IF(AND(F1558="",G1558=""),"",IF(J1558&lt;&gt;"",IF(N(F1558)&gt;0,"客户回款","客户退款"),IF(K1558&lt;&gt;"",IF(N(G1558)&gt;0,"供应商付款","供应商退款"),IF(L1558&lt;&gt;"","费用支出","")))))</f>
      </c>
      <c r="P1558" s="78">
        <f>IF(O1558="","",IFERROR(INDEX(基础资料!$AE$5:$AE$34,MATCH(O1558,基础资料!$AC$5:$AC$34,0)),"未知"))</f>
      </c>
      <c r="Q1558" s="78">
        <f>IF(P1558="应收",COUNTIF(P$7:P1558,"应收"),"")</f>
      </c>
      <c r="R1558" s="78">
        <f>IF(P1558="应付",COUNTIF(P$7:P1558,"应付"),"")</f>
      </c>
      <c r="S1558" s="78">
        <f>N(F1558)-N(G1558)</f>
        <v>0</v>
      </c>
    </row>
    <row r="1559">
      <c r="A1559" s="109">
        <f>IF(AND(F1559="",G1559=""),"",ROW()-6)</f>
      </c>
      <c r="B1559" s="140" t="n"/>
      <c r="C1559" s="141" t="n"/>
      <c r="D1559" s="141" t="n"/>
      <c r="E1559" s="142" t="n"/>
      <c r="F1559" s="143" t="n"/>
      <c r="G1559" s="144" t="n"/>
      <c r="H1559" s="145">
        <f>IF(OR(C1559="",AND(F1559="",G1559="")),"",SUMIF(基础资料!$W$5:$W$24,C1559,基础资料!$X$5:$X$24)+SUMIF(C$7:C1559,C1559,F$7:F1559)-SUMIF(C$7:C1559,C1559,G$7:G1559))</f>
      </c>
      <c r="I1559" s="145">
        <f>IF(AND(F1559="",G1559=""),"",SUM(基础资料!$X$5:$X$24)+SUM(F$7:F1559)-SUM(G$7:G1559))</f>
      </c>
      <c r="J1559" s="141" t="n"/>
      <c r="K1559" s="141" t="n"/>
      <c r="L1559" s="141" t="n"/>
      <c r="M1559" s="142" t="n"/>
      <c r="N1559" s="146">
        <f>IF(AND(AND(F1559="",G1559=""),B1559="",C1559="",D1559="",J1559="",K1559="",L1559=""),"",IF(AND(F1559="",G1559=""),"✗ 没填金额",IF(AND(N(F1559)&lt;&gt;0,N(G1559)&lt;&gt;0),"✗ 收入、支出只能填一边",IF(NOT(ISNUMBER(B1559)),"✗ 日期不是真日期（要像 2026/9/25 这样填）",IF(OR(B1559&lt;年初日,B1559&gt;年末日),"✗ 日期不在本会计年度",IF(C1559="","✗ 没选账户",IF(COUNTIF(基础资料!$W$5:$W$24,C1559)=0,"✗ 账户不在基础资料里",IF(O1559="","✗ 没选收支项目",IF(P1559="未知","✗ 收支项目不在基础资料里",IF(AND(P1559="应收",J1559=""),"✗ 这笔要选客户",IF(AND(P1559="应收",COUNTIF(总览汇总!$B$5:$B$304,J1559)=0),"✗ 客户不在总览汇总名单里",IF(AND(P1559="应付",K1559=""),"✗ 这笔要选供应商",IF(AND(P1559="应付",COUNTIF(基础资料!$Q$5:$Q$54,K1559)=0),"✗ 供应商不在基础资料里",IF(AND(P1559="费用",L1559=""),"✗ 费用支出要选费用项目",IF(AND(L1559&lt;&gt;"",COUNTIF(基础资料!$AI$5:$AI$54,L1559)=0),"✗ 费用项目不在基础资料里",IF(AND(IFERROR(INDEX(基础资料!$AD$5:$AD$34,MATCH(O1559,基础资料!$AC$5:$AC$34,0)),"")="收",N(G1559)&lt;&gt;0),"✗ 这类是收款，金额填到收入列",IF(AND(IFERROR(INDEX(基础资料!$AD$5:$AD$34,MATCH(O1559,基础资料!$AC$5:$AC$34,0)),"")="支",N(F1559)&lt;&gt;0),"✗ 这类是付款，金额填到支出列",IF(N(H1559)&lt;0,"⚠ 账户余额成负数了，核对一下","√"))))))))))))))))))</f>
      </c>
      <c r="O1559" s="78">
        <f>IF(D1559&lt;&gt;"",D1559,IF(AND(F1559="",G1559=""),"",IF(J1559&lt;&gt;"",IF(N(F1559)&gt;0,"客户回款","客户退款"),IF(K1559&lt;&gt;"",IF(N(G1559)&gt;0,"供应商付款","供应商退款"),IF(L1559&lt;&gt;"","费用支出","")))))</f>
      </c>
      <c r="P1559" s="78">
        <f>IF(O1559="","",IFERROR(INDEX(基础资料!$AE$5:$AE$34,MATCH(O1559,基础资料!$AC$5:$AC$34,0)),"未知"))</f>
      </c>
      <c r="Q1559" s="78">
        <f>IF(P1559="应收",COUNTIF(P$7:P1559,"应收"),"")</f>
      </c>
      <c r="R1559" s="78">
        <f>IF(P1559="应付",COUNTIF(P$7:P1559,"应付"),"")</f>
      </c>
      <c r="S1559" s="78">
        <f>N(F1559)-N(G1559)</f>
        <v>0</v>
      </c>
    </row>
    <row r="1560">
      <c r="A1560" s="109">
        <f>IF(AND(F1560="",G1560=""),"",ROW()-6)</f>
      </c>
      <c r="B1560" s="140" t="n"/>
      <c r="C1560" s="141" t="n"/>
      <c r="D1560" s="141" t="n"/>
      <c r="E1560" s="142" t="n"/>
      <c r="F1560" s="143" t="n"/>
      <c r="G1560" s="144" t="n"/>
      <c r="H1560" s="145">
        <f>IF(OR(C1560="",AND(F1560="",G1560="")),"",SUMIF(基础资料!$W$5:$W$24,C1560,基础资料!$X$5:$X$24)+SUMIF(C$7:C1560,C1560,F$7:F1560)-SUMIF(C$7:C1560,C1560,G$7:G1560))</f>
      </c>
      <c r="I1560" s="145">
        <f>IF(AND(F1560="",G1560=""),"",SUM(基础资料!$X$5:$X$24)+SUM(F$7:F1560)-SUM(G$7:G1560))</f>
      </c>
      <c r="J1560" s="141" t="n"/>
      <c r="K1560" s="141" t="n"/>
      <c r="L1560" s="141" t="n"/>
      <c r="M1560" s="142" t="n"/>
      <c r="N1560" s="146">
        <f>IF(AND(AND(F1560="",G1560=""),B1560="",C1560="",D1560="",J1560="",K1560="",L1560=""),"",IF(AND(F1560="",G1560=""),"✗ 没填金额",IF(AND(N(F1560)&lt;&gt;0,N(G1560)&lt;&gt;0),"✗ 收入、支出只能填一边",IF(NOT(ISNUMBER(B1560)),"✗ 日期不是真日期（要像 2026/9/25 这样填）",IF(OR(B1560&lt;年初日,B1560&gt;年末日),"✗ 日期不在本会计年度",IF(C1560="","✗ 没选账户",IF(COUNTIF(基础资料!$W$5:$W$24,C1560)=0,"✗ 账户不在基础资料里",IF(O1560="","✗ 没选收支项目",IF(P1560="未知","✗ 收支项目不在基础资料里",IF(AND(P1560="应收",J1560=""),"✗ 这笔要选客户",IF(AND(P1560="应收",COUNTIF(总览汇总!$B$5:$B$304,J1560)=0),"✗ 客户不在总览汇总名单里",IF(AND(P1560="应付",K1560=""),"✗ 这笔要选供应商",IF(AND(P1560="应付",COUNTIF(基础资料!$Q$5:$Q$54,K1560)=0),"✗ 供应商不在基础资料里",IF(AND(P1560="费用",L1560=""),"✗ 费用支出要选费用项目",IF(AND(L1560&lt;&gt;"",COUNTIF(基础资料!$AI$5:$AI$54,L1560)=0),"✗ 费用项目不在基础资料里",IF(AND(IFERROR(INDEX(基础资料!$AD$5:$AD$34,MATCH(O1560,基础资料!$AC$5:$AC$34,0)),"")="收",N(G1560)&lt;&gt;0),"✗ 这类是收款，金额填到收入列",IF(AND(IFERROR(INDEX(基础资料!$AD$5:$AD$34,MATCH(O1560,基础资料!$AC$5:$AC$34,0)),"")="支",N(F1560)&lt;&gt;0),"✗ 这类是付款，金额填到支出列",IF(N(H1560)&lt;0,"⚠ 账户余额成负数了，核对一下","√"))))))))))))))))))</f>
      </c>
      <c r="O1560" s="78">
        <f>IF(D1560&lt;&gt;"",D1560,IF(AND(F1560="",G1560=""),"",IF(J1560&lt;&gt;"",IF(N(F1560)&gt;0,"客户回款","客户退款"),IF(K1560&lt;&gt;"",IF(N(G1560)&gt;0,"供应商付款","供应商退款"),IF(L1560&lt;&gt;"","费用支出","")))))</f>
      </c>
      <c r="P1560" s="78">
        <f>IF(O1560="","",IFERROR(INDEX(基础资料!$AE$5:$AE$34,MATCH(O1560,基础资料!$AC$5:$AC$34,0)),"未知"))</f>
      </c>
      <c r="Q1560" s="78">
        <f>IF(P1560="应收",COUNTIF(P$7:P1560,"应收"),"")</f>
      </c>
      <c r="R1560" s="78">
        <f>IF(P1560="应付",COUNTIF(P$7:P1560,"应付"),"")</f>
      </c>
      <c r="S1560" s="78">
        <f>N(F1560)-N(G1560)</f>
        <v>0</v>
      </c>
    </row>
    <row r="1561">
      <c r="A1561" s="109">
        <f>IF(AND(F1561="",G1561=""),"",ROW()-6)</f>
      </c>
      <c r="B1561" s="140" t="n"/>
      <c r="C1561" s="141" t="n"/>
      <c r="D1561" s="141" t="n"/>
      <c r="E1561" s="142" t="n"/>
      <c r="F1561" s="143" t="n"/>
      <c r="G1561" s="144" t="n"/>
      <c r="H1561" s="145">
        <f>IF(OR(C1561="",AND(F1561="",G1561="")),"",SUMIF(基础资料!$W$5:$W$24,C1561,基础资料!$X$5:$X$24)+SUMIF(C$7:C1561,C1561,F$7:F1561)-SUMIF(C$7:C1561,C1561,G$7:G1561))</f>
      </c>
      <c r="I1561" s="145">
        <f>IF(AND(F1561="",G1561=""),"",SUM(基础资料!$X$5:$X$24)+SUM(F$7:F1561)-SUM(G$7:G1561))</f>
      </c>
      <c r="J1561" s="141" t="n"/>
      <c r="K1561" s="141" t="n"/>
      <c r="L1561" s="141" t="n"/>
      <c r="M1561" s="142" t="n"/>
      <c r="N1561" s="146">
        <f>IF(AND(AND(F1561="",G1561=""),B1561="",C1561="",D1561="",J1561="",K1561="",L1561=""),"",IF(AND(F1561="",G1561=""),"✗ 没填金额",IF(AND(N(F1561)&lt;&gt;0,N(G1561)&lt;&gt;0),"✗ 收入、支出只能填一边",IF(NOT(ISNUMBER(B1561)),"✗ 日期不是真日期（要像 2026/9/25 这样填）",IF(OR(B1561&lt;年初日,B1561&gt;年末日),"✗ 日期不在本会计年度",IF(C1561="","✗ 没选账户",IF(COUNTIF(基础资料!$W$5:$W$24,C1561)=0,"✗ 账户不在基础资料里",IF(O1561="","✗ 没选收支项目",IF(P1561="未知","✗ 收支项目不在基础资料里",IF(AND(P1561="应收",J1561=""),"✗ 这笔要选客户",IF(AND(P1561="应收",COUNTIF(总览汇总!$B$5:$B$304,J1561)=0),"✗ 客户不在总览汇总名单里",IF(AND(P1561="应付",K1561=""),"✗ 这笔要选供应商",IF(AND(P1561="应付",COUNTIF(基础资料!$Q$5:$Q$54,K1561)=0),"✗ 供应商不在基础资料里",IF(AND(P1561="费用",L1561=""),"✗ 费用支出要选费用项目",IF(AND(L1561&lt;&gt;"",COUNTIF(基础资料!$AI$5:$AI$54,L1561)=0),"✗ 费用项目不在基础资料里",IF(AND(IFERROR(INDEX(基础资料!$AD$5:$AD$34,MATCH(O1561,基础资料!$AC$5:$AC$34,0)),"")="收",N(G1561)&lt;&gt;0),"✗ 这类是收款，金额填到收入列",IF(AND(IFERROR(INDEX(基础资料!$AD$5:$AD$34,MATCH(O1561,基础资料!$AC$5:$AC$34,0)),"")="支",N(F1561)&lt;&gt;0),"✗ 这类是付款，金额填到支出列",IF(N(H1561)&lt;0,"⚠ 账户余额成负数了，核对一下","√"))))))))))))))))))</f>
      </c>
      <c r="O1561" s="78">
        <f>IF(D1561&lt;&gt;"",D1561,IF(AND(F1561="",G1561=""),"",IF(J1561&lt;&gt;"",IF(N(F1561)&gt;0,"客户回款","客户退款"),IF(K1561&lt;&gt;"",IF(N(G1561)&gt;0,"供应商付款","供应商退款"),IF(L1561&lt;&gt;"","费用支出","")))))</f>
      </c>
      <c r="P1561" s="78">
        <f>IF(O1561="","",IFERROR(INDEX(基础资料!$AE$5:$AE$34,MATCH(O1561,基础资料!$AC$5:$AC$34,0)),"未知"))</f>
      </c>
      <c r="Q1561" s="78">
        <f>IF(P1561="应收",COUNTIF(P$7:P1561,"应收"),"")</f>
      </c>
      <c r="R1561" s="78">
        <f>IF(P1561="应付",COUNTIF(P$7:P1561,"应付"),"")</f>
      </c>
      <c r="S1561" s="78">
        <f>N(F1561)-N(G1561)</f>
        <v>0</v>
      </c>
    </row>
    <row r="1562">
      <c r="A1562" s="109">
        <f>IF(AND(F1562="",G1562=""),"",ROW()-6)</f>
      </c>
      <c r="B1562" s="140" t="n"/>
      <c r="C1562" s="141" t="n"/>
      <c r="D1562" s="141" t="n"/>
      <c r="E1562" s="142" t="n"/>
      <c r="F1562" s="143" t="n"/>
      <c r="G1562" s="144" t="n"/>
      <c r="H1562" s="145">
        <f>IF(OR(C1562="",AND(F1562="",G1562="")),"",SUMIF(基础资料!$W$5:$W$24,C1562,基础资料!$X$5:$X$24)+SUMIF(C$7:C1562,C1562,F$7:F1562)-SUMIF(C$7:C1562,C1562,G$7:G1562))</f>
      </c>
      <c r="I1562" s="145">
        <f>IF(AND(F1562="",G1562=""),"",SUM(基础资料!$X$5:$X$24)+SUM(F$7:F1562)-SUM(G$7:G1562))</f>
      </c>
      <c r="J1562" s="141" t="n"/>
      <c r="K1562" s="141" t="n"/>
      <c r="L1562" s="141" t="n"/>
      <c r="M1562" s="142" t="n"/>
      <c r="N1562" s="146">
        <f>IF(AND(AND(F1562="",G1562=""),B1562="",C1562="",D1562="",J1562="",K1562="",L1562=""),"",IF(AND(F1562="",G1562=""),"✗ 没填金额",IF(AND(N(F1562)&lt;&gt;0,N(G1562)&lt;&gt;0),"✗ 收入、支出只能填一边",IF(NOT(ISNUMBER(B1562)),"✗ 日期不是真日期（要像 2026/9/25 这样填）",IF(OR(B1562&lt;年初日,B1562&gt;年末日),"✗ 日期不在本会计年度",IF(C1562="","✗ 没选账户",IF(COUNTIF(基础资料!$W$5:$W$24,C1562)=0,"✗ 账户不在基础资料里",IF(O1562="","✗ 没选收支项目",IF(P1562="未知","✗ 收支项目不在基础资料里",IF(AND(P1562="应收",J1562=""),"✗ 这笔要选客户",IF(AND(P1562="应收",COUNTIF(总览汇总!$B$5:$B$304,J1562)=0),"✗ 客户不在总览汇总名单里",IF(AND(P1562="应付",K1562=""),"✗ 这笔要选供应商",IF(AND(P1562="应付",COUNTIF(基础资料!$Q$5:$Q$54,K1562)=0),"✗ 供应商不在基础资料里",IF(AND(P1562="费用",L1562=""),"✗ 费用支出要选费用项目",IF(AND(L1562&lt;&gt;"",COUNTIF(基础资料!$AI$5:$AI$54,L1562)=0),"✗ 费用项目不在基础资料里",IF(AND(IFERROR(INDEX(基础资料!$AD$5:$AD$34,MATCH(O1562,基础资料!$AC$5:$AC$34,0)),"")="收",N(G1562)&lt;&gt;0),"✗ 这类是收款，金额填到收入列",IF(AND(IFERROR(INDEX(基础资料!$AD$5:$AD$34,MATCH(O1562,基础资料!$AC$5:$AC$34,0)),"")="支",N(F1562)&lt;&gt;0),"✗ 这类是付款，金额填到支出列",IF(N(H1562)&lt;0,"⚠ 账户余额成负数了，核对一下","√"))))))))))))))))))</f>
      </c>
      <c r="O1562" s="78">
        <f>IF(D1562&lt;&gt;"",D1562,IF(AND(F1562="",G1562=""),"",IF(J1562&lt;&gt;"",IF(N(F1562)&gt;0,"客户回款","客户退款"),IF(K1562&lt;&gt;"",IF(N(G1562)&gt;0,"供应商付款","供应商退款"),IF(L1562&lt;&gt;"","费用支出","")))))</f>
      </c>
      <c r="P1562" s="78">
        <f>IF(O1562="","",IFERROR(INDEX(基础资料!$AE$5:$AE$34,MATCH(O1562,基础资料!$AC$5:$AC$34,0)),"未知"))</f>
      </c>
      <c r="Q1562" s="78">
        <f>IF(P1562="应收",COUNTIF(P$7:P1562,"应收"),"")</f>
      </c>
      <c r="R1562" s="78">
        <f>IF(P1562="应付",COUNTIF(P$7:P1562,"应付"),"")</f>
      </c>
      <c r="S1562" s="78">
        <f>N(F1562)-N(G1562)</f>
        <v>0</v>
      </c>
    </row>
    <row r="1563">
      <c r="A1563" s="109">
        <f>IF(AND(F1563="",G1563=""),"",ROW()-6)</f>
      </c>
      <c r="B1563" s="140" t="n"/>
      <c r="C1563" s="141" t="n"/>
      <c r="D1563" s="141" t="n"/>
      <c r="E1563" s="142" t="n"/>
      <c r="F1563" s="143" t="n"/>
      <c r="G1563" s="144" t="n"/>
      <c r="H1563" s="145">
        <f>IF(OR(C1563="",AND(F1563="",G1563="")),"",SUMIF(基础资料!$W$5:$W$24,C1563,基础资料!$X$5:$X$24)+SUMIF(C$7:C1563,C1563,F$7:F1563)-SUMIF(C$7:C1563,C1563,G$7:G1563))</f>
      </c>
      <c r="I1563" s="145">
        <f>IF(AND(F1563="",G1563=""),"",SUM(基础资料!$X$5:$X$24)+SUM(F$7:F1563)-SUM(G$7:G1563))</f>
      </c>
      <c r="J1563" s="141" t="n"/>
      <c r="K1563" s="141" t="n"/>
      <c r="L1563" s="141" t="n"/>
      <c r="M1563" s="142" t="n"/>
      <c r="N1563" s="146">
        <f>IF(AND(AND(F1563="",G1563=""),B1563="",C1563="",D1563="",J1563="",K1563="",L1563=""),"",IF(AND(F1563="",G1563=""),"✗ 没填金额",IF(AND(N(F1563)&lt;&gt;0,N(G1563)&lt;&gt;0),"✗ 收入、支出只能填一边",IF(NOT(ISNUMBER(B1563)),"✗ 日期不是真日期（要像 2026/9/25 这样填）",IF(OR(B1563&lt;年初日,B1563&gt;年末日),"✗ 日期不在本会计年度",IF(C1563="","✗ 没选账户",IF(COUNTIF(基础资料!$W$5:$W$24,C1563)=0,"✗ 账户不在基础资料里",IF(O1563="","✗ 没选收支项目",IF(P1563="未知","✗ 收支项目不在基础资料里",IF(AND(P1563="应收",J1563=""),"✗ 这笔要选客户",IF(AND(P1563="应收",COUNTIF(总览汇总!$B$5:$B$304,J1563)=0),"✗ 客户不在总览汇总名单里",IF(AND(P1563="应付",K1563=""),"✗ 这笔要选供应商",IF(AND(P1563="应付",COUNTIF(基础资料!$Q$5:$Q$54,K1563)=0),"✗ 供应商不在基础资料里",IF(AND(P1563="费用",L1563=""),"✗ 费用支出要选费用项目",IF(AND(L1563&lt;&gt;"",COUNTIF(基础资料!$AI$5:$AI$54,L1563)=0),"✗ 费用项目不在基础资料里",IF(AND(IFERROR(INDEX(基础资料!$AD$5:$AD$34,MATCH(O1563,基础资料!$AC$5:$AC$34,0)),"")="收",N(G1563)&lt;&gt;0),"✗ 这类是收款，金额填到收入列",IF(AND(IFERROR(INDEX(基础资料!$AD$5:$AD$34,MATCH(O1563,基础资料!$AC$5:$AC$34,0)),"")="支",N(F1563)&lt;&gt;0),"✗ 这类是付款，金额填到支出列",IF(N(H1563)&lt;0,"⚠ 账户余额成负数了，核对一下","√"))))))))))))))))))</f>
      </c>
      <c r="O1563" s="78">
        <f>IF(D1563&lt;&gt;"",D1563,IF(AND(F1563="",G1563=""),"",IF(J1563&lt;&gt;"",IF(N(F1563)&gt;0,"客户回款","客户退款"),IF(K1563&lt;&gt;"",IF(N(G1563)&gt;0,"供应商付款","供应商退款"),IF(L1563&lt;&gt;"","费用支出","")))))</f>
      </c>
      <c r="P1563" s="78">
        <f>IF(O1563="","",IFERROR(INDEX(基础资料!$AE$5:$AE$34,MATCH(O1563,基础资料!$AC$5:$AC$34,0)),"未知"))</f>
      </c>
      <c r="Q1563" s="78">
        <f>IF(P1563="应收",COUNTIF(P$7:P1563,"应收"),"")</f>
      </c>
      <c r="R1563" s="78">
        <f>IF(P1563="应付",COUNTIF(P$7:P1563,"应付"),"")</f>
      </c>
      <c r="S1563" s="78">
        <f>N(F1563)-N(G1563)</f>
        <v>0</v>
      </c>
    </row>
    <row r="1564">
      <c r="A1564" s="109">
        <f>IF(AND(F1564="",G1564=""),"",ROW()-6)</f>
      </c>
      <c r="B1564" s="140" t="n"/>
      <c r="C1564" s="141" t="n"/>
      <c r="D1564" s="141" t="n"/>
      <c r="E1564" s="142" t="n"/>
      <c r="F1564" s="143" t="n"/>
      <c r="G1564" s="144" t="n"/>
      <c r="H1564" s="145">
        <f>IF(OR(C1564="",AND(F1564="",G1564="")),"",SUMIF(基础资料!$W$5:$W$24,C1564,基础资料!$X$5:$X$24)+SUMIF(C$7:C1564,C1564,F$7:F1564)-SUMIF(C$7:C1564,C1564,G$7:G1564))</f>
      </c>
      <c r="I1564" s="145">
        <f>IF(AND(F1564="",G1564=""),"",SUM(基础资料!$X$5:$X$24)+SUM(F$7:F1564)-SUM(G$7:G1564))</f>
      </c>
      <c r="J1564" s="141" t="n"/>
      <c r="K1564" s="141" t="n"/>
      <c r="L1564" s="141" t="n"/>
      <c r="M1564" s="142" t="n"/>
      <c r="N1564" s="146">
        <f>IF(AND(AND(F1564="",G1564=""),B1564="",C1564="",D1564="",J1564="",K1564="",L1564=""),"",IF(AND(F1564="",G1564=""),"✗ 没填金额",IF(AND(N(F1564)&lt;&gt;0,N(G1564)&lt;&gt;0),"✗ 收入、支出只能填一边",IF(NOT(ISNUMBER(B1564)),"✗ 日期不是真日期（要像 2026/9/25 这样填）",IF(OR(B1564&lt;年初日,B1564&gt;年末日),"✗ 日期不在本会计年度",IF(C1564="","✗ 没选账户",IF(COUNTIF(基础资料!$W$5:$W$24,C1564)=0,"✗ 账户不在基础资料里",IF(O1564="","✗ 没选收支项目",IF(P1564="未知","✗ 收支项目不在基础资料里",IF(AND(P1564="应收",J1564=""),"✗ 这笔要选客户",IF(AND(P1564="应收",COUNTIF(总览汇总!$B$5:$B$304,J1564)=0),"✗ 客户不在总览汇总名单里",IF(AND(P1564="应付",K1564=""),"✗ 这笔要选供应商",IF(AND(P1564="应付",COUNTIF(基础资料!$Q$5:$Q$54,K1564)=0),"✗ 供应商不在基础资料里",IF(AND(P1564="费用",L1564=""),"✗ 费用支出要选费用项目",IF(AND(L1564&lt;&gt;"",COUNTIF(基础资料!$AI$5:$AI$54,L1564)=0),"✗ 费用项目不在基础资料里",IF(AND(IFERROR(INDEX(基础资料!$AD$5:$AD$34,MATCH(O1564,基础资料!$AC$5:$AC$34,0)),"")="收",N(G1564)&lt;&gt;0),"✗ 这类是收款，金额填到收入列",IF(AND(IFERROR(INDEX(基础资料!$AD$5:$AD$34,MATCH(O1564,基础资料!$AC$5:$AC$34,0)),"")="支",N(F1564)&lt;&gt;0),"✗ 这类是付款，金额填到支出列",IF(N(H1564)&lt;0,"⚠ 账户余额成负数了，核对一下","√"))))))))))))))))))</f>
      </c>
      <c r="O1564" s="78">
        <f>IF(D1564&lt;&gt;"",D1564,IF(AND(F1564="",G1564=""),"",IF(J1564&lt;&gt;"",IF(N(F1564)&gt;0,"客户回款","客户退款"),IF(K1564&lt;&gt;"",IF(N(G1564)&gt;0,"供应商付款","供应商退款"),IF(L1564&lt;&gt;"","费用支出","")))))</f>
      </c>
      <c r="P1564" s="78">
        <f>IF(O1564="","",IFERROR(INDEX(基础资料!$AE$5:$AE$34,MATCH(O1564,基础资料!$AC$5:$AC$34,0)),"未知"))</f>
      </c>
      <c r="Q1564" s="78">
        <f>IF(P1564="应收",COUNTIF(P$7:P1564,"应收"),"")</f>
      </c>
      <c r="R1564" s="78">
        <f>IF(P1564="应付",COUNTIF(P$7:P1564,"应付"),"")</f>
      </c>
      <c r="S1564" s="78">
        <f>N(F1564)-N(G1564)</f>
        <v>0</v>
      </c>
    </row>
    <row r="1565">
      <c r="A1565" s="109">
        <f>IF(AND(F1565="",G1565=""),"",ROW()-6)</f>
      </c>
      <c r="B1565" s="140" t="n"/>
      <c r="C1565" s="141" t="n"/>
      <c r="D1565" s="141" t="n"/>
      <c r="E1565" s="142" t="n"/>
      <c r="F1565" s="143" t="n"/>
      <c r="G1565" s="144" t="n"/>
      <c r="H1565" s="145">
        <f>IF(OR(C1565="",AND(F1565="",G1565="")),"",SUMIF(基础资料!$W$5:$W$24,C1565,基础资料!$X$5:$X$24)+SUMIF(C$7:C1565,C1565,F$7:F1565)-SUMIF(C$7:C1565,C1565,G$7:G1565))</f>
      </c>
      <c r="I1565" s="145">
        <f>IF(AND(F1565="",G1565=""),"",SUM(基础资料!$X$5:$X$24)+SUM(F$7:F1565)-SUM(G$7:G1565))</f>
      </c>
      <c r="J1565" s="141" t="n"/>
      <c r="K1565" s="141" t="n"/>
      <c r="L1565" s="141" t="n"/>
      <c r="M1565" s="142" t="n"/>
      <c r="N1565" s="146">
        <f>IF(AND(AND(F1565="",G1565=""),B1565="",C1565="",D1565="",J1565="",K1565="",L1565=""),"",IF(AND(F1565="",G1565=""),"✗ 没填金额",IF(AND(N(F1565)&lt;&gt;0,N(G1565)&lt;&gt;0),"✗ 收入、支出只能填一边",IF(NOT(ISNUMBER(B1565)),"✗ 日期不是真日期（要像 2026/9/25 这样填）",IF(OR(B1565&lt;年初日,B1565&gt;年末日),"✗ 日期不在本会计年度",IF(C1565="","✗ 没选账户",IF(COUNTIF(基础资料!$W$5:$W$24,C1565)=0,"✗ 账户不在基础资料里",IF(O1565="","✗ 没选收支项目",IF(P1565="未知","✗ 收支项目不在基础资料里",IF(AND(P1565="应收",J1565=""),"✗ 这笔要选客户",IF(AND(P1565="应收",COUNTIF(总览汇总!$B$5:$B$304,J1565)=0),"✗ 客户不在总览汇总名单里",IF(AND(P1565="应付",K1565=""),"✗ 这笔要选供应商",IF(AND(P1565="应付",COUNTIF(基础资料!$Q$5:$Q$54,K1565)=0),"✗ 供应商不在基础资料里",IF(AND(P1565="费用",L1565=""),"✗ 费用支出要选费用项目",IF(AND(L1565&lt;&gt;"",COUNTIF(基础资料!$AI$5:$AI$54,L1565)=0),"✗ 费用项目不在基础资料里",IF(AND(IFERROR(INDEX(基础资料!$AD$5:$AD$34,MATCH(O1565,基础资料!$AC$5:$AC$34,0)),"")="收",N(G1565)&lt;&gt;0),"✗ 这类是收款，金额填到收入列",IF(AND(IFERROR(INDEX(基础资料!$AD$5:$AD$34,MATCH(O1565,基础资料!$AC$5:$AC$34,0)),"")="支",N(F1565)&lt;&gt;0),"✗ 这类是付款，金额填到支出列",IF(N(H1565)&lt;0,"⚠ 账户余额成负数了，核对一下","√"))))))))))))))))))</f>
      </c>
      <c r="O1565" s="78">
        <f>IF(D1565&lt;&gt;"",D1565,IF(AND(F1565="",G1565=""),"",IF(J1565&lt;&gt;"",IF(N(F1565)&gt;0,"客户回款","客户退款"),IF(K1565&lt;&gt;"",IF(N(G1565)&gt;0,"供应商付款","供应商退款"),IF(L1565&lt;&gt;"","费用支出","")))))</f>
      </c>
      <c r="P1565" s="78">
        <f>IF(O1565="","",IFERROR(INDEX(基础资料!$AE$5:$AE$34,MATCH(O1565,基础资料!$AC$5:$AC$34,0)),"未知"))</f>
      </c>
      <c r="Q1565" s="78">
        <f>IF(P1565="应收",COUNTIF(P$7:P1565,"应收"),"")</f>
      </c>
      <c r="R1565" s="78">
        <f>IF(P1565="应付",COUNTIF(P$7:P1565,"应付"),"")</f>
      </c>
      <c r="S1565" s="78">
        <f>N(F1565)-N(G1565)</f>
        <v>0</v>
      </c>
    </row>
    <row r="1566">
      <c r="A1566" s="109">
        <f>IF(AND(F1566="",G1566=""),"",ROW()-6)</f>
      </c>
      <c r="B1566" s="140" t="n"/>
      <c r="C1566" s="141" t="n"/>
      <c r="D1566" s="141" t="n"/>
      <c r="E1566" s="142" t="n"/>
      <c r="F1566" s="143" t="n"/>
      <c r="G1566" s="144" t="n"/>
      <c r="H1566" s="145">
        <f>IF(OR(C1566="",AND(F1566="",G1566="")),"",SUMIF(基础资料!$W$5:$W$24,C1566,基础资料!$X$5:$X$24)+SUMIF(C$7:C1566,C1566,F$7:F1566)-SUMIF(C$7:C1566,C1566,G$7:G1566))</f>
      </c>
      <c r="I1566" s="145">
        <f>IF(AND(F1566="",G1566=""),"",SUM(基础资料!$X$5:$X$24)+SUM(F$7:F1566)-SUM(G$7:G1566))</f>
      </c>
      <c r="J1566" s="141" t="n"/>
      <c r="K1566" s="141" t="n"/>
      <c r="L1566" s="141" t="n"/>
      <c r="M1566" s="142" t="n"/>
      <c r="N1566" s="146">
        <f>IF(AND(AND(F1566="",G1566=""),B1566="",C1566="",D1566="",J1566="",K1566="",L1566=""),"",IF(AND(F1566="",G1566=""),"✗ 没填金额",IF(AND(N(F1566)&lt;&gt;0,N(G1566)&lt;&gt;0),"✗ 收入、支出只能填一边",IF(NOT(ISNUMBER(B1566)),"✗ 日期不是真日期（要像 2026/9/25 这样填）",IF(OR(B1566&lt;年初日,B1566&gt;年末日),"✗ 日期不在本会计年度",IF(C1566="","✗ 没选账户",IF(COUNTIF(基础资料!$W$5:$W$24,C1566)=0,"✗ 账户不在基础资料里",IF(O1566="","✗ 没选收支项目",IF(P1566="未知","✗ 收支项目不在基础资料里",IF(AND(P1566="应收",J1566=""),"✗ 这笔要选客户",IF(AND(P1566="应收",COUNTIF(总览汇总!$B$5:$B$304,J1566)=0),"✗ 客户不在总览汇总名单里",IF(AND(P1566="应付",K1566=""),"✗ 这笔要选供应商",IF(AND(P1566="应付",COUNTIF(基础资料!$Q$5:$Q$54,K1566)=0),"✗ 供应商不在基础资料里",IF(AND(P1566="费用",L1566=""),"✗ 费用支出要选费用项目",IF(AND(L1566&lt;&gt;"",COUNTIF(基础资料!$AI$5:$AI$54,L1566)=0),"✗ 费用项目不在基础资料里",IF(AND(IFERROR(INDEX(基础资料!$AD$5:$AD$34,MATCH(O1566,基础资料!$AC$5:$AC$34,0)),"")="收",N(G1566)&lt;&gt;0),"✗ 这类是收款，金额填到收入列",IF(AND(IFERROR(INDEX(基础资料!$AD$5:$AD$34,MATCH(O1566,基础资料!$AC$5:$AC$34,0)),"")="支",N(F1566)&lt;&gt;0),"✗ 这类是付款，金额填到支出列",IF(N(H1566)&lt;0,"⚠ 账户余额成负数了，核对一下","√"))))))))))))))))))</f>
      </c>
      <c r="O1566" s="78">
        <f>IF(D1566&lt;&gt;"",D1566,IF(AND(F1566="",G1566=""),"",IF(J1566&lt;&gt;"",IF(N(F1566)&gt;0,"客户回款","客户退款"),IF(K1566&lt;&gt;"",IF(N(G1566)&gt;0,"供应商付款","供应商退款"),IF(L1566&lt;&gt;"","费用支出","")))))</f>
      </c>
      <c r="P1566" s="78">
        <f>IF(O1566="","",IFERROR(INDEX(基础资料!$AE$5:$AE$34,MATCH(O1566,基础资料!$AC$5:$AC$34,0)),"未知"))</f>
      </c>
      <c r="Q1566" s="78">
        <f>IF(P1566="应收",COUNTIF(P$7:P1566,"应收"),"")</f>
      </c>
      <c r="R1566" s="78">
        <f>IF(P1566="应付",COUNTIF(P$7:P1566,"应付"),"")</f>
      </c>
      <c r="S1566" s="78">
        <f>N(F1566)-N(G1566)</f>
        <v>0</v>
      </c>
    </row>
    <row r="1567">
      <c r="A1567" s="109">
        <f>IF(AND(F1567="",G1567=""),"",ROW()-6)</f>
      </c>
      <c r="B1567" s="140" t="n"/>
      <c r="C1567" s="141" t="n"/>
      <c r="D1567" s="141" t="n"/>
      <c r="E1567" s="142" t="n"/>
      <c r="F1567" s="143" t="n"/>
      <c r="G1567" s="144" t="n"/>
      <c r="H1567" s="145">
        <f>IF(OR(C1567="",AND(F1567="",G1567="")),"",SUMIF(基础资料!$W$5:$W$24,C1567,基础资料!$X$5:$X$24)+SUMIF(C$7:C1567,C1567,F$7:F1567)-SUMIF(C$7:C1567,C1567,G$7:G1567))</f>
      </c>
      <c r="I1567" s="145">
        <f>IF(AND(F1567="",G1567=""),"",SUM(基础资料!$X$5:$X$24)+SUM(F$7:F1567)-SUM(G$7:G1567))</f>
      </c>
      <c r="J1567" s="141" t="n"/>
      <c r="K1567" s="141" t="n"/>
      <c r="L1567" s="141" t="n"/>
      <c r="M1567" s="142" t="n"/>
      <c r="N1567" s="146">
        <f>IF(AND(AND(F1567="",G1567=""),B1567="",C1567="",D1567="",J1567="",K1567="",L1567=""),"",IF(AND(F1567="",G1567=""),"✗ 没填金额",IF(AND(N(F1567)&lt;&gt;0,N(G1567)&lt;&gt;0),"✗ 收入、支出只能填一边",IF(NOT(ISNUMBER(B1567)),"✗ 日期不是真日期（要像 2026/9/25 这样填）",IF(OR(B1567&lt;年初日,B1567&gt;年末日),"✗ 日期不在本会计年度",IF(C1567="","✗ 没选账户",IF(COUNTIF(基础资料!$W$5:$W$24,C1567)=0,"✗ 账户不在基础资料里",IF(O1567="","✗ 没选收支项目",IF(P1567="未知","✗ 收支项目不在基础资料里",IF(AND(P1567="应收",J1567=""),"✗ 这笔要选客户",IF(AND(P1567="应收",COUNTIF(总览汇总!$B$5:$B$304,J1567)=0),"✗ 客户不在总览汇总名单里",IF(AND(P1567="应付",K1567=""),"✗ 这笔要选供应商",IF(AND(P1567="应付",COUNTIF(基础资料!$Q$5:$Q$54,K1567)=0),"✗ 供应商不在基础资料里",IF(AND(P1567="费用",L1567=""),"✗ 费用支出要选费用项目",IF(AND(L1567&lt;&gt;"",COUNTIF(基础资料!$AI$5:$AI$54,L1567)=0),"✗ 费用项目不在基础资料里",IF(AND(IFERROR(INDEX(基础资料!$AD$5:$AD$34,MATCH(O1567,基础资料!$AC$5:$AC$34,0)),"")="收",N(G1567)&lt;&gt;0),"✗ 这类是收款，金额填到收入列",IF(AND(IFERROR(INDEX(基础资料!$AD$5:$AD$34,MATCH(O1567,基础资料!$AC$5:$AC$34,0)),"")="支",N(F1567)&lt;&gt;0),"✗ 这类是付款，金额填到支出列",IF(N(H1567)&lt;0,"⚠ 账户余额成负数了，核对一下","√"))))))))))))))))))</f>
      </c>
      <c r="O1567" s="78">
        <f>IF(D1567&lt;&gt;"",D1567,IF(AND(F1567="",G1567=""),"",IF(J1567&lt;&gt;"",IF(N(F1567)&gt;0,"客户回款","客户退款"),IF(K1567&lt;&gt;"",IF(N(G1567)&gt;0,"供应商付款","供应商退款"),IF(L1567&lt;&gt;"","费用支出","")))))</f>
      </c>
      <c r="P1567" s="78">
        <f>IF(O1567="","",IFERROR(INDEX(基础资料!$AE$5:$AE$34,MATCH(O1567,基础资料!$AC$5:$AC$34,0)),"未知"))</f>
      </c>
      <c r="Q1567" s="78">
        <f>IF(P1567="应收",COUNTIF(P$7:P1567,"应收"),"")</f>
      </c>
      <c r="R1567" s="78">
        <f>IF(P1567="应付",COUNTIF(P$7:P1567,"应付"),"")</f>
      </c>
      <c r="S1567" s="78">
        <f>N(F1567)-N(G1567)</f>
        <v>0</v>
      </c>
    </row>
    <row r="1568">
      <c r="A1568" s="109">
        <f>IF(AND(F1568="",G1568=""),"",ROW()-6)</f>
      </c>
      <c r="B1568" s="140" t="n"/>
      <c r="C1568" s="141" t="n"/>
      <c r="D1568" s="141" t="n"/>
      <c r="E1568" s="142" t="n"/>
      <c r="F1568" s="143" t="n"/>
      <c r="G1568" s="144" t="n"/>
      <c r="H1568" s="145">
        <f>IF(OR(C1568="",AND(F1568="",G1568="")),"",SUMIF(基础资料!$W$5:$W$24,C1568,基础资料!$X$5:$X$24)+SUMIF(C$7:C1568,C1568,F$7:F1568)-SUMIF(C$7:C1568,C1568,G$7:G1568))</f>
      </c>
      <c r="I1568" s="145">
        <f>IF(AND(F1568="",G1568=""),"",SUM(基础资料!$X$5:$X$24)+SUM(F$7:F1568)-SUM(G$7:G1568))</f>
      </c>
      <c r="J1568" s="141" t="n"/>
      <c r="K1568" s="141" t="n"/>
      <c r="L1568" s="141" t="n"/>
      <c r="M1568" s="142" t="n"/>
      <c r="N1568" s="146">
        <f>IF(AND(AND(F1568="",G1568=""),B1568="",C1568="",D1568="",J1568="",K1568="",L1568=""),"",IF(AND(F1568="",G1568=""),"✗ 没填金额",IF(AND(N(F1568)&lt;&gt;0,N(G1568)&lt;&gt;0),"✗ 收入、支出只能填一边",IF(NOT(ISNUMBER(B1568)),"✗ 日期不是真日期（要像 2026/9/25 这样填）",IF(OR(B1568&lt;年初日,B1568&gt;年末日),"✗ 日期不在本会计年度",IF(C1568="","✗ 没选账户",IF(COUNTIF(基础资料!$W$5:$W$24,C1568)=0,"✗ 账户不在基础资料里",IF(O1568="","✗ 没选收支项目",IF(P1568="未知","✗ 收支项目不在基础资料里",IF(AND(P1568="应收",J1568=""),"✗ 这笔要选客户",IF(AND(P1568="应收",COUNTIF(总览汇总!$B$5:$B$304,J1568)=0),"✗ 客户不在总览汇总名单里",IF(AND(P1568="应付",K1568=""),"✗ 这笔要选供应商",IF(AND(P1568="应付",COUNTIF(基础资料!$Q$5:$Q$54,K1568)=0),"✗ 供应商不在基础资料里",IF(AND(P1568="费用",L1568=""),"✗ 费用支出要选费用项目",IF(AND(L1568&lt;&gt;"",COUNTIF(基础资料!$AI$5:$AI$54,L1568)=0),"✗ 费用项目不在基础资料里",IF(AND(IFERROR(INDEX(基础资料!$AD$5:$AD$34,MATCH(O1568,基础资料!$AC$5:$AC$34,0)),"")="收",N(G1568)&lt;&gt;0),"✗ 这类是收款，金额填到收入列",IF(AND(IFERROR(INDEX(基础资料!$AD$5:$AD$34,MATCH(O1568,基础资料!$AC$5:$AC$34,0)),"")="支",N(F1568)&lt;&gt;0),"✗ 这类是付款，金额填到支出列",IF(N(H1568)&lt;0,"⚠ 账户余额成负数了，核对一下","√"))))))))))))))))))</f>
      </c>
      <c r="O1568" s="78">
        <f>IF(D1568&lt;&gt;"",D1568,IF(AND(F1568="",G1568=""),"",IF(J1568&lt;&gt;"",IF(N(F1568)&gt;0,"客户回款","客户退款"),IF(K1568&lt;&gt;"",IF(N(G1568)&gt;0,"供应商付款","供应商退款"),IF(L1568&lt;&gt;"","费用支出","")))))</f>
      </c>
      <c r="P1568" s="78">
        <f>IF(O1568="","",IFERROR(INDEX(基础资料!$AE$5:$AE$34,MATCH(O1568,基础资料!$AC$5:$AC$34,0)),"未知"))</f>
      </c>
      <c r="Q1568" s="78">
        <f>IF(P1568="应收",COUNTIF(P$7:P1568,"应收"),"")</f>
      </c>
      <c r="R1568" s="78">
        <f>IF(P1568="应付",COUNTIF(P$7:P1568,"应付"),"")</f>
      </c>
      <c r="S1568" s="78">
        <f>N(F1568)-N(G1568)</f>
        <v>0</v>
      </c>
    </row>
    <row r="1569">
      <c r="A1569" s="109">
        <f>IF(AND(F1569="",G1569=""),"",ROW()-6)</f>
      </c>
      <c r="B1569" s="140" t="n"/>
      <c r="C1569" s="141" t="n"/>
      <c r="D1569" s="141" t="n"/>
      <c r="E1569" s="142" t="n"/>
      <c r="F1569" s="143" t="n"/>
      <c r="G1569" s="144" t="n"/>
      <c r="H1569" s="145">
        <f>IF(OR(C1569="",AND(F1569="",G1569="")),"",SUMIF(基础资料!$W$5:$W$24,C1569,基础资料!$X$5:$X$24)+SUMIF(C$7:C1569,C1569,F$7:F1569)-SUMIF(C$7:C1569,C1569,G$7:G1569))</f>
      </c>
      <c r="I1569" s="145">
        <f>IF(AND(F1569="",G1569=""),"",SUM(基础资料!$X$5:$X$24)+SUM(F$7:F1569)-SUM(G$7:G1569))</f>
      </c>
      <c r="J1569" s="141" t="n"/>
      <c r="K1569" s="141" t="n"/>
      <c r="L1569" s="141" t="n"/>
      <c r="M1569" s="142" t="n"/>
      <c r="N1569" s="146">
        <f>IF(AND(AND(F1569="",G1569=""),B1569="",C1569="",D1569="",J1569="",K1569="",L1569=""),"",IF(AND(F1569="",G1569=""),"✗ 没填金额",IF(AND(N(F1569)&lt;&gt;0,N(G1569)&lt;&gt;0),"✗ 收入、支出只能填一边",IF(NOT(ISNUMBER(B1569)),"✗ 日期不是真日期（要像 2026/9/25 这样填）",IF(OR(B1569&lt;年初日,B1569&gt;年末日),"✗ 日期不在本会计年度",IF(C1569="","✗ 没选账户",IF(COUNTIF(基础资料!$W$5:$W$24,C1569)=0,"✗ 账户不在基础资料里",IF(O1569="","✗ 没选收支项目",IF(P1569="未知","✗ 收支项目不在基础资料里",IF(AND(P1569="应收",J1569=""),"✗ 这笔要选客户",IF(AND(P1569="应收",COUNTIF(总览汇总!$B$5:$B$304,J1569)=0),"✗ 客户不在总览汇总名单里",IF(AND(P1569="应付",K1569=""),"✗ 这笔要选供应商",IF(AND(P1569="应付",COUNTIF(基础资料!$Q$5:$Q$54,K1569)=0),"✗ 供应商不在基础资料里",IF(AND(P1569="费用",L1569=""),"✗ 费用支出要选费用项目",IF(AND(L1569&lt;&gt;"",COUNTIF(基础资料!$AI$5:$AI$54,L1569)=0),"✗ 费用项目不在基础资料里",IF(AND(IFERROR(INDEX(基础资料!$AD$5:$AD$34,MATCH(O1569,基础资料!$AC$5:$AC$34,0)),"")="收",N(G1569)&lt;&gt;0),"✗ 这类是收款，金额填到收入列",IF(AND(IFERROR(INDEX(基础资料!$AD$5:$AD$34,MATCH(O1569,基础资料!$AC$5:$AC$34,0)),"")="支",N(F1569)&lt;&gt;0),"✗ 这类是付款，金额填到支出列",IF(N(H1569)&lt;0,"⚠ 账户余额成负数了，核对一下","√"))))))))))))))))))</f>
      </c>
      <c r="O1569" s="78">
        <f>IF(D1569&lt;&gt;"",D1569,IF(AND(F1569="",G1569=""),"",IF(J1569&lt;&gt;"",IF(N(F1569)&gt;0,"客户回款","客户退款"),IF(K1569&lt;&gt;"",IF(N(G1569)&gt;0,"供应商付款","供应商退款"),IF(L1569&lt;&gt;"","费用支出","")))))</f>
      </c>
      <c r="P1569" s="78">
        <f>IF(O1569="","",IFERROR(INDEX(基础资料!$AE$5:$AE$34,MATCH(O1569,基础资料!$AC$5:$AC$34,0)),"未知"))</f>
      </c>
      <c r="Q1569" s="78">
        <f>IF(P1569="应收",COUNTIF(P$7:P1569,"应收"),"")</f>
      </c>
      <c r="R1569" s="78">
        <f>IF(P1569="应付",COUNTIF(P$7:P1569,"应付"),"")</f>
      </c>
      <c r="S1569" s="78">
        <f>N(F1569)-N(G1569)</f>
        <v>0</v>
      </c>
    </row>
    <row r="1570">
      <c r="A1570" s="109">
        <f>IF(AND(F1570="",G1570=""),"",ROW()-6)</f>
      </c>
      <c r="B1570" s="140" t="n"/>
      <c r="C1570" s="141" t="n"/>
      <c r="D1570" s="141" t="n"/>
      <c r="E1570" s="142" t="n"/>
      <c r="F1570" s="143" t="n"/>
      <c r="G1570" s="144" t="n"/>
      <c r="H1570" s="145">
        <f>IF(OR(C1570="",AND(F1570="",G1570="")),"",SUMIF(基础资料!$W$5:$W$24,C1570,基础资料!$X$5:$X$24)+SUMIF(C$7:C1570,C1570,F$7:F1570)-SUMIF(C$7:C1570,C1570,G$7:G1570))</f>
      </c>
      <c r="I1570" s="145">
        <f>IF(AND(F1570="",G1570=""),"",SUM(基础资料!$X$5:$X$24)+SUM(F$7:F1570)-SUM(G$7:G1570))</f>
      </c>
      <c r="J1570" s="141" t="n"/>
      <c r="K1570" s="141" t="n"/>
      <c r="L1570" s="141" t="n"/>
      <c r="M1570" s="142" t="n"/>
      <c r="N1570" s="146">
        <f>IF(AND(AND(F1570="",G1570=""),B1570="",C1570="",D1570="",J1570="",K1570="",L1570=""),"",IF(AND(F1570="",G1570=""),"✗ 没填金额",IF(AND(N(F1570)&lt;&gt;0,N(G1570)&lt;&gt;0),"✗ 收入、支出只能填一边",IF(NOT(ISNUMBER(B1570)),"✗ 日期不是真日期（要像 2026/9/25 这样填）",IF(OR(B1570&lt;年初日,B1570&gt;年末日),"✗ 日期不在本会计年度",IF(C1570="","✗ 没选账户",IF(COUNTIF(基础资料!$W$5:$W$24,C1570)=0,"✗ 账户不在基础资料里",IF(O1570="","✗ 没选收支项目",IF(P1570="未知","✗ 收支项目不在基础资料里",IF(AND(P1570="应收",J1570=""),"✗ 这笔要选客户",IF(AND(P1570="应收",COUNTIF(总览汇总!$B$5:$B$304,J1570)=0),"✗ 客户不在总览汇总名单里",IF(AND(P1570="应付",K1570=""),"✗ 这笔要选供应商",IF(AND(P1570="应付",COUNTIF(基础资料!$Q$5:$Q$54,K1570)=0),"✗ 供应商不在基础资料里",IF(AND(P1570="费用",L1570=""),"✗ 费用支出要选费用项目",IF(AND(L1570&lt;&gt;"",COUNTIF(基础资料!$AI$5:$AI$54,L1570)=0),"✗ 费用项目不在基础资料里",IF(AND(IFERROR(INDEX(基础资料!$AD$5:$AD$34,MATCH(O1570,基础资料!$AC$5:$AC$34,0)),"")="收",N(G1570)&lt;&gt;0),"✗ 这类是收款，金额填到收入列",IF(AND(IFERROR(INDEX(基础资料!$AD$5:$AD$34,MATCH(O1570,基础资料!$AC$5:$AC$34,0)),"")="支",N(F1570)&lt;&gt;0),"✗ 这类是付款，金额填到支出列",IF(N(H1570)&lt;0,"⚠ 账户余额成负数了，核对一下","√"))))))))))))))))))</f>
      </c>
      <c r="O1570" s="78">
        <f>IF(D1570&lt;&gt;"",D1570,IF(AND(F1570="",G1570=""),"",IF(J1570&lt;&gt;"",IF(N(F1570)&gt;0,"客户回款","客户退款"),IF(K1570&lt;&gt;"",IF(N(G1570)&gt;0,"供应商付款","供应商退款"),IF(L1570&lt;&gt;"","费用支出","")))))</f>
      </c>
      <c r="P1570" s="78">
        <f>IF(O1570="","",IFERROR(INDEX(基础资料!$AE$5:$AE$34,MATCH(O1570,基础资料!$AC$5:$AC$34,0)),"未知"))</f>
      </c>
      <c r="Q1570" s="78">
        <f>IF(P1570="应收",COUNTIF(P$7:P1570,"应收"),"")</f>
      </c>
      <c r="R1570" s="78">
        <f>IF(P1570="应付",COUNTIF(P$7:P1570,"应付"),"")</f>
      </c>
      <c r="S1570" s="78">
        <f>N(F1570)-N(G1570)</f>
        <v>0</v>
      </c>
    </row>
    <row r="1571">
      <c r="A1571" s="109">
        <f>IF(AND(F1571="",G1571=""),"",ROW()-6)</f>
      </c>
      <c r="B1571" s="140" t="n"/>
      <c r="C1571" s="141" t="n"/>
      <c r="D1571" s="141" t="n"/>
      <c r="E1571" s="142" t="n"/>
      <c r="F1571" s="143" t="n"/>
      <c r="G1571" s="144" t="n"/>
      <c r="H1571" s="145">
        <f>IF(OR(C1571="",AND(F1571="",G1571="")),"",SUMIF(基础资料!$W$5:$W$24,C1571,基础资料!$X$5:$X$24)+SUMIF(C$7:C1571,C1571,F$7:F1571)-SUMIF(C$7:C1571,C1571,G$7:G1571))</f>
      </c>
      <c r="I1571" s="145">
        <f>IF(AND(F1571="",G1571=""),"",SUM(基础资料!$X$5:$X$24)+SUM(F$7:F1571)-SUM(G$7:G1571))</f>
      </c>
      <c r="J1571" s="141" t="n"/>
      <c r="K1571" s="141" t="n"/>
      <c r="L1571" s="141" t="n"/>
      <c r="M1571" s="142" t="n"/>
      <c r="N1571" s="146">
        <f>IF(AND(AND(F1571="",G1571=""),B1571="",C1571="",D1571="",J1571="",K1571="",L1571=""),"",IF(AND(F1571="",G1571=""),"✗ 没填金额",IF(AND(N(F1571)&lt;&gt;0,N(G1571)&lt;&gt;0),"✗ 收入、支出只能填一边",IF(NOT(ISNUMBER(B1571)),"✗ 日期不是真日期（要像 2026/9/25 这样填）",IF(OR(B1571&lt;年初日,B1571&gt;年末日),"✗ 日期不在本会计年度",IF(C1571="","✗ 没选账户",IF(COUNTIF(基础资料!$W$5:$W$24,C1571)=0,"✗ 账户不在基础资料里",IF(O1571="","✗ 没选收支项目",IF(P1571="未知","✗ 收支项目不在基础资料里",IF(AND(P1571="应收",J1571=""),"✗ 这笔要选客户",IF(AND(P1571="应收",COUNTIF(总览汇总!$B$5:$B$304,J1571)=0),"✗ 客户不在总览汇总名单里",IF(AND(P1571="应付",K1571=""),"✗ 这笔要选供应商",IF(AND(P1571="应付",COUNTIF(基础资料!$Q$5:$Q$54,K1571)=0),"✗ 供应商不在基础资料里",IF(AND(P1571="费用",L1571=""),"✗ 费用支出要选费用项目",IF(AND(L1571&lt;&gt;"",COUNTIF(基础资料!$AI$5:$AI$54,L1571)=0),"✗ 费用项目不在基础资料里",IF(AND(IFERROR(INDEX(基础资料!$AD$5:$AD$34,MATCH(O1571,基础资料!$AC$5:$AC$34,0)),"")="收",N(G1571)&lt;&gt;0),"✗ 这类是收款，金额填到收入列",IF(AND(IFERROR(INDEX(基础资料!$AD$5:$AD$34,MATCH(O1571,基础资料!$AC$5:$AC$34,0)),"")="支",N(F1571)&lt;&gt;0),"✗ 这类是付款，金额填到支出列",IF(N(H1571)&lt;0,"⚠ 账户余额成负数了，核对一下","√"))))))))))))))))))</f>
      </c>
      <c r="O1571" s="78">
        <f>IF(D1571&lt;&gt;"",D1571,IF(AND(F1571="",G1571=""),"",IF(J1571&lt;&gt;"",IF(N(F1571)&gt;0,"客户回款","客户退款"),IF(K1571&lt;&gt;"",IF(N(G1571)&gt;0,"供应商付款","供应商退款"),IF(L1571&lt;&gt;"","费用支出","")))))</f>
      </c>
      <c r="P1571" s="78">
        <f>IF(O1571="","",IFERROR(INDEX(基础资料!$AE$5:$AE$34,MATCH(O1571,基础资料!$AC$5:$AC$34,0)),"未知"))</f>
      </c>
      <c r="Q1571" s="78">
        <f>IF(P1571="应收",COUNTIF(P$7:P1571,"应收"),"")</f>
      </c>
      <c r="R1571" s="78">
        <f>IF(P1571="应付",COUNTIF(P$7:P1571,"应付"),"")</f>
      </c>
      <c r="S1571" s="78">
        <f>N(F1571)-N(G1571)</f>
        <v>0</v>
      </c>
    </row>
    <row r="1572">
      <c r="A1572" s="109">
        <f>IF(AND(F1572="",G1572=""),"",ROW()-6)</f>
      </c>
      <c r="B1572" s="140" t="n"/>
      <c r="C1572" s="141" t="n"/>
      <c r="D1572" s="141" t="n"/>
      <c r="E1572" s="142" t="n"/>
      <c r="F1572" s="143" t="n"/>
      <c r="G1572" s="144" t="n"/>
      <c r="H1572" s="145">
        <f>IF(OR(C1572="",AND(F1572="",G1572="")),"",SUMIF(基础资料!$W$5:$W$24,C1572,基础资料!$X$5:$X$24)+SUMIF(C$7:C1572,C1572,F$7:F1572)-SUMIF(C$7:C1572,C1572,G$7:G1572))</f>
      </c>
      <c r="I1572" s="145">
        <f>IF(AND(F1572="",G1572=""),"",SUM(基础资料!$X$5:$X$24)+SUM(F$7:F1572)-SUM(G$7:G1572))</f>
      </c>
      <c r="J1572" s="141" t="n"/>
      <c r="K1572" s="141" t="n"/>
      <c r="L1572" s="141" t="n"/>
      <c r="M1572" s="142" t="n"/>
      <c r="N1572" s="146">
        <f>IF(AND(AND(F1572="",G1572=""),B1572="",C1572="",D1572="",J1572="",K1572="",L1572=""),"",IF(AND(F1572="",G1572=""),"✗ 没填金额",IF(AND(N(F1572)&lt;&gt;0,N(G1572)&lt;&gt;0),"✗ 收入、支出只能填一边",IF(NOT(ISNUMBER(B1572)),"✗ 日期不是真日期（要像 2026/9/25 这样填）",IF(OR(B1572&lt;年初日,B1572&gt;年末日),"✗ 日期不在本会计年度",IF(C1572="","✗ 没选账户",IF(COUNTIF(基础资料!$W$5:$W$24,C1572)=0,"✗ 账户不在基础资料里",IF(O1572="","✗ 没选收支项目",IF(P1572="未知","✗ 收支项目不在基础资料里",IF(AND(P1572="应收",J1572=""),"✗ 这笔要选客户",IF(AND(P1572="应收",COUNTIF(总览汇总!$B$5:$B$304,J1572)=0),"✗ 客户不在总览汇总名单里",IF(AND(P1572="应付",K1572=""),"✗ 这笔要选供应商",IF(AND(P1572="应付",COUNTIF(基础资料!$Q$5:$Q$54,K1572)=0),"✗ 供应商不在基础资料里",IF(AND(P1572="费用",L1572=""),"✗ 费用支出要选费用项目",IF(AND(L1572&lt;&gt;"",COUNTIF(基础资料!$AI$5:$AI$54,L1572)=0),"✗ 费用项目不在基础资料里",IF(AND(IFERROR(INDEX(基础资料!$AD$5:$AD$34,MATCH(O1572,基础资料!$AC$5:$AC$34,0)),"")="收",N(G1572)&lt;&gt;0),"✗ 这类是收款，金额填到收入列",IF(AND(IFERROR(INDEX(基础资料!$AD$5:$AD$34,MATCH(O1572,基础资料!$AC$5:$AC$34,0)),"")="支",N(F1572)&lt;&gt;0),"✗ 这类是付款，金额填到支出列",IF(N(H1572)&lt;0,"⚠ 账户余额成负数了，核对一下","√"))))))))))))))))))</f>
      </c>
      <c r="O1572" s="78">
        <f>IF(D1572&lt;&gt;"",D1572,IF(AND(F1572="",G1572=""),"",IF(J1572&lt;&gt;"",IF(N(F1572)&gt;0,"客户回款","客户退款"),IF(K1572&lt;&gt;"",IF(N(G1572)&gt;0,"供应商付款","供应商退款"),IF(L1572&lt;&gt;"","费用支出","")))))</f>
      </c>
      <c r="P1572" s="78">
        <f>IF(O1572="","",IFERROR(INDEX(基础资料!$AE$5:$AE$34,MATCH(O1572,基础资料!$AC$5:$AC$34,0)),"未知"))</f>
      </c>
      <c r="Q1572" s="78">
        <f>IF(P1572="应收",COUNTIF(P$7:P1572,"应收"),"")</f>
      </c>
      <c r="R1572" s="78">
        <f>IF(P1572="应付",COUNTIF(P$7:P1572,"应付"),"")</f>
      </c>
      <c r="S1572" s="78">
        <f>N(F1572)-N(G1572)</f>
        <v>0</v>
      </c>
    </row>
    <row r="1573">
      <c r="A1573" s="109">
        <f>IF(AND(F1573="",G1573=""),"",ROW()-6)</f>
      </c>
      <c r="B1573" s="140" t="n"/>
      <c r="C1573" s="141" t="n"/>
      <c r="D1573" s="141" t="n"/>
      <c r="E1573" s="142" t="n"/>
      <c r="F1573" s="143" t="n"/>
      <c r="G1573" s="144" t="n"/>
      <c r="H1573" s="145">
        <f>IF(OR(C1573="",AND(F1573="",G1573="")),"",SUMIF(基础资料!$W$5:$W$24,C1573,基础资料!$X$5:$X$24)+SUMIF(C$7:C1573,C1573,F$7:F1573)-SUMIF(C$7:C1573,C1573,G$7:G1573))</f>
      </c>
      <c r="I1573" s="145">
        <f>IF(AND(F1573="",G1573=""),"",SUM(基础资料!$X$5:$X$24)+SUM(F$7:F1573)-SUM(G$7:G1573))</f>
      </c>
      <c r="J1573" s="141" t="n"/>
      <c r="K1573" s="141" t="n"/>
      <c r="L1573" s="141" t="n"/>
      <c r="M1573" s="142" t="n"/>
      <c r="N1573" s="146">
        <f>IF(AND(AND(F1573="",G1573=""),B1573="",C1573="",D1573="",J1573="",K1573="",L1573=""),"",IF(AND(F1573="",G1573=""),"✗ 没填金额",IF(AND(N(F1573)&lt;&gt;0,N(G1573)&lt;&gt;0),"✗ 收入、支出只能填一边",IF(NOT(ISNUMBER(B1573)),"✗ 日期不是真日期（要像 2026/9/25 这样填）",IF(OR(B1573&lt;年初日,B1573&gt;年末日),"✗ 日期不在本会计年度",IF(C1573="","✗ 没选账户",IF(COUNTIF(基础资料!$W$5:$W$24,C1573)=0,"✗ 账户不在基础资料里",IF(O1573="","✗ 没选收支项目",IF(P1573="未知","✗ 收支项目不在基础资料里",IF(AND(P1573="应收",J1573=""),"✗ 这笔要选客户",IF(AND(P1573="应收",COUNTIF(总览汇总!$B$5:$B$304,J1573)=0),"✗ 客户不在总览汇总名单里",IF(AND(P1573="应付",K1573=""),"✗ 这笔要选供应商",IF(AND(P1573="应付",COUNTIF(基础资料!$Q$5:$Q$54,K1573)=0),"✗ 供应商不在基础资料里",IF(AND(P1573="费用",L1573=""),"✗ 费用支出要选费用项目",IF(AND(L1573&lt;&gt;"",COUNTIF(基础资料!$AI$5:$AI$54,L1573)=0),"✗ 费用项目不在基础资料里",IF(AND(IFERROR(INDEX(基础资料!$AD$5:$AD$34,MATCH(O1573,基础资料!$AC$5:$AC$34,0)),"")="收",N(G1573)&lt;&gt;0),"✗ 这类是收款，金额填到收入列",IF(AND(IFERROR(INDEX(基础资料!$AD$5:$AD$34,MATCH(O1573,基础资料!$AC$5:$AC$34,0)),"")="支",N(F1573)&lt;&gt;0),"✗ 这类是付款，金额填到支出列",IF(N(H1573)&lt;0,"⚠ 账户余额成负数了，核对一下","√"))))))))))))))))))</f>
      </c>
      <c r="O1573" s="78">
        <f>IF(D1573&lt;&gt;"",D1573,IF(AND(F1573="",G1573=""),"",IF(J1573&lt;&gt;"",IF(N(F1573)&gt;0,"客户回款","客户退款"),IF(K1573&lt;&gt;"",IF(N(G1573)&gt;0,"供应商付款","供应商退款"),IF(L1573&lt;&gt;"","费用支出","")))))</f>
      </c>
      <c r="P1573" s="78">
        <f>IF(O1573="","",IFERROR(INDEX(基础资料!$AE$5:$AE$34,MATCH(O1573,基础资料!$AC$5:$AC$34,0)),"未知"))</f>
      </c>
      <c r="Q1573" s="78">
        <f>IF(P1573="应收",COUNTIF(P$7:P1573,"应收"),"")</f>
      </c>
      <c r="R1573" s="78">
        <f>IF(P1573="应付",COUNTIF(P$7:P1573,"应付"),"")</f>
      </c>
      <c r="S1573" s="78">
        <f>N(F1573)-N(G1573)</f>
        <v>0</v>
      </c>
    </row>
    <row r="1574">
      <c r="A1574" s="109">
        <f>IF(AND(F1574="",G1574=""),"",ROW()-6)</f>
      </c>
      <c r="B1574" s="140" t="n"/>
      <c r="C1574" s="141" t="n"/>
      <c r="D1574" s="141" t="n"/>
      <c r="E1574" s="142" t="n"/>
      <c r="F1574" s="143" t="n"/>
      <c r="G1574" s="144" t="n"/>
      <c r="H1574" s="145">
        <f>IF(OR(C1574="",AND(F1574="",G1574="")),"",SUMIF(基础资料!$W$5:$W$24,C1574,基础资料!$X$5:$X$24)+SUMIF(C$7:C1574,C1574,F$7:F1574)-SUMIF(C$7:C1574,C1574,G$7:G1574))</f>
      </c>
      <c r="I1574" s="145">
        <f>IF(AND(F1574="",G1574=""),"",SUM(基础资料!$X$5:$X$24)+SUM(F$7:F1574)-SUM(G$7:G1574))</f>
      </c>
      <c r="J1574" s="141" t="n"/>
      <c r="K1574" s="141" t="n"/>
      <c r="L1574" s="141" t="n"/>
      <c r="M1574" s="142" t="n"/>
      <c r="N1574" s="146">
        <f>IF(AND(AND(F1574="",G1574=""),B1574="",C1574="",D1574="",J1574="",K1574="",L1574=""),"",IF(AND(F1574="",G1574=""),"✗ 没填金额",IF(AND(N(F1574)&lt;&gt;0,N(G1574)&lt;&gt;0),"✗ 收入、支出只能填一边",IF(NOT(ISNUMBER(B1574)),"✗ 日期不是真日期（要像 2026/9/25 这样填）",IF(OR(B1574&lt;年初日,B1574&gt;年末日),"✗ 日期不在本会计年度",IF(C1574="","✗ 没选账户",IF(COUNTIF(基础资料!$W$5:$W$24,C1574)=0,"✗ 账户不在基础资料里",IF(O1574="","✗ 没选收支项目",IF(P1574="未知","✗ 收支项目不在基础资料里",IF(AND(P1574="应收",J1574=""),"✗ 这笔要选客户",IF(AND(P1574="应收",COUNTIF(总览汇总!$B$5:$B$304,J1574)=0),"✗ 客户不在总览汇总名单里",IF(AND(P1574="应付",K1574=""),"✗ 这笔要选供应商",IF(AND(P1574="应付",COUNTIF(基础资料!$Q$5:$Q$54,K1574)=0),"✗ 供应商不在基础资料里",IF(AND(P1574="费用",L1574=""),"✗ 费用支出要选费用项目",IF(AND(L1574&lt;&gt;"",COUNTIF(基础资料!$AI$5:$AI$54,L1574)=0),"✗ 费用项目不在基础资料里",IF(AND(IFERROR(INDEX(基础资料!$AD$5:$AD$34,MATCH(O1574,基础资料!$AC$5:$AC$34,0)),"")="收",N(G1574)&lt;&gt;0),"✗ 这类是收款，金额填到收入列",IF(AND(IFERROR(INDEX(基础资料!$AD$5:$AD$34,MATCH(O1574,基础资料!$AC$5:$AC$34,0)),"")="支",N(F1574)&lt;&gt;0),"✗ 这类是付款，金额填到支出列",IF(N(H1574)&lt;0,"⚠ 账户余额成负数了，核对一下","√"))))))))))))))))))</f>
      </c>
      <c r="O1574" s="78">
        <f>IF(D1574&lt;&gt;"",D1574,IF(AND(F1574="",G1574=""),"",IF(J1574&lt;&gt;"",IF(N(F1574)&gt;0,"客户回款","客户退款"),IF(K1574&lt;&gt;"",IF(N(G1574)&gt;0,"供应商付款","供应商退款"),IF(L1574&lt;&gt;"","费用支出","")))))</f>
      </c>
      <c r="P1574" s="78">
        <f>IF(O1574="","",IFERROR(INDEX(基础资料!$AE$5:$AE$34,MATCH(O1574,基础资料!$AC$5:$AC$34,0)),"未知"))</f>
      </c>
      <c r="Q1574" s="78">
        <f>IF(P1574="应收",COUNTIF(P$7:P1574,"应收"),"")</f>
      </c>
      <c r="R1574" s="78">
        <f>IF(P1574="应付",COUNTIF(P$7:P1574,"应付"),"")</f>
      </c>
      <c r="S1574" s="78">
        <f>N(F1574)-N(G1574)</f>
        <v>0</v>
      </c>
    </row>
    <row r="1575">
      <c r="A1575" s="109">
        <f>IF(AND(F1575="",G1575=""),"",ROW()-6)</f>
      </c>
      <c r="B1575" s="140" t="n"/>
      <c r="C1575" s="141" t="n"/>
      <c r="D1575" s="141" t="n"/>
      <c r="E1575" s="142" t="n"/>
      <c r="F1575" s="143" t="n"/>
      <c r="G1575" s="144" t="n"/>
      <c r="H1575" s="145">
        <f>IF(OR(C1575="",AND(F1575="",G1575="")),"",SUMIF(基础资料!$W$5:$W$24,C1575,基础资料!$X$5:$X$24)+SUMIF(C$7:C1575,C1575,F$7:F1575)-SUMIF(C$7:C1575,C1575,G$7:G1575))</f>
      </c>
      <c r="I1575" s="145">
        <f>IF(AND(F1575="",G1575=""),"",SUM(基础资料!$X$5:$X$24)+SUM(F$7:F1575)-SUM(G$7:G1575))</f>
      </c>
      <c r="J1575" s="141" t="n"/>
      <c r="K1575" s="141" t="n"/>
      <c r="L1575" s="141" t="n"/>
      <c r="M1575" s="142" t="n"/>
      <c r="N1575" s="146">
        <f>IF(AND(AND(F1575="",G1575=""),B1575="",C1575="",D1575="",J1575="",K1575="",L1575=""),"",IF(AND(F1575="",G1575=""),"✗ 没填金额",IF(AND(N(F1575)&lt;&gt;0,N(G1575)&lt;&gt;0),"✗ 收入、支出只能填一边",IF(NOT(ISNUMBER(B1575)),"✗ 日期不是真日期（要像 2026/9/25 这样填）",IF(OR(B1575&lt;年初日,B1575&gt;年末日),"✗ 日期不在本会计年度",IF(C1575="","✗ 没选账户",IF(COUNTIF(基础资料!$W$5:$W$24,C1575)=0,"✗ 账户不在基础资料里",IF(O1575="","✗ 没选收支项目",IF(P1575="未知","✗ 收支项目不在基础资料里",IF(AND(P1575="应收",J1575=""),"✗ 这笔要选客户",IF(AND(P1575="应收",COUNTIF(总览汇总!$B$5:$B$304,J1575)=0),"✗ 客户不在总览汇总名单里",IF(AND(P1575="应付",K1575=""),"✗ 这笔要选供应商",IF(AND(P1575="应付",COUNTIF(基础资料!$Q$5:$Q$54,K1575)=0),"✗ 供应商不在基础资料里",IF(AND(P1575="费用",L1575=""),"✗ 费用支出要选费用项目",IF(AND(L1575&lt;&gt;"",COUNTIF(基础资料!$AI$5:$AI$54,L1575)=0),"✗ 费用项目不在基础资料里",IF(AND(IFERROR(INDEX(基础资料!$AD$5:$AD$34,MATCH(O1575,基础资料!$AC$5:$AC$34,0)),"")="收",N(G1575)&lt;&gt;0),"✗ 这类是收款，金额填到收入列",IF(AND(IFERROR(INDEX(基础资料!$AD$5:$AD$34,MATCH(O1575,基础资料!$AC$5:$AC$34,0)),"")="支",N(F1575)&lt;&gt;0),"✗ 这类是付款，金额填到支出列",IF(N(H1575)&lt;0,"⚠ 账户余额成负数了，核对一下","√"))))))))))))))))))</f>
      </c>
      <c r="O1575" s="78">
        <f>IF(D1575&lt;&gt;"",D1575,IF(AND(F1575="",G1575=""),"",IF(J1575&lt;&gt;"",IF(N(F1575)&gt;0,"客户回款","客户退款"),IF(K1575&lt;&gt;"",IF(N(G1575)&gt;0,"供应商付款","供应商退款"),IF(L1575&lt;&gt;"","费用支出","")))))</f>
      </c>
      <c r="P1575" s="78">
        <f>IF(O1575="","",IFERROR(INDEX(基础资料!$AE$5:$AE$34,MATCH(O1575,基础资料!$AC$5:$AC$34,0)),"未知"))</f>
      </c>
      <c r="Q1575" s="78">
        <f>IF(P1575="应收",COUNTIF(P$7:P1575,"应收"),"")</f>
      </c>
      <c r="R1575" s="78">
        <f>IF(P1575="应付",COUNTIF(P$7:P1575,"应付"),"")</f>
      </c>
      <c r="S1575" s="78">
        <f>N(F1575)-N(G1575)</f>
        <v>0</v>
      </c>
    </row>
    <row r="1576">
      <c r="A1576" s="109">
        <f>IF(AND(F1576="",G1576=""),"",ROW()-6)</f>
      </c>
      <c r="B1576" s="140" t="n"/>
      <c r="C1576" s="141" t="n"/>
      <c r="D1576" s="141" t="n"/>
      <c r="E1576" s="142" t="n"/>
      <c r="F1576" s="143" t="n"/>
      <c r="G1576" s="144" t="n"/>
      <c r="H1576" s="145">
        <f>IF(OR(C1576="",AND(F1576="",G1576="")),"",SUMIF(基础资料!$W$5:$W$24,C1576,基础资料!$X$5:$X$24)+SUMIF(C$7:C1576,C1576,F$7:F1576)-SUMIF(C$7:C1576,C1576,G$7:G1576))</f>
      </c>
      <c r="I1576" s="145">
        <f>IF(AND(F1576="",G1576=""),"",SUM(基础资料!$X$5:$X$24)+SUM(F$7:F1576)-SUM(G$7:G1576))</f>
      </c>
      <c r="J1576" s="141" t="n"/>
      <c r="K1576" s="141" t="n"/>
      <c r="L1576" s="141" t="n"/>
      <c r="M1576" s="142" t="n"/>
      <c r="N1576" s="146">
        <f>IF(AND(AND(F1576="",G1576=""),B1576="",C1576="",D1576="",J1576="",K1576="",L1576=""),"",IF(AND(F1576="",G1576=""),"✗ 没填金额",IF(AND(N(F1576)&lt;&gt;0,N(G1576)&lt;&gt;0),"✗ 收入、支出只能填一边",IF(NOT(ISNUMBER(B1576)),"✗ 日期不是真日期（要像 2026/9/25 这样填）",IF(OR(B1576&lt;年初日,B1576&gt;年末日),"✗ 日期不在本会计年度",IF(C1576="","✗ 没选账户",IF(COUNTIF(基础资料!$W$5:$W$24,C1576)=0,"✗ 账户不在基础资料里",IF(O1576="","✗ 没选收支项目",IF(P1576="未知","✗ 收支项目不在基础资料里",IF(AND(P1576="应收",J1576=""),"✗ 这笔要选客户",IF(AND(P1576="应收",COUNTIF(总览汇总!$B$5:$B$304,J1576)=0),"✗ 客户不在总览汇总名单里",IF(AND(P1576="应付",K1576=""),"✗ 这笔要选供应商",IF(AND(P1576="应付",COUNTIF(基础资料!$Q$5:$Q$54,K1576)=0),"✗ 供应商不在基础资料里",IF(AND(P1576="费用",L1576=""),"✗ 费用支出要选费用项目",IF(AND(L1576&lt;&gt;"",COUNTIF(基础资料!$AI$5:$AI$54,L1576)=0),"✗ 费用项目不在基础资料里",IF(AND(IFERROR(INDEX(基础资料!$AD$5:$AD$34,MATCH(O1576,基础资料!$AC$5:$AC$34,0)),"")="收",N(G1576)&lt;&gt;0),"✗ 这类是收款，金额填到收入列",IF(AND(IFERROR(INDEX(基础资料!$AD$5:$AD$34,MATCH(O1576,基础资料!$AC$5:$AC$34,0)),"")="支",N(F1576)&lt;&gt;0),"✗ 这类是付款，金额填到支出列",IF(N(H1576)&lt;0,"⚠ 账户余额成负数了，核对一下","√"))))))))))))))))))</f>
      </c>
      <c r="O1576" s="78">
        <f>IF(D1576&lt;&gt;"",D1576,IF(AND(F1576="",G1576=""),"",IF(J1576&lt;&gt;"",IF(N(F1576)&gt;0,"客户回款","客户退款"),IF(K1576&lt;&gt;"",IF(N(G1576)&gt;0,"供应商付款","供应商退款"),IF(L1576&lt;&gt;"","费用支出","")))))</f>
      </c>
      <c r="P1576" s="78">
        <f>IF(O1576="","",IFERROR(INDEX(基础资料!$AE$5:$AE$34,MATCH(O1576,基础资料!$AC$5:$AC$34,0)),"未知"))</f>
      </c>
      <c r="Q1576" s="78">
        <f>IF(P1576="应收",COUNTIF(P$7:P1576,"应收"),"")</f>
      </c>
      <c r="R1576" s="78">
        <f>IF(P1576="应付",COUNTIF(P$7:P1576,"应付"),"")</f>
      </c>
      <c r="S1576" s="78">
        <f>N(F1576)-N(G1576)</f>
        <v>0</v>
      </c>
    </row>
    <row r="1577">
      <c r="A1577" s="109">
        <f>IF(AND(F1577="",G1577=""),"",ROW()-6)</f>
      </c>
      <c r="B1577" s="140" t="n"/>
      <c r="C1577" s="141" t="n"/>
      <c r="D1577" s="141" t="n"/>
      <c r="E1577" s="142" t="n"/>
      <c r="F1577" s="143" t="n"/>
      <c r="G1577" s="144" t="n"/>
      <c r="H1577" s="145">
        <f>IF(OR(C1577="",AND(F1577="",G1577="")),"",SUMIF(基础资料!$W$5:$W$24,C1577,基础资料!$X$5:$X$24)+SUMIF(C$7:C1577,C1577,F$7:F1577)-SUMIF(C$7:C1577,C1577,G$7:G1577))</f>
      </c>
      <c r="I1577" s="145">
        <f>IF(AND(F1577="",G1577=""),"",SUM(基础资料!$X$5:$X$24)+SUM(F$7:F1577)-SUM(G$7:G1577))</f>
      </c>
      <c r="J1577" s="141" t="n"/>
      <c r="K1577" s="141" t="n"/>
      <c r="L1577" s="141" t="n"/>
      <c r="M1577" s="142" t="n"/>
      <c r="N1577" s="146">
        <f>IF(AND(AND(F1577="",G1577=""),B1577="",C1577="",D1577="",J1577="",K1577="",L1577=""),"",IF(AND(F1577="",G1577=""),"✗ 没填金额",IF(AND(N(F1577)&lt;&gt;0,N(G1577)&lt;&gt;0),"✗ 收入、支出只能填一边",IF(NOT(ISNUMBER(B1577)),"✗ 日期不是真日期（要像 2026/9/25 这样填）",IF(OR(B1577&lt;年初日,B1577&gt;年末日),"✗ 日期不在本会计年度",IF(C1577="","✗ 没选账户",IF(COUNTIF(基础资料!$W$5:$W$24,C1577)=0,"✗ 账户不在基础资料里",IF(O1577="","✗ 没选收支项目",IF(P1577="未知","✗ 收支项目不在基础资料里",IF(AND(P1577="应收",J1577=""),"✗ 这笔要选客户",IF(AND(P1577="应收",COUNTIF(总览汇总!$B$5:$B$304,J1577)=0),"✗ 客户不在总览汇总名单里",IF(AND(P1577="应付",K1577=""),"✗ 这笔要选供应商",IF(AND(P1577="应付",COUNTIF(基础资料!$Q$5:$Q$54,K1577)=0),"✗ 供应商不在基础资料里",IF(AND(P1577="费用",L1577=""),"✗ 费用支出要选费用项目",IF(AND(L1577&lt;&gt;"",COUNTIF(基础资料!$AI$5:$AI$54,L1577)=0),"✗ 费用项目不在基础资料里",IF(AND(IFERROR(INDEX(基础资料!$AD$5:$AD$34,MATCH(O1577,基础资料!$AC$5:$AC$34,0)),"")="收",N(G1577)&lt;&gt;0),"✗ 这类是收款，金额填到收入列",IF(AND(IFERROR(INDEX(基础资料!$AD$5:$AD$34,MATCH(O1577,基础资料!$AC$5:$AC$34,0)),"")="支",N(F1577)&lt;&gt;0),"✗ 这类是付款，金额填到支出列",IF(N(H1577)&lt;0,"⚠ 账户余额成负数了，核对一下","√"))))))))))))))))))</f>
      </c>
      <c r="O1577" s="78">
        <f>IF(D1577&lt;&gt;"",D1577,IF(AND(F1577="",G1577=""),"",IF(J1577&lt;&gt;"",IF(N(F1577)&gt;0,"客户回款","客户退款"),IF(K1577&lt;&gt;"",IF(N(G1577)&gt;0,"供应商付款","供应商退款"),IF(L1577&lt;&gt;"","费用支出","")))))</f>
      </c>
      <c r="P1577" s="78">
        <f>IF(O1577="","",IFERROR(INDEX(基础资料!$AE$5:$AE$34,MATCH(O1577,基础资料!$AC$5:$AC$34,0)),"未知"))</f>
      </c>
      <c r="Q1577" s="78">
        <f>IF(P1577="应收",COUNTIF(P$7:P1577,"应收"),"")</f>
      </c>
      <c r="R1577" s="78">
        <f>IF(P1577="应付",COUNTIF(P$7:P1577,"应付"),"")</f>
      </c>
      <c r="S1577" s="78">
        <f>N(F1577)-N(G1577)</f>
        <v>0</v>
      </c>
    </row>
    <row r="1578">
      <c r="A1578" s="109">
        <f>IF(AND(F1578="",G1578=""),"",ROW()-6)</f>
      </c>
      <c r="B1578" s="140" t="n"/>
      <c r="C1578" s="141" t="n"/>
      <c r="D1578" s="141" t="n"/>
      <c r="E1578" s="142" t="n"/>
      <c r="F1578" s="143" t="n"/>
      <c r="G1578" s="144" t="n"/>
      <c r="H1578" s="145">
        <f>IF(OR(C1578="",AND(F1578="",G1578="")),"",SUMIF(基础资料!$W$5:$W$24,C1578,基础资料!$X$5:$X$24)+SUMIF(C$7:C1578,C1578,F$7:F1578)-SUMIF(C$7:C1578,C1578,G$7:G1578))</f>
      </c>
      <c r="I1578" s="145">
        <f>IF(AND(F1578="",G1578=""),"",SUM(基础资料!$X$5:$X$24)+SUM(F$7:F1578)-SUM(G$7:G1578))</f>
      </c>
      <c r="J1578" s="141" t="n"/>
      <c r="K1578" s="141" t="n"/>
      <c r="L1578" s="141" t="n"/>
      <c r="M1578" s="142" t="n"/>
      <c r="N1578" s="146">
        <f>IF(AND(AND(F1578="",G1578=""),B1578="",C1578="",D1578="",J1578="",K1578="",L1578=""),"",IF(AND(F1578="",G1578=""),"✗ 没填金额",IF(AND(N(F1578)&lt;&gt;0,N(G1578)&lt;&gt;0),"✗ 收入、支出只能填一边",IF(NOT(ISNUMBER(B1578)),"✗ 日期不是真日期（要像 2026/9/25 这样填）",IF(OR(B1578&lt;年初日,B1578&gt;年末日),"✗ 日期不在本会计年度",IF(C1578="","✗ 没选账户",IF(COUNTIF(基础资料!$W$5:$W$24,C1578)=0,"✗ 账户不在基础资料里",IF(O1578="","✗ 没选收支项目",IF(P1578="未知","✗ 收支项目不在基础资料里",IF(AND(P1578="应收",J1578=""),"✗ 这笔要选客户",IF(AND(P1578="应收",COUNTIF(总览汇总!$B$5:$B$304,J1578)=0),"✗ 客户不在总览汇总名单里",IF(AND(P1578="应付",K1578=""),"✗ 这笔要选供应商",IF(AND(P1578="应付",COUNTIF(基础资料!$Q$5:$Q$54,K1578)=0),"✗ 供应商不在基础资料里",IF(AND(P1578="费用",L1578=""),"✗ 费用支出要选费用项目",IF(AND(L1578&lt;&gt;"",COUNTIF(基础资料!$AI$5:$AI$54,L1578)=0),"✗ 费用项目不在基础资料里",IF(AND(IFERROR(INDEX(基础资料!$AD$5:$AD$34,MATCH(O1578,基础资料!$AC$5:$AC$34,0)),"")="收",N(G1578)&lt;&gt;0),"✗ 这类是收款，金额填到收入列",IF(AND(IFERROR(INDEX(基础资料!$AD$5:$AD$34,MATCH(O1578,基础资料!$AC$5:$AC$34,0)),"")="支",N(F1578)&lt;&gt;0),"✗ 这类是付款，金额填到支出列",IF(N(H1578)&lt;0,"⚠ 账户余额成负数了，核对一下","√"))))))))))))))))))</f>
      </c>
      <c r="O1578" s="78">
        <f>IF(D1578&lt;&gt;"",D1578,IF(AND(F1578="",G1578=""),"",IF(J1578&lt;&gt;"",IF(N(F1578)&gt;0,"客户回款","客户退款"),IF(K1578&lt;&gt;"",IF(N(G1578)&gt;0,"供应商付款","供应商退款"),IF(L1578&lt;&gt;"","费用支出","")))))</f>
      </c>
      <c r="P1578" s="78">
        <f>IF(O1578="","",IFERROR(INDEX(基础资料!$AE$5:$AE$34,MATCH(O1578,基础资料!$AC$5:$AC$34,0)),"未知"))</f>
      </c>
      <c r="Q1578" s="78">
        <f>IF(P1578="应收",COUNTIF(P$7:P1578,"应收"),"")</f>
      </c>
      <c r="R1578" s="78">
        <f>IF(P1578="应付",COUNTIF(P$7:P1578,"应付"),"")</f>
      </c>
      <c r="S1578" s="78">
        <f>N(F1578)-N(G1578)</f>
        <v>0</v>
      </c>
    </row>
    <row r="1579">
      <c r="A1579" s="109">
        <f>IF(AND(F1579="",G1579=""),"",ROW()-6)</f>
      </c>
      <c r="B1579" s="140" t="n"/>
      <c r="C1579" s="141" t="n"/>
      <c r="D1579" s="141" t="n"/>
      <c r="E1579" s="142" t="n"/>
      <c r="F1579" s="143" t="n"/>
      <c r="G1579" s="144" t="n"/>
      <c r="H1579" s="145">
        <f>IF(OR(C1579="",AND(F1579="",G1579="")),"",SUMIF(基础资料!$W$5:$W$24,C1579,基础资料!$X$5:$X$24)+SUMIF(C$7:C1579,C1579,F$7:F1579)-SUMIF(C$7:C1579,C1579,G$7:G1579))</f>
      </c>
      <c r="I1579" s="145">
        <f>IF(AND(F1579="",G1579=""),"",SUM(基础资料!$X$5:$X$24)+SUM(F$7:F1579)-SUM(G$7:G1579))</f>
      </c>
      <c r="J1579" s="141" t="n"/>
      <c r="K1579" s="141" t="n"/>
      <c r="L1579" s="141" t="n"/>
      <c r="M1579" s="142" t="n"/>
      <c r="N1579" s="146">
        <f>IF(AND(AND(F1579="",G1579=""),B1579="",C1579="",D1579="",J1579="",K1579="",L1579=""),"",IF(AND(F1579="",G1579=""),"✗ 没填金额",IF(AND(N(F1579)&lt;&gt;0,N(G1579)&lt;&gt;0),"✗ 收入、支出只能填一边",IF(NOT(ISNUMBER(B1579)),"✗ 日期不是真日期（要像 2026/9/25 这样填）",IF(OR(B1579&lt;年初日,B1579&gt;年末日),"✗ 日期不在本会计年度",IF(C1579="","✗ 没选账户",IF(COUNTIF(基础资料!$W$5:$W$24,C1579)=0,"✗ 账户不在基础资料里",IF(O1579="","✗ 没选收支项目",IF(P1579="未知","✗ 收支项目不在基础资料里",IF(AND(P1579="应收",J1579=""),"✗ 这笔要选客户",IF(AND(P1579="应收",COUNTIF(总览汇总!$B$5:$B$304,J1579)=0),"✗ 客户不在总览汇总名单里",IF(AND(P1579="应付",K1579=""),"✗ 这笔要选供应商",IF(AND(P1579="应付",COUNTIF(基础资料!$Q$5:$Q$54,K1579)=0),"✗ 供应商不在基础资料里",IF(AND(P1579="费用",L1579=""),"✗ 费用支出要选费用项目",IF(AND(L1579&lt;&gt;"",COUNTIF(基础资料!$AI$5:$AI$54,L1579)=0),"✗ 费用项目不在基础资料里",IF(AND(IFERROR(INDEX(基础资料!$AD$5:$AD$34,MATCH(O1579,基础资料!$AC$5:$AC$34,0)),"")="收",N(G1579)&lt;&gt;0),"✗ 这类是收款，金额填到收入列",IF(AND(IFERROR(INDEX(基础资料!$AD$5:$AD$34,MATCH(O1579,基础资料!$AC$5:$AC$34,0)),"")="支",N(F1579)&lt;&gt;0),"✗ 这类是付款，金额填到支出列",IF(N(H1579)&lt;0,"⚠ 账户余额成负数了，核对一下","√"))))))))))))))))))</f>
      </c>
      <c r="O1579" s="78">
        <f>IF(D1579&lt;&gt;"",D1579,IF(AND(F1579="",G1579=""),"",IF(J1579&lt;&gt;"",IF(N(F1579)&gt;0,"客户回款","客户退款"),IF(K1579&lt;&gt;"",IF(N(G1579)&gt;0,"供应商付款","供应商退款"),IF(L1579&lt;&gt;"","费用支出","")))))</f>
      </c>
      <c r="P1579" s="78">
        <f>IF(O1579="","",IFERROR(INDEX(基础资料!$AE$5:$AE$34,MATCH(O1579,基础资料!$AC$5:$AC$34,0)),"未知"))</f>
      </c>
      <c r="Q1579" s="78">
        <f>IF(P1579="应收",COUNTIF(P$7:P1579,"应收"),"")</f>
      </c>
      <c r="R1579" s="78">
        <f>IF(P1579="应付",COUNTIF(P$7:P1579,"应付"),"")</f>
      </c>
      <c r="S1579" s="78">
        <f>N(F1579)-N(G1579)</f>
        <v>0</v>
      </c>
    </row>
    <row r="1580">
      <c r="A1580" s="109">
        <f>IF(AND(F1580="",G1580=""),"",ROW()-6)</f>
      </c>
      <c r="B1580" s="140" t="n"/>
      <c r="C1580" s="141" t="n"/>
      <c r="D1580" s="141" t="n"/>
      <c r="E1580" s="142" t="n"/>
      <c r="F1580" s="143" t="n"/>
      <c r="G1580" s="144" t="n"/>
      <c r="H1580" s="145">
        <f>IF(OR(C1580="",AND(F1580="",G1580="")),"",SUMIF(基础资料!$W$5:$W$24,C1580,基础资料!$X$5:$X$24)+SUMIF(C$7:C1580,C1580,F$7:F1580)-SUMIF(C$7:C1580,C1580,G$7:G1580))</f>
      </c>
      <c r="I1580" s="145">
        <f>IF(AND(F1580="",G1580=""),"",SUM(基础资料!$X$5:$X$24)+SUM(F$7:F1580)-SUM(G$7:G1580))</f>
      </c>
      <c r="J1580" s="141" t="n"/>
      <c r="K1580" s="141" t="n"/>
      <c r="L1580" s="141" t="n"/>
      <c r="M1580" s="142" t="n"/>
      <c r="N1580" s="146">
        <f>IF(AND(AND(F1580="",G1580=""),B1580="",C1580="",D1580="",J1580="",K1580="",L1580=""),"",IF(AND(F1580="",G1580=""),"✗ 没填金额",IF(AND(N(F1580)&lt;&gt;0,N(G1580)&lt;&gt;0),"✗ 收入、支出只能填一边",IF(NOT(ISNUMBER(B1580)),"✗ 日期不是真日期（要像 2026/9/25 这样填）",IF(OR(B1580&lt;年初日,B1580&gt;年末日),"✗ 日期不在本会计年度",IF(C1580="","✗ 没选账户",IF(COUNTIF(基础资料!$W$5:$W$24,C1580)=0,"✗ 账户不在基础资料里",IF(O1580="","✗ 没选收支项目",IF(P1580="未知","✗ 收支项目不在基础资料里",IF(AND(P1580="应收",J1580=""),"✗ 这笔要选客户",IF(AND(P1580="应收",COUNTIF(总览汇总!$B$5:$B$304,J1580)=0),"✗ 客户不在总览汇总名单里",IF(AND(P1580="应付",K1580=""),"✗ 这笔要选供应商",IF(AND(P1580="应付",COUNTIF(基础资料!$Q$5:$Q$54,K1580)=0),"✗ 供应商不在基础资料里",IF(AND(P1580="费用",L1580=""),"✗ 费用支出要选费用项目",IF(AND(L1580&lt;&gt;"",COUNTIF(基础资料!$AI$5:$AI$54,L1580)=0),"✗ 费用项目不在基础资料里",IF(AND(IFERROR(INDEX(基础资料!$AD$5:$AD$34,MATCH(O1580,基础资料!$AC$5:$AC$34,0)),"")="收",N(G1580)&lt;&gt;0),"✗ 这类是收款，金额填到收入列",IF(AND(IFERROR(INDEX(基础资料!$AD$5:$AD$34,MATCH(O1580,基础资料!$AC$5:$AC$34,0)),"")="支",N(F1580)&lt;&gt;0),"✗ 这类是付款，金额填到支出列",IF(N(H1580)&lt;0,"⚠ 账户余额成负数了，核对一下","√"))))))))))))))))))</f>
      </c>
      <c r="O1580" s="78">
        <f>IF(D1580&lt;&gt;"",D1580,IF(AND(F1580="",G1580=""),"",IF(J1580&lt;&gt;"",IF(N(F1580)&gt;0,"客户回款","客户退款"),IF(K1580&lt;&gt;"",IF(N(G1580)&gt;0,"供应商付款","供应商退款"),IF(L1580&lt;&gt;"","费用支出","")))))</f>
      </c>
      <c r="P1580" s="78">
        <f>IF(O1580="","",IFERROR(INDEX(基础资料!$AE$5:$AE$34,MATCH(O1580,基础资料!$AC$5:$AC$34,0)),"未知"))</f>
      </c>
      <c r="Q1580" s="78">
        <f>IF(P1580="应收",COUNTIF(P$7:P1580,"应收"),"")</f>
      </c>
      <c r="R1580" s="78">
        <f>IF(P1580="应付",COUNTIF(P$7:P1580,"应付"),"")</f>
      </c>
      <c r="S1580" s="78">
        <f>N(F1580)-N(G1580)</f>
        <v>0</v>
      </c>
    </row>
    <row r="1581">
      <c r="A1581" s="109">
        <f>IF(AND(F1581="",G1581=""),"",ROW()-6)</f>
      </c>
      <c r="B1581" s="140" t="n"/>
      <c r="C1581" s="141" t="n"/>
      <c r="D1581" s="141" t="n"/>
      <c r="E1581" s="142" t="n"/>
      <c r="F1581" s="143" t="n"/>
      <c r="G1581" s="144" t="n"/>
      <c r="H1581" s="145">
        <f>IF(OR(C1581="",AND(F1581="",G1581="")),"",SUMIF(基础资料!$W$5:$W$24,C1581,基础资料!$X$5:$X$24)+SUMIF(C$7:C1581,C1581,F$7:F1581)-SUMIF(C$7:C1581,C1581,G$7:G1581))</f>
      </c>
      <c r="I1581" s="145">
        <f>IF(AND(F1581="",G1581=""),"",SUM(基础资料!$X$5:$X$24)+SUM(F$7:F1581)-SUM(G$7:G1581))</f>
      </c>
      <c r="J1581" s="141" t="n"/>
      <c r="K1581" s="141" t="n"/>
      <c r="L1581" s="141" t="n"/>
      <c r="M1581" s="142" t="n"/>
      <c r="N1581" s="146">
        <f>IF(AND(AND(F1581="",G1581=""),B1581="",C1581="",D1581="",J1581="",K1581="",L1581=""),"",IF(AND(F1581="",G1581=""),"✗ 没填金额",IF(AND(N(F1581)&lt;&gt;0,N(G1581)&lt;&gt;0),"✗ 收入、支出只能填一边",IF(NOT(ISNUMBER(B1581)),"✗ 日期不是真日期（要像 2026/9/25 这样填）",IF(OR(B1581&lt;年初日,B1581&gt;年末日),"✗ 日期不在本会计年度",IF(C1581="","✗ 没选账户",IF(COUNTIF(基础资料!$W$5:$W$24,C1581)=0,"✗ 账户不在基础资料里",IF(O1581="","✗ 没选收支项目",IF(P1581="未知","✗ 收支项目不在基础资料里",IF(AND(P1581="应收",J1581=""),"✗ 这笔要选客户",IF(AND(P1581="应收",COUNTIF(总览汇总!$B$5:$B$304,J1581)=0),"✗ 客户不在总览汇总名单里",IF(AND(P1581="应付",K1581=""),"✗ 这笔要选供应商",IF(AND(P1581="应付",COUNTIF(基础资料!$Q$5:$Q$54,K1581)=0),"✗ 供应商不在基础资料里",IF(AND(P1581="费用",L1581=""),"✗ 费用支出要选费用项目",IF(AND(L1581&lt;&gt;"",COUNTIF(基础资料!$AI$5:$AI$54,L1581)=0),"✗ 费用项目不在基础资料里",IF(AND(IFERROR(INDEX(基础资料!$AD$5:$AD$34,MATCH(O1581,基础资料!$AC$5:$AC$34,0)),"")="收",N(G1581)&lt;&gt;0),"✗ 这类是收款，金额填到收入列",IF(AND(IFERROR(INDEX(基础资料!$AD$5:$AD$34,MATCH(O1581,基础资料!$AC$5:$AC$34,0)),"")="支",N(F1581)&lt;&gt;0),"✗ 这类是付款，金额填到支出列",IF(N(H1581)&lt;0,"⚠ 账户余额成负数了，核对一下","√"))))))))))))))))))</f>
      </c>
      <c r="O1581" s="78">
        <f>IF(D1581&lt;&gt;"",D1581,IF(AND(F1581="",G1581=""),"",IF(J1581&lt;&gt;"",IF(N(F1581)&gt;0,"客户回款","客户退款"),IF(K1581&lt;&gt;"",IF(N(G1581)&gt;0,"供应商付款","供应商退款"),IF(L1581&lt;&gt;"","费用支出","")))))</f>
      </c>
      <c r="P1581" s="78">
        <f>IF(O1581="","",IFERROR(INDEX(基础资料!$AE$5:$AE$34,MATCH(O1581,基础资料!$AC$5:$AC$34,0)),"未知"))</f>
      </c>
      <c r="Q1581" s="78">
        <f>IF(P1581="应收",COUNTIF(P$7:P1581,"应收"),"")</f>
      </c>
      <c r="R1581" s="78">
        <f>IF(P1581="应付",COUNTIF(P$7:P1581,"应付"),"")</f>
      </c>
      <c r="S1581" s="78">
        <f>N(F1581)-N(G1581)</f>
        <v>0</v>
      </c>
    </row>
    <row r="1582">
      <c r="A1582" s="109">
        <f>IF(AND(F1582="",G1582=""),"",ROW()-6)</f>
      </c>
      <c r="B1582" s="140" t="n"/>
      <c r="C1582" s="141" t="n"/>
      <c r="D1582" s="141" t="n"/>
      <c r="E1582" s="142" t="n"/>
      <c r="F1582" s="143" t="n"/>
      <c r="G1582" s="144" t="n"/>
      <c r="H1582" s="145">
        <f>IF(OR(C1582="",AND(F1582="",G1582="")),"",SUMIF(基础资料!$W$5:$W$24,C1582,基础资料!$X$5:$X$24)+SUMIF(C$7:C1582,C1582,F$7:F1582)-SUMIF(C$7:C1582,C1582,G$7:G1582))</f>
      </c>
      <c r="I1582" s="145">
        <f>IF(AND(F1582="",G1582=""),"",SUM(基础资料!$X$5:$X$24)+SUM(F$7:F1582)-SUM(G$7:G1582))</f>
      </c>
      <c r="J1582" s="141" t="n"/>
      <c r="K1582" s="141" t="n"/>
      <c r="L1582" s="141" t="n"/>
      <c r="M1582" s="142" t="n"/>
      <c r="N1582" s="146">
        <f>IF(AND(AND(F1582="",G1582=""),B1582="",C1582="",D1582="",J1582="",K1582="",L1582=""),"",IF(AND(F1582="",G1582=""),"✗ 没填金额",IF(AND(N(F1582)&lt;&gt;0,N(G1582)&lt;&gt;0),"✗ 收入、支出只能填一边",IF(NOT(ISNUMBER(B1582)),"✗ 日期不是真日期（要像 2026/9/25 这样填）",IF(OR(B1582&lt;年初日,B1582&gt;年末日),"✗ 日期不在本会计年度",IF(C1582="","✗ 没选账户",IF(COUNTIF(基础资料!$W$5:$W$24,C1582)=0,"✗ 账户不在基础资料里",IF(O1582="","✗ 没选收支项目",IF(P1582="未知","✗ 收支项目不在基础资料里",IF(AND(P1582="应收",J1582=""),"✗ 这笔要选客户",IF(AND(P1582="应收",COUNTIF(总览汇总!$B$5:$B$304,J1582)=0),"✗ 客户不在总览汇总名单里",IF(AND(P1582="应付",K1582=""),"✗ 这笔要选供应商",IF(AND(P1582="应付",COUNTIF(基础资料!$Q$5:$Q$54,K1582)=0),"✗ 供应商不在基础资料里",IF(AND(P1582="费用",L1582=""),"✗ 费用支出要选费用项目",IF(AND(L1582&lt;&gt;"",COUNTIF(基础资料!$AI$5:$AI$54,L1582)=0),"✗ 费用项目不在基础资料里",IF(AND(IFERROR(INDEX(基础资料!$AD$5:$AD$34,MATCH(O1582,基础资料!$AC$5:$AC$34,0)),"")="收",N(G1582)&lt;&gt;0),"✗ 这类是收款，金额填到收入列",IF(AND(IFERROR(INDEX(基础资料!$AD$5:$AD$34,MATCH(O1582,基础资料!$AC$5:$AC$34,0)),"")="支",N(F1582)&lt;&gt;0),"✗ 这类是付款，金额填到支出列",IF(N(H1582)&lt;0,"⚠ 账户余额成负数了，核对一下","√"))))))))))))))))))</f>
      </c>
      <c r="O1582" s="78">
        <f>IF(D1582&lt;&gt;"",D1582,IF(AND(F1582="",G1582=""),"",IF(J1582&lt;&gt;"",IF(N(F1582)&gt;0,"客户回款","客户退款"),IF(K1582&lt;&gt;"",IF(N(G1582)&gt;0,"供应商付款","供应商退款"),IF(L1582&lt;&gt;"","费用支出","")))))</f>
      </c>
      <c r="P1582" s="78">
        <f>IF(O1582="","",IFERROR(INDEX(基础资料!$AE$5:$AE$34,MATCH(O1582,基础资料!$AC$5:$AC$34,0)),"未知"))</f>
      </c>
      <c r="Q1582" s="78">
        <f>IF(P1582="应收",COUNTIF(P$7:P1582,"应收"),"")</f>
      </c>
      <c r="R1582" s="78">
        <f>IF(P1582="应付",COUNTIF(P$7:P1582,"应付"),"")</f>
      </c>
      <c r="S1582" s="78">
        <f>N(F1582)-N(G1582)</f>
        <v>0</v>
      </c>
    </row>
    <row r="1583">
      <c r="A1583" s="109">
        <f>IF(AND(F1583="",G1583=""),"",ROW()-6)</f>
      </c>
      <c r="B1583" s="140" t="n"/>
      <c r="C1583" s="141" t="n"/>
      <c r="D1583" s="141" t="n"/>
      <c r="E1583" s="142" t="n"/>
      <c r="F1583" s="143" t="n"/>
      <c r="G1583" s="144" t="n"/>
      <c r="H1583" s="145">
        <f>IF(OR(C1583="",AND(F1583="",G1583="")),"",SUMIF(基础资料!$W$5:$W$24,C1583,基础资料!$X$5:$X$24)+SUMIF(C$7:C1583,C1583,F$7:F1583)-SUMIF(C$7:C1583,C1583,G$7:G1583))</f>
      </c>
      <c r="I1583" s="145">
        <f>IF(AND(F1583="",G1583=""),"",SUM(基础资料!$X$5:$X$24)+SUM(F$7:F1583)-SUM(G$7:G1583))</f>
      </c>
      <c r="J1583" s="141" t="n"/>
      <c r="K1583" s="141" t="n"/>
      <c r="L1583" s="141" t="n"/>
      <c r="M1583" s="142" t="n"/>
      <c r="N1583" s="146">
        <f>IF(AND(AND(F1583="",G1583=""),B1583="",C1583="",D1583="",J1583="",K1583="",L1583=""),"",IF(AND(F1583="",G1583=""),"✗ 没填金额",IF(AND(N(F1583)&lt;&gt;0,N(G1583)&lt;&gt;0),"✗ 收入、支出只能填一边",IF(NOT(ISNUMBER(B1583)),"✗ 日期不是真日期（要像 2026/9/25 这样填）",IF(OR(B1583&lt;年初日,B1583&gt;年末日),"✗ 日期不在本会计年度",IF(C1583="","✗ 没选账户",IF(COUNTIF(基础资料!$W$5:$W$24,C1583)=0,"✗ 账户不在基础资料里",IF(O1583="","✗ 没选收支项目",IF(P1583="未知","✗ 收支项目不在基础资料里",IF(AND(P1583="应收",J1583=""),"✗ 这笔要选客户",IF(AND(P1583="应收",COUNTIF(总览汇总!$B$5:$B$304,J1583)=0),"✗ 客户不在总览汇总名单里",IF(AND(P1583="应付",K1583=""),"✗ 这笔要选供应商",IF(AND(P1583="应付",COUNTIF(基础资料!$Q$5:$Q$54,K1583)=0),"✗ 供应商不在基础资料里",IF(AND(P1583="费用",L1583=""),"✗ 费用支出要选费用项目",IF(AND(L1583&lt;&gt;"",COUNTIF(基础资料!$AI$5:$AI$54,L1583)=0),"✗ 费用项目不在基础资料里",IF(AND(IFERROR(INDEX(基础资料!$AD$5:$AD$34,MATCH(O1583,基础资料!$AC$5:$AC$34,0)),"")="收",N(G1583)&lt;&gt;0),"✗ 这类是收款，金额填到收入列",IF(AND(IFERROR(INDEX(基础资料!$AD$5:$AD$34,MATCH(O1583,基础资料!$AC$5:$AC$34,0)),"")="支",N(F1583)&lt;&gt;0),"✗ 这类是付款，金额填到支出列",IF(N(H1583)&lt;0,"⚠ 账户余额成负数了，核对一下","√"))))))))))))))))))</f>
      </c>
      <c r="O1583" s="78">
        <f>IF(D1583&lt;&gt;"",D1583,IF(AND(F1583="",G1583=""),"",IF(J1583&lt;&gt;"",IF(N(F1583)&gt;0,"客户回款","客户退款"),IF(K1583&lt;&gt;"",IF(N(G1583)&gt;0,"供应商付款","供应商退款"),IF(L1583&lt;&gt;"","费用支出","")))))</f>
      </c>
      <c r="P1583" s="78">
        <f>IF(O1583="","",IFERROR(INDEX(基础资料!$AE$5:$AE$34,MATCH(O1583,基础资料!$AC$5:$AC$34,0)),"未知"))</f>
      </c>
      <c r="Q1583" s="78">
        <f>IF(P1583="应收",COUNTIF(P$7:P1583,"应收"),"")</f>
      </c>
      <c r="R1583" s="78">
        <f>IF(P1583="应付",COUNTIF(P$7:P1583,"应付"),"")</f>
      </c>
      <c r="S1583" s="78">
        <f>N(F1583)-N(G1583)</f>
        <v>0</v>
      </c>
    </row>
    <row r="1584">
      <c r="A1584" s="109">
        <f>IF(AND(F1584="",G1584=""),"",ROW()-6)</f>
      </c>
      <c r="B1584" s="140" t="n"/>
      <c r="C1584" s="141" t="n"/>
      <c r="D1584" s="141" t="n"/>
      <c r="E1584" s="142" t="n"/>
      <c r="F1584" s="143" t="n"/>
      <c r="G1584" s="144" t="n"/>
      <c r="H1584" s="145">
        <f>IF(OR(C1584="",AND(F1584="",G1584="")),"",SUMIF(基础资料!$W$5:$W$24,C1584,基础资料!$X$5:$X$24)+SUMIF(C$7:C1584,C1584,F$7:F1584)-SUMIF(C$7:C1584,C1584,G$7:G1584))</f>
      </c>
      <c r="I1584" s="145">
        <f>IF(AND(F1584="",G1584=""),"",SUM(基础资料!$X$5:$X$24)+SUM(F$7:F1584)-SUM(G$7:G1584))</f>
      </c>
      <c r="J1584" s="141" t="n"/>
      <c r="K1584" s="141" t="n"/>
      <c r="L1584" s="141" t="n"/>
      <c r="M1584" s="142" t="n"/>
      <c r="N1584" s="146">
        <f>IF(AND(AND(F1584="",G1584=""),B1584="",C1584="",D1584="",J1584="",K1584="",L1584=""),"",IF(AND(F1584="",G1584=""),"✗ 没填金额",IF(AND(N(F1584)&lt;&gt;0,N(G1584)&lt;&gt;0),"✗ 收入、支出只能填一边",IF(NOT(ISNUMBER(B1584)),"✗ 日期不是真日期（要像 2026/9/25 这样填）",IF(OR(B1584&lt;年初日,B1584&gt;年末日),"✗ 日期不在本会计年度",IF(C1584="","✗ 没选账户",IF(COUNTIF(基础资料!$W$5:$W$24,C1584)=0,"✗ 账户不在基础资料里",IF(O1584="","✗ 没选收支项目",IF(P1584="未知","✗ 收支项目不在基础资料里",IF(AND(P1584="应收",J1584=""),"✗ 这笔要选客户",IF(AND(P1584="应收",COUNTIF(总览汇总!$B$5:$B$304,J1584)=0),"✗ 客户不在总览汇总名单里",IF(AND(P1584="应付",K1584=""),"✗ 这笔要选供应商",IF(AND(P1584="应付",COUNTIF(基础资料!$Q$5:$Q$54,K1584)=0),"✗ 供应商不在基础资料里",IF(AND(P1584="费用",L1584=""),"✗ 费用支出要选费用项目",IF(AND(L1584&lt;&gt;"",COUNTIF(基础资料!$AI$5:$AI$54,L1584)=0),"✗ 费用项目不在基础资料里",IF(AND(IFERROR(INDEX(基础资料!$AD$5:$AD$34,MATCH(O1584,基础资料!$AC$5:$AC$34,0)),"")="收",N(G1584)&lt;&gt;0),"✗ 这类是收款，金额填到收入列",IF(AND(IFERROR(INDEX(基础资料!$AD$5:$AD$34,MATCH(O1584,基础资料!$AC$5:$AC$34,0)),"")="支",N(F1584)&lt;&gt;0),"✗ 这类是付款，金额填到支出列",IF(N(H1584)&lt;0,"⚠ 账户余额成负数了，核对一下","√"))))))))))))))))))</f>
      </c>
      <c r="O1584" s="78">
        <f>IF(D1584&lt;&gt;"",D1584,IF(AND(F1584="",G1584=""),"",IF(J1584&lt;&gt;"",IF(N(F1584)&gt;0,"客户回款","客户退款"),IF(K1584&lt;&gt;"",IF(N(G1584)&gt;0,"供应商付款","供应商退款"),IF(L1584&lt;&gt;"","费用支出","")))))</f>
      </c>
      <c r="P1584" s="78">
        <f>IF(O1584="","",IFERROR(INDEX(基础资料!$AE$5:$AE$34,MATCH(O1584,基础资料!$AC$5:$AC$34,0)),"未知"))</f>
      </c>
      <c r="Q1584" s="78">
        <f>IF(P1584="应收",COUNTIF(P$7:P1584,"应收"),"")</f>
      </c>
      <c r="R1584" s="78">
        <f>IF(P1584="应付",COUNTIF(P$7:P1584,"应付"),"")</f>
      </c>
      <c r="S1584" s="78">
        <f>N(F1584)-N(G1584)</f>
        <v>0</v>
      </c>
    </row>
    <row r="1585">
      <c r="A1585" s="109">
        <f>IF(AND(F1585="",G1585=""),"",ROW()-6)</f>
      </c>
      <c r="B1585" s="140" t="n"/>
      <c r="C1585" s="141" t="n"/>
      <c r="D1585" s="141" t="n"/>
      <c r="E1585" s="142" t="n"/>
      <c r="F1585" s="143" t="n"/>
      <c r="G1585" s="144" t="n"/>
      <c r="H1585" s="145">
        <f>IF(OR(C1585="",AND(F1585="",G1585="")),"",SUMIF(基础资料!$W$5:$W$24,C1585,基础资料!$X$5:$X$24)+SUMIF(C$7:C1585,C1585,F$7:F1585)-SUMIF(C$7:C1585,C1585,G$7:G1585))</f>
      </c>
      <c r="I1585" s="145">
        <f>IF(AND(F1585="",G1585=""),"",SUM(基础资料!$X$5:$X$24)+SUM(F$7:F1585)-SUM(G$7:G1585))</f>
      </c>
      <c r="J1585" s="141" t="n"/>
      <c r="K1585" s="141" t="n"/>
      <c r="L1585" s="141" t="n"/>
      <c r="M1585" s="142" t="n"/>
      <c r="N1585" s="146">
        <f>IF(AND(AND(F1585="",G1585=""),B1585="",C1585="",D1585="",J1585="",K1585="",L1585=""),"",IF(AND(F1585="",G1585=""),"✗ 没填金额",IF(AND(N(F1585)&lt;&gt;0,N(G1585)&lt;&gt;0),"✗ 收入、支出只能填一边",IF(NOT(ISNUMBER(B1585)),"✗ 日期不是真日期（要像 2026/9/25 这样填）",IF(OR(B1585&lt;年初日,B1585&gt;年末日),"✗ 日期不在本会计年度",IF(C1585="","✗ 没选账户",IF(COUNTIF(基础资料!$W$5:$W$24,C1585)=0,"✗ 账户不在基础资料里",IF(O1585="","✗ 没选收支项目",IF(P1585="未知","✗ 收支项目不在基础资料里",IF(AND(P1585="应收",J1585=""),"✗ 这笔要选客户",IF(AND(P1585="应收",COUNTIF(总览汇总!$B$5:$B$304,J1585)=0),"✗ 客户不在总览汇总名单里",IF(AND(P1585="应付",K1585=""),"✗ 这笔要选供应商",IF(AND(P1585="应付",COUNTIF(基础资料!$Q$5:$Q$54,K1585)=0),"✗ 供应商不在基础资料里",IF(AND(P1585="费用",L1585=""),"✗ 费用支出要选费用项目",IF(AND(L1585&lt;&gt;"",COUNTIF(基础资料!$AI$5:$AI$54,L1585)=0),"✗ 费用项目不在基础资料里",IF(AND(IFERROR(INDEX(基础资料!$AD$5:$AD$34,MATCH(O1585,基础资料!$AC$5:$AC$34,0)),"")="收",N(G1585)&lt;&gt;0),"✗ 这类是收款，金额填到收入列",IF(AND(IFERROR(INDEX(基础资料!$AD$5:$AD$34,MATCH(O1585,基础资料!$AC$5:$AC$34,0)),"")="支",N(F1585)&lt;&gt;0),"✗ 这类是付款，金额填到支出列",IF(N(H1585)&lt;0,"⚠ 账户余额成负数了，核对一下","√"))))))))))))))))))</f>
      </c>
      <c r="O1585" s="78">
        <f>IF(D1585&lt;&gt;"",D1585,IF(AND(F1585="",G1585=""),"",IF(J1585&lt;&gt;"",IF(N(F1585)&gt;0,"客户回款","客户退款"),IF(K1585&lt;&gt;"",IF(N(G1585)&gt;0,"供应商付款","供应商退款"),IF(L1585&lt;&gt;"","费用支出","")))))</f>
      </c>
      <c r="P1585" s="78">
        <f>IF(O1585="","",IFERROR(INDEX(基础资料!$AE$5:$AE$34,MATCH(O1585,基础资料!$AC$5:$AC$34,0)),"未知"))</f>
      </c>
      <c r="Q1585" s="78">
        <f>IF(P1585="应收",COUNTIF(P$7:P1585,"应收"),"")</f>
      </c>
      <c r="R1585" s="78">
        <f>IF(P1585="应付",COUNTIF(P$7:P1585,"应付"),"")</f>
      </c>
      <c r="S1585" s="78">
        <f>N(F1585)-N(G1585)</f>
        <v>0</v>
      </c>
    </row>
    <row r="1586">
      <c r="A1586" s="109">
        <f>IF(AND(F1586="",G1586=""),"",ROW()-6)</f>
      </c>
      <c r="B1586" s="140" t="n"/>
      <c r="C1586" s="141" t="n"/>
      <c r="D1586" s="141" t="n"/>
      <c r="E1586" s="142" t="n"/>
      <c r="F1586" s="143" t="n"/>
      <c r="G1586" s="144" t="n"/>
      <c r="H1586" s="145">
        <f>IF(OR(C1586="",AND(F1586="",G1586="")),"",SUMIF(基础资料!$W$5:$W$24,C1586,基础资料!$X$5:$X$24)+SUMIF(C$7:C1586,C1586,F$7:F1586)-SUMIF(C$7:C1586,C1586,G$7:G1586))</f>
      </c>
      <c r="I1586" s="145">
        <f>IF(AND(F1586="",G1586=""),"",SUM(基础资料!$X$5:$X$24)+SUM(F$7:F1586)-SUM(G$7:G1586))</f>
      </c>
      <c r="J1586" s="141" t="n"/>
      <c r="K1586" s="141" t="n"/>
      <c r="L1586" s="141" t="n"/>
      <c r="M1586" s="142" t="n"/>
      <c r="N1586" s="146">
        <f>IF(AND(AND(F1586="",G1586=""),B1586="",C1586="",D1586="",J1586="",K1586="",L1586=""),"",IF(AND(F1586="",G1586=""),"✗ 没填金额",IF(AND(N(F1586)&lt;&gt;0,N(G1586)&lt;&gt;0),"✗ 收入、支出只能填一边",IF(NOT(ISNUMBER(B1586)),"✗ 日期不是真日期（要像 2026/9/25 这样填）",IF(OR(B1586&lt;年初日,B1586&gt;年末日),"✗ 日期不在本会计年度",IF(C1586="","✗ 没选账户",IF(COUNTIF(基础资料!$W$5:$W$24,C1586)=0,"✗ 账户不在基础资料里",IF(O1586="","✗ 没选收支项目",IF(P1586="未知","✗ 收支项目不在基础资料里",IF(AND(P1586="应收",J1586=""),"✗ 这笔要选客户",IF(AND(P1586="应收",COUNTIF(总览汇总!$B$5:$B$304,J1586)=0),"✗ 客户不在总览汇总名单里",IF(AND(P1586="应付",K1586=""),"✗ 这笔要选供应商",IF(AND(P1586="应付",COUNTIF(基础资料!$Q$5:$Q$54,K1586)=0),"✗ 供应商不在基础资料里",IF(AND(P1586="费用",L1586=""),"✗ 费用支出要选费用项目",IF(AND(L1586&lt;&gt;"",COUNTIF(基础资料!$AI$5:$AI$54,L1586)=0),"✗ 费用项目不在基础资料里",IF(AND(IFERROR(INDEX(基础资料!$AD$5:$AD$34,MATCH(O1586,基础资料!$AC$5:$AC$34,0)),"")="收",N(G1586)&lt;&gt;0),"✗ 这类是收款，金额填到收入列",IF(AND(IFERROR(INDEX(基础资料!$AD$5:$AD$34,MATCH(O1586,基础资料!$AC$5:$AC$34,0)),"")="支",N(F1586)&lt;&gt;0),"✗ 这类是付款，金额填到支出列",IF(N(H1586)&lt;0,"⚠ 账户余额成负数了，核对一下","√"))))))))))))))))))</f>
      </c>
      <c r="O1586" s="78">
        <f>IF(D1586&lt;&gt;"",D1586,IF(AND(F1586="",G1586=""),"",IF(J1586&lt;&gt;"",IF(N(F1586)&gt;0,"客户回款","客户退款"),IF(K1586&lt;&gt;"",IF(N(G1586)&gt;0,"供应商付款","供应商退款"),IF(L1586&lt;&gt;"","费用支出","")))))</f>
      </c>
      <c r="P1586" s="78">
        <f>IF(O1586="","",IFERROR(INDEX(基础资料!$AE$5:$AE$34,MATCH(O1586,基础资料!$AC$5:$AC$34,0)),"未知"))</f>
      </c>
      <c r="Q1586" s="78">
        <f>IF(P1586="应收",COUNTIF(P$7:P1586,"应收"),"")</f>
      </c>
      <c r="R1586" s="78">
        <f>IF(P1586="应付",COUNTIF(P$7:P1586,"应付"),"")</f>
      </c>
      <c r="S1586" s="78">
        <f>N(F1586)-N(G1586)</f>
        <v>0</v>
      </c>
    </row>
    <row r="1587">
      <c r="A1587" s="109">
        <f>IF(AND(F1587="",G1587=""),"",ROW()-6)</f>
      </c>
      <c r="B1587" s="140" t="n"/>
      <c r="C1587" s="141" t="n"/>
      <c r="D1587" s="141" t="n"/>
      <c r="E1587" s="142" t="n"/>
      <c r="F1587" s="143" t="n"/>
      <c r="G1587" s="144" t="n"/>
      <c r="H1587" s="145">
        <f>IF(OR(C1587="",AND(F1587="",G1587="")),"",SUMIF(基础资料!$W$5:$W$24,C1587,基础资料!$X$5:$X$24)+SUMIF(C$7:C1587,C1587,F$7:F1587)-SUMIF(C$7:C1587,C1587,G$7:G1587))</f>
      </c>
      <c r="I1587" s="145">
        <f>IF(AND(F1587="",G1587=""),"",SUM(基础资料!$X$5:$X$24)+SUM(F$7:F1587)-SUM(G$7:G1587))</f>
      </c>
      <c r="J1587" s="141" t="n"/>
      <c r="K1587" s="141" t="n"/>
      <c r="L1587" s="141" t="n"/>
      <c r="M1587" s="142" t="n"/>
      <c r="N1587" s="146">
        <f>IF(AND(AND(F1587="",G1587=""),B1587="",C1587="",D1587="",J1587="",K1587="",L1587=""),"",IF(AND(F1587="",G1587=""),"✗ 没填金额",IF(AND(N(F1587)&lt;&gt;0,N(G1587)&lt;&gt;0),"✗ 收入、支出只能填一边",IF(NOT(ISNUMBER(B1587)),"✗ 日期不是真日期（要像 2026/9/25 这样填）",IF(OR(B1587&lt;年初日,B1587&gt;年末日),"✗ 日期不在本会计年度",IF(C1587="","✗ 没选账户",IF(COUNTIF(基础资料!$W$5:$W$24,C1587)=0,"✗ 账户不在基础资料里",IF(O1587="","✗ 没选收支项目",IF(P1587="未知","✗ 收支项目不在基础资料里",IF(AND(P1587="应收",J1587=""),"✗ 这笔要选客户",IF(AND(P1587="应收",COUNTIF(总览汇总!$B$5:$B$304,J1587)=0),"✗ 客户不在总览汇总名单里",IF(AND(P1587="应付",K1587=""),"✗ 这笔要选供应商",IF(AND(P1587="应付",COUNTIF(基础资料!$Q$5:$Q$54,K1587)=0),"✗ 供应商不在基础资料里",IF(AND(P1587="费用",L1587=""),"✗ 费用支出要选费用项目",IF(AND(L1587&lt;&gt;"",COUNTIF(基础资料!$AI$5:$AI$54,L1587)=0),"✗ 费用项目不在基础资料里",IF(AND(IFERROR(INDEX(基础资料!$AD$5:$AD$34,MATCH(O1587,基础资料!$AC$5:$AC$34,0)),"")="收",N(G1587)&lt;&gt;0),"✗ 这类是收款，金额填到收入列",IF(AND(IFERROR(INDEX(基础资料!$AD$5:$AD$34,MATCH(O1587,基础资料!$AC$5:$AC$34,0)),"")="支",N(F1587)&lt;&gt;0),"✗ 这类是付款，金额填到支出列",IF(N(H1587)&lt;0,"⚠ 账户余额成负数了，核对一下","√"))))))))))))))))))</f>
      </c>
      <c r="O1587" s="78">
        <f>IF(D1587&lt;&gt;"",D1587,IF(AND(F1587="",G1587=""),"",IF(J1587&lt;&gt;"",IF(N(F1587)&gt;0,"客户回款","客户退款"),IF(K1587&lt;&gt;"",IF(N(G1587)&gt;0,"供应商付款","供应商退款"),IF(L1587&lt;&gt;"","费用支出","")))))</f>
      </c>
      <c r="P1587" s="78">
        <f>IF(O1587="","",IFERROR(INDEX(基础资料!$AE$5:$AE$34,MATCH(O1587,基础资料!$AC$5:$AC$34,0)),"未知"))</f>
      </c>
      <c r="Q1587" s="78">
        <f>IF(P1587="应收",COUNTIF(P$7:P1587,"应收"),"")</f>
      </c>
      <c r="R1587" s="78">
        <f>IF(P1587="应付",COUNTIF(P$7:P1587,"应付"),"")</f>
      </c>
      <c r="S1587" s="78">
        <f>N(F1587)-N(G1587)</f>
        <v>0</v>
      </c>
    </row>
    <row r="1588">
      <c r="A1588" s="109">
        <f>IF(AND(F1588="",G1588=""),"",ROW()-6)</f>
      </c>
      <c r="B1588" s="140" t="n"/>
      <c r="C1588" s="141" t="n"/>
      <c r="D1588" s="141" t="n"/>
      <c r="E1588" s="142" t="n"/>
      <c r="F1588" s="143" t="n"/>
      <c r="G1588" s="144" t="n"/>
      <c r="H1588" s="145">
        <f>IF(OR(C1588="",AND(F1588="",G1588="")),"",SUMIF(基础资料!$W$5:$W$24,C1588,基础资料!$X$5:$X$24)+SUMIF(C$7:C1588,C1588,F$7:F1588)-SUMIF(C$7:C1588,C1588,G$7:G1588))</f>
      </c>
      <c r="I1588" s="145">
        <f>IF(AND(F1588="",G1588=""),"",SUM(基础资料!$X$5:$X$24)+SUM(F$7:F1588)-SUM(G$7:G1588))</f>
      </c>
      <c r="J1588" s="141" t="n"/>
      <c r="K1588" s="141" t="n"/>
      <c r="L1588" s="141" t="n"/>
      <c r="M1588" s="142" t="n"/>
      <c r="N1588" s="146">
        <f>IF(AND(AND(F1588="",G1588=""),B1588="",C1588="",D1588="",J1588="",K1588="",L1588=""),"",IF(AND(F1588="",G1588=""),"✗ 没填金额",IF(AND(N(F1588)&lt;&gt;0,N(G1588)&lt;&gt;0),"✗ 收入、支出只能填一边",IF(NOT(ISNUMBER(B1588)),"✗ 日期不是真日期（要像 2026/9/25 这样填）",IF(OR(B1588&lt;年初日,B1588&gt;年末日),"✗ 日期不在本会计年度",IF(C1588="","✗ 没选账户",IF(COUNTIF(基础资料!$W$5:$W$24,C1588)=0,"✗ 账户不在基础资料里",IF(O1588="","✗ 没选收支项目",IF(P1588="未知","✗ 收支项目不在基础资料里",IF(AND(P1588="应收",J1588=""),"✗ 这笔要选客户",IF(AND(P1588="应收",COUNTIF(总览汇总!$B$5:$B$304,J1588)=0),"✗ 客户不在总览汇总名单里",IF(AND(P1588="应付",K1588=""),"✗ 这笔要选供应商",IF(AND(P1588="应付",COUNTIF(基础资料!$Q$5:$Q$54,K1588)=0),"✗ 供应商不在基础资料里",IF(AND(P1588="费用",L1588=""),"✗ 费用支出要选费用项目",IF(AND(L1588&lt;&gt;"",COUNTIF(基础资料!$AI$5:$AI$54,L1588)=0),"✗ 费用项目不在基础资料里",IF(AND(IFERROR(INDEX(基础资料!$AD$5:$AD$34,MATCH(O1588,基础资料!$AC$5:$AC$34,0)),"")="收",N(G1588)&lt;&gt;0),"✗ 这类是收款，金额填到收入列",IF(AND(IFERROR(INDEX(基础资料!$AD$5:$AD$34,MATCH(O1588,基础资料!$AC$5:$AC$34,0)),"")="支",N(F1588)&lt;&gt;0),"✗ 这类是付款，金额填到支出列",IF(N(H1588)&lt;0,"⚠ 账户余额成负数了，核对一下","√"))))))))))))))))))</f>
      </c>
      <c r="O1588" s="78">
        <f>IF(D1588&lt;&gt;"",D1588,IF(AND(F1588="",G1588=""),"",IF(J1588&lt;&gt;"",IF(N(F1588)&gt;0,"客户回款","客户退款"),IF(K1588&lt;&gt;"",IF(N(G1588)&gt;0,"供应商付款","供应商退款"),IF(L1588&lt;&gt;"","费用支出","")))))</f>
      </c>
      <c r="P1588" s="78">
        <f>IF(O1588="","",IFERROR(INDEX(基础资料!$AE$5:$AE$34,MATCH(O1588,基础资料!$AC$5:$AC$34,0)),"未知"))</f>
      </c>
      <c r="Q1588" s="78">
        <f>IF(P1588="应收",COUNTIF(P$7:P1588,"应收"),"")</f>
      </c>
      <c r="R1588" s="78">
        <f>IF(P1588="应付",COUNTIF(P$7:P1588,"应付"),"")</f>
      </c>
      <c r="S1588" s="78">
        <f>N(F1588)-N(G1588)</f>
        <v>0</v>
      </c>
    </row>
    <row r="1589">
      <c r="A1589" s="109">
        <f>IF(AND(F1589="",G1589=""),"",ROW()-6)</f>
      </c>
      <c r="B1589" s="140" t="n"/>
      <c r="C1589" s="141" t="n"/>
      <c r="D1589" s="141" t="n"/>
      <c r="E1589" s="142" t="n"/>
      <c r="F1589" s="143" t="n"/>
      <c r="G1589" s="144" t="n"/>
      <c r="H1589" s="145">
        <f>IF(OR(C1589="",AND(F1589="",G1589="")),"",SUMIF(基础资料!$W$5:$W$24,C1589,基础资料!$X$5:$X$24)+SUMIF(C$7:C1589,C1589,F$7:F1589)-SUMIF(C$7:C1589,C1589,G$7:G1589))</f>
      </c>
      <c r="I1589" s="145">
        <f>IF(AND(F1589="",G1589=""),"",SUM(基础资料!$X$5:$X$24)+SUM(F$7:F1589)-SUM(G$7:G1589))</f>
      </c>
      <c r="J1589" s="141" t="n"/>
      <c r="K1589" s="141" t="n"/>
      <c r="L1589" s="141" t="n"/>
      <c r="M1589" s="142" t="n"/>
      <c r="N1589" s="146">
        <f>IF(AND(AND(F1589="",G1589=""),B1589="",C1589="",D1589="",J1589="",K1589="",L1589=""),"",IF(AND(F1589="",G1589=""),"✗ 没填金额",IF(AND(N(F1589)&lt;&gt;0,N(G1589)&lt;&gt;0),"✗ 收入、支出只能填一边",IF(NOT(ISNUMBER(B1589)),"✗ 日期不是真日期（要像 2026/9/25 这样填）",IF(OR(B1589&lt;年初日,B1589&gt;年末日),"✗ 日期不在本会计年度",IF(C1589="","✗ 没选账户",IF(COUNTIF(基础资料!$W$5:$W$24,C1589)=0,"✗ 账户不在基础资料里",IF(O1589="","✗ 没选收支项目",IF(P1589="未知","✗ 收支项目不在基础资料里",IF(AND(P1589="应收",J1589=""),"✗ 这笔要选客户",IF(AND(P1589="应收",COUNTIF(总览汇总!$B$5:$B$304,J1589)=0),"✗ 客户不在总览汇总名单里",IF(AND(P1589="应付",K1589=""),"✗ 这笔要选供应商",IF(AND(P1589="应付",COUNTIF(基础资料!$Q$5:$Q$54,K1589)=0),"✗ 供应商不在基础资料里",IF(AND(P1589="费用",L1589=""),"✗ 费用支出要选费用项目",IF(AND(L1589&lt;&gt;"",COUNTIF(基础资料!$AI$5:$AI$54,L1589)=0),"✗ 费用项目不在基础资料里",IF(AND(IFERROR(INDEX(基础资料!$AD$5:$AD$34,MATCH(O1589,基础资料!$AC$5:$AC$34,0)),"")="收",N(G1589)&lt;&gt;0),"✗ 这类是收款，金额填到收入列",IF(AND(IFERROR(INDEX(基础资料!$AD$5:$AD$34,MATCH(O1589,基础资料!$AC$5:$AC$34,0)),"")="支",N(F1589)&lt;&gt;0),"✗ 这类是付款，金额填到支出列",IF(N(H1589)&lt;0,"⚠ 账户余额成负数了，核对一下","√"))))))))))))))))))</f>
      </c>
      <c r="O1589" s="78">
        <f>IF(D1589&lt;&gt;"",D1589,IF(AND(F1589="",G1589=""),"",IF(J1589&lt;&gt;"",IF(N(F1589)&gt;0,"客户回款","客户退款"),IF(K1589&lt;&gt;"",IF(N(G1589)&gt;0,"供应商付款","供应商退款"),IF(L1589&lt;&gt;"","费用支出","")))))</f>
      </c>
      <c r="P1589" s="78">
        <f>IF(O1589="","",IFERROR(INDEX(基础资料!$AE$5:$AE$34,MATCH(O1589,基础资料!$AC$5:$AC$34,0)),"未知"))</f>
      </c>
      <c r="Q1589" s="78">
        <f>IF(P1589="应收",COUNTIF(P$7:P1589,"应收"),"")</f>
      </c>
      <c r="R1589" s="78">
        <f>IF(P1589="应付",COUNTIF(P$7:P1589,"应付"),"")</f>
      </c>
      <c r="S1589" s="78">
        <f>N(F1589)-N(G1589)</f>
        <v>0</v>
      </c>
    </row>
    <row r="1590">
      <c r="A1590" s="109">
        <f>IF(AND(F1590="",G1590=""),"",ROW()-6)</f>
      </c>
      <c r="B1590" s="140" t="n"/>
      <c r="C1590" s="141" t="n"/>
      <c r="D1590" s="141" t="n"/>
      <c r="E1590" s="142" t="n"/>
      <c r="F1590" s="143" t="n"/>
      <c r="G1590" s="144" t="n"/>
      <c r="H1590" s="145">
        <f>IF(OR(C1590="",AND(F1590="",G1590="")),"",SUMIF(基础资料!$W$5:$W$24,C1590,基础资料!$X$5:$X$24)+SUMIF(C$7:C1590,C1590,F$7:F1590)-SUMIF(C$7:C1590,C1590,G$7:G1590))</f>
      </c>
      <c r="I1590" s="145">
        <f>IF(AND(F1590="",G1590=""),"",SUM(基础资料!$X$5:$X$24)+SUM(F$7:F1590)-SUM(G$7:G1590))</f>
      </c>
      <c r="J1590" s="141" t="n"/>
      <c r="K1590" s="141" t="n"/>
      <c r="L1590" s="141" t="n"/>
      <c r="M1590" s="142" t="n"/>
      <c r="N1590" s="146">
        <f>IF(AND(AND(F1590="",G1590=""),B1590="",C1590="",D1590="",J1590="",K1590="",L1590=""),"",IF(AND(F1590="",G1590=""),"✗ 没填金额",IF(AND(N(F1590)&lt;&gt;0,N(G1590)&lt;&gt;0),"✗ 收入、支出只能填一边",IF(NOT(ISNUMBER(B1590)),"✗ 日期不是真日期（要像 2026/9/25 这样填）",IF(OR(B1590&lt;年初日,B1590&gt;年末日),"✗ 日期不在本会计年度",IF(C1590="","✗ 没选账户",IF(COUNTIF(基础资料!$W$5:$W$24,C1590)=0,"✗ 账户不在基础资料里",IF(O1590="","✗ 没选收支项目",IF(P1590="未知","✗ 收支项目不在基础资料里",IF(AND(P1590="应收",J1590=""),"✗ 这笔要选客户",IF(AND(P1590="应收",COUNTIF(总览汇总!$B$5:$B$304,J1590)=0),"✗ 客户不在总览汇总名单里",IF(AND(P1590="应付",K1590=""),"✗ 这笔要选供应商",IF(AND(P1590="应付",COUNTIF(基础资料!$Q$5:$Q$54,K1590)=0),"✗ 供应商不在基础资料里",IF(AND(P1590="费用",L1590=""),"✗ 费用支出要选费用项目",IF(AND(L1590&lt;&gt;"",COUNTIF(基础资料!$AI$5:$AI$54,L1590)=0),"✗ 费用项目不在基础资料里",IF(AND(IFERROR(INDEX(基础资料!$AD$5:$AD$34,MATCH(O1590,基础资料!$AC$5:$AC$34,0)),"")="收",N(G1590)&lt;&gt;0),"✗ 这类是收款，金额填到收入列",IF(AND(IFERROR(INDEX(基础资料!$AD$5:$AD$34,MATCH(O1590,基础资料!$AC$5:$AC$34,0)),"")="支",N(F1590)&lt;&gt;0),"✗ 这类是付款，金额填到支出列",IF(N(H1590)&lt;0,"⚠ 账户余额成负数了，核对一下","√"))))))))))))))))))</f>
      </c>
      <c r="O1590" s="78">
        <f>IF(D1590&lt;&gt;"",D1590,IF(AND(F1590="",G1590=""),"",IF(J1590&lt;&gt;"",IF(N(F1590)&gt;0,"客户回款","客户退款"),IF(K1590&lt;&gt;"",IF(N(G1590)&gt;0,"供应商付款","供应商退款"),IF(L1590&lt;&gt;"","费用支出","")))))</f>
      </c>
      <c r="P1590" s="78">
        <f>IF(O1590="","",IFERROR(INDEX(基础资料!$AE$5:$AE$34,MATCH(O1590,基础资料!$AC$5:$AC$34,0)),"未知"))</f>
      </c>
      <c r="Q1590" s="78">
        <f>IF(P1590="应收",COUNTIF(P$7:P1590,"应收"),"")</f>
      </c>
      <c r="R1590" s="78">
        <f>IF(P1590="应付",COUNTIF(P$7:P1590,"应付"),"")</f>
      </c>
      <c r="S1590" s="78">
        <f>N(F1590)-N(G1590)</f>
        <v>0</v>
      </c>
    </row>
    <row r="1591">
      <c r="A1591" s="109">
        <f>IF(AND(F1591="",G1591=""),"",ROW()-6)</f>
      </c>
      <c r="B1591" s="140" t="n"/>
      <c r="C1591" s="141" t="n"/>
      <c r="D1591" s="141" t="n"/>
      <c r="E1591" s="142" t="n"/>
      <c r="F1591" s="143" t="n"/>
      <c r="G1591" s="144" t="n"/>
      <c r="H1591" s="145">
        <f>IF(OR(C1591="",AND(F1591="",G1591="")),"",SUMIF(基础资料!$W$5:$W$24,C1591,基础资料!$X$5:$X$24)+SUMIF(C$7:C1591,C1591,F$7:F1591)-SUMIF(C$7:C1591,C1591,G$7:G1591))</f>
      </c>
      <c r="I1591" s="145">
        <f>IF(AND(F1591="",G1591=""),"",SUM(基础资料!$X$5:$X$24)+SUM(F$7:F1591)-SUM(G$7:G1591))</f>
      </c>
      <c r="J1591" s="141" t="n"/>
      <c r="K1591" s="141" t="n"/>
      <c r="L1591" s="141" t="n"/>
      <c r="M1591" s="142" t="n"/>
      <c r="N1591" s="146">
        <f>IF(AND(AND(F1591="",G1591=""),B1591="",C1591="",D1591="",J1591="",K1591="",L1591=""),"",IF(AND(F1591="",G1591=""),"✗ 没填金额",IF(AND(N(F1591)&lt;&gt;0,N(G1591)&lt;&gt;0),"✗ 收入、支出只能填一边",IF(NOT(ISNUMBER(B1591)),"✗ 日期不是真日期（要像 2026/9/25 这样填）",IF(OR(B1591&lt;年初日,B1591&gt;年末日),"✗ 日期不在本会计年度",IF(C1591="","✗ 没选账户",IF(COUNTIF(基础资料!$W$5:$W$24,C1591)=0,"✗ 账户不在基础资料里",IF(O1591="","✗ 没选收支项目",IF(P1591="未知","✗ 收支项目不在基础资料里",IF(AND(P1591="应收",J1591=""),"✗ 这笔要选客户",IF(AND(P1591="应收",COUNTIF(总览汇总!$B$5:$B$304,J1591)=0),"✗ 客户不在总览汇总名单里",IF(AND(P1591="应付",K1591=""),"✗ 这笔要选供应商",IF(AND(P1591="应付",COUNTIF(基础资料!$Q$5:$Q$54,K1591)=0),"✗ 供应商不在基础资料里",IF(AND(P1591="费用",L1591=""),"✗ 费用支出要选费用项目",IF(AND(L1591&lt;&gt;"",COUNTIF(基础资料!$AI$5:$AI$54,L1591)=0),"✗ 费用项目不在基础资料里",IF(AND(IFERROR(INDEX(基础资料!$AD$5:$AD$34,MATCH(O1591,基础资料!$AC$5:$AC$34,0)),"")="收",N(G1591)&lt;&gt;0),"✗ 这类是收款，金额填到收入列",IF(AND(IFERROR(INDEX(基础资料!$AD$5:$AD$34,MATCH(O1591,基础资料!$AC$5:$AC$34,0)),"")="支",N(F1591)&lt;&gt;0),"✗ 这类是付款，金额填到支出列",IF(N(H1591)&lt;0,"⚠ 账户余额成负数了，核对一下","√"))))))))))))))))))</f>
      </c>
      <c r="O1591" s="78">
        <f>IF(D1591&lt;&gt;"",D1591,IF(AND(F1591="",G1591=""),"",IF(J1591&lt;&gt;"",IF(N(F1591)&gt;0,"客户回款","客户退款"),IF(K1591&lt;&gt;"",IF(N(G1591)&gt;0,"供应商付款","供应商退款"),IF(L1591&lt;&gt;"","费用支出","")))))</f>
      </c>
      <c r="P1591" s="78">
        <f>IF(O1591="","",IFERROR(INDEX(基础资料!$AE$5:$AE$34,MATCH(O1591,基础资料!$AC$5:$AC$34,0)),"未知"))</f>
      </c>
      <c r="Q1591" s="78">
        <f>IF(P1591="应收",COUNTIF(P$7:P1591,"应收"),"")</f>
      </c>
      <c r="R1591" s="78">
        <f>IF(P1591="应付",COUNTIF(P$7:P1591,"应付"),"")</f>
      </c>
      <c r="S1591" s="78">
        <f>N(F1591)-N(G1591)</f>
        <v>0</v>
      </c>
    </row>
    <row r="1592">
      <c r="A1592" s="109">
        <f>IF(AND(F1592="",G1592=""),"",ROW()-6)</f>
      </c>
      <c r="B1592" s="140" t="n"/>
      <c r="C1592" s="141" t="n"/>
      <c r="D1592" s="141" t="n"/>
      <c r="E1592" s="142" t="n"/>
      <c r="F1592" s="143" t="n"/>
      <c r="G1592" s="144" t="n"/>
      <c r="H1592" s="145">
        <f>IF(OR(C1592="",AND(F1592="",G1592="")),"",SUMIF(基础资料!$W$5:$W$24,C1592,基础资料!$X$5:$X$24)+SUMIF(C$7:C1592,C1592,F$7:F1592)-SUMIF(C$7:C1592,C1592,G$7:G1592))</f>
      </c>
      <c r="I1592" s="145">
        <f>IF(AND(F1592="",G1592=""),"",SUM(基础资料!$X$5:$X$24)+SUM(F$7:F1592)-SUM(G$7:G1592))</f>
      </c>
      <c r="J1592" s="141" t="n"/>
      <c r="K1592" s="141" t="n"/>
      <c r="L1592" s="141" t="n"/>
      <c r="M1592" s="142" t="n"/>
      <c r="N1592" s="146">
        <f>IF(AND(AND(F1592="",G1592=""),B1592="",C1592="",D1592="",J1592="",K1592="",L1592=""),"",IF(AND(F1592="",G1592=""),"✗ 没填金额",IF(AND(N(F1592)&lt;&gt;0,N(G1592)&lt;&gt;0),"✗ 收入、支出只能填一边",IF(NOT(ISNUMBER(B1592)),"✗ 日期不是真日期（要像 2026/9/25 这样填）",IF(OR(B1592&lt;年初日,B1592&gt;年末日),"✗ 日期不在本会计年度",IF(C1592="","✗ 没选账户",IF(COUNTIF(基础资料!$W$5:$W$24,C1592)=0,"✗ 账户不在基础资料里",IF(O1592="","✗ 没选收支项目",IF(P1592="未知","✗ 收支项目不在基础资料里",IF(AND(P1592="应收",J1592=""),"✗ 这笔要选客户",IF(AND(P1592="应收",COUNTIF(总览汇总!$B$5:$B$304,J1592)=0),"✗ 客户不在总览汇总名单里",IF(AND(P1592="应付",K1592=""),"✗ 这笔要选供应商",IF(AND(P1592="应付",COUNTIF(基础资料!$Q$5:$Q$54,K1592)=0),"✗ 供应商不在基础资料里",IF(AND(P1592="费用",L1592=""),"✗ 费用支出要选费用项目",IF(AND(L1592&lt;&gt;"",COUNTIF(基础资料!$AI$5:$AI$54,L1592)=0),"✗ 费用项目不在基础资料里",IF(AND(IFERROR(INDEX(基础资料!$AD$5:$AD$34,MATCH(O1592,基础资料!$AC$5:$AC$34,0)),"")="收",N(G1592)&lt;&gt;0),"✗ 这类是收款，金额填到收入列",IF(AND(IFERROR(INDEX(基础资料!$AD$5:$AD$34,MATCH(O1592,基础资料!$AC$5:$AC$34,0)),"")="支",N(F1592)&lt;&gt;0),"✗ 这类是付款，金额填到支出列",IF(N(H1592)&lt;0,"⚠ 账户余额成负数了，核对一下","√"))))))))))))))))))</f>
      </c>
      <c r="O1592" s="78">
        <f>IF(D1592&lt;&gt;"",D1592,IF(AND(F1592="",G1592=""),"",IF(J1592&lt;&gt;"",IF(N(F1592)&gt;0,"客户回款","客户退款"),IF(K1592&lt;&gt;"",IF(N(G1592)&gt;0,"供应商付款","供应商退款"),IF(L1592&lt;&gt;"","费用支出","")))))</f>
      </c>
      <c r="P1592" s="78">
        <f>IF(O1592="","",IFERROR(INDEX(基础资料!$AE$5:$AE$34,MATCH(O1592,基础资料!$AC$5:$AC$34,0)),"未知"))</f>
      </c>
      <c r="Q1592" s="78">
        <f>IF(P1592="应收",COUNTIF(P$7:P1592,"应收"),"")</f>
      </c>
      <c r="R1592" s="78">
        <f>IF(P1592="应付",COUNTIF(P$7:P1592,"应付"),"")</f>
      </c>
      <c r="S1592" s="78">
        <f>N(F1592)-N(G1592)</f>
        <v>0</v>
      </c>
    </row>
    <row r="1593">
      <c r="A1593" s="109">
        <f>IF(AND(F1593="",G1593=""),"",ROW()-6)</f>
      </c>
      <c r="B1593" s="140" t="n"/>
      <c r="C1593" s="141" t="n"/>
      <c r="D1593" s="141" t="n"/>
      <c r="E1593" s="142" t="n"/>
      <c r="F1593" s="143" t="n"/>
      <c r="G1593" s="144" t="n"/>
      <c r="H1593" s="145">
        <f>IF(OR(C1593="",AND(F1593="",G1593="")),"",SUMIF(基础资料!$W$5:$W$24,C1593,基础资料!$X$5:$X$24)+SUMIF(C$7:C1593,C1593,F$7:F1593)-SUMIF(C$7:C1593,C1593,G$7:G1593))</f>
      </c>
      <c r="I1593" s="145">
        <f>IF(AND(F1593="",G1593=""),"",SUM(基础资料!$X$5:$X$24)+SUM(F$7:F1593)-SUM(G$7:G1593))</f>
      </c>
      <c r="J1593" s="141" t="n"/>
      <c r="K1593" s="141" t="n"/>
      <c r="L1593" s="141" t="n"/>
      <c r="M1593" s="142" t="n"/>
      <c r="N1593" s="146">
        <f>IF(AND(AND(F1593="",G1593=""),B1593="",C1593="",D1593="",J1593="",K1593="",L1593=""),"",IF(AND(F1593="",G1593=""),"✗ 没填金额",IF(AND(N(F1593)&lt;&gt;0,N(G1593)&lt;&gt;0),"✗ 收入、支出只能填一边",IF(NOT(ISNUMBER(B1593)),"✗ 日期不是真日期（要像 2026/9/25 这样填）",IF(OR(B1593&lt;年初日,B1593&gt;年末日),"✗ 日期不在本会计年度",IF(C1593="","✗ 没选账户",IF(COUNTIF(基础资料!$W$5:$W$24,C1593)=0,"✗ 账户不在基础资料里",IF(O1593="","✗ 没选收支项目",IF(P1593="未知","✗ 收支项目不在基础资料里",IF(AND(P1593="应收",J1593=""),"✗ 这笔要选客户",IF(AND(P1593="应收",COUNTIF(总览汇总!$B$5:$B$304,J1593)=0),"✗ 客户不在总览汇总名单里",IF(AND(P1593="应付",K1593=""),"✗ 这笔要选供应商",IF(AND(P1593="应付",COUNTIF(基础资料!$Q$5:$Q$54,K1593)=0),"✗ 供应商不在基础资料里",IF(AND(P1593="费用",L1593=""),"✗ 费用支出要选费用项目",IF(AND(L1593&lt;&gt;"",COUNTIF(基础资料!$AI$5:$AI$54,L1593)=0),"✗ 费用项目不在基础资料里",IF(AND(IFERROR(INDEX(基础资料!$AD$5:$AD$34,MATCH(O1593,基础资料!$AC$5:$AC$34,0)),"")="收",N(G1593)&lt;&gt;0),"✗ 这类是收款，金额填到收入列",IF(AND(IFERROR(INDEX(基础资料!$AD$5:$AD$34,MATCH(O1593,基础资料!$AC$5:$AC$34,0)),"")="支",N(F1593)&lt;&gt;0),"✗ 这类是付款，金额填到支出列",IF(N(H1593)&lt;0,"⚠ 账户余额成负数了，核对一下","√"))))))))))))))))))</f>
      </c>
      <c r="O1593" s="78">
        <f>IF(D1593&lt;&gt;"",D1593,IF(AND(F1593="",G1593=""),"",IF(J1593&lt;&gt;"",IF(N(F1593)&gt;0,"客户回款","客户退款"),IF(K1593&lt;&gt;"",IF(N(G1593)&gt;0,"供应商付款","供应商退款"),IF(L1593&lt;&gt;"","费用支出","")))))</f>
      </c>
      <c r="P1593" s="78">
        <f>IF(O1593="","",IFERROR(INDEX(基础资料!$AE$5:$AE$34,MATCH(O1593,基础资料!$AC$5:$AC$34,0)),"未知"))</f>
      </c>
      <c r="Q1593" s="78">
        <f>IF(P1593="应收",COUNTIF(P$7:P1593,"应收"),"")</f>
      </c>
      <c r="R1593" s="78">
        <f>IF(P1593="应付",COUNTIF(P$7:P1593,"应付"),"")</f>
      </c>
      <c r="S1593" s="78">
        <f>N(F1593)-N(G1593)</f>
        <v>0</v>
      </c>
    </row>
    <row r="1594">
      <c r="A1594" s="109">
        <f>IF(AND(F1594="",G1594=""),"",ROW()-6)</f>
      </c>
      <c r="B1594" s="140" t="n"/>
      <c r="C1594" s="141" t="n"/>
      <c r="D1594" s="141" t="n"/>
      <c r="E1594" s="142" t="n"/>
      <c r="F1594" s="143" t="n"/>
      <c r="G1594" s="144" t="n"/>
      <c r="H1594" s="145">
        <f>IF(OR(C1594="",AND(F1594="",G1594="")),"",SUMIF(基础资料!$W$5:$W$24,C1594,基础资料!$X$5:$X$24)+SUMIF(C$7:C1594,C1594,F$7:F1594)-SUMIF(C$7:C1594,C1594,G$7:G1594))</f>
      </c>
      <c r="I1594" s="145">
        <f>IF(AND(F1594="",G1594=""),"",SUM(基础资料!$X$5:$X$24)+SUM(F$7:F1594)-SUM(G$7:G1594))</f>
      </c>
      <c r="J1594" s="141" t="n"/>
      <c r="K1594" s="141" t="n"/>
      <c r="L1594" s="141" t="n"/>
      <c r="M1594" s="142" t="n"/>
      <c r="N1594" s="146">
        <f>IF(AND(AND(F1594="",G1594=""),B1594="",C1594="",D1594="",J1594="",K1594="",L1594=""),"",IF(AND(F1594="",G1594=""),"✗ 没填金额",IF(AND(N(F1594)&lt;&gt;0,N(G1594)&lt;&gt;0),"✗ 收入、支出只能填一边",IF(NOT(ISNUMBER(B1594)),"✗ 日期不是真日期（要像 2026/9/25 这样填）",IF(OR(B1594&lt;年初日,B1594&gt;年末日),"✗ 日期不在本会计年度",IF(C1594="","✗ 没选账户",IF(COUNTIF(基础资料!$W$5:$W$24,C1594)=0,"✗ 账户不在基础资料里",IF(O1594="","✗ 没选收支项目",IF(P1594="未知","✗ 收支项目不在基础资料里",IF(AND(P1594="应收",J1594=""),"✗ 这笔要选客户",IF(AND(P1594="应收",COUNTIF(总览汇总!$B$5:$B$304,J1594)=0),"✗ 客户不在总览汇总名单里",IF(AND(P1594="应付",K1594=""),"✗ 这笔要选供应商",IF(AND(P1594="应付",COUNTIF(基础资料!$Q$5:$Q$54,K1594)=0),"✗ 供应商不在基础资料里",IF(AND(P1594="费用",L1594=""),"✗ 费用支出要选费用项目",IF(AND(L1594&lt;&gt;"",COUNTIF(基础资料!$AI$5:$AI$54,L1594)=0),"✗ 费用项目不在基础资料里",IF(AND(IFERROR(INDEX(基础资料!$AD$5:$AD$34,MATCH(O1594,基础资料!$AC$5:$AC$34,0)),"")="收",N(G1594)&lt;&gt;0),"✗ 这类是收款，金额填到收入列",IF(AND(IFERROR(INDEX(基础资料!$AD$5:$AD$34,MATCH(O1594,基础资料!$AC$5:$AC$34,0)),"")="支",N(F1594)&lt;&gt;0),"✗ 这类是付款，金额填到支出列",IF(N(H1594)&lt;0,"⚠ 账户余额成负数了，核对一下","√"))))))))))))))))))</f>
      </c>
      <c r="O1594" s="78">
        <f>IF(D1594&lt;&gt;"",D1594,IF(AND(F1594="",G1594=""),"",IF(J1594&lt;&gt;"",IF(N(F1594)&gt;0,"客户回款","客户退款"),IF(K1594&lt;&gt;"",IF(N(G1594)&gt;0,"供应商付款","供应商退款"),IF(L1594&lt;&gt;"","费用支出","")))))</f>
      </c>
      <c r="P1594" s="78">
        <f>IF(O1594="","",IFERROR(INDEX(基础资料!$AE$5:$AE$34,MATCH(O1594,基础资料!$AC$5:$AC$34,0)),"未知"))</f>
      </c>
      <c r="Q1594" s="78">
        <f>IF(P1594="应收",COUNTIF(P$7:P1594,"应收"),"")</f>
      </c>
      <c r="R1594" s="78">
        <f>IF(P1594="应付",COUNTIF(P$7:P1594,"应付"),"")</f>
      </c>
      <c r="S1594" s="78">
        <f>N(F1594)-N(G1594)</f>
        <v>0</v>
      </c>
    </row>
    <row r="1595">
      <c r="A1595" s="109">
        <f>IF(AND(F1595="",G1595=""),"",ROW()-6)</f>
      </c>
      <c r="B1595" s="140" t="n"/>
      <c r="C1595" s="141" t="n"/>
      <c r="D1595" s="141" t="n"/>
      <c r="E1595" s="142" t="n"/>
      <c r="F1595" s="143" t="n"/>
      <c r="G1595" s="144" t="n"/>
      <c r="H1595" s="145">
        <f>IF(OR(C1595="",AND(F1595="",G1595="")),"",SUMIF(基础资料!$W$5:$W$24,C1595,基础资料!$X$5:$X$24)+SUMIF(C$7:C1595,C1595,F$7:F1595)-SUMIF(C$7:C1595,C1595,G$7:G1595))</f>
      </c>
      <c r="I1595" s="145">
        <f>IF(AND(F1595="",G1595=""),"",SUM(基础资料!$X$5:$X$24)+SUM(F$7:F1595)-SUM(G$7:G1595))</f>
      </c>
      <c r="J1595" s="141" t="n"/>
      <c r="K1595" s="141" t="n"/>
      <c r="L1595" s="141" t="n"/>
      <c r="M1595" s="142" t="n"/>
      <c r="N1595" s="146">
        <f>IF(AND(AND(F1595="",G1595=""),B1595="",C1595="",D1595="",J1595="",K1595="",L1595=""),"",IF(AND(F1595="",G1595=""),"✗ 没填金额",IF(AND(N(F1595)&lt;&gt;0,N(G1595)&lt;&gt;0),"✗ 收入、支出只能填一边",IF(NOT(ISNUMBER(B1595)),"✗ 日期不是真日期（要像 2026/9/25 这样填）",IF(OR(B1595&lt;年初日,B1595&gt;年末日),"✗ 日期不在本会计年度",IF(C1595="","✗ 没选账户",IF(COUNTIF(基础资料!$W$5:$W$24,C1595)=0,"✗ 账户不在基础资料里",IF(O1595="","✗ 没选收支项目",IF(P1595="未知","✗ 收支项目不在基础资料里",IF(AND(P1595="应收",J1595=""),"✗ 这笔要选客户",IF(AND(P1595="应收",COUNTIF(总览汇总!$B$5:$B$304,J1595)=0),"✗ 客户不在总览汇总名单里",IF(AND(P1595="应付",K1595=""),"✗ 这笔要选供应商",IF(AND(P1595="应付",COUNTIF(基础资料!$Q$5:$Q$54,K1595)=0),"✗ 供应商不在基础资料里",IF(AND(P1595="费用",L1595=""),"✗ 费用支出要选费用项目",IF(AND(L1595&lt;&gt;"",COUNTIF(基础资料!$AI$5:$AI$54,L1595)=0),"✗ 费用项目不在基础资料里",IF(AND(IFERROR(INDEX(基础资料!$AD$5:$AD$34,MATCH(O1595,基础资料!$AC$5:$AC$34,0)),"")="收",N(G1595)&lt;&gt;0),"✗ 这类是收款，金额填到收入列",IF(AND(IFERROR(INDEX(基础资料!$AD$5:$AD$34,MATCH(O1595,基础资料!$AC$5:$AC$34,0)),"")="支",N(F1595)&lt;&gt;0),"✗ 这类是付款，金额填到支出列",IF(N(H1595)&lt;0,"⚠ 账户余额成负数了，核对一下","√"))))))))))))))))))</f>
      </c>
      <c r="O1595" s="78">
        <f>IF(D1595&lt;&gt;"",D1595,IF(AND(F1595="",G1595=""),"",IF(J1595&lt;&gt;"",IF(N(F1595)&gt;0,"客户回款","客户退款"),IF(K1595&lt;&gt;"",IF(N(G1595)&gt;0,"供应商付款","供应商退款"),IF(L1595&lt;&gt;"","费用支出","")))))</f>
      </c>
      <c r="P1595" s="78">
        <f>IF(O1595="","",IFERROR(INDEX(基础资料!$AE$5:$AE$34,MATCH(O1595,基础资料!$AC$5:$AC$34,0)),"未知"))</f>
      </c>
      <c r="Q1595" s="78">
        <f>IF(P1595="应收",COUNTIF(P$7:P1595,"应收"),"")</f>
      </c>
      <c r="R1595" s="78">
        <f>IF(P1595="应付",COUNTIF(P$7:P1595,"应付"),"")</f>
      </c>
      <c r="S1595" s="78">
        <f>N(F1595)-N(G1595)</f>
        <v>0</v>
      </c>
    </row>
    <row r="1596">
      <c r="A1596" s="109">
        <f>IF(AND(F1596="",G1596=""),"",ROW()-6)</f>
      </c>
      <c r="B1596" s="140" t="n"/>
      <c r="C1596" s="141" t="n"/>
      <c r="D1596" s="141" t="n"/>
      <c r="E1596" s="142" t="n"/>
      <c r="F1596" s="143" t="n"/>
      <c r="G1596" s="144" t="n"/>
      <c r="H1596" s="145">
        <f>IF(OR(C1596="",AND(F1596="",G1596="")),"",SUMIF(基础资料!$W$5:$W$24,C1596,基础资料!$X$5:$X$24)+SUMIF(C$7:C1596,C1596,F$7:F1596)-SUMIF(C$7:C1596,C1596,G$7:G1596))</f>
      </c>
      <c r="I1596" s="145">
        <f>IF(AND(F1596="",G1596=""),"",SUM(基础资料!$X$5:$X$24)+SUM(F$7:F1596)-SUM(G$7:G1596))</f>
      </c>
      <c r="J1596" s="141" t="n"/>
      <c r="K1596" s="141" t="n"/>
      <c r="L1596" s="141" t="n"/>
      <c r="M1596" s="142" t="n"/>
      <c r="N1596" s="146">
        <f>IF(AND(AND(F1596="",G1596=""),B1596="",C1596="",D1596="",J1596="",K1596="",L1596=""),"",IF(AND(F1596="",G1596=""),"✗ 没填金额",IF(AND(N(F1596)&lt;&gt;0,N(G1596)&lt;&gt;0),"✗ 收入、支出只能填一边",IF(NOT(ISNUMBER(B1596)),"✗ 日期不是真日期（要像 2026/9/25 这样填）",IF(OR(B1596&lt;年初日,B1596&gt;年末日),"✗ 日期不在本会计年度",IF(C1596="","✗ 没选账户",IF(COUNTIF(基础资料!$W$5:$W$24,C1596)=0,"✗ 账户不在基础资料里",IF(O1596="","✗ 没选收支项目",IF(P1596="未知","✗ 收支项目不在基础资料里",IF(AND(P1596="应收",J1596=""),"✗ 这笔要选客户",IF(AND(P1596="应收",COUNTIF(总览汇总!$B$5:$B$304,J1596)=0),"✗ 客户不在总览汇总名单里",IF(AND(P1596="应付",K1596=""),"✗ 这笔要选供应商",IF(AND(P1596="应付",COUNTIF(基础资料!$Q$5:$Q$54,K1596)=0),"✗ 供应商不在基础资料里",IF(AND(P1596="费用",L1596=""),"✗ 费用支出要选费用项目",IF(AND(L1596&lt;&gt;"",COUNTIF(基础资料!$AI$5:$AI$54,L1596)=0),"✗ 费用项目不在基础资料里",IF(AND(IFERROR(INDEX(基础资料!$AD$5:$AD$34,MATCH(O1596,基础资料!$AC$5:$AC$34,0)),"")="收",N(G1596)&lt;&gt;0),"✗ 这类是收款，金额填到收入列",IF(AND(IFERROR(INDEX(基础资料!$AD$5:$AD$34,MATCH(O1596,基础资料!$AC$5:$AC$34,0)),"")="支",N(F1596)&lt;&gt;0),"✗ 这类是付款，金额填到支出列",IF(N(H1596)&lt;0,"⚠ 账户余额成负数了，核对一下","√"))))))))))))))))))</f>
      </c>
      <c r="O1596" s="78">
        <f>IF(D1596&lt;&gt;"",D1596,IF(AND(F1596="",G1596=""),"",IF(J1596&lt;&gt;"",IF(N(F1596)&gt;0,"客户回款","客户退款"),IF(K1596&lt;&gt;"",IF(N(G1596)&gt;0,"供应商付款","供应商退款"),IF(L1596&lt;&gt;"","费用支出","")))))</f>
      </c>
      <c r="P1596" s="78">
        <f>IF(O1596="","",IFERROR(INDEX(基础资料!$AE$5:$AE$34,MATCH(O1596,基础资料!$AC$5:$AC$34,0)),"未知"))</f>
      </c>
      <c r="Q1596" s="78">
        <f>IF(P1596="应收",COUNTIF(P$7:P1596,"应收"),"")</f>
      </c>
      <c r="R1596" s="78">
        <f>IF(P1596="应付",COUNTIF(P$7:P1596,"应付"),"")</f>
      </c>
      <c r="S1596" s="78">
        <f>N(F1596)-N(G1596)</f>
        <v>0</v>
      </c>
    </row>
    <row r="1597">
      <c r="A1597" s="109">
        <f>IF(AND(F1597="",G1597=""),"",ROW()-6)</f>
      </c>
      <c r="B1597" s="140" t="n"/>
      <c r="C1597" s="141" t="n"/>
      <c r="D1597" s="141" t="n"/>
      <c r="E1597" s="142" t="n"/>
      <c r="F1597" s="143" t="n"/>
      <c r="G1597" s="144" t="n"/>
      <c r="H1597" s="145">
        <f>IF(OR(C1597="",AND(F1597="",G1597="")),"",SUMIF(基础资料!$W$5:$W$24,C1597,基础资料!$X$5:$X$24)+SUMIF(C$7:C1597,C1597,F$7:F1597)-SUMIF(C$7:C1597,C1597,G$7:G1597))</f>
      </c>
      <c r="I1597" s="145">
        <f>IF(AND(F1597="",G1597=""),"",SUM(基础资料!$X$5:$X$24)+SUM(F$7:F1597)-SUM(G$7:G1597))</f>
      </c>
      <c r="J1597" s="141" t="n"/>
      <c r="K1597" s="141" t="n"/>
      <c r="L1597" s="141" t="n"/>
      <c r="M1597" s="142" t="n"/>
      <c r="N1597" s="146">
        <f>IF(AND(AND(F1597="",G1597=""),B1597="",C1597="",D1597="",J1597="",K1597="",L1597=""),"",IF(AND(F1597="",G1597=""),"✗ 没填金额",IF(AND(N(F1597)&lt;&gt;0,N(G1597)&lt;&gt;0),"✗ 收入、支出只能填一边",IF(NOT(ISNUMBER(B1597)),"✗ 日期不是真日期（要像 2026/9/25 这样填）",IF(OR(B1597&lt;年初日,B1597&gt;年末日),"✗ 日期不在本会计年度",IF(C1597="","✗ 没选账户",IF(COUNTIF(基础资料!$W$5:$W$24,C1597)=0,"✗ 账户不在基础资料里",IF(O1597="","✗ 没选收支项目",IF(P1597="未知","✗ 收支项目不在基础资料里",IF(AND(P1597="应收",J1597=""),"✗ 这笔要选客户",IF(AND(P1597="应收",COUNTIF(总览汇总!$B$5:$B$304,J1597)=0),"✗ 客户不在总览汇总名单里",IF(AND(P1597="应付",K1597=""),"✗ 这笔要选供应商",IF(AND(P1597="应付",COUNTIF(基础资料!$Q$5:$Q$54,K1597)=0),"✗ 供应商不在基础资料里",IF(AND(P1597="费用",L1597=""),"✗ 费用支出要选费用项目",IF(AND(L1597&lt;&gt;"",COUNTIF(基础资料!$AI$5:$AI$54,L1597)=0),"✗ 费用项目不在基础资料里",IF(AND(IFERROR(INDEX(基础资料!$AD$5:$AD$34,MATCH(O1597,基础资料!$AC$5:$AC$34,0)),"")="收",N(G1597)&lt;&gt;0),"✗ 这类是收款，金额填到收入列",IF(AND(IFERROR(INDEX(基础资料!$AD$5:$AD$34,MATCH(O1597,基础资料!$AC$5:$AC$34,0)),"")="支",N(F1597)&lt;&gt;0),"✗ 这类是付款，金额填到支出列",IF(N(H1597)&lt;0,"⚠ 账户余额成负数了，核对一下","√"))))))))))))))))))</f>
      </c>
      <c r="O1597" s="78">
        <f>IF(D1597&lt;&gt;"",D1597,IF(AND(F1597="",G1597=""),"",IF(J1597&lt;&gt;"",IF(N(F1597)&gt;0,"客户回款","客户退款"),IF(K1597&lt;&gt;"",IF(N(G1597)&gt;0,"供应商付款","供应商退款"),IF(L1597&lt;&gt;"","费用支出","")))))</f>
      </c>
      <c r="P1597" s="78">
        <f>IF(O1597="","",IFERROR(INDEX(基础资料!$AE$5:$AE$34,MATCH(O1597,基础资料!$AC$5:$AC$34,0)),"未知"))</f>
      </c>
      <c r="Q1597" s="78">
        <f>IF(P1597="应收",COUNTIF(P$7:P1597,"应收"),"")</f>
      </c>
      <c r="R1597" s="78">
        <f>IF(P1597="应付",COUNTIF(P$7:P1597,"应付"),"")</f>
      </c>
      <c r="S1597" s="78">
        <f>N(F1597)-N(G1597)</f>
        <v>0</v>
      </c>
    </row>
    <row r="1598">
      <c r="A1598" s="109">
        <f>IF(AND(F1598="",G1598=""),"",ROW()-6)</f>
      </c>
      <c r="B1598" s="140" t="n"/>
      <c r="C1598" s="141" t="n"/>
      <c r="D1598" s="141" t="n"/>
      <c r="E1598" s="142" t="n"/>
      <c r="F1598" s="143" t="n"/>
      <c r="G1598" s="144" t="n"/>
      <c r="H1598" s="145">
        <f>IF(OR(C1598="",AND(F1598="",G1598="")),"",SUMIF(基础资料!$W$5:$W$24,C1598,基础资料!$X$5:$X$24)+SUMIF(C$7:C1598,C1598,F$7:F1598)-SUMIF(C$7:C1598,C1598,G$7:G1598))</f>
      </c>
      <c r="I1598" s="145">
        <f>IF(AND(F1598="",G1598=""),"",SUM(基础资料!$X$5:$X$24)+SUM(F$7:F1598)-SUM(G$7:G1598))</f>
      </c>
      <c r="J1598" s="141" t="n"/>
      <c r="K1598" s="141" t="n"/>
      <c r="L1598" s="141" t="n"/>
      <c r="M1598" s="142" t="n"/>
      <c r="N1598" s="146">
        <f>IF(AND(AND(F1598="",G1598=""),B1598="",C1598="",D1598="",J1598="",K1598="",L1598=""),"",IF(AND(F1598="",G1598=""),"✗ 没填金额",IF(AND(N(F1598)&lt;&gt;0,N(G1598)&lt;&gt;0),"✗ 收入、支出只能填一边",IF(NOT(ISNUMBER(B1598)),"✗ 日期不是真日期（要像 2026/9/25 这样填）",IF(OR(B1598&lt;年初日,B1598&gt;年末日),"✗ 日期不在本会计年度",IF(C1598="","✗ 没选账户",IF(COUNTIF(基础资料!$W$5:$W$24,C1598)=0,"✗ 账户不在基础资料里",IF(O1598="","✗ 没选收支项目",IF(P1598="未知","✗ 收支项目不在基础资料里",IF(AND(P1598="应收",J1598=""),"✗ 这笔要选客户",IF(AND(P1598="应收",COUNTIF(总览汇总!$B$5:$B$304,J1598)=0),"✗ 客户不在总览汇总名单里",IF(AND(P1598="应付",K1598=""),"✗ 这笔要选供应商",IF(AND(P1598="应付",COUNTIF(基础资料!$Q$5:$Q$54,K1598)=0),"✗ 供应商不在基础资料里",IF(AND(P1598="费用",L1598=""),"✗ 费用支出要选费用项目",IF(AND(L1598&lt;&gt;"",COUNTIF(基础资料!$AI$5:$AI$54,L1598)=0),"✗ 费用项目不在基础资料里",IF(AND(IFERROR(INDEX(基础资料!$AD$5:$AD$34,MATCH(O1598,基础资料!$AC$5:$AC$34,0)),"")="收",N(G1598)&lt;&gt;0),"✗ 这类是收款，金额填到收入列",IF(AND(IFERROR(INDEX(基础资料!$AD$5:$AD$34,MATCH(O1598,基础资料!$AC$5:$AC$34,0)),"")="支",N(F1598)&lt;&gt;0),"✗ 这类是付款，金额填到支出列",IF(N(H1598)&lt;0,"⚠ 账户余额成负数了，核对一下","√"))))))))))))))))))</f>
      </c>
      <c r="O1598" s="78">
        <f>IF(D1598&lt;&gt;"",D1598,IF(AND(F1598="",G1598=""),"",IF(J1598&lt;&gt;"",IF(N(F1598)&gt;0,"客户回款","客户退款"),IF(K1598&lt;&gt;"",IF(N(G1598)&gt;0,"供应商付款","供应商退款"),IF(L1598&lt;&gt;"","费用支出","")))))</f>
      </c>
      <c r="P1598" s="78">
        <f>IF(O1598="","",IFERROR(INDEX(基础资料!$AE$5:$AE$34,MATCH(O1598,基础资料!$AC$5:$AC$34,0)),"未知"))</f>
      </c>
      <c r="Q1598" s="78">
        <f>IF(P1598="应收",COUNTIF(P$7:P1598,"应收"),"")</f>
      </c>
      <c r="R1598" s="78">
        <f>IF(P1598="应付",COUNTIF(P$7:P1598,"应付"),"")</f>
      </c>
      <c r="S1598" s="78">
        <f>N(F1598)-N(G1598)</f>
        <v>0</v>
      </c>
    </row>
    <row r="1599">
      <c r="A1599" s="109">
        <f>IF(AND(F1599="",G1599=""),"",ROW()-6)</f>
      </c>
      <c r="B1599" s="140" t="n"/>
      <c r="C1599" s="141" t="n"/>
      <c r="D1599" s="141" t="n"/>
      <c r="E1599" s="142" t="n"/>
      <c r="F1599" s="143" t="n"/>
      <c r="G1599" s="144" t="n"/>
      <c r="H1599" s="145">
        <f>IF(OR(C1599="",AND(F1599="",G1599="")),"",SUMIF(基础资料!$W$5:$W$24,C1599,基础资料!$X$5:$X$24)+SUMIF(C$7:C1599,C1599,F$7:F1599)-SUMIF(C$7:C1599,C1599,G$7:G1599))</f>
      </c>
      <c r="I1599" s="145">
        <f>IF(AND(F1599="",G1599=""),"",SUM(基础资料!$X$5:$X$24)+SUM(F$7:F1599)-SUM(G$7:G1599))</f>
      </c>
      <c r="J1599" s="141" t="n"/>
      <c r="K1599" s="141" t="n"/>
      <c r="L1599" s="141" t="n"/>
      <c r="M1599" s="142" t="n"/>
      <c r="N1599" s="146">
        <f>IF(AND(AND(F1599="",G1599=""),B1599="",C1599="",D1599="",J1599="",K1599="",L1599=""),"",IF(AND(F1599="",G1599=""),"✗ 没填金额",IF(AND(N(F1599)&lt;&gt;0,N(G1599)&lt;&gt;0),"✗ 收入、支出只能填一边",IF(NOT(ISNUMBER(B1599)),"✗ 日期不是真日期（要像 2026/9/25 这样填）",IF(OR(B1599&lt;年初日,B1599&gt;年末日),"✗ 日期不在本会计年度",IF(C1599="","✗ 没选账户",IF(COUNTIF(基础资料!$W$5:$W$24,C1599)=0,"✗ 账户不在基础资料里",IF(O1599="","✗ 没选收支项目",IF(P1599="未知","✗ 收支项目不在基础资料里",IF(AND(P1599="应收",J1599=""),"✗ 这笔要选客户",IF(AND(P1599="应收",COUNTIF(总览汇总!$B$5:$B$304,J1599)=0),"✗ 客户不在总览汇总名单里",IF(AND(P1599="应付",K1599=""),"✗ 这笔要选供应商",IF(AND(P1599="应付",COUNTIF(基础资料!$Q$5:$Q$54,K1599)=0),"✗ 供应商不在基础资料里",IF(AND(P1599="费用",L1599=""),"✗ 费用支出要选费用项目",IF(AND(L1599&lt;&gt;"",COUNTIF(基础资料!$AI$5:$AI$54,L1599)=0),"✗ 费用项目不在基础资料里",IF(AND(IFERROR(INDEX(基础资料!$AD$5:$AD$34,MATCH(O1599,基础资料!$AC$5:$AC$34,0)),"")="收",N(G1599)&lt;&gt;0),"✗ 这类是收款，金额填到收入列",IF(AND(IFERROR(INDEX(基础资料!$AD$5:$AD$34,MATCH(O1599,基础资料!$AC$5:$AC$34,0)),"")="支",N(F1599)&lt;&gt;0),"✗ 这类是付款，金额填到支出列",IF(N(H1599)&lt;0,"⚠ 账户余额成负数了，核对一下","√"))))))))))))))))))</f>
      </c>
      <c r="O1599" s="78">
        <f>IF(D1599&lt;&gt;"",D1599,IF(AND(F1599="",G1599=""),"",IF(J1599&lt;&gt;"",IF(N(F1599)&gt;0,"客户回款","客户退款"),IF(K1599&lt;&gt;"",IF(N(G1599)&gt;0,"供应商付款","供应商退款"),IF(L1599&lt;&gt;"","费用支出","")))))</f>
      </c>
      <c r="P1599" s="78">
        <f>IF(O1599="","",IFERROR(INDEX(基础资料!$AE$5:$AE$34,MATCH(O1599,基础资料!$AC$5:$AC$34,0)),"未知"))</f>
      </c>
      <c r="Q1599" s="78">
        <f>IF(P1599="应收",COUNTIF(P$7:P1599,"应收"),"")</f>
      </c>
      <c r="R1599" s="78">
        <f>IF(P1599="应付",COUNTIF(P$7:P1599,"应付"),"")</f>
      </c>
      <c r="S1599" s="78">
        <f>N(F1599)-N(G1599)</f>
        <v>0</v>
      </c>
    </row>
    <row r="1600">
      <c r="A1600" s="109">
        <f>IF(AND(F1600="",G1600=""),"",ROW()-6)</f>
      </c>
      <c r="B1600" s="140" t="n"/>
      <c r="C1600" s="141" t="n"/>
      <c r="D1600" s="141" t="n"/>
      <c r="E1600" s="142" t="n"/>
      <c r="F1600" s="143" t="n"/>
      <c r="G1600" s="144" t="n"/>
      <c r="H1600" s="145">
        <f>IF(OR(C1600="",AND(F1600="",G1600="")),"",SUMIF(基础资料!$W$5:$W$24,C1600,基础资料!$X$5:$X$24)+SUMIF(C$7:C1600,C1600,F$7:F1600)-SUMIF(C$7:C1600,C1600,G$7:G1600))</f>
      </c>
      <c r="I1600" s="145">
        <f>IF(AND(F1600="",G1600=""),"",SUM(基础资料!$X$5:$X$24)+SUM(F$7:F1600)-SUM(G$7:G1600))</f>
      </c>
      <c r="J1600" s="141" t="n"/>
      <c r="K1600" s="141" t="n"/>
      <c r="L1600" s="141" t="n"/>
      <c r="M1600" s="142" t="n"/>
      <c r="N1600" s="146">
        <f>IF(AND(AND(F1600="",G1600=""),B1600="",C1600="",D1600="",J1600="",K1600="",L1600=""),"",IF(AND(F1600="",G1600=""),"✗ 没填金额",IF(AND(N(F1600)&lt;&gt;0,N(G1600)&lt;&gt;0),"✗ 收入、支出只能填一边",IF(NOT(ISNUMBER(B1600)),"✗ 日期不是真日期（要像 2026/9/25 这样填）",IF(OR(B1600&lt;年初日,B1600&gt;年末日),"✗ 日期不在本会计年度",IF(C1600="","✗ 没选账户",IF(COUNTIF(基础资料!$W$5:$W$24,C1600)=0,"✗ 账户不在基础资料里",IF(O1600="","✗ 没选收支项目",IF(P1600="未知","✗ 收支项目不在基础资料里",IF(AND(P1600="应收",J1600=""),"✗ 这笔要选客户",IF(AND(P1600="应收",COUNTIF(总览汇总!$B$5:$B$304,J1600)=0),"✗ 客户不在总览汇总名单里",IF(AND(P1600="应付",K1600=""),"✗ 这笔要选供应商",IF(AND(P1600="应付",COUNTIF(基础资料!$Q$5:$Q$54,K1600)=0),"✗ 供应商不在基础资料里",IF(AND(P1600="费用",L1600=""),"✗ 费用支出要选费用项目",IF(AND(L1600&lt;&gt;"",COUNTIF(基础资料!$AI$5:$AI$54,L1600)=0),"✗ 费用项目不在基础资料里",IF(AND(IFERROR(INDEX(基础资料!$AD$5:$AD$34,MATCH(O1600,基础资料!$AC$5:$AC$34,0)),"")="收",N(G1600)&lt;&gt;0),"✗ 这类是收款，金额填到收入列",IF(AND(IFERROR(INDEX(基础资料!$AD$5:$AD$34,MATCH(O1600,基础资料!$AC$5:$AC$34,0)),"")="支",N(F1600)&lt;&gt;0),"✗ 这类是付款，金额填到支出列",IF(N(H1600)&lt;0,"⚠ 账户余额成负数了，核对一下","√"))))))))))))))))))</f>
      </c>
      <c r="O1600" s="78">
        <f>IF(D1600&lt;&gt;"",D1600,IF(AND(F1600="",G1600=""),"",IF(J1600&lt;&gt;"",IF(N(F1600)&gt;0,"客户回款","客户退款"),IF(K1600&lt;&gt;"",IF(N(G1600)&gt;0,"供应商付款","供应商退款"),IF(L1600&lt;&gt;"","费用支出","")))))</f>
      </c>
      <c r="P1600" s="78">
        <f>IF(O1600="","",IFERROR(INDEX(基础资料!$AE$5:$AE$34,MATCH(O1600,基础资料!$AC$5:$AC$34,0)),"未知"))</f>
      </c>
      <c r="Q1600" s="78">
        <f>IF(P1600="应收",COUNTIF(P$7:P1600,"应收"),"")</f>
      </c>
      <c r="R1600" s="78">
        <f>IF(P1600="应付",COUNTIF(P$7:P1600,"应付"),"")</f>
      </c>
      <c r="S1600" s="78">
        <f>N(F1600)-N(G1600)</f>
        <v>0</v>
      </c>
    </row>
    <row r="1601">
      <c r="A1601" s="109">
        <f>IF(AND(F1601="",G1601=""),"",ROW()-6)</f>
      </c>
      <c r="B1601" s="140" t="n"/>
      <c r="C1601" s="141" t="n"/>
      <c r="D1601" s="141" t="n"/>
      <c r="E1601" s="142" t="n"/>
      <c r="F1601" s="143" t="n"/>
      <c r="G1601" s="144" t="n"/>
      <c r="H1601" s="145">
        <f>IF(OR(C1601="",AND(F1601="",G1601="")),"",SUMIF(基础资料!$W$5:$W$24,C1601,基础资料!$X$5:$X$24)+SUMIF(C$7:C1601,C1601,F$7:F1601)-SUMIF(C$7:C1601,C1601,G$7:G1601))</f>
      </c>
      <c r="I1601" s="145">
        <f>IF(AND(F1601="",G1601=""),"",SUM(基础资料!$X$5:$X$24)+SUM(F$7:F1601)-SUM(G$7:G1601))</f>
      </c>
      <c r="J1601" s="141" t="n"/>
      <c r="K1601" s="141" t="n"/>
      <c r="L1601" s="141" t="n"/>
      <c r="M1601" s="142" t="n"/>
      <c r="N1601" s="146">
        <f>IF(AND(AND(F1601="",G1601=""),B1601="",C1601="",D1601="",J1601="",K1601="",L1601=""),"",IF(AND(F1601="",G1601=""),"✗ 没填金额",IF(AND(N(F1601)&lt;&gt;0,N(G1601)&lt;&gt;0),"✗ 收入、支出只能填一边",IF(NOT(ISNUMBER(B1601)),"✗ 日期不是真日期（要像 2026/9/25 这样填）",IF(OR(B1601&lt;年初日,B1601&gt;年末日),"✗ 日期不在本会计年度",IF(C1601="","✗ 没选账户",IF(COUNTIF(基础资料!$W$5:$W$24,C1601)=0,"✗ 账户不在基础资料里",IF(O1601="","✗ 没选收支项目",IF(P1601="未知","✗ 收支项目不在基础资料里",IF(AND(P1601="应收",J1601=""),"✗ 这笔要选客户",IF(AND(P1601="应收",COUNTIF(总览汇总!$B$5:$B$304,J1601)=0),"✗ 客户不在总览汇总名单里",IF(AND(P1601="应付",K1601=""),"✗ 这笔要选供应商",IF(AND(P1601="应付",COUNTIF(基础资料!$Q$5:$Q$54,K1601)=0),"✗ 供应商不在基础资料里",IF(AND(P1601="费用",L1601=""),"✗ 费用支出要选费用项目",IF(AND(L1601&lt;&gt;"",COUNTIF(基础资料!$AI$5:$AI$54,L1601)=0),"✗ 费用项目不在基础资料里",IF(AND(IFERROR(INDEX(基础资料!$AD$5:$AD$34,MATCH(O1601,基础资料!$AC$5:$AC$34,0)),"")="收",N(G1601)&lt;&gt;0),"✗ 这类是收款，金额填到收入列",IF(AND(IFERROR(INDEX(基础资料!$AD$5:$AD$34,MATCH(O1601,基础资料!$AC$5:$AC$34,0)),"")="支",N(F1601)&lt;&gt;0),"✗ 这类是付款，金额填到支出列",IF(N(H1601)&lt;0,"⚠ 账户余额成负数了，核对一下","√"))))))))))))))))))</f>
      </c>
      <c r="O1601" s="78">
        <f>IF(D1601&lt;&gt;"",D1601,IF(AND(F1601="",G1601=""),"",IF(J1601&lt;&gt;"",IF(N(F1601)&gt;0,"客户回款","客户退款"),IF(K1601&lt;&gt;"",IF(N(G1601)&gt;0,"供应商付款","供应商退款"),IF(L1601&lt;&gt;"","费用支出","")))))</f>
      </c>
      <c r="P1601" s="78">
        <f>IF(O1601="","",IFERROR(INDEX(基础资料!$AE$5:$AE$34,MATCH(O1601,基础资料!$AC$5:$AC$34,0)),"未知"))</f>
      </c>
      <c r="Q1601" s="78">
        <f>IF(P1601="应收",COUNTIF(P$7:P1601,"应收"),"")</f>
      </c>
      <c r="R1601" s="78">
        <f>IF(P1601="应付",COUNTIF(P$7:P1601,"应付"),"")</f>
      </c>
      <c r="S1601" s="78">
        <f>N(F1601)-N(G1601)</f>
        <v>0</v>
      </c>
    </row>
    <row r="1602">
      <c r="A1602" s="109">
        <f>IF(AND(F1602="",G1602=""),"",ROW()-6)</f>
      </c>
      <c r="B1602" s="140" t="n"/>
      <c r="C1602" s="141" t="n"/>
      <c r="D1602" s="141" t="n"/>
      <c r="E1602" s="142" t="n"/>
      <c r="F1602" s="143" t="n"/>
      <c r="G1602" s="144" t="n"/>
      <c r="H1602" s="145">
        <f>IF(OR(C1602="",AND(F1602="",G1602="")),"",SUMIF(基础资料!$W$5:$W$24,C1602,基础资料!$X$5:$X$24)+SUMIF(C$7:C1602,C1602,F$7:F1602)-SUMIF(C$7:C1602,C1602,G$7:G1602))</f>
      </c>
      <c r="I1602" s="145">
        <f>IF(AND(F1602="",G1602=""),"",SUM(基础资料!$X$5:$X$24)+SUM(F$7:F1602)-SUM(G$7:G1602))</f>
      </c>
      <c r="J1602" s="141" t="n"/>
      <c r="K1602" s="141" t="n"/>
      <c r="L1602" s="141" t="n"/>
      <c r="M1602" s="142" t="n"/>
      <c r="N1602" s="146">
        <f>IF(AND(AND(F1602="",G1602=""),B1602="",C1602="",D1602="",J1602="",K1602="",L1602=""),"",IF(AND(F1602="",G1602=""),"✗ 没填金额",IF(AND(N(F1602)&lt;&gt;0,N(G1602)&lt;&gt;0),"✗ 收入、支出只能填一边",IF(NOT(ISNUMBER(B1602)),"✗ 日期不是真日期（要像 2026/9/25 这样填）",IF(OR(B1602&lt;年初日,B1602&gt;年末日),"✗ 日期不在本会计年度",IF(C1602="","✗ 没选账户",IF(COUNTIF(基础资料!$W$5:$W$24,C1602)=0,"✗ 账户不在基础资料里",IF(O1602="","✗ 没选收支项目",IF(P1602="未知","✗ 收支项目不在基础资料里",IF(AND(P1602="应收",J1602=""),"✗ 这笔要选客户",IF(AND(P1602="应收",COUNTIF(总览汇总!$B$5:$B$304,J1602)=0),"✗ 客户不在总览汇总名单里",IF(AND(P1602="应付",K1602=""),"✗ 这笔要选供应商",IF(AND(P1602="应付",COUNTIF(基础资料!$Q$5:$Q$54,K1602)=0),"✗ 供应商不在基础资料里",IF(AND(P1602="费用",L1602=""),"✗ 费用支出要选费用项目",IF(AND(L1602&lt;&gt;"",COUNTIF(基础资料!$AI$5:$AI$54,L1602)=0),"✗ 费用项目不在基础资料里",IF(AND(IFERROR(INDEX(基础资料!$AD$5:$AD$34,MATCH(O1602,基础资料!$AC$5:$AC$34,0)),"")="收",N(G1602)&lt;&gt;0),"✗ 这类是收款，金额填到收入列",IF(AND(IFERROR(INDEX(基础资料!$AD$5:$AD$34,MATCH(O1602,基础资料!$AC$5:$AC$34,0)),"")="支",N(F1602)&lt;&gt;0),"✗ 这类是付款，金额填到支出列",IF(N(H1602)&lt;0,"⚠ 账户余额成负数了，核对一下","√"))))))))))))))))))</f>
      </c>
      <c r="O1602" s="78">
        <f>IF(D1602&lt;&gt;"",D1602,IF(AND(F1602="",G1602=""),"",IF(J1602&lt;&gt;"",IF(N(F1602)&gt;0,"客户回款","客户退款"),IF(K1602&lt;&gt;"",IF(N(G1602)&gt;0,"供应商付款","供应商退款"),IF(L1602&lt;&gt;"","费用支出","")))))</f>
      </c>
      <c r="P1602" s="78">
        <f>IF(O1602="","",IFERROR(INDEX(基础资料!$AE$5:$AE$34,MATCH(O1602,基础资料!$AC$5:$AC$34,0)),"未知"))</f>
      </c>
      <c r="Q1602" s="78">
        <f>IF(P1602="应收",COUNTIF(P$7:P1602,"应收"),"")</f>
      </c>
      <c r="R1602" s="78">
        <f>IF(P1602="应付",COUNTIF(P$7:P1602,"应付"),"")</f>
      </c>
      <c r="S1602" s="78">
        <f>N(F1602)-N(G1602)</f>
        <v>0</v>
      </c>
    </row>
    <row r="1603">
      <c r="A1603" s="109">
        <f>IF(AND(F1603="",G1603=""),"",ROW()-6)</f>
      </c>
      <c r="B1603" s="140" t="n"/>
      <c r="C1603" s="141" t="n"/>
      <c r="D1603" s="141" t="n"/>
      <c r="E1603" s="142" t="n"/>
      <c r="F1603" s="143" t="n"/>
      <c r="G1603" s="144" t="n"/>
      <c r="H1603" s="145">
        <f>IF(OR(C1603="",AND(F1603="",G1603="")),"",SUMIF(基础资料!$W$5:$W$24,C1603,基础资料!$X$5:$X$24)+SUMIF(C$7:C1603,C1603,F$7:F1603)-SUMIF(C$7:C1603,C1603,G$7:G1603))</f>
      </c>
      <c r="I1603" s="145">
        <f>IF(AND(F1603="",G1603=""),"",SUM(基础资料!$X$5:$X$24)+SUM(F$7:F1603)-SUM(G$7:G1603))</f>
      </c>
      <c r="J1603" s="141" t="n"/>
      <c r="K1603" s="141" t="n"/>
      <c r="L1603" s="141" t="n"/>
      <c r="M1603" s="142" t="n"/>
      <c r="N1603" s="146">
        <f>IF(AND(AND(F1603="",G1603=""),B1603="",C1603="",D1603="",J1603="",K1603="",L1603=""),"",IF(AND(F1603="",G1603=""),"✗ 没填金额",IF(AND(N(F1603)&lt;&gt;0,N(G1603)&lt;&gt;0),"✗ 收入、支出只能填一边",IF(NOT(ISNUMBER(B1603)),"✗ 日期不是真日期（要像 2026/9/25 这样填）",IF(OR(B1603&lt;年初日,B1603&gt;年末日),"✗ 日期不在本会计年度",IF(C1603="","✗ 没选账户",IF(COUNTIF(基础资料!$W$5:$W$24,C1603)=0,"✗ 账户不在基础资料里",IF(O1603="","✗ 没选收支项目",IF(P1603="未知","✗ 收支项目不在基础资料里",IF(AND(P1603="应收",J1603=""),"✗ 这笔要选客户",IF(AND(P1603="应收",COUNTIF(总览汇总!$B$5:$B$304,J1603)=0),"✗ 客户不在总览汇总名单里",IF(AND(P1603="应付",K1603=""),"✗ 这笔要选供应商",IF(AND(P1603="应付",COUNTIF(基础资料!$Q$5:$Q$54,K1603)=0),"✗ 供应商不在基础资料里",IF(AND(P1603="费用",L1603=""),"✗ 费用支出要选费用项目",IF(AND(L1603&lt;&gt;"",COUNTIF(基础资料!$AI$5:$AI$54,L1603)=0),"✗ 费用项目不在基础资料里",IF(AND(IFERROR(INDEX(基础资料!$AD$5:$AD$34,MATCH(O1603,基础资料!$AC$5:$AC$34,0)),"")="收",N(G1603)&lt;&gt;0),"✗ 这类是收款，金额填到收入列",IF(AND(IFERROR(INDEX(基础资料!$AD$5:$AD$34,MATCH(O1603,基础资料!$AC$5:$AC$34,0)),"")="支",N(F1603)&lt;&gt;0),"✗ 这类是付款，金额填到支出列",IF(N(H1603)&lt;0,"⚠ 账户余额成负数了，核对一下","√"))))))))))))))))))</f>
      </c>
      <c r="O1603" s="78">
        <f>IF(D1603&lt;&gt;"",D1603,IF(AND(F1603="",G1603=""),"",IF(J1603&lt;&gt;"",IF(N(F1603)&gt;0,"客户回款","客户退款"),IF(K1603&lt;&gt;"",IF(N(G1603)&gt;0,"供应商付款","供应商退款"),IF(L1603&lt;&gt;"","费用支出","")))))</f>
      </c>
      <c r="P1603" s="78">
        <f>IF(O1603="","",IFERROR(INDEX(基础资料!$AE$5:$AE$34,MATCH(O1603,基础资料!$AC$5:$AC$34,0)),"未知"))</f>
      </c>
      <c r="Q1603" s="78">
        <f>IF(P1603="应收",COUNTIF(P$7:P1603,"应收"),"")</f>
      </c>
      <c r="R1603" s="78">
        <f>IF(P1603="应付",COUNTIF(P$7:P1603,"应付"),"")</f>
      </c>
      <c r="S1603" s="78">
        <f>N(F1603)-N(G1603)</f>
        <v>0</v>
      </c>
    </row>
    <row r="1604">
      <c r="A1604" s="109">
        <f>IF(AND(F1604="",G1604=""),"",ROW()-6)</f>
      </c>
      <c r="B1604" s="140" t="n"/>
      <c r="C1604" s="141" t="n"/>
      <c r="D1604" s="141" t="n"/>
      <c r="E1604" s="142" t="n"/>
      <c r="F1604" s="143" t="n"/>
      <c r="G1604" s="144" t="n"/>
      <c r="H1604" s="145">
        <f>IF(OR(C1604="",AND(F1604="",G1604="")),"",SUMIF(基础资料!$W$5:$W$24,C1604,基础资料!$X$5:$X$24)+SUMIF(C$7:C1604,C1604,F$7:F1604)-SUMIF(C$7:C1604,C1604,G$7:G1604))</f>
      </c>
      <c r="I1604" s="145">
        <f>IF(AND(F1604="",G1604=""),"",SUM(基础资料!$X$5:$X$24)+SUM(F$7:F1604)-SUM(G$7:G1604))</f>
      </c>
      <c r="J1604" s="141" t="n"/>
      <c r="K1604" s="141" t="n"/>
      <c r="L1604" s="141" t="n"/>
      <c r="M1604" s="142" t="n"/>
      <c r="N1604" s="146">
        <f>IF(AND(AND(F1604="",G1604=""),B1604="",C1604="",D1604="",J1604="",K1604="",L1604=""),"",IF(AND(F1604="",G1604=""),"✗ 没填金额",IF(AND(N(F1604)&lt;&gt;0,N(G1604)&lt;&gt;0),"✗ 收入、支出只能填一边",IF(NOT(ISNUMBER(B1604)),"✗ 日期不是真日期（要像 2026/9/25 这样填）",IF(OR(B1604&lt;年初日,B1604&gt;年末日),"✗ 日期不在本会计年度",IF(C1604="","✗ 没选账户",IF(COUNTIF(基础资料!$W$5:$W$24,C1604)=0,"✗ 账户不在基础资料里",IF(O1604="","✗ 没选收支项目",IF(P1604="未知","✗ 收支项目不在基础资料里",IF(AND(P1604="应收",J1604=""),"✗ 这笔要选客户",IF(AND(P1604="应收",COUNTIF(总览汇总!$B$5:$B$304,J1604)=0),"✗ 客户不在总览汇总名单里",IF(AND(P1604="应付",K1604=""),"✗ 这笔要选供应商",IF(AND(P1604="应付",COUNTIF(基础资料!$Q$5:$Q$54,K1604)=0),"✗ 供应商不在基础资料里",IF(AND(P1604="费用",L1604=""),"✗ 费用支出要选费用项目",IF(AND(L1604&lt;&gt;"",COUNTIF(基础资料!$AI$5:$AI$54,L1604)=0),"✗ 费用项目不在基础资料里",IF(AND(IFERROR(INDEX(基础资料!$AD$5:$AD$34,MATCH(O1604,基础资料!$AC$5:$AC$34,0)),"")="收",N(G1604)&lt;&gt;0),"✗ 这类是收款，金额填到收入列",IF(AND(IFERROR(INDEX(基础资料!$AD$5:$AD$34,MATCH(O1604,基础资料!$AC$5:$AC$34,0)),"")="支",N(F1604)&lt;&gt;0),"✗ 这类是付款，金额填到支出列",IF(N(H1604)&lt;0,"⚠ 账户余额成负数了，核对一下","√"))))))))))))))))))</f>
      </c>
      <c r="O1604" s="78">
        <f>IF(D1604&lt;&gt;"",D1604,IF(AND(F1604="",G1604=""),"",IF(J1604&lt;&gt;"",IF(N(F1604)&gt;0,"客户回款","客户退款"),IF(K1604&lt;&gt;"",IF(N(G1604)&gt;0,"供应商付款","供应商退款"),IF(L1604&lt;&gt;"","费用支出","")))))</f>
      </c>
      <c r="P1604" s="78">
        <f>IF(O1604="","",IFERROR(INDEX(基础资料!$AE$5:$AE$34,MATCH(O1604,基础资料!$AC$5:$AC$34,0)),"未知"))</f>
      </c>
      <c r="Q1604" s="78">
        <f>IF(P1604="应收",COUNTIF(P$7:P1604,"应收"),"")</f>
      </c>
      <c r="R1604" s="78">
        <f>IF(P1604="应付",COUNTIF(P$7:P1604,"应付"),"")</f>
      </c>
      <c r="S1604" s="78">
        <f>N(F1604)-N(G1604)</f>
        <v>0</v>
      </c>
    </row>
    <row r="1605">
      <c r="A1605" s="109">
        <f>IF(AND(F1605="",G1605=""),"",ROW()-6)</f>
      </c>
      <c r="B1605" s="140" t="n"/>
      <c r="C1605" s="141" t="n"/>
      <c r="D1605" s="141" t="n"/>
      <c r="E1605" s="142" t="n"/>
      <c r="F1605" s="143" t="n"/>
      <c r="G1605" s="144" t="n"/>
      <c r="H1605" s="145">
        <f>IF(OR(C1605="",AND(F1605="",G1605="")),"",SUMIF(基础资料!$W$5:$W$24,C1605,基础资料!$X$5:$X$24)+SUMIF(C$7:C1605,C1605,F$7:F1605)-SUMIF(C$7:C1605,C1605,G$7:G1605))</f>
      </c>
      <c r="I1605" s="145">
        <f>IF(AND(F1605="",G1605=""),"",SUM(基础资料!$X$5:$X$24)+SUM(F$7:F1605)-SUM(G$7:G1605))</f>
      </c>
      <c r="J1605" s="141" t="n"/>
      <c r="K1605" s="141" t="n"/>
      <c r="L1605" s="141" t="n"/>
      <c r="M1605" s="142" t="n"/>
      <c r="N1605" s="146">
        <f>IF(AND(AND(F1605="",G1605=""),B1605="",C1605="",D1605="",J1605="",K1605="",L1605=""),"",IF(AND(F1605="",G1605=""),"✗ 没填金额",IF(AND(N(F1605)&lt;&gt;0,N(G1605)&lt;&gt;0),"✗ 收入、支出只能填一边",IF(NOT(ISNUMBER(B1605)),"✗ 日期不是真日期（要像 2026/9/25 这样填）",IF(OR(B1605&lt;年初日,B1605&gt;年末日),"✗ 日期不在本会计年度",IF(C1605="","✗ 没选账户",IF(COUNTIF(基础资料!$W$5:$W$24,C1605)=0,"✗ 账户不在基础资料里",IF(O1605="","✗ 没选收支项目",IF(P1605="未知","✗ 收支项目不在基础资料里",IF(AND(P1605="应收",J1605=""),"✗ 这笔要选客户",IF(AND(P1605="应收",COUNTIF(总览汇总!$B$5:$B$304,J1605)=0),"✗ 客户不在总览汇总名单里",IF(AND(P1605="应付",K1605=""),"✗ 这笔要选供应商",IF(AND(P1605="应付",COUNTIF(基础资料!$Q$5:$Q$54,K1605)=0),"✗ 供应商不在基础资料里",IF(AND(P1605="费用",L1605=""),"✗ 费用支出要选费用项目",IF(AND(L1605&lt;&gt;"",COUNTIF(基础资料!$AI$5:$AI$54,L1605)=0),"✗ 费用项目不在基础资料里",IF(AND(IFERROR(INDEX(基础资料!$AD$5:$AD$34,MATCH(O1605,基础资料!$AC$5:$AC$34,0)),"")="收",N(G1605)&lt;&gt;0),"✗ 这类是收款，金额填到收入列",IF(AND(IFERROR(INDEX(基础资料!$AD$5:$AD$34,MATCH(O1605,基础资料!$AC$5:$AC$34,0)),"")="支",N(F1605)&lt;&gt;0),"✗ 这类是付款，金额填到支出列",IF(N(H1605)&lt;0,"⚠ 账户余额成负数了，核对一下","√"))))))))))))))))))</f>
      </c>
      <c r="O1605" s="78">
        <f>IF(D1605&lt;&gt;"",D1605,IF(AND(F1605="",G1605=""),"",IF(J1605&lt;&gt;"",IF(N(F1605)&gt;0,"客户回款","客户退款"),IF(K1605&lt;&gt;"",IF(N(G1605)&gt;0,"供应商付款","供应商退款"),IF(L1605&lt;&gt;"","费用支出","")))))</f>
      </c>
      <c r="P1605" s="78">
        <f>IF(O1605="","",IFERROR(INDEX(基础资料!$AE$5:$AE$34,MATCH(O1605,基础资料!$AC$5:$AC$34,0)),"未知"))</f>
      </c>
      <c r="Q1605" s="78">
        <f>IF(P1605="应收",COUNTIF(P$7:P1605,"应收"),"")</f>
      </c>
      <c r="R1605" s="78">
        <f>IF(P1605="应付",COUNTIF(P$7:P1605,"应付"),"")</f>
      </c>
      <c r="S1605" s="78">
        <f>N(F1605)-N(G1605)</f>
        <v>0</v>
      </c>
    </row>
    <row r="1606">
      <c r="A1606" s="109">
        <f>IF(AND(F1606="",G1606=""),"",ROW()-6)</f>
      </c>
      <c r="B1606" s="140" t="n"/>
      <c r="C1606" s="141" t="n"/>
      <c r="D1606" s="141" t="n"/>
      <c r="E1606" s="142" t="n"/>
      <c r="F1606" s="143" t="n"/>
      <c r="G1606" s="144" t="n"/>
      <c r="H1606" s="145">
        <f>IF(OR(C1606="",AND(F1606="",G1606="")),"",SUMIF(基础资料!$W$5:$W$24,C1606,基础资料!$X$5:$X$24)+SUMIF(C$7:C1606,C1606,F$7:F1606)-SUMIF(C$7:C1606,C1606,G$7:G1606))</f>
      </c>
      <c r="I1606" s="145">
        <f>IF(AND(F1606="",G1606=""),"",SUM(基础资料!$X$5:$X$24)+SUM(F$7:F1606)-SUM(G$7:G1606))</f>
      </c>
      <c r="J1606" s="141" t="n"/>
      <c r="K1606" s="141" t="n"/>
      <c r="L1606" s="141" t="n"/>
      <c r="M1606" s="142" t="n"/>
      <c r="N1606" s="146">
        <f>IF(AND(AND(F1606="",G1606=""),B1606="",C1606="",D1606="",J1606="",K1606="",L1606=""),"",IF(AND(F1606="",G1606=""),"✗ 没填金额",IF(AND(N(F1606)&lt;&gt;0,N(G1606)&lt;&gt;0),"✗ 收入、支出只能填一边",IF(NOT(ISNUMBER(B1606)),"✗ 日期不是真日期（要像 2026/9/25 这样填）",IF(OR(B1606&lt;年初日,B1606&gt;年末日),"✗ 日期不在本会计年度",IF(C1606="","✗ 没选账户",IF(COUNTIF(基础资料!$W$5:$W$24,C1606)=0,"✗ 账户不在基础资料里",IF(O1606="","✗ 没选收支项目",IF(P1606="未知","✗ 收支项目不在基础资料里",IF(AND(P1606="应收",J1606=""),"✗ 这笔要选客户",IF(AND(P1606="应收",COUNTIF(总览汇总!$B$5:$B$304,J1606)=0),"✗ 客户不在总览汇总名单里",IF(AND(P1606="应付",K1606=""),"✗ 这笔要选供应商",IF(AND(P1606="应付",COUNTIF(基础资料!$Q$5:$Q$54,K1606)=0),"✗ 供应商不在基础资料里",IF(AND(P1606="费用",L1606=""),"✗ 费用支出要选费用项目",IF(AND(L1606&lt;&gt;"",COUNTIF(基础资料!$AI$5:$AI$54,L1606)=0),"✗ 费用项目不在基础资料里",IF(AND(IFERROR(INDEX(基础资料!$AD$5:$AD$34,MATCH(O1606,基础资料!$AC$5:$AC$34,0)),"")="收",N(G1606)&lt;&gt;0),"✗ 这类是收款，金额填到收入列",IF(AND(IFERROR(INDEX(基础资料!$AD$5:$AD$34,MATCH(O1606,基础资料!$AC$5:$AC$34,0)),"")="支",N(F1606)&lt;&gt;0),"✗ 这类是付款，金额填到支出列",IF(N(H1606)&lt;0,"⚠ 账户余额成负数了，核对一下","√"))))))))))))))))))</f>
      </c>
      <c r="O1606" s="78">
        <f>IF(D1606&lt;&gt;"",D1606,IF(AND(F1606="",G1606=""),"",IF(J1606&lt;&gt;"",IF(N(F1606)&gt;0,"客户回款","客户退款"),IF(K1606&lt;&gt;"",IF(N(G1606)&gt;0,"供应商付款","供应商退款"),IF(L1606&lt;&gt;"","费用支出","")))))</f>
      </c>
      <c r="P1606" s="78">
        <f>IF(O1606="","",IFERROR(INDEX(基础资料!$AE$5:$AE$34,MATCH(O1606,基础资料!$AC$5:$AC$34,0)),"未知"))</f>
      </c>
      <c r="Q1606" s="78">
        <f>IF(P1606="应收",COUNTIF(P$7:P1606,"应收"),"")</f>
      </c>
      <c r="R1606" s="78">
        <f>IF(P1606="应付",COUNTIF(P$7:P1606,"应付"),"")</f>
      </c>
      <c r="S1606" s="78">
        <f>N(F1606)-N(G1606)</f>
        <v>0</v>
      </c>
    </row>
    <row r="1607">
      <c r="A1607" s="109">
        <f>IF(AND(F1607="",G1607=""),"",ROW()-6)</f>
      </c>
      <c r="B1607" s="140" t="n"/>
      <c r="C1607" s="141" t="n"/>
      <c r="D1607" s="141" t="n"/>
      <c r="E1607" s="142" t="n"/>
      <c r="F1607" s="143" t="n"/>
      <c r="G1607" s="144" t="n"/>
      <c r="H1607" s="145">
        <f>IF(OR(C1607="",AND(F1607="",G1607="")),"",SUMIF(基础资料!$W$5:$W$24,C1607,基础资料!$X$5:$X$24)+SUMIF(C$7:C1607,C1607,F$7:F1607)-SUMIF(C$7:C1607,C1607,G$7:G1607))</f>
      </c>
      <c r="I1607" s="145">
        <f>IF(AND(F1607="",G1607=""),"",SUM(基础资料!$X$5:$X$24)+SUM(F$7:F1607)-SUM(G$7:G1607))</f>
      </c>
      <c r="J1607" s="141" t="n"/>
      <c r="K1607" s="141" t="n"/>
      <c r="L1607" s="141" t="n"/>
      <c r="M1607" s="142" t="n"/>
      <c r="N1607" s="146">
        <f>IF(AND(AND(F1607="",G1607=""),B1607="",C1607="",D1607="",J1607="",K1607="",L1607=""),"",IF(AND(F1607="",G1607=""),"✗ 没填金额",IF(AND(N(F1607)&lt;&gt;0,N(G1607)&lt;&gt;0),"✗ 收入、支出只能填一边",IF(NOT(ISNUMBER(B1607)),"✗ 日期不是真日期（要像 2026/9/25 这样填）",IF(OR(B1607&lt;年初日,B1607&gt;年末日),"✗ 日期不在本会计年度",IF(C1607="","✗ 没选账户",IF(COUNTIF(基础资料!$W$5:$W$24,C1607)=0,"✗ 账户不在基础资料里",IF(O1607="","✗ 没选收支项目",IF(P1607="未知","✗ 收支项目不在基础资料里",IF(AND(P1607="应收",J1607=""),"✗ 这笔要选客户",IF(AND(P1607="应收",COUNTIF(总览汇总!$B$5:$B$304,J1607)=0),"✗ 客户不在总览汇总名单里",IF(AND(P1607="应付",K1607=""),"✗ 这笔要选供应商",IF(AND(P1607="应付",COUNTIF(基础资料!$Q$5:$Q$54,K1607)=0),"✗ 供应商不在基础资料里",IF(AND(P1607="费用",L1607=""),"✗ 费用支出要选费用项目",IF(AND(L1607&lt;&gt;"",COUNTIF(基础资料!$AI$5:$AI$54,L1607)=0),"✗ 费用项目不在基础资料里",IF(AND(IFERROR(INDEX(基础资料!$AD$5:$AD$34,MATCH(O1607,基础资料!$AC$5:$AC$34,0)),"")="收",N(G1607)&lt;&gt;0),"✗ 这类是收款，金额填到收入列",IF(AND(IFERROR(INDEX(基础资料!$AD$5:$AD$34,MATCH(O1607,基础资料!$AC$5:$AC$34,0)),"")="支",N(F1607)&lt;&gt;0),"✗ 这类是付款，金额填到支出列",IF(N(H1607)&lt;0,"⚠ 账户余额成负数了，核对一下","√"))))))))))))))))))</f>
      </c>
      <c r="O1607" s="78">
        <f>IF(D1607&lt;&gt;"",D1607,IF(AND(F1607="",G1607=""),"",IF(J1607&lt;&gt;"",IF(N(F1607)&gt;0,"客户回款","客户退款"),IF(K1607&lt;&gt;"",IF(N(G1607)&gt;0,"供应商付款","供应商退款"),IF(L1607&lt;&gt;"","费用支出","")))))</f>
      </c>
      <c r="P1607" s="78">
        <f>IF(O1607="","",IFERROR(INDEX(基础资料!$AE$5:$AE$34,MATCH(O1607,基础资料!$AC$5:$AC$34,0)),"未知"))</f>
      </c>
      <c r="Q1607" s="78">
        <f>IF(P1607="应收",COUNTIF(P$7:P1607,"应收"),"")</f>
      </c>
      <c r="R1607" s="78">
        <f>IF(P1607="应付",COUNTIF(P$7:P1607,"应付"),"")</f>
      </c>
      <c r="S1607" s="78">
        <f>N(F1607)-N(G1607)</f>
        <v>0</v>
      </c>
    </row>
    <row r="1608">
      <c r="A1608" s="109">
        <f>IF(AND(F1608="",G1608=""),"",ROW()-6)</f>
      </c>
      <c r="B1608" s="140" t="n"/>
      <c r="C1608" s="141" t="n"/>
      <c r="D1608" s="141" t="n"/>
      <c r="E1608" s="142" t="n"/>
      <c r="F1608" s="143" t="n"/>
      <c r="G1608" s="144" t="n"/>
      <c r="H1608" s="145">
        <f>IF(OR(C1608="",AND(F1608="",G1608="")),"",SUMIF(基础资料!$W$5:$W$24,C1608,基础资料!$X$5:$X$24)+SUMIF(C$7:C1608,C1608,F$7:F1608)-SUMIF(C$7:C1608,C1608,G$7:G1608))</f>
      </c>
      <c r="I1608" s="145">
        <f>IF(AND(F1608="",G1608=""),"",SUM(基础资料!$X$5:$X$24)+SUM(F$7:F1608)-SUM(G$7:G1608))</f>
      </c>
      <c r="J1608" s="141" t="n"/>
      <c r="K1608" s="141" t="n"/>
      <c r="L1608" s="141" t="n"/>
      <c r="M1608" s="142" t="n"/>
      <c r="N1608" s="146">
        <f>IF(AND(AND(F1608="",G1608=""),B1608="",C1608="",D1608="",J1608="",K1608="",L1608=""),"",IF(AND(F1608="",G1608=""),"✗ 没填金额",IF(AND(N(F1608)&lt;&gt;0,N(G1608)&lt;&gt;0),"✗ 收入、支出只能填一边",IF(NOT(ISNUMBER(B1608)),"✗ 日期不是真日期（要像 2026/9/25 这样填）",IF(OR(B1608&lt;年初日,B1608&gt;年末日),"✗ 日期不在本会计年度",IF(C1608="","✗ 没选账户",IF(COUNTIF(基础资料!$W$5:$W$24,C1608)=0,"✗ 账户不在基础资料里",IF(O1608="","✗ 没选收支项目",IF(P1608="未知","✗ 收支项目不在基础资料里",IF(AND(P1608="应收",J1608=""),"✗ 这笔要选客户",IF(AND(P1608="应收",COUNTIF(总览汇总!$B$5:$B$304,J1608)=0),"✗ 客户不在总览汇总名单里",IF(AND(P1608="应付",K1608=""),"✗ 这笔要选供应商",IF(AND(P1608="应付",COUNTIF(基础资料!$Q$5:$Q$54,K1608)=0),"✗ 供应商不在基础资料里",IF(AND(P1608="费用",L1608=""),"✗ 费用支出要选费用项目",IF(AND(L1608&lt;&gt;"",COUNTIF(基础资料!$AI$5:$AI$54,L1608)=0),"✗ 费用项目不在基础资料里",IF(AND(IFERROR(INDEX(基础资料!$AD$5:$AD$34,MATCH(O1608,基础资料!$AC$5:$AC$34,0)),"")="收",N(G1608)&lt;&gt;0),"✗ 这类是收款，金额填到收入列",IF(AND(IFERROR(INDEX(基础资料!$AD$5:$AD$34,MATCH(O1608,基础资料!$AC$5:$AC$34,0)),"")="支",N(F1608)&lt;&gt;0),"✗ 这类是付款，金额填到支出列",IF(N(H1608)&lt;0,"⚠ 账户余额成负数了，核对一下","√"))))))))))))))))))</f>
      </c>
      <c r="O1608" s="78">
        <f>IF(D1608&lt;&gt;"",D1608,IF(AND(F1608="",G1608=""),"",IF(J1608&lt;&gt;"",IF(N(F1608)&gt;0,"客户回款","客户退款"),IF(K1608&lt;&gt;"",IF(N(G1608)&gt;0,"供应商付款","供应商退款"),IF(L1608&lt;&gt;"","费用支出","")))))</f>
      </c>
      <c r="P1608" s="78">
        <f>IF(O1608="","",IFERROR(INDEX(基础资料!$AE$5:$AE$34,MATCH(O1608,基础资料!$AC$5:$AC$34,0)),"未知"))</f>
      </c>
      <c r="Q1608" s="78">
        <f>IF(P1608="应收",COUNTIF(P$7:P1608,"应收"),"")</f>
      </c>
      <c r="R1608" s="78">
        <f>IF(P1608="应付",COUNTIF(P$7:P1608,"应付"),"")</f>
      </c>
      <c r="S1608" s="78">
        <f>N(F1608)-N(G1608)</f>
        <v>0</v>
      </c>
    </row>
    <row r="1609">
      <c r="A1609" s="109">
        <f>IF(AND(F1609="",G1609=""),"",ROW()-6)</f>
      </c>
      <c r="B1609" s="140" t="n"/>
      <c r="C1609" s="141" t="n"/>
      <c r="D1609" s="141" t="n"/>
      <c r="E1609" s="142" t="n"/>
      <c r="F1609" s="143" t="n"/>
      <c r="G1609" s="144" t="n"/>
      <c r="H1609" s="145">
        <f>IF(OR(C1609="",AND(F1609="",G1609="")),"",SUMIF(基础资料!$W$5:$W$24,C1609,基础资料!$X$5:$X$24)+SUMIF(C$7:C1609,C1609,F$7:F1609)-SUMIF(C$7:C1609,C1609,G$7:G1609))</f>
      </c>
      <c r="I1609" s="145">
        <f>IF(AND(F1609="",G1609=""),"",SUM(基础资料!$X$5:$X$24)+SUM(F$7:F1609)-SUM(G$7:G1609))</f>
      </c>
      <c r="J1609" s="141" t="n"/>
      <c r="K1609" s="141" t="n"/>
      <c r="L1609" s="141" t="n"/>
      <c r="M1609" s="142" t="n"/>
      <c r="N1609" s="146">
        <f>IF(AND(AND(F1609="",G1609=""),B1609="",C1609="",D1609="",J1609="",K1609="",L1609=""),"",IF(AND(F1609="",G1609=""),"✗ 没填金额",IF(AND(N(F1609)&lt;&gt;0,N(G1609)&lt;&gt;0),"✗ 收入、支出只能填一边",IF(NOT(ISNUMBER(B1609)),"✗ 日期不是真日期（要像 2026/9/25 这样填）",IF(OR(B1609&lt;年初日,B1609&gt;年末日),"✗ 日期不在本会计年度",IF(C1609="","✗ 没选账户",IF(COUNTIF(基础资料!$W$5:$W$24,C1609)=0,"✗ 账户不在基础资料里",IF(O1609="","✗ 没选收支项目",IF(P1609="未知","✗ 收支项目不在基础资料里",IF(AND(P1609="应收",J1609=""),"✗ 这笔要选客户",IF(AND(P1609="应收",COUNTIF(总览汇总!$B$5:$B$304,J1609)=0),"✗ 客户不在总览汇总名单里",IF(AND(P1609="应付",K1609=""),"✗ 这笔要选供应商",IF(AND(P1609="应付",COUNTIF(基础资料!$Q$5:$Q$54,K1609)=0),"✗ 供应商不在基础资料里",IF(AND(P1609="费用",L1609=""),"✗ 费用支出要选费用项目",IF(AND(L1609&lt;&gt;"",COUNTIF(基础资料!$AI$5:$AI$54,L1609)=0),"✗ 费用项目不在基础资料里",IF(AND(IFERROR(INDEX(基础资料!$AD$5:$AD$34,MATCH(O1609,基础资料!$AC$5:$AC$34,0)),"")="收",N(G1609)&lt;&gt;0),"✗ 这类是收款，金额填到收入列",IF(AND(IFERROR(INDEX(基础资料!$AD$5:$AD$34,MATCH(O1609,基础资料!$AC$5:$AC$34,0)),"")="支",N(F1609)&lt;&gt;0),"✗ 这类是付款，金额填到支出列",IF(N(H1609)&lt;0,"⚠ 账户余额成负数了，核对一下","√"))))))))))))))))))</f>
      </c>
      <c r="O1609" s="78">
        <f>IF(D1609&lt;&gt;"",D1609,IF(AND(F1609="",G1609=""),"",IF(J1609&lt;&gt;"",IF(N(F1609)&gt;0,"客户回款","客户退款"),IF(K1609&lt;&gt;"",IF(N(G1609)&gt;0,"供应商付款","供应商退款"),IF(L1609&lt;&gt;"","费用支出","")))))</f>
      </c>
      <c r="P1609" s="78">
        <f>IF(O1609="","",IFERROR(INDEX(基础资料!$AE$5:$AE$34,MATCH(O1609,基础资料!$AC$5:$AC$34,0)),"未知"))</f>
      </c>
      <c r="Q1609" s="78">
        <f>IF(P1609="应收",COUNTIF(P$7:P1609,"应收"),"")</f>
      </c>
      <c r="R1609" s="78">
        <f>IF(P1609="应付",COUNTIF(P$7:P1609,"应付"),"")</f>
      </c>
      <c r="S1609" s="78">
        <f>N(F1609)-N(G1609)</f>
        <v>0</v>
      </c>
    </row>
    <row r="1610">
      <c r="A1610" s="109">
        <f>IF(AND(F1610="",G1610=""),"",ROW()-6)</f>
      </c>
      <c r="B1610" s="140" t="n"/>
      <c r="C1610" s="141" t="n"/>
      <c r="D1610" s="141" t="n"/>
      <c r="E1610" s="142" t="n"/>
      <c r="F1610" s="143" t="n"/>
      <c r="G1610" s="144" t="n"/>
      <c r="H1610" s="145">
        <f>IF(OR(C1610="",AND(F1610="",G1610="")),"",SUMIF(基础资料!$W$5:$W$24,C1610,基础资料!$X$5:$X$24)+SUMIF(C$7:C1610,C1610,F$7:F1610)-SUMIF(C$7:C1610,C1610,G$7:G1610))</f>
      </c>
      <c r="I1610" s="145">
        <f>IF(AND(F1610="",G1610=""),"",SUM(基础资料!$X$5:$X$24)+SUM(F$7:F1610)-SUM(G$7:G1610))</f>
      </c>
      <c r="J1610" s="141" t="n"/>
      <c r="K1610" s="141" t="n"/>
      <c r="L1610" s="141" t="n"/>
      <c r="M1610" s="142" t="n"/>
      <c r="N1610" s="146">
        <f>IF(AND(AND(F1610="",G1610=""),B1610="",C1610="",D1610="",J1610="",K1610="",L1610=""),"",IF(AND(F1610="",G1610=""),"✗ 没填金额",IF(AND(N(F1610)&lt;&gt;0,N(G1610)&lt;&gt;0),"✗ 收入、支出只能填一边",IF(NOT(ISNUMBER(B1610)),"✗ 日期不是真日期（要像 2026/9/25 这样填）",IF(OR(B1610&lt;年初日,B1610&gt;年末日),"✗ 日期不在本会计年度",IF(C1610="","✗ 没选账户",IF(COUNTIF(基础资料!$W$5:$W$24,C1610)=0,"✗ 账户不在基础资料里",IF(O1610="","✗ 没选收支项目",IF(P1610="未知","✗ 收支项目不在基础资料里",IF(AND(P1610="应收",J1610=""),"✗ 这笔要选客户",IF(AND(P1610="应收",COUNTIF(总览汇总!$B$5:$B$304,J1610)=0),"✗ 客户不在总览汇总名单里",IF(AND(P1610="应付",K1610=""),"✗ 这笔要选供应商",IF(AND(P1610="应付",COUNTIF(基础资料!$Q$5:$Q$54,K1610)=0),"✗ 供应商不在基础资料里",IF(AND(P1610="费用",L1610=""),"✗ 费用支出要选费用项目",IF(AND(L1610&lt;&gt;"",COUNTIF(基础资料!$AI$5:$AI$54,L1610)=0),"✗ 费用项目不在基础资料里",IF(AND(IFERROR(INDEX(基础资料!$AD$5:$AD$34,MATCH(O1610,基础资料!$AC$5:$AC$34,0)),"")="收",N(G1610)&lt;&gt;0),"✗ 这类是收款，金额填到收入列",IF(AND(IFERROR(INDEX(基础资料!$AD$5:$AD$34,MATCH(O1610,基础资料!$AC$5:$AC$34,0)),"")="支",N(F1610)&lt;&gt;0),"✗ 这类是付款，金额填到支出列",IF(N(H1610)&lt;0,"⚠ 账户余额成负数了，核对一下","√"))))))))))))))))))</f>
      </c>
      <c r="O1610" s="78">
        <f>IF(D1610&lt;&gt;"",D1610,IF(AND(F1610="",G1610=""),"",IF(J1610&lt;&gt;"",IF(N(F1610)&gt;0,"客户回款","客户退款"),IF(K1610&lt;&gt;"",IF(N(G1610)&gt;0,"供应商付款","供应商退款"),IF(L1610&lt;&gt;"","费用支出","")))))</f>
      </c>
      <c r="P1610" s="78">
        <f>IF(O1610="","",IFERROR(INDEX(基础资料!$AE$5:$AE$34,MATCH(O1610,基础资料!$AC$5:$AC$34,0)),"未知"))</f>
      </c>
      <c r="Q1610" s="78">
        <f>IF(P1610="应收",COUNTIF(P$7:P1610,"应收"),"")</f>
      </c>
      <c r="R1610" s="78">
        <f>IF(P1610="应付",COUNTIF(P$7:P1610,"应付"),"")</f>
      </c>
      <c r="S1610" s="78">
        <f>N(F1610)-N(G1610)</f>
        <v>0</v>
      </c>
    </row>
    <row r="1611">
      <c r="A1611" s="109">
        <f>IF(AND(F1611="",G1611=""),"",ROW()-6)</f>
      </c>
      <c r="B1611" s="140" t="n"/>
      <c r="C1611" s="141" t="n"/>
      <c r="D1611" s="141" t="n"/>
      <c r="E1611" s="142" t="n"/>
      <c r="F1611" s="143" t="n"/>
      <c r="G1611" s="144" t="n"/>
      <c r="H1611" s="145">
        <f>IF(OR(C1611="",AND(F1611="",G1611="")),"",SUMIF(基础资料!$W$5:$W$24,C1611,基础资料!$X$5:$X$24)+SUMIF(C$7:C1611,C1611,F$7:F1611)-SUMIF(C$7:C1611,C1611,G$7:G1611))</f>
      </c>
      <c r="I1611" s="145">
        <f>IF(AND(F1611="",G1611=""),"",SUM(基础资料!$X$5:$X$24)+SUM(F$7:F1611)-SUM(G$7:G1611))</f>
      </c>
      <c r="J1611" s="141" t="n"/>
      <c r="K1611" s="141" t="n"/>
      <c r="L1611" s="141" t="n"/>
      <c r="M1611" s="142" t="n"/>
      <c r="N1611" s="146">
        <f>IF(AND(AND(F1611="",G1611=""),B1611="",C1611="",D1611="",J1611="",K1611="",L1611=""),"",IF(AND(F1611="",G1611=""),"✗ 没填金额",IF(AND(N(F1611)&lt;&gt;0,N(G1611)&lt;&gt;0),"✗ 收入、支出只能填一边",IF(NOT(ISNUMBER(B1611)),"✗ 日期不是真日期（要像 2026/9/25 这样填）",IF(OR(B1611&lt;年初日,B1611&gt;年末日),"✗ 日期不在本会计年度",IF(C1611="","✗ 没选账户",IF(COUNTIF(基础资料!$W$5:$W$24,C1611)=0,"✗ 账户不在基础资料里",IF(O1611="","✗ 没选收支项目",IF(P1611="未知","✗ 收支项目不在基础资料里",IF(AND(P1611="应收",J1611=""),"✗ 这笔要选客户",IF(AND(P1611="应收",COUNTIF(总览汇总!$B$5:$B$304,J1611)=0),"✗ 客户不在总览汇总名单里",IF(AND(P1611="应付",K1611=""),"✗ 这笔要选供应商",IF(AND(P1611="应付",COUNTIF(基础资料!$Q$5:$Q$54,K1611)=0),"✗ 供应商不在基础资料里",IF(AND(P1611="费用",L1611=""),"✗ 费用支出要选费用项目",IF(AND(L1611&lt;&gt;"",COUNTIF(基础资料!$AI$5:$AI$54,L1611)=0),"✗ 费用项目不在基础资料里",IF(AND(IFERROR(INDEX(基础资料!$AD$5:$AD$34,MATCH(O1611,基础资料!$AC$5:$AC$34,0)),"")="收",N(G1611)&lt;&gt;0),"✗ 这类是收款，金额填到收入列",IF(AND(IFERROR(INDEX(基础资料!$AD$5:$AD$34,MATCH(O1611,基础资料!$AC$5:$AC$34,0)),"")="支",N(F1611)&lt;&gt;0),"✗ 这类是付款，金额填到支出列",IF(N(H1611)&lt;0,"⚠ 账户余额成负数了，核对一下","√"))))))))))))))))))</f>
      </c>
      <c r="O1611" s="78">
        <f>IF(D1611&lt;&gt;"",D1611,IF(AND(F1611="",G1611=""),"",IF(J1611&lt;&gt;"",IF(N(F1611)&gt;0,"客户回款","客户退款"),IF(K1611&lt;&gt;"",IF(N(G1611)&gt;0,"供应商付款","供应商退款"),IF(L1611&lt;&gt;"","费用支出","")))))</f>
      </c>
      <c r="P1611" s="78">
        <f>IF(O1611="","",IFERROR(INDEX(基础资料!$AE$5:$AE$34,MATCH(O1611,基础资料!$AC$5:$AC$34,0)),"未知"))</f>
      </c>
      <c r="Q1611" s="78">
        <f>IF(P1611="应收",COUNTIF(P$7:P1611,"应收"),"")</f>
      </c>
      <c r="R1611" s="78">
        <f>IF(P1611="应付",COUNTIF(P$7:P1611,"应付"),"")</f>
      </c>
      <c r="S1611" s="78">
        <f>N(F1611)-N(G1611)</f>
        <v>0</v>
      </c>
    </row>
    <row r="1612">
      <c r="A1612" s="109">
        <f>IF(AND(F1612="",G1612=""),"",ROW()-6)</f>
      </c>
      <c r="B1612" s="140" t="n"/>
      <c r="C1612" s="141" t="n"/>
      <c r="D1612" s="141" t="n"/>
      <c r="E1612" s="142" t="n"/>
      <c r="F1612" s="143" t="n"/>
      <c r="G1612" s="144" t="n"/>
      <c r="H1612" s="145">
        <f>IF(OR(C1612="",AND(F1612="",G1612="")),"",SUMIF(基础资料!$W$5:$W$24,C1612,基础资料!$X$5:$X$24)+SUMIF(C$7:C1612,C1612,F$7:F1612)-SUMIF(C$7:C1612,C1612,G$7:G1612))</f>
      </c>
      <c r="I1612" s="145">
        <f>IF(AND(F1612="",G1612=""),"",SUM(基础资料!$X$5:$X$24)+SUM(F$7:F1612)-SUM(G$7:G1612))</f>
      </c>
      <c r="J1612" s="141" t="n"/>
      <c r="K1612" s="141" t="n"/>
      <c r="L1612" s="141" t="n"/>
      <c r="M1612" s="142" t="n"/>
      <c r="N1612" s="146">
        <f>IF(AND(AND(F1612="",G1612=""),B1612="",C1612="",D1612="",J1612="",K1612="",L1612=""),"",IF(AND(F1612="",G1612=""),"✗ 没填金额",IF(AND(N(F1612)&lt;&gt;0,N(G1612)&lt;&gt;0),"✗ 收入、支出只能填一边",IF(NOT(ISNUMBER(B1612)),"✗ 日期不是真日期（要像 2026/9/25 这样填）",IF(OR(B1612&lt;年初日,B1612&gt;年末日),"✗ 日期不在本会计年度",IF(C1612="","✗ 没选账户",IF(COUNTIF(基础资料!$W$5:$W$24,C1612)=0,"✗ 账户不在基础资料里",IF(O1612="","✗ 没选收支项目",IF(P1612="未知","✗ 收支项目不在基础资料里",IF(AND(P1612="应收",J1612=""),"✗ 这笔要选客户",IF(AND(P1612="应收",COUNTIF(总览汇总!$B$5:$B$304,J1612)=0),"✗ 客户不在总览汇总名单里",IF(AND(P1612="应付",K1612=""),"✗ 这笔要选供应商",IF(AND(P1612="应付",COUNTIF(基础资料!$Q$5:$Q$54,K1612)=0),"✗ 供应商不在基础资料里",IF(AND(P1612="费用",L1612=""),"✗ 费用支出要选费用项目",IF(AND(L1612&lt;&gt;"",COUNTIF(基础资料!$AI$5:$AI$54,L1612)=0),"✗ 费用项目不在基础资料里",IF(AND(IFERROR(INDEX(基础资料!$AD$5:$AD$34,MATCH(O1612,基础资料!$AC$5:$AC$34,0)),"")="收",N(G1612)&lt;&gt;0),"✗ 这类是收款，金额填到收入列",IF(AND(IFERROR(INDEX(基础资料!$AD$5:$AD$34,MATCH(O1612,基础资料!$AC$5:$AC$34,0)),"")="支",N(F1612)&lt;&gt;0),"✗ 这类是付款，金额填到支出列",IF(N(H1612)&lt;0,"⚠ 账户余额成负数了，核对一下","√"))))))))))))))))))</f>
      </c>
      <c r="O1612" s="78">
        <f>IF(D1612&lt;&gt;"",D1612,IF(AND(F1612="",G1612=""),"",IF(J1612&lt;&gt;"",IF(N(F1612)&gt;0,"客户回款","客户退款"),IF(K1612&lt;&gt;"",IF(N(G1612)&gt;0,"供应商付款","供应商退款"),IF(L1612&lt;&gt;"","费用支出","")))))</f>
      </c>
      <c r="P1612" s="78">
        <f>IF(O1612="","",IFERROR(INDEX(基础资料!$AE$5:$AE$34,MATCH(O1612,基础资料!$AC$5:$AC$34,0)),"未知"))</f>
      </c>
      <c r="Q1612" s="78">
        <f>IF(P1612="应收",COUNTIF(P$7:P1612,"应收"),"")</f>
      </c>
      <c r="R1612" s="78">
        <f>IF(P1612="应付",COUNTIF(P$7:P1612,"应付"),"")</f>
      </c>
      <c r="S1612" s="78">
        <f>N(F1612)-N(G1612)</f>
        <v>0</v>
      </c>
    </row>
    <row r="1613">
      <c r="A1613" s="109">
        <f>IF(AND(F1613="",G1613=""),"",ROW()-6)</f>
      </c>
      <c r="B1613" s="140" t="n"/>
      <c r="C1613" s="141" t="n"/>
      <c r="D1613" s="141" t="n"/>
      <c r="E1613" s="142" t="n"/>
      <c r="F1613" s="143" t="n"/>
      <c r="G1613" s="144" t="n"/>
      <c r="H1613" s="145">
        <f>IF(OR(C1613="",AND(F1613="",G1613="")),"",SUMIF(基础资料!$W$5:$W$24,C1613,基础资料!$X$5:$X$24)+SUMIF(C$7:C1613,C1613,F$7:F1613)-SUMIF(C$7:C1613,C1613,G$7:G1613))</f>
      </c>
      <c r="I1613" s="145">
        <f>IF(AND(F1613="",G1613=""),"",SUM(基础资料!$X$5:$X$24)+SUM(F$7:F1613)-SUM(G$7:G1613))</f>
      </c>
      <c r="J1613" s="141" t="n"/>
      <c r="K1613" s="141" t="n"/>
      <c r="L1613" s="141" t="n"/>
      <c r="M1613" s="142" t="n"/>
      <c r="N1613" s="146">
        <f>IF(AND(AND(F1613="",G1613=""),B1613="",C1613="",D1613="",J1613="",K1613="",L1613=""),"",IF(AND(F1613="",G1613=""),"✗ 没填金额",IF(AND(N(F1613)&lt;&gt;0,N(G1613)&lt;&gt;0),"✗ 收入、支出只能填一边",IF(NOT(ISNUMBER(B1613)),"✗ 日期不是真日期（要像 2026/9/25 这样填）",IF(OR(B1613&lt;年初日,B1613&gt;年末日),"✗ 日期不在本会计年度",IF(C1613="","✗ 没选账户",IF(COUNTIF(基础资料!$W$5:$W$24,C1613)=0,"✗ 账户不在基础资料里",IF(O1613="","✗ 没选收支项目",IF(P1613="未知","✗ 收支项目不在基础资料里",IF(AND(P1613="应收",J1613=""),"✗ 这笔要选客户",IF(AND(P1613="应收",COUNTIF(总览汇总!$B$5:$B$304,J1613)=0),"✗ 客户不在总览汇总名单里",IF(AND(P1613="应付",K1613=""),"✗ 这笔要选供应商",IF(AND(P1613="应付",COUNTIF(基础资料!$Q$5:$Q$54,K1613)=0),"✗ 供应商不在基础资料里",IF(AND(P1613="费用",L1613=""),"✗ 费用支出要选费用项目",IF(AND(L1613&lt;&gt;"",COUNTIF(基础资料!$AI$5:$AI$54,L1613)=0),"✗ 费用项目不在基础资料里",IF(AND(IFERROR(INDEX(基础资料!$AD$5:$AD$34,MATCH(O1613,基础资料!$AC$5:$AC$34,0)),"")="收",N(G1613)&lt;&gt;0),"✗ 这类是收款，金额填到收入列",IF(AND(IFERROR(INDEX(基础资料!$AD$5:$AD$34,MATCH(O1613,基础资料!$AC$5:$AC$34,0)),"")="支",N(F1613)&lt;&gt;0),"✗ 这类是付款，金额填到支出列",IF(N(H1613)&lt;0,"⚠ 账户余额成负数了，核对一下","√"))))))))))))))))))</f>
      </c>
      <c r="O1613" s="78">
        <f>IF(D1613&lt;&gt;"",D1613,IF(AND(F1613="",G1613=""),"",IF(J1613&lt;&gt;"",IF(N(F1613)&gt;0,"客户回款","客户退款"),IF(K1613&lt;&gt;"",IF(N(G1613)&gt;0,"供应商付款","供应商退款"),IF(L1613&lt;&gt;"","费用支出","")))))</f>
      </c>
      <c r="P1613" s="78">
        <f>IF(O1613="","",IFERROR(INDEX(基础资料!$AE$5:$AE$34,MATCH(O1613,基础资料!$AC$5:$AC$34,0)),"未知"))</f>
      </c>
      <c r="Q1613" s="78">
        <f>IF(P1613="应收",COUNTIF(P$7:P1613,"应收"),"")</f>
      </c>
      <c r="R1613" s="78">
        <f>IF(P1613="应付",COUNTIF(P$7:P1613,"应付"),"")</f>
      </c>
      <c r="S1613" s="78">
        <f>N(F1613)-N(G1613)</f>
        <v>0</v>
      </c>
    </row>
    <row r="1614">
      <c r="A1614" s="109">
        <f>IF(AND(F1614="",G1614=""),"",ROW()-6)</f>
      </c>
      <c r="B1614" s="140" t="n"/>
      <c r="C1614" s="141" t="n"/>
      <c r="D1614" s="141" t="n"/>
      <c r="E1614" s="142" t="n"/>
      <c r="F1614" s="143" t="n"/>
      <c r="G1614" s="144" t="n"/>
      <c r="H1614" s="145">
        <f>IF(OR(C1614="",AND(F1614="",G1614="")),"",SUMIF(基础资料!$W$5:$W$24,C1614,基础资料!$X$5:$X$24)+SUMIF(C$7:C1614,C1614,F$7:F1614)-SUMIF(C$7:C1614,C1614,G$7:G1614))</f>
      </c>
      <c r="I1614" s="145">
        <f>IF(AND(F1614="",G1614=""),"",SUM(基础资料!$X$5:$X$24)+SUM(F$7:F1614)-SUM(G$7:G1614))</f>
      </c>
      <c r="J1614" s="141" t="n"/>
      <c r="K1614" s="141" t="n"/>
      <c r="L1614" s="141" t="n"/>
      <c r="M1614" s="142" t="n"/>
      <c r="N1614" s="146">
        <f>IF(AND(AND(F1614="",G1614=""),B1614="",C1614="",D1614="",J1614="",K1614="",L1614=""),"",IF(AND(F1614="",G1614=""),"✗ 没填金额",IF(AND(N(F1614)&lt;&gt;0,N(G1614)&lt;&gt;0),"✗ 收入、支出只能填一边",IF(NOT(ISNUMBER(B1614)),"✗ 日期不是真日期（要像 2026/9/25 这样填）",IF(OR(B1614&lt;年初日,B1614&gt;年末日),"✗ 日期不在本会计年度",IF(C1614="","✗ 没选账户",IF(COUNTIF(基础资料!$W$5:$W$24,C1614)=0,"✗ 账户不在基础资料里",IF(O1614="","✗ 没选收支项目",IF(P1614="未知","✗ 收支项目不在基础资料里",IF(AND(P1614="应收",J1614=""),"✗ 这笔要选客户",IF(AND(P1614="应收",COUNTIF(总览汇总!$B$5:$B$304,J1614)=0),"✗ 客户不在总览汇总名单里",IF(AND(P1614="应付",K1614=""),"✗ 这笔要选供应商",IF(AND(P1614="应付",COUNTIF(基础资料!$Q$5:$Q$54,K1614)=0),"✗ 供应商不在基础资料里",IF(AND(P1614="费用",L1614=""),"✗ 费用支出要选费用项目",IF(AND(L1614&lt;&gt;"",COUNTIF(基础资料!$AI$5:$AI$54,L1614)=0),"✗ 费用项目不在基础资料里",IF(AND(IFERROR(INDEX(基础资料!$AD$5:$AD$34,MATCH(O1614,基础资料!$AC$5:$AC$34,0)),"")="收",N(G1614)&lt;&gt;0),"✗ 这类是收款，金额填到收入列",IF(AND(IFERROR(INDEX(基础资料!$AD$5:$AD$34,MATCH(O1614,基础资料!$AC$5:$AC$34,0)),"")="支",N(F1614)&lt;&gt;0),"✗ 这类是付款，金额填到支出列",IF(N(H1614)&lt;0,"⚠ 账户余额成负数了，核对一下","√"))))))))))))))))))</f>
      </c>
      <c r="O1614" s="78">
        <f>IF(D1614&lt;&gt;"",D1614,IF(AND(F1614="",G1614=""),"",IF(J1614&lt;&gt;"",IF(N(F1614)&gt;0,"客户回款","客户退款"),IF(K1614&lt;&gt;"",IF(N(G1614)&gt;0,"供应商付款","供应商退款"),IF(L1614&lt;&gt;"","费用支出","")))))</f>
      </c>
      <c r="P1614" s="78">
        <f>IF(O1614="","",IFERROR(INDEX(基础资料!$AE$5:$AE$34,MATCH(O1614,基础资料!$AC$5:$AC$34,0)),"未知"))</f>
      </c>
      <c r="Q1614" s="78">
        <f>IF(P1614="应收",COUNTIF(P$7:P1614,"应收"),"")</f>
      </c>
      <c r="R1614" s="78">
        <f>IF(P1614="应付",COUNTIF(P$7:P1614,"应付"),"")</f>
      </c>
      <c r="S1614" s="78">
        <f>N(F1614)-N(G1614)</f>
        <v>0</v>
      </c>
    </row>
    <row r="1615">
      <c r="A1615" s="109">
        <f>IF(AND(F1615="",G1615=""),"",ROW()-6)</f>
      </c>
      <c r="B1615" s="140" t="n"/>
      <c r="C1615" s="141" t="n"/>
      <c r="D1615" s="141" t="n"/>
      <c r="E1615" s="142" t="n"/>
      <c r="F1615" s="143" t="n"/>
      <c r="G1615" s="144" t="n"/>
      <c r="H1615" s="145">
        <f>IF(OR(C1615="",AND(F1615="",G1615="")),"",SUMIF(基础资料!$W$5:$W$24,C1615,基础资料!$X$5:$X$24)+SUMIF(C$7:C1615,C1615,F$7:F1615)-SUMIF(C$7:C1615,C1615,G$7:G1615))</f>
      </c>
      <c r="I1615" s="145">
        <f>IF(AND(F1615="",G1615=""),"",SUM(基础资料!$X$5:$X$24)+SUM(F$7:F1615)-SUM(G$7:G1615))</f>
      </c>
      <c r="J1615" s="141" t="n"/>
      <c r="K1615" s="141" t="n"/>
      <c r="L1615" s="141" t="n"/>
      <c r="M1615" s="142" t="n"/>
      <c r="N1615" s="146">
        <f>IF(AND(AND(F1615="",G1615=""),B1615="",C1615="",D1615="",J1615="",K1615="",L1615=""),"",IF(AND(F1615="",G1615=""),"✗ 没填金额",IF(AND(N(F1615)&lt;&gt;0,N(G1615)&lt;&gt;0),"✗ 收入、支出只能填一边",IF(NOT(ISNUMBER(B1615)),"✗ 日期不是真日期（要像 2026/9/25 这样填）",IF(OR(B1615&lt;年初日,B1615&gt;年末日),"✗ 日期不在本会计年度",IF(C1615="","✗ 没选账户",IF(COUNTIF(基础资料!$W$5:$W$24,C1615)=0,"✗ 账户不在基础资料里",IF(O1615="","✗ 没选收支项目",IF(P1615="未知","✗ 收支项目不在基础资料里",IF(AND(P1615="应收",J1615=""),"✗ 这笔要选客户",IF(AND(P1615="应收",COUNTIF(总览汇总!$B$5:$B$304,J1615)=0),"✗ 客户不在总览汇总名单里",IF(AND(P1615="应付",K1615=""),"✗ 这笔要选供应商",IF(AND(P1615="应付",COUNTIF(基础资料!$Q$5:$Q$54,K1615)=0),"✗ 供应商不在基础资料里",IF(AND(P1615="费用",L1615=""),"✗ 费用支出要选费用项目",IF(AND(L1615&lt;&gt;"",COUNTIF(基础资料!$AI$5:$AI$54,L1615)=0),"✗ 费用项目不在基础资料里",IF(AND(IFERROR(INDEX(基础资料!$AD$5:$AD$34,MATCH(O1615,基础资料!$AC$5:$AC$34,0)),"")="收",N(G1615)&lt;&gt;0),"✗ 这类是收款，金额填到收入列",IF(AND(IFERROR(INDEX(基础资料!$AD$5:$AD$34,MATCH(O1615,基础资料!$AC$5:$AC$34,0)),"")="支",N(F1615)&lt;&gt;0),"✗ 这类是付款，金额填到支出列",IF(N(H1615)&lt;0,"⚠ 账户余额成负数了，核对一下","√"))))))))))))))))))</f>
      </c>
      <c r="O1615" s="78">
        <f>IF(D1615&lt;&gt;"",D1615,IF(AND(F1615="",G1615=""),"",IF(J1615&lt;&gt;"",IF(N(F1615)&gt;0,"客户回款","客户退款"),IF(K1615&lt;&gt;"",IF(N(G1615)&gt;0,"供应商付款","供应商退款"),IF(L1615&lt;&gt;"","费用支出","")))))</f>
      </c>
      <c r="P1615" s="78">
        <f>IF(O1615="","",IFERROR(INDEX(基础资料!$AE$5:$AE$34,MATCH(O1615,基础资料!$AC$5:$AC$34,0)),"未知"))</f>
      </c>
      <c r="Q1615" s="78">
        <f>IF(P1615="应收",COUNTIF(P$7:P1615,"应收"),"")</f>
      </c>
      <c r="R1615" s="78">
        <f>IF(P1615="应付",COUNTIF(P$7:P1615,"应付"),"")</f>
      </c>
      <c r="S1615" s="78">
        <f>N(F1615)-N(G1615)</f>
        <v>0</v>
      </c>
    </row>
    <row r="1616">
      <c r="A1616" s="109">
        <f>IF(AND(F1616="",G1616=""),"",ROW()-6)</f>
      </c>
      <c r="B1616" s="140" t="n"/>
      <c r="C1616" s="141" t="n"/>
      <c r="D1616" s="141" t="n"/>
      <c r="E1616" s="142" t="n"/>
      <c r="F1616" s="143" t="n"/>
      <c r="G1616" s="144" t="n"/>
      <c r="H1616" s="145">
        <f>IF(OR(C1616="",AND(F1616="",G1616="")),"",SUMIF(基础资料!$W$5:$W$24,C1616,基础资料!$X$5:$X$24)+SUMIF(C$7:C1616,C1616,F$7:F1616)-SUMIF(C$7:C1616,C1616,G$7:G1616))</f>
      </c>
      <c r="I1616" s="145">
        <f>IF(AND(F1616="",G1616=""),"",SUM(基础资料!$X$5:$X$24)+SUM(F$7:F1616)-SUM(G$7:G1616))</f>
      </c>
      <c r="J1616" s="141" t="n"/>
      <c r="K1616" s="141" t="n"/>
      <c r="L1616" s="141" t="n"/>
      <c r="M1616" s="142" t="n"/>
      <c r="N1616" s="146">
        <f>IF(AND(AND(F1616="",G1616=""),B1616="",C1616="",D1616="",J1616="",K1616="",L1616=""),"",IF(AND(F1616="",G1616=""),"✗ 没填金额",IF(AND(N(F1616)&lt;&gt;0,N(G1616)&lt;&gt;0),"✗ 收入、支出只能填一边",IF(NOT(ISNUMBER(B1616)),"✗ 日期不是真日期（要像 2026/9/25 这样填）",IF(OR(B1616&lt;年初日,B1616&gt;年末日),"✗ 日期不在本会计年度",IF(C1616="","✗ 没选账户",IF(COUNTIF(基础资料!$W$5:$W$24,C1616)=0,"✗ 账户不在基础资料里",IF(O1616="","✗ 没选收支项目",IF(P1616="未知","✗ 收支项目不在基础资料里",IF(AND(P1616="应收",J1616=""),"✗ 这笔要选客户",IF(AND(P1616="应收",COUNTIF(总览汇总!$B$5:$B$304,J1616)=0),"✗ 客户不在总览汇总名单里",IF(AND(P1616="应付",K1616=""),"✗ 这笔要选供应商",IF(AND(P1616="应付",COUNTIF(基础资料!$Q$5:$Q$54,K1616)=0),"✗ 供应商不在基础资料里",IF(AND(P1616="费用",L1616=""),"✗ 费用支出要选费用项目",IF(AND(L1616&lt;&gt;"",COUNTIF(基础资料!$AI$5:$AI$54,L1616)=0),"✗ 费用项目不在基础资料里",IF(AND(IFERROR(INDEX(基础资料!$AD$5:$AD$34,MATCH(O1616,基础资料!$AC$5:$AC$34,0)),"")="收",N(G1616)&lt;&gt;0),"✗ 这类是收款，金额填到收入列",IF(AND(IFERROR(INDEX(基础资料!$AD$5:$AD$34,MATCH(O1616,基础资料!$AC$5:$AC$34,0)),"")="支",N(F1616)&lt;&gt;0),"✗ 这类是付款，金额填到支出列",IF(N(H1616)&lt;0,"⚠ 账户余额成负数了，核对一下","√"))))))))))))))))))</f>
      </c>
      <c r="O1616" s="78">
        <f>IF(D1616&lt;&gt;"",D1616,IF(AND(F1616="",G1616=""),"",IF(J1616&lt;&gt;"",IF(N(F1616)&gt;0,"客户回款","客户退款"),IF(K1616&lt;&gt;"",IF(N(G1616)&gt;0,"供应商付款","供应商退款"),IF(L1616&lt;&gt;"","费用支出","")))))</f>
      </c>
      <c r="P1616" s="78">
        <f>IF(O1616="","",IFERROR(INDEX(基础资料!$AE$5:$AE$34,MATCH(O1616,基础资料!$AC$5:$AC$34,0)),"未知"))</f>
      </c>
      <c r="Q1616" s="78">
        <f>IF(P1616="应收",COUNTIF(P$7:P1616,"应收"),"")</f>
      </c>
      <c r="R1616" s="78">
        <f>IF(P1616="应付",COUNTIF(P$7:P1616,"应付"),"")</f>
      </c>
      <c r="S1616" s="78">
        <f>N(F1616)-N(G1616)</f>
        <v>0</v>
      </c>
    </row>
    <row r="1617">
      <c r="A1617" s="109">
        <f>IF(AND(F1617="",G1617=""),"",ROW()-6)</f>
      </c>
      <c r="B1617" s="140" t="n"/>
      <c r="C1617" s="141" t="n"/>
      <c r="D1617" s="141" t="n"/>
      <c r="E1617" s="142" t="n"/>
      <c r="F1617" s="143" t="n"/>
      <c r="G1617" s="144" t="n"/>
      <c r="H1617" s="145">
        <f>IF(OR(C1617="",AND(F1617="",G1617="")),"",SUMIF(基础资料!$W$5:$W$24,C1617,基础资料!$X$5:$X$24)+SUMIF(C$7:C1617,C1617,F$7:F1617)-SUMIF(C$7:C1617,C1617,G$7:G1617))</f>
      </c>
      <c r="I1617" s="145">
        <f>IF(AND(F1617="",G1617=""),"",SUM(基础资料!$X$5:$X$24)+SUM(F$7:F1617)-SUM(G$7:G1617))</f>
      </c>
      <c r="J1617" s="141" t="n"/>
      <c r="K1617" s="141" t="n"/>
      <c r="L1617" s="141" t="n"/>
      <c r="M1617" s="142" t="n"/>
      <c r="N1617" s="146">
        <f>IF(AND(AND(F1617="",G1617=""),B1617="",C1617="",D1617="",J1617="",K1617="",L1617=""),"",IF(AND(F1617="",G1617=""),"✗ 没填金额",IF(AND(N(F1617)&lt;&gt;0,N(G1617)&lt;&gt;0),"✗ 收入、支出只能填一边",IF(NOT(ISNUMBER(B1617)),"✗ 日期不是真日期（要像 2026/9/25 这样填）",IF(OR(B1617&lt;年初日,B1617&gt;年末日),"✗ 日期不在本会计年度",IF(C1617="","✗ 没选账户",IF(COUNTIF(基础资料!$W$5:$W$24,C1617)=0,"✗ 账户不在基础资料里",IF(O1617="","✗ 没选收支项目",IF(P1617="未知","✗ 收支项目不在基础资料里",IF(AND(P1617="应收",J1617=""),"✗ 这笔要选客户",IF(AND(P1617="应收",COUNTIF(总览汇总!$B$5:$B$304,J1617)=0),"✗ 客户不在总览汇总名单里",IF(AND(P1617="应付",K1617=""),"✗ 这笔要选供应商",IF(AND(P1617="应付",COUNTIF(基础资料!$Q$5:$Q$54,K1617)=0),"✗ 供应商不在基础资料里",IF(AND(P1617="费用",L1617=""),"✗ 费用支出要选费用项目",IF(AND(L1617&lt;&gt;"",COUNTIF(基础资料!$AI$5:$AI$54,L1617)=0),"✗ 费用项目不在基础资料里",IF(AND(IFERROR(INDEX(基础资料!$AD$5:$AD$34,MATCH(O1617,基础资料!$AC$5:$AC$34,0)),"")="收",N(G1617)&lt;&gt;0),"✗ 这类是收款，金额填到收入列",IF(AND(IFERROR(INDEX(基础资料!$AD$5:$AD$34,MATCH(O1617,基础资料!$AC$5:$AC$34,0)),"")="支",N(F1617)&lt;&gt;0),"✗ 这类是付款，金额填到支出列",IF(N(H1617)&lt;0,"⚠ 账户余额成负数了，核对一下","√"))))))))))))))))))</f>
      </c>
      <c r="O1617" s="78">
        <f>IF(D1617&lt;&gt;"",D1617,IF(AND(F1617="",G1617=""),"",IF(J1617&lt;&gt;"",IF(N(F1617)&gt;0,"客户回款","客户退款"),IF(K1617&lt;&gt;"",IF(N(G1617)&gt;0,"供应商付款","供应商退款"),IF(L1617&lt;&gt;"","费用支出","")))))</f>
      </c>
      <c r="P1617" s="78">
        <f>IF(O1617="","",IFERROR(INDEX(基础资料!$AE$5:$AE$34,MATCH(O1617,基础资料!$AC$5:$AC$34,0)),"未知"))</f>
      </c>
      <c r="Q1617" s="78">
        <f>IF(P1617="应收",COUNTIF(P$7:P1617,"应收"),"")</f>
      </c>
      <c r="R1617" s="78">
        <f>IF(P1617="应付",COUNTIF(P$7:P1617,"应付"),"")</f>
      </c>
      <c r="S1617" s="78">
        <f>N(F1617)-N(G1617)</f>
        <v>0</v>
      </c>
    </row>
    <row r="1618">
      <c r="A1618" s="109">
        <f>IF(AND(F1618="",G1618=""),"",ROW()-6)</f>
      </c>
      <c r="B1618" s="140" t="n"/>
      <c r="C1618" s="141" t="n"/>
      <c r="D1618" s="141" t="n"/>
      <c r="E1618" s="142" t="n"/>
      <c r="F1618" s="143" t="n"/>
      <c r="G1618" s="144" t="n"/>
      <c r="H1618" s="145">
        <f>IF(OR(C1618="",AND(F1618="",G1618="")),"",SUMIF(基础资料!$W$5:$W$24,C1618,基础资料!$X$5:$X$24)+SUMIF(C$7:C1618,C1618,F$7:F1618)-SUMIF(C$7:C1618,C1618,G$7:G1618))</f>
      </c>
      <c r="I1618" s="145">
        <f>IF(AND(F1618="",G1618=""),"",SUM(基础资料!$X$5:$X$24)+SUM(F$7:F1618)-SUM(G$7:G1618))</f>
      </c>
      <c r="J1618" s="141" t="n"/>
      <c r="K1618" s="141" t="n"/>
      <c r="L1618" s="141" t="n"/>
      <c r="M1618" s="142" t="n"/>
      <c r="N1618" s="146">
        <f>IF(AND(AND(F1618="",G1618=""),B1618="",C1618="",D1618="",J1618="",K1618="",L1618=""),"",IF(AND(F1618="",G1618=""),"✗ 没填金额",IF(AND(N(F1618)&lt;&gt;0,N(G1618)&lt;&gt;0),"✗ 收入、支出只能填一边",IF(NOT(ISNUMBER(B1618)),"✗ 日期不是真日期（要像 2026/9/25 这样填）",IF(OR(B1618&lt;年初日,B1618&gt;年末日),"✗ 日期不在本会计年度",IF(C1618="","✗ 没选账户",IF(COUNTIF(基础资料!$W$5:$W$24,C1618)=0,"✗ 账户不在基础资料里",IF(O1618="","✗ 没选收支项目",IF(P1618="未知","✗ 收支项目不在基础资料里",IF(AND(P1618="应收",J1618=""),"✗ 这笔要选客户",IF(AND(P1618="应收",COUNTIF(总览汇总!$B$5:$B$304,J1618)=0),"✗ 客户不在总览汇总名单里",IF(AND(P1618="应付",K1618=""),"✗ 这笔要选供应商",IF(AND(P1618="应付",COUNTIF(基础资料!$Q$5:$Q$54,K1618)=0),"✗ 供应商不在基础资料里",IF(AND(P1618="费用",L1618=""),"✗ 费用支出要选费用项目",IF(AND(L1618&lt;&gt;"",COUNTIF(基础资料!$AI$5:$AI$54,L1618)=0),"✗ 费用项目不在基础资料里",IF(AND(IFERROR(INDEX(基础资料!$AD$5:$AD$34,MATCH(O1618,基础资料!$AC$5:$AC$34,0)),"")="收",N(G1618)&lt;&gt;0),"✗ 这类是收款，金额填到收入列",IF(AND(IFERROR(INDEX(基础资料!$AD$5:$AD$34,MATCH(O1618,基础资料!$AC$5:$AC$34,0)),"")="支",N(F1618)&lt;&gt;0),"✗ 这类是付款，金额填到支出列",IF(N(H1618)&lt;0,"⚠ 账户余额成负数了，核对一下","√"))))))))))))))))))</f>
      </c>
      <c r="O1618" s="78">
        <f>IF(D1618&lt;&gt;"",D1618,IF(AND(F1618="",G1618=""),"",IF(J1618&lt;&gt;"",IF(N(F1618)&gt;0,"客户回款","客户退款"),IF(K1618&lt;&gt;"",IF(N(G1618)&gt;0,"供应商付款","供应商退款"),IF(L1618&lt;&gt;"","费用支出","")))))</f>
      </c>
      <c r="P1618" s="78">
        <f>IF(O1618="","",IFERROR(INDEX(基础资料!$AE$5:$AE$34,MATCH(O1618,基础资料!$AC$5:$AC$34,0)),"未知"))</f>
      </c>
      <c r="Q1618" s="78">
        <f>IF(P1618="应收",COUNTIF(P$7:P1618,"应收"),"")</f>
      </c>
      <c r="R1618" s="78">
        <f>IF(P1618="应付",COUNTIF(P$7:P1618,"应付"),"")</f>
      </c>
      <c r="S1618" s="78">
        <f>N(F1618)-N(G1618)</f>
        <v>0</v>
      </c>
    </row>
    <row r="1619">
      <c r="A1619" s="109">
        <f>IF(AND(F1619="",G1619=""),"",ROW()-6)</f>
      </c>
      <c r="B1619" s="140" t="n"/>
      <c r="C1619" s="141" t="n"/>
      <c r="D1619" s="141" t="n"/>
      <c r="E1619" s="142" t="n"/>
      <c r="F1619" s="143" t="n"/>
      <c r="G1619" s="144" t="n"/>
      <c r="H1619" s="145">
        <f>IF(OR(C1619="",AND(F1619="",G1619="")),"",SUMIF(基础资料!$W$5:$W$24,C1619,基础资料!$X$5:$X$24)+SUMIF(C$7:C1619,C1619,F$7:F1619)-SUMIF(C$7:C1619,C1619,G$7:G1619))</f>
      </c>
      <c r="I1619" s="145">
        <f>IF(AND(F1619="",G1619=""),"",SUM(基础资料!$X$5:$X$24)+SUM(F$7:F1619)-SUM(G$7:G1619))</f>
      </c>
      <c r="J1619" s="141" t="n"/>
      <c r="K1619" s="141" t="n"/>
      <c r="L1619" s="141" t="n"/>
      <c r="M1619" s="142" t="n"/>
      <c r="N1619" s="146">
        <f>IF(AND(AND(F1619="",G1619=""),B1619="",C1619="",D1619="",J1619="",K1619="",L1619=""),"",IF(AND(F1619="",G1619=""),"✗ 没填金额",IF(AND(N(F1619)&lt;&gt;0,N(G1619)&lt;&gt;0),"✗ 收入、支出只能填一边",IF(NOT(ISNUMBER(B1619)),"✗ 日期不是真日期（要像 2026/9/25 这样填）",IF(OR(B1619&lt;年初日,B1619&gt;年末日),"✗ 日期不在本会计年度",IF(C1619="","✗ 没选账户",IF(COUNTIF(基础资料!$W$5:$W$24,C1619)=0,"✗ 账户不在基础资料里",IF(O1619="","✗ 没选收支项目",IF(P1619="未知","✗ 收支项目不在基础资料里",IF(AND(P1619="应收",J1619=""),"✗ 这笔要选客户",IF(AND(P1619="应收",COUNTIF(总览汇总!$B$5:$B$304,J1619)=0),"✗ 客户不在总览汇总名单里",IF(AND(P1619="应付",K1619=""),"✗ 这笔要选供应商",IF(AND(P1619="应付",COUNTIF(基础资料!$Q$5:$Q$54,K1619)=0),"✗ 供应商不在基础资料里",IF(AND(P1619="费用",L1619=""),"✗ 费用支出要选费用项目",IF(AND(L1619&lt;&gt;"",COUNTIF(基础资料!$AI$5:$AI$54,L1619)=0),"✗ 费用项目不在基础资料里",IF(AND(IFERROR(INDEX(基础资料!$AD$5:$AD$34,MATCH(O1619,基础资料!$AC$5:$AC$34,0)),"")="收",N(G1619)&lt;&gt;0),"✗ 这类是收款，金额填到收入列",IF(AND(IFERROR(INDEX(基础资料!$AD$5:$AD$34,MATCH(O1619,基础资料!$AC$5:$AC$34,0)),"")="支",N(F1619)&lt;&gt;0),"✗ 这类是付款，金额填到支出列",IF(N(H1619)&lt;0,"⚠ 账户余额成负数了，核对一下","√"))))))))))))))))))</f>
      </c>
      <c r="O1619" s="78">
        <f>IF(D1619&lt;&gt;"",D1619,IF(AND(F1619="",G1619=""),"",IF(J1619&lt;&gt;"",IF(N(F1619)&gt;0,"客户回款","客户退款"),IF(K1619&lt;&gt;"",IF(N(G1619)&gt;0,"供应商付款","供应商退款"),IF(L1619&lt;&gt;"","费用支出","")))))</f>
      </c>
      <c r="P1619" s="78">
        <f>IF(O1619="","",IFERROR(INDEX(基础资料!$AE$5:$AE$34,MATCH(O1619,基础资料!$AC$5:$AC$34,0)),"未知"))</f>
      </c>
      <c r="Q1619" s="78">
        <f>IF(P1619="应收",COUNTIF(P$7:P1619,"应收"),"")</f>
      </c>
      <c r="R1619" s="78">
        <f>IF(P1619="应付",COUNTIF(P$7:P1619,"应付"),"")</f>
      </c>
      <c r="S1619" s="78">
        <f>N(F1619)-N(G1619)</f>
        <v>0</v>
      </c>
    </row>
    <row r="1620">
      <c r="A1620" s="109">
        <f>IF(AND(F1620="",G1620=""),"",ROW()-6)</f>
      </c>
      <c r="B1620" s="140" t="n"/>
      <c r="C1620" s="141" t="n"/>
      <c r="D1620" s="141" t="n"/>
      <c r="E1620" s="142" t="n"/>
      <c r="F1620" s="143" t="n"/>
      <c r="G1620" s="144" t="n"/>
      <c r="H1620" s="145">
        <f>IF(OR(C1620="",AND(F1620="",G1620="")),"",SUMIF(基础资料!$W$5:$W$24,C1620,基础资料!$X$5:$X$24)+SUMIF(C$7:C1620,C1620,F$7:F1620)-SUMIF(C$7:C1620,C1620,G$7:G1620))</f>
      </c>
      <c r="I1620" s="145">
        <f>IF(AND(F1620="",G1620=""),"",SUM(基础资料!$X$5:$X$24)+SUM(F$7:F1620)-SUM(G$7:G1620))</f>
      </c>
      <c r="J1620" s="141" t="n"/>
      <c r="K1620" s="141" t="n"/>
      <c r="L1620" s="141" t="n"/>
      <c r="M1620" s="142" t="n"/>
      <c r="N1620" s="146">
        <f>IF(AND(AND(F1620="",G1620=""),B1620="",C1620="",D1620="",J1620="",K1620="",L1620=""),"",IF(AND(F1620="",G1620=""),"✗ 没填金额",IF(AND(N(F1620)&lt;&gt;0,N(G1620)&lt;&gt;0),"✗ 收入、支出只能填一边",IF(NOT(ISNUMBER(B1620)),"✗ 日期不是真日期（要像 2026/9/25 这样填）",IF(OR(B1620&lt;年初日,B1620&gt;年末日),"✗ 日期不在本会计年度",IF(C1620="","✗ 没选账户",IF(COUNTIF(基础资料!$W$5:$W$24,C1620)=0,"✗ 账户不在基础资料里",IF(O1620="","✗ 没选收支项目",IF(P1620="未知","✗ 收支项目不在基础资料里",IF(AND(P1620="应收",J1620=""),"✗ 这笔要选客户",IF(AND(P1620="应收",COUNTIF(总览汇总!$B$5:$B$304,J1620)=0),"✗ 客户不在总览汇总名单里",IF(AND(P1620="应付",K1620=""),"✗ 这笔要选供应商",IF(AND(P1620="应付",COUNTIF(基础资料!$Q$5:$Q$54,K1620)=0),"✗ 供应商不在基础资料里",IF(AND(P1620="费用",L1620=""),"✗ 费用支出要选费用项目",IF(AND(L1620&lt;&gt;"",COUNTIF(基础资料!$AI$5:$AI$54,L1620)=0),"✗ 费用项目不在基础资料里",IF(AND(IFERROR(INDEX(基础资料!$AD$5:$AD$34,MATCH(O1620,基础资料!$AC$5:$AC$34,0)),"")="收",N(G1620)&lt;&gt;0),"✗ 这类是收款，金额填到收入列",IF(AND(IFERROR(INDEX(基础资料!$AD$5:$AD$34,MATCH(O1620,基础资料!$AC$5:$AC$34,0)),"")="支",N(F1620)&lt;&gt;0),"✗ 这类是付款，金额填到支出列",IF(N(H1620)&lt;0,"⚠ 账户余额成负数了，核对一下","√"))))))))))))))))))</f>
      </c>
      <c r="O1620" s="78">
        <f>IF(D1620&lt;&gt;"",D1620,IF(AND(F1620="",G1620=""),"",IF(J1620&lt;&gt;"",IF(N(F1620)&gt;0,"客户回款","客户退款"),IF(K1620&lt;&gt;"",IF(N(G1620)&gt;0,"供应商付款","供应商退款"),IF(L1620&lt;&gt;"","费用支出","")))))</f>
      </c>
      <c r="P1620" s="78">
        <f>IF(O1620="","",IFERROR(INDEX(基础资料!$AE$5:$AE$34,MATCH(O1620,基础资料!$AC$5:$AC$34,0)),"未知"))</f>
      </c>
      <c r="Q1620" s="78">
        <f>IF(P1620="应收",COUNTIF(P$7:P1620,"应收"),"")</f>
      </c>
      <c r="R1620" s="78">
        <f>IF(P1620="应付",COUNTIF(P$7:P1620,"应付"),"")</f>
      </c>
      <c r="S1620" s="78">
        <f>N(F1620)-N(G1620)</f>
        <v>0</v>
      </c>
    </row>
    <row r="1621">
      <c r="A1621" s="109">
        <f>IF(AND(F1621="",G1621=""),"",ROW()-6)</f>
      </c>
      <c r="B1621" s="140" t="n"/>
      <c r="C1621" s="141" t="n"/>
      <c r="D1621" s="141" t="n"/>
      <c r="E1621" s="142" t="n"/>
      <c r="F1621" s="143" t="n"/>
      <c r="G1621" s="144" t="n"/>
      <c r="H1621" s="145">
        <f>IF(OR(C1621="",AND(F1621="",G1621="")),"",SUMIF(基础资料!$W$5:$W$24,C1621,基础资料!$X$5:$X$24)+SUMIF(C$7:C1621,C1621,F$7:F1621)-SUMIF(C$7:C1621,C1621,G$7:G1621))</f>
      </c>
      <c r="I1621" s="145">
        <f>IF(AND(F1621="",G1621=""),"",SUM(基础资料!$X$5:$X$24)+SUM(F$7:F1621)-SUM(G$7:G1621))</f>
      </c>
      <c r="J1621" s="141" t="n"/>
      <c r="K1621" s="141" t="n"/>
      <c r="L1621" s="141" t="n"/>
      <c r="M1621" s="142" t="n"/>
      <c r="N1621" s="146">
        <f>IF(AND(AND(F1621="",G1621=""),B1621="",C1621="",D1621="",J1621="",K1621="",L1621=""),"",IF(AND(F1621="",G1621=""),"✗ 没填金额",IF(AND(N(F1621)&lt;&gt;0,N(G1621)&lt;&gt;0),"✗ 收入、支出只能填一边",IF(NOT(ISNUMBER(B1621)),"✗ 日期不是真日期（要像 2026/9/25 这样填）",IF(OR(B1621&lt;年初日,B1621&gt;年末日),"✗ 日期不在本会计年度",IF(C1621="","✗ 没选账户",IF(COUNTIF(基础资料!$W$5:$W$24,C1621)=0,"✗ 账户不在基础资料里",IF(O1621="","✗ 没选收支项目",IF(P1621="未知","✗ 收支项目不在基础资料里",IF(AND(P1621="应收",J1621=""),"✗ 这笔要选客户",IF(AND(P1621="应收",COUNTIF(总览汇总!$B$5:$B$304,J1621)=0),"✗ 客户不在总览汇总名单里",IF(AND(P1621="应付",K1621=""),"✗ 这笔要选供应商",IF(AND(P1621="应付",COUNTIF(基础资料!$Q$5:$Q$54,K1621)=0),"✗ 供应商不在基础资料里",IF(AND(P1621="费用",L1621=""),"✗ 费用支出要选费用项目",IF(AND(L1621&lt;&gt;"",COUNTIF(基础资料!$AI$5:$AI$54,L1621)=0),"✗ 费用项目不在基础资料里",IF(AND(IFERROR(INDEX(基础资料!$AD$5:$AD$34,MATCH(O1621,基础资料!$AC$5:$AC$34,0)),"")="收",N(G1621)&lt;&gt;0),"✗ 这类是收款，金额填到收入列",IF(AND(IFERROR(INDEX(基础资料!$AD$5:$AD$34,MATCH(O1621,基础资料!$AC$5:$AC$34,0)),"")="支",N(F1621)&lt;&gt;0),"✗ 这类是付款，金额填到支出列",IF(N(H1621)&lt;0,"⚠ 账户余额成负数了，核对一下","√"))))))))))))))))))</f>
      </c>
      <c r="O1621" s="78">
        <f>IF(D1621&lt;&gt;"",D1621,IF(AND(F1621="",G1621=""),"",IF(J1621&lt;&gt;"",IF(N(F1621)&gt;0,"客户回款","客户退款"),IF(K1621&lt;&gt;"",IF(N(G1621)&gt;0,"供应商付款","供应商退款"),IF(L1621&lt;&gt;"","费用支出","")))))</f>
      </c>
      <c r="P1621" s="78">
        <f>IF(O1621="","",IFERROR(INDEX(基础资料!$AE$5:$AE$34,MATCH(O1621,基础资料!$AC$5:$AC$34,0)),"未知"))</f>
      </c>
      <c r="Q1621" s="78">
        <f>IF(P1621="应收",COUNTIF(P$7:P1621,"应收"),"")</f>
      </c>
      <c r="R1621" s="78">
        <f>IF(P1621="应付",COUNTIF(P$7:P1621,"应付"),"")</f>
      </c>
      <c r="S1621" s="78">
        <f>N(F1621)-N(G1621)</f>
        <v>0</v>
      </c>
    </row>
    <row r="1622">
      <c r="A1622" s="109">
        <f>IF(AND(F1622="",G1622=""),"",ROW()-6)</f>
      </c>
      <c r="B1622" s="140" t="n"/>
      <c r="C1622" s="141" t="n"/>
      <c r="D1622" s="141" t="n"/>
      <c r="E1622" s="142" t="n"/>
      <c r="F1622" s="143" t="n"/>
      <c r="G1622" s="144" t="n"/>
      <c r="H1622" s="145">
        <f>IF(OR(C1622="",AND(F1622="",G1622="")),"",SUMIF(基础资料!$W$5:$W$24,C1622,基础资料!$X$5:$X$24)+SUMIF(C$7:C1622,C1622,F$7:F1622)-SUMIF(C$7:C1622,C1622,G$7:G1622))</f>
      </c>
      <c r="I1622" s="145">
        <f>IF(AND(F1622="",G1622=""),"",SUM(基础资料!$X$5:$X$24)+SUM(F$7:F1622)-SUM(G$7:G1622))</f>
      </c>
      <c r="J1622" s="141" t="n"/>
      <c r="K1622" s="141" t="n"/>
      <c r="L1622" s="141" t="n"/>
      <c r="M1622" s="142" t="n"/>
      <c r="N1622" s="146">
        <f>IF(AND(AND(F1622="",G1622=""),B1622="",C1622="",D1622="",J1622="",K1622="",L1622=""),"",IF(AND(F1622="",G1622=""),"✗ 没填金额",IF(AND(N(F1622)&lt;&gt;0,N(G1622)&lt;&gt;0),"✗ 收入、支出只能填一边",IF(NOT(ISNUMBER(B1622)),"✗ 日期不是真日期（要像 2026/9/25 这样填）",IF(OR(B1622&lt;年初日,B1622&gt;年末日),"✗ 日期不在本会计年度",IF(C1622="","✗ 没选账户",IF(COUNTIF(基础资料!$W$5:$W$24,C1622)=0,"✗ 账户不在基础资料里",IF(O1622="","✗ 没选收支项目",IF(P1622="未知","✗ 收支项目不在基础资料里",IF(AND(P1622="应收",J1622=""),"✗ 这笔要选客户",IF(AND(P1622="应收",COUNTIF(总览汇总!$B$5:$B$304,J1622)=0),"✗ 客户不在总览汇总名单里",IF(AND(P1622="应付",K1622=""),"✗ 这笔要选供应商",IF(AND(P1622="应付",COUNTIF(基础资料!$Q$5:$Q$54,K1622)=0),"✗ 供应商不在基础资料里",IF(AND(P1622="费用",L1622=""),"✗ 费用支出要选费用项目",IF(AND(L1622&lt;&gt;"",COUNTIF(基础资料!$AI$5:$AI$54,L1622)=0),"✗ 费用项目不在基础资料里",IF(AND(IFERROR(INDEX(基础资料!$AD$5:$AD$34,MATCH(O1622,基础资料!$AC$5:$AC$34,0)),"")="收",N(G1622)&lt;&gt;0),"✗ 这类是收款，金额填到收入列",IF(AND(IFERROR(INDEX(基础资料!$AD$5:$AD$34,MATCH(O1622,基础资料!$AC$5:$AC$34,0)),"")="支",N(F1622)&lt;&gt;0),"✗ 这类是付款，金额填到支出列",IF(N(H1622)&lt;0,"⚠ 账户余额成负数了，核对一下","√"))))))))))))))))))</f>
      </c>
      <c r="O1622" s="78">
        <f>IF(D1622&lt;&gt;"",D1622,IF(AND(F1622="",G1622=""),"",IF(J1622&lt;&gt;"",IF(N(F1622)&gt;0,"客户回款","客户退款"),IF(K1622&lt;&gt;"",IF(N(G1622)&gt;0,"供应商付款","供应商退款"),IF(L1622&lt;&gt;"","费用支出","")))))</f>
      </c>
      <c r="P1622" s="78">
        <f>IF(O1622="","",IFERROR(INDEX(基础资料!$AE$5:$AE$34,MATCH(O1622,基础资料!$AC$5:$AC$34,0)),"未知"))</f>
      </c>
      <c r="Q1622" s="78">
        <f>IF(P1622="应收",COUNTIF(P$7:P1622,"应收"),"")</f>
      </c>
      <c r="R1622" s="78">
        <f>IF(P1622="应付",COUNTIF(P$7:P1622,"应付"),"")</f>
      </c>
      <c r="S1622" s="78">
        <f>N(F1622)-N(G1622)</f>
        <v>0</v>
      </c>
    </row>
    <row r="1623">
      <c r="A1623" s="109">
        <f>IF(AND(F1623="",G1623=""),"",ROW()-6)</f>
      </c>
      <c r="B1623" s="140" t="n"/>
      <c r="C1623" s="141" t="n"/>
      <c r="D1623" s="141" t="n"/>
      <c r="E1623" s="142" t="n"/>
      <c r="F1623" s="143" t="n"/>
      <c r="G1623" s="144" t="n"/>
      <c r="H1623" s="145">
        <f>IF(OR(C1623="",AND(F1623="",G1623="")),"",SUMIF(基础资料!$W$5:$W$24,C1623,基础资料!$X$5:$X$24)+SUMIF(C$7:C1623,C1623,F$7:F1623)-SUMIF(C$7:C1623,C1623,G$7:G1623))</f>
      </c>
      <c r="I1623" s="145">
        <f>IF(AND(F1623="",G1623=""),"",SUM(基础资料!$X$5:$X$24)+SUM(F$7:F1623)-SUM(G$7:G1623))</f>
      </c>
      <c r="J1623" s="141" t="n"/>
      <c r="K1623" s="141" t="n"/>
      <c r="L1623" s="141" t="n"/>
      <c r="M1623" s="142" t="n"/>
      <c r="N1623" s="146">
        <f>IF(AND(AND(F1623="",G1623=""),B1623="",C1623="",D1623="",J1623="",K1623="",L1623=""),"",IF(AND(F1623="",G1623=""),"✗ 没填金额",IF(AND(N(F1623)&lt;&gt;0,N(G1623)&lt;&gt;0),"✗ 收入、支出只能填一边",IF(NOT(ISNUMBER(B1623)),"✗ 日期不是真日期（要像 2026/9/25 这样填）",IF(OR(B1623&lt;年初日,B1623&gt;年末日),"✗ 日期不在本会计年度",IF(C1623="","✗ 没选账户",IF(COUNTIF(基础资料!$W$5:$W$24,C1623)=0,"✗ 账户不在基础资料里",IF(O1623="","✗ 没选收支项目",IF(P1623="未知","✗ 收支项目不在基础资料里",IF(AND(P1623="应收",J1623=""),"✗ 这笔要选客户",IF(AND(P1623="应收",COUNTIF(总览汇总!$B$5:$B$304,J1623)=0),"✗ 客户不在总览汇总名单里",IF(AND(P1623="应付",K1623=""),"✗ 这笔要选供应商",IF(AND(P1623="应付",COUNTIF(基础资料!$Q$5:$Q$54,K1623)=0),"✗ 供应商不在基础资料里",IF(AND(P1623="费用",L1623=""),"✗ 费用支出要选费用项目",IF(AND(L1623&lt;&gt;"",COUNTIF(基础资料!$AI$5:$AI$54,L1623)=0),"✗ 费用项目不在基础资料里",IF(AND(IFERROR(INDEX(基础资料!$AD$5:$AD$34,MATCH(O1623,基础资料!$AC$5:$AC$34,0)),"")="收",N(G1623)&lt;&gt;0),"✗ 这类是收款，金额填到收入列",IF(AND(IFERROR(INDEX(基础资料!$AD$5:$AD$34,MATCH(O1623,基础资料!$AC$5:$AC$34,0)),"")="支",N(F1623)&lt;&gt;0),"✗ 这类是付款，金额填到支出列",IF(N(H1623)&lt;0,"⚠ 账户余额成负数了，核对一下","√"))))))))))))))))))</f>
      </c>
      <c r="O1623" s="78">
        <f>IF(D1623&lt;&gt;"",D1623,IF(AND(F1623="",G1623=""),"",IF(J1623&lt;&gt;"",IF(N(F1623)&gt;0,"客户回款","客户退款"),IF(K1623&lt;&gt;"",IF(N(G1623)&gt;0,"供应商付款","供应商退款"),IF(L1623&lt;&gt;"","费用支出","")))))</f>
      </c>
      <c r="P1623" s="78">
        <f>IF(O1623="","",IFERROR(INDEX(基础资料!$AE$5:$AE$34,MATCH(O1623,基础资料!$AC$5:$AC$34,0)),"未知"))</f>
      </c>
      <c r="Q1623" s="78">
        <f>IF(P1623="应收",COUNTIF(P$7:P1623,"应收"),"")</f>
      </c>
      <c r="R1623" s="78">
        <f>IF(P1623="应付",COUNTIF(P$7:P1623,"应付"),"")</f>
      </c>
      <c r="S1623" s="78">
        <f>N(F1623)-N(G1623)</f>
        <v>0</v>
      </c>
    </row>
    <row r="1624">
      <c r="A1624" s="109">
        <f>IF(AND(F1624="",G1624=""),"",ROW()-6)</f>
      </c>
      <c r="B1624" s="140" t="n"/>
      <c r="C1624" s="141" t="n"/>
      <c r="D1624" s="141" t="n"/>
      <c r="E1624" s="142" t="n"/>
      <c r="F1624" s="143" t="n"/>
      <c r="G1624" s="144" t="n"/>
      <c r="H1624" s="145">
        <f>IF(OR(C1624="",AND(F1624="",G1624="")),"",SUMIF(基础资料!$W$5:$W$24,C1624,基础资料!$X$5:$X$24)+SUMIF(C$7:C1624,C1624,F$7:F1624)-SUMIF(C$7:C1624,C1624,G$7:G1624))</f>
      </c>
      <c r="I1624" s="145">
        <f>IF(AND(F1624="",G1624=""),"",SUM(基础资料!$X$5:$X$24)+SUM(F$7:F1624)-SUM(G$7:G1624))</f>
      </c>
      <c r="J1624" s="141" t="n"/>
      <c r="K1624" s="141" t="n"/>
      <c r="L1624" s="141" t="n"/>
      <c r="M1624" s="142" t="n"/>
      <c r="N1624" s="146">
        <f>IF(AND(AND(F1624="",G1624=""),B1624="",C1624="",D1624="",J1624="",K1624="",L1624=""),"",IF(AND(F1624="",G1624=""),"✗ 没填金额",IF(AND(N(F1624)&lt;&gt;0,N(G1624)&lt;&gt;0),"✗ 收入、支出只能填一边",IF(NOT(ISNUMBER(B1624)),"✗ 日期不是真日期（要像 2026/9/25 这样填）",IF(OR(B1624&lt;年初日,B1624&gt;年末日),"✗ 日期不在本会计年度",IF(C1624="","✗ 没选账户",IF(COUNTIF(基础资料!$W$5:$W$24,C1624)=0,"✗ 账户不在基础资料里",IF(O1624="","✗ 没选收支项目",IF(P1624="未知","✗ 收支项目不在基础资料里",IF(AND(P1624="应收",J1624=""),"✗ 这笔要选客户",IF(AND(P1624="应收",COUNTIF(总览汇总!$B$5:$B$304,J1624)=0),"✗ 客户不在总览汇总名单里",IF(AND(P1624="应付",K1624=""),"✗ 这笔要选供应商",IF(AND(P1624="应付",COUNTIF(基础资料!$Q$5:$Q$54,K1624)=0),"✗ 供应商不在基础资料里",IF(AND(P1624="费用",L1624=""),"✗ 费用支出要选费用项目",IF(AND(L1624&lt;&gt;"",COUNTIF(基础资料!$AI$5:$AI$54,L1624)=0),"✗ 费用项目不在基础资料里",IF(AND(IFERROR(INDEX(基础资料!$AD$5:$AD$34,MATCH(O1624,基础资料!$AC$5:$AC$34,0)),"")="收",N(G1624)&lt;&gt;0),"✗ 这类是收款，金额填到收入列",IF(AND(IFERROR(INDEX(基础资料!$AD$5:$AD$34,MATCH(O1624,基础资料!$AC$5:$AC$34,0)),"")="支",N(F1624)&lt;&gt;0),"✗ 这类是付款，金额填到支出列",IF(N(H1624)&lt;0,"⚠ 账户余额成负数了，核对一下","√"))))))))))))))))))</f>
      </c>
      <c r="O1624" s="78">
        <f>IF(D1624&lt;&gt;"",D1624,IF(AND(F1624="",G1624=""),"",IF(J1624&lt;&gt;"",IF(N(F1624)&gt;0,"客户回款","客户退款"),IF(K1624&lt;&gt;"",IF(N(G1624)&gt;0,"供应商付款","供应商退款"),IF(L1624&lt;&gt;"","费用支出","")))))</f>
      </c>
      <c r="P1624" s="78">
        <f>IF(O1624="","",IFERROR(INDEX(基础资料!$AE$5:$AE$34,MATCH(O1624,基础资料!$AC$5:$AC$34,0)),"未知"))</f>
      </c>
      <c r="Q1624" s="78">
        <f>IF(P1624="应收",COUNTIF(P$7:P1624,"应收"),"")</f>
      </c>
      <c r="R1624" s="78">
        <f>IF(P1624="应付",COUNTIF(P$7:P1624,"应付"),"")</f>
      </c>
      <c r="S1624" s="78">
        <f>N(F1624)-N(G1624)</f>
        <v>0</v>
      </c>
    </row>
    <row r="1625">
      <c r="A1625" s="109">
        <f>IF(AND(F1625="",G1625=""),"",ROW()-6)</f>
      </c>
      <c r="B1625" s="140" t="n"/>
      <c r="C1625" s="141" t="n"/>
      <c r="D1625" s="141" t="n"/>
      <c r="E1625" s="142" t="n"/>
      <c r="F1625" s="143" t="n"/>
      <c r="G1625" s="144" t="n"/>
      <c r="H1625" s="145">
        <f>IF(OR(C1625="",AND(F1625="",G1625="")),"",SUMIF(基础资料!$W$5:$W$24,C1625,基础资料!$X$5:$X$24)+SUMIF(C$7:C1625,C1625,F$7:F1625)-SUMIF(C$7:C1625,C1625,G$7:G1625))</f>
      </c>
      <c r="I1625" s="145">
        <f>IF(AND(F1625="",G1625=""),"",SUM(基础资料!$X$5:$X$24)+SUM(F$7:F1625)-SUM(G$7:G1625))</f>
      </c>
      <c r="J1625" s="141" t="n"/>
      <c r="K1625" s="141" t="n"/>
      <c r="L1625" s="141" t="n"/>
      <c r="M1625" s="142" t="n"/>
      <c r="N1625" s="146">
        <f>IF(AND(AND(F1625="",G1625=""),B1625="",C1625="",D1625="",J1625="",K1625="",L1625=""),"",IF(AND(F1625="",G1625=""),"✗ 没填金额",IF(AND(N(F1625)&lt;&gt;0,N(G1625)&lt;&gt;0),"✗ 收入、支出只能填一边",IF(NOT(ISNUMBER(B1625)),"✗ 日期不是真日期（要像 2026/9/25 这样填）",IF(OR(B1625&lt;年初日,B1625&gt;年末日),"✗ 日期不在本会计年度",IF(C1625="","✗ 没选账户",IF(COUNTIF(基础资料!$W$5:$W$24,C1625)=0,"✗ 账户不在基础资料里",IF(O1625="","✗ 没选收支项目",IF(P1625="未知","✗ 收支项目不在基础资料里",IF(AND(P1625="应收",J1625=""),"✗ 这笔要选客户",IF(AND(P1625="应收",COUNTIF(总览汇总!$B$5:$B$304,J1625)=0),"✗ 客户不在总览汇总名单里",IF(AND(P1625="应付",K1625=""),"✗ 这笔要选供应商",IF(AND(P1625="应付",COUNTIF(基础资料!$Q$5:$Q$54,K1625)=0),"✗ 供应商不在基础资料里",IF(AND(P1625="费用",L1625=""),"✗ 费用支出要选费用项目",IF(AND(L1625&lt;&gt;"",COUNTIF(基础资料!$AI$5:$AI$54,L1625)=0),"✗ 费用项目不在基础资料里",IF(AND(IFERROR(INDEX(基础资料!$AD$5:$AD$34,MATCH(O1625,基础资料!$AC$5:$AC$34,0)),"")="收",N(G1625)&lt;&gt;0),"✗ 这类是收款，金额填到收入列",IF(AND(IFERROR(INDEX(基础资料!$AD$5:$AD$34,MATCH(O1625,基础资料!$AC$5:$AC$34,0)),"")="支",N(F1625)&lt;&gt;0),"✗ 这类是付款，金额填到支出列",IF(N(H1625)&lt;0,"⚠ 账户余额成负数了，核对一下","√"))))))))))))))))))</f>
      </c>
      <c r="O1625" s="78">
        <f>IF(D1625&lt;&gt;"",D1625,IF(AND(F1625="",G1625=""),"",IF(J1625&lt;&gt;"",IF(N(F1625)&gt;0,"客户回款","客户退款"),IF(K1625&lt;&gt;"",IF(N(G1625)&gt;0,"供应商付款","供应商退款"),IF(L1625&lt;&gt;"","费用支出","")))))</f>
      </c>
      <c r="P1625" s="78">
        <f>IF(O1625="","",IFERROR(INDEX(基础资料!$AE$5:$AE$34,MATCH(O1625,基础资料!$AC$5:$AC$34,0)),"未知"))</f>
      </c>
      <c r="Q1625" s="78">
        <f>IF(P1625="应收",COUNTIF(P$7:P1625,"应收"),"")</f>
      </c>
      <c r="R1625" s="78">
        <f>IF(P1625="应付",COUNTIF(P$7:P1625,"应付"),"")</f>
      </c>
      <c r="S1625" s="78">
        <f>N(F1625)-N(G1625)</f>
        <v>0</v>
      </c>
    </row>
    <row r="1626">
      <c r="A1626" s="109">
        <f>IF(AND(F1626="",G1626=""),"",ROW()-6)</f>
      </c>
      <c r="B1626" s="140" t="n"/>
      <c r="C1626" s="141" t="n"/>
      <c r="D1626" s="141" t="n"/>
      <c r="E1626" s="142" t="n"/>
      <c r="F1626" s="143" t="n"/>
      <c r="G1626" s="144" t="n"/>
      <c r="H1626" s="145">
        <f>IF(OR(C1626="",AND(F1626="",G1626="")),"",SUMIF(基础资料!$W$5:$W$24,C1626,基础资料!$X$5:$X$24)+SUMIF(C$7:C1626,C1626,F$7:F1626)-SUMIF(C$7:C1626,C1626,G$7:G1626))</f>
      </c>
      <c r="I1626" s="145">
        <f>IF(AND(F1626="",G1626=""),"",SUM(基础资料!$X$5:$X$24)+SUM(F$7:F1626)-SUM(G$7:G1626))</f>
      </c>
      <c r="J1626" s="141" t="n"/>
      <c r="K1626" s="141" t="n"/>
      <c r="L1626" s="141" t="n"/>
      <c r="M1626" s="142" t="n"/>
      <c r="N1626" s="146">
        <f>IF(AND(AND(F1626="",G1626=""),B1626="",C1626="",D1626="",J1626="",K1626="",L1626=""),"",IF(AND(F1626="",G1626=""),"✗ 没填金额",IF(AND(N(F1626)&lt;&gt;0,N(G1626)&lt;&gt;0),"✗ 收入、支出只能填一边",IF(NOT(ISNUMBER(B1626)),"✗ 日期不是真日期（要像 2026/9/25 这样填）",IF(OR(B1626&lt;年初日,B1626&gt;年末日),"✗ 日期不在本会计年度",IF(C1626="","✗ 没选账户",IF(COUNTIF(基础资料!$W$5:$W$24,C1626)=0,"✗ 账户不在基础资料里",IF(O1626="","✗ 没选收支项目",IF(P1626="未知","✗ 收支项目不在基础资料里",IF(AND(P1626="应收",J1626=""),"✗ 这笔要选客户",IF(AND(P1626="应收",COUNTIF(总览汇总!$B$5:$B$304,J1626)=0),"✗ 客户不在总览汇总名单里",IF(AND(P1626="应付",K1626=""),"✗ 这笔要选供应商",IF(AND(P1626="应付",COUNTIF(基础资料!$Q$5:$Q$54,K1626)=0),"✗ 供应商不在基础资料里",IF(AND(P1626="费用",L1626=""),"✗ 费用支出要选费用项目",IF(AND(L1626&lt;&gt;"",COUNTIF(基础资料!$AI$5:$AI$54,L1626)=0),"✗ 费用项目不在基础资料里",IF(AND(IFERROR(INDEX(基础资料!$AD$5:$AD$34,MATCH(O1626,基础资料!$AC$5:$AC$34,0)),"")="收",N(G1626)&lt;&gt;0),"✗ 这类是收款，金额填到收入列",IF(AND(IFERROR(INDEX(基础资料!$AD$5:$AD$34,MATCH(O1626,基础资料!$AC$5:$AC$34,0)),"")="支",N(F1626)&lt;&gt;0),"✗ 这类是付款，金额填到支出列",IF(N(H1626)&lt;0,"⚠ 账户余额成负数了，核对一下","√"))))))))))))))))))</f>
      </c>
      <c r="O1626" s="78">
        <f>IF(D1626&lt;&gt;"",D1626,IF(AND(F1626="",G1626=""),"",IF(J1626&lt;&gt;"",IF(N(F1626)&gt;0,"客户回款","客户退款"),IF(K1626&lt;&gt;"",IF(N(G1626)&gt;0,"供应商付款","供应商退款"),IF(L1626&lt;&gt;"","费用支出","")))))</f>
      </c>
      <c r="P1626" s="78">
        <f>IF(O1626="","",IFERROR(INDEX(基础资料!$AE$5:$AE$34,MATCH(O1626,基础资料!$AC$5:$AC$34,0)),"未知"))</f>
      </c>
      <c r="Q1626" s="78">
        <f>IF(P1626="应收",COUNTIF(P$7:P1626,"应收"),"")</f>
      </c>
      <c r="R1626" s="78">
        <f>IF(P1626="应付",COUNTIF(P$7:P1626,"应付"),"")</f>
      </c>
      <c r="S1626" s="78">
        <f>N(F1626)-N(G1626)</f>
        <v>0</v>
      </c>
    </row>
    <row r="1627">
      <c r="A1627" s="109">
        <f>IF(AND(F1627="",G1627=""),"",ROW()-6)</f>
      </c>
      <c r="B1627" s="140" t="n"/>
      <c r="C1627" s="141" t="n"/>
      <c r="D1627" s="141" t="n"/>
      <c r="E1627" s="142" t="n"/>
      <c r="F1627" s="143" t="n"/>
      <c r="G1627" s="144" t="n"/>
      <c r="H1627" s="145">
        <f>IF(OR(C1627="",AND(F1627="",G1627="")),"",SUMIF(基础资料!$W$5:$W$24,C1627,基础资料!$X$5:$X$24)+SUMIF(C$7:C1627,C1627,F$7:F1627)-SUMIF(C$7:C1627,C1627,G$7:G1627))</f>
      </c>
      <c r="I1627" s="145">
        <f>IF(AND(F1627="",G1627=""),"",SUM(基础资料!$X$5:$X$24)+SUM(F$7:F1627)-SUM(G$7:G1627))</f>
      </c>
      <c r="J1627" s="141" t="n"/>
      <c r="K1627" s="141" t="n"/>
      <c r="L1627" s="141" t="n"/>
      <c r="M1627" s="142" t="n"/>
      <c r="N1627" s="146">
        <f>IF(AND(AND(F1627="",G1627=""),B1627="",C1627="",D1627="",J1627="",K1627="",L1627=""),"",IF(AND(F1627="",G1627=""),"✗ 没填金额",IF(AND(N(F1627)&lt;&gt;0,N(G1627)&lt;&gt;0),"✗ 收入、支出只能填一边",IF(NOT(ISNUMBER(B1627)),"✗ 日期不是真日期（要像 2026/9/25 这样填）",IF(OR(B1627&lt;年初日,B1627&gt;年末日),"✗ 日期不在本会计年度",IF(C1627="","✗ 没选账户",IF(COUNTIF(基础资料!$W$5:$W$24,C1627)=0,"✗ 账户不在基础资料里",IF(O1627="","✗ 没选收支项目",IF(P1627="未知","✗ 收支项目不在基础资料里",IF(AND(P1627="应收",J1627=""),"✗ 这笔要选客户",IF(AND(P1627="应收",COUNTIF(总览汇总!$B$5:$B$304,J1627)=0),"✗ 客户不在总览汇总名单里",IF(AND(P1627="应付",K1627=""),"✗ 这笔要选供应商",IF(AND(P1627="应付",COUNTIF(基础资料!$Q$5:$Q$54,K1627)=0),"✗ 供应商不在基础资料里",IF(AND(P1627="费用",L1627=""),"✗ 费用支出要选费用项目",IF(AND(L1627&lt;&gt;"",COUNTIF(基础资料!$AI$5:$AI$54,L1627)=0),"✗ 费用项目不在基础资料里",IF(AND(IFERROR(INDEX(基础资料!$AD$5:$AD$34,MATCH(O1627,基础资料!$AC$5:$AC$34,0)),"")="收",N(G1627)&lt;&gt;0),"✗ 这类是收款，金额填到收入列",IF(AND(IFERROR(INDEX(基础资料!$AD$5:$AD$34,MATCH(O1627,基础资料!$AC$5:$AC$34,0)),"")="支",N(F1627)&lt;&gt;0),"✗ 这类是付款，金额填到支出列",IF(N(H1627)&lt;0,"⚠ 账户余额成负数了，核对一下","√"))))))))))))))))))</f>
      </c>
      <c r="O1627" s="78">
        <f>IF(D1627&lt;&gt;"",D1627,IF(AND(F1627="",G1627=""),"",IF(J1627&lt;&gt;"",IF(N(F1627)&gt;0,"客户回款","客户退款"),IF(K1627&lt;&gt;"",IF(N(G1627)&gt;0,"供应商付款","供应商退款"),IF(L1627&lt;&gt;"","费用支出","")))))</f>
      </c>
      <c r="P1627" s="78">
        <f>IF(O1627="","",IFERROR(INDEX(基础资料!$AE$5:$AE$34,MATCH(O1627,基础资料!$AC$5:$AC$34,0)),"未知"))</f>
      </c>
      <c r="Q1627" s="78">
        <f>IF(P1627="应收",COUNTIF(P$7:P1627,"应收"),"")</f>
      </c>
      <c r="R1627" s="78">
        <f>IF(P1627="应付",COUNTIF(P$7:P1627,"应付"),"")</f>
      </c>
      <c r="S1627" s="78">
        <f>N(F1627)-N(G1627)</f>
        <v>0</v>
      </c>
    </row>
    <row r="1628">
      <c r="A1628" s="109">
        <f>IF(AND(F1628="",G1628=""),"",ROW()-6)</f>
      </c>
      <c r="B1628" s="140" t="n"/>
      <c r="C1628" s="141" t="n"/>
      <c r="D1628" s="141" t="n"/>
      <c r="E1628" s="142" t="n"/>
      <c r="F1628" s="143" t="n"/>
      <c r="G1628" s="144" t="n"/>
      <c r="H1628" s="145">
        <f>IF(OR(C1628="",AND(F1628="",G1628="")),"",SUMIF(基础资料!$W$5:$W$24,C1628,基础资料!$X$5:$X$24)+SUMIF(C$7:C1628,C1628,F$7:F1628)-SUMIF(C$7:C1628,C1628,G$7:G1628))</f>
      </c>
      <c r="I1628" s="145">
        <f>IF(AND(F1628="",G1628=""),"",SUM(基础资料!$X$5:$X$24)+SUM(F$7:F1628)-SUM(G$7:G1628))</f>
      </c>
      <c r="J1628" s="141" t="n"/>
      <c r="K1628" s="141" t="n"/>
      <c r="L1628" s="141" t="n"/>
      <c r="M1628" s="142" t="n"/>
      <c r="N1628" s="146">
        <f>IF(AND(AND(F1628="",G1628=""),B1628="",C1628="",D1628="",J1628="",K1628="",L1628=""),"",IF(AND(F1628="",G1628=""),"✗ 没填金额",IF(AND(N(F1628)&lt;&gt;0,N(G1628)&lt;&gt;0),"✗ 收入、支出只能填一边",IF(NOT(ISNUMBER(B1628)),"✗ 日期不是真日期（要像 2026/9/25 这样填）",IF(OR(B1628&lt;年初日,B1628&gt;年末日),"✗ 日期不在本会计年度",IF(C1628="","✗ 没选账户",IF(COUNTIF(基础资料!$W$5:$W$24,C1628)=0,"✗ 账户不在基础资料里",IF(O1628="","✗ 没选收支项目",IF(P1628="未知","✗ 收支项目不在基础资料里",IF(AND(P1628="应收",J1628=""),"✗ 这笔要选客户",IF(AND(P1628="应收",COUNTIF(总览汇总!$B$5:$B$304,J1628)=0),"✗ 客户不在总览汇总名单里",IF(AND(P1628="应付",K1628=""),"✗ 这笔要选供应商",IF(AND(P1628="应付",COUNTIF(基础资料!$Q$5:$Q$54,K1628)=0),"✗ 供应商不在基础资料里",IF(AND(P1628="费用",L1628=""),"✗ 费用支出要选费用项目",IF(AND(L1628&lt;&gt;"",COUNTIF(基础资料!$AI$5:$AI$54,L1628)=0),"✗ 费用项目不在基础资料里",IF(AND(IFERROR(INDEX(基础资料!$AD$5:$AD$34,MATCH(O1628,基础资料!$AC$5:$AC$34,0)),"")="收",N(G1628)&lt;&gt;0),"✗ 这类是收款，金额填到收入列",IF(AND(IFERROR(INDEX(基础资料!$AD$5:$AD$34,MATCH(O1628,基础资料!$AC$5:$AC$34,0)),"")="支",N(F1628)&lt;&gt;0),"✗ 这类是付款，金额填到支出列",IF(N(H1628)&lt;0,"⚠ 账户余额成负数了，核对一下","√"))))))))))))))))))</f>
      </c>
      <c r="O1628" s="78">
        <f>IF(D1628&lt;&gt;"",D1628,IF(AND(F1628="",G1628=""),"",IF(J1628&lt;&gt;"",IF(N(F1628)&gt;0,"客户回款","客户退款"),IF(K1628&lt;&gt;"",IF(N(G1628)&gt;0,"供应商付款","供应商退款"),IF(L1628&lt;&gt;"","费用支出","")))))</f>
      </c>
      <c r="P1628" s="78">
        <f>IF(O1628="","",IFERROR(INDEX(基础资料!$AE$5:$AE$34,MATCH(O1628,基础资料!$AC$5:$AC$34,0)),"未知"))</f>
      </c>
      <c r="Q1628" s="78">
        <f>IF(P1628="应收",COUNTIF(P$7:P1628,"应收"),"")</f>
      </c>
      <c r="R1628" s="78">
        <f>IF(P1628="应付",COUNTIF(P$7:P1628,"应付"),"")</f>
      </c>
      <c r="S1628" s="78">
        <f>N(F1628)-N(G1628)</f>
        <v>0</v>
      </c>
    </row>
    <row r="1629">
      <c r="A1629" s="109">
        <f>IF(AND(F1629="",G1629=""),"",ROW()-6)</f>
      </c>
      <c r="B1629" s="140" t="n"/>
      <c r="C1629" s="141" t="n"/>
      <c r="D1629" s="141" t="n"/>
      <c r="E1629" s="142" t="n"/>
      <c r="F1629" s="143" t="n"/>
      <c r="G1629" s="144" t="n"/>
      <c r="H1629" s="145">
        <f>IF(OR(C1629="",AND(F1629="",G1629="")),"",SUMIF(基础资料!$W$5:$W$24,C1629,基础资料!$X$5:$X$24)+SUMIF(C$7:C1629,C1629,F$7:F1629)-SUMIF(C$7:C1629,C1629,G$7:G1629))</f>
      </c>
      <c r="I1629" s="145">
        <f>IF(AND(F1629="",G1629=""),"",SUM(基础资料!$X$5:$X$24)+SUM(F$7:F1629)-SUM(G$7:G1629))</f>
      </c>
      <c r="J1629" s="141" t="n"/>
      <c r="K1629" s="141" t="n"/>
      <c r="L1629" s="141" t="n"/>
      <c r="M1629" s="142" t="n"/>
      <c r="N1629" s="146">
        <f>IF(AND(AND(F1629="",G1629=""),B1629="",C1629="",D1629="",J1629="",K1629="",L1629=""),"",IF(AND(F1629="",G1629=""),"✗ 没填金额",IF(AND(N(F1629)&lt;&gt;0,N(G1629)&lt;&gt;0),"✗ 收入、支出只能填一边",IF(NOT(ISNUMBER(B1629)),"✗ 日期不是真日期（要像 2026/9/25 这样填）",IF(OR(B1629&lt;年初日,B1629&gt;年末日),"✗ 日期不在本会计年度",IF(C1629="","✗ 没选账户",IF(COUNTIF(基础资料!$W$5:$W$24,C1629)=0,"✗ 账户不在基础资料里",IF(O1629="","✗ 没选收支项目",IF(P1629="未知","✗ 收支项目不在基础资料里",IF(AND(P1629="应收",J1629=""),"✗ 这笔要选客户",IF(AND(P1629="应收",COUNTIF(总览汇总!$B$5:$B$304,J1629)=0),"✗ 客户不在总览汇总名单里",IF(AND(P1629="应付",K1629=""),"✗ 这笔要选供应商",IF(AND(P1629="应付",COUNTIF(基础资料!$Q$5:$Q$54,K1629)=0),"✗ 供应商不在基础资料里",IF(AND(P1629="费用",L1629=""),"✗ 费用支出要选费用项目",IF(AND(L1629&lt;&gt;"",COUNTIF(基础资料!$AI$5:$AI$54,L1629)=0),"✗ 费用项目不在基础资料里",IF(AND(IFERROR(INDEX(基础资料!$AD$5:$AD$34,MATCH(O1629,基础资料!$AC$5:$AC$34,0)),"")="收",N(G1629)&lt;&gt;0),"✗ 这类是收款，金额填到收入列",IF(AND(IFERROR(INDEX(基础资料!$AD$5:$AD$34,MATCH(O1629,基础资料!$AC$5:$AC$34,0)),"")="支",N(F1629)&lt;&gt;0),"✗ 这类是付款，金额填到支出列",IF(N(H1629)&lt;0,"⚠ 账户余额成负数了，核对一下","√"))))))))))))))))))</f>
      </c>
      <c r="O1629" s="78">
        <f>IF(D1629&lt;&gt;"",D1629,IF(AND(F1629="",G1629=""),"",IF(J1629&lt;&gt;"",IF(N(F1629)&gt;0,"客户回款","客户退款"),IF(K1629&lt;&gt;"",IF(N(G1629)&gt;0,"供应商付款","供应商退款"),IF(L1629&lt;&gt;"","费用支出","")))))</f>
      </c>
      <c r="P1629" s="78">
        <f>IF(O1629="","",IFERROR(INDEX(基础资料!$AE$5:$AE$34,MATCH(O1629,基础资料!$AC$5:$AC$34,0)),"未知"))</f>
      </c>
      <c r="Q1629" s="78">
        <f>IF(P1629="应收",COUNTIF(P$7:P1629,"应收"),"")</f>
      </c>
      <c r="R1629" s="78">
        <f>IF(P1629="应付",COUNTIF(P$7:P1629,"应付"),"")</f>
      </c>
      <c r="S1629" s="78">
        <f>N(F1629)-N(G1629)</f>
        <v>0</v>
      </c>
    </row>
    <row r="1630">
      <c r="A1630" s="109">
        <f>IF(AND(F1630="",G1630=""),"",ROW()-6)</f>
      </c>
      <c r="B1630" s="140" t="n"/>
      <c r="C1630" s="141" t="n"/>
      <c r="D1630" s="141" t="n"/>
      <c r="E1630" s="142" t="n"/>
      <c r="F1630" s="143" t="n"/>
      <c r="G1630" s="144" t="n"/>
      <c r="H1630" s="145">
        <f>IF(OR(C1630="",AND(F1630="",G1630="")),"",SUMIF(基础资料!$W$5:$W$24,C1630,基础资料!$X$5:$X$24)+SUMIF(C$7:C1630,C1630,F$7:F1630)-SUMIF(C$7:C1630,C1630,G$7:G1630))</f>
      </c>
      <c r="I1630" s="145">
        <f>IF(AND(F1630="",G1630=""),"",SUM(基础资料!$X$5:$X$24)+SUM(F$7:F1630)-SUM(G$7:G1630))</f>
      </c>
      <c r="J1630" s="141" t="n"/>
      <c r="K1630" s="141" t="n"/>
      <c r="L1630" s="141" t="n"/>
      <c r="M1630" s="142" t="n"/>
      <c r="N1630" s="146">
        <f>IF(AND(AND(F1630="",G1630=""),B1630="",C1630="",D1630="",J1630="",K1630="",L1630=""),"",IF(AND(F1630="",G1630=""),"✗ 没填金额",IF(AND(N(F1630)&lt;&gt;0,N(G1630)&lt;&gt;0),"✗ 收入、支出只能填一边",IF(NOT(ISNUMBER(B1630)),"✗ 日期不是真日期（要像 2026/9/25 这样填）",IF(OR(B1630&lt;年初日,B1630&gt;年末日),"✗ 日期不在本会计年度",IF(C1630="","✗ 没选账户",IF(COUNTIF(基础资料!$W$5:$W$24,C1630)=0,"✗ 账户不在基础资料里",IF(O1630="","✗ 没选收支项目",IF(P1630="未知","✗ 收支项目不在基础资料里",IF(AND(P1630="应收",J1630=""),"✗ 这笔要选客户",IF(AND(P1630="应收",COUNTIF(总览汇总!$B$5:$B$304,J1630)=0),"✗ 客户不在总览汇总名单里",IF(AND(P1630="应付",K1630=""),"✗ 这笔要选供应商",IF(AND(P1630="应付",COUNTIF(基础资料!$Q$5:$Q$54,K1630)=0),"✗ 供应商不在基础资料里",IF(AND(P1630="费用",L1630=""),"✗ 费用支出要选费用项目",IF(AND(L1630&lt;&gt;"",COUNTIF(基础资料!$AI$5:$AI$54,L1630)=0),"✗ 费用项目不在基础资料里",IF(AND(IFERROR(INDEX(基础资料!$AD$5:$AD$34,MATCH(O1630,基础资料!$AC$5:$AC$34,0)),"")="收",N(G1630)&lt;&gt;0),"✗ 这类是收款，金额填到收入列",IF(AND(IFERROR(INDEX(基础资料!$AD$5:$AD$34,MATCH(O1630,基础资料!$AC$5:$AC$34,0)),"")="支",N(F1630)&lt;&gt;0),"✗ 这类是付款，金额填到支出列",IF(N(H1630)&lt;0,"⚠ 账户余额成负数了，核对一下","√"))))))))))))))))))</f>
      </c>
      <c r="O1630" s="78">
        <f>IF(D1630&lt;&gt;"",D1630,IF(AND(F1630="",G1630=""),"",IF(J1630&lt;&gt;"",IF(N(F1630)&gt;0,"客户回款","客户退款"),IF(K1630&lt;&gt;"",IF(N(G1630)&gt;0,"供应商付款","供应商退款"),IF(L1630&lt;&gt;"","费用支出","")))))</f>
      </c>
      <c r="P1630" s="78">
        <f>IF(O1630="","",IFERROR(INDEX(基础资料!$AE$5:$AE$34,MATCH(O1630,基础资料!$AC$5:$AC$34,0)),"未知"))</f>
      </c>
      <c r="Q1630" s="78">
        <f>IF(P1630="应收",COUNTIF(P$7:P1630,"应收"),"")</f>
      </c>
      <c r="R1630" s="78">
        <f>IF(P1630="应付",COUNTIF(P$7:P1630,"应付"),"")</f>
      </c>
      <c r="S1630" s="78">
        <f>N(F1630)-N(G1630)</f>
        <v>0</v>
      </c>
    </row>
    <row r="1631">
      <c r="A1631" s="109">
        <f>IF(AND(F1631="",G1631=""),"",ROW()-6)</f>
      </c>
      <c r="B1631" s="140" t="n"/>
      <c r="C1631" s="141" t="n"/>
      <c r="D1631" s="141" t="n"/>
      <c r="E1631" s="142" t="n"/>
      <c r="F1631" s="143" t="n"/>
      <c r="G1631" s="144" t="n"/>
      <c r="H1631" s="145">
        <f>IF(OR(C1631="",AND(F1631="",G1631="")),"",SUMIF(基础资料!$W$5:$W$24,C1631,基础资料!$X$5:$X$24)+SUMIF(C$7:C1631,C1631,F$7:F1631)-SUMIF(C$7:C1631,C1631,G$7:G1631))</f>
      </c>
      <c r="I1631" s="145">
        <f>IF(AND(F1631="",G1631=""),"",SUM(基础资料!$X$5:$X$24)+SUM(F$7:F1631)-SUM(G$7:G1631))</f>
      </c>
      <c r="J1631" s="141" t="n"/>
      <c r="K1631" s="141" t="n"/>
      <c r="L1631" s="141" t="n"/>
      <c r="M1631" s="142" t="n"/>
      <c r="N1631" s="146">
        <f>IF(AND(AND(F1631="",G1631=""),B1631="",C1631="",D1631="",J1631="",K1631="",L1631=""),"",IF(AND(F1631="",G1631=""),"✗ 没填金额",IF(AND(N(F1631)&lt;&gt;0,N(G1631)&lt;&gt;0),"✗ 收入、支出只能填一边",IF(NOT(ISNUMBER(B1631)),"✗ 日期不是真日期（要像 2026/9/25 这样填）",IF(OR(B1631&lt;年初日,B1631&gt;年末日),"✗ 日期不在本会计年度",IF(C1631="","✗ 没选账户",IF(COUNTIF(基础资料!$W$5:$W$24,C1631)=0,"✗ 账户不在基础资料里",IF(O1631="","✗ 没选收支项目",IF(P1631="未知","✗ 收支项目不在基础资料里",IF(AND(P1631="应收",J1631=""),"✗ 这笔要选客户",IF(AND(P1631="应收",COUNTIF(总览汇总!$B$5:$B$304,J1631)=0),"✗ 客户不在总览汇总名单里",IF(AND(P1631="应付",K1631=""),"✗ 这笔要选供应商",IF(AND(P1631="应付",COUNTIF(基础资料!$Q$5:$Q$54,K1631)=0),"✗ 供应商不在基础资料里",IF(AND(P1631="费用",L1631=""),"✗ 费用支出要选费用项目",IF(AND(L1631&lt;&gt;"",COUNTIF(基础资料!$AI$5:$AI$54,L1631)=0),"✗ 费用项目不在基础资料里",IF(AND(IFERROR(INDEX(基础资料!$AD$5:$AD$34,MATCH(O1631,基础资料!$AC$5:$AC$34,0)),"")="收",N(G1631)&lt;&gt;0),"✗ 这类是收款，金额填到收入列",IF(AND(IFERROR(INDEX(基础资料!$AD$5:$AD$34,MATCH(O1631,基础资料!$AC$5:$AC$34,0)),"")="支",N(F1631)&lt;&gt;0),"✗ 这类是付款，金额填到支出列",IF(N(H1631)&lt;0,"⚠ 账户余额成负数了，核对一下","√"))))))))))))))))))</f>
      </c>
      <c r="O1631" s="78">
        <f>IF(D1631&lt;&gt;"",D1631,IF(AND(F1631="",G1631=""),"",IF(J1631&lt;&gt;"",IF(N(F1631)&gt;0,"客户回款","客户退款"),IF(K1631&lt;&gt;"",IF(N(G1631)&gt;0,"供应商付款","供应商退款"),IF(L1631&lt;&gt;"","费用支出","")))))</f>
      </c>
      <c r="P1631" s="78">
        <f>IF(O1631="","",IFERROR(INDEX(基础资料!$AE$5:$AE$34,MATCH(O1631,基础资料!$AC$5:$AC$34,0)),"未知"))</f>
      </c>
      <c r="Q1631" s="78">
        <f>IF(P1631="应收",COUNTIF(P$7:P1631,"应收"),"")</f>
      </c>
      <c r="R1631" s="78">
        <f>IF(P1631="应付",COUNTIF(P$7:P1631,"应付"),"")</f>
      </c>
      <c r="S1631" s="78">
        <f>N(F1631)-N(G1631)</f>
        <v>0</v>
      </c>
    </row>
    <row r="1632">
      <c r="A1632" s="109">
        <f>IF(AND(F1632="",G1632=""),"",ROW()-6)</f>
      </c>
      <c r="B1632" s="140" t="n"/>
      <c r="C1632" s="141" t="n"/>
      <c r="D1632" s="141" t="n"/>
      <c r="E1632" s="142" t="n"/>
      <c r="F1632" s="143" t="n"/>
      <c r="G1632" s="144" t="n"/>
      <c r="H1632" s="145">
        <f>IF(OR(C1632="",AND(F1632="",G1632="")),"",SUMIF(基础资料!$W$5:$W$24,C1632,基础资料!$X$5:$X$24)+SUMIF(C$7:C1632,C1632,F$7:F1632)-SUMIF(C$7:C1632,C1632,G$7:G1632))</f>
      </c>
      <c r="I1632" s="145">
        <f>IF(AND(F1632="",G1632=""),"",SUM(基础资料!$X$5:$X$24)+SUM(F$7:F1632)-SUM(G$7:G1632))</f>
      </c>
      <c r="J1632" s="141" t="n"/>
      <c r="K1632" s="141" t="n"/>
      <c r="L1632" s="141" t="n"/>
      <c r="M1632" s="142" t="n"/>
      <c r="N1632" s="146">
        <f>IF(AND(AND(F1632="",G1632=""),B1632="",C1632="",D1632="",J1632="",K1632="",L1632=""),"",IF(AND(F1632="",G1632=""),"✗ 没填金额",IF(AND(N(F1632)&lt;&gt;0,N(G1632)&lt;&gt;0),"✗ 收入、支出只能填一边",IF(NOT(ISNUMBER(B1632)),"✗ 日期不是真日期（要像 2026/9/25 这样填）",IF(OR(B1632&lt;年初日,B1632&gt;年末日),"✗ 日期不在本会计年度",IF(C1632="","✗ 没选账户",IF(COUNTIF(基础资料!$W$5:$W$24,C1632)=0,"✗ 账户不在基础资料里",IF(O1632="","✗ 没选收支项目",IF(P1632="未知","✗ 收支项目不在基础资料里",IF(AND(P1632="应收",J1632=""),"✗ 这笔要选客户",IF(AND(P1632="应收",COUNTIF(总览汇总!$B$5:$B$304,J1632)=0),"✗ 客户不在总览汇总名单里",IF(AND(P1632="应付",K1632=""),"✗ 这笔要选供应商",IF(AND(P1632="应付",COUNTIF(基础资料!$Q$5:$Q$54,K1632)=0),"✗ 供应商不在基础资料里",IF(AND(P1632="费用",L1632=""),"✗ 费用支出要选费用项目",IF(AND(L1632&lt;&gt;"",COUNTIF(基础资料!$AI$5:$AI$54,L1632)=0),"✗ 费用项目不在基础资料里",IF(AND(IFERROR(INDEX(基础资料!$AD$5:$AD$34,MATCH(O1632,基础资料!$AC$5:$AC$34,0)),"")="收",N(G1632)&lt;&gt;0),"✗ 这类是收款，金额填到收入列",IF(AND(IFERROR(INDEX(基础资料!$AD$5:$AD$34,MATCH(O1632,基础资料!$AC$5:$AC$34,0)),"")="支",N(F1632)&lt;&gt;0),"✗ 这类是付款，金额填到支出列",IF(N(H1632)&lt;0,"⚠ 账户余额成负数了，核对一下","√"))))))))))))))))))</f>
      </c>
      <c r="O1632" s="78">
        <f>IF(D1632&lt;&gt;"",D1632,IF(AND(F1632="",G1632=""),"",IF(J1632&lt;&gt;"",IF(N(F1632)&gt;0,"客户回款","客户退款"),IF(K1632&lt;&gt;"",IF(N(G1632)&gt;0,"供应商付款","供应商退款"),IF(L1632&lt;&gt;"","费用支出","")))))</f>
      </c>
      <c r="P1632" s="78">
        <f>IF(O1632="","",IFERROR(INDEX(基础资料!$AE$5:$AE$34,MATCH(O1632,基础资料!$AC$5:$AC$34,0)),"未知"))</f>
      </c>
      <c r="Q1632" s="78">
        <f>IF(P1632="应收",COUNTIF(P$7:P1632,"应收"),"")</f>
      </c>
      <c r="R1632" s="78">
        <f>IF(P1632="应付",COUNTIF(P$7:P1632,"应付"),"")</f>
      </c>
      <c r="S1632" s="78">
        <f>N(F1632)-N(G1632)</f>
        <v>0</v>
      </c>
    </row>
    <row r="1633">
      <c r="A1633" s="109">
        <f>IF(AND(F1633="",G1633=""),"",ROW()-6)</f>
      </c>
      <c r="B1633" s="140" t="n"/>
      <c r="C1633" s="141" t="n"/>
      <c r="D1633" s="141" t="n"/>
      <c r="E1633" s="142" t="n"/>
      <c r="F1633" s="143" t="n"/>
      <c r="G1633" s="144" t="n"/>
      <c r="H1633" s="145">
        <f>IF(OR(C1633="",AND(F1633="",G1633="")),"",SUMIF(基础资料!$W$5:$W$24,C1633,基础资料!$X$5:$X$24)+SUMIF(C$7:C1633,C1633,F$7:F1633)-SUMIF(C$7:C1633,C1633,G$7:G1633))</f>
      </c>
      <c r="I1633" s="145">
        <f>IF(AND(F1633="",G1633=""),"",SUM(基础资料!$X$5:$X$24)+SUM(F$7:F1633)-SUM(G$7:G1633))</f>
      </c>
      <c r="J1633" s="141" t="n"/>
      <c r="K1633" s="141" t="n"/>
      <c r="L1633" s="141" t="n"/>
      <c r="M1633" s="142" t="n"/>
      <c r="N1633" s="146">
        <f>IF(AND(AND(F1633="",G1633=""),B1633="",C1633="",D1633="",J1633="",K1633="",L1633=""),"",IF(AND(F1633="",G1633=""),"✗ 没填金额",IF(AND(N(F1633)&lt;&gt;0,N(G1633)&lt;&gt;0),"✗ 收入、支出只能填一边",IF(NOT(ISNUMBER(B1633)),"✗ 日期不是真日期（要像 2026/9/25 这样填）",IF(OR(B1633&lt;年初日,B1633&gt;年末日),"✗ 日期不在本会计年度",IF(C1633="","✗ 没选账户",IF(COUNTIF(基础资料!$W$5:$W$24,C1633)=0,"✗ 账户不在基础资料里",IF(O1633="","✗ 没选收支项目",IF(P1633="未知","✗ 收支项目不在基础资料里",IF(AND(P1633="应收",J1633=""),"✗ 这笔要选客户",IF(AND(P1633="应收",COUNTIF(总览汇总!$B$5:$B$304,J1633)=0),"✗ 客户不在总览汇总名单里",IF(AND(P1633="应付",K1633=""),"✗ 这笔要选供应商",IF(AND(P1633="应付",COUNTIF(基础资料!$Q$5:$Q$54,K1633)=0),"✗ 供应商不在基础资料里",IF(AND(P1633="费用",L1633=""),"✗ 费用支出要选费用项目",IF(AND(L1633&lt;&gt;"",COUNTIF(基础资料!$AI$5:$AI$54,L1633)=0),"✗ 费用项目不在基础资料里",IF(AND(IFERROR(INDEX(基础资料!$AD$5:$AD$34,MATCH(O1633,基础资料!$AC$5:$AC$34,0)),"")="收",N(G1633)&lt;&gt;0),"✗ 这类是收款，金额填到收入列",IF(AND(IFERROR(INDEX(基础资料!$AD$5:$AD$34,MATCH(O1633,基础资料!$AC$5:$AC$34,0)),"")="支",N(F1633)&lt;&gt;0),"✗ 这类是付款，金额填到支出列",IF(N(H1633)&lt;0,"⚠ 账户余额成负数了，核对一下","√"))))))))))))))))))</f>
      </c>
      <c r="O1633" s="78">
        <f>IF(D1633&lt;&gt;"",D1633,IF(AND(F1633="",G1633=""),"",IF(J1633&lt;&gt;"",IF(N(F1633)&gt;0,"客户回款","客户退款"),IF(K1633&lt;&gt;"",IF(N(G1633)&gt;0,"供应商付款","供应商退款"),IF(L1633&lt;&gt;"","费用支出","")))))</f>
      </c>
      <c r="P1633" s="78">
        <f>IF(O1633="","",IFERROR(INDEX(基础资料!$AE$5:$AE$34,MATCH(O1633,基础资料!$AC$5:$AC$34,0)),"未知"))</f>
      </c>
      <c r="Q1633" s="78">
        <f>IF(P1633="应收",COUNTIF(P$7:P1633,"应收"),"")</f>
      </c>
      <c r="R1633" s="78">
        <f>IF(P1633="应付",COUNTIF(P$7:P1633,"应付"),"")</f>
      </c>
      <c r="S1633" s="78">
        <f>N(F1633)-N(G1633)</f>
        <v>0</v>
      </c>
    </row>
    <row r="1634">
      <c r="A1634" s="109">
        <f>IF(AND(F1634="",G1634=""),"",ROW()-6)</f>
      </c>
      <c r="B1634" s="140" t="n"/>
      <c r="C1634" s="141" t="n"/>
      <c r="D1634" s="141" t="n"/>
      <c r="E1634" s="142" t="n"/>
      <c r="F1634" s="143" t="n"/>
      <c r="G1634" s="144" t="n"/>
      <c r="H1634" s="145">
        <f>IF(OR(C1634="",AND(F1634="",G1634="")),"",SUMIF(基础资料!$W$5:$W$24,C1634,基础资料!$X$5:$X$24)+SUMIF(C$7:C1634,C1634,F$7:F1634)-SUMIF(C$7:C1634,C1634,G$7:G1634))</f>
      </c>
      <c r="I1634" s="145">
        <f>IF(AND(F1634="",G1634=""),"",SUM(基础资料!$X$5:$X$24)+SUM(F$7:F1634)-SUM(G$7:G1634))</f>
      </c>
      <c r="J1634" s="141" t="n"/>
      <c r="K1634" s="141" t="n"/>
      <c r="L1634" s="141" t="n"/>
      <c r="M1634" s="142" t="n"/>
      <c r="N1634" s="146">
        <f>IF(AND(AND(F1634="",G1634=""),B1634="",C1634="",D1634="",J1634="",K1634="",L1634=""),"",IF(AND(F1634="",G1634=""),"✗ 没填金额",IF(AND(N(F1634)&lt;&gt;0,N(G1634)&lt;&gt;0),"✗ 收入、支出只能填一边",IF(NOT(ISNUMBER(B1634)),"✗ 日期不是真日期（要像 2026/9/25 这样填）",IF(OR(B1634&lt;年初日,B1634&gt;年末日),"✗ 日期不在本会计年度",IF(C1634="","✗ 没选账户",IF(COUNTIF(基础资料!$W$5:$W$24,C1634)=0,"✗ 账户不在基础资料里",IF(O1634="","✗ 没选收支项目",IF(P1634="未知","✗ 收支项目不在基础资料里",IF(AND(P1634="应收",J1634=""),"✗ 这笔要选客户",IF(AND(P1634="应收",COUNTIF(总览汇总!$B$5:$B$304,J1634)=0),"✗ 客户不在总览汇总名单里",IF(AND(P1634="应付",K1634=""),"✗ 这笔要选供应商",IF(AND(P1634="应付",COUNTIF(基础资料!$Q$5:$Q$54,K1634)=0),"✗ 供应商不在基础资料里",IF(AND(P1634="费用",L1634=""),"✗ 费用支出要选费用项目",IF(AND(L1634&lt;&gt;"",COUNTIF(基础资料!$AI$5:$AI$54,L1634)=0),"✗ 费用项目不在基础资料里",IF(AND(IFERROR(INDEX(基础资料!$AD$5:$AD$34,MATCH(O1634,基础资料!$AC$5:$AC$34,0)),"")="收",N(G1634)&lt;&gt;0),"✗ 这类是收款，金额填到收入列",IF(AND(IFERROR(INDEX(基础资料!$AD$5:$AD$34,MATCH(O1634,基础资料!$AC$5:$AC$34,0)),"")="支",N(F1634)&lt;&gt;0),"✗ 这类是付款，金额填到支出列",IF(N(H1634)&lt;0,"⚠ 账户余额成负数了，核对一下","√"))))))))))))))))))</f>
      </c>
      <c r="O1634" s="78">
        <f>IF(D1634&lt;&gt;"",D1634,IF(AND(F1634="",G1634=""),"",IF(J1634&lt;&gt;"",IF(N(F1634)&gt;0,"客户回款","客户退款"),IF(K1634&lt;&gt;"",IF(N(G1634)&gt;0,"供应商付款","供应商退款"),IF(L1634&lt;&gt;"","费用支出","")))))</f>
      </c>
      <c r="P1634" s="78">
        <f>IF(O1634="","",IFERROR(INDEX(基础资料!$AE$5:$AE$34,MATCH(O1634,基础资料!$AC$5:$AC$34,0)),"未知"))</f>
      </c>
      <c r="Q1634" s="78">
        <f>IF(P1634="应收",COUNTIF(P$7:P1634,"应收"),"")</f>
      </c>
      <c r="R1634" s="78">
        <f>IF(P1634="应付",COUNTIF(P$7:P1634,"应付"),"")</f>
      </c>
      <c r="S1634" s="78">
        <f>N(F1634)-N(G1634)</f>
        <v>0</v>
      </c>
    </row>
    <row r="1635">
      <c r="A1635" s="109">
        <f>IF(AND(F1635="",G1635=""),"",ROW()-6)</f>
      </c>
      <c r="B1635" s="140" t="n"/>
      <c r="C1635" s="141" t="n"/>
      <c r="D1635" s="141" t="n"/>
      <c r="E1635" s="142" t="n"/>
      <c r="F1635" s="143" t="n"/>
      <c r="G1635" s="144" t="n"/>
      <c r="H1635" s="145">
        <f>IF(OR(C1635="",AND(F1635="",G1635="")),"",SUMIF(基础资料!$W$5:$W$24,C1635,基础资料!$X$5:$X$24)+SUMIF(C$7:C1635,C1635,F$7:F1635)-SUMIF(C$7:C1635,C1635,G$7:G1635))</f>
      </c>
      <c r="I1635" s="145">
        <f>IF(AND(F1635="",G1635=""),"",SUM(基础资料!$X$5:$X$24)+SUM(F$7:F1635)-SUM(G$7:G1635))</f>
      </c>
      <c r="J1635" s="141" t="n"/>
      <c r="K1635" s="141" t="n"/>
      <c r="L1635" s="141" t="n"/>
      <c r="M1635" s="142" t="n"/>
      <c r="N1635" s="146">
        <f>IF(AND(AND(F1635="",G1635=""),B1635="",C1635="",D1635="",J1635="",K1635="",L1635=""),"",IF(AND(F1635="",G1635=""),"✗ 没填金额",IF(AND(N(F1635)&lt;&gt;0,N(G1635)&lt;&gt;0),"✗ 收入、支出只能填一边",IF(NOT(ISNUMBER(B1635)),"✗ 日期不是真日期（要像 2026/9/25 这样填）",IF(OR(B1635&lt;年初日,B1635&gt;年末日),"✗ 日期不在本会计年度",IF(C1635="","✗ 没选账户",IF(COUNTIF(基础资料!$W$5:$W$24,C1635)=0,"✗ 账户不在基础资料里",IF(O1635="","✗ 没选收支项目",IF(P1635="未知","✗ 收支项目不在基础资料里",IF(AND(P1635="应收",J1635=""),"✗ 这笔要选客户",IF(AND(P1635="应收",COUNTIF(总览汇总!$B$5:$B$304,J1635)=0),"✗ 客户不在总览汇总名单里",IF(AND(P1635="应付",K1635=""),"✗ 这笔要选供应商",IF(AND(P1635="应付",COUNTIF(基础资料!$Q$5:$Q$54,K1635)=0),"✗ 供应商不在基础资料里",IF(AND(P1635="费用",L1635=""),"✗ 费用支出要选费用项目",IF(AND(L1635&lt;&gt;"",COUNTIF(基础资料!$AI$5:$AI$54,L1635)=0),"✗ 费用项目不在基础资料里",IF(AND(IFERROR(INDEX(基础资料!$AD$5:$AD$34,MATCH(O1635,基础资料!$AC$5:$AC$34,0)),"")="收",N(G1635)&lt;&gt;0),"✗ 这类是收款，金额填到收入列",IF(AND(IFERROR(INDEX(基础资料!$AD$5:$AD$34,MATCH(O1635,基础资料!$AC$5:$AC$34,0)),"")="支",N(F1635)&lt;&gt;0),"✗ 这类是付款，金额填到支出列",IF(N(H1635)&lt;0,"⚠ 账户余额成负数了，核对一下","√"))))))))))))))))))</f>
      </c>
      <c r="O1635" s="78">
        <f>IF(D1635&lt;&gt;"",D1635,IF(AND(F1635="",G1635=""),"",IF(J1635&lt;&gt;"",IF(N(F1635)&gt;0,"客户回款","客户退款"),IF(K1635&lt;&gt;"",IF(N(G1635)&gt;0,"供应商付款","供应商退款"),IF(L1635&lt;&gt;"","费用支出","")))))</f>
      </c>
      <c r="P1635" s="78">
        <f>IF(O1635="","",IFERROR(INDEX(基础资料!$AE$5:$AE$34,MATCH(O1635,基础资料!$AC$5:$AC$34,0)),"未知"))</f>
      </c>
      <c r="Q1635" s="78">
        <f>IF(P1635="应收",COUNTIF(P$7:P1635,"应收"),"")</f>
      </c>
      <c r="R1635" s="78">
        <f>IF(P1635="应付",COUNTIF(P$7:P1635,"应付"),"")</f>
      </c>
      <c r="S1635" s="78">
        <f>N(F1635)-N(G1635)</f>
        <v>0</v>
      </c>
    </row>
    <row r="1636">
      <c r="A1636" s="109">
        <f>IF(AND(F1636="",G1636=""),"",ROW()-6)</f>
      </c>
      <c r="B1636" s="140" t="n"/>
      <c r="C1636" s="141" t="n"/>
      <c r="D1636" s="141" t="n"/>
      <c r="E1636" s="142" t="n"/>
      <c r="F1636" s="143" t="n"/>
      <c r="G1636" s="144" t="n"/>
      <c r="H1636" s="145">
        <f>IF(OR(C1636="",AND(F1636="",G1636="")),"",SUMIF(基础资料!$W$5:$W$24,C1636,基础资料!$X$5:$X$24)+SUMIF(C$7:C1636,C1636,F$7:F1636)-SUMIF(C$7:C1636,C1636,G$7:G1636))</f>
      </c>
      <c r="I1636" s="145">
        <f>IF(AND(F1636="",G1636=""),"",SUM(基础资料!$X$5:$X$24)+SUM(F$7:F1636)-SUM(G$7:G1636))</f>
      </c>
      <c r="J1636" s="141" t="n"/>
      <c r="K1636" s="141" t="n"/>
      <c r="L1636" s="141" t="n"/>
      <c r="M1636" s="142" t="n"/>
      <c r="N1636" s="146">
        <f>IF(AND(AND(F1636="",G1636=""),B1636="",C1636="",D1636="",J1636="",K1636="",L1636=""),"",IF(AND(F1636="",G1636=""),"✗ 没填金额",IF(AND(N(F1636)&lt;&gt;0,N(G1636)&lt;&gt;0),"✗ 收入、支出只能填一边",IF(NOT(ISNUMBER(B1636)),"✗ 日期不是真日期（要像 2026/9/25 这样填）",IF(OR(B1636&lt;年初日,B1636&gt;年末日),"✗ 日期不在本会计年度",IF(C1636="","✗ 没选账户",IF(COUNTIF(基础资料!$W$5:$W$24,C1636)=0,"✗ 账户不在基础资料里",IF(O1636="","✗ 没选收支项目",IF(P1636="未知","✗ 收支项目不在基础资料里",IF(AND(P1636="应收",J1636=""),"✗ 这笔要选客户",IF(AND(P1636="应收",COUNTIF(总览汇总!$B$5:$B$304,J1636)=0),"✗ 客户不在总览汇总名单里",IF(AND(P1636="应付",K1636=""),"✗ 这笔要选供应商",IF(AND(P1636="应付",COUNTIF(基础资料!$Q$5:$Q$54,K1636)=0),"✗ 供应商不在基础资料里",IF(AND(P1636="费用",L1636=""),"✗ 费用支出要选费用项目",IF(AND(L1636&lt;&gt;"",COUNTIF(基础资料!$AI$5:$AI$54,L1636)=0),"✗ 费用项目不在基础资料里",IF(AND(IFERROR(INDEX(基础资料!$AD$5:$AD$34,MATCH(O1636,基础资料!$AC$5:$AC$34,0)),"")="收",N(G1636)&lt;&gt;0),"✗ 这类是收款，金额填到收入列",IF(AND(IFERROR(INDEX(基础资料!$AD$5:$AD$34,MATCH(O1636,基础资料!$AC$5:$AC$34,0)),"")="支",N(F1636)&lt;&gt;0),"✗ 这类是付款，金额填到支出列",IF(N(H1636)&lt;0,"⚠ 账户余额成负数了，核对一下","√"))))))))))))))))))</f>
      </c>
      <c r="O1636" s="78">
        <f>IF(D1636&lt;&gt;"",D1636,IF(AND(F1636="",G1636=""),"",IF(J1636&lt;&gt;"",IF(N(F1636)&gt;0,"客户回款","客户退款"),IF(K1636&lt;&gt;"",IF(N(G1636)&gt;0,"供应商付款","供应商退款"),IF(L1636&lt;&gt;"","费用支出","")))))</f>
      </c>
      <c r="P1636" s="78">
        <f>IF(O1636="","",IFERROR(INDEX(基础资料!$AE$5:$AE$34,MATCH(O1636,基础资料!$AC$5:$AC$34,0)),"未知"))</f>
      </c>
      <c r="Q1636" s="78">
        <f>IF(P1636="应收",COUNTIF(P$7:P1636,"应收"),"")</f>
      </c>
      <c r="R1636" s="78">
        <f>IF(P1636="应付",COUNTIF(P$7:P1636,"应付"),"")</f>
      </c>
      <c r="S1636" s="78">
        <f>N(F1636)-N(G1636)</f>
        <v>0</v>
      </c>
    </row>
    <row r="1637">
      <c r="A1637" s="109">
        <f>IF(AND(F1637="",G1637=""),"",ROW()-6)</f>
      </c>
      <c r="B1637" s="140" t="n"/>
      <c r="C1637" s="141" t="n"/>
      <c r="D1637" s="141" t="n"/>
      <c r="E1637" s="142" t="n"/>
      <c r="F1637" s="143" t="n"/>
      <c r="G1637" s="144" t="n"/>
      <c r="H1637" s="145">
        <f>IF(OR(C1637="",AND(F1637="",G1637="")),"",SUMIF(基础资料!$W$5:$W$24,C1637,基础资料!$X$5:$X$24)+SUMIF(C$7:C1637,C1637,F$7:F1637)-SUMIF(C$7:C1637,C1637,G$7:G1637))</f>
      </c>
      <c r="I1637" s="145">
        <f>IF(AND(F1637="",G1637=""),"",SUM(基础资料!$X$5:$X$24)+SUM(F$7:F1637)-SUM(G$7:G1637))</f>
      </c>
      <c r="J1637" s="141" t="n"/>
      <c r="K1637" s="141" t="n"/>
      <c r="L1637" s="141" t="n"/>
      <c r="M1637" s="142" t="n"/>
      <c r="N1637" s="146">
        <f>IF(AND(AND(F1637="",G1637=""),B1637="",C1637="",D1637="",J1637="",K1637="",L1637=""),"",IF(AND(F1637="",G1637=""),"✗ 没填金额",IF(AND(N(F1637)&lt;&gt;0,N(G1637)&lt;&gt;0),"✗ 收入、支出只能填一边",IF(NOT(ISNUMBER(B1637)),"✗ 日期不是真日期（要像 2026/9/25 这样填）",IF(OR(B1637&lt;年初日,B1637&gt;年末日),"✗ 日期不在本会计年度",IF(C1637="","✗ 没选账户",IF(COUNTIF(基础资料!$W$5:$W$24,C1637)=0,"✗ 账户不在基础资料里",IF(O1637="","✗ 没选收支项目",IF(P1637="未知","✗ 收支项目不在基础资料里",IF(AND(P1637="应收",J1637=""),"✗ 这笔要选客户",IF(AND(P1637="应收",COUNTIF(总览汇总!$B$5:$B$304,J1637)=0),"✗ 客户不在总览汇总名单里",IF(AND(P1637="应付",K1637=""),"✗ 这笔要选供应商",IF(AND(P1637="应付",COUNTIF(基础资料!$Q$5:$Q$54,K1637)=0),"✗ 供应商不在基础资料里",IF(AND(P1637="费用",L1637=""),"✗ 费用支出要选费用项目",IF(AND(L1637&lt;&gt;"",COUNTIF(基础资料!$AI$5:$AI$54,L1637)=0),"✗ 费用项目不在基础资料里",IF(AND(IFERROR(INDEX(基础资料!$AD$5:$AD$34,MATCH(O1637,基础资料!$AC$5:$AC$34,0)),"")="收",N(G1637)&lt;&gt;0),"✗ 这类是收款，金额填到收入列",IF(AND(IFERROR(INDEX(基础资料!$AD$5:$AD$34,MATCH(O1637,基础资料!$AC$5:$AC$34,0)),"")="支",N(F1637)&lt;&gt;0),"✗ 这类是付款，金额填到支出列",IF(N(H1637)&lt;0,"⚠ 账户余额成负数了，核对一下","√"))))))))))))))))))</f>
      </c>
      <c r="O1637" s="78">
        <f>IF(D1637&lt;&gt;"",D1637,IF(AND(F1637="",G1637=""),"",IF(J1637&lt;&gt;"",IF(N(F1637)&gt;0,"客户回款","客户退款"),IF(K1637&lt;&gt;"",IF(N(G1637)&gt;0,"供应商付款","供应商退款"),IF(L1637&lt;&gt;"","费用支出","")))))</f>
      </c>
      <c r="P1637" s="78">
        <f>IF(O1637="","",IFERROR(INDEX(基础资料!$AE$5:$AE$34,MATCH(O1637,基础资料!$AC$5:$AC$34,0)),"未知"))</f>
      </c>
      <c r="Q1637" s="78">
        <f>IF(P1637="应收",COUNTIF(P$7:P1637,"应收"),"")</f>
      </c>
      <c r="R1637" s="78">
        <f>IF(P1637="应付",COUNTIF(P$7:P1637,"应付"),"")</f>
      </c>
      <c r="S1637" s="78">
        <f>N(F1637)-N(G1637)</f>
        <v>0</v>
      </c>
    </row>
    <row r="1638">
      <c r="A1638" s="109">
        <f>IF(AND(F1638="",G1638=""),"",ROW()-6)</f>
      </c>
      <c r="B1638" s="140" t="n"/>
      <c r="C1638" s="141" t="n"/>
      <c r="D1638" s="141" t="n"/>
      <c r="E1638" s="142" t="n"/>
      <c r="F1638" s="143" t="n"/>
      <c r="G1638" s="144" t="n"/>
      <c r="H1638" s="145">
        <f>IF(OR(C1638="",AND(F1638="",G1638="")),"",SUMIF(基础资料!$W$5:$W$24,C1638,基础资料!$X$5:$X$24)+SUMIF(C$7:C1638,C1638,F$7:F1638)-SUMIF(C$7:C1638,C1638,G$7:G1638))</f>
      </c>
      <c r="I1638" s="145">
        <f>IF(AND(F1638="",G1638=""),"",SUM(基础资料!$X$5:$X$24)+SUM(F$7:F1638)-SUM(G$7:G1638))</f>
      </c>
      <c r="J1638" s="141" t="n"/>
      <c r="K1638" s="141" t="n"/>
      <c r="L1638" s="141" t="n"/>
      <c r="M1638" s="142" t="n"/>
      <c r="N1638" s="146">
        <f>IF(AND(AND(F1638="",G1638=""),B1638="",C1638="",D1638="",J1638="",K1638="",L1638=""),"",IF(AND(F1638="",G1638=""),"✗ 没填金额",IF(AND(N(F1638)&lt;&gt;0,N(G1638)&lt;&gt;0),"✗ 收入、支出只能填一边",IF(NOT(ISNUMBER(B1638)),"✗ 日期不是真日期（要像 2026/9/25 这样填）",IF(OR(B1638&lt;年初日,B1638&gt;年末日),"✗ 日期不在本会计年度",IF(C1638="","✗ 没选账户",IF(COUNTIF(基础资料!$W$5:$W$24,C1638)=0,"✗ 账户不在基础资料里",IF(O1638="","✗ 没选收支项目",IF(P1638="未知","✗ 收支项目不在基础资料里",IF(AND(P1638="应收",J1638=""),"✗ 这笔要选客户",IF(AND(P1638="应收",COUNTIF(总览汇总!$B$5:$B$304,J1638)=0),"✗ 客户不在总览汇总名单里",IF(AND(P1638="应付",K1638=""),"✗ 这笔要选供应商",IF(AND(P1638="应付",COUNTIF(基础资料!$Q$5:$Q$54,K1638)=0),"✗ 供应商不在基础资料里",IF(AND(P1638="费用",L1638=""),"✗ 费用支出要选费用项目",IF(AND(L1638&lt;&gt;"",COUNTIF(基础资料!$AI$5:$AI$54,L1638)=0),"✗ 费用项目不在基础资料里",IF(AND(IFERROR(INDEX(基础资料!$AD$5:$AD$34,MATCH(O1638,基础资料!$AC$5:$AC$34,0)),"")="收",N(G1638)&lt;&gt;0),"✗ 这类是收款，金额填到收入列",IF(AND(IFERROR(INDEX(基础资料!$AD$5:$AD$34,MATCH(O1638,基础资料!$AC$5:$AC$34,0)),"")="支",N(F1638)&lt;&gt;0),"✗ 这类是付款，金额填到支出列",IF(N(H1638)&lt;0,"⚠ 账户余额成负数了，核对一下","√"))))))))))))))))))</f>
      </c>
      <c r="O1638" s="78">
        <f>IF(D1638&lt;&gt;"",D1638,IF(AND(F1638="",G1638=""),"",IF(J1638&lt;&gt;"",IF(N(F1638)&gt;0,"客户回款","客户退款"),IF(K1638&lt;&gt;"",IF(N(G1638)&gt;0,"供应商付款","供应商退款"),IF(L1638&lt;&gt;"","费用支出","")))))</f>
      </c>
      <c r="P1638" s="78">
        <f>IF(O1638="","",IFERROR(INDEX(基础资料!$AE$5:$AE$34,MATCH(O1638,基础资料!$AC$5:$AC$34,0)),"未知"))</f>
      </c>
      <c r="Q1638" s="78">
        <f>IF(P1638="应收",COUNTIF(P$7:P1638,"应收"),"")</f>
      </c>
      <c r="R1638" s="78">
        <f>IF(P1638="应付",COUNTIF(P$7:P1638,"应付"),"")</f>
      </c>
      <c r="S1638" s="78">
        <f>N(F1638)-N(G1638)</f>
        <v>0</v>
      </c>
    </row>
    <row r="1639">
      <c r="A1639" s="109">
        <f>IF(AND(F1639="",G1639=""),"",ROW()-6)</f>
      </c>
      <c r="B1639" s="140" t="n"/>
      <c r="C1639" s="141" t="n"/>
      <c r="D1639" s="141" t="n"/>
      <c r="E1639" s="142" t="n"/>
      <c r="F1639" s="143" t="n"/>
      <c r="G1639" s="144" t="n"/>
      <c r="H1639" s="145">
        <f>IF(OR(C1639="",AND(F1639="",G1639="")),"",SUMIF(基础资料!$W$5:$W$24,C1639,基础资料!$X$5:$X$24)+SUMIF(C$7:C1639,C1639,F$7:F1639)-SUMIF(C$7:C1639,C1639,G$7:G1639))</f>
      </c>
      <c r="I1639" s="145">
        <f>IF(AND(F1639="",G1639=""),"",SUM(基础资料!$X$5:$X$24)+SUM(F$7:F1639)-SUM(G$7:G1639))</f>
      </c>
      <c r="J1639" s="141" t="n"/>
      <c r="K1639" s="141" t="n"/>
      <c r="L1639" s="141" t="n"/>
      <c r="M1639" s="142" t="n"/>
      <c r="N1639" s="146">
        <f>IF(AND(AND(F1639="",G1639=""),B1639="",C1639="",D1639="",J1639="",K1639="",L1639=""),"",IF(AND(F1639="",G1639=""),"✗ 没填金额",IF(AND(N(F1639)&lt;&gt;0,N(G1639)&lt;&gt;0),"✗ 收入、支出只能填一边",IF(NOT(ISNUMBER(B1639)),"✗ 日期不是真日期（要像 2026/9/25 这样填）",IF(OR(B1639&lt;年初日,B1639&gt;年末日),"✗ 日期不在本会计年度",IF(C1639="","✗ 没选账户",IF(COUNTIF(基础资料!$W$5:$W$24,C1639)=0,"✗ 账户不在基础资料里",IF(O1639="","✗ 没选收支项目",IF(P1639="未知","✗ 收支项目不在基础资料里",IF(AND(P1639="应收",J1639=""),"✗ 这笔要选客户",IF(AND(P1639="应收",COUNTIF(总览汇总!$B$5:$B$304,J1639)=0),"✗ 客户不在总览汇总名单里",IF(AND(P1639="应付",K1639=""),"✗ 这笔要选供应商",IF(AND(P1639="应付",COUNTIF(基础资料!$Q$5:$Q$54,K1639)=0),"✗ 供应商不在基础资料里",IF(AND(P1639="费用",L1639=""),"✗ 费用支出要选费用项目",IF(AND(L1639&lt;&gt;"",COUNTIF(基础资料!$AI$5:$AI$54,L1639)=0),"✗ 费用项目不在基础资料里",IF(AND(IFERROR(INDEX(基础资料!$AD$5:$AD$34,MATCH(O1639,基础资料!$AC$5:$AC$34,0)),"")="收",N(G1639)&lt;&gt;0),"✗ 这类是收款，金额填到收入列",IF(AND(IFERROR(INDEX(基础资料!$AD$5:$AD$34,MATCH(O1639,基础资料!$AC$5:$AC$34,0)),"")="支",N(F1639)&lt;&gt;0),"✗ 这类是付款，金额填到支出列",IF(N(H1639)&lt;0,"⚠ 账户余额成负数了，核对一下","√"))))))))))))))))))</f>
      </c>
      <c r="O1639" s="78">
        <f>IF(D1639&lt;&gt;"",D1639,IF(AND(F1639="",G1639=""),"",IF(J1639&lt;&gt;"",IF(N(F1639)&gt;0,"客户回款","客户退款"),IF(K1639&lt;&gt;"",IF(N(G1639)&gt;0,"供应商付款","供应商退款"),IF(L1639&lt;&gt;"","费用支出","")))))</f>
      </c>
      <c r="P1639" s="78">
        <f>IF(O1639="","",IFERROR(INDEX(基础资料!$AE$5:$AE$34,MATCH(O1639,基础资料!$AC$5:$AC$34,0)),"未知"))</f>
      </c>
      <c r="Q1639" s="78">
        <f>IF(P1639="应收",COUNTIF(P$7:P1639,"应收"),"")</f>
      </c>
      <c r="R1639" s="78">
        <f>IF(P1639="应付",COUNTIF(P$7:P1639,"应付"),"")</f>
      </c>
      <c r="S1639" s="78">
        <f>N(F1639)-N(G1639)</f>
        <v>0</v>
      </c>
    </row>
    <row r="1640">
      <c r="A1640" s="109">
        <f>IF(AND(F1640="",G1640=""),"",ROW()-6)</f>
      </c>
      <c r="B1640" s="140" t="n"/>
      <c r="C1640" s="141" t="n"/>
      <c r="D1640" s="141" t="n"/>
      <c r="E1640" s="142" t="n"/>
      <c r="F1640" s="143" t="n"/>
      <c r="G1640" s="144" t="n"/>
      <c r="H1640" s="145">
        <f>IF(OR(C1640="",AND(F1640="",G1640="")),"",SUMIF(基础资料!$W$5:$W$24,C1640,基础资料!$X$5:$X$24)+SUMIF(C$7:C1640,C1640,F$7:F1640)-SUMIF(C$7:C1640,C1640,G$7:G1640))</f>
      </c>
      <c r="I1640" s="145">
        <f>IF(AND(F1640="",G1640=""),"",SUM(基础资料!$X$5:$X$24)+SUM(F$7:F1640)-SUM(G$7:G1640))</f>
      </c>
      <c r="J1640" s="141" t="n"/>
      <c r="K1640" s="141" t="n"/>
      <c r="L1640" s="141" t="n"/>
      <c r="M1640" s="142" t="n"/>
      <c r="N1640" s="146">
        <f>IF(AND(AND(F1640="",G1640=""),B1640="",C1640="",D1640="",J1640="",K1640="",L1640=""),"",IF(AND(F1640="",G1640=""),"✗ 没填金额",IF(AND(N(F1640)&lt;&gt;0,N(G1640)&lt;&gt;0),"✗ 收入、支出只能填一边",IF(NOT(ISNUMBER(B1640)),"✗ 日期不是真日期（要像 2026/9/25 这样填）",IF(OR(B1640&lt;年初日,B1640&gt;年末日),"✗ 日期不在本会计年度",IF(C1640="","✗ 没选账户",IF(COUNTIF(基础资料!$W$5:$W$24,C1640)=0,"✗ 账户不在基础资料里",IF(O1640="","✗ 没选收支项目",IF(P1640="未知","✗ 收支项目不在基础资料里",IF(AND(P1640="应收",J1640=""),"✗ 这笔要选客户",IF(AND(P1640="应收",COUNTIF(总览汇总!$B$5:$B$304,J1640)=0),"✗ 客户不在总览汇总名单里",IF(AND(P1640="应付",K1640=""),"✗ 这笔要选供应商",IF(AND(P1640="应付",COUNTIF(基础资料!$Q$5:$Q$54,K1640)=0),"✗ 供应商不在基础资料里",IF(AND(P1640="费用",L1640=""),"✗ 费用支出要选费用项目",IF(AND(L1640&lt;&gt;"",COUNTIF(基础资料!$AI$5:$AI$54,L1640)=0),"✗ 费用项目不在基础资料里",IF(AND(IFERROR(INDEX(基础资料!$AD$5:$AD$34,MATCH(O1640,基础资料!$AC$5:$AC$34,0)),"")="收",N(G1640)&lt;&gt;0),"✗ 这类是收款，金额填到收入列",IF(AND(IFERROR(INDEX(基础资料!$AD$5:$AD$34,MATCH(O1640,基础资料!$AC$5:$AC$34,0)),"")="支",N(F1640)&lt;&gt;0),"✗ 这类是付款，金额填到支出列",IF(N(H1640)&lt;0,"⚠ 账户余额成负数了，核对一下","√"))))))))))))))))))</f>
      </c>
      <c r="O1640" s="78">
        <f>IF(D1640&lt;&gt;"",D1640,IF(AND(F1640="",G1640=""),"",IF(J1640&lt;&gt;"",IF(N(F1640)&gt;0,"客户回款","客户退款"),IF(K1640&lt;&gt;"",IF(N(G1640)&gt;0,"供应商付款","供应商退款"),IF(L1640&lt;&gt;"","费用支出","")))))</f>
      </c>
      <c r="P1640" s="78">
        <f>IF(O1640="","",IFERROR(INDEX(基础资料!$AE$5:$AE$34,MATCH(O1640,基础资料!$AC$5:$AC$34,0)),"未知"))</f>
      </c>
      <c r="Q1640" s="78">
        <f>IF(P1640="应收",COUNTIF(P$7:P1640,"应收"),"")</f>
      </c>
      <c r="R1640" s="78">
        <f>IF(P1640="应付",COUNTIF(P$7:P1640,"应付"),"")</f>
      </c>
      <c r="S1640" s="78">
        <f>N(F1640)-N(G1640)</f>
        <v>0</v>
      </c>
    </row>
    <row r="1641">
      <c r="A1641" s="109">
        <f>IF(AND(F1641="",G1641=""),"",ROW()-6)</f>
      </c>
      <c r="B1641" s="140" t="n"/>
      <c r="C1641" s="141" t="n"/>
      <c r="D1641" s="141" t="n"/>
      <c r="E1641" s="142" t="n"/>
      <c r="F1641" s="143" t="n"/>
      <c r="G1641" s="144" t="n"/>
      <c r="H1641" s="145">
        <f>IF(OR(C1641="",AND(F1641="",G1641="")),"",SUMIF(基础资料!$W$5:$W$24,C1641,基础资料!$X$5:$X$24)+SUMIF(C$7:C1641,C1641,F$7:F1641)-SUMIF(C$7:C1641,C1641,G$7:G1641))</f>
      </c>
      <c r="I1641" s="145">
        <f>IF(AND(F1641="",G1641=""),"",SUM(基础资料!$X$5:$X$24)+SUM(F$7:F1641)-SUM(G$7:G1641))</f>
      </c>
      <c r="J1641" s="141" t="n"/>
      <c r="K1641" s="141" t="n"/>
      <c r="L1641" s="141" t="n"/>
      <c r="M1641" s="142" t="n"/>
      <c r="N1641" s="146">
        <f>IF(AND(AND(F1641="",G1641=""),B1641="",C1641="",D1641="",J1641="",K1641="",L1641=""),"",IF(AND(F1641="",G1641=""),"✗ 没填金额",IF(AND(N(F1641)&lt;&gt;0,N(G1641)&lt;&gt;0),"✗ 收入、支出只能填一边",IF(NOT(ISNUMBER(B1641)),"✗ 日期不是真日期（要像 2026/9/25 这样填）",IF(OR(B1641&lt;年初日,B1641&gt;年末日),"✗ 日期不在本会计年度",IF(C1641="","✗ 没选账户",IF(COUNTIF(基础资料!$W$5:$W$24,C1641)=0,"✗ 账户不在基础资料里",IF(O1641="","✗ 没选收支项目",IF(P1641="未知","✗ 收支项目不在基础资料里",IF(AND(P1641="应收",J1641=""),"✗ 这笔要选客户",IF(AND(P1641="应收",COUNTIF(总览汇总!$B$5:$B$304,J1641)=0),"✗ 客户不在总览汇总名单里",IF(AND(P1641="应付",K1641=""),"✗ 这笔要选供应商",IF(AND(P1641="应付",COUNTIF(基础资料!$Q$5:$Q$54,K1641)=0),"✗ 供应商不在基础资料里",IF(AND(P1641="费用",L1641=""),"✗ 费用支出要选费用项目",IF(AND(L1641&lt;&gt;"",COUNTIF(基础资料!$AI$5:$AI$54,L1641)=0),"✗ 费用项目不在基础资料里",IF(AND(IFERROR(INDEX(基础资料!$AD$5:$AD$34,MATCH(O1641,基础资料!$AC$5:$AC$34,0)),"")="收",N(G1641)&lt;&gt;0),"✗ 这类是收款，金额填到收入列",IF(AND(IFERROR(INDEX(基础资料!$AD$5:$AD$34,MATCH(O1641,基础资料!$AC$5:$AC$34,0)),"")="支",N(F1641)&lt;&gt;0),"✗ 这类是付款，金额填到支出列",IF(N(H1641)&lt;0,"⚠ 账户余额成负数了，核对一下","√"))))))))))))))))))</f>
      </c>
      <c r="O1641" s="78">
        <f>IF(D1641&lt;&gt;"",D1641,IF(AND(F1641="",G1641=""),"",IF(J1641&lt;&gt;"",IF(N(F1641)&gt;0,"客户回款","客户退款"),IF(K1641&lt;&gt;"",IF(N(G1641)&gt;0,"供应商付款","供应商退款"),IF(L1641&lt;&gt;"","费用支出","")))))</f>
      </c>
      <c r="P1641" s="78">
        <f>IF(O1641="","",IFERROR(INDEX(基础资料!$AE$5:$AE$34,MATCH(O1641,基础资料!$AC$5:$AC$34,0)),"未知"))</f>
      </c>
      <c r="Q1641" s="78">
        <f>IF(P1641="应收",COUNTIF(P$7:P1641,"应收"),"")</f>
      </c>
      <c r="R1641" s="78">
        <f>IF(P1641="应付",COUNTIF(P$7:P1641,"应付"),"")</f>
      </c>
      <c r="S1641" s="78">
        <f>N(F1641)-N(G1641)</f>
        <v>0</v>
      </c>
    </row>
    <row r="1642">
      <c r="A1642" s="109">
        <f>IF(AND(F1642="",G1642=""),"",ROW()-6)</f>
      </c>
      <c r="B1642" s="140" t="n"/>
      <c r="C1642" s="141" t="n"/>
      <c r="D1642" s="141" t="n"/>
      <c r="E1642" s="142" t="n"/>
      <c r="F1642" s="143" t="n"/>
      <c r="G1642" s="144" t="n"/>
      <c r="H1642" s="145">
        <f>IF(OR(C1642="",AND(F1642="",G1642="")),"",SUMIF(基础资料!$W$5:$W$24,C1642,基础资料!$X$5:$X$24)+SUMIF(C$7:C1642,C1642,F$7:F1642)-SUMIF(C$7:C1642,C1642,G$7:G1642))</f>
      </c>
      <c r="I1642" s="145">
        <f>IF(AND(F1642="",G1642=""),"",SUM(基础资料!$X$5:$X$24)+SUM(F$7:F1642)-SUM(G$7:G1642))</f>
      </c>
      <c r="J1642" s="141" t="n"/>
      <c r="K1642" s="141" t="n"/>
      <c r="L1642" s="141" t="n"/>
      <c r="M1642" s="142" t="n"/>
      <c r="N1642" s="146">
        <f>IF(AND(AND(F1642="",G1642=""),B1642="",C1642="",D1642="",J1642="",K1642="",L1642=""),"",IF(AND(F1642="",G1642=""),"✗ 没填金额",IF(AND(N(F1642)&lt;&gt;0,N(G1642)&lt;&gt;0),"✗ 收入、支出只能填一边",IF(NOT(ISNUMBER(B1642)),"✗ 日期不是真日期（要像 2026/9/25 这样填）",IF(OR(B1642&lt;年初日,B1642&gt;年末日),"✗ 日期不在本会计年度",IF(C1642="","✗ 没选账户",IF(COUNTIF(基础资料!$W$5:$W$24,C1642)=0,"✗ 账户不在基础资料里",IF(O1642="","✗ 没选收支项目",IF(P1642="未知","✗ 收支项目不在基础资料里",IF(AND(P1642="应收",J1642=""),"✗ 这笔要选客户",IF(AND(P1642="应收",COUNTIF(总览汇总!$B$5:$B$304,J1642)=0),"✗ 客户不在总览汇总名单里",IF(AND(P1642="应付",K1642=""),"✗ 这笔要选供应商",IF(AND(P1642="应付",COUNTIF(基础资料!$Q$5:$Q$54,K1642)=0),"✗ 供应商不在基础资料里",IF(AND(P1642="费用",L1642=""),"✗ 费用支出要选费用项目",IF(AND(L1642&lt;&gt;"",COUNTIF(基础资料!$AI$5:$AI$54,L1642)=0),"✗ 费用项目不在基础资料里",IF(AND(IFERROR(INDEX(基础资料!$AD$5:$AD$34,MATCH(O1642,基础资料!$AC$5:$AC$34,0)),"")="收",N(G1642)&lt;&gt;0),"✗ 这类是收款，金额填到收入列",IF(AND(IFERROR(INDEX(基础资料!$AD$5:$AD$34,MATCH(O1642,基础资料!$AC$5:$AC$34,0)),"")="支",N(F1642)&lt;&gt;0),"✗ 这类是付款，金额填到支出列",IF(N(H1642)&lt;0,"⚠ 账户余额成负数了，核对一下","√"))))))))))))))))))</f>
      </c>
      <c r="O1642" s="78">
        <f>IF(D1642&lt;&gt;"",D1642,IF(AND(F1642="",G1642=""),"",IF(J1642&lt;&gt;"",IF(N(F1642)&gt;0,"客户回款","客户退款"),IF(K1642&lt;&gt;"",IF(N(G1642)&gt;0,"供应商付款","供应商退款"),IF(L1642&lt;&gt;"","费用支出","")))))</f>
      </c>
      <c r="P1642" s="78">
        <f>IF(O1642="","",IFERROR(INDEX(基础资料!$AE$5:$AE$34,MATCH(O1642,基础资料!$AC$5:$AC$34,0)),"未知"))</f>
      </c>
      <c r="Q1642" s="78">
        <f>IF(P1642="应收",COUNTIF(P$7:P1642,"应收"),"")</f>
      </c>
      <c r="R1642" s="78">
        <f>IF(P1642="应付",COUNTIF(P$7:P1642,"应付"),"")</f>
      </c>
      <c r="S1642" s="78">
        <f>N(F1642)-N(G1642)</f>
        <v>0</v>
      </c>
    </row>
    <row r="1643">
      <c r="A1643" s="109">
        <f>IF(AND(F1643="",G1643=""),"",ROW()-6)</f>
      </c>
      <c r="B1643" s="140" t="n"/>
      <c r="C1643" s="141" t="n"/>
      <c r="D1643" s="141" t="n"/>
      <c r="E1643" s="142" t="n"/>
      <c r="F1643" s="143" t="n"/>
      <c r="G1643" s="144" t="n"/>
      <c r="H1643" s="145">
        <f>IF(OR(C1643="",AND(F1643="",G1643="")),"",SUMIF(基础资料!$W$5:$W$24,C1643,基础资料!$X$5:$X$24)+SUMIF(C$7:C1643,C1643,F$7:F1643)-SUMIF(C$7:C1643,C1643,G$7:G1643))</f>
      </c>
      <c r="I1643" s="145">
        <f>IF(AND(F1643="",G1643=""),"",SUM(基础资料!$X$5:$X$24)+SUM(F$7:F1643)-SUM(G$7:G1643))</f>
      </c>
      <c r="J1643" s="141" t="n"/>
      <c r="K1643" s="141" t="n"/>
      <c r="L1643" s="141" t="n"/>
      <c r="M1643" s="142" t="n"/>
      <c r="N1643" s="146">
        <f>IF(AND(AND(F1643="",G1643=""),B1643="",C1643="",D1643="",J1643="",K1643="",L1643=""),"",IF(AND(F1643="",G1643=""),"✗ 没填金额",IF(AND(N(F1643)&lt;&gt;0,N(G1643)&lt;&gt;0),"✗ 收入、支出只能填一边",IF(NOT(ISNUMBER(B1643)),"✗ 日期不是真日期（要像 2026/9/25 这样填）",IF(OR(B1643&lt;年初日,B1643&gt;年末日),"✗ 日期不在本会计年度",IF(C1643="","✗ 没选账户",IF(COUNTIF(基础资料!$W$5:$W$24,C1643)=0,"✗ 账户不在基础资料里",IF(O1643="","✗ 没选收支项目",IF(P1643="未知","✗ 收支项目不在基础资料里",IF(AND(P1643="应收",J1643=""),"✗ 这笔要选客户",IF(AND(P1643="应收",COUNTIF(总览汇总!$B$5:$B$304,J1643)=0),"✗ 客户不在总览汇总名单里",IF(AND(P1643="应付",K1643=""),"✗ 这笔要选供应商",IF(AND(P1643="应付",COUNTIF(基础资料!$Q$5:$Q$54,K1643)=0),"✗ 供应商不在基础资料里",IF(AND(P1643="费用",L1643=""),"✗ 费用支出要选费用项目",IF(AND(L1643&lt;&gt;"",COUNTIF(基础资料!$AI$5:$AI$54,L1643)=0),"✗ 费用项目不在基础资料里",IF(AND(IFERROR(INDEX(基础资料!$AD$5:$AD$34,MATCH(O1643,基础资料!$AC$5:$AC$34,0)),"")="收",N(G1643)&lt;&gt;0),"✗ 这类是收款，金额填到收入列",IF(AND(IFERROR(INDEX(基础资料!$AD$5:$AD$34,MATCH(O1643,基础资料!$AC$5:$AC$34,0)),"")="支",N(F1643)&lt;&gt;0),"✗ 这类是付款，金额填到支出列",IF(N(H1643)&lt;0,"⚠ 账户余额成负数了，核对一下","√"))))))))))))))))))</f>
      </c>
      <c r="O1643" s="78">
        <f>IF(D1643&lt;&gt;"",D1643,IF(AND(F1643="",G1643=""),"",IF(J1643&lt;&gt;"",IF(N(F1643)&gt;0,"客户回款","客户退款"),IF(K1643&lt;&gt;"",IF(N(G1643)&gt;0,"供应商付款","供应商退款"),IF(L1643&lt;&gt;"","费用支出","")))))</f>
      </c>
      <c r="P1643" s="78">
        <f>IF(O1643="","",IFERROR(INDEX(基础资料!$AE$5:$AE$34,MATCH(O1643,基础资料!$AC$5:$AC$34,0)),"未知"))</f>
      </c>
      <c r="Q1643" s="78">
        <f>IF(P1643="应收",COUNTIF(P$7:P1643,"应收"),"")</f>
      </c>
      <c r="R1643" s="78">
        <f>IF(P1643="应付",COUNTIF(P$7:P1643,"应付"),"")</f>
      </c>
      <c r="S1643" s="78">
        <f>N(F1643)-N(G1643)</f>
        <v>0</v>
      </c>
    </row>
    <row r="1644">
      <c r="A1644" s="109">
        <f>IF(AND(F1644="",G1644=""),"",ROW()-6)</f>
      </c>
      <c r="B1644" s="140" t="n"/>
      <c r="C1644" s="141" t="n"/>
      <c r="D1644" s="141" t="n"/>
      <c r="E1644" s="142" t="n"/>
      <c r="F1644" s="143" t="n"/>
      <c r="G1644" s="144" t="n"/>
      <c r="H1644" s="145">
        <f>IF(OR(C1644="",AND(F1644="",G1644="")),"",SUMIF(基础资料!$W$5:$W$24,C1644,基础资料!$X$5:$X$24)+SUMIF(C$7:C1644,C1644,F$7:F1644)-SUMIF(C$7:C1644,C1644,G$7:G1644))</f>
      </c>
      <c r="I1644" s="145">
        <f>IF(AND(F1644="",G1644=""),"",SUM(基础资料!$X$5:$X$24)+SUM(F$7:F1644)-SUM(G$7:G1644))</f>
      </c>
      <c r="J1644" s="141" t="n"/>
      <c r="K1644" s="141" t="n"/>
      <c r="L1644" s="141" t="n"/>
      <c r="M1644" s="142" t="n"/>
      <c r="N1644" s="146">
        <f>IF(AND(AND(F1644="",G1644=""),B1644="",C1644="",D1644="",J1644="",K1644="",L1644=""),"",IF(AND(F1644="",G1644=""),"✗ 没填金额",IF(AND(N(F1644)&lt;&gt;0,N(G1644)&lt;&gt;0),"✗ 收入、支出只能填一边",IF(NOT(ISNUMBER(B1644)),"✗ 日期不是真日期（要像 2026/9/25 这样填）",IF(OR(B1644&lt;年初日,B1644&gt;年末日),"✗ 日期不在本会计年度",IF(C1644="","✗ 没选账户",IF(COUNTIF(基础资料!$W$5:$W$24,C1644)=0,"✗ 账户不在基础资料里",IF(O1644="","✗ 没选收支项目",IF(P1644="未知","✗ 收支项目不在基础资料里",IF(AND(P1644="应收",J1644=""),"✗ 这笔要选客户",IF(AND(P1644="应收",COUNTIF(总览汇总!$B$5:$B$304,J1644)=0),"✗ 客户不在总览汇总名单里",IF(AND(P1644="应付",K1644=""),"✗ 这笔要选供应商",IF(AND(P1644="应付",COUNTIF(基础资料!$Q$5:$Q$54,K1644)=0),"✗ 供应商不在基础资料里",IF(AND(P1644="费用",L1644=""),"✗ 费用支出要选费用项目",IF(AND(L1644&lt;&gt;"",COUNTIF(基础资料!$AI$5:$AI$54,L1644)=0),"✗ 费用项目不在基础资料里",IF(AND(IFERROR(INDEX(基础资料!$AD$5:$AD$34,MATCH(O1644,基础资料!$AC$5:$AC$34,0)),"")="收",N(G1644)&lt;&gt;0),"✗ 这类是收款，金额填到收入列",IF(AND(IFERROR(INDEX(基础资料!$AD$5:$AD$34,MATCH(O1644,基础资料!$AC$5:$AC$34,0)),"")="支",N(F1644)&lt;&gt;0),"✗ 这类是付款，金额填到支出列",IF(N(H1644)&lt;0,"⚠ 账户余额成负数了，核对一下","√"))))))))))))))))))</f>
      </c>
      <c r="O1644" s="78">
        <f>IF(D1644&lt;&gt;"",D1644,IF(AND(F1644="",G1644=""),"",IF(J1644&lt;&gt;"",IF(N(F1644)&gt;0,"客户回款","客户退款"),IF(K1644&lt;&gt;"",IF(N(G1644)&gt;0,"供应商付款","供应商退款"),IF(L1644&lt;&gt;"","费用支出","")))))</f>
      </c>
      <c r="P1644" s="78">
        <f>IF(O1644="","",IFERROR(INDEX(基础资料!$AE$5:$AE$34,MATCH(O1644,基础资料!$AC$5:$AC$34,0)),"未知"))</f>
      </c>
      <c r="Q1644" s="78">
        <f>IF(P1644="应收",COUNTIF(P$7:P1644,"应收"),"")</f>
      </c>
      <c r="R1644" s="78">
        <f>IF(P1644="应付",COUNTIF(P$7:P1644,"应付"),"")</f>
      </c>
      <c r="S1644" s="78">
        <f>N(F1644)-N(G1644)</f>
        <v>0</v>
      </c>
    </row>
    <row r="1645">
      <c r="A1645" s="109">
        <f>IF(AND(F1645="",G1645=""),"",ROW()-6)</f>
      </c>
      <c r="B1645" s="140" t="n"/>
      <c r="C1645" s="141" t="n"/>
      <c r="D1645" s="141" t="n"/>
      <c r="E1645" s="142" t="n"/>
      <c r="F1645" s="143" t="n"/>
      <c r="G1645" s="144" t="n"/>
      <c r="H1645" s="145">
        <f>IF(OR(C1645="",AND(F1645="",G1645="")),"",SUMIF(基础资料!$W$5:$W$24,C1645,基础资料!$X$5:$X$24)+SUMIF(C$7:C1645,C1645,F$7:F1645)-SUMIF(C$7:C1645,C1645,G$7:G1645))</f>
      </c>
      <c r="I1645" s="145">
        <f>IF(AND(F1645="",G1645=""),"",SUM(基础资料!$X$5:$X$24)+SUM(F$7:F1645)-SUM(G$7:G1645))</f>
      </c>
      <c r="J1645" s="141" t="n"/>
      <c r="K1645" s="141" t="n"/>
      <c r="L1645" s="141" t="n"/>
      <c r="M1645" s="142" t="n"/>
      <c r="N1645" s="146">
        <f>IF(AND(AND(F1645="",G1645=""),B1645="",C1645="",D1645="",J1645="",K1645="",L1645=""),"",IF(AND(F1645="",G1645=""),"✗ 没填金额",IF(AND(N(F1645)&lt;&gt;0,N(G1645)&lt;&gt;0),"✗ 收入、支出只能填一边",IF(NOT(ISNUMBER(B1645)),"✗ 日期不是真日期（要像 2026/9/25 这样填）",IF(OR(B1645&lt;年初日,B1645&gt;年末日),"✗ 日期不在本会计年度",IF(C1645="","✗ 没选账户",IF(COUNTIF(基础资料!$W$5:$W$24,C1645)=0,"✗ 账户不在基础资料里",IF(O1645="","✗ 没选收支项目",IF(P1645="未知","✗ 收支项目不在基础资料里",IF(AND(P1645="应收",J1645=""),"✗ 这笔要选客户",IF(AND(P1645="应收",COUNTIF(总览汇总!$B$5:$B$304,J1645)=0),"✗ 客户不在总览汇总名单里",IF(AND(P1645="应付",K1645=""),"✗ 这笔要选供应商",IF(AND(P1645="应付",COUNTIF(基础资料!$Q$5:$Q$54,K1645)=0),"✗ 供应商不在基础资料里",IF(AND(P1645="费用",L1645=""),"✗ 费用支出要选费用项目",IF(AND(L1645&lt;&gt;"",COUNTIF(基础资料!$AI$5:$AI$54,L1645)=0),"✗ 费用项目不在基础资料里",IF(AND(IFERROR(INDEX(基础资料!$AD$5:$AD$34,MATCH(O1645,基础资料!$AC$5:$AC$34,0)),"")="收",N(G1645)&lt;&gt;0),"✗ 这类是收款，金额填到收入列",IF(AND(IFERROR(INDEX(基础资料!$AD$5:$AD$34,MATCH(O1645,基础资料!$AC$5:$AC$34,0)),"")="支",N(F1645)&lt;&gt;0),"✗ 这类是付款，金额填到支出列",IF(N(H1645)&lt;0,"⚠ 账户余额成负数了，核对一下","√"))))))))))))))))))</f>
      </c>
      <c r="O1645" s="78">
        <f>IF(D1645&lt;&gt;"",D1645,IF(AND(F1645="",G1645=""),"",IF(J1645&lt;&gt;"",IF(N(F1645)&gt;0,"客户回款","客户退款"),IF(K1645&lt;&gt;"",IF(N(G1645)&gt;0,"供应商付款","供应商退款"),IF(L1645&lt;&gt;"","费用支出","")))))</f>
      </c>
      <c r="P1645" s="78">
        <f>IF(O1645="","",IFERROR(INDEX(基础资料!$AE$5:$AE$34,MATCH(O1645,基础资料!$AC$5:$AC$34,0)),"未知"))</f>
      </c>
      <c r="Q1645" s="78">
        <f>IF(P1645="应收",COUNTIF(P$7:P1645,"应收"),"")</f>
      </c>
      <c r="R1645" s="78">
        <f>IF(P1645="应付",COUNTIF(P$7:P1645,"应付"),"")</f>
      </c>
      <c r="S1645" s="78">
        <f>N(F1645)-N(G1645)</f>
        <v>0</v>
      </c>
    </row>
    <row r="1646">
      <c r="A1646" s="109">
        <f>IF(AND(F1646="",G1646=""),"",ROW()-6)</f>
      </c>
      <c r="B1646" s="140" t="n"/>
      <c r="C1646" s="141" t="n"/>
      <c r="D1646" s="141" t="n"/>
      <c r="E1646" s="142" t="n"/>
      <c r="F1646" s="143" t="n"/>
      <c r="G1646" s="144" t="n"/>
      <c r="H1646" s="145">
        <f>IF(OR(C1646="",AND(F1646="",G1646="")),"",SUMIF(基础资料!$W$5:$W$24,C1646,基础资料!$X$5:$X$24)+SUMIF(C$7:C1646,C1646,F$7:F1646)-SUMIF(C$7:C1646,C1646,G$7:G1646))</f>
      </c>
      <c r="I1646" s="145">
        <f>IF(AND(F1646="",G1646=""),"",SUM(基础资料!$X$5:$X$24)+SUM(F$7:F1646)-SUM(G$7:G1646))</f>
      </c>
      <c r="J1646" s="141" t="n"/>
      <c r="K1646" s="141" t="n"/>
      <c r="L1646" s="141" t="n"/>
      <c r="M1646" s="142" t="n"/>
      <c r="N1646" s="146">
        <f>IF(AND(AND(F1646="",G1646=""),B1646="",C1646="",D1646="",J1646="",K1646="",L1646=""),"",IF(AND(F1646="",G1646=""),"✗ 没填金额",IF(AND(N(F1646)&lt;&gt;0,N(G1646)&lt;&gt;0),"✗ 收入、支出只能填一边",IF(NOT(ISNUMBER(B1646)),"✗ 日期不是真日期（要像 2026/9/25 这样填）",IF(OR(B1646&lt;年初日,B1646&gt;年末日),"✗ 日期不在本会计年度",IF(C1646="","✗ 没选账户",IF(COUNTIF(基础资料!$W$5:$W$24,C1646)=0,"✗ 账户不在基础资料里",IF(O1646="","✗ 没选收支项目",IF(P1646="未知","✗ 收支项目不在基础资料里",IF(AND(P1646="应收",J1646=""),"✗ 这笔要选客户",IF(AND(P1646="应收",COUNTIF(总览汇总!$B$5:$B$304,J1646)=0),"✗ 客户不在总览汇总名单里",IF(AND(P1646="应付",K1646=""),"✗ 这笔要选供应商",IF(AND(P1646="应付",COUNTIF(基础资料!$Q$5:$Q$54,K1646)=0),"✗ 供应商不在基础资料里",IF(AND(P1646="费用",L1646=""),"✗ 费用支出要选费用项目",IF(AND(L1646&lt;&gt;"",COUNTIF(基础资料!$AI$5:$AI$54,L1646)=0),"✗ 费用项目不在基础资料里",IF(AND(IFERROR(INDEX(基础资料!$AD$5:$AD$34,MATCH(O1646,基础资料!$AC$5:$AC$34,0)),"")="收",N(G1646)&lt;&gt;0),"✗ 这类是收款，金额填到收入列",IF(AND(IFERROR(INDEX(基础资料!$AD$5:$AD$34,MATCH(O1646,基础资料!$AC$5:$AC$34,0)),"")="支",N(F1646)&lt;&gt;0),"✗ 这类是付款，金额填到支出列",IF(N(H1646)&lt;0,"⚠ 账户余额成负数了，核对一下","√"))))))))))))))))))</f>
      </c>
      <c r="O1646" s="78">
        <f>IF(D1646&lt;&gt;"",D1646,IF(AND(F1646="",G1646=""),"",IF(J1646&lt;&gt;"",IF(N(F1646)&gt;0,"客户回款","客户退款"),IF(K1646&lt;&gt;"",IF(N(G1646)&gt;0,"供应商付款","供应商退款"),IF(L1646&lt;&gt;"","费用支出","")))))</f>
      </c>
      <c r="P1646" s="78">
        <f>IF(O1646="","",IFERROR(INDEX(基础资料!$AE$5:$AE$34,MATCH(O1646,基础资料!$AC$5:$AC$34,0)),"未知"))</f>
      </c>
      <c r="Q1646" s="78">
        <f>IF(P1646="应收",COUNTIF(P$7:P1646,"应收"),"")</f>
      </c>
      <c r="R1646" s="78">
        <f>IF(P1646="应付",COUNTIF(P$7:P1646,"应付"),"")</f>
      </c>
      <c r="S1646" s="78">
        <f>N(F1646)-N(G1646)</f>
        <v>0</v>
      </c>
    </row>
    <row r="1647">
      <c r="A1647" s="109">
        <f>IF(AND(F1647="",G1647=""),"",ROW()-6)</f>
      </c>
      <c r="B1647" s="140" t="n"/>
      <c r="C1647" s="141" t="n"/>
      <c r="D1647" s="141" t="n"/>
      <c r="E1647" s="142" t="n"/>
      <c r="F1647" s="143" t="n"/>
      <c r="G1647" s="144" t="n"/>
      <c r="H1647" s="145">
        <f>IF(OR(C1647="",AND(F1647="",G1647="")),"",SUMIF(基础资料!$W$5:$W$24,C1647,基础资料!$X$5:$X$24)+SUMIF(C$7:C1647,C1647,F$7:F1647)-SUMIF(C$7:C1647,C1647,G$7:G1647))</f>
      </c>
      <c r="I1647" s="145">
        <f>IF(AND(F1647="",G1647=""),"",SUM(基础资料!$X$5:$X$24)+SUM(F$7:F1647)-SUM(G$7:G1647))</f>
      </c>
      <c r="J1647" s="141" t="n"/>
      <c r="K1647" s="141" t="n"/>
      <c r="L1647" s="141" t="n"/>
      <c r="M1647" s="142" t="n"/>
      <c r="N1647" s="146">
        <f>IF(AND(AND(F1647="",G1647=""),B1647="",C1647="",D1647="",J1647="",K1647="",L1647=""),"",IF(AND(F1647="",G1647=""),"✗ 没填金额",IF(AND(N(F1647)&lt;&gt;0,N(G1647)&lt;&gt;0),"✗ 收入、支出只能填一边",IF(NOT(ISNUMBER(B1647)),"✗ 日期不是真日期（要像 2026/9/25 这样填）",IF(OR(B1647&lt;年初日,B1647&gt;年末日),"✗ 日期不在本会计年度",IF(C1647="","✗ 没选账户",IF(COUNTIF(基础资料!$W$5:$W$24,C1647)=0,"✗ 账户不在基础资料里",IF(O1647="","✗ 没选收支项目",IF(P1647="未知","✗ 收支项目不在基础资料里",IF(AND(P1647="应收",J1647=""),"✗ 这笔要选客户",IF(AND(P1647="应收",COUNTIF(总览汇总!$B$5:$B$304,J1647)=0),"✗ 客户不在总览汇总名单里",IF(AND(P1647="应付",K1647=""),"✗ 这笔要选供应商",IF(AND(P1647="应付",COUNTIF(基础资料!$Q$5:$Q$54,K1647)=0),"✗ 供应商不在基础资料里",IF(AND(P1647="费用",L1647=""),"✗ 费用支出要选费用项目",IF(AND(L1647&lt;&gt;"",COUNTIF(基础资料!$AI$5:$AI$54,L1647)=0),"✗ 费用项目不在基础资料里",IF(AND(IFERROR(INDEX(基础资料!$AD$5:$AD$34,MATCH(O1647,基础资料!$AC$5:$AC$34,0)),"")="收",N(G1647)&lt;&gt;0),"✗ 这类是收款，金额填到收入列",IF(AND(IFERROR(INDEX(基础资料!$AD$5:$AD$34,MATCH(O1647,基础资料!$AC$5:$AC$34,0)),"")="支",N(F1647)&lt;&gt;0),"✗ 这类是付款，金额填到支出列",IF(N(H1647)&lt;0,"⚠ 账户余额成负数了，核对一下","√"))))))))))))))))))</f>
      </c>
      <c r="O1647" s="78">
        <f>IF(D1647&lt;&gt;"",D1647,IF(AND(F1647="",G1647=""),"",IF(J1647&lt;&gt;"",IF(N(F1647)&gt;0,"客户回款","客户退款"),IF(K1647&lt;&gt;"",IF(N(G1647)&gt;0,"供应商付款","供应商退款"),IF(L1647&lt;&gt;"","费用支出","")))))</f>
      </c>
      <c r="P1647" s="78">
        <f>IF(O1647="","",IFERROR(INDEX(基础资料!$AE$5:$AE$34,MATCH(O1647,基础资料!$AC$5:$AC$34,0)),"未知"))</f>
      </c>
      <c r="Q1647" s="78">
        <f>IF(P1647="应收",COUNTIF(P$7:P1647,"应收"),"")</f>
      </c>
      <c r="R1647" s="78">
        <f>IF(P1647="应付",COUNTIF(P$7:P1647,"应付"),"")</f>
      </c>
      <c r="S1647" s="78">
        <f>N(F1647)-N(G1647)</f>
        <v>0</v>
      </c>
    </row>
    <row r="1648">
      <c r="A1648" s="109">
        <f>IF(AND(F1648="",G1648=""),"",ROW()-6)</f>
      </c>
      <c r="B1648" s="140" t="n"/>
      <c r="C1648" s="141" t="n"/>
      <c r="D1648" s="141" t="n"/>
      <c r="E1648" s="142" t="n"/>
      <c r="F1648" s="143" t="n"/>
      <c r="G1648" s="144" t="n"/>
      <c r="H1648" s="145">
        <f>IF(OR(C1648="",AND(F1648="",G1648="")),"",SUMIF(基础资料!$W$5:$W$24,C1648,基础资料!$X$5:$X$24)+SUMIF(C$7:C1648,C1648,F$7:F1648)-SUMIF(C$7:C1648,C1648,G$7:G1648))</f>
      </c>
      <c r="I1648" s="145">
        <f>IF(AND(F1648="",G1648=""),"",SUM(基础资料!$X$5:$X$24)+SUM(F$7:F1648)-SUM(G$7:G1648))</f>
      </c>
      <c r="J1648" s="141" t="n"/>
      <c r="K1648" s="141" t="n"/>
      <c r="L1648" s="141" t="n"/>
      <c r="M1648" s="142" t="n"/>
      <c r="N1648" s="146">
        <f>IF(AND(AND(F1648="",G1648=""),B1648="",C1648="",D1648="",J1648="",K1648="",L1648=""),"",IF(AND(F1648="",G1648=""),"✗ 没填金额",IF(AND(N(F1648)&lt;&gt;0,N(G1648)&lt;&gt;0),"✗ 收入、支出只能填一边",IF(NOT(ISNUMBER(B1648)),"✗ 日期不是真日期（要像 2026/9/25 这样填）",IF(OR(B1648&lt;年初日,B1648&gt;年末日),"✗ 日期不在本会计年度",IF(C1648="","✗ 没选账户",IF(COUNTIF(基础资料!$W$5:$W$24,C1648)=0,"✗ 账户不在基础资料里",IF(O1648="","✗ 没选收支项目",IF(P1648="未知","✗ 收支项目不在基础资料里",IF(AND(P1648="应收",J1648=""),"✗ 这笔要选客户",IF(AND(P1648="应收",COUNTIF(总览汇总!$B$5:$B$304,J1648)=0),"✗ 客户不在总览汇总名单里",IF(AND(P1648="应付",K1648=""),"✗ 这笔要选供应商",IF(AND(P1648="应付",COUNTIF(基础资料!$Q$5:$Q$54,K1648)=0),"✗ 供应商不在基础资料里",IF(AND(P1648="费用",L1648=""),"✗ 费用支出要选费用项目",IF(AND(L1648&lt;&gt;"",COUNTIF(基础资料!$AI$5:$AI$54,L1648)=0),"✗ 费用项目不在基础资料里",IF(AND(IFERROR(INDEX(基础资料!$AD$5:$AD$34,MATCH(O1648,基础资料!$AC$5:$AC$34,0)),"")="收",N(G1648)&lt;&gt;0),"✗ 这类是收款，金额填到收入列",IF(AND(IFERROR(INDEX(基础资料!$AD$5:$AD$34,MATCH(O1648,基础资料!$AC$5:$AC$34,0)),"")="支",N(F1648)&lt;&gt;0),"✗ 这类是付款，金额填到支出列",IF(N(H1648)&lt;0,"⚠ 账户余额成负数了，核对一下","√"))))))))))))))))))</f>
      </c>
      <c r="O1648" s="78">
        <f>IF(D1648&lt;&gt;"",D1648,IF(AND(F1648="",G1648=""),"",IF(J1648&lt;&gt;"",IF(N(F1648)&gt;0,"客户回款","客户退款"),IF(K1648&lt;&gt;"",IF(N(G1648)&gt;0,"供应商付款","供应商退款"),IF(L1648&lt;&gt;"","费用支出","")))))</f>
      </c>
      <c r="P1648" s="78">
        <f>IF(O1648="","",IFERROR(INDEX(基础资料!$AE$5:$AE$34,MATCH(O1648,基础资料!$AC$5:$AC$34,0)),"未知"))</f>
      </c>
      <c r="Q1648" s="78">
        <f>IF(P1648="应收",COUNTIF(P$7:P1648,"应收"),"")</f>
      </c>
      <c r="R1648" s="78">
        <f>IF(P1648="应付",COUNTIF(P$7:P1648,"应付"),"")</f>
      </c>
      <c r="S1648" s="78">
        <f>N(F1648)-N(G1648)</f>
        <v>0</v>
      </c>
    </row>
    <row r="1649">
      <c r="A1649" s="109">
        <f>IF(AND(F1649="",G1649=""),"",ROW()-6)</f>
      </c>
      <c r="B1649" s="140" t="n"/>
      <c r="C1649" s="141" t="n"/>
      <c r="D1649" s="141" t="n"/>
      <c r="E1649" s="142" t="n"/>
      <c r="F1649" s="143" t="n"/>
      <c r="G1649" s="144" t="n"/>
      <c r="H1649" s="145">
        <f>IF(OR(C1649="",AND(F1649="",G1649="")),"",SUMIF(基础资料!$W$5:$W$24,C1649,基础资料!$X$5:$X$24)+SUMIF(C$7:C1649,C1649,F$7:F1649)-SUMIF(C$7:C1649,C1649,G$7:G1649))</f>
      </c>
      <c r="I1649" s="145">
        <f>IF(AND(F1649="",G1649=""),"",SUM(基础资料!$X$5:$X$24)+SUM(F$7:F1649)-SUM(G$7:G1649))</f>
      </c>
      <c r="J1649" s="141" t="n"/>
      <c r="K1649" s="141" t="n"/>
      <c r="L1649" s="141" t="n"/>
      <c r="M1649" s="142" t="n"/>
      <c r="N1649" s="146">
        <f>IF(AND(AND(F1649="",G1649=""),B1649="",C1649="",D1649="",J1649="",K1649="",L1649=""),"",IF(AND(F1649="",G1649=""),"✗ 没填金额",IF(AND(N(F1649)&lt;&gt;0,N(G1649)&lt;&gt;0),"✗ 收入、支出只能填一边",IF(NOT(ISNUMBER(B1649)),"✗ 日期不是真日期（要像 2026/9/25 这样填）",IF(OR(B1649&lt;年初日,B1649&gt;年末日),"✗ 日期不在本会计年度",IF(C1649="","✗ 没选账户",IF(COUNTIF(基础资料!$W$5:$W$24,C1649)=0,"✗ 账户不在基础资料里",IF(O1649="","✗ 没选收支项目",IF(P1649="未知","✗ 收支项目不在基础资料里",IF(AND(P1649="应收",J1649=""),"✗ 这笔要选客户",IF(AND(P1649="应收",COUNTIF(总览汇总!$B$5:$B$304,J1649)=0),"✗ 客户不在总览汇总名单里",IF(AND(P1649="应付",K1649=""),"✗ 这笔要选供应商",IF(AND(P1649="应付",COUNTIF(基础资料!$Q$5:$Q$54,K1649)=0),"✗ 供应商不在基础资料里",IF(AND(P1649="费用",L1649=""),"✗ 费用支出要选费用项目",IF(AND(L1649&lt;&gt;"",COUNTIF(基础资料!$AI$5:$AI$54,L1649)=0),"✗ 费用项目不在基础资料里",IF(AND(IFERROR(INDEX(基础资料!$AD$5:$AD$34,MATCH(O1649,基础资料!$AC$5:$AC$34,0)),"")="收",N(G1649)&lt;&gt;0),"✗ 这类是收款，金额填到收入列",IF(AND(IFERROR(INDEX(基础资料!$AD$5:$AD$34,MATCH(O1649,基础资料!$AC$5:$AC$34,0)),"")="支",N(F1649)&lt;&gt;0),"✗ 这类是付款，金额填到支出列",IF(N(H1649)&lt;0,"⚠ 账户余额成负数了，核对一下","√"))))))))))))))))))</f>
      </c>
      <c r="O1649" s="78">
        <f>IF(D1649&lt;&gt;"",D1649,IF(AND(F1649="",G1649=""),"",IF(J1649&lt;&gt;"",IF(N(F1649)&gt;0,"客户回款","客户退款"),IF(K1649&lt;&gt;"",IF(N(G1649)&gt;0,"供应商付款","供应商退款"),IF(L1649&lt;&gt;"","费用支出","")))))</f>
      </c>
      <c r="P1649" s="78">
        <f>IF(O1649="","",IFERROR(INDEX(基础资料!$AE$5:$AE$34,MATCH(O1649,基础资料!$AC$5:$AC$34,0)),"未知"))</f>
      </c>
      <c r="Q1649" s="78">
        <f>IF(P1649="应收",COUNTIF(P$7:P1649,"应收"),"")</f>
      </c>
      <c r="R1649" s="78">
        <f>IF(P1649="应付",COUNTIF(P$7:P1649,"应付"),"")</f>
      </c>
      <c r="S1649" s="78">
        <f>N(F1649)-N(G1649)</f>
        <v>0</v>
      </c>
    </row>
    <row r="1650">
      <c r="A1650" s="109">
        <f>IF(AND(F1650="",G1650=""),"",ROW()-6)</f>
      </c>
      <c r="B1650" s="140" t="n"/>
      <c r="C1650" s="141" t="n"/>
      <c r="D1650" s="141" t="n"/>
      <c r="E1650" s="142" t="n"/>
      <c r="F1650" s="143" t="n"/>
      <c r="G1650" s="144" t="n"/>
      <c r="H1650" s="145">
        <f>IF(OR(C1650="",AND(F1650="",G1650="")),"",SUMIF(基础资料!$W$5:$W$24,C1650,基础资料!$X$5:$X$24)+SUMIF(C$7:C1650,C1650,F$7:F1650)-SUMIF(C$7:C1650,C1650,G$7:G1650))</f>
      </c>
      <c r="I1650" s="145">
        <f>IF(AND(F1650="",G1650=""),"",SUM(基础资料!$X$5:$X$24)+SUM(F$7:F1650)-SUM(G$7:G1650))</f>
      </c>
      <c r="J1650" s="141" t="n"/>
      <c r="K1650" s="141" t="n"/>
      <c r="L1650" s="141" t="n"/>
      <c r="M1650" s="142" t="n"/>
      <c r="N1650" s="146">
        <f>IF(AND(AND(F1650="",G1650=""),B1650="",C1650="",D1650="",J1650="",K1650="",L1650=""),"",IF(AND(F1650="",G1650=""),"✗ 没填金额",IF(AND(N(F1650)&lt;&gt;0,N(G1650)&lt;&gt;0),"✗ 收入、支出只能填一边",IF(NOT(ISNUMBER(B1650)),"✗ 日期不是真日期（要像 2026/9/25 这样填）",IF(OR(B1650&lt;年初日,B1650&gt;年末日),"✗ 日期不在本会计年度",IF(C1650="","✗ 没选账户",IF(COUNTIF(基础资料!$W$5:$W$24,C1650)=0,"✗ 账户不在基础资料里",IF(O1650="","✗ 没选收支项目",IF(P1650="未知","✗ 收支项目不在基础资料里",IF(AND(P1650="应收",J1650=""),"✗ 这笔要选客户",IF(AND(P1650="应收",COUNTIF(总览汇总!$B$5:$B$304,J1650)=0),"✗ 客户不在总览汇总名单里",IF(AND(P1650="应付",K1650=""),"✗ 这笔要选供应商",IF(AND(P1650="应付",COUNTIF(基础资料!$Q$5:$Q$54,K1650)=0),"✗ 供应商不在基础资料里",IF(AND(P1650="费用",L1650=""),"✗ 费用支出要选费用项目",IF(AND(L1650&lt;&gt;"",COUNTIF(基础资料!$AI$5:$AI$54,L1650)=0),"✗ 费用项目不在基础资料里",IF(AND(IFERROR(INDEX(基础资料!$AD$5:$AD$34,MATCH(O1650,基础资料!$AC$5:$AC$34,0)),"")="收",N(G1650)&lt;&gt;0),"✗ 这类是收款，金额填到收入列",IF(AND(IFERROR(INDEX(基础资料!$AD$5:$AD$34,MATCH(O1650,基础资料!$AC$5:$AC$34,0)),"")="支",N(F1650)&lt;&gt;0),"✗ 这类是付款，金额填到支出列",IF(N(H1650)&lt;0,"⚠ 账户余额成负数了，核对一下","√"))))))))))))))))))</f>
      </c>
      <c r="O1650" s="78">
        <f>IF(D1650&lt;&gt;"",D1650,IF(AND(F1650="",G1650=""),"",IF(J1650&lt;&gt;"",IF(N(F1650)&gt;0,"客户回款","客户退款"),IF(K1650&lt;&gt;"",IF(N(G1650)&gt;0,"供应商付款","供应商退款"),IF(L1650&lt;&gt;"","费用支出","")))))</f>
      </c>
      <c r="P1650" s="78">
        <f>IF(O1650="","",IFERROR(INDEX(基础资料!$AE$5:$AE$34,MATCH(O1650,基础资料!$AC$5:$AC$34,0)),"未知"))</f>
      </c>
      <c r="Q1650" s="78">
        <f>IF(P1650="应收",COUNTIF(P$7:P1650,"应收"),"")</f>
      </c>
      <c r="R1650" s="78">
        <f>IF(P1650="应付",COUNTIF(P$7:P1650,"应付"),"")</f>
      </c>
      <c r="S1650" s="78">
        <f>N(F1650)-N(G1650)</f>
        <v>0</v>
      </c>
    </row>
    <row r="1651">
      <c r="A1651" s="109">
        <f>IF(AND(F1651="",G1651=""),"",ROW()-6)</f>
      </c>
      <c r="B1651" s="140" t="n"/>
      <c r="C1651" s="141" t="n"/>
      <c r="D1651" s="141" t="n"/>
      <c r="E1651" s="142" t="n"/>
      <c r="F1651" s="143" t="n"/>
      <c r="G1651" s="144" t="n"/>
      <c r="H1651" s="145">
        <f>IF(OR(C1651="",AND(F1651="",G1651="")),"",SUMIF(基础资料!$W$5:$W$24,C1651,基础资料!$X$5:$X$24)+SUMIF(C$7:C1651,C1651,F$7:F1651)-SUMIF(C$7:C1651,C1651,G$7:G1651))</f>
      </c>
      <c r="I1651" s="145">
        <f>IF(AND(F1651="",G1651=""),"",SUM(基础资料!$X$5:$X$24)+SUM(F$7:F1651)-SUM(G$7:G1651))</f>
      </c>
      <c r="J1651" s="141" t="n"/>
      <c r="K1651" s="141" t="n"/>
      <c r="L1651" s="141" t="n"/>
      <c r="M1651" s="142" t="n"/>
      <c r="N1651" s="146">
        <f>IF(AND(AND(F1651="",G1651=""),B1651="",C1651="",D1651="",J1651="",K1651="",L1651=""),"",IF(AND(F1651="",G1651=""),"✗ 没填金额",IF(AND(N(F1651)&lt;&gt;0,N(G1651)&lt;&gt;0),"✗ 收入、支出只能填一边",IF(NOT(ISNUMBER(B1651)),"✗ 日期不是真日期（要像 2026/9/25 这样填）",IF(OR(B1651&lt;年初日,B1651&gt;年末日),"✗ 日期不在本会计年度",IF(C1651="","✗ 没选账户",IF(COUNTIF(基础资料!$W$5:$W$24,C1651)=0,"✗ 账户不在基础资料里",IF(O1651="","✗ 没选收支项目",IF(P1651="未知","✗ 收支项目不在基础资料里",IF(AND(P1651="应收",J1651=""),"✗ 这笔要选客户",IF(AND(P1651="应收",COUNTIF(总览汇总!$B$5:$B$304,J1651)=0),"✗ 客户不在总览汇总名单里",IF(AND(P1651="应付",K1651=""),"✗ 这笔要选供应商",IF(AND(P1651="应付",COUNTIF(基础资料!$Q$5:$Q$54,K1651)=0),"✗ 供应商不在基础资料里",IF(AND(P1651="费用",L1651=""),"✗ 费用支出要选费用项目",IF(AND(L1651&lt;&gt;"",COUNTIF(基础资料!$AI$5:$AI$54,L1651)=0),"✗ 费用项目不在基础资料里",IF(AND(IFERROR(INDEX(基础资料!$AD$5:$AD$34,MATCH(O1651,基础资料!$AC$5:$AC$34,0)),"")="收",N(G1651)&lt;&gt;0),"✗ 这类是收款，金额填到收入列",IF(AND(IFERROR(INDEX(基础资料!$AD$5:$AD$34,MATCH(O1651,基础资料!$AC$5:$AC$34,0)),"")="支",N(F1651)&lt;&gt;0),"✗ 这类是付款，金额填到支出列",IF(N(H1651)&lt;0,"⚠ 账户余额成负数了，核对一下","√"))))))))))))))))))</f>
      </c>
      <c r="O1651" s="78">
        <f>IF(D1651&lt;&gt;"",D1651,IF(AND(F1651="",G1651=""),"",IF(J1651&lt;&gt;"",IF(N(F1651)&gt;0,"客户回款","客户退款"),IF(K1651&lt;&gt;"",IF(N(G1651)&gt;0,"供应商付款","供应商退款"),IF(L1651&lt;&gt;"","费用支出","")))))</f>
      </c>
      <c r="P1651" s="78">
        <f>IF(O1651="","",IFERROR(INDEX(基础资料!$AE$5:$AE$34,MATCH(O1651,基础资料!$AC$5:$AC$34,0)),"未知"))</f>
      </c>
      <c r="Q1651" s="78">
        <f>IF(P1651="应收",COUNTIF(P$7:P1651,"应收"),"")</f>
      </c>
      <c r="R1651" s="78">
        <f>IF(P1651="应付",COUNTIF(P$7:P1651,"应付"),"")</f>
      </c>
      <c r="S1651" s="78">
        <f>N(F1651)-N(G1651)</f>
        <v>0</v>
      </c>
    </row>
    <row r="1652">
      <c r="A1652" s="109">
        <f>IF(AND(F1652="",G1652=""),"",ROW()-6)</f>
      </c>
      <c r="B1652" s="140" t="n"/>
      <c r="C1652" s="141" t="n"/>
      <c r="D1652" s="141" t="n"/>
      <c r="E1652" s="142" t="n"/>
      <c r="F1652" s="143" t="n"/>
      <c r="G1652" s="144" t="n"/>
      <c r="H1652" s="145">
        <f>IF(OR(C1652="",AND(F1652="",G1652="")),"",SUMIF(基础资料!$W$5:$W$24,C1652,基础资料!$X$5:$X$24)+SUMIF(C$7:C1652,C1652,F$7:F1652)-SUMIF(C$7:C1652,C1652,G$7:G1652))</f>
      </c>
      <c r="I1652" s="145">
        <f>IF(AND(F1652="",G1652=""),"",SUM(基础资料!$X$5:$X$24)+SUM(F$7:F1652)-SUM(G$7:G1652))</f>
      </c>
      <c r="J1652" s="141" t="n"/>
      <c r="K1652" s="141" t="n"/>
      <c r="L1652" s="141" t="n"/>
      <c r="M1652" s="142" t="n"/>
      <c r="N1652" s="146">
        <f>IF(AND(AND(F1652="",G1652=""),B1652="",C1652="",D1652="",J1652="",K1652="",L1652=""),"",IF(AND(F1652="",G1652=""),"✗ 没填金额",IF(AND(N(F1652)&lt;&gt;0,N(G1652)&lt;&gt;0),"✗ 收入、支出只能填一边",IF(NOT(ISNUMBER(B1652)),"✗ 日期不是真日期（要像 2026/9/25 这样填）",IF(OR(B1652&lt;年初日,B1652&gt;年末日),"✗ 日期不在本会计年度",IF(C1652="","✗ 没选账户",IF(COUNTIF(基础资料!$W$5:$W$24,C1652)=0,"✗ 账户不在基础资料里",IF(O1652="","✗ 没选收支项目",IF(P1652="未知","✗ 收支项目不在基础资料里",IF(AND(P1652="应收",J1652=""),"✗ 这笔要选客户",IF(AND(P1652="应收",COUNTIF(总览汇总!$B$5:$B$304,J1652)=0),"✗ 客户不在总览汇总名单里",IF(AND(P1652="应付",K1652=""),"✗ 这笔要选供应商",IF(AND(P1652="应付",COUNTIF(基础资料!$Q$5:$Q$54,K1652)=0),"✗ 供应商不在基础资料里",IF(AND(P1652="费用",L1652=""),"✗ 费用支出要选费用项目",IF(AND(L1652&lt;&gt;"",COUNTIF(基础资料!$AI$5:$AI$54,L1652)=0),"✗ 费用项目不在基础资料里",IF(AND(IFERROR(INDEX(基础资料!$AD$5:$AD$34,MATCH(O1652,基础资料!$AC$5:$AC$34,0)),"")="收",N(G1652)&lt;&gt;0),"✗ 这类是收款，金额填到收入列",IF(AND(IFERROR(INDEX(基础资料!$AD$5:$AD$34,MATCH(O1652,基础资料!$AC$5:$AC$34,0)),"")="支",N(F1652)&lt;&gt;0),"✗ 这类是付款，金额填到支出列",IF(N(H1652)&lt;0,"⚠ 账户余额成负数了，核对一下","√"))))))))))))))))))</f>
      </c>
      <c r="O1652" s="78">
        <f>IF(D1652&lt;&gt;"",D1652,IF(AND(F1652="",G1652=""),"",IF(J1652&lt;&gt;"",IF(N(F1652)&gt;0,"客户回款","客户退款"),IF(K1652&lt;&gt;"",IF(N(G1652)&gt;0,"供应商付款","供应商退款"),IF(L1652&lt;&gt;"","费用支出","")))))</f>
      </c>
      <c r="P1652" s="78">
        <f>IF(O1652="","",IFERROR(INDEX(基础资料!$AE$5:$AE$34,MATCH(O1652,基础资料!$AC$5:$AC$34,0)),"未知"))</f>
      </c>
      <c r="Q1652" s="78">
        <f>IF(P1652="应收",COUNTIF(P$7:P1652,"应收"),"")</f>
      </c>
      <c r="R1652" s="78">
        <f>IF(P1652="应付",COUNTIF(P$7:P1652,"应付"),"")</f>
      </c>
      <c r="S1652" s="78">
        <f>N(F1652)-N(G1652)</f>
        <v>0</v>
      </c>
    </row>
    <row r="1653">
      <c r="A1653" s="109">
        <f>IF(AND(F1653="",G1653=""),"",ROW()-6)</f>
      </c>
      <c r="B1653" s="140" t="n"/>
      <c r="C1653" s="141" t="n"/>
      <c r="D1653" s="141" t="n"/>
      <c r="E1653" s="142" t="n"/>
      <c r="F1653" s="143" t="n"/>
      <c r="G1653" s="144" t="n"/>
      <c r="H1653" s="145">
        <f>IF(OR(C1653="",AND(F1653="",G1653="")),"",SUMIF(基础资料!$W$5:$W$24,C1653,基础资料!$X$5:$X$24)+SUMIF(C$7:C1653,C1653,F$7:F1653)-SUMIF(C$7:C1653,C1653,G$7:G1653))</f>
      </c>
      <c r="I1653" s="145">
        <f>IF(AND(F1653="",G1653=""),"",SUM(基础资料!$X$5:$X$24)+SUM(F$7:F1653)-SUM(G$7:G1653))</f>
      </c>
      <c r="J1653" s="141" t="n"/>
      <c r="K1653" s="141" t="n"/>
      <c r="L1653" s="141" t="n"/>
      <c r="M1653" s="142" t="n"/>
      <c r="N1653" s="146">
        <f>IF(AND(AND(F1653="",G1653=""),B1653="",C1653="",D1653="",J1653="",K1653="",L1653=""),"",IF(AND(F1653="",G1653=""),"✗ 没填金额",IF(AND(N(F1653)&lt;&gt;0,N(G1653)&lt;&gt;0),"✗ 收入、支出只能填一边",IF(NOT(ISNUMBER(B1653)),"✗ 日期不是真日期（要像 2026/9/25 这样填）",IF(OR(B1653&lt;年初日,B1653&gt;年末日),"✗ 日期不在本会计年度",IF(C1653="","✗ 没选账户",IF(COUNTIF(基础资料!$W$5:$W$24,C1653)=0,"✗ 账户不在基础资料里",IF(O1653="","✗ 没选收支项目",IF(P1653="未知","✗ 收支项目不在基础资料里",IF(AND(P1653="应收",J1653=""),"✗ 这笔要选客户",IF(AND(P1653="应收",COUNTIF(总览汇总!$B$5:$B$304,J1653)=0),"✗ 客户不在总览汇总名单里",IF(AND(P1653="应付",K1653=""),"✗ 这笔要选供应商",IF(AND(P1653="应付",COUNTIF(基础资料!$Q$5:$Q$54,K1653)=0),"✗ 供应商不在基础资料里",IF(AND(P1653="费用",L1653=""),"✗ 费用支出要选费用项目",IF(AND(L1653&lt;&gt;"",COUNTIF(基础资料!$AI$5:$AI$54,L1653)=0),"✗ 费用项目不在基础资料里",IF(AND(IFERROR(INDEX(基础资料!$AD$5:$AD$34,MATCH(O1653,基础资料!$AC$5:$AC$34,0)),"")="收",N(G1653)&lt;&gt;0),"✗ 这类是收款，金额填到收入列",IF(AND(IFERROR(INDEX(基础资料!$AD$5:$AD$34,MATCH(O1653,基础资料!$AC$5:$AC$34,0)),"")="支",N(F1653)&lt;&gt;0),"✗ 这类是付款，金额填到支出列",IF(N(H1653)&lt;0,"⚠ 账户余额成负数了，核对一下","√"))))))))))))))))))</f>
      </c>
      <c r="O1653" s="78">
        <f>IF(D1653&lt;&gt;"",D1653,IF(AND(F1653="",G1653=""),"",IF(J1653&lt;&gt;"",IF(N(F1653)&gt;0,"客户回款","客户退款"),IF(K1653&lt;&gt;"",IF(N(G1653)&gt;0,"供应商付款","供应商退款"),IF(L1653&lt;&gt;"","费用支出","")))))</f>
      </c>
      <c r="P1653" s="78">
        <f>IF(O1653="","",IFERROR(INDEX(基础资料!$AE$5:$AE$34,MATCH(O1653,基础资料!$AC$5:$AC$34,0)),"未知"))</f>
      </c>
      <c r="Q1653" s="78">
        <f>IF(P1653="应收",COUNTIF(P$7:P1653,"应收"),"")</f>
      </c>
      <c r="R1653" s="78">
        <f>IF(P1653="应付",COUNTIF(P$7:P1653,"应付"),"")</f>
      </c>
      <c r="S1653" s="78">
        <f>N(F1653)-N(G1653)</f>
        <v>0</v>
      </c>
    </row>
    <row r="1654">
      <c r="A1654" s="109">
        <f>IF(AND(F1654="",G1654=""),"",ROW()-6)</f>
      </c>
      <c r="B1654" s="140" t="n"/>
      <c r="C1654" s="141" t="n"/>
      <c r="D1654" s="141" t="n"/>
      <c r="E1654" s="142" t="n"/>
      <c r="F1654" s="143" t="n"/>
      <c r="G1654" s="144" t="n"/>
      <c r="H1654" s="145">
        <f>IF(OR(C1654="",AND(F1654="",G1654="")),"",SUMIF(基础资料!$W$5:$W$24,C1654,基础资料!$X$5:$X$24)+SUMIF(C$7:C1654,C1654,F$7:F1654)-SUMIF(C$7:C1654,C1654,G$7:G1654))</f>
      </c>
      <c r="I1654" s="145">
        <f>IF(AND(F1654="",G1654=""),"",SUM(基础资料!$X$5:$X$24)+SUM(F$7:F1654)-SUM(G$7:G1654))</f>
      </c>
      <c r="J1654" s="141" t="n"/>
      <c r="K1654" s="141" t="n"/>
      <c r="L1654" s="141" t="n"/>
      <c r="M1654" s="142" t="n"/>
      <c r="N1654" s="146">
        <f>IF(AND(AND(F1654="",G1654=""),B1654="",C1654="",D1654="",J1654="",K1654="",L1654=""),"",IF(AND(F1654="",G1654=""),"✗ 没填金额",IF(AND(N(F1654)&lt;&gt;0,N(G1654)&lt;&gt;0),"✗ 收入、支出只能填一边",IF(NOT(ISNUMBER(B1654)),"✗ 日期不是真日期（要像 2026/9/25 这样填）",IF(OR(B1654&lt;年初日,B1654&gt;年末日),"✗ 日期不在本会计年度",IF(C1654="","✗ 没选账户",IF(COUNTIF(基础资料!$W$5:$W$24,C1654)=0,"✗ 账户不在基础资料里",IF(O1654="","✗ 没选收支项目",IF(P1654="未知","✗ 收支项目不在基础资料里",IF(AND(P1654="应收",J1654=""),"✗ 这笔要选客户",IF(AND(P1654="应收",COUNTIF(总览汇总!$B$5:$B$304,J1654)=0),"✗ 客户不在总览汇总名单里",IF(AND(P1654="应付",K1654=""),"✗ 这笔要选供应商",IF(AND(P1654="应付",COUNTIF(基础资料!$Q$5:$Q$54,K1654)=0),"✗ 供应商不在基础资料里",IF(AND(P1654="费用",L1654=""),"✗ 费用支出要选费用项目",IF(AND(L1654&lt;&gt;"",COUNTIF(基础资料!$AI$5:$AI$54,L1654)=0),"✗ 费用项目不在基础资料里",IF(AND(IFERROR(INDEX(基础资料!$AD$5:$AD$34,MATCH(O1654,基础资料!$AC$5:$AC$34,0)),"")="收",N(G1654)&lt;&gt;0),"✗ 这类是收款，金额填到收入列",IF(AND(IFERROR(INDEX(基础资料!$AD$5:$AD$34,MATCH(O1654,基础资料!$AC$5:$AC$34,0)),"")="支",N(F1654)&lt;&gt;0),"✗ 这类是付款，金额填到支出列",IF(N(H1654)&lt;0,"⚠ 账户余额成负数了，核对一下","√"))))))))))))))))))</f>
      </c>
      <c r="O1654" s="78">
        <f>IF(D1654&lt;&gt;"",D1654,IF(AND(F1654="",G1654=""),"",IF(J1654&lt;&gt;"",IF(N(F1654)&gt;0,"客户回款","客户退款"),IF(K1654&lt;&gt;"",IF(N(G1654)&gt;0,"供应商付款","供应商退款"),IF(L1654&lt;&gt;"","费用支出","")))))</f>
      </c>
      <c r="P1654" s="78">
        <f>IF(O1654="","",IFERROR(INDEX(基础资料!$AE$5:$AE$34,MATCH(O1654,基础资料!$AC$5:$AC$34,0)),"未知"))</f>
      </c>
      <c r="Q1654" s="78">
        <f>IF(P1654="应收",COUNTIF(P$7:P1654,"应收"),"")</f>
      </c>
      <c r="R1654" s="78">
        <f>IF(P1654="应付",COUNTIF(P$7:P1654,"应付"),"")</f>
      </c>
      <c r="S1654" s="78">
        <f>N(F1654)-N(G1654)</f>
        <v>0</v>
      </c>
    </row>
    <row r="1655">
      <c r="A1655" s="109">
        <f>IF(AND(F1655="",G1655=""),"",ROW()-6)</f>
      </c>
      <c r="B1655" s="140" t="n"/>
      <c r="C1655" s="141" t="n"/>
      <c r="D1655" s="141" t="n"/>
      <c r="E1655" s="142" t="n"/>
      <c r="F1655" s="143" t="n"/>
      <c r="G1655" s="144" t="n"/>
      <c r="H1655" s="145">
        <f>IF(OR(C1655="",AND(F1655="",G1655="")),"",SUMIF(基础资料!$W$5:$W$24,C1655,基础资料!$X$5:$X$24)+SUMIF(C$7:C1655,C1655,F$7:F1655)-SUMIF(C$7:C1655,C1655,G$7:G1655))</f>
      </c>
      <c r="I1655" s="145">
        <f>IF(AND(F1655="",G1655=""),"",SUM(基础资料!$X$5:$X$24)+SUM(F$7:F1655)-SUM(G$7:G1655))</f>
      </c>
      <c r="J1655" s="141" t="n"/>
      <c r="K1655" s="141" t="n"/>
      <c r="L1655" s="141" t="n"/>
      <c r="M1655" s="142" t="n"/>
      <c r="N1655" s="146">
        <f>IF(AND(AND(F1655="",G1655=""),B1655="",C1655="",D1655="",J1655="",K1655="",L1655=""),"",IF(AND(F1655="",G1655=""),"✗ 没填金额",IF(AND(N(F1655)&lt;&gt;0,N(G1655)&lt;&gt;0),"✗ 收入、支出只能填一边",IF(NOT(ISNUMBER(B1655)),"✗ 日期不是真日期（要像 2026/9/25 这样填）",IF(OR(B1655&lt;年初日,B1655&gt;年末日),"✗ 日期不在本会计年度",IF(C1655="","✗ 没选账户",IF(COUNTIF(基础资料!$W$5:$W$24,C1655)=0,"✗ 账户不在基础资料里",IF(O1655="","✗ 没选收支项目",IF(P1655="未知","✗ 收支项目不在基础资料里",IF(AND(P1655="应收",J1655=""),"✗ 这笔要选客户",IF(AND(P1655="应收",COUNTIF(总览汇总!$B$5:$B$304,J1655)=0),"✗ 客户不在总览汇总名单里",IF(AND(P1655="应付",K1655=""),"✗ 这笔要选供应商",IF(AND(P1655="应付",COUNTIF(基础资料!$Q$5:$Q$54,K1655)=0),"✗ 供应商不在基础资料里",IF(AND(P1655="费用",L1655=""),"✗ 费用支出要选费用项目",IF(AND(L1655&lt;&gt;"",COUNTIF(基础资料!$AI$5:$AI$54,L1655)=0),"✗ 费用项目不在基础资料里",IF(AND(IFERROR(INDEX(基础资料!$AD$5:$AD$34,MATCH(O1655,基础资料!$AC$5:$AC$34,0)),"")="收",N(G1655)&lt;&gt;0),"✗ 这类是收款，金额填到收入列",IF(AND(IFERROR(INDEX(基础资料!$AD$5:$AD$34,MATCH(O1655,基础资料!$AC$5:$AC$34,0)),"")="支",N(F1655)&lt;&gt;0),"✗ 这类是付款，金额填到支出列",IF(N(H1655)&lt;0,"⚠ 账户余额成负数了，核对一下","√"))))))))))))))))))</f>
      </c>
      <c r="O1655" s="78">
        <f>IF(D1655&lt;&gt;"",D1655,IF(AND(F1655="",G1655=""),"",IF(J1655&lt;&gt;"",IF(N(F1655)&gt;0,"客户回款","客户退款"),IF(K1655&lt;&gt;"",IF(N(G1655)&gt;0,"供应商付款","供应商退款"),IF(L1655&lt;&gt;"","费用支出","")))))</f>
      </c>
      <c r="P1655" s="78">
        <f>IF(O1655="","",IFERROR(INDEX(基础资料!$AE$5:$AE$34,MATCH(O1655,基础资料!$AC$5:$AC$34,0)),"未知"))</f>
      </c>
      <c r="Q1655" s="78">
        <f>IF(P1655="应收",COUNTIF(P$7:P1655,"应收"),"")</f>
      </c>
      <c r="R1655" s="78">
        <f>IF(P1655="应付",COUNTIF(P$7:P1655,"应付"),"")</f>
      </c>
      <c r="S1655" s="78">
        <f>N(F1655)-N(G1655)</f>
        <v>0</v>
      </c>
    </row>
    <row r="1656">
      <c r="A1656" s="109">
        <f>IF(AND(F1656="",G1656=""),"",ROW()-6)</f>
      </c>
      <c r="B1656" s="140" t="n"/>
      <c r="C1656" s="141" t="n"/>
      <c r="D1656" s="141" t="n"/>
      <c r="E1656" s="142" t="n"/>
      <c r="F1656" s="143" t="n"/>
      <c r="G1656" s="144" t="n"/>
      <c r="H1656" s="145">
        <f>IF(OR(C1656="",AND(F1656="",G1656="")),"",SUMIF(基础资料!$W$5:$W$24,C1656,基础资料!$X$5:$X$24)+SUMIF(C$7:C1656,C1656,F$7:F1656)-SUMIF(C$7:C1656,C1656,G$7:G1656))</f>
      </c>
      <c r="I1656" s="145">
        <f>IF(AND(F1656="",G1656=""),"",SUM(基础资料!$X$5:$X$24)+SUM(F$7:F1656)-SUM(G$7:G1656))</f>
      </c>
      <c r="J1656" s="141" t="n"/>
      <c r="K1656" s="141" t="n"/>
      <c r="L1656" s="141" t="n"/>
      <c r="M1656" s="142" t="n"/>
      <c r="N1656" s="146">
        <f>IF(AND(AND(F1656="",G1656=""),B1656="",C1656="",D1656="",J1656="",K1656="",L1656=""),"",IF(AND(F1656="",G1656=""),"✗ 没填金额",IF(AND(N(F1656)&lt;&gt;0,N(G1656)&lt;&gt;0),"✗ 收入、支出只能填一边",IF(NOT(ISNUMBER(B1656)),"✗ 日期不是真日期（要像 2026/9/25 这样填）",IF(OR(B1656&lt;年初日,B1656&gt;年末日),"✗ 日期不在本会计年度",IF(C1656="","✗ 没选账户",IF(COUNTIF(基础资料!$W$5:$W$24,C1656)=0,"✗ 账户不在基础资料里",IF(O1656="","✗ 没选收支项目",IF(P1656="未知","✗ 收支项目不在基础资料里",IF(AND(P1656="应收",J1656=""),"✗ 这笔要选客户",IF(AND(P1656="应收",COUNTIF(总览汇总!$B$5:$B$304,J1656)=0),"✗ 客户不在总览汇总名单里",IF(AND(P1656="应付",K1656=""),"✗ 这笔要选供应商",IF(AND(P1656="应付",COUNTIF(基础资料!$Q$5:$Q$54,K1656)=0),"✗ 供应商不在基础资料里",IF(AND(P1656="费用",L1656=""),"✗ 费用支出要选费用项目",IF(AND(L1656&lt;&gt;"",COUNTIF(基础资料!$AI$5:$AI$54,L1656)=0),"✗ 费用项目不在基础资料里",IF(AND(IFERROR(INDEX(基础资料!$AD$5:$AD$34,MATCH(O1656,基础资料!$AC$5:$AC$34,0)),"")="收",N(G1656)&lt;&gt;0),"✗ 这类是收款，金额填到收入列",IF(AND(IFERROR(INDEX(基础资料!$AD$5:$AD$34,MATCH(O1656,基础资料!$AC$5:$AC$34,0)),"")="支",N(F1656)&lt;&gt;0),"✗ 这类是付款，金额填到支出列",IF(N(H1656)&lt;0,"⚠ 账户余额成负数了，核对一下","√"))))))))))))))))))</f>
      </c>
      <c r="O1656" s="78">
        <f>IF(D1656&lt;&gt;"",D1656,IF(AND(F1656="",G1656=""),"",IF(J1656&lt;&gt;"",IF(N(F1656)&gt;0,"客户回款","客户退款"),IF(K1656&lt;&gt;"",IF(N(G1656)&gt;0,"供应商付款","供应商退款"),IF(L1656&lt;&gt;"","费用支出","")))))</f>
      </c>
      <c r="P1656" s="78">
        <f>IF(O1656="","",IFERROR(INDEX(基础资料!$AE$5:$AE$34,MATCH(O1656,基础资料!$AC$5:$AC$34,0)),"未知"))</f>
      </c>
      <c r="Q1656" s="78">
        <f>IF(P1656="应收",COUNTIF(P$7:P1656,"应收"),"")</f>
      </c>
      <c r="R1656" s="78">
        <f>IF(P1656="应付",COUNTIF(P$7:P1656,"应付"),"")</f>
      </c>
      <c r="S1656" s="78">
        <f>N(F1656)-N(G1656)</f>
        <v>0</v>
      </c>
    </row>
    <row r="1657">
      <c r="A1657" s="109">
        <f>IF(AND(F1657="",G1657=""),"",ROW()-6)</f>
      </c>
      <c r="B1657" s="140" t="n"/>
      <c r="C1657" s="141" t="n"/>
      <c r="D1657" s="141" t="n"/>
      <c r="E1657" s="142" t="n"/>
      <c r="F1657" s="143" t="n"/>
      <c r="G1657" s="144" t="n"/>
      <c r="H1657" s="145">
        <f>IF(OR(C1657="",AND(F1657="",G1657="")),"",SUMIF(基础资料!$W$5:$W$24,C1657,基础资料!$X$5:$X$24)+SUMIF(C$7:C1657,C1657,F$7:F1657)-SUMIF(C$7:C1657,C1657,G$7:G1657))</f>
      </c>
      <c r="I1657" s="145">
        <f>IF(AND(F1657="",G1657=""),"",SUM(基础资料!$X$5:$X$24)+SUM(F$7:F1657)-SUM(G$7:G1657))</f>
      </c>
      <c r="J1657" s="141" t="n"/>
      <c r="K1657" s="141" t="n"/>
      <c r="L1657" s="141" t="n"/>
      <c r="M1657" s="142" t="n"/>
      <c r="N1657" s="146">
        <f>IF(AND(AND(F1657="",G1657=""),B1657="",C1657="",D1657="",J1657="",K1657="",L1657=""),"",IF(AND(F1657="",G1657=""),"✗ 没填金额",IF(AND(N(F1657)&lt;&gt;0,N(G1657)&lt;&gt;0),"✗ 收入、支出只能填一边",IF(NOT(ISNUMBER(B1657)),"✗ 日期不是真日期（要像 2026/9/25 这样填）",IF(OR(B1657&lt;年初日,B1657&gt;年末日),"✗ 日期不在本会计年度",IF(C1657="","✗ 没选账户",IF(COUNTIF(基础资料!$W$5:$W$24,C1657)=0,"✗ 账户不在基础资料里",IF(O1657="","✗ 没选收支项目",IF(P1657="未知","✗ 收支项目不在基础资料里",IF(AND(P1657="应收",J1657=""),"✗ 这笔要选客户",IF(AND(P1657="应收",COUNTIF(总览汇总!$B$5:$B$304,J1657)=0),"✗ 客户不在总览汇总名单里",IF(AND(P1657="应付",K1657=""),"✗ 这笔要选供应商",IF(AND(P1657="应付",COUNTIF(基础资料!$Q$5:$Q$54,K1657)=0),"✗ 供应商不在基础资料里",IF(AND(P1657="费用",L1657=""),"✗ 费用支出要选费用项目",IF(AND(L1657&lt;&gt;"",COUNTIF(基础资料!$AI$5:$AI$54,L1657)=0),"✗ 费用项目不在基础资料里",IF(AND(IFERROR(INDEX(基础资料!$AD$5:$AD$34,MATCH(O1657,基础资料!$AC$5:$AC$34,0)),"")="收",N(G1657)&lt;&gt;0),"✗ 这类是收款，金额填到收入列",IF(AND(IFERROR(INDEX(基础资料!$AD$5:$AD$34,MATCH(O1657,基础资料!$AC$5:$AC$34,0)),"")="支",N(F1657)&lt;&gt;0),"✗ 这类是付款，金额填到支出列",IF(N(H1657)&lt;0,"⚠ 账户余额成负数了，核对一下","√"))))))))))))))))))</f>
      </c>
      <c r="O1657" s="78">
        <f>IF(D1657&lt;&gt;"",D1657,IF(AND(F1657="",G1657=""),"",IF(J1657&lt;&gt;"",IF(N(F1657)&gt;0,"客户回款","客户退款"),IF(K1657&lt;&gt;"",IF(N(G1657)&gt;0,"供应商付款","供应商退款"),IF(L1657&lt;&gt;"","费用支出","")))))</f>
      </c>
      <c r="P1657" s="78">
        <f>IF(O1657="","",IFERROR(INDEX(基础资料!$AE$5:$AE$34,MATCH(O1657,基础资料!$AC$5:$AC$34,0)),"未知"))</f>
      </c>
      <c r="Q1657" s="78">
        <f>IF(P1657="应收",COUNTIF(P$7:P1657,"应收"),"")</f>
      </c>
      <c r="R1657" s="78">
        <f>IF(P1657="应付",COUNTIF(P$7:P1657,"应付"),"")</f>
      </c>
      <c r="S1657" s="78">
        <f>N(F1657)-N(G1657)</f>
        <v>0</v>
      </c>
    </row>
    <row r="1658">
      <c r="A1658" s="109">
        <f>IF(AND(F1658="",G1658=""),"",ROW()-6)</f>
      </c>
      <c r="B1658" s="140" t="n"/>
      <c r="C1658" s="141" t="n"/>
      <c r="D1658" s="141" t="n"/>
      <c r="E1658" s="142" t="n"/>
      <c r="F1658" s="143" t="n"/>
      <c r="G1658" s="144" t="n"/>
      <c r="H1658" s="145">
        <f>IF(OR(C1658="",AND(F1658="",G1658="")),"",SUMIF(基础资料!$W$5:$W$24,C1658,基础资料!$X$5:$X$24)+SUMIF(C$7:C1658,C1658,F$7:F1658)-SUMIF(C$7:C1658,C1658,G$7:G1658))</f>
      </c>
      <c r="I1658" s="145">
        <f>IF(AND(F1658="",G1658=""),"",SUM(基础资料!$X$5:$X$24)+SUM(F$7:F1658)-SUM(G$7:G1658))</f>
      </c>
      <c r="J1658" s="141" t="n"/>
      <c r="K1658" s="141" t="n"/>
      <c r="L1658" s="141" t="n"/>
      <c r="M1658" s="142" t="n"/>
      <c r="N1658" s="146">
        <f>IF(AND(AND(F1658="",G1658=""),B1658="",C1658="",D1658="",J1658="",K1658="",L1658=""),"",IF(AND(F1658="",G1658=""),"✗ 没填金额",IF(AND(N(F1658)&lt;&gt;0,N(G1658)&lt;&gt;0),"✗ 收入、支出只能填一边",IF(NOT(ISNUMBER(B1658)),"✗ 日期不是真日期（要像 2026/9/25 这样填）",IF(OR(B1658&lt;年初日,B1658&gt;年末日),"✗ 日期不在本会计年度",IF(C1658="","✗ 没选账户",IF(COUNTIF(基础资料!$W$5:$W$24,C1658)=0,"✗ 账户不在基础资料里",IF(O1658="","✗ 没选收支项目",IF(P1658="未知","✗ 收支项目不在基础资料里",IF(AND(P1658="应收",J1658=""),"✗ 这笔要选客户",IF(AND(P1658="应收",COUNTIF(总览汇总!$B$5:$B$304,J1658)=0),"✗ 客户不在总览汇总名单里",IF(AND(P1658="应付",K1658=""),"✗ 这笔要选供应商",IF(AND(P1658="应付",COUNTIF(基础资料!$Q$5:$Q$54,K1658)=0),"✗ 供应商不在基础资料里",IF(AND(P1658="费用",L1658=""),"✗ 费用支出要选费用项目",IF(AND(L1658&lt;&gt;"",COUNTIF(基础资料!$AI$5:$AI$54,L1658)=0),"✗ 费用项目不在基础资料里",IF(AND(IFERROR(INDEX(基础资料!$AD$5:$AD$34,MATCH(O1658,基础资料!$AC$5:$AC$34,0)),"")="收",N(G1658)&lt;&gt;0),"✗ 这类是收款，金额填到收入列",IF(AND(IFERROR(INDEX(基础资料!$AD$5:$AD$34,MATCH(O1658,基础资料!$AC$5:$AC$34,0)),"")="支",N(F1658)&lt;&gt;0),"✗ 这类是付款，金额填到支出列",IF(N(H1658)&lt;0,"⚠ 账户余额成负数了，核对一下","√"))))))))))))))))))</f>
      </c>
      <c r="O1658" s="78">
        <f>IF(D1658&lt;&gt;"",D1658,IF(AND(F1658="",G1658=""),"",IF(J1658&lt;&gt;"",IF(N(F1658)&gt;0,"客户回款","客户退款"),IF(K1658&lt;&gt;"",IF(N(G1658)&gt;0,"供应商付款","供应商退款"),IF(L1658&lt;&gt;"","费用支出","")))))</f>
      </c>
      <c r="P1658" s="78">
        <f>IF(O1658="","",IFERROR(INDEX(基础资料!$AE$5:$AE$34,MATCH(O1658,基础资料!$AC$5:$AC$34,0)),"未知"))</f>
      </c>
      <c r="Q1658" s="78">
        <f>IF(P1658="应收",COUNTIF(P$7:P1658,"应收"),"")</f>
      </c>
      <c r="R1658" s="78">
        <f>IF(P1658="应付",COUNTIF(P$7:P1658,"应付"),"")</f>
      </c>
      <c r="S1658" s="78">
        <f>N(F1658)-N(G1658)</f>
        <v>0</v>
      </c>
    </row>
    <row r="1659">
      <c r="A1659" s="109">
        <f>IF(AND(F1659="",G1659=""),"",ROW()-6)</f>
      </c>
      <c r="B1659" s="140" t="n"/>
      <c r="C1659" s="141" t="n"/>
      <c r="D1659" s="141" t="n"/>
      <c r="E1659" s="142" t="n"/>
      <c r="F1659" s="143" t="n"/>
      <c r="G1659" s="144" t="n"/>
      <c r="H1659" s="145">
        <f>IF(OR(C1659="",AND(F1659="",G1659="")),"",SUMIF(基础资料!$W$5:$W$24,C1659,基础资料!$X$5:$X$24)+SUMIF(C$7:C1659,C1659,F$7:F1659)-SUMIF(C$7:C1659,C1659,G$7:G1659))</f>
      </c>
      <c r="I1659" s="145">
        <f>IF(AND(F1659="",G1659=""),"",SUM(基础资料!$X$5:$X$24)+SUM(F$7:F1659)-SUM(G$7:G1659))</f>
      </c>
      <c r="J1659" s="141" t="n"/>
      <c r="K1659" s="141" t="n"/>
      <c r="L1659" s="141" t="n"/>
      <c r="M1659" s="142" t="n"/>
      <c r="N1659" s="146">
        <f>IF(AND(AND(F1659="",G1659=""),B1659="",C1659="",D1659="",J1659="",K1659="",L1659=""),"",IF(AND(F1659="",G1659=""),"✗ 没填金额",IF(AND(N(F1659)&lt;&gt;0,N(G1659)&lt;&gt;0),"✗ 收入、支出只能填一边",IF(NOT(ISNUMBER(B1659)),"✗ 日期不是真日期（要像 2026/9/25 这样填）",IF(OR(B1659&lt;年初日,B1659&gt;年末日),"✗ 日期不在本会计年度",IF(C1659="","✗ 没选账户",IF(COUNTIF(基础资料!$W$5:$W$24,C1659)=0,"✗ 账户不在基础资料里",IF(O1659="","✗ 没选收支项目",IF(P1659="未知","✗ 收支项目不在基础资料里",IF(AND(P1659="应收",J1659=""),"✗ 这笔要选客户",IF(AND(P1659="应收",COUNTIF(总览汇总!$B$5:$B$304,J1659)=0),"✗ 客户不在总览汇总名单里",IF(AND(P1659="应付",K1659=""),"✗ 这笔要选供应商",IF(AND(P1659="应付",COUNTIF(基础资料!$Q$5:$Q$54,K1659)=0),"✗ 供应商不在基础资料里",IF(AND(P1659="费用",L1659=""),"✗ 费用支出要选费用项目",IF(AND(L1659&lt;&gt;"",COUNTIF(基础资料!$AI$5:$AI$54,L1659)=0),"✗ 费用项目不在基础资料里",IF(AND(IFERROR(INDEX(基础资料!$AD$5:$AD$34,MATCH(O1659,基础资料!$AC$5:$AC$34,0)),"")="收",N(G1659)&lt;&gt;0),"✗ 这类是收款，金额填到收入列",IF(AND(IFERROR(INDEX(基础资料!$AD$5:$AD$34,MATCH(O1659,基础资料!$AC$5:$AC$34,0)),"")="支",N(F1659)&lt;&gt;0),"✗ 这类是付款，金额填到支出列",IF(N(H1659)&lt;0,"⚠ 账户余额成负数了，核对一下","√"))))))))))))))))))</f>
      </c>
      <c r="O1659" s="78">
        <f>IF(D1659&lt;&gt;"",D1659,IF(AND(F1659="",G1659=""),"",IF(J1659&lt;&gt;"",IF(N(F1659)&gt;0,"客户回款","客户退款"),IF(K1659&lt;&gt;"",IF(N(G1659)&gt;0,"供应商付款","供应商退款"),IF(L1659&lt;&gt;"","费用支出","")))))</f>
      </c>
      <c r="P1659" s="78">
        <f>IF(O1659="","",IFERROR(INDEX(基础资料!$AE$5:$AE$34,MATCH(O1659,基础资料!$AC$5:$AC$34,0)),"未知"))</f>
      </c>
      <c r="Q1659" s="78">
        <f>IF(P1659="应收",COUNTIF(P$7:P1659,"应收"),"")</f>
      </c>
      <c r="R1659" s="78">
        <f>IF(P1659="应付",COUNTIF(P$7:P1659,"应付"),"")</f>
      </c>
      <c r="S1659" s="78">
        <f>N(F1659)-N(G1659)</f>
        <v>0</v>
      </c>
    </row>
    <row r="1660">
      <c r="A1660" s="109">
        <f>IF(AND(F1660="",G1660=""),"",ROW()-6)</f>
      </c>
      <c r="B1660" s="140" t="n"/>
      <c r="C1660" s="141" t="n"/>
      <c r="D1660" s="141" t="n"/>
      <c r="E1660" s="142" t="n"/>
      <c r="F1660" s="143" t="n"/>
      <c r="G1660" s="144" t="n"/>
      <c r="H1660" s="145">
        <f>IF(OR(C1660="",AND(F1660="",G1660="")),"",SUMIF(基础资料!$W$5:$W$24,C1660,基础资料!$X$5:$X$24)+SUMIF(C$7:C1660,C1660,F$7:F1660)-SUMIF(C$7:C1660,C1660,G$7:G1660))</f>
      </c>
      <c r="I1660" s="145">
        <f>IF(AND(F1660="",G1660=""),"",SUM(基础资料!$X$5:$X$24)+SUM(F$7:F1660)-SUM(G$7:G1660))</f>
      </c>
      <c r="J1660" s="141" t="n"/>
      <c r="K1660" s="141" t="n"/>
      <c r="L1660" s="141" t="n"/>
      <c r="M1660" s="142" t="n"/>
      <c r="N1660" s="146">
        <f>IF(AND(AND(F1660="",G1660=""),B1660="",C1660="",D1660="",J1660="",K1660="",L1660=""),"",IF(AND(F1660="",G1660=""),"✗ 没填金额",IF(AND(N(F1660)&lt;&gt;0,N(G1660)&lt;&gt;0),"✗ 收入、支出只能填一边",IF(NOT(ISNUMBER(B1660)),"✗ 日期不是真日期（要像 2026/9/25 这样填）",IF(OR(B1660&lt;年初日,B1660&gt;年末日),"✗ 日期不在本会计年度",IF(C1660="","✗ 没选账户",IF(COUNTIF(基础资料!$W$5:$W$24,C1660)=0,"✗ 账户不在基础资料里",IF(O1660="","✗ 没选收支项目",IF(P1660="未知","✗ 收支项目不在基础资料里",IF(AND(P1660="应收",J1660=""),"✗ 这笔要选客户",IF(AND(P1660="应收",COUNTIF(总览汇总!$B$5:$B$304,J1660)=0),"✗ 客户不在总览汇总名单里",IF(AND(P1660="应付",K1660=""),"✗ 这笔要选供应商",IF(AND(P1660="应付",COUNTIF(基础资料!$Q$5:$Q$54,K1660)=0),"✗ 供应商不在基础资料里",IF(AND(P1660="费用",L1660=""),"✗ 费用支出要选费用项目",IF(AND(L1660&lt;&gt;"",COUNTIF(基础资料!$AI$5:$AI$54,L1660)=0),"✗ 费用项目不在基础资料里",IF(AND(IFERROR(INDEX(基础资料!$AD$5:$AD$34,MATCH(O1660,基础资料!$AC$5:$AC$34,0)),"")="收",N(G1660)&lt;&gt;0),"✗ 这类是收款，金额填到收入列",IF(AND(IFERROR(INDEX(基础资料!$AD$5:$AD$34,MATCH(O1660,基础资料!$AC$5:$AC$34,0)),"")="支",N(F1660)&lt;&gt;0),"✗ 这类是付款，金额填到支出列",IF(N(H1660)&lt;0,"⚠ 账户余额成负数了，核对一下","√"))))))))))))))))))</f>
      </c>
      <c r="O1660" s="78">
        <f>IF(D1660&lt;&gt;"",D1660,IF(AND(F1660="",G1660=""),"",IF(J1660&lt;&gt;"",IF(N(F1660)&gt;0,"客户回款","客户退款"),IF(K1660&lt;&gt;"",IF(N(G1660)&gt;0,"供应商付款","供应商退款"),IF(L1660&lt;&gt;"","费用支出","")))))</f>
      </c>
      <c r="P1660" s="78">
        <f>IF(O1660="","",IFERROR(INDEX(基础资料!$AE$5:$AE$34,MATCH(O1660,基础资料!$AC$5:$AC$34,0)),"未知"))</f>
      </c>
      <c r="Q1660" s="78">
        <f>IF(P1660="应收",COUNTIF(P$7:P1660,"应收"),"")</f>
      </c>
      <c r="R1660" s="78">
        <f>IF(P1660="应付",COUNTIF(P$7:P1660,"应付"),"")</f>
      </c>
      <c r="S1660" s="78">
        <f>N(F1660)-N(G1660)</f>
        <v>0</v>
      </c>
    </row>
    <row r="1661">
      <c r="A1661" s="109">
        <f>IF(AND(F1661="",G1661=""),"",ROW()-6)</f>
      </c>
      <c r="B1661" s="140" t="n"/>
      <c r="C1661" s="141" t="n"/>
      <c r="D1661" s="141" t="n"/>
      <c r="E1661" s="142" t="n"/>
      <c r="F1661" s="143" t="n"/>
      <c r="G1661" s="144" t="n"/>
      <c r="H1661" s="145">
        <f>IF(OR(C1661="",AND(F1661="",G1661="")),"",SUMIF(基础资料!$W$5:$W$24,C1661,基础资料!$X$5:$X$24)+SUMIF(C$7:C1661,C1661,F$7:F1661)-SUMIF(C$7:C1661,C1661,G$7:G1661))</f>
      </c>
      <c r="I1661" s="145">
        <f>IF(AND(F1661="",G1661=""),"",SUM(基础资料!$X$5:$X$24)+SUM(F$7:F1661)-SUM(G$7:G1661))</f>
      </c>
      <c r="J1661" s="141" t="n"/>
      <c r="K1661" s="141" t="n"/>
      <c r="L1661" s="141" t="n"/>
      <c r="M1661" s="142" t="n"/>
      <c r="N1661" s="146">
        <f>IF(AND(AND(F1661="",G1661=""),B1661="",C1661="",D1661="",J1661="",K1661="",L1661=""),"",IF(AND(F1661="",G1661=""),"✗ 没填金额",IF(AND(N(F1661)&lt;&gt;0,N(G1661)&lt;&gt;0),"✗ 收入、支出只能填一边",IF(NOT(ISNUMBER(B1661)),"✗ 日期不是真日期（要像 2026/9/25 这样填）",IF(OR(B1661&lt;年初日,B1661&gt;年末日),"✗ 日期不在本会计年度",IF(C1661="","✗ 没选账户",IF(COUNTIF(基础资料!$W$5:$W$24,C1661)=0,"✗ 账户不在基础资料里",IF(O1661="","✗ 没选收支项目",IF(P1661="未知","✗ 收支项目不在基础资料里",IF(AND(P1661="应收",J1661=""),"✗ 这笔要选客户",IF(AND(P1661="应收",COUNTIF(总览汇总!$B$5:$B$304,J1661)=0),"✗ 客户不在总览汇总名单里",IF(AND(P1661="应付",K1661=""),"✗ 这笔要选供应商",IF(AND(P1661="应付",COUNTIF(基础资料!$Q$5:$Q$54,K1661)=0),"✗ 供应商不在基础资料里",IF(AND(P1661="费用",L1661=""),"✗ 费用支出要选费用项目",IF(AND(L1661&lt;&gt;"",COUNTIF(基础资料!$AI$5:$AI$54,L1661)=0),"✗ 费用项目不在基础资料里",IF(AND(IFERROR(INDEX(基础资料!$AD$5:$AD$34,MATCH(O1661,基础资料!$AC$5:$AC$34,0)),"")="收",N(G1661)&lt;&gt;0),"✗ 这类是收款，金额填到收入列",IF(AND(IFERROR(INDEX(基础资料!$AD$5:$AD$34,MATCH(O1661,基础资料!$AC$5:$AC$34,0)),"")="支",N(F1661)&lt;&gt;0),"✗ 这类是付款，金额填到支出列",IF(N(H1661)&lt;0,"⚠ 账户余额成负数了，核对一下","√"))))))))))))))))))</f>
      </c>
      <c r="O1661" s="78">
        <f>IF(D1661&lt;&gt;"",D1661,IF(AND(F1661="",G1661=""),"",IF(J1661&lt;&gt;"",IF(N(F1661)&gt;0,"客户回款","客户退款"),IF(K1661&lt;&gt;"",IF(N(G1661)&gt;0,"供应商付款","供应商退款"),IF(L1661&lt;&gt;"","费用支出","")))))</f>
      </c>
      <c r="P1661" s="78">
        <f>IF(O1661="","",IFERROR(INDEX(基础资料!$AE$5:$AE$34,MATCH(O1661,基础资料!$AC$5:$AC$34,0)),"未知"))</f>
      </c>
      <c r="Q1661" s="78">
        <f>IF(P1661="应收",COUNTIF(P$7:P1661,"应收"),"")</f>
      </c>
      <c r="R1661" s="78">
        <f>IF(P1661="应付",COUNTIF(P$7:P1661,"应付"),"")</f>
      </c>
      <c r="S1661" s="78">
        <f>N(F1661)-N(G1661)</f>
        <v>0</v>
      </c>
    </row>
    <row r="1662">
      <c r="A1662" s="109">
        <f>IF(AND(F1662="",G1662=""),"",ROW()-6)</f>
      </c>
      <c r="B1662" s="140" t="n"/>
      <c r="C1662" s="141" t="n"/>
      <c r="D1662" s="141" t="n"/>
      <c r="E1662" s="142" t="n"/>
      <c r="F1662" s="143" t="n"/>
      <c r="G1662" s="144" t="n"/>
      <c r="H1662" s="145">
        <f>IF(OR(C1662="",AND(F1662="",G1662="")),"",SUMIF(基础资料!$W$5:$W$24,C1662,基础资料!$X$5:$X$24)+SUMIF(C$7:C1662,C1662,F$7:F1662)-SUMIF(C$7:C1662,C1662,G$7:G1662))</f>
      </c>
      <c r="I1662" s="145">
        <f>IF(AND(F1662="",G1662=""),"",SUM(基础资料!$X$5:$X$24)+SUM(F$7:F1662)-SUM(G$7:G1662))</f>
      </c>
      <c r="J1662" s="141" t="n"/>
      <c r="K1662" s="141" t="n"/>
      <c r="L1662" s="141" t="n"/>
      <c r="M1662" s="142" t="n"/>
      <c r="N1662" s="146">
        <f>IF(AND(AND(F1662="",G1662=""),B1662="",C1662="",D1662="",J1662="",K1662="",L1662=""),"",IF(AND(F1662="",G1662=""),"✗ 没填金额",IF(AND(N(F1662)&lt;&gt;0,N(G1662)&lt;&gt;0),"✗ 收入、支出只能填一边",IF(NOT(ISNUMBER(B1662)),"✗ 日期不是真日期（要像 2026/9/25 这样填）",IF(OR(B1662&lt;年初日,B1662&gt;年末日),"✗ 日期不在本会计年度",IF(C1662="","✗ 没选账户",IF(COUNTIF(基础资料!$W$5:$W$24,C1662)=0,"✗ 账户不在基础资料里",IF(O1662="","✗ 没选收支项目",IF(P1662="未知","✗ 收支项目不在基础资料里",IF(AND(P1662="应收",J1662=""),"✗ 这笔要选客户",IF(AND(P1662="应收",COUNTIF(总览汇总!$B$5:$B$304,J1662)=0),"✗ 客户不在总览汇总名单里",IF(AND(P1662="应付",K1662=""),"✗ 这笔要选供应商",IF(AND(P1662="应付",COUNTIF(基础资料!$Q$5:$Q$54,K1662)=0),"✗ 供应商不在基础资料里",IF(AND(P1662="费用",L1662=""),"✗ 费用支出要选费用项目",IF(AND(L1662&lt;&gt;"",COUNTIF(基础资料!$AI$5:$AI$54,L1662)=0),"✗ 费用项目不在基础资料里",IF(AND(IFERROR(INDEX(基础资料!$AD$5:$AD$34,MATCH(O1662,基础资料!$AC$5:$AC$34,0)),"")="收",N(G1662)&lt;&gt;0),"✗ 这类是收款，金额填到收入列",IF(AND(IFERROR(INDEX(基础资料!$AD$5:$AD$34,MATCH(O1662,基础资料!$AC$5:$AC$34,0)),"")="支",N(F1662)&lt;&gt;0),"✗ 这类是付款，金额填到支出列",IF(N(H1662)&lt;0,"⚠ 账户余额成负数了，核对一下","√"))))))))))))))))))</f>
      </c>
      <c r="O1662" s="78">
        <f>IF(D1662&lt;&gt;"",D1662,IF(AND(F1662="",G1662=""),"",IF(J1662&lt;&gt;"",IF(N(F1662)&gt;0,"客户回款","客户退款"),IF(K1662&lt;&gt;"",IF(N(G1662)&gt;0,"供应商付款","供应商退款"),IF(L1662&lt;&gt;"","费用支出","")))))</f>
      </c>
      <c r="P1662" s="78">
        <f>IF(O1662="","",IFERROR(INDEX(基础资料!$AE$5:$AE$34,MATCH(O1662,基础资料!$AC$5:$AC$34,0)),"未知"))</f>
      </c>
      <c r="Q1662" s="78">
        <f>IF(P1662="应收",COUNTIF(P$7:P1662,"应收"),"")</f>
      </c>
      <c r="R1662" s="78">
        <f>IF(P1662="应付",COUNTIF(P$7:P1662,"应付"),"")</f>
      </c>
      <c r="S1662" s="78">
        <f>N(F1662)-N(G1662)</f>
        <v>0</v>
      </c>
    </row>
    <row r="1663">
      <c r="A1663" s="109">
        <f>IF(AND(F1663="",G1663=""),"",ROW()-6)</f>
      </c>
      <c r="B1663" s="140" t="n"/>
      <c r="C1663" s="141" t="n"/>
      <c r="D1663" s="141" t="n"/>
      <c r="E1663" s="142" t="n"/>
      <c r="F1663" s="143" t="n"/>
      <c r="G1663" s="144" t="n"/>
      <c r="H1663" s="145">
        <f>IF(OR(C1663="",AND(F1663="",G1663="")),"",SUMIF(基础资料!$W$5:$W$24,C1663,基础资料!$X$5:$X$24)+SUMIF(C$7:C1663,C1663,F$7:F1663)-SUMIF(C$7:C1663,C1663,G$7:G1663))</f>
      </c>
      <c r="I1663" s="145">
        <f>IF(AND(F1663="",G1663=""),"",SUM(基础资料!$X$5:$X$24)+SUM(F$7:F1663)-SUM(G$7:G1663))</f>
      </c>
      <c r="J1663" s="141" t="n"/>
      <c r="K1663" s="141" t="n"/>
      <c r="L1663" s="141" t="n"/>
      <c r="M1663" s="142" t="n"/>
      <c r="N1663" s="146">
        <f>IF(AND(AND(F1663="",G1663=""),B1663="",C1663="",D1663="",J1663="",K1663="",L1663=""),"",IF(AND(F1663="",G1663=""),"✗ 没填金额",IF(AND(N(F1663)&lt;&gt;0,N(G1663)&lt;&gt;0),"✗ 收入、支出只能填一边",IF(NOT(ISNUMBER(B1663)),"✗ 日期不是真日期（要像 2026/9/25 这样填）",IF(OR(B1663&lt;年初日,B1663&gt;年末日),"✗ 日期不在本会计年度",IF(C1663="","✗ 没选账户",IF(COUNTIF(基础资料!$W$5:$W$24,C1663)=0,"✗ 账户不在基础资料里",IF(O1663="","✗ 没选收支项目",IF(P1663="未知","✗ 收支项目不在基础资料里",IF(AND(P1663="应收",J1663=""),"✗ 这笔要选客户",IF(AND(P1663="应收",COUNTIF(总览汇总!$B$5:$B$304,J1663)=0),"✗ 客户不在总览汇总名单里",IF(AND(P1663="应付",K1663=""),"✗ 这笔要选供应商",IF(AND(P1663="应付",COUNTIF(基础资料!$Q$5:$Q$54,K1663)=0),"✗ 供应商不在基础资料里",IF(AND(P1663="费用",L1663=""),"✗ 费用支出要选费用项目",IF(AND(L1663&lt;&gt;"",COUNTIF(基础资料!$AI$5:$AI$54,L1663)=0),"✗ 费用项目不在基础资料里",IF(AND(IFERROR(INDEX(基础资料!$AD$5:$AD$34,MATCH(O1663,基础资料!$AC$5:$AC$34,0)),"")="收",N(G1663)&lt;&gt;0),"✗ 这类是收款，金额填到收入列",IF(AND(IFERROR(INDEX(基础资料!$AD$5:$AD$34,MATCH(O1663,基础资料!$AC$5:$AC$34,0)),"")="支",N(F1663)&lt;&gt;0),"✗ 这类是付款，金额填到支出列",IF(N(H1663)&lt;0,"⚠ 账户余额成负数了，核对一下","√"))))))))))))))))))</f>
      </c>
      <c r="O1663" s="78">
        <f>IF(D1663&lt;&gt;"",D1663,IF(AND(F1663="",G1663=""),"",IF(J1663&lt;&gt;"",IF(N(F1663)&gt;0,"客户回款","客户退款"),IF(K1663&lt;&gt;"",IF(N(G1663)&gt;0,"供应商付款","供应商退款"),IF(L1663&lt;&gt;"","费用支出","")))))</f>
      </c>
      <c r="P1663" s="78">
        <f>IF(O1663="","",IFERROR(INDEX(基础资料!$AE$5:$AE$34,MATCH(O1663,基础资料!$AC$5:$AC$34,0)),"未知"))</f>
      </c>
      <c r="Q1663" s="78">
        <f>IF(P1663="应收",COUNTIF(P$7:P1663,"应收"),"")</f>
      </c>
      <c r="R1663" s="78">
        <f>IF(P1663="应付",COUNTIF(P$7:P1663,"应付"),"")</f>
      </c>
      <c r="S1663" s="78">
        <f>N(F1663)-N(G1663)</f>
        <v>0</v>
      </c>
    </row>
    <row r="1664">
      <c r="A1664" s="109">
        <f>IF(AND(F1664="",G1664=""),"",ROW()-6)</f>
      </c>
      <c r="B1664" s="140" t="n"/>
      <c r="C1664" s="141" t="n"/>
      <c r="D1664" s="141" t="n"/>
      <c r="E1664" s="142" t="n"/>
      <c r="F1664" s="143" t="n"/>
      <c r="G1664" s="144" t="n"/>
      <c r="H1664" s="145">
        <f>IF(OR(C1664="",AND(F1664="",G1664="")),"",SUMIF(基础资料!$W$5:$W$24,C1664,基础资料!$X$5:$X$24)+SUMIF(C$7:C1664,C1664,F$7:F1664)-SUMIF(C$7:C1664,C1664,G$7:G1664))</f>
      </c>
      <c r="I1664" s="145">
        <f>IF(AND(F1664="",G1664=""),"",SUM(基础资料!$X$5:$X$24)+SUM(F$7:F1664)-SUM(G$7:G1664))</f>
      </c>
      <c r="J1664" s="141" t="n"/>
      <c r="K1664" s="141" t="n"/>
      <c r="L1664" s="141" t="n"/>
      <c r="M1664" s="142" t="n"/>
      <c r="N1664" s="146">
        <f>IF(AND(AND(F1664="",G1664=""),B1664="",C1664="",D1664="",J1664="",K1664="",L1664=""),"",IF(AND(F1664="",G1664=""),"✗ 没填金额",IF(AND(N(F1664)&lt;&gt;0,N(G1664)&lt;&gt;0),"✗ 收入、支出只能填一边",IF(NOT(ISNUMBER(B1664)),"✗ 日期不是真日期（要像 2026/9/25 这样填）",IF(OR(B1664&lt;年初日,B1664&gt;年末日),"✗ 日期不在本会计年度",IF(C1664="","✗ 没选账户",IF(COUNTIF(基础资料!$W$5:$W$24,C1664)=0,"✗ 账户不在基础资料里",IF(O1664="","✗ 没选收支项目",IF(P1664="未知","✗ 收支项目不在基础资料里",IF(AND(P1664="应收",J1664=""),"✗ 这笔要选客户",IF(AND(P1664="应收",COUNTIF(总览汇总!$B$5:$B$304,J1664)=0),"✗ 客户不在总览汇总名单里",IF(AND(P1664="应付",K1664=""),"✗ 这笔要选供应商",IF(AND(P1664="应付",COUNTIF(基础资料!$Q$5:$Q$54,K1664)=0),"✗ 供应商不在基础资料里",IF(AND(P1664="费用",L1664=""),"✗ 费用支出要选费用项目",IF(AND(L1664&lt;&gt;"",COUNTIF(基础资料!$AI$5:$AI$54,L1664)=0),"✗ 费用项目不在基础资料里",IF(AND(IFERROR(INDEX(基础资料!$AD$5:$AD$34,MATCH(O1664,基础资料!$AC$5:$AC$34,0)),"")="收",N(G1664)&lt;&gt;0),"✗ 这类是收款，金额填到收入列",IF(AND(IFERROR(INDEX(基础资料!$AD$5:$AD$34,MATCH(O1664,基础资料!$AC$5:$AC$34,0)),"")="支",N(F1664)&lt;&gt;0),"✗ 这类是付款，金额填到支出列",IF(N(H1664)&lt;0,"⚠ 账户余额成负数了，核对一下","√"))))))))))))))))))</f>
      </c>
      <c r="O1664" s="78">
        <f>IF(D1664&lt;&gt;"",D1664,IF(AND(F1664="",G1664=""),"",IF(J1664&lt;&gt;"",IF(N(F1664)&gt;0,"客户回款","客户退款"),IF(K1664&lt;&gt;"",IF(N(G1664)&gt;0,"供应商付款","供应商退款"),IF(L1664&lt;&gt;"","费用支出","")))))</f>
      </c>
      <c r="P1664" s="78">
        <f>IF(O1664="","",IFERROR(INDEX(基础资料!$AE$5:$AE$34,MATCH(O1664,基础资料!$AC$5:$AC$34,0)),"未知"))</f>
      </c>
      <c r="Q1664" s="78">
        <f>IF(P1664="应收",COUNTIF(P$7:P1664,"应收"),"")</f>
      </c>
      <c r="R1664" s="78">
        <f>IF(P1664="应付",COUNTIF(P$7:P1664,"应付"),"")</f>
      </c>
      <c r="S1664" s="78">
        <f>N(F1664)-N(G1664)</f>
        <v>0</v>
      </c>
    </row>
    <row r="1665">
      <c r="A1665" s="109">
        <f>IF(AND(F1665="",G1665=""),"",ROW()-6)</f>
      </c>
      <c r="B1665" s="140" t="n"/>
      <c r="C1665" s="141" t="n"/>
      <c r="D1665" s="141" t="n"/>
      <c r="E1665" s="142" t="n"/>
      <c r="F1665" s="143" t="n"/>
      <c r="G1665" s="144" t="n"/>
      <c r="H1665" s="145">
        <f>IF(OR(C1665="",AND(F1665="",G1665="")),"",SUMIF(基础资料!$W$5:$W$24,C1665,基础资料!$X$5:$X$24)+SUMIF(C$7:C1665,C1665,F$7:F1665)-SUMIF(C$7:C1665,C1665,G$7:G1665))</f>
      </c>
      <c r="I1665" s="145">
        <f>IF(AND(F1665="",G1665=""),"",SUM(基础资料!$X$5:$X$24)+SUM(F$7:F1665)-SUM(G$7:G1665))</f>
      </c>
      <c r="J1665" s="141" t="n"/>
      <c r="K1665" s="141" t="n"/>
      <c r="L1665" s="141" t="n"/>
      <c r="M1665" s="142" t="n"/>
      <c r="N1665" s="146">
        <f>IF(AND(AND(F1665="",G1665=""),B1665="",C1665="",D1665="",J1665="",K1665="",L1665=""),"",IF(AND(F1665="",G1665=""),"✗ 没填金额",IF(AND(N(F1665)&lt;&gt;0,N(G1665)&lt;&gt;0),"✗ 收入、支出只能填一边",IF(NOT(ISNUMBER(B1665)),"✗ 日期不是真日期（要像 2026/9/25 这样填）",IF(OR(B1665&lt;年初日,B1665&gt;年末日),"✗ 日期不在本会计年度",IF(C1665="","✗ 没选账户",IF(COUNTIF(基础资料!$W$5:$W$24,C1665)=0,"✗ 账户不在基础资料里",IF(O1665="","✗ 没选收支项目",IF(P1665="未知","✗ 收支项目不在基础资料里",IF(AND(P1665="应收",J1665=""),"✗ 这笔要选客户",IF(AND(P1665="应收",COUNTIF(总览汇总!$B$5:$B$304,J1665)=0),"✗ 客户不在总览汇总名单里",IF(AND(P1665="应付",K1665=""),"✗ 这笔要选供应商",IF(AND(P1665="应付",COUNTIF(基础资料!$Q$5:$Q$54,K1665)=0),"✗ 供应商不在基础资料里",IF(AND(P1665="费用",L1665=""),"✗ 费用支出要选费用项目",IF(AND(L1665&lt;&gt;"",COUNTIF(基础资料!$AI$5:$AI$54,L1665)=0),"✗ 费用项目不在基础资料里",IF(AND(IFERROR(INDEX(基础资料!$AD$5:$AD$34,MATCH(O1665,基础资料!$AC$5:$AC$34,0)),"")="收",N(G1665)&lt;&gt;0),"✗ 这类是收款，金额填到收入列",IF(AND(IFERROR(INDEX(基础资料!$AD$5:$AD$34,MATCH(O1665,基础资料!$AC$5:$AC$34,0)),"")="支",N(F1665)&lt;&gt;0),"✗ 这类是付款，金额填到支出列",IF(N(H1665)&lt;0,"⚠ 账户余额成负数了，核对一下","√"))))))))))))))))))</f>
      </c>
      <c r="O1665" s="78">
        <f>IF(D1665&lt;&gt;"",D1665,IF(AND(F1665="",G1665=""),"",IF(J1665&lt;&gt;"",IF(N(F1665)&gt;0,"客户回款","客户退款"),IF(K1665&lt;&gt;"",IF(N(G1665)&gt;0,"供应商付款","供应商退款"),IF(L1665&lt;&gt;"","费用支出","")))))</f>
      </c>
      <c r="P1665" s="78">
        <f>IF(O1665="","",IFERROR(INDEX(基础资料!$AE$5:$AE$34,MATCH(O1665,基础资料!$AC$5:$AC$34,0)),"未知"))</f>
      </c>
      <c r="Q1665" s="78">
        <f>IF(P1665="应收",COUNTIF(P$7:P1665,"应收"),"")</f>
      </c>
      <c r="R1665" s="78">
        <f>IF(P1665="应付",COUNTIF(P$7:P1665,"应付"),"")</f>
      </c>
      <c r="S1665" s="78">
        <f>N(F1665)-N(G1665)</f>
        <v>0</v>
      </c>
    </row>
    <row r="1666">
      <c r="A1666" s="109">
        <f>IF(AND(F1666="",G1666=""),"",ROW()-6)</f>
      </c>
      <c r="B1666" s="140" t="n"/>
      <c r="C1666" s="141" t="n"/>
      <c r="D1666" s="141" t="n"/>
      <c r="E1666" s="142" t="n"/>
      <c r="F1666" s="143" t="n"/>
      <c r="G1666" s="144" t="n"/>
      <c r="H1666" s="145">
        <f>IF(OR(C1666="",AND(F1666="",G1666="")),"",SUMIF(基础资料!$W$5:$W$24,C1666,基础资料!$X$5:$X$24)+SUMIF(C$7:C1666,C1666,F$7:F1666)-SUMIF(C$7:C1666,C1666,G$7:G1666))</f>
      </c>
      <c r="I1666" s="145">
        <f>IF(AND(F1666="",G1666=""),"",SUM(基础资料!$X$5:$X$24)+SUM(F$7:F1666)-SUM(G$7:G1666))</f>
      </c>
      <c r="J1666" s="141" t="n"/>
      <c r="K1666" s="141" t="n"/>
      <c r="L1666" s="141" t="n"/>
      <c r="M1666" s="142" t="n"/>
      <c r="N1666" s="146">
        <f>IF(AND(AND(F1666="",G1666=""),B1666="",C1666="",D1666="",J1666="",K1666="",L1666=""),"",IF(AND(F1666="",G1666=""),"✗ 没填金额",IF(AND(N(F1666)&lt;&gt;0,N(G1666)&lt;&gt;0),"✗ 收入、支出只能填一边",IF(NOT(ISNUMBER(B1666)),"✗ 日期不是真日期（要像 2026/9/25 这样填）",IF(OR(B1666&lt;年初日,B1666&gt;年末日),"✗ 日期不在本会计年度",IF(C1666="","✗ 没选账户",IF(COUNTIF(基础资料!$W$5:$W$24,C1666)=0,"✗ 账户不在基础资料里",IF(O1666="","✗ 没选收支项目",IF(P1666="未知","✗ 收支项目不在基础资料里",IF(AND(P1666="应收",J1666=""),"✗ 这笔要选客户",IF(AND(P1666="应收",COUNTIF(总览汇总!$B$5:$B$304,J1666)=0),"✗ 客户不在总览汇总名单里",IF(AND(P1666="应付",K1666=""),"✗ 这笔要选供应商",IF(AND(P1666="应付",COUNTIF(基础资料!$Q$5:$Q$54,K1666)=0),"✗ 供应商不在基础资料里",IF(AND(P1666="费用",L1666=""),"✗ 费用支出要选费用项目",IF(AND(L1666&lt;&gt;"",COUNTIF(基础资料!$AI$5:$AI$54,L1666)=0),"✗ 费用项目不在基础资料里",IF(AND(IFERROR(INDEX(基础资料!$AD$5:$AD$34,MATCH(O1666,基础资料!$AC$5:$AC$34,0)),"")="收",N(G1666)&lt;&gt;0),"✗ 这类是收款，金额填到收入列",IF(AND(IFERROR(INDEX(基础资料!$AD$5:$AD$34,MATCH(O1666,基础资料!$AC$5:$AC$34,0)),"")="支",N(F1666)&lt;&gt;0),"✗ 这类是付款，金额填到支出列",IF(N(H1666)&lt;0,"⚠ 账户余额成负数了，核对一下","√"))))))))))))))))))</f>
      </c>
      <c r="O1666" s="78">
        <f>IF(D1666&lt;&gt;"",D1666,IF(AND(F1666="",G1666=""),"",IF(J1666&lt;&gt;"",IF(N(F1666)&gt;0,"客户回款","客户退款"),IF(K1666&lt;&gt;"",IF(N(G1666)&gt;0,"供应商付款","供应商退款"),IF(L1666&lt;&gt;"","费用支出","")))))</f>
      </c>
      <c r="P1666" s="78">
        <f>IF(O1666="","",IFERROR(INDEX(基础资料!$AE$5:$AE$34,MATCH(O1666,基础资料!$AC$5:$AC$34,0)),"未知"))</f>
      </c>
      <c r="Q1666" s="78">
        <f>IF(P1666="应收",COUNTIF(P$7:P1666,"应收"),"")</f>
      </c>
      <c r="R1666" s="78">
        <f>IF(P1666="应付",COUNTIF(P$7:P1666,"应付"),"")</f>
      </c>
      <c r="S1666" s="78">
        <f>N(F1666)-N(G1666)</f>
        <v>0</v>
      </c>
    </row>
    <row r="1667">
      <c r="A1667" s="109">
        <f>IF(AND(F1667="",G1667=""),"",ROW()-6)</f>
      </c>
      <c r="B1667" s="140" t="n"/>
      <c r="C1667" s="141" t="n"/>
      <c r="D1667" s="141" t="n"/>
      <c r="E1667" s="142" t="n"/>
      <c r="F1667" s="143" t="n"/>
      <c r="G1667" s="144" t="n"/>
      <c r="H1667" s="145">
        <f>IF(OR(C1667="",AND(F1667="",G1667="")),"",SUMIF(基础资料!$W$5:$W$24,C1667,基础资料!$X$5:$X$24)+SUMIF(C$7:C1667,C1667,F$7:F1667)-SUMIF(C$7:C1667,C1667,G$7:G1667))</f>
      </c>
      <c r="I1667" s="145">
        <f>IF(AND(F1667="",G1667=""),"",SUM(基础资料!$X$5:$X$24)+SUM(F$7:F1667)-SUM(G$7:G1667))</f>
      </c>
      <c r="J1667" s="141" t="n"/>
      <c r="K1667" s="141" t="n"/>
      <c r="L1667" s="141" t="n"/>
      <c r="M1667" s="142" t="n"/>
      <c r="N1667" s="146">
        <f>IF(AND(AND(F1667="",G1667=""),B1667="",C1667="",D1667="",J1667="",K1667="",L1667=""),"",IF(AND(F1667="",G1667=""),"✗ 没填金额",IF(AND(N(F1667)&lt;&gt;0,N(G1667)&lt;&gt;0),"✗ 收入、支出只能填一边",IF(NOT(ISNUMBER(B1667)),"✗ 日期不是真日期（要像 2026/9/25 这样填）",IF(OR(B1667&lt;年初日,B1667&gt;年末日),"✗ 日期不在本会计年度",IF(C1667="","✗ 没选账户",IF(COUNTIF(基础资料!$W$5:$W$24,C1667)=0,"✗ 账户不在基础资料里",IF(O1667="","✗ 没选收支项目",IF(P1667="未知","✗ 收支项目不在基础资料里",IF(AND(P1667="应收",J1667=""),"✗ 这笔要选客户",IF(AND(P1667="应收",COUNTIF(总览汇总!$B$5:$B$304,J1667)=0),"✗ 客户不在总览汇总名单里",IF(AND(P1667="应付",K1667=""),"✗ 这笔要选供应商",IF(AND(P1667="应付",COUNTIF(基础资料!$Q$5:$Q$54,K1667)=0),"✗ 供应商不在基础资料里",IF(AND(P1667="费用",L1667=""),"✗ 费用支出要选费用项目",IF(AND(L1667&lt;&gt;"",COUNTIF(基础资料!$AI$5:$AI$54,L1667)=0),"✗ 费用项目不在基础资料里",IF(AND(IFERROR(INDEX(基础资料!$AD$5:$AD$34,MATCH(O1667,基础资料!$AC$5:$AC$34,0)),"")="收",N(G1667)&lt;&gt;0),"✗ 这类是收款，金额填到收入列",IF(AND(IFERROR(INDEX(基础资料!$AD$5:$AD$34,MATCH(O1667,基础资料!$AC$5:$AC$34,0)),"")="支",N(F1667)&lt;&gt;0),"✗ 这类是付款，金额填到支出列",IF(N(H1667)&lt;0,"⚠ 账户余额成负数了，核对一下","√"))))))))))))))))))</f>
      </c>
      <c r="O1667" s="78">
        <f>IF(D1667&lt;&gt;"",D1667,IF(AND(F1667="",G1667=""),"",IF(J1667&lt;&gt;"",IF(N(F1667)&gt;0,"客户回款","客户退款"),IF(K1667&lt;&gt;"",IF(N(G1667)&gt;0,"供应商付款","供应商退款"),IF(L1667&lt;&gt;"","费用支出","")))))</f>
      </c>
      <c r="P1667" s="78">
        <f>IF(O1667="","",IFERROR(INDEX(基础资料!$AE$5:$AE$34,MATCH(O1667,基础资料!$AC$5:$AC$34,0)),"未知"))</f>
      </c>
      <c r="Q1667" s="78">
        <f>IF(P1667="应收",COUNTIF(P$7:P1667,"应收"),"")</f>
      </c>
      <c r="R1667" s="78">
        <f>IF(P1667="应付",COUNTIF(P$7:P1667,"应付"),"")</f>
      </c>
      <c r="S1667" s="78">
        <f>N(F1667)-N(G1667)</f>
        <v>0</v>
      </c>
    </row>
    <row r="1668">
      <c r="A1668" s="109">
        <f>IF(AND(F1668="",G1668=""),"",ROW()-6)</f>
      </c>
      <c r="B1668" s="140" t="n"/>
      <c r="C1668" s="141" t="n"/>
      <c r="D1668" s="141" t="n"/>
      <c r="E1668" s="142" t="n"/>
      <c r="F1668" s="143" t="n"/>
      <c r="G1668" s="144" t="n"/>
      <c r="H1668" s="145">
        <f>IF(OR(C1668="",AND(F1668="",G1668="")),"",SUMIF(基础资料!$W$5:$W$24,C1668,基础资料!$X$5:$X$24)+SUMIF(C$7:C1668,C1668,F$7:F1668)-SUMIF(C$7:C1668,C1668,G$7:G1668))</f>
      </c>
      <c r="I1668" s="145">
        <f>IF(AND(F1668="",G1668=""),"",SUM(基础资料!$X$5:$X$24)+SUM(F$7:F1668)-SUM(G$7:G1668))</f>
      </c>
      <c r="J1668" s="141" t="n"/>
      <c r="K1668" s="141" t="n"/>
      <c r="L1668" s="141" t="n"/>
      <c r="M1668" s="142" t="n"/>
      <c r="N1668" s="146">
        <f>IF(AND(AND(F1668="",G1668=""),B1668="",C1668="",D1668="",J1668="",K1668="",L1668=""),"",IF(AND(F1668="",G1668=""),"✗ 没填金额",IF(AND(N(F1668)&lt;&gt;0,N(G1668)&lt;&gt;0),"✗ 收入、支出只能填一边",IF(NOT(ISNUMBER(B1668)),"✗ 日期不是真日期（要像 2026/9/25 这样填）",IF(OR(B1668&lt;年初日,B1668&gt;年末日),"✗ 日期不在本会计年度",IF(C1668="","✗ 没选账户",IF(COUNTIF(基础资料!$W$5:$W$24,C1668)=0,"✗ 账户不在基础资料里",IF(O1668="","✗ 没选收支项目",IF(P1668="未知","✗ 收支项目不在基础资料里",IF(AND(P1668="应收",J1668=""),"✗ 这笔要选客户",IF(AND(P1668="应收",COUNTIF(总览汇总!$B$5:$B$304,J1668)=0),"✗ 客户不在总览汇总名单里",IF(AND(P1668="应付",K1668=""),"✗ 这笔要选供应商",IF(AND(P1668="应付",COUNTIF(基础资料!$Q$5:$Q$54,K1668)=0),"✗ 供应商不在基础资料里",IF(AND(P1668="费用",L1668=""),"✗ 费用支出要选费用项目",IF(AND(L1668&lt;&gt;"",COUNTIF(基础资料!$AI$5:$AI$54,L1668)=0),"✗ 费用项目不在基础资料里",IF(AND(IFERROR(INDEX(基础资料!$AD$5:$AD$34,MATCH(O1668,基础资料!$AC$5:$AC$34,0)),"")="收",N(G1668)&lt;&gt;0),"✗ 这类是收款，金额填到收入列",IF(AND(IFERROR(INDEX(基础资料!$AD$5:$AD$34,MATCH(O1668,基础资料!$AC$5:$AC$34,0)),"")="支",N(F1668)&lt;&gt;0),"✗ 这类是付款，金额填到支出列",IF(N(H1668)&lt;0,"⚠ 账户余额成负数了，核对一下","√"))))))))))))))))))</f>
      </c>
      <c r="O1668" s="78">
        <f>IF(D1668&lt;&gt;"",D1668,IF(AND(F1668="",G1668=""),"",IF(J1668&lt;&gt;"",IF(N(F1668)&gt;0,"客户回款","客户退款"),IF(K1668&lt;&gt;"",IF(N(G1668)&gt;0,"供应商付款","供应商退款"),IF(L1668&lt;&gt;"","费用支出","")))))</f>
      </c>
      <c r="P1668" s="78">
        <f>IF(O1668="","",IFERROR(INDEX(基础资料!$AE$5:$AE$34,MATCH(O1668,基础资料!$AC$5:$AC$34,0)),"未知"))</f>
      </c>
      <c r="Q1668" s="78">
        <f>IF(P1668="应收",COUNTIF(P$7:P1668,"应收"),"")</f>
      </c>
      <c r="R1668" s="78">
        <f>IF(P1668="应付",COUNTIF(P$7:P1668,"应付"),"")</f>
      </c>
      <c r="S1668" s="78">
        <f>N(F1668)-N(G1668)</f>
        <v>0</v>
      </c>
    </row>
    <row r="1669">
      <c r="A1669" s="109">
        <f>IF(AND(F1669="",G1669=""),"",ROW()-6)</f>
      </c>
      <c r="B1669" s="140" t="n"/>
      <c r="C1669" s="141" t="n"/>
      <c r="D1669" s="141" t="n"/>
      <c r="E1669" s="142" t="n"/>
      <c r="F1669" s="143" t="n"/>
      <c r="G1669" s="144" t="n"/>
      <c r="H1669" s="145">
        <f>IF(OR(C1669="",AND(F1669="",G1669="")),"",SUMIF(基础资料!$W$5:$W$24,C1669,基础资料!$X$5:$X$24)+SUMIF(C$7:C1669,C1669,F$7:F1669)-SUMIF(C$7:C1669,C1669,G$7:G1669))</f>
      </c>
      <c r="I1669" s="145">
        <f>IF(AND(F1669="",G1669=""),"",SUM(基础资料!$X$5:$X$24)+SUM(F$7:F1669)-SUM(G$7:G1669))</f>
      </c>
      <c r="J1669" s="141" t="n"/>
      <c r="K1669" s="141" t="n"/>
      <c r="L1669" s="141" t="n"/>
      <c r="M1669" s="142" t="n"/>
      <c r="N1669" s="146">
        <f>IF(AND(AND(F1669="",G1669=""),B1669="",C1669="",D1669="",J1669="",K1669="",L1669=""),"",IF(AND(F1669="",G1669=""),"✗ 没填金额",IF(AND(N(F1669)&lt;&gt;0,N(G1669)&lt;&gt;0),"✗ 收入、支出只能填一边",IF(NOT(ISNUMBER(B1669)),"✗ 日期不是真日期（要像 2026/9/25 这样填）",IF(OR(B1669&lt;年初日,B1669&gt;年末日),"✗ 日期不在本会计年度",IF(C1669="","✗ 没选账户",IF(COUNTIF(基础资料!$W$5:$W$24,C1669)=0,"✗ 账户不在基础资料里",IF(O1669="","✗ 没选收支项目",IF(P1669="未知","✗ 收支项目不在基础资料里",IF(AND(P1669="应收",J1669=""),"✗ 这笔要选客户",IF(AND(P1669="应收",COUNTIF(总览汇总!$B$5:$B$304,J1669)=0),"✗ 客户不在总览汇总名单里",IF(AND(P1669="应付",K1669=""),"✗ 这笔要选供应商",IF(AND(P1669="应付",COUNTIF(基础资料!$Q$5:$Q$54,K1669)=0),"✗ 供应商不在基础资料里",IF(AND(P1669="费用",L1669=""),"✗ 费用支出要选费用项目",IF(AND(L1669&lt;&gt;"",COUNTIF(基础资料!$AI$5:$AI$54,L1669)=0),"✗ 费用项目不在基础资料里",IF(AND(IFERROR(INDEX(基础资料!$AD$5:$AD$34,MATCH(O1669,基础资料!$AC$5:$AC$34,0)),"")="收",N(G1669)&lt;&gt;0),"✗ 这类是收款，金额填到收入列",IF(AND(IFERROR(INDEX(基础资料!$AD$5:$AD$34,MATCH(O1669,基础资料!$AC$5:$AC$34,0)),"")="支",N(F1669)&lt;&gt;0),"✗ 这类是付款，金额填到支出列",IF(N(H1669)&lt;0,"⚠ 账户余额成负数了，核对一下","√"))))))))))))))))))</f>
      </c>
      <c r="O1669" s="78">
        <f>IF(D1669&lt;&gt;"",D1669,IF(AND(F1669="",G1669=""),"",IF(J1669&lt;&gt;"",IF(N(F1669)&gt;0,"客户回款","客户退款"),IF(K1669&lt;&gt;"",IF(N(G1669)&gt;0,"供应商付款","供应商退款"),IF(L1669&lt;&gt;"","费用支出","")))))</f>
      </c>
      <c r="P1669" s="78">
        <f>IF(O1669="","",IFERROR(INDEX(基础资料!$AE$5:$AE$34,MATCH(O1669,基础资料!$AC$5:$AC$34,0)),"未知"))</f>
      </c>
      <c r="Q1669" s="78">
        <f>IF(P1669="应收",COUNTIF(P$7:P1669,"应收"),"")</f>
      </c>
      <c r="R1669" s="78">
        <f>IF(P1669="应付",COUNTIF(P$7:P1669,"应付"),"")</f>
      </c>
      <c r="S1669" s="78">
        <f>N(F1669)-N(G1669)</f>
        <v>0</v>
      </c>
    </row>
    <row r="1670">
      <c r="A1670" s="109">
        <f>IF(AND(F1670="",G1670=""),"",ROW()-6)</f>
      </c>
      <c r="B1670" s="140" t="n"/>
      <c r="C1670" s="141" t="n"/>
      <c r="D1670" s="141" t="n"/>
      <c r="E1670" s="142" t="n"/>
      <c r="F1670" s="143" t="n"/>
      <c r="G1670" s="144" t="n"/>
      <c r="H1670" s="145">
        <f>IF(OR(C1670="",AND(F1670="",G1670="")),"",SUMIF(基础资料!$W$5:$W$24,C1670,基础资料!$X$5:$X$24)+SUMIF(C$7:C1670,C1670,F$7:F1670)-SUMIF(C$7:C1670,C1670,G$7:G1670))</f>
      </c>
      <c r="I1670" s="145">
        <f>IF(AND(F1670="",G1670=""),"",SUM(基础资料!$X$5:$X$24)+SUM(F$7:F1670)-SUM(G$7:G1670))</f>
      </c>
      <c r="J1670" s="141" t="n"/>
      <c r="K1670" s="141" t="n"/>
      <c r="L1670" s="141" t="n"/>
      <c r="M1670" s="142" t="n"/>
      <c r="N1670" s="146">
        <f>IF(AND(AND(F1670="",G1670=""),B1670="",C1670="",D1670="",J1670="",K1670="",L1670=""),"",IF(AND(F1670="",G1670=""),"✗ 没填金额",IF(AND(N(F1670)&lt;&gt;0,N(G1670)&lt;&gt;0),"✗ 收入、支出只能填一边",IF(NOT(ISNUMBER(B1670)),"✗ 日期不是真日期（要像 2026/9/25 这样填）",IF(OR(B1670&lt;年初日,B1670&gt;年末日),"✗ 日期不在本会计年度",IF(C1670="","✗ 没选账户",IF(COUNTIF(基础资料!$W$5:$W$24,C1670)=0,"✗ 账户不在基础资料里",IF(O1670="","✗ 没选收支项目",IF(P1670="未知","✗ 收支项目不在基础资料里",IF(AND(P1670="应收",J1670=""),"✗ 这笔要选客户",IF(AND(P1670="应收",COUNTIF(总览汇总!$B$5:$B$304,J1670)=0),"✗ 客户不在总览汇总名单里",IF(AND(P1670="应付",K1670=""),"✗ 这笔要选供应商",IF(AND(P1670="应付",COUNTIF(基础资料!$Q$5:$Q$54,K1670)=0),"✗ 供应商不在基础资料里",IF(AND(P1670="费用",L1670=""),"✗ 费用支出要选费用项目",IF(AND(L1670&lt;&gt;"",COUNTIF(基础资料!$AI$5:$AI$54,L1670)=0),"✗ 费用项目不在基础资料里",IF(AND(IFERROR(INDEX(基础资料!$AD$5:$AD$34,MATCH(O1670,基础资料!$AC$5:$AC$34,0)),"")="收",N(G1670)&lt;&gt;0),"✗ 这类是收款，金额填到收入列",IF(AND(IFERROR(INDEX(基础资料!$AD$5:$AD$34,MATCH(O1670,基础资料!$AC$5:$AC$34,0)),"")="支",N(F1670)&lt;&gt;0),"✗ 这类是付款，金额填到支出列",IF(N(H1670)&lt;0,"⚠ 账户余额成负数了，核对一下","√"))))))))))))))))))</f>
      </c>
      <c r="O1670" s="78">
        <f>IF(D1670&lt;&gt;"",D1670,IF(AND(F1670="",G1670=""),"",IF(J1670&lt;&gt;"",IF(N(F1670)&gt;0,"客户回款","客户退款"),IF(K1670&lt;&gt;"",IF(N(G1670)&gt;0,"供应商付款","供应商退款"),IF(L1670&lt;&gt;"","费用支出","")))))</f>
      </c>
      <c r="P1670" s="78">
        <f>IF(O1670="","",IFERROR(INDEX(基础资料!$AE$5:$AE$34,MATCH(O1670,基础资料!$AC$5:$AC$34,0)),"未知"))</f>
      </c>
      <c r="Q1670" s="78">
        <f>IF(P1670="应收",COUNTIF(P$7:P1670,"应收"),"")</f>
      </c>
      <c r="R1670" s="78">
        <f>IF(P1670="应付",COUNTIF(P$7:P1670,"应付"),"")</f>
      </c>
      <c r="S1670" s="78">
        <f>N(F1670)-N(G1670)</f>
        <v>0</v>
      </c>
    </row>
    <row r="1671">
      <c r="A1671" s="109">
        <f>IF(AND(F1671="",G1671=""),"",ROW()-6)</f>
      </c>
      <c r="B1671" s="140" t="n"/>
      <c r="C1671" s="141" t="n"/>
      <c r="D1671" s="141" t="n"/>
      <c r="E1671" s="142" t="n"/>
      <c r="F1671" s="143" t="n"/>
      <c r="G1671" s="144" t="n"/>
      <c r="H1671" s="145">
        <f>IF(OR(C1671="",AND(F1671="",G1671="")),"",SUMIF(基础资料!$W$5:$W$24,C1671,基础资料!$X$5:$X$24)+SUMIF(C$7:C1671,C1671,F$7:F1671)-SUMIF(C$7:C1671,C1671,G$7:G1671))</f>
      </c>
      <c r="I1671" s="145">
        <f>IF(AND(F1671="",G1671=""),"",SUM(基础资料!$X$5:$X$24)+SUM(F$7:F1671)-SUM(G$7:G1671))</f>
      </c>
      <c r="J1671" s="141" t="n"/>
      <c r="K1671" s="141" t="n"/>
      <c r="L1671" s="141" t="n"/>
      <c r="M1671" s="142" t="n"/>
      <c r="N1671" s="146">
        <f>IF(AND(AND(F1671="",G1671=""),B1671="",C1671="",D1671="",J1671="",K1671="",L1671=""),"",IF(AND(F1671="",G1671=""),"✗ 没填金额",IF(AND(N(F1671)&lt;&gt;0,N(G1671)&lt;&gt;0),"✗ 收入、支出只能填一边",IF(NOT(ISNUMBER(B1671)),"✗ 日期不是真日期（要像 2026/9/25 这样填）",IF(OR(B1671&lt;年初日,B1671&gt;年末日),"✗ 日期不在本会计年度",IF(C1671="","✗ 没选账户",IF(COUNTIF(基础资料!$W$5:$W$24,C1671)=0,"✗ 账户不在基础资料里",IF(O1671="","✗ 没选收支项目",IF(P1671="未知","✗ 收支项目不在基础资料里",IF(AND(P1671="应收",J1671=""),"✗ 这笔要选客户",IF(AND(P1671="应收",COUNTIF(总览汇总!$B$5:$B$304,J1671)=0),"✗ 客户不在总览汇总名单里",IF(AND(P1671="应付",K1671=""),"✗ 这笔要选供应商",IF(AND(P1671="应付",COUNTIF(基础资料!$Q$5:$Q$54,K1671)=0),"✗ 供应商不在基础资料里",IF(AND(P1671="费用",L1671=""),"✗ 费用支出要选费用项目",IF(AND(L1671&lt;&gt;"",COUNTIF(基础资料!$AI$5:$AI$54,L1671)=0),"✗ 费用项目不在基础资料里",IF(AND(IFERROR(INDEX(基础资料!$AD$5:$AD$34,MATCH(O1671,基础资料!$AC$5:$AC$34,0)),"")="收",N(G1671)&lt;&gt;0),"✗ 这类是收款，金额填到收入列",IF(AND(IFERROR(INDEX(基础资料!$AD$5:$AD$34,MATCH(O1671,基础资料!$AC$5:$AC$34,0)),"")="支",N(F1671)&lt;&gt;0),"✗ 这类是付款，金额填到支出列",IF(N(H1671)&lt;0,"⚠ 账户余额成负数了，核对一下","√"))))))))))))))))))</f>
      </c>
      <c r="O1671" s="78">
        <f>IF(D1671&lt;&gt;"",D1671,IF(AND(F1671="",G1671=""),"",IF(J1671&lt;&gt;"",IF(N(F1671)&gt;0,"客户回款","客户退款"),IF(K1671&lt;&gt;"",IF(N(G1671)&gt;0,"供应商付款","供应商退款"),IF(L1671&lt;&gt;"","费用支出","")))))</f>
      </c>
      <c r="P1671" s="78">
        <f>IF(O1671="","",IFERROR(INDEX(基础资料!$AE$5:$AE$34,MATCH(O1671,基础资料!$AC$5:$AC$34,0)),"未知"))</f>
      </c>
      <c r="Q1671" s="78">
        <f>IF(P1671="应收",COUNTIF(P$7:P1671,"应收"),"")</f>
      </c>
      <c r="R1671" s="78">
        <f>IF(P1671="应付",COUNTIF(P$7:P1671,"应付"),"")</f>
      </c>
      <c r="S1671" s="78">
        <f>N(F1671)-N(G1671)</f>
        <v>0</v>
      </c>
    </row>
    <row r="1672">
      <c r="A1672" s="109">
        <f>IF(AND(F1672="",G1672=""),"",ROW()-6)</f>
      </c>
      <c r="B1672" s="140" t="n"/>
      <c r="C1672" s="141" t="n"/>
      <c r="D1672" s="141" t="n"/>
      <c r="E1672" s="142" t="n"/>
      <c r="F1672" s="143" t="n"/>
      <c r="G1672" s="144" t="n"/>
      <c r="H1672" s="145">
        <f>IF(OR(C1672="",AND(F1672="",G1672="")),"",SUMIF(基础资料!$W$5:$W$24,C1672,基础资料!$X$5:$X$24)+SUMIF(C$7:C1672,C1672,F$7:F1672)-SUMIF(C$7:C1672,C1672,G$7:G1672))</f>
      </c>
      <c r="I1672" s="145">
        <f>IF(AND(F1672="",G1672=""),"",SUM(基础资料!$X$5:$X$24)+SUM(F$7:F1672)-SUM(G$7:G1672))</f>
      </c>
      <c r="J1672" s="141" t="n"/>
      <c r="K1672" s="141" t="n"/>
      <c r="L1672" s="141" t="n"/>
      <c r="M1672" s="142" t="n"/>
      <c r="N1672" s="146">
        <f>IF(AND(AND(F1672="",G1672=""),B1672="",C1672="",D1672="",J1672="",K1672="",L1672=""),"",IF(AND(F1672="",G1672=""),"✗ 没填金额",IF(AND(N(F1672)&lt;&gt;0,N(G1672)&lt;&gt;0),"✗ 收入、支出只能填一边",IF(NOT(ISNUMBER(B1672)),"✗ 日期不是真日期（要像 2026/9/25 这样填）",IF(OR(B1672&lt;年初日,B1672&gt;年末日),"✗ 日期不在本会计年度",IF(C1672="","✗ 没选账户",IF(COUNTIF(基础资料!$W$5:$W$24,C1672)=0,"✗ 账户不在基础资料里",IF(O1672="","✗ 没选收支项目",IF(P1672="未知","✗ 收支项目不在基础资料里",IF(AND(P1672="应收",J1672=""),"✗ 这笔要选客户",IF(AND(P1672="应收",COUNTIF(总览汇总!$B$5:$B$304,J1672)=0),"✗ 客户不在总览汇总名单里",IF(AND(P1672="应付",K1672=""),"✗ 这笔要选供应商",IF(AND(P1672="应付",COUNTIF(基础资料!$Q$5:$Q$54,K1672)=0),"✗ 供应商不在基础资料里",IF(AND(P1672="费用",L1672=""),"✗ 费用支出要选费用项目",IF(AND(L1672&lt;&gt;"",COUNTIF(基础资料!$AI$5:$AI$54,L1672)=0),"✗ 费用项目不在基础资料里",IF(AND(IFERROR(INDEX(基础资料!$AD$5:$AD$34,MATCH(O1672,基础资料!$AC$5:$AC$34,0)),"")="收",N(G1672)&lt;&gt;0),"✗ 这类是收款，金额填到收入列",IF(AND(IFERROR(INDEX(基础资料!$AD$5:$AD$34,MATCH(O1672,基础资料!$AC$5:$AC$34,0)),"")="支",N(F1672)&lt;&gt;0),"✗ 这类是付款，金额填到支出列",IF(N(H1672)&lt;0,"⚠ 账户余额成负数了，核对一下","√"))))))))))))))))))</f>
      </c>
      <c r="O1672" s="78">
        <f>IF(D1672&lt;&gt;"",D1672,IF(AND(F1672="",G1672=""),"",IF(J1672&lt;&gt;"",IF(N(F1672)&gt;0,"客户回款","客户退款"),IF(K1672&lt;&gt;"",IF(N(G1672)&gt;0,"供应商付款","供应商退款"),IF(L1672&lt;&gt;"","费用支出","")))))</f>
      </c>
      <c r="P1672" s="78">
        <f>IF(O1672="","",IFERROR(INDEX(基础资料!$AE$5:$AE$34,MATCH(O1672,基础资料!$AC$5:$AC$34,0)),"未知"))</f>
      </c>
      <c r="Q1672" s="78">
        <f>IF(P1672="应收",COUNTIF(P$7:P1672,"应收"),"")</f>
      </c>
      <c r="R1672" s="78">
        <f>IF(P1672="应付",COUNTIF(P$7:P1672,"应付"),"")</f>
      </c>
      <c r="S1672" s="78">
        <f>N(F1672)-N(G1672)</f>
        <v>0</v>
      </c>
    </row>
    <row r="1673">
      <c r="A1673" s="109">
        <f>IF(AND(F1673="",G1673=""),"",ROW()-6)</f>
      </c>
      <c r="B1673" s="140" t="n"/>
      <c r="C1673" s="141" t="n"/>
      <c r="D1673" s="141" t="n"/>
      <c r="E1673" s="142" t="n"/>
      <c r="F1673" s="143" t="n"/>
      <c r="G1673" s="144" t="n"/>
      <c r="H1673" s="145">
        <f>IF(OR(C1673="",AND(F1673="",G1673="")),"",SUMIF(基础资料!$W$5:$W$24,C1673,基础资料!$X$5:$X$24)+SUMIF(C$7:C1673,C1673,F$7:F1673)-SUMIF(C$7:C1673,C1673,G$7:G1673))</f>
      </c>
      <c r="I1673" s="145">
        <f>IF(AND(F1673="",G1673=""),"",SUM(基础资料!$X$5:$X$24)+SUM(F$7:F1673)-SUM(G$7:G1673))</f>
      </c>
      <c r="J1673" s="141" t="n"/>
      <c r="K1673" s="141" t="n"/>
      <c r="L1673" s="141" t="n"/>
      <c r="M1673" s="142" t="n"/>
      <c r="N1673" s="146">
        <f>IF(AND(AND(F1673="",G1673=""),B1673="",C1673="",D1673="",J1673="",K1673="",L1673=""),"",IF(AND(F1673="",G1673=""),"✗ 没填金额",IF(AND(N(F1673)&lt;&gt;0,N(G1673)&lt;&gt;0),"✗ 收入、支出只能填一边",IF(NOT(ISNUMBER(B1673)),"✗ 日期不是真日期（要像 2026/9/25 这样填）",IF(OR(B1673&lt;年初日,B1673&gt;年末日),"✗ 日期不在本会计年度",IF(C1673="","✗ 没选账户",IF(COUNTIF(基础资料!$W$5:$W$24,C1673)=0,"✗ 账户不在基础资料里",IF(O1673="","✗ 没选收支项目",IF(P1673="未知","✗ 收支项目不在基础资料里",IF(AND(P1673="应收",J1673=""),"✗ 这笔要选客户",IF(AND(P1673="应收",COUNTIF(总览汇总!$B$5:$B$304,J1673)=0),"✗ 客户不在总览汇总名单里",IF(AND(P1673="应付",K1673=""),"✗ 这笔要选供应商",IF(AND(P1673="应付",COUNTIF(基础资料!$Q$5:$Q$54,K1673)=0),"✗ 供应商不在基础资料里",IF(AND(P1673="费用",L1673=""),"✗ 费用支出要选费用项目",IF(AND(L1673&lt;&gt;"",COUNTIF(基础资料!$AI$5:$AI$54,L1673)=0),"✗ 费用项目不在基础资料里",IF(AND(IFERROR(INDEX(基础资料!$AD$5:$AD$34,MATCH(O1673,基础资料!$AC$5:$AC$34,0)),"")="收",N(G1673)&lt;&gt;0),"✗ 这类是收款，金额填到收入列",IF(AND(IFERROR(INDEX(基础资料!$AD$5:$AD$34,MATCH(O1673,基础资料!$AC$5:$AC$34,0)),"")="支",N(F1673)&lt;&gt;0),"✗ 这类是付款，金额填到支出列",IF(N(H1673)&lt;0,"⚠ 账户余额成负数了，核对一下","√"))))))))))))))))))</f>
      </c>
      <c r="O1673" s="78">
        <f>IF(D1673&lt;&gt;"",D1673,IF(AND(F1673="",G1673=""),"",IF(J1673&lt;&gt;"",IF(N(F1673)&gt;0,"客户回款","客户退款"),IF(K1673&lt;&gt;"",IF(N(G1673)&gt;0,"供应商付款","供应商退款"),IF(L1673&lt;&gt;"","费用支出","")))))</f>
      </c>
      <c r="P1673" s="78">
        <f>IF(O1673="","",IFERROR(INDEX(基础资料!$AE$5:$AE$34,MATCH(O1673,基础资料!$AC$5:$AC$34,0)),"未知"))</f>
      </c>
      <c r="Q1673" s="78">
        <f>IF(P1673="应收",COUNTIF(P$7:P1673,"应收"),"")</f>
      </c>
      <c r="R1673" s="78">
        <f>IF(P1673="应付",COUNTIF(P$7:P1673,"应付"),"")</f>
      </c>
      <c r="S1673" s="78">
        <f>N(F1673)-N(G1673)</f>
        <v>0</v>
      </c>
    </row>
    <row r="1674">
      <c r="A1674" s="109">
        <f>IF(AND(F1674="",G1674=""),"",ROW()-6)</f>
      </c>
      <c r="B1674" s="140" t="n"/>
      <c r="C1674" s="141" t="n"/>
      <c r="D1674" s="141" t="n"/>
      <c r="E1674" s="142" t="n"/>
      <c r="F1674" s="143" t="n"/>
      <c r="G1674" s="144" t="n"/>
      <c r="H1674" s="145">
        <f>IF(OR(C1674="",AND(F1674="",G1674="")),"",SUMIF(基础资料!$W$5:$W$24,C1674,基础资料!$X$5:$X$24)+SUMIF(C$7:C1674,C1674,F$7:F1674)-SUMIF(C$7:C1674,C1674,G$7:G1674))</f>
      </c>
      <c r="I1674" s="145">
        <f>IF(AND(F1674="",G1674=""),"",SUM(基础资料!$X$5:$X$24)+SUM(F$7:F1674)-SUM(G$7:G1674))</f>
      </c>
      <c r="J1674" s="141" t="n"/>
      <c r="K1674" s="141" t="n"/>
      <c r="L1674" s="141" t="n"/>
      <c r="M1674" s="142" t="n"/>
      <c r="N1674" s="146">
        <f>IF(AND(AND(F1674="",G1674=""),B1674="",C1674="",D1674="",J1674="",K1674="",L1674=""),"",IF(AND(F1674="",G1674=""),"✗ 没填金额",IF(AND(N(F1674)&lt;&gt;0,N(G1674)&lt;&gt;0),"✗ 收入、支出只能填一边",IF(NOT(ISNUMBER(B1674)),"✗ 日期不是真日期（要像 2026/9/25 这样填）",IF(OR(B1674&lt;年初日,B1674&gt;年末日),"✗ 日期不在本会计年度",IF(C1674="","✗ 没选账户",IF(COUNTIF(基础资料!$W$5:$W$24,C1674)=0,"✗ 账户不在基础资料里",IF(O1674="","✗ 没选收支项目",IF(P1674="未知","✗ 收支项目不在基础资料里",IF(AND(P1674="应收",J1674=""),"✗ 这笔要选客户",IF(AND(P1674="应收",COUNTIF(总览汇总!$B$5:$B$304,J1674)=0),"✗ 客户不在总览汇总名单里",IF(AND(P1674="应付",K1674=""),"✗ 这笔要选供应商",IF(AND(P1674="应付",COUNTIF(基础资料!$Q$5:$Q$54,K1674)=0),"✗ 供应商不在基础资料里",IF(AND(P1674="费用",L1674=""),"✗ 费用支出要选费用项目",IF(AND(L1674&lt;&gt;"",COUNTIF(基础资料!$AI$5:$AI$54,L1674)=0),"✗ 费用项目不在基础资料里",IF(AND(IFERROR(INDEX(基础资料!$AD$5:$AD$34,MATCH(O1674,基础资料!$AC$5:$AC$34,0)),"")="收",N(G1674)&lt;&gt;0),"✗ 这类是收款，金额填到收入列",IF(AND(IFERROR(INDEX(基础资料!$AD$5:$AD$34,MATCH(O1674,基础资料!$AC$5:$AC$34,0)),"")="支",N(F1674)&lt;&gt;0),"✗ 这类是付款，金额填到支出列",IF(N(H1674)&lt;0,"⚠ 账户余额成负数了，核对一下","√"))))))))))))))))))</f>
      </c>
      <c r="O1674" s="78">
        <f>IF(D1674&lt;&gt;"",D1674,IF(AND(F1674="",G1674=""),"",IF(J1674&lt;&gt;"",IF(N(F1674)&gt;0,"客户回款","客户退款"),IF(K1674&lt;&gt;"",IF(N(G1674)&gt;0,"供应商付款","供应商退款"),IF(L1674&lt;&gt;"","费用支出","")))))</f>
      </c>
      <c r="P1674" s="78">
        <f>IF(O1674="","",IFERROR(INDEX(基础资料!$AE$5:$AE$34,MATCH(O1674,基础资料!$AC$5:$AC$34,0)),"未知"))</f>
      </c>
      <c r="Q1674" s="78">
        <f>IF(P1674="应收",COUNTIF(P$7:P1674,"应收"),"")</f>
      </c>
      <c r="R1674" s="78">
        <f>IF(P1674="应付",COUNTIF(P$7:P1674,"应付"),"")</f>
      </c>
      <c r="S1674" s="78">
        <f>N(F1674)-N(G1674)</f>
        <v>0</v>
      </c>
    </row>
    <row r="1675">
      <c r="A1675" s="109">
        <f>IF(AND(F1675="",G1675=""),"",ROW()-6)</f>
      </c>
      <c r="B1675" s="140" t="n"/>
      <c r="C1675" s="141" t="n"/>
      <c r="D1675" s="141" t="n"/>
      <c r="E1675" s="142" t="n"/>
      <c r="F1675" s="143" t="n"/>
      <c r="G1675" s="144" t="n"/>
      <c r="H1675" s="145">
        <f>IF(OR(C1675="",AND(F1675="",G1675="")),"",SUMIF(基础资料!$W$5:$W$24,C1675,基础资料!$X$5:$X$24)+SUMIF(C$7:C1675,C1675,F$7:F1675)-SUMIF(C$7:C1675,C1675,G$7:G1675))</f>
      </c>
      <c r="I1675" s="145">
        <f>IF(AND(F1675="",G1675=""),"",SUM(基础资料!$X$5:$X$24)+SUM(F$7:F1675)-SUM(G$7:G1675))</f>
      </c>
      <c r="J1675" s="141" t="n"/>
      <c r="K1675" s="141" t="n"/>
      <c r="L1675" s="141" t="n"/>
      <c r="M1675" s="142" t="n"/>
      <c r="N1675" s="146">
        <f>IF(AND(AND(F1675="",G1675=""),B1675="",C1675="",D1675="",J1675="",K1675="",L1675=""),"",IF(AND(F1675="",G1675=""),"✗ 没填金额",IF(AND(N(F1675)&lt;&gt;0,N(G1675)&lt;&gt;0),"✗ 收入、支出只能填一边",IF(NOT(ISNUMBER(B1675)),"✗ 日期不是真日期（要像 2026/9/25 这样填）",IF(OR(B1675&lt;年初日,B1675&gt;年末日),"✗ 日期不在本会计年度",IF(C1675="","✗ 没选账户",IF(COUNTIF(基础资料!$W$5:$W$24,C1675)=0,"✗ 账户不在基础资料里",IF(O1675="","✗ 没选收支项目",IF(P1675="未知","✗ 收支项目不在基础资料里",IF(AND(P1675="应收",J1675=""),"✗ 这笔要选客户",IF(AND(P1675="应收",COUNTIF(总览汇总!$B$5:$B$304,J1675)=0),"✗ 客户不在总览汇总名单里",IF(AND(P1675="应付",K1675=""),"✗ 这笔要选供应商",IF(AND(P1675="应付",COUNTIF(基础资料!$Q$5:$Q$54,K1675)=0),"✗ 供应商不在基础资料里",IF(AND(P1675="费用",L1675=""),"✗ 费用支出要选费用项目",IF(AND(L1675&lt;&gt;"",COUNTIF(基础资料!$AI$5:$AI$54,L1675)=0),"✗ 费用项目不在基础资料里",IF(AND(IFERROR(INDEX(基础资料!$AD$5:$AD$34,MATCH(O1675,基础资料!$AC$5:$AC$34,0)),"")="收",N(G1675)&lt;&gt;0),"✗ 这类是收款，金额填到收入列",IF(AND(IFERROR(INDEX(基础资料!$AD$5:$AD$34,MATCH(O1675,基础资料!$AC$5:$AC$34,0)),"")="支",N(F1675)&lt;&gt;0),"✗ 这类是付款，金额填到支出列",IF(N(H1675)&lt;0,"⚠ 账户余额成负数了，核对一下","√"))))))))))))))))))</f>
      </c>
      <c r="O1675" s="78">
        <f>IF(D1675&lt;&gt;"",D1675,IF(AND(F1675="",G1675=""),"",IF(J1675&lt;&gt;"",IF(N(F1675)&gt;0,"客户回款","客户退款"),IF(K1675&lt;&gt;"",IF(N(G1675)&gt;0,"供应商付款","供应商退款"),IF(L1675&lt;&gt;"","费用支出","")))))</f>
      </c>
      <c r="P1675" s="78">
        <f>IF(O1675="","",IFERROR(INDEX(基础资料!$AE$5:$AE$34,MATCH(O1675,基础资料!$AC$5:$AC$34,0)),"未知"))</f>
      </c>
      <c r="Q1675" s="78">
        <f>IF(P1675="应收",COUNTIF(P$7:P1675,"应收"),"")</f>
      </c>
      <c r="R1675" s="78">
        <f>IF(P1675="应付",COUNTIF(P$7:P1675,"应付"),"")</f>
      </c>
      <c r="S1675" s="78">
        <f>N(F1675)-N(G1675)</f>
        <v>0</v>
      </c>
    </row>
    <row r="1676">
      <c r="A1676" s="109">
        <f>IF(AND(F1676="",G1676=""),"",ROW()-6)</f>
      </c>
      <c r="B1676" s="140" t="n"/>
      <c r="C1676" s="141" t="n"/>
      <c r="D1676" s="141" t="n"/>
      <c r="E1676" s="142" t="n"/>
      <c r="F1676" s="143" t="n"/>
      <c r="G1676" s="144" t="n"/>
      <c r="H1676" s="145">
        <f>IF(OR(C1676="",AND(F1676="",G1676="")),"",SUMIF(基础资料!$W$5:$W$24,C1676,基础资料!$X$5:$X$24)+SUMIF(C$7:C1676,C1676,F$7:F1676)-SUMIF(C$7:C1676,C1676,G$7:G1676))</f>
      </c>
      <c r="I1676" s="145">
        <f>IF(AND(F1676="",G1676=""),"",SUM(基础资料!$X$5:$X$24)+SUM(F$7:F1676)-SUM(G$7:G1676))</f>
      </c>
      <c r="J1676" s="141" t="n"/>
      <c r="K1676" s="141" t="n"/>
      <c r="L1676" s="141" t="n"/>
      <c r="M1676" s="142" t="n"/>
      <c r="N1676" s="146">
        <f>IF(AND(AND(F1676="",G1676=""),B1676="",C1676="",D1676="",J1676="",K1676="",L1676=""),"",IF(AND(F1676="",G1676=""),"✗ 没填金额",IF(AND(N(F1676)&lt;&gt;0,N(G1676)&lt;&gt;0),"✗ 收入、支出只能填一边",IF(NOT(ISNUMBER(B1676)),"✗ 日期不是真日期（要像 2026/9/25 这样填）",IF(OR(B1676&lt;年初日,B1676&gt;年末日),"✗ 日期不在本会计年度",IF(C1676="","✗ 没选账户",IF(COUNTIF(基础资料!$W$5:$W$24,C1676)=0,"✗ 账户不在基础资料里",IF(O1676="","✗ 没选收支项目",IF(P1676="未知","✗ 收支项目不在基础资料里",IF(AND(P1676="应收",J1676=""),"✗ 这笔要选客户",IF(AND(P1676="应收",COUNTIF(总览汇总!$B$5:$B$304,J1676)=0),"✗ 客户不在总览汇总名单里",IF(AND(P1676="应付",K1676=""),"✗ 这笔要选供应商",IF(AND(P1676="应付",COUNTIF(基础资料!$Q$5:$Q$54,K1676)=0),"✗ 供应商不在基础资料里",IF(AND(P1676="费用",L1676=""),"✗ 费用支出要选费用项目",IF(AND(L1676&lt;&gt;"",COUNTIF(基础资料!$AI$5:$AI$54,L1676)=0),"✗ 费用项目不在基础资料里",IF(AND(IFERROR(INDEX(基础资料!$AD$5:$AD$34,MATCH(O1676,基础资料!$AC$5:$AC$34,0)),"")="收",N(G1676)&lt;&gt;0),"✗ 这类是收款，金额填到收入列",IF(AND(IFERROR(INDEX(基础资料!$AD$5:$AD$34,MATCH(O1676,基础资料!$AC$5:$AC$34,0)),"")="支",N(F1676)&lt;&gt;0),"✗ 这类是付款，金额填到支出列",IF(N(H1676)&lt;0,"⚠ 账户余额成负数了，核对一下","√"))))))))))))))))))</f>
      </c>
      <c r="O1676" s="78">
        <f>IF(D1676&lt;&gt;"",D1676,IF(AND(F1676="",G1676=""),"",IF(J1676&lt;&gt;"",IF(N(F1676)&gt;0,"客户回款","客户退款"),IF(K1676&lt;&gt;"",IF(N(G1676)&gt;0,"供应商付款","供应商退款"),IF(L1676&lt;&gt;"","费用支出","")))))</f>
      </c>
      <c r="P1676" s="78">
        <f>IF(O1676="","",IFERROR(INDEX(基础资料!$AE$5:$AE$34,MATCH(O1676,基础资料!$AC$5:$AC$34,0)),"未知"))</f>
      </c>
      <c r="Q1676" s="78">
        <f>IF(P1676="应收",COUNTIF(P$7:P1676,"应收"),"")</f>
      </c>
      <c r="R1676" s="78">
        <f>IF(P1676="应付",COUNTIF(P$7:P1676,"应付"),"")</f>
      </c>
      <c r="S1676" s="78">
        <f>N(F1676)-N(G1676)</f>
        <v>0</v>
      </c>
    </row>
    <row r="1677">
      <c r="A1677" s="109">
        <f>IF(AND(F1677="",G1677=""),"",ROW()-6)</f>
      </c>
      <c r="B1677" s="140" t="n"/>
      <c r="C1677" s="141" t="n"/>
      <c r="D1677" s="141" t="n"/>
      <c r="E1677" s="142" t="n"/>
      <c r="F1677" s="143" t="n"/>
      <c r="G1677" s="144" t="n"/>
      <c r="H1677" s="145">
        <f>IF(OR(C1677="",AND(F1677="",G1677="")),"",SUMIF(基础资料!$W$5:$W$24,C1677,基础资料!$X$5:$X$24)+SUMIF(C$7:C1677,C1677,F$7:F1677)-SUMIF(C$7:C1677,C1677,G$7:G1677))</f>
      </c>
      <c r="I1677" s="145">
        <f>IF(AND(F1677="",G1677=""),"",SUM(基础资料!$X$5:$X$24)+SUM(F$7:F1677)-SUM(G$7:G1677))</f>
      </c>
      <c r="J1677" s="141" t="n"/>
      <c r="K1677" s="141" t="n"/>
      <c r="L1677" s="141" t="n"/>
      <c r="M1677" s="142" t="n"/>
      <c r="N1677" s="146">
        <f>IF(AND(AND(F1677="",G1677=""),B1677="",C1677="",D1677="",J1677="",K1677="",L1677=""),"",IF(AND(F1677="",G1677=""),"✗ 没填金额",IF(AND(N(F1677)&lt;&gt;0,N(G1677)&lt;&gt;0),"✗ 收入、支出只能填一边",IF(NOT(ISNUMBER(B1677)),"✗ 日期不是真日期（要像 2026/9/25 这样填）",IF(OR(B1677&lt;年初日,B1677&gt;年末日),"✗ 日期不在本会计年度",IF(C1677="","✗ 没选账户",IF(COUNTIF(基础资料!$W$5:$W$24,C1677)=0,"✗ 账户不在基础资料里",IF(O1677="","✗ 没选收支项目",IF(P1677="未知","✗ 收支项目不在基础资料里",IF(AND(P1677="应收",J1677=""),"✗ 这笔要选客户",IF(AND(P1677="应收",COUNTIF(总览汇总!$B$5:$B$304,J1677)=0),"✗ 客户不在总览汇总名单里",IF(AND(P1677="应付",K1677=""),"✗ 这笔要选供应商",IF(AND(P1677="应付",COUNTIF(基础资料!$Q$5:$Q$54,K1677)=0),"✗ 供应商不在基础资料里",IF(AND(P1677="费用",L1677=""),"✗ 费用支出要选费用项目",IF(AND(L1677&lt;&gt;"",COUNTIF(基础资料!$AI$5:$AI$54,L1677)=0),"✗ 费用项目不在基础资料里",IF(AND(IFERROR(INDEX(基础资料!$AD$5:$AD$34,MATCH(O1677,基础资料!$AC$5:$AC$34,0)),"")="收",N(G1677)&lt;&gt;0),"✗ 这类是收款，金额填到收入列",IF(AND(IFERROR(INDEX(基础资料!$AD$5:$AD$34,MATCH(O1677,基础资料!$AC$5:$AC$34,0)),"")="支",N(F1677)&lt;&gt;0),"✗ 这类是付款，金额填到支出列",IF(N(H1677)&lt;0,"⚠ 账户余额成负数了，核对一下","√"))))))))))))))))))</f>
      </c>
      <c r="O1677" s="78">
        <f>IF(D1677&lt;&gt;"",D1677,IF(AND(F1677="",G1677=""),"",IF(J1677&lt;&gt;"",IF(N(F1677)&gt;0,"客户回款","客户退款"),IF(K1677&lt;&gt;"",IF(N(G1677)&gt;0,"供应商付款","供应商退款"),IF(L1677&lt;&gt;"","费用支出","")))))</f>
      </c>
      <c r="P1677" s="78">
        <f>IF(O1677="","",IFERROR(INDEX(基础资料!$AE$5:$AE$34,MATCH(O1677,基础资料!$AC$5:$AC$34,0)),"未知"))</f>
      </c>
      <c r="Q1677" s="78">
        <f>IF(P1677="应收",COUNTIF(P$7:P1677,"应收"),"")</f>
      </c>
      <c r="R1677" s="78">
        <f>IF(P1677="应付",COUNTIF(P$7:P1677,"应付"),"")</f>
      </c>
      <c r="S1677" s="78">
        <f>N(F1677)-N(G1677)</f>
        <v>0</v>
      </c>
    </row>
    <row r="1678">
      <c r="A1678" s="109">
        <f>IF(AND(F1678="",G1678=""),"",ROW()-6)</f>
      </c>
      <c r="B1678" s="140" t="n"/>
      <c r="C1678" s="141" t="n"/>
      <c r="D1678" s="141" t="n"/>
      <c r="E1678" s="142" t="n"/>
      <c r="F1678" s="143" t="n"/>
      <c r="G1678" s="144" t="n"/>
      <c r="H1678" s="145">
        <f>IF(OR(C1678="",AND(F1678="",G1678="")),"",SUMIF(基础资料!$W$5:$W$24,C1678,基础资料!$X$5:$X$24)+SUMIF(C$7:C1678,C1678,F$7:F1678)-SUMIF(C$7:C1678,C1678,G$7:G1678))</f>
      </c>
      <c r="I1678" s="145">
        <f>IF(AND(F1678="",G1678=""),"",SUM(基础资料!$X$5:$X$24)+SUM(F$7:F1678)-SUM(G$7:G1678))</f>
      </c>
      <c r="J1678" s="141" t="n"/>
      <c r="K1678" s="141" t="n"/>
      <c r="L1678" s="141" t="n"/>
      <c r="M1678" s="142" t="n"/>
      <c r="N1678" s="146">
        <f>IF(AND(AND(F1678="",G1678=""),B1678="",C1678="",D1678="",J1678="",K1678="",L1678=""),"",IF(AND(F1678="",G1678=""),"✗ 没填金额",IF(AND(N(F1678)&lt;&gt;0,N(G1678)&lt;&gt;0),"✗ 收入、支出只能填一边",IF(NOT(ISNUMBER(B1678)),"✗ 日期不是真日期（要像 2026/9/25 这样填）",IF(OR(B1678&lt;年初日,B1678&gt;年末日),"✗ 日期不在本会计年度",IF(C1678="","✗ 没选账户",IF(COUNTIF(基础资料!$W$5:$W$24,C1678)=0,"✗ 账户不在基础资料里",IF(O1678="","✗ 没选收支项目",IF(P1678="未知","✗ 收支项目不在基础资料里",IF(AND(P1678="应收",J1678=""),"✗ 这笔要选客户",IF(AND(P1678="应收",COUNTIF(总览汇总!$B$5:$B$304,J1678)=0),"✗ 客户不在总览汇总名单里",IF(AND(P1678="应付",K1678=""),"✗ 这笔要选供应商",IF(AND(P1678="应付",COUNTIF(基础资料!$Q$5:$Q$54,K1678)=0),"✗ 供应商不在基础资料里",IF(AND(P1678="费用",L1678=""),"✗ 费用支出要选费用项目",IF(AND(L1678&lt;&gt;"",COUNTIF(基础资料!$AI$5:$AI$54,L1678)=0),"✗ 费用项目不在基础资料里",IF(AND(IFERROR(INDEX(基础资料!$AD$5:$AD$34,MATCH(O1678,基础资料!$AC$5:$AC$34,0)),"")="收",N(G1678)&lt;&gt;0),"✗ 这类是收款，金额填到收入列",IF(AND(IFERROR(INDEX(基础资料!$AD$5:$AD$34,MATCH(O1678,基础资料!$AC$5:$AC$34,0)),"")="支",N(F1678)&lt;&gt;0),"✗ 这类是付款，金额填到支出列",IF(N(H1678)&lt;0,"⚠ 账户余额成负数了，核对一下","√"))))))))))))))))))</f>
      </c>
      <c r="O1678" s="78">
        <f>IF(D1678&lt;&gt;"",D1678,IF(AND(F1678="",G1678=""),"",IF(J1678&lt;&gt;"",IF(N(F1678)&gt;0,"客户回款","客户退款"),IF(K1678&lt;&gt;"",IF(N(G1678)&gt;0,"供应商付款","供应商退款"),IF(L1678&lt;&gt;"","费用支出","")))))</f>
      </c>
      <c r="P1678" s="78">
        <f>IF(O1678="","",IFERROR(INDEX(基础资料!$AE$5:$AE$34,MATCH(O1678,基础资料!$AC$5:$AC$34,0)),"未知"))</f>
      </c>
      <c r="Q1678" s="78">
        <f>IF(P1678="应收",COUNTIF(P$7:P1678,"应收"),"")</f>
      </c>
      <c r="R1678" s="78">
        <f>IF(P1678="应付",COUNTIF(P$7:P1678,"应付"),"")</f>
      </c>
      <c r="S1678" s="78">
        <f>N(F1678)-N(G1678)</f>
        <v>0</v>
      </c>
    </row>
    <row r="1679">
      <c r="A1679" s="109">
        <f>IF(AND(F1679="",G1679=""),"",ROW()-6)</f>
      </c>
      <c r="B1679" s="140" t="n"/>
      <c r="C1679" s="141" t="n"/>
      <c r="D1679" s="141" t="n"/>
      <c r="E1679" s="142" t="n"/>
      <c r="F1679" s="143" t="n"/>
      <c r="G1679" s="144" t="n"/>
      <c r="H1679" s="145">
        <f>IF(OR(C1679="",AND(F1679="",G1679="")),"",SUMIF(基础资料!$W$5:$W$24,C1679,基础资料!$X$5:$X$24)+SUMIF(C$7:C1679,C1679,F$7:F1679)-SUMIF(C$7:C1679,C1679,G$7:G1679))</f>
      </c>
      <c r="I1679" s="145">
        <f>IF(AND(F1679="",G1679=""),"",SUM(基础资料!$X$5:$X$24)+SUM(F$7:F1679)-SUM(G$7:G1679))</f>
      </c>
      <c r="J1679" s="141" t="n"/>
      <c r="K1679" s="141" t="n"/>
      <c r="L1679" s="141" t="n"/>
      <c r="M1679" s="142" t="n"/>
      <c r="N1679" s="146">
        <f>IF(AND(AND(F1679="",G1679=""),B1679="",C1679="",D1679="",J1679="",K1679="",L1679=""),"",IF(AND(F1679="",G1679=""),"✗ 没填金额",IF(AND(N(F1679)&lt;&gt;0,N(G1679)&lt;&gt;0),"✗ 收入、支出只能填一边",IF(NOT(ISNUMBER(B1679)),"✗ 日期不是真日期（要像 2026/9/25 这样填）",IF(OR(B1679&lt;年初日,B1679&gt;年末日),"✗ 日期不在本会计年度",IF(C1679="","✗ 没选账户",IF(COUNTIF(基础资料!$W$5:$W$24,C1679)=0,"✗ 账户不在基础资料里",IF(O1679="","✗ 没选收支项目",IF(P1679="未知","✗ 收支项目不在基础资料里",IF(AND(P1679="应收",J1679=""),"✗ 这笔要选客户",IF(AND(P1679="应收",COUNTIF(总览汇总!$B$5:$B$304,J1679)=0),"✗ 客户不在总览汇总名单里",IF(AND(P1679="应付",K1679=""),"✗ 这笔要选供应商",IF(AND(P1679="应付",COUNTIF(基础资料!$Q$5:$Q$54,K1679)=0),"✗ 供应商不在基础资料里",IF(AND(P1679="费用",L1679=""),"✗ 费用支出要选费用项目",IF(AND(L1679&lt;&gt;"",COUNTIF(基础资料!$AI$5:$AI$54,L1679)=0),"✗ 费用项目不在基础资料里",IF(AND(IFERROR(INDEX(基础资料!$AD$5:$AD$34,MATCH(O1679,基础资料!$AC$5:$AC$34,0)),"")="收",N(G1679)&lt;&gt;0),"✗ 这类是收款，金额填到收入列",IF(AND(IFERROR(INDEX(基础资料!$AD$5:$AD$34,MATCH(O1679,基础资料!$AC$5:$AC$34,0)),"")="支",N(F1679)&lt;&gt;0),"✗ 这类是付款，金额填到支出列",IF(N(H1679)&lt;0,"⚠ 账户余额成负数了，核对一下","√"))))))))))))))))))</f>
      </c>
      <c r="O1679" s="78">
        <f>IF(D1679&lt;&gt;"",D1679,IF(AND(F1679="",G1679=""),"",IF(J1679&lt;&gt;"",IF(N(F1679)&gt;0,"客户回款","客户退款"),IF(K1679&lt;&gt;"",IF(N(G1679)&gt;0,"供应商付款","供应商退款"),IF(L1679&lt;&gt;"","费用支出","")))))</f>
      </c>
      <c r="P1679" s="78">
        <f>IF(O1679="","",IFERROR(INDEX(基础资料!$AE$5:$AE$34,MATCH(O1679,基础资料!$AC$5:$AC$34,0)),"未知"))</f>
      </c>
      <c r="Q1679" s="78">
        <f>IF(P1679="应收",COUNTIF(P$7:P1679,"应收"),"")</f>
      </c>
      <c r="R1679" s="78">
        <f>IF(P1679="应付",COUNTIF(P$7:P1679,"应付"),"")</f>
      </c>
      <c r="S1679" s="78">
        <f>N(F1679)-N(G1679)</f>
        <v>0</v>
      </c>
    </row>
    <row r="1680">
      <c r="A1680" s="109">
        <f>IF(AND(F1680="",G1680=""),"",ROW()-6)</f>
      </c>
      <c r="B1680" s="140" t="n"/>
      <c r="C1680" s="141" t="n"/>
      <c r="D1680" s="141" t="n"/>
      <c r="E1680" s="142" t="n"/>
      <c r="F1680" s="143" t="n"/>
      <c r="G1680" s="144" t="n"/>
      <c r="H1680" s="145">
        <f>IF(OR(C1680="",AND(F1680="",G1680="")),"",SUMIF(基础资料!$W$5:$W$24,C1680,基础资料!$X$5:$X$24)+SUMIF(C$7:C1680,C1680,F$7:F1680)-SUMIF(C$7:C1680,C1680,G$7:G1680))</f>
      </c>
      <c r="I1680" s="145">
        <f>IF(AND(F1680="",G1680=""),"",SUM(基础资料!$X$5:$X$24)+SUM(F$7:F1680)-SUM(G$7:G1680))</f>
      </c>
      <c r="J1680" s="141" t="n"/>
      <c r="K1680" s="141" t="n"/>
      <c r="L1680" s="141" t="n"/>
      <c r="M1680" s="142" t="n"/>
      <c r="N1680" s="146">
        <f>IF(AND(AND(F1680="",G1680=""),B1680="",C1680="",D1680="",J1680="",K1680="",L1680=""),"",IF(AND(F1680="",G1680=""),"✗ 没填金额",IF(AND(N(F1680)&lt;&gt;0,N(G1680)&lt;&gt;0),"✗ 收入、支出只能填一边",IF(NOT(ISNUMBER(B1680)),"✗ 日期不是真日期（要像 2026/9/25 这样填）",IF(OR(B1680&lt;年初日,B1680&gt;年末日),"✗ 日期不在本会计年度",IF(C1680="","✗ 没选账户",IF(COUNTIF(基础资料!$W$5:$W$24,C1680)=0,"✗ 账户不在基础资料里",IF(O1680="","✗ 没选收支项目",IF(P1680="未知","✗ 收支项目不在基础资料里",IF(AND(P1680="应收",J1680=""),"✗ 这笔要选客户",IF(AND(P1680="应收",COUNTIF(总览汇总!$B$5:$B$304,J1680)=0),"✗ 客户不在总览汇总名单里",IF(AND(P1680="应付",K1680=""),"✗ 这笔要选供应商",IF(AND(P1680="应付",COUNTIF(基础资料!$Q$5:$Q$54,K1680)=0),"✗ 供应商不在基础资料里",IF(AND(P1680="费用",L1680=""),"✗ 费用支出要选费用项目",IF(AND(L1680&lt;&gt;"",COUNTIF(基础资料!$AI$5:$AI$54,L1680)=0),"✗ 费用项目不在基础资料里",IF(AND(IFERROR(INDEX(基础资料!$AD$5:$AD$34,MATCH(O1680,基础资料!$AC$5:$AC$34,0)),"")="收",N(G1680)&lt;&gt;0),"✗ 这类是收款，金额填到收入列",IF(AND(IFERROR(INDEX(基础资料!$AD$5:$AD$34,MATCH(O1680,基础资料!$AC$5:$AC$34,0)),"")="支",N(F1680)&lt;&gt;0),"✗ 这类是付款，金额填到支出列",IF(N(H1680)&lt;0,"⚠ 账户余额成负数了，核对一下","√"))))))))))))))))))</f>
      </c>
      <c r="O1680" s="78">
        <f>IF(D1680&lt;&gt;"",D1680,IF(AND(F1680="",G1680=""),"",IF(J1680&lt;&gt;"",IF(N(F1680)&gt;0,"客户回款","客户退款"),IF(K1680&lt;&gt;"",IF(N(G1680)&gt;0,"供应商付款","供应商退款"),IF(L1680&lt;&gt;"","费用支出","")))))</f>
      </c>
      <c r="P1680" s="78">
        <f>IF(O1680="","",IFERROR(INDEX(基础资料!$AE$5:$AE$34,MATCH(O1680,基础资料!$AC$5:$AC$34,0)),"未知"))</f>
      </c>
      <c r="Q1680" s="78">
        <f>IF(P1680="应收",COUNTIF(P$7:P1680,"应收"),"")</f>
      </c>
      <c r="R1680" s="78">
        <f>IF(P1680="应付",COUNTIF(P$7:P1680,"应付"),"")</f>
      </c>
      <c r="S1680" s="78">
        <f>N(F1680)-N(G1680)</f>
        <v>0</v>
      </c>
    </row>
    <row r="1681">
      <c r="A1681" s="109">
        <f>IF(AND(F1681="",G1681=""),"",ROW()-6)</f>
      </c>
      <c r="B1681" s="140" t="n"/>
      <c r="C1681" s="141" t="n"/>
      <c r="D1681" s="141" t="n"/>
      <c r="E1681" s="142" t="n"/>
      <c r="F1681" s="143" t="n"/>
      <c r="G1681" s="144" t="n"/>
      <c r="H1681" s="145">
        <f>IF(OR(C1681="",AND(F1681="",G1681="")),"",SUMIF(基础资料!$W$5:$W$24,C1681,基础资料!$X$5:$X$24)+SUMIF(C$7:C1681,C1681,F$7:F1681)-SUMIF(C$7:C1681,C1681,G$7:G1681))</f>
      </c>
      <c r="I1681" s="145">
        <f>IF(AND(F1681="",G1681=""),"",SUM(基础资料!$X$5:$X$24)+SUM(F$7:F1681)-SUM(G$7:G1681))</f>
      </c>
      <c r="J1681" s="141" t="n"/>
      <c r="K1681" s="141" t="n"/>
      <c r="L1681" s="141" t="n"/>
      <c r="M1681" s="142" t="n"/>
      <c r="N1681" s="146">
        <f>IF(AND(AND(F1681="",G1681=""),B1681="",C1681="",D1681="",J1681="",K1681="",L1681=""),"",IF(AND(F1681="",G1681=""),"✗ 没填金额",IF(AND(N(F1681)&lt;&gt;0,N(G1681)&lt;&gt;0),"✗ 收入、支出只能填一边",IF(NOT(ISNUMBER(B1681)),"✗ 日期不是真日期（要像 2026/9/25 这样填）",IF(OR(B1681&lt;年初日,B1681&gt;年末日),"✗ 日期不在本会计年度",IF(C1681="","✗ 没选账户",IF(COUNTIF(基础资料!$W$5:$W$24,C1681)=0,"✗ 账户不在基础资料里",IF(O1681="","✗ 没选收支项目",IF(P1681="未知","✗ 收支项目不在基础资料里",IF(AND(P1681="应收",J1681=""),"✗ 这笔要选客户",IF(AND(P1681="应收",COUNTIF(总览汇总!$B$5:$B$304,J1681)=0),"✗ 客户不在总览汇总名单里",IF(AND(P1681="应付",K1681=""),"✗ 这笔要选供应商",IF(AND(P1681="应付",COUNTIF(基础资料!$Q$5:$Q$54,K1681)=0),"✗ 供应商不在基础资料里",IF(AND(P1681="费用",L1681=""),"✗ 费用支出要选费用项目",IF(AND(L1681&lt;&gt;"",COUNTIF(基础资料!$AI$5:$AI$54,L1681)=0),"✗ 费用项目不在基础资料里",IF(AND(IFERROR(INDEX(基础资料!$AD$5:$AD$34,MATCH(O1681,基础资料!$AC$5:$AC$34,0)),"")="收",N(G1681)&lt;&gt;0),"✗ 这类是收款，金额填到收入列",IF(AND(IFERROR(INDEX(基础资料!$AD$5:$AD$34,MATCH(O1681,基础资料!$AC$5:$AC$34,0)),"")="支",N(F1681)&lt;&gt;0),"✗ 这类是付款，金额填到支出列",IF(N(H1681)&lt;0,"⚠ 账户余额成负数了，核对一下","√"))))))))))))))))))</f>
      </c>
      <c r="O1681" s="78">
        <f>IF(D1681&lt;&gt;"",D1681,IF(AND(F1681="",G1681=""),"",IF(J1681&lt;&gt;"",IF(N(F1681)&gt;0,"客户回款","客户退款"),IF(K1681&lt;&gt;"",IF(N(G1681)&gt;0,"供应商付款","供应商退款"),IF(L1681&lt;&gt;"","费用支出","")))))</f>
      </c>
      <c r="P1681" s="78">
        <f>IF(O1681="","",IFERROR(INDEX(基础资料!$AE$5:$AE$34,MATCH(O1681,基础资料!$AC$5:$AC$34,0)),"未知"))</f>
      </c>
      <c r="Q1681" s="78">
        <f>IF(P1681="应收",COUNTIF(P$7:P1681,"应收"),"")</f>
      </c>
      <c r="R1681" s="78">
        <f>IF(P1681="应付",COUNTIF(P$7:P1681,"应付"),"")</f>
      </c>
      <c r="S1681" s="78">
        <f>N(F1681)-N(G1681)</f>
        <v>0</v>
      </c>
    </row>
    <row r="1682">
      <c r="A1682" s="109">
        <f>IF(AND(F1682="",G1682=""),"",ROW()-6)</f>
      </c>
      <c r="B1682" s="140" t="n"/>
      <c r="C1682" s="141" t="n"/>
      <c r="D1682" s="141" t="n"/>
      <c r="E1682" s="142" t="n"/>
      <c r="F1682" s="143" t="n"/>
      <c r="G1682" s="144" t="n"/>
      <c r="H1682" s="145">
        <f>IF(OR(C1682="",AND(F1682="",G1682="")),"",SUMIF(基础资料!$W$5:$W$24,C1682,基础资料!$X$5:$X$24)+SUMIF(C$7:C1682,C1682,F$7:F1682)-SUMIF(C$7:C1682,C1682,G$7:G1682))</f>
      </c>
      <c r="I1682" s="145">
        <f>IF(AND(F1682="",G1682=""),"",SUM(基础资料!$X$5:$X$24)+SUM(F$7:F1682)-SUM(G$7:G1682))</f>
      </c>
      <c r="J1682" s="141" t="n"/>
      <c r="K1682" s="141" t="n"/>
      <c r="L1682" s="141" t="n"/>
      <c r="M1682" s="142" t="n"/>
      <c r="N1682" s="146">
        <f>IF(AND(AND(F1682="",G1682=""),B1682="",C1682="",D1682="",J1682="",K1682="",L1682=""),"",IF(AND(F1682="",G1682=""),"✗ 没填金额",IF(AND(N(F1682)&lt;&gt;0,N(G1682)&lt;&gt;0),"✗ 收入、支出只能填一边",IF(NOT(ISNUMBER(B1682)),"✗ 日期不是真日期（要像 2026/9/25 这样填）",IF(OR(B1682&lt;年初日,B1682&gt;年末日),"✗ 日期不在本会计年度",IF(C1682="","✗ 没选账户",IF(COUNTIF(基础资料!$W$5:$W$24,C1682)=0,"✗ 账户不在基础资料里",IF(O1682="","✗ 没选收支项目",IF(P1682="未知","✗ 收支项目不在基础资料里",IF(AND(P1682="应收",J1682=""),"✗ 这笔要选客户",IF(AND(P1682="应收",COUNTIF(总览汇总!$B$5:$B$304,J1682)=0),"✗ 客户不在总览汇总名单里",IF(AND(P1682="应付",K1682=""),"✗ 这笔要选供应商",IF(AND(P1682="应付",COUNTIF(基础资料!$Q$5:$Q$54,K1682)=0),"✗ 供应商不在基础资料里",IF(AND(P1682="费用",L1682=""),"✗ 费用支出要选费用项目",IF(AND(L1682&lt;&gt;"",COUNTIF(基础资料!$AI$5:$AI$54,L1682)=0),"✗ 费用项目不在基础资料里",IF(AND(IFERROR(INDEX(基础资料!$AD$5:$AD$34,MATCH(O1682,基础资料!$AC$5:$AC$34,0)),"")="收",N(G1682)&lt;&gt;0),"✗ 这类是收款，金额填到收入列",IF(AND(IFERROR(INDEX(基础资料!$AD$5:$AD$34,MATCH(O1682,基础资料!$AC$5:$AC$34,0)),"")="支",N(F1682)&lt;&gt;0),"✗ 这类是付款，金额填到支出列",IF(N(H1682)&lt;0,"⚠ 账户余额成负数了，核对一下","√"))))))))))))))))))</f>
      </c>
      <c r="O1682" s="78">
        <f>IF(D1682&lt;&gt;"",D1682,IF(AND(F1682="",G1682=""),"",IF(J1682&lt;&gt;"",IF(N(F1682)&gt;0,"客户回款","客户退款"),IF(K1682&lt;&gt;"",IF(N(G1682)&gt;0,"供应商付款","供应商退款"),IF(L1682&lt;&gt;"","费用支出","")))))</f>
      </c>
      <c r="P1682" s="78">
        <f>IF(O1682="","",IFERROR(INDEX(基础资料!$AE$5:$AE$34,MATCH(O1682,基础资料!$AC$5:$AC$34,0)),"未知"))</f>
      </c>
      <c r="Q1682" s="78">
        <f>IF(P1682="应收",COUNTIF(P$7:P1682,"应收"),"")</f>
      </c>
      <c r="R1682" s="78">
        <f>IF(P1682="应付",COUNTIF(P$7:P1682,"应付"),"")</f>
      </c>
      <c r="S1682" s="78">
        <f>N(F1682)-N(G1682)</f>
        <v>0</v>
      </c>
    </row>
    <row r="1683">
      <c r="A1683" s="109">
        <f>IF(AND(F1683="",G1683=""),"",ROW()-6)</f>
      </c>
      <c r="B1683" s="140" t="n"/>
      <c r="C1683" s="141" t="n"/>
      <c r="D1683" s="141" t="n"/>
      <c r="E1683" s="142" t="n"/>
      <c r="F1683" s="143" t="n"/>
      <c r="G1683" s="144" t="n"/>
      <c r="H1683" s="145">
        <f>IF(OR(C1683="",AND(F1683="",G1683="")),"",SUMIF(基础资料!$W$5:$W$24,C1683,基础资料!$X$5:$X$24)+SUMIF(C$7:C1683,C1683,F$7:F1683)-SUMIF(C$7:C1683,C1683,G$7:G1683))</f>
      </c>
      <c r="I1683" s="145">
        <f>IF(AND(F1683="",G1683=""),"",SUM(基础资料!$X$5:$X$24)+SUM(F$7:F1683)-SUM(G$7:G1683))</f>
      </c>
      <c r="J1683" s="141" t="n"/>
      <c r="K1683" s="141" t="n"/>
      <c r="L1683" s="141" t="n"/>
      <c r="M1683" s="142" t="n"/>
      <c r="N1683" s="146">
        <f>IF(AND(AND(F1683="",G1683=""),B1683="",C1683="",D1683="",J1683="",K1683="",L1683=""),"",IF(AND(F1683="",G1683=""),"✗ 没填金额",IF(AND(N(F1683)&lt;&gt;0,N(G1683)&lt;&gt;0),"✗ 收入、支出只能填一边",IF(NOT(ISNUMBER(B1683)),"✗ 日期不是真日期（要像 2026/9/25 这样填）",IF(OR(B1683&lt;年初日,B1683&gt;年末日),"✗ 日期不在本会计年度",IF(C1683="","✗ 没选账户",IF(COUNTIF(基础资料!$W$5:$W$24,C1683)=0,"✗ 账户不在基础资料里",IF(O1683="","✗ 没选收支项目",IF(P1683="未知","✗ 收支项目不在基础资料里",IF(AND(P1683="应收",J1683=""),"✗ 这笔要选客户",IF(AND(P1683="应收",COUNTIF(总览汇总!$B$5:$B$304,J1683)=0),"✗ 客户不在总览汇总名单里",IF(AND(P1683="应付",K1683=""),"✗ 这笔要选供应商",IF(AND(P1683="应付",COUNTIF(基础资料!$Q$5:$Q$54,K1683)=0),"✗ 供应商不在基础资料里",IF(AND(P1683="费用",L1683=""),"✗ 费用支出要选费用项目",IF(AND(L1683&lt;&gt;"",COUNTIF(基础资料!$AI$5:$AI$54,L1683)=0),"✗ 费用项目不在基础资料里",IF(AND(IFERROR(INDEX(基础资料!$AD$5:$AD$34,MATCH(O1683,基础资料!$AC$5:$AC$34,0)),"")="收",N(G1683)&lt;&gt;0),"✗ 这类是收款，金额填到收入列",IF(AND(IFERROR(INDEX(基础资料!$AD$5:$AD$34,MATCH(O1683,基础资料!$AC$5:$AC$34,0)),"")="支",N(F1683)&lt;&gt;0),"✗ 这类是付款，金额填到支出列",IF(N(H1683)&lt;0,"⚠ 账户余额成负数了，核对一下","√"))))))))))))))))))</f>
      </c>
      <c r="O1683" s="78">
        <f>IF(D1683&lt;&gt;"",D1683,IF(AND(F1683="",G1683=""),"",IF(J1683&lt;&gt;"",IF(N(F1683)&gt;0,"客户回款","客户退款"),IF(K1683&lt;&gt;"",IF(N(G1683)&gt;0,"供应商付款","供应商退款"),IF(L1683&lt;&gt;"","费用支出","")))))</f>
      </c>
      <c r="P1683" s="78">
        <f>IF(O1683="","",IFERROR(INDEX(基础资料!$AE$5:$AE$34,MATCH(O1683,基础资料!$AC$5:$AC$34,0)),"未知"))</f>
      </c>
      <c r="Q1683" s="78">
        <f>IF(P1683="应收",COUNTIF(P$7:P1683,"应收"),"")</f>
      </c>
      <c r="R1683" s="78">
        <f>IF(P1683="应付",COUNTIF(P$7:P1683,"应付"),"")</f>
      </c>
      <c r="S1683" s="78">
        <f>N(F1683)-N(G1683)</f>
        <v>0</v>
      </c>
    </row>
    <row r="1684">
      <c r="A1684" s="109">
        <f>IF(AND(F1684="",G1684=""),"",ROW()-6)</f>
      </c>
      <c r="B1684" s="140" t="n"/>
      <c r="C1684" s="141" t="n"/>
      <c r="D1684" s="141" t="n"/>
      <c r="E1684" s="142" t="n"/>
      <c r="F1684" s="143" t="n"/>
      <c r="G1684" s="144" t="n"/>
      <c r="H1684" s="145">
        <f>IF(OR(C1684="",AND(F1684="",G1684="")),"",SUMIF(基础资料!$W$5:$W$24,C1684,基础资料!$X$5:$X$24)+SUMIF(C$7:C1684,C1684,F$7:F1684)-SUMIF(C$7:C1684,C1684,G$7:G1684))</f>
      </c>
      <c r="I1684" s="145">
        <f>IF(AND(F1684="",G1684=""),"",SUM(基础资料!$X$5:$X$24)+SUM(F$7:F1684)-SUM(G$7:G1684))</f>
      </c>
      <c r="J1684" s="141" t="n"/>
      <c r="K1684" s="141" t="n"/>
      <c r="L1684" s="141" t="n"/>
      <c r="M1684" s="142" t="n"/>
      <c r="N1684" s="146">
        <f>IF(AND(AND(F1684="",G1684=""),B1684="",C1684="",D1684="",J1684="",K1684="",L1684=""),"",IF(AND(F1684="",G1684=""),"✗ 没填金额",IF(AND(N(F1684)&lt;&gt;0,N(G1684)&lt;&gt;0),"✗ 收入、支出只能填一边",IF(NOT(ISNUMBER(B1684)),"✗ 日期不是真日期（要像 2026/9/25 这样填）",IF(OR(B1684&lt;年初日,B1684&gt;年末日),"✗ 日期不在本会计年度",IF(C1684="","✗ 没选账户",IF(COUNTIF(基础资料!$W$5:$W$24,C1684)=0,"✗ 账户不在基础资料里",IF(O1684="","✗ 没选收支项目",IF(P1684="未知","✗ 收支项目不在基础资料里",IF(AND(P1684="应收",J1684=""),"✗ 这笔要选客户",IF(AND(P1684="应收",COUNTIF(总览汇总!$B$5:$B$304,J1684)=0),"✗ 客户不在总览汇总名单里",IF(AND(P1684="应付",K1684=""),"✗ 这笔要选供应商",IF(AND(P1684="应付",COUNTIF(基础资料!$Q$5:$Q$54,K1684)=0),"✗ 供应商不在基础资料里",IF(AND(P1684="费用",L1684=""),"✗ 费用支出要选费用项目",IF(AND(L1684&lt;&gt;"",COUNTIF(基础资料!$AI$5:$AI$54,L1684)=0),"✗ 费用项目不在基础资料里",IF(AND(IFERROR(INDEX(基础资料!$AD$5:$AD$34,MATCH(O1684,基础资料!$AC$5:$AC$34,0)),"")="收",N(G1684)&lt;&gt;0),"✗ 这类是收款，金额填到收入列",IF(AND(IFERROR(INDEX(基础资料!$AD$5:$AD$34,MATCH(O1684,基础资料!$AC$5:$AC$34,0)),"")="支",N(F1684)&lt;&gt;0),"✗ 这类是付款，金额填到支出列",IF(N(H1684)&lt;0,"⚠ 账户余额成负数了，核对一下","√"))))))))))))))))))</f>
      </c>
      <c r="O1684" s="78">
        <f>IF(D1684&lt;&gt;"",D1684,IF(AND(F1684="",G1684=""),"",IF(J1684&lt;&gt;"",IF(N(F1684)&gt;0,"客户回款","客户退款"),IF(K1684&lt;&gt;"",IF(N(G1684)&gt;0,"供应商付款","供应商退款"),IF(L1684&lt;&gt;"","费用支出","")))))</f>
      </c>
      <c r="P1684" s="78">
        <f>IF(O1684="","",IFERROR(INDEX(基础资料!$AE$5:$AE$34,MATCH(O1684,基础资料!$AC$5:$AC$34,0)),"未知"))</f>
      </c>
      <c r="Q1684" s="78">
        <f>IF(P1684="应收",COUNTIF(P$7:P1684,"应收"),"")</f>
      </c>
      <c r="R1684" s="78">
        <f>IF(P1684="应付",COUNTIF(P$7:P1684,"应付"),"")</f>
      </c>
      <c r="S1684" s="78">
        <f>N(F1684)-N(G1684)</f>
        <v>0</v>
      </c>
    </row>
    <row r="1685">
      <c r="A1685" s="109">
        <f>IF(AND(F1685="",G1685=""),"",ROW()-6)</f>
      </c>
      <c r="B1685" s="140" t="n"/>
      <c r="C1685" s="141" t="n"/>
      <c r="D1685" s="141" t="n"/>
      <c r="E1685" s="142" t="n"/>
      <c r="F1685" s="143" t="n"/>
      <c r="G1685" s="144" t="n"/>
      <c r="H1685" s="145">
        <f>IF(OR(C1685="",AND(F1685="",G1685="")),"",SUMIF(基础资料!$W$5:$W$24,C1685,基础资料!$X$5:$X$24)+SUMIF(C$7:C1685,C1685,F$7:F1685)-SUMIF(C$7:C1685,C1685,G$7:G1685))</f>
      </c>
      <c r="I1685" s="145">
        <f>IF(AND(F1685="",G1685=""),"",SUM(基础资料!$X$5:$X$24)+SUM(F$7:F1685)-SUM(G$7:G1685))</f>
      </c>
      <c r="J1685" s="141" t="n"/>
      <c r="K1685" s="141" t="n"/>
      <c r="L1685" s="141" t="n"/>
      <c r="M1685" s="142" t="n"/>
      <c r="N1685" s="146">
        <f>IF(AND(AND(F1685="",G1685=""),B1685="",C1685="",D1685="",J1685="",K1685="",L1685=""),"",IF(AND(F1685="",G1685=""),"✗ 没填金额",IF(AND(N(F1685)&lt;&gt;0,N(G1685)&lt;&gt;0),"✗ 收入、支出只能填一边",IF(NOT(ISNUMBER(B1685)),"✗ 日期不是真日期（要像 2026/9/25 这样填）",IF(OR(B1685&lt;年初日,B1685&gt;年末日),"✗ 日期不在本会计年度",IF(C1685="","✗ 没选账户",IF(COUNTIF(基础资料!$W$5:$W$24,C1685)=0,"✗ 账户不在基础资料里",IF(O1685="","✗ 没选收支项目",IF(P1685="未知","✗ 收支项目不在基础资料里",IF(AND(P1685="应收",J1685=""),"✗ 这笔要选客户",IF(AND(P1685="应收",COUNTIF(总览汇总!$B$5:$B$304,J1685)=0),"✗ 客户不在总览汇总名单里",IF(AND(P1685="应付",K1685=""),"✗ 这笔要选供应商",IF(AND(P1685="应付",COUNTIF(基础资料!$Q$5:$Q$54,K1685)=0),"✗ 供应商不在基础资料里",IF(AND(P1685="费用",L1685=""),"✗ 费用支出要选费用项目",IF(AND(L1685&lt;&gt;"",COUNTIF(基础资料!$AI$5:$AI$54,L1685)=0),"✗ 费用项目不在基础资料里",IF(AND(IFERROR(INDEX(基础资料!$AD$5:$AD$34,MATCH(O1685,基础资料!$AC$5:$AC$34,0)),"")="收",N(G1685)&lt;&gt;0),"✗ 这类是收款，金额填到收入列",IF(AND(IFERROR(INDEX(基础资料!$AD$5:$AD$34,MATCH(O1685,基础资料!$AC$5:$AC$34,0)),"")="支",N(F1685)&lt;&gt;0),"✗ 这类是付款，金额填到支出列",IF(N(H1685)&lt;0,"⚠ 账户余额成负数了，核对一下","√"))))))))))))))))))</f>
      </c>
      <c r="O1685" s="78">
        <f>IF(D1685&lt;&gt;"",D1685,IF(AND(F1685="",G1685=""),"",IF(J1685&lt;&gt;"",IF(N(F1685)&gt;0,"客户回款","客户退款"),IF(K1685&lt;&gt;"",IF(N(G1685)&gt;0,"供应商付款","供应商退款"),IF(L1685&lt;&gt;"","费用支出","")))))</f>
      </c>
      <c r="P1685" s="78">
        <f>IF(O1685="","",IFERROR(INDEX(基础资料!$AE$5:$AE$34,MATCH(O1685,基础资料!$AC$5:$AC$34,0)),"未知"))</f>
      </c>
      <c r="Q1685" s="78">
        <f>IF(P1685="应收",COUNTIF(P$7:P1685,"应收"),"")</f>
      </c>
      <c r="R1685" s="78">
        <f>IF(P1685="应付",COUNTIF(P$7:P1685,"应付"),"")</f>
      </c>
      <c r="S1685" s="78">
        <f>N(F1685)-N(G1685)</f>
        <v>0</v>
      </c>
    </row>
    <row r="1686">
      <c r="A1686" s="109">
        <f>IF(AND(F1686="",G1686=""),"",ROW()-6)</f>
      </c>
      <c r="B1686" s="140" t="n"/>
      <c r="C1686" s="141" t="n"/>
      <c r="D1686" s="141" t="n"/>
      <c r="E1686" s="142" t="n"/>
      <c r="F1686" s="143" t="n"/>
      <c r="G1686" s="144" t="n"/>
      <c r="H1686" s="145">
        <f>IF(OR(C1686="",AND(F1686="",G1686="")),"",SUMIF(基础资料!$W$5:$W$24,C1686,基础资料!$X$5:$X$24)+SUMIF(C$7:C1686,C1686,F$7:F1686)-SUMIF(C$7:C1686,C1686,G$7:G1686))</f>
      </c>
      <c r="I1686" s="145">
        <f>IF(AND(F1686="",G1686=""),"",SUM(基础资料!$X$5:$X$24)+SUM(F$7:F1686)-SUM(G$7:G1686))</f>
      </c>
      <c r="J1686" s="141" t="n"/>
      <c r="K1686" s="141" t="n"/>
      <c r="L1686" s="141" t="n"/>
      <c r="M1686" s="142" t="n"/>
      <c r="N1686" s="146">
        <f>IF(AND(AND(F1686="",G1686=""),B1686="",C1686="",D1686="",J1686="",K1686="",L1686=""),"",IF(AND(F1686="",G1686=""),"✗ 没填金额",IF(AND(N(F1686)&lt;&gt;0,N(G1686)&lt;&gt;0),"✗ 收入、支出只能填一边",IF(NOT(ISNUMBER(B1686)),"✗ 日期不是真日期（要像 2026/9/25 这样填）",IF(OR(B1686&lt;年初日,B1686&gt;年末日),"✗ 日期不在本会计年度",IF(C1686="","✗ 没选账户",IF(COUNTIF(基础资料!$W$5:$W$24,C1686)=0,"✗ 账户不在基础资料里",IF(O1686="","✗ 没选收支项目",IF(P1686="未知","✗ 收支项目不在基础资料里",IF(AND(P1686="应收",J1686=""),"✗ 这笔要选客户",IF(AND(P1686="应收",COUNTIF(总览汇总!$B$5:$B$304,J1686)=0),"✗ 客户不在总览汇总名单里",IF(AND(P1686="应付",K1686=""),"✗ 这笔要选供应商",IF(AND(P1686="应付",COUNTIF(基础资料!$Q$5:$Q$54,K1686)=0),"✗ 供应商不在基础资料里",IF(AND(P1686="费用",L1686=""),"✗ 费用支出要选费用项目",IF(AND(L1686&lt;&gt;"",COUNTIF(基础资料!$AI$5:$AI$54,L1686)=0),"✗ 费用项目不在基础资料里",IF(AND(IFERROR(INDEX(基础资料!$AD$5:$AD$34,MATCH(O1686,基础资料!$AC$5:$AC$34,0)),"")="收",N(G1686)&lt;&gt;0),"✗ 这类是收款，金额填到收入列",IF(AND(IFERROR(INDEX(基础资料!$AD$5:$AD$34,MATCH(O1686,基础资料!$AC$5:$AC$34,0)),"")="支",N(F1686)&lt;&gt;0),"✗ 这类是付款，金额填到支出列",IF(N(H1686)&lt;0,"⚠ 账户余额成负数了，核对一下","√"))))))))))))))))))</f>
      </c>
      <c r="O1686" s="78">
        <f>IF(D1686&lt;&gt;"",D1686,IF(AND(F1686="",G1686=""),"",IF(J1686&lt;&gt;"",IF(N(F1686)&gt;0,"客户回款","客户退款"),IF(K1686&lt;&gt;"",IF(N(G1686)&gt;0,"供应商付款","供应商退款"),IF(L1686&lt;&gt;"","费用支出","")))))</f>
      </c>
      <c r="P1686" s="78">
        <f>IF(O1686="","",IFERROR(INDEX(基础资料!$AE$5:$AE$34,MATCH(O1686,基础资料!$AC$5:$AC$34,0)),"未知"))</f>
      </c>
      <c r="Q1686" s="78">
        <f>IF(P1686="应收",COUNTIF(P$7:P1686,"应收"),"")</f>
      </c>
      <c r="R1686" s="78">
        <f>IF(P1686="应付",COUNTIF(P$7:P1686,"应付"),"")</f>
      </c>
      <c r="S1686" s="78">
        <f>N(F1686)-N(G1686)</f>
        <v>0</v>
      </c>
    </row>
    <row r="1687">
      <c r="A1687" s="109">
        <f>IF(AND(F1687="",G1687=""),"",ROW()-6)</f>
      </c>
      <c r="B1687" s="140" t="n"/>
      <c r="C1687" s="141" t="n"/>
      <c r="D1687" s="141" t="n"/>
      <c r="E1687" s="142" t="n"/>
      <c r="F1687" s="143" t="n"/>
      <c r="G1687" s="144" t="n"/>
      <c r="H1687" s="145">
        <f>IF(OR(C1687="",AND(F1687="",G1687="")),"",SUMIF(基础资料!$W$5:$W$24,C1687,基础资料!$X$5:$X$24)+SUMIF(C$7:C1687,C1687,F$7:F1687)-SUMIF(C$7:C1687,C1687,G$7:G1687))</f>
      </c>
      <c r="I1687" s="145">
        <f>IF(AND(F1687="",G1687=""),"",SUM(基础资料!$X$5:$X$24)+SUM(F$7:F1687)-SUM(G$7:G1687))</f>
      </c>
      <c r="J1687" s="141" t="n"/>
      <c r="K1687" s="141" t="n"/>
      <c r="L1687" s="141" t="n"/>
      <c r="M1687" s="142" t="n"/>
      <c r="N1687" s="146">
        <f>IF(AND(AND(F1687="",G1687=""),B1687="",C1687="",D1687="",J1687="",K1687="",L1687=""),"",IF(AND(F1687="",G1687=""),"✗ 没填金额",IF(AND(N(F1687)&lt;&gt;0,N(G1687)&lt;&gt;0),"✗ 收入、支出只能填一边",IF(NOT(ISNUMBER(B1687)),"✗ 日期不是真日期（要像 2026/9/25 这样填）",IF(OR(B1687&lt;年初日,B1687&gt;年末日),"✗ 日期不在本会计年度",IF(C1687="","✗ 没选账户",IF(COUNTIF(基础资料!$W$5:$W$24,C1687)=0,"✗ 账户不在基础资料里",IF(O1687="","✗ 没选收支项目",IF(P1687="未知","✗ 收支项目不在基础资料里",IF(AND(P1687="应收",J1687=""),"✗ 这笔要选客户",IF(AND(P1687="应收",COUNTIF(总览汇总!$B$5:$B$304,J1687)=0),"✗ 客户不在总览汇总名单里",IF(AND(P1687="应付",K1687=""),"✗ 这笔要选供应商",IF(AND(P1687="应付",COUNTIF(基础资料!$Q$5:$Q$54,K1687)=0),"✗ 供应商不在基础资料里",IF(AND(P1687="费用",L1687=""),"✗ 费用支出要选费用项目",IF(AND(L1687&lt;&gt;"",COUNTIF(基础资料!$AI$5:$AI$54,L1687)=0),"✗ 费用项目不在基础资料里",IF(AND(IFERROR(INDEX(基础资料!$AD$5:$AD$34,MATCH(O1687,基础资料!$AC$5:$AC$34,0)),"")="收",N(G1687)&lt;&gt;0),"✗ 这类是收款，金额填到收入列",IF(AND(IFERROR(INDEX(基础资料!$AD$5:$AD$34,MATCH(O1687,基础资料!$AC$5:$AC$34,0)),"")="支",N(F1687)&lt;&gt;0),"✗ 这类是付款，金额填到支出列",IF(N(H1687)&lt;0,"⚠ 账户余额成负数了，核对一下","√"))))))))))))))))))</f>
      </c>
      <c r="O1687" s="78">
        <f>IF(D1687&lt;&gt;"",D1687,IF(AND(F1687="",G1687=""),"",IF(J1687&lt;&gt;"",IF(N(F1687)&gt;0,"客户回款","客户退款"),IF(K1687&lt;&gt;"",IF(N(G1687)&gt;0,"供应商付款","供应商退款"),IF(L1687&lt;&gt;"","费用支出","")))))</f>
      </c>
      <c r="P1687" s="78">
        <f>IF(O1687="","",IFERROR(INDEX(基础资料!$AE$5:$AE$34,MATCH(O1687,基础资料!$AC$5:$AC$34,0)),"未知"))</f>
      </c>
      <c r="Q1687" s="78">
        <f>IF(P1687="应收",COUNTIF(P$7:P1687,"应收"),"")</f>
      </c>
      <c r="R1687" s="78">
        <f>IF(P1687="应付",COUNTIF(P$7:P1687,"应付"),"")</f>
      </c>
      <c r="S1687" s="78">
        <f>N(F1687)-N(G1687)</f>
        <v>0</v>
      </c>
    </row>
    <row r="1688">
      <c r="A1688" s="109">
        <f>IF(AND(F1688="",G1688=""),"",ROW()-6)</f>
      </c>
      <c r="B1688" s="140" t="n"/>
      <c r="C1688" s="141" t="n"/>
      <c r="D1688" s="141" t="n"/>
      <c r="E1688" s="142" t="n"/>
      <c r="F1688" s="143" t="n"/>
      <c r="G1688" s="144" t="n"/>
      <c r="H1688" s="145">
        <f>IF(OR(C1688="",AND(F1688="",G1688="")),"",SUMIF(基础资料!$W$5:$W$24,C1688,基础资料!$X$5:$X$24)+SUMIF(C$7:C1688,C1688,F$7:F1688)-SUMIF(C$7:C1688,C1688,G$7:G1688))</f>
      </c>
      <c r="I1688" s="145">
        <f>IF(AND(F1688="",G1688=""),"",SUM(基础资料!$X$5:$X$24)+SUM(F$7:F1688)-SUM(G$7:G1688))</f>
      </c>
      <c r="J1688" s="141" t="n"/>
      <c r="K1688" s="141" t="n"/>
      <c r="L1688" s="141" t="n"/>
      <c r="M1688" s="142" t="n"/>
      <c r="N1688" s="146">
        <f>IF(AND(AND(F1688="",G1688=""),B1688="",C1688="",D1688="",J1688="",K1688="",L1688=""),"",IF(AND(F1688="",G1688=""),"✗ 没填金额",IF(AND(N(F1688)&lt;&gt;0,N(G1688)&lt;&gt;0),"✗ 收入、支出只能填一边",IF(NOT(ISNUMBER(B1688)),"✗ 日期不是真日期（要像 2026/9/25 这样填）",IF(OR(B1688&lt;年初日,B1688&gt;年末日),"✗ 日期不在本会计年度",IF(C1688="","✗ 没选账户",IF(COUNTIF(基础资料!$W$5:$W$24,C1688)=0,"✗ 账户不在基础资料里",IF(O1688="","✗ 没选收支项目",IF(P1688="未知","✗ 收支项目不在基础资料里",IF(AND(P1688="应收",J1688=""),"✗ 这笔要选客户",IF(AND(P1688="应收",COUNTIF(总览汇总!$B$5:$B$304,J1688)=0),"✗ 客户不在总览汇总名单里",IF(AND(P1688="应付",K1688=""),"✗ 这笔要选供应商",IF(AND(P1688="应付",COUNTIF(基础资料!$Q$5:$Q$54,K1688)=0),"✗ 供应商不在基础资料里",IF(AND(P1688="费用",L1688=""),"✗ 费用支出要选费用项目",IF(AND(L1688&lt;&gt;"",COUNTIF(基础资料!$AI$5:$AI$54,L1688)=0),"✗ 费用项目不在基础资料里",IF(AND(IFERROR(INDEX(基础资料!$AD$5:$AD$34,MATCH(O1688,基础资料!$AC$5:$AC$34,0)),"")="收",N(G1688)&lt;&gt;0),"✗ 这类是收款，金额填到收入列",IF(AND(IFERROR(INDEX(基础资料!$AD$5:$AD$34,MATCH(O1688,基础资料!$AC$5:$AC$34,0)),"")="支",N(F1688)&lt;&gt;0),"✗ 这类是付款，金额填到支出列",IF(N(H1688)&lt;0,"⚠ 账户余额成负数了，核对一下","√"))))))))))))))))))</f>
      </c>
      <c r="O1688" s="78">
        <f>IF(D1688&lt;&gt;"",D1688,IF(AND(F1688="",G1688=""),"",IF(J1688&lt;&gt;"",IF(N(F1688)&gt;0,"客户回款","客户退款"),IF(K1688&lt;&gt;"",IF(N(G1688)&gt;0,"供应商付款","供应商退款"),IF(L1688&lt;&gt;"","费用支出","")))))</f>
      </c>
      <c r="P1688" s="78">
        <f>IF(O1688="","",IFERROR(INDEX(基础资料!$AE$5:$AE$34,MATCH(O1688,基础资料!$AC$5:$AC$34,0)),"未知"))</f>
      </c>
      <c r="Q1688" s="78">
        <f>IF(P1688="应收",COUNTIF(P$7:P1688,"应收"),"")</f>
      </c>
      <c r="R1688" s="78">
        <f>IF(P1688="应付",COUNTIF(P$7:P1688,"应付"),"")</f>
      </c>
      <c r="S1688" s="78">
        <f>N(F1688)-N(G1688)</f>
        <v>0</v>
      </c>
    </row>
    <row r="1689">
      <c r="A1689" s="109">
        <f>IF(AND(F1689="",G1689=""),"",ROW()-6)</f>
      </c>
      <c r="B1689" s="140" t="n"/>
      <c r="C1689" s="141" t="n"/>
      <c r="D1689" s="141" t="n"/>
      <c r="E1689" s="142" t="n"/>
      <c r="F1689" s="143" t="n"/>
      <c r="G1689" s="144" t="n"/>
      <c r="H1689" s="145">
        <f>IF(OR(C1689="",AND(F1689="",G1689="")),"",SUMIF(基础资料!$W$5:$W$24,C1689,基础资料!$X$5:$X$24)+SUMIF(C$7:C1689,C1689,F$7:F1689)-SUMIF(C$7:C1689,C1689,G$7:G1689))</f>
      </c>
      <c r="I1689" s="145">
        <f>IF(AND(F1689="",G1689=""),"",SUM(基础资料!$X$5:$X$24)+SUM(F$7:F1689)-SUM(G$7:G1689))</f>
      </c>
      <c r="J1689" s="141" t="n"/>
      <c r="K1689" s="141" t="n"/>
      <c r="L1689" s="141" t="n"/>
      <c r="M1689" s="142" t="n"/>
      <c r="N1689" s="146">
        <f>IF(AND(AND(F1689="",G1689=""),B1689="",C1689="",D1689="",J1689="",K1689="",L1689=""),"",IF(AND(F1689="",G1689=""),"✗ 没填金额",IF(AND(N(F1689)&lt;&gt;0,N(G1689)&lt;&gt;0),"✗ 收入、支出只能填一边",IF(NOT(ISNUMBER(B1689)),"✗ 日期不是真日期（要像 2026/9/25 这样填）",IF(OR(B1689&lt;年初日,B1689&gt;年末日),"✗ 日期不在本会计年度",IF(C1689="","✗ 没选账户",IF(COUNTIF(基础资料!$W$5:$W$24,C1689)=0,"✗ 账户不在基础资料里",IF(O1689="","✗ 没选收支项目",IF(P1689="未知","✗ 收支项目不在基础资料里",IF(AND(P1689="应收",J1689=""),"✗ 这笔要选客户",IF(AND(P1689="应收",COUNTIF(总览汇总!$B$5:$B$304,J1689)=0),"✗ 客户不在总览汇总名单里",IF(AND(P1689="应付",K1689=""),"✗ 这笔要选供应商",IF(AND(P1689="应付",COUNTIF(基础资料!$Q$5:$Q$54,K1689)=0),"✗ 供应商不在基础资料里",IF(AND(P1689="费用",L1689=""),"✗ 费用支出要选费用项目",IF(AND(L1689&lt;&gt;"",COUNTIF(基础资料!$AI$5:$AI$54,L1689)=0),"✗ 费用项目不在基础资料里",IF(AND(IFERROR(INDEX(基础资料!$AD$5:$AD$34,MATCH(O1689,基础资料!$AC$5:$AC$34,0)),"")="收",N(G1689)&lt;&gt;0),"✗ 这类是收款，金额填到收入列",IF(AND(IFERROR(INDEX(基础资料!$AD$5:$AD$34,MATCH(O1689,基础资料!$AC$5:$AC$34,0)),"")="支",N(F1689)&lt;&gt;0),"✗ 这类是付款，金额填到支出列",IF(N(H1689)&lt;0,"⚠ 账户余额成负数了，核对一下","√"))))))))))))))))))</f>
      </c>
      <c r="O1689" s="78">
        <f>IF(D1689&lt;&gt;"",D1689,IF(AND(F1689="",G1689=""),"",IF(J1689&lt;&gt;"",IF(N(F1689)&gt;0,"客户回款","客户退款"),IF(K1689&lt;&gt;"",IF(N(G1689)&gt;0,"供应商付款","供应商退款"),IF(L1689&lt;&gt;"","费用支出","")))))</f>
      </c>
      <c r="P1689" s="78">
        <f>IF(O1689="","",IFERROR(INDEX(基础资料!$AE$5:$AE$34,MATCH(O1689,基础资料!$AC$5:$AC$34,0)),"未知"))</f>
      </c>
      <c r="Q1689" s="78">
        <f>IF(P1689="应收",COUNTIF(P$7:P1689,"应收"),"")</f>
      </c>
      <c r="R1689" s="78">
        <f>IF(P1689="应付",COUNTIF(P$7:P1689,"应付"),"")</f>
      </c>
      <c r="S1689" s="78">
        <f>N(F1689)-N(G1689)</f>
        <v>0</v>
      </c>
    </row>
    <row r="1690">
      <c r="A1690" s="109">
        <f>IF(AND(F1690="",G1690=""),"",ROW()-6)</f>
      </c>
      <c r="B1690" s="140" t="n"/>
      <c r="C1690" s="141" t="n"/>
      <c r="D1690" s="141" t="n"/>
      <c r="E1690" s="142" t="n"/>
      <c r="F1690" s="143" t="n"/>
      <c r="G1690" s="144" t="n"/>
      <c r="H1690" s="145">
        <f>IF(OR(C1690="",AND(F1690="",G1690="")),"",SUMIF(基础资料!$W$5:$W$24,C1690,基础资料!$X$5:$X$24)+SUMIF(C$7:C1690,C1690,F$7:F1690)-SUMIF(C$7:C1690,C1690,G$7:G1690))</f>
      </c>
      <c r="I1690" s="145">
        <f>IF(AND(F1690="",G1690=""),"",SUM(基础资料!$X$5:$X$24)+SUM(F$7:F1690)-SUM(G$7:G1690))</f>
      </c>
      <c r="J1690" s="141" t="n"/>
      <c r="K1690" s="141" t="n"/>
      <c r="L1690" s="141" t="n"/>
      <c r="M1690" s="142" t="n"/>
      <c r="N1690" s="146">
        <f>IF(AND(AND(F1690="",G1690=""),B1690="",C1690="",D1690="",J1690="",K1690="",L1690=""),"",IF(AND(F1690="",G1690=""),"✗ 没填金额",IF(AND(N(F1690)&lt;&gt;0,N(G1690)&lt;&gt;0),"✗ 收入、支出只能填一边",IF(NOT(ISNUMBER(B1690)),"✗ 日期不是真日期（要像 2026/9/25 这样填）",IF(OR(B1690&lt;年初日,B1690&gt;年末日),"✗ 日期不在本会计年度",IF(C1690="","✗ 没选账户",IF(COUNTIF(基础资料!$W$5:$W$24,C1690)=0,"✗ 账户不在基础资料里",IF(O1690="","✗ 没选收支项目",IF(P1690="未知","✗ 收支项目不在基础资料里",IF(AND(P1690="应收",J1690=""),"✗ 这笔要选客户",IF(AND(P1690="应收",COUNTIF(总览汇总!$B$5:$B$304,J1690)=0),"✗ 客户不在总览汇总名单里",IF(AND(P1690="应付",K1690=""),"✗ 这笔要选供应商",IF(AND(P1690="应付",COUNTIF(基础资料!$Q$5:$Q$54,K1690)=0),"✗ 供应商不在基础资料里",IF(AND(P1690="费用",L1690=""),"✗ 费用支出要选费用项目",IF(AND(L1690&lt;&gt;"",COUNTIF(基础资料!$AI$5:$AI$54,L1690)=0),"✗ 费用项目不在基础资料里",IF(AND(IFERROR(INDEX(基础资料!$AD$5:$AD$34,MATCH(O1690,基础资料!$AC$5:$AC$34,0)),"")="收",N(G1690)&lt;&gt;0),"✗ 这类是收款，金额填到收入列",IF(AND(IFERROR(INDEX(基础资料!$AD$5:$AD$34,MATCH(O1690,基础资料!$AC$5:$AC$34,0)),"")="支",N(F1690)&lt;&gt;0),"✗ 这类是付款，金额填到支出列",IF(N(H1690)&lt;0,"⚠ 账户余额成负数了，核对一下","√"))))))))))))))))))</f>
      </c>
      <c r="O1690" s="78">
        <f>IF(D1690&lt;&gt;"",D1690,IF(AND(F1690="",G1690=""),"",IF(J1690&lt;&gt;"",IF(N(F1690)&gt;0,"客户回款","客户退款"),IF(K1690&lt;&gt;"",IF(N(G1690)&gt;0,"供应商付款","供应商退款"),IF(L1690&lt;&gt;"","费用支出","")))))</f>
      </c>
      <c r="P1690" s="78">
        <f>IF(O1690="","",IFERROR(INDEX(基础资料!$AE$5:$AE$34,MATCH(O1690,基础资料!$AC$5:$AC$34,0)),"未知"))</f>
      </c>
      <c r="Q1690" s="78">
        <f>IF(P1690="应收",COUNTIF(P$7:P1690,"应收"),"")</f>
      </c>
      <c r="R1690" s="78">
        <f>IF(P1690="应付",COUNTIF(P$7:P1690,"应付"),"")</f>
      </c>
      <c r="S1690" s="78">
        <f>N(F1690)-N(G1690)</f>
        <v>0</v>
      </c>
    </row>
    <row r="1691">
      <c r="A1691" s="109">
        <f>IF(AND(F1691="",G1691=""),"",ROW()-6)</f>
      </c>
      <c r="B1691" s="140" t="n"/>
      <c r="C1691" s="141" t="n"/>
      <c r="D1691" s="141" t="n"/>
      <c r="E1691" s="142" t="n"/>
      <c r="F1691" s="143" t="n"/>
      <c r="G1691" s="144" t="n"/>
      <c r="H1691" s="145">
        <f>IF(OR(C1691="",AND(F1691="",G1691="")),"",SUMIF(基础资料!$W$5:$W$24,C1691,基础资料!$X$5:$X$24)+SUMIF(C$7:C1691,C1691,F$7:F1691)-SUMIF(C$7:C1691,C1691,G$7:G1691))</f>
      </c>
      <c r="I1691" s="145">
        <f>IF(AND(F1691="",G1691=""),"",SUM(基础资料!$X$5:$X$24)+SUM(F$7:F1691)-SUM(G$7:G1691))</f>
      </c>
      <c r="J1691" s="141" t="n"/>
      <c r="K1691" s="141" t="n"/>
      <c r="L1691" s="141" t="n"/>
      <c r="M1691" s="142" t="n"/>
      <c r="N1691" s="146">
        <f>IF(AND(AND(F1691="",G1691=""),B1691="",C1691="",D1691="",J1691="",K1691="",L1691=""),"",IF(AND(F1691="",G1691=""),"✗ 没填金额",IF(AND(N(F1691)&lt;&gt;0,N(G1691)&lt;&gt;0),"✗ 收入、支出只能填一边",IF(NOT(ISNUMBER(B1691)),"✗ 日期不是真日期（要像 2026/9/25 这样填）",IF(OR(B1691&lt;年初日,B1691&gt;年末日),"✗ 日期不在本会计年度",IF(C1691="","✗ 没选账户",IF(COUNTIF(基础资料!$W$5:$W$24,C1691)=0,"✗ 账户不在基础资料里",IF(O1691="","✗ 没选收支项目",IF(P1691="未知","✗ 收支项目不在基础资料里",IF(AND(P1691="应收",J1691=""),"✗ 这笔要选客户",IF(AND(P1691="应收",COUNTIF(总览汇总!$B$5:$B$304,J1691)=0),"✗ 客户不在总览汇总名单里",IF(AND(P1691="应付",K1691=""),"✗ 这笔要选供应商",IF(AND(P1691="应付",COUNTIF(基础资料!$Q$5:$Q$54,K1691)=0),"✗ 供应商不在基础资料里",IF(AND(P1691="费用",L1691=""),"✗ 费用支出要选费用项目",IF(AND(L1691&lt;&gt;"",COUNTIF(基础资料!$AI$5:$AI$54,L1691)=0),"✗ 费用项目不在基础资料里",IF(AND(IFERROR(INDEX(基础资料!$AD$5:$AD$34,MATCH(O1691,基础资料!$AC$5:$AC$34,0)),"")="收",N(G1691)&lt;&gt;0),"✗ 这类是收款，金额填到收入列",IF(AND(IFERROR(INDEX(基础资料!$AD$5:$AD$34,MATCH(O1691,基础资料!$AC$5:$AC$34,0)),"")="支",N(F1691)&lt;&gt;0),"✗ 这类是付款，金额填到支出列",IF(N(H1691)&lt;0,"⚠ 账户余额成负数了，核对一下","√"))))))))))))))))))</f>
      </c>
      <c r="O1691" s="78">
        <f>IF(D1691&lt;&gt;"",D1691,IF(AND(F1691="",G1691=""),"",IF(J1691&lt;&gt;"",IF(N(F1691)&gt;0,"客户回款","客户退款"),IF(K1691&lt;&gt;"",IF(N(G1691)&gt;0,"供应商付款","供应商退款"),IF(L1691&lt;&gt;"","费用支出","")))))</f>
      </c>
      <c r="P1691" s="78">
        <f>IF(O1691="","",IFERROR(INDEX(基础资料!$AE$5:$AE$34,MATCH(O1691,基础资料!$AC$5:$AC$34,0)),"未知"))</f>
      </c>
      <c r="Q1691" s="78">
        <f>IF(P1691="应收",COUNTIF(P$7:P1691,"应收"),"")</f>
      </c>
      <c r="R1691" s="78">
        <f>IF(P1691="应付",COUNTIF(P$7:P1691,"应付"),"")</f>
      </c>
      <c r="S1691" s="78">
        <f>N(F1691)-N(G1691)</f>
        <v>0</v>
      </c>
    </row>
    <row r="1692">
      <c r="A1692" s="109">
        <f>IF(AND(F1692="",G1692=""),"",ROW()-6)</f>
      </c>
      <c r="B1692" s="140" t="n"/>
      <c r="C1692" s="141" t="n"/>
      <c r="D1692" s="141" t="n"/>
      <c r="E1692" s="142" t="n"/>
      <c r="F1692" s="143" t="n"/>
      <c r="G1692" s="144" t="n"/>
      <c r="H1692" s="145">
        <f>IF(OR(C1692="",AND(F1692="",G1692="")),"",SUMIF(基础资料!$W$5:$W$24,C1692,基础资料!$X$5:$X$24)+SUMIF(C$7:C1692,C1692,F$7:F1692)-SUMIF(C$7:C1692,C1692,G$7:G1692))</f>
      </c>
      <c r="I1692" s="145">
        <f>IF(AND(F1692="",G1692=""),"",SUM(基础资料!$X$5:$X$24)+SUM(F$7:F1692)-SUM(G$7:G1692))</f>
      </c>
      <c r="J1692" s="141" t="n"/>
      <c r="K1692" s="141" t="n"/>
      <c r="L1692" s="141" t="n"/>
      <c r="M1692" s="142" t="n"/>
      <c r="N1692" s="146">
        <f>IF(AND(AND(F1692="",G1692=""),B1692="",C1692="",D1692="",J1692="",K1692="",L1692=""),"",IF(AND(F1692="",G1692=""),"✗ 没填金额",IF(AND(N(F1692)&lt;&gt;0,N(G1692)&lt;&gt;0),"✗ 收入、支出只能填一边",IF(NOT(ISNUMBER(B1692)),"✗ 日期不是真日期（要像 2026/9/25 这样填）",IF(OR(B1692&lt;年初日,B1692&gt;年末日),"✗ 日期不在本会计年度",IF(C1692="","✗ 没选账户",IF(COUNTIF(基础资料!$W$5:$W$24,C1692)=0,"✗ 账户不在基础资料里",IF(O1692="","✗ 没选收支项目",IF(P1692="未知","✗ 收支项目不在基础资料里",IF(AND(P1692="应收",J1692=""),"✗ 这笔要选客户",IF(AND(P1692="应收",COUNTIF(总览汇总!$B$5:$B$304,J1692)=0),"✗ 客户不在总览汇总名单里",IF(AND(P1692="应付",K1692=""),"✗ 这笔要选供应商",IF(AND(P1692="应付",COUNTIF(基础资料!$Q$5:$Q$54,K1692)=0),"✗ 供应商不在基础资料里",IF(AND(P1692="费用",L1692=""),"✗ 费用支出要选费用项目",IF(AND(L1692&lt;&gt;"",COUNTIF(基础资料!$AI$5:$AI$54,L1692)=0),"✗ 费用项目不在基础资料里",IF(AND(IFERROR(INDEX(基础资料!$AD$5:$AD$34,MATCH(O1692,基础资料!$AC$5:$AC$34,0)),"")="收",N(G1692)&lt;&gt;0),"✗ 这类是收款，金额填到收入列",IF(AND(IFERROR(INDEX(基础资料!$AD$5:$AD$34,MATCH(O1692,基础资料!$AC$5:$AC$34,0)),"")="支",N(F1692)&lt;&gt;0),"✗ 这类是付款，金额填到支出列",IF(N(H1692)&lt;0,"⚠ 账户余额成负数了，核对一下","√"))))))))))))))))))</f>
      </c>
      <c r="O1692" s="78">
        <f>IF(D1692&lt;&gt;"",D1692,IF(AND(F1692="",G1692=""),"",IF(J1692&lt;&gt;"",IF(N(F1692)&gt;0,"客户回款","客户退款"),IF(K1692&lt;&gt;"",IF(N(G1692)&gt;0,"供应商付款","供应商退款"),IF(L1692&lt;&gt;"","费用支出","")))))</f>
      </c>
      <c r="P1692" s="78">
        <f>IF(O1692="","",IFERROR(INDEX(基础资料!$AE$5:$AE$34,MATCH(O1692,基础资料!$AC$5:$AC$34,0)),"未知"))</f>
      </c>
      <c r="Q1692" s="78">
        <f>IF(P1692="应收",COUNTIF(P$7:P1692,"应收"),"")</f>
      </c>
      <c r="R1692" s="78">
        <f>IF(P1692="应付",COUNTIF(P$7:P1692,"应付"),"")</f>
      </c>
      <c r="S1692" s="78">
        <f>N(F1692)-N(G1692)</f>
        <v>0</v>
      </c>
    </row>
    <row r="1693">
      <c r="A1693" s="109">
        <f>IF(AND(F1693="",G1693=""),"",ROW()-6)</f>
      </c>
      <c r="B1693" s="140" t="n"/>
      <c r="C1693" s="141" t="n"/>
      <c r="D1693" s="141" t="n"/>
      <c r="E1693" s="142" t="n"/>
      <c r="F1693" s="143" t="n"/>
      <c r="G1693" s="144" t="n"/>
      <c r="H1693" s="145">
        <f>IF(OR(C1693="",AND(F1693="",G1693="")),"",SUMIF(基础资料!$W$5:$W$24,C1693,基础资料!$X$5:$X$24)+SUMIF(C$7:C1693,C1693,F$7:F1693)-SUMIF(C$7:C1693,C1693,G$7:G1693))</f>
      </c>
      <c r="I1693" s="145">
        <f>IF(AND(F1693="",G1693=""),"",SUM(基础资料!$X$5:$X$24)+SUM(F$7:F1693)-SUM(G$7:G1693))</f>
      </c>
      <c r="J1693" s="141" t="n"/>
      <c r="K1693" s="141" t="n"/>
      <c r="L1693" s="141" t="n"/>
      <c r="M1693" s="142" t="n"/>
      <c r="N1693" s="146">
        <f>IF(AND(AND(F1693="",G1693=""),B1693="",C1693="",D1693="",J1693="",K1693="",L1693=""),"",IF(AND(F1693="",G1693=""),"✗ 没填金额",IF(AND(N(F1693)&lt;&gt;0,N(G1693)&lt;&gt;0),"✗ 收入、支出只能填一边",IF(NOT(ISNUMBER(B1693)),"✗ 日期不是真日期（要像 2026/9/25 这样填）",IF(OR(B1693&lt;年初日,B1693&gt;年末日),"✗ 日期不在本会计年度",IF(C1693="","✗ 没选账户",IF(COUNTIF(基础资料!$W$5:$W$24,C1693)=0,"✗ 账户不在基础资料里",IF(O1693="","✗ 没选收支项目",IF(P1693="未知","✗ 收支项目不在基础资料里",IF(AND(P1693="应收",J1693=""),"✗ 这笔要选客户",IF(AND(P1693="应收",COUNTIF(总览汇总!$B$5:$B$304,J1693)=0),"✗ 客户不在总览汇总名单里",IF(AND(P1693="应付",K1693=""),"✗ 这笔要选供应商",IF(AND(P1693="应付",COUNTIF(基础资料!$Q$5:$Q$54,K1693)=0),"✗ 供应商不在基础资料里",IF(AND(P1693="费用",L1693=""),"✗ 费用支出要选费用项目",IF(AND(L1693&lt;&gt;"",COUNTIF(基础资料!$AI$5:$AI$54,L1693)=0),"✗ 费用项目不在基础资料里",IF(AND(IFERROR(INDEX(基础资料!$AD$5:$AD$34,MATCH(O1693,基础资料!$AC$5:$AC$34,0)),"")="收",N(G1693)&lt;&gt;0),"✗ 这类是收款，金额填到收入列",IF(AND(IFERROR(INDEX(基础资料!$AD$5:$AD$34,MATCH(O1693,基础资料!$AC$5:$AC$34,0)),"")="支",N(F1693)&lt;&gt;0),"✗ 这类是付款，金额填到支出列",IF(N(H1693)&lt;0,"⚠ 账户余额成负数了，核对一下","√"))))))))))))))))))</f>
      </c>
      <c r="O1693" s="78">
        <f>IF(D1693&lt;&gt;"",D1693,IF(AND(F1693="",G1693=""),"",IF(J1693&lt;&gt;"",IF(N(F1693)&gt;0,"客户回款","客户退款"),IF(K1693&lt;&gt;"",IF(N(G1693)&gt;0,"供应商付款","供应商退款"),IF(L1693&lt;&gt;"","费用支出","")))))</f>
      </c>
      <c r="P1693" s="78">
        <f>IF(O1693="","",IFERROR(INDEX(基础资料!$AE$5:$AE$34,MATCH(O1693,基础资料!$AC$5:$AC$34,0)),"未知"))</f>
      </c>
      <c r="Q1693" s="78">
        <f>IF(P1693="应收",COUNTIF(P$7:P1693,"应收"),"")</f>
      </c>
      <c r="R1693" s="78">
        <f>IF(P1693="应付",COUNTIF(P$7:P1693,"应付"),"")</f>
      </c>
      <c r="S1693" s="78">
        <f>N(F1693)-N(G1693)</f>
        <v>0</v>
      </c>
    </row>
    <row r="1694">
      <c r="A1694" s="109">
        <f>IF(AND(F1694="",G1694=""),"",ROW()-6)</f>
      </c>
      <c r="B1694" s="140" t="n"/>
      <c r="C1694" s="141" t="n"/>
      <c r="D1694" s="141" t="n"/>
      <c r="E1694" s="142" t="n"/>
      <c r="F1694" s="143" t="n"/>
      <c r="G1694" s="144" t="n"/>
      <c r="H1694" s="145">
        <f>IF(OR(C1694="",AND(F1694="",G1694="")),"",SUMIF(基础资料!$W$5:$W$24,C1694,基础资料!$X$5:$X$24)+SUMIF(C$7:C1694,C1694,F$7:F1694)-SUMIF(C$7:C1694,C1694,G$7:G1694))</f>
      </c>
      <c r="I1694" s="145">
        <f>IF(AND(F1694="",G1694=""),"",SUM(基础资料!$X$5:$X$24)+SUM(F$7:F1694)-SUM(G$7:G1694))</f>
      </c>
      <c r="J1694" s="141" t="n"/>
      <c r="K1694" s="141" t="n"/>
      <c r="L1694" s="141" t="n"/>
      <c r="M1694" s="142" t="n"/>
      <c r="N1694" s="146">
        <f>IF(AND(AND(F1694="",G1694=""),B1694="",C1694="",D1694="",J1694="",K1694="",L1694=""),"",IF(AND(F1694="",G1694=""),"✗ 没填金额",IF(AND(N(F1694)&lt;&gt;0,N(G1694)&lt;&gt;0),"✗ 收入、支出只能填一边",IF(NOT(ISNUMBER(B1694)),"✗ 日期不是真日期（要像 2026/9/25 这样填）",IF(OR(B1694&lt;年初日,B1694&gt;年末日),"✗ 日期不在本会计年度",IF(C1694="","✗ 没选账户",IF(COUNTIF(基础资料!$W$5:$W$24,C1694)=0,"✗ 账户不在基础资料里",IF(O1694="","✗ 没选收支项目",IF(P1694="未知","✗ 收支项目不在基础资料里",IF(AND(P1694="应收",J1694=""),"✗ 这笔要选客户",IF(AND(P1694="应收",COUNTIF(总览汇总!$B$5:$B$304,J1694)=0),"✗ 客户不在总览汇总名单里",IF(AND(P1694="应付",K1694=""),"✗ 这笔要选供应商",IF(AND(P1694="应付",COUNTIF(基础资料!$Q$5:$Q$54,K1694)=0),"✗ 供应商不在基础资料里",IF(AND(P1694="费用",L1694=""),"✗ 费用支出要选费用项目",IF(AND(L1694&lt;&gt;"",COUNTIF(基础资料!$AI$5:$AI$54,L1694)=0),"✗ 费用项目不在基础资料里",IF(AND(IFERROR(INDEX(基础资料!$AD$5:$AD$34,MATCH(O1694,基础资料!$AC$5:$AC$34,0)),"")="收",N(G1694)&lt;&gt;0),"✗ 这类是收款，金额填到收入列",IF(AND(IFERROR(INDEX(基础资料!$AD$5:$AD$34,MATCH(O1694,基础资料!$AC$5:$AC$34,0)),"")="支",N(F1694)&lt;&gt;0),"✗ 这类是付款，金额填到支出列",IF(N(H1694)&lt;0,"⚠ 账户余额成负数了，核对一下","√"))))))))))))))))))</f>
      </c>
      <c r="O1694" s="78">
        <f>IF(D1694&lt;&gt;"",D1694,IF(AND(F1694="",G1694=""),"",IF(J1694&lt;&gt;"",IF(N(F1694)&gt;0,"客户回款","客户退款"),IF(K1694&lt;&gt;"",IF(N(G1694)&gt;0,"供应商付款","供应商退款"),IF(L1694&lt;&gt;"","费用支出","")))))</f>
      </c>
      <c r="P1694" s="78">
        <f>IF(O1694="","",IFERROR(INDEX(基础资料!$AE$5:$AE$34,MATCH(O1694,基础资料!$AC$5:$AC$34,0)),"未知"))</f>
      </c>
      <c r="Q1694" s="78">
        <f>IF(P1694="应收",COUNTIF(P$7:P1694,"应收"),"")</f>
      </c>
      <c r="R1694" s="78">
        <f>IF(P1694="应付",COUNTIF(P$7:P1694,"应付"),"")</f>
      </c>
      <c r="S1694" s="78">
        <f>N(F1694)-N(G1694)</f>
        <v>0</v>
      </c>
    </row>
    <row r="1695">
      <c r="A1695" s="109">
        <f>IF(AND(F1695="",G1695=""),"",ROW()-6)</f>
      </c>
      <c r="B1695" s="140" t="n"/>
      <c r="C1695" s="141" t="n"/>
      <c r="D1695" s="141" t="n"/>
      <c r="E1695" s="142" t="n"/>
      <c r="F1695" s="143" t="n"/>
      <c r="G1695" s="144" t="n"/>
      <c r="H1695" s="145">
        <f>IF(OR(C1695="",AND(F1695="",G1695="")),"",SUMIF(基础资料!$W$5:$W$24,C1695,基础资料!$X$5:$X$24)+SUMIF(C$7:C1695,C1695,F$7:F1695)-SUMIF(C$7:C1695,C1695,G$7:G1695))</f>
      </c>
      <c r="I1695" s="145">
        <f>IF(AND(F1695="",G1695=""),"",SUM(基础资料!$X$5:$X$24)+SUM(F$7:F1695)-SUM(G$7:G1695))</f>
      </c>
      <c r="J1695" s="141" t="n"/>
      <c r="K1695" s="141" t="n"/>
      <c r="L1695" s="141" t="n"/>
      <c r="M1695" s="142" t="n"/>
      <c r="N1695" s="146">
        <f>IF(AND(AND(F1695="",G1695=""),B1695="",C1695="",D1695="",J1695="",K1695="",L1695=""),"",IF(AND(F1695="",G1695=""),"✗ 没填金额",IF(AND(N(F1695)&lt;&gt;0,N(G1695)&lt;&gt;0),"✗ 收入、支出只能填一边",IF(NOT(ISNUMBER(B1695)),"✗ 日期不是真日期（要像 2026/9/25 这样填）",IF(OR(B1695&lt;年初日,B1695&gt;年末日),"✗ 日期不在本会计年度",IF(C1695="","✗ 没选账户",IF(COUNTIF(基础资料!$W$5:$W$24,C1695)=0,"✗ 账户不在基础资料里",IF(O1695="","✗ 没选收支项目",IF(P1695="未知","✗ 收支项目不在基础资料里",IF(AND(P1695="应收",J1695=""),"✗ 这笔要选客户",IF(AND(P1695="应收",COUNTIF(总览汇总!$B$5:$B$304,J1695)=0),"✗ 客户不在总览汇总名单里",IF(AND(P1695="应付",K1695=""),"✗ 这笔要选供应商",IF(AND(P1695="应付",COUNTIF(基础资料!$Q$5:$Q$54,K1695)=0),"✗ 供应商不在基础资料里",IF(AND(P1695="费用",L1695=""),"✗ 费用支出要选费用项目",IF(AND(L1695&lt;&gt;"",COUNTIF(基础资料!$AI$5:$AI$54,L1695)=0),"✗ 费用项目不在基础资料里",IF(AND(IFERROR(INDEX(基础资料!$AD$5:$AD$34,MATCH(O1695,基础资料!$AC$5:$AC$34,0)),"")="收",N(G1695)&lt;&gt;0),"✗ 这类是收款，金额填到收入列",IF(AND(IFERROR(INDEX(基础资料!$AD$5:$AD$34,MATCH(O1695,基础资料!$AC$5:$AC$34,0)),"")="支",N(F1695)&lt;&gt;0),"✗ 这类是付款，金额填到支出列",IF(N(H1695)&lt;0,"⚠ 账户余额成负数了，核对一下","√"))))))))))))))))))</f>
      </c>
      <c r="O1695" s="78">
        <f>IF(D1695&lt;&gt;"",D1695,IF(AND(F1695="",G1695=""),"",IF(J1695&lt;&gt;"",IF(N(F1695)&gt;0,"客户回款","客户退款"),IF(K1695&lt;&gt;"",IF(N(G1695)&gt;0,"供应商付款","供应商退款"),IF(L1695&lt;&gt;"","费用支出","")))))</f>
      </c>
      <c r="P1695" s="78">
        <f>IF(O1695="","",IFERROR(INDEX(基础资料!$AE$5:$AE$34,MATCH(O1695,基础资料!$AC$5:$AC$34,0)),"未知"))</f>
      </c>
      <c r="Q1695" s="78">
        <f>IF(P1695="应收",COUNTIF(P$7:P1695,"应收"),"")</f>
      </c>
      <c r="R1695" s="78">
        <f>IF(P1695="应付",COUNTIF(P$7:P1695,"应付"),"")</f>
      </c>
      <c r="S1695" s="78">
        <f>N(F1695)-N(G1695)</f>
        <v>0</v>
      </c>
    </row>
    <row r="1696">
      <c r="A1696" s="109">
        <f>IF(AND(F1696="",G1696=""),"",ROW()-6)</f>
      </c>
      <c r="B1696" s="140" t="n"/>
      <c r="C1696" s="141" t="n"/>
      <c r="D1696" s="141" t="n"/>
      <c r="E1696" s="142" t="n"/>
      <c r="F1696" s="143" t="n"/>
      <c r="G1696" s="144" t="n"/>
      <c r="H1696" s="145">
        <f>IF(OR(C1696="",AND(F1696="",G1696="")),"",SUMIF(基础资料!$W$5:$W$24,C1696,基础资料!$X$5:$X$24)+SUMIF(C$7:C1696,C1696,F$7:F1696)-SUMIF(C$7:C1696,C1696,G$7:G1696))</f>
      </c>
      <c r="I1696" s="145">
        <f>IF(AND(F1696="",G1696=""),"",SUM(基础资料!$X$5:$X$24)+SUM(F$7:F1696)-SUM(G$7:G1696))</f>
      </c>
      <c r="J1696" s="141" t="n"/>
      <c r="K1696" s="141" t="n"/>
      <c r="L1696" s="141" t="n"/>
      <c r="M1696" s="142" t="n"/>
      <c r="N1696" s="146">
        <f>IF(AND(AND(F1696="",G1696=""),B1696="",C1696="",D1696="",J1696="",K1696="",L1696=""),"",IF(AND(F1696="",G1696=""),"✗ 没填金额",IF(AND(N(F1696)&lt;&gt;0,N(G1696)&lt;&gt;0),"✗ 收入、支出只能填一边",IF(NOT(ISNUMBER(B1696)),"✗ 日期不是真日期（要像 2026/9/25 这样填）",IF(OR(B1696&lt;年初日,B1696&gt;年末日),"✗ 日期不在本会计年度",IF(C1696="","✗ 没选账户",IF(COUNTIF(基础资料!$W$5:$W$24,C1696)=0,"✗ 账户不在基础资料里",IF(O1696="","✗ 没选收支项目",IF(P1696="未知","✗ 收支项目不在基础资料里",IF(AND(P1696="应收",J1696=""),"✗ 这笔要选客户",IF(AND(P1696="应收",COUNTIF(总览汇总!$B$5:$B$304,J1696)=0),"✗ 客户不在总览汇总名单里",IF(AND(P1696="应付",K1696=""),"✗ 这笔要选供应商",IF(AND(P1696="应付",COUNTIF(基础资料!$Q$5:$Q$54,K1696)=0),"✗ 供应商不在基础资料里",IF(AND(P1696="费用",L1696=""),"✗ 费用支出要选费用项目",IF(AND(L1696&lt;&gt;"",COUNTIF(基础资料!$AI$5:$AI$54,L1696)=0),"✗ 费用项目不在基础资料里",IF(AND(IFERROR(INDEX(基础资料!$AD$5:$AD$34,MATCH(O1696,基础资料!$AC$5:$AC$34,0)),"")="收",N(G1696)&lt;&gt;0),"✗ 这类是收款，金额填到收入列",IF(AND(IFERROR(INDEX(基础资料!$AD$5:$AD$34,MATCH(O1696,基础资料!$AC$5:$AC$34,0)),"")="支",N(F1696)&lt;&gt;0),"✗ 这类是付款，金额填到支出列",IF(N(H1696)&lt;0,"⚠ 账户余额成负数了，核对一下","√"))))))))))))))))))</f>
      </c>
      <c r="O1696" s="78">
        <f>IF(D1696&lt;&gt;"",D1696,IF(AND(F1696="",G1696=""),"",IF(J1696&lt;&gt;"",IF(N(F1696)&gt;0,"客户回款","客户退款"),IF(K1696&lt;&gt;"",IF(N(G1696)&gt;0,"供应商付款","供应商退款"),IF(L1696&lt;&gt;"","费用支出","")))))</f>
      </c>
      <c r="P1696" s="78">
        <f>IF(O1696="","",IFERROR(INDEX(基础资料!$AE$5:$AE$34,MATCH(O1696,基础资料!$AC$5:$AC$34,0)),"未知"))</f>
      </c>
      <c r="Q1696" s="78">
        <f>IF(P1696="应收",COUNTIF(P$7:P1696,"应收"),"")</f>
      </c>
      <c r="R1696" s="78">
        <f>IF(P1696="应付",COUNTIF(P$7:P1696,"应付"),"")</f>
      </c>
      <c r="S1696" s="78">
        <f>N(F1696)-N(G1696)</f>
        <v>0</v>
      </c>
    </row>
    <row r="1697">
      <c r="A1697" s="109">
        <f>IF(AND(F1697="",G1697=""),"",ROW()-6)</f>
      </c>
      <c r="B1697" s="140" t="n"/>
      <c r="C1697" s="141" t="n"/>
      <c r="D1697" s="141" t="n"/>
      <c r="E1697" s="142" t="n"/>
      <c r="F1697" s="143" t="n"/>
      <c r="G1697" s="144" t="n"/>
      <c r="H1697" s="145">
        <f>IF(OR(C1697="",AND(F1697="",G1697="")),"",SUMIF(基础资料!$W$5:$W$24,C1697,基础资料!$X$5:$X$24)+SUMIF(C$7:C1697,C1697,F$7:F1697)-SUMIF(C$7:C1697,C1697,G$7:G1697))</f>
      </c>
      <c r="I1697" s="145">
        <f>IF(AND(F1697="",G1697=""),"",SUM(基础资料!$X$5:$X$24)+SUM(F$7:F1697)-SUM(G$7:G1697))</f>
      </c>
      <c r="J1697" s="141" t="n"/>
      <c r="K1697" s="141" t="n"/>
      <c r="L1697" s="141" t="n"/>
      <c r="M1697" s="142" t="n"/>
      <c r="N1697" s="146">
        <f>IF(AND(AND(F1697="",G1697=""),B1697="",C1697="",D1697="",J1697="",K1697="",L1697=""),"",IF(AND(F1697="",G1697=""),"✗ 没填金额",IF(AND(N(F1697)&lt;&gt;0,N(G1697)&lt;&gt;0),"✗ 收入、支出只能填一边",IF(NOT(ISNUMBER(B1697)),"✗ 日期不是真日期（要像 2026/9/25 这样填）",IF(OR(B1697&lt;年初日,B1697&gt;年末日),"✗ 日期不在本会计年度",IF(C1697="","✗ 没选账户",IF(COUNTIF(基础资料!$W$5:$W$24,C1697)=0,"✗ 账户不在基础资料里",IF(O1697="","✗ 没选收支项目",IF(P1697="未知","✗ 收支项目不在基础资料里",IF(AND(P1697="应收",J1697=""),"✗ 这笔要选客户",IF(AND(P1697="应收",COUNTIF(总览汇总!$B$5:$B$304,J1697)=0),"✗ 客户不在总览汇总名单里",IF(AND(P1697="应付",K1697=""),"✗ 这笔要选供应商",IF(AND(P1697="应付",COUNTIF(基础资料!$Q$5:$Q$54,K1697)=0),"✗ 供应商不在基础资料里",IF(AND(P1697="费用",L1697=""),"✗ 费用支出要选费用项目",IF(AND(L1697&lt;&gt;"",COUNTIF(基础资料!$AI$5:$AI$54,L1697)=0),"✗ 费用项目不在基础资料里",IF(AND(IFERROR(INDEX(基础资料!$AD$5:$AD$34,MATCH(O1697,基础资料!$AC$5:$AC$34,0)),"")="收",N(G1697)&lt;&gt;0),"✗ 这类是收款，金额填到收入列",IF(AND(IFERROR(INDEX(基础资料!$AD$5:$AD$34,MATCH(O1697,基础资料!$AC$5:$AC$34,0)),"")="支",N(F1697)&lt;&gt;0),"✗ 这类是付款，金额填到支出列",IF(N(H1697)&lt;0,"⚠ 账户余额成负数了，核对一下","√"))))))))))))))))))</f>
      </c>
      <c r="O1697" s="78">
        <f>IF(D1697&lt;&gt;"",D1697,IF(AND(F1697="",G1697=""),"",IF(J1697&lt;&gt;"",IF(N(F1697)&gt;0,"客户回款","客户退款"),IF(K1697&lt;&gt;"",IF(N(G1697)&gt;0,"供应商付款","供应商退款"),IF(L1697&lt;&gt;"","费用支出","")))))</f>
      </c>
      <c r="P1697" s="78">
        <f>IF(O1697="","",IFERROR(INDEX(基础资料!$AE$5:$AE$34,MATCH(O1697,基础资料!$AC$5:$AC$34,0)),"未知"))</f>
      </c>
      <c r="Q1697" s="78">
        <f>IF(P1697="应收",COUNTIF(P$7:P1697,"应收"),"")</f>
      </c>
      <c r="R1697" s="78">
        <f>IF(P1697="应付",COUNTIF(P$7:P1697,"应付"),"")</f>
      </c>
      <c r="S1697" s="78">
        <f>N(F1697)-N(G1697)</f>
        <v>0</v>
      </c>
    </row>
    <row r="1698">
      <c r="A1698" s="109">
        <f>IF(AND(F1698="",G1698=""),"",ROW()-6)</f>
      </c>
      <c r="B1698" s="140" t="n"/>
      <c r="C1698" s="141" t="n"/>
      <c r="D1698" s="141" t="n"/>
      <c r="E1698" s="142" t="n"/>
      <c r="F1698" s="143" t="n"/>
      <c r="G1698" s="144" t="n"/>
      <c r="H1698" s="145">
        <f>IF(OR(C1698="",AND(F1698="",G1698="")),"",SUMIF(基础资料!$W$5:$W$24,C1698,基础资料!$X$5:$X$24)+SUMIF(C$7:C1698,C1698,F$7:F1698)-SUMIF(C$7:C1698,C1698,G$7:G1698))</f>
      </c>
      <c r="I1698" s="145">
        <f>IF(AND(F1698="",G1698=""),"",SUM(基础资料!$X$5:$X$24)+SUM(F$7:F1698)-SUM(G$7:G1698))</f>
      </c>
      <c r="J1698" s="141" t="n"/>
      <c r="K1698" s="141" t="n"/>
      <c r="L1698" s="141" t="n"/>
      <c r="M1698" s="142" t="n"/>
      <c r="N1698" s="146">
        <f>IF(AND(AND(F1698="",G1698=""),B1698="",C1698="",D1698="",J1698="",K1698="",L1698=""),"",IF(AND(F1698="",G1698=""),"✗ 没填金额",IF(AND(N(F1698)&lt;&gt;0,N(G1698)&lt;&gt;0),"✗ 收入、支出只能填一边",IF(NOT(ISNUMBER(B1698)),"✗ 日期不是真日期（要像 2026/9/25 这样填）",IF(OR(B1698&lt;年初日,B1698&gt;年末日),"✗ 日期不在本会计年度",IF(C1698="","✗ 没选账户",IF(COUNTIF(基础资料!$W$5:$W$24,C1698)=0,"✗ 账户不在基础资料里",IF(O1698="","✗ 没选收支项目",IF(P1698="未知","✗ 收支项目不在基础资料里",IF(AND(P1698="应收",J1698=""),"✗ 这笔要选客户",IF(AND(P1698="应收",COUNTIF(总览汇总!$B$5:$B$304,J1698)=0),"✗ 客户不在总览汇总名单里",IF(AND(P1698="应付",K1698=""),"✗ 这笔要选供应商",IF(AND(P1698="应付",COUNTIF(基础资料!$Q$5:$Q$54,K1698)=0),"✗ 供应商不在基础资料里",IF(AND(P1698="费用",L1698=""),"✗ 费用支出要选费用项目",IF(AND(L1698&lt;&gt;"",COUNTIF(基础资料!$AI$5:$AI$54,L1698)=0),"✗ 费用项目不在基础资料里",IF(AND(IFERROR(INDEX(基础资料!$AD$5:$AD$34,MATCH(O1698,基础资料!$AC$5:$AC$34,0)),"")="收",N(G1698)&lt;&gt;0),"✗ 这类是收款，金额填到收入列",IF(AND(IFERROR(INDEX(基础资料!$AD$5:$AD$34,MATCH(O1698,基础资料!$AC$5:$AC$34,0)),"")="支",N(F1698)&lt;&gt;0),"✗ 这类是付款，金额填到支出列",IF(N(H1698)&lt;0,"⚠ 账户余额成负数了，核对一下","√"))))))))))))))))))</f>
      </c>
      <c r="O1698" s="78">
        <f>IF(D1698&lt;&gt;"",D1698,IF(AND(F1698="",G1698=""),"",IF(J1698&lt;&gt;"",IF(N(F1698)&gt;0,"客户回款","客户退款"),IF(K1698&lt;&gt;"",IF(N(G1698)&gt;0,"供应商付款","供应商退款"),IF(L1698&lt;&gt;"","费用支出","")))))</f>
      </c>
      <c r="P1698" s="78">
        <f>IF(O1698="","",IFERROR(INDEX(基础资料!$AE$5:$AE$34,MATCH(O1698,基础资料!$AC$5:$AC$34,0)),"未知"))</f>
      </c>
      <c r="Q1698" s="78">
        <f>IF(P1698="应收",COUNTIF(P$7:P1698,"应收"),"")</f>
      </c>
      <c r="R1698" s="78">
        <f>IF(P1698="应付",COUNTIF(P$7:P1698,"应付"),"")</f>
      </c>
      <c r="S1698" s="78">
        <f>N(F1698)-N(G1698)</f>
        <v>0</v>
      </c>
    </row>
    <row r="1699">
      <c r="A1699" s="109">
        <f>IF(AND(F1699="",G1699=""),"",ROW()-6)</f>
      </c>
      <c r="B1699" s="140" t="n"/>
      <c r="C1699" s="141" t="n"/>
      <c r="D1699" s="141" t="n"/>
      <c r="E1699" s="142" t="n"/>
      <c r="F1699" s="143" t="n"/>
      <c r="G1699" s="144" t="n"/>
      <c r="H1699" s="145">
        <f>IF(OR(C1699="",AND(F1699="",G1699="")),"",SUMIF(基础资料!$W$5:$W$24,C1699,基础资料!$X$5:$X$24)+SUMIF(C$7:C1699,C1699,F$7:F1699)-SUMIF(C$7:C1699,C1699,G$7:G1699))</f>
      </c>
      <c r="I1699" s="145">
        <f>IF(AND(F1699="",G1699=""),"",SUM(基础资料!$X$5:$X$24)+SUM(F$7:F1699)-SUM(G$7:G1699))</f>
      </c>
      <c r="J1699" s="141" t="n"/>
      <c r="K1699" s="141" t="n"/>
      <c r="L1699" s="141" t="n"/>
      <c r="M1699" s="142" t="n"/>
      <c r="N1699" s="146">
        <f>IF(AND(AND(F1699="",G1699=""),B1699="",C1699="",D1699="",J1699="",K1699="",L1699=""),"",IF(AND(F1699="",G1699=""),"✗ 没填金额",IF(AND(N(F1699)&lt;&gt;0,N(G1699)&lt;&gt;0),"✗ 收入、支出只能填一边",IF(NOT(ISNUMBER(B1699)),"✗ 日期不是真日期（要像 2026/9/25 这样填）",IF(OR(B1699&lt;年初日,B1699&gt;年末日),"✗ 日期不在本会计年度",IF(C1699="","✗ 没选账户",IF(COUNTIF(基础资料!$W$5:$W$24,C1699)=0,"✗ 账户不在基础资料里",IF(O1699="","✗ 没选收支项目",IF(P1699="未知","✗ 收支项目不在基础资料里",IF(AND(P1699="应收",J1699=""),"✗ 这笔要选客户",IF(AND(P1699="应收",COUNTIF(总览汇总!$B$5:$B$304,J1699)=0),"✗ 客户不在总览汇总名单里",IF(AND(P1699="应付",K1699=""),"✗ 这笔要选供应商",IF(AND(P1699="应付",COUNTIF(基础资料!$Q$5:$Q$54,K1699)=0),"✗ 供应商不在基础资料里",IF(AND(P1699="费用",L1699=""),"✗ 费用支出要选费用项目",IF(AND(L1699&lt;&gt;"",COUNTIF(基础资料!$AI$5:$AI$54,L1699)=0),"✗ 费用项目不在基础资料里",IF(AND(IFERROR(INDEX(基础资料!$AD$5:$AD$34,MATCH(O1699,基础资料!$AC$5:$AC$34,0)),"")="收",N(G1699)&lt;&gt;0),"✗ 这类是收款，金额填到收入列",IF(AND(IFERROR(INDEX(基础资料!$AD$5:$AD$34,MATCH(O1699,基础资料!$AC$5:$AC$34,0)),"")="支",N(F1699)&lt;&gt;0),"✗ 这类是付款，金额填到支出列",IF(N(H1699)&lt;0,"⚠ 账户余额成负数了，核对一下","√"))))))))))))))))))</f>
      </c>
      <c r="O1699" s="78">
        <f>IF(D1699&lt;&gt;"",D1699,IF(AND(F1699="",G1699=""),"",IF(J1699&lt;&gt;"",IF(N(F1699)&gt;0,"客户回款","客户退款"),IF(K1699&lt;&gt;"",IF(N(G1699)&gt;0,"供应商付款","供应商退款"),IF(L1699&lt;&gt;"","费用支出","")))))</f>
      </c>
      <c r="P1699" s="78">
        <f>IF(O1699="","",IFERROR(INDEX(基础资料!$AE$5:$AE$34,MATCH(O1699,基础资料!$AC$5:$AC$34,0)),"未知"))</f>
      </c>
      <c r="Q1699" s="78">
        <f>IF(P1699="应收",COUNTIF(P$7:P1699,"应收"),"")</f>
      </c>
      <c r="R1699" s="78">
        <f>IF(P1699="应付",COUNTIF(P$7:P1699,"应付"),"")</f>
      </c>
      <c r="S1699" s="78">
        <f>N(F1699)-N(G1699)</f>
        <v>0</v>
      </c>
    </row>
    <row r="1700">
      <c r="A1700" s="109">
        <f>IF(AND(F1700="",G1700=""),"",ROW()-6)</f>
      </c>
      <c r="B1700" s="140" t="n"/>
      <c r="C1700" s="141" t="n"/>
      <c r="D1700" s="141" t="n"/>
      <c r="E1700" s="142" t="n"/>
      <c r="F1700" s="143" t="n"/>
      <c r="G1700" s="144" t="n"/>
      <c r="H1700" s="145">
        <f>IF(OR(C1700="",AND(F1700="",G1700="")),"",SUMIF(基础资料!$W$5:$W$24,C1700,基础资料!$X$5:$X$24)+SUMIF(C$7:C1700,C1700,F$7:F1700)-SUMIF(C$7:C1700,C1700,G$7:G1700))</f>
      </c>
      <c r="I1700" s="145">
        <f>IF(AND(F1700="",G1700=""),"",SUM(基础资料!$X$5:$X$24)+SUM(F$7:F1700)-SUM(G$7:G1700))</f>
      </c>
      <c r="J1700" s="141" t="n"/>
      <c r="K1700" s="141" t="n"/>
      <c r="L1700" s="141" t="n"/>
      <c r="M1700" s="142" t="n"/>
      <c r="N1700" s="146">
        <f>IF(AND(AND(F1700="",G1700=""),B1700="",C1700="",D1700="",J1700="",K1700="",L1700=""),"",IF(AND(F1700="",G1700=""),"✗ 没填金额",IF(AND(N(F1700)&lt;&gt;0,N(G1700)&lt;&gt;0),"✗ 收入、支出只能填一边",IF(NOT(ISNUMBER(B1700)),"✗ 日期不是真日期（要像 2026/9/25 这样填）",IF(OR(B1700&lt;年初日,B1700&gt;年末日),"✗ 日期不在本会计年度",IF(C1700="","✗ 没选账户",IF(COUNTIF(基础资料!$W$5:$W$24,C1700)=0,"✗ 账户不在基础资料里",IF(O1700="","✗ 没选收支项目",IF(P1700="未知","✗ 收支项目不在基础资料里",IF(AND(P1700="应收",J1700=""),"✗ 这笔要选客户",IF(AND(P1700="应收",COUNTIF(总览汇总!$B$5:$B$304,J1700)=0),"✗ 客户不在总览汇总名单里",IF(AND(P1700="应付",K1700=""),"✗ 这笔要选供应商",IF(AND(P1700="应付",COUNTIF(基础资料!$Q$5:$Q$54,K1700)=0),"✗ 供应商不在基础资料里",IF(AND(P1700="费用",L1700=""),"✗ 费用支出要选费用项目",IF(AND(L1700&lt;&gt;"",COUNTIF(基础资料!$AI$5:$AI$54,L1700)=0),"✗ 费用项目不在基础资料里",IF(AND(IFERROR(INDEX(基础资料!$AD$5:$AD$34,MATCH(O1700,基础资料!$AC$5:$AC$34,0)),"")="收",N(G1700)&lt;&gt;0),"✗ 这类是收款，金额填到收入列",IF(AND(IFERROR(INDEX(基础资料!$AD$5:$AD$34,MATCH(O1700,基础资料!$AC$5:$AC$34,0)),"")="支",N(F1700)&lt;&gt;0),"✗ 这类是付款，金额填到支出列",IF(N(H1700)&lt;0,"⚠ 账户余额成负数了，核对一下","√"))))))))))))))))))</f>
      </c>
      <c r="O1700" s="78">
        <f>IF(D1700&lt;&gt;"",D1700,IF(AND(F1700="",G1700=""),"",IF(J1700&lt;&gt;"",IF(N(F1700)&gt;0,"客户回款","客户退款"),IF(K1700&lt;&gt;"",IF(N(G1700)&gt;0,"供应商付款","供应商退款"),IF(L1700&lt;&gt;"","费用支出","")))))</f>
      </c>
      <c r="P1700" s="78">
        <f>IF(O1700="","",IFERROR(INDEX(基础资料!$AE$5:$AE$34,MATCH(O1700,基础资料!$AC$5:$AC$34,0)),"未知"))</f>
      </c>
      <c r="Q1700" s="78">
        <f>IF(P1700="应收",COUNTIF(P$7:P1700,"应收"),"")</f>
      </c>
      <c r="R1700" s="78">
        <f>IF(P1700="应付",COUNTIF(P$7:P1700,"应付"),"")</f>
      </c>
      <c r="S1700" s="78">
        <f>N(F1700)-N(G1700)</f>
        <v>0</v>
      </c>
    </row>
    <row r="1701">
      <c r="A1701" s="109">
        <f>IF(AND(F1701="",G1701=""),"",ROW()-6)</f>
      </c>
      <c r="B1701" s="140" t="n"/>
      <c r="C1701" s="141" t="n"/>
      <c r="D1701" s="141" t="n"/>
      <c r="E1701" s="142" t="n"/>
      <c r="F1701" s="143" t="n"/>
      <c r="G1701" s="144" t="n"/>
      <c r="H1701" s="145">
        <f>IF(OR(C1701="",AND(F1701="",G1701="")),"",SUMIF(基础资料!$W$5:$W$24,C1701,基础资料!$X$5:$X$24)+SUMIF(C$7:C1701,C1701,F$7:F1701)-SUMIF(C$7:C1701,C1701,G$7:G1701))</f>
      </c>
      <c r="I1701" s="145">
        <f>IF(AND(F1701="",G1701=""),"",SUM(基础资料!$X$5:$X$24)+SUM(F$7:F1701)-SUM(G$7:G1701))</f>
      </c>
      <c r="J1701" s="141" t="n"/>
      <c r="K1701" s="141" t="n"/>
      <c r="L1701" s="141" t="n"/>
      <c r="M1701" s="142" t="n"/>
      <c r="N1701" s="146">
        <f>IF(AND(AND(F1701="",G1701=""),B1701="",C1701="",D1701="",J1701="",K1701="",L1701=""),"",IF(AND(F1701="",G1701=""),"✗ 没填金额",IF(AND(N(F1701)&lt;&gt;0,N(G1701)&lt;&gt;0),"✗ 收入、支出只能填一边",IF(NOT(ISNUMBER(B1701)),"✗ 日期不是真日期（要像 2026/9/25 这样填）",IF(OR(B1701&lt;年初日,B1701&gt;年末日),"✗ 日期不在本会计年度",IF(C1701="","✗ 没选账户",IF(COUNTIF(基础资料!$W$5:$W$24,C1701)=0,"✗ 账户不在基础资料里",IF(O1701="","✗ 没选收支项目",IF(P1701="未知","✗ 收支项目不在基础资料里",IF(AND(P1701="应收",J1701=""),"✗ 这笔要选客户",IF(AND(P1701="应收",COUNTIF(总览汇总!$B$5:$B$304,J1701)=0),"✗ 客户不在总览汇总名单里",IF(AND(P1701="应付",K1701=""),"✗ 这笔要选供应商",IF(AND(P1701="应付",COUNTIF(基础资料!$Q$5:$Q$54,K1701)=0),"✗ 供应商不在基础资料里",IF(AND(P1701="费用",L1701=""),"✗ 费用支出要选费用项目",IF(AND(L1701&lt;&gt;"",COUNTIF(基础资料!$AI$5:$AI$54,L1701)=0),"✗ 费用项目不在基础资料里",IF(AND(IFERROR(INDEX(基础资料!$AD$5:$AD$34,MATCH(O1701,基础资料!$AC$5:$AC$34,0)),"")="收",N(G1701)&lt;&gt;0),"✗ 这类是收款，金额填到收入列",IF(AND(IFERROR(INDEX(基础资料!$AD$5:$AD$34,MATCH(O1701,基础资料!$AC$5:$AC$34,0)),"")="支",N(F1701)&lt;&gt;0),"✗ 这类是付款，金额填到支出列",IF(N(H1701)&lt;0,"⚠ 账户余额成负数了，核对一下","√"))))))))))))))))))</f>
      </c>
      <c r="O1701" s="78">
        <f>IF(D1701&lt;&gt;"",D1701,IF(AND(F1701="",G1701=""),"",IF(J1701&lt;&gt;"",IF(N(F1701)&gt;0,"客户回款","客户退款"),IF(K1701&lt;&gt;"",IF(N(G1701)&gt;0,"供应商付款","供应商退款"),IF(L1701&lt;&gt;"","费用支出","")))))</f>
      </c>
      <c r="P1701" s="78">
        <f>IF(O1701="","",IFERROR(INDEX(基础资料!$AE$5:$AE$34,MATCH(O1701,基础资料!$AC$5:$AC$34,0)),"未知"))</f>
      </c>
      <c r="Q1701" s="78">
        <f>IF(P1701="应收",COUNTIF(P$7:P1701,"应收"),"")</f>
      </c>
      <c r="R1701" s="78">
        <f>IF(P1701="应付",COUNTIF(P$7:P1701,"应付"),"")</f>
      </c>
      <c r="S1701" s="78">
        <f>N(F1701)-N(G1701)</f>
        <v>0</v>
      </c>
    </row>
    <row r="1702">
      <c r="A1702" s="109">
        <f>IF(AND(F1702="",G1702=""),"",ROW()-6)</f>
      </c>
      <c r="B1702" s="140" t="n"/>
      <c r="C1702" s="141" t="n"/>
      <c r="D1702" s="141" t="n"/>
      <c r="E1702" s="142" t="n"/>
      <c r="F1702" s="143" t="n"/>
      <c r="G1702" s="144" t="n"/>
      <c r="H1702" s="145">
        <f>IF(OR(C1702="",AND(F1702="",G1702="")),"",SUMIF(基础资料!$W$5:$W$24,C1702,基础资料!$X$5:$X$24)+SUMIF(C$7:C1702,C1702,F$7:F1702)-SUMIF(C$7:C1702,C1702,G$7:G1702))</f>
      </c>
      <c r="I1702" s="145">
        <f>IF(AND(F1702="",G1702=""),"",SUM(基础资料!$X$5:$X$24)+SUM(F$7:F1702)-SUM(G$7:G1702))</f>
      </c>
      <c r="J1702" s="141" t="n"/>
      <c r="K1702" s="141" t="n"/>
      <c r="L1702" s="141" t="n"/>
      <c r="M1702" s="142" t="n"/>
      <c r="N1702" s="146">
        <f>IF(AND(AND(F1702="",G1702=""),B1702="",C1702="",D1702="",J1702="",K1702="",L1702=""),"",IF(AND(F1702="",G1702=""),"✗ 没填金额",IF(AND(N(F1702)&lt;&gt;0,N(G1702)&lt;&gt;0),"✗ 收入、支出只能填一边",IF(NOT(ISNUMBER(B1702)),"✗ 日期不是真日期（要像 2026/9/25 这样填）",IF(OR(B1702&lt;年初日,B1702&gt;年末日),"✗ 日期不在本会计年度",IF(C1702="","✗ 没选账户",IF(COUNTIF(基础资料!$W$5:$W$24,C1702)=0,"✗ 账户不在基础资料里",IF(O1702="","✗ 没选收支项目",IF(P1702="未知","✗ 收支项目不在基础资料里",IF(AND(P1702="应收",J1702=""),"✗ 这笔要选客户",IF(AND(P1702="应收",COUNTIF(总览汇总!$B$5:$B$304,J1702)=0),"✗ 客户不在总览汇总名单里",IF(AND(P1702="应付",K1702=""),"✗ 这笔要选供应商",IF(AND(P1702="应付",COUNTIF(基础资料!$Q$5:$Q$54,K1702)=0),"✗ 供应商不在基础资料里",IF(AND(P1702="费用",L1702=""),"✗ 费用支出要选费用项目",IF(AND(L1702&lt;&gt;"",COUNTIF(基础资料!$AI$5:$AI$54,L1702)=0),"✗ 费用项目不在基础资料里",IF(AND(IFERROR(INDEX(基础资料!$AD$5:$AD$34,MATCH(O1702,基础资料!$AC$5:$AC$34,0)),"")="收",N(G1702)&lt;&gt;0),"✗ 这类是收款，金额填到收入列",IF(AND(IFERROR(INDEX(基础资料!$AD$5:$AD$34,MATCH(O1702,基础资料!$AC$5:$AC$34,0)),"")="支",N(F1702)&lt;&gt;0),"✗ 这类是付款，金额填到支出列",IF(N(H1702)&lt;0,"⚠ 账户余额成负数了，核对一下","√"))))))))))))))))))</f>
      </c>
      <c r="O1702" s="78">
        <f>IF(D1702&lt;&gt;"",D1702,IF(AND(F1702="",G1702=""),"",IF(J1702&lt;&gt;"",IF(N(F1702)&gt;0,"客户回款","客户退款"),IF(K1702&lt;&gt;"",IF(N(G1702)&gt;0,"供应商付款","供应商退款"),IF(L1702&lt;&gt;"","费用支出","")))))</f>
      </c>
      <c r="P1702" s="78">
        <f>IF(O1702="","",IFERROR(INDEX(基础资料!$AE$5:$AE$34,MATCH(O1702,基础资料!$AC$5:$AC$34,0)),"未知"))</f>
      </c>
      <c r="Q1702" s="78">
        <f>IF(P1702="应收",COUNTIF(P$7:P1702,"应收"),"")</f>
      </c>
      <c r="R1702" s="78">
        <f>IF(P1702="应付",COUNTIF(P$7:P1702,"应付"),"")</f>
      </c>
      <c r="S1702" s="78">
        <f>N(F1702)-N(G1702)</f>
        <v>0</v>
      </c>
    </row>
    <row r="1703">
      <c r="A1703" s="109">
        <f>IF(AND(F1703="",G1703=""),"",ROW()-6)</f>
      </c>
      <c r="B1703" s="140" t="n"/>
      <c r="C1703" s="141" t="n"/>
      <c r="D1703" s="141" t="n"/>
      <c r="E1703" s="142" t="n"/>
      <c r="F1703" s="143" t="n"/>
      <c r="G1703" s="144" t="n"/>
      <c r="H1703" s="145">
        <f>IF(OR(C1703="",AND(F1703="",G1703="")),"",SUMIF(基础资料!$W$5:$W$24,C1703,基础资料!$X$5:$X$24)+SUMIF(C$7:C1703,C1703,F$7:F1703)-SUMIF(C$7:C1703,C1703,G$7:G1703))</f>
      </c>
      <c r="I1703" s="145">
        <f>IF(AND(F1703="",G1703=""),"",SUM(基础资料!$X$5:$X$24)+SUM(F$7:F1703)-SUM(G$7:G1703))</f>
      </c>
      <c r="J1703" s="141" t="n"/>
      <c r="K1703" s="141" t="n"/>
      <c r="L1703" s="141" t="n"/>
      <c r="M1703" s="142" t="n"/>
      <c r="N1703" s="146">
        <f>IF(AND(AND(F1703="",G1703=""),B1703="",C1703="",D1703="",J1703="",K1703="",L1703=""),"",IF(AND(F1703="",G1703=""),"✗ 没填金额",IF(AND(N(F1703)&lt;&gt;0,N(G1703)&lt;&gt;0),"✗ 收入、支出只能填一边",IF(NOT(ISNUMBER(B1703)),"✗ 日期不是真日期（要像 2026/9/25 这样填）",IF(OR(B1703&lt;年初日,B1703&gt;年末日),"✗ 日期不在本会计年度",IF(C1703="","✗ 没选账户",IF(COUNTIF(基础资料!$W$5:$W$24,C1703)=0,"✗ 账户不在基础资料里",IF(O1703="","✗ 没选收支项目",IF(P1703="未知","✗ 收支项目不在基础资料里",IF(AND(P1703="应收",J1703=""),"✗ 这笔要选客户",IF(AND(P1703="应收",COUNTIF(总览汇总!$B$5:$B$304,J1703)=0),"✗ 客户不在总览汇总名单里",IF(AND(P1703="应付",K1703=""),"✗ 这笔要选供应商",IF(AND(P1703="应付",COUNTIF(基础资料!$Q$5:$Q$54,K1703)=0),"✗ 供应商不在基础资料里",IF(AND(P1703="费用",L1703=""),"✗ 费用支出要选费用项目",IF(AND(L1703&lt;&gt;"",COUNTIF(基础资料!$AI$5:$AI$54,L1703)=0),"✗ 费用项目不在基础资料里",IF(AND(IFERROR(INDEX(基础资料!$AD$5:$AD$34,MATCH(O1703,基础资料!$AC$5:$AC$34,0)),"")="收",N(G1703)&lt;&gt;0),"✗ 这类是收款，金额填到收入列",IF(AND(IFERROR(INDEX(基础资料!$AD$5:$AD$34,MATCH(O1703,基础资料!$AC$5:$AC$34,0)),"")="支",N(F1703)&lt;&gt;0),"✗ 这类是付款，金额填到支出列",IF(N(H1703)&lt;0,"⚠ 账户余额成负数了，核对一下","√"))))))))))))))))))</f>
      </c>
      <c r="O1703" s="78">
        <f>IF(D1703&lt;&gt;"",D1703,IF(AND(F1703="",G1703=""),"",IF(J1703&lt;&gt;"",IF(N(F1703)&gt;0,"客户回款","客户退款"),IF(K1703&lt;&gt;"",IF(N(G1703)&gt;0,"供应商付款","供应商退款"),IF(L1703&lt;&gt;"","费用支出","")))))</f>
      </c>
      <c r="P1703" s="78">
        <f>IF(O1703="","",IFERROR(INDEX(基础资料!$AE$5:$AE$34,MATCH(O1703,基础资料!$AC$5:$AC$34,0)),"未知"))</f>
      </c>
      <c r="Q1703" s="78">
        <f>IF(P1703="应收",COUNTIF(P$7:P1703,"应收"),"")</f>
      </c>
      <c r="R1703" s="78">
        <f>IF(P1703="应付",COUNTIF(P$7:P1703,"应付"),"")</f>
      </c>
      <c r="S1703" s="78">
        <f>N(F1703)-N(G1703)</f>
        <v>0</v>
      </c>
    </row>
    <row r="1704">
      <c r="A1704" s="109">
        <f>IF(AND(F1704="",G1704=""),"",ROW()-6)</f>
      </c>
      <c r="B1704" s="140" t="n"/>
      <c r="C1704" s="141" t="n"/>
      <c r="D1704" s="141" t="n"/>
      <c r="E1704" s="142" t="n"/>
      <c r="F1704" s="143" t="n"/>
      <c r="G1704" s="144" t="n"/>
      <c r="H1704" s="145">
        <f>IF(OR(C1704="",AND(F1704="",G1704="")),"",SUMIF(基础资料!$W$5:$W$24,C1704,基础资料!$X$5:$X$24)+SUMIF(C$7:C1704,C1704,F$7:F1704)-SUMIF(C$7:C1704,C1704,G$7:G1704))</f>
      </c>
      <c r="I1704" s="145">
        <f>IF(AND(F1704="",G1704=""),"",SUM(基础资料!$X$5:$X$24)+SUM(F$7:F1704)-SUM(G$7:G1704))</f>
      </c>
      <c r="J1704" s="141" t="n"/>
      <c r="K1704" s="141" t="n"/>
      <c r="L1704" s="141" t="n"/>
      <c r="M1704" s="142" t="n"/>
      <c r="N1704" s="146">
        <f>IF(AND(AND(F1704="",G1704=""),B1704="",C1704="",D1704="",J1704="",K1704="",L1704=""),"",IF(AND(F1704="",G1704=""),"✗ 没填金额",IF(AND(N(F1704)&lt;&gt;0,N(G1704)&lt;&gt;0),"✗ 收入、支出只能填一边",IF(NOT(ISNUMBER(B1704)),"✗ 日期不是真日期（要像 2026/9/25 这样填）",IF(OR(B1704&lt;年初日,B1704&gt;年末日),"✗ 日期不在本会计年度",IF(C1704="","✗ 没选账户",IF(COUNTIF(基础资料!$W$5:$W$24,C1704)=0,"✗ 账户不在基础资料里",IF(O1704="","✗ 没选收支项目",IF(P1704="未知","✗ 收支项目不在基础资料里",IF(AND(P1704="应收",J1704=""),"✗ 这笔要选客户",IF(AND(P1704="应收",COUNTIF(总览汇总!$B$5:$B$304,J1704)=0),"✗ 客户不在总览汇总名单里",IF(AND(P1704="应付",K1704=""),"✗ 这笔要选供应商",IF(AND(P1704="应付",COUNTIF(基础资料!$Q$5:$Q$54,K1704)=0),"✗ 供应商不在基础资料里",IF(AND(P1704="费用",L1704=""),"✗ 费用支出要选费用项目",IF(AND(L1704&lt;&gt;"",COUNTIF(基础资料!$AI$5:$AI$54,L1704)=0),"✗ 费用项目不在基础资料里",IF(AND(IFERROR(INDEX(基础资料!$AD$5:$AD$34,MATCH(O1704,基础资料!$AC$5:$AC$34,0)),"")="收",N(G1704)&lt;&gt;0),"✗ 这类是收款，金额填到收入列",IF(AND(IFERROR(INDEX(基础资料!$AD$5:$AD$34,MATCH(O1704,基础资料!$AC$5:$AC$34,0)),"")="支",N(F1704)&lt;&gt;0),"✗ 这类是付款，金额填到支出列",IF(N(H1704)&lt;0,"⚠ 账户余额成负数了，核对一下","√"))))))))))))))))))</f>
      </c>
      <c r="O1704" s="78">
        <f>IF(D1704&lt;&gt;"",D1704,IF(AND(F1704="",G1704=""),"",IF(J1704&lt;&gt;"",IF(N(F1704)&gt;0,"客户回款","客户退款"),IF(K1704&lt;&gt;"",IF(N(G1704)&gt;0,"供应商付款","供应商退款"),IF(L1704&lt;&gt;"","费用支出","")))))</f>
      </c>
      <c r="P1704" s="78">
        <f>IF(O1704="","",IFERROR(INDEX(基础资料!$AE$5:$AE$34,MATCH(O1704,基础资料!$AC$5:$AC$34,0)),"未知"))</f>
      </c>
      <c r="Q1704" s="78">
        <f>IF(P1704="应收",COUNTIF(P$7:P1704,"应收"),"")</f>
      </c>
      <c r="R1704" s="78">
        <f>IF(P1704="应付",COUNTIF(P$7:P1704,"应付"),"")</f>
      </c>
      <c r="S1704" s="78">
        <f>N(F1704)-N(G1704)</f>
        <v>0</v>
      </c>
    </row>
    <row r="1705">
      <c r="A1705" s="109">
        <f>IF(AND(F1705="",G1705=""),"",ROW()-6)</f>
      </c>
      <c r="B1705" s="140" t="n"/>
      <c r="C1705" s="141" t="n"/>
      <c r="D1705" s="141" t="n"/>
      <c r="E1705" s="142" t="n"/>
      <c r="F1705" s="143" t="n"/>
      <c r="G1705" s="144" t="n"/>
      <c r="H1705" s="145">
        <f>IF(OR(C1705="",AND(F1705="",G1705="")),"",SUMIF(基础资料!$W$5:$W$24,C1705,基础资料!$X$5:$X$24)+SUMIF(C$7:C1705,C1705,F$7:F1705)-SUMIF(C$7:C1705,C1705,G$7:G1705))</f>
      </c>
      <c r="I1705" s="145">
        <f>IF(AND(F1705="",G1705=""),"",SUM(基础资料!$X$5:$X$24)+SUM(F$7:F1705)-SUM(G$7:G1705))</f>
      </c>
      <c r="J1705" s="141" t="n"/>
      <c r="K1705" s="141" t="n"/>
      <c r="L1705" s="141" t="n"/>
      <c r="M1705" s="142" t="n"/>
      <c r="N1705" s="146">
        <f>IF(AND(AND(F1705="",G1705=""),B1705="",C1705="",D1705="",J1705="",K1705="",L1705=""),"",IF(AND(F1705="",G1705=""),"✗ 没填金额",IF(AND(N(F1705)&lt;&gt;0,N(G1705)&lt;&gt;0),"✗ 收入、支出只能填一边",IF(NOT(ISNUMBER(B1705)),"✗ 日期不是真日期（要像 2026/9/25 这样填）",IF(OR(B1705&lt;年初日,B1705&gt;年末日),"✗ 日期不在本会计年度",IF(C1705="","✗ 没选账户",IF(COUNTIF(基础资料!$W$5:$W$24,C1705)=0,"✗ 账户不在基础资料里",IF(O1705="","✗ 没选收支项目",IF(P1705="未知","✗ 收支项目不在基础资料里",IF(AND(P1705="应收",J1705=""),"✗ 这笔要选客户",IF(AND(P1705="应收",COUNTIF(总览汇总!$B$5:$B$304,J1705)=0),"✗ 客户不在总览汇总名单里",IF(AND(P1705="应付",K1705=""),"✗ 这笔要选供应商",IF(AND(P1705="应付",COUNTIF(基础资料!$Q$5:$Q$54,K1705)=0),"✗ 供应商不在基础资料里",IF(AND(P1705="费用",L1705=""),"✗ 费用支出要选费用项目",IF(AND(L1705&lt;&gt;"",COUNTIF(基础资料!$AI$5:$AI$54,L1705)=0),"✗ 费用项目不在基础资料里",IF(AND(IFERROR(INDEX(基础资料!$AD$5:$AD$34,MATCH(O1705,基础资料!$AC$5:$AC$34,0)),"")="收",N(G1705)&lt;&gt;0),"✗ 这类是收款，金额填到收入列",IF(AND(IFERROR(INDEX(基础资料!$AD$5:$AD$34,MATCH(O1705,基础资料!$AC$5:$AC$34,0)),"")="支",N(F1705)&lt;&gt;0),"✗ 这类是付款，金额填到支出列",IF(N(H1705)&lt;0,"⚠ 账户余额成负数了，核对一下","√"))))))))))))))))))</f>
      </c>
      <c r="O1705" s="78">
        <f>IF(D1705&lt;&gt;"",D1705,IF(AND(F1705="",G1705=""),"",IF(J1705&lt;&gt;"",IF(N(F1705)&gt;0,"客户回款","客户退款"),IF(K1705&lt;&gt;"",IF(N(G1705)&gt;0,"供应商付款","供应商退款"),IF(L1705&lt;&gt;"","费用支出","")))))</f>
      </c>
      <c r="P1705" s="78">
        <f>IF(O1705="","",IFERROR(INDEX(基础资料!$AE$5:$AE$34,MATCH(O1705,基础资料!$AC$5:$AC$34,0)),"未知"))</f>
      </c>
      <c r="Q1705" s="78">
        <f>IF(P1705="应收",COUNTIF(P$7:P1705,"应收"),"")</f>
      </c>
      <c r="R1705" s="78">
        <f>IF(P1705="应付",COUNTIF(P$7:P1705,"应付"),"")</f>
      </c>
      <c r="S1705" s="78">
        <f>N(F1705)-N(G1705)</f>
        <v>0</v>
      </c>
    </row>
    <row r="1706">
      <c r="A1706" s="109">
        <f>IF(AND(F1706="",G1706=""),"",ROW()-6)</f>
      </c>
      <c r="B1706" s="140" t="n"/>
      <c r="C1706" s="141" t="n"/>
      <c r="D1706" s="141" t="n"/>
      <c r="E1706" s="142" t="n"/>
      <c r="F1706" s="143" t="n"/>
      <c r="G1706" s="144" t="n"/>
      <c r="H1706" s="145">
        <f>IF(OR(C1706="",AND(F1706="",G1706="")),"",SUMIF(基础资料!$W$5:$W$24,C1706,基础资料!$X$5:$X$24)+SUMIF(C$7:C1706,C1706,F$7:F1706)-SUMIF(C$7:C1706,C1706,G$7:G1706))</f>
      </c>
      <c r="I1706" s="145">
        <f>IF(AND(F1706="",G1706=""),"",SUM(基础资料!$X$5:$X$24)+SUM(F$7:F1706)-SUM(G$7:G1706))</f>
      </c>
      <c r="J1706" s="141" t="n"/>
      <c r="K1706" s="141" t="n"/>
      <c r="L1706" s="141" t="n"/>
      <c r="M1706" s="142" t="n"/>
      <c r="N1706" s="146">
        <f>IF(AND(AND(F1706="",G1706=""),B1706="",C1706="",D1706="",J1706="",K1706="",L1706=""),"",IF(AND(F1706="",G1706=""),"✗ 没填金额",IF(AND(N(F1706)&lt;&gt;0,N(G1706)&lt;&gt;0),"✗ 收入、支出只能填一边",IF(NOT(ISNUMBER(B1706)),"✗ 日期不是真日期（要像 2026/9/25 这样填）",IF(OR(B1706&lt;年初日,B1706&gt;年末日),"✗ 日期不在本会计年度",IF(C1706="","✗ 没选账户",IF(COUNTIF(基础资料!$W$5:$W$24,C1706)=0,"✗ 账户不在基础资料里",IF(O1706="","✗ 没选收支项目",IF(P1706="未知","✗ 收支项目不在基础资料里",IF(AND(P1706="应收",J1706=""),"✗ 这笔要选客户",IF(AND(P1706="应收",COUNTIF(总览汇总!$B$5:$B$304,J1706)=0),"✗ 客户不在总览汇总名单里",IF(AND(P1706="应付",K1706=""),"✗ 这笔要选供应商",IF(AND(P1706="应付",COUNTIF(基础资料!$Q$5:$Q$54,K1706)=0),"✗ 供应商不在基础资料里",IF(AND(P1706="费用",L1706=""),"✗ 费用支出要选费用项目",IF(AND(L1706&lt;&gt;"",COUNTIF(基础资料!$AI$5:$AI$54,L1706)=0),"✗ 费用项目不在基础资料里",IF(AND(IFERROR(INDEX(基础资料!$AD$5:$AD$34,MATCH(O1706,基础资料!$AC$5:$AC$34,0)),"")="收",N(G1706)&lt;&gt;0),"✗ 这类是收款，金额填到收入列",IF(AND(IFERROR(INDEX(基础资料!$AD$5:$AD$34,MATCH(O1706,基础资料!$AC$5:$AC$34,0)),"")="支",N(F1706)&lt;&gt;0),"✗ 这类是付款，金额填到支出列",IF(N(H1706)&lt;0,"⚠ 账户余额成负数了，核对一下","√"))))))))))))))))))</f>
      </c>
      <c r="O1706" s="78">
        <f>IF(D1706&lt;&gt;"",D1706,IF(AND(F1706="",G1706=""),"",IF(J1706&lt;&gt;"",IF(N(F1706)&gt;0,"客户回款","客户退款"),IF(K1706&lt;&gt;"",IF(N(G1706)&gt;0,"供应商付款","供应商退款"),IF(L1706&lt;&gt;"","费用支出","")))))</f>
      </c>
      <c r="P1706" s="78">
        <f>IF(O1706="","",IFERROR(INDEX(基础资料!$AE$5:$AE$34,MATCH(O1706,基础资料!$AC$5:$AC$34,0)),"未知"))</f>
      </c>
      <c r="Q1706" s="78">
        <f>IF(P1706="应收",COUNTIF(P$7:P1706,"应收"),"")</f>
      </c>
      <c r="R1706" s="78">
        <f>IF(P1706="应付",COUNTIF(P$7:P1706,"应付"),"")</f>
      </c>
      <c r="S1706" s="78">
        <f>N(F1706)-N(G1706)</f>
        <v>0</v>
      </c>
    </row>
    <row r="1707">
      <c r="A1707" s="109">
        <f>IF(AND(F1707="",G1707=""),"",ROW()-6)</f>
      </c>
      <c r="B1707" s="140" t="n"/>
      <c r="C1707" s="141" t="n"/>
      <c r="D1707" s="141" t="n"/>
      <c r="E1707" s="142" t="n"/>
      <c r="F1707" s="143" t="n"/>
      <c r="G1707" s="144" t="n"/>
      <c r="H1707" s="145">
        <f>IF(OR(C1707="",AND(F1707="",G1707="")),"",SUMIF(基础资料!$W$5:$W$24,C1707,基础资料!$X$5:$X$24)+SUMIF(C$7:C1707,C1707,F$7:F1707)-SUMIF(C$7:C1707,C1707,G$7:G1707))</f>
      </c>
      <c r="I1707" s="145">
        <f>IF(AND(F1707="",G1707=""),"",SUM(基础资料!$X$5:$X$24)+SUM(F$7:F1707)-SUM(G$7:G1707))</f>
      </c>
      <c r="J1707" s="141" t="n"/>
      <c r="K1707" s="141" t="n"/>
      <c r="L1707" s="141" t="n"/>
      <c r="M1707" s="142" t="n"/>
      <c r="N1707" s="146">
        <f>IF(AND(AND(F1707="",G1707=""),B1707="",C1707="",D1707="",J1707="",K1707="",L1707=""),"",IF(AND(F1707="",G1707=""),"✗ 没填金额",IF(AND(N(F1707)&lt;&gt;0,N(G1707)&lt;&gt;0),"✗ 收入、支出只能填一边",IF(NOT(ISNUMBER(B1707)),"✗ 日期不是真日期（要像 2026/9/25 这样填）",IF(OR(B1707&lt;年初日,B1707&gt;年末日),"✗ 日期不在本会计年度",IF(C1707="","✗ 没选账户",IF(COUNTIF(基础资料!$W$5:$W$24,C1707)=0,"✗ 账户不在基础资料里",IF(O1707="","✗ 没选收支项目",IF(P1707="未知","✗ 收支项目不在基础资料里",IF(AND(P1707="应收",J1707=""),"✗ 这笔要选客户",IF(AND(P1707="应收",COUNTIF(总览汇总!$B$5:$B$304,J1707)=0),"✗ 客户不在总览汇总名单里",IF(AND(P1707="应付",K1707=""),"✗ 这笔要选供应商",IF(AND(P1707="应付",COUNTIF(基础资料!$Q$5:$Q$54,K1707)=0),"✗ 供应商不在基础资料里",IF(AND(P1707="费用",L1707=""),"✗ 费用支出要选费用项目",IF(AND(L1707&lt;&gt;"",COUNTIF(基础资料!$AI$5:$AI$54,L1707)=0),"✗ 费用项目不在基础资料里",IF(AND(IFERROR(INDEX(基础资料!$AD$5:$AD$34,MATCH(O1707,基础资料!$AC$5:$AC$34,0)),"")="收",N(G1707)&lt;&gt;0),"✗ 这类是收款，金额填到收入列",IF(AND(IFERROR(INDEX(基础资料!$AD$5:$AD$34,MATCH(O1707,基础资料!$AC$5:$AC$34,0)),"")="支",N(F1707)&lt;&gt;0),"✗ 这类是付款，金额填到支出列",IF(N(H1707)&lt;0,"⚠ 账户余额成负数了，核对一下","√"))))))))))))))))))</f>
      </c>
      <c r="O1707" s="78">
        <f>IF(D1707&lt;&gt;"",D1707,IF(AND(F1707="",G1707=""),"",IF(J1707&lt;&gt;"",IF(N(F1707)&gt;0,"客户回款","客户退款"),IF(K1707&lt;&gt;"",IF(N(G1707)&gt;0,"供应商付款","供应商退款"),IF(L1707&lt;&gt;"","费用支出","")))))</f>
      </c>
      <c r="P1707" s="78">
        <f>IF(O1707="","",IFERROR(INDEX(基础资料!$AE$5:$AE$34,MATCH(O1707,基础资料!$AC$5:$AC$34,0)),"未知"))</f>
      </c>
      <c r="Q1707" s="78">
        <f>IF(P1707="应收",COUNTIF(P$7:P1707,"应收"),"")</f>
      </c>
      <c r="R1707" s="78">
        <f>IF(P1707="应付",COUNTIF(P$7:P1707,"应付"),"")</f>
      </c>
      <c r="S1707" s="78">
        <f>N(F1707)-N(G1707)</f>
        <v>0</v>
      </c>
    </row>
    <row r="1708">
      <c r="A1708" s="109">
        <f>IF(AND(F1708="",G1708=""),"",ROW()-6)</f>
      </c>
      <c r="B1708" s="140" t="n"/>
      <c r="C1708" s="141" t="n"/>
      <c r="D1708" s="141" t="n"/>
      <c r="E1708" s="142" t="n"/>
      <c r="F1708" s="143" t="n"/>
      <c r="G1708" s="144" t="n"/>
      <c r="H1708" s="145">
        <f>IF(OR(C1708="",AND(F1708="",G1708="")),"",SUMIF(基础资料!$W$5:$W$24,C1708,基础资料!$X$5:$X$24)+SUMIF(C$7:C1708,C1708,F$7:F1708)-SUMIF(C$7:C1708,C1708,G$7:G1708))</f>
      </c>
      <c r="I1708" s="145">
        <f>IF(AND(F1708="",G1708=""),"",SUM(基础资料!$X$5:$X$24)+SUM(F$7:F1708)-SUM(G$7:G1708))</f>
      </c>
      <c r="J1708" s="141" t="n"/>
      <c r="K1708" s="141" t="n"/>
      <c r="L1708" s="141" t="n"/>
      <c r="M1708" s="142" t="n"/>
      <c r="N1708" s="146">
        <f>IF(AND(AND(F1708="",G1708=""),B1708="",C1708="",D1708="",J1708="",K1708="",L1708=""),"",IF(AND(F1708="",G1708=""),"✗ 没填金额",IF(AND(N(F1708)&lt;&gt;0,N(G1708)&lt;&gt;0),"✗ 收入、支出只能填一边",IF(NOT(ISNUMBER(B1708)),"✗ 日期不是真日期（要像 2026/9/25 这样填）",IF(OR(B1708&lt;年初日,B1708&gt;年末日),"✗ 日期不在本会计年度",IF(C1708="","✗ 没选账户",IF(COUNTIF(基础资料!$W$5:$W$24,C1708)=0,"✗ 账户不在基础资料里",IF(O1708="","✗ 没选收支项目",IF(P1708="未知","✗ 收支项目不在基础资料里",IF(AND(P1708="应收",J1708=""),"✗ 这笔要选客户",IF(AND(P1708="应收",COUNTIF(总览汇总!$B$5:$B$304,J1708)=0),"✗ 客户不在总览汇总名单里",IF(AND(P1708="应付",K1708=""),"✗ 这笔要选供应商",IF(AND(P1708="应付",COUNTIF(基础资料!$Q$5:$Q$54,K1708)=0),"✗ 供应商不在基础资料里",IF(AND(P1708="费用",L1708=""),"✗ 费用支出要选费用项目",IF(AND(L1708&lt;&gt;"",COUNTIF(基础资料!$AI$5:$AI$54,L1708)=0),"✗ 费用项目不在基础资料里",IF(AND(IFERROR(INDEX(基础资料!$AD$5:$AD$34,MATCH(O1708,基础资料!$AC$5:$AC$34,0)),"")="收",N(G1708)&lt;&gt;0),"✗ 这类是收款，金额填到收入列",IF(AND(IFERROR(INDEX(基础资料!$AD$5:$AD$34,MATCH(O1708,基础资料!$AC$5:$AC$34,0)),"")="支",N(F1708)&lt;&gt;0),"✗ 这类是付款，金额填到支出列",IF(N(H1708)&lt;0,"⚠ 账户余额成负数了，核对一下","√"))))))))))))))))))</f>
      </c>
      <c r="O1708" s="78">
        <f>IF(D1708&lt;&gt;"",D1708,IF(AND(F1708="",G1708=""),"",IF(J1708&lt;&gt;"",IF(N(F1708)&gt;0,"客户回款","客户退款"),IF(K1708&lt;&gt;"",IF(N(G1708)&gt;0,"供应商付款","供应商退款"),IF(L1708&lt;&gt;"","费用支出","")))))</f>
      </c>
      <c r="P1708" s="78">
        <f>IF(O1708="","",IFERROR(INDEX(基础资料!$AE$5:$AE$34,MATCH(O1708,基础资料!$AC$5:$AC$34,0)),"未知"))</f>
      </c>
      <c r="Q1708" s="78">
        <f>IF(P1708="应收",COUNTIF(P$7:P1708,"应收"),"")</f>
      </c>
      <c r="R1708" s="78">
        <f>IF(P1708="应付",COUNTIF(P$7:P1708,"应付"),"")</f>
      </c>
      <c r="S1708" s="78">
        <f>N(F1708)-N(G1708)</f>
        <v>0</v>
      </c>
    </row>
    <row r="1709">
      <c r="A1709" s="109">
        <f>IF(AND(F1709="",G1709=""),"",ROW()-6)</f>
      </c>
      <c r="B1709" s="140" t="n"/>
      <c r="C1709" s="141" t="n"/>
      <c r="D1709" s="141" t="n"/>
      <c r="E1709" s="142" t="n"/>
      <c r="F1709" s="143" t="n"/>
      <c r="G1709" s="144" t="n"/>
      <c r="H1709" s="145">
        <f>IF(OR(C1709="",AND(F1709="",G1709="")),"",SUMIF(基础资料!$W$5:$W$24,C1709,基础资料!$X$5:$X$24)+SUMIF(C$7:C1709,C1709,F$7:F1709)-SUMIF(C$7:C1709,C1709,G$7:G1709))</f>
      </c>
      <c r="I1709" s="145">
        <f>IF(AND(F1709="",G1709=""),"",SUM(基础资料!$X$5:$X$24)+SUM(F$7:F1709)-SUM(G$7:G1709))</f>
      </c>
      <c r="J1709" s="141" t="n"/>
      <c r="K1709" s="141" t="n"/>
      <c r="L1709" s="141" t="n"/>
      <c r="M1709" s="142" t="n"/>
      <c r="N1709" s="146">
        <f>IF(AND(AND(F1709="",G1709=""),B1709="",C1709="",D1709="",J1709="",K1709="",L1709=""),"",IF(AND(F1709="",G1709=""),"✗ 没填金额",IF(AND(N(F1709)&lt;&gt;0,N(G1709)&lt;&gt;0),"✗ 收入、支出只能填一边",IF(NOT(ISNUMBER(B1709)),"✗ 日期不是真日期（要像 2026/9/25 这样填）",IF(OR(B1709&lt;年初日,B1709&gt;年末日),"✗ 日期不在本会计年度",IF(C1709="","✗ 没选账户",IF(COUNTIF(基础资料!$W$5:$W$24,C1709)=0,"✗ 账户不在基础资料里",IF(O1709="","✗ 没选收支项目",IF(P1709="未知","✗ 收支项目不在基础资料里",IF(AND(P1709="应收",J1709=""),"✗ 这笔要选客户",IF(AND(P1709="应收",COUNTIF(总览汇总!$B$5:$B$304,J1709)=0),"✗ 客户不在总览汇总名单里",IF(AND(P1709="应付",K1709=""),"✗ 这笔要选供应商",IF(AND(P1709="应付",COUNTIF(基础资料!$Q$5:$Q$54,K1709)=0),"✗ 供应商不在基础资料里",IF(AND(P1709="费用",L1709=""),"✗ 费用支出要选费用项目",IF(AND(L1709&lt;&gt;"",COUNTIF(基础资料!$AI$5:$AI$54,L1709)=0),"✗ 费用项目不在基础资料里",IF(AND(IFERROR(INDEX(基础资料!$AD$5:$AD$34,MATCH(O1709,基础资料!$AC$5:$AC$34,0)),"")="收",N(G1709)&lt;&gt;0),"✗ 这类是收款，金额填到收入列",IF(AND(IFERROR(INDEX(基础资料!$AD$5:$AD$34,MATCH(O1709,基础资料!$AC$5:$AC$34,0)),"")="支",N(F1709)&lt;&gt;0),"✗ 这类是付款，金额填到支出列",IF(N(H1709)&lt;0,"⚠ 账户余额成负数了，核对一下","√"))))))))))))))))))</f>
      </c>
      <c r="O1709" s="78">
        <f>IF(D1709&lt;&gt;"",D1709,IF(AND(F1709="",G1709=""),"",IF(J1709&lt;&gt;"",IF(N(F1709)&gt;0,"客户回款","客户退款"),IF(K1709&lt;&gt;"",IF(N(G1709)&gt;0,"供应商付款","供应商退款"),IF(L1709&lt;&gt;"","费用支出","")))))</f>
      </c>
      <c r="P1709" s="78">
        <f>IF(O1709="","",IFERROR(INDEX(基础资料!$AE$5:$AE$34,MATCH(O1709,基础资料!$AC$5:$AC$34,0)),"未知"))</f>
      </c>
      <c r="Q1709" s="78">
        <f>IF(P1709="应收",COUNTIF(P$7:P1709,"应收"),"")</f>
      </c>
      <c r="R1709" s="78">
        <f>IF(P1709="应付",COUNTIF(P$7:P1709,"应付"),"")</f>
      </c>
      <c r="S1709" s="78">
        <f>N(F1709)-N(G1709)</f>
        <v>0</v>
      </c>
    </row>
    <row r="1710">
      <c r="A1710" s="109">
        <f>IF(AND(F1710="",G1710=""),"",ROW()-6)</f>
      </c>
      <c r="B1710" s="140" t="n"/>
      <c r="C1710" s="141" t="n"/>
      <c r="D1710" s="141" t="n"/>
      <c r="E1710" s="142" t="n"/>
      <c r="F1710" s="143" t="n"/>
      <c r="G1710" s="144" t="n"/>
      <c r="H1710" s="145">
        <f>IF(OR(C1710="",AND(F1710="",G1710="")),"",SUMIF(基础资料!$W$5:$W$24,C1710,基础资料!$X$5:$X$24)+SUMIF(C$7:C1710,C1710,F$7:F1710)-SUMIF(C$7:C1710,C1710,G$7:G1710))</f>
      </c>
      <c r="I1710" s="145">
        <f>IF(AND(F1710="",G1710=""),"",SUM(基础资料!$X$5:$X$24)+SUM(F$7:F1710)-SUM(G$7:G1710))</f>
      </c>
      <c r="J1710" s="141" t="n"/>
      <c r="K1710" s="141" t="n"/>
      <c r="L1710" s="141" t="n"/>
      <c r="M1710" s="142" t="n"/>
      <c r="N1710" s="146">
        <f>IF(AND(AND(F1710="",G1710=""),B1710="",C1710="",D1710="",J1710="",K1710="",L1710=""),"",IF(AND(F1710="",G1710=""),"✗ 没填金额",IF(AND(N(F1710)&lt;&gt;0,N(G1710)&lt;&gt;0),"✗ 收入、支出只能填一边",IF(NOT(ISNUMBER(B1710)),"✗ 日期不是真日期（要像 2026/9/25 这样填）",IF(OR(B1710&lt;年初日,B1710&gt;年末日),"✗ 日期不在本会计年度",IF(C1710="","✗ 没选账户",IF(COUNTIF(基础资料!$W$5:$W$24,C1710)=0,"✗ 账户不在基础资料里",IF(O1710="","✗ 没选收支项目",IF(P1710="未知","✗ 收支项目不在基础资料里",IF(AND(P1710="应收",J1710=""),"✗ 这笔要选客户",IF(AND(P1710="应收",COUNTIF(总览汇总!$B$5:$B$304,J1710)=0),"✗ 客户不在总览汇总名单里",IF(AND(P1710="应付",K1710=""),"✗ 这笔要选供应商",IF(AND(P1710="应付",COUNTIF(基础资料!$Q$5:$Q$54,K1710)=0),"✗ 供应商不在基础资料里",IF(AND(P1710="费用",L1710=""),"✗ 费用支出要选费用项目",IF(AND(L1710&lt;&gt;"",COUNTIF(基础资料!$AI$5:$AI$54,L1710)=0),"✗ 费用项目不在基础资料里",IF(AND(IFERROR(INDEX(基础资料!$AD$5:$AD$34,MATCH(O1710,基础资料!$AC$5:$AC$34,0)),"")="收",N(G1710)&lt;&gt;0),"✗ 这类是收款，金额填到收入列",IF(AND(IFERROR(INDEX(基础资料!$AD$5:$AD$34,MATCH(O1710,基础资料!$AC$5:$AC$34,0)),"")="支",N(F1710)&lt;&gt;0),"✗ 这类是付款，金额填到支出列",IF(N(H1710)&lt;0,"⚠ 账户余额成负数了，核对一下","√"))))))))))))))))))</f>
      </c>
      <c r="O1710" s="78">
        <f>IF(D1710&lt;&gt;"",D1710,IF(AND(F1710="",G1710=""),"",IF(J1710&lt;&gt;"",IF(N(F1710)&gt;0,"客户回款","客户退款"),IF(K1710&lt;&gt;"",IF(N(G1710)&gt;0,"供应商付款","供应商退款"),IF(L1710&lt;&gt;"","费用支出","")))))</f>
      </c>
      <c r="P1710" s="78">
        <f>IF(O1710="","",IFERROR(INDEX(基础资料!$AE$5:$AE$34,MATCH(O1710,基础资料!$AC$5:$AC$34,0)),"未知"))</f>
      </c>
      <c r="Q1710" s="78">
        <f>IF(P1710="应收",COUNTIF(P$7:P1710,"应收"),"")</f>
      </c>
      <c r="R1710" s="78">
        <f>IF(P1710="应付",COUNTIF(P$7:P1710,"应付"),"")</f>
      </c>
      <c r="S1710" s="78">
        <f>N(F1710)-N(G1710)</f>
        <v>0</v>
      </c>
    </row>
    <row r="1711">
      <c r="A1711" s="109">
        <f>IF(AND(F1711="",G1711=""),"",ROW()-6)</f>
      </c>
      <c r="B1711" s="140" t="n"/>
      <c r="C1711" s="141" t="n"/>
      <c r="D1711" s="141" t="n"/>
      <c r="E1711" s="142" t="n"/>
      <c r="F1711" s="143" t="n"/>
      <c r="G1711" s="144" t="n"/>
      <c r="H1711" s="145">
        <f>IF(OR(C1711="",AND(F1711="",G1711="")),"",SUMIF(基础资料!$W$5:$W$24,C1711,基础资料!$X$5:$X$24)+SUMIF(C$7:C1711,C1711,F$7:F1711)-SUMIF(C$7:C1711,C1711,G$7:G1711))</f>
      </c>
      <c r="I1711" s="145">
        <f>IF(AND(F1711="",G1711=""),"",SUM(基础资料!$X$5:$X$24)+SUM(F$7:F1711)-SUM(G$7:G1711))</f>
      </c>
      <c r="J1711" s="141" t="n"/>
      <c r="K1711" s="141" t="n"/>
      <c r="L1711" s="141" t="n"/>
      <c r="M1711" s="142" t="n"/>
      <c r="N1711" s="146">
        <f>IF(AND(AND(F1711="",G1711=""),B1711="",C1711="",D1711="",J1711="",K1711="",L1711=""),"",IF(AND(F1711="",G1711=""),"✗ 没填金额",IF(AND(N(F1711)&lt;&gt;0,N(G1711)&lt;&gt;0),"✗ 收入、支出只能填一边",IF(NOT(ISNUMBER(B1711)),"✗ 日期不是真日期（要像 2026/9/25 这样填）",IF(OR(B1711&lt;年初日,B1711&gt;年末日),"✗ 日期不在本会计年度",IF(C1711="","✗ 没选账户",IF(COUNTIF(基础资料!$W$5:$W$24,C1711)=0,"✗ 账户不在基础资料里",IF(O1711="","✗ 没选收支项目",IF(P1711="未知","✗ 收支项目不在基础资料里",IF(AND(P1711="应收",J1711=""),"✗ 这笔要选客户",IF(AND(P1711="应收",COUNTIF(总览汇总!$B$5:$B$304,J1711)=0),"✗ 客户不在总览汇总名单里",IF(AND(P1711="应付",K1711=""),"✗ 这笔要选供应商",IF(AND(P1711="应付",COUNTIF(基础资料!$Q$5:$Q$54,K1711)=0),"✗ 供应商不在基础资料里",IF(AND(P1711="费用",L1711=""),"✗ 费用支出要选费用项目",IF(AND(L1711&lt;&gt;"",COUNTIF(基础资料!$AI$5:$AI$54,L1711)=0),"✗ 费用项目不在基础资料里",IF(AND(IFERROR(INDEX(基础资料!$AD$5:$AD$34,MATCH(O1711,基础资料!$AC$5:$AC$34,0)),"")="收",N(G1711)&lt;&gt;0),"✗ 这类是收款，金额填到收入列",IF(AND(IFERROR(INDEX(基础资料!$AD$5:$AD$34,MATCH(O1711,基础资料!$AC$5:$AC$34,0)),"")="支",N(F1711)&lt;&gt;0),"✗ 这类是付款，金额填到支出列",IF(N(H1711)&lt;0,"⚠ 账户余额成负数了，核对一下","√"))))))))))))))))))</f>
      </c>
      <c r="O1711" s="78">
        <f>IF(D1711&lt;&gt;"",D1711,IF(AND(F1711="",G1711=""),"",IF(J1711&lt;&gt;"",IF(N(F1711)&gt;0,"客户回款","客户退款"),IF(K1711&lt;&gt;"",IF(N(G1711)&gt;0,"供应商付款","供应商退款"),IF(L1711&lt;&gt;"","费用支出","")))))</f>
      </c>
      <c r="P1711" s="78">
        <f>IF(O1711="","",IFERROR(INDEX(基础资料!$AE$5:$AE$34,MATCH(O1711,基础资料!$AC$5:$AC$34,0)),"未知"))</f>
      </c>
      <c r="Q1711" s="78">
        <f>IF(P1711="应收",COUNTIF(P$7:P1711,"应收"),"")</f>
      </c>
      <c r="R1711" s="78">
        <f>IF(P1711="应付",COUNTIF(P$7:P1711,"应付"),"")</f>
      </c>
      <c r="S1711" s="78">
        <f>N(F1711)-N(G1711)</f>
        <v>0</v>
      </c>
    </row>
    <row r="1712">
      <c r="A1712" s="109">
        <f>IF(AND(F1712="",G1712=""),"",ROW()-6)</f>
      </c>
      <c r="B1712" s="140" t="n"/>
      <c r="C1712" s="141" t="n"/>
      <c r="D1712" s="141" t="n"/>
      <c r="E1712" s="142" t="n"/>
      <c r="F1712" s="143" t="n"/>
      <c r="G1712" s="144" t="n"/>
      <c r="H1712" s="145">
        <f>IF(OR(C1712="",AND(F1712="",G1712="")),"",SUMIF(基础资料!$W$5:$W$24,C1712,基础资料!$X$5:$X$24)+SUMIF(C$7:C1712,C1712,F$7:F1712)-SUMIF(C$7:C1712,C1712,G$7:G1712))</f>
      </c>
      <c r="I1712" s="145">
        <f>IF(AND(F1712="",G1712=""),"",SUM(基础资料!$X$5:$X$24)+SUM(F$7:F1712)-SUM(G$7:G1712))</f>
      </c>
      <c r="J1712" s="141" t="n"/>
      <c r="K1712" s="141" t="n"/>
      <c r="L1712" s="141" t="n"/>
      <c r="M1712" s="142" t="n"/>
      <c r="N1712" s="146">
        <f>IF(AND(AND(F1712="",G1712=""),B1712="",C1712="",D1712="",J1712="",K1712="",L1712=""),"",IF(AND(F1712="",G1712=""),"✗ 没填金额",IF(AND(N(F1712)&lt;&gt;0,N(G1712)&lt;&gt;0),"✗ 收入、支出只能填一边",IF(NOT(ISNUMBER(B1712)),"✗ 日期不是真日期（要像 2026/9/25 这样填）",IF(OR(B1712&lt;年初日,B1712&gt;年末日),"✗ 日期不在本会计年度",IF(C1712="","✗ 没选账户",IF(COUNTIF(基础资料!$W$5:$W$24,C1712)=0,"✗ 账户不在基础资料里",IF(O1712="","✗ 没选收支项目",IF(P1712="未知","✗ 收支项目不在基础资料里",IF(AND(P1712="应收",J1712=""),"✗ 这笔要选客户",IF(AND(P1712="应收",COUNTIF(总览汇总!$B$5:$B$304,J1712)=0),"✗ 客户不在总览汇总名单里",IF(AND(P1712="应付",K1712=""),"✗ 这笔要选供应商",IF(AND(P1712="应付",COUNTIF(基础资料!$Q$5:$Q$54,K1712)=0),"✗ 供应商不在基础资料里",IF(AND(P1712="费用",L1712=""),"✗ 费用支出要选费用项目",IF(AND(L1712&lt;&gt;"",COUNTIF(基础资料!$AI$5:$AI$54,L1712)=0),"✗ 费用项目不在基础资料里",IF(AND(IFERROR(INDEX(基础资料!$AD$5:$AD$34,MATCH(O1712,基础资料!$AC$5:$AC$34,0)),"")="收",N(G1712)&lt;&gt;0),"✗ 这类是收款，金额填到收入列",IF(AND(IFERROR(INDEX(基础资料!$AD$5:$AD$34,MATCH(O1712,基础资料!$AC$5:$AC$34,0)),"")="支",N(F1712)&lt;&gt;0),"✗ 这类是付款，金额填到支出列",IF(N(H1712)&lt;0,"⚠ 账户余额成负数了，核对一下","√"))))))))))))))))))</f>
      </c>
      <c r="O1712" s="78">
        <f>IF(D1712&lt;&gt;"",D1712,IF(AND(F1712="",G1712=""),"",IF(J1712&lt;&gt;"",IF(N(F1712)&gt;0,"客户回款","客户退款"),IF(K1712&lt;&gt;"",IF(N(G1712)&gt;0,"供应商付款","供应商退款"),IF(L1712&lt;&gt;"","费用支出","")))))</f>
      </c>
      <c r="P1712" s="78">
        <f>IF(O1712="","",IFERROR(INDEX(基础资料!$AE$5:$AE$34,MATCH(O1712,基础资料!$AC$5:$AC$34,0)),"未知"))</f>
      </c>
      <c r="Q1712" s="78">
        <f>IF(P1712="应收",COUNTIF(P$7:P1712,"应收"),"")</f>
      </c>
      <c r="R1712" s="78">
        <f>IF(P1712="应付",COUNTIF(P$7:P1712,"应付"),"")</f>
      </c>
      <c r="S1712" s="78">
        <f>N(F1712)-N(G1712)</f>
        <v>0</v>
      </c>
    </row>
    <row r="1713">
      <c r="A1713" s="109">
        <f>IF(AND(F1713="",G1713=""),"",ROW()-6)</f>
      </c>
      <c r="B1713" s="140" t="n"/>
      <c r="C1713" s="141" t="n"/>
      <c r="D1713" s="141" t="n"/>
      <c r="E1713" s="142" t="n"/>
      <c r="F1713" s="143" t="n"/>
      <c r="G1713" s="144" t="n"/>
      <c r="H1713" s="145">
        <f>IF(OR(C1713="",AND(F1713="",G1713="")),"",SUMIF(基础资料!$W$5:$W$24,C1713,基础资料!$X$5:$X$24)+SUMIF(C$7:C1713,C1713,F$7:F1713)-SUMIF(C$7:C1713,C1713,G$7:G1713))</f>
      </c>
      <c r="I1713" s="145">
        <f>IF(AND(F1713="",G1713=""),"",SUM(基础资料!$X$5:$X$24)+SUM(F$7:F1713)-SUM(G$7:G1713))</f>
      </c>
      <c r="J1713" s="141" t="n"/>
      <c r="K1713" s="141" t="n"/>
      <c r="L1713" s="141" t="n"/>
      <c r="M1713" s="142" t="n"/>
      <c r="N1713" s="146">
        <f>IF(AND(AND(F1713="",G1713=""),B1713="",C1713="",D1713="",J1713="",K1713="",L1713=""),"",IF(AND(F1713="",G1713=""),"✗ 没填金额",IF(AND(N(F1713)&lt;&gt;0,N(G1713)&lt;&gt;0),"✗ 收入、支出只能填一边",IF(NOT(ISNUMBER(B1713)),"✗ 日期不是真日期（要像 2026/9/25 这样填）",IF(OR(B1713&lt;年初日,B1713&gt;年末日),"✗ 日期不在本会计年度",IF(C1713="","✗ 没选账户",IF(COUNTIF(基础资料!$W$5:$W$24,C1713)=0,"✗ 账户不在基础资料里",IF(O1713="","✗ 没选收支项目",IF(P1713="未知","✗ 收支项目不在基础资料里",IF(AND(P1713="应收",J1713=""),"✗ 这笔要选客户",IF(AND(P1713="应收",COUNTIF(总览汇总!$B$5:$B$304,J1713)=0),"✗ 客户不在总览汇总名单里",IF(AND(P1713="应付",K1713=""),"✗ 这笔要选供应商",IF(AND(P1713="应付",COUNTIF(基础资料!$Q$5:$Q$54,K1713)=0),"✗ 供应商不在基础资料里",IF(AND(P1713="费用",L1713=""),"✗ 费用支出要选费用项目",IF(AND(L1713&lt;&gt;"",COUNTIF(基础资料!$AI$5:$AI$54,L1713)=0),"✗ 费用项目不在基础资料里",IF(AND(IFERROR(INDEX(基础资料!$AD$5:$AD$34,MATCH(O1713,基础资料!$AC$5:$AC$34,0)),"")="收",N(G1713)&lt;&gt;0),"✗ 这类是收款，金额填到收入列",IF(AND(IFERROR(INDEX(基础资料!$AD$5:$AD$34,MATCH(O1713,基础资料!$AC$5:$AC$34,0)),"")="支",N(F1713)&lt;&gt;0),"✗ 这类是付款，金额填到支出列",IF(N(H1713)&lt;0,"⚠ 账户余额成负数了，核对一下","√"))))))))))))))))))</f>
      </c>
      <c r="O1713" s="78">
        <f>IF(D1713&lt;&gt;"",D1713,IF(AND(F1713="",G1713=""),"",IF(J1713&lt;&gt;"",IF(N(F1713)&gt;0,"客户回款","客户退款"),IF(K1713&lt;&gt;"",IF(N(G1713)&gt;0,"供应商付款","供应商退款"),IF(L1713&lt;&gt;"","费用支出","")))))</f>
      </c>
      <c r="P1713" s="78">
        <f>IF(O1713="","",IFERROR(INDEX(基础资料!$AE$5:$AE$34,MATCH(O1713,基础资料!$AC$5:$AC$34,0)),"未知"))</f>
      </c>
      <c r="Q1713" s="78">
        <f>IF(P1713="应收",COUNTIF(P$7:P1713,"应收"),"")</f>
      </c>
      <c r="R1713" s="78">
        <f>IF(P1713="应付",COUNTIF(P$7:P1713,"应付"),"")</f>
      </c>
      <c r="S1713" s="78">
        <f>N(F1713)-N(G1713)</f>
        <v>0</v>
      </c>
    </row>
    <row r="1714">
      <c r="A1714" s="109">
        <f>IF(AND(F1714="",G1714=""),"",ROW()-6)</f>
      </c>
      <c r="B1714" s="140" t="n"/>
      <c r="C1714" s="141" t="n"/>
      <c r="D1714" s="141" t="n"/>
      <c r="E1714" s="142" t="n"/>
      <c r="F1714" s="143" t="n"/>
      <c r="G1714" s="144" t="n"/>
      <c r="H1714" s="145">
        <f>IF(OR(C1714="",AND(F1714="",G1714="")),"",SUMIF(基础资料!$W$5:$W$24,C1714,基础资料!$X$5:$X$24)+SUMIF(C$7:C1714,C1714,F$7:F1714)-SUMIF(C$7:C1714,C1714,G$7:G1714))</f>
      </c>
      <c r="I1714" s="145">
        <f>IF(AND(F1714="",G1714=""),"",SUM(基础资料!$X$5:$X$24)+SUM(F$7:F1714)-SUM(G$7:G1714))</f>
      </c>
      <c r="J1714" s="141" t="n"/>
      <c r="K1714" s="141" t="n"/>
      <c r="L1714" s="141" t="n"/>
      <c r="M1714" s="142" t="n"/>
      <c r="N1714" s="146">
        <f>IF(AND(AND(F1714="",G1714=""),B1714="",C1714="",D1714="",J1714="",K1714="",L1714=""),"",IF(AND(F1714="",G1714=""),"✗ 没填金额",IF(AND(N(F1714)&lt;&gt;0,N(G1714)&lt;&gt;0),"✗ 收入、支出只能填一边",IF(NOT(ISNUMBER(B1714)),"✗ 日期不是真日期（要像 2026/9/25 这样填）",IF(OR(B1714&lt;年初日,B1714&gt;年末日),"✗ 日期不在本会计年度",IF(C1714="","✗ 没选账户",IF(COUNTIF(基础资料!$W$5:$W$24,C1714)=0,"✗ 账户不在基础资料里",IF(O1714="","✗ 没选收支项目",IF(P1714="未知","✗ 收支项目不在基础资料里",IF(AND(P1714="应收",J1714=""),"✗ 这笔要选客户",IF(AND(P1714="应收",COUNTIF(总览汇总!$B$5:$B$304,J1714)=0),"✗ 客户不在总览汇总名单里",IF(AND(P1714="应付",K1714=""),"✗ 这笔要选供应商",IF(AND(P1714="应付",COUNTIF(基础资料!$Q$5:$Q$54,K1714)=0),"✗ 供应商不在基础资料里",IF(AND(P1714="费用",L1714=""),"✗ 费用支出要选费用项目",IF(AND(L1714&lt;&gt;"",COUNTIF(基础资料!$AI$5:$AI$54,L1714)=0),"✗ 费用项目不在基础资料里",IF(AND(IFERROR(INDEX(基础资料!$AD$5:$AD$34,MATCH(O1714,基础资料!$AC$5:$AC$34,0)),"")="收",N(G1714)&lt;&gt;0),"✗ 这类是收款，金额填到收入列",IF(AND(IFERROR(INDEX(基础资料!$AD$5:$AD$34,MATCH(O1714,基础资料!$AC$5:$AC$34,0)),"")="支",N(F1714)&lt;&gt;0),"✗ 这类是付款，金额填到支出列",IF(N(H1714)&lt;0,"⚠ 账户余额成负数了，核对一下","√"))))))))))))))))))</f>
      </c>
      <c r="O1714" s="78">
        <f>IF(D1714&lt;&gt;"",D1714,IF(AND(F1714="",G1714=""),"",IF(J1714&lt;&gt;"",IF(N(F1714)&gt;0,"客户回款","客户退款"),IF(K1714&lt;&gt;"",IF(N(G1714)&gt;0,"供应商付款","供应商退款"),IF(L1714&lt;&gt;"","费用支出","")))))</f>
      </c>
      <c r="P1714" s="78">
        <f>IF(O1714="","",IFERROR(INDEX(基础资料!$AE$5:$AE$34,MATCH(O1714,基础资料!$AC$5:$AC$34,0)),"未知"))</f>
      </c>
      <c r="Q1714" s="78">
        <f>IF(P1714="应收",COUNTIF(P$7:P1714,"应收"),"")</f>
      </c>
      <c r="R1714" s="78">
        <f>IF(P1714="应付",COUNTIF(P$7:P1714,"应付"),"")</f>
      </c>
      <c r="S1714" s="78">
        <f>N(F1714)-N(G1714)</f>
        <v>0</v>
      </c>
    </row>
    <row r="1715">
      <c r="A1715" s="109">
        <f>IF(AND(F1715="",G1715=""),"",ROW()-6)</f>
      </c>
      <c r="B1715" s="140" t="n"/>
      <c r="C1715" s="141" t="n"/>
      <c r="D1715" s="141" t="n"/>
      <c r="E1715" s="142" t="n"/>
      <c r="F1715" s="143" t="n"/>
      <c r="G1715" s="144" t="n"/>
      <c r="H1715" s="145">
        <f>IF(OR(C1715="",AND(F1715="",G1715="")),"",SUMIF(基础资料!$W$5:$W$24,C1715,基础资料!$X$5:$X$24)+SUMIF(C$7:C1715,C1715,F$7:F1715)-SUMIF(C$7:C1715,C1715,G$7:G1715))</f>
      </c>
      <c r="I1715" s="145">
        <f>IF(AND(F1715="",G1715=""),"",SUM(基础资料!$X$5:$X$24)+SUM(F$7:F1715)-SUM(G$7:G1715))</f>
      </c>
      <c r="J1715" s="141" t="n"/>
      <c r="K1715" s="141" t="n"/>
      <c r="L1715" s="141" t="n"/>
      <c r="M1715" s="142" t="n"/>
      <c r="N1715" s="146">
        <f>IF(AND(AND(F1715="",G1715=""),B1715="",C1715="",D1715="",J1715="",K1715="",L1715=""),"",IF(AND(F1715="",G1715=""),"✗ 没填金额",IF(AND(N(F1715)&lt;&gt;0,N(G1715)&lt;&gt;0),"✗ 收入、支出只能填一边",IF(NOT(ISNUMBER(B1715)),"✗ 日期不是真日期（要像 2026/9/25 这样填）",IF(OR(B1715&lt;年初日,B1715&gt;年末日),"✗ 日期不在本会计年度",IF(C1715="","✗ 没选账户",IF(COUNTIF(基础资料!$W$5:$W$24,C1715)=0,"✗ 账户不在基础资料里",IF(O1715="","✗ 没选收支项目",IF(P1715="未知","✗ 收支项目不在基础资料里",IF(AND(P1715="应收",J1715=""),"✗ 这笔要选客户",IF(AND(P1715="应收",COUNTIF(总览汇总!$B$5:$B$304,J1715)=0),"✗ 客户不在总览汇总名单里",IF(AND(P1715="应付",K1715=""),"✗ 这笔要选供应商",IF(AND(P1715="应付",COUNTIF(基础资料!$Q$5:$Q$54,K1715)=0),"✗ 供应商不在基础资料里",IF(AND(P1715="费用",L1715=""),"✗ 费用支出要选费用项目",IF(AND(L1715&lt;&gt;"",COUNTIF(基础资料!$AI$5:$AI$54,L1715)=0),"✗ 费用项目不在基础资料里",IF(AND(IFERROR(INDEX(基础资料!$AD$5:$AD$34,MATCH(O1715,基础资料!$AC$5:$AC$34,0)),"")="收",N(G1715)&lt;&gt;0),"✗ 这类是收款，金额填到收入列",IF(AND(IFERROR(INDEX(基础资料!$AD$5:$AD$34,MATCH(O1715,基础资料!$AC$5:$AC$34,0)),"")="支",N(F1715)&lt;&gt;0),"✗ 这类是付款，金额填到支出列",IF(N(H1715)&lt;0,"⚠ 账户余额成负数了，核对一下","√"))))))))))))))))))</f>
      </c>
      <c r="O1715" s="78">
        <f>IF(D1715&lt;&gt;"",D1715,IF(AND(F1715="",G1715=""),"",IF(J1715&lt;&gt;"",IF(N(F1715)&gt;0,"客户回款","客户退款"),IF(K1715&lt;&gt;"",IF(N(G1715)&gt;0,"供应商付款","供应商退款"),IF(L1715&lt;&gt;"","费用支出","")))))</f>
      </c>
      <c r="P1715" s="78">
        <f>IF(O1715="","",IFERROR(INDEX(基础资料!$AE$5:$AE$34,MATCH(O1715,基础资料!$AC$5:$AC$34,0)),"未知"))</f>
      </c>
      <c r="Q1715" s="78">
        <f>IF(P1715="应收",COUNTIF(P$7:P1715,"应收"),"")</f>
      </c>
      <c r="R1715" s="78">
        <f>IF(P1715="应付",COUNTIF(P$7:P1715,"应付"),"")</f>
      </c>
      <c r="S1715" s="78">
        <f>N(F1715)-N(G1715)</f>
        <v>0</v>
      </c>
    </row>
    <row r="1716">
      <c r="A1716" s="109">
        <f>IF(AND(F1716="",G1716=""),"",ROW()-6)</f>
      </c>
      <c r="B1716" s="140" t="n"/>
      <c r="C1716" s="141" t="n"/>
      <c r="D1716" s="141" t="n"/>
      <c r="E1716" s="142" t="n"/>
      <c r="F1716" s="143" t="n"/>
      <c r="G1716" s="144" t="n"/>
      <c r="H1716" s="145">
        <f>IF(OR(C1716="",AND(F1716="",G1716="")),"",SUMIF(基础资料!$W$5:$W$24,C1716,基础资料!$X$5:$X$24)+SUMIF(C$7:C1716,C1716,F$7:F1716)-SUMIF(C$7:C1716,C1716,G$7:G1716))</f>
      </c>
      <c r="I1716" s="145">
        <f>IF(AND(F1716="",G1716=""),"",SUM(基础资料!$X$5:$X$24)+SUM(F$7:F1716)-SUM(G$7:G1716))</f>
      </c>
      <c r="J1716" s="141" t="n"/>
      <c r="K1716" s="141" t="n"/>
      <c r="L1716" s="141" t="n"/>
      <c r="M1716" s="142" t="n"/>
      <c r="N1716" s="146">
        <f>IF(AND(AND(F1716="",G1716=""),B1716="",C1716="",D1716="",J1716="",K1716="",L1716=""),"",IF(AND(F1716="",G1716=""),"✗ 没填金额",IF(AND(N(F1716)&lt;&gt;0,N(G1716)&lt;&gt;0),"✗ 收入、支出只能填一边",IF(NOT(ISNUMBER(B1716)),"✗ 日期不是真日期（要像 2026/9/25 这样填）",IF(OR(B1716&lt;年初日,B1716&gt;年末日),"✗ 日期不在本会计年度",IF(C1716="","✗ 没选账户",IF(COUNTIF(基础资料!$W$5:$W$24,C1716)=0,"✗ 账户不在基础资料里",IF(O1716="","✗ 没选收支项目",IF(P1716="未知","✗ 收支项目不在基础资料里",IF(AND(P1716="应收",J1716=""),"✗ 这笔要选客户",IF(AND(P1716="应收",COUNTIF(总览汇总!$B$5:$B$304,J1716)=0),"✗ 客户不在总览汇总名单里",IF(AND(P1716="应付",K1716=""),"✗ 这笔要选供应商",IF(AND(P1716="应付",COUNTIF(基础资料!$Q$5:$Q$54,K1716)=0),"✗ 供应商不在基础资料里",IF(AND(P1716="费用",L1716=""),"✗ 费用支出要选费用项目",IF(AND(L1716&lt;&gt;"",COUNTIF(基础资料!$AI$5:$AI$54,L1716)=0),"✗ 费用项目不在基础资料里",IF(AND(IFERROR(INDEX(基础资料!$AD$5:$AD$34,MATCH(O1716,基础资料!$AC$5:$AC$34,0)),"")="收",N(G1716)&lt;&gt;0),"✗ 这类是收款，金额填到收入列",IF(AND(IFERROR(INDEX(基础资料!$AD$5:$AD$34,MATCH(O1716,基础资料!$AC$5:$AC$34,0)),"")="支",N(F1716)&lt;&gt;0),"✗ 这类是付款，金额填到支出列",IF(N(H1716)&lt;0,"⚠ 账户余额成负数了，核对一下","√"))))))))))))))))))</f>
      </c>
      <c r="O1716" s="78">
        <f>IF(D1716&lt;&gt;"",D1716,IF(AND(F1716="",G1716=""),"",IF(J1716&lt;&gt;"",IF(N(F1716)&gt;0,"客户回款","客户退款"),IF(K1716&lt;&gt;"",IF(N(G1716)&gt;0,"供应商付款","供应商退款"),IF(L1716&lt;&gt;"","费用支出","")))))</f>
      </c>
      <c r="P1716" s="78">
        <f>IF(O1716="","",IFERROR(INDEX(基础资料!$AE$5:$AE$34,MATCH(O1716,基础资料!$AC$5:$AC$34,0)),"未知"))</f>
      </c>
      <c r="Q1716" s="78">
        <f>IF(P1716="应收",COUNTIF(P$7:P1716,"应收"),"")</f>
      </c>
      <c r="R1716" s="78">
        <f>IF(P1716="应付",COUNTIF(P$7:P1716,"应付"),"")</f>
      </c>
      <c r="S1716" s="78">
        <f>N(F1716)-N(G1716)</f>
        <v>0</v>
      </c>
    </row>
    <row r="1717">
      <c r="A1717" s="109">
        <f>IF(AND(F1717="",G1717=""),"",ROW()-6)</f>
      </c>
      <c r="B1717" s="140" t="n"/>
      <c r="C1717" s="141" t="n"/>
      <c r="D1717" s="141" t="n"/>
      <c r="E1717" s="142" t="n"/>
      <c r="F1717" s="143" t="n"/>
      <c r="G1717" s="144" t="n"/>
      <c r="H1717" s="145">
        <f>IF(OR(C1717="",AND(F1717="",G1717="")),"",SUMIF(基础资料!$W$5:$W$24,C1717,基础资料!$X$5:$X$24)+SUMIF(C$7:C1717,C1717,F$7:F1717)-SUMIF(C$7:C1717,C1717,G$7:G1717))</f>
      </c>
      <c r="I1717" s="145">
        <f>IF(AND(F1717="",G1717=""),"",SUM(基础资料!$X$5:$X$24)+SUM(F$7:F1717)-SUM(G$7:G1717))</f>
      </c>
      <c r="J1717" s="141" t="n"/>
      <c r="K1717" s="141" t="n"/>
      <c r="L1717" s="141" t="n"/>
      <c r="M1717" s="142" t="n"/>
      <c r="N1717" s="146">
        <f>IF(AND(AND(F1717="",G1717=""),B1717="",C1717="",D1717="",J1717="",K1717="",L1717=""),"",IF(AND(F1717="",G1717=""),"✗ 没填金额",IF(AND(N(F1717)&lt;&gt;0,N(G1717)&lt;&gt;0),"✗ 收入、支出只能填一边",IF(NOT(ISNUMBER(B1717)),"✗ 日期不是真日期（要像 2026/9/25 这样填）",IF(OR(B1717&lt;年初日,B1717&gt;年末日),"✗ 日期不在本会计年度",IF(C1717="","✗ 没选账户",IF(COUNTIF(基础资料!$W$5:$W$24,C1717)=0,"✗ 账户不在基础资料里",IF(O1717="","✗ 没选收支项目",IF(P1717="未知","✗ 收支项目不在基础资料里",IF(AND(P1717="应收",J1717=""),"✗ 这笔要选客户",IF(AND(P1717="应收",COUNTIF(总览汇总!$B$5:$B$304,J1717)=0),"✗ 客户不在总览汇总名单里",IF(AND(P1717="应付",K1717=""),"✗ 这笔要选供应商",IF(AND(P1717="应付",COUNTIF(基础资料!$Q$5:$Q$54,K1717)=0),"✗ 供应商不在基础资料里",IF(AND(P1717="费用",L1717=""),"✗ 费用支出要选费用项目",IF(AND(L1717&lt;&gt;"",COUNTIF(基础资料!$AI$5:$AI$54,L1717)=0),"✗ 费用项目不在基础资料里",IF(AND(IFERROR(INDEX(基础资料!$AD$5:$AD$34,MATCH(O1717,基础资料!$AC$5:$AC$34,0)),"")="收",N(G1717)&lt;&gt;0),"✗ 这类是收款，金额填到收入列",IF(AND(IFERROR(INDEX(基础资料!$AD$5:$AD$34,MATCH(O1717,基础资料!$AC$5:$AC$34,0)),"")="支",N(F1717)&lt;&gt;0),"✗ 这类是付款，金额填到支出列",IF(N(H1717)&lt;0,"⚠ 账户余额成负数了，核对一下","√"))))))))))))))))))</f>
      </c>
      <c r="O1717" s="78">
        <f>IF(D1717&lt;&gt;"",D1717,IF(AND(F1717="",G1717=""),"",IF(J1717&lt;&gt;"",IF(N(F1717)&gt;0,"客户回款","客户退款"),IF(K1717&lt;&gt;"",IF(N(G1717)&gt;0,"供应商付款","供应商退款"),IF(L1717&lt;&gt;"","费用支出","")))))</f>
      </c>
      <c r="P1717" s="78">
        <f>IF(O1717="","",IFERROR(INDEX(基础资料!$AE$5:$AE$34,MATCH(O1717,基础资料!$AC$5:$AC$34,0)),"未知"))</f>
      </c>
      <c r="Q1717" s="78">
        <f>IF(P1717="应收",COUNTIF(P$7:P1717,"应收"),"")</f>
      </c>
      <c r="R1717" s="78">
        <f>IF(P1717="应付",COUNTIF(P$7:P1717,"应付"),"")</f>
      </c>
      <c r="S1717" s="78">
        <f>N(F1717)-N(G1717)</f>
        <v>0</v>
      </c>
    </row>
    <row r="1718">
      <c r="A1718" s="109">
        <f>IF(AND(F1718="",G1718=""),"",ROW()-6)</f>
      </c>
      <c r="B1718" s="140" t="n"/>
      <c r="C1718" s="141" t="n"/>
      <c r="D1718" s="141" t="n"/>
      <c r="E1718" s="142" t="n"/>
      <c r="F1718" s="143" t="n"/>
      <c r="G1718" s="144" t="n"/>
      <c r="H1718" s="145">
        <f>IF(OR(C1718="",AND(F1718="",G1718="")),"",SUMIF(基础资料!$W$5:$W$24,C1718,基础资料!$X$5:$X$24)+SUMIF(C$7:C1718,C1718,F$7:F1718)-SUMIF(C$7:C1718,C1718,G$7:G1718))</f>
      </c>
      <c r="I1718" s="145">
        <f>IF(AND(F1718="",G1718=""),"",SUM(基础资料!$X$5:$X$24)+SUM(F$7:F1718)-SUM(G$7:G1718))</f>
      </c>
      <c r="J1718" s="141" t="n"/>
      <c r="K1718" s="141" t="n"/>
      <c r="L1718" s="141" t="n"/>
      <c r="M1718" s="142" t="n"/>
      <c r="N1718" s="146">
        <f>IF(AND(AND(F1718="",G1718=""),B1718="",C1718="",D1718="",J1718="",K1718="",L1718=""),"",IF(AND(F1718="",G1718=""),"✗ 没填金额",IF(AND(N(F1718)&lt;&gt;0,N(G1718)&lt;&gt;0),"✗ 收入、支出只能填一边",IF(NOT(ISNUMBER(B1718)),"✗ 日期不是真日期（要像 2026/9/25 这样填）",IF(OR(B1718&lt;年初日,B1718&gt;年末日),"✗ 日期不在本会计年度",IF(C1718="","✗ 没选账户",IF(COUNTIF(基础资料!$W$5:$W$24,C1718)=0,"✗ 账户不在基础资料里",IF(O1718="","✗ 没选收支项目",IF(P1718="未知","✗ 收支项目不在基础资料里",IF(AND(P1718="应收",J1718=""),"✗ 这笔要选客户",IF(AND(P1718="应收",COUNTIF(总览汇总!$B$5:$B$304,J1718)=0),"✗ 客户不在总览汇总名单里",IF(AND(P1718="应付",K1718=""),"✗ 这笔要选供应商",IF(AND(P1718="应付",COUNTIF(基础资料!$Q$5:$Q$54,K1718)=0),"✗ 供应商不在基础资料里",IF(AND(P1718="费用",L1718=""),"✗ 费用支出要选费用项目",IF(AND(L1718&lt;&gt;"",COUNTIF(基础资料!$AI$5:$AI$54,L1718)=0),"✗ 费用项目不在基础资料里",IF(AND(IFERROR(INDEX(基础资料!$AD$5:$AD$34,MATCH(O1718,基础资料!$AC$5:$AC$34,0)),"")="收",N(G1718)&lt;&gt;0),"✗ 这类是收款，金额填到收入列",IF(AND(IFERROR(INDEX(基础资料!$AD$5:$AD$34,MATCH(O1718,基础资料!$AC$5:$AC$34,0)),"")="支",N(F1718)&lt;&gt;0),"✗ 这类是付款，金额填到支出列",IF(N(H1718)&lt;0,"⚠ 账户余额成负数了，核对一下","√"))))))))))))))))))</f>
      </c>
      <c r="O1718" s="78">
        <f>IF(D1718&lt;&gt;"",D1718,IF(AND(F1718="",G1718=""),"",IF(J1718&lt;&gt;"",IF(N(F1718)&gt;0,"客户回款","客户退款"),IF(K1718&lt;&gt;"",IF(N(G1718)&gt;0,"供应商付款","供应商退款"),IF(L1718&lt;&gt;"","费用支出","")))))</f>
      </c>
      <c r="P1718" s="78">
        <f>IF(O1718="","",IFERROR(INDEX(基础资料!$AE$5:$AE$34,MATCH(O1718,基础资料!$AC$5:$AC$34,0)),"未知"))</f>
      </c>
      <c r="Q1718" s="78">
        <f>IF(P1718="应收",COUNTIF(P$7:P1718,"应收"),"")</f>
      </c>
      <c r="R1718" s="78">
        <f>IF(P1718="应付",COUNTIF(P$7:P1718,"应付"),"")</f>
      </c>
      <c r="S1718" s="78">
        <f>N(F1718)-N(G1718)</f>
        <v>0</v>
      </c>
    </row>
    <row r="1719">
      <c r="A1719" s="109">
        <f>IF(AND(F1719="",G1719=""),"",ROW()-6)</f>
      </c>
      <c r="B1719" s="140" t="n"/>
      <c r="C1719" s="141" t="n"/>
      <c r="D1719" s="141" t="n"/>
      <c r="E1719" s="142" t="n"/>
      <c r="F1719" s="143" t="n"/>
      <c r="G1719" s="144" t="n"/>
      <c r="H1719" s="145">
        <f>IF(OR(C1719="",AND(F1719="",G1719="")),"",SUMIF(基础资料!$W$5:$W$24,C1719,基础资料!$X$5:$X$24)+SUMIF(C$7:C1719,C1719,F$7:F1719)-SUMIF(C$7:C1719,C1719,G$7:G1719))</f>
      </c>
      <c r="I1719" s="145">
        <f>IF(AND(F1719="",G1719=""),"",SUM(基础资料!$X$5:$X$24)+SUM(F$7:F1719)-SUM(G$7:G1719))</f>
      </c>
      <c r="J1719" s="141" t="n"/>
      <c r="K1719" s="141" t="n"/>
      <c r="L1719" s="141" t="n"/>
      <c r="M1719" s="142" t="n"/>
      <c r="N1719" s="146">
        <f>IF(AND(AND(F1719="",G1719=""),B1719="",C1719="",D1719="",J1719="",K1719="",L1719=""),"",IF(AND(F1719="",G1719=""),"✗ 没填金额",IF(AND(N(F1719)&lt;&gt;0,N(G1719)&lt;&gt;0),"✗ 收入、支出只能填一边",IF(NOT(ISNUMBER(B1719)),"✗ 日期不是真日期（要像 2026/9/25 这样填）",IF(OR(B1719&lt;年初日,B1719&gt;年末日),"✗ 日期不在本会计年度",IF(C1719="","✗ 没选账户",IF(COUNTIF(基础资料!$W$5:$W$24,C1719)=0,"✗ 账户不在基础资料里",IF(O1719="","✗ 没选收支项目",IF(P1719="未知","✗ 收支项目不在基础资料里",IF(AND(P1719="应收",J1719=""),"✗ 这笔要选客户",IF(AND(P1719="应收",COUNTIF(总览汇总!$B$5:$B$304,J1719)=0),"✗ 客户不在总览汇总名单里",IF(AND(P1719="应付",K1719=""),"✗ 这笔要选供应商",IF(AND(P1719="应付",COUNTIF(基础资料!$Q$5:$Q$54,K1719)=0),"✗ 供应商不在基础资料里",IF(AND(P1719="费用",L1719=""),"✗ 费用支出要选费用项目",IF(AND(L1719&lt;&gt;"",COUNTIF(基础资料!$AI$5:$AI$54,L1719)=0),"✗ 费用项目不在基础资料里",IF(AND(IFERROR(INDEX(基础资料!$AD$5:$AD$34,MATCH(O1719,基础资料!$AC$5:$AC$34,0)),"")="收",N(G1719)&lt;&gt;0),"✗ 这类是收款，金额填到收入列",IF(AND(IFERROR(INDEX(基础资料!$AD$5:$AD$34,MATCH(O1719,基础资料!$AC$5:$AC$34,0)),"")="支",N(F1719)&lt;&gt;0),"✗ 这类是付款，金额填到支出列",IF(N(H1719)&lt;0,"⚠ 账户余额成负数了，核对一下","√"))))))))))))))))))</f>
      </c>
      <c r="O1719" s="78">
        <f>IF(D1719&lt;&gt;"",D1719,IF(AND(F1719="",G1719=""),"",IF(J1719&lt;&gt;"",IF(N(F1719)&gt;0,"客户回款","客户退款"),IF(K1719&lt;&gt;"",IF(N(G1719)&gt;0,"供应商付款","供应商退款"),IF(L1719&lt;&gt;"","费用支出","")))))</f>
      </c>
      <c r="P1719" s="78">
        <f>IF(O1719="","",IFERROR(INDEX(基础资料!$AE$5:$AE$34,MATCH(O1719,基础资料!$AC$5:$AC$34,0)),"未知"))</f>
      </c>
      <c r="Q1719" s="78">
        <f>IF(P1719="应收",COUNTIF(P$7:P1719,"应收"),"")</f>
      </c>
      <c r="R1719" s="78">
        <f>IF(P1719="应付",COUNTIF(P$7:P1719,"应付"),"")</f>
      </c>
      <c r="S1719" s="78">
        <f>N(F1719)-N(G1719)</f>
        <v>0</v>
      </c>
    </row>
    <row r="1720">
      <c r="A1720" s="109">
        <f>IF(AND(F1720="",G1720=""),"",ROW()-6)</f>
      </c>
      <c r="B1720" s="140" t="n"/>
      <c r="C1720" s="141" t="n"/>
      <c r="D1720" s="141" t="n"/>
      <c r="E1720" s="142" t="n"/>
      <c r="F1720" s="143" t="n"/>
      <c r="G1720" s="144" t="n"/>
      <c r="H1720" s="145">
        <f>IF(OR(C1720="",AND(F1720="",G1720="")),"",SUMIF(基础资料!$W$5:$W$24,C1720,基础资料!$X$5:$X$24)+SUMIF(C$7:C1720,C1720,F$7:F1720)-SUMIF(C$7:C1720,C1720,G$7:G1720))</f>
      </c>
      <c r="I1720" s="145">
        <f>IF(AND(F1720="",G1720=""),"",SUM(基础资料!$X$5:$X$24)+SUM(F$7:F1720)-SUM(G$7:G1720))</f>
      </c>
      <c r="J1720" s="141" t="n"/>
      <c r="K1720" s="141" t="n"/>
      <c r="L1720" s="141" t="n"/>
      <c r="M1720" s="142" t="n"/>
      <c r="N1720" s="146">
        <f>IF(AND(AND(F1720="",G1720=""),B1720="",C1720="",D1720="",J1720="",K1720="",L1720=""),"",IF(AND(F1720="",G1720=""),"✗ 没填金额",IF(AND(N(F1720)&lt;&gt;0,N(G1720)&lt;&gt;0),"✗ 收入、支出只能填一边",IF(NOT(ISNUMBER(B1720)),"✗ 日期不是真日期（要像 2026/9/25 这样填）",IF(OR(B1720&lt;年初日,B1720&gt;年末日),"✗ 日期不在本会计年度",IF(C1720="","✗ 没选账户",IF(COUNTIF(基础资料!$W$5:$W$24,C1720)=0,"✗ 账户不在基础资料里",IF(O1720="","✗ 没选收支项目",IF(P1720="未知","✗ 收支项目不在基础资料里",IF(AND(P1720="应收",J1720=""),"✗ 这笔要选客户",IF(AND(P1720="应收",COUNTIF(总览汇总!$B$5:$B$304,J1720)=0),"✗ 客户不在总览汇总名单里",IF(AND(P1720="应付",K1720=""),"✗ 这笔要选供应商",IF(AND(P1720="应付",COUNTIF(基础资料!$Q$5:$Q$54,K1720)=0),"✗ 供应商不在基础资料里",IF(AND(P1720="费用",L1720=""),"✗ 费用支出要选费用项目",IF(AND(L1720&lt;&gt;"",COUNTIF(基础资料!$AI$5:$AI$54,L1720)=0),"✗ 费用项目不在基础资料里",IF(AND(IFERROR(INDEX(基础资料!$AD$5:$AD$34,MATCH(O1720,基础资料!$AC$5:$AC$34,0)),"")="收",N(G1720)&lt;&gt;0),"✗ 这类是收款，金额填到收入列",IF(AND(IFERROR(INDEX(基础资料!$AD$5:$AD$34,MATCH(O1720,基础资料!$AC$5:$AC$34,0)),"")="支",N(F1720)&lt;&gt;0),"✗ 这类是付款，金额填到支出列",IF(N(H1720)&lt;0,"⚠ 账户余额成负数了，核对一下","√"))))))))))))))))))</f>
      </c>
      <c r="O1720" s="78">
        <f>IF(D1720&lt;&gt;"",D1720,IF(AND(F1720="",G1720=""),"",IF(J1720&lt;&gt;"",IF(N(F1720)&gt;0,"客户回款","客户退款"),IF(K1720&lt;&gt;"",IF(N(G1720)&gt;0,"供应商付款","供应商退款"),IF(L1720&lt;&gt;"","费用支出","")))))</f>
      </c>
      <c r="P1720" s="78">
        <f>IF(O1720="","",IFERROR(INDEX(基础资料!$AE$5:$AE$34,MATCH(O1720,基础资料!$AC$5:$AC$34,0)),"未知"))</f>
      </c>
      <c r="Q1720" s="78">
        <f>IF(P1720="应收",COUNTIF(P$7:P1720,"应收"),"")</f>
      </c>
      <c r="R1720" s="78">
        <f>IF(P1720="应付",COUNTIF(P$7:P1720,"应付"),"")</f>
      </c>
      <c r="S1720" s="78">
        <f>N(F1720)-N(G1720)</f>
        <v>0</v>
      </c>
    </row>
    <row r="1721">
      <c r="A1721" s="109">
        <f>IF(AND(F1721="",G1721=""),"",ROW()-6)</f>
      </c>
      <c r="B1721" s="140" t="n"/>
      <c r="C1721" s="141" t="n"/>
      <c r="D1721" s="141" t="n"/>
      <c r="E1721" s="142" t="n"/>
      <c r="F1721" s="143" t="n"/>
      <c r="G1721" s="144" t="n"/>
      <c r="H1721" s="145">
        <f>IF(OR(C1721="",AND(F1721="",G1721="")),"",SUMIF(基础资料!$W$5:$W$24,C1721,基础资料!$X$5:$X$24)+SUMIF(C$7:C1721,C1721,F$7:F1721)-SUMIF(C$7:C1721,C1721,G$7:G1721))</f>
      </c>
      <c r="I1721" s="145">
        <f>IF(AND(F1721="",G1721=""),"",SUM(基础资料!$X$5:$X$24)+SUM(F$7:F1721)-SUM(G$7:G1721))</f>
      </c>
      <c r="J1721" s="141" t="n"/>
      <c r="K1721" s="141" t="n"/>
      <c r="L1721" s="141" t="n"/>
      <c r="M1721" s="142" t="n"/>
      <c r="N1721" s="146">
        <f>IF(AND(AND(F1721="",G1721=""),B1721="",C1721="",D1721="",J1721="",K1721="",L1721=""),"",IF(AND(F1721="",G1721=""),"✗ 没填金额",IF(AND(N(F1721)&lt;&gt;0,N(G1721)&lt;&gt;0),"✗ 收入、支出只能填一边",IF(NOT(ISNUMBER(B1721)),"✗ 日期不是真日期（要像 2026/9/25 这样填）",IF(OR(B1721&lt;年初日,B1721&gt;年末日),"✗ 日期不在本会计年度",IF(C1721="","✗ 没选账户",IF(COUNTIF(基础资料!$W$5:$W$24,C1721)=0,"✗ 账户不在基础资料里",IF(O1721="","✗ 没选收支项目",IF(P1721="未知","✗ 收支项目不在基础资料里",IF(AND(P1721="应收",J1721=""),"✗ 这笔要选客户",IF(AND(P1721="应收",COUNTIF(总览汇总!$B$5:$B$304,J1721)=0),"✗ 客户不在总览汇总名单里",IF(AND(P1721="应付",K1721=""),"✗ 这笔要选供应商",IF(AND(P1721="应付",COUNTIF(基础资料!$Q$5:$Q$54,K1721)=0),"✗ 供应商不在基础资料里",IF(AND(P1721="费用",L1721=""),"✗ 费用支出要选费用项目",IF(AND(L1721&lt;&gt;"",COUNTIF(基础资料!$AI$5:$AI$54,L1721)=0),"✗ 费用项目不在基础资料里",IF(AND(IFERROR(INDEX(基础资料!$AD$5:$AD$34,MATCH(O1721,基础资料!$AC$5:$AC$34,0)),"")="收",N(G1721)&lt;&gt;0),"✗ 这类是收款，金额填到收入列",IF(AND(IFERROR(INDEX(基础资料!$AD$5:$AD$34,MATCH(O1721,基础资料!$AC$5:$AC$34,0)),"")="支",N(F1721)&lt;&gt;0),"✗ 这类是付款，金额填到支出列",IF(N(H1721)&lt;0,"⚠ 账户余额成负数了，核对一下","√"))))))))))))))))))</f>
      </c>
      <c r="O1721" s="78">
        <f>IF(D1721&lt;&gt;"",D1721,IF(AND(F1721="",G1721=""),"",IF(J1721&lt;&gt;"",IF(N(F1721)&gt;0,"客户回款","客户退款"),IF(K1721&lt;&gt;"",IF(N(G1721)&gt;0,"供应商付款","供应商退款"),IF(L1721&lt;&gt;"","费用支出","")))))</f>
      </c>
      <c r="P1721" s="78">
        <f>IF(O1721="","",IFERROR(INDEX(基础资料!$AE$5:$AE$34,MATCH(O1721,基础资料!$AC$5:$AC$34,0)),"未知"))</f>
      </c>
      <c r="Q1721" s="78">
        <f>IF(P1721="应收",COUNTIF(P$7:P1721,"应收"),"")</f>
      </c>
      <c r="R1721" s="78">
        <f>IF(P1721="应付",COUNTIF(P$7:P1721,"应付"),"")</f>
      </c>
      <c r="S1721" s="78">
        <f>N(F1721)-N(G1721)</f>
        <v>0</v>
      </c>
    </row>
    <row r="1722">
      <c r="A1722" s="109">
        <f>IF(AND(F1722="",G1722=""),"",ROW()-6)</f>
      </c>
      <c r="B1722" s="140" t="n"/>
      <c r="C1722" s="141" t="n"/>
      <c r="D1722" s="141" t="n"/>
      <c r="E1722" s="142" t="n"/>
      <c r="F1722" s="143" t="n"/>
      <c r="G1722" s="144" t="n"/>
      <c r="H1722" s="145">
        <f>IF(OR(C1722="",AND(F1722="",G1722="")),"",SUMIF(基础资料!$W$5:$W$24,C1722,基础资料!$X$5:$X$24)+SUMIF(C$7:C1722,C1722,F$7:F1722)-SUMIF(C$7:C1722,C1722,G$7:G1722))</f>
      </c>
      <c r="I1722" s="145">
        <f>IF(AND(F1722="",G1722=""),"",SUM(基础资料!$X$5:$X$24)+SUM(F$7:F1722)-SUM(G$7:G1722))</f>
      </c>
      <c r="J1722" s="141" t="n"/>
      <c r="K1722" s="141" t="n"/>
      <c r="L1722" s="141" t="n"/>
      <c r="M1722" s="142" t="n"/>
      <c r="N1722" s="146">
        <f>IF(AND(AND(F1722="",G1722=""),B1722="",C1722="",D1722="",J1722="",K1722="",L1722=""),"",IF(AND(F1722="",G1722=""),"✗ 没填金额",IF(AND(N(F1722)&lt;&gt;0,N(G1722)&lt;&gt;0),"✗ 收入、支出只能填一边",IF(NOT(ISNUMBER(B1722)),"✗ 日期不是真日期（要像 2026/9/25 这样填）",IF(OR(B1722&lt;年初日,B1722&gt;年末日),"✗ 日期不在本会计年度",IF(C1722="","✗ 没选账户",IF(COUNTIF(基础资料!$W$5:$W$24,C1722)=0,"✗ 账户不在基础资料里",IF(O1722="","✗ 没选收支项目",IF(P1722="未知","✗ 收支项目不在基础资料里",IF(AND(P1722="应收",J1722=""),"✗ 这笔要选客户",IF(AND(P1722="应收",COUNTIF(总览汇总!$B$5:$B$304,J1722)=0),"✗ 客户不在总览汇总名单里",IF(AND(P1722="应付",K1722=""),"✗ 这笔要选供应商",IF(AND(P1722="应付",COUNTIF(基础资料!$Q$5:$Q$54,K1722)=0),"✗ 供应商不在基础资料里",IF(AND(P1722="费用",L1722=""),"✗ 费用支出要选费用项目",IF(AND(L1722&lt;&gt;"",COUNTIF(基础资料!$AI$5:$AI$54,L1722)=0),"✗ 费用项目不在基础资料里",IF(AND(IFERROR(INDEX(基础资料!$AD$5:$AD$34,MATCH(O1722,基础资料!$AC$5:$AC$34,0)),"")="收",N(G1722)&lt;&gt;0),"✗ 这类是收款，金额填到收入列",IF(AND(IFERROR(INDEX(基础资料!$AD$5:$AD$34,MATCH(O1722,基础资料!$AC$5:$AC$34,0)),"")="支",N(F1722)&lt;&gt;0),"✗ 这类是付款，金额填到支出列",IF(N(H1722)&lt;0,"⚠ 账户余额成负数了，核对一下","√"))))))))))))))))))</f>
      </c>
      <c r="O1722" s="78">
        <f>IF(D1722&lt;&gt;"",D1722,IF(AND(F1722="",G1722=""),"",IF(J1722&lt;&gt;"",IF(N(F1722)&gt;0,"客户回款","客户退款"),IF(K1722&lt;&gt;"",IF(N(G1722)&gt;0,"供应商付款","供应商退款"),IF(L1722&lt;&gt;"","费用支出","")))))</f>
      </c>
      <c r="P1722" s="78">
        <f>IF(O1722="","",IFERROR(INDEX(基础资料!$AE$5:$AE$34,MATCH(O1722,基础资料!$AC$5:$AC$34,0)),"未知"))</f>
      </c>
      <c r="Q1722" s="78">
        <f>IF(P1722="应收",COUNTIF(P$7:P1722,"应收"),"")</f>
      </c>
      <c r="R1722" s="78">
        <f>IF(P1722="应付",COUNTIF(P$7:P1722,"应付"),"")</f>
      </c>
      <c r="S1722" s="78">
        <f>N(F1722)-N(G1722)</f>
        <v>0</v>
      </c>
    </row>
    <row r="1723">
      <c r="A1723" s="109">
        <f>IF(AND(F1723="",G1723=""),"",ROW()-6)</f>
      </c>
      <c r="B1723" s="140" t="n"/>
      <c r="C1723" s="141" t="n"/>
      <c r="D1723" s="141" t="n"/>
      <c r="E1723" s="142" t="n"/>
      <c r="F1723" s="143" t="n"/>
      <c r="G1723" s="144" t="n"/>
      <c r="H1723" s="145">
        <f>IF(OR(C1723="",AND(F1723="",G1723="")),"",SUMIF(基础资料!$W$5:$W$24,C1723,基础资料!$X$5:$X$24)+SUMIF(C$7:C1723,C1723,F$7:F1723)-SUMIF(C$7:C1723,C1723,G$7:G1723))</f>
      </c>
      <c r="I1723" s="145">
        <f>IF(AND(F1723="",G1723=""),"",SUM(基础资料!$X$5:$X$24)+SUM(F$7:F1723)-SUM(G$7:G1723))</f>
      </c>
      <c r="J1723" s="141" t="n"/>
      <c r="K1723" s="141" t="n"/>
      <c r="L1723" s="141" t="n"/>
      <c r="M1723" s="142" t="n"/>
      <c r="N1723" s="146">
        <f>IF(AND(AND(F1723="",G1723=""),B1723="",C1723="",D1723="",J1723="",K1723="",L1723=""),"",IF(AND(F1723="",G1723=""),"✗ 没填金额",IF(AND(N(F1723)&lt;&gt;0,N(G1723)&lt;&gt;0),"✗ 收入、支出只能填一边",IF(NOT(ISNUMBER(B1723)),"✗ 日期不是真日期（要像 2026/9/25 这样填）",IF(OR(B1723&lt;年初日,B1723&gt;年末日),"✗ 日期不在本会计年度",IF(C1723="","✗ 没选账户",IF(COUNTIF(基础资料!$W$5:$W$24,C1723)=0,"✗ 账户不在基础资料里",IF(O1723="","✗ 没选收支项目",IF(P1723="未知","✗ 收支项目不在基础资料里",IF(AND(P1723="应收",J1723=""),"✗ 这笔要选客户",IF(AND(P1723="应收",COUNTIF(总览汇总!$B$5:$B$304,J1723)=0),"✗ 客户不在总览汇总名单里",IF(AND(P1723="应付",K1723=""),"✗ 这笔要选供应商",IF(AND(P1723="应付",COUNTIF(基础资料!$Q$5:$Q$54,K1723)=0),"✗ 供应商不在基础资料里",IF(AND(P1723="费用",L1723=""),"✗ 费用支出要选费用项目",IF(AND(L1723&lt;&gt;"",COUNTIF(基础资料!$AI$5:$AI$54,L1723)=0),"✗ 费用项目不在基础资料里",IF(AND(IFERROR(INDEX(基础资料!$AD$5:$AD$34,MATCH(O1723,基础资料!$AC$5:$AC$34,0)),"")="收",N(G1723)&lt;&gt;0),"✗ 这类是收款，金额填到收入列",IF(AND(IFERROR(INDEX(基础资料!$AD$5:$AD$34,MATCH(O1723,基础资料!$AC$5:$AC$34,0)),"")="支",N(F1723)&lt;&gt;0),"✗ 这类是付款，金额填到支出列",IF(N(H1723)&lt;0,"⚠ 账户余额成负数了，核对一下","√"))))))))))))))))))</f>
      </c>
      <c r="O1723" s="78">
        <f>IF(D1723&lt;&gt;"",D1723,IF(AND(F1723="",G1723=""),"",IF(J1723&lt;&gt;"",IF(N(F1723)&gt;0,"客户回款","客户退款"),IF(K1723&lt;&gt;"",IF(N(G1723)&gt;0,"供应商付款","供应商退款"),IF(L1723&lt;&gt;"","费用支出","")))))</f>
      </c>
      <c r="P1723" s="78">
        <f>IF(O1723="","",IFERROR(INDEX(基础资料!$AE$5:$AE$34,MATCH(O1723,基础资料!$AC$5:$AC$34,0)),"未知"))</f>
      </c>
      <c r="Q1723" s="78">
        <f>IF(P1723="应收",COUNTIF(P$7:P1723,"应收"),"")</f>
      </c>
      <c r="R1723" s="78">
        <f>IF(P1723="应付",COUNTIF(P$7:P1723,"应付"),"")</f>
      </c>
      <c r="S1723" s="78">
        <f>N(F1723)-N(G1723)</f>
        <v>0</v>
      </c>
    </row>
    <row r="1724">
      <c r="A1724" s="109">
        <f>IF(AND(F1724="",G1724=""),"",ROW()-6)</f>
      </c>
      <c r="B1724" s="140" t="n"/>
      <c r="C1724" s="141" t="n"/>
      <c r="D1724" s="141" t="n"/>
      <c r="E1724" s="142" t="n"/>
      <c r="F1724" s="143" t="n"/>
      <c r="G1724" s="144" t="n"/>
      <c r="H1724" s="145">
        <f>IF(OR(C1724="",AND(F1724="",G1724="")),"",SUMIF(基础资料!$W$5:$W$24,C1724,基础资料!$X$5:$X$24)+SUMIF(C$7:C1724,C1724,F$7:F1724)-SUMIF(C$7:C1724,C1724,G$7:G1724))</f>
      </c>
      <c r="I1724" s="145">
        <f>IF(AND(F1724="",G1724=""),"",SUM(基础资料!$X$5:$X$24)+SUM(F$7:F1724)-SUM(G$7:G1724))</f>
      </c>
      <c r="J1724" s="141" t="n"/>
      <c r="K1724" s="141" t="n"/>
      <c r="L1724" s="141" t="n"/>
      <c r="M1724" s="142" t="n"/>
      <c r="N1724" s="146">
        <f>IF(AND(AND(F1724="",G1724=""),B1724="",C1724="",D1724="",J1724="",K1724="",L1724=""),"",IF(AND(F1724="",G1724=""),"✗ 没填金额",IF(AND(N(F1724)&lt;&gt;0,N(G1724)&lt;&gt;0),"✗ 收入、支出只能填一边",IF(NOT(ISNUMBER(B1724)),"✗ 日期不是真日期（要像 2026/9/25 这样填）",IF(OR(B1724&lt;年初日,B1724&gt;年末日),"✗ 日期不在本会计年度",IF(C1724="","✗ 没选账户",IF(COUNTIF(基础资料!$W$5:$W$24,C1724)=0,"✗ 账户不在基础资料里",IF(O1724="","✗ 没选收支项目",IF(P1724="未知","✗ 收支项目不在基础资料里",IF(AND(P1724="应收",J1724=""),"✗ 这笔要选客户",IF(AND(P1724="应收",COUNTIF(总览汇总!$B$5:$B$304,J1724)=0),"✗ 客户不在总览汇总名单里",IF(AND(P1724="应付",K1724=""),"✗ 这笔要选供应商",IF(AND(P1724="应付",COUNTIF(基础资料!$Q$5:$Q$54,K1724)=0),"✗ 供应商不在基础资料里",IF(AND(P1724="费用",L1724=""),"✗ 费用支出要选费用项目",IF(AND(L1724&lt;&gt;"",COUNTIF(基础资料!$AI$5:$AI$54,L1724)=0),"✗ 费用项目不在基础资料里",IF(AND(IFERROR(INDEX(基础资料!$AD$5:$AD$34,MATCH(O1724,基础资料!$AC$5:$AC$34,0)),"")="收",N(G1724)&lt;&gt;0),"✗ 这类是收款，金额填到收入列",IF(AND(IFERROR(INDEX(基础资料!$AD$5:$AD$34,MATCH(O1724,基础资料!$AC$5:$AC$34,0)),"")="支",N(F1724)&lt;&gt;0),"✗ 这类是付款，金额填到支出列",IF(N(H1724)&lt;0,"⚠ 账户余额成负数了，核对一下","√"))))))))))))))))))</f>
      </c>
      <c r="O1724" s="78">
        <f>IF(D1724&lt;&gt;"",D1724,IF(AND(F1724="",G1724=""),"",IF(J1724&lt;&gt;"",IF(N(F1724)&gt;0,"客户回款","客户退款"),IF(K1724&lt;&gt;"",IF(N(G1724)&gt;0,"供应商付款","供应商退款"),IF(L1724&lt;&gt;"","费用支出","")))))</f>
      </c>
      <c r="P1724" s="78">
        <f>IF(O1724="","",IFERROR(INDEX(基础资料!$AE$5:$AE$34,MATCH(O1724,基础资料!$AC$5:$AC$34,0)),"未知"))</f>
      </c>
      <c r="Q1724" s="78">
        <f>IF(P1724="应收",COUNTIF(P$7:P1724,"应收"),"")</f>
      </c>
      <c r="R1724" s="78">
        <f>IF(P1724="应付",COUNTIF(P$7:P1724,"应付"),"")</f>
      </c>
      <c r="S1724" s="78">
        <f>N(F1724)-N(G1724)</f>
        <v>0</v>
      </c>
    </row>
    <row r="1725">
      <c r="A1725" s="109">
        <f>IF(AND(F1725="",G1725=""),"",ROW()-6)</f>
      </c>
      <c r="B1725" s="140" t="n"/>
      <c r="C1725" s="141" t="n"/>
      <c r="D1725" s="141" t="n"/>
      <c r="E1725" s="142" t="n"/>
      <c r="F1725" s="143" t="n"/>
      <c r="G1725" s="144" t="n"/>
      <c r="H1725" s="145">
        <f>IF(OR(C1725="",AND(F1725="",G1725="")),"",SUMIF(基础资料!$W$5:$W$24,C1725,基础资料!$X$5:$X$24)+SUMIF(C$7:C1725,C1725,F$7:F1725)-SUMIF(C$7:C1725,C1725,G$7:G1725))</f>
      </c>
      <c r="I1725" s="145">
        <f>IF(AND(F1725="",G1725=""),"",SUM(基础资料!$X$5:$X$24)+SUM(F$7:F1725)-SUM(G$7:G1725))</f>
      </c>
      <c r="J1725" s="141" t="n"/>
      <c r="K1725" s="141" t="n"/>
      <c r="L1725" s="141" t="n"/>
      <c r="M1725" s="142" t="n"/>
      <c r="N1725" s="146">
        <f>IF(AND(AND(F1725="",G1725=""),B1725="",C1725="",D1725="",J1725="",K1725="",L1725=""),"",IF(AND(F1725="",G1725=""),"✗ 没填金额",IF(AND(N(F1725)&lt;&gt;0,N(G1725)&lt;&gt;0),"✗ 收入、支出只能填一边",IF(NOT(ISNUMBER(B1725)),"✗ 日期不是真日期（要像 2026/9/25 这样填）",IF(OR(B1725&lt;年初日,B1725&gt;年末日),"✗ 日期不在本会计年度",IF(C1725="","✗ 没选账户",IF(COUNTIF(基础资料!$W$5:$W$24,C1725)=0,"✗ 账户不在基础资料里",IF(O1725="","✗ 没选收支项目",IF(P1725="未知","✗ 收支项目不在基础资料里",IF(AND(P1725="应收",J1725=""),"✗ 这笔要选客户",IF(AND(P1725="应收",COUNTIF(总览汇总!$B$5:$B$304,J1725)=0),"✗ 客户不在总览汇总名单里",IF(AND(P1725="应付",K1725=""),"✗ 这笔要选供应商",IF(AND(P1725="应付",COUNTIF(基础资料!$Q$5:$Q$54,K1725)=0),"✗ 供应商不在基础资料里",IF(AND(P1725="费用",L1725=""),"✗ 费用支出要选费用项目",IF(AND(L1725&lt;&gt;"",COUNTIF(基础资料!$AI$5:$AI$54,L1725)=0),"✗ 费用项目不在基础资料里",IF(AND(IFERROR(INDEX(基础资料!$AD$5:$AD$34,MATCH(O1725,基础资料!$AC$5:$AC$34,0)),"")="收",N(G1725)&lt;&gt;0),"✗ 这类是收款，金额填到收入列",IF(AND(IFERROR(INDEX(基础资料!$AD$5:$AD$34,MATCH(O1725,基础资料!$AC$5:$AC$34,0)),"")="支",N(F1725)&lt;&gt;0),"✗ 这类是付款，金额填到支出列",IF(N(H1725)&lt;0,"⚠ 账户余额成负数了，核对一下","√"))))))))))))))))))</f>
      </c>
      <c r="O1725" s="78">
        <f>IF(D1725&lt;&gt;"",D1725,IF(AND(F1725="",G1725=""),"",IF(J1725&lt;&gt;"",IF(N(F1725)&gt;0,"客户回款","客户退款"),IF(K1725&lt;&gt;"",IF(N(G1725)&gt;0,"供应商付款","供应商退款"),IF(L1725&lt;&gt;"","费用支出","")))))</f>
      </c>
      <c r="P1725" s="78">
        <f>IF(O1725="","",IFERROR(INDEX(基础资料!$AE$5:$AE$34,MATCH(O1725,基础资料!$AC$5:$AC$34,0)),"未知"))</f>
      </c>
      <c r="Q1725" s="78">
        <f>IF(P1725="应收",COUNTIF(P$7:P1725,"应收"),"")</f>
      </c>
      <c r="R1725" s="78">
        <f>IF(P1725="应付",COUNTIF(P$7:P1725,"应付"),"")</f>
      </c>
      <c r="S1725" s="78">
        <f>N(F1725)-N(G1725)</f>
        <v>0</v>
      </c>
    </row>
    <row r="1726">
      <c r="A1726" s="109">
        <f>IF(AND(F1726="",G1726=""),"",ROW()-6)</f>
      </c>
      <c r="B1726" s="140" t="n"/>
      <c r="C1726" s="141" t="n"/>
      <c r="D1726" s="141" t="n"/>
      <c r="E1726" s="142" t="n"/>
      <c r="F1726" s="143" t="n"/>
      <c r="G1726" s="144" t="n"/>
      <c r="H1726" s="145">
        <f>IF(OR(C1726="",AND(F1726="",G1726="")),"",SUMIF(基础资料!$W$5:$W$24,C1726,基础资料!$X$5:$X$24)+SUMIF(C$7:C1726,C1726,F$7:F1726)-SUMIF(C$7:C1726,C1726,G$7:G1726))</f>
      </c>
      <c r="I1726" s="145">
        <f>IF(AND(F1726="",G1726=""),"",SUM(基础资料!$X$5:$X$24)+SUM(F$7:F1726)-SUM(G$7:G1726))</f>
      </c>
      <c r="J1726" s="141" t="n"/>
      <c r="K1726" s="141" t="n"/>
      <c r="L1726" s="141" t="n"/>
      <c r="M1726" s="142" t="n"/>
      <c r="N1726" s="146">
        <f>IF(AND(AND(F1726="",G1726=""),B1726="",C1726="",D1726="",J1726="",K1726="",L1726=""),"",IF(AND(F1726="",G1726=""),"✗ 没填金额",IF(AND(N(F1726)&lt;&gt;0,N(G1726)&lt;&gt;0),"✗ 收入、支出只能填一边",IF(NOT(ISNUMBER(B1726)),"✗ 日期不是真日期（要像 2026/9/25 这样填）",IF(OR(B1726&lt;年初日,B1726&gt;年末日),"✗ 日期不在本会计年度",IF(C1726="","✗ 没选账户",IF(COUNTIF(基础资料!$W$5:$W$24,C1726)=0,"✗ 账户不在基础资料里",IF(O1726="","✗ 没选收支项目",IF(P1726="未知","✗ 收支项目不在基础资料里",IF(AND(P1726="应收",J1726=""),"✗ 这笔要选客户",IF(AND(P1726="应收",COUNTIF(总览汇总!$B$5:$B$304,J1726)=0),"✗ 客户不在总览汇总名单里",IF(AND(P1726="应付",K1726=""),"✗ 这笔要选供应商",IF(AND(P1726="应付",COUNTIF(基础资料!$Q$5:$Q$54,K1726)=0),"✗ 供应商不在基础资料里",IF(AND(P1726="费用",L1726=""),"✗ 费用支出要选费用项目",IF(AND(L1726&lt;&gt;"",COUNTIF(基础资料!$AI$5:$AI$54,L1726)=0),"✗ 费用项目不在基础资料里",IF(AND(IFERROR(INDEX(基础资料!$AD$5:$AD$34,MATCH(O1726,基础资料!$AC$5:$AC$34,0)),"")="收",N(G1726)&lt;&gt;0),"✗ 这类是收款，金额填到收入列",IF(AND(IFERROR(INDEX(基础资料!$AD$5:$AD$34,MATCH(O1726,基础资料!$AC$5:$AC$34,0)),"")="支",N(F1726)&lt;&gt;0),"✗ 这类是付款，金额填到支出列",IF(N(H1726)&lt;0,"⚠ 账户余额成负数了，核对一下","√"))))))))))))))))))</f>
      </c>
      <c r="O1726" s="78">
        <f>IF(D1726&lt;&gt;"",D1726,IF(AND(F1726="",G1726=""),"",IF(J1726&lt;&gt;"",IF(N(F1726)&gt;0,"客户回款","客户退款"),IF(K1726&lt;&gt;"",IF(N(G1726)&gt;0,"供应商付款","供应商退款"),IF(L1726&lt;&gt;"","费用支出","")))))</f>
      </c>
      <c r="P1726" s="78">
        <f>IF(O1726="","",IFERROR(INDEX(基础资料!$AE$5:$AE$34,MATCH(O1726,基础资料!$AC$5:$AC$34,0)),"未知"))</f>
      </c>
      <c r="Q1726" s="78">
        <f>IF(P1726="应收",COUNTIF(P$7:P1726,"应收"),"")</f>
      </c>
      <c r="R1726" s="78">
        <f>IF(P1726="应付",COUNTIF(P$7:P1726,"应付"),"")</f>
      </c>
      <c r="S1726" s="78">
        <f>N(F1726)-N(G1726)</f>
        <v>0</v>
      </c>
    </row>
    <row r="1727">
      <c r="A1727" s="109">
        <f>IF(AND(F1727="",G1727=""),"",ROW()-6)</f>
      </c>
      <c r="B1727" s="140" t="n"/>
      <c r="C1727" s="141" t="n"/>
      <c r="D1727" s="141" t="n"/>
      <c r="E1727" s="142" t="n"/>
      <c r="F1727" s="143" t="n"/>
      <c r="G1727" s="144" t="n"/>
      <c r="H1727" s="145">
        <f>IF(OR(C1727="",AND(F1727="",G1727="")),"",SUMIF(基础资料!$W$5:$W$24,C1727,基础资料!$X$5:$X$24)+SUMIF(C$7:C1727,C1727,F$7:F1727)-SUMIF(C$7:C1727,C1727,G$7:G1727))</f>
      </c>
      <c r="I1727" s="145">
        <f>IF(AND(F1727="",G1727=""),"",SUM(基础资料!$X$5:$X$24)+SUM(F$7:F1727)-SUM(G$7:G1727))</f>
      </c>
      <c r="J1727" s="141" t="n"/>
      <c r="K1727" s="141" t="n"/>
      <c r="L1727" s="141" t="n"/>
      <c r="M1727" s="142" t="n"/>
      <c r="N1727" s="146">
        <f>IF(AND(AND(F1727="",G1727=""),B1727="",C1727="",D1727="",J1727="",K1727="",L1727=""),"",IF(AND(F1727="",G1727=""),"✗ 没填金额",IF(AND(N(F1727)&lt;&gt;0,N(G1727)&lt;&gt;0),"✗ 收入、支出只能填一边",IF(NOT(ISNUMBER(B1727)),"✗ 日期不是真日期（要像 2026/9/25 这样填）",IF(OR(B1727&lt;年初日,B1727&gt;年末日),"✗ 日期不在本会计年度",IF(C1727="","✗ 没选账户",IF(COUNTIF(基础资料!$W$5:$W$24,C1727)=0,"✗ 账户不在基础资料里",IF(O1727="","✗ 没选收支项目",IF(P1727="未知","✗ 收支项目不在基础资料里",IF(AND(P1727="应收",J1727=""),"✗ 这笔要选客户",IF(AND(P1727="应收",COUNTIF(总览汇总!$B$5:$B$304,J1727)=0),"✗ 客户不在总览汇总名单里",IF(AND(P1727="应付",K1727=""),"✗ 这笔要选供应商",IF(AND(P1727="应付",COUNTIF(基础资料!$Q$5:$Q$54,K1727)=0),"✗ 供应商不在基础资料里",IF(AND(P1727="费用",L1727=""),"✗ 费用支出要选费用项目",IF(AND(L1727&lt;&gt;"",COUNTIF(基础资料!$AI$5:$AI$54,L1727)=0),"✗ 费用项目不在基础资料里",IF(AND(IFERROR(INDEX(基础资料!$AD$5:$AD$34,MATCH(O1727,基础资料!$AC$5:$AC$34,0)),"")="收",N(G1727)&lt;&gt;0),"✗ 这类是收款，金额填到收入列",IF(AND(IFERROR(INDEX(基础资料!$AD$5:$AD$34,MATCH(O1727,基础资料!$AC$5:$AC$34,0)),"")="支",N(F1727)&lt;&gt;0),"✗ 这类是付款，金额填到支出列",IF(N(H1727)&lt;0,"⚠ 账户余额成负数了，核对一下","√"))))))))))))))))))</f>
      </c>
      <c r="O1727" s="78">
        <f>IF(D1727&lt;&gt;"",D1727,IF(AND(F1727="",G1727=""),"",IF(J1727&lt;&gt;"",IF(N(F1727)&gt;0,"客户回款","客户退款"),IF(K1727&lt;&gt;"",IF(N(G1727)&gt;0,"供应商付款","供应商退款"),IF(L1727&lt;&gt;"","费用支出","")))))</f>
      </c>
      <c r="P1727" s="78">
        <f>IF(O1727="","",IFERROR(INDEX(基础资料!$AE$5:$AE$34,MATCH(O1727,基础资料!$AC$5:$AC$34,0)),"未知"))</f>
      </c>
      <c r="Q1727" s="78">
        <f>IF(P1727="应收",COUNTIF(P$7:P1727,"应收"),"")</f>
      </c>
      <c r="R1727" s="78">
        <f>IF(P1727="应付",COUNTIF(P$7:P1727,"应付"),"")</f>
      </c>
      <c r="S1727" s="78">
        <f>N(F1727)-N(G1727)</f>
        <v>0</v>
      </c>
    </row>
    <row r="1728">
      <c r="A1728" s="109">
        <f>IF(AND(F1728="",G1728=""),"",ROW()-6)</f>
      </c>
      <c r="B1728" s="140" t="n"/>
      <c r="C1728" s="141" t="n"/>
      <c r="D1728" s="141" t="n"/>
      <c r="E1728" s="142" t="n"/>
      <c r="F1728" s="143" t="n"/>
      <c r="G1728" s="144" t="n"/>
      <c r="H1728" s="145">
        <f>IF(OR(C1728="",AND(F1728="",G1728="")),"",SUMIF(基础资料!$W$5:$W$24,C1728,基础资料!$X$5:$X$24)+SUMIF(C$7:C1728,C1728,F$7:F1728)-SUMIF(C$7:C1728,C1728,G$7:G1728))</f>
      </c>
      <c r="I1728" s="145">
        <f>IF(AND(F1728="",G1728=""),"",SUM(基础资料!$X$5:$X$24)+SUM(F$7:F1728)-SUM(G$7:G1728))</f>
      </c>
      <c r="J1728" s="141" t="n"/>
      <c r="K1728" s="141" t="n"/>
      <c r="L1728" s="141" t="n"/>
      <c r="M1728" s="142" t="n"/>
      <c r="N1728" s="146">
        <f>IF(AND(AND(F1728="",G1728=""),B1728="",C1728="",D1728="",J1728="",K1728="",L1728=""),"",IF(AND(F1728="",G1728=""),"✗ 没填金额",IF(AND(N(F1728)&lt;&gt;0,N(G1728)&lt;&gt;0),"✗ 收入、支出只能填一边",IF(NOT(ISNUMBER(B1728)),"✗ 日期不是真日期（要像 2026/9/25 这样填）",IF(OR(B1728&lt;年初日,B1728&gt;年末日),"✗ 日期不在本会计年度",IF(C1728="","✗ 没选账户",IF(COUNTIF(基础资料!$W$5:$W$24,C1728)=0,"✗ 账户不在基础资料里",IF(O1728="","✗ 没选收支项目",IF(P1728="未知","✗ 收支项目不在基础资料里",IF(AND(P1728="应收",J1728=""),"✗ 这笔要选客户",IF(AND(P1728="应收",COUNTIF(总览汇总!$B$5:$B$304,J1728)=0),"✗ 客户不在总览汇总名单里",IF(AND(P1728="应付",K1728=""),"✗ 这笔要选供应商",IF(AND(P1728="应付",COUNTIF(基础资料!$Q$5:$Q$54,K1728)=0),"✗ 供应商不在基础资料里",IF(AND(P1728="费用",L1728=""),"✗ 费用支出要选费用项目",IF(AND(L1728&lt;&gt;"",COUNTIF(基础资料!$AI$5:$AI$54,L1728)=0),"✗ 费用项目不在基础资料里",IF(AND(IFERROR(INDEX(基础资料!$AD$5:$AD$34,MATCH(O1728,基础资料!$AC$5:$AC$34,0)),"")="收",N(G1728)&lt;&gt;0),"✗ 这类是收款，金额填到收入列",IF(AND(IFERROR(INDEX(基础资料!$AD$5:$AD$34,MATCH(O1728,基础资料!$AC$5:$AC$34,0)),"")="支",N(F1728)&lt;&gt;0),"✗ 这类是付款，金额填到支出列",IF(N(H1728)&lt;0,"⚠ 账户余额成负数了，核对一下","√"))))))))))))))))))</f>
      </c>
      <c r="O1728" s="78">
        <f>IF(D1728&lt;&gt;"",D1728,IF(AND(F1728="",G1728=""),"",IF(J1728&lt;&gt;"",IF(N(F1728)&gt;0,"客户回款","客户退款"),IF(K1728&lt;&gt;"",IF(N(G1728)&gt;0,"供应商付款","供应商退款"),IF(L1728&lt;&gt;"","费用支出","")))))</f>
      </c>
      <c r="P1728" s="78">
        <f>IF(O1728="","",IFERROR(INDEX(基础资料!$AE$5:$AE$34,MATCH(O1728,基础资料!$AC$5:$AC$34,0)),"未知"))</f>
      </c>
      <c r="Q1728" s="78">
        <f>IF(P1728="应收",COUNTIF(P$7:P1728,"应收"),"")</f>
      </c>
      <c r="R1728" s="78">
        <f>IF(P1728="应付",COUNTIF(P$7:P1728,"应付"),"")</f>
      </c>
      <c r="S1728" s="78">
        <f>N(F1728)-N(G1728)</f>
        <v>0</v>
      </c>
    </row>
    <row r="1729">
      <c r="A1729" s="109">
        <f>IF(AND(F1729="",G1729=""),"",ROW()-6)</f>
      </c>
      <c r="B1729" s="140" t="n"/>
      <c r="C1729" s="141" t="n"/>
      <c r="D1729" s="141" t="n"/>
      <c r="E1729" s="142" t="n"/>
      <c r="F1729" s="143" t="n"/>
      <c r="G1729" s="144" t="n"/>
      <c r="H1729" s="145">
        <f>IF(OR(C1729="",AND(F1729="",G1729="")),"",SUMIF(基础资料!$W$5:$W$24,C1729,基础资料!$X$5:$X$24)+SUMIF(C$7:C1729,C1729,F$7:F1729)-SUMIF(C$7:C1729,C1729,G$7:G1729))</f>
      </c>
      <c r="I1729" s="145">
        <f>IF(AND(F1729="",G1729=""),"",SUM(基础资料!$X$5:$X$24)+SUM(F$7:F1729)-SUM(G$7:G1729))</f>
      </c>
      <c r="J1729" s="141" t="n"/>
      <c r="K1729" s="141" t="n"/>
      <c r="L1729" s="141" t="n"/>
      <c r="M1729" s="142" t="n"/>
      <c r="N1729" s="146">
        <f>IF(AND(AND(F1729="",G1729=""),B1729="",C1729="",D1729="",J1729="",K1729="",L1729=""),"",IF(AND(F1729="",G1729=""),"✗ 没填金额",IF(AND(N(F1729)&lt;&gt;0,N(G1729)&lt;&gt;0),"✗ 收入、支出只能填一边",IF(NOT(ISNUMBER(B1729)),"✗ 日期不是真日期（要像 2026/9/25 这样填）",IF(OR(B1729&lt;年初日,B1729&gt;年末日),"✗ 日期不在本会计年度",IF(C1729="","✗ 没选账户",IF(COUNTIF(基础资料!$W$5:$W$24,C1729)=0,"✗ 账户不在基础资料里",IF(O1729="","✗ 没选收支项目",IF(P1729="未知","✗ 收支项目不在基础资料里",IF(AND(P1729="应收",J1729=""),"✗ 这笔要选客户",IF(AND(P1729="应收",COUNTIF(总览汇总!$B$5:$B$304,J1729)=0),"✗ 客户不在总览汇总名单里",IF(AND(P1729="应付",K1729=""),"✗ 这笔要选供应商",IF(AND(P1729="应付",COUNTIF(基础资料!$Q$5:$Q$54,K1729)=0),"✗ 供应商不在基础资料里",IF(AND(P1729="费用",L1729=""),"✗ 费用支出要选费用项目",IF(AND(L1729&lt;&gt;"",COUNTIF(基础资料!$AI$5:$AI$54,L1729)=0),"✗ 费用项目不在基础资料里",IF(AND(IFERROR(INDEX(基础资料!$AD$5:$AD$34,MATCH(O1729,基础资料!$AC$5:$AC$34,0)),"")="收",N(G1729)&lt;&gt;0),"✗ 这类是收款，金额填到收入列",IF(AND(IFERROR(INDEX(基础资料!$AD$5:$AD$34,MATCH(O1729,基础资料!$AC$5:$AC$34,0)),"")="支",N(F1729)&lt;&gt;0),"✗ 这类是付款，金额填到支出列",IF(N(H1729)&lt;0,"⚠ 账户余额成负数了，核对一下","√"))))))))))))))))))</f>
      </c>
      <c r="O1729" s="78">
        <f>IF(D1729&lt;&gt;"",D1729,IF(AND(F1729="",G1729=""),"",IF(J1729&lt;&gt;"",IF(N(F1729)&gt;0,"客户回款","客户退款"),IF(K1729&lt;&gt;"",IF(N(G1729)&gt;0,"供应商付款","供应商退款"),IF(L1729&lt;&gt;"","费用支出","")))))</f>
      </c>
      <c r="P1729" s="78">
        <f>IF(O1729="","",IFERROR(INDEX(基础资料!$AE$5:$AE$34,MATCH(O1729,基础资料!$AC$5:$AC$34,0)),"未知"))</f>
      </c>
      <c r="Q1729" s="78">
        <f>IF(P1729="应收",COUNTIF(P$7:P1729,"应收"),"")</f>
      </c>
      <c r="R1729" s="78">
        <f>IF(P1729="应付",COUNTIF(P$7:P1729,"应付"),"")</f>
      </c>
      <c r="S1729" s="78">
        <f>N(F1729)-N(G1729)</f>
        <v>0</v>
      </c>
    </row>
    <row r="1730">
      <c r="A1730" s="109">
        <f>IF(AND(F1730="",G1730=""),"",ROW()-6)</f>
      </c>
      <c r="B1730" s="140" t="n"/>
      <c r="C1730" s="141" t="n"/>
      <c r="D1730" s="141" t="n"/>
      <c r="E1730" s="142" t="n"/>
      <c r="F1730" s="143" t="n"/>
      <c r="G1730" s="144" t="n"/>
      <c r="H1730" s="145">
        <f>IF(OR(C1730="",AND(F1730="",G1730="")),"",SUMIF(基础资料!$W$5:$W$24,C1730,基础资料!$X$5:$X$24)+SUMIF(C$7:C1730,C1730,F$7:F1730)-SUMIF(C$7:C1730,C1730,G$7:G1730))</f>
      </c>
      <c r="I1730" s="145">
        <f>IF(AND(F1730="",G1730=""),"",SUM(基础资料!$X$5:$X$24)+SUM(F$7:F1730)-SUM(G$7:G1730))</f>
      </c>
      <c r="J1730" s="141" t="n"/>
      <c r="K1730" s="141" t="n"/>
      <c r="L1730" s="141" t="n"/>
      <c r="M1730" s="142" t="n"/>
      <c r="N1730" s="146">
        <f>IF(AND(AND(F1730="",G1730=""),B1730="",C1730="",D1730="",J1730="",K1730="",L1730=""),"",IF(AND(F1730="",G1730=""),"✗ 没填金额",IF(AND(N(F1730)&lt;&gt;0,N(G1730)&lt;&gt;0),"✗ 收入、支出只能填一边",IF(NOT(ISNUMBER(B1730)),"✗ 日期不是真日期（要像 2026/9/25 这样填）",IF(OR(B1730&lt;年初日,B1730&gt;年末日),"✗ 日期不在本会计年度",IF(C1730="","✗ 没选账户",IF(COUNTIF(基础资料!$W$5:$W$24,C1730)=0,"✗ 账户不在基础资料里",IF(O1730="","✗ 没选收支项目",IF(P1730="未知","✗ 收支项目不在基础资料里",IF(AND(P1730="应收",J1730=""),"✗ 这笔要选客户",IF(AND(P1730="应收",COUNTIF(总览汇总!$B$5:$B$304,J1730)=0),"✗ 客户不在总览汇总名单里",IF(AND(P1730="应付",K1730=""),"✗ 这笔要选供应商",IF(AND(P1730="应付",COUNTIF(基础资料!$Q$5:$Q$54,K1730)=0),"✗ 供应商不在基础资料里",IF(AND(P1730="费用",L1730=""),"✗ 费用支出要选费用项目",IF(AND(L1730&lt;&gt;"",COUNTIF(基础资料!$AI$5:$AI$54,L1730)=0),"✗ 费用项目不在基础资料里",IF(AND(IFERROR(INDEX(基础资料!$AD$5:$AD$34,MATCH(O1730,基础资料!$AC$5:$AC$34,0)),"")="收",N(G1730)&lt;&gt;0),"✗ 这类是收款，金额填到收入列",IF(AND(IFERROR(INDEX(基础资料!$AD$5:$AD$34,MATCH(O1730,基础资料!$AC$5:$AC$34,0)),"")="支",N(F1730)&lt;&gt;0),"✗ 这类是付款，金额填到支出列",IF(N(H1730)&lt;0,"⚠ 账户余额成负数了，核对一下","√"))))))))))))))))))</f>
      </c>
      <c r="O1730" s="78">
        <f>IF(D1730&lt;&gt;"",D1730,IF(AND(F1730="",G1730=""),"",IF(J1730&lt;&gt;"",IF(N(F1730)&gt;0,"客户回款","客户退款"),IF(K1730&lt;&gt;"",IF(N(G1730)&gt;0,"供应商付款","供应商退款"),IF(L1730&lt;&gt;"","费用支出","")))))</f>
      </c>
      <c r="P1730" s="78">
        <f>IF(O1730="","",IFERROR(INDEX(基础资料!$AE$5:$AE$34,MATCH(O1730,基础资料!$AC$5:$AC$34,0)),"未知"))</f>
      </c>
      <c r="Q1730" s="78">
        <f>IF(P1730="应收",COUNTIF(P$7:P1730,"应收"),"")</f>
      </c>
      <c r="R1730" s="78">
        <f>IF(P1730="应付",COUNTIF(P$7:P1730,"应付"),"")</f>
      </c>
      <c r="S1730" s="78">
        <f>N(F1730)-N(G1730)</f>
        <v>0</v>
      </c>
    </row>
    <row r="1731">
      <c r="A1731" s="109">
        <f>IF(AND(F1731="",G1731=""),"",ROW()-6)</f>
      </c>
      <c r="B1731" s="140" t="n"/>
      <c r="C1731" s="141" t="n"/>
      <c r="D1731" s="141" t="n"/>
      <c r="E1731" s="142" t="n"/>
      <c r="F1731" s="143" t="n"/>
      <c r="G1731" s="144" t="n"/>
      <c r="H1731" s="145">
        <f>IF(OR(C1731="",AND(F1731="",G1731="")),"",SUMIF(基础资料!$W$5:$W$24,C1731,基础资料!$X$5:$X$24)+SUMIF(C$7:C1731,C1731,F$7:F1731)-SUMIF(C$7:C1731,C1731,G$7:G1731))</f>
      </c>
      <c r="I1731" s="145">
        <f>IF(AND(F1731="",G1731=""),"",SUM(基础资料!$X$5:$X$24)+SUM(F$7:F1731)-SUM(G$7:G1731))</f>
      </c>
      <c r="J1731" s="141" t="n"/>
      <c r="K1731" s="141" t="n"/>
      <c r="L1731" s="141" t="n"/>
      <c r="M1731" s="142" t="n"/>
      <c r="N1731" s="146">
        <f>IF(AND(AND(F1731="",G1731=""),B1731="",C1731="",D1731="",J1731="",K1731="",L1731=""),"",IF(AND(F1731="",G1731=""),"✗ 没填金额",IF(AND(N(F1731)&lt;&gt;0,N(G1731)&lt;&gt;0),"✗ 收入、支出只能填一边",IF(NOT(ISNUMBER(B1731)),"✗ 日期不是真日期（要像 2026/9/25 这样填）",IF(OR(B1731&lt;年初日,B1731&gt;年末日),"✗ 日期不在本会计年度",IF(C1731="","✗ 没选账户",IF(COUNTIF(基础资料!$W$5:$W$24,C1731)=0,"✗ 账户不在基础资料里",IF(O1731="","✗ 没选收支项目",IF(P1731="未知","✗ 收支项目不在基础资料里",IF(AND(P1731="应收",J1731=""),"✗ 这笔要选客户",IF(AND(P1731="应收",COUNTIF(总览汇总!$B$5:$B$304,J1731)=0),"✗ 客户不在总览汇总名单里",IF(AND(P1731="应付",K1731=""),"✗ 这笔要选供应商",IF(AND(P1731="应付",COUNTIF(基础资料!$Q$5:$Q$54,K1731)=0),"✗ 供应商不在基础资料里",IF(AND(P1731="费用",L1731=""),"✗ 费用支出要选费用项目",IF(AND(L1731&lt;&gt;"",COUNTIF(基础资料!$AI$5:$AI$54,L1731)=0),"✗ 费用项目不在基础资料里",IF(AND(IFERROR(INDEX(基础资料!$AD$5:$AD$34,MATCH(O1731,基础资料!$AC$5:$AC$34,0)),"")="收",N(G1731)&lt;&gt;0),"✗ 这类是收款，金额填到收入列",IF(AND(IFERROR(INDEX(基础资料!$AD$5:$AD$34,MATCH(O1731,基础资料!$AC$5:$AC$34,0)),"")="支",N(F1731)&lt;&gt;0),"✗ 这类是付款，金额填到支出列",IF(N(H1731)&lt;0,"⚠ 账户余额成负数了，核对一下","√"))))))))))))))))))</f>
      </c>
      <c r="O1731" s="78">
        <f>IF(D1731&lt;&gt;"",D1731,IF(AND(F1731="",G1731=""),"",IF(J1731&lt;&gt;"",IF(N(F1731)&gt;0,"客户回款","客户退款"),IF(K1731&lt;&gt;"",IF(N(G1731)&gt;0,"供应商付款","供应商退款"),IF(L1731&lt;&gt;"","费用支出","")))))</f>
      </c>
      <c r="P1731" s="78">
        <f>IF(O1731="","",IFERROR(INDEX(基础资料!$AE$5:$AE$34,MATCH(O1731,基础资料!$AC$5:$AC$34,0)),"未知"))</f>
      </c>
      <c r="Q1731" s="78">
        <f>IF(P1731="应收",COUNTIF(P$7:P1731,"应收"),"")</f>
      </c>
      <c r="R1731" s="78">
        <f>IF(P1731="应付",COUNTIF(P$7:P1731,"应付"),"")</f>
      </c>
      <c r="S1731" s="78">
        <f>N(F1731)-N(G1731)</f>
        <v>0</v>
      </c>
    </row>
    <row r="1732">
      <c r="A1732" s="109">
        <f>IF(AND(F1732="",G1732=""),"",ROW()-6)</f>
      </c>
      <c r="B1732" s="140" t="n"/>
      <c r="C1732" s="141" t="n"/>
      <c r="D1732" s="141" t="n"/>
      <c r="E1732" s="142" t="n"/>
      <c r="F1732" s="143" t="n"/>
      <c r="G1732" s="144" t="n"/>
      <c r="H1732" s="145">
        <f>IF(OR(C1732="",AND(F1732="",G1732="")),"",SUMIF(基础资料!$W$5:$W$24,C1732,基础资料!$X$5:$X$24)+SUMIF(C$7:C1732,C1732,F$7:F1732)-SUMIF(C$7:C1732,C1732,G$7:G1732))</f>
      </c>
      <c r="I1732" s="145">
        <f>IF(AND(F1732="",G1732=""),"",SUM(基础资料!$X$5:$X$24)+SUM(F$7:F1732)-SUM(G$7:G1732))</f>
      </c>
      <c r="J1732" s="141" t="n"/>
      <c r="K1732" s="141" t="n"/>
      <c r="L1732" s="141" t="n"/>
      <c r="M1732" s="142" t="n"/>
      <c r="N1732" s="146">
        <f>IF(AND(AND(F1732="",G1732=""),B1732="",C1732="",D1732="",J1732="",K1732="",L1732=""),"",IF(AND(F1732="",G1732=""),"✗ 没填金额",IF(AND(N(F1732)&lt;&gt;0,N(G1732)&lt;&gt;0),"✗ 收入、支出只能填一边",IF(NOT(ISNUMBER(B1732)),"✗ 日期不是真日期（要像 2026/9/25 这样填）",IF(OR(B1732&lt;年初日,B1732&gt;年末日),"✗ 日期不在本会计年度",IF(C1732="","✗ 没选账户",IF(COUNTIF(基础资料!$W$5:$W$24,C1732)=0,"✗ 账户不在基础资料里",IF(O1732="","✗ 没选收支项目",IF(P1732="未知","✗ 收支项目不在基础资料里",IF(AND(P1732="应收",J1732=""),"✗ 这笔要选客户",IF(AND(P1732="应收",COUNTIF(总览汇总!$B$5:$B$304,J1732)=0),"✗ 客户不在总览汇总名单里",IF(AND(P1732="应付",K1732=""),"✗ 这笔要选供应商",IF(AND(P1732="应付",COUNTIF(基础资料!$Q$5:$Q$54,K1732)=0),"✗ 供应商不在基础资料里",IF(AND(P1732="费用",L1732=""),"✗ 费用支出要选费用项目",IF(AND(L1732&lt;&gt;"",COUNTIF(基础资料!$AI$5:$AI$54,L1732)=0),"✗ 费用项目不在基础资料里",IF(AND(IFERROR(INDEX(基础资料!$AD$5:$AD$34,MATCH(O1732,基础资料!$AC$5:$AC$34,0)),"")="收",N(G1732)&lt;&gt;0),"✗ 这类是收款，金额填到收入列",IF(AND(IFERROR(INDEX(基础资料!$AD$5:$AD$34,MATCH(O1732,基础资料!$AC$5:$AC$34,0)),"")="支",N(F1732)&lt;&gt;0),"✗ 这类是付款，金额填到支出列",IF(N(H1732)&lt;0,"⚠ 账户余额成负数了，核对一下","√"))))))))))))))))))</f>
      </c>
      <c r="O1732" s="78">
        <f>IF(D1732&lt;&gt;"",D1732,IF(AND(F1732="",G1732=""),"",IF(J1732&lt;&gt;"",IF(N(F1732)&gt;0,"客户回款","客户退款"),IF(K1732&lt;&gt;"",IF(N(G1732)&gt;0,"供应商付款","供应商退款"),IF(L1732&lt;&gt;"","费用支出","")))))</f>
      </c>
      <c r="P1732" s="78">
        <f>IF(O1732="","",IFERROR(INDEX(基础资料!$AE$5:$AE$34,MATCH(O1732,基础资料!$AC$5:$AC$34,0)),"未知"))</f>
      </c>
      <c r="Q1732" s="78">
        <f>IF(P1732="应收",COUNTIF(P$7:P1732,"应收"),"")</f>
      </c>
      <c r="R1732" s="78">
        <f>IF(P1732="应付",COUNTIF(P$7:P1732,"应付"),"")</f>
      </c>
      <c r="S1732" s="78">
        <f>N(F1732)-N(G1732)</f>
        <v>0</v>
      </c>
    </row>
    <row r="1733">
      <c r="A1733" s="109">
        <f>IF(AND(F1733="",G1733=""),"",ROW()-6)</f>
      </c>
      <c r="B1733" s="140" t="n"/>
      <c r="C1733" s="141" t="n"/>
      <c r="D1733" s="141" t="n"/>
      <c r="E1733" s="142" t="n"/>
      <c r="F1733" s="143" t="n"/>
      <c r="G1733" s="144" t="n"/>
      <c r="H1733" s="145">
        <f>IF(OR(C1733="",AND(F1733="",G1733="")),"",SUMIF(基础资料!$W$5:$W$24,C1733,基础资料!$X$5:$X$24)+SUMIF(C$7:C1733,C1733,F$7:F1733)-SUMIF(C$7:C1733,C1733,G$7:G1733))</f>
      </c>
      <c r="I1733" s="145">
        <f>IF(AND(F1733="",G1733=""),"",SUM(基础资料!$X$5:$X$24)+SUM(F$7:F1733)-SUM(G$7:G1733))</f>
      </c>
      <c r="J1733" s="141" t="n"/>
      <c r="K1733" s="141" t="n"/>
      <c r="L1733" s="141" t="n"/>
      <c r="M1733" s="142" t="n"/>
      <c r="N1733" s="146">
        <f>IF(AND(AND(F1733="",G1733=""),B1733="",C1733="",D1733="",J1733="",K1733="",L1733=""),"",IF(AND(F1733="",G1733=""),"✗ 没填金额",IF(AND(N(F1733)&lt;&gt;0,N(G1733)&lt;&gt;0),"✗ 收入、支出只能填一边",IF(NOT(ISNUMBER(B1733)),"✗ 日期不是真日期（要像 2026/9/25 这样填）",IF(OR(B1733&lt;年初日,B1733&gt;年末日),"✗ 日期不在本会计年度",IF(C1733="","✗ 没选账户",IF(COUNTIF(基础资料!$W$5:$W$24,C1733)=0,"✗ 账户不在基础资料里",IF(O1733="","✗ 没选收支项目",IF(P1733="未知","✗ 收支项目不在基础资料里",IF(AND(P1733="应收",J1733=""),"✗ 这笔要选客户",IF(AND(P1733="应收",COUNTIF(总览汇总!$B$5:$B$304,J1733)=0),"✗ 客户不在总览汇总名单里",IF(AND(P1733="应付",K1733=""),"✗ 这笔要选供应商",IF(AND(P1733="应付",COUNTIF(基础资料!$Q$5:$Q$54,K1733)=0),"✗ 供应商不在基础资料里",IF(AND(P1733="费用",L1733=""),"✗ 费用支出要选费用项目",IF(AND(L1733&lt;&gt;"",COUNTIF(基础资料!$AI$5:$AI$54,L1733)=0),"✗ 费用项目不在基础资料里",IF(AND(IFERROR(INDEX(基础资料!$AD$5:$AD$34,MATCH(O1733,基础资料!$AC$5:$AC$34,0)),"")="收",N(G1733)&lt;&gt;0),"✗ 这类是收款，金额填到收入列",IF(AND(IFERROR(INDEX(基础资料!$AD$5:$AD$34,MATCH(O1733,基础资料!$AC$5:$AC$34,0)),"")="支",N(F1733)&lt;&gt;0),"✗ 这类是付款，金额填到支出列",IF(N(H1733)&lt;0,"⚠ 账户余额成负数了，核对一下","√"))))))))))))))))))</f>
      </c>
      <c r="O1733" s="78">
        <f>IF(D1733&lt;&gt;"",D1733,IF(AND(F1733="",G1733=""),"",IF(J1733&lt;&gt;"",IF(N(F1733)&gt;0,"客户回款","客户退款"),IF(K1733&lt;&gt;"",IF(N(G1733)&gt;0,"供应商付款","供应商退款"),IF(L1733&lt;&gt;"","费用支出","")))))</f>
      </c>
      <c r="P1733" s="78">
        <f>IF(O1733="","",IFERROR(INDEX(基础资料!$AE$5:$AE$34,MATCH(O1733,基础资料!$AC$5:$AC$34,0)),"未知"))</f>
      </c>
      <c r="Q1733" s="78">
        <f>IF(P1733="应收",COUNTIF(P$7:P1733,"应收"),"")</f>
      </c>
      <c r="R1733" s="78">
        <f>IF(P1733="应付",COUNTIF(P$7:P1733,"应付"),"")</f>
      </c>
      <c r="S1733" s="78">
        <f>N(F1733)-N(G1733)</f>
        <v>0</v>
      </c>
    </row>
    <row r="1734">
      <c r="A1734" s="109">
        <f>IF(AND(F1734="",G1734=""),"",ROW()-6)</f>
      </c>
      <c r="B1734" s="140" t="n"/>
      <c r="C1734" s="141" t="n"/>
      <c r="D1734" s="141" t="n"/>
      <c r="E1734" s="142" t="n"/>
      <c r="F1734" s="143" t="n"/>
      <c r="G1734" s="144" t="n"/>
      <c r="H1734" s="145">
        <f>IF(OR(C1734="",AND(F1734="",G1734="")),"",SUMIF(基础资料!$W$5:$W$24,C1734,基础资料!$X$5:$X$24)+SUMIF(C$7:C1734,C1734,F$7:F1734)-SUMIF(C$7:C1734,C1734,G$7:G1734))</f>
      </c>
      <c r="I1734" s="145">
        <f>IF(AND(F1734="",G1734=""),"",SUM(基础资料!$X$5:$X$24)+SUM(F$7:F1734)-SUM(G$7:G1734))</f>
      </c>
      <c r="J1734" s="141" t="n"/>
      <c r="K1734" s="141" t="n"/>
      <c r="L1734" s="141" t="n"/>
      <c r="M1734" s="142" t="n"/>
      <c r="N1734" s="146">
        <f>IF(AND(AND(F1734="",G1734=""),B1734="",C1734="",D1734="",J1734="",K1734="",L1734=""),"",IF(AND(F1734="",G1734=""),"✗ 没填金额",IF(AND(N(F1734)&lt;&gt;0,N(G1734)&lt;&gt;0),"✗ 收入、支出只能填一边",IF(NOT(ISNUMBER(B1734)),"✗ 日期不是真日期（要像 2026/9/25 这样填）",IF(OR(B1734&lt;年初日,B1734&gt;年末日),"✗ 日期不在本会计年度",IF(C1734="","✗ 没选账户",IF(COUNTIF(基础资料!$W$5:$W$24,C1734)=0,"✗ 账户不在基础资料里",IF(O1734="","✗ 没选收支项目",IF(P1734="未知","✗ 收支项目不在基础资料里",IF(AND(P1734="应收",J1734=""),"✗ 这笔要选客户",IF(AND(P1734="应收",COUNTIF(总览汇总!$B$5:$B$304,J1734)=0),"✗ 客户不在总览汇总名单里",IF(AND(P1734="应付",K1734=""),"✗ 这笔要选供应商",IF(AND(P1734="应付",COUNTIF(基础资料!$Q$5:$Q$54,K1734)=0),"✗ 供应商不在基础资料里",IF(AND(P1734="费用",L1734=""),"✗ 费用支出要选费用项目",IF(AND(L1734&lt;&gt;"",COUNTIF(基础资料!$AI$5:$AI$54,L1734)=0),"✗ 费用项目不在基础资料里",IF(AND(IFERROR(INDEX(基础资料!$AD$5:$AD$34,MATCH(O1734,基础资料!$AC$5:$AC$34,0)),"")="收",N(G1734)&lt;&gt;0),"✗ 这类是收款，金额填到收入列",IF(AND(IFERROR(INDEX(基础资料!$AD$5:$AD$34,MATCH(O1734,基础资料!$AC$5:$AC$34,0)),"")="支",N(F1734)&lt;&gt;0),"✗ 这类是付款，金额填到支出列",IF(N(H1734)&lt;0,"⚠ 账户余额成负数了，核对一下","√"))))))))))))))))))</f>
      </c>
      <c r="O1734" s="78">
        <f>IF(D1734&lt;&gt;"",D1734,IF(AND(F1734="",G1734=""),"",IF(J1734&lt;&gt;"",IF(N(F1734)&gt;0,"客户回款","客户退款"),IF(K1734&lt;&gt;"",IF(N(G1734)&gt;0,"供应商付款","供应商退款"),IF(L1734&lt;&gt;"","费用支出","")))))</f>
      </c>
      <c r="P1734" s="78">
        <f>IF(O1734="","",IFERROR(INDEX(基础资料!$AE$5:$AE$34,MATCH(O1734,基础资料!$AC$5:$AC$34,0)),"未知"))</f>
      </c>
      <c r="Q1734" s="78">
        <f>IF(P1734="应收",COUNTIF(P$7:P1734,"应收"),"")</f>
      </c>
      <c r="R1734" s="78">
        <f>IF(P1734="应付",COUNTIF(P$7:P1734,"应付"),"")</f>
      </c>
      <c r="S1734" s="78">
        <f>N(F1734)-N(G1734)</f>
        <v>0</v>
      </c>
    </row>
    <row r="1735">
      <c r="A1735" s="109">
        <f>IF(AND(F1735="",G1735=""),"",ROW()-6)</f>
      </c>
      <c r="B1735" s="140" t="n"/>
      <c r="C1735" s="141" t="n"/>
      <c r="D1735" s="141" t="n"/>
      <c r="E1735" s="142" t="n"/>
      <c r="F1735" s="143" t="n"/>
      <c r="G1735" s="144" t="n"/>
      <c r="H1735" s="145">
        <f>IF(OR(C1735="",AND(F1735="",G1735="")),"",SUMIF(基础资料!$W$5:$W$24,C1735,基础资料!$X$5:$X$24)+SUMIF(C$7:C1735,C1735,F$7:F1735)-SUMIF(C$7:C1735,C1735,G$7:G1735))</f>
      </c>
      <c r="I1735" s="145">
        <f>IF(AND(F1735="",G1735=""),"",SUM(基础资料!$X$5:$X$24)+SUM(F$7:F1735)-SUM(G$7:G1735))</f>
      </c>
      <c r="J1735" s="141" t="n"/>
      <c r="K1735" s="141" t="n"/>
      <c r="L1735" s="141" t="n"/>
      <c r="M1735" s="142" t="n"/>
      <c r="N1735" s="146">
        <f>IF(AND(AND(F1735="",G1735=""),B1735="",C1735="",D1735="",J1735="",K1735="",L1735=""),"",IF(AND(F1735="",G1735=""),"✗ 没填金额",IF(AND(N(F1735)&lt;&gt;0,N(G1735)&lt;&gt;0),"✗ 收入、支出只能填一边",IF(NOT(ISNUMBER(B1735)),"✗ 日期不是真日期（要像 2026/9/25 这样填）",IF(OR(B1735&lt;年初日,B1735&gt;年末日),"✗ 日期不在本会计年度",IF(C1735="","✗ 没选账户",IF(COUNTIF(基础资料!$W$5:$W$24,C1735)=0,"✗ 账户不在基础资料里",IF(O1735="","✗ 没选收支项目",IF(P1735="未知","✗ 收支项目不在基础资料里",IF(AND(P1735="应收",J1735=""),"✗ 这笔要选客户",IF(AND(P1735="应收",COUNTIF(总览汇总!$B$5:$B$304,J1735)=0),"✗ 客户不在总览汇总名单里",IF(AND(P1735="应付",K1735=""),"✗ 这笔要选供应商",IF(AND(P1735="应付",COUNTIF(基础资料!$Q$5:$Q$54,K1735)=0),"✗ 供应商不在基础资料里",IF(AND(P1735="费用",L1735=""),"✗ 费用支出要选费用项目",IF(AND(L1735&lt;&gt;"",COUNTIF(基础资料!$AI$5:$AI$54,L1735)=0),"✗ 费用项目不在基础资料里",IF(AND(IFERROR(INDEX(基础资料!$AD$5:$AD$34,MATCH(O1735,基础资料!$AC$5:$AC$34,0)),"")="收",N(G1735)&lt;&gt;0),"✗ 这类是收款，金额填到收入列",IF(AND(IFERROR(INDEX(基础资料!$AD$5:$AD$34,MATCH(O1735,基础资料!$AC$5:$AC$34,0)),"")="支",N(F1735)&lt;&gt;0),"✗ 这类是付款，金额填到支出列",IF(N(H1735)&lt;0,"⚠ 账户余额成负数了，核对一下","√"))))))))))))))))))</f>
      </c>
      <c r="O1735" s="78">
        <f>IF(D1735&lt;&gt;"",D1735,IF(AND(F1735="",G1735=""),"",IF(J1735&lt;&gt;"",IF(N(F1735)&gt;0,"客户回款","客户退款"),IF(K1735&lt;&gt;"",IF(N(G1735)&gt;0,"供应商付款","供应商退款"),IF(L1735&lt;&gt;"","费用支出","")))))</f>
      </c>
      <c r="P1735" s="78">
        <f>IF(O1735="","",IFERROR(INDEX(基础资料!$AE$5:$AE$34,MATCH(O1735,基础资料!$AC$5:$AC$34,0)),"未知"))</f>
      </c>
      <c r="Q1735" s="78">
        <f>IF(P1735="应收",COUNTIF(P$7:P1735,"应收"),"")</f>
      </c>
      <c r="R1735" s="78">
        <f>IF(P1735="应付",COUNTIF(P$7:P1735,"应付"),"")</f>
      </c>
      <c r="S1735" s="78">
        <f>N(F1735)-N(G1735)</f>
        <v>0</v>
      </c>
    </row>
    <row r="1736">
      <c r="A1736" s="109">
        <f>IF(AND(F1736="",G1736=""),"",ROW()-6)</f>
      </c>
      <c r="B1736" s="140" t="n"/>
      <c r="C1736" s="141" t="n"/>
      <c r="D1736" s="141" t="n"/>
      <c r="E1736" s="142" t="n"/>
      <c r="F1736" s="143" t="n"/>
      <c r="G1736" s="144" t="n"/>
      <c r="H1736" s="145">
        <f>IF(OR(C1736="",AND(F1736="",G1736="")),"",SUMIF(基础资料!$W$5:$W$24,C1736,基础资料!$X$5:$X$24)+SUMIF(C$7:C1736,C1736,F$7:F1736)-SUMIF(C$7:C1736,C1736,G$7:G1736))</f>
      </c>
      <c r="I1736" s="145">
        <f>IF(AND(F1736="",G1736=""),"",SUM(基础资料!$X$5:$X$24)+SUM(F$7:F1736)-SUM(G$7:G1736))</f>
      </c>
      <c r="J1736" s="141" t="n"/>
      <c r="K1736" s="141" t="n"/>
      <c r="L1736" s="141" t="n"/>
      <c r="M1736" s="142" t="n"/>
      <c r="N1736" s="146">
        <f>IF(AND(AND(F1736="",G1736=""),B1736="",C1736="",D1736="",J1736="",K1736="",L1736=""),"",IF(AND(F1736="",G1736=""),"✗ 没填金额",IF(AND(N(F1736)&lt;&gt;0,N(G1736)&lt;&gt;0),"✗ 收入、支出只能填一边",IF(NOT(ISNUMBER(B1736)),"✗ 日期不是真日期（要像 2026/9/25 这样填）",IF(OR(B1736&lt;年初日,B1736&gt;年末日),"✗ 日期不在本会计年度",IF(C1736="","✗ 没选账户",IF(COUNTIF(基础资料!$W$5:$W$24,C1736)=0,"✗ 账户不在基础资料里",IF(O1736="","✗ 没选收支项目",IF(P1736="未知","✗ 收支项目不在基础资料里",IF(AND(P1736="应收",J1736=""),"✗ 这笔要选客户",IF(AND(P1736="应收",COUNTIF(总览汇总!$B$5:$B$304,J1736)=0),"✗ 客户不在总览汇总名单里",IF(AND(P1736="应付",K1736=""),"✗ 这笔要选供应商",IF(AND(P1736="应付",COUNTIF(基础资料!$Q$5:$Q$54,K1736)=0),"✗ 供应商不在基础资料里",IF(AND(P1736="费用",L1736=""),"✗ 费用支出要选费用项目",IF(AND(L1736&lt;&gt;"",COUNTIF(基础资料!$AI$5:$AI$54,L1736)=0),"✗ 费用项目不在基础资料里",IF(AND(IFERROR(INDEX(基础资料!$AD$5:$AD$34,MATCH(O1736,基础资料!$AC$5:$AC$34,0)),"")="收",N(G1736)&lt;&gt;0),"✗ 这类是收款，金额填到收入列",IF(AND(IFERROR(INDEX(基础资料!$AD$5:$AD$34,MATCH(O1736,基础资料!$AC$5:$AC$34,0)),"")="支",N(F1736)&lt;&gt;0),"✗ 这类是付款，金额填到支出列",IF(N(H1736)&lt;0,"⚠ 账户余额成负数了，核对一下","√"))))))))))))))))))</f>
      </c>
      <c r="O1736" s="78">
        <f>IF(D1736&lt;&gt;"",D1736,IF(AND(F1736="",G1736=""),"",IF(J1736&lt;&gt;"",IF(N(F1736)&gt;0,"客户回款","客户退款"),IF(K1736&lt;&gt;"",IF(N(G1736)&gt;0,"供应商付款","供应商退款"),IF(L1736&lt;&gt;"","费用支出","")))))</f>
      </c>
      <c r="P1736" s="78">
        <f>IF(O1736="","",IFERROR(INDEX(基础资料!$AE$5:$AE$34,MATCH(O1736,基础资料!$AC$5:$AC$34,0)),"未知"))</f>
      </c>
      <c r="Q1736" s="78">
        <f>IF(P1736="应收",COUNTIF(P$7:P1736,"应收"),"")</f>
      </c>
      <c r="R1736" s="78">
        <f>IF(P1736="应付",COUNTIF(P$7:P1736,"应付"),"")</f>
      </c>
      <c r="S1736" s="78">
        <f>N(F1736)-N(G1736)</f>
        <v>0</v>
      </c>
    </row>
    <row r="1737">
      <c r="A1737" s="109">
        <f>IF(AND(F1737="",G1737=""),"",ROW()-6)</f>
      </c>
      <c r="B1737" s="140" t="n"/>
      <c r="C1737" s="141" t="n"/>
      <c r="D1737" s="141" t="n"/>
      <c r="E1737" s="142" t="n"/>
      <c r="F1737" s="143" t="n"/>
      <c r="G1737" s="144" t="n"/>
      <c r="H1737" s="145">
        <f>IF(OR(C1737="",AND(F1737="",G1737="")),"",SUMIF(基础资料!$W$5:$W$24,C1737,基础资料!$X$5:$X$24)+SUMIF(C$7:C1737,C1737,F$7:F1737)-SUMIF(C$7:C1737,C1737,G$7:G1737))</f>
      </c>
      <c r="I1737" s="145">
        <f>IF(AND(F1737="",G1737=""),"",SUM(基础资料!$X$5:$X$24)+SUM(F$7:F1737)-SUM(G$7:G1737))</f>
      </c>
      <c r="J1737" s="141" t="n"/>
      <c r="K1737" s="141" t="n"/>
      <c r="L1737" s="141" t="n"/>
      <c r="M1737" s="142" t="n"/>
      <c r="N1737" s="146">
        <f>IF(AND(AND(F1737="",G1737=""),B1737="",C1737="",D1737="",J1737="",K1737="",L1737=""),"",IF(AND(F1737="",G1737=""),"✗ 没填金额",IF(AND(N(F1737)&lt;&gt;0,N(G1737)&lt;&gt;0),"✗ 收入、支出只能填一边",IF(NOT(ISNUMBER(B1737)),"✗ 日期不是真日期（要像 2026/9/25 这样填）",IF(OR(B1737&lt;年初日,B1737&gt;年末日),"✗ 日期不在本会计年度",IF(C1737="","✗ 没选账户",IF(COUNTIF(基础资料!$W$5:$W$24,C1737)=0,"✗ 账户不在基础资料里",IF(O1737="","✗ 没选收支项目",IF(P1737="未知","✗ 收支项目不在基础资料里",IF(AND(P1737="应收",J1737=""),"✗ 这笔要选客户",IF(AND(P1737="应收",COUNTIF(总览汇总!$B$5:$B$304,J1737)=0),"✗ 客户不在总览汇总名单里",IF(AND(P1737="应付",K1737=""),"✗ 这笔要选供应商",IF(AND(P1737="应付",COUNTIF(基础资料!$Q$5:$Q$54,K1737)=0),"✗ 供应商不在基础资料里",IF(AND(P1737="费用",L1737=""),"✗ 费用支出要选费用项目",IF(AND(L1737&lt;&gt;"",COUNTIF(基础资料!$AI$5:$AI$54,L1737)=0),"✗ 费用项目不在基础资料里",IF(AND(IFERROR(INDEX(基础资料!$AD$5:$AD$34,MATCH(O1737,基础资料!$AC$5:$AC$34,0)),"")="收",N(G1737)&lt;&gt;0),"✗ 这类是收款，金额填到收入列",IF(AND(IFERROR(INDEX(基础资料!$AD$5:$AD$34,MATCH(O1737,基础资料!$AC$5:$AC$34,0)),"")="支",N(F1737)&lt;&gt;0),"✗ 这类是付款，金额填到支出列",IF(N(H1737)&lt;0,"⚠ 账户余额成负数了，核对一下","√"))))))))))))))))))</f>
      </c>
      <c r="O1737" s="78">
        <f>IF(D1737&lt;&gt;"",D1737,IF(AND(F1737="",G1737=""),"",IF(J1737&lt;&gt;"",IF(N(F1737)&gt;0,"客户回款","客户退款"),IF(K1737&lt;&gt;"",IF(N(G1737)&gt;0,"供应商付款","供应商退款"),IF(L1737&lt;&gt;"","费用支出","")))))</f>
      </c>
      <c r="P1737" s="78">
        <f>IF(O1737="","",IFERROR(INDEX(基础资料!$AE$5:$AE$34,MATCH(O1737,基础资料!$AC$5:$AC$34,0)),"未知"))</f>
      </c>
      <c r="Q1737" s="78">
        <f>IF(P1737="应收",COUNTIF(P$7:P1737,"应收"),"")</f>
      </c>
      <c r="R1737" s="78">
        <f>IF(P1737="应付",COUNTIF(P$7:P1737,"应付"),"")</f>
      </c>
      <c r="S1737" s="78">
        <f>N(F1737)-N(G1737)</f>
        <v>0</v>
      </c>
    </row>
    <row r="1738">
      <c r="A1738" s="109">
        <f>IF(AND(F1738="",G1738=""),"",ROW()-6)</f>
      </c>
      <c r="B1738" s="140" t="n"/>
      <c r="C1738" s="141" t="n"/>
      <c r="D1738" s="141" t="n"/>
      <c r="E1738" s="142" t="n"/>
      <c r="F1738" s="143" t="n"/>
      <c r="G1738" s="144" t="n"/>
      <c r="H1738" s="145">
        <f>IF(OR(C1738="",AND(F1738="",G1738="")),"",SUMIF(基础资料!$W$5:$W$24,C1738,基础资料!$X$5:$X$24)+SUMIF(C$7:C1738,C1738,F$7:F1738)-SUMIF(C$7:C1738,C1738,G$7:G1738))</f>
      </c>
      <c r="I1738" s="145">
        <f>IF(AND(F1738="",G1738=""),"",SUM(基础资料!$X$5:$X$24)+SUM(F$7:F1738)-SUM(G$7:G1738))</f>
      </c>
      <c r="J1738" s="141" t="n"/>
      <c r="K1738" s="141" t="n"/>
      <c r="L1738" s="141" t="n"/>
      <c r="M1738" s="142" t="n"/>
      <c r="N1738" s="146">
        <f>IF(AND(AND(F1738="",G1738=""),B1738="",C1738="",D1738="",J1738="",K1738="",L1738=""),"",IF(AND(F1738="",G1738=""),"✗ 没填金额",IF(AND(N(F1738)&lt;&gt;0,N(G1738)&lt;&gt;0),"✗ 收入、支出只能填一边",IF(NOT(ISNUMBER(B1738)),"✗ 日期不是真日期（要像 2026/9/25 这样填）",IF(OR(B1738&lt;年初日,B1738&gt;年末日),"✗ 日期不在本会计年度",IF(C1738="","✗ 没选账户",IF(COUNTIF(基础资料!$W$5:$W$24,C1738)=0,"✗ 账户不在基础资料里",IF(O1738="","✗ 没选收支项目",IF(P1738="未知","✗ 收支项目不在基础资料里",IF(AND(P1738="应收",J1738=""),"✗ 这笔要选客户",IF(AND(P1738="应收",COUNTIF(总览汇总!$B$5:$B$304,J1738)=0),"✗ 客户不在总览汇总名单里",IF(AND(P1738="应付",K1738=""),"✗ 这笔要选供应商",IF(AND(P1738="应付",COUNTIF(基础资料!$Q$5:$Q$54,K1738)=0),"✗ 供应商不在基础资料里",IF(AND(P1738="费用",L1738=""),"✗ 费用支出要选费用项目",IF(AND(L1738&lt;&gt;"",COUNTIF(基础资料!$AI$5:$AI$54,L1738)=0),"✗ 费用项目不在基础资料里",IF(AND(IFERROR(INDEX(基础资料!$AD$5:$AD$34,MATCH(O1738,基础资料!$AC$5:$AC$34,0)),"")="收",N(G1738)&lt;&gt;0),"✗ 这类是收款，金额填到收入列",IF(AND(IFERROR(INDEX(基础资料!$AD$5:$AD$34,MATCH(O1738,基础资料!$AC$5:$AC$34,0)),"")="支",N(F1738)&lt;&gt;0),"✗ 这类是付款，金额填到支出列",IF(N(H1738)&lt;0,"⚠ 账户余额成负数了，核对一下","√"))))))))))))))))))</f>
      </c>
      <c r="O1738" s="78">
        <f>IF(D1738&lt;&gt;"",D1738,IF(AND(F1738="",G1738=""),"",IF(J1738&lt;&gt;"",IF(N(F1738)&gt;0,"客户回款","客户退款"),IF(K1738&lt;&gt;"",IF(N(G1738)&gt;0,"供应商付款","供应商退款"),IF(L1738&lt;&gt;"","费用支出","")))))</f>
      </c>
      <c r="P1738" s="78">
        <f>IF(O1738="","",IFERROR(INDEX(基础资料!$AE$5:$AE$34,MATCH(O1738,基础资料!$AC$5:$AC$34,0)),"未知"))</f>
      </c>
      <c r="Q1738" s="78">
        <f>IF(P1738="应收",COUNTIF(P$7:P1738,"应收"),"")</f>
      </c>
      <c r="R1738" s="78">
        <f>IF(P1738="应付",COUNTIF(P$7:P1738,"应付"),"")</f>
      </c>
      <c r="S1738" s="78">
        <f>N(F1738)-N(G1738)</f>
        <v>0</v>
      </c>
    </row>
    <row r="1739">
      <c r="A1739" s="109">
        <f>IF(AND(F1739="",G1739=""),"",ROW()-6)</f>
      </c>
      <c r="B1739" s="140" t="n"/>
      <c r="C1739" s="141" t="n"/>
      <c r="D1739" s="141" t="n"/>
      <c r="E1739" s="142" t="n"/>
      <c r="F1739" s="143" t="n"/>
      <c r="G1739" s="144" t="n"/>
      <c r="H1739" s="145">
        <f>IF(OR(C1739="",AND(F1739="",G1739="")),"",SUMIF(基础资料!$W$5:$W$24,C1739,基础资料!$X$5:$X$24)+SUMIF(C$7:C1739,C1739,F$7:F1739)-SUMIF(C$7:C1739,C1739,G$7:G1739))</f>
      </c>
      <c r="I1739" s="145">
        <f>IF(AND(F1739="",G1739=""),"",SUM(基础资料!$X$5:$X$24)+SUM(F$7:F1739)-SUM(G$7:G1739))</f>
      </c>
      <c r="J1739" s="141" t="n"/>
      <c r="K1739" s="141" t="n"/>
      <c r="L1739" s="141" t="n"/>
      <c r="M1739" s="142" t="n"/>
      <c r="N1739" s="146">
        <f>IF(AND(AND(F1739="",G1739=""),B1739="",C1739="",D1739="",J1739="",K1739="",L1739=""),"",IF(AND(F1739="",G1739=""),"✗ 没填金额",IF(AND(N(F1739)&lt;&gt;0,N(G1739)&lt;&gt;0),"✗ 收入、支出只能填一边",IF(NOT(ISNUMBER(B1739)),"✗ 日期不是真日期（要像 2026/9/25 这样填）",IF(OR(B1739&lt;年初日,B1739&gt;年末日),"✗ 日期不在本会计年度",IF(C1739="","✗ 没选账户",IF(COUNTIF(基础资料!$W$5:$W$24,C1739)=0,"✗ 账户不在基础资料里",IF(O1739="","✗ 没选收支项目",IF(P1739="未知","✗ 收支项目不在基础资料里",IF(AND(P1739="应收",J1739=""),"✗ 这笔要选客户",IF(AND(P1739="应收",COUNTIF(总览汇总!$B$5:$B$304,J1739)=0),"✗ 客户不在总览汇总名单里",IF(AND(P1739="应付",K1739=""),"✗ 这笔要选供应商",IF(AND(P1739="应付",COUNTIF(基础资料!$Q$5:$Q$54,K1739)=0),"✗ 供应商不在基础资料里",IF(AND(P1739="费用",L1739=""),"✗ 费用支出要选费用项目",IF(AND(L1739&lt;&gt;"",COUNTIF(基础资料!$AI$5:$AI$54,L1739)=0),"✗ 费用项目不在基础资料里",IF(AND(IFERROR(INDEX(基础资料!$AD$5:$AD$34,MATCH(O1739,基础资料!$AC$5:$AC$34,0)),"")="收",N(G1739)&lt;&gt;0),"✗ 这类是收款，金额填到收入列",IF(AND(IFERROR(INDEX(基础资料!$AD$5:$AD$34,MATCH(O1739,基础资料!$AC$5:$AC$34,0)),"")="支",N(F1739)&lt;&gt;0),"✗ 这类是付款，金额填到支出列",IF(N(H1739)&lt;0,"⚠ 账户余额成负数了，核对一下","√"))))))))))))))))))</f>
      </c>
      <c r="O1739" s="78">
        <f>IF(D1739&lt;&gt;"",D1739,IF(AND(F1739="",G1739=""),"",IF(J1739&lt;&gt;"",IF(N(F1739)&gt;0,"客户回款","客户退款"),IF(K1739&lt;&gt;"",IF(N(G1739)&gt;0,"供应商付款","供应商退款"),IF(L1739&lt;&gt;"","费用支出","")))))</f>
      </c>
      <c r="P1739" s="78">
        <f>IF(O1739="","",IFERROR(INDEX(基础资料!$AE$5:$AE$34,MATCH(O1739,基础资料!$AC$5:$AC$34,0)),"未知"))</f>
      </c>
      <c r="Q1739" s="78">
        <f>IF(P1739="应收",COUNTIF(P$7:P1739,"应收"),"")</f>
      </c>
      <c r="R1739" s="78">
        <f>IF(P1739="应付",COUNTIF(P$7:P1739,"应付"),"")</f>
      </c>
      <c r="S1739" s="78">
        <f>N(F1739)-N(G1739)</f>
        <v>0</v>
      </c>
    </row>
    <row r="1740">
      <c r="A1740" s="109">
        <f>IF(AND(F1740="",G1740=""),"",ROW()-6)</f>
      </c>
      <c r="B1740" s="140" t="n"/>
      <c r="C1740" s="141" t="n"/>
      <c r="D1740" s="141" t="n"/>
      <c r="E1740" s="142" t="n"/>
      <c r="F1740" s="143" t="n"/>
      <c r="G1740" s="144" t="n"/>
      <c r="H1740" s="145">
        <f>IF(OR(C1740="",AND(F1740="",G1740="")),"",SUMIF(基础资料!$W$5:$W$24,C1740,基础资料!$X$5:$X$24)+SUMIF(C$7:C1740,C1740,F$7:F1740)-SUMIF(C$7:C1740,C1740,G$7:G1740))</f>
      </c>
      <c r="I1740" s="145">
        <f>IF(AND(F1740="",G1740=""),"",SUM(基础资料!$X$5:$X$24)+SUM(F$7:F1740)-SUM(G$7:G1740))</f>
      </c>
      <c r="J1740" s="141" t="n"/>
      <c r="K1740" s="141" t="n"/>
      <c r="L1740" s="141" t="n"/>
      <c r="M1740" s="142" t="n"/>
      <c r="N1740" s="146">
        <f>IF(AND(AND(F1740="",G1740=""),B1740="",C1740="",D1740="",J1740="",K1740="",L1740=""),"",IF(AND(F1740="",G1740=""),"✗ 没填金额",IF(AND(N(F1740)&lt;&gt;0,N(G1740)&lt;&gt;0),"✗ 收入、支出只能填一边",IF(NOT(ISNUMBER(B1740)),"✗ 日期不是真日期（要像 2026/9/25 这样填）",IF(OR(B1740&lt;年初日,B1740&gt;年末日),"✗ 日期不在本会计年度",IF(C1740="","✗ 没选账户",IF(COUNTIF(基础资料!$W$5:$W$24,C1740)=0,"✗ 账户不在基础资料里",IF(O1740="","✗ 没选收支项目",IF(P1740="未知","✗ 收支项目不在基础资料里",IF(AND(P1740="应收",J1740=""),"✗ 这笔要选客户",IF(AND(P1740="应收",COUNTIF(总览汇总!$B$5:$B$304,J1740)=0),"✗ 客户不在总览汇总名单里",IF(AND(P1740="应付",K1740=""),"✗ 这笔要选供应商",IF(AND(P1740="应付",COUNTIF(基础资料!$Q$5:$Q$54,K1740)=0),"✗ 供应商不在基础资料里",IF(AND(P1740="费用",L1740=""),"✗ 费用支出要选费用项目",IF(AND(L1740&lt;&gt;"",COUNTIF(基础资料!$AI$5:$AI$54,L1740)=0),"✗ 费用项目不在基础资料里",IF(AND(IFERROR(INDEX(基础资料!$AD$5:$AD$34,MATCH(O1740,基础资料!$AC$5:$AC$34,0)),"")="收",N(G1740)&lt;&gt;0),"✗ 这类是收款，金额填到收入列",IF(AND(IFERROR(INDEX(基础资料!$AD$5:$AD$34,MATCH(O1740,基础资料!$AC$5:$AC$34,0)),"")="支",N(F1740)&lt;&gt;0),"✗ 这类是付款，金额填到支出列",IF(N(H1740)&lt;0,"⚠ 账户余额成负数了，核对一下","√"))))))))))))))))))</f>
      </c>
      <c r="O1740" s="78">
        <f>IF(D1740&lt;&gt;"",D1740,IF(AND(F1740="",G1740=""),"",IF(J1740&lt;&gt;"",IF(N(F1740)&gt;0,"客户回款","客户退款"),IF(K1740&lt;&gt;"",IF(N(G1740)&gt;0,"供应商付款","供应商退款"),IF(L1740&lt;&gt;"","费用支出","")))))</f>
      </c>
      <c r="P1740" s="78">
        <f>IF(O1740="","",IFERROR(INDEX(基础资料!$AE$5:$AE$34,MATCH(O1740,基础资料!$AC$5:$AC$34,0)),"未知"))</f>
      </c>
      <c r="Q1740" s="78">
        <f>IF(P1740="应收",COUNTIF(P$7:P1740,"应收"),"")</f>
      </c>
      <c r="R1740" s="78">
        <f>IF(P1740="应付",COUNTIF(P$7:P1740,"应付"),"")</f>
      </c>
      <c r="S1740" s="78">
        <f>N(F1740)-N(G1740)</f>
        <v>0</v>
      </c>
    </row>
    <row r="1741">
      <c r="A1741" s="109">
        <f>IF(AND(F1741="",G1741=""),"",ROW()-6)</f>
      </c>
      <c r="B1741" s="140" t="n"/>
      <c r="C1741" s="141" t="n"/>
      <c r="D1741" s="141" t="n"/>
      <c r="E1741" s="142" t="n"/>
      <c r="F1741" s="143" t="n"/>
      <c r="G1741" s="144" t="n"/>
      <c r="H1741" s="145">
        <f>IF(OR(C1741="",AND(F1741="",G1741="")),"",SUMIF(基础资料!$W$5:$W$24,C1741,基础资料!$X$5:$X$24)+SUMIF(C$7:C1741,C1741,F$7:F1741)-SUMIF(C$7:C1741,C1741,G$7:G1741))</f>
      </c>
      <c r="I1741" s="145">
        <f>IF(AND(F1741="",G1741=""),"",SUM(基础资料!$X$5:$X$24)+SUM(F$7:F1741)-SUM(G$7:G1741))</f>
      </c>
      <c r="J1741" s="141" t="n"/>
      <c r="K1741" s="141" t="n"/>
      <c r="L1741" s="141" t="n"/>
      <c r="M1741" s="142" t="n"/>
      <c r="N1741" s="146">
        <f>IF(AND(AND(F1741="",G1741=""),B1741="",C1741="",D1741="",J1741="",K1741="",L1741=""),"",IF(AND(F1741="",G1741=""),"✗ 没填金额",IF(AND(N(F1741)&lt;&gt;0,N(G1741)&lt;&gt;0),"✗ 收入、支出只能填一边",IF(NOT(ISNUMBER(B1741)),"✗ 日期不是真日期（要像 2026/9/25 这样填）",IF(OR(B1741&lt;年初日,B1741&gt;年末日),"✗ 日期不在本会计年度",IF(C1741="","✗ 没选账户",IF(COUNTIF(基础资料!$W$5:$W$24,C1741)=0,"✗ 账户不在基础资料里",IF(O1741="","✗ 没选收支项目",IF(P1741="未知","✗ 收支项目不在基础资料里",IF(AND(P1741="应收",J1741=""),"✗ 这笔要选客户",IF(AND(P1741="应收",COUNTIF(总览汇总!$B$5:$B$304,J1741)=0),"✗ 客户不在总览汇总名单里",IF(AND(P1741="应付",K1741=""),"✗ 这笔要选供应商",IF(AND(P1741="应付",COUNTIF(基础资料!$Q$5:$Q$54,K1741)=0),"✗ 供应商不在基础资料里",IF(AND(P1741="费用",L1741=""),"✗ 费用支出要选费用项目",IF(AND(L1741&lt;&gt;"",COUNTIF(基础资料!$AI$5:$AI$54,L1741)=0),"✗ 费用项目不在基础资料里",IF(AND(IFERROR(INDEX(基础资料!$AD$5:$AD$34,MATCH(O1741,基础资料!$AC$5:$AC$34,0)),"")="收",N(G1741)&lt;&gt;0),"✗ 这类是收款，金额填到收入列",IF(AND(IFERROR(INDEX(基础资料!$AD$5:$AD$34,MATCH(O1741,基础资料!$AC$5:$AC$34,0)),"")="支",N(F1741)&lt;&gt;0),"✗ 这类是付款，金额填到支出列",IF(N(H1741)&lt;0,"⚠ 账户余额成负数了，核对一下","√"))))))))))))))))))</f>
      </c>
      <c r="O1741" s="78">
        <f>IF(D1741&lt;&gt;"",D1741,IF(AND(F1741="",G1741=""),"",IF(J1741&lt;&gt;"",IF(N(F1741)&gt;0,"客户回款","客户退款"),IF(K1741&lt;&gt;"",IF(N(G1741)&gt;0,"供应商付款","供应商退款"),IF(L1741&lt;&gt;"","费用支出","")))))</f>
      </c>
      <c r="P1741" s="78">
        <f>IF(O1741="","",IFERROR(INDEX(基础资料!$AE$5:$AE$34,MATCH(O1741,基础资料!$AC$5:$AC$34,0)),"未知"))</f>
      </c>
      <c r="Q1741" s="78">
        <f>IF(P1741="应收",COUNTIF(P$7:P1741,"应收"),"")</f>
      </c>
      <c r="R1741" s="78">
        <f>IF(P1741="应付",COUNTIF(P$7:P1741,"应付"),"")</f>
      </c>
      <c r="S1741" s="78">
        <f>N(F1741)-N(G1741)</f>
        <v>0</v>
      </c>
    </row>
    <row r="1742">
      <c r="A1742" s="109">
        <f>IF(AND(F1742="",G1742=""),"",ROW()-6)</f>
      </c>
      <c r="B1742" s="140" t="n"/>
      <c r="C1742" s="141" t="n"/>
      <c r="D1742" s="141" t="n"/>
      <c r="E1742" s="142" t="n"/>
      <c r="F1742" s="143" t="n"/>
      <c r="G1742" s="144" t="n"/>
      <c r="H1742" s="145">
        <f>IF(OR(C1742="",AND(F1742="",G1742="")),"",SUMIF(基础资料!$W$5:$W$24,C1742,基础资料!$X$5:$X$24)+SUMIF(C$7:C1742,C1742,F$7:F1742)-SUMIF(C$7:C1742,C1742,G$7:G1742))</f>
      </c>
      <c r="I1742" s="145">
        <f>IF(AND(F1742="",G1742=""),"",SUM(基础资料!$X$5:$X$24)+SUM(F$7:F1742)-SUM(G$7:G1742))</f>
      </c>
      <c r="J1742" s="141" t="n"/>
      <c r="K1742" s="141" t="n"/>
      <c r="L1742" s="141" t="n"/>
      <c r="M1742" s="142" t="n"/>
      <c r="N1742" s="146">
        <f>IF(AND(AND(F1742="",G1742=""),B1742="",C1742="",D1742="",J1742="",K1742="",L1742=""),"",IF(AND(F1742="",G1742=""),"✗ 没填金额",IF(AND(N(F1742)&lt;&gt;0,N(G1742)&lt;&gt;0),"✗ 收入、支出只能填一边",IF(NOT(ISNUMBER(B1742)),"✗ 日期不是真日期（要像 2026/9/25 这样填）",IF(OR(B1742&lt;年初日,B1742&gt;年末日),"✗ 日期不在本会计年度",IF(C1742="","✗ 没选账户",IF(COUNTIF(基础资料!$W$5:$W$24,C1742)=0,"✗ 账户不在基础资料里",IF(O1742="","✗ 没选收支项目",IF(P1742="未知","✗ 收支项目不在基础资料里",IF(AND(P1742="应收",J1742=""),"✗ 这笔要选客户",IF(AND(P1742="应收",COUNTIF(总览汇总!$B$5:$B$304,J1742)=0),"✗ 客户不在总览汇总名单里",IF(AND(P1742="应付",K1742=""),"✗ 这笔要选供应商",IF(AND(P1742="应付",COUNTIF(基础资料!$Q$5:$Q$54,K1742)=0),"✗ 供应商不在基础资料里",IF(AND(P1742="费用",L1742=""),"✗ 费用支出要选费用项目",IF(AND(L1742&lt;&gt;"",COUNTIF(基础资料!$AI$5:$AI$54,L1742)=0),"✗ 费用项目不在基础资料里",IF(AND(IFERROR(INDEX(基础资料!$AD$5:$AD$34,MATCH(O1742,基础资料!$AC$5:$AC$34,0)),"")="收",N(G1742)&lt;&gt;0),"✗ 这类是收款，金额填到收入列",IF(AND(IFERROR(INDEX(基础资料!$AD$5:$AD$34,MATCH(O1742,基础资料!$AC$5:$AC$34,0)),"")="支",N(F1742)&lt;&gt;0),"✗ 这类是付款，金额填到支出列",IF(N(H1742)&lt;0,"⚠ 账户余额成负数了，核对一下","√"))))))))))))))))))</f>
      </c>
      <c r="O1742" s="78">
        <f>IF(D1742&lt;&gt;"",D1742,IF(AND(F1742="",G1742=""),"",IF(J1742&lt;&gt;"",IF(N(F1742)&gt;0,"客户回款","客户退款"),IF(K1742&lt;&gt;"",IF(N(G1742)&gt;0,"供应商付款","供应商退款"),IF(L1742&lt;&gt;"","费用支出","")))))</f>
      </c>
      <c r="P1742" s="78">
        <f>IF(O1742="","",IFERROR(INDEX(基础资料!$AE$5:$AE$34,MATCH(O1742,基础资料!$AC$5:$AC$34,0)),"未知"))</f>
      </c>
      <c r="Q1742" s="78">
        <f>IF(P1742="应收",COUNTIF(P$7:P1742,"应收"),"")</f>
      </c>
      <c r="R1742" s="78">
        <f>IF(P1742="应付",COUNTIF(P$7:P1742,"应付"),"")</f>
      </c>
      <c r="S1742" s="78">
        <f>N(F1742)-N(G1742)</f>
        <v>0</v>
      </c>
    </row>
    <row r="1743">
      <c r="A1743" s="109">
        <f>IF(AND(F1743="",G1743=""),"",ROW()-6)</f>
      </c>
      <c r="B1743" s="140" t="n"/>
      <c r="C1743" s="141" t="n"/>
      <c r="D1743" s="141" t="n"/>
      <c r="E1743" s="142" t="n"/>
      <c r="F1743" s="143" t="n"/>
      <c r="G1743" s="144" t="n"/>
      <c r="H1743" s="145">
        <f>IF(OR(C1743="",AND(F1743="",G1743="")),"",SUMIF(基础资料!$W$5:$W$24,C1743,基础资料!$X$5:$X$24)+SUMIF(C$7:C1743,C1743,F$7:F1743)-SUMIF(C$7:C1743,C1743,G$7:G1743))</f>
      </c>
      <c r="I1743" s="145">
        <f>IF(AND(F1743="",G1743=""),"",SUM(基础资料!$X$5:$X$24)+SUM(F$7:F1743)-SUM(G$7:G1743))</f>
      </c>
      <c r="J1743" s="141" t="n"/>
      <c r="K1743" s="141" t="n"/>
      <c r="L1743" s="141" t="n"/>
      <c r="M1743" s="142" t="n"/>
      <c r="N1743" s="146">
        <f>IF(AND(AND(F1743="",G1743=""),B1743="",C1743="",D1743="",J1743="",K1743="",L1743=""),"",IF(AND(F1743="",G1743=""),"✗ 没填金额",IF(AND(N(F1743)&lt;&gt;0,N(G1743)&lt;&gt;0),"✗ 收入、支出只能填一边",IF(NOT(ISNUMBER(B1743)),"✗ 日期不是真日期（要像 2026/9/25 这样填）",IF(OR(B1743&lt;年初日,B1743&gt;年末日),"✗ 日期不在本会计年度",IF(C1743="","✗ 没选账户",IF(COUNTIF(基础资料!$W$5:$W$24,C1743)=0,"✗ 账户不在基础资料里",IF(O1743="","✗ 没选收支项目",IF(P1743="未知","✗ 收支项目不在基础资料里",IF(AND(P1743="应收",J1743=""),"✗ 这笔要选客户",IF(AND(P1743="应收",COUNTIF(总览汇总!$B$5:$B$304,J1743)=0),"✗ 客户不在总览汇总名单里",IF(AND(P1743="应付",K1743=""),"✗ 这笔要选供应商",IF(AND(P1743="应付",COUNTIF(基础资料!$Q$5:$Q$54,K1743)=0),"✗ 供应商不在基础资料里",IF(AND(P1743="费用",L1743=""),"✗ 费用支出要选费用项目",IF(AND(L1743&lt;&gt;"",COUNTIF(基础资料!$AI$5:$AI$54,L1743)=0),"✗ 费用项目不在基础资料里",IF(AND(IFERROR(INDEX(基础资料!$AD$5:$AD$34,MATCH(O1743,基础资料!$AC$5:$AC$34,0)),"")="收",N(G1743)&lt;&gt;0),"✗ 这类是收款，金额填到收入列",IF(AND(IFERROR(INDEX(基础资料!$AD$5:$AD$34,MATCH(O1743,基础资料!$AC$5:$AC$34,0)),"")="支",N(F1743)&lt;&gt;0),"✗ 这类是付款，金额填到支出列",IF(N(H1743)&lt;0,"⚠ 账户余额成负数了，核对一下","√"))))))))))))))))))</f>
      </c>
      <c r="O1743" s="78">
        <f>IF(D1743&lt;&gt;"",D1743,IF(AND(F1743="",G1743=""),"",IF(J1743&lt;&gt;"",IF(N(F1743)&gt;0,"客户回款","客户退款"),IF(K1743&lt;&gt;"",IF(N(G1743)&gt;0,"供应商付款","供应商退款"),IF(L1743&lt;&gt;"","费用支出","")))))</f>
      </c>
      <c r="P1743" s="78">
        <f>IF(O1743="","",IFERROR(INDEX(基础资料!$AE$5:$AE$34,MATCH(O1743,基础资料!$AC$5:$AC$34,0)),"未知"))</f>
      </c>
      <c r="Q1743" s="78">
        <f>IF(P1743="应收",COUNTIF(P$7:P1743,"应收"),"")</f>
      </c>
      <c r="R1743" s="78">
        <f>IF(P1743="应付",COUNTIF(P$7:P1743,"应付"),"")</f>
      </c>
      <c r="S1743" s="78">
        <f>N(F1743)-N(G1743)</f>
        <v>0</v>
      </c>
    </row>
    <row r="1744">
      <c r="A1744" s="109">
        <f>IF(AND(F1744="",G1744=""),"",ROW()-6)</f>
      </c>
      <c r="B1744" s="140" t="n"/>
      <c r="C1744" s="141" t="n"/>
      <c r="D1744" s="141" t="n"/>
      <c r="E1744" s="142" t="n"/>
      <c r="F1744" s="143" t="n"/>
      <c r="G1744" s="144" t="n"/>
      <c r="H1744" s="145">
        <f>IF(OR(C1744="",AND(F1744="",G1744="")),"",SUMIF(基础资料!$W$5:$W$24,C1744,基础资料!$X$5:$X$24)+SUMIF(C$7:C1744,C1744,F$7:F1744)-SUMIF(C$7:C1744,C1744,G$7:G1744))</f>
      </c>
      <c r="I1744" s="145">
        <f>IF(AND(F1744="",G1744=""),"",SUM(基础资料!$X$5:$X$24)+SUM(F$7:F1744)-SUM(G$7:G1744))</f>
      </c>
      <c r="J1744" s="141" t="n"/>
      <c r="K1744" s="141" t="n"/>
      <c r="L1744" s="141" t="n"/>
      <c r="M1744" s="142" t="n"/>
      <c r="N1744" s="146">
        <f>IF(AND(AND(F1744="",G1744=""),B1744="",C1744="",D1744="",J1744="",K1744="",L1744=""),"",IF(AND(F1744="",G1744=""),"✗ 没填金额",IF(AND(N(F1744)&lt;&gt;0,N(G1744)&lt;&gt;0),"✗ 收入、支出只能填一边",IF(NOT(ISNUMBER(B1744)),"✗ 日期不是真日期（要像 2026/9/25 这样填）",IF(OR(B1744&lt;年初日,B1744&gt;年末日),"✗ 日期不在本会计年度",IF(C1744="","✗ 没选账户",IF(COUNTIF(基础资料!$W$5:$W$24,C1744)=0,"✗ 账户不在基础资料里",IF(O1744="","✗ 没选收支项目",IF(P1744="未知","✗ 收支项目不在基础资料里",IF(AND(P1744="应收",J1744=""),"✗ 这笔要选客户",IF(AND(P1744="应收",COUNTIF(总览汇总!$B$5:$B$304,J1744)=0),"✗ 客户不在总览汇总名单里",IF(AND(P1744="应付",K1744=""),"✗ 这笔要选供应商",IF(AND(P1744="应付",COUNTIF(基础资料!$Q$5:$Q$54,K1744)=0),"✗ 供应商不在基础资料里",IF(AND(P1744="费用",L1744=""),"✗ 费用支出要选费用项目",IF(AND(L1744&lt;&gt;"",COUNTIF(基础资料!$AI$5:$AI$54,L1744)=0),"✗ 费用项目不在基础资料里",IF(AND(IFERROR(INDEX(基础资料!$AD$5:$AD$34,MATCH(O1744,基础资料!$AC$5:$AC$34,0)),"")="收",N(G1744)&lt;&gt;0),"✗ 这类是收款，金额填到收入列",IF(AND(IFERROR(INDEX(基础资料!$AD$5:$AD$34,MATCH(O1744,基础资料!$AC$5:$AC$34,0)),"")="支",N(F1744)&lt;&gt;0),"✗ 这类是付款，金额填到支出列",IF(N(H1744)&lt;0,"⚠ 账户余额成负数了，核对一下","√"))))))))))))))))))</f>
      </c>
      <c r="O1744" s="78">
        <f>IF(D1744&lt;&gt;"",D1744,IF(AND(F1744="",G1744=""),"",IF(J1744&lt;&gt;"",IF(N(F1744)&gt;0,"客户回款","客户退款"),IF(K1744&lt;&gt;"",IF(N(G1744)&gt;0,"供应商付款","供应商退款"),IF(L1744&lt;&gt;"","费用支出","")))))</f>
      </c>
      <c r="P1744" s="78">
        <f>IF(O1744="","",IFERROR(INDEX(基础资料!$AE$5:$AE$34,MATCH(O1744,基础资料!$AC$5:$AC$34,0)),"未知"))</f>
      </c>
      <c r="Q1744" s="78">
        <f>IF(P1744="应收",COUNTIF(P$7:P1744,"应收"),"")</f>
      </c>
      <c r="R1744" s="78">
        <f>IF(P1744="应付",COUNTIF(P$7:P1744,"应付"),"")</f>
      </c>
      <c r="S1744" s="78">
        <f>N(F1744)-N(G1744)</f>
        <v>0</v>
      </c>
    </row>
    <row r="1745">
      <c r="A1745" s="109">
        <f>IF(AND(F1745="",G1745=""),"",ROW()-6)</f>
      </c>
      <c r="B1745" s="140" t="n"/>
      <c r="C1745" s="141" t="n"/>
      <c r="D1745" s="141" t="n"/>
      <c r="E1745" s="142" t="n"/>
      <c r="F1745" s="143" t="n"/>
      <c r="G1745" s="144" t="n"/>
      <c r="H1745" s="145">
        <f>IF(OR(C1745="",AND(F1745="",G1745="")),"",SUMIF(基础资料!$W$5:$W$24,C1745,基础资料!$X$5:$X$24)+SUMIF(C$7:C1745,C1745,F$7:F1745)-SUMIF(C$7:C1745,C1745,G$7:G1745))</f>
      </c>
      <c r="I1745" s="145">
        <f>IF(AND(F1745="",G1745=""),"",SUM(基础资料!$X$5:$X$24)+SUM(F$7:F1745)-SUM(G$7:G1745))</f>
      </c>
      <c r="J1745" s="141" t="n"/>
      <c r="K1745" s="141" t="n"/>
      <c r="L1745" s="141" t="n"/>
      <c r="M1745" s="142" t="n"/>
      <c r="N1745" s="146">
        <f>IF(AND(AND(F1745="",G1745=""),B1745="",C1745="",D1745="",J1745="",K1745="",L1745=""),"",IF(AND(F1745="",G1745=""),"✗ 没填金额",IF(AND(N(F1745)&lt;&gt;0,N(G1745)&lt;&gt;0),"✗ 收入、支出只能填一边",IF(NOT(ISNUMBER(B1745)),"✗ 日期不是真日期（要像 2026/9/25 这样填）",IF(OR(B1745&lt;年初日,B1745&gt;年末日),"✗ 日期不在本会计年度",IF(C1745="","✗ 没选账户",IF(COUNTIF(基础资料!$W$5:$W$24,C1745)=0,"✗ 账户不在基础资料里",IF(O1745="","✗ 没选收支项目",IF(P1745="未知","✗ 收支项目不在基础资料里",IF(AND(P1745="应收",J1745=""),"✗ 这笔要选客户",IF(AND(P1745="应收",COUNTIF(总览汇总!$B$5:$B$304,J1745)=0),"✗ 客户不在总览汇总名单里",IF(AND(P1745="应付",K1745=""),"✗ 这笔要选供应商",IF(AND(P1745="应付",COUNTIF(基础资料!$Q$5:$Q$54,K1745)=0),"✗ 供应商不在基础资料里",IF(AND(P1745="费用",L1745=""),"✗ 费用支出要选费用项目",IF(AND(L1745&lt;&gt;"",COUNTIF(基础资料!$AI$5:$AI$54,L1745)=0),"✗ 费用项目不在基础资料里",IF(AND(IFERROR(INDEX(基础资料!$AD$5:$AD$34,MATCH(O1745,基础资料!$AC$5:$AC$34,0)),"")="收",N(G1745)&lt;&gt;0),"✗ 这类是收款，金额填到收入列",IF(AND(IFERROR(INDEX(基础资料!$AD$5:$AD$34,MATCH(O1745,基础资料!$AC$5:$AC$34,0)),"")="支",N(F1745)&lt;&gt;0),"✗ 这类是付款，金额填到支出列",IF(N(H1745)&lt;0,"⚠ 账户余额成负数了，核对一下","√"))))))))))))))))))</f>
      </c>
      <c r="O1745" s="78">
        <f>IF(D1745&lt;&gt;"",D1745,IF(AND(F1745="",G1745=""),"",IF(J1745&lt;&gt;"",IF(N(F1745)&gt;0,"客户回款","客户退款"),IF(K1745&lt;&gt;"",IF(N(G1745)&gt;0,"供应商付款","供应商退款"),IF(L1745&lt;&gt;"","费用支出","")))))</f>
      </c>
      <c r="P1745" s="78">
        <f>IF(O1745="","",IFERROR(INDEX(基础资料!$AE$5:$AE$34,MATCH(O1745,基础资料!$AC$5:$AC$34,0)),"未知"))</f>
      </c>
      <c r="Q1745" s="78">
        <f>IF(P1745="应收",COUNTIF(P$7:P1745,"应收"),"")</f>
      </c>
      <c r="R1745" s="78">
        <f>IF(P1745="应付",COUNTIF(P$7:P1745,"应付"),"")</f>
      </c>
      <c r="S1745" s="78">
        <f>N(F1745)-N(G1745)</f>
        <v>0</v>
      </c>
    </row>
    <row r="1746">
      <c r="A1746" s="109">
        <f>IF(AND(F1746="",G1746=""),"",ROW()-6)</f>
      </c>
      <c r="B1746" s="140" t="n"/>
      <c r="C1746" s="141" t="n"/>
      <c r="D1746" s="141" t="n"/>
      <c r="E1746" s="142" t="n"/>
      <c r="F1746" s="143" t="n"/>
      <c r="G1746" s="144" t="n"/>
      <c r="H1746" s="145">
        <f>IF(OR(C1746="",AND(F1746="",G1746="")),"",SUMIF(基础资料!$W$5:$W$24,C1746,基础资料!$X$5:$X$24)+SUMIF(C$7:C1746,C1746,F$7:F1746)-SUMIF(C$7:C1746,C1746,G$7:G1746))</f>
      </c>
      <c r="I1746" s="145">
        <f>IF(AND(F1746="",G1746=""),"",SUM(基础资料!$X$5:$X$24)+SUM(F$7:F1746)-SUM(G$7:G1746))</f>
      </c>
      <c r="J1746" s="141" t="n"/>
      <c r="K1746" s="141" t="n"/>
      <c r="L1746" s="141" t="n"/>
      <c r="M1746" s="142" t="n"/>
      <c r="N1746" s="146">
        <f>IF(AND(AND(F1746="",G1746=""),B1746="",C1746="",D1746="",J1746="",K1746="",L1746=""),"",IF(AND(F1746="",G1746=""),"✗ 没填金额",IF(AND(N(F1746)&lt;&gt;0,N(G1746)&lt;&gt;0),"✗ 收入、支出只能填一边",IF(NOT(ISNUMBER(B1746)),"✗ 日期不是真日期（要像 2026/9/25 这样填）",IF(OR(B1746&lt;年初日,B1746&gt;年末日),"✗ 日期不在本会计年度",IF(C1746="","✗ 没选账户",IF(COUNTIF(基础资料!$W$5:$W$24,C1746)=0,"✗ 账户不在基础资料里",IF(O1746="","✗ 没选收支项目",IF(P1746="未知","✗ 收支项目不在基础资料里",IF(AND(P1746="应收",J1746=""),"✗ 这笔要选客户",IF(AND(P1746="应收",COUNTIF(总览汇总!$B$5:$B$304,J1746)=0),"✗ 客户不在总览汇总名单里",IF(AND(P1746="应付",K1746=""),"✗ 这笔要选供应商",IF(AND(P1746="应付",COUNTIF(基础资料!$Q$5:$Q$54,K1746)=0),"✗ 供应商不在基础资料里",IF(AND(P1746="费用",L1746=""),"✗ 费用支出要选费用项目",IF(AND(L1746&lt;&gt;"",COUNTIF(基础资料!$AI$5:$AI$54,L1746)=0),"✗ 费用项目不在基础资料里",IF(AND(IFERROR(INDEX(基础资料!$AD$5:$AD$34,MATCH(O1746,基础资料!$AC$5:$AC$34,0)),"")="收",N(G1746)&lt;&gt;0),"✗ 这类是收款，金额填到收入列",IF(AND(IFERROR(INDEX(基础资料!$AD$5:$AD$34,MATCH(O1746,基础资料!$AC$5:$AC$34,0)),"")="支",N(F1746)&lt;&gt;0),"✗ 这类是付款，金额填到支出列",IF(N(H1746)&lt;0,"⚠ 账户余额成负数了，核对一下","√"))))))))))))))))))</f>
      </c>
      <c r="O1746" s="78">
        <f>IF(D1746&lt;&gt;"",D1746,IF(AND(F1746="",G1746=""),"",IF(J1746&lt;&gt;"",IF(N(F1746)&gt;0,"客户回款","客户退款"),IF(K1746&lt;&gt;"",IF(N(G1746)&gt;0,"供应商付款","供应商退款"),IF(L1746&lt;&gt;"","费用支出","")))))</f>
      </c>
      <c r="P1746" s="78">
        <f>IF(O1746="","",IFERROR(INDEX(基础资料!$AE$5:$AE$34,MATCH(O1746,基础资料!$AC$5:$AC$34,0)),"未知"))</f>
      </c>
      <c r="Q1746" s="78">
        <f>IF(P1746="应收",COUNTIF(P$7:P1746,"应收"),"")</f>
      </c>
      <c r="R1746" s="78">
        <f>IF(P1746="应付",COUNTIF(P$7:P1746,"应付"),"")</f>
      </c>
      <c r="S1746" s="78">
        <f>N(F1746)-N(G1746)</f>
        <v>0</v>
      </c>
    </row>
    <row r="1747">
      <c r="A1747" s="109">
        <f>IF(AND(F1747="",G1747=""),"",ROW()-6)</f>
      </c>
      <c r="B1747" s="140" t="n"/>
      <c r="C1747" s="141" t="n"/>
      <c r="D1747" s="141" t="n"/>
      <c r="E1747" s="142" t="n"/>
      <c r="F1747" s="143" t="n"/>
      <c r="G1747" s="144" t="n"/>
      <c r="H1747" s="145">
        <f>IF(OR(C1747="",AND(F1747="",G1747="")),"",SUMIF(基础资料!$W$5:$W$24,C1747,基础资料!$X$5:$X$24)+SUMIF(C$7:C1747,C1747,F$7:F1747)-SUMIF(C$7:C1747,C1747,G$7:G1747))</f>
      </c>
      <c r="I1747" s="145">
        <f>IF(AND(F1747="",G1747=""),"",SUM(基础资料!$X$5:$X$24)+SUM(F$7:F1747)-SUM(G$7:G1747))</f>
      </c>
      <c r="J1747" s="141" t="n"/>
      <c r="K1747" s="141" t="n"/>
      <c r="L1747" s="141" t="n"/>
      <c r="M1747" s="142" t="n"/>
      <c r="N1747" s="146">
        <f>IF(AND(AND(F1747="",G1747=""),B1747="",C1747="",D1747="",J1747="",K1747="",L1747=""),"",IF(AND(F1747="",G1747=""),"✗ 没填金额",IF(AND(N(F1747)&lt;&gt;0,N(G1747)&lt;&gt;0),"✗ 收入、支出只能填一边",IF(NOT(ISNUMBER(B1747)),"✗ 日期不是真日期（要像 2026/9/25 这样填）",IF(OR(B1747&lt;年初日,B1747&gt;年末日),"✗ 日期不在本会计年度",IF(C1747="","✗ 没选账户",IF(COUNTIF(基础资料!$W$5:$W$24,C1747)=0,"✗ 账户不在基础资料里",IF(O1747="","✗ 没选收支项目",IF(P1747="未知","✗ 收支项目不在基础资料里",IF(AND(P1747="应收",J1747=""),"✗ 这笔要选客户",IF(AND(P1747="应收",COUNTIF(总览汇总!$B$5:$B$304,J1747)=0),"✗ 客户不在总览汇总名单里",IF(AND(P1747="应付",K1747=""),"✗ 这笔要选供应商",IF(AND(P1747="应付",COUNTIF(基础资料!$Q$5:$Q$54,K1747)=0),"✗ 供应商不在基础资料里",IF(AND(P1747="费用",L1747=""),"✗ 费用支出要选费用项目",IF(AND(L1747&lt;&gt;"",COUNTIF(基础资料!$AI$5:$AI$54,L1747)=0),"✗ 费用项目不在基础资料里",IF(AND(IFERROR(INDEX(基础资料!$AD$5:$AD$34,MATCH(O1747,基础资料!$AC$5:$AC$34,0)),"")="收",N(G1747)&lt;&gt;0),"✗ 这类是收款，金额填到收入列",IF(AND(IFERROR(INDEX(基础资料!$AD$5:$AD$34,MATCH(O1747,基础资料!$AC$5:$AC$34,0)),"")="支",N(F1747)&lt;&gt;0),"✗ 这类是付款，金额填到支出列",IF(N(H1747)&lt;0,"⚠ 账户余额成负数了，核对一下","√"))))))))))))))))))</f>
      </c>
      <c r="O1747" s="78">
        <f>IF(D1747&lt;&gt;"",D1747,IF(AND(F1747="",G1747=""),"",IF(J1747&lt;&gt;"",IF(N(F1747)&gt;0,"客户回款","客户退款"),IF(K1747&lt;&gt;"",IF(N(G1747)&gt;0,"供应商付款","供应商退款"),IF(L1747&lt;&gt;"","费用支出","")))))</f>
      </c>
      <c r="P1747" s="78">
        <f>IF(O1747="","",IFERROR(INDEX(基础资料!$AE$5:$AE$34,MATCH(O1747,基础资料!$AC$5:$AC$34,0)),"未知"))</f>
      </c>
      <c r="Q1747" s="78">
        <f>IF(P1747="应收",COUNTIF(P$7:P1747,"应收"),"")</f>
      </c>
      <c r="R1747" s="78">
        <f>IF(P1747="应付",COUNTIF(P$7:P1747,"应付"),"")</f>
      </c>
      <c r="S1747" s="78">
        <f>N(F1747)-N(G1747)</f>
        <v>0</v>
      </c>
    </row>
    <row r="1748">
      <c r="A1748" s="109">
        <f>IF(AND(F1748="",G1748=""),"",ROW()-6)</f>
      </c>
      <c r="B1748" s="140" t="n"/>
      <c r="C1748" s="141" t="n"/>
      <c r="D1748" s="141" t="n"/>
      <c r="E1748" s="142" t="n"/>
      <c r="F1748" s="143" t="n"/>
      <c r="G1748" s="144" t="n"/>
      <c r="H1748" s="145">
        <f>IF(OR(C1748="",AND(F1748="",G1748="")),"",SUMIF(基础资料!$W$5:$W$24,C1748,基础资料!$X$5:$X$24)+SUMIF(C$7:C1748,C1748,F$7:F1748)-SUMIF(C$7:C1748,C1748,G$7:G1748))</f>
      </c>
      <c r="I1748" s="145">
        <f>IF(AND(F1748="",G1748=""),"",SUM(基础资料!$X$5:$X$24)+SUM(F$7:F1748)-SUM(G$7:G1748))</f>
      </c>
      <c r="J1748" s="141" t="n"/>
      <c r="K1748" s="141" t="n"/>
      <c r="L1748" s="141" t="n"/>
      <c r="M1748" s="142" t="n"/>
      <c r="N1748" s="146">
        <f>IF(AND(AND(F1748="",G1748=""),B1748="",C1748="",D1748="",J1748="",K1748="",L1748=""),"",IF(AND(F1748="",G1748=""),"✗ 没填金额",IF(AND(N(F1748)&lt;&gt;0,N(G1748)&lt;&gt;0),"✗ 收入、支出只能填一边",IF(NOT(ISNUMBER(B1748)),"✗ 日期不是真日期（要像 2026/9/25 这样填）",IF(OR(B1748&lt;年初日,B1748&gt;年末日),"✗ 日期不在本会计年度",IF(C1748="","✗ 没选账户",IF(COUNTIF(基础资料!$W$5:$W$24,C1748)=0,"✗ 账户不在基础资料里",IF(O1748="","✗ 没选收支项目",IF(P1748="未知","✗ 收支项目不在基础资料里",IF(AND(P1748="应收",J1748=""),"✗ 这笔要选客户",IF(AND(P1748="应收",COUNTIF(总览汇总!$B$5:$B$304,J1748)=0),"✗ 客户不在总览汇总名单里",IF(AND(P1748="应付",K1748=""),"✗ 这笔要选供应商",IF(AND(P1748="应付",COUNTIF(基础资料!$Q$5:$Q$54,K1748)=0),"✗ 供应商不在基础资料里",IF(AND(P1748="费用",L1748=""),"✗ 费用支出要选费用项目",IF(AND(L1748&lt;&gt;"",COUNTIF(基础资料!$AI$5:$AI$54,L1748)=0),"✗ 费用项目不在基础资料里",IF(AND(IFERROR(INDEX(基础资料!$AD$5:$AD$34,MATCH(O1748,基础资料!$AC$5:$AC$34,0)),"")="收",N(G1748)&lt;&gt;0),"✗ 这类是收款，金额填到收入列",IF(AND(IFERROR(INDEX(基础资料!$AD$5:$AD$34,MATCH(O1748,基础资料!$AC$5:$AC$34,0)),"")="支",N(F1748)&lt;&gt;0),"✗ 这类是付款，金额填到支出列",IF(N(H1748)&lt;0,"⚠ 账户余额成负数了，核对一下","√"))))))))))))))))))</f>
      </c>
      <c r="O1748" s="78">
        <f>IF(D1748&lt;&gt;"",D1748,IF(AND(F1748="",G1748=""),"",IF(J1748&lt;&gt;"",IF(N(F1748)&gt;0,"客户回款","客户退款"),IF(K1748&lt;&gt;"",IF(N(G1748)&gt;0,"供应商付款","供应商退款"),IF(L1748&lt;&gt;"","费用支出","")))))</f>
      </c>
      <c r="P1748" s="78">
        <f>IF(O1748="","",IFERROR(INDEX(基础资料!$AE$5:$AE$34,MATCH(O1748,基础资料!$AC$5:$AC$34,0)),"未知"))</f>
      </c>
      <c r="Q1748" s="78">
        <f>IF(P1748="应收",COUNTIF(P$7:P1748,"应收"),"")</f>
      </c>
      <c r="R1748" s="78">
        <f>IF(P1748="应付",COUNTIF(P$7:P1748,"应付"),"")</f>
      </c>
      <c r="S1748" s="78">
        <f>N(F1748)-N(G1748)</f>
        <v>0</v>
      </c>
    </row>
    <row r="1749">
      <c r="A1749" s="109">
        <f>IF(AND(F1749="",G1749=""),"",ROW()-6)</f>
      </c>
      <c r="B1749" s="140" t="n"/>
      <c r="C1749" s="141" t="n"/>
      <c r="D1749" s="141" t="n"/>
      <c r="E1749" s="142" t="n"/>
      <c r="F1749" s="143" t="n"/>
      <c r="G1749" s="144" t="n"/>
      <c r="H1749" s="145">
        <f>IF(OR(C1749="",AND(F1749="",G1749="")),"",SUMIF(基础资料!$W$5:$W$24,C1749,基础资料!$X$5:$X$24)+SUMIF(C$7:C1749,C1749,F$7:F1749)-SUMIF(C$7:C1749,C1749,G$7:G1749))</f>
      </c>
      <c r="I1749" s="145">
        <f>IF(AND(F1749="",G1749=""),"",SUM(基础资料!$X$5:$X$24)+SUM(F$7:F1749)-SUM(G$7:G1749))</f>
      </c>
      <c r="J1749" s="141" t="n"/>
      <c r="K1749" s="141" t="n"/>
      <c r="L1749" s="141" t="n"/>
      <c r="M1749" s="142" t="n"/>
      <c r="N1749" s="146">
        <f>IF(AND(AND(F1749="",G1749=""),B1749="",C1749="",D1749="",J1749="",K1749="",L1749=""),"",IF(AND(F1749="",G1749=""),"✗ 没填金额",IF(AND(N(F1749)&lt;&gt;0,N(G1749)&lt;&gt;0),"✗ 收入、支出只能填一边",IF(NOT(ISNUMBER(B1749)),"✗ 日期不是真日期（要像 2026/9/25 这样填）",IF(OR(B1749&lt;年初日,B1749&gt;年末日),"✗ 日期不在本会计年度",IF(C1749="","✗ 没选账户",IF(COUNTIF(基础资料!$W$5:$W$24,C1749)=0,"✗ 账户不在基础资料里",IF(O1749="","✗ 没选收支项目",IF(P1749="未知","✗ 收支项目不在基础资料里",IF(AND(P1749="应收",J1749=""),"✗ 这笔要选客户",IF(AND(P1749="应收",COUNTIF(总览汇总!$B$5:$B$304,J1749)=0),"✗ 客户不在总览汇总名单里",IF(AND(P1749="应付",K1749=""),"✗ 这笔要选供应商",IF(AND(P1749="应付",COUNTIF(基础资料!$Q$5:$Q$54,K1749)=0),"✗ 供应商不在基础资料里",IF(AND(P1749="费用",L1749=""),"✗ 费用支出要选费用项目",IF(AND(L1749&lt;&gt;"",COUNTIF(基础资料!$AI$5:$AI$54,L1749)=0),"✗ 费用项目不在基础资料里",IF(AND(IFERROR(INDEX(基础资料!$AD$5:$AD$34,MATCH(O1749,基础资料!$AC$5:$AC$34,0)),"")="收",N(G1749)&lt;&gt;0),"✗ 这类是收款，金额填到收入列",IF(AND(IFERROR(INDEX(基础资料!$AD$5:$AD$34,MATCH(O1749,基础资料!$AC$5:$AC$34,0)),"")="支",N(F1749)&lt;&gt;0),"✗ 这类是付款，金额填到支出列",IF(N(H1749)&lt;0,"⚠ 账户余额成负数了，核对一下","√"))))))))))))))))))</f>
      </c>
      <c r="O1749" s="78">
        <f>IF(D1749&lt;&gt;"",D1749,IF(AND(F1749="",G1749=""),"",IF(J1749&lt;&gt;"",IF(N(F1749)&gt;0,"客户回款","客户退款"),IF(K1749&lt;&gt;"",IF(N(G1749)&gt;0,"供应商付款","供应商退款"),IF(L1749&lt;&gt;"","费用支出","")))))</f>
      </c>
      <c r="P1749" s="78">
        <f>IF(O1749="","",IFERROR(INDEX(基础资料!$AE$5:$AE$34,MATCH(O1749,基础资料!$AC$5:$AC$34,0)),"未知"))</f>
      </c>
      <c r="Q1749" s="78">
        <f>IF(P1749="应收",COUNTIF(P$7:P1749,"应收"),"")</f>
      </c>
      <c r="R1749" s="78">
        <f>IF(P1749="应付",COUNTIF(P$7:P1749,"应付"),"")</f>
      </c>
      <c r="S1749" s="78">
        <f>N(F1749)-N(G1749)</f>
        <v>0</v>
      </c>
    </row>
    <row r="1750">
      <c r="A1750" s="109">
        <f>IF(AND(F1750="",G1750=""),"",ROW()-6)</f>
      </c>
      <c r="B1750" s="140" t="n"/>
      <c r="C1750" s="141" t="n"/>
      <c r="D1750" s="141" t="n"/>
      <c r="E1750" s="142" t="n"/>
      <c r="F1750" s="143" t="n"/>
      <c r="G1750" s="144" t="n"/>
      <c r="H1750" s="145">
        <f>IF(OR(C1750="",AND(F1750="",G1750="")),"",SUMIF(基础资料!$W$5:$W$24,C1750,基础资料!$X$5:$X$24)+SUMIF(C$7:C1750,C1750,F$7:F1750)-SUMIF(C$7:C1750,C1750,G$7:G1750))</f>
      </c>
      <c r="I1750" s="145">
        <f>IF(AND(F1750="",G1750=""),"",SUM(基础资料!$X$5:$X$24)+SUM(F$7:F1750)-SUM(G$7:G1750))</f>
      </c>
      <c r="J1750" s="141" t="n"/>
      <c r="K1750" s="141" t="n"/>
      <c r="L1750" s="141" t="n"/>
      <c r="M1750" s="142" t="n"/>
      <c r="N1750" s="146">
        <f>IF(AND(AND(F1750="",G1750=""),B1750="",C1750="",D1750="",J1750="",K1750="",L1750=""),"",IF(AND(F1750="",G1750=""),"✗ 没填金额",IF(AND(N(F1750)&lt;&gt;0,N(G1750)&lt;&gt;0),"✗ 收入、支出只能填一边",IF(NOT(ISNUMBER(B1750)),"✗ 日期不是真日期（要像 2026/9/25 这样填）",IF(OR(B1750&lt;年初日,B1750&gt;年末日),"✗ 日期不在本会计年度",IF(C1750="","✗ 没选账户",IF(COUNTIF(基础资料!$W$5:$W$24,C1750)=0,"✗ 账户不在基础资料里",IF(O1750="","✗ 没选收支项目",IF(P1750="未知","✗ 收支项目不在基础资料里",IF(AND(P1750="应收",J1750=""),"✗ 这笔要选客户",IF(AND(P1750="应收",COUNTIF(总览汇总!$B$5:$B$304,J1750)=0),"✗ 客户不在总览汇总名单里",IF(AND(P1750="应付",K1750=""),"✗ 这笔要选供应商",IF(AND(P1750="应付",COUNTIF(基础资料!$Q$5:$Q$54,K1750)=0),"✗ 供应商不在基础资料里",IF(AND(P1750="费用",L1750=""),"✗ 费用支出要选费用项目",IF(AND(L1750&lt;&gt;"",COUNTIF(基础资料!$AI$5:$AI$54,L1750)=0),"✗ 费用项目不在基础资料里",IF(AND(IFERROR(INDEX(基础资料!$AD$5:$AD$34,MATCH(O1750,基础资料!$AC$5:$AC$34,0)),"")="收",N(G1750)&lt;&gt;0),"✗ 这类是收款，金额填到收入列",IF(AND(IFERROR(INDEX(基础资料!$AD$5:$AD$34,MATCH(O1750,基础资料!$AC$5:$AC$34,0)),"")="支",N(F1750)&lt;&gt;0),"✗ 这类是付款，金额填到支出列",IF(N(H1750)&lt;0,"⚠ 账户余额成负数了，核对一下","√"))))))))))))))))))</f>
      </c>
      <c r="O1750" s="78">
        <f>IF(D1750&lt;&gt;"",D1750,IF(AND(F1750="",G1750=""),"",IF(J1750&lt;&gt;"",IF(N(F1750)&gt;0,"客户回款","客户退款"),IF(K1750&lt;&gt;"",IF(N(G1750)&gt;0,"供应商付款","供应商退款"),IF(L1750&lt;&gt;"","费用支出","")))))</f>
      </c>
      <c r="P1750" s="78">
        <f>IF(O1750="","",IFERROR(INDEX(基础资料!$AE$5:$AE$34,MATCH(O1750,基础资料!$AC$5:$AC$34,0)),"未知"))</f>
      </c>
      <c r="Q1750" s="78">
        <f>IF(P1750="应收",COUNTIF(P$7:P1750,"应收"),"")</f>
      </c>
      <c r="R1750" s="78">
        <f>IF(P1750="应付",COUNTIF(P$7:P1750,"应付"),"")</f>
      </c>
      <c r="S1750" s="78">
        <f>N(F1750)-N(G1750)</f>
        <v>0</v>
      </c>
    </row>
    <row r="1751">
      <c r="A1751" s="109">
        <f>IF(AND(F1751="",G1751=""),"",ROW()-6)</f>
      </c>
      <c r="B1751" s="140" t="n"/>
      <c r="C1751" s="141" t="n"/>
      <c r="D1751" s="141" t="n"/>
      <c r="E1751" s="142" t="n"/>
      <c r="F1751" s="143" t="n"/>
      <c r="G1751" s="144" t="n"/>
      <c r="H1751" s="145">
        <f>IF(OR(C1751="",AND(F1751="",G1751="")),"",SUMIF(基础资料!$W$5:$W$24,C1751,基础资料!$X$5:$X$24)+SUMIF(C$7:C1751,C1751,F$7:F1751)-SUMIF(C$7:C1751,C1751,G$7:G1751))</f>
      </c>
      <c r="I1751" s="145">
        <f>IF(AND(F1751="",G1751=""),"",SUM(基础资料!$X$5:$X$24)+SUM(F$7:F1751)-SUM(G$7:G1751))</f>
      </c>
      <c r="J1751" s="141" t="n"/>
      <c r="K1751" s="141" t="n"/>
      <c r="L1751" s="141" t="n"/>
      <c r="M1751" s="142" t="n"/>
      <c r="N1751" s="146">
        <f>IF(AND(AND(F1751="",G1751=""),B1751="",C1751="",D1751="",J1751="",K1751="",L1751=""),"",IF(AND(F1751="",G1751=""),"✗ 没填金额",IF(AND(N(F1751)&lt;&gt;0,N(G1751)&lt;&gt;0),"✗ 收入、支出只能填一边",IF(NOT(ISNUMBER(B1751)),"✗ 日期不是真日期（要像 2026/9/25 这样填）",IF(OR(B1751&lt;年初日,B1751&gt;年末日),"✗ 日期不在本会计年度",IF(C1751="","✗ 没选账户",IF(COUNTIF(基础资料!$W$5:$W$24,C1751)=0,"✗ 账户不在基础资料里",IF(O1751="","✗ 没选收支项目",IF(P1751="未知","✗ 收支项目不在基础资料里",IF(AND(P1751="应收",J1751=""),"✗ 这笔要选客户",IF(AND(P1751="应收",COUNTIF(总览汇总!$B$5:$B$304,J1751)=0),"✗ 客户不在总览汇总名单里",IF(AND(P1751="应付",K1751=""),"✗ 这笔要选供应商",IF(AND(P1751="应付",COUNTIF(基础资料!$Q$5:$Q$54,K1751)=0),"✗ 供应商不在基础资料里",IF(AND(P1751="费用",L1751=""),"✗ 费用支出要选费用项目",IF(AND(L1751&lt;&gt;"",COUNTIF(基础资料!$AI$5:$AI$54,L1751)=0),"✗ 费用项目不在基础资料里",IF(AND(IFERROR(INDEX(基础资料!$AD$5:$AD$34,MATCH(O1751,基础资料!$AC$5:$AC$34,0)),"")="收",N(G1751)&lt;&gt;0),"✗ 这类是收款，金额填到收入列",IF(AND(IFERROR(INDEX(基础资料!$AD$5:$AD$34,MATCH(O1751,基础资料!$AC$5:$AC$34,0)),"")="支",N(F1751)&lt;&gt;0),"✗ 这类是付款，金额填到支出列",IF(N(H1751)&lt;0,"⚠ 账户余额成负数了，核对一下","√"))))))))))))))))))</f>
      </c>
      <c r="O1751" s="78">
        <f>IF(D1751&lt;&gt;"",D1751,IF(AND(F1751="",G1751=""),"",IF(J1751&lt;&gt;"",IF(N(F1751)&gt;0,"客户回款","客户退款"),IF(K1751&lt;&gt;"",IF(N(G1751)&gt;0,"供应商付款","供应商退款"),IF(L1751&lt;&gt;"","费用支出","")))))</f>
      </c>
      <c r="P1751" s="78">
        <f>IF(O1751="","",IFERROR(INDEX(基础资料!$AE$5:$AE$34,MATCH(O1751,基础资料!$AC$5:$AC$34,0)),"未知"))</f>
      </c>
      <c r="Q1751" s="78">
        <f>IF(P1751="应收",COUNTIF(P$7:P1751,"应收"),"")</f>
      </c>
      <c r="R1751" s="78">
        <f>IF(P1751="应付",COUNTIF(P$7:P1751,"应付"),"")</f>
      </c>
      <c r="S1751" s="78">
        <f>N(F1751)-N(G1751)</f>
        <v>0</v>
      </c>
    </row>
    <row r="1752">
      <c r="A1752" s="109">
        <f>IF(AND(F1752="",G1752=""),"",ROW()-6)</f>
      </c>
      <c r="B1752" s="140" t="n"/>
      <c r="C1752" s="141" t="n"/>
      <c r="D1752" s="141" t="n"/>
      <c r="E1752" s="142" t="n"/>
      <c r="F1752" s="143" t="n"/>
      <c r="G1752" s="144" t="n"/>
      <c r="H1752" s="145">
        <f>IF(OR(C1752="",AND(F1752="",G1752="")),"",SUMIF(基础资料!$W$5:$W$24,C1752,基础资料!$X$5:$X$24)+SUMIF(C$7:C1752,C1752,F$7:F1752)-SUMIF(C$7:C1752,C1752,G$7:G1752))</f>
      </c>
      <c r="I1752" s="145">
        <f>IF(AND(F1752="",G1752=""),"",SUM(基础资料!$X$5:$X$24)+SUM(F$7:F1752)-SUM(G$7:G1752))</f>
      </c>
      <c r="J1752" s="141" t="n"/>
      <c r="K1752" s="141" t="n"/>
      <c r="L1752" s="141" t="n"/>
      <c r="M1752" s="142" t="n"/>
      <c r="N1752" s="146">
        <f>IF(AND(AND(F1752="",G1752=""),B1752="",C1752="",D1752="",J1752="",K1752="",L1752=""),"",IF(AND(F1752="",G1752=""),"✗ 没填金额",IF(AND(N(F1752)&lt;&gt;0,N(G1752)&lt;&gt;0),"✗ 收入、支出只能填一边",IF(NOT(ISNUMBER(B1752)),"✗ 日期不是真日期（要像 2026/9/25 这样填）",IF(OR(B1752&lt;年初日,B1752&gt;年末日),"✗ 日期不在本会计年度",IF(C1752="","✗ 没选账户",IF(COUNTIF(基础资料!$W$5:$W$24,C1752)=0,"✗ 账户不在基础资料里",IF(O1752="","✗ 没选收支项目",IF(P1752="未知","✗ 收支项目不在基础资料里",IF(AND(P1752="应收",J1752=""),"✗ 这笔要选客户",IF(AND(P1752="应收",COUNTIF(总览汇总!$B$5:$B$304,J1752)=0),"✗ 客户不在总览汇总名单里",IF(AND(P1752="应付",K1752=""),"✗ 这笔要选供应商",IF(AND(P1752="应付",COUNTIF(基础资料!$Q$5:$Q$54,K1752)=0),"✗ 供应商不在基础资料里",IF(AND(P1752="费用",L1752=""),"✗ 费用支出要选费用项目",IF(AND(L1752&lt;&gt;"",COUNTIF(基础资料!$AI$5:$AI$54,L1752)=0),"✗ 费用项目不在基础资料里",IF(AND(IFERROR(INDEX(基础资料!$AD$5:$AD$34,MATCH(O1752,基础资料!$AC$5:$AC$34,0)),"")="收",N(G1752)&lt;&gt;0),"✗ 这类是收款，金额填到收入列",IF(AND(IFERROR(INDEX(基础资料!$AD$5:$AD$34,MATCH(O1752,基础资料!$AC$5:$AC$34,0)),"")="支",N(F1752)&lt;&gt;0),"✗ 这类是付款，金额填到支出列",IF(N(H1752)&lt;0,"⚠ 账户余额成负数了，核对一下","√"))))))))))))))))))</f>
      </c>
      <c r="O1752" s="78">
        <f>IF(D1752&lt;&gt;"",D1752,IF(AND(F1752="",G1752=""),"",IF(J1752&lt;&gt;"",IF(N(F1752)&gt;0,"客户回款","客户退款"),IF(K1752&lt;&gt;"",IF(N(G1752)&gt;0,"供应商付款","供应商退款"),IF(L1752&lt;&gt;"","费用支出","")))))</f>
      </c>
      <c r="P1752" s="78">
        <f>IF(O1752="","",IFERROR(INDEX(基础资料!$AE$5:$AE$34,MATCH(O1752,基础资料!$AC$5:$AC$34,0)),"未知"))</f>
      </c>
      <c r="Q1752" s="78">
        <f>IF(P1752="应收",COUNTIF(P$7:P1752,"应收"),"")</f>
      </c>
      <c r="R1752" s="78">
        <f>IF(P1752="应付",COUNTIF(P$7:P1752,"应付"),"")</f>
      </c>
      <c r="S1752" s="78">
        <f>N(F1752)-N(G1752)</f>
        <v>0</v>
      </c>
    </row>
    <row r="1753">
      <c r="A1753" s="109">
        <f>IF(AND(F1753="",G1753=""),"",ROW()-6)</f>
      </c>
      <c r="B1753" s="140" t="n"/>
      <c r="C1753" s="141" t="n"/>
      <c r="D1753" s="141" t="n"/>
      <c r="E1753" s="142" t="n"/>
      <c r="F1753" s="143" t="n"/>
      <c r="G1753" s="144" t="n"/>
      <c r="H1753" s="145">
        <f>IF(OR(C1753="",AND(F1753="",G1753="")),"",SUMIF(基础资料!$W$5:$W$24,C1753,基础资料!$X$5:$X$24)+SUMIF(C$7:C1753,C1753,F$7:F1753)-SUMIF(C$7:C1753,C1753,G$7:G1753))</f>
      </c>
      <c r="I1753" s="145">
        <f>IF(AND(F1753="",G1753=""),"",SUM(基础资料!$X$5:$X$24)+SUM(F$7:F1753)-SUM(G$7:G1753))</f>
      </c>
      <c r="J1753" s="141" t="n"/>
      <c r="K1753" s="141" t="n"/>
      <c r="L1753" s="141" t="n"/>
      <c r="M1753" s="142" t="n"/>
      <c r="N1753" s="146">
        <f>IF(AND(AND(F1753="",G1753=""),B1753="",C1753="",D1753="",J1753="",K1753="",L1753=""),"",IF(AND(F1753="",G1753=""),"✗ 没填金额",IF(AND(N(F1753)&lt;&gt;0,N(G1753)&lt;&gt;0),"✗ 收入、支出只能填一边",IF(NOT(ISNUMBER(B1753)),"✗ 日期不是真日期（要像 2026/9/25 这样填）",IF(OR(B1753&lt;年初日,B1753&gt;年末日),"✗ 日期不在本会计年度",IF(C1753="","✗ 没选账户",IF(COUNTIF(基础资料!$W$5:$W$24,C1753)=0,"✗ 账户不在基础资料里",IF(O1753="","✗ 没选收支项目",IF(P1753="未知","✗ 收支项目不在基础资料里",IF(AND(P1753="应收",J1753=""),"✗ 这笔要选客户",IF(AND(P1753="应收",COUNTIF(总览汇总!$B$5:$B$304,J1753)=0),"✗ 客户不在总览汇总名单里",IF(AND(P1753="应付",K1753=""),"✗ 这笔要选供应商",IF(AND(P1753="应付",COUNTIF(基础资料!$Q$5:$Q$54,K1753)=0),"✗ 供应商不在基础资料里",IF(AND(P1753="费用",L1753=""),"✗ 费用支出要选费用项目",IF(AND(L1753&lt;&gt;"",COUNTIF(基础资料!$AI$5:$AI$54,L1753)=0),"✗ 费用项目不在基础资料里",IF(AND(IFERROR(INDEX(基础资料!$AD$5:$AD$34,MATCH(O1753,基础资料!$AC$5:$AC$34,0)),"")="收",N(G1753)&lt;&gt;0),"✗ 这类是收款，金额填到收入列",IF(AND(IFERROR(INDEX(基础资料!$AD$5:$AD$34,MATCH(O1753,基础资料!$AC$5:$AC$34,0)),"")="支",N(F1753)&lt;&gt;0),"✗ 这类是付款，金额填到支出列",IF(N(H1753)&lt;0,"⚠ 账户余额成负数了，核对一下","√"))))))))))))))))))</f>
      </c>
      <c r="O1753" s="78">
        <f>IF(D1753&lt;&gt;"",D1753,IF(AND(F1753="",G1753=""),"",IF(J1753&lt;&gt;"",IF(N(F1753)&gt;0,"客户回款","客户退款"),IF(K1753&lt;&gt;"",IF(N(G1753)&gt;0,"供应商付款","供应商退款"),IF(L1753&lt;&gt;"","费用支出","")))))</f>
      </c>
      <c r="P1753" s="78">
        <f>IF(O1753="","",IFERROR(INDEX(基础资料!$AE$5:$AE$34,MATCH(O1753,基础资料!$AC$5:$AC$34,0)),"未知"))</f>
      </c>
      <c r="Q1753" s="78">
        <f>IF(P1753="应收",COUNTIF(P$7:P1753,"应收"),"")</f>
      </c>
      <c r="R1753" s="78">
        <f>IF(P1753="应付",COUNTIF(P$7:P1753,"应付"),"")</f>
      </c>
      <c r="S1753" s="78">
        <f>N(F1753)-N(G1753)</f>
        <v>0</v>
      </c>
    </row>
    <row r="1754">
      <c r="A1754" s="109">
        <f>IF(AND(F1754="",G1754=""),"",ROW()-6)</f>
      </c>
      <c r="B1754" s="140" t="n"/>
      <c r="C1754" s="141" t="n"/>
      <c r="D1754" s="141" t="n"/>
      <c r="E1754" s="142" t="n"/>
      <c r="F1754" s="143" t="n"/>
      <c r="G1754" s="144" t="n"/>
      <c r="H1754" s="145">
        <f>IF(OR(C1754="",AND(F1754="",G1754="")),"",SUMIF(基础资料!$W$5:$W$24,C1754,基础资料!$X$5:$X$24)+SUMIF(C$7:C1754,C1754,F$7:F1754)-SUMIF(C$7:C1754,C1754,G$7:G1754))</f>
      </c>
      <c r="I1754" s="145">
        <f>IF(AND(F1754="",G1754=""),"",SUM(基础资料!$X$5:$X$24)+SUM(F$7:F1754)-SUM(G$7:G1754))</f>
      </c>
      <c r="J1754" s="141" t="n"/>
      <c r="K1754" s="141" t="n"/>
      <c r="L1754" s="141" t="n"/>
      <c r="M1754" s="142" t="n"/>
      <c r="N1754" s="146">
        <f>IF(AND(AND(F1754="",G1754=""),B1754="",C1754="",D1754="",J1754="",K1754="",L1754=""),"",IF(AND(F1754="",G1754=""),"✗ 没填金额",IF(AND(N(F1754)&lt;&gt;0,N(G1754)&lt;&gt;0),"✗ 收入、支出只能填一边",IF(NOT(ISNUMBER(B1754)),"✗ 日期不是真日期（要像 2026/9/25 这样填）",IF(OR(B1754&lt;年初日,B1754&gt;年末日),"✗ 日期不在本会计年度",IF(C1754="","✗ 没选账户",IF(COUNTIF(基础资料!$W$5:$W$24,C1754)=0,"✗ 账户不在基础资料里",IF(O1754="","✗ 没选收支项目",IF(P1754="未知","✗ 收支项目不在基础资料里",IF(AND(P1754="应收",J1754=""),"✗ 这笔要选客户",IF(AND(P1754="应收",COUNTIF(总览汇总!$B$5:$B$304,J1754)=0),"✗ 客户不在总览汇总名单里",IF(AND(P1754="应付",K1754=""),"✗ 这笔要选供应商",IF(AND(P1754="应付",COUNTIF(基础资料!$Q$5:$Q$54,K1754)=0),"✗ 供应商不在基础资料里",IF(AND(P1754="费用",L1754=""),"✗ 费用支出要选费用项目",IF(AND(L1754&lt;&gt;"",COUNTIF(基础资料!$AI$5:$AI$54,L1754)=0),"✗ 费用项目不在基础资料里",IF(AND(IFERROR(INDEX(基础资料!$AD$5:$AD$34,MATCH(O1754,基础资料!$AC$5:$AC$34,0)),"")="收",N(G1754)&lt;&gt;0),"✗ 这类是收款，金额填到收入列",IF(AND(IFERROR(INDEX(基础资料!$AD$5:$AD$34,MATCH(O1754,基础资料!$AC$5:$AC$34,0)),"")="支",N(F1754)&lt;&gt;0),"✗ 这类是付款，金额填到支出列",IF(N(H1754)&lt;0,"⚠ 账户余额成负数了，核对一下","√"))))))))))))))))))</f>
      </c>
      <c r="O1754" s="78">
        <f>IF(D1754&lt;&gt;"",D1754,IF(AND(F1754="",G1754=""),"",IF(J1754&lt;&gt;"",IF(N(F1754)&gt;0,"客户回款","客户退款"),IF(K1754&lt;&gt;"",IF(N(G1754)&gt;0,"供应商付款","供应商退款"),IF(L1754&lt;&gt;"","费用支出","")))))</f>
      </c>
      <c r="P1754" s="78">
        <f>IF(O1754="","",IFERROR(INDEX(基础资料!$AE$5:$AE$34,MATCH(O1754,基础资料!$AC$5:$AC$34,0)),"未知"))</f>
      </c>
      <c r="Q1754" s="78">
        <f>IF(P1754="应收",COUNTIF(P$7:P1754,"应收"),"")</f>
      </c>
      <c r="R1754" s="78">
        <f>IF(P1754="应付",COUNTIF(P$7:P1754,"应付"),"")</f>
      </c>
      <c r="S1754" s="78">
        <f>N(F1754)-N(G1754)</f>
        <v>0</v>
      </c>
    </row>
    <row r="1755">
      <c r="A1755" s="109">
        <f>IF(AND(F1755="",G1755=""),"",ROW()-6)</f>
      </c>
      <c r="B1755" s="140" t="n"/>
      <c r="C1755" s="141" t="n"/>
      <c r="D1755" s="141" t="n"/>
      <c r="E1755" s="142" t="n"/>
      <c r="F1755" s="143" t="n"/>
      <c r="G1755" s="144" t="n"/>
      <c r="H1755" s="145">
        <f>IF(OR(C1755="",AND(F1755="",G1755="")),"",SUMIF(基础资料!$W$5:$W$24,C1755,基础资料!$X$5:$X$24)+SUMIF(C$7:C1755,C1755,F$7:F1755)-SUMIF(C$7:C1755,C1755,G$7:G1755))</f>
      </c>
      <c r="I1755" s="145">
        <f>IF(AND(F1755="",G1755=""),"",SUM(基础资料!$X$5:$X$24)+SUM(F$7:F1755)-SUM(G$7:G1755))</f>
      </c>
      <c r="J1755" s="141" t="n"/>
      <c r="K1755" s="141" t="n"/>
      <c r="L1755" s="141" t="n"/>
      <c r="M1755" s="142" t="n"/>
      <c r="N1755" s="146">
        <f>IF(AND(AND(F1755="",G1755=""),B1755="",C1755="",D1755="",J1755="",K1755="",L1755=""),"",IF(AND(F1755="",G1755=""),"✗ 没填金额",IF(AND(N(F1755)&lt;&gt;0,N(G1755)&lt;&gt;0),"✗ 收入、支出只能填一边",IF(NOT(ISNUMBER(B1755)),"✗ 日期不是真日期（要像 2026/9/25 这样填）",IF(OR(B1755&lt;年初日,B1755&gt;年末日),"✗ 日期不在本会计年度",IF(C1755="","✗ 没选账户",IF(COUNTIF(基础资料!$W$5:$W$24,C1755)=0,"✗ 账户不在基础资料里",IF(O1755="","✗ 没选收支项目",IF(P1755="未知","✗ 收支项目不在基础资料里",IF(AND(P1755="应收",J1755=""),"✗ 这笔要选客户",IF(AND(P1755="应收",COUNTIF(总览汇总!$B$5:$B$304,J1755)=0),"✗ 客户不在总览汇总名单里",IF(AND(P1755="应付",K1755=""),"✗ 这笔要选供应商",IF(AND(P1755="应付",COUNTIF(基础资料!$Q$5:$Q$54,K1755)=0),"✗ 供应商不在基础资料里",IF(AND(P1755="费用",L1755=""),"✗ 费用支出要选费用项目",IF(AND(L1755&lt;&gt;"",COUNTIF(基础资料!$AI$5:$AI$54,L1755)=0),"✗ 费用项目不在基础资料里",IF(AND(IFERROR(INDEX(基础资料!$AD$5:$AD$34,MATCH(O1755,基础资料!$AC$5:$AC$34,0)),"")="收",N(G1755)&lt;&gt;0),"✗ 这类是收款，金额填到收入列",IF(AND(IFERROR(INDEX(基础资料!$AD$5:$AD$34,MATCH(O1755,基础资料!$AC$5:$AC$34,0)),"")="支",N(F1755)&lt;&gt;0),"✗ 这类是付款，金额填到支出列",IF(N(H1755)&lt;0,"⚠ 账户余额成负数了，核对一下","√"))))))))))))))))))</f>
      </c>
      <c r="O1755" s="78">
        <f>IF(D1755&lt;&gt;"",D1755,IF(AND(F1755="",G1755=""),"",IF(J1755&lt;&gt;"",IF(N(F1755)&gt;0,"客户回款","客户退款"),IF(K1755&lt;&gt;"",IF(N(G1755)&gt;0,"供应商付款","供应商退款"),IF(L1755&lt;&gt;"","费用支出","")))))</f>
      </c>
      <c r="P1755" s="78">
        <f>IF(O1755="","",IFERROR(INDEX(基础资料!$AE$5:$AE$34,MATCH(O1755,基础资料!$AC$5:$AC$34,0)),"未知"))</f>
      </c>
      <c r="Q1755" s="78">
        <f>IF(P1755="应收",COUNTIF(P$7:P1755,"应收"),"")</f>
      </c>
      <c r="R1755" s="78">
        <f>IF(P1755="应付",COUNTIF(P$7:P1755,"应付"),"")</f>
      </c>
      <c r="S1755" s="78">
        <f>N(F1755)-N(G1755)</f>
        <v>0</v>
      </c>
    </row>
    <row r="1756">
      <c r="A1756" s="109">
        <f>IF(AND(F1756="",G1756=""),"",ROW()-6)</f>
      </c>
      <c r="B1756" s="140" t="n"/>
      <c r="C1756" s="141" t="n"/>
      <c r="D1756" s="141" t="n"/>
      <c r="E1756" s="142" t="n"/>
      <c r="F1756" s="143" t="n"/>
      <c r="G1756" s="144" t="n"/>
      <c r="H1756" s="145">
        <f>IF(OR(C1756="",AND(F1756="",G1756="")),"",SUMIF(基础资料!$W$5:$W$24,C1756,基础资料!$X$5:$X$24)+SUMIF(C$7:C1756,C1756,F$7:F1756)-SUMIF(C$7:C1756,C1756,G$7:G1756))</f>
      </c>
      <c r="I1756" s="145">
        <f>IF(AND(F1756="",G1756=""),"",SUM(基础资料!$X$5:$X$24)+SUM(F$7:F1756)-SUM(G$7:G1756))</f>
      </c>
      <c r="J1756" s="141" t="n"/>
      <c r="K1756" s="141" t="n"/>
      <c r="L1756" s="141" t="n"/>
      <c r="M1756" s="142" t="n"/>
      <c r="N1756" s="146">
        <f>IF(AND(AND(F1756="",G1756=""),B1756="",C1756="",D1756="",J1756="",K1756="",L1756=""),"",IF(AND(F1756="",G1756=""),"✗ 没填金额",IF(AND(N(F1756)&lt;&gt;0,N(G1756)&lt;&gt;0),"✗ 收入、支出只能填一边",IF(NOT(ISNUMBER(B1756)),"✗ 日期不是真日期（要像 2026/9/25 这样填）",IF(OR(B1756&lt;年初日,B1756&gt;年末日),"✗ 日期不在本会计年度",IF(C1756="","✗ 没选账户",IF(COUNTIF(基础资料!$W$5:$W$24,C1756)=0,"✗ 账户不在基础资料里",IF(O1756="","✗ 没选收支项目",IF(P1756="未知","✗ 收支项目不在基础资料里",IF(AND(P1756="应收",J1756=""),"✗ 这笔要选客户",IF(AND(P1756="应收",COUNTIF(总览汇总!$B$5:$B$304,J1756)=0),"✗ 客户不在总览汇总名单里",IF(AND(P1756="应付",K1756=""),"✗ 这笔要选供应商",IF(AND(P1756="应付",COUNTIF(基础资料!$Q$5:$Q$54,K1756)=0),"✗ 供应商不在基础资料里",IF(AND(P1756="费用",L1756=""),"✗ 费用支出要选费用项目",IF(AND(L1756&lt;&gt;"",COUNTIF(基础资料!$AI$5:$AI$54,L1756)=0),"✗ 费用项目不在基础资料里",IF(AND(IFERROR(INDEX(基础资料!$AD$5:$AD$34,MATCH(O1756,基础资料!$AC$5:$AC$34,0)),"")="收",N(G1756)&lt;&gt;0),"✗ 这类是收款，金额填到收入列",IF(AND(IFERROR(INDEX(基础资料!$AD$5:$AD$34,MATCH(O1756,基础资料!$AC$5:$AC$34,0)),"")="支",N(F1756)&lt;&gt;0),"✗ 这类是付款，金额填到支出列",IF(N(H1756)&lt;0,"⚠ 账户余额成负数了，核对一下","√"))))))))))))))))))</f>
      </c>
      <c r="O1756" s="78">
        <f>IF(D1756&lt;&gt;"",D1756,IF(AND(F1756="",G1756=""),"",IF(J1756&lt;&gt;"",IF(N(F1756)&gt;0,"客户回款","客户退款"),IF(K1756&lt;&gt;"",IF(N(G1756)&gt;0,"供应商付款","供应商退款"),IF(L1756&lt;&gt;"","费用支出","")))))</f>
      </c>
      <c r="P1756" s="78">
        <f>IF(O1756="","",IFERROR(INDEX(基础资料!$AE$5:$AE$34,MATCH(O1756,基础资料!$AC$5:$AC$34,0)),"未知"))</f>
      </c>
      <c r="Q1756" s="78">
        <f>IF(P1756="应收",COUNTIF(P$7:P1756,"应收"),"")</f>
      </c>
      <c r="R1756" s="78">
        <f>IF(P1756="应付",COUNTIF(P$7:P1756,"应付"),"")</f>
      </c>
      <c r="S1756" s="78">
        <f>N(F1756)-N(G1756)</f>
        <v>0</v>
      </c>
    </row>
    <row r="1757">
      <c r="A1757" s="109">
        <f>IF(AND(F1757="",G1757=""),"",ROW()-6)</f>
      </c>
      <c r="B1757" s="140" t="n"/>
      <c r="C1757" s="141" t="n"/>
      <c r="D1757" s="141" t="n"/>
      <c r="E1757" s="142" t="n"/>
      <c r="F1757" s="143" t="n"/>
      <c r="G1757" s="144" t="n"/>
      <c r="H1757" s="145">
        <f>IF(OR(C1757="",AND(F1757="",G1757="")),"",SUMIF(基础资料!$W$5:$W$24,C1757,基础资料!$X$5:$X$24)+SUMIF(C$7:C1757,C1757,F$7:F1757)-SUMIF(C$7:C1757,C1757,G$7:G1757))</f>
      </c>
      <c r="I1757" s="145">
        <f>IF(AND(F1757="",G1757=""),"",SUM(基础资料!$X$5:$X$24)+SUM(F$7:F1757)-SUM(G$7:G1757))</f>
      </c>
      <c r="J1757" s="141" t="n"/>
      <c r="K1757" s="141" t="n"/>
      <c r="L1757" s="141" t="n"/>
      <c r="M1757" s="142" t="n"/>
      <c r="N1757" s="146">
        <f>IF(AND(AND(F1757="",G1757=""),B1757="",C1757="",D1757="",J1757="",K1757="",L1757=""),"",IF(AND(F1757="",G1757=""),"✗ 没填金额",IF(AND(N(F1757)&lt;&gt;0,N(G1757)&lt;&gt;0),"✗ 收入、支出只能填一边",IF(NOT(ISNUMBER(B1757)),"✗ 日期不是真日期（要像 2026/9/25 这样填）",IF(OR(B1757&lt;年初日,B1757&gt;年末日),"✗ 日期不在本会计年度",IF(C1757="","✗ 没选账户",IF(COUNTIF(基础资料!$W$5:$W$24,C1757)=0,"✗ 账户不在基础资料里",IF(O1757="","✗ 没选收支项目",IF(P1757="未知","✗ 收支项目不在基础资料里",IF(AND(P1757="应收",J1757=""),"✗ 这笔要选客户",IF(AND(P1757="应收",COUNTIF(总览汇总!$B$5:$B$304,J1757)=0),"✗ 客户不在总览汇总名单里",IF(AND(P1757="应付",K1757=""),"✗ 这笔要选供应商",IF(AND(P1757="应付",COUNTIF(基础资料!$Q$5:$Q$54,K1757)=0),"✗ 供应商不在基础资料里",IF(AND(P1757="费用",L1757=""),"✗ 费用支出要选费用项目",IF(AND(L1757&lt;&gt;"",COUNTIF(基础资料!$AI$5:$AI$54,L1757)=0),"✗ 费用项目不在基础资料里",IF(AND(IFERROR(INDEX(基础资料!$AD$5:$AD$34,MATCH(O1757,基础资料!$AC$5:$AC$34,0)),"")="收",N(G1757)&lt;&gt;0),"✗ 这类是收款，金额填到收入列",IF(AND(IFERROR(INDEX(基础资料!$AD$5:$AD$34,MATCH(O1757,基础资料!$AC$5:$AC$34,0)),"")="支",N(F1757)&lt;&gt;0),"✗ 这类是付款，金额填到支出列",IF(N(H1757)&lt;0,"⚠ 账户余额成负数了，核对一下","√"))))))))))))))))))</f>
      </c>
      <c r="O1757" s="78">
        <f>IF(D1757&lt;&gt;"",D1757,IF(AND(F1757="",G1757=""),"",IF(J1757&lt;&gt;"",IF(N(F1757)&gt;0,"客户回款","客户退款"),IF(K1757&lt;&gt;"",IF(N(G1757)&gt;0,"供应商付款","供应商退款"),IF(L1757&lt;&gt;"","费用支出","")))))</f>
      </c>
      <c r="P1757" s="78">
        <f>IF(O1757="","",IFERROR(INDEX(基础资料!$AE$5:$AE$34,MATCH(O1757,基础资料!$AC$5:$AC$34,0)),"未知"))</f>
      </c>
      <c r="Q1757" s="78">
        <f>IF(P1757="应收",COUNTIF(P$7:P1757,"应收"),"")</f>
      </c>
      <c r="R1757" s="78">
        <f>IF(P1757="应付",COUNTIF(P$7:P1757,"应付"),"")</f>
      </c>
      <c r="S1757" s="78">
        <f>N(F1757)-N(G1757)</f>
        <v>0</v>
      </c>
    </row>
    <row r="1758">
      <c r="A1758" s="109">
        <f>IF(AND(F1758="",G1758=""),"",ROW()-6)</f>
      </c>
      <c r="B1758" s="140" t="n"/>
      <c r="C1758" s="141" t="n"/>
      <c r="D1758" s="141" t="n"/>
      <c r="E1758" s="142" t="n"/>
      <c r="F1758" s="143" t="n"/>
      <c r="G1758" s="144" t="n"/>
      <c r="H1758" s="145">
        <f>IF(OR(C1758="",AND(F1758="",G1758="")),"",SUMIF(基础资料!$W$5:$W$24,C1758,基础资料!$X$5:$X$24)+SUMIF(C$7:C1758,C1758,F$7:F1758)-SUMIF(C$7:C1758,C1758,G$7:G1758))</f>
      </c>
      <c r="I1758" s="145">
        <f>IF(AND(F1758="",G1758=""),"",SUM(基础资料!$X$5:$X$24)+SUM(F$7:F1758)-SUM(G$7:G1758))</f>
      </c>
      <c r="J1758" s="141" t="n"/>
      <c r="K1758" s="141" t="n"/>
      <c r="L1758" s="141" t="n"/>
      <c r="M1758" s="142" t="n"/>
      <c r="N1758" s="146">
        <f>IF(AND(AND(F1758="",G1758=""),B1758="",C1758="",D1758="",J1758="",K1758="",L1758=""),"",IF(AND(F1758="",G1758=""),"✗ 没填金额",IF(AND(N(F1758)&lt;&gt;0,N(G1758)&lt;&gt;0),"✗ 收入、支出只能填一边",IF(NOT(ISNUMBER(B1758)),"✗ 日期不是真日期（要像 2026/9/25 这样填）",IF(OR(B1758&lt;年初日,B1758&gt;年末日),"✗ 日期不在本会计年度",IF(C1758="","✗ 没选账户",IF(COUNTIF(基础资料!$W$5:$W$24,C1758)=0,"✗ 账户不在基础资料里",IF(O1758="","✗ 没选收支项目",IF(P1758="未知","✗ 收支项目不在基础资料里",IF(AND(P1758="应收",J1758=""),"✗ 这笔要选客户",IF(AND(P1758="应收",COUNTIF(总览汇总!$B$5:$B$304,J1758)=0),"✗ 客户不在总览汇总名单里",IF(AND(P1758="应付",K1758=""),"✗ 这笔要选供应商",IF(AND(P1758="应付",COUNTIF(基础资料!$Q$5:$Q$54,K1758)=0),"✗ 供应商不在基础资料里",IF(AND(P1758="费用",L1758=""),"✗ 费用支出要选费用项目",IF(AND(L1758&lt;&gt;"",COUNTIF(基础资料!$AI$5:$AI$54,L1758)=0),"✗ 费用项目不在基础资料里",IF(AND(IFERROR(INDEX(基础资料!$AD$5:$AD$34,MATCH(O1758,基础资料!$AC$5:$AC$34,0)),"")="收",N(G1758)&lt;&gt;0),"✗ 这类是收款，金额填到收入列",IF(AND(IFERROR(INDEX(基础资料!$AD$5:$AD$34,MATCH(O1758,基础资料!$AC$5:$AC$34,0)),"")="支",N(F1758)&lt;&gt;0),"✗ 这类是付款，金额填到支出列",IF(N(H1758)&lt;0,"⚠ 账户余额成负数了，核对一下","√"))))))))))))))))))</f>
      </c>
      <c r="O1758" s="78">
        <f>IF(D1758&lt;&gt;"",D1758,IF(AND(F1758="",G1758=""),"",IF(J1758&lt;&gt;"",IF(N(F1758)&gt;0,"客户回款","客户退款"),IF(K1758&lt;&gt;"",IF(N(G1758)&gt;0,"供应商付款","供应商退款"),IF(L1758&lt;&gt;"","费用支出","")))))</f>
      </c>
      <c r="P1758" s="78">
        <f>IF(O1758="","",IFERROR(INDEX(基础资料!$AE$5:$AE$34,MATCH(O1758,基础资料!$AC$5:$AC$34,0)),"未知"))</f>
      </c>
      <c r="Q1758" s="78">
        <f>IF(P1758="应收",COUNTIF(P$7:P1758,"应收"),"")</f>
      </c>
      <c r="R1758" s="78">
        <f>IF(P1758="应付",COUNTIF(P$7:P1758,"应付"),"")</f>
      </c>
      <c r="S1758" s="78">
        <f>N(F1758)-N(G1758)</f>
        <v>0</v>
      </c>
    </row>
    <row r="1759">
      <c r="A1759" s="109">
        <f>IF(AND(F1759="",G1759=""),"",ROW()-6)</f>
      </c>
      <c r="B1759" s="140" t="n"/>
      <c r="C1759" s="141" t="n"/>
      <c r="D1759" s="141" t="n"/>
      <c r="E1759" s="142" t="n"/>
      <c r="F1759" s="143" t="n"/>
      <c r="G1759" s="144" t="n"/>
      <c r="H1759" s="145">
        <f>IF(OR(C1759="",AND(F1759="",G1759="")),"",SUMIF(基础资料!$W$5:$W$24,C1759,基础资料!$X$5:$X$24)+SUMIF(C$7:C1759,C1759,F$7:F1759)-SUMIF(C$7:C1759,C1759,G$7:G1759))</f>
      </c>
      <c r="I1759" s="145">
        <f>IF(AND(F1759="",G1759=""),"",SUM(基础资料!$X$5:$X$24)+SUM(F$7:F1759)-SUM(G$7:G1759))</f>
      </c>
      <c r="J1759" s="141" t="n"/>
      <c r="K1759" s="141" t="n"/>
      <c r="L1759" s="141" t="n"/>
      <c r="M1759" s="142" t="n"/>
      <c r="N1759" s="146">
        <f>IF(AND(AND(F1759="",G1759=""),B1759="",C1759="",D1759="",J1759="",K1759="",L1759=""),"",IF(AND(F1759="",G1759=""),"✗ 没填金额",IF(AND(N(F1759)&lt;&gt;0,N(G1759)&lt;&gt;0),"✗ 收入、支出只能填一边",IF(NOT(ISNUMBER(B1759)),"✗ 日期不是真日期（要像 2026/9/25 这样填）",IF(OR(B1759&lt;年初日,B1759&gt;年末日),"✗ 日期不在本会计年度",IF(C1759="","✗ 没选账户",IF(COUNTIF(基础资料!$W$5:$W$24,C1759)=0,"✗ 账户不在基础资料里",IF(O1759="","✗ 没选收支项目",IF(P1759="未知","✗ 收支项目不在基础资料里",IF(AND(P1759="应收",J1759=""),"✗ 这笔要选客户",IF(AND(P1759="应收",COUNTIF(总览汇总!$B$5:$B$304,J1759)=0),"✗ 客户不在总览汇总名单里",IF(AND(P1759="应付",K1759=""),"✗ 这笔要选供应商",IF(AND(P1759="应付",COUNTIF(基础资料!$Q$5:$Q$54,K1759)=0),"✗ 供应商不在基础资料里",IF(AND(P1759="费用",L1759=""),"✗ 费用支出要选费用项目",IF(AND(L1759&lt;&gt;"",COUNTIF(基础资料!$AI$5:$AI$54,L1759)=0),"✗ 费用项目不在基础资料里",IF(AND(IFERROR(INDEX(基础资料!$AD$5:$AD$34,MATCH(O1759,基础资料!$AC$5:$AC$34,0)),"")="收",N(G1759)&lt;&gt;0),"✗ 这类是收款，金额填到收入列",IF(AND(IFERROR(INDEX(基础资料!$AD$5:$AD$34,MATCH(O1759,基础资料!$AC$5:$AC$34,0)),"")="支",N(F1759)&lt;&gt;0),"✗ 这类是付款，金额填到支出列",IF(N(H1759)&lt;0,"⚠ 账户余额成负数了，核对一下","√"))))))))))))))))))</f>
      </c>
      <c r="O1759" s="78">
        <f>IF(D1759&lt;&gt;"",D1759,IF(AND(F1759="",G1759=""),"",IF(J1759&lt;&gt;"",IF(N(F1759)&gt;0,"客户回款","客户退款"),IF(K1759&lt;&gt;"",IF(N(G1759)&gt;0,"供应商付款","供应商退款"),IF(L1759&lt;&gt;"","费用支出","")))))</f>
      </c>
      <c r="P1759" s="78">
        <f>IF(O1759="","",IFERROR(INDEX(基础资料!$AE$5:$AE$34,MATCH(O1759,基础资料!$AC$5:$AC$34,0)),"未知"))</f>
      </c>
      <c r="Q1759" s="78">
        <f>IF(P1759="应收",COUNTIF(P$7:P1759,"应收"),"")</f>
      </c>
      <c r="R1759" s="78">
        <f>IF(P1759="应付",COUNTIF(P$7:P1759,"应付"),"")</f>
      </c>
      <c r="S1759" s="78">
        <f>N(F1759)-N(G1759)</f>
        <v>0</v>
      </c>
    </row>
    <row r="1760">
      <c r="A1760" s="109">
        <f>IF(AND(F1760="",G1760=""),"",ROW()-6)</f>
      </c>
      <c r="B1760" s="140" t="n"/>
      <c r="C1760" s="141" t="n"/>
      <c r="D1760" s="141" t="n"/>
      <c r="E1760" s="142" t="n"/>
      <c r="F1760" s="143" t="n"/>
      <c r="G1760" s="144" t="n"/>
      <c r="H1760" s="145">
        <f>IF(OR(C1760="",AND(F1760="",G1760="")),"",SUMIF(基础资料!$W$5:$W$24,C1760,基础资料!$X$5:$X$24)+SUMIF(C$7:C1760,C1760,F$7:F1760)-SUMIF(C$7:C1760,C1760,G$7:G1760))</f>
      </c>
      <c r="I1760" s="145">
        <f>IF(AND(F1760="",G1760=""),"",SUM(基础资料!$X$5:$X$24)+SUM(F$7:F1760)-SUM(G$7:G1760))</f>
      </c>
      <c r="J1760" s="141" t="n"/>
      <c r="K1760" s="141" t="n"/>
      <c r="L1760" s="141" t="n"/>
      <c r="M1760" s="142" t="n"/>
      <c r="N1760" s="146">
        <f>IF(AND(AND(F1760="",G1760=""),B1760="",C1760="",D1760="",J1760="",K1760="",L1760=""),"",IF(AND(F1760="",G1760=""),"✗ 没填金额",IF(AND(N(F1760)&lt;&gt;0,N(G1760)&lt;&gt;0),"✗ 收入、支出只能填一边",IF(NOT(ISNUMBER(B1760)),"✗ 日期不是真日期（要像 2026/9/25 这样填）",IF(OR(B1760&lt;年初日,B1760&gt;年末日),"✗ 日期不在本会计年度",IF(C1760="","✗ 没选账户",IF(COUNTIF(基础资料!$W$5:$W$24,C1760)=0,"✗ 账户不在基础资料里",IF(O1760="","✗ 没选收支项目",IF(P1760="未知","✗ 收支项目不在基础资料里",IF(AND(P1760="应收",J1760=""),"✗ 这笔要选客户",IF(AND(P1760="应收",COUNTIF(总览汇总!$B$5:$B$304,J1760)=0),"✗ 客户不在总览汇总名单里",IF(AND(P1760="应付",K1760=""),"✗ 这笔要选供应商",IF(AND(P1760="应付",COUNTIF(基础资料!$Q$5:$Q$54,K1760)=0),"✗ 供应商不在基础资料里",IF(AND(P1760="费用",L1760=""),"✗ 费用支出要选费用项目",IF(AND(L1760&lt;&gt;"",COUNTIF(基础资料!$AI$5:$AI$54,L1760)=0),"✗ 费用项目不在基础资料里",IF(AND(IFERROR(INDEX(基础资料!$AD$5:$AD$34,MATCH(O1760,基础资料!$AC$5:$AC$34,0)),"")="收",N(G1760)&lt;&gt;0),"✗ 这类是收款，金额填到收入列",IF(AND(IFERROR(INDEX(基础资料!$AD$5:$AD$34,MATCH(O1760,基础资料!$AC$5:$AC$34,0)),"")="支",N(F1760)&lt;&gt;0),"✗ 这类是付款，金额填到支出列",IF(N(H1760)&lt;0,"⚠ 账户余额成负数了，核对一下","√"))))))))))))))))))</f>
      </c>
      <c r="O1760" s="78">
        <f>IF(D1760&lt;&gt;"",D1760,IF(AND(F1760="",G1760=""),"",IF(J1760&lt;&gt;"",IF(N(F1760)&gt;0,"客户回款","客户退款"),IF(K1760&lt;&gt;"",IF(N(G1760)&gt;0,"供应商付款","供应商退款"),IF(L1760&lt;&gt;"","费用支出","")))))</f>
      </c>
      <c r="P1760" s="78">
        <f>IF(O1760="","",IFERROR(INDEX(基础资料!$AE$5:$AE$34,MATCH(O1760,基础资料!$AC$5:$AC$34,0)),"未知"))</f>
      </c>
      <c r="Q1760" s="78">
        <f>IF(P1760="应收",COUNTIF(P$7:P1760,"应收"),"")</f>
      </c>
      <c r="R1760" s="78">
        <f>IF(P1760="应付",COUNTIF(P$7:P1760,"应付"),"")</f>
      </c>
      <c r="S1760" s="78">
        <f>N(F1760)-N(G1760)</f>
        <v>0</v>
      </c>
    </row>
    <row r="1761">
      <c r="A1761" s="109">
        <f>IF(AND(F1761="",G1761=""),"",ROW()-6)</f>
      </c>
      <c r="B1761" s="140" t="n"/>
      <c r="C1761" s="141" t="n"/>
      <c r="D1761" s="141" t="n"/>
      <c r="E1761" s="142" t="n"/>
      <c r="F1761" s="143" t="n"/>
      <c r="G1761" s="144" t="n"/>
      <c r="H1761" s="145">
        <f>IF(OR(C1761="",AND(F1761="",G1761="")),"",SUMIF(基础资料!$W$5:$W$24,C1761,基础资料!$X$5:$X$24)+SUMIF(C$7:C1761,C1761,F$7:F1761)-SUMIF(C$7:C1761,C1761,G$7:G1761))</f>
      </c>
      <c r="I1761" s="145">
        <f>IF(AND(F1761="",G1761=""),"",SUM(基础资料!$X$5:$X$24)+SUM(F$7:F1761)-SUM(G$7:G1761))</f>
      </c>
      <c r="J1761" s="141" t="n"/>
      <c r="K1761" s="141" t="n"/>
      <c r="L1761" s="141" t="n"/>
      <c r="M1761" s="142" t="n"/>
      <c r="N1761" s="146">
        <f>IF(AND(AND(F1761="",G1761=""),B1761="",C1761="",D1761="",J1761="",K1761="",L1761=""),"",IF(AND(F1761="",G1761=""),"✗ 没填金额",IF(AND(N(F1761)&lt;&gt;0,N(G1761)&lt;&gt;0),"✗ 收入、支出只能填一边",IF(NOT(ISNUMBER(B1761)),"✗ 日期不是真日期（要像 2026/9/25 这样填）",IF(OR(B1761&lt;年初日,B1761&gt;年末日),"✗ 日期不在本会计年度",IF(C1761="","✗ 没选账户",IF(COUNTIF(基础资料!$W$5:$W$24,C1761)=0,"✗ 账户不在基础资料里",IF(O1761="","✗ 没选收支项目",IF(P1761="未知","✗ 收支项目不在基础资料里",IF(AND(P1761="应收",J1761=""),"✗ 这笔要选客户",IF(AND(P1761="应收",COUNTIF(总览汇总!$B$5:$B$304,J1761)=0),"✗ 客户不在总览汇总名单里",IF(AND(P1761="应付",K1761=""),"✗ 这笔要选供应商",IF(AND(P1761="应付",COUNTIF(基础资料!$Q$5:$Q$54,K1761)=0),"✗ 供应商不在基础资料里",IF(AND(P1761="费用",L1761=""),"✗ 费用支出要选费用项目",IF(AND(L1761&lt;&gt;"",COUNTIF(基础资料!$AI$5:$AI$54,L1761)=0),"✗ 费用项目不在基础资料里",IF(AND(IFERROR(INDEX(基础资料!$AD$5:$AD$34,MATCH(O1761,基础资料!$AC$5:$AC$34,0)),"")="收",N(G1761)&lt;&gt;0),"✗ 这类是收款，金额填到收入列",IF(AND(IFERROR(INDEX(基础资料!$AD$5:$AD$34,MATCH(O1761,基础资料!$AC$5:$AC$34,0)),"")="支",N(F1761)&lt;&gt;0),"✗ 这类是付款，金额填到支出列",IF(N(H1761)&lt;0,"⚠ 账户余额成负数了，核对一下","√"))))))))))))))))))</f>
      </c>
      <c r="O1761" s="78">
        <f>IF(D1761&lt;&gt;"",D1761,IF(AND(F1761="",G1761=""),"",IF(J1761&lt;&gt;"",IF(N(F1761)&gt;0,"客户回款","客户退款"),IF(K1761&lt;&gt;"",IF(N(G1761)&gt;0,"供应商付款","供应商退款"),IF(L1761&lt;&gt;"","费用支出","")))))</f>
      </c>
      <c r="P1761" s="78">
        <f>IF(O1761="","",IFERROR(INDEX(基础资料!$AE$5:$AE$34,MATCH(O1761,基础资料!$AC$5:$AC$34,0)),"未知"))</f>
      </c>
      <c r="Q1761" s="78">
        <f>IF(P1761="应收",COUNTIF(P$7:P1761,"应收"),"")</f>
      </c>
      <c r="R1761" s="78">
        <f>IF(P1761="应付",COUNTIF(P$7:P1761,"应付"),"")</f>
      </c>
      <c r="S1761" s="78">
        <f>N(F1761)-N(G1761)</f>
        <v>0</v>
      </c>
    </row>
    <row r="1762">
      <c r="A1762" s="109">
        <f>IF(AND(F1762="",G1762=""),"",ROW()-6)</f>
      </c>
      <c r="B1762" s="140" t="n"/>
      <c r="C1762" s="141" t="n"/>
      <c r="D1762" s="141" t="n"/>
      <c r="E1762" s="142" t="n"/>
      <c r="F1762" s="143" t="n"/>
      <c r="G1762" s="144" t="n"/>
      <c r="H1762" s="145">
        <f>IF(OR(C1762="",AND(F1762="",G1762="")),"",SUMIF(基础资料!$W$5:$W$24,C1762,基础资料!$X$5:$X$24)+SUMIF(C$7:C1762,C1762,F$7:F1762)-SUMIF(C$7:C1762,C1762,G$7:G1762))</f>
      </c>
      <c r="I1762" s="145">
        <f>IF(AND(F1762="",G1762=""),"",SUM(基础资料!$X$5:$X$24)+SUM(F$7:F1762)-SUM(G$7:G1762))</f>
      </c>
      <c r="J1762" s="141" t="n"/>
      <c r="K1762" s="141" t="n"/>
      <c r="L1762" s="141" t="n"/>
      <c r="M1762" s="142" t="n"/>
      <c r="N1762" s="146">
        <f>IF(AND(AND(F1762="",G1762=""),B1762="",C1762="",D1762="",J1762="",K1762="",L1762=""),"",IF(AND(F1762="",G1762=""),"✗ 没填金额",IF(AND(N(F1762)&lt;&gt;0,N(G1762)&lt;&gt;0),"✗ 收入、支出只能填一边",IF(NOT(ISNUMBER(B1762)),"✗ 日期不是真日期（要像 2026/9/25 这样填）",IF(OR(B1762&lt;年初日,B1762&gt;年末日),"✗ 日期不在本会计年度",IF(C1762="","✗ 没选账户",IF(COUNTIF(基础资料!$W$5:$W$24,C1762)=0,"✗ 账户不在基础资料里",IF(O1762="","✗ 没选收支项目",IF(P1762="未知","✗ 收支项目不在基础资料里",IF(AND(P1762="应收",J1762=""),"✗ 这笔要选客户",IF(AND(P1762="应收",COUNTIF(总览汇总!$B$5:$B$304,J1762)=0),"✗ 客户不在总览汇总名单里",IF(AND(P1762="应付",K1762=""),"✗ 这笔要选供应商",IF(AND(P1762="应付",COUNTIF(基础资料!$Q$5:$Q$54,K1762)=0),"✗ 供应商不在基础资料里",IF(AND(P1762="费用",L1762=""),"✗ 费用支出要选费用项目",IF(AND(L1762&lt;&gt;"",COUNTIF(基础资料!$AI$5:$AI$54,L1762)=0),"✗ 费用项目不在基础资料里",IF(AND(IFERROR(INDEX(基础资料!$AD$5:$AD$34,MATCH(O1762,基础资料!$AC$5:$AC$34,0)),"")="收",N(G1762)&lt;&gt;0),"✗ 这类是收款，金额填到收入列",IF(AND(IFERROR(INDEX(基础资料!$AD$5:$AD$34,MATCH(O1762,基础资料!$AC$5:$AC$34,0)),"")="支",N(F1762)&lt;&gt;0),"✗ 这类是付款，金额填到支出列",IF(N(H1762)&lt;0,"⚠ 账户余额成负数了，核对一下","√"))))))))))))))))))</f>
      </c>
      <c r="O1762" s="78">
        <f>IF(D1762&lt;&gt;"",D1762,IF(AND(F1762="",G1762=""),"",IF(J1762&lt;&gt;"",IF(N(F1762)&gt;0,"客户回款","客户退款"),IF(K1762&lt;&gt;"",IF(N(G1762)&gt;0,"供应商付款","供应商退款"),IF(L1762&lt;&gt;"","费用支出","")))))</f>
      </c>
      <c r="P1762" s="78">
        <f>IF(O1762="","",IFERROR(INDEX(基础资料!$AE$5:$AE$34,MATCH(O1762,基础资料!$AC$5:$AC$34,0)),"未知"))</f>
      </c>
      <c r="Q1762" s="78">
        <f>IF(P1762="应收",COUNTIF(P$7:P1762,"应收"),"")</f>
      </c>
      <c r="R1762" s="78">
        <f>IF(P1762="应付",COUNTIF(P$7:P1762,"应付"),"")</f>
      </c>
      <c r="S1762" s="78">
        <f>N(F1762)-N(G1762)</f>
        <v>0</v>
      </c>
    </row>
    <row r="1763">
      <c r="A1763" s="109">
        <f>IF(AND(F1763="",G1763=""),"",ROW()-6)</f>
      </c>
      <c r="B1763" s="140" t="n"/>
      <c r="C1763" s="141" t="n"/>
      <c r="D1763" s="141" t="n"/>
      <c r="E1763" s="142" t="n"/>
      <c r="F1763" s="143" t="n"/>
      <c r="G1763" s="144" t="n"/>
      <c r="H1763" s="145">
        <f>IF(OR(C1763="",AND(F1763="",G1763="")),"",SUMIF(基础资料!$W$5:$W$24,C1763,基础资料!$X$5:$X$24)+SUMIF(C$7:C1763,C1763,F$7:F1763)-SUMIF(C$7:C1763,C1763,G$7:G1763))</f>
      </c>
      <c r="I1763" s="145">
        <f>IF(AND(F1763="",G1763=""),"",SUM(基础资料!$X$5:$X$24)+SUM(F$7:F1763)-SUM(G$7:G1763))</f>
      </c>
      <c r="J1763" s="141" t="n"/>
      <c r="K1763" s="141" t="n"/>
      <c r="L1763" s="141" t="n"/>
      <c r="M1763" s="142" t="n"/>
      <c r="N1763" s="146">
        <f>IF(AND(AND(F1763="",G1763=""),B1763="",C1763="",D1763="",J1763="",K1763="",L1763=""),"",IF(AND(F1763="",G1763=""),"✗ 没填金额",IF(AND(N(F1763)&lt;&gt;0,N(G1763)&lt;&gt;0),"✗ 收入、支出只能填一边",IF(NOT(ISNUMBER(B1763)),"✗ 日期不是真日期（要像 2026/9/25 这样填）",IF(OR(B1763&lt;年初日,B1763&gt;年末日),"✗ 日期不在本会计年度",IF(C1763="","✗ 没选账户",IF(COUNTIF(基础资料!$W$5:$W$24,C1763)=0,"✗ 账户不在基础资料里",IF(O1763="","✗ 没选收支项目",IF(P1763="未知","✗ 收支项目不在基础资料里",IF(AND(P1763="应收",J1763=""),"✗ 这笔要选客户",IF(AND(P1763="应收",COUNTIF(总览汇总!$B$5:$B$304,J1763)=0),"✗ 客户不在总览汇总名单里",IF(AND(P1763="应付",K1763=""),"✗ 这笔要选供应商",IF(AND(P1763="应付",COUNTIF(基础资料!$Q$5:$Q$54,K1763)=0),"✗ 供应商不在基础资料里",IF(AND(P1763="费用",L1763=""),"✗ 费用支出要选费用项目",IF(AND(L1763&lt;&gt;"",COUNTIF(基础资料!$AI$5:$AI$54,L1763)=0),"✗ 费用项目不在基础资料里",IF(AND(IFERROR(INDEX(基础资料!$AD$5:$AD$34,MATCH(O1763,基础资料!$AC$5:$AC$34,0)),"")="收",N(G1763)&lt;&gt;0),"✗ 这类是收款，金额填到收入列",IF(AND(IFERROR(INDEX(基础资料!$AD$5:$AD$34,MATCH(O1763,基础资料!$AC$5:$AC$34,0)),"")="支",N(F1763)&lt;&gt;0),"✗ 这类是付款，金额填到支出列",IF(N(H1763)&lt;0,"⚠ 账户余额成负数了，核对一下","√"))))))))))))))))))</f>
      </c>
      <c r="O1763" s="78">
        <f>IF(D1763&lt;&gt;"",D1763,IF(AND(F1763="",G1763=""),"",IF(J1763&lt;&gt;"",IF(N(F1763)&gt;0,"客户回款","客户退款"),IF(K1763&lt;&gt;"",IF(N(G1763)&gt;0,"供应商付款","供应商退款"),IF(L1763&lt;&gt;"","费用支出","")))))</f>
      </c>
      <c r="P1763" s="78">
        <f>IF(O1763="","",IFERROR(INDEX(基础资料!$AE$5:$AE$34,MATCH(O1763,基础资料!$AC$5:$AC$34,0)),"未知"))</f>
      </c>
      <c r="Q1763" s="78">
        <f>IF(P1763="应收",COUNTIF(P$7:P1763,"应收"),"")</f>
      </c>
      <c r="R1763" s="78">
        <f>IF(P1763="应付",COUNTIF(P$7:P1763,"应付"),"")</f>
      </c>
      <c r="S1763" s="78">
        <f>N(F1763)-N(G1763)</f>
        <v>0</v>
      </c>
    </row>
    <row r="1764">
      <c r="A1764" s="109">
        <f>IF(AND(F1764="",G1764=""),"",ROW()-6)</f>
      </c>
      <c r="B1764" s="140" t="n"/>
      <c r="C1764" s="141" t="n"/>
      <c r="D1764" s="141" t="n"/>
      <c r="E1764" s="142" t="n"/>
      <c r="F1764" s="143" t="n"/>
      <c r="G1764" s="144" t="n"/>
      <c r="H1764" s="145">
        <f>IF(OR(C1764="",AND(F1764="",G1764="")),"",SUMIF(基础资料!$W$5:$W$24,C1764,基础资料!$X$5:$X$24)+SUMIF(C$7:C1764,C1764,F$7:F1764)-SUMIF(C$7:C1764,C1764,G$7:G1764))</f>
      </c>
      <c r="I1764" s="145">
        <f>IF(AND(F1764="",G1764=""),"",SUM(基础资料!$X$5:$X$24)+SUM(F$7:F1764)-SUM(G$7:G1764))</f>
      </c>
      <c r="J1764" s="141" t="n"/>
      <c r="K1764" s="141" t="n"/>
      <c r="L1764" s="141" t="n"/>
      <c r="M1764" s="142" t="n"/>
      <c r="N1764" s="146">
        <f>IF(AND(AND(F1764="",G1764=""),B1764="",C1764="",D1764="",J1764="",K1764="",L1764=""),"",IF(AND(F1764="",G1764=""),"✗ 没填金额",IF(AND(N(F1764)&lt;&gt;0,N(G1764)&lt;&gt;0),"✗ 收入、支出只能填一边",IF(NOT(ISNUMBER(B1764)),"✗ 日期不是真日期（要像 2026/9/25 这样填）",IF(OR(B1764&lt;年初日,B1764&gt;年末日),"✗ 日期不在本会计年度",IF(C1764="","✗ 没选账户",IF(COUNTIF(基础资料!$W$5:$W$24,C1764)=0,"✗ 账户不在基础资料里",IF(O1764="","✗ 没选收支项目",IF(P1764="未知","✗ 收支项目不在基础资料里",IF(AND(P1764="应收",J1764=""),"✗ 这笔要选客户",IF(AND(P1764="应收",COUNTIF(总览汇总!$B$5:$B$304,J1764)=0),"✗ 客户不在总览汇总名单里",IF(AND(P1764="应付",K1764=""),"✗ 这笔要选供应商",IF(AND(P1764="应付",COUNTIF(基础资料!$Q$5:$Q$54,K1764)=0),"✗ 供应商不在基础资料里",IF(AND(P1764="费用",L1764=""),"✗ 费用支出要选费用项目",IF(AND(L1764&lt;&gt;"",COUNTIF(基础资料!$AI$5:$AI$54,L1764)=0),"✗ 费用项目不在基础资料里",IF(AND(IFERROR(INDEX(基础资料!$AD$5:$AD$34,MATCH(O1764,基础资料!$AC$5:$AC$34,0)),"")="收",N(G1764)&lt;&gt;0),"✗ 这类是收款，金额填到收入列",IF(AND(IFERROR(INDEX(基础资料!$AD$5:$AD$34,MATCH(O1764,基础资料!$AC$5:$AC$34,0)),"")="支",N(F1764)&lt;&gt;0),"✗ 这类是付款，金额填到支出列",IF(N(H1764)&lt;0,"⚠ 账户余额成负数了，核对一下","√"))))))))))))))))))</f>
      </c>
      <c r="O1764" s="78">
        <f>IF(D1764&lt;&gt;"",D1764,IF(AND(F1764="",G1764=""),"",IF(J1764&lt;&gt;"",IF(N(F1764)&gt;0,"客户回款","客户退款"),IF(K1764&lt;&gt;"",IF(N(G1764)&gt;0,"供应商付款","供应商退款"),IF(L1764&lt;&gt;"","费用支出","")))))</f>
      </c>
      <c r="P1764" s="78">
        <f>IF(O1764="","",IFERROR(INDEX(基础资料!$AE$5:$AE$34,MATCH(O1764,基础资料!$AC$5:$AC$34,0)),"未知"))</f>
      </c>
      <c r="Q1764" s="78">
        <f>IF(P1764="应收",COUNTIF(P$7:P1764,"应收"),"")</f>
      </c>
      <c r="R1764" s="78">
        <f>IF(P1764="应付",COUNTIF(P$7:P1764,"应付"),"")</f>
      </c>
      <c r="S1764" s="78">
        <f>N(F1764)-N(G1764)</f>
        <v>0</v>
      </c>
    </row>
    <row r="1765">
      <c r="A1765" s="109">
        <f>IF(AND(F1765="",G1765=""),"",ROW()-6)</f>
      </c>
      <c r="B1765" s="140" t="n"/>
      <c r="C1765" s="141" t="n"/>
      <c r="D1765" s="141" t="n"/>
      <c r="E1765" s="142" t="n"/>
      <c r="F1765" s="143" t="n"/>
      <c r="G1765" s="144" t="n"/>
      <c r="H1765" s="145">
        <f>IF(OR(C1765="",AND(F1765="",G1765="")),"",SUMIF(基础资料!$W$5:$W$24,C1765,基础资料!$X$5:$X$24)+SUMIF(C$7:C1765,C1765,F$7:F1765)-SUMIF(C$7:C1765,C1765,G$7:G1765))</f>
      </c>
      <c r="I1765" s="145">
        <f>IF(AND(F1765="",G1765=""),"",SUM(基础资料!$X$5:$X$24)+SUM(F$7:F1765)-SUM(G$7:G1765))</f>
      </c>
      <c r="J1765" s="141" t="n"/>
      <c r="K1765" s="141" t="n"/>
      <c r="L1765" s="141" t="n"/>
      <c r="M1765" s="142" t="n"/>
      <c r="N1765" s="146">
        <f>IF(AND(AND(F1765="",G1765=""),B1765="",C1765="",D1765="",J1765="",K1765="",L1765=""),"",IF(AND(F1765="",G1765=""),"✗ 没填金额",IF(AND(N(F1765)&lt;&gt;0,N(G1765)&lt;&gt;0),"✗ 收入、支出只能填一边",IF(NOT(ISNUMBER(B1765)),"✗ 日期不是真日期（要像 2026/9/25 这样填）",IF(OR(B1765&lt;年初日,B1765&gt;年末日),"✗ 日期不在本会计年度",IF(C1765="","✗ 没选账户",IF(COUNTIF(基础资料!$W$5:$W$24,C1765)=0,"✗ 账户不在基础资料里",IF(O1765="","✗ 没选收支项目",IF(P1765="未知","✗ 收支项目不在基础资料里",IF(AND(P1765="应收",J1765=""),"✗ 这笔要选客户",IF(AND(P1765="应收",COUNTIF(总览汇总!$B$5:$B$304,J1765)=0),"✗ 客户不在总览汇总名单里",IF(AND(P1765="应付",K1765=""),"✗ 这笔要选供应商",IF(AND(P1765="应付",COUNTIF(基础资料!$Q$5:$Q$54,K1765)=0),"✗ 供应商不在基础资料里",IF(AND(P1765="费用",L1765=""),"✗ 费用支出要选费用项目",IF(AND(L1765&lt;&gt;"",COUNTIF(基础资料!$AI$5:$AI$54,L1765)=0),"✗ 费用项目不在基础资料里",IF(AND(IFERROR(INDEX(基础资料!$AD$5:$AD$34,MATCH(O1765,基础资料!$AC$5:$AC$34,0)),"")="收",N(G1765)&lt;&gt;0),"✗ 这类是收款，金额填到收入列",IF(AND(IFERROR(INDEX(基础资料!$AD$5:$AD$34,MATCH(O1765,基础资料!$AC$5:$AC$34,0)),"")="支",N(F1765)&lt;&gt;0),"✗ 这类是付款，金额填到支出列",IF(N(H1765)&lt;0,"⚠ 账户余额成负数了，核对一下","√"))))))))))))))))))</f>
      </c>
      <c r="O1765" s="78">
        <f>IF(D1765&lt;&gt;"",D1765,IF(AND(F1765="",G1765=""),"",IF(J1765&lt;&gt;"",IF(N(F1765)&gt;0,"客户回款","客户退款"),IF(K1765&lt;&gt;"",IF(N(G1765)&gt;0,"供应商付款","供应商退款"),IF(L1765&lt;&gt;"","费用支出","")))))</f>
      </c>
      <c r="P1765" s="78">
        <f>IF(O1765="","",IFERROR(INDEX(基础资料!$AE$5:$AE$34,MATCH(O1765,基础资料!$AC$5:$AC$34,0)),"未知"))</f>
      </c>
      <c r="Q1765" s="78">
        <f>IF(P1765="应收",COUNTIF(P$7:P1765,"应收"),"")</f>
      </c>
      <c r="R1765" s="78">
        <f>IF(P1765="应付",COUNTIF(P$7:P1765,"应付"),"")</f>
      </c>
      <c r="S1765" s="78">
        <f>N(F1765)-N(G1765)</f>
        <v>0</v>
      </c>
    </row>
    <row r="1766">
      <c r="A1766" s="109">
        <f>IF(AND(F1766="",G1766=""),"",ROW()-6)</f>
      </c>
      <c r="B1766" s="140" t="n"/>
      <c r="C1766" s="141" t="n"/>
      <c r="D1766" s="141" t="n"/>
      <c r="E1766" s="142" t="n"/>
      <c r="F1766" s="143" t="n"/>
      <c r="G1766" s="144" t="n"/>
      <c r="H1766" s="145">
        <f>IF(OR(C1766="",AND(F1766="",G1766="")),"",SUMIF(基础资料!$W$5:$W$24,C1766,基础资料!$X$5:$X$24)+SUMIF(C$7:C1766,C1766,F$7:F1766)-SUMIF(C$7:C1766,C1766,G$7:G1766))</f>
      </c>
      <c r="I1766" s="145">
        <f>IF(AND(F1766="",G1766=""),"",SUM(基础资料!$X$5:$X$24)+SUM(F$7:F1766)-SUM(G$7:G1766))</f>
      </c>
      <c r="J1766" s="141" t="n"/>
      <c r="K1766" s="141" t="n"/>
      <c r="L1766" s="141" t="n"/>
      <c r="M1766" s="142" t="n"/>
      <c r="N1766" s="146">
        <f>IF(AND(AND(F1766="",G1766=""),B1766="",C1766="",D1766="",J1766="",K1766="",L1766=""),"",IF(AND(F1766="",G1766=""),"✗ 没填金额",IF(AND(N(F1766)&lt;&gt;0,N(G1766)&lt;&gt;0),"✗ 收入、支出只能填一边",IF(NOT(ISNUMBER(B1766)),"✗ 日期不是真日期（要像 2026/9/25 这样填）",IF(OR(B1766&lt;年初日,B1766&gt;年末日),"✗ 日期不在本会计年度",IF(C1766="","✗ 没选账户",IF(COUNTIF(基础资料!$W$5:$W$24,C1766)=0,"✗ 账户不在基础资料里",IF(O1766="","✗ 没选收支项目",IF(P1766="未知","✗ 收支项目不在基础资料里",IF(AND(P1766="应收",J1766=""),"✗ 这笔要选客户",IF(AND(P1766="应收",COUNTIF(总览汇总!$B$5:$B$304,J1766)=0),"✗ 客户不在总览汇总名单里",IF(AND(P1766="应付",K1766=""),"✗ 这笔要选供应商",IF(AND(P1766="应付",COUNTIF(基础资料!$Q$5:$Q$54,K1766)=0),"✗ 供应商不在基础资料里",IF(AND(P1766="费用",L1766=""),"✗ 费用支出要选费用项目",IF(AND(L1766&lt;&gt;"",COUNTIF(基础资料!$AI$5:$AI$54,L1766)=0),"✗ 费用项目不在基础资料里",IF(AND(IFERROR(INDEX(基础资料!$AD$5:$AD$34,MATCH(O1766,基础资料!$AC$5:$AC$34,0)),"")="收",N(G1766)&lt;&gt;0),"✗ 这类是收款，金额填到收入列",IF(AND(IFERROR(INDEX(基础资料!$AD$5:$AD$34,MATCH(O1766,基础资料!$AC$5:$AC$34,0)),"")="支",N(F1766)&lt;&gt;0),"✗ 这类是付款，金额填到支出列",IF(N(H1766)&lt;0,"⚠ 账户余额成负数了，核对一下","√"))))))))))))))))))</f>
      </c>
      <c r="O1766" s="78">
        <f>IF(D1766&lt;&gt;"",D1766,IF(AND(F1766="",G1766=""),"",IF(J1766&lt;&gt;"",IF(N(F1766)&gt;0,"客户回款","客户退款"),IF(K1766&lt;&gt;"",IF(N(G1766)&gt;0,"供应商付款","供应商退款"),IF(L1766&lt;&gt;"","费用支出","")))))</f>
      </c>
      <c r="P1766" s="78">
        <f>IF(O1766="","",IFERROR(INDEX(基础资料!$AE$5:$AE$34,MATCH(O1766,基础资料!$AC$5:$AC$34,0)),"未知"))</f>
      </c>
      <c r="Q1766" s="78">
        <f>IF(P1766="应收",COUNTIF(P$7:P1766,"应收"),"")</f>
      </c>
      <c r="R1766" s="78">
        <f>IF(P1766="应付",COUNTIF(P$7:P1766,"应付"),"")</f>
      </c>
      <c r="S1766" s="78">
        <f>N(F1766)-N(G1766)</f>
        <v>0</v>
      </c>
    </row>
    <row r="1767">
      <c r="A1767" s="109">
        <f>IF(AND(F1767="",G1767=""),"",ROW()-6)</f>
      </c>
      <c r="B1767" s="140" t="n"/>
      <c r="C1767" s="141" t="n"/>
      <c r="D1767" s="141" t="n"/>
      <c r="E1767" s="142" t="n"/>
      <c r="F1767" s="143" t="n"/>
      <c r="G1767" s="144" t="n"/>
      <c r="H1767" s="145">
        <f>IF(OR(C1767="",AND(F1767="",G1767="")),"",SUMIF(基础资料!$W$5:$W$24,C1767,基础资料!$X$5:$X$24)+SUMIF(C$7:C1767,C1767,F$7:F1767)-SUMIF(C$7:C1767,C1767,G$7:G1767))</f>
      </c>
      <c r="I1767" s="145">
        <f>IF(AND(F1767="",G1767=""),"",SUM(基础资料!$X$5:$X$24)+SUM(F$7:F1767)-SUM(G$7:G1767))</f>
      </c>
      <c r="J1767" s="141" t="n"/>
      <c r="K1767" s="141" t="n"/>
      <c r="L1767" s="141" t="n"/>
      <c r="M1767" s="142" t="n"/>
      <c r="N1767" s="146">
        <f>IF(AND(AND(F1767="",G1767=""),B1767="",C1767="",D1767="",J1767="",K1767="",L1767=""),"",IF(AND(F1767="",G1767=""),"✗ 没填金额",IF(AND(N(F1767)&lt;&gt;0,N(G1767)&lt;&gt;0),"✗ 收入、支出只能填一边",IF(NOT(ISNUMBER(B1767)),"✗ 日期不是真日期（要像 2026/9/25 这样填）",IF(OR(B1767&lt;年初日,B1767&gt;年末日),"✗ 日期不在本会计年度",IF(C1767="","✗ 没选账户",IF(COUNTIF(基础资料!$W$5:$W$24,C1767)=0,"✗ 账户不在基础资料里",IF(O1767="","✗ 没选收支项目",IF(P1767="未知","✗ 收支项目不在基础资料里",IF(AND(P1767="应收",J1767=""),"✗ 这笔要选客户",IF(AND(P1767="应收",COUNTIF(总览汇总!$B$5:$B$304,J1767)=0),"✗ 客户不在总览汇总名单里",IF(AND(P1767="应付",K1767=""),"✗ 这笔要选供应商",IF(AND(P1767="应付",COUNTIF(基础资料!$Q$5:$Q$54,K1767)=0),"✗ 供应商不在基础资料里",IF(AND(P1767="费用",L1767=""),"✗ 费用支出要选费用项目",IF(AND(L1767&lt;&gt;"",COUNTIF(基础资料!$AI$5:$AI$54,L1767)=0),"✗ 费用项目不在基础资料里",IF(AND(IFERROR(INDEX(基础资料!$AD$5:$AD$34,MATCH(O1767,基础资料!$AC$5:$AC$34,0)),"")="收",N(G1767)&lt;&gt;0),"✗ 这类是收款，金额填到收入列",IF(AND(IFERROR(INDEX(基础资料!$AD$5:$AD$34,MATCH(O1767,基础资料!$AC$5:$AC$34,0)),"")="支",N(F1767)&lt;&gt;0),"✗ 这类是付款，金额填到支出列",IF(N(H1767)&lt;0,"⚠ 账户余额成负数了，核对一下","√"))))))))))))))))))</f>
      </c>
      <c r="O1767" s="78">
        <f>IF(D1767&lt;&gt;"",D1767,IF(AND(F1767="",G1767=""),"",IF(J1767&lt;&gt;"",IF(N(F1767)&gt;0,"客户回款","客户退款"),IF(K1767&lt;&gt;"",IF(N(G1767)&gt;0,"供应商付款","供应商退款"),IF(L1767&lt;&gt;"","费用支出","")))))</f>
      </c>
      <c r="P1767" s="78">
        <f>IF(O1767="","",IFERROR(INDEX(基础资料!$AE$5:$AE$34,MATCH(O1767,基础资料!$AC$5:$AC$34,0)),"未知"))</f>
      </c>
      <c r="Q1767" s="78">
        <f>IF(P1767="应收",COUNTIF(P$7:P1767,"应收"),"")</f>
      </c>
      <c r="R1767" s="78">
        <f>IF(P1767="应付",COUNTIF(P$7:P1767,"应付"),"")</f>
      </c>
      <c r="S1767" s="78">
        <f>N(F1767)-N(G1767)</f>
        <v>0</v>
      </c>
    </row>
    <row r="1768">
      <c r="A1768" s="109">
        <f>IF(AND(F1768="",G1768=""),"",ROW()-6)</f>
      </c>
      <c r="B1768" s="140" t="n"/>
      <c r="C1768" s="141" t="n"/>
      <c r="D1768" s="141" t="n"/>
      <c r="E1768" s="142" t="n"/>
      <c r="F1768" s="143" t="n"/>
      <c r="G1768" s="144" t="n"/>
      <c r="H1768" s="145">
        <f>IF(OR(C1768="",AND(F1768="",G1768="")),"",SUMIF(基础资料!$W$5:$W$24,C1768,基础资料!$X$5:$X$24)+SUMIF(C$7:C1768,C1768,F$7:F1768)-SUMIF(C$7:C1768,C1768,G$7:G1768))</f>
      </c>
      <c r="I1768" s="145">
        <f>IF(AND(F1768="",G1768=""),"",SUM(基础资料!$X$5:$X$24)+SUM(F$7:F1768)-SUM(G$7:G1768))</f>
      </c>
      <c r="J1768" s="141" t="n"/>
      <c r="K1768" s="141" t="n"/>
      <c r="L1768" s="141" t="n"/>
      <c r="M1768" s="142" t="n"/>
      <c r="N1768" s="146">
        <f>IF(AND(AND(F1768="",G1768=""),B1768="",C1768="",D1768="",J1768="",K1768="",L1768=""),"",IF(AND(F1768="",G1768=""),"✗ 没填金额",IF(AND(N(F1768)&lt;&gt;0,N(G1768)&lt;&gt;0),"✗ 收入、支出只能填一边",IF(NOT(ISNUMBER(B1768)),"✗ 日期不是真日期（要像 2026/9/25 这样填）",IF(OR(B1768&lt;年初日,B1768&gt;年末日),"✗ 日期不在本会计年度",IF(C1768="","✗ 没选账户",IF(COUNTIF(基础资料!$W$5:$W$24,C1768)=0,"✗ 账户不在基础资料里",IF(O1768="","✗ 没选收支项目",IF(P1768="未知","✗ 收支项目不在基础资料里",IF(AND(P1768="应收",J1768=""),"✗ 这笔要选客户",IF(AND(P1768="应收",COUNTIF(总览汇总!$B$5:$B$304,J1768)=0),"✗ 客户不在总览汇总名单里",IF(AND(P1768="应付",K1768=""),"✗ 这笔要选供应商",IF(AND(P1768="应付",COUNTIF(基础资料!$Q$5:$Q$54,K1768)=0),"✗ 供应商不在基础资料里",IF(AND(P1768="费用",L1768=""),"✗ 费用支出要选费用项目",IF(AND(L1768&lt;&gt;"",COUNTIF(基础资料!$AI$5:$AI$54,L1768)=0),"✗ 费用项目不在基础资料里",IF(AND(IFERROR(INDEX(基础资料!$AD$5:$AD$34,MATCH(O1768,基础资料!$AC$5:$AC$34,0)),"")="收",N(G1768)&lt;&gt;0),"✗ 这类是收款，金额填到收入列",IF(AND(IFERROR(INDEX(基础资料!$AD$5:$AD$34,MATCH(O1768,基础资料!$AC$5:$AC$34,0)),"")="支",N(F1768)&lt;&gt;0),"✗ 这类是付款，金额填到支出列",IF(N(H1768)&lt;0,"⚠ 账户余额成负数了，核对一下","√"))))))))))))))))))</f>
      </c>
      <c r="O1768" s="78">
        <f>IF(D1768&lt;&gt;"",D1768,IF(AND(F1768="",G1768=""),"",IF(J1768&lt;&gt;"",IF(N(F1768)&gt;0,"客户回款","客户退款"),IF(K1768&lt;&gt;"",IF(N(G1768)&gt;0,"供应商付款","供应商退款"),IF(L1768&lt;&gt;"","费用支出","")))))</f>
      </c>
      <c r="P1768" s="78">
        <f>IF(O1768="","",IFERROR(INDEX(基础资料!$AE$5:$AE$34,MATCH(O1768,基础资料!$AC$5:$AC$34,0)),"未知"))</f>
      </c>
      <c r="Q1768" s="78">
        <f>IF(P1768="应收",COUNTIF(P$7:P1768,"应收"),"")</f>
      </c>
      <c r="R1768" s="78">
        <f>IF(P1768="应付",COUNTIF(P$7:P1768,"应付"),"")</f>
      </c>
      <c r="S1768" s="78">
        <f>N(F1768)-N(G1768)</f>
        <v>0</v>
      </c>
    </row>
    <row r="1769">
      <c r="A1769" s="109">
        <f>IF(AND(F1769="",G1769=""),"",ROW()-6)</f>
      </c>
      <c r="B1769" s="140" t="n"/>
      <c r="C1769" s="141" t="n"/>
      <c r="D1769" s="141" t="n"/>
      <c r="E1769" s="142" t="n"/>
      <c r="F1769" s="143" t="n"/>
      <c r="G1769" s="144" t="n"/>
      <c r="H1769" s="145">
        <f>IF(OR(C1769="",AND(F1769="",G1769="")),"",SUMIF(基础资料!$W$5:$W$24,C1769,基础资料!$X$5:$X$24)+SUMIF(C$7:C1769,C1769,F$7:F1769)-SUMIF(C$7:C1769,C1769,G$7:G1769))</f>
      </c>
      <c r="I1769" s="145">
        <f>IF(AND(F1769="",G1769=""),"",SUM(基础资料!$X$5:$X$24)+SUM(F$7:F1769)-SUM(G$7:G1769))</f>
      </c>
      <c r="J1769" s="141" t="n"/>
      <c r="K1769" s="141" t="n"/>
      <c r="L1769" s="141" t="n"/>
      <c r="M1769" s="142" t="n"/>
      <c r="N1769" s="146">
        <f>IF(AND(AND(F1769="",G1769=""),B1769="",C1769="",D1769="",J1769="",K1769="",L1769=""),"",IF(AND(F1769="",G1769=""),"✗ 没填金额",IF(AND(N(F1769)&lt;&gt;0,N(G1769)&lt;&gt;0),"✗ 收入、支出只能填一边",IF(NOT(ISNUMBER(B1769)),"✗ 日期不是真日期（要像 2026/9/25 这样填）",IF(OR(B1769&lt;年初日,B1769&gt;年末日),"✗ 日期不在本会计年度",IF(C1769="","✗ 没选账户",IF(COUNTIF(基础资料!$W$5:$W$24,C1769)=0,"✗ 账户不在基础资料里",IF(O1769="","✗ 没选收支项目",IF(P1769="未知","✗ 收支项目不在基础资料里",IF(AND(P1769="应收",J1769=""),"✗ 这笔要选客户",IF(AND(P1769="应收",COUNTIF(总览汇总!$B$5:$B$304,J1769)=0),"✗ 客户不在总览汇总名单里",IF(AND(P1769="应付",K1769=""),"✗ 这笔要选供应商",IF(AND(P1769="应付",COUNTIF(基础资料!$Q$5:$Q$54,K1769)=0),"✗ 供应商不在基础资料里",IF(AND(P1769="费用",L1769=""),"✗ 费用支出要选费用项目",IF(AND(L1769&lt;&gt;"",COUNTIF(基础资料!$AI$5:$AI$54,L1769)=0),"✗ 费用项目不在基础资料里",IF(AND(IFERROR(INDEX(基础资料!$AD$5:$AD$34,MATCH(O1769,基础资料!$AC$5:$AC$34,0)),"")="收",N(G1769)&lt;&gt;0),"✗ 这类是收款，金额填到收入列",IF(AND(IFERROR(INDEX(基础资料!$AD$5:$AD$34,MATCH(O1769,基础资料!$AC$5:$AC$34,0)),"")="支",N(F1769)&lt;&gt;0),"✗ 这类是付款，金额填到支出列",IF(N(H1769)&lt;0,"⚠ 账户余额成负数了，核对一下","√"))))))))))))))))))</f>
      </c>
      <c r="O1769" s="78">
        <f>IF(D1769&lt;&gt;"",D1769,IF(AND(F1769="",G1769=""),"",IF(J1769&lt;&gt;"",IF(N(F1769)&gt;0,"客户回款","客户退款"),IF(K1769&lt;&gt;"",IF(N(G1769)&gt;0,"供应商付款","供应商退款"),IF(L1769&lt;&gt;"","费用支出","")))))</f>
      </c>
      <c r="P1769" s="78">
        <f>IF(O1769="","",IFERROR(INDEX(基础资料!$AE$5:$AE$34,MATCH(O1769,基础资料!$AC$5:$AC$34,0)),"未知"))</f>
      </c>
      <c r="Q1769" s="78">
        <f>IF(P1769="应收",COUNTIF(P$7:P1769,"应收"),"")</f>
      </c>
      <c r="R1769" s="78">
        <f>IF(P1769="应付",COUNTIF(P$7:P1769,"应付"),"")</f>
      </c>
      <c r="S1769" s="78">
        <f>N(F1769)-N(G1769)</f>
        <v>0</v>
      </c>
    </row>
    <row r="1770">
      <c r="A1770" s="109">
        <f>IF(AND(F1770="",G1770=""),"",ROW()-6)</f>
      </c>
      <c r="B1770" s="140" t="n"/>
      <c r="C1770" s="141" t="n"/>
      <c r="D1770" s="141" t="n"/>
      <c r="E1770" s="142" t="n"/>
      <c r="F1770" s="143" t="n"/>
      <c r="G1770" s="144" t="n"/>
      <c r="H1770" s="145">
        <f>IF(OR(C1770="",AND(F1770="",G1770="")),"",SUMIF(基础资料!$W$5:$W$24,C1770,基础资料!$X$5:$X$24)+SUMIF(C$7:C1770,C1770,F$7:F1770)-SUMIF(C$7:C1770,C1770,G$7:G1770))</f>
      </c>
      <c r="I1770" s="145">
        <f>IF(AND(F1770="",G1770=""),"",SUM(基础资料!$X$5:$X$24)+SUM(F$7:F1770)-SUM(G$7:G1770))</f>
      </c>
      <c r="J1770" s="141" t="n"/>
      <c r="K1770" s="141" t="n"/>
      <c r="L1770" s="141" t="n"/>
      <c r="M1770" s="142" t="n"/>
      <c r="N1770" s="146">
        <f>IF(AND(AND(F1770="",G1770=""),B1770="",C1770="",D1770="",J1770="",K1770="",L1770=""),"",IF(AND(F1770="",G1770=""),"✗ 没填金额",IF(AND(N(F1770)&lt;&gt;0,N(G1770)&lt;&gt;0),"✗ 收入、支出只能填一边",IF(NOT(ISNUMBER(B1770)),"✗ 日期不是真日期（要像 2026/9/25 这样填）",IF(OR(B1770&lt;年初日,B1770&gt;年末日),"✗ 日期不在本会计年度",IF(C1770="","✗ 没选账户",IF(COUNTIF(基础资料!$W$5:$W$24,C1770)=0,"✗ 账户不在基础资料里",IF(O1770="","✗ 没选收支项目",IF(P1770="未知","✗ 收支项目不在基础资料里",IF(AND(P1770="应收",J1770=""),"✗ 这笔要选客户",IF(AND(P1770="应收",COUNTIF(总览汇总!$B$5:$B$304,J1770)=0),"✗ 客户不在总览汇总名单里",IF(AND(P1770="应付",K1770=""),"✗ 这笔要选供应商",IF(AND(P1770="应付",COUNTIF(基础资料!$Q$5:$Q$54,K1770)=0),"✗ 供应商不在基础资料里",IF(AND(P1770="费用",L1770=""),"✗ 费用支出要选费用项目",IF(AND(L1770&lt;&gt;"",COUNTIF(基础资料!$AI$5:$AI$54,L1770)=0),"✗ 费用项目不在基础资料里",IF(AND(IFERROR(INDEX(基础资料!$AD$5:$AD$34,MATCH(O1770,基础资料!$AC$5:$AC$34,0)),"")="收",N(G1770)&lt;&gt;0),"✗ 这类是收款，金额填到收入列",IF(AND(IFERROR(INDEX(基础资料!$AD$5:$AD$34,MATCH(O1770,基础资料!$AC$5:$AC$34,0)),"")="支",N(F1770)&lt;&gt;0),"✗ 这类是付款，金额填到支出列",IF(N(H1770)&lt;0,"⚠ 账户余额成负数了，核对一下","√"))))))))))))))))))</f>
      </c>
      <c r="O1770" s="78">
        <f>IF(D1770&lt;&gt;"",D1770,IF(AND(F1770="",G1770=""),"",IF(J1770&lt;&gt;"",IF(N(F1770)&gt;0,"客户回款","客户退款"),IF(K1770&lt;&gt;"",IF(N(G1770)&gt;0,"供应商付款","供应商退款"),IF(L1770&lt;&gt;"","费用支出","")))))</f>
      </c>
      <c r="P1770" s="78">
        <f>IF(O1770="","",IFERROR(INDEX(基础资料!$AE$5:$AE$34,MATCH(O1770,基础资料!$AC$5:$AC$34,0)),"未知"))</f>
      </c>
      <c r="Q1770" s="78">
        <f>IF(P1770="应收",COUNTIF(P$7:P1770,"应收"),"")</f>
      </c>
      <c r="R1770" s="78">
        <f>IF(P1770="应付",COUNTIF(P$7:P1770,"应付"),"")</f>
      </c>
      <c r="S1770" s="78">
        <f>N(F1770)-N(G1770)</f>
        <v>0</v>
      </c>
    </row>
    <row r="1771">
      <c r="A1771" s="109">
        <f>IF(AND(F1771="",G1771=""),"",ROW()-6)</f>
      </c>
      <c r="B1771" s="140" t="n"/>
      <c r="C1771" s="141" t="n"/>
      <c r="D1771" s="141" t="n"/>
      <c r="E1771" s="142" t="n"/>
      <c r="F1771" s="143" t="n"/>
      <c r="G1771" s="144" t="n"/>
      <c r="H1771" s="145">
        <f>IF(OR(C1771="",AND(F1771="",G1771="")),"",SUMIF(基础资料!$W$5:$W$24,C1771,基础资料!$X$5:$X$24)+SUMIF(C$7:C1771,C1771,F$7:F1771)-SUMIF(C$7:C1771,C1771,G$7:G1771))</f>
      </c>
      <c r="I1771" s="145">
        <f>IF(AND(F1771="",G1771=""),"",SUM(基础资料!$X$5:$X$24)+SUM(F$7:F1771)-SUM(G$7:G1771))</f>
      </c>
      <c r="J1771" s="141" t="n"/>
      <c r="K1771" s="141" t="n"/>
      <c r="L1771" s="141" t="n"/>
      <c r="M1771" s="142" t="n"/>
      <c r="N1771" s="146">
        <f>IF(AND(AND(F1771="",G1771=""),B1771="",C1771="",D1771="",J1771="",K1771="",L1771=""),"",IF(AND(F1771="",G1771=""),"✗ 没填金额",IF(AND(N(F1771)&lt;&gt;0,N(G1771)&lt;&gt;0),"✗ 收入、支出只能填一边",IF(NOT(ISNUMBER(B1771)),"✗ 日期不是真日期（要像 2026/9/25 这样填）",IF(OR(B1771&lt;年初日,B1771&gt;年末日),"✗ 日期不在本会计年度",IF(C1771="","✗ 没选账户",IF(COUNTIF(基础资料!$W$5:$W$24,C1771)=0,"✗ 账户不在基础资料里",IF(O1771="","✗ 没选收支项目",IF(P1771="未知","✗ 收支项目不在基础资料里",IF(AND(P1771="应收",J1771=""),"✗ 这笔要选客户",IF(AND(P1771="应收",COUNTIF(总览汇总!$B$5:$B$304,J1771)=0),"✗ 客户不在总览汇总名单里",IF(AND(P1771="应付",K1771=""),"✗ 这笔要选供应商",IF(AND(P1771="应付",COUNTIF(基础资料!$Q$5:$Q$54,K1771)=0),"✗ 供应商不在基础资料里",IF(AND(P1771="费用",L1771=""),"✗ 费用支出要选费用项目",IF(AND(L1771&lt;&gt;"",COUNTIF(基础资料!$AI$5:$AI$54,L1771)=0),"✗ 费用项目不在基础资料里",IF(AND(IFERROR(INDEX(基础资料!$AD$5:$AD$34,MATCH(O1771,基础资料!$AC$5:$AC$34,0)),"")="收",N(G1771)&lt;&gt;0),"✗ 这类是收款，金额填到收入列",IF(AND(IFERROR(INDEX(基础资料!$AD$5:$AD$34,MATCH(O1771,基础资料!$AC$5:$AC$34,0)),"")="支",N(F1771)&lt;&gt;0),"✗ 这类是付款，金额填到支出列",IF(N(H1771)&lt;0,"⚠ 账户余额成负数了，核对一下","√"))))))))))))))))))</f>
      </c>
      <c r="O1771" s="78">
        <f>IF(D1771&lt;&gt;"",D1771,IF(AND(F1771="",G1771=""),"",IF(J1771&lt;&gt;"",IF(N(F1771)&gt;0,"客户回款","客户退款"),IF(K1771&lt;&gt;"",IF(N(G1771)&gt;0,"供应商付款","供应商退款"),IF(L1771&lt;&gt;"","费用支出","")))))</f>
      </c>
      <c r="P1771" s="78">
        <f>IF(O1771="","",IFERROR(INDEX(基础资料!$AE$5:$AE$34,MATCH(O1771,基础资料!$AC$5:$AC$34,0)),"未知"))</f>
      </c>
      <c r="Q1771" s="78">
        <f>IF(P1771="应收",COUNTIF(P$7:P1771,"应收"),"")</f>
      </c>
      <c r="R1771" s="78">
        <f>IF(P1771="应付",COUNTIF(P$7:P1771,"应付"),"")</f>
      </c>
      <c r="S1771" s="78">
        <f>N(F1771)-N(G1771)</f>
        <v>0</v>
      </c>
    </row>
    <row r="1772">
      <c r="A1772" s="109">
        <f>IF(AND(F1772="",G1772=""),"",ROW()-6)</f>
      </c>
      <c r="B1772" s="140" t="n"/>
      <c r="C1772" s="141" t="n"/>
      <c r="D1772" s="141" t="n"/>
      <c r="E1772" s="142" t="n"/>
      <c r="F1772" s="143" t="n"/>
      <c r="G1772" s="144" t="n"/>
      <c r="H1772" s="145">
        <f>IF(OR(C1772="",AND(F1772="",G1772="")),"",SUMIF(基础资料!$W$5:$W$24,C1772,基础资料!$X$5:$X$24)+SUMIF(C$7:C1772,C1772,F$7:F1772)-SUMIF(C$7:C1772,C1772,G$7:G1772))</f>
      </c>
      <c r="I1772" s="145">
        <f>IF(AND(F1772="",G1772=""),"",SUM(基础资料!$X$5:$X$24)+SUM(F$7:F1772)-SUM(G$7:G1772))</f>
      </c>
      <c r="J1772" s="141" t="n"/>
      <c r="K1772" s="141" t="n"/>
      <c r="L1772" s="141" t="n"/>
      <c r="M1772" s="142" t="n"/>
      <c r="N1772" s="146">
        <f>IF(AND(AND(F1772="",G1772=""),B1772="",C1772="",D1772="",J1772="",K1772="",L1772=""),"",IF(AND(F1772="",G1772=""),"✗ 没填金额",IF(AND(N(F1772)&lt;&gt;0,N(G1772)&lt;&gt;0),"✗ 收入、支出只能填一边",IF(NOT(ISNUMBER(B1772)),"✗ 日期不是真日期（要像 2026/9/25 这样填）",IF(OR(B1772&lt;年初日,B1772&gt;年末日),"✗ 日期不在本会计年度",IF(C1772="","✗ 没选账户",IF(COUNTIF(基础资料!$W$5:$W$24,C1772)=0,"✗ 账户不在基础资料里",IF(O1772="","✗ 没选收支项目",IF(P1772="未知","✗ 收支项目不在基础资料里",IF(AND(P1772="应收",J1772=""),"✗ 这笔要选客户",IF(AND(P1772="应收",COUNTIF(总览汇总!$B$5:$B$304,J1772)=0),"✗ 客户不在总览汇总名单里",IF(AND(P1772="应付",K1772=""),"✗ 这笔要选供应商",IF(AND(P1772="应付",COUNTIF(基础资料!$Q$5:$Q$54,K1772)=0),"✗ 供应商不在基础资料里",IF(AND(P1772="费用",L1772=""),"✗ 费用支出要选费用项目",IF(AND(L1772&lt;&gt;"",COUNTIF(基础资料!$AI$5:$AI$54,L1772)=0),"✗ 费用项目不在基础资料里",IF(AND(IFERROR(INDEX(基础资料!$AD$5:$AD$34,MATCH(O1772,基础资料!$AC$5:$AC$34,0)),"")="收",N(G1772)&lt;&gt;0),"✗ 这类是收款，金额填到收入列",IF(AND(IFERROR(INDEX(基础资料!$AD$5:$AD$34,MATCH(O1772,基础资料!$AC$5:$AC$34,0)),"")="支",N(F1772)&lt;&gt;0),"✗ 这类是付款，金额填到支出列",IF(N(H1772)&lt;0,"⚠ 账户余额成负数了，核对一下","√"))))))))))))))))))</f>
      </c>
      <c r="O1772" s="78">
        <f>IF(D1772&lt;&gt;"",D1772,IF(AND(F1772="",G1772=""),"",IF(J1772&lt;&gt;"",IF(N(F1772)&gt;0,"客户回款","客户退款"),IF(K1772&lt;&gt;"",IF(N(G1772)&gt;0,"供应商付款","供应商退款"),IF(L1772&lt;&gt;"","费用支出","")))))</f>
      </c>
      <c r="P1772" s="78">
        <f>IF(O1772="","",IFERROR(INDEX(基础资料!$AE$5:$AE$34,MATCH(O1772,基础资料!$AC$5:$AC$34,0)),"未知"))</f>
      </c>
      <c r="Q1772" s="78">
        <f>IF(P1772="应收",COUNTIF(P$7:P1772,"应收"),"")</f>
      </c>
      <c r="R1772" s="78">
        <f>IF(P1772="应付",COUNTIF(P$7:P1772,"应付"),"")</f>
      </c>
      <c r="S1772" s="78">
        <f>N(F1772)-N(G1772)</f>
        <v>0</v>
      </c>
    </row>
    <row r="1773">
      <c r="A1773" s="109">
        <f>IF(AND(F1773="",G1773=""),"",ROW()-6)</f>
      </c>
      <c r="B1773" s="140" t="n"/>
      <c r="C1773" s="141" t="n"/>
      <c r="D1773" s="141" t="n"/>
      <c r="E1773" s="142" t="n"/>
      <c r="F1773" s="143" t="n"/>
      <c r="G1773" s="144" t="n"/>
      <c r="H1773" s="145">
        <f>IF(OR(C1773="",AND(F1773="",G1773="")),"",SUMIF(基础资料!$W$5:$W$24,C1773,基础资料!$X$5:$X$24)+SUMIF(C$7:C1773,C1773,F$7:F1773)-SUMIF(C$7:C1773,C1773,G$7:G1773))</f>
      </c>
      <c r="I1773" s="145">
        <f>IF(AND(F1773="",G1773=""),"",SUM(基础资料!$X$5:$X$24)+SUM(F$7:F1773)-SUM(G$7:G1773))</f>
      </c>
      <c r="J1773" s="141" t="n"/>
      <c r="K1773" s="141" t="n"/>
      <c r="L1773" s="141" t="n"/>
      <c r="M1773" s="142" t="n"/>
      <c r="N1773" s="146">
        <f>IF(AND(AND(F1773="",G1773=""),B1773="",C1773="",D1773="",J1773="",K1773="",L1773=""),"",IF(AND(F1773="",G1773=""),"✗ 没填金额",IF(AND(N(F1773)&lt;&gt;0,N(G1773)&lt;&gt;0),"✗ 收入、支出只能填一边",IF(NOT(ISNUMBER(B1773)),"✗ 日期不是真日期（要像 2026/9/25 这样填）",IF(OR(B1773&lt;年初日,B1773&gt;年末日),"✗ 日期不在本会计年度",IF(C1773="","✗ 没选账户",IF(COUNTIF(基础资料!$W$5:$W$24,C1773)=0,"✗ 账户不在基础资料里",IF(O1773="","✗ 没选收支项目",IF(P1773="未知","✗ 收支项目不在基础资料里",IF(AND(P1773="应收",J1773=""),"✗ 这笔要选客户",IF(AND(P1773="应收",COUNTIF(总览汇总!$B$5:$B$304,J1773)=0),"✗ 客户不在总览汇总名单里",IF(AND(P1773="应付",K1773=""),"✗ 这笔要选供应商",IF(AND(P1773="应付",COUNTIF(基础资料!$Q$5:$Q$54,K1773)=0),"✗ 供应商不在基础资料里",IF(AND(P1773="费用",L1773=""),"✗ 费用支出要选费用项目",IF(AND(L1773&lt;&gt;"",COUNTIF(基础资料!$AI$5:$AI$54,L1773)=0),"✗ 费用项目不在基础资料里",IF(AND(IFERROR(INDEX(基础资料!$AD$5:$AD$34,MATCH(O1773,基础资料!$AC$5:$AC$34,0)),"")="收",N(G1773)&lt;&gt;0),"✗ 这类是收款，金额填到收入列",IF(AND(IFERROR(INDEX(基础资料!$AD$5:$AD$34,MATCH(O1773,基础资料!$AC$5:$AC$34,0)),"")="支",N(F1773)&lt;&gt;0),"✗ 这类是付款，金额填到支出列",IF(N(H1773)&lt;0,"⚠ 账户余额成负数了，核对一下","√"))))))))))))))))))</f>
      </c>
      <c r="O1773" s="78">
        <f>IF(D1773&lt;&gt;"",D1773,IF(AND(F1773="",G1773=""),"",IF(J1773&lt;&gt;"",IF(N(F1773)&gt;0,"客户回款","客户退款"),IF(K1773&lt;&gt;"",IF(N(G1773)&gt;0,"供应商付款","供应商退款"),IF(L1773&lt;&gt;"","费用支出","")))))</f>
      </c>
      <c r="P1773" s="78">
        <f>IF(O1773="","",IFERROR(INDEX(基础资料!$AE$5:$AE$34,MATCH(O1773,基础资料!$AC$5:$AC$34,0)),"未知"))</f>
      </c>
      <c r="Q1773" s="78">
        <f>IF(P1773="应收",COUNTIF(P$7:P1773,"应收"),"")</f>
      </c>
      <c r="R1773" s="78">
        <f>IF(P1773="应付",COUNTIF(P$7:P1773,"应付"),"")</f>
      </c>
      <c r="S1773" s="78">
        <f>N(F1773)-N(G1773)</f>
        <v>0</v>
      </c>
    </row>
    <row r="1774">
      <c r="A1774" s="109">
        <f>IF(AND(F1774="",G1774=""),"",ROW()-6)</f>
      </c>
      <c r="B1774" s="140" t="n"/>
      <c r="C1774" s="141" t="n"/>
      <c r="D1774" s="141" t="n"/>
      <c r="E1774" s="142" t="n"/>
      <c r="F1774" s="143" t="n"/>
      <c r="G1774" s="144" t="n"/>
      <c r="H1774" s="145">
        <f>IF(OR(C1774="",AND(F1774="",G1774="")),"",SUMIF(基础资料!$W$5:$W$24,C1774,基础资料!$X$5:$X$24)+SUMIF(C$7:C1774,C1774,F$7:F1774)-SUMIF(C$7:C1774,C1774,G$7:G1774))</f>
      </c>
      <c r="I1774" s="145">
        <f>IF(AND(F1774="",G1774=""),"",SUM(基础资料!$X$5:$X$24)+SUM(F$7:F1774)-SUM(G$7:G1774))</f>
      </c>
      <c r="J1774" s="141" t="n"/>
      <c r="K1774" s="141" t="n"/>
      <c r="L1774" s="141" t="n"/>
      <c r="M1774" s="142" t="n"/>
      <c r="N1774" s="146">
        <f>IF(AND(AND(F1774="",G1774=""),B1774="",C1774="",D1774="",J1774="",K1774="",L1774=""),"",IF(AND(F1774="",G1774=""),"✗ 没填金额",IF(AND(N(F1774)&lt;&gt;0,N(G1774)&lt;&gt;0),"✗ 收入、支出只能填一边",IF(NOT(ISNUMBER(B1774)),"✗ 日期不是真日期（要像 2026/9/25 这样填）",IF(OR(B1774&lt;年初日,B1774&gt;年末日),"✗ 日期不在本会计年度",IF(C1774="","✗ 没选账户",IF(COUNTIF(基础资料!$W$5:$W$24,C1774)=0,"✗ 账户不在基础资料里",IF(O1774="","✗ 没选收支项目",IF(P1774="未知","✗ 收支项目不在基础资料里",IF(AND(P1774="应收",J1774=""),"✗ 这笔要选客户",IF(AND(P1774="应收",COUNTIF(总览汇总!$B$5:$B$304,J1774)=0),"✗ 客户不在总览汇总名单里",IF(AND(P1774="应付",K1774=""),"✗ 这笔要选供应商",IF(AND(P1774="应付",COUNTIF(基础资料!$Q$5:$Q$54,K1774)=0),"✗ 供应商不在基础资料里",IF(AND(P1774="费用",L1774=""),"✗ 费用支出要选费用项目",IF(AND(L1774&lt;&gt;"",COUNTIF(基础资料!$AI$5:$AI$54,L1774)=0),"✗ 费用项目不在基础资料里",IF(AND(IFERROR(INDEX(基础资料!$AD$5:$AD$34,MATCH(O1774,基础资料!$AC$5:$AC$34,0)),"")="收",N(G1774)&lt;&gt;0),"✗ 这类是收款，金额填到收入列",IF(AND(IFERROR(INDEX(基础资料!$AD$5:$AD$34,MATCH(O1774,基础资料!$AC$5:$AC$34,0)),"")="支",N(F1774)&lt;&gt;0),"✗ 这类是付款，金额填到支出列",IF(N(H1774)&lt;0,"⚠ 账户余额成负数了，核对一下","√"))))))))))))))))))</f>
      </c>
      <c r="O1774" s="78">
        <f>IF(D1774&lt;&gt;"",D1774,IF(AND(F1774="",G1774=""),"",IF(J1774&lt;&gt;"",IF(N(F1774)&gt;0,"客户回款","客户退款"),IF(K1774&lt;&gt;"",IF(N(G1774)&gt;0,"供应商付款","供应商退款"),IF(L1774&lt;&gt;"","费用支出","")))))</f>
      </c>
      <c r="P1774" s="78">
        <f>IF(O1774="","",IFERROR(INDEX(基础资料!$AE$5:$AE$34,MATCH(O1774,基础资料!$AC$5:$AC$34,0)),"未知"))</f>
      </c>
      <c r="Q1774" s="78">
        <f>IF(P1774="应收",COUNTIF(P$7:P1774,"应收"),"")</f>
      </c>
      <c r="R1774" s="78">
        <f>IF(P1774="应付",COUNTIF(P$7:P1774,"应付"),"")</f>
      </c>
      <c r="S1774" s="78">
        <f>N(F1774)-N(G1774)</f>
        <v>0</v>
      </c>
    </row>
    <row r="1775">
      <c r="A1775" s="109">
        <f>IF(AND(F1775="",G1775=""),"",ROW()-6)</f>
      </c>
      <c r="B1775" s="140" t="n"/>
      <c r="C1775" s="141" t="n"/>
      <c r="D1775" s="141" t="n"/>
      <c r="E1775" s="142" t="n"/>
      <c r="F1775" s="143" t="n"/>
      <c r="G1775" s="144" t="n"/>
      <c r="H1775" s="145">
        <f>IF(OR(C1775="",AND(F1775="",G1775="")),"",SUMIF(基础资料!$W$5:$W$24,C1775,基础资料!$X$5:$X$24)+SUMIF(C$7:C1775,C1775,F$7:F1775)-SUMIF(C$7:C1775,C1775,G$7:G1775))</f>
      </c>
      <c r="I1775" s="145">
        <f>IF(AND(F1775="",G1775=""),"",SUM(基础资料!$X$5:$X$24)+SUM(F$7:F1775)-SUM(G$7:G1775))</f>
      </c>
      <c r="J1775" s="141" t="n"/>
      <c r="K1775" s="141" t="n"/>
      <c r="L1775" s="141" t="n"/>
      <c r="M1775" s="142" t="n"/>
      <c r="N1775" s="146">
        <f>IF(AND(AND(F1775="",G1775=""),B1775="",C1775="",D1775="",J1775="",K1775="",L1775=""),"",IF(AND(F1775="",G1775=""),"✗ 没填金额",IF(AND(N(F1775)&lt;&gt;0,N(G1775)&lt;&gt;0),"✗ 收入、支出只能填一边",IF(NOT(ISNUMBER(B1775)),"✗ 日期不是真日期（要像 2026/9/25 这样填）",IF(OR(B1775&lt;年初日,B1775&gt;年末日),"✗ 日期不在本会计年度",IF(C1775="","✗ 没选账户",IF(COUNTIF(基础资料!$W$5:$W$24,C1775)=0,"✗ 账户不在基础资料里",IF(O1775="","✗ 没选收支项目",IF(P1775="未知","✗ 收支项目不在基础资料里",IF(AND(P1775="应收",J1775=""),"✗ 这笔要选客户",IF(AND(P1775="应收",COUNTIF(总览汇总!$B$5:$B$304,J1775)=0),"✗ 客户不在总览汇总名单里",IF(AND(P1775="应付",K1775=""),"✗ 这笔要选供应商",IF(AND(P1775="应付",COUNTIF(基础资料!$Q$5:$Q$54,K1775)=0),"✗ 供应商不在基础资料里",IF(AND(P1775="费用",L1775=""),"✗ 费用支出要选费用项目",IF(AND(L1775&lt;&gt;"",COUNTIF(基础资料!$AI$5:$AI$54,L1775)=0),"✗ 费用项目不在基础资料里",IF(AND(IFERROR(INDEX(基础资料!$AD$5:$AD$34,MATCH(O1775,基础资料!$AC$5:$AC$34,0)),"")="收",N(G1775)&lt;&gt;0),"✗ 这类是收款，金额填到收入列",IF(AND(IFERROR(INDEX(基础资料!$AD$5:$AD$34,MATCH(O1775,基础资料!$AC$5:$AC$34,0)),"")="支",N(F1775)&lt;&gt;0),"✗ 这类是付款，金额填到支出列",IF(N(H1775)&lt;0,"⚠ 账户余额成负数了，核对一下","√"))))))))))))))))))</f>
      </c>
      <c r="O1775" s="78">
        <f>IF(D1775&lt;&gt;"",D1775,IF(AND(F1775="",G1775=""),"",IF(J1775&lt;&gt;"",IF(N(F1775)&gt;0,"客户回款","客户退款"),IF(K1775&lt;&gt;"",IF(N(G1775)&gt;0,"供应商付款","供应商退款"),IF(L1775&lt;&gt;"","费用支出","")))))</f>
      </c>
      <c r="P1775" s="78">
        <f>IF(O1775="","",IFERROR(INDEX(基础资料!$AE$5:$AE$34,MATCH(O1775,基础资料!$AC$5:$AC$34,0)),"未知"))</f>
      </c>
      <c r="Q1775" s="78">
        <f>IF(P1775="应收",COUNTIF(P$7:P1775,"应收"),"")</f>
      </c>
      <c r="R1775" s="78">
        <f>IF(P1775="应付",COUNTIF(P$7:P1775,"应付"),"")</f>
      </c>
      <c r="S1775" s="78">
        <f>N(F1775)-N(G1775)</f>
        <v>0</v>
      </c>
    </row>
    <row r="1776">
      <c r="A1776" s="109">
        <f>IF(AND(F1776="",G1776=""),"",ROW()-6)</f>
      </c>
      <c r="B1776" s="140" t="n"/>
      <c r="C1776" s="141" t="n"/>
      <c r="D1776" s="141" t="n"/>
      <c r="E1776" s="142" t="n"/>
      <c r="F1776" s="143" t="n"/>
      <c r="G1776" s="144" t="n"/>
      <c r="H1776" s="145">
        <f>IF(OR(C1776="",AND(F1776="",G1776="")),"",SUMIF(基础资料!$W$5:$W$24,C1776,基础资料!$X$5:$X$24)+SUMIF(C$7:C1776,C1776,F$7:F1776)-SUMIF(C$7:C1776,C1776,G$7:G1776))</f>
      </c>
      <c r="I1776" s="145">
        <f>IF(AND(F1776="",G1776=""),"",SUM(基础资料!$X$5:$X$24)+SUM(F$7:F1776)-SUM(G$7:G1776))</f>
      </c>
      <c r="J1776" s="141" t="n"/>
      <c r="K1776" s="141" t="n"/>
      <c r="L1776" s="141" t="n"/>
      <c r="M1776" s="142" t="n"/>
      <c r="N1776" s="146">
        <f>IF(AND(AND(F1776="",G1776=""),B1776="",C1776="",D1776="",J1776="",K1776="",L1776=""),"",IF(AND(F1776="",G1776=""),"✗ 没填金额",IF(AND(N(F1776)&lt;&gt;0,N(G1776)&lt;&gt;0),"✗ 收入、支出只能填一边",IF(NOT(ISNUMBER(B1776)),"✗ 日期不是真日期（要像 2026/9/25 这样填）",IF(OR(B1776&lt;年初日,B1776&gt;年末日),"✗ 日期不在本会计年度",IF(C1776="","✗ 没选账户",IF(COUNTIF(基础资料!$W$5:$W$24,C1776)=0,"✗ 账户不在基础资料里",IF(O1776="","✗ 没选收支项目",IF(P1776="未知","✗ 收支项目不在基础资料里",IF(AND(P1776="应收",J1776=""),"✗ 这笔要选客户",IF(AND(P1776="应收",COUNTIF(总览汇总!$B$5:$B$304,J1776)=0),"✗ 客户不在总览汇总名单里",IF(AND(P1776="应付",K1776=""),"✗ 这笔要选供应商",IF(AND(P1776="应付",COUNTIF(基础资料!$Q$5:$Q$54,K1776)=0),"✗ 供应商不在基础资料里",IF(AND(P1776="费用",L1776=""),"✗ 费用支出要选费用项目",IF(AND(L1776&lt;&gt;"",COUNTIF(基础资料!$AI$5:$AI$54,L1776)=0),"✗ 费用项目不在基础资料里",IF(AND(IFERROR(INDEX(基础资料!$AD$5:$AD$34,MATCH(O1776,基础资料!$AC$5:$AC$34,0)),"")="收",N(G1776)&lt;&gt;0),"✗ 这类是收款，金额填到收入列",IF(AND(IFERROR(INDEX(基础资料!$AD$5:$AD$34,MATCH(O1776,基础资料!$AC$5:$AC$34,0)),"")="支",N(F1776)&lt;&gt;0),"✗ 这类是付款，金额填到支出列",IF(N(H1776)&lt;0,"⚠ 账户余额成负数了，核对一下","√"))))))))))))))))))</f>
      </c>
      <c r="O1776" s="78">
        <f>IF(D1776&lt;&gt;"",D1776,IF(AND(F1776="",G1776=""),"",IF(J1776&lt;&gt;"",IF(N(F1776)&gt;0,"客户回款","客户退款"),IF(K1776&lt;&gt;"",IF(N(G1776)&gt;0,"供应商付款","供应商退款"),IF(L1776&lt;&gt;"","费用支出","")))))</f>
      </c>
      <c r="P1776" s="78">
        <f>IF(O1776="","",IFERROR(INDEX(基础资料!$AE$5:$AE$34,MATCH(O1776,基础资料!$AC$5:$AC$34,0)),"未知"))</f>
      </c>
      <c r="Q1776" s="78">
        <f>IF(P1776="应收",COUNTIF(P$7:P1776,"应收"),"")</f>
      </c>
      <c r="R1776" s="78">
        <f>IF(P1776="应付",COUNTIF(P$7:P1776,"应付"),"")</f>
      </c>
      <c r="S1776" s="78">
        <f>N(F1776)-N(G1776)</f>
        <v>0</v>
      </c>
    </row>
    <row r="1777">
      <c r="A1777" s="109">
        <f>IF(AND(F1777="",G1777=""),"",ROW()-6)</f>
      </c>
      <c r="B1777" s="140" t="n"/>
      <c r="C1777" s="141" t="n"/>
      <c r="D1777" s="141" t="n"/>
      <c r="E1777" s="142" t="n"/>
      <c r="F1777" s="143" t="n"/>
      <c r="G1777" s="144" t="n"/>
      <c r="H1777" s="145">
        <f>IF(OR(C1777="",AND(F1777="",G1777="")),"",SUMIF(基础资料!$W$5:$W$24,C1777,基础资料!$X$5:$X$24)+SUMIF(C$7:C1777,C1777,F$7:F1777)-SUMIF(C$7:C1777,C1777,G$7:G1777))</f>
      </c>
      <c r="I1777" s="145">
        <f>IF(AND(F1777="",G1777=""),"",SUM(基础资料!$X$5:$X$24)+SUM(F$7:F1777)-SUM(G$7:G1777))</f>
      </c>
      <c r="J1777" s="141" t="n"/>
      <c r="K1777" s="141" t="n"/>
      <c r="L1777" s="141" t="n"/>
      <c r="M1777" s="142" t="n"/>
      <c r="N1777" s="146">
        <f>IF(AND(AND(F1777="",G1777=""),B1777="",C1777="",D1777="",J1777="",K1777="",L1777=""),"",IF(AND(F1777="",G1777=""),"✗ 没填金额",IF(AND(N(F1777)&lt;&gt;0,N(G1777)&lt;&gt;0),"✗ 收入、支出只能填一边",IF(NOT(ISNUMBER(B1777)),"✗ 日期不是真日期（要像 2026/9/25 这样填）",IF(OR(B1777&lt;年初日,B1777&gt;年末日),"✗ 日期不在本会计年度",IF(C1777="","✗ 没选账户",IF(COUNTIF(基础资料!$W$5:$W$24,C1777)=0,"✗ 账户不在基础资料里",IF(O1777="","✗ 没选收支项目",IF(P1777="未知","✗ 收支项目不在基础资料里",IF(AND(P1777="应收",J1777=""),"✗ 这笔要选客户",IF(AND(P1777="应收",COUNTIF(总览汇总!$B$5:$B$304,J1777)=0),"✗ 客户不在总览汇总名单里",IF(AND(P1777="应付",K1777=""),"✗ 这笔要选供应商",IF(AND(P1777="应付",COUNTIF(基础资料!$Q$5:$Q$54,K1777)=0),"✗ 供应商不在基础资料里",IF(AND(P1777="费用",L1777=""),"✗ 费用支出要选费用项目",IF(AND(L1777&lt;&gt;"",COUNTIF(基础资料!$AI$5:$AI$54,L1777)=0),"✗ 费用项目不在基础资料里",IF(AND(IFERROR(INDEX(基础资料!$AD$5:$AD$34,MATCH(O1777,基础资料!$AC$5:$AC$34,0)),"")="收",N(G1777)&lt;&gt;0),"✗ 这类是收款，金额填到收入列",IF(AND(IFERROR(INDEX(基础资料!$AD$5:$AD$34,MATCH(O1777,基础资料!$AC$5:$AC$34,0)),"")="支",N(F1777)&lt;&gt;0),"✗ 这类是付款，金额填到支出列",IF(N(H1777)&lt;0,"⚠ 账户余额成负数了，核对一下","√"))))))))))))))))))</f>
      </c>
      <c r="O1777" s="78">
        <f>IF(D1777&lt;&gt;"",D1777,IF(AND(F1777="",G1777=""),"",IF(J1777&lt;&gt;"",IF(N(F1777)&gt;0,"客户回款","客户退款"),IF(K1777&lt;&gt;"",IF(N(G1777)&gt;0,"供应商付款","供应商退款"),IF(L1777&lt;&gt;"","费用支出","")))))</f>
      </c>
      <c r="P1777" s="78">
        <f>IF(O1777="","",IFERROR(INDEX(基础资料!$AE$5:$AE$34,MATCH(O1777,基础资料!$AC$5:$AC$34,0)),"未知"))</f>
      </c>
      <c r="Q1777" s="78">
        <f>IF(P1777="应收",COUNTIF(P$7:P1777,"应收"),"")</f>
      </c>
      <c r="R1777" s="78">
        <f>IF(P1777="应付",COUNTIF(P$7:P1777,"应付"),"")</f>
      </c>
      <c r="S1777" s="78">
        <f>N(F1777)-N(G1777)</f>
        <v>0</v>
      </c>
    </row>
    <row r="1778">
      <c r="A1778" s="109">
        <f>IF(AND(F1778="",G1778=""),"",ROW()-6)</f>
      </c>
      <c r="B1778" s="140" t="n"/>
      <c r="C1778" s="141" t="n"/>
      <c r="D1778" s="141" t="n"/>
      <c r="E1778" s="142" t="n"/>
      <c r="F1778" s="143" t="n"/>
      <c r="G1778" s="144" t="n"/>
      <c r="H1778" s="145">
        <f>IF(OR(C1778="",AND(F1778="",G1778="")),"",SUMIF(基础资料!$W$5:$W$24,C1778,基础资料!$X$5:$X$24)+SUMIF(C$7:C1778,C1778,F$7:F1778)-SUMIF(C$7:C1778,C1778,G$7:G1778))</f>
      </c>
      <c r="I1778" s="145">
        <f>IF(AND(F1778="",G1778=""),"",SUM(基础资料!$X$5:$X$24)+SUM(F$7:F1778)-SUM(G$7:G1778))</f>
      </c>
      <c r="J1778" s="141" t="n"/>
      <c r="K1778" s="141" t="n"/>
      <c r="L1778" s="141" t="n"/>
      <c r="M1778" s="142" t="n"/>
      <c r="N1778" s="146">
        <f>IF(AND(AND(F1778="",G1778=""),B1778="",C1778="",D1778="",J1778="",K1778="",L1778=""),"",IF(AND(F1778="",G1778=""),"✗ 没填金额",IF(AND(N(F1778)&lt;&gt;0,N(G1778)&lt;&gt;0),"✗ 收入、支出只能填一边",IF(NOT(ISNUMBER(B1778)),"✗ 日期不是真日期（要像 2026/9/25 这样填）",IF(OR(B1778&lt;年初日,B1778&gt;年末日),"✗ 日期不在本会计年度",IF(C1778="","✗ 没选账户",IF(COUNTIF(基础资料!$W$5:$W$24,C1778)=0,"✗ 账户不在基础资料里",IF(O1778="","✗ 没选收支项目",IF(P1778="未知","✗ 收支项目不在基础资料里",IF(AND(P1778="应收",J1778=""),"✗ 这笔要选客户",IF(AND(P1778="应收",COUNTIF(总览汇总!$B$5:$B$304,J1778)=0),"✗ 客户不在总览汇总名单里",IF(AND(P1778="应付",K1778=""),"✗ 这笔要选供应商",IF(AND(P1778="应付",COUNTIF(基础资料!$Q$5:$Q$54,K1778)=0),"✗ 供应商不在基础资料里",IF(AND(P1778="费用",L1778=""),"✗ 费用支出要选费用项目",IF(AND(L1778&lt;&gt;"",COUNTIF(基础资料!$AI$5:$AI$54,L1778)=0),"✗ 费用项目不在基础资料里",IF(AND(IFERROR(INDEX(基础资料!$AD$5:$AD$34,MATCH(O1778,基础资料!$AC$5:$AC$34,0)),"")="收",N(G1778)&lt;&gt;0),"✗ 这类是收款，金额填到收入列",IF(AND(IFERROR(INDEX(基础资料!$AD$5:$AD$34,MATCH(O1778,基础资料!$AC$5:$AC$34,0)),"")="支",N(F1778)&lt;&gt;0),"✗ 这类是付款，金额填到支出列",IF(N(H1778)&lt;0,"⚠ 账户余额成负数了，核对一下","√"))))))))))))))))))</f>
      </c>
      <c r="O1778" s="78">
        <f>IF(D1778&lt;&gt;"",D1778,IF(AND(F1778="",G1778=""),"",IF(J1778&lt;&gt;"",IF(N(F1778)&gt;0,"客户回款","客户退款"),IF(K1778&lt;&gt;"",IF(N(G1778)&gt;0,"供应商付款","供应商退款"),IF(L1778&lt;&gt;"","费用支出","")))))</f>
      </c>
      <c r="P1778" s="78">
        <f>IF(O1778="","",IFERROR(INDEX(基础资料!$AE$5:$AE$34,MATCH(O1778,基础资料!$AC$5:$AC$34,0)),"未知"))</f>
      </c>
      <c r="Q1778" s="78">
        <f>IF(P1778="应收",COUNTIF(P$7:P1778,"应收"),"")</f>
      </c>
      <c r="R1778" s="78">
        <f>IF(P1778="应付",COUNTIF(P$7:P1778,"应付"),"")</f>
      </c>
      <c r="S1778" s="78">
        <f>N(F1778)-N(G1778)</f>
        <v>0</v>
      </c>
    </row>
    <row r="1779">
      <c r="A1779" s="109">
        <f>IF(AND(F1779="",G1779=""),"",ROW()-6)</f>
      </c>
      <c r="B1779" s="140" t="n"/>
      <c r="C1779" s="141" t="n"/>
      <c r="D1779" s="141" t="n"/>
      <c r="E1779" s="142" t="n"/>
      <c r="F1779" s="143" t="n"/>
      <c r="G1779" s="144" t="n"/>
      <c r="H1779" s="145">
        <f>IF(OR(C1779="",AND(F1779="",G1779="")),"",SUMIF(基础资料!$W$5:$W$24,C1779,基础资料!$X$5:$X$24)+SUMIF(C$7:C1779,C1779,F$7:F1779)-SUMIF(C$7:C1779,C1779,G$7:G1779))</f>
      </c>
      <c r="I1779" s="145">
        <f>IF(AND(F1779="",G1779=""),"",SUM(基础资料!$X$5:$X$24)+SUM(F$7:F1779)-SUM(G$7:G1779))</f>
      </c>
      <c r="J1779" s="141" t="n"/>
      <c r="K1779" s="141" t="n"/>
      <c r="L1779" s="141" t="n"/>
      <c r="M1779" s="142" t="n"/>
      <c r="N1779" s="146">
        <f>IF(AND(AND(F1779="",G1779=""),B1779="",C1779="",D1779="",J1779="",K1779="",L1779=""),"",IF(AND(F1779="",G1779=""),"✗ 没填金额",IF(AND(N(F1779)&lt;&gt;0,N(G1779)&lt;&gt;0),"✗ 收入、支出只能填一边",IF(NOT(ISNUMBER(B1779)),"✗ 日期不是真日期（要像 2026/9/25 这样填）",IF(OR(B1779&lt;年初日,B1779&gt;年末日),"✗ 日期不在本会计年度",IF(C1779="","✗ 没选账户",IF(COUNTIF(基础资料!$W$5:$W$24,C1779)=0,"✗ 账户不在基础资料里",IF(O1779="","✗ 没选收支项目",IF(P1779="未知","✗ 收支项目不在基础资料里",IF(AND(P1779="应收",J1779=""),"✗ 这笔要选客户",IF(AND(P1779="应收",COUNTIF(总览汇总!$B$5:$B$304,J1779)=0),"✗ 客户不在总览汇总名单里",IF(AND(P1779="应付",K1779=""),"✗ 这笔要选供应商",IF(AND(P1779="应付",COUNTIF(基础资料!$Q$5:$Q$54,K1779)=0),"✗ 供应商不在基础资料里",IF(AND(P1779="费用",L1779=""),"✗ 费用支出要选费用项目",IF(AND(L1779&lt;&gt;"",COUNTIF(基础资料!$AI$5:$AI$54,L1779)=0),"✗ 费用项目不在基础资料里",IF(AND(IFERROR(INDEX(基础资料!$AD$5:$AD$34,MATCH(O1779,基础资料!$AC$5:$AC$34,0)),"")="收",N(G1779)&lt;&gt;0),"✗ 这类是收款，金额填到收入列",IF(AND(IFERROR(INDEX(基础资料!$AD$5:$AD$34,MATCH(O1779,基础资料!$AC$5:$AC$34,0)),"")="支",N(F1779)&lt;&gt;0),"✗ 这类是付款，金额填到支出列",IF(N(H1779)&lt;0,"⚠ 账户余额成负数了，核对一下","√"))))))))))))))))))</f>
      </c>
      <c r="O1779" s="78">
        <f>IF(D1779&lt;&gt;"",D1779,IF(AND(F1779="",G1779=""),"",IF(J1779&lt;&gt;"",IF(N(F1779)&gt;0,"客户回款","客户退款"),IF(K1779&lt;&gt;"",IF(N(G1779)&gt;0,"供应商付款","供应商退款"),IF(L1779&lt;&gt;"","费用支出","")))))</f>
      </c>
      <c r="P1779" s="78">
        <f>IF(O1779="","",IFERROR(INDEX(基础资料!$AE$5:$AE$34,MATCH(O1779,基础资料!$AC$5:$AC$34,0)),"未知"))</f>
      </c>
      <c r="Q1779" s="78">
        <f>IF(P1779="应收",COUNTIF(P$7:P1779,"应收"),"")</f>
      </c>
      <c r="R1779" s="78">
        <f>IF(P1779="应付",COUNTIF(P$7:P1779,"应付"),"")</f>
      </c>
      <c r="S1779" s="78">
        <f>N(F1779)-N(G1779)</f>
        <v>0</v>
      </c>
    </row>
    <row r="1780">
      <c r="A1780" s="109">
        <f>IF(AND(F1780="",G1780=""),"",ROW()-6)</f>
      </c>
      <c r="B1780" s="140" t="n"/>
      <c r="C1780" s="141" t="n"/>
      <c r="D1780" s="141" t="n"/>
      <c r="E1780" s="142" t="n"/>
      <c r="F1780" s="143" t="n"/>
      <c r="G1780" s="144" t="n"/>
      <c r="H1780" s="145">
        <f>IF(OR(C1780="",AND(F1780="",G1780="")),"",SUMIF(基础资料!$W$5:$W$24,C1780,基础资料!$X$5:$X$24)+SUMIF(C$7:C1780,C1780,F$7:F1780)-SUMIF(C$7:C1780,C1780,G$7:G1780))</f>
      </c>
      <c r="I1780" s="145">
        <f>IF(AND(F1780="",G1780=""),"",SUM(基础资料!$X$5:$X$24)+SUM(F$7:F1780)-SUM(G$7:G1780))</f>
      </c>
      <c r="J1780" s="141" t="n"/>
      <c r="K1780" s="141" t="n"/>
      <c r="L1780" s="141" t="n"/>
      <c r="M1780" s="142" t="n"/>
      <c r="N1780" s="146">
        <f>IF(AND(AND(F1780="",G1780=""),B1780="",C1780="",D1780="",J1780="",K1780="",L1780=""),"",IF(AND(F1780="",G1780=""),"✗ 没填金额",IF(AND(N(F1780)&lt;&gt;0,N(G1780)&lt;&gt;0),"✗ 收入、支出只能填一边",IF(NOT(ISNUMBER(B1780)),"✗ 日期不是真日期（要像 2026/9/25 这样填）",IF(OR(B1780&lt;年初日,B1780&gt;年末日),"✗ 日期不在本会计年度",IF(C1780="","✗ 没选账户",IF(COUNTIF(基础资料!$W$5:$W$24,C1780)=0,"✗ 账户不在基础资料里",IF(O1780="","✗ 没选收支项目",IF(P1780="未知","✗ 收支项目不在基础资料里",IF(AND(P1780="应收",J1780=""),"✗ 这笔要选客户",IF(AND(P1780="应收",COUNTIF(总览汇总!$B$5:$B$304,J1780)=0),"✗ 客户不在总览汇总名单里",IF(AND(P1780="应付",K1780=""),"✗ 这笔要选供应商",IF(AND(P1780="应付",COUNTIF(基础资料!$Q$5:$Q$54,K1780)=0),"✗ 供应商不在基础资料里",IF(AND(P1780="费用",L1780=""),"✗ 费用支出要选费用项目",IF(AND(L1780&lt;&gt;"",COUNTIF(基础资料!$AI$5:$AI$54,L1780)=0),"✗ 费用项目不在基础资料里",IF(AND(IFERROR(INDEX(基础资料!$AD$5:$AD$34,MATCH(O1780,基础资料!$AC$5:$AC$34,0)),"")="收",N(G1780)&lt;&gt;0),"✗ 这类是收款，金额填到收入列",IF(AND(IFERROR(INDEX(基础资料!$AD$5:$AD$34,MATCH(O1780,基础资料!$AC$5:$AC$34,0)),"")="支",N(F1780)&lt;&gt;0),"✗ 这类是付款，金额填到支出列",IF(N(H1780)&lt;0,"⚠ 账户余额成负数了，核对一下","√"))))))))))))))))))</f>
      </c>
      <c r="O1780" s="78">
        <f>IF(D1780&lt;&gt;"",D1780,IF(AND(F1780="",G1780=""),"",IF(J1780&lt;&gt;"",IF(N(F1780)&gt;0,"客户回款","客户退款"),IF(K1780&lt;&gt;"",IF(N(G1780)&gt;0,"供应商付款","供应商退款"),IF(L1780&lt;&gt;"","费用支出","")))))</f>
      </c>
      <c r="P1780" s="78">
        <f>IF(O1780="","",IFERROR(INDEX(基础资料!$AE$5:$AE$34,MATCH(O1780,基础资料!$AC$5:$AC$34,0)),"未知"))</f>
      </c>
      <c r="Q1780" s="78">
        <f>IF(P1780="应收",COUNTIF(P$7:P1780,"应收"),"")</f>
      </c>
      <c r="R1780" s="78">
        <f>IF(P1780="应付",COUNTIF(P$7:P1780,"应付"),"")</f>
      </c>
      <c r="S1780" s="78">
        <f>N(F1780)-N(G1780)</f>
        <v>0</v>
      </c>
    </row>
    <row r="1781">
      <c r="A1781" s="109">
        <f>IF(AND(F1781="",G1781=""),"",ROW()-6)</f>
      </c>
      <c r="B1781" s="140" t="n"/>
      <c r="C1781" s="141" t="n"/>
      <c r="D1781" s="141" t="n"/>
      <c r="E1781" s="142" t="n"/>
      <c r="F1781" s="143" t="n"/>
      <c r="G1781" s="144" t="n"/>
      <c r="H1781" s="145">
        <f>IF(OR(C1781="",AND(F1781="",G1781="")),"",SUMIF(基础资料!$W$5:$W$24,C1781,基础资料!$X$5:$X$24)+SUMIF(C$7:C1781,C1781,F$7:F1781)-SUMIF(C$7:C1781,C1781,G$7:G1781))</f>
      </c>
      <c r="I1781" s="145">
        <f>IF(AND(F1781="",G1781=""),"",SUM(基础资料!$X$5:$X$24)+SUM(F$7:F1781)-SUM(G$7:G1781))</f>
      </c>
      <c r="J1781" s="141" t="n"/>
      <c r="K1781" s="141" t="n"/>
      <c r="L1781" s="141" t="n"/>
      <c r="M1781" s="142" t="n"/>
      <c r="N1781" s="146">
        <f>IF(AND(AND(F1781="",G1781=""),B1781="",C1781="",D1781="",J1781="",K1781="",L1781=""),"",IF(AND(F1781="",G1781=""),"✗ 没填金额",IF(AND(N(F1781)&lt;&gt;0,N(G1781)&lt;&gt;0),"✗ 收入、支出只能填一边",IF(NOT(ISNUMBER(B1781)),"✗ 日期不是真日期（要像 2026/9/25 这样填）",IF(OR(B1781&lt;年初日,B1781&gt;年末日),"✗ 日期不在本会计年度",IF(C1781="","✗ 没选账户",IF(COUNTIF(基础资料!$W$5:$W$24,C1781)=0,"✗ 账户不在基础资料里",IF(O1781="","✗ 没选收支项目",IF(P1781="未知","✗ 收支项目不在基础资料里",IF(AND(P1781="应收",J1781=""),"✗ 这笔要选客户",IF(AND(P1781="应收",COUNTIF(总览汇总!$B$5:$B$304,J1781)=0),"✗ 客户不在总览汇总名单里",IF(AND(P1781="应付",K1781=""),"✗ 这笔要选供应商",IF(AND(P1781="应付",COUNTIF(基础资料!$Q$5:$Q$54,K1781)=0),"✗ 供应商不在基础资料里",IF(AND(P1781="费用",L1781=""),"✗ 费用支出要选费用项目",IF(AND(L1781&lt;&gt;"",COUNTIF(基础资料!$AI$5:$AI$54,L1781)=0),"✗ 费用项目不在基础资料里",IF(AND(IFERROR(INDEX(基础资料!$AD$5:$AD$34,MATCH(O1781,基础资料!$AC$5:$AC$34,0)),"")="收",N(G1781)&lt;&gt;0),"✗ 这类是收款，金额填到收入列",IF(AND(IFERROR(INDEX(基础资料!$AD$5:$AD$34,MATCH(O1781,基础资料!$AC$5:$AC$34,0)),"")="支",N(F1781)&lt;&gt;0),"✗ 这类是付款，金额填到支出列",IF(N(H1781)&lt;0,"⚠ 账户余额成负数了，核对一下","√"))))))))))))))))))</f>
      </c>
      <c r="O1781" s="78">
        <f>IF(D1781&lt;&gt;"",D1781,IF(AND(F1781="",G1781=""),"",IF(J1781&lt;&gt;"",IF(N(F1781)&gt;0,"客户回款","客户退款"),IF(K1781&lt;&gt;"",IF(N(G1781)&gt;0,"供应商付款","供应商退款"),IF(L1781&lt;&gt;"","费用支出","")))))</f>
      </c>
      <c r="P1781" s="78">
        <f>IF(O1781="","",IFERROR(INDEX(基础资料!$AE$5:$AE$34,MATCH(O1781,基础资料!$AC$5:$AC$34,0)),"未知"))</f>
      </c>
      <c r="Q1781" s="78">
        <f>IF(P1781="应收",COUNTIF(P$7:P1781,"应收"),"")</f>
      </c>
      <c r="R1781" s="78">
        <f>IF(P1781="应付",COUNTIF(P$7:P1781,"应付"),"")</f>
      </c>
      <c r="S1781" s="78">
        <f>N(F1781)-N(G1781)</f>
        <v>0</v>
      </c>
    </row>
    <row r="1782">
      <c r="A1782" s="109">
        <f>IF(AND(F1782="",G1782=""),"",ROW()-6)</f>
      </c>
      <c r="B1782" s="140" t="n"/>
      <c r="C1782" s="141" t="n"/>
      <c r="D1782" s="141" t="n"/>
      <c r="E1782" s="142" t="n"/>
      <c r="F1782" s="143" t="n"/>
      <c r="G1782" s="144" t="n"/>
      <c r="H1782" s="145">
        <f>IF(OR(C1782="",AND(F1782="",G1782="")),"",SUMIF(基础资料!$W$5:$W$24,C1782,基础资料!$X$5:$X$24)+SUMIF(C$7:C1782,C1782,F$7:F1782)-SUMIF(C$7:C1782,C1782,G$7:G1782))</f>
      </c>
      <c r="I1782" s="145">
        <f>IF(AND(F1782="",G1782=""),"",SUM(基础资料!$X$5:$X$24)+SUM(F$7:F1782)-SUM(G$7:G1782))</f>
      </c>
      <c r="J1782" s="141" t="n"/>
      <c r="K1782" s="141" t="n"/>
      <c r="L1782" s="141" t="n"/>
      <c r="M1782" s="142" t="n"/>
      <c r="N1782" s="146">
        <f>IF(AND(AND(F1782="",G1782=""),B1782="",C1782="",D1782="",J1782="",K1782="",L1782=""),"",IF(AND(F1782="",G1782=""),"✗ 没填金额",IF(AND(N(F1782)&lt;&gt;0,N(G1782)&lt;&gt;0),"✗ 收入、支出只能填一边",IF(NOT(ISNUMBER(B1782)),"✗ 日期不是真日期（要像 2026/9/25 这样填）",IF(OR(B1782&lt;年初日,B1782&gt;年末日),"✗ 日期不在本会计年度",IF(C1782="","✗ 没选账户",IF(COUNTIF(基础资料!$W$5:$W$24,C1782)=0,"✗ 账户不在基础资料里",IF(O1782="","✗ 没选收支项目",IF(P1782="未知","✗ 收支项目不在基础资料里",IF(AND(P1782="应收",J1782=""),"✗ 这笔要选客户",IF(AND(P1782="应收",COUNTIF(总览汇总!$B$5:$B$304,J1782)=0),"✗ 客户不在总览汇总名单里",IF(AND(P1782="应付",K1782=""),"✗ 这笔要选供应商",IF(AND(P1782="应付",COUNTIF(基础资料!$Q$5:$Q$54,K1782)=0),"✗ 供应商不在基础资料里",IF(AND(P1782="费用",L1782=""),"✗ 费用支出要选费用项目",IF(AND(L1782&lt;&gt;"",COUNTIF(基础资料!$AI$5:$AI$54,L1782)=0),"✗ 费用项目不在基础资料里",IF(AND(IFERROR(INDEX(基础资料!$AD$5:$AD$34,MATCH(O1782,基础资料!$AC$5:$AC$34,0)),"")="收",N(G1782)&lt;&gt;0),"✗ 这类是收款，金额填到收入列",IF(AND(IFERROR(INDEX(基础资料!$AD$5:$AD$34,MATCH(O1782,基础资料!$AC$5:$AC$34,0)),"")="支",N(F1782)&lt;&gt;0),"✗ 这类是付款，金额填到支出列",IF(N(H1782)&lt;0,"⚠ 账户余额成负数了，核对一下","√"))))))))))))))))))</f>
      </c>
      <c r="O1782" s="78">
        <f>IF(D1782&lt;&gt;"",D1782,IF(AND(F1782="",G1782=""),"",IF(J1782&lt;&gt;"",IF(N(F1782)&gt;0,"客户回款","客户退款"),IF(K1782&lt;&gt;"",IF(N(G1782)&gt;0,"供应商付款","供应商退款"),IF(L1782&lt;&gt;"","费用支出","")))))</f>
      </c>
      <c r="P1782" s="78">
        <f>IF(O1782="","",IFERROR(INDEX(基础资料!$AE$5:$AE$34,MATCH(O1782,基础资料!$AC$5:$AC$34,0)),"未知"))</f>
      </c>
      <c r="Q1782" s="78">
        <f>IF(P1782="应收",COUNTIF(P$7:P1782,"应收"),"")</f>
      </c>
      <c r="R1782" s="78">
        <f>IF(P1782="应付",COUNTIF(P$7:P1782,"应付"),"")</f>
      </c>
      <c r="S1782" s="78">
        <f>N(F1782)-N(G1782)</f>
        <v>0</v>
      </c>
    </row>
    <row r="1783">
      <c r="A1783" s="109">
        <f>IF(AND(F1783="",G1783=""),"",ROW()-6)</f>
      </c>
      <c r="B1783" s="140" t="n"/>
      <c r="C1783" s="141" t="n"/>
      <c r="D1783" s="141" t="n"/>
      <c r="E1783" s="142" t="n"/>
      <c r="F1783" s="143" t="n"/>
      <c r="G1783" s="144" t="n"/>
      <c r="H1783" s="145">
        <f>IF(OR(C1783="",AND(F1783="",G1783="")),"",SUMIF(基础资料!$W$5:$W$24,C1783,基础资料!$X$5:$X$24)+SUMIF(C$7:C1783,C1783,F$7:F1783)-SUMIF(C$7:C1783,C1783,G$7:G1783))</f>
      </c>
      <c r="I1783" s="145">
        <f>IF(AND(F1783="",G1783=""),"",SUM(基础资料!$X$5:$X$24)+SUM(F$7:F1783)-SUM(G$7:G1783))</f>
      </c>
      <c r="J1783" s="141" t="n"/>
      <c r="K1783" s="141" t="n"/>
      <c r="L1783" s="141" t="n"/>
      <c r="M1783" s="142" t="n"/>
      <c r="N1783" s="146">
        <f>IF(AND(AND(F1783="",G1783=""),B1783="",C1783="",D1783="",J1783="",K1783="",L1783=""),"",IF(AND(F1783="",G1783=""),"✗ 没填金额",IF(AND(N(F1783)&lt;&gt;0,N(G1783)&lt;&gt;0),"✗ 收入、支出只能填一边",IF(NOT(ISNUMBER(B1783)),"✗ 日期不是真日期（要像 2026/9/25 这样填）",IF(OR(B1783&lt;年初日,B1783&gt;年末日),"✗ 日期不在本会计年度",IF(C1783="","✗ 没选账户",IF(COUNTIF(基础资料!$W$5:$W$24,C1783)=0,"✗ 账户不在基础资料里",IF(O1783="","✗ 没选收支项目",IF(P1783="未知","✗ 收支项目不在基础资料里",IF(AND(P1783="应收",J1783=""),"✗ 这笔要选客户",IF(AND(P1783="应收",COUNTIF(总览汇总!$B$5:$B$304,J1783)=0),"✗ 客户不在总览汇总名单里",IF(AND(P1783="应付",K1783=""),"✗ 这笔要选供应商",IF(AND(P1783="应付",COUNTIF(基础资料!$Q$5:$Q$54,K1783)=0),"✗ 供应商不在基础资料里",IF(AND(P1783="费用",L1783=""),"✗ 费用支出要选费用项目",IF(AND(L1783&lt;&gt;"",COUNTIF(基础资料!$AI$5:$AI$54,L1783)=0),"✗ 费用项目不在基础资料里",IF(AND(IFERROR(INDEX(基础资料!$AD$5:$AD$34,MATCH(O1783,基础资料!$AC$5:$AC$34,0)),"")="收",N(G1783)&lt;&gt;0),"✗ 这类是收款，金额填到收入列",IF(AND(IFERROR(INDEX(基础资料!$AD$5:$AD$34,MATCH(O1783,基础资料!$AC$5:$AC$34,0)),"")="支",N(F1783)&lt;&gt;0),"✗ 这类是付款，金额填到支出列",IF(N(H1783)&lt;0,"⚠ 账户余额成负数了，核对一下","√"))))))))))))))))))</f>
      </c>
      <c r="O1783" s="78">
        <f>IF(D1783&lt;&gt;"",D1783,IF(AND(F1783="",G1783=""),"",IF(J1783&lt;&gt;"",IF(N(F1783)&gt;0,"客户回款","客户退款"),IF(K1783&lt;&gt;"",IF(N(G1783)&gt;0,"供应商付款","供应商退款"),IF(L1783&lt;&gt;"","费用支出","")))))</f>
      </c>
      <c r="P1783" s="78">
        <f>IF(O1783="","",IFERROR(INDEX(基础资料!$AE$5:$AE$34,MATCH(O1783,基础资料!$AC$5:$AC$34,0)),"未知"))</f>
      </c>
      <c r="Q1783" s="78">
        <f>IF(P1783="应收",COUNTIF(P$7:P1783,"应收"),"")</f>
      </c>
      <c r="R1783" s="78">
        <f>IF(P1783="应付",COUNTIF(P$7:P1783,"应付"),"")</f>
      </c>
      <c r="S1783" s="78">
        <f>N(F1783)-N(G1783)</f>
        <v>0</v>
      </c>
    </row>
    <row r="1784">
      <c r="A1784" s="109">
        <f>IF(AND(F1784="",G1784=""),"",ROW()-6)</f>
      </c>
      <c r="B1784" s="140" t="n"/>
      <c r="C1784" s="141" t="n"/>
      <c r="D1784" s="141" t="n"/>
      <c r="E1784" s="142" t="n"/>
      <c r="F1784" s="143" t="n"/>
      <c r="G1784" s="144" t="n"/>
      <c r="H1784" s="145">
        <f>IF(OR(C1784="",AND(F1784="",G1784="")),"",SUMIF(基础资料!$W$5:$W$24,C1784,基础资料!$X$5:$X$24)+SUMIF(C$7:C1784,C1784,F$7:F1784)-SUMIF(C$7:C1784,C1784,G$7:G1784))</f>
      </c>
      <c r="I1784" s="145">
        <f>IF(AND(F1784="",G1784=""),"",SUM(基础资料!$X$5:$X$24)+SUM(F$7:F1784)-SUM(G$7:G1784))</f>
      </c>
      <c r="J1784" s="141" t="n"/>
      <c r="K1784" s="141" t="n"/>
      <c r="L1784" s="141" t="n"/>
      <c r="M1784" s="142" t="n"/>
      <c r="N1784" s="146">
        <f>IF(AND(AND(F1784="",G1784=""),B1784="",C1784="",D1784="",J1784="",K1784="",L1784=""),"",IF(AND(F1784="",G1784=""),"✗ 没填金额",IF(AND(N(F1784)&lt;&gt;0,N(G1784)&lt;&gt;0),"✗ 收入、支出只能填一边",IF(NOT(ISNUMBER(B1784)),"✗ 日期不是真日期（要像 2026/9/25 这样填）",IF(OR(B1784&lt;年初日,B1784&gt;年末日),"✗ 日期不在本会计年度",IF(C1784="","✗ 没选账户",IF(COUNTIF(基础资料!$W$5:$W$24,C1784)=0,"✗ 账户不在基础资料里",IF(O1784="","✗ 没选收支项目",IF(P1784="未知","✗ 收支项目不在基础资料里",IF(AND(P1784="应收",J1784=""),"✗ 这笔要选客户",IF(AND(P1784="应收",COUNTIF(总览汇总!$B$5:$B$304,J1784)=0),"✗ 客户不在总览汇总名单里",IF(AND(P1784="应付",K1784=""),"✗ 这笔要选供应商",IF(AND(P1784="应付",COUNTIF(基础资料!$Q$5:$Q$54,K1784)=0),"✗ 供应商不在基础资料里",IF(AND(P1784="费用",L1784=""),"✗ 费用支出要选费用项目",IF(AND(L1784&lt;&gt;"",COUNTIF(基础资料!$AI$5:$AI$54,L1784)=0),"✗ 费用项目不在基础资料里",IF(AND(IFERROR(INDEX(基础资料!$AD$5:$AD$34,MATCH(O1784,基础资料!$AC$5:$AC$34,0)),"")="收",N(G1784)&lt;&gt;0),"✗ 这类是收款，金额填到收入列",IF(AND(IFERROR(INDEX(基础资料!$AD$5:$AD$34,MATCH(O1784,基础资料!$AC$5:$AC$34,0)),"")="支",N(F1784)&lt;&gt;0),"✗ 这类是付款，金额填到支出列",IF(N(H1784)&lt;0,"⚠ 账户余额成负数了，核对一下","√"))))))))))))))))))</f>
      </c>
      <c r="O1784" s="78">
        <f>IF(D1784&lt;&gt;"",D1784,IF(AND(F1784="",G1784=""),"",IF(J1784&lt;&gt;"",IF(N(F1784)&gt;0,"客户回款","客户退款"),IF(K1784&lt;&gt;"",IF(N(G1784)&gt;0,"供应商付款","供应商退款"),IF(L1784&lt;&gt;"","费用支出","")))))</f>
      </c>
      <c r="P1784" s="78">
        <f>IF(O1784="","",IFERROR(INDEX(基础资料!$AE$5:$AE$34,MATCH(O1784,基础资料!$AC$5:$AC$34,0)),"未知"))</f>
      </c>
      <c r="Q1784" s="78">
        <f>IF(P1784="应收",COUNTIF(P$7:P1784,"应收"),"")</f>
      </c>
      <c r="R1784" s="78">
        <f>IF(P1784="应付",COUNTIF(P$7:P1784,"应付"),"")</f>
      </c>
      <c r="S1784" s="78">
        <f>N(F1784)-N(G1784)</f>
        <v>0</v>
      </c>
    </row>
    <row r="1785">
      <c r="A1785" s="109">
        <f>IF(AND(F1785="",G1785=""),"",ROW()-6)</f>
      </c>
      <c r="B1785" s="140" t="n"/>
      <c r="C1785" s="141" t="n"/>
      <c r="D1785" s="141" t="n"/>
      <c r="E1785" s="142" t="n"/>
      <c r="F1785" s="143" t="n"/>
      <c r="G1785" s="144" t="n"/>
      <c r="H1785" s="145">
        <f>IF(OR(C1785="",AND(F1785="",G1785="")),"",SUMIF(基础资料!$W$5:$W$24,C1785,基础资料!$X$5:$X$24)+SUMIF(C$7:C1785,C1785,F$7:F1785)-SUMIF(C$7:C1785,C1785,G$7:G1785))</f>
      </c>
      <c r="I1785" s="145">
        <f>IF(AND(F1785="",G1785=""),"",SUM(基础资料!$X$5:$X$24)+SUM(F$7:F1785)-SUM(G$7:G1785))</f>
      </c>
      <c r="J1785" s="141" t="n"/>
      <c r="K1785" s="141" t="n"/>
      <c r="L1785" s="141" t="n"/>
      <c r="M1785" s="142" t="n"/>
      <c r="N1785" s="146">
        <f>IF(AND(AND(F1785="",G1785=""),B1785="",C1785="",D1785="",J1785="",K1785="",L1785=""),"",IF(AND(F1785="",G1785=""),"✗ 没填金额",IF(AND(N(F1785)&lt;&gt;0,N(G1785)&lt;&gt;0),"✗ 收入、支出只能填一边",IF(NOT(ISNUMBER(B1785)),"✗ 日期不是真日期（要像 2026/9/25 这样填）",IF(OR(B1785&lt;年初日,B1785&gt;年末日),"✗ 日期不在本会计年度",IF(C1785="","✗ 没选账户",IF(COUNTIF(基础资料!$W$5:$W$24,C1785)=0,"✗ 账户不在基础资料里",IF(O1785="","✗ 没选收支项目",IF(P1785="未知","✗ 收支项目不在基础资料里",IF(AND(P1785="应收",J1785=""),"✗ 这笔要选客户",IF(AND(P1785="应收",COUNTIF(总览汇总!$B$5:$B$304,J1785)=0),"✗ 客户不在总览汇总名单里",IF(AND(P1785="应付",K1785=""),"✗ 这笔要选供应商",IF(AND(P1785="应付",COUNTIF(基础资料!$Q$5:$Q$54,K1785)=0),"✗ 供应商不在基础资料里",IF(AND(P1785="费用",L1785=""),"✗ 费用支出要选费用项目",IF(AND(L1785&lt;&gt;"",COUNTIF(基础资料!$AI$5:$AI$54,L1785)=0),"✗ 费用项目不在基础资料里",IF(AND(IFERROR(INDEX(基础资料!$AD$5:$AD$34,MATCH(O1785,基础资料!$AC$5:$AC$34,0)),"")="收",N(G1785)&lt;&gt;0),"✗ 这类是收款，金额填到收入列",IF(AND(IFERROR(INDEX(基础资料!$AD$5:$AD$34,MATCH(O1785,基础资料!$AC$5:$AC$34,0)),"")="支",N(F1785)&lt;&gt;0),"✗ 这类是付款，金额填到支出列",IF(N(H1785)&lt;0,"⚠ 账户余额成负数了，核对一下","√"))))))))))))))))))</f>
      </c>
      <c r="O1785" s="78">
        <f>IF(D1785&lt;&gt;"",D1785,IF(AND(F1785="",G1785=""),"",IF(J1785&lt;&gt;"",IF(N(F1785)&gt;0,"客户回款","客户退款"),IF(K1785&lt;&gt;"",IF(N(G1785)&gt;0,"供应商付款","供应商退款"),IF(L1785&lt;&gt;"","费用支出","")))))</f>
      </c>
      <c r="P1785" s="78">
        <f>IF(O1785="","",IFERROR(INDEX(基础资料!$AE$5:$AE$34,MATCH(O1785,基础资料!$AC$5:$AC$34,0)),"未知"))</f>
      </c>
      <c r="Q1785" s="78">
        <f>IF(P1785="应收",COUNTIF(P$7:P1785,"应收"),"")</f>
      </c>
      <c r="R1785" s="78">
        <f>IF(P1785="应付",COUNTIF(P$7:P1785,"应付"),"")</f>
      </c>
      <c r="S1785" s="78">
        <f>N(F1785)-N(G1785)</f>
        <v>0</v>
      </c>
    </row>
    <row r="1786">
      <c r="A1786" s="109">
        <f>IF(AND(F1786="",G1786=""),"",ROW()-6)</f>
      </c>
      <c r="B1786" s="140" t="n"/>
      <c r="C1786" s="141" t="n"/>
      <c r="D1786" s="141" t="n"/>
      <c r="E1786" s="142" t="n"/>
      <c r="F1786" s="143" t="n"/>
      <c r="G1786" s="144" t="n"/>
      <c r="H1786" s="145">
        <f>IF(OR(C1786="",AND(F1786="",G1786="")),"",SUMIF(基础资料!$W$5:$W$24,C1786,基础资料!$X$5:$X$24)+SUMIF(C$7:C1786,C1786,F$7:F1786)-SUMIF(C$7:C1786,C1786,G$7:G1786))</f>
      </c>
      <c r="I1786" s="145">
        <f>IF(AND(F1786="",G1786=""),"",SUM(基础资料!$X$5:$X$24)+SUM(F$7:F1786)-SUM(G$7:G1786))</f>
      </c>
      <c r="J1786" s="141" t="n"/>
      <c r="K1786" s="141" t="n"/>
      <c r="L1786" s="141" t="n"/>
      <c r="M1786" s="142" t="n"/>
      <c r="N1786" s="146">
        <f>IF(AND(AND(F1786="",G1786=""),B1786="",C1786="",D1786="",J1786="",K1786="",L1786=""),"",IF(AND(F1786="",G1786=""),"✗ 没填金额",IF(AND(N(F1786)&lt;&gt;0,N(G1786)&lt;&gt;0),"✗ 收入、支出只能填一边",IF(NOT(ISNUMBER(B1786)),"✗ 日期不是真日期（要像 2026/9/25 这样填）",IF(OR(B1786&lt;年初日,B1786&gt;年末日),"✗ 日期不在本会计年度",IF(C1786="","✗ 没选账户",IF(COUNTIF(基础资料!$W$5:$W$24,C1786)=0,"✗ 账户不在基础资料里",IF(O1786="","✗ 没选收支项目",IF(P1786="未知","✗ 收支项目不在基础资料里",IF(AND(P1786="应收",J1786=""),"✗ 这笔要选客户",IF(AND(P1786="应收",COUNTIF(总览汇总!$B$5:$B$304,J1786)=0),"✗ 客户不在总览汇总名单里",IF(AND(P1786="应付",K1786=""),"✗ 这笔要选供应商",IF(AND(P1786="应付",COUNTIF(基础资料!$Q$5:$Q$54,K1786)=0),"✗ 供应商不在基础资料里",IF(AND(P1786="费用",L1786=""),"✗ 费用支出要选费用项目",IF(AND(L1786&lt;&gt;"",COUNTIF(基础资料!$AI$5:$AI$54,L1786)=0),"✗ 费用项目不在基础资料里",IF(AND(IFERROR(INDEX(基础资料!$AD$5:$AD$34,MATCH(O1786,基础资料!$AC$5:$AC$34,0)),"")="收",N(G1786)&lt;&gt;0),"✗ 这类是收款，金额填到收入列",IF(AND(IFERROR(INDEX(基础资料!$AD$5:$AD$34,MATCH(O1786,基础资料!$AC$5:$AC$34,0)),"")="支",N(F1786)&lt;&gt;0),"✗ 这类是付款，金额填到支出列",IF(N(H1786)&lt;0,"⚠ 账户余额成负数了，核对一下","√"))))))))))))))))))</f>
      </c>
      <c r="O1786" s="78">
        <f>IF(D1786&lt;&gt;"",D1786,IF(AND(F1786="",G1786=""),"",IF(J1786&lt;&gt;"",IF(N(F1786)&gt;0,"客户回款","客户退款"),IF(K1786&lt;&gt;"",IF(N(G1786)&gt;0,"供应商付款","供应商退款"),IF(L1786&lt;&gt;"","费用支出","")))))</f>
      </c>
      <c r="P1786" s="78">
        <f>IF(O1786="","",IFERROR(INDEX(基础资料!$AE$5:$AE$34,MATCH(O1786,基础资料!$AC$5:$AC$34,0)),"未知"))</f>
      </c>
      <c r="Q1786" s="78">
        <f>IF(P1786="应收",COUNTIF(P$7:P1786,"应收"),"")</f>
      </c>
      <c r="R1786" s="78">
        <f>IF(P1786="应付",COUNTIF(P$7:P1786,"应付"),"")</f>
      </c>
      <c r="S1786" s="78">
        <f>N(F1786)-N(G1786)</f>
        <v>0</v>
      </c>
    </row>
    <row r="1787">
      <c r="A1787" s="109">
        <f>IF(AND(F1787="",G1787=""),"",ROW()-6)</f>
      </c>
      <c r="B1787" s="140" t="n"/>
      <c r="C1787" s="141" t="n"/>
      <c r="D1787" s="141" t="n"/>
      <c r="E1787" s="142" t="n"/>
      <c r="F1787" s="143" t="n"/>
      <c r="G1787" s="144" t="n"/>
      <c r="H1787" s="145">
        <f>IF(OR(C1787="",AND(F1787="",G1787="")),"",SUMIF(基础资料!$W$5:$W$24,C1787,基础资料!$X$5:$X$24)+SUMIF(C$7:C1787,C1787,F$7:F1787)-SUMIF(C$7:C1787,C1787,G$7:G1787))</f>
      </c>
      <c r="I1787" s="145">
        <f>IF(AND(F1787="",G1787=""),"",SUM(基础资料!$X$5:$X$24)+SUM(F$7:F1787)-SUM(G$7:G1787))</f>
      </c>
      <c r="J1787" s="141" t="n"/>
      <c r="K1787" s="141" t="n"/>
      <c r="L1787" s="141" t="n"/>
      <c r="M1787" s="142" t="n"/>
      <c r="N1787" s="146">
        <f>IF(AND(AND(F1787="",G1787=""),B1787="",C1787="",D1787="",J1787="",K1787="",L1787=""),"",IF(AND(F1787="",G1787=""),"✗ 没填金额",IF(AND(N(F1787)&lt;&gt;0,N(G1787)&lt;&gt;0),"✗ 收入、支出只能填一边",IF(NOT(ISNUMBER(B1787)),"✗ 日期不是真日期（要像 2026/9/25 这样填）",IF(OR(B1787&lt;年初日,B1787&gt;年末日),"✗ 日期不在本会计年度",IF(C1787="","✗ 没选账户",IF(COUNTIF(基础资料!$W$5:$W$24,C1787)=0,"✗ 账户不在基础资料里",IF(O1787="","✗ 没选收支项目",IF(P1787="未知","✗ 收支项目不在基础资料里",IF(AND(P1787="应收",J1787=""),"✗ 这笔要选客户",IF(AND(P1787="应收",COUNTIF(总览汇总!$B$5:$B$304,J1787)=0),"✗ 客户不在总览汇总名单里",IF(AND(P1787="应付",K1787=""),"✗ 这笔要选供应商",IF(AND(P1787="应付",COUNTIF(基础资料!$Q$5:$Q$54,K1787)=0),"✗ 供应商不在基础资料里",IF(AND(P1787="费用",L1787=""),"✗ 费用支出要选费用项目",IF(AND(L1787&lt;&gt;"",COUNTIF(基础资料!$AI$5:$AI$54,L1787)=0),"✗ 费用项目不在基础资料里",IF(AND(IFERROR(INDEX(基础资料!$AD$5:$AD$34,MATCH(O1787,基础资料!$AC$5:$AC$34,0)),"")="收",N(G1787)&lt;&gt;0),"✗ 这类是收款，金额填到收入列",IF(AND(IFERROR(INDEX(基础资料!$AD$5:$AD$34,MATCH(O1787,基础资料!$AC$5:$AC$34,0)),"")="支",N(F1787)&lt;&gt;0),"✗ 这类是付款，金额填到支出列",IF(N(H1787)&lt;0,"⚠ 账户余额成负数了，核对一下","√"))))))))))))))))))</f>
      </c>
      <c r="O1787" s="78">
        <f>IF(D1787&lt;&gt;"",D1787,IF(AND(F1787="",G1787=""),"",IF(J1787&lt;&gt;"",IF(N(F1787)&gt;0,"客户回款","客户退款"),IF(K1787&lt;&gt;"",IF(N(G1787)&gt;0,"供应商付款","供应商退款"),IF(L1787&lt;&gt;"","费用支出","")))))</f>
      </c>
      <c r="P1787" s="78">
        <f>IF(O1787="","",IFERROR(INDEX(基础资料!$AE$5:$AE$34,MATCH(O1787,基础资料!$AC$5:$AC$34,0)),"未知"))</f>
      </c>
      <c r="Q1787" s="78">
        <f>IF(P1787="应收",COUNTIF(P$7:P1787,"应收"),"")</f>
      </c>
      <c r="R1787" s="78">
        <f>IF(P1787="应付",COUNTIF(P$7:P1787,"应付"),"")</f>
      </c>
      <c r="S1787" s="78">
        <f>N(F1787)-N(G1787)</f>
        <v>0</v>
      </c>
    </row>
    <row r="1788">
      <c r="A1788" s="109">
        <f>IF(AND(F1788="",G1788=""),"",ROW()-6)</f>
      </c>
      <c r="B1788" s="140" t="n"/>
      <c r="C1788" s="141" t="n"/>
      <c r="D1788" s="141" t="n"/>
      <c r="E1788" s="142" t="n"/>
      <c r="F1788" s="143" t="n"/>
      <c r="G1788" s="144" t="n"/>
      <c r="H1788" s="145">
        <f>IF(OR(C1788="",AND(F1788="",G1788="")),"",SUMIF(基础资料!$W$5:$W$24,C1788,基础资料!$X$5:$X$24)+SUMIF(C$7:C1788,C1788,F$7:F1788)-SUMIF(C$7:C1788,C1788,G$7:G1788))</f>
      </c>
      <c r="I1788" s="145">
        <f>IF(AND(F1788="",G1788=""),"",SUM(基础资料!$X$5:$X$24)+SUM(F$7:F1788)-SUM(G$7:G1788))</f>
      </c>
      <c r="J1788" s="141" t="n"/>
      <c r="K1788" s="141" t="n"/>
      <c r="L1788" s="141" t="n"/>
      <c r="M1788" s="142" t="n"/>
      <c r="N1788" s="146">
        <f>IF(AND(AND(F1788="",G1788=""),B1788="",C1788="",D1788="",J1788="",K1788="",L1788=""),"",IF(AND(F1788="",G1788=""),"✗ 没填金额",IF(AND(N(F1788)&lt;&gt;0,N(G1788)&lt;&gt;0),"✗ 收入、支出只能填一边",IF(NOT(ISNUMBER(B1788)),"✗ 日期不是真日期（要像 2026/9/25 这样填）",IF(OR(B1788&lt;年初日,B1788&gt;年末日),"✗ 日期不在本会计年度",IF(C1788="","✗ 没选账户",IF(COUNTIF(基础资料!$W$5:$W$24,C1788)=0,"✗ 账户不在基础资料里",IF(O1788="","✗ 没选收支项目",IF(P1788="未知","✗ 收支项目不在基础资料里",IF(AND(P1788="应收",J1788=""),"✗ 这笔要选客户",IF(AND(P1788="应收",COUNTIF(总览汇总!$B$5:$B$304,J1788)=0),"✗ 客户不在总览汇总名单里",IF(AND(P1788="应付",K1788=""),"✗ 这笔要选供应商",IF(AND(P1788="应付",COUNTIF(基础资料!$Q$5:$Q$54,K1788)=0),"✗ 供应商不在基础资料里",IF(AND(P1788="费用",L1788=""),"✗ 费用支出要选费用项目",IF(AND(L1788&lt;&gt;"",COUNTIF(基础资料!$AI$5:$AI$54,L1788)=0),"✗ 费用项目不在基础资料里",IF(AND(IFERROR(INDEX(基础资料!$AD$5:$AD$34,MATCH(O1788,基础资料!$AC$5:$AC$34,0)),"")="收",N(G1788)&lt;&gt;0),"✗ 这类是收款，金额填到收入列",IF(AND(IFERROR(INDEX(基础资料!$AD$5:$AD$34,MATCH(O1788,基础资料!$AC$5:$AC$34,0)),"")="支",N(F1788)&lt;&gt;0),"✗ 这类是付款，金额填到支出列",IF(N(H1788)&lt;0,"⚠ 账户余额成负数了，核对一下","√"))))))))))))))))))</f>
      </c>
      <c r="O1788" s="78">
        <f>IF(D1788&lt;&gt;"",D1788,IF(AND(F1788="",G1788=""),"",IF(J1788&lt;&gt;"",IF(N(F1788)&gt;0,"客户回款","客户退款"),IF(K1788&lt;&gt;"",IF(N(G1788)&gt;0,"供应商付款","供应商退款"),IF(L1788&lt;&gt;"","费用支出","")))))</f>
      </c>
      <c r="P1788" s="78">
        <f>IF(O1788="","",IFERROR(INDEX(基础资料!$AE$5:$AE$34,MATCH(O1788,基础资料!$AC$5:$AC$34,0)),"未知"))</f>
      </c>
      <c r="Q1788" s="78">
        <f>IF(P1788="应收",COUNTIF(P$7:P1788,"应收"),"")</f>
      </c>
      <c r="R1788" s="78">
        <f>IF(P1788="应付",COUNTIF(P$7:P1788,"应付"),"")</f>
      </c>
      <c r="S1788" s="78">
        <f>N(F1788)-N(G1788)</f>
        <v>0</v>
      </c>
    </row>
    <row r="1789">
      <c r="A1789" s="109">
        <f>IF(AND(F1789="",G1789=""),"",ROW()-6)</f>
      </c>
      <c r="B1789" s="140" t="n"/>
      <c r="C1789" s="141" t="n"/>
      <c r="D1789" s="141" t="n"/>
      <c r="E1789" s="142" t="n"/>
      <c r="F1789" s="143" t="n"/>
      <c r="G1789" s="144" t="n"/>
      <c r="H1789" s="145">
        <f>IF(OR(C1789="",AND(F1789="",G1789="")),"",SUMIF(基础资料!$W$5:$W$24,C1789,基础资料!$X$5:$X$24)+SUMIF(C$7:C1789,C1789,F$7:F1789)-SUMIF(C$7:C1789,C1789,G$7:G1789))</f>
      </c>
      <c r="I1789" s="145">
        <f>IF(AND(F1789="",G1789=""),"",SUM(基础资料!$X$5:$X$24)+SUM(F$7:F1789)-SUM(G$7:G1789))</f>
      </c>
      <c r="J1789" s="141" t="n"/>
      <c r="K1789" s="141" t="n"/>
      <c r="L1789" s="141" t="n"/>
      <c r="M1789" s="142" t="n"/>
      <c r="N1789" s="146">
        <f>IF(AND(AND(F1789="",G1789=""),B1789="",C1789="",D1789="",J1789="",K1789="",L1789=""),"",IF(AND(F1789="",G1789=""),"✗ 没填金额",IF(AND(N(F1789)&lt;&gt;0,N(G1789)&lt;&gt;0),"✗ 收入、支出只能填一边",IF(NOT(ISNUMBER(B1789)),"✗ 日期不是真日期（要像 2026/9/25 这样填）",IF(OR(B1789&lt;年初日,B1789&gt;年末日),"✗ 日期不在本会计年度",IF(C1789="","✗ 没选账户",IF(COUNTIF(基础资料!$W$5:$W$24,C1789)=0,"✗ 账户不在基础资料里",IF(O1789="","✗ 没选收支项目",IF(P1789="未知","✗ 收支项目不在基础资料里",IF(AND(P1789="应收",J1789=""),"✗ 这笔要选客户",IF(AND(P1789="应收",COUNTIF(总览汇总!$B$5:$B$304,J1789)=0),"✗ 客户不在总览汇总名单里",IF(AND(P1789="应付",K1789=""),"✗ 这笔要选供应商",IF(AND(P1789="应付",COUNTIF(基础资料!$Q$5:$Q$54,K1789)=0),"✗ 供应商不在基础资料里",IF(AND(P1789="费用",L1789=""),"✗ 费用支出要选费用项目",IF(AND(L1789&lt;&gt;"",COUNTIF(基础资料!$AI$5:$AI$54,L1789)=0),"✗ 费用项目不在基础资料里",IF(AND(IFERROR(INDEX(基础资料!$AD$5:$AD$34,MATCH(O1789,基础资料!$AC$5:$AC$34,0)),"")="收",N(G1789)&lt;&gt;0),"✗ 这类是收款，金额填到收入列",IF(AND(IFERROR(INDEX(基础资料!$AD$5:$AD$34,MATCH(O1789,基础资料!$AC$5:$AC$34,0)),"")="支",N(F1789)&lt;&gt;0),"✗ 这类是付款，金额填到支出列",IF(N(H1789)&lt;0,"⚠ 账户余额成负数了，核对一下","√"))))))))))))))))))</f>
      </c>
      <c r="O1789" s="78">
        <f>IF(D1789&lt;&gt;"",D1789,IF(AND(F1789="",G1789=""),"",IF(J1789&lt;&gt;"",IF(N(F1789)&gt;0,"客户回款","客户退款"),IF(K1789&lt;&gt;"",IF(N(G1789)&gt;0,"供应商付款","供应商退款"),IF(L1789&lt;&gt;"","费用支出","")))))</f>
      </c>
      <c r="P1789" s="78">
        <f>IF(O1789="","",IFERROR(INDEX(基础资料!$AE$5:$AE$34,MATCH(O1789,基础资料!$AC$5:$AC$34,0)),"未知"))</f>
      </c>
      <c r="Q1789" s="78">
        <f>IF(P1789="应收",COUNTIF(P$7:P1789,"应收"),"")</f>
      </c>
      <c r="R1789" s="78">
        <f>IF(P1789="应付",COUNTIF(P$7:P1789,"应付"),"")</f>
      </c>
      <c r="S1789" s="78">
        <f>N(F1789)-N(G1789)</f>
        <v>0</v>
      </c>
    </row>
    <row r="1790">
      <c r="A1790" s="109">
        <f>IF(AND(F1790="",G1790=""),"",ROW()-6)</f>
      </c>
      <c r="B1790" s="140" t="n"/>
      <c r="C1790" s="141" t="n"/>
      <c r="D1790" s="141" t="n"/>
      <c r="E1790" s="142" t="n"/>
      <c r="F1790" s="143" t="n"/>
      <c r="G1790" s="144" t="n"/>
      <c r="H1790" s="145">
        <f>IF(OR(C1790="",AND(F1790="",G1790="")),"",SUMIF(基础资料!$W$5:$W$24,C1790,基础资料!$X$5:$X$24)+SUMIF(C$7:C1790,C1790,F$7:F1790)-SUMIF(C$7:C1790,C1790,G$7:G1790))</f>
      </c>
      <c r="I1790" s="145">
        <f>IF(AND(F1790="",G1790=""),"",SUM(基础资料!$X$5:$X$24)+SUM(F$7:F1790)-SUM(G$7:G1790))</f>
      </c>
      <c r="J1790" s="141" t="n"/>
      <c r="K1790" s="141" t="n"/>
      <c r="L1790" s="141" t="n"/>
      <c r="M1790" s="142" t="n"/>
      <c r="N1790" s="146">
        <f>IF(AND(AND(F1790="",G1790=""),B1790="",C1790="",D1790="",J1790="",K1790="",L1790=""),"",IF(AND(F1790="",G1790=""),"✗ 没填金额",IF(AND(N(F1790)&lt;&gt;0,N(G1790)&lt;&gt;0),"✗ 收入、支出只能填一边",IF(NOT(ISNUMBER(B1790)),"✗ 日期不是真日期（要像 2026/9/25 这样填）",IF(OR(B1790&lt;年初日,B1790&gt;年末日),"✗ 日期不在本会计年度",IF(C1790="","✗ 没选账户",IF(COUNTIF(基础资料!$W$5:$W$24,C1790)=0,"✗ 账户不在基础资料里",IF(O1790="","✗ 没选收支项目",IF(P1790="未知","✗ 收支项目不在基础资料里",IF(AND(P1790="应收",J1790=""),"✗ 这笔要选客户",IF(AND(P1790="应收",COUNTIF(总览汇总!$B$5:$B$304,J1790)=0),"✗ 客户不在总览汇总名单里",IF(AND(P1790="应付",K1790=""),"✗ 这笔要选供应商",IF(AND(P1790="应付",COUNTIF(基础资料!$Q$5:$Q$54,K1790)=0),"✗ 供应商不在基础资料里",IF(AND(P1790="费用",L1790=""),"✗ 费用支出要选费用项目",IF(AND(L1790&lt;&gt;"",COUNTIF(基础资料!$AI$5:$AI$54,L1790)=0),"✗ 费用项目不在基础资料里",IF(AND(IFERROR(INDEX(基础资料!$AD$5:$AD$34,MATCH(O1790,基础资料!$AC$5:$AC$34,0)),"")="收",N(G1790)&lt;&gt;0),"✗ 这类是收款，金额填到收入列",IF(AND(IFERROR(INDEX(基础资料!$AD$5:$AD$34,MATCH(O1790,基础资料!$AC$5:$AC$34,0)),"")="支",N(F1790)&lt;&gt;0),"✗ 这类是付款，金额填到支出列",IF(N(H1790)&lt;0,"⚠ 账户余额成负数了，核对一下","√"))))))))))))))))))</f>
      </c>
      <c r="O1790" s="78">
        <f>IF(D1790&lt;&gt;"",D1790,IF(AND(F1790="",G1790=""),"",IF(J1790&lt;&gt;"",IF(N(F1790)&gt;0,"客户回款","客户退款"),IF(K1790&lt;&gt;"",IF(N(G1790)&gt;0,"供应商付款","供应商退款"),IF(L1790&lt;&gt;"","费用支出","")))))</f>
      </c>
      <c r="P1790" s="78">
        <f>IF(O1790="","",IFERROR(INDEX(基础资料!$AE$5:$AE$34,MATCH(O1790,基础资料!$AC$5:$AC$34,0)),"未知"))</f>
      </c>
      <c r="Q1790" s="78">
        <f>IF(P1790="应收",COUNTIF(P$7:P1790,"应收"),"")</f>
      </c>
      <c r="R1790" s="78">
        <f>IF(P1790="应付",COUNTIF(P$7:P1790,"应付"),"")</f>
      </c>
      <c r="S1790" s="78">
        <f>N(F1790)-N(G1790)</f>
        <v>0</v>
      </c>
    </row>
    <row r="1791">
      <c r="A1791" s="109">
        <f>IF(AND(F1791="",G1791=""),"",ROW()-6)</f>
      </c>
      <c r="B1791" s="140" t="n"/>
      <c r="C1791" s="141" t="n"/>
      <c r="D1791" s="141" t="n"/>
      <c r="E1791" s="142" t="n"/>
      <c r="F1791" s="143" t="n"/>
      <c r="G1791" s="144" t="n"/>
      <c r="H1791" s="145">
        <f>IF(OR(C1791="",AND(F1791="",G1791="")),"",SUMIF(基础资料!$W$5:$W$24,C1791,基础资料!$X$5:$X$24)+SUMIF(C$7:C1791,C1791,F$7:F1791)-SUMIF(C$7:C1791,C1791,G$7:G1791))</f>
      </c>
      <c r="I1791" s="145">
        <f>IF(AND(F1791="",G1791=""),"",SUM(基础资料!$X$5:$X$24)+SUM(F$7:F1791)-SUM(G$7:G1791))</f>
      </c>
      <c r="J1791" s="141" t="n"/>
      <c r="K1791" s="141" t="n"/>
      <c r="L1791" s="141" t="n"/>
      <c r="M1791" s="142" t="n"/>
      <c r="N1791" s="146">
        <f>IF(AND(AND(F1791="",G1791=""),B1791="",C1791="",D1791="",J1791="",K1791="",L1791=""),"",IF(AND(F1791="",G1791=""),"✗ 没填金额",IF(AND(N(F1791)&lt;&gt;0,N(G1791)&lt;&gt;0),"✗ 收入、支出只能填一边",IF(NOT(ISNUMBER(B1791)),"✗ 日期不是真日期（要像 2026/9/25 这样填）",IF(OR(B1791&lt;年初日,B1791&gt;年末日),"✗ 日期不在本会计年度",IF(C1791="","✗ 没选账户",IF(COUNTIF(基础资料!$W$5:$W$24,C1791)=0,"✗ 账户不在基础资料里",IF(O1791="","✗ 没选收支项目",IF(P1791="未知","✗ 收支项目不在基础资料里",IF(AND(P1791="应收",J1791=""),"✗ 这笔要选客户",IF(AND(P1791="应收",COUNTIF(总览汇总!$B$5:$B$304,J1791)=0),"✗ 客户不在总览汇总名单里",IF(AND(P1791="应付",K1791=""),"✗ 这笔要选供应商",IF(AND(P1791="应付",COUNTIF(基础资料!$Q$5:$Q$54,K1791)=0),"✗ 供应商不在基础资料里",IF(AND(P1791="费用",L1791=""),"✗ 费用支出要选费用项目",IF(AND(L1791&lt;&gt;"",COUNTIF(基础资料!$AI$5:$AI$54,L1791)=0),"✗ 费用项目不在基础资料里",IF(AND(IFERROR(INDEX(基础资料!$AD$5:$AD$34,MATCH(O1791,基础资料!$AC$5:$AC$34,0)),"")="收",N(G1791)&lt;&gt;0),"✗ 这类是收款，金额填到收入列",IF(AND(IFERROR(INDEX(基础资料!$AD$5:$AD$34,MATCH(O1791,基础资料!$AC$5:$AC$34,0)),"")="支",N(F1791)&lt;&gt;0),"✗ 这类是付款，金额填到支出列",IF(N(H1791)&lt;0,"⚠ 账户余额成负数了，核对一下","√"))))))))))))))))))</f>
      </c>
      <c r="O1791" s="78">
        <f>IF(D1791&lt;&gt;"",D1791,IF(AND(F1791="",G1791=""),"",IF(J1791&lt;&gt;"",IF(N(F1791)&gt;0,"客户回款","客户退款"),IF(K1791&lt;&gt;"",IF(N(G1791)&gt;0,"供应商付款","供应商退款"),IF(L1791&lt;&gt;"","费用支出","")))))</f>
      </c>
      <c r="P1791" s="78">
        <f>IF(O1791="","",IFERROR(INDEX(基础资料!$AE$5:$AE$34,MATCH(O1791,基础资料!$AC$5:$AC$34,0)),"未知"))</f>
      </c>
      <c r="Q1791" s="78">
        <f>IF(P1791="应收",COUNTIF(P$7:P1791,"应收"),"")</f>
      </c>
      <c r="R1791" s="78">
        <f>IF(P1791="应付",COUNTIF(P$7:P1791,"应付"),"")</f>
      </c>
      <c r="S1791" s="78">
        <f>N(F1791)-N(G1791)</f>
        <v>0</v>
      </c>
    </row>
    <row r="1792">
      <c r="A1792" s="109">
        <f>IF(AND(F1792="",G1792=""),"",ROW()-6)</f>
      </c>
      <c r="B1792" s="140" t="n"/>
      <c r="C1792" s="141" t="n"/>
      <c r="D1792" s="141" t="n"/>
      <c r="E1792" s="142" t="n"/>
      <c r="F1792" s="143" t="n"/>
      <c r="G1792" s="144" t="n"/>
      <c r="H1792" s="145">
        <f>IF(OR(C1792="",AND(F1792="",G1792="")),"",SUMIF(基础资料!$W$5:$W$24,C1792,基础资料!$X$5:$X$24)+SUMIF(C$7:C1792,C1792,F$7:F1792)-SUMIF(C$7:C1792,C1792,G$7:G1792))</f>
      </c>
      <c r="I1792" s="145">
        <f>IF(AND(F1792="",G1792=""),"",SUM(基础资料!$X$5:$X$24)+SUM(F$7:F1792)-SUM(G$7:G1792))</f>
      </c>
      <c r="J1792" s="141" t="n"/>
      <c r="K1792" s="141" t="n"/>
      <c r="L1792" s="141" t="n"/>
      <c r="M1792" s="142" t="n"/>
      <c r="N1792" s="146">
        <f>IF(AND(AND(F1792="",G1792=""),B1792="",C1792="",D1792="",J1792="",K1792="",L1792=""),"",IF(AND(F1792="",G1792=""),"✗ 没填金额",IF(AND(N(F1792)&lt;&gt;0,N(G1792)&lt;&gt;0),"✗ 收入、支出只能填一边",IF(NOT(ISNUMBER(B1792)),"✗ 日期不是真日期（要像 2026/9/25 这样填）",IF(OR(B1792&lt;年初日,B1792&gt;年末日),"✗ 日期不在本会计年度",IF(C1792="","✗ 没选账户",IF(COUNTIF(基础资料!$W$5:$W$24,C1792)=0,"✗ 账户不在基础资料里",IF(O1792="","✗ 没选收支项目",IF(P1792="未知","✗ 收支项目不在基础资料里",IF(AND(P1792="应收",J1792=""),"✗ 这笔要选客户",IF(AND(P1792="应收",COUNTIF(总览汇总!$B$5:$B$304,J1792)=0),"✗ 客户不在总览汇总名单里",IF(AND(P1792="应付",K1792=""),"✗ 这笔要选供应商",IF(AND(P1792="应付",COUNTIF(基础资料!$Q$5:$Q$54,K1792)=0),"✗ 供应商不在基础资料里",IF(AND(P1792="费用",L1792=""),"✗ 费用支出要选费用项目",IF(AND(L1792&lt;&gt;"",COUNTIF(基础资料!$AI$5:$AI$54,L1792)=0),"✗ 费用项目不在基础资料里",IF(AND(IFERROR(INDEX(基础资料!$AD$5:$AD$34,MATCH(O1792,基础资料!$AC$5:$AC$34,0)),"")="收",N(G1792)&lt;&gt;0),"✗ 这类是收款，金额填到收入列",IF(AND(IFERROR(INDEX(基础资料!$AD$5:$AD$34,MATCH(O1792,基础资料!$AC$5:$AC$34,0)),"")="支",N(F1792)&lt;&gt;0),"✗ 这类是付款，金额填到支出列",IF(N(H1792)&lt;0,"⚠ 账户余额成负数了，核对一下","√"))))))))))))))))))</f>
      </c>
      <c r="O1792" s="78">
        <f>IF(D1792&lt;&gt;"",D1792,IF(AND(F1792="",G1792=""),"",IF(J1792&lt;&gt;"",IF(N(F1792)&gt;0,"客户回款","客户退款"),IF(K1792&lt;&gt;"",IF(N(G1792)&gt;0,"供应商付款","供应商退款"),IF(L1792&lt;&gt;"","费用支出","")))))</f>
      </c>
      <c r="P1792" s="78">
        <f>IF(O1792="","",IFERROR(INDEX(基础资料!$AE$5:$AE$34,MATCH(O1792,基础资料!$AC$5:$AC$34,0)),"未知"))</f>
      </c>
      <c r="Q1792" s="78">
        <f>IF(P1792="应收",COUNTIF(P$7:P1792,"应收"),"")</f>
      </c>
      <c r="R1792" s="78">
        <f>IF(P1792="应付",COUNTIF(P$7:P1792,"应付"),"")</f>
      </c>
      <c r="S1792" s="78">
        <f>N(F1792)-N(G1792)</f>
        <v>0</v>
      </c>
    </row>
    <row r="1793">
      <c r="A1793" s="109">
        <f>IF(AND(F1793="",G1793=""),"",ROW()-6)</f>
      </c>
      <c r="B1793" s="140" t="n"/>
      <c r="C1793" s="141" t="n"/>
      <c r="D1793" s="141" t="n"/>
      <c r="E1793" s="142" t="n"/>
      <c r="F1793" s="143" t="n"/>
      <c r="G1793" s="144" t="n"/>
      <c r="H1793" s="145">
        <f>IF(OR(C1793="",AND(F1793="",G1793="")),"",SUMIF(基础资料!$W$5:$W$24,C1793,基础资料!$X$5:$X$24)+SUMIF(C$7:C1793,C1793,F$7:F1793)-SUMIF(C$7:C1793,C1793,G$7:G1793))</f>
      </c>
      <c r="I1793" s="145">
        <f>IF(AND(F1793="",G1793=""),"",SUM(基础资料!$X$5:$X$24)+SUM(F$7:F1793)-SUM(G$7:G1793))</f>
      </c>
      <c r="J1793" s="141" t="n"/>
      <c r="K1793" s="141" t="n"/>
      <c r="L1793" s="141" t="n"/>
      <c r="M1793" s="142" t="n"/>
      <c r="N1793" s="146">
        <f>IF(AND(AND(F1793="",G1793=""),B1793="",C1793="",D1793="",J1793="",K1793="",L1793=""),"",IF(AND(F1793="",G1793=""),"✗ 没填金额",IF(AND(N(F1793)&lt;&gt;0,N(G1793)&lt;&gt;0),"✗ 收入、支出只能填一边",IF(NOT(ISNUMBER(B1793)),"✗ 日期不是真日期（要像 2026/9/25 这样填）",IF(OR(B1793&lt;年初日,B1793&gt;年末日),"✗ 日期不在本会计年度",IF(C1793="","✗ 没选账户",IF(COUNTIF(基础资料!$W$5:$W$24,C1793)=0,"✗ 账户不在基础资料里",IF(O1793="","✗ 没选收支项目",IF(P1793="未知","✗ 收支项目不在基础资料里",IF(AND(P1793="应收",J1793=""),"✗ 这笔要选客户",IF(AND(P1793="应收",COUNTIF(总览汇总!$B$5:$B$304,J1793)=0),"✗ 客户不在总览汇总名单里",IF(AND(P1793="应付",K1793=""),"✗ 这笔要选供应商",IF(AND(P1793="应付",COUNTIF(基础资料!$Q$5:$Q$54,K1793)=0),"✗ 供应商不在基础资料里",IF(AND(P1793="费用",L1793=""),"✗ 费用支出要选费用项目",IF(AND(L1793&lt;&gt;"",COUNTIF(基础资料!$AI$5:$AI$54,L1793)=0),"✗ 费用项目不在基础资料里",IF(AND(IFERROR(INDEX(基础资料!$AD$5:$AD$34,MATCH(O1793,基础资料!$AC$5:$AC$34,0)),"")="收",N(G1793)&lt;&gt;0),"✗ 这类是收款，金额填到收入列",IF(AND(IFERROR(INDEX(基础资料!$AD$5:$AD$34,MATCH(O1793,基础资料!$AC$5:$AC$34,0)),"")="支",N(F1793)&lt;&gt;0),"✗ 这类是付款，金额填到支出列",IF(N(H1793)&lt;0,"⚠ 账户余额成负数了，核对一下","√"))))))))))))))))))</f>
      </c>
      <c r="O1793" s="78">
        <f>IF(D1793&lt;&gt;"",D1793,IF(AND(F1793="",G1793=""),"",IF(J1793&lt;&gt;"",IF(N(F1793)&gt;0,"客户回款","客户退款"),IF(K1793&lt;&gt;"",IF(N(G1793)&gt;0,"供应商付款","供应商退款"),IF(L1793&lt;&gt;"","费用支出","")))))</f>
      </c>
      <c r="P1793" s="78">
        <f>IF(O1793="","",IFERROR(INDEX(基础资料!$AE$5:$AE$34,MATCH(O1793,基础资料!$AC$5:$AC$34,0)),"未知"))</f>
      </c>
      <c r="Q1793" s="78">
        <f>IF(P1793="应收",COUNTIF(P$7:P1793,"应收"),"")</f>
      </c>
      <c r="R1793" s="78">
        <f>IF(P1793="应付",COUNTIF(P$7:P1793,"应付"),"")</f>
      </c>
      <c r="S1793" s="78">
        <f>N(F1793)-N(G1793)</f>
        <v>0</v>
      </c>
    </row>
    <row r="1794">
      <c r="A1794" s="109">
        <f>IF(AND(F1794="",G1794=""),"",ROW()-6)</f>
      </c>
      <c r="B1794" s="140" t="n"/>
      <c r="C1794" s="141" t="n"/>
      <c r="D1794" s="141" t="n"/>
      <c r="E1794" s="142" t="n"/>
      <c r="F1794" s="143" t="n"/>
      <c r="G1794" s="144" t="n"/>
      <c r="H1794" s="145">
        <f>IF(OR(C1794="",AND(F1794="",G1794="")),"",SUMIF(基础资料!$W$5:$W$24,C1794,基础资料!$X$5:$X$24)+SUMIF(C$7:C1794,C1794,F$7:F1794)-SUMIF(C$7:C1794,C1794,G$7:G1794))</f>
      </c>
      <c r="I1794" s="145">
        <f>IF(AND(F1794="",G1794=""),"",SUM(基础资料!$X$5:$X$24)+SUM(F$7:F1794)-SUM(G$7:G1794))</f>
      </c>
      <c r="J1794" s="141" t="n"/>
      <c r="K1794" s="141" t="n"/>
      <c r="L1794" s="141" t="n"/>
      <c r="M1794" s="142" t="n"/>
      <c r="N1794" s="146">
        <f>IF(AND(AND(F1794="",G1794=""),B1794="",C1794="",D1794="",J1794="",K1794="",L1794=""),"",IF(AND(F1794="",G1794=""),"✗ 没填金额",IF(AND(N(F1794)&lt;&gt;0,N(G1794)&lt;&gt;0),"✗ 收入、支出只能填一边",IF(NOT(ISNUMBER(B1794)),"✗ 日期不是真日期（要像 2026/9/25 这样填）",IF(OR(B1794&lt;年初日,B1794&gt;年末日),"✗ 日期不在本会计年度",IF(C1794="","✗ 没选账户",IF(COUNTIF(基础资料!$W$5:$W$24,C1794)=0,"✗ 账户不在基础资料里",IF(O1794="","✗ 没选收支项目",IF(P1794="未知","✗ 收支项目不在基础资料里",IF(AND(P1794="应收",J1794=""),"✗ 这笔要选客户",IF(AND(P1794="应收",COUNTIF(总览汇总!$B$5:$B$304,J1794)=0),"✗ 客户不在总览汇总名单里",IF(AND(P1794="应付",K1794=""),"✗ 这笔要选供应商",IF(AND(P1794="应付",COUNTIF(基础资料!$Q$5:$Q$54,K1794)=0),"✗ 供应商不在基础资料里",IF(AND(P1794="费用",L1794=""),"✗ 费用支出要选费用项目",IF(AND(L1794&lt;&gt;"",COUNTIF(基础资料!$AI$5:$AI$54,L1794)=0),"✗ 费用项目不在基础资料里",IF(AND(IFERROR(INDEX(基础资料!$AD$5:$AD$34,MATCH(O1794,基础资料!$AC$5:$AC$34,0)),"")="收",N(G1794)&lt;&gt;0),"✗ 这类是收款，金额填到收入列",IF(AND(IFERROR(INDEX(基础资料!$AD$5:$AD$34,MATCH(O1794,基础资料!$AC$5:$AC$34,0)),"")="支",N(F1794)&lt;&gt;0),"✗ 这类是付款，金额填到支出列",IF(N(H1794)&lt;0,"⚠ 账户余额成负数了，核对一下","√"))))))))))))))))))</f>
      </c>
      <c r="O1794" s="78">
        <f>IF(D1794&lt;&gt;"",D1794,IF(AND(F1794="",G1794=""),"",IF(J1794&lt;&gt;"",IF(N(F1794)&gt;0,"客户回款","客户退款"),IF(K1794&lt;&gt;"",IF(N(G1794)&gt;0,"供应商付款","供应商退款"),IF(L1794&lt;&gt;"","费用支出","")))))</f>
      </c>
      <c r="P1794" s="78">
        <f>IF(O1794="","",IFERROR(INDEX(基础资料!$AE$5:$AE$34,MATCH(O1794,基础资料!$AC$5:$AC$34,0)),"未知"))</f>
      </c>
      <c r="Q1794" s="78">
        <f>IF(P1794="应收",COUNTIF(P$7:P1794,"应收"),"")</f>
      </c>
      <c r="R1794" s="78">
        <f>IF(P1794="应付",COUNTIF(P$7:P1794,"应付"),"")</f>
      </c>
      <c r="S1794" s="78">
        <f>N(F1794)-N(G1794)</f>
        <v>0</v>
      </c>
    </row>
    <row r="1795">
      <c r="A1795" s="109">
        <f>IF(AND(F1795="",G1795=""),"",ROW()-6)</f>
      </c>
      <c r="B1795" s="140" t="n"/>
      <c r="C1795" s="141" t="n"/>
      <c r="D1795" s="141" t="n"/>
      <c r="E1795" s="142" t="n"/>
      <c r="F1795" s="143" t="n"/>
      <c r="G1795" s="144" t="n"/>
      <c r="H1795" s="145">
        <f>IF(OR(C1795="",AND(F1795="",G1795="")),"",SUMIF(基础资料!$W$5:$W$24,C1795,基础资料!$X$5:$X$24)+SUMIF(C$7:C1795,C1795,F$7:F1795)-SUMIF(C$7:C1795,C1795,G$7:G1795))</f>
      </c>
      <c r="I1795" s="145">
        <f>IF(AND(F1795="",G1795=""),"",SUM(基础资料!$X$5:$X$24)+SUM(F$7:F1795)-SUM(G$7:G1795))</f>
      </c>
      <c r="J1795" s="141" t="n"/>
      <c r="K1795" s="141" t="n"/>
      <c r="L1795" s="141" t="n"/>
      <c r="M1795" s="142" t="n"/>
      <c r="N1795" s="146">
        <f>IF(AND(AND(F1795="",G1795=""),B1795="",C1795="",D1795="",J1795="",K1795="",L1795=""),"",IF(AND(F1795="",G1795=""),"✗ 没填金额",IF(AND(N(F1795)&lt;&gt;0,N(G1795)&lt;&gt;0),"✗ 收入、支出只能填一边",IF(NOT(ISNUMBER(B1795)),"✗ 日期不是真日期（要像 2026/9/25 这样填）",IF(OR(B1795&lt;年初日,B1795&gt;年末日),"✗ 日期不在本会计年度",IF(C1795="","✗ 没选账户",IF(COUNTIF(基础资料!$W$5:$W$24,C1795)=0,"✗ 账户不在基础资料里",IF(O1795="","✗ 没选收支项目",IF(P1795="未知","✗ 收支项目不在基础资料里",IF(AND(P1795="应收",J1795=""),"✗ 这笔要选客户",IF(AND(P1795="应收",COUNTIF(总览汇总!$B$5:$B$304,J1795)=0),"✗ 客户不在总览汇总名单里",IF(AND(P1795="应付",K1795=""),"✗ 这笔要选供应商",IF(AND(P1795="应付",COUNTIF(基础资料!$Q$5:$Q$54,K1795)=0),"✗ 供应商不在基础资料里",IF(AND(P1795="费用",L1795=""),"✗ 费用支出要选费用项目",IF(AND(L1795&lt;&gt;"",COUNTIF(基础资料!$AI$5:$AI$54,L1795)=0),"✗ 费用项目不在基础资料里",IF(AND(IFERROR(INDEX(基础资料!$AD$5:$AD$34,MATCH(O1795,基础资料!$AC$5:$AC$34,0)),"")="收",N(G1795)&lt;&gt;0),"✗ 这类是收款，金额填到收入列",IF(AND(IFERROR(INDEX(基础资料!$AD$5:$AD$34,MATCH(O1795,基础资料!$AC$5:$AC$34,0)),"")="支",N(F1795)&lt;&gt;0),"✗ 这类是付款，金额填到支出列",IF(N(H1795)&lt;0,"⚠ 账户余额成负数了，核对一下","√"))))))))))))))))))</f>
      </c>
      <c r="O1795" s="78">
        <f>IF(D1795&lt;&gt;"",D1795,IF(AND(F1795="",G1795=""),"",IF(J1795&lt;&gt;"",IF(N(F1795)&gt;0,"客户回款","客户退款"),IF(K1795&lt;&gt;"",IF(N(G1795)&gt;0,"供应商付款","供应商退款"),IF(L1795&lt;&gt;"","费用支出","")))))</f>
      </c>
      <c r="P1795" s="78">
        <f>IF(O1795="","",IFERROR(INDEX(基础资料!$AE$5:$AE$34,MATCH(O1795,基础资料!$AC$5:$AC$34,0)),"未知"))</f>
      </c>
      <c r="Q1795" s="78">
        <f>IF(P1795="应收",COUNTIF(P$7:P1795,"应收"),"")</f>
      </c>
      <c r="R1795" s="78">
        <f>IF(P1795="应付",COUNTIF(P$7:P1795,"应付"),"")</f>
      </c>
      <c r="S1795" s="78">
        <f>N(F1795)-N(G1795)</f>
        <v>0</v>
      </c>
    </row>
    <row r="1796">
      <c r="A1796" s="109">
        <f>IF(AND(F1796="",G1796=""),"",ROW()-6)</f>
      </c>
      <c r="B1796" s="140" t="n"/>
      <c r="C1796" s="141" t="n"/>
      <c r="D1796" s="141" t="n"/>
      <c r="E1796" s="142" t="n"/>
      <c r="F1796" s="143" t="n"/>
      <c r="G1796" s="144" t="n"/>
      <c r="H1796" s="145">
        <f>IF(OR(C1796="",AND(F1796="",G1796="")),"",SUMIF(基础资料!$W$5:$W$24,C1796,基础资料!$X$5:$X$24)+SUMIF(C$7:C1796,C1796,F$7:F1796)-SUMIF(C$7:C1796,C1796,G$7:G1796))</f>
      </c>
      <c r="I1796" s="145">
        <f>IF(AND(F1796="",G1796=""),"",SUM(基础资料!$X$5:$X$24)+SUM(F$7:F1796)-SUM(G$7:G1796))</f>
      </c>
      <c r="J1796" s="141" t="n"/>
      <c r="K1796" s="141" t="n"/>
      <c r="L1796" s="141" t="n"/>
      <c r="M1796" s="142" t="n"/>
      <c r="N1796" s="146">
        <f>IF(AND(AND(F1796="",G1796=""),B1796="",C1796="",D1796="",J1796="",K1796="",L1796=""),"",IF(AND(F1796="",G1796=""),"✗ 没填金额",IF(AND(N(F1796)&lt;&gt;0,N(G1796)&lt;&gt;0),"✗ 收入、支出只能填一边",IF(NOT(ISNUMBER(B1796)),"✗ 日期不是真日期（要像 2026/9/25 这样填）",IF(OR(B1796&lt;年初日,B1796&gt;年末日),"✗ 日期不在本会计年度",IF(C1796="","✗ 没选账户",IF(COUNTIF(基础资料!$W$5:$W$24,C1796)=0,"✗ 账户不在基础资料里",IF(O1796="","✗ 没选收支项目",IF(P1796="未知","✗ 收支项目不在基础资料里",IF(AND(P1796="应收",J1796=""),"✗ 这笔要选客户",IF(AND(P1796="应收",COUNTIF(总览汇总!$B$5:$B$304,J1796)=0),"✗ 客户不在总览汇总名单里",IF(AND(P1796="应付",K1796=""),"✗ 这笔要选供应商",IF(AND(P1796="应付",COUNTIF(基础资料!$Q$5:$Q$54,K1796)=0),"✗ 供应商不在基础资料里",IF(AND(P1796="费用",L1796=""),"✗ 费用支出要选费用项目",IF(AND(L1796&lt;&gt;"",COUNTIF(基础资料!$AI$5:$AI$54,L1796)=0),"✗ 费用项目不在基础资料里",IF(AND(IFERROR(INDEX(基础资料!$AD$5:$AD$34,MATCH(O1796,基础资料!$AC$5:$AC$34,0)),"")="收",N(G1796)&lt;&gt;0),"✗ 这类是收款，金额填到收入列",IF(AND(IFERROR(INDEX(基础资料!$AD$5:$AD$34,MATCH(O1796,基础资料!$AC$5:$AC$34,0)),"")="支",N(F1796)&lt;&gt;0),"✗ 这类是付款，金额填到支出列",IF(N(H1796)&lt;0,"⚠ 账户余额成负数了，核对一下","√"))))))))))))))))))</f>
      </c>
      <c r="O1796" s="78">
        <f>IF(D1796&lt;&gt;"",D1796,IF(AND(F1796="",G1796=""),"",IF(J1796&lt;&gt;"",IF(N(F1796)&gt;0,"客户回款","客户退款"),IF(K1796&lt;&gt;"",IF(N(G1796)&gt;0,"供应商付款","供应商退款"),IF(L1796&lt;&gt;"","费用支出","")))))</f>
      </c>
      <c r="P1796" s="78">
        <f>IF(O1796="","",IFERROR(INDEX(基础资料!$AE$5:$AE$34,MATCH(O1796,基础资料!$AC$5:$AC$34,0)),"未知"))</f>
      </c>
      <c r="Q1796" s="78">
        <f>IF(P1796="应收",COUNTIF(P$7:P1796,"应收"),"")</f>
      </c>
      <c r="R1796" s="78">
        <f>IF(P1796="应付",COUNTIF(P$7:P1796,"应付"),"")</f>
      </c>
      <c r="S1796" s="78">
        <f>N(F1796)-N(G1796)</f>
        <v>0</v>
      </c>
    </row>
    <row r="1797">
      <c r="A1797" s="109">
        <f>IF(AND(F1797="",G1797=""),"",ROW()-6)</f>
      </c>
      <c r="B1797" s="140" t="n"/>
      <c r="C1797" s="141" t="n"/>
      <c r="D1797" s="141" t="n"/>
      <c r="E1797" s="142" t="n"/>
      <c r="F1797" s="143" t="n"/>
      <c r="G1797" s="144" t="n"/>
      <c r="H1797" s="145">
        <f>IF(OR(C1797="",AND(F1797="",G1797="")),"",SUMIF(基础资料!$W$5:$W$24,C1797,基础资料!$X$5:$X$24)+SUMIF(C$7:C1797,C1797,F$7:F1797)-SUMIF(C$7:C1797,C1797,G$7:G1797))</f>
      </c>
      <c r="I1797" s="145">
        <f>IF(AND(F1797="",G1797=""),"",SUM(基础资料!$X$5:$X$24)+SUM(F$7:F1797)-SUM(G$7:G1797))</f>
      </c>
      <c r="J1797" s="141" t="n"/>
      <c r="K1797" s="141" t="n"/>
      <c r="L1797" s="141" t="n"/>
      <c r="M1797" s="142" t="n"/>
      <c r="N1797" s="146">
        <f>IF(AND(AND(F1797="",G1797=""),B1797="",C1797="",D1797="",J1797="",K1797="",L1797=""),"",IF(AND(F1797="",G1797=""),"✗ 没填金额",IF(AND(N(F1797)&lt;&gt;0,N(G1797)&lt;&gt;0),"✗ 收入、支出只能填一边",IF(NOT(ISNUMBER(B1797)),"✗ 日期不是真日期（要像 2026/9/25 这样填）",IF(OR(B1797&lt;年初日,B1797&gt;年末日),"✗ 日期不在本会计年度",IF(C1797="","✗ 没选账户",IF(COUNTIF(基础资料!$W$5:$W$24,C1797)=0,"✗ 账户不在基础资料里",IF(O1797="","✗ 没选收支项目",IF(P1797="未知","✗ 收支项目不在基础资料里",IF(AND(P1797="应收",J1797=""),"✗ 这笔要选客户",IF(AND(P1797="应收",COUNTIF(总览汇总!$B$5:$B$304,J1797)=0),"✗ 客户不在总览汇总名单里",IF(AND(P1797="应付",K1797=""),"✗ 这笔要选供应商",IF(AND(P1797="应付",COUNTIF(基础资料!$Q$5:$Q$54,K1797)=0),"✗ 供应商不在基础资料里",IF(AND(P1797="费用",L1797=""),"✗ 费用支出要选费用项目",IF(AND(L1797&lt;&gt;"",COUNTIF(基础资料!$AI$5:$AI$54,L1797)=0),"✗ 费用项目不在基础资料里",IF(AND(IFERROR(INDEX(基础资料!$AD$5:$AD$34,MATCH(O1797,基础资料!$AC$5:$AC$34,0)),"")="收",N(G1797)&lt;&gt;0),"✗ 这类是收款，金额填到收入列",IF(AND(IFERROR(INDEX(基础资料!$AD$5:$AD$34,MATCH(O1797,基础资料!$AC$5:$AC$34,0)),"")="支",N(F1797)&lt;&gt;0),"✗ 这类是付款，金额填到支出列",IF(N(H1797)&lt;0,"⚠ 账户余额成负数了，核对一下","√"))))))))))))))))))</f>
      </c>
      <c r="O1797" s="78">
        <f>IF(D1797&lt;&gt;"",D1797,IF(AND(F1797="",G1797=""),"",IF(J1797&lt;&gt;"",IF(N(F1797)&gt;0,"客户回款","客户退款"),IF(K1797&lt;&gt;"",IF(N(G1797)&gt;0,"供应商付款","供应商退款"),IF(L1797&lt;&gt;"","费用支出","")))))</f>
      </c>
      <c r="P1797" s="78">
        <f>IF(O1797="","",IFERROR(INDEX(基础资料!$AE$5:$AE$34,MATCH(O1797,基础资料!$AC$5:$AC$34,0)),"未知"))</f>
      </c>
      <c r="Q1797" s="78">
        <f>IF(P1797="应收",COUNTIF(P$7:P1797,"应收"),"")</f>
      </c>
      <c r="R1797" s="78">
        <f>IF(P1797="应付",COUNTIF(P$7:P1797,"应付"),"")</f>
      </c>
      <c r="S1797" s="78">
        <f>N(F1797)-N(G1797)</f>
        <v>0</v>
      </c>
    </row>
    <row r="1798">
      <c r="A1798" s="109">
        <f>IF(AND(F1798="",G1798=""),"",ROW()-6)</f>
      </c>
      <c r="B1798" s="140" t="n"/>
      <c r="C1798" s="141" t="n"/>
      <c r="D1798" s="141" t="n"/>
      <c r="E1798" s="142" t="n"/>
      <c r="F1798" s="143" t="n"/>
      <c r="G1798" s="144" t="n"/>
      <c r="H1798" s="145">
        <f>IF(OR(C1798="",AND(F1798="",G1798="")),"",SUMIF(基础资料!$W$5:$W$24,C1798,基础资料!$X$5:$X$24)+SUMIF(C$7:C1798,C1798,F$7:F1798)-SUMIF(C$7:C1798,C1798,G$7:G1798))</f>
      </c>
      <c r="I1798" s="145">
        <f>IF(AND(F1798="",G1798=""),"",SUM(基础资料!$X$5:$X$24)+SUM(F$7:F1798)-SUM(G$7:G1798))</f>
      </c>
      <c r="J1798" s="141" t="n"/>
      <c r="K1798" s="141" t="n"/>
      <c r="L1798" s="141" t="n"/>
      <c r="M1798" s="142" t="n"/>
      <c r="N1798" s="146">
        <f>IF(AND(AND(F1798="",G1798=""),B1798="",C1798="",D1798="",J1798="",K1798="",L1798=""),"",IF(AND(F1798="",G1798=""),"✗ 没填金额",IF(AND(N(F1798)&lt;&gt;0,N(G1798)&lt;&gt;0),"✗ 收入、支出只能填一边",IF(NOT(ISNUMBER(B1798)),"✗ 日期不是真日期（要像 2026/9/25 这样填）",IF(OR(B1798&lt;年初日,B1798&gt;年末日),"✗ 日期不在本会计年度",IF(C1798="","✗ 没选账户",IF(COUNTIF(基础资料!$W$5:$W$24,C1798)=0,"✗ 账户不在基础资料里",IF(O1798="","✗ 没选收支项目",IF(P1798="未知","✗ 收支项目不在基础资料里",IF(AND(P1798="应收",J1798=""),"✗ 这笔要选客户",IF(AND(P1798="应收",COUNTIF(总览汇总!$B$5:$B$304,J1798)=0),"✗ 客户不在总览汇总名单里",IF(AND(P1798="应付",K1798=""),"✗ 这笔要选供应商",IF(AND(P1798="应付",COUNTIF(基础资料!$Q$5:$Q$54,K1798)=0),"✗ 供应商不在基础资料里",IF(AND(P1798="费用",L1798=""),"✗ 费用支出要选费用项目",IF(AND(L1798&lt;&gt;"",COUNTIF(基础资料!$AI$5:$AI$54,L1798)=0),"✗ 费用项目不在基础资料里",IF(AND(IFERROR(INDEX(基础资料!$AD$5:$AD$34,MATCH(O1798,基础资料!$AC$5:$AC$34,0)),"")="收",N(G1798)&lt;&gt;0),"✗ 这类是收款，金额填到收入列",IF(AND(IFERROR(INDEX(基础资料!$AD$5:$AD$34,MATCH(O1798,基础资料!$AC$5:$AC$34,0)),"")="支",N(F1798)&lt;&gt;0),"✗ 这类是付款，金额填到支出列",IF(N(H1798)&lt;0,"⚠ 账户余额成负数了，核对一下","√"))))))))))))))))))</f>
      </c>
      <c r="O1798" s="78">
        <f>IF(D1798&lt;&gt;"",D1798,IF(AND(F1798="",G1798=""),"",IF(J1798&lt;&gt;"",IF(N(F1798)&gt;0,"客户回款","客户退款"),IF(K1798&lt;&gt;"",IF(N(G1798)&gt;0,"供应商付款","供应商退款"),IF(L1798&lt;&gt;"","费用支出","")))))</f>
      </c>
      <c r="P1798" s="78">
        <f>IF(O1798="","",IFERROR(INDEX(基础资料!$AE$5:$AE$34,MATCH(O1798,基础资料!$AC$5:$AC$34,0)),"未知"))</f>
      </c>
      <c r="Q1798" s="78">
        <f>IF(P1798="应收",COUNTIF(P$7:P1798,"应收"),"")</f>
      </c>
      <c r="R1798" s="78">
        <f>IF(P1798="应付",COUNTIF(P$7:P1798,"应付"),"")</f>
      </c>
      <c r="S1798" s="78">
        <f>N(F1798)-N(G1798)</f>
        <v>0</v>
      </c>
    </row>
    <row r="1799">
      <c r="A1799" s="109">
        <f>IF(AND(F1799="",G1799=""),"",ROW()-6)</f>
      </c>
      <c r="B1799" s="140" t="n"/>
      <c r="C1799" s="141" t="n"/>
      <c r="D1799" s="141" t="n"/>
      <c r="E1799" s="142" t="n"/>
      <c r="F1799" s="143" t="n"/>
      <c r="G1799" s="144" t="n"/>
      <c r="H1799" s="145">
        <f>IF(OR(C1799="",AND(F1799="",G1799="")),"",SUMIF(基础资料!$W$5:$W$24,C1799,基础资料!$X$5:$X$24)+SUMIF(C$7:C1799,C1799,F$7:F1799)-SUMIF(C$7:C1799,C1799,G$7:G1799))</f>
      </c>
      <c r="I1799" s="145">
        <f>IF(AND(F1799="",G1799=""),"",SUM(基础资料!$X$5:$X$24)+SUM(F$7:F1799)-SUM(G$7:G1799))</f>
      </c>
      <c r="J1799" s="141" t="n"/>
      <c r="K1799" s="141" t="n"/>
      <c r="L1799" s="141" t="n"/>
      <c r="M1799" s="142" t="n"/>
      <c r="N1799" s="146">
        <f>IF(AND(AND(F1799="",G1799=""),B1799="",C1799="",D1799="",J1799="",K1799="",L1799=""),"",IF(AND(F1799="",G1799=""),"✗ 没填金额",IF(AND(N(F1799)&lt;&gt;0,N(G1799)&lt;&gt;0),"✗ 收入、支出只能填一边",IF(NOT(ISNUMBER(B1799)),"✗ 日期不是真日期（要像 2026/9/25 这样填）",IF(OR(B1799&lt;年初日,B1799&gt;年末日),"✗ 日期不在本会计年度",IF(C1799="","✗ 没选账户",IF(COUNTIF(基础资料!$W$5:$W$24,C1799)=0,"✗ 账户不在基础资料里",IF(O1799="","✗ 没选收支项目",IF(P1799="未知","✗ 收支项目不在基础资料里",IF(AND(P1799="应收",J1799=""),"✗ 这笔要选客户",IF(AND(P1799="应收",COUNTIF(总览汇总!$B$5:$B$304,J1799)=0),"✗ 客户不在总览汇总名单里",IF(AND(P1799="应付",K1799=""),"✗ 这笔要选供应商",IF(AND(P1799="应付",COUNTIF(基础资料!$Q$5:$Q$54,K1799)=0),"✗ 供应商不在基础资料里",IF(AND(P1799="费用",L1799=""),"✗ 费用支出要选费用项目",IF(AND(L1799&lt;&gt;"",COUNTIF(基础资料!$AI$5:$AI$54,L1799)=0),"✗ 费用项目不在基础资料里",IF(AND(IFERROR(INDEX(基础资料!$AD$5:$AD$34,MATCH(O1799,基础资料!$AC$5:$AC$34,0)),"")="收",N(G1799)&lt;&gt;0),"✗ 这类是收款，金额填到收入列",IF(AND(IFERROR(INDEX(基础资料!$AD$5:$AD$34,MATCH(O1799,基础资料!$AC$5:$AC$34,0)),"")="支",N(F1799)&lt;&gt;0),"✗ 这类是付款，金额填到支出列",IF(N(H1799)&lt;0,"⚠ 账户余额成负数了，核对一下","√"))))))))))))))))))</f>
      </c>
      <c r="O1799" s="78">
        <f>IF(D1799&lt;&gt;"",D1799,IF(AND(F1799="",G1799=""),"",IF(J1799&lt;&gt;"",IF(N(F1799)&gt;0,"客户回款","客户退款"),IF(K1799&lt;&gt;"",IF(N(G1799)&gt;0,"供应商付款","供应商退款"),IF(L1799&lt;&gt;"","费用支出","")))))</f>
      </c>
      <c r="P1799" s="78">
        <f>IF(O1799="","",IFERROR(INDEX(基础资料!$AE$5:$AE$34,MATCH(O1799,基础资料!$AC$5:$AC$34,0)),"未知"))</f>
      </c>
      <c r="Q1799" s="78">
        <f>IF(P1799="应收",COUNTIF(P$7:P1799,"应收"),"")</f>
      </c>
      <c r="R1799" s="78">
        <f>IF(P1799="应付",COUNTIF(P$7:P1799,"应付"),"")</f>
      </c>
      <c r="S1799" s="78">
        <f>N(F1799)-N(G1799)</f>
        <v>0</v>
      </c>
    </row>
    <row r="1800">
      <c r="A1800" s="109">
        <f>IF(AND(F1800="",G1800=""),"",ROW()-6)</f>
      </c>
      <c r="B1800" s="140" t="n"/>
      <c r="C1800" s="141" t="n"/>
      <c r="D1800" s="141" t="n"/>
      <c r="E1800" s="142" t="n"/>
      <c r="F1800" s="143" t="n"/>
      <c r="G1800" s="144" t="n"/>
      <c r="H1800" s="145">
        <f>IF(OR(C1800="",AND(F1800="",G1800="")),"",SUMIF(基础资料!$W$5:$W$24,C1800,基础资料!$X$5:$X$24)+SUMIF(C$7:C1800,C1800,F$7:F1800)-SUMIF(C$7:C1800,C1800,G$7:G1800))</f>
      </c>
      <c r="I1800" s="145">
        <f>IF(AND(F1800="",G1800=""),"",SUM(基础资料!$X$5:$X$24)+SUM(F$7:F1800)-SUM(G$7:G1800))</f>
      </c>
      <c r="J1800" s="141" t="n"/>
      <c r="K1800" s="141" t="n"/>
      <c r="L1800" s="141" t="n"/>
      <c r="M1800" s="142" t="n"/>
      <c r="N1800" s="146">
        <f>IF(AND(AND(F1800="",G1800=""),B1800="",C1800="",D1800="",J1800="",K1800="",L1800=""),"",IF(AND(F1800="",G1800=""),"✗ 没填金额",IF(AND(N(F1800)&lt;&gt;0,N(G1800)&lt;&gt;0),"✗ 收入、支出只能填一边",IF(NOT(ISNUMBER(B1800)),"✗ 日期不是真日期（要像 2026/9/25 这样填）",IF(OR(B1800&lt;年初日,B1800&gt;年末日),"✗ 日期不在本会计年度",IF(C1800="","✗ 没选账户",IF(COUNTIF(基础资料!$W$5:$W$24,C1800)=0,"✗ 账户不在基础资料里",IF(O1800="","✗ 没选收支项目",IF(P1800="未知","✗ 收支项目不在基础资料里",IF(AND(P1800="应收",J1800=""),"✗ 这笔要选客户",IF(AND(P1800="应收",COUNTIF(总览汇总!$B$5:$B$304,J1800)=0),"✗ 客户不在总览汇总名单里",IF(AND(P1800="应付",K1800=""),"✗ 这笔要选供应商",IF(AND(P1800="应付",COUNTIF(基础资料!$Q$5:$Q$54,K1800)=0),"✗ 供应商不在基础资料里",IF(AND(P1800="费用",L1800=""),"✗ 费用支出要选费用项目",IF(AND(L1800&lt;&gt;"",COUNTIF(基础资料!$AI$5:$AI$54,L1800)=0),"✗ 费用项目不在基础资料里",IF(AND(IFERROR(INDEX(基础资料!$AD$5:$AD$34,MATCH(O1800,基础资料!$AC$5:$AC$34,0)),"")="收",N(G1800)&lt;&gt;0),"✗ 这类是收款，金额填到收入列",IF(AND(IFERROR(INDEX(基础资料!$AD$5:$AD$34,MATCH(O1800,基础资料!$AC$5:$AC$34,0)),"")="支",N(F1800)&lt;&gt;0),"✗ 这类是付款，金额填到支出列",IF(N(H1800)&lt;0,"⚠ 账户余额成负数了，核对一下","√"))))))))))))))))))</f>
      </c>
      <c r="O1800" s="78">
        <f>IF(D1800&lt;&gt;"",D1800,IF(AND(F1800="",G1800=""),"",IF(J1800&lt;&gt;"",IF(N(F1800)&gt;0,"客户回款","客户退款"),IF(K1800&lt;&gt;"",IF(N(G1800)&gt;0,"供应商付款","供应商退款"),IF(L1800&lt;&gt;"","费用支出","")))))</f>
      </c>
      <c r="P1800" s="78">
        <f>IF(O1800="","",IFERROR(INDEX(基础资料!$AE$5:$AE$34,MATCH(O1800,基础资料!$AC$5:$AC$34,0)),"未知"))</f>
      </c>
      <c r="Q1800" s="78">
        <f>IF(P1800="应收",COUNTIF(P$7:P1800,"应收"),"")</f>
      </c>
      <c r="R1800" s="78">
        <f>IF(P1800="应付",COUNTIF(P$7:P1800,"应付"),"")</f>
      </c>
      <c r="S1800" s="78">
        <f>N(F1800)-N(G1800)</f>
        <v>0</v>
      </c>
    </row>
    <row r="1801">
      <c r="A1801" s="109">
        <f>IF(AND(F1801="",G1801=""),"",ROW()-6)</f>
      </c>
      <c r="B1801" s="140" t="n"/>
      <c r="C1801" s="141" t="n"/>
      <c r="D1801" s="141" t="n"/>
      <c r="E1801" s="142" t="n"/>
      <c r="F1801" s="143" t="n"/>
      <c r="G1801" s="144" t="n"/>
      <c r="H1801" s="145">
        <f>IF(OR(C1801="",AND(F1801="",G1801="")),"",SUMIF(基础资料!$W$5:$W$24,C1801,基础资料!$X$5:$X$24)+SUMIF(C$7:C1801,C1801,F$7:F1801)-SUMIF(C$7:C1801,C1801,G$7:G1801))</f>
      </c>
      <c r="I1801" s="145">
        <f>IF(AND(F1801="",G1801=""),"",SUM(基础资料!$X$5:$X$24)+SUM(F$7:F1801)-SUM(G$7:G1801))</f>
      </c>
      <c r="J1801" s="141" t="n"/>
      <c r="K1801" s="141" t="n"/>
      <c r="L1801" s="141" t="n"/>
      <c r="M1801" s="142" t="n"/>
      <c r="N1801" s="146">
        <f>IF(AND(AND(F1801="",G1801=""),B1801="",C1801="",D1801="",J1801="",K1801="",L1801=""),"",IF(AND(F1801="",G1801=""),"✗ 没填金额",IF(AND(N(F1801)&lt;&gt;0,N(G1801)&lt;&gt;0),"✗ 收入、支出只能填一边",IF(NOT(ISNUMBER(B1801)),"✗ 日期不是真日期（要像 2026/9/25 这样填）",IF(OR(B1801&lt;年初日,B1801&gt;年末日),"✗ 日期不在本会计年度",IF(C1801="","✗ 没选账户",IF(COUNTIF(基础资料!$W$5:$W$24,C1801)=0,"✗ 账户不在基础资料里",IF(O1801="","✗ 没选收支项目",IF(P1801="未知","✗ 收支项目不在基础资料里",IF(AND(P1801="应收",J1801=""),"✗ 这笔要选客户",IF(AND(P1801="应收",COUNTIF(总览汇总!$B$5:$B$304,J1801)=0),"✗ 客户不在总览汇总名单里",IF(AND(P1801="应付",K1801=""),"✗ 这笔要选供应商",IF(AND(P1801="应付",COUNTIF(基础资料!$Q$5:$Q$54,K1801)=0),"✗ 供应商不在基础资料里",IF(AND(P1801="费用",L1801=""),"✗ 费用支出要选费用项目",IF(AND(L1801&lt;&gt;"",COUNTIF(基础资料!$AI$5:$AI$54,L1801)=0),"✗ 费用项目不在基础资料里",IF(AND(IFERROR(INDEX(基础资料!$AD$5:$AD$34,MATCH(O1801,基础资料!$AC$5:$AC$34,0)),"")="收",N(G1801)&lt;&gt;0),"✗ 这类是收款，金额填到收入列",IF(AND(IFERROR(INDEX(基础资料!$AD$5:$AD$34,MATCH(O1801,基础资料!$AC$5:$AC$34,0)),"")="支",N(F1801)&lt;&gt;0),"✗ 这类是付款，金额填到支出列",IF(N(H1801)&lt;0,"⚠ 账户余额成负数了，核对一下","√"))))))))))))))))))</f>
      </c>
      <c r="O1801" s="78">
        <f>IF(D1801&lt;&gt;"",D1801,IF(AND(F1801="",G1801=""),"",IF(J1801&lt;&gt;"",IF(N(F1801)&gt;0,"客户回款","客户退款"),IF(K1801&lt;&gt;"",IF(N(G1801)&gt;0,"供应商付款","供应商退款"),IF(L1801&lt;&gt;"","费用支出","")))))</f>
      </c>
      <c r="P1801" s="78">
        <f>IF(O1801="","",IFERROR(INDEX(基础资料!$AE$5:$AE$34,MATCH(O1801,基础资料!$AC$5:$AC$34,0)),"未知"))</f>
      </c>
      <c r="Q1801" s="78">
        <f>IF(P1801="应收",COUNTIF(P$7:P1801,"应收"),"")</f>
      </c>
      <c r="R1801" s="78">
        <f>IF(P1801="应付",COUNTIF(P$7:P1801,"应付"),"")</f>
      </c>
      <c r="S1801" s="78">
        <f>N(F1801)-N(G1801)</f>
        <v>0</v>
      </c>
    </row>
    <row r="1802">
      <c r="A1802" s="109">
        <f>IF(AND(F1802="",G1802=""),"",ROW()-6)</f>
      </c>
      <c r="B1802" s="140" t="n"/>
      <c r="C1802" s="141" t="n"/>
      <c r="D1802" s="141" t="n"/>
      <c r="E1802" s="142" t="n"/>
      <c r="F1802" s="143" t="n"/>
      <c r="G1802" s="144" t="n"/>
      <c r="H1802" s="145">
        <f>IF(OR(C1802="",AND(F1802="",G1802="")),"",SUMIF(基础资料!$W$5:$W$24,C1802,基础资料!$X$5:$X$24)+SUMIF(C$7:C1802,C1802,F$7:F1802)-SUMIF(C$7:C1802,C1802,G$7:G1802))</f>
      </c>
      <c r="I1802" s="145">
        <f>IF(AND(F1802="",G1802=""),"",SUM(基础资料!$X$5:$X$24)+SUM(F$7:F1802)-SUM(G$7:G1802))</f>
      </c>
      <c r="J1802" s="141" t="n"/>
      <c r="K1802" s="141" t="n"/>
      <c r="L1802" s="141" t="n"/>
      <c r="M1802" s="142" t="n"/>
      <c r="N1802" s="146">
        <f>IF(AND(AND(F1802="",G1802=""),B1802="",C1802="",D1802="",J1802="",K1802="",L1802=""),"",IF(AND(F1802="",G1802=""),"✗ 没填金额",IF(AND(N(F1802)&lt;&gt;0,N(G1802)&lt;&gt;0),"✗ 收入、支出只能填一边",IF(NOT(ISNUMBER(B1802)),"✗ 日期不是真日期（要像 2026/9/25 这样填）",IF(OR(B1802&lt;年初日,B1802&gt;年末日),"✗ 日期不在本会计年度",IF(C1802="","✗ 没选账户",IF(COUNTIF(基础资料!$W$5:$W$24,C1802)=0,"✗ 账户不在基础资料里",IF(O1802="","✗ 没选收支项目",IF(P1802="未知","✗ 收支项目不在基础资料里",IF(AND(P1802="应收",J1802=""),"✗ 这笔要选客户",IF(AND(P1802="应收",COUNTIF(总览汇总!$B$5:$B$304,J1802)=0),"✗ 客户不在总览汇总名单里",IF(AND(P1802="应付",K1802=""),"✗ 这笔要选供应商",IF(AND(P1802="应付",COUNTIF(基础资料!$Q$5:$Q$54,K1802)=0),"✗ 供应商不在基础资料里",IF(AND(P1802="费用",L1802=""),"✗ 费用支出要选费用项目",IF(AND(L1802&lt;&gt;"",COUNTIF(基础资料!$AI$5:$AI$54,L1802)=0),"✗ 费用项目不在基础资料里",IF(AND(IFERROR(INDEX(基础资料!$AD$5:$AD$34,MATCH(O1802,基础资料!$AC$5:$AC$34,0)),"")="收",N(G1802)&lt;&gt;0),"✗ 这类是收款，金额填到收入列",IF(AND(IFERROR(INDEX(基础资料!$AD$5:$AD$34,MATCH(O1802,基础资料!$AC$5:$AC$34,0)),"")="支",N(F1802)&lt;&gt;0),"✗ 这类是付款，金额填到支出列",IF(N(H1802)&lt;0,"⚠ 账户余额成负数了，核对一下","√"))))))))))))))))))</f>
      </c>
      <c r="O1802" s="78">
        <f>IF(D1802&lt;&gt;"",D1802,IF(AND(F1802="",G1802=""),"",IF(J1802&lt;&gt;"",IF(N(F1802)&gt;0,"客户回款","客户退款"),IF(K1802&lt;&gt;"",IF(N(G1802)&gt;0,"供应商付款","供应商退款"),IF(L1802&lt;&gt;"","费用支出","")))))</f>
      </c>
      <c r="P1802" s="78">
        <f>IF(O1802="","",IFERROR(INDEX(基础资料!$AE$5:$AE$34,MATCH(O1802,基础资料!$AC$5:$AC$34,0)),"未知"))</f>
      </c>
      <c r="Q1802" s="78">
        <f>IF(P1802="应收",COUNTIF(P$7:P1802,"应收"),"")</f>
      </c>
      <c r="R1802" s="78">
        <f>IF(P1802="应付",COUNTIF(P$7:P1802,"应付"),"")</f>
      </c>
      <c r="S1802" s="78">
        <f>N(F1802)-N(G1802)</f>
        <v>0</v>
      </c>
    </row>
    <row r="1803">
      <c r="A1803" s="109">
        <f>IF(AND(F1803="",G1803=""),"",ROW()-6)</f>
      </c>
      <c r="B1803" s="140" t="n"/>
      <c r="C1803" s="141" t="n"/>
      <c r="D1803" s="141" t="n"/>
      <c r="E1803" s="142" t="n"/>
      <c r="F1803" s="143" t="n"/>
      <c r="G1803" s="144" t="n"/>
      <c r="H1803" s="145">
        <f>IF(OR(C1803="",AND(F1803="",G1803="")),"",SUMIF(基础资料!$W$5:$W$24,C1803,基础资料!$X$5:$X$24)+SUMIF(C$7:C1803,C1803,F$7:F1803)-SUMIF(C$7:C1803,C1803,G$7:G1803))</f>
      </c>
      <c r="I1803" s="145">
        <f>IF(AND(F1803="",G1803=""),"",SUM(基础资料!$X$5:$X$24)+SUM(F$7:F1803)-SUM(G$7:G1803))</f>
      </c>
      <c r="J1803" s="141" t="n"/>
      <c r="K1803" s="141" t="n"/>
      <c r="L1803" s="141" t="n"/>
      <c r="M1803" s="142" t="n"/>
      <c r="N1803" s="146">
        <f>IF(AND(AND(F1803="",G1803=""),B1803="",C1803="",D1803="",J1803="",K1803="",L1803=""),"",IF(AND(F1803="",G1803=""),"✗ 没填金额",IF(AND(N(F1803)&lt;&gt;0,N(G1803)&lt;&gt;0),"✗ 收入、支出只能填一边",IF(NOT(ISNUMBER(B1803)),"✗ 日期不是真日期（要像 2026/9/25 这样填）",IF(OR(B1803&lt;年初日,B1803&gt;年末日),"✗ 日期不在本会计年度",IF(C1803="","✗ 没选账户",IF(COUNTIF(基础资料!$W$5:$W$24,C1803)=0,"✗ 账户不在基础资料里",IF(O1803="","✗ 没选收支项目",IF(P1803="未知","✗ 收支项目不在基础资料里",IF(AND(P1803="应收",J1803=""),"✗ 这笔要选客户",IF(AND(P1803="应收",COUNTIF(总览汇总!$B$5:$B$304,J1803)=0),"✗ 客户不在总览汇总名单里",IF(AND(P1803="应付",K1803=""),"✗ 这笔要选供应商",IF(AND(P1803="应付",COUNTIF(基础资料!$Q$5:$Q$54,K1803)=0),"✗ 供应商不在基础资料里",IF(AND(P1803="费用",L1803=""),"✗ 费用支出要选费用项目",IF(AND(L1803&lt;&gt;"",COUNTIF(基础资料!$AI$5:$AI$54,L1803)=0),"✗ 费用项目不在基础资料里",IF(AND(IFERROR(INDEX(基础资料!$AD$5:$AD$34,MATCH(O1803,基础资料!$AC$5:$AC$34,0)),"")="收",N(G1803)&lt;&gt;0),"✗ 这类是收款，金额填到收入列",IF(AND(IFERROR(INDEX(基础资料!$AD$5:$AD$34,MATCH(O1803,基础资料!$AC$5:$AC$34,0)),"")="支",N(F1803)&lt;&gt;0),"✗ 这类是付款，金额填到支出列",IF(N(H1803)&lt;0,"⚠ 账户余额成负数了，核对一下","√"))))))))))))))))))</f>
      </c>
      <c r="O1803" s="78">
        <f>IF(D1803&lt;&gt;"",D1803,IF(AND(F1803="",G1803=""),"",IF(J1803&lt;&gt;"",IF(N(F1803)&gt;0,"客户回款","客户退款"),IF(K1803&lt;&gt;"",IF(N(G1803)&gt;0,"供应商付款","供应商退款"),IF(L1803&lt;&gt;"","费用支出","")))))</f>
      </c>
      <c r="P1803" s="78">
        <f>IF(O1803="","",IFERROR(INDEX(基础资料!$AE$5:$AE$34,MATCH(O1803,基础资料!$AC$5:$AC$34,0)),"未知"))</f>
      </c>
      <c r="Q1803" s="78">
        <f>IF(P1803="应收",COUNTIF(P$7:P1803,"应收"),"")</f>
      </c>
      <c r="R1803" s="78">
        <f>IF(P1803="应付",COUNTIF(P$7:P1803,"应付"),"")</f>
      </c>
      <c r="S1803" s="78">
        <f>N(F1803)-N(G1803)</f>
        <v>0</v>
      </c>
    </row>
    <row r="1804">
      <c r="A1804" s="109">
        <f>IF(AND(F1804="",G1804=""),"",ROW()-6)</f>
      </c>
      <c r="B1804" s="140" t="n"/>
      <c r="C1804" s="141" t="n"/>
      <c r="D1804" s="141" t="n"/>
      <c r="E1804" s="142" t="n"/>
      <c r="F1804" s="143" t="n"/>
      <c r="G1804" s="144" t="n"/>
      <c r="H1804" s="145">
        <f>IF(OR(C1804="",AND(F1804="",G1804="")),"",SUMIF(基础资料!$W$5:$W$24,C1804,基础资料!$X$5:$X$24)+SUMIF(C$7:C1804,C1804,F$7:F1804)-SUMIF(C$7:C1804,C1804,G$7:G1804))</f>
      </c>
      <c r="I1804" s="145">
        <f>IF(AND(F1804="",G1804=""),"",SUM(基础资料!$X$5:$X$24)+SUM(F$7:F1804)-SUM(G$7:G1804))</f>
      </c>
      <c r="J1804" s="141" t="n"/>
      <c r="K1804" s="141" t="n"/>
      <c r="L1804" s="141" t="n"/>
      <c r="M1804" s="142" t="n"/>
      <c r="N1804" s="146">
        <f>IF(AND(AND(F1804="",G1804=""),B1804="",C1804="",D1804="",J1804="",K1804="",L1804=""),"",IF(AND(F1804="",G1804=""),"✗ 没填金额",IF(AND(N(F1804)&lt;&gt;0,N(G1804)&lt;&gt;0),"✗ 收入、支出只能填一边",IF(NOT(ISNUMBER(B1804)),"✗ 日期不是真日期（要像 2026/9/25 这样填）",IF(OR(B1804&lt;年初日,B1804&gt;年末日),"✗ 日期不在本会计年度",IF(C1804="","✗ 没选账户",IF(COUNTIF(基础资料!$W$5:$W$24,C1804)=0,"✗ 账户不在基础资料里",IF(O1804="","✗ 没选收支项目",IF(P1804="未知","✗ 收支项目不在基础资料里",IF(AND(P1804="应收",J1804=""),"✗ 这笔要选客户",IF(AND(P1804="应收",COUNTIF(总览汇总!$B$5:$B$304,J1804)=0),"✗ 客户不在总览汇总名单里",IF(AND(P1804="应付",K1804=""),"✗ 这笔要选供应商",IF(AND(P1804="应付",COUNTIF(基础资料!$Q$5:$Q$54,K1804)=0),"✗ 供应商不在基础资料里",IF(AND(P1804="费用",L1804=""),"✗ 费用支出要选费用项目",IF(AND(L1804&lt;&gt;"",COUNTIF(基础资料!$AI$5:$AI$54,L1804)=0),"✗ 费用项目不在基础资料里",IF(AND(IFERROR(INDEX(基础资料!$AD$5:$AD$34,MATCH(O1804,基础资料!$AC$5:$AC$34,0)),"")="收",N(G1804)&lt;&gt;0),"✗ 这类是收款，金额填到收入列",IF(AND(IFERROR(INDEX(基础资料!$AD$5:$AD$34,MATCH(O1804,基础资料!$AC$5:$AC$34,0)),"")="支",N(F1804)&lt;&gt;0),"✗ 这类是付款，金额填到支出列",IF(N(H1804)&lt;0,"⚠ 账户余额成负数了，核对一下","√"))))))))))))))))))</f>
      </c>
      <c r="O1804" s="78">
        <f>IF(D1804&lt;&gt;"",D1804,IF(AND(F1804="",G1804=""),"",IF(J1804&lt;&gt;"",IF(N(F1804)&gt;0,"客户回款","客户退款"),IF(K1804&lt;&gt;"",IF(N(G1804)&gt;0,"供应商付款","供应商退款"),IF(L1804&lt;&gt;"","费用支出","")))))</f>
      </c>
      <c r="P1804" s="78">
        <f>IF(O1804="","",IFERROR(INDEX(基础资料!$AE$5:$AE$34,MATCH(O1804,基础资料!$AC$5:$AC$34,0)),"未知"))</f>
      </c>
      <c r="Q1804" s="78">
        <f>IF(P1804="应收",COUNTIF(P$7:P1804,"应收"),"")</f>
      </c>
      <c r="R1804" s="78">
        <f>IF(P1804="应付",COUNTIF(P$7:P1804,"应付"),"")</f>
      </c>
      <c r="S1804" s="78">
        <f>N(F1804)-N(G1804)</f>
        <v>0</v>
      </c>
    </row>
    <row r="1805">
      <c r="A1805" s="109">
        <f>IF(AND(F1805="",G1805=""),"",ROW()-6)</f>
      </c>
      <c r="B1805" s="140" t="n"/>
      <c r="C1805" s="141" t="n"/>
      <c r="D1805" s="141" t="n"/>
      <c r="E1805" s="142" t="n"/>
      <c r="F1805" s="143" t="n"/>
      <c r="G1805" s="144" t="n"/>
      <c r="H1805" s="145">
        <f>IF(OR(C1805="",AND(F1805="",G1805="")),"",SUMIF(基础资料!$W$5:$W$24,C1805,基础资料!$X$5:$X$24)+SUMIF(C$7:C1805,C1805,F$7:F1805)-SUMIF(C$7:C1805,C1805,G$7:G1805))</f>
      </c>
      <c r="I1805" s="145">
        <f>IF(AND(F1805="",G1805=""),"",SUM(基础资料!$X$5:$X$24)+SUM(F$7:F1805)-SUM(G$7:G1805))</f>
      </c>
      <c r="J1805" s="141" t="n"/>
      <c r="K1805" s="141" t="n"/>
      <c r="L1805" s="141" t="n"/>
      <c r="M1805" s="142" t="n"/>
      <c r="N1805" s="146">
        <f>IF(AND(AND(F1805="",G1805=""),B1805="",C1805="",D1805="",J1805="",K1805="",L1805=""),"",IF(AND(F1805="",G1805=""),"✗ 没填金额",IF(AND(N(F1805)&lt;&gt;0,N(G1805)&lt;&gt;0),"✗ 收入、支出只能填一边",IF(NOT(ISNUMBER(B1805)),"✗ 日期不是真日期（要像 2026/9/25 这样填）",IF(OR(B1805&lt;年初日,B1805&gt;年末日),"✗ 日期不在本会计年度",IF(C1805="","✗ 没选账户",IF(COUNTIF(基础资料!$W$5:$W$24,C1805)=0,"✗ 账户不在基础资料里",IF(O1805="","✗ 没选收支项目",IF(P1805="未知","✗ 收支项目不在基础资料里",IF(AND(P1805="应收",J1805=""),"✗ 这笔要选客户",IF(AND(P1805="应收",COUNTIF(总览汇总!$B$5:$B$304,J1805)=0),"✗ 客户不在总览汇总名单里",IF(AND(P1805="应付",K1805=""),"✗ 这笔要选供应商",IF(AND(P1805="应付",COUNTIF(基础资料!$Q$5:$Q$54,K1805)=0),"✗ 供应商不在基础资料里",IF(AND(P1805="费用",L1805=""),"✗ 费用支出要选费用项目",IF(AND(L1805&lt;&gt;"",COUNTIF(基础资料!$AI$5:$AI$54,L1805)=0),"✗ 费用项目不在基础资料里",IF(AND(IFERROR(INDEX(基础资料!$AD$5:$AD$34,MATCH(O1805,基础资料!$AC$5:$AC$34,0)),"")="收",N(G1805)&lt;&gt;0),"✗ 这类是收款，金额填到收入列",IF(AND(IFERROR(INDEX(基础资料!$AD$5:$AD$34,MATCH(O1805,基础资料!$AC$5:$AC$34,0)),"")="支",N(F1805)&lt;&gt;0),"✗ 这类是付款，金额填到支出列",IF(N(H1805)&lt;0,"⚠ 账户余额成负数了，核对一下","√"))))))))))))))))))</f>
      </c>
      <c r="O1805" s="78">
        <f>IF(D1805&lt;&gt;"",D1805,IF(AND(F1805="",G1805=""),"",IF(J1805&lt;&gt;"",IF(N(F1805)&gt;0,"客户回款","客户退款"),IF(K1805&lt;&gt;"",IF(N(G1805)&gt;0,"供应商付款","供应商退款"),IF(L1805&lt;&gt;"","费用支出","")))))</f>
      </c>
      <c r="P1805" s="78">
        <f>IF(O1805="","",IFERROR(INDEX(基础资料!$AE$5:$AE$34,MATCH(O1805,基础资料!$AC$5:$AC$34,0)),"未知"))</f>
      </c>
      <c r="Q1805" s="78">
        <f>IF(P1805="应收",COUNTIF(P$7:P1805,"应收"),"")</f>
      </c>
      <c r="R1805" s="78">
        <f>IF(P1805="应付",COUNTIF(P$7:P1805,"应付"),"")</f>
      </c>
      <c r="S1805" s="78">
        <f>N(F1805)-N(G1805)</f>
        <v>0</v>
      </c>
    </row>
    <row r="1806">
      <c r="A1806" s="109">
        <f>IF(AND(F1806="",G1806=""),"",ROW()-6)</f>
      </c>
      <c r="B1806" s="140" t="n"/>
      <c r="C1806" s="141" t="n"/>
      <c r="D1806" s="141" t="n"/>
      <c r="E1806" s="142" t="n"/>
      <c r="F1806" s="143" t="n"/>
      <c r="G1806" s="144" t="n"/>
      <c r="H1806" s="145">
        <f>IF(OR(C1806="",AND(F1806="",G1806="")),"",SUMIF(基础资料!$W$5:$W$24,C1806,基础资料!$X$5:$X$24)+SUMIF(C$7:C1806,C1806,F$7:F1806)-SUMIF(C$7:C1806,C1806,G$7:G1806))</f>
      </c>
      <c r="I1806" s="145">
        <f>IF(AND(F1806="",G1806=""),"",SUM(基础资料!$X$5:$X$24)+SUM(F$7:F1806)-SUM(G$7:G1806))</f>
      </c>
      <c r="J1806" s="141" t="n"/>
      <c r="K1806" s="141" t="n"/>
      <c r="L1806" s="141" t="n"/>
      <c r="M1806" s="142" t="n"/>
      <c r="N1806" s="146">
        <f>IF(AND(AND(F1806="",G1806=""),B1806="",C1806="",D1806="",J1806="",K1806="",L1806=""),"",IF(AND(F1806="",G1806=""),"✗ 没填金额",IF(AND(N(F1806)&lt;&gt;0,N(G1806)&lt;&gt;0),"✗ 收入、支出只能填一边",IF(NOT(ISNUMBER(B1806)),"✗ 日期不是真日期（要像 2026/9/25 这样填）",IF(OR(B1806&lt;年初日,B1806&gt;年末日),"✗ 日期不在本会计年度",IF(C1806="","✗ 没选账户",IF(COUNTIF(基础资料!$W$5:$W$24,C1806)=0,"✗ 账户不在基础资料里",IF(O1806="","✗ 没选收支项目",IF(P1806="未知","✗ 收支项目不在基础资料里",IF(AND(P1806="应收",J1806=""),"✗ 这笔要选客户",IF(AND(P1806="应收",COUNTIF(总览汇总!$B$5:$B$304,J1806)=0),"✗ 客户不在总览汇总名单里",IF(AND(P1806="应付",K1806=""),"✗ 这笔要选供应商",IF(AND(P1806="应付",COUNTIF(基础资料!$Q$5:$Q$54,K1806)=0),"✗ 供应商不在基础资料里",IF(AND(P1806="费用",L1806=""),"✗ 费用支出要选费用项目",IF(AND(L1806&lt;&gt;"",COUNTIF(基础资料!$AI$5:$AI$54,L1806)=0),"✗ 费用项目不在基础资料里",IF(AND(IFERROR(INDEX(基础资料!$AD$5:$AD$34,MATCH(O1806,基础资料!$AC$5:$AC$34,0)),"")="收",N(G1806)&lt;&gt;0),"✗ 这类是收款，金额填到收入列",IF(AND(IFERROR(INDEX(基础资料!$AD$5:$AD$34,MATCH(O1806,基础资料!$AC$5:$AC$34,0)),"")="支",N(F1806)&lt;&gt;0),"✗ 这类是付款，金额填到支出列",IF(N(H1806)&lt;0,"⚠ 账户余额成负数了，核对一下","√"))))))))))))))))))</f>
      </c>
      <c r="O1806" s="78">
        <f>IF(D1806&lt;&gt;"",D1806,IF(AND(F1806="",G1806=""),"",IF(J1806&lt;&gt;"",IF(N(F1806)&gt;0,"客户回款","客户退款"),IF(K1806&lt;&gt;"",IF(N(G1806)&gt;0,"供应商付款","供应商退款"),IF(L1806&lt;&gt;"","费用支出","")))))</f>
      </c>
      <c r="P1806" s="78">
        <f>IF(O1806="","",IFERROR(INDEX(基础资料!$AE$5:$AE$34,MATCH(O1806,基础资料!$AC$5:$AC$34,0)),"未知"))</f>
      </c>
      <c r="Q1806" s="78">
        <f>IF(P1806="应收",COUNTIF(P$7:P1806,"应收"),"")</f>
      </c>
      <c r="R1806" s="78">
        <f>IF(P1806="应付",COUNTIF(P$7:P1806,"应付"),"")</f>
      </c>
      <c r="S1806" s="78">
        <f>N(F1806)-N(G1806)</f>
        <v>0</v>
      </c>
    </row>
    <row r="1807">
      <c r="A1807" s="109">
        <f>IF(AND(F1807="",G1807=""),"",ROW()-6)</f>
      </c>
      <c r="B1807" s="140" t="n"/>
      <c r="C1807" s="141" t="n"/>
      <c r="D1807" s="141" t="n"/>
      <c r="E1807" s="142" t="n"/>
      <c r="F1807" s="143" t="n"/>
      <c r="G1807" s="144" t="n"/>
      <c r="H1807" s="145">
        <f>IF(OR(C1807="",AND(F1807="",G1807="")),"",SUMIF(基础资料!$W$5:$W$24,C1807,基础资料!$X$5:$X$24)+SUMIF(C$7:C1807,C1807,F$7:F1807)-SUMIF(C$7:C1807,C1807,G$7:G1807))</f>
      </c>
      <c r="I1807" s="145">
        <f>IF(AND(F1807="",G1807=""),"",SUM(基础资料!$X$5:$X$24)+SUM(F$7:F1807)-SUM(G$7:G1807))</f>
      </c>
      <c r="J1807" s="141" t="n"/>
      <c r="K1807" s="141" t="n"/>
      <c r="L1807" s="141" t="n"/>
      <c r="M1807" s="142" t="n"/>
      <c r="N1807" s="146">
        <f>IF(AND(AND(F1807="",G1807=""),B1807="",C1807="",D1807="",J1807="",K1807="",L1807=""),"",IF(AND(F1807="",G1807=""),"✗ 没填金额",IF(AND(N(F1807)&lt;&gt;0,N(G1807)&lt;&gt;0),"✗ 收入、支出只能填一边",IF(NOT(ISNUMBER(B1807)),"✗ 日期不是真日期（要像 2026/9/25 这样填）",IF(OR(B1807&lt;年初日,B1807&gt;年末日),"✗ 日期不在本会计年度",IF(C1807="","✗ 没选账户",IF(COUNTIF(基础资料!$W$5:$W$24,C1807)=0,"✗ 账户不在基础资料里",IF(O1807="","✗ 没选收支项目",IF(P1807="未知","✗ 收支项目不在基础资料里",IF(AND(P1807="应收",J1807=""),"✗ 这笔要选客户",IF(AND(P1807="应收",COUNTIF(总览汇总!$B$5:$B$304,J1807)=0),"✗ 客户不在总览汇总名单里",IF(AND(P1807="应付",K1807=""),"✗ 这笔要选供应商",IF(AND(P1807="应付",COUNTIF(基础资料!$Q$5:$Q$54,K1807)=0),"✗ 供应商不在基础资料里",IF(AND(P1807="费用",L1807=""),"✗ 费用支出要选费用项目",IF(AND(L1807&lt;&gt;"",COUNTIF(基础资料!$AI$5:$AI$54,L1807)=0),"✗ 费用项目不在基础资料里",IF(AND(IFERROR(INDEX(基础资料!$AD$5:$AD$34,MATCH(O1807,基础资料!$AC$5:$AC$34,0)),"")="收",N(G1807)&lt;&gt;0),"✗ 这类是收款，金额填到收入列",IF(AND(IFERROR(INDEX(基础资料!$AD$5:$AD$34,MATCH(O1807,基础资料!$AC$5:$AC$34,0)),"")="支",N(F1807)&lt;&gt;0),"✗ 这类是付款，金额填到支出列",IF(N(H1807)&lt;0,"⚠ 账户余额成负数了，核对一下","√"))))))))))))))))))</f>
      </c>
      <c r="O1807" s="78">
        <f>IF(D1807&lt;&gt;"",D1807,IF(AND(F1807="",G1807=""),"",IF(J1807&lt;&gt;"",IF(N(F1807)&gt;0,"客户回款","客户退款"),IF(K1807&lt;&gt;"",IF(N(G1807)&gt;0,"供应商付款","供应商退款"),IF(L1807&lt;&gt;"","费用支出","")))))</f>
      </c>
      <c r="P1807" s="78">
        <f>IF(O1807="","",IFERROR(INDEX(基础资料!$AE$5:$AE$34,MATCH(O1807,基础资料!$AC$5:$AC$34,0)),"未知"))</f>
      </c>
      <c r="Q1807" s="78">
        <f>IF(P1807="应收",COUNTIF(P$7:P1807,"应收"),"")</f>
      </c>
      <c r="R1807" s="78">
        <f>IF(P1807="应付",COUNTIF(P$7:P1807,"应付"),"")</f>
      </c>
      <c r="S1807" s="78">
        <f>N(F1807)-N(G1807)</f>
        <v>0</v>
      </c>
    </row>
    <row r="1808">
      <c r="A1808" s="109">
        <f>IF(AND(F1808="",G1808=""),"",ROW()-6)</f>
      </c>
      <c r="B1808" s="140" t="n"/>
      <c r="C1808" s="141" t="n"/>
      <c r="D1808" s="141" t="n"/>
      <c r="E1808" s="142" t="n"/>
      <c r="F1808" s="143" t="n"/>
      <c r="G1808" s="144" t="n"/>
      <c r="H1808" s="145">
        <f>IF(OR(C1808="",AND(F1808="",G1808="")),"",SUMIF(基础资料!$W$5:$W$24,C1808,基础资料!$X$5:$X$24)+SUMIF(C$7:C1808,C1808,F$7:F1808)-SUMIF(C$7:C1808,C1808,G$7:G1808))</f>
      </c>
      <c r="I1808" s="145">
        <f>IF(AND(F1808="",G1808=""),"",SUM(基础资料!$X$5:$X$24)+SUM(F$7:F1808)-SUM(G$7:G1808))</f>
      </c>
      <c r="J1808" s="141" t="n"/>
      <c r="K1808" s="141" t="n"/>
      <c r="L1808" s="141" t="n"/>
      <c r="M1808" s="142" t="n"/>
      <c r="N1808" s="146">
        <f>IF(AND(AND(F1808="",G1808=""),B1808="",C1808="",D1808="",J1808="",K1808="",L1808=""),"",IF(AND(F1808="",G1808=""),"✗ 没填金额",IF(AND(N(F1808)&lt;&gt;0,N(G1808)&lt;&gt;0),"✗ 收入、支出只能填一边",IF(NOT(ISNUMBER(B1808)),"✗ 日期不是真日期（要像 2026/9/25 这样填）",IF(OR(B1808&lt;年初日,B1808&gt;年末日),"✗ 日期不在本会计年度",IF(C1808="","✗ 没选账户",IF(COUNTIF(基础资料!$W$5:$W$24,C1808)=0,"✗ 账户不在基础资料里",IF(O1808="","✗ 没选收支项目",IF(P1808="未知","✗ 收支项目不在基础资料里",IF(AND(P1808="应收",J1808=""),"✗ 这笔要选客户",IF(AND(P1808="应收",COUNTIF(总览汇总!$B$5:$B$304,J1808)=0),"✗ 客户不在总览汇总名单里",IF(AND(P1808="应付",K1808=""),"✗ 这笔要选供应商",IF(AND(P1808="应付",COUNTIF(基础资料!$Q$5:$Q$54,K1808)=0),"✗ 供应商不在基础资料里",IF(AND(P1808="费用",L1808=""),"✗ 费用支出要选费用项目",IF(AND(L1808&lt;&gt;"",COUNTIF(基础资料!$AI$5:$AI$54,L1808)=0),"✗ 费用项目不在基础资料里",IF(AND(IFERROR(INDEX(基础资料!$AD$5:$AD$34,MATCH(O1808,基础资料!$AC$5:$AC$34,0)),"")="收",N(G1808)&lt;&gt;0),"✗ 这类是收款，金额填到收入列",IF(AND(IFERROR(INDEX(基础资料!$AD$5:$AD$34,MATCH(O1808,基础资料!$AC$5:$AC$34,0)),"")="支",N(F1808)&lt;&gt;0),"✗ 这类是付款，金额填到支出列",IF(N(H1808)&lt;0,"⚠ 账户余额成负数了，核对一下","√"))))))))))))))))))</f>
      </c>
      <c r="O1808" s="78">
        <f>IF(D1808&lt;&gt;"",D1808,IF(AND(F1808="",G1808=""),"",IF(J1808&lt;&gt;"",IF(N(F1808)&gt;0,"客户回款","客户退款"),IF(K1808&lt;&gt;"",IF(N(G1808)&gt;0,"供应商付款","供应商退款"),IF(L1808&lt;&gt;"","费用支出","")))))</f>
      </c>
      <c r="P1808" s="78">
        <f>IF(O1808="","",IFERROR(INDEX(基础资料!$AE$5:$AE$34,MATCH(O1808,基础资料!$AC$5:$AC$34,0)),"未知"))</f>
      </c>
      <c r="Q1808" s="78">
        <f>IF(P1808="应收",COUNTIF(P$7:P1808,"应收"),"")</f>
      </c>
      <c r="R1808" s="78">
        <f>IF(P1808="应付",COUNTIF(P$7:P1808,"应付"),"")</f>
      </c>
      <c r="S1808" s="78">
        <f>N(F1808)-N(G1808)</f>
        <v>0</v>
      </c>
    </row>
    <row r="1809">
      <c r="A1809" s="109">
        <f>IF(AND(F1809="",G1809=""),"",ROW()-6)</f>
      </c>
      <c r="B1809" s="140" t="n"/>
      <c r="C1809" s="141" t="n"/>
      <c r="D1809" s="141" t="n"/>
      <c r="E1809" s="142" t="n"/>
      <c r="F1809" s="143" t="n"/>
      <c r="G1809" s="144" t="n"/>
      <c r="H1809" s="145">
        <f>IF(OR(C1809="",AND(F1809="",G1809="")),"",SUMIF(基础资料!$W$5:$W$24,C1809,基础资料!$X$5:$X$24)+SUMIF(C$7:C1809,C1809,F$7:F1809)-SUMIF(C$7:C1809,C1809,G$7:G1809))</f>
      </c>
      <c r="I1809" s="145">
        <f>IF(AND(F1809="",G1809=""),"",SUM(基础资料!$X$5:$X$24)+SUM(F$7:F1809)-SUM(G$7:G1809))</f>
      </c>
      <c r="J1809" s="141" t="n"/>
      <c r="K1809" s="141" t="n"/>
      <c r="L1809" s="141" t="n"/>
      <c r="M1809" s="142" t="n"/>
      <c r="N1809" s="146">
        <f>IF(AND(AND(F1809="",G1809=""),B1809="",C1809="",D1809="",J1809="",K1809="",L1809=""),"",IF(AND(F1809="",G1809=""),"✗ 没填金额",IF(AND(N(F1809)&lt;&gt;0,N(G1809)&lt;&gt;0),"✗ 收入、支出只能填一边",IF(NOT(ISNUMBER(B1809)),"✗ 日期不是真日期（要像 2026/9/25 这样填）",IF(OR(B1809&lt;年初日,B1809&gt;年末日),"✗ 日期不在本会计年度",IF(C1809="","✗ 没选账户",IF(COUNTIF(基础资料!$W$5:$W$24,C1809)=0,"✗ 账户不在基础资料里",IF(O1809="","✗ 没选收支项目",IF(P1809="未知","✗ 收支项目不在基础资料里",IF(AND(P1809="应收",J1809=""),"✗ 这笔要选客户",IF(AND(P1809="应收",COUNTIF(总览汇总!$B$5:$B$304,J1809)=0),"✗ 客户不在总览汇总名单里",IF(AND(P1809="应付",K1809=""),"✗ 这笔要选供应商",IF(AND(P1809="应付",COUNTIF(基础资料!$Q$5:$Q$54,K1809)=0),"✗ 供应商不在基础资料里",IF(AND(P1809="费用",L1809=""),"✗ 费用支出要选费用项目",IF(AND(L1809&lt;&gt;"",COUNTIF(基础资料!$AI$5:$AI$54,L1809)=0),"✗ 费用项目不在基础资料里",IF(AND(IFERROR(INDEX(基础资料!$AD$5:$AD$34,MATCH(O1809,基础资料!$AC$5:$AC$34,0)),"")="收",N(G1809)&lt;&gt;0),"✗ 这类是收款，金额填到收入列",IF(AND(IFERROR(INDEX(基础资料!$AD$5:$AD$34,MATCH(O1809,基础资料!$AC$5:$AC$34,0)),"")="支",N(F1809)&lt;&gt;0),"✗ 这类是付款，金额填到支出列",IF(N(H1809)&lt;0,"⚠ 账户余额成负数了，核对一下","√"))))))))))))))))))</f>
      </c>
      <c r="O1809" s="78">
        <f>IF(D1809&lt;&gt;"",D1809,IF(AND(F1809="",G1809=""),"",IF(J1809&lt;&gt;"",IF(N(F1809)&gt;0,"客户回款","客户退款"),IF(K1809&lt;&gt;"",IF(N(G1809)&gt;0,"供应商付款","供应商退款"),IF(L1809&lt;&gt;"","费用支出","")))))</f>
      </c>
      <c r="P1809" s="78">
        <f>IF(O1809="","",IFERROR(INDEX(基础资料!$AE$5:$AE$34,MATCH(O1809,基础资料!$AC$5:$AC$34,0)),"未知"))</f>
      </c>
      <c r="Q1809" s="78">
        <f>IF(P1809="应收",COUNTIF(P$7:P1809,"应收"),"")</f>
      </c>
      <c r="R1809" s="78">
        <f>IF(P1809="应付",COUNTIF(P$7:P1809,"应付"),"")</f>
      </c>
      <c r="S1809" s="78">
        <f>N(F1809)-N(G1809)</f>
        <v>0</v>
      </c>
    </row>
    <row r="1810">
      <c r="A1810" s="109">
        <f>IF(AND(F1810="",G1810=""),"",ROW()-6)</f>
      </c>
      <c r="B1810" s="140" t="n"/>
      <c r="C1810" s="141" t="n"/>
      <c r="D1810" s="141" t="n"/>
      <c r="E1810" s="142" t="n"/>
      <c r="F1810" s="143" t="n"/>
      <c r="G1810" s="144" t="n"/>
      <c r="H1810" s="145">
        <f>IF(OR(C1810="",AND(F1810="",G1810="")),"",SUMIF(基础资料!$W$5:$W$24,C1810,基础资料!$X$5:$X$24)+SUMIF(C$7:C1810,C1810,F$7:F1810)-SUMIF(C$7:C1810,C1810,G$7:G1810))</f>
      </c>
      <c r="I1810" s="145">
        <f>IF(AND(F1810="",G1810=""),"",SUM(基础资料!$X$5:$X$24)+SUM(F$7:F1810)-SUM(G$7:G1810))</f>
      </c>
      <c r="J1810" s="141" t="n"/>
      <c r="K1810" s="141" t="n"/>
      <c r="L1810" s="141" t="n"/>
      <c r="M1810" s="142" t="n"/>
      <c r="N1810" s="146">
        <f>IF(AND(AND(F1810="",G1810=""),B1810="",C1810="",D1810="",J1810="",K1810="",L1810=""),"",IF(AND(F1810="",G1810=""),"✗ 没填金额",IF(AND(N(F1810)&lt;&gt;0,N(G1810)&lt;&gt;0),"✗ 收入、支出只能填一边",IF(NOT(ISNUMBER(B1810)),"✗ 日期不是真日期（要像 2026/9/25 这样填）",IF(OR(B1810&lt;年初日,B1810&gt;年末日),"✗ 日期不在本会计年度",IF(C1810="","✗ 没选账户",IF(COUNTIF(基础资料!$W$5:$W$24,C1810)=0,"✗ 账户不在基础资料里",IF(O1810="","✗ 没选收支项目",IF(P1810="未知","✗ 收支项目不在基础资料里",IF(AND(P1810="应收",J1810=""),"✗ 这笔要选客户",IF(AND(P1810="应收",COUNTIF(总览汇总!$B$5:$B$304,J1810)=0),"✗ 客户不在总览汇总名单里",IF(AND(P1810="应付",K1810=""),"✗ 这笔要选供应商",IF(AND(P1810="应付",COUNTIF(基础资料!$Q$5:$Q$54,K1810)=0),"✗ 供应商不在基础资料里",IF(AND(P1810="费用",L1810=""),"✗ 费用支出要选费用项目",IF(AND(L1810&lt;&gt;"",COUNTIF(基础资料!$AI$5:$AI$54,L1810)=0),"✗ 费用项目不在基础资料里",IF(AND(IFERROR(INDEX(基础资料!$AD$5:$AD$34,MATCH(O1810,基础资料!$AC$5:$AC$34,0)),"")="收",N(G1810)&lt;&gt;0),"✗ 这类是收款，金额填到收入列",IF(AND(IFERROR(INDEX(基础资料!$AD$5:$AD$34,MATCH(O1810,基础资料!$AC$5:$AC$34,0)),"")="支",N(F1810)&lt;&gt;0),"✗ 这类是付款，金额填到支出列",IF(N(H1810)&lt;0,"⚠ 账户余额成负数了，核对一下","√"))))))))))))))))))</f>
      </c>
      <c r="O1810" s="78">
        <f>IF(D1810&lt;&gt;"",D1810,IF(AND(F1810="",G1810=""),"",IF(J1810&lt;&gt;"",IF(N(F1810)&gt;0,"客户回款","客户退款"),IF(K1810&lt;&gt;"",IF(N(G1810)&gt;0,"供应商付款","供应商退款"),IF(L1810&lt;&gt;"","费用支出","")))))</f>
      </c>
      <c r="P1810" s="78">
        <f>IF(O1810="","",IFERROR(INDEX(基础资料!$AE$5:$AE$34,MATCH(O1810,基础资料!$AC$5:$AC$34,0)),"未知"))</f>
      </c>
      <c r="Q1810" s="78">
        <f>IF(P1810="应收",COUNTIF(P$7:P1810,"应收"),"")</f>
      </c>
      <c r="R1810" s="78">
        <f>IF(P1810="应付",COUNTIF(P$7:P1810,"应付"),"")</f>
      </c>
      <c r="S1810" s="78">
        <f>N(F1810)-N(G1810)</f>
        <v>0</v>
      </c>
    </row>
    <row r="1811">
      <c r="A1811" s="109">
        <f>IF(AND(F1811="",G1811=""),"",ROW()-6)</f>
      </c>
      <c r="B1811" s="140" t="n"/>
      <c r="C1811" s="141" t="n"/>
      <c r="D1811" s="141" t="n"/>
      <c r="E1811" s="142" t="n"/>
      <c r="F1811" s="143" t="n"/>
      <c r="G1811" s="144" t="n"/>
      <c r="H1811" s="145">
        <f>IF(OR(C1811="",AND(F1811="",G1811="")),"",SUMIF(基础资料!$W$5:$W$24,C1811,基础资料!$X$5:$X$24)+SUMIF(C$7:C1811,C1811,F$7:F1811)-SUMIF(C$7:C1811,C1811,G$7:G1811))</f>
      </c>
      <c r="I1811" s="145">
        <f>IF(AND(F1811="",G1811=""),"",SUM(基础资料!$X$5:$X$24)+SUM(F$7:F1811)-SUM(G$7:G1811))</f>
      </c>
      <c r="J1811" s="141" t="n"/>
      <c r="K1811" s="141" t="n"/>
      <c r="L1811" s="141" t="n"/>
      <c r="M1811" s="142" t="n"/>
      <c r="N1811" s="146">
        <f>IF(AND(AND(F1811="",G1811=""),B1811="",C1811="",D1811="",J1811="",K1811="",L1811=""),"",IF(AND(F1811="",G1811=""),"✗ 没填金额",IF(AND(N(F1811)&lt;&gt;0,N(G1811)&lt;&gt;0),"✗ 收入、支出只能填一边",IF(NOT(ISNUMBER(B1811)),"✗ 日期不是真日期（要像 2026/9/25 这样填）",IF(OR(B1811&lt;年初日,B1811&gt;年末日),"✗ 日期不在本会计年度",IF(C1811="","✗ 没选账户",IF(COUNTIF(基础资料!$W$5:$W$24,C1811)=0,"✗ 账户不在基础资料里",IF(O1811="","✗ 没选收支项目",IF(P1811="未知","✗ 收支项目不在基础资料里",IF(AND(P1811="应收",J1811=""),"✗ 这笔要选客户",IF(AND(P1811="应收",COUNTIF(总览汇总!$B$5:$B$304,J1811)=0),"✗ 客户不在总览汇总名单里",IF(AND(P1811="应付",K1811=""),"✗ 这笔要选供应商",IF(AND(P1811="应付",COUNTIF(基础资料!$Q$5:$Q$54,K1811)=0),"✗ 供应商不在基础资料里",IF(AND(P1811="费用",L1811=""),"✗ 费用支出要选费用项目",IF(AND(L1811&lt;&gt;"",COUNTIF(基础资料!$AI$5:$AI$54,L1811)=0),"✗ 费用项目不在基础资料里",IF(AND(IFERROR(INDEX(基础资料!$AD$5:$AD$34,MATCH(O1811,基础资料!$AC$5:$AC$34,0)),"")="收",N(G1811)&lt;&gt;0),"✗ 这类是收款，金额填到收入列",IF(AND(IFERROR(INDEX(基础资料!$AD$5:$AD$34,MATCH(O1811,基础资料!$AC$5:$AC$34,0)),"")="支",N(F1811)&lt;&gt;0),"✗ 这类是付款，金额填到支出列",IF(N(H1811)&lt;0,"⚠ 账户余额成负数了，核对一下","√"))))))))))))))))))</f>
      </c>
      <c r="O1811" s="78">
        <f>IF(D1811&lt;&gt;"",D1811,IF(AND(F1811="",G1811=""),"",IF(J1811&lt;&gt;"",IF(N(F1811)&gt;0,"客户回款","客户退款"),IF(K1811&lt;&gt;"",IF(N(G1811)&gt;0,"供应商付款","供应商退款"),IF(L1811&lt;&gt;"","费用支出","")))))</f>
      </c>
      <c r="P1811" s="78">
        <f>IF(O1811="","",IFERROR(INDEX(基础资料!$AE$5:$AE$34,MATCH(O1811,基础资料!$AC$5:$AC$34,0)),"未知"))</f>
      </c>
      <c r="Q1811" s="78">
        <f>IF(P1811="应收",COUNTIF(P$7:P1811,"应收"),"")</f>
      </c>
      <c r="R1811" s="78">
        <f>IF(P1811="应付",COUNTIF(P$7:P1811,"应付"),"")</f>
      </c>
      <c r="S1811" s="78">
        <f>N(F1811)-N(G1811)</f>
        <v>0</v>
      </c>
    </row>
    <row r="1812">
      <c r="A1812" s="109">
        <f>IF(AND(F1812="",G1812=""),"",ROW()-6)</f>
      </c>
      <c r="B1812" s="140" t="n"/>
      <c r="C1812" s="141" t="n"/>
      <c r="D1812" s="141" t="n"/>
      <c r="E1812" s="142" t="n"/>
      <c r="F1812" s="143" t="n"/>
      <c r="G1812" s="144" t="n"/>
      <c r="H1812" s="145">
        <f>IF(OR(C1812="",AND(F1812="",G1812="")),"",SUMIF(基础资料!$W$5:$W$24,C1812,基础资料!$X$5:$X$24)+SUMIF(C$7:C1812,C1812,F$7:F1812)-SUMIF(C$7:C1812,C1812,G$7:G1812))</f>
      </c>
      <c r="I1812" s="145">
        <f>IF(AND(F1812="",G1812=""),"",SUM(基础资料!$X$5:$X$24)+SUM(F$7:F1812)-SUM(G$7:G1812))</f>
      </c>
      <c r="J1812" s="141" t="n"/>
      <c r="K1812" s="141" t="n"/>
      <c r="L1812" s="141" t="n"/>
      <c r="M1812" s="142" t="n"/>
      <c r="N1812" s="146">
        <f>IF(AND(AND(F1812="",G1812=""),B1812="",C1812="",D1812="",J1812="",K1812="",L1812=""),"",IF(AND(F1812="",G1812=""),"✗ 没填金额",IF(AND(N(F1812)&lt;&gt;0,N(G1812)&lt;&gt;0),"✗ 收入、支出只能填一边",IF(NOT(ISNUMBER(B1812)),"✗ 日期不是真日期（要像 2026/9/25 这样填）",IF(OR(B1812&lt;年初日,B1812&gt;年末日),"✗ 日期不在本会计年度",IF(C1812="","✗ 没选账户",IF(COUNTIF(基础资料!$W$5:$W$24,C1812)=0,"✗ 账户不在基础资料里",IF(O1812="","✗ 没选收支项目",IF(P1812="未知","✗ 收支项目不在基础资料里",IF(AND(P1812="应收",J1812=""),"✗ 这笔要选客户",IF(AND(P1812="应收",COUNTIF(总览汇总!$B$5:$B$304,J1812)=0),"✗ 客户不在总览汇总名单里",IF(AND(P1812="应付",K1812=""),"✗ 这笔要选供应商",IF(AND(P1812="应付",COUNTIF(基础资料!$Q$5:$Q$54,K1812)=0),"✗ 供应商不在基础资料里",IF(AND(P1812="费用",L1812=""),"✗ 费用支出要选费用项目",IF(AND(L1812&lt;&gt;"",COUNTIF(基础资料!$AI$5:$AI$54,L1812)=0),"✗ 费用项目不在基础资料里",IF(AND(IFERROR(INDEX(基础资料!$AD$5:$AD$34,MATCH(O1812,基础资料!$AC$5:$AC$34,0)),"")="收",N(G1812)&lt;&gt;0),"✗ 这类是收款，金额填到收入列",IF(AND(IFERROR(INDEX(基础资料!$AD$5:$AD$34,MATCH(O1812,基础资料!$AC$5:$AC$34,0)),"")="支",N(F1812)&lt;&gt;0),"✗ 这类是付款，金额填到支出列",IF(N(H1812)&lt;0,"⚠ 账户余额成负数了，核对一下","√"))))))))))))))))))</f>
      </c>
      <c r="O1812" s="78">
        <f>IF(D1812&lt;&gt;"",D1812,IF(AND(F1812="",G1812=""),"",IF(J1812&lt;&gt;"",IF(N(F1812)&gt;0,"客户回款","客户退款"),IF(K1812&lt;&gt;"",IF(N(G1812)&gt;0,"供应商付款","供应商退款"),IF(L1812&lt;&gt;"","费用支出","")))))</f>
      </c>
      <c r="P1812" s="78">
        <f>IF(O1812="","",IFERROR(INDEX(基础资料!$AE$5:$AE$34,MATCH(O1812,基础资料!$AC$5:$AC$34,0)),"未知"))</f>
      </c>
      <c r="Q1812" s="78">
        <f>IF(P1812="应收",COUNTIF(P$7:P1812,"应收"),"")</f>
      </c>
      <c r="R1812" s="78">
        <f>IF(P1812="应付",COUNTIF(P$7:P1812,"应付"),"")</f>
      </c>
      <c r="S1812" s="78">
        <f>N(F1812)-N(G1812)</f>
        <v>0</v>
      </c>
    </row>
    <row r="1813">
      <c r="A1813" s="109">
        <f>IF(AND(F1813="",G1813=""),"",ROW()-6)</f>
      </c>
      <c r="B1813" s="140" t="n"/>
      <c r="C1813" s="141" t="n"/>
      <c r="D1813" s="141" t="n"/>
      <c r="E1813" s="142" t="n"/>
      <c r="F1813" s="143" t="n"/>
      <c r="G1813" s="144" t="n"/>
      <c r="H1813" s="145">
        <f>IF(OR(C1813="",AND(F1813="",G1813="")),"",SUMIF(基础资料!$W$5:$W$24,C1813,基础资料!$X$5:$X$24)+SUMIF(C$7:C1813,C1813,F$7:F1813)-SUMIF(C$7:C1813,C1813,G$7:G1813))</f>
      </c>
      <c r="I1813" s="145">
        <f>IF(AND(F1813="",G1813=""),"",SUM(基础资料!$X$5:$X$24)+SUM(F$7:F1813)-SUM(G$7:G1813))</f>
      </c>
      <c r="J1813" s="141" t="n"/>
      <c r="K1813" s="141" t="n"/>
      <c r="L1813" s="141" t="n"/>
      <c r="M1813" s="142" t="n"/>
      <c r="N1813" s="146">
        <f>IF(AND(AND(F1813="",G1813=""),B1813="",C1813="",D1813="",J1813="",K1813="",L1813=""),"",IF(AND(F1813="",G1813=""),"✗ 没填金额",IF(AND(N(F1813)&lt;&gt;0,N(G1813)&lt;&gt;0),"✗ 收入、支出只能填一边",IF(NOT(ISNUMBER(B1813)),"✗ 日期不是真日期（要像 2026/9/25 这样填）",IF(OR(B1813&lt;年初日,B1813&gt;年末日),"✗ 日期不在本会计年度",IF(C1813="","✗ 没选账户",IF(COUNTIF(基础资料!$W$5:$W$24,C1813)=0,"✗ 账户不在基础资料里",IF(O1813="","✗ 没选收支项目",IF(P1813="未知","✗ 收支项目不在基础资料里",IF(AND(P1813="应收",J1813=""),"✗ 这笔要选客户",IF(AND(P1813="应收",COUNTIF(总览汇总!$B$5:$B$304,J1813)=0),"✗ 客户不在总览汇总名单里",IF(AND(P1813="应付",K1813=""),"✗ 这笔要选供应商",IF(AND(P1813="应付",COUNTIF(基础资料!$Q$5:$Q$54,K1813)=0),"✗ 供应商不在基础资料里",IF(AND(P1813="费用",L1813=""),"✗ 费用支出要选费用项目",IF(AND(L1813&lt;&gt;"",COUNTIF(基础资料!$AI$5:$AI$54,L1813)=0),"✗ 费用项目不在基础资料里",IF(AND(IFERROR(INDEX(基础资料!$AD$5:$AD$34,MATCH(O1813,基础资料!$AC$5:$AC$34,0)),"")="收",N(G1813)&lt;&gt;0),"✗ 这类是收款，金额填到收入列",IF(AND(IFERROR(INDEX(基础资料!$AD$5:$AD$34,MATCH(O1813,基础资料!$AC$5:$AC$34,0)),"")="支",N(F1813)&lt;&gt;0),"✗ 这类是付款，金额填到支出列",IF(N(H1813)&lt;0,"⚠ 账户余额成负数了，核对一下","√"))))))))))))))))))</f>
      </c>
      <c r="O1813" s="78">
        <f>IF(D1813&lt;&gt;"",D1813,IF(AND(F1813="",G1813=""),"",IF(J1813&lt;&gt;"",IF(N(F1813)&gt;0,"客户回款","客户退款"),IF(K1813&lt;&gt;"",IF(N(G1813)&gt;0,"供应商付款","供应商退款"),IF(L1813&lt;&gt;"","费用支出","")))))</f>
      </c>
      <c r="P1813" s="78">
        <f>IF(O1813="","",IFERROR(INDEX(基础资料!$AE$5:$AE$34,MATCH(O1813,基础资料!$AC$5:$AC$34,0)),"未知"))</f>
      </c>
      <c r="Q1813" s="78">
        <f>IF(P1813="应收",COUNTIF(P$7:P1813,"应收"),"")</f>
      </c>
      <c r="R1813" s="78">
        <f>IF(P1813="应付",COUNTIF(P$7:P1813,"应付"),"")</f>
      </c>
      <c r="S1813" s="78">
        <f>N(F1813)-N(G1813)</f>
        <v>0</v>
      </c>
    </row>
    <row r="1814">
      <c r="A1814" s="109">
        <f>IF(AND(F1814="",G1814=""),"",ROW()-6)</f>
      </c>
      <c r="B1814" s="140" t="n"/>
      <c r="C1814" s="141" t="n"/>
      <c r="D1814" s="141" t="n"/>
      <c r="E1814" s="142" t="n"/>
      <c r="F1814" s="143" t="n"/>
      <c r="G1814" s="144" t="n"/>
      <c r="H1814" s="145">
        <f>IF(OR(C1814="",AND(F1814="",G1814="")),"",SUMIF(基础资料!$W$5:$W$24,C1814,基础资料!$X$5:$X$24)+SUMIF(C$7:C1814,C1814,F$7:F1814)-SUMIF(C$7:C1814,C1814,G$7:G1814))</f>
      </c>
      <c r="I1814" s="145">
        <f>IF(AND(F1814="",G1814=""),"",SUM(基础资料!$X$5:$X$24)+SUM(F$7:F1814)-SUM(G$7:G1814))</f>
      </c>
      <c r="J1814" s="141" t="n"/>
      <c r="K1814" s="141" t="n"/>
      <c r="L1814" s="141" t="n"/>
      <c r="M1814" s="142" t="n"/>
      <c r="N1814" s="146">
        <f>IF(AND(AND(F1814="",G1814=""),B1814="",C1814="",D1814="",J1814="",K1814="",L1814=""),"",IF(AND(F1814="",G1814=""),"✗ 没填金额",IF(AND(N(F1814)&lt;&gt;0,N(G1814)&lt;&gt;0),"✗ 收入、支出只能填一边",IF(NOT(ISNUMBER(B1814)),"✗ 日期不是真日期（要像 2026/9/25 这样填）",IF(OR(B1814&lt;年初日,B1814&gt;年末日),"✗ 日期不在本会计年度",IF(C1814="","✗ 没选账户",IF(COUNTIF(基础资料!$W$5:$W$24,C1814)=0,"✗ 账户不在基础资料里",IF(O1814="","✗ 没选收支项目",IF(P1814="未知","✗ 收支项目不在基础资料里",IF(AND(P1814="应收",J1814=""),"✗ 这笔要选客户",IF(AND(P1814="应收",COUNTIF(总览汇总!$B$5:$B$304,J1814)=0),"✗ 客户不在总览汇总名单里",IF(AND(P1814="应付",K1814=""),"✗ 这笔要选供应商",IF(AND(P1814="应付",COUNTIF(基础资料!$Q$5:$Q$54,K1814)=0),"✗ 供应商不在基础资料里",IF(AND(P1814="费用",L1814=""),"✗ 费用支出要选费用项目",IF(AND(L1814&lt;&gt;"",COUNTIF(基础资料!$AI$5:$AI$54,L1814)=0),"✗ 费用项目不在基础资料里",IF(AND(IFERROR(INDEX(基础资料!$AD$5:$AD$34,MATCH(O1814,基础资料!$AC$5:$AC$34,0)),"")="收",N(G1814)&lt;&gt;0),"✗ 这类是收款，金额填到收入列",IF(AND(IFERROR(INDEX(基础资料!$AD$5:$AD$34,MATCH(O1814,基础资料!$AC$5:$AC$34,0)),"")="支",N(F1814)&lt;&gt;0),"✗ 这类是付款，金额填到支出列",IF(N(H1814)&lt;0,"⚠ 账户余额成负数了，核对一下","√"))))))))))))))))))</f>
      </c>
      <c r="O1814" s="78">
        <f>IF(D1814&lt;&gt;"",D1814,IF(AND(F1814="",G1814=""),"",IF(J1814&lt;&gt;"",IF(N(F1814)&gt;0,"客户回款","客户退款"),IF(K1814&lt;&gt;"",IF(N(G1814)&gt;0,"供应商付款","供应商退款"),IF(L1814&lt;&gt;"","费用支出","")))))</f>
      </c>
      <c r="P1814" s="78">
        <f>IF(O1814="","",IFERROR(INDEX(基础资料!$AE$5:$AE$34,MATCH(O1814,基础资料!$AC$5:$AC$34,0)),"未知"))</f>
      </c>
      <c r="Q1814" s="78">
        <f>IF(P1814="应收",COUNTIF(P$7:P1814,"应收"),"")</f>
      </c>
      <c r="R1814" s="78">
        <f>IF(P1814="应付",COUNTIF(P$7:P1814,"应付"),"")</f>
      </c>
      <c r="S1814" s="78">
        <f>N(F1814)-N(G1814)</f>
        <v>0</v>
      </c>
    </row>
    <row r="1815">
      <c r="A1815" s="109">
        <f>IF(AND(F1815="",G1815=""),"",ROW()-6)</f>
      </c>
      <c r="B1815" s="140" t="n"/>
      <c r="C1815" s="141" t="n"/>
      <c r="D1815" s="141" t="n"/>
      <c r="E1815" s="142" t="n"/>
      <c r="F1815" s="143" t="n"/>
      <c r="G1815" s="144" t="n"/>
      <c r="H1815" s="145">
        <f>IF(OR(C1815="",AND(F1815="",G1815="")),"",SUMIF(基础资料!$W$5:$W$24,C1815,基础资料!$X$5:$X$24)+SUMIF(C$7:C1815,C1815,F$7:F1815)-SUMIF(C$7:C1815,C1815,G$7:G1815))</f>
      </c>
      <c r="I1815" s="145">
        <f>IF(AND(F1815="",G1815=""),"",SUM(基础资料!$X$5:$X$24)+SUM(F$7:F1815)-SUM(G$7:G1815))</f>
      </c>
      <c r="J1815" s="141" t="n"/>
      <c r="K1815" s="141" t="n"/>
      <c r="L1815" s="141" t="n"/>
      <c r="M1815" s="142" t="n"/>
      <c r="N1815" s="146">
        <f>IF(AND(AND(F1815="",G1815=""),B1815="",C1815="",D1815="",J1815="",K1815="",L1815=""),"",IF(AND(F1815="",G1815=""),"✗ 没填金额",IF(AND(N(F1815)&lt;&gt;0,N(G1815)&lt;&gt;0),"✗ 收入、支出只能填一边",IF(NOT(ISNUMBER(B1815)),"✗ 日期不是真日期（要像 2026/9/25 这样填）",IF(OR(B1815&lt;年初日,B1815&gt;年末日),"✗ 日期不在本会计年度",IF(C1815="","✗ 没选账户",IF(COUNTIF(基础资料!$W$5:$W$24,C1815)=0,"✗ 账户不在基础资料里",IF(O1815="","✗ 没选收支项目",IF(P1815="未知","✗ 收支项目不在基础资料里",IF(AND(P1815="应收",J1815=""),"✗ 这笔要选客户",IF(AND(P1815="应收",COUNTIF(总览汇总!$B$5:$B$304,J1815)=0),"✗ 客户不在总览汇总名单里",IF(AND(P1815="应付",K1815=""),"✗ 这笔要选供应商",IF(AND(P1815="应付",COUNTIF(基础资料!$Q$5:$Q$54,K1815)=0),"✗ 供应商不在基础资料里",IF(AND(P1815="费用",L1815=""),"✗ 费用支出要选费用项目",IF(AND(L1815&lt;&gt;"",COUNTIF(基础资料!$AI$5:$AI$54,L1815)=0),"✗ 费用项目不在基础资料里",IF(AND(IFERROR(INDEX(基础资料!$AD$5:$AD$34,MATCH(O1815,基础资料!$AC$5:$AC$34,0)),"")="收",N(G1815)&lt;&gt;0),"✗ 这类是收款，金额填到收入列",IF(AND(IFERROR(INDEX(基础资料!$AD$5:$AD$34,MATCH(O1815,基础资料!$AC$5:$AC$34,0)),"")="支",N(F1815)&lt;&gt;0),"✗ 这类是付款，金额填到支出列",IF(N(H1815)&lt;0,"⚠ 账户余额成负数了，核对一下","√"))))))))))))))))))</f>
      </c>
      <c r="O1815" s="78">
        <f>IF(D1815&lt;&gt;"",D1815,IF(AND(F1815="",G1815=""),"",IF(J1815&lt;&gt;"",IF(N(F1815)&gt;0,"客户回款","客户退款"),IF(K1815&lt;&gt;"",IF(N(G1815)&gt;0,"供应商付款","供应商退款"),IF(L1815&lt;&gt;"","费用支出","")))))</f>
      </c>
      <c r="P1815" s="78">
        <f>IF(O1815="","",IFERROR(INDEX(基础资料!$AE$5:$AE$34,MATCH(O1815,基础资料!$AC$5:$AC$34,0)),"未知"))</f>
      </c>
      <c r="Q1815" s="78">
        <f>IF(P1815="应收",COUNTIF(P$7:P1815,"应收"),"")</f>
      </c>
      <c r="R1815" s="78">
        <f>IF(P1815="应付",COUNTIF(P$7:P1815,"应付"),"")</f>
      </c>
      <c r="S1815" s="78">
        <f>N(F1815)-N(G1815)</f>
        <v>0</v>
      </c>
    </row>
    <row r="1816">
      <c r="A1816" s="109">
        <f>IF(AND(F1816="",G1816=""),"",ROW()-6)</f>
      </c>
      <c r="B1816" s="140" t="n"/>
      <c r="C1816" s="141" t="n"/>
      <c r="D1816" s="141" t="n"/>
      <c r="E1816" s="142" t="n"/>
      <c r="F1816" s="143" t="n"/>
      <c r="G1816" s="144" t="n"/>
      <c r="H1816" s="145">
        <f>IF(OR(C1816="",AND(F1816="",G1816="")),"",SUMIF(基础资料!$W$5:$W$24,C1816,基础资料!$X$5:$X$24)+SUMIF(C$7:C1816,C1816,F$7:F1816)-SUMIF(C$7:C1816,C1816,G$7:G1816))</f>
      </c>
      <c r="I1816" s="145">
        <f>IF(AND(F1816="",G1816=""),"",SUM(基础资料!$X$5:$X$24)+SUM(F$7:F1816)-SUM(G$7:G1816))</f>
      </c>
      <c r="J1816" s="141" t="n"/>
      <c r="K1816" s="141" t="n"/>
      <c r="L1816" s="141" t="n"/>
      <c r="M1816" s="142" t="n"/>
      <c r="N1816" s="146">
        <f>IF(AND(AND(F1816="",G1816=""),B1816="",C1816="",D1816="",J1816="",K1816="",L1816=""),"",IF(AND(F1816="",G1816=""),"✗ 没填金额",IF(AND(N(F1816)&lt;&gt;0,N(G1816)&lt;&gt;0),"✗ 收入、支出只能填一边",IF(NOT(ISNUMBER(B1816)),"✗ 日期不是真日期（要像 2026/9/25 这样填）",IF(OR(B1816&lt;年初日,B1816&gt;年末日),"✗ 日期不在本会计年度",IF(C1816="","✗ 没选账户",IF(COUNTIF(基础资料!$W$5:$W$24,C1816)=0,"✗ 账户不在基础资料里",IF(O1816="","✗ 没选收支项目",IF(P1816="未知","✗ 收支项目不在基础资料里",IF(AND(P1816="应收",J1816=""),"✗ 这笔要选客户",IF(AND(P1816="应收",COUNTIF(总览汇总!$B$5:$B$304,J1816)=0),"✗ 客户不在总览汇总名单里",IF(AND(P1816="应付",K1816=""),"✗ 这笔要选供应商",IF(AND(P1816="应付",COUNTIF(基础资料!$Q$5:$Q$54,K1816)=0),"✗ 供应商不在基础资料里",IF(AND(P1816="费用",L1816=""),"✗ 费用支出要选费用项目",IF(AND(L1816&lt;&gt;"",COUNTIF(基础资料!$AI$5:$AI$54,L1816)=0),"✗ 费用项目不在基础资料里",IF(AND(IFERROR(INDEX(基础资料!$AD$5:$AD$34,MATCH(O1816,基础资料!$AC$5:$AC$34,0)),"")="收",N(G1816)&lt;&gt;0),"✗ 这类是收款，金额填到收入列",IF(AND(IFERROR(INDEX(基础资料!$AD$5:$AD$34,MATCH(O1816,基础资料!$AC$5:$AC$34,0)),"")="支",N(F1816)&lt;&gt;0),"✗ 这类是付款，金额填到支出列",IF(N(H1816)&lt;0,"⚠ 账户余额成负数了，核对一下","√"))))))))))))))))))</f>
      </c>
      <c r="O1816" s="78">
        <f>IF(D1816&lt;&gt;"",D1816,IF(AND(F1816="",G1816=""),"",IF(J1816&lt;&gt;"",IF(N(F1816)&gt;0,"客户回款","客户退款"),IF(K1816&lt;&gt;"",IF(N(G1816)&gt;0,"供应商付款","供应商退款"),IF(L1816&lt;&gt;"","费用支出","")))))</f>
      </c>
      <c r="P1816" s="78">
        <f>IF(O1816="","",IFERROR(INDEX(基础资料!$AE$5:$AE$34,MATCH(O1816,基础资料!$AC$5:$AC$34,0)),"未知"))</f>
      </c>
      <c r="Q1816" s="78">
        <f>IF(P1816="应收",COUNTIF(P$7:P1816,"应收"),"")</f>
      </c>
      <c r="R1816" s="78">
        <f>IF(P1816="应付",COUNTIF(P$7:P1816,"应付"),"")</f>
      </c>
      <c r="S1816" s="78">
        <f>N(F1816)-N(G1816)</f>
        <v>0</v>
      </c>
    </row>
    <row r="1817">
      <c r="A1817" s="109">
        <f>IF(AND(F1817="",G1817=""),"",ROW()-6)</f>
      </c>
      <c r="B1817" s="140" t="n"/>
      <c r="C1817" s="141" t="n"/>
      <c r="D1817" s="141" t="n"/>
      <c r="E1817" s="142" t="n"/>
      <c r="F1817" s="143" t="n"/>
      <c r="G1817" s="144" t="n"/>
      <c r="H1817" s="145">
        <f>IF(OR(C1817="",AND(F1817="",G1817="")),"",SUMIF(基础资料!$W$5:$W$24,C1817,基础资料!$X$5:$X$24)+SUMIF(C$7:C1817,C1817,F$7:F1817)-SUMIF(C$7:C1817,C1817,G$7:G1817))</f>
      </c>
      <c r="I1817" s="145">
        <f>IF(AND(F1817="",G1817=""),"",SUM(基础资料!$X$5:$X$24)+SUM(F$7:F1817)-SUM(G$7:G1817))</f>
      </c>
      <c r="J1817" s="141" t="n"/>
      <c r="K1817" s="141" t="n"/>
      <c r="L1817" s="141" t="n"/>
      <c r="M1817" s="142" t="n"/>
      <c r="N1817" s="146">
        <f>IF(AND(AND(F1817="",G1817=""),B1817="",C1817="",D1817="",J1817="",K1817="",L1817=""),"",IF(AND(F1817="",G1817=""),"✗ 没填金额",IF(AND(N(F1817)&lt;&gt;0,N(G1817)&lt;&gt;0),"✗ 收入、支出只能填一边",IF(NOT(ISNUMBER(B1817)),"✗ 日期不是真日期（要像 2026/9/25 这样填）",IF(OR(B1817&lt;年初日,B1817&gt;年末日),"✗ 日期不在本会计年度",IF(C1817="","✗ 没选账户",IF(COUNTIF(基础资料!$W$5:$W$24,C1817)=0,"✗ 账户不在基础资料里",IF(O1817="","✗ 没选收支项目",IF(P1817="未知","✗ 收支项目不在基础资料里",IF(AND(P1817="应收",J1817=""),"✗ 这笔要选客户",IF(AND(P1817="应收",COUNTIF(总览汇总!$B$5:$B$304,J1817)=0),"✗ 客户不在总览汇总名单里",IF(AND(P1817="应付",K1817=""),"✗ 这笔要选供应商",IF(AND(P1817="应付",COUNTIF(基础资料!$Q$5:$Q$54,K1817)=0),"✗ 供应商不在基础资料里",IF(AND(P1817="费用",L1817=""),"✗ 费用支出要选费用项目",IF(AND(L1817&lt;&gt;"",COUNTIF(基础资料!$AI$5:$AI$54,L1817)=0),"✗ 费用项目不在基础资料里",IF(AND(IFERROR(INDEX(基础资料!$AD$5:$AD$34,MATCH(O1817,基础资料!$AC$5:$AC$34,0)),"")="收",N(G1817)&lt;&gt;0),"✗ 这类是收款，金额填到收入列",IF(AND(IFERROR(INDEX(基础资料!$AD$5:$AD$34,MATCH(O1817,基础资料!$AC$5:$AC$34,0)),"")="支",N(F1817)&lt;&gt;0),"✗ 这类是付款，金额填到支出列",IF(N(H1817)&lt;0,"⚠ 账户余额成负数了，核对一下","√"))))))))))))))))))</f>
      </c>
      <c r="O1817" s="78">
        <f>IF(D1817&lt;&gt;"",D1817,IF(AND(F1817="",G1817=""),"",IF(J1817&lt;&gt;"",IF(N(F1817)&gt;0,"客户回款","客户退款"),IF(K1817&lt;&gt;"",IF(N(G1817)&gt;0,"供应商付款","供应商退款"),IF(L1817&lt;&gt;"","费用支出","")))))</f>
      </c>
      <c r="P1817" s="78">
        <f>IF(O1817="","",IFERROR(INDEX(基础资料!$AE$5:$AE$34,MATCH(O1817,基础资料!$AC$5:$AC$34,0)),"未知"))</f>
      </c>
      <c r="Q1817" s="78">
        <f>IF(P1817="应收",COUNTIF(P$7:P1817,"应收"),"")</f>
      </c>
      <c r="R1817" s="78">
        <f>IF(P1817="应付",COUNTIF(P$7:P1817,"应付"),"")</f>
      </c>
      <c r="S1817" s="78">
        <f>N(F1817)-N(G1817)</f>
        <v>0</v>
      </c>
    </row>
    <row r="1818">
      <c r="A1818" s="109">
        <f>IF(AND(F1818="",G1818=""),"",ROW()-6)</f>
      </c>
      <c r="B1818" s="140" t="n"/>
      <c r="C1818" s="141" t="n"/>
      <c r="D1818" s="141" t="n"/>
      <c r="E1818" s="142" t="n"/>
      <c r="F1818" s="143" t="n"/>
      <c r="G1818" s="144" t="n"/>
      <c r="H1818" s="145">
        <f>IF(OR(C1818="",AND(F1818="",G1818="")),"",SUMIF(基础资料!$W$5:$W$24,C1818,基础资料!$X$5:$X$24)+SUMIF(C$7:C1818,C1818,F$7:F1818)-SUMIF(C$7:C1818,C1818,G$7:G1818))</f>
      </c>
      <c r="I1818" s="145">
        <f>IF(AND(F1818="",G1818=""),"",SUM(基础资料!$X$5:$X$24)+SUM(F$7:F1818)-SUM(G$7:G1818))</f>
      </c>
      <c r="J1818" s="141" t="n"/>
      <c r="K1818" s="141" t="n"/>
      <c r="L1818" s="141" t="n"/>
      <c r="M1818" s="142" t="n"/>
      <c r="N1818" s="146">
        <f>IF(AND(AND(F1818="",G1818=""),B1818="",C1818="",D1818="",J1818="",K1818="",L1818=""),"",IF(AND(F1818="",G1818=""),"✗ 没填金额",IF(AND(N(F1818)&lt;&gt;0,N(G1818)&lt;&gt;0),"✗ 收入、支出只能填一边",IF(NOT(ISNUMBER(B1818)),"✗ 日期不是真日期（要像 2026/9/25 这样填）",IF(OR(B1818&lt;年初日,B1818&gt;年末日),"✗ 日期不在本会计年度",IF(C1818="","✗ 没选账户",IF(COUNTIF(基础资料!$W$5:$W$24,C1818)=0,"✗ 账户不在基础资料里",IF(O1818="","✗ 没选收支项目",IF(P1818="未知","✗ 收支项目不在基础资料里",IF(AND(P1818="应收",J1818=""),"✗ 这笔要选客户",IF(AND(P1818="应收",COUNTIF(总览汇总!$B$5:$B$304,J1818)=0),"✗ 客户不在总览汇总名单里",IF(AND(P1818="应付",K1818=""),"✗ 这笔要选供应商",IF(AND(P1818="应付",COUNTIF(基础资料!$Q$5:$Q$54,K1818)=0),"✗ 供应商不在基础资料里",IF(AND(P1818="费用",L1818=""),"✗ 费用支出要选费用项目",IF(AND(L1818&lt;&gt;"",COUNTIF(基础资料!$AI$5:$AI$54,L1818)=0),"✗ 费用项目不在基础资料里",IF(AND(IFERROR(INDEX(基础资料!$AD$5:$AD$34,MATCH(O1818,基础资料!$AC$5:$AC$34,0)),"")="收",N(G1818)&lt;&gt;0),"✗ 这类是收款，金额填到收入列",IF(AND(IFERROR(INDEX(基础资料!$AD$5:$AD$34,MATCH(O1818,基础资料!$AC$5:$AC$34,0)),"")="支",N(F1818)&lt;&gt;0),"✗ 这类是付款，金额填到支出列",IF(N(H1818)&lt;0,"⚠ 账户余额成负数了，核对一下","√"))))))))))))))))))</f>
      </c>
      <c r="O1818" s="78">
        <f>IF(D1818&lt;&gt;"",D1818,IF(AND(F1818="",G1818=""),"",IF(J1818&lt;&gt;"",IF(N(F1818)&gt;0,"客户回款","客户退款"),IF(K1818&lt;&gt;"",IF(N(G1818)&gt;0,"供应商付款","供应商退款"),IF(L1818&lt;&gt;"","费用支出","")))))</f>
      </c>
      <c r="P1818" s="78">
        <f>IF(O1818="","",IFERROR(INDEX(基础资料!$AE$5:$AE$34,MATCH(O1818,基础资料!$AC$5:$AC$34,0)),"未知"))</f>
      </c>
      <c r="Q1818" s="78">
        <f>IF(P1818="应收",COUNTIF(P$7:P1818,"应收"),"")</f>
      </c>
      <c r="R1818" s="78">
        <f>IF(P1818="应付",COUNTIF(P$7:P1818,"应付"),"")</f>
      </c>
      <c r="S1818" s="78">
        <f>N(F1818)-N(G1818)</f>
        <v>0</v>
      </c>
    </row>
    <row r="1819">
      <c r="A1819" s="109">
        <f>IF(AND(F1819="",G1819=""),"",ROW()-6)</f>
      </c>
      <c r="B1819" s="140" t="n"/>
      <c r="C1819" s="141" t="n"/>
      <c r="D1819" s="141" t="n"/>
      <c r="E1819" s="142" t="n"/>
      <c r="F1819" s="143" t="n"/>
      <c r="G1819" s="144" t="n"/>
      <c r="H1819" s="145">
        <f>IF(OR(C1819="",AND(F1819="",G1819="")),"",SUMIF(基础资料!$W$5:$W$24,C1819,基础资料!$X$5:$X$24)+SUMIF(C$7:C1819,C1819,F$7:F1819)-SUMIF(C$7:C1819,C1819,G$7:G1819))</f>
      </c>
      <c r="I1819" s="145">
        <f>IF(AND(F1819="",G1819=""),"",SUM(基础资料!$X$5:$X$24)+SUM(F$7:F1819)-SUM(G$7:G1819))</f>
      </c>
      <c r="J1819" s="141" t="n"/>
      <c r="K1819" s="141" t="n"/>
      <c r="L1819" s="141" t="n"/>
      <c r="M1819" s="142" t="n"/>
      <c r="N1819" s="146">
        <f>IF(AND(AND(F1819="",G1819=""),B1819="",C1819="",D1819="",J1819="",K1819="",L1819=""),"",IF(AND(F1819="",G1819=""),"✗ 没填金额",IF(AND(N(F1819)&lt;&gt;0,N(G1819)&lt;&gt;0),"✗ 收入、支出只能填一边",IF(NOT(ISNUMBER(B1819)),"✗ 日期不是真日期（要像 2026/9/25 这样填）",IF(OR(B1819&lt;年初日,B1819&gt;年末日),"✗ 日期不在本会计年度",IF(C1819="","✗ 没选账户",IF(COUNTIF(基础资料!$W$5:$W$24,C1819)=0,"✗ 账户不在基础资料里",IF(O1819="","✗ 没选收支项目",IF(P1819="未知","✗ 收支项目不在基础资料里",IF(AND(P1819="应收",J1819=""),"✗ 这笔要选客户",IF(AND(P1819="应收",COUNTIF(总览汇总!$B$5:$B$304,J1819)=0),"✗ 客户不在总览汇总名单里",IF(AND(P1819="应付",K1819=""),"✗ 这笔要选供应商",IF(AND(P1819="应付",COUNTIF(基础资料!$Q$5:$Q$54,K1819)=0),"✗ 供应商不在基础资料里",IF(AND(P1819="费用",L1819=""),"✗ 费用支出要选费用项目",IF(AND(L1819&lt;&gt;"",COUNTIF(基础资料!$AI$5:$AI$54,L1819)=0),"✗ 费用项目不在基础资料里",IF(AND(IFERROR(INDEX(基础资料!$AD$5:$AD$34,MATCH(O1819,基础资料!$AC$5:$AC$34,0)),"")="收",N(G1819)&lt;&gt;0),"✗ 这类是收款，金额填到收入列",IF(AND(IFERROR(INDEX(基础资料!$AD$5:$AD$34,MATCH(O1819,基础资料!$AC$5:$AC$34,0)),"")="支",N(F1819)&lt;&gt;0),"✗ 这类是付款，金额填到支出列",IF(N(H1819)&lt;0,"⚠ 账户余额成负数了，核对一下","√"))))))))))))))))))</f>
      </c>
      <c r="O1819" s="78">
        <f>IF(D1819&lt;&gt;"",D1819,IF(AND(F1819="",G1819=""),"",IF(J1819&lt;&gt;"",IF(N(F1819)&gt;0,"客户回款","客户退款"),IF(K1819&lt;&gt;"",IF(N(G1819)&gt;0,"供应商付款","供应商退款"),IF(L1819&lt;&gt;"","费用支出","")))))</f>
      </c>
      <c r="P1819" s="78">
        <f>IF(O1819="","",IFERROR(INDEX(基础资料!$AE$5:$AE$34,MATCH(O1819,基础资料!$AC$5:$AC$34,0)),"未知"))</f>
      </c>
      <c r="Q1819" s="78">
        <f>IF(P1819="应收",COUNTIF(P$7:P1819,"应收"),"")</f>
      </c>
      <c r="R1819" s="78">
        <f>IF(P1819="应付",COUNTIF(P$7:P1819,"应付"),"")</f>
      </c>
      <c r="S1819" s="78">
        <f>N(F1819)-N(G1819)</f>
        <v>0</v>
      </c>
    </row>
    <row r="1820">
      <c r="A1820" s="109">
        <f>IF(AND(F1820="",G1820=""),"",ROW()-6)</f>
      </c>
      <c r="B1820" s="140" t="n"/>
      <c r="C1820" s="141" t="n"/>
      <c r="D1820" s="141" t="n"/>
      <c r="E1820" s="142" t="n"/>
      <c r="F1820" s="143" t="n"/>
      <c r="G1820" s="144" t="n"/>
      <c r="H1820" s="145">
        <f>IF(OR(C1820="",AND(F1820="",G1820="")),"",SUMIF(基础资料!$W$5:$W$24,C1820,基础资料!$X$5:$X$24)+SUMIF(C$7:C1820,C1820,F$7:F1820)-SUMIF(C$7:C1820,C1820,G$7:G1820))</f>
      </c>
      <c r="I1820" s="145">
        <f>IF(AND(F1820="",G1820=""),"",SUM(基础资料!$X$5:$X$24)+SUM(F$7:F1820)-SUM(G$7:G1820))</f>
      </c>
      <c r="J1820" s="141" t="n"/>
      <c r="K1820" s="141" t="n"/>
      <c r="L1820" s="141" t="n"/>
      <c r="M1820" s="142" t="n"/>
      <c r="N1820" s="146">
        <f>IF(AND(AND(F1820="",G1820=""),B1820="",C1820="",D1820="",J1820="",K1820="",L1820=""),"",IF(AND(F1820="",G1820=""),"✗ 没填金额",IF(AND(N(F1820)&lt;&gt;0,N(G1820)&lt;&gt;0),"✗ 收入、支出只能填一边",IF(NOT(ISNUMBER(B1820)),"✗ 日期不是真日期（要像 2026/9/25 这样填）",IF(OR(B1820&lt;年初日,B1820&gt;年末日),"✗ 日期不在本会计年度",IF(C1820="","✗ 没选账户",IF(COUNTIF(基础资料!$W$5:$W$24,C1820)=0,"✗ 账户不在基础资料里",IF(O1820="","✗ 没选收支项目",IF(P1820="未知","✗ 收支项目不在基础资料里",IF(AND(P1820="应收",J1820=""),"✗ 这笔要选客户",IF(AND(P1820="应收",COUNTIF(总览汇总!$B$5:$B$304,J1820)=0),"✗ 客户不在总览汇总名单里",IF(AND(P1820="应付",K1820=""),"✗ 这笔要选供应商",IF(AND(P1820="应付",COUNTIF(基础资料!$Q$5:$Q$54,K1820)=0),"✗ 供应商不在基础资料里",IF(AND(P1820="费用",L1820=""),"✗ 费用支出要选费用项目",IF(AND(L1820&lt;&gt;"",COUNTIF(基础资料!$AI$5:$AI$54,L1820)=0),"✗ 费用项目不在基础资料里",IF(AND(IFERROR(INDEX(基础资料!$AD$5:$AD$34,MATCH(O1820,基础资料!$AC$5:$AC$34,0)),"")="收",N(G1820)&lt;&gt;0),"✗ 这类是收款，金额填到收入列",IF(AND(IFERROR(INDEX(基础资料!$AD$5:$AD$34,MATCH(O1820,基础资料!$AC$5:$AC$34,0)),"")="支",N(F1820)&lt;&gt;0),"✗ 这类是付款，金额填到支出列",IF(N(H1820)&lt;0,"⚠ 账户余额成负数了，核对一下","√"))))))))))))))))))</f>
      </c>
      <c r="O1820" s="78">
        <f>IF(D1820&lt;&gt;"",D1820,IF(AND(F1820="",G1820=""),"",IF(J1820&lt;&gt;"",IF(N(F1820)&gt;0,"客户回款","客户退款"),IF(K1820&lt;&gt;"",IF(N(G1820)&gt;0,"供应商付款","供应商退款"),IF(L1820&lt;&gt;"","费用支出","")))))</f>
      </c>
      <c r="P1820" s="78">
        <f>IF(O1820="","",IFERROR(INDEX(基础资料!$AE$5:$AE$34,MATCH(O1820,基础资料!$AC$5:$AC$34,0)),"未知"))</f>
      </c>
      <c r="Q1820" s="78">
        <f>IF(P1820="应收",COUNTIF(P$7:P1820,"应收"),"")</f>
      </c>
      <c r="R1820" s="78">
        <f>IF(P1820="应付",COUNTIF(P$7:P1820,"应付"),"")</f>
      </c>
      <c r="S1820" s="78">
        <f>N(F1820)-N(G1820)</f>
        <v>0</v>
      </c>
    </row>
    <row r="1821">
      <c r="A1821" s="109">
        <f>IF(AND(F1821="",G1821=""),"",ROW()-6)</f>
      </c>
      <c r="B1821" s="140" t="n"/>
      <c r="C1821" s="141" t="n"/>
      <c r="D1821" s="141" t="n"/>
      <c r="E1821" s="142" t="n"/>
      <c r="F1821" s="143" t="n"/>
      <c r="G1821" s="144" t="n"/>
      <c r="H1821" s="145">
        <f>IF(OR(C1821="",AND(F1821="",G1821="")),"",SUMIF(基础资料!$W$5:$W$24,C1821,基础资料!$X$5:$X$24)+SUMIF(C$7:C1821,C1821,F$7:F1821)-SUMIF(C$7:C1821,C1821,G$7:G1821))</f>
      </c>
      <c r="I1821" s="145">
        <f>IF(AND(F1821="",G1821=""),"",SUM(基础资料!$X$5:$X$24)+SUM(F$7:F1821)-SUM(G$7:G1821))</f>
      </c>
      <c r="J1821" s="141" t="n"/>
      <c r="K1821" s="141" t="n"/>
      <c r="L1821" s="141" t="n"/>
      <c r="M1821" s="142" t="n"/>
      <c r="N1821" s="146">
        <f>IF(AND(AND(F1821="",G1821=""),B1821="",C1821="",D1821="",J1821="",K1821="",L1821=""),"",IF(AND(F1821="",G1821=""),"✗ 没填金额",IF(AND(N(F1821)&lt;&gt;0,N(G1821)&lt;&gt;0),"✗ 收入、支出只能填一边",IF(NOT(ISNUMBER(B1821)),"✗ 日期不是真日期（要像 2026/9/25 这样填）",IF(OR(B1821&lt;年初日,B1821&gt;年末日),"✗ 日期不在本会计年度",IF(C1821="","✗ 没选账户",IF(COUNTIF(基础资料!$W$5:$W$24,C1821)=0,"✗ 账户不在基础资料里",IF(O1821="","✗ 没选收支项目",IF(P1821="未知","✗ 收支项目不在基础资料里",IF(AND(P1821="应收",J1821=""),"✗ 这笔要选客户",IF(AND(P1821="应收",COUNTIF(总览汇总!$B$5:$B$304,J1821)=0),"✗ 客户不在总览汇总名单里",IF(AND(P1821="应付",K1821=""),"✗ 这笔要选供应商",IF(AND(P1821="应付",COUNTIF(基础资料!$Q$5:$Q$54,K1821)=0),"✗ 供应商不在基础资料里",IF(AND(P1821="费用",L1821=""),"✗ 费用支出要选费用项目",IF(AND(L1821&lt;&gt;"",COUNTIF(基础资料!$AI$5:$AI$54,L1821)=0),"✗ 费用项目不在基础资料里",IF(AND(IFERROR(INDEX(基础资料!$AD$5:$AD$34,MATCH(O1821,基础资料!$AC$5:$AC$34,0)),"")="收",N(G1821)&lt;&gt;0),"✗ 这类是收款，金额填到收入列",IF(AND(IFERROR(INDEX(基础资料!$AD$5:$AD$34,MATCH(O1821,基础资料!$AC$5:$AC$34,0)),"")="支",N(F1821)&lt;&gt;0),"✗ 这类是付款，金额填到支出列",IF(N(H1821)&lt;0,"⚠ 账户余额成负数了，核对一下","√"))))))))))))))))))</f>
      </c>
      <c r="O1821" s="78">
        <f>IF(D1821&lt;&gt;"",D1821,IF(AND(F1821="",G1821=""),"",IF(J1821&lt;&gt;"",IF(N(F1821)&gt;0,"客户回款","客户退款"),IF(K1821&lt;&gt;"",IF(N(G1821)&gt;0,"供应商付款","供应商退款"),IF(L1821&lt;&gt;"","费用支出","")))))</f>
      </c>
      <c r="P1821" s="78">
        <f>IF(O1821="","",IFERROR(INDEX(基础资料!$AE$5:$AE$34,MATCH(O1821,基础资料!$AC$5:$AC$34,0)),"未知"))</f>
      </c>
      <c r="Q1821" s="78">
        <f>IF(P1821="应收",COUNTIF(P$7:P1821,"应收"),"")</f>
      </c>
      <c r="R1821" s="78">
        <f>IF(P1821="应付",COUNTIF(P$7:P1821,"应付"),"")</f>
      </c>
      <c r="S1821" s="78">
        <f>N(F1821)-N(G1821)</f>
        <v>0</v>
      </c>
    </row>
    <row r="1822">
      <c r="A1822" s="109">
        <f>IF(AND(F1822="",G1822=""),"",ROW()-6)</f>
      </c>
      <c r="B1822" s="140" t="n"/>
      <c r="C1822" s="141" t="n"/>
      <c r="D1822" s="141" t="n"/>
      <c r="E1822" s="142" t="n"/>
      <c r="F1822" s="143" t="n"/>
      <c r="G1822" s="144" t="n"/>
      <c r="H1822" s="145">
        <f>IF(OR(C1822="",AND(F1822="",G1822="")),"",SUMIF(基础资料!$W$5:$W$24,C1822,基础资料!$X$5:$X$24)+SUMIF(C$7:C1822,C1822,F$7:F1822)-SUMIF(C$7:C1822,C1822,G$7:G1822))</f>
      </c>
      <c r="I1822" s="145">
        <f>IF(AND(F1822="",G1822=""),"",SUM(基础资料!$X$5:$X$24)+SUM(F$7:F1822)-SUM(G$7:G1822))</f>
      </c>
      <c r="J1822" s="141" t="n"/>
      <c r="K1822" s="141" t="n"/>
      <c r="L1822" s="141" t="n"/>
      <c r="M1822" s="142" t="n"/>
      <c r="N1822" s="146">
        <f>IF(AND(AND(F1822="",G1822=""),B1822="",C1822="",D1822="",J1822="",K1822="",L1822=""),"",IF(AND(F1822="",G1822=""),"✗ 没填金额",IF(AND(N(F1822)&lt;&gt;0,N(G1822)&lt;&gt;0),"✗ 收入、支出只能填一边",IF(NOT(ISNUMBER(B1822)),"✗ 日期不是真日期（要像 2026/9/25 这样填）",IF(OR(B1822&lt;年初日,B1822&gt;年末日),"✗ 日期不在本会计年度",IF(C1822="","✗ 没选账户",IF(COUNTIF(基础资料!$W$5:$W$24,C1822)=0,"✗ 账户不在基础资料里",IF(O1822="","✗ 没选收支项目",IF(P1822="未知","✗ 收支项目不在基础资料里",IF(AND(P1822="应收",J1822=""),"✗ 这笔要选客户",IF(AND(P1822="应收",COUNTIF(总览汇总!$B$5:$B$304,J1822)=0),"✗ 客户不在总览汇总名单里",IF(AND(P1822="应付",K1822=""),"✗ 这笔要选供应商",IF(AND(P1822="应付",COUNTIF(基础资料!$Q$5:$Q$54,K1822)=0),"✗ 供应商不在基础资料里",IF(AND(P1822="费用",L1822=""),"✗ 费用支出要选费用项目",IF(AND(L1822&lt;&gt;"",COUNTIF(基础资料!$AI$5:$AI$54,L1822)=0),"✗ 费用项目不在基础资料里",IF(AND(IFERROR(INDEX(基础资料!$AD$5:$AD$34,MATCH(O1822,基础资料!$AC$5:$AC$34,0)),"")="收",N(G1822)&lt;&gt;0),"✗ 这类是收款，金额填到收入列",IF(AND(IFERROR(INDEX(基础资料!$AD$5:$AD$34,MATCH(O1822,基础资料!$AC$5:$AC$34,0)),"")="支",N(F1822)&lt;&gt;0),"✗ 这类是付款，金额填到支出列",IF(N(H1822)&lt;0,"⚠ 账户余额成负数了，核对一下","√"))))))))))))))))))</f>
      </c>
      <c r="O1822" s="78">
        <f>IF(D1822&lt;&gt;"",D1822,IF(AND(F1822="",G1822=""),"",IF(J1822&lt;&gt;"",IF(N(F1822)&gt;0,"客户回款","客户退款"),IF(K1822&lt;&gt;"",IF(N(G1822)&gt;0,"供应商付款","供应商退款"),IF(L1822&lt;&gt;"","费用支出","")))))</f>
      </c>
      <c r="P1822" s="78">
        <f>IF(O1822="","",IFERROR(INDEX(基础资料!$AE$5:$AE$34,MATCH(O1822,基础资料!$AC$5:$AC$34,0)),"未知"))</f>
      </c>
      <c r="Q1822" s="78">
        <f>IF(P1822="应收",COUNTIF(P$7:P1822,"应收"),"")</f>
      </c>
      <c r="R1822" s="78">
        <f>IF(P1822="应付",COUNTIF(P$7:P1822,"应付"),"")</f>
      </c>
      <c r="S1822" s="78">
        <f>N(F1822)-N(G1822)</f>
        <v>0</v>
      </c>
    </row>
    <row r="1823">
      <c r="A1823" s="109">
        <f>IF(AND(F1823="",G1823=""),"",ROW()-6)</f>
      </c>
      <c r="B1823" s="140" t="n"/>
      <c r="C1823" s="141" t="n"/>
      <c r="D1823" s="141" t="n"/>
      <c r="E1823" s="142" t="n"/>
      <c r="F1823" s="143" t="n"/>
      <c r="G1823" s="144" t="n"/>
      <c r="H1823" s="145">
        <f>IF(OR(C1823="",AND(F1823="",G1823="")),"",SUMIF(基础资料!$W$5:$W$24,C1823,基础资料!$X$5:$X$24)+SUMIF(C$7:C1823,C1823,F$7:F1823)-SUMIF(C$7:C1823,C1823,G$7:G1823))</f>
      </c>
      <c r="I1823" s="145">
        <f>IF(AND(F1823="",G1823=""),"",SUM(基础资料!$X$5:$X$24)+SUM(F$7:F1823)-SUM(G$7:G1823))</f>
      </c>
      <c r="J1823" s="141" t="n"/>
      <c r="K1823" s="141" t="n"/>
      <c r="L1823" s="141" t="n"/>
      <c r="M1823" s="142" t="n"/>
      <c r="N1823" s="146">
        <f>IF(AND(AND(F1823="",G1823=""),B1823="",C1823="",D1823="",J1823="",K1823="",L1823=""),"",IF(AND(F1823="",G1823=""),"✗ 没填金额",IF(AND(N(F1823)&lt;&gt;0,N(G1823)&lt;&gt;0),"✗ 收入、支出只能填一边",IF(NOT(ISNUMBER(B1823)),"✗ 日期不是真日期（要像 2026/9/25 这样填）",IF(OR(B1823&lt;年初日,B1823&gt;年末日),"✗ 日期不在本会计年度",IF(C1823="","✗ 没选账户",IF(COUNTIF(基础资料!$W$5:$W$24,C1823)=0,"✗ 账户不在基础资料里",IF(O1823="","✗ 没选收支项目",IF(P1823="未知","✗ 收支项目不在基础资料里",IF(AND(P1823="应收",J1823=""),"✗ 这笔要选客户",IF(AND(P1823="应收",COUNTIF(总览汇总!$B$5:$B$304,J1823)=0),"✗ 客户不在总览汇总名单里",IF(AND(P1823="应付",K1823=""),"✗ 这笔要选供应商",IF(AND(P1823="应付",COUNTIF(基础资料!$Q$5:$Q$54,K1823)=0),"✗ 供应商不在基础资料里",IF(AND(P1823="费用",L1823=""),"✗ 费用支出要选费用项目",IF(AND(L1823&lt;&gt;"",COUNTIF(基础资料!$AI$5:$AI$54,L1823)=0),"✗ 费用项目不在基础资料里",IF(AND(IFERROR(INDEX(基础资料!$AD$5:$AD$34,MATCH(O1823,基础资料!$AC$5:$AC$34,0)),"")="收",N(G1823)&lt;&gt;0),"✗ 这类是收款，金额填到收入列",IF(AND(IFERROR(INDEX(基础资料!$AD$5:$AD$34,MATCH(O1823,基础资料!$AC$5:$AC$34,0)),"")="支",N(F1823)&lt;&gt;0),"✗ 这类是付款，金额填到支出列",IF(N(H1823)&lt;0,"⚠ 账户余额成负数了，核对一下","√"))))))))))))))))))</f>
      </c>
      <c r="O1823" s="78">
        <f>IF(D1823&lt;&gt;"",D1823,IF(AND(F1823="",G1823=""),"",IF(J1823&lt;&gt;"",IF(N(F1823)&gt;0,"客户回款","客户退款"),IF(K1823&lt;&gt;"",IF(N(G1823)&gt;0,"供应商付款","供应商退款"),IF(L1823&lt;&gt;"","费用支出","")))))</f>
      </c>
      <c r="P1823" s="78">
        <f>IF(O1823="","",IFERROR(INDEX(基础资料!$AE$5:$AE$34,MATCH(O1823,基础资料!$AC$5:$AC$34,0)),"未知"))</f>
      </c>
      <c r="Q1823" s="78">
        <f>IF(P1823="应收",COUNTIF(P$7:P1823,"应收"),"")</f>
      </c>
      <c r="R1823" s="78">
        <f>IF(P1823="应付",COUNTIF(P$7:P1823,"应付"),"")</f>
      </c>
      <c r="S1823" s="78">
        <f>N(F1823)-N(G1823)</f>
        <v>0</v>
      </c>
    </row>
    <row r="1824">
      <c r="A1824" s="109">
        <f>IF(AND(F1824="",G1824=""),"",ROW()-6)</f>
      </c>
      <c r="B1824" s="140" t="n"/>
      <c r="C1824" s="141" t="n"/>
      <c r="D1824" s="141" t="n"/>
      <c r="E1824" s="142" t="n"/>
      <c r="F1824" s="143" t="n"/>
      <c r="G1824" s="144" t="n"/>
      <c r="H1824" s="145">
        <f>IF(OR(C1824="",AND(F1824="",G1824="")),"",SUMIF(基础资料!$W$5:$W$24,C1824,基础资料!$X$5:$X$24)+SUMIF(C$7:C1824,C1824,F$7:F1824)-SUMIF(C$7:C1824,C1824,G$7:G1824))</f>
      </c>
      <c r="I1824" s="145">
        <f>IF(AND(F1824="",G1824=""),"",SUM(基础资料!$X$5:$X$24)+SUM(F$7:F1824)-SUM(G$7:G1824))</f>
      </c>
      <c r="J1824" s="141" t="n"/>
      <c r="K1824" s="141" t="n"/>
      <c r="L1824" s="141" t="n"/>
      <c r="M1824" s="142" t="n"/>
      <c r="N1824" s="146">
        <f>IF(AND(AND(F1824="",G1824=""),B1824="",C1824="",D1824="",J1824="",K1824="",L1824=""),"",IF(AND(F1824="",G1824=""),"✗ 没填金额",IF(AND(N(F1824)&lt;&gt;0,N(G1824)&lt;&gt;0),"✗ 收入、支出只能填一边",IF(NOT(ISNUMBER(B1824)),"✗ 日期不是真日期（要像 2026/9/25 这样填）",IF(OR(B1824&lt;年初日,B1824&gt;年末日),"✗ 日期不在本会计年度",IF(C1824="","✗ 没选账户",IF(COUNTIF(基础资料!$W$5:$W$24,C1824)=0,"✗ 账户不在基础资料里",IF(O1824="","✗ 没选收支项目",IF(P1824="未知","✗ 收支项目不在基础资料里",IF(AND(P1824="应收",J1824=""),"✗ 这笔要选客户",IF(AND(P1824="应收",COUNTIF(总览汇总!$B$5:$B$304,J1824)=0),"✗ 客户不在总览汇总名单里",IF(AND(P1824="应付",K1824=""),"✗ 这笔要选供应商",IF(AND(P1824="应付",COUNTIF(基础资料!$Q$5:$Q$54,K1824)=0),"✗ 供应商不在基础资料里",IF(AND(P1824="费用",L1824=""),"✗ 费用支出要选费用项目",IF(AND(L1824&lt;&gt;"",COUNTIF(基础资料!$AI$5:$AI$54,L1824)=0),"✗ 费用项目不在基础资料里",IF(AND(IFERROR(INDEX(基础资料!$AD$5:$AD$34,MATCH(O1824,基础资料!$AC$5:$AC$34,0)),"")="收",N(G1824)&lt;&gt;0),"✗ 这类是收款，金额填到收入列",IF(AND(IFERROR(INDEX(基础资料!$AD$5:$AD$34,MATCH(O1824,基础资料!$AC$5:$AC$34,0)),"")="支",N(F1824)&lt;&gt;0),"✗ 这类是付款，金额填到支出列",IF(N(H1824)&lt;0,"⚠ 账户余额成负数了，核对一下","√"))))))))))))))))))</f>
      </c>
      <c r="O1824" s="78">
        <f>IF(D1824&lt;&gt;"",D1824,IF(AND(F1824="",G1824=""),"",IF(J1824&lt;&gt;"",IF(N(F1824)&gt;0,"客户回款","客户退款"),IF(K1824&lt;&gt;"",IF(N(G1824)&gt;0,"供应商付款","供应商退款"),IF(L1824&lt;&gt;"","费用支出","")))))</f>
      </c>
      <c r="P1824" s="78">
        <f>IF(O1824="","",IFERROR(INDEX(基础资料!$AE$5:$AE$34,MATCH(O1824,基础资料!$AC$5:$AC$34,0)),"未知"))</f>
      </c>
      <c r="Q1824" s="78">
        <f>IF(P1824="应收",COUNTIF(P$7:P1824,"应收"),"")</f>
      </c>
      <c r="R1824" s="78">
        <f>IF(P1824="应付",COUNTIF(P$7:P1824,"应付"),"")</f>
      </c>
      <c r="S1824" s="78">
        <f>N(F1824)-N(G1824)</f>
        <v>0</v>
      </c>
    </row>
    <row r="1825">
      <c r="A1825" s="109">
        <f>IF(AND(F1825="",G1825=""),"",ROW()-6)</f>
      </c>
      <c r="B1825" s="140" t="n"/>
      <c r="C1825" s="141" t="n"/>
      <c r="D1825" s="141" t="n"/>
      <c r="E1825" s="142" t="n"/>
      <c r="F1825" s="143" t="n"/>
      <c r="G1825" s="144" t="n"/>
      <c r="H1825" s="145">
        <f>IF(OR(C1825="",AND(F1825="",G1825="")),"",SUMIF(基础资料!$W$5:$W$24,C1825,基础资料!$X$5:$X$24)+SUMIF(C$7:C1825,C1825,F$7:F1825)-SUMIF(C$7:C1825,C1825,G$7:G1825))</f>
      </c>
      <c r="I1825" s="145">
        <f>IF(AND(F1825="",G1825=""),"",SUM(基础资料!$X$5:$X$24)+SUM(F$7:F1825)-SUM(G$7:G1825))</f>
      </c>
      <c r="J1825" s="141" t="n"/>
      <c r="K1825" s="141" t="n"/>
      <c r="L1825" s="141" t="n"/>
      <c r="M1825" s="142" t="n"/>
      <c r="N1825" s="146">
        <f>IF(AND(AND(F1825="",G1825=""),B1825="",C1825="",D1825="",J1825="",K1825="",L1825=""),"",IF(AND(F1825="",G1825=""),"✗ 没填金额",IF(AND(N(F1825)&lt;&gt;0,N(G1825)&lt;&gt;0),"✗ 收入、支出只能填一边",IF(NOT(ISNUMBER(B1825)),"✗ 日期不是真日期（要像 2026/9/25 这样填）",IF(OR(B1825&lt;年初日,B1825&gt;年末日),"✗ 日期不在本会计年度",IF(C1825="","✗ 没选账户",IF(COUNTIF(基础资料!$W$5:$W$24,C1825)=0,"✗ 账户不在基础资料里",IF(O1825="","✗ 没选收支项目",IF(P1825="未知","✗ 收支项目不在基础资料里",IF(AND(P1825="应收",J1825=""),"✗ 这笔要选客户",IF(AND(P1825="应收",COUNTIF(总览汇总!$B$5:$B$304,J1825)=0),"✗ 客户不在总览汇总名单里",IF(AND(P1825="应付",K1825=""),"✗ 这笔要选供应商",IF(AND(P1825="应付",COUNTIF(基础资料!$Q$5:$Q$54,K1825)=0),"✗ 供应商不在基础资料里",IF(AND(P1825="费用",L1825=""),"✗ 费用支出要选费用项目",IF(AND(L1825&lt;&gt;"",COUNTIF(基础资料!$AI$5:$AI$54,L1825)=0),"✗ 费用项目不在基础资料里",IF(AND(IFERROR(INDEX(基础资料!$AD$5:$AD$34,MATCH(O1825,基础资料!$AC$5:$AC$34,0)),"")="收",N(G1825)&lt;&gt;0),"✗ 这类是收款，金额填到收入列",IF(AND(IFERROR(INDEX(基础资料!$AD$5:$AD$34,MATCH(O1825,基础资料!$AC$5:$AC$34,0)),"")="支",N(F1825)&lt;&gt;0),"✗ 这类是付款，金额填到支出列",IF(N(H1825)&lt;0,"⚠ 账户余额成负数了，核对一下","√"))))))))))))))))))</f>
      </c>
      <c r="O1825" s="78">
        <f>IF(D1825&lt;&gt;"",D1825,IF(AND(F1825="",G1825=""),"",IF(J1825&lt;&gt;"",IF(N(F1825)&gt;0,"客户回款","客户退款"),IF(K1825&lt;&gt;"",IF(N(G1825)&gt;0,"供应商付款","供应商退款"),IF(L1825&lt;&gt;"","费用支出","")))))</f>
      </c>
      <c r="P1825" s="78">
        <f>IF(O1825="","",IFERROR(INDEX(基础资料!$AE$5:$AE$34,MATCH(O1825,基础资料!$AC$5:$AC$34,0)),"未知"))</f>
      </c>
      <c r="Q1825" s="78">
        <f>IF(P1825="应收",COUNTIF(P$7:P1825,"应收"),"")</f>
      </c>
      <c r="R1825" s="78">
        <f>IF(P1825="应付",COUNTIF(P$7:P1825,"应付"),"")</f>
      </c>
      <c r="S1825" s="78">
        <f>N(F1825)-N(G1825)</f>
        <v>0</v>
      </c>
    </row>
    <row r="1826">
      <c r="A1826" s="109">
        <f>IF(AND(F1826="",G1826=""),"",ROW()-6)</f>
      </c>
      <c r="B1826" s="140" t="n"/>
      <c r="C1826" s="141" t="n"/>
      <c r="D1826" s="141" t="n"/>
      <c r="E1826" s="142" t="n"/>
      <c r="F1826" s="143" t="n"/>
      <c r="G1826" s="144" t="n"/>
      <c r="H1826" s="145">
        <f>IF(OR(C1826="",AND(F1826="",G1826="")),"",SUMIF(基础资料!$W$5:$W$24,C1826,基础资料!$X$5:$X$24)+SUMIF(C$7:C1826,C1826,F$7:F1826)-SUMIF(C$7:C1826,C1826,G$7:G1826))</f>
      </c>
      <c r="I1826" s="145">
        <f>IF(AND(F1826="",G1826=""),"",SUM(基础资料!$X$5:$X$24)+SUM(F$7:F1826)-SUM(G$7:G1826))</f>
      </c>
      <c r="J1826" s="141" t="n"/>
      <c r="K1826" s="141" t="n"/>
      <c r="L1826" s="141" t="n"/>
      <c r="M1826" s="142" t="n"/>
      <c r="N1826" s="146">
        <f>IF(AND(AND(F1826="",G1826=""),B1826="",C1826="",D1826="",J1826="",K1826="",L1826=""),"",IF(AND(F1826="",G1826=""),"✗ 没填金额",IF(AND(N(F1826)&lt;&gt;0,N(G1826)&lt;&gt;0),"✗ 收入、支出只能填一边",IF(NOT(ISNUMBER(B1826)),"✗ 日期不是真日期（要像 2026/9/25 这样填）",IF(OR(B1826&lt;年初日,B1826&gt;年末日),"✗ 日期不在本会计年度",IF(C1826="","✗ 没选账户",IF(COUNTIF(基础资料!$W$5:$W$24,C1826)=0,"✗ 账户不在基础资料里",IF(O1826="","✗ 没选收支项目",IF(P1826="未知","✗ 收支项目不在基础资料里",IF(AND(P1826="应收",J1826=""),"✗ 这笔要选客户",IF(AND(P1826="应收",COUNTIF(总览汇总!$B$5:$B$304,J1826)=0),"✗ 客户不在总览汇总名单里",IF(AND(P1826="应付",K1826=""),"✗ 这笔要选供应商",IF(AND(P1826="应付",COUNTIF(基础资料!$Q$5:$Q$54,K1826)=0),"✗ 供应商不在基础资料里",IF(AND(P1826="费用",L1826=""),"✗ 费用支出要选费用项目",IF(AND(L1826&lt;&gt;"",COUNTIF(基础资料!$AI$5:$AI$54,L1826)=0),"✗ 费用项目不在基础资料里",IF(AND(IFERROR(INDEX(基础资料!$AD$5:$AD$34,MATCH(O1826,基础资料!$AC$5:$AC$34,0)),"")="收",N(G1826)&lt;&gt;0),"✗ 这类是收款，金额填到收入列",IF(AND(IFERROR(INDEX(基础资料!$AD$5:$AD$34,MATCH(O1826,基础资料!$AC$5:$AC$34,0)),"")="支",N(F1826)&lt;&gt;0),"✗ 这类是付款，金额填到支出列",IF(N(H1826)&lt;0,"⚠ 账户余额成负数了，核对一下","√"))))))))))))))))))</f>
      </c>
      <c r="O1826" s="78">
        <f>IF(D1826&lt;&gt;"",D1826,IF(AND(F1826="",G1826=""),"",IF(J1826&lt;&gt;"",IF(N(F1826)&gt;0,"客户回款","客户退款"),IF(K1826&lt;&gt;"",IF(N(G1826)&gt;0,"供应商付款","供应商退款"),IF(L1826&lt;&gt;"","费用支出","")))))</f>
      </c>
      <c r="P1826" s="78">
        <f>IF(O1826="","",IFERROR(INDEX(基础资料!$AE$5:$AE$34,MATCH(O1826,基础资料!$AC$5:$AC$34,0)),"未知"))</f>
      </c>
      <c r="Q1826" s="78">
        <f>IF(P1826="应收",COUNTIF(P$7:P1826,"应收"),"")</f>
      </c>
      <c r="R1826" s="78">
        <f>IF(P1826="应付",COUNTIF(P$7:P1826,"应付"),"")</f>
      </c>
      <c r="S1826" s="78">
        <f>N(F1826)-N(G1826)</f>
        <v>0</v>
      </c>
    </row>
    <row r="1827">
      <c r="A1827" s="109">
        <f>IF(AND(F1827="",G1827=""),"",ROW()-6)</f>
      </c>
      <c r="B1827" s="140" t="n"/>
      <c r="C1827" s="141" t="n"/>
      <c r="D1827" s="141" t="n"/>
      <c r="E1827" s="142" t="n"/>
      <c r="F1827" s="143" t="n"/>
      <c r="G1827" s="144" t="n"/>
      <c r="H1827" s="145">
        <f>IF(OR(C1827="",AND(F1827="",G1827="")),"",SUMIF(基础资料!$W$5:$W$24,C1827,基础资料!$X$5:$X$24)+SUMIF(C$7:C1827,C1827,F$7:F1827)-SUMIF(C$7:C1827,C1827,G$7:G1827))</f>
      </c>
      <c r="I1827" s="145">
        <f>IF(AND(F1827="",G1827=""),"",SUM(基础资料!$X$5:$X$24)+SUM(F$7:F1827)-SUM(G$7:G1827))</f>
      </c>
      <c r="J1827" s="141" t="n"/>
      <c r="K1827" s="141" t="n"/>
      <c r="L1827" s="141" t="n"/>
      <c r="M1827" s="142" t="n"/>
      <c r="N1827" s="146">
        <f>IF(AND(AND(F1827="",G1827=""),B1827="",C1827="",D1827="",J1827="",K1827="",L1827=""),"",IF(AND(F1827="",G1827=""),"✗ 没填金额",IF(AND(N(F1827)&lt;&gt;0,N(G1827)&lt;&gt;0),"✗ 收入、支出只能填一边",IF(NOT(ISNUMBER(B1827)),"✗ 日期不是真日期（要像 2026/9/25 这样填）",IF(OR(B1827&lt;年初日,B1827&gt;年末日),"✗ 日期不在本会计年度",IF(C1827="","✗ 没选账户",IF(COUNTIF(基础资料!$W$5:$W$24,C1827)=0,"✗ 账户不在基础资料里",IF(O1827="","✗ 没选收支项目",IF(P1827="未知","✗ 收支项目不在基础资料里",IF(AND(P1827="应收",J1827=""),"✗ 这笔要选客户",IF(AND(P1827="应收",COUNTIF(总览汇总!$B$5:$B$304,J1827)=0),"✗ 客户不在总览汇总名单里",IF(AND(P1827="应付",K1827=""),"✗ 这笔要选供应商",IF(AND(P1827="应付",COUNTIF(基础资料!$Q$5:$Q$54,K1827)=0),"✗ 供应商不在基础资料里",IF(AND(P1827="费用",L1827=""),"✗ 费用支出要选费用项目",IF(AND(L1827&lt;&gt;"",COUNTIF(基础资料!$AI$5:$AI$54,L1827)=0),"✗ 费用项目不在基础资料里",IF(AND(IFERROR(INDEX(基础资料!$AD$5:$AD$34,MATCH(O1827,基础资料!$AC$5:$AC$34,0)),"")="收",N(G1827)&lt;&gt;0),"✗ 这类是收款，金额填到收入列",IF(AND(IFERROR(INDEX(基础资料!$AD$5:$AD$34,MATCH(O1827,基础资料!$AC$5:$AC$34,0)),"")="支",N(F1827)&lt;&gt;0),"✗ 这类是付款，金额填到支出列",IF(N(H1827)&lt;0,"⚠ 账户余额成负数了，核对一下","√"))))))))))))))))))</f>
      </c>
      <c r="O1827" s="78">
        <f>IF(D1827&lt;&gt;"",D1827,IF(AND(F1827="",G1827=""),"",IF(J1827&lt;&gt;"",IF(N(F1827)&gt;0,"客户回款","客户退款"),IF(K1827&lt;&gt;"",IF(N(G1827)&gt;0,"供应商付款","供应商退款"),IF(L1827&lt;&gt;"","费用支出","")))))</f>
      </c>
      <c r="P1827" s="78">
        <f>IF(O1827="","",IFERROR(INDEX(基础资料!$AE$5:$AE$34,MATCH(O1827,基础资料!$AC$5:$AC$34,0)),"未知"))</f>
      </c>
      <c r="Q1827" s="78">
        <f>IF(P1827="应收",COUNTIF(P$7:P1827,"应收"),"")</f>
      </c>
      <c r="R1827" s="78">
        <f>IF(P1827="应付",COUNTIF(P$7:P1827,"应付"),"")</f>
      </c>
      <c r="S1827" s="78">
        <f>N(F1827)-N(G1827)</f>
        <v>0</v>
      </c>
    </row>
    <row r="1828">
      <c r="A1828" s="109">
        <f>IF(AND(F1828="",G1828=""),"",ROW()-6)</f>
      </c>
      <c r="B1828" s="140" t="n"/>
      <c r="C1828" s="141" t="n"/>
      <c r="D1828" s="141" t="n"/>
      <c r="E1828" s="142" t="n"/>
      <c r="F1828" s="143" t="n"/>
      <c r="G1828" s="144" t="n"/>
      <c r="H1828" s="145">
        <f>IF(OR(C1828="",AND(F1828="",G1828="")),"",SUMIF(基础资料!$W$5:$W$24,C1828,基础资料!$X$5:$X$24)+SUMIF(C$7:C1828,C1828,F$7:F1828)-SUMIF(C$7:C1828,C1828,G$7:G1828))</f>
      </c>
      <c r="I1828" s="145">
        <f>IF(AND(F1828="",G1828=""),"",SUM(基础资料!$X$5:$X$24)+SUM(F$7:F1828)-SUM(G$7:G1828))</f>
      </c>
      <c r="J1828" s="141" t="n"/>
      <c r="K1828" s="141" t="n"/>
      <c r="L1828" s="141" t="n"/>
      <c r="M1828" s="142" t="n"/>
      <c r="N1828" s="146">
        <f>IF(AND(AND(F1828="",G1828=""),B1828="",C1828="",D1828="",J1828="",K1828="",L1828=""),"",IF(AND(F1828="",G1828=""),"✗ 没填金额",IF(AND(N(F1828)&lt;&gt;0,N(G1828)&lt;&gt;0),"✗ 收入、支出只能填一边",IF(NOT(ISNUMBER(B1828)),"✗ 日期不是真日期（要像 2026/9/25 这样填）",IF(OR(B1828&lt;年初日,B1828&gt;年末日),"✗ 日期不在本会计年度",IF(C1828="","✗ 没选账户",IF(COUNTIF(基础资料!$W$5:$W$24,C1828)=0,"✗ 账户不在基础资料里",IF(O1828="","✗ 没选收支项目",IF(P1828="未知","✗ 收支项目不在基础资料里",IF(AND(P1828="应收",J1828=""),"✗ 这笔要选客户",IF(AND(P1828="应收",COUNTIF(总览汇总!$B$5:$B$304,J1828)=0),"✗ 客户不在总览汇总名单里",IF(AND(P1828="应付",K1828=""),"✗ 这笔要选供应商",IF(AND(P1828="应付",COUNTIF(基础资料!$Q$5:$Q$54,K1828)=0),"✗ 供应商不在基础资料里",IF(AND(P1828="费用",L1828=""),"✗ 费用支出要选费用项目",IF(AND(L1828&lt;&gt;"",COUNTIF(基础资料!$AI$5:$AI$54,L1828)=0),"✗ 费用项目不在基础资料里",IF(AND(IFERROR(INDEX(基础资料!$AD$5:$AD$34,MATCH(O1828,基础资料!$AC$5:$AC$34,0)),"")="收",N(G1828)&lt;&gt;0),"✗ 这类是收款，金额填到收入列",IF(AND(IFERROR(INDEX(基础资料!$AD$5:$AD$34,MATCH(O1828,基础资料!$AC$5:$AC$34,0)),"")="支",N(F1828)&lt;&gt;0),"✗ 这类是付款，金额填到支出列",IF(N(H1828)&lt;0,"⚠ 账户余额成负数了，核对一下","√"))))))))))))))))))</f>
      </c>
      <c r="O1828" s="78">
        <f>IF(D1828&lt;&gt;"",D1828,IF(AND(F1828="",G1828=""),"",IF(J1828&lt;&gt;"",IF(N(F1828)&gt;0,"客户回款","客户退款"),IF(K1828&lt;&gt;"",IF(N(G1828)&gt;0,"供应商付款","供应商退款"),IF(L1828&lt;&gt;"","费用支出","")))))</f>
      </c>
      <c r="P1828" s="78">
        <f>IF(O1828="","",IFERROR(INDEX(基础资料!$AE$5:$AE$34,MATCH(O1828,基础资料!$AC$5:$AC$34,0)),"未知"))</f>
      </c>
      <c r="Q1828" s="78">
        <f>IF(P1828="应收",COUNTIF(P$7:P1828,"应收"),"")</f>
      </c>
      <c r="R1828" s="78">
        <f>IF(P1828="应付",COUNTIF(P$7:P1828,"应付"),"")</f>
      </c>
      <c r="S1828" s="78">
        <f>N(F1828)-N(G1828)</f>
        <v>0</v>
      </c>
    </row>
    <row r="1829">
      <c r="A1829" s="109">
        <f>IF(AND(F1829="",G1829=""),"",ROW()-6)</f>
      </c>
      <c r="B1829" s="140" t="n"/>
      <c r="C1829" s="141" t="n"/>
      <c r="D1829" s="141" t="n"/>
      <c r="E1829" s="142" t="n"/>
      <c r="F1829" s="143" t="n"/>
      <c r="G1829" s="144" t="n"/>
      <c r="H1829" s="145">
        <f>IF(OR(C1829="",AND(F1829="",G1829="")),"",SUMIF(基础资料!$W$5:$W$24,C1829,基础资料!$X$5:$X$24)+SUMIF(C$7:C1829,C1829,F$7:F1829)-SUMIF(C$7:C1829,C1829,G$7:G1829))</f>
      </c>
      <c r="I1829" s="145">
        <f>IF(AND(F1829="",G1829=""),"",SUM(基础资料!$X$5:$X$24)+SUM(F$7:F1829)-SUM(G$7:G1829))</f>
      </c>
      <c r="J1829" s="141" t="n"/>
      <c r="K1829" s="141" t="n"/>
      <c r="L1829" s="141" t="n"/>
      <c r="M1829" s="142" t="n"/>
      <c r="N1829" s="146">
        <f>IF(AND(AND(F1829="",G1829=""),B1829="",C1829="",D1829="",J1829="",K1829="",L1829=""),"",IF(AND(F1829="",G1829=""),"✗ 没填金额",IF(AND(N(F1829)&lt;&gt;0,N(G1829)&lt;&gt;0),"✗ 收入、支出只能填一边",IF(NOT(ISNUMBER(B1829)),"✗ 日期不是真日期（要像 2026/9/25 这样填）",IF(OR(B1829&lt;年初日,B1829&gt;年末日),"✗ 日期不在本会计年度",IF(C1829="","✗ 没选账户",IF(COUNTIF(基础资料!$W$5:$W$24,C1829)=0,"✗ 账户不在基础资料里",IF(O1829="","✗ 没选收支项目",IF(P1829="未知","✗ 收支项目不在基础资料里",IF(AND(P1829="应收",J1829=""),"✗ 这笔要选客户",IF(AND(P1829="应收",COUNTIF(总览汇总!$B$5:$B$304,J1829)=0),"✗ 客户不在总览汇总名单里",IF(AND(P1829="应付",K1829=""),"✗ 这笔要选供应商",IF(AND(P1829="应付",COUNTIF(基础资料!$Q$5:$Q$54,K1829)=0),"✗ 供应商不在基础资料里",IF(AND(P1829="费用",L1829=""),"✗ 费用支出要选费用项目",IF(AND(L1829&lt;&gt;"",COUNTIF(基础资料!$AI$5:$AI$54,L1829)=0),"✗ 费用项目不在基础资料里",IF(AND(IFERROR(INDEX(基础资料!$AD$5:$AD$34,MATCH(O1829,基础资料!$AC$5:$AC$34,0)),"")="收",N(G1829)&lt;&gt;0),"✗ 这类是收款，金额填到收入列",IF(AND(IFERROR(INDEX(基础资料!$AD$5:$AD$34,MATCH(O1829,基础资料!$AC$5:$AC$34,0)),"")="支",N(F1829)&lt;&gt;0),"✗ 这类是付款，金额填到支出列",IF(N(H1829)&lt;0,"⚠ 账户余额成负数了，核对一下","√"))))))))))))))))))</f>
      </c>
      <c r="O1829" s="78">
        <f>IF(D1829&lt;&gt;"",D1829,IF(AND(F1829="",G1829=""),"",IF(J1829&lt;&gt;"",IF(N(F1829)&gt;0,"客户回款","客户退款"),IF(K1829&lt;&gt;"",IF(N(G1829)&gt;0,"供应商付款","供应商退款"),IF(L1829&lt;&gt;"","费用支出","")))))</f>
      </c>
      <c r="P1829" s="78">
        <f>IF(O1829="","",IFERROR(INDEX(基础资料!$AE$5:$AE$34,MATCH(O1829,基础资料!$AC$5:$AC$34,0)),"未知"))</f>
      </c>
      <c r="Q1829" s="78">
        <f>IF(P1829="应收",COUNTIF(P$7:P1829,"应收"),"")</f>
      </c>
      <c r="R1829" s="78">
        <f>IF(P1829="应付",COUNTIF(P$7:P1829,"应付"),"")</f>
      </c>
      <c r="S1829" s="78">
        <f>N(F1829)-N(G1829)</f>
        <v>0</v>
      </c>
    </row>
    <row r="1830">
      <c r="A1830" s="109">
        <f>IF(AND(F1830="",G1830=""),"",ROW()-6)</f>
      </c>
      <c r="B1830" s="140" t="n"/>
      <c r="C1830" s="141" t="n"/>
      <c r="D1830" s="141" t="n"/>
      <c r="E1830" s="142" t="n"/>
      <c r="F1830" s="143" t="n"/>
      <c r="G1830" s="144" t="n"/>
      <c r="H1830" s="145">
        <f>IF(OR(C1830="",AND(F1830="",G1830="")),"",SUMIF(基础资料!$W$5:$W$24,C1830,基础资料!$X$5:$X$24)+SUMIF(C$7:C1830,C1830,F$7:F1830)-SUMIF(C$7:C1830,C1830,G$7:G1830))</f>
      </c>
      <c r="I1830" s="145">
        <f>IF(AND(F1830="",G1830=""),"",SUM(基础资料!$X$5:$X$24)+SUM(F$7:F1830)-SUM(G$7:G1830))</f>
      </c>
      <c r="J1830" s="141" t="n"/>
      <c r="K1830" s="141" t="n"/>
      <c r="L1830" s="141" t="n"/>
      <c r="M1830" s="142" t="n"/>
      <c r="N1830" s="146">
        <f>IF(AND(AND(F1830="",G1830=""),B1830="",C1830="",D1830="",J1830="",K1830="",L1830=""),"",IF(AND(F1830="",G1830=""),"✗ 没填金额",IF(AND(N(F1830)&lt;&gt;0,N(G1830)&lt;&gt;0),"✗ 收入、支出只能填一边",IF(NOT(ISNUMBER(B1830)),"✗ 日期不是真日期（要像 2026/9/25 这样填）",IF(OR(B1830&lt;年初日,B1830&gt;年末日),"✗ 日期不在本会计年度",IF(C1830="","✗ 没选账户",IF(COUNTIF(基础资料!$W$5:$W$24,C1830)=0,"✗ 账户不在基础资料里",IF(O1830="","✗ 没选收支项目",IF(P1830="未知","✗ 收支项目不在基础资料里",IF(AND(P1830="应收",J1830=""),"✗ 这笔要选客户",IF(AND(P1830="应收",COUNTIF(总览汇总!$B$5:$B$304,J1830)=0),"✗ 客户不在总览汇总名单里",IF(AND(P1830="应付",K1830=""),"✗ 这笔要选供应商",IF(AND(P1830="应付",COUNTIF(基础资料!$Q$5:$Q$54,K1830)=0),"✗ 供应商不在基础资料里",IF(AND(P1830="费用",L1830=""),"✗ 费用支出要选费用项目",IF(AND(L1830&lt;&gt;"",COUNTIF(基础资料!$AI$5:$AI$54,L1830)=0),"✗ 费用项目不在基础资料里",IF(AND(IFERROR(INDEX(基础资料!$AD$5:$AD$34,MATCH(O1830,基础资料!$AC$5:$AC$34,0)),"")="收",N(G1830)&lt;&gt;0),"✗ 这类是收款，金额填到收入列",IF(AND(IFERROR(INDEX(基础资料!$AD$5:$AD$34,MATCH(O1830,基础资料!$AC$5:$AC$34,0)),"")="支",N(F1830)&lt;&gt;0),"✗ 这类是付款，金额填到支出列",IF(N(H1830)&lt;0,"⚠ 账户余额成负数了，核对一下","√"))))))))))))))))))</f>
      </c>
      <c r="O1830" s="78">
        <f>IF(D1830&lt;&gt;"",D1830,IF(AND(F1830="",G1830=""),"",IF(J1830&lt;&gt;"",IF(N(F1830)&gt;0,"客户回款","客户退款"),IF(K1830&lt;&gt;"",IF(N(G1830)&gt;0,"供应商付款","供应商退款"),IF(L1830&lt;&gt;"","费用支出","")))))</f>
      </c>
      <c r="P1830" s="78">
        <f>IF(O1830="","",IFERROR(INDEX(基础资料!$AE$5:$AE$34,MATCH(O1830,基础资料!$AC$5:$AC$34,0)),"未知"))</f>
      </c>
      <c r="Q1830" s="78">
        <f>IF(P1830="应收",COUNTIF(P$7:P1830,"应收"),"")</f>
      </c>
      <c r="R1830" s="78">
        <f>IF(P1830="应付",COUNTIF(P$7:P1830,"应付"),"")</f>
      </c>
      <c r="S1830" s="78">
        <f>N(F1830)-N(G1830)</f>
        <v>0</v>
      </c>
    </row>
    <row r="1831">
      <c r="A1831" s="109">
        <f>IF(AND(F1831="",G1831=""),"",ROW()-6)</f>
      </c>
      <c r="B1831" s="140" t="n"/>
      <c r="C1831" s="141" t="n"/>
      <c r="D1831" s="141" t="n"/>
      <c r="E1831" s="142" t="n"/>
      <c r="F1831" s="143" t="n"/>
      <c r="G1831" s="144" t="n"/>
      <c r="H1831" s="145">
        <f>IF(OR(C1831="",AND(F1831="",G1831="")),"",SUMIF(基础资料!$W$5:$W$24,C1831,基础资料!$X$5:$X$24)+SUMIF(C$7:C1831,C1831,F$7:F1831)-SUMIF(C$7:C1831,C1831,G$7:G1831))</f>
      </c>
      <c r="I1831" s="145">
        <f>IF(AND(F1831="",G1831=""),"",SUM(基础资料!$X$5:$X$24)+SUM(F$7:F1831)-SUM(G$7:G1831))</f>
      </c>
      <c r="J1831" s="141" t="n"/>
      <c r="K1831" s="141" t="n"/>
      <c r="L1831" s="141" t="n"/>
      <c r="M1831" s="142" t="n"/>
      <c r="N1831" s="146">
        <f>IF(AND(AND(F1831="",G1831=""),B1831="",C1831="",D1831="",J1831="",K1831="",L1831=""),"",IF(AND(F1831="",G1831=""),"✗ 没填金额",IF(AND(N(F1831)&lt;&gt;0,N(G1831)&lt;&gt;0),"✗ 收入、支出只能填一边",IF(NOT(ISNUMBER(B1831)),"✗ 日期不是真日期（要像 2026/9/25 这样填）",IF(OR(B1831&lt;年初日,B1831&gt;年末日),"✗ 日期不在本会计年度",IF(C1831="","✗ 没选账户",IF(COUNTIF(基础资料!$W$5:$W$24,C1831)=0,"✗ 账户不在基础资料里",IF(O1831="","✗ 没选收支项目",IF(P1831="未知","✗ 收支项目不在基础资料里",IF(AND(P1831="应收",J1831=""),"✗ 这笔要选客户",IF(AND(P1831="应收",COUNTIF(总览汇总!$B$5:$B$304,J1831)=0),"✗ 客户不在总览汇总名单里",IF(AND(P1831="应付",K1831=""),"✗ 这笔要选供应商",IF(AND(P1831="应付",COUNTIF(基础资料!$Q$5:$Q$54,K1831)=0),"✗ 供应商不在基础资料里",IF(AND(P1831="费用",L1831=""),"✗ 费用支出要选费用项目",IF(AND(L1831&lt;&gt;"",COUNTIF(基础资料!$AI$5:$AI$54,L1831)=0),"✗ 费用项目不在基础资料里",IF(AND(IFERROR(INDEX(基础资料!$AD$5:$AD$34,MATCH(O1831,基础资料!$AC$5:$AC$34,0)),"")="收",N(G1831)&lt;&gt;0),"✗ 这类是收款，金额填到收入列",IF(AND(IFERROR(INDEX(基础资料!$AD$5:$AD$34,MATCH(O1831,基础资料!$AC$5:$AC$34,0)),"")="支",N(F1831)&lt;&gt;0),"✗ 这类是付款，金额填到支出列",IF(N(H1831)&lt;0,"⚠ 账户余额成负数了，核对一下","√"))))))))))))))))))</f>
      </c>
      <c r="O1831" s="78">
        <f>IF(D1831&lt;&gt;"",D1831,IF(AND(F1831="",G1831=""),"",IF(J1831&lt;&gt;"",IF(N(F1831)&gt;0,"客户回款","客户退款"),IF(K1831&lt;&gt;"",IF(N(G1831)&gt;0,"供应商付款","供应商退款"),IF(L1831&lt;&gt;"","费用支出","")))))</f>
      </c>
      <c r="P1831" s="78">
        <f>IF(O1831="","",IFERROR(INDEX(基础资料!$AE$5:$AE$34,MATCH(O1831,基础资料!$AC$5:$AC$34,0)),"未知"))</f>
      </c>
      <c r="Q1831" s="78">
        <f>IF(P1831="应收",COUNTIF(P$7:P1831,"应收"),"")</f>
      </c>
      <c r="R1831" s="78">
        <f>IF(P1831="应付",COUNTIF(P$7:P1831,"应付"),"")</f>
      </c>
      <c r="S1831" s="78">
        <f>N(F1831)-N(G1831)</f>
        <v>0</v>
      </c>
    </row>
    <row r="1832">
      <c r="A1832" s="109">
        <f>IF(AND(F1832="",G1832=""),"",ROW()-6)</f>
      </c>
      <c r="B1832" s="140" t="n"/>
      <c r="C1832" s="141" t="n"/>
      <c r="D1832" s="141" t="n"/>
      <c r="E1832" s="142" t="n"/>
      <c r="F1832" s="143" t="n"/>
      <c r="G1832" s="144" t="n"/>
      <c r="H1832" s="145">
        <f>IF(OR(C1832="",AND(F1832="",G1832="")),"",SUMIF(基础资料!$W$5:$W$24,C1832,基础资料!$X$5:$X$24)+SUMIF(C$7:C1832,C1832,F$7:F1832)-SUMIF(C$7:C1832,C1832,G$7:G1832))</f>
      </c>
      <c r="I1832" s="145">
        <f>IF(AND(F1832="",G1832=""),"",SUM(基础资料!$X$5:$X$24)+SUM(F$7:F1832)-SUM(G$7:G1832))</f>
      </c>
      <c r="J1832" s="141" t="n"/>
      <c r="K1832" s="141" t="n"/>
      <c r="L1832" s="141" t="n"/>
      <c r="M1832" s="142" t="n"/>
      <c r="N1832" s="146">
        <f>IF(AND(AND(F1832="",G1832=""),B1832="",C1832="",D1832="",J1832="",K1832="",L1832=""),"",IF(AND(F1832="",G1832=""),"✗ 没填金额",IF(AND(N(F1832)&lt;&gt;0,N(G1832)&lt;&gt;0),"✗ 收入、支出只能填一边",IF(NOT(ISNUMBER(B1832)),"✗ 日期不是真日期（要像 2026/9/25 这样填）",IF(OR(B1832&lt;年初日,B1832&gt;年末日),"✗ 日期不在本会计年度",IF(C1832="","✗ 没选账户",IF(COUNTIF(基础资料!$W$5:$W$24,C1832)=0,"✗ 账户不在基础资料里",IF(O1832="","✗ 没选收支项目",IF(P1832="未知","✗ 收支项目不在基础资料里",IF(AND(P1832="应收",J1832=""),"✗ 这笔要选客户",IF(AND(P1832="应收",COUNTIF(总览汇总!$B$5:$B$304,J1832)=0),"✗ 客户不在总览汇总名单里",IF(AND(P1832="应付",K1832=""),"✗ 这笔要选供应商",IF(AND(P1832="应付",COUNTIF(基础资料!$Q$5:$Q$54,K1832)=0),"✗ 供应商不在基础资料里",IF(AND(P1832="费用",L1832=""),"✗ 费用支出要选费用项目",IF(AND(L1832&lt;&gt;"",COUNTIF(基础资料!$AI$5:$AI$54,L1832)=0),"✗ 费用项目不在基础资料里",IF(AND(IFERROR(INDEX(基础资料!$AD$5:$AD$34,MATCH(O1832,基础资料!$AC$5:$AC$34,0)),"")="收",N(G1832)&lt;&gt;0),"✗ 这类是收款，金额填到收入列",IF(AND(IFERROR(INDEX(基础资料!$AD$5:$AD$34,MATCH(O1832,基础资料!$AC$5:$AC$34,0)),"")="支",N(F1832)&lt;&gt;0),"✗ 这类是付款，金额填到支出列",IF(N(H1832)&lt;0,"⚠ 账户余额成负数了，核对一下","√"))))))))))))))))))</f>
      </c>
      <c r="O1832" s="78">
        <f>IF(D1832&lt;&gt;"",D1832,IF(AND(F1832="",G1832=""),"",IF(J1832&lt;&gt;"",IF(N(F1832)&gt;0,"客户回款","客户退款"),IF(K1832&lt;&gt;"",IF(N(G1832)&gt;0,"供应商付款","供应商退款"),IF(L1832&lt;&gt;"","费用支出","")))))</f>
      </c>
      <c r="P1832" s="78">
        <f>IF(O1832="","",IFERROR(INDEX(基础资料!$AE$5:$AE$34,MATCH(O1832,基础资料!$AC$5:$AC$34,0)),"未知"))</f>
      </c>
      <c r="Q1832" s="78">
        <f>IF(P1832="应收",COUNTIF(P$7:P1832,"应收"),"")</f>
      </c>
      <c r="R1832" s="78">
        <f>IF(P1832="应付",COUNTIF(P$7:P1832,"应付"),"")</f>
      </c>
      <c r="S1832" s="78">
        <f>N(F1832)-N(G1832)</f>
        <v>0</v>
      </c>
    </row>
    <row r="1833">
      <c r="A1833" s="109">
        <f>IF(AND(F1833="",G1833=""),"",ROW()-6)</f>
      </c>
      <c r="B1833" s="140" t="n"/>
      <c r="C1833" s="141" t="n"/>
      <c r="D1833" s="141" t="n"/>
      <c r="E1833" s="142" t="n"/>
      <c r="F1833" s="143" t="n"/>
      <c r="G1833" s="144" t="n"/>
      <c r="H1833" s="145">
        <f>IF(OR(C1833="",AND(F1833="",G1833="")),"",SUMIF(基础资料!$W$5:$W$24,C1833,基础资料!$X$5:$X$24)+SUMIF(C$7:C1833,C1833,F$7:F1833)-SUMIF(C$7:C1833,C1833,G$7:G1833))</f>
      </c>
      <c r="I1833" s="145">
        <f>IF(AND(F1833="",G1833=""),"",SUM(基础资料!$X$5:$X$24)+SUM(F$7:F1833)-SUM(G$7:G1833))</f>
      </c>
      <c r="J1833" s="141" t="n"/>
      <c r="K1833" s="141" t="n"/>
      <c r="L1833" s="141" t="n"/>
      <c r="M1833" s="142" t="n"/>
      <c r="N1833" s="146">
        <f>IF(AND(AND(F1833="",G1833=""),B1833="",C1833="",D1833="",J1833="",K1833="",L1833=""),"",IF(AND(F1833="",G1833=""),"✗ 没填金额",IF(AND(N(F1833)&lt;&gt;0,N(G1833)&lt;&gt;0),"✗ 收入、支出只能填一边",IF(NOT(ISNUMBER(B1833)),"✗ 日期不是真日期（要像 2026/9/25 这样填）",IF(OR(B1833&lt;年初日,B1833&gt;年末日),"✗ 日期不在本会计年度",IF(C1833="","✗ 没选账户",IF(COUNTIF(基础资料!$W$5:$W$24,C1833)=0,"✗ 账户不在基础资料里",IF(O1833="","✗ 没选收支项目",IF(P1833="未知","✗ 收支项目不在基础资料里",IF(AND(P1833="应收",J1833=""),"✗ 这笔要选客户",IF(AND(P1833="应收",COUNTIF(总览汇总!$B$5:$B$304,J1833)=0),"✗ 客户不在总览汇总名单里",IF(AND(P1833="应付",K1833=""),"✗ 这笔要选供应商",IF(AND(P1833="应付",COUNTIF(基础资料!$Q$5:$Q$54,K1833)=0),"✗ 供应商不在基础资料里",IF(AND(P1833="费用",L1833=""),"✗ 费用支出要选费用项目",IF(AND(L1833&lt;&gt;"",COUNTIF(基础资料!$AI$5:$AI$54,L1833)=0),"✗ 费用项目不在基础资料里",IF(AND(IFERROR(INDEX(基础资料!$AD$5:$AD$34,MATCH(O1833,基础资料!$AC$5:$AC$34,0)),"")="收",N(G1833)&lt;&gt;0),"✗ 这类是收款，金额填到收入列",IF(AND(IFERROR(INDEX(基础资料!$AD$5:$AD$34,MATCH(O1833,基础资料!$AC$5:$AC$34,0)),"")="支",N(F1833)&lt;&gt;0),"✗ 这类是付款，金额填到支出列",IF(N(H1833)&lt;0,"⚠ 账户余额成负数了，核对一下","√"))))))))))))))))))</f>
      </c>
      <c r="O1833" s="78">
        <f>IF(D1833&lt;&gt;"",D1833,IF(AND(F1833="",G1833=""),"",IF(J1833&lt;&gt;"",IF(N(F1833)&gt;0,"客户回款","客户退款"),IF(K1833&lt;&gt;"",IF(N(G1833)&gt;0,"供应商付款","供应商退款"),IF(L1833&lt;&gt;"","费用支出","")))))</f>
      </c>
      <c r="P1833" s="78">
        <f>IF(O1833="","",IFERROR(INDEX(基础资料!$AE$5:$AE$34,MATCH(O1833,基础资料!$AC$5:$AC$34,0)),"未知"))</f>
      </c>
      <c r="Q1833" s="78">
        <f>IF(P1833="应收",COUNTIF(P$7:P1833,"应收"),"")</f>
      </c>
      <c r="R1833" s="78">
        <f>IF(P1833="应付",COUNTIF(P$7:P1833,"应付"),"")</f>
      </c>
      <c r="S1833" s="78">
        <f>N(F1833)-N(G1833)</f>
        <v>0</v>
      </c>
    </row>
    <row r="1834">
      <c r="A1834" s="109">
        <f>IF(AND(F1834="",G1834=""),"",ROW()-6)</f>
      </c>
      <c r="B1834" s="140" t="n"/>
      <c r="C1834" s="141" t="n"/>
      <c r="D1834" s="141" t="n"/>
      <c r="E1834" s="142" t="n"/>
      <c r="F1834" s="143" t="n"/>
      <c r="G1834" s="144" t="n"/>
      <c r="H1834" s="145">
        <f>IF(OR(C1834="",AND(F1834="",G1834="")),"",SUMIF(基础资料!$W$5:$W$24,C1834,基础资料!$X$5:$X$24)+SUMIF(C$7:C1834,C1834,F$7:F1834)-SUMIF(C$7:C1834,C1834,G$7:G1834))</f>
      </c>
      <c r="I1834" s="145">
        <f>IF(AND(F1834="",G1834=""),"",SUM(基础资料!$X$5:$X$24)+SUM(F$7:F1834)-SUM(G$7:G1834))</f>
      </c>
      <c r="J1834" s="141" t="n"/>
      <c r="K1834" s="141" t="n"/>
      <c r="L1834" s="141" t="n"/>
      <c r="M1834" s="142" t="n"/>
      <c r="N1834" s="146">
        <f>IF(AND(AND(F1834="",G1834=""),B1834="",C1834="",D1834="",J1834="",K1834="",L1834=""),"",IF(AND(F1834="",G1834=""),"✗ 没填金额",IF(AND(N(F1834)&lt;&gt;0,N(G1834)&lt;&gt;0),"✗ 收入、支出只能填一边",IF(NOT(ISNUMBER(B1834)),"✗ 日期不是真日期（要像 2026/9/25 这样填）",IF(OR(B1834&lt;年初日,B1834&gt;年末日),"✗ 日期不在本会计年度",IF(C1834="","✗ 没选账户",IF(COUNTIF(基础资料!$W$5:$W$24,C1834)=0,"✗ 账户不在基础资料里",IF(O1834="","✗ 没选收支项目",IF(P1834="未知","✗ 收支项目不在基础资料里",IF(AND(P1834="应收",J1834=""),"✗ 这笔要选客户",IF(AND(P1834="应收",COUNTIF(总览汇总!$B$5:$B$304,J1834)=0),"✗ 客户不在总览汇总名单里",IF(AND(P1834="应付",K1834=""),"✗ 这笔要选供应商",IF(AND(P1834="应付",COUNTIF(基础资料!$Q$5:$Q$54,K1834)=0),"✗ 供应商不在基础资料里",IF(AND(P1834="费用",L1834=""),"✗ 费用支出要选费用项目",IF(AND(L1834&lt;&gt;"",COUNTIF(基础资料!$AI$5:$AI$54,L1834)=0),"✗ 费用项目不在基础资料里",IF(AND(IFERROR(INDEX(基础资料!$AD$5:$AD$34,MATCH(O1834,基础资料!$AC$5:$AC$34,0)),"")="收",N(G1834)&lt;&gt;0),"✗ 这类是收款，金额填到收入列",IF(AND(IFERROR(INDEX(基础资料!$AD$5:$AD$34,MATCH(O1834,基础资料!$AC$5:$AC$34,0)),"")="支",N(F1834)&lt;&gt;0),"✗ 这类是付款，金额填到支出列",IF(N(H1834)&lt;0,"⚠ 账户余额成负数了，核对一下","√"))))))))))))))))))</f>
      </c>
      <c r="O1834" s="78">
        <f>IF(D1834&lt;&gt;"",D1834,IF(AND(F1834="",G1834=""),"",IF(J1834&lt;&gt;"",IF(N(F1834)&gt;0,"客户回款","客户退款"),IF(K1834&lt;&gt;"",IF(N(G1834)&gt;0,"供应商付款","供应商退款"),IF(L1834&lt;&gt;"","费用支出","")))))</f>
      </c>
      <c r="P1834" s="78">
        <f>IF(O1834="","",IFERROR(INDEX(基础资料!$AE$5:$AE$34,MATCH(O1834,基础资料!$AC$5:$AC$34,0)),"未知"))</f>
      </c>
      <c r="Q1834" s="78">
        <f>IF(P1834="应收",COUNTIF(P$7:P1834,"应收"),"")</f>
      </c>
      <c r="R1834" s="78">
        <f>IF(P1834="应付",COUNTIF(P$7:P1834,"应付"),"")</f>
      </c>
      <c r="S1834" s="78">
        <f>N(F1834)-N(G1834)</f>
        <v>0</v>
      </c>
    </row>
    <row r="1835">
      <c r="A1835" s="109">
        <f>IF(AND(F1835="",G1835=""),"",ROW()-6)</f>
      </c>
      <c r="B1835" s="140" t="n"/>
      <c r="C1835" s="141" t="n"/>
      <c r="D1835" s="141" t="n"/>
      <c r="E1835" s="142" t="n"/>
      <c r="F1835" s="143" t="n"/>
      <c r="G1835" s="144" t="n"/>
      <c r="H1835" s="145">
        <f>IF(OR(C1835="",AND(F1835="",G1835="")),"",SUMIF(基础资料!$W$5:$W$24,C1835,基础资料!$X$5:$X$24)+SUMIF(C$7:C1835,C1835,F$7:F1835)-SUMIF(C$7:C1835,C1835,G$7:G1835))</f>
      </c>
      <c r="I1835" s="145">
        <f>IF(AND(F1835="",G1835=""),"",SUM(基础资料!$X$5:$X$24)+SUM(F$7:F1835)-SUM(G$7:G1835))</f>
      </c>
      <c r="J1835" s="141" t="n"/>
      <c r="K1835" s="141" t="n"/>
      <c r="L1835" s="141" t="n"/>
      <c r="M1835" s="142" t="n"/>
      <c r="N1835" s="146">
        <f>IF(AND(AND(F1835="",G1835=""),B1835="",C1835="",D1835="",J1835="",K1835="",L1835=""),"",IF(AND(F1835="",G1835=""),"✗ 没填金额",IF(AND(N(F1835)&lt;&gt;0,N(G1835)&lt;&gt;0),"✗ 收入、支出只能填一边",IF(NOT(ISNUMBER(B1835)),"✗ 日期不是真日期（要像 2026/9/25 这样填）",IF(OR(B1835&lt;年初日,B1835&gt;年末日),"✗ 日期不在本会计年度",IF(C1835="","✗ 没选账户",IF(COUNTIF(基础资料!$W$5:$W$24,C1835)=0,"✗ 账户不在基础资料里",IF(O1835="","✗ 没选收支项目",IF(P1835="未知","✗ 收支项目不在基础资料里",IF(AND(P1835="应收",J1835=""),"✗ 这笔要选客户",IF(AND(P1835="应收",COUNTIF(总览汇总!$B$5:$B$304,J1835)=0),"✗ 客户不在总览汇总名单里",IF(AND(P1835="应付",K1835=""),"✗ 这笔要选供应商",IF(AND(P1835="应付",COUNTIF(基础资料!$Q$5:$Q$54,K1835)=0),"✗ 供应商不在基础资料里",IF(AND(P1835="费用",L1835=""),"✗ 费用支出要选费用项目",IF(AND(L1835&lt;&gt;"",COUNTIF(基础资料!$AI$5:$AI$54,L1835)=0),"✗ 费用项目不在基础资料里",IF(AND(IFERROR(INDEX(基础资料!$AD$5:$AD$34,MATCH(O1835,基础资料!$AC$5:$AC$34,0)),"")="收",N(G1835)&lt;&gt;0),"✗ 这类是收款，金额填到收入列",IF(AND(IFERROR(INDEX(基础资料!$AD$5:$AD$34,MATCH(O1835,基础资料!$AC$5:$AC$34,0)),"")="支",N(F1835)&lt;&gt;0),"✗ 这类是付款，金额填到支出列",IF(N(H1835)&lt;0,"⚠ 账户余额成负数了，核对一下","√"))))))))))))))))))</f>
      </c>
      <c r="O1835" s="78">
        <f>IF(D1835&lt;&gt;"",D1835,IF(AND(F1835="",G1835=""),"",IF(J1835&lt;&gt;"",IF(N(F1835)&gt;0,"客户回款","客户退款"),IF(K1835&lt;&gt;"",IF(N(G1835)&gt;0,"供应商付款","供应商退款"),IF(L1835&lt;&gt;"","费用支出","")))))</f>
      </c>
      <c r="P1835" s="78">
        <f>IF(O1835="","",IFERROR(INDEX(基础资料!$AE$5:$AE$34,MATCH(O1835,基础资料!$AC$5:$AC$34,0)),"未知"))</f>
      </c>
      <c r="Q1835" s="78">
        <f>IF(P1835="应收",COUNTIF(P$7:P1835,"应收"),"")</f>
      </c>
      <c r="R1835" s="78">
        <f>IF(P1835="应付",COUNTIF(P$7:P1835,"应付"),"")</f>
      </c>
      <c r="S1835" s="78">
        <f>N(F1835)-N(G1835)</f>
        <v>0</v>
      </c>
    </row>
    <row r="1836">
      <c r="A1836" s="109">
        <f>IF(AND(F1836="",G1836=""),"",ROW()-6)</f>
      </c>
      <c r="B1836" s="140" t="n"/>
      <c r="C1836" s="141" t="n"/>
      <c r="D1836" s="141" t="n"/>
      <c r="E1836" s="142" t="n"/>
      <c r="F1836" s="143" t="n"/>
      <c r="G1836" s="144" t="n"/>
      <c r="H1836" s="145">
        <f>IF(OR(C1836="",AND(F1836="",G1836="")),"",SUMIF(基础资料!$W$5:$W$24,C1836,基础资料!$X$5:$X$24)+SUMIF(C$7:C1836,C1836,F$7:F1836)-SUMIF(C$7:C1836,C1836,G$7:G1836))</f>
      </c>
      <c r="I1836" s="145">
        <f>IF(AND(F1836="",G1836=""),"",SUM(基础资料!$X$5:$X$24)+SUM(F$7:F1836)-SUM(G$7:G1836))</f>
      </c>
      <c r="J1836" s="141" t="n"/>
      <c r="K1836" s="141" t="n"/>
      <c r="L1836" s="141" t="n"/>
      <c r="M1836" s="142" t="n"/>
      <c r="N1836" s="146">
        <f>IF(AND(AND(F1836="",G1836=""),B1836="",C1836="",D1836="",J1836="",K1836="",L1836=""),"",IF(AND(F1836="",G1836=""),"✗ 没填金额",IF(AND(N(F1836)&lt;&gt;0,N(G1836)&lt;&gt;0),"✗ 收入、支出只能填一边",IF(NOT(ISNUMBER(B1836)),"✗ 日期不是真日期（要像 2026/9/25 这样填）",IF(OR(B1836&lt;年初日,B1836&gt;年末日),"✗ 日期不在本会计年度",IF(C1836="","✗ 没选账户",IF(COUNTIF(基础资料!$W$5:$W$24,C1836)=0,"✗ 账户不在基础资料里",IF(O1836="","✗ 没选收支项目",IF(P1836="未知","✗ 收支项目不在基础资料里",IF(AND(P1836="应收",J1836=""),"✗ 这笔要选客户",IF(AND(P1836="应收",COUNTIF(总览汇总!$B$5:$B$304,J1836)=0),"✗ 客户不在总览汇总名单里",IF(AND(P1836="应付",K1836=""),"✗ 这笔要选供应商",IF(AND(P1836="应付",COUNTIF(基础资料!$Q$5:$Q$54,K1836)=0),"✗ 供应商不在基础资料里",IF(AND(P1836="费用",L1836=""),"✗ 费用支出要选费用项目",IF(AND(L1836&lt;&gt;"",COUNTIF(基础资料!$AI$5:$AI$54,L1836)=0),"✗ 费用项目不在基础资料里",IF(AND(IFERROR(INDEX(基础资料!$AD$5:$AD$34,MATCH(O1836,基础资料!$AC$5:$AC$34,0)),"")="收",N(G1836)&lt;&gt;0),"✗ 这类是收款，金额填到收入列",IF(AND(IFERROR(INDEX(基础资料!$AD$5:$AD$34,MATCH(O1836,基础资料!$AC$5:$AC$34,0)),"")="支",N(F1836)&lt;&gt;0),"✗ 这类是付款，金额填到支出列",IF(N(H1836)&lt;0,"⚠ 账户余额成负数了，核对一下","√"))))))))))))))))))</f>
      </c>
      <c r="O1836" s="78">
        <f>IF(D1836&lt;&gt;"",D1836,IF(AND(F1836="",G1836=""),"",IF(J1836&lt;&gt;"",IF(N(F1836)&gt;0,"客户回款","客户退款"),IF(K1836&lt;&gt;"",IF(N(G1836)&gt;0,"供应商付款","供应商退款"),IF(L1836&lt;&gt;"","费用支出","")))))</f>
      </c>
      <c r="P1836" s="78">
        <f>IF(O1836="","",IFERROR(INDEX(基础资料!$AE$5:$AE$34,MATCH(O1836,基础资料!$AC$5:$AC$34,0)),"未知"))</f>
      </c>
      <c r="Q1836" s="78">
        <f>IF(P1836="应收",COUNTIF(P$7:P1836,"应收"),"")</f>
      </c>
      <c r="R1836" s="78">
        <f>IF(P1836="应付",COUNTIF(P$7:P1836,"应付"),"")</f>
      </c>
      <c r="S1836" s="78">
        <f>N(F1836)-N(G1836)</f>
        <v>0</v>
      </c>
    </row>
    <row r="1837">
      <c r="A1837" s="109">
        <f>IF(AND(F1837="",G1837=""),"",ROW()-6)</f>
      </c>
      <c r="B1837" s="140" t="n"/>
      <c r="C1837" s="141" t="n"/>
      <c r="D1837" s="141" t="n"/>
      <c r="E1837" s="142" t="n"/>
      <c r="F1837" s="143" t="n"/>
      <c r="G1837" s="144" t="n"/>
      <c r="H1837" s="145">
        <f>IF(OR(C1837="",AND(F1837="",G1837="")),"",SUMIF(基础资料!$W$5:$W$24,C1837,基础资料!$X$5:$X$24)+SUMIF(C$7:C1837,C1837,F$7:F1837)-SUMIF(C$7:C1837,C1837,G$7:G1837))</f>
      </c>
      <c r="I1837" s="145">
        <f>IF(AND(F1837="",G1837=""),"",SUM(基础资料!$X$5:$X$24)+SUM(F$7:F1837)-SUM(G$7:G1837))</f>
      </c>
      <c r="J1837" s="141" t="n"/>
      <c r="K1837" s="141" t="n"/>
      <c r="L1837" s="141" t="n"/>
      <c r="M1837" s="142" t="n"/>
      <c r="N1837" s="146">
        <f>IF(AND(AND(F1837="",G1837=""),B1837="",C1837="",D1837="",J1837="",K1837="",L1837=""),"",IF(AND(F1837="",G1837=""),"✗ 没填金额",IF(AND(N(F1837)&lt;&gt;0,N(G1837)&lt;&gt;0),"✗ 收入、支出只能填一边",IF(NOT(ISNUMBER(B1837)),"✗ 日期不是真日期（要像 2026/9/25 这样填）",IF(OR(B1837&lt;年初日,B1837&gt;年末日),"✗ 日期不在本会计年度",IF(C1837="","✗ 没选账户",IF(COUNTIF(基础资料!$W$5:$W$24,C1837)=0,"✗ 账户不在基础资料里",IF(O1837="","✗ 没选收支项目",IF(P1837="未知","✗ 收支项目不在基础资料里",IF(AND(P1837="应收",J1837=""),"✗ 这笔要选客户",IF(AND(P1837="应收",COUNTIF(总览汇总!$B$5:$B$304,J1837)=0),"✗ 客户不在总览汇总名单里",IF(AND(P1837="应付",K1837=""),"✗ 这笔要选供应商",IF(AND(P1837="应付",COUNTIF(基础资料!$Q$5:$Q$54,K1837)=0),"✗ 供应商不在基础资料里",IF(AND(P1837="费用",L1837=""),"✗ 费用支出要选费用项目",IF(AND(L1837&lt;&gt;"",COUNTIF(基础资料!$AI$5:$AI$54,L1837)=0),"✗ 费用项目不在基础资料里",IF(AND(IFERROR(INDEX(基础资料!$AD$5:$AD$34,MATCH(O1837,基础资料!$AC$5:$AC$34,0)),"")="收",N(G1837)&lt;&gt;0),"✗ 这类是收款，金额填到收入列",IF(AND(IFERROR(INDEX(基础资料!$AD$5:$AD$34,MATCH(O1837,基础资料!$AC$5:$AC$34,0)),"")="支",N(F1837)&lt;&gt;0),"✗ 这类是付款，金额填到支出列",IF(N(H1837)&lt;0,"⚠ 账户余额成负数了，核对一下","√"))))))))))))))))))</f>
      </c>
      <c r="O1837" s="78">
        <f>IF(D1837&lt;&gt;"",D1837,IF(AND(F1837="",G1837=""),"",IF(J1837&lt;&gt;"",IF(N(F1837)&gt;0,"客户回款","客户退款"),IF(K1837&lt;&gt;"",IF(N(G1837)&gt;0,"供应商付款","供应商退款"),IF(L1837&lt;&gt;"","费用支出","")))))</f>
      </c>
      <c r="P1837" s="78">
        <f>IF(O1837="","",IFERROR(INDEX(基础资料!$AE$5:$AE$34,MATCH(O1837,基础资料!$AC$5:$AC$34,0)),"未知"))</f>
      </c>
      <c r="Q1837" s="78">
        <f>IF(P1837="应收",COUNTIF(P$7:P1837,"应收"),"")</f>
      </c>
      <c r="R1837" s="78">
        <f>IF(P1837="应付",COUNTIF(P$7:P1837,"应付"),"")</f>
      </c>
      <c r="S1837" s="78">
        <f>N(F1837)-N(G1837)</f>
        <v>0</v>
      </c>
    </row>
    <row r="1838">
      <c r="A1838" s="109">
        <f>IF(AND(F1838="",G1838=""),"",ROW()-6)</f>
      </c>
      <c r="B1838" s="140" t="n"/>
      <c r="C1838" s="141" t="n"/>
      <c r="D1838" s="141" t="n"/>
      <c r="E1838" s="142" t="n"/>
      <c r="F1838" s="143" t="n"/>
      <c r="G1838" s="144" t="n"/>
      <c r="H1838" s="145">
        <f>IF(OR(C1838="",AND(F1838="",G1838="")),"",SUMIF(基础资料!$W$5:$W$24,C1838,基础资料!$X$5:$X$24)+SUMIF(C$7:C1838,C1838,F$7:F1838)-SUMIF(C$7:C1838,C1838,G$7:G1838))</f>
      </c>
      <c r="I1838" s="145">
        <f>IF(AND(F1838="",G1838=""),"",SUM(基础资料!$X$5:$X$24)+SUM(F$7:F1838)-SUM(G$7:G1838))</f>
      </c>
      <c r="J1838" s="141" t="n"/>
      <c r="K1838" s="141" t="n"/>
      <c r="L1838" s="141" t="n"/>
      <c r="M1838" s="142" t="n"/>
      <c r="N1838" s="146">
        <f>IF(AND(AND(F1838="",G1838=""),B1838="",C1838="",D1838="",J1838="",K1838="",L1838=""),"",IF(AND(F1838="",G1838=""),"✗ 没填金额",IF(AND(N(F1838)&lt;&gt;0,N(G1838)&lt;&gt;0),"✗ 收入、支出只能填一边",IF(NOT(ISNUMBER(B1838)),"✗ 日期不是真日期（要像 2026/9/25 这样填）",IF(OR(B1838&lt;年初日,B1838&gt;年末日),"✗ 日期不在本会计年度",IF(C1838="","✗ 没选账户",IF(COUNTIF(基础资料!$W$5:$W$24,C1838)=0,"✗ 账户不在基础资料里",IF(O1838="","✗ 没选收支项目",IF(P1838="未知","✗ 收支项目不在基础资料里",IF(AND(P1838="应收",J1838=""),"✗ 这笔要选客户",IF(AND(P1838="应收",COUNTIF(总览汇总!$B$5:$B$304,J1838)=0),"✗ 客户不在总览汇总名单里",IF(AND(P1838="应付",K1838=""),"✗ 这笔要选供应商",IF(AND(P1838="应付",COUNTIF(基础资料!$Q$5:$Q$54,K1838)=0),"✗ 供应商不在基础资料里",IF(AND(P1838="费用",L1838=""),"✗ 费用支出要选费用项目",IF(AND(L1838&lt;&gt;"",COUNTIF(基础资料!$AI$5:$AI$54,L1838)=0),"✗ 费用项目不在基础资料里",IF(AND(IFERROR(INDEX(基础资料!$AD$5:$AD$34,MATCH(O1838,基础资料!$AC$5:$AC$34,0)),"")="收",N(G1838)&lt;&gt;0),"✗ 这类是收款，金额填到收入列",IF(AND(IFERROR(INDEX(基础资料!$AD$5:$AD$34,MATCH(O1838,基础资料!$AC$5:$AC$34,0)),"")="支",N(F1838)&lt;&gt;0),"✗ 这类是付款，金额填到支出列",IF(N(H1838)&lt;0,"⚠ 账户余额成负数了，核对一下","√"))))))))))))))))))</f>
      </c>
      <c r="O1838" s="78">
        <f>IF(D1838&lt;&gt;"",D1838,IF(AND(F1838="",G1838=""),"",IF(J1838&lt;&gt;"",IF(N(F1838)&gt;0,"客户回款","客户退款"),IF(K1838&lt;&gt;"",IF(N(G1838)&gt;0,"供应商付款","供应商退款"),IF(L1838&lt;&gt;"","费用支出","")))))</f>
      </c>
      <c r="P1838" s="78">
        <f>IF(O1838="","",IFERROR(INDEX(基础资料!$AE$5:$AE$34,MATCH(O1838,基础资料!$AC$5:$AC$34,0)),"未知"))</f>
      </c>
      <c r="Q1838" s="78">
        <f>IF(P1838="应收",COUNTIF(P$7:P1838,"应收"),"")</f>
      </c>
      <c r="R1838" s="78">
        <f>IF(P1838="应付",COUNTIF(P$7:P1838,"应付"),"")</f>
      </c>
      <c r="S1838" s="78">
        <f>N(F1838)-N(G1838)</f>
        <v>0</v>
      </c>
    </row>
    <row r="1839">
      <c r="A1839" s="109">
        <f>IF(AND(F1839="",G1839=""),"",ROW()-6)</f>
      </c>
      <c r="B1839" s="140" t="n"/>
      <c r="C1839" s="141" t="n"/>
      <c r="D1839" s="141" t="n"/>
      <c r="E1839" s="142" t="n"/>
      <c r="F1839" s="143" t="n"/>
      <c r="G1839" s="144" t="n"/>
      <c r="H1839" s="145">
        <f>IF(OR(C1839="",AND(F1839="",G1839="")),"",SUMIF(基础资料!$W$5:$W$24,C1839,基础资料!$X$5:$X$24)+SUMIF(C$7:C1839,C1839,F$7:F1839)-SUMIF(C$7:C1839,C1839,G$7:G1839))</f>
      </c>
      <c r="I1839" s="145">
        <f>IF(AND(F1839="",G1839=""),"",SUM(基础资料!$X$5:$X$24)+SUM(F$7:F1839)-SUM(G$7:G1839))</f>
      </c>
      <c r="J1839" s="141" t="n"/>
      <c r="K1839" s="141" t="n"/>
      <c r="L1839" s="141" t="n"/>
      <c r="M1839" s="142" t="n"/>
      <c r="N1839" s="146">
        <f>IF(AND(AND(F1839="",G1839=""),B1839="",C1839="",D1839="",J1839="",K1839="",L1839=""),"",IF(AND(F1839="",G1839=""),"✗ 没填金额",IF(AND(N(F1839)&lt;&gt;0,N(G1839)&lt;&gt;0),"✗ 收入、支出只能填一边",IF(NOT(ISNUMBER(B1839)),"✗ 日期不是真日期（要像 2026/9/25 这样填）",IF(OR(B1839&lt;年初日,B1839&gt;年末日),"✗ 日期不在本会计年度",IF(C1839="","✗ 没选账户",IF(COUNTIF(基础资料!$W$5:$W$24,C1839)=0,"✗ 账户不在基础资料里",IF(O1839="","✗ 没选收支项目",IF(P1839="未知","✗ 收支项目不在基础资料里",IF(AND(P1839="应收",J1839=""),"✗ 这笔要选客户",IF(AND(P1839="应收",COUNTIF(总览汇总!$B$5:$B$304,J1839)=0),"✗ 客户不在总览汇总名单里",IF(AND(P1839="应付",K1839=""),"✗ 这笔要选供应商",IF(AND(P1839="应付",COUNTIF(基础资料!$Q$5:$Q$54,K1839)=0),"✗ 供应商不在基础资料里",IF(AND(P1839="费用",L1839=""),"✗ 费用支出要选费用项目",IF(AND(L1839&lt;&gt;"",COUNTIF(基础资料!$AI$5:$AI$54,L1839)=0),"✗ 费用项目不在基础资料里",IF(AND(IFERROR(INDEX(基础资料!$AD$5:$AD$34,MATCH(O1839,基础资料!$AC$5:$AC$34,0)),"")="收",N(G1839)&lt;&gt;0),"✗ 这类是收款，金额填到收入列",IF(AND(IFERROR(INDEX(基础资料!$AD$5:$AD$34,MATCH(O1839,基础资料!$AC$5:$AC$34,0)),"")="支",N(F1839)&lt;&gt;0),"✗ 这类是付款，金额填到支出列",IF(N(H1839)&lt;0,"⚠ 账户余额成负数了，核对一下","√"))))))))))))))))))</f>
      </c>
      <c r="O1839" s="78">
        <f>IF(D1839&lt;&gt;"",D1839,IF(AND(F1839="",G1839=""),"",IF(J1839&lt;&gt;"",IF(N(F1839)&gt;0,"客户回款","客户退款"),IF(K1839&lt;&gt;"",IF(N(G1839)&gt;0,"供应商付款","供应商退款"),IF(L1839&lt;&gt;"","费用支出","")))))</f>
      </c>
      <c r="P1839" s="78">
        <f>IF(O1839="","",IFERROR(INDEX(基础资料!$AE$5:$AE$34,MATCH(O1839,基础资料!$AC$5:$AC$34,0)),"未知"))</f>
      </c>
      <c r="Q1839" s="78">
        <f>IF(P1839="应收",COUNTIF(P$7:P1839,"应收"),"")</f>
      </c>
      <c r="R1839" s="78">
        <f>IF(P1839="应付",COUNTIF(P$7:P1839,"应付"),"")</f>
      </c>
      <c r="S1839" s="78">
        <f>N(F1839)-N(G1839)</f>
        <v>0</v>
      </c>
    </row>
    <row r="1840">
      <c r="A1840" s="109">
        <f>IF(AND(F1840="",G1840=""),"",ROW()-6)</f>
      </c>
      <c r="B1840" s="140" t="n"/>
      <c r="C1840" s="141" t="n"/>
      <c r="D1840" s="141" t="n"/>
      <c r="E1840" s="142" t="n"/>
      <c r="F1840" s="143" t="n"/>
      <c r="G1840" s="144" t="n"/>
      <c r="H1840" s="145">
        <f>IF(OR(C1840="",AND(F1840="",G1840="")),"",SUMIF(基础资料!$W$5:$W$24,C1840,基础资料!$X$5:$X$24)+SUMIF(C$7:C1840,C1840,F$7:F1840)-SUMIF(C$7:C1840,C1840,G$7:G1840))</f>
      </c>
      <c r="I1840" s="145">
        <f>IF(AND(F1840="",G1840=""),"",SUM(基础资料!$X$5:$X$24)+SUM(F$7:F1840)-SUM(G$7:G1840))</f>
      </c>
      <c r="J1840" s="141" t="n"/>
      <c r="K1840" s="141" t="n"/>
      <c r="L1840" s="141" t="n"/>
      <c r="M1840" s="142" t="n"/>
      <c r="N1840" s="146">
        <f>IF(AND(AND(F1840="",G1840=""),B1840="",C1840="",D1840="",J1840="",K1840="",L1840=""),"",IF(AND(F1840="",G1840=""),"✗ 没填金额",IF(AND(N(F1840)&lt;&gt;0,N(G1840)&lt;&gt;0),"✗ 收入、支出只能填一边",IF(NOT(ISNUMBER(B1840)),"✗ 日期不是真日期（要像 2026/9/25 这样填）",IF(OR(B1840&lt;年初日,B1840&gt;年末日),"✗ 日期不在本会计年度",IF(C1840="","✗ 没选账户",IF(COUNTIF(基础资料!$W$5:$W$24,C1840)=0,"✗ 账户不在基础资料里",IF(O1840="","✗ 没选收支项目",IF(P1840="未知","✗ 收支项目不在基础资料里",IF(AND(P1840="应收",J1840=""),"✗ 这笔要选客户",IF(AND(P1840="应收",COUNTIF(总览汇总!$B$5:$B$304,J1840)=0),"✗ 客户不在总览汇总名单里",IF(AND(P1840="应付",K1840=""),"✗ 这笔要选供应商",IF(AND(P1840="应付",COUNTIF(基础资料!$Q$5:$Q$54,K1840)=0),"✗ 供应商不在基础资料里",IF(AND(P1840="费用",L1840=""),"✗ 费用支出要选费用项目",IF(AND(L1840&lt;&gt;"",COUNTIF(基础资料!$AI$5:$AI$54,L1840)=0),"✗ 费用项目不在基础资料里",IF(AND(IFERROR(INDEX(基础资料!$AD$5:$AD$34,MATCH(O1840,基础资料!$AC$5:$AC$34,0)),"")="收",N(G1840)&lt;&gt;0),"✗ 这类是收款，金额填到收入列",IF(AND(IFERROR(INDEX(基础资料!$AD$5:$AD$34,MATCH(O1840,基础资料!$AC$5:$AC$34,0)),"")="支",N(F1840)&lt;&gt;0),"✗ 这类是付款，金额填到支出列",IF(N(H1840)&lt;0,"⚠ 账户余额成负数了，核对一下","√"))))))))))))))))))</f>
      </c>
      <c r="O1840" s="78">
        <f>IF(D1840&lt;&gt;"",D1840,IF(AND(F1840="",G1840=""),"",IF(J1840&lt;&gt;"",IF(N(F1840)&gt;0,"客户回款","客户退款"),IF(K1840&lt;&gt;"",IF(N(G1840)&gt;0,"供应商付款","供应商退款"),IF(L1840&lt;&gt;"","费用支出","")))))</f>
      </c>
      <c r="P1840" s="78">
        <f>IF(O1840="","",IFERROR(INDEX(基础资料!$AE$5:$AE$34,MATCH(O1840,基础资料!$AC$5:$AC$34,0)),"未知"))</f>
      </c>
      <c r="Q1840" s="78">
        <f>IF(P1840="应收",COUNTIF(P$7:P1840,"应收"),"")</f>
      </c>
      <c r="R1840" s="78">
        <f>IF(P1840="应付",COUNTIF(P$7:P1840,"应付"),"")</f>
      </c>
      <c r="S1840" s="78">
        <f>N(F1840)-N(G1840)</f>
        <v>0</v>
      </c>
    </row>
    <row r="1841">
      <c r="A1841" s="109">
        <f>IF(AND(F1841="",G1841=""),"",ROW()-6)</f>
      </c>
      <c r="B1841" s="140" t="n"/>
      <c r="C1841" s="141" t="n"/>
      <c r="D1841" s="141" t="n"/>
      <c r="E1841" s="142" t="n"/>
      <c r="F1841" s="143" t="n"/>
      <c r="G1841" s="144" t="n"/>
      <c r="H1841" s="145">
        <f>IF(OR(C1841="",AND(F1841="",G1841="")),"",SUMIF(基础资料!$W$5:$W$24,C1841,基础资料!$X$5:$X$24)+SUMIF(C$7:C1841,C1841,F$7:F1841)-SUMIF(C$7:C1841,C1841,G$7:G1841))</f>
      </c>
      <c r="I1841" s="145">
        <f>IF(AND(F1841="",G1841=""),"",SUM(基础资料!$X$5:$X$24)+SUM(F$7:F1841)-SUM(G$7:G1841))</f>
      </c>
      <c r="J1841" s="141" t="n"/>
      <c r="K1841" s="141" t="n"/>
      <c r="L1841" s="141" t="n"/>
      <c r="M1841" s="142" t="n"/>
      <c r="N1841" s="146">
        <f>IF(AND(AND(F1841="",G1841=""),B1841="",C1841="",D1841="",J1841="",K1841="",L1841=""),"",IF(AND(F1841="",G1841=""),"✗ 没填金额",IF(AND(N(F1841)&lt;&gt;0,N(G1841)&lt;&gt;0),"✗ 收入、支出只能填一边",IF(NOT(ISNUMBER(B1841)),"✗ 日期不是真日期（要像 2026/9/25 这样填）",IF(OR(B1841&lt;年初日,B1841&gt;年末日),"✗ 日期不在本会计年度",IF(C1841="","✗ 没选账户",IF(COUNTIF(基础资料!$W$5:$W$24,C1841)=0,"✗ 账户不在基础资料里",IF(O1841="","✗ 没选收支项目",IF(P1841="未知","✗ 收支项目不在基础资料里",IF(AND(P1841="应收",J1841=""),"✗ 这笔要选客户",IF(AND(P1841="应收",COUNTIF(总览汇总!$B$5:$B$304,J1841)=0),"✗ 客户不在总览汇总名单里",IF(AND(P1841="应付",K1841=""),"✗ 这笔要选供应商",IF(AND(P1841="应付",COUNTIF(基础资料!$Q$5:$Q$54,K1841)=0),"✗ 供应商不在基础资料里",IF(AND(P1841="费用",L1841=""),"✗ 费用支出要选费用项目",IF(AND(L1841&lt;&gt;"",COUNTIF(基础资料!$AI$5:$AI$54,L1841)=0),"✗ 费用项目不在基础资料里",IF(AND(IFERROR(INDEX(基础资料!$AD$5:$AD$34,MATCH(O1841,基础资料!$AC$5:$AC$34,0)),"")="收",N(G1841)&lt;&gt;0),"✗ 这类是收款，金额填到收入列",IF(AND(IFERROR(INDEX(基础资料!$AD$5:$AD$34,MATCH(O1841,基础资料!$AC$5:$AC$34,0)),"")="支",N(F1841)&lt;&gt;0),"✗ 这类是付款，金额填到支出列",IF(N(H1841)&lt;0,"⚠ 账户余额成负数了，核对一下","√"))))))))))))))))))</f>
      </c>
      <c r="O1841" s="78">
        <f>IF(D1841&lt;&gt;"",D1841,IF(AND(F1841="",G1841=""),"",IF(J1841&lt;&gt;"",IF(N(F1841)&gt;0,"客户回款","客户退款"),IF(K1841&lt;&gt;"",IF(N(G1841)&gt;0,"供应商付款","供应商退款"),IF(L1841&lt;&gt;"","费用支出","")))))</f>
      </c>
      <c r="P1841" s="78">
        <f>IF(O1841="","",IFERROR(INDEX(基础资料!$AE$5:$AE$34,MATCH(O1841,基础资料!$AC$5:$AC$34,0)),"未知"))</f>
      </c>
      <c r="Q1841" s="78">
        <f>IF(P1841="应收",COUNTIF(P$7:P1841,"应收"),"")</f>
      </c>
      <c r="R1841" s="78">
        <f>IF(P1841="应付",COUNTIF(P$7:P1841,"应付"),"")</f>
      </c>
      <c r="S1841" s="78">
        <f>N(F1841)-N(G1841)</f>
        <v>0</v>
      </c>
    </row>
    <row r="1842">
      <c r="A1842" s="109">
        <f>IF(AND(F1842="",G1842=""),"",ROW()-6)</f>
      </c>
      <c r="B1842" s="140" t="n"/>
      <c r="C1842" s="141" t="n"/>
      <c r="D1842" s="141" t="n"/>
      <c r="E1842" s="142" t="n"/>
      <c r="F1842" s="143" t="n"/>
      <c r="G1842" s="144" t="n"/>
      <c r="H1842" s="145">
        <f>IF(OR(C1842="",AND(F1842="",G1842="")),"",SUMIF(基础资料!$W$5:$W$24,C1842,基础资料!$X$5:$X$24)+SUMIF(C$7:C1842,C1842,F$7:F1842)-SUMIF(C$7:C1842,C1842,G$7:G1842))</f>
      </c>
      <c r="I1842" s="145">
        <f>IF(AND(F1842="",G1842=""),"",SUM(基础资料!$X$5:$X$24)+SUM(F$7:F1842)-SUM(G$7:G1842))</f>
      </c>
      <c r="J1842" s="141" t="n"/>
      <c r="K1842" s="141" t="n"/>
      <c r="L1842" s="141" t="n"/>
      <c r="M1842" s="142" t="n"/>
      <c r="N1842" s="146">
        <f>IF(AND(AND(F1842="",G1842=""),B1842="",C1842="",D1842="",J1842="",K1842="",L1842=""),"",IF(AND(F1842="",G1842=""),"✗ 没填金额",IF(AND(N(F1842)&lt;&gt;0,N(G1842)&lt;&gt;0),"✗ 收入、支出只能填一边",IF(NOT(ISNUMBER(B1842)),"✗ 日期不是真日期（要像 2026/9/25 这样填）",IF(OR(B1842&lt;年初日,B1842&gt;年末日),"✗ 日期不在本会计年度",IF(C1842="","✗ 没选账户",IF(COUNTIF(基础资料!$W$5:$W$24,C1842)=0,"✗ 账户不在基础资料里",IF(O1842="","✗ 没选收支项目",IF(P1842="未知","✗ 收支项目不在基础资料里",IF(AND(P1842="应收",J1842=""),"✗ 这笔要选客户",IF(AND(P1842="应收",COUNTIF(总览汇总!$B$5:$B$304,J1842)=0),"✗ 客户不在总览汇总名单里",IF(AND(P1842="应付",K1842=""),"✗ 这笔要选供应商",IF(AND(P1842="应付",COUNTIF(基础资料!$Q$5:$Q$54,K1842)=0),"✗ 供应商不在基础资料里",IF(AND(P1842="费用",L1842=""),"✗ 费用支出要选费用项目",IF(AND(L1842&lt;&gt;"",COUNTIF(基础资料!$AI$5:$AI$54,L1842)=0),"✗ 费用项目不在基础资料里",IF(AND(IFERROR(INDEX(基础资料!$AD$5:$AD$34,MATCH(O1842,基础资料!$AC$5:$AC$34,0)),"")="收",N(G1842)&lt;&gt;0),"✗ 这类是收款，金额填到收入列",IF(AND(IFERROR(INDEX(基础资料!$AD$5:$AD$34,MATCH(O1842,基础资料!$AC$5:$AC$34,0)),"")="支",N(F1842)&lt;&gt;0),"✗ 这类是付款，金额填到支出列",IF(N(H1842)&lt;0,"⚠ 账户余额成负数了，核对一下","√"))))))))))))))))))</f>
      </c>
      <c r="O1842" s="78">
        <f>IF(D1842&lt;&gt;"",D1842,IF(AND(F1842="",G1842=""),"",IF(J1842&lt;&gt;"",IF(N(F1842)&gt;0,"客户回款","客户退款"),IF(K1842&lt;&gt;"",IF(N(G1842)&gt;0,"供应商付款","供应商退款"),IF(L1842&lt;&gt;"","费用支出","")))))</f>
      </c>
      <c r="P1842" s="78">
        <f>IF(O1842="","",IFERROR(INDEX(基础资料!$AE$5:$AE$34,MATCH(O1842,基础资料!$AC$5:$AC$34,0)),"未知"))</f>
      </c>
      <c r="Q1842" s="78">
        <f>IF(P1842="应收",COUNTIF(P$7:P1842,"应收"),"")</f>
      </c>
      <c r="R1842" s="78">
        <f>IF(P1842="应付",COUNTIF(P$7:P1842,"应付"),"")</f>
      </c>
      <c r="S1842" s="78">
        <f>N(F1842)-N(G1842)</f>
        <v>0</v>
      </c>
    </row>
    <row r="1843">
      <c r="A1843" s="109">
        <f>IF(AND(F1843="",G1843=""),"",ROW()-6)</f>
      </c>
      <c r="B1843" s="140" t="n"/>
      <c r="C1843" s="141" t="n"/>
      <c r="D1843" s="141" t="n"/>
      <c r="E1843" s="142" t="n"/>
      <c r="F1843" s="143" t="n"/>
      <c r="G1843" s="144" t="n"/>
      <c r="H1843" s="145">
        <f>IF(OR(C1843="",AND(F1843="",G1843="")),"",SUMIF(基础资料!$W$5:$W$24,C1843,基础资料!$X$5:$X$24)+SUMIF(C$7:C1843,C1843,F$7:F1843)-SUMIF(C$7:C1843,C1843,G$7:G1843))</f>
      </c>
      <c r="I1843" s="145">
        <f>IF(AND(F1843="",G1843=""),"",SUM(基础资料!$X$5:$X$24)+SUM(F$7:F1843)-SUM(G$7:G1843))</f>
      </c>
      <c r="J1843" s="141" t="n"/>
      <c r="K1843" s="141" t="n"/>
      <c r="L1843" s="141" t="n"/>
      <c r="M1843" s="142" t="n"/>
      <c r="N1843" s="146">
        <f>IF(AND(AND(F1843="",G1843=""),B1843="",C1843="",D1843="",J1843="",K1843="",L1843=""),"",IF(AND(F1843="",G1843=""),"✗ 没填金额",IF(AND(N(F1843)&lt;&gt;0,N(G1843)&lt;&gt;0),"✗ 收入、支出只能填一边",IF(NOT(ISNUMBER(B1843)),"✗ 日期不是真日期（要像 2026/9/25 这样填）",IF(OR(B1843&lt;年初日,B1843&gt;年末日),"✗ 日期不在本会计年度",IF(C1843="","✗ 没选账户",IF(COUNTIF(基础资料!$W$5:$W$24,C1843)=0,"✗ 账户不在基础资料里",IF(O1843="","✗ 没选收支项目",IF(P1843="未知","✗ 收支项目不在基础资料里",IF(AND(P1843="应收",J1843=""),"✗ 这笔要选客户",IF(AND(P1843="应收",COUNTIF(总览汇总!$B$5:$B$304,J1843)=0),"✗ 客户不在总览汇总名单里",IF(AND(P1843="应付",K1843=""),"✗ 这笔要选供应商",IF(AND(P1843="应付",COUNTIF(基础资料!$Q$5:$Q$54,K1843)=0),"✗ 供应商不在基础资料里",IF(AND(P1843="费用",L1843=""),"✗ 费用支出要选费用项目",IF(AND(L1843&lt;&gt;"",COUNTIF(基础资料!$AI$5:$AI$54,L1843)=0),"✗ 费用项目不在基础资料里",IF(AND(IFERROR(INDEX(基础资料!$AD$5:$AD$34,MATCH(O1843,基础资料!$AC$5:$AC$34,0)),"")="收",N(G1843)&lt;&gt;0),"✗ 这类是收款，金额填到收入列",IF(AND(IFERROR(INDEX(基础资料!$AD$5:$AD$34,MATCH(O1843,基础资料!$AC$5:$AC$34,0)),"")="支",N(F1843)&lt;&gt;0),"✗ 这类是付款，金额填到支出列",IF(N(H1843)&lt;0,"⚠ 账户余额成负数了，核对一下","√"))))))))))))))))))</f>
      </c>
      <c r="O1843" s="78">
        <f>IF(D1843&lt;&gt;"",D1843,IF(AND(F1843="",G1843=""),"",IF(J1843&lt;&gt;"",IF(N(F1843)&gt;0,"客户回款","客户退款"),IF(K1843&lt;&gt;"",IF(N(G1843)&gt;0,"供应商付款","供应商退款"),IF(L1843&lt;&gt;"","费用支出","")))))</f>
      </c>
      <c r="P1843" s="78">
        <f>IF(O1843="","",IFERROR(INDEX(基础资料!$AE$5:$AE$34,MATCH(O1843,基础资料!$AC$5:$AC$34,0)),"未知"))</f>
      </c>
      <c r="Q1843" s="78">
        <f>IF(P1843="应收",COUNTIF(P$7:P1843,"应收"),"")</f>
      </c>
      <c r="R1843" s="78">
        <f>IF(P1843="应付",COUNTIF(P$7:P1843,"应付"),"")</f>
      </c>
      <c r="S1843" s="78">
        <f>N(F1843)-N(G1843)</f>
        <v>0</v>
      </c>
    </row>
    <row r="1844">
      <c r="A1844" s="109">
        <f>IF(AND(F1844="",G1844=""),"",ROW()-6)</f>
      </c>
      <c r="B1844" s="140" t="n"/>
      <c r="C1844" s="141" t="n"/>
      <c r="D1844" s="141" t="n"/>
      <c r="E1844" s="142" t="n"/>
      <c r="F1844" s="143" t="n"/>
      <c r="G1844" s="144" t="n"/>
      <c r="H1844" s="145">
        <f>IF(OR(C1844="",AND(F1844="",G1844="")),"",SUMIF(基础资料!$W$5:$W$24,C1844,基础资料!$X$5:$X$24)+SUMIF(C$7:C1844,C1844,F$7:F1844)-SUMIF(C$7:C1844,C1844,G$7:G1844))</f>
      </c>
      <c r="I1844" s="145">
        <f>IF(AND(F1844="",G1844=""),"",SUM(基础资料!$X$5:$X$24)+SUM(F$7:F1844)-SUM(G$7:G1844))</f>
      </c>
      <c r="J1844" s="141" t="n"/>
      <c r="K1844" s="141" t="n"/>
      <c r="L1844" s="141" t="n"/>
      <c r="M1844" s="142" t="n"/>
      <c r="N1844" s="146">
        <f>IF(AND(AND(F1844="",G1844=""),B1844="",C1844="",D1844="",J1844="",K1844="",L1844=""),"",IF(AND(F1844="",G1844=""),"✗ 没填金额",IF(AND(N(F1844)&lt;&gt;0,N(G1844)&lt;&gt;0),"✗ 收入、支出只能填一边",IF(NOT(ISNUMBER(B1844)),"✗ 日期不是真日期（要像 2026/9/25 这样填）",IF(OR(B1844&lt;年初日,B1844&gt;年末日),"✗ 日期不在本会计年度",IF(C1844="","✗ 没选账户",IF(COUNTIF(基础资料!$W$5:$W$24,C1844)=0,"✗ 账户不在基础资料里",IF(O1844="","✗ 没选收支项目",IF(P1844="未知","✗ 收支项目不在基础资料里",IF(AND(P1844="应收",J1844=""),"✗ 这笔要选客户",IF(AND(P1844="应收",COUNTIF(总览汇总!$B$5:$B$304,J1844)=0),"✗ 客户不在总览汇总名单里",IF(AND(P1844="应付",K1844=""),"✗ 这笔要选供应商",IF(AND(P1844="应付",COUNTIF(基础资料!$Q$5:$Q$54,K1844)=0),"✗ 供应商不在基础资料里",IF(AND(P1844="费用",L1844=""),"✗ 费用支出要选费用项目",IF(AND(L1844&lt;&gt;"",COUNTIF(基础资料!$AI$5:$AI$54,L1844)=0),"✗ 费用项目不在基础资料里",IF(AND(IFERROR(INDEX(基础资料!$AD$5:$AD$34,MATCH(O1844,基础资料!$AC$5:$AC$34,0)),"")="收",N(G1844)&lt;&gt;0),"✗ 这类是收款，金额填到收入列",IF(AND(IFERROR(INDEX(基础资料!$AD$5:$AD$34,MATCH(O1844,基础资料!$AC$5:$AC$34,0)),"")="支",N(F1844)&lt;&gt;0),"✗ 这类是付款，金额填到支出列",IF(N(H1844)&lt;0,"⚠ 账户余额成负数了，核对一下","√"))))))))))))))))))</f>
      </c>
      <c r="O1844" s="78">
        <f>IF(D1844&lt;&gt;"",D1844,IF(AND(F1844="",G1844=""),"",IF(J1844&lt;&gt;"",IF(N(F1844)&gt;0,"客户回款","客户退款"),IF(K1844&lt;&gt;"",IF(N(G1844)&gt;0,"供应商付款","供应商退款"),IF(L1844&lt;&gt;"","费用支出","")))))</f>
      </c>
      <c r="P1844" s="78">
        <f>IF(O1844="","",IFERROR(INDEX(基础资料!$AE$5:$AE$34,MATCH(O1844,基础资料!$AC$5:$AC$34,0)),"未知"))</f>
      </c>
      <c r="Q1844" s="78">
        <f>IF(P1844="应收",COUNTIF(P$7:P1844,"应收"),"")</f>
      </c>
      <c r="R1844" s="78">
        <f>IF(P1844="应付",COUNTIF(P$7:P1844,"应付"),"")</f>
      </c>
      <c r="S1844" s="78">
        <f>N(F1844)-N(G1844)</f>
        <v>0</v>
      </c>
    </row>
    <row r="1845">
      <c r="A1845" s="109">
        <f>IF(AND(F1845="",G1845=""),"",ROW()-6)</f>
      </c>
      <c r="B1845" s="140" t="n"/>
      <c r="C1845" s="141" t="n"/>
      <c r="D1845" s="141" t="n"/>
      <c r="E1845" s="142" t="n"/>
      <c r="F1845" s="143" t="n"/>
      <c r="G1845" s="144" t="n"/>
      <c r="H1845" s="145">
        <f>IF(OR(C1845="",AND(F1845="",G1845="")),"",SUMIF(基础资料!$W$5:$W$24,C1845,基础资料!$X$5:$X$24)+SUMIF(C$7:C1845,C1845,F$7:F1845)-SUMIF(C$7:C1845,C1845,G$7:G1845))</f>
      </c>
      <c r="I1845" s="145">
        <f>IF(AND(F1845="",G1845=""),"",SUM(基础资料!$X$5:$X$24)+SUM(F$7:F1845)-SUM(G$7:G1845))</f>
      </c>
      <c r="J1845" s="141" t="n"/>
      <c r="K1845" s="141" t="n"/>
      <c r="L1845" s="141" t="n"/>
      <c r="M1845" s="142" t="n"/>
      <c r="N1845" s="146">
        <f>IF(AND(AND(F1845="",G1845=""),B1845="",C1845="",D1845="",J1845="",K1845="",L1845=""),"",IF(AND(F1845="",G1845=""),"✗ 没填金额",IF(AND(N(F1845)&lt;&gt;0,N(G1845)&lt;&gt;0),"✗ 收入、支出只能填一边",IF(NOT(ISNUMBER(B1845)),"✗ 日期不是真日期（要像 2026/9/25 这样填）",IF(OR(B1845&lt;年初日,B1845&gt;年末日),"✗ 日期不在本会计年度",IF(C1845="","✗ 没选账户",IF(COUNTIF(基础资料!$W$5:$W$24,C1845)=0,"✗ 账户不在基础资料里",IF(O1845="","✗ 没选收支项目",IF(P1845="未知","✗ 收支项目不在基础资料里",IF(AND(P1845="应收",J1845=""),"✗ 这笔要选客户",IF(AND(P1845="应收",COUNTIF(总览汇总!$B$5:$B$304,J1845)=0),"✗ 客户不在总览汇总名单里",IF(AND(P1845="应付",K1845=""),"✗ 这笔要选供应商",IF(AND(P1845="应付",COUNTIF(基础资料!$Q$5:$Q$54,K1845)=0),"✗ 供应商不在基础资料里",IF(AND(P1845="费用",L1845=""),"✗ 费用支出要选费用项目",IF(AND(L1845&lt;&gt;"",COUNTIF(基础资料!$AI$5:$AI$54,L1845)=0),"✗ 费用项目不在基础资料里",IF(AND(IFERROR(INDEX(基础资料!$AD$5:$AD$34,MATCH(O1845,基础资料!$AC$5:$AC$34,0)),"")="收",N(G1845)&lt;&gt;0),"✗ 这类是收款，金额填到收入列",IF(AND(IFERROR(INDEX(基础资料!$AD$5:$AD$34,MATCH(O1845,基础资料!$AC$5:$AC$34,0)),"")="支",N(F1845)&lt;&gt;0),"✗ 这类是付款，金额填到支出列",IF(N(H1845)&lt;0,"⚠ 账户余额成负数了，核对一下","√"))))))))))))))))))</f>
      </c>
      <c r="O1845" s="78">
        <f>IF(D1845&lt;&gt;"",D1845,IF(AND(F1845="",G1845=""),"",IF(J1845&lt;&gt;"",IF(N(F1845)&gt;0,"客户回款","客户退款"),IF(K1845&lt;&gt;"",IF(N(G1845)&gt;0,"供应商付款","供应商退款"),IF(L1845&lt;&gt;"","费用支出","")))))</f>
      </c>
      <c r="P1845" s="78">
        <f>IF(O1845="","",IFERROR(INDEX(基础资料!$AE$5:$AE$34,MATCH(O1845,基础资料!$AC$5:$AC$34,0)),"未知"))</f>
      </c>
      <c r="Q1845" s="78">
        <f>IF(P1845="应收",COUNTIF(P$7:P1845,"应收"),"")</f>
      </c>
      <c r="R1845" s="78">
        <f>IF(P1845="应付",COUNTIF(P$7:P1845,"应付"),"")</f>
      </c>
      <c r="S1845" s="78">
        <f>N(F1845)-N(G1845)</f>
        <v>0</v>
      </c>
    </row>
    <row r="1846">
      <c r="A1846" s="109">
        <f>IF(AND(F1846="",G1846=""),"",ROW()-6)</f>
      </c>
      <c r="B1846" s="140" t="n"/>
      <c r="C1846" s="141" t="n"/>
      <c r="D1846" s="141" t="n"/>
      <c r="E1846" s="142" t="n"/>
      <c r="F1846" s="143" t="n"/>
      <c r="G1846" s="144" t="n"/>
      <c r="H1846" s="145">
        <f>IF(OR(C1846="",AND(F1846="",G1846="")),"",SUMIF(基础资料!$W$5:$W$24,C1846,基础资料!$X$5:$X$24)+SUMIF(C$7:C1846,C1846,F$7:F1846)-SUMIF(C$7:C1846,C1846,G$7:G1846))</f>
      </c>
      <c r="I1846" s="145">
        <f>IF(AND(F1846="",G1846=""),"",SUM(基础资料!$X$5:$X$24)+SUM(F$7:F1846)-SUM(G$7:G1846))</f>
      </c>
      <c r="J1846" s="141" t="n"/>
      <c r="K1846" s="141" t="n"/>
      <c r="L1846" s="141" t="n"/>
      <c r="M1846" s="142" t="n"/>
      <c r="N1846" s="146">
        <f>IF(AND(AND(F1846="",G1846=""),B1846="",C1846="",D1846="",J1846="",K1846="",L1846=""),"",IF(AND(F1846="",G1846=""),"✗ 没填金额",IF(AND(N(F1846)&lt;&gt;0,N(G1846)&lt;&gt;0),"✗ 收入、支出只能填一边",IF(NOT(ISNUMBER(B1846)),"✗ 日期不是真日期（要像 2026/9/25 这样填）",IF(OR(B1846&lt;年初日,B1846&gt;年末日),"✗ 日期不在本会计年度",IF(C1846="","✗ 没选账户",IF(COUNTIF(基础资料!$W$5:$W$24,C1846)=0,"✗ 账户不在基础资料里",IF(O1846="","✗ 没选收支项目",IF(P1846="未知","✗ 收支项目不在基础资料里",IF(AND(P1846="应收",J1846=""),"✗ 这笔要选客户",IF(AND(P1846="应收",COUNTIF(总览汇总!$B$5:$B$304,J1846)=0),"✗ 客户不在总览汇总名单里",IF(AND(P1846="应付",K1846=""),"✗ 这笔要选供应商",IF(AND(P1846="应付",COUNTIF(基础资料!$Q$5:$Q$54,K1846)=0),"✗ 供应商不在基础资料里",IF(AND(P1846="费用",L1846=""),"✗ 费用支出要选费用项目",IF(AND(L1846&lt;&gt;"",COUNTIF(基础资料!$AI$5:$AI$54,L1846)=0),"✗ 费用项目不在基础资料里",IF(AND(IFERROR(INDEX(基础资料!$AD$5:$AD$34,MATCH(O1846,基础资料!$AC$5:$AC$34,0)),"")="收",N(G1846)&lt;&gt;0),"✗ 这类是收款，金额填到收入列",IF(AND(IFERROR(INDEX(基础资料!$AD$5:$AD$34,MATCH(O1846,基础资料!$AC$5:$AC$34,0)),"")="支",N(F1846)&lt;&gt;0),"✗ 这类是付款，金额填到支出列",IF(N(H1846)&lt;0,"⚠ 账户余额成负数了，核对一下","√"))))))))))))))))))</f>
      </c>
      <c r="O1846" s="78">
        <f>IF(D1846&lt;&gt;"",D1846,IF(AND(F1846="",G1846=""),"",IF(J1846&lt;&gt;"",IF(N(F1846)&gt;0,"客户回款","客户退款"),IF(K1846&lt;&gt;"",IF(N(G1846)&gt;0,"供应商付款","供应商退款"),IF(L1846&lt;&gt;"","费用支出","")))))</f>
      </c>
      <c r="P1846" s="78">
        <f>IF(O1846="","",IFERROR(INDEX(基础资料!$AE$5:$AE$34,MATCH(O1846,基础资料!$AC$5:$AC$34,0)),"未知"))</f>
      </c>
      <c r="Q1846" s="78">
        <f>IF(P1846="应收",COUNTIF(P$7:P1846,"应收"),"")</f>
      </c>
      <c r="R1846" s="78">
        <f>IF(P1846="应付",COUNTIF(P$7:P1846,"应付"),"")</f>
      </c>
      <c r="S1846" s="78">
        <f>N(F1846)-N(G1846)</f>
        <v>0</v>
      </c>
    </row>
    <row r="1847">
      <c r="A1847" s="109">
        <f>IF(AND(F1847="",G1847=""),"",ROW()-6)</f>
      </c>
      <c r="B1847" s="140" t="n"/>
      <c r="C1847" s="141" t="n"/>
      <c r="D1847" s="141" t="n"/>
      <c r="E1847" s="142" t="n"/>
      <c r="F1847" s="143" t="n"/>
      <c r="G1847" s="144" t="n"/>
      <c r="H1847" s="145">
        <f>IF(OR(C1847="",AND(F1847="",G1847="")),"",SUMIF(基础资料!$W$5:$W$24,C1847,基础资料!$X$5:$X$24)+SUMIF(C$7:C1847,C1847,F$7:F1847)-SUMIF(C$7:C1847,C1847,G$7:G1847))</f>
      </c>
      <c r="I1847" s="145">
        <f>IF(AND(F1847="",G1847=""),"",SUM(基础资料!$X$5:$X$24)+SUM(F$7:F1847)-SUM(G$7:G1847))</f>
      </c>
      <c r="J1847" s="141" t="n"/>
      <c r="K1847" s="141" t="n"/>
      <c r="L1847" s="141" t="n"/>
      <c r="M1847" s="142" t="n"/>
      <c r="N1847" s="146">
        <f>IF(AND(AND(F1847="",G1847=""),B1847="",C1847="",D1847="",J1847="",K1847="",L1847=""),"",IF(AND(F1847="",G1847=""),"✗ 没填金额",IF(AND(N(F1847)&lt;&gt;0,N(G1847)&lt;&gt;0),"✗ 收入、支出只能填一边",IF(NOT(ISNUMBER(B1847)),"✗ 日期不是真日期（要像 2026/9/25 这样填）",IF(OR(B1847&lt;年初日,B1847&gt;年末日),"✗ 日期不在本会计年度",IF(C1847="","✗ 没选账户",IF(COUNTIF(基础资料!$W$5:$W$24,C1847)=0,"✗ 账户不在基础资料里",IF(O1847="","✗ 没选收支项目",IF(P1847="未知","✗ 收支项目不在基础资料里",IF(AND(P1847="应收",J1847=""),"✗ 这笔要选客户",IF(AND(P1847="应收",COUNTIF(总览汇总!$B$5:$B$304,J1847)=0),"✗ 客户不在总览汇总名单里",IF(AND(P1847="应付",K1847=""),"✗ 这笔要选供应商",IF(AND(P1847="应付",COUNTIF(基础资料!$Q$5:$Q$54,K1847)=0),"✗ 供应商不在基础资料里",IF(AND(P1847="费用",L1847=""),"✗ 费用支出要选费用项目",IF(AND(L1847&lt;&gt;"",COUNTIF(基础资料!$AI$5:$AI$54,L1847)=0),"✗ 费用项目不在基础资料里",IF(AND(IFERROR(INDEX(基础资料!$AD$5:$AD$34,MATCH(O1847,基础资料!$AC$5:$AC$34,0)),"")="收",N(G1847)&lt;&gt;0),"✗ 这类是收款，金额填到收入列",IF(AND(IFERROR(INDEX(基础资料!$AD$5:$AD$34,MATCH(O1847,基础资料!$AC$5:$AC$34,0)),"")="支",N(F1847)&lt;&gt;0),"✗ 这类是付款，金额填到支出列",IF(N(H1847)&lt;0,"⚠ 账户余额成负数了，核对一下","√"))))))))))))))))))</f>
      </c>
      <c r="O1847" s="78">
        <f>IF(D1847&lt;&gt;"",D1847,IF(AND(F1847="",G1847=""),"",IF(J1847&lt;&gt;"",IF(N(F1847)&gt;0,"客户回款","客户退款"),IF(K1847&lt;&gt;"",IF(N(G1847)&gt;0,"供应商付款","供应商退款"),IF(L1847&lt;&gt;"","费用支出","")))))</f>
      </c>
      <c r="P1847" s="78">
        <f>IF(O1847="","",IFERROR(INDEX(基础资料!$AE$5:$AE$34,MATCH(O1847,基础资料!$AC$5:$AC$34,0)),"未知"))</f>
      </c>
      <c r="Q1847" s="78">
        <f>IF(P1847="应收",COUNTIF(P$7:P1847,"应收"),"")</f>
      </c>
      <c r="R1847" s="78">
        <f>IF(P1847="应付",COUNTIF(P$7:P1847,"应付"),"")</f>
      </c>
      <c r="S1847" s="78">
        <f>N(F1847)-N(G1847)</f>
        <v>0</v>
      </c>
    </row>
    <row r="1848">
      <c r="A1848" s="109">
        <f>IF(AND(F1848="",G1848=""),"",ROW()-6)</f>
      </c>
      <c r="B1848" s="140" t="n"/>
      <c r="C1848" s="141" t="n"/>
      <c r="D1848" s="141" t="n"/>
      <c r="E1848" s="142" t="n"/>
      <c r="F1848" s="143" t="n"/>
      <c r="G1848" s="144" t="n"/>
      <c r="H1848" s="145">
        <f>IF(OR(C1848="",AND(F1848="",G1848="")),"",SUMIF(基础资料!$W$5:$W$24,C1848,基础资料!$X$5:$X$24)+SUMIF(C$7:C1848,C1848,F$7:F1848)-SUMIF(C$7:C1848,C1848,G$7:G1848))</f>
      </c>
      <c r="I1848" s="145">
        <f>IF(AND(F1848="",G1848=""),"",SUM(基础资料!$X$5:$X$24)+SUM(F$7:F1848)-SUM(G$7:G1848))</f>
      </c>
      <c r="J1848" s="141" t="n"/>
      <c r="K1848" s="141" t="n"/>
      <c r="L1848" s="141" t="n"/>
      <c r="M1848" s="142" t="n"/>
      <c r="N1848" s="146">
        <f>IF(AND(AND(F1848="",G1848=""),B1848="",C1848="",D1848="",J1848="",K1848="",L1848=""),"",IF(AND(F1848="",G1848=""),"✗ 没填金额",IF(AND(N(F1848)&lt;&gt;0,N(G1848)&lt;&gt;0),"✗ 收入、支出只能填一边",IF(NOT(ISNUMBER(B1848)),"✗ 日期不是真日期（要像 2026/9/25 这样填）",IF(OR(B1848&lt;年初日,B1848&gt;年末日),"✗ 日期不在本会计年度",IF(C1848="","✗ 没选账户",IF(COUNTIF(基础资料!$W$5:$W$24,C1848)=0,"✗ 账户不在基础资料里",IF(O1848="","✗ 没选收支项目",IF(P1848="未知","✗ 收支项目不在基础资料里",IF(AND(P1848="应收",J1848=""),"✗ 这笔要选客户",IF(AND(P1848="应收",COUNTIF(总览汇总!$B$5:$B$304,J1848)=0),"✗ 客户不在总览汇总名单里",IF(AND(P1848="应付",K1848=""),"✗ 这笔要选供应商",IF(AND(P1848="应付",COUNTIF(基础资料!$Q$5:$Q$54,K1848)=0),"✗ 供应商不在基础资料里",IF(AND(P1848="费用",L1848=""),"✗ 费用支出要选费用项目",IF(AND(L1848&lt;&gt;"",COUNTIF(基础资料!$AI$5:$AI$54,L1848)=0),"✗ 费用项目不在基础资料里",IF(AND(IFERROR(INDEX(基础资料!$AD$5:$AD$34,MATCH(O1848,基础资料!$AC$5:$AC$34,0)),"")="收",N(G1848)&lt;&gt;0),"✗ 这类是收款，金额填到收入列",IF(AND(IFERROR(INDEX(基础资料!$AD$5:$AD$34,MATCH(O1848,基础资料!$AC$5:$AC$34,0)),"")="支",N(F1848)&lt;&gt;0),"✗ 这类是付款，金额填到支出列",IF(N(H1848)&lt;0,"⚠ 账户余额成负数了，核对一下","√"))))))))))))))))))</f>
      </c>
      <c r="O1848" s="78">
        <f>IF(D1848&lt;&gt;"",D1848,IF(AND(F1848="",G1848=""),"",IF(J1848&lt;&gt;"",IF(N(F1848)&gt;0,"客户回款","客户退款"),IF(K1848&lt;&gt;"",IF(N(G1848)&gt;0,"供应商付款","供应商退款"),IF(L1848&lt;&gt;"","费用支出","")))))</f>
      </c>
      <c r="P1848" s="78">
        <f>IF(O1848="","",IFERROR(INDEX(基础资料!$AE$5:$AE$34,MATCH(O1848,基础资料!$AC$5:$AC$34,0)),"未知"))</f>
      </c>
      <c r="Q1848" s="78">
        <f>IF(P1848="应收",COUNTIF(P$7:P1848,"应收"),"")</f>
      </c>
      <c r="R1848" s="78">
        <f>IF(P1848="应付",COUNTIF(P$7:P1848,"应付"),"")</f>
      </c>
      <c r="S1848" s="78">
        <f>N(F1848)-N(G1848)</f>
        <v>0</v>
      </c>
    </row>
    <row r="1849">
      <c r="A1849" s="109">
        <f>IF(AND(F1849="",G1849=""),"",ROW()-6)</f>
      </c>
      <c r="B1849" s="140" t="n"/>
      <c r="C1849" s="141" t="n"/>
      <c r="D1849" s="141" t="n"/>
      <c r="E1849" s="142" t="n"/>
      <c r="F1849" s="143" t="n"/>
      <c r="G1849" s="144" t="n"/>
      <c r="H1849" s="145">
        <f>IF(OR(C1849="",AND(F1849="",G1849="")),"",SUMIF(基础资料!$W$5:$W$24,C1849,基础资料!$X$5:$X$24)+SUMIF(C$7:C1849,C1849,F$7:F1849)-SUMIF(C$7:C1849,C1849,G$7:G1849))</f>
      </c>
      <c r="I1849" s="145">
        <f>IF(AND(F1849="",G1849=""),"",SUM(基础资料!$X$5:$X$24)+SUM(F$7:F1849)-SUM(G$7:G1849))</f>
      </c>
      <c r="J1849" s="141" t="n"/>
      <c r="K1849" s="141" t="n"/>
      <c r="L1849" s="141" t="n"/>
      <c r="M1849" s="142" t="n"/>
      <c r="N1849" s="146">
        <f>IF(AND(AND(F1849="",G1849=""),B1849="",C1849="",D1849="",J1849="",K1849="",L1849=""),"",IF(AND(F1849="",G1849=""),"✗ 没填金额",IF(AND(N(F1849)&lt;&gt;0,N(G1849)&lt;&gt;0),"✗ 收入、支出只能填一边",IF(NOT(ISNUMBER(B1849)),"✗ 日期不是真日期（要像 2026/9/25 这样填）",IF(OR(B1849&lt;年初日,B1849&gt;年末日),"✗ 日期不在本会计年度",IF(C1849="","✗ 没选账户",IF(COUNTIF(基础资料!$W$5:$W$24,C1849)=0,"✗ 账户不在基础资料里",IF(O1849="","✗ 没选收支项目",IF(P1849="未知","✗ 收支项目不在基础资料里",IF(AND(P1849="应收",J1849=""),"✗ 这笔要选客户",IF(AND(P1849="应收",COUNTIF(总览汇总!$B$5:$B$304,J1849)=0),"✗ 客户不在总览汇总名单里",IF(AND(P1849="应付",K1849=""),"✗ 这笔要选供应商",IF(AND(P1849="应付",COUNTIF(基础资料!$Q$5:$Q$54,K1849)=0),"✗ 供应商不在基础资料里",IF(AND(P1849="费用",L1849=""),"✗ 费用支出要选费用项目",IF(AND(L1849&lt;&gt;"",COUNTIF(基础资料!$AI$5:$AI$54,L1849)=0),"✗ 费用项目不在基础资料里",IF(AND(IFERROR(INDEX(基础资料!$AD$5:$AD$34,MATCH(O1849,基础资料!$AC$5:$AC$34,0)),"")="收",N(G1849)&lt;&gt;0),"✗ 这类是收款，金额填到收入列",IF(AND(IFERROR(INDEX(基础资料!$AD$5:$AD$34,MATCH(O1849,基础资料!$AC$5:$AC$34,0)),"")="支",N(F1849)&lt;&gt;0),"✗ 这类是付款，金额填到支出列",IF(N(H1849)&lt;0,"⚠ 账户余额成负数了，核对一下","√"))))))))))))))))))</f>
      </c>
      <c r="O1849" s="78">
        <f>IF(D1849&lt;&gt;"",D1849,IF(AND(F1849="",G1849=""),"",IF(J1849&lt;&gt;"",IF(N(F1849)&gt;0,"客户回款","客户退款"),IF(K1849&lt;&gt;"",IF(N(G1849)&gt;0,"供应商付款","供应商退款"),IF(L1849&lt;&gt;"","费用支出","")))))</f>
      </c>
      <c r="P1849" s="78">
        <f>IF(O1849="","",IFERROR(INDEX(基础资料!$AE$5:$AE$34,MATCH(O1849,基础资料!$AC$5:$AC$34,0)),"未知"))</f>
      </c>
      <c r="Q1849" s="78">
        <f>IF(P1849="应收",COUNTIF(P$7:P1849,"应收"),"")</f>
      </c>
      <c r="R1849" s="78">
        <f>IF(P1849="应付",COUNTIF(P$7:P1849,"应付"),"")</f>
      </c>
      <c r="S1849" s="78">
        <f>N(F1849)-N(G1849)</f>
        <v>0</v>
      </c>
    </row>
    <row r="1850">
      <c r="A1850" s="109">
        <f>IF(AND(F1850="",G1850=""),"",ROW()-6)</f>
      </c>
      <c r="B1850" s="140" t="n"/>
      <c r="C1850" s="141" t="n"/>
      <c r="D1850" s="141" t="n"/>
      <c r="E1850" s="142" t="n"/>
      <c r="F1850" s="143" t="n"/>
      <c r="G1850" s="144" t="n"/>
      <c r="H1850" s="145">
        <f>IF(OR(C1850="",AND(F1850="",G1850="")),"",SUMIF(基础资料!$W$5:$W$24,C1850,基础资料!$X$5:$X$24)+SUMIF(C$7:C1850,C1850,F$7:F1850)-SUMIF(C$7:C1850,C1850,G$7:G1850))</f>
      </c>
      <c r="I1850" s="145">
        <f>IF(AND(F1850="",G1850=""),"",SUM(基础资料!$X$5:$X$24)+SUM(F$7:F1850)-SUM(G$7:G1850))</f>
      </c>
      <c r="J1850" s="141" t="n"/>
      <c r="K1850" s="141" t="n"/>
      <c r="L1850" s="141" t="n"/>
      <c r="M1850" s="142" t="n"/>
      <c r="N1850" s="146">
        <f>IF(AND(AND(F1850="",G1850=""),B1850="",C1850="",D1850="",J1850="",K1850="",L1850=""),"",IF(AND(F1850="",G1850=""),"✗ 没填金额",IF(AND(N(F1850)&lt;&gt;0,N(G1850)&lt;&gt;0),"✗ 收入、支出只能填一边",IF(NOT(ISNUMBER(B1850)),"✗ 日期不是真日期（要像 2026/9/25 这样填）",IF(OR(B1850&lt;年初日,B1850&gt;年末日),"✗ 日期不在本会计年度",IF(C1850="","✗ 没选账户",IF(COUNTIF(基础资料!$W$5:$W$24,C1850)=0,"✗ 账户不在基础资料里",IF(O1850="","✗ 没选收支项目",IF(P1850="未知","✗ 收支项目不在基础资料里",IF(AND(P1850="应收",J1850=""),"✗ 这笔要选客户",IF(AND(P1850="应收",COUNTIF(总览汇总!$B$5:$B$304,J1850)=0),"✗ 客户不在总览汇总名单里",IF(AND(P1850="应付",K1850=""),"✗ 这笔要选供应商",IF(AND(P1850="应付",COUNTIF(基础资料!$Q$5:$Q$54,K1850)=0),"✗ 供应商不在基础资料里",IF(AND(P1850="费用",L1850=""),"✗ 费用支出要选费用项目",IF(AND(L1850&lt;&gt;"",COUNTIF(基础资料!$AI$5:$AI$54,L1850)=0),"✗ 费用项目不在基础资料里",IF(AND(IFERROR(INDEX(基础资料!$AD$5:$AD$34,MATCH(O1850,基础资料!$AC$5:$AC$34,0)),"")="收",N(G1850)&lt;&gt;0),"✗ 这类是收款，金额填到收入列",IF(AND(IFERROR(INDEX(基础资料!$AD$5:$AD$34,MATCH(O1850,基础资料!$AC$5:$AC$34,0)),"")="支",N(F1850)&lt;&gt;0),"✗ 这类是付款，金额填到支出列",IF(N(H1850)&lt;0,"⚠ 账户余额成负数了，核对一下","√"))))))))))))))))))</f>
      </c>
      <c r="O1850" s="78">
        <f>IF(D1850&lt;&gt;"",D1850,IF(AND(F1850="",G1850=""),"",IF(J1850&lt;&gt;"",IF(N(F1850)&gt;0,"客户回款","客户退款"),IF(K1850&lt;&gt;"",IF(N(G1850)&gt;0,"供应商付款","供应商退款"),IF(L1850&lt;&gt;"","费用支出","")))))</f>
      </c>
      <c r="P1850" s="78">
        <f>IF(O1850="","",IFERROR(INDEX(基础资料!$AE$5:$AE$34,MATCH(O1850,基础资料!$AC$5:$AC$34,0)),"未知"))</f>
      </c>
      <c r="Q1850" s="78">
        <f>IF(P1850="应收",COUNTIF(P$7:P1850,"应收"),"")</f>
      </c>
      <c r="R1850" s="78">
        <f>IF(P1850="应付",COUNTIF(P$7:P1850,"应付"),"")</f>
      </c>
      <c r="S1850" s="78">
        <f>N(F1850)-N(G1850)</f>
        <v>0</v>
      </c>
    </row>
    <row r="1851">
      <c r="A1851" s="109">
        <f>IF(AND(F1851="",G1851=""),"",ROW()-6)</f>
      </c>
      <c r="B1851" s="140" t="n"/>
      <c r="C1851" s="141" t="n"/>
      <c r="D1851" s="141" t="n"/>
      <c r="E1851" s="142" t="n"/>
      <c r="F1851" s="143" t="n"/>
      <c r="G1851" s="144" t="n"/>
      <c r="H1851" s="145">
        <f>IF(OR(C1851="",AND(F1851="",G1851="")),"",SUMIF(基础资料!$W$5:$W$24,C1851,基础资料!$X$5:$X$24)+SUMIF(C$7:C1851,C1851,F$7:F1851)-SUMIF(C$7:C1851,C1851,G$7:G1851))</f>
      </c>
      <c r="I1851" s="145">
        <f>IF(AND(F1851="",G1851=""),"",SUM(基础资料!$X$5:$X$24)+SUM(F$7:F1851)-SUM(G$7:G1851))</f>
      </c>
      <c r="J1851" s="141" t="n"/>
      <c r="K1851" s="141" t="n"/>
      <c r="L1851" s="141" t="n"/>
      <c r="M1851" s="142" t="n"/>
      <c r="N1851" s="146">
        <f>IF(AND(AND(F1851="",G1851=""),B1851="",C1851="",D1851="",J1851="",K1851="",L1851=""),"",IF(AND(F1851="",G1851=""),"✗ 没填金额",IF(AND(N(F1851)&lt;&gt;0,N(G1851)&lt;&gt;0),"✗ 收入、支出只能填一边",IF(NOT(ISNUMBER(B1851)),"✗ 日期不是真日期（要像 2026/9/25 这样填）",IF(OR(B1851&lt;年初日,B1851&gt;年末日),"✗ 日期不在本会计年度",IF(C1851="","✗ 没选账户",IF(COUNTIF(基础资料!$W$5:$W$24,C1851)=0,"✗ 账户不在基础资料里",IF(O1851="","✗ 没选收支项目",IF(P1851="未知","✗ 收支项目不在基础资料里",IF(AND(P1851="应收",J1851=""),"✗ 这笔要选客户",IF(AND(P1851="应收",COUNTIF(总览汇总!$B$5:$B$304,J1851)=0),"✗ 客户不在总览汇总名单里",IF(AND(P1851="应付",K1851=""),"✗ 这笔要选供应商",IF(AND(P1851="应付",COUNTIF(基础资料!$Q$5:$Q$54,K1851)=0),"✗ 供应商不在基础资料里",IF(AND(P1851="费用",L1851=""),"✗ 费用支出要选费用项目",IF(AND(L1851&lt;&gt;"",COUNTIF(基础资料!$AI$5:$AI$54,L1851)=0),"✗ 费用项目不在基础资料里",IF(AND(IFERROR(INDEX(基础资料!$AD$5:$AD$34,MATCH(O1851,基础资料!$AC$5:$AC$34,0)),"")="收",N(G1851)&lt;&gt;0),"✗ 这类是收款，金额填到收入列",IF(AND(IFERROR(INDEX(基础资料!$AD$5:$AD$34,MATCH(O1851,基础资料!$AC$5:$AC$34,0)),"")="支",N(F1851)&lt;&gt;0),"✗ 这类是付款，金额填到支出列",IF(N(H1851)&lt;0,"⚠ 账户余额成负数了，核对一下","√"))))))))))))))))))</f>
      </c>
      <c r="O1851" s="78">
        <f>IF(D1851&lt;&gt;"",D1851,IF(AND(F1851="",G1851=""),"",IF(J1851&lt;&gt;"",IF(N(F1851)&gt;0,"客户回款","客户退款"),IF(K1851&lt;&gt;"",IF(N(G1851)&gt;0,"供应商付款","供应商退款"),IF(L1851&lt;&gt;"","费用支出","")))))</f>
      </c>
      <c r="P1851" s="78">
        <f>IF(O1851="","",IFERROR(INDEX(基础资料!$AE$5:$AE$34,MATCH(O1851,基础资料!$AC$5:$AC$34,0)),"未知"))</f>
      </c>
      <c r="Q1851" s="78">
        <f>IF(P1851="应收",COUNTIF(P$7:P1851,"应收"),"")</f>
      </c>
      <c r="R1851" s="78">
        <f>IF(P1851="应付",COUNTIF(P$7:P1851,"应付"),"")</f>
      </c>
      <c r="S1851" s="78">
        <f>N(F1851)-N(G1851)</f>
        <v>0</v>
      </c>
    </row>
    <row r="1852">
      <c r="A1852" s="109">
        <f>IF(AND(F1852="",G1852=""),"",ROW()-6)</f>
      </c>
      <c r="B1852" s="140" t="n"/>
      <c r="C1852" s="141" t="n"/>
      <c r="D1852" s="141" t="n"/>
      <c r="E1852" s="142" t="n"/>
      <c r="F1852" s="143" t="n"/>
      <c r="G1852" s="144" t="n"/>
      <c r="H1852" s="145">
        <f>IF(OR(C1852="",AND(F1852="",G1852="")),"",SUMIF(基础资料!$W$5:$W$24,C1852,基础资料!$X$5:$X$24)+SUMIF(C$7:C1852,C1852,F$7:F1852)-SUMIF(C$7:C1852,C1852,G$7:G1852))</f>
      </c>
      <c r="I1852" s="145">
        <f>IF(AND(F1852="",G1852=""),"",SUM(基础资料!$X$5:$X$24)+SUM(F$7:F1852)-SUM(G$7:G1852))</f>
      </c>
      <c r="J1852" s="141" t="n"/>
      <c r="K1852" s="141" t="n"/>
      <c r="L1852" s="141" t="n"/>
      <c r="M1852" s="142" t="n"/>
      <c r="N1852" s="146">
        <f>IF(AND(AND(F1852="",G1852=""),B1852="",C1852="",D1852="",J1852="",K1852="",L1852=""),"",IF(AND(F1852="",G1852=""),"✗ 没填金额",IF(AND(N(F1852)&lt;&gt;0,N(G1852)&lt;&gt;0),"✗ 收入、支出只能填一边",IF(NOT(ISNUMBER(B1852)),"✗ 日期不是真日期（要像 2026/9/25 这样填）",IF(OR(B1852&lt;年初日,B1852&gt;年末日),"✗ 日期不在本会计年度",IF(C1852="","✗ 没选账户",IF(COUNTIF(基础资料!$W$5:$W$24,C1852)=0,"✗ 账户不在基础资料里",IF(O1852="","✗ 没选收支项目",IF(P1852="未知","✗ 收支项目不在基础资料里",IF(AND(P1852="应收",J1852=""),"✗ 这笔要选客户",IF(AND(P1852="应收",COUNTIF(总览汇总!$B$5:$B$304,J1852)=0),"✗ 客户不在总览汇总名单里",IF(AND(P1852="应付",K1852=""),"✗ 这笔要选供应商",IF(AND(P1852="应付",COUNTIF(基础资料!$Q$5:$Q$54,K1852)=0),"✗ 供应商不在基础资料里",IF(AND(P1852="费用",L1852=""),"✗ 费用支出要选费用项目",IF(AND(L1852&lt;&gt;"",COUNTIF(基础资料!$AI$5:$AI$54,L1852)=0),"✗ 费用项目不在基础资料里",IF(AND(IFERROR(INDEX(基础资料!$AD$5:$AD$34,MATCH(O1852,基础资料!$AC$5:$AC$34,0)),"")="收",N(G1852)&lt;&gt;0),"✗ 这类是收款，金额填到收入列",IF(AND(IFERROR(INDEX(基础资料!$AD$5:$AD$34,MATCH(O1852,基础资料!$AC$5:$AC$34,0)),"")="支",N(F1852)&lt;&gt;0),"✗ 这类是付款，金额填到支出列",IF(N(H1852)&lt;0,"⚠ 账户余额成负数了，核对一下","√"))))))))))))))))))</f>
      </c>
      <c r="O1852" s="78">
        <f>IF(D1852&lt;&gt;"",D1852,IF(AND(F1852="",G1852=""),"",IF(J1852&lt;&gt;"",IF(N(F1852)&gt;0,"客户回款","客户退款"),IF(K1852&lt;&gt;"",IF(N(G1852)&gt;0,"供应商付款","供应商退款"),IF(L1852&lt;&gt;"","费用支出","")))))</f>
      </c>
      <c r="P1852" s="78">
        <f>IF(O1852="","",IFERROR(INDEX(基础资料!$AE$5:$AE$34,MATCH(O1852,基础资料!$AC$5:$AC$34,0)),"未知"))</f>
      </c>
      <c r="Q1852" s="78">
        <f>IF(P1852="应收",COUNTIF(P$7:P1852,"应收"),"")</f>
      </c>
      <c r="R1852" s="78">
        <f>IF(P1852="应付",COUNTIF(P$7:P1852,"应付"),"")</f>
      </c>
      <c r="S1852" s="78">
        <f>N(F1852)-N(G1852)</f>
        <v>0</v>
      </c>
    </row>
    <row r="1853">
      <c r="A1853" s="109">
        <f>IF(AND(F1853="",G1853=""),"",ROW()-6)</f>
      </c>
      <c r="B1853" s="140" t="n"/>
      <c r="C1853" s="141" t="n"/>
      <c r="D1853" s="141" t="n"/>
      <c r="E1853" s="142" t="n"/>
      <c r="F1853" s="143" t="n"/>
      <c r="G1853" s="144" t="n"/>
      <c r="H1853" s="145">
        <f>IF(OR(C1853="",AND(F1853="",G1853="")),"",SUMIF(基础资料!$W$5:$W$24,C1853,基础资料!$X$5:$X$24)+SUMIF(C$7:C1853,C1853,F$7:F1853)-SUMIF(C$7:C1853,C1853,G$7:G1853))</f>
      </c>
      <c r="I1853" s="145">
        <f>IF(AND(F1853="",G1853=""),"",SUM(基础资料!$X$5:$X$24)+SUM(F$7:F1853)-SUM(G$7:G1853))</f>
      </c>
      <c r="J1853" s="141" t="n"/>
      <c r="K1853" s="141" t="n"/>
      <c r="L1853" s="141" t="n"/>
      <c r="M1853" s="142" t="n"/>
      <c r="N1853" s="146">
        <f>IF(AND(AND(F1853="",G1853=""),B1853="",C1853="",D1853="",J1853="",K1853="",L1853=""),"",IF(AND(F1853="",G1853=""),"✗ 没填金额",IF(AND(N(F1853)&lt;&gt;0,N(G1853)&lt;&gt;0),"✗ 收入、支出只能填一边",IF(NOT(ISNUMBER(B1853)),"✗ 日期不是真日期（要像 2026/9/25 这样填）",IF(OR(B1853&lt;年初日,B1853&gt;年末日),"✗ 日期不在本会计年度",IF(C1853="","✗ 没选账户",IF(COUNTIF(基础资料!$W$5:$W$24,C1853)=0,"✗ 账户不在基础资料里",IF(O1853="","✗ 没选收支项目",IF(P1853="未知","✗ 收支项目不在基础资料里",IF(AND(P1853="应收",J1853=""),"✗ 这笔要选客户",IF(AND(P1853="应收",COUNTIF(总览汇总!$B$5:$B$304,J1853)=0),"✗ 客户不在总览汇总名单里",IF(AND(P1853="应付",K1853=""),"✗ 这笔要选供应商",IF(AND(P1853="应付",COUNTIF(基础资料!$Q$5:$Q$54,K1853)=0),"✗ 供应商不在基础资料里",IF(AND(P1853="费用",L1853=""),"✗ 费用支出要选费用项目",IF(AND(L1853&lt;&gt;"",COUNTIF(基础资料!$AI$5:$AI$54,L1853)=0),"✗ 费用项目不在基础资料里",IF(AND(IFERROR(INDEX(基础资料!$AD$5:$AD$34,MATCH(O1853,基础资料!$AC$5:$AC$34,0)),"")="收",N(G1853)&lt;&gt;0),"✗ 这类是收款，金额填到收入列",IF(AND(IFERROR(INDEX(基础资料!$AD$5:$AD$34,MATCH(O1853,基础资料!$AC$5:$AC$34,0)),"")="支",N(F1853)&lt;&gt;0),"✗ 这类是付款，金额填到支出列",IF(N(H1853)&lt;0,"⚠ 账户余额成负数了，核对一下","√"))))))))))))))))))</f>
      </c>
      <c r="O1853" s="78">
        <f>IF(D1853&lt;&gt;"",D1853,IF(AND(F1853="",G1853=""),"",IF(J1853&lt;&gt;"",IF(N(F1853)&gt;0,"客户回款","客户退款"),IF(K1853&lt;&gt;"",IF(N(G1853)&gt;0,"供应商付款","供应商退款"),IF(L1853&lt;&gt;"","费用支出","")))))</f>
      </c>
      <c r="P1853" s="78">
        <f>IF(O1853="","",IFERROR(INDEX(基础资料!$AE$5:$AE$34,MATCH(O1853,基础资料!$AC$5:$AC$34,0)),"未知"))</f>
      </c>
      <c r="Q1853" s="78">
        <f>IF(P1853="应收",COUNTIF(P$7:P1853,"应收"),"")</f>
      </c>
      <c r="R1853" s="78">
        <f>IF(P1853="应付",COUNTIF(P$7:P1853,"应付"),"")</f>
      </c>
      <c r="S1853" s="78">
        <f>N(F1853)-N(G1853)</f>
        <v>0</v>
      </c>
    </row>
    <row r="1854">
      <c r="A1854" s="109">
        <f>IF(AND(F1854="",G1854=""),"",ROW()-6)</f>
      </c>
      <c r="B1854" s="140" t="n"/>
      <c r="C1854" s="141" t="n"/>
      <c r="D1854" s="141" t="n"/>
      <c r="E1854" s="142" t="n"/>
      <c r="F1854" s="143" t="n"/>
      <c r="G1854" s="144" t="n"/>
      <c r="H1854" s="145">
        <f>IF(OR(C1854="",AND(F1854="",G1854="")),"",SUMIF(基础资料!$W$5:$W$24,C1854,基础资料!$X$5:$X$24)+SUMIF(C$7:C1854,C1854,F$7:F1854)-SUMIF(C$7:C1854,C1854,G$7:G1854))</f>
      </c>
      <c r="I1854" s="145">
        <f>IF(AND(F1854="",G1854=""),"",SUM(基础资料!$X$5:$X$24)+SUM(F$7:F1854)-SUM(G$7:G1854))</f>
      </c>
      <c r="J1854" s="141" t="n"/>
      <c r="K1854" s="141" t="n"/>
      <c r="L1854" s="141" t="n"/>
      <c r="M1854" s="142" t="n"/>
      <c r="N1854" s="146">
        <f>IF(AND(AND(F1854="",G1854=""),B1854="",C1854="",D1854="",J1854="",K1854="",L1854=""),"",IF(AND(F1854="",G1854=""),"✗ 没填金额",IF(AND(N(F1854)&lt;&gt;0,N(G1854)&lt;&gt;0),"✗ 收入、支出只能填一边",IF(NOT(ISNUMBER(B1854)),"✗ 日期不是真日期（要像 2026/9/25 这样填）",IF(OR(B1854&lt;年初日,B1854&gt;年末日),"✗ 日期不在本会计年度",IF(C1854="","✗ 没选账户",IF(COUNTIF(基础资料!$W$5:$W$24,C1854)=0,"✗ 账户不在基础资料里",IF(O1854="","✗ 没选收支项目",IF(P1854="未知","✗ 收支项目不在基础资料里",IF(AND(P1854="应收",J1854=""),"✗ 这笔要选客户",IF(AND(P1854="应收",COUNTIF(总览汇总!$B$5:$B$304,J1854)=0),"✗ 客户不在总览汇总名单里",IF(AND(P1854="应付",K1854=""),"✗ 这笔要选供应商",IF(AND(P1854="应付",COUNTIF(基础资料!$Q$5:$Q$54,K1854)=0),"✗ 供应商不在基础资料里",IF(AND(P1854="费用",L1854=""),"✗ 费用支出要选费用项目",IF(AND(L1854&lt;&gt;"",COUNTIF(基础资料!$AI$5:$AI$54,L1854)=0),"✗ 费用项目不在基础资料里",IF(AND(IFERROR(INDEX(基础资料!$AD$5:$AD$34,MATCH(O1854,基础资料!$AC$5:$AC$34,0)),"")="收",N(G1854)&lt;&gt;0),"✗ 这类是收款，金额填到收入列",IF(AND(IFERROR(INDEX(基础资料!$AD$5:$AD$34,MATCH(O1854,基础资料!$AC$5:$AC$34,0)),"")="支",N(F1854)&lt;&gt;0),"✗ 这类是付款，金额填到支出列",IF(N(H1854)&lt;0,"⚠ 账户余额成负数了，核对一下","√"))))))))))))))))))</f>
      </c>
      <c r="O1854" s="78">
        <f>IF(D1854&lt;&gt;"",D1854,IF(AND(F1854="",G1854=""),"",IF(J1854&lt;&gt;"",IF(N(F1854)&gt;0,"客户回款","客户退款"),IF(K1854&lt;&gt;"",IF(N(G1854)&gt;0,"供应商付款","供应商退款"),IF(L1854&lt;&gt;"","费用支出","")))))</f>
      </c>
      <c r="P1854" s="78">
        <f>IF(O1854="","",IFERROR(INDEX(基础资料!$AE$5:$AE$34,MATCH(O1854,基础资料!$AC$5:$AC$34,0)),"未知"))</f>
      </c>
      <c r="Q1854" s="78">
        <f>IF(P1854="应收",COUNTIF(P$7:P1854,"应收"),"")</f>
      </c>
      <c r="R1854" s="78">
        <f>IF(P1854="应付",COUNTIF(P$7:P1854,"应付"),"")</f>
      </c>
      <c r="S1854" s="78">
        <f>N(F1854)-N(G1854)</f>
        <v>0</v>
      </c>
    </row>
    <row r="1855">
      <c r="A1855" s="109">
        <f>IF(AND(F1855="",G1855=""),"",ROW()-6)</f>
      </c>
      <c r="B1855" s="140" t="n"/>
      <c r="C1855" s="141" t="n"/>
      <c r="D1855" s="141" t="n"/>
      <c r="E1855" s="142" t="n"/>
      <c r="F1855" s="143" t="n"/>
      <c r="G1855" s="144" t="n"/>
      <c r="H1855" s="145">
        <f>IF(OR(C1855="",AND(F1855="",G1855="")),"",SUMIF(基础资料!$W$5:$W$24,C1855,基础资料!$X$5:$X$24)+SUMIF(C$7:C1855,C1855,F$7:F1855)-SUMIF(C$7:C1855,C1855,G$7:G1855))</f>
      </c>
      <c r="I1855" s="145">
        <f>IF(AND(F1855="",G1855=""),"",SUM(基础资料!$X$5:$X$24)+SUM(F$7:F1855)-SUM(G$7:G1855))</f>
      </c>
      <c r="J1855" s="141" t="n"/>
      <c r="K1855" s="141" t="n"/>
      <c r="L1855" s="141" t="n"/>
      <c r="M1855" s="142" t="n"/>
      <c r="N1855" s="146">
        <f>IF(AND(AND(F1855="",G1855=""),B1855="",C1855="",D1855="",J1855="",K1855="",L1855=""),"",IF(AND(F1855="",G1855=""),"✗ 没填金额",IF(AND(N(F1855)&lt;&gt;0,N(G1855)&lt;&gt;0),"✗ 收入、支出只能填一边",IF(NOT(ISNUMBER(B1855)),"✗ 日期不是真日期（要像 2026/9/25 这样填）",IF(OR(B1855&lt;年初日,B1855&gt;年末日),"✗ 日期不在本会计年度",IF(C1855="","✗ 没选账户",IF(COUNTIF(基础资料!$W$5:$W$24,C1855)=0,"✗ 账户不在基础资料里",IF(O1855="","✗ 没选收支项目",IF(P1855="未知","✗ 收支项目不在基础资料里",IF(AND(P1855="应收",J1855=""),"✗ 这笔要选客户",IF(AND(P1855="应收",COUNTIF(总览汇总!$B$5:$B$304,J1855)=0),"✗ 客户不在总览汇总名单里",IF(AND(P1855="应付",K1855=""),"✗ 这笔要选供应商",IF(AND(P1855="应付",COUNTIF(基础资料!$Q$5:$Q$54,K1855)=0),"✗ 供应商不在基础资料里",IF(AND(P1855="费用",L1855=""),"✗ 费用支出要选费用项目",IF(AND(L1855&lt;&gt;"",COUNTIF(基础资料!$AI$5:$AI$54,L1855)=0),"✗ 费用项目不在基础资料里",IF(AND(IFERROR(INDEX(基础资料!$AD$5:$AD$34,MATCH(O1855,基础资料!$AC$5:$AC$34,0)),"")="收",N(G1855)&lt;&gt;0),"✗ 这类是收款，金额填到收入列",IF(AND(IFERROR(INDEX(基础资料!$AD$5:$AD$34,MATCH(O1855,基础资料!$AC$5:$AC$34,0)),"")="支",N(F1855)&lt;&gt;0),"✗ 这类是付款，金额填到支出列",IF(N(H1855)&lt;0,"⚠ 账户余额成负数了，核对一下","√"))))))))))))))))))</f>
      </c>
      <c r="O1855" s="78">
        <f>IF(D1855&lt;&gt;"",D1855,IF(AND(F1855="",G1855=""),"",IF(J1855&lt;&gt;"",IF(N(F1855)&gt;0,"客户回款","客户退款"),IF(K1855&lt;&gt;"",IF(N(G1855)&gt;0,"供应商付款","供应商退款"),IF(L1855&lt;&gt;"","费用支出","")))))</f>
      </c>
      <c r="P1855" s="78">
        <f>IF(O1855="","",IFERROR(INDEX(基础资料!$AE$5:$AE$34,MATCH(O1855,基础资料!$AC$5:$AC$34,0)),"未知"))</f>
      </c>
      <c r="Q1855" s="78">
        <f>IF(P1855="应收",COUNTIF(P$7:P1855,"应收"),"")</f>
      </c>
      <c r="R1855" s="78">
        <f>IF(P1855="应付",COUNTIF(P$7:P1855,"应付"),"")</f>
      </c>
      <c r="S1855" s="78">
        <f>N(F1855)-N(G1855)</f>
        <v>0</v>
      </c>
    </row>
    <row r="1856">
      <c r="A1856" s="109">
        <f>IF(AND(F1856="",G1856=""),"",ROW()-6)</f>
      </c>
      <c r="B1856" s="140" t="n"/>
      <c r="C1856" s="141" t="n"/>
      <c r="D1856" s="141" t="n"/>
      <c r="E1856" s="142" t="n"/>
      <c r="F1856" s="143" t="n"/>
      <c r="G1856" s="144" t="n"/>
      <c r="H1856" s="145">
        <f>IF(OR(C1856="",AND(F1856="",G1856="")),"",SUMIF(基础资料!$W$5:$W$24,C1856,基础资料!$X$5:$X$24)+SUMIF(C$7:C1856,C1856,F$7:F1856)-SUMIF(C$7:C1856,C1856,G$7:G1856))</f>
      </c>
      <c r="I1856" s="145">
        <f>IF(AND(F1856="",G1856=""),"",SUM(基础资料!$X$5:$X$24)+SUM(F$7:F1856)-SUM(G$7:G1856))</f>
      </c>
      <c r="J1856" s="141" t="n"/>
      <c r="K1856" s="141" t="n"/>
      <c r="L1856" s="141" t="n"/>
      <c r="M1856" s="142" t="n"/>
      <c r="N1856" s="146">
        <f>IF(AND(AND(F1856="",G1856=""),B1856="",C1856="",D1856="",J1856="",K1856="",L1856=""),"",IF(AND(F1856="",G1856=""),"✗ 没填金额",IF(AND(N(F1856)&lt;&gt;0,N(G1856)&lt;&gt;0),"✗ 收入、支出只能填一边",IF(NOT(ISNUMBER(B1856)),"✗ 日期不是真日期（要像 2026/9/25 这样填）",IF(OR(B1856&lt;年初日,B1856&gt;年末日),"✗ 日期不在本会计年度",IF(C1856="","✗ 没选账户",IF(COUNTIF(基础资料!$W$5:$W$24,C1856)=0,"✗ 账户不在基础资料里",IF(O1856="","✗ 没选收支项目",IF(P1856="未知","✗ 收支项目不在基础资料里",IF(AND(P1856="应收",J1856=""),"✗ 这笔要选客户",IF(AND(P1856="应收",COUNTIF(总览汇总!$B$5:$B$304,J1856)=0),"✗ 客户不在总览汇总名单里",IF(AND(P1856="应付",K1856=""),"✗ 这笔要选供应商",IF(AND(P1856="应付",COUNTIF(基础资料!$Q$5:$Q$54,K1856)=0),"✗ 供应商不在基础资料里",IF(AND(P1856="费用",L1856=""),"✗ 费用支出要选费用项目",IF(AND(L1856&lt;&gt;"",COUNTIF(基础资料!$AI$5:$AI$54,L1856)=0),"✗ 费用项目不在基础资料里",IF(AND(IFERROR(INDEX(基础资料!$AD$5:$AD$34,MATCH(O1856,基础资料!$AC$5:$AC$34,0)),"")="收",N(G1856)&lt;&gt;0),"✗ 这类是收款，金额填到收入列",IF(AND(IFERROR(INDEX(基础资料!$AD$5:$AD$34,MATCH(O1856,基础资料!$AC$5:$AC$34,0)),"")="支",N(F1856)&lt;&gt;0),"✗ 这类是付款，金额填到支出列",IF(N(H1856)&lt;0,"⚠ 账户余额成负数了，核对一下","√"))))))))))))))))))</f>
      </c>
      <c r="O1856" s="78">
        <f>IF(D1856&lt;&gt;"",D1856,IF(AND(F1856="",G1856=""),"",IF(J1856&lt;&gt;"",IF(N(F1856)&gt;0,"客户回款","客户退款"),IF(K1856&lt;&gt;"",IF(N(G1856)&gt;0,"供应商付款","供应商退款"),IF(L1856&lt;&gt;"","费用支出","")))))</f>
      </c>
      <c r="P1856" s="78">
        <f>IF(O1856="","",IFERROR(INDEX(基础资料!$AE$5:$AE$34,MATCH(O1856,基础资料!$AC$5:$AC$34,0)),"未知"))</f>
      </c>
      <c r="Q1856" s="78">
        <f>IF(P1856="应收",COUNTIF(P$7:P1856,"应收"),"")</f>
      </c>
      <c r="R1856" s="78">
        <f>IF(P1856="应付",COUNTIF(P$7:P1856,"应付"),"")</f>
      </c>
      <c r="S1856" s="78">
        <f>N(F1856)-N(G1856)</f>
        <v>0</v>
      </c>
    </row>
    <row r="1857">
      <c r="A1857" s="109">
        <f>IF(AND(F1857="",G1857=""),"",ROW()-6)</f>
      </c>
      <c r="B1857" s="140" t="n"/>
      <c r="C1857" s="141" t="n"/>
      <c r="D1857" s="141" t="n"/>
      <c r="E1857" s="142" t="n"/>
      <c r="F1857" s="143" t="n"/>
      <c r="G1857" s="144" t="n"/>
      <c r="H1857" s="145">
        <f>IF(OR(C1857="",AND(F1857="",G1857="")),"",SUMIF(基础资料!$W$5:$W$24,C1857,基础资料!$X$5:$X$24)+SUMIF(C$7:C1857,C1857,F$7:F1857)-SUMIF(C$7:C1857,C1857,G$7:G1857))</f>
      </c>
      <c r="I1857" s="145">
        <f>IF(AND(F1857="",G1857=""),"",SUM(基础资料!$X$5:$X$24)+SUM(F$7:F1857)-SUM(G$7:G1857))</f>
      </c>
      <c r="J1857" s="141" t="n"/>
      <c r="K1857" s="141" t="n"/>
      <c r="L1857" s="141" t="n"/>
      <c r="M1857" s="142" t="n"/>
      <c r="N1857" s="146">
        <f>IF(AND(AND(F1857="",G1857=""),B1857="",C1857="",D1857="",J1857="",K1857="",L1857=""),"",IF(AND(F1857="",G1857=""),"✗ 没填金额",IF(AND(N(F1857)&lt;&gt;0,N(G1857)&lt;&gt;0),"✗ 收入、支出只能填一边",IF(NOT(ISNUMBER(B1857)),"✗ 日期不是真日期（要像 2026/9/25 这样填）",IF(OR(B1857&lt;年初日,B1857&gt;年末日),"✗ 日期不在本会计年度",IF(C1857="","✗ 没选账户",IF(COUNTIF(基础资料!$W$5:$W$24,C1857)=0,"✗ 账户不在基础资料里",IF(O1857="","✗ 没选收支项目",IF(P1857="未知","✗ 收支项目不在基础资料里",IF(AND(P1857="应收",J1857=""),"✗ 这笔要选客户",IF(AND(P1857="应收",COUNTIF(总览汇总!$B$5:$B$304,J1857)=0),"✗ 客户不在总览汇总名单里",IF(AND(P1857="应付",K1857=""),"✗ 这笔要选供应商",IF(AND(P1857="应付",COUNTIF(基础资料!$Q$5:$Q$54,K1857)=0),"✗ 供应商不在基础资料里",IF(AND(P1857="费用",L1857=""),"✗ 费用支出要选费用项目",IF(AND(L1857&lt;&gt;"",COUNTIF(基础资料!$AI$5:$AI$54,L1857)=0),"✗ 费用项目不在基础资料里",IF(AND(IFERROR(INDEX(基础资料!$AD$5:$AD$34,MATCH(O1857,基础资料!$AC$5:$AC$34,0)),"")="收",N(G1857)&lt;&gt;0),"✗ 这类是收款，金额填到收入列",IF(AND(IFERROR(INDEX(基础资料!$AD$5:$AD$34,MATCH(O1857,基础资料!$AC$5:$AC$34,0)),"")="支",N(F1857)&lt;&gt;0),"✗ 这类是付款，金额填到支出列",IF(N(H1857)&lt;0,"⚠ 账户余额成负数了，核对一下","√"))))))))))))))))))</f>
      </c>
      <c r="O1857" s="78">
        <f>IF(D1857&lt;&gt;"",D1857,IF(AND(F1857="",G1857=""),"",IF(J1857&lt;&gt;"",IF(N(F1857)&gt;0,"客户回款","客户退款"),IF(K1857&lt;&gt;"",IF(N(G1857)&gt;0,"供应商付款","供应商退款"),IF(L1857&lt;&gt;"","费用支出","")))))</f>
      </c>
      <c r="P1857" s="78">
        <f>IF(O1857="","",IFERROR(INDEX(基础资料!$AE$5:$AE$34,MATCH(O1857,基础资料!$AC$5:$AC$34,0)),"未知"))</f>
      </c>
      <c r="Q1857" s="78">
        <f>IF(P1857="应收",COUNTIF(P$7:P1857,"应收"),"")</f>
      </c>
      <c r="R1857" s="78">
        <f>IF(P1857="应付",COUNTIF(P$7:P1857,"应付"),"")</f>
      </c>
      <c r="S1857" s="78">
        <f>N(F1857)-N(G1857)</f>
        <v>0</v>
      </c>
    </row>
    <row r="1858">
      <c r="A1858" s="109">
        <f>IF(AND(F1858="",G1858=""),"",ROW()-6)</f>
      </c>
      <c r="B1858" s="140" t="n"/>
      <c r="C1858" s="141" t="n"/>
      <c r="D1858" s="141" t="n"/>
      <c r="E1858" s="142" t="n"/>
      <c r="F1858" s="143" t="n"/>
      <c r="G1858" s="144" t="n"/>
      <c r="H1858" s="145">
        <f>IF(OR(C1858="",AND(F1858="",G1858="")),"",SUMIF(基础资料!$W$5:$W$24,C1858,基础资料!$X$5:$X$24)+SUMIF(C$7:C1858,C1858,F$7:F1858)-SUMIF(C$7:C1858,C1858,G$7:G1858))</f>
      </c>
      <c r="I1858" s="145">
        <f>IF(AND(F1858="",G1858=""),"",SUM(基础资料!$X$5:$X$24)+SUM(F$7:F1858)-SUM(G$7:G1858))</f>
      </c>
      <c r="J1858" s="141" t="n"/>
      <c r="K1858" s="141" t="n"/>
      <c r="L1858" s="141" t="n"/>
      <c r="M1858" s="142" t="n"/>
      <c r="N1858" s="146">
        <f>IF(AND(AND(F1858="",G1858=""),B1858="",C1858="",D1858="",J1858="",K1858="",L1858=""),"",IF(AND(F1858="",G1858=""),"✗ 没填金额",IF(AND(N(F1858)&lt;&gt;0,N(G1858)&lt;&gt;0),"✗ 收入、支出只能填一边",IF(NOT(ISNUMBER(B1858)),"✗ 日期不是真日期（要像 2026/9/25 这样填）",IF(OR(B1858&lt;年初日,B1858&gt;年末日),"✗ 日期不在本会计年度",IF(C1858="","✗ 没选账户",IF(COUNTIF(基础资料!$W$5:$W$24,C1858)=0,"✗ 账户不在基础资料里",IF(O1858="","✗ 没选收支项目",IF(P1858="未知","✗ 收支项目不在基础资料里",IF(AND(P1858="应收",J1858=""),"✗ 这笔要选客户",IF(AND(P1858="应收",COUNTIF(总览汇总!$B$5:$B$304,J1858)=0),"✗ 客户不在总览汇总名单里",IF(AND(P1858="应付",K1858=""),"✗ 这笔要选供应商",IF(AND(P1858="应付",COUNTIF(基础资料!$Q$5:$Q$54,K1858)=0),"✗ 供应商不在基础资料里",IF(AND(P1858="费用",L1858=""),"✗ 费用支出要选费用项目",IF(AND(L1858&lt;&gt;"",COUNTIF(基础资料!$AI$5:$AI$54,L1858)=0),"✗ 费用项目不在基础资料里",IF(AND(IFERROR(INDEX(基础资料!$AD$5:$AD$34,MATCH(O1858,基础资料!$AC$5:$AC$34,0)),"")="收",N(G1858)&lt;&gt;0),"✗ 这类是收款，金额填到收入列",IF(AND(IFERROR(INDEX(基础资料!$AD$5:$AD$34,MATCH(O1858,基础资料!$AC$5:$AC$34,0)),"")="支",N(F1858)&lt;&gt;0),"✗ 这类是付款，金额填到支出列",IF(N(H1858)&lt;0,"⚠ 账户余额成负数了，核对一下","√"))))))))))))))))))</f>
      </c>
      <c r="O1858" s="78">
        <f>IF(D1858&lt;&gt;"",D1858,IF(AND(F1858="",G1858=""),"",IF(J1858&lt;&gt;"",IF(N(F1858)&gt;0,"客户回款","客户退款"),IF(K1858&lt;&gt;"",IF(N(G1858)&gt;0,"供应商付款","供应商退款"),IF(L1858&lt;&gt;"","费用支出","")))))</f>
      </c>
      <c r="P1858" s="78">
        <f>IF(O1858="","",IFERROR(INDEX(基础资料!$AE$5:$AE$34,MATCH(O1858,基础资料!$AC$5:$AC$34,0)),"未知"))</f>
      </c>
      <c r="Q1858" s="78">
        <f>IF(P1858="应收",COUNTIF(P$7:P1858,"应收"),"")</f>
      </c>
      <c r="R1858" s="78">
        <f>IF(P1858="应付",COUNTIF(P$7:P1858,"应付"),"")</f>
      </c>
      <c r="S1858" s="78">
        <f>N(F1858)-N(G1858)</f>
        <v>0</v>
      </c>
    </row>
    <row r="1859">
      <c r="A1859" s="109">
        <f>IF(AND(F1859="",G1859=""),"",ROW()-6)</f>
      </c>
      <c r="B1859" s="140" t="n"/>
      <c r="C1859" s="141" t="n"/>
      <c r="D1859" s="141" t="n"/>
      <c r="E1859" s="142" t="n"/>
      <c r="F1859" s="143" t="n"/>
      <c r="G1859" s="144" t="n"/>
      <c r="H1859" s="145">
        <f>IF(OR(C1859="",AND(F1859="",G1859="")),"",SUMIF(基础资料!$W$5:$W$24,C1859,基础资料!$X$5:$X$24)+SUMIF(C$7:C1859,C1859,F$7:F1859)-SUMIF(C$7:C1859,C1859,G$7:G1859))</f>
      </c>
      <c r="I1859" s="145">
        <f>IF(AND(F1859="",G1859=""),"",SUM(基础资料!$X$5:$X$24)+SUM(F$7:F1859)-SUM(G$7:G1859))</f>
      </c>
      <c r="J1859" s="141" t="n"/>
      <c r="K1859" s="141" t="n"/>
      <c r="L1859" s="141" t="n"/>
      <c r="M1859" s="142" t="n"/>
      <c r="N1859" s="146">
        <f>IF(AND(AND(F1859="",G1859=""),B1859="",C1859="",D1859="",J1859="",K1859="",L1859=""),"",IF(AND(F1859="",G1859=""),"✗ 没填金额",IF(AND(N(F1859)&lt;&gt;0,N(G1859)&lt;&gt;0),"✗ 收入、支出只能填一边",IF(NOT(ISNUMBER(B1859)),"✗ 日期不是真日期（要像 2026/9/25 这样填）",IF(OR(B1859&lt;年初日,B1859&gt;年末日),"✗ 日期不在本会计年度",IF(C1859="","✗ 没选账户",IF(COUNTIF(基础资料!$W$5:$W$24,C1859)=0,"✗ 账户不在基础资料里",IF(O1859="","✗ 没选收支项目",IF(P1859="未知","✗ 收支项目不在基础资料里",IF(AND(P1859="应收",J1859=""),"✗ 这笔要选客户",IF(AND(P1859="应收",COUNTIF(总览汇总!$B$5:$B$304,J1859)=0),"✗ 客户不在总览汇总名单里",IF(AND(P1859="应付",K1859=""),"✗ 这笔要选供应商",IF(AND(P1859="应付",COUNTIF(基础资料!$Q$5:$Q$54,K1859)=0),"✗ 供应商不在基础资料里",IF(AND(P1859="费用",L1859=""),"✗ 费用支出要选费用项目",IF(AND(L1859&lt;&gt;"",COUNTIF(基础资料!$AI$5:$AI$54,L1859)=0),"✗ 费用项目不在基础资料里",IF(AND(IFERROR(INDEX(基础资料!$AD$5:$AD$34,MATCH(O1859,基础资料!$AC$5:$AC$34,0)),"")="收",N(G1859)&lt;&gt;0),"✗ 这类是收款，金额填到收入列",IF(AND(IFERROR(INDEX(基础资料!$AD$5:$AD$34,MATCH(O1859,基础资料!$AC$5:$AC$34,0)),"")="支",N(F1859)&lt;&gt;0),"✗ 这类是付款，金额填到支出列",IF(N(H1859)&lt;0,"⚠ 账户余额成负数了，核对一下","√"))))))))))))))))))</f>
      </c>
      <c r="O1859" s="78">
        <f>IF(D1859&lt;&gt;"",D1859,IF(AND(F1859="",G1859=""),"",IF(J1859&lt;&gt;"",IF(N(F1859)&gt;0,"客户回款","客户退款"),IF(K1859&lt;&gt;"",IF(N(G1859)&gt;0,"供应商付款","供应商退款"),IF(L1859&lt;&gt;"","费用支出","")))))</f>
      </c>
      <c r="P1859" s="78">
        <f>IF(O1859="","",IFERROR(INDEX(基础资料!$AE$5:$AE$34,MATCH(O1859,基础资料!$AC$5:$AC$34,0)),"未知"))</f>
      </c>
      <c r="Q1859" s="78">
        <f>IF(P1859="应收",COUNTIF(P$7:P1859,"应收"),"")</f>
      </c>
      <c r="R1859" s="78">
        <f>IF(P1859="应付",COUNTIF(P$7:P1859,"应付"),"")</f>
      </c>
      <c r="S1859" s="78">
        <f>N(F1859)-N(G1859)</f>
        <v>0</v>
      </c>
    </row>
    <row r="1860">
      <c r="A1860" s="109">
        <f>IF(AND(F1860="",G1860=""),"",ROW()-6)</f>
      </c>
      <c r="B1860" s="140" t="n"/>
      <c r="C1860" s="141" t="n"/>
      <c r="D1860" s="141" t="n"/>
      <c r="E1860" s="142" t="n"/>
      <c r="F1860" s="143" t="n"/>
      <c r="G1860" s="144" t="n"/>
      <c r="H1860" s="145">
        <f>IF(OR(C1860="",AND(F1860="",G1860="")),"",SUMIF(基础资料!$W$5:$W$24,C1860,基础资料!$X$5:$X$24)+SUMIF(C$7:C1860,C1860,F$7:F1860)-SUMIF(C$7:C1860,C1860,G$7:G1860))</f>
      </c>
      <c r="I1860" s="145">
        <f>IF(AND(F1860="",G1860=""),"",SUM(基础资料!$X$5:$X$24)+SUM(F$7:F1860)-SUM(G$7:G1860))</f>
      </c>
      <c r="J1860" s="141" t="n"/>
      <c r="K1860" s="141" t="n"/>
      <c r="L1860" s="141" t="n"/>
      <c r="M1860" s="142" t="n"/>
      <c r="N1860" s="146">
        <f>IF(AND(AND(F1860="",G1860=""),B1860="",C1860="",D1860="",J1860="",K1860="",L1860=""),"",IF(AND(F1860="",G1860=""),"✗ 没填金额",IF(AND(N(F1860)&lt;&gt;0,N(G1860)&lt;&gt;0),"✗ 收入、支出只能填一边",IF(NOT(ISNUMBER(B1860)),"✗ 日期不是真日期（要像 2026/9/25 这样填）",IF(OR(B1860&lt;年初日,B1860&gt;年末日),"✗ 日期不在本会计年度",IF(C1860="","✗ 没选账户",IF(COUNTIF(基础资料!$W$5:$W$24,C1860)=0,"✗ 账户不在基础资料里",IF(O1860="","✗ 没选收支项目",IF(P1860="未知","✗ 收支项目不在基础资料里",IF(AND(P1860="应收",J1860=""),"✗ 这笔要选客户",IF(AND(P1860="应收",COUNTIF(总览汇总!$B$5:$B$304,J1860)=0),"✗ 客户不在总览汇总名单里",IF(AND(P1860="应付",K1860=""),"✗ 这笔要选供应商",IF(AND(P1860="应付",COUNTIF(基础资料!$Q$5:$Q$54,K1860)=0),"✗ 供应商不在基础资料里",IF(AND(P1860="费用",L1860=""),"✗ 费用支出要选费用项目",IF(AND(L1860&lt;&gt;"",COUNTIF(基础资料!$AI$5:$AI$54,L1860)=0),"✗ 费用项目不在基础资料里",IF(AND(IFERROR(INDEX(基础资料!$AD$5:$AD$34,MATCH(O1860,基础资料!$AC$5:$AC$34,0)),"")="收",N(G1860)&lt;&gt;0),"✗ 这类是收款，金额填到收入列",IF(AND(IFERROR(INDEX(基础资料!$AD$5:$AD$34,MATCH(O1860,基础资料!$AC$5:$AC$34,0)),"")="支",N(F1860)&lt;&gt;0),"✗ 这类是付款，金额填到支出列",IF(N(H1860)&lt;0,"⚠ 账户余额成负数了，核对一下","√"))))))))))))))))))</f>
      </c>
      <c r="O1860" s="78">
        <f>IF(D1860&lt;&gt;"",D1860,IF(AND(F1860="",G1860=""),"",IF(J1860&lt;&gt;"",IF(N(F1860)&gt;0,"客户回款","客户退款"),IF(K1860&lt;&gt;"",IF(N(G1860)&gt;0,"供应商付款","供应商退款"),IF(L1860&lt;&gt;"","费用支出","")))))</f>
      </c>
      <c r="P1860" s="78">
        <f>IF(O1860="","",IFERROR(INDEX(基础资料!$AE$5:$AE$34,MATCH(O1860,基础资料!$AC$5:$AC$34,0)),"未知"))</f>
      </c>
      <c r="Q1860" s="78">
        <f>IF(P1860="应收",COUNTIF(P$7:P1860,"应收"),"")</f>
      </c>
      <c r="R1860" s="78">
        <f>IF(P1860="应付",COUNTIF(P$7:P1860,"应付"),"")</f>
      </c>
      <c r="S1860" s="78">
        <f>N(F1860)-N(G1860)</f>
        <v>0</v>
      </c>
    </row>
    <row r="1861">
      <c r="A1861" s="109">
        <f>IF(AND(F1861="",G1861=""),"",ROW()-6)</f>
      </c>
      <c r="B1861" s="140" t="n"/>
      <c r="C1861" s="141" t="n"/>
      <c r="D1861" s="141" t="n"/>
      <c r="E1861" s="142" t="n"/>
      <c r="F1861" s="143" t="n"/>
      <c r="G1861" s="144" t="n"/>
      <c r="H1861" s="145">
        <f>IF(OR(C1861="",AND(F1861="",G1861="")),"",SUMIF(基础资料!$W$5:$W$24,C1861,基础资料!$X$5:$X$24)+SUMIF(C$7:C1861,C1861,F$7:F1861)-SUMIF(C$7:C1861,C1861,G$7:G1861))</f>
      </c>
      <c r="I1861" s="145">
        <f>IF(AND(F1861="",G1861=""),"",SUM(基础资料!$X$5:$X$24)+SUM(F$7:F1861)-SUM(G$7:G1861))</f>
      </c>
      <c r="J1861" s="141" t="n"/>
      <c r="K1861" s="141" t="n"/>
      <c r="L1861" s="141" t="n"/>
      <c r="M1861" s="142" t="n"/>
      <c r="N1861" s="146">
        <f>IF(AND(AND(F1861="",G1861=""),B1861="",C1861="",D1861="",J1861="",K1861="",L1861=""),"",IF(AND(F1861="",G1861=""),"✗ 没填金额",IF(AND(N(F1861)&lt;&gt;0,N(G1861)&lt;&gt;0),"✗ 收入、支出只能填一边",IF(NOT(ISNUMBER(B1861)),"✗ 日期不是真日期（要像 2026/9/25 这样填）",IF(OR(B1861&lt;年初日,B1861&gt;年末日),"✗ 日期不在本会计年度",IF(C1861="","✗ 没选账户",IF(COUNTIF(基础资料!$W$5:$W$24,C1861)=0,"✗ 账户不在基础资料里",IF(O1861="","✗ 没选收支项目",IF(P1861="未知","✗ 收支项目不在基础资料里",IF(AND(P1861="应收",J1861=""),"✗ 这笔要选客户",IF(AND(P1861="应收",COUNTIF(总览汇总!$B$5:$B$304,J1861)=0),"✗ 客户不在总览汇总名单里",IF(AND(P1861="应付",K1861=""),"✗ 这笔要选供应商",IF(AND(P1861="应付",COUNTIF(基础资料!$Q$5:$Q$54,K1861)=0),"✗ 供应商不在基础资料里",IF(AND(P1861="费用",L1861=""),"✗ 费用支出要选费用项目",IF(AND(L1861&lt;&gt;"",COUNTIF(基础资料!$AI$5:$AI$54,L1861)=0),"✗ 费用项目不在基础资料里",IF(AND(IFERROR(INDEX(基础资料!$AD$5:$AD$34,MATCH(O1861,基础资料!$AC$5:$AC$34,0)),"")="收",N(G1861)&lt;&gt;0),"✗ 这类是收款，金额填到收入列",IF(AND(IFERROR(INDEX(基础资料!$AD$5:$AD$34,MATCH(O1861,基础资料!$AC$5:$AC$34,0)),"")="支",N(F1861)&lt;&gt;0),"✗ 这类是付款，金额填到支出列",IF(N(H1861)&lt;0,"⚠ 账户余额成负数了，核对一下","√"))))))))))))))))))</f>
      </c>
      <c r="O1861" s="78">
        <f>IF(D1861&lt;&gt;"",D1861,IF(AND(F1861="",G1861=""),"",IF(J1861&lt;&gt;"",IF(N(F1861)&gt;0,"客户回款","客户退款"),IF(K1861&lt;&gt;"",IF(N(G1861)&gt;0,"供应商付款","供应商退款"),IF(L1861&lt;&gt;"","费用支出","")))))</f>
      </c>
      <c r="P1861" s="78">
        <f>IF(O1861="","",IFERROR(INDEX(基础资料!$AE$5:$AE$34,MATCH(O1861,基础资料!$AC$5:$AC$34,0)),"未知"))</f>
      </c>
      <c r="Q1861" s="78">
        <f>IF(P1861="应收",COUNTIF(P$7:P1861,"应收"),"")</f>
      </c>
      <c r="R1861" s="78">
        <f>IF(P1861="应付",COUNTIF(P$7:P1861,"应付"),"")</f>
      </c>
      <c r="S1861" s="78">
        <f>N(F1861)-N(G1861)</f>
        <v>0</v>
      </c>
    </row>
    <row r="1862">
      <c r="A1862" s="109">
        <f>IF(AND(F1862="",G1862=""),"",ROW()-6)</f>
      </c>
      <c r="B1862" s="140" t="n"/>
      <c r="C1862" s="141" t="n"/>
      <c r="D1862" s="141" t="n"/>
      <c r="E1862" s="142" t="n"/>
      <c r="F1862" s="143" t="n"/>
      <c r="G1862" s="144" t="n"/>
      <c r="H1862" s="145">
        <f>IF(OR(C1862="",AND(F1862="",G1862="")),"",SUMIF(基础资料!$W$5:$W$24,C1862,基础资料!$X$5:$X$24)+SUMIF(C$7:C1862,C1862,F$7:F1862)-SUMIF(C$7:C1862,C1862,G$7:G1862))</f>
      </c>
      <c r="I1862" s="145">
        <f>IF(AND(F1862="",G1862=""),"",SUM(基础资料!$X$5:$X$24)+SUM(F$7:F1862)-SUM(G$7:G1862))</f>
      </c>
      <c r="J1862" s="141" t="n"/>
      <c r="K1862" s="141" t="n"/>
      <c r="L1862" s="141" t="n"/>
      <c r="M1862" s="142" t="n"/>
      <c r="N1862" s="146">
        <f>IF(AND(AND(F1862="",G1862=""),B1862="",C1862="",D1862="",J1862="",K1862="",L1862=""),"",IF(AND(F1862="",G1862=""),"✗ 没填金额",IF(AND(N(F1862)&lt;&gt;0,N(G1862)&lt;&gt;0),"✗ 收入、支出只能填一边",IF(NOT(ISNUMBER(B1862)),"✗ 日期不是真日期（要像 2026/9/25 这样填）",IF(OR(B1862&lt;年初日,B1862&gt;年末日),"✗ 日期不在本会计年度",IF(C1862="","✗ 没选账户",IF(COUNTIF(基础资料!$W$5:$W$24,C1862)=0,"✗ 账户不在基础资料里",IF(O1862="","✗ 没选收支项目",IF(P1862="未知","✗ 收支项目不在基础资料里",IF(AND(P1862="应收",J1862=""),"✗ 这笔要选客户",IF(AND(P1862="应收",COUNTIF(总览汇总!$B$5:$B$304,J1862)=0),"✗ 客户不在总览汇总名单里",IF(AND(P1862="应付",K1862=""),"✗ 这笔要选供应商",IF(AND(P1862="应付",COUNTIF(基础资料!$Q$5:$Q$54,K1862)=0),"✗ 供应商不在基础资料里",IF(AND(P1862="费用",L1862=""),"✗ 费用支出要选费用项目",IF(AND(L1862&lt;&gt;"",COUNTIF(基础资料!$AI$5:$AI$54,L1862)=0),"✗ 费用项目不在基础资料里",IF(AND(IFERROR(INDEX(基础资料!$AD$5:$AD$34,MATCH(O1862,基础资料!$AC$5:$AC$34,0)),"")="收",N(G1862)&lt;&gt;0),"✗ 这类是收款，金额填到收入列",IF(AND(IFERROR(INDEX(基础资料!$AD$5:$AD$34,MATCH(O1862,基础资料!$AC$5:$AC$34,0)),"")="支",N(F1862)&lt;&gt;0),"✗ 这类是付款，金额填到支出列",IF(N(H1862)&lt;0,"⚠ 账户余额成负数了，核对一下","√"))))))))))))))))))</f>
      </c>
      <c r="O1862" s="78">
        <f>IF(D1862&lt;&gt;"",D1862,IF(AND(F1862="",G1862=""),"",IF(J1862&lt;&gt;"",IF(N(F1862)&gt;0,"客户回款","客户退款"),IF(K1862&lt;&gt;"",IF(N(G1862)&gt;0,"供应商付款","供应商退款"),IF(L1862&lt;&gt;"","费用支出","")))))</f>
      </c>
      <c r="P1862" s="78">
        <f>IF(O1862="","",IFERROR(INDEX(基础资料!$AE$5:$AE$34,MATCH(O1862,基础资料!$AC$5:$AC$34,0)),"未知"))</f>
      </c>
      <c r="Q1862" s="78">
        <f>IF(P1862="应收",COUNTIF(P$7:P1862,"应收"),"")</f>
      </c>
      <c r="R1862" s="78">
        <f>IF(P1862="应付",COUNTIF(P$7:P1862,"应付"),"")</f>
      </c>
      <c r="S1862" s="78">
        <f>N(F1862)-N(G1862)</f>
        <v>0</v>
      </c>
    </row>
    <row r="1863">
      <c r="A1863" s="109">
        <f>IF(AND(F1863="",G1863=""),"",ROW()-6)</f>
      </c>
      <c r="B1863" s="140" t="n"/>
      <c r="C1863" s="141" t="n"/>
      <c r="D1863" s="141" t="n"/>
      <c r="E1863" s="142" t="n"/>
      <c r="F1863" s="143" t="n"/>
      <c r="G1863" s="144" t="n"/>
      <c r="H1863" s="145">
        <f>IF(OR(C1863="",AND(F1863="",G1863="")),"",SUMIF(基础资料!$W$5:$W$24,C1863,基础资料!$X$5:$X$24)+SUMIF(C$7:C1863,C1863,F$7:F1863)-SUMIF(C$7:C1863,C1863,G$7:G1863))</f>
      </c>
      <c r="I1863" s="145">
        <f>IF(AND(F1863="",G1863=""),"",SUM(基础资料!$X$5:$X$24)+SUM(F$7:F1863)-SUM(G$7:G1863))</f>
      </c>
      <c r="J1863" s="141" t="n"/>
      <c r="K1863" s="141" t="n"/>
      <c r="L1863" s="141" t="n"/>
      <c r="M1863" s="142" t="n"/>
      <c r="N1863" s="146">
        <f>IF(AND(AND(F1863="",G1863=""),B1863="",C1863="",D1863="",J1863="",K1863="",L1863=""),"",IF(AND(F1863="",G1863=""),"✗ 没填金额",IF(AND(N(F1863)&lt;&gt;0,N(G1863)&lt;&gt;0),"✗ 收入、支出只能填一边",IF(NOT(ISNUMBER(B1863)),"✗ 日期不是真日期（要像 2026/9/25 这样填）",IF(OR(B1863&lt;年初日,B1863&gt;年末日),"✗ 日期不在本会计年度",IF(C1863="","✗ 没选账户",IF(COUNTIF(基础资料!$W$5:$W$24,C1863)=0,"✗ 账户不在基础资料里",IF(O1863="","✗ 没选收支项目",IF(P1863="未知","✗ 收支项目不在基础资料里",IF(AND(P1863="应收",J1863=""),"✗ 这笔要选客户",IF(AND(P1863="应收",COUNTIF(总览汇总!$B$5:$B$304,J1863)=0),"✗ 客户不在总览汇总名单里",IF(AND(P1863="应付",K1863=""),"✗ 这笔要选供应商",IF(AND(P1863="应付",COUNTIF(基础资料!$Q$5:$Q$54,K1863)=0),"✗ 供应商不在基础资料里",IF(AND(P1863="费用",L1863=""),"✗ 费用支出要选费用项目",IF(AND(L1863&lt;&gt;"",COUNTIF(基础资料!$AI$5:$AI$54,L1863)=0),"✗ 费用项目不在基础资料里",IF(AND(IFERROR(INDEX(基础资料!$AD$5:$AD$34,MATCH(O1863,基础资料!$AC$5:$AC$34,0)),"")="收",N(G1863)&lt;&gt;0),"✗ 这类是收款，金额填到收入列",IF(AND(IFERROR(INDEX(基础资料!$AD$5:$AD$34,MATCH(O1863,基础资料!$AC$5:$AC$34,0)),"")="支",N(F1863)&lt;&gt;0),"✗ 这类是付款，金额填到支出列",IF(N(H1863)&lt;0,"⚠ 账户余额成负数了，核对一下","√"))))))))))))))))))</f>
      </c>
      <c r="O1863" s="78">
        <f>IF(D1863&lt;&gt;"",D1863,IF(AND(F1863="",G1863=""),"",IF(J1863&lt;&gt;"",IF(N(F1863)&gt;0,"客户回款","客户退款"),IF(K1863&lt;&gt;"",IF(N(G1863)&gt;0,"供应商付款","供应商退款"),IF(L1863&lt;&gt;"","费用支出","")))))</f>
      </c>
      <c r="P1863" s="78">
        <f>IF(O1863="","",IFERROR(INDEX(基础资料!$AE$5:$AE$34,MATCH(O1863,基础资料!$AC$5:$AC$34,0)),"未知"))</f>
      </c>
      <c r="Q1863" s="78">
        <f>IF(P1863="应收",COUNTIF(P$7:P1863,"应收"),"")</f>
      </c>
      <c r="R1863" s="78">
        <f>IF(P1863="应付",COUNTIF(P$7:P1863,"应付"),"")</f>
      </c>
      <c r="S1863" s="78">
        <f>N(F1863)-N(G1863)</f>
        <v>0</v>
      </c>
    </row>
    <row r="1864">
      <c r="A1864" s="109">
        <f>IF(AND(F1864="",G1864=""),"",ROW()-6)</f>
      </c>
      <c r="B1864" s="140" t="n"/>
      <c r="C1864" s="141" t="n"/>
      <c r="D1864" s="141" t="n"/>
      <c r="E1864" s="142" t="n"/>
      <c r="F1864" s="143" t="n"/>
      <c r="G1864" s="144" t="n"/>
      <c r="H1864" s="145">
        <f>IF(OR(C1864="",AND(F1864="",G1864="")),"",SUMIF(基础资料!$W$5:$W$24,C1864,基础资料!$X$5:$X$24)+SUMIF(C$7:C1864,C1864,F$7:F1864)-SUMIF(C$7:C1864,C1864,G$7:G1864))</f>
      </c>
      <c r="I1864" s="145">
        <f>IF(AND(F1864="",G1864=""),"",SUM(基础资料!$X$5:$X$24)+SUM(F$7:F1864)-SUM(G$7:G1864))</f>
      </c>
      <c r="J1864" s="141" t="n"/>
      <c r="K1864" s="141" t="n"/>
      <c r="L1864" s="141" t="n"/>
      <c r="M1864" s="142" t="n"/>
      <c r="N1864" s="146">
        <f>IF(AND(AND(F1864="",G1864=""),B1864="",C1864="",D1864="",J1864="",K1864="",L1864=""),"",IF(AND(F1864="",G1864=""),"✗ 没填金额",IF(AND(N(F1864)&lt;&gt;0,N(G1864)&lt;&gt;0),"✗ 收入、支出只能填一边",IF(NOT(ISNUMBER(B1864)),"✗ 日期不是真日期（要像 2026/9/25 这样填）",IF(OR(B1864&lt;年初日,B1864&gt;年末日),"✗ 日期不在本会计年度",IF(C1864="","✗ 没选账户",IF(COUNTIF(基础资料!$W$5:$W$24,C1864)=0,"✗ 账户不在基础资料里",IF(O1864="","✗ 没选收支项目",IF(P1864="未知","✗ 收支项目不在基础资料里",IF(AND(P1864="应收",J1864=""),"✗ 这笔要选客户",IF(AND(P1864="应收",COUNTIF(总览汇总!$B$5:$B$304,J1864)=0),"✗ 客户不在总览汇总名单里",IF(AND(P1864="应付",K1864=""),"✗ 这笔要选供应商",IF(AND(P1864="应付",COUNTIF(基础资料!$Q$5:$Q$54,K1864)=0),"✗ 供应商不在基础资料里",IF(AND(P1864="费用",L1864=""),"✗ 费用支出要选费用项目",IF(AND(L1864&lt;&gt;"",COUNTIF(基础资料!$AI$5:$AI$54,L1864)=0),"✗ 费用项目不在基础资料里",IF(AND(IFERROR(INDEX(基础资料!$AD$5:$AD$34,MATCH(O1864,基础资料!$AC$5:$AC$34,0)),"")="收",N(G1864)&lt;&gt;0),"✗ 这类是收款，金额填到收入列",IF(AND(IFERROR(INDEX(基础资料!$AD$5:$AD$34,MATCH(O1864,基础资料!$AC$5:$AC$34,0)),"")="支",N(F1864)&lt;&gt;0),"✗ 这类是付款，金额填到支出列",IF(N(H1864)&lt;0,"⚠ 账户余额成负数了，核对一下","√"))))))))))))))))))</f>
      </c>
      <c r="O1864" s="78">
        <f>IF(D1864&lt;&gt;"",D1864,IF(AND(F1864="",G1864=""),"",IF(J1864&lt;&gt;"",IF(N(F1864)&gt;0,"客户回款","客户退款"),IF(K1864&lt;&gt;"",IF(N(G1864)&gt;0,"供应商付款","供应商退款"),IF(L1864&lt;&gt;"","费用支出","")))))</f>
      </c>
      <c r="P1864" s="78">
        <f>IF(O1864="","",IFERROR(INDEX(基础资料!$AE$5:$AE$34,MATCH(O1864,基础资料!$AC$5:$AC$34,0)),"未知"))</f>
      </c>
      <c r="Q1864" s="78">
        <f>IF(P1864="应收",COUNTIF(P$7:P1864,"应收"),"")</f>
      </c>
      <c r="R1864" s="78">
        <f>IF(P1864="应付",COUNTIF(P$7:P1864,"应付"),"")</f>
      </c>
      <c r="S1864" s="78">
        <f>N(F1864)-N(G1864)</f>
        <v>0</v>
      </c>
    </row>
    <row r="1865">
      <c r="A1865" s="109">
        <f>IF(AND(F1865="",G1865=""),"",ROW()-6)</f>
      </c>
      <c r="B1865" s="140" t="n"/>
      <c r="C1865" s="141" t="n"/>
      <c r="D1865" s="141" t="n"/>
      <c r="E1865" s="142" t="n"/>
      <c r="F1865" s="143" t="n"/>
      <c r="G1865" s="144" t="n"/>
      <c r="H1865" s="145">
        <f>IF(OR(C1865="",AND(F1865="",G1865="")),"",SUMIF(基础资料!$W$5:$W$24,C1865,基础资料!$X$5:$X$24)+SUMIF(C$7:C1865,C1865,F$7:F1865)-SUMIF(C$7:C1865,C1865,G$7:G1865))</f>
      </c>
      <c r="I1865" s="145">
        <f>IF(AND(F1865="",G1865=""),"",SUM(基础资料!$X$5:$X$24)+SUM(F$7:F1865)-SUM(G$7:G1865))</f>
      </c>
      <c r="J1865" s="141" t="n"/>
      <c r="K1865" s="141" t="n"/>
      <c r="L1865" s="141" t="n"/>
      <c r="M1865" s="142" t="n"/>
      <c r="N1865" s="146">
        <f>IF(AND(AND(F1865="",G1865=""),B1865="",C1865="",D1865="",J1865="",K1865="",L1865=""),"",IF(AND(F1865="",G1865=""),"✗ 没填金额",IF(AND(N(F1865)&lt;&gt;0,N(G1865)&lt;&gt;0),"✗ 收入、支出只能填一边",IF(NOT(ISNUMBER(B1865)),"✗ 日期不是真日期（要像 2026/9/25 这样填）",IF(OR(B1865&lt;年初日,B1865&gt;年末日),"✗ 日期不在本会计年度",IF(C1865="","✗ 没选账户",IF(COUNTIF(基础资料!$W$5:$W$24,C1865)=0,"✗ 账户不在基础资料里",IF(O1865="","✗ 没选收支项目",IF(P1865="未知","✗ 收支项目不在基础资料里",IF(AND(P1865="应收",J1865=""),"✗ 这笔要选客户",IF(AND(P1865="应收",COUNTIF(总览汇总!$B$5:$B$304,J1865)=0),"✗ 客户不在总览汇总名单里",IF(AND(P1865="应付",K1865=""),"✗ 这笔要选供应商",IF(AND(P1865="应付",COUNTIF(基础资料!$Q$5:$Q$54,K1865)=0),"✗ 供应商不在基础资料里",IF(AND(P1865="费用",L1865=""),"✗ 费用支出要选费用项目",IF(AND(L1865&lt;&gt;"",COUNTIF(基础资料!$AI$5:$AI$54,L1865)=0),"✗ 费用项目不在基础资料里",IF(AND(IFERROR(INDEX(基础资料!$AD$5:$AD$34,MATCH(O1865,基础资料!$AC$5:$AC$34,0)),"")="收",N(G1865)&lt;&gt;0),"✗ 这类是收款，金额填到收入列",IF(AND(IFERROR(INDEX(基础资料!$AD$5:$AD$34,MATCH(O1865,基础资料!$AC$5:$AC$34,0)),"")="支",N(F1865)&lt;&gt;0),"✗ 这类是付款，金额填到支出列",IF(N(H1865)&lt;0,"⚠ 账户余额成负数了，核对一下","√"))))))))))))))))))</f>
      </c>
      <c r="O1865" s="78">
        <f>IF(D1865&lt;&gt;"",D1865,IF(AND(F1865="",G1865=""),"",IF(J1865&lt;&gt;"",IF(N(F1865)&gt;0,"客户回款","客户退款"),IF(K1865&lt;&gt;"",IF(N(G1865)&gt;0,"供应商付款","供应商退款"),IF(L1865&lt;&gt;"","费用支出","")))))</f>
      </c>
      <c r="P1865" s="78">
        <f>IF(O1865="","",IFERROR(INDEX(基础资料!$AE$5:$AE$34,MATCH(O1865,基础资料!$AC$5:$AC$34,0)),"未知"))</f>
      </c>
      <c r="Q1865" s="78">
        <f>IF(P1865="应收",COUNTIF(P$7:P1865,"应收"),"")</f>
      </c>
      <c r="R1865" s="78">
        <f>IF(P1865="应付",COUNTIF(P$7:P1865,"应付"),"")</f>
      </c>
      <c r="S1865" s="78">
        <f>N(F1865)-N(G1865)</f>
        <v>0</v>
      </c>
    </row>
    <row r="1866">
      <c r="A1866" s="109">
        <f>IF(AND(F1866="",G1866=""),"",ROW()-6)</f>
      </c>
      <c r="B1866" s="140" t="n"/>
      <c r="C1866" s="141" t="n"/>
      <c r="D1866" s="141" t="n"/>
      <c r="E1866" s="142" t="n"/>
      <c r="F1866" s="143" t="n"/>
      <c r="G1866" s="144" t="n"/>
      <c r="H1866" s="145">
        <f>IF(OR(C1866="",AND(F1866="",G1866="")),"",SUMIF(基础资料!$W$5:$W$24,C1866,基础资料!$X$5:$X$24)+SUMIF(C$7:C1866,C1866,F$7:F1866)-SUMIF(C$7:C1866,C1866,G$7:G1866))</f>
      </c>
      <c r="I1866" s="145">
        <f>IF(AND(F1866="",G1866=""),"",SUM(基础资料!$X$5:$X$24)+SUM(F$7:F1866)-SUM(G$7:G1866))</f>
      </c>
      <c r="J1866" s="141" t="n"/>
      <c r="K1866" s="141" t="n"/>
      <c r="L1866" s="141" t="n"/>
      <c r="M1866" s="142" t="n"/>
      <c r="N1866" s="146">
        <f>IF(AND(AND(F1866="",G1866=""),B1866="",C1866="",D1866="",J1866="",K1866="",L1866=""),"",IF(AND(F1866="",G1866=""),"✗ 没填金额",IF(AND(N(F1866)&lt;&gt;0,N(G1866)&lt;&gt;0),"✗ 收入、支出只能填一边",IF(NOT(ISNUMBER(B1866)),"✗ 日期不是真日期（要像 2026/9/25 这样填）",IF(OR(B1866&lt;年初日,B1866&gt;年末日),"✗ 日期不在本会计年度",IF(C1866="","✗ 没选账户",IF(COUNTIF(基础资料!$W$5:$W$24,C1866)=0,"✗ 账户不在基础资料里",IF(O1866="","✗ 没选收支项目",IF(P1866="未知","✗ 收支项目不在基础资料里",IF(AND(P1866="应收",J1866=""),"✗ 这笔要选客户",IF(AND(P1866="应收",COUNTIF(总览汇总!$B$5:$B$304,J1866)=0),"✗ 客户不在总览汇总名单里",IF(AND(P1866="应付",K1866=""),"✗ 这笔要选供应商",IF(AND(P1866="应付",COUNTIF(基础资料!$Q$5:$Q$54,K1866)=0),"✗ 供应商不在基础资料里",IF(AND(P1866="费用",L1866=""),"✗ 费用支出要选费用项目",IF(AND(L1866&lt;&gt;"",COUNTIF(基础资料!$AI$5:$AI$54,L1866)=0),"✗ 费用项目不在基础资料里",IF(AND(IFERROR(INDEX(基础资料!$AD$5:$AD$34,MATCH(O1866,基础资料!$AC$5:$AC$34,0)),"")="收",N(G1866)&lt;&gt;0),"✗ 这类是收款，金额填到收入列",IF(AND(IFERROR(INDEX(基础资料!$AD$5:$AD$34,MATCH(O1866,基础资料!$AC$5:$AC$34,0)),"")="支",N(F1866)&lt;&gt;0),"✗ 这类是付款，金额填到支出列",IF(N(H1866)&lt;0,"⚠ 账户余额成负数了，核对一下","√"))))))))))))))))))</f>
      </c>
      <c r="O1866" s="78">
        <f>IF(D1866&lt;&gt;"",D1866,IF(AND(F1866="",G1866=""),"",IF(J1866&lt;&gt;"",IF(N(F1866)&gt;0,"客户回款","客户退款"),IF(K1866&lt;&gt;"",IF(N(G1866)&gt;0,"供应商付款","供应商退款"),IF(L1866&lt;&gt;"","费用支出","")))))</f>
      </c>
      <c r="P1866" s="78">
        <f>IF(O1866="","",IFERROR(INDEX(基础资料!$AE$5:$AE$34,MATCH(O1866,基础资料!$AC$5:$AC$34,0)),"未知"))</f>
      </c>
      <c r="Q1866" s="78">
        <f>IF(P1866="应收",COUNTIF(P$7:P1866,"应收"),"")</f>
      </c>
      <c r="R1866" s="78">
        <f>IF(P1866="应付",COUNTIF(P$7:P1866,"应付"),"")</f>
      </c>
      <c r="S1866" s="78">
        <f>N(F1866)-N(G1866)</f>
        <v>0</v>
      </c>
    </row>
    <row r="1867">
      <c r="A1867" s="109">
        <f>IF(AND(F1867="",G1867=""),"",ROW()-6)</f>
      </c>
      <c r="B1867" s="140" t="n"/>
      <c r="C1867" s="141" t="n"/>
      <c r="D1867" s="141" t="n"/>
      <c r="E1867" s="142" t="n"/>
      <c r="F1867" s="143" t="n"/>
      <c r="G1867" s="144" t="n"/>
      <c r="H1867" s="145">
        <f>IF(OR(C1867="",AND(F1867="",G1867="")),"",SUMIF(基础资料!$W$5:$W$24,C1867,基础资料!$X$5:$X$24)+SUMIF(C$7:C1867,C1867,F$7:F1867)-SUMIF(C$7:C1867,C1867,G$7:G1867))</f>
      </c>
      <c r="I1867" s="145">
        <f>IF(AND(F1867="",G1867=""),"",SUM(基础资料!$X$5:$X$24)+SUM(F$7:F1867)-SUM(G$7:G1867))</f>
      </c>
      <c r="J1867" s="141" t="n"/>
      <c r="K1867" s="141" t="n"/>
      <c r="L1867" s="141" t="n"/>
      <c r="M1867" s="142" t="n"/>
      <c r="N1867" s="146">
        <f>IF(AND(AND(F1867="",G1867=""),B1867="",C1867="",D1867="",J1867="",K1867="",L1867=""),"",IF(AND(F1867="",G1867=""),"✗ 没填金额",IF(AND(N(F1867)&lt;&gt;0,N(G1867)&lt;&gt;0),"✗ 收入、支出只能填一边",IF(NOT(ISNUMBER(B1867)),"✗ 日期不是真日期（要像 2026/9/25 这样填）",IF(OR(B1867&lt;年初日,B1867&gt;年末日),"✗ 日期不在本会计年度",IF(C1867="","✗ 没选账户",IF(COUNTIF(基础资料!$W$5:$W$24,C1867)=0,"✗ 账户不在基础资料里",IF(O1867="","✗ 没选收支项目",IF(P1867="未知","✗ 收支项目不在基础资料里",IF(AND(P1867="应收",J1867=""),"✗ 这笔要选客户",IF(AND(P1867="应收",COUNTIF(总览汇总!$B$5:$B$304,J1867)=0),"✗ 客户不在总览汇总名单里",IF(AND(P1867="应付",K1867=""),"✗ 这笔要选供应商",IF(AND(P1867="应付",COUNTIF(基础资料!$Q$5:$Q$54,K1867)=0),"✗ 供应商不在基础资料里",IF(AND(P1867="费用",L1867=""),"✗ 费用支出要选费用项目",IF(AND(L1867&lt;&gt;"",COUNTIF(基础资料!$AI$5:$AI$54,L1867)=0),"✗ 费用项目不在基础资料里",IF(AND(IFERROR(INDEX(基础资料!$AD$5:$AD$34,MATCH(O1867,基础资料!$AC$5:$AC$34,0)),"")="收",N(G1867)&lt;&gt;0),"✗ 这类是收款，金额填到收入列",IF(AND(IFERROR(INDEX(基础资料!$AD$5:$AD$34,MATCH(O1867,基础资料!$AC$5:$AC$34,0)),"")="支",N(F1867)&lt;&gt;0),"✗ 这类是付款，金额填到支出列",IF(N(H1867)&lt;0,"⚠ 账户余额成负数了，核对一下","√"))))))))))))))))))</f>
      </c>
      <c r="O1867" s="78">
        <f>IF(D1867&lt;&gt;"",D1867,IF(AND(F1867="",G1867=""),"",IF(J1867&lt;&gt;"",IF(N(F1867)&gt;0,"客户回款","客户退款"),IF(K1867&lt;&gt;"",IF(N(G1867)&gt;0,"供应商付款","供应商退款"),IF(L1867&lt;&gt;"","费用支出","")))))</f>
      </c>
      <c r="P1867" s="78">
        <f>IF(O1867="","",IFERROR(INDEX(基础资料!$AE$5:$AE$34,MATCH(O1867,基础资料!$AC$5:$AC$34,0)),"未知"))</f>
      </c>
      <c r="Q1867" s="78">
        <f>IF(P1867="应收",COUNTIF(P$7:P1867,"应收"),"")</f>
      </c>
      <c r="R1867" s="78">
        <f>IF(P1867="应付",COUNTIF(P$7:P1867,"应付"),"")</f>
      </c>
      <c r="S1867" s="78">
        <f>N(F1867)-N(G1867)</f>
        <v>0</v>
      </c>
    </row>
    <row r="1868">
      <c r="A1868" s="109">
        <f>IF(AND(F1868="",G1868=""),"",ROW()-6)</f>
      </c>
      <c r="B1868" s="140" t="n"/>
      <c r="C1868" s="141" t="n"/>
      <c r="D1868" s="141" t="n"/>
      <c r="E1868" s="142" t="n"/>
      <c r="F1868" s="143" t="n"/>
      <c r="G1868" s="144" t="n"/>
      <c r="H1868" s="145">
        <f>IF(OR(C1868="",AND(F1868="",G1868="")),"",SUMIF(基础资料!$W$5:$W$24,C1868,基础资料!$X$5:$X$24)+SUMIF(C$7:C1868,C1868,F$7:F1868)-SUMIF(C$7:C1868,C1868,G$7:G1868))</f>
      </c>
      <c r="I1868" s="145">
        <f>IF(AND(F1868="",G1868=""),"",SUM(基础资料!$X$5:$X$24)+SUM(F$7:F1868)-SUM(G$7:G1868))</f>
      </c>
      <c r="J1868" s="141" t="n"/>
      <c r="K1868" s="141" t="n"/>
      <c r="L1868" s="141" t="n"/>
      <c r="M1868" s="142" t="n"/>
      <c r="N1868" s="146">
        <f>IF(AND(AND(F1868="",G1868=""),B1868="",C1868="",D1868="",J1868="",K1868="",L1868=""),"",IF(AND(F1868="",G1868=""),"✗ 没填金额",IF(AND(N(F1868)&lt;&gt;0,N(G1868)&lt;&gt;0),"✗ 收入、支出只能填一边",IF(NOT(ISNUMBER(B1868)),"✗ 日期不是真日期（要像 2026/9/25 这样填）",IF(OR(B1868&lt;年初日,B1868&gt;年末日),"✗ 日期不在本会计年度",IF(C1868="","✗ 没选账户",IF(COUNTIF(基础资料!$W$5:$W$24,C1868)=0,"✗ 账户不在基础资料里",IF(O1868="","✗ 没选收支项目",IF(P1868="未知","✗ 收支项目不在基础资料里",IF(AND(P1868="应收",J1868=""),"✗ 这笔要选客户",IF(AND(P1868="应收",COUNTIF(总览汇总!$B$5:$B$304,J1868)=0),"✗ 客户不在总览汇总名单里",IF(AND(P1868="应付",K1868=""),"✗ 这笔要选供应商",IF(AND(P1868="应付",COUNTIF(基础资料!$Q$5:$Q$54,K1868)=0),"✗ 供应商不在基础资料里",IF(AND(P1868="费用",L1868=""),"✗ 费用支出要选费用项目",IF(AND(L1868&lt;&gt;"",COUNTIF(基础资料!$AI$5:$AI$54,L1868)=0),"✗ 费用项目不在基础资料里",IF(AND(IFERROR(INDEX(基础资料!$AD$5:$AD$34,MATCH(O1868,基础资料!$AC$5:$AC$34,0)),"")="收",N(G1868)&lt;&gt;0),"✗ 这类是收款，金额填到收入列",IF(AND(IFERROR(INDEX(基础资料!$AD$5:$AD$34,MATCH(O1868,基础资料!$AC$5:$AC$34,0)),"")="支",N(F1868)&lt;&gt;0),"✗ 这类是付款，金额填到支出列",IF(N(H1868)&lt;0,"⚠ 账户余额成负数了，核对一下","√"))))))))))))))))))</f>
      </c>
      <c r="O1868" s="78">
        <f>IF(D1868&lt;&gt;"",D1868,IF(AND(F1868="",G1868=""),"",IF(J1868&lt;&gt;"",IF(N(F1868)&gt;0,"客户回款","客户退款"),IF(K1868&lt;&gt;"",IF(N(G1868)&gt;0,"供应商付款","供应商退款"),IF(L1868&lt;&gt;"","费用支出","")))))</f>
      </c>
      <c r="P1868" s="78">
        <f>IF(O1868="","",IFERROR(INDEX(基础资料!$AE$5:$AE$34,MATCH(O1868,基础资料!$AC$5:$AC$34,0)),"未知"))</f>
      </c>
      <c r="Q1868" s="78">
        <f>IF(P1868="应收",COUNTIF(P$7:P1868,"应收"),"")</f>
      </c>
      <c r="R1868" s="78">
        <f>IF(P1868="应付",COUNTIF(P$7:P1868,"应付"),"")</f>
      </c>
      <c r="S1868" s="78">
        <f>N(F1868)-N(G1868)</f>
        <v>0</v>
      </c>
    </row>
    <row r="1869">
      <c r="A1869" s="109">
        <f>IF(AND(F1869="",G1869=""),"",ROW()-6)</f>
      </c>
      <c r="B1869" s="140" t="n"/>
      <c r="C1869" s="141" t="n"/>
      <c r="D1869" s="141" t="n"/>
      <c r="E1869" s="142" t="n"/>
      <c r="F1869" s="143" t="n"/>
      <c r="G1869" s="144" t="n"/>
      <c r="H1869" s="145">
        <f>IF(OR(C1869="",AND(F1869="",G1869="")),"",SUMIF(基础资料!$W$5:$W$24,C1869,基础资料!$X$5:$X$24)+SUMIF(C$7:C1869,C1869,F$7:F1869)-SUMIF(C$7:C1869,C1869,G$7:G1869))</f>
      </c>
      <c r="I1869" s="145">
        <f>IF(AND(F1869="",G1869=""),"",SUM(基础资料!$X$5:$X$24)+SUM(F$7:F1869)-SUM(G$7:G1869))</f>
      </c>
      <c r="J1869" s="141" t="n"/>
      <c r="K1869" s="141" t="n"/>
      <c r="L1869" s="141" t="n"/>
      <c r="M1869" s="142" t="n"/>
      <c r="N1869" s="146">
        <f>IF(AND(AND(F1869="",G1869=""),B1869="",C1869="",D1869="",J1869="",K1869="",L1869=""),"",IF(AND(F1869="",G1869=""),"✗ 没填金额",IF(AND(N(F1869)&lt;&gt;0,N(G1869)&lt;&gt;0),"✗ 收入、支出只能填一边",IF(NOT(ISNUMBER(B1869)),"✗ 日期不是真日期（要像 2026/9/25 这样填）",IF(OR(B1869&lt;年初日,B1869&gt;年末日),"✗ 日期不在本会计年度",IF(C1869="","✗ 没选账户",IF(COUNTIF(基础资料!$W$5:$W$24,C1869)=0,"✗ 账户不在基础资料里",IF(O1869="","✗ 没选收支项目",IF(P1869="未知","✗ 收支项目不在基础资料里",IF(AND(P1869="应收",J1869=""),"✗ 这笔要选客户",IF(AND(P1869="应收",COUNTIF(总览汇总!$B$5:$B$304,J1869)=0),"✗ 客户不在总览汇总名单里",IF(AND(P1869="应付",K1869=""),"✗ 这笔要选供应商",IF(AND(P1869="应付",COUNTIF(基础资料!$Q$5:$Q$54,K1869)=0),"✗ 供应商不在基础资料里",IF(AND(P1869="费用",L1869=""),"✗ 费用支出要选费用项目",IF(AND(L1869&lt;&gt;"",COUNTIF(基础资料!$AI$5:$AI$54,L1869)=0),"✗ 费用项目不在基础资料里",IF(AND(IFERROR(INDEX(基础资料!$AD$5:$AD$34,MATCH(O1869,基础资料!$AC$5:$AC$34,0)),"")="收",N(G1869)&lt;&gt;0),"✗ 这类是收款，金额填到收入列",IF(AND(IFERROR(INDEX(基础资料!$AD$5:$AD$34,MATCH(O1869,基础资料!$AC$5:$AC$34,0)),"")="支",N(F1869)&lt;&gt;0),"✗ 这类是付款，金额填到支出列",IF(N(H1869)&lt;0,"⚠ 账户余额成负数了，核对一下","√"))))))))))))))))))</f>
      </c>
      <c r="O1869" s="78">
        <f>IF(D1869&lt;&gt;"",D1869,IF(AND(F1869="",G1869=""),"",IF(J1869&lt;&gt;"",IF(N(F1869)&gt;0,"客户回款","客户退款"),IF(K1869&lt;&gt;"",IF(N(G1869)&gt;0,"供应商付款","供应商退款"),IF(L1869&lt;&gt;"","费用支出","")))))</f>
      </c>
      <c r="P1869" s="78">
        <f>IF(O1869="","",IFERROR(INDEX(基础资料!$AE$5:$AE$34,MATCH(O1869,基础资料!$AC$5:$AC$34,0)),"未知"))</f>
      </c>
      <c r="Q1869" s="78">
        <f>IF(P1869="应收",COUNTIF(P$7:P1869,"应收"),"")</f>
      </c>
      <c r="R1869" s="78">
        <f>IF(P1869="应付",COUNTIF(P$7:P1869,"应付"),"")</f>
      </c>
      <c r="S1869" s="78">
        <f>N(F1869)-N(G1869)</f>
        <v>0</v>
      </c>
    </row>
    <row r="1870">
      <c r="A1870" s="109">
        <f>IF(AND(F1870="",G1870=""),"",ROW()-6)</f>
      </c>
      <c r="B1870" s="140" t="n"/>
      <c r="C1870" s="141" t="n"/>
      <c r="D1870" s="141" t="n"/>
      <c r="E1870" s="142" t="n"/>
      <c r="F1870" s="143" t="n"/>
      <c r="G1870" s="144" t="n"/>
      <c r="H1870" s="145">
        <f>IF(OR(C1870="",AND(F1870="",G1870="")),"",SUMIF(基础资料!$W$5:$W$24,C1870,基础资料!$X$5:$X$24)+SUMIF(C$7:C1870,C1870,F$7:F1870)-SUMIF(C$7:C1870,C1870,G$7:G1870))</f>
      </c>
      <c r="I1870" s="145">
        <f>IF(AND(F1870="",G1870=""),"",SUM(基础资料!$X$5:$X$24)+SUM(F$7:F1870)-SUM(G$7:G1870))</f>
      </c>
      <c r="J1870" s="141" t="n"/>
      <c r="K1870" s="141" t="n"/>
      <c r="L1870" s="141" t="n"/>
      <c r="M1870" s="142" t="n"/>
      <c r="N1870" s="146">
        <f>IF(AND(AND(F1870="",G1870=""),B1870="",C1870="",D1870="",J1870="",K1870="",L1870=""),"",IF(AND(F1870="",G1870=""),"✗ 没填金额",IF(AND(N(F1870)&lt;&gt;0,N(G1870)&lt;&gt;0),"✗ 收入、支出只能填一边",IF(NOT(ISNUMBER(B1870)),"✗ 日期不是真日期（要像 2026/9/25 这样填）",IF(OR(B1870&lt;年初日,B1870&gt;年末日),"✗ 日期不在本会计年度",IF(C1870="","✗ 没选账户",IF(COUNTIF(基础资料!$W$5:$W$24,C1870)=0,"✗ 账户不在基础资料里",IF(O1870="","✗ 没选收支项目",IF(P1870="未知","✗ 收支项目不在基础资料里",IF(AND(P1870="应收",J1870=""),"✗ 这笔要选客户",IF(AND(P1870="应收",COUNTIF(总览汇总!$B$5:$B$304,J1870)=0),"✗ 客户不在总览汇总名单里",IF(AND(P1870="应付",K1870=""),"✗ 这笔要选供应商",IF(AND(P1870="应付",COUNTIF(基础资料!$Q$5:$Q$54,K1870)=0),"✗ 供应商不在基础资料里",IF(AND(P1870="费用",L1870=""),"✗ 费用支出要选费用项目",IF(AND(L1870&lt;&gt;"",COUNTIF(基础资料!$AI$5:$AI$54,L1870)=0),"✗ 费用项目不在基础资料里",IF(AND(IFERROR(INDEX(基础资料!$AD$5:$AD$34,MATCH(O1870,基础资料!$AC$5:$AC$34,0)),"")="收",N(G1870)&lt;&gt;0),"✗ 这类是收款，金额填到收入列",IF(AND(IFERROR(INDEX(基础资料!$AD$5:$AD$34,MATCH(O1870,基础资料!$AC$5:$AC$34,0)),"")="支",N(F1870)&lt;&gt;0),"✗ 这类是付款，金额填到支出列",IF(N(H1870)&lt;0,"⚠ 账户余额成负数了，核对一下","√"))))))))))))))))))</f>
      </c>
      <c r="O1870" s="78">
        <f>IF(D1870&lt;&gt;"",D1870,IF(AND(F1870="",G1870=""),"",IF(J1870&lt;&gt;"",IF(N(F1870)&gt;0,"客户回款","客户退款"),IF(K1870&lt;&gt;"",IF(N(G1870)&gt;0,"供应商付款","供应商退款"),IF(L1870&lt;&gt;"","费用支出","")))))</f>
      </c>
      <c r="P1870" s="78">
        <f>IF(O1870="","",IFERROR(INDEX(基础资料!$AE$5:$AE$34,MATCH(O1870,基础资料!$AC$5:$AC$34,0)),"未知"))</f>
      </c>
      <c r="Q1870" s="78">
        <f>IF(P1870="应收",COUNTIF(P$7:P1870,"应收"),"")</f>
      </c>
      <c r="R1870" s="78">
        <f>IF(P1870="应付",COUNTIF(P$7:P1870,"应付"),"")</f>
      </c>
      <c r="S1870" s="78">
        <f>N(F1870)-N(G1870)</f>
        <v>0</v>
      </c>
    </row>
    <row r="1871">
      <c r="A1871" s="109">
        <f>IF(AND(F1871="",G1871=""),"",ROW()-6)</f>
      </c>
      <c r="B1871" s="140" t="n"/>
      <c r="C1871" s="141" t="n"/>
      <c r="D1871" s="141" t="n"/>
      <c r="E1871" s="142" t="n"/>
      <c r="F1871" s="143" t="n"/>
      <c r="G1871" s="144" t="n"/>
      <c r="H1871" s="145">
        <f>IF(OR(C1871="",AND(F1871="",G1871="")),"",SUMIF(基础资料!$W$5:$W$24,C1871,基础资料!$X$5:$X$24)+SUMIF(C$7:C1871,C1871,F$7:F1871)-SUMIF(C$7:C1871,C1871,G$7:G1871))</f>
      </c>
      <c r="I1871" s="145">
        <f>IF(AND(F1871="",G1871=""),"",SUM(基础资料!$X$5:$X$24)+SUM(F$7:F1871)-SUM(G$7:G1871))</f>
      </c>
      <c r="J1871" s="141" t="n"/>
      <c r="K1871" s="141" t="n"/>
      <c r="L1871" s="141" t="n"/>
      <c r="M1871" s="142" t="n"/>
      <c r="N1871" s="146">
        <f>IF(AND(AND(F1871="",G1871=""),B1871="",C1871="",D1871="",J1871="",K1871="",L1871=""),"",IF(AND(F1871="",G1871=""),"✗ 没填金额",IF(AND(N(F1871)&lt;&gt;0,N(G1871)&lt;&gt;0),"✗ 收入、支出只能填一边",IF(NOT(ISNUMBER(B1871)),"✗ 日期不是真日期（要像 2026/9/25 这样填）",IF(OR(B1871&lt;年初日,B1871&gt;年末日),"✗ 日期不在本会计年度",IF(C1871="","✗ 没选账户",IF(COUNTIF(基础资料!$W$5:$W$24,C1871)=0,"✗ 账户不在基础资料里",IF(O1871="","✗ 没选收支项目",IF(P1871="未知","✗ 收支项目不在基础资料里",IF(AND(P1871="应收",J1871=""),"✗ 这笔要选客户",IF(AND(P1871="应收",COUNTIF(总览汇总!$B$5:$B$304,J1871)=0),"✗ 客户不在总览汇总名单里",IF(AND(P1871="应付",K1871=""),"✗ 这笔要选供应商",IF(AND(P1871="应付",COUNTIF(基础资料!$Q$5:$Q$54,K1871)=0),"✗ 供应商不在基础资料里",IF(AND(P1871="费用",L1871=""),"✗ 费用支出要选费用项目",IF(AND(L1871&lt;&gt;"",COUNTIF(基础资料!$AI$5:$AI$54,L1871)=0),"✗ 费用项目不在基础资料里",IF(AND(IFERROR(INDEX(基础资料!$AD$5:$AD$34,MATCH(O1871,基础资料!$AC$5:$AC$34,0)),"")="收",N(G1871)&lt;&gt;0),"✗ 这类是收款，金额填到收入列",IF(AND(IFERROR(INDEX(基础资料!$AD$5:$AD$34,MATCH(O1871,基础资料!$AC$5:$AC$34,0)),"")="支",N(F1871)&lt;&gt;0),"✗ 这类是付款，金额填到支出列",IF(N(H1871)&lt;0,"⚠ 账户余额成负数了，核对一下","√"))))))))))))))))))</f>
      </c>
      <c r="O1871" s="78">
        <f>IF(D1871&lt;&gt;"",D1871,IF(AND(F1871="",G1871=""),"",IF(J1871&lt;&gt;"",IF(N(F1871)&gt;0,"客户回款","客户退款"),IF(K1871&lt;&gt;"",IF(N(G1871)&gt;0,"供应商付款","供应商退款"),IF(L1871&lt;&gt;"","费用支出","")))))</f>
      </c>
      <c r="P1871" s="78">
        <f>IF(O1871="","",IFERROR(INDEX(基础资料!$AE$5:$AE$34,MATCH(O1871,基础资料!$AC$5:$AC$34,0)),"未知"))</f>
      </c>
      <c r="Q1871" s="78">
        <f>IF(P1871="应收",COUNTIF(P$7:P1871,"应收"),"")</f>
      </c>
      <c r="R1871" s="78">
        <f>IF(P1871="应付",COUNTIF(P$7:P1871,"应付"),"")</f>
      </c>
      <c r="S1871" s="78">
        <f>N(F1871)-N(G1871)</f>
        <v>0</v>
      </c>
    </row>
    <row r="1872">
      <c r="A1872" s="109">
        <f>IF(AND(F1872="",G1872=""),"",ROW()-6)</f>
      </c>
      <c r="B1872" s="140" t="n"/>
      <c r="C1872" s="141" t="n"/>
      <c r="D1872" s="141" t="n"/>
      <c r="E1872" s="142" t="n"/>
      <c r="F1872" s="143" t="n"/>
      <c r="G1872" s="144" t="n"/>
      <c r="H1872" s="145">
        <f>IF(OR(C1872="",AND(F1872="",G1872="")),"",SUMIF(基础资料!$W$5:$W$24,C1872,基础资料!$X$5:$X$24)+SUMIF(C$7:C1872,C1872,F$7:F1872)-SUMIF(C$7:C1872,C1872,G$7:G1872))</f>
      </c>
      <c r="I1872" s="145">
        <f>IF(AND(F1872="",G1872=""),"",SUM(基础资料!$X$5:$X$24)+SUM(F$7:F1872)-SUM(G$7:G1872))</f>
      </c>
      <c r="J1872" s="141" t="n"/>
      <c r="K1872" s="141" t="n"/>
      <c r="L1872" s="141" t="n"/>
      <c r="M1872" s="142" t="n"/>
      <c r="N1872" s="146">
        <f>IF(AND(AND(F1872="",G1872=""),B1872="",C1872="",D1872="",J1872="",K1872="",L1872=""),"",IF(AND(F1872="",G1872=""),"✗ 没填金额",IF(AND(N(F1872)&lt;&gt;0,N(G1872)&lt;&gt;0),"✗ 收入、支出只能填一边",IF(NOT(ISNUMBER(B1872)),"✗ 日期不是真日期（要像 2026/9/25 这样填）",IF(OR(B1872&lt;年初日,B1872&gt;年末日),"✗ 日期不在本会计年度",IF(C1872="","✗ 没选账户",IF(COUNTIF(基础资料!$W$5:$W$24,C1872)=0,"✗ 账户不在基础资料里",IF(O1872="","✗ 没选收支项目",IF(P1872="未知","✗ 收支项目不在基础资料里",IF(AND(P1872="应收",J1872=""),"✗ 这笔要选客户",IF(AND(P1872="应收",COUNTIF(总览汇总!$B$5:$B$304,J1872)=0),"✗ 客户不在总览汇总名单里",IF(AND(P1872="应付",K1872=""),"✗ 这笔要选供应商",IF(AND(P1872="应付",COUNTIF(基础资料!$Q$5:$Q$54,K1872)=0),"✗ 供应商不在基础资料里",IF(AND(P1872="费用",L1872=""),"✗ 费用支出要选费用项目",IF(AND(L1872&lt;&gt;"",COUNTIF(基础资料!$AI$5:$AI$54,L1872)=0),"✗ 费用项目不在基础资料里",IF(AND(IFERROR(INDEX(基础资料!$AD$5:$AD$34,MATCH(O1872,基础资料!$AC$5:$AC$34,0)),"")="收",N(G1872)&lt;&gt;0),"✗ 这类是收款，金额填到收入列",IF(AND(IFERROR(INDEX(基础资料!$AD$5:$AD$34,MATCH(O1872,基础资料!$AC$5:$AC$34,0)),"")="支",N(F1872)&lt;&gt;0),"✗ 这类是付款，金额填到支出列",IF(N(H1872)&lt;0,"⚠ 账户余额成负数了，核对一下","√"))))))))))))))))))</f>
      </c>
      <c r="O1872" s="78">
        <f>IF(D1872&lt;&gt;"",D1872,IF(AND(F1872="",G1872=""),"",IF(J1872&lt;&gt;"",IF(N(F1872)&gt;0,"客户回款","客户退款"),IF(K1872&lt;&gt;"",IF(N(G1872)&gt;0,"供应商付款","供应商退款"),IF(L1872&lt;&gt;"","费用支出","")))))</f>
      </c>
      <c r="P1872" s="78">
        <f>IF(O1872="","",IFERROR(INDEX(基础资料!$AE$5:$AE$34,MATCH(O1872,基础资料!$AC$5:$AC$34,0)),"未知"))</f>
      </c>
      <c r="Q1872" s="78">
        <f>IF(P1872="应收",COUNTIF(P$7:P1872,"应收"),"")</f>
      </c>
      <c r="R1872" s="78">
        <f>IF(P1872="应付",COUNTIF(P$7:P1872,"应付"),"")</f>
      </c>
      <c r="S1872" s="78">
        <f>N(F1872)-N(G1872)</f>
        <v>0</v>
      </c>
    </row>
    <row r="1873">
      <c r="A1873" s="109">
        <f>IF(AND(F1873="",G1873=""),"",ROW()-6)</f>
      </c>
      <c r="B1873" s="140" t="n"/>
      <c r="C1873" s="141" t="n"/>
      <c r="D1873" s="141" t="n"/>
      <c r="E1873" s="142" t="n"/>
      <c r="F1873" s="143" t="n"/>
      <c r="G1873" s="144" t="n"/>
      <c r="H1873" s="145">
        <f>IF(OR(C1873="",AND(F1873="",G1873="")),"",SUMIF(基础资料!$W$5:$W$24,C1873,基础资料!$X$5:$X$24)+SUMIF(C$7:C1873,C1873,F$7:F1873)-SUMIF(C$7:C1873,C1873,G$7:G1873))</f>
      </c>
      <c r="I1873" s="145">
        <f>IF(AND(F1873="",G1873=""),"",SUM(基础资料!$X$5:$X$24)+SUM(F$7:F1873)-SUM(G$7:G1873))</f>
      </c>
      <c r="J1873" s="141" t="n"/>
      <c r="K1873" s="141" t="n"/>
      <c r="L1873" s="141" t="n"/>
      <c r="M1873" s="142" t="n"/>
      <c r="N1873" s="146">
        <f>IF(AND(AND(F1873="",G1873=""),B1873="",C1873="",D1873="",J1873="",K1873="",L1873=""),"",IF(AND(F1873="",G1873=""),"✗ 没填金额",IF(AND(N(F1873)&lt;&gt;0,N(G1873)&lt;&gt;0),"✗ 收入、支出只能填一边",IF(NOT(ISNUMBER(B1873)),"✗ 日期不是真日期（要像 2026/9/25 这样填）",IF(OR(B1873&lt;年初日,B1873&gt;年末日),"✗ 日期不在本会计年度",IF(C1873="","✗ 没选账户",IF(COUNTIF(基础资料!$W$5:$W$24,C1873)=0,"✗ 账户不在基础资料里",IF(O1873="","✗ 没选收支项目",IF(P1873="未知","✗ 收支项目不在基础资料里",IF(AND(P1873="应收",J1873=""),"✗ 这笔要选客户",IF(AND(P1873="应收",COUNTIF(总览汇总!$B$5:$B$304,J1873)=0),"✗ 客户不在总览汇总名单里",IF(AND(P1873="应付",K1873=""),"✗ 这笔要选供应商",IF(AND(P1873="应付",COUNTIF(基础资料!$Q$5:$Q$54,K1873)=0),"✗ 供应商不在基础资料里",IF(AND(P1873="费用",L1873=""),"✗ 费用支出要选费用项目",IF(AND(L1873&lt;&gt;"",COUNTIF(基础资料!$AI$5:$AI$54,L1873)=0),"✗ 费用项目不在基础资料里",IF(AND(IFERROR(INDEX(基础资料!$AD$5:$AD$34,MATCH(O1873,基础资料!$AC$5:$AC$34,0)),"")="收",N(G1873)&lt;&gt;0),"✗ 这类是收款，金额填到收入列",IF(AND(IFERROR(INDEX(基础资料!$AD$5:$AD$34,MATCH(O1873,基础资料!$AC$5:$AC$34,0)),"")="支",N(F1873)&lt;&gt;0),"✗ 这类是付款，金额填到支出列",IF(N(H1873)&lt;0,"⚠ 账户余额成负数了，核对一下","√"))))))))))))))))))</f>
      </c>
      <c r="O1873" s="78">
        <f>IF(D1873&lt;&gt;"",D1873,IF(AND(F1873="",G1873=""),"",IF(J1873&lt;&gt;"",IF(N(F1873)&gt;0,"客户回款","客户退款"),IF(K1873&lt;&gt;"",IF(N(G1873)&gt;0,"供应商付款","供应商退款"),IF(L1873&lt;&gt;"","费用支出","")))))</f>
      </c>
      <c r="P1873" s="78">
        <f>IF(O1873="","",IFERROR(INDEX(基础资料!$AE$5:$AE$34,MATCH(O1873,基础资料!$AC$5:$AC$34,0)),"未知"))</f>
      </c>
      <c r="Q1873" s="78">
        <f>IF(P1873="应收",COUNTIF(P$7:P1873,"应收"),"")</f>
      </c>
      <c r="R1873" s="78">
        <f>IF(P1873="应付",COUNTIF(P$7:P1873,"应付"),"")</f>
      </c>
      <c r="S1873" s="78">
        <f>N(F1873)-N(G1873)</f>
        <v>0</v>
      </c>
    </row>
    <row r="1874">
      <c r="A1874" s="109">
        <f>IF(AND(F1874="",G1874=""),"",ROW()-6)</f>
      </c>
      <c r="B1874" s="140" t="n"/>
      <c r="C1874" s="141" t="n"/>
      <c r="D1874" s="141" t="n"/>
      <c r="E1874" s="142" t="n"/>
      <c r="F1874" s="143" t="n"/>
      <c r="G1874" s="144" t="n"/>
      <c r="H1874" s="145">
        <f>IF(OR(C1874="",AND(F1874="",G1874="")),"",SUMIF(基础资料!$W$5:$W$24,C1874,基础资料!$X$5:$X$24)+SUMIF(C$7:C1874,C1874,F$7:F1874)-SUMIF(C$7:C1874,C1874,G$7:G1874))</f>
      </c>
      <c r="I1874" s="145">
        <f>IF(AND(F1874="",G1874=""),"",SUM(基础资料!$X$5:$X$24)+SUM(F$7:F1874)-SUM(G$7:G1874))</f>
      </c>
      <c r="J1874" s="141" t="n"/>
      <c r="K1874" s="141" t="n"/>
      <c r="L1874" s="141" t="n"/>
      <c r="M1874" s="142" t="n"/>
      <c r="N1874" s="146">
        <f>IF(AND(AND(F1874="",G1874=""),B1874="",C1874="",D1874="",J1874="",K1874="",L1874=""),"",IF(AND(F1874="",G1874=""),"✗ 没填金额",IF(AND(N(F1874)&lt;&gt;0,N(G1874)&lt;&gt;0),"✗ 收入、支出只能填一边",IF(NOT(ISNUMBER(B1874)),"✗ 日期不是真日期（要像 2026/9/25 这样填）",IF(OR(B1874&lt;年初日,B1874&gt;年末日),"✗ 日期不在本会计年度",IF(C1874="","✗ 没选账户",IF(COUNTIF(基础资料!$W$5:$W$24,C1874)=0,"✗ 账户不在基础资料里",IF(O1874="","✗ 没选收支项目",IF(P1874="未知","✗ 收支项目不在基础资料里",IF(AND(P1874="应收",J1874=""),"✗ 这笔要选客户",IF(AND(P1874="应收",COUNTIF(总览汇总!$B$5:$B$304,J1874)=0),"✗ 客户不在总览汇总名单里",IF(AND(P1874="应付",K1874=""),"✗ 这笔要选供应商",IF(AND(P1874="应付",COUNTIF(基础资料!$Q$5:$Q$54,K1874)=0),"✗ 供应商不在基础资料里",IF(AND(P1874="费用",L1874=""),"✗ 费用支出要选费用项目",IF(AND(L1874&lt;&gt;"",COUNTIF(基础资料!$AI$5:$AI$54,L1874)=0),"✗ 费用项目不在基础资料里",IF(AND(IFERROR(INDEX(基础资料!$AD$5:$AD$34,MATCH(O1874,基础资料!$AC$5:$AC$34,0)),"")="收",N(G1874)&lt;&gt;0),"✗ 这类是收款，金额填到收入列",IF(AND(IFERROR(INDEX(基础资料!$AD$5:$AD$34,MATCH(O1874,基础资料!$AC$5:$AC$34,0)),"")="支",N(F1874)&lt;&gt;0),"✗ 这类是付款，金额填到支出列",IF(N(H1874)&lt;0,"⚠ 账户余额成负数了，核对一下","√"))))))))))))))))))</f>
      </c>
      <c r="O1874" s="78">
        <f>IF(D1874&lt;&gt;"",D1874,IF(AND(F1874="",G1874=""),"",IF(J1874&lt;&gt;"",IF(N(F1874)&gt;0,"客户回款","客户退款"),IF(K1874&lt;&gt;"",IF(N(G1874)&gt;0,"供应商付款","供应商退款"),IF(L1874&lt;&gt;"","费用支出","")))))</f>
      </c>
      <c r="P1874" s="78">
        <f>IF(O1874="","",IFERROR(INDEX(基础资料!$AE$5:$AE$34,MATCH(O1874,基础资料!$AC$5:$AC$34,0)),"未知"))</f>
      </c>
      <c r="Q1874" s="78">
        <f>IF(P1874="应收",COUNTIF(P$7:P1874,"应收"),"")</f>
      </c>
      <c r="R1874" s="78">
        <f>IF(P1874="应付",COUNTIF(P$7:P1874,"应付"),"")</f>
      </c>
      <c r="S1874" s="78">
        <f>N(F1874)-N(G1874)</f>
        <v>0</v>
      </c>
    </row>
    <row r="1875">
      <c r="A1875" s="109">
        <f>IF(AND(F1875="",G1875=""),"",ROW()-6)</f>
      </c>
      <c r="B1875" s="140" t="n"/>
      <c r="C1875" s="141" t="n"/>
      <c r="D1875" s="141" t="n"/>
      <c r="E1875" s="142" t="n"/>
      <c r="F1875" s="143" t="n"/>
      <c r="G1875" s="144" t="n"/>
      <c r="H1875" s="145">
        <f>IF(OR(C1875="",AND(F1875="",G1875="")),"",SUMIF(基础资料!$W$5:$W$24,C1875,基础资料!$X$5:$X$24)+SUMIF(C$7:C1875,C1875,F$7:F1875)-SUMIF(C$7:C1875,C1875,G$7:G1875))</f>
      </c>
      <c r="I1875" s="145">
        <f>IF(AND(F1875="",G1875=""),"",SUM(基础资料!$X$5:$X$24)+SUM(F$7:F1875)-SUM(G$7:G1875))</f>
      </c>
      <c r="J1875" s="141" t="n"/>
      <c r="K1875" s="141" t="n"/>
      <c r="L1875" s="141" t="n"/>
      <c r="M1875" s="142" t="n"/>
      <c r="N1875" s="146">
        <f>IF(AND(AND(F1875="",G1875=""),B1875="",C1875="",D1875="",J1875="",K1875="",L1875=""),"",IF(AND(F1875="",G1875=""),"✗ 没填金额",IF(AND(N(F1875)&lt;&gt;0,N(G1875)&lt;&gt;0),"✗ 收入、支出只能填一边",IF(NOT(ISNUMBER(B1875)),"✗ 日期不是真日期（要像 2026/9/25 这样填）",IF(OR(B1875&lt;年初日,B1875&gt;年末日),"✗ 日期不在本会计年度",IF(C1875="","✗ 没选账户",IF(COUNTIF(基础资料!$W$5:$W$24,C1875)=0,"✗ 账户不在基础资料里",IF(O1875="","✗ 没选收支项目",IF(P1875="未知","✗ 收支项目不在基础资料里",IF(AND(P1875="应收",J1875=""),"✗ 这笔要选客户",IF(AND(P1875="应收",COUNTIF(总览汇总!$B$5:$B$304,J1875)=0),"✗ 客户不在总览汇总名单里",IF(AND(P1875="应付",K1875=""),"✗ 这笔要选供应商",IF(AND(P1875="应付",COUNTIF(基础资料!$Q$5:$Q$54,K1875)=0),"✗ 供应商不在基础资料里",IF(AND(P1875="费用",L1875=""),"✗ 费用支出要选费用项目",IF(AND(L1875&lt;&gt;"",COUNTIF(基础资料!$AI$5:$AI$54,L1875)=0),"✗ 费用项目不在基础资料里",IF(AND(IFERROR(INDEX(基础资料!$AD$5:$AD$34,MATCH(O1875,基础资料!$AC$5:$AC$34,0)),"")="收",N(G1875)&lt;&gt;0),"✗ 这类是收款，金额填到收入列",IF(AND(IFERROR(INDEX(基础资料!$AD$5:$AD$34,MATCH(O1875,基础资料!$AC$5:$AC$34,0)),"")="支",N(F1875)&lt;&gt;0),"✗ 这类是付款，金额填到支出列",IF(N(H1875)&lt;0,"⚠ 账户余额成负数了，核对一下","√"))))))))))))))))))</f>
      </c>
      <c r="O1875" s="78">
        <f>IF(D1875&lt;&gt;"",D1875,IF(AND(F1875="",G1875=""),"",IF(J1875&lt;&gt;"",IF(N(F1875)&gt;0,"客户回款","客户退款"),IF(K1875&lt;&gt;"",IF(N(G1875)&gt;0,"供应商付款","供应商退款"),IF(L1875&lt;&gt;"","费用支出","")))))</f>
      </c>
      <c r="P1875" s="78">
        <f>IF(O1875="","",IFERROR(INDEX(基础资料!$AE$5:$AE$34,MATCH(O1875,基础资料!$AC$5:$AC$34,0)),"未知"))</f>
      </c>
      <c r="Q1875" s="78">
        <f>IF(P1875="应收",COUNTIF(P$7:P1875,"应收"),"")</f>
      </c>
      <c r="R1875" s="78">
        <f>IF(P1875="应付",COUNTIF(P$7:P1875,"应付"),"")</f>
      </c>
      <c r="S1875" s="78">
        <f>N(F1875)-N(G1875)</f>
        <v>0</v>
      </c>
    </row>
    <row r="1876">
      <c r="A1876" s="109">
        <f>IF(AND(F1876="",G1876=""),"",ROW()-6)</f>
      </c>
      <c r="B1876" s="140" t="n"/>
      <c r="C1876" s="141" t="n"/>
      <c r="D1876" s="141" t="n"/>
      <c r="E1876" s="142" t="n"/>
      <c r="F1876" s="143" t="n"/>
      <c r="G1876" s="144" t="n"/>
      <c r="H1876" s="145">
        <f>IF(OR(C1876="",AND(F1876="",G1876="")),"",SUMIF(基础资料!$W$5:$W$24,C1876,基础资料!$X$5:$X$24)+SUMIF(C$7:C1876,C1876,F$7:F1876)-SUMIF(C$7:C1876,C1876,G$7:G1876))</f>
      </c>
      <c r="I1876" s="145">
        <f>IF(AND(F1876="",G1876=""),"",SUM(基础资料!$X$5:$X$24)+SUM(F$7:F1876)-SUM(G$7:G1876))</f>
      </c>
      <c r="J1876" s="141" t="n"/>
      <c r="K1876" s="141" t="n"/>
      <c r="L1876" s="141" t="n"/>
      <c r="M1876" s="142" t="n"/>
      <c r="N1876" s="146">
        <f>IF(AND(AND(F1876="",G1876=""),B1876="",C1876="",D1876="",J1876="",K1876="",L1876=""),"",IF(AND(F1876="",G1876=""),"✗ 没填金额",IF(AND(N(F1876)&lt;&gt;0,N(G1876)&lt;&gt;0),"✗ 收入、支出只能填一边",IF(NOT(ISNUMBER(B1876)),"✗ 日期不是真日期（要像 2026/9/25 这样填）",IF(OR(B1876&lt;年初日,B1876&gt;年末日),"✗ 日期不在本会计年度",IF(C1876="","✗ 没选账户",IF(COUNTIF(基础资料!$W$5:$W$24,C1876)=0,"✗ 账户不在基础资料里",IF(O1876="","✗ 没选收支项目",IF(P1876="未知","✗ 收支项目不在基础资料里",IF(AND(P1876="应收",J1876=""),"✗ 这笔要选客户",IF(AND(P1876="应收",COUNTIF(总览汇总!$B$5:$B$304,J1876)=0),"✗ 客户不在总览汇总名单里",IF(AND(P1876="应付",K1876=""),"✗ 这笔要选供应商",IF(AND(P1876="应付",COUNTIF(基础资料!$Q$5:$Q$54,K1876)=0),"✗ 供应商不在基础资料里",IF(AND(P1876="费用",L1876=""),"✗ 费用支出要选费用项目",IF(AND(L1876&lt;&gt;"",COUNTIF(基础资料!$AI$5:$AI$54,L1876)=0),"✗ 费用项目不在基础资料里",IF(AND(IFERROR(INDEX(基础资料!$AD$5:$AD$34,MATCH(O1876,基础资料!$AC$5:$AC$34,0)),"")="收",N(G1876)&lt;&gt;0),"✗ 这类是收款，金额填到收入列",IF(AND(IFERROR(INDEX(基础资料!$AD$5:$AD$34,MATCH(O1876,基础资料!$AC$5:$AC$34,0)),"")="支",N(F1876)&lt;&gt;0),"✗ 这类是付款，金额填到支出列",IF(N(H1876)&lt;0,"⚠ 账户余额成负数了，核对一下","√"))))))))))))))))))</f>
      </c>
      <c r="O1876" s="78">
        <f>IF(D1876&lt;&gt;"",D1876,IF(AND(F1876="",G1876=""),"",IF(J1876&lt;&gt;"",IF(N(F1876)&gt;0,"客户回款","客户退款"),IF(K1876&lt;&gt;"",IF(N(G1876)&gt;0,"供应商付款","供应商退款"),IF(L1876&lt;&gt;"","费用支出","")))))</f>
      </c>
      <c r="P1876" s="78">
        <f>IF(O1876="","",IFERROR(INDEX(基础资料!$AE$5:$AE$34,MATCH(O1876,基础资料!$AC$5:$AC$34,0)),"未知"))</f>
      </c>
      <c r="Q1876" s="78">
        <f>IF(P1876="应收",COUNTIF(P$7:P1876,"应收"),"")</f>
      </c>
      <c r="R1876" s="78">
        <f>IF(P1876="应付",COUNTIF(P$7:P1876,"应付"),"")</f>
      </c>
      <c r="S1876" s="78">
        <f>N(F1876)-N(G1876)</f>
        <v>0</v>
      </c>
    </row>
    <row r="1877">
      <c r="A1877" s="109">
        <f>IF(AND(F1877="",G1877=""),"",ROW()-6)</f>
      </c>
      <c r="B1877" s="140" t="n"/>
      <c r="C1877" s="141" t="n"/>
      <c r="D1877" s="141" t="n"/>
      <c r="E1877" s="142" t="n"/>
      <c r="F1877" s="143" t="n"/>
      <c r="G1877" s="144" t="n"/>
      <c r="H1877" s="145">
        <f>IF(OR(C1877="",AND(F1877="",G1877="")),"",SUMIF(基础资料!$W$5:$W$24,C1877,基础资料!$X$5:$X$24)+SUMIF(C$7:C1877,C1877,F$7:F1877)-SUMIF(C$7:C1877,C1877,G$7:G1877))</f>
      </c>
      <c r="I1877" s="145">
        <f>IF(AND(F1877="",G1877=""),"",SUM(基础资料!$X$5:$X$24)+SUM(F$7:F1877)-SUM(G$7:G1877))</f>
      </c>
      <c r="J1877" s="141" t="n"/>
      <c r="K1877" s="141" t="n"/>
      <c r="L1877" s="141" t="n"/>
      <c r="M1877" s="142" t="n"/>
      <c r="N1877" s="146">
        <f>IF(AND(AND(F1877="",G1877=""),B1877="",C1877="",D1877="",J1877="",K1877="",L1877=""),"",IF(AND(F1877="",G1877=""),"✗ 没填金额",IF(AND(N(F1877)&lt;&gt;0,N(G1877)&lt;&gt;0),"✗ 收入、支出只能填一边",IF(NOT(ISNUMBER(B1877)),"✗ 日期不是真日期（要像 2026/9/25 这样填）",IF(OR(B1877&lt;年初日,B1877&gt;年末日),"✗ 日期不在本会计年度",IF(C1877="","✗ 没选账户",IF(COUNTIF(基础资料!$W$5:$W$24,C1877)=0,"✗ 账户不在基础资料里",IF(O1877="","✗ 没选收支项目",IF(P1877="未知","✗ 收支项目不在基础资料里",IF(AND(P1877="应收",J1877=""),"✗ 这笔要选客户",IF(AND(P1877="应收",COUNTIF(总览汇总!$B$5:$B$304,J1877)=0),"✗ 客户不在总览汇总名单里",IF(AND(P1877="应付",K1877=""),"✗ 这笔要选供应商",IF(AND(P1877="应付",COUNTIF(基础资料!$Q$5:$Q$54,K1877)=0),"✗ 供应商不在基础资料里",IF(AND(P1877="费用",L1877=""),"✗ 费用支出要选费用项目",IF(AND(L1877&lt;&gt;"",COUNTIF(基础资料!$AI$5:$AI$54,L1877)=0),"✗ 费用项目不在基础资料里",IF(AND(IFERROR(INDEX(基础资料!$AD$5:$AD$34,MATCH(O1877,基础资料!$AC$5:$AC$34,0)),"")="收",N(G1877)&lt;&gt;0),"✗ 这类是收款，金额填到收入列",IF(AND(IFERROR(INDEX(基础资料!$AD$5:$AD$34,MATCH(O1877,基础资料!$AC$5:$AC$34,0)),"")="支",N(F1877)&lt;&gt;0),"✗ 这类是付款，金额填到支出列",IF(N(H1877)&lt;0,"⚠ 账户余额成负数了，核对一下","√"))))))))))))))))))</f>
      </c>
      <c r="O1877" s="78">
        <f>IF(D1877&lt;&gt;"",D1877,IF(AND(F1877="",G1877=""),"",IF(J1877&lt;&gt;"",IF(N(F1877)&gt;0,"客户回款","客户退款"),IF(K1877&lt;&gt;"",IF(N(G1877)&gt;0,"供应商付款","供应商退款"),IF(L1877&lt;&gt;"","费用支出","")))))</f>
      </c>
      <c r="P1877" s="78">
        <f>IF(O1877="","",IFERROR(INDEX(基础资料!$AE$5:$AE$34,MATCH(O1877,基础资料!$AC$5:$AC$34,0)),"未知"))</f>
      </c>
      <c r="Q1877" s="78">
        <f>IF(P1877="应收",COUNTIF(P$7:P1877,"应收"),"")</f>
      </c>
      <c r="R1877" s="78">
        <f>IF(P1877="应付",COUNTIF(P$7:P1877,"应付"),"")</f>
      </c>
      <c r="S1877" s="78">
        <f>N(F1877)-N(G1877)</f>
        <v>0</v>
      </c>
    </row>
    <row r="1878">
      <c r="A1878" s="109">
        <f>IF(AND(F1878="",G1878=""),"",ROW()-6)</f>
      </c>
      <c r="B1878" s="140" t="n"/>
      <c r="C1878" s="141" t="n"/>
      <c r="D1878" s="141" t="n"/>
      <c r="E1878" s="142" t="n"/>
      <c r="F1878" s="143" t="n"/>
      <c r="G1878" s="144" t="n"/>
      <c r="H1878" s="145">
        <f>IF(OR(C1878="",AND(F1878="",G1878="")),"",SUMIF(基础资料!$W$5:$W$24,C1878,基础资料!$X$5:$X$24)+SUMIF(C$7:C1878,C1878,F$7:F1878)-SUMIF(C$7:C1878,C1878,G$7:G1878))</f>
      </c>
      <c r="I1878" s="145">
        <f>IF(AND(F1878="",G1878=""),"",SUM(基础资料!$X$5:$X$24)+SUM(F$7:F1878)-SUM(G$7:G1878))</f>
      </c>
      <c r="J1878" s="141" t="n"/>
      <c r="K1878" s="141" t="n"/>
      <c r="L1878" s="141" t="n"/>
      <c r="M1878" s="142" t="n"/>
      <c r="N1878" s="146">
        <f>IF(AND(AND(F1878="",G1878=""),B1878="",C1878="",D1878="",J1878="",K1878="",L1878=""),"",IF(AND(F1878="",G1878=""),"✗ 没填金额",IF(AND(N(F1878)&lt;&gt;0,N(G1878)&lt;&gt;0),"✗ 收入、支出只能填一边",IF(NOT(ISNUMBER(B1878)),"✗ 日期不是真日期（要像 2026/9/25 这样填）",IF(OR(B1878&lt;年初日,B1878&gt;年末日),"✗ 日期不在本会计年度",IF(C1878="","✗ 没选账户",IF(COUNTIF(基础资料!$W$5:$W$24,C1878)=0,"✗ 账户不在基础资料里",IF(O1878="","✗ 没选收支项目",IF(P1878="未知","✗ 收支项目不在基础资料里",IF(AND(P1878="应收",J1878=""),"✗ 这笔要选客户",IF(AND(P1878="应收",COUNTIF(总览汇总!$B$5:$B$304,J1878)=0),"✗ 客户不在总览汇总名单里",IF(AND(P1878="应付",K1878=""),"✗ 这笔要选供应商",IF(AND(P1878="应付",COUNTIF(基础资料!$Q$5:$Q$54,K1878)=0),"✗ 供应商不在基础资料里",IF(AND(P1878="费用",L1878=""),"✗ 费用支出要选费用项目",IF(AND(L1878&lt;&gt;"",COUNTIF(基础资料!$AI$5:$AI$54,L1878)=0),"✗ 费用项目不在基础资料里",IF(AND(IFERROR(INDEX(基础资料!$AD$5:$AD$34,MATCH(O1878,基础资料!$AC$5:$AC$34,0)),"")="收",N(G1878)&lt;&gt;0),"✗ 这类是收款，金额填到收入列",IF(AND(IFERROR(INDEX(基础资料!$AD$5:$AD$34,MATCH(O1878,基础资料!$AC$5:$AC$34,0)),"")="支",N(F1878)&lt;&gt;0),"✗ 这类是付款，金额填到支出列",IF(N(H1878)&lt;0,"⚠ 账户余额成负数了，核对一下","√"))))))))))))))))))</f>
      </c>
      <c r="O1878" s="78">
        <f>IF(D1878&lt;&gt;"",D1878,IF(AND(F1878="",G1878=""),"",IF(J1878&lt;&gt;"",IF(N(F1878)&gt;0,"客户回款","客户退款"),IF(K1878&lt;&gt;"",IF(N(G1878)&gt;0,"供应商付款","供应商退款"),IF(L1878&lt;&gt;"","费用支出","")))))</f>
      </c>
      <c r="P1878" s="78">
        <f>IF(O1878="","",IFERROR(INDEX(基础资料!$AE$5:$AE$34,MATCH(O1878,基础资料!$AC$5:$AC$34,0)),"未知"))</f>
      </c>
      <c r="Q1878" s="78">
        <f>IF(P1878="应收",COUNTIF(P$7:P1878,"应收"),"")</f>
      </c>
      <c r="R1878" s="78">
        <f>IF(P1878="应付",COUNTIF(P$7:P1878,"应付"),"")</f>
      </c>
      <c r="S1878" s="78">
        <f>N(F1878)-N(G1878)</f>
        <v>0</v>
      </c>
    </row>
    <row r="1879">
      <c r="A1879" s="109">
        <f>IF(AND(F1879="",G1879=""),"",ROW()-6)</f>
      </c>
      <c r="B1879" s="140" t="n"/>
      <c r="C1879" s="141" t="n"/>
      <c r="D1879" s="141" t="n"/>
      <c r="E1879" s="142" t="n"/>
      <c r="F1879" s="143" t="n"/>
      <c r="G1879" s="144" t="n"/>
      <c r="H1879" s="145">
        <f>IF(OR(C1879="",AND(F1879="",G1879="")),"",SUMIF(基础资料!$W$5:$W$24,C1879,基础资料!$X$5:$X$24)+SUMIF(C$7:C1879,C1879,F$7:F1879)-SUMIF(C$7:C1879,C1879,G$7:G1879))</f>
      </c>
      <c r="I1879" s="145">
        <f>IF(AND(F1879="",G1879=""),"",SUM(基础资料!$X$5:$X$24)+SUM(F$7:F1879)-SUM(G$7:G1879))</f>
      </c>
      <c r="J1879" s="141" t="n"/>
      <c r="K1879" s="141" t="n"/>
      <c r="L1879" s="141" t="n"/>
      <c r="M1879" s="142" t="n"/>
      <c r="N1879" s="146">
        <f>IF(AND(AND(F1879="",G1879=""),B1879="",C1879="",D1879="",J1879="",K1879="",L1879=""),"",IF(AND(F1879="",G1879=""),"✗ 没填金额",IF(AND(N(F1879)&lt;&gt;0,N(G1879)&lt;&gt;0),"✗ 收入、支出只能填一边",IF(NOT(ISNUMBER(B1879)),"✗ 日期不是真日期（要像 2026/9/25 这样填）",IF(OR(B1879&lt;年初日,B1879&gt;年末日),"✗ 日期不在本会计年度",IF(C1879="","✗ 没选账户",IF(COUNTIF(基础资料!$W$5:$W$24,C1879)=0,"✗ 账户不在基础资料里",IF(O1879="","✗ 没选收支项目",IF(P1879="未知","✗ 收支项目不在基础资料里",IF(AND(P1879="应收",J1879=""),"✗ 这笔要选客户",IF(AND(P1879="应收",COUNTIF(总览汇总!$B$5:$B$304,J1879)=0),"✗ 客户不在总览汇总名单里",IF(AND(P1879="应付",K1879=""),"✗ 这笔要选供应商",IF(AND(P1879="应付",COUNTIF(基础资料!$Q$5:$Q$54,K1879)=0),"✗ 供应商不在基础资料里",IF(AND(P1879="费用",L1879=""),"✗ 费用支出要选费用项目",IF(AND(L1879&lt;&gt;"",COUNTIF(基础资料!$AI$5:$AI$54,L1879)=0),"✗ 费用项目不在基础资料里",IF(AND(IFERROR(INDEX(基础资料!$AD$5:$AD$34,MATCH(O1879,基础资料!$AC$5:$AC$34,0)),"")="收",N(G1879)&lt;&gt;0),"✗ 这类是收款，金额填到收入列",IF(AND(IFERROR(INDEX(基础资料!$AD$5:$AD$34,MATCH(O1879,基础资料!$AC$5:$AC$34,0)),"")="支",N(F1879)&lt;&gt;0),"✗ 这类是付款，金额填到支出列",IF(N(H1879)&lt;0,"⚠ 账户余额成负数了，核对一下","√"))))))))))))))))))</f>
      </c>
      <c r="O1879" s="78">
        <f>IF(D1879&lt;&gt;"",D1879,IF(AND(F1879="",G1879=""),"",IF(J1879&lt;&gt;"",IF(N(F1879)&gt;0,"客户回款","客户退款"),IF(K1879&lt;&gt;"",IF(N(G1879)&gt;0,"供应商付款","供应商退款"),IF(L1879&lt;&gt;"","费用支出","")))))</f>
      </c>
      <c r="P1879" s="78">
        <f>IF(O1879="","",IFERROR(INDEX(基础资料!$AE$5:$AE$34,MATCH(O1879,基础资料!$AC$5:$AC$34,0)),"未知"))</f>
      </c>
      <c r="Q1879" s="78">
        <f>IF(P1879="应收",COUNTIF(P$7:P1879,"应收"),"")</f>
      </c>
      <c r="R1879" s="78">
        <f>IF(P1879="应付",COUNTIF(P$7:P1879,"应付"),"")</f>
      </c>
      <c r="S1879" s="78">
        <f>N(F1879)-N(G1879)</f>
        <v>0</v>
      </c>
    </row>
    <row r="1880">
      <c r="A1880" s="109">
        <f>IF(AND(F1880="",G1880=""),"",ROW()-6)</f>
      </c>
      <c r="B1880" s="140" t="n"/>
      <c r="C1880" s="141" t="n"/>
      <c r="D1880" s="141" t="n"/>
      <c r="E1880" s="142" t="n"/>
      <c r="F1880" s="143" t="n"/>
      <c r="G1880" s="144" t="n"/>
      <c r="H1880" s="145">
        <f>IF(OR(C1880="",AND(F1880="",G1880="")),"",SUMIF(基础资料!$W$5:$W$24,C1880,基础资料!$X$5:$X$24)+SUMIF(C$7:C1880,C1880,F$7:F1880)-SUMIF(C$7:C1880,C1880,G$7:G1880))</f>
      </c>
      <c r="I1880" s="145">
        <f>IF(AND(F1880="",G1880=""),"",SUM(基础资料!$X$5:$X$24)+SUM(F$7:F1880)-SUM(G$7:G1880))</f>
      </c>
      <c r="J1880" s="141" t="n"/>
      <c r="K1880" s="141" t="n"/>
      <c r="L1880" s="141" t="n"/>
      <c r="M1880" s="142" t="n"/>
      <c r="N1880" s="146">
        <f>IF(AND(AND(F1880="",G1880=""),B1880="",C1880="",D1880="",J1880="",K1880="",L1880=""),"",IF(AND(F1880="",G1880=""),"✗ 没填金额",IF(AND(N(F1880)&lt;&gt;0,N(G1880)&lt;&gt;0),"✗ 收入、支出只能填一边",IF(NOT(ISNUMBER(B1880)),"✗ 日期不是真日期（要像 2026/9/25 这样填）",IF(OR(B1880&lt;年初日,B1880&gt;年末日),"✗ 日期不在本会计年度",IF(C1880="","✗ 没选账户",IF(COUNTIF(基础资料!$W$5:$W$24,C1880)=0,"✗ 账户不在基础资料里",IF(O1880="","✗ 没选收支项目",IF(P1880="未知","✗ 收支项目不在基础资料里",IF(AND(P1880="应收",J1880=""),"✗ 这笔要选客户",IF(AND(P1880="应收",COUNTIF(总览汇总!$B$5:$B$304,J1880)=0),"✗ 客户不在总览汇总名单里",IF(AND(P1880="应付",K1880=""),"✗ 这笔要选供应商",IF(AND(P1880="应付",COUNTIF(基础资料!$Q$5:$Q$54,K1880)=0),"✗ 供应商不在基础资料里",IF(AND(P1880="费用",L1880=""),"✗ 费用支出要选费用项目",IF(AND(L1880&lt;&gt;"",COUNTIF(基础资料!$AI$5:$AI$54,L1880)=0),"✗ 费用项目不在基础资料里",IF(AND(IFERROR(INDEX(基础资料!$AD$5:$AD$34,MATCH(O1880,基础资料!$AC$5:$AC$34,0)),"")="收",N(G1880)&lt;&gt;0),"✗ 这类是收款，金额填到收入列",IF(AND(IFERROR(INDEX(基础资料!$AD$5:$AD$34,MATCH(O1880,基础资料!$AC$5:$AC$34,0)),"")="支",N(F1880)&lt;&gt;0),"✗ 这类是付款，金额填到支出列",IF(N(H1880)&lt;0,"⚠ 账户余额成负数了，核对一下","√"))))))))))))))))))</f>
      </c>
      <c r="O1880" s="78">
        <f>IF(D1880&lt;&gt;"",D1880,IF(AND(F1880="",G1880=""),"",IF(J1880&lt;&gt;"",IF(N(F1880)&gt;0,"客户回款","客户退款"),IF(K1880&lt;&gt;"",IF(N(G1880)&gt;0,"供应商付款","供应商退款"),IF(L1880&lt;&gt;"","费用支出","")))))</f>
      </c>
      <c r="P1880" s="78">
        <f>IF(O1880="","",IFERROR(INDEX(基础资料!$AE$5:$AE$34,MATCH(O1880,基础资料!$AC$5:$AC$34,0)),"未知"))</f>
      </c>
      <c r="Q1880" s="78">
        <f>IF(P1880="应收",COUNTIF(P$7:P1880,"应收"),"")</f>
      </c>
      <c r="R1880" s="78">
        <f>IF(P1880="应付",COUNTIF(P$7:P1880,"应付"),"")</f>
      </c>
      <c r="S1880" s="78">
        <f>N(F1880)-N(G1880)</f>
        <v>0</v>
      </c>
    </row>
    <row r="1881">
      <c r="A1881" s="109">
        <f>IF(AND(F1881="",G1881=""),"",ROW()-6)</f>
      </c>
      <c r="B1881" s="140" t="n"/>
      <c r="C1881" s="141" t="n"/>
      <c r="D1881" s="141" t="n"/>
      <c r="E1881" s="142" t="n"/>
      <c r="F1881" s="143" t="n"/>
      <c r="G1881" s="144" t="n"/>
      <c r="H1881" s="145">
        <f>IF(OR(C1881="",AND(F1881="",G1881="")),"",SUMIF(基础资料!$W$5:$W$24,C1881,基础资料!$X$5:$X$24)+SUMIF(C$7:C1881,C1881,F$7:F1881)-SUMIF(C$7:C1881,C1881,G$7:G1881))</f>
      </c>
      <c r="I1881" s="145">
        <f>IF(AND(F1881="",G1881=""),"",SUM(基础资料!$X$5:$X$24)+SUM(F$7:F1881)-SUM(G$7:G1881))</f>
      </c>
      <c r="J1881" s="141" t="n"/>
      <c r="K1881" s="141" t="n"/>
      <c r="L1881" s="141" t="n"/>
      <c r="M1881" s="142" t="n"/>
      <c r="N1881" s="146">
        <f>IF(AND(AND(F1881="",G1881=""),B1881="",C1881="",D1881="",J1881="",K1881="",L1881=""),"",IF(AND(F1881="",G1881=""),"✗ 没填金额",IF(AND(N(F1881)&lt;&gt;0,N(G1881)&lt;&gt;0),"✗ 收入、支出只能填一边",IF(NOT(ISNUMBER(B1881)),"✗ 日期不是真日期（要像 2026/9/25 这样填）",IF(OR(B1881&lt;年初日,B1881&gt;年末日),"✗ 日期不在本会计年度",IF(C1881="","✗ 没选账户",IF(COUNTIF(基础资料!$W$5:$W$24,C1881)=0,"✗ 账户不在基础资料里",IF(O1881="","✗ 没选收支项目",IF(P1881="未知","✗ 收支项目不在基础资料里",IF(AND(P1881="应收",J1881=""),"✗ 这笔要选客户",IF(AND(P1881="应收",COUNTIF(总览汇总!$B$5:$B$304,J1881)=0),"✗ 客户不在总览汇总名单里",IF(AND(P1881="应付",K1881=""),"✗ 这笔要选供应商",IF(AND(P1881="应付",COUNTIF(基础资料!$Q$5:$Q$54,K1881)=0),"✗ 供应商不在基础资料里",IF(AND(P1881="费用",L1881=""),"✗ 费用支出要选费用项目",IF(AND(L1881&lt;&gt;"",COUNTIF(基础资料!$AI$5:$AI$54,L1881)=0),"✗ 费用项目不在基础资料里",IF(AND(IFERROR(INDEX(基础资料!$AD$5:$AD$34,MATCH(O1881,基础资料!$AC$5:$AC$34,0)),"")="收",N(G1881)&lt;&gt;0),"✗ 这类是收款，金额填到收入列",IF(AND(IFERROR(INDEX(基础资料!$AD$5:$AD$34,MATCH(O1881,基础资料!$AC$5:$AC$34,0)),"")="支",N(F1881)&lt;&gt;0),"✗ 这类是付款，金额填到支出列",IF(N(H1881)&lt;0,"⚠ 账户余额成负数了，核对一下","√"))))))))))))))))))</f>
      </c>
      <c r="O1881" s="78">
        <f>IF(D1881&lt;&gt;"",D1881,IF(AND(F1881="",G1881=""),"",IF(J1881&lt;&gt;"",IF(N(F1881)&gt;0,"客户回款","客户退款"),IF(K1881&lt;&gt;"",IF(N(G1881)&gt;0,"供应商付款","供应商退款"),IF(L1881&lt;&gt;"","费用支出","")))))</f>
      </c>
      <c r="P1881" s="78">
        <f>IF(O1881="","",IFERROR(INDEX(基础资料!$AE$5:$AE$34,MATCH(O1881,基础资料!$AC$5:$AC$34,0)),"未知"))</f>
      </c>
      <c r="Q1881" s="78">
        <f>IF(P1881="应收",COUNTIF(P$7:P1881,"应收"),"")</f>
      </c>
      <c r="R1881" s="78">
        <f>IF(P1881="应付",COUNTIF(P$7:P1881,"应付"),"")</f>
      </c>
      <c r="S1881" s="78">
        <f>N(F1881)-N(G1881)</f>
        <v>0</v>
      </c>
    </row>
    <row r="1882">
      <c r="A1882" s="109">
        <f>IF(AND(F1882="",G1882=""),"",ROW()-6)</f>
      </c>
      <c r="B1882" s="140" t="n"/>
      <c r="C1882" s="141" t="n"/>
      <c r="D1882" s="141" t="n"/>
      <c r="E1882" s="142" t="n"/>
      <c r="F1882" s="143" t="n"/>
      <c r="G1882" s="144" t="n"/>
      <c r="H1882" s="145">
        <f>IF(OR(C1882="",AND(F1882="",G1882="")),"",SUMIF(基础资料!$W$5:$W$24,C1882,基础资料!$X$5:$X$24)+SUMIF(C$7:C1882,C1882,F$7:F1882)-SUMIF(C$7:C1882,C1882,G$7:G1882))</f>
      </c>
      <c r="I1882" s="145">
        <f>IF(AND(F1882="",G1882=""),"",SUM(基础资料!$X$5:$X$24)+SUM(F$7:F1882)-SUM(G$7:G1882))</f>
      </c>
      <c r="J1882" s="141" t="n"/>
      <c r="K1882" s="141" t="n"/>
      <c r="L1882" s="141" t="n"/>
      <c r="M1882" s="142" t="n"/>
      <c r="N1882" s="146">
        <f>IF(AND(AND(F1882="",G1882=""),B1882="",C1882="",D1882="",J1882="",K1882="",L1882=""),"",IF(AND(F1882="",G1882=""),"✗ 没填金额",IF(AND(N(F1882)&lt;&gt;0,N(G1882)&lt;&gt;0),"✗ 收入、支出只能填一边",IF(NOT(ISNUMBER(B1882)),"✗ 日期不是真日期（要像 2026/9/25 这样填）",IF(OR(B1882&lt;年初日,B1882&gt;年末日),"✗ 日期不在本会计年度",IF(C1882="","✗ 没选账户",IF(COUNTIF(基础资料!$W$5:$W$24,C1882)=0,"✗ 账户不在基础资料里",IF(O1882="","✗ 没选收支项目",IF(P1882="未知","✗ 收支项目不在基础资料里",IF(AND(P1882="应收",J1882=""),"✗ 这笔要选客户",IF(AND(P1882="应收",COUNTIF(总览汇总!$B$5:$B$304,J1882)=0),"✗ 客户不在总览汇总名单里",IF(AND(P1882="应付",K1882=""),"✗ 这笔要选供应商",IF(AND(P1882="应付",COUNTIF(基础资料!$Q$5:$Q$54,K1882)=0),"✗ 供应商不在基础资料里",IF(AND(P1882="费用",L1882=""),"✗ 费用支出要选费用项目",IF(AND(L1882&lt;&gt;"",COUNTIF(基础资料!$AI$5:$AI$54,L1882)=0),"✗ 费用项目不在基础资料里",IF(AND(IFERROR(INDEX(基础资料!$AD$5:$AD$34,MATCH(O1882,基础资料!$AC$5:$AC$34,0)),"")="收",N(G1882)&lt;&gt;0),"✗ 这类是收款，金额填到收入列",IF(AND(IFERROR(INDEX(基础资料!$AD$5:$AD$34,MATCH(O1882,基础资料!$AC$5:$AC$34,0)),"")="支",N(F1882)&lt;&gt;0),"✗ 这类是付款，金额填到支出列",IF(N(H1882)&lt;0,"⚠ 账户余额成负数了，核对一下","√"))))))))))))))))))</f>
      </c>
      <c r="O1882" s="78">
        <f>IF(D1882&lt;&gt;"",D1882,IF(AND(F1882="",G1882=""),"",IF(J1882&lt;&gt;"",IF(N(F1882)&gt;0,"客户回款","客户退款"),IF(K1882&lt;&gt;"",IF(N(G1882)&gt;0,"供应商付款","供应商退款"),IF(L1882&lt;&gt;"","费用支出","")))))</f>
      </c>
      <c r="P1882" s="78">
        <f>IF(O1882="","",IFERROR(INDEX(基础资料!$AE$5:$AE$34,MATCH(O1882,基础资料!$AC$5:$AC$34,0)),"未知"))</f>
      </c>
      <c r="Q1882" s="78">
        <f>IF(P1882="应收",COUNTIF(P$7:P1882,"应收"),"")</f>
      </c>
      <c r="R1882" s="78">
        <f>IF(P1882="应付",COUNTIF(P$7:P1882,"应付"),"")</f>
      </c>
      <c r="S1882" s="78">
        <f>N(F1882)-N(G1882)</f>
        <v>0</v>
      </c>
    </row>
    <row r="1883">
      <c r="A1883" s="109">
        <f>IF(AND(F1883="",G1883=""),"",ROW()-6)</f>
      </c>
      <c r="B1883" s="140" t="n"/>
      <c r="C1883" s="141" t="n"/>
      <c r="D1883" s="141" t="n"/>
      <c r="E1883" s="142" t="n"/>
      <c r="F1883" s="143" t="n"/>
      <c r="G1883" s="144" t="n"/>
      <c r="H1883" s="145">
        <f>IF(OR(C1883="",AND(F1883="",G1883="")),"",SUMIF(基础资料!$W$5:$W$24,C1883,基础资料!$X$5:$X$24)+SUMIF(C$7:C1883,C1883,F$7:F1883)-SUMIF(C$7:C1883,C1883,G$7:G1883))</f>
      </c>
      <c r="I1883" s="145">
        <f>IF(AND(F1883="",G1883=""),"",SUM(基础资料!$X$5:$X$24)+SUM(F$7:F1883)-SUM(G$7:G1883))</f>
      </c>
      <c r="J1883" s="141" t="n"/>
      <c r="K1883" s="141" t="n"/>
      <c r="L1883" s="141" t="n"/>
      <c r="M1883" s="142" t="n"/>
      <c r="N1883" s="146">
        <f>IF(AND(AND(F1883="",G1883=""),B1883="",C1883="",D1883="",J1883="",K1883="",L1883=""),"",IF(AND(F1883="",G1883=""),"✗ 没填金额",IF(AND(N(F1883)&lt;&gt;0,N(G1883)&lt;&gt;0),"✗ 收入、支出只能填一边",IF(NOT(ISNUMBER(B1883)),"✗ 日期不是真日期（要像 2026/9/25 这样填）",IF(OR(B1883&lt;年初日,B1883&gt;年末日),"✗ 日期不在本会计年度",IF(C1883="","✗ 没选账户",IF(COUNTIF(基础资料!$W$5:$W$24,C1883)=0,"✗ 账户不在基础资料里",IF(O1883="","✗ 没选收支项目",IF(P1883="未知","✗ 收支项目不在基础资料里",IF(AND(P1883="应收",J1883=""),"✗ 这笔要选客户",IF(AND(P1883="应收",COUNTIF(总览汇总!$B$5:$B$304,J1883)=0),"✗ 客户不在总览汇总名单里",IF(AND(P1883="应付",K1883=""),"✗ 这笔要选供应商",IF(AND(P1883="应付",COUNTIF(基础资料!$Q$5:$Q$54,K1883)=0),"✗ 供应商不在基础资料里",IF(AND(P1883="费用",L1883=""),"✗ 费用支出要选费用项目",IF(AND(L1883&lt;&gt;"",COUNTIF(基础资料!$AI$5:$AI$54,L1883)=0),"✗ 费用项目不在基础资料里",IF(AND(IFERROR(INDEX(基础资料!$AD$5:$AD$34,MATCH(O1883,基础资料!$AC$5:$AC$34,0)),"")="收",N(G1883)&lt;&gt;0),"✗ 这类是收款，金额填到收入列",IF(AND(IFERROR(INDEX(基础资料!$AD$5:$AD$34,MATCH(O1883,基础资料!$AC$5:$AC$34,0)),"")="支",N(F1883)&lt;&gt;0),"✗ 这类是付款，金额填到支出列",IF(N(H1883)&lt;0,"⚠ 账户余额成负数了，核对一下","√"))))))))))))))))))</f>
      </c>
      <c r="O1883" s="78">
        <f>IF(D1883&lt;&gt;"",D1883,IF(AND(F1883="",G1883=""),"",IF(J1883&lt;&gt;"",IF(N(F1883)&gt;0,"客户回款","客户退款"),IF(K1883&lt;&gt;"",IF(N(G1883)&gt;0,"供应商付款","供应商退款"),IF(L1883&lt;&gt;"","费用支出","")))))</f>
      </c>
      <c r="P1883" s="78">
        <f>IF(O1883="","",IFERROR(INDEX(基础资料!$AE$5:$AE$34,MATCH(O1883,基础资料!$AC$5:$AC$34,0)),"未知"))</f>
      </c>
      <c r="Q1883" s="78">
        <f>IF(P1883="应收",COUNTIF(P$7:P1883,"应收"),"")</f>
      </c>
      <c r="R1883" s="78">
        <f>IF(P1883="应付",COUNTIF(P$7:P1883,"应付"),"")</f>
      </c>
      <c r="S1883" s="78">
        <f>N(F1883)-N(G1883)</f>
        <v>0</v>
      </c>
    </row>
    <row r="1884">
      <c r="A1884" s="109">
        <f>IF(AND(F1884="",G1884=""),"",ROW()-6)</f>
      </c>
      <c r="B1884" s="140" t="n"/>
      <c r="C1884" s="141" t="n"/>
      <c r="D1884" s="141" t="n"/>
      <c r="E1884" s="142" t="n"/>
      <c r="F1884" s="143" t="n"/>
      <c r="G1884" s="144" t="n"/>
      <c r="H1884" s="145">
        <f>IF(OR(C1884="",AND(F1884="",G1884="")),"",SUMIF(基础资料!$W$5:$W$24,C1884,基础资料!$X$5:$X$24)+SUMIF(C$7:C1884,C1884,F$7:F1884)-SUMIF(C$7:C1884,C1884,G$7:G1884))</f>
      </c>
      <c r="I1884" s="145">
        <f>IF(AND(F1884="",G1884=""),"",SUM(基础资料!$X$5:$X$24)+SUM(F$7:F1884)-SUM(G$7:G1884))</f>
      </c>
      <c r="J1884" s="141" t="n"/>
      <c r="K1884" s="141" t="n"/>
      <c r="L1884" s="141" t="n"/>
      <c r="M1884" s="142" t="n"/>
      <c r="N1884" s="146">
        <f>IF(AND(AND(F1884="",G1884=""),B1884="",C1884="",D1884="",J1884="",K1884="",L1884=""),"",IF(AND(F1884="",G1884=""),"✗ 没填金额",IF(AND(N(F1884)&lt;&gt;0,N(G1884)&lt;&gt;0),"✗ 收入、支出只能填一边",IF(NOT(ISNUMBER(B1884)),"✗ 日期不是真日期（要像 2026/9/25 这样填）",IF(OR(B1884&lt;年初日,B1884&gt;年末日),"✗ 日期不在本会计年度",IF(C1884="","✗ 没选账户",IF(COUNTIF(基础资料!$W$5:$W$24,C1884)=0,"✗ 账户不在基础资料里",IF(O1884="","✗ 没选收支项目",IF(P1884="未知","✗ 收支项目不在基础资料里",IF(AND(P1884="应收",J1884=""),"✗ 这笔要选客户",IF(AND(P1884="应收",COUNTIF(总览汇总!$B$5:$B$304,J1884)=0),"✗ 客户不在总览汇总名单里",IF(AND(P1884="应付",K1884=""),"✗ 这笔要选供应商",IF(AND(P1884="应付",COUNTIF(基础资料!$Q$5:$Q$54,K1884)=0),"✗ 供应商不在基础资料里",IF(AND(P1884="费用",L1884=""),"✗ 费用支出要选费用项目",IF(AND(L1884&lt;&gt;"",COUNTIF(基础资料!$AI$5:$AI$54,L1884)=0),"✗ 费用项目不在基础资料里",IF(AND(IFERROR(INDEX(基础资料!$AD$5:$AD$34,MATCH(O1884,基础资料!$AC$5:$AC$34,0)),"")="收",N(G1884)&lt;&gt;0),"✗ 这类是收款，金额填到收入列",IF(AND(IFERROR(INDEX(基础资料!$AD$5:$AD$34,MATCH(O1884,基础资料!$AC$5:$AC$34,0)),"")="支",N(F1884)&lt;&gt;0),"✗ 这类是付款，金额填到支出列",IF(N(H1884)&lt;0,"⚠ 账户余额成负数了，核对一下","√"))))))))))))))))))</f>
      </c>
      <c r="O1884" s="78">
        <f>IF(D1884&lt;&gt;"",D1884,IF(AND(F1884="",G1884=""),"",IF(J1884&lt;&gt;"",IF(N(F1884)&gt;0,"客户回款","客户退款"),IF(K1884&lt;&gt;"",IF(N(G1884)&gt;0,"供应商付款","供应商退款"),IF(L1884&lt;&gt;"","费用支出","")))))</f>
      </c>
      <c r="P1884" s="78">
        <f>IF(O1884="","",IFERROR(INDEX(基础资料!$AE$5:$AE$34,MATCH(O1884,基础资料!$AC$5:$AC$34,0)),"未知"))</f>
      </c>
      <c r="Q1884" s="78">
        <f>IF(P1884="应收",COUNTIF(P$7:P1884,"应收"),"")</f>
      </c>
      <c r="R1884" s="78">
        <f>IF(P1884="应付",COUNTIF(P$7:P1884,"应付"),"")</f>
      </c>
      <c r="S1884" s="78">
        <f>N(F1884)-N(G1884)</f>
        <v>0</v>
      </c>
    </row>
    <row r="1885">
      <c r="A1885" s="109">
        <f>IF(AND(F1885="",G1885=""),"",ROW()-6)</f>
      </c>
      <c r="B1885" s="140" t="n"/>
      <c r="C1885" s="141" t="n"/>
      <c r="D1885" s="141" t="n"/>
      <c r="E1885" s="142" t="n"/>
      <c r="F1885" s="143" t="n"/>
      <c r="G1885" s="144" t="n"/>
      <c r="H1885" s="145">
        <f>IF(OR(C1885="",AND(F1885="",G1885="")),"",SUMIF(基础资料!$W$5:$W$24,C1885,基础资料!$X$5:$X$24)+SUMIF(C$7:C1885,C1885,F$7:F1885)-SUMIF(C$7:C1885,C1885,G$7:G1885))</f>
      </c>
      <c r="I1885" s="145">
        <f>IF(AND(F1885="",G1885=""),"",SUM(基础资料!$X$5:$X$24)+SUM(F$7:F1885)-SUM(G$7:G1885))</f>
      </c>
      <c r="J1885" s="141" t="n"/>
      <c r="K1885" s="141" t="n"/>
      <c r="L1885" s="141" t="n"/>
      <c r="M1885" s="142" t="n"/>
      <c r="N1885" s="146">
        <f>IF(AND(AND(F1885="",G1885=""),B1885="",C1885="",D1885="",J1885="",K1885="",L1885=""),"",IF(AND(F1885="",G1885=""),"✗ 没填金额",IF(AND(N(F1885)&lt;&gt;0,N(G1885)&lt;&gt;0),"✗ 收入、支出只能填一边",IF(NOT(ISNUMBER(B1885)),"✗ 日期不是真日期（要像 2026/9/25 这样填）",IF(OR(B1885&lt;年初日,B1885&gt;年末日),"✗ 日期不在本会计年度",IF(C1885="","✗ 没选账户",IF(COUNTIF(基础资料!$W$5:$W$24,C1885)=0,"✗ 账户不在基础资料里",IF(O1885="","✗ 没选收支项目",IF(P1885="未知","✗ 收支项目不在基础资料里",IF(AND(P1885="应收",J1885=""),"✗ 这笔要选客户",IF(AND(P1885="应收",COUNTIF(总览汇总!$B$5:$B$304,J1885)=0),"✗ 客户不在总览汇总名单里",IF(AND(P1885="应付",K1885=""),"✗ 这笔要选供应商",IF(AND(P1885="应付",COUNTIF(基础资料!$Q$5:$Q$54,K1885)=0),"✗ 供应商不在基础资料里",IF(AND(P1885="费用",L1885=""),"✗ 费用支出要选费用项目",IF(AND(L1885&lt;&gt;"",COUNTIF(基础资料!$AI$5:$AI$54,L1885)=0),"✗ 费用项目不在基础资料里",IF(AND(IFERROR(INDEX(基础资料!$AD$5:$AD$34,MATCH(O1885,基础资料!$AC$5:$AC$34,0)),"")="收",N(G1885)&lt;&gt;0),"✗ 这类是收款，金额填到收入列",IF(AND(IFERROR(INDEX(基础资料!$AD$5:$AD$34,MATCH(O1885,基础资料!$AC$5:$AC$34,0)),"")="支",N(F1885)&lt;&gt;0),"✗ 这类是付款，金额填到支出列",IF(N(H1885)&lt;0,"⚠ 账户余额成负数了，核对一下","√"))))))))))))))))))</f>
      </c>
      <c r="O1885" s="78">
        <f>IF(D1885&lt;&gt;"",D1885,IF(AND(F1885="",G1885=""),"",IF(J1885&lt;&gt;"",IF(N(F1885)&gt;0,"客户回款","客户退款"),IF(K1885&lt;&gt;"",IF(N(G1885)&gt;0,"供应商付款","供应商退款"),IF(L1885&lt;&gt;"","费用支出","")))))</f>
      </c>
      <c r="P1885" s="78">
        <f>IF(O1885="","",IFERROR(INDEX(基础资料!$AE$5:$AE$34,MATCH(O1885,基础资料!$AC$5:$AC$34,0)),"未知"))</f>
      </c>
      <c r="Q1885" s="78">
        <f>IF(P1885="应收",COUNTIF(P$7:P1885,"应收"),"")</f>
      </c>
      <c r="R1885" s="78">
        <f>IF(P1885="应付",COUNTIF(P$7:P1885,"应付"),"")</f>
      </c>
      <c r="S1885" s="78">
        <f>N(F1885)-N(G1885)</f>
        <v>0</v>
      </c>
    </row>
    <row r="1886">
      <c r="A1886" s="109">
        <f>IF(AND(F1886="",G1886=""),"",ROW()-6)</f>
      </c>
      <c r="B1886" s="140" t="n"/>
      <c r="C1886" s="141" t="n"/>
      <c r="D1886" s="141" t="n"/>
      <c r="E1886" s="142" t="n"/>
      <c r="F1886" s="143" t="n"/>
      <c r="G1886" s="144" t="n"/>
      <c r="H1886" s="145">
        <f>IF(OR(C1886="",AND(F1886="",G1886="")),"",SUMIF(基础资料!$W$5:$W$24,C1886,基础资料!$X$5:$X$24)+SUMIF(C$7:C1886,C1886,F$7:F1886)-SUMIF(C$7:C1886,C1886,G$7:G1886))</f>
      </c>
      <c r="I1886" s="145">
        <f>IF(AND(F1886="",G1886=""),"",SUM(基础资料!$X$5:$X$24)+SUM(F$7:F1886)-SUM(G$7:G1886))</f>
      </c>
      <c r="J1886" s="141" t="n"/>
      <c r="K1886" s="141" t="n"/>
      <c r="L1886" s="141" t="n"/>
      <c r="M1886" s="142" t="n"/>
      <c r="N1886" s="146">
        <f>IF(AND(AND(F1886="",G1886=""),B1886="",C1886="",D1886="",J1886="",K1886="",L1886=""),"",IF(AND(F1886="",G1886=""),"✗ 没填金额",IF(AND(N(F1886)&lt;&gt;0,N(G1886)&lt;&gt;0),"✗ 收入、支出只能填一边",IF(NOT(ISNUMBER(B1886)),"✗ 日期不是真日期（要像 2026/9/25 这样填）",IF(OR(B1886&lt;年初日,B1886&gt;年末日),"✗ 日期不在本会计年度",IF(C1886="","✗ 没选账户",IF(COUNTIF(基础资料!$W$5:$W$24,C1886)=0,"✗ 账户不在基础资料里",IF(O1886="","✗ 没选收支项目",IF(P1886="未知","✗ 收支项目不在基础资料里",IF(AND(P1886="应收",J1886=""),"✗ 这笔要选客户",IF(AND(P1886="应收",COUNTIF(总览汇总!$B$5:$B$304,J1886)=0),"✗ 客户不在总览汇总名单里",IF(AND(P1886="应付",K1886=""),"✗ 这笔要选供应商",IF(AND(P1886="应付",COUNTIF(基础资料!$Q$5:$Q$54,K1886)=0),"✗ 供应商不在基础资料里",IF(AND(P1886="费用",L1886=""),"✗ 费用支出要选费用项目",IF(AND(L1886&lt;&gt;"",COUNTIF(基础资料!$AI$5:$AI$54,L1886)=0),"✗ 费用项目不在基础资料里",IF(AND(IFERROR(INDEX(基础资料!$AD$5:$AD$34,MATCH(O1886,基础资料!$AC$5:$AC$34,0)),"")="收",N(G1886)&lt;&gt;0),"✗ 这类是收款，金额填到收入列",IF(AND(IFERROR(INDEX(基础资料!$AD$5:$AD$34,MATCH(O1886,基础资料!$AC$5:$AC$34,0)),"")="支",N(F1886)&lt;&gt;0),"✗ 这类是付款，金额填到支出列",IF(N(H1886)&lt;0,"⚠ 账户余额成负数了，核对一下","√"))))))))))))))))))</f>
      </c>
      <c r="O1886" s="78">
        <f>IF(D1886&lt;&gt;"",D1886,IF(AND(F1886="",G1886=""),"",IF(J1886&lt;&gt;"",IF(N(F1886)&gt;0,"客户回款","客户退款"),IF(K1886&lt;&gt;"",IF(N(G1886)&gt;0,"供应商付款","供应商退款"),IF(L1886&lt;&gt;"","费用支出","")))))</f>
      </c>
      <c r="P1886" s="78">
        <f>IF(O1886="","",IFERROR(INDEX(基础资料!$AE$5:$AE$34,MATCH(O1886,基础资料!$AC$5:$AC$34,0)),"未知"))</f>
      </c>
      <c r="Q1886" s="78">
        <f>IF(P1886="应收",COUNTIF(P$7:P1886,"应收"),"")</f>
      </c>
      <c r="R1886" s="78">
        <f>IF(P1886="应付",COUNTIF(P$7:P1886,"应付"),"")</f>
      </c>
      <c r="S1886" s="78">
        <f>N(F1886)-N(G1886)</f>
        <v>0</v>
      </c>
    </row>
    <row r="1887">
      <c r="A1887" s="109">
        <f>IF(AND(F1887="",G1887=""),"",ROW()-6)</f>
      </c>
      <c r="B1887" s="140" t="n"/>
      <c r="C1887" s="141" t="n"/>
      <c r="D1887" s="141" t="n"/>
      <c r="E1887" s="142" t="n"/>
      <c r="F1887" s="143" t="n"/>
      <c r="G1887" s="144" t="n"/>
      <c r="H1887" s="145">
        <f>IF(OR(C1887="",AND(F1887="",G1887="")),"",SUMIF(基础资料!$W$5:$W$24,C1887,基础资料!$X$5:$X$24)+SUMIF(C$7:C1887,C1887,F$7:F1887)-SUMIF(C$7:C1887,C1887,G$7:G1887))</f>
      </c>
      <c r="I1887" s="145">
        <f>IF(AND(F1887="",G1887=""),"",SUM(基础资料!$X$5:$X$24)+SUM(F$7:F1887)-SUM(G$7:G1887))</f>
      </c>
      <c r="J1887" s="141" t="n"/>
      <c r="K1887" s="141" t="n"/>
      <c r="L1887" s="141" t="n"/>
      <c r="M1887" s="142" t="n"/>
      <c r="N1887" s="146">
        <f>IF(AND(AND(F1887="",G1887=""),B1887="",C1887="",D1887="",J1887="",K1887="",L1887=""),"",IF(AND(F1887="",G1887=""),"✗ 没填金额",IF(AND(N(F1887)&lt;&gt;0,N(G1887)&lt;&gt;0),"✗ 收入、支出只能填一边",IF(NOT(ISNUMBER(B1887)),"✗ 日期不是真日期（要像 2026/9/25 这样填）",IF(OR(B1887&lt;年初日,B1887&gt;年末日),"✗ 日期不在本会计年度",IF(C1887="","✗ 没选账户",IF(COUNTIF(基础资料!$W$5:$W$24,C1887)=0,"✗ 账户不在基础资料里",IF(O1887="","✗ 没选收支项目",IF(P1887="未知","✗ 收支项目不在基础资料里",IF(AND(P1887="应收",J1887=""),"✗ 这笔要选客户",IF(AND(P1887="应收",COUNTIF(总览汇总!$B$5:$B$304,J1887)=0),"✗ 客户不在总览汇总名单里",IF(AND(P1887="应付",K1887=""),"✗ 这笔要选供应商",IF(AND(P1887="应付",COUNTIF(基础资料!$Q$5:$Q$54,K1887)=0),"✗ 供应商不在基础资料里",IF(AND(P1887="费用",L1887=""),"✗ 费用支出要选费用项目",IF(AND(L1887&lt;&gt;"",COUNTIF(基础资料!$AI$5:$AI$54,L1887)=0),"✗ 费用项目不在基础资料里",IF(AND(IFERROR(INDEX(基础资料!$AD$5:$AD$34,MATCH(O1887,基础资料!$AC$5:$AC$34,0)),"")="收",N(G1887)&lt;&gt;0),"✗ 这类是收款，金额填到收入列",IF(AND(IFERROR(INDEX(基础资料!$AD$5:$AD$34,MATCH(O1887,基础资料!$AC$5:$AC$34,0)),"")="支",N(F1887)&lt;&gt;0),"✗ 这类是付款，金额填到支出列",IF(N(H1887)&lt;0,"⚠ 账户余额成负数了，核对一下","√"))))))))))))))))))</f>
      </c>
      <c r="O1887" s="78">
        <f>IF(D1887&lt;&gt;"",D1887,IF(AND(F1887="",G1887=""),"",IF(J1887&lt;&gt;"",IF(N(F1887)&gt;0,"客户回款","客户退款"),IF(K1887&lt;&gt;"",IF(N(G1887)&gt;0,"供应商付款","供应商退款"),IF(L1887&lt;&gt;"","费用支出","")))))</f>
      </c>
      <c r="P1887" s="78">
        <f>IF(O1887="","",IFERROR(INDEX(基础资料!$AE$5:$AE$34,MATCH(O1887,基础资料!$AC$5:$AC$34,0)),"未知"))</f>
      </c>
      <c r="Q1887" s="78">
        <f>IF(P1887="应收",COUNTIF(P$7:P1887,"应收"),"")</f>
      </c>
      <c r="R1887" s="78">
        <f>IF(P1887="应付",COUNTIF(P$7:P1887,"应付"),"")</f>
      </c>
      <c r="S1887" s="78">
        <f>N(F1887)-N(G1887)</f>
        <v>0</v>
      </c>
    </row>
    <row r="1888">
      <c r="A1888" s="109">
        <f>IF(AND(F1888="",G1888=""),"",ROW()-6)</f>
      </c>
      <c r="B1888" s="140" t="n"/>
      <c r="C1888" s="141" t="n"/>
      <c r="D1888" s="141" t="n"/>
      <c r="E1888" s="142" t="n"/>
      <c r="F1888" s="143" t="n"/>
      <c r="G1888" s="144" t="n"/>
      <c r="H1888" s="145">
        <f>IF(OR(C1888="",AND(F1888="",G1888="")),"",SUMIF(基础资料!$W$5:$W$24,C1888,基础资料!$X$5:$X$24)+SUMIF(C$7:C1888,C1888,F$7:F1888)-SUMIF(C$7:C1888,C1888,G$7:G1888))</f>
      </c>
      <c r="I1888" s="145">
        <f>IF(AND(F1888="",G1888=""),"",SUM(基础资料!$X$5:$X$24)+SUM(F$7:F1888)-SUM(G$7:G1888))</f>
      </c>
      <c r="J1888" s="141" t="n"/>
      <c r="K1888" s="141" t="n"/>
      <c r="L1888" s="141" t="n"/>
      <c r="M1888" s="142" t="n"/>
      <c r="N1888" s="146">
        <f>IF(AND(AND(F1888="",G1888=""),B1888="",C1888="",D1888="",J1888="",K1888="",L1888=""),"",IF(AND(F1888="",G1888=""),"✗ 没填金额",IF(AND(N(F1888)&lt;&gt;0,N(G1888)&lt;&gt;0),"✗ 收入、支出只能填一边",IF(NOT(ISNUMBER(B1888)),"✗ 日期不是真日期（要像 2026/9/25 这样填）",IF(OR(B1888&lt;年初日,B1888&gt;年末日),"✗ 日期不在本会计年度",IF(C1888="","✗ 没选账户",IF(COUNTIF(基础资料!$W$5:$W$24,C1888)=0,"✗ 账户不在基础资料里",IF(O1888="","✗ 没选收支项目",IF(P1888="未知","✗ 收支项目不在基础资料里",IF(AND(P1888="应收",J1888=""),"✗ 这笔要选客户",IF(AND(P1888="应收",COUNTIF(总览汇总!$B$5:$B$304,J1888)=0),"✗ 客户不在总览汇总名单里",IF(AND(P1888="应付",K1888=""),"✗ 这笔要选供应商",IF(AND(P1888="应付",COUNTIF(基础资料!$Q$5:$Q$54,K1888)=0),"✗ 供应商不在基础资料里",IF(AND(P1888="费用",L1888=""),"✗ 费用支出要选费用项目",IF(AND(L1888&lt;&gt;"",COUNTIF(基础资料!$AI$5:$AI$54,L1888)=0),"✗ 费用项目不在基础资料里",IF(AND(IFERROR(INDEX(基础资料!$AD$5:$AD$34,MATCH(O1888,基础资料!$AC$5:$AC$34,0)),"")="收",N(G1888)&lt;&gt;0),"✗ 这类是收款，金额填到收入列",IF(AND(IFERROR(INDEX(基础资料!$AD$5:$AD$34,MATCH(O1888,基础资料!$AC$5:$AC$34,0)),"")="支",N(F1888)&lt;&gt;0),"✗ 这类是付款，金额填到支出列",IF(N(H1888)&lt;0,"⚠ 账户余额成负数了，核对一下","√"))))))))))))))))))</f>
      </c>
      <c r="O1888" s="78">
        <f>IF(D1888&lt;&gt;"",D1888,IF(AND(F1888="",G1888=""),"",IF(J1888&lt;&gt;"",IF(N(F1888)&gt;0,"客户回款","客户退款"),IF(K1888&lt;&gt;"",IF(N(G1888)&gt;0,"供应商付款","供应商退款"),IF(L1888&lt;&gt;"","费用支出","")))))</f>
      </c>
      <c r="P1888" s="78">
        <f>IF(O1888="","",IFERROR(INDEX(基础资料!$AE$5:$AE$34,MATCH(O1888,基础资料!$AC$5:$AC$34,0)),"未知"))</f>
      </c>
      <c r="Q1888" s="78">
        <f>IF(P1888="应收",COUNTIF(P$7:P1888,"应收"),"")</f>
      </c>
      <c r="R1888" s="78">
        <f>IF(P1888="应付",COUNTIF(P$7:P1888,"应付"),"")</f>
      </c>
      <c r="S1888" s="78">
        <f>N(F1888)-N(G1888)</f>
        <v>0</v>
      </c>
    </row>
    <row r="1889">
      <c r="A1889" s="109">
        <f>IF(AND(F1889="",G1889=""),"",ROW()-6)</f>
      </c>
      <c r="B1889" s="140" t="n"/>
      <c r="C1889" s="141" t="n"/>
      <c r="D1889" s="141" t="n"/>
      <c r="E1889" s="142" t="n"/>
      <c r="F1889" s="143" t="n"/>
      <c r="G1889" s="144" t="n"/>
      <c r="H1889" s="145">
        <f>IF(OR(C1889="",AND(F1889="",G1889="")),"",SUMIF(基础资料!$W$5:$W$24,C1889,基础资料!$X$5:$X$24)+SUMIF(C$7:C1889,C1889,F$7:F1889)-SUMIF(C$7:C1889,C1889,G$7:G1889))</f>
      </c>
      <c r="I1889" s="145">
        <f>IF(AND(F1889="",G1889=""),"",SUM(基础资料!$X$5:$X$24)+SUM(F$7:F1889)-SUM(G$7:G1889))</f>
      </c>
      <c r="J1889" s="141" t="n"/>
      <c r="K1889" s="141" t="n"/>
      <c r="L1889" s="141" t="n"/>
      <c r="M1889" s="142" t="n"/>
      <c r="N1889" s="146">
        <f>IF(AND(AND(F1889="",G1889=""),B1889="",C1889="",D1889="",J1889="",K1889="",L1889=""),"",IF(AND(F1889="",G1889=""),"✗ 没填金额",IF(AND(N(F1889)&lt;&gt;0,N(G1889)&lt;&gt;0),"✗ 收入、支出只能填一边",IF(NOT(ISNUMBER(B1889)),"✗ 日期不是真日期（要像 2026/9/25 这样填）",IF(OR(B1889&lt;年初日,B1889&gt;年末日),"✗ 日期不在本会计年度",IF(C1889="","✗ 没选账户",IF(COUNTIF(基础资料!$W$5:$W$24,C1889)=0,"✗ 账户不在基础资料里",IF(O1889="","✗ 没选收支项目",IF(P1889="未知","✗ 收支项目不在基础资料里",IF(AND(P1889="应收",J1889=""),"✗ 这笔要选客户",IF(AND(P1889="应收",COUNTIF(总览汇总!$B$5:$B$304,J1889)=0),"✗ 客户不在总览汇总名单里",IF(AND(P1889="应付",K1889=""),"✗ 这笔要选供应商",IF(AND(P1889="应付",COUNTIF(基础资料!$Q$5:$Q$54,K1889)=0),"✗ 供应商不在基础资料里",IF(AND(P1889="费用",L1889=""),"✗ 费用支出要选费用项目",IF(AND(L1889&lt;&gt;"",COUNTIF(基础资料!$AI$5:$AI$54,L1889)=0),"✗ 费用项目不在基础资料里",IF(AND(IFERROR(INDEX(基础资料!$AD$5:$AD$34,MATCH(O1889,基础资料!$AC$5:$AC$34,0)),"")="收",N(G1889)&lt;&gt;0),"✗ 这类是收款，金额填到收入列",IF(AND(IFERROR(INDEX(基础资料!$AD$5:$AD$34,MATCH(O1889,基础资料!$AC$5:$AC$34,0)),"")="支",N(F1889)&lt;&gt;0),"✗ 这类是付款，金额填到支出列",IF(N(H1889)&lt;0,"⚠ 账户余额成负数了，核对一下","√"))))))))))))))))))</f>
      </c>
      <c r="O1889" s="78">
        <f>IF(D1889&lt;&gt;"",D1889,IF(AND(F1889="",G1889=""),"",IF(J1889&lt;&gt;"",IF(N(F1889)&gt;0,"客户回款","客户退款"),IF(K1889&lt;&gt;"",IF(N(G1889)&gt;0,"供应商付款","供应商退款"),IF(L1889&lt;&gt;"","费用支出","")))))</f>
      </c>
      <c r="P1889" s="78">
        <f>IF(O1889="","",IFERROR(INDEX(基础资料!$AE$5:$AE$34,MATCH(O1889,基础资料!$AC$5:$AC$34,0)),"未知"))</f>
      </c>
      <c r="Q1889" s="78">
        <f>IF(P1889="应收",COUNTIF(P$7:P1889,"应收"),"")</f>
      </c>
      <c r="R1889" s="78">
        <f>IF(P1889="应付",COUNTIF(P$7:P1889,"应付"),"")</f>
      </c>
      <c r="S1889" s="78">
        <f>N(F1889)-N(G1889)</f>
        <v>0</v>
      </c>
    </row>
    <row r="1890">
      <c r="A1890" s="109">
        <f>IF(AND(F1890="",G1890=""),"",ROW()-6)</f>
      </c>
      <c r="B1890" s="140" t="n"/>
      <c r="C1890" s="141" t="n"/>
      <c r="D1890" s="141" t="n"/>
      <c r="E1890" s="142" t="n"/>
      <c r="F1890" s="143" t="n"/>
      <c r="G1890" s="144" t="n"/>
      <c r="H1890" s="145">
        <f>IF(OR(C1890="",AND(F1890="",G1890="")),"",SUMIF(基础资料!$W$5:$W$24,C1890,基础资料!$X$5:$X$24)+SUMIF(C$7:C1890,C1890,F$7:F1890)-SUMIF(C$7:C1890,C1890,G$7:G1890))</f>
      </c>
      <c r="I1890" s="145">
        <f>IF(AND(F1890="",G1890=""),"",SUM(基础资料!$X$5:$X$24)+SUM(F$7:F1890)-SUM(G$7:G1890))</f>
      </c>
      <c r="J1890" s="141" t="n"/>
      <c r="K1890" s="141" t="n"/>
      <c r="L1890" s="141" t="n"/>
      <c r="M1890" s="142" t="n"/>
      <c r="N1890" s="146">
        <f>IF(AND(AND(F1890="",G1890=""),B1890="",C1890="",D1890="",J1890="",K1890="",L1890=""),"",IF(AND(F1890="",G1890=""),"✗ 没填金额",IF(AND(N(F1890)&lt;&gt;0,N(G1890)&lt;&gt;0),"✗ 收入、支出只能填一边",IF(NOT(ISNUMBER(B1890)),"✗ 日期不是真日期（要像 2026/9/25 这样填）",IF(OR(B1890&lt;年初日,B1890&gt;年末日),"✗ 日期不在本会计年度",IF(C1890="","✗ 没选账户",IF(COUNTIF(基础资料!$W$5:$W$24,C1890)=0,"✗ 账户不在基础资料里",IF(O1890="","✗ 没选收支项目",IF(P1890="未知","✗ 收支项目不在基础资料里",IF(AND(P1890="应收",J1890=""),"✗ 这笔要选客户",IF(AND(P1890="应收",COUNTIF(总览汇总!$B$5:$B$304,J1890)=0),"✗ 客户不在总览汇总名单里",IF(AND(P1890="应付",K1890=""),"✗ 这笔要选供应商",IF(AND(P1890="应付",COUNTIF(基础资料!$Q$5:$Q$54,K1890)=0),"✗ 供应商不在基础资料里",IF(AND(P1890="费用",L1890=""),"✗ 费用支出要选费用项目",IF(AND(L1890&lt;&gt;"",COUNTIF(基础资料!$AI$5:$AI$54,L1890)=0),"✗ 费用项目不在基础资料里",IF(AND(IFERROR(INDEX(基础资料!$AD$5:$AD$34,MATCH(O1890,基础资料!$AC$5:$AC$34,0)),"")="收",N(G1890)&lt;&gt;0),"✗ 这类是收款，金额填到收入列",IF(AND(IFERROR(INDEX(基础资料!$AD$5:$AD$34,MATCH(O1890,基础资料!$AC$5:$AC$34,0)),"")="支",N(F1890)&lt;&gt;0),"✗ 这类是付款，金额填到支出列",IF(N(H1890)&lt;0,"⚠ 账户余额成负数了，核对一下","√"))))))))))))))))))</f>
      </c>
      <c r="O1890" s="78">
        <f>IF(D1890&lt;&gt;"",D1890,IF(AND(F1890="",G1890=""),"",IF(J1890&lt;&gt;"",IF(N(F1890)&gt;0,"客户回款","客户退款"),IF(K1890&lt;&gt;"",IF(N(G1890)&gt;0,"供应商付款","供应商退款"),IF(L1890&lt;&gt;"","费用支出","")))))</f>
      </c>
      <c r="P1890" s="78">
        <f>IF(O1890="","",IFERROR(INDEX(基础资料!$AE$5:$AE$34,MATCH(O1890,基础资料!$AC$5:$AC$34,0)),"未知"))</f>
      </c>
      <c r="Q1890" s="78">
        <f>IF(P1890="应收",COUNTIF(P$7:P1890,"应收"),"")</f>
      </c>
      <c r="R1890" s="78">
        <f>IF(P1890="应付",COUNTIF(P$7:P1890,"应付"),"")</f>
      </c>
      <c r="S1890" s="78">
        <f>N(F1890)-N(G1890)</f>
        <v>0</v>
      </c>
    </row>
    <row r="1891">
      <c r="A1891" s="109">
        <f>IF(AND(F1891="",G1891=""),"",ROW()-6)</f>
      </c>
      <c r="B1891" s="140" t="n"/>
      <c r="C1891" s="141" t="n"/>
      <c r="D1891" s="141" t="n"/>
      <c r="E1891" s="142" t="n"/>
      <c r="F1891" s="143" t="n"/>
      <c r="G1891" s="144" t="n"/>
      <c r="H1891" s="145">
        <f>IF(OR(C1891="",AND(F1891="",G1891="")),"",SUMIF(基础资料!$W$5:$W$24,C1891,基础资料!$X$5:$X$24)+SUMIF(C$7:C1891,C1891,F$7:F1891)-SUMIF(C$7:C1891,C1891,G$7:G1891))</f>
      </c>
      <c r="I1891" s="145">
        <f>IF(AND(F1891="",G1891=""),"",SUM(基础资料!$X$5:$X$24)+SUM(F$7:F1891)-SUM(G$7:G1891))</f>
      </c>
      <c r="J1891" s="141" t="n"/>
      <c r="K1891" s="141" t="n"/>
      <c r="L1891" s="141" t="n"/>
      <c r="M1891" s="142" t="n"/>
      <c r="N1891" s="146">
        <f>IF(AND(AND(F1891="",G1891=""),B1891="",C1891="",D1891="",J1891="",K1891="",L1891=""),"",IF(AND(F1891="",G1891=""),"✗ 没填金额",IF(AND(N(F1891)&lt;&gt;0,N(G1891)&lt;&gt;0),"✗ 收入、支出只能填一边",IF(NOT(ISNUMBER(B1891)),"✗ 日期不是真日期（要像 2026/9/25 这样填）",IF(OR(B1891&lt;年初日,B1891&gt;年末日),"✗ 日期不在本会计年度",IF(C1891="","✗ 没选账户",IF(COUNTIF(基础资料!$W$5:$W$24,C1891)=0,"✗ 账户不在基础资料里",IF(O1891="","✗ 没选收支项目",IF(P1891="未知","✗ 收支项目不在基础资料里",IF(AND(P1891="应收",J1891=""),"✗ 这笔要选客户",IF(AND(P1891="应收",COUNTIF(总览汇总!$B$5:$B$304,J1891)=0),"✗ 客户不在总览汇总名单里",IF(AND(P1891="应付",K1891=""),"✗ 这笔要选供应商",IF(AND(P1891="应付",COUNTIF(基础资料!$Q$5:$Q$54,K1891)=0),"✗ 供应商不在基础资料里",IF(AND(P1891="费用",L1891=""),"✗ 费用支出要选费用项目",IF(AND(L1891&lt;&gt;"",COUNTIF(基础资料!$AI$5:$AI$54,L1891)=0),"✗ 费用项目不在基础资料里",IF(AND(IFERROR(INDEX(基础资料!$AD$5:$AD$34,MATCH(O1891,基础资料!$AC$5:$AC$34,0)),"")="收",N(G1891)&lt;&gt;0),"✗ 这类是收款，金额填到收入列",IF(AND(IFERROR(INDEX(基础资料!$AD$5:$AD$34,MATCH(O1891,基础资料!$AC$5:$AC$34,0)),"")="支",N(F1891)&lt;&gt;0),"✗ 这类是付款，金额填到支出列",IF(N(H1891)&lt;0,"⚠ 账户余额成负数了，核对一下","√"))))))))))))))))))</f>
      </c>
      <c r="O1891" s="78">
        <f>IF(D1891&lt;&gt;"",D1891,IF(AND(F1891="",G1891=""),"",IF(J1891&lt;&gt;"",IF(N(F1891)&gt;0,"客户回款","客户退款"),IF(K1891&lt;&gt;"",IF(N(G1891)&gt;0,"供应商付款","供应商退款"),IF(L1891&lt;&gt;"","费用支出","")))))</f>
      </c>
      <c r="P1891" s="78">
        <f>IF(O1891="","",IFERROR(INDEX(基础资料!$AE$5:$AE$34,MATCH(O1891,基础资料!$AC$5:$AC$34,0)),"未知"))</f>
      </c>
      <c r="Q1891" s="78">
        <f>IF(P1891="应收",COUNTIF(P$7:P1891,"应收"),"")</f>
      </c>
      <c r="R1891" s="78">
        <f>IF(P1891="应付",COUNTIF(P$7:P1891,"应付"),"")</f>
      </c>
      <c r="S1891" s="78">
        <f>N(F1891)-N(G1891)</f>
        <v>0</v>
      </c>
    </row>
    <row r="1892">
      <c r="A1892" s="109">
        <f>IF(AND(F1892="",G1892=""),"",ROW()-6)</f>
      </c>
      <c r="B1892" s="140" t="n"/>
      <c r="C1892" s="141" t="n"/>
      <c r="D1892" s="141" t="n"/>
      <c r="E1892" s="142" t="n"/>
      <c r="F1892" s="143" t="n"/>
      <c r="G1892" s="144" t="n"/>
      <c r="H1892" s="145">
        <f>IF(OR(C1892="",AND(F1892="",G1892="")),"",SUMIF(基础资料!$W$5:$W$24,C1892,基础资料!$X$5:$X$24)+SUMIF(C$7:C1892,C1892,F$7:F1892)-SUMIF(C$7:C1892,C1892,G$7:G1892))</f>
      </c>
      <c r="I1892" s="145">
        <f>IF(AND(F1892="",G1892=""),"",SUM(基础资料!$X$5:$X$24)+SUM(F$7:F1892)-SUM(G$7:G1892))</f>
      </c>
      <c r="J1892" s="141" t="n"/>
      <c r="K1892" s="141" t="n"/>
      <c r="L1892" s="141" t="n"/>
      <c r="M1892" s="142" t="n"/>
      <c r="N1892" s="146">
        <f>IF(AND(AND(F1892="",G1892=""),B1892="",C1892="",D1892="",J1892="",K1892="",L1892=""),"",IF(AND(F1892="",G1892=""),"✗ 没填金额",IF(AND(N(F1892)&lt;&gt;0,N(G1892)&lt;&gt;0),"✗ 收入、支出只能填一边",IF(NOT(ISNUMBER(B1892)),"✗ 日期不是真日期（要像 2026/9/25 这样填）",IF(OR(B1892&lt;年初日,B1892&gt;年末日),"✗ 日期不在本会计年度",IF(C1892="","✗ 没选账户",IF(COUNTIF(基础资料!$W$5:$W$24,C1892)=0,"✗ 账户不在基础资料里",IF(O1892="","✗ 没选收支项目",IF(P1892="未知","✗ 收支项目不在基础资料里",IF(AND(P1892="应收",J1892=""),"✗ 这笔要选客户",IF(AND(P1892="应收",COUNTIF(总览汇总!$B$5:$B$304,J1892)=0),"✗ 客户不在总览汇总名单里",IF(AND(P1892="应付",K1892=""),"✗ 这笔要选供应商",IF(AND(P1892="应付",COUNTIF(基础资料!$Q$5:$Q$54,K1892)=0),"✗ 供应商不在基础资料里",IF(AND(P1892="费用",L1892=""),"✗ 费用支出要选费用项目",IF(AND(L1892&lt;&gt;"",COUNTIF(基础资料!$AI$5:$AI$54,L1892)=0),"✗ 费用项目不在基础资料里",IF(AND(IFERROR(INDEX(基础资料!$AD$5:$AD$34,MATCH(O1892,基础资料!$AC$5:$AC$34,0)),"")="收",N(G1892)&lt;&gt;0),"✗ 这类是收款，金额填到收入列",IF(AND(IFERROR(INDEX(基础资料!$AD$5:$AD$34,MATCH(O1892,基础资料!$AC$5:$AC$34,0)),"")="支",N(F1892)&lt;&gt;0),"✗ 这类是付款，金额填到支出列",IF(N(H1892)&lt;0,"⚠ 账户余额成负数了，核对一下","√"))))))))))))))))))</f>
      </c>
      <c r="O1892" s="78">
        <f>IF(D1892&lt;&gt;"",D1892,IF(AND(F1892="",G1892=""),"",IF(J1892&lt;&gt;"",IF(N(F1892)&gt;0,"客户回款","客户退款"),IF(K1892&lt;&gt;"",IF(N(G1892)&gt;0,"供应商付款","供应商退款"),IF(L1892&lt;&gt;"","费用支出","")))))</f>
      </c>
      <c r="P1892" s="78">
        <f>IF(O1892="","",IFERROR(INDEX(基础资料!$AE$5:$AE$34,MATCH(O1892,基础资料!$AC$5:$AC$34,0)),"未知"))</f>
      </c>
      <c r="Q1892" s="78">
        <f>IF(P1892="应收",COUNTIF(P$7:P1892,"应收"),"")</f>
      </c>
      <c r="R1892" s="78">
        <f>IF(P1892="应付",COUNTIF(P$7:P1892,"应付"),"")</f>
      </c>
      <c r="S1892" s="78">
        <f>N(F1892)-N(G1892)</f>
        <v>0</v>
      </c>
    </row>
    <row r="1893">
      <c r="A1893" s="109">
        <f>IF(AND(F1893="",G1893=""),"",ROW()-6)</f>
      </c>
      <c r="B1893" s="140" t="n"/>
      <c r="C1893" s="141" t="n"/>
      <c r="D1893" s="141" t="n"/>
      <c r="E1893" s="142" t="n"/>
      <c r="F1893" s="143" t="n"/>
      <c r="G1893" s="144" t="n"/>
      <c r="H1893" s="145">
        <f>IF(OR(C1893="",AND(F1893="",G1893="")),"",SUMIF(基础资料!$W$5:$W$24,C1893,基础资料!$X$5:$X$24)+SUMIF(C$7:C1893,C1893,F$7:F1893)-SUMIF(C$7:C1893,C1893,G$7:G1893))</f>
      </c>
      <c r="I1893" s="145">
        <f>IF(AND(F1893="",G1893=""),"",SUM(基础资料!$X$5:$X$24)+SUM(F$7:F1893)-SUM(G$7:G1893))</f>
      </c>
      <c r="J1893" s="141" t="n"/>
      <c r="K1893" s="141" t="n"/>
      <c r="L1893" s="141" t="n"/>
      <c r="M1893" s="142" t="n"/>
      <c r="N1893" s="146">
        <f>IF(AND(AND(F1893="",G1893=""),B1893="",C1893="",D1893="",J1893="",K1893="",L1893=""),"",IF(AND(F1893="",G1893=""),"✗ 没填金额",IF(AND(N(F1893)&lt;&gt;0,N(G1893)&lt;&gt;0),"✗ 收入、支出只能填一边",IF(NOT(ISNUMBER(B1893)),"✗ 日期不是真日期（要像 2026/9/25 这样填）",IF(OR(B1893&lt;年初日,B1893&gt;年末日),"✗ 日期不在本会计年度",IF(C1893="","✗ 没选账户",IF(COUNTIF(基础资料!$W$5:$W$24,C1893)=0,"✗ 账户不在基础资料里",IF(O1893="","✗ 没选收支项目",IF(P1893="未知","✗ 收支项目不在基础资料里",IF(AND(P1893="应收",J1893=""),"✗ 这笔要选客户",IF(AND(P1893="应收",COUNTIF(总览汇总!$B$5:$B$304,J1893)=0),"✗ 客户不在总览汇总名单里",IF(AND(P1893="应付",K1893=""),"✗ 这笔要选供应商",IF(AND(P1893="应付",COUNTIF(基础资料!$Q$5:$Q$54,K1893)=0),"✗ 供应商不在基础资料里",IF(AND(P1893="费用",L1893=""),"✗ 费用支出要选费用项目",IF(AND(L1893&lt;&gt;"",COUNTIF(基础资料!$AI$5:$AI$54,L1893)=0),"✗ 费用项目不在基础资料里",IF(AND(IFERROR(INDEX(基础资料!$AD$5:$AD$34,MATCH(O1893,基础资料!$AC$5:$AC$34,0)),"")="收",N(G1893)&lt;&gt;0),"✗ 这类是收款，金额填到收入列",IF(AND(IFERROR(INDEX(基础资料!$AD$5:$AD$34,MATCH(O1893,基础资料!$AC$5:$AC$34,0)),"")="支",N(F1893)&lt;&gt;0),"✗ 这类是付款，金额填到支出列",IF(N(H1893)&lt;0,"⚠ 账户余额成负数了，核对一下","√"))))))))))))))))))</f>
      </c>
      <c r="O1893" s="78">
        <f>IF(D1893&lt;&gt;"",D1893,IF(AND(F1893="",G1893=""),"",IF(J1893&lt;&gt;"",IF(N(F1893)&gt;0,"客户回款","客户退款"),IF(K1893&lt;&gt;"",IF(N(G1893)&gt;0,"供应商付款","供应商退款"),IF(L1893&lt;&gt;"","费用支出","")))))</f>
      </c>
      <c r="P1893" s="78">
        <f>IF(O1893="","",IFERROR(INDEX(基础资料!$AE$5:$AE$34,MATCH(O1893,基础资料!$AC$5:$AC$34,0)),"未知"))</f>
      </c>
      <c r="Q1893" s="78">
        <f>IF(P1893="应收",COUNTIF(P$7:P1893,"应收"),"")</f>
      </c>
      <c r="R1893" s="78">
        <f>IF(P1893="应付",COUNTIF(P$7:P1893,"应付"),"")</f>
      </c>
      <c r="S1893" s="78">
        <f>N(F1893)-N(G1893)</f>
        <v>0</v>
      </c>
    </row>
    <row r="1894">
      <c r="A1894" s="109">
        <f>IF(AND(F1894="",G1894=""),"",ROW()-6)</f>
      </c>
      <c r="B1894" s="140" t="n"/>
      <c r="C1894" s="141" t="n"/>
      <c r="D1894" s="141" t="n"/>
      <c r="E1894" s="142" t="n"/>
      <c r="F1894" s="143" t="n"/>
      <c r="G1894" s="144" t="n"/>
      <c r="H1894" s="145">
        <f>IF(OR(C1894="",AND(F1894="",G1894="")),"",SUMIF(基础资料!$W$5:$W$24,C1894,基础资料!$X$5:$X$24)+SUMIF(C$7:C1894,C1894,F$7:F1894)-SUMIF(C$7:C1894,C1894,G$7:G1894))</f>
      </c>
      <c r="I1894" s="145">
        <f>IF(AND(F1894="",G1894=""),"",SUM(基础资料!$X$5:$X$24)+SUM(F$7:F1894)-SUM(G$7:G1894))</f>
      </c>
      <c r="J1894" s="141" t="n"/>
      <c r="K1894" s="141" t="n"/>
      <c r="L1894" s="141" t="n"/>
      <c r="M1894" s="142" t="n"/>
      <c r="N1894" s="146">
        <f>IF(AND(AND(F1894="",G1894=""),B1894="",C1894="",D1894="",J1894="",K1894="",L1894=""),"",IF(AND(F1894="",G1894=""),"✗ 没填金额",IF(AND(N(F1894)&lt;&gt;0,N(G1894)&lt;&gt;0),"✗ 收入、支出只能填一边",IF(NOT(ISNUMBER(B1894)),"✗ 日期不是真日期（要像 2026/9/25 这样填）",IF(OR(B1894&lt;年初日,B1894&gt;年末日),"✗ 日期不在本会计年度",IF(C1894="","✗ 没选账户",IF(COUNTIF(基础资料!$W$5:$W$24,C1894)=0,"✗ 账户不在基础资料里",IF(O1894="","✗ 没选收支项目",IF(P1894="未知","✗ 收支项目不在基础资料里",IF(AND(P1894="应收",J1894=""),"✗ 这笔要选客户",IF(AND(P1894="应收",COUNTIF(总览汇总!$B$5:$B$304,J1894)=0),"✗ 客户不在总览汇总名单里",IF(AND(P1894="应付",K1894=""),"✗ 这笔要选供应商",IF(AND(P1894="应付",COUNTIF(基础资料!$Q$5:$Q$54,K1894)=0),"✗ 供应商不在基础资料里",IF(AND(P1894="费用",L1894=""),"✗ 费用支出要选费用项目",IF(AND(L1894&lt;&gt;"",COUNTIF(基础资料!$AI$5:$AI$54,L1894)=0),"✗ 费用项目不在基础资料里",IF(AND(IFERROR(INDEX(基础资料!$AD$5:$AD$34,MATCH(O1894,基础资料!$AC$5:$AC$34,0)),"")="收",N(G1894)&lt;&gt;0),"✗ 这类是收款，金额填到收入列",IF(AND(IFERROR(INDEX(基础资料!$AD$5:$AD$34,MATCH(O1894,基础资料!$AC$5:$AC$34,0)),"")="支",N(F1894)&lt;&gt;0),"✗ 这类是付款，金额填到支出列",IF(N(H1894)&lt;0,"⚠ 账户余额成负数了，核对一下","√"))))))))))))))))))</f>
      </c>
      <c r="O1894" s="78">
        <f>IF(D1894&lt;&gt;"",D1894,IF(AND(F1894="",G1894=""),"",IF(J1894&lt;&gt;"",IF(N(F1894)&gt;0,"客户回款","客户退款"),IF(K1894&lt;&gt;"",IF(N(G1894)&gt;0,"供应商付款","供应商退款"),IF(L1894&lt;&gt;"","费用支出","")))))</f>
      </c>
      <c r="P1894" s="78">
        <f>IF(O1894="","",IFERROR(INDEX(基础资料!$AE$5:$AE$34,MATCH(O1894,基础资料!$AC$5:$AC$34,0)),"未知"))</f>
      </c>
      <c r="Q1894" s="78">
        <f>IF(P1894="应收",COUNTIF(P$7:P1894,"应收"),"")</f>
      </c>
      <c r="R1894" s="78">
        <f>IF(P1894="应付",COUNTIF(P$7:P1894,"应付"),"")</f>
      </c>
      <c r="S1894" s="78">
        <f>N(F1894)-N(G1894)</f>
        <v>0</v>
      </c>
    </row>
    <row r="1895">
      <c r="A1895" s="109">
        <f>IF(AND(F1895="",G1895=""),"",ROW()-6)</f>
      </c>
      <c r="B1895" s="140" t="n"/>
      <c r="C1895" s="141" t="n"/>
      <c r="D1895" s="141" t="n"/>
      <c r="E1895" s="142" t="n"/>
      <c r="F1895" s="143" t="n"/>
      <c r="G1895" s="144" t="n"/>
      <c r="H1895" s="145">
        <f>IF(OR(C1895="",AND(F1895="",G1895="")),"",SUMIF(基础资料!$W$5:$W$24,C1895,基础资料!$X$5:$X$24)+SUMIF(C$7:C1895,C1895,F$7:F1895)-SUMIF(C$7:C1895,C1895,G$7:G1895))</f>
      </c>
      <c r="I1895" s="145">
        <f>IF(AND(F1895="",G1895=""),"",SUM(基础资料!$X$5:$X$24)+SUM(F$7:F1895)-SUM(G$7:G1895))</f>
      </c>
      <c r="J1895" s="141" t="n"/>
      <c r="K1895" s="141" t="n"/>
      <c r="L1895" s="141" t="n"/>
      <c r="M1895" s="142" t="n"/>
      <c r="N1895" s="146">
        <f>IF(AND(AND(F1895="",G1895=""),B1895="",C1895="",D1895="",J1895="",K1895="",L1895=""),"",IF(AND(F1895="",G1895=""),"✗ 没填金额",IF(AND(N(F1895)&lt;&gt;0,N(G1895)&lt;&gt;0),"✗ 收入、支出只能填一边",IF(NOT(ISNUMBER(B1895)),"✗ 日期不是真日期（要像 2026/9/25 这样填）",IF(OR(B1895&lt;年初日,B1895&gt;年末日),"✗ 日期不在本会计年度",IF(C1895="","✗ 没选账户",IF(COUNTIF(基础资料!$W$5:$W$24,C1895)=0,"✗ 账户不在基础资料里",IF(O1895="","✗ 没选收支项目",IF(P1895="未知","✗ 收支项目不在基础资料里",IF(AND(P1895="应收",J1895=""),"✗ 这笔要选客户",IF(AND(P1895="应收",COUNTIF(总览汇总!$B$5:$B$304,J1895)=0),"✗ 客户不在总览汇总名单里",IF(AND(P1895="应付",K1895=""),"✗ 这笔要选供应商",IF(AND(P1895="应付",COUNTIF(基础资料!$Q$5:$Q$54,K1895)=0),"✗ 供应商不在基础资料里",IF(AND(P1895="费用",L1895=""),"✗ 费用支出要选费用项目",IF(AND(L1895&lt;&gt;"",COUNTIF(基础资料!$AI$5:$AI$54,L1895)=0),"✗ 费用项目不在基础资料里",IF(AND(IFERROR(INDEX(基础资料!$AD$5:$AD$34,MATCH(O1895,基础资料!$AC$5:$AC$34,0)),"")="收",N(G1895)&lt;&gt;0),"✗ 这类是收款，金额填到收入列",IF(AND(IFERROR(INDEX(基础资料!$AD$5:$AD$34,MATCH(O1895,基础资料!$AC$5:$AC$34,0)),"")="支",N(F1895)&lt;&gt;0),"✗ 这类是付款，金额填到支出列",IF(N(H1895)&lt;0,"⚠ 账户余额成负数了，核对一下","√"))))))))))))))))))</f>
      </c>
      <c r="O1895" s="78">
        <f>IF(D1895&lt;&gt;"",D1895,IF(AND(F1895="",G1895=""),"",IF(J1895&lt;&gt;"",IF(N(F1895)&gt;0,"客户回款","客户退款"),IF(K1895&lt;&gt;"",IF(N(G1895)&gt;0,"供应商付款","供应商退款"),IF(L1895&lt;&gt;"","费用支出","")))))</f>
      </c>
      <c r="P1895" s="78">
        <f>IF(O1895="","",IFERROR(INDEX(基础资料!$AE$5:$AE$34,MATCH(O1895,基础资料!$AC$5:$AC$34,0)),"未知"))</f>
      </c>
      <c r="Q1895" s="78">
        <f>IF(P1895="应收",COUNTIF(P$7:P1895,"应收"),"")</f>
      </c>
      <c r="R1895" s="78">
        <f>IF(P1895="应付",COUNTIF(P$7:P1895,"应付"),"")</f>
      </c>
      <c r="S1895" s="78">
        <f>N(F1895)-N(G1895)</f>
        <v>0</v>
      </c>
    </row>
    <row r="1896">
      <c r="A1896" s="109">
        <f>IF(AND(F1896="",G1896=""),"",ROW()-6)</f>
      </c>
      <c r="B1896" s="140" t="n"/>
      <c r="C1896" s="141" t="n"/>
      <c r="D1896" s="141" t="n"/>
      <c r="E1896" s="142" t="n"/>
      <c r="F1896" s="143" t="n"/>
      <c r="G1896" s="144" t="n"/>
      <c r="H1896" s="145">
        <f>IF(OR(C1896="",AND(F1896="",G1896="")),"",SUMIF(基础资料!$W$5:$W$24,C1896,基础资料!$X$5:$X$24)+SUMIF(C$7:C1896,C1896,F$7:F1896)-SUMIF(C$7:C1896,C1896,G$7:G1896))</f>
      </c>
      <c r="I1896" s="145">
        <f>IF(AND(F1896="",G1896=""),"",SUM(基础资料!$X$5:$X$24)+SUM(F$7:F1896)-SUM(G$7:G1896))</f>
      </c>
      <c r="J1896" s="141" t="n"/>
      <c r="K1896" s="141" t="n"/>
      <c r="L1896" s="141" t="n"/>
      <c r="M1896" s="142" t="n"/>
      <c r="N1896" s="146">
        <f>IF(AND(AND(F1896="",G1896=""),B1896="",C1896="",D1896="",J1896="",K1896="",L1896=""),"",IF(AND(F1896="",G1896=""),"✗ 没填金额",IF(AND(N(F1896)&lt;&gt;0,N(G1896)&lt;&gt;0),"✗ 收入、支出只能填一边",IF(NOT(ISNUMBER(B1896)),"✗ 日期不是真日期（要像 2026/9/25 这样填）",IF(OR(B1896&lt;年初日,B1896&gt;年末日),"✗ 日期不在本会计年度",IF(C1896="","✗ 没选账户",IF(COUNTIF(基础资料!$W$5:$W$24,C1896)=0,"✗ 账户不在基础资料里",IF(O1896="","✗ 没选收支项目",IF(P1896="未知","✗ 收支项目不在基础资料里",IF(AND(P1896="应收",J1896=""),"✗ 这笔要选客户",IF(AND(P1896="应收",COUNTIF(总览汇总!$B$5:$B$304,J1896)=0),"✗ 客户不在总览汇总名单里",IF(AND(P1896="应付",K1896=""),"✗ 这笔要选供应商",IF(AND(P1896="应付",COUNTIF(基础资料!$Q$5:$Q$54,K1896)=0),"✗ 供应商不在基础资料里",IF(AND(P1896="费用",L1896=""),"✗ 费用支出要选费用项目",IF(AND(L1896&lt;&gt;"",COUNTIF(基础资料!$AI$5:$AI$54,L1896)=0),"✗ 费用项目不在基础资料里",IF(AND(IFERROR(INDEX(基础资料!$AD$5:$AD$34,MATCH(O1896,基础资料!$AC$5:$AC$34,0)),"")="收",N(G1896)&lt;&gt;0),"✗ 这类是收款，金额填到收入列",IF(AND(IFERROR(INDEX(基础资料!$AD$5:$AD$34,MATCH(O1896,基础资料!$AC$5:$AC$34,0)),"")="支",N(F1896)&lt;&gt;0),"✗ 这类是付款，金额填到支出列",IF(N(H1896)&lt;0,"⚠ 账户余额成负数了，核对一下","√"))))))))))))))))))</f>
      </c>
      <c r="O1896" s="78">
        <f>IF(D1896&lt;&gt;"",D1896,IF(AND(F1896="",G1896=""),"",IF(J1896&lt;&gt;"",IF(N(F1896)&gt;0,"客户回款","客户退款"),IF(K1896&lt;&gt;"",IF(N(G1896)&gt;0,"供应商付款","供应商退款"),IF(L1896&lt;&gt;"","费用支出","")))))</f>
      </c>
      <c r="P1896" s="78">
        <f>IF(O1896="","",IFERROR(INDEX(基础资料!$AE$5:$AE$34,MATCH(O1896,基础资料!$AC$5:$AC$34,0)),"未知"))</f>
      </c>
      <c r="Q1896" s="78">
        <f>IF(P1896="应收",COUNTIF(P$7:P1896,"应收"),"")</f>
      </c>
      <c r="R1896" s="78">
        <f>IF(P1896="应付",COUNTIF(P$7:P1896,"应付"),"")</f>
      </c>
      <c r="S1896" s="78">
        <f>N(F1896)-N(G1896)</f>
        <v>0</v>
      </c>
    </row>
    <row r="1897">
      <c r="A1897" s="109">
        <f>IF(AND(F1897="",G1897=""),"",ROW()-6)</f>
      </c>
      <c r="B1897" s="140" t="n"/>
      <c r="C1897" s="141" t="n"/>
      <c r="D1897" s="141" t="n"/>
      <c r="E1897" s="142" t="n"/>
      <c r="F1897" s="143" t="n"/>
      <c r="G1897" s="144" t="n"/>
      <c r="H1897" s="145">
        <f>IF(OR(C1897="",AND(F1897="",G1897="")),"",SUMIF(基础资料!$W$5:$W$24,C1897,基础资料!$X$5:$X$24)+SUMIF(C$7:C1897,C1897,F$7:F1897)-SUMIF(C$7:C1897,C1897,G$7:G1897))</f>
      </c>
      <c r="I1897" s="145">
        <f>IF(AND(F1897="",G1897=""),"",SUM(基础资料!$X$5:$X$24)+SUM(F$7:F1897)-SUM(G$7:G1897))</f>
      </c>
      <c r="J1897" s="141" t="n"/>
      <c r="K1897" s="141" t="n"/>
      <c r="L1897" s="141" t="n"/>
      <c r="M1897" s="142" t="n"/>
      <c r="N1897" s="146">
        <f>IF(AND(AND(F1897="",G1897=""),B1897="",C1897="",D1897="",J1897="",K1897="",L1897=""),"",IF(AND(F1897="",G1897=""),"✗ 没填金额",IF(AND(N(F1897)&lt;&gt;0,N(G1897)&lt;&gt;0),"✗ 收入、支出只能填一边",IF(NOT(ISNUMBER(B1897)),"✗ 日期不是真日期（要像 2026/9/25 这样填）",IF(OR(B1897&lt;年初日,B1897&gt;年末日),"✗ 日期不在本会计年度",IF(C1897="","✗ 没选账户",IF(COUNTIF(基础资料!$W$5:$W$24,C1897)=0,"✗ 账户不在基础资料里",IF(O1897="","✗ 没选收支项目",IF(P1897="未知","✗ 收支项目不在基础资料里",IF(AND(P1897="应收",J1897=""),"✗ 这笔要选客户",IF(AND(P1897="应收",COUNTIF(总览汇总!$B$5:$B$304,J1897)=0),"✗ 客户不在总览汇总名单里",IF(AND(P1897="应付",K1897=""),"✗ 这笔要选供应商",IF(AND(P1897="应付",COUNTIF(基础资料!$Q$5:$Q$54,K1897)=0),"✗ 供应商不在基础资料里",IF(AND(P1897="费用",L1897=""),"✗ 费用支出要选费用项目",IF(AND(L1897&lt;&gt;"",COUNTIF(基础资料!$AI$5:$AI$54,L1897)=0),"✗ 费用项目不在基础资料里",IF(AND(IFERROR(INDEX(基础资料!$AD$5:$AD$34,MATCH(O1897,基础资料!$AC$5:$AC$34,0)),"")="收",N(G1897)&lt;&gt;0),"✗ 这类是收款，金额填到收入列",IF(AND(IFERROR(INDEX(基础资料!$AD$5:$AD$34,MATCH(O1897,基础资料!$AC$5:$AC$34,0)),"")="支",N(F1897)&lt;&gt;0),"✗ 这类是付款，金额填到支出列",IF(N(H1897)&lt;0,"⚠ 账户余额成负数了，核对一下","√"))))))))))))))))))</f>
      </c>
      <c r="O1897" s="78">
        <f>IF(D1897&lt;&gt;"",D1897,IF(AND(F1897="",G1897=""),"",IF(J1897&lt;&gt;"",IF(N(F1897)&gt;0,"客户回款","客户退款"),IF(K1897&lt;&gt;"",IF(N(G1897)&gt;0,"供应商付款","供应商退款"),IF(L1897&lt;&gt;"","费用支出","")))))</f>
      </c>
      <c r="P1897" s="78">
        <f>IF(O1897="","",IFERROR(INDEX(基础资料!$AE$5:$AE$34,MATCH(O1897,基础资料!$AC$5:$AC$34,0)),"未知"))</f>
      </c>
      <c r="Q1897" s="78">
        <f>IF(P1897="应收",COUNTIF(P$7:P1897,"应收"),"")</f>
      </c>
      <c r="R1897" s="78">
        <f>IF(P1897="应付",COUNTIF(P$7:P1897,"应付"),"")</f>
      </c>
      <c r="S1897" s="78">
        <f>N(F1897)-N(G1897)</f>
        <v>0</v>
      </c>
    </row>
    <row r="1898">
      <c r="A1898" s="109">
        <f>IF(AND(F1898="",G1898=""),"",ROW()-6)</f>
      </c>
      <c r="B1898" s="140" t="n"/>
      <c r="C1898" s="141" t="n"/>
      <c r="D1898" s="141" t="n"/>
      <c r="E1898" s="142" t="n"/>
      <c r="F1898" s="143" t="n"/>
      <c r="G1898" s="144" t="n"/>
      <c r="H1898" s="145">
        <f>IF(OR(C1898="",AND(F1898="",G1898="")),"",SUMIF(基础资料!$W$5:$W$24,C1898,基础资料!$X$5:$X$24)+SUMIF(C$7:C1898,C1898,F$7:F1898)-SUMIF(C$7:C1898,C1898,G$7:G1898))</f>
      </c>
      <c r="I1898" s="145">
        <f>IF(AND(F1898="",G1898=""),"",SUM(基础资料!$X$5:$X$24)+SUM(F$7:F1898)-SUM(G$7:G1898))</f>
      </c>
      <c r="J1898" s="141" t="n"/>
      <c r="K1898" s="141" t="n"/>
      <c r="L1898" s="141" t="n"/>
      <c r="M1898" s="142" t="n"/>
      <c r="N1898" s="146">
        <f>IF(AND(AND(F1898="",G1898=""),B1898="",C1898="",D1898="",J1898="",K1898="",L1898=""),"",IF(AND(F1898="",G1898=""),"✗ 没填金额",IF(AND(N(F1898)&lt;&gt;0,N(G1898)&lt;&gt;0),"✗ 收入、支出只能填一边",IF(NOT(ISNUMBER(B1898)),"✗ 日期不是真日期（要像 2026/9/25 这样填）",IF(OR(B1898&lt;年初日,B1898&gt;年末日),"✗ 日期不在本会计年度",IF(C1898="","✗ 没选账户",IF(COUNTIF(基础资料!$W$5:$W$24,C1898)=0,"✗ 账户不在基础资料里",IF(O1898="","✗ 没选收支项目",IF(P1898="未知","✗ 收支项目不在基础资料里",IF(AND(P1898="应收",J1898=""),"✗ 这笔要选客户",IF(AND(P1898="应收",COUNTIF(总览汇总!$B$5:$B$304,J1898)=0),"✗ 客户不在总览汇总名单里",IF(AND(P1898="应付",K1898=""),"✗ 这笔要选供应商",IF(AND(P1898="应付",COUNTIF(基础资料!$Q$5:$Q$54,K1898)=0),"✗ 供应商不在基础资料里",IF(AND(P1898="费用",L1898=""),"✗ 费用支出要选费用项目",IF(AND(L1898&lt;&gt;"",COUNTIF(基础资料!$AI$5:$AI$54,L1898)=0),"✗ 费用项目不在基础资料里",IF(AND(IFERROR(INDEX(基础资料!$AD$5:$AD$34,MATCH(O1898,基础资料!$AC$5:$AC$34,0)),"")="收",N(G1898)&lt;&gt;0),"✗ 这类是收款，金额填到收入列",IF(AND(IFERROR(INDEX(基础资料!$AD$5:$AD$34,MATCH(O1898,基础资料!$AC$5:$AC$34,0)),"")="支",N(F1898)&lt;&gt;0),"✗ 这类是付款，金额填到支出列",IF(N(H1898)&lt;0,"⚠ 账户余额成负数了，核对一下","√"))))))))))))))))))</f>
      </c>
      <c r="O1898" s="78">
        <f>IF(D1898&lt;&gt;"",D1898,IF(AND(F1898="",G1898=""),"",IF(J1898&lt;&gt;"",IF(N(F1898)&gt;0,"客户回款","客户退款"),IF(K1898&lt;&gt;"",IF(N(G1898)&gt;0,"供应商付款","供应商退款"),IF(L1898&lt;&gt;"","费用支出","")))))</f>
      </c>
      <c r="P1898" s="78">
        <f>IF(O1898="","",IFERROR(INDEX(基础资料!$AE$5:$AE$34,MATCH(O1898,基础资料!$AC$5:$AC$34,0)),"未知"))</f>
      </c>
      <c r="Q1898" s="78">
        <f>IF(P1898="应收",COUNTIF(P$7:P1898,"应收"),"")</f>
      </c>
      <c r="R1898" s="78">
        <f>IF(P1898="应付",COUNTIF(P$7:P1898,"应付"),"")</f>
      </c>
      <c r="S1898" s="78">
        <f>N(F1898)-N(G1898)</f>
        <v>0</v>
      </c>
    </row>
    <row r="1899">
      <c r="A1899" s="109">
        <f>IF(AND(F1899="",G1899=""),"",ROW()-6)</f>
      </c>
      <c r="B1899" s="140" t="n"/>
      <c r="C1899" s="141" t="n"/>
      <c r="D1899" s="141" t="n"/>
      <c r="E1899" s="142" t="n"/>
      <c r="F1899" s="143" t="n"/>
      <c r="G1899" s="144" t="n"/>
      <c r="H1899" s="145">
        <f>IF(OR(C1899="",AND(F1899="",G1899="")),"",SUMIF(基础资料!$W$5:$W$24,C1899,基础资料!$X$5:$X$24)+SUMIF(C$7:C1899,C1899,F$7:F1899)-SUMIF(C$7:C1899,C1899,G$7:G1899))</f>
      </c>
      <c r="I1899" s="145">
        <f>IF(AND(F1899="",G1899=""),"",SUM(基础资料!$X$5:$X$24)+SUM(F$7:F1899)-SUM(G$7:G1899))</f>
      </c>
      <c r="J1899" s="141" t="n"/>
      <c r="K1899" s="141" t="n"/>
      <c r="L1899" s="141" t="n"/>
      <c r="M1899" s="142" t="n"/>
      <c r="N1899" s="146">
        <f>IF(AND(AND(F1899="",G1899=""),B1899="",C1899="",D1899="",J1899="",K1899="",L1899=""),"",IF(AND(F1899="",G1899=""),"✗ 没填金额",IF(AND(N(F1899)&lt;&gt;0,N(G1899)&lt;&gt;0),"✗ 收入、支出只能填一边",IF(NOT(ISNUMBER(B1899)),"✗ 日期不是真日期（要像 2026/9/25 这样填）",IF(OR(B1899&lt;年初日,B1899&gt;年末日),"✗ 日期不在本会计年度",IF(C1899="","✗ 没选账户",IF(COUNTIF(基础资料!$W$5:$W$24,C1899)=0,"✗ 账户不在基础资料里",IF(O1899="","✗ 没选收支项目",IF(P1899="未知","✗ 收支项目不在基础资料里",IF(AND(P1899="应收",J1899=""),"✗ 这笔要选客户",IF(AND(P1899="应收",COUNTIF(总览汇总!$B$5:$B$304,J1899)=0),"✗ 客户不在总览汇总名单里",IF(AND(P1899="应付",K1899=""),"✗ 这笔要选供应商",IF(AND(P1899="应付",COUNTIF(基础资料!$Q$5:$Q$54,K1899)=0),"✗ 供应商不在基础资料里",IF(AND(P1899="费用",L1899=""),"✗ 费用支出要选费用项目",IF(AND(L1899&lt;&gt;"",COUNTIF(基础资料!$AI$5:$AI$54,L1899)=0),"✗ 费用项目不在基础资料里",IF(AND(IFERROR(INDEX(基础资料!$AD$5:$AD$34,MATCH(O1899,基础资料!$AC$5:$AC$34,0)),"")="收",N(G1899)&lt;&gt;0),"✗ 这类是收款，金额填到收入列",IF(AND(IFERROR(INDEX(基础资料!$AD$5:$AD$34,MATCH(O1899,基础资料!$AC$5:$AC$34,0)),"")="支",N(F1899)&lt;&gt;0),"✗ 这类是付款，金额填到支出列",IF(N(H1899)&lt;0,"⚠ 账户余额成负数了，核对一下","√"))))))))))))))))))</f>
      </c>
      <c r="O1899" s="78">
        <f>IF(D1899&lt;&gt;"",D1899,IF(AND(F1899="",G1899=""),"",IF(J1899&lt;&gt;"",IF(N(F1899)&gt;0,"客户回款","客户退款"),IF(K1899&lt;&gt;"",IF(N(G1899)&gt;0,"供应商付款","供应商退款"),IF(L1899&lt;&gt;"","费用支出","")))))</f>
      </c>
      <c r="P1899" s="78">
        <f>IF(O1899="","",IFERROR(INDEX(基础资料!$AE$5:$AE$34,MATCH(O1899,基础资料!$AC$5:$AC$34,0)),"未知"))</f>
      </c>
      <c r="Q1899" s="78">
        <f>IF(P1899="应收",COUNTIF(P$7:P1899,"应收"),"")</f>
      </c>
      <c r="R1899" s="78">
        <f>IF(P1899="应付",COUNTIF(P$7:P1899,"应付"),"")</f>
      </c>
      <c r="S1899" s="78">
        <f>N(F1899)-N(G1899)</f>
        <v>0</v>
      </c>
    </row>
    <row r="1900">
      <c r="A1900" s="109">
        <f>IF(AND(F1900="",G1900=""),"",ROW()-6)</f>
      </c>
      <c r="B1900" s="140" t="n"/>
      <c r="C1900" s="141" t="n"/>
      <c r="D1900" s="141" t="n"/>
      <c r="E1900" s="142" t="n"/>
      <c r="F1900" s="143" t="n"/>
      <c r="G1900" s="144" t="n"/>
      <c r="H1900" s="145">
        <f>IF(OR(C1900="",AND(F1900="",G1900="")),"",SUMIF(基础资料!$W$5:$W$24,C1900,基础资料!$X$5:$X$24)+SUMIF(C$7:C1900,C1900,F$7:F1900)-SUMIF(C$7:C1900,C1900,G$7:G1900))</f>
      </c>
      <c r="I1900" s="145">
        <f>IF(AND(F1900="",G1900=""),"",SUM(基础资料!$X$5:$X$24)+SUM(F$7:F1900)-SUM(G$7:G1900))</f>
      </c>
      <c r="J1900" s="141" t="n"/>
      <c r="K1900" s="141" t="n"/>
      <c r="L1900" s="141" t="n"/>
      <c r="M1900" s="142" t="n"/>
      <c r="N1900" s="146">
        <f>IF(AND(AND(F1900="",G1900=""),B1900="",C1900="",D1900="",J1900="",K1900="",L1900=""),"",IF(AND(F1900="",G1900=""),"✗ 没填金额",IF(AND(N(F1900)&lt;&gt;0,N(G1900)&lt;&gt;0),"✗ 收入、支出只能填一边",IF(NOT(ISNUMBER(B1900)),"✗ 日期不是真日期（要像 2026/9/25 这样填）",IF(OR(B1900&lt;年初日,B1900&gt;年末日),"✗ 日期不在本会计年度",IF(C1900="","✗ 没选账户",IF(COUNTIF(基础资料!$W$5:$W$24,C1900)=0,"✗ 账户不在基础资料里",IF(O1900="","✗ 没选收支项目",IF(P1900="未知","✗ 收支项目不在基础资料里",IF(AND(P1900="应收",J1900=""),"✗ 这笔要选客户",IF(AND(P1900="应收",COUNTIF(总览汇总!$B$5:$B$304,J1900)=0),"✗ 客户不在总览汇总名单里",IF(AND(P1900="应付",K1900=""),"✗ 这笔要选供应商",IF(AND(P1900="应付",COUNTIF(基础资料!$Q$5:$Q$54,K1900)=0),"✗ 供应商不在基础资料里",IF(AND(P1900="费用",L1900=""),"✗ 费用支出要选费用项目",IF(AND(L1900&lt;&gt;"",COUNTIF(基础资料!$AI$5:$AI$54,L1900)=0),"✗ 费用项目不在基础资料里",IF(AND(IFERROR(INDEX(基础资料!$AD$5:$AD$34,MATCH(O1900,基础资料!$AC$5:$AC$34,0)),"")="收",N(G1900)&lt;&gt;0),"✗ 这类是收款，金额填到收入列",IF(AND(IFERROR(INDEX(基础资料!$AD$5:$AD$34,MATCH(O1900,基础资料!$AC$5:$AC$34,0)),"")="支",N(F1900)&lt;&gt;0),"✗ 这类是付款，金额填到支出列",IF(N(H1900)&lt;0,"⚠ 账户余额成负数了，核对一下","√"))))))))))))))))))</f>
      </c>
      <c r="O1900" s="78">
        <f>IF(D1900&lt;&gt;"",D1900,IF(AND(F1900="",G1900=""),"",IF(J1900&lt;&gt;"",IF(N(F1900)&gt;0,"客户回款","客户退款"),IF(K1900&lt;&gt;"",IF(N(G1900)&gt;0,"供应商付款","供应商退款"),IF(L1900&lt;&gt;"","费用支出","")))))</f>
      </c>
      <c r="P1900" s="78">
        <f>IF(O1900="","",IFERROR(INDEX(基础资料!$AE$5:$AE$34,MATCH(O1900,基础资料!$AC$5:$AC$34,0)),"未知"))</f>
      </c>
      <c r="Q1900" s="78">
        <f>IF(P1900="应收",COUNTIF(P$7:P1900,"应收"),"")</f>
      </c>
      <c r="R1900" s="78">
        <f>IF(P1900="应付",COUNTIF(P$7:P1900,"应付"),"")</f>
      </c>
      <c r="S1900" s="78">
        <f>N(F1900)-N(G1900)</f>
        <v>0</v>
      </c>
    </row>
    <row r="1901">
      <c r="A1901" s="109">
        <f>IF(AND(F1901="",G1901=""),"",ROW()-6)</f>
      </c>
      <c r="B1901" s="140" t="n"/>
      <c r="C1901" s="141" t="n"/>
      <c r="D1901" s="141" t="n"/>
      <c r="E1901" s="142" t="n"/>
      <c r="F1901" s="143" t="n"/>
      <c r="G1901" s="144" t="n"/>
      <c r="H1901" s="145">
        <f>IF(OR(C1901="",AND(F1901="",G1901="")),"",SUMIF(基础资料!$W$5:$W$24,C1901,基础资料!$X$5:$X$24)+SUMIF(C$7:C1901,C1901,F$7:F1901)-SUMIF(C$7:C1901,C1901,G$7:G1901))</f>
      </c>
      <c r="I1901" s="145">
        <f>IF(AND(F1901="",G1901=""),"",SUM(基础资料!$X$5:$X$24)+SUM(F$7:F1901)-SUM(G$7:G1901))</f>
      </c>
      <c r="J1901" s="141" t="n"/>
      <c r="K1901" s="141" t="n"/>
      <c r="L1901" s="141" t="n"/>
      <c r="M1901" s="142" t="n"/>
      <c r="N1901" s="146">
        <f>IF(AND(AND(F1901="",G1901=""),B1901="",C1901="",D1901="",J1901="",K1901="",L1901=""),"",IF(AND(F1901="",G1901=""),"✗ 没填金额",IF(AND(N(F1901)&lt;&gt;0,N(G1901)&lt;&gt;0),"✗ 收入、支出只能填一边",IF(NOT(ISNUMBER(B1901)),"✗ 日期不是真日期（要像 2026/9/25 这样填）",IF(OR(B1901&lt;年初日,B1901&gt;年末日),"✗ 日期不在本会计年度",IF(C1901="","✗ 没选账户",IF(COUNTIF(基础资料!$W$5:$W$24,C1901)=0,"✗ 账户不在基础资料里",IF(O1901="","✗ 没选收支项目",IF(P1901="未知","✗ 收支项目不在基础资料里",IF(AND(P1901="应收",J1901=""),"✗ 这笔要选客户",IF(AND(P1901="应收",COUNTIF(总览汇总!$B$5:$B$304,J1901)=0),"✗ 客户不在总览汇总名单里",IF(AND(P1901="应付",K1901=""),"✗ 这笔要选供应商",IF(AND(P1901="应付",COUNTIF(基础资料!$Q$5:$Q$54,K1901)=0),"✗ 供应商不在基础资料里",IF(AND(P1901="费用",L1901=""),"✗ 费用支出要选费用项目",IF(AND(L1901&lt;&gt;"",COUNTIF(基础资料!$AI$5:$AI$54,L1901)=0),"✗ 费用项目不在基础资料里",IF(AND(IFERROR(INDEX(基础资料!$AD$5:$AD$34,MATCH(O1901,基础资料!$AC$5:$AC$34,0)),"")="收",N(G1901)&lt;&gt;0),"✗ 这类是收款，金额填到收入列",IF(AND(IFERROR(INDEX(基础资料!$AD$5:$AD$34,MATCH(O1901,基础资料!$AC$5:$AC$34,0)),"")="支",N(F1901)&lt;&gt;0),"✗ 这类是付款，金额填到支出列",IF(N(H1901)&lt;0,"⚠ 账户余额成负数了，核对一下","√"))))))))))))))))))</f>
      </c>
      <c r="O1901" s="78">
        <f>IF(D1901&lt;&gt;"",D1901,IF(AND(F1901="",G1901=""),"",IF(J1901&lt;&gt;"",IF(N(F1901)&gt;0,"客户回款","客户退款"),IF(K1901&lt;&gt;"",IF(N(G1901)&gt;0,"供应商付款","供应商退款"),IF(L1901&lt;&gt;"","费用支出","")))))</f>
      </c>
      <c r="P1901" s="78">
        <f>IF(O1901="","",IFERROR(INDEX(基础资料!$AE$5:$AE$34,MATCH(O1901,基础资料!$AC$5:$AC$34,0)),"未知"))</f>
      </c>
      <c r="Q1901" s="78">
        <f>IF(P1901="应收",COUNTIF(P$7:P1901,"应收"),"")</f>
      </c>
      <c r="R1901" s="78">
        <f>IF(P1901="应付",COUNTIF(P$7:P1901,"应付"),"")</f>
      </c>
      <c r="S1901" s="78">
        <f>N(F1901)-N(G1901)</f>
        <v>0</v>
      </c>
    </row>
    <row r="1902">
      <c r="A1902" s="109">
        <f>IF(AND(F1902="",G1902=""),"",ROW()-6)</f>
      </c>
      <c r="B1902" s="140" t="n"/>
      <c r="C1902" s="141" t="n"/>
      <c r="D1902" s="141" t="n"/>
      <c r="E1902" s="142" t="n"/>
      <c r="F1902" s="143" t="n"/>
      <c r="G1902" s="144" t="n"/>
      <c r="H1902" s="145">
        <f>IF(OR(C1902="",AND(F1902="",G1902="")),"",SUMIF(基础资料!$W$5:$W$24,C1902,基础资料!$X$5:$X$24)+SUMIF(C$7:C1902,C1902,F$7:F1902)-SUMIF(C$7:C1902,C1902,G$7:G1902))</f>
      </c>
      <c r="I1902" s="145">
        <f>IF(AND(F1902="",G1902=""),"",SUM(基础资料!$X$5:$X$24)+SUM(F$7:F1902)-SUM(G$7:G1902))</f>
      </c>
      <c r="J1902" s="141" t="n"/>
      <c r="K1902" s="141" t="n"/>
      <c r="L1902" s="141" t="n"/>
      <c r="M1902" s="142" t="n"/>
      <c r="N1902" s="146">
        <f>IF(AND(AND(F1902="",G1902=""),B1902="",C1902="",D1902="",J1902="",K1902="",L1902=""),"",IF(AND(F1902="",G1902=""),"✗ 没填金额",IF(AND(N(F1902)&lt;&gt;0,N(G1902)&lt;&gt;0),"✗ 收入、支出只能填一边",IF(NOT(ISNUMBER(B1902)),"✗ 日期不是真日期（要像 2026/9/25 这样填）",IF(OR(B1902&lt;年初日,B1902&gt;年末日),"✗ 日期不在本会计年度",IF(C1902="","✗ 没选账户",IF(COUNTIF(基础资料!$W$5:$W$24,C1902)=0,"✗ 账户不在基础资料里",IF(O1902="","✗ 没选收支项目",IF(P1902="未知","✗ 收支项目不在基础资料里",IF(AND(P1902="应收",J1902=""),"✗ 这笔要选客户",IF(AND(P1902="应收",COUNTIF(总览汇总!$B$5:$B$304,J1902)=0),"✗ 客户不在总览汇总名单里",IF(AND(P1902="应付",K1902=""),"✗ 这笔要选供应商",IF(AND(P1902="应付",COUNTIF(基础资料!$Q$5:$Q$54,K1902)=0),"✗ 供应商不在基础资料里",IF(AND(P1902="费用",L1902=""),"✗ 费用支出要选费用项目",IF(AND(L1902&lt;&gt;"",COUNTIF(基础资料!$AI$5:$AI$54,L1902)=0),"✗ 费用项目不在基础资料里",IF(AND(IFERROR(INDEX(基础资料!$AD$5:$AD$34,MATCH(O1902,基础资料!$AC$5:$AC$34,0)),"")="收",N(G1902)&lt;&gt;0),"✗ 这类是收款，金额填到收入列",IF(AND(IFERROR(INDEX(基础资料!$AD$5:$AD$34,MATCH(O1902,基础资料!$AC$5:$AC$34,0)),"")="支",N(F1902)&lt;&gt;0),"✗ 这类是付款，金额填到支出列",IF(N(H1902)&lt;0,"⚠ 账户余额成负数了，核对一下","√"))))))))))))))))))</f>
      </c>
      <c r="O1902" s="78">
        <f>IF(D1902&lt;&gt;"",D1902,IF(AND(F1902="",G1902=""),"",IF(J1902&lt;&gt;"",IF(N(F1902)&gt;0,"客户回款","客户退款"),IF(K1902&lt;&gt;"",IF(N(G1902)&gt;0,"供应商付款","供应商退款"),IF(L1902&lt;&gt;"","费用支出","")))))</f>
      </c>
      <c r="P1902" s="78">
        <f>IF(O1902="","",IFERROR(INDEX(基础资料!$AE$5:$AE$34,MATCH(O1902,基础资料!$AC$5:$AC$34,0)),"未知"))</f>
      </c>
      <c r="Q1902" s="78">
        <f>IF(P1902="应收",COUNTIF(P$7:P1902,"应收"),"")</f>
      </c>
      <c r="R1902" s="78">
        <f>IF(P1902="应付",COUNTIF(P$7:P1902,"应付"),"")</f>
      </c>
      <c r="S1902" s="78">
        <f>N(F1902)-N(G1902)</f>
        <v>0</v>
      </c>
    </row>
    <row r="1903">
      <c r="A1903" s="109">
        <f>IF(AND(F1903="",G1903=""),"",ROW()-6)</f>
      </c>
      <c r="B1903" s="140" t="n"/>
      <c r="C1903" s="141" t="n"/>
      <c r="D1903" s="141" t="n"/>
      <c r="E1903" s="142" t="n"/>
      <c r="F1903" s="143" t="n"/>
      <c r="G1903" s="144" t="n"/>
      <c r="H1903" s="145">
        <f>IF(OR(C1903="",AND(F1903="",G1903="")),"",SUMIF(基础资料!$W$5:$W$24,C1903,基础资料!$X$5:$X$24)+SUMIF(C$7:C1903,C1903,F$7:F1903)-SUMIF(C$7:C1903,C1903,G$7:G1903))</f>
      </c>
      <c r="I1903" s="145">
        <f>IF(AND(F1903="",G1903=""),"",SUM(基础资料!$X$5:$X$24)+SUM(F$7:F1903)-SUM(G$7:G1903))</f>
      </c>
      <c r="J1903" s="141" t="n"/>
      <c r="K1903" s="141" t="n"/>
      <c r="L1903" s="141" t="n"/>
      <c r="M1903" s="142" t="n"/>
      <c r="N1903" s="146">
        <f>IF(AND(AND(F1903="",G1903=""),B1903="",C1903="",D1903="",J1903="",K1903="",L1903=""),"",IF(AND(F1903="",G1903=""),"✗ 没填金额",IF(AND(N(F1903)&lt;&gt;0,N(G1903)&lt;&gt;0),"✗ 收入、支出只能填一边",IF(NOT(ISNUMBER(B1903)),"✗ 日期不是真日期（要像 2026/9/25 这样填）",IF(OR(B1903&lt;年初日,B1903&gt;年末日),"✗ 日期不在本会计年度",IF(C1903="","✗ 没选账户",IF(COUNTIF(基础资料!$W$5:$W$24,C1903)=0,"✗ 账户不在基础资料里",IF(O1903="","✗ 没选收支项目",IF(P1903="未知","✗ 收支项目不在基础资料里",IF(AND(P1903="应收",J1903=""),"✗ 这笔要选客户",IF(AND(P1903="应收",COUNTIF(总览汇总!$B$5:$B$304,J1903)=0),"✗ 客户不在总览汇总名单里",IF(AND(P1903="应付",K1903=""),"✗ 这笔要选供应商",IF(AND(P1903="应付",COUNTIF(基础资料!$Q$5:$Q$54,K1903)=0),"✗ 供应商不在基础资料里",IF(AND(P1903="费用",L1903=""),"✗ 费用支出要选费用项目",IF(AND(L1903&lt;&gt;"",COUNTIF(基础资料!$AI$5:$AI$54,L1903)=0),"✗ 费用项目不在基础资料里",IF(AND(IFERROR(INDEX(基础资料!$AD$5:$AD$34,MATCH(O1903,基础资料!$AC$5:$AC$34,0)),"")="收",N(G1903)&lt;&gt;0),"✗ 这类是收款，金额填到收入列",IF(AND(IFERROR(INDEX(基础资料!$AD$5:$AD$34,MATCH(O1903,基础资料!$AC$5:$AC$34,0)),"")="支",N(F1903)&lt;&gt;0),"✗ 这类是付款，金额填到支出列",IF(N(H1903)&lt;0,"⚠ 账户余额成负数了，核对一下","√"))))))))))))))))))</f>
      </c>
      <c r="O1903" s="78">
        <f>IF(D1903&lt;&gt;"",D1903,IF(AND(F1903="",G1903=""),"",IF(J1903&lt;&gt;"",IF(N(F1903)&gt;0,"客户回款","客户退款"),IF(K1903&lt;&gt;"",IF(N(G1903)&gt;0,"供应商付款","供应商退款"),IF(L1903&lt;&gt;"","费用支出","")))))</f>
      </c>
      <c r="P1903" s="78">
        <f>IF(O1903="","",IFERROR(INDEX(基础资料!$AE$5:$AE$34,MATCH(O1903,基础资料!$AC$5:$AC$34,0)),"未知"))</f>
      </c>
      <c r="Q1903" s="78">
        <f>IF(P1903="应收",COUNTIF(P$7:P1903,"应收"),"")</f>
      </c>
      <c r="R1903" s="78">
        <f>IF(P1903="应付",COUNTIF(P$7:P1903,"应付"),"")</f>
      </c>
      <c r="S1903" s="78">
        <f>N(F1903)-N(G1903)</f>
        <v>0</v>
      </c>
    </row>
    <row r="1904">
      <c r="A1904" s="109">
        <f>IF(AND(F1904="",G1904=""),"",ROW()-6)</f>
      </c>
      <c r="B1904" s="140" t="n"/>
      <c r="C1904" s="141" t="n"/>
      <c r="D1904" s="141" t="n"/>
      <c r="E1904" s="142" t="n"/>
      <c r="F1904" s="143" t="n"/>
      <c r="G1904" s="144" t="n"/>
      <c r="H1904" s="145">
        <f>IF(OR(C1904="",AND(F1904="",G1904="")),"",SUMIF(基础资料!$W$5:$W$24,C1904,基础资料!$X$5:$X$24)+SUMIF(C$7:C1904,C1904,F$7:F1904)-SUMIF(C$7:C1904,C1904,G$7:G1904))</f>
      </c>
      <c r="I1904" s="145">
        <f>IF(AND(F1904="",G1904=""),"",SUM(基础资料!$X$5:$X$24)+SUM(F$7:F1904)-SUM(G$7:G1904))</f>
      </c>
      <c r="J1904" s="141" t="n"/>
      <c r="K1904" s="141" t="n"/>
      <c r="L1904" s="141" t="n"/>
      <c r="M1904" s="142" t="n"/>
      <c r="N1904" s="146">
        <f>IF(AND(AND(F1904="",G1904=""),B1904="",C1904="",D1904="",J1904="",K1904="",L1904=""),"",IF(AND(F1904="",G1904=""),"✗ 没填金额",IF(AND(N(F1904)&lt;&gt;0,N(G1904)&lt;&gt;0),"✗ 收入、支出只能填一边",IF(NOT(ISNUMBER(B1904)),"✗ 日期不是真日期（要像 2026/9/25 这样填）",IF(OR(B1904&lt;年初日,B1904&gt;年末日),"✗ 日期不在本会计年度",IF(C1904="","✗ 没选账户",IF(COUNTIF(基础资料!$W$5:$W$24,C1904)=0,"✗ 账户不在基础资料里",IF(O1904="","✗ 没选收支项目",IF(P1904="未知","✗ 收支项目不在基础资料里",IF(AND(P1904="应收",J1904=""),"✗ 这笔要选客户",IF(AND(P1904="应收",COUNTIF(总览汇总!$B$5:$B$304,J1904)=0),"✗ 客户不在总览汇总名单里",IF(AND(P1904="应付",K1904=""),"✗ 这笔要选供应商",IF(AND(P1904="应付",COUNTIF(基础资料!$Q$5:$Q$54,K1904)=0),"✗ 供应商不在基础资料里",IF(AND(P1904="费用",L1904=""),"✗ 费用支出要选费用项目",IF(AND(L1904&lt;&gt;"",COUNTIF(基础资料!$AI$5:$AI$54,L1904)=0),"✗ 费用项目不在基础资料里",IF(AND(IFERROR(INDEX(基础资料!$AD$5:$AD$34,MATCH(O1904,基础资料!$AC$5:$AC$34,0)),"")="收",N(G1904)&lt;&gt;0),"✗ 这类是收款，金额填到收入列",IF(AND(IFERROR(INDEX(基础资料!$AD$5:$AD$34,MATCH(O1904,基础资料!$AC$5:$AC$34,0)),"")="支",N(F1904)&lt;&gt;0),"✗ 这类是付款，金额填到支出列",IF(N(H1904)&lt;0,"⚠ 账户余额成负数了，核对一下","√"))))))))))))))))))</f>
      </c>
      <c r="O1904" s="78">
        <f>IF(D1904&lt;&gt;"",D1904,IF(AND(F1904="",G1904=""),"",IF(J1904&lt;&gt;"",IF(N(F1904)&gt;0,"客户回款","客户退款"),IF(K1904&lt;&gt;"",IF(N(G1904)&gt;0,"供应商付款","供应商退款"),IF(L1904&lt;&gt;"","费用支出","")))))</f>
      </c>
      <c r="P1904" s="78">
        <f>IF(O1904="","",IFERROR(INDEX(基础资料!$AE$5:$AE$34,MATCH(O1904,基础资料!$AC$5:$AC$34,0)),"未知"))</f>
      </c>
      <c r="Q1904" s="78">
        <f>IF(P1904="应收",COUNTIF(P$7:P1904,"应收"),"")</f>
      </c>
      <c r="R1904" s="78">
        <f>IF(P1904="应付",COUNTIF(P$7:P1904,"应付"),"")</f>
      </c>
      <c r="S1904" s="78">
        <f>N(F1904)-N(G1904)</f>
        <v>0</v>
      </c>
    </row>
    <row r="1905">
      <c r="A1905" s="109">
        <f>IF(AND(F1905="",G1905=""),"",ROW()-6)</f>
      </c>
      <c r="B1905" s="140" t="n"/>
      <c r="C1905" s="141" t="n"/>
      <c r="D1905" s="141" t="n"/>
      <c r="E1905" s="142" t="n"/>
      <c r="F1905" s="143" t="n"/>
      <c r="G1905" s="144" t="n"/>
      <c r="H1905" s="145">
        <f>IF(OR(C1905="",AND(F1905="",G1905="")),"",SUMIF(基础资料!$W$5:$W$24,C1905,基础资料!$X$5:$X$24)+SUMIF(C$7:C1905,C1905,F$7:F1905)-SUMIF(C$7:C1905,C1905,G$7:G1905))</f>
      </c>
      <c r="I1905" s="145">
        <f>IF(AND(F1905="",G1905=""),"",SUM(基础资料!$X$5:$X$24)+SUM(F$7:F1905)-SUM(G$7:G1905))</f>
      </c>
      <c r="J1905" s="141" t="n"/>
      <c r="K1905" s="141" t="n"/>
      <c r="L1905" s="141" t="n"/>
      <c r="M1905" s="142" t="n"/>
      <c r="N1905" s="146">
        <f>IF(AND(AND(F1905="",G1905=""),B1905="",C1905="",D1905="",J1905="",K1905="",L1905=""),"",IF(AND(F1905="",G1905=""),"✗ 没填金额",IF(AND(N(F1905)&lt;&gt;0,N(G1905)&lt;&gt;0),"✗ 收入、支出只能填一边",IF(NOT(ISNUMBER(B1905)),"✗ 日期不是真日期（要像 2026/9/25 这样填）",IF(OR(B1905&lt;年初日,B1905&gt;年末日),"✗ 日期不在本会计年度",IF(C1905="","✗ 没选账户",IF(COUNTIF(基础资料!$W$5:$W$24,C1905)=0,"✗ 账户不在基础资料里",IF(O1905="","✗ 没选收支项目",IF(P1905="未知","✗ 收支项目不在基础资料里",IF(AND(P1905="应收",J1905=""),"✗ 这笔要选客户",IF(AND(P1905="应收",COUNTIF(总览汇总!$B$5:$B$304,J1905)=0),"✗ 客户不在总览汇总名单里",IF(AND(P1905="应付",K1905=""),"✗ 这笔要选供应商",IF(AND(P1905="应付",COUNTIF(基础资料!$Q$5:$Q$54,K1905)=0),"✗ 供应商不在基础资料里",IF(AND(P1905="费用",L1905=""),"✗ 费用支出要选费用项目",IF(AND(L1905&lt;&gt;"",COUNTIF(基础资料!$AI$5:$AI$54,L1905)=0),"✗ 费用项目不在基础资料里",IF(AND(IFERROR(INDEX(基础资料!$AD$5:$AD$34,MATCH(O1905,基础资料!$AC$5:$AC$34,0)),"")="收",N(G1905)&lt;&gt;0),"✗ 这类是收款，金额填到收入列",IF(AND(IFERROR(INDEX(基础资料!$AD$5:$AD$34,MATCH(O1905,基础资料!$AC$5:$AC$34,0)),"")="支",N(F1905)&lt;&gt;0),"✗ 这类是付款，金额填到支出列",IF(N(H1905)&lt;0,"⚠ 账户余额成负数了，核对一下","√"))))))))))))))))))</f>
      </c>
      <c r="O1905" s="78">
        <f>IF(D1905&lt;&gt;"",D1905,IF(AND(F1905="",G1905=""),"",IF(J1905&lt;&gt;"",IF(N(F1905)&gt;0,"客户回款","客户退款"),IF(K1905&lt;&gt;"",IF(N(G1905)&gt;0,"供应商付款","供应商退款"),IF(L1905&lt;&gt;"","费用支出","")))))</f>
      </c>
      <c r="P1905" s="78">
        <f>IF(O1905="","",IFERROR(INDEX(基础资料!$AE$5:$AE$34,MATCH(O1905,基础资料!$AC$5:$AC$34,0)),"未知"))</f>
      </c>
      <c r="Q1905" s="78">
        <f>IF(P1905="应收",COUNTIF(P$7:P1905,"应收"),"")</f>
      </c>
      <c r="R1905" s="78">
        <f>IF(P1905="应付",COUNTIF(P$7:P1905,"应付"),"")</f>
      </c>
      <c r="S1905" s="78">
        <f>N(F1905)-N(G1905)</f>
        <v>0</v>
      </c>
    </row>
    <row r="1906">
      <c r="A1906" s="109">
        <f>IF(AND(F1906="",G1906=""),"",ROW()-6)</f>
      </c>
      <c r="B1906" s="140" t="n"/>
      <c r="C1906" s="141" t="n"/>
      <c r="D1906" s="141" t="n"/>
      <c r="E1906" s="142" t="n"/>
      <c r="F1906" s="143" t="n"/>
      <c r="G1906" s="144" t="n"/>
      <c r="H1906" s="145">
        <f>IF(OR(C1906="",AND(F1906="",G1906="")),"",SUMIF(基础资料!$W$5:$W$24,C1906,基础资料!$X$5:$X$24)+SUMIF(C$7:C1906,C1906,F$7:F1906)-SUMIF(C$7:C1906,C1906,G$7:G1906))</f>
      </c>
      <c r="I1906" s="145">
        <f>IF(AND(F1906="",G1906=""),"",SUM(基础资料!$X$5:$X$24)+SUM(F$7:F1906)-SUM(G$7:G1906))</f>
      </c>
      <c r="J1906" s="141" t="n"/>
      <c r="K1906" s="141" t="n"/>
      <c r="L1906" s="141" t="n"/>
      <c r="M1906" s="142" t="n"/>
      <c r="N1906" s="146">
        <f>IF(AND(AND(F1906="",G1906=""),B1906="",C1906="",D1906="",J1906="",K1906="",L1906=""),"",IF(AND(F1906="",G1906=""),"✗ 没填金额",IF(AND(N(F1906)&lt;&gt;0,N(G1906)&lt;&gt;0),"✗ 收入、支出只能填一边",IF(NOT(ISNUMBER(B1906)),"✗ 日期不是真日期（要像 2026/9/25 这样填）",IF(OR(B1906&lt;年初日,B1906&gt;年末日),"✗ 日期不在本会计年度",IF(C1906="","✗ 没选账户",IF(COUNTIF(基础资料!$W$5:$W$24,C1906)=0,"✗ 账户不在基础资料里",IF(O1906="","✗ 没选收支项目",IF(P1906="未知","✗ 收支项目不在基础资料里",IF(AND(P1906="应收",J1906=""),"✗ 这笔要选客户",IF(AND(P1906="应收",COUNTIF(总览汇总!$B$5:$B$304,J1906)=0),"✗ 客户不在总览汇总名单里",IF(AND(P1906="应付",K1906=""),"✗ 这笔要选供应商",IF(AND(P1906="应付",COUNTIF(基础资料!$Q$5:$Q$54,K1906)=0),"✗ 供应商不在基础资料里",IF(AND(P1906="费用",L1906=""),"✗ 费用支出要选费用项目",IF(AND(L1906&lt;&gt;"",COUNTIF(基础资料!$AI$5:$AI$54,L1906)=0),"✗ 费用项目不在基础资料里",IF(AND(IFERROR(INDEX(基础资料!$AD$5:$AD$34,MATCH(O1906,基础资料!$AC$5:$AC$34,0)),"")="收",N(G1906)&lt;&gt;0),"✗ 这类是收款，金额填到收入列",IF(AND(IFERROR(INDEX(基础资料!$AD$5:$AD$34,MATCH(O1906,基础资料!$AC$5:$AC$34,0)),"")="支",N(F1906)&lt;&gt;0),"✗ 这类是付款，金额填到支出列",IF(N(H1906)&lt;0,"⚠ 账户余额成负数了，核对一下","√"))))))))))))))))))</f>
      </c>
      <c r="O1906" s="78">
        <f>IF(D1906&lt;&gt;"",D1906,IF(AND(F1906="",G1906=""),"",IF(J1906&lt;&gt;"",IF(N(F1906)&gt;0,"客户回款","客户退款"),IF(K1906&lt;&gt;"",IF(N(G1906)&gt;0,"供应商付款","供应商退款"),IF(L1906&lt;&gt;"","费用支出","")))))</f>
      </c>
      <c r="P1906" s="78">
        <f>IF(O1906="","",IFERROR(INDEX(基础资料!$AE$5:$AE$34,MATCH(O1906,基础资料!$AC$5:$AC$34,0)),"未知"))</f>
      </c>
      <c r="Q1906" s="78">
        <f>IF(P1906="应收",COUNTIF(P$7:P1906,"应收"),"")</f>
      </c>
      <c r="R1906" s="78">
        <f>IF(P1906="应付",COUNTIF(P$7:P1906,"应付"),"")</f>
      </c>
      <c r="S1906" s="78">
        <f>N(F1906)-N(G1906)</f>
        <v>0</v>
      </c>
    </row>
    <row r="1907">
      <c r="A1907" s="109">
        <f>IF(AND(F1907="",G1907=""),"",ROW()-6)</f>
      </c>
      <c r="B1907" s="140" t="n"/>
      <c r="C1907" s="141" t="n"/>
      <c r="D1907" s="141" t="n"/>
      <c r="E1907" s="142" t="n"/>
      <c r="F1907" s="143" t="n"/>
      <c r="G1907" s="144" t="n"/>
      <c r="H1907" s="145">
        <f>IF(OR(C1907="",AND(F1907="",G1907="")),"",SUMIF(基础资料!$W$5:$W$24,C1907,基础资料!$X$5:$X$24)+SUMIF(C$7:C1907,C1907,F$7:F1907)-SUMIF(C$7:C1907,C1907,G$7:G1907))</f>
      </c>
      <c r="I1907" s="145">
        <f>IF(AND(F1907="",G1907=""),"",SUM(基础资料!$X$5:$X$24)+SUM(F$7:F1907)-SUM(G$7:G1907))</f>
      </c>
      <c r="J1907" s="141" t="n"/>
      <c r="K1907" s="141" t="n"/>
      <c r="L1907" s="141" t="n"/>
      <c r="M1907" s="142" t="n"/>
      <c r="N1907" s="146">
        <f>IF(AND(AND(F1907="",G1907=""),B1907="",C1907="",D1907="",J1907="",K1907="",L1907=""),"",IF(AND(F1907="",G1907=""),"✗ 没填金额",IF(AND(N(F1907)&lt;&gt;0,N(G1907)&lt;&gt;0),"✗ 收入、支出只能填一边",IF(NOT(ISNUMBER(B1907)),"✗ 日期不是真日期（要像 2026/9/25 这样填）",IF(OR(B1907&lt;年初日,B1907&gt;年末日),"✗ 日期不在本会计年度",IF(C1907="","✗ 没选账户",IF(COUNTIF(基础资料!$W$5:$W$24,C1907)=0,"✗ 账户不在基础资料里",IF(O1907="","✗ 没选收支项目",IF(P1907="未知","✗ 收支项目不在基础资料里",IF(AND(P1907="应收",J1907=""),"✗ 这笔要选客户",IF(AND(P1907="应收",COUNTIF(总览汇总!$B$5:$B$304,J1907)=0),"✗ 客户不在总览汇总名单里",IF(AND(P1907="应付",K1907=""),"✗ 这笔要选供应商",IF(AND(P1907="应付",COUNTIF(基础资料!$Q$5:$Q$54,K1907)=0),"✗ 供应商不在基础资料里",IF(AND(P1907="费用",L1907=""),"✗ 费用支出要选费用项目",IF(AND(L1907&lt;&gt;"",COUNTIF(基础资料!$AI$5:$AI$54,L1907)=0),"✗ 费用项目不在基础资料里",IF(AND(IFERROR(INDEX(基础资料!$AD$5:$AD$34,MATCH(O1907,基础资料!$AC$5:$AC$34,0)),"")="收",N(G1907)&lt;&gt;0),"✗ 这类是收款，金额填到收入列",IF(AND(IFERROR(INDEX(基础资料!$AD$5:$AD$34,MATCH(O1907,基础资料!$AC$5:$AC$34,0)),"")="支",N(F1907)&lt;&gt;0),"✗ 这类是付款，金额填到支出列",IF(N(H1907)&lt;0,"⚠ 账户余额成负数了，核对一下","√"))))))))))))))))))</f>
      </c>
      <c r="O1907" s="78">
        <f>IF(D1907&lt;&gt;"",D1907,IF(AND(F1907="",G1907=""),"",IF(J1907&lt;&gt;"",IF(N(F1907)&gt;0,"客户回款","客户退款"),IF(K1907&lt;&gt;"",IF(N(G1907)&gt;0,"供应商付款","供应商退款"),IF(L1907&lt;&gt;"","费用支出","")))))</f>
      </c>
      <c r="P1907" s="78">
        <f>IF(O1907="","",IFERROR(INDEX(基础资料!$AE$5:$AE$34,MATCH(O1907,基础资料!$AC$5:$AC$34,0)),"未知"))</f>
      </c>
      <c r="Q1907" s="78">
        <f>IF(P1907="应收",COUNTIF(P$7:P1907,"应收"),"")</f>
      </c>
      <c r="R1907" s="78">
        <f>IF(P1907="应付",COUNTIF(P$7:P1907,"应付"),"")</f>
      </c>
      <c r="S1907" s="78">
        <f>N(F1907)-N(G1907)</f>
        <v>0</v>
      </c>
    </row>
    <row r="1908">
      <c r="A1908" s="109">
        <f>IF(AND(F1908="",G1908=""),"",ROW()-6)</f>
      </c>
      <c r="B1908" s="140" t="n"/>
      <c r="C1908" s="141" t="n"/>
      <c r="D1908" s="141" t="n"/>
      <c r="E1908" s="142" t="n"/>
      <c r="F1908" s="143" t="n"/>
      <c r="G1908" s="144" t="n"/>
      <c r="H1908" s="145">
        <f>IF(OR(C1908="",AND(F1908="",G1908="")),"",SUMIF(基础资料!$W$5:$W$24,C1908,基础资料!$X$5:$X$24)+SUMIF(C$7:C1908,C1908,F$7:F1908)-SUMIF(C$7:C1908,C1908,G$7:G1908))</f>
      </c>
      <c r="I1908" s="145">
        <f>IF(AND(F1908="",G1908=""),"",SUM(基础资料!$X$5:$X$24)+SUM(F$7:F1908)-SUM(G$7:G1908))</f>
      </c>
      <c r="J1908" s="141" t="n"/>
      <c r="K1908" s="141" t="n"/>
      <c r="L1908" s="141" t="n"/>
      <c r="M1908" s="142" t="n"/>
      <c r="N1908" s="146">
        <f>IF(AND(AND(F1908="",G1908=""),B1908="",C1908="",D1908="",J1908="",K1908="",L1908=""),"",IF(AND(F1908="",G1908=""),"✗ 没填金额",IF(AND(N(F1908)&lt;&gt;0,N(G1908)&lt;&gt;0),"✗ 收入、支出只能填一边",IF(NOT(ISNUMBER(B1908)),"✗ 日期不是真日期（要像 2026/9/25 这样填）",IF(OR(B1908&lt;年初日,B1908&gt;年末日),"✗ 日期不在本会计年度",IF(C1908="","✗ 没选账户",IF(COUNTIF(基础资料!$W$5:$W$24,C1908)=0,"✗ 账户不在基础资料里",IF(O1908="","✗ 没选收支项目",IF(P1908="未知","✗ 收支项目不在基础资料里",IF(AND(P1908="应收",J1908=""),"✗ 这笔要选客户",IF(AND(P1908="应收",COUNTIF(总览汇总!$B$5:$B$304,J1908)=0),"✗ 客户不在总览汇总名单里",IF(AND(P1908="应付",K1908=""),"✗ 这笔要选供应商",IF(AND(P1908="应付",COUNTIF(基础资料!$Q$5:$Q$54,K1908)=0),"✗ 供应商不在基础资料里",IF(AND(P1908="费用",L1908=""),"✗ 费用支出要选费用项目",IF(AND(L1908&lt;&gt;"",COUNTIF(基础资料!$AI$5:$AI$54,L1908)=0),"✗ 费用项目不在基础资料里",IF(AND(IFERROR(INDEX(基础资料!$AD$5:$AD$34,MATCH(O1908,基础资料!$AC$5:$AC$34,0)),"")="收",N(G1908)&lt;&gt;0),"✗ 这类是收款，金额填到收入列",IF(AND(IFERROR(INDEX(基础资料!$AD$5:$AD$34,MATCH(O1908,基础资料!$AC$5:$AC$34,0)),"")="支",N(F1908)&lt;&gt;0),"✗ 这类是付款，金额填到支出列",IF(N(H1908)&lt;0,"⚠ 账户余额成负数了，核对一下","√"))))))))))))))))))</f>
      </c>
      <c r="O1908" s="78">
        <f>IF(D1908&lt;&gt;"",D1908,IF(AND(F1908="",G1908=""),"",IF(J1908&lt;&gt;"",IF(N(F1908)&gt;0,"客户回款","客户退款"),IF(K1908&lt;&gt;"",IF(N(G1908)&gt;0,"供应商付款","供应商退款"),IF(L1908&lt;&gt;"","费用支出","")))))</f>
      </c>
      <c r="P1908" s="78">
        <f>IF(O1908="","",IFERROR(INDEX(基础资料!$AE$5:$AE$34,MATCH(O1908,基础资料!$AC$5:$AC$34,0)),"未知"))</f>
      </c>
      <c r="Q1908" s="78">
        <f>IF(P1908="应收",COUNTIF(P$7:P1908,"应收"),"")</f>
      </c>
      <c r="R1908" s="78">
        <f>IF(P1908="应付",COUNTIF(P$7:P1908,"应付"),"")</f>
      </c>
      <c r="S1908" s="78">
        <f>N(F1908)-N(G1908)</f>
        <v>0</v>
      </c>
    </row>
    <row r="1909">
      <c r="A1909" s="109">
        <f>IF(AND(F1909="",G1909=""),"",ROW()-6)</f>
      </c>
      <c r="B1909" s="140" t="n"/>
      <c r="C1909" s="141" t="n"/>
      <c r="D1909" s="141" t="n"/>
      <c r="E1909" s="142" t="n"/>
      <c r="F1909" s="143" t="n"/>
      <c r="G1909" s="144" t="n"/>
      <c r="H1909" s="145">
        <f>IF(OR(C1909="",AND(F1909="",G1909="")),"",SUMIF(基础资料!$W$5:$W$24,C1909,基础资料!$X$5:$X$24)+SUMIF(C$7:C1909,C1909,F$7:F1909)-SUMIF(C$7:C1909,C1909,G$7:G1909))</f>
      </c>
      <c r="I1909" s="145">
        <f>IF(AND(F1909="",G1909=""),"",SUM(基础资料!$X$5:$X$24)+SUM(F$7:F1909)-SUM(G$7:G1909))</f>
      </c>
      <c r="J1909" s="141" t="n"/>
      <c r="K1909" s="141" t="n"/>
      <c r="L1909" s="141" t="n"/>
      <c r="M1909" s="142" t="n"/>
      <c r="N1909" s="146">
        <f>IF(AND(AND(F1909="",G1909=""),B1909="",C1909="",D1909="",J1909="",K1909="",L1909=""),"",IF(AND(F1909="",G1909=""),"✗ 没填金额",IF(AND(N(F1909)&lt;&gt;0,N(G1909)&lt;&gt;0),"✗ 收入、支出只能填一边",IF(NOT(ISNUMBER(B1909)),"✗ 日期不是真日期（要像 2026/9/25 这样填）",IF(OR(B1909&lt;年初日,B1909&gt;年末日),"✗ 日期不在本会计年度",IF(C1909="","✗ 没选账户",IF(COUNTIF(基础资料!$W$5:$W$24,C1909)=0,"✗ 账户不在基础资料里",IF(O1909="","✗ 没选收支项目",IF(P1909="未知","✗ 收支项目不在基础资料里",IF(AND(P1909="应收",J1909=""),"✗ 这笔要选客户",IF(AND(P1909="应收",COUNTIF(总览汇总!$B$5:$B$304,J1909)=0),"✗ 客户不在总览汇总名单里",IF(AND(P1909="应付",K1909=""),"✗ 这笔要选供应商",IF(AND(P1909="应付",COUNTIF(基础资料!$Q$5:$Q$54,K1909)=0),"✗ 供应商不在基础资料里",IF(AND(P1909="费用",L1909=""),"✗ 费用支出要选费用项目",IF(AND(L1909&lt;&gt;"",COUNTIF(基础资料!$AI$5:$AI$54,L1909)=0),"✗ 费用项目不在基础资料里",IF(AND(IFERROR(INDEX(基础资料!$AD$5:$AD$34,MATCH(O1909,基础资料!$AC$5:$AC$34,0)),"")="收",N(G1909)&lt;&gt;0),"✗ 这类是收款，金额填到收入列",IF(AND(IFERROR(INDEX(基础资料!$AD$5:$AD$34,MATCH(O1909,基础资料!$AC$5:$AC$34,0)),"")="支",N(F1909)&lt;&gt;0),"✗ 这类是付款，金额填到支出列",IF(N(H1909)&lt;0,"⚠ 账户余额成负数了，核对一下","√"))))))))))))))))))</f>
      </c>
      <c r="O1909" s="78">
        <f>IF(D1909&lt;&gt;"",D1909,IF(AND(F1909="",G1909=""),"",IF(J1909&lt;&gt;"",IF(N(F1909)&gt;0,"客户回款","客户退款"),IF(K1909&lt;&gt;"",IF(N(G1909)&gt;0,"供应商付款","供应商退款"),IF(L1909&lt;&gt;"","费用支出","")))))</f>
      </c>
      <c r="P1909" s="78">
        <f>IF(O1909="","",IFERROR(INDEX(基础资料!$AE$5:$AE$34,MATCH(O1909,基础资料!$AC$5:$AC$34,0)),"未知"))</f>
      </c>
      <c r="Q1909" s="78">
        <f>IF(P1909="应收",COUNTIF(P$7:P1909,"应收"),"")</f>
      </c>
      <c r="R1909" s="78">
        <f>IF(P1909="应付",COUNTIF(P$7:P1909,"应付"),"")</f>
      </c>
      <c r="S1909" s="78">
        <f>N(F1909)-N(G1909)</f>
        <v>0</v>
      </c>
    </row>
    <row r="1910">
      <c r="A1910" s="109">
        <f>IF(AND(F1910="",G1910=""),"",ROW()-6)</f>
      </c>
      <c r="B1910" s="140" t="n"/>
      <c r="C1910" s="141" t="n"/>
      <c r="D1910" s="141" t="n"/>
      <c r="E1910" s="142" t="n"/>
      <c r="F1910" s="143" t="n"/>
      <c r="G1910" s="144" t="n"/>
      <c r="H1910" s="145">
        <f>IF(OR(C1910="",AND(F1910="",G1910="")),"",SUMIF(基础资料!$W$5:$W$24,C1910,基础资料!$X$5:$X$24)+SUMIF(C$7:C1910,C1910,F$7:F1910)-SUMIF(C$7:C1910,C1910,G$7:G1910))</f>
      </c>
      <c r="I1910" s="145">
        <f>IF(AND(F1910="",G1910=""),"",SUM(基础资料!$X$5:$X$24)+SUM(F$7:F1910)-SUM(G$7:G1910))</f>
      </c>
      <c r="J1910" s="141" t="n"/>
      <c r="K1910" s="141" t="n"/>
      <c r="L1910" s="141" t="n"/>
      <c r="M1910" s="142" t="n"/>
      <c r="N1910" s="146">
        <f>IF(AND(AND(F1910="",G1910=""),B1910="",C1910="",D1910="",J1910="",K1910="",L1910=""),"",IF(AND(F1910="",G1910=""),"✗ 没填金额",IF(AND(N(F1910)&lt;&gt;0,N(G1910)&lt;&gt;0),"✗ 收入、支出只能填一边",IF(NOT(ISNUMBER(B1910)),"✗ 日期不是真日期（要像 2026/9/25 这样填）",IF(OR(B1910&lt;年初日,B1910&gt;年末日),"✗ 日期不在本会计年度",IF(C1910="","✗ 没选账户",IF(COUNTIF(基础资料!$W$5:$W$24,C1910)=0,"✗ 账户不在基础资料里",IF(O1910="","✗ 没选收支项目",IF(P1910="未知","✗ 收支项目不在基础资料里",IF(AND(P1910="应收",J1910=""),"✗ 这笔要选客户",IF(AND(P1910="应收",COUNTIF(总览汇总!$B$5:$B$304,J1910)=0),"✗ 客户不在总览汇总名单里",IF(AND(P1910="应付",K1910=""),"✗ 这笔要选供应商",IF(AND(P1910="应付",COUNTIF(基础资料!$Q$5:$Q$54,K1910)=0),"✗ 供应商不在基础资料里",IF(AND(P1910="费用",L1910=""),"✗ 费用支出要选费用项目",IF(AND(L1910&lt;&gt;"",COUNTIF(基础资料!$AI$5:$AI$54,L1910)=0),"✗ 费用项目不在基础资料里",IF(AND(IFERROR(INDEX(基础资料!$AD$5:$AD$34,MATCH(O1910,基础资料!$AC$5:$AC$34,0)),"")="收",N(G1910)&lt;&gt;0),"✗ 这类是收款，金额填到收入列",IF(AND(IFERROR(INDEX(基础资料!$AD$5:$AD$34,MATCH(O1910,基础资料!$AC$5:$AC$34,0)),"")="支",N(F1910)&lt;&gt;0),"✗ 这类是付款，金额填到支出列",IF(N(H1910)&lt;0,"⚠ 账户余额成负数了，核对一下","√"))))))))))))))))))</f>
      </c>
      <c r="O1910" s="78">
        <f>IF(D1910&lt;&gt;"",D1910,IF(AND(F1910="",G1910=""),"",IF(J1910&lt;&gt;"",IF(N(F1910)&gt;0,"客户回款","客户退款"),IF(K1910&lt;&gt;"",IF(N(G1910)&gt;0,"供应商付款","供应商退款"),IF(L1910&lt;&gt;"","费用支出","")))))</f>
      </c>
      <c r="P1910" s="78">
        <f>IF(O1910="","",IFERROR(INDEX(基础资料!$AE$5:$AE$34,MATCH(O1910,基础资料!$AC$5:$AC$34,0)),"未知"))</f>
      </c>
      <c r="Q1910" s="78">
        <f>IF(P1910="应收",COUNTIF(P$7:P1910,"应收"),"")</f>
      </c>
      <c r="R1910" s="78">
        <f>IF(P1910="应付",COUNTIF(P$7:P1910,"应付"),"")</f>
      </c>
      <c r="S1910" s="78">
        <f>N(F1910)-N(G1910)</f>
        <v>0</v>
      </c>
    </row>
    <row r="1911">
      <c r="A1911" s="109">
        <f>IF(AND(F1911="",G1911=""),"",ROW()-6)</f>
      </c>
      <c r="B1911" s="140" t="n"/>
      <c r="C1911" s="141" t="n"/>
      <c r="D1911" s="141" t="n"/>
      <c r="E1911" s="142" t="n"/>
      <c r="F1911" s="143" t="n"/>
      <c r="G1911" s="144" t="n"/>
      <c r="H1911" s="145">
        <f>IF(OR(C1911="",AND(F1911="",G1911="")),"",SUMIF(基础资料!$W$5:$W$24,C1911,基础资料!$X$5:$X$24)+SUMIF(C$7:C1911,C1911,F$7:F1911)-SUMIF(C$7:C1911,C1911,G$7:G1911))</f>
      </c>
      <c r="I1911" s="145">
        <f>IF(AND(F1911="",G1911=""),"",SUM(基础资料!$X$5:$X$24)+SUM(F$7:F1911)-SUM(G$7:G1911))</f>
      </c>
      <c r="J1911" s="141" t="n"/>
      <c r="K1911" s="141" t="n"/>
      <c r="L1911" s="141" t="n"/>
      <c r="M1911" s="142" t="n"/>
      <c r="N1911" s="146">
        <f>IF(AND(AND(F1911="",G1911=""),B1911="",C1911="",D1911="",J1911="",K1911="",L1911=""),"",IF(AND(F1911="",G1911=""),"✗ 没填金额",IF(AND(N(F1911)&lt;&gt;0,N(G1911)&lt;&gt;0),"✗ 收入、支出只能填一边",IF(NOT(ISNUMBER(B1911)),"✗ 日期不是真日期（要像 2026/9/25 这样填）",IF(OR(B1911&lt;年初日,B1911&gt;年末日),"✗ 日期不在本会计年度",IF(C1911="","✗ 没选账户",IF(COUNTIF(基础资料!$W$5:$W$24,C1911)=0,"✗ 账户不在基础资料里",IF(O1911="","✗ 没选收支项目",IF(P1911="未知","✗ 收支项目不在基础资料里",IF(AND(P1911="应收",J1911=""),"✗ 这笔要选客户",IF(AND(P1911="应收",COUNTIF(总览汇总!$B$5:$B$304,J1911)=0),"✗ 客户不在总览汇总名单里",IF(AND(P1911="应付",K1911=""),"✗ 这笔要选供应商",IF(AND(P1911="应付",COUNTIF(基础资料!$Q$5:$Q$54,K1911)=0),"✗ 供应商不在基础资料里",IF(AND(P1911="费用",L1911=""),"✗ 费用支出要选费用项目",IF(AND(L1911&lt;&gt;"",COUNTIF(基础资料!$AI$5:$AI$54,L1911)=0),"✗ 费用项目不在基础资料里",IF(AND(IFERROR(INDEX(基础资料!$AD$5:$AD$34,MATCH(O1911,基础资料!$AC$5:$AC$34,0)),"")="收",N(G1911)&lt;&gt;0),"✗ 这类是收款，金额填到收入列",IF(AND(IFERROR(INDEX(基础资料!$AD$5:$AD$34,MATCH(O1911,基础资料!$AC$5:$AC$34,0)),"")="支",N(F1911)&lt;&gt;0),"✗ 这类是付款，金额填到支出列",IF(N(H1911)&lt;0,"⚠ 账户余额成负数了，核对一下","√"))))))))))))))))))</f>
      </c>
      <c r="O1911" s="78">
        <f>IF(D1911&lt;&gt;"",D1911,IF(AND(F1911="",G1911=""),"",IF(J1911&lt;&gt;"",IF(N(F1911)&gt;0,"客户回款","客户退款"),IF(K1911&lt;&gt;"",IF(N(G1911)&gt;0,"供应商付款","供应商退款"),IF(L1911&lt;&gt;"","费用支出","")))))</f>
      </c>
      <c r="P1911" s="78">
        <f>IF(O1911="","",IFERROR(INDEX(基础资料!$AE$5:$AE$34,MATCH(O1911,基础资料!$AC$5:$AC$34,0)),"未知"))</f>
      </c>
      <c r="Q1911" s="78">
        <f>IF(P1911="应收",COUNTIF(P$7:P1911,"应收"),"")</f>
      </c>
      <c r="R1911" s="78">
        <f>IF(P1911="应付",COUNTIF(P$7:P1911,"应付"),"")</f>
      </c>
      <c r="S1911" s="78">
        <f>N(F1911)-N(G1911)</f>
        <v>0</v>
      </c>
    </row>
    <row r="1912">
      <c r="A1912" s="109">
        <f>IF(AND(F1912="",G1912=""),"",ROW()-6)</f>
      </c>
      <c r="B1912" s="140" t="n"/>
      <c r="C1912" s="141" t="n"/>
      <c r="D1912" s="141" t="n"/>
      <c r="E1912" s="142" t="n"/>
      <c r="F1912" s="143" t="n"/>
      <c r="G1912" s="144" t="n"/>
      <c r="H1912" s="145">
        <f>IF(OR(C1912="",AND(F1912="",G1912="")),"",SUMIF(基础资料!$W$5:$W$24,C1912,基础资料!$X$5:$X$24)+SUMIF(C$7:C1912,C1912,F$7:F1912)-SUMIF(C$7:C1912,C1912,G$7:G1912))</f>
      </c>
      <c r="I1912" s="145">
        <f>IF(AND(F1912="",G1912=""),"",SUM(基础资料!$X$5:$X$24)+SUM(F$7:F1912)-SUM(G$7:G1912))</f>
      </c>
      <c r="J1912" s="141" t="n"/>
      <c r="K1912" s="141" t="n"/>
      <c r="L1912" s="141" t="n"/>
      <c r="M1912" s="142" t="n"/>
      <c r="N1912" s="146">
        <f>IF(AND(AND(F1912="",G1912=""),B1912="",C1912="",D1912="",J1912="",K1912="",L1912=""),"",IF(AND(F1912="",G1912=""),"✗ 没填金额",IF(AND(N(F1912)&lt;&gt;0,N(G1912)&lt;&gt;0),"✗ 收入、支出只能填一边",IF(NOT(ISNUMBER(B1912)),"✗ 日期不是真日期（要像 2026/9/25 这样填）",IF(OR(B1912&lt;年初日,B1912&gt;年末日),"✗ 日期不在本会计年度",IF(C1912="","✗ 没选账户",IF(COUNTIF(基础资料!$W$5:$W$24,C1912)=0,"✗ 账户不在基础资料里",IF(O1912="","✗ 没选收支项目",IF(P1912="未知","✗ 收支项目不在基础资料里",IF(AND(P1912="应收",J1912=""),"✗ 这笔要选客户",IF(AND(P1912="应收",COUNTIF(总览汇总!$B$5:$B$304,J1912)=0),"✗ 客户不在总览汇总名单里",IF(AND(P1912="应付",K1912=""),"✗ 这笔要选供应商",IF(AND(P1912="应付",COUNTIF(基础资料!$Q$5:$Q$54,K1912)=0),"✗ 供应商不在基础资料里",IF(AND(P1912="费用",L1912=""),"✗ 费用支出要选费用项目",IF(AND(L1912&lt;&gt;"",COUNTIF(基础资料!$AI$5:$AI$54,L1912)=0),"✗ 费用项目不在基础资料里",IF(AND(IFERROR(INDEX(基础资料!$AD$5:$AD$34,MATCH(O1912,基础资料!$AC$5:$AC$34,0)),"")="收",N(G1912)&lt;&gt;0),"✗ 这类是收款，金额填到收入列",IF(AND(IFERROR(INDEX(基础资料!$AD$5:$AD$34,MATCH(O1912,基础资料!$AC$5:$AC$34,0)),"")="支",N(F1912)&lt;&gt;0),"✗ 这类是付款，金额填到支出列",IF(N(H1912)&lt;0,"⚠ 账户余额成负数了，核对一下","√"))))))))))))))))))</f>
      </c>
      <c r="O1912" s="78">
        <f>IF(D1912&lt;&gt;"",D1912,IF(AND(F1912="",G1912=""),"",IF(J1912&lt;&gt;"",IF(N(F1912)&gt;0,"客户回款","客户退款"),IF(K1912&lt;&gt;"",IF(N(G1912)&gt;0,"供应商付款","供应商退款"),IF(L1912&lt;&gt;"","费用支出","")))))</f>
      </c>
      <c r="P1912" s="78">
        <f>IF(O1912="","",IFERROR(INDEX(基础资料!$AE$5:$AE$34,MATCH(O1912,基础资料!$AC$5:$AC$34,0)),"未知"))</f>
      </c>
      <c r="Q1912" s="78">
        <f>IF(P1912="应收",COUNTIF(P$7:P1912,"应收"),"")</f>
      </c>
      <c r="R1912" s="78">
        <f>IF(P1912="应付",COUNTIF(P$7:P1912,"应付"),"")</f>
      </c>
      <c r="S1912" s="78">
        <f>N(F1912)-N(G1912)</f>
        <v>0</v>
      </c>
    </row>
    <row r="1913">
      <c r="A1913" s="109">
        <f>IF(AND(F1913="",G1913=""),"",ROW()-6)</f>
      </c>
      <c r="B1913" s="140" t="n"/>
      <c r="C1913" s="141" t="n"/>
      <c r="D1913" s="141" t="n"/>
      <c r="E1913" s="142" t="n"/>
      <c r="F1913" s="143" t="n"/>
      <c r="G1913" s="144" t="n"/>
      <c r="H1913" s="145">
        <f>IF(OR(C1913="",AND(F1913="",G1913="")),"",SUMIF(基础资料!$W$5:$W$24,C1913,基础资料!$X$5:$X$24)+SUMIF(C$7:C1913,C1913,F$7:F1913)-SUMIF(C$7:C1913,C1913,G$7:G1913))</f>
      </c>
      <c r="I1913" s="145">
        <f>IF(AND(F1913="",G1913=""),"",SUM(基础资料!$X$5:$X$24)+SUM(F$7:F1913)-SUM(G$7:G1913))</f>
      </c>
      <c r="J1913" s="141" t="n"/>
      <c r="K1913" s="141" t="n"/>
      <c r="L1913" s="141" t="n"/>
      <c r="M1913" s="142" t="n"/>
      <c r="N1913" s="146">
        <f>IF(AND(AND(F1913="",G1913=""),B1913="",C1913="",D1913="",J1913="",K1913="",L1913=""),"",IF(AND(F1913="",G1913=""),"✗ 没填金额",IF(AND(N(F1913)&lt;&gt;0,N(G1913)&lt;&gt;0),"✗ 收入、支出只能填一边",IF(NOT(ISNUMBER(B1913)),"✗ 日期不是真日期（要像 2026/9/25 这样填）",IF(OR(B1913&lt;年初日,B1913&gt;年末日),"✗ 日期不在本会计年度",IF(C1913="","✗ 没选账户",IF(COUNTIF(基础资料!$W$5:$W$24,C1913)=0,"✗ 账户不在基础资料里",IF(O1913="","✗ 没选收支项目",IF(P1913="未知","✗ 收支项目不在基础资料里",IF(AND(P1913="应收",J1913=""),"✗ 这笔要选客户",IF(AND(P1913="应收",COUNTIF(总览汇总!$B$5:$B$304,J1913)=0),"✗ 客户不在总览汇总名单里",IF(AND(P1913="应付",K1913=""),"✗ 这笔要选供应商",IF(AND(P1913="应付",COUNTIF(基础资料!$Q$5:$Q$54,K1913)=0),"✗ 供应商不在基础资料里",IF(AND(P1913="费用",L1913=""),"✗ 费用支出要选费用项目",IF(AND(L1913&lt;&gt;"",COUNTIF(基础资料!$AI$5:$AI$54,L1913)=0),"✗ 费用项目不在基础资料里",IF(AND(IFERROR(INDEX(基础资料!$AD$5:$AD$34,MATCH(O1913,基础资料!$AC$5:$AC$34,0)),"")="收",N(G1913)&lt;&gt;0),"✗ 这类是收款，金额填到收入列",IF(AND(IFERROR(INDEX(基础资料!$AD$5:$AD$34,MATCH(O1913,基础资料!$AC$5:$AC$34,0)),"")="支",N(F1913)&lt;&gt;0),"✗ 这类是付款，金额填到支出列",IF(N(H1913)&lt;0,"⚠ 账户余额成负数了，核对一下","√"))))))))))))))))))</f>
      </c>
      <c r="O1913" s="78">
        <f>IF(D1913&lt;&gt;"",D1913,IF(AND(F1913="",G1913=""),"",IF(J1913&lt;&gt;"",IF(N(F1913)&gt;0,"客户回款","客户退款"),IF(K1913&lt;&gt;"",IF(N(G1913)&gt;0,"供应商付款","供应商退款"),IF(L1913&lt;&gt;"","费用支出","")))))</f>
      </c>
      <c r="P1913" s="78">
        <f>IF(O1913="","",IFERROR(INDEX(基础资料!$AE$5:$AE$34,MATCH(O1913,基础资料!$AC$5:$AC$34,0)),"未知"))</f>
      </c>
      <c r="Q1913" s="78">
        <f>IF(P1913="应收",COUNTIF(P$7:P1913,"应收"),"")</f>
      </c>
      <c r="R1913" s="78">
        <f>IF(P1913="应付",COUNTIF(P$7:P1913,"应付"),"")</f>
      </c>
      <c r="S1913" s="78">
        <f>N(F1913)-N(G1913)</f>
        <v>0</v>
      </c>
    </row>
    <row r="1914">
      <c r="A1914" s="109">
        <f>IF(AND(F1914="",G1914=""),"",ROW()-6)</f>
      </c>
      <c r="B1914" s="140" t="n"/>
      <c r="C1914" s="141" t="n"/>
      <c r="D1914" s="141" t="n"/>
      <c r="E1914" s="142" t="n"/>
      <c r="F1914" s="143" t="n"/>
      <c r="G1914" s="144" t="n"/>
      <c r="H1914" s="145">
        <f>IF(OR(C1914="",AND(F1914="",G1914="")),"",SUMIF(基础资料!$W$5:$W$24,C1914,基础资料!$X$5:$X$24)+SUMIF(C$7:C1914,C1914,F$7:F1914)-SUMIF(C$7:C1914,C1914,G$7:G1914))</f>
      </c>
      <c r="I1914" s="145">
        <f>IF(AND(F1914="",G1914=""),"",SUM(基础资料!$X$5:$X$24)+SUM(F$7:F1914)-SUM(G$7:G1914))</f>
      </c>
      <c r="J1914" s="141" t="n"/>
      <c r="K1914" s="141" t="n"/>
      <c r="L1914" s="141" t="n"/>
      <c r="M1914" s="142" t="n"/>
      <c r="N1914" s="146">
        <f>IF(AND(AND(F1914="",G1914=""),B1914="",C1914="",D1914="",J1914="",K1914="",L1914=""),"",IF(AND(F1914="",G1914=""),"✗ 没填金额",IF(AND(N(F1914)&lt;&gt;0,N(G1914)&lt;&gt;0),"✗ 收入、支出只能填一边",IF(NOT(ISNUMBER(B1914)),"✗ 日期不是真日期（要像 2026/9/25 这样填）",IF(OR(B1914&lt;年初日,B1914&gt;年末日),"✗ 日期不在本会计年度",IF(C1914="","✗ 没选账户",IF(COUNTIF(基础资料!$W$5:$W$24,C1914)=0,"✗ 账户不在基础资料里",IF(O1914="","✗ 没选收支项目",IF(P1914="未知","✗ 收支项目不在基础资料里",IF(AND(P1914="应收",J1914=""),"✗ 这笔要选客户",IF(AND(P1914="应收",COUNTIF(总览汇总!$B$5:$B$304,J1914)=0),"✗ 客户不在总览汇总名单里",IF(AND(P1914="应付",K1914=""),"✗ 这笔要选供应商",IF(AND(P1914="应付",COUNTIF(基础资料!$Q$5:$Q$54,K1914)=0),"✗ 供应商不在基础资料里",IF(AND(P1914="费用",L1914=""),"✗ 费用支出要选费用项目",IF(AND(L1914&lt;&gt;"",COUNTIF(基础资料!$AI$5:$AI$54,L1914)=0),"✗ 费用项目不在基础资料里",IF(AND(IFERROR(INDEX(基础资料!$AD$5:$AD$34,MATCH(O1914,基础资料!$AC$5:$AC$34,0)),"")="收",N(G1914)&lt;&gt;0),"✗ 这类是收款，金额填到收入列",IF(AND(IFERROR(INDEX(基础资料!$AD$5:$AD$34,MATCH(O1914,基础资料!$AC$5:$AC$34,0)),"")="支",N(F1914)&lt;&gt;0),"✗ 这类是付款，金额填到支出列",IF(N(H1914)&lt;0,"⚠ 账户余额成负数了，核对一下","√"))))))))))))))))))</f>
      </c>
      <c r="O1914" s="78">
        <f>IF(D1914&lt;&gt;"",D1914,IF(AND(F1914="",G1914=""),"",IF(J1914&lt;&gt;"",IF(N(F1914)&gt;0,"客户回款","客户退款"),IF(K1914&lt;&gt;"",IF(N(G1914)&gt;0,"供应商付款","供应商退款"),IF(L1914&lt;&gt;"","费用支出","")))))</f>
      </c>
      <c r="P1914" s="78">
        <f>IF(O1914="","",IFERROR(INDEX(基础资料!$AE$5:$AE$34,MATCH(O1914,基础资料!$AC$5:$AC$34,0)),"未知"))</f>
      </c>
      <c r="Q1914" s="78">
        <f>IF(P1914="应收",COUNTIF(P$7:P1914,"应收"),"")</f>
      </c>
      <c r="R1914" s="78">
        <f>IF(P1914="应付",COUNTIF(P$7:P1914,"应付"),"")</f>
      </c>
      <c r="S1914" s="78">
        <f>N(F1914)-N(G1914)</f>
        <v>0</v>
      </c>
    </row>
    <row r="1915">
      <c r="A1915" s="109">
        <f>IF(AND(F1915="",G1915=""),"",ROW()-6)</f>
      </c>
      <c r="B1915" s="140" t="n"/>
      <c r="C1915" s="141" t="n"/>
      <c r="D1915" s="141" t="n"/>
      <c r="E1915" s="142" t="n"/>
      <c r="F1915" s="143" t="n"/>
      <c r="G1915" s="144" t="n"/>
      <c r="H1915" s="145">
        <f>IF(OR(C1915="",AND(F1915="",G1915="")),"",SUMIF(基础资料!$W$5:$W$24,C1915,基础资料!$X$5:$X$24)+SUMIF(C$7:C1915,C1915,F$7:F1915)-SUMIF(C$7:C1915,C1915,G$7:G1915))</f>
      </c>
      <c r="I1915" s="145">
        <f>IF(AND(F1915="",G1915=""),"",SUM(基础资料!$X$5:$X$24)+SUM(F$7:F1915)-SUM(G$7:G1915))</f>
      </c>
      <c r="J1915" s="141" t="n"/>
      <c r="K1915" s="141" t="n"/>
      <c r="L1915" s="141" t="n"/>
      <c r="M1915" s="142" t="n"/>
      <c r="N1915" s="146">
        <f>IF(AND(AND(F1915="",G1915=""),B1915="",C1915="",D1915="",J1915="",K1915="",L1915=""),"",IF(AND(F1915="",G1915=""),"✗ 没填金额",IF(AND(N(F1915)&lt;&gt;0,N(G1915)&lt;&gt;0),"✗ 收入、支出只能填一边",IF(NOT(ISNUMBER(B1915)),"✗ 日期不是真日期（要像 2026/9/25 这样填）",IF(OR(B1915&lt;年初日,B1915&gt;年末日),"✗ 日期不在本会计年度",IF(C1915="","✗ 没选账户",IF(COUNTIF(基础资料!$W$5:$W$24,C1915)=0,"✗ 账户不在基础资料里",IF(O1915="","✗ 没选收支项目",IF(P1915="未知","✗ 收支项目不在基础资料里",IF(AND(P1915="应收",J1915=""),"✗ 这笔要选客户",IF(AND(P1915="应收",COUNTIF(总览汇总!$B$5:$B$304,J1915)=0),"✗ 客户不在总览汇总名单里",IF(AND(P1915="应付",K1915=""),"✗ 这笔要选供应商",IF(AND(P1915="应付",COUNTIF(基础资料!$Q$5:$Q$54,K1915)=0),"✗ 供应商不在基础资料里",IF(AND(P1915="费用",L1915=""),"✗ 费用支出要选费用项目",IF(AND(L1915&lt;&gt;"",COUNTIF(基础资料!$AI$5:$AI$54,L1915)=0),"✗ 费用项目不在基础资料里",IF(AND(IFERROR(INDEX(基础资料!$AD$5:$AD$34,MATCH(O1915,基础资料!$AC$5:$AC$34,0)),"")="收",N(G1915)&lt;&gt;0),"✗ 这类是收款，金额填到收入列",IF(AND(IFERROR(INDEX(基础资料!$AD$5:$AD$34,MATCH(O1915,基础资料!$AC$5:$AC$34,0)),"")="支",N(F1915)&lt;&gt;0),"✗ 这类是付款，金额填到支出列",IF(N(H1915)&lt;0,"⚠ 账户余额成负数了，核对一下","√"))))))))))))))))))</f>
      </c>
      <c r="O1915" s="78">
        <f>IF(D1915&lt;&gt;"",D1915,IF(AND(F1915="",G1915=""),"",IF(J1915&lt;&gt;"",IF(N(F1915)&gt;0,"客户回款","客户退款"),IF(K1915&lt;&gt;"",IF(N(G1915)&gt;0,"供应商付款","供应商退款"),IF(L1915&lt;&gt;"","费用支出","")))))</f>
      </c>
      <c r="P1915" s="78">
        <f>IF(O1915="","",IFERROR(INDEX(基础资料!$AE$5:$AE$34,MATCH(O1915,基础资料!$AC$5:$AC$34,0)),"未知"))</f>
      </c>
      <c r="Q1915" s="78">
        <f>IF(P1915="应收",COUNTIF(P$7:P1915,"应收"),"")</f>
      </c>
      <c r="R1915" s="78">
        <f>IF(P1915="应付",COUNTIF(P$7:P1915,"应付"),"")</f>
      </c>
      <c r="S1915" s="78">
        <f>N(F1915)-N(G1915)</f>
        <v>0</v>
      </c>
    </row>
    <row r="1916">
      <c r="A1916" s="109">
        <f>IF(AND(F1916="",G1916=""),"",ROW()-6)</f>
      </c>
      <c r="B1916" s="140" t="n"/>
      <c r="C1916" s="141" t="n"/>
      <c r="D1916" s="141" t="n"/>
      <c r="E1916" s="142" t="n"/>
      <c r="F1916" s="143" t="n"/>
      <c r="G1916" s="144" t="n"/>
      <c r="H1916" s="145">
        <f>IF(OR(C1916="",AND(F1916="",G1916="")),"",SUMIF(基础资料!$W$5:$W$24,C1916,基础资料!$X$5:$X$24)+SUMIF(C$7:C1916,C1916,F$7:F1916)-SUMIF(C$7:C1916,C1916,G$7:G1916))</f>
      </c>
      <c r="I1916" s="145">
        <f>IF(AND(F1916="",G1916=""),"",SUM(基础资料!$X$5:$X$24)+SUM(F$7:F1916)-SUM(G$7:G1916))</f>
      </c>
      <c r="J1916" s="141" t="n"/>
      <c r="K1916" s="141" t="n"/>
      <c r="L1916" s="141" t="n"/>
      <c r="M1916" s="142" t="n"/>
      <c r="N1916" s="146">
        <f>IF(AND(AND(F1916="",G1916=""),B1916="",C1916="",D1916="",J1916="",K1916="",L1916=""),"",IF(AND(F1916="",G1916=""),"✗ 没填金额",IF(AND(N(F1916)&lt;&gt;0,N(G1916)&lt;&gt;0),"✗ 收入、支出只能填一边",IF(NOT(ISNUMBER(B1916)),"✗ 日期不是真日期（要像 2026/9/25 这样填）",IF(OR(B1916&lt;年初日,B1916&gt;年末日),"✗ 日期不在本会计年度",IF(C1916="","✗ 没选账户",IF(COUNTIF(基础资料!$W$5:$W$24,C1916)=0,"✗ 账户不在基础资料里",IF(O1916="","✗ 没选收支项目",IF(P1916="未知","✗ 收支项目不在基础资料里",IF(AND(P1916="应收",J1916=""),"✗ 这笔要选客户",IF(AND(P1916="应收",COUNTIF(总览汇总!$B$5:$B$304,J1916)=0),"✗ 客户不在总览汇总名单里",IF(AND(P1916="应付",K1916=""),"✗ 这笔要选供应商",IF(AND(P1916="应付",COUNTIF(基础资料!$Q$5:$Q$54,K1916)=0),"✗ 供应商不在基础资料里",IF(AND(P1916="费用",L1916=""),"✗ 费用支出要选费用项目",IF(AND(L1916&lt;&gt;"",COUNTIF(基础资料!$AI$5:$AI$54,L1916)=0),"✗ 费用项目不在基础资料里",IF(AND(IFERROR(INDEX(基础资料!$AD$5:$AD$34,MATCH(O1916,基础资料!$AC$5:$AC$34,0)),"")="收",N(G1916)&lt;&gt;0),"✗ 这类是收款，金额填到收入列",IF(AND(IFERROR(INDEX(基础资料!$AD$5:$AD$34,MATCH(O1916,基础资料!$AC$5:$AC$34,0)),"")="支",N(F1916)&lt;&gt;0),"✗ 这类是付款，金额填到支出列",IF(N(H1916)&lt;0,"⚠ 账户余额成负数了，核对一下","√"))))))))))))))))))</f>
      </c>
      <c r="O1916" s="78">
        <f>IF(D1916&lt;&gt;"",D1916,IF(AND(F1916="",G1916=""),"",IF(J1916&lt;&gt;"",IF(N(F1916)&gt;0,"客户回款","客户退款"),IF(K1916&lt;&gt;"",IF(N(G1916)&gt;0,"供应商付款","供应商退款"),IF(L1916&lt;&gt;"","费用支出","")))))</f>
      </c>
      <c r="P1916" s="78">
        <f>IF(O1916="","",IFERROR(INDEX(基础资料!$AE$5:$AE$34,MATCH(O1916,基础资料!$AC$5:$AC$34,0)),"未知"))</f>
      </c>
      <c r="Q1916" s="78">
        <f>IF(P1916="应收",COUNTIF(P$7:P1916,"应收"),"")</f>
      </c>
      <c r="R1916" s="78">
        <f>IF(P1916="应付",COUNTIF(P$7:P1916,"应付"),"")</f>
      </c>
      <c r="S1916" s="78">
        <f>N(F1916)-N(G1916)</f>
        <v>0</v>
      </c>
    </row>
    <row r="1917">
      <c r="A1917" s="109">
        <f>IF(AND(F1917="",G1917=""),"",ROW()-6)</f>
      </c>
      <c r="B1917" s="140" t="n"/>
      <c r="C1917" s="141" t="n"/>
      <c r="D1917" s="141" t="n"/>
      <c r="E1917" s="142" t="n"/>
      <c r="F1917" s="143" t="n"/>
      <c r="G1917" s="144" t="n"/>
      <c r="H1917" s="145">
        <f>IF(OR(C1917="",AND(F1917="",G1917="")),"",SUMIF(基础资料!$W$5:$W$24,C1917,基础资料!$X$5:$X$24)+SUMIF(C$7:C1917,C1917,F$7:F1917)-SUMIF(C$7:C1917,C1917,G$7:G1917))</f>
      </c>
      <c r="I1917" s="145">
        <f>IF(AND(F1917="",G1917=""),"",SUM(基础资料!$X$5:$X$24)+SUM(F$7:F1917)-SUM(G$7:G1917))</f>
      </c>
      <c r="J1917" s="141" t="n"/>
      <c r="K1917" s="141" t="n"/>
      <c r="L1917" s="141" t="n"/>
      <c r="M1917" s="142" t="n"/>
      <c r="N1917" s="146">
        <f>IF(AND(AND(F1917="",G1917=""),B1917="",C1917="",D1917="",J1917="",K1917="",L1917=""),"",IF(AND(F1917="",G1917=""),"✗ 没填金额",IF(AND(N(F1917)&lt;&gt;0,N(G1917)&lt;&gt;0),"✗ 收入、支出只能填一边",IF(NOT(ISNUMBER(B1917)),"✗ 日期不是真日期（要像 2026/9/25 这样填）",IF(OR(B1917&lt;年初日,B1917&gt;年末日),"✗ 日期不在本会计年度",IF(C1917="","✗ 没选账户",IF(COUNTIF(基础资料!$W$5:$W$24,C1917)=0,"✗ 账户不在基础资料里",IF(O1917="","✗ 没选收支项目",IF(P1917="未知","✗ 收支项目不在基础资料里",IF(AND(P1917="应收",J1917=""),"✗ 这笔要选客户",IF(AND(P1917="应收",COUNTIF(总览汇总!$B$5:$B$304,J1917)=0),"✗ 客户不在总览汇总名单里",IF(AND(P1917="应付",K1917=""),"✗ 这笔要选供应商",IF(AND(P1917="应付",COUNTIF(基础资料!$Q$5:$Q$54,K1917)=0),"✗ 供应商不在基础资料里",IF(AND(P1917="费用",L1917=""),"✗ 费用支出要选费用项目",IF(AND(L1917&lt;&gt;"",COUNTIF(基础资料!$AI$5:$AI$54,L1917)=0),"✗ 费用项目不在基础资料里",IF(AND(IFERROR(INDEX(基础资料!$AD$5:$AD$34,MATCH(O1917,基础资料!$AC$5:$AC$34,0)),"")="收",N(G1917)&lt;&gt;0),"✗ 这类是收款，金额填到收入列",IF(AND(IFERROR(INDEX(基础资料!$AD$5:$AD$34,MATCH(O1917,基础资料!$AC$5:$AC$34,0)),"")="支",N(F1917)&lt;&gt;0),"✗ 这类是付款，金额填到支出列",IF(N(H1917)&lt;0,"⚠ 账户余额成负数了，核对一下","√"))))))))))))))))))</f>
      </c>
      <c r="O1917" s="78">
        <f>IF(D1917&lt;&gt;"",D1917,IF(AND(F1917="",G1917=""),"",IF(J1917&lt;&gt;"",IF(N(F1917)&gt;0,"客户回款","客户退款"),IF(K1917&lt;&gt;"",IF(N(G1917)&gt;0,"供应商付款","供应商退款"),IF(L1917&lt;&gt;"","费用支出","")))))</f>
      </c>
      <c r="P1917" s="78">
        <f>IF(O1917="","",IFERROR(INDEX(基础资料!$AE$5:$AE$34,MATCH(O1917,基础资料!$AC$5:$AC$34,0)),"未知"))</f>
      </c>
      <c r="Q1917" s="78">
        <f>IF(P1917="应收",COUNTIF(P$7:P1917,"应收"),"")</f>
      </c>
      <c r="R1917" s="78">
        <f>IF(P1917="应付",COUNTIF(P$7:P1917,"应付"),"")</f>
      </c>
      <c r="S1917" s="78">
        <f>N(F1917)-N(G1917)</f>
        <v>0</v>
      </c>
    </row>
    <row r="1918">
      <c r="A1918" s="109">
        <f>IF(AND(F1918="",G1918=""),"",ROW()-6)</f>
      </c>
      <c r="B1918" s="140" t="n"/>
      <c r="C1918" s="141" t="n"/>
      <c r="D1918" s="141" t="n"/>
      <c r="E1918" s="142" t="n"/>
      <c r="F1918" s="143" t="n"/>
      <c r="G1918" s="144" t="n"/>
      <c r="H1918" s="145">
        <f>IF(OR(C1918="",AND(F1918="",G1918="")),"",SUMIF(基础资料!$W$5:$W$24,C1918,基础资料!$X$5:$X$24)+SUMIF(C$7:C1918,C1918,F$7:F1918)-SUMIF(C$7:C1918,C1918,G$7:G1918))</f>
      </c>
      <c r="I1918" s="145">
        <f>IF(AND(F1918="",G1918=""),"",SUM(基础资料!$X$5:$X$24)+SUM(F$7:F1918)-SUM(G$7:G1918))</f>
      </c>
      <c r="J1918" s="141" t="n"/>
      <c r="K1918" s="141" t="n"/>
      <c r="L1918" s="141" t="n"/>
      <c r="M1918" s="142" t="n"/>
      <c r="N1918" s="146">
        <f>IF(AND(AND(F1918="",G1918=""),B1918="",C1918="",D1918="",J1918="",K1918="",L1918=""),"",IF(AND(F1918="",G1918=""),"✗ 没填金额",IF(AND(N(F1918)&lt;&gt;0,N(G1918)&lt;&gt;0),"✗ 收入、支出只能填一边",IF(NOT(ISNUMBER(B1918)),"✗ 日期不是真日期（要像 2026/9/25 这样填）",IF(OR(B1918&lt;年初日,B1918&gt;年末日),"✗ 日期不在本会计年度",IF(C1918="","✗ 没选账户",IF(COUNTIF(基础资料!$W$5:$W$24,C1918)=0,"✗ 账户不在基础资料里",IF(O1918="","✗ 没选收支项目",IF(P1918="未知","✗ 收支项目不在基础资料里",IF(AND(P1918="应收",J1918=""),"✗ 这笔要选客户",IF(AND(P1918="应收",COUNTIF(总览汇总!$B$5:$B$304,J1918)=0),"✗ 客户不在总览汇总名单里",IF(AND(P1918="应付",K1918=""),"✗ 这笔要选供应商",IF(AND(P1918="应付",COUNTIF(基础资料!$Q$5:$Q$54,K1918)=0),"✗ 供应商不在基础资料里",IF(AND(P1918="费用",L1918=""),"✗ 费用支出要选费用项目",IF(AND(L1918&lt;&gt;"",COUNTIF(基础资料!$AI$5:$AI$54,L1918)=0),"✗ 费用项目不在基础资料里",IF(AND(IFERROR(INDEX(基础资料!$AD$5:$AD$34,MATCH(O1918,基础资料!$AC$5:$AC$34,0)),"")="收",N(G1918)&lt;&gt;0),"✗ 这类是收款，金额填到收入列",IF(AND(IFERROR(INDEX(基础资料!$AD$5:$AD$34,MATCH(O1918,基础资料!$AC$5:$AC$34,0)),"")="支",N(F1918)&lt;&gt;0),"✗ 这类是付款，金额填到支出列",IF(N(H1918)&lt;0,"⚠ 账户余额成负数了，核对一下","√"))))))))))))))))))</f>
      </c>
      <c r="O1918" s="78">
        <f>IF(D1918&lt;&gt;"",D1918,IF(AND(F1918="",G1918=""),"",IF(J1918&lt;&gt;"",IF(N(F1918)&gt;0,"客户回款","客户退款"),IF(K1918&lt;&gt;"",IF(N(G1918)&gt;0,"供应商付款","供应商退款"),IF(L1918&lt;&gt;"","费用支出","")))))</f>
      </c>
      <c r="P1918" s="78">
        <f>IF(O1918="","",IFERROR(INDEX(基础资料!$AE$5:$AE$34,MATCH(O1918,基础资料!$AC$5:$AC$34,0)),"未知"))</f>
      </c>
      <c r="Q1918" s="78">
        <f>IF(P1918="应收",COUNTIF(P$7:P1918,"应收"),"")</f>
      </c>
      <c r="R1918" s="78">
        <f>IF(P1918="应付",COUNTIF(P$7:P1918,"应付"),"")</f>
      </c>
      <c r="S1918" s="78">
        <f>N(F1918)-N(G1918)</f>
        <v>0</v>
      </c>
    </row>
    <row r="1919">
      <c r="A1919" s="109">
        <f>IF(AND(F1919="",G1919=""),"",ROW()-6)</f>
      </c>
      <c r="B1919" s="140" t="n"/>
      <c r="C1919" s="141" t="n"/>
      <c r="D1919" s="141" t="n"/>
      <c r="E1919" s="142" t="n"/>
      <c r="F1919" s="143" t="n"/>
      <c r="G1919" s="144" t="n"/>
      <c r="H1919" s="145">
        <f>IF(OR(C1919="",AND(F1919="",G1919="")),"",SUMIF(基础资料!$W$5:$W$24,C1919,基础资料!$X$5:$X$24)+SUMIF(C$7:C1919,C1919,F$7:F1919)-SUMIF(C$7:C1919,C1919,G$7:G1919))</f>
      </c>
      <c r="I1919" s="145">
        <f>IF(AND(F1919="",G1919=""),"",SUM(基础资料!$X$5:$X$24)+SUM(F$7:F1919)-SUM(G$7:G1919))</f>
      </c>
      <c r="J1919" s="141" t="n"/>
      <c r="K1919" s="141" t="n"/>
      <c r="L1919" s="141" t="n"/>
      <c r="M1919" s="142" t="n"/>
      <c r="N1919" s="146">
        <f>IF(AND(AND(F1919="",G1919=""),B1919="",C1919="",D1919="",J1919="",K1919="",L1919=""),"",IF(AND(F1919="",G1919=""),"✗ 没填金额",IF(AND(N(F1919)&lt;&gt;0,N(G1919)&lt;&gt;0),"✗ 收入、支出只能填一边",IF(NOT(ISNUMBER(B1919)),"✗ 日期不是真日期（要像 2026/9/25 这样填）",IF(OR(B1919&lt;年初日,B1919&gt;年末日),"✗ 日期不在本会计年度",IF(C1919="","✗ 没选账户",IF(COUNTIF(基础资料!$W$5:$W$24,C1919)=0,"✗ 账户不在基础资料里",IF(O1919="","✗ 没选收支项目",IF(P1919="未知","✗ 收支项目不在基础资料里",IF(AND(P1919="应收",J1919=""),"✗ 这笔要选客户",IF(AND(P1919="应收",COUNTIF(总览汇总!$B$5:$B$304,J1919)=0),"✗ 客户不在总览汇总名单里",IF(AND(P1919="应付",K1919=""),"✗ 这笔要选供应商",IF(AND(P1919="应付",COUNTIF(基础资料!$Q$5:$Q$54,K1919)=0),"✗ 供应商不在基础资料里",IF(AND(P1919="费用",L1919=""),"✗ 费用支出要选费用项目",IF(AND(L1919&lt;&gt;"",COUNTIF(基础资料!$AI$5:$AI$54,L1919)=0),"✗ 费用项目不在基础资料里",IF(AND(IFERROR(INDEX(基础资料!$AD$5:$AD$34,MATCH(O1919,基础资料!$AC$5:$AC$34,0)),"")="收",N(G1919)&lt;&gt;0),"✗ 这类是收款，金额填到收入列",IF(AND(IFERROR(INDEX(基础资料!$AD$5:$AD$34,MATCH(O1919,基础资料!$AC$5:$AC$34,0)),"")="支",N(F1919)&lt;&gt;0),"✗ 这类是付款，金额填到支出列",IF(N(H1919)&lt;0,"⚠ 账户余额成负数了，核对一下","√"))))))))))))))))))</f>
      </c>
      <c r="O1919" s="78">
        <f>IF(D1919&lt;&gt;"",D1919,IF(AND(F1919="",G1919=""),"",IF(J1919&lt;&gt;"",IF(N(F1919)&gt;0,"客户回款","客户退款"),IF(K1919&lt;&gt;"",IF(N(G1919)&gt;0,"供应商付款","供应商退款"),IF(L1919&lt;&gt;"","费用支出","")))))</f>
      </c>
      <c r="P1919" s="78">
        <f>IF(O1919="","",IFERROR(INDEX(基础资料!$AE$5:$AE$34,MATCH(O1919,基础资料!$AC$5:$AC$34,0)),"未知"))</f>
      </c>
      <c r="Q1919" s="78">
        <f>IF(P1919="应收",COUNTIF(P$7:P1919,"应收"),"")</f>
      </c>
      <c r="R1919" s="78">
        <f>IF(P1919="应付",COUNTIF(P$7:P1919,"应付"),"")</f>
      </c>
      <c r="S1919" s="78">
        <f>N(F1919)-N(G1919)</f>
        <v>0</v>
      </c>
    </row>
    <row r="1920">
      <c r="A1920" s="109">
        <f>IF(AND(F1920="",G1920=""),"",ROW()-6)</f>
      </c>
      <c r="B1920" s="140" t="n"/>
      <c r="C1920" s="141" t="n"/>
      <c r="D1920" s="141" t="n"/>
      <c r="E1920" s="142" t="n"/>
      <c r="F1920" s="143" t="n"/>
      <c r="G1920" s="144" t="n"/>
      <c r="H1920" s="145">
        <f>IF(OR(C1920="",AND(F1920="",G1920="")),"",SUMIF(基础资料!$W$5:$W$24,C1920,基础资料!$X$5:$X$24)+SUMIF(C$7:C1920,C1920,F$7:F1920)-SUMIF(C$7:C1920,C1920,G$7:G1920))</f>
      </c>
      <c r="I1920" s="145">
        <f>IF(AND(F1920="",G1920=""),"",SUM(基础资料!$X$5:$X$24)+SUM(F$7:F1920)-SUM(G$7:G1920))</f>
      </c>
      <c r="J1920" s="141" t="n"/>
      <c r="K1920" s="141" t="n"/>
      <c r="L1920" s="141" t="n"/>
      <c r="M1920" s="142" t="n"/>
      <c r="N1920" s="146">
        <f>IF(AND(AND(F1920="",G1920=""),B1920="",C1920="",D1920="",J1920="",K1920="",L1920=""),"",IF(AND(F1920="",G1920=""),"✗ 没填金额",IF(AND(N(F1920)&lt;&gt;0,N(G1920)&lt;&gt;0),"✗ 收入、支出只能填一边",IF(NOT(ISNUMBER(B1920)),"✗ 日期不是真日期（要像 2026/9/25 这样填）",IF(OR(B1920&lt;年初日,B1920&gt;年末日),"✗ 日期不在本会计年度",IF(C1920="","✗ 没选账户",IF(COUNTIF(基础资料!$W$5:$W$24,C1920)=0,"✗ 账户不在基础资料里",IF(O1920="","✗ 没选收支项目",IF(P1920="未知","✗ 收支项目不在基础资料里",IF(AND(P1920="应收",J1920=""),"✗ 这笔要选客户",IF(AND(P1920="应收",COUNTIF(总览汇总!$B$5:$B$304,J1920)=0),"✗ 客户不在总览汇总名单里",IF(AND(P1920="应付",K1920=""),"✗ 这笔要选供应商",IF(AND(P1920="应付",COUNTIF(基础资料!$Q$5:$Q$54,K1920)=0),"✗ 供应商不在基础资料里",IF(AND(P1920="费用",L1920=""),"✗ 费用支出要选费用项目",IF(AND(L1920&lt;&gt;"",COUNTIF(基础资料!$AI$5:$AI$54,L1920)=0),"✗ 费用项目不在基础资料里",IF(AND(IFERROR(INDEX(基础资料!$AD$5:$AD$34,MATCH(O1920,基础资料!$AC$5:$AC$34,0)),"")="收",N(G1920)&lt;&gt;0),"✗ 这类是收款，金额填到收入列",IF(AND(IFERROR(INDEX(基础资料!$AD$5:$AD$34,MATCH(O1920,基础资料!$AC$5:$AC$34,0)),"")="支",N(F1920)&lt;&gt;0),"✗ 这类是付款，金额填到支出列",IF(N(H1920)&lt;0,"⚠ 账户余额成负数了，核对一下","√"))))))))))))))))))</f>
      </c>
      <c r="O1920" s="78">
        <f>IF(D1920&lt;&gt;"",D1920,IF(AND(F1920="",G1920=""),"",IF(J1920&lt;&gt;"",IF(N(F1920)&gt;0,"客户回款","客户退款"),IF(K1920&lt;&gt;"",IF(N(G1920)&gt;0,"供应商付款","供应商退款"),IF(L1920&lt;&gt;"","费用支出","")))))</f>
      </c>
      <c r="P1920" s="78">
        <f>IF(O1920="","",IFERROR(INDEX(基础资料!$AE$5:$AE$34,MATCH(O1920,基础资料!$AC$5:$AC$34,0)),"未知"))</f>
      </c>
      <c r="Q1920" s="78">
        <f>IF(P1920="应收",COUNTIF(P$7:P1920,"应收"),"")</f>
      </c>
      <c r="R1920" s="78">
        <f>IF(P1920="应付",COUNTIF(P$7:P1920,"应付"),"")</f>
      </c>
      <c r="S1920" s="78">
        <f>N(F1920)-N(G1920)</f>
        <v>0</v>
      </c>
    </row>
    <row r="1921">
      <c r="A1921" s="109">
        <f>IF(AND(F1921="",G1921=""),"",ROW()-6)</f>
      </c>
      <c r="B1921" s="140" t="n"/>
      <c r="C1921" s="141" t="n"/>
      <c r="D1921" s="141" t="n"/>
      <c r="E1921" s="142" t="n"/>
      <c r="F1921" s="143" t="n"/>
      <c r="G1921" s="144" t="n"/>
      <c r="H1921" s="145">
        <f>IF(OR(C1921="",AND(F1921="",G1921="")),"",SUMIF(基础资料!$W$5:$W$24,C1921,基础资料!$X$5:$X$24)+SUMIF(C$7:C1921,C1921,F$7:F1921)-SUMIF(C$7:C1921,C1921,G$7:G1921))</f>
      </c>
      <c r="I1921" s="145">
        <f>IF(AND(F1921="",G1921=""),"",SUM(基础资料!$X$5:$X$24)+SUM(F$7:F1921)-SUM(G$7:G1921))</f>
      </c>
      <c r="J1921" s="141" t="n"/>
      <c r="K1921" s="141" t="n"/>
      <c r="L1921" s="141" t="n"/>
      <c r="M1921" s="142" t="n"/>
      <c r="N1921" s="146">
        <f>IF(AND(AND(F1921="",G1921=""),B1921="",C1921="",D1921="",J1921="",K1921="",L1921=""),"",IF(AND(F1921="",G1921=""),"✗ 没填金额",IF(AND(N(F1921)&lt;&gt;0,N(G1921)&lt;&gt;0),"✗ 收入、支出只能填一边",IF(NOT(ISNUMBER(B1921)),"✗ 日期不是真日期（要像 2026/9/25 这样填）",IF(OR(B1921&lt;年初日,B1921&gt;年末日),"✗ 日期不在本会计年度",IF(C1921="","✗ 没选账户",IF(COUNTIF(基础资料!$W$5:$W$24,C1921)=0,"✗ 账户不在基础资料里",IF(O1921="","✗ 没选收支项目",IF(P1921="未知","✗ 收支项目不在基础资料里",IF(AND(P1921="应收",J1921=""),"✗ 这笔要选客户",IF(AND(P1921="应收",COUNTIF(总览汇总!$B$5:$B$304,J1921)=0),"✗ 客户不在总览汇总名单里",IF(AND(P1921="应付",K1921=""),"✗ 这笔要选供应商",IF(AND(P1921="应付",COUNTIF(基础资料!$Q$5:$Q$54,K1921)=0),"✗ 供应商不在基础资料里",IF(AND(P1921="费用",L1921=""),"✗ 费用支出要选费用项目",IF(AND(L1921&lt;&gt;"",COUNTIF(基础资料!$AI$5:$AI$54,L1921)=0),"✗ 费用项目不在基础资料里",IF(AND(IFERROR(INDEX(基础资料!$AD$5:$AD$34,MATCH(O1921,基础资料!$AC$5:$AC$34,0)),"")="收",N(G1921)&lt;&gt;0),"✗ 这类是收款，金额填到收入列",IF(AND(IFERROR(INDEX(基础资料!$AD$5:$AD$34,MATCH(O1921,基础资料!$AC$5:$AC$34,0)),"")="支",N(F1921)&lt;&gt;0),"✗ 这类是付款，金额填到支出列",IF(N(H1921)&lt;0,"⚠ 账户余额成负数了，核对一下","√"))))))))))))))))))</f>
      </c>
      <c r="O1921" s="78">
        <f>IF(D1921&lt;&gt;"",D1921,IF(AND(F1921="",G1921=""),"",IF(J1921&lt;&gt;"",IF(N(F1921)&gt;0,"客户回款","客户退款"),IF(K1921&lt;&gt;"",IF(N(G1921)&gt;0,"供应商付款","供应商退款"),IF(L1921&lt;&gt;"","费用支出","")))))</f>
      </c>
      <c r="P1921" s="78">
        <f>IF(O1921="","",IFERROR(INDEX(基础资料!$AE$5:$AE$34,MATCH(O1921,基础资料!$AC$5:$AC$34,0)),"未知"))</f>
      </c>
      <c r="Q1921" s="78">
        <f>IF(P1921="应收",COUNTIF(P$7:P1921,"应收"),"")</f>
      </c>
      <c r="R1921" s="78">
        <f>IF(P1921="应付",COUNTIF(P$7:P1921,"应付"),"")</f>
      </c>
      <c r="S1921" s="78">
        <f>N(F1921)-N(G1921)</f>
        <v>0</v>
      </c>
    </row>
    <row r="1922">
      <c r="A1922" s="109">
        <f>IF(AND(F1922="",G1922=""),"",ROW()-6)</f>
      </c>
      <c r="B1922" s="140" t="n"/>
      <c r="C1922" s="141" t="n"/>
      <c r="D1922" s="141" t="n"/>
      <c r="E1922" s="142" t="n"/>
      <c r="F1922" s="143" t="n"/>
      <c r="G1922" s="144" t="n"/>
      <c r="H1922" s="145">
        <f>IF(OR(C1922="",AND(F1922="",G1922="")),"",SUMIF(基础资料!$W$5:$W$24,C1922,基础资料!$X$5:$X$24)+SUMIF(C$7:C1922,C1922,F$7:F1922)-SUMIF(C$7:C1922,C1922,G$7:G1922))</f>
      </c>
      <c r="I1922" s="145">
        <f>IF(AND(F1922="",G1922=""),"",SUM(基础资料!$X$5:$X$24)+SUM(F$7:F1922)-SUM(G$7:G1922))</f>
      </c>
      <c r="J1922" s="141" t="n"/>
      <c r="K1922" s="141" t="n"/>
      <c r="L1922" s="141" t="n"/>
      <c r="M1922" s="142" t="n"/>
      <c r="N1922" s="146">
        <f>IF(AND(AND(F1922="",G1922=""),B1922="",C1922="",D1922="",J1922="",K1922="",L1922=""),"",IF(AND(F1922="",G1922=""),"✗ 没填金额",IF(AND(N(F1922)&lt;&gt;0,N(G1922)&lt;&gt;0),"✗ 收入、支出只能填一边",IF(NOT(ISNUMBER(B1922)),"✗ 日期不是真日期（要像 2026/9/25 这样填）",IF(OR(B1922&lt;年初日,B1922&gt;年末日),"✗ 日期不在本会计年度",IF(C1922="","✗ 没选账户",IF(COUNTIF(基础资料!$W$5:$W$24,C1922)=0,"✗ 账户不在基础资料里",IF(O1922="","✗ 没选收支项目",IF(P1922="未知","✗ 收支项目不在基础资料里",IF(AND(P1922="应收",J1922=""),"✗ 这笔要选客户",IF(AND(P1922="应收",COUNTIF(总览汇总!$B$5:$B$304,J1922)=0),"✗ 客户不在总览汇总名单里",IF(AND(P1922="应付",K1922=""),"✗ 这笔要选供应商",IF(AND(P1922="应付",COUNTIF(基础资料!$Q$5:$Q$54,K1922)=0),"✗ 供应商不在基础资料里",IF(AND(P1922="费用",L1922=""),"✗ 费用支出要选费用项目",IF(AND(L1922&lt;&gt;"",COUNTIF(基础资料!$AI$5:$AI$54,L1922)=0),"✗ 费用项目不在基础资料里",IF(AND(IFERROR(INDEX(基础资料!$AD$5:$AD$34,MATCH(O1922,基础资料!$AC$5:$AC$34,0)),"")="收",N(G1922)&lt;&gt;0),"✗ 这类是收款，金额填到收入列",IF(AND(IFERROR(INDEX(基础资料!$AD$5:$AD$34,MATCH(O1922,基础资料!$AC$5:$AC$34,0)),"")="支",N(F1922)&lt;&gt;0),"✗ 这类是付款，金额填到支出列",IF(N(H1922)&lt;0,"⚠ 账户余额成负数了，核对一下","√"))))))))))))))))))</f>
      </c>
      <c r="O1922" s="78">
        <f>IF(D1922&lt;&gt;"",D1922,IF(AND(F1922="",G1922=""),"",IF(J1922&lt;&gt;"",IF(N(F1922)&gt;0,"客户回款","客户退款"),IF(K1922&lt;&gt;"",IF(N(G1922)&gt;0,"供应商付款","供应商退款"),IF(L1922&lt;&gt;"","费用支出","")))))</f>
      </c>
      <c r="P1922" s="78">
        <f>IF(O1922="","",IFERROR(INDEX(基础资料!$AE$5:$AE$34,MATCH(O1922,基础资料!$AC$5:$AC$34,0)),"未知"))</f>
      </c>
      <c r="Q1922" s="78">
        <f>IF(P1922="应收",COUNTIF(P$7:P1922,"应收"),"")</f>
      </c>
      <c r="R1922" s="78">
        <f>IF(P1922="应付",COUNTIF(P$7:P1922,"应付"),"")</f>
      </c>
      <c r="S1922" s="78">
        <f>N(F1922)-N(G1922)</f>
        <v>0</v>
      </c>
    </row>
    <row r="1923">
      <c r="A1923" s="109">
        <f>IF(AND(F1923="",G1923=""),"",ROW()-6)</f>
      </c>
      <c r="B1923" s="140" t="n"/>
      <c r="C1923" s="141" t="n"/>
      <c r="D1923" s="141" t="n"/>
      <c r="E1923" s="142" t="n"/>
      <c r="F1923" s="143" t="n"/>
      <c r="G1923" s="144" t="n"/>
      <c r="H1923" s="145">
        <f>IF(OR(C1923="",AND(F1923="",G1923="")),"",SUMIF(基础资料!$W$5:$W$24,C1923,基础资料!$X$5:$X$24)+SUMIF(C$7:C1923,C1923,F$7:F1923)-SUMIF(C$7:C1923,C1923,G$7:G1923))</f>
      </c>
      <c r="I1923" s="145">
        <f>IF(AND(F1923="",G1923=""),"",SUM(基础资料!$X$5:$X$24)+SUM(F$7:F1923)-SUM(G$7:G1923))</f>
      </c>
      <c r="J1923" s="141" t="n"/>
      <c r="K1923" s="141" t="n"/>
      <c r="L1923" s="141" t="n"/>
      <c r="M1923" s="142" t="n"/>
      <c r="N1923" s="146">
        <f>IF(AND(AND(F1923="",G1923=""),B1923="",C1923="",D1923="",J1923="",K1923="",L1923=""),"",IF(AND(F1923="",G1923=""),"✗ 没填金额",IF(AND(N(F1923)&lt;&gt;0,N(G1923)&lt;&gt;0),"✗ 收入、支出只能填一边",IF(NOT(ISNUMBER(B1923)),"✗ 日期不是真日期（要像 2026/9/25 这样填）",IF(OR(B1923&lt;年初日,B1923&gt;年末日),"✗ 日期不在本会计年度",IF(C1923="","✗ 没选账户",IF(COUNTIF(基础资料!$W$5:$W$24,C1923)=0,"✗ 账户不在基础资料里",IF(O1923="","✗ 没选收支项目",IF(P1923="未知","✗ 收支项目不在基础资料里",IF(AND(P1923="应收",J1923=""),"✗ 这笔要选客户",IF(AND(P1923="应收",COUNTIF(总览汇总!$B$5:$B$304,J1923)=0),"✗ 客户不在总览汇总名单里",IF(AND(P1923="应付",K1923=""),"✗ 这笔要选供应商",IF(AND(P1923="应付",COUNTIF(基础资料!$Q$5:$Q$54,K1923)=0),"✗ 供应商不在基础资料里",IF(AND(P1923="费用",L1923=""),"✗ 费用支出要选费用项目",IF(AND(L1923&lt;&gt;"",COUNTIF(基础资料!$AI$5:$AI$54,L1923)=0),"✗ 费用项目不在基础资料里",IF(AND(IFERROR(INDEX(基础资料!$AD$5:$AD$34,MATCH(O1923,基础资料!$AC$5:$AC$34,0)),"")="收",N(G1923)&lt;&gt;0),"✗ 这类是收款，金额填到收入列",IF(AND(IFERROR(INDEX(基础资料!$AD$5:$AD$34,MATCH(O1923,基础资料!$AC$5:$AC$34,0)),"")="支",N(F1923)&lt;&gt;0),"✗ 这类是付款，金额填到支出列",IF(N(H1923)&lt;0,"⚠ 账户余额成负数了，核对一下","√"))))))))))))))))))</f>
      </c>
      <c r="O1923" s="78">
        <f>IF(D1923&lt;&gt;"",D1923,IF(AND(F1923="",G1923=""),"",IF(J1923&lt;&gt;"",IF(N(F1923)&gt;0,"客户回款","客户退款"),IF(K1923&lt;&gt;"",IF(N(G1923)&gt;0,"供应商付款","供应商退款"),IF(L1923&lt;&gt;"","费用支出","")))))</f>
      </c>
      <c r="P1923" s="78">
        <f>IF(O1923="","",IFERROR(INDEX(基础资料!$AE$5:$AE$34,MATCH(O1923,基础资料!$AC$5:$AC$34,0)),"未知"))</f>
      </c>
      <c r="Q1923" s="78">
        <f>IF(P1923="应收",COUNTIF(P$7:P1923,"应收"),"")</f>
      </c>
      <c r="R1923" s="78">
        <f>IF(P1923="应付",COUNTIF(P$7:P1923,"应付"),"")</f>
      </c>
      <c r="S1923" s="78">
        <f>N(F1923)-N(G1923)</f>
        <v>0</v>
      </c>
    </row>
    <row r="1924">
      <c r="A1924" s="109">
        <f>IF(AND(F1924="",G1924=""),"",ROW()-6)</f>
      </c>
      <c r="B1924" s="140" t="n"/>
      <c r="C1924" s="141" t="n"/>
      <c r="D1924" s="141" t="n"/>
      <c r="E1924" s="142" t="n"/>
      <c r="F1924" s="143" t="n"/>
      <c r="G1924" s="144" t="n"/>
      <c r="H1924" s="145">
        <f>IF(OR(C1924="",AND(F1924="",G1924="")),"",SUMIF(基础资料!$W$5:$W$24,C1924,基础资料!$X$5:$X$24)+SUMIF(C$7:C1924,C1924,F$7:F1924)-SUMIF(C$7:C1924,C1924,G$7:G1924))</f>
      </c>
      <c r="I1924" s="145">
        <f>IF(AND(F1924="",G1924=""),"",SUM(基础资料!$X$5:$X$24)+SUM(F$7:F1924)-SUM(G$7:G1924))</f>
      </c>
      <c r="J1924" s="141" t="n"/>
      <c r="K1924" s="141" t="n"/>
      <c r="L1924" s="141" t="n"/>
      <c r="M1924" s="142" t="n"/>
      <c r="N1924" s="146">
        <f>IF(AND(AND(F1924="",G1924=""),B1924="",C1924="",D1924="",J1924="",K1924="",L1924=""),"",IF(AND(F1924="",G1924=""),"✗ 没填金额",IF(AND(N(F1924)&lt;&gt;0,N(G1924)&lt;&gt;0),"✗ 收入、支出只能填一边",IF(NOT(ISNUMBER(B1924)),"✗ 日期不是真日期（要像 2026/9/25 这样填）",IF(OR(B1924&lt;年初日,B1924&gt;年末日),"✗ 日期不在本会计年度",IF(C1924="","✗ 没选账户",IF(COUNTIF(基础资料!$W$5:$W$24,C1924)=0,"✗ 账户不在基础资料里",IF(O1924="","✗ 没选收支项目",IF(P1924="未知","✗ 收支项目不在基础资料里",IF(AND(P1924="应收",J1924=""),"✗ 这笔要选客户",IF(AND(P1924="应收",COUNTIF(总览汇总!$B$5:$B$304,J1924)=0),"✗ 客户不在总览汇总名单里",IF(AND(P1924="应付",K1924=""),"✗ 这笔要选供应商",IF(AND(P1924="应付",COUNTIF(基础资料!$Q$5:$Q$54,K1924)=0),"✗ 供应商不在基础资料里",IF(AND(P1924="费用",L1924=""),"✗ 费用支出要选费用项目",IF(AND(L1924&lt;&gt;"",COUNTIF(基础资料!$AI$5:$AI$54,L1924)=0),"✗ 费用项目不在基础资料里",IF(AND(IFERROR(INDEX(基础资料!$AD$5:$AD$34,MATCH(O1924,基础资料!$AC$5:$AC$34,0)),"")="收",N(G1924)&lt;&gt;0),"✗ 这类是收款，金额填到收入列",IF(AND(IFERROR(INDEX(基础资料!$AD$5:$AD$34,MATCH(O1924,基础资料!$AC$5:$AC$34,0)),"")="支",N(F1924)&lt;&gt;0),"✗ 这类是付款，金额填到支出列",IF(N(H1924)&lt;0,"⚠ 账户余额成负数了，核对一下","√"))))))))))))))))))</f>
      </c>
      <c r="O1924" s="78">
        <f>IF(D1924&lt;&gt;"",D1924,IF(AND(F1924="",G1924=""),"",IF(J1924&lt;&gt;"",IF(N(F1924)&gt;0,"客户回款","客户退款"),IF(K1924&lt;&gt;"",IF(N(G1924)&gt;0,"供应商付款","供应商退款"),IF(L1924&lt;&gt;"","费用支出","")))))</f>
      </c>
      <c r="P1924" s="78">
        <f>IF(O1924="","",IFERROR(INDEX(基础资料!$AE$5:$AE$34,MATCH(O1924,基础资料!$AC$5:$AC$34,0)),"未知"))</f>
      </c>
      <c r="Q1924" s="78">
        <f>IF(P1924="应收",COUNTIF(P$7:P1924,"应收"),"")</f>
      </c>
      <c r="R1924" s="78">
        <f>IF(P1924="应付",COUNTIF(P$7:P1924,"应付"),"")</f>
      </c>
      <c r="S1924" s="78">
        <f>N(F1924)-N(G1924)</f>
        <v>0</v>
      </c>
    </row>
    <row r="1925">
      <c r="A1925" s="109">
        <f>IF(AND(F1925="",G1925=""),"",ROW()-6)</f>
      </c>
      <c r="B1925" s="140" t="n"/>
      <c r="C1925" s="141" t="n"/>
      <c r="D1925" s="141" t="n"/>
      <c r="E1925" s="142" t="n"/>
      <c r="F1925" s="143" t="n"/>
      <c r="G1925" s="144" t="n"/>
      <c r="H1925" s="145">
        <f>IF(OR(C1925="",AND(F1925="",G1925="")),"",SUMIF(基础资料!$W$5:$W$24,C1925,基础资料!$X$5:$X$24)+SUMIF(C$7:C1925,C1925,F$7:F1925)-SUMIF(C$7:C1925,C1925,G$7:G1925))</f>
      </c>
      <c r="I1925" s="145">
        <f>IF(AND(F1925="",G1925=""),"",SUM(基础资料!$X$5:$X$24)+SUM(F$7:F1925)-SUM(G$7:G1925))</f>
      </c>
      <c r="J1925" s="141" t="n"/>
      <c r="K1925" s="141" t="n"/>
      <c r="L1925" s="141" t="n"/>
      <c r="M1925" s="142" t="n"/>
      <c r="N1925" s="146">
        <f>IF(AND(AND(F1925="",G1925=""),B1925="",C1925="",D1925="",J1925="",K1925="",L1925=""),"",IF(AND(F1925="",G1925=""),"✗ 没填金额",IF(AND(N(F1925)&lt;&gt;0,N(G1925)&lt;&gt;0),"✗ 收入、支出只能填一边",IF(NOT(ISNUMBER(B1925)),"✗ 日期不是真日期（要像 2026/9/25 这样填）",IF(OR(B1925&lt;年初日,B1925&gt;年末日),"✗ 日期不在本会计年度",IF(C1925="","✗ 没选账户",IF(COUNTIF(基础资料!$W$5:$W$24,C1925)=0,"✗ 账户不在基础资料里",IF(O1925="","✗ 没选收支项目",IF(P1925="未知","✗ 收支项目不在基础资料里",IF(AND(P1925="应收",J1925=""),"✗ 这笔要选客户",IF(AND(P1925="应收",COUNTIF(总览汇总!$B$5:$B$304,J1925)=0),"✗ 客户不在总览汇总名单里",IF(AND(P1925="应付",K1925=""),"✗ 这笔要选供应商",IF(AND(P1925="应付",COUNTIF(基础资料!$Q$5:$Q$54,K1925)=0),"✗ 供应商不在基础资料里",IF(AND(P1925="费用",L1925=""),"✗ 费用支出要选费用项目",IF(AND(L1925&lt;&gt;"",COUNTIF(基础资料!$AI$5:$AI$54,L1925)=0),"✗ 费用项目不在基础资料里",IF(AND(IFERROR(INDEX(基础资料!$AD$5:$AD$34,MATCH(O1925,基础资料!$AC$5:$AC$34,0)),"")="收",N(G1925)&lt;&gt;0),"✗ 这类是收款，金额填到收入列",IF(AND(IFERROR(INDEX(基础资料!$AD$5:$AD$34,MATCH(O1925,基础资料!$AC$5:$AC$34,0)),"")="支",N(F1925)&lt;&gt;0),"✗ 这类是付款，金额填到支出列",IF(N(H1925)&lt;0,"⚠ 账户余额成负数了，核对一下","√"))))))))))))))))))</f>
      </c>
      <c r="O1925" s="78">
        <f>IF(D1925&lt;&gt;"",D1925,IF(AND(F1925="",G1925=""),"",IF(J1925&lt;&gt;"",IF(N(F1925)&gt;0,"客户回款","客户退款"),IF(K1925&lt;&gt;"",IF(N(G1925)&gt;0,"供应商付款","供应商退款"),IF(L1925&lt;&gt;"","费用支出","")))))</f>
      </c>
      <c r="P1925" s="78">
        <f>IF(O1925="","",IFERROR(INDEX(基础资料!$AE$5:$AE$34,MATCH(O1925,基础资料!$AC$5:$AC$34,0)),"未知"))</f>
      </c>
      <c r="Q1925" s="78">
        <f>IF(P1925="应收",COUNTIF(P$7:P1925,"应收"),"")</f>
      </c>
      <c r="R1925" s="78">
        <f>IF(P1925="应付",COUNTIF(P$7:P1925,"应付"),"")</f>
      </c>
      <c r="S1925" s="78">
        <f>N(F1925)-N(G1925)</f>
        <v>0</v>
      </c>
    </row>
    <row r="1926">
      <c r="A1926" s="109">
        <f>IF(AND(F1926="",G1926=""),"",ROW()-6)</f>
      </c>
      <c r="B1926" s="140" t="n"/>
      <c r="C1926" s="141" t="n"/>
      <c r="D1926" s="141" t="n"/>
      <c r="E1926" s="142" t="n"/>
      <c r="F1926" s="143" t="n"/>
      <c r="G1926" s="144" t="n"/>
      <c r="H1926" s="145">
        <f>IF(OR(C1926="",AND(F1926="",G1926="")),"",SUMIF(基础资料!$W$5:$W$24,C1926,基础资料!$X$5:$X$24)+SUMIF(C$7:C1926,C1926,F$7:F1926)-SUMIF(C$7:C1926,C1926,G$7:G1926))</f>
      </c>
      <c r="I1926" s="145">
        <f>IF(AND(F1926="",G1926=""),"",SUM(基础资料!$X$5:$X$24)+SUM(F$7:F1926)-SUM(G$7:G1926))</f>
      </c>
      <c r="J1926" s="141" t="n"/>
      <c r="K1926" s="141" t="n"/>
      <c r="L1926" s="141" t="n"/>
      <c r="M1926" s="142" t="n"/>
      <c r="N1926" s="146">
        <f>IF(AND(AND(F1926="",G1926=""),B1926="",C1926="",D1926="",J1926="",K1926="",L1926=""),"",IF(AND(F1926="",G1926=""),"✗ 没填金额",IF(AND(N(F1926)&lt;&gt;0,N(G1926)&lt;&gt;0),"✗ 收入、支出只能填一边",IF(NOT(ISNUMBER(B1926)),"✗ 日期不是真日期（要像 2026/9/25 这样填）",IF(OR(B1926&lt;年初日,B1926&gt;年末日),"✗ 日期不在本会计年度",IF(C1926="","✗ 没选账户",IF(COUNTIF(基础资料!$W$5:$W$24,C1926)=0,"✗ 账户不在基础资料里",IF(O1926="","✗ 没选收支项目",IF(P1926="未知","✗ 收支项目不在基础资料里",IF(AND(P1926="应收",J1926=""),"✗ 这笔要选客户",IF(AND(P1926="应收",COUNTIF(总览汇总!$B$5:$B$304,J1926)=0),"✗ 客户不在总览汇总名单里",IF(AND(P1926="应付",K1926=""),"✗ 这笔要选供应商",IF(AND(P1926="应付",COUNTIF(基础资料!$Q$5:$Q$54,K1926)=0),"✗ 供应商不在基础资料里",IF(AND(P1926="费用",L1926=""),"✗ 费用支出要选费用项目",IF(AND(L1926&lt;&gt;"",COUNTIF(基础资料!$AI$5:$AI$54,L1926)=0),"✗ 费用项目不在基础资料里",IF(AND(IFERROR(INDEX(基础资料!$AD$5:$AD$34,MATCH(O1926,基础资料!$AC$5:$AC$34,0)),"")="收",N(G1926)&lt;&gt;0),"✗ 这类是收款，金额填到收入列",IF(AND(IFERROR(INDEX(基础资料!$AD$5:$AD$34,MATCH(O1926,基础资料!$AC$5:$AC$34,0)),"")="支",N(F1926)&lt;&gt;0),"✗ 这类是付款，金额填到支出列",IF(N(H1926)&lt;0,"⚠ 账户余额成负数了，核对一下","√"))))))))))))))))))</f>
      </c>
      <c r="O1926" s="78">
        <f>IF(D1926&lt;&gt;"",D1926,IF(AND(F1926="",G1926=""),"",IF(J1926&lt;&gt;"",IF(N(F1926)&gt;0,"客户回款","客户退款"),IF(K1926&lt;&gt;"",IF(N(G1926)&gt;0,"供应商付款","供应商退款"),IF(L1926&lt;&gt;"","费用支出","")))))</f>
      </c>
      <c r="P1926" s="78">
        <f>IF(O1926="","",IFERROR(INDEX(基础资料!$AE$5:$AE$34,MATCH(O1926,基础资料!$AC$5:$AC$34,0)),"未知"))</f>
      </c>
      <c r="Q1926" s="78">
        <f>IF(P1926="应收",COUNTIF(P$7:P1926,"应收"),"")</f>
      </c>
      <c r="R1926" s="78">
        <f>IF(P1926="应付",COUNTIF(P$7:P1926,"应付"),"")</f>
      </c>
      <c r="S1926" s="78">
        <f>N(F1926)-N(G1926)</f>
        <v>0</v>
      </c>
    </row>
    <row r="1927">
      <c r="A1927" s="109">
        <f>IF(AND(F1927="",G1927=""),"",ROW()-6)</f>
      </c>
      <c r="B1927" s="140" t="n"/>
      <c r="C1927" s="141" t="n"/>
      <c r="D1927" s="141" t="n"/>
      <c r="E1927" s="142" t="n"/>
      <c r="F1927" s="143" t="n"/>
      <c r="G1927" s="144" t="n"/>
      <c r="H1927" s="145">
        <f>IF(OR(C1927="",AND(F1927="",G1927="")),"",SUMIF(基础资料!$W$5:$W$24,C1927,基础资料!$X$5:$X$24)+SUMIF(C$7:C1927,C1927,F$7:F1927)-SUMIF(C$7:C1927,C1927,G$7:G1927))</f>
      </c>
      <c r="I1927" s="145">
        <f>IF(AND(F1927="",G1927=""),"",SUM(基础资料!$X$5:$X$24)+SUM(F$7:F1927)-SUM(G$7:G1927))</f>
      </c>
      <c r="J1927" s="141" t="n"/>
      <c r="K1927" s="141" t="n"/>
      <c r="L1927" s="141" t="n"/>
      <c r="M1927" s="142" t="n"/>
      <c r="N1927" s="146">
        <f>IF(AND(AND(F1927="",G1927=""),B1927="",C1927="",D1927="",J1927="",K1927="",L1927=""),"",IF(AND(F1927="",G1927=""),"✗ 没填金额",IF(AND(N(F1927)&lt;&gt;0,N(G1927)&lt;&gt;0),"✗ 收入、支出只能填一边",IF(NOT(ISNUMBER(B1927)),"✗ 日期不是真日期（要像 2026/9/25 这样填）",IF(OR(B1927&lt;年初日,B1927&gt;年末日),"✗ 日期不在本会计年度",IF(C1927="","✗ 没选账户",IF(COUNTIF(基础资料!$W$5:$W$24,C1927)=0,"✗ 账户不在基础资料里",IF(O1927="","✗ 没选收支项目",IF(P1927="未知","✗ 收支项目不在基础资料里",IF(AND(P1927="应收",J1927=""),"✗ 这笔要选客户",IF(AND(P1927="应收",COUNTIF(总览汇总!$B$5:$B$304,J1927)=0),"✗ 客户不在总览汇总名单里",IF(AND(P1927="应付",K1927=""),"✗ 这笔要选供应商",IF(AND(P1927="应付",COUNTIF(基础资料!$Q$5:$Q$54,K1927)=0),"✗ 供应商不在基础资料里",IF(AND(P1927="费用",L1927=""),"✗ 费用支出要选费用项目",IF(AND(L1927&lt;&gt;"",COUNTIF(基础资料!$AI$5:$AI$54,L1927)=0),"✗ 费用项目不在基础资料里",IF(AND(IFERROR(INDEX(基础资料!$AD$5:$AD$34,MATCH(O1927,基础资料!$AC$5:$AC$34,0)),"")="收",N(G1927)&lt;&gt;0),"✗ 这类是收款，金额填到收入列",IF(AND(IFERROR(INDEX(基础资料!$AD$5:$AD$34,MATCH(O1927,基础资料!$AC$5:$AC$34,0)),"")="支",N(F1927)&lt;&gt;0),"✗ 这类是付款，金额填到支出列",IF(N(H1927)&lt;0,"⚠ 账户余额成负数了，核对一下","√"))))))))))))))))))</f>
      </c>
      <c r="O1927" s="78">
        <f>IF(D1927&lt;&gt;"",D1927,IF(AND(F1927="",G1927=""),"",IF(J1927&lt;&gt;"",IF(N(F1927)&gt;0,"客户回款","客户退款"),IF(K1927&lt;&gt;"",IF(N(G1927)&gt;0,"供应商付款","供应商退款"),IF(L1927&lt;&gt;"","费用支出","")))))</f>
      </c>
      <c r="P1927" s="78">
        <f>IF(O1927="","",IFERROR(INDEX(基础资料!$AE$5:$AE$34,MATCH(O1927,基础资料!$AC$5:$AC$34,0)),"未知"))</f>
      </c>
      <c r="Q1927" s="78">
        <f>IF(P1927="应收",COUNTIF(P$7:P1927,"应收"),"")</f>
      </c>
      <c r="R1927" s="78">
        <f>IF(P1927="应付",COUNTIF(P$7:P1927,"应付"),"")</f>
      </c>
      <c r="S1927" s="78">
        <f>N(F1927)-N(G1927)</f>
        <v>0</v>
      </c>
    </row>
    <row r="1928">
      <c r="A1928" s="109">
        <f>IF(AND(F1928="",G1928=""),"",ROW()-6)</f>
      </c>
      <c r="B1928" s="140" t="n"/>
      <c r="C1928" s="141" t="n"/>
      <c r="D1928" s="141" t="n"/>
      <c r="E1928" s="142" t="n"/>
      <c r="F1928" s="143" t="n"/>
      <c r="G1928" s="144" t="n"/>
      <c r="H1928" s="145">
        <f>IF(OR(C1928="",AND(F1928="",G1928="")),"",SUMIF(基础资料!$W$5:$W$24,C1928,基础资料!$X$5:$X$24)+SUMIF(C$7:C1928,C1928,F$7:F1928)-SUMIF(C$7:C1928,C1928,G$7:G1928))</f>
      </c>
      <c r="I1928" s="145">
        <f>IF(AND(F1928="",G1928=""),"",SUM(基础资料!$X$5:$X$24)+SUM(F$7:F1928)-SUM(G$7:G1928))</f>
      </c>
      <c r="J1928" s="141" t="n"/>
      <c r="K1928" s="141" t="n"/>
      <c r="L1928" s="141" t="n"/>
      <c r="M1928" s="142" t="n"/>
      <c r="N1928" s="146">
        <f>IF(AND(AND(F1928="",G1928=""),B1928="",C1928="",D1928="",J1928="",K1928="",L1928=""),"",IF(AND(F1928="",G1928=""),"✗ 没填金额",IF(AND(N(F1928)&lt;&gt;0,N(G1928)&lt;&gt;0),"✗ 收入、支出只能填一边",IF(NOT(ISNUMBER(B1928)),"✗ 日期不是真日期（要像 2026/9/25 这样填）",IF(OR(B1928&lt;年初日,B1928&gt;年末日),"✗ 日期不在本会计年度",IF(C1928="","✗ 没选账户",IF(COUNTIF(基础资料!$W$5:$W$24,C1928)=0,"✗ 账户不在基础资料里",IF(O1928="","✗ 没选收支项目",IF(P1928="未知","✗ 收支项目不在基础资料里",IF(AND(P1928="应收",J1928=""),"✗ 这笔要选客户",IF(AND(P1928="应收",COUNTIF(总览汇总!$B$5:$B$304,J1928)=0),"✗ 客户不在总览汇总名单里",IF(AND(P1928="应付",K1928=""),"✗ 这笔要选供应商",IF(AND(P1928="应付",COUNTIF(基础资料!$Q$5:$Q$54,K1928)=0),"✗ 供应商不在基础资料里",IF(AND(P1928="费用",L1928=""),"✗ 费用支出要选费用项目",IF(AND(L1928&lt;&gt;"",COUNTIF(基础资料!$AI$5:$AI$54,L1928)=0),"✗ 费用项目不在基础资料里",IF(AND(IFERROR(INDEX(基础资料!$AD$5:$AD$34,MATCH(O1928,基础资料!$AC$5:$AC$34,0)),"")="收",N(G1928)&lt;&gt;0),"✗ 这类是收款，金额填到收入列",IF(AND(IFERROR(INDEX(基础资料!$AD$5:$AD$34,MATCH(O1928,基础资料!$AC$5:$AC$34,0)),"")="支",N(F1928)&lt;&gt;0),"✗ 这类是付款，金额填到支出列",IF(N(H1928)&lt;0,"⚠ 账户余额成负数了，核对一下","√"))))))))))))))))))</f>
      </c>
      <c r="O1928" s="78">
        <f>IF(D1928&lt;&gt;"",D1928,IF(AND(F1928="",G1928=""),"",IF(J1928&lt;&gt;"",IF(N(F1928)&gt;0,"客户回款","客户退款"),IF(K1928&lt;&gt;"",IF(N(G1928)&gt;0,"供应商付款","供应商退款"),IF(L1928&lt;&gt;"","费用支出","")))))</f>
      </c>
      <c r="P1928" s="78">
        <f>IF(O1928="","",IFERROR(INDEX(基础资料!$AE$5:$AE$34,MATCH(O1928,基础资料!$AC$5:$AC$34,0)),"未知"))</f>
      </c>
      <c r="Q1928" s="78">
        <f>IF(P1928="应收",COUNTIF(P$7:P1928,"应收"),"")</f>
      </c>
      <c r="R1928" s="78">
        <f>IF(P1928="应付",COUNTIF(P$7:P1928,"应付"),"")</f>
      </c>
      <c r="S1928" s="78">
        <f>N(F1928)-N(G1928)</f>
        <v>0</v>
      </c>
    </row>
    <row r="1929">
      <c r="A1929" s="109">
        <f>IF(AND(F1929="",G1929=""),"",ROW()-6)</f>
      </c>
      <c r="B1929" s="140" t="n"/>
      <c r="C1929" s="141" t="n"/>
      <c r="D1929" s="141" t="n"/>
      <c r="E1929" s="142" t="n"/>
      <c r="F1929" s="143" t="n"/>
      <c r="G1929" s="144" t="n"/>
      <c r="H1929" s="145">
        <f>IF(OR(C1929="",AND(F1929="",G1929="")),"",SUMIF(基础资料!$W$5:$W$24,C1929,基础资料!$X$5:$X$24)+SUMIF(C$7:C1929,C1929,F$7:F1929)-SUMIF(C$7:C1929,C1929,G$7:G1929))</f>
      </c>
      <c r="I1929" s="145">
        <f>IF(AND(F1929="",G1929=""),"",SUM(基础资料!$X$5:$X$24)+SUM(F$7:F1929)-SUM(G$7:G1929))</f>
      </c>
      <c r="J1929" s="141" t="n"/>
      <c r="K1929" s="141" t="n"/>
      <c r="L1929" s="141" t="n"/>
      <c r="M1929" s="142" t="n"/>
      <c r="N1929" s="146">
        <f>IF(AND(AND(F1929="",G1929=""),B1929="",C1929="",D1929="",J1929="",K1929="",L1929=""),"",IF(AND(F1929="",G1929=""),"✗ 没填金额",IF(AND(N(F1929)&lt;&gt;0,N(G1929)&lt;&gt;0),"✗ 收入、支出只能填一边",IF(NOT(ISNUMBER(B1929)),"✗ 日期不是真日期（要像 2026/9/25 这样填）",IF(OR(B1929&lt;年初日,B1929&gt;年末日),"✗ 日期不在本会计年度",IF(C1929="","✗ 没选账户",IF(COUNTIF(基础资料!$W$5:$W$24,C1929)=0,"✗ 账户不在基础资料里",IF(O1929="","✗ 没选收支项目",IF(P1929="未知","✗ 收支项目不在基础资料里",IF(AND(P1929="应收",J1929=""),"✗ 这笔要选客户",IF(AND(P1929="应收",COUNTIF(总览汇总!$B$5:$B$304,J1929)=0),"✗ 客户不在总览汇总名单里",IF(AND(P1929="应付",K1929=""),"✗ 这笔要选供应商",IF(AND(P1929="应付",COUNTIF(基础资料!$Q$5:$Q$54,K1929)=0),"✗ 供应商不在基础资料里",IF(AND(P1929="费用",L1929=""),"✗ 费用支出要选费用项目",IF(AND(L1929&lt;&gt;"",COUNTIF(基础资料!$AI$5:$AI$54,L1929)=0),"✗ 费用项目不在基础资料里",IF(AND(IFERROR(INDEX(基础资料!$AD$5:$AD$34,MATCH(O1929,基础资料!$AC$5:$AC$34,0)),"")="收",N(G1929)&lt;&gt;0),"✗ 这类是收款，金额填到收入列",IF(AND(IFERROR(INDEX(基础资料!$AD$5:$AD$34,MATCH(O1929,基础资料!$AC$5:$AC$34,0)),"")="支",N(F1929)&lt;&gt;0),"✗ 这类是付款，金额填到支出列",IF(N(H1929)&lt;0,"⚠ 账户余额成负数了，核对一下","√"))))))))))))))))))</f>
      </c>
      <c r="O1929" s="78">
        <f>IF(D1929&lt;&gt;"",D1929,IF(AND(F1929="",G1929=""),"",IF(J1929&lt;&gt;"",IF(N(F1929)&gt;0,"客户回款","客户退款"),IF(K1929&lt;&gt;"",IF(N(G1929)&gt;0,"供应商付款","供应商退款"),IF(L1929&lt;&gt;"","费用支出","")))))</f>
      </c>
      <c r="P1929" s="78">
        <f>IF(O1929="","",IFERROR(INDEX(基础资料!$AE$5:$AE$34,MATCH(O1929,基础资料!$AC$5:$AC$34,0)),"未知"))</f>
      </c>
      <c r="Q1929" s="78">
        <f>IF(P1929="应收",COUNTIF(P$7:P1929,"应收"),"")</f>
      </c>
      <c r="R1929" s="78">
        <f>IF(P1929="应付",COUNTIF(P$7:P1929,"应付"),"")</f>
      </c>
      <c r="S1929" s="78">
        <f>N(F1929)-N(G1929)</f>
        <v>0</v>
      </c>
    </row>
    <row r="1930">
      <c r="A1930" s="109">
        <f>IF(AND(F1930="",G1930=""),"",ROW()-6)</f>
      </c>
      <c r="B1930" s="140" t="n"/>
      <c r="C1930" s="141" t="n"/>
      <c r="D1930" s="141" t="n"/>
      <c r="E1930" s="142" t="n"/>
      <c r="F1930" s="143" t="n"/>
      <c r="G1930" s="144" t="n"/>
      <c r="H1930" s="145">
        <f>IF(OR(C1930="",AND(F1930="",G1930="")),"",SUMIF(基础资料!$W$5:$W$24,C1930,基础资料!$X$5:$X$24)+SUMIF(C$7:C1930,C1930,F$7:F1930)-SUMIF(C$7:C1930,C1930,G$7:G1930))</f>
      </c>
      <c r="I1930" s="145">
        <f>IF(AND(F1930="",G1930=""),"",SUM(基础资料!$X$5:$X$24)+SUM(F$7:F1930)-SUM(G$7:G1930))</f>
      </c>
      <c r="J1930" s="141" t="n"/>
      <c r="K1930" s="141" t="n"/>
      <c r="L1930" s="141" t="n"/>
      <c r="M1930" s="142" t="n"/>
      <c r="N1930" s="146">
        <f>IF(AND(AND(F1930="",G1930=""),B1930="",C1930="",D1930="",J1930="",K1930="",L1930=""),"",IF(AND(F1930="",G1930=""),"✗ 没填金额",IF(AND(N(F1930)&lt;&gt;0,N(G1930)&lt;&gt;0),"✗ 收入、支出只能填一边",IF(NOT(ISNUMBER(B1930)),"✗ 日期不是真日期（要像 2026/9/25 这样填）",IF(OR(B1930&lt;年初日,B1930&gt;年末日),"✗ 日期不在本会计年度",IF(C1930="","✗ 没选账户",IF(COUNTIF(基础资料!$W$5:$W$24,C1930)=0,"✗ 账户不在基础资料里",IF(O1930="","✗ 没选收支项目",IF(P1930="未知","✗ 收支项目不在基础资料里",IF(AND(P1930="应收",J1930=""),"✗ 这笔要选客户",IF(AND(P1930="应收",COUNTIF(总览汇总!$B$5:$B$304,J1930)=0),"✗ 客户不在总览汇总名单里",IF(AND(P1930="应付",K1930=""),"✗ 这笔要选供应商",IF(AND(P1930="应付",COUNTIF(基础资料!$Q$5:$Q$54,K1930)=0),"✗ 供应商不在基础资料里",IF(AND(P1930="费用",L1930=""),"✗ 费用支出要选费用项目",IF(AND(L1930&lt;&gt;"",COUNTIF(基础资料!$AI$5:$AI$54,L1930)=0),"✗ 费用项目不在基础资料里",IF(AND(IFERROR(INDEX(基础资料!$AD$5:$AD$34,MATCH(O1930,基础资料!$AC$5:$AC$34,0)),"")="收",N(G1930)&lt;&gt;0),"✗ 这类是收款，金额填到收入列",IF(AND(IFERROR(INDEX(基础资料!$AD$5:$AD$34,MATCH(O1930,基础资料!$AC$5:$AC$34,0)),"")="支",N(F1930)&lt;&gt;0),"✗ 这类是付款，金额填到支出列",IF(N(H1930)&lt;0,"⚠ 账户余额成负数了，核对一下","√"))))))))))))))))))</f>
      </c>
      <c r="O1930" s="78">
        <f>IF(D1930&lt;&gt;"",D1930,IF(AND(F1930="",G1930=""),"",IF(J1930&lt;&gt;"",IF(N(F1930)&gt;0,"客户回款","客户退款"),IF(K1930&lt;&gt;"",IF(N(G1930)&gt;0,"供应商付款","供应商退款"),IF(L1930&lt;&gt;"","费用支出","")))))</f>
      </c>
      <c r="P1930" s="78">
        <f>IF(O1930="","",IFERROR(INDEX(基础资料!$AE$5:$AE$34,MATCH(O1930,基础资料!$AC$5:$AC$34,0)),"未知"))</f>
      </c>
      <c r="Q1930" s="78">
        <f>IF(P1930="应收",COUNTIF(P$7:P1930,"应收"),"")</f>
      </c>
      <c r="R1930" s="78">
        <f>IF(P1930="应付",COUNTIF(P$7:P1930,"应付"),"")</f>
      </c>
      <c r="S1930" s="78">
        <f>N(F1930)-N(G1930)</f>
        <v>0</v>
      </c>
    </row>
    <row r="1931">
      <c r="A1931" s="109">
        <f>IF(AND(F1931="",G1931=""),"",ROW()-6)</f>
      </c>
      <c r="B1931" s="140" t="n"/>
      <c r="C1931" s="141" t="n"/>
      <c r="D1931" s="141" t="n"/>
      <c r="E1931" s="142" t="n"/>
      <c r="F1931" s="143" t="n"/>
      <c r="G1931" s="144" t="n"/>
      <c r="H1931" s="145">
        <f>IF(OR(C1931="",AND(F1931="",G1931="")),"",SUMIF(基础资料!$W$5:$W$24,C1931,基础资料!$X$5:$X$24)+SUMIF(C$7:C1931,C1931,F$7:F1931)-SUMIF(C$7:C1931,C1931,G$7:G1931))</f>
      </c>
      <c r="I1931" s="145">
        <f>IF(AND(F1931="",G1931=""),"",SUM(基础资料!$X$5:$X$24)+SUM(F$7:F1931)-SUM(G$7:G1931))</f>
      </c>
      <c r="J1931" s="141" t="n"/>
      <c r="K1931" s="141" t="n"/>
      <c r="L1931" s="141" t="n"/>
      <c r="M1931" s="142" t="n"/>
      <c r="N1931" s="146">
        <f>IF(AND(AND(F1931="",G1931=""),B1931="",C1931="",D1931="",J1931="",K1931="",L1931=""),"",IF(AND(F1931="",G1931=""),"✗ 没填金额",IF(AND(N(F1931)&lt;&gt;0,N(G1931)&lt;&gt;0),"✗ 收入、支出只能填一边",IF(NOT(ISNUMBER(B1931)),"✗ 日期不是真日期（要像 2026/9/25 这样填）",IF(OR(B1931&lt;年初日,B1931&gt;年末日),"✗ 日期不在本会计年度",IF(C1931="","✗ 没选账户",IF(COUNTIF(基础资料!$W$5:$W$24,C1931)=0,"✗ 账户不在基础资料里",IF(O1931="","✗ 没选收支项目",IF(P1931="未知","✗ 收支项目不在基础资料里",IF(AND(P1931="应收",J1931=""),"✗ 这笔要选客户",IF(AND(P1931="应收",COUNTIF(总览汇总!$B$5:$B$304,J1931)=0),"✗ 客户不在总览汇总名单里",IF(AND(P1931="应付",K1931=""),"✗ 这笔要选供应商",IF(AND(P1931="应付",COUNTIF(基础资料!$Q$5:$Q$54,K1931)=0),"✗ 供应商不在基础资料里",IF(AND(P1931="费用",L1931=""),"✗ 费用支出要选费用项目",IF(AND(L1931&lt;&gt;"",COUNTIF(基础资料!$AI$5:$AI$54,L1931)=0),"✗ 费用项目不在基础资料里",IF(AND(IFERROR(INDEX(基础资料!$AD$5:$AD$34,MATCH(O1931,基础资料!$AC$5:$AC$34,0)),"")="收",N(G1931)&lt;&gt;0),"✗ 这类是收款，金额填到收入列",IF(AND(IFERROR(INDEX(基础资料!$AD$5:$AD$34,MATCH(O1931,基础资料!$AC$5:$AC$34,0)),"")="支",N(F1931)&lt;&gt;0),"✗ 这类是付款，金额填到支出列",IF(N(H1931)&lt;0,"⚠ 账户余额成负数了，核对一下","√"))))))))))))))))))</f>
      </c>
      <c r="O1931" s="78">
        <f>IF(D1931&lt;&gt;"",D1931,IF(AND(F1931="",G1931=""),"",IF(J1931&lt;&gt;"",IF(N(F1931)&gt;0,"客户回款","客户退款"),IF(K1931&lt;&gt;"",IF(N(G1931)&gt;0,"供应商付款","供应商退款"),IF(L1931&lt;&gt;"","费用支出","")))))</f>
      </c>
      <c r="P1931" s="78">
        <f>IF(O1931="","",IFERROR(INDEX(基础资料!$AE$5:$AE$34,MATCH(O1931,基础资料!$AC$5:$AC$34,0)),"未知"))</f>
      </c>
      <c r="Q1931" s="78">
        <f>IF(P1931="应收",COUNTIF(P$7:P1931,"应收"),"")</f>
      </c>
      <c r="R1931" s="78">
        <f>IF(P1931="应付",COUNTIF(P$7:P1931,"应付"),"")</f>
      </c>
      <c r="S1931" s="78">
        <f>N(F1931)-N(G1931)</f>
        <v>0</v>
      </c>
    </row>
    <row r="1932">
      <c r="A1932" s="109">
        <f>IF(AND(F1932="",G1932=""),"",ROW()-6)</f>
      </c>
      <c r="B1932" s="140" t="n"/>
      <c r="C1932" s="141" t="n"/>
      <c r="D1932" s="141" t="n"/>
      <c r="E1932" s="142" t="n"/>
      <c r="F1932" s="143" t="n"/>
      <c r="G1932" s="144" t="n"/>
      <c r="H1932" s="145">
        <f>IF(OR(C1932="",AND(F1932="",G1932="")),"",SUMIF(基础资料!$W$5:$W$24,C1932,基础资料!$X$5:$X$24)+SUMIF(C$7:C1932,C1932,F$7:F1932)-SUMIF(C$7:C1932,C1932,G$7:G1932))</f>
      </c>
      <c r="I1932" s="145">
        <f>IF(AND(F1932="",G1932=""),"",SUM(基础资料!$X$5:$X$24)+SUM(F$7:F1932)-SUM(G$7:G1932))</f>
      </c>
      <c r="J1932" s="141" t="n"/>
      <c r="K1932" s="141" t="n"/>
      <c r="L1932" s="141" t="n"/>
      <c r="M1932" s="142" t="n"/>
      <c r="N1932" s="146">
        <f>IF(AND(AND(F1932="",G1932=""),B1932="",C1932="",D1932="",J1932="",K1932="",L1932=""),"",IF(AND(F1932="",G1932=""),"✗ 没填金额",IF(AND(N(F1932)&lt;&gt;0,N(G1932)&lt;&gt;0),"✗ 收入、支出只能填一边",IF(NOT(ISNUMBER(B1932)),"✗ 日期不是真日期（要像 2026/9/25 这样填）",IF(OR(B1932&lt;年初日,B1932&gt;年末日),"✗ 日期不在本会计年度",IF(C1932="","✗ 没选账户",IF(COUNTIF(基础资料!$W$5:$W$24,C1932)=0,"✗ 账户不在基础资料里",IF(O1932="","✗ 没选收支项目",IF(P1932="未知","✗ 收支项目不在基础资料里",IF(AND(P1932="应收",J1932=""),"✗ 这笔要选客户",IF(AND(P1932="应收",COUNTIF(总览汇总!$B$5:$B$304,J1932)=0),"✗ 客户不在总览汇总名单里",IF(AND(P1932="应付",K1932=""),"✗ 这笔要选供应商",IF(AND(P1932="应付",COUNTIF(基础资料!$Q$5:$Q$54,K1932)=0),"✗ 供应商不在基础资料里",IF(AND(P1932="费用",L1932=""),"✗ 费用支出要选费用项目",IF(AND(L1932&lt;&gt;"",COUNTIF(基础资料!$AI$5:$AI$54,L1932)=0),"✗ 费用项目不在基础资料里",IF(AND(IFERROR(INDEX(基础资料!$AD$5:$AD$34,MATCH(O1932,基础资料!$AC$5:$AC$34,0)),"")="收",N(G1932)&lt;&gt;0),"✗ 这类是收款，金额填到收入列",IF(AND(IFERROR(INDEX(基础资料!$AD$5:$AD$34,MATCH(O1932,基础资料!$AC$5:$AC$34,0)),"")="支",N(F1932)&lt;&gt;0),"✗ 这类是付款，金额填到支出列",IF(N(H1932)&lt;0,"⚠ 账户余额成负数了，核对一下","√"))))))))))))))))))</f>
      </c>
      <c r="O1932" s="78">
        <f>IF(D1932&lt;&gt;"",D1932,IF(AND(F1932="",G1932=""),"",IF(J1932&lt;&gt;"",IF(N(F1932)&gt;0,"客户回款","客户退款"),IF(K1932&lt;&gt;"",IF(N(G1932)&gt;0,"供应商付款","供应商退款"),IF(L1932&lt;&gt;"","费用支出","")))))</f>
      </c>
      <c r="P1932" s="78">
        <f>IF(O1932="","",IFERROR(INDEX(基础资料!$AE$5:$AE$34,MATCH(O1932,基础资料!$AC$5:$AC$34,0)),"未知"))</f>
      </c>
      <c r="Q1932" s="78">
        <f>IF(P1932="应收",COUNTIF(P$7:P1932,"应收"),"")</f>
      </c>
      <c r="R1932" s="78">
        <f>IF(P1932="应付",COUNTIF(P$7:P1932,"应付"),"")</f>
      </c>
      <c r="S1932" s="78">
        <f>N(F1932)-N(G1932)</f>
        <v>0</v>
      </c>
    </row>
    <row r="1933">
      <c r="A1933" s="109">
        <f>IF(AND(F1933="",G1933=""),"",ROW()-6)</f>
      </c>
      <c r="B1933" s="140" t="n"/>
      <c r="C1933" s="141" t="n"/>
      <c r="D1933" s="141" t="n"/>
      <c r="E1933" s="142" t="n"/>
      <c r="F1933" s="143" t="n"/>
      <c r="G1933" s="144" t="n"/>
      <c r="H1933" s="145">
        <f>IF(OR(C1933="",AND(F1933="",G1933="")),"",SUMIF(基础资料!$W$5:$W$24,C1933,基础资料!$X$5:$X$24)+SUMIF(C$7:C1933,C1933,F$7:F1933)-SUMIF(C$7:C1933,C1933,G$7:G1933))</f>
      </c>
      <c r="I1933" s="145">
        <f>IF(AND(F1933="",G1933=""),"",SUM(基础资料!$X$5:$X$24)+SUM(F$7:F1933)-SUM(G$7:G1933))</f>
      </c>
      <c r="J1933" s="141" t="n"/>
      <c r="K1933" s="141" t="n"/>
      <c r="L1933" s="141" t="n"/>
      <c r="M1933" s="142" t="n"/>
      <c r="N1933" s="146">
        <f>IF(AND(AND(F1933="",G1933=""),B1933="",C1933="",D1933="",J1933="",K1933="",L1933=""),"",IF(AND(F1933="",G1933=""),"✗ 没填金额",IF(AND(N(F1933)&lt;&gt;0,N(G1933)&lt;&gt;0),"✗ 收入、支出只能填一边",IF(NOT(ISNUMBER(B1933)),"✗ 日期不是真日期（要像 2026/9/25 这样填）",IF(OR(B1933&lt;年初日,B1933&gt;年末日),"✗ 日期不在本会计年度",IF(C1933="","✗ 没选账户",IF(COUNTIF(基础资料!$W$5:$W$24,C1933)=0,"✗ 账户不在基础资料里",IF(O1933="","✗ 没选收支项目",IF(P1933="未知","✗ 收支项目不在基础资料里",IF(AND(P1933="应收",J1933=""),"✗ 这笔要选客户",IF(AND(P1933="应收",COUNTIF(总览汇总!$B$5:$B$304,J1933)=0),"✗ 客户不在总览汇总名单里",IF(AND(P1933="应付",K1933=""),"✗ 这笔要选供应商",IF(AND(P1933="应付",COUNTIF(基础资料!$Q$5:$Q$54,K1933)=0),"✗ 供应商不在基础资料里",IF(AND(P1933="费用",L1933=""),"✗ 费用支出要选费用项目",IF(AND(L1933&lt;&gt;"",COUNTIF(基础资料!$AI$5:$AI$54,L1933)=0),"✗ 费用项目不在基础资料里",IF(AND(IFERROR(INDEX(基础资料!$AD$5:$AD$34,MATCH(O1933,基础资料!$AC$5:$AC$34,0)),"")="收",N(G1933)&lt;&gt;0),"✗ 这类是收款，金额填到收入列",IF(AND(IFERROR(INDEX(基础资料!$AD$5:$AD$34,MATCH(O1933,基础资料!$AC$5:$AC$34,0)),"")="支",N(F1933)&lt;&gt;0),"✗ 这类是付款，金额填到支出列",IF(N(H1933)&lt;0,"⚠ 账户余额成负数了，核对一下","√"))))))))))))))))))</f>
      </c>
      <c r="O1933" s="78">
        <f>IF(D1933&lt;&gt;"",D1933,IF(AND(F1933="",G1933=""),"",IF(J1933&lt;&gt;"",IF(N(F1933)&gt;0,"客户回款","客户退款"),IF(K1933&lt;&gt;"",IF(N(G1933)&gt;0,"供应商付款","供应商退款"),IF(L1933&lt;&gt;"","费用支出","")))))</f>
      </c>
      <c r="P1933" s="78">
        <f>IF(O1933="","",IFERROR(INDEX(基础资料!$AE$5:$AE$34,MATCH(O1933,基础资料!$AC$5:$AC$34,0)),"未知"))</f>
      </c>
      <c r="Q1933" s="78">
        <f>IF(P1933="应收",COUNTIF(P$7:P1933,"应收"),"")</f>
      </c>
      <c r="R1933" s="78">
        <f>IF(P1933="应付",COUNTIF(P$7:P1933,"应付"),"")</f>
      </c>
      <c r="S1933" s="78">
        <f>N(F1933)-N(G1933)</f>
        <v>0</v>
      </c>
    </row>
    <row r="1934">
      <c r="A1934" s="109">
        <f>IF(AND(F1934="",G1934=""),"",ROW()-6)</f>
      </c>
      <c r="B1934" s="140" t="n"/>
      <c r="C1934" s="141" t="n"/>
      <c r="D1934" s="141" t="n"/>
      <c r="E1934" s="142" t="n"/>
      <c r="F1934" s="143" t="n"/>
      <c r="G1934" s="144" t="n"/>
      <c r="H1934" s="145">
        <f>IF(OR(C1934="",AND(F1934="",G1934="")),"",SUMIF(基础资料!$W$5:$W$24,C1934,基础资料!$X$5:$X$24)+SUMIF(C$7:C1934,C1934,F$7:F1934)-SUMIF(C$7:C1934,C1934,G$7:G1934))</f>
      </c>
      <c r="I1934" s="145">
        <f>IF(AND(F1934="",G1934=""),"",SUM(基础资料!$X$5:$X$24)+SUM(F$7:F1934)-SUM(G$7:G1934))</f>
      </c>
      <c r="J1934" s="141" t="n"/>
      <c r="K1934" s="141" t="n"/>
      <c r="L1934" s="141" t="n"/>
      <c r="M1934" s="142" t="n"/>
      <c r="N1934" s="146">
        <f>IF(AND(AND(F1934="",G1934=""),B1934="",C1934="",D1934="",J1934="",K1934="",L1934=""),"",IF(AND(F1934="",G1934=""),"✗ 没填金额",IF(AND(N(F1934)&lt;&gt;0,N(G1934)&lt;&gt;0),"✗ 收入、支出只能填一边",IF(NOT(ISNUMBER(B1934)),"✗ 日期不是真日期（要像 2026/9/25 这样填）",IF(OR(B1934&lt;年初日,B1934&gt;年末日),"✗ 日期不在本会计年度",IF(C1934="","✗ 没选账户",IF(COUNTIF(基础资料!$W$5:$W$24,C1934)=0,"✗ 账户不在基础资料里",IF(O1934="","✗ 没选收支项目",IF(P1934="未知","✗ 收支项目不在基础资料里",IF(AND(P1934="应收",J1934=""),"✗ 这笔要选客户",IF(AND(P1934="应收",COUNTIF(总览汇总!$B$5:$B$304,J1934)=0),"✗ 客户不在总览汇总名单里",IF(AND(P1934="应付",K1934=""),"✗ 这笔要选供应商",IF(AND(P1934="应付",COUNTIF(基础资料!$Q$5:$Q$54,K1934)=0),"✗ 供应商不在基础资料里",IF(AND(P1934="费用",L1934=""),"✗ 费用支出要选费用项目",IF(AND(L1934&lt;&gt;"",COUNTIF(基础资料!$AI$5:$AI$54,L1934)=0),"✗ 费用项目不在基础资料里",IF(AND(IFERROR(INDEX(基础资料!$AD$5:$AD$34,MATCH(O1934,基础资料!$AC$5:$AC$34,0)),"")="收",N(G1934)&lt;&gt;0),"✗ 这类是收款，金额填到收入列",IF(AND(IFERROR(INDEX(基础资料!$AD$5:$AD$34,MATCH(O1934,基础资料!$AC$5:$AC$34,0)),"")="支",N(F1934)&lt;&gt;0),"✗ 这类是付款，金额填到支出列",IF(N(H1934)&lt;0,"⚠ 账户余额成负数了，核对一下","√"))))))))))))))))))</f>
      </c>
      <c r="O1934" s="78">
        <f>IF(D1934&lt;&gt;"",D1934,IF(AND(F1934="",G1934=""),"",IF(J1934&lt;&gt;"",IF(N(F1934)&gt;0,"客户回款","客户退款"),IF(K1934&lt;&gt;"",IF(N(G1934)&gt;0,"供应商付款","供应商退款"),IF(L1934&lt;&gt;"","费用支出","")))))</f>
      </c>
      <c r="P1934" s="78">
        <f>IF(O1934="","",IFERROR(INDEX(基础资料!$AE$5:$AE$34,MATCH(O1934,基础资料!$AC$5:$AC$34,0)),"未知"))</f>
      </c>
      <c r="Q1934" s="78">
        <f>IF(P1934="应收",COUNTIF(P$7:P1934,"应收"),"")</f>
      </c>
      <c r="R1934" s="78">
        <f>IF(P1934="应付",COUNTIF(P$7:P1934,"应付"),"")</f>
      </c>
      <c r="S1934" s="78">
        <f>N(F1934)-N(G1934)</f>
        <v>0</v>
      </c>
    </row>
    <row r="1935">
      <c r="A1935" s="109">
        <f>IF(AND(F1935="",G1935=""),"",ROW()-6)</f>
      </c>
      <c r="B1935" s="140" t="n"/>
      <c r="C1935" s="141" t="n"/>
      <c r="D1935" s="141" t="n"/>
      <c r="E1935" s="142" t="n"/>
      <c r="F1935" s="143" t="n"/>
      <c r="G1935" s="144" t="n"/>
      <c r="H1935" s="145">
        <f>IF(OR(C1935="",AND(F1935="",G1935="")),"",SUMIF(基础资料!$W$5:$W$24,C1935,基础资料!$X$5:$X$24)+SUMIF(C$7:C1935,C1935,F$7:F1935)-SUMIF(C$7:C1935,C1935,G$7:G1935))</f>
      </c>
      <c r="I1935" s="145">
        <f>IF(AND(F1935="",G1935=""),"",SUM(基础资料!$X$5:$X$24)+SUM(F$7:F1935)-SUM(G$7:G1935))</f>
      </c>
      <c r="J1935" s="141" t="n"/>
      <c r="K1935" s="141" t="n"/>
      <c r="L1935" s="141" t="n"/>
      <c r="M1935" s="142" t="n"/>
      <c r="N1935" s="146">
        <f>IF(AND(AND(F1935="",G1935=""),B1935="",C1935="",D1935="",J1935="",K1935="",L1935=""),"",IF(AND(F1935="",G1935=""),"✗ 没填金额",IF(AND(N(F1935)&lt;&gt;0,N(G1935)&lt;&gt;0),"✗ 收入、支出只能填一边",IF(NOT(ISNUMBER(B1935)),"✗ 日期不是真日期（要像 2026/9/25 这样填）",IF(OR(B1935&lt;年初日,B1935&gt;年末日),"✗ 日期不在本会计年度",IF(C1935="","✗ 没选账户",IF(COUNTIF(基础资料!$W$5:$W$24,C1935)=0,"✗ 账户不在基础资料里",IF(O1935="","✗ 没选收支项目",IF(P1935="未知","✗ 收支项目不在基础资料里",IF(AND(P1935="应收",J1935=""),"✗ 这笔要选客户",IF(AND(P1935="应收",COUNTIF(总览汇总!$B$5:$B$304,J1935)=0),"✗ 客户不在总览汇总名单里",IF(AND(P1935="应付",K1935=""),"✗ 这笔要选供应商",IF(AND(P1935="应付",COUNTIF(基础资料!$Q$5:$Q$54,K1935)=0),"✗ 供应商不在基础资料里",IF(AND(P1935="费用",L1935=""),"✗ 费用支出要选费用项目",IF(AND(L1935&lt;&gt;"",COUNTIF(基础资料!$AI$5:$AI$54,L1935)=0),"✗ 费用项目不在基础资料里",IF(AND(IFERROR(INDEX(基础资料!$AD$5:$AD$34,MATCH(O1935,基础资料!$AC$5:$AC$34,0)),"")="收",N(G1935)&lt;&gt;0),"✗ 这类是收款，金额填到收入列",IF(AND(IFERROR(INDEX(基础资料!$AD$5:$AD$34,MATCH(O1935,基础资料!$AC$5:$AC$34,0)),"")="支",N(F1935)&lt;&gt;0),"✗ 这类是付款，金额填到支出列",IF(N(H1935)&lt;0,"⚠ 账户余额成负数了，核对一下","√"))))))))))))))))))</f>
      </c>
      <c r="O1935" s="78">
        <f>IF(D1935&lt;&gt;"",D1935,IF(AND(F1935="",G1935=""),"",IF(J1935&lt;&gt;"",IF(N(F1935)&gt;0,"客户回款","客户退款"),IF(K1935&lt;&gt;"",IF(N(G1935)&gt;0,"供应商付款","供应商退款"),IF(L1935&lt;&gt;"","费用支出","")))))</f>
      </c>
      <c r="P1935" s="78">
        <f>IF(O1935="","",IFERROR(INDEX(基础资料!$AE$5:$AE$34,MATCH(O1935,基础资料!$AC$5:$AC$34,0)),"未知"))</f>
      </c>
      <c r="Q1935" s="78">
        <f>IF(P1935="应收",COUNTIF(P$7:P1935,"应收"),"")</f>
      </c>
      <c r="R1935" s="78">
        <f>IF(P1935="应付",COUNTIF(P$7:P1935,"应付"),"")</f>
      </c>
      <c r="S1935" s="78">
        <f>N(F1935)-N(G1935)</f>
        <v>0</v>
      </c>
    </row>
    <row r="1936">
      <c r="A1936" s="109">
        <f>IF(AND(F1936="",G1936=""),"",ROW()-6)</f>
      </c>
      <c r="B1936" s="140" t="n"/>
      <c r="C1936" s="141" t="n"/>
      <c r="D1936" s="141" t="n"/>
      <c r="E1936" s="142" t="n"/>
      <c r="F1936" s="143" t="n"/>
      <c r="G1936" s="144" t="n"/>
      <c r="H1936" s="145">
        <f>IF(OR(C1936="",AND(F1936="",G1936="")),"",SUMIF(基础资料!$W$5:$W$24,C1936,基础资料!$X$5:$X$24)+SUMIF(C$7:C1936,C1936,F$7:F1936)-SUMIF(C$7:C1936,C1936,G$7:G1936))</f>
      </c>
      <c r="I1936" s="145">
        <f>IF(AND(F1936="",G1936=""),"",SUM(基础资料!$X$5:$X$24)+SUM(F$7:F1936)-SUM(G$7:G1936))</f>
      </c>
      <c r="J1936" s="141" t="n"/>
      <c r="K1936" s="141" t="n"/>
      <c r="L1936" s="141" t="n"/>
      <c r="M1936" s="142" t="n"/>
      <c r="N1936" s="146">
        <f>IF(AND(AND(F1936="",G1936=""),B1936="",C1936="",D1936="",J1936="",K1936="",L1936=""),"",IF(AND(F1936="",G1936=""),"✗ 没填金额",IF(AND(N(F1936)&lt;&gt;0,N(G1936)&lt;&gt;0),"✗ 收入、支出只能填一边",IF(NOT(ISNUMBER(B1936)),"✗ 日期不是真日期（要像 2026/9/25 这样填）",IF(OR(B1936&lt;年初日,B1936&gt;年末日),"✗ 日期不在本会计年度",IF(C1936="","✗ 没选账户",IF(COUNTIF(基础资料!$W$5:$W$24,C1936)=0,"✗ 账户不在基础资料里",IF(O1936="","✗ 没选收支项目",IF(P1936="未知","✗ 收支项目不在基础资料里",IF(AND(P1936="应收",J1936=""),"✗ 这笔要选客户",IF(AND(P1936="应收",COUNTIF(总览汇总!$B$5:$B$304,J1936)=0),"✗ 客户不在总览汇总名单里",IF(AND(P1936="应付",K1936=""),"✗ 这笔要选供应商",IF(AND(P1936="应付",COUNTIF(基础资料!$Q$5:$Q$54,K1936)=0),"✗ 供应商不在基础资料里",IF(AND(P1936="费用",L1936=""),"✗ 费用支出要选费用项目",IF(AND(L1936&lt;&gt;"",COUNTIF(基础资料!$AI$5:$AI$54,L1936)=0),"✗ 费用项目不在基础资料里",IF(AND(IFERROR(INDEX(基础资料!$AD$5:$AD$34,MATCH(O1936,基础资料!$AC$5:$AC$34,0)),"")="收",N(G1936)&lt;&gt;0),"✗ 这类是收款，金额填到收入列",IF(AND(IFERROR(INDEX(基础资料!$AD$5:$AD$34,MATCH(O1936,基础资料!$AC$5:$AC$34,0)),"")="支",N(F1936)&lt;&gt;0),"✗ 这类是付款，金额填到支出列",IF(N(H1936)&lt;0,"⚠ 账户余额成负数了，核对一下","√"))))))))))))))))))</f>
      </c>
      <c r="O1936" s="78">
        <f>IF(D1936&lt;&gt;"",D1936,IF(AND(F1936="",G1936=""),"",IF(J1936&lt;&gt;"",IF(N(F1936)&gt;0,"客户回款","客户退款"),IF(K1936&lt;&gt;"",IF(N(G1936)&gt;0,"供应商付款","供应商退款"),IF(L1936&lt;&gt;"","费用支出","")))))</f>
      </c>
      <c r="P1936" s="78">
        <f>IF(O1936="","",IFERROR(INDEX(基础资料!$AE$5:$AE$34,MATCH(O1936,基础资料!$AC$5:$AC$34,0)),"未知"))</f>
      </c>
      <c r="Q1936" s="78">
        <f>IF(P1936="应收",COUNTIF(P$7:P1936,"应收"),"")</f>
      </c>
      <c r="R1936" s="78">
        <f>IF(P1936="应付",COUNTIF(P$7:P1936,"应付"),"")</f>
      </c>
      <c r="S1936" s="78">
        <f>N(F1936)-N(G1936)</f>
        <v>0</v>
      </c>
    </row>
    <row r="1937">
      <c r="A1937" s="109">
        <f>IF(AND(F1937="",G1937=""),"",ROW()-6)</f>
      </c>
      <c r="B1937" s="140" t="n"/>
      <c r="C1937" s="141" t="n"/>
      <c r="D1937" s="141" t="n"/>
      <c r="E1937" s="142" t="n"/>
      <c r="F1937" s="143" t="n"/>
      <c r="G1937" s="144" t="n"/>
      <c r="H1937" s="145">
        <f>IF(OR(C1937="",AND(F1937="",G1937="")),"",SUMIF(基础资料!$W$5:$W$24,C1937,基础资料!$X$5:$X$24)+SUMIF(C$7:C1937,C1937,F$7:F1937)-SUMIF(C$7:C1937,C1937,G$7:G1937))</f>
      </c>
      <c r="I1937" s="145">
        <f>IF(AND(F1937="",G1937=""),"",SUM(基础资料!$X$5:$X$24)+SUM(F$7:F1937)-SUM(G$7:G1937))</f>
      </c>
      <c r="J1937" s="141" t="n"/>
      <c r="K1937" s="141" t="n"/>
      <c r="L1937" s="141" t="n"/>
      <c r="M1937" s="142" t="n"/>
      <c r="N1937" s="146">
        <f>IF(AND(AND(F1937="",G1937=""),B1937="",C1937="",D1937="",J1937="",K1937="",L1937=""),"",IF(AND(F1937="",G1937=""),"✗ 没填金额",IF(AND(N(F1937)&lt;&gt;0,N(G1937)&lt;&gt;0),"✗ 收入、支出只能填一边",IF(NOT(ISNUMBER(B1937)),"✗ 日期不是真日期（要像 2026/9/25 这样填）",IF(OR(B1937&lt;年初日,B1937&gt;年末日),"✗ 日期不在本会计年度",IF(C1937="","✗ 没选账户",IF(COUNTIF(基础资料!$W$5:$W$24,C1937)=0,"✗ 账户不在基础资料里",IF(O1937="","✗ 没选收支项目",IF(P1937="未知","✗ 收支项目不在基础资料里",IF(AND(P1937="应收",J1937=""),"✗ 这笔要选客户",IF(AND(P1937="应收",COUNTIF(总览汇总!$B$5:$B$304,J1937)=0),"✗ 客户不在总览汇总名单里",IF(AND(P1937="应付",K1937=""),"✗ 这笔要选供应商",IF(AND(P1937="应付",COUNTIF(基础资料!$Q$5:$Q$54,K1937)=0),"✗ 供应商不在基础资料里",IF(AND(P1937="费用",L1937=""),"✗ 费用支出要选费用项目",IF(AND(L1937&lt;&gt;"",COUNTIF(基础资料!$AI$5:$AI$54,L1937)=0),"✗ 费用项目不在基础资料里",IF(AND(IFERROR(INDEX(基础资料!$AD$5:$AD$34,MATCH(O1937,基础资料!$AC$5:$AC$34,0)),"")="收",N(G1937)&lt;&gt;0),"✗ 这类是收款，金额填到收入列",IF(AND(IFERROR(INDEX(基础资料!$AD$5:$AD$34,MATCH(O1937,基础资料!$AC$5:$AC$34,0)),"")="支",N(F1937)&lt;&gt;0),"✗ 这类是付款，金额填到支出列",IF(N(H1937)&lt;0,"⚠ 账户余额成负数了，核对一下","√"))))))))))))))))))</f>
      </c>
      <c r="O1937" s="78">
        <f>IF(D1937&lt;&gt;"",D1937,IF(AND(F1937="",G1937=""),"",IF(J1937&lt;&gt;"",IF(N(F1937)&gt;0,"客户回款","客户退款"),IF(K1937&lt;&gt;"",IF(N(G1937)&gt;0,"供应商付款","供应商退款"),IF(L1937&lt;&gt;"","费用支出","")))))</f>
      </c>
      <c r="P1937" s="78">
        <f>IF(O1937="","",IFERROR(INDEX(基础资料!$AE$5:$AE$34,MATCH(O1937,基础资料!$AC$5:$AC$34,0)),"未知"))</f>
      </c>
      <c r="Q1937" s="78">
        <f>IF(P1937="应收",COUNTIF(P$7:P1937,"应收"),"")</f>
      </c>
      <c r="R1937" s="78">
        <f>IF(P1937="应付",COUNTIF(P$7:P1937,"应付"),"")</f>
      </c>
      <c r="S1937" s="78">
        <f>N(F1937)-N(G1937)</f>
        <v>0</v>
      </c>
    </row>
    <row r="1938">
      <c r="A1938" s="109">
        <f>IF(AND(F1938="",G1938=""),"",ROW()-6)</f>
      </c>
      <c r="B1938" s="140" t="n"/>
      <c r="C1938" s="141" t="n"/>
      <c r="D1938" s="141" t="n"/>
      <c r="E1938" s="142" t="n"/>
      <c r="F1938" s="143" t="n"/>
      <c r="G1938" s="144" t="n"/>
      <c r="H1938" s="145">
        <f>IF(OR(C1938="",AND(F1938="",G1938="")),"",SUMIF(基础资料!$W$5:$W$24,C1938,基础资料!$X$5:$X$24)+SUMIF(C$7:C1938,C1938,F$7:F1938)-SUMIF(C$7:C1938,C1938,G$7:G1938))</f>
      </c>
      <c r="I1938" s="145">
        <f>IF(AND(F1938="",G1938=""),"",SUM(基础资料!$X$5:$X$24)+SUM(F$7:F1938)-SUM(G$7:G1938))</f>
      </c>
      <c r="J1938" s="141" t="n"/>
      <c r="K1938" s="141" t="n"/>
      <c r="L1938" s="141" t="n"/>
      <c r="M1938" s="142" t="n"/>
      <c r="N1938" s="146">
        <f>IF(AND(AND(F1938="",G1938=""),B1938="",C1938="",D1938="",J1938="",K1938="",L1938=""),"",IF(AND(F1938="",G1938=""),"✗ 没填金额",IF(AND(N(F1938)&lt;&gt;0,N(G1938)&lt;&gt;0),"✗ 收入、支出只能填一边",IF(NOT(ISNUMBER(B1938)),"✗ 日期不是真日期（要像 2026/9/25 这样填）",IF(OR(B1938&lt;年初日,B1938&gt;年末日),"✗ 日期不在本会计年度",IF(C1938="","✗ 没选账户",IF(COUNTIF(基础资料!$W$5:$W$24,C1938)=0,"✗ 账户不在基础资料里",IF(O1938="","✗ 没选收支项目",IF(P1938="未知","✗ 收支项目不在基础资料里",IF(AND(P1938="应收",J1938=""),"✗ 这笔要选客户",IF(AND(P1938="应收",COUNTIF(总览汇总!$B$5:$B$304,J1938)=0),"✗ 客户不在总览汇总名单里",IF(AND(P1938="应付",K1938=""),"✗ 这笔要选供应商",IF(AND(P1938="应付",COUNTIF(基础资料!$Q$5:$Q$54,K1938)=0),"✗ 供应商不在基础资料里",IF(AND(P1938="费用",L1938=""),"✗ 费用支出要选费用项目",IF(AND(L1938&lt;&gt;"",COUNTIF(基础资料!$AI$5:$AI$54,L1938)=0),"✗ 费用项目不在基础资料里",IF(AND(IFERROR(INDEX(基础资料!$AD$5:$AD$34,MATCH(O1938,基础资料!$AC$5:$AC$34,0)),"")="收",N(G1938)&lt;&gt;0),"✗ 这类是收款，金额填到收入列",IF(AND(IFERROR(INDEX(基础资料!$AD$5:$AD$34,MATCH(O1938,基础资料!$AC$5:$AC$34,0)),"")="支",N(F1938)&lt;&gt;0),"✗ 这类是付款，金额填到支出列",IF(N(H1938)&lt;0,"⚠ 账户余额成负数了，核对一下","√"))))))))))))))))))</f>
      </c>
      <c r="O1938" s="78">
        <f>IF(D1938&lt;&gt;"",D1938,IF(AND(F1938="",G1938=""),"",IF(J1938&lt;&gt;"",IF(N(F1938)&gt;0,"客户回款","客户退款"),IF(K1938&lt;&gt;"",IF(N(G1938)&gt;0,"供应商付款","供应商退款"),IF(L1938&lt;&gt;"","费用支出","")))))</f>
      </c>
      <c r="P1938" s="78">
        <f>IF(O1938="","",IFERROR(INDEX(基础资料!$AE$5:$AE$34,MATCH(O1938,基础资料!$AC$5:$AC$34,0)),"未知"))</f>
      </c>
      <c r="Q1938" s="78">
        <f>IF(P1938="应收",COUNTIF(P$7:P1938,"应收"),"")</f>
      </c>
      <c r="R1938" s="78">
        <f>IF(P1938="应付",COUNTIF(P$7:P1938,"应付"),"")</f>
      </c>
      <c r="S1938" s="78">
        <f>N(F1938)-N(G1938)</f>
        <v>0</v>
      </c>
    </row>
    <row r="1939">
      <c r="A1939" s="109">
        <f>IF(AND(F1939="",G1939=""),"",ROW()-6)</f>
      </c>
      <c r="B1939" s="140" t="n"/>
      <c r="C1939" s="141" t="n"/>
      <c r="D1939" s="141" t="n"/>
      <c r="E1939" s="142" t="n"/>
      <c r="F1939" s="143" t="n"/>
      <c r="G1939" s="144" t="n"/>
      <c r="H1939" s="145">
        <f>IF(OR(C1939="",AND(F1939="",G1939="")),"",SUMIF(基础资料!$W$5:$W$24,C1939,基础资料!$X$5:$X$24)+SUMIF(C$7:C1939,C1939,F$7:F1939)-SUMIF(C$7:C1939,C1939,G$7:G1939))</f>
      </c>
      <c r="I1939" s="145">
        <f>IF(AND(F1939="",G1939=""),"",SUM(基础资料!$X$5:$X$24)+SUM(F$7:F1939)-SUM(G$7:G1939))</f>
      </c>
      <c r="J1939" s="141" t="n"/>
      <c r="K1939" s="141" t="n"/>
      <c r="L1939" s="141" t="n"/>
      <c r="M1939" s="142" t="n"/>
      <c r="N1939" s="146">
        <f>IF(AND(AND(F1939="",G1939=""),B1939="",C1939="",D1939="",J1939="",K1939="",L1939=""),"",IF(AND(F1939="",G1939=""),"✗ 没填金额",IF(AND(N(F1939)&lt;&gt;0,N(G1939)&lt;&gt;0),"✗ 收入、支出只能填一边",IF(NOT(ISNUMBER(B1939)),"✗ 日期不是真日期（要像 2026/9/25 这样填）",IF(OR(B1939&lt;年初日,B1939&gt;年末日),"✗ 日期不在本会计年度",IF(C1939="","✗ 没选账户",IF(COUNTIF(基础资料!$W$5:$W$24,C1939)=0,"✗ 账户不在基础资料里",IF(O1939="","✗ 没选收支项目",IF(P1939="未知","✗ 收支项目不在基础资料里",IF(AND(P1939="应收",J1939=""),"✗ 这笔要选客户",IF(AND(P1939="应收",COUNTIF(总览汇总!$B$5:$B$304,J1939)=0),"✗ 客户不在总览汇总名单里",IF(AND(P1939="应付",K1939=""),"✗ 这笔要选供应商",IF(AND(P1939="应付",COUNTIF(基础资料!$Q$5:$Q$54,K1939)=0),"✗ 供应商不在基础资料里",IF(AND(P1939="费用",L1939=""),"✗ 费用支出要选费用项目",IF(AND(L1939&lt;&gt;"",COUNTIF(基础资料!$AI$5:$AI$54,L1939)=0),"✗ 费用项目不在基础资料里",IF(AND(IFERROR(INDEX(基础资料!$AD$5:$AD$34,MATCH(O1939,基础资料!$AC$5:$AC$34,0)),"")="收",N(G1939)&lt;&gt;0),"✗ 这类是收款，金额填到收入列",IF(AND(IFERROR(INDEX(基础资料!$AD$5:$AD$34,MATCH(O1939,基础资料!$AC$5:$AC$34,0)),"")="支",N(F1939)&lt;&gt;0),"✗ 这类是付款，金额填到支出列",IF(N(H1939)&lt;0,"⚠ 账户余额成负数了，核对一下","√"))))))))))))))))))</f>
      </c>
      <c r="O1939" s="78">
        <f>IF(D1939&lt;&gt;"",D1939,IF(AND(F1939="",G1939=""),"",IF(J1939&lt;&gt;"",IF(N(F1939)&gt;0,"客户回款","客户退款"),IF(K1939&lt;&gt;"",IF(N(G1939)&gt;0,"供应商付款","供应商退款"),IF(L1939&lt;&gt;"","费用支出","")))))</f>
      </c>
      <c r="P1939" s="78">
        <f>IF(O1939="","",IFERROR(INDEX(基础资料!$AE$5:$AE$34,MATCH(O1939,基础资料!$AC$5:$AC$34,0)),"未知"))</f>
      </c>
      <c r="Q1939" s="78">
        <f>IF(P1939="应收",COUNTIF(P$7:P1939,"应收"),"")</f>
      </c>
      <c r="R1939" s="78">
        <f>IF(P1939="应付",COUNTIF(P$7:P1939,"应付"),"")</f>
      </c>
      <c r="S1939" s="78">
        <f>N(F1939)-N(G1939)</f>
        <v>0</v>
      </c>
    </row>
    <row r="1940">
      <c r="A1940" s="109">
        <f>IF(AND(F1940="",G1940=""),"",ROW()-6)</f>
      </c>
      <c r="B1940" s="140" t="n"/>
      <c r="C1940" s="141" t="n"/>
      <c r="D1940" s="141" t="n"/>
      <c r="E1940" s="142" t="n"/>
      <c r="F1940" s="143" t="n"/>
      <c r="G1940" s="144" t="n"/>
      <c r="H1940" s="145">
        <f>IF(OR(C1940="",AND(F1940="",G1940="")),"",SUMIF(基础资料!$W$5:$W$24,C1940,基础资料!$X$5:$X$24)+SUMIF(C$7:C1940,C1940,F$7:F1940)-SUMIF(C$7:C1940,C1940,G$7:G1940))</f>
      </c>
      <c r="I1940" s="145">
        <f>IF(AND(F1940="",G1940=""),"",SUM(基础资料!$X$5:$X$24)+SUM(F$7:F1940)-SUM(G$7:G1940))</f>
      </c>
      <c r="J1940" s="141" t="n"/>
      <c r="K1940" s="141" t="n"/>
      <c r="L1940" s="141" t="n"/>
      <c r="M1940" s="142" t="n"/>
      <c r="N1940" s="146">
        <f>IF(AND(AND(F1940="",G1940=""),B1940="",C1940="",D1940="",J1940="",K1940="",L1940=""),"",IF(AND(F1940="",G1940=""),"✗ 没填金额",IF(AND(N(F1940)&lt;&gt;0,N(G1940)&lt;&gt;0),"✗ 收入、支出只能填一边",IF(NOT(ISNUMBER(B1940)),"✗ 日期不是真日期（要像 2026/9/25 这样填）",IF(OR(B1940&lt;年初日,B1940&gt;年末日),"✗ 日期不在本会计年度",IF(C1940="","✗ 没选账户",IF(COUNTIF(基础资料!$W$5:$W$24,C1940)=0,"✗ 账户不在基础资料里",IF(O1940="","✗ 没选收支项目",IF(P1940="未知","✗ 收支项目不在基础资料里",IF(AND(P1940="应收",J1940=""),"✗ 这笔要选客户",IF(AND(P1940="应收",COUNTIF(总览汇总!$B$5:$B$304,J1940)=0),"✗ 客户不在总览汇总名单里",IF(AND(P1940="应付",K1940=""),"✗ 这笔要选供应商",IF(AND(P1940="应付",COUNTIF(基础资料!$Q$5:$Q$54,K1940)=0),"✗ 供应商不在基础资料里",IF(AND(P1940="费用",L1940=""),"✗ 费用支出要选费用项目",IF(AND(L1940&lt;&gt;"",COUNTIF(基础资料!$AI$5:$AI$54,L1940)=0),"✗ 费用项目不在基础资料里",IF(AND(IFERROR(INDEX(基础资料!$AD$5:$AD$34,MATCH(O1940,基础资料!$AC$5:$AC$34,0)),"")="收",N(G1940)&lt;&gt;0),"✗ 这类是收款，金额填到收入列",IF(AND(IFERROR(INDEX(基础资料!$AD$5:$AD$34,MATCH(O1940,基础资料!$AC$5:$AC$34,0)),"")="支",N(F1940)&lt;&gt;0),"✗ 这类是付款，金额填到支出列",IF(N(H1940)&lt;0,"⚠ 账户余额成负数了，核对一下","√"))))))))))))))))))</f>
      </c>
      <c r="O1940" s="78">
        <f>IF(D1940&lt;&gt;"",D1940,IF(AND(F1940="",G1940=""),"",IF(J1940&lt;&gt;"",IF(N(F1940)&gt;0,"客户回款","客户退款"),IF(K1940&lt;&gt;"",IF(N(G1940)&gt;0,"供应商付款","供应商退款"),IF(L1940&lt;&gt;"","费用支出","")))))</f>
      </c>
      <c r="P1940" s="78">
        <f>IF(O1940="","",IFERROR(INDEX(基础资料!$AE$5:$AE$34,MATCH(O1940,基础资料!$AC$5:$AC$34,0)),"未知"))</f>
      </c>
      <c r="Q1940" s="78">
        <f>IF(P1940="应收",COUNTIF(P$7:P1940,"应收"),"")</f>
      </c>
      <c r="R1940" s="78">
        <f>IF(P1940="应付",COUNTIF(P$7:P1940,"应付"),"")</f>
      </c>
      <c r="S1940" s="78">
        <f>N(F1940)-N(G1940)</f>
        <v>0</v>
      </c>
    </row>
    <row r="1941">
      <c r="A1941" s="109">
        <f>IF(AND(F1941="",G1941=""),"",ROW()-6)</f>
      </c>
      <c r="B1941" s="140" t="n"/>
      <c r="C1941" s="141" t="n"/>
      <c r="D1941" s="141" t="n"/>
      <c r="E1941" s="142" t="n"/>
      <c r="F1941" s="143" t="n"/>
      <c r="G1941" s="144" t="n"/>
      <c r="H1941" s="145">
        <f>IF(OR(C1941="",AND(F1941="",G1941="")),"",SUMIF(基础资料!$W$5:$W$24,C1941,基础资料!$X$5:$X$24)+SUMIF(C$7:C1941,C1941,F$7:F1941)-SUMIF(C$7:C1941,C1941,G$7:G1941))</f>
      </c>
      <c r="I1941" s="145">
        <f>IF(AND(F1941="",G1941=""),"",SUM(基础资料!$X$5:$X$24)+SUM(F$7:F1941)-SUM(G$7:G1941))</f>
      </c>
      <c r="J1941" s="141" t="n"/>
      <c r="K1941" s="141" t="n"/>
      <c r="L1941" s="141" t="n"/>
      <c r="M1941" s="142" t="n"/>
      <c r="N1941" s="146">
        <f>IF(AND(AND(F1941="",G1941=""),B1941="",C1941="",D1941="",J1941="",K1941="",L1941=""),"",IF(AND(F1941="",G1941=""),"✗ 没填金额",IF(AND(N(F1941)&lt;&gt;0,N(G1941)&lt;&gt;0),"✗ 收入、支出只能填一边",IF(NOT(ISNUMBER(B1941)),"✗ 日期不是真日期（要像 2026/9/25 这样填）",IF(OR(B1941&lt;年初日,B1941&gt;年末日),"✗ 日期不在本会计年度",IF(C1941="","✗ 没选账户",IF(COUNTIF(基础资料!$W$5:$W$24,C1941)=0,"✗ 账户不在基础资料里",IF(O1941="","✗ 没选收支项目",IF(P1941="未知","✗ 收支项目不在基础资料里",IF(AND(P1941="应收",J1941=""),"✗ 这笔要选客户",IF(AND(P1941="应收",COUNTIF(总览汇总!$B$5:$B$304,J1941)=0),"✗ 客户不在总览汇总名单里",IF(AND(P1941="应付",K1941=""),"✗ 这笔要选供应商",IF(AND(P1941="应付",COUNTIF(基础资料!$Q$5:$Q$54,K1941)=0),"✗ 供应商不在基础资料里",IF(AND(P1941="费用",L1941=""),"✗ 费用支出要选费用项目",IF(AND(L1941&lt;&gt;"",COUNTIF(基础资料!$AI$5:$AI$54,L1941)=0),"✗ 费用项目不在基础资料里",IF(AND(IFERROR(INDEX(基础资料!$AD$5:$AD$34,MATCH(O1941,基础资料!$AC$5:$AC$34,0)),"")="收",N(G1941)&lt;&gt;0),"✗ 这类是收款，金额填到收入列",IF(AND(IFERROR(INDEX(基础资料!$AD$5:$AD$34,MATCH(O1941,基础资料!$AC$5:$AC$34,0)),"")="支",N(F1941)&lt;&gt;0),"✗ 这类是付款，金额填到支出列",IF(N(H1941)&lt;0,"⚠ 账户余额成负数了，核对一下","√"))))))))))))))))))</f>
      </c>
      <c r="O1941" s="78">
        <f>IF(D1941&lt;&gt;"",D1941,IF(AND(F1941="",G1941=""),"",IF(J1941&lt;&gt;"",IF(N(F1941)&gt;0,"客户回款","客户退款"),IF(K1941&lt;&gt;"",IF(N(G1941)&gt;0,"供应商付款","供应商退款"),IF(L1941&lt;&gt;"","费用支出","")))))</f>
      </c>
      <c r="P1941" s="78">
        <f>IF(O1941="","",IFERROR(INDEX(基础资料!$AE$5:$AE$34,MATCH(O1941,基础资料!$AC$5:$AC$34,0)),"未知"))</f>
      </c>
      <c r="Q1941" s="78">
        <f>IF(P1941="应收",COUNTIF(P$7:P1941,"应收"),"")</f>
      </c>
      <c r="R1941" s="78">
        <f>IF(P1941="应付",COUNTIF(P$7:P1941,"应付"),"")</f>
      </c>
      <c r="S1941" s="78">
        <f>N(F1941)-N(G1941)</f>
        <v>0</v>
      </c>
    </row>
    <row r="1942">
      <c r="A1942" s="109">
        <f>IF(AND(F1942="",G1942=""),"",ROW()-6)</f>
      </c>
      <c r="B1942" s="140" t="n"/>
      <c r="C1942" s="141" t="n"/>
      <c r="D1942" s="141" t="n"/>
      <c r="E1942" s="142" t="n"/>
      <c r="F1942" s="143" t="n"/>
      <c r="G1942" s="144" t="n"/>
      <c r="H1942" s="145">
        <f>IF(OR(C1942="",AND(F1942="",G1942="")),"",SUMIF(基础资料!$W$5:$W$24,C1942,基础资料!$X$5:$X$24)+SUMIF(C$7:C1942,C1942,F$7:F1942)-SUMIF(C$7:C1942,C1942,G$7:G1942))</f>
      </c>
      <c r="I1942" s="145">
        <f>IF(AND(F1942="",G1942=""),"",SUM(基础资料!$X$5:$X$24)+SUM(F$7:F1942)-SUM(G$7:G1942))</f>
      </c>
      <c r="J1942" s="141" t="n"/>
      <c r="K1942" s="141" t="n"/>
      <c r="L1942" s="141" t="n"/>
      <c r="M1942" s="142" t="n"/>
      <c r="N1942" s="146">
        <f>IF(AND(AND(F1942="",G1942=""),B1942="",C1942="",D1942="",J1942="",K1942="",L1942=""),"",IF(AND(F1942="",G1942=""),"✗ 没填金额",IF(AND(N(F1942)&lt;&gt;0,N(G1942)&lt;&gt;0),"✗ 收入、支出只能填一边",IF(NOT(ISNUMBER(B1942)),"✗ 日期不是真日期（要像 2026/9/25 这样填）",IF(OR(B1942&lt;年初日,B1942&gt;年末日),"✗ 日期不在本会计年度",IF(C1942="","✗ 没选账户",IF(COUNTIF(基础资料!$W$5:$W$24,C1942)=0,"✗ 账户不在基础资料里",IF(O1942="","✗ 没选收支项目",IF(P1942="未知","✗ 收支项目不在基础资料里",IF(AND(P1942="应收",J1942=""),"✗ 这笔要选客户",IF(AND(P1942="应收",COUNTIF(总览汇总!$B$5:$B$304,J1942)=0),"✗ 客户不在总览汇总名单里",IF(AND(P1942="应付",K1942=""),"✗ 这笔要选供应商",IF(AND(P1942="应付",COUNTIF(基础资料!$Q$5:$Q$54,K1942)=0),"✗ 供应商不在基础资料里",IF(AND(P1942="费用",L1942=""),"✗ 费用支出要选费用项目",IF(AND(L1942&lt;&gt;"",COUNTIF(基础资料!$AI$5:$AI$54,L1942)=0),"✗ 费用项目不在基础资料里",IF(AND(IFERROR(INDEX(基础资料!$AD$5:$AD$34,MATCH(O1942,基础资料!$AC$5:$AC$34,0)),"")="收",N(G1942)&lt;&gt;0),"✗ 这类是收款，金额填到收入列",IF(AND(IFERROR(INDEX(基础资料!$AD$5:$AD$34,MATCH(O1942,基础资料!$AC$5:$AC$34,0)),"")="支",N(F1942)&lt;&gt;0),"✗ 这类是付款，金额填到支出列",IF(N(H1942)&lt;0,"⚠ 账户余额成负数了，核对一下","√"))))))))))))))))))</f>
      </c>
      <c r="O1942" s="78">
        <f>IF(D1942&lt;&gt;"",D1942,IF(AND(F1942="",G1942=""),"",IF(J1942&lt;&gt;"",IF(N(F1942)&gt;0,"客户回款","客户退款"),IF(K1942&lt;&gt;"",IF(N(G1942)&gt;0,"供应商付款","供应商退款"),IF(L1942&lt;&gt;"","费用支出","")))))</f>
      </c>
      <c r="P1942" s="78">
        <f>IF(O1942="","",IFERROR(INDEX(基础资料!$AE$5:$AE$34,MATCH(O1942,基础资料!$AC$5:$AC$34,0)),"未知"))</f>
      </c>
      <c r="Q1942" s="78">
        <f>IF(P1942="应收",COUNTIF(P$7:P1942,"应收"),"")</f>
      </c>
      <c r="R1942" s="78">
        <f>IF(P1942="应付",COUNTIF(P$7:P1942,"应付"),"")</f>
      </c>
      <c r="S1942" s="78">
        <f>N(F1942)-N(G1942)</f>
        <v>0</v>
      </c>
    </row>
    <row r="1943">
      <c r="A1943" s="109">
        <f>IF(AND(F1943="",G1943=""),"",ROW()-6)</f>
      </c>
      <c r="B1943" s="140" t="n"/>
      <c r="C1943" s="141" t="n"/>
      <c r="D1943" s="141" t="n"/>
      <c r="E1943" s="142" t="n"/>
      <c r="F1943" s="143" t="n"/>
      <c r="G1943" s="144" t="n"/>
      <c r="H1943" s="145">
        <f>IF(OR(C1943="",AND(F1943="",G1943="")),"",SUMIF(基础资料!$W$5:$W$24,C1943,基础资料!$X$5:$X$24)+SUMIF(C$7:C1943,C1943,F$7:F1943)-SUMIF(C$7:C1943,C1943,G$7:G1943))</f>
      </c>
      <c r="I1943" s="145">
        <f>IF(AND(F1943="",G1943=""),"",SUM(基础资料!$X$5:$X$24)+SUM(F$7:F1943)-SUM(G$7:G1943))</f>
      </c>
      <c r="J1943" s="141" t="n"/>
      <c r="K1943" s="141" t="n"/>
      <c r="L1943" s="141" t="n"/>
      <c r="M1943" s="142" t="n"/>
      <c r="N1943" s="146">
        <f>IF(AND(AND(F1943="",G1943=""),B1943="",C1943="",D1943="",J1943="",K1943="",L1943=""),"",IF(AND(F1943="",G1943=""),"✗ 没填金额",IF(AND(N(F1943)&lt;&gt;0,N(G1943)&lt;&gt;0),"✗ 收入、支出只能填一边",IF(NOT(ISNUMBER(B1943)),"✗ 日期不是真日期（要像 2026/9/25 这样填）",IF(OR(B1943&lt;年初日,B1943&gt;年末日),"✗ 日期不在本会计年度",IF(C1943="","✗ 没选账户",IF(COUNTIF(基础资料!$W$5:$W$24,C1943)=0,"✗ 账户不在基础资料里",IF(O1943="","✗ 没选收支项目",IF(P1943="未知","✗ 收支项目不在基础资料里",IF(AND(P1943="应收",J1943=""),"✗ 这笔要选客户",IF(AND(P1943="应收",COUNTIF(总览汇总!$B$5:$B$304,J1943)=0),"✗ 客户不在总览汇总名单里",IF(AND(P1943="应付",K1943=""),"✗ 这笔要选供应商",IF(AND(P1943="应付",COUNTIF(基础资料!$Q$5:$Q$54,K1943)=0),"✗ 供应商不在基础资料里",IF(AND(P1943="费用",L1943=""),"✗ 费用支出要选费用项目",IF(AND(L1943&lt;&gt;"",COUNTIF(基础资料!$AI$5:$AI$54,L1943)=0),"✗ 费用项目不在基础资料里",IF(AND(IFERROR(INDEX(基础资料!$AD$5:$AD$34,MATCH(O1943,基础资料!$AC$5:$AC$34,0)),"")="收",N(G1943)&lt;&gt;0),"✗ 这类是收款，金额填到收入列",IF(AND(IFERROR(INDEX(基础资料!$AD$5:$AD$34,MATCH(O1943,基础资料!$AC$5:$AC$34,0)),"")="支",N(F1943)&lt;&gt;0),"✗ 这类是付款，金额填到支出列",IF(N(H1943)&lt;0,"⚠ 账户余额成负数了，核对一下","√"))))))))))))))))))</f>
      </c>
      <c r="O1943" s="78">
        <f>IF(D1943&lt;&gt;"",D1943,IF(AND(F1943="",G1943=""),"",IF(J1943&lt;&gt;"",IF(N(F1943)&gt;0,"客户回款","客户退款"),IF(K1943&lt;&gt;"",IF(N(G1943)&gt;0,"供应商付款","供应商退款"),IF(L1943&lt;&gt;"","费用支出","")))))</f>
      </c>
      <c r="P1943" s="78">
        <f>IF(O1943="","",IFERROR(INDEX(基础资料!$AE$5:$AE$34,MATCH(O1943,基础资料!$AC$5:$AC$34,0)),"未知"))</f>
      </c>
      <c r="Q1943" s="78">
        <f>IF(P1943="应收",COUNTIF(P$7:P1943,"应收"),"")</f>
      </c>
      <c r="R1943" s="78">
        <f>IF(P1943="应付",COUNTIF(P$7:P1943,"应付"),"")</f>
      </c>
      <c r="S1943" s="78">
        <f>N(F1943)-N(G1943)</f>
        <v>0</v>
      </c>
    </row>
    <row r="1944">
      <c r="A1944" s="109">
        <f>IF(AND(F1944="",G1944=""),"",ROW()-6)</f>
      </c>
      <c r="B1944" s="140" t="n"/>
      <c r="C1944" s="141" t="n"/>
      <c r="D1944" s="141" t="n"/>
      <c r="E1944" s="142" t="n"/>
      <c r="F1944" s="143" t="n"/>
      <c r="G1944" s="144" t="n"/>
      <c r="H1944" s="145">
        <f>IF(OR(C1944="",AND(F1944="",G1944="")),"",SUMIF(基础资料!$W$5:$W$24,C1944,基础资料!$X$5:$X$24)+SUMIF(C$7:C1944,C1944,F$7:F1944)-SUMIF(C$7:C1944,C1944,G$7:G1944))</f>
      </c>
      <c r="I1944" s="145">
        <f>IF(AND(F1944="",G1944=""),"",SUM(基础资料!$X$5:$X$24)+SUM(F$7:F1944)-SUM(G$7:G1944))</f>
      </c>
      <c r="J1944" s="141" t="n"/>
      <c r="K1944" s="141" t="n"/>
      <c r="L1944" s="141" t="n"/>
      <c r="M1944" s="142" t="n"/>
      <c r="N1944" s="146">
        <f>IF(AND(AND(F1944="",G1944=""),B1944="",C1944="",D1944="",J1944="",K1944="",L1944=""),"",IF(AND(F1944="",G1944=""),"✗ 没填金额",IF(AND(N(F1944)&lt;&gt;0,N(G1944)&lt;&gt;0),"✗ 收入、支出只能填一边",IF(NOT(ISNUMBER(B1944)),"✗ 日期不是真日期（要像 2026/9/25 这样填）",IF(OR(B1944&lt;年初日,B1944&gt;年末日),"✗ 日期不在本会计年度",IF(C1944="","✗ 没选账户",IF(COUNTIF(基础资料!$W$5:$W$24,C1944)=0,"✗ 账户不在基础资料里",IF(O1944="","✗ 没选收支项目",IF(P1944="未知","✗ 收支项目不在基础资料里",IF(AND(P1944="应收",J1944=""),"✗ 这笔要选客户",IF(AND(P1944="应收",COUNTIF(总览汇总!$B$5:$B$304,J1944)=0),"✗ 客户不在总览汇总名单里",IF(AND(P1944="应付",K1944=""),"✗ 这笔要选供应商",IF(AND(P1944="应付",COUNTIF(基础资料!$Q$5:$Q$54,K1944)=0),"✗ 供应商不在基础资料里",IF(AND(P1944="费用",L1944=""),"✗ 费用支出要选费用项目",IF(AND(L1944&lt;&gt;"",COUNTIF(基础资料!$AI$5:$AI$54,L1944)=0),"✗ 费用项目不在基础资料里",IF(AND(IFERROR(INDEX(基础资料!$AD$5:$AD$34,MATCH(O1944,基础资料!$AC$5:$AC$34,0)),"")="收",N(G1944)&lt;&gt;0),"✗ 这类是收款，金额填到收入列",IF(AND(IFERROR(INDEX(基础资料!$AD$5:$AD$34,MATCH(O1944,基础资料!$AC$5:$AC$34,0)),"")="支",N(F1944)&lt;&gt;0),"✗ 这类是付款，金额填到支出列",IF(N(H1944)&lt;0,"⚠ 账户余额成负数了，核对一下","√"))))))))))))))))))</f>
      </c>
      <c r="O1944" s="78">
        <f>IF(D1944&lt;&gt;"",D1944,IF(AND(F1944="",G1944=""),"",IF(J1944&lt;&gt;"",IF(N(F1944)&gt;0,"客户回款","客户退款"),IF(K1944&lt;&gt;"",IF(N(G1944)&gt;0,"供应商付款","供应商退款"),IF(L1944&lt;&gt;"","费用支出","")))))</f>
      </c>
      <c r="P1944" s="78">
        <f>IF(O1944="","",IFERROR(INDEX(基础资料!$AE$5:$AE$34,MATCH(O1944,基础资料!$AC$5:$AC$34,0)),"未知"))</f>
      </c>
      <c r="Q1944" s="78">
        <f>IF(P1944="应收",COUNTIF(P$7:P1944,"应收"),"")</f>
      </c>
      <c r="R1944" s="78">
        <f>IF(P1944="应付",COUNTIF(P$7:P1944,"应付"),"")</f>
      </c>
      <c r="S1944" s="78">
        <f>N(F1944)-N(G1944)</f>
        <v>0</v>
      </c>
    </row>
    <row r="1945">
      <c r="A1945" s="109">
        <f>IF(AND(F1945="",G1945=""),"",ROW()-6)</f>
      </c>
      <c r="B1945" s="140" t="n"/>
      <c r="C1945" s="141" t="n"/>
      <c r="D1945" s="141" t="n"/>
      <c r="E1945" s="142" t="n"/>
      <c r="F1945" s="143" t="n"/>
      <c r="G1945" s="144" t="n"/>
      <c r="H1945" s="145">
        <f>IF(OR(C1945="",AND(F1945="",G1945="")),"",SUMIF(基础资料!$W$5:$W$24,C1945,基础资料!$X$5:$X$24)+SUMIF(C$7:C1945,C1945,F$7:F1945)-SUMIF(C$7:C1945,C1945,G$7:G1945))</f>
      </c>
      <c r="I1945" s="145">
        <f>IF(AND(F1945="",G1945=""),"",SUM(基础资料!$X$5:$X$24)+SUM(F$7:F1945)-SUM(G$7:G1945))</f>
      </c>
      <c r="J1945" s="141" t="n"/>
      <c r="K1945" s="141" t="n"/>
      <c r="L1945" s="141" t="n"/>
      <c r="M1945" s="142" t="n"/>
      <c r="N1945" s="146">
        <f>IF(AND(AND(F1945="",G1945=""),B1945="",C1945="",D1945="",J1945="",K1945="",L1945=""),"",IF(AND(F1945="",G1945=""),"✗ 没填金额",IF(AND(N(F1945)&lt;&gt;0,N(G1945)&lt;&gt;0),"✗ 收入、支出只能填一边",IF(NOT(ISNUMBER(B1945)),"✗ 日期不是真日期（要像 2026/9/25 这样填）",IF(OR(B1945&lt;年初日,B1945&gt;年末日),"✗ 日期不在本会计年度",IF(C1945="","✗ 没选账户",IF(COUNTIF(基础资料!$W$5:$W$24,C1945)=0,"✗ 账户不在基础资料里",IF(O1945="","✗ 没选收支项目",IF(P1945="未知","✗ 收支项目不在基础资料里",IF(AND(P1945="应收",J1945=""),"✗ 这笔要选客户",IF(AND(P1945="应收",COUNTIF(总览汇总!$B$5:$B$304,J1945)=0),"✗ 客户不在总览汇总名单里",IF(AND(P1945="应付",K1945=""),"✗ 这笔要选供应商",IF(AND(P1945="应付",COUNTIF(基础资料!$Q$5:$Q$54,K1945)=0),"✗ 供应商不在基础资料里",IF(AND(P1945="费用",L1945=""),"✗ 费用支出要选费用项目",IF(AND(L1945&lt;&gt;"",COUNTIF(基础资料!$AI$5:$AI$54,L1945)=0),"✗ 费用项目不在基础资料里",IF(AND(IFERROR(INDEX(基础资料!$AD$5:$AD$34,MATCH(O1945,基础资料!$AC$5:$AC$34,0)),"")="收",N(G1945)&lt;&gt;0),"✗ 这类是收款，金额填到收入列",IF(AND(IFERROR(INDEX(基础资料!$AD$5:$AD$34,MATCH(O1945,基础资料!$AC$5:$AC$34,0)),"")="支",N(F1945)&lt;&gt;0),"✗ 这类是付款，金额填到支出列",IF(N(H1945)&lt;0,"⚠ 账户余额成负数了，核对一下","√"))))))))))))))))))</f>
      </c>
      <c r="O1945" s="78">
        <f>IF(D1945&lt;&gt;"",D1945,IF(AND(F1945="",G1945=""),"",IF(J1945&lt;&gt;"",IF(N(F1945)&gt;0,"客户回款","客户退款"),IF(K1945&lt;&gt;"",IF(N(G1945)&gt;0,"供应商付款","供应商退款"),IF(L1945&lt;&gt;"","费用支出","")))))</f>
      </c>
      <c r="P1945" s="78">
        <f>IF(O1945="","",IFERROR(INDEX(基础资料!$AE$5:$AE$34,MATCH(O1945,基础资料!$AC$5:$AC$34,0)),"未知"))</f>
      </c>
      <c r="Q1945" s="78">
        <f>IF(P1945="应收",COUNTIF(P$7:P1945,"应收"),"")</f>
      </c>
      <c r="R1945" s="78">
        <f>IF(P1945="应付",COUNTIF(P$7:P1945,"应付"),"")</f>
      </c>
      <c r="S1945" s="78">
        <f>N(F1945)-N(G1945)</f>
        <v>0</v>
      </c>
    </row>
    <row r="1946">
      <c r="A1946" s="109">
        <f>IF(AND(F1946="",G1946=""),"",ROW()-6)</f>
      </c>
      <c r="B1946" s="140" t="n"/>
      <c r="C1946" s="141" t="n"/>
      <c r="D1946" s="141" t="n"/>
      <c r="E1946" s="142" t="n"/>
      <c r="F1946" s="143" t="n"/>
      <c r="G1946" s="144" t="n"/>
      <c r="H1946" s="145">
        <f>IF(OR(C1946="",AND(F1946="",G1946="")),"",SUMIF(基础资料!$W$5:$W$24,C1946,基础资料!$X$5:$X$24)+SUMIF(C$7:C1946,C1946,F$7:F1946)-SUMIF(C$7:C1946,C1946,G$7:G1946))</f>
      </c>
      <c r="I1946" s="145">
        <f>IF(AND(F1946="",G1946=""),"",SUM(基础资料!$X$5:$X$24)+SUM(F$7:F1946)-SUM(G$7:G1946))</f>
      </c>
      <c r="J1946" s="141" t="n"/>
      <c r="K1946" s="141" t="n"/>
      <c r="L1946" s="141" t="n"/>
      <c r="M1946" s="142" t="n"/>
      <c r="N1946" s="146">
        <f>IF(AND(AND(F1946="",G1946=""),B1946="",C1946="",D1946="",J1946="",K1946="",L1946=""),"",IF(AND(F1946="",G1946=""),"✗ 没填金额",IF(AND(N(F1946)&lt;&gt;0,N(G1946)&lt;&gt;0),"✗ 收入、支出只能填一边",IF(NOT(ISNUMBER(B1946)),"✗ 日期不是真日期（要像 2026/9/25 这样填）",IF(OR(B1946&lt;年初日,B1946&gt;年末日),"✗ 日期不在本会计年度",IF(C1946="","✗ 没选账户",IF(COUNTIF(基础资料!$W$5:$W$24,C1946)=0,"✗ 账户不在基础资料里",IF(O1946="","✗ 没选收支项目",IF(P1946="未知","✗ 收支项目不在基础资料里",IF(AND(P1946="应收",J1946=""),"✗ 这笔要选客户",IF(AND(P1946="应收",COUNTIF(总览汇总!$B$5:$B$304,J1946)=0),"✗ 客户不在总览汇总名单里",IF(AND(P1946="应付",K1946=""),"✗ 这笔要选供应商",IF(AND(P1946="应付",COUNTIF(基础资料!$Q$5:$Q$54,K1946)=0),"✗ 供应商不在基础资料里",IF(AND(P1946="费用",L1946=""),"✗ 费用支出要选费用项目",IF(AND(L1946&lt;&gt;"",COUNTIF(基础资料!$AI$5:$AI$54,L1946)=0),"✗ 费用项目不在基础资料里",IF(AND(IFERROR(INDEX(基础资料!$AD$5:$AD$34,MATCH(O1946,基础资料!$AC$5:$AC$34,0)),"")="收",N(G1946)&lt;&gt;0),"✗ 这类是收款，金额填到收入列",IF(AND(IFERROR(INDEX(基础资料!$AD$5:$AD$34,MATCH(O1946,基础资料!$AC$5:$AC$34,0)),"")="支",N(F1946)&lt;&gt;0),"✗ 这类是付款，金额填到支出列",IF(N(H1946)&lt;0,"⚠ 账户余额成负数了，核对一下","√"))))))))))))))))))</f>
      </c>
      <c r="O1946" s="78">
        <f>IF(D1946&lt;&gt;"",D1946,IF(AND(F1946="",G1946=""),"",IF(J1946&lt;&gt;"",IF(N(F1946)&gt;0,"客户回款","客户退款"),IF(K1946&lt;&gt;"",IF(N(G1946)&gt;0,"供应商付款","供应商退款"),IF(L1946&lt;&gt;"","费用支出","")))))</f>
      </c>
      <c r="P1946" s="78">
        <f>IF(O1946="","",IFERROR(INDEX(基础资料!$AE$5:$AE$34,MATCH(O1946,基础资料!$AC$5:$AC$34,0)),"未知"))</f>
      </c>
      <c r="Q1946" s="78">
        <f>IF(P1946="应收",COUNTIF(P$7:P1946,"应收"),"")</f>
      </c>
      <c r="R1946" s="78">
        <f>IF(P1946="应付",COUNTIF(P$7:P1946,"应付"),"")</f>
      </c>
      <c r="S1946" s="78">
        <f>N(F1946)-N(G1946)</f>
        <v>0</v>
      </c>
    </row>
    <row r="1947">
      <c r="A1947" s="109">
        <f>IF(AND(F1947="",G1947=""),"",ROW()-6)</f>
      </c>
      <c r="B1947" s="140" t="n"/>
      <c r="C1947" s="141" t="n"/>
      <c r="D1947" s="141" t="n"/>
      <c r="E1947" s="142" t="n"/>
      <c r="F1947" s="143" t="n"/>
      <c r="G1947" s="144" t="n"/>
      <c r="H1947" s="145">
        <f>IF(OR(C1947="",AND(F1947="",G1947="")),"",SUMIF(基础资料!$W$5:$W$24,C1947,基础资料!$X$5:$X$24)+SUMIF(C$7:C1947,C1947,F$7:F1947)-SUMIF(C$7:C1947,C1947,G$7:G1947))</f>
      </c>
      <c r="I1947" s="145">
        <f>IF(AND(F1947="",G1947=""),"",SUM(基础资料!$X$5:$X$24)+SUM(F$7:F1947)-SUM(G$7:G1947))</f>
      </c>
      <c r="J1947" s="141" t="n"/>
      <c r="K1947" s="141" t="n"/>
      <c r="L1947" s="141" t="n"/>
      <c r="M1947" s="142" t="n"/>
      <c r="N1947" s="146">
        <f>IF(AND(AND(F1947="",G1947=""),B1947="",C1947="",D1947="",J1947="",K1947="",L1947=""),"",IF(AND(F1947="",G1947=""),"✗ 没填金额",IF(AND(N(F1947)&lt;&gt;0,N(G1947)&lt;&gt;0),"✗ 收入、支出只能填一边",IF(NOT(ISNUMBER(B1947)),"✗ 日期不是真日期（要像 2026/9/25 这样填）",IF(OR(B1947&lt;年初日,B1947&gt;年末日),"✗ 日期不在本会计年度",IF(C1947="","✗ 没选账户",IF(COUNTIF(基础资料!$W$5:$W$24,C1947)=0,"✗ 账户不在基础资料里",IF(O1947="","✗ 没选收支项目",IF(P1947="未知","✗ 收支项目不在基础资料里",IF(AND(P1947="应收",J1947=""),"✗ 这笔要选客户",IF(AND(P1947="应收",COUNTIF(总览汇总!$B$5:$B$304,J1947)=0),"✗ 客户不在总览汇总名单里",IF(AND(P1947="应付",K1947=""),"✗ 这笔要选供应商",IF(AND(P1947="应付",COUNTIF(基础资料!$Q$5:$Q$54,K1947)=0),"✗ 供应商不在基础资料里",IF(AND(P1947="费用",L1947=""),"✗ 费用支出要选费用项目",IF(AND(L1947&lt;&gt;"",COUNTIF(基础资料!$AI$5:$AI$54,L1947)=0),"✗ 费用项目不在基础资料里",IF(AND(IFERROR(INDEX(基础资料!$AD$5:$AD$34,MATCH(O1947,基础资料!$AC$5:$AC$34,0)),"")="收",N(G1947)&lt;&gt;0),"✗ 这类是收款，金额填到收入列",IF(AND(IFERROR(INDEX(基础资料!$AD$5:$AD$34,MATCH(O1947,基础资料!$AC$5:$AC$34,0)),"")="支",N(F1947)&lt;&gt;0),"✗ 这类是付款，金额填到支出列",IF(N(H1947)&lt;0,"⚠ 账户余额成负数了，核对一下","√"))))))))))))))))))</f>
      </c>
      <c r="O1947" s="78">
        <f>IF(D1947&lt;&gt;"",D1947,IF(AND(F1947="",G1947=""),"",IF(J1947&lt;&gt;"",IF(N(F1947)&gt;0,"客户回款","客户退款"),IF(K1947&lt;&gt;"",IF(N(G1947)&gt;0,"供应商付款","供应商退款"),IF(L1947&lt;&gt;"","费用支出","")))))</f>
      </c>
      <c r="P1947" s="78">
        <f>IF(O1947="","",IFERROR(INDEX(基础资料!$AE$5:$AE$34,MATCH(O1947,基础资料!$AC$5:$AC$34,0)),"未知"))</f>
      </c>
      <c r="Q1947" s="78">
        <f>IF(P1947="应收",COUNTIF(P$7:P1947,"应收"),"")</f>
      </c>
      <c r="R1947" s="78">
        <f>IF(P1947="应付",COUNTIF(P$7:P1947,"应付"),"")</f>
      </c>
      <c r="S1947" s="78">
        <f>N(F1947)-N(G1947)</f>
        <v>0</v>
      </c>
    </row>
    <row r="1948">
      <c r="A1948" s="109">
        <f>IF(AND(F1948="",G1948=""),"",ROW()-6)</f>
      </c>
      <c r="B1948" s="140" t="n"/>
      <c r="C1948" s="141" t="n"/>
      <c r="D1948" s="141" t="n"/>
      <c r="E1948" s="142" t="n"/>
      <c r="F1948" s="143" t="n"/>
      <c r="G1948" s="144" t="n"/>
      <c r="H1948" s="145">
        <f>IF(OR(C1948="",AND(F1948="",G1948="")),"",SUMIF(基础资料!$W$5:$W$24,C1948,基础资料!$X$5:$X$24)+SUMIF(C$7:C1948,C1948,F$7:F1948)-SUMIF(C$7:C1948,C1948,G$7:G1948))</f>
      </c>
      <c r="I1948" s="145">
        <f>IF(AND(F1948="",G1948=""),"",SUM(基础资料!$X$5:$X$24)+SUM(F$7:F1948)-SUM(G$7:G1948))</f>
      </c>
      <c r="J1948" s="141" t="n"/>
      <c r="K1948" s="141" t="n"/>
      <c r="L1948" s="141" t="n"/>
      <c r="M1948" s="142" t="n"/>
      <c r="N1948" s="146">
        <f>IF(AND(AND(F1948="",G1948=""),B1948="",C1948="",D1948="",J1948="",K1948="",L1948=""),"",IF(AND(F1948="",G1948=""),"✗ 没填金额",IF(AND(N(F1948)&lt;&gt;0,N(G1948)&lt;&gt;0),"✗ 收入、支出只能填一边",IF(NOT(ISNUMBER(B1948)),"✗ 日期不是真日期（要像 2026/9/25 这样填）",IF(OR(B1948&lt;年初日,B1948&gt;年末日),"✗ 日期不在本会计年度",IF(C1948="","✗ 没选账户",IF(COUNTIF(基础资料!$W$5:$W$24,C1948)=0,"✗ 账户不在基础资料里",IF(O1948="","✗ 没选收支项目",IF(P1948="未知","✗ 收支项目不在基础资料里",IF(AND(P1948="应收",J1948=""),"✗ 这笔要选客户",IF(AND(P1948="应收",COUNTIF(总览汇总!$B$5:$B$304,J1948)=0),"✗ 客户不在总览汇总名单里",IF(AND(P1948="应付",K1948=""),"✗ 这笔要选供应商",IF(AND(P1948="应付",COUNTIF(基础资料!$Q$5:$Q$54,K1948)=0),"✗ 供应商不在基础资料里",IF(AND(P1948="费用",L1948=""),"✗ 费用支出要选费用项目",IF(AND(L1948&lt;&gt;"",COUNTIF(基础资料!$AI$5:$AI$54,L1948)=0),"✗ 费用项目不在基础资料里",IF(AND(IFERROR(INDEX(基础资料!$AD$5:$AD$34,MATCH(O1948,基础资料!$AC$5:$AC$34,0)),"")="收",N(G1948)&lt;&gt;0),"✗ 这类是收款，金额填到收入列",IF(AND(IFERROR(INDEX(基础资料!$AD$5:$AD$34,MATCH(O1948,基础资料!$AC$5:$AC$34,0)),"")="支",N(F1948)&lt;&gt;0),"✗ 这类是付款，金额填到支出列",IF(N(H1948)&lt;0,"⚠ 账户余额成负数了，核对一下","√"))))))))))))))))))</f>
      </c>
      <c r="O1948" s="78">
        <f>IF(D1948&lt;&gt;"",D1948,IF(AND(F1948="",G1948=""),"",IF(J1948&lt;&gt;"",IF(N(F1948)&gt;0,"客户回款","客户退款"),IF(K1948&lt;&gt;"",IF(N(G1948)&gt;0,"供应商付款","供应商退款"),IF(L1948&lt;&gt;"","费用支出","")))))</f>
      </c>
      <c r="P1948" s="78">
        <f>IF(O1948="","",IFERROR(INDEX(基础资料!$AE$5:$AE$34,MATCH(O1948,基础资料!$AC$5:$AC$34,0)),"未知"))</f>
      </c>
      <c r="Q1948" s="78">
        <f>IF(P1948="应收",COUNTIF(P$7:P1948,"应收"),"")</f>
      </c>
      <c r="R1948" s="78">
        <f>IF(P1948="应付",COUNTIF(P$7:P1948,"应付"),"")</f>
      </c>
      <c r="S1948" s="78">
        <f>N(F1948)-N(G1948)</f>
        <v>0</v>
      </c>
    </row>
    <row r="1949">
      <c r="A1949" s="109">
        <f>IF(AND(F1949="",G1949=""),"",ROW()-6)</f>
      </c>
      <c r="B1949" s="140" t="n"/>
      <c r="C1949" s="141" t="n"/>
      <c r="D1949" s="141" t="n"/>
      <c r="E1949" s="142" t="n"/>
      <c r="F1949" s="143" t="n"/>
      <c r="G1949" s="144" t="n"/>
      <c r="H1949" s="145">
        <f>IF(OR(C1949="",AND(F1949="",G1949="")),"",SUMIF(基础资料!$W$5:$W$24,C1949,基础资料!$X$5:$X$24)+SUMIF(C$7:C1949,C1949,F$7:F1949)-SUMIF(C$7:C1949,C1949,G$7:G1949))</f>
      </c>
      <c r="I1949" s="145">
        <f>IF(AND(F1949="",G1949=""),"",SUM(基础资料!$X$5:$X$24)+SUM(F$7:F1949)-SUM(G$7:G1949))</f>
      </c>
      <c r="J1949" s="141" t="n"/>
      <c r="K1949" s="141" t="n"/>
      <c r="L1949" s="141" t="n"/>
      <c r="M1949" s="142" t="n"/>
      <c r="N1949" s="146">
        <f>IF(AND(AND(F1949="",G1949=""),B1949="",C1949="",D1949="",J1949="",K1949="",L1949=""),"",IF(AND(F1949="",G1949=""),"✗ 没填金额",IF(AND(N(F1949)&lt;&gt;0,N(G1949)&lt;&gt;0),"✗ 收入、支出只能填一边",IF(NOT(ISNUMBER(B1949)),"✗ 日期不是真日期（要像 2026/9/25 这样填）",IF(OR(B1949&lt;年初日,B1949&gt;年末日),"✗ 日期不在本会计年度",IF(C1949="","✗ 没选账户",IF(COUNTIF(基础资料!$W$5:$W$24,C1949)=0,"✗ 账户不在基础资料里",IF(O1949="","✗ 没选收支项目",IF(P1949="未知","✗ 收支项目不在基础资料里",IF(AND(P1949="应收",J1949=""),"✗ 这笔要选客户",IF(AND(P1949="应收",COUNTIF(总览汇总!$B$5:$B$304,J1949)=0),"✗ 客户不在总览汇总名单里",IF(AND(P1949="应付",K1949=""),"✗ 这笔要选供应商",IF(AND(P1949="应付",COUNTIF(基础资料!$Q$5:$Q$54,K1949)=0),"✗ 供应商不在基础资料里",IF(AND(P1949="费用",L1949=""),"✗ 费用支出要选费用项目",IF(AND(L1949&lt;&gt;"",COUNTIF(基础资料!$AI$5:$AI$54,L1949)=0),"✗ 费用项目不在基础资料里",IF(AND(IFERROR(INDEX(基础资料!$AD$5:$AD$34,MATCH(O1949,基础资料!$AC$5:$AC$34,0)),"")="收",N(G1949)&lt;&gt;0),"✗ 这类是收款，金额填到收入列",IF(AND(IFERROR(INDEX(基础资料!$AD$5:$AD$34,MATCH(O1949,基础资料!$AC$5:$AC$34,0)),"")="支",N(F1949)&lt;&gt;0),"✗ 这类是付款，金额填到支出列",IF(N(H1949)&lt;0,"⚠ 账户余额成负数了，核对一下","√"))))))))))))))))))</f>
      </c>
      <c r="O1949" s="78">
        <f>IF(D1949&lt;&gt;"",D1949,IF(AND(F1949="",G1949=""),"",IF(J1949&lt;&gt;"",IF(N(F1949)&gt;0,"客户回款","客户退款"),IF(K1949&lt;&gt;"",IF(N(G1949)&gt;0,"供应商付款","供应商退款"),IF(L1949&lt;&gt;"","费用支出","")))))</f>
      </c>
      <c r="P1949" s="78">
        <f>IF(O1949="","",IFERROR(INDEX(基础资料!$AE$5:$AE$34,MATCH(O1949,基础资料!$AC$5:$AC$34,0)),"未知"))</f>
      </c>
      <c r="Q1949" s="78">
        <f>IF(P1949="应收",COUNTIF(P$7:P1949,"应收"),"")</f>
      </c>
      <c r="R1949" s="78">
        <f>IF(P1949="应付",COUNTIF(P$7:P1949,"应付"),"")</f>
      </c>
      <c r="S1949" s="78">
        <f>N(F1949)-N(G1949)</f>
        <v>0</v>
      </c>
    </row>
    <row r="1950">
      <c r="A1950" s="109">
        <f>IF(AND(F1950="",G1950=""),"",ROW()-6)</f>
      </c>
      <c r="B1950" s="140" t="n"/>
      <c r="C1950" s="141" t="n"/>
      <c r="D1950" s="141" t="n"/>
      <c r="E1950" s="142" t="n"/>
      <c r="F1950" s="143" t="n"/>
      <c r="G1950" s="144" t="n"/>
      <c r="H1950" s="145">
        <f>IF(OR(C1950="",AND(F1950="",G1950="")),"",SUMIF(基础资料!$W$5:$W$24,C1950,基础资料!$X$5:$X$24)+SUMIF(C$7:C1950,C1950,F$7:F1950)-SUMIF(C$7:C1950,C1950,G$7:G1950))</f>
      </c>
      <c r="I1950" s="145">
        <f>IF(AND(F1950="",G1950=""),"",SUM(基础资料!$X$5:$X$24)+SUM(F$7:F1950)-SUM(G$7:G1950))</f>
      </c>
      <c r="J1950" s="141" t="n"/>
      <c r="K1950" s="141" t="n"/>
      <c r="L1950" s="141" t="n"/>
      <c r="M1950" s="142" t="n"/>
      <c r="N1950" s="146">
        <f>IF(AND(AND(F1950="",G1950=""),B1950="",C1950="",D1950="",J1950="",K1950="",L1950=""),"",IF(AND(F1950="",G1950=""),"✗ 没填金额",IF(AND(N(F1950)&lt;&gt;0,N(G1950)&lt;&gt;0),"✗ 收入、支出只能填一边",IF(NOT(ISNUMBER(B1950)),"✗ 日期不是真日期（要像 2026/9/25 这样填）",IF(OR(B1950&lt;年初日,B1950&gt;年末日),"✗ 日期不在本会计年度",IF(C1950="","✗ 没选账户",IF(COUNTIF(基础资料!$W$5:$W$24,C1950)=0,"✗ 账户不在基础资料里",IF(O1950="","✗ 没选收支项目",IF(P1950="未知","✗ 收支项目不在基础资料里",IF(AND(P1950="应收",J1950=""),"✗ 这笔要选客户",IF(AND(P1950="应收",COUNTIF(总览汇总!$B$5:$B$304,J1950)=0),"✗ 客户不在总览汇总名单里",IF(AND(P1950="应付",K1950=""),"✗ 这笔要选供应商",IF(AND(P1950="应付",COUNTIF(基础资料!$Q$5:$Q$54,K1950)=0),"✗ 供应商不在基础资料里",IF(AND(P1950="费用",L1950=""),"✗ 费用支出要选费用项目",IF(AND(L1950&lt;&gt;"",COUNTIF(基础资料!$AI$5:$AI$54,L1950)=0),"✗ 费用项目不在基础资料里",IF(AND(IFERROR(INDEX(基础资料!$AD$5:$AD$34,MATCH(O1950,基础资料!$AC$5:$AC$34,0)),"")="收",N(G1950)&lt;&gt;0),"✗ 这类是收款，金额填到收入列",IF(AND(IFERROR(INDEX(基础资料!$AD$5:$AD$34,MATCH(O1950,基础资料!$AC$5:$AC$34,0)),"")="支",N(F1950)&lt;&gt;0),"✗ 这类是付款，金额填到支出列",IF(N(H1950)&lt;0,"⚠ 账户余额成负数了，核对一下","√"))))))))))))))))))</f>
      </c>
      <c r="O1950" s="78">
        <f>IF(D1950&lt;&gt;"",D1950,IF(AND(F1950="",G1950=""),"",IF(J1950&lt;&gt;"",IF(N(F1950)&gt;0,"客户回款","客户退款"),IF(K1950&lt;&gt;"",IF(N(G1950)&gt;0,"供应商付款","供应商退款"),IF(L1950&lt;&gt;"","费用支出","")))))</f>
      </c>
      <c r="P1950" s="78">
        <f>IF(O1950="","",IFERROR(INDEX(基础资料!$AE$5:$AE$34,MATCH(O1950,基础资料!$AC$5:$AC$34,0)),"未知"))</f>
      </c>
      <c r="Q1950" s="78">
        <f>IF(P1950="应收",COUNTIF(P$7:P1950,"应收"),"")</f>
      </c>
      <c r="R1950" s="78">
        <f>IF(P1950="应付",COUNTIF(P$7:P1950,"应付"),"")</f>
      </c>
      <c r="S1950" s="78">
        <f>N(F1950)-N(G1950)</f>
        <v>0</v>
      </c>
    </row>
    <row r="1951">
      <c r="A1951" s="109">
        <f>IF(AND(F1951="",G1951=""),"",ROW()-6)</f>
      </c>
      <c r="B1951" s="140" t="n"/>
      <c r="C1951" s="141" t="n"/>
      <c r="D1951" s="141" t="n"/>
      <c r="E1951" s="142" t="n"/>
      <c r="F1951" s="143" t="n"/>
      <c r="G1951" s="144" t="n"/>
      <c r="H1951" s="145">
        <f>IF(OR(C1951="",AND(F1951="",G1951="")),"",SUMIF(基础资料!$W$5:$W$24,C1951,基础资料!$X$5:$X$24)+SUMIF(C$7:C1951,C1951,F$7:F1951)-SUMIF(C$7:C1951,C1951,G$7:G1951))</f>
      </c>
      <c r="I1951" s="145">
        <f>IF(AND(F1951="",G1951=""),"",SUM(基础资料!$X$5:$X$24)+SUM(F$7:F1951)-SUM(G$7:G1951))</f>
      </c>
      <c r="J1951" s="141" t="n"/>
      <c r="K1951" s="141" t="n"/>
      <c r="L1951" s="141" t="n"/>
      <c r="M1951" s="142" t="n"/>
      <c r="N1951" s="146">
        <f>IF(AND(AND(F1951="",G1951=""),B1951="",C1951="",D1951="",J1951="",K1951="",L1951=""),"",IF(AND(F1951="",G1951=""),"✗ 没填金额",IF(AND(N(F1951)&lt;&gt;0,N(G1951)&lt;&gt;0),"✗ 收入、支出只能填一边",IF(NOT(ISNUMBER(B1951)),"✗ 日期不是真日期（要像 2026/9/25 这样填）",IF(OR(B1951&lt;年初日,B1951&gt;年末日),"✗ 日期不在本会计年度",IF(C1951="","✗ 没选账户",IF(COUNTIF(基础资料!$W$5:$W$24,C1951)=0,"✗ 账户不在基础资料里",IF(O1951="","✗ 没选收支项目",IF(P1951="未知","✗ 收支项目不在基础资料里",IF(AND(P1951="应收",J1951=""),"✗ 这笔要选客户",IF(AND(P1951="应收",COUNTIF(总览汇总!$B$5:$B$304,J1951)=0),"✗ 客户不在总览汇总名单里",IF(AND(P1951="应付",K1951=""),"✗ 这笔要选供应商",IF(AND(P1951="应付",COUNTIF(基础资料!$Q$5:$Q$54,K1951)=0),"✗ 供应商不在基础资料里",IF(AND(P1951="费用",L1951=""),"✗ 费用支出要选费用项目",IF(AND(L1951&lt;&gt;"",COUNTIF(基础资料!$AI$5:$AI$54,L1951)=0),"✗ 费用项目不在基础资料里",IF(AND(IFERROR(INDEX(基础资料!$AD$5:$AD$34,MATCH(O1951,基础资料!$AC$5:$AC$34,0)),"")="收",N(G1951)&lt;&gt;0),"✗ 这类是收款，金额填到收入列",IF(AND(IFERROR(INDEX(基础资料!$AD$5:$AD$34,MATCH(O1951,基础资料!$AC$5:$AC$34,0)),"")="支",N(F1951)&lt;&gt;0),"✗ 这类是付款，金额填到支出列",IF(N(H1951)&lt;0,"⚠ 账户余额成负数了，核对一下","√"))))))))))))))))))</f>
      </c>
      <c r="O1951" s="78">
        <f>IF(D1951&lt;&gt;"",D1951,IF(AND(F1951="",G1951=""),"",IF(J1951&lt;&gt;"",IF(N(F1951)&gt;0,"客户回款","客户退款"),IF(K1951&lt;&gt;"",IF(N(G1951)&gt;0,"供应商付款","供应商退款"),IF(L1951&lt;&gt;"","费用支出","")))))</f>
      </c>
      <c r="P1951" s="78">
        <f>IF(O1951="","",IFERROR(INDEX(基础资料!$AE$5:$AE$34,MATCH(O1951,基础资料!$AC$5:$AC$34,0)),"未知"))</f>
      </c>
      <c r="Q1951" s="78">
        <f>IF(P1951="应收",COUNTIF(P$7:P1951,"应收"),"")</f>
      </c>
      <c r="R1951" s="78">
        <f>IF(P1951="应付",COUNTIF(P$7:P1951,"应付"),"")</f>
      </c>
      <c r="S1951" s="78">
        <f>N(F1951)-N(G1951)</f>
        <v>0</v>
      </c>
    </row>
    <row r="1952">
      <c r="A1952" s="109">
        <f>IF(AND(F1952="",G1952=""),"",ROW()-6)</f>
      </c>
      <c r="B1952" s="140" t="n"/>
      <c r="C1952" s="141" t="n"/>
      <c r="D1952" s="141" t="n"/>
      <c r="E1952" s="142" t="n"/>
      <c r="F1952" s="143" t="n"/>
      <c r="G1952" s="144" t="n"/>
      <c r="H1952" s="145">
        <f>IF(OR(C1952="",AND(F1952="",G1952="")),"",SUMIF(基础资料!$W$5:$W$24,C1952,基础资料!$X$5:$X$24)+SUMIF(C$7:C1952,C1952,F$7:F1952)-SUMIF(C$7:C1952,C1952,G$7:G1952))</f>
      </c>
      <c r="I1952" s="145">
        <f>IF(AND(F1952="",G1952=""),"",SUM(基础资料!$X$5:$X$24)+SUM(F$7:F1952)-SUM(G$7:G1952))</f>
      </c>
      <c r="J1952" s="141" t="n"/>
      <c r="K1952" s="141" t="n"/>
      <c r="L1952" s="141" t="n"/>
      <c r="M1952" s="142" t="n"/>
      <c r="N1952" s="146">
        <f>IF(AND(AND(F1952="",G1952=""),B1952="",C1952="",D1952="",J1952="",K1952="",L1952=""),"",IF(AND(F1952="",G1952=""),"✗ 没填金额",IF(AND(N(F1952)&lt;&gt;0,N(G1952)&lt;&gt;0),"✗ 收入、支出只能填一边",IF(NOT(ISNUMBER(B1952)),"✗ 日期不是真日期（要像 2026/9/25 这样填）",IF(OR(B1952&lt;年初日,B1952&gt;年末日),"✗ 日期不在本会计年度",IF(C1952="","✗ 没选账户",IF(COUNTIF(基础资料!$W$5:$W$24,C1952)=0,"✗ 账户不在基础资料里",IF(O1952="","✗ 没选收支项目",IF(P1952="未知","✗ 收支项目不在基础资料里",IF(AND(P1952="应收",J1952=""),"✗ 这笔要选客户",IF(AND(P1952="应收",COUNTIF(总览汇总!$B$5:$B$304,J1952)=0),"✗ 客户不在总览汇总名单里",IF(AND(P1952="应付",K1952=""),"✗ 这笔要选供应商",IF(AND(P1952="应付",COUNTIF(基础资料!$Q$5:$Q$54,K1952)=0),"✗ 供应商不在基础资料里",IF(AND(P1952="费用",L1952=""),"✗ 费用支出要选费用项目",IF(AND(L1952&lt;&gt;"",COUNTIF(基础资料!$AI$5:$AI$54,L1952)=0),"✗ 费用项目不在基础资料里",IF(AND(IFERROR(INDEX(基础资料!$AD$5:$AD$34,MATCH(O1952,基础资料!$AC$5:$AC$34,0)),"")="收",N(G1952)&lt;&gt;0),"✗ 这类是收款，金额填到收入列",IF(AND(IFERROR(INDEX(基础资料!$AD$5:$AD$34,MATCH(O1952,基础资料!$AC$5:$AC$34,0)),"")="支",N(F1952)&lt;&gt;0),"✗ 这类是付款，金额填到支出列",IF(N(H1952)&lt;0,"⚠ 账户余额成负数了，核对一下","√"))))))))))))))))))</f>
      </c>
      <c r="O1952" s="78">
        <f>IF(D1952&lt;&gt;"",D1952,IF(AND(F1952="",G1952=""),"",IF(J1952&lt;&gt;"",IF(N(F1952)&gt;0,"客户回款","客户退款"),IF(K1952&lt;&gt;"",IF(N(G1952)&gt;0,"供应商付款","供应商退款"),IF(L1952&lt;&gt;"","费用支出","")))))</f>
      </c>
      <c r="P1952" s="78">
        <f>IF(O1952="","",IFERROR(INDEX(基础资料!$AE$5:$AE$34,MATCH(O1952,基础资料!$AC$5:$AC$34,0)),"未知"))</f>
      </c>
      <c r="Q1952" s="78">
        <f>IF(P1952="应收",COUNTIF(P$7:P1952,"应收"),"")</f>
      </c>
      <c r="R1952" s="78">
        <f>IF(P1952="应付",COUNTIF(P$7:P1952,"应付"),"")</f>
      </c>
      <c r="S1952" s="78">
        <f>N(F1952)-N(G1952)</f>
        <v>0</v>
      </c>
    </row>
    <row r="1953">
      <c r="A1953" s="109">
        <f>IF(AND(F1953="",G1953=""),"",ROW()-6)</f>
      </c>
      <c r="B1953" s="140" t="n"/>
      <c r="C1953" s="141" t="n"/>
      <c r="D1953" s="141" t="n"/>
      <c r="E1953" s="142" t="n"/>
      <c r="F1953" s="143" t="n"/>
      <c r="G1953" s="144" t="n"/>
      <c r="H1953" s="145">
        <f>IF(OR(C1953="",AND(F1953="",G1953="")),"",SUMIF(基础资料!$W$5:$W$24,C1953,基础资料!$X$5:$X$24)+SUMIF(C$7:C1953,C1953,F$7:F1953)-SUMIF(C$7:C1953,C1953,G$7:G1953))</f>
      </c>
      <c r="I1953" s="145">
        <f>IF(AND(F1953="",G1953=""),"",SUM(基础资料!$X$5:$X$24)+SUM(F$7:F1953)-SUM(G$7:G1953))</f>
      </c>
      <c r="J1953" s="141" t="n"/>
      <c r="K1953" s="141" t="n"/>
      <c r="L1953" s="141" t="n"/>
      <c r="M1953" s="142" t="n"/>
      <c r="N1953" s="146">
        <f>IF(AND(AND(F1953="",G1953=""),B1953="",C1953="",D1953="",J1953="",K1953="",L1953=""),"",IF(AND(F1953="",G1953=""),"✗ 没填金额",IF(AND(N(F1953)&lt;&gt;0,N(G1953)&lt;&gt;0),"✗ 收入、支出只能填一边",IF(NOT(ISNUMBER(B1953)),"✗ 日期不是真日期（要像 2026/9/25 这样填）",IF(OR(B1953&lt;年初日,B1953&gt;年末日),"✗ 日期不在本会计年度",IF(C1953="","✗ 没选账户",IF(COUNTIF(基础资料!$W$5:$W$24,C1953)=0,"✗ 账户不在基础资料里",IF(O1953="","✗ 没选收支项目",IF(P1953="未知","✗ 收支项目不在基础资料里",IF(AND(P1953="应收",J1953=""),"✗ 这笔要选客户",IF(AND(P1953="应收",COUNTIF(总览汇总!$B$5:$B$304,J1953)=0),"✗ 客户不在总览汇总名单里",IF(AND(P1953="应付",K1953=""),"✗ 这笔要选供应商",IF(AND(P1953="应付",COUNTIF(基础资料!$Q$5:$Q$54,K1953)=0),"✗ 供应商不在基础资料里",IF(AND(P1953="费用",L1953=""),"✗ 费用支出要选费用项目",IF(AND(L1953&lt;&gt;"",COUNTIF(基础资料!$AI$5:$AI$54,L1953)=0),"✗ 费用项目不在基础资料里",IF(AND(IFERROR(INDEX(基础资料!$AD$5:$AD$34,MATCH(O1953,基础资料!$AC$5:$AC$34,0)),"")="收",N(G1953)&lt;&gt;0),"✗ 这类是收款，金额填到收入列",IF(AND(IFERROR(INDEX(基础资料!$AD$5:$AD$34,MATCH(O1953,基础资料!$AC$5:$AC$34,0)),"")="支",N(F1953)&lt;&gt;0),"✗ 这类是付款，金额填到支出列",IF(N(H1953)&lt;0,"⚠ 账户余额成负数了，核对一下","√"))))))))))))))))))</f>
      </c>
      <c r="O1953" s="78">
        <f>IF(D1953&lt;&gt;"",D1953,IF(AND(F1953="",G1953=""),"",IF(J1953&lt;&gt;"",IF(N(F1953)&gt;0,"客户回款","客户退款"),IF(K1953&lt;&gt;"",IF(N(G1953)&gt;0,"供应商付款","供应商退款"),IF(L1953&lt;&gt;"","费用支出","")))))</f>
      </c>
      <c r="P1953" s="78">
        <f>IF(O1953="","",IFERROR(INDEX(基础资料!$AE$5:$AE$34,MATCH(O1953,基础资料!$AC$5:$AC$34,0)),"未知"))</f>
      </c>
      <c r="Q1953" s="78">
        <f>IF(P1953="应收",COUNTIF(P$7:P1953,"应收"),"")</f>
      </c>
      <c r="R1953" s="78">
        <f>IF(P1953="应付",COUNTIF(P$7:P1953,"应付"),"")</f>
      </c>
      <c r="S1953" s="78">
        <f>N(F1953)-N(G1953)</f>
        <v>0</v>
      </c>
    </row>
    <row r="1954">
      <c r="A1954" s="109">
        <f>IF(AND(F1954="",G1954=""),"",ROW()-6)</f>
      </c>
      <c r="B1954" s="140" t="n"/>
      <c r="C1954" s="141" t="n"/>
      <c r="D1954" s="141" t="n"/>
      <c r="E1954" s="142" t="n"/>
      <c r="F1954" s="143" t="n"/>
      <c r="G1954" s="144" t="n"/>
      <c r="H1954" s="145">
        <f>IF(OR(C1954="",AND(F1954="",G1954="")),"",SUMIF(基础资料!$W$5:$W$24,C1954,基础资料!$X$5:$X$24)+SUMIF(C$7:C1954,C1954,F$7:F1954)-SUMIF(C$7:C1954,C1954,G$7:G1954))</f>
      </c>
      <c r="I1954" s="145">
        <f>IF(AND(F1954="",G1954=""),"",SUM(基础资料!$X$5:$X$24)+SUM(F$7:F1954)-SUM(G$7:G1954))</f>
      </c>
      <c r="J1954" s="141" t="n"/>
      <c r="K1954" s="141" t="n"/>
      <c r="L1954" s="141" t="n"/>
      <c r="M1954" s="142" t="n"/>
      <c r="N1954" s="146">
        <f>IF(AND(AND(F1954="",G1954=""),B1954="",C1954="",D1954="",J1954="",K1954="",L1954=""),"",IF(AND(F1954="",G1954=""),"✗ 没填金额",IF(AND(N(F1954)&lt;&gt;0,N(G1954)&lt;&gt;0),"✗ 收入、支出只能填一边",IF(NOT(ISNUMBER(B1954)),"✗ 日期不是真日期（要像 2026/9/25 这样填）",IF(OR(B1954&lt;年初日,B1954&gt;年末日),"✗ 日期不在本会计年度",IF(C1954="","✗ 没选账户",IF(COUNTIF(基础资料!$W$5:$W$24,C1954)=0,"✗ 账户不在基础资料里",IF(O1954="","✗ 没选收支项目",IF(P1954="未知","✗ 收支项目不在基础资料里",IF(AND(P1954="应收",J1954=""),"✗ 这笔要选客户",IF(AND(P1954="应收",COUNTIF(总览汇总!$B$5:$B$304,J1954)=0),"✗ 客户不在总览汇总名单里",IF(AND(P1954="应付",K1954=""),"✗ 这笔要选供应商",IF(AND(P1954="应付",COUNTIF(基础资料!$Q$5:$Q$54,K1954)=0),"✗ 供应商不在基础资料里",IF(AND(P1954="费用",L1954=""),"✗ 费用支出要选费用项目",IF(AND(L1954&lt;&gt;"",COUNTIF(基础资料!$AI$5:$AI$54,L1954)=0),"✗ 费用项目不在基础资料里",IF(AND(IFERROR(INDEX(基础资料!$AD$5:$AD$34,MATCH(O1954,基础资料!$AC$5:$AC$34,0)),"")="收",N(G1954)&lt;&gt;0),"✗ 这类是收款，金额填到收入列",IF(AND(IFERROR(INDEX(基础资料!$AD$5:$AD$34,MATCH(O1954,基础资料!$AC$5:$AC$34,0)),"")="支",N(F1954)&lt;&gt;0),"✗ 这类是付款，金额填到支出列",IF(N(H1954)&lt;0,"⚠ 账户余额成负数了，核对一下","√"))))))))))))))))))</f>
      </c>
      <c r="O1954" s="78">
        <f>IF(D1954&lt;&gt;"",D1954,IF(AND(F1954="",G1954=""),"",IF(J1954&lt;&gt;"",IF(N(F1954)&gt;0,"客户回款","客户退款"),IF(K1954&lt;&gt;"",IF(N(G1954)&gt;0,"供应商付款","供应商退款"),IF(L1954&lt;&gt;"","费用支出","")))))</f>
      </c>
      <c r="P1954" s="78">
        <f>IF(O1954="","",IFERROR(INDEX(基础资料!$AE$5:$AE$34,MATCH(O1954,基础资料!$AC$5:$AC$34,0)),"未知"))</f>
      </c>
      <c r="Q1954" s="78">
        <f>IF(P1954="应收",COUNTIF(P$7:P1954,"应收"),"")</f>
      </c>
      <c r="R1954" s="78">
        <f>IF(P1954="应付",COUNTIF(P$7:P1954,"应付"),"")</f>
      </c>
      <c r="S1954" s="78">
        <f>N(F1954)-N(G1954)</f>
        <v>0</v>
      </c>
    </row>
    <row r="1955">
      <c r="A1955" s="109">
        <f>IF(AND(F1955="",G1955=""),"",ROW()-6)</f>
      </c>
      <c r="B1955" s="140" t="n"/>
      <c r="C1955" s="141" t="n"/>
      <c r="D1955" s="141" t="n"/>
      <c r="E1955" s="142" t="n"/>
      <c r="F1955" s="143" t="n"/>
      <c r="G1955" s="144" t="n"/>
      <c r="H1955" s="145">
        <f>IF(OR(C1955="",AND(F1955="",G1955="")),"",SUMIF(基础资料!$W$5:$W$24,C1955,基础资料!$X$5:$X$24)+SUMIF(C$7:C1955,C1955,F$7:F1955)-SUMIF(C$7:C1955,C1955,G$7:G1955))</f>
      </c>
      <c r="I1955" s="145">
        <f>IF(AND(F1955="",G1955=""),"",SUM(基础资料!$X$5:$X$24)+SUM(F$7:F1955)-SUM(G$7:G1955))</f>
      </c>
      <c r="J1955" s="141" t="n"/>
      <c r="K1955" s="141" t="n"/>
      <c r="L1955" s="141" t="n"/>
      <c r="M1955" s="142" t="n"/>
      <c r="N1955" s="146">
        <f>IF(AND(AND(F1955="",G1955=""),B1955="",C1955="",D1955="",J1955="",K1955="",L1955=""),"",IF(AND(F1955="",G1955=""),"✗ 没填金额",IF(AND(N(F1955)&lt;&gt;0,N(G1955)&lt;&gt;0),"✗ 收入、支出只能填一边",IF(NOT(ISNUMBER(B1955)),"✗ 日期不是真日期（要像 2026/9/25 这样填）",IF(OR(B1955&lt;年初日,B1955&gt;年末日),"✗ 日期不在本会计年度",IF(C1955="","✗ 没选账户",IF(COUNTIF(基础资料!$W$5:$W$24,C1955)=0,"✗ 账户不在基础资料里",IF(O1955="","✗ 没选收支项目",IF(P1955="未知","✗ 收支项目不在基础资料里",IF(AND(P1955="应收",J1955=""),"✗ 这笔要选客户",IF(AND(P1955="应收",COUNTIF(总览汇总!$B$5:$B$304,J1955)=0),"✗ 客户不在总览汇总名单里",IF(AND(P1955="应付",K1955=""),"✗ 这笔要选供应商",IF(AND(P1955="应付",COUNTIF(基础资料!$Q$5:$Q$54,K1955)=0),"✗ 供应商不在基础资料里",IF(AND(P1955="费用",L1955=""),"✗ 费用支出要选费用项目",IF(AND(L1955&lt;&gt;"",COUNTIF(基础资料!$AI$5:$AI$54,L1955)=0),"✗ 费用项目不在基础资料里",IF(AND(IFERROR(INDEX(基础资料!$AD$5:$AD$34,MATCH(O1955,基础资料!$AC$5:$AC$34,0)),"")="收",N(G1955)&lt;&gt;0),"✗ 这类是收款，金额填到收入列",IF(AND(IFERROR(INDEX(基础资料!$AD$5:$AD$34,MATCH(O1955,基础资料!$AC$5:$AC$34,0)),"")="支",N(F1955)&lt;&gt;0),"✗ 这类是付款，金额填到支出列",IF(N(H1955)&lt;0,"⚠ 账户余额成负数了，核对一下","√"))))))))))))))))))</f>
      </c>
      <c r="O1955" s="78">
        <f>IF(D1955&lt;&gt;"",D1955,IF(AND(F1955="",G1955=""),"",IF(J1955&lt;&gt;"",IF(N(F1955)&gt;0,"客户回款","客户退款"),IF(K1955&lt;&gt;"",IF(N(G1955)&gt;0,"供应商付款","供应商退款"),IF(L1955&lt;&gt;"","费用支出","")))))</f>
      </c>
      <c r="P1955" s="78">
        <f>IF(O1955="","",IFERROR(INDEX(基础资料!$AE$5:$AE$34,MATCH(O1955,基础资料!$AC$5:$AC$34,0)),"未知"))</f>
      </c>
      <c r="Q1955" s="78">
        <f>IF(P1955="应收",COUNTIF(P$7:P1955,"应收"),"")</f>
      </c>
      <c r="R1955" s="78">
        <f>IF(P1955="应付",COUNTIF(P$7:P1955,"应付"),"")</f>
      </c>
      <c r="S1955" s="78">
        <f>N(F1955)-N(G1955)</f>
        <v>0</v>
      </c>
    </row>
    <row r="1956">
      <c r="A1956" s="109">
        <f>IF(AND(F1956="",G1956=""),"",ROW()-6)</f>
      </c>
      <c r="B1956" s="140" t="n"/>
      <c r="C1956" s="141" t="n"/>
      <c r="D1956" s="141" t="n"/>
      <c r="E1956" s="142" t="n"/>
      <c r="F1956" s="143" t="n"/>
      <c r="G1956" s="144" t="n"/>
      <c r="H1956" s="145">
        <f>IF(OR(C1956="",AND(F1956="",G1956="")),"",SUMIF(基础资料!$W$5:$W$24,C1956,基础资料!$X$5:$X$24)+SUMIF(C$7:C1956,C1956,F$7:F1956)-SUMIF(C$7:C1956,C1956,G$7:G1956))</f>
      </c>
      <c r="I1956" s="145">
        <f>IF(AND(F1956="",G1956=""),"",SUM(基础资料!$X$5:$X$24)+SUM(F$7:F1956)-SUM(G$7:G1956))</f>
      </c>
      <c r="J1956" s="141" t="n"/>
      <c r="K1956" s="141" t="n"/>
      <c r="L1956" s="141" t="n"/>
      <c r="M1956" s="142" t="n"/>
      <c r="N1956" s="146">
        <f>IF(AND(AND(F1956="",G1956=""),B1956="",C1956="",D1956="",J1956="",K1956="",L1956=""),"",IF(AND(F1956="",G1956=""),"✗ 没填金额",IF(AND(N(F1956)&lt;&gt;0,N(G1956)&lt;&gt;0),"✗ 收入、支出只能填一边",IF(NOT(ISNUMBER(B1956)),"✗ 日期不是真日期（要像 2026/9/25 这样填）",IF(OR(B1956&lt;年初日,B1956&gt;年末日),"✗ 日期不在本会计年度",IF(C1956="","✗ 没选账户",IF(COUNTIF(基础资料!$W$5:$W$24,C1956)=0,"✗ 账户不在基础资料里",IF(O1956="","✗ 没选收支项目",IF(P1956="未知","✗ 收支项目不在基础资料里",IF(AND(P1956="应收",J1956=""),"✗ 这笔要选客户",IF(AND(P1956="应收",COUNTIF(总览汇总!$B$5:$B$304,J1956)=0),"✗ 客户不在总览汇总名单里",IF(AND(P1956="应付",K1956=""),"✗ 这笔要选供应商",IF(AND(P1956="应付",COUNTIF(基础资料!$Q$5:$Q$54,K1956)=0),"✗ 供应商不在基础资料里",IF(AND(P1956="费用",L1956=""),"✗ 费用支出要选费用项目",IF(AND(L1956&lt;&gt;"",COUNTIF(基础资料!$AI$5:$AI$54,L1956)=0),"✗ 费用项目不在基础资料里",IF(AND(IFERROR(INDEX(基础资料!$AD$5:$AD$34,MATCH(O1956,基础资料!$AC$5:$AC$34,0)),"")="收",N(G1956)&lt;&gt;0),"✗ 这类是收款，金额填到收入列",IF(AND(IFERROR(INDEX(基础资料!$AD$5:$AD$34,MATCH(O1956,基础资料!$AC$5:$AC$34,0)),"")="支",N(F1956)&lt;&gt;0),"✗ 这类是付款，金额填到支出列",IF(N(H1956)&lt;0,"⚠ 账户余额成负数了，核对一下","√"))))))))))))))))))</f>
      </c>
      <c r="O1956" s="78">
        <f>IF(D1956&lt;&gt;"",D1956,IF(AND(F1956="",G1956=""),"",IF(J1956&lt;&gt;"",IF(N(F1956)&gt;0,"客户回款","客户退款"),IF(K1956&lt;&gt;"",IF(N(G1956)&gt;0,"供应商付款","供应商退款"),IF(L1956&lt;&gt;"","费用支出","")))))</f>
      </c>
      <c r="P1956" s="78">
        <f>IF(O1956="","",IFERROR(INDEX(基础资料!$AE$5:$AE$34,MATCH(O1956,基础资料!$AC$5:$AC$34,0)),"未知"))</f>
      </c>
      <c r="Q1956" s="78">
        <f>IF(P1956="应收",COUNTIF(P$7:P1956,"应收"),"")</f>
      </c>
      <c r="R1956" s="78">
        <f>IF(P1956="应付",COUNTIF(P$7:P1956,"应付"),"")</f>
      </c>
      <c r="S1956" s="78">
        <f>N(F1956)-N(G1956)</f>
        <v>0</v>
      </c>
    </row>
    <row r="1957">
      <c r="A1957" s="109">
        <f>IF(AND(F1957="",G1957=""),"",ROW()-6)</f>
      </c>
      <c r="B1957" s="140" t="n"/>
      <c r="C1957" s="141" t="n"/>
      <c r="D1957" s="141" t="n"/>
      <c r="E1957" s="142" t="n"/>
      <c r="F1957" s="143" t="n"/>
      <c r="G1957" s="144" t="n"/>
      <c r="H1957" s="145">
        <f>IF(OR(C1957="",AND(F1957="",G1957="")),"",SUMIF(基础资料!$W$5:$W$24,C1957,基础资料!$X$5:$X$24)+SUMIF(C$7:C1957,C1957,F$7:F1957)-SUMIF(C$7:C1957,C1957,G$7:G1957))</f>
      </c>
      <c r="I1957" s="145">
        <f>IF(AND(F1957="",G1957=""),"",SUM(基础资料!$X$5:$X$24)+SUM(F$7:F1957)-SUM(G$7:G1957))</f>
      </c>
      <c r="J1957" s="141" t="n"/>
      <c r="K1957" s="141" t="n"/>
      <c r="L1957" s="141" t="n"/>
      <c r="M1957" s="142" t="n"/>
      <c r="N1957" s="146">
        <f>IF(AND(AND(F1957="",G1957=""),B1957="",C1957="",D1957="",J1957="",K1957="",L1957=""),"",IF(AND(F1957="",G1957=""),"✗ 没填金额",IF(AND(N(F1957)&lt;&gt;0,N(G1957)&lt;&gt;0),"✗ 收入、支出只能填一边",IF(NOT(ISNUMBER(B1957)),"✗ 日期不是真日期（要像 2026/9/25 这样填）",IF(OR(B1957&lt;年初日,B1957&gt;年末日),"✗ 日期不在本会计年度",IF(C1957="","✗ 没选账户",IF(COUNTIF(基础资料!$W$5:$W$24,C1957)=0,"✗ 账户不在基础资料里",IF(O1957="","✗ 没选收支项目",IF(P1957="未知","✗ 收支项目不在基础资料里",IF(AND(P1957="应收",J1957=""),"✗ 这笔要选客户",IF(AND(P1957="应收",COUNTIF(总览汇总!$B$5:$B$304,J1957)=0),"✗ 客户不在总览汇总名单里",IF(AND(P1957="应付",K1957=""),"✗ 这笔要选供应商",IF(AND(P1957="应付",COUNTIF(基础资料!$Q$5:$Q$54,K1957)=0),"✗ 供应商不在基础资料里",IF(AND(P1957="费用",L1957=""),"✗ 费用支出要选费用项目",IF(AND(L1957&lt;&gt;"",COUNTIF(基础资料!$AI$5:$AI$54,L1957)=0),"✗ 费用项目不在基础资料里",IF(AND(IFERROR(INDEX(基础资料!$AD$5:$AD$34,MATCH(O1957,基础资料!$AC$5:$AC$34,0)),"")="收",N(G1957)&lt;&gt;0),"✗ 这类是收款，金额填到收入列",IF(AND(IFERROR(INDEX(基础资料!$AD$5:$AD$34,MATCH(O1957,基础资料!$AC$5:$AC$34,0)),"")="支",N(F1957)&lt;&gt;0),"✗ 这类是付款，金额填到支出列",IF(N(H1957)&lt;0,"⚠ 账户余额成负数了，核对一下","√"))))))))))))))))))</f>
      </c>
      <c r="O1957" s="78">
        <f>IF(D1957&lt;&gt;"",D1957,IF(AND(F1957="",G1957=""),"",IF(J1957&lt;&gt;"",IF(N(F1957)&gt;0,"客户回款","客户退款"),IF(K1957&lt;&gt;"",IF(N(G1957)&gt;0,"供应商付款","供应商退款"),IF(L1957&lt;&gt;"","费用支出","")))))</f>
      </c>
      <c r="P1957" s="78">
        <f>IF(O1957="","",IFERROR(INDEX(基础资料!$AE$5:$AE$34,MATCH(O1957,基础资料!$AC$5:$AC$34,0)),"未知"))</f>
      </c>
      <c r="Q1957" s="78">
        <f>IF(P1957="应收",COUNTIF(P$7:P1957,"应收"),"")</f>
      </c>
      <c r="R1957" s="78">
        <f>IF(P1957="应付",COUNTIF(P$7:P1957,"应付"),"")</f>
      </c>
      <c r="S1957" s="78">
        <f>N(F1957)-N(G1957)</f>
        <v>0</v>
      </c>
    </row>
    <row r="1958">
      <c r="A1958" s="109">
        <f>IF(AND(F1958="",G1958=""),"",ROW()-6)</f>
      </c>
      <c r="B1958" s="140" t="n"/>
      <c r="C1958" s="141" t="n"/>
      <c r="D1958" s="141" t="n"/>
      <c r="E1958" s="142" t="n"/>
      <c r="F1958" s="143" t="n"/>
      <c r="G1958" s="144" t="n"/>
      <c r="H1958" s="145">
        <f>IF(OR(C1958="",AND(F1958="",G1958="")),"",SUMIF(基础资料!$W$5:$W$24,C1958,基础资料!$X$5:$X$24)+SUMIF(C$7:C1958,C1958,F$7:F1958)-SUMIF(C$7:C1958,C1958,G$7:G1958))</f>
      </c>
      <c r="I1958" s="145">
        <f>IF(AND(F1958="",G1958=""),"",SUM(基础资料!$X$5:$X$24)+SUM(F$7:F1958)-SUM(G$7:G1958))</f>
      </c>
      <c r="J1958" s="141" t="n"/>
      <c r="K1958" s="141" t="n"/>
      <c r="L1958" s="141" t="n"/>
      <c r="M1958" s="142" t="n"/>
      <c r="N1958" s="146">
        <f>IF(AND(AND(F1958="",G1958=""),B1958="",C1958="",D1958="",J1958="",K1958="",L1958=""),"",IF(AND(F1958="",G1958=""),"✗ 没填金额",IF(AND(N(F1958)&lt;&gt;0,N(G1958)&lt;&gt;0),"✗ 收入、支出只能填一边",IF(NOT(ISNUMBER(B1958)),"✗ 日期不是真日期（要像 2026/9/25 这样填）",IF(OR(B1958&lt;年初日,B1958&gt;年末日),"✗ 日期不在本会计年度",IF(C1958="","✗ 没选账户",IF(COUNTIF(基础资料!$W$5:$W$24,C1958)=0,"✗ 账户不在基础资料里",IF(O1958="","✗ 没选收支项目",IF(P1958="未知","✗ 收支项目不在基础资料里",IF(AND(P1958="应收",J1958=""),"✗ 这笔要选客户",IF(AND(P1958="应收",COUNTIF(总览汇总!$B$5:$B$304,J1958)=0),"✗ 客户不在总览汇总名单里",IF(AND(P1958="应付",K1958=""),"✗ 这笔要选供应商",IF(AND(P1958="应付",COUNTIF(基础资料!$Q$5:$Q$54,K1958)=0),"✗ 供应商不在基础资料里",IF(AND(P1958="费用",L1958=""),"✗ 费用支出要选费用项目",IF(AND(L1958&lt;&gt;"",COUNTIF(基础资料!$AI$5:$AI$54,L1958)=0),"✗ 费用项目不在基础资料里",IF(AND(IFERROR(INDEX(基础资料!$AD$5:$AD$34,MATCH(O1958,基础资料!$AC$5:$AC$34,0)),"")="收",N(G1958)&lt;&gt;0),"✗ 这类是收款，金额填到收入列",IF(AND(IFERROR(INDEX(基础资料!$AD$5:$AD$34,MATCH(O1958,基础资料!$AC$5:$AC$34,0)),"")="支",N(F1958)&lt;&gt;0),"✗ 这类是付款，金额填到支出列",IF(N(H1958)&lt;0,"⚠ 账户余额成负数了，核对一下","√"))))))))))))))))))</f>
      </c>
      <c r="O1958" s="78">
        <f>IF(D1958&lt;&gt;"",D1958,IF(AND(F1958="",G1958=""),"",IF(J1958&lt;&gt;"",IF(N(F1958)&gt;0,"客户回款","客户退款"),IF(K1958&lt;&gt;"",IF(N(G1958)&gt;0,"供应商付款","供应商退款"),IF(L1958&lt;&gt;"","费用支出","")))))</f>
      </c>
      <c r="P1958" s="78">
        <f>IF(O1958="","",IFERROR(INDEX(基础资料!$AE$5:$AE$34,MATCH(O1958,基础资料!$AC$5:$AC$34,0)),"未知"))</f>
      </c>
      <c r="Q1958" s="78">
        <f>IF(P1958="应收",COUNTIF(P$7:P1958,"应收"),"")</f>
      </c>
      <c r="R1958" s="78">
        <f>IF(P1958="应付",COUNTIF(P$7:P1958,"应付"),"")</f>
      </c>
      <c r="S1958" s="78">
        <f>N(F1958)-N(G1958)</f>
        <v>0</v>
      </c>
    </row>
    <row r="1959">
      <c r="A1959" s="109">
        <f>IF(AND(F1959="",G1959=""),"",ROW()-6)</f>
      </c>
      <c r="B1959" s="140" t="n"/>
      <c r="C1959" s="141" t="n"/>
      <c r="D1959" s="141" t="n"/>
      <c r="E1959" s="142" t="n"/>
      <c r="F1959" s="143" t="n"/>
      <c r="G1959" s="144" t="n"/>
      <c r="H1959" s="145">
        <f>IF(OR(C1959="",AND(F1959="",G1959="")),"",SUMIF(基础资料!$W$5:$W$24,C1959,基础资料!$X$5:$X$24)+SUMIF(C$7:C1959,C1959,F$7:F1959)-SUMIF(C$7:C1959,C1959,G$7:G1959))</f>
      </c>
      <c r="I1959" s="145">
        <f>IF(AND(F1959="",G1959=""),"",SUM(基础资料!$X$5:$X$24)+SUM(F$7:F1959)-SUM(G$7:G1959))</f>
      </c>
      <c r="J1959" s="141" t="n"/>
      <c r="K1959" s="141" t="n"/>
      <c r="L1959" s="141" t="n"/>
      <c r="M1959" s="142" t="n"/>
      <c r="N1959" s="146">
        <f>IF(AND(AND(F1959="",G1959=""),B1959="",C1959="",D1959="",J1959="",K1959="",L1959=""),"",IF(AND(F1959="",G1959=""),"✗ 没填金额",IF(AND(N(F1959)&lt;&gt;0,N(G1959)&lt;&gt;0),"✗ 收入、支出只能填一边",IF(NOT(ISNUMBER(B1959)),"✗ 日期不是真日期（要像 2026/9/25 这样填）",IF(OR(B1959&lt;年初日,B1959&gt;年末日),"✗ 日期不在本会计年度",IF(C1959="","✗ 没选账户",IF(COUNTIF(基础资料!$W$5:$W$24,C1959)=0,"✗ 账户不在基础资料里",IF(O1959="","✗ 没选收支项目",IF(P1959="未知","✗ 收支项目不在基础资料里",IF(AND(P1959="应收",J1959=""),"✗ 这笔要选客户",IF(AND(P1959="应收",COUNTIF(总览汇总!$B$5:$B$304,J1959)=0),"✗ 客户不在总览汇总名单里",IF(AND(P1959="应付",K1959=""),"✗ 这笔要选供应商",IF(AND(P1959="应付",COUNTIF(基础资料!$Q$5:$Q$54,K1959)=0),"✗ 供应商不在基础资料里",IF(AND(P1959="费用",L1959=""),"✗ 费用支出要选费用项目",IF(AND(L1959&lt;&gt;"",COUNTIF(基础资料!$AI$5:$AI$54,L1959)=0),"✗ 费用项目不在基础资料里",IF(AND(IFERROR(INDEX(基础资料!$AD$5:$AD$34,MATCH(O1959,基础资料!$AC$5:$AC$34,0)),"")="收",N(G1959)&lt;&gt;0),"✗ 这类是收款，金额填到收入列",IF(AND(IFERROR(INDEX(基础资料!$AD$5:$AD$34,MATCH(O1959,基础资料!$AC$5:$AC$34,0)),"")="支",N(F1959)&lt;&gt;0),"✗ 这类是付款，金额填到支出列",IF(N(H1959)&lt;0,"⚠ 账户余额成负数了，核对一下","√"))))))))))))))))))</f>
      </c>
      <c r="O1959" s="78">
        <f>IF(D1959&lt;&gt;"",D1959,IF(AND(F1959="",G1959=""),"",IF(J1959&lt;&gt;"",IF(N(F1959)&gt;0,"客户回款","客户退款"),IF(K1959&lt;&gt;"",IF(N(G1959)&gt;0,"供应商付款","供应商退款"),IF(L1959&lt;&gt;"","费用支出","")))))</f>
      </c>
      <c r="P1959" s="78">
        <f>IF(O1959="","",IFERROR(INDEX(基础资料!$AE$5:$AE$34,MATCH(O1959,基础资料!$AC$5:$AC$34,0)),"未知"))</f>
      </c>
      <c r="Q1959" s="78">
        <f>IF(P1959="应收",COUNTIF(P$7:P1959,"应收"),"")</f>
      </c>
      <c r="R1959" s="78">
        <f>IF(P1959="应付",COUNTIF(P$7:P1959,"应付"),"")</f>
      </c>
      <c r="S1959" s="78">
        <f>N(F1959)-N(G1959)</f>
        <v>0</v>
      </c>
    </row>
    <row r="1960">
      <c r="A1960" s="109">
        <f>IF(AND(F1960="",G1960=""),"",ROW()-6)</f>
      </c>
      <c r="B1960" s="140" t="n"/>
      <c r="C1960" s="141" t="n"/>
      <c r="D1960" s="141" t="n"/>
      <c r="E1960" s="142" t="n"/>
      <c r="F1960" s="143" t="n"/>
      <c r="G1960" s="144" t="n"/>
      <c r="H1960" s="145">
        <f>IF(OR(C1960="",AND(F1960="",G1960="")),"",SUMIF(基础资料!$W$5:$W$24,C1960,基础资料!$X$5:$X$24)+SUMIF(C$7:C1960,C1960,F$7:F1960)-SUMIF(C$7:C1960,C1960,G$7:G1960))</f>
      </c>
      <c r="I1960" s="145">
        <f>IF(AND(F1960="",G1960=""),"",SUM(基础资料!$X$5:$X$24)+SUM(F$7:F1960)-SUM(G$7:G1960))</f>
      </c>
      <c r="J1960" s="141" t="n"/>
      <c r="K1960" s="141" t="n"/>
      <c r="L1960" s="141" t="n"/>
      <c r="M1960" s="142" t="n"/>
      <c r="N1960" s="146">
        <f>IF(AND(AND(F1960="",G1960=""),B1960="",C1960="",D1960="",J1960="",K1960="",L1960=""),"",IF(AND(F1960="",G1960=""),"✗ 没填金额",IF(AND(N(F1960)&lt;&gt;0,N(G1960)&lt;&gt;0),"✗ 收入、支出只能填一边",IF(NOT(ISNUMBER(B1960)),"✗ 日期不是真日期（要像 2026/9/25 这样填）",IF(OR(B1960&lt;年初日,B1960&gt;年末日),"✗ 日期不在本会计年度",IF(C1960="","✗ 没选账户",IF(COUNTIF(基础资料!$W$5:$W$24,C1960)=0,"✗ 账户不在基础资料里",IF(O1960="","✗ 没选收支项目",IF(P1960="未知","✗ 收支项目不在基础资料里",IF(AND(P1960="应收",J1960=""),"✗ 这笔要选客户",IF(AND(P1960="应收",COUNTIF(总览汇总!$B$5:$B$304,J1960)=0),"✗ 客户不在总览汇总名单里",IF(AND(P1960="应付",K1960=""),"✗ 这笔要选供应商",IF(AND(P1960="应付",COUNTIF(基础资料!$Q$5:$Q$54,K1960)=0),"✗ 供应商不在基础资料里",IF(AND(P1960="费用",L1960=""),"✗ 费用支出要选费用项目",IF(AND(L1960&lt;&gt;"",COUNTIF(基础资料!$AI$5:$AI$54,L1960)=0),"✗ 费用项目不在基础资料里",IF(AND(IFERROR(INDEX(基础资料!$AD$5:$AD$34,MATCH(O1960,基础资料!$AC$5:$AC$34,0)),"")="收",N(G1960)&lt;&gt;0),"✗ 这类是收款，金额填到收入列",IF(AND(IFERROR(INDEX(基础资料!$AD$5:$AD$34,MATCH(O1960,基础资料!$AC$5:$AC$34,0)),"")="支",N(F1960)&lt;&gt;0),"✗ 这类是付款，金额填到支出列",IF(N(H1960)&lt;0,"⚠ 账户余额成负数了，核对一下","√"))))))))))))))))))</f>
      </c>
      <c r="O1960" s="78">
        <f>IF(D1960&lt;&gt;"",D1960,IF(AND(F1960="",G1960=""),"",IF(J1960&lt;&gt;"",IF(N(F1960)&gt;0,"客户回款","客户退款"),IF(K1960&lt;&gt;"",IF(N(G1960)&gt;0,"供应商付款","供应商退款"),IF(L1960&lt;&gt;"","费用支出","")))))</f>
      </c>
      <c r="P1960" s="78">
        <f>IF(O1960="","",IFERROR(INDEX(基础资料!$AE$5:$AE$34,MATCH(O1960,基础资料!$AC$5:$AC$34,0)),"未知"))</f>
      </c>
      <c r="Q1960" s="78">
        <f>IF(P1960="应收",COUNTIF(P$7:P1960,"应收"),"")</f>
      </c>
      <c r="R1960" s="78">
        <f>IF(P1960="应付",COUNTIF(P$7:P1960,"应付"),"")</f>
      </c>
      <c r="S1960" s="78">
        <f>N(F1960)-N(G1960)</f>
        <v>0</v>
      </c>
    </row>
    <row r="1961">
      <c r="A1961" s="109">
        <f>IF(AND(F1961="",G1961=""),"",ROW()-6)</f>
      </c>
      <c r="B1961" s="140" t="n"/>
      <c r="C1961" s="141" t="n"/>
      <c r="D1961" s="141" t="n"/>
      <c r="E1961" s="142" t="n"/>
      <c r="F1961" s="143" t="n"/>
      <c r="G1961" s="144" t="n"/>
      <c r="H1961" s="145">
        <f>IF(OR(C1961="",AND(F1961="",G1961="")),"",SUMIF(基础资料!$W$5:$W$24,C1961,基础资料!$X$5:$X$24)+SUMIF(C$7:C1961,C1961,F$7:F1961)-SUMIF(C$7:C1961,C1961,G$7:G1961))</f>
      </c>
      <c r="I1961" s="145">
        <f>IF(AND(F1961="",G1961=""),"",SUM(基础资料!$X$5:$X$24)+SUM(F$7:F1961)-SUM(G$7:G1961))</f>
      </c>
      <c r="J1961" s="141" t="n"/>
      <c r="K1961" s="141" t="n"/>
      <c r="L1961" s="141" t="n"/>
      <c r="M1961" s="142" t="n"/>
      <c r="N1961" s="146">
        <f>IF(AND(AND(F1961="",G1961=""),B1961="",C1961="",D1961="",J1961="",K1961="",L1961=""),"",IF(AND(F1961="",G1961=""),"✗ 没填金额",IF(AND(N(F1961)&lt;&gt;0,N(G1961)&lt;&gt;0),"✗ 收入、支出只能填一边",IF(NOT(ISNUMBER(B1961)),"✗ 日期不是真日期（要像 2026/9/25 这样填）",IF(OR(B1961&lt;年初日,B1961&gt;年末日),"✗ 日期不在本会计年度",IF(C1961="","✗ 没选账户",IF(COUNTIF(基础资料!$W$5:$W$24,C1961)=0,"✗ 账户不在基础资料里",IF(O1961="","✗ 没选收支项目",IF(P1961="未知","✗ 收支项目不在基础资料里",IF(AND(P1961="应收",J1961=""),"✗ 这笔要选客户",IF(AND(P1961="应收",COUNTIF(总览汇总!$B$5:$B$304,J1961)=0),"✗ 客户不在总览汇总名单里",IF(AND(P1961="应付",K1961=""),"✗ 这笔要选供应商",IF(AND(P1961="应付",COUNTIF(基础资料!$Q$5:$Q$54,K1961)=0),"✗ 供应商不在基础资料里",IF(AND(P1961="费用",L1961=""),"✗ 费用支出要选费用项目",IF(AND(L1961&lt;&gt;"",COUNTIF(基础资料!$AI$5:$AI$54,L1961)=0),"✗ 费用项目不在基础资料里",IF(AND(IFERROR(INDEX(基础资料!$AD$5:$AD$34,MATCH(O1961,基础资料!$AC$5:$AC$34,0)),"")="收",N(G1961)&lt;&gt;0),"✗ 这类是收款，金额填到收入列",IF(AND(IFERROR(INDEX(基础资料!$AD$5:$AD$34,MATCH(O1961,基础资料!$AC$5:$AC$34,0)),"")="支",N(F1961)&lt;&gt;0),"✗ 这类是付款，金额填到支出列",IF(N(H1961)&lt;0,"⚠ 账户余额成负数了，核对一下","√"))))))))))))))))))</f>
      </c>
      <c r="O1961" s="78">
        <f>IF(D1961&lt;&gt;"",D1961,IF(AND(F1961="",G1961=""),"",IF(J1961&lt;&gt;"",IF(N(F1961)&gt;0,"客户回款","客户退款"),IF(K1961&lt;&gt;"",IF(N(G1961)&gt;0,"供应商付款","供应商退款"),IF(L1961&lt;&gt;"","费用支出","")))))</f>
      </c>
      <c r="P1961" s="78">
        <f>IF(O1961="","",IFERROR(INDEX(基础资料!$AE$5:$AE$34,MATCH(O1961,基础资料!$AC$5:$AC$34,0)),"未知"))</f>
      </c>
      <c r="Q1961" s="78">
        <f>IF(P1961="应收",COUNTIF(P$7:P1961,"应收"),"")</f>
      </c>
      <c r="R1961" s="78">
        <f>IF(P1961="应付",COUNTIF(P$7:P1961,"应付"),"")</f>
      </c>
      <c r="S1961" s="78">
        <f>N(F1961)-N(G1961)</f>
        <v>0</v>
      </c>
    </row>
    <row r="1962">
      <c r="A1962" s="109">
        <f>IF(AND(F1962="",G1962=""),"",ROW()-6)</f>
      </c>
      <c r="B1962" s="140" t="n"/>
      <c r="C1962" s="141" t="n"/>
      <c r="D1962" s="141" t="n"/>
      <c r="E1962" s="142" t="n"/>
      <c r="F1962" s="143" t="n"/>
      <c r="G1962" s="144" t="n"/>
      <c r="H1962" s="145">
        <f>IF(OR(C1962="",AND(F1962="",G1962="")),"",SUMIF(基础资料!$W$5:$W$24,C1962,基础资料!$X$5:$X$24)+SUMIF(C$7:C1962,C1962,F$7:F1962)-SUMIF(C$7:C1962,C1962,G$7:G1962))</f>
      </c>
      <c r="I1962" s="145">
        <f>IF(AND(F1962="",G1962=""),"",SUM(基础资料!$X$5:$X$24)+SUM(F$7:F1962)-SUM(G$7:G1962))</f>
      </c>
      <c r="J1962" s="141" t="n"/>
      <c r="K1962" s="141" t="n"/>
      <c r="L1962" s="141" t="n"/>
      <c r="M1962" s="142" t="n"/>
      <c r="N1962" s="146">
        <f>IF(AND(AND(F1962="",G1962=""),B1962="",C1962="",D1962="",J1962="",K1962="",L1962=""),"",IF(AND(F1962="",G1962=""),"✗ 没填金额",IF(AND(N(F1962)&lt;&gt;0,N(G1962)&lt;&gt;0),"✗ 收入、支出只能填一边",IF(NOT(ISNUMBER(B1962)),"✗ 日期不是真日期（要像 2026/9/25 这样填）",IF(OR(B1962&lt;年初日,B1962&gt;年末日),"✗ 日期不在本会计年度",IF(C1962="","✗ 没选账户",IF(COUNTIF(基础资料!$W$5:$W$24,C1962)=0,"✗ 账户不在基础资料里",IF(O1962="","✗ 没选收支项目",IF(P1962="未知","✗ 收支项目不在基础资料里",IF(AND(P1962="应收",J1962=""),"✗ 这笔要选客户",IF(AND(P1962="应收",COUNTIF(总览汇总!$B$5:$B$304,J1962)=0),"✗ 客户不在总览汇总名单里",IF(AND(P1962="应付",K1962=""),"✗ 这笔要选供应商",IF(AND(P1962="应付",COUNTIF(基础资料!$Q$5:$Q$54,K1962)=0),"✗ 供应商不在基础资料里",IF(AND(P1962="费用",L1962=""),"✗ 费用支出要选费用项目",IF(AND(L1962&lt;&gt;"",COUNTIF(基础资料!$AI$5:$AI$54,L1962)=0),"✗ 费用项目不在基础资料里",IF(AND(IFERROR(INDEX(基础资料!$AD$5:$AD$34,MATCH(O1962,基础资料!$AC$5:$AC$34,0)),"")="收",N(G1962)&lt;&gt;0),"✗ 这类是收款，金额填到收入列",IF(AND(IFERROR(INDEX(基础资料!$AD$5:$AD$34,MATCH(O1962,基础资料!$AC$5:$AC$34,0)),"")="支",N(F1962)&lt;&gt;0),"✗ 这类是付款，金额填到支出列",IF(N(H1962)&lt;0,"⚠ 账户余额成负数了，核对一下","√"))))))))))))))))))</f>
      </c>
      <c r="O1962" s="78">
        <f>IF(D1962&lt;&gt;"",D1962,IF(AND(F1962="",G1962=""),"",IF(J1962&lt;&gt;"",IF(N(F1962)&gt;0,"客户回款","客户退款"),IF(K1962&lt;&gt;"",IF(N(G1962)&gt;0,"供应商付款","供应商退款"),IF(L1962&lt;&gt;"","费用支出","")))))</f>
      </c>
      <c r="P1962" s="78">
        <f>IF(O1962="","",IFERROR(INDEX(基础资料!$AE$5:$AE$34,MATCH(O1962,基础资料!$AC$5:$AC$34,0)),"未知"))</f>
      </c>
      <c r="Q1962" s="78">
        <f>IF(P1962="应收",COUNTIF(P$7:P1962,"应收"),"")</f>
      </c>
      <c r="R1962" s="78">
        <f>IF(P1962="应付",COUNTIF(P$7:P1962,"应付"),"")</f>
      </c>
      <c r="S1962" s="78">
        <f>N(F1962)-N(G1962)</f>
        <v>0</v>
      </c>
    </row>
    <row r="1963">
      <c r="A1963" s="109">
        <f>IF(AND(F1963="",G1963=""),"",ROW()-6)</f>
      </c>
      <c r="B1963" s="140" t="n"/>
      <c r="C1963" s="141" t="n"/>
      <c r="D1963" s="141" t="n"/>
      <c r="E1963" s="142" t="n"/>
      <c r="F1963" s="143" t="n"/>
      <c r="G1963" s="144" t="n"/>
      <c r="H1963" s="145">
        <f>IF(OR(C1963="",AND(F1963="",G1963="")),"",SUMIF(基础资料!$W$5:$W$24,C1963,基础资料!$X$5:$X$24)+SUMIF(C$7:C1963,C1963,F$7:F1963)-SUMIF(C$7:C1963,C1963,G$7:G1963))</f>
      </c>
      <c r="I1963" s="145">
        <f>IF(AND(F1963="",G1963=""),"",SUM(基础资料!$X$5:$X$24)+SUM(F$7:F1963)-SUM(G$7:G1963))</f>
      </c>
      <c r="J1963" s="141" t="n"/>
      <c r="K1963" s="141" t="n"/>
      <c r="L1963" s="141" t="n"/>
      <c r="M1963" s="142" t="n"/>
      <c r="N1963" s="146">
        <f>IF(AND(AND(F1963="",G1963=""),B1963="",C1963="",D1963="",J1963="",K1963="",L1963=""),"",IF(AND(F1963="",G1963=""),"✗ 没填金额",IF(AND(N(F1963)&lt;&gt;0,N(G1963)&lt;&gt;0),"✗ 收入、支出只能填一边",IF(NOT(ISNUMBER(B1963)),"✗ 日期不是真日期（要像 2026/9/25 这样填）",IF(OR(B1963&lt;年初日,B1963&gt;年末日),"✗ 日期不在本会计年度",IF(C1963="","✗ 没选账户",IF(COUNTIF(基础资料!$W$5:$W$24,C1963)=0,"✗ 账户不在基础资料里",IF(O1963="","✗ 没选收支项目",IF(P1963="未知","✗ 收支项目不在基础资料里",IF(AND(P1963="应收",J1963=""),"✗ 这笔要选客户",IF(AND(P1963="应收",COUNTIF(总览汇总!$B$5:$B$304,J1963)=0),"✗ 客户不在总览汇总名单里",IF(AND(P1963="应付",K1963=""),"✗ 这笔要选供应商",IF(AND(P1963="应付",COUNTIF(基础资料!$Q$5:$Q$54,K1963)=0),"✗ 供应商不在基础资料里",IF(AND(P1963="费用",L1963=""),"✗ 费用支出要选费用项目",IF(AND(L1963&lt;&gt;"",COUNTIF(基础资料!$AI$5:$AI$54,L1963)=0),"✗ 费用项目不在基础资料里",IF(AND(IFERROR(INDEX(基础资料!$AD$5:$AD$34,MATCH(O1963,基础资料!$AC$5:$AC$34,0)),"")="收",N(G1963)&lt;&gt;0),"✗ 这类是收款，金额填到收入列",IF(AND(IFERROR(INDEX(基础资料!$AD$5:$AD$34,MATCH(O1963,基础资料!$AC$5:$AC$34,0)),"")="支",N(F1963)&lt;&gt;0),"✗ 这类是付款，金额填到支出列",IF(N(H1963)&lt;0,"⚠ 账户余额成负数了，核对一下","√"))))))))))))))))))</f>
      </c>
      <c r="O1963" s="78">
        <f>IF(D1963&lt;&gt;"",D1963,IF(AND(F1963="",G1963=""),"",IF(J1963&lt;&gt;"",IF(N(F1963)&gt;0,"客户回款","客户退款"),IF(K1963&lt;&gt;"",IF(N(G1963)&gt;0,"供应商付款","供应商退款"),IF(L1963&lt;&gt;"","费用支出","")))))</f>
      </c>
      <c r="P1963" s="78">
        <f>IF(O1963="","",IFERROR(INDEX(基础资料!$AE$5:$AE$34,MATCH(O1963,基础资料!$AC$5:$AC$34,0)),"未知"))</f>
      </c>
      <c r="Q1963" s="78">
        <f>IF(P1963="应收",COUNTIF(P$7:P1963,"应收"),"")</f>
      </c>
      <c r="R1963" s="78">
        <f>IF(P1963="应付",COUNTIF(P$7:P1963,"应付"),"")</f>
      </c>
      <c r="S1963" s="78">
        <f>N(F1963)-N(G1963)</f>
        <v>0</v>
      </c>
    </row>
    <row r="1964">
      <c r="A1964" s="109">
        <f>IF(AND(F1964="",G1964=""),"",ROW()-6)</f>
      </c>
      <c r="B1964" s="140" t="n"/>
      <c r="C1964" s="141" t="n"/>
      <c r="D1964" s="141" t="n"/>
      <c r="E1964" s="142" t="n"/>
      <c r="F1964" s="143" t="n"/>
      <c r="G1964" s="144" t="n"/>
      <c r="H1964" s="145">
        <f>IF(OR(C1964="",AND(F1964="",G1964="")),"",SUMIF(基础资料!$W$5:$W$24,C1964,基础资料!$X$5:$X$24)+SUMIF(C$7:C1964,C1964,F$7:F1964)-SUMIF(C$7:C1964,C1964,G$7:G1964))</f>
      </c>
      <c r="I1964" s="145">
        <f>IF(AND(F1964="",G1964=""),"",SUM(基础资料!$X$5:$X$24)+SUM(F$7:F1964)-SUM(G$7:G1964))</f>
      </c>
      <c r="J1964" s="141" t="n"/>
      <c r="K1964" s="141" t="n"/>
      <c r="L1964" s="141" t="n"/>
      <c r="M1964" s="142" t="n"/>
      <c r="N1964" s="146">
        <f>IF(AND(AND(F1964="",G1964=""),B1964="",C1964="",D1964="",J1964="",K1964="",L1964=""),"",IF(AND(F1964="",G1964=""),"✗ 没填金额",IF(AND(N(F1964)&lt;&gt;0,N(G1964)&lt;&gt;0),"✗ 收入、支出只能填一边",IF(NOT(ISNUMBER(B1964)),"✗ 日期不是真日期（要像 2026/9/25 这样填）",IF(OR(B1964&lt;年初日,B1964&gt;年末日),"✗ 日期不在本会计年度",IF(C1964="","✗ 没选账户",IF(COUNTIF(基础资料!$W$5:$W$24,C1964)=0,"✗ 账户不在基础资料里",IF(O1964="","✗ 没选收支项目",IF(P1964="未知","✗ 收支项目不在基础资料里",IF(AND(P1964="应收",J1964=""),"✗ 这笔要选客户",IF(AND(P1964="应收",COUNTIF(总览汇总!$B$5:$B$304,J1964)=0),"✗ 客户不在总览汇总名单里",IF(AND(P1964="应付",K1964=""),"✗ 这笔要选供应商",IF(AND(P1964="应付",COUNTIF(基础资料!$Q$5:$Q$54,K1964)=0),"✗ 供应商不在基础资料里",IF(AND(P1964="费用",L1964=""),"✗ 费用支出要选费用项目",IF(AND(L1964&lt;&gt;"",COUNTIF(基础资料!$AI$5:$AI$54,L1964)=0),"✗ 费用项目不在基础资料里",IF(AND(IFERROR(INDEX(基础资料!$AD$5:$AD$34,MATCH(O1964,基础资料!$AC$5:$AC$34,0)),"")="收",N(G1964)&lt;&gt;0),"✗ 这类是收款，金额填到收入列",IF(AND(IFERROR(INDEX(基础资料!$AD$5:$AD$34,MATCH(O1964,基础资料!$AC$5:$AC$34,0)),"")="支",N(F1964)&lt;&gt;0),"✗ 这类是付款，金额填到支出列",IF(N(H1964)&lt;0,"⚠ 账户余额成负数了，核对一下","√"))))))))))))))))))</f>
      </c>
      <c r="O1964" s="78">
        <f>IF(D1964&lt;&gt;"",D1964,IF(AND(F1964="",G1964=""),"",IF(J1964&lt;&gt;"",IF(N(F1964)&gt;0,"客户回款","客户退款"),IF(K1964&lt;&gt;"",IF(N(G1964)&gt;0,"供应商付款","供应商退款"),IF(L1964&lt;&gt;"","费用支出","")))))</f>
      </c>
      <c r="P1964" s="78">
        <f>IF(O1964="","",IFERROR(INDEX(基础资料!$AE$5:$AE$34,MATCH(O1964,基础资料!$AC$5:$AC$34,0)),"未知"))</f>
      </c>
      <c r="Q1964" s="78">
        <f>IF(P1964="应收",COUNTIF(P$7:P1964,"应收"),"")</f>
      </c>
      <c r="R1964" s="78">
        <f>IF(P1964="应付",COUNTIF(P$7:P1964,"应付"),"")</f>
      </c>
      <c r="S1964" s="78">
        <f>N(F1964)-N(G1964)</f>
        <v>0</v>
      </c>
    </row>
    <row r="1965">
      <c r="A1965" s="109">
        <f>IF(AND(F1965="",G1965=""),"",ROW()-6)</f>
      </c>
      <c r="B1965" s="140" t="n"/>
      <c r="C1965" s="141" t="n"/>
      <c r="D1965" s="141" t="n"/>
      <c r="E1965" s="142" t="n"/>
      <c r="F1965" s="143" t="n"/>
      <c r="G1965" s="144" t="n"/>
      <c r="H1965" s="145">
        <f>IF(OR(C1965="",AND(F1965="",G1965="")),"",SUMIF(基础资料!$W$5:$W$24,C1965,基础资料!$X$5:$X$24)+SUMIF(C$7:C1965,C1965,F$7:F1965)-SUMIF(C$7:C1965,C1965,G$7:G1965))</f>
      </c>
      <c r="I1965" s="145">
        <f>IF(AND(F1965="",G1965=""),"",SUM(基础资料!$X$5:$X$24)+SUM(F$7:F1965)-SUM(G$7:G1965))</f>
      </c>
      <c r="J1965" s="141" t="n"/>
      <c r="K1965" s="141" t="n"/>
      <c r="L1965" s="141" t="n"/>
      <c r="M1965" s="142" t="n"/>
      <c r="N1965" s="146">
        <f>IF(AND(AND(F1965="",G1965=""),B1965="",C1965="",D1965="",J1965="",K1965="",L1965=""),"",IF(AND(F1965="",G1965=""),"✗ 没填金额",IF(AND(N(F1965)&lt;&gt;0,N(G1965)&lt;&gt;0),"✗ 收入、支出只能填一边",IF(NOT(ISNUMBER(B1965)),"✗ 日期不是真日期（要像 2026/9/25 这样填）",IF(OR(B1965&lt;年初日,B1965&gt;年末日),"✗ 日期不在本会计年度",IF(C1965="","✗ 没选账户",IF(COUNTIF(基础资料!$W$5:$W$24,C1965)=0,"✗ 账户不在基础资料里",IF(O1965="","✗ 没选收支项目",IF(P1965="未知","✗ 收支项目不在基础资料里",IF(AND(P1965="应收",J1965=""),"✗ 这笔要选客户",IF(AND(P1965="应收",COUNTIF(总览汇总!$B$5:$B$304,J1965)=0),"✗ 客户不在总览汇总名单里",IF(AND(P1965="应付",K1965=""),"✗ 这笔要选供应商",IF(AND(P1965="应付",COUNTIF(基础资料!$Q$5:$Q$54,K1965)=0),"✗ 供应商不在基础资料里",IF(AND(P1965="费用",L1965=""),"✗ 费用支出要选费用项目",IF(AND(L1965&lt;&gt;"",COUNTIF(基础资料!$AI$5:$AI$54,L1965)=0),"✗ 费用项目不在基础资料里",IF(AND(IFERROR(INDEX(基础资料!$AD$5:$AD$34,MATCH(O1965,基础资料!$AC$5:$AC$34,0)),"")="收",N(G1965)&lt;&gt;0),"✗ 这类是收款，金额填到收入列",IF(AND(IFERROR(INDEX(基础资料!$AD$5:$AD$34,MATCH(O1965,基础资料!$AC$5:$AC$34,0)),"")="支",N(F1965)&lt;&gt;0),"✗ 这类是付款，金额填到支出列",IF(N(H1965)&lt;0,"⚠ 账户余额成负数了，核对一下","√"))))))))))))))))))</f>
      </c>
      <c r="O1965" s="78">
        <f>IF(D1965&lt;&gt;"",D1965,IF(AND(F1965="",G1965=""),"",IF(J1965&lt;&gt;"",IF(N(F1965)&gt;0,"客户回款","客户退款"),IF(K1965&lt;&gt;"",IF(N(G1965)&gt;0,"供应商付款","供应商退款"),IF(L1965&lt;&gt;"","费用支出","")))))</f>
      </c>
      <c r="P1965" s="78">
        <f>IF(O1965="","",IFERROR(INDEX(基础资料!$AE$5:$AE$34,MATCH(O1965,基础资料!$AC$5:$AC$34,0)),"未知"))</f>
      </c>
      <c r="Q1965" s="78">
        <f>IF(P1965="应收",COUNTIF(P$7:P1965,"应收"),"")</f>
      </c>
      <c r="R1965" s="78">
        <f>IF(P1965="应付",COUNTIF(P$7:P1965,"应付"),"")</f>
      </c>
      <c r="S1965" s="78">
        <f>N(F1965)-N(G1965)</f>
        <v>0</v>
      </c>
    </row>
    <row r="1966">
      <c r="A1966" s="109">
        <f>IF(AND(F1966="",G1966=""),"",ROW()-6)</f>
      </c>
      <c r="B1966" s="140" t="n"/>
      <c r="C1966" s="141" t="n"/>
      <c r="D1966" s="141" t="n"/>
      <c r="E1966" s="142" t="n"/>
      <c r="F1966" s="143" t="n"/>
      <c r="G1966" s="144" t="n"/>
      <c r="H1966" s="145">
        <f>IF(OR(C1966="",AND(F1966="",G1966="")),"",SUMIF(基础资料!$W$5:$W$24,C1966,基础资料!$X$5:$X$24)+SUMIF(C$7:C1966,C1966,F$7:F1966)-SUMIF(C$7:C1966,C1966,G$7:G1966))</f>
      </c>
      <c r="I1966" s="145">
        <f>IF(AND(F1966="",G1966=""),"",SUM(基础资料!$X$5:$X$24)+SUM(F$7:F1966)-SUM(G$7:G1966))</f>
      </c>
      <c r="J1966" s="141" t="n"/>
      <c r="K1966" s="141" t="n"/>
      <c r="L1966" s="141" t="n"/>
      <c r="M1966" s="142" t="n"/>
      <c r="N1966" s="146">
        <f>IF(AND(AND(F1966="",G1966=""),B1966="",C1966="",D1966="",J1966="",K1966="",L1966=""),"",IF(AND(F1966="",G1966=""),"✗ 没填金额",IF(AND(N(F1966)&lt;&gt;0,N(G1966)&lt;&gt;0),"✗ 收入、支出只能填一边",IF(NOT(ISNUMBER(B1966)),"✗ 日期不是真日期（要像 2026/9/25 这样填）",IF(OR(B1966&lt;年初日,B1966&gt;年末日),"✗ 日期不在本会计年度",IF(C1966="","✗ 没选账户",IF(COUNTIF(基础资料!$W$5:$W$24,C1966)=0,"✗ 账户不在基础资料里",IF(O1966="","✗ 没选收支项目",IF(P1966="未知","✗ 收支项目不在基础资料里",IF(AND(P1966="应收",J1966=""),"✗ 这笔要选客户",IF(AND(P1966="应收",COUNTIF(总览汇总!$B$5:$B$304,J1966)=0),"✗ 客户不在总览汇总名单里",IF(AND(P1966="应付",K1966=""),"✗ 这笔要选供应商",IF(AND(P1966="应付",COUNTIF(基础资料!$Q$5:$Q$54,K1966)=0),"✗ 供应商不在基础资料里",IF(AND(P1966="费用",L1966=""),"✗ 费用支出要选费用项目",IF(AND(L1966&lt;&gt;"",COUNTIF(基础资料!$AI$5:$AI$54,L1966)=0),"✗ 费用项目不在基础资料里",IF(AND(IFERROR(INDEX(基础资料!$AD$5:$AD$34,MATCH(O1966,基础资料!$AC$5:$AC$34,0)),"")="收",N(G1966)&lt;&gt;0),"✗ 这类是收款，金额填到收入列",IF(AND(IFERROR(INDEX(基础资料!$AD$5:$AD$34,MATCH(O1966,基础资料!$AC$5:$AC$34,0)),"")="支",N(F1966)&lt;&gt;0),"✗ 这类是付款，金额填到支出列",IF(N(H1966)&lt;0,"⚠ 账户余额成负数了，核对一下","√"))))))))))))))))))</f>
      </c>
      <c r="O1966" s="78">
        <f>IF(D1966&lt;&gt;"",D1966,IF(AND(F1966="",G1966=""),"",IF(J1966&lt;&gt;"",IF(N(F1966)&gt;0,"客户回款","客户退款"),IF(K1966&lt;&gt;"",IF(N(G1966)&gt;0,"供应商付款","供应商退款"),IF(L1966&lt;&gt;"","费用支出","")))))</f>
      </c>
      <c r="P1966" s="78">
        <f>IF(O1966="","",IFERROR(INDEX(基础资料!$AE$5:$AE$34,MATCH(O1966,基础资料!$AC$5:$AC$34,0)),"未知"))</f>
      </c>
      <c r="Q1966" s="78">
        <f>IF(P1966="应收",COUNTIF(P$7:P1966,"应收"),"")</f>
      </c>
      <c r="R1966" s="78">
        <f>IF(P1966="应付",COUNTIF(P$7:P1966,"应付"),"")</f>
      </c>
      <c r="S1966" s="78">
        <f>N(F1966)-N(G1966)</f>
        <v>0</v>
      </c>
    </row>
    <row r="1967">
      <c r="A1967" s="109">
        <f>IF(AND(F1967="",G1967=""),"",ROW()-6)</f>
      </c>
      <c r="B1967" s="140" t="n"/>
      <c r="C1967" s="141" t="n"/>
      <c r="D1967" s="141" t="n"/>
      <c r="E1967" s="142" t="n"/>
      <c r="F1967" s="143" t="n"/>
      <c r="G1967" s="144" t="n"/>
      <c r="H1967" s="145">
        <f>IF(OR(C1967="",AND(F1967="",G1967="")),"",SUMIF(基础资料!$W$5:$W$24,C1967,基础资料!$X$5:$X$24)+SUMIF(C$7:C1967,C1967,F$7:F1967)-SUMIF(C$7:C1967,C1967,G$7:G1967))</f>
      </c>
      <c r="I1967" s="145">
        <f>IF(AND(F1967="",G1967=""),"",SUM(基础资料!$X$5:$X$24)+SUM(F$7:F1967)-SUM(G$7:G1967))</f>
      </c>
      <c r="J1967" s="141" t="n"/>
      <c r="K1967" s="141" t="n"/>
      <c r="L1967" s="141" t="n"/>
      <c r="M1967" s="142" t="n"/>
      <c r="N1967" s="146">
        <f>IF(AND(AND(F1967="",G1967=""),B1967="",C1967="",D1967="",J1967="",K1967="",L1967=""),"",IF(AND(F1967="",G1967=""),"✗ 没填金额",IF(AND(N(F1967)&lt;&gt;0,N(G1967)&lt;&gt;0),"✗ 收入、支出只能填一边",IF(NOT(ISNUMBER(B1967)),"✗ 日期不是真日期（要像 2026/9/25 这样填）",IF(OR(B1967&lt;年初日,B1967&gt;年末日),"✗ 日期不在本会计年度",IF(C1967="","✗ 没选账户",IF(COUNTIF(基础资料!$W$5:$W$24,C1967)=0,"✗ 账户不在基础资料里",IF(O1967="","✗ 没选收支项目",IF(P1967="未知","✗ 收支项目不在基础资料里",IF(AND(P1967="应收",J1967=""),"✗ 这笔要选客户",IF(AND(P1967="应收",COUNTIF(总览汇总!$B$5:$B$304,J1967)=0),"✗ 客户不在总览汇总名单里",IF(AND(P1967="应付",K1967=""),"✗ 这笔要选供应商",IF(AND(P1967="应付",COUNTIF(基础资料!$Q$5:$Q$54,K1967)=0),"✗ 供应商不在基础资料里",IF(AND(P1967="费用",L1967=""),"✗ 费用支出要选费用项目",IF(AND(L1967&lt;&gt;"",COUNTIF(基础资料!$AI$5:$AI$54,L1967)=0),"✗ 费用项目不在基础资料里",IF(AND(IFERROR(INDEX(基础资料!$AD$5:$AD$34,MATCH(O1967,基础资料!$AC$5:$AC$34,0)),"")="收",N(G1967)&lt;&gt;0),"✗ 这类是收款，金额填到收入列",IF(AND(IFERROR(INDEX(基础资料!$AD$5:$AD$34,MATCH(O1967,基础资料!$AC$5:$AC$34,0)),"")="支",N(F1967)&lt;&gt;0),"✗ 这类是付款，金额填到支出列",IF(N(H1967)&lt;0,"⚠ 账户余额成负数了，核对一下","√"))))))))))))))))))</f>
      </c>
      <c r="O1967" s="78">
        <f>IF(D1967&lt;&gt;"",D1967,IF(AND(F1967="",G1967=""),"",IF(J1967&lt;&gt;"",IF(N(F1967)&gt;0,"客户回款","客户退款"),IF(K1967&lt;&gt;"",IF(N(G1967)&gt;0,"供应商付款","供应商退款"),IF(L1967&lt;&gt;"","费用支出","")))))</f>
      </c>
      <c r="P1967" s="78">
        <f>IF(O1967="","",IFERROR(INDEX(基础资料!$AE$5:$AE$34,MATCH(O1967,基础资料!$AC$5:$AC$34,0)),"未知"))</f>
      </c>
      <c r="Q1967" s="78">
        <f>IF(P1967="应收",COUNTIF(P$7:P1967,"应收"),"")</f>
      </c>
      <c r="R1967" s="78">
        <f>IF(P1967="应付",COUNTIF(P$7:P1967,"应付"),"")</f>
      </c>
      <c r="S1967" s="78">
        <f>N(F1967)-N(G1967)</f>
        <v>0</v>
      </c>
    </row>
    <row r="1968">
      <c r="A1968" s="109">
        <f>IF(AND(F1968="",G1968=""),"",ROW()-6)</f>
      </c>
      <c r="B1968" s="140" t="n"/>
      <c r="C1968" s="141" t="n"/>
      <c r="D1968" s="141" t="n"/>
      <c r="E1968" s="142" t="n"/>
      <c r="F1968" s="143" t="n"/>
      <c r="G1968" s="144" t="n"/>
      <c r="H1968" s="145">
        <f>IF(OR(C1968="",AND(F1968="",G1968="")),"",SUMIF(基础资料!$W$5:$W$24,C1968,基础资料!$X$5:$X$24)+SUMIF(C$7:C1968,C1968,F$7:F1968)-SUMIF(C$7:C1968,C1968,G$7:G1968))</f>
      </c>
      <c r="I1968" s="145">
        <f>IF(AND(F1968="",G1968=""),"",SUM(基础资料!$X$5:$X$24)+SUM(F$7:F1968)-SUM(G$7:G1968))</f>
      </c>
      <c r="J1968" s="141" t="n"/>
      <c r="K1968" s="141" t="n"/>
      <c r="L1968" s="141" t="n"/>
      <c r="M1968" s="142" t="n"/>
      <c r="N1968" s="146">
        <f>IF(AND(AND(F1968="",G1968=""),B1968="",C1968="",D1968="",J1968="",K1968="",L1968=""),"",IF(AND(F1968="",G1968=""),"✗ 没填金额",IF(AND(N(F1968)&lt;&gt;0,N(G1968)&lt;&gt;0),"✗ 收入、支出只能填一边",IF(NOT(ISNUMBER(B1968)),"✗ 日期不是真日期（要像 2026/9/25 这样填）",IF(OR(B1968&lt;年初日,B1968&gt;年末日),"✗ 日期不在本会计年度",IF(C1968="","✗ 没选账户",IF(COUNTIF(基础资料!$W$5:$W$24,C1968)=0,"✗ 账户不在基础资料里",IF(O1968="","✗ 没选收支项目",IF(P1968="未知","✗ 收支项目不在基础资料里",IF(AND(P1968="应收",J1968=""),"✗ 这笔要选客户",IF(AND(P1968="应收",COUNTIF(总览汇总!$B$5:$B$304,J1968)=0),"✗ 客户不在总览汇总名单里",IF(AND(P1968="应付",K1968=""),"✗ 这笔要选供应商",IF(AND(P1968="应付",COUNTIF(基础资料!$Q$5:$Q$54,K1968)=0),"✗ 供应商不在基础资料里",IF(AND(P1968="费用",L1968=""),"✗ 费用支出要选费用项目",IF(AND(L1968&lt;&gt;"",COUNTIF(基础资料!$AI$5:$AI$54,L1968)=0),"✗ 费用项目不在基础资料里",IF(AND(IFERROR(INDEX(基础资料!$AD$5:$AD$34,MATCH(O1968,基础资料!$AC$5:$AC$34,0)),"")="收",N(G1968)&lt;&gt;0),"✗ 这类是收款，金额填到收入列",IF(AND(IFERROR(INDEX(基础资料!$AD$5:$AD$34,MATCH(O1968,基础资料!$AC$5:$AC$34,0)),"")="支",N(F1968)&lt;&gt;0),"✗ 这类是付款，金额填到支出列",IF(N(H1968)&lt;0,"⚠ 账户余额成负数了，核对一下","√"))))))))))))))))))</f>
      </c>
      <c r="O1968" s="78">
        <f>IF(D1968&lt;&gt;"",D1968,IF(AND(F1968="",G1968=""),"",IF(J1968&lt;&gt;"",IF(N(F1968)&gt;0,"客户回款","客户退款"),IF(K1968&lt;&gt;"",IF(N(G1968)&gt;0,"供应商付款","供应商退款"),IF(L1968&lt;&gt;"","费用支出","")))))</f>
      </c>
      <c r="P1968" s="78">
        <f>IF(O1968="","",IFERROR(INDEX(基础资料!$AE$5:$AE$34,MATCH(O1968,基础资料!$AC$5:$AC$34,0)),"未知"))</f>
      </c>
      <c r="Q1968" s="78">
        <f>IF(P1968="应收",COUNTIF(P$7:P1968,"应收"),"")</f>
      </c>
      <c r="R1968" s="78">
        <f>IF(P1968="应付",COUNTIF(P$7:P1968,"应付"),"")</f>
      </c>
      <c r="S1968" s="78">
        <f>N(F1968)-N(G1968)</f>
        <v>0</v>
      </c>
    </row>
    <row r="1969">
      <c r="A1969" s="109">
        <f>IF(AND(F1969="",G1969=""),"",ROW()-6)</f>
      </c>
      <c r="B1969" s="140" t="n"/>
      <c r="C1969" s="141" t="n"/>
      <c r="D1969" s="141" t="n"/>
      <c r="E1969" s="142" t="n"/>
      <c r="F1969" s="143" t="n"/>
      <c r="G1969" s="144" t="n"/>
      <c r="H1969" s="145">
        <f>IF(OR(C1969="",AND(F1969="",G1969="")),"",SUMIF(基础资料!$W$5:$W$24,C1969,基础资料!$X$5:$X$24)+SUMIF(C$7:C1969,C1969,F$7:F1969)-SUMIF(C$7:C1969,C1969,G$7:G1969))</f>
      </c>
      <c r="I1969" s="145">
        <f>IF(AND(F1969="",G1969=""),"",SUM(基础资料!$X$5:$X$24)+SUM(F$7:F1969)-SUM(G$7:G1969))</f>
      </c>
      <c r="J1969" s="141" t="n"/>
      <c r="K1969" s="141" t="n"/>
      <c r="L1969" s="141" t="n"/>
      <c r="M1969" s="142" t="n"/>
      <c r="N1969" s="146">
        <f>IF(AND(AND(F1969="",G1969=""),B1969="",C1969="",D1969="",J1969="",K1969="",L1969=""),"",IF(AND(F1969="",G1969=""),"✗ 没填金额",IF(AND(N(F1969)&lt;&gt;0,N(G1969)&lt;&gt;0),"✗ 收入、支出只能填一边",IF(NOT(ISNUMBER(B1969)),"✗ 日期不是真日期（要像 2026/9/25 这样填）",IF(OR(B1969&lt;年初日,B1969&gt;年末日),"✗ 日期不在本会计年度",IF(C1969="","✗ 没选账户",IF(COUNTIF(基础资料!$W$5:$W$24,C1969)=0,"✗ 账户不在基础资料里",IF(O1969="","✗ 没选收支项目",IF(P1969="未知","✗ 收支项目不在基础资料里",IF(AND(P1969="应收",J1969=""),"✗ 这笔要选客户",IF(AND(P1969="应收",COUNTIF(总览汇总!$B$5:$B$304,J1969)=0),"✗ 客户不在总览汇总名单里",IF(AND(P1969="应付",K1969=""),"✗ 这笔要选供应商",IF(AND(P1969="应付",COUNTIF(基础资料!$Q$5:$Q$54,K1969)=0),"✗ 供应商不在基础资料里",IF(AND(P1969="费用",L1969=""),"✗ 费用支出要选费用项目",IF(AND(L1969&lt;&gt;"",COUNTIF(基础资料!$AI$5:$AI$54,L1969)=0),"✗ 费用项目不在基础资料里",IF(AND(IFERROR(INDEX(基础资料!$AD$5:$AD$34,MATCH(O1969,基础资料!$AC$5:$AC$34,0)),"")="收",N(G1969)&lt;&gt;0),"✗ 这类是收款，金额填到收入列",IF(AND(IFERROR(INDEX(基础资料!$AD$5:$AD$34,MATCH(O1969,基础资料!$AC$5:$AC$34,0)),"")="支",N(F1969)&lt;&gt;0),"✗ 这类是付款，金额填到支出列",IF(N(H1969)&lt;0,"⚠ 账户余额成负数了，核对一下","√"))))))))))))))))))</f>
      </c>
      <c r="O1969" s="78">
        <f>IF(D1969&lt;&gt;"",D1969,IF(AND(F1969="",G1969=""),"",IF(J1969&lt;&gt;"",IF(N(F1969)&gt;0,"客户回款","客户退款"),IF(K1969&lt;&gt;"",IF(N(G1969)&gt;0,"供应商付款","供应商退款"),IF(L1969&lt;&gt;"","费用支出","")))))</f>
      </c>
      <c r="P1969" s="78">
        <f>IF(O1969="","",IFERROR(INDEX(基础资料!$AE$5:$AE$34,MATCH(O1969,基础资料!$AC$5:$AC$34,0)),"未知"))</f>
      </c>
      <c r="Q1969" s="78">
        <f>IF(P1969="应收",COUNTIF(P$7:P1969,"应收"),"")</f>
      </c>
      <c r="R1969" s="78">
        <f>IF(P1969="应付",COUNTIF(P$7:P1969,"应付"),"")</f>
      </c>
      <c r="S1969" s="78">
        <f>N(F1969)-N(G1969)</f>
        <v>0</v>
      </c>
    </row>
    <row r="1970">
      <c r="A1970" s="109">
        <f>IF(AND(F1970="",G1970=""),"",ROW()-6)</f>
      </c>
      <c r="B1970" s="140" t="n"/>
      <c r="C1970" s="141" t="n"/>
      <c r="D1970" s="141" t="n"/>
      <c r="E1970" s="142" t="n"/>
      <c r="F1970" s="143" t="n"/>
      <c r="G1970" s="144" t="n"/>
      <c r="H1970" s="145">
        <f>IF(OR(C1970="",AND(F1970="",G1970="")),"",SUMIF(基础资料!$W$5:$W$24,C1970,基础资料!$X$5:$X$24)+SUMIF(C$7:C1970,C1970,F$7:F1970)-SUMIF(C$7:C1970,C1970,G$7:G1970))</f>
      </c>
      <c r="I1970" s="145">
        <f>IF(AND(F1970="",G1970=""),"",SUM(基础资料!$X$5:$X$24)+SUM(F$7:F1970)-SUM(G$7:G1970))</f>
      </c>
      <c r="J1970" s="141" t="n"/>
      <c r="K1970" s="141" t="n"/>
      <c r="L1970" s="141" t="n"/>
      <c r="M1970" s="142" t="n"/>
      <c r="N1970" s="146">
        <f>IF(AND(AND(F1970="",G1970=""),B1970="",C1970="",D1970="",J1970="",K1970="",L1970=""),"",IF(AND(F1970="",G1970=""),"✗ 没填金额",IF(AND(N(F1970)&lt;&gt;0,N(G1970)&lt;&gt;0),"✗ 收入、支出只能填一边",IF(NOT(ISNUMBER(B1970)),"✗ 日期不是真日期（要像 2026/9/25 这样填）",IF(OR(B1970&lt;年初日,B1970&gt;年末日),"✗ 日期不在本会计年度",IF(C1970="","✗ 没选账户",IF(COUNTIF(基础资料!$W$5:$W$24,C1970)=0,"✗ 账户不在基础资料里",IF(O1970="","✗ 没选收支项目",IF(P1970="未知","✗ 收支项目不在基础资料里",IF(AND(P1970="应收",J1970=""),"✗ 这笔要选客户",IF(AND(P1970="应收",COUNTIF(总览汇总!$B$5:$B$304,J1970)=0),"✗ 客户不在总览汇总名单里",IF(AND(P1970="应付",K1970=""),"✗ 这笔要选供应商",IF(AND(P1970="应付",COUNTIF(基础资料!$Q$5:$Q$54,K1970)=0),"✗ 供应商不在基础资料里",IF(AND(P1970="费用",L1970=""),"✗ 费用支出要选费用项目",IF(AND(L1970&lt;&gt;"",COUNTIF(基础资料!$AI$5:$AI$54,L1970)=0),"✗ 费用项目不在基础资料里",IF(AND(IFERROR(INDEX(基础资料!$AD$5:$AD$34,MATCH(O1970,基础资料!$AC$5:$AC$34,0)),"")="收",N(G1970)&lt;&gt;0),"✗ 这类是收款，金额填到收入列",IF(AND(IFERROR(INDEX(基础资料!$AD$5:$AD$34,MATCH(O1970,基础资料!$AC$5:$AC$34,0)),"")="支",N(F1970)&lt;&gt;0),"✗ 这类是付款，金额填到支出列",IF(N(H1970)&lt;0,"⚠ 账户余额成负数了，核对一下","√"))))))))))))))))))</f>
      </c>
      <c r="O1970" s="78">
        <f>IF(D1970&lt;&gt;"",D1970,IF(AND(F1970="",G1970=""),"",IF(J1970&lt;&gt;"",IF(N(F1970)&gt;0,"客户回款","客户退款"),IF(K1970&lt;&gt;"",IF(N(G1970)&gt;0,"供应商付款","供应商退款"),IF(L1970&lt;&gt;"","费用支出","")))))</f>
      </c>
      <c r="P1970" s="78">
        <f>IF(O1970="","",IFERROR(INDEX(基础资料!$AE$5:$AE$34,MATCH(O1970,基础资料!$AC$5:$AC$34,0)),"未知"))</f>
      </c>
      <c r="Q1970" s="78">
        <f>IF(P1970="应收",COUNTIF(P$7:P1970,"应收"),"")</f>
      </c>
      <c r="R1970" s="78">
        <f>IF(P1970="应付",COUNTIF(P$7:P1970,"应付"),"")</f>
      </c>
      <c r="S1970" s="78">
        <f>N(F1970)-N(G1970)</f>
        <v>0</v>
      </c>
    </row>
    <row r="1971">
      <c r="A1971" s="109">
        <f>IF(AND(F1971="",G1971=""),"",ROW()-6)</f>
      </c>
      <c r="B1971" s="140" t="n"/>
      <c r="C1971" s="141" t="n"/>
      <c r="D1971" s="141" t="n"/>
      <c r="E1971" s="142" t="n"/>
      <c r="F1971" s="143" t="n"/>
      <c r="G1971" s="144" t="n"/>
      <c r="H1971" s="145">
        <f>IF(OR(C1971="",AND(F1971="",G1971="")),"",SUMIF(基础资料!$W$5:$W$24,C1971,基础资料!$X$5:$X$24)+SUMIF(C$7:C1971,C1971,F$7:F1971)-SUMIF(C$7:C1971,C1971,G$7:G1971))</f>
      </c>
      <c r="I1971" s="145">
        <f>IF(AND(F1971="",G1971=""),"",SUM(基础资料!$X$5:$X$24)+SUM(F$7:F1971)-SUM(G$7:G1971))</f>
      </c>
      <c r="J1971" s="141" t="n"/>
      <c r="K1971" s="141" t="n"/>
      <c r="L1971" s="141" t="n"/>
      <c r="M1971" s="142" t="n"/>
      <c r="N1971" s="146">
        <f>IF(AND(AND(F1971="",G1971=""),B1971="",C1971="",D1971="",J1971="",K1971="",L1971=""),"",IF(AND(F1971="",G1971=""),"✗ 没填金额",IF(AND(N(F1971)&lt;&gt;0,N(G1971)&lt;&gt;0),"✗ 收入、支出只能填一边",IF(NOT(ISNUMBER(B1971)),"✗ 日期不是真日期（要像 2026/9/25 这样填）",IF(OR(B1971&lt;年初日,B1971&gt;年末日),"✗ 日期不在本会计年度",IF(C1971="","✗ 没选账户",IF(COUNTIF(基础资料!$W$5:$W$24,C1971)=0,"✗ 账户不在基础资料里",IF(O1971="","✗ 没选收支项目",IF(P1971="未知","✗ 收支项目不在基础资料里",IF(AND(P1971="应收",J1971=""),"✗ 这笔要选客户",IF(AND(P1971="应收",COUNTIF(总览汇总!$B$5:$B$304,J1971)=0),"✗ 客户不在总览汇总名单里",IF(AND(P1971="应付",K1971=""),"✗ 这笔要选供应商",IF(AND(P1971="应付",COUNTIF(基础资料!$Q$5:$Q$54,K1971)=0),"✗ 供应商不在基础资料里",IF(AND(P1971="费用",L1971=""),"✗ 费用支出要选费用项目",IF(AND(L1971&lt;&gt;"",COUNTIF(基础资料!$AI$5:$AI$54,L1971)=0),"✗ 费用项目不在基础资料里",IF(AND(IFERROR(INDEX(基础资料!$AD$5:$AD$34,MATCH(O1971,基础资料!$AC$5:$AC$34,0)),"")="收",N(G1971)&lt;&gt;0),"✗ 这类是收款，金额填到收入列",IF(AND(IFERROR(INDEX(基础资料!$AD$5:$AD$34,MATCH(O1971,基础资料!$AC$5:$AC$34,0)),"")="支",N(F1971)&lt;&gt;0),"✗ 这类是付款，金额填到支出列",IF(N(H1971)&lt;0,"⚠ 账户余额成负数了，核对一下","√"))))))))))))))))))</f>
      </c>
      <c r="O1971" s="78">
        <f>IF(D1971&lt;&gt;"",D1971,IF(AND(F1971="",G1971=""),"",IF(J1971&lt;&gt;"",IF(N(F1971)&gt;0,"客户回款","客户退款"),IF(K1971&lt;&gt;"",IF(N(G1971)&gt;0,"供应商付款","供应商退款"),IF(L1971&lt;&gt;"","费用支出","")))))</f>
      </c>
      <c r="P1971" s="78">
        <f>IF(O1971="","",IFERROR(INDEX(基础资料!$AE$5:$AE$34,MATCH(O1971,基础资料!$AC$5:$AC$34,0)),"未知"))</f>
      </c>
      <c r="Q1971" s="78">
        <f>IF(P1971="应收",COUNTIF(P$7:P1971,"应收"),"")</f>
      </c>
      <c r="R1971" s="78">
        <f>IF(P1971="应付",COUNTIF(P$7:P1971,"应付"),"")</f>
      </c>
      <c r="S1971" s="78">
        <f>N(F1971)-N(G1971)</f>
        <v>0</v>
      </c>
    </row>
    <row r="1972">
      <c r="A1972" s="109">
        <f>IF(AND(F1972="",G1972=""),"",ROW()-6)</f>
      </c>
      <c r="B1972" s="140" t="n"/>
      <c r="C1972" s="141" t="n"/>
      <c r="D1972" s="141" t="n"/>
      <c r="E1972" s="142" t="n"/>
      <c r="F1972" s="143" t="n"/>
      <c r="G1972" s="144" t="n"/>
      <c r="H1972" s="145">
        <f>IF(OR(C1972="",AND(F1972="",G1972="")),"",SUMIF(基础资料!$W$5:$W$24,C1972,基础资料!$X$5:$X$24)+SUMIF(C$7:C1972,C1972,F$7:F1972)-SUMIF(C$7:C1972,C1972,G$7:G1972))</f>
      </c>
      <c r="I1972" s="145">
        <f>IF(AND(F1972="",G1972=""),"",SUM(基础资料!$X$5:$X$24)+SUM(F$7:F1972)-SUM(G$7:G1972))</f>
      </c>
      <c r="J1972" s="141" t="n"/>
      <c r="K1972" s="141" t="n"/>
      <c r="L1972" s="141" t="n"/>
      <c r="M1972" s="142" t="n"/>
      <c r="N1972" s="146">
        <f>IF(AND(AND(F1972="",G1972=""),B1972="",C1972="",D1972="",J1972="",K1972="",L1972=""),"",IF(AND(F1972="",G1972=""),"✗ 没填金额",IF(AND(N(F1972)&lt;&gt;0,N(G1972)&lt;&gt;0),"✗ 收入、支出只能填一边",IF(NOT(ISNUMBER(B1972)),"✗ 日期不是真日期（要像 2026/9/25 这样填）",IF(OR(B1972&lt;年初日,B1972&gt;年末日),"✗ 日期不在本会计年度",IF(C1972="","✗ 没选账户",IF(COUNTIF(基础资料!$W$5:$W$24,C1972)=0,"✗ 账户不在基础资料里",IF(O1972="","✗ 没选收支项目",IF(P1972="未知","✗ 收支项目不在基础资料里",IF(AND(P1972="应收",J1972=""),"✗ 这笔要选客户",IF(AND(P1972="应收",COUNTIF(总览汇总!$B$5:$B$304,J1972)=0),"✗ 客户不在总览汇总名单里",IF(AND(P1972="应付",K1972=""),"✗ 这笔要选供应商",IF(AND(P1972="应付",COUNTIF(基础资料!$Q$5:$Q$54,K1972)=0),"✗ 供应商不在基础资料里",IF(AND(P1972="费用",L1972=""),"✗ 费用支出要选费用项目",IF(AND(L1972&lt;&gt;"",COUNTIF(基础资料!$AI$5:$AI$54,L1972)=0),"✗ 费用项目不在基础资料里",IF(AND(IFERROR(INDEX(基础资料!$AD$5:$AD$34,MATCH(O1972,基础资料!$AC$5:$AC$34,0)),"")="收",N(G1972)&lt;&gt;0),"✗ 这类是收款，金额填到收入列",IF(AND(IFERROR(INDEX(基础资料!$AD$5:$AD$34,MATCH(O1972,基础资料!$AC$5:$AC$34,0)),"")="支",N(F1972)&lt;&gt;0),"✗ 这类是付款，金额填到支出列",IF(N(H1972)&lt;0,"⚠ 账户余额成负数了，核对一下","√"))))))))))))))))))</f>
      </c>
      <c r="O1972" s="78">
        <f>IF(D1972&lt;&gt;"",D1972,IF(AND(F1972="",G1972=""),"",IF(J1972&lt;&gt;"",IF(N(F1972)&gt;0,"客户回款","客户退款"),IF(K1972&lt;&gt;"",IF(N(G1972)&gt;0,"供应商付款","供应商退款"),IF(L1972&lt;&gt;"","费用支出","")))))</f>
      </c>
      <c r="P1972" s="78">
        <f>IF(O1972="","",IFERROR(INDEX(基础资料!$AE$5:$AE$34,MATCH(O1972,基础资料!$AC$5:$AC$34,0)),"未知"))</f>
      </c>
      <c r="Q1972" s="78">
        <f>IF(P1972="应收",COUNTIF(P$7:P1972,"应收"),"")</f>
      </c>
      <c r="R1972" s="78">
        <f>IF(P1972="应付",COUNTIF(P$7:P1972,"应付"),"")</f>
      </c>
      <c r="S1972" s="78">
        <f>N(F1972)-N(G1972)</f>
        <v>0</v>
      </c>
    </row>
    <row r="1973">
      <c r="A1973" s="109">
        <f>IF(AND(F1973="",G1973=""),"",ROW()-6)</f>
      </c>
      <c r="B1973" s="140" t="n"/>
      <c r="C1973" s="141" t="n"/>
      <c r="D1973" s="141" t="n"/>
      <c r="E1973" s="142" t="n"/>
      <c r="F1973" s="143" t="n"/>
      <c r="G1973" s="144" t="n"/>
      <c r="H1973" s="145">
        <f>IF(OR(C1973="",AND(F1973="",G1973="")),"",SUMIF(基础资料!$W$5:$W$24,C1973,基础资料!$X$5:$X$24)+SUMIF(C$7:C1973,C1973,F$7:F1973)-SUMIF(C$7:C1973,C1973,G$7:G1973))</f>
      </c>
      <c r="I1973" s="145">
        <f>IF(AND(F1973="",G1973=""),"",SUM(基础资料!$X$5:$X$24)+SUM(F$7:F1973)-SUM(G$7:G1973))</f>
      </c>
      <c r="J1973" s="141" t="n"/>
      <c r="K1973" s="141" t="n"/>
      <c r="L1973" s="141" t="n"/>
      <c r="M1973" s="142" t="n"/>
      <c r="N1973" s="146">
        <f>IF(AND(AND(F1973="",G1973=""),B1973="",C1973="",D1973="",J1973="",K1973="",L1973=""),"",IF(AND(F1973="",G1973=""),"✗ 没填金额",IF(AND(N(F1973)&lt;&gt;0,N(G1973)&lt;&gt;0),"✗ 收入、支出只能填一边",IF(NOT(ISNUMBER(B1973)),"✗ 日期不是真日期（要像 2026/9/25 这样填）",IF(OR(B1973&lt;年初日,B1973&gt;年末日),"✗ 日期不在本会计年度",IF(C1973="","✗ 没选账户",IF(COUNTIF(基础资料!$W$5:$W$24,C1973)=0,"✗ 账户不在基础资料里",IF(O1973="","✗ 没选收支项目",IF(P1973="未知","✗ 收支项目不在基础资料里",IF(AND(P1973="应收",J1973=""),"✗ 这笔要选客户",IF(AND(P1973="应收",COUNTIF(总览汇总!$B$5:$B$304,J1973)=0),"✗ 客户不在总览汇总名单里",IF(AND(P1973="应付",K1973=""),"✗ 这笔要选供应商",IF(AND(P1973="应付",COUNTIF(基础资料!$Q$5:$Q$54,K1973)=0),"✗ 供应商不在基础资料里",IF(AND(P1973="费用",L1973=""),"✗ 费用支出要选费用项目",IF(AND(L1973&lt;&gt;"",COUNTIF(基础资料!$AI$5:$AI$54,L1973)=0),"✗ 费用项目不在基础资料里",IF(AND(IFERROR(INDEX(基础资料!$AD$5:$AD$34,MATCH(O1973,基础资料!$AC$5:$AC$34,0)),"")="收",N(G1973)&lt;&gt;0),"✗ 这类是收款，金额填到收入列",IF(AND(IFERROR(INDEX(基础资料!$AD$5:$AD$34,MATCH(O1973,基础资料!$AC$5:$AC$34,0)),"")="支",N(F1973)&lt;&gt;0),"✗ 这类是付款，金额填到支出列",IF(N(H1973)&lt;0,"⚠ 账户余额成负数了，核对一下","√"))))))))))))))))))</f>
      </c>
      <c r="O1973" s="78">
        <f>IF(D1973&lt;&gt;"",D1973,IF(AND(F1973="",G1973=""),"",IF(J1973&lt;&gt;"",IF(N(F1973)&gt;0,"客户回款","客户退款"),IF(K1973&lt;&gt;"",IF(N(G1973)&gt;0,"供应商付款","供应商退款"),IF(L1973&lt;&gt;"","费用支出","")))))</f>
      </c>
      <c r="P1973" s="78">
        <f>IF(O1973="","",IFERROR(INDEX(基础资料!$AE$5:$AE$34,MATCH(O1973,基础资料!$AC$5:$AC$34,0)),"未知"))</f>
      </c>
      <c r="Q1973" s="78">
        <f>IF(P1973="应收",COUNTIF(P$7:P1973,"应收"),"")</f>
      </c>
      <c r="R1973" s="78">
        <f>IF(P1973="应付",COUNTIF(P$7:P1973,"应付"),"")</f>
      </c>
      <c r="S1973" s="78">
        <f>N(F1973)-N(G1973)</f>
        <v>0</v>
      </c>
    </row>
    <row r="1974">
      <c r="A1974" s="109">
        <f>IF(AND(F1974="",G1974=""),"",ROW()-6)</f>
      </c>
      <c r="B1974" s="140" t="n"/>
      <c r="C1974" s="141" t="n"/>
      <c r="D1974" s="141" t="n"/>
      <c r="E1974" s="142" t="n"/>
      <c r="F1974" s="143" t="n"/>
      <c r="G1974" s="144" t="n"/>
      <c r="H1974" s="145">
        <f>IF(OR(C1974="",AND(F1974="",G1974="")),"",SUMIF(基础资料!$W$5:$W$24,C1974,基础资料!$X$5:$X$24)+SUMIF(C$7:C1974,C1974,F$7:F1974)-SUMIF(C$7:C1974,C1974,G$7:G1974))</f>
      </c>
      <c r="I1974" s="145">
        <f>IF(AND(F1974="",G1974=""),"",SUM(基础资料!$X$5:$X$24)+SUM(F$7:F1974)-SUM(G$7:G1974))</f>
      </c>
      <c r="J1974" s="141" t="n"/>
      <c r="K1974" s="141" t="n"/>
      <c r="L1974" s="141" t="n"/>
      <c r="M1974" s="142" t="n"/>
      <c r="N1974" s="146">
        <f>IF(AND(AND(F1974="",G1974=""),B1974="",C1974="",D1974="",J1974="",K1974="",L1974=""),"",IF(AND(F1974="",G1974=""),"✗ 没填金额",IF(AND(N(F1974)&lt;&gt;0,N(G1974)&lt;&gt;0),"✗ 收入、支出只能填一边",IF(NOT(ISNUMBER(B1974)),"✗ 日期不是真日期（要像 2026/9/25 这样填）",IF(OR(B1974&lt;年初日,B1974&gt;年末日),"✗ 日期不在本会计年度",IF(C1974="","✗ 没选账户",IF(COUNTIF(基础资料!$W$5:$W$24,C1974)=0,"✗ 账户不在基础资料里",IF(O1974="","✗ 没选收支项目",IF(P1974="未知","✗ 收支项目不在基础资料里",IF(AND(P1974="应收",J1974=""),"✗ 这笔要选客户",IF(AND(P1974="应收",COUNTIF(总览汇总!$B$5:$B$304,J1974)=0),"✗ 客户不在总览汇总名单里",IF(AND(P1974="应付",K1974=""),"✗ 这笔要选供应商",IF(AND(P1974="应付",COUNTIF(基础资料!$Q$5:$Q$54,K1974)=0),"✗ 供应商不在基础资料里",IF(AND(P1974="费用",L1974=""),"✗ 费用支出要选费用项目",IF(AND(L1974&lt;&gt;"",COUNTIF(基础资料!$AI$5:$AI$54,L1974)=0),"✗ 费用项目不在基础资料里",IF(AND(IFERROR(INDEX(基础资料!$AD$5:$AD$34,MATCH(O1974,基础资料!$AC$5:$AC$34,0)),"")="收",N(G1974)&lt;&gt;0),"✗ 这类是收款，金额填到收入列",IF(AND(IFERROR(INDEX(基础资料!$AD$5:$AD$34,MATCH(O1974,基础资料!$AC$5:$AC$34,0)),"")="支",N(F1974)&lt;&gt;0),"✗ 这类是付款，金额填到支出列",IF(N(H1974)&lt;0,"⚠ 账户余额成负数了，核对一下","√"))))))))))))))))))</f>
      </c>
      <c r="O1974" s="78">
        <f>IF(D1974&lt;&gt;"",D1974,IF(AND(F1974="",G1974=""),"",IF(J1974&lt;&gt;"",IF(N(F1974)&gt;0,"客户回款","客户退款"),IF(K1974&lt;&gt;"",IF(N(G1974)&gt;0,"供应商付款","供应商退款"),IF(L1974&lt;&gt;"","费用支出","")))))</f>
      </c>
      <c r="P1974" s="78">
        <f>IF(O1974="","",IFERROR(INDEX(基础资料!$AE$5:$AE$34,MATCH(O1974,基础资料!$AC$5:$AC$34,0)),"未知"))</f>
      </c>
      <c r="Q1974" s="78">
        <f>IF(P1974="应收",COUNTIF(P$7:P1974,"应收"),"")</f>
      </c>
      <c r="R1974" s="78">
        <f>IF(P1974="应付",COUNTIF(P$7:P1974,"应付"),"")</f>
      </c>
      <c r="S1974" s="78">
        <f>N(F1974)-N(G1974)</f>
        <v>0</v>
      </c>
    </row>
    <row r="1975">
      <c r="A1975" s="109">
        <f>IF(AND(F1975="",G1975=""),"",ROW()-6)</f>
      </c>
      <c r="B1975" s="140" t="n"/>
      <c r="C1975" s="141" t="n"/>
      <c r="D1975" s="141" t="n"/>
      <c r="E1975" s="142" t="n"/>
      <c r="F1975" s="143" t="n"/>
      <c r="G1975" s="144" t="n"/>
      <c r="H1975" s="145">
        <f>IF(OR(C1975="",AND(F1975="",G1975="")),"",SUMIF(基础资料!$W$5:$W$24,C1975,基础资料!$X$5:$X$24)+SUMIF(C$7:C1975,C1975,F$7:F1975)-SUMIF(C$7:C1975,C1975,G$7:G1975))</f>
      </c>
      <c r="I1975" s="145">
        <f>IF(AND(F1975="",G1975=""),"",SUM(基础资料!$X$5:$X$24)+SUM(F$7:F1975)-SUM(G$7:G1975))</f>
      </c>
      <c r="J1975" s="141" t="n"/>
      <c r="K1975" s="141" t="n"/>
      <c r="L1975" s="141" t="n"/>
      <c r="M1975" s="142" t="n"/>
      <c r="N1975" s="146">
        <f>IF(AND(AND(F1975="",G1975=""),B1975="",C1975="",D1975="",J1975="",K1975="",L1975=""),"",IF(AND(F1975="",G1975=""),"✗ 没填金额",IF(AND(N(F1975)&lt;&gt;0,N(G1975)&lt;&gt;0),"✗ 收入、支出只能填一边",IF(NOT(ISNUMBER(B1975)),"✗ 日期不是真日期（要像 2026/9/25 这样填）",IF(OR(B1975&lt;年初日,B1975&gt;年末日),"✗ 日期不在本会计年度",IF(C1975="","✗ 没选账户",IF(COUNTIF(基础资料!$W$5:$W$24,C1975)=0,"✗ 账户不在基础资料里",IF(O1975="","✗ 没选收支项目",IF(P1975="未知","✗ 收支项目不在基础资料里",IF(AND(P1975="应收",J1975=""),"✗ 这笔要选客户",IF(AND(P1975="应收",COUNTIF(总览汇总!$B$5:$B$304,J1975)=0),"✗ 客户不在总览汇总名单里",IF(AND(P1975="应付",K1975=""),"✗ 这笔要选供应商",IF(AND(P1975="应付",COUNTIF(基础资料!$Q$5:$Q$54,K1975)=0),"✗ 供应商不在基础资料里",IF(AND(P1975="费用",L1975=""),"✗ 费用支出要选费用项目",IF(AND(L1975&lt;&gt;"",COUNTIF(基础资料!$AI$5:$AI$54,L1975)=0),"✗ 费用项目不在基础资料里",IF(AND(IFERROR(INDEX(基础资料!$AD$5:$AD$34,MATCH(O1975,基础资料!$AC$5:$AC$34,0)),"")="收",N(G1975)&lt;&gt;0),"✗ 这类是收款，金额填到收入列",IF(AND(IFERROR(INDEX(基础资料!$AD$5:$AD$34,MATCH(O1975,基础资料!$AC$5:$AC$34,0)),"")="支",N(F1975)&lt;&gt;0),"✗ 这类是付款，金额填到支出列",IF(N(H1975)&lt;0,"⚠ 账户余额成负数了，核对一下","√"))))))))))))))))))</f>
      </c>
      <c r="O1975" s="78">
        <f>IF(D1975&lt;&gt;"",D1975,IF(AND(F1975="",G1975=""),"",IF(J1975&lt;&gt;"",IF(N(F1975)&gt;0,"客户回款","客户退款"),IF(K1975&lt;&gt;"",IF(N(G1975)&gt;0,"供应商付款","供应商退款"),IF(L1975&lt;&gt;"","费用支出","")))))</f>
      </c>
      <c r="P1975" s="78">
        <f>IF(O1975="","",IFERROR(INDEX(基础资料!$AE$5:$AE$34,MATCH(O1975,基础资料!$AC$5:$AC$34,0)),"未知"))</f>
      </c>
      <c r="Q1975" s="78">
        <f>IF(P1975="应收",COUNTIF(P$7:P1975,"应收"),"")</f>
      </c>
      <c r="R1975" s="78">
        <f>IF(P1975="应付",COUNTIF(P$7:P1975,"应付"),"")</f>
      </c>
      <c r="S1975" s="78">
        <f>N(F1975)-N(G1975)</f>
        <v>0</v>
      </c>
    </row>
    <row r="1976">
      <c r="A1976" s="109">
        <f>IF(AND(F1976="",G1976=""),"",ROW()-6)</f>
      </c>
      <c r="B1976" s="140" t="n"/>
      <c r="C1976" s="141" t="n"/>
      <c r="D1976" s="141" t="n"/>
      <c r="E1976" s="142" t="n"/>
      <c r="F1976" s="143" t="n"/>
      <c r="G1976" s="144" t="n"/>
      <c r="H1976" s="145">
        <f>IF(OR(C1976="",AND(F1976="",G1976="")),"",SUMIF(基础资料!$W$5:$W$24,C1976,基础资料!$X$5:$X$24)+SUMIF(C$7:C1976,C1976,F$7:F1976)-SUMIF(C$7:C1976,C1976,G$7:G1976))</f>
      </c>
      <c r="I1976" s="145">
        <f>IF(AND(F1976="",G1976=""),"",SUM(基础资料!$X$5:$X$24)+SUM(F$7:F1976)-SUM(G$7:G1976))</f>
      </c>
      <c r="J1976" s="141" t="n"/>
      <c r="K1976" s="141" t="n"/>
      <c r="L1976" s="141" t="n"/>
      <c r="M1976" s="142" t="n"/>
      <c r="N1976" s="146">
        <f>IF(AND(AND(F1976="",G1976=""),B1976="",C1976="",D1976="",J1976="",K1976="",L1976=""),"",IF(AND(F1976="",G1976=""),"✗ 没填金额",IF(AND(N(F1976)&lt;&gt;0,N(G1976)&lt;&gt;0),"✗ 收入、支出只能填一边",IF(NOT(ISNUMBER(B1976)),"✗ 日期不是真日期（要像 2026/9/25 这样填）",IF(OR(B1976&lt;年初日,B1976&gt;年末日),"✗ 日期不在本会计年度",IF(C1976="","✗ 没选账户",IF(COUNTIF(基础资料!$W$5:$W$24,C1976)=0,"✗ 账户不在基础资料里",IF(O1976="","✗ 没选收支项目",IF(P1976="未知","✗ 收支项目不在基础资料里",IF(AND(P1976="应收",J1976=""),"✗ 这笔要选客户",IF(AND(P1976="应收",COUNTIF(总览汇总!$B$5:$B$304,J1976)=0),"✗ 客户不在总览汇总名单里",IF(AND(P1976="应付",K1976=""),"✗ 这笔要选供应商",IF(AND(P1976="应付",COUNTIF(基础资料!$Q$5:$Q$54,K1976)=0),"✗ 供应商不在基础资料里",IF(AND(P1976="费用",L1976=""),"✗ 费用支出要选费用项目",IF(AND(L1976&lt;&gt;"",COUNTIF(基础资料!$AI$5:$AI$54,L1976)=0),"✗ 费用项目不在基础资料里",IF(AND(IFERROR(INDEX(基础资料!$AD$5:$AD$34,MATCH(O1976,基础资料!$AC$5:$AC$34,0)),"")="收",N(G1976)&lt;&gt;0),"✗ 这类是收款，金额填到收入列",IF(AND(IFERROR(INDEX(基础资料!$AD$5:$AD$34,MATCH(O1976,基础资料!$AC$5:$AC$34,0)),"")="支",N(F1976)&lt;&gt;0),"✗ 这类是付款，金额填到支出列",IF(N(H1976)&lt;0,"⚠ 账户余额成负数了，核对一下","√"))))))))))))))))))</f>
      </c>
      <c r="O1976" s="78">
        <f>IF(D1976&lt;&gt;"",D1976,IF(AND(F1976="",G1976=""),"",IF(J1976&lt;&gt;"",IF(N(F1976)&gt;0,"客户回款","客户退款"),IF(K1976&lt;&gt;"",IF(N(G1976)&gt;0,"供应商付款","供应商退款"),IF(L1976&lt;&gt;"","费用支出","")))))</f>
      </c>
      <c r="P1976" s="78">
        <f>IF(O1976="","",IFERROR(INDEX(基础资料!$AE$5:$AE$34,MATCH(O1976,基础资料!$AC$5:$AC$34,0)),"未知"))</f>
      </c>
      <c r="Q1976" s="78">
        <f>IF(P1976="应收",COUNTIF(P$7:P1976,"应收"),"")</f>
      </c>
      <c r="R1976" s="78">
        <f>IF(P1976="应付",COUNTIF(P$7:P1976,"应付"),"")</f>
      </c>
      <c r="S1976" s="78">
        <f>N(F1976)-N(G1976)</f>
        <v>0</v>
      </c>
    </row>
    <row r="1977">
      <c r="A1977" s="109">
        <f>IF(AND(F1977="",G1977=""),"",ROW()-6)</f>
      </c>
      <c r="B1977" s="140" t="n"/>
      <c r="C1977" s="141" t="n"/>
      <c r="D1977" s="141" t="n"/>
      <c r="E1977" s="142" t="n"/>
      <c r="F1977" s="143" t="n"/>
      <c r="G1977" s="144" t="n"/>
      <c r="H1977" s="145">
        <f>IF(OR(C1977="",AND(F1977="",G1977="")),"",SUMIF(基础资料!$W$5:$W$24,C1977,基础资料!$X$5:$X$24)+SUMIF(C$7:C1977,C1977,F$7:F1977)-SUMIF(C$7:C1977,C1977,G$7:G1977))</f>
      </c>
      <c r="I1977" s="145">
        <f>IF(AND(F1977="",G1977=""),"",SUM(基础资料!$X$5:$X$24)+SUM(F$7:F1977)-SUM(G$7:G1977))</f>
      </c>
      <c r="J1977" s="141" t="n"/>
      <c r="K1977" s="141" t="n"/>
      <c r="L1977" s="141" t="n"/>
      <c r="M1977" s="142" t="n"/>
      <c r="N1977" s="146">
        <f>IF(AND(AND(F1977="",G1977=""),B1977="",C1977="",D1977="",J1977="",K1977="",L1977=""),"",IF(AND(F1977="",G1977=""),"✗ 没填金额",IF(AND(N(F1977)&lt;&gt;0,N(G1977)&lt;&gt;0),"✗ 收入、支出只能填一边",IF(NOT(ISNUMBER(B1977)),"✗ 日期不是真日期（要像 2026/9/25 这样填）",IF(OR(B1977&lt;年初日,B1977&gt;年末日),"✗ 日期不在本会计年度",IF(C1977="","✗ 没选账户",IF(COUNTIF(基础资料!$W$5:$W$24,C1977)=0,"✗ 账户不在基础资料里",IF(O1977="","✗ 没选收支项目",IF(P1977="未知","✗ 收支项目不在基础资料里",IF(AND(P1977="应收",J1977=""),"✗ 这笔要选客户",IF(AND(P1977="应收",COUNTIF(总览汇总!$B$5:$B$304,J1977)=0),"✗ 客户不在总览汇总名单里",IF(AND(P1977="应付",K1977=""),"✗ 这笔要选供应商",IF(AND(P1977="应付",COUNTIF(基础资料!$Q$5:$Q$54,K1977)=0),"✗ 供应商不在基础资料里",IF(AND(P1977="费用",L1977=""),"✗ 费用支出要选费用项目",IF(AND(L1977&lt;&gt;"",COUNTIF(基础资料!$AI$5:$AI$54,L1977)=0),"✗ 费用项目不在基础资料里",IF(AND(IFERROR(INDEX(基础资料!$AD$5:$AD$34,MATCH(O1977,基础资料!$AC$5:$AC$34,0)),"")="收",N(G1977)&lt;&gt;0),"✗ 这类是收款，金额填到收入列",IF(AND(IFERROR(INDEX(基础资料!$AD$5:$AD$34,MATCH(O1977,基础资料!$AC$5:$AC$34,0)),"")="支",N(F1977)&lt;&gt;0),"✗ 这类是付款，金额填到支出列",IF(N(H1977)&lt;0,"⚠ 账户余额成负数了，核对一下","√"))))))))))))))))))</f>
      </c>
      <c r="O1977" s="78">
        <f>IF(D1977&lt;&gt;"",D1977,IF(AND(F1977="",G1977=""),"",IF(J1977&lt;&gt;"",IF(N(F1977)&gt;0,"客户回款","客户退款"),IF(K1977&lt;&gt;"",IF(N(G1977)&gt;0,"供应商付款","供应商退款"),IF(L1977&lt;&gt;"","费用支出","")))))</f>
      </c>
      <c r="P1977" s="78">
        <f>IF(O1977="","",IFERROR(INDEX(基础资料!$AE$5:$AE$34,MATCH(O1977,基础资料!$AC$5:$AC$34,0)),"未知"))</f>
      </c>
      <c r="Q1977" s="78">
        <f>IF(P1977="应收",COUNTIF(P$7:P1977,"应收"),"")</f>
      </c>
      <c r="R1977" s="78">
        <f>IF(P1977="应付",COUNTIF(P$7:P1977,"应付"),"")</f>
      </c>
      <c r="S1977" s="78">
        <f>N(F1977)-N(G1977)</f>
        <v>0</v>
      </c>
    </row>
    <row r="1978">
      <c r="A1978" s="109">
        <f>IF(AND(F1978="",G1978=""),"",ROW()-6)</f>
      </c>
      <c r="B1978" s="140" t="n"/>
      <c r="C1978" s="141" t="n"/>
      <c r="D1978" s="141" t="n"/>
      <c r="E1978" s="142" t="n"/>
      <c r="F1978" s="143" t="n"/>
      <c r="G1978" s="144" t="n"/>
      <c r="H1978" s="145">
        <f>IF(OR(C1978="",AND(F1978="",G1978="")),"",SUMIF(基础资料!$W$5:$W$24,C1978,基础资料!$X$5:$X$24)+SUMIF(C$7:C1978,C1978,F$7:F1978)-SUMIF(C$7:C1978,C1978,G$7:G1978))</f>
      </c>
      <c r="I1978" s="145">
        <f>IF(AND(F1978="",G1978=""),"",SUM(基础资料!$X$5:$X$24)+SUM(F$7:F1978)-SUM(G$7:G1978))</f>
      </c>
      <c r="J1978" s="141" t="n"/>
      <c r="K1978" s="141" t="n"/>
      <c r="L1978" s="141" t="n"/>
      <c r="M1978" s="142" t="n"/>
      <c r="N1978" s="146">
        <f>IF(AND(AND(F1978="",G1978=""),B1978="",C1978="",D1978="",J1978="",K1978="",L1978=""),"",IF(AND(F1978="",G1978=""),"✗ 没填金额",IF(AND(N(F1978)&lt;&gt;0,N(G1978)&lt;&gt;0),"✗ 收入、支出只能填一边",IF(NOT(ISNUMBER(B1978)),"✗ 日期不是真日期（要像 2026/9/25 这样填）",IF(OR(B1978&lt;年初日,B1978&gt;年末日),"✗ 日期不在本会计年度",IF(C1978="","✗ 没选账户",IF(COUNTIF(基础资料!$W$5:$W$24,C1978)=0,"✗ 账户不在基础资料里",IF(O1978="","✗ 没选收支项目",IF(P1978="未知","✗ 收支项目不在基础资料里",IF(AND(P1978="应收",J1978=""),"✗ 这笔要选客户",IF(AND(P1978="应收",COUNTIF(总览汇总!$B$5:$B$304,J1978)=0),"✗ 客户不在总览汇总名单里",IF(AND(P1978="应付",K1978=""),"✗ 这笔要选供应商",IF(AND(P1978="应付",COUNTIF(基础资料!$Q$5:$Q$54,K1978)=0),"✗ 供应商不在基础资料里",IF(AND(P1978="费用",L1978=""),"✗ 费用支出要选费用项目",IF(AND(L1978&lt;&gt;"",COUNTIF(基础资料!$AI$5:$AI$54,L1978)=0),"✗ 费用项目不在基础资料里",IF(AND(IFERROR(INDEX(基础资料!$AD$5:$AD$34,MATCH(O1978,基础资料!$AC$5:$AC$34,0)),"")="收",N(G1978)&lt;&gt;0),"✗ 这类是收款，金额填到收入列",IF(AND(IFERROR(INDEX(基础资料!$AD$5:$AD$34,MATCH(O1978,基础资料!$AC$5:$AC$34,0)),"")="支",N(F1978)&lt;&gt;0),"✗ 这类是付款，金额填到支出列",IF(N(H1978)&lt;0,"⚠ 账户余额成负数了，核对一下","√"))))))))))))))))))</f>
      </c>
      <c r="O1978" s="78">
        <f>IF(D1978&lt;&gt;"",D1978,IF(AND(F1978="",G1978=""),"",IF(J1978&lt;&gt;"",IF(N(F1978)&gt;0,"客户回款","客户退款"),IF(K1978&lt;&gt;"",IF(N(G1978)&gt;0,"供应商付款","供应商退款"),IF(L1978&lt;&gt;"","费用支出","")))))</f>
      </c>
      <c r="P1978" s="78">
        <f>IF(O1978="","",IFERROR(INDEX(基础资料!$AE$5:$AE$34,MATCH(O1978,基础资料!$AC$5:$AC$34,0)),"未知"))</f>
      </c>
      <c r="Q1978" s="78">
        <f>IF(P1978="应收",COUNTIF(P$7:P1978,"应收"),"")</f>
      </c>
      <c r="R1978" s="78">
        <f>IF(P1978="应付",COUNTIF(P$7:P1978,"应付"),"")</f>
      </c>
      <c r="S1978" s="78">
        <f>N(F1978)-N(G1978)</f>
        <v>0</v>
      </c>
    </row>
    <row r="1979">
      <c r="A1979" s="109">
        <f>IF(AND(F1979="",G1979=""),"",ROW()-6)</f>
      </c>
      <c r="B1979" s="140" t="n"/>
      <c r="C1979" s="141" t="n"/>
      <c r="D1979" s="141" t="n"/>
      <c r="E1979" s="142" t="n"/>
      <c r="F1979" s="143" t="n"/>
      <c r="G1979" s="144" t="n"/>
      <c r="H1979" s="145">
        <f>IF(OR(C1979="",AND(F1979="",G1979="")),"",SUMIF(基础资料!$W$5:$W$24,C1979,基础资料!$X$5:$X$24)+SUMIF(C$7:C1979,C1979,F$7:F1979)-SUMIF(C$7:C1979,C1979,G$7:G1979))</f>
      </c>
      <c r="I1979" s="145">
        <f>IF(AND(F1979="",G1979=""),"",SUM(基础资料!$X$5:$X$24)+SUM(F$7:F1979)-SUM(G$7:G1979))</f>
      </c>
      <c r="J1979" s="141" t="n"/>
      <c r="K1979" s="141" t="n"/>
      <c r="L1979" s="141" t="n"/>
      <c r="M1979" s="142" t="n"/>
      <c r="N1979" s="146">
        <f>IF(AND(AND(F1979="",G1979=""),B1979="",C1979="",D1979="",J1979="",K1979="",L1979=""),"",IF(AND(F1979="",G1979=""),"✗ 没填金额",IF(AND(N(F1979)&lt;&gt;0,N(G1979)&lt;&gt;0),"✗ 收入、支出只能填一边",IF(NOT(ISNUMBER(B1979)),"✗ 日期不是真日期（要像 2026/9/25 这样填）",IF(OR(B1979&lt;年初日,B1979&gt;年末日),"✗ 日期不在本会计年度",IF(C1979="","✗ 没选账户",IF(COUNTIF(基础资料!$W$5:$W$24,C1979)=0,"✗ 账户不在基础资料里",IF(O1979="","✗ 没选收支项目",IF(P1979="未知","✗ 收支项目不在基础资料里",IF(AND(P1979="应收",J1979=""),"✗ 这笔要选客户",IF(AND(P1979="应收",COUNTIF(总览汇总!$B$5:$B$304,J1979)=0),"✗ 客户不在总览汇总名单里",IF(AND(P1979="应付",K1979=""),"✗ 这笔要选供应商",IF(AND(P1979="应付",COUNTIF(基础资料!$Q$5:$Q$54,K1979)=0),"✗ 供应商不在基础资料里",IF(AND(P1979="费用",L1979=""),"✗ 费用支出要选费用项目",IF(AND(L1979&lt;&gt;"",COUNTIF(基础资料!$AI$5:$AI$54,L1979)=0),"✗ 费用项目不在基础资料里",IF(AND(IFERROR(INDEX(基础资料!$AD$5:$AD$34,MATCH(O1979,基础资料!$AC$5:$AC$34,0)),"")="收",N(G1979)&lt;&gt;0),"✗ 这类是收款，金额填到收入列",IF(AND(IFERROR(INDEX(基础资料!$AD$5:$AD$34,MATCH(O1979,基础资料!$AC$5:$AC$34,0)),"")="支",N(F1979)&lt;&gt;0),"✗ 这类是付款，金额填到支出列",IF(N(H1979)&lt;0,"⚠ 账户余额成负数了，核对一下","√"))))))))))))))))))</f>
      </c>
      <c r="O1979" s="78">
        <f>IF(D1979&lt;&gt;"",D1979,IF(AND(F1979="",G1979=""),"",IF(J1979&lt;&gt;"",IF(N(F1979)&gt;0,"客户回款","客户退款"),IF(K1979&lt;&gt;"",IF(N(G1979)&gt;0,"供应商付款","供应商退款"),IF(L1979&lt;&gt;"","费用支出","")))))</f>
      </c>
      <c r="P1979" s="78">
        <f>IF(O1979="","",IFERROR(INDEX(基础资料!$AE$5:$AE$34,MATCH(O1979,基础资料!$AC$5:$AC$34,0)),"未知"))</f>
      </c>
      <c r="Q1979" s="78">
        <f>IF(P1979="应收",COUNTIF(P$7:P1979,"应收"),"")</f>
      </c>
      <c r="R1979" s="78">
        <f>IF(P1979="应付",COUNTIF(P$7:P1979,"应付"),"")</f>
      </c>
      <c r="S1979" s="78">
        <f>N(F1979)-N(G1979)</f>
        <v>0</v>
      </c>
    </row>
    <row r="1980">
      <c r="A1980" s="109">
        <f>IF(AND(F1980="",G1980=""),"",ROW()-6)</f>
      </c>
      <c r="B1980" s="140" t="n"/>
      <c r="C1980" s="141" t="n"/>
      <c r="D1980" s="141" t="n"/>
      <c r="E1980" s="142" t="n"/>
      <c r="F1980" s="143" t="n"/>
      <c r="G1980" s="144" t="n"/>
      <c r="H1980" s="145">
        <f>IF(OR(C1980="",AND(F1980="",G1980="")),"",SUMIF(基础资料!$W$5:$W$24,C1980,基础资料!$X$5:$X$24)+SUMIF(C$7:C1980,C1980,F$7:F1980)-SUMIF(C$7:C1980,C1980,G$7:G1980))</f>
      </c>
      <c r="I1980" s="145">
        <f>IF(AND(F1980="",G1980=""),"",SUM(基础资料!$X$5:$X$24)+SUM(F$7:F1980)-SUM(G$7:G1980))</f>
      </c>
      <c r="J1980" s="141" t="n"/>
      <c r="K1980" s="141" t="n"/>
      <c r="L1980" s="141" t="n"/>
      <c r="M1980" s="142" t="n"/>
      <c r="N1980" s="146">
        <f>IF(AND(AND(F1980="",G1980=""),B1980="",C1980="",D1980="",J1980="",K1980="",L1980=""),"",IF(AND(F1980="",G1980=""),"✗ 没填金额",IF(AND(N(F1980)&lt;&gt;0,N(G1980)&lt;&gt;0),"✗ 收入、支出只能填一边",IF(NOT(ISNUMBER(B1980)),"✗ 日期不是真日期（要像 2026/9/25 这样填）",IF(OR(B1980&lt;年初日,B1980&gt;年末日),"✗ 日期不在本会计年度",IF(C1980="","✗ 没选账户",IF(COUNTIF(基础资料!$W$5:$W$24,C1980)=0,"✗ 账户不在基础资料里",IF(O1980="","✗ 没选收支项目",IF(P1980="未知","✗ 收支项目不在基础资料里",IF(AND(P1980="应收",J1980=""),"✗ 这笔要选客户",IF(AND(P1980="应收",COUNTIF(总览汇总!$B$5:$B$304,J1980)=0),"✗ 客户不在总览汇总名单里",IF(AND(P1980="应付",K1980=""),"✗ 这笔要选供应商",IF(AND(P1980="应付",COUNTIF(基础资料!$Q$5:$Q$54,K1980)=0),"✗ 供应商不在基础资料里",IF(AND(P1980="费用",L1980=""),"✗ 费用支出要选费用项目",IF(AND(L1980&lt;&gt;"",COUNTIF(基础资料!$AI$5:$AI$54,L1980)=0),"✗ 费用项目不在基础资料里",IF(AND(IFERROR(INDEX(基础资料!$AD$5:$AD$34,MATCH(O1980,基础资料!$AC$5:$AC$34,0)),"")="收",N(G1980)&lt;&gt;0),"✗ 这类是收款，金额填到收入列",IF(AND(IFERROR(INDEX(基础资料!$AD$5:$AD$34,MATCH(O1980,基础资料!$AC$5:$AC$34,0)),"")="支",N(F1980)&lt;&gt;0),"✗ 这类是付款，金额填到支出列",IF(N(H1980)&lt;0,"⚠ 账户余额成负数了，核对一下","√"))))))))))))))))))</f>
      </c>
      <c r="O1980" s="78">
        <f>IF(D1980&lt;&gt;"",D1980,IF(AND(F1980="",G1980=""),"",IF(J1980&lt;&gt;"",IF(N(F1980)&gt;0,"客户回款","客户退款"),IF(K1980&lt;&gt;"",IF(N(G1980)&gt;0,"供应商付款","供应商退款"),IF(L1980&lt;&gt;"","费用支出","")))))</f>
      </c>
      <c r="P1980" s="78">
        <f>IF(O1980="","",IFERROR(INDEX(基础资料!$AE$5:$AE$34,MATCH(O1980,基础资料!$AC$5:$AC$34,0)),"未知"))</f>
      </c>
      <c r="Q1980" s="78">
        <f>IF(P1980="应收",COUNTIF(P$7:P1980,"应收"),"")</f>
      </c>
      <c r="R1980" s="78">
        <f>IF(P1980="应付",COUNTIF(P$7:P1980,"应付"),"")</f>
      </c>
      <c r="S1980" s="78">
        <f>N(F1980)-N(G1980)</f>
        <v>0</v>
      </c>
    </row>
    <row r="1981">
      <c r="A1981" s="109">
        <f>IF(AND(F1981="",G1981=""),"",ROW()-6)</f>
      </c>
      <c r="B1981" s="140" t="n"/>
      <c r="C1981" s="141" t="n"/>
      <c r="D1981" s="141" t="n"/>
      <c r="E1981" s="142" t="n"/>
      <c r="F1981" s="143" t="n"/>
      <c r="G1981" s="144" t="n"/>
      <c r="H1981" s="145">
        <f>IF(OR(C1981="",AND(F1981="",G1981="")),"",SUMIF(基础资料!$W$5:$W$24,C1981,基础资料!$X$5:$X$24)+SUMIF(C$7:C1981,C1981,F$7:F1981)-SUMIF(C$7:C1981,C1981,G$7:G1981))</f>
      </c>
      <c r="I1981" s="145">
        <f>IF(AND(F1981="",G1981=""),"",SUM(基础资料!$X$5:$X$24)+SUM(F$7:F1981)-SUM(G$7:G1981))</f>
      </c>
      <c r="J1981" s="141" t="n"/>
      <c r="K1981" s="141" t="n"/>
      <c r="L1981" s="141" t="n"/>
      <c r="M1981" s="142" t="n"/>
      <c r="N1981" s="146">
        <f>IF(AND(AND(F1981="",G1981=""),B1981="",C1981="",D1981="",J1981="",K1981="",L1981=""),"",IF(AND(F1981="",G1981=""),"✗ 没填金额",IF(AND(N(F1981)&lt;&gt;0,N(G1981)&lt;&gt;0),"✗ 收入、支出只能填一边",IF(NOT(ISNUMBER(B1981)),"✗ 日期不是真日期（要像 2026/9/25 这样填）",IF(OR(B1981&lt;年初日,B1981&gt;年末日),"✗ 日期不在本会计年度",IF(C1981="","✗ 没选账户",IF(COUNTIF(基础资料!$W$5:$W$24,C1981)=0,"✗ 账户不在基础资料里",IF(O1981="","✗ 没选收支项目",IF(P1981="未知","✗ 收支项目不在基础资料里",IF(AND(P1981="应收",J1981=""),"✗ 这笔要选客户",IF(AND(P1981="应收",COUNTIF(总览汇总!$B$5:$B$304,J1981)=0),"✗ 客户不在总览汇总名单里",IF(AND(P1981="应付",K1981=""),"✗ 这笔要选供应商",IF(AND(P1981="应付",COUNTIF(基础资料!$Q$5:$Q$54,K1981)=0),"✗ 供应商不在基础资料里",IF(AND(P1981="费用",L1981=""),"✗ 费用支出要选费用项目",IF(AND(L1981&lt;&gt;"",COUNTIF(基础资料!$AI$5:$AI$54,L1981)=0),"✗ 费用项目不在基础资料里",IF(AND(IFERROR(INDEX(基础资料!$AD$5:$AD$34,MATCH(O1981,基础资料!$AC$5:$AC$34,0)),"")="收",N(G1981)&lt;&gt;0),"✗ 这类是收款，金额填到收入列",IF(AND(IFERROR(INDEX(基础资料!$AD$5:$AD$34,MATCH(O1981,基础资料!$AC$5:$AC$34,0)),"")="支",N(F1981)&lt;&gt;0),"✗ 这类是付款，金额填到支出列",IF(N(H1981)&lt;0,"⚠ 账户余额成负数了，核对一下","√"))))))))))))))))))</f>
      </c>
      <c r="O1981" s="78">
        <f>IF(D1981&lt;&gt;"",D1981,IF(AND(F1981="",G1981=""),"",IF(J1981&lt;&gt;"",IF(N(F1981)&gt;0,"客户回款","客户退款"),IF(K1981&lt;&gt;"",IF(N(G1981)&gt;0,"供应商付款","供应商退款"),IF(L1981&lt;&gt;"","费用支出","")))))</f>
      </c>
      <c r="P1981" s="78">
        <f>IF(O1981="","",IFERROR(INDEX(基础资料!$AE$5:$AE$34,MATCH(O1981,基础资料!$AC$5:$AC$34,0)),"未知"))</f>
      </c>
      <c r="Q1981" s="78">
        <f>IF(P1981="应收",COUNTIF(P$7:P1981,"应收"),"")</f>
      </c>
      <c r="R1981" s="78">
        <f>IF(P1981="应付",COUNTIF(P$7:P1981,"应付"),"")</f>
      </c>
      <c r="S1981" s="78">
        <f>N(F1981)-N(G1981)</f>
        <v>0</v>
      </c>
    </row>
    <row r="1982">
      <c r="A1982" s="109">
        <f>IF(AND(F1982="",G1982=""),"",ROW()-6)</f>
      </c>
      <c r="B1982" s="140" t="n"/>
      <c r="C1982" s="141" t="n"/>
      <c r="D1982" s="141" t="n"/>
      <c r="E1982" s="142" t="n"/>
      <c r="F1982" s="143" t="n"/>
      <c r="G1982" s="144" t="n"/>
      <c r="H1982" s="145">
        <f>IF(OR(C1982="",AND(F1982="",G1982="")),"",SUMIF(基础资料!$W$5:$W$24,C1982,基础资料!$X$5:$X$24)+SUMIF(C$7:C1982,C1982,F$7:F1982)-SUMIF(C$7:C1982,C1982,G$7:G1982))</f>
      </c>
      <c r="I1982" s="145">
        <f>IF(AND(F1982="",G1982=""),"",SUM(基础资料!$X$5:$X$24)+SUM(F$7:F1982)-SUM(G$7:G1982))</f>
      </c>
      <c r="J1982" s="141" t="n"/>
      <c r="K1982" s="141" t="n"/>
      <c r="L1982" s="141" t="n"/>
      <c r="M1982" s="142" t="n"/>
      <c r="N1982" s="146">
        <f>IF(AND(AND(F1982="",G1982=""),B1982="",C1982="",D1982="",J1982="",K1982="",L1982=""),"",IF(AND(F1982="",G1982=""),"✗ 没填金额",IF(AND(N(F1982)&lt;&gt;0,N(G1982)&lt;&gt;0),"✗ 收入、支出只能填一边",IF(NOT(ISNUMBER(B1982)),"✗ 日期不是真日期（要像 2026/9/25 这样填）",IF(OR(B1982&lt;年初日,B1982&gt;年末日),"✗ 日期不在本会计年度",IF(C1982="","✗ 没选账户",IF(COUNTIF(基础资料!$W$5:$W$24,C1982)=0,"✗ 账户不在基础资料里",IF(O1982="","✗ 没选收支项目",IF(P1982="未知","✗ 收支项目不在基础资料里",IF(AND(P1982="应收",J1982=""),"✗ 这笔要选客户",IF(AND(P1982="应收",COUNTIF(总览汇总!$B$5:$B$304,J1982)=0),"✗ 客户不在总览汇总名单里",IF(AND(P1982="应付",K1982=""),"✗ 这笔要选供应商",IF(AND(P1982="应付",COUNTIF(基础资料!$Q$5:$Q$54,K1982)=0),"✗ 供应商不在基础资料里",IF(AND(P1982="费用",L1982=""),"✗ 费用支出要选费用项目",IF(AND(L1982&lt;&gt;"",COUNTIF(基础资料!$AI$5:$AI$54,L1982)=0),"✗ 费用项目不在基础资料里",IF(AND(IFERROR(INDEX(基础资料!$AD$5:$AD$34,MATCH(O1982,基础资料!$AC$5:$AC$34,0)),"")="收",N(G1982)&lt;&gt;0),"✗ 这类是收款，金额填到收入列",IF(AND(IFERROR(INDEX(基础资料!$AD$5:$AD$34,MATCH(O1982,基础资料!$AC$5:$AC$34,0)),"")="支",N(F1982)&lt;&gt;0),"✗ 这类是付款，金额填到支出列",IF(N(H1982)&lt;0,"⚠ 账户余额成负数了，核对一下","√"))))))))))))))))))</f>
      </c>
      <c r="O1982" s="78">
        <f>IF(D1982&lt;&gt;"",D1982,IF(AND(F1982="",G1982=""),"",IF(J1982&lt;&gt;"",IF(N(F1982)&gt;0,"客户回款","客户退款"),IF(K1982&lt;&gt;"",IF(N(G1982)&gt;0,"供应商付款","供应商退款"),IF(L1982&lt;&gt;"","费用支出","")))))</f>
      </c>
      <c r="P1982" s="78">
        <f>IF(O1982="","",IFERROR(INDEX(基础资料!$AE$5:$AE$34,MATCH(O1982,基础资料!$AC$5:$AC$34,0)),"未知"))</f>
      </c>
      <c r="Q1982" s="78">
        <f>IF(P1982="应收",COUNTIF(P$7:P1982,"应收"),"")</f>
      </c>
      <c r="R1982" s="78">
        <f>IF(P1982="应付",COUNTIF(P$7:P1982,"应付"),"")</f>
      </c>
      <c r="S1982" s="78">
        <f>N(F1982)-N(G1982)</f>
        <v>0</v>
      </c>
    </row>
    <row r="1983">
      <c r="A1983" s="109">
        <f>IF(AND(F1983="",G1983=""),"",ROW()-6)</f>
      </c>
      <c r="B1983" s="140" t="n"/>
      <c r="C1983" s="141" t="n"/>
      <c r="D1983" s="141" t="n"/>
      <c r="E1983" s="142" t="n"/>
      <c r="F1983" s="143" t="n"/>
      <c r="G1983" s="144" t="n"/>
      <c r="H1983" s="145">
        <f>IF(OR(C1983="",AND(F1983="",G1983="")),"",SUMIF(基础资料!$W$5:$W$24,C1983,基础资料!$X$5:$X$24)+SUMIF(C$7:C1983,C1983,F$7:F1983)-SUMIF(C$7:C1983,C1983,G$7:G1983))</f>
      </c>
      <c r="I1983" s="145">
        <f>IF(AND(F1983="",G1983=""),"",SUM(基础资料!$X$5:$X$24)+SUM(F$7:F1983)-SUM(G$7:G1983))</f>
      </c>
      <c r="J1983" s="141" t="n"/>
      <c r="K1983" s="141" t="n"/>
      <c r="L1983" s="141" t="n"/>
      <c r="M1983" s="142" t="n"/>
      <c r="N1983" s="146">
        <f>IF(AND(AND(F1983="",G1983=""),B1983="",C1983="",D1983="",J1983="",K1983="",L1983=""),"",IF(AND(F1983="",G1983=""),"✗ 没填金额",IF(AND(N(F1983)&lt;&gt;0,N(G1983)&lt;&gt;0),"✗ 收入、支出只能填一边",IF(NOT(ISNUMBER(B1983)),"✗ 日期不是真日期（要像 2026/9/25 这样填）",IF(OR(B1983&lt;年初日,B1983&gt;年末日),"✗ 日期不在本会计年度",IF(C1983="","✗ 没选账户",IF(COUNTIF(基础资料!$W$5:$W$24,C1983)=0,"✗ 账户不在基础资料里",IF(O1983="","✗ 没选收支项目",IF(P1983="未知","✗ 收支项目不在基础资料里",IF(AND(P1983="应收",J1983=""),"✗ 这笔要选客户",IF(AND(P1983="应收",COUNTIF(总览汇总!$B$5:$B$304,J1983)=0),"✗ 客户不在总览汇总名单里",IF(AND(P1983="应付",K1983=""),"✗ 这笔要选供应商",IF(AND(P1983="应付",COUNTIF(基础资料!$Q$5:$Q$54,K1983)=0),"✗ 供应商不在基础资料里",IF(AND(P1983="费用",L1983=""),"✗ 费用支出要选费用项目",IF(AND(L1983&lt;&gt;"",COUNTIF(基础资料!$AI$5:$AI$54,L1983)=0),"✗ 费用项目不在基础资料里",IF(AND(IFERROR(INDEX(基础资料!$AD$5:$AD$34,MATCH(O1983,基础资料!$AC$5:$AC$34,0)),"")="收",N(G1983)&lt;&gt;0),"✗ 这类是收款，金额填到收入列",IF(AND(IFERROR(INDEX(基础资料!$AD$5:$AD$34,MATCH(O1983,基础资料!$AC$5:$AC$34,0)),"")="支",N(F1983)&lt;&gt;0),"✗ 这类是付款，金额填到支出列",IF(N(H1983)&lt;0,"⚠ 账户余额成负数了，核对一下","√"))))))))))))))))))</f>
      </c>
      <c r="O1983" s="78">
        <f>IF(D1983&lt;&gt;"",D1983,IF(AND(F1983="",G1983=""),"",IF(J1983&lt;&gt;"",IF(N(F1983)&gt;0,"客户回款","客户退款"),IF(K1983&lt;&gt;"",IF(N(G1983)&gt;0,"供应商付款","供应商退款"),IF(L1983&lt;&gt;"","费用支出","")))))</f>
      </c>
      <c r="P1983" s="78">
        <f>IF(O1983="","",IFERROR(INDEX(基础资料!$AE$5:$AE$34,MATCH(O1983,基础资料!$AC$5:$AC$34,0)),"未知"))</f>
      </c>
      <c r="Q1983" s="78">
        <f>IF(P1983="应收",COUNTIF(P$7:P1983,"应收"),"")</f>
      </c>
      <c r="R1983" s="78">
        <f>IF(P1983="应付",COUNTIF(P$7:P1983,"应付"),"")</f>
      </c>
      <c r="S1983" s="78">
        <f>N(F1983)-N(G1983)</f>
        <v>0</v>
      </c>
    </row>
    <row r="1984">
      <c r="A1984" s="109">
        <f>IF(AND(F1984="",G1984=""),"",ROW()-6)</f>
      </c>
      <c r="B1984" s="140" t="n"/>
      <c r="C1984" s="141" t="n"/>
      <c r="D1984" s="141" t="n"/>
      <c r="E1984" s="142" t="n"/>
      <c r="F1984" s="143" t="n"/>
      <c r="G1984" s="144" t="n"/>
      <c r="H1984" s="145">
        <f>IF(OR(C1984="",AND(F1984="",G1984="")),"",SUMIF(基础资料!$W$5:$W$24,C1984,基础资料!$X$5:$X$24)+SUMIF(C$7:C1984,C1984,F$7:F1984)-SUMIF(C$7:C1984,C1984,G$7:G1984))</f>
      </c>
      <c r="I1984" s="145">
        <f>IF(AND(F1984="",G1984=""),"",SUM(基础资料!$X$5:$X$24)+SUM(F$7:F1984)-SUM(G$7:G1984))</f>
      </c>
      <c r="J1984" s="141" t="n"/>
      <c r="K1984" s="141" t="n"/>
      <c r="L1984" s="141" t="n"/>
      <c r="M1984" s="142" t="n"/>
      <c r="N1984" s="146">
        <f>IF(AND(AND(F1984="",G1984=""),B1984="",C1984="",D1984="",J1984="",K1984="",L1984=""),"",IF(AND(F1984="",G1984=""),"✗ 没填金额",IF(AND(N(F1984)&lt;&gt;0,N(G1984)&lt;&gt;0),"✗ 收入、支出只能填一边",IF(NOT(ISNUMBER(B1984)),"✗ 日期不是真日期（要像 2026/9/25 这样填）",IF(OR(B1984&lt;年初日,B1984&gt;年末日),"✗ 日期不在本会计年度",IF(C1984="","✗ 没选账户",IF(COUNTIF(基础资料!$W$5:$W$24,C1984)=0,"✗ 账户不在基础资料里",IF(O1984="","✗ 没选收支项目",IF(P1984="未知","✗ 收支项目不在基础资料里",IF(AND(P1984="应收",J1984=""),"✗ 这笔要选客户",IF(AND(P1984="应收",COUNTIF(总览汇总!$B$5:$B$304,J1984)=0),"✗ 客户不在总览汇总名单里",IF(AND(P1984="应付",K1984=""),"✗ 这笔要选供应商",IF(AND(P1984="应付",COUNTIF(基础资料!$Q$5:$Q$54,K1984)=0),"✗ 供应商不在基础资料里",IF(AND(P1984="费用",L1984=""),"✗ 费用支出要选费用项目",IF(AND(L1984&lt;&gt;"",COUNTIF(基础资料!$AI$5:$AI$54,L1984)=0),"✗ 费用项目不在基础资料里",IF(AND(IFERROR(INDEX(基础资料!$AD$5:$AD$34,MATCH(O1984,基础资料!$AC$5:$AC$34,0)),"")="收",N(G1984)&lt;&gt;0),"✗ 这类是收款，金额填到收入列",IF(AND(IFERROR(INDEX(基础资料!$AD$5:$AD$34,MATCH(O1984,基础资料!$AC$5:$AC$34,0)),"")="支",N(F1984)&lt;&gt;0),"✗ 这类是付款，金额填到支出列",IF(N(H1984)&lt;0,"⚠ 账户余额成负数了，核对一下","√"))))))))))))))))))</f>
      </c>
      <c r="O1984" s="78">
        <f>IF(D1984&lt;&gt;"",D1984,IF(AND(F1984="",G1984=""),"",IF(J1984&lt;&gt;"",IF(N(F1984)&gt;0,"客户回款","客户退款"),IF(K1984&lt;&gt;"",IF(N(G1984)&gt;0,"供应商付款","供应商退款"),IF(L1984&lt;&gt;"","费用支出","")))))</f>
      </c>
      <c r="P1984" s="78">
        <f>IF(O1984="","",IFERROR(INDEX(基础资料!$AE$5:$AE$34,MATCH(O1984,基础资料!$AC$5:$AC$34,0)),"未知"))</f>
      </c>
      <c r="Q1984" s="78">
        <f>IF(P1984="应收",COUNTIF(P$7:P1984,"应收"),"")</f>
      </c>
      <c r="R1984" s="78">
        <f>IF(P1984="应付",COUNTIF(P$7:P1984,"应付"),"")</f>
      </c>
      <c r="S1984" s="78">
        <f>N(F1984)-N(G1984)</f>
        <v>0</v>
      </c>
    </row>
    <row r="1985">
      <c r="A1985" s="109">
        <f>IF(AND(F1985="",G1985=""),"",ROW()-6)</f>
      </c>
      <c r="B1985" s="140" t="n"/>
      <c r="C1985" s="141" t="n"/>
      <c r="D1985" s="141" t="n"/>
      <c r="E1985" s="142" t="n"/>
      <c r="F1985" s="143" t="n"/>
      <c r="G1985" s="144" t="n"/>
      <c r="H1985" s="145">
        <f>IF(OR(C1985="",AND(F1985="",G1985="")),"",SUMIF(基础资料!$W$5:$W$24,C1985,基础资料!$X$5:$X$24)+SUMIF(C$7:C1985,C1985,F$7:F1985)-SUMIF(C$7:C1985,C1985,G$7:G1985))</f>
      </c>
      <c r="I1985" s="145">
        <f>IF(AND(F1985="",G1985=""),"",SUM(基础资料!$X$5:$X$24)+SUM(F$7:F1985)-SUM(G$7:G1985))</f>
      </c>
      <c r="J1985" s="141" t="n"/>
      <c r="K1985" s="141" t="n"/>
      <c r="L1985" s="141" t="n"/>
      <c r="M1985" s="142" t="n"/>
      <c r="N1985" s="146">
        <f>IF(AND(AND(F1985="",G1985=""),B1985="",C1985="",D1985="",J1985="",K1985="",L1985=""),"",IF(AND(F1985="",G1985=""),"✗ 没填金额",IF(AND(N(F1985)&lt;&gt;0,N(G1985)&lt;&gt;0),"✗ 收入、支出只能填一边",IF(NOT(ISNUMBER(B1985)),"✗ 日期不是真日期（要像 2026/9/25 这样填）",IF(OR(B1985&lt;年初日,B1985&gt;年末日),"✗ 日期不在本会计年度",IF(C1985="","✗ 没选账户",IF(COUNTIF(基础资料!$W$5:$W$24,C1985)=0,"✗ 账户不在基础资料里",IF(O1985="","✗ 没选收支项目",IF(P1985="未知","✗ 收支项目不在基础资料里",IF(AND(P1985="应收",J1985=""),"✗ 这笔要选客户",IF(AND(P1985="应收",COUNTIF(总览汇总!$B$5:$B$304,J1985)=0),"✗ 客户不在总览汇总名单里",IF(AND(P1985="应付",K1985=""),"✗ 这笔要选供应商",IF(AND(P1985="应付",COUNTIF(基础资料!$Q$5:$Q$54,K1985)=0),"✗ 供应商不在基础资料里",IF(AND(P1985="费用",L1985=""),"✗ 费用支出要选费用项目",IF(AND(L1985&lt;&gt;"",COUNTIF(基础资料!$AI$5:$AI$54,L1985)=0),"✗ 费用项目不在基础资料里",IF(AND(IFERROR(INDEX(基础资料!$AD$5:$AD$34,MATCH(O1985,基础资料!$AC$5:$AC$34,0)),"")="收",N(G1985)&lt;&gt;0),"✗ 这类是收款，金额填到收入列",IF(AND(IFERROR(INDEX(基础资料!$AD$5:$AD$34,MATCH(O1985,基础资料!$AC$5:$AC$34,0)),"")="支",N(F1985)&lt;&gt;0),"✗ 这类是付款，金额填到支出列",IF(N(H1985)&lt;0,"⚠ 账户余额成负数了，核对一下","√"))))))))))))))))))</f>
      </c>
      <c r="O1985" s="78">
        <f>IF(D1985&lt;&gt;"",D1985,IF(AND(F1985="",G1985=""),"",IF(J1985&lt;&gt;"",IF(N(F1985)&gt;0,"客户回款","客户退款"),IF(K1985&lt;&gt;"",IF(N(G1985)&gt;0,"供应商付款","供应商退款"),IF(L1985&lt;&gt;"","费用支出","")))))</f>
      </c>
      <c r="P1985" s="78">
        <f>IF(O1985="","",IFERROR(INDEX(基础资料!$AE$5:$AE$34,MATCH(O1985,基础资料!$AC$5:$AC$34,0)),"未知"))</f>
      </c>
      <c r="Q1985" s="78">
        <f>IF(P1985="应收",COUNTIF(P$7:P1985,"应收"),"")</f>
      </c>
      <c r="R1985" s="78">
        <f>IF(P1985="应付",COUNTIF(P$7:P1985,"应付"),"")</f>
      </c>
      <c r="S1985" s="78">
        <f>N(F1985)-N(G1985)</f>
        <v>0</v>
      </c>
    </row>
    <row r="1986">
      <c r="A1986" s="109">
        <f>IF(AND(F1986="",G1986=""),"",ROW()-6)</f>
      </c>
      <c r="B1986" s="140" t="n"/>
      <c r="C1986" s="141" t="n"/>
      <c r="D1986" s="141" t="n"/>
      <c r="E1986" s="142" t="n"/>
      <c r="F1986" s="143" t="n"/>
      <c r="G1986" s="144" t="n"/>
      <c r="H1986" s="145">
        <f>IF(OR(C1986="",AND(F1986="",G1986="")),"",SUMIF(基础资料!$W$5:$W$24,C1986,基础资料!$X$5:$X$24)+SUMIF(C$7:C1986,C1986,F$7:F1986)-SUMIF(C$7:C1986,C1986,G$7:G1986))</f>
      </c>
      <c r="I1986" s="145">
        <f>IF(AND(F1986="",G1986=""),"",SUM(基础资料!$X$5:$X$24)+SUM(F$7:F1986)-SUM(G$7:G1986))</f>
      </c>
      <c r="J1986" s="141" t="n"/>
      <c r="K1986" s="141" t="n"/>
      <c r="L1986" s="141" t="n"/>
      <c r="M1986" s="142" t="n"/>
      <c r="N1986" s="146">
        <f>IF(AND(AND(F1986="",G1986=""),B1986="",C1986="",D1986="",J1986="",K1986="",L1986=""),"",IF(AND(F1986="",G1986=""),"✗ 没填金额",IF(AND(N(F1986)&lt;&gt;0,N(G1986)&lt;&gt;0),"✗ 收入、支出只能填一边",IF(NOT(ISNUMBER(B1986)),"✗ 日期不是真日期（要像 2026/9/25 这样填）",IF(OR(B1986&lt;年初日,B1986&gt;年末日),"✗ 日期不在本会计年度",IF(C1986="","✗ 没选账户",IF(COUNTIF(基础资料!$W$5:$W$24,C1986)=0,"✗ 账户不在基础资料里",IF(O1986="","✗ 没选收支项目",IF(P1986="未知","✗ 收支项目不在基础资料里",IF(AND(P1986="应收",J1986=""),"✗ 这笔要选客户",IF(AND(P1986="应收",COUNTIF(总览汇总!$B$5:$B$304,J1986)=0),"✗ 客户不在总览汇总名单里",IF(AND(P1986="应付",K1986=""),"✗ 这笔要选供应商",IF(AND(P1986="应付",COUNTIF(基础资料!$Q$5:$Q$54,K1986)=0),"✗ 供应商不在基础资料里",IF(AND(P1986="费用",L1986=""),"✗ 费用支出要选费用项目",IF(AND(L1986&lt;&gt;"",COUNTIF(基础资料!$AI$5:$AI$54,L1986)=0),"✗ 费用项目不在基础资料里",IF(AND(IFERROR(INDEX(基础资料!$AD$5:$AD$34,MATCH(O1986,基础资料!$AC$5:$AC$34,0)),"")="收",N(G1986)&lt;&gt;0),"✗ 这类是收款，金额填到收入列",IF(AND(IFERROR(INDEX(基础资料!$AD$5:$AD$34,MATCH(O1986,基础资料!$AC$5:$AC$34,0)),"")="支",N(F1986)&lt;&gt;0),"✗ 这类是付款，金额填到支出列",IF(N(H1986)&lt;0,"⚠ 账户余额成负数了，核对一下","√"))))))))))))))))))</f>
      </c>
      <c r="O1986" s="78">
        <f>IF(D1986&lt;&gt;"",D1986,IF(AND(F1986="",G1986=""),"",IF(J1986&lt;&gt;"",IF(N(F1986)&gt;0,"客户回款","客户退款"),IF(K1986&lt;&gt;"",IF(N(G1986)&gt;0,"供应商付款","供应商退款"),IF(L1986&lt;&gt;"","费用支出","")))))</f>
      </c>
      <c r="P1986" s="78">
        <f>IF(O1986="","",IFERROR(INDEX(基础资料!$AE$5:$AE$34,MATCH(O1986,基础资料!$AC$5:$AC$34,0)),"未知"))</f>
      </c>
      <c r="Q1986" s="78">
        <f>IF(P1986="应收",COUNTIF(P$7:P1986,"应收"),"")</f>
      </c>
      <c r="R1986" s="78">
        <f>IF(P1986="应付",COUNTIF(P$7:P1986,"应付"),"")</f>
      </c>
      <c r="S1986" s="78">
        <f>N(F1986)-N(G1986)</f>
        <v>0</v>
      </c>
    </row>
    <row r="1987">
      <c r="A1987" s="109">
        <f>IF(AND(F1987="",G1987=""),"",ROW()-6)</f>
      </c>
      <c r="B1987" s="140" t="n"/>
      <c r="C1987" s="141" t="n"/>
      <c r="D1987" s="141" t="n"/>
      <c r="E1987" s="142" t="n"/>
      <c r="F1987" s="143" t="n"/>
      <c r="G1987" s="144" t="n"/>
      <c r="H1987" s="145">
        <f>IF(OR(C1987="",AND(F1987="",G1987="")),"",SUMIF(基础资料!$W$5:$W$24,C1987,基础资料!$X$5:$X$24)+SUMIF(C$7:C1987,C1987,F$7:F1987)-SUMIF(C$7:C1987,C1987,G$7:G1987))</f>
      </c>
      <c r="I1987" s="145">
        <f>IF(AND(F1987="",G1987=""),"",SUM(基础资料!$X$5:$X$24)+SUM(F$7:F1987)-SUM(G$7:G1987))</f>
      </c>
      <c r="J1987" s="141" t="n"/>
      <c r="K1987" s="141" t="n"/>
      <c r="L1987" s="141" t="n"/>
      <c r="M1987" s="142" t="n"/>
      <c r="N1987" s="146">
        <f>IF(AND(AND(F1987="",G1987=""),B1987="",C1987="",D1987="",J1987="",K1987="",L1987=""),"",IF(AND(F1987="",G1987=""),"✗ 没填金额",IF(AND(N(F1987)&lt;&gt;0,N(G1987)&lt;&gt;0),"✗ 收入、支出只能填一边",IF(NOT(ISNUMBER(B1987)),"✗ 日期不是真日期（要像 2026/9/25 这样填）",IF(OR(B1987&lt;年初日,B1987&gt;年末日),"✗ 日期不在本会计年度",IF(C1987="","✗ 没选账户",IF(COUNTIF(基础资料!$W$5:$W$24,C1987)=0,"✗ 账户不在基础资料里",IF(O1987="","✗ 没选收支项目",IF(P1987="未知","✗ 收支项目不在基础资料里",IF(AND(P1987="应收",J1987=""),"✗ 这笔要选客户",IF(AND(P1987="应收",COUNTIF(总览汇总!$B$5:$B$304,J1987)=0),"✗ 客户不在总览汇总名单里",IF(AND(P1987="应付",K1987=""),"✗ 这笔要选供应商",IF(AND(P1987="应付",COUNTIF(基础资料!$Q$5:$Q$54,K1987)=0),"✗ 供应商不在基础资料里",IF(AND(P1987="费用",L1987=""),"✗ 费用支出要选费用项目",IF(AND(L1987&lt;&gt;"",COUNTIF(基础资料!$AI$5:$AI$54,L1987)=0),"✗ 费用项目不在基础资料里",IF(AND(IFERROR(INDEX(基础资料!$AD$5:$AD$34,MATCH(O1987,基础资料!$AC$5:$AC$34,0)),"")="收",N(G1987)&lt;&gt;0),"✗ 这类是收款，金额填到收入列",IF(AND(IFERROR(INDEX(基础资料!$AD$5:$AD$34,MATCH(O1987,基础资料!$AC$5:$AC$34,0)),"")="支",N(F1987)&lt;&gt;0),"✗ 这类是付款，金额填到支出列",IF(N(H1987)&lt;0,"⚠ 账户余额成负数了，核对一下","√"))))))))))))))))))</f>
      </c>
      <c r="O1987" s="78">
        <f>IF(D1987&lt;&gt;"",D1987,IF(AND(F1987="",G1987=""),"",IF(J1987&lt;&gt;"",IF(N(F1987)&gt;0,"客户回款","客户退款"),IF(K1987&lt;&gt;"",IF(N(G1987)&gt;0,"供应商付款","供应商退款"),IF(L1987&lt;&gt;"","费用支出","")))))</f>
      </c>
      <c r="P1987" s="78">
        <f>IF(O1987="","",IFERROR(INDEX(基础资料!$AE$5:$AE$34,MATCH(O1987,基础资料!$AC$5:$AC$34,0)),"未知"))</f>
      </c>
      <c r="Q1987" s="78">
        <f>IF(P1987="应收",COUNTIF(P$7:P1987,"应收"),"")</f>
      </c>
      <c r="R1987" s="78">
        <f>IF(P1987="应付",COUNTIF(P$7:P1987,"应付"),"")</f>
      </c>
      <c r="S1987" s="78">
        <f>N(F1987)-N(G1987)</f>
        <v>0</v>
      </c>
    </row>
    <row r="1988">
      <c r="A1988" s="109">
        <f>IF(AND(F1988="",G1988=""),"",ROW()-6)</f>
      </c>
      <c r="B1988" s="140" t="n"/>
      <c r="C1988" s="141" t="n"/>
      <c r="D1988" s="141" t="n"/>
      <c r="E1988" s="142" t="n"/>
      <c r="F1988" s="143" t="n"/>
      <c r="G1988" s="144" t="n"/>
      <c r="H1988" s="145">
        <f>IF(OR(C1988="",AND(F1988="",G1988="")),"",SUMIF(基础资料!$W$5:$W$24,C1988,基础资料!$X$5:$X$24)+SUMIF(C$7:C1988,C1988,F$7:F1988)-SUMIF(C$7:C1988,C1988,G$7:G1988))</f>
      </c>
      <c r="I1988" s="145">
        <f>IF(AND(F1988="",G1988=""),"",SUM(基础资料!$X$5:$X$24)+SUM(F$7:F1988)-SUM(G$7:G1988))</f>
      </c>
      <c r="J1988" s="141" t="n"/>
      <c r="K1988" s="141" t="n"/>
      <c r="L1988" s="141" t="n"/>
      <c r="M1988" s="142" t="n"/>
      <c r="N1988" s="146">
        <f>IF(AND(AND(F1988="",G1988=""),B1988="",C1988="",D1988="",J1988="",K1988="",L1988=""),"",IF(AND(F1988="",G1988=""),"✗ 没填金额",IF(AND(N(F1988)&lt;&gt;0,N(G1988)&lt;&gt;0),"✗ 收入、支出只能填一边",IF(NOT(ISNUMBER(B1988)),"✗ 日期不是真日期（要像 2026/9/25 这样填）",IF(OR(B1988&lt;年初日,B1988&gt;年末日),"✗ 日期不在本会计年度",IF(C1988="","✗ 没选账户",IF(COUNTIF(基础资料!$W$5:$W$24,C1988)=0,"✗ 账户不在基础资料里",IF(O1988="","✗ 没选收支项目",IF(P1988="未知","✗ 收支项目不在基础资料里",IF(AND(P1988="应收",J1988=""),"✗ 这笔要选客户",IF(AND(P1988="应收",COUNTIF(总览汇总!$B$5:$B$304,J1988)=0),"✗ 客户不在总览汇总名单里",IF(AND(P1988="应付",K1988=""),"✗ 这笔要选供应商",IF(AND(P1988="应付",COUNTIF(基础资料!$Q$5:$Q$54,K1988)=0),"✗ 供应商不在基础资料里",IF(AND(P1988="费用",L1988=""),"✗ 费用支出要选费用项目",IF(AND(L1988&lt;&gt;"",COUNTIF(基础资料!$AI$5:$AI$54,L1988)=0),"✗ 费用项目不在基础资料里",IF(AND(IFERROR(INDEX(基础资料!$AD$5:$AD$34,MATCH(O1988,基础资料!$AC$5:$AC$34,0)),"")="收",N(G1988)&lt;&gt;0),"✗ 这类是收款，金额填到收入列",IF(AND(IFERROR(INDEX(基础资料!$AD$5:$AD$34,MATCH(O1988,基础资料!$AC$5:$AC$34,0)),"")="支",N(F1988)&lt;&gt;0),"✗ 这类是付款，金额填到支出列",IF(N(H1988)&lt;0,"⚠ 账户余额成负数了，核对一下","√"))))))))))))))))))</f>
      </c>
      <c r="O1988" s="78">
        <f>IF(D1988&lt;&gt;"",D1988,IF(AND(F1988="",G1988=""),"",IF(J1988&lt;&gt;"",IF(N(F1988)&gt;0,"客户回款","客户退款"),IF(K1988&lt;&gt;"",IF(N(G1988)&gt;0,"供应商付款","供应商退款"),IF(L1988&lt;&gt;"","费用支出","")))))</f>
      </c>
      <c r="P1988" s="78">
        <f>IF(O1988="","",IFERROR(INDEX(基础资料!$AE$5:$AE$34,MATCH(O1988,基础资料!$AC$5:$AC$34,0)),"未知"))</f>
      </c>
      <c r="Q1988" s="78">
        <f>IF(P1988="应收",COUNTIF(P$7:P1988,"应收"),"")</f>
      </c>
      <c r="R1988" s="78">
        <f>IF(P1988="应付",COUNTIF(P$7:P1988,"应付"),"")</f>
      </c>
      <c r="S1988" s="78">
        <f>N(F1988)-N(G1988)</f>
        <v>0</v>
      </c>
    </row>
    <row r="1989">
      <c r="A1989" s="109">
        <f>IF(AND(F1989="",G1989=""),"",ROW()-6)</f>
      </c>
      <c r="B1989" s="140" t="n"/>
      <c r="C1989" s="141" t="n"/>
      <c r="D1989" s="141" t="n"/>
      <c r="E1989" s="142" t="n"/>
      <c r="F1989" s="143" t="n"/>
      <c r="G1989" s="144" t="n"/>
      <c r="H1989" s="145">
        <f>IF(OR(C1989="",AND(F1989="",G1989="")),"",SUMIF(基础资料!$W$5:$W$24,C1989,基础资料!$X$5:$X$24)+SUMIF(C$7:C1989,C1989,F$7:F1989)-SUMIF(C$7:C1989,C1989,G$7:G1989))</f>
      </c>
      <c r="I1989" s="145">
        <f>IF(AND(F1989="",G1989=""),"",SUM(基础资料!$X$5:$X$24)+SUM(F$7:F1989)-SUM(G$7:G1989))</f>
      </c>
      <c r="J1989" s="141" t="n"/>
      <c r="K1989" s="141" t="n"/>
      <c r="L1989" s="141" t="n"/>
      <c r="M1989" s="142" t="n"/>
      <c r="N1989" s="146">
        <f>IF(AND(AND(F1989="",G1989=""),B1989="",C1989="",D1989="",J1989="",K1989="",L1989=""),"",IF(AND(F1989="",G1989=""),"✗ 没填金额",IF(AND(N(F1989)&lt;&gt;0,N(G1989)&lt;&gt;0),"✗ 收入、支出只能填一边",IF(NOT(ISNUMBER(B1989)),"✗ 日期不是真日期（要像 2026/9/25 这样填）",IF(OR(B1989&lt;年初日,B1989&gt;年末日),"✗ 日期不在本会计年度",IF(C1989="","✗ 没选账户",IF(COUNTIF(基础资料!$W$5:$W$24,C1989)=0,"✗ 账户不在基础资料里",IF(O1989="","✗ 没选收支项目",IF(P1989="未知","✗ 收支项目不在基础资料里",IF(AND(P1989="应收",J1989=""),"✗ 这笔要选客户",IF(AND(P1989="应收",COUNTIF(总览汇总!$B$5:$B$304,J1989)=0),"✗ 客户不在总览汇总名单里",IF(AND(P1989="应付",K1989=""),"✗ 这笔要选供应商",IF(AND(P1989="应付",COUNTIF(基础资料!$Q$5:$Q$54,K1989)=0),"✗ 供应商不在基础资料里",IF(AND(P1989="费用",L1989=""),"✗ 费用支出要选费用项目",IF(AND(L1989&lt;&gt;"",COUNTIF(基础资料!$AI$5:$AI$54,L1989)=0),"✗ 费用项目不在基础资料里",IF(AND(IFERROR(INDEX(基础资料!$AD$5:$AD$34,MATCH(O1989,基础资料!$AC$5:$AC$34,0)),"")="收",N(G1989)&lt;&gt;0),"✗ 这类是收款，金额填到收入列",IF(AND(IFERROR(INDEX(基础资料!$AD$5:$AD$34,MATCH(O1989,基础资料!$AC$5:$AC$34,0)),"")="支",N(F1989)&lt;&gt;0),"✗ 这类是付款，金额填到支出列",IF(N(H1989)&lt;0,"⚠ 账户余额成负数了，核对一下","√"))))))))))))))))))</f>
      </c>
      <c r="O1989" s="78">
        <f>IF(D1989&lt;&gt;"",D1989,IF(AND(F1989="",G1989=""),"",IF(J1989&lt;&gt;"",IF(N(F1989)&gt;0,"客户回款","客户退款"),IF(K1989&lt;&gt;"",IF(N(G1989)&gt;0,"供应商付款","供应商退款"),IF(L1989&lt;&gt;"","费用支出","")))))</f>
      </c>
      <c r="P1989" s="78">
        <f>IF(O1989="","",IFERROR(INDEX(基础资料!$AE$5:$AE$34,MATCH(O1989,基础资料!$AC$5:$AC$34,0)),"未知"))</f>
      </c>
      <c r="Q1989" s="78">
        <f>IF(P1989="应收",COUNTIF(P$7:P1989,"应收"),"")</f>
      </c>
      <c r="R1989" s="78">
        <f>IF(P1989="应付",COUNTIF(P$7:P1989,"应付"),"")</f>
      </c>
      <c r="S1989" s="78">
        <f>N(F1989)-N(G1989)</f>
        <v>0</v>
      </c>
    </row>
    <row r="1990">
      <c r="A1990" s="109">
        <f>IF(AND(F1990="",G1990=""),"",ROW()-6)</f>
      </c>
      <c r="B1990" s="140" t="n"/>
      <c r="C1990" s="141" t="n"/>
      <c r="D1990" s="141" t="n"/>
      <c r="E1990" s="142" t="n"/>
      <c r="F1990" s="143" t="n"/>
      <c r="G1990" s="144" t="n"/>
      <c r="H1990" s="145">
        <f>IF(OR(C1990="",AND(F1990="",G1990="")),"",SUMIF(基础资料!$W$5:$W$24,C1990,基础资料!$X$5:$X$24)+SUMIF(C$7:C1990,C1990,F$7:F1990)-SUMIF(C$7:C1990,C1990,G$7:G1990))</f>
      </c>
      <c r="I1990" s="145">
        <f>IF(AND(F1990="",G1990=""),"",SUM(基础资料!$X$5:$X$24)+SUM(F$7:F1990)-SUM(G$7:G1990))</f>
      </c>
      <c r="J1990" s="141" t="n"/>
      <c r="K1990" s="141" t="n"/>
      <c r="L1990" s="141" t="n"/>
      <c r="M1990" s="142" t="n"/>
      <c r="N1990" s="146">
        <f>IF(AND(AND(F1990="",G1990=""),B1990="",C1990="",D1990="",J1990="",K1990="",L1990=""),"",IF(AND(F1990="",G1990=""),"✗ 没填金额",IF(AND(N(F1990)&lt;&gt;0,N(G1990)&lt;&gt;0),"✗ 收入、支出只能填一边",IF(NOT(ISNUMBER(B1990)),"✗ 日期不是真日期（要像 2026/9/25 这样填）",IF(OR(B1990&lt;年初日,B1990&gt;年末日),"✗ 日期不在本会计年度",IF(C1990="","✗ 没选账户",IF(COUNTIF(基础资料!$W$5:$W$24,C1990)=0,"✗ 账户不在基础资料里",IF(O1990="","✗ 没选收支项目",IF(P1990="未知","✗ 收支项目不在基础资料里",IF(AND(P1990="应收",J1990=""),"✗ 这笔要选客户",IF(AND(P1990="应收",COUNTIF(总览汇总!$B$5:$B$304,J1990)=0),"✗ 客户不在总览汇总名单里",IF(AND(P1990="应付",K1990=""),"✗ 这笔要选供应商",IF(AND(P1990="应付",COUNTIF(基础资料!$Q$5:$Q$54,K1990)=0),"✗ 供应商不在基础资料里",IF(AND(P1990="费用",L1990=""),"✗ 费用支出要选费用项目",IF(AND(L1990&lt;&gt;"",COUNTIF(基础资料!$AI$5:$AI$54,L1990)=0),"✗ 费用项目不在基础资料里",IF(AND(IFERROR(INDEX(基础资料!$AD$5:$AD$34,MATCH(O1990,基础资料!$AC$5:$AC$34,0)),"")="收",N(G1990)&lt;&gt;0),"✗ 这类是收款，金额填到收入列",IF(AND(IFERROR(INDEX(基础资料!$AD$5:$AD$34,MATCH(O1990,基础资料!$AC$5:$AC$34,0)),"")="支",N(F1990)&lt;&gt;0),"✗ 这类是付款，金额填到支出列",IF(N(H1990)&lt;0,"⚠ 账户余额成负数了，核对一下","√"))))))))))))))))))</f>
      </c>
      <c r="O1990" s="78">
        <f>IF(D1990&lt;&gt;"",D1990,IF(AND(F1990="",G1990=""),"",IF(J1990&lt;&gt;"",IF(N(F1990)&gt;0,"客户回款","客户退款"),IF(K1990&lt;&gt;"",IF(N(G1990)&gt;0,"供应商付款","供应商退款"),IF(L1990&lt;&gt;"","费用支出","")))))</f>
      </c>
      <c r="P1990" s="78">
        <f>IF(O1990="","",IFERROR(INDEX(基础资料!$AE$5:$AE$34,MATCH(O1990,基础资料!$AC$5:$AC$34,0)),"未知"))</f>
      </c>
      <c r="Q1990" s="78">
        <f>IF(P1990="应收",COUNTIF(P$7:P1990,"应收"),"")</f>
      </c>
      <c r="R1990" s="78">
        <f>IF(P1990="应付",COUNTIF(P$7:P1990,"应付"),"")</f>
      </c>
      <c r="S1990" s="78">
        <f>N(F1990)-N(G1990)</f>
        <v>0</v>
      </c>
    </row>
    <row r="1991">
      <c r="A1991" s="109">
        <f>IF(AND(F1991="",G1991=""),"",ROW()-6)</f>
      </c>
      <c r="B1991" s="140" t="n"/>
      <c r="C1991" s="141" t="n"/>
      <c r="D1991" s="141" t="n"/>
      <c r="E1991" s="142" t="n"/>
      <c r="F1991" s="143" t="n"/>
      <c r="G1991" s="144" t="n"/>
      <c r="H1991" s="145">
        <f>IF(OR(C1991="",AND(F1991="",G1991="")),"",SUMIF(基础资料!$W$5:$W$24,C1991,基础资料!$X$5:$X$24)+SUMIF(C$7:C1991,C1991,F$7:F1991)-SUMIF(C$7:C1991,C1991,G$7:G1991))</f>
      </c>
      <c r="I1991" s="145">
        <f>IF(AND(F1991="",G1991=""),"",SUM(基础资料!$X$5:$X$24)+SUM(F$7:F1991)-SUM(G$7:G1991))</f>
      </c>
      <c r="J1991" s="141" t="n"/>
      <c r="K1991" s="141" t="n"/>
      <c r="L1991" s="141" t="n"/>
      <c r="M1991" s="142" t="n"/>
      <c r="N1991" s="146">
        <f>IF(AND(AND(F1991="",G1991=""),B1991="",C1991="",D1991="",J1991="",K1991="",L1991=""),"",IF(AND(F1991="",G1991=""),"✗ 没填金额",IF(AND(N(F1991)&lt;&gt;0,N(G1991)&lt;&gt;0),"✗ 收入、支出只能填一边",IF(NOT(ISNUMBER(B1991)),"✗ 日期不是真日期（要像 2026/9/25 这样填）",IF(OR(B1991&lt;年初日,B1991&gt;年末日),"✗ 日期不在本会计年度",IF(C1991="","✗ 没选账户",IF(COUNTIF(基础资料!$W$5:$W$24,C1991)=0,"✗ 账户不在基础资料里",IF(O1991="","✗ 没选收支项目",IF(P1991="未知","✗ 收支项目不在基础资料里",IF(AND(P1991="应收",J1991=""),"✗ 这笔要选客户",IF(AND(P1991="应收",COUNTIF(总览汇总!$B$5:$B$304,J1991)=0),"✗ 客户不在总览汇总名单里",IF(AND(P1991="应付",K1991=""),"✗ 这笔要选供应商",IF(AND(P1991="应付",COUNTIF(基础资料!$Q$5:$Q$54,K1991)=0),"✗ 供应商不在基础资料里",IF(AND(P1991="费用",L1991=""),"✗ 费用支出要选费用项目",IF(AND(L1991&lt;&gt;"",COUNTIF(基础资料!$AI$5:$AI$54,L1991)=0),"✗ 费用项目不在基础资料里",IF(AND(IFERROR(INDEX(基础资料!$AD$5:$AD$34,MATCH(O1991,基础资料!$AC$5:$AC$34,0)),"")="收",N(G1991)&lt;&gt;0),"✗ 这类是收款，金额填到收入列",IF(AND(IFERROR(INDEX(基础资料!$AD$5:$AD$34,MATCH(O1991,基础资料!$AC$5:$AC$34,0)),"")="支",N(F1991)&lt;&gt;0),"✗ 这类是付款，金额填到支出列",IF(N(H1991)&lt;0,"⚠ 账户余额成负数了，核对一下","√"))))))))))))))))))</f>
      </c>
      <c r="O1991" s="78">
        <f>IF(D1991&lt;&gt;"",D1991,IF(AND(F1991="",G1991=""),"",IF(J1991&lt;&gt;"",IF(N(F1991)&gt;0,"客户回款","客户退款"),IF(K1991&lt;&gt;"",IF(N(G1991)&gt;0,"供应商付款","供应商退款"),IF(L1991&lt;&gt;"","费用支出","")))))</f>
      </c>
      <c r="P1991" s="78">
        <f>IF(O1991="","",IFERROR(INDEX(基础资料!$AE$5:$AE$34,MATCH(O1991,基础资料!$AC$5:$AC$34,0)),"未知"))</f>
      </c>
      <c r="Q1991" s="78">
        <f>IF(P1991="应收",COUNTIF(P$7:P1991,"应收"),"")</f>
      </c>
      <c r="R1991" s="78">
        <f>IF(P1991="应付",COUNTIF(P$7:P1991,"应付"),"")</f>
      </c>
      <c r="S1991" s="78">
        <f>N(F1991)-N(G1991)</f>
        <v>0</v>
      </c>
    </row>
    <row r="1992">
      <c r="A1992" s="109">
        <f>IF(AND(F1992="",G1992=""),"",ROW()-6)</f>
      </c>
      <c r="B1992" s="140" t="n"/>
      <c r="C1992" s="141" t="n"/>
      <c r="D1992" s="141" t="n"/>
      <c r="E1992" s="142" t="n"/>
      <c r="F1992" s="143" t="n"/>
      <c r="G1992" s="144" t="n"/>
      <c r="H1992" s="145">
        <f>IF(OR(C1992="",AND(F1992="",G1992="")),"",SUMIF(基础资料!$W$5:$W$24,C1992,基础资料!$X$5:$X$24)+SUMIF(C$7:C1992,C1992,F$7:F1992)-SUMIF(C$7:C1992,C1992,G$7:G1992))</f>
      </c>
      <c r="I1992" s="145">
        <f>IF(AND(F1992="",G1992=""),"",SUM(基础资料!$X$5:$X$24)+SUM(F$7:F1992)-SUM(G$7:G1992))</f>
      </c>
      <c r="J1992" s="141" t="n"/>
      <c r="K1992" s="141" t="n"/>
      <c r="L1992" s="141" t="n"/>
      <c r="M1992" s="142" t="n"/>
      <c r="N1992" s="146">
        <f>IF(AND(AND(F1992="",G1992=""),B1992="",C1992="",D1992="",J1992="",K1992="",L1992=""),"",IF(AND(F1992="",G1992=""),"✗ 没填金额",IF(AND(N(F1992)&lt;&gt;0,N(G1992)&lt;&gt;0),"✗ 收入、支出只能填一边",IF(NOT(ISNUMBER(B1992)),"✗ 日期不是真日期（要像 2026/9/25 这样填）",IF(OR(B1992&lt;年初日,B1992&gt;年末日),"✗ 日期不在本会计年度",IF(C1992="","✗ 没选账户",IF(COUNTIF(基础资料!$W$5:$W$24,C1992)=0,"✗ 账户不在基础资料里",IF(O1992="","✗ 没选收支项目",IF(P1992="未知","✗ 收支项目不在基础资料里",IF(AND(P1992="应收",J1992=""),"✗ 这笔要选客户",IF(AND(P1992="应收",COUNTIF(总览汇总!$B$5:$B$304,J1992)=0),"✗ 客户不在总览汇总名单里",IF(AND(P1992="应付",K1992=""),"✗ 这笔要选供应商",IF(AND(P1992="应付",COUNTIF(基础资料!$Q$5:$Q$54,K1992)=0),"✗ 供应商不在基础资料里",IF(AND(P1992="费用",L1992=""),"✗ 费用支出要选费用项目",IF(AND(L1992&lt;&gt;"",COUNTIF(基础资料!$AI$5:$AI$54,L1992)=0),"✗ 费用项目不在基础资料里",IF(AND(IFERROR(INDEX(基础资料!$AD$5:$AD$34,MATCH(O1992,基础资料!$AC$5:$AC$34,0)),"")="收",N(G1992)&lt;&gt;0),"✗ 这类是收款，金额填到收入列",IF(AND(IFERROR(INDEX(基础资料!$AD$5:$AD$34,MATCH(O1992,基础资料!$AC$5:$AC$34,0)),"")="支",N(F1992)&lt;&gt;0),"✗ 这类是付款，金额填到支出列",IF(N(H1992)&lt;0,"⚠ 账户余额成负数了，核对一下","√"))))))))))))))))))</f>
      </c>
      <c r="O1992" s="78">
        <f>IF(D1992&lt;&gt;"",D1992,IF(AND(F1992="",G1992=""),"",IF(J1992&lt;&gt;"",IF(N(F1992)&gt;0,"客户回款","客户退款"),IF(K1992&lt;&gt;"",IF(N(G1992)&gt;0,"供应商付款","供应商退款"),IF(L1992&lt;&gt;"","费用支出","")))))</f>
      </c>
      <c r="P1992" s="78">
        <f>IF(O1992="","",IFERROR(INDEX(基础资料!$AE$5:$AE$34,MATCH(O1992,基础资料!$AC$5:$AC$34,0)),"未知"))</f>
      </c>
      <c r="Q1992" s="78">
        <f>IF(P1992="应收",COUNTIF(P$7:P1992,"应收"),"")</f>
      </c>
      <c r="R1992" s="78">
        <f>IF(P1992="应付",COUNTIF(P$7:P1992,"应付"),"")</f>
      </c>
      <c r="S1992" s="78">
        <f>N(F1992)-N(G1992)</f>
        <v>0</v>
      </c>
    </row>
    <row r="1993">
      <c r="A1993" s="109">
        <f>IF(AND(F1993="",G1993=""),"",ROW()-6)</f>
      </c>
      <c r="B1993" s="140" t="n"/>
      <c r="C1993" s="141" t="n"/>
      <c r="D1993" s="141" t="n"/>
      <c r="E1993" s="142" t="n"/>
      <c r="F1993" s="143" t="n"/>
      <c r="G1993" s="144" t="n"/>
      <c r="H1993" s="145">
        <f>IF(OR(C1993="",AND(F1993="",G1993="")),"",SUMIF(基础资料!$W$5:$W$24,C1993,基础资料!$X$5:$X$24)+SUMIF(C$7:C1993,C1993,F$7:F1993)-SUMIF(C$7:C1993,C1993,G$7:G1993))</f>
      </c>
      <c r="I1993" s="145">
        <f>IF(AND(F1993="",G1993=""),"",SUM(基础资料!$X$5:$X$24)+SUM(F$7:F1993)-SUM(G$7:G1993))</f>
      </c>
      <c r="J1993" s="141" t="n"/>
      <c r="K1993" s="141" t="n"/>
      <c r="L1993" s="141" t="n"/>
      <c r="M1993" s="142" t="n"/>
      <c r="N1993" s="146">
        <f>IF(AND(AND(F1993="",G1993=""),B1993="",C1993="",D1993="",J1993="",K1993="",L1993=""),"",IF(AND(F1993="",G1993=""),"✗ 没填金额",IF(AND(N(F1993)&lt;&gt;0,N(G1993)&lt;&gt;0),"✗ 收入、支出只能填一边",IF(NOT(ISNUMBER(B1993)),"✗ 日期不是真日期（要像 2026/9/25 这样填）",IF(OR(B1993&lt;年初日,B1993&gt;年末日),"✗ 日期不在本会计年度",IF(C1993="","✗ 没选账户",IF(COUNTIF(基础资料!$W$5:$W$24,C1993)=0,"✗ 账户不在基础资料里",IF(O1993="","✗ 没选收支项目",IF(P1993="未知","✗ 收支项目不在基础资料里",IF(AND(P1993="应收",J1993=""),"✗ 这笔要选客户",IF(AND(P1993="应收",COUNTIF(总览汇总!$B$5:$B$304,J1993)=0),"✗ 客户不在总览汇总名单里",IF(AND(P1993="应付",K1993=""),"✗ 这笔要选供应商",IF(AND(P1993="应付",COUNTIF(基础资料!$Q$5:$Q$54,K1993)=0),"✗ 供应商不在基础资料里",IF(AND(P1993="费用",L1993=""),"✗ 费用支出要选费用项目",IF(AND(L1993&lt;&gt;"",COUNTIF(基础资料!$AI$5:$AI$54,L1993)=0),"✗ 费用项目不在基础资料里",IF(AND(IFERROR(INDEX(基础资料!$AD$5:$AD$34,MATCH(O1993,基础资料!$AC$5:$AC$34,0)),"")="收",N(G1993)&lt;&gt;0),"✗ 这类是收款，金额填到收入列",IF(AND(IFERROR(INDEX(基础资料!$AD$5:$AD$34,MATCH(O1993,基础资料!$AC$5:$AC$34,0)),"")="支",N(F1993)&lt;&gt;0),"✗ 这类是付款，金额填到支出列",IF(N(H1993)&lt;0,"⚠ 账户余额成负数了，核对一下","√"))))))))))))))))))</f>
      </c>
      <c r="O1993" s="78">
        <f>IF(D1993&lt;&gt;"",D1993,IF(AND(F1993="",G1993=""),"",IF(J1993&lt;&gt;"",IF(N(F1993)&gt;0,"客户回款","客户退款"),IF(K1993&lt;&gt;"",IF(N(G1993)&gt;0,"供应商付款","供应商退款"),IF(L1993&lt;&gt;"","费用支出","")))))</f>
      </c>
      <c r="P1993" s="78">
        <f>IF(O1993="","",IFERROR(INDEX(基础资料!$AE$5:$AE$34,MATCH(O1993,基础资料!$AC$5:$AC$34,0)),"未知"))</f>
      </c>
      <c r="Q1993" s="78">
        <f>IF(P1993="应收",COUNTIF(P$7:P1993,"应收"),"")</f>
      </c>
      <c r="R1993" s="78">
        <f>IF(P1993="应付",COUNTIF(P$7:P1993,"应付"),"")</f>
      </c>
      <c r="S1993" s="78">
        <f>N(F1993)-N(G1993)</f>
        <v>0</v>
      </c>
    </row>
    <row r="1994">
      <c r="A1994" s="109">
        <f>IF(AND(F1994="",G1994=""),"",ROW()-6)</f>
      </c>
      <c r="B1994" s="140" t="n"/>
      <c r="C1994" s="141" t="n"/>
      <c r="D1994" s="141" t="n"/>
      <c r="E1994" s="142" t="n"/>
      <c r="F1994" s="143" t="n"/>
      <c r="G1994" s="144" t="n"/>
      <c r="H1994" s="145">
        <f>IF(OR(C1994="",AND(F1994="",G1994="")),"",SUMIF(基础资料!$W$5:$W$24,C1994,基础资料!$X$5:$X$24)+SUMIF(C$7:C1994,C1994,F$7:F1994)-SUMIF(C$7:C1994,C1994,G$7:G1994))</f>
      </c>
      <c r="I1994" s="145">
        <f>IF(AND(F1994="",G1994=""),"",SUM(基础资料!$X$5:$X$24)+SUM(F$7:F1994)-SUM(G$7:G1994))</f>
      </c>
      <c r="J1994" s="141" t="n"/>
      <c r="K1994" s="141" t="n"/>
      <c r="L1994" s="141" t="n"/>
      <c r="M1994" s="142" t="n"/>
      <c r="N1994" s="146">
        <f>IF(AND(AND(F1994="",G1994=""),B1994="",C1994="",D1994="",J1994="",K1994="",L1994=""),"",IF(AND(F1994="",G1994=""),"✗ 没填金额",IF(AND(N(F1994)&lt;&gt;0,N(G1994)&lt;&gt;0),"✗ 收入、支出只能填一边",IF(NOT(ISNUMBER(B1994)),"✗ 日期不是真日期（要像 2026/9/25 这样填）",IF(OR(B1994&lt;年初日,B1994&gt;年末日),"✗ 日期不在本会计年度",IF(C1994="","✗ 没选账户",IF(COUNTIF(基础资料!$W$5:$W$24,C1994)=0,"✗ 账户不在基础资料里",IF(O1994="","✗ 没选收支项目",IF(P1994="未知","✗ 收支项目不在基础资料里",IF(AND(P1994="应收",J1994=""),"✗ 这笔要选客户",IF(AND(P1994="应收",COUNTIF(总览汇总!$B$5:$B$304,J1994)=0),"✗ 客户不在总览汇总名单里",IF(AND(P1994="应付",K1994=""),"✗ 这笔要选供应商",IF(AND(P1994="应付",COUNTIF(基础资料!$Q$5:$Q$54,K1994)=0),"✗ 供应商不在基础资料里",IF(AND(P1994="费用",L1994=""),"✗ 费用支出要选费用项目",IF(AND(L1994&lt;&gt;"",COUNTIF(基础资料!$AI$5:$AI$54,L1994)=0),"✗ 费用项目不在基础资料里",IF(AND(IFERROR(INDEX(基础资料!$AD$5:$AD$34,MATCH(O1994,基础资料!$AC$5:$AC$34,0)),"")="收",N(G1994)&lt;&gt;0),"✗ 这类是收款，金额填到收入列",IF(AND(IFERROR(INDEX(基础资料!$AD$5:$AD$34,MATCH(O1994,基础资料!$AC$5:$AC$34,0)),"")="支",N(F1994)&lt;&gt;0),"✗ 这类是付款，金额填到支出列",IF(N(H1994)&lt;0,"⚠ 账户余额成负数了，核对一下","√"))))))))))))))))))</f>
      </c>
      <c r="O1994" s="78">
        <f>IF(D1994&lt;&gt;"",D1994,IF(AND(F1994="",G1994=""),"",IF(J1994&lt;&gt;"",IF(N(F1994)&gt;0,"客户回款","客户退款"),IF(K1994&lt;&gt;"",IF(N(G1994)&gt;0,"供应商付款","供应商退款"),IF(L1994&lt;&gt;"","费用支出","")))))</f>
      </c>
      <c r="P1994" s="78">
        <f>IF(O1994="","",IFERROR(INDEX(基础资料!$AE$5:$AE$34,MATCH(O1994,基础资料!$AC$5:$AC$34,0)),"未知"))</f>
      </c>
      <c r="Q1994" s="78">
        <f>IF(P1994="应收",COUNTIF(P$7:P1994,"应收"),"")</f>
      </c>
      <c r="R1994" s="78">
        <f>IF(P1994="应付",COUNTIF(P$7:P1994,"应付"),"")</f>
      </c>
      <c r="S1994" s="78">
        <f>N(F1994)-N(G1994)</f>
        <v>0</v>
      </c>
    </row>
    <row r="1995">
      <c r="A1995" s="109">
        <f>IF(AND(F1995="",G1995=""),"",ROW()-6)</f>
      </c>
      <c r="B1995" s="140" t="n"/>
      <c r="C1995" s="141" t="n"/>
      <c r="D1995" s="141" t="n"/>
      <c r="E1995" s="142" t="n"/>
      <c r="F1995" s="143" t="n"/>
      <c r="G1995" s="144" t="n"/>
      <c r="H1995" s="145">
        <f>IF(OR(C1995="",AND(F1995="",G1995="")),"",SUMIF(基础资料!$W$5:$W$24,C1995,基础资料!$X$5:$X$24)+SUMIF(C$7:C1995,C1995,F$7:F1995)-SUMIF(C$7:C1995,C1995,G$7:G1995))</f>
      </c>
      <c r="I1995" s="145">
        <f>IF(AND(F1995="",G1995=""),"",SUM(基础资料!$X$5:$X$24)+SUM(F$7:F1995)-SUM(G$7:G1995))</f>
      </c>
      <c r="J1995" s="141" t="n"/>
      <c r="K1995" s="141" t="n"/>
      <c r="L1995" s="141" t="n"/>
      <c r="M1995" s="142" t="n"/>
      <c r="N1995" s="146">
        <f>IF(AND(AND(F1995="",G1995=""),B1995="",C1995="",D1995="",J1995="",K1995="",L1995=""),"",IF(AND(F1995="",G1995=""),"✗ 没填金额",IF(AND(N(F1995)&lt;&gt;0,N(G1995)&lt;&gt;0),"✗ 收入、支出只能填一边",IF(NOT(ISNUMBER(B1995)),"✗ 日期不是真日期（要像 2026/9/25 这样填）",IF(OR(B1995&lt;年初日,B1995&gt;年末日),"✗ 日期不在本会计年度",IF(C1995="","✗ 没选账户",IF(COUNTIF(基础资料!$W$5:$W$24,C1995)=0,"✗ 账户不在基础资料里",IF(O1995="","✗ 没选收支项目",IF(P1995="未知","✗ 收支项目不在基础资料里",IF(AND(P1995="应收",J1995=""),"✗ 这笔要选客户",IF(AND(P1995="应收",COUNTIF(总览汇总!$B$5:$B$304,J1995)=0),"✗ 客户不在总览汇总名单里",IF(AND(P1995="应付",K1995=""),"✗ 这笔要选供应商",IF(AND(P1995="应付",COUNTIF(基础资料!$Q$5:$Q$54,K1995)=0),"✗ 供应商不在基础资料里",IF(AND(P1995="费用",L1995=""),"✗ 费用支出要选费用项目",IF(AND(L1995&lt;&gt;"",COUNTIF(基础资料!$AI$5:$AI$54,L1995)=0),"✗ 费用项目不在基础资料里",IF(AND(IFERROR(INDEX(基础资料!$AD$5:$AD$34,MATCH(O1995,基础资料!$AC$5:$AC$34,0)),"")="收",N(G1995)&lt;&gt;0),"✗ 这类是收款，金额填到收入列",IF(AND(IFERROR(INDEX(基础资料!$AD$5:$AD$34,MATCH(O1995,基础资料!$AC$5:$AC$34,0)),"")="支",N(F1995)&lt;&gt;0),"✗ 这类是付款，金额填到支出列",IF(N(H1995)&lt;0,"⚠ 账户余额成负数了，核对一下","√"))))))))))))))))))</f>
      </c>
      <c r="O1995" s="78">
        <f>IF(D1995&lt;&gt;"",D1995,IF(AND(F1995="",G1995=""),"",IF(J1995&lt;&gt;"",IF(N(F1995)&gt;0,"客户回款","客户退款"),IF(K1995&lt;&gt;"",IF(N(G1995)&gt;0,"供应商付款","供应商退款"),IF(L1995&lt;&gt;"","费用支出","")))))</f>
      </c>
      <c r="P1995" s="78">
        <f>IF(O1995="","",IFERROR(INDEX(基础资料!$AE$5:$AE$34,MATCH(O1995,基础资料!$AC$5:$AC$34,0)),"未知"))</f>
      </c>
      <c r="Q1995" s="78">
        <f>IF(P1995="应收",COUNTIF(P$7:P1995,"应收"),"")</f>
      </c>
      <c r="R1995" s="78">
        <f>IF(P1995="应付",COUNTIF(P$7:P1995,"应付"),"")</f>
      </c>
      <c r="S1995" s="78">
        <f>N(F1995)-N(G1995)</f>
        <v>0</v>
      </c>
    </row>
    <row r="1996">
      <c r="A1996" s="109">
        <f>IF(AND(F1996="",G1996=""),"",ROW()-6)</f>
      </c>
      <c r="B1996" s="140" t="n"/>
      <c r="C1996" s="141" t="n"/>
      <c r="D1996" s="141" t="n"/>
      <c r="E1996" s="142" t="n"/>
      <c r="F1996" s="143" t="n"/>
      <c r="G1996" s="144" t="n"/>
      <c r="H1996" s="145">
        <f>IF(OR(C1996="",AND(F1996="",G1996="")),"",SUMIF(基础资料!$W$5:$W$24,C1996,基础资料!$X$5:$X$24)+SUMIF(C$7:C1996,C1996,F$7:F1996)-SUMIF(C$7:C1996,C1996,G$7:G1996))</f>
      </c>
      <c r="I1996" s="145">
        <f>IF(AND(F1996="",G1996=""),"",SUM(基础资料!$X$5:$X$24)+SUM(F$7:F1996)-SUM(G$7:G1996))</f>
      </c>
      <c r="J1996" s="141" t="n"/>
      <c r="K1996" s="141" t="n"/>
      <c r="L1996" s="141" t="n"/>
      <c r="M1996" s="142" t="n"/>
      <c r="N1996" s="146">
        <f>IF(AND(AND(F1996="",G1996=""),B1996="",C1996="",D1996="",J1996="",K1996="",L1996=""),"",IF(AND(F1996="",G1996=""),"✗ 没填金额",IF(AND(N(F1996)&lt;&gt;0,N(G1996)&lt;&gt;0),"✗ 收入、支出只能填一边",IF(NOT(ISNUMBER(B1996)),"✗ 日期不是真日期（要像 2026/9/25 这样填）",IF(OR(B1996&lt;年初日,B1996&gt;年末日),"✗ 日期不在本会计年度",IF(C1996="","✗ 没选账户",IF(COUNTIF(基础资料!$W$5:$W$24,C1996)=0,"✗ 账户不在基础资料里",IF(O1996="","✗ 没选收支项目",IF(P1996="未知","✗ 收支项目不在基础资料里",IF(AND(P1996="应收",J1996=""),"✗ 这笔要选客户",IF(AND(P1996="应收",COUNTIF(总览汇总!$B$5:$B$304,J1996)=0),"✗ 客户不在总览汇总名单里",IF(AND(P1996="应付",K1996=""),"✗ 这笔要选供应商",IF(AND(P1996="应付",COUNTIF(基础资料!$Q$5:$Q$54,K1996)=0),"✗ 供应商不在基础资料里",IF(AND(P1996="费用",L1996=""),"✗ 费用支出要选费用项目",IF(AND(L1996&lt;&gt;"",COUNTIF(基础资料!$AI$5:$AI$54,L1996)=0),"✗ 费用项目不在基础资料里",IF(AND(IFERROR(INDEX(基础资料!$AD$5:$AD$34,MATCH(O1996,基础资料!$AC$5:$AC$34,0)),"")="收",N(G1996)&lt;&gt;0),"✗ 这类是收款，金额填到收入列",IF(AND(IFERROR(INDEX(基础资料!$AD$5:$AD$34,MATCH(O1996,基础资料!$AC$5:$AC$34,0)),"")="支",N(F1996)&lt;&gt;0),"✗ 这类是付款，金额填到支出列",IF(N(H1996)&lt;0,"⚠ 账户余额成负数了，核对一下","√"))))))))))))))))))</f>
      </c>
      <c r="O1996" s="78">
        <f>IF(D1996&lt;&gt;"",D1996,IF(AND(F1996="",G1996=""),"",IF(J1996&lt;&gt;"",IF(N(F1996)&gt;0,"客户回款","客户退款"),IF(K1996&lt;&gt;"",IF(N(G1996)&gt;0,"供应商付款","供应商退款"),IF(L1996&lt;&gt;"","费用支出","")))))</f>
      </c>
      <c r="P1996" s="78">
        <f>IF(O1996="","",IFERROR(INDEX(基础资料!$AE$5:$AE$34,MATCH(O1996,基础资料!$AC$5:$AC$34,0)),"未知"))</f>
      </c>
      <c r="Q1996" s="78">
        <f>IF(P1996="应收",COUNTIF(P$7:P1996,"应收"),"")</f>
      </c>
      <c r="R1996" s="78">
        <f>IF(P1996="应付",COUNTIF(P$7:P1996,"应付"),"")</f>
      </c>
      <c r="S1996" s="78">
        <f>N(F1996)-N(G1996)</f>
        <v>0</v>
      </c>
    </row>
    <row r="1997">
      <c r="A1997" s="109">
        <f>IF(AND(F1997="",G1997=""),"",ROW()-6)</f>
      </c>
      <c r="B1997" s="140" t="n"/>
      <c r="C1997" s="141" t="n"/>
      <c r="D1997" s="141" t="n"/>
      <c r="E1997" s="142" t="n"/>
      <c r="F1997" s="143" t="n"/>
      <c r="G1997" s="144" t="n"/>
      <c r="H1997" s="145">
        <f>IF(OR(C1997="",AND(F1997="",G1997="")),"",SUMIF(基础资料!$W$5:$W$24,C1997,基础资料!$X$5:$X$24)+SUMIF(C$7:C1997,C1997,F$7:F1997)-SUMIF(C$7:C1997,C1997,G$7:G1997))</f>
      </c>
      <c r="I1997" s="145">
        <f>IF(AND(F1997="",G1997=""),"",SUM(基础资料!$X$5:$X$24)+SUM(F$7:F1997)-SUM(G$7:G1997))</f>
      </c>
      <c r="J1997" s="141" t="n"/>
      <c r="K1997" s="141" t="n"/>
      <c r="L1997" s="141" t="n"/>
      <c r="M1997" s="142" t="n"/>
      <c r="N1997" s="146">
        <f>IF(AND(AND(F1997="",G1997=""),B1997="",C1997="",D1997="",J1997="",K1997="",L1997=""),"",IF(AND(F1997="",G1997=""),"✗ 没填金额",IF(AND(N(F1997)&lt;&gt;0,N(G1997)&lt;&gt;0),"✗ 收入、支出只能填一边",IF(NOT(ISNUMBER(B1997)),"✗ 日期不是真日期（要像 2026/9/25 这样填）",IF(OR(B1997&lt;年初日,B1997&gt;年末日),"✗ 日期不在本会计年度",IF(C1997="","✗ 没选账户",IF(COUNTIF(基础资料!$W$5:$W$24,C1997)=0,"✗ 账户不在基础资料里",IF(O1997="","✗ 没选收支项目",IF(P1997="未知","✗ 收支项目不在基础资料里",IF(AND(P1997="应收",J1997=""),"✗ 这笔要选客户",IF(AND(P1997="应收",COUNTIF(总览汇总!$B$5:$B$304,J1997)=0),"✗ 客户不在总览汇总名单里",IF(AND(P1997="应付",K1997=""),"✗ 这笔要选供应商",IF(AND(P1997="应付",COUNTIF(基础资料!$Q$5:$Q$54,K1997)=0),"✗ 供应商不在基础资料里",IF(AND(P1997="费用",L1997=""),"✗ 费用支出要选费用项目",IF(AND(L1997&lt;&gt;"",COUNTIF(基础资料!$AI$5:$AI$54,L1997)=0),"✗ 费用项目不在基础资料里",IF(AND(IFERROR(INDEX(基础资料!$AD$5:$AD$34,MATCH(O1997,基础资料!$AC$5:$AC$34,0)),"")="收",N(G1997)&lt;&gt;0),"✗ 这类是收款，金额填到收入列",IF(AND(IFERROR(INDEX(基础资料!$AD$5:$AD$34,MATCH(O1997,基础资料!$AC$5:$AC$34,0)),"")="支",N(F1997)&lt;&gt;0),"✗ 这类是付款，金额填到支出列",IF(N(H1997)&lt;0,"⚠ 账户余额成负数了，核对一下","√"))))))))))))))))))</f>
      </c>
      <c r="O1997" s="78">
        <f>IF(D1997&lt;&gt;"",D1997,IF(AND(F1997="",G1997=""),"",IF(J1997&lt;&gt;"",IF(N(F1997)&gt;0,"客户回款","客户退款"),IF(K1997&lt;&gt;"",IF(N(G1997)&gt;0,"供应商付款","供应商退款"),IF(L1997&lt;&gt;"","费用支出","")))))</f>
      </c>
      <c r="P1997" s="78">
        <f>IF(O1997="","",IFERROR(INDEX(基础资料!$AE$5:$AE$34,MATCH(O1997,基础资料!$AC$5:$AC$34,0)),"未知"))</f>
      </c>
      <c r="Q1997" s="78">
        <f>IF(P1997="应收",COUNTIF(P$7:P1997,"应收"),"")</f>
      </c>
      <c r="R1997" s="78">
        <f>IF(P1997="应付",COUNTIF(P$7:P1997,"应付"),"")</f>
      </c>
      <c r="S1997" s="78">
        <f>N(F1997)-N(G1997)</f>
        <v>0</v>
      </c>
    </row>
    <row r="1998">
      <c r="A1998" s="109">
        <f>IF(AND(F1998="",G1998=""),"",ROW()-6)</f>
      </c>
      <c r="B1998" s="140" t="n"/>
      <c r="C1998" s="141" t="n"/>
      <c r="D1998" s="141" t="n"/>
      <c r="E1998" s="142" t="n"/>
      <c r="F1998" s="143" t="n"/>
      <c r="G1998" s="144" t="n"/>
      <c r="H1998" s="145">
        <f>IF(OR(C1998="",AND(F1998="",G1998="")),"",SUMIF(基础资料!$W$5:$W$24,C1998,基础资料!$X$5:$X$24)+SUMIF(C$7:C1998,C1998,F$7:F1998)-SUMIF(C$7:C1998,C1998,G$7:G1998))</f>
      </c>
      <c r="I1998" s="145">
        <f>IF(AND(F1998="",G1998=""),"",SUM(基础资料!$X$5:$X$24)+SUM(F$7:F1998)-SUM(G$7:G1998))</f>
      </c>
      <c r="J1998" s="141" t="n"/>
      <c r="K1998" s="141" t="n"/>
      <c r="L1998" s="141" t="n"/>
      <c r="M1998" s="142" t="n"/>
      <c r="N1998" s="146">
        <f>IF(AND(AND(F1998="",G1998=""),B1998="",C1998="",D1998="",J1998="",K1998="",L1998=""),"",IF(AND(F1998="",G1998=""),"✗ 没填金额",IF(AND(N(F1998)&lt;&gt;0,N(G1998)&lt;&gt;0),"✗ 收入、支出只能填一边",IF(NOT(ISNUMBER(B1998)),"✗ 日期不是真日期（要像 2026/9/25 这样填）",IF(OR(B1998&lt;年初日,B1998&gt;年末日),"✗ 日期不在本会计年度",IF(C1998="","✗ 没选账户",IF(COUNTIF(基础资料!$W$5:$W$24,C1998)=0,"✗ 账户不在基础资料里",IF(O1998="","✗ 没选收支项目",IF(P1998="未知","✗ 收支项目不在基础资料里",IF(AND(P1998="应收",J1998=""),"✗ 这笔要选客户",IF(AND(P1998="应收",COUNTIF(总览汇总!$B$5:$B$304,J1998)=0),"✗ 客户不在总览汇总名单里",IF(AND(P1998="应付",K1998=""),"✗ 这笔要选供应商",IF(AND(P1998="应付",COUNTIF(基础资料!$Q$5:$Q$54,K1998)=0),"✗ 供应商不在基础资料里",IF(AND(P1998="费用",L1998=""),"✗ 费用支出要选费用项目",IF(AND(L1998&lt;&gt;"",COUNTIF(基础资料!$AI$5:$AI$54,L1998)=0),"✗ 费用项目不在基础资料里",IF(AND(IFERROR(INDEX(基础资料!$AD$5:$AD$34,MATCH(O1998,基础资料!$AC$5:$AC$34,0)),"")="收",N(G1998)&lt;&gt;0),"✗ 这类是收款，金额填到收入列",IF(AND(IFERROR(INDEX(基础资料!$AD$5:$AD$34,MATCH(O1998,基础资料!$AC$5:$AC$34,0)),"")="支",N(F1998)&lt;&gt;0),"✗ 这类是付款，金额填到支出列",IF(N(H1998)&lt;0,"⚠ 账户余额成负数了，核对一下","√"))))))))))))))))))</f>
      </c>
      <c r="O1998" s="78">
        <f>IF(D1998&lt;&gt;"",D1998,IF(AND(F1998="",G1998=""),"",IF(J1998&lt;&gt;"",IF(N(F1998)&gt;0,"客户回款","客户退款"),IF(K1998&lt;&gt;"",IF(N(G1998)&gt;0,"供应商付款","供应商退款"),IF(L1998&lt;&gt;"","费用支出","")))))</f>
      </c>
      <c r="P1998" s="78">
        <f>IF(O1998="","",IFERROR(INDEX(基础资料!$AE$5:$AE$34,MATCH(O1998,基础资料!$AC$5:$AC$34,0)),"未知"))</f>
      </c>
      <c r="Q1998" s="78">
        <f>IF(P1998="应收",COUNTIF(P$7:P1998,"应收"),"")</f>
      </c>
      <c r="R1998" s="78">
        <f>IF(P1998="应付",COUNTIF(P$7:P1998,"应付"),"")</f>
      </c>
      <c r="S1998" s="78">
        <f>N(F1998)-N(G1998)</f>
        <v>0</v>
      </c>
    </row>
    <row r="1999">
      <c r="A1999" s="109">
        <f>IF(AND(F1999="",G1999=""),"",ROW()-6)</f>
      </c>
      <c r="B1999" s="140" t="n"/>
      <c r="C1999" s="141" t="n"/>
      <c r="D1999" s="141" t="n"/>
      <c r="E1999" s="142" t="n"/>
      <c r="F1999" s="143" t="n"/>
      <c r="G1999" s="144" t="n"/>
      <c r="H1999" s="145">
        <f>IF(OR(C1999="",AND(F1999="",G1999="")),"",SUMIF(基础资料!$W$5:$W$24,C1999,基础资料!$X$5:$X$24)+SUMIF(C$7:C1999,C1999,F$7:F1999)-SUMIF(C$7:C1999,C1999,G$7:G1999))</f>
      </c>
      <c r="I1999" s="145">
        <f>IF(AND(F1999="",G1999=""),"",SUM(基础资料!$X$5:$X$24)+SUM(F$7:F1999)-SUM(G$7:G1999))</f>
      </c>
      <c r="J1999" s="141" t="n"/>
      <c r="K1999" s="141" t="n"/>
      <c r="L1999" s="141" t="n"/>
      <c r="M1999" s="142" t="n"/>
      <c r="N1999" s="146">
        <f>IF(AND(AND(F1999="",G1999=""),B1999="",C1999="",D1999="",J1999="",K1999="",L1999=""),"",IF(AND(F1999="",G1999=""),"✗ 没填金额",IF(AND(N(F1999)&lt;&gt;0,N(G1999)&lt;&gt;0),"✗ 收入、支出只能填一边",IF(NOT(ISNUMBER(B1999)),"✗ 日期不是真日期（要像 2026/9/25 这样填）",IF(OR(B1999&lt;年初日,B1999&gt;年末日),"✗ 日期不在本会计年度",IF(C1999="","✗ 没选账户",IF(COUNTIF(基础资料!$W$5:$W$24,C1999)=0,"✗ 账户不在基础资料里",IF(O1999="","✗ 没选收支项目",IF(P1999="未知","✗ 收支项目不在基础资料里",IF(AND(P1999="应收",J1999=""),"✗ 这笔要选客户",IF(AND(P1999="应收",COUNTIF(总览汇总!$B$5:$B$304,J1999)=0),"✗ 客户不在总览汇总名单里",IF(AND(P1999="应付",K1999=""),"✗ 这笔要选供应商",IF(AND(P1999="应付",COUNTIF(基础资料!$Q$5:$Q$54,K1999)=0),"✗ 供应商不在基础资料里",IF(AND(P1999="费用",L1999=""),"✗ 费用支出要选费用项目",IF(AND(L1999&lt;&gt;"",COUNTIF(基础资料!$AI$5:$AI$54,L1999)=0),"✗ 费用项目不在基础资料里",IF(AND(IFERROR(INDEX(基础资料!$AD$5:$AD$34,MATCH(O1999,基础资料!$AC$5:$AC$34,0)),"")="收",N(G1999)&lt;&gt;0),"✗ 这类是收款，金额填到收入列",IF(AND(IFERROR(INDEX(基础资料!$AD$5:$AD$34,MATCH(O1999,基础资料!$AC$5:$AC$34,0)),"")="支",N(F1999)&lt;&gt;0),"✗ 这类是付款，金额填到支出列",IF(N(H1999)&lt;0,"⚠ 账户余额成负数了，核对一下","√"))))))))))))))))))</f>
      </c>
      <c r="O1999" s="78">
        <f>IF(D1999&lt;&gt;"",D1999,IF(AND(F1999="",G1999=""),"",IF(J1999&lt;&gt;"",IF(N(F1999)&gt;0,"客户回款","客户退款"),IF(K1999&lt;&gt;"",IF(N(G1999)&gt;0,"供应商付款","供应商退款"),IF(L1999&lt;&gt;"","费用支出","")))))</f>
      </c>
      <c r="P1999" s="78">
        <f>IF(O1999="","",IFERROR(INDEX(基础资料!$AE$5:$AE$34,MATCH(O1999,基础资料!$AC$5:$AC$34,0)),"未知"))</f>
      </c>
      <c r="Q1999" s="78">
        <f>IF(P1999="应收",COUNTIF(P$7:P1999,"应收"),"")</f>
      </c>
      <c r="R1999" s="78">
        <f>IF(P1999="应付",COUNTIF(P$7:P1999,"应付"),"")</f>
      </c>
      <c r="S1999" s="78">
        <f>N(F1999)-N(G1999)</f>
        <v>0</v>
      </c>
    </row>
    <row r="2000">
      <c r="A2000" s="109">
        <f>IF(AND(F2000="",G2000=""),"",ROW()-6)</f>
      </c>
      <c r="B2000" s="140" t="n"/>
      <c r="C2000" s="141" t="n"/>
      <c r="D2000" s="141" t="n"/>
      <c r="E2000" s="142" t="n"/>
      <c r="F2000" s="143" t="n"/>
      <c r="G2000" s="144" t="n"/>
      <c r="H2000" s="145">
        <f>IF(OR(C2000="",AND(F2000="",G2000="")),"",SUMIF(基础资料!$W$5:$W$24,C2000,基础资料!$X$5:$X$24)+SUMIF(C$7:C2000,C2000,F$7:F2000)-SUMIF(C$7:C2000,C2000,G$7:G2000))</f>
      </c>
      <c r="I2000" s="145">
        <f>IF(AND(F2000="",G2000=""),"",SUM(基础资料!$X$5:$X$24)+SUM(F$7:F2000)-SUM(G$7:G2000))</f>
      </c>
      <c r="J2000" s="141" t="n"/>
      <c r="K2000" s="141" t="n"/>
      <c r="L2000" s="141" t="n"/>
      <c r="M2000" s="142" t="n"/>
      <c r="N2000" s="146">
        <f>IF(AND(AND(F2000="",G2000=""),B2000="",C2000="",D2000="",J2000="",K2000="",L2000=""),"",IF(AND(F2000="",G2000=""),"✗ 没填金额",IF(AND(N(F2000)&lt;&gt;0,N(G2000)&lt;&gt;0),"✗ 收入、支出只能填一边",IF(NOT(ISNUMBER(B2000)),"✗ 日期不是真日期（要像 2026/9/25 这样填）",IF(OR(B2000&lt;年初日,B2000&gt;年末日),"✗ 日期不在本会计年度",IF(C2000="","✗ 没选账户",IF(COUNTIF(基础资料!$W$5:$W$24,C2000)=0,"✗ 账户不在基础资料里",IF(O2000="","✗ 没选收支项目",IF(P2000="未知","✗ 收支项目不在基础资料里",IF(AND(P2000="应收",J2000=""),"✗ 这笔要选客户",IF(AND(P2000="应收",COUNTIF(总览汇总!$B$5:$B$304,J2000)=0),"✗ 客户不在总览汇总名单里",IF(AND(P2000="应付",K2000=""),"✗ 这笔要选供应商",IF(AND(P2000="应付",COUNTIF(基础资料!$Q$5:$Q$54,K2000)=0),"✗ 供应商不在基础资料里",IF(AND(P2000="费用",L2000=""),"✗ 费用支出要选费用项目",IF(AND(L2000&lt;&gt;"",COUNTIF(基础资料!$AI$5:$AI$54,L2000)=0),"✗ 费用项目不在基础资料里",IF(AND(IFERROR(INDEX(基础资料!$AD$5:$AD$34,MATCH(O2000,基础资料!$AC$5:$AC$34,0)),"")="收",N(G2000)&lt;&gt;0),"✗ 这类是收款，金额填到收入列",IF(AND(IFERROR(INDEX(基础资料!$AD$5:$AD$34,MATCH(O2000,基础资料!$AC$5:$AC$34,0)),"")="支",N(F2000)&lt;&gt;0),"✗ 这类是付款，金额填到支出列",IF(N(H2000)&lt;0,"⚠ 账户余额成负数了，核对一下","√"))))))))))))))))))</f>
      </c>
      <c r="O2000" s="78">
        <f>IF(D2000&lt;&gt;"",D2000,IF(AND(F2000="",G2000=""),"",IF(J2000&lt;&gt;"",IF(N(F2000)&gt;0,"客户回款","客户退款"),IF(K2000&lt;&gt;"",IF(N(G2000)&gt;0,"供应商付款","供应商退款"),IF(L2000&lt;&gt;"","费用支出","")))))</f>
      </c>
      <c r="P2000" s="78">
        <f>IF(O2000="","",IFERROR(INDEX(基础资料!$AE$5:$AE$34,MATCH(O2000,基础资料!$AC$5:$AC$34,0)),"未知"))</f>
      </c>
      <c r="Q2000" s="78">
        <f>IF(P2000="应收",COUNTIF(P$7:P2000,"应收"),"")</f>
      </c>
      <c r="R2000" s="78">
        <f>IF(P2000="应付",COUNTIF(P$7:P2000,"应付"),"")</f>
      </c>
      <c r="S2000" s="78">
        <f>N(F2000)-N(G2000)</f>
        <v>0</v>
      </c>
    </row>
    <row r="2001">
      <c r="A2001" s="109">
        <f>IF(AND(F2001="",G2001=""),"",ROW()-6)</f>
      </c>
      <c r="B2001" s="140" t="n"/>
      <c r="C2001" s="141" t="n"/>
      <c r="D2001" s="141" t="n"/>
      <c r="E2001" s="142" t="n"/>
      <c r="F2001" s="143" t="n"/>
      <c r="G2001" s="144" t="n"/>
      <c r="H2001" s="145">
        <f>IF(OR(C2001="",AND(F2001="",G2001="")),"",SUMIF(基础资料!$W$5:$W$24,C2001,基础资料!$X$5:$X$24)+SUMIF(C$7:C2001,C2001,F$7:F2001)-SUMIF(C$7:C2001,C2001,G$7:G2001))</f>
      </c>
      <c r="I2001" s="145">
        <f>IF(AND(F2001="",G2001=""),"",SUM(基础资料!$X$5:$X$24)+SUM(F$7:F2001)-SUM(G$7:G2001))</f>
      </c>
      <c r="J2001" s="141" t="n"/>
      <c r="K2001" s="141" t="n"/>
      <c r="L2001" s="141" t="n"/>
      <c r="M2001" s="142" t="n"/>
      <c r="N2001" s="146">
        <f>IF(AND(AND(F2001="",G2001=""),B2001="",C2001="",D2001="",J2001="",K2001="",L2001=""),"",IF(AND(F2001="",G2001=""),"✗ 没填金额",IF(AND(N(F2001)&lt;&gt;0,N(G2001)&lt;&gt;0),"✗ 收入、支出只能填一边",IF(NOT(ISNUMBER(B2001)),"✗ 日期不是真日期（要像 2026/9/25 这样填）",IF(OR(B2001&lt;年初日,B2001&gt;年末日),"✗ 日期不在本会计年度",IF(C2001="","✗ 没选账户",IF(COUNTIF(基础资料!$W$5:$W$24,C2001)=0,"✗ 账户不在基础资料里",IF(O2001="","✗ 没选收支项目",IF(P2001="未知","✗ 收支项目不在基础资料里",IF(AND(P2001="应收",J2001=""),"✗ 这笔要选客户",IF(AND(P2001="应收",COUNTIF(总览汇总!$B$5:$B$304,J2001)=0),"✗ 客户不在总览汇总名单里",IF(AND(P2001="应付",K2001=""),"✗ 这笔要选供应商",IF(AND(P2001="应付",COUNTIF(基础资料!$Q$5:$Q$54,K2001)=0),"✗ 供应商不在基础资料里",IF(AND(P2001="费用",L2001=""),"✗ 费用支出要选费用项目",IF(AND(L2001&lt;&gt;"",COUNTIF(基础资料!$AI$5:$AI$54,L2001)=0),"✗ 费用项目不在基础资料里",IF(AND(IFERROR(INDEX(基础资料!$AD$5:$AD$34,MATCH(O2001,基础资料!$AC$5:$AC$34,0)),"")="收",N(G2001)&lt;&gt;0),"✗ 这类是收款，金额填到收入列",IF(AND(IFERROR(INDEX(基础资料!$AD$5:$AD$34,MATCH(O2001,基础资料!$AC$5:$AC$34,0)),"")="支",N(F2001)&lt;&gt;0),"✗ 这类是付款，金额填到支出列",IF(N(H2001)&lt;0,"⚠ 账户余额成负数了，核对一下","√"))))))))))))))))))</f>
      </c>
      <c r="O2001" s="78">
        <f>IF(D2001&lt;&gt;"",D2001,IF(AND(F2001="",G2001=""),"",IF(J2001&lt;&gt;"",IF(N(F2001)&gt;0,"客户回款","客户退款"),IF(K2001&lt;&gt;"",IF(N(G2001)&gt;0,"供应商付款","供应商退款"),IF(L2001&lt;&gt;"","费用支出","")))))</f>
      </c>
      <c r="P2001" s="78">
        <f>IF(O2001="","",IFERROR(INDEX(基础资料!$AE$5:$AE$34,MATCH(O2001,基础资料!$AC$5:$AC$34,0)),"未知"))</f>
      </c>
      <c r="Q2001" s="78">
        <f>IF(P2001="应收",COUNTIF(P$7:P2001,"应收"),"")</f>
      </c>
      <c r="R2001" s="78">
        <f>IF(P2001="应付",COUNTIF(P$7:P2001,"应付"),"")</f>
      </c>
      <c r="S2001" s="78">
        <f>N(F2001)-N(G2001)</f>
        <v>0</v>
      </c>
    </row>
    <row r="2002">
      <c r="A2002" s="109">
        <f>IF(AND(F2002="",G2002=""),"",ROW()-6)</f>
      </c>
      <c r="B2002" s="140" t="n"/>
      <c r="C2002" s="141" t="n"/>
      <c r="D2002" s="141" t="n"/>
      <c r="E2002" s="142" t="n"/>
      <c r="F2002" s="143" t="n"/>
      <c r="G2002" s="144" t="n"/>
      <c r="H2002" s="145">
        <f>IF(OR(C2002="",AND(F2002="",G2002="")),"",SUMIF(基础资料!$W$5:$W$24,C2002,基础资料!$X$5:$X$24)+SUMIF(C$7:C2002,C2002,F$7:F2002)-SUMIF(C$7:C2002,C2002,G$7:G2002))</f>
      </c>
      <c r="I2002" s="145">
        <f>IF(AND(F2002="",G2002=""),"",SUM(基础资料!$X$5:$X$24)+SUM(F$7:F2002)-SUM(G$7:G2002))</f>
      </c>
      <c r="J2002" s="141" t="n"/>
      <c r="K2002" s="141" t="n"/>
      <c r="L2002" s="141" t="n"/>
      <c r="M2002" s="142" t="n"/>
      <c r="N2002" s="146">
        <f>IF(AND(AND(F2002="",G2002=""),B2002="",C2002="",D2002="",J2002="",K2002="",L2002=""),"",IF(AND(F2002="",G2002=""),"✗ 没填金额",IF(AND(N(F2002)&lt;&gt;0,N(G2002)&lt;&gt;0),"✗ 收入、支出只能填一边",IF(NOT(ISNUMBER(B2002)),"✗ 日期不是真日期（要像 2026/9/25 这样填）",IF(OR(B2002&lt;年初日,B2002&gt;年末日),"✗ 日期不在本会计年度",IF(C2002="","✗ 没选账户",IF(COUNTIF(基础资料!$W$5:$W$24,C2002)=0,"✗ 账户不在基础资料里",IF(O2002="","✗ 没选收支项目",IF(P2002="未知","✗ 收支项目不在基础资料里",IF(AND(P2002="应收",J2002=""),"✗ 这笔要选客户",IF(AND(P2002="应收",COUNTIF(总览汇总!$B$5:$B$304,J2002)=0),"✗ 客户不在总览汇总名单里",IF(AND(P2002="应付",K2002=""),"✗ 这笔要选供应商",IF(AND(P2002="应付",COUNTIF(基础资料!$Q$5:$Q$54,K2002)=0),"✗ 供应商不在基础资料里",IF(AND(P2002="费用",L2002=""),"✗ 费用支出要选费用项目",IF(AND(L2002&lt;&gt;"",COUNTIF(基础资料!$AI$5:$AI$54,L2002)=0),"✗ 费用项目不在基础资料里",IF(AND(IFERROR(INDEX(基础资料!$AD$5:$AD$34,MATCH(O2002,基础资料!$AC$5:$AC$34,0)),"")="收",N(G2002)&lt;&gt;0),"✗ 这类是收款，金额填到收入列",IF(AND(IFERROR(INDEX(基础资料!$AD$5:$AD$34,MATCH(O2002,基础资料!$AC$5:$AC$34,0)),"")="支",N(F2002)&lt;&gt;0),"✗ 这类是付款，金额填到支出列",IF(N(H2002)&lt;0,"⚠ 账户余额成负数了，核对一下","√"))))))))))))))))))</f>
      </c>
      <c r="O2002" s="78">
        <f>IF(D2002&lt;&gt;"",D2002,IF(AND(F2002="",G2002=""),"",IF(J2002&lt;&gt;"",IF(N(F2002)&gt;0,"客户回款","客户退款"),IF(K2002&lt;&gt;"",IF(N(G2002)&gt;0,"供应商付款","供应商退款"),IF(L2002&lt;&gt;"","费用支出","")))))</f>
      </c>
      <c r="P2002" s="78">
        <f>IF(O2002="","",IFERROR(INDEX(基础资料!$AE$5:$AE$34,MATCH(O2002,基础资料!$AC$5:$AC$34,0)),"未知"))</f>
      </c>
      <c r="Q2002" s="78">
        <f>IF(P2002="应收",COUNTIF(P$7:P2002,"应收"),"")</f>
      </c>
      <c r="R2002" s="78">
        <f>IF(P2002="应付",COUNTIF(P$7:P2002,"应付"),"")</f>
      </c>
      <c r="S2002" s="78">
        <f>N(F2002)-N(G2002)</f>
        <v>0</v>
      </c>
    </row>
    <row r="2003">
      <c r="A2003" s="109">
        <f>IF(AND(F2003="",G2003=""),"",ROW()-6)</f>
      </c>
      <c r="B2003" s="140" t="n"/>
      <c r="C2003" s="141" t="n"/>
      <c r="D2003" s="141" t="n"/>
      <c r="E2003" s="142" t="n"/>
      <c r="F2003" s="143" t="n"/>
      <c r="G2003" s="144" t="n"/>
      <c r="H2003" s="145">
        <f>IF(OR(C2003="",AND(F2003="",G2003="")),"",SUMIF(基础资料!$W$5:$W$24,C2003,基础资料!$X$5:$X$24)+SUMIF(C$7:C2003,C2003,F$7:F2003)-SUMIF(C$7:C2003,C2003,G$7:G2003))</f>
      </c>
      <c r="I2003" s="145">
        <f>IF(AND(F2003="",G2003=""),"",SUM(基础资料!$X$5:$X$24)+SUM(F$7:F2003)-SUM(G$7:G2003))</f>
      </c>
      <c r="J2003" s="141" t="n"/>
      <c r="K2003" s="141" t="n"/>
      <c r="L2003" s="141" t="n"/>
      <c r="M2003" s="142" t="n"/>
      <c r="N2003" s="146">
        <f>IF(AND(AND(F2003="",G2003=""),B2003="",C2003="",D2003="",J2003="",K2003="",L2003=""),"",IF(AND(F2003="",G2003=""),"✗ 没填金额",IF(AND(N(F2003)&lt;&gt;0,N(G2003)&lt;&gt;0),"✗ 收入、支出只能填一边",IF(NOT(ISNUMBER(B2003)),"✗ 日期不是真日期（要像 2026/9/25 这样填）",IF(OR(B2003&lt;年初日,B2003&gt;年末日),"✗ 日期不在本会计年度",IF(C2003="","✗ 没选账户",IF(COUNTIF(基础资料!$W$5:$W$24,C2003)=0,"✗ 账户不在基础资料里",IF(O2003="","✗ 没选收支项目",IF(P2003="未知","✗ 收支项目不在基础资料里",IF(AND(P2003="应收",J2003=""),"✗ 这笔要选客户",IF(AND(P2003="应收",COUNTIF(总览汇总!$B$5:$B$304,J2003)=0),"✗ 客户不在总览汇总名单里",IF(AND(P2003="应付",K2003=""),"✗ 这笔要选供应商",IF(AND(P2003="应付",COUNTIF(基础资料!$Q$5:$Q$54,K2003)=0),"✗ 供应商不在基础资料里",IF(AND(P2003="费用",L2003=""),"✗ 费用支出要选费用项目",IF(AND(L2003&lt;&gt;"",COUNTIF(基础资料!$AI$5:$AI$54,L2003)=0),"✗ 费用项目不在基础资料里",IF(AND(IFERROR(INDEX(基础资料!$AD$5:$AD$34,MATCH(O2003,基础资料!$AC$5:$AC$34,0)),"")="收",N(G2003)&lt;&gt;0),"✗ 这类是收款，金额填到收入列",IF(AND(IFERROR(INDEX(基础资料!$AD$5:$AD$34,MATCH(O2003,基础资料!$AC$5:$AC$34,0)),"")="支",N(F2003)&lt;&gt;0),"✗ 这类是付款，金额填到支出列",IF(N(H2003)&lt;0,"⚠ 账户余额成负数了，核对一下","√"))))))))))))))))))</f>
      </c>
      <c r="O2003" s="78">
        <f>IF(D2003&lt;&gt;"",D2003,IF(AND(F2003="",G2003=""),"",IF(J2003&lt;&gt;"",IF(N(F2003)&gt;0,"客户回款","客户退款"),IF(K2003&lt;&gt;"",IF(N(G2003)&gt;0,"供应商付款","供应商退款"),IF(L2003&lt;&gt;"","费用支出","")))))</f>
      </c>
      <c r="P2003" s="78">
        <f>IF(O2003="","",IFERROR(INDEX(基础资料!$AE$5:$AE$34,MATCH(O2003,基础资料!$AC$5:$AC$34,0)),"未知"))</f>
      </c>
      <c r="Q2003" s="78">
        <f>IF(P2003="应收",COUNTIF(P$7:P2003,"应收"),"")</f>
      </c>
      <c r="R2003" s="78">
        <f>IF(P2003="应付",COUNTIF(P$7:P2003,"应付"),"")</f>
      </c>
      <c r="S2003" s="78">
        <f>N(F2003)-N(G2003)</f>
        <v>0</v>
      </c>
    </row>
    <row r="2004">
      <c r="A2004" s="109">
        <f>IF(AND(F2004="",G2004=""),"",ROW()-6)</f>
      </c>
      <c r="B2004" s="140" t="n"/>
      <c r="C2004" s="141" t="n"/>
      <c r="D2004" s="141" t="n"/>
      <c r="E2004" s="142" t="n"/>
      <c r="F2004" s="143" t="n"/>
      <c r="G2004" s="144" t="n"/>
      <c r="H2004" s="145">
        <f>IF(OR(C2004="",AND(F2004="",G2004="")),"",SUMIF(基础资料!$W$5:$W$24,C2004,基础资料!$X$5:$X$24)+SUMIF(C$7:C2004,C2004,F$7:F2004)-SUMIF(C$7:C2004,C2004,G$7:G2004))</f>
      </c>
      <c r="I2004" s="145">
        <f>IF(AND(F2004="",G2004=""),"",SUM(基础资料!$X$5:$X$24)+SUM(F$7:F2004)-SUM(G$7:G2004))</f>
      </c>
      <c r="J2004" s="141" t="n"/>
      <c r="K2004" s="141" t="n"/>
      <c r="L2004" s="141" t="n"/>
      <c r="M2004" s="142" t="n"/>
      <c r="N2004" s="146">
        <f>IF(AND(AND(F2004="",G2004=""),B2004="",C2004="",D2004="",J2004="",K2004="",L2004=""),"",IF(AND(F2004="",G2004=""),"✗ 没填金额",IF(AND(N(F2004)&lt;&gt;0,N(G2004)&lt;&gt;0),"✗ 收入、支出只能填一边",IF(NOT(ISNUMBER(B2004)),"✗ 日期不是真日期（要像 2026/9/25 这样填）",IF(OR(B2004&lt;年初日,B2004&gt;年末日),"✗ 日期不在本会计年度",IF(C2004="","✗ 没选账户",IF(COUNTIF(基础资料!$W$5:$W$24,C2004)=0,"✗ 账户不在基础资料里",IF(O2004="","✗ 没选收支项目",IF(P2004="未知","✗ 收支项目不在基础资料里",IF(AND(P2004="应收",J2004=""),"✗ 这笔要选客户",IF(AND(P2004="应收",COUNTIF(总览汇总!$B$5:$B$304,J2004)=0),"✗ 客户不在总览汇总名单里",IF(AND(P2004="应付",K2004=""),"✗ 这笔要选供应商",IF(AND(P2004="应付",COUNTIF(基础资料!$Q$5:$Q$54,K2004)=0),"✗ 供应商不在基础资料里",IF(AND(P2004="费用",L2004=""),"✗ 费用支出要选费用项目",IF(AND(L2004&lt;&gt;"",COUNTIF(基础资料!$AI$5:$AI$54,L2004)=0),"✗ 费用项目不在基础资料里",IF(AND(IFERROR(INDEX(基础资料!$AD$5:$AD$34,MATCH(O2004,基础资料!$AC$5:$AC$34,0)),"")="收",N(G2004)&lt;&gt;0),"✗ 这类是收款，金额填到收入列",IF(AND(IFERROR(INDEX(基础资料!$AD$5:$AD$34,MATCH(O2004,基础资料!$AC$5:$AC$34,0)),"")="支",N(F2004)&lt;&gt;0),"✗ 这类是付款，金额填到支出列",IF(N(H2004)&lt;0,"⚠ 账户余额成负数了，核对一下","√"))))))))))))))))))</f>
      </c>
      <c r="O2004" s="78">
        <f>IF(D2004&lt;&gt;"",D2004,IF(AND(F2004="",G2004=""),"",IF(J2004&lt;&gt;"",IF(N(F2004)&gt;0,"客户回款","客户退款"),IF(K2004&lt;&gt;"",IF(N(G2004)&gt;0,"供应商付款","供应商退款"),IF(L2004&lt;&gt;"","费用支出","")))))</f>
      </c>
      <c r="P2004" s="78">
        <f>IF(O2004="","",IFERROR(INDEX(基础资料!$AE$5:$AE$34,MATCH(O2004,基础资料!$AC$5:$AC$34,0)),"未知"))</f>
      </c>
      <c r="Q2004" s="78">
        <f>IF(P2004="应收",COUNTIF(P$7:P2004,"应收"),"")</f>
      </c>
      <c r="R2004" s="78">
        <f>IF(P2004="应付",COUNTIF(P$7:P2004,"应付"),"")</f>
      </c>
      <c r="S2004" s="78">
        <f>N(F2004)-N(G2004)</f>
        <v>0</v>
      </c>
    </row>
    <row r="2005">
      <c r="A2005" s="109">
        <f>IF(AND(F2005="",G2005=""),"",ROW()-6)</f>
      </c>
      <c r="B2005" s="140" t="n"/>
      <c r="C2005" s="141" t="n"/>
      <c r="D2005" s="141" t="n"/>
      <c r="E2005" s="142" t="n"/>
      <c r="F2005" s="143" t="n"/>
      <c r="G2005" s="144" t="n"/>
      <c r="H2005" s="145">
        <f>IF(OR(C2005="",AND(F2005="",G2005="")),"",SUMIF(基础资料!$W$5:$W$24,C2005,基础资料!$X$5:$X$24)+SUMIF(C$7:C2005,C2005,F$7:F2005)-SUMIF(C$7:C2005,C2005,G$7:G2005))</f>
      </c>
      <c r="I2005" s="145">
        <f>IF(AND(F2005="",G2005=""),"",SUM(基础资料!$X$5:$X$24)+SUM(F$7:F2005)-SUM(G$7:G2005))</f>
      </c>
      <c r="J2005" s="141" t="n"/>
      <c r="K2005" s="141" t="n"/>
      <c r="L2005" s="141" t="n"/>
      <c r="M2005" s="142" t="n"/>
      <c r="N2005" s="146">
        <f>IF(AND(AND(F2005="",G2005=""),B2005="",C2005="",D2005="",J2005="",K2005="",L2005=""),"",IF(AND(F2005="",G2005=""),"✗ 没填金额",IF(AND(N(F2005)&lt;&gt;0,N(G2005)&lt;&gt;0),"✗ 收入、支出只能填一边",IF(NOT(ISNUMBER(B2005)),"✗ 日期不是真日期（要像 2026/9/25 这样填）",IF(OR(B2005&lt;年初日,B2005&gt;年末日),"✗ 日期不在本会计年度",IF(C2005="","✗ 没选账户",IF(COUNTIF(基础资料!$W$5:$W$24,C2005)=0,"✗ 账户不在基础资料里",IF(O2005="","✗ 没选收支项目",IF(P2005="未知","✗ 收支项目不在基础资料里",IF(AND(P2005="应收",J2005=""),"✗ 这笔要选客户",IF(AND(P2005="应收",COUNTIF(总览汇总!$B$5:$B$304,J2005)=0),"✗ 客户不在总览汇总名单里",IF(AND(P2005="应付",K2005=""),"✗ 这笔要选供应商",IF(AND(P2005="应付",COUNTIF(基础资料!$Q$5:$Q$54,K2005)=0),"✗ 供应商不在基础资料里",IF(AND(P2005="费用",L2005=""),"✗ 费用支出要选费用项目",IF(AND(L2005&lt;&gt;"",COUNTIF(基础资料!$AI$5:$AI$54,L2005)=0),"✗ 费用项目不在基础资料里",IF(AND(IFERROR(INDEX(基础资料!$AD$5:$AD$34,MATCH(O2005,基础资料!$AC$5:$AC$34,0)),"")="收",N(G2005)&lt;&gt;0),"✗ 这类是收款，金额填到收入列",IF(AND(IFERROR(INDEX(基础资料!$AD$5:$AD$34,MATCH(O2005,基础资料!$AC$5:$AC$34,0)),"")="支",N(F2005)&lt;&gt;0),"✗ 这类是付款，金额填到支出列",IF(N(H2005)&lt;0,"⚠ 账户余额成负数了，核对一下","√"))))))))))))))))))</f>
      </c>
      <c r="O2005" s="78">
        <f>IF(D2005&lt;&gt;"",D2005,IF(AND(F2005="",G2005=""),"",IF(J2005&lt;&gt;"",IF(N(F2005)&gt;0,"客户回款","客户退款"),IF(K2005&lt;&gt;"",IF(N(G2005)&gt;0,"供应商付款","供应商退款"),IF(L2005&lt;&gt;"","费用支出","")))))</f>
      </c>
      <c r="P2005" s="78">
        <f>IF(O2005="","",IFERROR(INDEX(基础资料!$AE$5:$AE$34,MATCH(O2005,基础资料!$AC$5:$AC$34,0)),"未知"))</f>
      </c>
      <c r="Q2005" s="78">
        <f>IF(P2005="应收",COUNTIF(P$7:P2005,"应收"),"")</f>
      </c>
      <c r="R2005" s="78">
        <f>IF(P2005="应付",COUNTIF(P$7:P2005,"应付"),"")</f>
      </c>
      <c r="S2005" s="78">
        <f>N(F2005)-N(G2005)</f>
        <v>0</v>
      </c>
    </row>
    <row r="2006">
      <c r="A2006" s="109">
        <f>IF(AND(F2006="",G2006=""),"",ROW()-6)</f>
      </c>
      <c r="B2006" s="140" t="n"/>
      <c r="C2006" s="141" t="n"/>
      <c r="D2006" s="141" t="n"/>
      <c r="E2006" s="142" t="n"/>
      <c r="F2006" s="143" t="n"/>
      <c r="G2006" s="144" t="n"/>
      <c r="H2006" s="145">
        <f>IF(OR(C2006="",AND(F2006="",G2006="")),"",SUMIF(基础资料!$W$5:$W$24,C2006,基础资料!$X$5:$X$24)+SUMIF(C$7:C2006,C2006,F$7:F2006)-SUMIF(C$7:C2006,C2006,G$7:G2006))</f>
      </c>
      <c r="I2006" s="145">
        <f>IF(AND(F2006="",G2006=""),"",SUM(基础资料!$X$5:$X$24)+SUM(F$7:F2006)-SUM(G$7:G2006))</f>
      </c>
      <c r="J2006" s="141" t="n"/>
      <c r="K2006" s="141" t="n"/>
      <c r="L2006" s="141" t="n"/>
      <c r="M2006" s="142" t="n"/>
      <c r="N2006" s="146">
        <f>IF(AND(AND(F2006="",G2006=""),B2006="",C2006="",D2006="",J2006="",K2006="",L2006=""),"",IF(AND(F2006="",G2006=""),"✗ 没填金额",IF(AND(N(F2006)&lt;&gt;0,N(G2006)&lt;&gt;0),"✗ 收入、支出只能填一边",IF(NOT(ISNUMBER(B2006)),"✗ 日期不是真日期（要像 2026/9/25 这样填）",IF(OR(B2006&lt;年初日,B2006&gt;年末日),"✗ 日期不在本会计年度",IF(C2006="","✗ 没选账户",IF(COUNTIF(基础资料!$W$5:$W$24,C2006)=0,"✗ 账户不在基础资料里",IF(O2006="","✗ 没选收支项目",IF(P2006="未知","✗ 收支项目不在基础资料里",IF(AND(P2006="应收",J2006=""),"✗ 这笔要选客户",IF(AND(P2006="应收",COUNTIF(总览汇总!$B$5:$B$304,J2006)=0),"✗ 客户不在总览汇总名单里",IF(AND(P2006="应付",K2006=""),"✗ 这笔要选供应商",IF(AND(P2006="应付",COUNTIF(基础资料!$Q$5:$Q$54,K2006)=0),"✗ 供应商不在基础资料里",IF(AND(P2006="费用",L2006=""),"✗ 费用支出要选费用项目",IF(AND(L2006&lt;&gt;"",COUNTIF(基础资料!$AI$5:$AI$54,L2006)=0),"✗ 费用项目不在基础资料里",IF(AND(IFERROR(INDEX(基础资料!$AD$5:$AD$34,MATCH(O2006,基础资料!$AC$5:$AC$34,0)),"")="收",N(G2006)&lt;&gt;0),"✗ 这类是收款，金额填到收入列",IF(AND(IFERROR(INDEX(基础资料!$AD$5:$AD$34,MATCH(O2006,基础资料!$AC$5:$AC$34,0)),"")="支",N(F2006)&lt;&gt;0),"✗ 这类是付款，金额填到支出列",IF(N(H2006)&lt;0,"⚠ 账户余额成负数了，核对一下","√"))))))))))))))))))</f>
      </c>
      <c r="O2006" s="78">
        <f>IF(D2006&lt;&gt;"",D2006,IF(AND(F2006="",G2006=""),"",IF(J2006&lt;&gt;"",IF(N(F2006)&gt;0,"客户回款","客户退款"),IF(K2006&lt;&gt;"",IF(N(G2006)&gt;0,"供应商付款","供应商退款"),IF(L2006&lt;&gt;"","费用支出","")))))</f>
      </c>
      <c r="P2006" s="78">
        <f>IF(O2006="","",IFERROR(INDEX(基础资料!$AE$5:$AE$34,MATCH(O2006,基础资料!$AC$5:$AC$34,0)),"未知"))</f>
      </c>
      <c r="Q2006" s="78">
        <f>IF(P2006="应收",COUNTIF(P$7:P2006,"应收"),"")</f>
      </c>
      <c r="R2006" s="78">
        <f>IF(P2006="应付",COUNTIF(P$7:P2006,"应付"),"")</f>
      </c>
      <c r="S2006" s="78">
        <f>N(F2006)-N(G2006)</f>
        <v>0</v>
      </c>
    </row>
    <row r="2007">
      <c r="A2007" s="109">
        <f>IF(AND(F2007="",G2007=""),"",ROW()-6)</f>
      </c>
      <c r="B2007" s="140" t="n"/>
      <c r="C2007" s="141" t="n"/>
      <c r="D2007" s="141" t="n"/>
      <c r="E2007" s="142" t="n"/>
      <c r="F2007" s="143" t="n"/>
      <c r="G2007" s="144" t="n"/>
      <c r="H2007" s="145">
        <f>IF(OR(C2007="",AND(F2007="",G2007="")),"",SUMIF(基础资料!$W$5:$W$24,C2007,基础资料!$X$5:$X$24)+SUMIF(C$7:C2007,C2007,F$7:F2007)-SUMIF(C$7:C2007,C2007,G$7:G2007))</f>
      </c>
      <c r="I2007" s="145">
        <f>IF(AND(F2007="",G2007=""),"",SUM(基础资料!$X$5:$X$24)+SUM(F$7:F2007)-SUM(G$7:G2007))</f>
      </c>
      <c r="J2007" s="141" t="n"/>
      <c r="K2007" s="141" t="n"/>
      <c r="L2007" s="141" t="n"/>
      <c r="M2007" s="142" t="n"/>
      <c r="N2007" s="146">
        <f>IF(AND(AND(F2007="",G2007=""),B2007="",C2007="",D2007="",J2007="",K2007="",L2007=""),"",IF(AND(F2007="",G2007=""),"✗ 没填金额",IF(AND(N(F2007)&lt;&gt;0,N(G2007)&lt;&gt;0),"✗ 收入、支出只能填一边",IF(NOT(ISNUMBER(B2007)),"✗ 日期不是真日期（要像 2026/9/25 这样填）",IF(OR(B2007&lt;年初日,B2007&gt;年末日),"✗ 日期不在本会计年度",IF(C2007="","✗ 没选账户",IF(COUNTIF(基础资料!$W$5:$W$24,C2007)=0,"✗ 账户不在基础资料里",IF(O2007="","✗ 没选收支项目",IF(P2007="未知","✗ 收支项目不在基础资料里",IF(AND(P2007="应收",J2007=""),"✗ 这笔要选客户",IF(AND(P2007="应收",COUNTIF(总览汇总!$B$5:$B$304,J2007)=0),"✗ 客户不在总览汇总名单里",IF(AND(P2007="应付",K2007=""),"✗ 这笔要选供应商",IF(AND(P2007="应付",COUNTIF(基础资料!$Q$5:$Q$54,K2007)=0),"✗ 供应商不在基础资料里",IF(AND(P2007="费用",L2007=""),"✗ 费用支出要选费用项目",IF(AND(L2007&lt;&gt;"",COUNTIF(基础资料!$AI$5:$AI$54,L2007)=0),"✗ 费用项目不在基础资料里",IF(AND(IFERROR(INDEX(基础资料!$AD$5:$AD$34,MATCH(O2007,基础资料!$AC$5:$AC$34,0)),"")="收",N(G2007)&lt;&gt;0),"✗ 这类是收款，金额填到收入列",IF(AND(IFERROR(INDEX(基础资料!$AD$5:$AD$34,MATCH(O2007,基础资料!$AC$5:$AC$34,0)),"")="支",N(F2007)&lt;&gt;0),"✗ 这类是付款，金额填到支出列",IF(N(H2007)&lt;0,"⚠ 账户余额成负数了，核对一下","√"))))))))))))))))))</f>
      </c>
      <c r="O2007" s="78">
        <f>IF(D2007&lt;&gt;"",D2007,IF(AND(F2007="",G2007=""),"",IF(J2007&lt;&gt;"",IF(N(F2007)&gt;0,"客户回款","客户退款"),IF(K2007&lt;&gt;"",IF(N(G2007)&gt;0,"供应商付款","供应商退款"),IF(L2007&lt;&gt;"","费用支出","")))))</f>
      </c>
      <c r="P2007" s="78">
        <f>IF(O2007="","",IFERROR(INDEX(基础资料!$AE$5:$AE$34,MATCH(O2007,基础资料!$AC$5:$AC$34,0)),"未知"))</f>
      </c>
      <c r="Q2007" s="78">
        <f>IF(P2007="应收",COUNTIF(P$7:P2007,"应收"),"")</f>
      </c>
      <c r="R2007" s="78">
        <f>IF(P2007="应付",COUNTIF(P$7:P2007,"应付"),"")</f>
      </c>
      <c r="S2007" s="78">
        <f>N(F2007)-N(G2007)</f>
        <v>0</v>
      </c>
    </row>
    <row r="2008">
      <c r="A2008" s="109">
        <f>IF(AND(F2008="",G2008=""),"",ROW()-6)</f>
      </c>
      <c r="B2008" s="140" t="n"/>
      <c r="C2008" s="141" t="n"/>
      <c r="D2008" s="141" t="n"/>
      <c r="E2008" s="142" t="n"/>
      <c r="F2008" s="143" t="n"/>
      <c r="G2008" s="144" t="n"/>
      <c r="H2008" s="145">
        <f>IF(OR(C2008="",AND(F2008="",G2008="")),"",SUMIF(基础资料!$W$5:$W$24,C2008,基础资料!$X$5:$X$24)+SUMIF(C$7:C2008,C2008,F$7:F2008)-SUMIF(C$7:C2008,C2008,G$7:G2008))</f>
      </c>
      <c r="I2008" s="145">
        <f>IF(AND(F2008="",G2008=""),"",SUM(基础资料!$X$5:$X$24)+SUM(F$7:F2008)-SUM(G$7:G2008))</f>
      </c>
      <c r="J2008" s="141" t="n"/>
      <c r="K2008" s="141" t="n"/>
      <c r="L2008" s="141" t="n"/>
      <c r="M2008" s="142" t="n"/>
      <c r="N2008" s="146">
        <f>IF(AND(AND(F2008="",G2008=""),B2008="",C2008="",D2008="",J2008="",K2008="",L2008=""),"",IF(AND(F2008="",G2008=""),"✗ 没填金额",IF(AND(N(F2008)&lt;&gt;0,N(G2008)&lt;&gt;0),"✗ 收入、支出只能填一边",IF(NOT(ISNUMBER(B2008)),"✗ 日期不是真日期（要像 2026/9/25 这样填）",IF(OR(B2008&lt;年初日,B2008&gt;年末日),"✗ 日期不在本会计年度",IF(C2008="","✗ 没选账户",IF(COUNTIF(基础资料!$W$5:$W$24,C2008)=0,"✗ 账户不在基础资料里",IF(O2008="","✗ 没选收支项目",IF(P2008="未知","✗ 收支项目不在基础资料里",IF(AND(P2008="应收",J2008=""),"✗ 这笔要选客户",IF(AND(P2008="应收",COUNTIF(总览汇总!$B$5:$B$304,J2008)=0),"✗ 客户不在总览汇总名单里",IF(AND(P2008="应付",K2008=""),"✗ 这笔要选供应商",IF(AND(P2008="应付",COUNTIF(基础资料!$Q$5:$Q$54,K2008)=0),"✗ 供应商不在基础资料里",IF(AND(P2008="费用",L2008=""),"✗ 费用支出要选费用项目",IF(AND(L2008&lt;&gt;"",COUNTIF(基础资料!$AI$5:$AI$54,L2008)=0),"✗ 费用项目不在基础资料里",IF(AND(IFERROR(INDEX(基础资料!$AD$5:$AD$34,MATCH(O2008,基础资料!$AC$5:$AC$34,0)),"")="收",N(G2008)&lt;&gt;0),"✗ 这类是收款，金额填到收入列",IF(AND(IFERROR(INDEX(基础资料!$AD$5:$AD$34,MATCH(O2008,基础资料!$AC$5:$AC$34,0)),"")="支",N(F2008)&lt;&gt;0),"✗ 这类是付款，金额填到支出列",IF(N(H2008)&lt;0,"⚠ 账户余额成负数了，核对一下","√"))))))))))))))))))</f>
      </c>
      <c r="O2008" s="78">
        <f>IF(D2008&lt;&gt;"",D2008,IF(AND(F2008="",G2008=""),"",IF(J2008&lt;&gt;"",IF(N(F2008)&gt;0,"客户回款","客户退款"),IF(K2008&lt;&gt;"",IF(N(G2008)&gt;0,"供应商付款","供应商退款"),IF(L2008&lt;&gt;"","费用支出","")))))</f>
      </c>
      <c r="P2008" s="78">
        <f>IF(O2008="","",IFERROR(INDEX(基础资料!$AE$5:$AE$34,MATCH(O2008,基础资料!$AC$5:$AC$34,0)),"未知"))</f>
      </c>
      <c r="Q2008" s="78">
        <f>IF(P2008="应收",COUNTIF(P$7:P2008,"应收"),"")</f>
      </c>
      <c r="R2008" s="78">
        <f>IF(P2008="应付",COUNTIF(P$7:P2008,"应付"),"")</f>
      </c>
      <c r="S2008" s="78">
        <f>N(F2008)-N(G2008)</f>
        <v>0</v>
      </c>
    </row>
    <row r="2009">
      <c r="A2009" s="109">
        <f>IF(AND(F2009="",G2009=""),"",ROW()-6)</f>
      </c>
      <c r="B2009" s="140" t="n"/>
      <c r="C2009" s="141" t="n"/>
      <c r="D2009" s="141" t="n"/>
      <c r="E2009" s="142" t="n"/>
      <c r="F2009" s="143" t="n"/>
      <c r="G2009" s="144" t="n"/>
      <c r="H2009" s="145">
        <f>IF(OR(C2009="",AND(F2009="",G2009="")),"",SUMIF(基础资料!$W$5:$W$24,C2009,基础资料!$X$5:$X$24)+SUMIF(C$7:C2009,C2009,F$7:F2009)-SUMIF(C$7:C2009,C2009,G$7:G2009))</f>
      </c>
      <c r="I2009" s="145">
        <f>IF(AND(F2009="",G2009=""),"",SUM(基础资料!$X$5:$X$24)+SUM(F$7:F2009)-SUM(G$7:G2009))</f>
      </c>
      <c r="J2009" s="141" t="n"/>
      <c r="K2009" s="141" t="n"/>
      <c r="L2009" s="141" t="n"/>
      <c r="M2009" s="142" t="n"/>
      <c r="N2009" s="146">
        <f>IF(AND(AND(F2009="",G2009=""),B2009="",C2009="",D2009="",J2009="",K2009="",L2009=""),"",IF(AND(F2009="",G2009=""),"✗ 没填金额",IF(AND(N(F2009)&lt;&gt;0,N(G2009)&lt;&gt;0),"✗ 收入、支出只能填一边",IF(NOT(ISNUMBER(B2009)),"✗ 日期不是真日期（要像 2026/9/25 这样填）",IF(OR(B2009&lt;年初日,B2009&gt;年末日),"✗ 日期不在本会计年度",IF(C2009="","✗ 没选账户",IF(COUNTIF(基础资料!$W$5:$W$24,C2009)=0,"✗ 账户不在基础资料里",IF(O2009="","✗ 没选收支项目",IF(P2009="未知","✗ 收支项目不在基础资料里",IF(AND(P2009="应收",J2009=""),"✗ 这笔要选客户",IF(AND(P2009="应收",COUNTIF(总览汇总!$B$5:$B$304,J2009)=0),"✗ 客户不在总览汇总名单里",IF(AND(P2009="应付",K2009=""),"✗ 这笔要选供应商",IF(AND(P2009="应付",COUNTIF(基础资料!$Q$5:$Q$54,K2009)=0),"✗ 供应商不在基础资料里",IF(AND(P2009="费用",L2009=""),"✗ 费用支出要选费用项目",IF(AND(L2009&lt;&gt;"",COUNTIF(基础资料!$AI$5:$AI$54,L2009)=0),"✗ 费用项目不在基础资料里",IF(AND(IFERROR(INDEX(基础资料!$AD$5:$AD$34,MATCH(O2009,基础资料!$AC$5:$AC$34,0)),"")="收",N(G2009)&lt;&gt;0),"✗ 这类是收款，金额填到收入列",IF(AND(IFERROR(INDEX(基础资料!$AD$5:$AD$34,MATCH(O2009,基础资料!$AC$5:$AC$34,0)),"")="支",N(F2009)&lt;&gt;0),"✗ 这类是付款，金额填到支出列",IF(N(H2009)&lt;0,"⚠ 账户余额成负数了，核对一下","√"))))))))))))))))))</f>
      </c>
      <c r="O2009" s="78">
        <f>IF(D2009&lt;&gt;"",D2009,IF(AND(F2009="",G2009=""),"",IF(J2009&lt;&gt;"",IF(N(F2009)&gt;0,"客户回款","客户退款"),IF(K2009&lt;&gt;"",IF(N(G2009)&gt;0,"供应商付款","供应商退款"),IF(L2009&lt;&gt;"","费用支出","")))))</f>
      </c>
      <c r="P2009" s="78">
        <f>IF(O2009="","",IFERROR(INDEX(基础资料!$AE$5:$AE$34,MATCH(O2009,基础资料!$AC$5:$AC$34,0)),"未知"))</f>
      </c>
      <c r="Q2009" s="78">
        <f>IF(P2009="应收",COUNTIF(P$7:P2009,"应收"),"")</f>
      </c>
      <c r="R2009" s="78">
        <f>IF(P2009="应付",COUNTIF(P$7:P2009,"应付"),"")</f>
      </c>
      <c r="S2009" s="78">
        <f>N(F2009)-N(G2009)</f>
        <v>0</v>
      </c>
    </row>
    <row r="2010">
      <c r="A2010" s="109">
        <f>IF(AND(F2010="",G2010=""),"",ROW()-6)</f>
      </c>
      <c r="B2010" s="140" t="n"/>
      <c r="C2010" s="141" t="n"/>
      <c r="D2010" s="141" t="n"/>
      <c r="E2010" s="142" t="n"/>
      <c r="F2010" s="143" t="n"/>
      <c r="G2010" s="144" t="n"/>
      <c r="H2010" s="145">
        <f>IF(OR(C2010="",AND(F2010="",G2010="")),"",SUMIF(基础资料!$W$5:$W$24,C2010,基础资料!$X$5:$X$24)+SUMIF(C$7:C2010,C2010,F$7:F2010)-SUMIF(C$7:C2010,C2010,G$7:G2010))</f>
      </c>
      <c r="I2010" s="145">
        <f>IF(AND(F2010="",G2010=""),"",SUM(基础资料!$X$5:$X$24)+SUM(F$7:F2010)-SUM(G$7:G2010))</f>
      </c>
      <c r="J2010" s="141" t="n"/>
      <c r="K2010" s="141" t="n"/>
      <c r="L2010" s="141" t="n"/>
      <c r="M2010" s="142" t="n"/>
      <c r="N2010" s="146">
        <f>IF(AND(AND(F2010="",G2010=""),B2010="",C2010="",D2010="",J2010="",K2010="",L2010=""),"",IF(AND(F2010="",G2010=""),"✗ 没填金额",IF(AND(N(F2010)&lt;&gt;0,N(G2010)&lt;&gt;0),"✗ 收入、支出只能填一边",IF(NOT(ISNUMBER(B2010)),"✗ 日期不是真日期（要像 2026/9/25 这样填）",IF(OR(B2010&lt;年初日,B2010&gt;年末日),"✗ 日期不在本会计年度",IF(C2010="","✗ 没选账户",IF(COUNTIF(基础资料!$W$5:$W$24,C2010)=0,"✗ 账户不在基础资料里",IF(O2010="","✗ 没选收支项目",IF(P2010="未知","✗ 收支项目不在基础资料里",IF(AND(P2010="应收",J2010=""),"✗ 这笔要选客户",IF(AND(P2010="应收",COUNTIF(总览汇总!$B$5:$B$304,J2010)=0),"✗ 客户不在总览汇总名单里",IF(AND(P2010="应付",K2010=""),"✗ 这笔要选供应商",IF(AND(P2010="应付",COUNTIF(基础资料!$Q$5:$Q$54,K2010)=0),"✗ 供应商不在基础资料里",IF(AND(P2010="费用",L2010=""),"✗ 费用支出要选费用项目",IF(AND(L2010&lt;&gt;"",COUNTIF(基础资料!$AI$5:$AI$54,L2010)=0),"✗ 费用项目不在基础资料里",IF(AND(IFERROR(INDEX(基础资料!$AD$5:$AD$34,MATCH(O2010,基础资料!$AC$5:$AC$34,0)),"")="收",N(G2010)&lt;&gt;0),"✗ 这类是收款，金额填到收入列",IF(AND(IFERROR(INDEX(基础资料!$AD$5:$AD$34,MATCH(O2010,基础资料!$AC$5:$AC$34,0)),"")="支",N(F2010)&lt;&gt;0),"✗ 这类是付款，金额填到支出列",IF(N(H2010)&lt;0,"⚠ 账户余额成负数了，核对一下","√"))))))))))))))))))</f>
      </c>
      <c r="O2010" s="78">
        <f>IF(D2010&lt;&gt;"",D2010,IF(AND(F2010="",G2010=""),"",IF(J2010&lt;&gt;"",IF(N(F2010)&gt;0,"客户回款","客户退款"),IF(K2010&lt;&gt;"",IF(N(G2010)&gt;0,"供应商付款","供应商退款"),IF(L2010&lt;&gt;"","费用支出","")))))</f>
      </c>
      <c r="P2010" s="78">
        <f>IF(O2010="","",IFERROR(INDEX(基础资料!$AE$5:$AE$34,MATCH(O2010,基础资料!$AC$5:$AC$34,0)),"未知"))</f>
      </c>
      <c r="Q2010" s="78">
        <f>IF(P2010="应收",COUNTIF(P$7:P2010,"应收"),"")</f>
      </c>
      <c r="R2010" s="78">
        <f>IF(P2010="应付",COUNTIF(P$7:P2010,"应付"),"")</f>
      </c>
      <c r="S2010" s="78">
        <f>N(F2010)-N(G2010)</f>
        <v>0</v>
      </c>
    </row>
    <row r="2011">
      <c r="A2011" s="109">
        <f>IF(AND(F2011="",G2011=""),"",ROW()-6)</f>
      </c>
      <c r="B2011" s="140" t="n"/>
      <c r="C2011" s="141" t="n"/>
      <c r="D2011" s="141" t="n"/>
      <c r="E2011" s="142" t="n"/>
      <c r="F2011" s="143" t="n"/>
      <c r="G2011" s="144" t="n"/>
      <c r="H2011" s="145">
        <f>IF(OR(C2011="",AND(F2011="",G2011="")),"",SUMIF(基础资料!$W$5:$W$24,C2011,基础资料!$X$5:$X$24)+SUMIF(C$7:C2011,C2011,F$7:F2011)-SUMIF(C$7:C2011,C2011,G$7:G2011))</f>
      </c>
      <c r="I2011" s="145">
        <f>IF(AND(F2011="",G2011=""),"",SUM(基础资料!$X$5:$X$24)+SUM(F$7:F2011)-SUM(G$7:G2011))</f>
      </c>
      <c r="J2011" s="141" t="n"/>
      <c r="K2011" s="141" t="n"/>
      <c r="L2011" s="141" t="n"/>
      <c r="M2011" s="142" t="n"/>
      <c r="N2011" s="146">
        <f>IF(AND(AND(F2011="",G2011=""),B2011="",C2011="",D2011="",J2011="",K2011="",L2011=""),"",IF(AND(F2011="",G2011=""),"✗ 没填金额",IF(AND(N(F2011)&lt;&gt;0,N(G2011)&lt;&gt;0),"✗ 收入、支出只能填一边",IF(NOT(ISNUMBER(B2011)),"✗ 日期不是真日期（要像 2026/9/25 这样填）",IF(OR(B2011&lt;年初日,B2011&gt;年末日),"✗ 日期不在本会计年度",IF(C2011="","✗ 没选账户",IF(COUNTIF(基础资料!$W$5:$W$24,C2011)=0,"✗ 账户不在基础资料里",IF(O2011="","✗ 没选收支项目",IF(P2011="未知","✗ 收支项目不在基础资料里",IF(AND(P2011="应收",J2011=""),"✗ 这笔要选客户",IF(AND(P2011="应收",COUNTIF(总览汇总!$B$5:$B$304,J2011)=0),"✗ 客户不在总览汇总名单里",IF(AND(P2011="应付",K2011=""),"✗ 这笔要选供应商",IF(AND(P2011="应付",COUNTIF(基础资料!$Q$5:$Q$54,K2011)=0),"✗ 供应商不在基础资料里",IF(AND(P2011="费用",L2011=""),"✗ 费用支出要选费用项目",IF(AND(L2011&lt;&gt;"",COUNTIF(基础资料!$AI$5:$AI$54,L2011)=0),"✗ 费用项目不在基础资料里",IF(AND(IFERROR(INDEX(基础资料!$AD$5:$AD$34,MATCH(O2011,基础资料!$AC$5:$AC$34,0)),"")="收",N(G2011)&lt;&gt;0),"✗ 这类是收款，金额填到收入列",IF(AND(IFERROR(INDEX(基础资料!$AD$5:$AD$34,MATCH(O2011,基础资料!$AC$5:$AC$34,0)),"")="支",N(F2011)&lt;&gt;0),"✗ 这类是付款，金额填到支出列",IF(N(H2011)&lt;0,"⚠ 账户余额成负数了，核对一下","√"))))))))))))))))))</f>
      </c>
      <c r="O2011" s="78">
        <f>IF(D2011&lt;&gt;"",D2011,IF(AND(F2011="",G2011=""),"",IF(J2011&lt;&gt;"",IF(N(F2011)&gt;0,"客户回款","客户退款"),IF(K2011&lt;&gt;"",IF(N(G2011)&gt;0,"供应商付款","供应商退款"),IF(L2011&lt;&gt;"","费用支出","")))))</f>
      </c>
      <c r="P2011" s="78">
        <f>IF(O2011="","",IFERROR(INDEX(基础资料!$AE$5:$AE$34,MATCH(O2011,基础资料!$AC$5:$AC$34,0)),"未知"))</f>
      </c>
      <c r="Q2011" s="78">
        <f>IF(P2011="应收",COUNTIF(P$7:P2011,"应收"),"")</f>
      </c>
      <c r="R2011" s="78">
        <f>IF(P2011="应付",COUNTIF(P$7:P2011,"应付"),"")</f>
      </c>
      <c r="S2011" s="78">
        <f>N(F2011)-N(G2011)</f>
        <v>0</v>
      </c>
    </row>
    <row r="2012">
      <c r="A2012" s="109">
        <f>IF(AND(F2012="",G2012=""),"",ROW()-6)</f>
      </c>
      <c r="B2012" s="140" t="n"/>
      <c r="C2012" s="141" t="n"/>
      <c r="D2012" s="141" t="n"/>
      <c r="E2012" s="142" t="n"/>
      <c r="F2012" s="143" t="n"/>
      <c r="G2012" s="144" t="n"/>
      <c r="H2012" s="145">
        <f>IF(OR(C2012="",AND(F2012="",G2012="")),"",SUMIF(基础资料!$W$5:$W$24,C2012,基础资料!$X$5:$X$24)+SUMIF(C$7:C2012,C2012,F$7:F2012)-SUMIF(C$7:C2012,C2012,G$7:G2012))</f>
      </c>
      <c r="I2012" s="145">
        <f>IF(AND(F2012="",G2012=""),"",SUM(基础资料!$X$5:$X$24)+SUM(F$7:F2012)-SUM(G$7:G2012))</f>
      </c>
      <c r="J2012" s="141" t="n"/>
      <c r="K2012" s="141" t="n"/>
      <c r="L2012" s="141" t="n"/>
      <c r="M2012" s="142" t="n"/>
      <c r="N2012" s="146">
        <f>IF(AND(AND(F2012="",G2012=""),B2012="",C2012="",D2012="",J2012="",K2012="",L2012=""),"",IF(AND(F2012="",G2012=""),"✗ 没填金额",IF(AND(N(F2012)&lt;&gt;0,N(G2012)&lt;&gt;0),"✗ 收入、支出只能填一边",IF(NOT(ISNUMBER(B2012)),"✗ 日期不是真日期（要像 2026/9/25 这样填）",IF(OR(B2012&lt;年初日,B2012&gt;年末日),"✗ 日期不在本会计年度",IF(C2012="","✗ 没选账户",IF(COUNTIF(基础资料!$W$5:$W$24,C2012)=0,"✗ 账户不在基础资料里",IF(O2012="","✗ 没选收支项目",IF(P2012="未知","✗ 收支项目不在基础资料里",IF(AND(P2012="应收",J2012=""),"✗ 这笔要选客户",IF(AND(P2012="应收",COUNTIF(总览汇总!$B$5:$B$304,J2012)=0),"✗ 客户不在总览汇总名单里",IF(AND(P2012="应付",K2012=""),"✗ 这笔要选供应商",IF(AND(P2012="应付",COUNTIF(基础资料!$Q$5:$Q$54,K2012)=0),"✗ 供应商不在基础资料里",IF(AND(P2012="费用",L2012=""),"✗ 费用支出要选费用项目",IF(AND(L2012&lt;&gt;"",COUNTIF(基础资料!$AI$5:$AI$54,L2012)=0),"✗ 费用项目不在基础资料里",IF(AND(IFERROR(INDEX(基础资料!$AD$5:$AD$34,MATCH(O2012,基础资料!$AC$5:$AC$34,0)),"")="收",N(G2012)&lt;&gt;0),"✗ 这类是收款，金额填到收入列",IF(AND(IFERROR(INDEX(基础资料!$AD$5:$AD$34,MATCH(O2012,基础资料!$AC$5:$AC$34,0)),"")="支",N(F2012)&lt;&gt;0),"✗ 这类是付款，金额填到支出列",IF(N(H2012)&lt;0,"⚠ 账户余额成负数了，核对一下","√"))))))))))))))))))</f>
      </c>
      <c r="O2012" s="78">
        <f>IF(D2012&lt;&gt;"",D2012,IF(AND(F2012="",G2012=""),"",IF(J2012&lt;&gt;"",IF(N(F2012)&gt;0,"客户回款","客户退款"),IF(K2012&lt;&gt;"",IF(N(G2012)&gt;0,"供应商付款","供应商退款"),IF(L2012&lt;&gt;"","费用支出","")))))</f>
      </c>
      <c r="P2012" s="78">
        <f>IF(O2012="","",IFERROR(INDEX(基础资料!$AE$5:$AE$34,MATCH(O2012,基础资料!$AC$5:$AC$34,0)),"未知"))</f>
      </c>
      <c r="Q2012" s="78">
        <f>IF(P2012="应收",COUNTIF(P$7:P2012,"应收"),"")</f>
      </c>
      <c r="R2012" s="78">
        <f>IF(P2012="应付",COUNTIF(P$7:P2012,"应付"),"")</f>
      </c>
      <c r="S2012" s="78">
        <f>N(F2012)-N(G2012)</f>
        <v>0</v>
      </c>
    </row>
    <row r="2013">
      <c r="A2013" s="109">
        <f>IF(AND(F2013="",G2013=""),"",ROW()-6)</f>
      </c>
      <c r="B2013" s="140" t="n"/>
      <c r="C2013" s="141" t="n"/>
      <c r="D2013" s="141" t="n"/>
      <c r="E2013" s="142" t="n"/>
      <c r="F2013" s="143" t="n"/>
      <c r="G2013" s="144" t="n"/>
      <c r="H2013" s="145">
        <f>IF(OR(C2013="",AND(F2013="",G2013="")),"",SUMIF(基础资料!$W$5:$W$24,C2013,基础资料!$X$5:$X$24)+SUMIF(C$7:C2013,C2013,F$7:F2013)-SUMIF(C$7:C2013,C2013,G$7:G2013))</f>
      </c>
      <c r="I2013" s="145">
        <f>IF(AND(F2013="",G2013=""),"",SUM(基础资料!$X$5:$X$24)+SUM(F$7:F2013)-SUM(G$7:G2013))</f>
      </c>
      <c r="J2013" s="141" t="n"/>
      <c r="K2013" s="141" t="n"/>
      <c r="L2013" s="141" t="n"/>
      <c r="M2013" s="142" t="n"/>
      <c r="N2013" s="146">
        <f>IF(AND(AND(F2013="",G2013=""),B2013="",C2013="",D2013="",J2013="",K2013="",L2013=""),"",IF(AND(F2013="",G2013=""),"✗ 没填金额",IF(AND(N(F2013)&lt;&gt;0,N(G2013)&lt;&gt;0),"✗ 收入、支出只能填一边",IF(NOT(ISNUMBER(B2013)),"✗ 日期不是真日期（要像 2026/9/25 这样填）",IF(OR(B2013&lt;年初日,B2013&gt;年末日),"✗ 日期不在本会计年度",IF(C2013="","✗ 没选账户",IF(COUNTIF(基础资料!$W$5:$W$24,C2013)=0,"✗ 账户不在基础资料里",IF(O2013="","✗ 没选收支项目",IF(P2013="未知","✗ 收支项目不在基础资料里",IF(AND(P2013="应收",J2013=""),"✗ 这笔要选客户",IF(AND(P2013="应收",COUNTIF(总览汇总!$B$5:$B$304,J2013)=0),"✗ 客户不在总览汇总名单里",IF(AND(P2013="应付",K2013=""),"✗ 这笔要选供应商",IF(AND(P2013="应付",COUNTIF(基础资料!$Q$5:$Q$54,K2013)=0),"✗ 供应商不在基础资料里",IF(AND(P2013="费用",L2013=""),"✗ 费用支出要选费用项目",IF(AND(L2013&lt;&gt;"",COUNTIF(基础资料!$AI$5:$AI$54,L2013)=0),"✗ 费用项目不在基础资料里",IF(AND(IFERROR(INDEX(基础资料!$AD$5:$AD$34,MATCH(O2013,基础资料!$AC$5:$AC$34,0)),"")="收",N(G2013)&lt;&gt;0),"✗ 这类是收款，金额填到收入列",IF(AND(IFERROR(INDEX(基础资料!$AD$5:$AD$34,MATCH(O2013,基础资料!$AC$5:$AC$34,0)),"")="支",N(F2013)&lt;&gt;0),"✗ 这类是付款，金额填到支出列",IF(N(H2013)&lt;0,"⚠ 账户余额成负数了，核对一下","√"))))))))))))))))))</f>
      </c>
      <c r="O2013" s="78">
        <f>IF(D2013&lt;&gt;"",D2013,IF(AND(F2013="",G2013=""),"",IF(J2013&lt;&gt;"",IF(N(F2013)&gt;0,"客户回款","客户退款"),IF(K2013&lt;&gt;"",IF(N(G2013)&gt;0,"供应商付款","供应商退款"),IF(L2013&lt;&gt;"","费用支出","")))))</f>
      </c>
      <c r="P2013" s="78">
        <f>IF(O2013="","",IFERROR(INDEX(基础资料!$AE$5:$AE$34,MATCH(O2013,基础资料!$AC$5:$AC$34,0)),"未知"))</f>
      </c>
      <c r="Q2013" s="78">
        <f>IF(P2013="应收",COUNTIF(P$7:P2013,"应收"),"")</f>
      </c>
      <c r="R2013" s="78">
        <f>IF(P2013="应付",COUNTIF(P$7:P2013,"应付"),"")</f>
      </c>
      <c r="S2013" s="78">
        <f>N(F2013)-N(G2013)</f>
        <v>0</v>
      </c>
    </row>
    <row r="2014">
      <c r="A2014" s="109">
        <f>IF(AND(F2014="",G2014=""),"",ROW()-6)</f>
      </c>
      <c r="B2014" s="140" t="n"/>
      <c r="C2014" s="141" t="n"/>
      <c r="D2014" s="141" t="n"/>
      <c r="E2014" s="142" t="n"/>
      <c r="F2014" s="143" t="n"/>
      <c r="G2014" s="144" t="n"/>
      <c r="H2014" s="145">
        <f>IF(OR(C2014="",AND(F2014="",G2014="")),"",SUMIF(基础资料!$W$5:$W$24,C2014,基础资料!$X$5:$X$24)+SUMIF(C$7:C2014,C2014,F$7:F2014)-SUMIF(C$7:C2014,C2014,G$7:G2014))</f>
      </c>
      <c r="I2014" s="145">
        <f>IF(AND(F2014="",G2014=""),"",SUM(基础资料!$X$5:$X$24)+SUM(F$7:F2014)-SUM(G$7:G2014))</f>
      </c>
      <c r="J2014" s="141" t="n"/>
      <c r="K2014" s="141" t="n"/>
      <c r="L2014" s="141" t="n"/>
      <c r="M2014" s="142" t="n"/>
      <c r="N2014" s="146">
        <f>IF(AND(AND(F2014="",G2014=""),B2014="",C2014="",D2014="",J2014="",K2014="",L2014=""),"",IF(AND(F2014="",G2014=""),"✗ 没填金额",IF(AND(N(F2014)&lt;&gt;0,N(G2014)&lt;&gt;0),"✗ 收入、支出只能填一边",IF(NOT(ISNUMBER(B2014)),"✗ 日期不是真日期（要像 2026/9/25 这样填）",IF(OR(B2014&lt;年初日,B2014&gt;年末日),"✗ 日期不在本会计年度",IF(C2014="","✗ 没选账户",IF(COUNTIF(基础资料!$W$5:$W$24,C2014)=0,"✗ 账户不在基础资料里",IF(O2014="","✗ 没选收支项目",IF(P2014="未知","✗ 收支项目不在基础资料里",IF(AND(P2014="应收",J2014=""),"✗ 这笔要选客户",IF(AND(P2014="应收",COUNTIF(总览汇总!$B$5:$B$304,J2014)=0),"✗ 客户不在总览汇总名单里",IF(AND(P2014="应付",K2014=""),"✗ 这笔要选供应商",IF(AND(P2014="应付",COUNTIF(基础资料!$Q$5:$Q$54,K2014)=0),"✗ 供应商不在基础资料里",IF(AND(P2014="费用",L2014=""),"✗ 费用支出要选费用项目",IF(AND(L2014&lt;&gt;"",COUNTIF(基础资料!$AI$5:$AI$54,L2014)=0),"✗ 费用项目不在基础资料里",IF(AND(IFERROR(INDEX(基础资料!$AD$5:$AD$34,MATCH(O2014,基础资料!$AC$5:$AC$34,0)),"")="收",N(G2014)&lt;&gt;0),"✗ 这类是收款，金额填到收入列",IF(AND(IFERROR(INDEX(基础资料!$AD$5:$AD$34,MATCH(O2014,基础资料!$AC$5:$AC$34,0)),"")="支",N(F2014)&lt;&gt;0),"✗ 这类是付款，金额填到支出列",IF(N(H2014)&lt;0,"⚠ 账户余额成负数了，核对一下","√"))))))))))))))))))</f>
      </c>
      <c r="O2014" s="78">
        <f>IF(D2014&lt;&gt;"",D2014,IF(AND(F2014="",G2014=""),"",IF(J2014&lt;&gt;"",IF(N(F2014)&gt;0,"客户回款","客户退款"),IF(K2014&lt;&gt;"",IF(N(G2014)&gt;0,"供应商付款","供应商退款"),IF(L2014&lt;&gt;"","费用支出","")))))</f>
      </c>
      <c r="P2014" s="78">
        <f>IF(O2014="","",IFERROR(INDEX(基础资料!$AE$5:$AE$34,MATCH(O2014,基础资料!$AC$5:$AC$34,0)),"未知"))</f>
      </c>
      <c r="Q2014" s="78">
        <f>IF(P2014="应收",COUNTIF(P$7:P2014,"应收"),"")</f>
      </c>
      <c r="R2014" s="78">
        <f>IF(P2014="应付",COUNTIF(P$7:P2014,"应付"),"")</f>
      </c>
      <c r="S2014" s="78">
        <f>N(F2014)-N(G2014)</f>
        <v>0</v>
      </c>
    </row>
    <row r="2015">
      <c r="A2015" s="109">
        <f>IF(AND(F2015="",G2015=""),"",ROW()-6)</f>
      </c>
      <c r="B2015" s="140" t="n"/>
      <c r="C2015" s="141" t="n"/>
      <c r="D2015" s="141" t="n"/>
      <c r="E2015" s="142" t="n"/>
      <c r="F2015" s="143" t="n"/>
      <c r="G2015" s="144" t="n"/>
      <c r="H2015" s="145">
        <f>IF(OR(C2015="",AND(F2015="",G2015="")),"",SUMIF(基础资料!$W$5:$W$24,C2015,基础资料!$X$5:$X$24)+SUMIF(C$7:C2015,C2015,F$7:F2015)-SUMIF(C$7:C2015,C2015,G$7:G2015))</f>
      </c>
      <c r="I2015" s="145">
        <f>IF(AND(F2015="",G2015=""),"",SUM(基础资料!$X$5:$X$24)+SUM(F$7:F2015)-SUM(G$7:G2015))</f>
      </c>
      <c r="J2015" s="141" t="n"/>
      <c r="K2015" s="141" t="n"/>
      <c r="L2015" s="141" t="n"/>
      <c r="M2015" s="142" t="n"/>
      <c r="N2015" s="146">
        <f>IF(AND(AND(F2015="",G2015=""),B2015="",C2015="",D2015="",J2015="",K2015="",L2015=""),"",IF(AND(F2015="",G2015=""),"✗ 没填金额",IF(AND(N(F2015)&lt;&gt;0,N(G2015)&lt;&gt;0),"✗ 收入、支出只能填一边",IF(NOT(ISNUMBER(B2015)),"✗ 日期不是真日期（要像 2026/9/25 这样填）",IF(OR(B2015&lt;年初日,B2015&gt;年末日),"✗ 日期不在本会计年度",IF(C2015="","✗ 没选账户",IF(COUNTIF(基础资料!$W$5:$W$24,C2015)=0,"✗ 账户不在基础资料里",IF(O2015="","✗ 没选收支项目",IF(P2015="未知","✗ 收支项目不在基础资料里",IF(AND(P2015="应收",J2015=""),"✗ 这笔要选客户",IF(AND(P2015="应收",COUNTIF(总览汇总!$B$5:$B$304,J2015)=0),"✗ 客户不在总览汇总名单里",IF(AND(P2015="应付",K2015=""),"✗ 这笔要选供应商",IF(AND(P2015="应付",COUNTIF(基础资料!$Q$5:$Q$54,K2015)=0),"✗ 供应商不在基础资料里",IF(AND(P2015="费用",L2015=""),"✗ 费用支出要选费用项目",IF(AND(L2015&lt;&gt;"",COUNTIF(基础资料!$AI$5:$AI$54,L2015)=0),"✗ 费用项目不在基础资料里",IF(AND(IFERROR(INDEX(基础资料!$AD$5:$AD$34,MATCH(O2015,基础资料!$AC$5:$AC$34,0)),"")="收",N(G2015)&lt;&gt;0),"✗ 这类是收款，金额填到收入列",IF(AND(IFERROR(INDEX(基础资料!$AD$5:$AD$34,MATCH(O2015,基础资料!$AC$5:$AC$34,0)),"")="支",N(F2015)&lt;&gt;0),"✗ 这类是付款，金额填到支出列",IF(N(H2015)&lt;0,"⚠ 账户余额成负数了，核对一下","√"))))))))))))))))))</f>
      </c>
      <c r="O2015" s="78">
        <f>IF(D2015&lt;&gt;"",D2015,IF(AND(F2015="",G2015=""),"",IF(J2015&lt;&gt;"",IF(N(F2015)&gt;0,"客户回款","客户退款"),IF(K2015&lt;&gt;"",IF(N(G2015)&gt;0,"供应商付款","供应商退款"),IF(L2015&lt;&gt;"","费用支出","")))))</f>
      </c>
      <c r="P2015" s="78">
        <f>IF(O2015="","",IFERROR(INDEX(基础资料!$AE$5:$AE$34,MATCH(O2015,基础资料!$AC$5:$AC$34,0)),"未知"))</f>
      </c>
      <c r="Q2015" s="78">
        <f>IF(P2015="应收",COUNTIF(P$7:P2015,"应收"),"")</f>
      </c>
      <c r="R2015" s="78">
        <f>IF(P2015="应付",COUNTIF(P$7:P2015,"应付"),"")</f>
      </c>
      <c r="S2015" s="78">
        <f>N(F2015)-N(G2015)</f>
        <v>0</v>
      </c>
    </row>
    <row r="2016">
      <c r="A2016" s="109">
        <f>IF(AND(F2016="",G2016=""),"",ROW()-6)</f>
      </c>
      <c r="B2016" s="140" t="n"/>
      <c r="C2016" s="141" t="n"/>
      <c r="D2016" s="141" t="n"/>
      <c r="E2016" s="142" t="n"/>
      <c r="F2016" s="143" t="n"/>
      <c r="G2016" s="144" t="n"/>
      <c r="H2016" s="145">
        <f>IF(OR(C2016="",AND(F2016="",G2016="")),"",SUMIF(基础资料!$W$5:$W$24,C2016,基础资料!$X$5:$X$24)+SUMIF(C$7:C2016,C2016,F$7:F2016)-SUMIF(C$7:C2016,C2016,G$7:G2016))</f>
      </c>
      <c r="I2016" s="145">
        <f>IF(AND(F2016="",G2016=""),"",SUM(基础资料!$X$5:$X$24)+SUM(F$7:F2016)-SUM(G$7:G2016))</f>
      </c>
      <c r="J2016" s="141" t="n"/>
      <c r="K2016" s="141" t="n"/>
      <c r="L2016" s="141" t="n"/>
      <c r="M2016" s="142" t="n"/>
      <c r="N2016" s="146">
        <f>IF(AND(AND(F2016="",G2016=""),B2016="",C2016="",D2016="",J2016="",K2016="",L2016=""),"",IF(AND(F2016="",G2016=""),"✗ 没填金额",IF(AND(N(F2016)&lt;&gt;0,N(G2016)&lt;&gt;0),"✗ 收入、支出只能填一边",IF(NOT(ISNUMBER(B2016)),"✗ 日期不是真日期（要像 2026/9/25 这样填）",IF(OR(B2016&lt;年初日,B2016&gt;年末日),"✗ 日期不在本会计年度",IF(C2016="","✗ 没选账户",IF(COUNTIF(基础资料!$W$5:$W$24,C2016)=0,"✗ 账户不在基础资料里",IF(O2016="","✗ 没选收支项目",IF(P2016="未知","✗ 收支项目不在基础资料里",IF(AND(P2016="应收",J2016=""),"✗ 这笔要选客户",IF(AND(P2016="应收",COUNTIF(总览汇总!$B$5:$B$304,J2016)=0),"✗ 客户不在总览汇总名单里",IF(AND(P2016="应付",K2016=""),"✗ 这笔要选供应商",IF(AND(P2016="应付",COUNTIF(基础资料!$Q$5:$Q$54,K2016)=0),"✗ 供应商不在基础资料里",IF(AND(P2016="费用",L2016=""),"✗ 费用支出要选费用项目",IF(AND(L2016&lt;&gt;"",COUNTIF(基础资料!$AI$5:$AI$54,L2016)=0),"✗ 费用项目不在基础资料里",IF(AND(IFERROR(INDEX(基础资料!$AD$5:$AD$34,MATCH(O2016,基础资料!$AC$5:$AC$34,0)),"")="收",N(G2016)&lt;&gt;0),"✗ 这类是收款，金额填到收入列",IF(AND(IFERROR(INDEX(基础资料!$AD$5:$AD$34,MATCH(O2016,基础资料!$AC$5:$AC$34,0)),"")="支",N(F2016)&lt;&gt;0),"✗ 这类是付款，金额填到支出列",IF(N(H2016)&lt;0,"⚠ 账户余额成负数了，核对一下","√"))))))))))))))))))</f>
      </c>
      <c r="O2016" s="78">
        <f>IF(D2016&lt;&gt;"",D2016,IF(AND(F2016="",G2016=""),"",IF(J2016&lt;&gt;"",IF(N(F2016)&gt;0,"客户回款","客户退款"),IF(K2016&lt;&gt;"",IF(N(G2016)&gt;0,"供应商付款","供应商退款"),IF(L2016&lt;&gt;"","费用支出","")))))</f>
      </c>
      <c r="P2016" s="78">
        <f>IF(O2016="","",IFERROR(INDEX(基础资料!$AE$5:$AE$34,MATCH(O2016,基础资料!$AC$5:$AC$34,0)),"未知"))</f>
      </c>
      <c r="Q2016" s="78">
        <f>IF(P2016="应收",COUNTIF(P$7:P2016,"应收"),"")</f>
      </c>
      <c r="R2016" s="78">
        <f>IF(P2016="应付",COUNTIF(P$7:P2016,"应付"),"")</f>
      </c>
      <c r="S2016" s="78">
        <f>N(F2016)-N(G2016)</f>
        <v>0</v>
      </c>
    </row>
    <row r="2017">
      <c r="A2017" s="109">
        <f>IF(AND(F2017="",G2017=""),"",ROW()-6)</f>
      </c>
      <c r="B2017" s="140" t="n"/>
      <c r="C2017" s="141" t="n"/>
      <c r="D2017" s="141" t="n"/>
      <c r="E2017" s="142" t="n"/>
      <c r="F2017" s="143" t="n"/>
      <c r="G2017" s="144" t="n"/>
      <c r="H2017" s="145">
        <f>IF(OR(C2017="",AND(F2017="",G2017="")),"",SUMIF(基础资料!$W$5:$W$24,C2017,基础资料!$X$5:$X$24)+SUMIF(C$7:C2017,C2017,F$7:F2017)-SUMIF(C$7:C2017,C2017,G$7:G2017))</f>
      </c>
      <c r="I2017" s="145">
        <f>IF(AND(F2017="",G2017=""),"",SUM(基础资料!$X$5:$X$24)+SUM(F$7:F2017)-SUM(G$7:G2017))</f>
      </c>
      <c r="J2017" s="141" t="n"/>
      <c r="K2017" s="141" t="n"/>
      <c r="L2017" s="141" t="n"/>
      <c r="M2017" s="142" t="n"/>
      <c r="N2017" s="146">
        <f>IF(AND(AND(F2017="",G2017=""),B2017="",C2017="",D2017="",J2017="",K2017="",L2017=""),"",IF(AND(F2017="",G2017=""),"✗ 没填金额",IF(AND(N(F2017)&lt;&gt;0,N(G2017)&lt;&gt;0),"✗ 收入、支出只能填一边",IF(NOT(ISNUMBER(B2017)),"✗ 日期不是真日期（要像 2026/9/25 这样填）",IF(OR(B2017&lt;年初日,B2017&gt;年末日),"✗ 日期不在本会计年度",IF(C2017="","✗ 没选账户",IF(COUNTIF(基础资料!$W$5:$W$24,C2017)=0,"✗ 账户不在基础资料里",IF(O2017="","✗ 没选收支项目",IF(P2017="未知","✗ 收支项目不在基础资料里",IF(AND(P2017="应收",J2017=""),"✗ 这笔要选客户",IF(AND(P2017="应收",COUNTIF(总览汇总!$B$5:$B$304,J2017)=0),"✗ 客户不在总览汇总名单里",IF(AND(P2017="应付",K2017=""),"✗ 这笔要选供应商",IF(AND(P2017="应付",COUNTIF(基础资料!$Q$5:$Q$54,K2017)=0),"✗ 供应商不在基础资料里",IF(AND(P2017="费用",L2017=""),"✗ 费用支出要选费用项目",IF(AND(L2017&lt;&gt;"",COUNTIF(基础资料!$AI$5:$AI$54,L2017)=0),"✗ 费用项目不在基础资料里",IF(AND(IFERROR(INDEX(基础资料!$AD$5:$AD$34,MATCH(O2017,基础资料!$AC$5:$AC$34,0)),"")="收",N(G2017)&lt;&gt;0),"✗ 这类是收款，金额填到收入列",IF(AND(IFERROR(INDEX(基础资料!$AD$5:$AD$34,MATCH(O2017,基础资料!$AC$5:$AC$34,0)),"")="支",N(F2017)&lt;&gt;0),"✗ 这类是付款，金额填到支出列",IF(N(H2017)&lt;0,"⚠ 账户余额成负数了，核对一下","√"))))))))))))))))))</f>
      </c>
      <c r="O2017" s="78">
        <f>IF(D2017&lt;&gt;"",D2017,IF(AND(F2017="",G2017=""),"",IF(J2017&lt;&gt;"",IF(N(F2017)&gt;0,"客户回款","客户退款"),IF(K2017&lt;&gt;"",IF(N(G2017)&gt;0,"供应商付款","供应商退款"),IF(L2017&lt;&gt;"","费用支出","")))))</f>
      </c>
      <c r="P2017" s="78">
        <f>IF(O2017="","",IFERROR(INDEX(基础资料!$AE$5:$AE$34,MATCH(O2017,基础资料!$AC$5:$AC$34,0)),"未知"))</f>
      </c>
      <c r="Q2017" s="78">
        <f>IF(P2017="应收",COUNTIF(P$7:P2017,"应收"),"")</f>
      </c>
      <c r="R2017" s="78">
        <f>IF(P2017="应付",COUNTIF(P$7:P2017,"应付"),"")</f>
      </c>
      <c r="S2017" s="78">
        <f>N(F2017)-N(G2017)</f>
        <v>0</v>
      </c>
    </row>
    <row r="2018">
      <c r="A2018" s="109">
        <f>IF(AND(F2018="",G2018=""),"",ROW()-6)</f>
      </c>
      <c r="B2018" s="140" t="n"/>
      <c r="C2018" s="141" t="n"/>
      <c r="D2018" s="141" t="n"/>
      <c r="E2018" s="142" t="n"/>
      <c r="F2018" s="143" t="n"/>
      <c r="G2018" s="144" t="n"/>
      <c r="H2018" s="145">
        <f>IF(OR(C2018="",AND(F2018="",G2018="")),"",SUMIF(基础资料!$W$5:$W$24,C2018,基础资料!$X$5:$X$24)+SUMIF(C$7:C2018,C2018,F$7:F2018)-SUMIF(C$7:C2018,C2018,G$7:G2018))</f>
      </c>
      <c r="I2018" s="145">
        <f>IF(AND(F2018="",G2018=""),"",SUM(基础资料!$X$5:$X$24)+SUM(F$7:F2018)-SUM(G$7:G2018))</f>
      </c>
      <c r="J2018" s="141" t="n"/>
      <c r="K2018" s="141" t="n"/>
      <c r="L2018" s="141" t="n"/>
      <c r="M2018" s="142" t="n"/>
      <c r="N2018" s="146">
        <f>IF(AND(AND(F2018="",G2018=""),B2018="",C2018="",D2018="",J2018="",K2018="",L2018=""),"",IF(AND(F2018="",G2018=""),"✗ 没填金额",IF(AND(N(F2018)&lt;&gt;0,N(G2018)&lt;&gt;0),"✗ 收入、支出只能填一边",IF(NOT(ISNUMBER(B2018)),"✗ 日期不是真日期（要像 2026/9/25 这样填）",IF(OR(B2018&lt;年初日,B2018&gt;年末日),"✗ 日期不在本会计年度",IF(C2018="","✗ 没选账户",IF(COUNTIF(基础资料!$W$5:$W$24,C2018)=0,"✗ 账户不在基础资料里",IF(O2018="","✗ 没选收支项目",IF(P2018="未知","✗ 收支项目不在基础资料里",IF(AND(P2018="应收",J2018=""),"✗ 这笔要选客户",IF(AND(P2018="应收",COUNTIF(总览汇总!$B$5:$B$304,J2018)=0),"✗ 客户不在总览汇总名单里",IF(AND(P2018="应付",K2018=""),"✗ 这笔要选供应商",IF(AND(P2018="应付",COUNTIF(基础资料!$Q$5:$Q$54,K2018)=0),"✗ 供应商不在基础资料里",IF(AND(P2018="费用",L2018=""),"✗ 费用支出要选费用项目",IF(AND(L2018&lt;&gt;"",COUNTIF(基础资料!$AI$5:$AI$54,L2018)=0),"✗ 费用项目不在基础资料里",IF(AND(IFERROR(INDEX(基础资料!$AD$5:$AD$34,MATCH(O2018,基础资料!$AC$5:$AC$34,0)),"")="收",N(G2018)&lt;&gt;0),"✗ 这类是收款，金额填到收入列",IF(AND(IFERROR(INDEX(基础资料!$AD$5:$AD$34,MATCH(O2018,基础资料!$AC$5:$AC$34,0)),"")="支",N(F2018)&lt;&gt;0),"✗ 这类是付款，金额填到支出列",IF(N(H2018)&lt;0,"⚠ 账户余额成负数了，核对一下","√"))))))))))))))))))</f>
      </c>
      <c r="O2018" s="78">
        <f>IF(D2018&lt;&gt;"",D2018,IF(AND(F2018="",G2018=""),"",IF(J2018&lt;&gt;"",IF(N(F2018)&gt;0,"客户回款","客户退款"),IF(K2018&lt;&gt;"",IF(N(G2018)&gt;0,"供应商付款","供应商退款"),IF(L2018&lt;&gt;"","费用支出","")))))</f>
      </c>
      <c r="P2018" s="78">
        <f>IF(O2018="","",IFERROR(INDEX(基础资料!$AE$5:$AE$34,MATCH(O2018,基础资料!$AC$5:$AC$34,0)),"未知"))</f>
      </c>
      <c r="Q2018" s="78">
        <f>IF(P2018="应收",COUNTIF(P$7:P2018,"应收"),"")</f>
      </c>
      <c r="R2018" s="78">
        <f>IF(P2018="应付",COUNTIF(P$7:P2018,"应付"),"")</f>
      </c>
      <c r="S2018" s="78">
        <f>N(F2018)-N(G2018)</f>
        <v>0</v>
      </c>
    </row>
    <row r="2019">
      <c r="A2019" s="109">
        <f>IF(AND(F2019="",G2019=""),"",ROW()-6)</f>
      </c>
      <c r="B2019" s="140" t="n"/>
      <c r="C2019" s="141" t="n"/>
      <c r="D2019" s="141" t="n"/>
      <c r="E2019" s="142" t="n"/>
      <c r="F2019" s="143" t="n"/>
      <c r="G2019" s="144" t="n"/>
      <c r="H2019" s="145">
        <f>IF(OR(C2019="",AND(F2019="",G2019="")),"",SUMIF(基础资料!$W$5:$W$24,C2019,基础资料!$X$5:$X$24)+SUMIF(C$7:C2019,C2019,F$7:F2019)-SUMIF(C$7:C2019,C2019,G$7:G2019))</f>
      </c>
      <c r="I2019" s="145">
        <f>IF(AND(F2019="",G2019=""),"",SUM(基础资料!$X$5:$X$24)+SUM(F$7:F2019)-SUM(G$7:G2019))</f>
      </c>
      <c r="J2019" s="141" t="n"/>
      <c r="K2019" s="141" t="n"/>
      <c r="L2019" s="141" t="n"/>
      <c r="M2019" s="142" t="n"/>
      <c r="N2019" s="146">
        <f>IF(AND(AND(F2019="",G2019=""),B2019="",C2019="",D2019="",J2019="",K2019="",L2019=""),"",IF(AND(F2019="",G2019=""),"✗ 没填金额",IF(AND(N(F2019)&lt;&gt;0,N(G2019)&lt;&gt;0),"✗ 收入、支出只能填一边",IF(NOT(ISNUMBER(B2019)),"✗ 日期不是真日期（要像 2026/9/25 这样填）",IF(OR(B2019&lt;年初日,B2019&gt;年末日),"✗ 日期不在本会计年度",IF(C2019="","✗ 没选账户",IF(COUNTIF(基础资料!$W$5:$W$24,C2019)=0,"✗ 账户不在基础资料里",IF(O2019="","✗ 没选收支项目",IF(P2019="未知","✗ 收支项目不在基础资料里",IF(AND(P2019="应收",J2019=""),"✗ 这笔要选客户",IF(AND(P2019="应收",COUNTIF(总览汇总!$B$5:$B$304,J2019)=0),"✗ 客户不在总览汇总名单里",IF(AND(P2019="应付",K2019=""),"✗ 这笔要选供应商",IF(AND(P2019="应付",COUNTIF(基础资料!$Q$5:$Q$54,K2019)=0),"✗ 供应商不在基础资料里",IF(AND(P2019="费用",L2019=""),"✗ 费用支出要选费用项目",IF(AND(L2019&lt;&gt;"",COUNTIF(基础资料!$AI$5:$AI$54,L2019)=0),"✗ 费用项目不在基础资料里",IF(AND(IFERROR(INDEX(基础资料!$AD$5:$AD$34,MATCH(O2019,基础资料!$AC$5:$AC$34,0)),"")="收",N(G2019)&lt;&gt;0),"✗ 这类是收款，金额填到收入列",IF(AND(IFERROR(INDEX(基础资料!$AD$5:$AD$34,MATCH(O2019,基础资料!$AC$5:$AC$34,0)),"")="支",N(F2019)&lt;&gt;0),"✗ 这类是付款，金额填到支出列",IF(N(H2019)&lt;0,"⚠ 账户余额成负数了，核对一下","√"))))))))))))))))))</f>
      </c>
      <c r="O2019" s="78">
        <f>IF(D2019&lt;&gt;"",D2019,IF(AND(F2019="",G2019=""),"",IF(J2019&lt;&gt;"",IF(N(F2019)&gt;0,"客户回款","客户退款"),IF(K2019&lt;&gt;"",IF(N(G2019)&gt;0,"供应商付款","供应商退款"),IF(L2019&lt;&gt;"","费用支出","")))))</f>
      </c>
      <c r="P2019" s="78">
        <f>IF(O2019="","",IFERROR(INDEX(基础资料!$AE$5:$AE$34,MATCH(O2019,基础资料!$AC$5:$AC$34,0)),"未知"))</f>
      </c>
      <c r="Q2019" s="78">
        <f>IF(P2019="应收",COUNTIF(P$7:P2019,"应收"),"")</f>
      </c>
      <c r="R2019" s="78">
        <f>IF(P2019="应付",COUNTIF(P$7:P2019,"应付"),"")</f>
      </c>
      <c r="S2019" s="78">
        <f>N(F2019)-N(G2019)</f>
        <v>0</v>
      </c>
    </row>
    <row r="2020">
      <c r="A2020" s="109">
        <f>IF(AND(F2020="",G2020=""),"",ROW()-6)</f>
      </c>
      <c r="B2020" s="140" t="n"/>
      <c r="C2020" s="141" t="n"/>
      <c r="D2020" s="141" t="n"/>
      <c r="E2020" s="142" t="n"/>
      <c r="F2020" s="143" t="n"/>
      <c r="G2020" s="144" t="n"/>
      <c r="H2020" s="145">
        <f>IF(OR(C2020="",AND(F2020="",G2020="")),"",SUMIF(基础资料!$W$5:$W$24,C2020,基础资料!$X$5:$X$24)+SUMIF(C$7:C2020,C2020,F$7:F2020)-SUMIF(C$7:C2020,C2020,G$7:G2020))</f>
      </c>
      <c r="I2020" s="145">
        <f>IF(AND(F2020="",G2020=""),"",SUM(基础资料!$X$5:$X$24)+SUM(F$7:F2020)-SUM(G$7:G2020))</f>
      </c>
      <c r="J2020" s="141" t="n"/>
      <c r="K2020" s="141" t="n"/>
      <c r="L2020" s="141" t="n"/>
      <c r="M2020" s="142" t="n"/>
      <c r="N2020" s="146">
        <f>IF(AND(AND(F2020="",G2020=""),B2020="",C2020="",D2020="",J2020="",K2020="",L2020=""),"",IF(AND(F2020="",G2020=""),"✗ 没填金额",IF(AND(N(F2020)&lt;&gt;0,N(G2020)&lt;&gt;0),"✗ 收入、支出只能填一边",IF(NOT(ISNUMBER(B2020)),"✗ 日期不是真日期（要像 2026/9/25 这样填）",IF(OR(B2020&lt;年初日,B2020&gt;年末日),"✗ 日期不在本会计年度",IF(C2020="","✗ 没选账户",IF(COUNTIF(基础资料!$W$5:$W$24,C2020)=0,"✗ 账户不在基础资料里",IF(O2020="","✗ 没选收支项目",IF(P2020="未知","✗ 收支项目不在基础资料里",IF(AND(P2020="应收",J2020=""),"✗ 这笔要选客户",IF(AND(P2020="应收",COUNTIF(总览汇总!$B$5:$B$304,J2020)=0),"✗ 客户不在总览汇总名单里",IF(AND(P2020="应付",K2020=""),"✗ 这笔要选供应商",IF(AND(P2020="应付",COUNTIF(基础资料!$Q$5:$Q$54,K2020)=0),"✗ 供应商不在基础资料里",IF(AND(P2020="费用",L2020=""),"✗ 费用支出要选费用项目",IF(AND(L2020&lt;&gt;"",COUNTIF(基础资料!$AI$5:$AI$54,L2020)=0),"✗ 费用项目不在基础资料里",IF(AND(IFERROR(INDEX(基础资料!$AD$5:$AD$34,MATCH(O2020,基础资料!$AC$5:$AC$34,0)),"")="收",N(G2020)&lt;&gt;0),"✗ 这类是收款，金额填到收入列",IF(AND(IFERROR(INDEX(基础资料!$AD$5:$AD$34,MATCH(O2020,基础资料!$AC$5:$AC$34,0)),"")="支",N(F2020)&lt;&gt;0),"✗ 这类是付款，金额填到支出列",IF(N(H2020)&lt;0,"⚠ 账户余额成负数了，核对一下","√"))))))))))))))))))</f>
      </c>
      <c r="O2020" s="78">
        <f>IF(D2020&lt;&gt;"",D2020,IF(AND(F2020="",G2020=""),"",IF(J2020&lt;&gt;"",IF(N(F2020)&gt;0,"客户回款","客户退款"),IF(K2020&lt;&gt;"",IF(N(G2020)&gt;0,"供应商付款","供应商退款"),IF(L2020&lt;&gt;"","费用支出","")))))</f>
      </c>
      <c r="P2020" s="78">
        <f>IF(O2020="","",IFERROR(INDEX(基础资料!$AE$5:$AE$34,MATCH(O2020,基础资料!$AC$5:$AC$34,0)),"未知"))</f>
      </c>
      <c r="Q2020" s="78">
        <f>IF(P2020="应收",COUNTIF(P$7:P2020,"应收"),"")</f>
      </c>
      <c r="R2020" s="78">
        <f>IF(P2020="应付",COUNTIF(P$7:P2020,"应付"),"")</f>
      </c>
      <c r="S2020" s="78">
        <f>N(F2020)-N(G2020)</f>
        <v>0</v>
      </c>
    </row>
    <row r="2021">
      <c r="A2021" s="109">
        <f>IF(AND(F2021="",G2021=""),"",ROW()-6)</f>
      </c>
      <c r="B2021" s="140" t="n"/>
      <c r="C2021" s="141" t="n"/>
      <c r="D2021" s="141" t="n"/>
      <c r="E2021" s="142" t="n"/>
      <c r="F2021" s="143" t="n"/>
      <c r="G2021" s="144" t="n"/>
      <c r="H2021" s="145">
        <f>IF(OR(C2021="",AND(F2021="",G2021="")),"",SUMIF(基础资料!$W$5:$W$24,C2021,基础资料!$X$5:$X$24)+SUMIF(C$7:C2021,C2021,F$7:F2021)-SUMIF(C$7:C2021,C2021,G$7:G2021))</f>
      </c>
      <c r="I2021" s="145">
        <f>IF(AND(F2021="",G2021=""),"",SUM(基础资料!$X$5:$X$24)+SUM(F$7:F2021)-SUM(G$7:G2021))</f>
      </c>
      <c r="J2021" s="141" t="n"/>
      <c r="K2021" s="141" t="n"/>
      <c r="L2021" s="141" t="n"/>
      <c r="M2021" s="142" t="n"/>
      <c r="N2021" s="146">
        <f>IF(AND(AND(F2021="",G2021=""),B2021="",C2021="",D2021="",J2021="",K2021="",L2021=""),"",IF(AND(F2021="",G2021=""),"✗ 没填金额",IF(AND(N(F2021)&lt;&gt;0,N(G2021)&lt;&gt;0),"✗ 收入、支出只能填一边",IF(NOT(ISNUMBER(B2021)),"✗ 日期不是真日期（要像 2026/9/25 这样填）",IF(OR(B2021&lt;年初日,B2021&gt;年末日),"✗ 日期不在本会计年度",IF(C2021="","✗ 没选账户",IF(COUNTIF(基础资料!$W$5:$W$24,C2021)=0,"✗ 账户不在基础资料里",IF(O2021="","✗ 没选收支项目",IF(P2021="未知","✗ 收支项目不在基础资料里",IF(AND(P2021="应收",J2021=""),"✗ 这笔要选客户",IF(AND(P2021="应收",COUNTIF(总览汇总!$B$5:$B$304,J2021)=0),"✗ 客户不在总览汇总名单里",IF(AND(P2021="应付",K2021=""),"✗ 这笔要选供应商",IF(AND(P2021="应付",COUNTIF(基础资料!$Q$5:$Q$54,K2021)=0),"✗ 供应商不在基础资料里",IF(AND(P2021="费用",L2021=""),"✗ 费用支出要选费用项目",IF(AND(L2021&lt;&gt;"",COUNTIF(基础资料!$AI$5:$AI$54,L2021)=0),"✗ 费用项目不在基础资料里",IF(AND(IFERROR(INDEX(基础资料!$AD$5:$AD$34,MATCH(O2021,基础资料!$AC$5:$AC$34,0)),"")="收",N(G2021)&lt;&gt;0),"✗ 这类是收款，金额填到收入列",IF(AND(IFERROR(INDEX(基础资料!$AD$5:$AD$34,MATCH(O2021,基础资料!$AC$5:$AC$34,0)),"")="支",N(F2021)&lt;&gt;0),"✗ 这类是付款，金额填到支出列",IF(N(H2021)&lt;0,"⚠ 账户余额成负数了，核对一下","√"))))))))))))))))))</f>
      </c>
      <c r="O2021" s="78">
        <f>IF(D2021&lt;&gt;"",D2021,IF(AND(F2021="",G2021=""),"",IF(J2021&lt;&gt;"",IF(N(F2021)&gt;0,"客户回款","客户退款"),IF(K2021&lt;&gt;"",IF(N(G2021)&gt;0,"供应商付款","供应商退款"),IF(L2021&lt;&gt;"","费用支出","")))))</f>
      </c>
      <c r="P2021" s="78">
        <f>IF(O2021="","",IFERROR(INDEX(基础资料!$AE$5:$AE$34,MATCH(O2021,基础资料!$AC$5:$AC$34,0)),"未知"))</f>
      </c>
      <c r="Q2021" s="78">
        <f>IF(P2021="应收",COUNTIF(P$7:P2021,"应收"),"")</f>
      </c>
      <c r="R2021" s="78">
        <f>IF(P2021="应付",COUNTIF(P$7:P2021,"应付"),"")</f>
      </c>
      <c r="S2021" s="78">
        <f>N(F2021)-N(G2021)</f>
        <v>0</v>
      </c>
    </row>
    <row r="2022">
      <c r="A2022" s="109">
        <f>IF(AND(F2022="",G2022=""),"",ROW()-6)</f>
      </c>
      <c r="B2022" s="140" t="n"/>
      <c r="C2022" s="141" t="n"/>
      <c r="D2022" s="141" t="n"/>
      <c r="E2022" s="142" t="n"/>
      <c r="F2022" s="143" t="n"/>
      <c r="G2022" s="144" t="n"/>
      <c r="H2022" s="145">
        <f>IF(OR(C2022="",AND(F2022="",G2022="")),"",SUMIF(基础资料!$W$5:$W$24,C2022,基础资料!$X$5:$X$24)+SUMIF(C$7:C2022,C2022,F$7:F2022)-SUMIF(C$7:C2022,C2022,G$7:G2022))</f>
      </c>
      <c r="I2022" s="145">
        <f>IF(AND(F2022="",G2022=""),"",SUM(基础资料!$X$5:$X$24)+SUM(F$7:F2022)-SUM(G$7:G2022))</f>
      </c>
      <c r="J2022" s="141" t="n"/>
      <c r="K2022" s="141" t="n"/>
      <c r="L2022" s="141" t="n"/>
      <c r="M2022" s="142" t="n"/>
      <c r="N2022" s="146">
        <f>IF(AND(AND(F2022="",G2022=""),B2022="",C2022="",D2022="",J2022="",K2022="",L2022=""),"",IF(AND(F2022="",G2022=""),"✗ 没填金额",IF(AND(N(F2022)&lt;&gt;0,N(G2022)&lt;&gt;0),"✗ 收入、支出只能填一边",IF(NOT(ISNUMBER(B2022)),"✗ 日期不是真日期（要像 2026/9/25 这样填）",IF(OR(B2022&lt;年初日,B2022&gt;年末日),"✗ 日期不在本会计年度",IF(C2022="","✗ 没选账户",IF(COUNTIF(基础资料!$W$5:$W$24,C2022)=0,"✗ 账户不在基础资料里",IF(O2022="","✗ 没选收支项目",IF(P2022="未知","✗ 收支项目不在基础资料里",IF(AND(P2022="应收",J2022=""),"✗ 这笔要选客户",IF(AND(P2022="应收",COUNTIF(总览汇总!$B$5:$B$304,J2022)=0),"✗ 客户不在总览汇总名单里",IF(AND(P2022="应付",K2022=""),"✗ 这笔要选供应商",IF(AND(P2022="应付",COUNTIF(基础资料!$Q$5:$Q$54,K2022)=0),"✗ 供应商不在基础资料里",IF(AND(P2022="费用",L2022=""),"✗ 费用支出要选费用项目",IF(AND(L2022&lt;&gt;"",COUNTIF(基础资料!$AI$5:$AI$54,L2022)=0),"✗ 费用项目不在基础资料里",IF(AND(IFERROR(INDEX(基础资料!$AD$5:$AD$34,MATCH(O2022,基础资料!$AC$5:$AC$34,0)),"")="收",N(G2022)&lt;&gt;0),"✗ 这类是收款，金额填到收入列",IF(AND(IFERROR(INDEX(基础资料!$AD$5:$AD$34,MATCH(O2022,基础资料!$AC$5:$AC$34,0)),"")="支",N(F2022)&lt;&gt;0),"✗ 这类是付款，金额填到支出列",IF(N(H2022)&lt;0,"⚠ 账户余额成负数了，核对一下","√"))))))))))))))))))</f>
      </c>
      <c r="O2022" s="78">
        <f>IF(D2022&lt;&gt;"",D2022,IF(AND(F2022="",G2022=""),"",IF(J2022&lt;&gt;"",IF(N(F2022)&gt;0,"客户回款","客户退款"),IF(K2022&lt;&gt;"",IF(N(G2022)&gt;0,"供应商付款","供应商退款"),IF(L2022&lt;&gt;"","费用支出","")))))</f>
      </c>
      <c r="P2022" s="78">
        <f>IF(O2022="","",IFERROR(INDEX(基础资料!$AE$5:$AE$34,MATCH(O2022,基础资料!$AC$5:$AC$34,0)),"未知"))</f>
      </c>
      <c r="Q2022" s="78">
        <f>IF(P2022="应收",COUNTIF(P$7:P2022,"应收"),"")</f>
      </c>
      <c r="R2022" s="78">
        <f>IF(P2022="应付",COUNTIF(P$7:P2022,"应付"),"")</f>
      </c>
      <c r="S2022" s="78">
        <f>N(F2022)-N(G2022)</f>
        <v>0</v>
      </c>
    </row>
    <row r="2023">
      <c r="A2023" s="109">
        <f>IF(AND(F2023="",G2023=""),"",ROW()-6)</f>
      </c>
      <c r="B2023" s="140" t="n"/>
      <c r="C2023" s="141" t="n"/>
      <c r="D2023" s="141" t="n"/>
      <c r="E2023" s="142" t="n"/>
      <c r="F2023" s="143" t="n"/>
      <c r="G2023" s="144" t="n"/>
      <c r="H2023" s="145">
        <f>IF(OR(C2023="",AND(F2023="",G2023="")),"",SUMIF(基础资料!$W$5:$W$24,C2023,基础资料!$X$5:$X$24)+SUMIF(C$7:C2023,C2023,F$7:F2023)-SUMIF(C$7:C2023,C2023,G$7:G2023))</f>
      </c>
      <c r="I2023" s="145">
        <f>IF(AND(F2023="",G2023=""),"",SUM(基础资料!$X$5:$X$24)+SUM(F$7:F2023)-SUM(G$7:G2023))</f>
      </c>
      <c r="J2023" s="141" t="n"/>
      <c r="K2023" s="141" t="n"/>
      <c r="L2023" s="141" t="n"/>
      <c r="M2023" s="142" t="n"/>
      <c r="N2023" s="146">
        <f>IF(AND(AND(F2023="",G2023=""),B2023="",C2023="",D2023="",J2023="",K2023="",L2023=""),"",IF(AND(F2023="",G2023=""),"✗ 没填金额",IF(AND(N(F2023)&lt;&gt;0,N(G2023)&lt;&gt;0),"✗ 收入、支出只能填一边",IF(NOT(ISNUMBER(B2023)),"✗ 日期不是真日期（要像 2026/9/25 这样填）",IF(OR(B2023&lt;年初日,B2023&gt;年末日),"✗ 日期不在本会计年度",IF(C2023="","✗ 没选账户",IF(COUNTIF(基础资料!$W$5:$W$24,C2023)=0,"✗ 账户不在基础资料里",IF(O2023="","✗ 没选收支项目",IF(P2023="未知","✗ 收支项目不在基础资料里",IF(AND(P2023="应收",J2023=""),"✗ 这笔要选客户",IF(AND(P2023="应收",COUNTIF(总览汇总!$B$5:$B$304,J2023)=0),"✗ 客户不在总览汇总名单里",IF(AND(P2023="应付",K2023=""),"✗ 这笔要选供应商",IF(AND(P2023="应付",COUNTIF(基础资料!$Q$5:$Q$54,K2023)=0),"✗ 供应商不在基础资料里",IF(AND(P2023="费用",L2023=""),"✗ 费用支出要选费用项目",IF(AND(L2023&lt;&gt;"",COUNTIF(基础资料!$AI$5:$AI$54,L2023)=0),"✗ 费用项目不在基础资料里",IF(AND(IFERROR(INDEX(基础资料!$AD$5:$AD$34,MATCH(O2023,基础资料!$AC$5:$AC$34,0)),"")="收",N(G2023)&lt;&gt;0),"✗ 这类是收款，金额填到收入列",IF(AND(IFERROR(INDEX(基础资料!$AD$5:$AD$34,MATCH(O2023,基础资料!$AC$5:$AC$34,0)),"")="支",N(F2023)&lt;&gt;0),"✗ 这类是付款，金额填到支出列",IF(N(H2023)&lt;0,"⚠ 账户余额成负数了，核对一下","√"))))))))))))))))))</f>
      </c>
      <c r="O2023" s="78">
        <f>IF(D2023&lt;&gt;"",D2023,IF(AND(F2023="",G2023=""),"",IF(J2023&lt;&gt;"",IF(N(F2023)&gt;0,"客户回款","客户退款"),IF(K2023&lt;&gt;"",IF(N(G2023)&gt;0,"供应商付款","供应商退款"),IF(L2023&lt;&gt;"","费用支出","")))))</f>
      </c>
      <c r="P2023" s="78">
        <f>IF(O2023="","",IFERROR(INDEX(基础资料!$AE$5:$AE$34,MATCH(O2023,基础资料!$AC$5:$AC$34,0)),"未知"))</f>
      </c>
      <c r="Q2023" s="78">
        <f>IF(P2023="应收",COUNTIF(P$7:P2023,"应收"),"")</f>
      </c>
      <c r="R2023" s="78">
        <f>IF(P2023="应付",COUNTIF(P$7:P2023,"应付"),"")</f>
      </c>
      <c r="S2023" s="78">
        <f>N(F2023)-N(G2023)</f>
        <v>0</v>
      </c>
    </row>
    <row r="2024">
      <c r="A2024" s="109">
        <f>IF(AND(F2024="",G2024=""),"",ROW()-6)</f>
      </c>
      <c r="B2024" s="140" t="n"/>
      <c r="C2024" s="141" t="n"/>
      <c r="D2024" s="141" t="n"/>
      <c r="E2024" s="142" t="n"/>
      <c r="F2024" s="143" t="n"/>
      <c r="G2024" s="144" t="n"/>
      <c r="H2024" s="145">
        <f>IF(OR(C2024="",AND(F2024="",G2024="")),"",SUMIF(基础资料!$W$5:$W$24,C2024,基础资料!$X$5:$X$24)+SUMIF(C$7:C2024,C2024,F$7:F2024)-SUMIF(C$7:C2024,C2024,G$7:G2024))</f>
      </c>
      <c r="I2024" s="145">
        <f>IF(AND(F2024="",G2024=""),"",SUM(基础资料!$X$5:$X$24)+SUM(F$7:F2024)-SUM(G$7:G2024))</f>
      </c>
      <c r="J2024" s="141" t="n"/>
      <c r="K2024" s="141" t="n"/>
      <c r="L2024" s="141" t="n"/>
      <c r="M2024" s="142" t="n"/>
      <c r="N2024" s="146">
        <f>IF(AND(AND(F2024="",G2024=""),B2024="",C2024="",D2024="",J2024="",K2024="",L2024=""),"",IF(AND(F2024="",G2024=""),"✗ 没填金额",IF(AND(N(F2024)&lt;&gt;0,N(G2024)&lt;&gt;0),"✗ 收入、支出只能填一边",IF(NOT(ISNUMBER(B2024)),"✗ 日期不是真日期（要像 2026/9/25 这样填）",IF(OR(B2024&lt;年初日,B2024&gt;年末日),"✗ 日期不在本会计年度",IF(C2024="","✗ 没选账户",IF(COUNTIF(基础资料!$W$5:$W$24,C2024)=0,"✗ 账户不在基础资料里",IF(O2024="","✗ 没选收支项目",IF(P2024="未知","✗ 收支项目不在基础资料里",IF(AND(P2024="应收",J2024=""),"✗ 这笔要选客户",IF(AND(P2024="应收",COUNTIF(总览汇总!$B$5:$B$304,J2024)=0),"✗ 客户不在总览汇总名单里",IF(AND(P2024="应付",K2024=""),"✗ 这笔要选供应商",IF(AND(P2024="应付",COUNTIF(基础资料!$Q$5:$Q$54,K2024)=0),"✗ 供应商不在基础资料里",IF(AND(P2024="费用",L2024=""),"✗ 费用支出要选费用项目",IF(AND(L2024&lt;&gt;"",COUNTIF(基础资料!$AI$5:$AI$54,L2024)=0),"✗ 费用项目不在基础资料里",IF(AND(IFERROR(INDEX(基础资料!$AD$5:$AD$34,MATCH(O2024,基础资料!$AC$5:$AC$34,0)),"")="收",N(G2024)&lt;&gt;0),"✗ 这类是收款，金额填到收入列",IF(AND(IFERROR(INDEX(基础资料!$AD$5:$AD$34,MATCH(O2024,基础资料!$AC$5:$AC$34,0)),"")="支",N(F2024)&lt;&gt;0),"✗ 这类是付款，金额填到支出列",IF(N(H2024)&lt;0,"⚠ 账户余额成负数了，核对一下","√"))))))))))))))))))</f>
      </c>
      <c r="O2024" s="78">
        <f>IF(D2024&lt;&gt;"",D2024,IF(AND(F2024="",G2024=""),"",IF(J2024&lt;&gt;"",IF(N(F2024)&gt;0,"客户回款","客户退款"),IF(K2024&lt;&gt;"",IF(N(G2024)&gt;0,"供应商付款","供应商退款"),IF(L2024&lt;&gt;"","费用支出","")))))</f>
      </c>
      <c r="P2024" s="78">
        <f>IF(O2024="","",IFERROR(INDEX(基础资料!$AE$5:$AE$34,MATCH(O2024,基础资料!$AC$5:$AC$34,0)),"未知"))</f>
      </c>
      <c r="Q2024" s="78">
        <f>IF(P2024="应收",COUNTIF(P$7:P2024,"应收"),"")</f>
      </c>
      <c r="R2024" s="78">
        <f>IF(P2024="应付",COUNTIF(P$7:P2024,"应付"),"")</f>
      </c>
      <c r="S2024" s="78">
        <f>N(F2024)-N(G2024)</f>
        <v>0</v>
      </c>
    </row>
    <row r="2025">
      <c r="A2025" s="109">
        <f>IF(AND(F2025="",G2025=""),"",ROW()-6)</f>
      </c>
      <c r="B2025" s="140" t="n"/>
      <c r="C2025" s="141" t="n"/>
      <c r="D2025" s="141" t="n"/>
      <c r="E2025" s="142" t="n"/>
      <c r="F2025" s="143" t="n"/>
      <c r="G2025" s="144" t="n"/>
      <c r="H2025" s="145">
        <f>IF(OR(C2025="",AND(F2025="",G2025="")),"",SUMIF(基础资料!$W$5:$W$24,C2025,基础资料!$X$5:$X$24)+SUMIF(C$7:C2025,C2025,F$7:F2025)-SUMIF(C$7:C2025,C2025,G$7:G2025))</f>
      </c>
      <c r="I2025" s="145">
        <f>IF(AND(F2025="",G2025=""),"",SUM(基础资料!$X$5:$X$24)+SUM(F$7:F2025)-SUM(G$7:G2025))</f>
      </c>
      <c r="J2025" s="141" t="n"/>
      <c r="K2025" s="141" t="n"/>
      <c r="L2025" s="141" t="n"/>
      <c r="M2025" s="142" t="n"/>
      <c r="N2025" s="146">
        <f>IF(AND(AND(F2025="",G2025=""),B2025="",C2025="",D2025="",J2025="",K2025="",L2025=""),"",IF(AND(F2025="",G2025=""),"✗ 没填金额",IF(AND(N(F2025)&lt;&gt;0,N(G2025)&lt;&gt;0),"✗ 收入、支出只能填一边",IF(NOT(ISNUMBER(B2025)),"✗ 日期不是真日期（要像 2026/9/25 这样填）",IF(OR(B2025&lt;年初日,B2025&gt;年末日),"✗ 日期不在本会计年度",IF(C2025="","✗ 没选账户",IF(COUNTIF(基础资料!$W$5:$W$24,C2025)=0,"✗ 账户不在基础资料里",IF(O2025="","✗ 没选收支项目",IF(P2025="未知","✗ 收支项目不在基础资料里",IF(AND(P2025="应收",J2025=""),"✗ 这笔要选客户",IF(AND(P2025="应收",COUNTIF(总览汇总!$B$5:$B$304,J2025)=0),"✗ 客户不在总览汇总名单里",IF(AND(P2025="应付",K2025=""),"✗ 这笔要选供应商",IF(AND(P2025="应付",COUNTIF(基础资料!$Q$5:$Q$54,K2025)=0),"✗ 供应商不在基础资料里",IF(AND(P2025="费用",L2025=""),"✗ 费用支出要选费用项目",IF(AND(L2025&lt;&gt;"",COUNTIF(基础资料!$AI$5:$AI$54,L2025)=0),"✗ 费用项目不在基础资料里",IF(AND(IFERROR(INDEX(基础资料!$AD$5:$AD$34,MATCH(O2025,基础资料!$AC$5:$AC$34,0)),"")="收",N(G2025)&lt;&gt;0),"✗ 这类是收款，金额填到收入列",IF(AND(IFERROR(INDEX(基础资料!$AD$5:$AD$34,MATCH(O2025,基础资料!$AC$5:$AC$34,0)),"")="支",N(F2025)&lt;&gt;0),"✗ 这类是付款，金额填到支出列",IF(N(H2025)&lt;0,"⚠ 账户余额成负数了，核对一下","√"))))))))))))))))))</f>
      </c>
      <c r="O2025" s="78">
        <f>IF(D2025&lt;&gt;"",D2025,IF(AND(F2025="",G2025=""),"",IF(J2025&lt;&gt;"",IF(N(F2025)&gt;0,"客户回款","客户退款"),IF(K2025&lt;&gt;"",IF(N(G2025)&gt;0,"供应商付款","供应商退款"),IF(L2025&lt;&gt;"","费用支出","")))))</f>
      </c>
      <c r="P2025" s="78">
        <f>IF(O2025="","",IFERROR(INDEX(基础资料!$AE$5:$AE$34,MATCH(O2025,基础资料!$AC$5:$AC$34,0)),"未知"))</f>
      </c>
      <c r="Q2025" s="78">
        <f>IF(P2025="应收",COUNTIF(P$7:P2025,"应收"),"")</f>
      </c>
      <c r="R2025" s="78">
        <f>IF(P2025="应付",COUNTIF(P$7:P2025,"应付"),"")</f>
      </c>
      <c r="S2025" s="78">
        <f>N(F2025)-N(G2025)</f>
        <v>0</v>
      </c>
    </row>
    <row r="2026">
      <c r="A2026" s="109">
        <f>IF(AND(F2026="",G2026=""),"",ROW()-6)</f>
      </c>
      <c r="B2026" s="140" t="n"/>
      <c r="C2026" s="141" t="n"/>
      <c r="D2026" s="141" t="n"/>
      <c r="E2026" s="142" t="n"/>
      <c r="F2026" s="143" t="n"/>
      <c r="G2026" s="144" t="n"/>
      <c r="H2026" s="145">
        <f>IF(OR(C2026="",AND(F2026="",G2026="")),"",SUMIF(基础资料!$W$5:$W$24,C2026,基础资料!$X$5:$X$24)+SUMIF(C$7:C2026,C2026,F$7:F2026)-SUMIF(C$7:C2026,C2026,G$7:G2026))</f>
      </c>
      <c r="I2026" s="145">
        <f>IF(AND(F2026="",G2026=""),"",SUM(基础资料!$X$5:$X$24)+SUM(F$7:F2026)-SUM(G$7:G2026))</f>
      </c>
      <c r="J2026" s="141" t="n"/>
      <c r="K2026" s="141" t="n"/>
      <c r="L2026" s="141" t="n"/>
      <c r="M2026" s="142" t="n"/>
      <c r="N2026" s="146">
        <f>IF(AND(AND(F2026="",G2026=""),B2026="",C2026="",D2026="",J2026="",K2026="",L2026=""),"",IF(AND(F2026="",G2026=""),"✗ 没填金额",IF(AND(N(F2026)&lt;&gt;0,N(G2026)&lt;&gt;0),"✗ 收入、支出只能填一边",IF(NOT(ISNUMBER(B2026)),"✗ 日期不是真日期（要像 2026/9/25 这样填）",IF(OR(B2026&lt;年初日,B2026&gt;年末日),"✗ 日期不在本会计年度",IF(C2026="","✗ 没选账户",IF(COUNTIF(基础资料!$W$5:$W$24,C2026)=0,"✗ 账户不在基础资料里",IF(O2026="","✗ 没选收支项目",IF(P2026="未知","✗ 收支项目不在基础资料里",IF(AND(P2026="应收",J2026=""),"✗ 这笔要选客户",IF(AND(P2026="应收",COUNTIF(总览汇总!$B$5:$B$304,J2026)=0),"✗ 客户不在总览汇总名单里",IF(AND(P2026="应付",K2026=""),"✗ 这笔要选供应商",IF(AND(P2026="应付",COUNTIF(基础资料!$Q$5:$Q$54,K2026)=0),"✗ 供应商不在基础资料里",IF(AND(P2026="费用",L2026=""),"✗ 费用支出要选费用项目",IF(AND(L2026&lt;&gt;"",COUNTIF(基础资料!$AI$5:$AI$54,L2026)=0),"✗ 费用项目不在基础资料里",IF(AND(IFERROR(INDEX(基础资料!$AD$5:$AD$34,MATCH(O2026,基础资料!$AC$5:$AC$34,0)),"")="收",N(G2026)&lt;&gt;0),"✗ 这类是收款，金额填到收入列",IF(AND(IFERROR(INDEX(基础资料!$AD$5:$AD$34,MATCH(O2026,基础资料!$AC$5:$AC$34,0)),"")="支",N(F2026)&lt;&gt;0),"✗ 这类是付款，金额填到支出列",IF(N(H2026)&lt;0,"⚠ 账户余额成负数了，核对一下","√"))))))))))))))))))</f>
      </c>
      <c r="O2026" s="78">
        <f>IF(D2026&lt;&gt;"",D2026,IF(AND(F2026="",G2026=""),"",IF(J2026&lt;&gt;"",IF(N(F2026)&gt;0,"客户回款","客户退款"),IF(K2026&lt;&gt;"",IF(N(G2026)&gt;0,"供应商付款","供应商退款"),IF(L2026&lt;&gt;"","费用支出","")))))</f>
      </c>
      <c r="P2026" s="78">
        <f>IF(O2026="","",IFERROR(INDEX(基础资料!$AE$5:$AE$34,MATCH(O2026,基础资料!$AC$5:$AC$34,0)),"未知"))</f>
      </c>
      <c r="Q2026" s="78">
        <f>IF(P2026="应收",COUNTIF(P$7:P2026,"应收"),"")</f>
      </c>
      <c r="R2026" s="78">
        <f>IF(P2026="应付",COUNTIF(P$7:P2026,"应付"),"")</f>
      </c>
      <c r="S2026" s="78">
        <f>N(F2026)-N(G2026)</f>
        <v>0</v>
      </c>
    </row>
    <row r="2027">
      <c r="A2027" s="109">
        <f>IF(AND(F2027="",G2027=""),"",ROW()-6)</f>
      </c>
      <c r="B2027" s="140" t="n"/>
      <c r="C2027" s="141" t="n"/>
      <c r="D2027" s="141" t="n"/>
      <c r="E2027" s="142" t="n"/>
      <c r="F2027" s="143" t="n"/>
      <c r="G2027" s="144" t="n"/>
      <c r="H2027" s="145">
        <f>IF(OR(C2027="",AND(F2027="",G2027="")),"",SUMIF(基础资料!$W$5:$W$24,C2027,基础资料!$X$5:$X$24)+SUMIF(C$7:C2027,C2027,F$7:F2027)-SUMIF(C$7:C2027,C2027,G$7:G2027))</f>
      </c>
      <c r="I2027" s="145">
        <f>IF(AND(F2027="",G2027=""),"",SUM(基础资料!$X$5:$X$24)+SUM(F$7:F2027)-SUM(G$7:G2027))</f>
      </c>
      <c r="J2027" s="141" t="n"/>
      <c r="K2027" s="141" t="n"/>
      <c r="L2027" s="141" t="n"/>
      <c r="M2027" s="142" t="n"/>
      <c r="N2027" s="146">
        <f>IF(AND(AND(F2027="",G2027=""),B2027="",C2027="",D2027="",J2027="",K2027="",L2027=""),"",IF(AND(F2027="",G2027=""),"✗ 没填金额",IF(AND(N(F2027)&lt;&gt;0,N(G2027)&lt;&gt;0),"✗ 收入、支出只能填一边",IF(NOT(ISNUMBER(B2027)),"✗ 日期不是真日期（要像 2026/9/25 这样填）",IF(OR(B2027&lt;年初日,B2027&gt;年末日),"✗ 日期不在本会计年度",IF(C2027="","✗ 没选账户",IF(COUNTIF(基础资料!$W$5:$W$24,C2027)=0,"✗ 账户不在基础资料里",IF(O2027="","✗ 没选收支项目",IF(P2027="未知","✗ 收支项目不在基础资料里",IF(AND(P2027="应收",J2027=""),"✗ 这笔要选客户",IF(AND(P2027="应收",COUNTIF(总览汇总!$B$5:$B$304,J2027)=0),"✗ 客户不在总览汇总名单里",IF(AND(P2027="应付",K2027=""),"✗ 这笔要选供应商",IF(AND(P2027="应付",COUNTIF(基础资料!$Q$5:$Q$54,K2027)=0),"✗ 供应商不在基础资料里",IF(AND(P2027="费用",L2027=""),"✗ 费用支出要选费用项目",IF(AND(L2027&lt;&gt;"",COUNTIF(基础资料!$AI$5:$AI$54,L2027)=0),"✗ 费用项目不在基础资料里",IF(AND(IFERROR(INDEX(基础资料!$AD$5:$AD$34,MATCH(O2027,基础资料!$AC$5:$AC$34,0)),"")="收",N(G2027)&lt;&gt;0),"✗ 这类是收款，金额填到收入列",IF(AND(IFERROR(INDEX(基础资料!$AD$5:$AD$34,MATCH(O2027,基础资料!$AC$5:$AC$34,0)),"")="支",N(F2027)&lt;&gt;0),"✗ 这类是付款，金额填到支出列",IF(N(H2027)&lt;0,"⚠ 账户余额成负数了，核对一下","√"))))))))))))))))))</f>
      </c>
      <c r="O2027" s="78">
        <f>IF(D2027&lt;&gt;"",D2027,IF(AND(F2027="",G2027=""),"",IF(J2027&lt;&gt;"",IF(N(F2027)&gt;0,"客户回款","客户退款"),IF(K2027&lt;&gt;"",IF(N(G2027)&gt;0,"供应商付款","供应商退款"),IF(L2027&lt;&gt;"","费用支出","")))))</f>
      </c>
      <c r="P2027" s="78">
        <f>IF(O2027="","",IFERROR(INDEX(基础资料!$AE$5:$AE$34,MATCH(O2027,基础资料!$AC$5:$AC$34,0)),"未知"))</f>
      </c>
      <c r="Q2027" s="78">
        <f>IF(P2027="应收",COUNTIF(P$7:P2027,"应收"),"")</f>
      </c>
      <c r="R2027" s="78">
        <f>IF(P2027="应付",COUNTIF(P$7:P2027,"应付"),"")</f>
      </c>
      <c r="S2027" s="78">
        <f>N(F2027)-N(G2027)</f>
        <v>0</v>
      </c>
    </row>
    <row r="2028">
      <c r="A2028" s="109">
        <f>IF(AND(F2028="",G2028=""),"",ROW()-6)</f>
      </c>
      <c r="B2028" s="140" t="n"/>
      <c r="C2028" s="141" t="n"/>
      <c r="D2028" s="141" t="n"/>
      <c r="E2028" s="142" t="n"/>
      <c r="F2028" s="143" t="n"/>
      <c r="G2028" s="144" t="n"/>
      <c r="H2028" s="145">
        <f>IF(OR(C2028="",AND(F2028="",G2028="")),"",SUMIF(基础资料!$W$5:$W$24,C2028,基础资料!$X$5:$X$24)+SUMIF(C$7:C2028,C2028,F$7:F2028)-SUMIF(C$7:C2028,C2028,G$7:G2028))</f>
      </c>
      <c r="I2028" s="145">
        <f>IF(AND(F2028="",G2028=""),"",SUM(基础资料!$X$5:$X$24)+SUM(F$7:F2028)-SUM(G$7:G2028))</f>
      </c>
      <c r="J2028" s="141" t="n"/>
      <c r="K2028" s="141" t="n"/>
      <c r="L2028" s="141" t="n"/>
      <c r="M2028" s="142" t="n"/>
      <c r="N2028" s="146">
        <f>IF(AND(AND(F2028="",G2028=""),B2028="",C2028="",D2028="",J2028="",K2028="",L2028=""),"",IF(AND(F2028="",G2028=""),"✗ 没填金额",IF(AND(N(F2028)&lt;&gt;0,N(G2028)&lt;&gt;0),"✗ 收入、支出只能填一边",IF(NOT(ISNUMBER(B2028)),"✗ 日期不是真日期（要像 2026/9/25 这样填）",IF(OR(B2028&lt;年初日,B2028&gt;年末日),"✗ 日期不在本会计年度",IF(C2028="","✗ 没选账户",IF(COUNTIF(基础资料!$W$5:$W$24,C2028)=0,"✗ 账户不在基础资料里",IF(O2028="","✗ 没选收支项目",IF(P2028="未知","✗ 收支项目不在基础资料里",IF(AND(P2028="应收",J2028=""),"✗ 这笔要选客户",IF(AND(P2028="应收",COUNTIF(总览汇总!$B$5:$B$304,J2028)=0),"✗ 客户不在总览汇总名单里",IF(AND(P2028="应付",K2028=""),"✗ 这笔要选供应商",IF(AND(P2028="应付",COUNTIF(基础资料!$Q$5:$Q$54,K2028)=0),"✗ 供应商不在基础资料里",IF(AND(P2028="费用",L2028=""),"✗ 费用支出要选费用项目",IF(AND(L2028&lt;&gt;"",COUNTIF(基础资料!$AI$5:$AI$54,L2028)=0),"✗ 费用项目不在基础资料里",IF(AND(IFERROR(INDEX(基础资料!$AD$5:$AD$34,MATCH(O2028,基础资料!$AC$5:$AC$34,0)),"")="收",N(G2028)&lt;&gt;0),"✗ 这类是收款，金额填到收入列",IF(AND(IFERROR(INDEX(基础资料!$AD$5:$AD$34,MATCH(O2028,基础资料!$AC$5:$AC$34,0)),"")="支",N(F2028)&lt;&gt;0),"✗ 这类是付款，金额填到支出列",IF(N(H2028)&lt;0,"⚠ 账户余额成负数了，核对一下","√"))))))))))))))))))</f>
      </c>
      <c r="O2028" s="78">
        <f>IF(D2028&lt;&gt;"",D2028,IF(AND(F2028="",G2028=""),"",IF(J2028&lt;&gt;"",IF(N(F2028)&gt;0,"客户回款","客户退款"),IF(K2028&lt;&gt;"",IF(N(G2028)&gt;0,"供应商付款","供应商退款"),IF(L2028&lt;&gt;"","费用支出","")))))</f>
      </c>
      <c r="P2028" s="78">
        <f>IF(O2028="","",IFERROR(INDEX(基础资料!$AE$5:$AE$34,MATCH(O2028,基础资料!$AC$5:$AC$34,0)),"未知"))</f>
      </c>
      <c r="Q2028" s="78">
        <f>IF(P2028="应收",COUNTIF(P$7:P2028,"应收"),"")</f>
      </c>
      <c r="R2028" s="78">
        <f>IF(P2028="应付",COUNTIF(P$7:P2028,"应付"),"")</f>
      </c>
      <c r="S2028" s="78">
        <f>N(F2028)-N(G2028)</f>
        <v>0</v>
      </c>
    </row>
    <row r="2029">
      <c r="A2029" s="109">
        <f>IF(AND(F2029="",G2029=""),"",ROW()-6)</f>
      </c>
      <c r="B2029" s="140" t="n"/>
      <c r="C2029" s="141" t="n"/>
      <c r="D2029" s="141" t="n"/>
      <c r="E2029" s="142" t="n"/>
      <c r="F2029" s="143" t="n"/>
      <c r="G2029" s="144" t="n"/>
      <c r="H2029" s="145">
        <f>IF(OR(C2029="",AND(F2029="",G2029="")),"",SUMIF(基础资料!$W$5:$W$24,C2029,基础资料!$X$5:$X$24)+SUMIF(C$7:C2029,C2029,F$7:F2029)-SUMIF(C$7:C2029,C2029,G$7:G2029))</f>
      </c>
      <c r="I2029" s="145">
        <f>IF(AND(F2029="",G2029=""),"",SUM(基础资料!$X$5:$X$24)+SUM(F$7:F2029)-SUM(G$7:G2029))</f>
      </c>
      <c r="J2029" s="141" t="n"/>
      <c r="K2029" s="141" t="n"/>
      <c r="L2029" s="141" t="n"/>
      <c r="M2029" s="142" t="n"/>
      <c r="N2029" s="146">
        <f>IF(AND(AND(F2029="",G2029=""),B2029="",C2029="",D2029="",J2029="",K2029="",L2029=""),"",IF(AND(F2029="",G2029=""),"✗ 没填金额",IF(AND(N(F2029)&lt;&gt;0,N(G2029)&lt;&gt;0),"✗ 收入、支出只能填一边",IF(NOT(ISNUMBER(B2029)),"✗ 日期不是真日期（要像 2026/9/25 这样填）",IF(OR(B2029&lt;年初日,B2029&gt;年末日),"✗ 日期不在本会计年度",IF(C2029="","✗ 没选账户",IF(COUNTIF(基础资料!$W$5:$W$24,C2029)=0,"✗ 账户不在基础资料里",IF(O2029="","✗ 没选收支项目",IF(P2029="未知","✗ 收支项目不在基础资料里",IF(AND(P2029="应收",J2029=""),"✗ 这笔要选客户",IF(AND(P2029="应收",COUNTIF(总览汇总!$B$5:$B$304,J2029)=0),"✗ 客户不在总览汇总名单里",IF(AND(P2029="应付",K2029=""),"✗ 这笔要选供应商",IF(AND(P2029="应付",COUNTIF(基础资料!$Q$5:$Q$54,K2029)=0),"✗ 供应商不在基础资料里",IF(AND(P2029="费用",L2029=""),"✗ 费用支出要选费用项目",IF(AND(L2029&lt;&gt;"",COUNTIF(基础资料!$AI$5:$AI$54,L2029)=0),"✗ 费用项目不在基础资料里",IF(AND(IFERROR(INDEX(基础资料!$AD$5:$AD$34,MATCH(O2029,基础资料!$AC$5:$AC$34,0)),"")="收",N(G2029)&lt;&gt;0),"✗ 这类是收款，金额填到收入列",IF(AND(IFERROR(INDEX(基础资料!$AD$5:$AD$34,MATCH(O2029,基础资料!$AC$5:$AC$34,0)),"")="支",N(F2029)&lt;&gt;0),"✗ 这类是付款，金额填到支出列",IF(N(H2029)&lt;0,"⚠ 账户余额成负数了，核对一下","√"))))))))))))))))))</f>
      </c>
      <c r="O2029" s="78">
        <f>IF(D2029&lt;&gt;"",D2029,IF(AND(F2029="",G2029=""),"",IF(J2029&lt;&gt;"",IF(N(F2029)&gt;0,"客户回款","客户退款"),IF(K2029&lt;&gt;"",IF(N(G2029)&gt;0,"供应商付款","供应商退款"),IF(L2029&lt;&gt;"","费用支出","")))))</f>
      </c>
      <c r="P2029" s="78">
        <f>IF(O2029="","",IFERROR(INDEX(基础资料!$AE$5:$AE$34,MATCH(O2029,基础资料!$AC$5:$AC$34,0)),"未知"))</f>
      </c>
      <c r="Q2029" s="78">
        <f>IF(P2029="应收",COUNTIF(P$7:P2029,"应收"),"")</f>
      </c>
      <c r="R2029" s="78">
        <f>IF(P2029="应付",COUNTIF(P$7:P2029,"应付"),"")</f>
      </c>
      <c r="S2029" s="78">
        <f>N(F2029)-N(G2029)</f>
        <v>0</v>
      </c>
    </row>
    <row r="2030">
      <c r="A2030" s="109">
        <f>IF(AND(F2030="",G2030=""),"",ROW()-6)</f>
      </c>
      <c r="B2030" s="140" t="n"/>
      <c r="C2030" s="141" t="n"/>
      <c r="D2030" s="141" t="n"/>
      <c r="E2030" s="142" t="n"/>
      <c r="F2030" s="143" t="n"/>
      <c r="G2030" s="144" t="n"/>
      <c r="H2030" s="145">
        <f>IF(OR(C2030="",AND(F2030="",G2030="")),"",SUMIF(基础资料!$W$5:$W$24,C2030,基础资料!$X$5:$X$24)+SUMIF(C$7:C2030,C2030,F$7:F2030)-SUMIF(C$7:C2030,C2030,G$7:G2030))</f>
      </c>
      <c r="I2030" s="145">
        <f>IF(AND(F2030="",G2030=""),"",SUM(基础资料!$X$5:$X$24)+SUM(F$7:F2030)-SUM(G$7:G2030))</f>
      </c>
      <c r="J2030" s="141" t="n"/>
      <c r="K2030" s="141" t="n"/>
      <c r="L2030" s="141" t="n"/>
      <c r="M2030" s="142" t="n"/>
      <c r="N2030" s="146">
        <f>IF(AND(AND(F2030="",G2030=""),B2030="",C2030="",D2030="",J2030="",K2030="",L2030=""),"",IF(AND(F2030="",G2030=""),"✗ 没填金额",IF(AND(N(F2030)&lt;&gt;0,N(G2030)&lt;&gt;0),"✗ 收入、支出只能填一边",IF(NOT(ISNUMBER(B2030)),"✗ 日期不是真日期（要像 2026/9/25 这样填）",IF(OR(B2030&lt;年初日,B2030&gt;年末日),"✗ 日期不在本会计年度",IF(C2030="","✗ 没选账户",IF(COUNTIF(基础资料!$W$5:$W$24,C2030)=0,"✗ 账户不在基础资料里",IF(O2030="","✗ 没选收支项目",IF(P2030="未知","✗ 收支项目不在基础资料里",IF(AND(P2030="应收",J2030=""),"✗ 这笔要选客户",IF(AND(P2030="应收",COUNTIF(总览汇总!$B$5:$B$304,J2030)=0),"✗ 客户不在总览汇总名单里",IF(AND(P2030="应付",K2030=""),"✗ 这笔要选供应商",IF(AND(P2030="应付",COUNTIF(基础资料!$Q$5:$Q$54,K2030)=0),"✗ 供应商不在基础资料里",IF(AND(P2030="费用",L2030=""),"✗ 费用支出要选费用项目",IF(AND(L2030&lt;&gt;"",COUNTIF(基础资料!$AI$5:$AI$54,L2030)=0),"✗ 费用项目不在基础资料里",IF(AND(IFERROR(INDEX(基础资料!$AD$5:$AD$34,MATCH(O2030,基础资料!$AC$5:$AC$34,0)),"")="收",N(G2030)&lt;&gt;0),"✗ 这类是收款，金额填到收入列",IF(AND(IFERROR(INDEX(基础资料!$AD$5:$AD$34,MATCH(O2030,基础资料!$AC$5:$AC$34,0)),"")="支",N(F2030)&lt;&gt;0),"✗ 这类是付款，金额填到支出列",IF(N(H2030)&lt;0,"⚠ 账户余额成负数了，核对一下","√"))))))))))))))))))</f>
      </c>
      <c r="O2030" s="78">
        <f>IF(D2030&lt;&gt;"",D2030,IF(AND(F2030="",G2030=""),"",IF(J2030&lt;&gt;"",IF(N(F2030)&gt;0,"客户回款","客户退款"),IF(K2030&lt;&gt;"",IF(N(G2030)&gt;0,"供应商付款","供应商退款"),IF(L2030&lt;&gt;"","费用支出","")))))</f>
      </c>
      <c r="P2030" s="78">
        <f>IF(O2030="","",IFERROR(INDEX(基础资料!$AE$5:$AE$34,MATCH(O2030,基础资料!$AC$5:$AC$34,0)),"未知"))</f>
      </c>
      <c r="Q2030" s="78">
        <f>IF(P2030="应收",COUNTIF(P$7:P2030,"应收"),"")</f>
      </c>
      <c r="R2030" s="78">
        <f>IF(P2030="应付",COUNTIF(P$7:P2030,"应付"),"")</f>
      </c>
      <c r="S2030" s="78">
        <f>N(F2030)-N(G2030)</f>
        <v>0</v>
      </c>
    </row>
    <row r="2031">
      <c r="A2031" s="109">
        <f>IF(AND(F2031="",G2031=""),"",ROW()-6)</f>
      </c>
      <c r="B2031" s="140" t="n"/>
      <c r="C2031" s="141" t="n"/>
      <c r="D2031" s="141" t="n"/>
      <c r="E2031" s="142" t="n"/>
      <c r="F2031" s="143" t="n"/>
      <c r="G2031" s="144" t="n"/>
      <c r="H2031" s="145">
        <f>IF(OR(C2031="",AND(F2031="",G2031="")),"",SUMIF(基础资料!$W$5:$W$24,C2031,基础资料!$X$5:$X$24)+SUMIF(C$7:C2031,C2031,F$7:F2031)-SUMIF(C$7:C2031,C2031,G$7:G2031))</f>
      </c>
      <c r="I2031" s="145">
        <f>IF(AND(F2031="",G2031=""),"",SUM(基础资料!$X$5:$X$24)+SUM(F$7:F2031)-SUM(G$7:G2031))</f>
      </c>
      <c r="J2031" s="141" t="n"/>
      <c r="K2031" s="141" t="n"/>
      <c r="L2031" s="141" t="n"/>
      <c r="M2031" s="142" t="n"/>
      <c r="N2031" s="146">
        <f>IF(AND(AND(F2031="",G2031=""),B2031="",C2031="",D2031="",J2031="",K2031="",L2031=""),"",IF(AND(F2031="",G2031=""),"✗ 没填金额",IF(AND(N(F2031)&lt;&gt;0,N(G2031)&lt;&gt;0),"✗ 收入、支出只能填一边",IF(NOT(ISNUMBER(B2031)),"✗ 日期不是真日期（要像 2026/9/25 这样填）",IF(OR(B2031&lt;年初日,B2031&gt;年末日),"✗ 日期不在本会计年度",IF(C2031="","✗ 没选账户",IF(COUNTIF(基础资料!$W$5:$W$24,C2031)=0,"✗ 账户不在基础资料里",IF(O2031="","✗ 没选收支项目",IF(P2031="未知","✗ 收支项目不在基础资料里",IF(AND(P2031="应收",J2031=""),"✗ 这笔要选客户",IF(AND(P2031="应收",COUNTIF(总览汇总!$B$5:$B$304,J2031)=0),"✗ 客户不在总览汇总名单里",IF(AND(P2031="应付",K2031=""),"✗ 这笔要选供应商",IF(AND(P2031="应付",COUNTIF(基础资料!$Q$5:$Q$54,K2031)=0),"✗ 供应商不在基础资料里",IF(AND(P2031="费用",L2031=""),"✗ 费用支出要选费用项目",IF(AND(L2031&lt;&gt;"",COUNTIF(基础资料!$AI$5:$AI$54,L2031)=0),"✗ 费用项目不在基础资料里",IF(AND(IFERROR(INDEX(基础资料!$AD$5:$AD$34,MATCH(O2031,基础资料!$AC$5:$AC$34,0)),"")="收",N(G2031)&lt;&gt;0),"✗ 这类是收款，金额填到收入列",IF(AND(IFERROR(INDEX(基础资料!$AD$5:$AD$34,MATCH(O2031,基础资料!$AC$5:$AC$34,0)),"")="支",N(F2031)&lt;&gt;0),"✗ 这类是付款，金额填到支出列",IF(N(H2031)&lt;0,"⚠ 账户余额成负数了，核对一下","√"))))))))))))))))))</f>
      </c>
      <c r="O2031" s="78">
        <f>IF(D2031&lt;&gt;"",D2031,IF(AND(F2031="",G2031=""),"",IF(J2031&lt;&gt;"",IF(N(F2031)&gt;0,"客户回款","客户退款"),IF(K2031&lt;&gt;"",IF(N(G2031)&gt;0,"供应商付款","供应商退款"),IF(L2031&lt;&gt;"","费用支出","")))))</f>
      </c>
      <c r="P2031" s="78">
        <f>IF(O2031="","",IFERROR(INDEX(基础资料!$AE$5:$AE$34,MATCH(O2031,基础资料!$AC$5:$AC$34,0)),"未知"))</f>
      </c>
      <c r="Q2031" s="78">
        <f>IF(P2031="应收",COUNTIF(P$7:P2031,"应收"),"")</f>
      </c>
      <c r="R2031" s="78">
        <f>IF(P2031="应付",COUNTIF(P$7:P2031,"应付"),"")</f>
      </c>
      <c r="S2031" s="78">
        <f>N(F2031)-N(G2031)</f>
        <v>0</v>
      </c>
    </row>
    <row r="2032">
      <c r="A2032" s="109">
        <f>IF(AND(F2032="",G2032=""),"",ROW()-6)</f>
      </c>
      <c r="B2032" s="140" t="n"/>
      <c r="C2032" s="141" t="n"/>
      <c r="D2032" s="141" t="n"/>
      <c r="E2032" s="142" t="n"/>
      <c r="F2032" s="143" t="n"/>
      <c r="G2032" s="144" t="n"/>
      <c r="H2032" s="145">
        <f>IF(OR(C2032="",AND(F2032="",G2032="")),"",SUMIF(基础资料!$W$5:$W$24,C2032,基础资料!$X$5:$X$24)+SUMIF(C$7:C2032,C2032,F$7:F2032)-SUMIF(C$7:C2032,C2032,G$7:G2032))</f>
      </c>
      <c r="I2032" s="145">
        <f>IF(AND(F2032="",G2032=""),"",SUM(基础资料!$X$5:$X$24)+SUM(F$7:F2032)-SUM(G$7:G2032))</f>
      </c>
      <c r="J2032" s="141" t="n"/>
      <c r="K2032" s="141" t="n"/>
      <c r="L2032" s="141" t="n"/>
      <c r="M2032" s="142" t="n"/>
      <c r="N2032" s="146">
        <f>IF(AND(AND(F2032="",G2032=""),B2032="",C2032="",D2032="",J2032="",K2032="",L2032=""),"",IF(AND(F2032="",G2032=""),"✗ 没填金额",IF(AND(N(F2032)&lt;&gt;0,N(G2032)&lt;&gt;0),"✗ 收入、支出只能填一边",IF(NOT(ISNUMBER(B2032)),"✗ 日期不是真日期（要像 2026/9/25 这样填）",IF(OR(B2032&lt;年初日,B2032&gt;年末日),"✗ 日期不在本会计年度",IF(C2032="","✗ 没选账户",IF(COUNTIF(基础资料!$W$5:$W$24,C2032)=0,"✗ 账户不在基础资料里",IF(O2032="","✗ 没选收支项目",IF(P2032="未知","✗ 收支项目不在基础资料里",IF(AND(P2032="应收",J2032=""),"✗ 这笔要选客户",IF(AND(P2032="应收",COUNTIF(总览汇总!$B$5:$B$304,J2032)=0),"✗ 客户不在总览汇总名单里",IF(AND(P2032="应付",K2032=""),"✗ 这笔要选供应商",IF(AND(P2032="应付",COUNTIF(基础资料!$Q$5:$Q$54,K2032)=0),"✗ 供应商不在基础资料里",IF(AND(P2032="费用",L2032=""),"✗ 费用支出要选费用项目",IF(AND(L2032&lt;&gt;"",COUNTIF(基础资料!$AI$5:$AI$54,L2032)=0),"✗ 费用项目不在基础资料里",IF(AND(IFERROR(INDEX(基础资料!$AD$5:$AD$34,MATCH(O2032,基础资料!$AC$5:$AC$34,0)),"")="收",N(G2032)&lt;&gt;0),"✗ 这类是收款，金额填到收入列",IF(AND(IFERROR(INDEX(基础资料!$AD$5:$AD$34,MATCH(O2032,基础资料!$AC$5:$AC$34,0)),"")="支",N(F2032)&lt;&gt;0),"✗ 这类是付款，金额填到支出列",IF(N(H2032)&lt;0,"⚠ 账户余额成负数了，核对一下","√"))))))))))))))))))</f>
      </c>
      <c r="O2032" s="78">
        <f>IF(D2032&lt;&gt;"",D2032,IF(AND(F2032="",G2032=""),"",IF(J2032&lt;&gt;"",IF(N(F2032)&gt;0,"客户回款","客户退款"),IF(K2032&lt;&gt;"",IF(N(G2032)&gt;0,"供应商付款","供应商退款"),IF(L2032&lt;&gt;"","费用支出","")))))</f>
      </c>
      <c r="P2032" s="78">
        <f>IF(O2032="","",IFERROR(INDEX(基础资料!$AE$5:$AE$34,MATCH(O2032,基础资料!$AC$5:$AC$34,0)),"未知"))</f>
      </c>
      <c r="Q2032" s="78">
        <f>IF(P2032="应收",COUNTIF(P$7:P2032,"应收"),"")</f>
      </c>
      <c r="R2032" s="78">
        <f>IF(P2032="应付",COUNTIF(P$7:P2032,"应付"),"")</f>
      </c>
      <c r="S2032" s="78">
        <f>N(F2032)-N(G2032)</f>
        <v>0</v>
      </c>
    </row>
    <row r="2033">
      <c r="A2033" s="109">
        <f>IF(AND(F2033="",G2033=""),"",ROW()-6)</f>
      </c>
      <c r="B2033" s="140" t="n"/>
      <c r="C2033" s="141" t="n"/>
      <c r="D2033" s="141" t="n"/>
      <c r="E2033" s="142" t="n"/>
      <c r="F2033" s="143" t="n"/>
      <c r="G2033" s="144" t="n"/>
      <c r="H2033" s="145">
        <f>IF(OR(C2033="",AND(F2033="",G2033="")),"",SUMIF(基础资料!$W$5:$W$24,C2033,基础资料!$X$5:$X$24)+SUMIF(C$7:C2033,C2033,F$7:F2033)-SUMIF(C$7:C2033,C2033,G$7:G2033))</f>
      </c>
      <c r="I2033" s="145">
        <f>IF(AND(F2033="",G2033=""),"",SUM(基础资料!$X$5:$X$24)+SUM(F$7:F2033)-SUM(G$7:G2033))</f>
      </c>
      <c r="J2033" s="141" t="n"/>
      <c r="K2033" s="141" t="n"/>
      <c r="L2033" s="141" t="n"/>
      <c r="M2033" s="142" t="n"/>
      <c r="N2033" s="146">
        <f>IF(AND(AND(F2033="",G2033=""),B2033="",C2033="",D2033="",J2033="",K2033="",L2033=""),"",IF(AND(F2033="",G2033=""),"✗ 没填金额",IF(AND(N(F2033)&lt;&gt;0,N(G2033)&lt;&gt;0),"✗ 收入、支出只能填一边",IF(NOT(ISNUMBER(B2033)),"✗ 日期不是真日期（要像 2026/9/25 这样填）",IF(OR(B2033&lt;年初日,B2033&gt;年末日),"✗ 日期不在本会计年度",IF(C2033="","✗ 没选账户",IF(COUNTIF(基础资料!$W$5:$W$24,C2033)=0,"✗ 账户不在基础资料里",IF(O2033="","✗ 没选收支项目",IF(P2033="未知","✗ 收支项目不在基础资料里",IF(AND(P2033="应收",J2033=""),"✗ 这笔要选客户",IF(AND(P2033="应收",COUNTIF(总览汇总!$B$5:$B$304,J2033)=0),"✗ 客户不在总览汇总名单里",IF(AND(P2033="应付",K2033=""),"✗ 这笔要选供应商",IF(AND(P2033="应付",COUNTIF(基础资料!$Q$5:$Q$54,K2033)=0),"✗ 供应商不在基础资料里",IF(AND(P2033="费用",L2033=""),"✗ 费用支出要选费用项目",IF(AND(L2033&lt;&gt;"",COUNTIF(基础资料!$AI$5:$AI$54,L2033)=0),"✗ 费用项目不在基础资料里",IF(AND(IFERROR(INDEX(基础资料!$AD$5:$AD$34,MATCH(O2033,基础资料!$AC$5:$AC$34,0)),"")="收",N(G2033)&lt;&gt;0),"✗ 这类是收款，金额填到收入列",IF(AND(IFERROR(INDEX(基础资料!$AD$5:$AD$34,MATCH(O2033,基础资料!$AC$5:$AC$34,0)),"")="支",N(F2033)&lt;&gt;0),"✗ 这类是付款，金额填到支出列",IF(N(H2033)&lt;0,"⚠ 账户余额成负数了，核对一下","√"))))))))))))))))))</f>
      </c>
      <c r="O2033" s="78">
        <f>IF(D2033&lt;&gt;"",D2033,IF(AND(F2033="",G2033=""),"",IF(J2033&lt;&gt;"",IF(N(F2033)&gt;0,"客户回款","客户退款"),IF(K2033&lt;&gt;"",IF(N(G2033)&gt;0,"供应商付款","供应商退款"),IF(L2033&lt;&gt;"","费用支出","")))))</f>
      </c>
      <c r="P2033" s="78">
        <f>IF(O2033="","",IFERROR(INDEX(基础资料!$AE$5:$AE$34,MATCH(O2033,基础资料!$AC$5:$AC$34,0)),"未知"))</f>
      </c>
      <c r="Q2033" s="78">
        <f>IF(P2033="应收",COUNTIF(P$7:P2033,"应收"),"")</f>
      </c>
      <c r="R2033" s="78">
        <f>IF(P2033="应付",COUNTIF(P$7:P2033,"应付"),"")</f>
      </c>
      <c r="S2033" s="78">
        <f>N(F2033)-N(G2033)</f>
        <v>0</v>
      </c>
    </row>
    <row r="2034">
      <c r="A2034" s="109">
        <f>IF(AND(F2034="",G2034=""),"",ROW()-6)</f>
      </c>
      <c r="B2034" s="140" t="n"/>
      <c r="C2034" s="141" t="n"/>
      <c r="D2034" s="141" t="n"/>
      <c r="E2034" s="142" t="n"/>
      <c r="F2034" s="143" t="n"/>
      <c r="G2034" s="144" t="n"/>
      <c r="H2034" s="145">
        <f>IF(OR(C2034="",AND(F2034="",G2034="")),"",SUMIF(基础资料!$W$5:$W$24,C2034,基础资料!$X$5:$X$24)+SUMIF(C$7:C2034,C2034,F$7:F2034)-SUMIF(C$7:C2034,C2034,G$7:G2034))</f>
      </c>
      <c r="I2034" s="145">
        <f>IF(AND(F2034="",G2034=""),"",SUM(基础资料!$X$5:$X$24)+SUM(F$7:F2034)-SUM(G$7:G2034))</f>
      </c>
      <c r="J2034" s="141" t="n"/>
      <c r="K2034" s="141" t="n"/>
      <c r="L2034" s="141" t="n"/>
      <c r="M2034" s="142" t="n"/>
      <c r="N2034" s="146">
        <f>IF(AND(AND(F2034="",G2034=""),B2034="",C2034="",D2034="",J2034="",K2034="",L2034=""),"",IF(AND(F2034="",G2034=""),"✗ 没填金额",IF(AND(N(F2034)&lt;&gt;0,N(G2034)&lt;&gt;0),"✗ 收入、支出只能填一边",IF(NOT(ISNUMBER(B2034)),"✗ 日期不是真日期（要像 2026/9/25 这样填）",IF(OR(B2034&lt;年初日,B2034&gt;年末日),"✗ 日期不在本会计年度",IF(C2034="","✗ 没选账户",IF(COUNTIF(基础资料!$W$5:$W$24,C2034)=0,"✗ 账户不在基础资料里",IF(O2034="","✗ 没选收支项目",IF(P2034="未知","✗ 收支项目不在基础资料里",IF(AND(P2034="应收",J2034=""),"✗ 这笔要选客户",IF(AND(P2034="应收",COUNTIF(总览汇总!$B$5:$B$304,J2034)=0),"✗ 客户不在总览汇总名单里",IF(AND(P2034="应付",K2034=""),"✗ 这笔要选供应商",IF(AND(P2034="应付",COUNTIF(基础资料!$Q$5:$Q$54,K2034)=0),"✗ 供应商不在基础资料里",IF(AND(P2034="费用",L2034=""),"✗ 费用支出要选费用项目",IF(AND(L2034&lt;&gt;"",COUNTIF(基础资料!$AI$5:$AI$54,L2034)=0),"✗ 费用项目不在基础资料里",IF(AND(IFERROR(INDEX(基础资料!$AD$5:$AD$34,MATCH(O2034,基础资料!$AC$5:$AC$34,0)),"")="收",N(G2034)&lt;&gt;0),"✗ 这类是收款，金额填到收入列",IF(AND(IFERROR(INDEX(基础资料!$AD$5:$AD$34,MATCH(O2034,基础资料!$AC$5:$AC$34,0)),"")="支",N(F2034)&lt;&gt;0),"✗ 这类是付款，金额填到支出列",IF(N(H2034)&lt;0,"⚠ 账户余额成负数了，核对一下","√"))))))))))))))))))</f>
      </c>
      <c r="O2034" s="78">
        <f>IF(D2034&lt;&gt;"",D2034,IF(AND(F2034="",G2034=""),"",IF(J2034&lt;&gt;"",IF(N(F2034)&gt;0,"客户回款","客户退款"),IF(K2034&lt;&gt;"",IF(N(G2034)&gt;0,"供应商付款","供应商退款"),IF(L2034&lt;&gt;"","费用支出","")))))</f>
      </c>
      <c r="P2034" s="78">
        <f>IF(O2034="","",IFERROR(INDEX(基础资料!$AE$5:$AE$34,MATCH(O2034,基础资料!$AC$5:$AC$34,0)),"未知"))</f>
      </c>
      <c r="Q2034" s="78">
        <f>IF(P2034="应收",COUNTIF(P$7:P2034,"应收"),"")</f>
      </c>
      <c r="R2034" s="78">
        <f>IF(P2034="应付",COUNTIF(P$7:P2034,"应付"),"")</f>
      </c>
      <c r="S2034" s="78">
        <f>N(F2034)-N(G2034)</f>
        <v>0</v>
      </c>
    </row>
    <row r="2035">
      <c r="A2035" s="109">
        <f>IF(AND(F2035="",G2035=""),"",ROW()-6)</f>
      </c>
      <c r="B2035" s="140" t="n"/>
      <c r="C2035" s="141" t="n"/>
      <c r="D2035" s="141" t="n"/>
      <c r="E2035" s="142" t="n"/>
      <c r="F2035" s="143" t="n"/>
      <c r="G2035" s="144" t="n"/>
      <c r="H2035" s="145">
        <f>IF(OR(C2035="",AND(F2035="",G2035="")),"",SUMIF(基础资料!$W$5:$W$24,C2035,基础资料!$X$5:$X$24)+SUMIF(C$7:C2035,C2035,F$7:F2035)-SUMIF(C$7:C2035,C2035,G$7:G2035))</f>
      </c>
      <c r="I2035" s="145">
        <f>IF(AND(F2035="",G2035=""),"",SUM(基础资料!$X$5:$X$24)+SUM(F$7:F2035)-SUM(G$7:G2035))</f>
      </c>
      <c r="J2035" s="141" t="n"/>
      <c r="K2035" s="141" t="n"/>
      <c r="L2035" s="141" t="n"/>
      <c r="M2035" s="142" t="n"/>
      <c r="N2035" s="146">
        <f>IF(AND(AND(F2035="",G2035=""),B2035="",C2035="",D2035="",J2035="",K2035="",L2035=""),"",IF(AND(F2035="",G2035=""),"✗ 没填金额",IF(AND(N(F2035)&lt;&gt;0,N(G2035)&lt;&gt;0),"✗ 收入、支出只能填一边",IF(NOT(ISNUMBER(B2035)),"✗ 日期不是真日期（要像 2026/9/25 这样填）",IF(OR(B2035&lt;年初日,B2035&gt;年末日),"✗ 日期不在本会计年度",IF(C2035="","✗ 没选账户",IF(COUNTIF(基础资料!$W$5:$W$24,C2035)=0,"✗ 账户不在基础资料里",IF(O2035="","✗ 没选收支项目",IF(P2035="未知","✗ 收支项目不在基础资料里",IF(AND(P2035="应收",J2035=""),"✗ 这笔要选客户",IF(AND(P2035="应收",COUNTIF(总览汇总!$B$5:$B$304,J2035)=0),"✗ 客户不在总览汇总名单里",IF(AND(P2035="应付",K2035=""),"✗ 这笔要选供应商",IF(AND(P2035="应付",COUNTIF(基础资料!$Q$5:$Q$54,K2035)=0),"✗ 供应商不在基础资料里",IF(AND(P2035="费用",L2035=""),"✗ 费用支出要选费用项目",IF(AND(L2035&lt;&gt;"",COUNTIF(基础资料!$AI$5:$AI$54,L2035)=0),"✗ 费用项目不在基础资料里",IF(AND(IFERROR(INDEX(基础资料!$AD$5:$AD$34,MATCH(O2035,基础资料!$AC$5:$AC$34,0)),"")="收",N(G2035)&lt;&gt;0),"✗ 这类是收款，金额填到收入列",IF(AND(IFERROR(INDEX(基础资料!$AD$5:$AD$34,MATCH(O2035,基础资料!$AC$5:$AC$34,0)),"")="支",N(F2035)&lt;&gt;0),"✗ 这类是付款，金额填到支出列",IF(N(H2035)&lt;0,"⚠ 账户余额成负数了，核对一下","√"))))))))))))))))))</f>
      </c>
      <c r="O2035" s="78">
        <f>IF(D2035&lt;&gt;"",D2035,IF(AND(F2035="",G2035=""),"",IF(J2035&lt;&gt;"",IF(N(F2035)&gt;0,"客户回款","客户退款"),IF(K2035&lt;&gt;"",IF(N(G2035)&gt;0,"供应商付款","供应商退款"),IF(L2035&lt;&gt;"","费用支出","")))))</f>
      </c>
      <c r="P2035" s="78">
        <f>IF(O2035="","",IFERROR(INDEX(基础资料!$AE$5:$AE$34,MATCH(O2035,基础资料!$AC$5:$AC$34,0)),"未知"))</f>
      </c>
      <c r="Q2035" s="78">
        <f>IF(P2035="应收",COUNTIF(P$7:P2035,"应收"),"")</f>
      </c>
      <c r="R2035" s="78">
        <f>IF(P2035="应付",COUNTIF(P$7:P2035,"应付"),"")</f>
      </c>
      <c r="S2035" s="78">
        <f>N(F2035)-N(G2035)</f>
        <v>0</v>
      </c>
    </row>
    <row r="2036">
      <c r="A2036" s="109">
        <f>IF(AND(F2036="",G2036=""),"",ROW()-6)</f>
      </c>
      <c r="B2036" s="140" t="n"/>
      <c r="C2036" s="141" t="n"/>
      <c r="D2036" s="141" t="n"/>
      <c r="E2036" s="142" t="n"/>
      <c r="F2036" s="143" t="n"/>
      <c r="G2036" s="144" t="n"/>
      <c r="H2036" s="145">
        <f>IF(OR(C2036="",AND(F2036="",G2036="")),"",SUMIF(基础资料!$W$5:$W$24,C2036,基础资料!$X$5:$X$24)+SUMIF(C$7:C2036,C2036,F$7:F2036)-SUMIF(C$7:C2036,C2036,G$7:G2036))</f>
      </c>
      <c r="I2036" s="145">
        <f>IF(AND(F2036="",G2036=""),"",SUM(基础资料!$X$5:$X$24)+SUM(F$7:F2036)-SUM(G$7:G2036))</f>
      </c>
      <c r="J2036" s="141" t="n"/>
      <c r="K2036" s="141" t="n"/>
      <c r="L2036" s="141" t="n"/>
      <c r="M2036" s="142" t="n"/>
      <c r="N2036" s="146">
        <f>IF(AND(AND(F2036="",G2036=""),B2036="",C2036="",D2036="",J2036="",K2036="",L2036=""),"",IF(AND(F2036="",G2036=""),"✗ 没填金额",IF(AND(N(F2036)&lt;&gt;0,N(G2036)&lt;&gt;0),"✗ 收入、支出只能填一边",IF(NOT(ISNUMBER(B2036)),"✗ 日期不是真日期（要像 2026/9/25 这样填）",IF(OR(B2036&lt;年初日,B2036&gt;年末日),"✗ 日期不在本会计年度",IF(C2036="","✗ 没选账户",IF(COUNTIF(基础资料!$W$5:$W$24,C2036)=0,"✗ 账户不在基础资料里",IF(O2036="","✗ 没选收支项目",IF(P2036="未知","✗ 收支项目不在基础资料里",IF(AND(P2036="应收",J2036=""),"✗ 这笔要选客户",IF(AND(P2036="应收",COUNTIF(总览汇总!$B$5:$B$304,J2036)=0),"✗ 客户不在总览汇总名单里",IF(AND(P2036="应付",K2036=""),"✗ 这笔要选供应商",IF(AND(P2036="应付",COUNTIF(基础资料!$Q$5:$Q$54,K2036)=0),"✗ 供应商不在基础资料里",IF(AND(P2036="费用",L2036=""),"✗ 费用支出要选费用项目",IF(AND(L2036&lt;&gt;"",COUNTIF(基础资料!$AI$5:$AI$54,L2036)=0),"✗ 费用项目不在基础资料里",IF(AND(IFERROR(INDEX(基础资料!$AD$5:$AD$34,MATCH(O2036,基础资料!$AC$5:$AC$34,0)),"")="收",N(G2036)&lt;&gt;0),"✗ 这类是收款，金额填到收入列",IF(AND(IFERROR(INDEX(基础资料!$AD$5:$AD$34,MATCH(O2036,基础资料!$AC$5:$AC$34,0)),"")="支",N(F2036)&lt;&gt;0),"✗ 这类是付款，金额填到支出列",IF(N(H2036)&lt;0,"⚠ 账户余额成负数了，核对一下","√"))))))))))))))))))</f>
      </c>
      <c r="O2036" s="78">
        <f>IF(D2036&lt;&gt;"",D2036,IF(AND(F2036="",G2036=""),"",IF(J2036&lt;&gt;"",IF(N(F2036)&gt;0,"客户回款","客户退款"),IF(K2036&lt;&gt;"",IF(N(G2036)&gt;0,"供应商付款","供应商退款"),IF(L2036&lt;&gt;"","费用支出","")))))</f>
      </c>
      <c r="P2036" s="78">
        <f>IF(O2036="","",IFERROR(INDEX(基础资料!$AE$5:$AE$34,MATCH(O2036,基础资料!$AC$5:$AC$34,0)),"未知"))</f>
      </c>
      <c r="Q2036" s="78">
        <f>IF(P2036="应收",COUNTIF(P$7:P2036,"应收"),"")</f>
      </c>
      <c r="R2036" s="78">
        <f>IF(P2036="应付",COUNTIF(P$7:P2036,"应付"),"")</f>
      </c>
      <c r="S2036" s="78">
        <f>N(F2036)-N(G2036)</f>
        <v>0</v>
      </c>
    </row>
    <row r="2037">
      <c r="A2037" s="109">
        <f>IF(AND(F2037="",G2037=""),"",ROW()-6)</f>
      </c>
      <c r="B2037" s="140" t="n"/>
      <c r="C2037" s="141" t="n"/>
      <c r="D2037" s="141" t="n"/>
      <c r="E2037" s="142" t="n"/>
      <c r="F2037" s="143" t="n"/>
      <c r="G2037" s="144" t="n"/>
      <c r="H2037" s="145">
        <f>IF(OR(C2037="",AND(F2037="",G2037="")),"",SUMIF(基础资料!$W$5:$W$24,C2037,基础资料!$X$5:$X$24)+SUMIF(C$7:C2037,C2037,F$7:F2037)-SUMIF(C$7:C2037,C2037,G$7:G2037))</f>
      </c>
      <c r="I2037" s="145">
        <f>IF(AND(F2037="",G2037=""),"",SUM(基础资料!$X$5:$X$24)+SUM(F$7:F2037)-SUM(G$7:G2037))</f>
      </c>
      <c r="J2037" s="141" t="n"/>
      <c r="K2037" s="141" t="n"/>
      <c r="L2037" s="141" t="n"/>
      <c r="M2037" s="142" t="n"/>
      <c r="N2037" s="146">
        <f>IF(AND(AND(F2037="",G2037=""),B2037="",C2037="",D2037="",J2037="",K2037="",L2037=""),"",IF(AND(F2037="",G2037=""),"✗ 没填金额",IF(AND(N(F2037)&lt;&gt;0,N(G2037)&lt;&gt;0),"✗ 收入、支出只能填一边",IF(NOT(ISNUMBER(B2037)),"✗ 日期不是真日期（要像 2026/9/25 这样填）",IF(OR(B2037&lt;年初日,B2037&gt;年末日),"✗ 日期不在本会计年度",IF(C2037="","✗ 没选账户",IF(COUNTIF(基础资料!$W$5:$W$24,C2037)=0,"✗ 账户不在基础资料里",IF(O2037="","✗ 没选收支项目",IF(P2037="未知","✗ 收支项目不在基础资料里",IF(AND(P2037="应收",J2037=""),"✗ 这笔要选客户",IF(AND(P2037="应收",COUNTIF(总览汇总!$B$5:$B$304,J2037)=0),"✗ 客户不在总览汇总名单里",IF(AND(P2037="应付",K2037=""),"✗ 这笔要选供应商",IF(AND(P2037="应付",COUNTIF(基础资料!$Q$5:$Q$54,K2037)=0),"✗ 供应商不在基础资料里",IF(AND(P2037="费用",L2037=""),"✗ 费用支出要选费用项目",IF(AND(L2037&lt;&gt;"",COUNTIF(基础资料!$AI$5:$AI$54,L2037)=0),"✗ 费用项目不在基础资料里",IF(AND(IFERROR(INDEX(基础资料!$AD$5:$AD$34,MATCH(O2037,基础资料!$AC$5:$AC$34,0)),"")="收",N(G2037)&lt;&gt;0),"✗ 这类是收款，金额填到收入列",IF(AND(IFERROR(INDEX(基础资料!$AD$5:$AD$34,MATCH(O2037,基础资料!$AC$5:$AC$34,0)),"")="支",N(F2037)&lt;&gt;0),"✗ 这类是付款，金额填到支出列",IF(N(H2037)&lt;0,"⚠ 账户余额成负数了，核对一下","√"))))))))))))))))))</f>
      </c>
      <c r="O2037" s="78">
        <f>IF(D2037&lt;&gt;"",D2037,IF(AND(F2037="",G2037=""),"",IF(J2037&lt;&gt;"",IF(N(F2037)&gt;0,"客户回款","客户退款"),IF(K2037&lt;&gt;"",IF(N(G2037)&gt;0,"供应商付款","供应商退款"),IF(L2037&lt;&gt;"","费用支出","")))))</f>
      </c>
      <c r="P2037" s="78">
        <f>IF(O2037="","",IFERROR(INDEX(基础资料!$AE$5:$AE$34,MATCH(O2037,基础资料!$AC$5:$AC$34,0)),"未知"))</f>
      </c>
      <c r="Q2037" s="78">
        <f>IF(P2037="应收",COUNTIF(P$7:P2037,"应收"),"")</f>
      </c>
      <c r="R2037" s="78">
        <f>IF(P2037="应付",COUNTIF(P$7:P2037,"应付"),"")</f>
      </c>
      <c r="S2037" s="78">
        <f>N(F2037)-N(G2037)</f>
        <v>0</v>
      </c>
    </row>
    <row r="2038">
      <c r="A2038" s="109">
        <f>IF(AND(F2038="",G2038=""),"",ROW()-6)</f>
      </c>
      <c r="B2038" s="140" t="n"/>
      <c r="C2038" s="141" t="n"/>
      <c r="D2038" s="141" t="n"/>
      <c r="E2038" s="142" t="n"/>
      <c r="F2038" s="143" t="n"/>
      <c r="G2038" s="144" t="n"/>
      <c r="H2038" s="145">
        <f>IF(OR(C2038="",AND(F2038="",G2038="")),"",SUMIF(基础资料!$W$5:$W$24,C2038,基础资料!$X$5:$X$24)+SUMIF(C$7:C2038,C2038,F$7:F2038)-SUMIF(C$7:C2038,C2038,G$7:G2038))</f>
      </c>
      <c r="I2038" s="145">
        <f>IF(AND(F2038="",G2038=""),"",SUM(基础资料!$X$5:$X$24)+SUM(F$7:F2038)-SUM(G$7:G2038))</f>
      </c>
      <c r="J2038" s="141" t="n"/>
      <c r="K2038" s="141" t="n"/>
      <c r="L2038" s="141" t="n"/>
      <c r="M2038" s="142" t="n"/>
      <c r="N2038" s="146">
        <f>IF(AND(AND(F2038="",G2038=""),B2038="",C2038="",D2038="",J2038="",K2038="",L2038=""),"",IF(AND(F2038="",G2038=""),"✗ 没填金额",IF(AND(N(F2038)&lt;&gt;0,N(G2038)&lt;&gt;0),"✗ 收入、支出只能填一边",IF(NOT(ISNUMBER(B2038)),"✗ 日期不是真日期（要像 2026/9/25 这样填）",IF(OR(B2038&lt;年初日,B2038&gt;年末日),"✗ 日期不在本会计年度",IF(C2038="","✗ 没选账户",IF(COUNTIF(基础资料!$W$5:$W$24,C2038)=0,"✗ 账户不在基础资料里",IF(O2038="","✗ 没选收支项目",IF(P2038="未知","✗ 收支项目不在基础资料里",IF(AND(P2038="应收",J2038=""),"✗ 这笔要选客户",IF(AND(P2038="应收",COUNTIF(总览汇总!$B$5:$B$304,J2038)=0),"✗ 客户不在总览汇总名单里",IF(AND(P2038="应付",K2038=""),"✗ 这笔要选供应商",IF(AND(P2038="应付",COUNTIF(基础资料!$Q$5:$Q$54,K2038)=0),"✗ 供应商不在基础资料里",IF(AND(P2038="费用",L2038=""),"✗ 费用支出要选费用项目",IF(AND(L2038&lt;&gt;"",COUNTIF(基础资料!$AI$5:$AI$54,L2038)=0),"✗ 费用项目不在基础资料里",IF(AND(IFERROR(INDEX(基础资料!$AD$5:$AD$34,MATCH(O2038,基础资料!$AC$5:$AC$34,0)),"")="收",N(G2038)&lt;&gt;0),"✗ 这类是收款，金额填到收入列",IF(AND(IFERROR(INDEX(基础资料!$AD$5:$AD$34,MATCH(O2038,基础资料!$AC$5:$AC$34,0)),"")="支",N(F2038)&lt;&gt;0),"✗ 这类是付款，金额填到支出列",IF(N(H2038)&lt;0,"⚠ 账户余额成负数了，核对一下","√"))))))))))))))))))</f>
      </c>
      <c r="O2038" s="78">
        <f>IF(D2038&lt;&gt;"",D2038,IF(AND(F2038="",G2038=""),"",IF(J2038&lt;&gt;"",IF(N(F2038)&gt;0,"客户回款","客户退款"),IF(K2038&lt;&gt;"",IF(N(G2038)&gt;0,"供应商付款","供应商退款"),IF(L2038&lt;&gt;"","费用支出","")))))</f>
      </c>
      <c r="P2038" s="78">
        <f>IF(O2038="","",IFERROR(INDEX(基础资料!$AE$5:$AE$34,MATCH(O2038,基础资料!$AC$5:$AC$34,0)),"未知"))</f>
      </c>
      <c r="Q2038" s="78">
        <f>IF(P2038="应收",COUNTIF(P$7:P2038,"应收"),"")</f>
      </c>
      <c r="R2038" s="78">
        <f>IF(P2038="应付",COUNTIF(P$7:P2038,"应付"),"")</f>
      </c>
      <c r="S2038" s="78">
        <f>N(F2038)-N(G2038)</f>
        <v>0</v>
      </c>
    </row>
    <row r="2039">
      <c r="A2039" s="109">
        <f>IF(AND(F2039="",G2039=""),"",ROW()-6)</f>
      </c>
      <c r="B2039" s="140" t="n"/>
      <c r="C2039" s="141" t="n"/>
      <c r="D2039" s="141" t="n"/>
      <c r="E2039" s="142" t="n"/>
      <c r="F2039" s="143" t="n"/>
      <c r="G2039" s="144" t="n"/>
      <c r="H2039" s="145">
        <f>IF(OR(C2039="",AND(F2039="",G2039="")),"",SUMIF(基础资料!$W$5:$W$24,C2039,基础资料!$X$5:$X$24)+SUMIF(C$7:C2039,C2039,F$7:F2039)-SUMIF(C$7:C2039,C2039,G$7:G2039))</f>
      </c>
      <c r="I2039" s="145">
        <f>IF(AND(F2039="",G2039=""),"",SUM(基础资料!$X$5:$X$24)+SUM(F$7:F2039)-SUM(G$7:G2039))</f>
      </c>
      <c r="J2039" s="141" t="n"/>
      <c r="K2039" s="141" t="n"/>
      <c r="L2039" s="141" t="n"/>
      <c r="M2039" s="142" t="n"/>
      <c r="N2039" s="146">
        <f>IF(AND(AND(F2039="",G2039=""),B2039="",C2039="",D2039="",J2039="",K2039="",L2039=""),"",IF(AND(F2039="",G2039=""),"✗ 没填金额",IF(AND(N(F2039)&lt;&gt;0,N(G2039)&lt;&gt;0),"✗ 收入、支出只能填一边",IF(NOT(ISNUMBER(B2039)),"✗ 日期不是真日期（要像 2026/9/25 这样填）",IF(OR(B2039&lt;年初日,B2039&gt;年末日),"✗ 日期不在本会计年度",IF(C2039="","✗ 没选账户",IF(COUNTIF(基础资料!$W$5:$W$24,C2039)=0,"✗ 账户不在基础资料里",IF(O2039="","✗ 没选收支项目",IF(P2039="未知","✗ 收支项目不在基础资料里",IF(AND(P2039="应收",J2039=""),"✗ 这笔要选客户",IF(AND(P2039="应收",COUNTIF(总览汇总!$B$5:$B$304,J2039)=0),"✗ 客户不在总览汇总名单里",IF(AND(P2039="应付",K2039=""),"✗ 这笔要选供应商",IF(AND(P2039="应付",COUNTIF(基础资料!$Q$5:$Q$54,K2039)=0),"✗ 供应商不在基础资料里",IF(AND(P2039="费用",L2039=""),"✗ 费用支出要选费用项目",IF(AND(L2039&lt;&gt;"",COUNTIF(基础资料!$AI$5:$AI$54,L2039)=0),"✗ 费用项目不在基础资料里",IF(AND(IFERROR(INDEX(基础资料!$AD$5:$AD$34,MATCH(O2039,基础资料!$AC$5:$AC$34,0)),"")="收",N(G2039)&lt;&gt;0),"✗ 这类是收款，金额填到收入列",IF(AND(IFERROR(INDEX(基础资料!$AD$5:$AD$34,MATCH(O2039,基础资料!$AC$5:$AC$34,0)),"")="支",N(F2039)&lt;&gt;0),"✗ 这类是付款，金额填到支出列",IF(N(H2039)&lt;0,"⚠ 账户余额成负数了，核对一下","√"))))))))))))))))))</f>
      </c>
      <c r="O2039" s="78">
        <f>IF(D2039&lt;&gt;"",D2039,IF(AND(F2039="",G2039=""),"",IF(J2039&lt;&gt;"",IF(N(F2039)&gt;0,"客户回款","客户退款"),IF(K2039&lt;&gt;"",IF(N(G2039)&gt;0,"供应商付款","供应商退款"),IF(L2039&lt;&gt;"","费用支出","")))))</f>
      </c>
      <c r="P2039" s="78">
        <f>IF(O2039="","",IFERROR(INDEX(基础资料!$AE$5:$AE$34,MATCH(O2039,基础资料!$AC$5:$AC$34,0)),"未知"))</f>
      </c>
      <c r="Q2039" s="78">
        <f>IF(P2039="应收",COUNTIF(P$7:P2039,"应收"),"")</f>
      </c>
      <c r="R2039" s="78">
        <f>IF(P2039="应付",COUNTIF(P$7:P2039,"应付"),"")</f>
      </c>
      <c r="S2039" s="78">
        <f>N(F2039)-N(G2039)</f>
        <v>0</v>
      </c>
    </row>
    <row r="2040">
      <c r="A2040" s="109">
        <f>IF(AND(F2040="",G2040=""),"",ROW()-6)</f>
      </c>
      <c r="B2040" s="140" t="n"/>
      <c r="C2040" s="141" t="n"/>
      <c r="D2040" s="141" t="n"/>
      <c r="E2040" s="142" t="n"/>
      <c r="F2040" s="143" t="n"/>
      <c r="G2040" s="144" t="n"/>
      <c r="H2040" s="145">
        <f>IF(OR(C2040="",AND(F2040="",G2040="")),"",SUMIF(基础资料!$W$5:$W$24,C2040,基础资料!$X$5:$X$24)+SUMIF(C$7:C2040,C2040,F$7:F2040)-SUMIF(C$7:C2040,C2040,G$7:G2040))</f>
      </c>
      <c r="I2040" s="145">
        <f>IF(AND(F2040="",G2040=""),"",SUM(基础资料!$X$5:$X$24)+SUM(F$7:F2040)-SUM(G$7:G2040))</f>
      </c>
      <c r="J2040" s="141" t="n"/>
      <c r="K2040" s="141" t="n"/>
      <c r="L2040" s="141" t="n"/>
      <c r="M2040" s="142" t="n"/>
      <c r="N2040" s="146">
        <f>IF(AND(AND(F2040="",G2040=""),B2040="",C2040="",D2040="",J2040="",K2040="",L2040=""),"",IF(AND(F2040="",G2040=""),"✗ 没填金额",IF(AND(N(F2040)&lt;&gt;0,N(G2040)&lt;&gt;0),"✗ 收入、支出只能填一边",IF(NOT(ISNUMBER(B2040)),"✗ 日期不是真日期（要像 2026/9/25 这样填）",IF(OR(B2040&lt;年初日,B2040&gt;年末日),"✗ 日期不在本会计年度",IF(C2040="","✗ 没选账户",IF(COUNTIF(基础资料!$W$5:$W$24,C2040)=0,"✗ 账户不在基础资料里",IF(O2040="","✗ 没选收支项目",IF(P2040="未知","✗ 收支项目不在基础资料里",IF(AND(P2040="应收",J2040=""),"✗ 这笔要选客户",IF(AND(P2040="应收",COUNTIF(总览汇总!$B$5:$B$304,J2040)=0),"✗ 客户不在总览汇总名单里",IF(AND(P2040="应付",K2040=""),"✗ 这笔要选供应商",IF(AND(P2040="应付",COUNTIF(基础资料!$Q$5:$Q$54,K2040)=0),"✗ 供应商不在基础资料里",IF(AND(P2040="费用",L2040=""),"✗ 费用支出要选费用项目",IF(AND(L2040&lt;&gt;"",COUNTIF(基础资料!$AI$5:$AI$54,L2040)=0),"✗ 费用项目不在基础资料里",IF(AND(IFERROR(INDEX(基础资料!$AD$5:$AD$34,MATCH(O2040,基础资料!$AC$5:$AC$34,0)),"")="收",N(G2040)&lt;&gt;0),"✗ 这类是收款，金额填到收入列",IF(AND(IFERROR(INDEX(基础资料!$AD$5:$AD$34,MATCH(O2040,基础资料!$AC$5:$AC$34,0)),"")="支",N(F2040)&lt;&gt;0),"✗ 这类是付款，金额填到支出列",IF(N(H2040)&lt;0,"⚠ 账户余额成负数了，核对一下","√"))))))))))))))))))</f>
      </c>
      <c r="O2040" s="78">
        <f>IF(D2040&lt;&gt;"",D2040,IF(AND(F2040="",G2040=""),"",IF(J2040&lt;&gt;"",IF(N(F2040)&gt;0,"客户回款","客户退款"),IF(K2040&lt;&gt;"",IF(N(G2040)&gt;0,"供应商付款","供应商退款"),IF(L2040&lt;&gt;"","费用支出","")))))</f>
      </c>
      <c r="P2040" s="78">
        <f>IF(O2040="","",IFERROR(INDEX(基础资料!$AE$5:$AE$34,MATCH(O2040,基础资料!$AC$5:$AC$34,0)),"未知"))</f>
      </c>
      <c r="Q2040" s="78">
        <f>IF(P2040="应收",COUNTIF(P$7:P2040,"应收"),"")</f>
      </c>
      <c r="R2040" s="78">
        <f>IF(P2040="应付",COUNTIF(P$7:P2040,"应付"),"")</f>
      </c>
      <c r="S2040" s="78">
        <f>N(F2040)-N(G2040)</f>
        <v>0</v>
      </c>
    </row>
    <row r="2041">
      <c r="A2041" s="109">
        <f>IF(AND(F2041="",G2041=""),"",ROW()-6)</f>
      </c>
      <c r="B2041" s="140" t="n"/>
      <c r="C2041" s="141" t="n"/>
      <c r="D2041" s="141" t="n"/>
      <c r="E2041" s="142" t="n"/>
      <c r="F2041" s="143" t="n"/>
      <c r="G2041" s="144" t="n"/>
      <c r="H2041" s="145">
        <f>IF(OR(C2041="",AND(F2041="",G2041="")),"",SUMIF(基础资料!$W$5:$W$24,C2041,基础资料!$X$5:$X$24)+SUMIF(C$7:C2041,C2041,F$7:F2041)-SUMIF(C$7:C2041,C2041,G$7:G2041))</f>
      </c>
      <c r="I2041" s="145">
        <f>IF(AND(F2041="",G2041=""),"",SUM(基础资料!$X$5:$X$24)+SUM(F$7:F2041)-SUM(G$7:G2041))</f>
      </c>
      <c r="J2041" s="141" t="n"/>
      <c r="K2041" s="141" t="n"/>
      <c r="L2041" s="141" t="n"/>
      <c r="M2041" s="142" t="n"/>
      <c r="N2041" s="146">
        <f>IF(AND(AND(F2041="",G2041=""),B2041="",C2041="",D2041="",J2041="",K2041="",L2041=""),"",IF(AND(F2041="",G2041=""),"✗ 没填金额",IF(AND(N(F2041)&lt;&gt;0,N(G2041)&lt;&gt;0),"✗ 收入、支出只能填一边",IF(NOT(ISNUMBER(B2041)),"✗ 日期不是真日期（要像 2026/9/25 这样填）",IF(OR(B2041&lt;年初日,B2041&gt;年末日),"✗ 日期不在本会计年度",IF(C2041="","✗ 没选账户",IF(COUNTIF(基础资料!$W$5:$W$24,C2041)=0,"✗ 账户不在基础资料里",IF(O2041="","✗ 没选收支项目",IF(P2041="未知","✗ 收支项目不在基础资料里",IF(AND(P2041="应收",J2041=""),"✗ 这笔要选客户",IF(AND(P2041="应收",COUNTIF(总览汇总!$B$5:$B$304,J2041)=0),"✗ 客户不在总览汇总名单里",IF(AND(P2041="应付",K2041=""),"✗ 这笔要选供应商",IF(AND(P2041="应付",COUNTIF(基础资料!$Q$5:$Q$54,K2041)=0),"✗ 供应商不在基础资料里",IF(AND(P2041="费用",L2041=""),"✗ 费用支出要选费用项目",IF(AND(L2041&lt;&gt;"",COUNTIF(基础资料!$AI$5:$AI$54,L2041)=0),"✗ 费用项目不在基础资料里",IF(AND(IFERROR(INDEX(基础资料!$AD$5:$AD$34,MATCH(O2041,基础资料!$AC$5:$AC$34,0)),"")="收",N(G2041)&lt;&gt;0),"✗ 这类是收款，金额填到收入列",IF(AND(IFERROR(INDEX(基础资料!$AD$5:$AD$34,MATCH(O2041,基础资料!$AC$5:$AC$34,0)),"")="支",N(F2041)&lt;&gt;0),"✗ 这类是付款，金额填到支出列",IF(N(H2041)&lt;0,"⚠ 账户余额成负数了，核对一下","√"))))))))))))))))))</f>
      </c>
      <c r="O2041" s="78">
        <f>IF(D2041&lt;&gt;"",D2041,IF(AND(F2041="",G2041=""),"",IF(J2041&lt;&gt;"",IF(N(F2041)&gt;0,"客户回款","客户退款"),IF(K2041&lt;&gt;"",IF(N(G2041)&gt;0,"供应商付款","供应商退款"),IF(L2041&lt;&gt;"","费用支出","")))))</f>
      </c>
      <c r="P2041" s="78">
        <f>IF(O2041="","",IFERROR(INDEX(基础资料!$AE$5:$AE$34,MATCH(O2041,基础资料!$AC$5:$AC$34,0)),"未知"))</f>
      </c>
      <c r="Q2041" s="78">
        <f>IF(P2041="应收",COUNTIF(P$7:P2041,"应收"),"")</f>
      </c>
      <c r="R2041" s="78">
        <f>IF(P2041="应付",COUNTIF(P$7:P2041,"应付"),"")</f>
      </c>
      <c r="S2041" s="78">
        <f>N(F2041)-N(G2041)</f>
        <v>0</v>
      </c>
    </row>
    <row r="2042">
      <c r="A2042" s="109">
        <f>IF(AND(F2042="",G2042=""),"",ROW()-6)</f>
      </c>
      <c r="B2042" s="140" t="n"/>
      <c r="C2042" s="141" t="n"/>
      <c r="D2042" s="141" t="n"/>
      <c r="E2042" s="142" t="n"/>
      <c r="F2042" s="143" t="n"/>
      <c r="G2042" s="144" t="n"/>
      <c r="H2042" s="145">
        <f>IF(OR(C2042="",AND(F2042="",G2042="")),"",SUMIF(基础资料!$W$5:$W$24,C2042,基础资料!$X$5:$X$24)+SUMIF(C$7:C2042,C2042,F$7:F2042)-SUMIF(C$7:C2042,C2042,G$7:G2042))</f>
      </c>
      <c r="I2042" s="145">
        <f>IF(AND(F2042="",G2042=""),"",SUM(基础资料!$X$5:$X$24)+SUM(F$7:F2042)-SUM(G$7:G2042))</f>
      </c>
      <c r="J2042" s="141" t="n"/>
      <c r="K2042" s="141" t="n"/>
      <c r="L2042" s="141" t="n"/>
      <c r="M2042" s="142" t="n"/>
      <c r="N2042" s="146">
        <f>IF(AND(AND(F2042="",G2042=""),B2042="",C2042="",D2042="",J2042="",K2042="",L2042=""),"",IF(AND(F2042="",G2042=""),"✗ 没填金额",IF(AND(N(F2042)&lt;&gt;0,N(G2042)&lt;&gt;0),"✗ 收入、支出只能填一边",IF(NOT(ISNUMBER(B2042)),"✗ 日期不是真日期（要像 2026/9/25 这样填）",IF(OR(B2042&lt;年初日,B2042&gt;年末日),"✗ 日期不在本会计年度",IF(C2042="","✗ 没选账户",IF(COUNTIF(基础资料!$W$5:$W$24,C2042)=0,"✗ 账户不在基础资料里",IF(O2042="","✗ 没选收支项目",IF(P2042="未知","✗ 收支项目不在基础资料里",IF(AND(P2042="应收",J2042=""),"✗ 这笔要选客户",IF(AND(P2042="应收",COUNTIF(总览汇总!$B$5:$B$304,J2042)=0),"✗ 客户不在总览汇总名单里",IF(AND(P2042="应付",K2042=""),"✗ 这笔要选供应商",IF(AND(P2042="应付",COUNTIF(基础资料!$Q$5:$Q$54,K2042)=0),"✗ 供应商不在基础资料里",IF(AND(P2042="费用",L2042=""),"✗ 费用支出要选费用项目",IF(AND(L2042&lt;&gt;"",COUNTIF(基础资料!$AI$5:$AI$54,L2042)=0),"✗ 费用项目不在基础资料里",IF(AND(IFERROR(INDEX(基础资料!$AD$5:$AD$34,MATCH(O2042,基础资料!$AC$5:$AC$34,0)),"")="收",N(G2042)&lt;&gt;0),"✗ 这类是收款，金额填到收入列",IF(AND(IFERROR(INDEX(基础资料!$AD$5:$AD$34,MATCH(O2042,基础资料!$AC$5:$AC$34,0)),"")="支",N(F2042)&lt;&gt;0),"✗ 这类是付款，金额填到支出列",IF(N(H2042)&lt;0,"⚠ 账户余额成负数了，核对一下","√"))))))))))))))))))</f>
      </c>
      <c r="O2042" s="78">
        <f>IF(D2042&lt;&gt;"",D2042,IF(AND(F2042="",G2042=""),"",IF(J2042&lt;&gt;"",IF(N(F2042)&gt;0,"客户回款","客户退款"),IF(K2042&lt;&gt;"",IF(N(G2042)&gt;0,"供应商付款","供应商退款"),IF(L2042&lt;&gt;"","费用支出","")))))</f>
      </c>
      <c r="P2042" s="78">
        <f>IF(O2042="","",IFERROR(INDEX(基础资料!$AE$5:$AE$34,MATCH(O2042,基础资料!$AC$5:$AC$34,0)),"未知"))</f>
      </c>
      <c r="Q2042" s="78">
        <f>IF(P2042="应收",COUNTIF(P$7:P2042,"应收"),"")</f>
      </c>
      <c r="R2042" s="78">
        <f>IF(P2042="应付",COUNTIF(P$7:P2042,"应付"),"")</f>
      </c>
      <c r="S2042" s="78">
        <f>N(F2042)-N(G2042)</f>
        <v>0</v>
      </c>
    </row>
    <row r="2043">
      <c r="A2043" s="109">
        <f>IF(AND(F2043="",G2043=""),"",ROW()-6)</f>
      </c>
      <c r="B2043" s="140" t="n"/>
      <c r="C2043" s="141" t="n"/>
      <c r="D2043" s="141" t="n"/>
      <c r="E2043" s="142" t="n"/>
      <c r="F2043" s="143" t="n"/>
      <c r="G2043" s="144" t="n"/>
      <c r="H2043" s="145">
        <f>IF(OR(C2043="",AND(F2043="",G2043="")),"",SUMIF(基础资料!$W$5:$W$24,C2043,基础资料!$X$5:$X$24)+SUMIF(C$7:C2043,C2043,F$7:F2043)-SUMIF(C$7:C2043,C2043,G$7:G2043))</f>
      </c>
      <c r="I2043" s="145">
        <f>IF(AND(F2043="",G2043=""),"",SUM(基础资料!$X$5:$X$24)+SUM(F$7:F2043)-SUM(G$7:G2043))</f>
      </c>
      <c r="J2043" s="141" t="n"/>
      <c r="K2043" s="141" t="n"/>
      <c r="L2043" s="141" t="n"/>
      <c r="M2043" s="142" t="n"/>
      <c r="N2043" s="146">
        <f>IF(AND(AND(F2043="",G2043=""),B2043="",C2043="",D2043="",J2043="",K2043="",L2043=""),"",IF(AND(F2043="",G2043=""),"✗ 没填金额",IF(AND(N(F2043)&lt;&gt;0,N(G2043)&lt;&gt;0),"✗ 收入、支出只能填一边",IF(NOT(ISNUMBER(B2043)),"✗ 日期不是真日期（要像 2026/9/25 这样填）",IF(OR(B2043&lt;年初日,B2043&gt;年末日),"✗ 日期不在本会计年度",IF(C2043="","✗ 没选账户",IF(COUNTIF(基础资料!$W$5:$W$24,C2043)=0,"✗ 账户不在基础资料里",IF(O2043="","✗ 没选收支项目",IF(P2043="未知","✗ 收支项目不在基础资料里",IF(AND(P2043="应收",J2043=""),"✗ 这笔要选客户",IF(AND(P2043="应收",COUNTIF(总览汇总!$B$5:$B$304,J2043)=0),"✗ 客户不在总览汇总名单里",IF(AND(P2043="应付",K2043=""),"✗ 这笔要选供应商",IF(AND(P2043="应付",COUNTIF(基础资料!$Q$5:$Q$54,K2043)=0),"✗ 供应商不在基础资料里",IF(AND(P2043="费用",L2043=""),"✗ 费用支出要选费用项目",IF(AND(L2043&lt;&gt;"",COUNTIF(基础资料!$AI$5:$AI$54,L2043)=0),"✗ 费用项目不在基础资料里",IF(AND(IFERROR(INDEX(基础资料!$AD$5:$AD$34,MATCH(O2043,基础资料!$AC$5:$AC$34,0)),"")="收",N(G2043)&lt;&gt;0),"✗ 这类是收款，金额填到收入列",IF(AND(IFERROR(INDEX(基础资料!$AD$5:$AD$34,MATCH(O2043,基础资料!$AC$5:$AC$34,0)),"")="支",N(F2043)&lt;&gt;0),"✗ 这类是付款，金额填到支出列",IF(N(H2043)&lt;0,"⚠ 账户余额成负数了，核对一下","√"))))))))))))))))))</f>
      </c>
      <c r="O2043" s="78">
        <f>IF(D2043&lt;&gt;"",D2043,IF(AND(F2043="",G2043=""),"",IF(J2043&lt;&gt;"",IF(N(F2043)&gt;0,"客户回款","客户退款"),IF(K2043&lt;&gt;"",IF(N(G2043)&gt;0,"供应商付款","供应商退款"),IF(L2043&lt;&gt;"","费用支出","")))))</f>
      </c>
      <c r="P2043" s="78">
        <f>IF(O2043="","",IFERROR(INDEX(基础资料!$AE$5:$AE$34,MATCH(O2043,基础资料!$AC$5:$AC$34,0)),"未知"))</f>
      </c>
      <c r="Q2043" s="78">
        <f>IF(P2043="应收",COUNTIF(P$7:P2043,"应收"),"")</f>
      </c>
      <c r="R2043" s="78">
        <f>IF(P2043="应付",COUNTIF(P$7:P2043,"应付"),"")</f>
      </c>
      <c r="S2043" s="78">
        <f>N(F2043)-N(G2043)</f>
        <v>0</v>
      </c>
    </row>
    <row r="2044">
      <c r="A2044" s="109">
        <f>IF(AND(F2044="",G2044=""),"",ROW()-6)</f>
      </c>
      <c r="B2044" s="140" t="n"/>
      <c r="C2044" s="141" t="n"/>
      <c r="D2044" s="141" t="n"/>
      <c r="E2044" s="142" t="n"/>
      <c r="F2044" s="143" t="n"/>
      <c r="G2044" s="144" t="n"/>
      <c r="H2044" s="145">
        <f>IF(OR(C2044="",AND(F2044="",G2044="")),"",SUMIF(基础资料!$W$5:$W$24,C2044,基础资料!$X$5:$X$24)+SUMIF(C$7:C2044,C2044,F$7:F2044)-SUMIF(C$7:C2044,C2044,G$7:G2044))</f>
      </c>
      <c r="I2044" s="145">
        <f>IF(AND(F2044="",G2044=""),"",SUM(基础资料!$X$5:$X$24)+SUM(F$7:F2044)-SUM(G$7:G2044))</f>
      </c>
      <c r="J2044" s="141" t="n"/>
      <c r="K2044" s="141" t="n"/>
      <c r="L2044" s="141" t="n"/>
      <c r="M2044" s="142" t="n"/>
      <c r="N2044" s="146">
        <f>IF(AND(AND(F2044="",G2044=""),B2044="",C2044="",D2044="",J2044="",K2044="",L2044=""),"",IF(AND(F2044="",G2044=""),"✗ 没填金额",IF(AND(N(F2044)&lt;&gt;0,N(G2044)&lt;&gt;0),"✗ 收入、支出只能填一边",IF(NOT(ISNUMBER(B2044)),"✗ 日期不是真日期（要像 2026/9/25 这样填）",IF(OR(B2044&lt;年初日,B2044&gt;年末日),"✗ 日期不在本会计年度",IF(C2044="","✗ 没选账户",IF(COUNTIF(基础资料!$W$5:$W$24,C2044)=0,"✗ 账户不在基础资料里",IF(O2044="","✗ 没选收支项目",IF(P2044="未知","✗ 收支项目不在基础资料里",IF(AND(P2044="应收",J2044=""),"✗ 这笔要选客户",IF(AND(P2044="应收",COUNTIF(总览汇总!$B$5:$B$304,J2044)=0),"✗ 客户不在总览汇总名单里",IF(AND(P2044="应付",K2044=""),"✗ 这笔要选供应商",IF(AND(P2044="应付",COUNTIF(基础资料!$Q$5:$Q$54,K2044)=0),"✗ 供应商不在基础资料里",IF(AND(P2044="费用",L2044=""),"✗ 费用支出要选费用项目",IF(AND(L2044&lt;&gt;"",COUNTIF(基础资料!$AI$5:$AI$54,L2044)=0),"✗ 费用项目不在基础资料里",IF(AND(IFERROR(INDEX(基础资料!$AD$5:$AD$34,MATCH(O2044,基础资料!$AC$5:$AC$34,0)),"")="收",N(G2044)&lt;&gt;0),"✗ 这类是收款，金额填到收入列",IF(AND(IFERROR(INDEX(基础资料!$AD$5:$AD$34,MATCH(O2044,基础资料!$AC$5:$AC$34,0)),"")="支",N(F2044)&lt;&gt;0),"✗ 这类是付款，金额填到支出列",IF(N(H2044)&lt;0,"⚠ 账户余额成负数了，核对一下","√"))))))))))))))))))</f>
      </c>
      <c r="O2044" s="78">
        <f>IF(D2044&lt;&gt;"",D2044,IF(AND(F2044="",G2044=""),"",IF(J2044&lt;&gt;"",IF(N(F2044)&gt;0,"客户回款","客户退款"),IF(K2044&lt;&gt;"",IF(N(G2044)&gt;0,"供应商付款","供应商退款"),IF(L2044&lt;&gt;"","费用支出","")))))</f>
      </c>
      <c r="P2044" s="78">
        <f>IF(O2044="","",IFERROR(INDEX(基础资料!$AE$5:$AE$34,MATCH(O2044,基础资料!$AC$5:$AC$34,0)),"未知"))</f>
      </c>
      <c r="Q2044" s="78">
        <f>IF(P2044="应收",COUNTIF(P$7:P2044,"应收"),"")</f>
      </c>
      <c r="R2044" s="78">
        <f>IF(P2044="应付",COUNTIF(P$7:P2044,"应付"),"")</f>
      </c>
      <c r="S2044" s="78">
        <f>N(F2044)-N(G2044)</f>
        <v>0</v>
      </c>
    </row>
    <row r="2045">
      <c r="A2045" s="109">
        <f>IF(AND(F2045="",G2045=""),"",ROW()-6)</f>
      </c>
      <c r="B2045" s="140" t="n"/>
      <c r="C2045" s="141" t="n"/>
      <c r="D2045" s="141" t="n"/>
      <c r="E2045" s="142" t="n"/>
      <c r="F2045" s="143" t="n"/>
      <c r="G2045" s="144" t="n"/>
      <c r="H2045" s="145">
        <f>IF(OR(C2045="",AND(F2045="",G2045="")),"",SUMIF(基础资料!$W$5:$W$24,C2045,基础资料!$X$5:$X$24)+SUMIF(C$7:C2045,C2045,F$7:F2045)-SUMIF(C$7:C2045,C2045,G$7:G2045))</f>
      </c>
      <c r="I2045" s="145">
        <f>IF(AND(F2045="",G2045=""),"",SUM(基础资料!$X$5:$X$24)+SUM(F$7:F2045)-SUM(G$7:G2045))</f>
      </c>
      <c r="J2045" s="141" t="n"/>
      <c r="K2045" s="141" t="n"/>
      <c r="L2045" s="141" t="n"/>
      <c r="M2045" s="142" t="n"/>
      <c r="N2045" s="146">
        <f>IF(AND(AND(F2045="",G2045=""),B2045="",C2045="",D2045="",J2045="",K2045="",L2045=""),"",IF(AND(F2045="",G2045=""),"✗ 没填金额",IF(AND(N(F2045)&lt;&gt;0,N(G2045)&lt;&gt;0),"✗ 收入、支出只能填一边",IF(NOT(ISNUMBER(B2045)),"✗ 日期不是真日期（要像 2026/9/25 这样填）",IF(OR(B2045&lt;年初日,B2045&gt;年末日),"✗ 日期不在本会计年度",IF(C2045="","✗ 没选账户",IF(COUNTIF(基础资料!$W$5:$W$24,C2045)=0,"✗ 账户不在基础资料里",IF(O2045="","✗ 没选收支项目",IF(P2045="未知","✗ 收支项目不在基础资料里",IF(AND(P2045="应收",J2045=""),"✗ 这笔要选客户",IF(AND(P2045="应收",COUNTIF(总览汇总!$B$5:$B$304,J2045)=0),"✗ 客户不在总览汇总名单里",IF(AND(P2045="应付",K2045=""),"✗ 这笔要选供应商",IF(AND(P2045="应付",COUNTIF(基础资料!$Q$5:$Q$54,K2045)=0),"✗ 供应商不在基础资料里",IF(AND(P2045="费用",L2045=""),"✗ 费用支出要选费用项目",IF(AND(L2045&lt;&gt;"",COUNTIF(基础资料!$AI$5:$AI$54,L2045)=0),"✗ 费用项目不在基础资料里",IF(AND(IFERROR(INDEX(基础资料!$AD$5:$AD$34,MATCH(O2045,基础资料!$AC$5:$AC$34,0)),"")="收",N(G2045)&lt;&gt;0),"✗ 这类是收款，金额填到收入列",IF(AND(IFERROR(INDEX(基础资料!$AD$5:$AD$34,MATCH(O2045,基础资料!$AC$5:$AC$34,0)),"")="支",N(F2045)&lt;&gt;0),"✗ 这类是付款，金额填到支出列",IF(N(H2045)&lt;0,"⚠ 账户余额成负数了，核对一下","√"))))))))))))))))))</f>
      </c>
      <c r="O2045" s="78">
        <f>IF(D2045&lt;&gt;"",D2045,IF(AND(F2045="",G2045=""),"",IF(J2045&lt;&gt;"",IF(N(F2045)&gt;0,"客户回款","客户退款"),IF(K2045&lt;&gt;"",IF(N(G2045)&gt;0,"供应商付款","供应商退款"),IF(L2045&lt;&gt;"","费用支出","")))))</f>
      </c>
      <c r="P2045" s="78">
        <f>IF(O2045="","",IFERROR(INDEX(基础资料!$AE$5:$AE$34,MATCH(O2045,基础资料!$AC$5:$AC$34,0)),"未知"))</f>
      </c>
      <c r="Q2045" s="78">
        <f>IF(P2045="应收",COUNTIF(P$7:P2045,"应收"),"")</f>
      </c>
      <c r="R2045" s="78">
        <f>IF(P2045="应付",COUNTIF(P$7:P2045,"应付"),"")</f>
      </c>
      <c r="S2045" s="78">
        <f>N(F2045)-N(G2045)</f>
        <v>0</v>
      </c>
    </row>
    <row r="2046">
      <c r="A2046" s="109">
        <f>IF(AND(F2046="",G2046=""),"",ROW()-6)</f>
      </c>
      <c r="B2046" s="140" t="n"/>
      <c r="C2046" s="141" t="n"/>
      <c r="D2046" s="141" t="n"/>
      <c r="E2046" s="142" t="n"/>
      <c r="F2046" s="143" t="n"/>
      <c r="G2046" s="144" t="n"/>
      <c r="H2046" s="145">
        <f>IF(OR(C2046="",AND(F2046="",G2046="")),"",SUMIF(基础资料!$W$5:$W$24,C2046,基础资料!$X$5:$X$24)+SUMIF(C$7:C2046,C2046,F$7:F2046)-SUMIF(C$7:C2046,C2046,G$7:G2046))</f>
      </c>
      <c r="I2046" s="145">
        <f>IF(AND(F2046="",G2046=""),"",SUM(基础资料!$X$5:$X$24)+SUM(F$7:F2046)-SUM(G$7:G2046))</f>
      </c>
      <c r="J2046" s="141" t="n"/>
      <c r="K2046" s="141" t="n"/>
      <c r="L2046" s="141" t="n"/>
      <c r="M2046" s="142" t="n"/>
      <c r="N2046" s="146">
        <f>IF(AND(AND(F2046="",G2046=""),B2046="",C2046="",D2046="",J2046="",K2046="",L2046=""),"",IF(AND(F2046="",G2046=""),"✗ 没填金额",IF(AND(N(F2046)&lt;&gt;0,N(G2046)&lt;&gt;0),"✗ 收入、支出只能填一边",IF(NOT(ISNUMBER(B2046)),"✗ 日期不是真日期（要像 2026/9/25 这样填）",IF(OR(B2046&lt;年初日,B2046&gt;年末日),"✗ 日期不在本会计年度",IF(C2046="","✗ 没选账户",IF(COUNTIF(基础资料!$W$5:$W$24,C2046)=0,"✗ 账户不在基础资料里",IF(O2046="","✗ 没选收支项目",IF(P2046="未知","✗ 收支项目不在基础资料里",IF(AND(P2046="应收",J2046=""),"✗ 这笔要选客户",IF(AND(P2046="应收",COUNTIF(总览汇总!$B$5:$B$304,J2046)=0),"✗ 客户不在总览汇总名单里",IF(AND(P2046="应付",K2046=""),"✗ 这笔要选供应商",IF(AND(P2046="应付",COUNTIF(基础资料!$Q$5:$Q$54,K2046)=0),"✗ 供应商不在基础资料里",IF(AND(P2046="费用",L2046=""),"✗ 费用支出要选费用项目",IF(AND(L2046&lt;&gt;"",COUNTIF(基础资料!$AI$5:$AI$54,L2046)=0),"✗ 费用项目不在基础资料里",IF(AND(IFERROR(INDEX(基础资料!$AD$5:$AD$34,MATCH(O2046,基础资料!$AC$5:$AC$34,0)),"")="收",N(G2046)&lt;&gt;0),"✗ 这类是收款，金额填到收入列",IF(AND(IFERROR(INDEX(基础资料!$AD$5:$AD$34,MATCH(O2046,基础资料!$AC$5:$AC$34,0)),"")="支",N(F2046)&lt;&gt;0),"✗ 这类是付款，金额填到支出列",IF(N(H2046)&lt;0,"⚠ 账户余额成负数了，核对一下","√"))))))))))))))))))</f>
      </c>
      <c r="O2046" s="78">
        <f>IF(D2046&lt;&gt;"",D2046,IF(AND(F2046="",G2046=""),"",IF(J2046&lt;&gt;"",IF(N(F2046)&gt;0,"客户回款","客户退款"),IF(K2046&lt;&gt;"",IF(N(G2046)&gt;0,"供应商付款","供应商退款"),IF(L2046&lt;&gt;"","费用支出","")))))</f>
      </c>
      <c r="P2046" s="78">
        <f>IF(O2046="","",IFERROR(INDEX(基础资料!$AE$5:$AE$34,MATCH(O2046,基础资料!$AC$5:$AC$34,0)),"未知"))</f>
      </c>
      <c r="Q2046" s="78">
        <f>IF(P2046="应收",COUNTIF(P$7:P2046,"应收"),"")</f>
      </c>
      <c r="R2046" s="78">
        <f>IF(P2046="应付",COUNTIF(P$7:P2046,"应付"),"")</f>
      </c>
      <c r="S2046" s="78">
        <f>N(F2046)-N(G2046)</f>
        <v>0</v>
      </c>
    </row>
    <row r="2047">
      <c r="A2047" s="109">
        <f>IF(AND(F2047="",G2047=""),"",ROW()-6)</f>
      </c>
      <c r="B2047" s="140" t="n"/>
      <c r="C2047" s="141" t="n"/>
      <c r="D2047" s="141" t="n"/>
      <c r="E2047" s="142" t="n"/>
      <c r="F2047" s="143" t="n"/>
      <c r="G2047" s="144" t="n"/>
      <c r="H2047" s="145">
        <f>IF(OR(C2047="",AND(F2047="",G2047="")),"",SUMIF(基础资料!$W$5:$W$24,C2047,基础资料!$X$5:$X$24)+SUMIF(C$7:C2047,C2047,F$7:F2047)-SUMIF(C$7:C2047,C2047,G$7:G2047))</f>
      </c>
      <c r="I2047" s="145">
        <f>IF(AND(F2047="",G2047=""),"",SUM(基础资料!$X$5:$X$24)+SUM(F$7:F2047)-SUM(G$7:G2047))</f>
      </c>
      <c r="J2047" s="141" t="n"/>
      <c r="K2047" s="141" t="n"/>
      <c r="L2047" s="141" t="n"/>
      <c r="M2047" s="142" t="n"/>
      <c r="N2047" s="146">
        <f>IF(AND(AND(F2047="",G2047=""),B2047="",C2047="",D2047="",J2047="",K2047="",L2047=""),"",IF(AND(F2047="",G2047=""),"✗ 没填金额",IF(AND(N(F2047)&lt;&gt;0,N(G2047)&lt;&gt;0),"✗ 收入、支出只能填一边",IF(NOT(ISNUMBER(B2047)),"✗ 日期不是真日期（要像 2026/9/25 这样填）",IF(OR(B2047&lt;年初日,B2047&gt;年末日),"✗ 日期不在本会计年度",IF(C2047="","✗ 没选账户",IF(COUNTIF(基础资料!$W$5:$W$24,C2047)=0,"✗ 账户不在基础资料里",IF(O2047="","✗ 没选收支项目",IF(P2047="未知","✗ 收支项目不在基础资料里",IF(AND(P2047="应收",J2047=""),"✗ 这笔要选客户",IF(AND(P2047="应收",COUNTIF(总览汇总!$B$5:$B$304,J2047)=0),"✗ 客户不在总览汇总名单里",IF(AND(P2047="应付",K2047=""),"✗ 这笔要选供应商",IF(AND(P2047="应付",COUNTIF(基础资料!$Q$5:$Q$54,K2047)=0),"✗ 供应商不在基础资料里",IF(AND(P2047="费用",L2047=""),"✗ 费用支出要选费用项目",IF(AND(L2047&lt;&gt;"",COUNTIF(基础资料!$AI$5:$AI$54,L2047)=0),"✗ 费用项目不在基础资料里",IF(AND(IFERROR(INDEX(基础资料!$AD$5:$AD$34,MATCH(O2047,基础资料!$AC$5:$AC$34,0)),"")="收",N(G2047)&lt;&gt;0),"✗ 这类是收款，金额填到收入列",IF(AND(IFERROR(INDEX(基础资料!$AD$5:$AD$34,MATCH(O2047,基础资料!$AC$5:$AC$34,0)),"")="支",N(F2047)&lt;&gt;0),"✗ 这类是付款，金额填到支出列",IF(N(H2047)&lt;0,"⚠ 账户余额成负数了，核对一下","√"))))))))))))))))))</f>
      </c>
      <c r="O2047" s="78">
        <f>IF(D2047&lt;&gt;"",D2047,IF(AND(F2047="",G2047=""),"",IF(J2047&lt;&gt;"",IF(N(F2047)&gt;0,"客户回款","客户退款"),IF(K2047&lt;&gt;"",IF(N(G2047)&gt;0,"供应商付款","供应商退款"),IF(L2047&lt;&gt;"","费用支出","")))))</f>
      </c>
      <c r="P2047" s="78">
        <f>IF(O2047="","",IFERROR(INDEX(基础资料!$AE$5:$AE$34,MATCH(O2047,基础资料!$AC$5:$AC$34,0)),"未知"))</f>
      </c>
      <c r="Q2047" s="78">
        <f>IF(P2047="应收",COUNTIF(P$7:P2047,"应收"),"")</f>
      </c>
      <c r="R2047" s="78">
        <f>IF(P2047="应付",COUNTIF(P$7:P2047,"应付"),"")</f>
      </c>
      <c r="S2047" s="78">
        <f>N(F2047)-N(G2047)</f>
        <v>0</v>
      </c>
    </row>
    <row r="2048">
      <c r="A2048" s="109">
        <f>IF(AND(F2048="",G2048=""),"",ROW()-6)</f>
      </c>
      <c r="B2048" s="140" t="n"/>
      <c r="C2048" s="141" t="n"/>
      <c r="D2048" s="141" t="n"/>
      <c r="E2048" s="142" t="n"/>
      <c r="F2048" s="143" t="n"/>
      <c r="G2048" s="144" t="n"/>
      <c r="H2048" s="145">
        <f>IF(OR(C2048="",AND(F2048="",G2048="")),"",SUMIF(基础资料!$W$5:$W$24,C2048,基础资料!$X$5:$X$24)+SUMIF(C$7:C2048,C2048,F$7:F2048)-SUMIF(C$7:C2048,C2048,G$7:G2048))</f>
      </c>
      <c r="I2048" s="145">
        <f>IF(AND(F2048="",G2048=""),"",SUM(基础资料!$X$5:$X$24)+SUM(F$7:F2048)-SUM(G$7:G2048))</f>
      </c>
      <c r="J2048" s="141" t="n"/>
      <c r="K2048" s="141" t="n"/>
      <c r="L2048" s="141" t="n"/>
      <c r="M2048" s="142" t="n"/>
      <c r="N2048" s="146">
        <f>IF(AND(AND(F2048="",G2048=""),B2048="",C2048="",D2048="",J2048="",K2048="",L2048=""),"",IF(AND(F2048="",G2048=""),"✗ 没填金额",IF(AND(N(F2048)&lt;&gt;0,N(G2048)&lt;&gt;0),"✗ 收入、支出只能填一边",IF(NOT(ISNUMBER(B2048)),"✗ 日期不是真日期（要像 2026/9/25 这样填）",IF(OR(B2048&lt;年初日,B2048&gt;年末日),"✗ 日期不在本会计年度",IF(C2048="","✗ 没选账户",IF(COUNTIF(基础资料!$W$5:$W$24,C2048)=0,"✗ 账户不在基础资料里",IF(O2048="","✗ 没选收支项目",IF(P2048="未知","✗ 收支项目不在基础资料里",IF(AND(P2048="应收",J2048=""),"✗ 这笔要选客户",IF(AND(P2048="应收",COUNTIF(总览汇总!$B$5:$B$304,J2048)=0),"✗ 客户不在总览汇总名单里",IF(AND(P2048="应付",K2048=""),"✗ 这笔要选供应商",IF(AND(P2048="应付",COUNTIF(基础资料!$Q$5:$Q$54,K2048)=0),"✗ 供应商不在基础资料里",IF(AND(P2048="费用",L2048=""),"✗ 费用支出要选费用项目",IF(AND(L2048&lt;&gt;"",COUNTIF(基础资料!$AI$5:$AI$54,L2048)=0),"✗ 费用项目不在基础资料里",IF(AND(IFERROR(INDEX(基础资料!$AD$5:$AD$34,MATCH(O2048,基础资料!$AC$5:$AC$34,0)),"")="收",N(G2048)&lt;&gt;0),"✗ 这类是收款，金额填到收入列",IF(AND(IFERROR(INDEX(基础资料!$AD$5:$AD$34,MATCH(O2048,基础资料!$AC$5:$AC$34,0)),"")="支",N(F2048)&lt;&gt;0),"✗ 这类是付款，金额填到支出列",IF(N(H2048)&lt;0,"⚠ 账户余额成负数了，核对一下","√"))))))))))))))))))</f>
      </c>
      <c r="O2048" s="78">
        <f>IF(D2048&lt;&gt;"",D2048,IF(AND(F2048="",G2048=""),"",IF(J2048&lt;&gt;"",IF(N(F2048)&gt;0,"客户回款","客户退款"),IF(K2048&lt;&gt;"",IF(N(G2048)&gt;0,"供应商付款","供应商退款"),IF(L2048&lt;&gt;"","费用支出","")))))</f>
      </c>
      <c r="P2048" s="78">
        <f>IF(O2048="","",IFERROR(INDEX(基础资料!$AE$5:$AE$34,MATCH(O2048,基础资料!$AC$5:$AC$34,0)),"未知"))</f>
      </c>
      <c r="Q2048" s="78">
        <f>IF(P2048="应收",COUNTIF(P$7:P2048,"应收"),"")</f>
      </c>
      <c r="R2048" s="78">
        <f>IF(P2048="应付",COUNTIF(P$7:P2048,"应付"),"")</f>
      </c>
      <c r="S2048" s="78">
        <f>N(F2048)-N(G2048)</f>
        <v>0</v>
      </c>
    </row>
    <row r="2049">
      <c r="A2049" s="109">
        <f>IF(AND(F2049="",G2049=""),"",ROW()-6)</f>
      </c>
      <c r="B2049" s="140" t="n"/>
      <c r="C2049" s="141" t="n"/>
      <c r="D2049" s="141" t="n"/>
      <c r="E2049" s="142" t="n"/>
      <c r="F2049" s="143" t="n"/>
      <c r="G2049" s="144" t="n"/>
      <c r="H2049" s="145">
        <f>IF(OR(C2049="",AND(F2049="",G2049="")),"",SUMIF(基础资料!$W$5:$W$24,C2049,基础资料!$X$5:$X$24)+SUMIF(C$7:C2049,C2049,F$7:F2049)-SUMIF(C$7:C2049,C2049,G$7:G2049))</f>
      </c>
      <c r="I2049" s="145">
        <f>IF(AND(F2049="",G2049=""),"",SUM(基础资料!$X$5:$X$24)+SUM(F$7:F2049)-SUM(G$7:G2049))</f>
      </c>
      <c r="J2049" s="141" t="n"/>
      <c r="K2049" s="141" t="n"/>
      <c r="L2049" s="141" t="n"/>
      <c r="M2049" s="142" t="n"/>
      <c r="N2049" s="146">
        <f>IF(AND(AND(F2049="",G2049=""),B2049="",C2049="",D2049="",J2049="",K2049="",L2049=""),"",IF(AND(F2049="",G2049=""),"✗ 没填金额",IF(AND(N(F2049)&lt;&gt;0,N(G2049)&lt;&gt;0),"✗ 收入、支出只能填一边",IF(NOT(ISNUMBER(B2049)),"✗ 日期不是真日期（要像 2026/9/25 这样填）",IF(OR(B2049&lt;年初日,B2049&gt;年末日),"✗ 日期不在本会计年度",IF(C2049="","✗ 没选账户",IF(COUNTIF(基础资料!$W$5:$W$24,C2049)=0,"✗ 账户不在基础资料里",IF(O2049="","✗ 没选收支项目",IF(P2049="未知","✗ 收支项目不在基础资料里",IF(AND(P2049="应收",J2049=""),"✗ 这笔要选客户",IF(AND(P2049="应收",COUNTIF(总览汇总!$B$5:$B$304,J2049)=0),"✗ 客户不在总览汇总名单里",IF(AND(P2049="应付",K2049=""),"✗ 这笔要选供应商",IF(AND(P2049="应付",COUNTIF(基础资料!$Q$5:$Q$54,K2049)=0),"✗ 供应商不在基础资料里",IF(AND(P2049="费用",L2049=""),"✗ 费用支出要选费用项目",IF(AND(L2049&lt;&gt;"",COUNTIF(基础资料!$AI$5:$AI$54,L2049)=0),"✗ 费用项目不在基础资料里",IF(AND(IFERROR(INDEX(基础资料!$AD$5:$AD$34,MATCH(O2049,基础资料!$AC$5:$AC$34,0)),"")="收",N(G2049)&lt;&gt;0),"✗ 这类是收款，金额填到收入列",IF(AND(IFERROR(INDEX(基础资料!$AD$5:$AD$34,MATCH(O2049,基础资料!$AC$5:$AC$34,0)),"")="支",N(F2049)&lt;&gt;0),"✗ 这类是付款，金额填到支出列",IF(N(H2049)&lt;0,"⚠ 账户余额成负数了，核对一下","√"))))))))))))))))))</f>
      </c>
      <c r="O2049" s="78">
        <f>IF(D2049&lt;&gt;"",D2049,IF(AND(F2049="",G2049=""),"",IF(J2049&lt;&gt;"",IF(N(F2049)&gt;0,"客户回款","客户退款"),IF(K2049&lt;&gt;"",IF(N(G2049)&gt;0,"供应商付款","供应商退款"),IF(L2049&lt;&gt;"","费用支出","")))))</f>
      </c>
      <c r="P2049" s="78">
        <f>IF(O2049="","",IFERROR(INDEX(基础资料!$AE$5:$AE$34,MATCH(O2049,基础资料!$AC$5:$AC$34,0)),"未知"))</f>
      </c>
      <c r="Q2049" s="78">
        <f>IF(P2049="应收",COUNTIF(P$7:P2049,"应收"),"")</f>
      </c>
      <c r="R2049" s="78">
        <f>IF(P2049="应付",COUNTIF(P$7:P2049,"应付"),"")</f>
      </c>
      <c r="S2049" s="78">
        <f>N(F2049)-N(G2049)</f>
        <v>0</v>
      </c>
    </row>
    <row r="2050">
      <c r="A2050" s="109">
        <f>IF(AND(F2050="",G2050=""),"",ROW()-6)</f>
      </c>
      <c r="B2050" s="140" t="n"/>
      <c r="C2050" s="141" t="n"/>
      <c r="D2050" s="141" t="n"/>
      <c r="E2050" s="142" t="n"/>
      <c r="F2050" s="143" t="n"/>
      <c r="G2050" s="144" t="n"/>
      <c r="H2050" s="145">
        <f>IF(OR(C2050="",AND(F2050="",G2050="")),"",SUMIF(基础资料!$W$5:$W$24,C2050,基础资料!$X$5:$X$24)+SUMIF(C$7:C2050,C2050,F$7:F2050)-SUMIF(C$7:C2050,C2050,G$7:G2050))</f>
      </c>
      <c r="I2050" s="145">
        <f>IF(AND(F2050="",G2050=""),"",SUM(基础资料!$X$5:$X$24)+SUM(F$7:F2050)-SUM(G$7:G2050))</f>
      </c>
      <c r="J2050" s="141" t="n"/>
      <c r="K2050" s="141" t="n"/>
      <c r="L2050" s="141" t="n"/>
      <c r="M2050" s="142" t="n"/>
      <c r="N2050" s="146">
        <f>IF(AND(AND(F2050="",G2050=""),B2050="",C2050="",D2050="",J2050="",K2050="",L2050=""),"",IF(AND(F2050="",G2050=""),"✗ 没填金额",IF(AND(N(F2050)&lt;&gt;0,N(G2050)&lt;&gt;0),"✗ 收入、支出只能填一边",IF(NOT(ISNUMBER(B2050)),"✗ 日期不是真日期（要像 2026/9/25 这样填）",IF(OR(B2050&lt;年初日,B2050&gt;年末日),"✗ 日期不在本会计年度",IF(C2050="","✗ 没选账户",IF(COUNTIF(基础资料!$W$5:$W$24,C2050)=0,"✗ 账户不在基础资料里",IF(O2050="","✗ 没选收支项目",IF(P2050="未知","✗ 收支项目不在基础资料里",IF(AND(P2050="应收",J2050=""),"✗ 这笔要选客户",IF(AND(P2050="应收",COUNTIF(总览汇总!$B$5:$B$304,J2050)=0),"✗ 客户不在总览汇总名单里",IF(AND(P2050="应付",K2050=""),"✗ 这笔要选供应商",IF(AND(P2050="应付",COUNTIF(基础资料!$Q$5:$Q$54,K2050)=0),"✗ 供应商不在基础资料里",IF(AND(P2050="费用",L2050=""),"✗ 费用支出要选费用项目",IF(AND(L2050&lt;&gt;"",COUNTIF(基础资料!$AI$5:$AI$54,L2050)=0),"✗ 费用项目不在基础资料里",IF(AND(IFERROR(INDEX(基础资料!$AD$5:$AD$34,MATCH(O2050,基础资料!$AC$5:$AC$34,0)),"")="收",N(G2050)&lt;&gt;0),"✗ 这类是收款，金额填到收入列",IF(AND(IFERROR(INDEX(基础资料!$AD$5:$AD$34,MATCH(O2050,基础资料!$AC$5:$AC$34,0)),"")="支",N(F2050)&lt;&gt;0),"✗ 这类是付款，金额填到支出列",IF(N(H2050)&lt;0,"⚠ 账户余额成负数了，核对一下","√"))))))))))))))))))</f>
      </c>
      <c r="O2050" s="78">
        <f>IF(D2050&lt;&gt;"",D2050,IF(AND(F2050="",G2050=""),"",IF(J2050&lt;&gt;"",IF(N(F2050)&gt;0,"客户回款","客户退款"),IF(K2050&lt;&gt;"",IF(N(G2050)&gt;0,"供应商付款","供应商退款"),IF(L2050&lt;&gt;"","费用支出","")))))</f>
      </c>
      <c r="P2050" s="78">
        <f>IF(O2050="","",IFERROR(INDEX(基础资料!$AE$5:$AE$34,MATCH(O2050,基础资料!$AC$5:$AC$34,0)),"未知"))</f>
      </c>
      <c r="Q2050" s="78">
        <f>IF(P2050="应收",COUNTIF(P$7:P2050,"应收"),"")</f>
      </c>
      <c r="R2050" s="78">
        <f>IF(P2050="应付",COUNTIF(P$7:P2050,"应付"),"")</f>
      </c>
      <c r="S2050" s="78">
        <f>N(F2050)-N(G2050)</f>
        <v>0</v>
      </c>
    </row>
    <row r="2051">
      <c r="A2051" s="109">
        <f>IF(AND(F2051="",G2051=""),"",ROW()-6)</f>
      </c>
      <c r="B2051" s="140" t="n"/>
      <c r="C2051" s="141" t="n"/>
      <c r="D2051" s="141" t="n"/>
      <c r="E2051" s="142" t="n"/>
      <c r="F2051" s="143" t="n"/>
      <c r="G2051" s="144" t="n"/>
      <c r="H2051" s="145">
        <f>IF(OR(C2051="",AND(F2051="",G2051="")),"",SUMIF(基础资料!$W$5:$W$24,C2051,基础资料!$X$5:$X$24)+SUMIF(C$7:C2051,C2051,F$7:F2051)-SUMIF(C$7:C2051,C2051,G$7:G2051))</f>
      </c>
      <c r="I2051" s="145">
        <f>IF(AND(F2051="",G2051=""),"",SUM(基础资料!$X$5:$X$24)+SUM(F$7:F2051)-SUM(G$7:G2051))</f>
      </c>
      <c r="J2051" s="141" t="n"/>
      <c r="K2051" s="141" t="n"/>
      <c r="L2051" s="141" t="n"/>
      <c r="M2051" s="142" t="n"/>
      <c r="N2051" s="146">
        <f>IF(AND(AND(F2051="",G2051=""),B2051="",C2051="",D2051="",J2051="",K2051="",L2051=""),"",IF(AND(F2051="",G2051=""),"✗ 没填金额",IF(AND(N(F2051)&lt;&gt;0,N(G2051)&lt;&gt;0),"✗ 收入、支出只能填一边",IF(NOT(ISNUMBER(B2051)),"✗ 日期不是真日期（要像 2026/9/25 这样填）",IF(OR(B2051&lt;年初日,B2051&gt;年末日),"✗ 日期不在本会计年度",IF(C2051="","✗ 没选账户",IF(COUNTIF(基础资料!$W$5:$W$24,C2051)=0,"✗ 账户不在基础资料里",IF(O2051="","✗ 没选收支项目",IF(P2051="未知","✗ 收支项目不在基础资料里",IF(AND(P2051="应收",J2051=""),"✗ 这笔要选客户",IF(AND(P2051="应收",COUNTIF(总览汇总!$B$5:$B$304,J2051)=0),"✗ 客户不在总览汇总名单里",IF(AND(P2051="应付",K2051=""),"✗ 这笔要选供应商",IF(AND(P2051="应付",COUNTIF(基础资料!$Q$5:$Q$54,K2051)=0),"✗ 供应商不在基础资料里",IF(AND(P2051="费用",L2051=""),"✗ 费用支出要选费用项目",IF(AND(L2051&lt;&gt;"",COUNTIF(基础资料!$AI$5:$AI$54,L2051)=0),"✗ 费用项目不在基础资料里",IF(AND(IFERROR(INDEX(基础资料!$AD$5:$AD$34,MATCH(O2051,基础资料!$AC$5:$AC$34,0)),"")="收",N(G2051)&lt;&gt;0),"✗ 这类是收款，金额填到收入列",IF(AND(IFERROR(INDEX(基础资料!$AD$5:$AD$34,MATCH(O2051,基础资料!$AC$5:$AC$34,0)),"")="支",N(F2051)&lt;&gt;0),"✗ 这类是付款，金额填到支出列",IF(N(H2051)&lt;0,"⚠ 账户余额成负数了，核对一下","√"))))))))))))))))))</f>
      </c>
      <c r="O2051" s="78">
        <f>IF(D2051&lt;&gt;"",D2051,IF(AND(F2051="",G2051=""),"",IF(J2051&lt;&gt;"",IF(N(F2051)&gt;0,"客户回款","客户退款"),IF(K2051&lt;&gt;"",IF(N(G2051)&gt;0,"供应商付款","供应商退款"),IF(L2051&lt;&gt;"","费用支出","")))))</f>
      </c>
      <c r="P2051" s="78">
        <f>IF(O2051="","",IFERROR(INDEX(基础资料!$AE$5:$AE$34,MATCH(O2051,基础资料!$AC$5:$AC$34,0)),"未知"))</f>
      </c>
      <c r="Q2051" s="78">
        <f>IF(P2051="应收",COUNTIF(P$7:P2051,"应收"),"")</f>
      </c>
      <c r="R2051" s="78">
        <f>IF(P2051="应付",COUNTIF(P$7:P2051,"应付"),"")</f>
      </c>
      <c r="S2051" s="78">
        <f>N(F2051)-N(G2051)</f>
        <v>0</v>
      </c>
    </row>
    <row r="2052">
      <c r="A2052" s="109">
        <f>IF(AND(F2052="",G2052=""),"",ROW()-6)</f>
      </c>
      <c r="B2052" s="140" t="n"/>
      <c r="C2052" s="141" t="n"/>
      <c r="D2052" s="141" t="n"/>
      <c r="E2052" s="142" t="n"/>
      <c r="F2052" s="143" t="n"/>
      <c r="G2052" s="144" t="n"/>
      <c r="H2052" s="145">
        <f>IF(OR(C2052="",AND(F2052="",G2052="")),"",SUMIF(基础资料!$W$5:$W$24,C2052,基础资料!$X$5:$X$24)+SUMIF(C$7:C2052,C2052,F$7:F2052)-SUMIF(C$7:C2052,C2052,G$7:G2052))</f>
      </c>
      <c r="I2052" s="145">
        <f>IF(AND(F2052="",G2052=""),"",SUM(基础资料!$X$5:$X$24)+SUM(F$7:F2052)-SUM(G$7:G2052))</f>
      </c>
      <c r="J2052" s="141" t="n"/>
      <c r="K2052" s="141" t="n"/>
      <c r="L2052" s="141" t="n"/>
      <c r="M2052" s="142" t="n"/>
      <c r="N2052" s="146">
        <f>IF(AND(AND(F2052="",G2052=""),B2052="",C2052="",D2052="",J2052="",K2052="",L2052=""),"",IF(AND(F2052="",G2052=""),"✗ 没填金额",IF(AND(N(F2052)&lt;&gt;0,N(G2052)&lt;&gt;0),"✗ 收入、支出只能填一边",IF(NOT(ISNUMBER(B2052)),"✗ 日期不是真日期（要像 2026/9/25 这样填）",IF(OR(B2052&lt;年初日,B2052&gt;年末日),"✗ 日期不在本会计年度",IF(C2052="","✗ 没选账户",IF(COUNTIF(基础资料!$W$5:$W$24,C2052)=0,"✗ 账户不在基础资料里",IF(O2052="","✗ 没选收支项目",IF(P2052="未知","✗ 收支项目不在基础资料里",IF(AND(P2052="应收",J2052=""),"✗ 这笔要选客户",IF(AND(P2052="应收",COUNTIF(总览汇总!$B$5:$B$304,J2052)=0),"✗ 客户不在总览汇总名单里",IF(AND(P2052="应付",K2052=""),"✗ 这笔要选供应商",IF(AND(P2052="应付",COUNTIF(基础资料!$Q$5:$Q$54,K2052)=0),"✗ 供应商不在基础资料里",IF(AND(P2052="费用",L2052=""),"✗ 费用支出要选费用项目",IF(AND(L2052&lt;&gt;"",COUNTIF(基础资料!$AI$5:$AI$54,L2052)=0),"✗ 费用项目不在基础资料里",IF(AND(IFERROR(INDEX(基础资料!$AD$5:$AD$34,MATCH(O2052,基础资料!$AC$5:$AC$34,0)),"")="收",N(G2052)&lt;&gt;0),"✗ 这类是收款，金额填到收入列",IF(AND(IFERROR(INDEX(基础资料!$AD$5:$AD$34,MATCH(O2052,基础资料!$AC$5:$AC$34,0)),"")="支",N(F2052)&lt;&gt;0),"✗ 这类是付款，金额填到支出列",IF(N(H2052)&lt;0,"⚠ 账户余额成负数了，核对一下","√"))))))))))))))))))</f>
      </c>
      <c r="O2052" s="78">
        <f>IF(D2052&lt;&gt;"",D2052,IF(AND(F2052="",G2052=""),"",IF(J2052&lt;&gt;"",IF(N(F2052)&gt;0,"客户回款","客户退款"),IF(K2052&lt;&gt;"",IF(N(G2052)&gt;0,"供应商付款","供应商退款"),IF(L2052&lt;&gt;"","费用支出","")))))</f>
      </c>
      <c r="P2052" s="78">
        <f>IF(O2052="","",IFERROR(INDEX(基础资料!$AE$5:$AE$34,MATCH(O2052,基础资料!$AC$5:$AC$34,0)),"未知"))</f>
      </c>
      <c r="Q2052" s="78">
        <f>IF(P2052="应收",COUNTIF(P$7:P2052,"应收"),"")</f>
      </c>
      <c r="R2052" s="78">
        <f>IF(P2052="应付",COUNTIF(P$7:P2052,"应付"),"")</f>
      </c>
      <c r="S2052" s="78">
        <f>N(F2052)-N(G2052)</f>
        <v>0</v>
      </c>
    </row>
    <row r="2053">
      <c r="A2053" s="109">
        <f>IF(AND(F2053="",G2053=""),"",ROW()-6)</f>
      </c>
      <c r="B2053" s="140" t="n"/>
      <c r="C2053" s="141" t="n"/>
      <c r="D2053" s="141" t="n"/>
      <c r="E2053" s="142" t="n"/>
      <c r="F2053" s="143" t="n"/>
      <c r="G2053" s="144" t="n"/>
      <c r="H2053" s="145">
        <f>IF(OR(C2053="",AND(F2053="",G2053="")),"",SUMIF(基础资料!$W$5:$W$24,C2053,基础资料!$X$5:$X$24)+SUMIF(C$7:C2053,C2053,F$7:F2053)-SUMIF(C$7:C2053,C2053,G$7:G2053))</f>
      </c>
      <c r="I2053" s="145">
        <f>IF(AND(F2053="",G2053=""),"",SUM(基础资料!$X$5:$X$24)+SUM(F$7:F2053)-SUM(G$7:G2053))</f>
      </c>
      <c r="J2053" s="141" t="n"/>
      <c r="K2053" s="141" t="n"/>
      <c r="L2053" s="141" t="n"/>
      <c r="M2053" s="142" t="n"/>
      <c r="N2053" s="146">
        <f>IF(AND(AND(F2053="",G2053=""),B2053="",C2053="",D2053="",J2053="",K2053="",L2053=""),"",IF(AND(F2053="",G2053=""),"✗ 没填金额",IF(AND(N(F2053)&lt;&gt;0,N(G2053)&lt;&gt;0),"✗ 收入、支出只能填一边",IF(NOT(ISNUMBER(B2053)),"✗ 日期不是真日期（要像 2026/9/25 这样填）",IF(OR(B2053&lt;年初日,B2053&gt;年末日),"✗ 日期不在本会计年度",IF(C2053="","✗ 没选账户",IF(COUNTIF(基础资料!$W$5:$W$24,C2053)=0,"✗ 账户不在基础资料里",IF(O2053="","✗ 没选收支项目",IF(P2053="未知","✗ 收支项目不在基础资料里",IF(AND(P2053="应收",J2053=""),"✗ 这笔要选客户",IF(AND(P2053="应收",COUNTIF(总览汇总!$B$5:$B$304,J2053)=0),"✗ 客户不在总览汇总名单里",IF(AND(P2053="应付",K2053=""),"✗ 这笔要选供应商",IF(AND(P2053="应付",COUNTIF(基础资料!$Q$5:$Q$54,K2053)=0),"✗ 供应商不在基础资料里",IF(AND(P2053="费用",L2053=""),"✗ 费用支出要选费用项目",IF(AND(L2053&lt;&gt;"",COUNTIF(基础资料!$AI$5:$AI$54,L2053)=0),"✗ 费用项目不在基础资料里",IF(AND(IFERROR(INDEX(基础资料!$AD$5:$AD$34,MATCH(O2053,基础资料!$AC$5:$AC$34,0)),"")="收",N(G2053)&lt;&gt;0),"✗ 这类是收款，金额填到收入列",IF(AND(IFERROR(INDEX(基础资料!$AD$5:$AD$34,MATCH(O2053,基础资料!$AC$5:$AC$34,0)),"")="支",N(F2053)&lt;&gt;0),"✗ 这类是付款，金额填到支出列",IF(N(H2053)&lt;0,"⚠ 账户余额成负数了，核对一下","√"))))))))))))))))))</f>
      </c>
      <c r="O2053" s="78">
        <f>IF(D2053&lt;&gt;"",D2053,IF(AND(F2053="",G2053=""),"",IF(J2053&lt;&gt;"",IF(N(F2053)&gt;0,"客户回款","客户退款"),IF(K2053&lt;&gt;"",IF(N(G2053)&gt;0,"供应商付款","供应商退款"),IF(L2053&lt;&gt;"","费用支出","")))))</f>
      </c>
      <c r="P2053" s="78">
        <f>IF(O2053="","",IFERROR(INDEX(基础资料!$AE$5:$AE$34,MATCH(O2053,基础资料!$AC$5:$AC$34,0)),"未知"))</f>
      </c>
      <c r="Q2053" s="78">
        <f>IF(P2053="应收",COUNTIF(P$7:P2053,"应收"),"")</f>
      </c>
      <c r="R2053" s="78">
        <f>IF(P2053="应付",COUNTIF(P$7:P2053,"应付"),"")</f>
      </c>
      <c r="S2053" s="78">
        <f>N(F2053)-N(G2053)</f>
        <v>0</v>
      </c>
    </row>
    <row r="2054">
      <c r="A2054" s="109">
        <f>IF(AND(F2054="",G2054=""),"",ROW()-6)</f>
      </c>
      <c r="B2054" s="140" t="n"/>
      <c r="C2054" s="141" t="n"/>
      <c r="D2054" s="141" t="n"/>
      <c r="E2054" s="142" t="n"/>
      <c r="F2054" s="143" t="n"/>
      <c r="G2054" s="144" t="n"/>
      <c r="H2054" s="145">
        <f>IF(OR(C2054="",AND(F2054="",G2054="")),"",SUMIF(基础资料!$W$5:$W$24,C2054,基础资料!$X$5:$X$24)+SUMIF(C$7:C2054,C2054,F$7:F2054)-SUMIF(C$7:C2054,C2054,G$7:G2054))</f>
      </c>
      <c r="I2054" s="145">
        <f>IF(AND(F2054="",G2054=""),"",SUM(基础资料!$X$5:$X$24)+SUM(F$7:F2054)-SUM(G$7:G2054))</f>
      </c>
      <c r="J2054" s="141" t="n"/>
      <c r="K2054" s="141" t="n"/>
      <c r="L2054" s="141" t="n"/>
      <c r="M2054" s="142" t="n"/>
      <c r="N2054" s="146">
        <f>IF(AND(AND(F2054="",G2054=""),B2054="",C2054="",D2054="",J2054="",K2054="",L2054=""),"",IF(AND(F2054="",G2054=""),"✗ 没填金额",IF(AND(N(F2054)&lt;&gt;0,N(G2054)&lt;&gt;0),"✗ 收入、支出只能填一边",IF(NOT(ISNUMBER(B2054)),"✗ 日期不是真日期（要像 2026/9/25 这样填）",IF(OR(B2054&lt;年初日,B2054&gt;年末日),"✗ 日期不在本会计年度",IF(C2054="","✗ 没选账户",IF(COUNTIF(基础资料!$W$5:$W$24,C2054)=0,"✗ 账户不在基础资料里",IF(O2054="","✗ 没选收支项目",IF(P2054="未知","✗ 收支项目不在基础资料里",IF(AND(P2054="应收",J2054=""),"✗ 这笔要选客户",IF(AND(P2054="应收",COUNTIF(总览汇总!$B$5:$B$304,J2054)=0),"✗ 客户不在总览汇总名单里",IF(AND(P2054="应付",K2054=""),"✗ 这笔要选供应商",IF(AND(P2054="应付",COUNTIF(基础资料!$Q$5:$Q$54,K2054)=0),"✗ 供应商不在基础资料里",IF(AND(P2054="费用",L2054=""),"✗ 费用支出要选费用项目",IF(AND(L2054&lt;&gt;"",COUNTIF(基础资料!$AI$5:$AI$54,L2054)=0),"✗ 费用项目不在基础资料里",IF(AND(IFERROR(INDEX(基础资料!$AD$5:$AD$34,MATCH(O2054,基础资料!$AC$5:$AC$34,0)),"")="收",N(G2054)&lt;&gt;0),"✗ 这类是收款，金额填到收入列",IF(AND(IFERROR(INDEX(基础资料!$AD$5:$AD$34,MATCH(O2054,基础资料!$AC$5:$AC$34,0)),"")="支",N(F2054)&lt;&gt;0),"✗ 这类是付款，金额填到支出列",IF(N(H2054)&lt;0,"⚠ 账户余额成负数了，核对一下","√"))))))))))))))))))</f>
      </c>
      <c r="O2054" s="78">
        <f>IF(D2054&lt;&gt;"",D2054,IF(AND(F2054="",G2054=""),"",IF(J2054&lt;&gt;"",IF(N(F2054)&gt;0,"客户回款","客户退款"),IF(K2054&lt;&gt;"",IF(N(G2054)&gt;0,"供应商付款","供应商退款"),IF(L2054&lt;&gt;"","费用支出","")))))</f>
      </c>
      <c r="P2054" s="78">
        <f>IF(O2054="","",IFERROR(INDEX(基础资料!$AE$5:$AE$34,MATCH(O2054,基础资料!$AC$5:$AC$34,0)),"未知"))</f>
      </c>
      <c r="Q2054" s="78">
        <f>IF(P2054="应收",COUNTIF(P$7:P2054,"应收"),"")</f>
      </c>
      <c r="R2054" s="78">
        <f>IF(P2054="应付",COUNTIF(P$7:P2054,"应付"),"")</f>
      </c>
      <c r="S2054" s="78">
        <f>N(F2054)-N(G2054)</f>
        <v>0</v>
      </c>
    </row>
    <row r="2055">
      <c r="A2055" s="109">
        <f>IF(AND(F2055="",G2055=""),"",ROW()-6)</f>
      </c>
      <c r="B2055" s="140" t="n"/>
      <c r="C2055" s="141" t="n"/>
      <c r="D2055" s="141" t="n"/>
      <c r="E2055" s="142" t="n"/>
      <c r="F2055" s="143" t="n"/>
      <c r="G2055" s="144" t="n"/>
      <c r="H2055" s="145">
        <f>IF(OR(C2055="",AND(F2055="",G2055="")),"",SUMIF(基础资料!$W$5:$W$24,C2055,基础资料!$X$5:$X$24)+SUMIF(C$7:C2055,C2055,F$7:F2055)-SUMIF(C$7:C2055,C2055,G$7:G2055))</f>
      </c>
      <c r="I2055" s="145">
        <f>IF(AND(F2055="",G2055=""),"",SUM(基础资料!$X$5:$X$24)+SUM(F$7:F2055)-SUM(G$7:G2055))</f>
      </c>
      <c r="J2055" s="141" t="n"/>
      <c r="K2055" s="141" t="n"/>
      <c r="L2055" s="141" t="n"/>
      <c r="M2055" s="142" t="n"/>
      <c r="N2055" s="146">
        <f>IF(AND(AND(F2055="",G2055=""),B2055="",C2055="",D2055="",J2055="",K2055="",L2055=""),"",IF(AND(F2055="",G2055=""),"✗ 没填金额",IF(AND(N(F2055)&lt;&gt;0,N(G2055)&lt;&gt;0),"✗ 收入、支出只能填一边",IF(NOT(ISNUMBER(B2055)),"✗ 日期不是真日期（要像 2026/9/25 这样填）",IF(OR(B2055&lt;年初日,B2055&gt;年末日),"✗ 日期不在本会计年度",IF(C2055="","✗ 没选账户",IF(COUNTIF(基础资料!$W$5:$W$24,C2055)=0,"✗ 账户不在基础资料里",IF(O2055="","✗ 没选收支项目",IF(P2055="未知","✗ 收支项目不在基础资料里",IF(AND(P2055="应收",J2055=""),"✗ 这笔要选客户",IF(AND(P2055="应收",COUNTIF(总览汇总!$B$5:$B$304,J2055)=0),"✗ 客户不在总览汇总名单里",IF(AND(P2055="应付",K2055=""),"✗ 这笔要选供应商",IF(AND(P2055="应付",COUNTIF(基础资料!$Q$5:$Q$54,K2055)=0),"✗ 供应商不在基础资料里",IF(AND(P2055="费用",L2055=""),"✗ 费用支出要选费用项目",IF(AND(L2055&lt;&gt;"",COUNTIF(基础资料!$AI$5:$AI$54,L2055)=0),"✗ 费用项目不在基础资料里",IF(AND(IFERROR(INDEX(基础资料!$AD$5:$AD$34,MATCH(O2055,基础资料!$AC$5:$AC$34,0)),"")="收",N(G2055)&lt;&gt;0),"✗ 这类是收款，金额填到收入列",IF(AND(IFERROR(INDEX(基础资料!$AD$5:$AD$34,MATCH(O2055,基础资料!$AC$5:$AC$34,0)),"")="支",N(F2055)&lt;&gt;0),"✗ 这类是付款，金额填到支出列",IF(N(H2055)&lt;0,"⚠ 账户余额成负数了，核对一下","√"))))))))))))))))))</f>
      </c>
      <c r="O2055" s="78">
        <f>IF(D2055&lt;&gt;"",D2055,IF(AND(F2055="",G2055=""),"",IF(J2055&lt;&gt;"",IF(N(F2055)&gt;0,"客户回款","客户退款"),IF(K2055&lt;&gt;"",IF(N(G2055)&gt;0,"供应商付款","供应商退款"),IF(L2055&lt;&gt;"","费用支出","")))))</f>
      </c>
      <c r="P2055" s="78">
        <f>IF(O2055="","",IFERROR(INDEX(基础资料!$AE$5:$AE$34,MATCH(O2055,基础资料!$AC$5:$AC$34,0)),"未知"))</f>
      </c>
      <c r="Q2055" s="78">
        <f>IF(P2055="应收",COUNTIF(P$7:P2055,"应收"),"")</f>
      </c>
      <c r="R2055" s="78">
        <f>IF(P2055="应付",COUNTIF(P$7:P2055,"应付"),"")</f>
      </c>
      <c r="S2055" s="78">
        <f>N(F2055)-N(G2055)</f>
        <v>0</v>
      </c>
    </row>
    <row r="2056">
      <c r="A2056" s="109">
        <f>IF(AND(F2056="",G2056=""),"",ROW()-6)</f>
      </c>
      <c r="B2056" s="140" t="n"/>
      <c r="C2056" s="141" t="n"/>
      <c r="D2056" s="141" t="n"/>
      <c r="E2056" s="142" t="n"/>
      <c r="F2056" s="143" t="n"/>
      <c r="G2056" s="144" t="n"/>
      <c r="H2056" s="145">
        <f>IF(OR(C2056="",AND(F2056="",G2056="")),"",SUMIF(基础资料!$W$5:$W$24,C2056,基础资料!$X$5:$X$24)+SUMIF(C$7:C2056,C2056,F$7:F2056)-SUMIF(C$7:C2056,C2056,G$7:G2056))</f>
      </c>
      <c r="I2056" s="145">
        <f>IF(AND(F2056="",G2056=""),"",SUM(基础资料!$X$5:$X$24)+SUM(F$7:F2056)-SUM(G$7:G2056))</f>
      </c>
      <c r="J2056" s="141" t="n"/>
      <c r="K2056" s="141" t="n"/>
      <c r="L2056" s="141" t="n"/>
      <c r="M2056" s="142" t="n"/>
      <c r="N2056" s="146">
        <f>IF(AND(AND(F2056="",G2056=""),B2056="",C2056="",D2056="",J2056="",K2056="",L2056=""),"",IF(AND(F2056="",G2056=""),"✗ 没填金额",IF(AND(N(F2056)&lt;&gt;0,N(G2056)&lt;&gt;0),"✗ 收入、支出只能填一边",IF(NOT(ISNUMBER(B2056)),"✗ 日期不是真日期（要像 2026/9/25 这样填）",IF(OR(B2056&lt;年初日,B2056&gt;年末日),"✗ 日期不在本会计年度",IF(C2056="","✗ 没选账户",IF(COUNTIF(基础资料!$W$5:$W$24,C2056)=0,"✗ 账户不在基础资料里",IF(O2056="","✗ 没选收支项目",IF(P2056="未知","✗ 收支项目不在基础资料里",IF(AND(P2056="应收",J2056=""),"✗ 这笔要选客户",IF(AND(P2056="应收",COUNTIF(总览汇总!$B$5:$B$304,J2056)=0),"✗ 客户不在总览汇总名单里",IF(AND(P2056="应付",K2056=""),"✗ 这笔要选供应商",IF(AND(P2056="应付",COUNTIF(基础资料!$Q$5:$Q$54,K2056)=0),"✗ 供应商不在基础资料里",IF(AND(P2056="费用",L2056=""),"✗ 费用支出要选费用项目",IF(AND(L2056&lt;&gt;"",COUNTIF(基础资料!$AI$5:$AI$54,L2056)=0),"✗ 费用项目不在基础资料里",IF(AND(IFERROR(INDEX(基础资料!$AD$5:$AD$34,MATCH(O2056,基础资料!$AC$5:$AC$34,0)),"")="收",N(G2056)&lt;&gt;0),"✗ 这类是收款，金额填到收入列",IF(AND(IFERROR(INDEX(基础资料!$AD$5:$AD$34,MATCH(O2056,基础资料!$AC$5:$AC$34,0)),"")="支",N(F2056)&lt;&gt;0),"✗ 这类是付款，金额填到支出列",IF(N(H2056)&lt;0,"⚠ 账户余额成负数了，核对一下","√"))))))))))))))))))</f>
      </c>
      <c r="O2056" s="78">
        <f>IF(D2056&lt;&gt;"",D2056,IF(AND(F2056="",G2056=""),"",IF(J2056&lt;&gt;"",IF(N(F2056)&gt;0,"客户回款","客户退款"),IF(K2056&lt;&gt;"",IF(N(G2056)&gt;0,"供应商付款","供应商退款"),IF(L2056&lt;&gt;"","费用支出","")))))</f>
      </c>
      <c r="P2056" s="78">
        <f>IF(O2056="","",IFERROR(INDEX(基础资料!$AE$5:$AE$34,MATCH(O2056,基础资料!$AC$5:$AC$34,0)),"未知"))</f>
      </c>
      <c r="Q2056" s="78">
        <f>IF(P2056="应收",COUNTIF(P$7:P2056,"应收"),"")</f>
      </c>
      <c r="R2056" s="78">
        <f>IF(P2056="应付",COUNTIF(P$7:P2056,"应付"),"")</f>
      </c>
      <c r="S2056" s="78">
        <f>N(F2056)-N(G2056)</f>
        <v>0</v>
      </c>
    </row>
    <row r="2057">
      <c r="A2057" s="109">
        <f>IF(AND(F2057="",G2057=""),"",ROW()-6)</f>
      </c>
      <c r="B2057" s="140" t="n"/>
      <c r="C2057" s="141" t="n"/>
      <c r="D2057" s="141" t="n"/>
      <c r="E2057" s="142" t="n"/>
      <c r="F2057" s="143" t="n"/>
      <c r="G2057" s="144" t="n"/>
      <c r="H2057" s="145">
        <f>IF(OR(C2057="",AND(F2057="",G2057="")),"",SUMIF(基础资料!$W$5:$W$24,C2057,基础资料!$X$5:$X$24)+SUMIF(C$7:C2057,C2057,F$7:F2057)-SUMIF(C$7:C2057,C2057,G$7:G2057))</f>
      </c>
      <c r="I2057" s="145">
        <f>IF(AND(F2057="",G2057=""),"",SUM(基础资料!$X$5:$X$24)+SUM(F$7:F2057)-SUM(G$7:G2057))</f>
      </c>
      <c r="J2057" s="141" t="n"/>
      <c r="K2057" s="141" t="n"/>
      <c r="L2057" s="141" t="n"/>
      <c r="M2057" s="142" t="n"/>
      <c r="N2057" s="146">
        <f>IF(AND(AND(F2057="",G2057=""),B2057="",C2057="",D2057="",J2057="",K2057="",L2057=""),"",IF(AND(F2057="",G2057=""),"✗ 没填金额",IF(AND(N(F2057)&lt;&gt;0,N(G2057)&lt;&gt;0),"✗ 收入、支出只能填一边",IF(NOT(ISNUMBER(B2057)),"✗ 日期不是真日期（要像 2026/9/25 这样填）",IF(OR(B2057&lt;年初日,B2057&gt;年末日),"✗ 日期不在本会计年度",IF(C2057="","✗ 没选账户",IF(COUNTIF(基础资料!$W$5:$W$24,C2057)=0,"✗ 账户不在基础资料里",IF(O2057="","✗ 没选收支项目",IF(P2057="未知","✗ 收支项目不在基础资料里",IF(AND(P2057="应收",J2057=""),"✗ 这笔要选客户",IF(AND(P2057="应收",COUNTIF(总览汇总!$B$5:$B$304,J2057)=0),"✗ 客户不在总览汇总名单里",IF(AND(P2057="应付",K2057=""),"✗ 这笔要选供应商",IF(AND(P2057="应付",COUNTIF(基础资料!$Q$5:$Q$54,K2057)=0),"✗ 供应商不在基础资料里",IF(AND(P2057="费用",L2057=""),"✗ 费用支出要选费用项目",IF(AND(L2057&lt;&gt;"",COUNTIF(基础资料!$AI$5:$AI$54,L2057)=0),"✗ 费用项目不在基础资料里",IF(AND(IFERROR(INDEX(基础资料!$AD$5:$AD$34,MATCH(O2057,基础资料!$AC$5:$AC$34,0)),"")="收",N(G2057)&lt;&gt;0),"✗ 这类是收款，金额填到收入列",IF(AND(IFERROR(INDEX(基础资料!$AD$5:$AD$34,MATCH(O2057,基础资料!$AC$5:$AC$34,0)),"")="支",N(F2057)&lt;&gt;0),"✗ 这类是付款，金额填到支出列",IF(N(H2057)&lt;0,"⚠ 账户余额成负数了，核对一下","√"))))))))))))))))))</f>
      </c>
      <c r="O2057" s="78">
        <f>IF(D2057&lt;&gt;"",D2057,IF(AND(F2057="",G2057=""),"",IF(J2057&lt;&gt;"",IF(N(F2057)&gt;0,"客户回款","客户退款"),IF(K2057&lt;&gt;"",IF(N(G2057)&gt;0,"供应商付款","供应商退款"),IF(L2057&lt;&gt;"","费用支出","")))))</f>
      </c>
      <c r="P2057" s="78">
        <f>IF(O2057="","",IFERROR(INDEX(基础资料!$AE$5:$AE$34,MATCH(O2057,基础资料!$AC$5:$AC$34,0)),"未知"))</f>
      </c>
      <c r="Q2057" s="78">
        <f>IF(P2057="应收",COUNTIF(P$7:P2057,"应收"),"")</f>
      </c>
      <c r="R2057" s="78">
        <f>IF(P2057="应付",COUNTIF(P$7:P2057,"应付"),"")</f>
      </c>
      <c r="S2057" s="78">
        <f>N(F2057)-N(G2057)</f>
        <v>0</v>
      </c>
    </row>
    <row r="2058">
      <c r="A2058" s="109">
        <f>IF(AND(F2058="",G2058=""),"",ROW()-6)</f>
      </c>
      <c r="B2058" s="140" t="n"/>
      <c r="C2058" s="141" t="n"/>
      <c r="D2058" s="141" t="n"/>
      <c r="E2058" s="142" t="n"/>
      <c r="F2058" s="143" t="n"/>
      <c r="G2058" s="144" t="n"/>
      <c r="H2058" s="145">
        <f>IF(OR(C2058="",AND(F2058="",G2058="")),"",SUMIF(基础资料!$W$5:$W$24,C2058,基础资料!$X$5:$X$24)+SUMIF(C$7:C2058,C2058,F$7:F2058)-SUMIF(C$7:C2058,C2058,G$7:G2058))</f>
      </c>
      <c r="I2058" s="145">
        <f>IF(AND(F2058="",G2058=""),"",SUM(基础资料!$X$5:$X$24)+SUM(F$7:F2058)-SUM(G$7:G2058))</f>
      </c>
      <c r="J2058" s="141" t="n"/>
      <c r="K2058" s="141" t="n"/>
      <c r="L2058" s="141" t="n"/>
      <c r="M2058" s="142" t="n"/>
      <c r="N2058" s="146">
        <f>IF(AND(AND(F2058="",G2058=""),B2058="",C2058="",D2058="",J2058="",K2058="",L2058=""),"",IF(AND(F2058="",G2058=""),"✗ 没填金额",IF(AND(N(F2058)&lt;&gt;0,N(G2058)&lt;&gt;0),"✗ 收入、支出只能填一边",IF(NOT(ISNUMBER(B2058)),"✗ 日期不是真日期（要像 2026/9/25 这样填）",IF(OR(B2058&lt;年初日,B2058&gt;年末日),"✗ 日期不在本会计年度",IF(C2058="","✗ 没选账户",IF(COUNTIF(基础资料!$W$5:$W$24,C2058)=0,"✗ 账户不在基础资料里",IF(O2058="","✗ 没选收支项目",IF(P2058="未知","✗ 收支项目不在基础资料里",IF(AND(P2058="应收",J2058=""),"✗ 这笔要选客户",IF(AND(P2058="应收",COUNTIF(总览汇总!$B$5:$B$304,J2058)=0),"✗ 客户不在总览汇总名单里",IF(AND(P2058="应付",K2058=""),"✗ 这笔要选供应商",IF(AND(P2058="应付",COUNTIF(基础资料!$Q$5:$Q$54,K2058)=0),"✗ 供应商不在基础资料里",IF(AND(P2058="费用",L2058=""),"✗ 费用支出要选费用项目",IF(AND(L2058&lt;&gt;"",COUNTIF(基础资料!$AI$5:$AI$54,L2058)=0),"✗ 费用项目不在基础资料里",IF(AND(IFERROR(INDEX(基础资料!$AD$5:$AD$34,MATCH(O2058,基础资料!$AC$5:$AC$34,0)),"")="收",N(G2058)&lt;&gt;0),"✗ 这类是收款，金额填到收入列",IF(AND(IFERROR(INDEX(基础资料!$AD$5:$AD$34,MATCH(O2058,基础资料!$AC$5:$AC$34,0)),"")="支",N(F2058)&lt;&gt;0),"✗ 这类是付款，金额填到支出列",IF(N(H2058)&lt;0,"⚠ 账户余额成负数了，核对一下","√"))))))))))))))))))</f>
      </c>
      <c r="O2058" s="78">
        <f>IF(D2058&lt;&gt;"",D2058,IF(AND(F2058="",G2058=""),"",IF(J2058&lt;&gt;"",IF(N(F2058)&gt;0,"客户回款","客户退款"),IF(K2058&lt;&gt;"",IF(N(G2058)&gt;0,"供应商付款","供应商退款"),IF(L2058&lt;&gt;"","费用支出","")))))</f>
      </c>
      <c r="P2058" s="78">
        <f>IF(O2058="","",IFERROR(INDEX(基础资料!$AE$5:$AE$34,MATCH(O2058,基础资料!$AC$5:$AC$34,0)),"未知"))</f>
      </c>
      <c r="Q2058" s="78">
        <f>IF(P2058="应收",COUNTIF(P$7:P2058,"应收"),"")</f>
      </c>
      <c r="R2058" s="78">
        <f>IF(P2058="应付",COUNTIF(P$7:P2058,"应付"),"")</f>
      </c>
      <c r="S2058" s="78">
        <f>N(F2058)-N(G2058)</f>
        <v>0</v>
      </c>
    </row>
    <row r="2059">
      <c r="A2059" s="109">
        <f>IF(AND(F2059="",G2059=""),"",ROW()-6)</f>
      </c>
      <c r="B2059" s="140" t="n"/>
      <c r="C2059" s="141" t="n"/>
      <c r="D2059" s="141" t="n"/>
      <c r="E2059" s="142" t="n"/>
      <c r="F2059" s="143" t="n"/>
      <c r="G2059" s="144" t="n"/>
      <c r="H2059" s="145">
        <f>IF(OR(C2059="",AND(F2059="",G2059="")),"",SUMIF(基础资料!$W$5:$W$24,C2059,基础资料!$X$5:$X$24)+SUMIF(C$7:C2059,C2059,F$7:F2059)-SUMIF(C$7:C2059,C2059,G$7:G2059))</f>
      </c>
      <c r="I2059" s="145">
        <f>IF(AND(F2059="",G2059=""),"",SUM(基础资料!$X$5:$X$24)+SUM(F$7:F2059)-SUM(G$7:G2059))</f>
      </c>
      <c r="J2059" s="141" t="n"/>
      <c r="K2059" s="141" t="n"/>
      <c r="L2059" s="141" t="n"/>
      <c r="M2059" s="142" t="n"/>
      <c r="N2059" s="146">
        <f>IF(AND(AND(F2059="",G2059=""),B2059="",C2059="",D2059="",J2059="",K2059="",L2059=""),"",IF(AND(F2059="",G2059=""),"✗ 没填金额",IF(AND(N(F2059)&lt;&gt;0,N(G2059)&lt;&gt;0),"✗ 收入、支出只能填一边",IF(NOT(ISNUMBER(B2059)),"✗ 日期不是真日期（要像 2026/9/25 这样填）",IF(OR(B2059&lt;年初日,B2059&gt;年末日),"✗ 日期不在本会计年度",IF(C2059="","✗ 没选账户",IF(COUNTIF(基础资料!$W$5:$W$24,C2059)=0,"✗ 账户不在基础资料里",IF(O2059="","✗ 没选收支项目",IF(P2059="未知","✗ 收支项目不在基础资料里",IF(AND(P2059="应收",J2059=""),"✗ 这笔要选客户",IF(AND(P2059="应收",COUNTIF(总览汇总!$B$5:$B$304,J2059)=0),"✗ 客户不在总览汇总名单里",IF(AND(P2059="应付",K2059=""),"✗ 这笔要选供应商",IF(AND(P2059="应付",COUNTIF(基础资料!$Q$5:$Q$54,K2059)=0),"✗ 供应商不在基础资料里",IF(AND(P2059="费用",L2059=""),"✗ 费用支出要选费用项目",IF(AND(L2059&lt;&gt;"",COUNTIF(基础资料!$AI$5:$AI$54,L2059)=0),"✗ 费用项目不在基础资料里",IF(AND(IFERROR(INDEX(基础资料!$AD$5:$AD$34,MATCH(O2059,基础资料!$AC$5:$AC$34,0)),"")="收",N(G2059)&lt;&gt;0),"✗ 这类是收款，金额填到收入列",IF(AND(IFERROR(INDEX(基础资料!$AD$5:$AD$34,MATCH(O2059,基础资料!$AC$5:$AC$34,0)),"")="支",N(F2059)&lt;&gt;0),"✗ 这类是付款，金额填到支出列",IF(N(H2059)&lt;0,"⚠ 账户余额成负数了，核对一下","√"))))))))))))))))))</f>
      </c>
      <c r="O2059" s="78">
        <f>IF(D2059&lt;&gt;"",D2059,IF(AND(F2059="",G2059=""),"",IF(J2059&lt;&gt;"",IF(N(F2059)&gt;0,"客户回款","客户退款"),IF(K2059&lt;&gt;"",IF(N(G2059)&gt;0,"供应商付款","供应商退款"),IF(L2059&lt;&gt;"","费用支出","")))))</f>
      </c>
      <c r="P2059" s="78">
        <f>IF(O2059="","",IFERROR(INDEX(基础资料!$AE$5:$AE$34,MATCH(O2059,基础资料!$AC$5:$AC$34,0)),"未知"))</f>
      </c>
      <c r="Q2059" s="78">
        <f>IF(P2059="应收",COUNTIF(P$7:P2059,"应收"),"")</f>
      </c>
      <c r="R2059" s="78">
        <f>IF(P2059="应付",COUNTIF(P$7:P2059,"应付"),"")</f>
      </c>
      <c r="S2059" s="78">
        <f>N(F2059)-N(G2059)</f>
        <v>0</v>
      </c>
    </row>
    <row r="2060">
      <c r="A2060" s="109">
        <f>IF(AND(F2060="",G2060=""),"",ROW()-6)</f>
      </c>
      <c r="B2060" s="140" t="n"/>
      <c r="C2060" s="141" t="n"/>
      <c r="D2060" s="141" t="n"/>
      <c r="E2060" s="142" t="n"/>
      <c r="F2060" s="143" t="n"/>
      <c r="G2060" s="144" t="n"/>
      <c r="H2060" s="145">
        <f>IF(OR(C2060="",AND(F2060="",G2060="")),"",SUMIF(基础资料!$W$5:$W$24,C2060,基础资料!$X$5:$X$24)+SUMIF(C$7:C2060,C2060,F$7:F2060)-SUMIF(C$7:C2060,C2060,G$7:G2060))</f>
      </c>
      <c r="I2060" s="145">
        <f>IF(AND(F2060="",G2060=""),"",SUM(基础资料!$X$5:$X$24)+SUM(F$7:F2060)-SUM(G$7:G2060))</f>
      </c>
      <c r="J2060" s="141" t="n"/>
      <c r="K2060" s="141" t="n"/>
      <c r="L2060" s="141" t="n"/>
      <c r="M2060" s="142" t="n"/>
      <c r="N2060" s="146">
        <f>IF(AND(AND(F2060="",G2060=""),B2060="",C2060="",D2060="",J2060="",K2060="",L2060=""),"",IF(AND(F2060="",G2060=""),"✗ 没填金额",IF(AND(N(F2060)&lt;&gt;0,N(G2060)&lt;&gt;0),"✗ 收入、支出只能填一边",IF(NOT(ISNUMBER(B2060)),"✗ 日期不是真日期（要像 2026/9/25 这样填）",IF(OR(B2060&lt;年初日,B2060&gt;年末日),"✗ 日期不在本会计年度",IF(C2060="","✗ 没选账户",IF(COUNTIF(基础资料!$W$5:$W$24,C2060)=0,"✗ 账户不在基础资料里",IF(O2060="","✗ 没选收支项目",IF(P2060="未知","✗ 收支项目不在基础资料里",IF(AND(P2060="应收",J2060=""),"✗ 这笔要选客户",IF(AND(P2060="应收",COUNTIF(总览汇总!$B$5:$B$304,J2060)=0),"✗ 客户不在总览汇总名单里",IF(AND(P2060="应付",K2060=""),"✗ 这笔要选供应商",IF(AND(P2060="应付",COUNTIF(基础资料!$Q$5:$Q$54,K2060)=0),"✗ 供应商不在基础资料里",IF(AND(P2060="费用",L2060=""),"✗ 费用支出要选费用项目",IF(AND(L2060&lt;&gt;"",COUNTIF(基础资料!$AI$5:$AI$54,L2060)=0),"✗ 费用项目不在基础资料里",IF(AND(IFERROR(INDEX(基础资料!$AD$5:$AD$34,MATCH(O2060,基础资料!$AC$5:$AC$34,0)),"")="收",N(G2060)&lt;&gt;0),"✗ 这类是收款，金额填到收入列",IF(AND(IFERROR(INDEX(基础资料!$AD$5:$AD$34,MATCH(O2060,基础资料!$AC$5:$AC$34,0)),"")="支",N(F2060)&lt;&gt;0),"✗ 这类是付款，金额填到支出列",IF(N(H2060)&lt;0,"⚠ 账户余额成负数了，核对一下","√"))))))))))))))))))</f>
      </c>
      <c r="O2060" s="78">
        <f>IF(D2060&lt;&gt;"",D2060,IF(AND(F2060="",G2060=""),"",IF(J2060&lt;&gt;"",IF(N(F2060)&gt;0,"客户回款","客户退款"),IF(K2060&lt;&gt;"",IF(N(G2060)&gt;0,"供应商付款","供应商退款"),IF(L2060&lt;&gt;"","费用支出","")))))</f>
      </c>
      <c r="P2060" s="78">
        <f>IF(O2060="","",IFERROR(INDEX(基础资料!$AE$5:$AE$34,MATCH(O2060,基础资料!$AC$5:$AC$34,0)),"未知"))</f>
      </c>
      <c r="Q2060" s="78">
        <f>IF(P2060="应收",COUNTIF(P$7:P2060,"应收"),"")</f>
      </c>
      <c r="R2060" s="78">
        <f>IF(P2060="应付",COUNTIF(P$7:P2060,"应付"),"")</f>
      </c>
      <c r="S2060" s="78">
        <f>N(F2060)-N(G2060)</f>
        <v>0</v>
      </c>
    </row>
    <row r="2061">
      <c r="A2061" s="109">
        <f>IF(AND(F2061="",G2061=""),"",ROW()-6)</f>
      </c>
      <c r="B2061" s="140" t="n"/>
      <c r="C2061" s="141" t="n"/>
      <c r="D2061" s="141" t="n"/>
      <c r="E2061" s="142" t="n"/>
      <c r="F2061" s="143" t="n"/>
      <c r="G2061" s="144" t="n"/>
      <c r="H2061" s="145">
        <f>IF(OR(C2061="",AND(F2061="",G2061="")),"",SUMIF(基础资料!$W$5:$W$24,C2061,基础资料!$X$5:$X$24)+SUMIF(C$7:C2061,C2061,F$7:F2061)-SUMIF(C$7:C2061,C2061,G$7:G2061))</f>
      </c>
      <c r="I2061" s="145">
        <f>IF(AND(F2061="",G2061=""),"",SUM(基础资料!$X$5:$X$24)+SUM(F$7:F2061)-SUM(G$7:G2061))</f>
      </c>
      <c r="J2061" s="141" t="n"/>
      <c r="K2061" s="141" t="n"/>
      <c r="L2061" s="141" t="n"/>
      <c r="M2061" s="142" t="n"/>
      <c r="N2061" s="146">
        <f>IF(AND(AND(F2061="",G2061=""),B2061="",C2061="",D2061="",J2061="",K2061="",L2061=""),"",IF(AND(F2061="",G2061=""),"✗ 没填金额",IF(AND(N(F2061)&lt;&gt;0,N(G2061)&lt;&gt;0),"✗ 收入、支出只能填一边",IF(NOT(ISNUMBER(B2061)),"✗ 日期不是真日期（要像 2026/9/25 这样填）",IF(OR(B2061&lt;年初日,B2061&gt;年末日),"✗ 日期不在本会计年度",IF(C2061="","✗ 没选账户",IF(COUNTIF(基础资料!$W$5:$W$24,C2061)=0,"✗ 账户不在基础资料里",IF(O2061="","✗ 没选收支项目",IF(P2061="未知","✗ 收支项目不在基础资料里",IF(AND(P2061="应收",J2061=""),"✗ 这笔要选客户",IF(AND(P2061="应收",COUNTIF(总览汇总!$B$5:$B$304,J2061)=0),"✗ 客户不在总览汇总名单里",IF(AND(P2061="应付",K2061=""),"✗ 这笔要选供应商",IF(AND(P2061="应付",COUNTIF(基础资料!$Q$5:$Q$54,K2061)=0),"✗ 供应商不在基础资料里",IF(AND(P2061="费用",L2061=""),"✗ 费用支出要选费用项目",IF(AND(L2061&lt;&gt;"",COUNTIF(基础资料!$AI$5:$AI$54,L2061)=0),"✗ 费用项目不在基础资料里",IF(AND(IFERROR(INDEX(基础资料!$AD$5:$AD$34,MATCH(O2061,基础资料!$AC$5:$AC$34,0)),"")="收",N(G2061)&lt;&gt;0),"✗ 这类是收款，金额填到收入列",IF(AND(IFERROR(INDEX(基础资料!$AD$5:$AD$34,MATCH(O2061,基础资料!$AC$5:$AC$34,0)),"")="支",N(F2061)&lt;&gt;0),"✗ 这类是付款，金额填到支出列",IF(N(H2061)&lt;0,"⚠ 账户余额成负数了，核对一下","√"))))))))))))))))))</f>
      </c>
      <c r="O2061" s="78">
        <f>IF(D2061&lt;&gt;"",D2061,IF(AND(F2061="",G2061=""),"",IF(J2061&lt;&gt;"",IF(N(F2061)&gt;0,"客户回款","客户退款"),IF(K2061&lt;&gt;"",IF(N(G2061)&gt;0,"供应商付款","供应商退款"),IF(L2061&lt;&gt;"","费用支出","")))))</f>
      </c>
      <c r="P2061" s="78">
        <f>IF(O2061="","",IFERROR(INDEX(基础资料!$AE$5:$AE$34,MATCH(O2061,基础资料!$AC$5:$AC$34,0)),"未知"))</f>
      </c>
      <c r="Q2061" s="78">
        <f>IF(P2061="应收",COUNTIF(P$7:P2061,"应收"),"")</f>
      </c>
      <c r="R2061" s="78">
        <f>IF(P2061="应付",COUNTIF(P$7:P2061,"应付"),"")</f>
      </c>
      <c r="S2061" s="78">
        <f>N(F2061)-N(G2061)</f>
        <v>0</v>
      </c>
    </row>
    <row r="2062">
      <c r="A2062" s="109">
        <f>IF(AND(F2062="",G2062=""),"",ROW()-6)</f>
      </c>
      <c r="B2062" s="140" t="n"/>
      <c r="C2062" s="141" t="n"/>
      <c r="D2062" s="141" t="n"/>
      <c r="E2062" s="142" t="n"/>
      <c r="F2062" s="143" t="n"/>
      <c r="G2062" s="144" t="n"/>
      <c r="H2062" s="145">
        <f>IF(OR(C2062="",AND(F2062="",G2062="")),"",SUMIF(基础资料!$W$5:$W$24,C2062,基础资料!$X$5:$X$24)+SUMIF(C$7:C2062,C2062,F$7:F2062)-SUMIF(C$7:C2062,C2062,G$7:G2062))</f>
      </c>
      <c r="I2062" s="145">
        <f>IF(AND(F2062="",G2062=""),"",SUM(基础资料!$X$5:$X$24)+SUM(F$7:F2062)-SUM(G$7:G2062))</f>
      </c>
      <c r="J2062" s="141" t="n"/>
      <c r="K2062" s="141" t="n"/>
      <c r="L2062" s="141" t="n"/>
      <c r="M2062" s="142" t="n"/>
      <c r="N2062" s="146">
        <f>IF(AND(AND(F2062="",G2062=""),B2062="",C2062="",D2062="",J2062="",K2062="",L2062=""),"",IF(AND(F2062="",G2062=""),"✗ 没填金额",IF(AND(N(F2062)&lt;&gt;0,N(G2062)&lt;&gt;0),"✗ 收入、支出只能填一边",IF(NOT(ISNUMBER(B2062)),"✗ 日期不是真日期（要像 2026/9/25 这样填）",IF(OR(B2062&lt;年初日,B2062&gt;年末日),"✗ 日期不在本会计年度",IF(C2062="","✗ 没选账户",IF(COUNTIF(基础资料!$W$5:$W$24,C2062)=0,"✗ 账户不在基础资料里",IF(O2062="","✗ 没选收支项目",IF(P2062="未知","✗ 收支项目不在基础资料里",IF(AND(P2062="应收",J2062=""),"✗ 这笔要选客户",IF(AND(P2062="应收",COUNTIF(总览汇总!$B$5:$B$304,J2062)=0),"✗ 客户不在总览汇总名单里",IF(AND(P2062="应付",K2062=""),"✗ 这笔要选供应商",IF(AND(P2062="应付",COUNTIF(基础资料!$Q$5:$Q$54,K2062)=0),"✗ 供应商不在基础资料里",IF(AND(P2062="费用",L2062=""),"✗ 费用支出要选费用项目",IF(AND(L2062&lt;&gt;"",COUNTIF(基础资料!$AI$5:$AI$54,L2062)=0),"✗ 费用项目不在基础资料里",IF(AND(IFERROR(INDEX(基础资料!$AD$5:$AD$34,MATCH(O2062,基础资料!$AC$5:$AC$34,0)),"")="收",N(G2062)&lt;&gt;0),"✗ 这类是收款，金额填到收入列",IF(AND(IFERROR(INDEX(基础资料!$AD$5:$AD$34,MATCH(O2062,基础资料!$AC$5:$AC$34,0)),"")="支",N(F2062)&lt;&gt;0),"✗ 这类是付款，金额填到支出列",IF(N(H2062)&lt;0,"⚠ 账户余额成负数了，核对一下","√"))))))))))))))))))</f>
      </c>
      <c r="O2062" s="78">
        <f>IF(D2062&lt;&gt;"",D2062,IF(AND(F2062="",G2062=""),"",IF(J2062&lt;&gt;"",IF(N(F2062)&gt;0,"客户回款","客户退款"),IF(K2062&lt;&gt;"",IF(N(G2062)&gt;0,"供应商付款","供应商退款"),IF(L2062&lt;&gt;"","费用支出","")))))</f>
      </c>
      <c r="P2062" s="78">
        <f>IF(O2062="","",IFERROR(INDEX(基础资料!$AE$5:$AE$34,MATCH(O2062,基础资料!$AC$5:$AC$34,0)),"未知"))</f>
      </c>
      <c r="Q2062" s="78">
        <f>IF(P2062="应收",COUNTIF(P$7:P2062,"应收"),"")</f>
      </c>
      <c r="R2062" s="78">
        <f>IF(P2062="应付",COUNTIF(P$7:P2062,"应付"),"")</f>
      </c>
      <c r="S2062" s="78">
        <f>N(F2062)-N(G2062)</f>
        <v>0</v>
      </c>
    </row>
    <row r="2063">
      <c r="A2063" s="109">
        <f>IF(AND(F2063="",G2063=""),"",ROW()-6)</f>
      </c>
      <c r="B2063" s="140" t="n"/>
      <c r="C2063" s="141" t="n"/>
      <c r="D2063" s="141" t="n"/>
      <c r="E2063" s="142" t="n"/>
      <c r="F2063" s="143" t="n"/>
      <c r="G2063" s="144" t="n"/>
      <c r="H2063" s="145">
        <f>IF(OR(C2063="",AND(F2063="",G2063="")),"",SUMIF(基础资料!$W$5:$W$24,C2063,基础资料!$X$5:$X$24)+SUMIF(C$7:C2063,C2063,F$7:F2063)-SUMIF(C$7:C2063,C2063,G$7:G2063))</f>
      </c>
      <c r="I2063" s="145">
        <f>IF(AND(F2063="",G2063=""),"",SUM(基础资料!$X$5:$X$24)+SUM(F$7:F2063)-SUM(G$7:G2063))</f>
      </c>
      <c r="J2063" s="141" t="n"/>
      <c r="K2063" s="141" t="n"/>
      <c r="L2063" s="141" t="n"/>
      <c r="M2063" s="142" t="n"/>
      <c r="N2063" s="146">
        <f>IF(AND(AND(F2063="",G2063=""),B2063="",C2063="",D2063="",J2063="",K2063="",L2063=""),"",IF(AND(F2063="",G2063=""),"✗ 没填金额",IF(AND(N(F2063)&lt;&gt;0,N(G2063)&lt;&gt;0),"✗ 收入、支出只能填一边",IF(NOT(ISNUMBER(B2063)),"✗ 日期不是真日期（要像 2026/9/25 这样填）",IF(OR(B2063&lt;年初日,B2063&gt;年末日),"✗ 日期不在本会计年度",IF(C2063="","✗ 没选账户",IF(COUNTIF(基础资料!$W$5:$W$24,C2063)=0,"✗ 账户不在基础资料里",IF(O2063="","✗ 没选收支项目",IF(P2063="未知","✗ 收支项目不在基础资料里",IF(AND(P2063="应收",J2063=""),"✗ 这笔要选客户",IF(AND(P2063="应收",COUNTIF(总览汇总!$B$5:$B$304,J2063)=0),"✗ 客户不在总览汇总名单里",IF(AND(P2063="应付",K2063=""),"✗ 这笔要选供应商",IF(AND(P2063="应付",COUNTIF(基础资料!$Q$5:$Q$54,K2063)=0),"✗ 供应商不在基础资料里",IF(AND(P2063="费用",L2063=""),"✗ 费用支出要选费用项目",IF(AND(L2063&lt;&gt;"",COUNTIF(基础资料!$AI$5:$AI$54,L2063)=0),"✗ 费用项目不在基础资料里",IF(AND(IFERROR(INDEX(基础资料!$AD$5:$AD$34,MATCH(O2063,基础资料!$AC$5:$AC$34,0)),"")="收",N(G2063)&lt;&gt;0),"✗ 这类是收款，金额填到收入列",IF(AND(IFERROR(INDEX(基础资料!$AD$5:$AD$34,MATCH(O2063,基础资料!$AC$5:$AC$34,0)),"")="支",N(F2063)&lt;&gt;0),"✗ 这类是付款，金额填到支出列",IF(N(H2063)&lt;0,"⚠ 账户余额成负数了，核对一下","√"))))))))))))))))))</f>
      </c>
      <c r="O2063" s="78">
        <f>IF(D2063&lt;&gt;"",D2063,IF(AND(F2063="",G2063=""),"",IF(J2063&lt;&gt;"",IF(N(F2063)&gt;0,"客户回款","客户退款"),IF(K2063&lt;&gt;"",IF(N(G2063)&gt;0,"供应商付款","供应商退款"),IF(L2063&lt;&gt;"","费用支出","")))))</f>
      </c>
      <c r="P2063" s="78">
        <f>IF(O2063="","",IFERROR(INDEX(基础资料!$AE$5:$AE$34,MATCH(O2063,基础资料!$AC$5:$AC$34,0)),"未知"))</f>
      </c>
      <c r="Q2063" s="78">
        <f>IF(P2063="应收",COUNTIF(P$7:P2063,"应收"),"")</f>
      </c>
      <c r="R2063" s="78">
        <f>IF(P2063="应付",COUNTIF(P$7:P2063,"应付"),"")</f>
      </c>
      <c r="S2063" s="78">
        <f>N(F2063)-N(G2063)</f>
        <v>0</v>
      </c>
    </row>
    <row r="2064">
      <c r="A2064" s="109">
        <f>IF(AND(F2064="",G2064=""),"",ROW()-6)</f>
      </c>
      <c r="B2064" s="140" t="n"/>
      <c r="C2064" s="141" t="n"/>
      <c r="D2064" s="141" t="n"/>
      <c r="E2064" s="142" t="n"/>
      <c r="F2064" s="143" t="n"/>
      <c r="G2064" s="144" t="n"/>
      <c r="H2064" s="145">
        <f>IF(OR(C2064="",AND(F2064="",G2064="")),"",SUMIF(基础资料!$W$5:$W$24,C2064,基础资料!$X$5:$X$24)+SUMIF(C$7:C2064,C2064,F$7:F2064)-SUMIF(C$7:C2064,C2064,G$7:G2064))</f>
      </c>
      <c r="I2064" s="145">
        <f>IF(AND(F2064="",G2064=""),"",SUM(基础资料!$X$5:$X$24)+SUM(F$7:F2064)-SUM(G$7:G2064))</f>
      </c>
      <c r="J2064" s="141" t="n"/>
      <c r="K2064" s="141" t="n"/>
      <c r="L2064" s="141" t="n"/>
      <c r="M2064" s="142" t="n"/>
      <c r="N2064" s="146">
        <f>IF(AND(AND(F2064="",G2064=""),B2064="",C2064="",D2064="",J2064="",K2064="",L2064=""),"",IF(AND(F2064="",G2064=""),"✗ 没填金额",IF(AND(N(F2064)&lt;&gt;0,N(G2064)&lt;&gt;0),"✗ 收入、支出只能填一边",IF(NOT(ISNUMBER(B2064)),"✗ 日期不是真日期（要像 2026/9/25 这样填）",IF(OR(B2064&lt;年初日,B2064&gt;年末日),"✗ 日期不在本会计年度",IF(C2064="","✗ 没选账户",IF(COUNTIF(基础资料!$W$5:$W$24,C2064)=0,"✗ 账户不在基础资料里",IF(O2064="","✗ 没选收支项目",IF(P2064="未知","✗ 收支项目不在基础资料里",IF(AND(P2064="应收",J2064=""),"✗ 这笔要选客户",IF(AND(P2064="应收",COUNTIF(总览汇总!$B$5:$B$304,J2064)=0),"✗ 客户不在总览汇总名单里",IF(AND(P2064="应付",K2064=""),"✗ 这笔要选供应商",IF(AND(P2064="应付",COUNTIF(基础资料!$Q$5:$Q$54,K2064)=0),"✗ 供应商不在基础资料里",IF(AND(P2064="费用",L2064=""),"✗ 费用支出要选费用项目",IF(AND(L2064&lt;&gt;"",COUNTIF(基础资料!$AI$5:$AI$54,L2064)=0),"✗ 费用项目不在基础资料里",IF(AND(IFERROR(INDEX(基础资料!$AD$5:$AD$34,MATCH(O2064,基础资料!$AC$5:$AC$34,0)),"")="收",N(G2064)&lt;&gt;0),"✗ 这类是收款，金额填到收入列",IF(AND(IFERROR(INDEX(基础资料!$AD$5:$AD$34,MATCH(O2064,基础资料!$AC$5:$AC$34,0)),"")="支",N(F2064)&lt;&gt;0),"✗ 这类是付款，金额填到支出列",IF(N(H2064)&lt;0,"⚠ 账户余额成负数了，核对一下","√"))))))))))))))))))</f>
      </c>
      <c r="O2064" s="78">
        <f>IF(D2064&lt;&gt;"",D2064,IF(AND(F2064="",G2064=""),"",IF(J2064&lt;&gt;"",IF(N(F2064)&gt;0,"客户回款","客户退款"),IF(K2064&lt;&gt;"",IF(N(G2064)&gt;0,"供应商付款","供应商退款"),IF(L2064&lt;&gt;"","费用支出","")))))</f>
      </c>
      <c r="P2064" s="78">
        <f>IF(O2064="","",IFERROR(INDEX(基础资料!$AE$5:$AE$34,MATCH(O2064,基础资料!$AC$5:$AC$34,0)),"未知"))</f>
      </c>
      <c r="Q2064" s="78">
        <f>IF(P2064="应收",COUNTIF(P$7:P2064,"应收"),"")</f>
      </c>
      <c r="R2064" s="78">
        <f>IF(P2064="应付",COUNTIF(P$7:P2064,"应付"),"")</f>
      </c>
      <c r="S2064" s="78">
        <f>N(F2064)-N(G2064)</f>
        <v>0</v>
      </c>
    </row>
    <row r="2065">
      <c r="A2065" s="109">
        <f>IF(AND(F2065="",G2065=""),"",ROW()-6)</f>
      </c>
      <c r="B2065" s="140" t="n"/>
      <c r="C2065" s="141" t="n"/>
      <c r="D2065" s="141" t="n"/>
      <c r="E2065" s="142" t="n"/>
      <c r="F2065" s="143" t="n"/>
      <c r="G2065" s="144" t="n"/>
      <c r="H2065" s="145">
        <f>IF(OR(C2065="",AND(F2065="",G2065="")),"",SUMIF(基础资料!$W$5:$W$24,C2065,基础资料!$X$5:$X$24)+SUMIF(C$7:C2065,C2065,F$7:F2065)-SUMIF(C$7:C2065,C2065,G$7:G2065))</f>
      </c>
      <c r="I2065" s="145">
        <f>IF(AND(F2065="",G2065=""),"",SUM(基础资料!$X$5:$X$24)+SUM(F$7:F2065)-SUM(G$7:G2065))</f>
      </c>
      <c r="J2065" s="141" t="n"/>
      <c r="K2065" s="141" t="n"/>
      <c r="L2065" s="141" t="n"/>
      <c r="M2065" s="142" t="n"/>
      <c r="N2065" s="146">
        <f>IF(AND(AND(F2065="",G2065=""),B2065="",C2065="",D2065="",J2065="",K2065="",L2065=""),"",IF(AND(F2065="",G2065=""),"✗ 没填金额",IF(AND(N(F2065)&lt;&gt;0,N(G2065)&lt;&gt;0),"✗ 收入、支出只能填一边",IF(NOT(ISNUMBER(B2065)),"✗ 日期不是真日期（要像 2026/9/25 这样填）",IF(OR(B2065&lt;年初日,B2065&gt;年末日),"✗ 日期不在本会计年度",IF(C2065="","✗ 没选账户",IF(COUNTIF(基础资料!$W$5:$W$24,C2065)=0,"✗ 账户不在基础资料里",IF(O2065="","✗ 没选收支项目",IF(P2065="未知","✗ 收支项目不在基础资料里",IF(AND(P2065="应收",J2065=""),"✗ 这笔要选客户",IF(AND(P2065="应收",COUNTIF(总览汇总!$B$5:$B$304,J2065)=0),"✗ 客户不在总览汇总名单里",IF(AND(P2065="应付",K2065=""),"✗ 这笔要选供应商",IF(AND(P2065="应付",COUNTIF(基础资料!$Q$5:$Q$54,K2065)=0),"✗ 供应商不在基础资料里",IF(AND(P2065="费用",L2065=""),"✗ 费用支出要选费用项目",IF(AND(L2065&lt;&gt;"",COUNTIF(基础资料!$AI$5:$AI$54,L2065)=0),"✗ 费用项目不在基础资料里",IF(AND(IFERROR(INDEX(基础资料!$AD$5:$AD$34,MATCH(O2065,基础资料!$AC$5:$AC$34,0)),"")="收",N(G2065)&lt;&gt;0),"✗ 这类是收款，金额填到收入列",IF(AND(IFERROR(INDEX(基础资料!$AD$5:$AD$34,MATCH(O2065,基础资料!$AC$5:$AC$34,0)),"")="支",N(F2065)&lt;&gt;0),"✗ 这类是付款，金额填到支出列",IF(N(H2065)&lt;0,"⚠ 账户余额成负数了，核对一下","√"))))))))))))))))))</f>
      </c>
      <c r="O2065" s="78">
        <f>IF(D2065&lt;&gt;"",D2065,IF(AND(F2065="",G2065=""),"",IF(J2065&lt;&gt;"",IF(N(F2065)&gt;0,"客户回款","客户退款"),IF(K2065&lt;&gt;"",IF(N(G2065)&gt;0,"供应商付款","供应商退款"),IF(L2065&lt;&gt;"","费用支出","")))))</f>
      </c>
      <c r="P2065" s="78">
        <f>IF(O2065="","",IFERROR(INDEX(基础资料!$AE$5:$AE$34,MATCH(O2065,基础资料!$AC$5:$AC$34,0)),"未知"))</f>
      </c>
      <c r="Q2065" s="78">
        <f>IF(P2065="应收",COUNTIF(P$7:P2065,"应收"),"")</f>
      </c>
      <c r="R2065" s="78">
        <f>IF(P2065="应付",COUNTIF(P$7:P2065,"应付"),"")</f>
      </c>
      <c r="S2065" s="78">
        <f>N(F2065)-N(G2065)</f>
        <v>0</v>
      </c>
    </row>
    <row r="2066">
      <c r="A2066" s="109">
        <f>IF(AND(F2066="",G2066=""),"",ROW()-6)</f>
      </c>
      <c r="B2066" s="140" t="n"/>
      <c r="C2066" s="141" t="n"/>
      <c r="D2066" s="141" t="n"/>
      <c r="E2066" s="142" t="n"/>
      <c r="F2066" s="143" t="n"/>
      <c r="G2066" s="144" t="n"/>
      <c r="H2066" s="145">
        <f>IF(OR(C2066="",AND(F2066="",G2066="")),"",SUMIF(基础资料!$W$5:$W$24,C2066,基础资料!$X$5:$X$24)+SUMIF(C$7:C2066,C2066,F$7:F2066)-SUMIF(C$7:C2066,C2066,G$7:G2066))</f>
      </c>
      <c r="I2066" s="145">
        <f>IF(AND(F2066="",G2066=""),"",SUM(基础资料!$X$5:$X$24)+SUM(F$7:F2066)-SUM(G$7:G2066))</f>
      </c>
      <c r="J2066" s="141" t="n"/>
      <c r="K2066" s="141" t="n"/>
      <c r="L2066" s="141" t="n"/>
      <c r="M2066" s="142" t="n"/>
      <c r="N2066" s="146">
        <f>IF(AND(AND(F2066="",G2066=""),B2066="",C2066="",D2066="",J2066="",K2066="",L2066=""),"",IF(AND(F2066="",G2066=""),"✗ 没填金额",IF(AND(N(F2066)&lt;&gt;0,N(G2066)&lt;&gt;0),"✗ 收入、支出只能填一边",IF(NOT(ISNUMBER(B2066)),"✗ 日期不是真日期（要像 2026/9/25 这样填）",IF(OR(B2066&lt;年初日,B2066&gt;年末日),"✗ 日期不在本会计年度",IF(C2066="","✗ 没选账户",IF(COUNTIF(基础资料!$W$5:$W$24,C2066)=0,"✗ 账户不在基础资料里",IF(O2066="","✗ 没选收支项目",IF(P2066="未知","✗ 收支项目不在基础资料里",IF(AND(P2066="应收",J2066=""),"✗ 这笔要选客户",IF(AND(P2066="应收",COUNTIF(总览汇总!$B$5:$B$304,J2066)=0),"✗ 客户不在总览汇总名单里",IF(AND(P2066="应付",K2066=""),"✗ 这笔要选供应商",IF(AND(P2066="应付",COUNTIF(基础资料!$Q$5:$Q$54,K2066)=0),"✗ 供应商不在基础资料里",IF(AND(P2066="费用",L2066=""),"✗ 费用支出要选费用项目",IF(AND(L2066&lt;&gt;"",COUNTIF(基础资料!$AI$5:$AI$54,L2066)=0),"✗ 费用项目不在基础资料里",IF(AND(IFERROR(INDEX(基础资料!$AD$5:$AD$34,MATCH(O2066,基础资料!$AC$5:$AC$34,0)),"")="收",N(G2066)&lt;&gt;0),"✗ 这类是收款，金额填到收入列",IF(AND(IFERROR(INDEX(基础资料!$AD$5:$AD$34,MATCH(O2066,基础资料!$AC$5:$AC$34,0)),"")="支",N(F2066)&lt;&gt;0),"✗ 这类是付款，金额填到支出列",IF(N(H2066)&lt;0,"⚠ 账户余额成负数了，核对一下","√"))))))))))))))))))</f>
      </c>
      <c r="O2066" s="78">
        <f>IF(D2066&lt;&gt;"",D2066,IF(AND(F2066="",G2066=""),"",IF(J2066&lt;&gt;"",IF(N(F2066)&gt;0,"客户回款","客户退款"),IF(K2066&lt;&gt;"",IF(N(G2066)&gt;0,"供应商付款","供应商退款"),IF(L2066&lt;&gt;"","费用支出","")))))</f>
      </c>
      <c r="P2066" s="78">
        <f>IF(O2066="","",IFERROR(INDEX(基础资料!$AE$5:$AE$34,MATCH(O2066,基础资料!$AC$5:$AC$34,0)),"未知"))</f>
      </c>
      <c r="Q2066" s="78">
        <f>IF(P2066="应收",COUNTIF(P$7:P2066,"应收"),"")</f>
      </c>
      <c r="R2066" s="78">
        <f>IF(P2066="应付",COUNTIF(P$7:P2066,"应付"),"")</f>
      </c>
      <c r="S2066" s="78">
        <f>N(F2066)-N(G2066)</f>
        <v>0</v>
      </c>
    </row>
    <row r="2067">
      <c r="A2067" s="109">
        <f>IF(AND(F2067="",G2067=""),"",ROW()-6)</f>
      </c>
      <c r="B2067" s="140" t="n"/>
      <c r="C2067" s="141" t="n"/>
      <c r="D2067" s="141" t="n"/>
      <c r="E2067" s="142" t="n"/>
      <c r="F2067" s="143" t="n"/>
      <c r="G2067" s="144" t="n"/>
      <c r="H2067" s="145">
        <f>IF(OR(C2067="",AND(F2067="",G2067="")),"",SUMIF(基础资料!$W$5:$W$24,C2067,基础资料!$X$5:$X$24)+SUMIF(C$7:C2067,C2067,F$7:F2067)-SUMIF(C$7:C2067,C2067,G$7:G2067))</f>
      </c>
      <c r="I2067" s="145">
        <f>IF(AND(F2067="",G2067=""),"",SUM(基础资料!$X$5:$X$24)+SUM(F$7:F2067)-SUM(G$7:G2067))</f>
      </c>
      <c r="J2067" s="141" t="n"/>
      <c r="K2067" s="141" t="n"/>
      <c r="L2067" s="141" t="n"/>
      <c r="M2067" s="142" t="n"/>
      <c r="N2067" s="146">
        <f>IF(AND(AND(F2067="",G2067=""),B2067="",C2067="",D2067="",J2067="",K2067="",L2067=""),"",IF(AND(F2067="",G2067=""),"✗ 没填金额",IF(AND(N(F2067)&lt;&gt;0,N(G2067)&lt;&gt;0),"✗ 收入、支出只能填一边",IF(NOT(ISNUMBER(B2067)),"✗ 日期不是真日期（要像 2026/9/25 这样填）",IF(OR(B2067&lt;年初日,B2067&gt;年末日),"✗ 日期不在本会计年度",IF(C2067="","✗ 没选账户",IF(COUNTIF(基础资料!$W$5:$W$24,C2067)=0,"✗ 账户不在基础资料里",IF(O2067="","✗ 没选收支项目",IF(P2067="未知","✗ 收支项目不在基础资料里",IF(AND(P2067="应收",J2067=""),"✗ 这笔要选客户",IF(AND(P2067="应收",COUNTIF(总览汇总!$B$5:$B$304,J2067)=0),"✗ 客户不在总览汇总名单里",IF(AND(P2067="应付",K2067=""),"✗ 这笔要选供应商",IF(AND(P2067="应付",COUNTIF(基础资料!$Q$5:$Q$54,K2067)=0),"✗ 供应商不在基础资料里",IF(AND(P2067="费用",L2067=""),"✗ 费用支出要选费用项目",IF(AND(L2067&lt;&gt;"",COUNTIF(基础资料!$AI$5:$AI$54,L2067)=0),"✗ 费用项目不在基础资料里",IF(AND(IFERROR(INDEX(基础资料!$AD$5:$AD$34,MATCH(O2067,基础资料!$AC$5:$AC$34,0)),"")="收",N(G2067)&lt;&gt;0),"✗ 这类是收款，金额填到收入列",IF(AND(IFERROR(INDEX(基础资料!$AD$5:$AD$34,MATCH(O2067,基础资料!$AC$5:$AC$34,0)),"")="支",N(F2067)&lt;&gt;0),"✗ 这类是付款，金额填到支出列",IF(N(H2067)&lt;0,"⚠ 账户余额成负数了，核对一下","√"))))))))))))))))))</f>
      </c>
      <c r="O2067" s="78">
        <f>IF(D2067&lt;&gt;"",D2067,IF(AND(F2067="",G2067=""),"",IF(J2067&lt;&gt;"",IF(N(F2067)&gt;0,"客户回款","客户退款"),IF(K2067&lt;&gt;"",IF(N(G2067)&gt;0,"供应商付款","供应商退款"),IF(L2067&lt;&gt;"","费用支出","")))))</f>
      </c>
      <c r="P2067" s="78">
        <f>IF(O2067="","",IFERROR(INDEX(基础资料!$AE$5:$AE$34,MATCH(O2067,基础资料!$AC$5:$AC$34,0)),"未知"))</f>
      </c>
      <c r="Q2067" s="78">
        <f>IF(P2067="应收",COUNTIF(P$7:P2067,"应收"),"")</f>
      </c>
      <c r="R2067" s="78">
        <f>IF(P2067="应付",COUNTIF(P$7:P2067,"应付"),"")</f>
      </c>
      <c r="S2067" s="78">
        <f>N(F2067)-N(G2067)</f>
        <v>0</v>
      </c>
    </row>
    <row r="2068">
      <c r="A2068" s="109">
        <f>IF(AND(F2068="",G2068=""),"",ROW()-6)</f>
      </c>
      <c r="B2068" s="140" t="n"/>
      <c r="C2068" s="141" t="n"/>
      <c r="D2068" s="141" t="n"/>
      <c r="E2068" s="142" t="n"/>
      <c r="F2068" s="143" t="n"/>
      <c r="G2068" s="144" t="n"/>
      <c r="H2068" s="145">
        <f>IF(OR(C2068="",AND(F2068="",G2068="")),"",SUMIF(基础资料!$W$5:$W$24,C2068,基础资料!$X$5:$X$24)+SUMIF(C$7:C2068,C2068,F$7:F2068)-SUMIF(C$7:C2068,C2068,G$7:G2068))</f>
      </c>
      <c r="I2068" s="145">
        <f>IF(AND(F2068="",G2068=""),"",SUM(基础资料!$X$5:$X$24)+SUM(F$7:F2068)-SUM(G$7:G2068))</f>
      </c>
      <c r="J2068" s="141" t="n"/>
      <c r="K2068" s="141" t="n"/>
      <c r="L2068" s="141" t="n"/>
      <c r="M2068" s="142" t="n"/>
      <c r="N2068" s="146">
        <f>IF(AND(AND(F2068="",G2068=""),B2068="",C2068="",D2068="",J2068="",K2068="",L2068=""),"",IF(AND(F2068="",G2068=""),"✗ 没填金额",IF(AND(N(F2068)&lt;&gt;0,N(G2068)&lt;&gt;0),"✗ 收入、支出只能填一边",IF(NOT(ISNUMBER(B2068)),"✗ 日期不是真日期（要像 2026/9/25 这样填）",IF(OR(B2068&lt;年初日,B2068&gt;年末日),"✗ 日期不在本会计年度",IF(C2068="","✗ 没选账户",IF(COUNTIF(基础资料!$W$5:$W$24,C2068)=0,"✗ 账户不在基础资料里",IF(O2068="","✗ 没选收支项目",IF(P2068="未知","✗ 收支项目不在基础资料里",IF(AND(P2068="应收",J2068=""),"✗ 这笔要选客户",IF(AND(P2068="应收",COUNTIF(总览汇总!$B$5:$B$304,J2068)=0),"✗ 客户不在总览汇总名单里",IF(AND(P2068="应付",K2068=""),"✗ 这笔要选供应商",IF(AND(P2068="应付",COUNTIF(基础资料!$Q$5:$Q$54,K2068)=0),"✗ 供应商不在基础资料里",IF(AND(P2068="费用",L2068=""),"✗ 费用支出要选费用项目",IF(AND(L2068&lt;&gt;"",COUNTIF(基础资料!$AI$5:$AI$54,L2068)=0),"✗ 费用项目不在基础资料里",IF(AND(IFERROR(INDEX(基础资料!$AD$5:$AD$34,MATCH(O2068,基础资料!$AC$5:$AC$34,0)),"")="收",N(G2068)&lt;&gt;0),"✗ 这类是收款，金额填到收入列",IF(AND(IFERROR(INDEX(基础资料!$AD$5:$AD$34,MATCH(O2068,基础资料!$AC$5:$AC$34,0)),"")="支",N(F2068)&lt;&gt;0),"✗ 这类是付款，金额填到支出列",IF(N(H2068)&lt;0,"⚠ 账户余额成负数了，核对一下","√"))))))))))))))))))</f>
      </c>
      <c r="O2068" s="78">
        <f>IF(D2068&lt;&gt;"",D2068,IF(AND(F2068="",G2068=""),"",IF(J2068&lt;&gt;"",IF(N(F2068)&gt;0,"客户回款","客户退款"),IF(K2068&lt;&gt;"",IF(N(G2068)&gt;0,"供应商付款","供应商退款"),IF(L2068&lt;&gt;"","费用支出","")))))</f>
      </c>
      <c r="P2068" s="78">
        <f>IF(O2068="","",IFERROR(INDEX(基础资料!$AE$5:$AE$34,MATCH(O2068,基础资料!$AC$5:$AC$34,0)),"未知"))</f>
      </c>
      <c r="Q2068" s="78">
        <f>IF(P2068="应收",COUNTIF(P$7:P2068,"应收"),"")</f>
      </c>
      <c r="R2068" s="78">
        <f>IF(P2068="应付",COUNTIF(P$7:P2068,"应付"),"")</f>
      </c>
      <c r="S2068" s="78">
        <f>N(F2068)-N(G2068)</f>
        <v>0</v>
      </c>
    </row>
    <row r="2069">
      <c r="A2069" s="109">
        <f>IF(AND(F2069="",G2069=""),"",ROW()-6)</f>
      </c>
      <c r="B2069" s="140" t="n"/>
      <c r="C2069" s="141" t="n"/>
      <c r="D2069" s="141" t="n"/>
      <c r="E2069" s="142" t="n"/>
      <c r="F2069" s="143" t="n"/>
      <c r="G2069" s="144" t="n"/>
      <c r="H2069" s="145">
        <f>IF(OR(C2069="",AND(F2069="",G2069="")),"",SUMIF(基础资料!$W$5:$W$24,C2069,基础资料!$X$5:$X$24)+SUMIF(C$7:C2069,C2069,F$7:F2069)-SUMIF(C$7:C2069,C2069,G$7:G2069))</f>
      </c>
      <c r="I2069" s="145">
        <f>IF(AND(F2069="",G2069=""),"",SUM(基础资料!$X$5:$X$24)+SUM(F$7:F2069)-SUM(G$7:G2069))</f>
      </c>
      <c r="J2069" s="141" t="n"/>
      <c r="K2069" s="141" t="n"/>
      <c r="L2069" s="141" t="n"/>
      <c r="M2069" s="142" t="n"/>
      <c r="N2069" s="146">
        <f>IF(AND(AND(F2069="",G2069=""),B2069="",C2069="",D2069="",J2069="",K2069="",L2069=""),"",IF(AND(F2069="",G2069=""),"✗ 没填金额",IF(AND(N(F2069)&lt;&gt;0,N(G2069)&lt;&gt;0),"✗ 收入、支出只能填一边",IF(NOT(ISNUMBER(B2069)),"✗ 日期不是真日期（要像 2026/9/25 这样填）",IF(OR(B2069&lt;年初日,B2069&gt;年末日),"✗ 日期不在本会计年度",IF(C2069="","✗ 没选账户",IF(COUNTIF(基础资料!$W$5:$W$24,C2069)=0,"✗ 账户不在基础资料里",IF(O2069="","✗ 没选收支项目",IF(P2069="未知","✗ 收支项目不在基础资料里",IF(AND(P2069="应收",J2069=""),"✗ 这笔要选客户",IF(AND(P2069="应收",COUNTIF(总览汇总!$B$5:$B$304,J2069)=0),"✗ 客户不在总览汇总名单里",IF(AND(P2069="应付",K2069=""),"✗ 这笔要选供应商",IF(AND(P2069="应付",COUNTIF(基础资料!$Q$5:$Q$54,K2069)=0),"✗ 供应商不在基础资料里",IF(AND(P2069="费用",L2069=""),"✗ 费用支出要选费用项目",IF(AND(L2069&lt;&gt;"",COUNTIF(基础资料!$AI$5:$AI$54,L2069)=0),"✗ 费用项目不在基础资料里",IF(AND(IFERROR(INDEX(基础资料!$AD$5:$AD$34,MATCH(O2069,基础资料!$AC$5:$AC$34,0)),"")="收",N(G2069)&lt;&gt;0),"✗ 这类是收款，金额填到收入列",IF(AND(IFERROR(INDEX(基础资料!$AD$5:$AD$34,MATCH(O2069,基础资料!$AC$5:$AC$34,0)),"")="支",N(F2069)&lt;&gt;0),"✗ 这类是付款，金额填到支出列",IF(N(H2069)&lt;0,"⚠ 账户余额成负数了，核对一下","√"))))))))))))))))))</f>
      </c>
      <c r="O2069" s="78">
        <f>IF(D2069&lt;&gt;"",D2069,IF(AND(F2069="",G2069=""),"",IF(J2069&lt;&gt;"",IF(N(F2069)&gt;0,"客户回款","客户退款"),IF(K2069&lt;&gt;"",IF(N(G2069)&gt;0,"供应商付款","供应商退款"),IF(L2069&lt;&gt;"","费用支出","")))))</f>
      </c>
      <c r="P2069" s="78">
        <f>IF(O2069="","",IFERROR(INDEX(基础资料!$AE$5:$AE$34,MATCH(O2069,基础资料!$AC$5:$AC$34,0)),"未知"))</f>
      </c>
      <c r="Q2069" s="78">
        <f>IF(P2069="应收",COUNTIF(P$7:P2069,"应收"),"")</f>
      </c>
      <c r="R2069" s="78">
        <f>IF(P2069="应付",COUNTIF(P$7:P2069,"应付"),"")</f>
      </c>
      <c r="S2069" s="78">
        <f>N(F2069)-N(G2069)</f>
        <v>0</v>
      </c>
    </row>
    <row r="2070">
      <c r="A2070" s="109">
        <f>IF(AND(F2070="",G2070=""),"",ROW()-6)</f>
      </c>
      <c r="B2070" s="140" t="n"/>
      <c r="C2070" s="141" t="n"/>
      <c r="D2070" s="141" t="n"/>
      <c r="E2070" s="142" t="n"/>
      <c r="F2070" s="143" t="n"/>
      <c r="G2070" s="144" t="n"/>
      <c r="H2070" s="145">
        <f>IF(OR(C2070="",AND(F2070="",G2070="")),"",SUMIF(基础资料!$W$5:$W$24,C2070,基础资料!$X$5:$X$24)+SUMIF(C$7:C2070,C2070,F$7:F2070)-SUMIF(C$7:C2070,C2070,G$7:G2070))</f>
      </c>
      <c r="I2070" s="145">
        <f>IF(AND(F2070="",G2070=""),"",SUM(基础资料!$X$5:$X$24)+SUM(F$7:F2070)-SUM(G$7:G2070))</f>
      </c>
      <c r="J2070" s="141" t="n"/>
      <c r="K2070" s="141" t="n"/>
      <c r="L2070" s="141" t="n"/>
      <c r="M2070" s="142" t="n"/>
      <c r="N2070" s="146">
        <f>IF(AND(AND(F2070="",G2070=""),B2070="",C2070="",D2070="",J2070="",K2070="",L2070=""),"",IF(AND(F2070="",G2070=""),"✗ 没填金额",IF(AND(N(F2070)&lt;&gt;0,N(G2070)&lt;&gt;0),"✗ 收入、支出只能填一边",IF(NOT(ISNUMBER(B2070)),"✗ 日期不是真日期（要像 2026/9/25 这样填）",IF(OR(B2070&lt;年初日,B2070&gt;年末日),"✗ 日期不在本会计年度",IF(C2070="","✗ 没选账户",IF(COUNTIF(基础资料!$W$5:$W$24,C2070)=0,"✗ 账户不在基础资料里",IF(O2070="","✗ 没选收支项目",IF(P2070="未知","✗ 收支项目不在基础资料里",IF(AND(P2070="应收",J2070=""),"✗ 这笔要选客户",IF(AND(P2070="应收",COUNTIF(总览汇总!$B$5:$B$304,J2070)=0),"✗ 客户不在总览汇总名单里",IF(AND(P2070="应付",K2070=""),"✗ 这笔要选供应商",IF(AND(P2070="应付",COUNTIF(基础资料!$Q$5:$Q$54,K2070)=0),"✗ 供应商不在基础资料里",IF(AND(P2070="费用",L2070=""),"✗ 费用支出要选费用项目",IF(AND(L2070&lt;&gt;"",COUNTIF(基础资料!$AI$5:$AI$54,L2070)=0),"✗ 费用项目不在基础资料里",IF(AND(IFERROR(INDEX(基础资料!$AD$5:$AD$34,MATCH(O2070,基础资料!$AC$5:$AC$34,0)),"")="收",N(G2070)&lt;&gt;0),"✗ 这类是收款，金额填到收入列",IF(AND(IFERROR(INDEX(基础资料!$AD$5:$AD$34,MATCH(O2070,基础资料!$AC$5:$AC$34,0)),"")="支",N(F2070)&lt;&gt;0),"✗ 这类是付款，金额填到支出列",IF(N(H2070)&lt;0,"⚠ 账户余额成负数了，核对一下","√"))))))))))))))))))</f>
      </c>
      <c r="O2070" s="78">
        <f>IF(D2070&lt;&gt;"",D2070,IF(AND(F2070="",G2070=""),"",IF(J2070&lt;&gt;"",IF(N(F2070)&gt;0,"客户回款","客户退款"),IF(K2070&lt;&gt;"",IF(N(G2070)&gt;0,"供应商付款","供应商退款"),IF(L2070&lt;&gt;"","费用支出","")))))</f>
      </c>
      <c r="P2070" s="78">
        <f>IF(O2070="","",IFERROR(INDEX(基础资料!$AE$5:$AE$34,MATCH(O2070,基础资料!$AC$5:$AC$34,0)),"未知"))</f>
      </c>
      <c r="Q2070" s="78">
        <f>IF(P2070="应收",COUNTIF(P$7:P2070,"应收"),"")</f>
      </c>
      <c r="R2070" s="78">
        <f>IF(P2070="应付",COUNTIF(P$7:P2070,"应付"),"")</f>
      </c>
      <c r="S2070" s="78">
        <f>N(F2070)-N(G2070)</f>
        <v>0</v>
      </c>
    </row>
    <row r="2071">
      <c r="A2071" s="109">
        <f>IF(AND(F2071="",G2071=""),"",ROW()-6)</f>
      </c>
      <c r="B2071" s="140" t="n"/>
      <c r="C2071" s="141" t="n"/>
      <c r="D2071" s="141" t="n"/>
      <c r="E2071" s="142" t="n"/>
      <c r="F2071" s="143" t="n"/>
      <c r="G2071" s="144" t="n"/>
      <c r="H2071" s="145">
        <f>IF(OR(C2071="",AND(F2071="",G2071="")),"",SUMIF(基础资料!$W$5:$W$24,C2071,基础资料!$X$5:$X$24)+SUMIF(C$7:C2071,C2071,F$7:F2071)-SUMIF(C$7:C2071,C2071,G$7:G2071))</f>
      </c>
      <c r="I2071" s="145">
        <f>IF(AND(F2071="",G2071=""),"",SUM(基础资料!$X$5:$X$24)+SUM(F$7:F2071)-SUM(G$7:G2071))</f>
      </c>
      <c r="J2071" s="141" t="n"/>
      <c r="K2071" s="141" t="n"/>
      <c r="L2071" s="141" t="n"/>
      <c r="M2071" s="142" t="n"/>
      <c r="N2071" s="146">
        <f>IF(AND(AND(F2071="",G2071=""),B2071="",C2071="",D2071="",J2071="",K2071="",L2071=""),"",IF(AND(F2071="",G2071=""),"✗ 没填金额",IF(AND(N(F2071)&lt;&gt;0,N(G2071)&lt;&gt;0),"✗ 收入、支出只能填一边",IF(NOT(ISNUMBER(B2071)),"✗ 日期不是真日期（要像 2026/9/25 这样填）",IF(OR(B2071&lt;年初日,B2071&gt;年末日),"✗ 日期不在本会计年度",IF(C2071="","✗ 没选账户",IF(COUNTIF(基础资料!$W$5:$W$24,C2071)=0,"✗ 账户不在基础资料里",IF(O2071="","✗ 没选收支项目",IF(P2071="未知","✗ 收支项目不在基础资料里",IF(AND(P2071="应收",J2071=""),"✗ 这笔要选客户",IF(AND(P2071="应收",COUNTIF(总览汇总!$B$5:$B$304,J2071)=0),"✗ 客户不在总览汇总名单里",IF(AND(P2071="应付",K2071=""),"✗ 这笔要选供应商",IF(AND(P2071="应付",COUNTIF(基础资料!$Q$5:$Q$54,K2071)=0),"✗ 供应商不在基础资料里",IF(AND(P2071="费用",L2071=""),"✗ 费用支出要选费用项目",IF(AND(L2071&lt;&gt;"",COUNTIF(基础资料!$AI$5:$AI$54,L2071)=0),"✗ 费用项目不在基础资料里",IF(AND(IFERROR(INDEX(基础资料!$AD$5:$AD$34,MATCH(O2071,基础资料!$AC$5:$AC$34,0)),"")="收",N(G2071)&lt;&gt;0),"✗ 这类是收款，金额填到收入列",IF(AND(IFERROR(INDEX(基础资料!$AD$5:$AD$34,MATCH(O2071,基础资料!$AC$5:$AC$34,0)),"")="支",N(F2071)&lt;&gt;0),"✗ 这类是付款，金额填到支出列",IF(N(H2071)&lt;0,"⚠ 账户余额成负数了，核对一下","√"))))))))))))))))))</f>
      </c>
      <c r="O2071" s="78">
        <f>IF(D2071&lt;&gt;"",D2071,IF(AND(F2071="",G2071=""),"",IF(J2071&lt;&gt;"",IF(N(F2071)&gt;0,"客户回款","客户退款"),IF(K2071&lt;&gt;"",IF(N(G2071)&gt;0,"供应商付款","供应商退款"),IF(L2071&lt;&gt;"","费用支出","")))))</f>
      </c>
      <c r="P2071" s="78">
        <f>IF(O2071="","",IFERROR(INDEX(基础资料!$AE$5:$AE$34,MATCH(O2071,基础资料!$AC$5:$AC$34,0)),"未知"))</f>
      </c>
      <c r="Q2071" s="78">
        <f>IF(P2071="应收",COUNTIF(P$7:P2071,"应收"),"")</f>
      </c>
      <c r="R2071" s="78">
        <f>IF(P2071="应付",COUNTIF(P$7:P2071,"应付"),"")</f>
      </c>
      <c r="S2071" s="78">
        <f>N(F2071)-N(G2071)</f>
        <v>0</v>
      </c>
    </row>
    <row r="2072">
      <c r="A2072" s="109">
        <f>IF(AND(F2072="",G2072=""),"",ROW()-6)</f>
      </c>
      <c r="B2072" s="140" t="n"/>
      <c r="C2072" s="141" t="n"/>
      <c r="D2072" s="141" t="n"/>
      <c r="E2072" s="142" t="n"/>
      <c r="F2072" s="143" t="n"/>
      <c r="G2072" s="144" t="n"/>
      <c r="H2072" s="145">
        <f>IF(OR(C2072="",AND(F2072="",G2072="")),"",SUMIF(基础资料!$W$5:$W$24,C2072,基础资料!$X$5:$X$24)+SUMIF(C$7:C2072,C2072,F$7:F2072)-SUMIF(C$7:C2072,C2072,G$7:G2072))</f>
      </c>
      <c r="I2072" s="145">
        <f>IF(AND(F2072="",G2072=""),"",SUM(基础资料!$X$5:$X$24)+SUM(F$7:F2072)-SUM(G$7:G2072))</f>
      </c>
      <c r="J2072" s="141" t="n"/>
      <c r="K2072" s="141" t="n"/>
      <c r="L2072" s="141" t="n"/>
      <c r="M2072" s="142" t="n"/>
      <c r="N2072" s="146">
        <f>IF(AND(AND(F2072="",G2072=""),B2072="",C2072="",D2072="",J2072="",K2072="",L2072=""),"",IF(AND(F2072="",G2072=""),"✗ 没填金额",IF(AND(N(F2072)&lt;&gt;0,N(G2072)&lt;&gt;0),"✗ 收入、支出只能填一边",IF(NOT(ISNUMBER(B2072)),"✗ 日期不是真日期（要像 2026/9/25 这样填）",IF(OR(B2072&lt;年初日,B2072&gt;年末日),"✗ 日期不在本会计年度",IF(C2072="","✗ 没选账户",IF(COUNTIF(基础资料!$W$5:$W$24,C2072)=0,"✗ 账户不在基础资料里",IF(O2072="","✗ 没选收支项目",IF(P2072="未知","✗ 收支项目不在基础资料里",IF(AND(P2072="应收",J2072=""),"✗ 这笔要选客户",IF(AND(P2072="应收",COUNTIF(总览汇总!$B$5:$B$304,J2072)=0),"✗ 客户不在总览汇总名单里",IF(AND(P2072="应付",K2072=""),"✗ 这笔要选供应商",IF(AND(P2072="应付",COUNTIF(基础资料!$Q$5:$Q$54,K2072)=0),"✗ 供应商不在基础资料里",IF(AND(P2072="费用",L2072=""),"✗ 费用支出要选费用项目",IF(AND(L2072&lt;&gt;"",COUNTIF(基础资料!$AI$5:$AI$54,L2072)=0),"✗ 费用项目不在基础资料里",IF(AND(IFERROR(INDEX(基础资料!$AD$5:$AD$34,MATCH(O2072,基础资料!$AC$5:$AC$34,0)),"")="收",N(G2072)&lt;&gt;0),"✗ 这类是收款，金额填到收入列",IF(AND(IFERROR(INDEX(基础资料!$AD$5:$AD$34,MATCH(O2072,基础资料!$AC$5:$AC$34,0)),"")="支",N(F2072)&lt;&gt;0),"✗ 这类是付款，金额填到支出列",IF(N(H2072)&lt;0,"⚠ 账户余额成负数了，核对一下","√"))))))))))))))))))</f>
      </c>
      <c r="O2072" s="78">
        <f>IF(D2072&lt;&gt;"",D2072,IF(AND(F2072="",G2072=""),"",IF(J2072&lt;&gt;"",IF(N(F2072)&gt;0,"客户回款","客户退款"),IF(K2072&lt;&gt;"",IF(N(G2072)&gt;0,"供应商付款","供应商退款"),IF(L2072&lt;&gt;"","费用支出","")))))</f>
      </c>
      <c r="P2072" s="78">
        <f>IF(O2072="","",IFERROR(INDEX(基础资料!$AE$5:$AE$34,MATCH(O2072,基础资料!$AC$5:$AC$34,0)),"未知"))</f>
      </c>
      <c r="Q2072" s="78">
        <f>IF(P2072="应收",COUNTIF(P$7:P2072,"应收"),"")</f>
      </c>
      <c r="R2072" s="78">
        <f>IF(P2072="应付",COUNTIF(P$7:P2072,"应付"),"")</f>
      </c>
      <c r="S2072" s="78">
        <f>N(F2072)-N(G2072)</f>
        <v>0</v>
      </c>
    </row>
    <row r="2073">
      <c r="A2073" s="109">
        <f>IF(AND(F2073="",G2073=""),"",ROW()-6)</f>
      </c>
      <c r="B2073" s="140" t="n"/>
      <c r="C2073" s="141" t="n"/>
      <c r="D2073" s="141" t="n"/>
      <c r="E2073" s="142" t="n"/>
      <c r="F2073" s="143" t="n"/>
      <c r="G2073" s="144" t="n"/>
      <c r="H2073" s="145">
        <f>IF(OR(C2073="",AND(F2073="",G2073="")),"",SUMIF(基础资料!$W$5:$W$24,C2073,基础资料!$X$5:$X$24)+SUMIF(C$7:C2073,C2073,F$7:F2073)-SUMIF(C$7:C2073,C2073,G$7:G2073))</f>
      </c>
      <c r="I2073" s="145">
        <f>IF(AND(F2073="",G2073=""),"",SUM(基础资料!$X$5:$X$24)+SUM(F$7:F2073)-SUM(G$7:G2073))</f>
      </c>
      <c r="J2073" s="141" t="n"/>
      <c r="K2073" s="141" t="n"/>
      <c r="L2073" s="141" t="n"/>
      <c r="M2073" s="142" t="n"/>
      <c r="N2073" s="146">
        <f>IF(AND(AND(F2073="",G2073=""),B2073="",C2073="",D2073="",J2073="",K2073="",L2073=""),"",IF(AND(F2073="",G2073=""),"✗ 没填金额",IF(AND(N(F2073)&lt;&gt;0,N(G2073)&lt;&gt;0),"✗ 收入、支出只能填一边",IF(NOT(ISNUMBER(B2073)),"✗ 日期不是真日期（要像 2026/9/25 这样填）",IF(OR(B2073&lt;年初日,B2073&gt;年末日),"✗ 日期不在本会计年度",IF(C2073="","✗ 没选账户",IF(COUNTIF(基础资料!$W$5:$W$24,C2073)=0,"✗ 账户不在基础资料里",IF(O2073="","✗ 没选收支项目",IF(P2073="未知","✗ 收支项目不在基础资料里",IF(AND(P2073="应收",J2073=""),"✗ 这笔要选客户",IF(AND(P2073="应收",COUNTIF(总览汇总!$B$5:$B$304,J2073)=0),"✗ 客户不在总览汇总名单里",IF(AND(P2073="应付",K2073=""),"✗ 这笔要选供应商",IF(AND(P2073="应付",COUNTIF(基础资料!$Q$5:$Q$54,K2073)=0),"✗ 供应商不在基础资料里",IF(AND(P2073="费用",L2073=""),"✗ 费用支出要选费用项目",IF(AND(L2073&lt;&gt;"",COUNTIF(基础资料!$AI$5:$AI$54,L2073)=0),"✗ 费用项目不在基础资料里",IF(AND(IFERROR(INDEX(基础资料!$AD$5:$AD$34,MATCH(O2073,基础资料!$AC$5:$AC$34,0)),"")="收",N(G2073)&lt;&gt;0),"✗ 这类是收款，金额填到收入列",IF(AND(IFERROR(INDEX(基础资料!$AD$5:$AD$34,MATCH(O2073,基础资料!$AC$5:$AC$34,0)),"")="支",N(F2073)&lt;&gt;0),"✗ 这类是付款，金额填到支出列",IF(N(H2073)&lt;0,"⚠ 账户余额成负数了，核对一下","√"))))))))))))))))))</f>
      </c>
      <c r="O2073" s="78">
        <f>IF(D2073&lt;&gt;"",D2073,IF(AND(F2073="",G2073=""),"",IF(J2073&lt;&gt;"",IF(N(F2073)&gt;0,"客户回款","客户退款"),IF(K2073&lt;&gt;"",IF(N(G2073)&gt;0,"供应商付款","供应商退款"),IF(L2073&lt;&gt;"","费用支出","")))))</f>
      </c>
      <c r="P2073" s="78">
        <f>IF(O2073="","",IFERROR(INDEX(基础资料!$AE$5:$AE$34,MATCH(O2073,基础资料!$AC$5:$AC$34,0)),"未知"))</f>
      </c>
      <c r="Q2073" s="78">
        <f>IF(P2073="应收",COUNTIF(P$7:P2073,"应收"),"")</f>
      </c>
      <c r="R2073" s="78">
        <f>IF(P2073="应付",COUNTIF(P$7:P2073,"应付"),"")</f>
      </c>
      <c r="S2073" s="78">
        <f>N(F2073)-N(G2073)</f>
        <v>0</v>
      </c>
    </row>
    <row r="2074">
      <c r="A2074" s="109">
        <f>IF(AND(F2074="",G2074=""),"",ROW()-6)</f>
      </c>
      <c r="B2074" s="140" t="n"/>
      <c r="C2074" s="141" t="n"/>
      <c r="D2074" s="141" t="n"/>
      <c r="E2074" s="142" t="n"/>
      <c r="F2074" s="143" t="n"/>
      <c r="G2074" s="144" t="n"/>
      <c r="H2074" s="145">
        <f>IF(OR(C2074="",AND(F2074="",G2074="")),"",SUMIF(基础资料!$W$5:$W$24,C2074,基础资料!$X$5:$X$24)+SUMIF(C$7:C2074,C2074,F$7:F2074)-SUMIF(C$7:C2074,C2074,G$7:G2074))</f>
      </c>
      <c r="I2074" s="145">
        <f>IF(AND(F2074="",G2074=""),"",SUM(基础资料!$X$5:$X$24)+SUM(F$7:F2074)-SUM(G$7:G2074))</f>
      </c>
      <c r="J2074" s="141" t="n"/>
      <c r="K2074" s="141" t="n"/>
      <c r="L2074" s="141" t="n"/>
      <c r="M2074" s="142" t="n"/>
      <c r="N2074" s="146">
        <f>IF(AND(AND(F2074="",G2074=""),B2074="",C2074="",D2074="",J2074="",K2074="",L2074=""),"",IF(AND(F2074="",G2074=""),"✗ 没填金额",IF(AND(N(F2074)&lt;&gt;0,N(G2074)&lt;&gt;0),"✗ 收入、支出只能填一边",IF(NOT(ISNUMBER(B2074)),"✗ 日期不是真日期（要像 2026/9/25 这样填）",IF(OR(B2074&lt;年初日,B2074&gt;年末日),"✗ 日期不在本会计年度",IF(C2074="","✗ 没选账户",IF(COUNTIF(基础资料!$W$5:$W$24,C2074)=0,"✗ 账户不在基础资料里",IF(O2074="","✗ 没选收支项目",IF(P2074="未知","✗ 收支项目不在基础资料里",IF(AND(P2074="应收",J2074=""),"✗ 这笔要选客户",IF(AND(P2074="应收",COUNTIF(总览汇总!$B$5:$B$304,J2074)=0),"✗ 客户不在总览汇总名单里",IF(AND(P2074="应付",K2074=""),"✗ 这笔要选供应商",IF(AND(P2074="应付",COUNTIF(基础资料!$Q$5:$Q$54,K2074)=0),"✗ 供应商不在基础资料里",IF(AND(P2074="费用",L2074=""),"✗ 费用支出要选费用项目",IF(AND(L2074&lt;&gt;"",COUNTIF(基础资料!$AI$5:$AI$54,L2074)=0),"✗ 费用项目不在基础资料里",IF(AND(IFERROR(INDEX(基础资料!$AD$5:$AD$34,MATCH(O2074,基础资料!$AC$5:$AC$34,0)),"")="收",N(G2074)&lt;&gt;0),"✗ 这类是收款，金额填到收入列",IF(AND(IFERROR(INDEX(基础资料!$AD$5:$AD$34,MATCH(O2074,基础资料!$AC$5:$AC$34,0)),"")="支",N(F2074)&lt;&gt;0),"✗ 这类是付款，金额填到支出列",IF(N(H2074)&lt;0,"⚠ 账户余额成负数了，核对一下","√"))))))))))))))))))</f>
      </c>
      <c r="O2074" s="78">
        <f>IF(D2074&lt;&gt;"",D2074,IF(AND(F2074="",G2074=""),"",IF(J2074&lt;&gt;"",IF(N(F2074)&gt;0,"客户回款","客户退款"),IF(K2074&lt;&gt;"",IF(N(G2074)&gt;0,"供应商付款","供应商退款"),IF(L2074&lt;&gt;"","费用支出","")))))</f>
      </c>
      <c r="P2074" s="78">
        <f>IF(O2074="","",IFERROR(INDEX(基础资料!$AE$5:$AE$34,MATCH(O2074,基础资料!$AC$5:$AC$34,0)),"未知"))</f>
      </c>
      <c r="Q2074" s="78">
        <f>IF(P2074="应收",COUNTIF(P$7:P2074,"应收"),"")</f>
      </c>
      <c r="R2074" s="78">
        <f>IF(P2074="应付",COUNTIF(P$7:P2074,"应付"),"")</f>
      </c>
      <c r="S2074" s="78">
        <f>N(F2074)-N(G2074)</f>
        <v>0</v>
      </c>
    </row>
    <row r="2075">
      <c r="A2075" s="109">
        <f>IF(AND(F2075="",G2075=""),"",ROW()-6)</f>
      </c>
      <c r="B2075" s="140" t="n"/>
      <c r="C2075" s="141" t="n"/>
      <c r="D2075" s="141" t="n"/>
      <c r="E2075" s="142" t="n"/>
      <c r="F2075" s="143" t="n"/>
      <c r="G2075" s="144" t="n"/>
      <c r="H2075" s="145">
        <f>IF(OR(C2075="",AND(F2075="",G2075="")),"",SUMIF(基础资料!$W$5:$W$24,C2075,基础资料!$X$5:$X$24)+SUMIF(C$7:C2075,C2075,F$7:F2075)-SUMIF(C$7:C2075,C2075,G$7:G2075))</f>
      </c>
      <c r="I2075" s="145">
        <f>IF(AND(F2075="",G2075=""),"",SUM(基础资料!$X$5:$X$24)+SUM(F$7:F2075)-SUM(G$7:G2075))</f>
      </c>
      <c r="J2075" s="141" t="n"/>
      <c r="K2075" s="141" t="n"/>
      <c r="L2075" s="141" t="n"/>
      <c r="M2075" s="142" t="n"/>
      <c r="N2075" s="146">
        <f>IF(AND(AND(F2075="",G2075=""),B2075="",C2075="",D2075="",J2075="",K2075="",L2075=""),"",IF(AND(F2075="",G2075=""),"✗ 没填金额",IF(AND(N(F2075)&lt;&gt;0,N(G2075)&lt;&gt;0),"✗ 收入、支出只能填一边",IF(NOT(ISNUMBER(B2075)),"✗ 日期不是真日期（要像 2026/9/25 这样填）",IF(OR(B2075&lt;年初日,B2075&gt;年末日),"✗ 日期不在本会计年度",IF(C2075="","✗ 没选账户",IF(COUNTIF(基础资料!$W$5:$W$24,C2075)=0,"✗ 账户不在基础资料里",IF(O2075="","✗ 没选收支项目",IF(P2075="未知","✗ 收支项目不在基础资料里",IF(AND(P2075="应收",J2075=""),"✗ 这笔要选客户",IF(AND(P2075="应收",COUNTIF(总览汇总!$B$5:$B$304,J2075)=0),"✗ 客户不在总览汇总名单里",IF(AND(P2075="应付",K2075=""),"✗ 这笔要选供应商",IF(AND(P2075="应付",COUNTIF(基础资料!$Q$5:$Q$54,K2075)=0),"✗ 供应商不在基础资料里",IF(AND(P2075="费用",L2075=""),"✗ 费用支出要选费用项目",IF(AND(L2075&lt;&gt;"",COUNTIF(基础资料!$AI$5:$AI$54,L2075)=0),"✗ 费用项目不在基础资料里",IF(AND(IFERROR(INDEX(基础资料!$AD$5:$AD$34,MATCH(O2075,基础资料!$AC$5:$AC$34,0)),"")="收",N(G2075)&lt;&gt;0),"✗ 这类是收款，金额填到收入列",IF(AND(IFERROR(INDEX(基础资料!$AD$5:$AD$34,MATCH(O2075,基础资料!$AC$5:$AC$34,0)),"")="支",N(F2075)&lt;&gt;0),"✗ 这类是付款，金额填到支出列",IF(N(H2075)&lt;0,"⚠ 账户余额成负数了，核对一下","√"))))))))))))))))))</f>
      </c>
      <c r="O2075" s="78">
        <f>IF(D2075&lt;&gt;"",D2075,IF(AND(F2075="",G2075=""),"",IF(J2075&lt;&gt;"",IF(N(F2075)&gt;0,"客户回款","客户退款"),IF(K2075&lt;&gt;"",IF(N(G2075)&gt;0,"供应商付款","供应商退款"),IF(L2075&lt;&gt;"","费用支出","")))))</f>
      </c>
      <c r="P2075" s="78">
        <f>IF(O2075="","",IFERROR(INDEX(基础资料!$AE$5:$AE$34,MATCH(O2075,基础资料!$AC$5:$AC$34,0)),"未知"))</f>
      </c>
      <c r="Q2075" s="78">
        <f>IF(P2075="应收",COUNTIF(P$7:P2075,"应收"),"")</f>
      </c>
      <c r="R2075" s="78">
        <f>IF(P2075="应付",COUNTIF(P$7:P2075,"应付"),"")</f>
      </c>
      <c r="S2075" s="78">
        <f>N(F2075)-N(G2075)</f>
        <v>0</v>
      </c>
    </row>
    <row r="2076">
      <c r="A2076" s="109">
        <f>IF(AND(F2076="",G2076=""),"",ROW()-6)</f>
      </c>
      <c r="B2076" s="140" t="n"/>
      <c r="C2076" s="141" t="n"/>
      <c r="D2076" s="141" t="n"/>
      <c r="E2076" s="142" t="n"/>
      <c r="F2076" s="143" t="n"/>
      <c r="G2076" s="144" t="n"/>
      <c r="H2076" s="145">
        <f>IF(OR(C2076="",AND(F2076="",G2076="")),"",SUMIF(基础资料!$W$5:$W$24,C2076,基础资料!$X$5:$X$24)+SUMIF(C$7:C2076,C2076,F$7:F2076)-SUMIF(C$7:C2076,C2076,G$7:G2076))</f>
      </c>
      <c r="I2076" s="145">
        <f>IF(AND(F2076="",G2076=""),"",SUM(基础资料!$X$5:$X$24)+SUM(F$7:F2076)-SUM(G$7:G2076))</f>
      </c>
      <c r="J2076" s="141" t="n"/>
      <c r="K2076" s="141" t="n"/>
      <c r="L2076" s="141" t="n"/>
      <c r="M2076" s="142" t="n"/>
      <c r="N2076" s="146">
        <f>IF(AND(AND(F2076="",G2076=""),B2076="",C2076="",D2076="",J2076="",K2076="",L2076=""),"",IF(AND(F2076="",G2076=""),"✗ 没填金额",IF(AND(N(F2076)&lt;&gt;0,N(G2076)&lt;&gt;0),"✗ 收入、支出只能填一边",IF(NOT(ISNUMBER(B2076)),"✗ 日期不是真日期（要像 2026/9/25 这样填）",IF(OR(B2076&lt;年初日,B2076&gt;年末日),"✗ 日期不在本会计年度",IF(C2076="","✗ 没选账户",IF(COUNTIF(基础资料!$W$5:$W$24,C2076)=0,"✗ 账户不在基础资料里",IF(O2076="","✗ 没选收支项目",IF(P2076="未知","✗ 收支项目不在基础资料里",IF(AND(P2076="应收",J2076=""),"✗ 这笔要选客户",IF(AND(P2076="应收",COUNTIF(总览汇总!$B$5:$B$304,J2076)=0),"✗ 客户不在总览汇总名单里",IF(AND(P2076="应付",K2076=""),"✗ 这笔要选供应商",IF(AND(P2076="应付",COUNTIF(基础资料!$Q$5:$Q$54,K2076)=0),"✗ 供应商不在基础资料里",IF(AND(P2076="费用",L2076=""),"✗ 费用支出要选费用项目",IF(AND(L2076&lt;&gt;"",COUNTIF(基础资料!$AI$5:$AI$54,L2076)=0),"✗ 费用项目不在基础资料里",IF(AND(IFERROR(INDEX(基础资料!$AD$5:$AD$34,MATCH(O2076,基础资料!$AC$5:$AC$34,0)),"")="收",N(G2076)&lt;&gt;0),"✗ 这类是收款，金额填到收入列",IF(AND(IFERROR(INDEX(基础资料!$AD$5:$AD$34,MATCH(O2076,基础资料!$AC$5:$AC$34,0)),"")="支",N(F2076)&lt;&gt;0),"✗ 这类是付款，金额填到支出列",IF(N(H2076)&lt;0,"⚠ 账户余额成负数了，核对一下","√"))))))))))))))))))</f>
      </c>
      <c r="O2076" s="78">
        <f>IF(D2076&lt;&gt;"",D2076,IF(AND(F2076="",G2076=""),"",IF(J2076&lt;&gt;"",IF(N(F2076)&gt;0,"客户回款","客户退款"),IF(K2076&lt;&gt;"",IF(N(G2076)&gt;0,"供应商付款","供应商退款"),IF(L2076&lt;&gt;"","费用支出","")))))</f>
      </c>
      <c r="P2076" s="78">
        <f>IF(O2076="","",IFERROR(INDEX(基础资料!$AE$5:$AE$34,MATCH(O2076,基础资料!$AC$5:$AC$34,0)),"未知"))</f>
      </c>
      <c r="Q2076" s="78">
        <f>IF(P2076="应收",COUNTIF(P$7:P2076,"应收"),"")</f>
      </c>
      <c r="R2076" s="78">
        <f>IF(P2076="应付",COUNTIF(P$7:P2076,"应付"),"")</f>
      </c>
      <c r="S2076" s="78">
        <f>N(F2076)-N(G2076)</f>
        <v>0</v>
      </c>
    </row>
    <row r="2077">
      <c r="A2077" s="109">
        <f>IF(AND(F2077="",G2077=""),"",ROW()-6)</f>
      </c>
      <c r="B2077" s="140" t="n"/>
      <c r="C2077" s="141" t="n"/>
      <c r="D2077" s="141" t="n"/>
      <c r="E2077" s="142" t="n"/>
      <c r="F2077" s="143" t="n"/>
      <c r="G2077" s="144" t="n"/>
      <c r="H2077" s="145">
        <f>IF(OR(C2077="",AND(F2077="",G2077="")),"",SUMIF(基础资料!$W$5:$W$24,C2077,基础资料!$X$5:$X$24)+SUMIF(C$7:C2077,C2077,F$7:F2077)-SUMIF(C$7:C2077,C2077,G$7:G2077))</f>
      </c>
      <c r="I2077" s="145">
        <f>IF(AND(F2077="",G2077=""),"",SUM(基础资料!$X$5:$X$24)+SUM(F$7:F2077)-SUM(G$7:G2077))</f>
      </c>
      <c r="J2077" s="141" t="n"/>
      <c r="K2077" s="141" t="n"/>
      <c r="L2077" s="141" t="n"/>
      <c r="M2077" s="142" t="n"/>
      <c r="N2077" s="146">
        <f>IF(AND(AND(F2077="",G2077=""),B2077="",C2077="",D2077="",J2077="",K2077="",L2077=""),"",IF(AND(F2077="",G2077=""),"✗ 没填金额",IF(AND(N(F2077)&lt;&gt;0,N(G2077)&lt;&gt;0),"✗ 收入、支出只能填一边",IF(NOT(ISNUMBER(B2077)),"✗ 日期不是真日期（要像 2026/9/25 这样填）",IF(OR(B2077&lt;年初日,B2077&gt;年末日),"✗ 日期不在本会计年度",IF(C2077="","✗ 没选账户",IF(COUNTIF(基础资料!$W$5:$W$24,C2077)=0,"✗ 账户不在基础资料里",IF(O2077="","✗ 没选收支项目",IF(P2077="未知","✗ 收支项目不在基础资料里",IF(AND(P2077="应收",J2077=""),"✗ 这笔要选客户",IF(AND(P2077="应收",COUNTIF(总览汇总!$B$5:$B$304,J2077)=0),"✗ 客户不在总览汇总名单里",IF(AND(P2077="应付",K2077=""),"✗ 这笔要选供应商",IF(AND(P2077="应付",COUNTIF(基础资料!$Q$5:$Q$54,K2077)=0),"✗ 供应商不在基础资料里",IF(AND(P2077="费用",L2077=""),"✗ 费用支出要选费用项目",IF(AND(L2077&lt;&gt;"",COUNTIF(基础资料!$AI$5:$AI$54,L2077)=0),"✗ 费用项目不在基础资料里",IF(AND(IFERROR(INDEX(基础资料!$AD$5:$AD$34,MATCH(O2077,基础资料!$AC$5:$AC$34,0)),"")="收",N(G2077)&lt;&gt;0),"✗ 这类是收款，金额填到收入列",IF(AND(IFERROR(INDEX(基础资料!$AD$5:$AD$34,MATCH(O2077,基础资料!$AC$5:$AC$34,0)),"")="支",N(F2077)&lt;&gt;0),"✗ 这类是付款，金额填到支出列",IF(N(H2077)&lt;0,"⚠ 账户余额成负数了，核对一下","√"))))))))))))))))))</f>
      </c>
      <c r="O2077" s="78">
        <f>IF(D2077&lt;&gt;"",D2077,IF(AND(F2077="",G2077=""),"",IF(J2077&lt;&gt;"",IF(N(F2077)&gt;0,"客户回款","客户退款"),IF(K2077&lt;&gt;"",IF(N(G2077)&gt;0,"供应商付款","供应商退款"),IF(L2077&lt;&gt;"","费用支出","")))))</f>
      </c>
      <c r="P2077" s="78">
        <f>IF(O2077="","",IFERROR(INDEX(基础资料!$AE$5:$AE$34,MATCH(O2077,基础资料!$AC$5:$AC$34,0)),"未知"))</f>
      </c>
      <c r="Q2077" s="78">
        <f>IF(P2077="应收",COUNTIF(P$7:P2077,"应收"),"")</f>
      </c>
      <c r="R2077" s="78">
        <f>IF(P2077="应付",COUNTIF(P$7:P2077,"应付"),"")</f>
      </c>
      <c r="S2077" s="78">
        <f>N(F2077)-N(G2077)</f>
        <v>0</v>
      </c>
    </row>
    <row r="2078">
      <c r="A2078" s="109">
        <f>IF(AND(F2078="",G2078=""),"",ROW()-6)</f>
      </c>
      <c r="B2078" s="140" t="n"/>
      <c r="C2078" s="141" t="n"/>
      <c r="D2078" s="141" t="n"/>
      <c r="E2078" s="142" t="n"/>
      <c r="F2078" s="143" t="n"/>
      <c r="G2078" s="144" t="n"/>
      <c r="H2078" s="145">
        <f>IF(OR(C2078="",AND(F2078="",G2078="")),"",SUMIF(基础资料!$W$5:$W$24,C2078,基础资料!$X$5:$X$24)+SUMIF(C$7:C2078,C2078,F$7:F2078)-SUMIF(C$7:C2078,C2078,G$7:G2078))</f>
      </c>
      <c r="I2078" s="145">
        <f>IF(AND(F2078="",G2078=""),"",SUM(基础资料!$X$5:$X$24)+SUM(F$7:F2078)-SUM(G$7:G2078))</f>
      </c>
      <c r="J2078" s="141" t="n"/>
      <c r="K2078" s="141" t="n"/>
      <c r="L2078" s="141" t="n"/>
      <c r="M2078" s="142" t="n"/>
      <c r="N2078" s="146">
        <f>IF(AND(AND(F2078="",G2078=""),B2078="",C2078="",D2078="",J2078="",K2078="",L2078=""),"",IF(AND(F2078="",G2078=""),"✗ 没填金额",IF(AND(N(F2078)&lt;&gt;0,N(G2078)&lt;&gt;0),"✗ 收入、支出只能填一边",IF(NOT(ISNUMBER(B2078)),"✗ 日期不是真日期（要像 2026/9/25 这样填）",IF(OR(B2078&lt;年初日,B2078&gt;年末日),"✗ 日期不在本会计年度",IF(C2078="","✗ 没选账户",IF(COUNTIF(基础资料!$W$5:$W$24,C2078)=0,"✗ 账户不在基础资料里",IF(O2078="","✗ 没选收支项目",IF(P2078="未知","✗ 收支项目不在基础资料里",IF(AND(P2078="应收",J2078=""),"✗ 这笔要选客户",IF(AND(P2078="应收",COUNTIF(总览汇总!$B$5:$B$304,J2078)=0),"✗ 客户不在总览汇总名单里",IF(AND(P2078="应付",K2078=""),"✗ 这笔要选供应商",IF(AND(P2078="应付",COUNTIF(基础资料!$Q$5:$Q$54,K2078)=0),"✗ 供应商不在基础资料里",IF(AND(P2078="费用",L2078=""),"✗ 费用支出要选费用项目",IF(AND(L2078&lt;&gt;"",COUNTIF(基础资料!$AI$5:$AI$54,L2078)=0),"✗ 费用项目不在基础资料里",IF(AND(IFERROR(INDEX(基础资料!$AD$5:$AD$34,MATCH(O2078,基础资料!$AC$5:$AC$34,0)),"")="收",N(G2078)&lt;&gt;0),"✗ 这类是收款，金额填到收入列",IF(AND(IFERROR(INDEX(基础资料!$AD$5:$AD$34,MATCH(O2078,基础资料!$AC$5:$AC$34,0)),"")="支",N(F2078)&lt;&gt;0),"✗ 这类是付款，金额填到支出列",IF(N(H2078)&lt;0,"⚠ 账户余额成负数了，核对一下","√"))))))))))))))))))</f>
      </c>
      <c r="O2078" s="78">
        <f>IF(D2078&lt;&gt;"",D2078,IF(AND(F2078="",G2078=""),"",IF(J2078&lt;&gt;"",IF(N(F2078)&gt;0,"客户回款","客户退款"),IF(K2078&lt;&gt;"",IF(N(G2078)&gt;0,"供应商付款","供应商退款"),IF(L2078&lt;&gt;"","费用支出","")))))</f>
      </c>
      <c r="P2078" s="78">
        <f>IF(O2078="","",IFERROR(INDEX(基础资料!$AE$5:$AE$34,MATCH(O2078,基础资料!$AC$5:$AC$34,0)),"未知"))</f>
      </c>
      <c r="Q2078" s="78">
        <f>IF(P2078="应收",COUNTIF(P$7:P2078,"应收"),"")</f>
      </c>
      <c r="R2078" s="78">
        <f>IF(P2078="应付",COUNTIF(P$7:P2078,"应付"),"")</f>
      </c>
      <c r="S2078" s="78">
        <f>N(F2078)-N(G2078)</f>
        <v>0</v>
      </c>
    </row>
    <row r="2079">
      <c r="A2079" s="109">
        <f>IF(AND(F2079="",G2079=""),"",ROW()-6)</f>
      </c>
      <c r="B2079" s="140" t="n"/>
      <c r="C2079" s="141" t="n"/>
      <c r="D2079" s="141" t="n"/>
      <c r="E2079" s="142" t="n"/>
      <c r="F2079" s="143" t="n"/>
      <c r="G2079" s="144" t="n"/>
      <c r="H2079" s="145">
        <f>IF(OR(C2079="",AND(F2079="",G2079="")),"",SUMIF(基础资料!$W$5:$W$24,C2079,基础资料!$X$5:$X$24)+SUMIF(C$7:C2079,C2079,F$7:F2079)-SUMIF(C$7:C2079,C2079,G$7:G2079))</f>
      </c>
      <c r="I2079" s="145">
        <f>IF(AND(F2079="",G2079=""),"",SUM(基础资料!$X$5:$X$24)+SUM(F$7:F2079)-SUM(G$7:G2079))</f>
      </c>
      <c r="J2079" s="141" t="n"/>
      <c r="K2079" s="141" t="n"/>
      <c r="L2079" s="141" t="n"/>
      <c r="M2079" s="142" t="n"/>
      <c r="N2079" s="146">
        <f>IF(AND(AND(F2079="",G2079=""),B2079="",C2079="",D2079="",J2079="",K2079="",L2079=""),"",IF(AND(F2079="",G2079=""),"✗ 没填金额",IF(AND(N(F2079)&lt;&gt;0,N(G2079)&lt;&gt;0),"✗ 收入、支出只能填一边",IF(NOT(ISNUMBER(B2079)),"✗ 日期不是真日期（要像 2026/9/25 这样填）",IF(OR(B2079&lt;年初日,B2079&gt;年末日),"✗ 日期不在本会计年度",IF(C2079="","✗ 没选账户",IF(COUNTIF(基础资料!$W$5:$W$24,C2079)=0,"✗ 账户不在基础资料里",IF(O2079="","✗ 没选收支项目",IF(P2079="未知","✗ 收支项目不在基础资料里",IF(AND(P2079="应收",J2079=""),"✗ 这笔要选客户",IF(AND(P2079="应收",COUNTIF(总览汇总!$B$5:$B$304,J2079)=0),"✗ 客户不在总览汇总名单里",IF(AND(P2079="应付",K2079=""),"✗ 这笔要选供应商",IF(AND(P2079="应付",COUNTIF(基础资料!$Q$5:$Q$54,K2079)=0),"✗ 供应商不在基础资料里",IF(AND(P2079="费用",L2079=""),"✗ 费用支出要选费用项目",IF(AND(L2079&lt;&gt;"",COUNTIF(基础资料!$AI$5:$AI$54,L2079)=0),"✗ 费用项目不在基础资料里",IF(AND(IFERROR(INDEX(基础资料!$AD$5:$AD$34,MATCH(O2079,基础资料!$AC$5:$AC$34,0)),"")="收",N(G2079)&lt;&gt;0),"✗ 这类是收款，金额填到收入列",IF(AND(IFERROR(INDEX(基础资料!$AD$5:$AD$34,MATCH(O2079,基础资料!$AC$5:$AC$34,0)),"")="支",N(F2079)&lt;&gt;0),"✗ 这类是付款，金额填到支出列",IF(N(H2079)&lt;0,"⚠ 账户余额成负数了，核对一下","√"))))))))))))))))))</f>
      </c>
      <c r="O2079" s="78">
        <f>IF(D2079&lt;&gt;"",D2079,IF(AND(F2079="",G2079=""),"",IF(J2079&lt;&gt;"",IF(N(F2079)&gt;0,"客户回款","客户退款"),IF(K2079&lt;&gt;"",IF(N(G2079)&gt;0,"供应商付款","供应商退款"),IF(L2079&lt;&gt;"","费用支出","")))))</f>
      </c>
      <c r="P2079" s="78">
        <f>IF(O2079="","",IFERROR(INDEX(基础资料!$AE$5:$AE$34,MATCH(O2079,基础资料!$AC$5:$AC$34,0)),"未知"))</f>
      </c>
      <c r="Q2079" s="78">
        <f>IF(P2079="应收",COUNTIF(P$7:P2079,"应收"),"")</f>
      </c>
      <c r="R2079" s="78">
        <f>IF(P2079="应付",COUNTIF(P$7:P2079,"应付"),"")</f>
      </c>
      <c r="S2079" s="78">
        <f>N(F2079)-N(G2079)</f>
        <v>0</v>
      </c>
    </row>
    <row r="2080">
      <c r="A2080" s="109">
        <f>IF(AND(F2080="",G2080=""),"",ROW()-6)</f>
      </c>
      <c r="B2080" s="140" t="n"/>
      <c r="C2080" s="141" t="n"/>
      <c r="D2080" s="141" t="n"/>
      <c r="E2080" s="142" t="n"/>
      <c r="F2080" s="143" t="n"/>
      <c r="G2080" s="144" t="n"/>
      <c r="H2080" s="145">
        <f>IF(OR(C2080="",AND(F2080="",G2080="")),"",SUMIF(基础资料!$W$5:$W$24,C2080,基础资料!$X$5:$X$24)+SUMIF(C$7:C2080,C2080,F$7:F2080)-SUMIF(C$7:C2080,C2080,G$7:G2080))</f>
      </c>
      <c r="I2080" s="145">
        <f>IF(AND(F2080="",G2080=""),"",SUM(基础资料!$X$5:$X$24)+SUM(F$7:F2080)-SUM(G$7:G2080))</f>
      </c>
      <c r="J2080" s="141" t="n"/>
      <c r="K2080" s="141" t="n"/>
      <c r="L2080" s="141" t="n"/>
      <c r="M2080" s="142" t="n"/>
      <c r="N2080" s="146">
        <f>IF(AND(AND(F2080="",G2080=""),B2080="",C2080="",D2080="",J2080="",K2080="",L2080=""),"",IF(AND(F2080="",G2080=""),"✗ 没填金额",IF(AND(N(F2080)&lt;&gt;0,N(G2080)&lt;&gt;0),"✗ 收入、支出只能填一边",IF(NOT(ISNUMBER(B2080)),"✗ 日期不是真日期（要像 2026/9/25 这样填）",IF(OR(B2080&lt;年初日,B2080&gt;年末日),"✗ 日期不在本会计年度",IF(C2080="","✗ 没选账户",IF(COUNTIF(基础资料!$W$5:$W$24,C2080)=0,"✗ 账户不在基础资料里",IF(O2080="","✗ 没选收支项目",IF(P2080="未知","✗ 收支项目不在基础资料里",IF(AND(P2080="应收",J2080=""),"✗ 这笔要选客户",IF(AND(P2080="应收",COUNTIF(总览汇总!$B$5:$B$304,J2080)=0),"✗ 客户不在总览汇总名单里",IF(AND(P2080="应付",K2080=""),"✗ 这笔要选供应商",IF(AND(P2080="应付",COUNTIF(基础资料!$Q$5:$Q$54,K2080)=0),"✗ 供应商不在基础资料里",IF(AND(P2080="费用",L2080=""),"✗ 费用支出要选费用项目",IF(AND(L2080&lt;&gt;"",COUNTIF(基础资料!$AI$5:$AI$54,L2080)=0),"✗ 费用项目不在基础资料里",IF(AND(IFERROR(INDEX(基础资料!$AD$5:$AD$34,MATCH(O2080,基础资料!$AC$5:$AC$34,0)),"")="收",N(G2080)&lt;&gt;0),"✗ 这类是收款，金额填到收入列",IF(AND(IFERROR(INDEX(基础资料!$AD$5:$AD$34,MATCH(O2080,基础资料!$AC$5:$AC$34,0)),"")="支",N(F2080)&lt;&gt;0),"✗ 这类是付款，金额填到支出列",IF(N(H2080)&lt;0,"⚠ 账户余额成负数了，核对一下","√"))))))))))))))))))</f>
      </c>
      <c r="O2080" s="78">
        <f>IF(D2080&lt;&gt;"",D2080,IF(AND(F2080="",G2080=""),"",IF(J2080&lt;&gt;"",IF(N(F2080)&gt;0,"客户回款","客户退款"),IF(K2080&lt;&gt;"",IF(N(G2080)&gt;0,"供应商付款","供应商退款"),IF(L2080&lt;&gt;"","费用支出","")))))</f>
      </c>
      <c r="P2080" s="78">
        <f>IF(O2080="","",IFERROR(INDEX(基础资料!$AE$5:$AE$34,MATCH(O2080,基础资料!$AC$5:$AC$34,0)),"未知"))</f>
      </c>
      <c r="Q2080" s="78">
        <f>IF(P2080="应收",COUNTIF(P$7:P2080,"应收"),"")</f>
      </c>
      <c r="R2080" s="78">
        <f>IF(P2080="应付",COUNTIF(P$7:P2080,"应付"),"")</f>
      </c>
      <c r="S2080" s="78">
        <f>N(F2080)-N(G2080)</f>
        <v>0</v>
      </c>
    </row>
    <row r="2081">
      <c r="A2081" s="109">
        <f>IF(AND(F2081="",G2081=""),"",ROW()-6)</f>
      </c>
      <c r="B2081" s="140" t="n"/>
      <c r="C2081" s="141" t="n"/>
      <c r="D2081" s="141" t="n"/>
      <c r="E2081" s="142" t="n"/>
      <c r="F2081" s="143" t="n"/>
      <c r="G2081" s="144" t="n"/>
      <c r="H2081" s="145">
        <f>IF(OR(C2081="",AND(F2081="",G2081="")),"",SUMIF(基础资料!$W$5:$W$24,C2081,基础资料!$X$5:$X$24)+SUMIF(C$7:C2081,C2081,F$7:F2081)-SUMIF(C$7:C2081,C2081,G$7:G2081))</f>
      </c>
      <c r="I2081" s="145">
        <f>IF(AND(F2081="",G2081=""),"",SUM(基础资料!$X$5:$X$24)+SUM(F$7:F2081)-SUM(G$7:G2081))</f>
      </c>
      <c r="J2081" s="141" t="n"/>
      <c r="K2081" s="141" t="n"/>
      <c r="L2081" s="141" t="n"/>
      <c r="M2081" s="142" t="n"/>
      <c r="N2081" s="146">
        <f>IF(AND(AND(F2081="",G2081=""),B2081="",C2081="",D2081="",J2081="",K2081="",L2081=""),"",IF(AND(F2081="",G2081=""),"✗ 没填金额",IF(AND(N(F2081)&lt;&gt;0,N(G2081)&lt;&gt;0),"✗ 收入、支出只能填一边",IF(NOT(ISNUMBER(B2081)),"✗ 日期不是真日期（要像 2026/9/25 这样填）",IF(OR(B2081&lt;年初日,B2081&gt;年末日),"✗ 日期不在本会计年度",IF(C2081="","✗ 没选账户",IF(COUNTIF(基础资料!$W$5:$W$24,C2081)=0,"✗ 账户不在基础资料里",IF(O2081="","✗ 没选收支项目",IF(P2081="未知","✗ 收支项目不在基础资料里",IF(AND(P2081="应收",J2081=""),"✗ 这笔要选客户",IF(AND(P2081="应收",COUNTIF(总览汇总!$B$5:$B$304,J2081)=0),"✗ 客户不在总览汇总名单里",IF(AND(P2081="应付",K2081=""),"✗ 这笔要选供应商",IF(AND(P2081="应付",COUNTIF(基础资料!$Q$5:$Q$54,K2081)=0),"✗ 供应商不在基础资料里",IF(AND(P2081="费用",L2081=""),"✗ 费用支出要选费用项目",IF(AND(L2081&lt;&gt;"",COUNTIF(基础资料!$AI$5:$AI$54,L2081)=0),"✗ 费用项目不在基础资料里",IF(AND(IFERROR(INDEX(基础资料!$AD$5:$AD$34,MATCH(O2081,基础资料!$AC$5:$AC$34,0)),"")="收",N(G2081)&lt;&gt;0),"✗ 这类是收款，金额填到收入列",IF(AND(IFERROR(INDEX(基础资料!$AD$5:$AD$34,MATCH(O2081,基础资料!$AC$5:$AC$34,0)),"")="支",N(F2081)&lt;&gt;0),"✗ 这类是付款，金额填到支出列",IF(N(H2081)&lt;0,"⚠ 账户余额成负数了，核对一下","√"))))))))))))))))))</f>
      </c>
      <c r="O2081" s="78">
        <f>IF(D2081&lt;&gt;"",D2081,IF(AND(F2081="",G2081=""),"",IF(J2081&lt;&gt;"",IF(N(F2081)&gt;0,"客户回款","客户退款"),IF(K2081&lt;&gt;"",IF(N(G2081)&gt;0,"供应商付款","供应商退款"),IF(L2081&lt;&gt;"","费用支出","")))))</f>
      </c>
      <c r="P2081" s="78">
        <f>IF(O2081="","",IFERROR(INDEX(基础资料!$AE$5:$AE$34,MATCH(O2081,基础资料!$AC$5:$AC$34,0)),"未知"))</f>
      </c>
      <c r="Q2081" s="78">
        <f>IF(P2081="应收",COUNTIF(P$7:P2081,"应收"),"")</f>
      </c>
      <c r="R2081" s="78">
        <f>IF(P2081="应付",COUNTIF(P$7:P2081,"应付"),"")</f>
      </c>
      <c r="S2081" s="78">
        <f>N(F2081)-N(G2081)</f>
        <v>0</v>
      </c>
    </row>
    <row r="2082">
      <c r="A2082" s="109">
        <f>IF(AND(F2082="",G2082=""),"",ROW()-6)</f>
      </c>
      <c r="B2082" s="140" t="n"/>
      <c r="C2082" s="141" t="n"/>
      <c r="D2082" s="141" t="n"/>
      <c r="E2082" s="142" t="n"/>
      <c r="F2082" s="143" t="n"/>
      <c r="G2082" s="144" t="n"/>
      <c r="H2082" s="145">
        <f>IF(OR(C2082="",AND(F2082="",G2082="")),"",SUMIF(基础资料!$W$5:$W$24,C2082,基础资料!$X$5:$X$24)+SUMIF(C$7:C2082,C2082,F$7:F2082)-SUMIF(C$7:C2082,C2082,G$7:G2082))</f>
      </c>
      <c r="I2082" s="145">
        <f>IF(AND(F2082="",G2082=""),"",SUM(基础资料!$X$5:$X$24)+SUM(F$7:F2082)-SUM(G$7:G2082))</f>
      </c>
      <c r="J2082" s="141" t="n"/>
      <c r="K2082" s="141" t="n"/>
      <c r="L2082" s="141" t="n"/>
      <c r="M2082" s="142" t="n"/>
      <c r="N2082" s="146">
        <f>IF(AND(AND(F2082="",G2082=""),B2082="",C2082="",D2082="",J2082="",K2082="",L2082=""),"",IF(AND(F2082="",G2082=""),"✗ 没填金额",IF(AND(N(F2082)&lt;&gt;0,N(G2082)&lt;&gt;0),"✗ 收入、支出只能填一边",IF(NOT(ISNUMBER(B2082)),"✗ 日期不是真日期（要像 2026/9/25 这样填）",IF(OR(B2082&lt;年初日,B2082&gt;年末日),"✗ 日期不在本会计年度",IF(C2082="","✗ 没选账户",IF(COUNTIF(基础资料!$W$5:$W$24,C2082)=0,"✗ 账户不在基础资料里",IF(O2082="","✗ 没选收支项目",IF(P2082="未知","✗ 收支项目不在基础资料里",IF(AND(P2082="应收",J2082=""),"✗ 这笔要选客户",IF(AND(P2082="应收",COUNTIF(总览汇总!$B$5:$B$304,J2082)=0),"✗ 客户不在总览汇总名单里",IF(AND(P2082="应付",K2082=""),"✗ 这笔要选供应商",IF(AND(P2082="应付",COUNTIF(基础资料!$Q$5:$Q$54,K2082)=0),"✗ 供应商不在基础资料里",IF(AND(P2082="费用",L2082=""),"✗ 费用支出要选费用项目",IF(AND(L2082&lt;&gt;"",COUNTIF(基础资料!$AI$5:$AI$54,L2082)=0),"✗ 费用项目不在基础资料里",IF(AND(IFERROR(INDEX(基础资料!$AD$5:$AD$34,MATCH(O2082,基础资料!$AC$5:$AC$34,0)),"")="收",N(G2082)&lt;&gt;0),"✗ 这类是收款，金额填到收入列",IF(AND(IFERROR(INDEX(基础资料!$AD$5:$AD$34,MATCH(O2082,基础资料!$AC$5:$AC$34,0)),"")="支",N(F2082)&lt;&gt;0),"✗ 这类是付款，金额填到支出列",IF(N(H2082)&lt;0,"⚠ 账户余额成负数了，核对一下","√"))))))))))))))))))</f>
      </c>
      <c r="O2082" s="78">
        <f>IF(D2082&lt;&gt;"",D2082,IF(AND(F2082="",G2082=""),"",IF(J2082&lt;&gt;"",IF(N(F2082)&gt;0,"客户回款","客户退款"),IF(K2082&lt;&gt;"",IF(N(G2082)&gt;0,"供应商付款","供应商退款"),IF(L2082&lt;&gt;"","费用支出","")))))</f>
      </c>
      <c r="P2082" s="78">
        <f>IF(O2082="","",IFERROR(INDEX(基础资料!$AE$5:$AE$34,MATCH(O2082,基础资料!$AC$5:$AC$34,0)),"未知"))</f>
      </c>
      <c r="Q2082" s="78">
        <f>IF(P2082="应收",COUNTIF(P$7:P2082,"应收"),"")</f>
      </c>
      <c r="R2082" s="78">
        <f>IF(P2082="应付",COUNTIF(P$7:P2082,"应付"),"")</f>
      </c>
      <c r="S2082" s="78">
        <f>N(F2082)-N(G2082)</f>
        <v>0</v>
      </c>
    </row>
    <row r="2083">
      <c r="A2083" s="109">
        <f>IF(AND(F2083="",G2083=""),"",ROW()-6)</f>
      </c>
      <c r="B2083" s="140" t="n"/>
      <c r="C2083" s="141" t="n"/>
      <c r="D2083" s="141" t="n"/>
      <c r="E2083" s="142" t="n"/>
      <c r="F2083" s="143" t="n"/>
      <c r="G2083" s="144" t="n"/>
      <c r="H2083" s="145">
        <f>IF(OR(C2083="",AND(F2083="",G2083="")),"",SUMIF(基础资料!$W$5:$W$24,C2083,基础资料!$X$5:$X$24)+SUMIF(C$7:C2083,C2083,F$7:F2083)-SUMIF(C$7:C2083,C2083,G$7:G2083))</f>
      </c>
      <c r="I2083" s="145">
        <f>IF(AND(F2083="",G2083=""),"",SUM(基础资料!$X$5:$X$24)+SUM(F$7:F2083)-SUM(G$7:G2083))</f>
      </c>
      <c r="J2083" s="141" t="n"/>
      <c r="K2083" s="141" t="n"/>
      <c r="L2083" s="141" t="n"/>
      <c r="M2083" s="142" t="n"/>
      <c r="N2083" s="146">
        <f>IF(AND(AND(F2083="",G2083=""),B2083="",C2083="",D2083="",J2083="",K2083="",L2083=""),"",IF(AND(F2083="",G2083=""),"✗ 没填金额",IF(AND(N(F2083)&lt;&gt;0,N(G2083)&lt;&gt;0),"✗ 收入、支出只能填一边",IF(NOT(ISNUMBER(B2083)),"✗ 日期不是真日期（要像 2026/9/25 这样填）",IF(OR(B2083&lt;年初日,B2083&gt;年末日),"✗ 日期不在本会计年度",IF(C2083="","✗ 没选账户",IF(COUNTIF(基础资料!$W$5:$W$24,C2083)=0,"✗ 账户不在基础资料里",IF(O2083="","✗ 没选收支项目",IF(P2083="未知","✗ 收支项目不在基础资料里",IF(AND(P2083="应收",J2083=""),"✗ 这笔要选客户",IF(AND(P2083="应收",COUNTIF(总览汇总!$B$5:$B$304,J2083)=0),"✗ 客户不在总览汇总名单里",IF(AND(P2083="应付",K2083=""),"✗ 这笔要选供应商",IF(AND(P2083="应付",COUNTIF(基础资料!$Q$5:$Q$54,K2083)=0),"✗ 供应商不在基础资料里",IF(AND(P2083="费用",L2083=""),"✗ 费用支出要选费用项目",IF(AND(L2083&lt;&gt;"",COUNTIF(基础资料!$AI$5:$AI$54,L2083)=0),"✗ 费用项目不在基础资料里",IF(AND(IFERROR(INDEX(基础资料!$AD$5:$AD$34,MATCH(O2083,基础资料!$AC$5:$AC$34,0)),"")="收",N(G2083)&lt;&gt;0),"✗ 这类是收款，金额填到收入列",IF(AND(IFERROR(INDEX(基础资料!$AD$5:$AD$34,MATCH(O2083,基础资料!$AC$5:$AC$34,0)),"")="支",N(F2083)&lt;&gt;0),"✗ 这类是付款，金额填到支出列",IF(N(H2083)&lt;0,"⚠ 账户余额成负数了，核对一下","√"))))))))))))))))))</f>
      </c>
      <c r="O2083" s="78">
        <f>IF(D2083&lt;&gt;"",D2083,IF(AND(F2083="",G2083=""),"",IF(J2083&lt;&gt;"",IF(N(F2083)&gt;0,"客户回款","客户退款"),IF(K2083&lt;&gt;"",IF(N(G2083)&gt;0,"供应商付款","供应商退款"),IF(L2083&lt;&gt;"","费用支出","")))))</f>
      </c>
      <c r="P2083" s="78">
        <f>IF(O2083="","",IFERROR(INDEX(基础资料!$AE$5:$AE$34,MATCH(O2083,基础资料!$AC$5:$AC$34,0)),"未知"))</f>
      </c>
      <c r="Q2083" s="78">
        <f>IF(P2083="应收",COUNTIF(P$7:P2083,"应收"),"")</f>
      </c>
      <c r="R2083" s="78">
        <f>IF(P2083="应付",COUNTIF(P$7:P2083,"应付"),"")</f>
      </c>
      <c r="S2083" s="78">
        <f>N(F2083)-N(G2083)</f>
        <v>0</v>
      </c>
    </row>
    <row r="2084">
      <c r="A2084" s="109">
        <f>IF(AND(F2084="",G2084=""),"",ROW()-6)</f>
      </c>
      <c r="B2084" s="140" t="n"/>
      <c r="C2084" s="141" t="n"/>
      <c r="D2084" s="141" t="n"/>
      <c r="E2084" s="142" t="n"/>
      <c r="F2084" s="143" t="n"/>
      <c r="G2084" s="144" t="n"/>
      <c r="H2084" s="145">
        <f>IF(OR(C2084="",AND(F2084="",G2084="")),"",SUMIF(基础资料!$W$5:$W$24,C2084,基础资料!$X$5:$X$24)+SUMIF(C$7:C2084,C2084,F$7:F2084)-SUMIF(C$7:C2084,C2084,G$7:G2084))</f>
      </c>
      <c r="I2084" s="145">
        <f>IF(AND(F2084="",G2084=""),"",SUM(基础资料!$X$5:$X$24)+SUM(F$7:F2084)-SUM(G$7:G2084))</f>
      </c>
      <c r="J2084" s="141" t="n"/>
      <c r="K2084" s="141" t="n"/>
      <c r="L2084" s="141" t="n"/>
      <c r="M2084" s="142" t="n"/>
      <c r="N2084" s="146">
        <f>IF(AND(AND(F2084="",G2084=""),B2084="",C2084="",D2084="",J2084="",K2084="",L2084=""),"",IF(AND(F2084="",G2084=""),"✗ 没填金额",IF(AND(N(F2084)&lt;&gt;0,N(G2084)&lt;&gt;0),"✗ 收入、支出只能填一边",IF(NOT(ISNUMBER(B2084)),"✗ 日期不是真日期（要像 2026/9/25 这样填）",IF(OR(B2084&lt;年初日,B2084&gt;年末日),"✗ 日期不在本会计年度",IF(C2084="","✗ 没选账户",IF(COUNTIF(基础资料!$W$5:$W$24,C2084)=0,"✗ 账户不在基础资料里",IF(O2084="","✗ 没选收支项目",IF(P2084="未知","✗ 收支项目不在基础资料里",IF(AND(P2084="应收",J2084=""),"✗ 这笔要选客户",IF(AND(P2084="应收",COUNTIF(总览汇总!$B$5:$B$304,J2084)=0),"✗ 客户不在总览汇总名单里",IF(AND(P2084="应付",K2084=""),"✗ 这笔要选供应商",IF(AND(P2084="应付",COUNTIF(基础资料!$Q$5:$Q$54,K2084)=0),"✗ 供应商不在基础资料里",IF(AND(P2084="费用",L2084=""),"✗ 费用支出要选费用项目",IF(AND(L2084&lt;&gt;"",COUNTIF(基础资料!$AI$5:$AI$54,L2084)=0),"✗ 费用项目不在基础资料里",IF(AND(IFERROR(INDEX(基础资料!$AD$5:$AD$34,MATCH(O2084,基础资料!$AC$5:$AC$34,0)),"")="收",N(G2084)&lt;&gt;0),"✗ 这类是收款，金额填到收入列",IF(AND(IFERROR(INDEX(基础资料!$AD$5:$AD$34,MATCH(O2084,基础资料!$AC$5:$AC$34,0)),"")="支",N(F2084)&lt;&gt;0),"✗ 这类是付款，金额填到支出列",IF(N(H2084)&lt;0,"⚠ 账户余额成负数了，核对一下","√"))))))))))))))))))</f>
      </c>
      <c r="O2084" s="78">
        <f>IF(D2084&lt;&gt;"",D2084,IF(AND(F2084="",G2084=""),"",IF(J2084&lt;&gt;"",IF(N(F2084)&gt;0,"客户回款","客户退款"),IF(K2084&lt;&gt;"",IF(N(G2084)&gt;0,"供应商付款","供应商退款"),IF(L2084&lt;&gt;"","费用支出","")))))</f>
      </c>
      <c r="P2084" s="78">
        <f>IF(O2084="","",IFERROR(INDEX(基础资料!$AE$5:$AE$34,MATCH(O2084,基础资料!$AC$5:$AC$34,0)),"未知"))</f>
      </c>
      <c r="Q2084" s="78">
        <f>IF(P2084="应收",COUNTIF(P$7:P2084,"应收"),"")</f>
      </c>
      <c r="R2084" s="78">
        <f>IF(P2084="应付",COUNTIF(P$7:P2084,"应付"),"")</f>
      </c>
      <c r="S2084" s="78">
        <f>N(F2084)-N(G2084)</f>
        <v>0</v>
      </c>
    </row>
    <row r="2085">
      <c r="A2085" s="109">
        <f>IF(AND(F2085="",G2085=""),"",ROW()-6)</f>
      </c>
      <c r="B2085" s="140" t="n"/>
      <c r="C2085" s="141" t="n"/>
      <c r="D2085" s="141" t="n"/>
      <c r="E2085" s="142" t="n"/>
      <c r="F2085" s="143" t="n"/>
      <c r="G2085" s="144" t="n"/>
      <c r="H2085" s="145">
        <f>IF(OR(C2085="",AND(F2085="",G2085="")),"",SUMIF(基础资料!$W$5:$W$24,C2085,基础资料!$X$5:$X$24)+SUMIF(C$7:C2085,C2085,F$7:F2085)-SUMIF(C$7:C2085,C2085,G$7:G2085))</f>
      </c>
      <c r="I2085" s="145">
        <f>IF(AND(F2085="",G2085=""),"",SUM(基础资料!$X$5:$X$24)+SUM(F$7:F2085)-SUM(G$7:G2085))</f>
      </c>
      <c r="J2085" s="141" t="n"/>
      <c r="K2085" s="141" t="n"/>
      <c r="L2085" s="141" t="n"/>
      <c r="M2085" s="142" t="n"/>
      <c r="N2085" s="146">
        <f>IF(AND(AND(F2085="",G2085=""),B2085="",C2085="",D2085="",J2085="",K2085="",L2085=""),"",IF(AND(F2085="",G2085=""),"✗ 没填金额",IF(AND(N(F2085)&lt;&gt;0,N(G2085)&lt;&gt;0),"✗ 收入、支出只能填一边",IF(NOT(ISNUMBER(B2085)),"✗ 日期不是真日期（要像 2026/9/25 这样填）",IF(OR(B2085&lt;年初日,B2085&gt;年末日),"✗ 日期不在本会计年度",IF(C2085="","✗ 没选账户",IF(COUNTIF(基础资料!$W$5:$W$24,C2085)=0,"✗ 账户不在基础资料里",IF(O2085="","✗ 没选收支项目",IF(P2085="未知","✗ 收支项目不在基础资料里",IF(AND(P2085="应收",J2085=""),"✗ 这笔要选客户",IF(AND(P2085="应收",COUNTIF(总览汇总!$B$5:$B$304,J2085)=0),"✗ 客户不在总览汇总名单里",IF(AND(P2085="应付",K2085=""),"✗ 这笔要选供应商",IF(AND(P2085="应付",COUNTIF(基础资料!$Q$5:$Q$54,K2085)=0),"✗ 供应商不在基础资料里",IF(AND(P2085="费用",L2085=""),"✗ 费用支出要选费用项目",IF(AND(L2085&lt;&gt;"",COUNTIF(基础资料!$AI$5:$AI$54,L2085)=0),"✗ 费用项目不在基础资料里",IF(AND(IFERROR(INDEX(基础资料!$AD$5:$AD$34,MATCH(O2085,基础资料!$AC$5:$AC$34,0)),"")="收",N(G2085)&lt;&gt;0),"✗ 这类是收款，金额填到收入列",IF(AND(IFERROR(INDEX(基础资料!$AD$5:$AD$34,MATCH(O2085,基础资料!$AC$5:$AC$34,0)),"")="支",N(F2085)&lt;&gt;0),"✗ 这类是付款，金额填到支出列",IF(N(H2085)&lt;0,"⚠ 账户余额成负数了，核对一下","√"))))))))))))))))))</f>
      </c>
      <c r="O2085" s="78">
        <f>IF(D2085&lt;&gt;"",D2085,IF(AND(F2085="",G2085=""),"",IF(J2085&lt;&gt;"",IF(N(F2085)&gt;0,"客户回款","客户退款"),IF(K2085&lt;&gt;"",IF(N(G2085)&gt;0,"供应商付款","供应商退款"),IF(L2085&lt;&gt;"","费用支出","")))))</f>
      </c>
      <c r="P2085" s="78">
        <f>IF(O2085="","",IFERROR(INDEX(基础资料!$AE$5:$AE$34,MATCH(O2085,基础资料!$AC$5:$AC$34,0)),"未知"))</f>
      </c>
      <c r="Q2085" s="78">
        <f>IF(P2085="应收",COUNTIF(P$7:P2085,"应收"),"")</f>
      </c>
      <c r="R2085" s="78">
        <f>IF(P2085="应付",COUNTIF(P$7:P2085,"应付"),"")</f>
      </c>
      <c r="S2085" s="78">
        <f>N(F2085)-N(G2085)</f>
        <v>0</v>
      </c>
    </row>
    <row r="2086">
      <c r="A2086" s="109">
        <f>IF(AND(F2086="",G2086=""),"",ROW()-6)</f>
      </c>
      <c r="B2086" s="140" t="n"/>
      <c r="C2086" s="141" t="n"/>
      <c r="D2086" s="141" t="n"/>
      <c r="E2086" s="142" t="n"/>
      <c r="F2086" s="143" t="n"/>
      <c r="G2086" s="144" t="n"/>
      <c r="H2086" s="145">
        <f>IF(OR(C2086="",AND(F2086="",G2086="")),"",SUMIF(基础资料!$W$5:$W$24,C2086,基础资料!$X$5:$X$24)+SUMIF(C$7:C2086,C2086,F$7:F2086)-SUMIF(C$7:C2086,C2086,G$7:G2086))</f>
      </c>
      <c r="I2086" s="145">
        <f>IF(AND(F2086="",G2086=""),"",SUM(基础资料!$X$5:$X$24)+SUM(F$7:F2086)-SUM(G$7:G2086))</f>
      </c>
      <c r="J2086" s="141" t="n"/>
      <c r="K2086" s="141" t="n"/>
      <c r="L2086" s="141" t="n"/>
      <c r="M2086" s="142" t="n"/>
      <c r="N2086" s="146">
        <f>IF(AND(AND(F2086="",G2086=""),B2086="",C2086="",D2086="",J2086="",K2086="",L2086=""),"",IF(AND(F2086="",G2086=""),"✗ 没填金额",IF(AND(N(F2086)&lt;&gt;0,N(G2086)&lt;&gt;0),"✗ 收入、支出只能填一边",IF(NOT(ISNUMBER(B2086)),"✗ 日期不是真日期（要像 2026/9/25 这样填）",IF(OR(B2086&lt;年初日,B2086&gt;年末日),"✗ 日期不在本会计年度",IF(C2086="","✗ 没选账户",IF(COUNTIF(基础资料!$W$5:$W$24,C2086)=0,"✗ 账户不在基础资料里",IF(O2086="","✗ 没选收支项目",IF(P2086="未知","✗ 收支项目不在基础资料里",IF(AND(P2086="应收",J2086=""),"✗ 这笔要选客户",IF(AND(P2086="应收",COUNTIF(总览汇总!$B$5:$B$304,J2086)=0),"✗ 客户不在总览汇总名单里",IF(AND(P2086="应付",K2086=""),"✗ 这笔要选供应商",IF(AND(P2086="应付",COUNTIF(基础资料!$Q$5:$Q$54,K2086)=0),"✗ 供应商不在基础资料里",IF(AND(P2086="费用",L2086=""),"✗ 费用支出要选费用项目",IF(AND(L2086&lt;&gt;"",COUNTIF(基础资料!$AI$5:$AI$54,L2086)=0),"✗ 费用项目不在基础资料里",IF(AND(IFERROR(INDEX(基础资料!$AD$5:$AD$34,MATCH(O2086,基础资料!$AC$5:$AC$34,0)),"")="收",N(G2086)&lt;&gt;0),"✗ 这类是收款，金额填到收入列",IF(AND(IFERROR(INDEX(基础资料!$AD$5:$AD$34,MATCH(O2086,基础资料!$AC$5:$AC$34,0)),"")="支",N(F2086)&lt;&gt;0),"✗ 这类是付款，金额填到支出列",IF(N(H2086)&lt;0,"⚠ 账户余额成负数了，核对一下","√"))))))))))))))))))</f>
      </c>
      <c r="O2086" s="78">
        <f>IF(D2086&lt;&gt;"",D2086,IF(AND(F2086="",G2086=""),"",IF(J2086&lt;&gt;"",IF(N(F2086)&gt;0,"客户回款","客户退款"),IF(K2086&lt;&gt;"",IF(N(G2086)&gt;0,"供应商付款","供应商退款"),IF(L2086&lt;&gt;"","费用支出","")))))</f>
      </c>
      <c r="P2086" s="78">
        <f>IF(O2086="","",IFERROR(INDEX(基础资料!$AE$5:$AE$34,MATCH(O2086,基础资料!$AC$5:$AC$34,0)),"未知"))</f>
      </c>
      <c r="Q2086" s="78">
        <f>IF(P2086="应收",COUNTIF(P$7:P2086,"应收"),"")</f>
      </c>
      <c r="R2086" s="78">
        <f>IF(P2086="应付",COUNTIF(P$7:P2086,"应付"),"")</f>
      </c>
      <c r="S2086" s="78">
        <f>N(F2086)-N(G2086)</f>
        <v>0</v>
      </c>
    </row>
    <row r="2087">
      <c r="A2087" s="109">
        <f>IF(AND(F2087="",G2087=""),"",ROW()-6)</f>
      </c>
      <c r="B2087" s="140" t="n"/>
      <c r="C2087" s="141" t="n"/>
      <c r="D2087" s="141" t="n"/>
      <c r="E2087" s="142" t="n"/>
      <c r="F2087" s="143" t="n"/>
      <c r="G2087" s="144" t="n"/>
      <c r="H2087" s="145">
        <f>IF(OR(C2087="",AND(F2087="",G2087="")),"",SUMIF(基础资料!$W$5:$W$24,C2087,基础资料!$X$5:$X$24)+SUMIF(C$7:C2087,C2087,F$7:F2087)-SUMIF(C$7:C2087,C2087,G$7:G2087))</f>
      </c>
      <c r="I2087" s="145">
        <f>IF(AND(F2087="",G2087=""),"",SUM(基础资料!$X$5:$X$24)+SUM(F$7:F2087)-SUM(G$7:G2087))</f>
      </c>
      <c r="J2087" s="141" t="n"/>
      <c r="K2087" s="141" t="n"/>
      <c r="L2087" s="141" t="n"/>
      <c r="M2087" s="142" t="n"/>
      <c r="N2087" s="146">
        <f>IF(AND(AND(F2087="",G2087=""),B2087="",C2087="",D2087="",J2087="",K2087="",L2087=""),"",IF(AND(F2087="",G2087=""),"✗ 没填金额",IF(AND(N(F2087)&lt;&gt;0,N(G2087)&lt;&gt;0),"✗ 收入、支出只能填一边",IF(NOT(ISNUMBER(B2087)),"✗ 日期不是真日期（要像 2026/9/25 这样填）",IF(OR(B2087&lt;年初日,B2087&gt;年末日),"✗ 日期不在本会计年度",IF(C2087="","✗ 没选账户",IF(COUNTIF(基础资料!$W$5:$W$24,C2087)=0,"✗ 账户不在基础资料里",IF(O2087="","✗ 没选收支项目",IF(P2087="未知","✗ 收支项目不在基础资料里",IF(AND(P2087="应收",J2087=""),"✗ 这笔要选客户",IF(AND(P2087="应收",COUNTIF(总览汇总!$B$5:$B$304,J2087)=0),"✗ 客户不在总览汇总名单里",IF(AND(P2087="应付",K2087=""),"✗ 这笔要选供应商",IF(AND(P2087="应付",COUNTIF(基础资料!$Q$5:$Q$54,K2087)=0),"✗ 供应商不在基础资料里",IF(AND(P2087="费用",L2087=""),"✗ 费用支出要选费用项目",IF(AND(L2087&lt;&gt;"",COUNTIF(基础资料!$AI$5:$AI$54,L2087)=0),"✗ 费用项目不在基础资料里",IF(AND(IFERROR(INDEX(基础资料!$AD$5:$AD$34,MATCH(O2087,基础资料!$AC$5:$AC$34,0)),"")="收",N(G2087)&lt;&gt;0),"✗ 这类是收款，金额填到收入列",IF(AND(IFERROR(INDEX(基础资料!$AD$5:$AD$34,MATCH(O2087,基础资料!$AC$5:$AC$34,0)),"")="支",N(F2087)&lt;&gt;0),"✗ 这类是付款，金额填到支出列",IF(N(H2087)&lt;0,"⚠ 账户余额成负数了，核对一下","√"))))))))))))))))))</f>
      </c>
      <c r="O2087" s="78">
        <f>IF(D2087&lt;&gt;"",D2087,IF(AND(F2087="",G2087=""),"",IF(J2087&lt;&gt;"",IF(N(F2087)&gt;0,"客户回款","客户退款"),IF(K2087&lt;&gt;"",IF(N(G2087)&gt;0,"供应商付款","供应商退款"),IF(L2087&lt;&gt;"","费用支出","")))))</f>
      </c>
      <c r="P2087" s="78">
        <f>IF(O2087="","",IFERROR(INDEX(基础资料!$AE$5:$AE$34,MATCH(O2087,基础资料!$AC$5:$AC$34,0)),"未知"))</f>
      </c>
      <c r="Q2087" s="78">
        <f>IF(P2087="应收",COUNTIF(P$7:P2087,"应收"),"")</f>
      </c>
      <c r="R2087" s="78">
        <f>IF(P2087="应付",COUNTIF(P$7:P2087,"应付"),"")</f>
      </c>
      <c r="S2087" s="78">
        <f>N(F2087)-N(G2087)</f>
        <v>0</v>
      </c>
    </row>
    <row r="2088">
      <c r="A2088" s="109">
        <f>IF(AND(F2088="",G2088=""),"",ROW()-6)</f>
      </c>
      <c r="B2088" s="140" t="n"/>
      <c r="C2088" s="141" t="n"/>
      <c r="D2088" s="141" t="n"/>
      <c r="E2088" s="142" t="n"/>
      <c r="F2088" s="143" t="n"/>
      <c r="G2088" s="144" t="n"/>
      <c r="H2088" s="145">
        <f>IF(OR(C2088="",AND(F2088="",G2088="")),"",SUMIF(基础资料!$W$5:$W$24,C2088,基础资料!$X$5:$X$24)+SUMIF(C$7:C2088,C2088,F$7:F2088)-SUMIF(C$7:C2088,C2088,G$7:G2088))</f>
      </c>
      <c r="I2088" s="145">
        <f>IF(AND(F2088="",G2088=""),"",SUM(基础资料!$X$5:$X$24)+SUM(F$7:F2088)-SUM(G$7:G2088))</f>
      </c>
      <c r="J2088" s="141" t="n"/>
      <c r="K2088" s="141" t="n"/>
      <c r="L2088" s="141" t="n"/>
      <c r="M2088" s="142" t="n"/>
      <c r="N2088" s="146">
        <f>IF(AND(AND(F2088="",G2088=""),B2088="",C2088="",D2088="",J2088="",K2088="",L2088=""),"",IF(AND(F2088="",G2088=""),"✗ 没填金额",IF(AND(N(F2088)&lt;&gt;0,N(G2088)&lt;&gt;0),"✗ 收入、支出只能填一边",IF(NOT(ISNUMBER(B2088)),"✗ 日期不是真日期（要像 2026/9/25 这样填）",IF(OR(B2088&lt;年初日,B2088&gt;年末日),"✗ 日期不在本会计年度",IF(C2088="","✗ 没选账户",IF(COUNTIF(基础资料!$W$5:$W$24,C2088)=0,"✗ 账户不在基础资料里",IF(O2088="","✗ 没选收支项目",IF(P2088="未知","✗ 收支项目不在基础资料里",IF(AND(P2088="应收",J2088=""),"✗ 这笔要选客户",IF(AND(P2088="应收",COUNTIF(总览汇总!$B$5:$B$304,J2088)=0),"✗ 客户不在总览汇总名单里",IF(AND(P2088="应付",K2088=""),"✗ 这笔要选供应商",IF(AND(P2088="应付",COUNTIF(基础资料!$Q$5:$Q$54,K2088)=0),"✗ 供应商不在基础资料里",IF(AND(P2088="费用",L2088=""),"✗ 费用支出要选费用项目",IF(AND(L2088&lt;&gt;"",COUNTIF(基础资料!$AI$5:$AI$54,L2088)=0),"✗ 费用项目不在基础资料里",IF(AND(IFERROR(INDEX(基础资料!$AD$5:$AD$34,MATCH(O2088,基础资料!$AC$5:$AC$34,0)),"")="收",N(G2088)&lt;&gt;0),"✗ 这类是收款，金额填到收入列",IF(AND(IFERROR(INDEX(基础资料!$AD$5:$AD$34,MATCH(O2088,基础资料!$AC$5:$AC$34,0)),"")="支",N(F2088)&lt;&gt;0),"✗ 这类是付款，金额填到支出列",IF(N(H2088)&lt;0,"⚠ 账户余额成负数了，核对一下","√"))))))))))))))))))</f>
      </c>
      <c r="O2088" s="78">
        <f>IF(D2088&lt;&gt;"",D2088,IF(AND(F2088="",G2088=""),"",IF(J2088&lt;&gt;"",IF(N(F2088)&gt;0,"客户回款","客户退款"),IF(K2088&lt;&gt;"",IF(N(G2088)&gt;0,"供应商付款","供应商退款"),IF(L2088&lt;&gt;"","费用支出","")))))</f>
      </c>
      <c r="P2088" s="78">
        <f>IF(O2088="","",IFERROR(INDEX(基础资料!$AE$5:$AE$34,MATCH(O2088,基础资料!$AC$5:$AC$34,0)),"未知"))</f>
      </c>
      <c r="Q2088" s="78">
        <f>IF(P2088="应收",COUNTIF(P$7:P2088,"应收"),"")</f>
      </c>
      <c r="R2088" s="78">
        <f>IF(P2088="应付",COUNTIF(P$7:P2088,"应付"),"")</f>
      </c>
      <c r="S2088" s="78">
        <f>N(F2088)-N(G2088)</f>
        <v>0</v>
      </c>
    </row>
    <row r="2089">
      <c r="A2089" s="109">
        <f>IF(AND(F2089="",G2089=""),"",ROW()-6)</f>
      </c>
      <c r="B2089" s="140" t="n"/>
      <c r="C2089" s="141" t="n"/>
      <c r="D2089" s="141" t="n"/>
      <c r="E2089" s="142" t="n"/>
      <c r="F2089" s="143" t="n"/>
      <c r="G2089" s="144" t="n"/>
      <c r="H2089" s="145">
        <f>IF(OR(C2089="",AND(F2089="",G2089="")),"",SUMIF(基础资料!$W$5:$W$24,C2089,基础资料!$X$5:$X$24)+SUMIF(C$7:C2089,C2089,F$7:F2089)-SUMIF(C$7:C2089,C2089,G$7:G2089))</f>
      </c>
      <c r="I2089" s="145">
        <f>IF(AND(F2089="",G2089=""),"",SUM(基础资料!$X$5:$X$24)+SUM(F$7:F2089)-SUM(G$7:G2089))</f>
      </c>
      <c r="J2089" s="141" t="n"/>
      <c r="K2089" s="141" t="n"/>
      <c r="L2089" s="141" t="n"/>
      <c r="M2089" s="142" t="n"/>
      <c r="N2089" s="146">
        <f>IF(AND(AND(F2089="",G2089=""),B2089="",C2089="",D2089="",J2089="",K2089="",L2089=""),"",IF(AND(F2089="",G2089=""),"✗ 没填金额",IF(AND(N(F2089)&lt;&gt;0,N(G2089)&lt;&gt;0),"✗ 收入、支出只能填一边",IF(NOT(ISNUMBER(B2089)),"✗ 日期不是真日期（要像 2026/9/25 这样填）",IF(OR(B2089&lt;年初日,B2089&gt;年末日),"✗ 日期不在本会计年度",IF(C2089="","✗ 没选账户",IF(COUNTIF(基础资料!$W$5:$W$24,C2089)=0,"✗ 账户不在基础资料里",IF(O2089="","✗ 没选收支项目",IF(P2089="未知","✗ 收支项目不在基础资料里",IF(AND(P2089="应收",J2089=""),"✗ 这笔要选客户",IF(AND(P2089="应收",COUNTIF(总览汇总!$B$5:$B$304,J2089)=0),"✗ 客户不在总览汇总名单里",IF(AND(P2089="应付",K2089=""),"✗ 这笔要选供应商",IF(AND(P2089="应付",COUNTIF(基础资料!$Q$5:$Q$54,K2089)=0),"✗ 供应商不在基础资料里",IF(AND(P2089="费用",L2089=""),"✗ 费用支出要选费用项目",IF(AND(L2089&lt;&gt;"",COUNTIF(基础资料!$AI$5:$AI$54,L2089)=0),"✗ 费用项目不在基础资料里",IF(AND(IFERROR(INDEX(基础资料!$AD$5:$AD$34,MATCH(O2089,基础资料!$AC$5:$AC$34,0)),"")="收",N(G2089)&lt;&gt;0),"✗ 这类是收款，金额填到收入列",IF(AND(IFERROR(INDEX(基础资料!$AD$5:$AD$34,MATCH(O2089,基础资料!$AC$5:$AC$34,0)),"")="支",N(F2089)&lt;&gt;0),"✗ 这类是付款，金额填到支出列",IF(N(H2089)&lt;0,"⚠ 账户余额成负数了，核对一下","√"))))))))))))))))))</f>
      </c>
      <c r="O2089" s="78">
        <f>IF(D2089&lt;&gt;"",D2089,IF(AND(F2089="",G2089=""),"",IF(J2089&lt;&gt;"",IF(N(F2089)&gt;0,"客户回款","客户退款"),IF(K2089&lt;&gt;"",IF(N(G2089)&gt;0,"供应商付款","供应商退款"),IF(L2089&lt;&gt;"","费用支出","")))))</f>
      </c>
      <c r="P2089" s="78">
        <f>IF(O2089="","",IFERROR(INDEX(基础资料!$AE$5:$AE$34,MATCH(O2089,基础资料!$AC$5:$AC$34,0)),"未知"))</f>
      </c>
      <c r="Q2089" s="78">
        <f>IF(P2089="应收",COUNTIF(P$7:P2089,"应收"),"")</f>
      </c>
      <c r="R2089" s="78">
        <f>IF(P2089="应付",COUNTIF(P$7:P2089,"应付"),"")</f>
      </c>
      <c r="S2089" s="78">
        <f>N(F2089)-N(G2089)</f>
        <v>0</v>
      </c>
    </row>
    <row r="2090">
      <c r="A2090" s="109">
        <f>IF(AND(F2090="",G2090=""),"",ROW()-6)</f>
      </c>
      <c r="B2090" s="140" t="n"/>
      <c r="C2090" s="141" t="n"/>
      <c r="D2090" s="141" t="n"/>
      <c r="E2090" s="142" t="n"/>
      <c r="F2090" s="143" t="n"/>
      <c r="G2090" s="144" t="n"/>
      <c r="H2090" s="145">
        <f>IF(OR(C2090="",AND(F2090="",G2090="")),"",SUMIF(基础资料!$W$5:$W$24,C2090,基础资料!$X$5:$X$24)+SUMIF(C$7:C2090,C2090,F$7:F2090)-SUMIF(C$7:C2090,C2090,G$7:G2090))</f>
      </c>
      <c r="I2090" s="145">
        <f>IF(AND(F2090="",G2090=""),"",SUM(基础资料!$X$5:$X$24)+SUM(F$7:F2090)-SUM(G$7:G2090))</f>
      </c>
      <c r="J2090" s="141" t="n"/>
      <c r="K2090" s="141" t="n"/>
      <c r="L2090" s="141" t="n"/>
      <c r="M2090" s="142" t="n"/>
      <c r="N2090" s="146">
        <f>IF(AND(AND(F2090="",G2090=""),B2090="",C2090="",D2090="",J2090="",K2090="",L2090=""),"",IF(AND(F2090="",G2090=""),"✗ 没填金额",IF(AND(N(F2090)&lt;&gt;0,N(G2090)&lt;&gt;0),"✗ 收入、支出只能填一边",IF(NOT(ISNUMBER(B2090)),"✗ 日期不是真日期（要像 2026/9/25 这样填）",IF(OR(B2090&lt;年初日,B2090&gt;年末日),"✗ 日期不在本会计年度",IF(C2090="","✗ 没选账户",IF(COUNTIF(基础资料!$W$5:$W$24,C2090)=0,"✗ 账户不在基础资料里",IF(O2090="","✗ 没选收支项目",IF(P2090="未知","✗ 收支项目不在基础资料里",IF(AND(P2090="应收",J2090=""),"✗ 这笔要选客户",IF(AND(P2090="应收",COUNTIF(总览汇总!$B$5:$B$304,J2090)=0),"✗ 客户不在总览汇总名单里",IF(AND(P2090="应付",K2090=""),"✗ 这笔要选供应商",IF(AND(P2090="应付",COUNTIF(基础资料!$Q$5:$Q$54,K2090)=0),"✗ 供应商不在基础资料里",IF(AND(P2090="费用",L2090=""),"✗ 费用支出要选费用项目",IF(AND(L2090&lt;&gt;"",COUNTIF(基础资料!$AI$5:$AI$54,L2090)=0),"✗ 费用项目不在基础资料里",IF(AND(IFERROR(INDEX(基础资料!$AD$5:$AD$34,MATCH(O2090,基础资料!$AC$5:$AC$34,0)),"")="收",N(G2090)&lt;&gt;0),"✗ 这类是收款，金额填到收入列",IF(AND(IFERROR(INDEX(基础资料!$AD$5:$AD$34,MATCH(O2090,基础资料!$AC$5:$AC$34,0)),"")="支",N(F2090)&lt;&gt;0),"✗ 这类是付款，金额填到支出列",IF(N(H2090)&lt;0,"⚠ 账户余额成负数了，核对一下","√"))))))))))))))))))</f>
      </c>
      <c r="O2090" s="78">
        <f>IF(D2090&lt;&gt;"",D2090,IF(AND(F2090="",G2090=""),"",IF(J2090&lt;&gt;"",IF(N(F2090)&gt;0,"客户回款","客户退款"),IF(K2090&lt;&gt;"",IF(N(G2090)&gt;0,"供应商付款","供应商退款"),IF(L2090&lt;&gt;"","费用支出","")))))</f>
      </c>
      <c r="P2090" s="78">
        <f>IF(O2090="","",IFERROR(INDEX(基础资料!$AE$5:$AE$34,MATCH(O2090,基础资料!$AC$5:$AC$34,0)),"未知"))</f>
      </c>
      <c r="Q2090" s="78">
        <f>IF(P2090="应收",COUNTIF(P$7:P2090,"应收"),"")</f>
      </c>
      <c r="R2090" s="78">
        <f>IF(P2090="应付",COUNTIF(P$7:P2090,"应付"),"")</f>
      </c>
      <c r="S2090" s="78">
        <f>N(F2090)-N(G2090)</f>
        <v>0</v>
      </c>
    </row>
    <row r="2091">
      <c r="A2091" s="109">
        <f>IF(AND(F2091="",G2091=""),"",ROW()-6)</f>
      </c>
      <c r="B2091" s="140" t="n"/>
      <c r="C2091" s="141" t="n"/>
      <c r="D2091" s="141" t="n"/>
      <c r="E2091" s="142" t="n"/>
      <c r="F2091" s="143" t="n"/>
      <c r="G2091" s="144" t="n"/>
      <c r="H2091" s="145">
        <f>IF(OR(C2091="",AND(F2091="",G2091="")),"",SUMIF(基础资料!$W$5:$W$24,C2091,基础资料!$X$5:$X$24)+SUMIF(C$7:C2091,C2091,F$7:F2091)-SUMIF(C$7:C2091,C2091,G$7:G2091))</f>
      </c>
      <c r="I2091" s="145">
        <f>IF(AND(F2091="",G2091=""),"",SUM(基础资料!$X$5:$X$24)+SUM(F$7:F2091)-SUM(G$7:G2091))</f>
      </c>
      <c r="J2091" s="141" t="n"/>
      <c r="K2091" s="141" t="n"/>
      <c r="L2091" s="141" t="n"/>
      <c r="M2091" s="142" t="n"/>
      <c r="N2091" s="146">
        <f>IF(AND(AND(F2091="",G2091=""),B2091="",C2091="",D2091="",J2091="",K2091="",L2091=""),"",IF(AND(F2091="",G2091=""),"✗ 没填金额",IF(AND(N(F2091)&lt;&gt;0,N(G2091)&lt;&gt;0),"✗ 收入、支出只能填一边",IF(NOT(ISNUMBER(B2091)),"✗ 日期不是真日期（要像 2026/9/25 这样填）",IF(OR(B2091&lt;年初日,B2091&gt;年末日),"✗ 日期不在本会计年度",IF(C2091="","✗ 没选账户",IF(COUNTIF(基础资料!$W$5:$W$24,C2091)=0,"✗ 账户不在基础资料里",IF(O2091="","✗ 没选收支项目",IF(P2091="未知","✗ 收支项目不在基础资料里",IF(AND(P2091="应收",J2091=""),"✗ 这笔要选客户",IF(AND(P2091="应收",COUNTIF(总览汇总!$B$5:$B$304,J2091)=0),"✗ 客户不在总览汇总名单里",IF(AND(P2091="应付",K2091=""),"✗ 这笔要选供应商",IF(AND(P2091="应付",COUNTIF(基础资料!$Q$5:$Q$54,K2091)=0),"✗ 供应商不在基础资料里",IF(AND(P2091="费用",L2091=""),"✗ 费用支出要选费用项目",IF(AND(L2091&lt;&gt;"",COUNTIF(基础资料!$AI$5:$AI$54,L2091)=0),"✗ 费用项目不在基础资料里",IF(AND(IFERROR(INDEX(基础资料!$AD$5:$AD$34,MATCH(O2091,基础资料!$AC$5:$AC$34,0)),"")="收",N(G2091)&lt;&gt;0),"✗ 这类是收款，金额填到收入列",IF(AND(IFERROR(INDEX(基础资料!$AD$5:$AD$34,MATCH(O2091,基础资料!$AC$5:$AC$34,0)),"")="支",N(F2091)&lt;&gt;0),"✗ 这类是付款，金额填到支出列",IF(N(H2091)&lt;0,"⚠ 账户余额成负数了，核对一下","√"))))))))))))))))))</f>
      </c>
      <c r="O2091" s="78">
        <f>IF(D2091&lt;&gt;"",D2091,IF(AND(F2091="",G2091=""),"",IF(J2091&lt;&gt;"",IF(N(F2091)&gt;0,"客户回款","客户退款"),IF(K2091&lt;&gt;"",IF(N(G2091)&gt;0,"供应商付款","供应商退款"),IF(L2091&lt;&gt;"","费用支出","")))))</f>
      </c>
      <c r="P2091" s="78">
        <f>IF(O2091="","",IFERROR(INDEX(基础资料!$AE$5:$AE$34,MATCH(O2091,基础资料!$AC$5:$AC$34,0)),"未知"))</f>
      </c>
      <c r="Q2091" s="78">
        <f>IF(P2091="应收",COUNTIF(P$7:P2091,"应收"),"")</f>
      </c>
      <c r="R2091" s="78">
        <f>IF(P2091="应付",COUNTIF(P$7:P2091,"应付"),"")</f>
      </c>
      <c r="S2091" s="78">
        <f>N(F2091)-N(G2091)</f>
        <v>0</v>
      </c>
    </row>
    <row r="2092">
      <c r="A2092" s="109">
        <f>IF(AND(F2092="",G2092=""),"",ROW()-6)</f>
      </c>
      <c r="B2092" s="140" t="n"/>
      <c r="C2092" s="141" t="n"/>
      <c r="D2092" s="141" t="n"/>
      <c r="E2092" s="142" t="n"/>
      <c r="F2092" s="143" t="n"/>
      <c r="G2092" s="144" t="n"/>
      <c r="H2092" s="145">
        <f>IF(OR(C2092="",AND(F2092="",G2092="")),"",SUMIF(基础资料!$W$5:$W$24,C2092,基础资料!$X$5:$X$24)+SUMIF(C$7:C2092,C2092,F$7:F2092)-SUMIF(C$7:C2092,C2092,G$7:G2092))</f>
      </c>
      <c r="I2092" s="145">
        <f>IF(AND(F2092="",G2092=""),"",SUM(基础资料!$X$5:$X$24)+SUM(F$7:F2092)-SUM(G$7:G2092))</f>
      </c>
      <c r="J2092" s="141" t="n"/>
      <c r="K2092" s="141" t="n"/>
      <c r="L2092" s="141" t="n"/>
      <c r="M2092" s="142" t="n"/>
      <c r="N2092" s="146">
        <f>IF(AND(AND(F2092="",G2092=""),B2092="",C2092="",D2092="",J2092="",K2092="",L2092=""),"",IF(AND(F2092="",G2092=""),"✗ 没填金额",IF(AND(N(F2092)&lt;&gt;0,N(G2092)&lt;&gt;0),"✗ 收入、支出只能填一边",IF(NOT(ISNUMBER(B2092)),"✗ 日期不是真日期（要像 2026/9/25 这样填）",IF(OR(B2092&lt;年初日,B2092&gt;年末日),"✗ 日期不在本会计年度",IF(C2092="","✗ 没选账户",IF(COUNTIF(基础资料!$W$5:$W$24,C2092)=0,"✗ 账户不在基础资料里",IF(O2092="","✗ 没选收支项目",IF(P2092="未知","✗ 收支项目不在基础资料里",IF(AND(P2092="应收",J2092=""),"✗ 这笔要选客户",IF(AND(P2092="应收",COUNTIF(总览汇总!$B$5:$B$304,J2092)=0),"✗ 客户不在总览汇总名单里",IF(AND(P2092="应付",K2092=""),"✗ 这笔要选供应商",IF(AND(P2092="应付",COUNTIF(基础资料!$Q$5:$Q$54,K2092)=0),"✗ 供应商不在基础资料里",IF(AND(P2092="费用",L2092=""),"✗ 费用支出要选费用项目",IF(AND(L2092&lt;&gt;"",COUNTIF(基础资料!$AI$5:$AI$54,L2092)=0),"✗ 费用项目不在基础资料里",IF(AND(IFERROR(INDEX(基础资料!$AD$5:$AD$34,MATCH(O2092,基础资料!$AC$5:$AC$34,0)),"")="收",N(G2092)&lt;&gt;0),"✗ 这类是收款，金额填到收入列",IF(AND(IFERROR(INDEX(基础资料!$AD$5:$AD$34,MATCH(O2092,基础资料!$AC$5:$AC$34,0)),"")="支",N(F2092)&lt;&gt;0),"✗ 这类是付款，金额填到支出列",IF(N(H2092)&lt;0,"⚠ 账户余额成负数了，核对一下","√"))))))))))))))))))</f>
      </c>
      <c r="O2092" s="78">
        <f>IF(D2092&lt;&gt;"",D2092,IF(AND(F2092="",G2092=""),"",IF(J2092&lt;&gt;"",IF(N(F2092)&gt;0,"客户回款","客户退款"),IF(K2092&lt;&gt;"",IF(N(G2092)&gt;0,"供应商付款","供应商退款"),IF(L2092&lt;&gt;"","费用支出","")))))</f>
      </c>
      <c r="P2092" s="78">
        <f>IF(O2092="","",IFERROR(INDEX(基础资料!$AE$5:$AE$34,MATCH(O2092,基础资料!$AC$5:$AC$34,0)),"未知"))</f>
      </c>
      <c r="Q2092" s="78">
        <f>IF(P2092="应收",COUNTIF(P$7:P2092,"应收"),"")</f>
      </c>
      <c r="R2092" s="78">
        <f>IF(P2092="应付",COUNTIF(P$7:P2092,"应付"),"")</f>
      </c>
      <c r="S2092" s="78">
        <f>N(F2092)-N(G2092)</f>
        <v>0</v>
      </c>
    </row>
    <row r="2093">
      <c r="A2093" s="109">
        <f>IF(AND(F2093="",G2093=""),"",ROW()-6)</f>
      </c>
      <c r="B2093" s="140" t="n"/>
      <c r="C2093" s="141" t="n"/>
      <c r="D2093" s="141" t="n"/>
      <c r="E2093" s="142" t="n"/>
      <c r="F2093" s="143" t="n"/>
      <c r="G2093" s="144" t="n"/>
      <c r="H2093" s="145">
        <f>IF(OR(C2093="",AND(F2093="",G2093="")),"",SUMIF(基础资料!$W$5:$W$24,C2093,基础资料!$X$5:$X$24)+SUMIF(C$7:C2093,C2093,F$7:F2093)-SUMIF(C$7:C2093,C2093,G$7:G2093))</f>
      </c>
      <c r="I2093" s="145">
        <f>IF(AND(F2093="",G2093=""),"",SUM(基础资料!$X$5:$X$24)+SUM(F$7:F2093)-SUM(G$7:G2093))</f>
      </c>
      <c r="J2093" s="141" t="n"/>
      <c r="K2093" s="141" t="n"/>
      <c r="L2093" s="141" t="n"/>
      <c r="M2093" s="142" t="n"/>
      <c r="N2093" s="146">
        <f>IF(AND(AND(F2093="",G2093=""),B2093="",C2093="",D2093="",J2093="",K2093="",L2093=""),"",IF(AND(F2093="",G2093=""),"✗ 没填金额",IF(AND(N(F2093)&lt;&gt;0,N(G2093)&lt;&gt;0),"✗ 收入、支出只能填一边",IF(NOT(ISNUMBER(B2093)),"✗ 日期不是真日期（要像 2026/9/25 这样填）",IF(OR(B2093&lt;年初日,B2093&gt;年末日),"✗ 日期不在本会计年度",IF(C2093="","✗ 没选账户",IF(COUNTIF(基础资料!$W$5:$W$24,C2093)=0,"✗ 账户不在基础资料里",IF(O2093="","✗ 没选收支项目",IF(P2093="未知","✗ 收支项目不在基础资料里",IF(AND(P2093="应收",J2093=""),"✗ 这笔要选客户",IF(AND(P2093="应收",COUNTIF(总览汇总!$B$5:$B$304,J2093)=0),"✗ 客户不在总览汇总名单里",IF(AND(P2093="应付",K2093=""),"✗ 这笔要选供应商",IF(AND(P2093="应付",COUNTIF(基础资料!$Q$5:$Q$54,K2093)=0),"✗ 供应商不在基础资料里",IF(AND(P2093="费用",L2093=""),"✗ 费用支出要选费用项目",IF(AND(L2093&lt;&gt;"",COUNTIF(基础资料!$AI$5:$AI$54,L2093)=0),"✗ 费用项目不在基础资料里",IF(AND(IFERROR(INDEX(基础资料!$AD$5:$AD$34,MATCH(O2093,基础资料!$AC$5:$AC$34,0)),"")="收",N(G2093)&lt;&gt;0),"✗ 这类是收款，金额填到收入列",IF(AND(IFERROR(INDEX(基础资料!$AD$5:$AD$34,MATCH(O2093,基础资料!$AC$5:$AC$34,0)),"")="支",N(F2093)&lt;&gt;0),"✗ 这类是付款，金额填到支出列",IF(N(H2093)&lt;0,"⚠ 账户余额成负数了，核对一下","√"))))))))))))))))))</f>
      </c>
      <c r="O2093" s="78">
        <f>IF(D2093&lt;&gt;"",D2093,IF(AND(F2093="",G2093=""),"",IF(J2093&lt;&gt;"",IF(N(F2093)&gt;0,"客户回款","客户退款"),IF(K2093&lt;&gt;"",IF(N(G2093)&gt;0,"供应商付款","供应商退款"),IF(L2093&lt;&gt;"","费用支出","")))))</f>
      </c>
      <c r="P2093" s="78">
        <f>IF(O2093="","",IFERROR(INDEX(基础资料!$AE$5:$AE$34,MATCH(O2093,基础资料!$AC$5:$AC$34,0)),"未知"))</f>
      </c>
      <c r="Q2093" s="78">
        <f>IF(P2093="应收",COUNTIF(P$7:P2093,"应收"),"")</f>
      </c>
      <c r="R2093" s="78">
        <f>IF(P2093="应付",COUNTIF(P$7:P2093,"应付"),"")</f>
      </c>
      <c r="S2093" s="78">
        <f>N(F2093)-N(G2093)</f>
        <v>0</v>
      </c>
    </row>
    <row r="2094">
      <c r="A2094" s="109">
        <f>IF(AND(F2094="",G2094=""),"",ROW()-6)</f>
      </c>
      <c r="B2094" s="140" t="n"/>
      <c r="C2094" s="141" t="n"/>
      <c r="D2094" s="141" t="n"/>
      <c r="E2094" s="142" t="n"/>
      <c r="F2094" s="143" t="n"/>
      <c r="G2094" s="144" t="n"/>
      <c r="H2094" s="145">
        <f>IF(OR(C2094="",AND(F2094="",G2094="")),"",SUMIF(基础资料!$W$5:$W$24,C2094,基础资料!$X$5:$X$24)+SUMIF(C$7:C2094,C2094,F$7:F2094)-SUMIF(C$7:C2094,C2094,G$7:G2094))</f>
      </c>
      <c r="I2094" s="145">
        <f>IF(AND(F2094="",G2094=""),"",SUM(基础资料!$X$5:$X$24)+SUM(F$7:F2094)-SUM(G$7:G2094))</f>
      </c>
      <c r="J2094" s="141" t="n"/>
      <c r="K2094" s="141" t="n"/>
      <c r="L2094" s="141" t="n"/>
      <c r="M2094" s="142" t="n"/>
      <c r="N2094" s="146">
        <f>IF(AND(AND(F2094="",G2094=""),B2094="",C2094="",D2094="",J2094="",K2094="",L2094=""),"",IF(AND(F2094="",G2094=""),"✗ 没填金额",IF(AND(N(F2094)&lt;&gt;0,N(G2094)&lt;&gt;0),"✗ 收入、支出只能填一边",IF(NOT(ISNUMBER(B2094)),"✗ 日期不是真日期（要像 2026/9/25 这样填）",IF(OR(B2094&lt;年初日,B2094&gt;年末日),"✗ 日期不在本会计年度",IF(C2094="","✗ 没选账户",IF(COUNTIF(基础资料!$W$5:$W$24,C2094)=0,"✗ 账户不在基础资料里",IF(O2094="","✗ 没选收支项目",IF(P2094="未知","✗ 收支项目不在基础资料里",IF(AND(P2094="应收",J2094=""),"✗ 这笔要选客户",IF(AND(P2094="应收",COUNTIF(总览汇总!$B$5:$B$304,J2094)=0),"✗ 客户不在总览汇总名单里",IF(AND(P2094="应付",K2094=""),"✗ 这笔要选供应商",IF(AND(P2094="应付",COUNTIF(基础资料!$Q$5:$Q$54,K2094)=0),"✗ 供应商不在基础资料里",IF(AND(P2094="费用",L2094=""),"✗ 费用支出要选费用项目",IF(AND(L2094&lt;&gt;"",COUNTIF(基础资料!$AI$5:$AI$54,L2094)=0),"✗ 费用项目不在基础资料里",IF(AND(IFERROR(INDEX(基础资料!$AD$5:$AD$34,MATCH(O2094,基础资料!$AC$5:$AC$34,0)),"")="收",N(G2094)&lt;&gt;0),"✗ 这类是收款，金额填到收入列",IF(AND(IFERROR(INDEX(基础资料!$AD$5:$AD$34,MATCH(O2094,基础资料!$AC$5:$AC$34,0)),"")="支",N(F2094)&lt;&gt;0),"✗ 这类是付款，金额填到支出列",IF(N(H2094)&lt;0,"⚠ 账户余额成负数了，核对一下","√"))))))))))))))))))</f>
      </c>
      <c r="O2094" s="78">
        <f>IF(D2094&lt;&gt;"",D2094,IF(AND(F2094="",G2094=""),"",IF(J2094&lt;&gt;"",IF(N(F2094)&gt;0,"客户回款","客户退款"),IF(K2094&lt;&gt;"",IF(N(G2094)&gt;0,"供应商付款","供应商退款"),IF(L2094&lt;&gt;"","费用支出","")))))</f>
      </c>
      <c r="P2094" s="78">
        <f>IF(O2094="","",IFERROR(INDEX(基础资料!$AE$5:$AE$34,MATCH(O2094,基础资料!$AC$5:$AC$34,0)),"未知"))</f>
      </c>
      <c r="Q2094" s="78">
        <f>IF(P2094="应收",COUNTIF(P$7:P2094,"应收"),"")</f>
      </c>
      <c r="R2094" s="78">
        <f>IF(P2094="应付",COUNTIF(P$7:P2094,"应付"),"")</f>
      </c>
      <c r="S2094" s="78">
        <f>N(F2094)-N(G2094)</f>
        <v>0</v>
      </c>
    </row>
    <row r="2095">
      <c r="A2095" s="109">
        <f>IF(AND(F2095="",G2095=""),"",ROW()-6)</f>
      </c>
      <c r="B2095" s="140" t="n"/>
      <c r="C2095" s="141" t="n"/>
      <c r="D2095" s="141" t="n"/>
      <c r="E2095" s="142" t="n"/>
      <c r="F2095" s="143" t="n"/>
      <c r="G2095" s="144" t="n"/>
      <c r="H2095" s="145">
        <f>IF(OR(C2095="",AND(F2095="",G2095="")),"",SUMIF(基础资料!$W$5:$W$24,C2095,基础资料!$X$5:$X$24)+SUMIF(C$7:C2095,C2095,F$7:F2095)-SUMIF(C$7:C2095,C2095,G$7:G2095))</f>
      </c>
      <c r="I2095" s="145">
        <f>IF(AND(F2095="",G2095=""),"",SUM(基础资料!$X$5:$X$24)+SUM(F$7:F2095)-SUM(G$7:G2095))</f>
      </c>
      <c r="J2095" s="141" t="n"/>
      <c r="K2095" s="141" t="n"/>
      <c r="L2095" s="141" t="n"/>
      <c r="M2095" s="142" t="n"/>
      <c r="N2095" s="146">
        <f>IF(AND(AND(F2095="",G2095=""),B2095="",C2095="",D2095="",J2095="",K2095="",L2095=""),"",IF(AND(F2095="",G2095=""),"✗ 没填金额",IF(AND(N(F2095)&lt;&gt;0,N(G2095)&lt;&gt;0),"✗ 收入、支出只能填一边",IF(NOT(ISNUMBER(B2095)),"✗ 日期不是真日期（要像 2026/9/25 这样填）",IF(OR(B2095&lt;年初日,B2095&gt;年末日),"✗ 日期不在本会计年度",IF(C2095="","✗ 没选账户",IF(COUNTIF(基础资料!$W$5:$W$24,C2095)=0,"✗ 账户不在基础资料里",IF(O2095="","✗ 没选收支项目",IF(P2095="未知","✗ 收支项目不在基础资料里",IF(AND(P2095="应收",J2095=""),"✗ 这笔要选客户",IF(AND(P2095="应收",COUNTIF(总览汇总!$B$5:$B$304,J2095)=0),"✗ 客户不在总览汇总名单里",IF(AND(P2095="应付",K2095=""),"✗ 这笔要选供应商",IF(AND(P2095="应付",COUNTIF(基础资料!$Q$5:$Q$54,K2095)=0),"✗ 供应商不在基础资料里",IF(AND(P2095="费用",L2095=""),"✗ 费用支出要选费用项目",IF(AND(L2095&lt;&gt;"",COUNTIF(基础资料!$AI$5:$AI$54,L2095)=0),"✗ 费用项目不在基础资料里",IF(AND(IFERROR(INDEX(基础资料!$AD$5:$AD$34,MATCH(O2095,基础资料!$AC$5:$AC$34,0)),"")="收",N(G2095)&lt;&gt;0),"✗ 这类是收款，金额填到收入列",IF(AND(IFERROR(INDEX(基础资料!$AD$5:$AD$34,MATCH(O2095,基础资料!$AC$5:$AC$34,0)),"")="支",N(F2095)&lt;&gt;0),"✗ 这类是付款，金额填到支出列",IF(N(H2095)&lt;0,"⚠ 账户余额成负数了，核对一下","√"))))))))))))))))))</f>
      </c>
      <c r="O2095" s="78">
        <f>IF(D2095&lt;&gt;"",D2095,IF(AND(F2095="",G2095=""),"",IF(J2095&lt;&gt;"",IF(N(F2095)&gt;0,"客户回款","客户退款"),IF(K2095&lt;&gt;"",IF(N(G2095)&gt;0,"供应商付款","供应商退款"),IF(L2095&lt;&gt;"","费用支出","")))))</f>
      </c>
      <c r="P2095" s="78">
        <f>IF(O2095="","",IFERROR(INDEX(基础资料!$AE$5:$AE$34,MATCH(O2095,基础资料!$AC$5:$AC$34,0)),"未知"))</f>
      </c>
      <c r="Q2095" s="78">
        <f>IF(P2095="应收",COUNTIF(P$7:P2095,"应收"),"")</f>
      </c>
      <c r="R2095" s="78">
        <f>IF(P2095="应付",COUNTIF(P$7:P2095,"应付"),"")</f>
      </c>
      <c r="S2095" s="78">
        <f>N(F2095)-N(G2095)</f>
        <v>0</v>
      </c>
    </row>
    <row r="2096">
      <c r="A2096" s="109">
        <f>IF(AND(F2096="",G2096=""),"",ROW()-6)</f>
      </c>
      <c r="B2096" s="140" t="n"/>
      <c r="C2096" s="141" t="n"/>
      <c r="D2096" s="141" t="n"/>
      <c r="E2096" s="142" t="n"/>
      <c r="F2096" s="143" t="n"/>
      <c r="G2096" s="144" t="n"/>
      <c r="H2096" s="145">
        <f>IF(OR(C2096="",AND(F2096="",G2096="")),"",SUMIF(基础资料!$W$5:$W$24,C2096,基础资料!$X$5:$X$24)+SUMIF(C$7:C2096,C2096,F$7:F2096)-SUMIF(C$7:C2096,C2096,G$7:G2096))</f>
      </c>
      <c r="I2096" s="145">
        <f>IF(AND(F2096="",G2096=""),"",SUM(基础资料!$X$5:$X$24)+SUM(F$7:F2096)-SUM(G$7:G2096))</f>
      </c>
      <c r="J2096" s="141" t="n"/>
      <c r="K2096" s="141" t="n"/>
      <c r="L2096" s="141" t="n"/>
      <c r="M2096" s="142" t="n"/>
      <c r="N2096" s="146">
        <f>IF(AND(AND(F2096="",G2096=""),B2096="",C2096="",D2096="",J2096="",K2096="",L2096=""),"",IF(AND(F2096="",G2096=""),"✗ 没填金额",IF(AND(N(F2096)&lt;&gt;0,N(G2096)&lt;&gt;0),"✗ 收入、支出只能填一边",IF(NOT(ISNUMBER(B2096)),"✗ 日期不是真日期（要像 2026/9/25 这样填）",IF(OR(B2096&lt;年初日,B2096&gt;年末日),"✗ 日期不在本会计年度",IF(C2096="","✗ 没选账户",IF(COUNTIF(基础资料!$W$5:$W$24,C2096)=0,"✗ 账户不在基础资料里",IF(O2096="","✗ 没选收支项目",IF(P2096="未知","✗ 收支项目不在基础资料里",IF(AND(P2096="应收",J2096=""),"✗ 这笔要选客户",IF(AND(P2096="应收",COUNTIF(总览汇总!$B$5:$B$304,J2096)=0),"✗ 客户不在总览汇总名单里",IF(AND(P2096="应付",K2096=""),"✗ 这笔要选供应商",IF(AND(P2096="应付",COUNTIF(基础资料!$Q$5:$Q$54,K2096)=0),"✗ 供应商不在基础资料里",IF(AND(P2096="费用",L2096=""),"✗ 费用支出要选费用项目",IF(AND(L2096&lt;&gt;"",COUNTIF(基础资料!$AI$5:$AI$54,L2096)=0),"✗ 费用项目不在基础资料里",IF(AND(IFERROR(INDEX(基础资料!$AD$5:$AD$34,MATCH(O2096,基础资料!$AC$5:$AC$34,0)),"")="收",N(G2096)&lt;&gt;0),"✗ 这类是收款，金额填到收入列",IF(AND(IFERROR(INDEX(基础资料!$AD$5:$AD$34,MATCH(O2096,基础资料!$AC$5:$AC$34,0)),"")="支",N(F2096)&lt;&gt;0),"✗ 这类是付款，金额填到支出列",IF(N(H2096)&lt;0,"⚠ 账户余额成负数了，核对一下","√"))))))))))))))))))</f>
      </c>
      <c r="O2096" s="78">
        <f>IF(D2096&lt;&gt;"",D2096,IF(AND(F2096="",G2096=""),"",IF(J2096&lt;&gt;"",IF(N(F2096)&gt;0,"客户回款","客户退款"),IF(K2096&lt;&gt;"",IF(N(G2096)&gt;0,"供应商付款","供应商退款"),IF(L2096&lt;&gt;"","费用支出","")))))</f>
      </c>
      <c r="P2096" s="78">
        <f>IF(O2096="","",IFERROR(INDEX(基础资料!$AE$5:$AE$34,MATCH(O2096,基础资料!$AC$5:$AC$34,0)),"未知"))</f>
      </c>
      <c r="Q2096" s="78">
        <f>IF(P2096="应收",COUNTIF(P$7:P2096,"应收"),"")</f>
      </c>
      <c r="R2096" s="78">
        <f>IF(P2096="应付",COUNTIF(P$7:P2096,"应付"),"")</f>
      </c>
      <c r="S2096" s="78">
        <f>N(F2096)-N(G2096)</f>
        <v>0</v>
      </c>
    </row>
    <row r="2097">
      <c r="A2097" s="109">
        <f>IF(AND(F2097="",G2097=""),"",ROW()-6)</f>
      </c>
      <c r="B2097" s="140" t="n"/>
      <c r="C2097" s="141" t="n"/>
      <c r="D2097" s="141" t="n"/>
      <c r="E2097" s="142" t="n"/>
      <c r="F2097" s="143" t="n"/>
      <c r="G2097" s="144" t="n"/>
      <c r="H2097" s="145">
        <f>IF(OR(C2097="",AND(F2097="",G2097="")),"",SUMIF(基础资料!$W$5:$W$24,C2097,基础资料!$X$5:$X$24)+SUMIF(C$7:C2097,C2097,F$7:F2097)-SUMIF(C$7:C2097,C2097,G$7:G2097))</f>
      </c>
      <c r="I2097" s="145">
        <f>IF(AND(F2097="",G2097=""),"",SUM(基础资料!$X$5:$X$24)+SUM(F$7:F2097)-SUM(G$7:G2097))</f>
      </c>
      <c r="J2097" s="141" t="n"/>
      <c r="K2097" s="141" t="n"/>
      <c r="L2097" s="141" t="n"/>
      <c r="M2097" s="142" t="n"/>
      <c r="N2097" s="146">
        <f>IF(AND(AND(F2097="",G2097=""),B2097="",C2097="",D2097="",J2097="",K2097="",L2097=""),"",IF(AND(F2097="",G2097=""),"✗ 没填金额",IF(AND(N(F2097)&lt;&gt;0,N(G2097)&lt;&gt;0),"✗ 收入、支出只能填一边",IF(NOT(ISNUMBER(B2097)),"✗ 日期不是真日期（要像 2026/9/25 这样填）",IF(OR(B2097&lt;年初日,B2097&gt;年末日),"✗ 日期不在本会计年度",IF(C2097="","✗ 没选账户",IF(COUNTIF(基础资料!$W$5:$W$24,C2097)=0,"✗ 账户不在基础资料里",IF(O2097="","✗ 没选收支项目",IF(P2097="未知","✗ 收支项目不在基础资料里",IF(AND(P2097="应收",J2097=""),"✗ 这笔要选客户",IF(AND(P2097="应收",COUNTIF(总览汇总!$B$5:$B$304,J2097)=0),"✗ 客户不在总览汇总名单里",IF(AND(P2097="应付",K2097=""),"✗ 这笔要选供应商",IF(AND(P2097="应付",COUNTIF(基础资料!$Q$5:$Q$54,K2097)=0),"✗ 供应商不在基础资料里",IF(AND(P2097="费用",L2097=""),"✗ 费用支出要选费用项目",IF(AND(L2097&lt;&gt;"",COUNTIF(基础资料!$AI$5:$AI$54,L2097)=0),"✗ 费用项目不在基础资料里",IF(AND(IFERROR(INDEX(基础资料!$AD$5:$AD$34,MATCH(O2097,基础资料!$AC$5:$AC$34,0)),"")="收",N(G2097)&lt;&gt;0),"✗ 这类是收款，金额填到收入列",IF(AND(IFERROR(INDEX(基础资料!$AD$5:$AD$34,MATCH(O2097,基础资料!$AC$5:$AC$34,0)),"")="支",N(F2097)&lt;&gt;0),"✗ 这类是付款，金额填到支出列",IF(N(H2097)&lt;0,"⚠ 账户余额成负数了，核对一下","√"))))))))))))))))))</f>
      </c>
      <c r="O2097" s="78">
        <f>IF(D2097&lt;&gt;"",D2097,IF(AND(F2097="",G2097=""),"",IF(J2097&lt;&gt;"",IF(N(F2097)&gt;0,"客户回款","客户退款"),IF(K2097&lt;&gt;"",IF(N(G2097)&gt;0,"供应商付款","供应商退款"),IF(L2097&lt;&gt;"","费用支出","")))))</f>
      </c>
      <c r="P2097" s="78">
        <f>IF(O2097="","",IFERROR(INDEX(基础资料!$AE$5:$AE$34,MATCH(O2097,基础资料!$AC$5:$AC$34,0)),"未知"))</f>
      </c>
      <c r="Q2097" s="78">
        <f>IF(P2097="应收",COUNTIF(P$7:P2097,"应收"),"")</f>
      </c>
      <c r="R2097" s="78">
        <f>IF(P2097="应付",COUNTIF(P$7:P2097,"应付"),"")</f>
      </c>
      <c r="S2097" s="78">
        <f>N(F2097)-N(G2097)</f>
        <v>0</v>
      </c>
    </row>
    <row r="2098">
      <c r="A2098" s="109">
        <f>IF(AND(F2098="",G2098=""),"",ROW()-6)</f>
      </c>
      <c r="B2098" s="140" t="n"/>
      <c r="C2098" s="141" t="n"/>
      <c r="D2098" s="141" t="n"/>
      <c r="E2098" s="142" t="n"/>
      <c r="F2098" s="143" t="n"/>
      <c r="G2098" s="144" t="n"/>
      <c r="H2098" s="145">
        <f>IF(OR(C2098="",AND(F2098="",G2098="")),"",SUMIF(基础资料!$W$5:$W$24,C2098,基础资料!$X$5:$X$24)+SUMIF(C$7:C2098,C2098,F$7:F2098)-SUMIF(C$7:C2098,C2098,G$7:G2098))</f>
      </c>
      <c r="I2098" s="145">
        <f>IF(AND(F2098="",G2098=""),"",SUM(基础资料!$X$5:$X$24)+SUM(F$7:F2098)-SUM(G$7:G2098))</f>
      </c>
      <c r="J2098" s="141" t="n"/>
      <c r="K2098" s="141" t="n"/>
      <c r="L2098" s="141" t="n"/>
      <c r="M2098" s="142" t="n"/>
      <c r="N2098" s="146">
        <f>IF(AND(AND(F2098="",G2098=""),B2098="",C2098="",D2098="",J2098="",K2098="",L2098=""),"",IF(AND(F2098="",G2098=""),"✗ 没填金额",IF(AND(N(F2098)&lt;&gt;0,N(G2098)&lt;&gt;0),"✗ 收入、支出只能填一边",IF(NOT(ISNUMBER(B2098)),"✗ 日期不是真日期（要像 2026/9/25 这样填）",IF(OR(B2098&lt;年初日,B2098&gt;年末日),"✗ 日期不在本会计年度",IF(C2098="","✗ 没选账户",IF(COUNTIF(基础资料!$W$5:$W$24,C2098)=0,"✗ 账户不在基础资料里",IF(O2098="","✗ 没选收支项目",IF(P2098="未知","✗ 收支项目不在基础资料里",IF(AND(P2098="应收",J2098=""),"✗ 这笔要选客户",IF(AND(P2098="应收",COUNTIF(总览汇总!$B$5:$B$304,J2098)=0),"✗ 客户不在总览汇总名单里",IF(AND(P2098="应付",K2098=""),"✗ 这笔要选供应商",IF(AND(P2098="应付",COUNTIF(基础资料!$Q$5:$Q$54,K2098)=0),"✗ 供应商不在基础资料里",IF(AND(P2098="费用",L2098=""),"✗ 费用支出要选费用项目",IF(AND(L2098&lt;&gt;"",COUNTIF(基础资料!$AI$5:$AI$54,L2098)=0),"✗ 费用项目不在基础资料里",IF(AND(IFERROR(INDEX(基础资料!$AD$5:$AD$34,MATCH(O2098,基础资料!$AC$5:$AC$34,0)),"")="收",N(G2098)&lt;&gt;0),"✗ 这类是收款，金额填到收入列",IF(AND(IFERROR(INDEX(基础资料!$AD$5:$AD$34,MATCH(O2098,基础资料!$AC$5:$AC$34,0)),"")="支",N(F2098)&lt;&gt;0),"✗ 这类是付款，金额填到支出列",IF(N(H2098)&lt;0,"⚠ 账户余额成负数了，核对一下","√"))))))))))))))))))</f>
      </c>
      <c r="O2098" s="78">
        <f>IF(D2098&lt;&gt;"",D2098,IF(AND(F2098="",G2098=""),"",IF(J2098&lt;&gt;"",IF(N(F2098)&gt;0,"客户回款","客户退款"),IF(K2098&lt;&gt;"",IF(N(G2098)&gt;0,"供应商付款","供应商退款"),IF(L2098&lt;&gt;"","费用支出","")))))</f>
      </c>
      <c r="P2098" s="78">
        <f>IF(O2098="","",IFERROR(INDEX(基础资料!$AE$5:$AE$34,MATCH(O2098,基础资料!$AC$5:$AC$34,0)),"未知"))</f>
      </c>
      <c r="Q2098" s="78">
        <f>IF(P2098="应收",COUNTIF(P$7:P2098,"应收"),"")</f>
      </c>
      <c r="R2098" s="78">
        <f>IF(P2098="应付",COUNTIF(P$7:P2098,"应付"),"")</f>
      </c>
      <c r="S2098" s="78">
        <f>N(F2098)-N(G2098)</f>
        <v>0</v>
      </c>
    </row>
    <row r="2099">
      <c r="A2099" s="109">
        <f>IF(AND(F2099="",G2099=""),"",ROW()-6)</f>
      </c>
      <c r="B2099" s="140" t="n"/>
      <c r="C2099" s="141" t="n"/>
      <c r="D2099" s="141" t="n"/>
      <c r="E2099" s="142" t="n"/>
      <c r="F2099" s="143" t="n"/>
      <c r="G2099" s="144" t="n"/>
      <c r="H2099" s="145">
        <f>IF(OR(C2099="",AND(F2099="",G2099="")),"",SUMIF(基础资料!$W$5:$W$24,C2099,基础资料!$X$5:$X$24)+SUMIF(C$7:C2099,C2099,F$7:F2099)-SUMIF(C$7:C2099,C2099,G$7:G2099))</f>
      </c>
      <c r="I2099" s="145">
        <f>IF(AND(F2099="",G2099=""),"",SUM(基础资料!$X$5:$X$24)+SUM(F$7:F2099)-SUM(G$7:G2099))</f>
      </c>
      <c r="J2099" s="141" t="n"/>
      <c r="K2099" s="141" t="n"/>
      <c r="L2099" s="141" t="n"/>
      <c r="M2099" s="142" t="n"/>
      <c r="N2099" s="146">
        <f>IF(AND(AND(F2099="",G2099=""),B2099="",C2099="",D2099="",J2099="",K2099="",L2099=""),"",IF(AND(F2099="",G2099=""),"✗ 没填金额",IF(AND(N(F2099)&lt;&gt;0,N(G2099)&lt;&gt;0),"✗ 收入、支出只能填一边",IF(NOT(ISNUMBER(B2099)),"✗ 日期不是真日期（要像 2026/9/25 这样填）",IF(OR(B2099&lt;年初日,B2099&gt;年末日),"✗ 日期不在本会计年度",IF(C2099="","✗ 没选账户",IF(COUNTIF(基础资料!$W$5:$W$24,C2099)=0,"✗ 账户不在基础资料里",IF(O2099="","✗ 没选收支项目",IF(P2099="未知","✗ 收支项目不在基础资料里",IF(AND(P2099="应收",J2099=""),"✗ 这笔要选客户",IF(AND(P2099="应收",COUNTIF(总览汇总!$B$5:$B$304,J2099)=0),"✗ 客户不在总览汇总名单里",IF(AND(P2099="应付",K2099=""),"✗ 这笔要选供应商",IF(AND(P2099="应付",COUNTIF(基础资料!$Q$5:$Q$54,K2099)=0),"✗ 供应商不在基础资料里",IF(AND(P2099="费用",L2099=""),"✗ 费用支出要选费用项目",IF(AND(L2099&lt;&gt;"",COUNTIF(基础资料!$AI$5:$AI$54,L2099)=0),"✗ 费用项目不在基础资料里",IF(AND(IFERROR(INDEX(基础资料!$AD$5:$AD$34,MATCH(O2099,基础资料!$AC$5:$AC$34,0)),"")="收",N(G2099)&lt;&gt;0),"✗ 这类是收款，金额填到收入列",IF(AND(IFERROR(INDEX(基础资料!$AD$5:$AD$34,MATCH(O2099,基础资料!$AC$5:$AC$34,0)),"")="支",N(F2099)&lt;&gt;0),"✗ 这类是付款，金额填到支出列",IF(N(H2099)&lt;0,"⚠ 账户余额成负数了，核对一下","√"))))))))))))))))))</f>
      </c>
      <c r="O2099" s="78">
        <f>IF(D2099&lt;&gt;"",D2099,IF(AND(F2099="",G2099=""),"",IF(J2099&lt;&gt;"",IF(N(F2099)&gt;0,"客户回款","客户退款"),IF(K2099&lt;&gt;"",IF(N(G2099)&gt;0,"供应商付款","供应商退款"),IF(L2099&lt;&gt;"","费用支出","")))))</f>
      </c>
      <c r="P2099" s="78">
        <f>IF(O2099="","",IFERROR(INDEX(基础资料!$AE$5:$AE$34,MATCH(O2099,基础资料!$AC$5:$AC$34,0)),"未知"))</f>
      </c>
      <c r="Q2099" s="78">
        <f>IF(P2099="应收",COUNTIF(P$7:P2099,"应收"),"")</f>
      </c>
      <c r="R2099" s="78">
        <f>IF(P2099="应付",COUNTIF(P$7:P2099,"应付"),"")</f>
      </c>
      <c r="S2099" s="78">
        <f>N(F2099)-N(G2099)</f>
        <v>0</v>
      </c>
    </row>
    <row r="2100">
      <c r="A2100" s="109">
        <f>IF(AND(F2100="",G2100=""),"",ROW()-6)</f>
      </c>
      <c r="B2100" s="140" t="n"/>
      <c r="C2100" s="141" t="n"/>
      <c r="D2100" s="141" t="n"/>
      <c r="E2100" s="142" t="n"/>
      <c r="F2100" s="143" t="n"/>
      <c r="G2100" s="144" t="n"/>
      <c r="H2100" s="145">
        <f>IF(OR(C2100="",AND(F2100="",G2100="")),"",SUMIF(基础资料!$W$5:$W$24,C2100,基础资料!$X$5:$X$24)+SUMIF(C$7:C2100,C2100,F$7:F2100)-SUMIF(C$7:C2100,C2100,G$7:G2100))</f>
      </c>
      <c r="I2100" s="145">
        <f>IF(AND(F2100="",G2100=""),"",SUM(基础资料!$X$5:$X$24)+SUM(F$7:F2100)-SUM(G$7:G2100))</f>
      </c>
      <c r="J2100" s="141" t="n"/>
      <c r="K2100" s="141" t="n"/>
      <c r="L2100" s="141" t="n"/>
      <c r="M2100" s="142" t="n"/>
      <c r="N2100" s="146">
        <f>IF(AND(AND(F2100="",G2100=""),B2100="",C2100="",D2100="",J2100="",K2100="",L2100=""),"",IF(AND(F2100="",G2100=""),"✗ 没填金额",IF(AND(N(F2100)&lt;&gt;0,N(G2100)&lt;&gt;0),"✗ 收入、支出只能填一边",IF(NOT(ISNUMBER(B2100)),"✗ 日期不是真日期（要像 2026/9/25 这样填）",IF(OR(B2100&lt;年初日,B2100&gt;年末日),"✗ 日期不在本会计年度",IF(C2100="","✗ 没选账户",IF(COUNTIF(基础资料!$W$5:$W$24,C2100)=0,"✗ 账户不在基础资料里",IF(O2100="","✗ 没选收支项目",IF(P2100="未知","✗ 收支项目不在基础资料里",IF(AND(P2100="应收",J2100=""),"✗ 这笔要选客户",IF(AND(P2100="应收",COUNTIF(总览汇总!$B$5:$B$304,J2100)=0),"✗ 客户不在总览汇总名单里",IF(AND(P2100="应付",K2100=""),"✗ 这笔要选供应商",IF(AND(P2100="应付",COUNTIF(基础资料!$Q$5:$Q$54,K2100)=0),"✗ 供应商不在基础资料里",IF(AND(P2100="费用",L2100=""),"✗ 费用支出要选费用项目",IF(AND(L2100&lt;&gt;"",COUNTIF(基础资料!$AI$5:$AI$54,L2100)=0),"✗ 费用项目不在基础资料里",IF(AND(IFERROR(INDEX(基础资料!$AD$5:$AD$34,MATCH(O2100,基础资料!$AC$5:$AC$34,0)),"")="收",N(G2100)&lt;&gt;0),"✗ 这类是收款，金额填到收入列",IF(AND(IFERROR(INDEX(基础资料!$AD$5:$AD$34,MATCH(O2100,基础资料!$AC$5:$AC$34,0)),"")="支",N(F2100)&lt;&gt;0),"✗ 这类是付款，金额填到支出列",IF(N(H2100)&lt;0,"⚠ 账户余额成负数了，核对一下","√"))))))))))))))))))</f>
      </c>
      <c r="O2100" s="78">
        <f>IF(D2100&lt;&gt;"",D2100,IF(AND(F2100="",G2100=""),"",IF(J2100&lt;&gt;"",IF(N(F2100)&gt;0,"客户回款","客户退款"),IF(K2100&lt;&gt;"",IF(N(G2100)&gt;0,"供应商付款","供应商退款"),IF(L2100&lt;&gt;"","费用支出","")))))</f>
      </c>
      <c r="P2100" s="78">
        <f>IF(O2100="","",IFERROR(INDEX(基础资料!$AE$5:$AE$34,MATCH(O2100,基础资料!$AC$5:$AC$34,0)),"未知"))</f>
      </c>
      <c r="Q2100" s="78">
        <f>IF(P2100="应收",COUNTIF(P$7:P2100,"应收"),"")</f>
      </c>
      <c r="R2100" s="78">
        <f>IF(P2100="应付",COUNTIF(P$7:P2100,"应付"),"")</f>
      </c>
      <c r="S2100" s="78">
        <f>N(F2100)-N(G2100)</f>
        <v>0</v>
      </c>
    </row>
    <row r="2101">
      <c r="A2101" s="109">
        <f>IF(AND(F2101="",G2101=""),"",ROW()-6)</f>
      </c>
      <c r="B2101" s="140" t="n"/>
      <c r="C2101" s="141" t="n"/>
      <c r="D2101" s="141" t="n"/>
      <c r="E2101" s="142" t="n"/>
      <c r="F2101" s="143" t="n"/>
      <c r="G2101" s="144" t="n"/>
      <c r="H2101" s="145">
        <f>IF(OR(C2101="",AND(F2101="",G2101="")),"",SUMIF(基础资料!$W$5:$W$24,C2101,基础资料!$X$5:$X$24)+SUMIF(C$7:C2101,C2101,F$7:F2101)-SUMIF(C$7:C2101,C2101,G$7:G2101))</f>
      </c>
      <c r="I2101" s="145">
        <f>IF(AND(F2101="",G2101=""),"",SUM(基础资料!$X$5:$X$24)+SUM(F$7:F2101)-SUM(G$7:G2101))</f>
      </c>
      <c r="J2101" s="141" t="n"/>
      <c r="K2101" s="141" t="n"/>
      <c r="L2101" s="141" t="n"/>
      <c r="M2101" s="142" t="n"/>
      <c r="N2101" s="146">
        <f>IF(AND(AND(F2101="",G2101=""),B2101="",C2101="",D2101="",J2101="",K2101="",L2101=""),"",IF(AND(F2101="",G2101=""),"✗ 没填金额",IF(AND(N(F2101)&lt;&gt;0,N(G2101)&lt;&gt;0),"✗ 收入、支出只能填一边",IF(NOT(ISNUMBER(B2101)),"✗ 日期不是真日期（要像 2026/9/25 这样填）",IF(OR(B2101&lt;年初日,B2101&gt;年末日),"✗ 日期不在本会计年度",IF(C2101="","✗ 没选账户",IF(COUNTIF(基础资料!$W$5:$W$24,C2101)=0,"✗ 账户不在基础资料里",IF(O2101="","✗ 没选收支项目",IF(P2101="未知","✗ 收支项目不在基础资料里",IF(AND(P2101="应收",J2101=""),"✗ 这笔要选客户",IF(AND(P2101="应收",COUNTIF(总览汇总!$B$5:$B$304,J2101)=0),"✗ 客户不在总览汇总名单里",IF(AND(P2101="应付",K2101=""),"✗ 这笔要选供应商",IF(AND(P2101="应付",COUNTIF(基础资料!$Q$5:$Q$54,K2101)=0),"✗ 供应商不在基础资料里",IF(AND(P2101="费用",L2101=""),"✗ 费用支出要选费用项目",IF(AND(L2101&lt;&gt;"",COUNTIF(基础资料!$AI$5:$AI$54,L2101)=0),"✗ 费用项目不在基础资料里",IF(AND(IFERROR(INDEX(基础资料!$AD$5:$AD$34,MATCH(O2101,基础资料!$AC$5:$AC$34,0)),"")="收",N(G2101)&lt;&gt;0),"✗ 这类是收款，金额填到收入列",IF(AND(IFERROR(INDEX(基础资料!$AD$5:$AD$34,MATCH(O2101,基础资料!$AC$5:$AC$34,0)),"")="支",N(F2101)&lt;&gt;0),"✗ 这类是付款，金额填到支出列",IF(N(H2101)&lt;0,"⚠ 账户余额成负数了，核对一下","√"))))))))))))))))))</f>
      </c>
      <c r="O2101" s="78">
        <f>IF(D2101&lt;&gt;"",D2101,IF(AND(F2101="",G2101=""),"",IF(J2101&lt;&gt;"",IF(N(F2101)&gt;0,"客户回款","客户退款"),IF(K2101&lt;&gt;"",IF(N(G2101)&gt;0,"供应商付款","供应商退款"),IF(L2101&lt;&gt;"","费用支出","")))))</f>
      </c>
      <c r="P2101" s="78">
        <f>IF(O2101="","",IFERROR(INDEX(基础资料!$AE$5:$AE$34,MATCH(O2101,基础资料!$AC$5:$AC$34,0)),"未知"))</f>
      </c>
      <c r="Q2101" s="78">
        <f>IF(P2101="应收",COUNTIF(P$7:P2101,"应收"),"")</f>
      </c>
      <c r="R2101" s="78">
        <f>IF(P2101="应付",COUNTIF(P$7:P2101,"应付"),"")</f>
      </c>
      <c r="S2101" s="78">
        <f>N(F2101)-N(G2101)</f>
        <v>0</v>
      </c>
    </row>
    <row r="2102">
      <c r="A2102" s="109">
        <f>IF(AND(F2102="",G2102=""),"",ROW()-6)</f>
      </c>
      <c r="B2102" s="140" t="n"/>
      <c r="C2102" s="141" t="n"/>
      <c r="D2102" s="141" t="n"/>
      <c r="E2102" s="142" t="n"/>
      <c r="F2102" s="143" t="n"/>
      <c r="G2102" s="144" t="n"/>
      <c r="H2102" s="145">
        <f>IF(OR(C2102="",AND(F2102="",G2102="")),"",SUMIF(基础资料!$W$5:$W$24,C2102,基础资料!$X$5:$X$24)+SUMIF(C$7:C2102,C2102,F$7:F2102)-SUMIF(C$7:C2102,C2102,G$7:G2102))</f>
      </c>
      <c r="I2102" s="145">
        <f>IF(AND(F2102="",G2102=""),"",SUM(基础资料!$X$5:$X$24)+SUM(F$7:F2102)-SUM(G$7:G2102))</f>
      </c>
      <c r="J2102" s="141" t="n"/>
      <c r="K2102" s="141" t="n"/>
      <c r="L2102" s="141" t="n"/>
      <c r="M2102" s="142" t="n"/>
      <c r="N2102" s="146">
        <f>IF(AND(AND(F2102="",G2102=""),B2102="",C2102="",D2102="",J2102="",K2102="",L2102=""),"",IF(AND(F2102="",G2102=""),"✗ 没填金额",IF(AND(N(F2102)&lt;&gt;0,N(G2102)&lt;&gt;0),"✗ 收入、支出只能填一边",IF(NOT(ISNUMBER(B2102)),"✗ 日期不是真日期（要像 2026/9/25 这样填）",IF(OR(B2102&lt;年初日,B2102&gt;年末日),"✗ 日期不在本会计年度",IF(C2102="","✗ 没选账户",IF(COUNTIF(基础资料!$W$5:$W$24,C2102)=0,"✗ 账户不在基础资料里",IF(O2102="","✗ 没选收支项目",IF(P2102="未知","✗ 收支项目不在基础资料里",IF(AND(P2102="应收",J2102=""),"✗ 这笔要选客户",IF(AND(P2102="应收",COUNTIF(总览汇总!$B$5:$B$304,J2102)=0),"✗ 客户不在总览汇总名单里",IF(AND(P2102="应付",K2102=""),"✗ 这笔要选供应商",IF(AND(P2102="应付",COUNTIF(基础资料!$Q$5:$Q$54,K2102)=0),"✗ 供应商不在基础资料里",IF(AND(P2102="费用",L2102=""),"✗ 费用支出要选费用项目",IF(AND(L2102&lt;&gt;"",COUNTIF(基础资料!$AI$5:$AI$54,L2102)=0),"✗ 费用项目不在基础资料里",IF(AND(IFERROR(INDEX(基础资料!$AD$5:$AD$34,MATCH(O2102,基础资料!$AC$5:$AC$34,0)),"")="收",N(G2102)&lt;&gt;0),"✗ 这类是收款，金额填到收入列",IF(AND(IFERROR(INDEX(基础资料!$AD$5:$AD$34,MATCH(O2102,基础资料!$AC$5:$AC$34,0)),"")="支",N(F2102)&lt;&gt;0),"✗ 这类是付款，金额填到支出列",IF(N(H2102)&lt;0,"⚠ 账户余额成负数了，核对一下","√"))))))))))))))))))</f>
      </c>
      <c r="O2102" s="78">
        <f>IF(D2102&lt;&gt;"",D2102,IF(AND(F2102="",G2102=""),"",IF(J2102&lt;&gt;"",IF(N(F2102)&gt;0,"客户回款","客户退款"),IF(K2102&lt;&gt;"",IF(N(G2102)&gt;0,"供应商付款","供应商退款"),IF(L2102&lt;&gt;"","费用支出","")))))</f>
      </c>
      <c r="P2102" s="78">
        <f>IF(O2102="","",IFERROR(INDEX(基础资料!$AE$5:$AE$34,MATCH(O2102,基础资料!$AC$5:$AC$34,0)),"未知"))</f>
      </c>
      <c r="Q2102" s="78">
        <f>IF(P2102="应收",COUNTIF(P$7:P2102,"应收"),"")</f>
      </c>
      <c r="R2102" s="78">
        <f>IF(P2102="应付",COUNTIF(P$7:P2102,"应付"),"")</f>
      </c>
      <c r="S2102" s="78">
        <f>N(F2102)-N(G2102)</f>
        <v>0</v>
      </c>
    </row>
    <row r="2103">
      <c r="A2103" s="109">
        <f>IF(AND(F2103="",G2103=""),"",ROW()-6)</f>
      </c>
      <c r="B2103" s="140" t="n"/>
      <c r="C2103" s="141" t="n"/>
      <c r="D2103" s="141" t="n"/>
      <c r="E2103" s="142" t="n"/>
      <c r="F2103" s="143" t="n"/>
      <c r="G2103" s="144" t="n"/>
      <c r="H2103" s="145">
        <f>IF(OR(C2103="",AND(F2103="",G2103="")),"",SUMIF(基础资料!$W$5:$W$24,C2103,基础资料!$X$5:$X$24)+SUMIF(C$7:C2103,C2103,F$7:F2103)-SUMIF(C$7:C2103,C2103,G$7:G2103))</f>
      </c>
      <c r="I2103" s="145">
        <f>IF(AND(F2103="",G2103=""),"",SUM(基础资料!$X$5:$X$24)+SUM(F$7:F2103)-SUM(G$7:G2103))</f>
      </c>
      <c r="J2103" s="141" t="n"/>
      <c r="K2103" s="141" t="n"/>
      <c r="L2103" s="141" t="n"/>
      <c r="M2103" s="142" t="n"/>
      <c r="N2103" s="146">
        <f>IF(AND(AND(F2103="",G2103=""),B2103="",C2103="",D2103="",J2103="",K2103="",L2103=""),"",IF(AND(F2103="",G2103=""),"✗ 没填金额",IF(AND(N(F2103)&lt;&gt;0,N(G2103)&lt;&gt;0),"✗ 收入、支出只能填一边",IF(NOT(ISNUMBER(B2103)),"✗ 日期不是真日期（要像 2026/9/25 这样填）",IF(OR(B2103&lt;年初日,B2103&gt;年末日),"✗ 日期不在本会计年度",IF(C2103="","✗ 没选账户",IF(COUNTIF(基础资料!$W$5:$W$24,C2103)=0,"✗ 账户不在基础资料里",IF(O2103="","✗ 没选收支项目",IF(P2103="未知","✗ 收支项目不在基础资料里",IF(AND(P2103="应收",J2103=""),"✗ 这笔要选客户",IF(AND(P2103="应收",COUNTIF(总览汇总!$B$5:$B$304,J2103)=0),"✗ 客户不在总览汇总名单里",IF(AND(P2103="应付",K2103=""),"✗ 这笔要选供应商",IF(AND(P2103="应付",COUNTIF(基础资料!$Q$5:$Q$54,K2103)=0),"✗ 供应商不在基础资料里",IF(AND(P2103="费用",L2103=""),"✗ 费用支出要选费用项目",IF(AND(L2103&lt;&gt;"",COUNTIF(基础资料!$AI$5:$AI$54,L2103)=0),"✗ 费用项目不在基础资料里",IF(AND(IFERROR(INDEX(基础资料!$AD$5:$AD$34,MATCH(O2103,基础资料!$AC$5:$AC$34,0)),"")="收",N(G2103)&lt;&gt;0),"✗ 这类是收款，金额填到收入列",IF(AND(IFERROR(INDEX(基础资料!$AD$5:$AD$34,MATCH(O2103,基础资料!$AC$5:$AC$34,0)),"")="支",N(F2103)&lt;&gt;0),"✗ 这类是付款，金额填到支出列",IF(N(H2103)&lt;0,"⚠ 账户余额成负数了，核对一下","√"))))))))))))))))))</f>
      </c>
      <c r="O2103" s="78">
        <f>IF(D2103&lt;&gt;"",D2103,IF(AND(F2103="",G2103=""),"",IF(J2103&lt;&gt;"",IF(N(F2103)&gt;0,"客户回款","客户退款"),IF(K2103&lt;&gt;"",IF(N(G2103)&gt;0,"供应商付款","供应商退款"),IF(L2103&lt;&gt;"","费用支出","")))))</f>
      </c>
      <c r="P2103" s="78">
        <f>IF(O2103="","",IFERROR(INDEX(基础资料!$AE$5:$AE$34,MATCH(O2103,基础资料!$AC$5:$AC$34,0)),"未知"))</f>
      </c>
      <c r="Q2103" s="78">
        <f>IF(P2103="应收",COUNTIF(P$7:P2103,"应收"),"")</f>
      </c>
      <c r="R2103" s="78">
        <f>IF(P2103="应付",COUNTIF(P$7:P2103,"应付"),"")</f>
      </c>
      <c r="S2103" s="78">
        <f>N(F2103)-N(G2103)</f>
        <v>0</v>
      </c>
    </row>
    <row r="2104">
      <c r="A2104" s="109">
        <f>IF(AND(F2104="",G2104=""),"",ROW()-6)</f>
      </c>
      <c r="B2104" s="140" t="n"/>
      <c r="C2104" s="141" t="n"/>
      <c r="D2104" s="141" t="n"/>
      <c r="E2104" s="142" t="n"/>
      <c r="F2104" s="143" t="n"/>
      <c r="G2104" s="144" t="n"/>
      <c r="H2104" s="145">
        <f>IF(OR(C2104="",AND(F2104="",G2104="")),"",SUMIF(基础资料!$W$5:$W$24,C2104,基础资料!$X$5:$X$24)+SUMIF(C$7:C2104,C2104,F$7:F2104)-SUMIF(C$7:C2104,C2104,G$7:G2104))</f>
      </c>
      <c r="I2104" s="145">
        <f>IF(AND(F2104="",G2104=""),"",SUM(基础资料!$X$5:$X$24)+SUM(F$7:F2104)-SUM(G$7:G2104))</f>
      </c>
      <c r="J2104" s="141" t="n"/>
      <c r="K2104" s="141" t="n"/>
      <c r="L2104" s="141" t="n"/>
      <c r="M2104" s="142" t="n"/>
      <c r="N2104" s="146">
        <f>IF(AND(AND(F2104="",G2104=""),B2104="",C2104="",D2104="",J2104="",K2104="",L2104=""),"",IF(AND(F2104="",G2104=""),"✗ 没填金额",IF(AND(N(F2104)&lt;&gt;0,N(G2104)&lt;&gt;0),"✗ 收入、支出只能填一边",IF(NOT(ISNUMBER(B2104)),"✗ 日期不是真日期（要像 2026/9/25 这样填）",IF(OR(B2104&lt;年初日,B2104&gt;年末日),"✗ 日期不在本会计年度",IF(C2104="","✗ 没选账户",IF(COUNTIF(基础资料!$W$5:$W$24,C2104)=0,"✗ 账户不在基础资料里",IF(O2104="","✗ 没选收支项目",IF(P2104="未知","✗ 收支项目不在基础资料里",IF(AND(P2104="应收",J2104=""),"✗ 这笔要选客户",IF(AND(P2104="应收",COUNTIF(总览汇总!$B$5:$B$304,J2104)=0),"✗ 客户不在总览汇总名单里",IF(AND(P2104="应付",K2104=""),"✗ 这笔要选供应商",IF(AND(P2104="应付",COUNTIF(基础资料!$Q$5:$Q$54,K2104)=0),"✗ 供应商不在基础资料里",IF(AND(P2104="费用",L2104=""),"✗ 费用支出要选费用项目",IF(AND(L2104&lt;&gt;"",COUNTIF(基础资料!$AI$5:$AI$54,L2104)=0),"✗ 费用项目不在基础资料里",IF(AND(IFERROR(INDEX(基础资料!$AD$5:$AD$34,MATCH(O2104,基础资料!$AC$5:$AC$34,0)),"")="收",N(G2104)&lt;&gt;0),"✗ 这类是收款，金额填到收入列",IF(AND(IFERROR(INDEX(基础资料!$AD$5:$AD$34,MATCH(O2104,基础资料!$AC$5:$AC$34,0)),"")="支",N(F2104)&lt;&gt;0),"✗ 这类是付款，金额填到支出列",IF(N(H2104)&lt;0,"⚠ 账户余额成负数了，核对一下","√"))))))))))))))))))</f>
      </c>
      <c r="O2104" s="78">
        <f>IF(D2104&lt;&gt;"",D2104,IF(AND(F2104="",G2104=""),"",IF(J2104&lt;&gt;"",IF(N(F2104)&gt;0,"客户回款","客户退款"),IF(K2104&lt;&gt;"",IF(N(G2104)&gt;0,"供应商付款","供应商退款"),IF(L2104&lt;&gt;"","费用支出","")))))</f>
      </c>
      <c r="P2104" s="78">
        <f>IF(O2104="","",IFERROR(INDEX(基础资料!$AE$5:$AE$34,MATCH(O2104,基础资料!$AC$5:$AC$34,0)),"未知"))</f>
      </c>
      <c r="Q2104" s="78">
        <f>IF(P2104="应收",COUNTIF(P$7:P2104,"应收"),"")</f>
      </c>
      <c r="R2104" s="78">
        <f>IF(P2104="应付",COUNTIF(P$7:P2104,"应付"),"")</f>
      </c>
      <c r="S2104" s="78">
        <f>N(F2104)-N(G2104)</f>
        <v>0</v>
      </c>
    </row>
    <row r="2105">
      <c r="A2105" s="109">
        <f>IF(AND(F2105="",G2105=""),"",ROW()-6)</f>
      </c>
      <c r="B2105" s="140" t="n"/>
      <c r="C2105" s="141" t="n"/>
      <c r="D2105" s="141" t="n"/>
      <c r="E2105" s="142" t="n"/>
      <c r="F2105" s="143" t="n"/>
      <c r="G2105" s="144" t="n"/>
      <c r="H2105" s="145">
        <f>IF(OR(C2105="",AND(F2105="",G2105="")),"",SUMIF(基础资料!$W$5:$W$24,C2105,基础资料!$X$5:$X$24)+SUMIF(C$7:C2105,C2105,F$7:F2105)-SUMIF(C$7:C2105,C2105,G$7:G2105))</f>
      </c>
      <c r="I2105" s="145">
        <f>IF(AND(F2105="",G2105=""),"",SUM(基础资料!$X$5:$X$24)+SUM(F$7:F2105)-SUM(G$7:G2105))</f>
      </c>
      <c r="J2105" s="141" t="n"/>
      <c r="K2105" s="141" t="n"/>
      <c r="L2105" s="141" t="n"/>
      <c r="M2105" s="142" t="n"/>
      <c r="N2105" s="146">
        <f>IF(AND(AND(F2105="",G2105=""),B2105="",C2105="",D2105="",J2105="",K2105="",L2105=""),"",IF(AND(F2105="",G2105=""),"✗ 没填金额",IF(AND(N(F2105)&lt;&gt;0,N(G2105)&lt;&gt;0),"✗ 收入、支出只能填一边",IF(NOT(ISNUMBER(B2105)),"✗ 日期不是真日期（要像 2026/9/25 这样填）",IF(OR(B2105&lt;年初日,B2105&gt;年末日),"✗ 日期不在本会计年度",IF(C2105="","✗ 没选账户",IF(COUNTIF(基础资料!$W$5:$W$24,C2105)=0,"✗ 账户不在基础资料里",IF(O2105="","✗ 没选收支项目",IF(P2105="未知","✗ 收支项目不在基础资料里",IF(AND(P2105="应收",J2105=""),"✗ 这笔要选客户",IF(AND(P2105="应收",COUNTIF(总览汇总!$B$5:$B$304,J2105)=0),"✗ 客户不在总览汇总名单里",IF(AND(P2105="应付",K2105=""),"✗ 这笔要选供应商",IF(AND(P2105="应付",COUNTIF(基础资料!$Q$5:$Q$54,K2105)=0),"✗ 供应商不在基础资料里",IF(AND(P2105="费用",L2105=""),"✗ 费用支出要选费用项目",IF(AND(L2105&lt;&gt;"",COUNTIF(基础资料!$AI$5:$AI$54,L2105)=0),"✗ 费用项目不在基础资料里",IF(AND(IFERROR(INDEX(基础资料!$AD$5:$AD$34,MATCH(O2105,基础资料!$AC$5:$AC$34,0)),"")="收",N(G2105)&lt;&gt;0),"✗ 这类是收款，金额填到收入列",IF(AND(IFERROR(INDEX(基础资料!$AD$5:$AD$34,MATCH(O2105,基础资料!$AC$5:$AC$34,0)),"")="支",N(F2105)&lt;&gt;0),"✗ 这类是付款，金额填到支出列",IF(N(H2105)&lt;0,"⚠ 账户余额成负数了，核对一下","√"))))))))))))))))))</f>
      </c>
      <c r="O2105" s="78">
        <f>IF(D2105&lt;&gt;"",D2105,IF(AND(F2105="",G2105=""),"",IF(J2105&lt;&gt;"",IF(N(F2105)&gt;0,"客户回款","客户退款"),IF(K2105&lt;&gt;"",IF(N(G2105)&gt;0,"供应商付款","供应商退款"),IF(L2105&lt;&gt;"","费用支出","")))))</f>
      </c>
      <c r="P2105" s="78">
        <f>IF(O2105="","",IFERROR(INDEX(基础资料!$AE$5:$AE$34,MATCH(O2105,基础资料!$AC$5:$AC$34,0)),"未知"))</f>
      </c>
      <c r="Q2105" s="78">
        <f>IF(P2105="应收",COUNTIF(P$7:P2105,"应收"),"")</f>
      </c>
      <c r="R2105" s="78">
        <f>IF(P2105="应付",COUNTIF(P$7:P2105,"应付"),"")</f>
      </c>
      <c r="S2105" s="78">
        <f>N(F2105)-N(G2105)</f>
        <v>0</v>
      </c>
    </row>
    <row r="2106">
      <c r="A2106" s="109">
        <f>IF(AND(F2106="",G2106=""),"",ROW()-6)</f>
      </c>
      <c r="B2106" s="140" t="n"/>
      <c r="C2106" s="141" t="n"/>
      <c r="D2106" s="141" t="n"/>
      <c r="E2106" s="142" t="n"/>
      <c r="F2106" s="143" t="n"/>
      <c r="G2106" s="144" t="n"/>
      <c r="H2106" s="145">
        <f>IF(OR(C2106="",AND(F2106="",G2106="")),"",SUMIF(基础资料!$W$5:$W$24,C2106,基础资料!$X$5:$X$24)+SUMIF(C$7:C2106,C2106,F$7:F2106)-SUMIF(C$7:C2106,C2106,G$7:G2106))</f>
      </c>
      <c r="I2106" s="145">
        <f>IF(AND(F2106="",G2106=""),"",SUM(基础资料!$X$5:$X$24)+SUM(F$7:F2106)-SUM(G$7:G2106))</f>
      </c>
      <c r="J2106" s="141" t="n"/>
      <c r="K2106" s="141" t="n"/>
      <c r="L2106" s="141" t="n"/>
      <c r="M2106" s="142" t="n"/>
      <c r="N2106" s="146">
        <f>IF(AND(AND(F2106="",G2106=""),B2106="",C2106="",D2106="",J2106="",K2106="",L2106=""),"",IF(AND(F2106="",G2106=""),"✗ 没填金额",IF(AND(N(F2106)&lt;&gt;0,N(G2106)&lt;&gt;0),"✗ 收入、支出只能填一边",IF(NOT(ISNUMBER(B2106)),"✗ 日期不是真日期（要像 2026/9/25 这样填）",IF(OR(B2106&lt;年初日,B2106&gt;年末日),"✗ 日期不在本会计年度",IF(C2106="","✗ 没选账户",IF(COUNTIF(基础资料!$W$5:$W$24,C2106)=0,"✗ 账户不在基础资料里",IF(O2106="","✗ 没选收支项目",IF(P2106="未知","✗ 收支项目不在基础资料里",IF(AND(P2106="应收",J2106=""),"✗ 这笔要选客户",IF(AND(P2106="应收",COUNTIF(总览汇总!$B$5:$B$304,J2106)=0),"✗ 客户不在总览汇总名单里",IF(AND(P2106="应付",K2106=""),"✗ 这笔要选供应商",IF(AND(P2106="应付",COUNTIF(基础资料!$Q$5:$Q$54,K2106)=0),"✗ 供应商不在基础资料里",IF(AND(P2106="费用",L2106=""),"✗ 费用支出要选费用项目",IF(AND(L2106&lt;&gt;"",COUNTIF(基础资料!$AI$5:$AI$54,L2106)=0),"✗ 费用项目不在基础资料里",IF(AND(IFERROR(INDEX(基础资料!$AD$5:$AD$34,MATCH(O2106,基础资料!$AC$5:$AC$34,0)),"")="收",N(G2106)&lt;&gt;0),"✗ 这类是收款，金额填到收入列",IF(AND(IFERROR(INDEX(基础资料!$AD$5:$AD$34,MATCH(O2106,基础资料!$AC$5:$AC$34,0)),"")="支",N(F2106)&lt;&gt;0),"✗ 这类是付款，金额填到支出列",IF(N(H2106)&lt;0,"⚠ 账户余额成负数了，核对一下","√"))))))))))))))))))</f>
      </c>
      <c r="O2106" s="78">
        <f>IF(D2106&lt;&gt;"",D2106,IF(AND(F2106="",G2106=""),"",IF(J2106&lt;&gt;"",IF(N(F2106)&gt;0,"客户回款","客户退款"),IF(K2106&lt;&gt;"",IF(N(G2106)&gt;0,"供应商付款","供应商退款"),IF(L2106&lt;&gt;"","费用支出","")))))</f>
      </c>
      <c r="P2106" s="78">
        <f>IF(O2106="","",IFERROR(INDEX(基础资料!$AE$5:$AE$34,MATCH(O2106,基础资料!$AC$5:$AC$34,0)),"未知"))</f>
      </c>
      <c r="Q2106" s="78">
        <f>IF(P2106="应收",COUNTIF(P$7:P2106,"应收"),"")</f>
      </c>
      <c r="R2106" s="78">
        <f>IF(P2106="应付",COUNTIF(P$7:P2106,"应付"),"")</f>
      </c>
      <c r="S2106" s="78">
        <f>N(F2106)-N(G2106)</f>
        <v>0</v>
      </c>
    </row>
    <row r="2107">
      <c r="A2107" s="109">
        <f>IF(AND(F2107="",G2107=""),"",ROW()-6)</f>
      </c>
      <c r="B2107" s="140" t="n"/>
      <c r="C2107" s="141" t="n"/>
      <c r="D2107" s="141" t="n"/>
      <c r="E2107" s="142" t="n"/>
      <c r="F2107" s="143" t="n"/>
      <c r="G2107" s="144" t="n"/>
      <c r="H2107" s="145">
        <f>IF(OR(C2107="",AND(F2107="",G2107="")),"",SUMIF(基础资料!$W$5:$W$24,C2107,基础资料!$X$5:$X$24)+SUMIF(C$7:C2107,C2107,F$7:F2107)-SUMIF(C$7:C2107,C2107,G$7:G2107))</f>
      </c>
      <c r="I2107" s="145">
        <f>IF(AND(F2107="",G2107=""),"",SUM(基础资料!$X$5:$X$24)+SUM(F$7:F2107)-SUM(G$7:G2107))</f>
      </c>
      <c r="J2107" s="141" t="n"/>
      <c r="K2107" s="141" t="n"/>
      <c r="L2107" s="141" t="n"/>
      <c r="M2107" s="142" t="n"/>
      <c r="N2107" s="146">
        <f>IF(AND(AND(F2107="",G2107=""),B2107="",C2107="",D2107="",J2107="",K2107="",L2107=""),"",IF(AND(F2107="",G2107=""),"✗ 没填金额",IF(AND(N(F2107)&lt;&gt;0,N(G2107)&lt;&gt;0),"✗ 收入、支出只能填一边",IF(NOT(ISNUMBER(B2107)),"✗ 日期不是真日期（要像 2026/9/25 这样填）",IF(OR(B2107&lt;年初日,B2107&gt;年末日),"✗ 日期不在本会计年度",IF(C2107="","✗ 没选账户",IF(COUNTIF(基础资料!$W$5:$W$24,C2107)=0,"✗ 账户不在基础资料里",IF(O2107="","✗ 没选收支项目",IF(P2107="未知","✗ 收支项目不在基础资料里",IF(AND(P2107="应收",J2107=""),"✗ 这笔要选客户",IF(AND(P2107="应收",COUNTIF(总览汇总!$B$5:$B$304,J2107)=0),"✗ 客户不在总览汇总名单里",IF(AND(P2107="应付",K2107=""),"✗ 这笔要选供应商",IF(AND(P2107="应付",COUNTIF(基础资料!$Q$5:$Q$54,K2107)=0),"✗ 供应商不在基础资料里",IF(AND(P2107="费用",L2107=""),"✗ 费用支出要选费用项目",IF(AND(L2107&lt;&gt;"",COUNTIF(基础资料!$AI$5:$AI$54,L2107)=0),"✗ 费用项目不在基础资料里",IF(AND(IFERROR(INDEX(基础资料!$AD$5:$AD$34,MATCH(O2107,基础资料!$AC$5:$AC$34,0)),"")="收",N(G2107)&lt;&gt;0),"✗ 这类是收款，金额填到收入列",IF(AND(IFERROR(INDEX(基础资料!$AD$5:$AD$34,MATCH(O2107,基础资料!$AC$5:$AC$34,0)),"")="支",N(F2107)&lt;&gt;0),"✗ 这类是付款，金额填到支出列",IF(N(H2107)&lt;0,"⚠ 账户余额成负数了，核对一下","√"))))))))))))))))))</f>
      </c>
      <c r="O2107" s="78">
        <f>IF(D2107&lt;&gt;"",D2107,IF(AND(F2107="",G2107=""),"",IF(J2107&lt;&gt;"",IF(N(F2107)&gt;0,"客户回款","客户退款"),IF(K2107&lt;&gt;"",IF(N(G2107)&gt;0,"供应商付款","供应商退款"),IF(L2107&lt;&gt;"","费用支出","")))))</f>
      </c>
      <c r="P2107" s="78">
        <f>IF(O2107="","",IFERROR(INDEX(基础资料!$AE$5:$AE$34,MATCH(O2107,基础资料!$AC$5:$AC$34,0)),"未知"))</f>
      </c>
      <c r="Q2107" s="78">
        <f>IF(P2107="应收",COUNTIF(P$7:P2107,"应收"),"")</f>
      </c>
      <c r="R2107" s="78">
        <f>IF(P2107="应付",COUNTIF(P$7:P2107,"应付"),"")</f>
      </c>
      <c r="S2107" s="78">
        <f>N(F2107)-N(G2107)</f>
        <v>0</v>
      </c>
    </row>
    <row r="2108">
      <c r="A2108" s="109">
        <f>IF(AND(F2108="",G2108=""),"",ROW()-6)</f>
      </c>
      <c r="B2108" s="140" t="n"/>
      <c r="C2108" s="141" t="n"/>
      <c r="D2108" s="141" t="n"/>
      <c r="E2108" s="142" t="n"/>
      <c r="F2108" s="143" t="n"/>
      <c r="G2108" s="144" t="n"/>
      <c r="H2108" s="145">
        <f>IF(OR(C2108="",AND(F2108="",G2108="")),"",SUMIF(基础资料!$W$5:$W$24,C2108,基础资料!$X$5:$X$24)+SUMIF(C$7:C2108,C2108,F$7:F2108)-SUMIF(C$7:C2108,C2108,G$7:G2108))</f>
      </c>
      <c r="I2108" s="145">
        <f>IF(AND(F2108="",G2108=""),"",SUM(基础资料!$X$5:$X$24)+SUM(F$7:F2108)-SUM(G$7:G2108))</f>
      </c>
      <c r="J2108" s="141" t="n"/>
      <c r="K2108" s="141" t="n"/>
      <c r="L2108" s="141" t="n"/>
      <c r="M2108" s="142" t="n"/>
      <c r="N2108" s="146">
        <f>IF(AND(AND(F2108="",G2108=""),B2108="",C2108="",D2108="",J2108="",K2108="",L2108=""),"",IF(AND(F2108="",G2108=""),"✗ 没填金额",IF(AND(N(F2108)&lt;&gt;0,N(G2108)&lt;&gt;0),"✗ 收入、支出只能填一边",IF(NOT(ISNUMBER(B2108)),"✗ 日期不是真日期（要像 2026/9/25 这样填）",IF(OR(B2108&lt;年初日,B2108&gt;年末日),"✗ 日期不在本会计年度",IF(C2108="","✗ 没选账户",IF(COUNTIF(基础资料!$W$5:$W$24,C2108)=0,"✗ 账户不在基础资料里",IF(O2108="","✗ 没选收支项目",IF(P2108="未知","✗ 收支项目不在基础资料里",IF(AND(P2108="应收",J2108=""),"✗ 这笔要选客户",IF(AND(P2108="应收",COUNTIF(总览汇总!$B$5:$B$304,J2108)=0),"✗ 客户不在总览汇总名单里",IF(AND(P2108="应付",K2108=""),"✗ 这笔要选供应商",IF(AND(P2108="应付",COUNTIF(基础资料!$Q$5:$Q$54,K2108)=0),"✗ 供应商不在基础资料里",IF(AND(P2108="费用",L2108=""),"✗ 费用支出要选费用项目",IF(AND(L2108&lt;&gt;"",COUNTIF(基础资料!$AI$5:$AI$54,L2108)=0),"✗ 费用项目不在基础资料里",IF(AND(IFERROR(INDEX(基础资料!$AD$5:$AD$34,MATCH(O2108,基础资料!$AC$5:$AC$34,0)),"")="收",N(G2108)&lt;&gt;0),"✗ 这类是收款，金额填到收入列",IF(AND(IFERROR(INDEX(基础资料!$AD$5:$AD$34,MATCH(O2108,基础资料!$AC$5:$AC$34,0)),"")="支",N(F2108)&lt;&gt;0),"✗ 这类是付款，金额填到支出列",IF(N(H2108)&lt;0,"⚠ 账户余额成负数了，核对一下","√"))))))))))))))))))</f>
      </c>
      <c r="O2108" s="78">
        <f>IF(D2108&lt;&gt;"",D2108,IF(AND(F2108="",G2108=""),"",IF(J2108&lt;&gt;"",IF(N(F2108)&gt;0,"客户回款","客户退款"),IF(K2108&lt;&gt;"",IF(N(G2108)&gt;0,"供应商付款","供应商退款"),IF(L2108&lt;&gt;"","费用支出","")))))</f>
      </c>
      <c r="P2108" s="78">
        <f>IF(O2108="","",IFERROR(INDEX(基础资料!$AE$5:$AE$34,MATCH(O2108,基础资料!$AC$5:$AC$34,0)),"未知"))</f>
      </c>
      <c r="Q2108" s="78">
        <f>IF(P2108="应收",COUNTIF(P$7:P2108,"应收"),"")</f>
      </c>
      <c r="R2108" s="78">
        <f>IF(P2108="应付",COUNTIF(P$7:P2108,"应付"),"")</f>
      </c>
      <c r="S2108" s="78">
        <f>N(F2108)-N(G2108)</f>
        <v>0</v>
      </c>
    </row>
    <row r="2109">
      <c r="A2109" s="109">
        <f>IF(AND(F2109="",G2109=""),"",ROW()-6)</f>
      </c>
      <c r="B2109" s="140" t="n"/>
      <c r="C2109" s="141" t="n"/>
      <c r="D2109" s="141" t="n"/>
      <c r="E2109" s="142" t="n"/>
      <c r="F2109" s="143" t="n"/>
      <c r="G2109" s="144" t="n"/>
      <c r="H2109" s="145">
        <f>IF(OR(C2109="",AND(F2109="",G2109="")),"",SUMIF(基础资料!$W$5:$W$24,C2109,基础资料!$X$5:$X$24)+SUMIF(C$7:C2109,C2109,F$7:F2109)-SUMIF(C$7:C2109,C2109,G$7:G2109))</f>
      </c>
      <c r="I2109" s="145">
        <f>IF(AND(F2109="",G2109=""),"",SUM(基础资料!$X$5:$X$24)+SUM(F$7:F2109)-SUM(G$7:G2109))</f>
      </c>
      <c r="J2109" s="141" t="n"/>
      <c r="K2109" s="141" t="n"/>
      <c r="L2109" s="141" t="n"/>
      <c r="M2109" s="142" t="n"/>
      <c r="N2109" s="146">
        <f>IF(AND(AND(F2109="",G2109=""),B2109="",C2109="",D2109="",J2109="",K2109="",L2109=""),"",IF(AND(F2109="",G2109=""),"✗ 没填金额",IF(AND(N(F2109)&lt;&gt;0,N(G2109)&lt;&gt;0),"✗ 收入、支出只能填一边",IF(NOT(ISNUMBER(B2109)),"✗ 日期不是真日期（要像 2026/9/25 这样填）",IF(OR(B2109&lt;年初日,B2109&gt;年末日),"✗ 日期不在本会计年度",IF(C2109="","✗ 没选账户",IF(COUNTIF(基础资料!$W$5:$W$24,C2109)=0,"✗ 账户不在基础资料里",IF(O2109="","✗ 没选收支项目",IF(P2109="未知","✗ 收支项目不在基础资料里",IF(AND(P2109="应收",J2109=""),"✗ 这笔要选客户",IF(AND(P2109="应收",COUNTIF(总览汇总!$B$5:$B$304,J2109)=0),"✗ 客户不在总览汇总名单里",IF(AND(P2109="应付",K2109=""),"✗ 这笔要选供应商",IF(AND(P2109="应付",COUNTIF(基础资料!$Q$5:$Q$54,K2109)=0),"✗ 供应商不在基础资料里",IF(AND(P2109="费用",L2109=""),"✗ 费用支出要选费用项目",IF(AND(L2109&lt;&gt;"",COUNTIF(基础资料!$AI$5:$AI$54,L2109)=0),"✗ 费用项目不在基础资料里",IF(AND(IFERROR(INDEX(基础资料!$AD$5:$AD$34,MATCH(O2109,基础资料!$AC$5:$AC$34,0)),"")="收",N(G2109)&lt;&gt;0),"✗ 这类是收款，金额填到收入列",IF(AND(IFERROR(INDEX(基础资料!$AD$5:$AD$34,MATCH(O2109,基础资料!$AC$5:$AC$34,0)),"")="支",N(F2109)&lt;&gt;0),"✗ 这类是付款，金额填到支出列",IF(N(H2109)&lt;0,"⚠ 账户余额成负数了，核对一下","√"))))))))))))))))))</f>
      </c>
      <c r="O2109" s="78">
        <f>IF(D2109&lt;&gt;"",D2109,IF(AND(F2109="",G2109=""),"",IF(J2109&lt;&gt;"",IF(N(F2109)&gt;0,"客户回款","客户退款"),IF(K2109&lt;&gt;"",IF(N(G2109)&gt;0,"供应商付款","供应商退款"),IF(L2109&lt;&gt;"","费用支出","")))))</f>
      </c>
      <c r="P2109" s="78">
        <f>IF(O2109="","",IFERROR(INDEX(基础资料!$AE$5:$AE$34,MATCH(O2109,基础资料!$AC$5:$AC$34,0)),"未知"))</f>
      </c>
      <c r="Q2109" s="78">
        <f>IF(P2109="应收",COUNTIF(P$7:P2109,"应收"),"")</f>
      </c>
      <c r="R2109" s="78">
        <f>IF(P2109="应付",COUNTIF(P$7:P2109,"应付"),"")</f>
      </c>
      <c r="S2109" s="78">
        <f>N(F2109)-N(G2109)</f>
        <v>0</v>
      </c>
    </row>
    <row r="2110">
      <c r="A2110" s="109">
        <f>IF(AND(F2110="",G2110=""),"",ROW()-6)</f>
      </c>
      <c r="B2110" s="140" t="n"/>
      <c r="C2110" s="141" t="n"/>
      <c r="D2110" s="141" t="n"/>
      <c r="E2110" s="142" t="n"/>
      <c r="F2110" s="143" t="n"/>
      <c r="G2110" s="144" t="n"/>
      <c r="H2110" s="145">
        <f>IF(OR(C2110="",AND(F2110="",G2110="")),"",SUMIF(基础资料!$W$5:$W$24,C2110,基础资料!$X$5:$X$24)+SUMIF(C$7:C2110,C2110,F$7:F2110)-SUMIF(C$7:C2110,C2110,G$7:G2110))</f>
      </c>
      <c r="I2110" s="145">
        <f>IF(AND(F2110="",G2110=""),"",SUM(基础资料!$X$5:$X$24)+SUM(F$7:F2110)-SUM(G$7:G2110))</f>
      </c>
      <c r="J2110" s="141" t="n"/>
      <c r="K2110" s="141" t="n"/>
      <c r="L2110" s="141" t="n"/>
      <c r="M2110" s="142" t="n"/>
      <c r="N2110" s="146">
        <f>IF(AND(AND(F2110="",G2110=""),B2110="",C2110="",D2110="",J2110="",K2110="",L2110=""),"",IF(AND(F2110="",G2110=""),"✗ 没填金额",IF(AND(N(F2110)&lt;&gt;0,N(G2110)&lt;&gt;0),"✗ 收入、支出只能填一边",IF(NOT(ISNUMBER(B2110)),"✗ 日期不是真日期（要像 2026/9/25 这样填）",IF(OR(B2110&lt;年初日,B2110&gt;年末日),"✗ 日期不在本会计年度",IF(C2110="","✗ 没选账户",IF(COUNTIF(基础资料!$W$5:$W$24,C2110)=0,"✗ 账户不在基础资料里",IF(O2110="","✗ 没选收支项目",IF(P2110="未知","✗ 收支项目不在基础资料里",IF(AND(P2110="应收",J2110=""),"✗ 这笔要选客户",IF(AND(P2110="应收",COUNTIF(总览汇总!$B$5:$B$304,J2110)=0),"✗ 客户不在总览汇总名单里",IF(AND(P2110="应付",K2110=""),"✗ 这笔要选供应商",IF(AND(P2110="应付",COUNTIF(基础资料!$Q$5:$Q$54,K2110)=0),"✗ 供应商不在基础资料里",IF(AND(P2110="费用",L2110=""),"✗ 费用支出要选费用项目",IF(AND(L2110&lt;&gt;"",COUNTIF(基础资料!$AI$5:$AI$54,L2110)=0),"✗ 费用项目不在基础资料里",IF(AND(IFERROR(INDEX(基础资料!$AD$5:$AD$34,MATCH(O2110,基础资料!$AC$5:$AC$34,0)),"")="收",N(G2110)&lt;&gt;0),"✗ 这类是收款，金额填到收入列",IF(AND(IFERROR(INDEX(基础资料!$AD$5:$AD$34,MATCH(O2110,基础资料!$AC$5:$AC$34,0)),"")="支",N(F2110)&lt;&gt;0),"✗ 这类是付款，金额填到支出列",IF(N(H2110)&lt;0,"⚠ 账户余额成负数了，核对一下","√"))))))))))))))))))</f>
      </c>
      <c r="O2110" s="78">
        <f>IF(D2110&lt;&gt;"",D2110,IF(AND(F2110="",G2110=""),"",IF(J2110&lt;&gt;"",IF(N(F2110)&gt;0,"客户回款","客户退款"),IF(K2110&lt;&gt;"",IF(N(G2110)&gt;0,"供应商付款","供应商退款"),IF(L2110&lt;&gt;"","费用支出","")))))</f>
      </c>
      <c r="P2110" s="78">
        <f>IF(O2110="","",IFERROR(INDEX(基础资料!$AE$5:$AE$34,MATCH(O2110,基础资料!$AC$5:$AC$34,0)),"未知"))</f>
      </c>
      <c r="Q2110" s="78">
        <f>IF(P2110="应收",COUNTIF(P$7:P2110,"应收"),"")</f>
      </c>
      <c r="R2110" s="78">
        <f>IF(P2110="应付",COUNTIF(P$7:P2110,"应付"),"")</f>
      </c>
      <c r="S2110" s="78">
        <f>N(F2110)-N(G2110)</f>
        <v>0</v>
      </c>
    </row>
    <row r="2111">
      <c r="A2111" s="109">
        <f>IF(AND(F2111="",G2111=""),"",ROW()-6)</f>
      </c>
      <c r="B2111" s="140" t="n"/>
      <c r="C2111" s="141" t="n"/>
      <c r="D2111" s="141" t="n"/>
      <c r="E2111" s="142" t="n"/>
      <c r="F2111" s="143" t="n"/>
      <c r="G2111" s="144" t="n"/>
      <c r="H2111" s="145">
        <f>IF(OR(C2111="",AND(F2111="",G2111="")),"",SUMIF(基础资料!$W$5:$W$24,C2111,基础资料!$X$5:$X$24)+SUMIF(C$7:C2111,C2111,F$7:F2111)-SUMIF(C$7:C2111,C2111,G$7:G2111))</f>
      </c>
      <c r="I2111" s="145">
        <f>IF(AND(F2111="",G2111=""),"",SUM(基础资料!$X$5:$X$24)+SUM(F$7:F2111)-SUM(G$7:G2111))</f>
      </c>
      <c r="J2111" s="141" t="n"/>
      <c r="K2111" s="141" t="n"/>
      <c r="L2111" s="141" t="n"/>
      <c r="M2111" s="142" t="n"/>
      <c r="N2111" s="146">
        <f>IF(AND(AND(F2111="",G2111=""),B2111="",C2111="",D2111="",J2111="",K2111="",L2111=""),"",IF(AND(F2111="",G2111=""),"✗ 没填金额",IF(AND(N(F2111)&lt;&gt;0,N(G2111)&lt;&gt;0),"✗ 收入、支出只能填一边",IF(NOT(ISNUMBER(B2111)),"✗ 日期不是真日期（要像 2026/9/25 这样填）",IF(OR(B2111&lt;年初日,B2111&gt;年末日),"✗ 日期不在本会计年度",IF(C2111="","✗ 没选账户",IF(COUNTIF(基础资料!$W$5:$W$24,C2111)=0,"✗ 账户不在基础资料里",IF(O2111="","✗ 没选收支项目",IF(P2111="未知","✗ 收支项目不在基础资料里",IF(AND(P2111="应收",J2111=""),"✗ 这笔要选客户",IF(AND(P2111="应收",COUNTIF(总览汇总!$B$5:$B$304,J2111)=0),"✗ 客户不在总览汇总名单里",IF(AND(P2111="应付",K2111=""),"✗ 这笔要选供应商",IF(AND(P2111="应付",COUNTIF(基础资料!$Q$5:$Q$54,K2111)=0),"✗ 供应商不在基础资料里",IF(AND(P2111="费用",L2111=""),"✗ 费用支出要选费用项目",IF(AND(L2111&lt;&gt;"",COUNTIF(基础资料!$AI$5:$AI$54,L2111)=0),"✗ 费用项目不在基础资料里",IF(AND(IFERROR(INDEX(基础资料!$AD$5:$AD$34,MATCH(O2111,基础资料!$AC$5:$AC$34,0)),"")="收",N(G2111)&lt;&gt;0),"✗ 这类是收款，金额填到收入列",IF(AND(IFERROR(INDEX(基础资料!$AD$5:$AD$34,MATCH(O2111,基础资料!$AC$5:$AC$34,0)),"")="支",N(F2111)&lt;&gt;0),"✗ 这类是付款，金额填到支出列",IF(N(H2111)&lt;0,"⚠ 账户余额成负数了，核对一下","√"))))))))))))))))))</f>
      </c>
      <c r="O2111" s="78">
        <f>IF(D2111&lt;&gt;"",D2111,IF(AND(F2111="",G2111=""),"",IF(J2111&lt;&gt;"",IF(N(F2111)&gt;0,"客户回款","客户退款"),IF(K2111&lt;&gt;"",IF(N(G2111)&gt;0,"供应商付款","供应商退款"),IF(L2111&lt;&gt;"","费用支出","")))))</f>
      </c>
      <c r="P2111" s="78">
        <f>IF(O2111="","",IFERROR(INDEX(基础资料!$AE$5:$AE$34,MATCH(O2111,基础资料!$AC$5:$AC$34,0)),"未知"))</f>
      </c>
      <c r="Q2111" s="78">
        <f>IF(P2111="应收",COUNTIF(P$7:P2111,"应收"),"")</f>
      </c>
      <c r="R2111" s="78">
        <f>IF(P2111="应付",COUNTIF(P$7:P2111,"应付"),"")</f>
      </c>
      <c r="S2111" s="78">
        <f>N(F2111)-N(G2111)</f>
        <v>0</v>
      </c>
    </row>
    <row r="2112">
      <c r="A2112" s="109">
        <f>IF(AND(F2112="",G2112=""),"",ROW()-6)</f>
      </c>
      <c r="B2112" s="140" t="n"/>
      <c r="C2112" s="141" t="n"/>
      <c r="D2112" s="141" t="n"/>
      <c r="E2112" s="142" t="n"/>
      <c r="F2112" s="143" t="n"/>
      <c r="G2112" s="144" t="n"/>
      <c r="H2112" s="145">
        <f>IF(OR(C2112="",AND(F2112="",G2112="")),"",SUMIF(基础资料!$W$5:$W$24,C2112,基础资料!$X$5:$X$24)+SUMIF(C$7:C2112,C2112,F$7:F2112)-SUMIF(C$7:C2112,C2112,G$7:G2112))</f>
      </c>
      <c r="I2112" s="145">
        <f>IF(AND(F2112="",G2112=""),"",SUM(基础资料!$X$5:$X$24)+SUM(F$7:F2112)-SUM(G$7:G2112))</f>
      </c>
      <c r="J2112" s="141" t="n"/>
      <c r="K2112" s="141" t="n"/>
      <c r="L2112" s="141" t="n"/>
      <c r="M2112" s="142" t="n"/>
      <c r="N2112" s="146">
        <f>IF(AND(AND(F2112="",G2112=""),B2112="",C2112="",D2112="",J2112="",K2112="",L2112=""),"",IF(AND(F2112="",G2112=""),"✗ 没填金额",IF(AND(N(F2112)&lt;&gt;0,N(G2112)&lt;&gt;0),"✗ 收入、支出只能填一边",IF(NOT(ISNUMBER(B2112)),"✗ 日期不是真日期（要像 2026/9/25 这样填）",IF(OR(B2112&lt;年初日,B2112&gt;年末日),"✗ 日期不在本会计年度",IF(C2112="","✗ 没选账户",IF(COUNTIF(基础资料!$W$5:$W$24,C2112)=0,"✗ 账户不在基础资料里",IF(O2112="","✗ 没选收支项目",IF(P2112="未知","✗ 收支项目不在基础资料里",IF(AND(P2112="应收",J2112=""),"✗ 这笔要选客户",IF(AND(P2112="应收",COUNTIF(总览汇总!$B$5:$B$304,J2112)=0),"✗ 客户不在总览汇总名单里",IF(AND(P2112="应付",K2112=""),"✗ 这笔要选供应商",IF(AND(P2112="应付",COUNTIF(基础资料!$Q$5:$Q$54,K2112)=0),"✗ 供应商不在基础资料里",IF(AND(P2112="费用",L2112=""),"✗ 费用支出要选费用项目",IF(AND(L2112&lt;&gt;"",COUNTIF(基础资料!$AI$5:$AI$54,L2112)=0),"✗ 费用项目不在基础资料里",IF(AND(IFERROR(INDEX(基础资料!$AD$5:$AD$34,MATCH(O2112,基础资料!$AC$5:$AC$34,0)),"")="收",N(G2112)&lt;&gt;0),"✗ 这类是收款，金额填到收入列",IF(AND(IFERROR(INDEX(基础资料!$AD$5:$AD$34,MATCH(O2112,基础资料!$AC$5:$AC$34,0)),"")="支",N(F2112)&lt;&gt;0),"✗ 这类是付款，金额填到支出列",IF(N(H2112)&lt;0,"⚠ 账户余额成负数了，核对一下","√"))))))))))))))))))</f>
      </c>
      <c r="O2112" s="78">
        <f>IF(D2112&lt;&gt;"",D2112,IF(AND(F2112="",G2112=""),"",IF(J2112&lt;&gt;"",IF(N(F2112)&gt;0,"客户回款","客户退款"),IF(K2112&lt;&gt;"",IF(N(G2112)&gt;0,"供应商付款","供应商退款"),IF(L2112&lt;&gt;"","费用支出","")))))</f>
      </c>
      <c r="P2112" s="78">
        <f>IF(O2112="","",IFERROR(INDEX(基础资料!$AE$5:$AE$34,MATCH(O2112,基础资料!$AC$5:$AC$34,0)),"未知"))</f>
      </c>
      <c r="Q2112" s="78">
        <f>IF(P2112="应收",COUNTIF(P$7:P2112,"应收"),"")</f>
      </c>
      <c r="R2112" s="78">
        <f>IF(P2112="应付",COUNTIF(P$7:P2112,"应付"),"")</f>
      </c>
      <c r="S2112" s="78">
        <f>N(F2112)-N(G2112)</f>
        <v>0</v>
      </c>
    </row>
    <row r="2113">
      <c r="A2113" s="109">
        <f>IF(AND(F2113="",G2113=""),"",ROW()-6)</f>
      </c>
      <c r="B2113" s="140" t="n"/>
      <c r="C2113" s="141" t="n"/>
      <c r="D2113" s="141" t="n"/>
      <c r="E2113" s="142" t="n"/>
      <c r="F2113" s="143" t="n"/>
      <c r="G2113" s="144" t="n"/>
      <c r="H2113" s="145">
        <f>IF(OR(C2113="",AND(F2113="",G2113="")),"",SUMIF(基础资料!$W$5:$W$24,C2113,基础资料!$X$5:$X$24)+SUMIF(C$7:C2113,C2113,F$7:F2113)-SUMIF(C$7:C2113,C2113,G$7:G2113))</f>
      </c>
      <c r="I2113" s="145">
        <f>IF(AND(F2113="",G2113=""),"",SUM(基础资料!$X$5:$X$24)+SUM(F$7:F2113)-SUM(G$7:G2113))</f>
      </c>
      <c r="J2113" s="141" t="n"/>
      <c r="K2113" s="141" t="n"/>
      <c r="L2113" s="141" t="n"/>
      <c r="M2113" s="142" t="n"/>
      <c r="N2113" s="146">
        <f>IF(AND(AND(F2113="",G2113=""),B2113="",C2113="",D2113="",J2113="",K2113="",L2113=""),"",IF(AND(F2113="",G2113=""),"✗ 没填金额",IF(AND(N(F2113)&lt;&gt;0,N(G2113)&lt;&gt;0),"✗ 收入、支出只能填一边",IF(NOT(ISNUMBER(B2113)),"✗ 日期不是真日期（要像 2026/9/25 这样填）",IF(OR(B2113&lt;年初日,B2113&gt;年末日),"✗ 日期不在本会计年度",IF(C2113="","✗ 没选账户",IF(COUNTIF(基础资料!$W$5:$W$24,C2113)=0,"✗ 账户不在基础资料里",IF(O2113="","✗ 没选收支项目",IF(P2113="未知","✗ 收支项目不在基础资料里",IF(AND(P2113="应收",J2113=""),"✗ 这笔要选客户",IF(AND(P2113="应收",COUNTIF(总览汇总!$B$5:$B$304,J2113)=0),"✗ 客户不在总览汇总名单里",IF(AND(P2113="应付",K2113=""),"✗ 这笔要选供应商",IF(AND(P2113="应付",COUNTIF(基础资料!$Q$5:$Q$54,K2113)=0),"✗ 供应商不在基础资料里",IF(AND(P2113="费用",L2113=""),"✗ 费用支出要选费用项目",IF(AND(L2113&lt;&gt;"",COUNTIF(基础资料!$AI$5:$AI$54,L2113)=0),"✗ 费用项目不在基础资料里",IF(AND(IFERROR(INDEX(基础资料!$AD$5:$AD$34,MATCH(O2113,基础资料!$AC$5:$AC$34,0)),"")="收",N(G2113)&lt;&gt;0),"✗ 这类是收款，金额填到收入列",IF(AND(IFERROR(INDEX(基础资料!$AD$5:$AD$34,MATCH(O2113,基础资料!$AC$5:$AC$34,0)),"")="支",N(F2113)&lt;&gt;0),"✗ 这类是付款，金额填到支出列",IF(N(H2113)&lt;0,"⚠ 账户余额成负数了，核对一下","√"))))))))))))))))))</f>
      </c>
      <c r="O2113" s="78">
        <f>IF(D2113&lt;&gt;"",D2113,IF(AND(F2113="",G2113=""),"",IF(J2113&lt;&gt;"",IF(N(F2113)&gt;0,"客户回款","客户退款"),IF(K2113&lt;&gt;"",IF(N(G2113)&gt;0,"供应商付款","供应商退款"),IF(L2113&lt;&gt;"","费用支出","")))))</f>
      </c>
      <c r="P2113" s="78">
        <f>IF(O2113="","",IFERROR(INDEX(基础资料!$AE$5:$AE$34,MATCH(O2113,基础资料!$AC$5:$AC$34,0)),"未知"))</f>
      </c>
      <c r="Q2113" s="78">
        <f>IF(P2113="应收",COUNTIF(P$7:P2113,"应收"),"")</f>
      </c>
      <c r="R2113" s="78">
        <f>IF(P2113="应付",COUNTIF(P$7:P2113,"应付"),"")</f>
      </c>
      <c r="S2113" s="78">
        <f>N(F2113)-N(G2113)</f>
        <v>0</v>
      </c>
    </row>
    <row r="2114">
      <c r="A2114" s="109">
        <f>IF(AND(F2114="",G2114=""),"",ROW()-6)</f>
      </c>
      <c r="B2114" s="140" t="n"/>
      <c r="C2114" s="141" t="n"/>
      <c r="D2114" s="141" t="n"/>
      <c r="E2114" s="142" t="n"/>
      <c r="F2114" s="143" t="n"/>
      <c r="G2114" s="144" t="n"/>
      <c r="H2114" s="145">
        <f>IF(OR(C2114="",AND(F2114="",G2114="")),"",SUMIF(基础资料!$W$5:$W$24,C2114,基础资料!$X$5:$X$24)+SUMIF(C$7:C2114,C2114,F$7:F2114)-SUMIF(C$7:C2114,C2114,G$7:G2114))</f>
      </c>
      <c r="I2114" s="145">
        <f>IF(AND(F2114="",G2114=""),"",SUM(基础资料!$X$5:$X$24)+SUM(F$7:F2114)-SUM(G$7:G2114))</f>
      </c>
      <c r="J2114" s="141" t="n"/>
      <c r="K2114" s="141" t="n"/>
      <c r="L2114" s="141" t="n"/>
      <c r="M2114" s="142" t="n"/>
      <c r="N2114" s="146">
        <f>IF(AND(AND(F2114="",G2114=""),B2114="",C2114="",D2114="",J2114="",K2114="",L2114=""),"",IF(AND(F2114="",G2114=""),"✗ 没填金额",IF(AND(N(F2114)&lt;&gt;0,N(G2114)&lt;&gt;0),"✗ 收入、支出只能填一边",IF(NOT(ISNUMBER(B2114)),"✗ 日期不是真日期（要像 2026/9/25 这样填）",IF(OR(B2114&lt;年初日,B2114&gt;年末日),"✗ 日期不在本会计年度",IF(C2114="","✗ 没选账户",IF(COUNTIF(基础资料!$W$5:$W$24,C2114)=0,"✗ 账户不在基础资料里",IF(O2114="","✗ 没选收支项目",IF(P2114="未知","✗ 收支项目不在基础资料里",IF(AND(P2114="应收",J2114=""),"✗ 这笔要选客户",IF(AND(P2114="应收",COUNTIF(总览汇总!$B$5:$B$304,J2114)=0),"✗ 客户不在总览汇总名单里",IF(AND(P2114="应付",K2114=""),"✗ 这笔要选供应商",IF(AND(P2114="应付",COUNTIF(基础资料!$Q$5:$Q$54,K2114)=0),"✗ 供应商不在基础资料里",IF(AND(P2114="费用",L2114=""),"✗ 费用支出要选费用项目",IF(AND(L2114&lt;&gt;"",COUNTIF(基础资料!$AI$5:$AI$54,L2114)=0),"✗ 费用项目不在基础资料里",IF(AND(IFERROR(INDEX(基础资料!$AD$5:$AD$34,MATCH(O2114,基础资料!$AC$5:$AC$34,0)),"")="收",N(G2114)&lt;&gt;0),"✗ 这类是收款，金额填到收入列",IF(AND(IFERROR(INDEX(基础资料!$AD$5:$AD$34,MATCH(O2114,基础资料!$AC$5:$AC$34,0)),"")="支",N(F2114)&lt;&gt;0),"✗ 这类是付款，金额填到支出列",IF(N(H2114)&lt;0,"⚠ 账户余额成负数了，核对一下","√"))))))))))))))))))</f>
      </c>
      <c r="O2114" s="78">
        <f>IF(D2114&lt;&gt;"",D2114,IF(AND(F2114="",G2114=""),"",IF(J2114&lt;&gt;"",IF(N(F2114)&gt;0,"客户回款","客户退款"),IF(K2114&lt;&gt;"",IF(N(G2114)&gt;0,"供应商付款","供应商退款"),IF(L2114&lt;&gt;"","费用支出","")))))</f>
      </c>
      <c r="P2114" s="78">
        <f>IF(O2114="","",IFERROR(INDEX(基础资料!$AE$5:$AE$34,MATCH(O2114,基础资料!$AC$5:$AC$34,0)),"未知"))</f>
      </c>
      <c r="Q2114" s="78">
        <f>IF(P2114="应收",COUNTIF(P$7:P2114,"应收"),"")</f>
      </c>
      <c r="R2114" s="78">
        <f>IF(P2114="应付",COUNTIF(P$7:P2114,"应付"),"")</f>
      </c>
      <c r="S2114" s="78">
        <f>N(F2114)-N(G2114)</f>
        <v>0</v>
      </c>
    </row>
    <row r="2115">
      <c r="A2115" s="109">
        <f>IF(AND(F2115="",G2115=""),"",ROW()-6)</f>
      </c>
      <c r="B2115" s="140" t="n"/>
      <c r="C2115" s="141" t="n"/>
      <c r="D2115" s="141" t="n"/>
      <c r="E2115" s="142" t="n"/>
      <c r="F2115" s="143" t="n"/>
      <c r="G2115" s="144" t="n"/>
      <c r="H2115" s="145">
        <f>IF(OR(C2115="",AND(F2115="",G2115="")),"",SUMIF(基础资料!$W$5:$W$24,C2115,基础资料!$X$5:$X$24)+SUMIF(C$7:C2115,C2115,F$7:F2115)-SUMIF(C$7:C2115,C2115,G$7:G2115))</f>
      </c>
      <c r="I2115" s="145">
        <f>IF(AND(F2115="",G2115=""),"",SUM(基础资料!$X$5:$X$24)+SUM(F$7:F2115)-SUM(G$7:G2115))</f>
      </c>
      <c r="J2115" s="141" t="n"/>
      <c r="K2115" s="141" t="n"/>
      <c r="L2115" s="141" t="n"/>
      <c r="M2115" s="142" t="n"/>
      <c r="N2115" s="146">
        <f>IF(AND(AND(F2115="",G2115=""),B2115="",C2115="",D2115="",J2115="",K2115="",L2115=""),"",IF(AND(F2115="",G2115=""),"✗ 没填金额",IF(AND(N(F2115)&lt;&gt;0,N(G2115)&lt;&gt;0),"✗ 收入、支出只能填一边",IF(NOT(ISNUMBER(B2115)),"✗ 日期不是真日期（要像 2026/9/25 这样填）",IF(OR(B2115&lt;年初日,B2115&gt;年末日),"✗ 日期不在本会计年度",IF(C2115="","✗ 没选账户",IF(COUNTIF(基础资料!$W$5:$W$24,C2115)=0,"✗ 账户不在基础资料里",IF(O2115="","✗ 没选收支项目",IF(P2115="未知","✗ 收支项目不在基础资料里",IF(AND(P2115="应收",J2115=""),"✗ 这笔要选客户",IF(AND(P2115="应收",COUNTIF(总览汇总!$B$5:$B$304,J2115)=0),"✗ 客户不在总览汇总名单里",IF(AND(P2115="应付",K2115=""),"✗ 这笔要选供应商",IF(AND(P2115="应付",COUNTIF(基础资料!$Q$5:$Q$54,K2115)=0),"✗ 供应商不在基础资料里",IF(AND(P2115="费用",L2115=""),"✗ 费用支出要选费用项目",IF(AND(L2115&lt;&gt;"",COUNTIF(基础资料!$AI$5:$AI$54,L2115)=0),"✗ 费用项目不在基础资料里",IF(AND(IFERROR(INDEX(基础资料!$AD$5:$AD$34,MATCH(O2115,基础资料!$AC$5:$AC$34,0)),"")="收",N(G2115)&lt;&gt;0),"✗ 这类是收款，金额填到收入列",IF(AND(IFERROR(INDEX(基础资料!$AD$5:$AD$34,MATCH(O2115,基础资料!$AC$5:$AC$34,0)),"")="支",N(F2115)&lt;&gt;0),"✗ 这类是付款，金额填到支出列",IF(N(H2115)&lt;0,"⚠ 账户余额成负数了，核对一下","√"))))))))))))))))))</f>
      </c>
      <c r="O2115" s="78">
        <f>IF(D2115&lt;&gt;"",D2115,IF(AND(F2115="",G2115=""),"",IF(J2115&lt;&gt;"",IF(N(F2115)&gt;0,"客户回款","客户退款"),IF(K2115&lt;&gt;"",IF(N(G2115)&gt;0,"供应商付款","供应商退款"),IF(L2115&lt;&gt;"","费用支出","")))))</f>
      </c>
      <c r="P2115" s="78">
        <f>IF(O2115="","",IFERROR(INDEX(基础资料!$AE$5:$AE$34,MATCH(O2115,基础资料!$AC$5:$AC$34,0)),"未知"))</f>
      </c>
      <c r="Q2115" s="78">
        <f>IF(P2115="应收",COUNTIF(P$7:P2115,"应收"),"")</f>
      </c>
      <c r="R2115" s="78">
        <f>IF(P2115="应付",COUNTIF(P$7:P2115,"应付"),"")</f>
      </c>
      <c r="S2115" s="78">
        <f>N(F2115)-N(G2115)</f>
        <v>0</v>
      </c>
    </row>
    <row r="2116">
      <c r="A2116" s="109">
        <f>IF(AND(F2116="",G2116=""),"",ROW()-6)</f>
      </c>
      <c r="B2116" s="140" t="n"/>
      <c r="C2116" s="141" t="n"/>
      <c r="D2116" s="141" t="n"/>
      <c r="E2116" s="142" t="n"/>
      <c r="F2116" s="143" t="n"/>
      <c r="G2116" s="144" t="n"/>
      <c r="H2116" s="145">
        <f>IF(OR(C2116="",AND(F2116="",G2116="")),"",SUMIF(基础资料!$W$5:$W$24,C2116,基础资料!$X$5:$X$24)+SUMIF(C$7:C2116,C2116,F$7:F2116)-SUMIF(C$7:C2116,C2116,G$7:G2116))</f>
      </c>
      <c r="I2116" s="145">
        <f>IF(AND(F2116="",G2116=""),"",SUM(基础资料!$X$5:$X$24)+SUM(F$7:F2116)-SUM(G$7:G2116))</f>
      </c>
      <c r="J2116" s="141" t="n"/>
      <c r="K2116" s="141" t="n"/>
      <c r="L2116" s="141" t="n"/>
      <c r="M2116" s="142" t="n"/>
      <c r="N2116" s="146">
        <f>IF(AND(AND(F2116="",G2116=""),B2116="",C2116="",D2116="",J2116="",K2116="",L2116=""),"",IF(AND(F2116="",G2116=""),"✗ 没填金额",IF(AND(N(F2116)&lt;&gt;0,N(G2116)&lt;&gt;0),"✗ 收入、支出只能填一边",IF(NOT(ISNUMBER(B2116)),"✗ 日期不是真日期（要像 2026/9/25 这样填）",IF(OR(B2116&lt;年初日,B2116&gt;年末日),"✗ 日期不在本会计年度",IF(C2116="","✗ 没选账户",IF(COUNTIF(基础资料!$W$5:$W$24,C2116)=0,"✗ 账户不在基础资料里",IF(O2116="","✗ 没选收支项目",IF(P2116="未知","✗ 收支项目不在基础资料里",IF(AND(P2116="应收",J2116=""),"✗ 这笔要选客户",IF(AND(P2116="应收",COUNTIF(总览汇总!$B$5:$B$304,J2116)=0),"✗ 客户不在总览汇总名单里",IF(AND(P2116="应付",K2116=""),"✗ 这笔要选供应商",IF(AND(P2116="应付",COUNTIF(基础资料!$Q$5:$Q$54,K2116)=0),"✗ 供应商不在基础资料里",IF(AND(P2116="费用",L2116=""),"✗ 费用支出要选费用项目",IF(AND(L2116&lt;&gt;"",COUNTIF(基础资料!$AI$5:$AI$54,L2116)=0),"✗ 费用项目不在基础资料里",IF(AND(IFERROR(INDEX(基础资料!$AD$5:$AD$34,MATCH(O2116,基础资料!$AC$5:$AC$34,0)),"")="收",N(G2116)&lt;&gt;0),"✗ 这类是收款，金额填到收入列",IF(AND(IFERROR(INDEX(基础资料!$AD$5:$AD$34,MATCH(O2116,基础资料!$AC$5:$AC$34,0)),"")="支",N(F2116)&lt;&gt;0),"✗ 这类是付款，金额填到支出列",IF(N(H2116)&lt;0,"⚠ 账户余额成负数了，核对一下","√"))))))))))))))))))</f>
      </c>
      <c r="O2116" s="78">
        <f>IF(D2116&lt;&gt;"",D2116,IF(AND(F2116="",G2116=""),"",IF(J2116&lt;&gt;"",IF(N(F2116)&gt;0,"客户回款","客户退款"),IF(K2116&lt;&gt;"",IF(N(G2116)&gt;0,"供应商付款","供应商退款"),IF(L2116&lt;&gt;"","费用支出","")))))</f>
      </c>
      <c r="P2116" s="78">
        <f>IF(O2116="","",IFERROR(INDEX(基础资料!$AE$5:$AE$34,MATCH(O2116,基础资料!$AC$5:$AC$34,0)),"未知"))</f>
      </c>
      <c r="Q2116" s="78">
        <f>IF(P2116="应收",COUNTIF(P$7:P2116,"应收"),"")</f>
      </c>
      <c r="R2116" s="78">
        <f>IF(P2116="应付",COUNTIF(P$7:P2116,"应付"),"")</f>
      </c>
      <c r="S2116" s="78">
        <f>N(F2116)-N(G2116)</f>
        <v>0</v>
      </c>
    </row>
    <row r="2117">
      <c r="A2117" s="109">
        <f>IF(AND(F2117="",G2117=""),"",ROW()-6)</f>
      </c>
      <c r="B2117" s="140" t="n"/>
      <c r="C2117" s="141" t="n"/>
      <c r="D2117" s="141" t="n"/>
      <c r="E2117" s="142" t="n"/>
      <c r="F2117" s="143" t="n"/>
      <c r="G2117" s="144" t="n"/>
      <c r="H2117" s="145">
        <f>IF(OR(C2117="",AND(F2117="",G2117="")),"",SUMIF(基础资料!$W$5:$W$24,C2117,基础资料!$X$5:$X$24)+SUMIF(C$7:C2117,C2117,F$7:F2117)-SUMIF(C$7:C2117,C2117,G$7:G2117))</f>
      </c>
      <c r="I2117" s="145">
        <f>IF(AND(F2117="",G2117=""),"",SUM(基础资料!$X$5:$X$24)+SUM(F$7:F2117)-SUM(G$7:G2117))</f>
      </c>
      <c r="J2117" s="141" t="n"/>
      <c r="K2117" s="141" t="n"/>
      <c r="L2117" s="141" t="n"/>
      <c r="M2117" s="142" t="n"/>
      <c r="N2117" s="146">
        <f>IF(AND(AND(F2117="",G2117=""),B2117="",C2117="",D2117="",J2117="",K2117="",L2117=""),"",IF(AND(F2117="",G2117=""),"✗ 没填金额",IF(AND(N(F2117)&lt;&gt;0,N(G2117)&lt;&gt;0),"✗ 收入、支出只能填一边",IF(NOT(ISNUMBER(B2117)),"✗ 日期不是真日期（要像 2026/9/25 这样填）",IF(OR(B2117&lt;年初日,B2117&gt;年末日),"✗ 日期不在本会计年度",IF(C2117="","✗ 没选账户",IF(COUNTIF(基础资料!$W$5:$W$24,C2117)=0,"✗ 账户不在基础资料里",IF(O2117="","✗ 没选收支项目",IF(P2117="未知","✗ 收支项目不在基础资料里",IF(AND(P2117="应收",J2117=""),"✗ 这笔要选客户",IF(AND(P2117="应收",COUNTIF(总览汇总!$B$5:$B$304,J2117)=0),"✗ 客户不在总览汇总名单里",IF(AND(P2117="应付",K2117=""),"✗ 这笔要选供应商",IF(AND(P2117="应付",COUNTIF(基础资料!$Q$5:$Q$54,K2117)=0),"✗ 供应商不在基础资料里",IF(AND(P2117="费用",L2117=""),"✗ 费用支出要选费用项目",IF(AND(L2117&lt;&gt;"",COUNTIF(基础资料!$AI$5:$AI$54,L2117)=0),"✗ 费用项目不在基础资料里",IF(AND(IFERROR(INDEX(基础资料!$AD$5:$AD$34,MATCH(O2117,基础资料!$AC$5:$AC$34,0)),"")="收",N(G2117)&lt;&gt;0),"✗ 这类是收款，金额填到收入列",IF(AND(IFERROR(INDEX(基础资料!$AD$5:$AD$34,MATCH(O2117,基础资料!$AC$5:$AC$34,0)),"")="支",N(F2117)&lt;&gt;0),"✗ 这类是付款，金额填到支出列",IF(N(H2117)&lt;0,"⚠ 账户余额成负数了，核对一下","√"))))))))))))))))))</f>
      </c>
      <c r="O2117" s="78">
        <f>IF(D2117&lt;&gt;"",D2117,IF(AND(F2117="",G2117=""),"",IF(J2117&lt;&gt;"",IF(N(F2117)&gt;0,"客户回款","客户退款"),IF(K2117&lt;&gt;"",IF(N(G2117)&gt;0,"供应商付款","供应商退款"),IF(L2117&lt;&gt;"","费用支出","")))))</f>
      </c>
      <c r="P2117" s="78">
        <f>IF(O2117="","",IFERROR(INDEX(基础资料!$AE$5:$AE$34,MATCH(O2117,基础资料!$AC$5:$AC$34,0)),"未知"))</f>
      </c>
      <c r="Q2117" s="78">
        <f>IF(P2117="应收",COUNTIF(P$7:P2117,"应收"),"")</f>
      </c>
      <c r="R2117" s="78">
        <f>IF(P2117="应付",COUNTIF(P$7:P2117,"应付"),"")</f>
      </c>
      <c r="S2117" s="78">
        <f>N(F2117)-N(G2117)</f>
        <v>0</v>
      </c>
    </row>
    <row r="2118">
      <c r="A2118" s="109">
        <f>IF(AND(F2118="",G2118=""),"",ROW()-6)</f>
      </c>
      <c r="B2118" s="140" t="n"/>
      <c r="C2118" s="141" t="n"/>
      <c r="D2118" s="141" t="n"/>
      <c r="E2118" s="142" t="n"/>
      <c r="F2118" s="143" t="n"/>
      <c r="G2118" s="144" t="n"/>
      <c r="H2118" s="145">
        <f>IF(OR(C2118="",AND(F2118="",G2118="")),"",SUMIF(基础资料!$W$5:$W$24,C2118,基础资料!$X$5:$X$24)+SUMIF(C$7:C2118,C2118,F$7:F2118)-SUMIF(C$7:C2118,C2118,G$7:G2118))</f>
      </c>
      <c r="I2118" s="145">
        <f>IF(AND(F2118="",G2118=""),"",SUM(基础资料!$X$5:$X$24)+SUM(F$7:F2118)-SUM(G$7:G2118))</f>
      </c>
      <c r="J2118" s="141" t="n"/>
      <c r="K2118" s="141" t="n"/>
      <c r="L2118" s="141" t="n"/>
      <c r="M2118" s="142" t="n"/>
      <c r="N2118" s="146">
        <f>IF(AND(AND(F2118="",G2118=""),B2118="",C2118="",D2118="",J2118="",K2118="",L2118=""),"",IF(AND(F2118="",G2118=""),"✗ 没填金额",IF(AND(N(F2118)&lt;&gt;0,N(G2118)&lt;&gt;0),"✗ 收入、支出只能填一边",IF(NOT(ISNUMBER(B2118)),"✗ 日期不是真日期（要像 2026/9/25 这样填）",IF(OR(B2118&lt;年初日,B2118&gt;年末日),"✗ 日期不在本会计年度",IF(C2118="","✗ 没选账户",IF(COUNTIF(基础资料!$W$5:$W$24,C2118)=0,"✗ 账户不在基础资料里",IF(O2118="","✗ 没选收支项目",IF(P2118="未知","✗ 收支项目不在基础资料里",IF(AND(P2118="应收",J2118=""),"✗ 这笔要选客户",IF(AND(P2118="应收",COUNTIF(总览汇总!$B$5:$B$304,J2118)=0),"✗ 客户不在总览汇总名单里",IF(AND(P2118="应付",K2118=""),"✗ 这笔要选供应商",IF(AND(P2118="应付",COUNTIF(基础资料!$Q$5:$Q$54,K2118)=0),"✗ 供应商不在基础资料里",IF(AND(P2118="费用",L2118=""),"✗ 费用支出要选费用项目",IF(AND(L2118&lt;&gt;"",COUNTIF(基础资料!$AI$5:$AI$54,L2118)=0),"✗ 费用项目不在基础资料里",IF(AND(IFERROR(INDEX(基础资料!$AD$5:$AD$34,MATCH(O2118,基础资料!$AC$5:$AC$34,0)),"")="收",N(G2118)&lt;&gt;0),"✗ 这类是收款，金额填到收入列",IF(AND(IFERROR(INDEX(基础资料!$AD$5:$AD$34,MATCH(O2118,基础资料!$AC$5:$AC$34,0)),"")="支",N(F2118)&lt;&gt;0),"✗ 这类是付款，金额填到支出列",IF(N(H2118)&lt;0,"⚠ 账户余额成负数了，核对一下","√"))))))))))))))))))</f>
      </c>
      <c r="O2118" s="78">
        <f>IF(D2118&lt;&gt;"",D2118,IF(AND(F2118="",G2118=""),"",IF(J2118&lt;&gt;"",IF(N(F2118)&gt;0,"客户回款","客户退款"),IF(K2118&lt;&gt;"",IF(N(G2118)&gt;0,"供应商付款","供应商退款"),IF(L2118&lt;&gt;"","费用支出","")))))</f>
      </c>
      <c r="P2118" s="78">
        <f>IF(O2118="","",IFERROR(INDEX(基础资料!$AE$5:$AE$34,MATCH(O2118,基础资料!$AC$5:$AC$34,0)),"未知"))</f>
      </c>
      <c r="Q2118" s="78">
        <f>IF(P2118="应收",COUNTIF(P$7:P2118,"应收"),"")</f>
      </c>
      <c r="R2118" s="78">
        <f>IF(P2118="应付",COUNTIF(P$7:P2118,"应付"),"")</f>
      </c>
      <c r="S2118" s="78">
        <f>N(F2118)-N(G2118)</f>
        <v>0</v>
      </c>
    </row>
    <row r="2119">
      <c r="A2119" s="109">
        <f>IF(AND(F2119="",G2119=""),"",ROW()-6)</f>
      </c>
      <c r="B2119" s="140" t="n"/>
      <c r="C2119" s="141" t="n"/>
      <c r="D2119" s="141" t="n"/>
      <c r="E2119" s="142" t="n"/>
      <c r="F2119" s="143" t="n"/>
      <c r="G2119" s="144" t="n"/>
      <c r="H2119" s="145">
        <f>IF(OR(C2119="",AND(F2119="",G2119="")),"",SUMIF(基础资料!$W$5:$W$24,C2119,基础资料!$X$5:$X$24)+SUMIF(C$7:C2119,C2119,F$7:F2119)-SUMIF(C$7:C2119,C2119,G$7:G2119))</f>
      </c>
      <c r="I2119" s="145">
        <f>IF(AND(F2119="",G2119=""),"",SUM(基础资料!$X$5:$X$24)+SUM(F$7:F2119)-SUM(G$7:G2119))</f>
      </c>
      <c r="J2119" s="141" t="n"/>
      <c r="K2119" s="141" t="n"/>
      <c r="L2119" s="141" t="n"/>
      <c r="M2119" s="142" t="n"/>
      <c r="N2119" s="146">
        <f>IF(AND(AND(F2119="",G2119=""),B2119="",C2119="",D2119="",J2119="",K2119="",L2119=""),"",IF(AND(F2119="",G2119=""),"✗ 没填金额",IF(AND(N(F2119)&lt;&gt;0,N(G2119)&lt;&gt;0),"✗ 收入、支出只能填一边",IF(NOT(ISNUMBER(B2119)),"✗ 日期不是真日期（要像 2026/9/25 这样填）",IF(OR(B2119&lt;年初日,B2119&gt;年末日),"✗ 日期不在本会计年度",IF(C2119="","✗ 没选账户",IF(COUNTIF(基础资料!$W$5:$W$24,C2119)=0,"✗ 账户不在基础资料里",IF(O2119="","✗ 没选收支项目",IF(P2119="未知","✗ 收支项目不在基础资料里",IF(AND(P2119="应收",J2119=""),"✗ 这笔要选客户",IF(AND(P2119="应收",COUNTIF(总览汇总!$B$5:$B$304,J2119)=0),"✗ 客户不在总览汇总名单里",IF(AND(P2119="应付",K2119=""),"✗ 这笔要选供应商",IF(AND(P2119="应付",COUNTIF(基础资料!$Q$5:$Q$54,K2119)=0),"✗ 供应商不在基础资料里",IF(AND(P2119="费用",L2119=""),"✗ 费用支出要选费用项目",IF(AND(L2119&lt;&gt;"",COUNTIF(基础资料!$AI$5:$AI$54,L2119)=0),"✗ 费用项目不在基础资料里",IF(AND(IFERROR(INDEX(基础资料!$AD$5:$AD$34,MATCH(O2119,基础资料!$AC$5:$AC$34,0)),"")="收",N(G2119)&lt;&gt;0),"✗ 这类是收款，金额填到收入列",IF(AND(IFERROR(INDEX(基础资料!$AD$5:$AD$34,MATCH(O2119,基础资料!$AC$5:$AC$34,0)),"")="支",N(F2119)&lt;&gt;0),"✗ 这类是付款，金额填到支出列",IF(N(H2119)&lt;0,"⚠ 账户余额成负数了，核对一下","√"))))))))))))))))))</f>
      </c>
      <c r="O2119" s="78">
        <f>IF(D2119&lt;&gt;"",D2119,IF(AND(F2119="",G2119=""),"",IF(J2119&lt;&gt;"",IF(N(F2119)&gt;0,"客户回款","客户退款"),IF(K2119&lt;&gt;"",IF(N(G2119)&gt;0,"供应商付款","供应商退款"),IF(L2119&lt;&gt;"","费用支出","")))))</f>
      </c>
      <c r="P2119" s="78">
        <f>IF(O2119="","",IFERROR(INDEX(基础资料!$AE$5:$AE$34,MATCH(O2119,基础资料!$AC$5:$AC$34,0)),"未知"))</f>
      </c>
      <c r="Q2119" s="78">
        <f>IF(P2119="应收",COUNTIF(P$7:P2119,"应收"),"")</f>
      </c>
      <c r="R2119" s="78">
        <f>IF(P2119="应付",COUNTIF(P$7:P2119,"应付"),"")</f>
      </c>
      <c r="S2119" s="78">
        <f>N(F2119)-N(G2119)</f>
        <v>0</v>
      </c>
    </row>
    <row r="2120">
      <c r="A2120" s="109">
        <f>IF(AND(F2120="",G2120=""),"",ROW()-6)</f>
      </c>
      <c r="B2120" s="140" t="n"/>
      <c r="C2120" s="141" t="n"/>
      <c r="D2120" s="141" t="n"/>
      <c r="E2120" s="142" t="n"/>
      <c r="F2120" s="143" t="n"/>
      <c r="G2120" s="144" t="n"/>
      <c r="H2120" s="145">
        <f>IF(OR(C2120="",AND(F2120="",G2120="")),"",SUMIF(基础资料!$W$5:$W$24,C2120,基础资料!$X$5:$X$24)+SUMIF(C$7:C2120,C2120,F$7:F2120)-SUMIF(C$7:C2120,C2120,G$7:G2120))</f>
      </c>
      <c r="I2120" s="145">
        <f>IF(AND(F2120="",G2120=""),"",SUM(基础资料!$X$5:$X$24)+SUM(F$7:F2120)-SUM(G$7:G2120))</f>
      </c>
      <c r="J2120" s="141" t="n"/>
      <c r="K2120" s="141" t="n"/>
      <c r="L2120" s="141" t="n"/>
      <c r="M2120" s="142" t="n"/>
      <c r="N2120" s="146">
        <f>IF(AND(AND(F2120="",G2120=""),B2120="",C2120="",D2120="",J2120="",K2120="",L2120=""),"",IF(AND(F2120="",G2120=""),"✗ 没填金额",IF(AND(N(F2120)&lt;&gt;0,N(G2120)&lt;&gt;0),"✗ 收入、支出只能填一边",IF(NOT(ISNUMBER(B2120)),"✗ 日期不是真日期（要像 2026/9/25 这样填）",IF(OR(B2120&lt;年初日,B2120&gt;年末日),"✗ 日期不在本会计年度",IF(C2120="","✗ 没选账户",IF(COUNTIF(基础资料!$W$5:$W$24,C2120)=0,"✗ 账户不在基础资料里",IF(O2120="","✗ 没选收支项目",IF(P2120="未知","✗ 收支项目不在基础资料里",IF(AND(P2120="应收",J2120=""),"✗ 这笔要选客户",IF(AND(P2120="应收",COUNTIF(总览汇总!$B$5:$B$304,J2120)=0),"✗ 客户不在总览汇总名单里",IF(AND(P2120="应付",K2120=""),"✗ 这笔要选供应商",IF(AND(P2120="应付",COUNTIF(基础资料!$Q$5:$Q$54,K2120)=0),"✗ 供应商不在基础资料里",IF(AND(P2120="费用",L2120=""),"✗ 费用支出要选费用项目",IF(AND(L2120&lt;&gt;"",COUNTIF(基础资料!$AI$5:$AI$54,L2120)=0),"✗ 费用项目不在基础资料里",IF(AND(IFERROR(INDEX(基础资料!$AD$5:$AD$34,MATCH(O2120,基础资料!$AC$5:$AC$34,0)),"")="收",N(G2120)&lt;&gt;0),"✗ 这类是收款，金额填到收入列",IF(AND(IFERROR(INDEX(基础资料!$AD$5:$AD$34,MATCH(O2120,基础资料!$AC$5:$AC$34,0)),"")="支",N(F2120)&lt;&gt;0),"✗ 这类是付款，金额填到支出列",IF(N(H2120)&lt;0,"⚠ 账户余额成负数了，核对一下","√"))))))))))))))))))</f>
      </c>
      <c r="O2120" s="78">
        <f>IF(D2120&lt;&gt;"",D2120,IF(AND(F2120="",G2120=""),"",IF(J2120&lt;&gt;"",IF(N(F2120)&gt;0,"客户回款","客户退款"),IF(K2120&lt;&gt;"",IF(N(G2120)&gt;0,"供应商付款","供应商退款"),IF(L2120&lt;&gt;"","费用支出","")))))</f>
      </c>
      <c r="P2120" s="78">
        <f>IF(O2120="","",IFERROR(INDEX(基础资料!$AE$5:$AE$34,MATCH(O2120,基础资料!$AC$5:$AC$34,0)),"未知"))</f>
      </c>
      <c r="Q2120" s="78">
        <f>IF(P2120="应收",COUNTIF(P$7:P2120,"应收"),"")</f>
      </c>
      <c r="R2120" s="78">
        <f>IF(P2120="应付",COUNTIF(P$7:P2120,"应付"),"")</f>
      </c>
      <c r="S2120" s="78">
        <f>N(F2120)-N(G2120)</f>
        <v>0</v>
      </c>
    </row>
    <row r="2121">
      <c r="A2121" s="109">
        <f>IF(AND(F2121="",G2121=""),"",ROW()-6)</f>
      </c>
      <c r="B2121" s="140" t="n"/>
      <c r="C2121" s="141" t="n"/>
      <c r="D2121" s="141" t="n"/>
      <c r="E2121" s="142" t="n"/>
      <c r="F2121" s="143" t="n"/>
      <c r="G2121" s="144" t="n"/>
      <c r="H2121" s="145">
        <f>IF(OR(C2121="",AND(F2121="",G2121="")),"",SUMIF(基础资料!$W$5:$W$24,C2121,基础资料!$X$5:$X$24)+SUMIF(C$7:C2121,C2121,F$7:F2121)-SUMIF(C$7:C2121,C2121,G$7:G2121))</f>
      </c>
      <c r="I2121" s="145">
        <f>IF(AND(F2121="",G2121=""),"",SUM(基础资料!$X$5:$X$24)+SUM(F$7:F2121)-SUM(G$7:G2121))</f>
      </c>
      <c r="J2121" s="141" t="n"/>
      <c r="K2121" s="141" t="n"/>
      <c r="L2121" s="141" t="n"/>
      <c r="M2121" s="142" t="n"/>
      <c r="N2121" s="146">
        <f>IF(AND(AND(F2121="",G2121=""),B2121="",C2121="",D2121="",J2121="",K2121="",L2121=""),"",IF(AND(F2121="",G2121=""),"✗ 没填金额",IF(AND(N(F2121)&lt;&gt;0,N(G2121)&lt;&gt;0),"✗ 收入、支出只能填一边",IF(NOT(ISNUMBER(B2121)),"✗ 日期不是真日期（要像 2026/9/25 这样填）",IF(OR(B2121&lt;年初日,B2121&gt;年末日),"✗ 日期不在本会计年度",IF(C2121="","✗ 没选账户",IF(COUNTIF(基础资料!$W$5:$W$24,C2121)=0,"✗ 账户不在基础资料里",IF(O2121="","✗ 没选收支项目",IF(P2121="未知","✗ 收支项目不在基础资料里",IF(AND(P2121="应收",J2121=""),"✗ 这笔要选客户",IF(AND(P2121="应收",COUNTIF(总览汇总!$B$5:$B$304,J2121)=0),"✗ 客户不在总览汇总名单里",IF(AND(P2121="应付",K2121=""),"✗ 这笔要选供应商",IF(AND(P2121="应付",COUNTIF(基础资料!$Q$5:$Q$54,K2121)=0),"✗ 供应商不在基础资料里",IF(AND(P2121="费用",L2121=""),"✗ 费用支出要选费用项目",IF(AND(L2121&lt;&gt;"",COUNTIF(基础资料!$AI$5:$AI$54,L2121)=0),"✗ 费用项目不在基础资料里",IF(AND(IFERROR(INDEX(基础资料!$AD$5:$AD$34,MATCH(O2121,基础资料!$AC$5:$AC$34,0)),"")="收",N(G2121)&lt;&gt;0),"✗ 这类是收款，金额填到收入列",IF(AND(IFERROR(INDEX(基础资料!$AD$5:$AD$34,MATCH(O2121,基础资料!$AC$5:$AC$34,0)),"")="支",N(F2121)&lt;&gt;0),"✗ 这类是付款，金额填到支出列",IF(N(H2121)&lt;0,"⚠ 账户余额成负数了，核对一下","√"))))))))))))))))))</f>
      </c>
      <c r="O2121" s="78">
        <f>IF(D2121&lt;&gt;"",D2121,IF(AND(F2121="",G2121=""),"",IF(J2121&lt;&gt;"",IF(N(F2121)&gt;0,"客户回款","客户退款"),IF(K2121&lt;&gt;"",IF(N(G2121)&gt;0,"供应商付款","供应商退款"),IF(L2121&lt;&gt;"","费用支出","")))))</f>
      </c>
      <c r="P2121" s="78">
        <f>IF(O2121="","",IFERROR(INDEX(基础资料!$AE$5:$AE$34,MATCH(O2121,基础资料!$AC$5:$AC$34,0)),"未知"))</f>
      </c>
      <c r="Q2121" s="78">
        <f>IF(P2121="应收",COUNTIF(P$7:P2121,"应收"),"")</f>
      </c>
      <c r="R2121" s="78">
        <f>IF(P2121="应付",COUNTIF(P$7:P2121,"应付"),"")</f>
      </c>
      <c r="S2121" s="78">
        <f>N(F2121)-N(G2121)</f>
        <v>0</v>
      </c>
    </row>
    <row r="2122">
      <c r="A2122" s="109">
        <f>IF(AND(F2122="",G2122=""),"",ROW()-6)</f>
      </c>
      <c r="B2122" s="140" t="n"/>
      <c r="C2122" s="141" t="n"/>
      <c r="D2122" s="141" t="n"/>
      <c r="E2122" s="142" t="n"/>
      <c r="F2122" s="143" t="n"/>
      <c r="G2122" s="144" t="n"/>
      <c r="H2122" s="145">
        <f>IF(OR(C2122="",AND(F2122="",G2122="")),"",SUMIF(基础资料!$W$5:$W$24,C2122,基础资料!$X$5:$X$24)+SUMIF(C$7:C2122,C2122,F$7:F2122)-SUMIF(C$7:C2122,C2122,G$7:G2122))</f>
      </c>
      <c r="I2122" s="145">
        <f>IF(AND(F2122="",G2122=""),"",SUM(基础资料!$X$5:$X$24)+SUM(F$7:F2122)-SUM(G$7:G2122))</f>
      </c>
      <c r="J2122" s="141" t="n"/>
      <c r="K2122" s="141" t="n"/>
      <c r="L2122" s="141" t="n"/>
      <c r="M2122" s="142" t="n"/>
      <c r="N2122" s="146">
        <f>IF(AND(AND(F2122="",G2122=""),B2122="",C2122="",D2122="",J2122="",K2122="",L2122=""),"",IF(AND(F2122="",G2122=""),"✗ 没填金额",IF(AND(N(F2122)&lt;&gt;0,N(G2122)&lt;&gt;0),"✗ 收入、支出只能填一边",IF(NOT(ISNUMBER(B2122)),"✗ 日期不是真日期（要像 2026/9/25 这样填）",IF(OR(B2122&lt;年初日,B2122&gt;年末日),"✗ 日期不在本会计年度",IF(C2122="","✗ 没选账户",IF(COUNTIF(基础资料!$W$5:$W$24,C2122)=0,"✗ 账户不在基础资料里",IF(O2122="","✗ 没选收支项目",IF(P2122="未知","✗ 收支项目不在基础资料里",IF(AND(P2122="应收",J2122=""),"✗ 这笔要选客户",IF(AND(P2122="应收",COUNTIF(总览汇总!$B$5:$B$304,J2122)=0),"✗ 客户不在总览汇总名单里",IF(AND(P2122="应付",K2122=""),"✗ 这笔要选供应商",IF(AND(P2122="应付",COUNTIF(基础资料!$Q$5:$Q$54,K2122)=0),"✗ 供应商不在基础资料里",IF(AND(P2122="费用",L2122=""),"✗ 费用支出要选费用项目",IF(AND(L2122&lt;&gt;"",COUNTIF(基础资料!$AI$5:$AI$54,L2122)=0),"✗ 费用项目不在基础资料里",IF(AND(IFERROR(INDEX(基础资料!$AD$5:$AD$34,MATCH(O2122,基础资料!$AC$5:$AC$34,0)),"")="收",N(G2122)&lt;&gt;0),"✗ 这类是收款，金额填到收入列",IF(AND(IFERROR(INDEX(基础资料!$AD$5:$AD$34,MATCH(O2122,基础资料!$AC$5:$AC$34,0)),"")="支",N(F2122)&lt;&gt;0),"✗ 这类是付款，金额填到支出列",IF(N(H2122)&lt;0,"⚠ 账户余额成负数了，核对一下","√"))))))))))))))))))</f>
      </c>
      <c r="O2122" s="78">
        <f>IF(D2122&lt;&gt;"",D2122,IF(AND(F2122="",G2122=""),"",IF(J2122&lt;&gt;"",IF(N(F2122)&gt;0,"客户回款","客户退款"),IF(K2122&lt;&gt;"",IF(N(G2122)&gt;0,"供应商付款","供应商退款"),IF(L2122&lt;&gt;"","费用支出","")))))</f>
      </c>
      <c r="P2122" s="78">
        <f>IF(O2122="","",IFERROR(INDEX(基础资料!$AE$5:$AE$34,MATCH(O2122,基础资料!$AC$5:$AC$34,0)),"未知"))</f>
      </c>
      <c r="Q2122" s="78">
        <f>IF(P2122="应收",COUNTIF(P$7:P2122,"应收"),"")</f>
      </c>
      <c r="R2122" s="78">
        <f>IF(P2122="应付",COUNTIF(P$7:P2122,"应付"),"")</f>
      </c>
      <c r="S2122" s="78">
        <f>N(F2122)-N(G2122)</f>
        <v>0</v>
      </c>
    </row>
    <row r="2123">
      <c r="A2123" s="109">
        <f>IF(AND(F2123="",G2123=""),"",ROW()-6)</f>
      </c>
      <c r="B2123" s="140" t="n"/>
      <c r="C2123" s="141" t="n"/>
      <c r="D2123" s="141" t="n"/>
      <c r="E2123" s="142" t="n"/>
      <c r="F2123" s="143" t="n"/>
      <c r="G2123" s="144" t="n"/>
      <c r="H2123" s="145">
        <f>IF(OR(C2123="",AND(F2123="",G2123="")),"",SUMIF(基础资料!$W$5:$W$24,C2123,基础资料!$X$5:$X$24)+SUMIF(C$7:C2123,C2123,F$7:F2123)-SUMIF(C$7:C2123,C2123,G$7:G2123))</f>
      </c>
      <c r="I2123" s="145">
        <f>IF(AND(F2123="",G2123=""),"",SUM(基础资料!$X$5:$X$24)+SUM(F$7:F2123)-SUM(G$7:G2123))</f>
      </c>
      <c r="J2123" s="141" t="n"/>
      <c r="K2123" s="141" t="n"/>
      <c r="L2123" s="141" t="n"/>
      <c r="M2123" s="142" t="n"/>
      <c r="N2123" s="146">
        <f>IF(AND(AND(F2123="",G2123=""),B2123="",C2123="",D2123="",J2123="",K2123="",L2123=""),"",IF(AND(F2123="",G2123=""),"✗ 没填金额",IF(AND(N(F2123)&lt;&gt;0,N(G2123)&lt;&gt;0),"✗ 收入、支出只能填一边",IF(NOT(ISNUMBER(B2123)),"✗ 日期不是真日期（要像 2026/9/25 这样填）",IF(OR(B2123&lt;年初日,B2123&gt;年末日),"✗ 日期不在本会计年度",IF(C2123="","✗ 没选账户",IF(COUNTIF(基础资料!$W$5:$W$24,C2123)=0,"✗ 账户不在基础资料里",IF(O2123="","✗ 没选收支项目",IF(P2123="未知","✗ 收支项目不在基础资料里",IF(AND(P2123="应收",J2123=""),"✗ 这笔要选客户",IF(AND(P2123="应收",COUNTIF(总览汇总!$B$5:$B$304,J2123)=0),"✗ 客户不在总览汇总名单里",IF(AND(P2123="应付",K2123=""),"✗ 这笔要选供应商",IF(AND(P2123="应付",COUNTIF(基础资料!$Q$5:$Q$54,K2123)=0),"✗ 供应商不在基础资料里",IF(AND(P2123="费用",L2123=""),"✗ 费用支出要选费用项目",IF(AND(L2123&lt;&gt;"",COUNTIF(基础资料!$AI$5:$AI$54,L2123)=0),"✗ 费用项目不在基础资料里",IF(AND(IFERROR(INDEX(基础资料!$AD$5:$AD$34,MATCH(O2123,基础资料!$AC$5:$AC$34,0)),"")="收",N(G2123)&lt;&gt;0),"✗ 这类是收款，金额填到收入列",IF(AND(IFERROR(INDEX(基础资料!$AD$5:$AD$34,MATCH(O2123,基础资料!$AC$5:$AC$34,0)),"")="支",N(F2123)&lt;&gt;0),"✗ 这类是付款，金额填到支出列",IF(N(H2123)&lt;0,"⚠ 账户余额成负数了，核对一下","√"))))))))))))))))))</f>
      </c>
      <c r="O2123" s="78">
        <f>IF(D2123&lt;&gt;"",D2123,IF(AND(F2123="",G2123=""),"",IF(J2123&lt;&gt;"",IF(N(F2123)&gt;0,"客户回款","客户退款"),IF(K2123&lt;&gt;"",IF(N(G2123)&gt;0,"供应商付款","供应商退款"),IF(L2123&lt;&gt;"","费用支出","")))))</f>
      </c>
      <c r="P2123" s="78">
        <f>IF(O2123="","",IFERROR(INDEX(基础资料!$AE$5:$AE$34,MATCH(O2123,基础资料!$AC$5:$AC$34,0)),"未知"))</f>
      </c>
      <c r="Q2123" s="78">
        <f>IF(P2123="应收",COUNTIF(P$7:P2123,"应收"),"")</f>
      </c>
      <c r="R2123" s="78">
        <f>IF(P2123="应付",COUNTIF(P$7:P2123,"应付"),"")</f>
      </c>
      <c r="S2123" s="78">
        <f>N(F2123)-N(G2123)</f>
        <v>0</v>
      </c>
    </row>
    <row r="2124">
      <c r="A2124" s="109">
        <f>IF(AND(F2124="",G2124=""),"",ROW()-6)</f>
      </c>
      <c r="B2124" s="140" t="n"/>
      <c r="C2124" s="141" t="n"/>
      <c r="D2124" s="141" t="n"/>
      <c r="E2124" s="142" t="n"/>
      <c r="F2124" s="143" t="n"/>
      <c r="G2124" s="144" t="n"/>
      <c r="H2124" s="145">
        <f>IF(OR(C2124="",AND(F2124="",G2124="")),"",SUMIF(基础资料!$W$5:$W$24,C2124,基础资料!$X$5:$X$24)+SUMIF(C$7:C2124,C2124,F$7:F2124)-SUMIF(C$7:C2124,C2124,G$7:G2124))</f>
      </c>
      <c r="I2124" s="145">
        <f>IF(AND(F2124="",G2124=""),"",SUM(基础资料!$X$5:$X$24)+SUM(F$7:F2124)-SUM(G$7:G2124))</f>
      </c>
      <c r="J2124" s="141" t="n"/>
      <c r="K2124" s="141" t="n"/>
      <c r="L2124" s="141" t="n"/>
      <c r="M2124" s="142" t="n"/>
      <c r="N2124" s="146">
        <f>IF(AND(AND(F2124="",G2124=""),B2124="",C2124="",D2124="",J2124="",K2124="",L2124=""),"",IF(AND(F2124="",G2124=""),"✗ 没填金额",IF(AND(N(F2124)&lt;&gt;0,N(G2124)&lt;&gt;0),"✗ 收入、支出只能填一边",IF(NOT(ISNUMBER(B2124)),"✗ 日期不是真日期（要像 2026/9/25 这样填）",IF(OR(B2124&lt;年初日,B2124&gt;年末日),"✗ 日期不在本会计年度",IF(C2124="","✗ 没选账户",IF(COUNTIF(基础资料!$W$5:$W$24,C2124)=0,"✗ 账户不在基础资料里",IF(O2124="","✗ 没选收支项目",IF(P2124="未知","✗ 收支项目不在基础资料里",IF(AND(P2124="应收",J2124=""),"✗ 这笔要选客户",IF(AND(P2124="应收",COUNTIF(总览汇总!$B$5:$B$304,J2124)=0),"✗ 客户不在总览汇总名单里",IF(AND(P2124="应付",K2124=""),"✗ 这笔要选供应商",IF(AND(P2124="应付",COUNTIF(基础资料!$Q$5:$Q$54,K2124)=0),"✗ 供应商不在基础资料里",IF(AND(P2124="费用",L2124=""),"✗ 费用支出要选费用项目",IF(AND(L2124&lt;&gt;"",COUNTIF(基础资料!$AI$5:$AI$54,L2124)=0),"✗ 费用项目不在基础资料里",IF(AND(IFERROR(INDEX(基础资料!$AD$5:$AD$34,MATCH(O2124,基础资料!$AC$5:$AC$34,0)),"")="收",N(G2124)&lt;&gt;0),"✗ 这类是收款，金额填到收入列",IF(AND(IFERROR(INDEX(基础资料!$AD$5:$AD$34,MATCH(O2124,基础资料!$AC$5:$AC$34,0)),"")="支",N(F2124)&lt;&gt;0),"✗ 这类是付款，金额填到支出列",IF(N(H2124)&lt;0,"⚠ 账户余额成负数了，核对一下","√"))))))))))))))))))</f>
      </c>
      <c r="O2124" s="78">
        <f>IF(D2124&lt;&gt;"",D2124,IF(AND(F2124="",G2124=""),"",IF(J2124&lt;&gt;"",IF(N(F2124)&gt;0,"客户回款","客户退款"),IF(K2124&lt;&gt;"",IF(N(G2124)&gt;0,"供应商付款","供应商退款"),IF(L2124&lt;&gt;"","费用支出","")))))</f>
      </c>
      <c r="P2124" s="78">
        <f>IF(O2124="","",IFERROR(INDEX(基础资料!$AE$5:$AE$34,MATCH(O2124,基础资料!$AC$5:$AC$34,0)),"未知"))</f>
      </c>
      <c r="Q2124" s="78">
        <f>IF(P2124="应收",COUNTIF(P$7:P2124,"应收"),"")</f>
      </c>
      <c r="R2124" s="78">
        <f>IF(P2124="应付",COUNTIF(P$7:P2124,"应付"),"")</f>
      </c>
      <c r="S2124" s="78">
        <f>N(F2124)-N(G2124)</f>
        <v>0</v>
      </c>
    </row>
    <row r="2125">
      <c r="A2125" s="109">
        <f>IF(AND(F2125="",G2125=""),"",ROW()-6)</f>
      </c>
      <c r="B2125" s="140" t="n"/>
      <c r="C2125" s="141" t="n"/>
      <c r="D2125" s="141" t="n"/>
      <c r="E2125" s="142" t="n"/>
      <c r="F2125" s="143" t="n"/>
      <c r="G2125" s="144" t="n"/>
      <c r="H2125" s="145">
        <f>IF(OR(C2125="",AND(F2125="",G2125="")),"",SUMIF(基础资料!$W$5:$W$24,C2125,基础资料!$X$5:$X$24)+SUMIF(C$7:C2125,C2125,F$7:F2125)-SUMIF(C$7:C2125,C2125,G$7:G2125))</f>
      </c>
      <c r="I2125" s="145">
        <f>IF(AND(F2125="",G2125=""),"",SUM(基础资料!$X$5:$X$24)+SUM(F$7:F2125)-SUM(G$7:G2125))</f>
      </c>
      <c r="J2125" s="141" t="n"/>
      <c r="K2125" s="141" t="n"/>
      <c r="L2125" s="141" t="n"/>
      <c r="M2125" s="142" t="n"/>
      <c r="N2125" s="146">
        <f>IF(AND(AND(F2125="",G2125=""),B2125="",C2125="",D2125="",J2125="",K2125="",L2125=""),"",IF(AND(F2125="",G2125=""),"✗ 没填金额",IF(AND(N(F2125)&lt;&gt;0,N(G2125)&lt;&gt;0),"✗ 收入、支出只能填一边",IF(NOT(ISNUMBER(B2125)),"✗ 日期不是真日期（要像 2026/9/25 这样填）",IF(OR(B2125&lt;年初日,B2125&gt;年末日),"✗ 日期不在本会计年度",IF(C2125="","✗ 没选账户",IF(COUNTIF(基础资料!$W$5:$W$24,C2125)=0,"✗ 账户不在基础资料里",IF(O2125="","✗ 没选收支项目",IF(P2125="未知","✗ 收支项目不在基础资料里",IF(AND(P2125="应收",J2125=""),"✗ 这笔要选客户",IF(AND(P2125="应收",COUNTIF(总览汇总!$B$5:$B$304,J2125)=0),"✗ 客户不在总览汇总名单里",IF(AND(P2125="应付",K2125=""),"✗ 这笔要选供应商",IF(AND(P2125="应付",COUNTIF(基础资料!$Q$5:$Q$54,K2125)=0),"✗ 供应商不在基础资料里",IF(AND(P2125="费用",L2125=""),"✗ 费用支出要选费用项目",IF(AND(L2125&lt;&gt;"",COUNTIF(基础资料!$AI$5:$AI$54,L2125)=0),"✗ 费用项目不在基础资料里",IF(AND(IFERROR(INDEX(基础资料!$AD$5:$AD$34,MATCH(O2125,基础资料!$AC$5:$AC$34,0)),"")="收",N(G2125)&lt;&gt;0),"✗ 这类是收款，金额填到收入列",IF(AND(IFERROR(INDEX(基础资料!$AD$5:$AD$34,MATCH(O2125,基础资料!$AC$5:$AC$34,0)),"")="支",N(F2125)&lt;&gt;0),"✗ 这类是付款，金额填到支出列",IF(N(H2125)&lt;0,"⚠ 账户余额成负数了，核对一下","√"))))))))))))))))))</f>
      </c>
      <c r="O2125" s="78">
        <f>IF(D2125&lt;&gt;"",D2125,IF(AND(F2125="",G2125=""),"",IF(J2125&lt;&gt;"",IF(N(F2125)&gt;0,"客户回款","客户退款"),IF(K2125&lt;&gt;"",IF(N(G2125)&gt;0,"供应商付款","供应商退款"),IF(L2125&lt;&gt;"","费用支出","")))))</f>
      </c>
      <c r="P2125" s="78">
        <f>IF(O2125="","",IFERROR(INDEX(基础资料!$AE$5:$AE$34,MATCH(O2125,基础资料!$AC$5:$AC$34,0)),"未知"))</f>
      </c>
      <c r="Q2125" s="78">
        <f>IF(P2125="应收",COUNTIF(P$7:P2125,"应收"),"")</f>
      </c>
      <c r="R2125" s="78">
        <f>IF(P2125="应付",COUNTIF(P$7:P2125,"应付"),"")</f>
      </c>
      <c r="S2125" s="78">
        <f>N(F2125)-N(G2125)</f>
        <v>0</v>
      </c>
    </row>
    <row r="2126">
      <c r="A2126" s="109">
        <f>IF(AND(F2126="",G2126=""),"",ROW()-6)</f>
      </c>
      <c r="B2126" s="140" t="n"/>
      <c r="C2126" s="141" t="n"/>
      <c r="D2126" s="141" t="n"/>
      <c r="E2126" s="142" t="n"/>
      <c r="F2126" s="143" t="n"/>
      <c r="G2126" s="144" t="n"/>
      <c r="H2126" s="145">
        <f>IF(OR(C2126="",AND(F2126="",G2126="")),"",SUMIF(基础资料!$W$5:$W$24,C2126,基础资料!$X$5:$X$24)+SUMIF(C$7:C2126,C2126,F$7:F2126)-SUMIF(C$7:C2126,C2126,G$7:G2126))</f>
      </c>
      <c r="I2126" s="145">
        <f>IF(AND(F2126="",G2126=""),"",SUM(基础资料!$X$5:$X$24)+SUM(F$7:F2126)-SUM(G$7:G2126))</f>
      </c>
      <c r="J2126" s="141" t="n"/>
      <c r="K2126" s="141" t="n"/>
      <c r="L2126" s="141" t="n"/>
      <c r="M2126" s="142" t="n"/>
      <c r="N2126" s="146">
        <f>IF(AND(AND(F2126="",G2126=""),B2126="",C2126="",D2126="",J2126="",K2126="",L2126=""),"",IF(AND(F2126="",G2126=""),"✗ 没填金额",IF(AND(N(F2126)&lt;&gt;0,N(G2126)&lt;&gt;0),"✗ 收入、支出只能填一边",IF(NOT(ISNUMBER(B2126)),"✗ 日期不是真日期（要像 2026/9/25 这样填）",IF(OR(B2126&lt;年初日,B2126&gt;年末日),"✗ 日期不在本会计年度",IF(C2126="","✗ 没选账户",IF(COUNTIF(基础资料!$W$5:$W$24,C2126)=0,"✗ 账户不在基础资料里",IF(O2126="","✗ 没选收支项目",IF(P2126="未知","✗ 收支项目不在基础资料里",IF(AND(P2126="应收",J2126=""),"✗ 这笔要选客户",IF(AND(P2126="应收",COUNTIF(总览汇总!$B$5:$B$304,J2126)=0),"✗ 客户不在总览汇总名单里",IF(AND(P2126="应付",K2126=""),"✗ 这笔要选供应商",IF(AND(P2126="应付",COUNTIF(基础资料!$Q$5:$Q$54,K2126)=0),"✗ 供应商不在基础资料里",IF(AND(P2126="费用",L2126=""),"✗ 费用支出要选费用项目",IF(AND(L2126&lt;&gt;"",COUNTIF(基础资料!$AI$5:$AI$54,L2126)=0),"✗ 费用项目不在基础资料里",IF(AND(IFERROR(INDEX(基础资料!$AD$5:$AD$34,MATCH(O2126,基础资料!$AC$5:$AC$34,0)),"")="收",N(G2126)&lt;&gt;0),"✗ 这类是收款，金额填到收入列",IF(AND(IFERROR(INDEX(基础资料!$AD$5:$AD$34,MATCH(O2126,基础资料!$AC$5:$AC$34,0)),"")="支",N(F2126)&lt;&gt;0),"✗ 这类是付款，金额填到支出列",IF(N(H2126)&lt;0,"⚠ 账户余额成负数了，核对一下","√"))))))))))))))))))</f>
      </c>
      <c r="O2126" s="78">
        <f>IF(D2126&lt;&gt;"",D2126,IF(AND(F2126="",G2126=""),"",IF(J2126&lt;&gt;"",IF(N(F2126)&gt;0,"客户回款","客户退款"),IF(K2126&lt;&gt;"",IF(N(G2126)&gt;0,"供应商付款","供应商退款"),IF(L2126&lt;&gt;"","费用支出","")))))</f>
      </c>
      <c r="P2126" s="78">
        <f>IF(O2126="","",IFERROR(INDEX(基础资料!$AE$5:$AE$34,MATCH(O2126,基础资料!$AC$5:$AC$34,0)),"未知"))</f>
      </c>
      <c r="Q2126" s="78">
        <f>IF(P2126="应收",COUNTIF(P$7:P2126,"应收"),"")</f>
      </c>
      <c r="R2126" s="78">
        <f>IF(P2126="应付",COUNTIF(P$7:P2126,"应付"),"")</f>
      </c>
      <c r="S2126" s="78">
        <f>N(F2126)-N(G2126)</f>
        <v>0</v>
      </c>
    </row>
    <row r="2127">
      <c r="A2127" s="109">
        <f>IF(AND(F2127="",G2127=""),"",ROW()-6)</f>
      </c>
      <c r="B2127" s="140" t="n"/>
      <c r="C2127" s="141" t="n"/>
      <c r="D2127" s="141" t="n"/>
      <c r="E2127" s="142" t="n"/>
      <c r="F2127" s="143" t="n"/>
      <c r="G2127" s="144" t="n"/>
      <c r="H2127" s="145">
        <f>IF(OR(C2127="",AND(F2127="",G2127="")),"",SUMIF(基础资料!$W$5:$W$24,C2127,基础资料!$X$5:$X$24)+SUMIF(C$7:C2127,C2127,F$7:F2127)-SUMIF(C$7:C2127,C2127,G$7:G2127))</f>
      </c>
      <c r="I2127" s="145">
        <f>IF(AND(F2127="",G2127=""),"",SUM(基础资料!$X$5:$X$24)+SUM(F$7:F2127)-SUM(G$7:G2127))</f>
      </c>
      <c r="J2127" s="141" t="n"/>
      <c r="K2127" s="141" t="n"/>
      <c r="L2127" s="141" t="n"/>
      <c r="M2127" s="142" t="n"/>
      <c r="N2127" s="146">
        <f>IF(AND(AND(F2127="",G2127=""),B2127="",C2127="",D2127="",J2127="",K2127="",L2127=""),"",IF(AND(F2127="",G2127=""),"✗ 没填金额",IF(AND(N(F2127)&lt;&gt;0,N(G2127)&lt;&gt;0),"✗ 收入、支出只能填一边",IF(NOT(ISNUMBER(B2127)),"✗ 日期不是真日期（要像 2026/9/25 这样填）",IF(OR(B2127&lt;年初日,B2127&gt;年末日),"✗ 日期不在本会计年度",IF(C2127="","✗ 没选账户",IF(COUNTIF(基础资料!$W$5:$W$24,C2127)=0,"✗ 账户不在基础资料里",IF(O2127="","✗ 没选收支项目",IF(P2127="未知","✗ 收支项目不在基础资料里",IF(AND(P2127="应收",J2127=""),"✗ 这笔要选客户",IF(AND(P2127="应收",COUNTIF(总览汇总!$B$5:$B$304,J2127)=0),"✗ 客户不在总览汇总名单里",IF(AND(P2127="应付",K2127=""),"✗ 这笔要选供应商",IF(AND(P2127="应付",COUNTIF(基础资料!$Q$5:$Q$54,K2127)=0),"✗ 供应商不在基础资料里",IF(AND(P2127="费用",L2127=""),"✗ 费用支出要选费用项目",IF(AND(L2127&lt;&gt;"",COUNTIF(基础资料!$AI$5:$AI$54,L2127)=0),"✗ 费用项目不在基础资料里",IF(AND(IFERROR(INDEX(基础资料!$AD$5:$AD$34,MATCH(O2127,基础资料!$AC$5:$AC$34,0)),"")="收",N(G2127)&lt;&gt;0),"✗ 这类是收款，金额填到收入列",IF(AND(IFERROR(INDEX(基础资料!$AD$5:$AD$34,MATCH(O2127,基础资料!$AC$5:$AC$34,0)),"")="支",N(F2127)&lt;&gt;0),"✗ 这类是付款，金额填到支出列",IF(N(H2127)&lt;0,"⚠ 账户余额成负数了，核对一下","√"))))))))))))))))))</f>
      </c>
      <c r="O2127" s="78">
        <f>IF(D2127&lt;&gt;"",D2127,IF(AND(F2127="",G2127=""),"",IF(J2127&lt;&gt;"",IF(N(F2127)&gt;0,"客户回款","客户退款"),IF(K2127&lt;&gt;"",IF(N(G2127)&gt;0,"供应商付款","供应商退款"),IF(L2127&lt;&gt;"","费用支出","")))))</f>
      </c>
      <c r="P2127" s="78">
        <f>IF(O2127="","",IFERROR(INDEX(基础资料!$AE$5:$AE$34,MATCH(O2127,基础资料!$AC$5:$AC$34,0)),"未知"))</f>
      </c>
      <c r="Q2127" s="78">
        <f>IF(P2127="应收",COUNTIF(P$7:P2127,"应收"),"")</f>
      </c>
      <c r="R2127" s="78">
        <f>IF(P2127="应付",COUNTIF(P$7:P2127,"应付"),"")</f>
      </c>
      <c r="S2127" s="78">
        <f>N(F2127)-N(G2127)</f>
        <v>0</v>
      </c>
    </row>
    <row r="2128">
      <c r="A2128" s="109">
        <f>IF(AND(F2128="",G2128=""),"",ROW()-6)</f>
      </c>
      <c r="B2128" s="140" t="n"/>
      <c r="C2128" s="141" t="n"/>
      <c r="D2128" s="141" t="n"/>
      <c r="E2128" s="142" t="n"/>
      <c r="F2128" s="143" t="n"/>
      <c r="G2128" s="144" t="n"/>
      <c r="H2128" s="145">
        <f>IF(OR(C2128="",AND(F2128="",G2128="")),"",SUMIF(基础资料!$W$5:$W$24,C2128,基础资料!$X$5:$X$24)+SUMIF(C$7:C2128,C2128,F$7:F2128)-SUMIF(C$7:C2128,C2128,G$7:G2128))</f>
      </c>
      <c r="I2128" s="145">
        <f>IF(AND(F2128="",G2128=""),"",SUM(基础资料!$X$5:$X$24)+SUM(F$7:F2128)-SUM(G$7:G2128))</f>
      </c>
      <c r="J2128" s="141" t="n"/>
      <c r="K2128" s="141" t="n"/>
      <c r="L2128" s="141" t="n"/>
      <c r="M2128" s="142" t="n"/>
      <c r="N2128" s="146">
        <f>IF(AND(AND(F2128="",G2128=""),B2128="",C2128="",D2128="",J2128="",K2128="",L2128=""),"",IF(AND(F2128="",G2128=""),"✗ 没填金额",IF(AND(N(F2128)&lt;&gt;0,N(G2128)&lt;&gt;0),"✗ 收入、支出只能填一边",IF(NOT(ISNUMBER(B2128)),"✗ 日期不是真日期（要像 2026/9/25 这样填）",IF(OR(B2128&lt;年初日,B2128&gt;年末日),"✗ 日期不在本会计年度",IF(C2128="","✗ 没选账户",IF(COUNTIF(基础资料!$W$5:$W$24,C2128)=0,"✗ 账户不在基础资料里",IF(O2128="","✗ 没选收支项目",IF(P2128="未知","✗ 收支项目不在基础资料里",IF(AND(P2128="应收",J2128=""),"✗ 这笔要选客户",IF(AND(P2128="应收",COUNTIF(总览汇总!$B$5:$B$304,J2128)=0),"✗ 客户不在总览汇总名单里",IF(AND(P2128="应付",K2128=""),"✗ 这笔要选供应商",IF(AND(P2128="应付",COUNTIF(基础资料!$Q$5:$Q$54,K2128)=0),"✗ 供应商不在基础资料里",IF(AND(P2128="费用",L2128=""),"✗ 费用支出要选费用项目",IF(AND(L2128&lt;&gt;"",COUNTIF(基础资料!$AI$5:$AI$54,L2128)=0),"✗ 费用项目不在基础资料里",IF(AND(IFERROR(INDEX(基础资料!$AD$5:$AD$34,MATCH(O2128,基础资料!$AC$5:$AC$34,0)),"")="收",N(G2128)&lt;&gt;0),"✗ 这类是收款，金额填到收入列",IF(AND(IFERROR(INDEX(基础资料!$AD$5:$AD$34,MATCH(O2128,基础资料!$AC$5:$AC$34,0)),"")="支",N(F2128)&lt;&gt;0),"✗ 这类是付款，金额填到支出列",IF(N(H2128)&lt;0,"⚠ 账户余额成负数了，核对一下","√"))))))))))))))))))</f>
      </c>
      <c r="O2128" s="78">
        <f>IF(D2128&lt;&gt;"",D2128,IF(AND(F2128="",G2128=""),"",IF(J2128&lt;&gt;"",IF(N(F2128)&gt;0,"客户回款","客户退款"),IF(K2128&lt;&gt;"",IF(N(G2128)&gt;0,"供应商付款","供应商退款"),IF(L2128&lt;&gt;"","费用支出","")))))</f>
      </c>
      <c r="P2128" s="78">
        <f>IF(O2128="","",IFERROR(INDEX(基础资料!$AE$5:$AE$34,MATCH(O2128,基础资料!$AC$5:$AC$34,0)),"未知"))</f>
      </c>
      <c r="Q2128" s="78">
        <f>IF(P2128="应收",COUNTIF(P$7:P2128,"应收"),"")</f>
      </c>
      <c r="R2128" s="78">
        <f>IF(P2128="应付",COUNTIF(P$7:P2128,"应付"),"")</f>
      </c>
      <c r="S2128" s="78">
        <f>N(F2128)-N(G2128)</f>
        <v>0</v>
      </c>
    </row>
    <row r="2129">
      <c r="A2129" s="109">
        <f>IF(AND(F2129="",G2129=""),"",ROW()-6)</f>
      </c>
      <c r="B2129" s="140" t="n"/>
      <c r="C2129" s="141" t="n"/>
      <c r="D2129" s="141" t="n"/>
      <c r="E2129" s="142" t="n"/>
      <c r="F2129" s="143" t="n"/>
      <c r="G2129" s="144" t="n"/>
      <c r="H2129" s="145">
        <f>IF(OR(C2129="",AND(F2129="",G2129="")),"",SUMIF(基础资料!$W$5:$W$24,C2129,基础资料!$X$5:$X$24)+SUMIF(C$7:C2129,C2129,F$7:F2129)-SUMIF(C$7:C2129,C2129,G$7:G2129))</f>
      </c>
      <c r="I2129" s="145">
        <f>IF(AND(F2129="",G2129=""),"",SUM(基础资料!$X$5:$X$24)+SUM(F$7:F2129)-SUM(G$7:G2129))</f>
      </c>
      <c r="J2129" s="141" t="n"/>
      <c r="K2129" s="141" t="n"/>
      <c r="L2129" s="141" t="n"/>
      <c r="M2129" s="142" t="n"/>
      <c r="N2129" s="146">
        <f>IF(AND(AND(F2129="",G2129=""),B2129="",C2129="",D2129="",J2129="",K2129="",L2129=""),"",IF(AND(F2129="",G2129=""),"✗ 没填金额",IF(AND(N(F2129)&lt;&gt;0,N(G2129)&lt;&gt;0),"✗ 收入、支出只能填一边",IF(NOT(ISNUMBER(B2129)),"✗ 日期不是真日期（要像 2026/9/25 这样填）",IF(OR(B2129&lt;年初日,B2129&gt;年末日),"✗ 日期不在本会计年度",IF(C2129="","✗ 没选账户",IF(COUNTIF(基础资料!$W$5:$W$24,C2129)=0,"✗ 账户不在基础资料里",IF(O2129="","✗ 没选收支项目",IF(P2129="未知","✗ 收支项目不在基础资料里",IF(AND(P2129="应收",J2129=""),"✗ 这笔要选客户",IF(AND(P2129="应收",COUNTIF(总览汇总!$B$5:$B$304,J2129)=0),"✗ 客户不在总览汇总名单里",IF(AND(P2129="应付",K2129=""),"✗ 这笔要选供应商",IF(AND(P2129="应付",COUNTIF(基础资料!$Q$5:$Q$54,K2129)=0),"✗ 供应商不在基础资料里",IF(AND(P2129="费用",L2129=""),"✗ 费用支出要选费用项目",IF(AND(L2129&lt;&gt;"",COUNTIF(基础资料!$AI$5:$AI$54,L2129)=0),"✗ 费用项目不在基础资料里",IF(AND(IFERROR(INDEX(基础资料!$AD$5:$AD$34,MATCH(O2129,基础资料!$AC$5:$AC$34,0)),"")="收",N(G2129)&lt;&gt;0),"✗ 这类是收款，金额填到收入列",IF(AND(IFERROR(INDEX(基础资料!$AD$5:$AD$34,MATCH(O2129,基础资料!$AC$5:$AC$34,0)),"")="支",N(F2129)&lt;&gt;0),"✗ 这类是付款，金额填到支出列",IF(N(H2129)&lt;0,"⚠ 账户余额成负数了，核对一下","√"))))))))))))))))))</f>
      </c>
      <c r="O2129" s="78">
        <f>IF(D2129&lt;&gt;"",D2129,IF(AND(F2129="",G2129=""),"",IF(J2129&lt;&gt;"",IF(N(F2129)&gt;0,"客户回款","客户退款"),IF(K2129&lt;&gt;"",IF(N(G2129)&gt;0,"供应商付款","供应商退款"),IF(L2129&lt;&gt;"","费用支出","")))))</f>
      </c>
      <c r="P2129" s="78">
        <f>IF(O2129="","",IFERROR(INDEX(基础资料!$AE$5:$AE$34,MATCH(O2129,基础资料!$AC$5:$AC$34,0)),"未知"))</f>
      </c>
      <c r="Q2129" s="78">
        <f>IF(P2129="应收",COUNTIF(P$7:P2129,"应收"),"")</f>
      </c>
      <c r="R2129" s="78">
        <f>IF(P2129="应付",COUNTIF(P$7:P2129,"应付"),"")</f>
      </c>
      <c r="S2129" s="78">
        <f>N(F2129)-N(G2129)</f>
        <v>0</v>
      </c>
    </row>
    <row r="2130">
      <c r="A2130" s="109">
        <f>IF(AND(F2130="",G2130=""),"",ROW()-6)</f>
      </c>
      <c r="B2130" s="140" t="n"/>
      <c r="C2130" s="141" t="n"/>
      <c r="D2130" s="141" t="n"/>
      <c r="E2130" s="142" t="n"/>
      <c r="F2130" s="143" t="n"/>
      <c r="G2130" s="144" t="n"/>
      <c r="H2130" s="145">
        <f>IF(OR(C2130="",AND(F2130="",G2130="")),"",SUMIF(基础资料!$W$5:$W$24,C2130,基础资料!$X$5:$X$24)+SUMIF(C$7:C2130,C2130,F$7:F2130)-SUMIF(C$7:C2130,C2130,G$7:G2130))</f>
      </c>
      <c r="I2130" s="145">
        <f>IF(AND(F2130="",G2130=""),"",SUM(基础资料!$X$5:$X$24)+SUM(F$7:F2130)-SUM(G$7:G2130))</f>
      </c>
      <c r="J2130" s="141" t="n"/>
      <c r="K2130" s="141" t="n"/>
      <c r="L2130" s="141" t="n"/>
      <c r="M2130" s="142" t="n"/>
      <c r="N2130" s="146">
        <f>IF(AND(AND(F2130="",G2130=""),B2130="",C2130="",D2130="",J2130="",K2130="",L2130=""),"",IF(AND(F2130="",G2130=""),"✗ 没填金额",IF(AND(N(F2130)&lt;&gt;0,N(G2130)&lt;&gt;0),"✗ 收入、支出只能填一边",IF(NOT(ISNUMBER(B2130)),"✗ 日期不是真日期（要像 2026/9/25 这样填）",IF(OR(B2130&lt;年初日,B2130&gt;年末日),"✗ 日期不在本会计年度",IF(C2130="","✗ 没选账户",IF(COUNTIF(基础资料!$W$5:$W$24,C2130)=0,"✗ 账户不在基础资料里",IF(O2130="","✗ 没选收支项目",IF(P2130="未知","✗ 收支项目不在基础资料里",IF(AND(P2130="应收",J2130=""),"✗ 这笔要选客户",IF(AND(P2130="应收",COUNTIF(总览汇总!$B$5:$B$304,J2130)=0),"✗ 客户不在总览汇总名单里",IF(AND(P2130="应付",K2130=""),"✗ 这笔要选供应商",IF(AND(P2130="应付",COUNTIF(基础资料!$Q$5:$Q$54,K2130)=0),"✗ 供应商不在基础资料里",IF(AND(P2130="费用",L2130=""),"✗ 费用支出要选费用项目",IF(AND(L2130&lt;&gt;"",COUNTIF(基础资料!$AI$5:$AI$54,L2130)=0),"✗ 费用项目不在基础资料里",IF(AND(IFERROR(INDEX(基础资料!$AD$5:$AD$34,MATCH(O2130,基础资料!$AC$5:$AC$34,0)),"")="收",N(G2130)&lt;&gt;0),"✗ 这类是收款，金额填到收入列",IF(AND(IFERROR(INDEX(基础资料!$AD$5:$AD$34,MATCH(O2130,基础资料!$AC$5:$AC$34,0)),"")="支",N(F2130)&lt;&gt;0),"✗ 这类是付款，金额填到支出列",IF(N(H2130)&lt;0,"⚠ 账户余额成负数了，核对一下","√"))))))))))))))))))</f>
      </c>
      <c r="O2130" s="78">
        <f>IF(D2130&lt;&gt;"",D2130,IF(AND(F2130="",G2130=""),"",IF(J2130&lt;&gt;"",IF(N(F2130)&gt;0,"客户回款","客户退款"),IF(K2130&lt;&gt;"",IF(N(G2130)&gt;0,"供应商付款","供应商退款"),IF(L2130&lt;&gt;"","费用支出","")))))</f>
      </c>
      <c r="P2130" s="78">
        <f>IF(O2130="","",IFERROR(INDEX(基础资料!$AE$5:$AE$34,MATCH(O2130,基础资料!$AC$5:$AC$34,0)),"未知"))</f>
      </c>
      <c r="Q2130" s="78">
        <f>IF(P2130="应收",COUNTIF(P$7:P2130,"应收"),"")</f>
      </c>
      <c r="R2130" s="78">
        <f>IF(P2130="应付",COUNTIF(P$7:P2130,"应付"),"")</f>
      </c>
      <c r="S2130" s="78">
        <f>N(F2130)-N(G2130)</f>
        <v>0</v>
      </c>
    </row>
    <row r="2131">
      <c r="A2131" s="109">
        <f>IF(AND(F2131="",G2131=""),"",ROW()-6)</f>
      </c>
      <c r="B2131" s="140" t="n"/>
      <c r="C2131" s="141" t="n"/>
      <c r="D2131" s="141" t="n"/>
      <c r="E2131" s="142" t="n"/>
      <c r="F2131" s="143" t="n"/>
      <c r="G2131" s="144" t="n"/>
      <c r="H2131" s="145">
        <f>IF(OR(C2131="",AND(F2131="",G2131="")),"",SUMIF(基础资料!$W$5:$W$24,C2131,基础资料!$X$5:$X$24)+SUMIF(C$7:C2131,C2131,F$7:F2131)-SUMIF(C$7:C2131,C2131,G$7:G2131))</f>
      </c>
      <c r="I2131" s="145">
        <f>IF(AND(F2131="",G2131=""),"",SUM(基础资料!$X$5:$X$24)+SUM(F$7:F2131)-SUM(G$7:G2131))</f>
      </c>
      <c r="J2131" s="141" t="n"/>
      <c r="K2131" s="141" t="n"/>
      <c r="L2131" s="141" t="n"/>
      <c r="M2131" s="142" t="n"/>
      <c r="N2131" s="146">
        <f>IF(AND(AND(F2131="",G2131=""),B2131="",C2131="",D2131="",J2131="",K2131="",L2131=""),"",IF(AND(F2131="",G2131=""),"✗ 没填金额",IF(AND(N(F2131)&lt;&gt;0,N(G2131)&lt;&gt;0),"✗ 收入、支出只能填一边",IF(NOT(ISNUMBER(B2131)),"✗ 日期不是真日期（要像 2026/9/25 这样填）",IF(OR(B2131&lt;年初日,B2131&gt;年末日),"✗ 日期不在本会计年度",IF(C2131="","✗ 没选账户",IF(COUNTIF(基础资料!$W$5:$W$24,C2131)=0,"✗ 账户不在基础资料里",IF(O2131="","✗ 没选收支项目",IF(P2131="未知","✗ 收支项目不在基础资料里",IF(AND(P2131="应收",J2131=""),"✗ 这笔要选客户",IF(AND(P2131="应收",COUNTIF(总览汇总!$B$5:$B$304,J2131)=0),"✗ 客户不在总览汇总名单里",IF(AND(P2131="应付",K2131=""),"✗ 这笔要选供应商",IF(AND(P2131="应付",COUNTIF(基础资料!$Q$5:$Q$54,K2131)=0),"✗ 供应商不在基础资料里",IF(AND(P2131="费用",L2131=""),"✗ 费用支出要选费用项目",IF(AND(L2131&lt;&gt;"",COUNTIF(基础资料!$AI$5:$AI$54,L2131)=0),"✗ 费用项目不在基础资料里",IF(AND(IFERROR(INDEX(基础资料!$AD$5:$AD$34,MATCH(O2131,基础资料!$AC$5:$AC$34,0)),"")="收",N(G2131)&lt;&gt;0),"✗ 这类是收款，金额填到收入列",IF(AND(IFERROR(INDEX(基础资料!$AD$5:$AD$34,MATCH(O2131,基础资料!$AC$5:$AC$34,0)),"")="支",N(F2131)&lt;&gt;0),"✗ 这类是付款，金额填到支出列",IF(N(H2131)&lt;0,"⚠ 账户余额成负数了，核对一下","√"))))))))))))))))))</f>
      </c>
      <c r="O2131" s="78">
        <f>IF(D2131&lt;&gt;"",D2131,IF(AND(F2131="",G2131=""),"",IF(J2131&lt;&gt;"",IF(N(F2131)&gt;0,"客户回款","客户退款"),IF(K2131&lt;&gt;"",IF(N(G2131)&gt;0,"供应商付款","供应商退款"),IF(L2131&lt;&gt;"","费用支出","")))))</f>
      </c>
      <c r="P2131" s="78">
        <f>IF(O2131="","",IFERROR(INDEX(基础资料!$AE$5:$AE$34,MATCH(O2131,基础资料!$AC$5:$AC$34,0)),"未知"))</f>
      </c>
      <c r="Q2131" s="78">
        <f>IF(P2131="应收",COUNTIF(P$7:P2131,"应收"),"")</f>
      </c>
      <c r="R2131" s="78">
        <f>IF(P2131="应付",COUNTIF(P$7:P2131,"应付"),"")</f>
      </c>
      <c r="S2131" s="78">
        <f>N(F2131)-N(G2131)</f>
        <v>0</v>
      </c>
    </row>
    <row r="2132">
      <c r="A2132" s="109">
        <f>IF(AND(F2132="",G2132=""),"",ROW()-6)</f>
      </c>
      <c r="B2132" s="140" t="n"/>
      <c r="C2132" s="141" t="n"/>
      <c r="D2132" s="141" t="n"/>
      <c r="E2132" s="142" t="n"/>
      <c r="F2132" s="143" t="n"/>
      <c r="G2132" s="144" t="n"/>
      <c r="H2132" s="145">
        <f>IF(OR(C2132="",AND(F2132="",G2132="")),"",SUMIF(基础资料!$W$5:$W$24,C2132,基础资料!$X$5:$X$24)+SUMIF(C$7:C2132,C2132,F$7:F2132)-SUMIF(C$7:C2132,C2132,G$7:G2132))</f>
      </c>
      <c r="I2132" s="145">
        <f>IF(AND(F2132="",G2132=""),"",SUM(基础资料!$X$5:$X$24)+SUM(F$7:F2132)-SUM(G$7:G2132))</f>
      </c>
      <c r="J2132" s="141" t="n"/>
      <c r="K2132" s="141" t="n"/>
      <c r="L2132" s="141" t="n"/>
      <c r="M2132" s="142" t="n"/>
      <c r="N2132" s="146">
        <f>IF(AND(AND(F2132="",G2132=""),B2132="",C2132="",D2132="",J2132="",K2132="",L2132=""),"",IF(AND(F2132="",G2132=""),"✗ 没填金额",IF(AND(N(F2132)&lt;&gt;0,N(G2132)&lt;&gt;0),"✗ 收入、支出只能填一边",IF(NOT(ISNUMBER(B2132)),"✗ 日期不是真日期（要像 2026/9/25 这样填）",IF(OR(B2132&lt;年初日,B2132&gt;年末日),"✗ 日期不在本会计年度",IF(C2132="","✗ 没选账户",IF(COUNTIF(基础资料!$W$5:$W$24,C2132)=0,"✗ 账户不在基础资料里",IF(O2132="","✗ 没选收支项目",IF(P2132="未知","✗ 收支项目不在基础资料里",IF(AND(P2132="应收",J2132=""),"✗ 这笔要选客户",IF(AND(P2132="应收",COUNTIF(总览汇总!$B$5:$B$304,J2132)=0),"✗ 客户不在总览汇总名单里",IF(AND(P2132="应付",K2132=""),"✗ 这笔要选供应商",IF(AND(P2132="应付",COUNTIF(基础资料!$Q$5:$Q$54,K2132)=0),"✗ 供应商不在基础资料里",IF(AND(P2132="费用",L2132=""),"✗ 费用支出要选费用项目",IF(AND(L2132&lt;&gt;"",COUNTIF(基础资料!$AI$5:$AI$54,L2132)=0),"✗ 费用项目不在基础资料里",IF(AND(IFERROR(INDEX(基础资料!$AD$5:$AD$34,MATCH(O2132,基础资料!$AC$5:$AC$34,0)),"")="收",N(G2132)&lt;&gt;0),"✗ 这类是收款，金额填到收入列",IF(AND(IFERROR(INDEX(基础资料!$AD$5:$AD$34,MATCH(O2132,基础资料!$AC$5:$AC$34,0)),"")="支",N(F2132)&lt;&gt;0),"✗ 这类是付款，金额填到支出列",IF(N(H2132)&lt;0,"⚠ 账户余额成负数了，核对一下","√"))))))))))))))))))</f>
      </c>
      <c r="O2132" s="78">
        <f>IF(D2132&lt;&gt;"",D2132,IF(AND(F2132="",G2132=""),"",IF(J2132&lt;&gt;"",IF(N(F2132)&gt;0,"客户回款","客户退款"),IF(K2132&lt;&gt;"",IF(N(G2132)&gt;0,"供应商付款","供应商退款"),IF(L2132&lt;&gt;"","费用支出","")))))</f>
      </c>
      <c r="P2132" s="78">
        <f>IF(O2132="","",IFERROR(INDEX(基础资料!$AE$5:$AE$34,MATCH(O2132,基础资料!$AC$5:$AC$34,0)),"未知"))</f>
      </c>
      <c r="Q2132" s="78">
        <f>IF(P2132="应收",COUNTIF(P$7:P2132,"应收"),"")</f>
      </c>
      <c r="R2132" s="78">
        <f>IF(P2132="应付",COUNTIF(P$7:P2132,"应付"),"")</f>
      </c>
      <c r="S2132" s="78">
        <f>N(F2132)-N(G2132)</f>
        <v>0</v>
      </c>
    </row>
    <row r="2133">
      <c r="A2133" s="109">
        <f>IF(AND(F2133="",G2133=""),"",ROW()-6)</f>
      </c>
      <c r="B2133" s="140" t="n"/>
      <c r="C2133" s="141" t="n"/>
      <c r="D2133" s="141" t="n"/>
      <c r="E2133" s="142" t="n"/>
      <c r="F2133" s="143" t="n"/>
      <c r="G2133" s="144" t="n"/>
      <c r="H2133" s="145">
        <f>IF(OR(C2133="",AND(F2133="",G2133="")),"",SUMIF(基础资料!$W$5:$W$24,C2133,基础资料!$X$5:$X$24)+SUMIF(C$7:C2133,C2133,F$7:F2133)-SUMIF(C$7:C2133,C2133,G$7:G2133))</f>
      </c>
      <c r="I2133" s="145">
        <f>IF(AND(F2133="",G2133=""),"",SUM(基础资料!$X$5:$X$24)+SUM(F$7:F2133)-SUM(G$7:G2133))</f>
      </c>
      <c r="J2133" s="141" t="n"/>
      <c r="K2133" s="141" t="n"/>
      <c r="L2133" s="141" t="n"/>
      <c r="M2133" s="142" t="n"/>
      <c r="N2133" s="146">
        <f>IF(AND(AND(F2133="",G2133=""),B2133="",C2133="",D2133="",J2133="",K2133="",L2133=""),"",IF(AND(F2133="",G2133=""),"✗ 没填金额",IF(AND(N(F2133)&lt;&gt;0,N(G2133)&lt;&gt;0),"✗ 收入、支出只能填一边",IF(NOT(ISNUMBER(B2133)),"✗ 日期不是真日期（要像 2026/9/25 这样填）",IF(OR(B2133&lt;年初日,B2133&gt;年末日),"✗ 日期不在本会计年度",IF(C2133="","✗ 没选账户",IF(COUNTIF(基础资料!$W$5:$W$24,C2133)=0,"✗ 账户不在基础资料里",IF(O2133="","✗ 没选收支项目",IF(P2133="未知","✗ 收支项目不在基础资料里",IF(AND(P2133="应收",J2133=""),"✗ 这笔要选客户",IF(AND(P2133="应收",COUNTIF(总览汇总!$B$5:$B$304,J2133)=0),"✗ 客户不在总览汇总名单里",IF(AND(P2133="应付",K2133=""),"✗ 这笔要选供应商",IF(AND(P2133="应付",COUNTIF(基础资料!$Q$5:$Q$54,K2133)=0),"✗ 供应商不在基础资料里",IF(AND(P2133="费用",L2133=""),"✗ 费用支出要选费用项目",IF(AND(L2133&lt;&gt;"",COUNTIF(基础资料!$AI$5:$AI$54,L2133)=0),"✗ 费用项目不在基础资料里",IF(AND(IFERROR(INDEX(基础资料!$AD$5:$AD$34,MATCH(O2133,基础资料!$AC$5:$AC$34,0)),"")="收",N(G2133)&lt;&gt;0),"✗ 这类是收款，金额填到收入列",IF(AND(IFERROR(INDEX(基础资料!$AD$5:$AD$34,MATCH(O2133,基础资料!$AC$5:$AC$34,0)),"")="支",N(F2133)&lt;&gt;0),"✗ 这类是付款，金额填到支出列",IF(N(H2133)&lt;0,"⚠ 账户余额成负数了，核对一下","√"))))))))))))))))))</f>
      </c>
      <c r="O2133" s="78">
        <f>IF(D2133&lt;&gt;"",D2133,IF(AND(F2133="",G2133=""),"",IF(J2133&lt;&gt;"",IF(N(F2133)&gt;0,"客户回款","客户退款"),IF(K2133&lt;&gt;"",IF(N(G2133)&gt;0,"供应商付款","供应商退款"),IF(L2133&lt;&gt;"","费用支出","")))))</f>
      </c>
      <c r="P2133" s="78">
        <f>IF(O2133="","",IFERROR(INDEX(基础资料!$AE$5:$AE$34,MATCH(O2133,基础资料!$AC$5:$AC$34,0)),"未知"))</f>
      </c>
      <c r="Q2133" s="78">
        <f>IF(P2133="应收",COUNTIF(P$7:P2133,"应收"),"")</f>
      </c>
      <c r="R2133" s="78">
        <f>IF(P2133="应付",COUNTIF(P$7:P2133,"应付"),"")</f>
      </c>
      <c r="S2133" s="78">
        <f>N(F2133)-N(G2133)</f>
        <v>0</v>
      </c>
    </row>
    <row r="2134">
      <c r="A2134" s="109">
        <f>IF(AND(F2134="",G2134=""),"",ROW()-6)</f>
      </c>
      <c r="B2134" s="140" t="n"/>
      <c r="C2134" s="141" t="n"/>
      <c r="D2134" s="141" t="n"/>
      <c r="E2134" s="142" t="n"/>
      <c r="F2134" s="143" t="n"/>
      <c r="G2134" s="144" t="n"/>
      <c r="H2134" s="145">
        <f>IF(OR(C2134="",AND(F2134="",G2134="")),"",SUMIF(基础资料!$W$5:$W$24,C2134,基础资料!$X$5:$X$24)+SUMIF(C$7:C2134,C2134,F$7:F2134)-SUMIF(C$7:C2134,C2134,G$7:G2134))</f>
      </c>
      <c r="I2134" s="145">
        <f>IF(AND(F2134="",G2134=""),"",SUM(基础资料!$X$5:$X$24)+SUM(F$7:F2134)-SUM(G$7:G2134))</f>
      </c>
      <c r="J2134" s="141" t="n"/>
      <c r="K2134" s="141" t="n"/>
      <c r="L2134" s="141" t="n"/>
      <c r="M2134" s="142" t="n"/>
      <c r="N2134" s="146">
        <f>IF(AND(AND(F2134="",G2134=""),B2134="",C2134="",D2134="",J2134="",K2134="",L2134=""),"",IF(AND(F2134="",G2134=""),"✗ 没填金额",IF(AND(N(F2134)&lt;&gt;0,N(G2134)&lt;&gt;0),"✗ 收入、支出只能填一边",IF(NOT(ISNUMBER(B2134)),"✗ 日期不是真日期（要像 2026/9/25 这样填）",IF(OR(B2134&lt;年初日,B2134&gt;年末日),"✗ 日期不在本会计年度",IF(C2134="","✗ 没选账户",IF(COUNTIF(基础资料!$W$5:$W$24,C2134)=0,"✗ 账户不在基础资料里",IF(O2134="","✗ 没选收支项目",IF(P2134="未知","✗ 收支项目不在基础资料里",IF(AND(P2134="应收",J2134=""),"✗ 这笔要选客户",IF(AND(P2134="应收",COUNTIF(总览汇总!$B$5:$B$304,J2134)=0),"✗ 客户不在总览汇总名单里",IF(AND(P2134="应付",K2134=""),"✗ 这笔要选供应商",IF(AND(P2134="应付",COUNTIF(基础资料!$Q$5:$Q$54,K2134)=0),"✗ 供应商不在基础资料里",IF(AND(P2134="费用",L2134=""),"✗ 费用支出要选费用项目",IF(AND(L2134&lt;&gt;"",COUNTIF(基础资料!$AI$5:$AI$54,L2134)=0),"✗ 费用项目不在基础资料里",IF(AND(IFERROR(INDEX(基础资料!$AD$5:$AD$34,MATCH(O2134,基础资料!$AC$5:$AC$34,0)),"")="收",N(G2134)&lt;&gt;0),"✗ 这类是收款，金额填到收入列",IF(AND(IFERROR(INDEX(基础资料!$AD$5:$AD$34,MATCH(O2134,基础资料!$AC$5:$AC$34,0)),"")="支",N(F2134)&lt;&gt;0),"✗ 这类是付款，金额填到支出列",IF(N(H2134)&lt;0,"⚠ 账户余额成负数了，核对一下","√"))))))))))))))))))</f>
      </c>
      <c r="O2134" s="78">
        <f>IF(D2134&lt;&gt;"",D2134,IF(AND(F2134="",G2134=""),"",IF(J2134&lt;&gt;"",IF(N(F2134)&gt;0,"客户回款","客户退款"),IF(K2134&lt;&gt;"",IF(N(G2134)&gt;0,"供应商付款","供应商退款"),IF(L2134&lt;&gt;"","费用支出","")))))</f>
      </c>
      <c r="P2134" s="78">
        <f>IF(O2134="","",IFERROR(INDEX(基础资料!$AE$5:$AE$34,MATCH(O2134,基础资料!$AC$5:$AC$34,0)),"未知"))</f>
      </c>
      <c r="Q2134" s="78">
        <f>IF(P2134="应收",COUNTIF(P$7:P2134,"应收"),"")</f>
      </c>
      <c r="R2134" s="78">
        <f>IF(P2134="应付",COUNTIF(P$7:P2134,"应付"),"")</f>
      </c>
      <c r="S2134" s="78">
        <f>N(F2134)-N(G2134)</f>
        <v>0</v>
      </c>
    </row>
    <row r="2135">
      <c r="A2135" s="109">
        <f>IF(AND(F2135="",G2135=""),"",ROW()-6)</f>
      </c>
      <c r="B2135" s="140" t="n"/>
      <c r="C2135" s="141" t="n"/>
      <c r="D2135" s="141" t="n"/>
      <c r="E2135" s="142" t="n"/>
      <c r="F2135" s="143" t="n"/>
      <c r="G2135" s="144" t="n"/>
      <c r="H2135" s="145">
        <f>IF(OR(C2135="",AND(F2135="",G2135="")),"",SUMIF(基础资料!$W$5:$W$24,C2135,基础资料!$X$5:$X$24)+SUMIF(C$7:C2135,C2135,F$7:F2135)-SUMIF(C$7:C2135,C2135,G$7:G2135))</f>
      </c>
      <c r="I2135" s="145">
        <f>IF(AND(F2135="",G2135=""),"",SUM(基础资料!$X$5:$X$24)+SUM(F$7:F2135)-SUM(G$7:G2135))</f>
      </c>
      <c r="J2135" s="141" t="n"/>
      <c r="K2135" s="141" t="n"/>
      <c r="L2135" s="141" t="n"/>
      <c r="M2135" s="142" t="n"/>
      <c r="N2135" s="146">
        <f>IF(AND(AND(F2135="",G2135=""),B2135="",C2135="",D2135="",J2135="",K2135="",L2135=""),"",IF(AND(F2135="",G2135=""),"✗ 没填金额",IF(AND(N(F2135)&lt;&gt;0,N(G2135)&lt;&gt;0),"✗ 收入、支出只能填一边",IF(NOT(ISNUMBER(B2135)),"✗ 日期不是真日期（要像 2026/9/25 这样填）",IF(OR(B2135&lt;年初日,B2135&gt;年末日),"✗ 日期不在本会计年度",IF(C2135="","✗ 没选账户",IF(COUNTIF(基础资料!$W$5:$W$24,C2135)=0,"✗ 账户不在基础资料里",IF(O2135="","✗ 没选收支项目",IF(P2135="未知","✗ 收支项目不在基础资料里",IF(AND(P2135="应收",J2135=""),"✗ 这笔要选客户",IF(AND(P2135="应收",COUNTIF(总览汇总!$B$5:$B$304,J2135)=0),"✗ 客户不在总览汇总名单里",IF(AND(P2135="应付",K2135=""),"✗ 这笔要选供应商",IF(AND(P2135="应付",COUNTIF(基础资料!$Q$5:$Q$54,K2135)=0),"✗ 供应商不在基础资料里",IF(AND(P2135="费用",L2135=""),"✗ 费用支出要选费用项目",IF(AND(L2135&lt;&gt;"",COUNTIF(基础资料!$AI$5:$AI$54,L2135)=0),"✗ 费用项目不在基础资料里",IF(AND(IFERROR(INDEX(基础资料!$AD$5:$AD$34,MATCH(O2135,基础资料!$AC$5:$AC$34,0)),"")="收",N(G2135)&lt;&gt;0),"✗ 这类是收款，金额填到收入列",IF(AND(IFERROR(INDEX(基础资料!$AD$5:$AD$34,MATCH(O2135,基础资料!$AC$5:$AC$34,0)),"")="支",N(F2135)&lt;&gt;0),"✗ 这类是付款，金额填到支出列",IF(N(H2135)&lt;0,"⚠ 账户余额成负数了，核对一下","√"))))))))))))))))))</f>
      </c>
      <c r="O2135" s="78">
        <f>IF(D2135&lt;&gt;"",D2135,IF(AND(F2135="",G2135=""),"",IF(J2135&lt;&gt;"",IF(N(F2135)&gt;0,"客户回款","客户退款"),IF(K2135&lt;&gt;"",IF(N(G2135)&gt;0,"供应商付款","供应商退款"),IF(L2135&lt;&gt;"","费用支出","")))))</f>
      </c>
      <c r="P2135" s="78">
        <f>IF(O2135="","",IFERROR(INDEX(基础资料!$AE$5:$AE$34,MATCH(O2135,基础资料!$AC$5:$AC$34,0)),"未知"))</f>
      </c>
      <c r="Q2135" s="78">
        <f>IF(P2135="应收",COUNTIF(P$7:P2135,"应收"),"")</f>
      </c>
      <c r="R2135" s="78">
        <f>IF(P2135="应付",COUNTIF(P$7:P2135,"应付"),"")</f>
      </c>
      <c r="S2135" s="78">
        <f>N(F2135)-N(G2135)</f>
        <v>0</v>
      </c>
    </row>
    <row r="2136">
      <c r="A2136" s="109">
        <f>IF(AND(F2136="",G2136=""),"",ROW()-6)</f>
      </c>
      <c r="B2136" s="140" t="n"/>
      <c r="C2136" s="141" t="n"/>
      <c r="D2136" s="141" t="n"/>
      <c r="E2136" s="142" t="n"/>
      <c r="F2136" s="143" t="n"/>
      <c r="G2136" s="144" t="n"/>
      <c r="H2136" s="145">
        <f>IF(OR(C2136="",AND(F2136="",G2136="")),"",SUMIF(基础资料!$W$5:$W$24,C2136,基础资料!$X$5:$X$24)+SUMIF(C$7:C2136,C2136,F$7:F2136)-SUMIF(C$7:C2136,C2136,G$7:G2136))</f>
      </c>
      <c r="I2136" s="145">
        <f>IF(AND(F2136="",G2136=""),"",SUM(基础资料!$X$5:$X$24)+SUM(F$7:F2136)-SUM(G$7:G2136))</f>
      </c>
      <c r="J2136" s="141" t="n"/>
      <c r="K2136" s="141" t="n"/>
      <c r="L2136" s="141" t="n"/>
      <c r="M2136" s="142" t="n"/>
      <c r="N2136" s="146">
        <f>IF(AND(AND(F2136="",G2136=""),B2136="",C2136="",D2136="",J2136="",K2136="",L2136=""),"",IF(AND(F2136="",G2136=""),"✗ 没填金额",IF(AND(N(F2136)&lt;&gt;0,N(G2136)&lt;&gt;0),"✗ 收入、支出只能填一边",IF(NOT(ISNUMBER(B2136)),"✗ 日期不是真日期（要像 2026/9/25 这样填）",IF(OR(B2136&lt;年初日,B2136&gt;年末日),"✗ 日期不在本会计年度",IF(C2136="","✗ 没选账户",IF(COUNTIF(基础资料!$W$5:$W$24,C2136)=0,"✗ 账户不在基础资料里",IF(O2136="","✗ 没选收支项目",IF(P2136="未知","✗ 收支项目不在基础资料里",IF(AND(P2136="应收",J2136=""),"✗ 这笔要选客户",IF(AND(P2136="应收",COUNTIF(总览汇总!$B$5:$B$304,J2136)=0),"✗ 客户不在总览汇总名单里",IF(AND(P2136="应付",K2136=""),"✗ 这笔要选供应商",IF(AND(P2136="应付",COUNTIF(基础资料!$Q$5:$Q$54,K2136)=0),"✗ 供应商不在基础资料里",IF(AND(P2136="费用",L2136=""),"✗ 费用支出要选费用项目",IF(AND(L2136&lt;&gt;"",COUNTIF(基础资料!$AI$5:$AI$54,L2136)=0),"✗ 费用项目不在基础资料里",IF(AND(IFERROR(INDEX(基础资料!$AD$5:$AD$34,MATCH(O2136,基础资料!$AC$5:$AC$34,0)),"")="收",N(G2136)&lt;&gt;0),"✗ 这类是收款，金额填到收入列",IF(AND(IFERROR(INDEX(基础资料!$AD$5:$AD$34,MATCH(O2136,基础资料!$AC$5:$AC$34,0)),"")="支",N(F2136)&lt;&gt;0),"✗ 这类是付款，金额填到支出列",IF(N(H2136)&lt;0,"⚠ 账户余额成负数了，核对一下","√"))))))))))))))))))</f>
      </c>
      <c r="O2136" s="78">
        <f>IF(D2136&lt;&gt;"",D2136,IF(AND(F2136="",G2136=""),"",IF(J2136&lt;&gt;"",IF(N(F2136)&gt;0,"客户回款","客户退款"),IF(K2136&lt;&gt;"",IF(N(G2136)&gt;0,"供应商付款","供应商退款"),IF(L2136&lt;&gt;"","费用支出","")))))</f>
      </c>
      <c r="P2136" s="78">
        <f>IF(O2136="","",IFERROR(INDEX(基础资料!$AE$5:$AE$34,MATCH(O2136,基础资料!$AC$5:$AC$34,0)),"未知"))</f>
      </c>
      <c r="Q2136" s="78">
        <f>IF(P2136="应收",COUNTIF(P$7:P2136,"应收"),"")</f>
      </c>
      <c r="R2136" s="78">
        <f>IF(P2136="应付",COUNTIF(P$7:P2136,"应付"),"")</f>
      </c>
      <c r="S2136" s="78">
        <f>N(F2136)-N(G2136)</f>
        <v>0</v>
      </c>
    </row>
    <row r="2137">
      <c r="A2137" s="109">
        <f>IF(AND(F2137="",G2137=""),"",ROW()-6)</f>
      </c>
      <c r="B2137" s="140" t="n"/>
      <c r="C2137" s="141" t="n"/>
      <c r="D2137" s="141" t="n"/>
      <c r="E2137" s="142" t="n"/>
      <c r="F2137" s="143" t="n"/>
      <c r="G2137" s="144" t="n"/>
      <c r="H2137" s="145">
        <f>IF(OR(C2137="",AND(F2137="",G2137="")),"",SUMIF(基础资料!$W$5:$W$24,C2137,基础资料!$X$5:$X$24)+SUMIF(C$7:C2137,C2137,F$7:F2137)-SUMIF(C$7:C2137,C2137,G$7:G2137))</f>
      </c>
      <c r="I2137" s="145">
        <f>IF(AND(F2137="",G2137=""),"",SUM(基础资料!$X$5:$X$24)+SUM(F$7:F2137)-SUM(G$7:G2137))</f>
      </c>
      <c r="J2137" s="141" t="n"/>
      <c r="K2137" s="141" t="n"/>
      <c r="L2137" s="141" t="n"/>
      <c r="M2137" s="142" t="n"/>
      <c r="N2137" s="146">
        <f>IF(AND(AND(F2137="",G2137=""),B2137="",C2137="",D2137="",J2137="",K2137="",L2137=""),"",IF(AND(F2137="",G2137=""),"✗ 没填金额",IF(AND(N(F2137)&lt;&gt;0,N(G2137)&lt;&gt;0),"✗ 收入、支出只能填一边",IF(NOT(ISNUMBER(B2137)),"✗ 日期不是真日期（要像 2026/9/25 这样填）",IF(OR(B2137&lt;年初日,B2137&gt;年末日),"✗ 日期不在本会计年度",IF(C2137="","✗ 没选账户",IF(COUNTIF(基础资料!$W$5:$W$24,C2137)=0,"✗ 账户不在基础资料里",IF(O2137="","✗ 没选收支项目",IF(P2137="未知","✗ 收支项目不在基础资料里",IF(AND(P2137="应收",J2137=""),"✗ 这笔要选客户",IF(AND(P2137="应收",COUNTIF(总览汇总!$B$5:$B$304,J2137)=0),"✗ 客户不在总览汇总名单里",IF(AND(P2137="应付",K2137=""),"✗ 这笔要选供应商",IF(AND(P2137="应付",COUNTIF(基础资料!$Q$5:$Q$54,K2137)=0),"✗ 供应商不在基础资料里",IF(AND(P2137="费用",L2137=""),"✗ 费用支出要选费用项目",IF(AND(L2137&lt;&gt;"",COUNTIF(基础资料!$AI$5:$AI$54,L2137)=0),"✗ 费用项目不在基础资料里",IF(AND(IFERROR(INDEX(基础资料!$AD$5:$AD$34,MATCH(O2137,基础资料!$AC$5:$AC$34,0)),"")="收",N(G2137)&lt;&gt;0),"✗ 这类是收款，金额填到收入列",IF(AND(IFERROR(INDEX(基础资料!$AD$5:$AD$34,MATCH(O2137,基础资料!$AC$5:$AC$34,0)),"")="支",N(F2137)&lt;&gt;0),"✗ 这类是付款，金额填到支出列",IF(N(H2137)&lt;0,"⚠ 账户余额成负数了，核对一下","√"))))))))))))))))))</f>
      </c>
      <c r="O2137" s="78">
        <f>IF(D2137&lt;&gt;"",D2137,IF(AND(F2137="",G2137=""),"",IF(J2137&lt;&gt;"",IF(N(F2137)&gt;0,"客户回款","客户退款"),IF(K2137&lt;&gt;"",IF(N(G2137)&gt;0,"供应商付款","供应商退款"),IF(L2137&lt;&gt;"","费用支出","")))))</f>
      </c>
      <c r="P2137" s="78">
        <f>IF(O2137="","",IFERROR(INDEX(基础资料!$AE$5:$AE$34,MATCH(O2137,基础资料!$AC$5:$AC$34,0)),"未知"))</f>
      </c>
      <c r="Q2137" s="78">
        <f>IF(P2137="应收",COUNTIF(P$7:P2137,"应收"),"")</f>
      </c>
      <c r="R2137" s="78">
        <f>IF(P2137="应付",COUNTIF(P$7:P2137,"应付"),"")</f>
      </c>
      <c r="S2137" s="78">
        <f>N(F2137)-N(G2137)</f>
        <v>0</v>
      </c>
    </row>
    <row r="2138">
      <c r="A2138" s="109">
        <f>IF(AND(F2138="",G2138=""),"",ROW()-6)</f>
      </c>
      <c r="B2138" s="140" t="n"/>
      <c r="C2138" s="141" t="n"/>
      <c r="D2138" s="141" t="n"/>
      <c r="E2138" s="142" t="n"/>
      <c r="F2138" s="143" t="n"/>
      <c r="G2138" s="144" t="n"/>
      <c r="H2138" s="145">
        <f>IF(OR(C2138="",AND(F2138="",G2138="")),"",SUMIF(基础资料!$W$5:$W$24,C2138,基础资料!$X$5:$X$24)+SUMIF(C$7:C2138,C2138,F$7:F2138)-SUMIF(C$7:C2138,C2138,G$7:G2138))</f>
      </c>
      <c r="I2138" s="145">
        <f>IF(AND(F2138="",G2138=""),"",SUM(基础资料!$X$5:$X$24)+SUM(F$7:F2138)-SUM(G$7:G2138))</f>
      </c>
      <c r="J2138" s="141" t="n"/>
      <c r="K2138" s="141" t="n"/>
      <c r="L2138" s="141" t="n"/>
      <c r="M2138" s="142" t="n"/>
      <c r="N2138" s="146">
        <f>IF(AND(AND(F2138="",G2138=""),B2138="",C2138="",D2138="",J2138="",K2138="",L2138=""),"",IF(AND(F2138="",G2138=""),"✗ 没填金额",IF(AND(N(F2138)&lt;&gt;0,N(G2138)&lt;&gt;0),"✗ 收入、支出只能填一边",IF(NOT(ISNUMBER(B2138)),"✗ 日期不是真日期（要像 2026/9/25 这样填）",IF(OR(B2138&lt;年初日,B2138&gt;年末日),"✗ 日期不在本会计年度",IF(C2138="","✗ 没选账户",IF(COUNTIF(基础资料!$W$5:$W$24,C2138)=0,"✗ 账户不在基础资料里",IF(O2138="","✗ 没选收支项目",IF(P2138="未知","✗ 收支项目不在基础资料里",IF(AND(P2138="应收",J2138=""),"✗ 这笔要选客户",IF(AND(P2138="应收",COUNTIF(总览汇总!$B$5:$B$304,J2138)=0),"✗ 客户不在总览汇总名单里",IF(AND(P2138="应付",K2138=""),"✗ 这笔要选供应商",IF(AND(P2138="应付",COUNTIF(基础资料!$Q$5:$Q$54,K2138)=0),"✗ 供应商不在基础资料里",IF(AND(P2138="费用",L2138=""),"✗ 费用支出要选费用项目",IF(AND(L2138&lt;&gt;"",COUNTIF(基础资料!$AI$5:$AI$54,L2138)=0),"✗ 费用项目不在基础资料里",IF(AND(IFERROR(INDEX(基础资料!$AD$5:$AD$34,MATCH(O2138,基础资料!$AC$5:$AC$34,0)),"")="收",N(G2138)&lt;&gt;0),"✗ 这类是收款，金额填到收入列",IF(AND(IFERROR(INDEX(基础资料!$AD$5:$AD$34,MATCH(O2138,基础资料!$AC$5:$AC$34,0)),"")="支",N(F2138)&lt;&gt;0),"✗ 这类是付款，金额填到支出列",IF(N(H2138)&lt;0,"⚠ 账户余额成负数了，核对一下","√"))))))))))))))))))</f>
      </c>
      <c r="O2138" s="78">
        <f>IF(D2138&lt;&gt;"",D2138,IF(AND(F2138="",G2138=""),"",IF(J2138&lt;&gt;"",IF(N(F2138)&gt;0,"客户回款","客户退款"),IF(K2138&lt;&gt;"",IF(N(G2138)&gt;0,"供应商付款","供应商退款"),IF(L2138&lt;&gt;"","费用支出","")))))</f>
      </c>
      <c r="P2138" s="78">
        <f>IF(O2138="","",IFERROR(INDEX(基础资料!$AE$5:$AE$34,MATCH(O2138,基础资料!$AC$5:$AC$34,0)),"未知"))</f>
      </c>
      <c r="Q2138" s="78">
        <f>IF(P2138="应收",COUNTIF(P$7:P2138,"应收"),"")</f>
      </c>
      <c r="R2138" s="78">
        <f>IF(P2138="应付",COUNTIF(P$7:P2138,"应付"),"")</f>
      </c>
      <c r="S2138" s="78">
        <f>N(F2138)-N(G2138)</f>
        <v>0</v>
      </c>
    </row>
    <row r="2139">
      <c r="A2139" s="109">
        <f>IF(AND(F2139="",G2139=""),"",ROW()-6)</f>
      </c>
      <c r="B2139" s="140" t="n"/>
      <c r="C2139" s="141" t="n"/>
      <c r="D2139" s="141" t="n"/>
      <c r="E2139" s="142" t="n"/>
      <c r="F2139" s="143" t="n"/>
      <c r="G2139" s="144" t="n"/>
      <c r="H2139" s="145">
        <f>IF(OR(C2139="",AND(F2139="",G2139="")),"",SUMIF(基础资料!$W$5:$W$24,C2139,基础资料!$X$5:$X$24)+SUMIF(C$7:C2139,C2139,F$7:F2139)-SUMIF(C$7:C2139,C2139,G$7:G2139))</f>
      </c>
      <c r="I2139" s="145">
        <f>IF(AND(F2139="",G2139=""),"",SUM(基础资料!$X$5:$X$24)+SUM(F$7:F2139)-SUM(G$7:G2139))</f>
      </c>
      <c r="J2139" s="141" t="n"/>
      <c r="K2139" s="141" t="n"/>
      <c r="L2139" s="141" t="n"/>
      <c r="M2139" s="142" t="n"/>
      <c r="N2139" s="146">
        <f>IF(AND(AND(F2139="",G2139=""),B2139="",C2139="",D2139="",J2139="",K2139="",L2139=""),"",IF(AND(F2139="",G2139=""),"✗ 没填金额",IF(AND(N(F2139)&lt;&gt;0,N(G2139)&lt;&gt;0),"✗ 收入、支出只能填一边",IF(NOT(ISNUMBER(B2139)),"✗ 日期不是真日期（要像 2026/9/25 这样填）",IF(OR(B2139&lt;年初日,B2139&gt;年末日),"✗ 日期不在本会计年度",IF(C2139="","✗ 没选账户",IF(COUNTIF(基础资料!$W$5:$W$24,C2139)=0,"✗ 账户不在基础资料里",IF(O2139="","✗ 没选收支项目",IF(P2139="未知","✗ 收支项目不在基础资料里",IF(AND(P2139="应收",J2139=""),"✗ 这笔要选客户",IF(AND(P2139="应收",COUNTIF(总览汇总!$B$5:$B$304,J2139)=0),"✗ 客户不在总览汇总名单里",IF(AND(P2139="应付",K2139=""),"✗ 这笔要选供应商",IF(AND(P2139="应付",COUNTIF(基础资料!$Q$5:$Q$54,K2139)=0),"✗ 供应商不在基础资料里",IF(AND(P2139="费用",L2139=""),"✗ 费用支出要选费用项目",IF(AND(L2139&lt;&gt;"",COUNTIF(基础资料!$AI$5:$AI$54,L2139)=0),"✗ 费用项目不在基础资料里",IF(AND(IFERROR(INDEX(基础资料!$AD$5:$AD$34,MATCH(O2139,基础资料!$AC$5:$AC$34,0)),"")="收",N(G2139)&lt;&gt;0),"✗ 这类是收款，金额填到收入列",IF(AND(IFERROR(INDEX(基础资料!$AD$5:$AD$34,MATCH(O2139,基础资料!$AC$5:$AC$34,0)),"")="支",N(F2139)&lt;&gt;0),"✗ 这类是付款，金额填到支出列",IF(N(H2139)&lt;0,"⚠ 账户余额成负数了，核对一下","√"))))))))))))))))))</f>
      </c>
      <c r="O2139" s="78">
        <f>IF(D2139&lt;&gt;"",D2139,IF(AND(F2139="",G2139=""),"",IF(J2139&lt;&gt;"",IF(N(F2139)&gt;0,"客户回款","客户退款"),IF(K2139&lt;&gt;"",IF(N(G2139)&gt;0,"供应商付款","供应商退款"),IF(L2139&lt;&gt;"","费用支出","")))))</f>
      </c>
      <c r="P2139" s="78">
        <f>IF(O2139="","",IFERROR(INDEX(基础资料!$AE$5:$AE$34,MATCH(O2139,基础资料!$AC$5:$AC$34,0)),"未知"))</f>
      </c>
      <c r="Q2139" s="78">
        <f>IF(P2139="应收",COUNTIF(P$7:P2139,"应收"),"")</f>
      </c>
      <c r="R2139" s="78">
        <f>IF(P2139="应付",COUNTIF(P$7:P2139,"应付"),"")</f>
      </c>
      <c r="S2139" s="78">
        <f>N(F2139)-N(G2139)</f>
        <v>0</v>
      </c>
    </row>
    <row r="2140">
      <c r="A2140" s="109">
        <f>IF(AND(F2140="",G2140=""),"",ROW()-6)</f>
      </c>
      <c r="B2140" s="140" t="n"/>
      <c r="C2140" s="141" t="n"/>
      <c r="D2140" s="141" t="n"/>
      <c r="E2140" s="142" t="n"/>
      <c r="F2140" s="143" t="n"/>
      <c r="G2140" s="144" t="n"/>
      <c r="H2140" s="145">
        <f>IF(OR(C2140="",AND(F2140="",G2140="")),"",SUMIF(基础资料!$W$5:$W$24,C2140,基础资料!$X$5:$X$24)+SUMIF(C$7:C2140,C2140,F$7:F2140)-SUMIF(C$7:C2140,C2140,G$7:G2140))</f>
      </c>
      <c r="I2140" s="145">
        <f>IF(AND(F2140="",G2140=""),"",SUM(基础资料!$X$5:$X$24)+SUM(F$7:F2140)-SUM(G$7:G2140))</f>
      </c>
      <c r="J2140" s="141" t="n"/>
      <c r="K2140" s="141" t="n"/>
      <c r="L2140" s="141" t="n"/>
      <c r="M2140" s="142" t="n"/>
      <c r="N2140" s="146">
        <f>IF(AND(AND(F2140="",G2140=""),B2140="",C2140="",D2140="",J2140="",K2140="",L2140=""),"",IF(AND(F2140="",G2140=""),"✗ 没填金额",IF(AND(N(F2140)&lt;&gt;0,N(G2140)&lt;&gt;0),"✗ 收入、支出只能填一边",IF(NOT(ISNUMBER(B2140)),"✗ 日期不是真日期（要像 2026/9/25 这样填）",IF(OR(B2140&lt;年初日,B2140&gt;年末日),"✗ 日期不在本会计年度",IF(C2140="","✗ 没选账户",IF(COUNTIF(基础资料!$W$5:$W$24,C2140)=0,"✗ 账户不在基础资料里",IF(O2140="","✗ 没选收支项目",IF(P2140="未知","✗ 收支项目不在基础资料里",IF(AND(P2140="应收",J2140=""),"✗ 这笔要选客户",IF(AND(P2140="应收",COUNTIF(总览汇总!$B$5:$B$304,J2140)=0),"✗ 客户不在总览汇总名单里",IF(AND(P2140="应付",K2140=""),"✗ 这笔要选供应商",IF(AND(P2140="应付",COUNTIF(基础资料!$Q$5:$Q$54,K2140)=0),"✗ 供应商不在基础资料里",IF(AND(P2140="费用",L2140=""),"✗ 费用支出要选费用项目",IF(AND(L2140&lt;&gt;"",COUNTIF(基础资料!$AI$5:$AI$54,L2140)=0),"✗ 费用项目不在基础资料里",IF(AND(IFERROR(INDEX(基础资料!$AD$5:$AD$34,MATCH(O2140,基础资料!$AC$5:$AC$34,0)),"")="收",N(G2140)&lt;&gt;0),"✗ 这类是收款，金额填到收入列",IF(AND(IFERROR(INDEX(基础资料!$AD$5:$AD$34,MATCH(O2140,基础资料!$AC$5:$AC$34,0)),"")="支",N(F2140)&lt;&gt;0),"✗ 这类是付款，金额填到支出列",IF(N(H2140)&lt;0,"⚠ 账户余额成负数了，核对一下","√"))))))))))))))))))</f>
      </c>
      <c r="O2140" s="78">
        <f>IF(D2140&lt;&gt;"",D2140,IF(AND(F2140="",G2140=""),"",IF(J2140&lt;&gt;"",IF(N(F2140)&gt;0,"客户回款","客户退款"),IF(K2140&lt;&gt;"",IF(N(G2140)&gt;0,"供应商付款","供应商退款"),IF(L2140&lt;&gt;"","费用支出","")))))</f>
      </c>
      <c r="P2140" s="78">
        <f>IF(O2140="","",IFERROR(INDEX(基础资料!$AE$5:$AE$34,MATCH(O2140,基础资料!$AC$5:$AC$34,0)),"未知"))</f>
      </c>
      <c r="Q2140" s="78">
        <f>IF(P2140="应收",COUNTIF(P$7:P2140,"应收"),"")</f>
      </c>
      <c r="R2140" s="78">
        <f>IF(P2140="应付",COUNTIF(P$7:P2140,"应付"),"")</f>
      </c>
      <c r="S2140" s="78">
        <f>N(F2140)-N(G2140)</f>
        <v>0</v>
      </c>
    </row>
    <row r="2141">
      <c r="A2141" s="109">
        <f>IF(AND(F2141="",G2141=""),"",ROW()-6)</f>
      </c>
      <c r="B2141" s="140" t="n"/>
      <c r="C2141" s="141" t="n"/>
      <c r="D2141" s="141" t="n"/>
      <c r="E2141" s="142" t="n"/>
      <c r="F2141" s="143" t="n"/>
      <c r="G2141" s="144" t="n"/>
      <c r="H2141" s="145">
        <f>IF(OR(C2141="",AND(F2141="",G2141="")),"",SUMIF(基础资料!$W$5:$W$24,C2141,基础资料!$X$5:$X$24)+SUMIF(C$7:C2141,C2141,F$7:F2141)-SUMIF(C$7:C2141,C2141,G$7:G2141))</f>
      </c>
      <c r="I2141" s="145">
        <f>IF(AND(F2141="",G2141=""),"",SUM(基础资料!$X$5:$X$24)+SUM(F$7:F2141)-SUM(G$7:G2141))</f>
      </c>
      <c r="J2141" s="141" t="n"/>
      <c r="K2141" s="141" t="n"/>
      <c r="L2141" s="141" t="n"/>
      <c r="M2141" s="142" t="n"/>
      <c r="N2141" s="146">
        <f>IF(AND(AND(F2141="",G2141=""),B2141="",C2141="",D2141="",J2141="",K2141="",L2141=""),"",IF(AND(F2141="",G2141=""),"✗ 没填金额",IF(AND(N(F2141)&lt;&gt;0,N(G2141)&lt;&gt;0),"✗ 收入、支出只能填一边",IF(NOT(ISNUMBER(B2141)),"✗ 日期不是真日期（要像 2026/9/25 这样填）",IF(OR(B2141&lt;年初日,B2141&gt;年末日),"✗ 日期不在本会计年度",IF(C2141="","✗ 没选账户",IF(COUNTIF(基础资料!$W$5:$W$24,C2141)=0,"✗ 账户不在基础资料里",IF(O2141="","✗ 没选收支项目",IF(P2141="未知","✗ 收支项目不在基础资料里",IF(AND(P2141="应收",J2141=""),"✗ 这笔要选客户",IF(AND(P2141="应收",COUNTIF(总览汇总!$B$5:$B$304,J2141)=0),"✗ 客户不在总览汇总名单里",IF(AND(P2141="应付",K2141=""),"✗ 这笔要选供应商",IF(AND(P2141="应付",COUNTIF(基础资料!$Q$5:$Q$54,K2141)=0),"✗ 供应商不在基础资料里",IF(AND(P2141="费用",L2141=""),"✗ 费用支出要选费用项目",IF(AND(L2141&lt;&gt;"",COUNTIF(基础资料!$AI$5:$AI$54,L2141)=0),"✗ 费用项目不在基础资料里",IF(AND(IFERROR(INDEX(基础资料!$AD$5:$AD$34,MATCH(O2141,基础资料!$AC$5:$AC$34,0)),"")="收",N(G2141)&lt;&gt;0),"✗ 这类是收款，金额填到收入列",IF(AND(IFERROR(INDEX(基础资料!$AD$5:$AD$34,MATCH(O2141,基础资料!$AC$5:$AC$34,0)),"")="支",N(F2141)&lt;&gt;0),"✗ 这类是付款，金额填到支出列",IF(N(H2141)&lt;0,"⚠ 账户余额成负数了，核对一下","√"))))))))))))))))))</f>
      </c>
      <c r="O2141" s="78">
        <f>IF(D2141&lt;&gt;"",D2141,IF(AND(F2141="",G2141=""),"",IF(J2141&lt;&gt;"",IF(N(F2141)&gt;0,"客户回款","客户退款"),IF(K2141&lt;&gt;"",IF(N(G2141)&gt;0,"供应商付款","供应商退款"),IF(L2141&lt;&gt;"","费用支出","")))))</f>
      </c>
      <c r="P2141" s="78">
        <f>IF(O2141="","",IFERROR(INDEX(基础资料!$AE$5:$AE$34,MATCH(O2141,基础资料!$AC$5:$AC$34,0)),"未知"))</f>
      </c>
      <c r="Q2141" s="78">
        <f>IF(P2141="应收",COUNTIF(P$7:P2141,"应收"),"")</f>
      </c>
      <c r="R2141" s="78">
        <f>IF(P2141="应付",COUNTIF(P$7:P2141,"应付"),"")</f>
      </c>
      <c r="S2141" s="78">
        <f>N(F2141)-N(G2141)</f>
        <v>0</v>
      </c>
    </row>
    <row r="2142">
      <c r="A2142" s="109">
        <f>IF(AND(F2142="",G2142=""),"",ROW()-6)</f>
      </c>
      <c r="B2142" s="140" t="n"/>
      <c r="C2142" s="141" t="n"/>
      <c r="D2142" s="141" t="n"/>
      <c r="E2142" s="142" t="n"/>
      <c r="F2142" s="143" t="n"/>
      <c r="G2142" s="144" t="n"/>
      <c r="H2142" s="145">
        <f>IF(OR(C2142="",AND(F2142="",G2142="")),"",SUMIF(基础资料!$W$5:$W$24,C2142,基础资料!$X$5:$X$24)+SUMIF(C$7:C2142,C2142,F$7:F2142)-SUMIF(C$7:C2142,C2142,G$7:G2142))</f>
      </c>
      <c r="I2142" s="145">
        <f>IF(AND(F2142="",G2142=""),"",SUM(基础资料!$X$5:$X$24)+SUM(F$7:F2142)-SUM(G$7:G2142))</f>
      </c>
      <c r="J2142" s="141" t="n"/>
      <c r="K2142" s="141" t="n"/>
      <c r="L2142" s="141" t="n"/>
      <c r="M2142" s="142" t="n"/>
      <c r="N2142" s="146">
        <f>IF(AND(AND(F2142="",G2142=""),B2142="",C2142="",D2142="",J2142="",K2142="",L2142=""),"",IF(AND(F2142="",G2142=""),"✗ 没填金额",IF(AND(N(F2142)&lt;&gt;0,N(G2142)&lt;&gt;0),"✗ 收入、支出只能填一边",IF(NOT(ISNUMBER(B2142)),"✗ 日期不是真日期（要像 2026/9/25 这样填）",IF(OR(B2142&lt;年初日,B2142&gt;年末日),"✗ 日期不在本会计年度",IF(C2142="","✗ 没选账户",IF(COUNTIF(基础资料!$W$5:$W$24,C2142)=0,"✗ 账户不在基础资料里",IF(O2142="","✗ 没选收支项目",IF(P2142="未知","✗ 收支项目不在基础资料里",IF(AND(P2142="应收",J2142=""),"✗ 这笔要选客户",IF(AND(P2142="应收",COUNTIF(总览汇总!$B$5:$B$304,J2142)=0),"✗ 客户不在总览汇总名单里",IF(AND(P2142="应付",K2142=""),"✗ 这笔要选供应商",IF(AND(P2142="应付",COUNTIF(基础资料!$Q$5:$Q$54,K2142)=0),"✗ 供应商不在基础资料里",IF(AND(P2142="费用",L2142=""),"✗ 费用支出要选费用项目",IF(AND(L2142&lt;&gt;"",COUNTIF(基础资料!$AI$5:$AI$54,L2142)=0),"✗ 费用项目不在基础资料里",IF(AND(IFERROR(INDEX(基础资料!$AD$5:$AD$34,MATCH(O2142,基础资料!$AC$5:$AC$34,0)),"")="收",N(G2142)&lt;&gt;0),"✗ 这类是收款，金额填到收入列",IF(AND(IFERROR(INDEX(基础资料!$AD$5:$AD$34,MATCH(O2142,基础资料!$AC$5:$AC$34,0)),"")="支",N(F2142)&lt;&gt;0),"✗ 这类是付款，金额填到支出列",IF(N(H2142)&lt;0,"⚠ 账户余额成负数了，核对一下","√"))))))))))))))))))</f>
      </c>
      <c r="O2142" s="78">
        <f>IF(D2142&lt;&gt;"",D2142,IF(AND(F2142="",G2142=""),"",IF(J2142&lt;&gt;"",IF(N(F2142)&gt;0,"客户回款","客户退款"),IF(K2142&lt;&gt;"",IF(N(G2142)&gt;0,"供应商付款","供应商退款"),IF(L2142&lt;&gt;"","费用支出","")))))</f>
      </c>
      <c r="P2142" s="78">
        <f>IF(O2142="","",IFERROR(INDEX(基础资料!$AE$5:$AE$34,MATCH(O2142,基础资料!$AC$5:$AC$34,0)),"未知"))</f>
      </c>
      <c r="Q2142" s="78">
        <f>IF(P2142="应收",COUNTIF(P$7:P2142,"应收"),"")</f>
      </c>
      <c r="R2142" s="78">
        <f>IF(P2142="应付",COUNTIF(P$7:P2142,"应付"),"")</f>
      </c>
      <c r="S2142" s="78">
        <f>N(F2142)-N(G2142)</f>
        <v>0</v>
      </c>
    </row>
    <row r="2143">
      <c r="A2143" s="109">
        <f>IF(AND(F2143="",G2143=""),"",ROW()-6)</f>
      </c>
      <c r="B2143" s="140" t="n"/>
      <c r="C2143" s="141" t="n"/>
      <c r="D2143" s="141" t="n"/>
      <c r="E2143" s="142" t="n"/>
      <c r="F2143" s="143" t="n"/>
      <c r="G2143" s="144" t="n"/>
      <c r="H2143" s="145">
        <f>IF(OR(C2143="",AND(F2143="",G2143="")),"",SUMIF(基础资料!$W$5:$W$24,C2143,基础资料!$X$5:$X$24)+SUMIF(C$7:C2143,C2143,F$7:F2143)-SUMIF(C$7:C2143,C2143,G$7:G2143))</f>
      </c>
      <c r="I2143" s="145">
        <f>IF(AND(F2143="",G2143=""),"",SUM(基础资料!$X$5:$X$24)+SUM(F$7:F2143)-SUM(G$7:G2143))</f>
      </c>
      <c r="J2143" s="141" t="n"/>
      <c r="K2143" s="141" t="n"/>
      <c r="L2143" s="141" t="n"/>
      <c r="M2143" s="142" t="n"/>
      <c r="N2143" s="146">
        <f>IF(AND(AND(F2143="",G2143=""),B2143="",C2143="",D2143="",J2143="",K2143="",L2143=""),"",IF(AND(F2143="",G2143=""),"✗ 没填金额",IF(AND(N(F2143)&lt;&gt;0,N(G2143)&lt;&gt;0),"✗ 收入、支出只能填一边",IF(NOT(ISNUMBER(B2143)),"✗ 日期不是真日期（要像 2026/9/25 这样填）",IF(OR(B2143&lt;年初日,B2143&gt;年末日),"✗ 日期不在本会计年度",IF(C2143="","✗ 没选账户",IF(COUNTIF(基础资料!$W$5:$W$24,C2143)=0,"✗ 账户不在基础资料里",IF(O2143="","✗ 没选收支项目",IF(P2143="未知","✗ 收支项目不在基础资料里",IF(AND(P2143="应收",J2143=""),"✗ 这笔要选客户",IF(AND(P2143="应收",COUNTIF(总览汇总!$B$5:$B$304,J2143)=0),"✗ 客户不在总览汇总名单里",IF(AND(P2143="应付",K2143=""),"✗ 这笔要选供应商",IF(AND(P2143="应付",COUNTIF(基础资料!$Q$5:$Q$54,K2143)=0),"✗ 供应商不在基础资料里",IF(AND(P2143="费用",L2143=""),"✗ 费用支出要选费用项目",IF(AND(L2143&lt;&gt;"",COUNTIF(基础资料!$AI$5:$AI$54,L2143)=0),"✗ 费用项目不在基础资料里",IF(AND(IFERROR(INDEX(基础资料!$AD$5:$AD$34,MATCH(O2143,基础资料!$AC$5:$AC$34,0)),"")="收",N(G2143)&lt;&gt;0),"✗ 这类是收款，金额填到收入列",IF(AND(IFERROR(INDEX(基础资料!$AD$5:$AD$34,MATCH(O2143,基础资料!$AC$5:$AC$34,0)),"")="支",N(F2143)&lt;&gt;0),"✗ 这类是付款，金额填到支出列",IF(N(H2143)&lt;0,"⚠ 账户余额成负数了，核对一下","√"))))))))))))))))))</f>
      </c>
      <c r="O2143" s="78">
        <f>IF(D2143&lt;&gt;"",D2143,IF(AND(F2143="",G2143=""),"",IF(J2143&lt;&gt;"",IF(N(F2143)&gt;0,"客户回款","客户退款"),IF(K2143&lt;&gt;"",IF(N(G2143)&gt;0,"供应商付款","供应商退款"),IF(L2143&lt;&gt;"","费用支出","")))))</f>
      </c>
      <c r="P2143" s="78">
        <f>IF(O2143="","",IFERROR(INDEX(基础资料!$AE$5:$AE$34,MATCH(O2143,基础资料!$AC$5:$AC$34,0)),"未知"))</f>
      </c>
      <c r="Q2143" s="78">
        <f>IF(P2143="应收",COUNTIF(P$7:P2143,"应收"),"")</f>
      </c>
      <c r="R2143" s="78">
        <f>IF(P2143="应付",COUNTIF(P$7:P2143,"应付"),"")</f>
      </c>
      <c r="S2143" s="78">
        <f>N(F2143)-N(G2143)</f>
        <v>0</v>
      </c>
    </row>
    <row r="2144">
      <c r="A2144" s="109">
        <f>IF(AND(F2144="",G2144=""),"",ROW()-6)</f>
      </c>
      <c r="B2144" s="140" t="n"/>
      <c r="C2144" s="141" t="n"/>
      <c r="D2144" s="141" t="n"/>
      <c r="E2144" s="142" t="n"/>
      <c r="F2144" s="143" t="n"/>
      <c r="G2144" s="144" t="n"/>
      <c r="H2144" s="145">
        <f>IF(OR(C2144="",AND(F2144="",G2144="")),"",SUMIF(基础资料!$W$5:$W$24,C2144,基础资料!$X$5:$X$24)+SUMIF(C$7:C2144,C2144,F$7:F2144)-SUMIF(C$7:C2144,C2144,G$7:G2144))</f>
      </c>
      <c r="I2144" s="145">
        <f>IF(AND(F2144="",G2144=""),"",SUM(基础资料!$X$5:$X$24)+SUM(F$7:F2144)-SUM(G$7:G2144))</f>
      </c>
      <c r="J2144" s="141" t="n"/>
      <c r="K2144" s="141" t="n"/>
      <c r="L2144" s="141" t="n"/>
      <c r="M2144" s="142" t="n"/>
      <c r="N2144" s="146">
        <f>IF(AND(AND(F2144="",G2144=""),B2144="",C2144="",D2144="",J2144="",K2144="",L2144=""),"",IF(AND(F2144="",G2144=""),"✗ 没填金额",IF(AND(N(F2144)&lt;&gt;0,N(G2144)&lt;&gt;0),"✗ 收入、支出只能填一边",IF(NOT(ISNUMBER(B2144)),"✗ 日期不是真日期（要像 2026/9/25 这样填）",IF(OR(B2144&lt;年初日,B2144&gt;年末日),"✗ 日期不在本会计年度",IF(C2144="","✗ 没选账户",IF(COUNTIF(基础资料!$W$5:$W$24,C2144)=0,"✗ 账户不在基础资料里",IF(O2144="","✗ 没选收支项目",IF(P2144="未知","✗ 收支项目不在基础资料里",IF(AND(P2144="应收",J2144=""),"✗ 这笔要选客户",IF(AND(P2144="应收",COUNTIF(总览汇总!$B$5:$B$304,J2144)=0),"✗ 客户不在总览汇总名单里",IF(AND(P2144="应付",K2144=""),"✗ 这笔要选供应商",IF(AND(P2144="应付",COUNTIF(基础资料!$Q$5:$Q$54,K2144)=0),"✗ 供应商不在基础资料里",IF(AND(P2144="费用",L2144=""),"✗ 费用支出要选费用项目",IF(AND(L2144&lt;&gt;"",COUNTIF(基础资料!$AI$5:$AI$54,L2144)=0),"✗ 费用项目不在基础资料里",IF(AND(IFERROR(INDEX(基础资料!$AD$5:$AD$34,MATCH(O2144,基础资料!$AC$5:$AC$34,0)),"")="收",N(G2144)&lt;&gt;0),"✗ 这类是收款，金额填到收入列",IF(AND(IFERROR(INDEX(基础资料!$AD$5:$AD$34,MATCH(O2144,基础资料!$AC$5:$AC$34,0)),"")="支",N(F2144)&lt;&gt;0),"✗ 这类是付款，金额填到支出列",IF(N(H2144)&lt;0,"⚠ 账户余额成负数了，核对一下","√"))))))))))))))))))</f>
      </c>
      <c r="O2144" s="78">
        <f>IF(D2144&lt;&gt;"",D2144,IF(AND(F2144="",G2144=""),"",IF(J2144&lt;&gt;"",IF(N(F2144)&gt;0,"客户回款","客户退款"),IF(K2144&lt;&gt;"",IF(N(G2144)&gt;0,"供应商付款","供应商退款"),IF(L2144&lt;&gt;"","费用支出","")))))</f>
      </c>
      <c r="P2144" s="78">
        <f>IF(O2144="","",IFERROR(INDEX(基础资料!$AE$5:$AE$34,MATCH(O2144,基础资料!$AC$5:$AC$34,0)),"未知"))</f>
      </c>
      <c r="Q2144" s="78">
        <f>IF(P2144="应收",COUNTIF(P$7:P2144,"应收"),"")</f>
      </c>
      <c r="R2144" s="78">
        <f>IF(P2144="应付",COUNTIF(P$7:P2144,"应付"),"")</f>
      </c>
      <c r="S2144" s="78">
        <f>N(F2144)-N(G2144)</f>
        <v>0</v>
      </c>
    </row>
    <row r="2145">
      <c r="A2145" s="109">
        <f>IF(AND(F2145="",G2145=""),"",ROW()-6)</f>
      </c>
      <c r="B2145" s="140" t="n"/>
      <c r="C2145" s="141" t="n"/>
      <c r="D2145" s="141" t="n"/>
      <c r="E2145" s="142" t="n"/>
      <c r="F2145" s="143" t="n"/>
      <c r="G2145" s="144" t="n"/>
      <c r="H2145" s="145">
        <f>IF(OR(C2145="",AND(F2145="",G2145="")),"",SUMIF(基础资料!$W$5:$W$24,C2145,基础资料!$X$5:$X$24)+SUMIF(C$7:C2145,C2145,F$7:F2145)-SUMIF(C$7:C2145,C2145,G$7:G2145))</f>
      </c>
      <c r="I2145" s="145">
        <f>IF(AND(F2145="",G2145=""),"",SUM(基础资料!$X$5:$X$24)+SUM(F$7:F2145)-SUM(G$7:G2145))</f>
      </c>
      <c r="J2145" s="141" t="n"/>
      <c r="K2145" s="141" t="n"/>
      <c r="L2145" s="141" t="n"/>
      <c r="M2145" s="142" t="n"/>
      <c r="N2145" s="146">
        <f>IF(AND(AND(F2145="",G2145=""),B2145="",C2145="",D2145="",J2145="",K2145="",L2145=""),"",IF(AND(F2145="",G2145=""),"✗ 没填金额",IF(AND(N(F2145)&lt;&gt;0,N(G2145)&lt;&gt;0),"✗ 收入、支出只能填一边",IF(NOT(ISNUMBER(B2145)),"✗ 日期不是真日期（要像 2026/9/25 这样填）",IF(OR(B2145&lt;年初日,B2145&gt;年末日),"✗ 日期不在本会计年度",IF(C2145="","✗ 没选账户",IF(COUNTIF(基础资料!$W$5:$W$24,C2145)=0,"✗ 账户不在基础资料里",IF(O2145="","✗ 没选收支项目",IF(P2145="未知","✗ 收支项目不在基础资料里",IF(AND(P2145="应收",J2145=""),"✗ 这笔要选客户",IF(AND(P2145="应收",COUNTIF(总览汇总!$B$5:$B$304,J2145)=0),"✗ 客户不在总览汇总名单里",IF(AND(P2145="应付",K2145=""),"✗ 这笔要选供应商",IF(AND(P2145="应付",COUNTIF(基础资料!$Q$5:$Q$54,K2145)=0),"✗ 供应商不在基础资料里",IF(AND(P2145="费用",L2145=""),"✗ 费用支出要选费用项目",IF(AND(L2145&lt;&gt;"",COUNTIF(基础资料!$AI$5:$AI$54,L2145)=0),"✗ 费用项目不在基础资料里",IF(AND(IFERROR(INDEX(基础资料!$AD$5:$AD$34,MATCH(O2145,基础资料!$AC$5:$AC$34,0)),"")="收",N(G2145)&lt;&gt;0),"✗ 这类是收款，金额填到收入列",IF(AND(IFERROR(INDEX(基础资料!$AD$5:$AD$34,MATCH(O2145,基础资料!$AC$5:$AC$34,0)),"")="支",N(F2145)&lt;&gt;0),"✗ 这类是付款，金额填到支出列",IF(N(H2145)&lt;0,"⚠ 账户余额成负数了，核对一下","√"))))))))))))))))))</f>
      </c>
      <c r="O2145" s="78">
        <f>IF(D2145&lt;&gt;"",D2145,IF(AND(F2145="",G2145=""),"",IF(J2145&lt;&gt;"",IF(N(F2145)&gt;0,"客户回款","客户退款"),IF(K2145&lt;&gt;"",IF(N(G2145)&gt;0,"供应商付款","供应商退款"),IF(L2145&lt;&gt;"","费用支出","")))))</f>
      </c>
      <c r="P2145" s="78">
        <f>IF(O2145="","",IFERROR(INDEX(基础资料!$AE$5:$AE$34,MATCH(O2145,基础资料!$AC$5:$AC$34,0)),"未知"))</f>
      </c>
      <c r="Q2145" s="78">
        <f>IF(P2145="应收",COUNTIF(P$7:P2145,"应收"),"")</f>
      </c>
      <c r="R2145" s="78">
        <f>IF(P2145="应付",COUNTIF(P$7:P2145,"应付"),"")</f>
      </c>
      <c r="S2145" s="78">
        <f>N(F2145)-N(G2145)</f>
        <v>0</v>
      </c>
    </row>
    <row r="2146">
      <c r="A2146" s="109">
        <f>IF(AND(F2146="",G2146=""),"",ROW()-6)</f>
      </c>
      <c r="B2146" s="140" t="n"/>
      <c r="C2146" s="141" t="n"/>
      <c r="D2146" s="141" t="n"/>
      <c r="E2146" s="142" t="n"/>
      <c r="F2146" s="143" t="n"/>
      <c r="G2146" s="144" t="n"/>
      <c r="H2146" s="145">
        <f>IF(OR(C2146="",AND(F2146="",G2146="")),"",SUMIF(基础资料!$W$5:$W$24,C2146,基础资料!$X$5:$X$24)+SUMIF(C$7:C2146,C2146,F$7:F2146)-SUMIF(C$7:C2146,C2146,G$7:G2146))</f>
      </c>
      <c r="I2146" s="145">
        <f>IF(AND(F2146="",G2146=""),"",SUM(基础资料!$X$5:$X$24)+SUM(F$7:F2146)-SUM(G$7:G2146))</f>
      </c>
      <c r="J2146" s="141" t="n"/>
      <c r="K2146" s="141" t="n"/>
      <c r="L2146" s="141" t="n"/>
      <c r="M2146" s="142" t="n"/>
      <c r="N2146" s="146">
        <f>IF(AND(AND(F2146="",G2146=""),B2146="",C2146="",D2146="",J2146="",K2146="",L2146=""),"",IF(AND(F2146="",G2146=""),"✗ 没填金额",IF(AND(N(F2146)&lt;&gt;0,N(G2146)&lt;&gt;0),"✗ 收入、支出只能填一边",IF(NOT(ISNUMBER(B2146)),"✗ 日期不是真日期（要像 2026/9/25 这样填）",IF(OR(B2146&lt;年初日,B2146&gt;年末日),"✗ 日期不在本会计年度",IF(C2146="","✗ 没选账户",IF(COUNTIF(基础资料!$W$5:$W$24,C2146)=0,"✗ 账户不在基础资料里",IF(O2146="","✗ 没选收支项目",IF(P2146="未知","✗ 收支项目不在基础资料里",IF(AND(P2146="应收",J2146=""),"✗ 这笔要选客户",IF(AND(P2146="应收",COUNTIF(总览汇总!$B$5:$B$304,J2146)=0),"✗ 客户不在总览汇总名单里",IF(AND(P2146="应付",K2146=""),"✗ 这笔要选供应商",IF(AND(P2146="应付",COUNTIF(基础资料!$Q$5:$Q$54,K2146)=0),"✗ 供应商不在基础资料里",IF(AND(P2146="费用",L2146=""),"✗ 费用支出要选费用项目",IF(AND(L2146&lt;&gt;"",COUNTIF(基础资料!$AI$5:$AI$54,L2146)=0),"✗ 费用项目不在基础资料里",IF(AND(IFERROR(INDEX(基础资料!$AD$5:$AD$34,MATCH(O2146,基础资料!$AC$5:$AC$34,0)),"")="收",N(G2146)&lt;&gt;0),"✗ 这类是收款，金额填到收入列",IF(AND(IFERROR(INDEX(基础资料!$AD$5:$AD$34,MATCH(O2146,基础资料!$AC$5:$AC$34,0)),"")="支",N(F2146)&lt;&gt;0),"✗ 这类是付款，金额填到支出列",IF(N(H2146)&lt;0,"⚠ 账户余额成负数了，核对一下","√"))))))))))))))))))</f>
      </c>
      <c r="O2146" s="78">
        <f>IF(D2146&lt;&gt;"",D2146,IF(AND(F2146="",G2146=""),"",IF(J2146&lt;&gt;"",IF(N(F2146)&gt;0,"客户回款","客户退款"),IF(K2146&lt;&gt;"",IF(N(G2146)&gt;0,"供应商付款","供应商退款"),IF(L2146&lt;&gt;"","费用支出","")))))</f>
      </c>
      <c r="P2146" s="78">
        <f>IF(O2146="","",IFERROR(INDEX(基础资料!$AE$5:$AE$34,MATCH(O2146,基础资料!$AC$5:$AC$34,0)),"未知"))</f>
      </c>
      <c r="Q2146" s="78">
        <f>IF(P2146="应收",COUNTIF(P$7:P2146,"应收"),"")</f>
      </c>
      <c r="R2146" s="78">
        <f>IF(P2146="应付",COUNTIF(P$7:P2146,"应付"),"")</f>
      </c>
      <c r="S2146" s="78">
        <f>N(F2146)-N(G2146)</f>
        <v>0</v>
      </c>
    </row>
    <row r="2147">
      <c r="A2147" s="109">
        <f>IF(AND(F2147="",G2147=""),"",ROW()-6)</f>
      </c>
      <c r="B2147" s="140" t="n"/>
      <c r="C2147" s="141" t="n"/>
      <c r="D2147" s="141" t="n"/>
      <c r="E2147" s="142" t="n"/>
      <c r="F2147" s="143" t="n"/>
      <c r="G2147" s="144" t="n"/>
      <c r="H2147" s="145">
        <f>IF(OR(C2147="",AND(F2147="",G2147="")),"",SUMIF(基础资料!$W$5:$W$24,C2147,基础资料!$X$5:$X$24)+SUMIF(C$7:C2147,C2147,F$7:F2147)-SUMIF(C$7:C2147,C2147,G$7:G2147))</f>
      </c>
      <c r="I2147" s="145">
        <f>IF(AND(F2147="",G2147=""),"",SUM(基础资料!$X$5:$X$24)+SUM(F$7:F2147)-SUM(G$7:G2147))</f>
      </c>
      <c r="J2147" s="141" t="n"/>
      <c r="K2147" s="141" t="n"/>
      <c r="L2147" s="141" t="n"/>
      <c r="M2147" s="142" t="n"/>
      <c r="N2147" s="146">
        <f>IF(AND(AND(F2147="",G2147=""),B2147="",C2147="",D2147="",J2147="",K2147="",L2147=""),"",IF(AND(F2147="",G2147=""),"✗ 没填金额",IF(AND(N(F2147)&lt;&gt;0,N(G2147)&lt;&gt;0),"✗ 收入、支出只能填一边",IF(NOT(ISNUMBER(B2147)),"✗ 日期不是真日期（要像 2026/9/25 这样填）",IF(OR(B2147&lt;年初日,B2147&gt;年末日),"✗ 日期不在本会计年度",IF(C2147="","✗ 没选账户",IF(COUNTIF(基础资料!$W$5:$W$24,C2147)=0,"✗ 账户不在基础资料里",IF(O2147="","✗ 没选收支项目",IF(P2147="未知","✗ 收支项目不在基础资料里",IF(AND(P2147="应收",J2147=""),"✗ 这笔要选客户",IF(AND(P2147="应收",COUNTIF(总览汇总!$B$5:$B$304,J2147)=0),"✗ 客户不在总览汇总名单里",IF(AND(P2147="应付",K2147=""),"✗ 这笔要选供应商",IF(AND(P2147="应付",COUNTIF(基础资料!$Q$5:$Q$54,K2147)=0),"✗ 供应商不在基础资料里",IF(AND(P2147="费用",L2147=""),"✗ 费用支出要选费用项目",IF(AND(L2147&lt;&gt;"",COUNTIF(基础资料!$AI$5:$AI$54,L2147)=0),"✗ 费用项目不在基础资料里",IF(AND(IFERROR(INDEX(基础资料!$AD$5:$AD$34,MATCH(O2147,基础资料!$AC$5:$AC$34,0)),"")="收",N(G2147)&lt;&gt;0),"✗ 这类是收款，金额填到收入列",IF(AND(IFERROR(INDEX(基础资料!$AD$5:$AD$34,MATCH(O2147,基础资料!$AC$5:$AC$34,0)),"")="支",N(F2147)&lt;&gt;0),"✗ 这类是付款，金额填到支出列",IF(N(H2147)&lt;0,"⚠ 账户余额成负数了，核对一下","√"))))))))))))))))))</f>
      </c>
      <c r="O2147" s="78">
        <f>IF(D2147&lt;&gt;"",D2147,IF(AND(F2147="",G2147=""),"",IF(J2147&lt;&gt;"",IF(N(F2147)&gt;0,"客户回款","客户退款"),IF(K2147&lt;&gt;"",IF(N(G2147)&gt;0,"供应商付款","供应商退款"),IF(L2147&lt;&gt;"","费用支出","")))))</f>
      </c>
      <c r="P2147" s="78">
        <f>IF(O2147="","",IFERROR(INDEX(基础资料!$AE$5:$AE$34,MATCH(O2147,基础资料!$AC$5:$AC$34,0)),"未知"))</f>
      </c>
      <c r="Q2147" s="78">
        <f>IF(P2147="应收",COUNTIF(P$7:P2147,"应收"),"")</f>
      </c>
      <c r="R2147" s="78">
        <f>IF(P2147="应付",COUNTIF(P$7:P2147,"应付"),"")</f>
      </c>
      <c r="S2147" s="78">
        <f>N(F2147)-N(G2147)</f>
        <v>0</v>
      </c>
    </row>
    <row r="2148">
      <c r="A2148" s="109">
        <f>IF(AND(F2148="",G2148=""),"",ROW()-6)</f>
      </c>
      <c r="B2148" s="140" t="n"/>
      <c r="C2148" s="141" t="n"/>
      <c r="D2148" s="141" t="n"/>
      <c r="E2148" s="142" t="n"/>
      <c r="F2148" s="143" t="n"/>
      <c r="G2148" s="144" t="n"/>
      <c r="H2148" s="145">
        <f>IF(OR(C2148="",AND(F2148="",G2148="")),"",SUMIF(基础资料!$W$5:$W$24,C2148,基础资料!$X$5:$X$24)+SUMIF(C$7:C2148,C2148,F$7:F2148)-SUMIF(C$7:C2148,C2148,G$7:G2148))</f>
      </c>
      <c r="I2148" s="145">
        <f>IF(AND(F2148="",G2148=""),"",SUM(基础资料!$X$5:$X$24)+SUM(F$7:F2148)-SUM(G$7:G2148))</f>
      </c>
      <c r="J2148" s="141" t="n"/>
      <c r="K2148" s="141" t="n"/>
      <c r="L2148" s="141" t="n"/>
      <c r="M2148" s="142" t="n"/>
      <c r="N2148" s="146">
        <f>IF(AND(AND(F2148="",G2148=""),B2148="",C2148="",D2148="",J2148="",K2148="",L2148=""),"",IF(AND(F2148="",G2148=""),"✗ 没填金额",IF(AND(N(F2148)&lt;&gt;0,N(G2148)&lt;&gt;0),"✗ 收入、支出只能填一边",IF(NOT(ISNUMBER(B2148)),"✗ 日期不是真日期（要像 2026/9/25 这样填）",IF(OR(B2148&lt;年初日,B2148&gt;年末日),"✗ 日期不在本会计年度",IF(C2148="","✗ 没选账户",IF(COUNTIF(基础资料!$W$5:$W$24,C2148)=0,"✗ 账户不在基础资料里",IF(O2148="","✗ 没选收支项目",IF(P2148="未知","✗ 收支项目不在基础资料里",IF(AND(P2148="应收",J2148=""),"✗ 这笔要选客户",IF(AND(P2148="应收",COUNTIF(总览汇总!$B$5:$B$304,J2148)=0),"✗ 客户不在总览汇总名单里",IF(AND(P2148="应付",K2148=""),"✗ 这笔要选供应商",IF(AND(P2148="应付",COUNTIF(基础资料!$Q$5:$Q$54,K2148)=0),"✗ 供应商不在基础资料里",IF(AND(P2148="费用",L2148=""),"✗ 费用支出要选费用项目",IF(AND(L2148&lt;&gt;"",COUNTIF(基础资料!$AI$5:$AI$54,L2148)=0),"✗ 费用项目不在基础资料里",IF(AND(IFERROR(INDEX(基础资料!$AD$5:$AD$34,MATCH(O2148,基础资料!$AC$5:$AC$34,0)),"")="收",N(G2148)&lt;&gt;0),"✗ 这类是收款，金额填到收入列",IF(AND(IFERROR(INDEX(基础资料!$AD$5:$AD$34,MATCH(O2148,基础资料!$AC$5:$AC$34,0)),"")="支",N(F2148)&lt;&gt;0),"✗ 这类是付款，金额填到支出列",IF(N(H2148)&lt;0,"⚠ 账户余额成负数了，核对一下","√"))))))))))))))))))</f>
      </c>
      <c r="O2148" s="78">
        <f>IF(D2148&lt;&gt;"",D2148,IF(AND(F2148="",G2148=""),"",IF(J2148&lt;&gt;"",IF(N(F2148)&gt;0,"客户回款","客户退款"),IF(K2148&lt;&gt;"",IF(N(G2148)&gt;0,"供应商付款","供应商退款"),IF(L2148&lt;&gt;"","费用支出","")))))</f>
      </c>
      <c r="P2148" s="78">
        <f>IF(O2148="","",IFERROR(INDEX(基础资料!$AE$5:$AE$34,MATCH(O2148,基础资料!$AC$5:$AC$34,0)),"未知"))</f>
      </c>
      <c r="Q2148" s="78">
        <f>IF(P2148="应收",COUNTIF(P$7:P2148,"应收"),"")</f>
      </c>
      <c r="R2148" s="78">
        <f>IF(P2148="应付",COUNTIF(P$7:P2148,"应付"),"")</f>
      </c>
      <c r="S2148" s="78">
        <f>N(F2148)-N(G2148)</f>
        <v>0</v>
      </c>
    </row>
    <row r="2149">
      <c r="A2149" s="109">
        <f>IF(AND(F2149="",G2149=""),"",ROW()-6)</f>
      </c>
      <c r="B2149" s="140" t="n"/>
      <c r="C2149" s="141" t="n"/>
      <c r="D2149" s="141" t="n"/>
      <c r="E2149" s="142" t="n"/>
      <c r="F2149" s="143" t="n"/>
      <c r="G2149" s="144" t="n"/>
      <c r="H2149" s="145">
        <f>IF(OR(C2149="",AND(F2149="",G2149="")),"",SUMIF(基础资料!$W$5:$W$24,C2149,基础资料!$X$5:$X$24)+SUMIF(C$7:C2149,C2149,F$7:F2149)-SUMIF(C$7:C2149,C2149,G$7:G2149))</f>
      </c>
      <c r="I2149" s="145">
        <f>IF(AND(F2149="",G2149=""),"",SUM(基础资料!$X$5:$X$24)+SUM(F$7:F2149)-SUM(G$7:G2149))</f>
      </c>
      <c r="J2149" s="141" t="n"/>
      <c r="K2149" s="141" t="n"/>
      <c r="L2149" s="141" t="n"/>
      <c r="M2149" s="142" t="n"/>
      <c r="N2149" s="146">
        <f>IF(AND(AND(F2149="",G2149=""),B2149="",C2149="",D2149="",J2149="",K2149="",L2149=""),"",IF(AND(F2149="",G2149=""),"✗ 没填金额",IF(AND(N(F2149)&lt;&gt;0,N(G2149)&lt;&gt;0),"✗ 收入、支出只能填一边",IF(NOT(ISNUMBER(B2149)),"✗ 日期不是真日期（要像 2026/9/25 这样填）",IF(OR(B2149&lt;年初日,B2149&gt;年末日),"✗ 日期不在本会计年度",IF(C2149="","✗ 没选账户",IF(COUNTIF(基础资料!$W$5:$W$24,C2149)=0,"✗ 账户不在基础资料里",IF(O2149="","✗ 没选收支项目",IF(P2149="未知","✗ 收支项目不在基础资料里",IF(AND(P2149="应收",J2149=""),"✗ 这笔要选客户",IF(AND(P2149="应收",COUNTIF(总览汇总!$B$5:$B$304,J2149)=0),"✗ 客户不在总览汇总名单里",IF(AND(P2149="应付",K2149=""),"✗ 这笔要选供应商",IF(AND(P2149="应付",COUNTIF(基础资料!$Q$5:$Q$54,K2149)=0),"✗ 供应商不在基础资料里",IF(AND(P2149="费用",L2149=""),"✗ 费用支出要选费用项目",IF(AND(L2149&lt;&gt;"",COUNTIF(基础资料!$AI$5:$AI$54,L2149)=0),"✗ 费用项目不在基础资料里",IF(AND(IFERROR(INDEX(基础资料!$AD$5:$AD$34,MATCH(O2149,基础资料!$AC$5:$AC$34,0)),"")="收",N(G2149)&lt;&gt;0),"✗ 这类是收款，金额填到收入列",IF(AND(IFERROR(INDEX(基础资料!$AD$5:$AD$34,MATCH(O2149,基础资料!$AC$5:$AC$34,0)),"")="支",N(F2149)&lt;&gt;0),"✗ 这类是付款，金额填到支出列",IF(N(H2149)&lt;0,"⚠ 账户余额成负数了，核对一下","√"))))))))))))))))))</f>
      </c>
      <c r="O2149" s="78">
        <f>IF(D2149&lt;&gt;"",D2149,IF(AND(F2149="",G2149=""),"",IF(J2149&lt;&gt;"",IF(N(F2149)&gt;0,"客户回款","客户退款"),IF(K2149&lt;&gt;"",IF(N(G2149)&gt;0,"供应商付款","供应商退款"),IF(L2149&lt;&gt;"","费用支出","")))))</f>
      </c>
      <c r="P2149" s="78">
        <f>IF(O2149="","",IFERROR(INDEX(基础资料!$AE$5:$AE$34,MATCH(O2149,基础资料!$AC$5:$AC$34,0)),"未知"))</f>
      </c>
      <c r="Q2149" s="78">
        <f>IF(P2149="应收",COUNTIF(P$7:P2149,"应收"),"")</f>
      </c>
      <c r="R2149" s="78">
        <f>IF(P2149="应付",COUNTIF(P$7:P2149,"应付"),"")</f>
      </c>
      <c r="S2149" s="78">
        <f>N(F2149)-N(G2149)</f>
        <v>0</v>
      </c>
    </row>
    <row r="2150">
      <c r="A2150" s="109">
        <f>IF(AND(F2150="",G2150=""),"",ROW()-6)</f>
      </c>
      <c r="B2150" s="140" t="n"/>
      <c r="C2150" s="141" t="n"/>
      <c r="D2150" s="141" t="n"/>
      <c r="E2150" s="142" t="n"/>
      <c r="F2150" s="143" t="n"/>
      <c r="G2150" s="144" t="n"/>
      <c r="H2150" s="145">
        <f>IF(OR(C2150="",AND(F2150="",G2150="")),"",SUMIF(基础资料!$W$5:$W$24,C2150,基础资料!$X$5:$X$24)+SUMIF(C$7:C2150,C2150,F$7:F2150)-SUMIF(C$7:C2150,C2150,G$7:G2150))</f>
      </c>
      <c r="I2150" s="145">
        <f>IF(AND(F2150="",G2150=""),"",SUM(基础资料!$X$5:$X$24)+SUM(F$7:F2150)-SUM(G$7:G2150))</f>
      </c>
      <c r="J2150" s="141" t="n"/>
      <c r="K2150" s="141" t="n"/>
      <c r="L2150" s="141" t="n"/>
      <c r="M2150" s="142" t="n"/>
      <c r="N2150" s="146">
        <f>IF(AND(AND(F2150="",G2150=""),B2150="",C2150="",D2150="",J2150="",K2150="",L2150=""),"",IF(AND(F2150="",G2150=""),"✗ 没填金额",IF(AND(N(F2150)&lt;&gt;0,N(G2150)&lt;&gt;0),"✗ 收入、支出只能填一边",IF(NOT(ISNUMBER(B2150)),"✗ 日期不是真日期（要像 2026/9/25 这样填）",IF(OR(B2150&lt;年初日,B2150&gt;年末日),"✗ 日期不在本会计年度",IF(C2150="","✗ 没选账户",IF(COUNTIF(基础资料!$W$5:$W$24,C2150)=0,"✗ 账户不在基础资料里",IF(O2150="","✗ 没选收支项目",IF(P2150="未知","✗ 收支项目不在基础资料里",IF(AND(P2150="应收",J2150=""),"✗ 这笔要选客户",IF(AND(P2150="应收",COUNTIF(总览汇总!$B$5:$B$304,J2150)=0),"✗ 客户不在总览汇总名单里",IF(AND(P2150="应付",K2150=""),"✗ 这笔要选供应商",IF(AND(P2150="应付",COUNTIF(基础资料!$Q$5:$Q$54,K2150)=0),"✗ 供应商不在基础资料里",IF(AND(P2150="费用",L2150=""),"✗ 费用支出要选费用项目",IF(AND(L2150&lt;&gt;"",COUNTIF(基础资料!$AI$5:$AI$54,L2150)=0),"✗ 费用项目不在基础资料里",IF(AND(IFERROR(INDEX(基础资料!$AD$5:$AD$34,MATCH(O2150,基础资料!$AC$5:$AC$34,0)),"")="收",N(G2150)&lt;&gt;0),"✗ 这类是收款，金额填到收入列",IF(AND(IFERROR(INDEX(基础资料!$AD$5:$AD$34,MATCH(O2150,基础资料!$AC$5:$AC$34,0)),"")="支",N(F2150)&lt;&gt;0),"✗ 这类是付款，金额填到支出列",IF(N(H2150)&lt;0,"⚠ 账户余额成负数了，核对一下","√"))))))))))))))))))</f>
      </c>
      <c r="O2150" s="78">
        <f>IF(D2150&lt;&gt;"",D2150,IF(AND(F2150="",G2150=""),"",IF(J2150&lt;&gt;"",IF(N(F2150)&gt;0,"客户回款","客户退款"),IF(K2150&lt;&gt;"",IF(N(G2150)&gt;0,"供应商付款","供应商退款"),IF(L2150&lt;&gt;"","费用支出","")))))</f>
      </c>
      <c r="P2150" s="78">
        <f>IF(O2150="","",IFERROR(INDEX(基础资料!$AE$5:$AE$34,MATCH(O2150,基础资料!$AC$5:$AC$34,0)),"未知"))</f>
      </c>
      <c r="Q2150" s="78">
        <f>IF(P2150="应收",COUNTIF(P$7:P2150,"应收"),"")</f>
      </c>
      <c r="R2150" s="78">
        <f>IF(P2150="应付",COUNTIF(P$7:P2150,"应付"),"")</f>
      </c>
      <c r="S2150" s="78">
        <f>N(F2150)-N(G2150)</f>
        <v>0</v>
      </c>
    </row>
    <row r="2151">
      <c r="A2151" s="109">
        <f>IF(AND(F2151="",G2151=""),"",ROW()-6)</f>
      </c>
      <c r="B2151" s="140" t="n"/>
      <c r="C2151" s="141" t="n"/>
      <c r="D2151" s="141" t="n"/>
      <c r="E2151" s="142" t="n"/>
      <c r="F2151" s="143" t="n"/>
      <c r="G2151" s="144" t="n"/>
      <c r="H2151" s="145">
        <f>IF(OR(C2151="",AND(F2151="",G2151="")),"",SUMIF(基础资料!$W$5:$W$24,C2151,基础资料!$X$5:$X$24)+SUMIF(C$7:C2151,C2151,F$7:F2151)-SUMIF(C$7:C2151,C2151,G$7:G2151))</f>
      </c>
      <c r="I2151" s="145">
        <f>IF(AND(F2151="",G2151=""),"",SUM(基础资料!$X$5:$X$24)+SUM(F$7:F2151)-SUM(G$7:G2151))</f>
      </c>
      <c r="J2151" s="141" t="n"/>
      <c r="K2151" s="141" t="n"/>
      <c r="L2151" s="141" t="n"/>
      <c r="M2151" s="142" t="n"/>
      <c r="N2151" s="146">
        <f>IF(AND(AND(F2151="",G2151=""),B2151="",C2151="",D2151="",J2151="",K2151="",L2151=""),"",IF(AND(F2151="",G2151=""),"✗ 没填金额",IF(AND(N(F2151)&lt;&gt;0,N(G2151)&lt;&gt;0),"✗ 收入、支出只能填一边",IF(NOT(ISNUMBER(B2151)),"✗ 日期不是真日期（要像 2026/9/25 这样填）",IF(OR(B2151&lt;年初日,B2151&gt;年末日),"✗ 日期不在本会计年度",IF(C2151="","✗ 没选账户",IF(COUNTIF(基础资料!$W$5:$W$24,C2151)=0,"✗ 账户不在基础资料里",IF(O2151="","✗ 没选收支项目",IF(P2151="未知","✗ 收支项目不在基础资料里",IF(AND(P2151="应收",J2151=""),"✗ 这笔要选客户",IF(AND(P2151="应收",COUNTIF(总览汇总!$B$5:$B$304,J2151)=0),"✗ 客户不在总览汇总名单里",IF(AND(P2151="应付",K2151=""),"✗ 这笔要选供应商",IF(AND(P2151="应付",COUNTIF(基础资料!$Q$5:$Q$54,K2151)=0),"✗ 供应商不在基础资料里",IF(AND(P2151="费用",L2151=""),"✗ 费用支出要选费用项目",IF(AND(L2151&lt;&gt;"",COUNTIF(基础资料!$AI$5:$AI$54,L2151)=0),"✗ 费用项目不在基础资料里",IF(AND(IFERROR(INDEX(基础资料!$AD$5:$AD$34,MATCH(O2151,基础资料!$AC$5:$AC$34,0)),"")="收",N(G2151)&lt;&gt;0),"✗ 这类是收款，金额填到收入列",IF(AND(IFERROR(INDEX(基础资料!$AD$5:$AD$34,MATCH(O2151,基础资料!$AC$5:$AC$34,0)),"")="支",N(F2151)&lt;&gt;0),"✗ 这类是付款，金额填到支出列",IF(N(H2151)&lt;0,"⚠ 账户余额成负数了，核对一下","√"))))))))))))))))))</f>
      </c>
      <c r="O2151" s="78">
        <f>IF(D2151&lt;&gt;"",D2151,IF(AND(F2151="",G2151=""),"",IF(J2151&lt;&gt;"",IF(N(F2151)&gt;0,"客户回款","客户退款"),IF(K2151&lt;&gt;"",IF(N(G2151)&gt;0,"供应商付款","供应商退款"),IF(L2151&lt;&gt;"","费用支出","")))))</f>
      </c>
      <c r="P2151" s="78">
        <f>IF(O2151="","",IFERROR(INDEX(基础资料!$AE$5:$AE$34,MATCH(O2151,基础资料!$AC$5:$AC$34,0)),"未知"))</f>
      </c>
      <c r="Q2151" s="78">
        <f>IF(P2151="应收",COUNTIF(P$7:P2151,"应收"),"")</f>
      </c>
      <c r="R2151" s="78">
        <f>IF(P2151="应付",COUNTIF(P$7:P2151,"应付"),"")</f>
      </c>
      <c r="S2151" s="78">
        <f>N(F2151)-N(G2151)</f>
        <v>0</v>
      </c>
    </row>
    <row r="2152">
      <c r="A2152" s="109">
        <f>IF(AND(F2152="",G2152=""),"",ROW()-6)</f>
      </c>
      <c r="B2152" s="140" t="n"/>
      <c r="C2152" s="141" t="n"/>
      <c r="D2152" s="141" t="n"/>
      <c r="E2152" s="142" t="n"/>
      <c r="F2152" s="143" t="n"/>
      <c r="G2152" s="144" t="n"/>
      <c r="H2152" s="145">
        <f>IF(OR(C2152="",AND(F2152="",G2152="")),"",SUMIF(基础资料!$W$5:$W$24,C2152,基础资料!$X$5:$X$24)+SUMIF(C$7:C2152,C2152,F$7:F2152)-SUMIF(C$7:C2152,C2152,G$7:G2152))</f>
      </c>
      <c r="I2152" s="145">
        <f>IF(AND(F2152="",G2152=""),"",SUM(基础资料!$X$5:$X$24)+SUM(F$7:F2152)-SUM(G$7:G2152))</f>
      </c>
      <c r="J2152" s="141" t="n"/>
      <c r="K2152" s="141" t="n"/>
      <c r="L2152" s="141" t="n"/>
      <c r="M2152" s="142" t="n"/>
      <c r="N2152" s="146">
        <f>IF(AND(AND(F2152="",G2152=""),B2152="",C2152="",D2152="",J2152="",K2152="",L2152=""),"",IF(AND(F2152="",G2152=""),"✗ 没填金额",IF(AND(N(F2152)&lt;&gt;0,N(G2152)&lt;&gt;0),"✗ 收入、支出只能填一边",IF(NOT(ISNUMBER(B2152)),"✗ 日期不是真日期（要像 2026/9/25 这样填）",IF(OR(B2152&lt;年初日,B2152&gt;年末日),"✗ 日期不在本会计年度",IF(C2152="","✗ 没选账户",IF(COUNTIF(基础资料!$W$5:$W$24,C2152)=0,"✗ 账户不在基础资料里",IF(O2152="","✗ 没选收支项目",IF(P2152="未知","✗ 收支项目不在基础资料里",IF(AND(P2152="应收",J2152=""),"✗ 这笔要选客户",IF(AND(P2152="应收",COUNTIF(总览汇总!$B$5:$B$304,J2152)=0),"✗ 客户不在总览汇总名单里",IF(AND(P2152="应付",K2152=""),"✗ 这笔要选供应商",IF(AND(P2152="应付",COUNTIF(基础资料!$Q$5:$Q$54,K2152)=0),"✗ 供应商不在基础资料里",IF(AND(P2152="费用",L2152=""),"✗ 费用支出要选费用项目",IF(AND(L2152&lt;&gt;"",COUNTIF(基础资料!$AI$5:$AI$54,L2152)=0),"✗ 费用项目不在基础资料里",IF(AND(IFERROR(INDEX(基础资料!$AD$5:$AD$34,MATCH(O2152,基础资料!$AC$5:$AC$34,0)),"")="收",N(G2152)&lt;&gt;0),"✗ 这类是收款，金额填到收入列",IF(AND(IFERROR(INDEX(基础资料!$AD$5:$AD$34,MATCH(O2152,基础资料!$AC$5:$AC$34,0)),"")="支",N(F2152)&lt;&gt;0),"✗ 这类是付款，金额填到支出列",IF(N(H2152)&lt;0,"⚠ 账户余额成负数了，核对一下","√"))))))))))))))))))</f>
      </c>
      <c r="O2152" s="78">
        <f>IF(D2152&lt;&gt;"",D2152,IF(AND(F2152="",G2152=""),"",IF(J2152&lt;&gt;"",IF(N(F2152)&gt;0,"客户回款","客户退款"),IF(K2152&lt;&gt;"",IF(N(G2152)&gt;0,"供应商付款","供应商退款"),IF(L2152&lt;&gt;"","费用支出","")))))</f>
      </c>
      <c r="P2152" s="78">
        <f>IF(O2152="","",IFERROR(INDEX(基础资料!$AE$5:$AE$34,MATCH(O2152,基础资料!$AC$5:$AC$34,0)),"未知"))</f>
      </c>
      <c r="Q2152" s="78">
        <f>IF(P2152="应收",COUNTIF(P$7:P2152,"应收"),"")</f>
      </c>
      <c r="R2152" s="78">
        <f>IF(P2152="应付",COUNTIF(P$7:P2152,"应付"),"")</f>
      </c>
      <c r="S2152" s="78">
        <f>N(F2152)-N(G2152)</f>
        <v>0</v>
      </c>
    </row>
    <row r="2153">
      <c r="A2153" s="109">
        <f>IF(AND(F2153="",G2153=""),"",ROW()-6)</f>
      </c>
      <c r="B2153" s="140" t="n"/>
      <c r="C2153" s="141" t="n"/>
      <c r="D2153" s="141" t="n"/>
      <c r="E2153" s="142" t="n"/>
      <c r="F2153" s="143" t="n"/>
      <c r="G2153" s="144" t="n"/>
      <c r="H2153" s="145">
        <f>IF(OR(C2153="",AND(F2153="",G2153="")),"",SUMIF(基础资料!$W$5:$W$24,C2153,基础资料!$X$5:$X$24)+SUMIF(C$7:C2153,C2153,F$7:F2153)-SUMIF(C$7:C2153,C2153,G$7:G2153))</f>
      </c>
      <c r="I2153" s="145">
        <f>IF(AND(F2153="",G2153=""),"",SUM(基础资料!$X$5:$X$24)+SUM(F$7:F2153)-SUM(G$7:G2153))</f>
      </c>
      <c r="J2153" s="141" t="n"/>
      <c r="K2153" s="141" t="n"/>
      <c r="L2153" s="141" t="n"/>
      <c r="M2153" s="142" t="n"/>
      <c r="N2153" s="146">
        <f>IF(AND(AND(F2153="",G2153=""),B2153="",C2153="",D2153="",J2153="",K2153="",L2153=""),"",IF(AND(F2153="",G2153=""),"✗ 没填金额",IF(AND(N(F2153)&lt;&gt;0,N(G2153)&lt;&gt;0),"✗ 收入、支出只能填一边",IF(NOT(ISNUMBER(B2153)),"✗ 日期不是真日期（要像 2026/9/25 这样填）",IF(OR(B2153&lt;年初日,B2153&gt;年末日),"✗ 日期不在本会计年度",IF(C2153="","✗ 没选账户",IF(COUNTIF(基础资料!$W$5:$W$24,C2153)=0,"✗ 账户不在基础资料里",IF(O2153="","✗ 没选收支项目",IF(P2153="未知","✗ 收支项目不在基础资料里",IF(AND(P2153="应收",J2153=""),"✗ 这笔要选客户",IF(AND(P2153="应收",COUNTIF(总览汇总!$B$5:$B$304,J2153)=0),"✗ 客户不在总览汇总名单里",IF(AND(P2153="应付",K2153=""),"✗ 这笔要选供应商",IF(AND(P2153="应付",COUNTIF(基础资料!$Q$5:$Q$54,K2153)=0),"✗ 供应商不在基础资料里",IF(AND(P2153="费用",L2153=""),"✗ 费用支出要选费用项目",IF(AND(L2153&lt;&gt;"",COUNTIF(基础资料!$AI$5:$AI$54,L2153)=0),"✗ 费用项目不在基础资料里",IF(AND(IFERROR(INDEX(基础资料!$AD$5:$AD$34,MATCH(O2153,基础资料!$AC$5:$AC$34,0)),"")="收",N(G2153)&lt;&gt;0),"✗ 这类是收款，金额填到收入列",IF(AND(IFERROR(INDEX(基础资料!$AD$5:$AD$34,MATCH(O2153,基础资料!$AC$5:$AC$34,0)),"")="支",N(F2153)&lt;&gt;0),"✗ 这类是付款，金额填到支出列",IF(N(H2153)&lt;0,"⚠ 账户余额成负数了，核对一下","√"))))))))))))))))))</f>
      </c>
      <c r="O2153" s="78">
        <f>IF(D2153&lt;&gt;"",D2153,IF(AND(F2153="",G2153=""),"",IF(J2153&lt;&gt;"",IF(N(F2153)&gt;0,"客户回款","客户退款"),IF(K2153&lt;&gt;"",IF(N(G2153)&gt;0,"供应商付款","供应商退款"),IF(L2153&lt;&gt;"","费用支出","")))))</f>
      </c>
      <c r="P2153" s="78">
        <f>IF(O2153="","",IFERROR(INDEX(基础资料!$AE$5:$AE$34,MATCH(O2153,基础资料!$AC$5:$AC$34,0)),"未知"))</f>
      </c>
      <c r="Q2153" s="78">
        <f>IF(P2153="应收",COUNTIF(P$7:P2153,"应收"),"")</f>
      </c>
      <c r="R2153" s="78">
        <f>IF(P2153="应付",COUNTIF(P$7:P2153,"应付"),"")</f>
      </c>
      <c r="S2153" s="78">
        <f>N(F2153)-N(G2153)</f>
        <v>0</v>
      </c>
    </row>
    <row r="2154">
      <c r="A2154" s="109">
        <f>IF(AND(F2154="",G2154=""),"",ROW()-6)</f>
      </c>
      <c r="B2154" s="140" t="n"/>
      <c r="C2154" s="141" t="n"/>
      <c r="D2154" s="141" t="n"/>
      <c r="E2154" s="142" t="n"/>
      <c r="F2154" s="143" t="n"/>
      <c r="G2154" s="144" t="n"/>
      <c r="H2154" s="145">
        <f>IF(OR(C2154="",AND(F2154="",G2154="")),"",SUMIF(基础资料!$W$5:$W$24,C2154,基础资料!$X$5:$X$24)+SUMIF(C$7:C2154,C2154,F$7:F2154)-SUMIF(C$7:C2154,C2154,G$7:G2154))</f>
      </c>
      <c r="I2154" s="145">
        <f>IF(AND(F2154="",G2154=""),"",SUM(基础资料!$X$5:$X$24)+SUM(F$7:F2154)-SUM(G$7:G2154))</f>
      </c>
      <c r="J2154" s="141" t="n"/>
      <c r="K2154" s="141" t="n"/>
      <c r="L2154" s="141" t="n"/>
      <c r="M2154" s="142" t="n"/>
      <c r="N2154" s="146">
        <f>IF(AND(AND(F2154="",G2154=""),B2154="",C2154="",D2154="",J2154="",K2154="",L2154=""),"",IF(AND(F2154="",G2154=""),"✗ 没填金额",IF(AND(N(F2154)&lt;&gt;0,N(G2154)&lt;&gt;0),"✗ 收入、支出只能填一边",IF(NOT(ISNUMBER(B2154)),"✗ 日期不是真日期（要像 2026/9/25 这样填）",IF(OR(B2154&lt;年初日,B2154&gt;年末日),"✗ 日期不在本会计年度",IF(C2154="","✗ 没选账户",IF(COUNTIF(基础资料!$W$5:$W$24,C2154)=0,"✗ 账户不在基础资料里",IF(O2154="","✗ 没选收支项目",IF(P2154="未知","✗ 收支项目不在基础资料里",IF(AND(P2154="应收",J2154=""),"✗ 这笔要选客户",IF(AND(P2154="应收",COUNTIF(总览汇总!$B$5:$B$304,J2154)=0),"✗ 客户不在总览汇总名单里",IF(AND(P2154="应付",K2154=""),"✗ 这笔要选供应商",IF(AND(P2154="应付",COUNTIF(基础资料!$Q$5:$Q$54,K2154)=0),"✗ 供应商不在基础资料里",IF(AND(P2154="费用",L2154=""),"✗ 费用支出要选费用项目",IF(AND(L2154&lt;&gt;"",COUNTIF(基础资料!$AI$5:$AI$54,L2154)=0),"✗ 费用项目不在基础资料里",IF(AND(IFERROR(INDEX(基础资料!$AD$5:$AD$34,MATCH(O2154,基础资料!$AC$5:$AC$34,0)),"")="收",N(G2154)&lt;&gt;0),"✗ 这类是收款，金额填到收入列",IF(AND(IFERROR(INDEX(基础资料!$AD$5:$AD$34,MATCH(O2154,基础资料!$AC$5:$AC$34,0)),"")="支",N(F2154)&lt;&gt;0),"✗ 这类是付款，金额填到支出列",IF(N(H2154)&lt;0,"⚠ 账户余额成负数了，核对一下","√"))))))))))))))))))</f>
      </c>
      <c r="O2154" s="78">
        <f>IF(D2154&lt;&gt;"",D2154,IF(AND(F2154="",G2154=""),"",IF(J2154&lt;&gt;"",IF(N(F2154)&gt;0,"客户回款","客户退款"),IF(K2154&lt;&gt;"",IF(N(G2154)&gt;0,"供应商付款","供应商退款"),IF(L2154&lt;&gt;"","费用支出","")))))</f>
      </c>
      <c r="P2154" s="78">
        <f>IF(O2154="","",IFERROR(INDEX(基础资料!$AE$5:$AE$34,MATCH(O2154,基础资料!$AC$5:$AC$34,0)),"未知"))</f>
      </c>
      <c r="Q2154" s="78">
        <f>IF(P2154="应收",COUNTIF(P$7:P2154,"应收"),"")</f>
      </c>
      <c r="R2154" s="78">
        <f>IF(P2154="应付",COUNTIF(P$7:P2154,"应付"),"")</f>
      </c>
      <c r="S2154" s="78">
        <f>N(F2154)-N(G2154)</f>
        <v>0</v>
      </c>
    </row>
    <row r="2155">
      <c r="A2155" s="109">
        <f>IF(AND(F2155="",G2155=""),"",ROW()-6)</f>
      </c>
      <c r="B2155" s="140" t="n"/>
      <c r="C2155" s="141" t="n"/>
      <c r="D2155" s="141" t="n"/>
      <c r="E2155" s="142" t="n"/>
      <c r="F2155" s="143" t="n"/>
      <c r="G2155" s="144" t="n"/>
      <c r="H2155" s="145">
        <f>IF(OR(C2155="",AND(F2155="",G2155="")),"",SUMIF(基础资料!$W$5:$W$24,C2155,基础资料!$X$5:$X$24)+SUMIF(C$7:C2155,C2155,F$7:F2155)-SUMIF(C$7:C2155,C2155,G$7:G2155))</f>
      </c>
      <c r="I2155" s="145">
        <f>IF(AND(F2155="",G2155=""),"",SUM(基础资料!$X$5:$X$24)+SUM(F$7:F2155)-SUM(G$7:G2155))</f>
      </c>
      <c r="J2155" s="141" t="n"/>
      <c r="K2155" s="141" t="n"/>
      <c r="L2155" s="141" t="n"/>
      <c r="M2155" s="142" t="n"/>
      <c r="N2155" s="146">
        <f>IF(AND(AND(F2155="",G2155=""),B2155="",C2155="",D2155="",J2155="",K2155="",L2155=""),"",IF(AND(F2155="",G2155=""),"✗ 没填金额",IF(AND(N(F2155)&lt;&gt;0,N(G2155)&lt;&gt;0),"✗ 收入、支出只能填一边",IF(NOT(ISNUMBER(B2155)),"✗ 日期不是真日期（要像 2026/9/25 这样填）",IF(OR(B2155&lt;年初日,B2155&gt;年末日),"✗ 日期不在本会计年度",IF(C2155="","✗ 没选账户",IF(COUNTIF(基础资料!$W$5:$W$24,C2155)=0,"✗ 账户不在基础资料里",IF(O2155="","✗ 没选收支项目",IF(P2155="未知","✗ 收支项目不在基础资料里",IF(AND(P2155="应收",J2155=""),"✗ 这笔要选客户",IF(AND(P2155="应收",COUNTIF(总览汇总!$B$5:$B$304,J2155)=0),"✗ 客户不在总览汇总名单里",IF(AND(P2155="应付",K2155=""),"✗ 这笔要选供应商",IF(AND(P2155="应付",COUNTIF(基础资料!$Q$5:$Q$54,K2155)=0),"✗ 供应商不在基础资料里",IF(AND(P2155="费用",L2155=""),"✗ 费用支出要选费用项目",IF(AND(L2155&lt;&gt;"",COUNTIF(基础资料!$AI$5:$AI$54,L2155)=0),"✗ 费用项目不在基础资料里",IF(AND(IFERROR(INDEX(基础资料!$AD$5:$AD$34,MATCH(O2155,基础资料!$AC$5:$AC$34,0)),"")="收",N(G2155)&lt;&gt;0),"✗ 这类是收款，金额填到收入列",IF(AND(IFERROR(INDEX(基础资料!$AD$5:$AD$34,MATCH(O2155,基础资料!$AC$5:$AC$34,0)),"")="支",N(F2155)&lt;&gt;0),"✗ 这类是付款，金额填到支出列",IF(N(H2155)&lt;0,"⚠ 账户余额成负数了，核对一下","√"))))))))))))))))))</f>
      </c>
      <c r="O2155" s="78">
        <f>IF(D2155&lt;&gt;"",D2155,IF(AND(F2155="",G2155=""),"",IF(J2155&lt;&gt;"",IF(N(F2155)&gt;0,"客户回款","客户退款"),IF(K2155&lt;&gt;"",IF(N(G2155)&gt;0,"供应商付款","供应商退款"),IF(L2155&lt;&gt;"","费用支出","")))))</f>
      </c>
      <c r="P2155" s="78">
        <f>IF(O2155="","",IFERROR(INDEX(基础资料!$AE$5:$AE$34,MATCH(O2155,基础资料!$AC$5:$AC$34,0)),"未知"))</f>
      </c>
      <c r="Q2155" s="78">
        <f>IF(P2155="应收",COUNTIF(P$7:P2155,"应收"),"")</f>
      </c>
      <c r="R2155" s="78">
        <f>IF(P2155="应付",COUNTIF(P$7:P2155,"应付"),"")</f>
      </c>
      <c r="S2155" s="78">
        <f>N(F2155)-N(G2155)</f>
        <v>0</v>
      </c>
    </row>
    <row r="2156">
      <c r="A2156" s="109">
        <f>IF(AND(F2156="",G2156=""),"",ROW()-6)</f>
      </c>
      <c r="B2156" s="140" t="n"/>
      <c r="C2156" s="141" t="n"/>
      <c r="D2156" s="141" t="n"/>
      <c r="E2156" s="142" t="n"/>
      <c r="F2156" s="143" t="n"/>
      <c r="G2156" s="144" t="n"/>
      <c r="H2156" s="145">
        <f>IF(OR(C2156="",AND(F2156="",G2156="")),"",SUMIF(基础资料!$W$5:$W$24,C2156,基础资料!$X$5:$X$24)+SUMIF(C$7:C2156,C2156,F$7:F2156)-SUMIF(C$7:C2156,C2156,G$7:G2156))</f>
      </c>
      <c r="I2156" s="145">
        <f>IF(AND(F2156="",G2156=""),"",SUM(基础资料!$X$5:$X$24)+SUM(F$7:F2156)-SUM(G$7:G2156))</f>
      </c>
      <c r="J2156" s="141" t="n"/>
      <c r="K2156" s="141" t="n"/>
      <c r="L2156" s="141" t="n"/>
      <c r="M2156" s="142" t="n"/>
      <c r="N2156" s="146">
        <f>IF(AND(AND(F2156="",G2156=""),B2156="",C2156="",D2156="",J2156="",K2156="",L2156=""),"",IF(AND(F2156="",G2156=""),"✗ 没填金额",IF(AND(N(F2156)&lt;&gt;0,N(G2156)&lt;&gt;0),"✗ 收入、支出只能填一边",IF(NOT(ISNUMBER(B2156)),"✗ 日期不是真日期（要像 2026/9/25 这样填）",IF(OR(B2156&lt;年初日,B2156&gt;年末日),"✗ 日期不在本会计年度",IF(C2156="","✗ 没选账户",IF(COUNTIF(基础资料!$W$5:$W$24,C2156)=0,"✗ 账户不在基础资料里",IF(O2156="","✗ 没选收支项目",IF(P2156="未知","✗ 收支项目不在基础资料里",IF(AND(P2156="应收",J2156=""),"✗ 这笔要选客户",IF(AND(P2156="应收",COUNTIF(总览汇总!$B$5:$B$304,J2156)=0),"✗ 客户不在总览汇总名单里",IF(AND(P2156="应付",K2156=""),"✗ 这笔要选供应商",IF(AND(P2156="应付",COUNTIF(基础资料!$Q$5:$Q$54,K2156)=0),"✗ 供应商不在基础资料里",IF(AND(P2156="费用",L2156=""),"✗ 费用支出要选费用项目",IF(AND(L2156&lt;&gt;"",COUNTIF(基础资料!$AI$5:$AI$54,L2156)=0),"✗ 费用项目不在基础资料里",IF(AND(IFERROR(INDEX(基础资料!$AD$5:$AD$34,MATCH(O2156,基础资料!$AC$5:$AC$34,0)),"")="收",N(G2156)&lt;&gt;0),"✗ 这类是收款，金额填到收入列",IF(AND(IFERROR(INDEX(基础资料!$AD$5:$AD$34,MATCH(O2156,基础资料!$AC$5:$AC$34,0)),"")="支",N(F2156)&lt;&gt;0),"✗ 这类是付款，金额填到支出列",IF(N(H2156)&lt;0,"⚠ 账户余额成负数了，核对一下","√"))))))))))))))))))</f>
      </c>
      <c r="O2156" s="78">
        <f>IF(D2156&lt;&gt;"",D2156,IF(AND(F2156="",G2156=""),"",IF(J2156&lt;&gt;"",IF(N(F2156)&gt;0,"客户回款","客户退款"),IF(K2156&lt;&gt;"",IF(N(G2156)&gt;0,"供应商付款","供应商退款"),IF(L2156&lt;&gt;"","费用支出","")))))</f>
      </c>
      <c r="P2156" s="78">
        <f>IF(O2156="","",IFERROR(INDEX(基础资料!$AE$5:$AE$34,MATCH(O2156,基础资料!$AC$5:$AC$34,0)),"未知"))</f>
      </c>
      <c r="Q2156" s="78">
        <f>IF(P2156="应收",COUNTIF(P$7:P2156,"应收"),"")</f>
      </c>
      <c r="R2156" s="78">
        <f>IF(P2156="应付",COUNTIF(P$7:P2156,"应付"),"")</f>
      </c>
      <c r="S2156" s="78">
        <f>N(F2156)-N(G2156)</f>
        <v>0</v>
      </c>
    </row>
    <row r="2157">
      <c r="A2157" s="109">
        <f>IF(AND(F2157="",G2157=""),"",ROW()-6)</f>
      </c>
      <c r="B2157" s="140" t="n"/>
      <c r="C2157" s="141" t="n"/>
      <c r="D2157" s="141" t="n"/>
      <c r="E2157" s="142" t="n"/>
      <c r="F2157" s="143" t="n"/>
      <c r="G2157" s="144" t="n"/>
      <c r="H2157" s="145">
        <f>IF(OR(C2157="",AND(F2157="",G2157="")),"",SUMIF(基础资料!$W$5:$W$24,C2157,基础资料!$X$5:$X$24)+SUMIF(C$7:C2157,C2157,F$7:F2157)-SUMIF(C$7:C2157,C2157,G$7:G2157))</f>
      </c>
      <c r="I2157" s="145">
        <f>IF(AND(F2157="",G2157=""),"",SUM(基础资料!$X$5:$X$24)+SUM(F$7:F2157)-SUM(G$7:G2157))</f>
      </c>
      <c r="J2157" s="141" t="n"/>
      <c r="K2157" s="141" t="n"/>
      <c r="L2157" s="141" t="n"/>
      <c r="M2157" s="142" t="n"/>
      <c r="N2157" s="146">
        <f>IF(AND(AND(F2157="",G2157=""),B2157="",C2157="",D2157="",J2157="",K2157="",L2157=""),"",IF(AND(F2157="",G2157=""),"✗ 没填金额",IF(AND(N(F2157)&lt;&gt;0,N(G2157)&lt;&gt;0),"✗ 收入、支出只能填一边",IF(NOT(ISNUMBER(B2157)),"✗ 日期不是真日期（要像 2026/9/25 这样填）",IF(OR(B2157&lt;年初日,B2157&gt;年末日),"✗ 日期不在本会计年度",IF(C2157="","✗ 没选账户",IF(COUNTIF(基础资料!$W$5:$W$24,C2157)=0,"✗ 账户不在基础资料里",IF(O2157="","✗ 没选收支项目",IF(P2157="未知","✗ 收支项目不在基础资料里",IF(AND(P2157="应收",J2157=""),"✗ 这笔要选客户",IF(AND(P2157="应收",COUNTIF(总览汇总!$B$5:$B$304,J2157)=0),"✗ 客户不在总览汇总名单里",IF(AND(P2157="应付",K2157=""),"✗ 这笔要选供应商",IF(AND(P2157="应付",COUNTIF(基础资料!$Q$5:$Q$54,K2157)=0),"✗ 供应商不在基础资料里",IF(AND(P2157="费用",L2157=""),"✗ 费用支出要选费用项目",IF(AND(L2157&lt;&gt;"",COUNTIF(基础资料!$AI$5:$AI$54,L2157)=0),"✗ 费用项目不在基础资料里",IF(AND(IFERROR(INDEX(基础资料!$AD$5:$AD$34,MATCH(O2157,基础资料!$AC$5:$AC$34,0)),"")="收",N(G2157)&lt;&gt;0),"✗ 这类是收款，金额填到收入列",IF(AND(IFERROR(INDEX(基础资料!$AD$5:$AD$34,MATCH(O2157,基础资料!$AC$5:$AC$34,0)),"")="支",N(F2157)&lt;&gt;0),"✗ 这类是付款，金额填到支出列",IF(N(H2157)&lt;0,"⚠ 账户余额成负数了，核对一下","√"))))))))))))))))))</f>
      </c>
      <c r="O2157" s="78">
        <f>IF(D2157&lt;&gt;"",D2157,IF(AND(F2157="",G2157=""),"",IF(J2157&lt;&gt;"",IF(N(F2157)&gt;0,"客户回款","客户退款"),IF(K2157&lt;&gt;"",IF(N(G2157)&gt;0,"供应商付款","供应商退款"),IF(L2157&lt;&gt;"","费用支出","")))))</f>
      </c>
      <c r="P2157" s="78">
        <f>IF(O2157="","",IFERROR(INDEX(基础资料!$AE$5:$AE$34,MATCH(O2157,基础资料!$AC$5:$AC$34,0)),"未知"))</f>
      </c>
      <c r="Q2157" s="78">
        <f>IF(P2157="应收",COUNTIF(P$7:P2157,"应收"),"")</f>
      </c>
      <c r="R2157" s="78">
        <f>IF(P2157="应付",COUNTIF(P$7:P2157,"应付"),"")</f>
      </c>
      <c r="S2157" s="78">
        <f>N(F2157)-N(G2157)</f>
        <v>0</v>
      </c>
    </row>
    <row r="2158">
      <c r="A2158" s="109">
        <f>IF(AND(F2158="",G2158=""),"",ROW()-6)</f>
      </c>
      <c r="B2158" s="140" t="n"/>
      <c r="C2158" s="141" t="n"/>
      <c r="D2158" s="141" t="n"/>
      <c r="E2158" s="142" t="n"/>
      <c r="F2158" s="143" t="n"/>
      <c r="G2158" s="144" t="n"/>
      <c r="H2158" s="145">
        <f>IF(OR(C2158="",AND(F2158="",G2158="")),"",SUMIF(基础资料!$W$5:$W$24,C2158,基础资料!$X$5:$X$24)+SUMIF(C$7:C2158,C2158,F$7:F2158)-SUMIF(C$7:C2158,C2158,G$7:G2158))</f>
      </c>
      <c r="I2158" s="145">
        <f>IF(AND(F2158="",G2158=""),"",SUM(基础资料!$X$5:$X$24)+SUM(F$7:F2158)-SUM(G$7:G2158))</f>
      </c>
      <c r="J2158" s="141" t="n"/>
      <c r="K2158" s="141" t="n"/>
      <c r="L2158" s="141" t="n"/>
      <c r="M2158" s="142" t="n"/>
      <c r="N2158" s="146">
        <f>IF(AND(AND(F2158="",G2158=""),B2158="",C2158="",D2158="",J2158="",K2158="",L2158=""),"",IF(AND(F2158="",G2158=""),"✗ 没填金额",IF(AND(N(F2158)&lt;&gt;0,N(G2158)&lt;&gt;0),"✗ 收入、支出只能填一边",IF(NOT(ISNUMBER(B2158)),"✗ 日期不是真日期（要像 2026/9/25 这样填）",IF(OR(B2158&lt;年初日,B2158&gt;年末日),"✗ 日期不在本会计年度",IF(C2158="","✗ 没选账户",IF(COUNTIF(基础资料!$W$5:$W$24,C2158)=0,"✗ 账户不在基础资料里",IF(O2158="","✗ 没选收支项目",IF(P2158="未知","✗ 收支项目不在基础资料里",IF(AND(P2158="应收",J2158=""),"✗ 这笔要选客户",IF(AND(P2158="应收",COUNTIF(总览汇总!$B$5:$B$304,J2158)=0),"✗ 客户不在总览汇总名单里",IF(AND(P2158="应付",K2158=""),"✗ 这笔要选供应商",IF(AND(P2158="应付",COUNTIF(基础资料!$Q$5:$Q$54,K2158)=0),"✗ 供应商不在基础资料里",IF(AND(P2158="费用",L2158=""),"✗ 费用支出要选费用项目",IF(AND(L2158&lt;&gt;"",COUNTIF(基础资料!$AI$5:$AI$54,L2158)=0),"✗ 费用项目不在基础资料里",IF(AND(IFERROR(INDEX(基础资料!$AD$5:$AD$34,MATCH(O2158,基础资料!$AC$5:$AC$34,0)),"")="收",N(G2158)&lt;&gt;0),"✗ 这类是收款，金额填到收入列",IF(AND(IFERROR(INDEX(基础资料!$AD$5:$AD$34,MATCH(O2158,基础资料!$AC$5:$AC$34,0)),"")="支",N(F2158)&lt;&gt;0),"✗ 这类是付款，金额填到支出列",IF(N(H2158)&lt;0,"⚠ 账户余额成负数了，核对一下","√"))))))))))))))))))</f>
      </c>
      <c r="O2158" s="78">
        <f>IF(D2158&lt;&gt;"",D2158,IF(AND(F2158="",G2158=""),"",IF(J2158&lt;&gt;"",IF(N(F2158)&gt;0,"客户回款","客户退款"),IF(K2158&lt;&gt;"",IF(N(G2158)&gt;0,"供应商付款","供应商退款"),IF(L2158&lt;&gt;"","费用支出","")))))</f>
      </c>
      <c r="P2158" s="78">
        <f>IF(O2158="","",IFERROR(INDEX(基础资料!$AE$5:$AE$34,MATCH(O2158,基础资料!$AC$5:$AC$34,0)),"未知"))</f>
      </c>
      <c r="Q2158" s="78">
        <f>IF(P2158="应收",COUNTIF(P$7:P2158,"应收"),"")</f>
      </c>
      <c r="R2158" s="78">
        <f>IF(P2158="应付",COUNTIF(P$7:P2158,"应付"),"")</f>
      </c>
      <c r="S2158" s="78">
        <f>N(F2158)-N(G2158)</f>
        <v>0</v>
      </c>
    </row>
    <row r="2159">
      <c r="A2159" s="109">
        <f>IF(AND(F2159="",G2159=""),"",ROW()-6)</f>
      </c>
      <c r="B2159" s="140" t="n"/>
      <c r="C2159" s="141" t="n"/>
      <c r="D2159" s="141" t="n"/>
      <c r="E2159" s="142" t="n"/>
      <c r="F2159" s="143" t="n"/>
      <c r="G2159" s="144" t="n"/>
      <c r="H2159" s="145">
        <f>IF(OR(C2159="",AND(F2159="",G2159="")),"",SUMIF(基础资料!$W$5:$W$24,C2159,基础资料!$X$5:$X$24)+SUMIF(C$7:C2159,C2159,F$7:F2159)-SUMIF(C$7:C2159,C2159,G$7:G2159))</f>
      </c>
      <c r="I2159" s="145">
        <f>IF(AND(F2159="",G2159=""),"",SUM(基础资料!$X$5:$X$24)+SUM(F$7:F2159)-SUM(G$7:G2159))</f>
      </c>
      <c r="J2159" s="141" t="n"/>
      <c r="K2159" s="141" t="n"/>
      <c r="L2159" s="141" t="n"/>
      <c r="M2159" s="142" t="n"/>
      <c r="N2159" s="146">
        <f>IF(AND(AND(F2159="",G2159=""),B2159="",C2159="",D2159="",J2159="",K2159="",L2159=""),"",IF(AND(F2159="",G2159=""),"✗ 没填金额",IF(AND(N(F2159)&lt;&gt;0,N(G2159)&lt;&gt;0),"✗ 收入、支出只能填一边",IF(NOT(ISNUMBER(B2159)),"✗ 日期不是真日期（要像 2026/9/25 这样填）",IF(OR(B2159&lt;年初日,B2159&gt;年末日),"✗ 日期不在本会计年度",IF(C2159="","✗ 没选账户",IF(COUNTIF(基础资料!$W$5:$W$24,C2159)=0,"✗ 账户不在基础资料里",IF(O2159="","✗ 没选收支项目",IF(P2159="未知","✗ 收支项目不在基础资料里",IF(AND(P2159="应收",J2159=""),"✗ 这笔要选客户",IF(AND(P2159="应收",COUNTIF(总览汇总!$B$5:$B$304,J2159)=0),"✗ 客户不在总览汇总名单里",IF(AND(P2159="应付",K2159=""),"✗ 这笔要选供应商",IF(AND(P2159="应付",COUNTIF(基础资料!$Q$5:$Q$54,K2159)=0),"✗ 供应商不在基础资料里",IF(AND(P2159="费用",L2159=""),"✗ 费用支出要选费用项目",IF(AND(L2159&lt;&gt;"",COUNTIF(基础资料!$AI$5:$AI$54,L2159)=0),"✗ 费用项目不在基础资料里",IF(AND(IFERROR(INDEX(基础资料!$AD$5:$AD$34,MATCH(O2159,基础资料!$AC$5:$AC$34,0)),"")="收",N(G2159)&lt;&gt;0),"✗ 这类是收款，金额填到收入列",IF(AND(IFERROR(INDEX(基础资料!$AD$5:$AD$34,MATCH(O2159,基础资料!$AC$5:$AC$34,0)),"")="支",N(F2159)&lt;&gt;0),"✗ 这类是付款，金额填到支出列",IF(N(H2159)&lt;0,"⚠ 账户余额成负数了，核对一下","√"))))))))))))))))))</f>
      </c>
      <c r="O2159" s="78">
        <f>IF(D2159&lt;&gt;"",D2159,IF(AND(F2159="",G2159=""),"",IF(J2159&lt;&gt;"",IF(N(F2159)&gt;0,"客户回款","客户退款"),IF(K2159&lt;&gt;"",IF(N(G2159)&gt;0,"供应商付款","供应商退款"),IF(L2159&lt;&gt;"","费用支出","")))))</f>
      </c>
      <c r="P2159" s="78">
        <f>IF(O2159="","",IFERROR(INDEX(基础资料!$AE$5:$AE$34,MATCH(O2159,基础资料!$AC$5:$AC$34,0)),"未知"))</f>
      </c>
      <c r="Q2159" s="78">
        <f>IF(P2159="应收",COUNTIF(P$7:P2159,"应收"),"")</f>
      </c>
      <c r="R2159" s="78">
        <f>IF(P2159="应付",COUNTIF(P$7:P2159,"应付"),"")</f>
      </c>
      <c r="S2159" s="78">
        <f>N(F2159)-N(G2159)</f>
        <v>0</v>
      </c>
    </row>
    <row r="2160">
      <c r="A2160" s="109">
        <f>IF(AND(F2160="",G2160=""),"",ROW()-6)</f>
      </c>
      <c r="B2160" s="140" t="n"/>
      <c r="C2160" s="141" t="n"/>
      <c r="D2160" s="141" t="n"/>
      <c r="E2160" s="142" t="n"/>
      <c r="F2160" s="143" t="n"/>
      <c r="G2160" s="144" t="n"/>
      <c r="H2160" s="145">
        <f>IF(OR(C2160="",AND(F2160="",G2160="")),"",SUMIF(基础资料!$W$5:$W$24,C2160,基础资料!$X$5:$X$24)+SUMIF(C$7:C2160,C2160,F$7:F2160)-SUMIF(C$7:C2160,C2160,G$7:G2160))</f>
      </c>
      <c r="I2160" s="145">
        <f>IF(AND(F2160="",G2160=""),"",SUM(基础资料!$X$5:$X$24)+SUM(F$7:F2160)-SUM(G$7:G2160))</f>
      </c>
      <c r="J2160" s="141" t="n"/>
      <c r="K2160" s="141" t="n"/>
      <c r="L2160" s="141" t="n"/>
      <c r="M2160" s="142" t="n"/>
      <c r="N2160" s="146">
        <f>IF(AND(AND(F2160="",G2160=""),B2160="",C2160="",D2160="",J2160="",K2160="",L2160=""),"",IF(AND(F2160="",G2160=""),"✗ 没填金额",IF(AND(N(F2160)&lt;&gt;0,N(G2160)&lt;&gt;0),"✗ 收入、支出只能填一边",IF(NOT(ISNUMBER(B2160)),"✗ 日期不是真日期（要像 2026/9/25 这样填）",IF(OR(B2160&lt;年初日,B2160&gt;年末日),"✗ 日期不在本会计年度",IF(C2160="","✗ 没选账户",IF(COUNTIF(基础资料!$W$5:$W$24,C2160)=0,"✗ 账户不在基础资料里",IF(O2160="","✗ 没选收支项目",IF(P2160="未知","✗ 收支项目不在基础资料里",IF(AND(P2160="应收",J2160=""),"✗ 这笔要选客户",IF(AND(P2160="应收",COUNTIF(总览汇总!$B$5:$B$304,J2160)=0),"✗ 客户不在总览汇总名单里",IF(AND(P2160="应付",K2160=""),"✗ 这笔要选供应商",IF(AND(P2160="应付",COUNTIF(基础资料!$Q$5:$Q$54,K2160)=0),"✗ 供应商不在基础资料里",IF(AND(P2160="费用",L2160=""),"✗ 费用支出要选费用项目",IF(AND(L2160&lt;&gt;"",COUNTIF(基础资料!$AI$5:$AI$54,L2160)=0),"✗ 费用项目不在基础资料里",IF(AND(IFERROR(INDEX(基础资料!$AD$5:$AD$34,MATCH(O2160,基础资料!$AC$5:$AC$34,0)),"")="收",N(G2160)&lt;&gt;0),"✗ 这类是收款，金额填到收入列",IF(AND(IFERROR(INDEX(基础资料!$AD$5:$AD$34,MATCH(O2160,基础资料!$AC$5:$AC$34,0)),"")="支",N(F2160)&lt;&gt;0),"✗ 这类是付款，金额填到支出列",IF(N(H2160)&lt;0,"⚠ 账户余额成负数了，核对一下","√"))))))))))))))))))</f>
      </c>
      <c r="O2160" s="78">
        <f>IF(D2160&lt;&gt;"",D2160,IF(AND(F2160="",G2160=""),"",IF(J2160&lt;&gt;"",IF(N(F2160)&gt;0,"客户回款","客户退款"),IF(K2160&lt;&gt;"",IF(N(G2160)&gt;0,"供应商付款","供应商退款"),IF(L2160&lt;&gt;"","费用支出","")))))</f>
      </c>
      <c r="P2160" s="78">
        <f>IF(O2160="","",IFERROR(INDEX(基础资料!$AE$5:$AE$34,MATCH(O2160,基础资料!$AC$5:$AC$34,0)),"未知"))</f>
      </c>
      <c r="Q2160" s="78">
        <f>IF(P2160="应收",COUNTIF(P$7:P2160,"应收"),"")</f>
      </c>
      <c r="R2160" s="78">
        <f>IF(P2160="应付",COUNTIF(P$7:P2160,"应付"),"")</f>
      </c>
      <c r="S2160" s="78">
        <f>N(F2160)-N(G2160)</f>
        <v>0</v>
      </c>
    </row>
    <row r="2161">
      <c r="A2161" s="109">
        <f>IF(AND(F2161="",G2161=""),"",ROW()-6)</f>
      </c>
      <c r="B2161" s="140" t="n"/>
      <c r="C2161" s="141" t="n"/>
      <c r="D2161" s="141" t="n"/>
      <c r="E2161" s="142" t="n"/>
      <c r="F2161" s="143" t="n"/>
      <c r="G2161" s="144" t="n"/>
      <c r="H2161" s="145">
        <f>IF(OR(C2161="",AND(F2161="",G2161="")),"",SUMIF(基础资料!$W$5:$W$24,C2161,基础资料!$X$5:$X$24)+SUMIF(C$7:C2161,C2161,F$7:F2161)-SUMIF(C$7:C2161,C2161,G$7:G2161))</f>
      </c>
      <c r="I2161" s="145">
        <f>IF(AND(F2161="",G2161=""),"",SUM(基础资料!$X$5:$X$24)+SUM(F$7:F2161)-SUM(G$7:G2161))</f>
      </c>
      <c r="J2161" s="141" t="n"/>
      <c r="K2161" s="141" t="n"/>
      <c r="L2161" s="141" t="n"/>
      <c r="M2161" s="142" t="n"/>
      <c r="N2161" s="146">
        <f>IF(AND(AND(F2161="",G2161=""),B2161="",C2161="",D2161="",J2161="",K2161="",L2161=""),"",IF(AND(F2161="",G2161=""),"✗ 没填金额",IF(AND(N(F2161)&lt;&gt;0,N(G2161)&lt;&gt;0),"✗ 收入、支出只能填一边",IF(NOT(ISNUMBER(B2161)),"✗ 日期不是真日期（要像 2026/9/25 这样填）",IF(OR(B2161&lt;年初日,B2161&gt;年末日),"✗ 日期不在本会计年度",IF(C2161="","✗ 没选账户",IF(COUNTIF(基础资料!$W$5:$W$24,C2161)=0,"✗ 账户不在基础资料里",IF(O2161="","✗ 没选收支项目",IF(P2161="未知","✗ 收支项目不在基础资料里",IF(AND(P2161="应收",J2161=""),"✗ 这笔要选客户",IF(AND(P2161="应收",COUNTIF(总览汇总!$B$5:$B$304,J2161)=0),"✗ 客户不在总览汇总名单里",IF(AND(P2161="应付",K2161=""),"✗ 这笔要选供应商",IF(AND(P2161="应付",COUNTIF(基础资料!$Q$5:$Q$54,K2161)=0),"✗ 供应商不在基础资料里",IF(AND(P2161="费用",L2161=""),"✗ 费用支出要选费用项目",IF(AND(L2161&lt;&gt;"",COUNTIF(基础资料!$AI$5:$AI$54,L2161)=0),"✗ 费用项目不在基础资料里",IF(AND(IFERROR(INDEX(基础资料!$AD$5:$AD$34,MATCH(O2161,基础资料!$AC$5:$AC$34,0)),"")="收",N(G2161)&lt;&gt;0),"✗ 这类是收款，金额填到收入列",IF(AND(IFERROR(INDEX(基础资料!$AD$5:$AD$34,MATCH(O2161,基础资料!$AC$5:$AC$34,0)),"")="支",N(F2161)&lt;&gt;0),"✗ 这类是付款，金额填到支出列",IF(N(H2161)&lt;0,"⚠ 账户余额成负数了，核对一下","√"))))))))))))))))))</f>
      </c>
      <c r="O2161" s="78">
        <f>IF(D2161&lt;&gt;"",D2161,IF(AND(F2161="",G2161=""),"",IF(J2161&lt;&gt;"",IF(N(F2161)&gt;0,"客户回款","客户退款"),IF(K2161&lt;&gt;"",IF(N(G2161)&gt;0,"供应商付款","供应商退款"),IF(L2161&lt;&gt;"","费用支出","")))))</f>
      </c>
      <c r="P2161" s="78">
        <f>IF(O2161="","",IFERROR(INDEX(基础资料!$AE$5:$AE$34,MATCH(O2161,基础资料!$AC$5:$AC$34,0)),"未知"))</f>
      </c>
      <c r="Q2161" s="78">
        <f>IF(P2161="应收",COUNTIF(P$7:P2161,"应收"),"")</f>
      </c>
      <c r="R2161" s="78">
        <f>IF(P2161="应付",COUNTIF(P$7:P2161,"应付"),"")</f>
      </c>
      <c r="S2161" s="78">
        <f>N(F2161)-N(G2161)</f>
        <v>0</v>
      </c>
    </row>
    <row r="2162">
      <c r="A2162" s="109">
        <f>IF(AND(F2162="",G2162=""),"",ROW()-6)</f>
      </c>
      <c r="B2162" s="140" t="n"/>
      <c r="C2162" s="141" t="n"/>
      <c r="D2162" s="141" t="n"/>
      <c r="E2162" s="142" t="n"/>
      <c r="F2162" s="143" t="n"/>
      <c r="G2162" s="144" t="n"/>
      <c r="H2162" s="145">
        <f>IF(OR(C2162="",AND(F2162="",G2162="")),"",SUMIF(基础资料!$W$5:$W$24,C2162,基础资料!$X$5:$X$24)+SUMIF(C$7:C2162,C2162,F$7:F2162)-SUMIF(C$7:C2162,C2162,G$7:G2162))</f>
      </c>
      <c r="I2162" s="145">
        <f>IF(AND(F2162="",G2162=""),"",SUM(基础资料!$X$5:$X$24)+SUM(F$7:F2162)-SUM(G$7:G2162))</f>
      </c>
      <c r="J2162" s="141" t="n"/>
      <c r="K2162" s="141" t="n"/>
      <c r="L2162" s="141" t="n"/>
      <c r="M2162" s="142" t="n"/>
      <c r="N2162" s="146">
        <f>IF(AND(AND(F2162="",G2162=""),B2162="",C2162="",D2162="",J2162="",K2162="",L2162=""),"",IF(AND(F2162="",G2162=""),"✗ 没填金额",IF(AND(N(F2162)&lt;&gt;0,N(G2162)&lt;&gt;0),"✗ 收入、支出只能填一边",IF(NOT(ISNUMBER(B2162)),"✗ 日期不是真日期（要像 2026/9/25 这样填）",IF(OR(B2162&lt;年初日,B2162&gt;年末日),"✗ 日期不在本会计年度",IF(C2162="","✗ 没选账户",IF(COUNTIF(基础资料!$W$5:$W$24,C2162)=0,"✗ 账户不在基础资料里",IF(O2162="","✗ 没选收支项目",IF(P2162="未知","✗ 收支项目不在基础资料里",IF(AND(P2162="应收",J2162=""),"✗ 这笔要选客户",IF(AND(P2162="应收",COUNTIF(总览汇总!$B$5:$B$304,J2162)=0),"✗ 客户不在总览汇总名单里",IF(AND(P2162="应付",K2162=""),"✗ 这笔要选供应商",IF(AND(P2162="应付",COUNTIF(基础资料!$Q$5:$Q$54,K2162)=0),"✗ 供应商不在基础资料里",IF(AND(P2162="费用",L2162=""),"✗ 费用支出要选费用项目",IF(AND(L2162&lt;&gt;"",COUNTIF(基础资料!$AI$5:$AI$54,L2162)=0),"✗ 费用项目不在基础资料里",IF(AND(IFERROR(INDEX(基础资料!$AD$5:$AD$34,MATCH(O2162,基础资料!$AC$5:$AC$34,0)),"")="收",N(G2162)&lt;&gt;0),"✗ 这类是收款，金额填到收入列",IF(AND(IFERROR(INDEX(基础资料!$AD$5:$AD$34,MATCH(O2162,基础资料!$AC$5:$AC$34,0)),"")="支",N(F2162)&lt;&gt;0),"✗ 这类是付款，金额填到支出列",IF(N(H2162)&lt;0,"⚠ 账户余额成负数了，核对一下","√"))))))))))))))))))</f>
      </c>
      <c r="O2162" s="78">
        <f>IF(D2162&lt;&gt;"",D2162,IF(AND(F2162="",G2162=""),"",IF(J2162&lt;&gt;"",IF(N(F2162)&gt;0,"客户回款","客户退款"),IF(K2162&lt;&gt;"",IF(N(G2162)&gt;0,"供应商付款","供应商退款"),IF(L2162&lt;&gt;"","费用支出","")))))</f>
      </c>
      <c r="P2162" s="78">
        <f>IF(O2162="","",IFERROR(INDEX(基础资料!$AE$5:$AE$34,MATCH(O2162,基础资料!$AC$5:$AC$34,0)),"未知"))</f>
      </c>
      <c r="Q2162" s="78">
        <f>IF(P2162="应收",COUNTIF(P$7:P2162,"应收"),"")</f>
      </c>
      <c r="R2162" s="78">
        <f>IF(P2162="应付",COUNTIF(P$7:P2162,"应付"),"")</f>
      </c>
      <c r="S2162" s="78">
        <f>N(F2162)-N(G2162)</f>
        <v>0</v>
      </c>
    </row>
    <row r="2163">
      <c r="A2163" s="109">
        <f>IF(AND(F2163="",G2163=""),"",ROW()-6)</f>
      </c>
      <c r="B2163" s="140" t="n"/>
      <c r="C2163" s="141" t="n"/>
      <c r="D2163" s="141" t="n"/>
      <c r="E2163" s="142" t="n"/>
      <c r="F2163" s="143" t="n"/>
      <c r="G2163" s="144" t="n"/>
      <c r="H2163" s="145">
        <f>IF(OR(C2163="",AND(F2163="",G2163="")),"",SUMIF(基础资料!$W$5:$W$24,C2163,基础资料!$X$5:$X$24)+SUMIF(C$7:C2163,C2163,F$7:F2163)-SUMIF(C$7:C2163,C2163,G$7:G2163))</f>
      </c>
      <c r="I2163" s="145">
        <f>IF(AND(F2163="",G2163=""),"",SUM(基础资料!$X$5:$X$24)+SUM(F$7:F2163)-SUM(G$7:G2163))</f>
      </c>
      <c r="J2163" s="141" t="n"/>
      <c r="K2163" s="141" t="n"/>
      <c r="L2163" s="141" t="n"/>
      <c r="M2163" s="142" t="n"/>
      <c r="N2163" s="146">
        <f>IF(AND(AND(F2163="",G2163=""),B2163="",C2163="",D2163="",J2163="",K2163="",L2163=""),"",IF(AND(F2163="",G2163=""),"✗ 没填金额",IF(AND(N(F2163)&lt;&gt;0,N(G2163)&lt;&gt;0),"✗ 收入、支出只能填一边",IF(NOT(ISNUMBER(B2163)),"✗ 日期不是真日期（要像 2026/9/25 这样填）",IF(OR(B2163&lt;年初日,B2163&gt;年末日),"✗ 日期不在本会计年度",IF(C2163="","✗ 没选账户",IF(COUNTIF(基础资料!$W$5:$W$24,C2163)=0,"✗ 账户不在基础资料里",IF(O2163="","✗ 没选收支项目",IF(P2163="未知","✗ 收支项目不在基础资料里",IF(AND(P2163="应收",J2163=""),"✗ 这笔要选客户",IF(AND(P2163="应收",COUNTIF(总览汇总!$B$5:$B$304,J2163)=0),"✗ 客户不在总览汇总名单里",IF(AND(P2163="应付",K2163=""),"✗ 这笔要选供应商",IF(AND(P2163="应付",COUNTIF(基础资料!$Q$5:$Q$54,K2163)=0),"✗ 供应商不在基础资料里",IF(AND(P2163="费用",L2163=""),"✗ 费用支出要选费用项目",IF(AND(L2163&lt;&gt;"",COUNTIF(基础资料!$AI$5:$AI$54,L2163)=0),"✗ 费用项目不在基础资料里",IF(AND(IFERROR(INDEX(基础资料!$AD$5:$AD$34,MATCH(O2163,基础资料!$AC$5:$AC$34,0)),"")="收",N(G2163)&lt;&gt;0),"✗ 这类是收款，金额填到收入列",IF(AND(IFERROR(INDEX(基础资料!$AD$5:$AD$34,MATCH(O2163,基础资料!$AC$5:$AC$34,0)),"")="支",N(F2163)&lt;&gt;0),"✗ 这类是付款，金额填到支出列",IF(N(H2163)&lt;0,"⚠ 账户余额成负数了，核对一下","√"))))))))))))))))))</f>
      </c>
      <c r="O2163" s="78">
        <f>IF(D2163&lt;&gt;"",D2163,IF(AND(F2163="",G2163=""),"",IF(J2163&lt;&gt;"",IF(N(F2163)&gt;0,"客户回款","客户退款"),IF(K2163&lt;&gt;"",IF(N(G2163)&gt;0,"供应商付款","供应商退款"),IF(L2163&lt;&gt;"","费用支出","")))))</f>
      </c>
      <c r="P2163" s="78">
        <f>IF(O2163="","",IFERROR(INDEX(基础资料!$AE$5:$AE$34,MATCH(O2163,基础资料!$AC$5:$AC$34,0)),"未知"))</f>
      </c>
      <c r="Q2163" s="78">
        <f>IF(P2163="应收",COUNTIF(P$7:P2163,"应收"),"")</f>
      </c>
      <c r="R2163" s="78">
        <f>IF(P2163="应付",COUNTIF(P$7:P2163,"应付"),"")</f>
      </c>
      <c r="S2163" s="78">
        <f>N(F2163)-N(G2163)</f>
        <v>0</v>
      </c>
    </row>
    <row r="2164">
      <c r="A2164" s="109">
        <f>IF(AND(F2164="",G2164=""),"",ROW()-6)</f>
      </c>
      <c r="B2164" s="140" t="n"/>
      <c r="C2164" s="141" t="n"/>
      <c r="D2164" s="141" t="n"/>
      <c r="E2164" s="142" t="n"/>
      <c r="F2164" s="143" t="n"/>
      <c r="G2164" s="144" t="n"/>
      <c r="H2164" s="145">
        <f>IF(OR(C2164="",AND(F2164="",G2164="")),"",SUMIF(基础资料!$W$5:$W$24,C2164,基础资料!$X$5:$X$24)+SUMIF(C$7:C2164,C2164,F$7:F2164)-SUMIF(C$7:C2164,C2164,G$7:G2164))</f>
      </c>
      <c r="I2164" s="145">
        <f>IF(AND(F2164="",G2164=""),"",SUM(基础资料!$X$5:$X$24)+SUM(F$7:F2164)-SUM(G$7:G2164))</f>
      </c>
      <c r="J2164" s="141" t="n"/>
      <c r="K2164" s="141" t="n"/>
      <c r="L2164" s="141" t="n"/>
      <c r="M2164" s="142" t="n"/>
      <c r="N2164" s="146">
        <f>IF(AND(AND(F2164="",G2164=""),B2164="",C2164="",D2164="",J2164="",K2164="",L2164=""),"",IF(AND(F2164="",G2164=""),"✗ 没填金额",IF(AND(N(F2164)&lt;&gt;0,N(G2164)&lt;&gt;0),"✗ 收入、支出只能填一边",IF(NOT(ISNUMBER(B2164)),"✗ 日期不是真日期（要像 2026/9/25 这样填）",IF(OR(B2164&lt;年初日,B2164&gt;年末日),"✗ 日期不在本会计年度",IF(C2164="","✗ 没选账户",IF(COUNTIF(基础资料!$W$5:$W$24,C2164)=0,"✗ 账户不在基础资料里",IF(O2164="","✗ 没选收支项目",IF(P2164="未知","✗ 收支项目不在基础资料里",IF(AND(P2164="应收",J2164=""),"✗ 这笔要选客户",IF(AND(P2164="应收",COUNTIF(总览汇总!$B$5:$B$304,J2164)=0),"✗ 客户不在总览汇总名单里",IF(AND(P2164="应付",K2164=""),"✗ 这笔要选供应商",IF(AND(P2164="应付",COUNTIF(基础资料!$Q$5:$Q$54,K2164)=0),"✗ 供应商不在基础资料里",IF(AND(P2164="费用",L2164=""),"✗ 费用支出要选费用项目",IF(AND(L2164&lt;&gt;"",COUNTIF(基础资料!$AI$5:$AI$54,L2164)=0),"✗ 费用项目不在基础资料里",IF(AND(IFERROR(INDEX(基础资料!$AD$5:$AD$34,MATCH(O2164,基础资料!$AC$5:$AC$34,0)),"")="收",N(G2164)&lt;&gt;0),"✗ 这类是收款，金额填到收入列",IF(AND(IFERROR(INDEX(基础资料!$AD$5:$AD$34,MATCH(O2164,基础资料!$AC$5:$AC$34,0)),"")="支",N(F2164)&lt;&gt;0),"✗ 这类是付款，金额填到支出列",IF(N(H2164)&lt;0,"⚠ 账户余额成负数了，核对一下","√"))))))))))))))))))</f>
      </c>
      <c r="O2164" s="78">
        <f>IF(D2164&lt;&gt;"",D2164,IF(AND(F2164="",G2164=""),"",IF(J2164&lt;&gt;"",IF(N(F2164)&gt;0,"客户回款","客户退款"),IF(K2164&lt;&gt;"",IF(N(G2164)&gt;0,"供应商付款","供应商退款"),IF(L2164&lt;&gt;"","费用支出","")))))</f>
      </c>
      <c r="P2164" s="78">
        <f>IF(O2164="","",IFERROR(INDEX(基础资料!$AE$5:$AE$34,MATCH(O2164,基础资料!$AC$5:$AC$34,0)),"未知"))</f>
      </c>
      <c r="Q2164" s="78">
        <f>IF(P2164="应收",COUNTIF(P$7:P2164,"应收"),"")</f>
      </c>
      <c r="R2164" s="78">
        <f>IF(P2164="应付",COUNTIF(P$7:P2164,"应付"),"")</f>
      </c>
      <c r="S2164" s="78">
        <f>N(F2164)-N(G2164)</f>
        <v>0</v>
      </c>
    </row>
    <row r="2165">
      <c r="A2165" s="109">
        <f>IF(AND(F2165="",G2165=""),"",ROW()-6)</f>
      </c>
      <c r="B2165" s="140" t="n"/>
      <c r="C2165" s="141" t="n"/>
      <c r="D2165" s="141" t="n"/>
      <c r="E2165" s="142" t="n"/>
      <c r="F2165" s="143" t="n"/>
      <c r="G2165" s="144" t="n"/>
      <c r="H2165" s="145">
        <f>IF(OR(C2165="",AND(F2165="",G2165="")),"",SUMIF(基础资料!$W$5:$W$24,C2165,基础资料!$X$5:$X$24)+SUMIF(C$7:C2165,C2165,F$7:F2165)-SUMIF(C$7:C2165,C2165,G$7:G2165))</f>
      </c>
      <c r="I2165" s="145">
        <f>IF(AND(F2165="",G2165=""),"",SUM(基础资料!$X$5:$X$24)+SUM(F$7:F2165)-SUM(G$7:G2165))</f>
      </c>
      <c r="J2165" s="141" t="n"/>
      <c r="K2165" s="141" t="n"/>
      <c r="L2165" s="141" t="n"/>
      <c r="M2165" s="142" t="n"/>
      <c r="N2165" s="146">
        <f>IF(AND(AND(F2165="",G2165=""),B2165="",C2165="",D2165="",J2165="",K2165="",L2165=""),"",IF(AND(F2165="",G2165=""),"✗ 没填金额",IF(AND(N(F2165)&lt;&gt;0,N(G2165)&lt;&gt;0),"✗ 收入、支出只能填一边",IF(NOT(ISNUMBER(B2165)),"✗ 日期不是真日期（要像 2026/9/25 这样填）",IF(OR(B2165&lt;年初日,B2165&gt;年末日),"✗ 日期不在本会计年度",IF(C2165="","✗ 没选账户",IF(COUNTIF(基础资料!$W$5:$W$24,C2165)=0,"✗ 账户不在基础资料里",IF(O2165="","✗ 没选收支项目",IF(P2165="未知","✗ 收支项目不在基础资料里",IF(AND(P2165="应收",J2165=""),"✗ 这笔要选客户",IF(AND(P2165="应收",COUNTIF(总览汇总!$B$5:$B$304,J2165)=0),"✗ 客户不在总览汇总名单里",IF(AND(P2165="应付",K2165=""),"✗ 这笔要选供应商",IF(AND(P2165="应付",COUNTIF(基础资料!$Q$5:$Q$54,K2165)=0),"✗ 供应商不在基础资料里",IF(AND(P2165="费用",L2165=""),"✗ 费用支出要选费用项目",IF(AND(L2165&lt;&gt;"",COUNTIF(基础资料!$AI$5:$AI$54,L2165)=0),"✗ 费用项目不在基础资料里",IF(AND(IFERROR(INDEX(基础资料!$AD$5:$AD$34,MATCH(O2165,基础资料!$AC$5:$AC$34,0)),"")="收",N(G2165)&lt;&gt;0),"✗ 这类是收款，金额填到收入列",IF(AND(IFERROR(INDEX(基础资料!$AD$5:$AD$34,MATCH(O2165,基础资料!$AC$5:$AC$34,0)),"")="支",N(F2165)&lt;&gt;0),"✗ 这类是付款，金额填到支出列",IF(N(H2165)&lt;0,"⚠ 账户余额成负数了，核对一下","√"))))))))))))))))))</f>
      </c>
      <c r="O2165" s="78">
        <f>IF(D2165&lt;&gt;"",D2165,IF(AND(F2165="",G2165=""),"",IF(J2165&lt;&gt;"",IF(N(F2165)&gt;0,"客户回款","客户退款"),IF(K2165&lt;&gt;"",IF(N(G2165)&gt;0,"供应商付款","供应商退款"),IF(L2165&lt;&gt;"","费用支出","")))))</f>
      </c>
      <c r="P2165" s="78">
        <f>IF(O2165="","",IFERROR(INDEX(基础资料!$AE$5:$AE$34,MATCH(O2165,基础资料!$AC$5:$AC$34,0)),"未知"))</f>
      </c>
      <c r="Q2165" s="78">
        <f>IF(P2165="应收",COUNTIF(P$7:P2165,"应收"),"")</f>
      </c>
      <c r="R2165" s="78">
        <f>IF(P2165="应付",COUNTIF(P$7:P2165,"应付"),"")</f>
      </c>
      <c r="S2165" s="78">
        <f>N(F2165)-N(G2165)</f>
        <v>0</v>
      </c>
    </row>
    <row r="2166">
      <c r="A2166" s="109">
        <f>IF(AND(F2166="",G2166=""),"",ROW()-6)</f>
      </c>
      <c r="B2166" s="140" t="n"/>
      <c r="C2166" s="141" t="n"/>
      <c r="D2166" s="141" t="n"/>
      <c r="E2166" s="142" t="n"/>
      <c r="F2166" s="143" t="n"/>
      <c r="G2166" s="144" t="n"/>
      <c r="H2166" s="145">
        <f>IF(OR(C2166="",AND(F2166="",G2166="")),"",SUMIF(基础资料!$W$5:$W$24,C2166,基础资料!$X$5:$X$24)+SUMIF(C$7:C2166,C2166,F$7:F2166)-SUMIF(C$7:C2166,C2166,G$7:G2166))</f>
      </c>
      <c r="I2166" s="145">
        <f>IF(AND(F2166="",G2166=""),"",SUM(基础资料!$X$5:$X$24)+SUM(F$7:F2166)-SUM(G$7:G2166))</f>
      </c>
      <c r="J2166" s="141" t="n"/>
      <c r="K2166" s="141" t="n"/>
      <c r="L2166" s="141" t="n"/>
      <c r="M2166" s="142" t="n"/>
      <c r="N2166" s="146">
        <f>IF(AND(AND(F2166="",G2166=""),B2166="",C2166="",D2166="",J2166="",K2166="",L2166=""),"",IF(AND(F2166="",G2166=""),"✗ 没填金额",IF(AND(N(F2166)&lt;&gt;0,N(G2166)&lt;&gt;0),"✗ 收入、支出只能填一边",IF(NOT(ISNUMBER(B2166)),"✗ 日期不是真日期（要像 2026/9/25 这样填）",IF(OR(B2166&lt;年初日,B2166&gt;年末日),"✗ 日期不在本会计年度",IF(C2166="","✗ 没选账户",IF(COUNTIF(基础资料!$W$5:$W$24,C2166)=0,"✗ 账户不在基础资料里",IF(O2166="","✗ 没选收支项目",IF(P2166="未知","✗ 收支项目不在基础资料里",IF(AND(P2166="应收",J2166=""),"✗ 这笔要选客户",IF(AND(P2166="应收",COUNTIF(总览汇总!$B$5:$B$304,J2166)=0),"✗ 客户不在总览汇总名单里",IF(AND(P2166="应付",K2166=""),"✗ 这笔要选供应商",IF(AND(P2166="应付",COUNTIF(基础资料!$Q$5:$Q$54,K2166)=0),"✗ 供应商不在基础资料里",IF(AND(P2166="费用",L2166=""),"✗ 费用支出要选费用项目",IF(AND(L2166&lt;&gt;"",COUNTIF(基础资料!$AI$5:$AI$54,L2166)=0),"✗ 费用项目不在基础资料里",IF(AND(IFERROR(INDEX(基础资料!$AD$5:$AD$34,MATCH(O2166,基础资料!$AC$5:$AC$34,0)),"")="收",N(G2166)&lt;&gt;0),"✗ 这类是收款，金额填到收入列",IF(AND(IFERROR(INDEX(基础资料!$AD$5:$AD$34,MATCH(O2166,基础资料!$AC$5:$AC$34,0)),"")="支",N(F2166)&lt;&gt;0),"✗ 这类是付款，金额填到支出列",IF(N(H2166)&lt;0,"⚠ 账户余额成负数了，核对一下","√"))))))))))))))))))</f>
      </c>
      <c r="O2166" s="78">
        <f>IF(D2166&lt;&gt;"",D2166,IF(AND(F2166="",G2166=""),"",IF(J2166&lt;&gt;"",IF(N(F2166)&gt;0,"客户回款","客户退款"),IF(K2166&lt;&gt;"",IF(N(G2166)&gt;0,"供应商付款","供应商退款"),IF(L2166&lt;&gt;"","费用支出","")))))</f>
      </c>
      <c r="P2166" s="78">
        <f>IF(O2166="","",IFERROR(INDEX(基础资料!$AE$5:$AE$34,MATCH(O2166,基础资料!$AC$5:$AC$34,0)),"未知"))</f>
      </c>
      <c r="Q2166" s="78">
        <f>IF(P2166="应收",COUNTIF(P$7:P2166,"应收"),"")</f>
      </c>
      <c r="R2166" s="78">
        <f>IF(P2166="应付",COUNTIF(P$7:P2166,"应付"),"")</f>
      </c>
      <c r="S2166" s="78">
        <f>N(F2166)-N(G2166)</f>
        <v>0</v>
      </c>
    </row>
    <row r="2167">
      <c r="A2167" s="109">
        <f>IF(AND(F2167="",G2167=""),"",ROW()-6)</f>
      </c>
      <c r="B2167" s="140" t="n"/>
      <c r="C2167" s="141" t="n"/>
      <c r="D2167" s="141" t="n"/>
      <c r="E2167" s="142" t="n"/>
      <c r="F2167" s="143" t="n"/>
      <c r="G2167" s="144" t="n"/>
      <c r="H2167" s="145">
        <f>IF(OR(C2167="",AND(F2167="",G2167="")),"",SUMIF(基础资料!$W$5:$W$24,C2167,基础资料!$X$5:$X$24)+SUMIF(C$7:C2167,C2167,F$7:F2167)-SUMIF(C$7:C2167,C2167,G$7:G2167))</f>
      </c>
      <c r="I2167" s="145">
        <f>IF(AND(F2167="",G2167=""),"",SUM(基础资料!$X$5:$X$24)+SUM(F$7:F2167)-SUM(G$7:G2167))</f>
      </c>
      <c r="J2167" s="141" t="n"/>
      <c r="K2167" s="141" t="n"/>
      <c r="L2167" s="141" t="n"/>
      <c r="M2167" s="142" t="n"/>
      <c r="N2167" s="146">
        <f>IF(AND(AND(F2167="",G2167=""),B2167="",C2167="",D2167="",J2167="",K2167="",L2167=""),"",IF(AND(F2167="",G2167=""),"✗ 没填金额",IF(AND(N(F2167)&lt;&gt;0,N(G2167)&lt;&gt;0),"✗ 收入、支出只能填一边",IF(NOT(ISNUMBER(B2167)),"✗ 日期不是真日期（要像 2026/9/25 这样填）",IF(OR(B2167&lt;年初日,B2167&gt;年末日),"✗ 日期不在本会计年度",IF(C2167="","✗ 没选账户",IF(COUNTIF(基础资料!$W$5:$W$24,C2167)=0,"✗ 账户不在基础资料里",IF(O2167="","✗ 没选收支项目",IF(P2167="未知","✗ 收支项目不在基础资料里",IF(AND(P2167="应收",J2167=""),"✗ 这笔要选客户",IF(AND(P2167="应收",COUNTIF(总览汇总!$B$5:$B$304,J2167)=0),"✗ 客户不在总览汇总名单里",IF(AND(P2167="应付",K2167=""),"✗ 这笔要选供应商",IF(AND(P2167="应付",COUNTIF(基础资料!$Q$5:$Q$54,K2167)=0),"✗ 供应商不在基础资料里",IF(AND(P2167="费用",L2167=""),"✗ 费用支出要选费用项目",IF(AND(L2167&lt;&gt;"",COUNTIF(基础资料!$AI$5:$AI$54,L2167)=0),"✗ 费用项目不在基础资料里",IF(AND(IFERROR(INDEX(基础资料!$AD$5:$AD$34,MATCH(O2167,基础资料!$AC$5:$AC$34,0)),"")="收",N(G2167)&lt;&gt;0),"✗ 这类是收款，金额填到收入列",IF(AND(IFERROR(INDEX(基础资料!$AD$5:$AD$34,MATCH(O2167,基础资料!$AC$5:$AC$34,0)),"")="支",N(F2167)&lt;&gt;0),"✗ 这类是付款，金额填到支出列",IF(N(H2167)&lt;0,"⚠ 账户余额成负数了，核对一下","√"))))))))))))))))))</f>
      </c>
      <c r="O2167" s="78">
        <f>IF(D2167&lt;&gt;"",D2167,IF(AND(F2167="",G2167=""),"",IF(J2167&lt;&gt;"",IF(N(F2167)&gt;0,"客户回款","客户退款"),IF(K2167&lt;&gt;"",IF(N(G2167)&gt;0,"供应商付款","供应商退款"),IF(L2167&lt;&gt;"","费用支出","")))))</f>
      </c>
      <c r="P2167" s="78">
        <f>IF(O2167="","",IFERROR(INDEX(基础资料!$AE$5:$AE$34,MATCH(O2167,基础资料!$AC$5:$AC$34,0)),"未知"))</f>
      </c>
      <c r="Q2167" s="78">
        <f>IF(P2167="应收",COUNTIF(P$7:P2167,"应收"),"")</f>
      </c>
      <c r="R2167" s="78">
        <f>IF(P2167="应付",COUNTIF(P$7:P2167,"应付"),"")</f>
      </c>
      <c r="S2167" s="78">
        <f>N(F2167)-N(G2167)</f>
        <v>0</v>
      </c>
    </row>
    <row r="2168">
      <c r="A2168" s="109">
        <f>IF(AND(F2168="",G2168=""),"",ROW()-6)</f>
      </c>
      <c r="B2168" s="140" t="n"/>
      <c r="C2168" s="141" t="n"/>
      <c r="D2168" s="141" t="n"/>
      <c r="E2168" s="142" t="n"/>
      <c r="F2168" s="143" t="n"/>
      <c r="G2168" s="144" t="n"/>
      <c r="H2168" s="145">
        <f>IF(OR(C2168="",AND(F2168="",G2168="")),"",SUMIF(基础资料!$W$5:$W$24,C2168,基础资料!$X$5:$X$24)+SUMIF(C$7:C2168,C2168,F$7:F2168)-SUMIF(C$7:C2168,C2168,G$7:G2168))</f>
      </c>
      <c r="I2168" s="145">
        <f>IF(AND(F2168="",G2168=""),"",SUM(基础资料!$X$5:$X$24)+SUM(F$7:F2168)-SUM(G$7:G2168))</f>
      </c>
      <c r="J2168" s="141" t="n"/>
      <c r="K2168" s="141" t="n"/>
      <c r="L2168" s="141" t="n"/>
      <c r="M2168" s="142" t="n"/>
      <c r="N2168" s="146">
        <f>IF(AND(AND(F2168="",G2168=""),B2168="",C2168="",D2168="",J2168="",K2168="",L2168=""),"",IF(AND(F2168="",G2168=""),"✗ 没填金额",IF(AND(N(F2168)&lt;&gt;0,N(G2168)&lt;&gt;0),"✗ 收入、支出只能填一边",IF(NOT(ISNUMBER(B2168)),"✗ 日期不是真日期（要像 2026/9/25 这样填）",IF(OR(B2168&lt;年初日,B2168&gt;年末日),"✗ 日期不在本会计年度",IF(C2168="","✗ 没选账户",IF(COUNTIF(基础资料!$W$5:$W$24,C2168)=0,"✗ 账户不在基础资料里",IF(O2168="","✗ 没选收支项目",IF(P2168="未知","✗ 收支项目不在基础资料里",IF(AND(P2168="应收",J2168=""),"✗ 这笔要选客户",IF(AND(P2168="应收",COUNTIF(总览汇总!$B$5:$B$304,J2168)=0),"✗ 客户不在总览汇总名单里",IF(AND(P2168="应付",K2168=""),"✗ 这笔要选供应商",IF(AND(P2168="应付",COUNTIF(基础资料!$Q$5:$Q$54,K2168)=0),"✗ 供应商不在基础资料里",IF(AND(P2168="费用",L2168=""),"✗ 费用支出要选费用项目",IF(AND(L2168&lt;&gt;"",COUNTIF(基础资料!$AI$5:$AI$54,L2168)=0),"✗ 费用项目不在基础资料里",IF(AND(IFERROR(INDEX(基础资料!$AD$5:$AD$34,MATCH(O2168,基础资料!$AC$5:$AC$34,0)),"")="收",N(G2168)&lt;&gt;0),"✗ 这类是收款，金额填到收入列",IF(AND(IFERROR(INDEX(基础资料!$AD$5:$AD$34,MATCH(O2168,基础资料!$AC$5:$AC$34,0)),"")="支",N(F2168)&lt;&gt;0),"✗ 这类是付款，金额填到支出列",IF(N(H2168)&lt;0,"⚠ 账户余额成负数了，核对一下","√"))))))))))))))))))</f>
      </c>
      <c r="O2168" s="78">
        <f>IF(D2168&lt;&gt;"",D2168,IF(AND(F2168="",G2168=""),"",IF(J2168&lt;&gt;"",IF(N(F2168)&gt;0,"客户回款","客户退款"),IF(K2168&lt;&gt;"",IF(N(G2168)&gt;0,"供应商付款","供应商退款"),IF(L2168&lt;&gt;"","费用支出","")))))</f>
      </c>
      <c r="P2168" s="78">
        <f>IF(O2168="","",IFERROR(INDEX(基础资料!$AE$5:$AE$34,MATCH(O2168,基础资料!$AC$5:$AC$34,0)),"未知"))</f>
      </c>
      <c r="Q2168" s="78">
        <f>IF(P2168="应收",COUNTIF(P$7:P2168,"应收"),"")</f>
      </c>
      <c r="R2168" s="78">
        <f>IF(P2168="应付",COUNTIF(P$7:P2168,"应付"),"")</f>
      </c>
      <c r="S2168" s="78">
        <f>N(F2168)-N(G2168)</f>
        <v>0</v>
      </c>
    </row>
    <row r="2169">
      <c r="A2169" s="109">
        <f>IF(AND(F2169="",G2169=""),"",ROW()-6)</f>
      </c>
      <c r="B2169" s="140" t="n"/>
      <c r="C2169" s="141" t="n"/>
      <c r="D2169" s="141" t="n"/>
      <c r="E2169" s="142" t="n"/>
      <c r="F2169" s="143" t="n"/>
      <c r="G2169" s="144" t="n"/>
      <c r="H2169" s="145">
        <f>IF(OR(C2169="",AND(F2169="",G2169="")),"",SUMIF(基础资料!$W$5:$W$24,C2169,基础资料!$X$5:$X$24)+SUMIF(C$7:C2169,C2169,F$7:F2169)-SUMIF(C$7:C2169,C2169,G$7:G2169))</f>
      </c>
      <c r="I2169" s="145">
        <f>IF(AND(F2169="",G2169=""),"",SUM(基础资料!$X$5:$X$24)+SUM(F$7:F2169)-SUM(G$7:G2169))</f>
      </c>
      <c r="J2169" s="141" t="n"/>
      <c r="K2169" s="141" t="n"/>
      <c r="L2169" s="141" t="n"/>
      <c r="M2169" s="142" t="n"/>
      <c r="N2169" s="146">
        <f>IF(AND(AND(F2169="",G2169=""),B2169="",C2169="",D2169="",J2169="",K2169="",L2169=""),"",IF(AND(F2169="",G2169=""),"✗ 没填金额",IF(AND(N(F2169)&lt;&gt;0,N(G2169)&lt;&gt;0),"✗ 收入、支出只能填一边",IF(NOT(ISNUMBER(B2169)),"✗ 日期不是真日期（要像 2026/9/25 这样填）",IF(OR(B2169&lt;年初日,B2169&gt;年末日),"✗ 日期不在本会计年度",IF(C2169="","✗ 没选账户",IF(COUNTIF(基础资料!$W$5:$W$24,C2169)=0,"✗ 账户不在基础资料里",IF(O2169="","✗ 没选收支项目",IF(P2169="未知","✗ 收支项目不在基础资料里",IF(AND(P2169="应收",J2169=""),"✗ 这笔要选客户",IF(AND(P2169="应收",COUNTIF(总览汇总!$B$5:$B$304,J2169)=0),"✗ 客户不在总览汇总名单里",IF(AND(P2169="应付",K2169=""),"✗ 这笔要选供应商",IF(AND(P2169="应付",COUNTIF(基础资料!$Q$5:$Q$54,K2169)=0),"✗ 供应商不在基础资料里",IF(AND(P2169="费用",L2169=""),"✗ 费用支出要选费用项目",IF(AND(L2169&lt;&gt;"",COUNTIF(基础资料!$AI$5:$AI$54,L2169)=0),"✗ 费用项目不在基础资料里",IF(AND(IFERROR(INDEX(基础资料!$AD$5:$AD$34,MATCH(O2169,基础资料!$AC$5:$AC$34,0)),"")="收",N(G2169)&lt;&gt;0),"✗ 这类是收款，金额填到收入列",IF(AND(IFERROR(INDEX(基础资料!$AD$5:$AD$34,MATCH(O2169,基础资料!$AC$5:$AC$34,0)),"")="支",N(F2169)&lt;&gt;0),"✗ 这类是付款，金额填到支出列",IF(N(H2169)&lt;0,"⚠ 账户余额成负数了，核对一下","√"))))))))))))))))))</f>
      </c>
      <c r="O2169" s="78">
        <f>IF(D2169&lt;&gt;"",D2169,IF(AND(F2169="",G2169=""),"",IF(J2169&lt;&gt;"",IF(N(F2169)&gt;0,"客户回款","客户退款"),IF(K2169&lt;&gt;"",IF(N(G2169)&gt;0,"供应商付款","供应商退款"),IF(L2169&lt;&gt;"","费用支出","")))))</f>
      </c>
      <c r="P2169" s="78">
        <f>IF(O2169="","",IFERROR(INDEX(基础资料!$AE$5:$AE$34,MATCH(O2169,基础资料!$AC$5:$AC$34,0)),"未知"))</f>
      </c>
      <c r="Q2169" s="78">
        <f>IF(P2169="应收",COUNTIF(P$7:P2169,"应收"),"")</f>
      </c>
      <c r="R2169" s="78">
        <f>IF(P2169="应付",COUNTIF(P$7:P2169,"应付"),"")</f>
      </c>
      <c r="S2169" s="78">
        <f>N(F2169)-N(G2169)</f>
        <v>0</v>
      </c>
    </row>
    <row r="2170">
      <c r="A2170" s="109">
        <f>IF(AND(F2170="",G2170=""),"",ROW()-6)</f>
      </c>
      <c r="B2170" s="140" t="n"/>
      <c r="C2170" s="141" t="n"/>
      <c r="D2170" s="141" t="n"/>
      <c r="E2170" s="142" t="n"/>
      <c r="F2170" s="143" t="n"/>
      <c r="G2170" s="144" t="n"/>
      <c r="H2170" s="145">
        <f>IF(OR(C2170="",AND(F2170="",G2170="")),"",SUMIF(基础资料!$W$5:$W$24,C2170,基础资料!$X$5:$X$24)+SUMIF(C$7:C2170,C2170,F$7:F2170)-SUMIF(C$7:C2170,C2170,G$7:G2170))</f>
      </c>
      <c r="I2170" s="145">
        <f>IF(AND(F2170="",G2170=""),"",SUM(基础资料!$X$5:$X$24)+SUM(F$7:F2170)-SUM(G$7:G2170))</f>
      </c>
      <c r="J2170" s="141" t="n"/>
      <c r="K2170" s="141" t="n"/>
      <c r="L2170" s="141" t="n"/>
      <c r="M2170" s="142" t="n"/>
      <c r="N2170" s="146">
        <f>IF(AND(AND(F2170="",G2170=""),B2170="",C2170="",D2170="",J2170="",K2170="",L2170=""),"",IF(AND(F2170="",G2170=""),"✗ 没填金额",IF(AND(N(F2170)&lt;&gt;0,N(G2170)&lt;&gt;0),"✗ 收入、支出只能填一边",IF(NOT(ISNUMBER(B2170)),"✗ 日期不是真日期（要像 2026/9/25 这样填）",IF(OR(B2170&lt;年初日,B2170&gt;年末日),"✗ 日期不在本会计年度",IF(C2170="","✗ 没选账户",IF(COUNTIF(基础资料!$W$5:$W$24,C2170)=0,"✗ 账户不在基础资料里",IF(O2170="","✗ 没选收支项目",IF(P2170="未知","✗ 收支项目不在基础资料里",IF(AND(P2170="应收",J2170=""),"✗ 这笔要选客户",IF(AND(P2170="应收",COUNTIF(总览汇总!$B$5:$B$304,J2170)=0),"✗ 客户不在总览汇总名单里",IF(AND(P2170="应付",K2170=""),"✗ 这笔要选供应商",IF(AND(P2170="应付",COUNTIF(基础资料!$Q$5:$Q$54,K2170)=0),"✗ 供应商不在基础资料里",IF(AND(P2170="费用",L2170=""),"✗ 费用支出要选费用项目",IF(AND(L2170&lt;&gt;"",COUNTIF(基础资料!$AI$5:$AI$54,L2170)=0),"✗ 费用项目不在基础资料里",IF(AND(IFERROR(INDEX(基础资料!$AD$5:$AD$34,MATCH(O2170,基础资料!$AC$5:$AC$34,0)),"")="收",N(G2170)&lt;&gt;0),"✗ 这类是收款，金额填到收入列",IF(AND(IFERROR(INDEX(基础资料!$AD$5:$AD$34,MATCH(O2170,基础资料!$AC$5:$AC$34,0)),"")="支",N(F2170)&lt;&gt;0),"✗ 这类是付款，金额填到支出列",IF(N(H2170)&lt;0,"⚠ 账户余额成负数了，核对一下","√"))))))))))))))))))</f>
      </c>
      <c r="O2170" s="78">
        <f>IF(D2170&lt;&gt;"",D2170,IF(AND(F2170="",G2170=""),"",IF(J2170&lt;&gt;"",IF(N(F2170)&gt;0,"客户回款","客户退款"),IF(K2170&lt;&gt;"",IF(N(G2170)&gt;0,"供应商付款","供应商退款"),IF(L2170&lt;&gt;"","费用支出","")))))</f>
      </c>
      <c r="P2170" s="78">
        <f>IF(O2170="","",IFERROR(INDEX(基础资料!$AE$5:$AE$34,MATCH(O2170,基础资料!$AC$5:$AC$34,0)),"未知"))</f>
      </c>
      <c r="Q2170" s="78">
        <f>IF(P2170="应收",COUNTIF(P$7:P2170,"应收"),"")</f>
      </c>
      <c r="R2170" s="78">
        <f>IF(P2170="应付",COUNTIF(P$7:P2170,"应付"),"")</f>
      </c>
      <c r="S2170" s="78">
        <f>N(F2170)-N(G2170)</f>
        <v>0</v>
      </c>
    </row>
    <row r="2171">
      <c r="A2171" s="109">
        <f>IF(AND(F2171="",G2171=""),"",ROW()-6)</f>
      </c>
      <c r="B2171" s="140" t="n"/>
      <c r="C2171" s="141" t="n"/>
      <c r="D2171" s="141" t="n"/>
      <c r="E2171" s="142" t="n"/>
      <c r="F2171" s="143" t="n"/>
      <c r="G2171" s="144" t="n"/>
      <c r="H2171" s="145">
        <f>IF(OR(C2171="",AND(F2171="",G2171="")),"",SUMIF(基础资料!$W$5:$W$24,C2171,基础资料!$X$5:$X$24)+SUMIF(C$7:C2171,C2171,F$7:F2171)-SUMIF(C$7:C2171,C2171,G$7:G2171))</f>
      </c>
      <c r="I2171" s="145">
        <f>IF(AND(F2171="",G2171=""),"",SUM(基础资料!$X$5:$X$24)+SUM(F$7:F2171)-SUM(G$7:G2171))</f>
      </c>
      <c r="J2171" s="141" t="n"/>
      <c r="K2171" s="141" t="n"/>
      <c r="L2171" s="141" t="n"/>
      <c r="M2171" s="142" t="n"/>
      <c r="N2171" s="146">
        <f>IF(AND(AND(F2171="",G2171=""),B2171="",C2171="",D2171="",J2171="",K2171="",L2171=""),"",IF(AND(F2171="",G2171=""),"✗ 没填金额",IF(AND(N(F2171)&lt;&gt;0,N(G2171)&lt;&gt;0),"✗ 收入、支出只能填一边",IF(NOT(ISNUMBER(B2171)),"✗ 日期不是真日期（要像 2026/9/25 这样填）",IF(OR(B2171&lt;年初日,B2171&gt;年末日),"✗ 日期不在本会计年度",IF(C2171="","✗ 没选账户",IF(COUNTIF(基础资料!$W$5:$W$24,C2171)=0,"✗ 账户不在基础资料里",IF(O2171="","✗ 没选收支项目",IF(P2171="未知","✗ 收支项目不在基础资料里",IF(AND(P2171="应收",J2171=""),"✗ 这笔要选客户",IF(AND(P2171="应收",COUNTIF(总览汇总!$B$5:$B$304,J2171)=0),"✗ 客户不在总览汇总名单里",IF(AND(P2171="应付",K2171=""),"✗ 这笔要选供应商",IF(AND(P2171="应付",COUNTIF(基础资料!$Q$5:$Q$54,K2171)=0),"✗ 供应商不在基础资料里",IF(AND(P2171="费用",L2171=""),"✗ 费用支出要选费用项目",IF(AND(L2171&lt;&gt;"",COUNTIF(基础资料!$AI$5:$AI$54,L2171)=0),"✗ 费用项目不在基础资料里",IF(AND(IFERROR(INDEX(基础资料!$AD$5:$AD$34,MATCH(O2171,基础资料!$AC$5:$AC$34,0)),"")="收",N(G2171)&lt;&gt;0),"✗ 这类是收款，金额填到收入列",IF(AND(IFERROR(INDEX(基础资料!$AD$5:$AD$34,MATCH(O2171,基础资料!$AC$5:$AC$34,0)),"")="支",N(F2171)&lt;&gt;0),"✗ 这类是付款，金额填到支出列",IF(N(H2171)&lt;0,"⚠ 账户余额成负数了，核对一下","√"))))))))))))))))))</f>
      </c>
      <c r="O2171" s="78">
        <f>IF(D2171&lt;&gt;"",D2171,IF(AND(F2171="",G2171=""),"",IF(J2171&lt;&gt;"",IF(N(F2171)&gt;0,"客户回款","客户退款"),IF(K2171&lt;&gt;"",IF(N(G2171)&gt;0,"供应商付款","供应商退款"),IF(L2171&lt;&gt;"","费用支出","")))))</f>
      </c>
      <c r="P2171" s="78">
        <f>IF(O2171="","",IFERROR(INDEX(基础资料!$AE$5:$AE$34,MATCH(O2171,基础资料!$AC$5:$AC$34,0)),"未知"))</f>
      </c>
      <c r="Q2171" s="78">
        <f>IF(P2171="应收",COUNTIF(P$7:P2171,"应收"),"")</f>
      </c>
      <c r="R2171" s="78">
        <f>IF(P2171="应付",COUNTIF(P$7:P2171,"应付"),"")</f>
      </c>
      <c r="S2171" s="78">
        <f>N(F2171)-N(G2171)</f>
        <v>0</v>
      </c>
    </row>
    <row r="2172">
      <c r="A2172" s="109">
        <f>IF(AND(F2172="",G2172=""),"",ROW()-6)</f>
      </c>
      <c r="B2172" s="140" t="n"/>
      <c r="C2172" s="141" t="n"/>
      <c r="D2172" s="141" t="n"/>
      <c r="E2172" s="142" t="n"/>
      <c r="F2172" s="143" t="n"/>
      <c r="G2172" s="144" t="n"/>
      <c r="H2172" s="145">
        <f>IF(OR(C2172="",AND(F2172="",G2172="")),"",SUMIF(基础资料!$W$5:$W$24,C2172,基础资料!$X$5:$X$24)+SUMIF(C$7:C2172,C2172,F$7:F2172)-SUMIF(C$7:C2172,C2172,G$7:G2172))</f>
      </c>
      <c r="I2172" s="145">
        <f>IF(AND(F2172="",G2172=""),"",SUM(基础资料!$X$5:$X$24)+SUM(F$7:F2172)-SUM(G$7:G2172))</f>
      </c>
      <c r="J2172" s="141" t="n"/>
      <c r="K2172" s="141" t="n"/>
      <c r="L2172" s="141" t="n"/>
      <c r="M2172" s="142" t="n"/>
      <c r="N2172" s="146">
        <f>IF(AND(AND(F2172="",G2172=""),B2172="",C2172="",D2172="",J2172="",K2172="",L2172=""),"",IF(AND(F2172="",G2172=""),"✗ 没填金额",IF(AND(N(F2172)&lt;&gt;0,N(G2172)&lt;&gt;0),"✗ 收入、支出只能填一边",IF(NOT(ISNUMBER(B2172)),"✗ 日期不是真日期（要像 2026/9/25 这样填）",IF(OR(B2172&lt;年初日,B2172&gt;年末日),"✗ 日期不在本会计年度",IF(C2172="","✗ 没选账户",IF(COUNTIF(基础资料!$W$5:$W$24,C2172)=0,"✗ 账户不在基础资料里",IF(O2172="","✗ 没选收支项目",IF(P2172="未知","✗ 收支项目不在基础资料里",IF(AND(P2172="应收",J2172=""),"✗ 这笔要选客户",IF(AND(P2172="应收",COUNTIF(总览汇总!$B$5:$B$304,J2172)=0),"✗ 客户不在总览汇总名单里",IF(AND(P2172="应付",K2172=""),"✗ 这笔要选供应商",IF(AND(P2172="应付",COUNTIF(基础资料!$Q$5:$Q$54,K2172)=0),"✗ 供应商不在基础资料里",IF(AND(P2172="费用",L2172=""),"✗ 费用支出要选费用项目",IF(AND(L2172&lt;&gt;"",COUNTIF(基础资料!$AI$5:$AI$54,L2172)=0),"✗ 费用项目不在基础资料里",IF(AND(IFERROR(INDEX(基础资料!$AD$5:$AD$34,MATCH(O2172,基础资料!$AC$5:$AC$34,0)),"")="收",N(G2172)&lt;&gt;0),"✗ 这类是收款，金额填到收入列",IF(AND(IFERROR(INDEX(基础资料!$AD$5:$AD$34,MATCH(O2172,基础资料!$AC$5:$AC$34,0)),"")="支",N(F2172)&lt;&gt;0),"✗ 这类是付款，金额填到支出列",IF(N(H2172)&lt;0,"⚠ 账户余额成负数了，核对一下","√"))))))))))))))))))</f>
      </c>
      <c r="O2172" s="78">
        <f>IF(D2172&lt;&gt;"",D2172,IF(AND(F2172="",G2172=""),"",IF(J2172&lt;&gt;"",IF(N(F2172)&gt;0,"客户回款","客户退款"),IF(K2172&lt;&gt;"",IF(N(G2172)&gt;0,"供应商付款","供应商退款"),IF(L2172&lt;&gt;"","费用支出","")))))</f>
      </c>
      <c r="P2172" s="78">
        <f>IF(O2172="","",IFERROR(INDEX(基础资料!$AE$5:$AE$34,MATCH(O2172,基础资料!$AC$5:$AC$34,0)),"未知"))</f>
      </c>
      <c r="Q2172" s="78">
        <f>IF(P2172="应收",COUNTIF(P$7:P2172,"应收"),"")</f>
      </c>
      <c r="R2172" s="78">
        <f>IF(P2172="应付",COUNTIF(P$7:P2172,"应付"),"")</f>
      </c>
      <c r="S2172" s="78">
        <f>N(F2172)-N(G2172)</f>
        <v>0</v>
      </c>
    </row>
    <row r="2173">
      <c r="A2173" s="109">
        <f>IF(AND(F2173="",G2173=""),"",ROW()-6)</f>
      </c>
      <c r="B2173" s="140" t="n"/>
      <c r="C2173" s="141" t="n"/>
      <c r="D2173" s="141" t="n"/>
      <c r="E2173" s="142" t="n"/>
      <c r="F2173" s="143" t="n"/>
      <c r="G2173" s="144" t="n"/>
      <c r="H2173" s="145">
        <f>IF(OR(C2173="",AND(F2173="",G2173="")),"",SUMIF(基础资料!$W$5:$W$24,C2173,基础资料!$X$5:$X$24)+SUMIF(C$7:C2173,C2173,F$7:F2173)-SUMIF(C$7:C2173,C2173,G$7:G2173))</f>
      </c>
      <c r="I2173" s="145">
        <f>IF(AND(F2173="",G2173=""),"",SUM(基础资料!$X$5:$X$24)+SUM(F$7:F2173)-SUM(G$7:G2173))</f>
      </c>
      <c r="J2173" s="141" t="n"/>
      <c r="K2173" s="141" t="n"/>
      <c r="L2173" s="141" t="n"/>
      <c r="M2173" s="142" t="n"/>
      <c r="N2173" s="146">
        <f>IF(AND(AND(F2173="",G2173=""),B2173="",C2173="",D2173="",J2173="",K2173="",L2173=""),"",IF(AND(F2173="",G2173=""),"✗ 没填金额",IF(AND(N(F2173)&lt;&gt;0,N(G2173)&lt;&gt;0),"✗ 收入、支出只能填一边",IF(NOT(ISNUMBER(B2173)),"✗ 日期不是真日期（要像 2026/9/25 这样填）",IF(OR(B2173&lt;年初日,B2173&gt;年末日),"✗ 日期不在本会计年度",IF(C2173="","✗ 没选账户",IF(COUNTIF(基础资料!$W$5:$W$24,C2173)=0,"✗ 账户不在基础资料里",IF(O2173="","✗ 没选收支项目",IF(P2173="未知","✗ 收支项目不在基础资料里",IF(AND(P2173="应收",J2173=""),"✗ 这笔要选客户",IF(AND(P2173="应收",COUNTIF(总览汇总!$B$5:$B$304,J2173)=0),"✗ 客户不在总览汇总名单里",IF(AND(P2173="应付",K2173=""),"✗ 这笔要选供应商",IF(AND(P2173="应付",COUNTIF(基础资料!$Q$5:$Q$54,K2173)=0),"✗ 供应商不在基础资料里",IF(AND(P2173="费用",L2173=""),"✗ 费用支出要选费用项目",IF(AND(L2173&lt;&gt;"",COUNTIF(基础资料!$AI$5:$AI$54,L2173)=0),"✗ 费用项目不在基础资料里",IF(AND(IFERROR(INDEX(基础资料!$AD$5:$AD$34,MATCH(O2173,基础资料!$AC$5:$AC$34,0)),"")="收",N(G2173)&lt;&gt;0),"✗ 这类是收款，金额填到收入列",IF(AND(IFERROR(INDEX(基础资料!$AD$5:$AD$34,MATCH(O2173,基础资料!$AC$5:$AC$34,0)),"")="支",N(F2173)&lt;&gt;0),"✗ 这类是付款，金额填到支出列",IF(N(H2173)&lt;0,"⚠ 账户余额成负数了，核对一下","√"))))))))))))))))))</f>
      </c>
      <c r="O2173" s="78">
        <f>IF(D2173&lt;&gt;"",D2173,IF(AND(F2173="",G2173=""),"",IF(J2173&lt;&gt;"",IF(N(F2173)&gt;0,"客户回款","客户退款"),IF(K2173&lt;&gt;"",IF(N(G2173)&gt;0,"供应商付款","供应商退款"),IF(L2173&lt;&gt;"","费用支出","")))))</f>
      </c>
      <c r="P2173" s="78">
        <f>IF(O2173="","",IFERROR(INDEX(基础资料!$AE$5:$AE$34,MATCH(O2173,基础资料!$AC$5:$AC$34,0)),"未知"))</f>
      </c>
      <c r="Q2173" s="78">
        <f>IF(P2173="应收",COUNTIF(P$7:P2173,"应收"),"")</f>
      </c>
      <c r="R2173" s="78">
        <f>IF(P2173="应付",COUNTIF(P$7:P2173,"应付"),"")</f>
      </c>
      <c r="S2173" s="78">
        <f>N(F2173)-N(G2173)</f>
        <v>0</v>
      </c>
    </row>
    <row r="2174">
      <c r="A2174" s="109">
        <f>IF(AND(F2174="",G2174=""),"",ROW()-6)</f>
      </c>
      <c r="B2174" s="140" t="n"/>
      <c r="C2174" s="141" t="n"/>
      <c r="D2174" s="141" t="n"/>
      <c r="E2174" s="142" t="n"/>
      <c r="F2174" s="143" t="n"/>
      <c r="G2174" s="144" t="n"/>
      <c r="H2174" s="145">
        <f>IF(OR(C2174="",AND(F2174="",G2174="")),"",SUMIF(基础资料!$W$5:$W$24,C2174,基础资料!$X$5:$X$24)+SUMIF(C$7:C2174,C2174,F$7:F2174)-SUMIF(C$7:C2174,C2174,G$7:G2174))</f>
      </c>
      <c r="I2174" s="145">
        <f>IF(AND(F2174="",G2174=""),"",SUM(基础资料!$X$5:$X$24)+SUM(F$7:F2174)-SUM(G$7:G2174))</f>
      </c>
      <c r="J2174" s="141" t="n"/>
      <c r="K2174" s="141" t="n"/>
      <c r="L2174" s="141" t="n"/>
      <c r="M2174" s="142" t="n"/>
      <c r="N2174" s="146">
        <f>IF(AND(AND(F2174="",G2174=""),B2174="",C2174="",D2174="",J2174="",K2174="",L2174=""),"",IF(AND(F2174="",G2174=""),"✗ 没填金额",IF(AND(N(F2174)&lt;&gt;0,N(G2174)&lt;&gt;0),"✗ 收入、支出只能填一边",IF(NOT(ISNUMBER(B2174)),"✗ 日期不是真日期（要像 2026/9/25 这样填）",IF(OR(B2174&lt;年初日,B2174&gt;年末日),"✗ 日期不在本会计年度",IF(C2174="","✗ 没选账户",IF(COUNTIF(基础资料!$W$5:$W$24,C2174)=0,"✗ 账户不在基础资料里",IF(O2174="","✗ 没选收支项目",IF(P2174="未知","✗ 收支项目不在基础资料里",IF(AND(P2174="应收",J2174=""),"✗ 这笔要选客户",IF(AND(P2174="应收",COUNTIF(总览汇总!$B$5:$B$304,J2174)=0),"✗ 客户不在总览汇总名单里",IF(AND(P2174="应付",K2174=""),"✗ 这笔要选供应商",IF(AND(P2174="应付",COUNTIF(基础资料!$Q$5:$Q$54,K2174)=0),"✗ 供应商不在基础资料里",IF(AND(P2174="费用",L2174=""),"✗ 费用支出要选费用项目",IF(AND(L2174&lt;&gt;"",COUNTIF(基础资料!$AI$5:$AI$54,L2174)=0),"✗ 费用项目不在基础资料里",IF(AND(IFERROR(INDEX(基础资料!$AD$5:$AD$34,MATCH(O2174,基础资料!$AC$5:$AC$34,0)),"")="收",N(G2174)&lt;&gt;0),"✗ 这类是收款，金额填到收入列",IF(AND(IFERROR(INDEX(基础资料!$AD$5:$AD$34,MATCH(O2174,基础资料!$AC$5:$AC$34,0)),"")="支",N(F2174)&lt;&gt;0),"✗ 这类是付款，金额填到支出列",IF(N(H2174)&lt;0,"⚠ 账户余额成负数了，核对一下","√"))))))))))))))))))</f>
      </c>
      <c r="O2174" s="78">
        <f>IF(D2174&lt;&gt;"",D2174,IF(AND(F2174="",G2174=""),"",IF(J2174&lt;&gt;"",IF(N(F2174)&gt;0,"客户回款","客户退款"),IF(K2174&lt;&gt;"",IF(N(G2174)&gt;0,"供应商付款","供应商退款"),IF(L2174&lt;&gt;"","费用支出","")))))</f>
      </c>
      <c r="P2174" s="78">
        <f>IF(O2174="","",IFERROR(INDEX(基础资料!$AE$5:$AE$34,MATCH(O2174,基础资料!$AC$5:$AC$34,0)),"未知"))</f>
      </c>
      <c r="Q2174" s="78">
        <f>IF(P2174="应收",COUNTIF(P$7:P2174,"应收"),"")</f>
      </c>
      <c r="R2174" s="78">
        <f>IF(P2174="应付",COUNTIF(P$7:P2174,"应付"),"")</f>
      </c>
      <c r="S2174" s="78">
        <f>N(F2174)-N(G2174)</f>
        <v>0</v>
      </c>
    </row>
    <row r="2175">
      <c r="A2175" s="109">
        <f>IF(AND(F2175="",G2175=""),"",ROW()-6)</f>
      </c>
      <c r="B2175" s="140" t="n"/>
      <c r="C2175" s="141" t="n"/>
      <c r="D2175" s="141" t="n"/>
      <c r="E2175" s="142" t="n"/>
      <c r="F2175" s="143" t="n"/>
      <c r="G2175" s="144" t="n"/>
      <c r="H2175" s="145">
        <f>IF(OR(C2175="",AND(F2175="",G2175="")),"",SUMIF(基础资料!$W$5:$W$24,C2175,基础资料!$X$5:$X$24)+SUMIF(C$7:C2175,C2175,F$7:F2175)-SUMIF(C$7:C2175,C2175,G$7:G2175))</f>
      </c>
      <c r="I2175" s="145">
        <f>IF(AND(F2175="",G2175=""),"",SUM(基础资料!$X$5:$X$24)+SUM(F$7:F2175)-SUM(G$7:G2175))</f>
      </c>
      <c r="J2175" s="141" t="n"/>
      <c r="K2175" s="141" t="n"/>
      <c r="L2175" s="141" t="n"/>
      <c r="M2175" s="142" t="n"/>
      <c r="N2175" s="146">
        <f>IF(AND(AND(F2175="",G2175=""),B2175="",C2175="",D2175="",J2175="",K2175="",L2175=""),"",IF(AND(F2175="",G2175=""),"✗ 没填金额",IF(AND(N(F2175)&lt;&gt;0,N(G2175)&lt;&gt;0),"✗ 收入、支出只能填一边",IF(NOT(ISNUMBER(B2175)),"✗ 日期不是真日期（要像 2026/9/25 这样填）",IF(OR(B2175&lt;年初日,B2175&gt;年末日),"✗ 日期不在本会计年度",IF(C2175="","✗ 没选账户",IF(COUNTIF(基础资料!$W$5:$W$24,C2175)=0,"✗ 账户不在基础资料里",IF(O2175="","✗ 没选收支项目",IF(P2175="未知","✗ 收支项目不在基础资料里",IF(AND(P2175="应收",J2175=""),"✗ 这笔要选客户",IF(AND(P2175="应收",COUNTIF(总览汇总!$B$5:$B$304,J2175)=0),"✗ 客户不在总览汇总名单里",IF(AND(P2175="应付",K2175=""),"✗ 这笔要选供应商",IF(AND(P2175="应付",COUNTIF(基础资料!$Q$5:$Q$54,K2175)=0),"✗ 供应商不在基础资料里",IF(AND(P2175="费用",L2175=""),"✗ 费用支出要选费用项目",IF(AND(L2175&lt;&gt;"",COUNTIF(基础资料!$AI$5:$AI$54,L2175)=0),"✗ 费用项目不在基础资料里",IF(AND(IFERROR(INDEX(基础资料!$AD$5:$AD$34,MATCH(O2175,基础资料!$AC$5:$AC$34,0)),"")="收",N(G2175)&lt;&gt;0),"✗ 这类是收款，金额填到收入列",IF(AND(IFERROR(INDEX(基础资料!$AD$5:$AD$34,MATCH(O2175,基础资料!$AC$5:$AC$34,0)),"")="支",N(F2175)&lt;&gt;0),"✗ 这类是付款，金额填到支出列",IF(N(H2175)&lt;0,"⚠ 账户余额成负数了，核对一下","√"))))))))))))))))))</f>
      </c>
      <c r="O2175" s="78">
        <f>IF(D2175&lt;&gt;"",D2175,IF(AND(F2175="",G2175=""),"",IF(J2175&lt;&gt;"",IF(N(F2175)&gt;0,"客户回款","客户退款"),IF(K2175&lt;&gt;"",IF(N(G2175)&gt;0,"供应商付款","供应商退款"),IF(L2175&lt;&gt;"","费用支出","")))))</f>
      </c>
      <c r="P2175" s="78">
        <f>IF(O2175="","",IFERROR(INDEX(基础资料!$AE$5:$AE$34,MATCH(O2175,基础资料!$AC$5:$AC$34,0)),"未知"))</f>
      </c>
      <c r="Q2175" s="78">
        <f>IF(P2175="应收",COUNTIF(P$7:P2175,"应收"),"")</f>
      </c>
      <c r="R2175" s="78">
        <f>IF(P2175="应付",COUNTIF(P$7:P2175,"应付"),"")</f>
      </c>
      <c r="S2175" s="78">
        <f>N(F2175)-N(G2175)</f>
        <v>0</v>
      </c>
    </row>
    <row r="2176">
      <c r="A2176" s="109">
        <f>IF(AND(F2176="",G2176=""),"",ROW()-6)</f>
      </c>
      <c r="B2176" s="140" t="n"/>
      <c r="C2176" s="141" t="n"/>
      <c r="D2176" s="141" t="n"/>
      <c r="E2176" s="142" t="n"/>
      <c r="F2176" s="143" t="n"/>
      <c r="G2176" s="144" t="n"/>
      <c r="H2176" s="145">
        <f>IF(OR(C2176="",AND(F2176="",G2176="")),"",SUMIF(基础资料!$W$5:$W$24,C2176,基础资料!$X$5:$X$24)+SUMIF(C$7:C2176,C2176,F$7:F2176)-SUMIF(C$7:C2176,C2176,G$7:G2176))</f>
      </c>
      <c r="I2176" s="145">
        <f>IF(AND(F2176="",G2176=""),"",SUM(基础资料!$X$5:$X$24)+SUM(F$7:F2176)-SUM(G$7:G2176))</f>
      </c>
      <c r="J2176" s="141" t="n"/>
      <c r="K2176" s="141" t="n"/>
      <c r="L2176" s="141" t="n"/>
      <c r="M2176" s="142" t="n"/>
      <c r="N2176" s="146">
        <f>IF(AND(AND(F2176="",G2176=""),B2176="",C2176="",D2176="",J2176="",K2176="",L2176=""),"",IF(AND(F2176="",G2176=""),"✗ 没填金额",IF(AND(N(F2176)&lt;&gt;0,N(G2176)&lt;&gt;0),"✗ 收入、支出只能填一边",IF(NOT(ISNUMBER(B2176)),"✗ 日期不是真日期（要像 2026/9/25 这样填）",IF(OR(B2176&lt;年初日,B2176&gt;年末日),"✗ 日期不在本会计年度",IF(C2176="","✗ 没选账户",IF(COUNTIF(基础资料!$W$5:$W$24,C2176)=0,"✗ 账户不在基础资料里",IF(O2176="","✗ 没选收支项目",IF(P2176="未知","✗ 收支项目不在基础资料里",IF(AND(P2176="应收",J2176=""),"✗ 这笔要选客户",IF(AND(P2176="应收",COUNTIF(总览汇总!$B$5:$B$304,J2176)=0),"✗ 客户不在总览汇总名单里",IF(AND(P2176="应付",K2176=""),"✗ 这笔要选供应商",IF(AND(P2176="应付",COUNTIF(基础资料!$Q$5:$Q$54,K2176)=0),"✗ 供应商不在基础资料里",IF(AND(P2176="费用",L2176=""),"✗ 费用支出要选费用项目",IF(AND(L2176&lt;&gt;"",COUNTIF(基础资料!$AI$5:$AI$54,L2176)=0),"✗ 费用项目不在基础资料里",IF(AND(IFERROR(INDEX(基础资料!$AD$5:$AD$34,MATCH(O2176,基础资料!$AC$5:$AC$34,0)),"")="收",N(G2176)&lt;&gt;0),"✗ 这类是收款，金额填到收入列",IF(AND(IFERROR(INDEX(基础资料!$AD$5:$AD$34,MATCH(O2176,基础资料!$AC$5:$AC$34,0)),"")="支",N(F2176)&lt;&gt;0),"✗ 这类是付款，金额填到支出列",IF(N(H2176)&lt;0,"⚠ 账户余额成负数了，核对一下","√"))))))))))))))))))</f>
      </c>
      <c r="O2176" s="78">
        <f>IF(D2176&lt;&gt;"",D2176,IF(AND(F2176="",G2176=""),"",IF(J2176&lt;&gt;"",IF(N(F2176)&gt;0,"客户回款","客户退款"),IF(K2176&lt;&gt;"",IF(N(G2176)&gt;0,"供应商付款","供应商退款"),IF(L2176&lt;&gt;"","费用支出","")))))</f>
      </c>
      <c r="P2176" s="78">
        <f>IF(O2176="","",IFERROR(INDEX(基础资料!$AE$5:$AE$34,MATCH(O2176,基础资料!$AC$5:$AC$34,0)),"未知"))</f>
      </c>
      <c r="Q2176" s="78">
        <f>IF(P2176="应收",COUNTIF(P$7:P2176,"应收"),"")</f>
      </c>
      <c r="R2176" s="78">
        <f>IF(P2176="应付",COUNTIF(P$7:P2176,"应付"),"")</f>
      </c>
      <c r="S2176" s="78">
        <f>N(F2176)-N(G2176)</f>
        <v>0</v>
      </c>
    </row>
    <row r="2177">
      <c r="A2177" s="109">
        <f>IF(AND(F2177="",G2177=""),"",ROW()-6)</f>
      </c>
      <c r="B2177" s="140" t="n"/>
      <c r="C2177" s="141" t="n"/>
      <c r="D2177" s="141" t="n"/>
      <c r="E2177" s="142" t="n"/>
      <c r="F2177" s="143" t="n"/>
      <c r="G2177" s="144" t="n"/>
      <c r="H2177" s="145">
        <f>IF(OR(C2177="",AND(F2177="",G2177="")),"",SUMIF(基础资料!$W$5:$W$24,C2177,基础资料!$X$5:$X$24)+SUMIF(C$7:C2177,C2177,F$7:F2177)-SUMIF(C$7:C2177,C2177,G$7:G2177))</f>
      </c>
      <c r="I2177" s="145">
        <f>IF(AND(F2177="",G2177=""),"",SUM(基础资料!$X$5:$X$24)+SUM(F$7:F2177)-SUM(G$7:G2177))</f>
      </c>
      <c r="J2177" s="141" t="n"/>
      <c r="K2177" s="141" t="n"/>
      <c r="L2177" s="141" t="n"/>
      <c r="M2177" s="142" t="n"/>
      <c r="N2177" s="146">
        <f>IF(AND(AND(F2177="",G2177=""),B2177="",C2177="",D2177="",J2177="",K2177="",L2177=""),"",IF(AND(F2177="",G2177=""),"✗ 没填金额",IF(AND(N(F2177)&lt;&gt;0,N(G2177)&lt;&gt;0),"✗ 收入、支出只能填一边",IF(NOT(ISNUMBER(B2177)),"✗ 日期不是真日期（要像 2026/9/25 这样填）",IF(OR(B2177&lt;年初日,B2177&gt;年末日),"✗ 日期不在本会计年度",IF(C2177="","✗ 没选账户",IF(COUNTIF(基础资料!$W$5:$W$24,C2177)=0,"✗ 账户不在基础资料里",IF(O2177="","✗ 没选收支项目",IF(P2177="未知","✗ 收支项目不在基础资料里",IF(AND(P2177="应收",J2177=""),"✗ 这笔要选客户",IF(AND(P2177="应收",COUNTIF(总览汇总!$B$5:$B$304,J2177)=0),"✗ 客户不在总览汇总名单里",IF(AND(P2177="应付",K2177=""),"✗ 这笔要选供应商",IF(AND(P2177="应付",COUNTIF(基础资料!$Q$5:$Q$54,K2177)=0),"✗ 供应商不在基础资料里",IF(AND(P2177="费用",L2177=""),"✗ 费用支出要选费用项目",IF(AND(L2177&lt;&gt;"",COUNTIF(基础资料!$AI$5:$AI$54,L2177)=0),"✗ 费用项目不在基础资料里",IF(AND(IFERROR(INDEX(基础资料!$AD$5:$AD$34,MATCH(O2177,基础资料!$AC$5:$AC$34,0)),"")="收",N(G2177)&lt;&gt;0),"✗ 这类是收款，金额填到收入列",IF(AND(IFERROR(INDEX(基础资料!$AD$5:$AD$34,MATCH(O2177,基础资料!$AC$5:$AC$34,0)),"")="支",N(F2177)&lt;&gt;0),"✗ 这类是付款，金额填到支出列",IF(N(H2177)&lt;0,"⚠ 账户余额成负数了，核对一下","√"))))))))))))))))))</f>
      </c>
      <c r="O2177" s="78">
        <f>IF(D2177&lt;&gt;"",D2177,IF(AND(F2177="",G2177=""),"",IF(J2177&lt;&gt;"",IF(N(F2177)&gt;0,"客户回款","客户退款"),IF(K2177&lt;&gt;"",IF(N(G2177)&gt;0,"供应商付款","供应商退款"),IF(L2177&lt;&gt;"","费用支出","")))))</f>
      </c>
      <c r="P2177" s="78">
        <f>IF(O2177="","",IFERROR(INDEX(基础资料!$AE$5:$AE$34,MATCH(O2177,基础资料!$AC$5:$AC$34,0)),"未知"))</f>
      </c>
      <c r="Q2177" s="78">
        <f>IF(P2177="应收",COUNTIF(P$7:P2177,"应收"),"")</f>
      </c>
      <c r="R2177" s="78">
        <f>IF(P2177="应付",COUNTIF(P$7:P2177,"应付"),"")</f>
      </c>
      <c r="S2177" s="78">
        <f>N(F2177)-N(G2177)</f>
        <v>0</v>
      </c>
    </row>
    <row r="2178">
      <c r="A2178" s="109">
        <f>IF(AND(F2178="",G2178=""),"",ROW()-6)</f>
      </c>
      <c r="B2178" s="140" t="n"/>
      <c r="C2178" s="141" t="n"/>
      <c r="D2178" s="141" t="n"/>
      <c r="E2178" s="142" t="n"/>
      <c r="F2178" s="143" t="n"/>
      <c r="G2178" s="144" t="n"/>
      <c r="H2178" s="145">
        <f>IF(OR(C2178="",AND(F2178="",G2178="")),"",SUMIF(基础资料!$W$5:$W$24,C2178,基础资料!$X$5:$X$24)+SUMIF(C$7:C2178,C2178,F$7:F2178)-SUMIF(C$7:C2178,C2178,G$7:G2178))</f>
      </c>
      <c r="I2178" s="145">
        <f>IF(AND(F2178="",G2178=""),"",SUM(基础资料!$X$5:$X$24)+SUM(F$7:F2178)-SUM(G$7:G2178))</f>
      </c>
      <c r="J2178" s="141" t="n"/>
      <c r="K2178" s="141" t="n"/>
      <c r="L2178" s="141" t="n"/>
      <c r="M2178" s="142" t="n"/>
      <c r="N2178" s="146">
        <f>IF(AND(AND(F2178="",G2178=""),B2178="",C2178="",D2178="",J2178="",K2178="",L2178=""),"",IF(AND(F2178="",G2178=""),"✗ 没填金额",IF(AND(N(F2178)&lt;&gt;0,N(G2178)&lt;&gt;0),"✗ 收入、支出只能填一边",IF(NOT(ISNUMBER(B2178)),"✗ 日期不是真日期（要像 2026/9/25 这样填）",IF(OR(B2178&lt;年初日,B2178&gt;年末日),"✗ 日期不在本会计年度",IF(C2178="","✗ 没选账户",IF(COUNTIF(基础资料!$W$5:$W$24,C2178)=0,"✗ 账户不在基础资料里",IF(O2178="","✗ 没选收支项目",IF(P2178="未知","✗ 收支项目不在基础资料里",IF(AND(P2178="应收",J2178=""),"✗ 这笔要选客户",IF(AND(P2178="应收",COUNTIF(总览汇总!$B$5:$B$304,J2178)=0),"✗ 客户不在总览汇总名单里",IF(AND(P2178="应付",K2178=""),"✗ 这笔要选供应商",IF(AND(P2178="应付",COUNTIF(基础资料!$Q$5:$Q$54,K2178)=0),"✗ 供应商不在基础资料里",IF(AND(P2178="费用",L2178=""),"✗ 费用支出要选费用项目",IF(AND(L2178&lt;&gt;"",COUNTIF(基础资料!$AI$5:$AI$54,L2178)=0),"✗ 费用项目不在基础资料里",IF(AND(IFERROR(INDEX(基础资料!$AD$5:$AD$34,MATCH(O2178,基础资料!$AC$5:$AC$34,0)),"")="收",N(G2178)&lt;&gt;0),"✗ 这类是收款，金额填到收入列",IF(AND(IFERROR(INDEX(基础资料!$AD$5:$AD$34,MATCH(O2178,基础资料!$AC$5:$AC$34,0)),"")="支",N(F2178)&lt;&gt;0),"✗ 这类是付款，金额填到支出列",IF(N(H2178)&lt;0,"⚠ 账户余额成负数了，核对一下","√"))))))))))))))))))</f>
      </c>
      <c r="O2178" s="78">
        <f>IF(D2178&lt;&gt;"",D2178,IF(AND(F2178="",G2178=""),"",IF(J2178&lt;&gt;"",IF(N(F2178)&gt;0,"客户回款","客户退款"),IF(K2178&lt;&gt;"",IF(N(G2178)&gt;0,"供应商付款","供应商退款"),IF(L2178&lt;&gt;"","费用支出","")))))</f>
      </c>
      <c r="P2178" s="78">
        <f>IF(O2178="","",IFERROR(INDEX(基础资料!$AE$5:$AE$34,MATCH(O2178,基础资料!$AC$5:$AC$34,0)),"未知"))</f>
      </c>
      <c r="Q2178" s="78">
        <f>IF(P2178="应收",COUNTIF(P$7:P2178,"应收"),"")</f>
      </c>
      <c r="R2178" s="78">
        <f>IF(P2178="应付",COUNTIF(P$7:P2178,"应付"),"")</f>
      </c>
      <c r="S2178" s="78">
        <f>N(F2178)-N(G2178)</f>
        <v>0</v>
      </c>
    </row>
    <row r="2179">
      <c r="A2179" s="109">
        <f>IF(AND(F2179="",G2179=""),"",ROW()-6)</f>
      </c>
      <c r="B2179" s="140" t="n"/>
      <c r="C2179" s="141" t="n"/>
      <c r="D2179" s="141" t="n"/>
      <c r="E2179" s="142" t="n"/>
      <c r="F2179" s="143" t="n"/>
      <c r="G2179" s="144" t="n"/>
      <c r="H2179" s="145">
        <f>IF(OR(C2179="",AND(F2179="",G2179="")),"",SUMIF(基础资料!$W$5:$W$24,C2179,基础资料!$X$5:$X$24)+SUMIF(C$7:C2179,C2179,F$7:F2179)-SUMIF(C$7:C2179,C2179,G$7:G2179))</f>
      </c>
      <c r="I2179" s="145">
        <f>IF(AND(F2179="",G2179=""),"",SUM(基础资料!$X$5:$X$24)+SUM(F$7:F2179)-SUM(G$7:G2179))</f>
      </c>
      <c r="J2179" s="141" t="n"/>
      <c r="K2179" s="141" t="n"/>
      <c r="L2179" s="141" t="n"/>
      <c r="M2179" s="142" t="n"/>
      <c r="N2179" s="146">
        <f>IF(AND(AND(F2179="",G2179=""),B2179="",C2179="",D2179="",J2179="",K2179="",L2179=""),"",IF(AND(F2179="",G2179=""),"✗ 没填金额",IF(AND(N(F2179)&lt;&gt;0,N(G2179)&lt;&gt;0),"✗ 收入、支出只能填一边",IF(NOT(ISNUMBER(B2179)),"✗ 日期不是真日期（要像 2026/9/25 这样填）",IF(OR(B2179&lt;年初日,B2179&gt;年末日),"✗ 日期不在本会计年度",IF(C2179="","✗ 没选账户",IF(COUNTIF(基础资料!$W$5:$W$24,C2179)=0,"✗ 账户不在基础资料里",IF(O2179="","✗ 没选收支项目",IF(P2179="未知","✗ 收支项目不在基础资料里",IF(AND(P2179="应收",J2179=""),"✗ 这笔要选客户",IF(AND(P2179="应收",COUNTIF(总览汇总!$B$5:$B$304,J2179)=0),"✗ 客户不在总览汇总名单里",IF(AND(P2179="应付",K2179=""),"✗ 这笔要选供应商",IF(AND(P2179="应付",COUNTIF(基础资料!$Q$5:$Q$54,K2179)=0),"✗ 供应商不在基础资料里",IF(AND(P2179="费用",L2179=""),"✗ 费用支出要选费用项目",IF(AND(L2179&lt;&gt;"",COUNTIF(基础资料!$AI$5:$AI$54,L2179)=0),"✗ 费用项目不在基础资料里",IF(AND(IFERROR(INDEX(基础资料!$AD$5:$AD$34,MATCH(O2179,基础资料!$AC$5:$AC$34,0)),"")="收",N(G2179)&lt;&gt;0),"✗ 这类是收款，金额填到收入列",IF(AND(IFERROR(INDEX(基础资料!$AD$5:$AD$34,MATCH(O2179,基础资料!$AC$5:$AC$34,0)),"")="支",N(F2179)&lt;&gt;0),"✗ 这类是付款，金额填到支出列",IF(N(H2179)&lt;0,"⚠ 账户余额成负数了，核对一下","√"))))))))))))))))))</f>
      </c>
      <c r="O2179" s="78">
        <f>IF(D2179&lt;&gt;"",D2179,IF(AND(F2179="",G2179=""),"",IF(J2179&lt;&gt;"",IF(N(F2179)&gt;0,"客户回款","客户退款"),IF(K2179&lt;&gt;"",IF(N(G2179)&gt;0,"供应商付款","供应商退款"),IF(L2179&lt;&gt;"","费用支出","")))))</f>
      </c>
      <c r="P2179" s="78">
        <f>IF(O2179="","",IFERROR(INDEX(基础资料!$AE$5:$AE$34,MATCH(O2179,基础资料!$AC$5:$AC$34,0)),"未知"))</f>
      </c>
      <c r="Q2179" s="78">
        <f>IF(P2179="应收",COUNTIF(P$7:P2179,"应收"),"")</f>
      </c>
      <c r="R2179" s="78">
        <f>IF(P2179="应付",COUNTIF(P$7:P2179,"应付"),"")</f>
      </c>
      <c r="S2179" s="78">
        <f>N(F2179)-N(G2179)</f>
        <v>0</v>
      </c>
    </row>
    <row r="2180">
      <c r="A2180" s="109">
        <f>IF(AND(F2180="",G2180=""),"",ROW()-6)</f>
      </c>
      <c r="B2180" s="140" t="n"/>
      <c r="C2180" s="141" t="n"/>
      <c r="D2180" s="141" t="n"/>
      <c r="E2180" s="142" t="n"/>
      <c r="F2180" s="143" t="n"/>
      <c r="G2180" s="144" t="n"/>
      <c r="H2180" s="145">
        <f>IF(OR(C2180="",AND(F2180="",G2180="")),"",SUMIF(基础资料!$W$5:$W$24,C2180,基础资料!$X$5:$X$24)+SUMIF(C$7:C2180,C2180,F$7:F2180)-SUMIF(C$7:C2180,C2180,G$7:G2180))</f>
      </c>
      <c r="I2180" s="145">
        <f>IF(AND(F2180="",G2180=""),"",SUM(基础资料!$X$5:$X$24)+SUM(F$7:F2180)-SUM(G$7:G2180))</f>
      </c>
      <c r="J2180" s="141" t="n"/>
      <c r="K2180" s="141" t="n"/>
      <c r="L2180" s="141" t="n"/>
      <c r="M2180" s="142" t="n"/>
      <c r="N2180" s="146">
        <f>IF(AND(AND(F2180="",G2180=""),B2180="",C2180="",D2180="",J2180="",K2180="",L2180=""),"",IF(AND(F2180="",G2180=""),"✗ 没填金额",IF(AND(N(F2180)&lt;&gt;0,N(G2180)&lt;&gt;0),"✗ 收入、支出只能填一边",IF(NOT(ISNUMBER(B2180)),"✗ 日期不是真日期（要像 2026/9/25 这样填）",IF(OR(B2180&lt;年初日,B2180&gt;年末日),"✗ 日期不在本会计年度",IF(C2180="","✗ 没选账户",IF(COUNTIF(基础资料!$W$5:$W$24,C2180)=0,"✗ 账户不在基础资料里",IF(O2180="","✗ 没选收支项目",IF(P2180="未知","✗ 收支项目不在基础资料里",IF(AND(P2180="应收",J2180=""),"✗ 这笔要选客户",IF(AND(P2180="应收",COUNTIF(总览汇总!$B$5:$B$304,J2180)=0),"✗ 客户不在总览汇总名单里",IF(AND(P2180="应付",K2180=""),"✗ 这笔要选供应商",IF(AND(P2180="应付",COUNTIF(基础资料!$Q$5:$Q$54,K2180)=0),"✗ 供应商不在基础资料里",IF(AND(P2180="费用",L2180=""),"✗ 费用支出要选费用项目",IF(AND(L2180&lt;&gt;"",COUNTIF(基础资料!$AI$5:$AI$54,L2180)=0),"✗ 费用项目不在基础资料里",IF(AND(IFERROR(INDEX(基础资料!$AD$5:$AD$34,MATCH(O2180,基础资料!$AC$5:$AC$34,0)),"")="收",N(G2180)&lt;&gt;0),"✗ 这类是收款，金额填到收入列",IF(AND(IFERROR(INDEX(基础资料!$AD$5:$AD$34,MATCH(O2180,基础资料!$AC$5:$AC$34,0)),"")="支",N(F2180)&lt;&gt;0),"✗ 这类是付款，金额填到支出列",IF(N(H2180)&lt;0,"⚠ 账户余额成负数了，核对一下","√"))))))))))))))))))</f>
      </c>
      <c r="O2180" s="78">
        <f>IF(D2180&lt;&gt;"",D2180,IF(AND(F2180="",G2180=""),"",IF(J2180&lt;&gt;"",IF(N(F2180)&gt;0,"客户回款","客户退款"),IF(K2180&lt;&gt;"",IF(N(G2180)&gt;0,"供应商付款","供应商退款"),IF(L2180&lt;&gt;"","费用支出","")))))</f>
      </c>
      <c r="P2180" s="78">
        <f>IF(O2180="","",IFERROR(INDEX(基础资料!$AE$5:$AE$34,MATCH(O2180,基础资料!$AC$5:$AC$34,0)),"未知"))</f>
      </c>
      <c r="Q2180" s="78">
        <f>IF(P2180="应收",COUNTIF(P$7:P2180,"应收"),"")</f>
      </c>
      <c r="R2180" s="78">
        <f>IF(P2180="应付",COUNTIF(P$7:P2180,"应付"),"")</f>
      </c>
      <c r="S2180" s="78">
        <f>N(F2180)-N(G2180)</f>
        <v>0</v>
      </c>
    </row>
    <row r="2181">
      <c r="A2181" s="109">
        <f>IF(AND(F2181="",G2181=""),"",ROW()-6)</f>
      </c>
      <c r="B2181" s="140" t="n"/>
      <c r="C2181" s="141" t="n"/>
      <c r="D2181" s="141" t="n"/>
      <c r="E2181" s="142" t="n"/>
      <c r="F2181" s="143" t="n"/>
      <c r="G2181" s="144" t="n"/>
      <c r="H2181" s="145">
        <f>IF(OR(C2181="",AND(F2181="",G2181="")),"",SUMIF(基础资料!$W$5:$W$24,C2181,基础资料!$X$5:$X$24)+SUMIF(C$7:C2181,C2181,F$7:F2181)-SUMIF(C$7:C2181,C2181,G$7:G2181))</f>
      </c>
      <c r="I2181" s="145">
        <f>IF(AND(F2181="",G2181=""),"",SUM(基础资料!$X$5:$X$24)+SUM(F$7:F2181)-SUM(G$7:G2181))</f>
      </c>
      <c r="J2181" s="141" t="n"/>
      <c r="K2181" s="141" t="n"/>
      <c r="L2181" s="141" t="n"/>
      <c r="M2181" s="142" t="n"/>
      <c r="N2181" s="146">
        <f>IF(AND(AND(F2181="",G2181=""),B2181="",C2181="",D2181="",J2181="",K2181="",L2181=""),"",IF(AND(F2181="",G2181=""),"✗ 没填金额",IF(AND(N(F2181)&lt;&gt;0,N(G2181)&lt;&gt;0),"✗ 收入、支出只能填一边",IF(NOT(ISNUMBER(B2181)),"✗ 日期不是真日期（要像 2026/9/25 这样填）",IF(OR(B2181&lt;年初日,B2181&gt;年末日),"✗ 日期不在本会计年度",IF(C2181="","✗ 没选账户",IF(COUNTIF(基础资料!$W$5:$W$24,C2181)=0,"✗ 账户不在基础资料里",IF(O2181="","✗ 没选收支项目",IF(P2181="未知","✗ 收支项目不在基础资料里",IF(AND(P2181="应收",J2181=""),"✗ 这笔要选客户",IF(AND(P2181="应收",COUNTIF(总览汇总!$B$5:$B$304,J2181)=0),"✗ 客户不在总览汇总名单里",IF(AND(P2181="应付",K2181=""),"✗ 这笔要选供应商",IF(AND(P2181="应付",COUNTIF(基础资料!$Q$5:$Q$54,K2181)=0),"✗ 供应商不在基础资料里",IF(AND(P2181="费用",L2181=""),"✗ 费用支出要选费用项目",IF(AND(L2181&lt;&gt;"",COUNTIF(基础资料!$AI$5:$AI$54,L2181)=0),"✗ 费用项目不在基础资料里",IF(AND(IFERROR(INDEX(基础资料!$AD$5:$AD$34,MATCH(O2181,基础资料!$AC$5:$AC$34,0)),"")="收",N(G2181)&lt;&gt;0),"✗ 这类是收款，金额填到收入列",IF(AND(IFERROR(INDEX(基础资料!$AD$5:$AD$34,MATCH(O2181,基础资料!$AC$5:$AC$34,0)),"")="支",N(F2181)&lt;&gt;0),"✗ 这类是付款，金额填到支出列",IF(N(H2181)&lt;0,"⚠ 账户余额成负数了，核对一下","√"))))))))))))))))))</f>
      </c>
      <c r="O2181" s="78">
        <f>IF(D2181&lt;&gt;"",D2181,IF(AND(F2181="",G2181=""),"",IF(J2181&lt;&gt;"",IF(N(F2181)&gt;0,"客户回款","客户退款"),IF(K2181&lt;&gt;"",IF(N(G2181)&gt;0,"供应商付款","供应商退款"),IF(L2181&lt;&gt;"","费用支出","")))))</f>
      </c>
      <c r="P2181" s="78">
        <f>IF(O2181="","",IFERROR(INDEX(基础资料!$AE$5:$AE$34,MATCH(O2181,基础资料!$AC$5:$AC$34,0)),"未知"))</f>
      </c>
      <c r="Q2181" s="78">
        <f>IF(P2181="应收",COUNTIF(P$7:P2181,"应收"),"")</f>
      </c>
      <c r="R2181" s="78">
        <f>IF(P2181="应付",COUNTIF(P$7:P2181,"应付"),"")</f>
      </c>
      <c r="S2181" s="78">
        <f>N(F2181)-N(G2181)</f>
        <v>0</v>
      </c>
    </row>
    <row r="2182">
      <c r="A2182" s="109">
        <f>IF(AND(F2182="",G2182=""),"",ROW()-6)</f>
      </c>
      <c r="B2182" s="140" t="n"/>
      <c r="C2182" s="141" t="n"/>
      <c r="D2182" s="141" t="n"/>
      <c r="E2182" s="142" t="n"/>
      <c r="F2182" s="143" t="n"/>
      <c r="G2182" s="144" t="n"/>
      <c r="H2182" s="145">
        <f>IF(OR(C2182="",AND(F2182="",G2182="")),"",SUMIF(基础资料!$W$5:$W$24,C2182,基础资料!$X$5:$X$24)+SUMIF(C$7:C2182,C2182,F$7:F2182)-SUMIF(C$7:C2182,C2182,G$7:G2182))</f>
      </c>
      <c r="I2182" s="145">
        <f>IF(AND(F2182="",G2182=""),"",SUM(基础资料!$X$5:$X$24)+SUM(F$7:F2182)-SUM(G$7:G2182))</f>
      </c>
      <c r="J2182" s="141" t="n"/>
      <c r="K2182" s="141" t="n"/>
      <c r="L2182" s="141" t="n"/>
      <c r="M2182" s="142" t="n"/>
      <c r="N2182" s="146">
        <f>IF(AND(AND(F2182="",G2182=""),B2182="",C2182="",D2182="",J2182="",K2182="",L2182=""),"",IF(AND(F2182="",G2182=""),"✗ 没填金额",IF(AND(N(F2182)&lt;&gt;0,N(G2182)&lt;&gt;0),"✗ 收入、支出只能填一边",IF(NOT(ISNUMBER(B2182)),"✗ 日期不是真日期（要像 2026/9/25 这样填）",IF(OR(B2182&lt;年初日,B2182&gt;年末日),"✗ 日期不在本会计年度",IF(C2182="","✗ 没选账户",IF(COUNTIF(基础资料!$W$5:$W$24,C2182)=0,"✗ 账户不在基础资料里",IF(O2182="","✗ 没选收支项目",IF(P2182="未知","✗ 收支项目不在基础资料里",IF(AND(P2182="应收",J2182=""),"✗ 这笔要选客户",IF(AND(P2182="应收",COUNTIF(总览汇总!$B$5:$B$304,J2182)=0),"✗ 客户不在总览汇总名单里",IF(AND(P2182="应付",K2182=""),"✗ 这笔要选供应商",IF(AND(P2182="应付",COUNTIF(基础资料!$Q$5:$Q$54,K2182)=0),"✗ 供应商不在基础资料里",IF(AND(P2182="费用",L2182=""),"✗ 费用支出要选费用项目",IF(AND(L2182&lt;&gt;"",COUNTIF(基础资料!$AI$5:$AI$54,L2182)=0),"✗ 费用项目不在基础资料里",IF(AND(IFERROR(INDEX(基础资料!$AD$5:$AD$34,MATCH(O2182,基础资料!$AC$5:$AC$34,0)),"")="收",N(G2182)&lt;&gt;0),"✗ 这类是收款，金额填到收入列",IF(AND(IFERROR(INDEX(基础资料!$AD$5:$AD$34,MATCH(O2182,基础资料!$AC$5:$AC$34,0)),"")="支",N(F2182)&lt;&gt;0),"✗ 这类是付款，金额填到支出列",IF(N(H2182)&lt;0,"⚠ 账户余额成负数了，核对一下","√"))))))))))))))))))</f>
      </c>
      <c r="O2182" s="78">
        <f>IF(D2182&lt;&gt;"",D2182,IF(AND(F2182="",G2182=""),"",IF(J2182&lt;&gt;"",IF(N(F2182)&gt;0,"客户回款","客户退款"),IF(K2182&lt;&gt;"",IF(N(G2182)&gt;0,"供应商付款","供应商退款"),IF(L2182&lt;&gt;"","费用支出","")))))</f>
      </c>
      <c r="P2182" s="78">
        <f>IF(O2182="","",IFERROR(INDEX(基础资料!$AE$5:$AE$34,MATCH(O2182,基础资料!$AC$5:$AC$34,0)),"未知"))</f>
      </c>
      <c r="Q2182" s="78">
        <f>IF(P2182="应收",COUNTIF(P$7:P2182,"应收"),"")</f>
      </c>
      <c r="R2182" s="78">
        <f>IF(P2182="应付",COUNTIF(P$7:P2182,"应付"),"")</f>
      </c>
      <c r="S2182" s="78">
        <f>N(F2182)-N(G2182)</f>
        <v>0</v>
      </c>
    </row>
    <row r="2183">
      <c r="A2183" s="109">
        <f>IF(AND(F2183="",G2183=""),"",ROW()-6)</f>
      </c>
      <c r="B2183" s="140" t="n"/>
      <c r="C2183" s="141" t="n"/>
      <c r="D2183" s="141" t="n"/>
      <c r="E2183" s="142" t="n"/>
      <c r="F2183" s="143" t="n"/>
      <c r="G2183" s="144" t="n"/>
      <c r="H2183" s="145">
        <f>IF(OR(C2183="",AND(F2183="",G2183="")),"",SUMIF(基础资料!$W$5:$W$24,C2183,基础资料!$X$5:$X$24)+SUMIF(C$7:C2183,C2183,F$7:F2183)-SUMIF(C$7:C2183,C2183,G$7:G2183))</f>
      </c>
      <c r="I2183" s="145">
        <f>IF(AND(F2183="",G2183=""),"",SUM(基础资料!$X$5:$X$24)+SUM(F$7:F2183)-SUM(G$7:G2183))</f>
      </c>
      <c r="J2183" s="141" t="n"/>
      <c r="K2183" s="141" t="n"/>
      <c r="L2183" s="141" t="n"/>
      <c r="M2183" s="142" t="n"/>
      <c r="N2183" s="146">
        <f>IF(AND(AND(F2183="",G2183=""),B2183="",C2183="",D2183="",J2183="",K2183="",L2183=""),"",IF(AND(F2183="",G2183=""),"✗ 没填金额",IF(AND(N(F2183)&lt;&gt;0,N(G2183)&lt;&gt;0),"✗ 收入、支出只能填一边",IF(NOT(ISNUMBER(B2183)),"✗ 日期不是真日期（要像 2026/9/25 这样填）",IF(OR(B2183&lt;年初日,B2183&gt;年末日),"✗ 日期不在本会计年度",IF(C2183="","✗ 没选账户",IF(COUNTIF(基础资料!$W$5:$W$24,C2183)=0,"✗ 账户不在基础资料里",IF(O2183="","✗ 没选收支项目",IF(P2183="未知","✗ 收支项目不在基础资料里",IF(AND(P2183="应收",J2183=""),"✗ 这笔要选客户",IF(AND(P2183="应收",COUNTIF(总览汇总!$B$5:$B$304,J2183)=0),"✗ 客户不在总览汇总名单里",IF(AND(P2183="应付",K2183=""),"✗ 这笔要选供应商",IF(AND(P2183="应付",COUNTIF(基础资料!$Q$5:$Q$54,K2183)=0),"✗ 供应商不在基础资料里",IF(AND(P2183="费用",L2183=""),"✗ 费用支出要选费用项目",IF(AND(L2183&lt;&gt;"",COUNTIF(基础资料!$AI$5:$AI$54,L2183)=0),"✗ 费用项目不在基础资料里",IF(AND(IFERROR(INDEX(基础资料!$AD$5:$AD$34,MATCH(O2183,基础资料!$AC$5:$AC$34,0)),"")="收",N(G2183)&lt;&gt;0),"✗ 这类是收款，金额填到收入列",IF(AND(IFERROR(INDEX(基础资料!$AD$5:$AD$34,MATCH(O2183,基础资料!$AC$5:$AC$34,0)),"")="支",N(F2183)&lt;&gt;0),"✗ 这类是付款，金额填到支出列",IF(N(H2183)&lt;0,"⚠ 账户余额成负数了，核对一下","√"))))))))))))))))))</f>
      </c>
      <c r="O2183" s="78">
        <f>IF(D2183&lt;&gt;"",D2183,IF(AND(F2183="",G2183=""),"",IF(J2183&lt;&gt;"",IF(N(F2183)&gt;0,"客户回款","客户退款"),IF(K2183&lt;&gt;"",IF(N(G2183)&gt;0,"供应商付款","供应商退款"),IF(L2183&lt;&gt;"","费用支出","")))))</f>
      </c>
      <c r="P2183" s="78">
        <f>IF(O2183="","",IFERROR(INDEX(基础资料!$AE$5:$AE$34,MATCH(O2183,基础资料!$AC$5:$AC$34,0)),"未知"))</f>
      </c>
      <c r="Q2183" s="78">
        <f>IF(P2183="应收",COUNTIF(P$7:P2183,"应收"),"")</f>
      </c>
      <c r="R2183" s="78">
        <f>IF(P2183="应付",COUNTIF(P$7:P2183,"应付"),"")</f>
      </c>
      <c r="S2183" s="78">
        <f>N(F2183)-N(G2183)</f>
        <v>0</v>
      </c>
    </row>
    <row r="2184">
      <c r="A2184" s="109">
        <f>IF(AND(F2184="",G2184=""),"",ROW()-6)</f>
      </c>
      <c r="B2184" s="140" t="n"/>
      <c r="C2184" s="141" t="n"/>
      <c r="D2184" s="141" t="n"/>
      <c r="E2184" s="142" t="n"/>
      <c r="F2184" s="143" t="n"/>
      <c r="G2184" s="144" t="n"/>
      <c r="H2184" s="145">
        <f>IF(OR(C2184="",AND(F2184="",G2184="")),"",SUMIF(基础资料!$W$5:$W$24,C2184,基础资料!$X$5:$X$24)+SUMIF(C$7:C2184,C2184,F$7:F2184)-SUMIF(C$7:C2184,C2184,G$7:G2184))</f>
      </c>
      <c r="I2184" s="145">
        <f>IF(AND(F2184="",G2184=""),"",SUM(基础资料!$X$5:$X$24)+SUM(F$7:F2184)-SUM(G$7:G2184))</f>
      </c>
      <c r="J2184" s="141" t="n"/>
      <c r="K2184" s="141" t="n"/>
      <c r="L2184" s="141" t="n"/>
      <c r="M2184" s="142" t="n"/>
      <c r="N2184" s="146">
        <f>IF(AND(AND(F2184="",G2184=""),B2184="",C2184="",D2184="",J2184="",K2184="",L2184=""),"",IF(AND(F2184="",G2184=""),"✗ 没填金额",IF(AND(N(F2184)&lt;&gt;0,N(G2184)&lt;&gt;0),"✗ 收入、支出只能填一边",IF(NOT(ISNUMBER(B2184)),"✗ 日期不是真日期（要像 2026/9/25 这样填）",IF(OR(B2184&lt;年初日,B2184&gt;年末日),"✗ 日期不在本会计年度",IF(C2184="","✗ 没选账户",IF(COUNTIF(基础资料!$W$5:$W$24,C2184)=0,"✗ 账户不在基础资料里",IF(O2184="","✗ 没选收支项目",IF(P2184="未知","✗ 收支项目不在基础资料里",IF(AND(P2184="应收",J2184=""),"✗ 这笔要选客户",IF(AND(P2184="应收",COUNTIF(总览汇总!$B$5:$B$304,J2184)=0),"✗ 客户不在总览汇总名单里",IF(AND(P2184="应付",K2184=""),"✗ 这笔要选供应商",IF(AND(P2184="应付",COUNTIF(基础资料!$Q$5:$Q$54,K2184)=0),"✗ 供应商不在基础资料里",IF(AND(P2184="费用",L2184=""),"✗ 费用支出要选费用项目",IF(AND(L2184&lt;&gt;"",COUNTIF(基础资料!$AI$5:$AI$54,L2184)=0),"✗ 费用项目不在基础资料里",IF(AND(IFERROR(INDEX(基础资料!$AD$5:$AD$34,MATCH(O2184,基础资料!$AC$5:$AC$34,0)),"")="收",N(G2184)&lt;&gt;0),"✗ 这类是收款，金额填到收入列",IF(AND(IFERROR(INDEX(基础资料!$AD$5:$AD$34,MATCH(O2184,基础资料!$AC$5:$AC$34,0)),"")="支",N(F2184)&lt;&gt;0),"✗ 这类是付款，金额填到支出列",IF(N(H2184)&lt;0,"⚠ 账户余额成负数了，核对一下","√"))))))))))))))))))</f>
      </c>
      <c r="O2184" s="78">
        <f>IF(D2184&lt;&gt;"",D2184,IF(AND(F2184="",G2184=""),"",IF(J2184&lt;&gt;"",IF(N(F2184)&gt;0,"客户回款","客户退款"),IF(K2184&lt;&gt;"",IF(N(G2184)&gt;0,"供应商付款","供应商退款"),IF(L2184&lt;&gt;"","费用支出","")))))</f>
      </c>
      <c r="P2184" s="78">
        <f>IF(O2184="","",IFERROR(INDEX(基础资料!$AE$5:$AE$34,MATCH(O2184,基础资料!$AC$5:$AC$34,0)),"未知"))</f>
      </c>
      <c r="Q2184" s="78">
        <f>IF(P2184="应收",COUNTIF(P$7:P2184,"应收"),"")</f>
      </c>
      <c r="R2184" s="78">
        <f>IF(P2184="应付",COUNTIF(P$7:P2184,"应付"),"")</f>
      </c>
      <c r="S2184" s="78">
        <f>N(F2184)-N(G2184)</f>
        <v>0</v>
      </c>
    </row>
    <row r="2185">
      <c r="A2185" s="109">
        <f>IF(AND(F2185="",G2185=""),"",ROW()-6)</f>
      </c>
      <c r="B2185" s="140" t="n"/>
      <c r="C2185" s="141" t="n"/>
      <c r="D2185" s="141" t="n"/>
      <c r="E2185" s="142" t="n"/>
      <c r="F2185" s="143" t="n"/>
      <c r="G2185" s="144" t="n"/>
      <c r="H2185" s="145">
        <f>IF(OR(C2185="",AND(F2185="",G2185="")),"",SUMIF(基础资料!$W$5:$W$24,C2185,基础资料!$X$5:$X$24)+SUMIF(C$7:C2185,C2185,F$7:F2185)-SUMIF(C$7:C2185,C2185,G$7:G2185))</f>
      </c>
      <c r="I2185" s="145">
        <f>IF(AND(F2185="",G2185=""),"",SUM(基础资料!$X$5:$X$24)+SUM(F$7:F2185)-SUM(G$7:G2185))</f>
      </c>
      <c r="J2185" s="141" t="n"/>
      <c r="K2185" s="141" t="n"/>
      <c r="L2185" s="141" t="n"/>
      <c r="M2185" s="142" t="n"/>
      <c r="N2185" s="146">
        <f>IF(AND(AND(F2185="",G2185=""),B2185="",C2185="",D2185="",J2185="",K2185="",L2185=""),"",IF(AND(F2185="",G2185=""),"✗ 没填金额",IF(AND(N(F2185)&lt;&gt;0,N(G2185)&lt;&gt;0),"✗ 收入、支出只能填一边",IF(NOT(ISNUMBER(B2185)),"✗ 日期不是真日期（要像 2026/9/25 这样填）",IF(OR(B2185&lt;年初日,B2185&gt;年末日),"✗ 日期不在本会计年度",IF(C2185="","✗ 没选账户",IF(COUNTIF(基础资料!$W$5:$W$24,C2185)=0,"✗ 账户不在基础资料里",IF(O2185="","✗ 没选收支项目",IF(P2185="未知","✗ 收支项目不在基础资料里",IF(AND(P2185="应收",J2185=""),"✗ 这笔要选客户",IF(AND(P2185="应收",COUNTIF(总览汇总!$B$5:$B$304,J2185)=0),"✗ 客户不在总览汇总名单里",IF(AND(P2185="应付",K2185=""),"✗ 这笔要选供应商",IF(AND(P2185="应付",COUNTIF(基础资料!$Q$5:$Q$54,K2185)=0),"✗ 供应商不在基础资料里",IF(AND(P2185="费用",L2185=""),"✗ 费用支出要选费用项目",IF(AND(L2185&lt;&gt;"",COUNTIF(基础资料!$AI$5:$AI$54,L2185)=0),"✗ 费用项目不在基础资料里",IF(AND(IFERROR(INDEX(基础资料!$AD$5:$AD$34,MATCH(O2185,基础资料!$AC$5:$AC$34,0)),"")="收",N(G2185)&lt;&gt;0),"✗ 这类是收款，金额填到收入列",IF(AND(IFERROR(INDEX(基础资料!$AD$5:$AD$34,MATCH(O2185,基础资料!$AC$5:$AC$34,0)),"")="支",N(F2185)&lt;&gt;0),"✗ 这类是付款，金额填到支出列",IF(N(H2185)&lt;0,"⚠ 账户余额成负数了，核对一下","√"))))))))))))))))))</f>
      </c>
      <c r="O2185" s="78">
        <f>IF(D2185&lt;&gt;"",D2185,IF(AND(F2185="",G2185=""),"",IF(J2185&lt;&gt;"",IF(N(F2185)&gt;0,"客户回款","客户退款"),IF(K2185&lt;&gt;"",IF(N(G2185)&gt;0,"供应商付款","供应商退款"),IF(L2185&lt;&gt;"","费用支出","")))))</f>
      </c>
      <c r="P2185" s="78">
        <f>IF(O2185="","",IFERROR(INDEX(基础资料!$AE$5:$AE$34,MATCH(O2185,基础资料!$AC$5:$AC$34,0)),"未知"))</f>
      </c>
      <c r="Q2185" s="78">
        <f>IF(P2185="应收",COUNTIF(P$7:P2185,"应收"),"")</f>
      </c>
      <c r="R2185" s="78">
        <f>IF(P2185="应付",COUNTIF(P$7:P2185,"应付"),"")</f>
      </c>
      <c r="S2185" s="78">
        <f>N(F2185)-N(G2185)</f>
        <v>0</v>
      </c>
    </row>
    <row r="2186">
      <c r="A2186" s="109">
        <f>IF(AND(F2186="",G2186=""),"",ROW()-6)</f>
      </c>
      <c r="B2186" s="140" t="n"/>
      <c r="C2186" s="141" t="n"/>
      <c r="D2186" s="141" t="n"/>
      <c r="E2186" s="142" t="n"/>
      <c r="F2186" s="143" t="n"/>
      <c r="G2186" s="144" t="n"/>
      <c r="H2186" s="145">
        <f>IF(OR(C2186="",AND(F2186="",G2186="")),"",SUMIF(基础资料!$W$5:$W$24,C2186,基础资料!$X$5:$X$24)+SUMIF(C$7:C2186,C2186,F$7:F2186)-SUMIF(C$7:C2186,C2186,G$7:G2186))</f>
      </c>
      <c r="I2186" s="145">
        <f>IF(AND(F2186="",G2186=""),"",SUM(基础资料!$X$5:$X$24)+SUM(F$7:F2186)-SUM(G$7:G2186))</f>
      </c>
      <c r="J2186" s="141" t="n"/>
      <c r="K2186" s="141" t="n"/>
      <c r="L2186" s="141" t="n"/>
      <c r="M2186" s="142" t="n"/>
      <c r="N2186" s="146">
        <f>IF(AND(AND(F2186="",G2186=""),B2186="",C2186="",D2186="",J2186="",K2186="",L2186=""),"",IF(AND(F2186="",G2186=""),"✗ 没填金额",IF(AND(N(F2186)&lt;&gt;0,N(G2186)&lt;&gt;0),"✗ 收入、支出只能填一边",IF(NOT(ISNUMBER(B2186)),"✗ 日期不是真日期（要像 2026/9/25 这样填）",IF(OR(B2186&lt;年初日,B2186&gt;年末日),"✗ 日期不在本会计年度",IF(C2186="","✗ 没选账户",IF(COUNTIF(基础资料!$W$5:$W$24,C2186)=0,"✗ 账户不在基础资料里",IF(O2186="","✗ 没选收支项目",IF(P2186="未知","✗ 收支项目不在基础资料里",IF(AND(P2186="应收",J2186=""),"✗ 这笔要选客户",IF(AND(P2186="应收",COUNTIF(总览汇总!$B$5:$B$304,J2186)=0),"✗ 客户不在总览汇总名单里",IF(AND(P2186="应付",K2186=""),"✗ 这笔要选供应商",IF(AND(P2186="应付",COUNTIF(基础资料!$Q$5:$Q$54,K2186)=0),"✗ 供应商不在基础资料里",IF(AND(P2186="费用",L2186=""),"✗ 费用支出要选费用项目",IF(AND(L2186&lt;&gt;"",COUNTIF(基础资料!$AI$5:$AI$54,L2186)=0),"✗ 费用项目不在基础资料里",IF(AND(IFERROR(INDEX(基础资料!$AD$5:$AD$34,MATCH(O2186,基础资料!$AC$5:$AC$34,0)),"")="收",N(G2186)&lt;&gt;0),"✗ 这类是收款，金额填到收入列",IF(AND(IFERROR(INDEX(基础资料!$AD$5:$AD$34,MATCH(O2186,基础资料!$AC$5:$AC$34,0)),"")="支",N(F2186)&lt;&gt;0),"✗ 这类是付款，金额填到支出列",IF(N(H2186)&lt;0,"⚠ 账户余额成负数了，核对一下","√"))))))))))))))))))</f>
      </c>
      <c r="O2186" s="78">
        <f>IF(D2186&lt;&gt;"",D2186,IF(AND(F2186="",G2186=""),"",IF(J2186&lt;&gt;"",IF(N(F2186)&gt;0,"客户回款","客户退款"),IF(K2186&lt;&gt;"",IF(N(G2186)&gt;0,"供应商付款","供应商退款"),IF(L2186&lt;&gt;"","费用支出","")))))</f>
      </c>
      <c r="P2186" s="78">
        <f>IF(O2186="","",IFERROR(INDEX(基础资料!$AE$5:$AE$34,MATCH(O2186,基础资料!$AC$5:$AC$34,0)),"未知"))</f>
      </c>
      <c r="Q2186" s="78">
        <f>IF(P2186="应收",COUNTIF(P$7:P2186,"应收"),"")</f>
      </c>
      <c r="R2186" s="78">
        <f>IF(P2186="应付",COUNTIF(P$7:P2186,"应付"),"")</f>
      </c>
      <c r="S2186" s="78">
        <f>N(F2186)-N(G2186)</f>
        <v>0</v>
      </c>
    </row>
    <row r="2187">
      <c r="A2187" s="109">
        <f>IF(AND(F2187="",G2187=""),"",ROW()-6)</f>
      </c>
      <c r="B2187" s="140" t="n"/>
      <c r="C2187" s="141" t="n"/>
      <c r="D2187" s="141" t="n"/>
      <c r="E2187" s="142" t="n"/>
      <c r="F2187" s="143" t="n"/>
      <c r="G2187" s="144" t="n"/>
      <c r="H2187" s="145">
        <f>IF(OR(C2187="",AND(F2187="",G2187="")),"",SUMIF(基础资料!$W$5:$W$24,C2187,基础资料!$X$5:$X$24)+SUMIF(C$7:C2187,C2187,F$7:F2187)-SUMIF(C$7:C2187,C2187,G$7:G2187))</f>
      </c>
      <c r="I2187" s="145">
        <f>IF(AND(F2187="",G2187=""),"",SUM(基础资料!$X$5:$X$24)+SUM(F$7:F2187)-SUM(G$7:G2187))</f>
      </c>
      <c r="J2187" s="141" t="n"/>
      <c r="K2187" s="141" t="n"/>
      <c r="L2187" s="141" t="n"/>
      <c r="M2187" s="142" t="n"/>
      <c r="N2187" s="146">
        <f>IF(AND(AND(F2187="",G2187=""),B2187="",C2187="",D2187="",J2187="",K2187="",L2187=""),"",IF(AND(F2187="",G2187=""),"✗ 没填金额",IF(AND(N(F2187)&lt;&gt;0,N(G2187)&lt;&gt;0),"✗ 收入、支出只能填一边",IF(NOT(ISNUMBER(B2187)),"✗ 日期不是真日期（要像 2026/9/25 这样填）",IF(OR(B2187&lt;年初日,B2187&gt;年末日),"✗ 日期不在本会计年度",IF(C2187="","✗ 没选账户",IF(COUNTIF(基础资料!$W$5:$W$24,C2187)=0,"✗ 账户不在基础资料里",IF(O2187="","✗ 没选收支项目",IF(P2187="未知","✗ 收支项目不在基础资料里",IF(AND(P2187="应收",J2187=""),"✗ 这笔要选客户",IF(AND(P2187="应收",COUNTIF(总览汇总!$B$5:$B$304,J2187)=0),"✗ 客户不在总览汇总名单里",IF(AND(P2187="应付",K2187=""),"✗ 这笔要选供应商",IF(AND(P2187="应付",COUNTIF(基础资料!$Q$5:$Q$54,K2187)=0),"✗ 供应商不在基础资料里",IF(AND(P2187="费用",L2187=""),"✗ 费用支出要选费用项目",IF(AND(L2187&lt;&gt;"",COUNTIF(基础资料!$AI$5:$AI$54,L2187)=0),"✗ 费用项目不在基础资料里",IF(AND(IFERROR(INDEX(基础资料!$AD$5:$AD$34,MATCH(O2187,基础资料!$AC$5:$AC$34,0)),"")="收",N(G2187)&lt;&gt;0),"✗ 这类是收款，金额填到收入列",IF(AND(IFERROR(INDEX(基础资料!$AD$5:$AD$34,MATCH(O2187,基础资料!$AC$5:$AC$34,0)),"")="支",N(F2187)&lt;&gt;0),"✗ 这类是付款，金额填到支出列",IF(N(H2187)&lt;0,"⚠ 账户余额成负数了，核对一下","√"))))))))))))))))))</f>
      </c>
      <c r="O2187" s="78">
        <f>IF(D2187&lt;&gt;"",D2187,IF(AND(F2187="",G2187=""),"",IF(J2187&lt;&gt;"",IF(N(F2187)&gt;0,"客户回款","客户退款"),IF(K2187&lt;&gt;"",IF(N(G2187)&gt;0,"供应商付款","供应商退款"),IF(L2187&lt;&gt;"","费用支出","")))))</f>
      </c>
      <c r="P2187" s="78">
        <f>IF(O2187="","",IFERROR(INDEX(基础资料!$AE$5:$AE$34,MATCH(O2187,基础资料!$AC$5:$AC$34,0)),"未知"))</f>
      </c>
      <c r="Q2187" s="78">
        <f>IF(P2187="应收",COUNTIF(P$7:P2187,"应收"),"")</f>
      </c>
      <c r="R2187" s="78">
        <f>IF(P2187="应付",COUNTIF(P$7:P2187,"应付"),"")</f>
      </c>
      <c r="S2187" s="78">
        <f>N(F2187)-N(G2187)</f>
        <v>0</v>
      </c>
    </row>
    <row r="2188">
      <c r="A2188" s="109">
        <f>IF(AND(F2188="",G2188=""),"",ROW()-6)</f>
      </c>
      <c r="B2188" s="140" t="n"/>
      <c r="C2188" s="141" t="n"/>
      <c r="D2188" s="141" t="n"/>
      <c r="E2188" s="142" t="n"/>
      <c r="F2188" s="143" t="n"/>
      <c r="G2188" s="144" t="n"/>
      <c r="H2188" s="145">
        <f>IF(OR(C2188="",AND(F2188="",G2188="")),"",SUMIF(基础资料!$W$5:$W$24,C2188,基础资料!$X$5:$X$24)+SUMIF(C$7:C2188,C2188,F$7:F2188)-SUMIF(C$7:C2188,C2188,G$7:G2188))</f>
      </c>
      <c r="I2188" s="145">
        <f>IF(AND(F2188="",G2188=""),"",SUM(基础资料!$X$5:$X$24)+SUM(F$7:F2188)-SUM(G$7:G2188))</f>
      </c>
      <c r="J2188" s="141" t="n"/>
      <c r="K2188" s="141" t="n"/>
      <c r="L2188" s="141" t="n"/>
      <c r="M2188" s="142" t="n"/>
      <c r="N2188" s="146">
        <f>IF(AND(AND(F2188="",G2188=""),B2188="",C2188="",D2188="",J2188="",K2188="",L2188=""),"",IF(AND(F2188="",G2188=""),"✗ 没填金额",IF(AND(N(F2188)&lt;&gt;0,N(G2188)&lt;&gt;0),"✗ 收入、支出只能填一边",IF(NOT(ISNUMBER(B2188)),"✗ 日期不是真日期（要像 2026/9/25 这样填）",IF(OR(B2188&lt;年初日,B2188&gt;年末日),"✗ 日期不在本会计年度",IF(C2188="","✗ 没选账户",IF(COUNTIF(基础资料!$W$5:$W$24,C2188)=0,"✗ 账户不在基础资料里",IF(O2188="","✗ 没选收支项目",IF(P2188="未知","✗ 收支项目不在基础资料里",IF(AND(P2188="应收",J2188=""),"✗ 这笔要选客户",IF(AND(P2188="应收",COUNTIF(总览汇总!$B$5:$B$304,J2188)=0),"✗ 客户不在总览汇总名单里",IF(AND(P2188="应付",K2188=""),"✗ 这笔要选供应商",IF(AND(P2188="应付",COUNTIF(基础资料!$Q$5:$Q$54,K2188)=0),"✗ 供应商不在基础资料里",IF(AND(P2188="费用",L2188=""),"✗ 费用支出要选费用项目",IF(AND(L2188&lt;&gt;"",COUNTIF(基础资料!$AI$5:$AI$54,L2188)=0),"✗ 费用项目不在基础资料里",IF(AND(IFERROR(INDEX(基础资料!$AD$5:$AD$34,MATCH(O2188,基础资料!$AC$5:$AC$34,0)),"")="收",N(G2188)&lt;&gt;0),"✗ 这类是收款，金额填到收入列",IF(AND(IFERROR(INDEX(基础资料!$AD$5:$AD$34,MATCH(O2188,基础资料!$AC$5:$AC$34,0)),"")="支",N(F2188)&lt;&gt;0),"✗ 这类是付款，金额填到支出列",IF(N(H2188)&lt;0,"⚠ 账户余额成负数了，核对一下","√"))))))))))))))))))</f>
      </c>
      <c r="O2188" s="78">
        <f>IF(D2188&lt;&gt;"",D2188,IF(AND(F2188="",G2188=""),"",IF(J2188&lt;&gt;"",IF(N(F2188)&gt;0,"客户回款","客户退款"),IF(K2188&lt;&gt;"",IF(N(G2188)&gt;0,"供应商付款","供应商退款"),IF(L2188&lt;&gt;"","费用支出","")))))</f>
      </c>
      <c r="P2188" s="78">
        <f>IF(O2188="","",IFERROR(INDEX(基础资料!$AE$5:$AE$34,MATCH(O2188,基础资料!$AC$5:$AC$34,0)),"未知"))</f>
      </c>
      <c r="Q2188" s="78">
        <f>IF(P2188="应收",COUNTIF(P$7:P2188,"应收"),"")</f>
      </c>
      <c r="R2188" s="78">
        <f>IF(P2188="应付",COUNTIF(P$7:P2188,"应付"),"")</f>
      </c>
      <c r="S2188" s="78">
        <f>N(F2188)-N(G2188)</f>
        <v>0</v>
      </c>
    </row>
    <row r="2189">
      <c r="A2189" s="109">
        <f>IF(AND(F2189="",G2189=""),"",ROW()-6)</f>
      </c>
      <c r="B2189" s="140" t="n"/>
      <c r="C2189" s="141" t="n"/>
      <c r="D2189" s="141" t="n"/>
      <c r="E2189" s="142" t="n"/>
      <c r="F2189" s="143" t="n"/>
      <c r="G2189" s="144" t="n"/>
      <c r="H2189" s="145">
        <f>IF(OR(C2189="",AND(F2189="",G2189="")),"",SUMIF(基础资料!$W$5:$W$24,C2189,基础资料!$X$5:$X$24)+SUMIF(C$7:C2189,C2189,F$7:F2189)-SUMIF(C$7:C2189,C2189,G$7:G2189))</f>
      </c>
      <c r="I2189" s="145">
        <f>IF(AND(F2189="",G2189=""),"",SUM(基础资料!$X$5:$X$24)+SUM(F$7:F2189)-SUM(G$7:G2189))</f>
      </c>
      <c r="J2189" s="141" t="n"/>
      <c r="K2189" s="141" t="n"/>
      <c r="L2189" s="141" t="n"/>
      <c r="M2189" s="142" t="n"/>
      <c r="N2189" s="146">
        <f>IF(AND(AND(F2189="",G2189=""),B2189="",C2189="",D2189="",J2189="",K2189="",L2189=""),"",IF(AND(F2189="",G2189=""),"✗ 没填金额",IF(AND(N(F2189)&lt;&gt;0,N(G2189)&lt;&gt;0),"✗ 收入、支出只能填一边",IF(NOT(ISNUMBER(B2189)),"✗ 日期不是真日期（要像 2026/9/25 这样填）",IF(OR(B2189&lt;年初日,B2189&gt;年末日),"✗ 日期不在本会计年度",IF(C2189="","✗ 没选账户",IF(COUNTIF(基础资料!$W$5:$W$24,C2189)=0,"✗ 账户不在基础资料里",IF(O2189="","✗ 没选收支项目",IF(P2189="未知","✗ 收支项目不在基础资料里",IF(AND(P2189="应收",J2189=""),"✗ 这笔要选客户",IF(AND(P2189="应收",COUNTIF(总览汇总!$B$5:$B$304,J2189)=0),"✗ 客户不在总览汇总名单里",IF(AND(P2189="应付",K2189=""),"✗ 这笔要选供应商",IF(AND(P2189="应付",COUNTIF(基础资料!$Q$5:$Q$54,K2189)=0),"✗ 供应商不在基础资料里",IF(AND(P2189="费用",L2189=""),"✗ 费用支出要选费用项目",IF(AND(L2189&lt;&gt;"",COUNTIF(基础资料!$AI$5:$AI$54,L2189)=0),"✗ 费用项目不在基础资料里",IF(AND(IFERROR(INDEX(基础资料!$AD$5:$AD$34,MATCH(O2189,基础资料!$AC$5:$AC$34,0)),"")="收",N(G2189)&lt;&gt;0),"✗ 这类是收款，金额填到收入列",IF(AND(IFERROR(INDEX(基础资料!$AD$5:$AD$34,MATCH(O2189,基础资料!$AC$5:$AC$34,0)),"")="支",N(F2189)&lt;&gt;0),"✗ 这类是付款，金额填到支出列",IF(N(H2189)&lt;0,"⚠ 账户余额成负数了，核对一下","√"))))))))))))))))))</f>
      </c>
      <c r="O2189" s="78">
        <f>IF(D2189&lt;&gt;"",D2189,IF(AND(F2189="",G2189=""),"",IF(J2189&lt;&gt;"",IF(N(F2189)&gt;0,"客户回款","客户退款"),IF(K2189&lt;&gt;"",IF(N(G2189)&gt;0,"供应商付款","供应商退款"),IF(L2189&lt;&gt;"","费用支出","")))))</f>
      </c>
      <c r="P2189" s="78">
        <f>IF(O2189="","",IFERROR(INDEX(基础资料!$AE$5:$AE$34,MATCH(O2189,基础资料!$AC$5:$AC$34,0)),"未知"))</f>
      </c>
      <c r="Q2189" s="78">
        <f>IF(P2189="应收",COUNTIF(P$7:P2189,"应收"),"")</f>
      </c>
      <c r="R2189" s="78">
        <f>IF(P2189="应付",COUNTIF(P$7:P2189,"应付"),"")</f>
      </c>
      <c r="S2189" s="78">
        <f>N(F2189)-N(G2189)</f>
        <v>0</v>
      </c>
    </row>
    <row r="2190">
      <c r="A2190" s="109">
        <f>IF(AND(F2190="",G2190=""),"",ROW()-6)</f>
      </c>
      <c r="B2190" s="140" t="n"/>
      <c r="C2190" s="141" t="n"/>
      <c r="D2190" s="141" t="n"/>
      <c r="E2190" s="142" t="n"/>
      <c r="F2190" s="143" t="n"/>
      <c r="G2190" s="144" t="n"/>
      <c r="H2190" s="145">
        <f>IF(OR(C2190="",AND(F2190="",G2190="")),"",SUMIF(基础资料!$W$5:$W$24,C2190,基础资料!$X$5:$X$24)+SUMIF(C$7:C2190,C2190,F$7:F2190)-SUMIF(C$7:C2190,C2190,G$7:G2190))</f>
      </c>
      <c r="I2190" s="145">
        <f>IF(AND(F2190="",G2190=""),"",SUM(基础资料!$X$5:$X$24)+SUM(F$7:F2190)-SUM(G$7:G2190))</f>
      </c>
      <c r="J2190" s="141" t="n"/>
      <c r="K2190" s="141" t="n"/>
      <c r="L2190" s="141" t="n"/>
      <c r="M2190" s="142" t="n"/>
      <c r="N2190" s="146">
        <f>IF(AND(AND(F2190="",G2190=""),B2190="",C2190="",D2190="",J2190="",K2190="",L2190=""),"",IF(AND(F2190="",G2190=""),"✗ 没填金额",IF(AND(N(F2190)&lt;&gt;0,N(G2190)&lt;&gt;0),"✗ 收入、支出只能填一边",IF(NOT(ISNUMBER(B2190)),"✗ 日期不是真日期（要像 2026/9/25 这样填）",IF(OR(B2190&lt;年初日,B2190&gt;年末日),"✗ 日期不在本会计年度",IF(C2190="","✗ 没选账户",IF(COUNTIF(基础资料!$W$5:$W$24,C2190)=0,"✗ 账户不在基础资料里",IF(O2190="","✗ 没选收支项目",IF(P2190="未知","✗ 收支项目不在基础资料里",IF(AND(P2190="应收",J2190=""),"✗ 这笔要选客户",IF(AND(P2190="应收",COUNTIF(总览汇总!$B$5:$B$304,J2190)=0),"✗ 客户不在总览汇总名单里",IF(AND(P2190="应付",K2190=""),"✗ 这笔要选供应商",IF(AND(P2190="应付",COUNTIF(基础资料!$Q$5:$Q$54,K2190)=0),"✗ 供应商不在基础资料里",IF(AND(P2190="费用",L2190=""),"✗ 费用支出要选费用项目",IF(AND(L2190&lt;&gt;"",COUNTIF(基础资料!$AI$5:$AI$54,L2190)=0),"✗ 费用项目不在基础资料里",IF(AND(IFERROR(INDEX(基础资料!$AD$5:$AD$34,MATCH(O2190,基础资料!$AC$5:$AC$34,0)),"")="收",N(G2190)&lt;&gt;0),"✗ 这类是收款，金额填到收入列",IF(AND(IFERROR(INDEX(基础资料!$AD$5:$AD$34,MATCH(O2190,基础资料!$AC$5:$AC$34,0)),"")="支",N(F2190)&lt;&gt;0),"✗ 这类是付款，金额填到支出列",IF(N(H2190)&lt;0,"⚠ 账户余额成负数了，核对一下","√"))))))))))))))))))</f>
      </c>
      <c r="O2190" s="78">
        <f>IF(D2190&lt;&gt;"",D2190,IF(AND(F2190="",G2190=""),"",IF(J2190&lt;&gt;"",IF(N(F2190)&gt;0,"客户回款","客户退款"),IF(K2190&lt;&gt;"",IF(N(G2190)&gt;0,"供应商付款","供应商退款"),IF(L2190&lt;&gt;"","费用支出","")))))</f>
      </c>
      <c r="P2190" s="78">
        <f>IF(O2190="","",IFERROR(INDEX(基础资料!$AE$5:$AE$34,MATCH(O2190,基础资料!$AC$5:$AC$34,0)),"未知"))</f>
      </c>
      <c r="Q2190" s="78">
        <f>IF(P2190="应收",COUNTIF(P$7:P2190,"应收"),"")</f>
      </c>
      <c r="R2190" s="78">
        <f>IF(P2190="应付",COUNTIF(P$7:P2190,"应付"),"")</f>
      </c>
      <c r="S2190" s="78">
        <f>N(F2190)-N(G2190)</f>
        <v>0</v>
      </c>
    </row>
    <row r="2191">
      <c r="A2191" s="109">
        <f>IF(AND(F2191="",G2191=""),"",ROW()-6)</f>
      </c>
      <c r="B2191" s="140" t="n"/>
      <c r="C2191" s="141" t="n"/>
      <c r="D2191" s="141" t="n"/>
      <c r="E2191" s="142" t="n"/>
      <c r="F2191" s="143" t="n"/>
      <c r="G2191" s="144" t="n"/>
      <c r="H2191" s="145">
        <f>IF(OR(C2191="",AND(F2191="",G2191="")),"",SUMIF(基础资料!$W$5:$W$24,C2191,基础资料!$X$5:$X$24)+SUMIF(C$7:C2191,C2191,F$7:F2191)-SUMIF(C$7:C2191,C2191,G$7:G2191))</f>
      </c>
      <c r="I2191" s="145">
        <f>IF(AND(F2191="",G2191=""),"",SUM(基础资料!$X$5:$X$24)+SUM(F$7:F2191)-SUM(G$7:G2191))</f>
      </c>
      <c r="J2191" s="141" t="n"/>
      <c r="K2191" s="141" t="n"/>
      <c r="L2191" s="141" t="n"/>
      <c r="M2191" s="142" t="n"/>
      <c r="N2191" s="146">
        <f>IF(AND(AND(F2191="",G2191=""),B2191="",C2191="",D2191="",J2191="",K2191="",L2191=""),"",IF(AND(F2191="",G2191=""),"✗ 没填金额",IF(AND(N(F2191)&lt;&gt;0,N(G2191)&lt;&gt;0),"✗ 收入、支出只能填一边",IF(NOT(ISNUMBER(B2191)),"✗ 日期不是真日期（要像 2026/9/25 这样填）",IF(OR(B2191&lt;年初日,B2191&gt;年末日),"✗ 日期不在本会计年度",IF(C2191="","✗ 没选账户",IF(COUNTIF(基础资料!$W$5:$W$24,C2191)=0,"✗ 账户不在基础资料里",IF(O2191="","✗ 没选收支项目",IF(P2191="未知","✗ 收支项目不在基础资料里",IF(AND(P2191="应收",J2191=""),"✗ 这笔要选客户",IF(AND(P2191="应收",COUNTIF(总览汇总!$B$5:$B$304,J2191)=0),"✗ 客户不在总览汇总名单里",IF(AND(P2191="应付",K2191=""),"✗ 这笔要选供应商",IF(AND(P2191="应付",COUNTIF(基础资料!$Q$5:$Q$54,K2191)=0),"✗ 供应商不在基础资料里",IF(AND(P2191="费用",L2191=""),"✗ 费用支出要选费用项目",IF(AND(L2191&lt;&gt;"",COUNTIF(基础资料!$AI$5:$AI$54,L2191)=0),"✗ 费用项目不在基础资料里",IF(AND(IFERROR(INDEX(基础资料!$AD$5:$AD$34,MATCH(O2191,基础资料!$AC$5:$AC$34,0)),"")="收",N(G2191)&lt;&gt;0),"✗ 这类是收款，金额填到收入列",IF(AND(IFERROR(INDEX(基础资料!$AD$5:$AD$34,MATCH(O2191,基础资料!$AC$5:$AC$34,0)),"")="支",N(F2191)&lt;&gt;0),"✗ 这类是付款，金额填到支出列",IF(N(H2191)&lt;0,"⚠ 账户余额成负数了，核对一下","√"))))))))))))))))))</f>
      </c>
      <c r="O2191" s="78">
        <f>IF(D2191&lt;&gt;"",D2191,IF(AND(F2191="",G2191=""),"",IF(J2191&lt;&gt;"",IF(N(F2191)&gt;0,"客户回款","客户退款"),IF(K2191&lt;&gt;"",IF(N(G2191)&gt;0,"供应商付款","供应商退款"),IF(L2191&lt;&gt;"","费用支出","")))))</f>
      </c>
      <c r="P2191" s="78">
        <f>IF(O2191="","",IFERROR(INDEX(基础资料!$AE$5:$AE$34,MATCH(O2191,基础资料!$AC$5:$AC$34,0)),"未知"))</f>
      </c>
      <c r="Q2191" s="78">
        <f>IF(P2191="应收",COUNTIF(P$7:P2191,"应收"),"")</f>
      </c>
      <c r="R2191" s="78">
        <f>IF(P2191="应付",COUNTIF(P$7:P2191,"应付"),"")</f>
      </c>
      <c r="S2191" s="78">
        <f>N(F2191)-N(G2191)</f>
        <v>0</v>
      </c>
    </row>
    <row r="2192">
      <c r="A2192" s="109">
        <f>IF(AND(F2192="",G2192=""),"",ROW()-6)</f>
      </c>
      <c r="B2192" s="140" t="n"/>
      <c r="C2192" s="141" t="n"/>
      <c r="D2192" s="141" t="n"/>
      <c r="E2192" s="142" t="n"/>
      <c r="F2192" s="143" t="n"/>
      <c r="G2192" s="144" t="n"/>
      <c r="H2192" s="145">
        <f>IF(OR(C2192="",AND(F2192="",G2192="")),"",SUMIF(基础资料!$W$5:$W$24,C2192,基础资料!$X$5:$X$24)+SUMIF(C$7:C2192,C2192,F$7:F2192)-SUMIF(C$7:C2192,C2192,G$7:G2192))</f>
      </c>
      <c r="I2192" s="145">
        <f>IF(AND(F2192="",G2192=""),"",SUM(基础资料!$X$5:$X$24)+SUM(F$7:F2192)-SUM(G$7:G2192))</f>
      </c>
      <c r="J2192" s="141" t="n"/>
      <c r="K2192" s="141" t="n"/>
      <c r="L2192" s="141" t="n"/>
      <c r="M2192" s="142" t="n"/>
      <c r="N2192" s="146">
        <f>IF(AND(AND(F2192="",G2192=""),B2192="",C2192="",D2192="",J2192="",K2192="",L2192=""),"",IF(AND(F2192="",G2192=""),"✗ 没填金额",IF(AND(N(F2192)&lt;&gt;0,N(G2192)&lt;&gt;0),"✗ 收入、支出只能填一边",IF(NOT(ISNUMBER(B2192)),"✗ 日期不是真日期（要像 2026/9/25 这样填）",IF(OR(B2192&lt;年初日,B2192&gt;年末日),"✗ 日期不在本会计年度",IF(C2192="","✗ 没选账户",IF(COUNTIF(基础资料!$W$5:$W$24,C2192)=0,"✗ 账户不在基础资料里",IF(O2192="","✗ 没选收支项目",IF(P2192="未知","✗ 收支项目不在基础资料里",IF(AND(P2192="应收",J2192=""),"✗ 这笔要选客户",IF(AND(P2192="应收",COUNTIF(总览汇总!$B$5:$B$304,J2192)=0),"✗ 客户不在总览汇总名单里",IF(AND(P2192="应付",K2192=""),"✗ 这笔要选供应商",IF(AND(P2192="应付",COUNTIF(基础资料!$Q$5:$Q$54,K2192)=0),"✗ 供应商不在基础资料里",IF(AND(P2192="费用",L2192=""),"✗ 费用支出要选费用项目",IF(AND(L2192&lt;&gt;"",COUNTIF(基础资料!$AI$5:$AI$54,L2192)=0),"✗ 费用项目不在基础资料里",IF(AND(IFERROR(INDEX(基础资料!$AD$5:$AD$34,MATCH(O2192,基础资料!$AC$5:$AC$34,0)),"")="收",N(G2192)&lt;&gt;0),"✗ 这类是收款，金额填到收入列",IF(AND(IFERROR(INDEX(基础资料!$AD$5:$AD$34,MATCH(O2192,基础资料!$AC$5:$AC$34,0)),"")="支",N(F2192)&lt;&gt;0),"✗ 这类是付款，金额填到支出列",IF(N(H2192)&lt;0,"⚠ 账户余额成负数了，核对一下","√"))))))))))))))))))</f>
      </c>
      <c r="O2192" s="78">
        <f>IF(D2192&lt;&gt;"",D2192,IF(AND(F2192="",G2192=""),"",IF(J2192&lt;&gt;"",IF(N(F2192)&gt;0,"客户回款","客户退款"),IF(K2192&lt;&gt;"",IF(N(G2192)&gt;0,"供应商付款","供应商退款"),IF(L2192&lt;&gt;"","费用支出","")))))</f>
      </c>
      <c r="P2192" s="78">
        <f>IF(O2192="","",IFERROR(INDEX(基础资料!$AE$5:$AE$34,MATCH(O2192,基础资料!$AC$5:$AC$34,0)),"未知"))</f>
      </c>
      <c r="Q2192" s="78">
        <f>IF(P2192="应收",COUNTIF(P$7:P2192,"应收"),"")</f>
      </c>
      <c r="R2192" s="78">
        <f>IF(P2192="应付",COUNTIF(P$7:P2192,"应付"),"")</f>
      </c>
      <c r="S2192" s="78">
        <f>N(F2192)-N(G2192)</f>
        <v>0</v>
      </c>
    </row>
    <row r="2193">
      <c r="A2193" s="109">
        <f>IF(AND(F2193="",G2193=""),"",ROW()-6)</f>
      </c>
      <c r="B2193" s="140" t="n"/>
      <c r="C2193" s="141" t="n"/>
      <c r="D2193" s="141" t="n"/>
      <c r="E2193" s="142" t="n"/>
      <c r="F2193" s="143" t="n"/>
      <c r="G2193" s="144" t="n"/>
      <c r="H2193" s="145">
        <f>IF(OR(C2193="",AND(F2193="",G2193="")),"",SUMIF(基础资料!$W$5:$W$24,C2193,基础资料!$X$5:$X$24)+SUMIF(C$7:C2193,C2193,F$7:F2193)-SUMIF(C$7:C2193,C2193,G$7:G2193))</f>
      </c>
      <c r="I2193" s="145">
        <f>IF(AND(F2193="",G2193=""),"",SUM(基础资料!$X$5:$X$24)+SUM(F$7:F2193)-SUM(G$7:G2193))</f>
      </c>
      <c r="J2193" s="141" t="n"/>
      <c r="K2193" s="141" t="n"/>
      <c r="L2193" s="141" t="n"/>
      <c r="M2193" s="142" t="n"/>
      <c r="N2193" s="146">
        <f>IF(AND(AND(F2193="",G2193=""),B2193="",C2193="",D2193="",J2193="",K2193="",L2193=""),"",IF(AND(F2193="",G2193=""),"✗ 没填金额",IF(AND(N(F2193)&lt;&gt;0,N(G2193)&lt;&gt;0),"✗ 收入、支出只能填一边",IF(NOT(ISNUMBER(B2193)),"✗ 日期不是真日期（要像 2026/9/25 这样填）",IF(OR(B2193&lt;年初日,B2193&gt;年末日),"✗ 日期不在本会计年度",IF(C2193="","✗ 没选账户",IF(COUNTIF(基础资料!$W$5:$W$24,C2193)=0,"✗ 账户不在基础资料里",IF(O2193="","✗ 没选收支项目",IF(P2193="未知","✗ 收支项目不在基础资料里",IF(AND(P2193="应收",J2193=""),"✗ 这笔要选客户",IF(AND(P2193="应收",COUNTIF(总览汇总!$B$5:$B$304,J2193)=0),"✗ 客户不在总览汇总名单里",IF(AND(P2193="应付",K2193=""),"✗ 这笔要选供应商",IF(AND(P2193="应付",COUNTIF(基础资料!$Q$5:$Q$54,K2193)=0),"✗ 供应商不在基础资料里",IF(AND(P2193="费用",L2193=""),"✗ 费用支出要选费用项目",IF(AND(L2193&lt;&gt;"",COUNTIF(基础资料!$AI$5:$AI$54,L2193)=0),"✗ 费用项目不在基础资料里",IF(AND(IFERROR(INDEX(基础资料!$AD$5:$AD$34,MATCH(O2193,基础资料!$AC$5:$AC$34,0)),"")="收",N(G2193)&lt;&gt;0),"✗ 这类是收款，金额填到收入列",IF(AND(IFERROR(INDEX(基础资料!$AD$5:$AD$34,MATCH(O2193,基础资料!$AC$5:$AC$34,0)),"")="支",N(F2193)&lt;&gt;0),"✗ 这类是付款，金额填到支出列",IF(N(H2193)&lt;0,"⚠ 账户余额成负数了，核对一下","√"))))))))))))))))))</f>
      </c>
      <c r="O2193" s="78">
        <f>IF(D2193&lt;&gt;"",D2193,IF(AND(F2193="",G2193=""),"",IF(J2193&lt;&gt;"",IF(N(F2193)&gt;0,"客户回款","客户退款"),IF(K2193&lt;&gt;"",IF(N(G2193)&gt;0,"供应商付款","供应商退款"),IF(L2193&lt;&gt;"","费用支出","")))))</f>
      </c>
      <c r="P2193" s="78">
        <f>IF(O2193="","",IFERROR(INDEX(基础资料!$AE$5:$AE$34,MATCH(O2193,基础资料!$AC$5:$AC$34,0)),"未知"))</f>
      </c>
      <c r="Q2193" s="78">
        <f>IF(P2193="应收",COUNTIF(P$7:P2193,"应收"),"")</f>
      </c>
      <c r="R2193" s="78">
        <f>IF(P2193="应付",COUNTIF(P$7:P2193,"应付"),"")</f>
      </c>
      <c r="S2193" s="78">
        <f>N(F2193)-N(G2193)</f>
        <v>0</v>
      </c>
    </row>
    <row r="2194">
      <c r="A2194" s="109">
        <f>IF(AND(F2194="",G2194=""),"",ROW()-6)</f>
      </c>
      <c r="B2194" s="140" t="n"/>
      <c r="C2194" s="141" t="n"/>
      <c r="D2194" s="141" t="n"/>
      <c r="E2194" s="142" t="n"/>
      <c r="F2194" s="143" t="n"/>
      <c r="G2194" s="144" t="n"/>
      <c r="H2194" s="145">
        <f>IF(OR(C2194="",AND(F2194="",G2194="")),"",SUMIF(基础资料!$W$5:$W$24,C2194,基础资料!$X$5:$X$24)+SUMIF(C$7:C2194,C2194,F$7:F2194)-SUMIF(C$7:C2194,C2194,G$7:G2194))</f>
      </c>
      <c r="I2194" s="145">
        <f>IF(AND(F2194="",G2194=""),"",SUM(基础资料!$X$5:$X$24)+SUM(F$7:F2194)-SUM(G$7:G2194))</f>
      </c>
      <c r="J2194" s="141" t="n"/>
      <c r="K2194" s="141" t="n"/>
      <c r="L2194" s="141" t="n"/>
      <c r="M2194" s="142" t="n"/>
      <c r="N2194" s="146">
        <f>IF(AND(AND(F2194="",G2194=""),B2194="",C2194="",D2194="",J2194="",K2194="",L2194=""),"",IF(AND(F2194="",G2194=""),"✗ 没填金额",IF(AND(N(F2194)&lt;&gt;0,N(G2194)&lt;&gt;0),"✗ 收入、支出只能填一边",IF(NOT(ISNUMBER(B2194)),"✗ 日期不是真日期（要像 2026/9/25 这样填）",IF(OR(B2194&lt;年初日,B2194&gt;年末日),"✗ 日期不在本会计年度",IF(C2194="","✗ 没选账户",IF(COUNTIF(基础资料!$W$5:$W$24,C2194)=0,"✗ 账户不在基础资料里",IF(O2194="","✗ 没选收支项目",IF(P2194="未知","✗ 收支项目不在基础资料里",IF(AND(P2194="应收",J2194=""),"✗ 这笔要选客户",IF(AND(P2194="应收",COUNTIF(总览汇总!$B$5:$B$304,J2194)=0),"✗ 客户不在总览汇总名单里",IF(AND(P2194="应付",K2194=""),"✗ 这笔要选供应商",IF(AND(P2194="应付",COUNTIF(基础资料!$Q$5:$Q$54,K2194)=0),"✗ 供应商不在基础资料里",IF(AND(P2194="费用",L2194=""),"✗ 费用支出要选费用项目",IF(AND(L2194&lt;&gt;"",COUNTIF(基础资料!$AI$5:$AI$54,L2194)=0),"✗ 费用项目不在基础资料里",IF(AND(IFERROR(INDEX(基础资料!$AD$5:$AD$34,MATCH(O2194,基础资料!$AC$5:$AC$34,0)),"")="收",N(G2194)&lt;&gt;0),"✗ 这类是收款，金额填到收入列",IF(AND(IFERROR(INDEX(基础资料!$AD$5:$AD$34,MATCH(O2194,基础资料!$AC$5:$AC$34,0)),"")="支",N(F2194)&lt;&gt;0),"✗ 这类是付款，金额填到支出列",IF(N(H2194)&lt;0,"⚠ 账户余额成负数了，核对一下","√"))))))))))))))))))</f>
      </c>
      <c r="O2194" s="78">
        <f>IF(D2194&lt;&gt;"",D2194,IF(AND(F2194="",G2194=""),"",IF(J2194&lt;&gt;"",IF(N(F2194)&gt;0,"客户回款","客户退款"),IF(K2194&lt;&gt;"",IF(N(G2194)&gt;0,"供应商付款","供应商退款"),IF(L2194&lt;&gt;"","费用支出","")))))</f>
      </c>
      <c r="P2194" s="78">
        <f>IF(O2194="","",IFERROR(INDEX(基础资料!$AE$5:$AE$34,MATCH(O2194,基础资料!$AC$5:$AC$34,0)),"未知"))</f>
      </c>
      <c r="Q2194" s="78">
        <f>IF(P2194="应收",COUNTIF(P$7:P2194,"应收"),"")</f>
      </c>
      <c r="R2194" s="78">
        <f>IF(P2194="应付",COUNTIF(P$7:P2194,"应付"),"")</f>
      </c>
      <c r="S2194" s="78">
        <f>N(F2194)-N(G2194)</f>
        <v>0</v>
      </c>
    </row>
    <row r="2195">
      <c r="A2195" s="109">
        <f>IF(AND(F2195="",G2195=""),"",ROW()-6)</f>
      </c>
      <c r="B2195" s="140" t="n"/>
      <c r="C2195" s="141" t="n"/>
      <c r="D2195" s="141" t="n"/>
      <c r="E2195" s="142" t="n"/>
      <c r="F2195" s="143" t="n"/>
      <c r="G2195" s="144" t="n"/>
      <c r="H2195" s="145">
        <f>IF(OR(C2195="",AND(F2195="",G2195="")),"",SUMIF(基础资料!$W$5:$W$24,C2195,基础资料!$X$5:$X$24)+SUMIF(C$7:C2195,C2195,F$7:F2195)-SUMIF(C$7:C2195,C2195,G$7:G2195))</f>
      </c>
      <c r="I2195" s="145">
        <f>IF(AND(F2195="",G2195=""),"",SUM(基础资料!$X$5:$X$24)+SUM(F$7:F2195)-SUM(G$7:G2195))</f>
      </c>
      <c r="J2195" s="141" t="n"/>
      <c r="K2195" s="141" t="n"/>
      <c r="L2195" s="141" t="n"/>
      <c r="M2195" s="142" t="n"/>
      <c r="N2195" s="146">
        <f>IF(AND(AND(F2195="",G2195=""),B2195="",C2195="",D2195="",J2195="",K2195="",L2195=""),"",IF(AND(F2195="",G2195=""),"✗ 没填金额",IF(AND(N(F2195)&lt;&gt;0,N(G2195)&lt;&gt;0),"✗ 收入、支出只能填一边",IF(NOT(ISNUMBER(B2195)),"✗ 日期不是真日期（要像 2026/9/25 这样填）",IF(OR(B2195&lt;年初日,B2195&gt;年末日),"✗ 日期不在本会计年度",IF(C2195="","✗ 没选账户",IF(COUNTIF(基础资料!$W$5:$W$24,C2195)=0,"✗ 账户不在基础资料里",IF(O2195="","✗ 没选收支项目",IF(P2195="未知","✗ 收支项目不在基础资料里",IF(AND(P2195="应收",J2195=""),"✗ 这笔要选客户",IF(AND(P2195="应收",COUNTIF(总览汇总!$B$5:$B$304,J2195)=0),"✗ 客户不在总览汇总名单里",IF(AND(P2195="应付",K2195=""),"✗ 这笔要选供应商",IF(AND(P2195="应付",COUNTIF(基础资料!$Q$5:$Q$54,K2195)=0),"✗ 供应商不在基础资料里",IF(AND(P2195="费用",L2195=""),"✗ 费用支出要选费用项目",IF(AND(L2195&lt;&gt;"",COUNTIF(基础资料!$AI$5:$AI$54,L2195)=0),"✗ 费用项目不在基础资料里",IF(AND(IFERROR(INDEX(基础资料!$AD$5:$AD$34,MATCH(O2195,基础资料!$AC$5:$AC$34,0)),"")="收",N(G2195)&lt;&gt;0),"✗ 这类是收款，金额填到收入列",IF(AND(IFERROR(INDEX(基础资料!$AD$5:$AD$34,MATCH(O2195,基础资料!$AC$5:$AC$34,0)),"")="支",N(F2195)&lt;&gt;0),"✗ 这类是付款，金额填到支出列",IF(N(H2195)&lt;0,"⚠ 账户余额成负数了，核对一下","√"))))))))))))))))))</f>
      </c>
      <c r="O2195" s="78">
        <f>IF(D2195&lt;&gt;"",D2195,IF(AND(F2195="",G2195=""),"",IF(J2195&lt;&gt;"",IF(N(F2195)&gt;0,"客户回款","客户退款"),IF(K2195&lt;&gt;"",IF(N(G2195)&gt;0,"供应商付款","供应商退款"),IF(L2195&lt;&gt;"","费用支出","")))))</f>
      </c>
      <c r="P2195" s="78">
        <f>IF(O2195="","",IFERROR(INDEX(基础资料!$AE$5:$AE$34,MATCH(O2195,基础资料!$AC$5:$AC$34,0)),"未知"))</f>
      </c>
      <c r="Q2195" s="78">
        <f>IF(P2195="应收",COUNTIF(P$7:P2195,"应收"),"")</f>
      </c>
      <c r="R2195" s="78">
        <f>IF(P2195="应付",COUNTIF(P$7:P2195,"应付"),"")</f>
      </c>
      <c r="S2195" s="78">
        <f>N(F2195)-N(G2195)</f>
        <v>0</v>
      </c>
    </row>
    <row r="2196">
      <c r="A2196" s="109">
        <f>IF(AND(F2196="",G2196=""),"",ROW()-6)</f>
      </c>
      <c r="B2196" s="140" t="n"/>
      <c r="C2196" s="141" t="n"/>
      <c r="D2196" s="141" t="n"/>
      <c r="E2196" s="142" t="n"/>
      <c r="F2196" s="143" t="n"/>
      <c r="G2196" s="144" t="n"/>
      <c r="H2196" s="145">
        <f>IF(OR(C2196="",AND(F2196="",G2196="")),"",SUMIF(基础资料!$W$5:$W$24,C2196,基础资料!$X$5:$X$24)+SUMIF(C$7:C2196,C2196,F$7:F2196)-SUMIF(C$7:C2196,C2196,G$7:G2196))</f>
      </c>
      <c r="I2196" s="145">
        <f>IF(AND(F2196="",G2196=""),"",SUM(基础资料!$X$5:$X$24)+SUM(F$7:F2196)-SUM(G$7:G2196))</f>
      </c>
      <c r="J2196" s="141" t="n"/>
      <c r="K2196" s="141" t="n"/>
      <c r="L2196" s="141" t="n"/>
      <c r="M2196" s="142" t="n"/>
      <c r="N2196" s="146">
        <f>IF(AND(AND(F2196="",G2196=""),B2196="",C2196="",D2196="",J2196="",K2196="",L2196=""),"",IF(AND(F2196="",G2196=""),"✗ 没填金额",IF(AND(N(F2196)&lt;&gt;0,N(G2196)&lt;&gt;0),"✗ 收入、支出只能填一边",IF(NOT(ISNUMBER(B2196)),"✗ 日期不是真日期（要像 2026/9/25 这样填）",IF(OR(B2196&lt;年初日,B2196&gt;年末日),"✗ 日期不在本会计年度",IF(C2196="","✗ 没选账户",IF(COUNTIF(基础资料!$W$5:$W$24,C2196)=0,"✗ 账户不在基础资料里",IF(O2196="","✗ 没选收支项目",IF(P2196="未知","✗ 收支项目不在基础资料里",IF(AND(P2196="应收",J2196=""),"✗ 这笔要选客户",IF(AND(P2196="应收",COUNTIF(总览汇总!$B$5:$B$304,J2196)=0),"✗ 客户不在总览汇总名单里",IF(AND(P2196="应付",K2196=""),"✗ 这笔要选供应商",IF(AND(P2196="应付",COUNTIF(基础资料!$Q$5:$Q$54,K2196)=0),"✗ 供应商不在基础资料里",IF(AND(P2196="费用",L2196=""),"✗ 费用支出要选费用项目",IF(AND(L2196&lt;&gt;"",COUNTIF(基础资料!$AI$5:$AI$54,L2196)=0),"✗ 费用项目不在基础资料里",IF(AND(IFERROR(INDEX(基础资料!$AD$5:$AD$34,MATCH(O2196,基础资料!$AC$5:$AC$34,0)),"")="收",N(G2196)&lt;&gt;0),"✗ 这类是收款，金额填到收入列",IF(AND(IFERROR(INDEX(基础资料!$AD$5:$AD$34,MATCH(O2196,基础资料!$AC$5:$AC$34,0)),"")="支",N(F2196)&lt;&gt;0),"✗ 这类是付款，金额填到支出列",IF(N(H2196)&lt;0,"⚠ 账户余额成负数了，核对一下","√"))))))))))))))))))</f>
      </c>
      <c r="O2196" s="78">
        <f>IF(D2196&lt;&gt;"",D2196,IF(AND(F2196="",G2196=""),"",IF(J2196&lt;&gt;"",IF(N(F2196)&gt;0,"客户回款","客户退款"),IF(K2196&lt;&gt;"",IF(N(G2196)&gt;0,"供应商付款","供应商退款"),IF(L2196&lt;&gt;"","费用支出","")))))</f>
      </c>
      <c r="P2196" s="78">
        <f>IF(O2196="","",IFERROR(INDEX(基础资料!$AE$5:$AE$34,MATCH(O2196,基础资料!$AC$5:$AC$34,0)),"未知"))</f>
      </c>
      <c r="Q2196" s="78">
        <f>IF(P2196="应收",COUNTIF(P$7:P2196,"应收"),"")</f>
      </c>
      <c r="R2196" s="78">
        <f>IF(P2196="应付",COUNTIF(P$7:P2196,"应付"),"")</f>
      </c>
      <c r="S2196" s="78">
        <f>N(F2196)-N(G2196)</f>
        <v>0</v>
      </c>
    </row>
    <row r="2197">
      <c r="A2197" s="109">
        <f>IF(AND(F2197="",G2197=""),"",ROW()-6)</f>
      </c>
      <c r="B2197" s="140" t="n"/>
      <c r="C2197" s="141" t="n"/>
      <c r="D2197" s="141" t="n"/>
      <c r="E2197" s="142" t="n"/>
      <c r="F2197" s="143" t="n"/>
      <c r="G2197" s="144" t="n"/>
      <c r="H2197" s="145">
        <f>IF(OR(C2197="",AND(F2197="",G2197="")),"",SUMIF(基础资料!$W$5:$W$24,C2197,基础资料!$X$5:$X$24)+SUMIF(C$7:C2197,C2197,F$7:F2197)-SUMIF(C$7:C2197,C2197,G$7:G2197))</f>
      </c>
      <c r="I2197" s="145">
        <f>IF(AND(F2197="",G2197=""),"",SUM(基础资料!$X$5:$X$24)+SUM(F$7:F2197)-SUM(G$7:G2197))</f>
      </c>
      <c r="J2197" s="141" t="n"/>
      <c r="K2197" s="141" t="n"/>
      <c r="L2197" s="141" t="n"/>
      <c r="M2197" s="142" t="n"/>
      <c r="N2197" s="146">
        <f>IF(AND(AND(F2197="",G2197=""),B2197="",C2197="",D2197="",J2197="",K2197="",L2197=""),"",IF(AND(F2197="",G2197=""),"✗ 没填金额",IF(AND(N(F2197)&lt;&gt;0,N(G2197)&lt;&gt;0),"✗ 收入、支出只能填一边",IF(NOT(ISNUMBER(B2197)),"✗ 日期不是真日期（要像 2026/9/25 这样填）",IF(OR(B2197&lt;年初日,B2197&gt;年末日),"✗ 日期不在本会计年度",IF(C2197="","✗ 没选账户",IF(COUNTIF(基础资料!$W$5:$W$24,C2197)=0,"✗ 账户不在基础资料里",IF(O2197="","✗ 没选收支项目",IF(P2197="未知","✗ 收支项目不在基础资料里",IF(AND(P2197="应收",J2197=""),"✗ 这笔要选客户",IF(AND(P2197="应收",COUNTIF(总览汇总!$B$5:$B$304,J2197)=0),"✗ 客户不在总览汇总名单里",IF(AND(P2197="应付",K2197=""),"✗ 这笔要选供应商",IF(AND(P2197="应付",COUNTIF(基础资料!$Q$5:$Q$54,K2197)=0),"✗ 供应商不在基础资料里",IF(AND(P2197="费用",L2197=""),"✗ 费用支出要选费用项目",IF(AND(L2197&lt;&gt;"",COUNTIF(基础资料!$AI$5:$AI$54,L2197)=0),"✗ 费用项目不在基础资料里",IF(AND(IFERROR(INDEX(基础资料!$AD$5:$AD$34,MATCH(O2197,基础资料!$AC$5:$AC$34,0)),"")="收",N(G2197)&lt;&gt;0),"✗ 这类是收款，金额填到收入列",IF(AND(IFERROR(INDEX(基础资料!$AD$5:$AD$34,MATCH(O2197,基础资料!$AC$5:$AC$34,0)),"")="支",N(F2197)&lt;&gt;0),"✗ 这类是付款，金额填到支出列",IF(N(H2197)&lt;0,"⚠ 账户余额成负数了，核对一下","√"))))))))))))))))))</f>
      </c>
      <c r="O2197" s="78">
        <f>IF(D2197&lt;&gt;"",D2197,IF(AND(F2197="",G2197=""),"",IF(J2197&lt;&gt;"",IF(N(F2197)&gt;0,"客户回款","客户退款"),IF(K2197&lt;&gt;"",IF(N(G2197)&gt;0,"供应商付款","供应商退款"),IF(L2197&lt;&gt;"","费用支出","")))))</f>
      </c>
      <c r="P2197" s="78">
        <f>IF(O2197="","",IFERROR(INDEX(基础资料!$AE$5:$AE$34,MATCH(O2197,基础资料!$AC$5:$AC$34,0)),"未知"))</f>
      </c>
      <c r="Q2197" s="78">
        <f>IF(P2197="应收",COUNTIF(P$7:P2197,"应收"),"")</f>
      </c>
      <c r="R2197" s="78">
        <f>IF(P2197="应付",COUNTIF(P$7:P2197,"应付"),"")</f>
      </c>
      <c r="S2197" s="78">
        <f>N(F2197)-N(G2197)</f>
        <v>0</v>
      </c>
    </row>
    <row r="2198">
      <c r="A2198" s="109">
        <f>IF(AND(F2198="",G2198=""),"",ROW()-6)</f>
      </c>
      <c r="B2198" s="140" t="n"/>
      <c r="C2198" s="141" t="n"/>
      <c r="D2198" s="141" t="n"/>
      <c r="E2198" s="142" t="n"/>
      <c r="F2198" s="143" t="n"/>
      <c r="G2198" s="144" t="n"/>
      <c r="H2198" s="145">
        <f>IF(OR(C2198="",AND(F2198="",G2198="")),"",SUMIF(基础资料!$W$5:$W$24,C2198,基础资料!$X$5:$X$24)+SUMIF(C$7:C2198,C2198,F$7:F2198)-SUMIF(C$7:C2198,C2198,G$7:G2198))</f>
      </c>
      <c r="I2198" s="145">
        <f>IF(AND(F2198="",G2198=""),"",SUM(基础资料!$X$5:$X$24)+SUM(F$7:F2198)-SUM(G$7:G2198))</f>
      </c>
      <c r="J2198" s="141" t="n"/>
      <c r="K2198" s="141" t="n"/>
      <c r="L2198" s="141" t="n"/>
      <c r="M2198" s="142" t="n"/>
      <c r="N2198" s="146">
        <f>IF(AND(AND(F2198="",G2198=""),B2198="",C2198="",D2198="",J2198="",K2198="",L2198=""),"",IF(AND(F2198="",G2198=""),"✗ 没填金额",IF(AND(N(F2198)&lt;&gt;0,N(G2198)&lt;&gt;0),"✗ 收入、支出只能填一边",IF(NOT(ISNUMBER(B2198)),"✗ 日期不是真日期（要像 2026/9/25 这样填）",IF(OR(B2198&lt;年初日,B2198&gt;年末日),"✗ 日期不在本会计年度",IF(C2198="","✗ 没选账户",IF(COUNTIF(基础资料!$W$5:$W$24,C2198)=0,"✗ 账户不在基础资料里",IF(O2198="","✗ 没选收支项目",IF(P2198="未知","✗ 收支项目不在基础资料里",IF(AND(P2198="应收",J2198=""),"✗ 这笔要选客户",IF(AND(P2198="应收",COUNTIF(总览汇总!$B$5:$B$304,J2198)=0),"✗ 客户不在总览汇总名单里",IF(AND(P2198="应付",K2198=""),"✗ 这笔要选供应商",IF(AND(P2198="应付",COUNTIF(基础资料!$Q$5:$Q$54,K2198)=0),"✗ 供应商不在基础资料里",IF(AND(P2198="费用",L2198=""),"✗ 费用支出要选费用项目",IF(AND(L2198&lt;&gt;"",COUNTIF(基础资料!$AI$5:$AI$54,L2198)=0),"✗ 费用项目不在基础资料里",IF(AND(IFERROR(INDEX(基础资料!$AD$5:$AD$34,MATCH(O2198,基础资料!$AC$5:$AC$34,0)),"")="收",N(G2198)&lt;&gt;0),"✗ 这类是收款，金额填到收入列",IF(AND(IFERROR(INDEX(基础资料!$AD$5:$AD$34,MATCH(O2198,基础资料!$AC$5:$AC$34,0)),"")="支",N(F2198)&lt;&gt;0),"✗ 这类是付款，金额填到支出列",IF(N(H2198)&lt;0,"⚠ 账户余额成负数了，核对一下","√"))))))))))))))))))</f>
      </c>
      <c r="O2198" s="78">
        <f>IF(D2198&lt;&gt;"",D2198,IF(AND(F2198="",G2198=""),"",IF(J2198&lt;&gt;"",IF(N(F2198)&gt;0,"客户回款","客户退款"),IF(K2198&lt;&gt;"",IF(N(G2198)&gt;0,"供应商付款","供应商退款"),IF(L2198&lt;&gt;"","费用支出","")))))</f>
      </c>
      <c r="P2198" s="78">
        <f>IF(O2198="","",IFERROR(INDEX(基础资料!$AE$5:$AE$34,MATCH(O2198,基础资料!$AC$5:$AC$34,0)),"未知"))</f>
      </c>
      <c r="Q2198" s="78">
        <f>IF(P2198="应收",COUNTIF(P$7:P2198,"应收"),"")</f>
      </c>
      <c r="R2198" s="78">
        <f>IF(P2198="应付",COUNTIF(P$7:P2198,"应付"),"")</f>
      </c>
      <c r="S2198" s="78">
        <f>N(F2198)-N(G2198)</f>
        <v>0</v>
      </c>
    </row>
    <row r="2199">
      <c r="A2199" s="109">
        <f>IF(AND(F2199="",G2199=""),"",ROW()-6)</f>
      </c>
      <c r="B2199" s="140" t="n"/>
      <c r="C2199" s="141" t="n"/>
      <c r="D2199" s="141" t="n"/>
      <c r="E2199" s="142" t="n"/>
      <c r="F2199" s="143" t="n"/>
      <c r="G2199" s="144" t="n"/>
      <c r="H2199" s="145">
        <f>IF(OR(C2199="",AND(F2199="",G2199="")),"",SUMIF(基础资料!$W$5:$W$24,C2199,基础资料!$X$5:$X$24)+SUMIF(C$7:C2199,C2199,F$7:F2199)-SUMIF(C$7:C2199,C2199,G$7:G2199))</f>
      </c>
      <c r="I2199" s="145">
        <f>IF(AND(F2199="",G2199=""),"",SUM(基础资料!$X$5:$X$24)+SUM(F$7:F2199)-SUM(G$7:G2199))</f>
      </c>
      <c r="J2199" s="141" t="n"/>
      <c r="K2199" s="141" t="n"/>
      <c r="L2199" s="141" t="n"/>
      <c r="M2199" s="142" t="n"/>
      <c r="N2199" s="146">
        <f>IF(AND(AND(F2199="",G2199=""),B2199="",C2199="",D2199="",J2199="",K2199="",L2199=""),"",IF(AND(F2199="",G2199=""),"✗ 没填金额",IF(AND(N(F2199)&lt;&gt;0,N(G2199)&lt;&gt;0),"✗ 收入、支出只能填一边",IF(NOT(ISNUMBER(B2199)),"✗ 日期不是真日期（要像 2026/9/25 这样填）",IF(OR(B2199&lt;年初日,B2199&gt;年末日),"✗ 日期不在本会计年度",IF(C2199="","✗ 没选账户",IF(COUNTIF(基础资料!$W$5:$W$24,C2199)=0,"✗ 账户不在基础资料里",IF(O2199="","✗ 没选收支项目",IF(P2199="未知","✗ 收支项目不在基础资料里",IF(AND(P2199="应收",J2199=""),"✗ 这笔要选客户",IF(AND(P2199="应收",COUNTIF(总览汇总!$B$5:$B$304,J2199)=0),"✗ 客户不在总览汇总名单里",IF(AND(P2199="应付",K2199=""),"✗ 这笔要选供应商",IF(AND(P2199="应付",COUNTIF(基础资料!$Q$5:$Q$54,K2199)=0),"✗ 供应商不在基础资料里",IF(AND(P2199="费用",L2199=""),"✗ 费用支出要选费用项目",IF(AND(L2199&lt;&gt;"",COUNTIF(基础资料!$AI$5:$AI$54,L2199)=0),"✗ 费用项目不在基础资料里",IF(AND(IFERROR(INDEX(基础资料!$AD$5:$AD$34,MATCH(O2199,基础资料!$AC$5:$AC$34,0)),"")="收",N(G2199)&lt;&gt;0),"✗ 这类是收款，金额填到收入列",IF(AND(IFERROR(INDEX(基础资料!$AD$5:$AD$34,MATCH(O2199,基础资料!$AC$5:$AC$34,0)),"")="支",N(F2199)&lt;&gt;0),"✗ 这类是付款，金额填到支出列",IF(N(H2199)&lt;0,"⚠ 账户余额成负数了，核对一下","√"))))))))))))))))))</f>
      </c>
      <c r="O2199" s="78">
        <f>IF(D2199&lt;&gt;"",D2199,IF(AND(F2199="",G2199=""),"",IF(J2199&lt;&gt;"",IF(N(F2199)&gt;0,"客户回款","客户退款"),IF(K2199&lt;&gt;"",IF(N(G2199)&gt;0,"供应商付款","供应商退款"),IF(L2199&lt;&gt;"","费用支出","")))))</f>
      </c>
      <c r="P2199" s="78">
        <f>IF(O2199="","",IFERROR(INDEX(基础资料!$AE$5:$AE$34,MATCH(O2199,基础资料!$AC$5:$AC$34,0)),"未知"))</f>
      </c>
      <c r="Q2199" s="78">
        <f>IF(P2199="应收",COUNTIF(P$7:P2199,"应收"),"")</f>
      </c>
      <c r="R2199" s="78">
        <f>IF(P2199="应付",COUNTIF(P$7:P2199,"应付"),"")</f>
      </c>
      <c r="S2199" s="78">
        <f>N(F2199)-N(G2199)</f>
        <v>0</v>
      </c>
    </row>
    <row r="2200">
      <c r="A2200" s="109">
        <f>IF(AND(F2200="",G2200=""),"",ROW()-6)</f>
      </c>
      <c r="B2200" s="140" t="n"/>
      <c r="C2200" s="141" t="n"/>
      <c r="D2200" s="141" t="n"/>
      <c r="E2200" s="142" t="n"/>
      <c r="F2200" s="143" t="n"/>
      <c r="G2200" s="144" t="n"/>
      <c r="H2200" s="145">
        <f>IF(OR(C2200="",AND(F2200="",G2200="")),"",SUMIF(基础资料!$W$5:$W$24,C2200,基础资料!$X$5:$X$24)+SUMIF(C$7:C2200,C2200,F$7:F2200)-SUMIF(C$7:C2200,C2200,G$7:G2200))</f>
      </c>
      <c r="I2200" s="145">
        <f>IF(AND(F2200="",G2200=""),"",SUM(基础资料!$X$5:$X$24)+SUM(F$7:F2200)-SUM(G$7:G2200))</f>
      </c>
      <c r="J2200" s="141" t="n"/>
      <c r="K2200" s="141" t="n"/>
      <c r="L2200" s="141" t="n"/>
      <c r="M2200" s="142" t="n"/>
      <c r="N2200" s="146">
        <f>IF(AND(AND(F2200="",G2200=""),B2200="",C2200="",D2200="",J2200="",K2200="",L2200=""),"",IF(AND(F2200="",G2200=""),"✗ 没填金额",IF(AND(N(F2200)&lt;&gt;0,N(G2200)&lt;&gt;0),"✗ 收入、支出只能填一边",IF(NOT(ISNUMBER(B2200)),"✗ 日期不是真日期（要像 2026/9/25 这样填）",IF(OR(B2200&lt;年初日,B2200&gt;年末日),"✗ 日期不在本会计年度",IF(C2200="","✗ 没选账户",IF(COUNTIF(基础资料!$W$5:$W$24,C2200)=0,"✗ 账户不在基础资料里",IF(O2200="","✗ 没选收支项目",IF(P2200="未知","✗ 收支项目不在基础资料里",IF(AND(P2200="应收",J2200=""),"✗ 这笔要选客户",IF(AND(P2200="应收",COUNTIF(总览汇总!$B$5:$B$304,J2200)=0),"✗ 客户不在总览汇总名单里",IF(AND(P2200="应付",K2200=""),"✗ 这笔要选供应商",IF(AND(P2200="应付",COUNTIF(基础资料!$Q$5:$Q$54,K2200)=0),"✗ 供应商不在基础资料里",IF(AND(P2200="费用",L2200=""),"✗ 费用支出要选费用项目",IF(AND(L2200&lt;&gt;"",COUNTIF(基础资料!$AI$5:$AI$54,L2200)=0),"✗ 费用项目不在基础资料里",IF(AND(IFERROR(INDEX(基础资料!$AD$5:$AD$34,MATCH(O2200,基础资料!$AC$5:$AC$34,0)),"")="收",N(G2200)&lt;&gt;0),"✗ 这类是收款，金额填到收入列",IF(AND(IFERROR(INDEX(基础资料!$AD$5:$AD$34,MATCH(O2200,基础资料!$AC$5:$AC$34,0)),"")="支",N(F2200)&lt;&gt;0),"✗ 这类是付款，金额填到支出列",IF(N(H2200)&lt;0,"⚠ 账户余额成负数了，核对一下","√"))))))))))))))))))</f>
      </c>
      <c r="O2200" s="78">
        <f>IF(D2200&lt;&gt;"",D2200,IF(AND(F2200="",G2200=""),"",IF(J2200&lt;&gt;"",IF(N(F2200)&gt;0,"客户回款","客户退款"),IF(K2200&lt;&gt;"",IF(N(G2200)&gt;0,"供应商付款","供应商退款"),IF(L2200&lt;&gt;"","费用支出","")))))</f>
      </c>
      <c r="P2200" s="78">
        <f>IF(O2200="","",IFERROR(INDEX(基础资料!$AE$5:$AE$34,MATCH(O2200,基础资料!$AC$5:$AC$34,0)),"未知"))</f>
      </c>
      <c r="Q2200" s="78">
        <f>IF(P2200="应收",COUNTIF(P$7:P2200,"应收"),"")</f>
      </c>
      <c r="R2200" s="78">
        <f>IF(P2200="应付",COUNTIF(P$7:P2200,"应付"),"")</f>
      </c>
      <c r="S2200" s="78">
        <f>N(F2200)-N(G2200)</f>
        <v>0</v>
      </c>
    </row>
    <row r="2201">
      <c r="A2201" s="109">
        <f>IF(AND(F2201="",G2201=""),"",ROW()-6)</f>
      </c>
      <c r="B2201" s="140" t="n"/>
      <c r="C2201" s="141" t="n"/>
      <c r="D2201" s="141" t="n"/>
      <c r="E2201" s="142" t="n"/>
      <c r="F2201" s="143" t="n"/>
      <c r="G2201" s="144" t="n"/>
      <c r="H2201" s="145">
        <f>IF(OR(C2201="",AND(F2201="",G2201="")),"",SUMIF(基础资料!$W$5:$W$24,C2201,基础资料!$X$5:$X$24)+SUMIF(C$7:C2201,C2201,F$7:F2201)-SUMIF(C$7:C2201,C2201,G$7:G2201))</f>
      </c>
      <c r="I2201" s="145">
        <f>IF(AND(F2201="",G2201=""),"",SUM(基础资料!$X$5:$X$24)+SUM(F$7:F2201)-SUM(G$7:G2201))</f>
      </c>
      <c r="J2201" s="141" t="n"/>
      <c r="K2201" s="141" t="n"/>
      <c r="L2201" s="141" t="n"/>
      <c r="M2201" s="142" t="n"/>
      <c r="N2201" s="146">
        <f>IF(AND(AND(F2201="",G2201=""),B2201="",C2201="",D2201="",J2201="",K2201="",L2201=""),"",IF(AND(F2201="",G2201=""),"✗ 没填金额",IF(AND(N(F2201)&lt;&gt;0,N(G2201)&lt;&gt;0),"✗ 收入、支出只能填一边",IF(NOT(ISNUMBER(B2201)),"✗ 日期不是真日期（要像 2026/9/25 这样填）",IF(OR(B2201&lt;年初日,B2201&gt;年末日),"✗ 日期不在本会计年度",IF(C2201="","✗ 没选账户",IF(COUNTIF(基础资料!$W$5:$W$24,C2201)=0,"✗ 账户不在基础资料里",IF(O2201="","✗ 没选收支项目",IF(P2201="未知","✗ 收支项目不在基础资料里",IF(AND(P2201="应收",J2201=""),"✗ 这笔要选客户",IF(AND(P2201="应收",COUNTIF(总览汇总!$B$5:$B$304,J2201)=0),"✗ 客户不在总览汇总名单里",IF(AND(P2201="应付",K2201=""),"✗ 这笔要选供应商",IF(AND(P2201="应付",COUNTIF(基础资料!$Q$5:$Q$54,K2201)=0),"✗ 供应商不在基础资料里",IF(AND(P2201="费用",L2201=""),"✗ 费用支出要选费用项目",IF(AND(L2201&lt;&gt;"",COUNTIF(基础资料!$AI$5:$AI$54,L2201)=0),"✗ 费用项目不在基础资料里",IF(AND(IFERROR(INDEX(基础资料!$AD$5:$AD$34,MATCH(O2201,基础资料!$AC$5:$AC$34,0)),"")="收",N(G2201)&lt;&gt;0),"✗ 这类是收款，金额填到收入列",IF(AND(IFERROR(INDEX(基础资料!$AD$5:$AD$34,MATCH(O2201,基础资料!$AC$5:$AC$34,0)),"")="支",N(F2201)&lt;&gt;0),"✗ 这类是付款，金额填到支出列",IF(N(H2201)&lt;0,"⚠ 账户余额成负数了，核对一下","√"))))))))))))))))))</f>
      </c>
      <c r="O2201" s="78">
        <f>IF(D2201&lt;&gt;"",D2201,IF(AND(F2201="",G2201=""),"",IF(J2201&lt;&gt;"",IF(N(F2201)&gt;0,"客户回款","客户退款"),IF(K2201&lt;&gt;"",IF(N(G2201)&gt;0,"供应商付款","供应商退款"),IF(L2201&lt;&gt;"","费用支出","")))))</f>
      </c>
      <c r="P2201" s="78">
        <f>IF(O2201="","",IFERROR(INDEX(基础资料!$AE$5:$AE$34,MATCH(O2201,基础资料!$AC$5:$AC$34,0)),"未知"))</f>
      </c>
      <c r="Q2201" s="78">
        <f>IF(P2201="应收",COUNTIF(P$7:P2201,"应收"),"")</f>
      </c>
      <c r="R2201" s="78">
        <f>IF(P2201="应付",COUNTIF(P$7:P2201,"应付"),"")</f>
      </c>
      <c r="S2201" s="78">
        <f>N(F2201)-N(G2201)</f>
        <v>0</v>
      </c>
    </row>
    <row r="2202">
      <c r="A2202" s="109">
        <f>IF(AND(F2202="",G2202=""),"",ROW()-6)</f>
      </c>
      <c r="B2202" s="140" t="n"/>
      <c r="C2202" s="141" t="n"/>
      <c r="D2202" s="141" t="n"/>
      <c r="E2202" s="142" t="n"/>
      <c r="F2202" s="143" t="n"/>
      <c r="G2202" s="144" t="n"/>
      <c r="H2202" s="145">
        <f>IF(OR(C2202="",AND(F2202="",G2202="")),"",SUMIF(基础资料!$W$5:$W$24,C2202,基础资料!$X$5:$X$24)+SUMIF(C$7:C2202,C2202,F$7:F2202)-SUMIF(C$7:C2202,C2202,G$7:G2202))</f>
      </c>
      <c r="I2202" s="145">
        <f>IF(AND(F2202="",G2202=""),"",SUM(基础资料!$X$5:$X$24)+SUM(F$7:F2202)-SUM(G$7:G2202))</f>
      </c>
      <c r="J2202" s="141" t="n"/>
      <c r="K2202" s="141" t="n"/>
      <c r="L2202" s="141" t="n"/>
      <c r="M2202" s="142" t="n"/>
      <c r="N2202" s="146">
        <f>IF(AND(AND(F2202="",G2202=""),B2202="",C2202="",D2202="",J2202="",K2202="",L2202=""),"",IF(AND(F2202="",G2202=""),"✗ 没填金额",IF(AND(N(F2202)&lt;&gt;0,N(G2202)&lt;&gt;0),"✗ 收入、支出只能填一边",IF(NOT(ISNUMBER(B2202)),"✗ 日期不是真日期（要像 2026/9/25 这样填）",IF(OR(B2202&lt;年初日,B2202&gt;年末日),"✗ 日期不在本会计年度",IF(C2202="","✗ 没选账户",IF(COUNTIF(基础资料!$W$5:$W$24,C2202)=0,"✗ 账户不在基础资料里",IF(O2202="","✗ 没选收支项目",IF(P2202="未知","✗ 收支项目不在基础资料里",IF(AND(P2202="应收",J2202=""),"✗ 这笔要选客户",IF(AND(P2202="应收",COUNTIF(总览汇总!$B$5:$B$304,J2202)=0),"✗ 客户不在总览汇总名单里",IF(AND(P2202="应付",K2202=""),"✗ 这笔要选供应商",IF(AND(P2202="应付",COUNTIF(基础资料!$Q$5:$Q$54,K2202)=0),"✗ 供应商不在基础资料里",IF(AND(P2202="费用",L2202=""),"✗ 费用支出要选费用项目",IF(AND(L2202&lt;&gt;"",COUNTIF(基础资料!$AI$5:$AI$54,L2202)=0),"✗ 费用项目不在基础资料里",IF(AND(IFERROR(INDEX(基础资料!$AD$5:$AD$34,MATCH(O2202,基础资料!$AC$5:$AC$34,0)),"")="收",N(G2202)&lt;&gt;0),"✗ 这类是收款，金额填到收入列",IF(AND(IFERROR(INDEX(基础资料!$AD$5:$AD$34,MATCH(O2202,基础资料!$AC$5:$AC$34,0)),"")="支",N(F2202)&lt;&gt;0),"✗ 这类是付款，金额填到支出列",IF(N(H2202)&lt;0,"⚠ 账户余额成负数了，核对一下","√"))))))))))))))))))</f>
      </c>
      <c r="O2202" s="78">
        <f>IF(D2202&lt;&gt;"",D2202,IF(AND(F2202="",G2202=""),"",IF(J2202&lt;&gt;"",IF(N(F2202)&gt;0,"客户回款","客户退款"),IF(K2202&lt;&gt;"",IF(N(G2202)&gt;0,"供应商付款","供应商退款"),IF(L2202&lt;&gt;"","费用支出","")))))</f>
      </c>
      <c r="P2202" s="78">
        <f>IF(O2202="","",IFERROR(INDEX(基础资料!$AE$5:$AE$34,MATCH(O2202,基础资料!$AC$5:$AC$34,0)),"未知"))</f>
      </c>
      <c r="Q2202" s="78">
        <f>IF(P2202="应收",COUNTIF(P$7:P2202,"应收"),"")</f>
      </c>
      <c r="R2202" s="78">
        <f>IF(P2202="应付",COUNTIF(P$7:P2202,"应付"),"")</f>
      </c>
      <c r="S2202" s="78">
        <f>N(F2202)-N(G2202)</f>
        <v>0</v>
      </c>
    </row>
    <row r="2203">
      <c r="A2203" s="109">
        <f>IF(AND(F2203="",G2203=""),"",ROW()-6)</f>
      </c>
      <c r="B2203" s="140" t="n"/>
      <c r="C2203" s="141" t="n"/>
      <c r="D2203" s="141" t="n"/>
      <c r="E2203" s="142" t="n"/>
      <c r="F2203" s="143" t="n"/>
      <c r="G2203" s="144" t="n"/>
      <c r="H2203" s="145">
        <f>IF(OR(C2203="",AND(F2203="",G2203="")),"",SUMIF(基础资料!$W$5:$W$24,C2203,基础资料!$X$5:$X$24)+SUMIF(C$7:C2203,C2203,F$7:F2203)-SUMIF(C$7:C2203,C2203,G$7:G2203))</f>
      </c>
      <c r="I2203" s="145">
        <f>IF(AND(F2203="",G2203=""),"",SUM(基础资料!$X$5:$X$24)+SUM(F$7:F2203)-SUM(G$7:G2203))</f>
      </c>
      <c r="J2203" s="141" t="n"/>
      <c r="K2203" s="141" t="n"/>
      <c r="L2203" s="141" t="n"/>
      <c r="M2203" s="142" t="n"/>
      <c r="N2203" s="146">
        <f>IF(AND(AND(F2203="",G2203=""),B2203="",C2203="",D2203="",J2203="",K2203="",L2203=""),"",IF(AND(F2203="",G2203=""),"✗ 没填金额",IF(AND(N(F2203)&lt;&gt;0,N(G2203)&lt;&gt;0),"✗ 收入、支出只能填一边",IF(NOT(ISNUMBER(B2203)),"✗ 日期不是真日期（要像 2026/9/25 这样填）",IF(OR(B2203&lt;年初日,B2203&gt;年末日),"✗ 日期不在本会计年度",IF(C2203="","✗ 没选账户",IF(COUNTIF(基础资料!$W$5:$W$24,C2203)=0,"✗ 账户不在基础资料里",IF(O2203="","✗ 没选收支项目",IF(P2203="未知","✗ 收支项目不在基础资料里",IF(AND(P2203="应收",J2203=""),"✗ 这笔要选客户",IF(AND(P2203="应收",COUNTIF(总览汇总!$B$5:$B$304,J2203)=0),"✗ 客户不在总览汇总名单里",IF(AND(P2203="应付",K2203=""),"✗ 这笔要选供应商",IF(AND(P2203="应付",COUNTIF(基础资料!$Q$5:$Q$54,K2203)=0),"✗ 供应商不在基础资料里",IF(AND(P2203="费用",L2203=""),"✗ 费用支出要选费用项目",IF(AND(L2203&lt;&gt;"",COUNTIF(基础资料!$AI$5:$AI$54,L2203)=0),"✗ 费用项目不在基础资料里",IF(AND(IFERROR(INDEX(基础资料!$AD$5:$AD$34,MATCH(O2203,基础资料!$AC$5:$AC$34,0)),"")="收",N(G2203)&lt;&gt;0),"✗ 这类是收款，金额填到收入列",IF(AND(IFERROR(INDEX(基础资料!$AD$5:$AD$34,MATCH(O2203,基础资料!$AC$5:$AC$34,0)),"")="支",N(F2203)&lt;&gt;0),"✗ 这类是付款，金额填到支出列",IF(N(H2203)&lt;0,"⚠ 账户余额成负数了，核对一下","√"))))))))))))))))))</f>
      </c>
      <c r="O2203" s="78">
        <f>IF(D2203&lt;&gt;"",D2203,IF(AND(F2203="",G2203=""),"",IF(J2203&lt;&gt;"",IF(N(F2203)&gt;0,"客户回款","客户退款"),IF(K2203&lt;&gt;"",IF(N(G2203)&gt;0,"供应商付款","供应商退款"),IF(L2203&lt;&gt;"","费用支出","")))))</f>
      </c>
      <c r="P2203" s="78">
        <f>IF(O2203="","",IFERROR(INDEX(基础资料!$AE$5:$AE$34,MATCH(O2203,基础资料!$AC$5:$AC$34,0)),"未知"))</f>
      </c>
      <c r="Q2203" s="78">
        <f>IF(P2203="应收",COUNTIF(P$7:P2203,"应收"),"")</f>
      </c>
      <c r="R2203" s="78">
        <f>IF(P2203="应付",COUNTIF(P$7:P2203,"应付"),"")</f>
      </c>
      <c r="S2203" s="78">
        <f>N(F2203)-N(G2203)</f>
        <v>0</v>
      </c>
    </row>
    <row r="2204">
      <c r="A2204" s="109">
        <f>IF(AND(F2204="",G2204=""),"",ROW()-6)</f>
      </c>
      <c r="B2204" s="140" t="n"/>
      <c r="C2204" s="141" t="n"/>
      <c r="D2204" s="141" t="n"/>
      <c r="E2204" s="142" t="n"/>
      <c r="F2204" s="143" t="n"/>
      <c r="G2204" s="144" t="n"/>
      <c r="H2204" s="145">
        <f>IF(OR(C2204="",AND(F2204="",G2204="")),"",SUMIF(基础资料!$W$5:$W$24,C2204,基础资料!$X$5:$X$24)+SUMIF(C$7:C2204,C2204,F$7:F2204)-SUMIF(C$7:C2204,C2204,G$7:G2204))</f>
      </c>
      <c r="I2204" s="145">
        <f>IF(AND(F2204="",G2204=""),"",SUM(基础资料!$X$5:$X$24)+SUM(F$7:F2204)-SUM(G$7:G2204))</f>
      </c>
      <c r="J2204" s="141" t="n"/>
      <c r="K2204" s="141" t="n"/>
      <c r="L2204" s="141" t="n"/>
      <c r="M2204" s="142" t="n"/>
      <c r="N2204" s="146">
        <f>IF(AND(AND(F2204="",G2204=""),B2204="",C2204="",D2204="",J2204="",K2204="",L2204=""),"",IF(AND(F2204="",G2204=""),"✗ 没填金额",IF(AND(N(F2204)&lt;&gt;0,N(G2204)&lt;&gt;0),"✗ 收入、支出只能填一边",IF(NOT(ISNUMBER(B2204)),"✗ 日期不是真日期（要像 2026/9/25 这样填）",IF(OR(B2204&lt;年初日,B2204&gt;年末日),"✗ 日期不在本会计年度",IF(C2204="","✗ 没选账户",IF(COUNTIF(基础资料!$W$5:$W$24,C2204)=0,"✗ 账户不在基础资料里",IF(O2204="","✗ 没选收支项目",IF(P2204="未知","✗ 收支项目不在基础资料里",IF(AND(P2204="应收",J2204=""),"✗ 这笔要选客户",IF(AND(P2204="应收",COUNTIF(总览汇总!$B$5:$B$304,J2204)=0),"✗ 客户不在总览汇总名单里",IF(AND(P2204="应付",K2204=""),"✗ 这笔要选供应商",IF(AND(P2204="应付",COUNTIF(基础资料!$Q$5:$Q$54,K2204)=0),"✗ 供应商不在基础资料里",IF(AND(P2204="费用",L2204=""),"✗ 费用支出要选费用项目",IF(AND(L2204&lt;&gt;"",COUNTIF(基础资料!$AI$5:$AI$54,L2204)=0),"✗ 费用项目不在基础资料里",IF(AND(IFERROR(INDEX(基础资料!$AD$5:$AD$34,MATCH(O2204,基础资料!$AC$5:$AC$34,0)),"")="收",N(G2204)&lt;&gt;0),"✗ 这类是收款，金额填到收入列",IF(AND(IFERROR(INDEX(基础资料!$AD$5:$AD$34,MATCH(O2204,基础资料!$AC$5:$AC$34,0)),"")="支",N(F2204)&lt;&gt;0),"✗ 这类是付款，金额填到支出列",IF(N(H2204)&lt;0,"⚠ 账户余额成负数了，核对一下","√"))))))))))))))))))</f>
      </c>
      <c r="O2204" s="78">
        <f>IF(D2204&lt;&gt;"",D2204,IF(AND(F2204="",G2204=""),"",IF(J2204&lt;&gt;"",IF(N(F2204)&gt;0,"客户回款","客户退款"),IF(K2204&lt;&gt;"",IF(N(G2204)&gt;0,"供应商付款","供应商退款"),IF(L2204&lt;&gt;"","费用支出","")))))</f>
      </c>
      <c r="P2204" s="78">
        <f>IF(O2204="","",IFERROR(INDEX(基础资料!$AE$5:$AE$34,MATCH(O2204,基础资料!$AC$5:$AC$34,0)),"未知"))</f>
      </c>
      <c r="Q2204" s="78">
        <f>IF(P2204="应收",COUNTIF(P$7:P2204,"应收"),"")</f>
      </c>
      <c r="R2204" s="78">
        <f>IF(P2204="应付",COUNTIF(P$7:P2204,"应付"),"")</f>
      </c>
      <c r="S2204" s="78">
        <f>N(F2204)-N(G2204)</f>
        <v>0</v>
      </c>
    </row>
    <row r="2205">
      <c r="A2205" s="109">
        <f>IF(AND(F2205="",G2205=""),"",ROW()-6)</f>
      </c>
      <c r="B2205" s="140" t="n"/>
      <c r="C2205" s="141" t="n"/>
      <c r="D2205" s="141" t="n"/>
      <c r="E2205" s="142" t="n"/>
      <c r="F2205" s="143" t="n"/>
      <c r="G2205" s="144" t="n"/>
      <c r="H2205" s="145">
        <f>IF(OR(C2205="",AND(F2205="",G2205="")),"",SUMIF(基础资料!$W$5:$W$24,C2205,基础资料!$X$5:$X$24)+SUMIF(C$7:C2205,C2205,F$7:F2205)-SUMIF(C$7:C2205,C2205,G$7:G2205))</f>
      </c>
      <c r="I2205" s="145">
        <f>IF(AND(F2205="",G2205=""),"",SUM(基础资料!$X$5:$X$24)+SUM(F$7:F2205)-SUM(G$7:G2205))</f>
      </c>
      <c r="J2205" s="141" t="n"/>
      <c r="K2205" s="141" t="n"/>
      <c r="L2205" s="141" t="n"/>
      <c r="M2205" s="142" t="n"/>
      <c r="N2205" s="146">
        <f>IF(AND(AND(F2205="",G2205=""),B2205="",C2205="",D2205="",J2205="",K2205="",L2205=""),"",IF(AND(F2205="",G2205=""),"✗ 没填金额",IF(AND(N(F2205)&lt;&gt;0,N(G2205)&lt;&gt;0),"✗ 收入、支出只能填一边",IF(NOT(ISNUMBER(B2205)),"✗ 日期不是真日期（要像 2026/9/25 这样填）",IF(OR(B2205&lt;年初日,B2205&gt;年末日),"✗ 日期不在本会计年度",IF(C2205="","✗ 没选账户",IF(COUNTIF(基础资料!$W$5:$W$24,C2205)=0,"✗ 账户不在基础资料里",IF(O2205="","✗ 没选收支项目",IF(P2205="未知","✗ 收支项目不在基础资料里",IF(AND(P2205="应收",J2205=""),"✗ 这笔要选客户",IF(AND(P2205="应收",COUNTIF(总览汇总!$B$5:$B$304,J2205)=0),"✗ 客户不在总览汇总名单里",IF(AND(P2205="应付",K2205=""),"✗ 这笔要选供应商",IF(AND(P2205="应付",COUNTIF(基础资料!$Q$5:$Q$54,K2205)=0),"✗ 供应商不在基础资料里",IF(AND(P2205="费用",L2205=""),"✗ 费用支出要选费用项目",IF(AND(L2205&lt;&gt;"",COUNTIF(基础资料!$AI$5:$AI$54,L2205)=0),"✗ 费用项目不在基础资料里",IF(AND(IFERROR(INDEX(基础资料!$AD$5:$AD$34,MATCH(O2205,基础资料!$AC$5:$AC$34,0)),"")="收",N(G2205)&lt;&gt;0),"✗ 这类是收款，金额填到收入列",IF(AND(IFERROR(INDEX(基础资料!$AD$5:$AD$34,MATCH(O2205,基础资料!$AC$5:$AC$34,0)),"")="支",N(F2205)&lt;&gt;0),"✗ 这类是付款，金额填到支出列",IF(N(H2205)&lt;0,"⚠ 账户余额成负数了，核对一下","√"))))))))))))))))))</f>
      </c>
      <c r="O2205" s="78">
        <f>IF(D2205&lt;&gt;"",D2205,IF(AND(F2205="",G2205=""),"",IF(J2205&lt;&gt;"",IF(N(F2205)&gt;0,"客户回款","客户退款"),IF(K2205&lt;&gt;"",IF(N(G2205)&gt;0,"供应商付款","供应商退款"),IF(L2205&lt;&gt;"","费用支出","")))))</f>
      </c>
      <c r="P2205" s="78">
        <f>IF(O2205="","",IFERROR(INDEX(基础资料!$AE$5:$AE$34,MATCH(O2205,基础资料!$AC$5:$AC$34,0)),"未知"))</f>
      </c>
      <c r="Q2205" s="78">
        <f>IF(P2205="应收",COUNTIF(P$7:P2205,"应收"),"")</f>
      </c>
      <c r="R2205" s="78">
        <f>IF(P2205="应付",COUNTIF(P$7:P2205,"应付"),"")</f>
      </c>
      <c r="S2205" s="78">
        <f>N(F2205)-N(G2205)</f>
        <v>0</v>
      </c>
    </row>
    <row r="2206">
      <c r="A2206" s="109">
        <f>IF(AND(F2206="",G2206=""),"",ROW()-6)</f>
      </c>
      <c r="B2206" s="140" t="n"/>
      <c r="C2206" s="141" t="n"/>
      <c r="D2206" s="141" t="n"/>
      <c r="E2206" s="142" t="n"/>
      <c r="F2206" s="143" t="n"/>
      <c r="G2206" s="144" t="n"/>
      <c r="H2206" s="145">
        <f>IF(OR(C2206="",AND(F2206="",G2206="")),"",SUMIF(基础资料!$W$5:$W$24,C2206,基础资料!$X$5:$X$24)+SUMIF(C$7:C2206,C2206,F$7:F2206)-SUMIF(C$7:C2206,C2206,G$7:G2206))</f>
      </c>
      <c r="I2206" s="145">
        <f>IF(AND(F2206="",G2206=""),"",SUM(基础资料!$X$5:$X$24)+SUM(F$7:F2206)-SUM(G$7:G2206))</f>
      </c>
      <c r="J2206" s="141" t="n"/>
      <c r="K2206" s="141" t="n"/>
      <c r="L2206" s="141" t="n"/>
      <c r="M2206" s="142" t="n"/>
      <c r="N2206" s="146">
        <f>IF(AND(AND(F2206="",G2206=""),B2206="",C2206="",D2206="",J2206="",K2206="",L2206=""),"",IF(AND(F2206="",G2206=""),"✗ 没填金额",IF(AND(N(F2206)&lt;&gt;0,N(G2206)&lt;&gt;0),"✗ 收入、支出只能填一边",IF(NOT(ISNUMBER(B2206)),"✗ 日期不是真日期（要像 2026/9/25 这样填）",IF(OR(B2206&lt;年初日,B2206&gt;年末日),"✗ 日期不在本会计年度",IF(C2206="","✗ 没选账户",IF(COUNTIF(基础资料!$W$5:$W$24,C2206)=0,"✗ 账户不在基础资料里",IF(O2206="","✗ 没选收支项目",IF(P2206="未知","✗ 收支项目不在基础资料里",IF(AND(P2206="应收",J2206=""),"✗ 这笔要选客户",IF(AND(P2206="应收",COUNTIF(总览汇总!$B$5:$B$304,J2206)=0),"✗ 客户不在总览汇总名单里",IF(AND(P2206="应付",K2206=""),"✗ 这笔要选供应商",IF(AND(P2206="应付",COUNTIF(基础资料!$Q$5:$Q$54,K2206)=0),"✗ 供应商不在基础资料里",IF(AND(P2206="费用",L2206=""),"✗ 费用支出要选费用项目",IF(AND(L2206&lt;&gt;"",COUNTIF(基础资料!$AI$5:$AI$54,L2206)=0),"✗ 费用项目不在基础资料里",IF(AND(IFERROR(INDEX(基础资料!$AD$5:$AD$34,MATCH(O2206,基础资料!$AC$5:$AC$34,0)),"")="收",N(G2206)&lt;&gt;0),"✗ 这类是收款，金额填到收入列",IF(AND(IFERROR(INDEX(基础资料!$AD$5:$AD$34,MATCH(O2206,基础资料!$AC$5:$AC$34,0)),"")="支",N(F2206)&lt;&gt;0),"✗ 这类是付款，金额填到支出列",IF(N(H2206)&lt;0,"⚠ 账户余额成负数了，核对一下","√"))))))))))))))))))</f>
      </c>
      <c r="O2206" s="78">
        <f>IF(D2206&lt;&gt;"",D2206,IF(AND(F2206="",G2206=""),"",IF(J2206&lt;&gt;"",IF(N(F2206)&gt;0,"客户回款","客户退款"),IF(K2206&lt;&gt;"",IF(N(G2206)&gt;0,"供应商付款","供应商退款"),IF(L2206&lt;&gt;"","费用支出","")))))</f>
      </c>
      <c r="P2206" s="78">
        <f>IF(O2206="","",IFERROR(INDEX(基础资料!$AE$5:$AE$34,MATCH(O2206,基础资料!$AC$5:$AC$34,0)),"未知"))</f>
      </c>
      <c r="Q2206" s="78">
        <f>IF(P2206="应收",COUNTIF(P$7:P2206,"应收"),"")</f>
      </c>
      <c r="R2206" s="78">
        <f>IF(P2206="应付",COUNTIF(P$7:P2206,"应付"),"")</f>
      </c>
      <c r="S2206" s="78">
        <f>N(F2206)-N(G2206)</f>
        <v>0</v>
      </c>
    </row>
    <row r="2207">
      <c r="A2207" s="109">
        <f>IF(AND(F2207="",G2207=""),"",ROW()-6)</f>
      </c>
      <c r="B2207" s="140" t="n"/>
      <c r="C2207" s="141" t="n"/>
      <c r="D2207" s="141" t="n"/>
      <c r="E2207" s="142" t="n"/>
      <c r="F2207" s="143" t="n"/>
      <c r="G2207" s="144" t="n"/>
      <c r="H2207" s="145">
        <f>IF(OR(C2207="",AND(F2207="",G2207="")),"",SUMIF(基础资料!$W$5:$W$24,C2207,基础资料!$X$5:$X$24)+SUMIF(C$7:C2207,C2207,F$7:F2207)-SUMIF(C$7:C2207,C2207,G$7:G2207))</f>
      </c>
      <c r="I2207" s="145">
        <f>IF(AND(F2207="",G2207=""),"",SUM(基础资料!$X$5:$X$24)+SUM(F$7:F2207)-SUM(G$7:G2207))</f>
      </c>
      <c r="J2207" s="141" t="n"/>
      <c r="K2207" s="141" t="n"/>
      <c r="L2207" s="141" t="n"/>
      <c r="M2207" s="142" t="n"/>
      <c r="N2207" s="146">
        <f>IF(AND(AND(F2207="",G2207=""),B2207="",C2207="",D2207="",J2207="",K2207="",L2207=""),"",IF(AND(F2207="",G2207=""),"✗ 没填金额",IF(AND(N(F2207)&lt;&gt;0,N(G2207)&lt;&gt;0),"✗ 收入、支出只能填一边",IF(NOT(ISNUMBER(B2207)),"✗ 日期不是真日期（要像 2026/9/25 这样填）",IF(OR(B2207&lt;年初日,B2207&gt;年末日),"✗ 日期不在本会计年度",IF(C2207="","✗ 没选账户",IF(COUNTIF(基础资料!$W$5:$W$24,C2207)=0,"✗ 账户不在基础资料里",IF(O2207="","✗ 没选收支项目",IF(P2207="未知","✗ 收支项目不在基础资料里",IF(AND(P2207="应收",J2207=""),"✗ 这笔要选客户",IF(AND(P2207="应收",COUNTIF(总览汇总!$B$5:$B$304,J2207)=0),"✗ 客户不在总览汇总名单里",IF(AND(P2207="应付",K2207=""),"✗ 这笔要选供应商",IF(AND(P2207="应付",COUNTIF(基础资料!$Q$5:$Q$54,K2207)=0),"✗ 供应商不在基础资料里",IF(AND(P2207="费用",L2207=""),"✗ 费用支出要选费用项目",IF(AND(L2207&lt;&gt;"",COUNTIF(基础资料!$AI$5:$AI$54,L2207)=0),"✗ 费用项目不在基础资料里",IF(AND(IFERROR(INDEX(基础资料!$AD$5:$AD$34,MATCH(O2207,基础资料!$AC$5:$AC$34,0)),"")="收",N(G2207)&lt;&gt;0),"✗ 这类是收款，金额填到收入列",IF(AND(IFERROR(INDEX(基础资料!$AD$5:$AD$34,MATCH(O2207,基础资料!$AC$5:$AC$34,0)),"")="支",N(F2207)&lt;&gt;0),"✗ 这类是付款，金额填到支出列",IF(N(H2207)&lt;0,"⚠ 账户余额成负数了，核对一下","√"))))))))))))))))))</f>
      </c>
      <c r="O2207" s="78">
        <f>IF(D2207&lt;&gt;"",D2207,IF(AND(F2207="",G2207=""),"",IF(J2207&lt;&gt;"",IF(N(F2207)&gt;0,"客户回款","客户退款"),IF(K2207&lt;&gt;"",IF(N(G2207)&gt;0,"供应商付款","供应商退款"),IF(L2207&lt;&gt;"","费用支出","")))))</f>
      </c>
      <c r="P2207" s="78">
        <f>IF(O2207="","",IFERROR(INDEX(基础资料!$AE$5:$AE$34,MATCH(O2207,基础资料!$AC$5:$AC$34,0)),"未知"))</f>
      </c>
      <c r="Q2207" s="78">
        <f>IF(P2207="应收",COUNTIF(P$7:P2207,"应收"),"")</f>
      </c>
      <c r="R2207" s="78">
        <f>IF(P2207="应付",COUNTIF(P$7:P2207,"应付"),"")</f>
      </c>
      <c r="S2207" s="78">
        <f>N(F2207)-N(G2207)</f>
        <v>0</v>
      </c>
    </row>
    <row r="2208">
      <c r="A2208" s="109">
        <f>IF(AND(F2208="",G2208=""),"",ROW()-6)</f>
      </c>
      <c r="B2208" s="140" t="n"/>
      <c r="C2208" s="141" t="n"/>
      <c r="D2208" s="141" t="n"/>
      <c r="E2208" s="142" t="n"/>
      <c r="F2208" s="143" t="n"/>
      <c r="G2208" s="144" t="n"/>
      <c r="H2208" s="145">
        <f>IF(OR(C2208="",AND(F2208="",G2208="")),"",SUMIF(基础资料!$W$5:$W$24,C2208,基础资料!$X$5:$X$24)+SUMIF(C$7:C2208,C2208,F$7:F2208)-SUMIF(C$7:C2208,C2208,G$7:G2208))</f>
      </c>
      <c r="I2208" s="145">
        <f>IF(AND(F2208="",G2208=""),"",SUM(基础资料!$X$5:$X$24)+SUM(F$7:F2208)-SUM(G$7:G2208))</f>
      </c>
      <c r="J2208" s="141" t="n"/>
      <c r="K2208" s="141" t="n"/>
      <c r="L2208" s="141" t="n"/>
      <c r="M2208" s="142" t="n"/>
      <c r="N2208" s="146">
        <f>IF(AND(AND(F2208="",G2208=""),B2208="",C2208="",D2208="",J2208="",K2208="",L2208=""),"",IF(AND(F2208="",G2208=""),"✗ 没填金额",IF(AND(N(F2208)&lt;&gt;0,N(G2208)&lt;&gt;0),"✗ 收入、支出只能填一边",IF(NOT(ISNUMBER(B2208)),"✗ 日期不是真日期（要像 2026/9/25 这样填）",IF(OR(B2208&lt;年初日,B2208&gt;年末日),"✗ 日期不在本会计年度",IF(C2208="","✗ 没选账户",IF(COUNTIF(基础资料!$W$5:$W$24,C2208)=0,"✗ 账户不在基础资料里",IF(O2208="","✗ 没选收支项目",IF(P2208="未知","✗ 收支项目不在基础资料里",IF(AND(P2208="应收",J2208=""),"✗ 这笔要选客户",IF(AND(P2208="应收",COUNTIF(总览汇总!$B$5:$B$304,J2208)=0),"✗ 客户不在总览汇总名单里",IF(AND(P2208="应付",K2208=""),"✗ 这笔要选供应商",IF(AND(P2208="应付",COUNTIF(基础资料!$Q$5:$Q$54,K2208)=0),"✗ 供应商不在基础资料里",IF(AND(P2208="费用",L2208=""),"✗ 费用支出要选费用项目",IF(AND(L2208&lt;&gt;"",COUNTIF(基础资料!$AI$5:$AI$54,L2208)=0),"✗ 费用项目不在基础资料里",IF(AND(IFERROR(INDEX(基础资料!$AD$5:$AD$34,MATCH(O2208,基础资料!$AC$5:$AC$34,0)),"")="收",N(G2208)&lt;&gt;0),"✗ 这类是收款，金额填到收入列",IF(AND(IFERROR(INDEX(基础资料!$AD$5:$AD$34,MATCH(O2208,基础资料!$AC$5:$AC$34,0)),"")="支",N(F2208)&lt;&gt;0),"✗ 这类是付款，金额填到支出列",IF(N(H2208)&lt;0,"⚠ 账户余额成负数了，核对一下","√"))))))))))))))))))</f>
      </c>
      <c r="O2208" s="78">
        <f>IF(D2208&lt;&gt;"",D2208,IF(AND(F2208="",G2208=""),"",IF(J2208&lt;&gt;"",IF(N(F2208)&gt;0,"客户回款","客户退款"),IF(K2208&lt;&gt;"",IF(N(G2208)&gt;0,"供应商付款","供应商退款"),IF(L2208&lt;&gt;"","费用支出","")))))</f>
      </c>
      <c r="P2208" s="78">
        <f>IF(O2208="","",IFERROR(INDEX(基础资料!$AE$5:$AE$34,MATCH(O2208,基础资料!$AC$5:$AC$34,0)),"未知"))</f>
      </c>
      <c r="Q2208" s="78">
        <f>IF(P2208="应收",COUNTIF(P$7:P2208,"应收"),"")</f>
      </c>
      <c r="R2208" s="78">
        <f>IF(P2208="应付",COUNTIF(P$7:P2208,"应付"),"")</f>
      </c>
      <c r="S2208" s="78">
        <f>N(F2208)-N(G2208)</f>
        <v>0</v>
      </c>
    </row>
    <row r="2209">
      <c r="A2209" s="109">
        <f>IF(AND(F2209="",G2209=""),"",ROW()-6)</f>
      </c>
      <c r="B2209" s="140" t="n"/>
      <c r="C2209" s="141" t="n"/>
      <c r="D2209" s="141" t="n"/>
      <c r="E2209" s="142" t="n"/>
      <c r="F2209" s="143" t="n"/>
      <c r="G2209" s="144" t="n"/>
      <c r="H2209" s="145">
        <f>IF(OR(C2209="",AND(F2209="",G2209="")),"",SUMIF(基础资料!$W$5:$W$24,C2209,基础资料!$X$5:$X$24)+SUMIF(C$7:C2209,C2209,F$7:F2209)-SUMIF(C$7:C2209,C2209,G$7:G2209))</f>
      </c>
      <c r="I2209" s="145">
        <f>IF(AND(F2209="",G2209=""),"",SUM(基础资料!$X$5:$X$24)+SUM(F$7:F2209)-SUM(G$7:G2209))</f>
      </c>
      <c r="J2209" s="141" t="n"/>
      <c r="K2209" s="141" t="n"/>
      <c r="L2209" s="141" t="n"/>
      <c r="M2209" s="142" t="n"/>
      <c r="N2209" s="146">
        <f>IF(AND(AND(F2209="",G2209=""),B2209="",C2209="",D2209="",J2209="",K2209="",L2209=""),"",IF(AND(F2209="",G2209=""),"✗ 没填金额",IF(AND(N(F2209)&lt;&gt;0,N(G2209)&lt;&gt;0),"✗ 收入、支出只能填一边",IF(NOT(ISNUMBER(B2209)),"✗ 日期不是真日期（要像 2026/9/25 这样填）",IF(OR(B2209&lt;年初日,B2209&gt;年末日),"✗ 日期不在本会计年度",IF(C2209="","✗ 没选账户",IF(COUNTIF(基础资料!$W$5:$W$24,C2209)=0,"✗ 账户不在基础资料里",IF(O2209="","✗ 没选收支项目",IF(P2209="未知","✗ 收支项目不在基础资料里",IF(AND(P2209="应收",J2209=""),"✗ 这笔要选客户",IF(AND(P2209="应收",COUNTIF(总览汇总!$B$5:$B$304,J2209)=0),"✗ 客户不在总览汇总名单里",IF(AND(P2209="应付",K2209=""),"✗ 这笔要选供应商",IF(AND(P2209="应付",COUNTIF(基础资料!$Q$5:$Q$54,K2209)=0),"✗ 供应商不在基础资料里",IF(AND(P2209="费用",L2209=""),"✗ 费用支出要选费用项目",IF(AND(L2209&lt;&gt;"",COUNTIF(基础资料!$AI$5:$AI$54,L2209)=0),"✗ 费用项目不在基础资料里",IF(AND(IFERROR(INDEX(基础资料!$AD$5:$AD$34,MATCH(O2209,基础资料!$AC$5:$AC$34,0)),"")="收",N(G2209)&lt;&gt;0),"✗ 这类是收款，金额填到收入列",IF(AND(IFERROR(INDEX(基础资料!$AD$5:$AD$34,MATCH(O2209,基础资料!$AC$5:$AC$34,0)),"")="支",N(F2209)&lt;&gt;0),"✗ 这类是付款，金额填到支出列",IF(N(H2209)&lt;0,"⚠ 账户余额成负数了，核对一下","√"))))))))))))))))))</f>
      </c>
      <c r="O2209" s="78">
        <f>IF(D2209&lt;&gt;"",D2209,IF(AND(F2209="",G2209=""),"",IF(J2209&lt;&gt;"",IF(N(F2209)&gt;0,"客户回款","客户退款"),IF(K2209&lt;&gt;"",IF(N(G2209)&gt;0,"供应商付款","供应商退款"),IF(L2209&lt;&gt;"","费用支出","")))))</f>
      </c>
      <c r="P2209" s="78">
        <f>IF(O2209="","",IFERROR(INDEX(基础资料!$AE$5:$AE$34,MATCH(O2209,基础资料!$AC$5:$AC$34,0)),"未知"))</f>
      </c>
      <c r="Q2209" s="78">
        <f>IF(P2209="应收",COUNTIF(P$7:P2209,"应收"),"")</f>
      </c>
      <c r="R2209" s="78">
        <f>IF(P2209="应付",COUNTIF(P$7:P2209,"应付"),"")</f>
      </c>
      <c r="S2209" s="78">
        <f>N(F2209)-N(G2209)</f>
        <v>0</v>
      </c>
    </row>
    <row r="2210">
      <c r="A2210" s="109">
        <f>IF(AND(F2210="",G2210=""),"",ROW()-6)</f>
      </c>
      <c r="B2210" s="140" t="n"/>
      <c r="C2210" s="141" t="n"/>
      <c r="D2210" s="141" t="n"/>
      <c r="E2210" s="142" t="n"/>
      <c r="F2210" s="143" t="n"/>
      <c r="G2210" s="144" t="n"/>
      <c r="H2210" s="145">
        <f>IF(OR(C2210="",AND(F2210="",G2210="")),"",SUMIF(基础资料!$W$5:$W$24,C2210,基础资料!$X$5:$X$24)+SUMIF(C$7:C2210,C2210,F$7:F2210)-SUMIF(C$7:C2210,C2210,G$7:G2210))</f>
      </c>
      <c r="I2210" s="145">
        <f>IF(AND(F2210="",G2210=""),"",SUM(基础资料!$X$5:$X$24)+SUM(F$7:F2210)-SUM(G$7:G2210))</f>
      </c>
      <c r="J2210" s="141" t="n"/>
      <c r="K2210" s="141" t="n"/>
      <c r="L2210" s="141" t="n"/>
      <c r="M2210" s="142" t="n"/>
      <c r="N2210" s="146">
        <f>IF(AND(AND(F2210="",G2210=""),B2210="",C2210="",D2210="",J2210="",K2210="",L2210=""),"",IF(AND(F2210="",G2210=""),"✗ 没填金额",IF(AND(N(F2210)&lt;&gt;0,N(G2210)&lt;&gt;0),"✗ 收入、支出只能填一边",IF(NOT(ISNUMBER(B2210)),"✗ 日期不是真日期（要像 2026/9/25 这样填）",IF(OR(B2210&lt;年初日,B2210&gt;年末日),"✗ 日期不在本会计年度",IF(C2210="","✗ 没选账户",IF(COUNTIF(基础资料!$W$5:$W$24,C2210)=0,"✗ 账户不在基础资料里",IF(O2210="","✗ 没选收支项目",IF(P2210="未知","✗ 收支项目不在基础资料里",IF(AND(P2210="应收",J2210=""),"✗ 这笔要选客户",IF(AND(P2210="应收",COUNTIF(总览汇总!$B$5:$B$304,J2210)=0),"✗ 客户不在总览汇总名单里",IF(AND(P2210="应付",K2210=""),"✗ 这笔要选供应商",IF(AND(P2210="应付",COUNTIF(基础资料!$Q$5:$Q$54,K2210)=0),"✗ 供应商不在基础资料里",IF(AND(P2210="费用",L2210=""),"✗ 费用支出要选费用项目",IF(AND(L2210&lt;&gt;"",COUNTIF(基础资料!$AI$5:$AI$54,L2210)=0),"✗ 费用项目不在基础资料里",IF(AND(IFERROR(INDEX(基础资料!$AD$5:$AD$34,MATCH(O2210,基础资料!$AC$5:$AC$34,0)),"")="收",N(G2210)&lt;&gt;0),"✗ 这类是收款，金额填到收入列",IF(AND(IFERROR(INDEX(基础资料!$AD$5:$AD$34,MATCH(O2210,基础资料!$AC$5:$AC$34,0)),"")="支",N(F2210)&lt;&gt;0),"✗ 这类是付款，金额填到支出列",IF(N(H2210)&lt;0,"⚠ 账户余额成负数了，核对一下","√"))))))))))))))))))</f>
      </c>
      <c r="O2210" s="78">
        <f>IF(D2210&lt;&gt;"",D2210,IF(AND(F2210="",G2210=""),"",IF(J2210&lt;&gt;"",IF(N(F2210)&gt;0,"客户回款","客户退款"),IF(K2210&lt;&gt;"",IF(N(G2210)&gt;0,"供应商付款","供应商退款"),IF(L2210&lt;&gt;"","费用支出","")))))</f>
      </c>
      <c r="P2210" s="78">
        <f>IF(O2210="","",IFERROR(INDEX(基础资料!$AE$5:$AE$34,MATCH(O2210,基础资料!$AC$5:$AC$34,0)),"未知"))</f>
      </c>
      <c r="Q2210" s="78">
        <f>IF(P2210="应收",COUNTIF(P$7:P2210,"应收"),"")</f>
      </c>
      <c r="R2210" s="78">
        <f>IF(P2210="应付",COUNTIF(P$7:P2210,"应付"),"")</f>
      </c>
      <c r="S2210" s="78">
        <f>N(F2210)-N(G2210)</f>
        <v>0</v>
      </c>
    </row>
    <row r="2211">
      <c r="A2211" s="109">
        <f>IF(AND(F2211="",G2211=""),"",ROW()-6)</f>
      </c>
      <c r="B2211" s="140" t="n"/>
      <c r="C2211" s="141" t="n"/>
      <c r="D2211" s="141" t="n"/>
      <c r="E2211" s="142" t="n"/>
      <c r="F2211" s="143" t="n"/>
      <c r="G2211" s="144" t="n"/>
      <c r="H2211" s="145">
        <f>IF(OR(C2211="",AND(F2211="",G2211="")),"",SUMIF(基础资料!$W$5:$W$24,C2211,基础资料!$X$5:$X$24)+SUMIF(C$7:C2211,C2211,F$7:F2211)-SUMIF(C$7:C2211,C2211,G$7:G2211))</f>
      </c>
      <c r="I2211" s="145">
        <f>IF(AND(F2211="",G2211=""),"",SUM(基础资料!$X$5:$X$24)+SUM(F$7:F2211)-SUM(G$7:G2211))</f>
      </c>
      <c r="J2211" s="141" t="n"/>
      <c r="K2211" s="141" t="n"/>
      <c r="L2211" s="141" t="n"/>
      <c r="M2211" s="142" t="n"/>
      <c r="N2211" s="146">
        <f>IF(AND(AND(F2211="",G2211=""),B2211="",C2211="",D2211="",J2211="",K2211="",L2211=""),"",IF(AND(F2211="",G2211=""),"✗ 没填金额",IF(AND(N(F2211)&lt;&gt;0,N(G2211)&lt;&gt;0),"✗ 收入、支出只能填一边",IF(NOT(ISNUMBER(B2211)),"✗ 日期不是真日期（要像 2026/9/25 这样填）",IF(OR(B2211&lt;年初日,B2211&gt;年末日),"✗ 日期不在本会计年度",IF(C2211="","✗ 没选账户",IF(COUNTIF(基础资料!$W$5:$W$24,C2211)=0,"✗ 账户不在基础资料里",IF(O2211="","✗ 没选收支项目",IF(P2211="未知","✗ 收支项目不在基础资料里",IF(AND(P2211="应收",J2211=""),"✗ 这笔要选客户",IF(AND(P2211="应收",COUNTIF(总览汇总!$B$5:$B$304,J2211)=0),"✗ 客户不在总览汇总名单里",IF(AND(P2211="应付",K2211=""),"✗ 这笔要选供应商",IF(AND(P2211="应付",COUNTIF(基础资料!$Q$5:$Q$54,K2211)=0),"✗ 供应商不在基础资料里",IF(AND(P2211="费用",L2211=""),"✗ 费用支出要选费用项目",IF(AND(L2211&lt;&gt;"",COUNTIF(基础资料!$AI$5:$AI$54,L2211)=0),"✗ 费用项目不在基础资料里",IF(AND(IFERROR(INDEX(基础资料!$AD$5:$AD$34,MATCH(O2211,基础资料!$AC$5:$AC$34,0)),"")="收",N(G2211)&lt;&gt;0),"✗ 这类是收款，金额填到收入列",IF(AND(IFERROR(INDEX(基础资料!$AD$5:$AD$34,MATCH(O2211,基础资料!$AC$5:$AC$34,0)),"")="支",N(F2211)&lt;&gt;0),"✗ 这类是付款，金额填到支出列",IF(N(H2211)&lt;0,"⚠ 账户余额成负数了，核对一下","√"))))))))))))))))))</f>
      </c>
      <c r="O2211" s="78">
        <f>IF(D2211&lt;&gt;"",D2211,IF(AND(F2211="",G2211=""),"",IF(J2211&lt;&gt;"",IF(N(F2211)&gt;0,"客户回款","客户退款"),IF(K2211&lt;&gt;"",IF(N(G2211)&gt;0,"供应商付款","供应商退款"),IF(L2211&lt;&gt;"","费用支出","")))))</f>
      </c>
      <c r="P2211" s="78">
        <f>IF(O2211="","",IFERROR(INDEX(基础资料!$AE$5:$AE$34,MATCH(O2211,基础资料!$AC$5:$AC$34,0)),"未知"))</f>
      </c>
      <c r="Q2211" s="78">
        <f>IF(P2211="应收",COUNTIF(P$7:P2211,"应收"),"")</f>
      </c>
      <c r="R2211" s="78">
        <f>IF(P2211="应付",COUNTIF(P$7:P2211,"应付"),"")</f>
      </c>
      <c r="S2211" s="78">
        <f>N(F2211)-N(G2211)</f>
        <v>0</v>
      </c>
    </row>
    <row r="2212">
      <c r="A2212" s="109">
        <f>IF(AND(F2212="",G2212=""),"",ROW()-6)</f>
      </c>
      <c r="B2212" s="140" t="n"/>
      <c r="C2212" s="141" t="n"/>
      <c r="D2212" s="141" t="n"/>
      <c r="E2212" s="142" t="n"/>
      <c r="F2212" s="143" t="n"/>
      <c r="G2212" s="144" t="n"/>
      <c r="H2212" s="145">
        <f>IF(OR(C2212="",AND(F2212="",G2212="")),"",SUMIF(基础资料!$W$5:$W$24,C2212,基础资料!$X$5:$X$24)+SUMIF(C$7:C2212,C2212,F$7:F2212)-SUMIF(C$7:C2212,C2212,G$7:G2212))</f>
      </c>
      <c r="I2212" s="145">
        <f>IF(AND(F2212="",G2212=""),"",SUM(基础资料!$X$5:$X$24)+SUM(F$7:F2212)-SUM(G$7:G2212))</f>
      </c>
      <c r="J2212" s="141" t="n"/>
      <c r="K2212" s="141" t="n"/>
      <c r="L2212" s="141" t="n"/>
      <c r="M2212" s="142" t="n"/>
      <c r="N2212" s="146">
        <f>IF(AND(AND(F2212="",G2212=""),B2212="",C2212="",D2212="",J2212="",K2212="",L2212=""),"",IF(AND(F2212="",G2212=""),"✗ 没填金额",IF(AND(N(F2212)&lt;&gt;0,N(G2212)&lt;&gt;0),"✗ 收入、支出只能填一边",IF(NOT(ISNUMBER(B2212)),"✗ 日期不是真日期（要像 2026/9/25 这样填）",IF(OR(B2212&lt;年初日,B2212&gt;年末日),"✗ 日期不在本会计年度",IF(C2212="","✗ 没选账户",IF(COUNTIF(基础资料!$W$5:$W$24,C2212)=0,"✗ 账户不在基础资料里",IF(O2212="","✗ 没选收支项目",IF(P2212="未知","✗ 收支项目不在基础资料里",IF(AND(P2212="应收",J2212=""),"✗ 这笔要选客户",IF(AND(P2212="应收",COUNTIF(总览汇总!$B$5:$B$304,J2212)=0),"✗ 客户不在总览汇总名单里",IF(AND(P2212="应付",K2212=""),"✗ 这笔要选供应商",IF(AND(P2212="应付",COUNTIF(基础资料!$Q$5:$Q$54,K2212)=0),"✗ 供应商不在基础资料里",IF(AND(P2212="费用",L2212=""),"✗ 费用支出要选费用项目",IF(AND(L2212&lt;&gt;"",COUNTIF(基础资料!$AI$5:$AI$54,L2212)=0),"✗ 费用项目不在基础资料里",IF(AND(IFERROR(INDEX(基础资料!$AD$5:$AD$34,MATCH(O2212,基础资料!$AC$5:$AC$34,0)),"")="收",N(G2212)&lt;&gt;0),"✗ 这类是收款，金额填到收入列",IF(AND(IFERROR(INDEX(基础资料!$AD$5:$AD$34,MATCH(O2212,基础资料!$AC$5:$AC$34,0)),"")="支",N(F2212)&lt;&gt;0),"✗ 这类是付款，金额填到支出列",IF(N(H2212)&lt;0,"⚠ 账户余额成负数了，核对一下","√"))))))))))))))))))</f>
      </c>
      <c r="O2212" s="78">
        <f>IF(D2212&lt;&gt;"",D2212,IF(AND(F2212="",G2212=""),"",IF(J2212&lt;&gt;"",IF(N(F2212)&gt;0,"客户回款","客户退款"),IF(K2212&lt;&gt;"",IF(N(G2212)&gt;0,"供应商付款","供应商退款"),IF(L2212&lt;&gt;"","费用支出","")))))</f>
      </c>
      <c r="P2212" s="78">
        <f>IF(O2212="","",IFERROR(INDEX(基础资料!$AE$5:$AE$34,MATCH(O2212,基础资料!$AC$5:$AC$34,0)),"未知"))</f>
      </c>
      <c r="Q2212" s="78">
        <f>IF(P2212="应收",COUNTIF(P$7:P2212,"应收"),"")</f>
      </c>
      <c r="R2212" s="78">
        <f>IF(P2212="应付",COUNTIF(P$7:P2212,"应付"),"")</f>
      </c>
      <c r="S2212" s="78">
        <f>N(F2212)-N(G2212)</f>
        <v>0</v>
      </c>
    </row>
    <row r="2213">
      <c r="A2213" s="109">
        <f>IF(AND(F2213="",G2213=""),"",ROW()-6)</f>
      </c>
      <c r="B2213" s="140" t="n"/>
      <c r="C2213" s="141" t="n"/>
      <c r="D2213" s="141" t="n"/>
      <c r="E2213" s="142" t="n"/>
      <c r="F2213" s="143" t="n"/>
      <c r="G2213" s="144" t="n"/>
      <c r="H2213" s="145">
        <f>IF(OR(C2213="",AND(F2213="",G2213="")),"",SUMIF(基础资料!$W$5:$W$24,C2213,基础资料!$X$5:$X$24)+SUMIF(C$7:C2213,C2213,F$7:F2213)-SUMIF(C$7:C2213,C2213,G$7:G2213))</f>
      </c>
      <c r="I2213" s="145">
        <f>IF(AND(F2213="",G2213=""),"",SUM(基础资料!$X$5:$X$24)+SUM(F$7:F2213)-SUM(G$7:G2213))</f>
      </c>
      <c r="J2213" s="141" t="n"/>
      <c r="K2213" s="141" t="n"/>
      <c r="L2213" s="141" t="n"/>
      <c r="M2213" s="142" t="n"/>
      <c r="N2213" s="146">
        <f>IF(AND(AND(F2213="",G2213=""),B2213="",C2213="",D2213="",J2213="",K2213="",L2213=""),"",IF(AND(F2213="",G2213=""),"✗ 没填金额",IF(AND(N(F2213)&lt;&gt;0,N(G2213)&lt;&gt;0),"✗ 收入、支出只能填一边",IF(NOT(ISNUMBER(B2213)),"✗ 日期不是真日期（要像 2026/9/25 这样填）",IF(OR(B2213&lt;年初日,B2213&gt;年末日),"✗ 日期不在本会计年度",IF(C2213="","✗ 没选账户",IF(COUNTIF(基础资料!$W$5:$W$24,C2213)=0,"✗ 账户不在基础资料里",IF(O2213="","✗ 没选收支项目",IF(P2213="未知","✗ 收支项目不在基础资料里",IF(AND(P2213="应收",J2213=""),"✗ 这笔要选客户",IF(AND(P2213="应收",COUNTIF(总览汇总!$B$5:$B$304,J2213)=0),"✗ 客户不在总览汇总名单里",IF(AND(P2213="应付",K2213=""),"✗ 这笔要选供应商",IF(AND(P2213="应付",COUNTIF(基础资料!$Q$5:$Q$54,K2213)=0),"✗ 供应商不在基础资料里",IF(AND(P2213="费用",L2213=""),"✗ 费用支出要选费用项目",IF(AND(L2213&lt;&gt;"",COUNTIF(基础资料!$AI$5:$AI$54,L2213)=0),"✗ 费用项目不在基础资料里",IF(AND(IFERROR(INDEX(基础资料!$AD$5:$AD$34,MATCH(O2213,基础资料!$AC$5:$AC$34,0)),"")="收",N(G2213)&lt;&gt;0),"✗ 这类是收款，金额填到收入列",IF(AND(IFERROR(INDEX(基础资料!$AD$5:$AD$34,MATCH(O2213,基础资料!$AC$5:$AC$34,0)),"")="支",N(F2213)&lt;&gt;0),"✗ 这类是付款，金额填到支出列",IF(N(H2213)&lt;0,"⚠ 账户余额成负数了，核对一下","√"))))))))))))))))))</f>
      </c>
      <c r="O2213" s="78">
        <f>IF(D2213&lt;&gt;"",D2213,IF(AND(F2213="",G2213=""),"",IF(J2213&lt;&gt;"",IF(N(F2213)&gt;0,"客户回款","客户退款"),IF(K2213&lt;&gt;"",IF(N(G2213)&gt;0,"供应商付款","供应商退款"),IF(L2213&lt;&gt;"","费用支出","")))))</f>
      </c>
      <c r="P2213" s="78">
        <f>IF(O2213="","",IFERROR(INDEX(基础资料!$AE$5:$AE$34,MATCH(O2213,基础资料!$AC$5:$AC$34,0)),"未知"))</f>
      </c>
      <c r="Q2213" s="78">
        <f>IF(P2213="应收",COUNTIF(P$7:P2213,"应收"),"")</f>
      </c>
      <c r="R2213" s="78">
        <f>IF(P2213="应付",COUNTIF(P$7:P2213,"应付"),"")</f>
      </c>
      <c r="S2213" s="78">
        <f>N(F2213)-N(G2213)</f>
        <v>0</v>
      </c>
    </row>
    <row r="2214">
      <c r="A2214" s="109">
        <f>IF(AND(F2214="",G2214=""),"",ROW()-6)</f>
      </c>
      <c r="B2214" s="140" t="n"/>
      <c r="C2214" s="141" t="n"/>
      <c r="D2214" s="141" t="n"/>
      <c r="E2214" s="142" t="n"/>
      <c r="F2214" s="143" t="n"/>
      <c r="G2214" s="144" t="n"/>
      <c r="H2214" s="145">
        <f>IF(OR(C2214="",AND(F2214="",G2214="")),"",SUMIF(基础资料!$W$5:$W$24,C2214,基础资料!$X$5:$X$24)+SUMIF(C$7:C2214,C2214,F$7:F2214)-SUMIF(C$7:C2214,C2214,G$7:G2214))</f>
      </c>
      <c r="I2214" s="145">
        <f>IF(AND(F2214="",G2214=""),"",SUM(基础资料!$X$5:$X$24)+SUM(F$7:F2214)-SUM(G$7:G2214))</f>
      </c>
      <c r="J2214" s="141" t="n"/>
      <c r="K2214" s="141" t="n"/>
      <c r="L2214" s="141" t="n"/>
      <c r="M2214" s="142" t="n"/>
      <c r="N2214" s="146">
        <f>IF(AND(AND(F2214="",G2214=""),B2214="",C2214="",D2214="",J2214="",K2214="",L2214=""),"",IF(AND(F2214="",G2214=""),"✗ 没填金额",IF(AND(N(F2214)&lt;&gt;0,N(G2214)&lt;&gt;0),"✗ 收入、支出只能填一边",IF(NOT(ISNUMBER(B2214)),"✗ 日期不是真日期（要像 2026/9/25 这样填）",IF(OR(B2214&lt;年初日,B2214&gt;年末日),"✗ 日期不在本会计年度",IF(C2214="","✗ 没选账户",IF(COUNTIF(基础资料!$W$5:$W$24,C2214)=0,"✗ 账户不在基础资料里",IF(O2214="","✗ 没选收支项目",IF(P2214="未知","✗ 收支项目不在基础资料里",IF(AND(P2214="应收",J2214=""),"✗ 这笔要选客户",IF(AND(P2214="应收",COUNTIF(总览汇总!$B$5:$B$304,J2214)=0),"✗ 客户不在总览汇总名单里",IF(AND(P2214="应付",K2214=""),"✗ 这笔要选供应商",IF(AND(P2214="应付",COUNTIF(基础资料!$Q$5:$Q$54,K2214)=0),"✗ 供应商不在基础资料里",IF(AND(P2214="费用",L2214=""),"✗ 费用支出要选费用项目",IF(AND(L2214&lt;&gt;"",COUNTIF(基础资料!$AI$5:$AI$54,L2214)=0),"✗ 费用项目不在基础资料里",IF(AND(IFERROR(INDEX(基础资料!$AD$5:$AD$34,MATCH(O2214,基础资料!$AC$5:$AC$34,0)),"")="收",N(G2214)&lt;&gt;0),"✗ 这类是收款，金额填到收入列",IF(AND(IFERROR(INDEX(基础资料!$AD$5:$AD$34,MATCH(O2214,基础资料!$AC$5:$AC$34,0)),"")="支",N(F2214)&lt;&gt;0),"✗ 这类是付款，金额填到支出列",IF(N(H2214)&lt;0,"⚠ 账户余额成负数了，核对一下","√"))))))))))))))))))</f>
      </c>
      <c r="O2214" s="78">
        <f>IF(D2214&lt;&gt;"",D2214,IF(AND(F2214="",G2214=""),"",IF(J2214&lt;&gt;"",IF(N(F2214)&gt;0,"客户回款","客户退款"),IF(K2214&lt;&gt;"",IF(N(G2214)&gt;0,"供应商付款","供应商退款"),IF(L2214&lt;&gt;"","费用支出","")))))</f>
      </c>
      <c r="P2214" s="78">
        <f>IF(O2214="","",IFERROR(INDEX(基础资料!$AE$5:$AE$34,MATCH(O2214,基础资料!$AC$5:$AC$34,0)),"未知"))</f>
      </c>
      <c r="Q2214" s="78">
        <f>IF(P2214="应收",COUNTIF(P$7:P2214,"应收"),"")</f>
      </c>
      <c r="R2214" s="78">
        <f>IF(P2214="应付",COUNTIF(P$7:P2214,"应付"),"")</f>
      </c>
      <c r="S2214" s="78">
        <f>N(F2214)-N(G2214)</f>
        <v>0</v>
      </c>
    </row>
    <row r="2215">
      <c r="A2215" s="109">
        <f>IF(AND(F2215="",G2215=""),"",ROW()-6)</f>
      </c>
      <c r="B2215" s="140" t="n"/>
      <c r="C2215" s="141" t="n"/>
      <c r="D2215" s="141" t="n"/>
      <c r="E2215" s="142" t="n"/>
      <c r="F2215" s="143" t="n"/>
      <c r="G2215" s="144" t="n"/>
      <c r="H2215" s="145">
        <f>IF(OR(C2215="",AND(F2215="",G2215="")),"",SUMIF(基础资料!$W$5:$W$24,C2215,基础资料!$X$5:$X$24)+SUMIF(C$7:C2215,C2215,F$7:F2215)-SUMIF(C$7:C2215,C2215,G$7:G2215))</f>
      </c>
      <c r="I2215" s="145">
        <f>IF(AND(F2215="",G2215=""),"",SUM(基础资料!$X$5:$X$24)+SUM(F$7:F2215)-SUM(G$7:G2215))</f>
      </c>
      <c r="J2215" s="141" t="n"/>
      <c r="K2215" s="141" t="n"/>
      <c r="L2215" s="141" t="n"/>
      <c r="M2215" s="142" t="n"/>
      <c r="N2215" s="146">
        <f>IF(AND(AND(F2215="",G2215=""),B2215="",C2215="",D2215="",J2215="",K2215="",L2215=""),"",IF(AND(F2215="",G2215=""),"✗ 没填金额",IF(AND(N(F2215)&lt;&gt;0,N(G2215)&lt;&gt;0),"✗ 收入、支出只能填一边",IF(NOT(ISNUMBER(B2215)),"✗ 日期不是真日期（要像 2026/9/25 这样填）",IF(OR(B2215&lt;年初日,B2215&gt;年末日),"✗ 日期不在本会计年度",IF(C2215="","✗ 没选账户",IF(COUNTIF(基础资料!$W$5:$W$24,C2215)=0,"✗ 账户不在基础资料里",IF(O2215="","✗ 没选收支项目",IF(P2215="未知","✗ 收支项目不在基础资料里",IF(AND(P2215="应收",J2215=""),"✗ 这笔要选客户",IF(AND(P2215="应收",COUNTIF(总览汇总!$B$5:$B$304,J2215)=0),"✗ 客户不在总览汇总名单里",IF(AND(P2215="应付",K2215=""),"✗ 这笔要选供应商",IF(AND(P2215="应付",COUNTIF(基础资料!$Q$5:$Q$54,K2215)=0),"✗ 供应商不在基础资料里",IF(AND(P2215="费用",L2215=""),"✗ 费用支出要选费用项目",IF(AND(L2215&lt;&gt;"",COUNTIF(基础资料!$AI$5:$AI$54,L2215)=0),"✗ 费用项目不在基础资料里",IF(AND(IFERROR(INDEX(基础资料!$AD$5:$AD$34,MATCH(O2215,基础资料!$AC$5:$AC$34,0)),"")="收",N(G2215)&lt;&gt;0),"✗ 这类是收款，金额填到收入列",IF(AND(IFERROR(INDEX(基础资料!$AD$5:$AD$34,MATCH(O2215,基础资料!$AC$5:$AC$34,0)),"")="支",N(F2215)&lt;&gt;0),"✗ 这类是付款，金额填到支出列",IF(N(H2215)&lt;0,"⚠ 账户余额成负数了，核对一下","√"))))))))))))))))))</f>
      </c>
      <c r="O2215" s="78">
        <f>IF(D2215&lt;&gt;"",D2215,IF(AND(F2215="",G2215=""),"",IF(J2215&lt;&gt;"",IF(N(F2215)&gt;0,"客户回款","客户退款"),IF(K2215&lt;&gt;"",IF(N(G2215)&gt;0,"供应商付款","供应商退款"),IF(L2215&lt;&gt;"","费用支出","")))))</f>
      </c>
      <c r="P2215" s="78">
        <f>IF(O2215="","",IFERROR(INDEX(基础资料!$AE$5:$AE$34,MATCH(O2215,基础资料!$AC$5:$AC$34,0)),"未知"))</f>
      </c>
      <c r="Q2215" s="78">
        <f>IF(P2215="应收",COUNTIF(P$7:P2215,"应收"),"")</f>
      </c>
      <c r="R2215" s="78">
        <f>IF(P2215="应付",COUNTIF(P$7:P2215,"应付"),"")</f>
      </c>
      <c r="S2215" s="78">
        <f>N(F2215)-N(G2215)</f>
        <v>0</v>
      </c>
    </row>
    <row r="2216">
      <c r="A2216" s="109">
        <f>IF(AND(F2216="",G2216=""),"",ROW()-6)</f>
      </c>
      <c r="B2216" s="140" t="n"/>
      <c r="C2216" s="141" t="n"/>
      <c r="D2216" s="141" t="n"/>
      <c r="E2216" s="142" t="n"/>
      <c r="F2216" s="143" t="n"/>
      <c r="G2216" s="144" t="n"/>
      <c r="H2216" s="145">
        <f>IF(OR(C2216="",AND(F2216="",G2216="")),"",SUMIF(基础资料!$W$5:$W$24,C2216,基础资料!$X$5:$X$24)+SUMIF(C$7:C2216,C2216,F$7:F2216)-SUMIF(C$7:C2216,C2216,G$7:G2216))</f>
      </c>
      <c r="I2216" s="145">
        <f>IF(AND(F2216="",G2216=""),"",SUM(基础资料!$X$5:$X$24)+SUM(F$7:F2216)-SUM(G$7:G2216))</f>
      </c>
      <c r="J2216" s="141" t="n"/>
      <c r="K2216" s="141" t="n"/>
      <c r="L2216" s="141" t="n"/>
      <c r="M2216" s="142" t="n"/>
      <c r="N2216" s="146">
        <f>IF(AND(AND(F2216="",G2216=""),B2216="",C2216="",D2216="",J2216="",K2216="",L2216=""),"",IF(AND(F2216="",G2216=""),"✗ 没填金额",IF(AND(N(F2216)&lt;&gt;0,N(G2216)&lt;&gt;0),"✗ 收入、支出只能填一边",IF(NOT(ISNUMBER(B2216)),"✗ 日期不是真日期（要像 2026/9/25 这样填）",IF(OR(B2216&lt;年初日,B2216&gt;年末日),"✗ 日期不在本会计年度",IF(C2216="","✗ 没选账户",IF(COUNTIF(基础资料!$W$5:$W$24,C2216)=0,"✗ 账户不在基础资料里",IF(O2216="","✗ 没选收支项目",IF(P2216="未知","✗ 收支项目不在基础资料里",IF(AND(P2216="应收",J2216=""),"✗ 这笔要选客户",IF(AND(P2216="应收",COUNTIF(总览汇总!$B$5:$B$304,J2216)=0),"✗ 客户不在总览汇总名单里",IF(AND(P2216="应付",K2216=""),"✗ 这笔要选供应商",IF(AND(P2216="应付",COUNTIF(基础资料!$Q$5:$Q$54,K2216)=0),"✗ 供应商不在基础资料里",IF(AND(P2216="费用",L2216=""),"✗ 费用支出要选费用项目",IF(AND(L2216&lt;&gt;"",COUNTIF(基础资料!$AI$5:$AI$54,L2216)=0),"✗ 费用项目不在基础资料里",IF(AND(IFERROR(INDEX(基础资料!$AD$5:$AD$34,MATCH(O2216,基础资料!$AC$5:$AC$34,0)),"")="收",N(G2216)&lt;&gt;0),"✗ 这类是收款，金额填到收入列",IF(AND(IFERROR(INDEX(基础资料!$AD$5:$AD$34,MATCH(O2216,基础资料!$AC$5:$AC$34,0)),"")="支",N(F2216)&lt;&gt;0),"✗ 这类是付款，金额填到支出列",IF(N(H2216)&lt;0,"⚠ 账户余额成负数了，核对一下","√"))))))))))))))))))</f>
      </c>
      <c r="O2216" s="78">
        <f>IF(D2216&lt;&gt;"",D2216,IF(AND(F2216="",G2216=""),"",IF(J2216&lt;&gt;"",IF(N(F2216)&gt;0,"客户回款","客户退款"),IF(K2216&lt;&gt;"",IF(N(G2216)&gt;0,"供应商付款","供应商退款"),IF(L2216&lt;&gt;"","费用支出","")))))</f>
      </c>
      <c r="P2216" s="78">
        <f>IF(O2216="","",IFERROR(INDEX(基础资料!$AE$5:$AE$34,MATCH(O2216,基础资料!$AC$5:$AC$34,0)),"未知"))</f>
      </c>
      <c r="Q2216" s="78">
        <f>IF(P2216="应收",COUNTIF(P$7:P2216,"应收"),"")</f>
      </c>
      <c r="R2216" s="78">
        <f>IF(P2216="应付",COUNTIF(P$7:P2216,"应付"),"")</f>
      </c>
      <c r="S2216" s="78">
        <f>N(F2216)-N(G2216)</f>
        <v>0</v>
      </c>
    </row>
    <row r="2217">
      <c r="A2217" s="109">
        <f>IF(AND(F2217="",G2217=""),"",ROW()-6)</f>
      </c>
      <c r="B2217" s="140" t="n"/>
      <c r="C2217" s="141" t="n"/>
      <c r="D2217" s="141" t="n"/>
      <c r="E2217" s="142" t="n"/>
      <c r="F2217" s="143" t="n"/>
      <c r="G2217" s="144" t="n"/>
      <c r="H2217" s="145">
        <f>IF(OR(C2217="",AND(F2217="",G2217="")),"",SUMIF(基础资料!$W$5:$W$24,C2217,基础资料!$X$5:$X$24)+SUMIF(C$7:C2217,C2217,F$7:F2217)-SUMIF(C$7:C2217,C2217,G$7:G2217))</f>
      </c>
      <c r="I2217" s="145">
        <f>IF(AND(F2217="",G2217=""),"",SUM(基础资料!$X$5:$X$24)+SUM(F$7:F2217)-SUM(G$7:G2217))</f>
      </c>
      <c r="J2217" s="141" t="n"/>
      <c r="K2217" s="141" t="n"/>
      <c r="L2217" s="141" t="n"/>
      <c r="M2217" s="142" t="n"/>
      <c r="N2217" s="146">
        <f>IF(AND(AND(F2217="",G2217=""),B2217="",C2217="",D2217="",J2217="",K2217="",L2217=""),"",IF(AND(F2217="",G2217=""),"✗ 没填金额",IF(AND(N(F2217)&lt;&gt;0,N(G2217)&lt;&gt;0),"✗ 收入、支出只能填一边",IF(NOT(ISNUMBER(B2217)),"✗ 日期不是真日期（要像 2026/9/25 这样填）",IF(OR(B2217&lt;年初日,B2217&gt;年末日),"✗ 日期不在本会计年度",IF(C2217="","✗ 没选账户",IF(COUNTIF(基础资料!$W$5:$W$24,C2217)=0,"✗ 账户不在基础资料里",IF(O2217="","✗ 没选收支项目",IF(P2217="未知","✗ 收支项目不在基础资料里",IF(AND(P2217="应收",J2217=""),"✗ 这笔要选客户",IF(AND(P2217="应收",COUNTIF(总览汇总!$B$5:$B$304,J2217)=0),"✗ 客户不在总览汇总名单里",IF(AND(P2217="应付",K2217=""),"✗ 这笔要选供应商",IF(AND(P2217="应付",COUNTIF(基础资料!$Q$5:$Q$54,K2217)=0),"✗ 供应商不在基础资料里",IF(AND(P2217="费用",L2217=""),"✗ 费用支出要选费用项目",IF(AND(L2217&lt;&gt;"",COUNTIF(基础资料!$AI$5:$AI$54,L2217)=0),"✗ 费用项目不在基础资料里",IF(AND(IFERROR(INDEX(基础资料!$AD$5:$AD$34,MATCH(O2217,基础资料!$AC$5:$AC$34,0)),"")="收",N(G2217)&lt;&gt;0),"✗ 这类是收款，金额填到收入列",IF(AND(IFERROR(INDEX(基础资料!$AD$5:$AD$34,MATCH(O2217,基础资料!$AC$5:$AC$34,0)),"")="支",N(F2217)&lt;&gt;0),"✗ 这类是付款，金额填到支出列",IF(N(H2217)&lt;0,"⚠ 账户余额成负数了，核对一下","√"))))))))))))))))))</f>
      </c>
      <c r="O2217" s="78">
        <f>IF(D2217&lt;&gt;"",D2217,IF(AND(F2217="",G2217=""),"",IF(J2217&lt;&gt;"",IF(N(F2217)&gt;0,"客户回款","客户退款"),IF(K2217&lt;&gt;"",IF(N(G2217)&gt;0,"供应商付款","供应商退款"),IF(L2217&lt;&gt;"","费用支出","")))))</f>
      </c>
      <c r="P2217" s="78">
        <f>IF(O2217="","",IFERROR(INDEX(基础资料!$AE$5:$AE$34,MATCH(O2217,基础资料!$AC$5:$AC$34,0)),"未知"))</f>
      </c>
      <c r="Q2217" s="78">
        <f>IF(P2217="应收",COUNTIF(P$7:P2217,"应收"),"")</f>
      </c>
      <c r="R2217" s="78">
        <f>IF(P2217="应付",COUNTIF(P$7:P2217,"应付"),"")</f>
      </c>
      <c r="S2217" s="78">
        <f>N(F2217)-N(G2217)</f>
        <v>0</v>
      </c>
    </row>
    <row r="2218">
      <c r="A2218" s="109">
        <f>IF(AND(F2218="",G2218=""),"",ROW()-6)</f>
      </c>
      <c r="B2218" s="140" t="n"/>
      <c r="C2218" s="141" t="n"/>
      <c r="D2218" s="141" t="n"/>
      <c r="E2218" s="142" t="n"/>
      <c r="F2218" s="143" t="n"/>
      <c r="G2218" s="144" t="n"/>
      <c r="H2218" s="145">
        <f>IF(OR(C2218="",AND(F2218="",G2218="")),"",SUMIF(基础资料!$W$5:$W$24,C2218,基础资料!$X$5:$X$24)+SUMIF(C$7:C2218,C2218,F$7:F2218)-SUMIF(C$7:C2218,C2218,G$7:G2218))</f>
      </c>
      <c r="I2218" s="145">
        <f>IF(AND(F2218="",G2218=""),"",SUM(基础资料!$X$5:$X$24)+SUM(F$7:F2218)-SUM(G$7:G2218))</f>
      </c>
      <c r="J2218" s="141" t="n"/>
      <c r="K2218" s="141" t="n"/>
      <c r="L2218" s="141" t="n"/>
      <c r="M2218" s="142" t="n"/>
      <c r="N2218" s="146">
        <f>IF(AND(AND(F2218="",G2218=""),B2218="",C2218="",D2218="",J2218="",K2218="",L2218=""),"",IF(AND(F2218="",G2218=""),"✗ 没填金额",IF(AND(N(F2218)&lt;&gt;0,N(G2218)&lt;&gt;0),"✗ 收入、支出只能填一边",IF(NOT(ISNUMBER(B2218)),"✗ 日期不是真日期（要像 2026/9/25 这样填）",IF(OR(B2218&lt;年初日,B2218&gt;年末日),"✗ 日期不在本会计年度",IF(C2218="","✗ 没选账户",IF(COUNTIF(基础资料!$W$5:$W$24,C2218)=0,"✗ 账户不在基础资料里",IF(O2218="","✗ 没选收支项目",IF(P2218="未知","✗ 收支项目不在基础资料里",IF(AND(P2218="应收",J2218=""),"✗ 这笔要选客户",IF(AND(P2218="应收",COUNTIF(总览汇总!$B$5:$B$304,J2218)=0),"✗ 客户不在总览汇总名单里",IF(AND(P2218="应付",K2218=""),"✗ 这笔要选供应商",IF(AND(P2218="应付",COUNTIF(基础资料!$Q$5:$Q$54,K2218)=0),"✗ 供应商不在基础资料里",IF(AND(P2218="费用",L2218=""),"✗ 费用支出要选费用项目",IF(AND(L2218&lt;&gt;"",COUNTIF(基础资料!$AI$5:$AI$54,L2218)=0),"✗ 费用项目不在基础资料里",IF(AND(IFERROR(INDEX(基础资料!$AD$5:$AD$34,MATCH(O2218,基础资料!$AC$5:$AC$34,0)),"")="收",N(G2218)&lt;&gt;0),"✗ 这类是收款，金额填到收入列",IF(AND(IFERROR(INDEX(基础资料!$AD$5:$AD$34,MATCH(O2218,基础资料!$AC$5:$AC$34,0)),"")="支",N(F2218)&lt;&gt;0),"✗ 这类是付款，金额填到支出列",IF(N(H2218)&lt;0,"⚠ 账户余额成负数了，核对一下","√"))))))))))))))))))</f>
      </c>
      <c r="O2218" s="78">
        <f>IF(D2218&lt;&gt;"",D2218,IF(AND(F2218="",G2218=""),"",IF(J2218&lt;&gt;"",IF(N(F2218)&gt;0,"客户回款","客户退款"),IF(K2218&lt;&gt;"",IF(N(G2218)&gt;0,"供应商付款","供应商退款"),IF(L2218&lt;&gt;"","费用支出","")))))</f>
      </c>
      <c r="P2218" s="78">
        <f>IF(O2218="","",IFERROR(INDEX(基础资料!$AE$5:$AE$34,MATCH(O2218,基础资料!$AC$5:$AC$34,0)),"未知"))</f>
      </c>
      <c r="Q2218" s="78">
        <f>IF(P2218="应收",COUNTIF(P$7:P2218,"应收"),"")</f>
      </c>
      <c r="R2218" s="78">
        <f>IF(P2218="应付",COUNTIF(P$7:P2218,"应付"),"")</f>
      </c>
      <c r="S2218" s="78">
        <f>N(F2218)-N(G2218)</f>
        <v>0</v>
      </c>
    </row>
    <row r="2219">
      <c r="A2219" s="109">
        <f>IF(AND(F2219="",G2219=""),"",ROW()-6)</f>
      </c>
      <c r="B2219" s="140" t="n"/>
      <c r="C2219" s="141" t="n"/>
      <c r="D2219" s="141" t="n"/>
      <c r="E2219" s="142" t="n"/>
      <c r="F2219" s="143" t="n"/>
      <c r="G2219" s="144" t="n"/>
      <c r="H2219" s="145">
        <f>IF(OR(C2219="",AND(F2219="",G2219="")),"",SUMIF(基础资料!$W$5:$W$24,C2219,基础资料!$X$5:$X$24)+SUMIF(C$7:C2219,C2219,F$7:F2219)-SUMIF(C$7:C2219,C2219,G$7:G2219))</f>
      </c>
      <c r="I2219" s="145">
        <f>IF(AND(F2219="",G2219=""),"",SUM(基础资料!$X$5:$X$24)+SUM(F$7:F2219)-SUM(G$7:G2219))</f>
      </c>
      <c r="J2219" s="141" t="n"/>
      <c r="K2219" s="141" t="n"/>
      <c r="L2219" s="141" t="n"/>
      <c r="M2219" s="142" t="n"/>
      <c r="N2219" s="146">
        <f>IF(AND(AND(F2219="",G2219=""),B2219="",C2219="",D2219="",J2219="",K2219="",L2219=""),"",IF(AND(F2219="",G2219=""),"✗ 没填金额",IF(AND(N(F2219)&lt;&gt;0,N(G2219)&lt;&gt;0),"✗ 收入、支出只能填一边",IF(NOT(ISNUMBER(B2219)),"✗ 日期不是真日期（要像 2026/9/25 这样填）",IF(OR(B2219&lt;年初日,B2219&gt;年末日),"✗ 日期不在本会计年度",IF(C2219="","✗ 没选账户",IF(COUNTIF(基础资料!$W$5:$W$24,C2219)=0,"✗ 账户不在基础资料里",IF(O2219="","✗ 没选收支项目",IF(P2219="未知","✗ 收支项目不在基础资料里",IF(AND(P2219="应收",J2219=""),"✗ 这笔要选客户",IF(AND(P2219="应收",COUNTIF(总览汇总!$B$5:$B$304,J2219)=0),"✗ 客户不在总览汇总名单里",IF(AND(P2219="应付",K2219=""),"✗ 这笔要选供应商",IF(AND(P2219="应付",COUNTIF(基础资料!$Q$5:$Q$54,K2219)=0),"✗ 供应商不在基础资料里",IF(AND(P2219="费用",L2219=""),"✗ 费用支出要选费用项目",IF(AND(L2219&lt;&gt;"",COUNTIF(基础资料!$AI$5:$AI$54,L2219)=0),"✗ 费用项目不在基础资料里",IF(AND(IFERROR(INDEX(基础资料!$AD$5:$AD$34,MATCH(O2219,基础资料!$AC$5:$AC$34,0)),"")="收",N(G2219)&lt;&gt;0),"✗ 这类是收款，金额填到收入列",IF(AND(IFERROR(INDEX(基础资料!$AD$5:$AD$34,MATCH(O2219,基础资料!$AC$5:$AC$34,0)),"")="支",N(F2219)&lt;&gt;0),"✗ 这类是付款，金额填到支出列",IF(N(H2219)&lt;0,"⚠ 账户余额成负数了，核对一下","√"))))))))))))))))))</f>
      </c>
      <c r="O2219" s="78">
        <f>IF(D2219&lt;&gt;"",D2219,IF(AND(F2219="",G2219=""),"",IF(J2219&lt;&gt;"",IF(N(F2219)&gt;0,"客户回款","客户退款"),IF(K2219&lt;&gt;"",IF(N(G2219)&gt;0,"供应商付款","供应商退款"),IF(L2219&lt;&gt;"","费用支出","")))))</f>
      </c>
      <c r="P2219" s="78">
        <f>IF(O2219="","",IFERROR(INDEX(基础资料!$AE$5:$AE$34,MATCH(O2219,基础资料!$AC$5:$AC$34,0)),"未知"))</f>
      </c>
      <c r="Q2219" s="78">
        <f>IF(P2219="应收",COUNTIF(P$7:P2219,"应收"),"")</f>
      </c>
      <c r="R2219" s="78">
        <f>IF(P2219="应付",COUNTIF(P$7:P2219,"应付"),"")</f>
      </c>
      <c r="S2219" s="78">
        <f>N(F2219)-N(G2219)</f>
        <v>0</v>
      </c>
    </row>
    <row r="2220">
      <c r="A2220" s="109">
        <f>IF(AND(F2220="",G2220=""),"",ROW()-6)</f>
      </c>
      <c r="B2220" s="140" t="n"/>
      <c r="C2220" s="141" t="n"/>
      <c r="D2220" s="141" t="n"/>
      <c r="E2220" s="142" t="n"/>
      <c r="F2220" s="143" t="n"/>
      <c r="G2220" s="144" t="n"/>
      <c r="H2220" s="145">
        <f>IF(OR(C2220="",AND(F2220="",G2220="")),"",SUMIF(基础资料!$W$5:$W$24,C2220,基础资料!$X$5:$X$24)+SUMIF(C$7:C2220,C2220,F$7:F2220)-SUMIF(C$7:C2220,C2220,G$7:G2220))</f>
      </c>
      <c r="I2220" s="145">
        <f>IF(AND(F2220="",G2220=""),"",SUM(基础资料!$X$5:$X$24)+SUM(F$7:F2220)-SUM(G$7:G2220))</f>
      </c>
      <c r="J2220" s="141" t="n"/>
      <c r="K2220" s="141" t="n"/>
      <c r="L2220" s="141" t="n"/>
      <c r="M2220" s="142" t="n"/>
      <c r="N2220" s="146">
        <f>IF(AND(AND(F2220="",G2220=""),B2220="",C2220="",D2220="",J2220="",K2220="",L2220=""),"",IF(AND(F2220="",G2220=""),"✗ 没填金额",IF(AND(N(F2220)&lt;&gt;0,N(G2220)&lt;&gt;0),"✗ 收入、支出只能填一边",IF(NOT(ISNUMBER(B2220)),"✗ 日期不是真日期（要像 2026/9/25 这样填）",IF(OR(B2220&lt;年初日,B2220&gt;年末日),"✗ 日期不在本会计年度",IF(C2220="","✗ 没选账户",IF(COUNTIF(基础资料!$W$5:$W$24,C2220)=0,"✗ 账户不在基础资料里",IF(O2220="","✗ 没选收支项目",IF(P2220="未知","✗ 收支项目不在基础资料里",IF(AND(P2220="应收",J2220=""),"✗ 这笔要选客户",IF(AND(P2220="应收",COUNTIF(总览汇总!$B$5:$B$304,J2220)=0),"✗ 客户不在总览汇总名单里",IF(AND(P2220="应付",K2220=""),"✗ 这笔要选供应商",IF(AND(P2220="应付",COUNTIF(基础资料!$Q$5:$Q$54,K2220)=0),"✗ 供应商不在基础资料里",IF(AND(P2220="费用",L2220=""),"✗ 费用支出要选费用项目",IF(AND(L2220&lt;&gt;"",COUNTIF(基础资料!$AI$5:$AI$54,L2220)=0),"✗ 费用项目不在基础资料里",IF(AND(IFERROR(INDEX(基础资料!$AD$5:$AD$34,MATCH(O2220,基础资料!$AC$5:$AC$34,0)),"")="收",N(G2220)&lt;&gt;0),"✗ 这类是收款，金额填到收入列",IF(AND(IFERROR(INDEX(基础资料!$AD$5:$AD$34,MATCH(O2220,基础资料!$AC$5:$AC$34,0)),"")="支",N(F2220)&lt;&gt;0),"✗ 这类是付款，金额填到支出列",IF(N(H2220)&lt;0,"⚠ 账户余额成负数了，核对一下","√"))))))))))))))))))</f>
      </c>
      <c r="O2220" s="78">
        <f>IF(D2220&lt;&gt;"",D2220,IF(AND(F2220="",G2220=""),"",IF(J2220&lt;&gt;"",IF(N(F2220)&gt;0,"客户回款","客户退款"),IF(K2220&lt;&gt;"",IF(N(G2220)&gt;0,"供应商付款","供应商退款"),IF(L2220&lt;&gt;"","费用支出","")))))</f>
      </c>
      <c r="P2220" s="78">
        <f>IF(O2220="","",IFERROR(INDEX(基础资料!$AE$5:$AE$34,MATCH(O2220,基础资料!$AC$5:$AC$34,0)),"未知"))</f>
      </c>
      <c r="Q2220" s="78">
        <f>IF(P2220="应收",COUNTIF(P$7:P2220,"应收"),"")</f>
      </c>
      <c r="R2220" s="78">
        <f>IF(P2220="应付",COUNTIF(P$7:P2220,"应付"),"")</f>
      </c>
      <c r="S2220" s="78">
        <f>N(F2220)-N(G2220)</f>
        <v>0</v>
      </c>
    </row>
    <row r="2221">
      <c r="A2221" s="109">
        <f>IF(AND(F2221="",G2221=""),"",ROW()-6)</f>
      </c>
      <c r="B2221" s="140" t="n"/>
      <c r="C2221" s="141" t="n"/>
      <c r="D2221" s="141" t="n"/>
      <c r="E2221" s="142" t="n"/>
      <c r="F2221" s="143" t="n"/>
      <c r="G2221" s="144" t="n"/>
      <c r="H2221" s="145">
        <f>IF(OR(C2221="",AND(F2221="",G2221="")),"",SUMIF(基础资料!$W$5:$W$24,C2221,基础资料!$X$5:$X$24)+SUMIF(C$7:C2221,C2221,F$7:F2221)-SUMIF(C$7:C2221,C2221,G$7:G2221))</f>
      </c>
      <c r="I2221" s="145">
        <f>IF(AND(F2221="",G2221=""),"",SUM(基础资料!$X$5:$X$24)+SUM(F$7:F2221)-SUM(G$7:G2221))</f>
      </c>
      <c r="J2221" s="141" t="n"/>
      <c r="K2221" s="141" t="n"/>
      <c r="L2221" s="141" t="n"/>
      <c r="M2221" s="142" t="n"/>
      <c r="N2221" s="146">
        <f>IF(AND(AND(F2221="",G2221=""),B2221="",C2221="",D2221="",J2221="",K2221="",L2221=""),"",IF(AND(F2221="",G2221=""),"✗ 没填金额",IF(AND(N(F2221)&lt;&gt;0,N(G2221)&lt;&gt;0),"✗ 收入、支出只能填一边",IF(NOT(ISNUMBER(B2221)),"✗ 日期不是真日期（要像 2026/9/25 这样填）",IF(OR(B2221&lt;年初日,B2221&gt;年末日),"✗ 日期不在本会计年度",IF(C2221="","✗ 没选账户",IF(COUNTIF(基础资料!$W$5:$W$24,C2221)=0,"✗ 账户不在基础资料里",IF(O2221="","✗ 没选收支项目",IF(P2221="未知","✗ 收支项目不在基础资料里",IF(AND(P2221="应收",J2221=""),"✗ 这笔要选客户",IF(AND(P2221="应收",COUNTIF(总览汇总!$B$5:$B$304,J2221)=0),"✗ 客户不在总览汇总名单里",IF(AND(P2221="应付",K2221=""),"✗ 这笔要选供应商",IF(AND(P2221="应付",COUNTIF(基础资料!$Q$5:$Q$54,K2221)=0),"✗ 供应商不在基础资料里",IF(AND(P2221="费用",L2221=""),"✗ 费用支出要选费用项目",IF(AND(L2221&lt;&gt;"",COUNTIF(基础资料!$AI$5:$AI$54,L2221)=0),"✗ 费用项目不在基础资料里",IF(AND(IFERROR(INDEX(基础资料!$AD$5:$AD$34,MATCH(O2221,基础资料!$AC$5:$AC$34,0)),"")="收",N(G2221)&lt;&gt;0),"✗ 这类是收款，金额填到收入列",IF(AND(IFERROR(INDEX(基础资料!$AD$5:$AD$34,MATCH(O2221,基础资料!$AC$5:$AC$34,0)),"")="支",N(F2221)&lt;&gt;0),"✗ 这类是付款，金额填到支出列",IF(N(H2221)&lt;0,"⚠ 账户余额成负数了，核对一下","√"))))))))))))))))))</f>
      </c>
      <c r="O2221" s="78">
        <f>IF(D2221&lt;&gt;"",D2221,IF(AND(F2221="",G2221=""),"",IF(J2221&lt;&gt;"",IF(N(F2221)&gt;0,"客户回款","客户退款"),IF(K2221&lt;&gt;"",IF(N(G2221)&gt;0,"供应商付款","供应商退款"),IF(L2221&lt;&gt;"","费用支出","")))))</f>
      </c>
      <c r="P2221" s="78">
        <f>IF(O2221="","",IFERROR(INDEX(基础资料!$AE$5:$AE$34,MATCH(O2221,基础资料!$AC$5:$AC$34,0)),"未知"))</f>
      </c>
      <c r="Q2221" s="78">
        <f>IF(P2221="应收",COUNTIF(P$7:P2221,"应收"),"")</f>
      </c>
      <c r="R2221" s="78">
        <f>IF(P2221="应付",COUNTIF(P$7:P2221,"应付"),"")</f>
      </c>
      <c r="S2221" s="78">
        <f>N(F2221)-N(G2221)</f>
        <v>0</v>
      </c>
    </row>
    <row r="2222">
      <c r="A2222" s="109">
        <f>IF(AND(F2222="",G2222=""),"",ROW()-6)</f>
      </c>
      <c r="B2222" s="140" t="n"/>
      <c r="C2222" s="141" t="n"/>
      <c r="D2222" s="141" t="n"/>
      <c r="E2222" s="142" t="n"/>
      <c r="F2222" s="143" t="n"/>
      <c r="G2222" s="144" t="n"/>
      <c r="H2222" s="145">
        <f>IF(OR(C2222="",AND(F2222="",G2222="")),"",SUMIF(基础资料!$W$5:$W$24,C2222,基础资料!$X$5:$X$24)+SUMIF(C$7:C2222,C2222,F$7:F2222)-SUMIF(C$7:C2222,C2222,G$7:G2222))</f>
      </c>
      <c r="I2222" s="145">
        <f>IF(AND(F2222="",G2222=""),"",SUM(基础资料!$X$5:$X$24)+SUM(F$7:F2222)-SUM(G$7:G2222))</f>
      </c>
      <c r="J2222" s="141" t="n"/>
      <c r="K2222" s="141" t="n"/>
      <c r="L2222" s="141" t="n"/>
      <c r="M2222" s="142" t="n"/>
      <c r="N2222" s="146">
        <f>IF(AND(AND(F2222="",G2222=""),B2222="",C2222="",D2222="",J2222="",K2222="",L2222=""),"",IF(AND(F2222="",G2222=""),"✗ 没填金额",IF(AND(N(F2222)&lt;&gt;0,N(G2222)&lt;&gt;0),"✗ 收入、支出只能填一边",IF(NOT(ISNUMBER(B2222)),"✗ 日期不是真日期（要像 2026/9/25 这样填）",IF(OR(B2222&lt;年初日,B2222&gt;年末日),"✗ 日期不在本会计年度",IF(C2222="","✗ 没选账户",IF(COUNTIF(基础资料!$W$5:$W$24,C2222)=0,"✗ 账户不在基础资料里",IF(O2222="","✗ 没选收支项目",IF(P2222="未知","✗ 收支项目不在基础资料里",IF(AND(P2222="应收",J2222=""),"✗ 这笔要选客户",IF(AND(P2222="应收",COUNTIF(总览汇总!$B$5:$B$304,J2222)=0),"✗ 客户不在总览汇总名单里",IF(AND(P2222="应付",K2222=""),"✗ 这笔要选供应商",IF(AND(P2222="应付",COUNTIF(基础资料!$Q$5:$Q$54,K2222)=0),"✗ 供应商不在基础资料里",IF(AND(P2222="费用",L2222=""),"✗ 费用支出要选费用项目",IF(AND(L2222&lt;&gt;"",COUNTIF(基础资料!$AI$5:$AI$54,L2222)=0),"✗ 费用项目不在基础资料里",IF(AND(IFERROR(INDEX(基础资料!$AD$5:$AD$34,MATCH(O2222,基础资料!$AC$5:$AC$34,0)),"")="收",N(G2222)&lt;&gt;0),"✗ 这类是收款，金额填到收入列",IF(AND(IFERROR(INDEX(基础资料!$AD$5:$AD$34,MATCH(O2222,基础资料!$AC$5:$AC$34,0)),"")="支",N(F2222)&lt;&gt;0),"✗ 这类是付款，金额填到支出列",IF(N(H2222)&lt;0,"⚠ 账户余额成负数了，核对一下","√"))))))))))))))))))</f>
      </c>
      <c r="O2222" s="78">
        <f>IF(D2222&lt;&gt;"",D2222,IF(AND(F2222="",G2222=""),"",IF(J2222&lt;&gt;"",IF(N(F2222)&gt;0,"客户回款","客户退款"),IF(K2222&lt;&gt;"",IF(N(G2222)&gt;0,"供应商付款","供应商退款"),IF(L2222&lt;&gt;"","费用支出","")))))</f>
      </c>
      <c r="P2222" s="78">
        <f>IF(O2222="","",IFERROR(INDEX(基础资料!$AE$5:$AE$34,MATCH(O2222,基础资料!$AC$5:$AC$34,0)),"未知"))</f>
      </c>
      <c r="Q2222" s="78">
        <f>IF(P2222="应收",COUNTIF(P$7:P2222,"应收"),"")</f>
      </c>
      <c r="R2222" s="78">
        <f>IF(P2222="应付",COUNTIF(P$7:P2222,"应付"),"")</f>
      </c>
      <c r="S2222" s="78">
        <f>N(F2222)-N(G2222)</f>
        <v>0</v>
      </c>
    </row>
    <row r="2223">
      <c r="A2223" s="109">
        <f>IF(AND(F2223="",G2223=""),"",ROW()-6)</f>
      </c>
      <c r="B2223" s="140" t="n"/>
      <c r="C2223" s="141" t="n"/>
      <c r="D2223" s="141" t="n"/>
      <c r="E2223" s="142" t="n"/>
      <c r="F2223" s="143" t="n"/>
      <c r="G2223" s="144" t="n"/>
      <c r="H2223" s="145">
        <f>IF(OR(C2223="",AND(F2223="",G2223="")),"",SUMIF(基础资料!$W$5:$W$24,C2223,基础资料!$X$5:$X$24)+SUMIF(C$7:C2223,C2223,F$7:F2223)-SUMIF(C$7:C2223,C2223,G$7:G2223))</f>
      </c>
      <c r="I2223" s="145">
        <f>IF(AND(F2223="",G2223=""),"",SUM(基础资料!$X$5:$X$24)+SUM(F$7:F2223)-SUM(G$7:G2223))</f>
      </c>
      <c r="J2223" s="141" t="n"/>
      <c r="K2223" s="141" t="n"/>
      <c r="L2223" s="141" t="n"/>
      <c r="M2223" s="142" t="n"/>
      <c r="N2223" s="146">
        <f>IF(AND(AND(F2223="",G2223=""),B2223="",C2223="",D2223="",J2223="",K2223="",L2223=""),"",IF(AND(F2223="",G2223=""),"✗ 没填金额",IF(AND(N(F2223)&lt;&gt;0,N(G2223)&lt;&gt;0),"✗ 收入、支出只能填一边",IF(NOT(ISNUMBER(B2223)),"✗ 日期不是真日期（要像 2026/9/25 这样填）",IF(OR(B2223&lt;年初日,B2223&gt;年末日),"✗ 日期不在本会计年度",IF(C2223="","✗ 没选账户",IF(COUNTIF(基础资料!$W$5:$W$24,C2223)=0,"✗ 账户不在基础资料里",IF(O2223="","✗ 没选收支项目",IF(P2223="未知","✗ 收支项目不在基础资料里",IF(AND(P2223="应收",J2223=""),"✗ 这笔要选客户",IF(AND(P2223="应收",COUNTIF(总览汇总!$B$5:$B$304,J2223)=0),"✗ 客户不在总览汇总名单里",IF(AND(P2223="应付",K2223=""),"✗ 这笔要选供应商",IF(AND(P2223="应付",COUNTIF(基础资料!$Q$5:$Q$54,K2223)=0),"✗ 供应商不在基础资料里",IF(AND(P2223="费用",L2223=""),"✗ 费用支出要选费用项目",IF(AND(L2223&lt;&gt;"",COUNTIF(基础资料!$AI$5:$AI$54,L2223)=0),"✗ 费用项目不在基础资料里",IF(AND(IFERROR(INDEX(基础资料!$AD$5:$AD$34,MATCH(O2223,基础资料!$AC$5:$AC$34,0)),"")="收",N(G2223)&lt;&gt;0),"✗ 这类是收款，金额填到收入列",IF(AND(IFERROR(INDEX(基础资料!$AD$5:$AD$34,MATCH(O2223,基础资料!$AC$5:$AC$34,0)),"")="支",N(F2223)&lt;&gt;0),"✗ 这类是付款，金额填到支出列",IF(N(H2223)&lt;0,"⚠ 账户余额成负数了，核对一下","√"))))))))))))))))))</f>
      </c>
      <c r="O2223" s="78">
        <f>IF(D2223&lt;&gt;"",D2223,IF(AND(F2223="",G2223=""),"",IF(J2223&lt;&gt;"",IF(N(F2223)&gt;0,"客户回款","客户退款"),IF(K2223&lt;&gt;"",IF(N(G2223)&gt;0,"供应商付款","供应商退款"),IF(L2223&lt;&gt;"","费用支出","")))))</f>
      </c>
      <c r="P2223" s="78">
        <f>IF(O2223="","",IFERROR(INDEX(基础资料!$AE$5:$AE$34,MATCH(O2223,基础资料!$AC$5:$AC$34,0)),"未知"))</f>
      </c>
      <c r="Q2223" s="78">
        <f>IF(P2223="应收",COUNTIF(P$7:P2223,"应收"),"")</f>
      </c>
      <c r="R2223" s="78">
        <f>IF(P2223="应付",COUNTIF(P$7:P2223,"应付"),"")</f>
      </c>
      <c r="S2223" s="78">
        <f>N(F2223)-N(G2223)</f>
        <v>0</v>
      </c>
    </row>
    <row r="2224">
      <c r="A2224" s="109">
        <f>IF(AND(F2224="",G2224=""),"",ROW()-6)</f>
      </c>
      <c r="B2224" s="140" t="n"/>
      <c r="C2224" s="141" t="n"/>
      <c r="D2224" s="141" t="n"/>
      <c r="E2224" s="142" t="n"/>
      <c r="F2224" s="143" t="n"/>
      <c r="G2224" s="144" t="n"/>
      <c r="H2224" s="145">
        <f>IF(OR(C2224="",AND(F2224="",G2224="")),"",SUMIF(基础资料!$W$5:$W$24,C2224,基础资料!$X$5:$X$24)+SUMIF(C$7:C2224,C2224,F$7:F2224)-SUMIF(C$7:C2224,C2224,G$7:G2224))</f>
      </c>
      <c r="I2224" s="145">
        <f>IF(AND(F2224="",G2224=""),"",SUM(基础资料!$X$5:$X$24)+SUM(F$7:F2224)-SUM(G$7:G2224))</f>
      </c>
      <c r="J2224" s="141" t="n"/>
      <c r="K2224" s="141" t="n"/>
      <c r="L2224" s="141" t="n"/>
      <c r="M2224" s="142" t="n"/>
      <c r="N2224" s="146">
        <f>IF(AND(AND(F2224="",G2224=""),B2224="",C2224="",D2224="",J2224="",K2224="",L2224=""),"",IF(AND(F2224="",G2224=""),"✗ 没填金额",IF(AND(N(F2224)&lt;&gt;0,N(G2224)&lt;&gt;0),"✗ 收入、支出只能填一边",IF(NOT(ISNUMBER(B2224)),"✗ 日期不是真日期（要像 2026/9/25 这样填）",IF(OR(B2224&lt;年初日,B2224&gt;年末日),"✗ 日期不在本会计年度",IF(C2224="","✗ 没选账户",IF(COUNTIF(基础资料!$W$5:$W$24,C2224)=0,"✗ 账户不在基础资料里",IF(O2224="","✗ 没选收支项目",IF(P2224="未知","✗ 收支项目不在基础资料里",IF(AND(P2224="应收",J2224=""),"✗ 这笔要选客户",IF(AND(P2224="应收",COUNTIF(总览汇总!$B$5:$B$304,J2224)=0),"✗ 客户不在总览汇总名单里",IF(AND(P2224="应付",K2224=""),"✗ 这笔要选供应商",IF(AND(P2224="应付",COUNTIF(基础资料!$Q$5:$Q$54,K2224)=0),"✗ 供应商不在基础资料里",IF(AND(P2224="费用",L2224=""),"✗ 费用支出要选费用项目",IF(AND(L2224&lt;&gt;"",COUNTIF(基础资料!$AI$5:$AI$54,L2224)=0),"✗ 费用项目不在基础资料里",IF(AND(IFERROR(INDEX(基础资料!$AD$5:$AD$34,MATCH(O2224,基础资料!$AC$5:$AC$34,0)),"")="收",N(G2224)&lt;&gt;0),"✗ 这类是收款，金额填到收入列",IF(AND(IFERROR(INDEX(基础资料!$AD$5:$AD$34,MATCH(O2224,基础资料!$AC$5:$AC$34,0)),"")="支",N(F2224)&lt;&gt;0),"✗ 这类是付款，金额填到支出列",IF(N(H2224)&lt;0,"⚠ 账户余额成负数了，核对一下","√"))))))))))))))))))</f>
      </c>
      <c r="O2224" s="78">
        <f>IF(D2224&lt;&gt;"",D2224,IF(AND(F2224="",G2224=""),"",IF(J2224&lt;&gt;"",IF(N(F2224)&gt;0,"客户回款","客户退款"),IF(K2224&lt;&gt;"",IF(N(G2224)&gt;0,"供应商付款","供应商退款"),IF(L2224&lt;&gt;"","费用支出","")))))</f>
      </c>
      <c r="P2224" s="78">
        <f>IF(O2224="","",IFERROR(INDEX(基础资料!$AE$5:$AE$34,MATCH(O2224,基础资料!$AC$5:$AC$34,0)),"未知"))</f>
      </c>
      <c r="Q2224" s="78">
        <f>IF(P2224="应收",COUNTIF(P$7:P2224,"应收"),"")</f>
      </c>
      <c r="R2224" s="78">
        <f>IF(P2224="应付",COUNTIF(P$7:P2224,"应付"),"")</f>
      </c>
      <c r="S2224" s="78">
        <f>N(F2224)-N(G2224)</f>
        <v>0</v>
      </c>
    </row>
    <row r="2225">
      <c r="A2225" s="109">
        <f>IF(AND(F2225="",G2225=""),"",ROW()-6)</f>
      </c>
      <c r="B2225" s="140" t="n"/>
      <c r="C2225" s="141" t="n"/>
      <c r="D2225" s="141" t="n"/>
      <c r="E2225" s="142" t="n"/>
      <c r="F2225" s="143" t="n"/>
      <c r="G2225" s="144" t="n"/>
      <c r="H2225" s="145">
        <f>IF(OR(C2225="",AND(F2225="",G2225="")),"",SUMIF(基础资料!$W$5:$W$24,C2225,基础资料!$X$5:$X$24)+SUMIF(C$7:C2225,C2225,F$7:F2225)-SUMIF(C$7:C2225,C2225,G$7:G2225))</f>
      </c>
      <c r="I2225" s="145">
        <f>IF(AND(F2225="",G2225=""),"",SUM(基础资料!$X$5:$X$24)+SUM(F$7:F2225)-SUM(G$7:G2225))</f>
      </c>
      <c r="J2225" s="141" t="n"/>
      <c r="K2225" s="141" t="n"/>
      <c r="L2225" s="141" t="n"/>
      <c r="M2225" s="142" t="n"/>
      <c r="N2225" s="146">
        <f>IF(AND(AND(F2225="",G2225=""),B2225="",C2225="",D2225="",J2225="",K2225="",L2225=""),"",IF(AND(F2225="",G2225=""),"✗ 没填金额",IF(AND(N(F2225)&lt;&gt;0,N(G2225)&lt;&gt;0),"✗ 收入、支出只能填一边",IF(NOT(ISNUMBER(B2225)),"✗ 日期不是真日期（要像 2026/9/25 这样填）",IF(OR(B2225&lt;年初日,B2225&gt;年末日),"✗ 日期不在本会计年度",IF(C2225="","✗ 没选账户",IF(COUNTIF(基础资料!$W$5:$W$24,C2225)=0,"✗ 账户不在基础资料里",IF(O2225="","✗ 没选收支项目",IF(P2225="未知","✗ 收支项目不在基础资料里",IF(AND(P2225="应收",J2225=""),"✗ 这笔要选客户",IF(AND(P2225="应收",COUNTIF(总览汇总!$B$5:$B$304,J2225)=0),"✗ 客户不在总览汇总名单里",IF(AND(P2225="应付",K2225=""),"✗ 这笔要选供应商",IF(AND(P2225="应付",COUNTIF(基础资料!$Q$5:$Q$54,K2225)=0),"✗ 供应商不在基础资料里",IF(AND(P2225="费用",L2225=""),"✗ 费用支出要选费用项目",IF(AND(L2225&lt;&gt;"",COUNTIF(基础资料!$AI$5:$AI$54,L2225)=0),"✗ 费用项目不在基础资料里",IF(AND(IFERROR(INDEX(基础资料!$AD$5:$AD$34,MATCH(O2225,基础资料!$AC$5:$AC$34,0)),"")="收",N(G2225)&lt;&gt;0),"✗ 这类是收款，金额填到收入列",IF(AND(IFERROR(INDEX(基础资料!$AD$5:$AD$34,MATCH(O2225,基础资料!$AC$5:$AC$34,0)),"")="支",N(F2225)&lt;&gt;0),"✗ 这类是付款，金额填到支出列",IF(N(H2225)&lt;0,"⚠ 账户余额成负数了，核对一下","√"))))))))))))))))))</f>
      </c>
      <c r="O2225" s="78">
        <f>IF(D2225&lt;&gt;"",D2225,IF(AND(F2225="",G2225=""),"",IF(J2225&lt;&gt;"",IF(N(F2225)&gt;0,"客户回款","客户退款"),IF(K2225&lt;&gt;"",IF(N(G2225)&gt;0,"供应商付款","供应商退款"),IF(L2225&lt;&gt;"","费用支出","")))))</f>
      </c>
      <c r="P2225" s="78">
        <f>IF(O2225="","",IFERROR(INDEX(基础资料!$AE$5:$AE$34,MATCH(O2225,基础资料!$AC$5:$AC$34,0)),"未知"))</f>
      </c>
      <c r="Q2225" s="78">
        <f>IF(P2225="应收",COUNTIF(P$7:P2225,"应收"),"")</f>
      </c>
      <c r="R2225" s="78">
        <f>IF(P2225="应付",COUNTIF(P$7:P2225,"应付"),"")</f>
      </c>
      <c r="S2225" s="78">
        <f>N(F2225)-N(G2225)</f>
        <v>0</v>
      </c>
    </row>
    <row r="2226">
      <c r="A2226" s="109">
        <f>IF(AND(F2226="",G2226=""),"",ROW()-6)</f>
      </c>
      <c r="B2226" s="140" t="n"/>
      <c r="C2226" s="141" t="n"/>
      <c r="D2226" s="141" t="n"/>
      <c r="E2226" s="142" t="n"/>
      <c r="F2226" s="143" t="n"/>
      <c r="G2226" s="144" t="n"/>
      <c r="H2226" s="145">
        <f>IF(OR(C2226="",AND(F2226="",G2226="")),"",SUMIF(基础资料!$W$5:$W$24,C2226,基础资料!$X$5:$X$24)+SUMIF(C$7:C2226,C2226,F$7:F2226)-SUMIF(C$7:C2226,C2226,G$7:G2226))</f>
      </c>
      <c r="I2226" s="145">
        <f>IF(AND(F2226="",G2226=""),"",SUM(基础资料!$X$5:$X$24)+SUM(F$7:F2226)-SUM(G$7:G2226))</f>
      </c>
      <c r="J2226" s="141" t="n"/>
      <c r="K2226" s="141" t="n"/>
      <c r="L2226" s="141" t="n"/>
      <c r="M2226" s="142" t="n"/>
      <c r="N2226" s="146">
        <f>IF(AND(AND(F2226="",G2226=""),B2226="",C2226="",D2226="",J2226="",K2226="",L2226=""),"",IF(AND(F2226="",G2226=""),"✗ 没填金额",IF(AND(N(F2226)&lt;&gt;0,N(G2226)&lt;&gt;0),"✗ 收入、支出只能填一边",IF(NOT(ISNUMBER(B2226)),"✗ 日期不是真日期（要像 2026/9/25 这样填）",IF(OR(B2226&lt;年初日,B2226&gt;年末日),"✗ 日期不在本会计年度",IF(C2226="","✗ 没选账户",IF(COUNTIF(基础资料!$W$5:$W$24,C2226)=0,"✗ 账户不在基础资料里",IF(O2226="","✗ 没选收支项目",IF(P2226="未知","✗ 收支项目不在基础资料里",IF(AND(P2226="应收",J2226=""),"✗ 这笔要选客户",IF(AND(P2226="应收",COUNTIF(总览汇总!$B$5:$B$304,J2226)=0),"✗ 客户不在总览汇总名单里",IF(AND(P2226="应付",K2226=""),"✗ 这笔要选供应商",IF(AND(P2226="应付",COUNTIF(基础资料!$Q$5:$Q$54,K2226)=0),"✗ 供应商不在基础资料里",IF(AND(P2226="费用",L2226=""),"✗ 费用支出要选费用项目",IF(AND(L2226&lt;&gt;"",COUNTIF(基础资料!$AI$5:$AI$54,L2226)=0),"✗ 费用项目不在基础资料里",IF(AND(IFERROR(INDEX(基础资料!$AD$5:$AD$34,MATCH(O2226,基础资料!$AC$5:$AC$34,0)),"")="收",N(G2226)&lt;&gt;0),"✗ 这类是收款，金额填到收入列",IF(AND(IFERROR(INDEX(基础资料!$AD$5:$AD$34,MATCH(O2226,基础资料!$AC$5:$AC$34,0)),"")="支",N(F2226)&lt;&gt;0),"✗ 这类是付款，金额填到支出列",IF(N(H2226)&lt;0,"⚠ 账户余额成负数了，核对一下","√"))))))))))))))))))</f>
      </c>
      <c r="O2226" s="78">
        <f>IF(D2226&lt;&gt;"",D2226,IF(AND(F2226="",G2226=""),"",IF(J2226&lt;&gt;"",IF(N(F2226)&gt;0,"客户回款","客户退款"),IF(K2226&lt;&gt;"",IF(N(G2226)&gt;0,"供应商付款","供应商退款"),IF(L2226&lt;&gt;"","费用支出","")))))</f>
      </c>
      <c r="P2226" s="78">
        <f>IF(O2226="","",IFERROR(INDEX(基础资料!$AE$5:$AE$34,MATCH(O2226,基础资料!$AC$5:$AC$34,0)),"未知"))</f>
      </c>
      <c r="Q2226" s="78">
        <f>IF(P2226="应收",COUNTIF(P$7:P2226,"应收"),"")</f>
      </c>
      <c r="R2226" s="78">
        <f>IF(P2226="应付",COUNTIF(P$7:P2226,"应付"),"")</f>
      </c>
      <c r="S2226" s="78">
        <f>N(F2226)-N(G2226)</f>
        <v>0</v>
      </c>
    </row>
    <row r="2227">
      <c r="A2227" s="109">
        <f>IF(AND(F2227="",G2227=""),"",ROW()-6)</f>
      </c>
      <c r="B2227" s="140" t="n"/>
      <c r="C2227" s="141" t="n"/>
      <c r="D2227" s="141" t="n"/>
      <c r="E2227" s="142" t="n"/>
      <c r="F2227" s="143" t="n"/>
      <c r="G2227" s="144" t="n"/>
      <c r="H2227" s="145">
        <f>IF(OR(C2227="",AND(F2227="",G2227="")),"",SUMIF(基础资料!$W$5:$W$24,C2227,基础资料!$X$5:$X$24)+SUMIF(C$7:C2227,C2227,F$7:F2227)-SUMIF(C$7:C2227,C2227,G$7:G2227))</f>
      </c>
      <c r="I2227" s="145">
        <f>IF(AND(F2227="",G2227=""),"",SUM(基础资料!$X$5:$X$24)+SUM(F$7:F2227)-SUM(G$7:G2227))</f>
      </c>
      <c r="J2227" s="141" t="n"/>
      <c r="K2227" s="141" t="n"/>
      <c r="L2227" s="141" t="n"/>
      <c r="M2227" s="142" t="n"/>
      <c r="N2227" s="146">
        <f>IF(AND(AND(F2227="",G2227=""),B2227="",C2227="",D2227="",J2227="",K2227="",L2227=""),"",IF(AND(F2227="",G2227=""),"✗ 没填金额",IF(AND(N(F2227)&lt;&gt;0,N(G2227)&lt;&gt;0),"✗ 收入、支出只能填一边",IF(NOT(ISNUMBER(B2227)),"✗ 日期不是真日期（要像 2026/9/25 这样填）",IF(OR(B2227&lt;年初日,B2227&gt;年末日),"✗ 日期不在本会计年度",IF(C2227="","✗ 没选账户",IF(COUNTIF(基础资料!$W$5:$W$24,C2227)=0,"✗ 账户不在基础资料里",IF(O2227="","✗ 没选收支项目",IF(P2227="未知","✗ 收支项目不在基础资料里",IF(AND(P2227="应收",J2227=""),"✗ 这笔要选客户",IF(AND(P2227="应收",COUNTIF(总览汇总!$B$5:$B$304,J2227)=0),"✗ 客户不在总览汇总名单里",IF(AND(P2227="应付",K2227=""),"✗ 这笔要选供应商",IF(AND(P2227="应付",COUNTIF(基础资料!$Q$5:$Q$54,K2227)=0),"✗ 供应商不在基础资料里",IF(AND(P2227="费用",L2227=""),"✗ 费用支出要选费用项目",IF(AND(L2227&lt;&gt;"",COUNTIF(基础资料!$AI$5:$AI$54,L2227)=0),"✗ 费用项目不在基础资料里",IF(AND(IFERROR(INDEX(基础资料!$AD$5:$AD$34,MATCH(O2227,基础资料!$AC$5:$AC$34,0)),"")="收",N(G2227)&lt;&gt;0),"✗ 这类是收款，金额填到收入列",IF(AND(IFERROR(INDEX(基础资料!$AD$5:$AD$34,MATCH(O2227,基础资料!$AC$5:$AC$34,0)),"")="支",N(F2227)&lt;&gt;0),"✗ 这类是付款，金额填到支出列",IF(N(H2227)&lt;0,"⚠ 账户余额成负数了，核对一下","√"))))))))))))))))))</f>
      </c>
      <c r="O2227" s="78">
        <f>IF(D2227&lt;&gt;"",D2227,IF(AND(F2227="",G2227=""),"",IF(J2227&lt;&gt;"",IF(N(F2227)&gt;0,"客户回款","客户退款"),IF(K2227&lt;&gt;"",IF(N(G2227)&gt;0,"供应商付款","供应商退款"),IF(L2227&lt;&gt;"","费用支出","")))))</f>
      </c>
      <c r="P2227" s="78">
        <f>IF(O2227="","",IFERROR(INDEX(基础资料!$AE$5:$AE$34,MATCH(O2227,基础资料!$AC$5:$AC$34,0)),"未知"))</f>
      </c>
      <c r="Q2227" s="78">
        <f>IF(P2227="应收",COUNTIF(P$7:P2227,"应收"),"")</f>
      </c>
      <c r="R2227" s="78">
        <f>IF(P2227="应付",COUNTIF(P$7:P2227,"应付"),"")</f>
      </c>
      <c r="S2227" s="78">
        <f>N(F2227)-N(G2227)</f>
        <v>0</v>
      </c>
    </row>
    <row r="2228">
      <c r="A2228" s="109">
        <f>IF(AND(F2228="",G2228=""),"",ROW()-6)</f>
      </c>
      <c r="B2228" s="140" t="n"/>
      <c r="C2228" s="141" t="n"/>
      <c r="D2228" s="141" t="n"/>
      <c r="E2228" s="142" t="n"/>
      <c r="F2228" s="143" t="n"/>
      <c r="G2228" s="144" t="n"/>
      <c r="H2228" s="145">
        <f>IF(OR(C2228="",AND(F2228="",G2228="")),"",SUMIF(基础资料!$W$5:$W$24,C2228,基础资料!$X$5:$X$24)+SUMIF(C$7:C2228,C2228,F$7:F2228)-SUMIF(C$7:C2228,C2228,G$7:G2228))</f>
      </c>
      <c r="I2228" s="145">
        <f>IF(AND(F2228="",G2228=""),"",SUM(基础资料!$X$5:$X$24)+SUM(F$7:F2228)-SUM(G$7:G2228))</f>
      </c>
      <c r="J2228" s="141" t="n"/>
      <c r="K2228" s="141" t="n"/>
      <c r="L2228" s="141" t="n"/>
      <c r="M2228" s="142" t="n"/>
      <c r="N2228" s="146">
        <f>IF(AND(AND(F2228="",G2228=""),B2228="",C2228="",D2228="",J2228="",K2228="",L2228=""),"",IF(AND(F2228="",G2228=""),"✗ 没填金额",IF(AND(N(F2228)&lt;&gt;0,N(G2228)&lt;&gt;0),"✗ 收入、支出只能填一边",IF(NOT(ISNUMBER(B2228)),"✗ 日期不是真日期（要像 2026/9/25 这样填）",IF(OR(B2228&lt;年初日,B2228&gt;年末日),"✗ 日期不在本会计年度",IF(C2228="","✗ 没选账户",IF(COUNTIF(基础资料!$W$5:$W$24,C2228)=0,"✗ 账户不在基础资料里",IF(O2228="","✗ 没选收支项目",IF(P2228="未知","✗ 收支项目不在基础资料里",IF(AND(P2228="应收",J2228=""),"✗ 这笔要选客户",IF(AND(P2228="应收",COUNTIF(总览汇总!$B$5:$B$304,J2228)=0),"✗ 客户不在总览汇总名单里",IF(AND(P2228="应付",K2228=""),"✗ 这笔要选供应商",IF(AND(P2228="应付",COUNTIF(基础资料!$Q$5:$Q$54,K2228)=0),"✗ 供应商不在基础资料里",IF(AND(P2228="费用",L2228=""),"✗ 费用支出要选费用项目",IF(AND(L2228&lt;&gt;"",COUNTIF(基础资料!$AI$5:$AI$54,L2228)=0),"✗ 费用项目不在基础资料里",IF(AND(IFERROR(INDEX(基础资料!$AD$5:$AD$34,MATCH(O2228,基础资料!$AC$5:$AC$34,0)),"")="收",N(G2228)&lt;&gt;0),"✗ 这类是收款，金额填到收入列",IF(AND(IFERROR(INDEX(基础资料!$AD$5:$AD$34,MATCH(O2228,基础资料!$AC$5:$AC$34,0)),"")="支",N(F2228)&lt;&gt;0),"✗ 这类是付款，金额填到支出列",IF(N(H2228)&lt;0,"⚠ 账户余额成负数了，核对一下","√"))))))))))))))))))</f>
      </c>
      <c r="O2228" s="78">
        <f>IF(D2228&lt;&gt;"",D2228,IF(AND(F2228="",G2228=""),"",IF(J2228&lt;&gt;"",IF(N(F2228)&gt;0,"客户回款","客户退款"),IF(K2228&lt;&gt;"",IF(N(G2228)&gt;0,"供应商付款","供应商退款"),IF(L2228&lt;&gt;"","费用支出","")))))</f>
      </c>
      <c r="P2228" s="78">
        <f>IF(O2228="","",IFERROR(INDEX(基础资料!$AE$5:$AE$34,MATCH(O2228,基础资料!$AC$5:$AC$34,0)),"未知"))</f>
      </c>
      <c r="Q2228" s="78">
        <f>IF(P2228="应收",COUNTIF(P$7:P2228,"应收"),"")</f>
      </c>
      <c r="R2228" s="78">
        <f>IF(P2228="应付",COUNTIF(P$7:P2228,"应付"),"")</f>
      </c>
      <c r="S2228" s="78">
        <f>N(F2228)-N(G2228)</f>
        <v>0</v>
      </c>
    </row>
    <row r="2229">
      <c r="A2229" s="109">
        <f>IF(AND(F2229="",G2229=""),"",ROW()-6)</f>
      </c>
      <c r="B2229" s="140" t="n"/>
      <c r="C2229" s="141" t="n"/>
      <c r="D2229" s="141" t="n"/>
      <c r="E2229" s="142" t="n"/>
      <c r="F2229" s="143" t="n"/>
      <c r="G2229" s="144" t="n"/>
      <c r="H2229" s="145">
        <f>IF(OR(C2229="",AND(F2229="",G2229="")),"",SUMIF(基础资料!$W$5:$W$24,C2229,基础资料!$X$5:$X$24)+SUMIF(C$7:C2229,C2229,F$7:F2229)-SUMIF(C$7:C2229,C2229,G$7:G2229))</f>
      </c>
      <c r="I2229" s="145">
        <f>IF(AND(F2229="",G2229=""),"",SUM(基础资料!$X$5:$X$24)+SUM(F$7:F2229)-SUM(G$7:G2229))</f>
      </c>
      <c r="J2229" s="141" t="n"/>
      <c r="K2229" s="141" t="n"/>
      <c r="L2229" s="141" t="n"/>
      <c r="M2229" s="142" t="n"/>
      <c r="N2229" s="146">
        <f>IF(AND(AND(F2229="",G2229=""),B2229="",C2229="",D2229="",J2229="",K2229="",L2229=""),"",IF(AND(F2229="",G2229=""),"✗ 没填金额",IF(AND(N(F2229)&lt;&gt;0,N(G2229)&lt;&gt;0),"✗ 收入、支出只能填一边",IF(NOT(ISNUMBER(B2229)),"✗ 日期不是真日期（要像 2026/9/25 这样填）",IF(OR(B2229&lt;年初日,B2229&gt;年末日),"✗ 日期不在本会计年度",IF(C2229="","✗ 没选账户",IF(COUNTIF(基础资料!$W$5:$W$24,C2229)=0,"✗ 账户不在基础资料里",IF(O2229="","✗ 没选收支项目",IF(P2229="未知","✗ 收支项目不在基础资料里",IF(AND(P2229="应收",J2229=""),"✗ 这笔要选客户",IF(AND(P2229="应收",COUNTIF(总览汇总!$B$5:$B$304,J2229)=0),"✗ 客户不在总览汇总名单里",IF(AND(P2229="应付",K2229=""),"✗ 这笔要选供应商",IF(AND(P2229="应付",COUNTIF(基础资料!$Q$5:$Q$54,K2229)=0),"✗ 供应商不在基础资料里",IF(AND(P2229="费用",L2229=""),"✗ 费用支出要选费用项目",IF(AND(L2229&lt;&gt;"",COUNTIF(基础资料!$AI$5:$AI$54,L2229)=0),"✗ 费用项目不在基础资料里",IF(AND(IFERROR(INDEX(基础资料!$AD$5:$AD$34,MATCH(O2229,基础资料!$AC$5:$AC$34,0)),"")="收",N(G2229)&lt;&gt;0),"✗ 这类是收款，金额填到收入列",IF(AND(IFERROR(INDEX(基础资料!$AD$5:$AD$34,MATCH(O2229,基础资料!$AC$5:$AC$34,0)),"")="支",N(F2229)&lt;&gt;0),"✗ 这类是付款，金额填到支出列",IF(N(H2229)&lt;0,"⚠ 账户余额成负数了，核对一下","√"))))))))))))))))))</f>
      </c>
      <c r="O2229" s="78">
        <f>IF(D2229&lt;&gt;"",D2229,IF(AND(F2229="",G2229=""),"",IF(J2229&lt;&gt;"",IF(N(F2229)&gt;0,"客户回款","客户退款"),IF(K2229&lt;&gt;"",IF(N(G2229)&gt;0,"供应商付款","供应商退款"),IF(L2229&lt;&gt;"","费用支出","")))))</f>
      </c>
      <c r="P2229" s="78">
        <f>IF(O2229="","",IFERROR(INDEX(基础资料!$AE$5:$AE$34,MATCH(O2229,基础资料!$AC$5:$AC$34,0)),"未知"))</f>
      </c>
      <c r="Q2229" s="78">
        <f>IF(P2229="应收",COUNTIF(P$7:P2229,"应收"),"")</f>
      </c>
      <c r="R2229" s="78">
        <f>IF(P2229="应付",COUNTIF(P$7:P2229,"应付"),"")</f>
      </c>
      <c r="S2229" s="78">
        <f>N(F2229)-N(G2229)</f>
        <v>0</v>
      </c>
    </row>
    <row r="2230">
      <c r="A2230" s="109">
        <f>IF(AND(F2230="",G2230=""),"",ROW()-6)</f>
      </c>
      <c r="B2230" s="140" t="n"/>
      <c r="C2230" s="141" t="n"/>
      <c r="D2230" s="141" t="n"/>
      <c r="E2230" s="142" t="n"/>
      <c r="F2230" s="143" t="n"/>
      <c r="G2230" s="144" t="n"/>
      <c r="H2230" s="145">
        <f>IF(OR(C2230="",AND(F2230="",G2230="")),"",SUMIF(基础资料!$W$5:$W$24,C2230,基础资料!$X$5:$X$24)+SUMIF(C$7:C2230,C2230,F$7:F2230)-SUMIF(C$7:C2230,C2230,G$7:G2230))</f>
      </c>
      <c r="I2230" s="145">
        <f>IF(AND(F2230="",G2230=""),"",SUM(基础资料!$X$5:$X$24)+SUM(F$7:F2230)-SUM(G$7:G2230))</f>
      </c>
      <c r="J2230" s="141" t="n"/>
      <c r="K2230" s="141" t="n"/>
      <c r="L2230" s="141" t="n"/>
      <c r="M2230" s="142" t="n"/>
      <c r="N2230" s="146">
        <f>IF(AND(AND(F2230="",G2230=""),B2230="",C2230="",D2230="",J2230="",K2230="",L2230=""),"",IF(AND(F2230="",G2230=""),"✗ 没填金额",IF(AND(N(F2230)&lt;&gt;0,N(G2230)&lt;&gt;0),"✗ 收入、支出只能填一边",IF(NOT(ISNUMBER(B2230)),"✗ 日期不是真日期（要像 2026/9/25 这样填）",IF(OR(B2230&lt;年初日,B2230&gt;年末日),"✗ 日期不在本会计年度",IF(C2230="","✗ 没选账户",IF(COUNTIF(基础资料!$W$5:$W$24,C2230)=0,"✗ 账户不在基础资料里",IF(O2230="","✗ 没选收支项目",IF(P2230="未知","✗ 收支项目不在基础资料里",IF(AND(P2230="应收",J2230=""),"✗ 这笔要选客户",IF(AND(P2230="应收",COUNTIF(总览汇总!$B$5:$B$304,J2230)=0),"✗ 客户不在总览汇总名单里",IF(AND(P2230="应付",K2230=""),"✗ 这笔要选供应商",IF(AND(P2230="应付",COUNTIF(基础资料!$Q$5:$Q$54,K2230)=0),"✗ 供应商不在基础资料里",IF(AND(P2230="费用",L2230=""),"✗ 费用支出要选费用项目",IF(AND(L2230&lt;&gt;"",COUNTIF(基础资料!$AI$5:$AI$54,L2230)=0),"✗ 费用项目不在基础资料里",IF(AND(IFERROR(INDEX(基础资料!$AD$5:$AD$34,MATCH(O2230,基础资料!$AC$5:$AC$34,0)),"")="收",N(G2230)&lt;&gt;0),"✗ 这类是收款，金额填到收入列",IF(AND(IFERROR(INDEX(基础资料!$AD$5:$AD$34,MATCH(O2230,基础资料!$AC$5:$AC$34,0)),"")="支",N(F2230)&lt;&gt;0),"✗ 这类是付款，金额填到支出列",IF(N(H2230)&lt;0,"⚠ 账户余额成负数了，核对一下","√"))))))))))))))))))</f>
      </c>
      <c r="O2230" s="78">
        <f>IF(D2230&lt;&gt;"",D2230,IF(AND(F2230="",G2230=""),"",IF(J2230&lt;&gt;"",IF(N(F2230)&gt;0,"客户回款","客户退款"),IF(K2230&lt;&gt;"",IF(N(G2230)&gt;0,"供应商付款","供应商退款"),IF(L2230&lt;&gt;"","费用支出","")))))</f>
      </c>
      <c r="P2230" s="78">
        <f>IF(O2230="","",IFERROR(INDEX(基础资料!$AE$5:$AE$34,MATCH(O2230,基础资料!$AC$5:$AC$34,0)),"未知"))</f>
      </c>
      <c r="Q2230" s="78">
        <f>IF(P2230="应收",COUNTIF(P$7:P2230,"应收"),"")</f>
      </c>
      <c r="R2230" s="78">
        <f>IF(P2230="应付",COUNTIF(P$7:P2230,"应付"),"")</f>
      </c>
      <c r="S2230" s="78">
        <f>N(F2230)-N(G2230)</f>
        <v>0</v>
      </c>
    </row>
    <row r="2231">
      <c r="A2231" s="109">
        <f>IF(AND(F2231="",G2231=""),"",ROW()-6)</f>
      </c>
      <c r="B2231" s="140" t="n"/>
      <c r="C2231" s="141" t="n"/>
      <c r="D2231" s="141" t="n"/>
      <c r="E2231" s="142" t="n"/>
      <c r="F2231" s="143" t="n"/>
      <c r="G2231" s="144" t="n"/>
      <c r="H2231" s="145">
        <f>IF(OR(C2231="",AND(F2231="",G2231="")),"",SUMIF(基础资料!$W$5:$W$24,C2231,基础资料!$X$5:$X$24)+SUMIF(C$7:C2231,C2231,F$7:F2231)-SUMIF(C$7:C2231,C2231,G$7:G2231))</f>
      </c>
      <c r="I2231" s="145">
        <f>IF(AND(F2231="",G2231=""),"",SUM(基础资料!$X$5:$X$24)+SUM(F$7:F2231)-SUM(G$7:G2231))</f>
      </c>
      <c r="J2231" s="141" t="n"/>
      <c r="K2231" s="141" t="n"/>
      <c r="L2231" s="141" t="n"/>
      <c r="M2231" s="142" t="n"/>
      <c r="N2231" s="146">
        <f>IF(AND(AND(F2231="",G2231=""),B2231="",C2231="",D2231="",J2231="",K2231="",L2231=""),"",IF(AND(F2231="",G2231=""),"✗ 没填金额",IF(AND(N(F2231)&lt;&gt;0,N(G2231)&lt;&gt;0),"✗ 收入、支出只能填一边",IF(NOT(ISNUMBER(B2231)),"✗ 日期不是真日期（要像 2026/9/25 这样填）",IF(OR(B2231&lt;年初日,B2231&gt;年末日),"✗ 日期不在本会计年度",IF(C2231="","✗ 没选账户",IF(COUNTIF(基础资料!$W$5:$W$24,C2231)=0,"✗ 账户不在基础资料里",IF(O2231="","✗ 没选收支项目",IF(P2231="未知","✗ 收支项目不在基础资料里",IF(AND(P2231="应收",J2231=""),"✗ 这笔要选客户",IF(AND(P2231="应收",COUNTIF(总览汇总!$B$5:$B$304,J2231)=0),"✗ 客户不在总览汇总名单里",IF(AND(P2231="应付",K2231=""),"✗ 这笔要选供应商",IF(AND(P2231="应付",COUNTIF(基础资料!$Q$5:$Q$54,K2231)=0),"✗ 供应商不在基础资料里",IF(AND(P2231="费用",L2231=""),"✗ 费用支出要选费用项目",IF(AND(L2231&lt;&gt;"",COUNTIF(基础资料!$AI$5:$AI$54,L2231)=0),"✗ 费用项目不在基础资料里",IF(AND(IFERROR(INDEX(基础资料!$AD$5:$AD$34,MATCH(O2231,基础资料!$AC$5:$AC$34,0)),"")="收",N(G2231)&lt;&gt;0),"✗ 这类是收款，金额填到收入列",IF(AND(IFERROR(INDEX(基础资料!$AD$5:$AD$34,MATCH(O2231,基础资料!$AC$5:$AC$34,0)),"")="支",N(F2231)&lt;&gt;0),"✗ 这类是付款，金额填到支出列",IF(N(H2231)&lt;0,"⚠ 账户余额成负数了，核对一下","√"))))))))))))))))))</f>
      </c>
      <c r="O2231" s="78">
        <f>IF(D2231&lt;&gt;"",D2231,IF(AND(F2231="",G2231=""),"",IF(J2231&lt;&gt;"",IF(N(F2231)&gt;0,"客户回款","客户退款"),IF(K2231&lt;&gt;"",IF(N(G2231)&gt;0,"供应商付款","供应商退款"),IF(L2231&lt;&gt;"","费用支出","")))))</f>
      </c>
      <c r="P2231" s="78">
        <f>IF(O2231="","",IFERROR(INDEX(基础资料!$AE$5:$AE$34,MATCH(O2231,基础资料!$AC$5:$AC$34,0)),"未知"))</f>
      </c>
      <c r="Q2231" s="78">
        <f>IF(P2231="应收",COUNTIF(P$7:P2231,"应收"),"")</f>
      </c>
      <c r="R2231" s="78">
        <f>IF(P2231="应付",COUNTIF(P$7:P2231,"应付"),"")</f>
      </c>
      <c r="S2231" s="78">
        <f>N(F2231)-N(G2231)</f>
        <v>0</v>
      </c>
    </row>
    <row r="2232">
      <c r="A2232" s="109">
        <f>IF(AND(F2232="",G2232=""),"",ROW()-6)</f>
      </c>
      <c r="B2232" s="140" t="n"/>
      <c r="C2232" s="141" t="n"/>
      <c r="D2232" s="141" t="n"/>
      <c r="E2232" s="142" t="n"/>
      <c r="F2232" s="143" t="n"/>
      <c r="G2232" s="144" t="n"/>
      <c r="H2232" s="145">
        <f>IF(OR(C2232="",AND(F2232="",G2232="")),"",SUMIF(基础资料!$W$5:$W$24,C2232,基础资料!$X$5:$X$24)+SUMIF(C$7:C2232,C2232,F$7:F2232)-SUMIF(C$7:C2232,C2232,G$7:G2232))</f>
      </c>
      <c r="I2232" s="145">
        <f>IF(AND(F2232="",G2232=""),"",SUM(基础资料!$X$5:$X$24)+SUM(F$7:F2232)-SUM(G$7:G2232))</f>
      </c>
      <c r="J2232" s="141" t="n"/>
      <c r="K2232" s="141" t="n"/>
      <c r="L2232" s="141" t="n"/>
      <c r="M2232" s="142" t="n"/>
      <c r="N2232" s="146">
        <f>IF(AND(AND(F2232="",G2232=""),B2232="",C2232="",D2232="",J2232="",K2232="",L2232=""),"",IF(AND(F2232="",G2232=""),"✗ 没填金额",IF(AND(N(F2232)&lt;&gt;0,N(G2232)&lt;&gt;0),"✗ 收入、支出只能填一边",IF(NOT(ISNUMBER(B2232)),"✗ 日期不是真日期（要像 2026/9/25 这样填）",IF(OR(B2232&lt;年初日,B2232&gt;年末日),"✗ 日期不在本会计年度",IF(C2232="","✗ 没选账户",IF(COUNTIF(基础资料!$W$5:$W$24,C2232)=0,"✗ 账户不在基础资料里",IF(O2232="","✗ 没选收支项目",IF(P2232="未知","✗ 收支项目不在基础资料里",IF(AND(P2232="应收",J2232=""),"✗ 这笔要选客户",IF(AND(P2232="应收",COUNTIF(总览汇总!$B$5:$B$304,J2232)=0),"✗ 客户不在总览汇总名单里",IF(AND(P2232="应付",K2232=""),"✗ 这笔要选供应商",IF(AND(P2232="应付",COUNTIF(基础资料!$Q$5:$Q$54,K2232)=0),"✗ 供应商不在基础资料里",IF(AND(P2232="费用",L2232=""),"✗ 费用支出要选费用项目",IF(AND(L2232&lt;&gt;"",COUNTIF(基础资料!$AI$5:$AI$54,L2232)=0),"✗ 费用项目不在基础资料里",IF(AND(IFERROR(INDEX(基础资料!$AD$5:$AD$34,MATCH(O2232,基础资料!$AC$5:$AC$34,0)),"")="收",N(G2232)&lt;&gt;0),"✗ 这类是收款，金额填到收入列",IF(AND(IFERROR(INDEX(基础资料!$AD$5:$AD$34,MATCH(O2232,基础资料!$AC$5:$AC$34,0)),"")="支",N(F2232)&lt;&gt;0),"✗ 这类是付款，金额填到支出列",IF(N(H2232)&lt;0,"⚠ 账户余额成负数了，核对一下","√"))))))))))))))))))</f>
      </c>
      <c r="O2232" s="78">
        <f>IF(D2232&lt;&gt;"",D2232,IF(AND(F2232="",G2232=""),"",IF(J2232&lt;&gt;"",IF(N(F2232)&gt;0,"客户回款","客户退款"),IF(K2232&lt;&gt;"",IF(N(G2232)&gt;0,"供应商付款","供应商退款"),IF(L2232&lt;&gt;"","费用支出","")))))</f>
      </c>
      <c r="P2232" s="78">
        <f>IF(O2232="","",IFERROR(INDEX(基础资料!$AE$5:$AE$34,MATCH(O2232,基础资料!$AC$5:$AC$34,0)),"未知"))</f>
      </c>
      <c r="Q2232" s="78">
        <f>IF(P2232="应收",COUNTIF(P$7:P2232,"应收"),"")</f>
      </c>
      <c r="R2232" s="78">
        <f>IF(P2232="应付",COUNTIF(P$7:P2232,"应付"),"")</f>
      </c>
      <c r="S2232" s="78">
        <f>N(F2232)-N(G2232)</f>
        <v>0</v>
      </c>
    </row>
    <row r="2233">
      <c r="A2233" s="109">
        <f>IF(AND(F2233="",G2233=""),"",ROW()-6)</f>
      </c>
      <c r="B2233" s="140" t="n"/>
      <c r="C2233" s="141" t="n"/>
      <c r="D2233" s="141" t="n"/>
      <c r="E2233" s="142" t="n"/>
      <c r="F2233" s="143" t="n"/>
      <c r="G2233" s="144" t="n"/>
      <c r="H2233" s="145">
        <f>IF(OR(C2233="",AND(F2233="",G2233="")),"",SUMIF(基础资料!$W$5:$W$24,C2233,基础资料!$X$5:$X$24)+SUMIF(C$7:C2233,C2233,F$7:F2233)-SUMIF(C$7:C2233,C2233,G$7:G2233))</f>
      </c>
      <c r="I2233" s="145">
        <f>IF(AND(F2233="",G2233=""),"",SUM(基础资料!$X$5:$X$24)+SUM(F$7:F2233)-SUM(G$7:G2233))</f>
      </c>
      <c r="J2233" s="141" t="n"/>
      <c r="K2233" s="141" t="n"/>
      <c r="L2233" s="141" t="n"/>
      <c r="M2233" s="142" t="n"/>
      <c r="N2233" s="146">
        <f>IF(AND(AND(F2233="",G2233=""),B2233="",C2233="",D2233="",J2233="",K2233="",L2233=""),"",IF(AND(F2233="",G2233=""),"✗ 没填金额",IF(AND(N(F2233)&lt;&gt;0,N(G2233)&lt;&gt;0),"✗ 收入、支出只能填一边",IF(NOT(ISNUMBER(B2233)),"✗ 日期不是真日期（要像 2026/9/25 这样填）",IF(OR(B2233&lt;年初日,B2233&gt;年末日),"✗ 日期不在本会计年度",IF(C2233="","✗ 没选账户",IF(COUNTIF(基础资料!$W$5:$W$24,C2233)=0,"✗ 账户不在基础资料里",IF(O2233="","✗ 没选收支项目",IF(P2233="未知","✗ 收支项目不在基础资料里",IF(AND(P2233="应收",J2233=""),"✗ 这笔要选客户",IF(AND(P2233="应收",COUNTIF(总览汇总!$B$5:$B$304,J2233)=0),"✗ 客户不在总览汇总名单里",IF(AND(P2233="应付",K2233=""),"✗ 这笔要选供应商",IF(AND(P2233="应付",COUNTIF(基础资料!$Q$5:$Q$54,K2233)=0),"✗ 供应商不在基础资料里",IF(AND(P2233="费用",L2233=""),"✗ 费用支出要选费用项目",IF(AND(L2233&lt;&gt;"",COUNTIF(基础资料!$AI$5:$AI$54,L2233)=0),"✗ 费用项目不在基础资料里",IF(AND(IFERROR(INDEX(基础资料!$AD$5:$AD$34,MATCH(O2233,基础资料!$AC$5:$AC$34,0)),"")="收",N(G2233)&lt;&gt;0),"✗ 这类是收款，金额填到收入列",IF(AND(IFERROR(INDEX(基础资料!$AD$5:$AD$34,MATCH(O2233,基础资料!$AC$5:$AC$34,0)),"")="支",N(F2233)&lt;&gt;0),"✗ 这类是付款，金额填到支出列",IF(N(H2233)&lt;0,"⚠ 账户余额成负数了，核对一下","√"))))))))))))))))))</f>
      </c>
      <c r="O2233" s="78">
        <f>IF(D2233&lt;&gt;"",D2233,IF(AND(F2233="",G2233=""),"",IF(J2233&lt;&gt;"",IF(N(F2233)&gt;0,"客户回款","客户退款"),IF(K2233&lt;&gt;"",IF(N(G2233)&gt;0,"供应商付款","供应商退款"),IF(L2233&lt;&gt;"","费用支出","")))))</f>
      </c>
      <c r="P2233" s="78">
        <f>IF(O2233="","",IFERROR(INDEX(基础资料!$AE$5:$AE$34,MATCH(O2233,基础资料!$AC$5:$AC$34,0)),"未知"))</f>
      </c>
      <c r="Q2233" s="78">
        <f>IF(P2233="应收",COUNTIF(P$7:P2233,"应收"),"")</f>
      </c>
      <c r="R2233" s="78">
        <f>IF(P2233="应付",COUNTIF(P$7:P2233,"应付"),"")</f>
      </c>
      <c r="S2233" s="78">
        <f>N(F2233)-N(G2233)</f>
        <v>0</v>
      </c>
    </row>
    <row r="2234">
      <c r="A2234" s="109">
        <f>IF(AND(F2234="",G2234=""),"",ROW()-6)</f>
      </c>
      <c r="B2234" s="140" t="n"/>
      <c r="C2234" s="141" t="n"/>
      <c r="D2234" s="141" t="n"/>
      <c r="E2234" s="142" t="n"/>
      <c r="F2234" s="143" t="n"/>
      <c r="G2234" s="144" t="n"/>
      <c r="H2234" s="145">
        <f>IF(OR(C2234="",AND(F2234="",G2234="")),"",SUMIF(基础资料!$W$5:$W$24,C2234,基础资料!$X$5:$X$24)+SUMIF(C$7:C2234,C2234,F$7:F2234)-SUMIF(C$7:C2234,C2234,G$7:G2234))</f>
      </c>
      <c r="I2234" s="145">
        <f>IF(AND(F2234="",G2234=""),"",SUM(基础资料!$X$5:$X$24)+SUM(F$7:F2234)-SUM(G$7:G2234))</f>
      </c>
      <c r="J2234" s="141" t="n"/>
      <c r="K2234" s="141" t="n"/>
      <c r="L2234" s="141" t="n"/>
      <c r="M2234" s="142" t="n"/>
      <c r="N2234" s="146">
        <f>IF(AND(AND(F2234="",G2234=""),B2234="",C2234="",D2234="",J2234="",K2234="",L2234=""),"",IF(AND(F2234="",G2234=""),"✗ 没填金额",IF(AND(N(F2234)&lt;&gt;0,N(G2234)&lt;&gt;0),"✗ 收入、支出只能填一边",IF(NOT(ISNUMBER(B2234)),"✗ 日期不是真日期（要像 2026/9/25 这样填）",IF(OR(B2234&lt;年初日,B2234&gt;年末日),"✗ 日期不在本会计年度",IF(C2234="","✗ 没选账户",IF(COUNTIF(基础资料!$W$5:$W$24,C2234)=0,"✗ 账户不在基础资料里",IF(O2234="","✗ 没选收支项目",IF(P2234="未知","✗ 收支项目不在基础资料里",IF(AND(P2234="应收",J2234=""),"✗ 这笔要选客户",IF(AND(P2234="应收",COUNTIF(总览汇总!$B$5:$B$304,J2234)=0),"✗ 客户不在总览汇总名单里",IF(AND(P2234="应付",K2234=""),"✗ 这笔要选供应商",IF(AND(P2234="应付",COUNTIF(基础资料!$Q$5:$Q$54,K2234)=0),"✗ 供应商不在基础资料里",IF(AND(P2234="费用",L2234=""),"✗ 费用支出要选费用项目",IF(AND(L2234&lt;&gt;"",COUNTIF(基础资料!$AI$5:$AI$54,L2234)=0),"✗ 费用项目不在基础资料里",IF(AND(IFERROR(INDEX(基础资料!$AD$5:$AD$34,MATCH(O2234,基础资料!$AC$5:$AC$34,0)),"")="收",N(G2234)&lt;&gt;0),"✗ 这类是收款，金额填到收入列",IF(AND(IFERROR(INDEX(基础资料!$AD$5:$AD$34,MATCH(O2234,基础资料!$AC$5:$AC$34,0)),"")="支",N(F2234)&lt;&gt;0),"✗ 这类是付款，金额填到支出列",IF(N(H2234)&lt;0,"⚠ 账户余额成负数了，核对一下","√"))))))))))))))))))</f>
      </c>
      <c r="O2234" s="78">
        <f>IF(D2234&lt;&gt;"",D2234,IF(AND(F2234="",G2234=""),"",IF(J2234&lt;&gt;"",IF(N(F2234)&gt;0,"客户回款","客户退款"),IF(K2234&lt;&gt;"",IF(N(G2234)&gt;0,"供应商付款","供应商退款"),IF(L2234&lt;&gt;"","费用支出","")))))</f>
      </c>
      <c r="P2234" s="78">
        <f>IF(O2234="","",IFERROR(INDEX(基础资料!$AE$5:$AE$34,MATCH(O2234,基础资料!$AC$5:$AC$34,0)),"未知"))</f>
      </c>
      <c r="Q2234" s="78">
        <f>IF(P2234="应收",COUNTIF(P$7:P2234,"应收"),"")</f>
      </c>
      <c r="R2234" s="78">
        <f>IF(P2234="应付",COUNTIF(P$7:P2234,"应付"),"")</f>
      </c>
      <c r="S2234" s="78">
        <f>N(F2234)-N(G2234)</f>
        <v>0</v>
      </c>
    </row>
    <row r="2235">
      <c r="A2235" s="109">
        <f>IF(AND(F2235="",G2235=""),"",ROW()-6)</f>
      </c>
      <c r="B2235" s="140" t="n"/>
      <c r="C2235" s="141" t="n"/>
      <c r="D2235" s="141" t="n"/>
      <c r="E2235" s="142" t="n"/>
      <c r="F2235" s="143" t="n"/>
      <c r="G2235" s="144" t="n"/>
      <c r="H2235" s="145">
        <f>IF(OR(C2235="",AND(F2235="",G2235="")),"",SUMIF(基础资料!$W$5:$W$24,C2235,基础资料!$X$5:$X$24)+SUMIF(C$7:C2235,C2235,F$7:F2235)-SUMIF(C$7:C2235,C2235,G$7:G2235))</f>
      </c>
      <c r="I2235" s="145">
        <f>IF(AND(F2235="",G2235=""),"",SUM(基础资料!$X$5:$X$24)+SUM(F$7:F2235)-SUM(G$7:G2235))</f>
      </c>
      <c r="J2235" s="141" t="n"/>
      <c r="K2235" s="141" t="n"/>
      <c r="L2235" s="141" t="n"/>
      <c r="M2235" s="142" t="n"/>
      <c r="N2235" s="146">
        <f>IF(AND(AND(F2235="",G2235=""),B2235="",C2235="",D2235="",J2235="",K2235="",L2235=""),"",IF(AND(F2235="",G2235=""),"✗ 没填金额",IF(AND(N(F2235)&lt;&gt;0,N(G2235)&lt;&gt;0),"✗ 收入、支出只能填一边",IF(NOT(ISNUMBER(B2235)),"✗ 日期不是真日期（要像 2026/9/25 这样填）",IF(OR(B2235&lt;年初日,B2235&gt;年末日),"✗ 日期不在本会计年度",IF(C2235="","✗ 没选账户",IF(COUNTIF(基础资料!$W$5:$W$24,C2235)=0,"✗ 账户不在基础资料里",IF(O2235="","✗ 没选收支项目",IF(P2235="未知","✗ 收支项目不在基础资料里",IF(AND(P2235="应收",J2235=""),"✗ 这笔要选客户",IF(AND(P2235="应收",COUNTIF(总览汇总!$B$5:$B$304,J2235)=0),"✗ 客户不在总览汇总名单里",IF(AND(P2235="应付",K2235=""),"✗ 这笔要选供应商",IF(AND(P2235="应付",COUNTIF(基础资料!$Q$5:$Q$54,K2235)=0),"✗ 供应商不在基础资料里",IF(AND(P2235="费用",L2235=""),"✗ 费用支出要选费用项目",IF(AND(L2235&lt;&gt;"",COUNTIF(基础资料!$AI$5:$AI$54,L2235)=0),"✗ 费用项目不在基础资料里",IF(AND(IFERROR(INDEX(基础资料!$AD$5:$AD$34,MATCH(O2235,基础资料!$AC$5:$AC$34,0)),"")="收",N(G2235)&lt;&gt;0),"✗ 这类是收款，金额填到收入列",IF(AND(IFERROR(INDEX(基础资料!$AD$5:$AD$34,MATCH(O2235,基础资料!$AC$5:$AC$34,0)),"")="支",N(F2235)&lt;&gt;0),"✗ 这类是付款，金额填到支出列",IF(N(H2235)&lt;0,"⚠ 账户余额成负数了，核对一下","√"))))))))))))))))))</f>
      </c>
      <c r="O2235" s="78">
        <f>IF(D2235&lt;&gt;"",D2235,IF(AND(F2235="",G2235=""),"",IF(J2235&lt;&gt;"",IF(N(F2235)&gt;0,"客户回款","客户退款"),IF(K2235&lt;&gt;"",IF(N(G2235)&gt;0,"供应商付款","供应商退款"),IF(L2235&lt;&gt;"","费用支出","")))))</f>
      </c>
      <c r="P2235" s="78">
        <f>IF(O2235="","",IFERROR(INDEX(基础资料!$AE$5:$AE$34,MATCH(O2235,基础资料!$AC$5:$AC$34,0)),"未知"))</f>
      </c>
      <c r="Q2235" s="78">
        <f>IF(P2235="应收",COUNTIF(P$7:P2235,"应收"),"")</f>
      </c>
      <c r="R2235" s="78">
        <f>IF(P2235="应付",COUNTIF(P$7:P2235,"应付"),"")</f>
      </c>
      <c r="S2235" s="78">
        <f>N(F2235)-N(G2235)</f>
        <v>0</v>
      </c>
    </row>
    <row r="2236">
      <c r="A2236" s="109">
        <f>IF(AND(F2236="",G2236=""),"",ROW()-6)</f>
      </c>
      <c r="B2236" s="140" t="n"/>
      <c r="C2236" s="141" t="n"/>
      <c r="D2236" s="141" t="n"/>
      <c r="E2236" s="142" t="n"/>
      <c r="F2236" s="143" t="n"/>
      <c r="G2236" s="144" t="n"/>
      <c r="H2236" s="145">
        <f>IF(OR(C2236="",AND(F2236="",G2236="")),"",SUMIF(基础资料!$W$5:$W$24,C2236,基础资料!$X$5:$X$24)+SUMIF(C$7:C2236,C2236,F$7:F2236)-SUMIF(C$7:C2236,C2236,G$7:G2236))</f>
      </c>
      <c r="I2236" s="145">
        <f>IF(AND(F2236="",G2236=""),"",SUM(基础资料!$X$5:$X$24)+SUM(F$7:F2236)-SUM(G$7:G2236))</f>
      </c>
      <c r="J2236" s="141" t="n"/>
      <c r="K2236" s="141" t="n"/>
      <c r="L2236" s="141" t="n"/>
      <c r="M2236" s="142" t="n"/>
      <c r="N2236" s="146">
        <f>IF(AND(AND(F2236="",G2236=""),B2236="",C2236="",D2236="",J2236="",K2236="",L2236=""),"",IF(AND(F2236="",G2236=""),"✗ 没填金额",IF(AND(N(F2236)&lt;&gt;0,N(G2236)&lt;&gt;0),"✗ 收入、支出只能填一边",IF(NOT(ISNUMBER(B2236)),"✗ 日期不是真日期（要像 2026/9/25 这样填）",IF(OR(B2236&lt;年初日,B2236&gt;年末日),"✗ 日期不在本会计年度",IF(C2236="","✗ 没选账户",IF(COUNTIF(基础资料!$W$5:$W$24,C2236)=0,"✗ 账户不在基础资料里",IF(O2236="","✗ 没选收支项目",IF(P2236="未知","✗ 收支项目不在基础资料里",IF(AND(P2236="应收",J2236=""),"✗ 这笔要选客户",IF(AND(P2236="应收",COUNTIF(总览汇总!$B$5:$B$304,J2236)=0),"✗ 客户不在总览汇总名单里",IF(AND(P2236="应付",K2236=""),"✗ 这笔要选供应商",IF(AND(P2236="应付",COUNTIF(基础资料!$Q$5:$Q$54,K2236)=0),"✗ 供应商不在基础资料里",IF(AND(P2236="费用",L2236=""),"✗ 费用支出要选费用项目",IF(AND(L2236&lt;&gt;"",COUNTIF(基础资料!$AI$5:$AI$54,L2236)=0),"✗ 费用项目不在基础资料里",IF(AND(IFERROR(INDEX(基础资料!$AD$5:$AD$34,MATCH(O2236,基础资料!$AC$5:$AC$34,0)),"")="收",N(G2236)&lt;&gt;0),"✗ 这类是收款，金额填到收入列",IF(AND(IFERROR(INDEX(基础资料!$AD$5:$AD$34,MATCH(O2236,基础资料!$AC$5:$AC$34,0)),"")="支",N(F2236)&lt;&gt;0),"✗ 这类是付款，金额填到支出列",IF(N(H2236)&lt;0,"⚠ 账户余额成负数了，核对一下","√"))))))))))))))))))</f>
      </c>
      <c r="O2236" s="78">
        <f>IF(D2236&lt;&gt;"",D2236,IF(AND(F2236="",G2236=""),"",IF(J2236&lt;&gt;"",IF(N(F2236)&gt;0,"客户回款","客户退款"),IF(K2236&lt;&gt;"",IF(N(G2236)&gt;0,"供应商付款","供应商退款"),IF(L2236&lt;&gt;"","费用支出","")))))</f>
      </c>
      <c r="P2236" s="78">
        <f>IF(O2236="","",IFERROR(INDEX(基础资料!$AE$5:$AE$34,MATCH(O2236,基础资料!$AC$5:$AC$34,0)),"未知"))</f>
      </c>
      <c r="Q2236" s="78">
        <f>IF(P2236="应收",COUNTIF(P$7:P2236,"应收"),"")</f>
      </c>
      <c r="R2236" s="78">
        <f>IF(P2236="应付",COUNTIF(P$7:P2236,"应付"),"")</f>
      </c>
      <c r="S2236" s="78">
        <f>N(F2236)-N(G2236)</f>
        <v>0</v>
      </c>
    </row>
    <row r="2237">
      <c r="A2237" s="109">
        <f>IF(AND(F2237="",G2237=""),"",ROW()-6)</f>
      </c>
      <c r="B2237" s="140" t="n"/>
      <c r="C2237" s="141" t="n"/>
      <c r="D2237" s="141" t="n"/>
      <c r="E2237" s="142" t="n"/>
      <c r="F2237" s="143" t="n"/>
      <c r="G2237" s="144" t="n"/>
      <c r="H2237" s="145">
        <f>IF(OR(C2237="",AND(F2237="",G2237="")),"",SUMIF(基础资料!$W$5:$W$24,C2237,基础资料!$X$5:$X$24)+SUMIF(C$7:C2237,C2237,F$7:F2237)-SUMIF(C$7:C2237,C2237,G$7:G2237))</f>
      </c>
      <c r="I2237" s="145">
        <f>IF(AND(F2237="",G2237=""),"",SUM(基础资料!$X$5:$X$24)+SUM(F$7:F2237)-SUM(G$7:G2237))</f>
      </c>
      <c r="J2237" s="141" t="n"/>
      <c r="K2237" s="141" t="n"/>
      <c r="L2237" s="141" t="n"/>
      <c r="M2237" s="142" t="n"/>
      <c r="N2237" s="146">
        <f>IF(AND(AND(F2237="",G2237=""),B2237="",C2237="",D2237="",J2237="",K2237="",L2237=""),"",IF(AND(F2237="",G2237=""),"✗ 没填金额",IF(AND(N(F2237)&lt;&gt;0,N(G2237)&lt;&gt;0),"✗ 收入、支出只能填一边",IF(NOT(ISNUMBER(B2237)),"✗ 日期不是真日期（要像 2026/9/25 这样填）",IF(OR(B2237&lt;年初日,B2237&gt;年末日),"✗ 日期不在本会计年度",IF(C2237="","✗ 没选账户",IF(COUNTIF(基础资料!$W$5:$W$24,C2237)=0,"✗ 账户不在基础资料里",IF(O2237="","✗ 没选收支项目",IF(P2237="未知","✗ 收支项目不在基础资料里",IF(AND(P2237="应收",J2237=""),"✗ 这笔要选客户",IF(AND(P2237="应收",COUNTIF(总览汇总!$B$5:$B$304,J2237)=0),"✗ 客户不在总览汇总名单里",IF(AND(P2237="应付",K2237=""),"✗ 这笔要选供应商",IF(AND(P2237="应付",COUNTIF(基础资料!$Q$5:$Q$54,K2237)=0),"✗ 供应商不在基础资料里",IF(AND(P2237="费用",L2237=""),"✗ 费用支出要选费用项目",IF(AND(L2237&lt;&gt;"",COUNTIF(基础资料!$AI$5:$AI$54,L2237)=0),"✗ 费用项目不在基础资料里",IF(AND(IFERROR(INDEX(基础资料!$AD$5:$AD$34,MATCH(O2237,基础资料!$AC$5:$AC$34,0)),"")="收",N(G2237)&lt;&gt;0),"✗ 这类是收款，金额填到收入列",IF(AND(IFERROR(INDEX(基础资料!$AD$5:$AD$34,MATCH(O2237,基础资料!$AC$5:$AC$34,0)),"")="支",N(F2237)&lt;&gt;0),"✗ 这类是付款，金额填到支出列",IF(N(H2237)&lt;0,"⚠ 账户余额成负数了，核对一下","√"))))))))))))))))))</f>
      </c>
      <c r="O2237" s="78">
        <f>IF(D2237&lt;&gt;"",D2237,IF(AND(F2237="",G2237=""),"",IF(J2237&lt;&gt;"",IF(N(F2237)&gt;0,"客户回款","客户退款"),IF(K2237&lt;&gt;"",IF(N(G2237)&gt;0,"供应商付款","供应商退款"),IF(L2237&lt;&gt;"","费用支出","")))))</f>
      </c>
      <c r="P2237" s="78">
        <f>IF(O2237="","",IFERROR(INDEX(基础资料!$AE$5:$AE$34,MATCH(O2237,基础资料!$AC$5:$AC$34,0)),"未知"))</f>
      </c>
      <c r="Q2237" s="78">
        <f>IF(P2237="应收",COUNTIF(P$7:P2237,"应收"),"")</f>
      </c>
      <c r="R2237" s="78">
        <f>IF(P2237="应付",COUNTIF(P$7:P2237,"应付"),"")</f>
      </c>
      <c r="S2237" s="78">
        <f>N(F2237)-N(G2237)</f>
        <v>0</v>
      </c>
    </row>
    <row r="2238">
      <c r="A2238" s="109">
        <f>IF(AND(F2238="",G2238=""),"",ROW()-6)</f>
      </c>
      <c r="B2238" s="140" t="n"/>
      <c r="C2238" s="141" t="n"/>
      <c r="D2238" s="141" t="n"/>
      <c r="E2238" s="142" t="n"/>
      <c r="F2238" s="143" t="n"/>
      <c r="G2238" s="144" t="n"/>
      <c r="H2238" s="145">
        <f>IF(OR(C2238="",AND(F2238="",G2238="")),"",SUMIF(基础资料!$W$5:$W$24,C2238,基础资料!$X$5:$X$24)+SUMIF(C$7:C2238,C2238,F$7:F2238)-SUMIF(C$7:C2238,C2238,G$7:G2238))</f>
      </c>
      <c r="I2238" s="145">
        <f>IF(AND(F2238="",G2238=""),"",SUM(基础资料!$X$5:$X$24)+SUM(F$7:F2238)-SUM(G$7:G2238))</f>
      </c>
      <c r="J2238" s="141" t="n"/>
      <c r="K2238" s="141" t="n"/>
      <c r="L2238" s="141" t="n"/>
      <c r="M2238" s="142" t="n"/>
      <c r="N2238" s="146">
        <f>IF(AND(AND(F2238="",G2238=""),B2238="",C2238="",D2238="",J2238="",K2238="",L2238=""),"",IF(AND(F2238="",G2238=""),"✗ 没填金额",IF(AND(N(F2238)&lt;&gt;0,N(G2238)&lt;&gt;0),"✗ 收入、支出只能填一边",IF(NOT(ISNUMBER(B2238)),"✗ 日期不是真日期（要像 2026/9/25 这样填）",IF(OR(B2238&lt;年初日,B2238&gt;年末日),"✗ 日期不在本会计年度",IF(C2238="","✗ 没选账户",IF(COUNTIF(基础资料!$W$5:$W$24,C2238)=0,"✗ 账户不在基础资料里",IF(O2238="","✗ 没选收支项目",IF(P2238="未知","✗ 收支项目不在基础资料里",IF(AND(P2238="应收",J2238=""),"✗ 这笔要选客户",IF(AND(P2238="应收",COUNTIF(总览汇总!$B$5:$B$304,J2238)=0),"✗ 客户不在总览汇总名单里",IF(AND(P2238="应付",K2238=""),"✗ 这笔要选供应商",IF(AND(P2238="应付",COUNTIF(基础资料!$Q$5:$Q$54,K2238)=0),"✗ 供应商不在基础资料里",IF(AND(P2238="费用",L2238=""),"✗ 费用支出要选费用项目",IF(AND(L2238&lt;&gt;"",COUNTIF(基础资料!$AI$5:$AI$54,L2238)=0),"✗ 费用项目不在基础资料里",IF(AND(IFERROR(INDEX(基础资料!$AD$5:$AD$34,MATCH(O2238,基础资料!$AC$5:$AC$34,0)),"")="收",N(G2238)&lt;&gt;0),"✗ 这类是收款，金额填到收入列",IF(AND(IFERROR(INDEX(基础资料!$AD$5:$AD$34,MATCH(O2238,基础资料!$AC$5:$AC$34,0)),"")="支",N(F2238)&lt;&gt;0),"✗ 这类是付款，金额填到支出列",IF(N(H2238)&lt;0,"⚠ 账户余额成负数了，核对一下","√"))))))))))))))))))</f>
      </c>
      <c r="O2238" s="78">
        <f>IF(D2238&lt;&gt;"",D2238,IF(AND(F2238="",G2238=""),"",IF(J2238&lt;&gt;"",IF(N(F2238)&gt;0,"客户回款","客户退款"),IF(K2238&lt;&gt;"",IF(N(G2238)&gt;0,"供应商付款","供应商退款"),IF(L2238&lt;&gt;"","费用支出","")))))</f>
      </c>
      <c r="P2238" s="78">
        <f>IF(O2238="","",IFERROR(INDEX(基础资料!$AE$5:$AE$34,MATCH(O2238,基础资料!$AC$5:$AC$34,0)),"未知"))</f>
      </c>
      <c r="Q2238" s="78">
        <f>IF(P2238="应收",COUNTIF(P$7:P2238,"应收"),"")</f>
      </c>
      <c r="R2238" s="78">
        <f>IF(P2238="应付",COUNTIF(P$7:P2238,"应付"),"")</f>
      </c>
      <c r="S2238" s="78">
        <f>N(F2238)-N(G2238)</f>
        <v>0</v>
      </c>
    </row>
    <row r="2239">
      <c r="A2239" s="109">
        <f>IF(AND(F2239="",G2239=""),"",ROW()-6)</f>
      </c>
      <c r="B2239" s="140" t="n"/>
      <c r="C2239" s="141" t="n"/>
      <c r="D2239" s="141" t="n"/>
      <c r="E2239" s="142" t="n"/>
      <c r="F2239" s="143" t="n"/>
      <c r="G2239" s="144" t="n"/>
      <c r="H2239" s="145">
        <f>IF(OR(C2239="",AND(F2239="",G2239="")),"",SUMIF(基础资料!$W$5:$W$24,C2239,基础资料!$X$5:$X$24)+SUMIF(C$7:C2239,C2239,F$7:F2239)-SUMIF(C$7:C2239,C2239,G$7:G2239))</f>
      </c>
      <c r="I2239" s="145">
        <f>IF(AND(F2239="",G2239=""),"",SUM(基础资料!$X$5:$X$24)+SUM(F$7:F2239)-SUM(G$7:G2239))</f>
      </c>
      <c r="J2239" s="141" t="n"/>
      <c r="K2239" s="141" t="n"/>
      <c r="L2239" s="141" t="n"/>
      <c r="M2239" s="142" t="n"/>
      <c r="N2239" s="146">
        <f>IF(AND(AND(F2239="",G2239=""),B2239="",C2239="",D2239="",J2239="",K2239="",L2239=""),"",IF(AND(F2239="",G2239=""),"✗ 没填金额",IF(AND(N(F2239)&lt;&gt;0,N(G2239)&lt;&gt;0),"✗ 收入、支出只能填一边",IF(NOT(ISNUMBER(B2239)),"✗ 日期不是真日期（要像 2026/9/25 这样填）",IF(OR(B2239&lt;年初日,B2239&gt;年末日),"✗ 日期不在本会计年度",IF(C2239="","✗ 没选账户",IF(COUNTIF(基础资料!$W$5:$W$24,C2239)=0,"✗ 账户不在基础资料里",IF(O2239="","✗ 没选收支项目",IF(P2239="未知","✗ 收支项目不在基础资料里",IF(AND(P2239="应收",J2239=""),"✗ 这笔要选客户",IF(AND(P2239="应收",COUNTIF(总览汇总!$B$5:$B$304,J2239)=0),"✗ 客户不在总览汇总名单里",IF(AND(P2239="应付",K2239=""),"✗ 这笔要选供应商",IF(AND(P2239="应付",COUNTIF(基础资料!$Q$5:$Q$54,K2239)=0),"✗ 供应商不在基础资料里",IF(AND(P2239="费用",L2239=""),"✗ 费用支出要选费用项目",IF(AND(L2239&lt;&gt;"",COUNTIF(基础资料!$AI$5:$AI$54,L2239)=0),"✗ 费用项目不在基础资料里",IF(AND(IFERROR(INDEX(基础资料!$AD$5:$AD$34,MATCH(O2239,基础资料!$AC$5:$AC$34,0)),"")="收",N(G2239)&lt;&gt;0),"✗ 这类是收款，金额填到收入列",IF(AND(IFERROR(INDEX(基础资料!$AD$5:$AD$34,MATCH(O2239,基础资料!$AC$5:$AC$34,0)),"")="支",N(F2239)&lt;&gt;0),"✗ 这类是付款，金额填到支出列",IF(N(H2239)&lt;0,"⚠ 账户余额成负数了，核对一下","√"))))))))))))))))))</f>
      </c>
      <c r="O2239" s="78">
        <f>IF(D2239&lt;&gt;"",D2239,IF(AND(F2239="",G2239=""),"",IF(J2239&lt;&gt;"",IF(N(F2239)&gt;0,"客户回款","客户退款"),IF(K2239&lt;&gt;"",IF(N(G2239)&gt;0,"供应商付款","供应商退款"),IF(L2239&lt;&gt;"","费用支出","")))))</f>
      </c>
      <c r="P2239" s="78">
        <f>IF(O2239="","",IFERROR(INDEX(基础资料!$AE$5:$AE$34,MATCH(O2239,基础资料!$AC$5:$AC$34,0)),"未知"))</f>
      </c>
      <c r="Q2239" s="78">
        <f>IF(P2239="应收",COUNTIF(P$7:P2239,"应收"),"")</f>
      </c>
      <c r="R2239" s="78">
        <f>IF(P2239="应付",COUNTIF(P$7:P2239,"应付"),"")</f>
      </c>
      <c r="S2239" s="78">
        <f>N(F2239)-N(G2239)</f>
        <v>0</v>
      </c>
    </row>
    <row r="2240">
      <c r="A2240" s="109">
        <f>IF(AND(F2240="",G2240=""),"",ROW()-6)</f>
      </c>
      <c r="B2240" s="140" t="n"/>
      <c r="C2240" s="141" t="n"/>
      <c r="D2240" s="141" t="n"/>
      <c r="E2240" s="142" t="n"/>
      <c r="F2240" s="143" t="n"/>
      <c r="G2240" s="144" t="n"/>
      <c r="H2240" s="145">
        <f>IF(OR(C2240="",AND(F2240="",G2240="")),"",SUMIF(基础资料!$W$5:$W$24,C2240,基础资料!$X$5:$X$24)+SUMIF(C$7:C2240,C2240,F$7:F2240)-SUMIF(C$7:C2240,C2240,G$7:G2240))</f>
      </c>
      <c r="I2240" s="145">
        <f>IF(AND(F2240="",G2240=""),"",SUM(基础资料!$X$5:$X$24)+SUM(F$7:F2240)-SUM(G$7:G2240))</f>
      </c>
      <c r="J2240" s="141" t="n"/>
      <c r="K2240" s="141" t="n"/>
      <c r="L2240" s="141" t="n"/>
      <c r="M2240" s="142" t="n"/>
      <c r="N2240" s="146">
        <f>IF(AND(AND(F2240="",G2240=""),B2240="",C2240="",D2240="",J2240="",K2240="",L2240=""),"",IF(AND(F2240="",G2240=""),"✗ 没填金额",IF(AND(N(F2240)&lt;&gt;0,N(G2240)&lt;&gt;0),"✗ 收入、支出只能填一边",IF(NOT(ISNUMBER(B2240)),"✗ 日期不是真日期（要像 2026/9/25 这样填）",IF(OR(B2240&lt;年初日,B2240&gt;年末日),"✗ 日期不在本会计年度",IF(C2240="","✗ 没选账户",IF(COUNTIF(基础资料!$W$5:$W$24,C2240)=0,"✗ 账户不在基础资料里",IF(O2240="","✗ 没选收支项目",IF(P2240="未知","✗ 收支项目不在基础资料里",IF(AND(P2240="应收",J2240=""),"✗ 这笔要选客户",IF(AND(P2240="应收",COUNTIF(总览汇总!$B$5:$B$304,J2240)=0),"✗ 客户不在总览汇总名单里",IF(AND(P2240="应付",K2240=""),"✗ 这笔要选供应商",IF(AND(P2240="应付",COUNTIF(基础资料!$Q$5:$Q$54,K2240)=0),"✗ 供应商不在基础资料里",IF(AND(P2240="费用",L2240=""),"✗ 费用支出要选费用项目",IF(AND(L2240&lt;&gt;"",COUNTIF(基础资料!$AI$5:$AI$54,L2240)=0),"✗ 费用项目不在基础资料里",IF(AND(IFERROR(INDEX(基础资料!$AD$5:$AD$34,MATCH(O2240,基础资料!$AC$5:$AC$34,0)),"")="收",N(G2240)&lt;&gt;0),"✗ 这类是收款，金额填到收入列",IF(AND(IFERROR(INDEX(基础资料!$AD$5:$AD$34,MATCH(O2240,基础资料!$AC$5:$AC$34,0)),"")="支",N(F2240)&lt;&gt;0),"✗ 这类是付款，金额填到支出列",IF(N(H2240)&lt;0,"⚠ 账户余额成负数了，核对一下","√"))))))))))))))))))</f>
      </c>
      <c r="O2240" s="78">
        <f>IF(D2240&lt;&gt;"",D2240,IF(AND(F2240="",G2240=""),"",IF(J2240&lt;&gt;"",IF(N(F2240)&gt;0,"客户回款","客户退款"),IF(K2240&lt;&gt;"",IF(N(G2240)&gt;0,"供应商付款","供应商退款"),IF(L2240&lt;&gt;"","费用支出","")))))</f>
      </c>
      <c r="P2240" s="78">
        <f>IF(O2240="","",IFERROR(INDEX(基础资料!$AE$5:$AE$34,MATCH(O2240,基础资料!$AC$5:$AC$34,0)),"未知"))</f>
      </c>
      <c r="Q2240" s="78">
        <f>IF(P2240="应收",COUNTIF(P$7:P2240,"应收"),"")</f>
      </c>
      <c r="R2240" s="78">
        <f>IF(P2240="应付",COUNTIF(P$7:P2240,"应付"),"")</f>
      </c>
      <c r="S2240" s="78">
        <f>N(F2240)-N(G2240)</f>
        <v>0</v>
      </c>
    </row>
    <row r="2241">
      <c r="A2241" s="109">
        <f>IF(AND(F2241="",G2241=""),"",ROW()-6)</f>
      </c>
      <c r="B2241" s="140" t="n"/>
      <c r="C2241" s="141" t="n"/>
      <c r="D2241" s="141" t="n"/>
      <c r="E2241" s="142" t="n"/>
      <c r="F2241" s="143" t="n"/>
      <c r="G2241" s="144" t="n"/>
      <c r="H2241" s="145">
        <f>IF(OR(C2241="",AND(F2241="",G2241="")),"",SUMIF(基础资料!$W$5:$W$24,C2241,基础资料!$X$5:$X$24)+SUMIF(C$7:C2241,C2241,F$7:F2241)-SUMIF(C$7:C2241,C2241,G$7:G2241))</f>
      </c>
      <c r="I2241" s="145">
        <f>IF(AND(F2241="",G2241=""),"",SUM(基础资料!$X$5:$X$24)+SUM(F$7:F2241)-SUM(G$7:G2241))</f>
      </c>
      <c r="J2241" s="141" t="n"/>
      <c r="K2241" s="141" t="n"/>
      <c r="L2241" s="141" t="n"/>
      <c r="M2241" s="142" t="n"/>
      <c r="N2241" s="146">
        <f>IF(AND(AND(F2241="",G2241=""),B2241="",C2241="",D2241="",J2241="",K2241="",L2241=""),"",IF(AND(F2241="",G2241=""),"✗ 没填金额",IF(AND(N(F2241)&lt;&gt;0,N(G2241)&lt;&gt;0),"✗ 收入、支出只能填一边",IF(NOT(ISNUMBER(B2241)),"✗ 日期不是真日期（要像 2026/9/25 这样填）",IF(OR(B2241&lt;年初日,B2241&gt;年末日),"✗ 日期不在本会计年度",IF(C2241="","✗ 没选账户",IF(COUNTIF(基础资料!$W$5:$W$24,C2241)=0,"✗ 账户不在基础资料里",IF(O2241="","✗ 没选收支项目",IF(P2241="未知","✗ 收支项目不在基础资料里",IF(AND(P2241="应收",J2241=""),"✗ 这笔要选客户",IF(AND(P2241="应收",COUNTIF(总览汇总!$B$5:$B$304,J2241)=0),"✗ 客户不在总览汇总名单里",IF(AND(P2241="应付",K2241=""),"✗ 这笔要选供应商",IF(AND(P2241="应付",COUNTIF(基础资料!$Q$5:$Q$54,K2241)=0),"✗ 供应商不在基础资料里",IF(AND(P2241="费用",L2241=""),"✗ 费用支出要选费用项目",IF(AND(L2241&lt;&gt;"",COUNTIF(基础资料!$AI$5:$AI$54,L2241)=0),"✗ 费用项目不在基础资料里",IF(AND(IFERROR(INDEX(基础资料!$AD$5:$AD$34,MATCH(O2241,基础资料!$AC$5:$AC$34,0)),"")="收",N(G2241)&lt;&gt;0),"✗ 这类是收款，金额填到收入列",IF(AND(IFERROR(INDEX(基础资料!$AD$5:$AD$34,MATCH(O2241,基础资料!$AC$5:$AC$34,0)),"")="支",N(F2241)&lt;&gt;0),"✗ 这类是付款，金额填到支出列",IF(N(H2241)&lt;0,"⚠ 账户余额成负数了，核对一下","√"))))))))))))))))))</f>
      </c>
      <c r="O2241" s="78">
        <f>IF(D2241&lt;&gt;"",D2241,IF(AND(F2241="",G2241=""),"",IF(J2241&lt;&gt;"",IF(N(F2241)&gt;0,"客户回款","客户退款"),IF(K2241&lt;&gt;"",IF(N(G2241)&gt;0,"供应商付款","供应商退款"),IF(L2241&lt;&gt;"","费用支出","")))))</f>
      </c>
      <c r="P2241" s="78">
        <f>IF(O2241="","",IFERROR(INDEX(基础资料!$AE$5:$AE$34,MATCH(O2241,基础资料!$AC$5:$AC$34,0)),"未知"))</f>
      </c>
      <c r="Q2241" s="78">
        <f>IF(P2241="应收",COUNTIF(P$7:P2241,"应收"),"")</f>
      </c>
      <c r="R2241" s="78">
        <f>IF(P2241="应付",COUNTIF(P$7:P2241,"应付"),"")</f>
      </c>
      <c r="S2241" s="78">
        <f>N(F2241)-N(G2241)</f>
        <v>0</v>
      </c>
    </row>
    <row r="2242">
      <c r="A2242" s="109">
        <f>IF(AND(F2242="",G2242=""),"",ROW()-6)</f>
      </c>
      <c r="B2242" s="140" t="n"/>
      <c r="C2242" s="141" t="n"/>
      <c r="D2242" s="141" t="n"/>
      <c r="E2242" s="142" t="n"/>
      <c r="F2242" s="143" t="n"/>
      <c r="G2242" s="144" t="n"/>
      <c r="H2242" s="145">
        <f>IF(OR(C2242="",AND(F2242="",G2242="")),"",SUMIF(基础资料!$W$5:$W$24,C2242,基础资料!$X$5:$X$24)+SUMIF(C$7:C2242,C2242,F$7:F2242)-SUMIF(C$7:C2242,C2242,G$7:G2242))</f>
      </c>
      <c r="I2242" s="145">
        <f>IF(AND(F2242="",G2242=""),"",SUM(基础资料!$X$5:$X$24)+SUM(F$7:F2242)-SUM(G$7:G2242))</f>
      </c>
      <c r="J2242" s="141" t="n"/>
      <c r="K2242" s="141" t="n"/>
      <c r="L2242" s="141" t="n"/>
      <c r="M2242" s="142" t="n"/>
      <c r="N2242" s="146">
        <f>IF(AND(AND(F2242="",G2242=""),B2242="",C2242="",D2242="",J2242="",K2242="",L2242=""),"",IF(AND(F2242="",G2242=""),"✗ 没填金额",IF(AND(N(F2242)&lt;&gt;0,N(G2242)&lt;&gt;0),"✗ 收入、支出只能填一边",IF(NOT(ISNUMBER(B2242)),"✗ 日期不是真日期（要像 2026/9/25 这样填）",IF(OR(B2242&lt;年初日,B2242&gt;年末日),"✗ 日期不在本会计年度",IF(C2242="","✗ 没选账户",IF(COUNTIF(基础资料!$W$5:$W$24,C2242)=0,"✗ 账户不在基础资料里",IF(O2242="","✗ 没选收支项目",IF(P2242="未知","✗ 收支项目不在基础资料里",IF(AND(P2242="应收",J2242=""),"✗ 这笔要选客户",IF(AND(P2242="应收",COUNTIF(总览汇总!$B$5:$B$304,J2242)=0),"✗ 客户不在总览汇总名单里",IF(AND(P2242="应付",K2242=""),"✗ 这笔要选供应商",IF(AND(P2242="应付",COUNTIF(基础资料!$Q$5:$Q$54,K2242)=0),"✗ 供应商不在基础资料里",IF(AND(P2242="费用",L2242=""),"✗ 费用支出要选费用项目",IF(AND(L2242&lt;&gt;"",COUNTIF(基础资料!$AI$5:$AI$54,L2242)=0),"✗ 费用项目不在基础资料里",IF(AND(IFERROR(INDEX(基础资料!$AD$5:$AD$34,MATCH(O2242,基础资料!$AC$5:$AC$34,0)),"")="收",N(G2242)&lt;&gt;0),"✗ 这类是收款，金额填到收入列",IF(AND(IFERROR(INDEX(基础资料!$AD$5:$AD$34,MATCH(O2242,基础资料!$AC$5:$AC$34,0)),"")="支",N(F2242)&lt;&gt;0),"✗ 这类是付款，金额填到支出列",IF(N(H2242)&lt;0,"⚠ 账户余额成负数了，核对一下","√"))))))))))))))))))</f>
      </c>
      <c r="O2242" s="78">
        <f>IF(D2242&lt;&gt;"",D2242,IF(AND(F2242="",G2242=""),"",IF(J2242&lt;&gt;"",IF(N(F2242)&gt;0,"客户回款","客户退款"),IF(K2242&lt;&gt;"",IF(N(G2242)&gt;0,"供应商付款","供应商退款"),IF(L2242&lt;&gt;"","费用支出","")))))</f>
      </c>
      <c r="P2242" s="78">
        <f>IF(O2242="","",IFERROR(INDEX(基础资料!$AE$5:$AE$34,MATCH(O2242,基础资料!$AC$5:$AC$34,0)),"未知"))</f>
      </c>
      <c r="Q2242" s="78">
        <f>IF(P2242="应收",COUNTIF(P$7:P2242,"应收"),"")</f>
      </c>
      <c r="R2242" s="78">
        <f>IF(P2242="应付",COUNTIF(P$7:P2242,"应付"),"")</f>
      </c>
      <c r="S2242" s="78">
        <f>N(F2242)-N(G2242)</f>
        <v>0</v>
      </c>
    </row>
    <row r="2243">
      <c r="A2243" s="109">
        <f>IF(AND(F2243="",G2243=""),"",ROW()-6)</f>
      </c>
      <c r="B2243" s="140" t="n"/>
      <c r="C2243" s="141" t="n"/>
      <c r="D2243" s="141" t="n"/>
      <c r="E2243" s="142" t="n"/>
      <c r="F2243" s="143" t="n"/>
      <c r="G2243" s="144" t="n"/>
      <c r="H2243" s="145">
        <f>IF(OR(C2243="",AND(F2243="",G2243="")),"",SUMIF(基础资料!$W$5:$W$24,C2243,基础资料!$X$5:$X$24)+SUMIF(C$7:C2243,C2243,F$7:F2243)-SUMIF(C$7:C2243,C2243,G$7:G2243))</f>
      </c>
      <c r="I2243" s="145">
        <f>IF(AND(F2243="",G2243=""),"",SUM(基础资料!$X$5:$X$24)+SUM(F$7:F2243)-SUM(G$7:G2243))</f>
      </c>
      <c r="J2243" s="141" t="n"/>
      <c r="K2243" s="141" t="n"/>
      <c r="L2243" s="141" t="n"/>
      <c r="M2243" s="142" t="n"/>
      <c r="N2243" s="146">
        <f>IF(AND(AND(F2243="",G2243=""),B2243="",C2243="",D2243="",J2243="",K2243="",L2243=""),"",IF(AND(F2243="",G2243=""),"✗ 没填金额",IF(AND(N(F2243)&lt;&gt;0,N(G2243)&lt;&gt;0),"✗ 收入、支出只能填一边",IF(NOT(ISNUMBER(B2243)),"✗ 日期不是真日期（要像 2026/9/25 这样填）",IF(OR(B2243&lt;年初日,B2243&gt;年末日),"✗ 日期不在本会计年度",IF(C2243="","✗ 没选账户",IF(COUNTIF(基础资料!$W$5:$W$24,C2243)=0,"✗ 账户不在基础资料里",IF(O2243="","✗ 没选收支项目",IF(P2243="未知","✗ 收支项目不在基础资料里",IF(AND(P2243="应收",J2243=""),"✗ 这笔要选客户",IF(AND(P2243="应收",COUNTIF(总览汇总!$B$5:$B$304,J2243)=0),"✗ 客户不在总览汇总名单里",IF(AND(P2243="应付",K2243=""),"✗ 这笔要选供应商",IF(AND(P2243="应付",COUNTIF(基础资料!$Q$5:$Q$54,K2243)=0),"✗ 供应商不在基础资料里",IF(AND(P2243="费用",L2243=""),"✗ 费用支出要选费用项目",IF(AND(L2243&lt;&gt;"",COUNTIF(基础资料!$AI$5:$AI$54,L2243)=0),"✗ 费用项目不在基础资料里",IF(AND(IFERROR(INDEX(基础资料!$AD$5:$AD$34,MATCH(O2243,基础资料!$AC$5:$AC$34,0)),"")="收",N(G2243)&lt;&gt;0),"✗ 这类是收款，金额填到收入列",IF(AND(IFERROR(INDEX(基础资料!$AD$5:$AD$34,MATCH(O2243,基础资料!$AC$5:$AC$34,0)),"")="支",N(F2243)&lt;&gt;0),"✗ 这类是付款，金额填到支出列",IF(N(H2243)&lt;0,"⚠ 账户余额成负数了，核对一下","√"))))))))))))))))))</f>
      </c>
      <c r="O2243" s="78">
        <f>IF(D2243&lt;&gt;"",D2243,IF(AND(F2243="",G2243=""),"",IF(J2243&lt;&gt;"",IF(N(F2243)&gt;0,"客户回款","客户退款"),IF(K2243&lt;&gt;"",IF(N(G2243)&gt;0,"供应商付款","供应商退款"),IF(L2243&lt;&gt;"","费用支出","")))))</f>
      </c>
      <c r="P2243" s="78">
        <f>IF(O2243="","",IFERROR(INDEX(基础资料!$AE$5:$AE$34,MATCH(O2243,基础资料!$AC$5:$AC$34,0)),"未知"))</f>
      </c>
      <c r="Q2243" s="78">
        <f>IF(P2243="应收",COUNTIF(P$7:P2243,"应收"),"")</f>
      </c>
      <c r="R2243" s="78">
        <f>IF(P2243="应付",COUNTIF(P$7:P2243,"应付"),"")</f>
      </c>
      <c r="S2243" s="78">
        <f>N(F2243)-N(G2243)</f>
        <v>0</v>
      </c>
    </row>
    <row r="2244">
      <c r="A2244" s="109">
        <f>IF(AND(F2244="",G2244=""),"",ROW()-6)</f>
      </c>
      <c r="B2244" s="140" t="n"/>
      <c r="C2244" s="141" t="n"/>
      <c r="D2244" s="141" t="n"/>
      <c r="E2244" s="142" t="n"/>
      <c r="F2244" s="143" t="n"/>
      <c r="G2244" s="144" t="n"/>
      <c r="H2244" s="145">
        <f>IF(OR(C2244="",AND(F2244="",G2244="")),"",SUMIF(基础资料!$W$5:$W$24,C2244,基础资料!$X$5:$X$24)+SUMIF(C$7:C2244,C2244,F$7:F2244)-SUMIF(C$7:C2244,C2244,G$7:G2244))</f>
      </c>
      <c r="I2244" s="145">
        <f>IF(AND(F2244="",G2244=""),"",SUM(基础资料!$X$5:$X$24)+SUM(F$7:F2244)-SUM(G$7:G2244))</f>
      </c>
      <c r="J2244" s="141" t="n"/>
      <c r="K2244" s="141" t="n"/>
      <c r="L2244" s="141" t="n"/>
      <c r="M2244" s="142" t="n"/>
      <c r="N2244" s="146">
        <f>IF(AND(AND(F2244="",G2244=""),B2244="",C2244="",D2244="",J2244="",K2244="",L2244=""),"",IF(AND(F2244="",G2244=""),"✗ 没填金额",IF(AND(N(F2244)&lt;&gt;0,N(G2244)&lt;&gt;0),"✗ 收入、支出只能填一边",IF(NOT(ISNUMBER(B2244)),"✗ 日期不是真日期（要像 2026/9/25 这样填）",IF(OR(B2244&lt;年初日,B2244&gt;年末日),"✗ 日期不在本会计年度",IF(C2244="","✗ 没选账户",IF(COUNTIF(基础资料!$W$5:$W$24,C2244)=0,"✗ 账户不在基础资料里",IF(O2244="","✗ 没选收支项目",IF(P2244="未知","✗ 收支项目不在基础资料里",IF(AND(P2244="应收",J2244=""),"✗ 这笔要选客户",IF(AND(P2244="应收",COUNTIF(总览汇总!$B$5:$B$304,J2244)=0),"✗ 客户不在总览汇总名单里",IF(AND(P2244="应付",K2244=""),"✗ 这笔要选供应商",IF(AND(P2244="应付",COUNTIF(基础资料!$Q$5:$Q$54,K2244)=0),"✗ 供应商不在基础资料里",IF(AND(P2244="费用",L2244=""),"✗ 费用支出要选费用项目",IF(AND(L2244&lt;&gt;"",COUNTIF(基础资料!$AI$5:$AI$54,L2244)=0),"✗ 费用项目不在基础资料里",IF(AND(IFERROR(INDEX(基础资料!$AD$5:$AD$34,MATCH(O2244,基础资料!$AC$5:$AC$34,0)),"")="收",N(G2244)&lt;&gt;0),"✗ 这类是收款，金额填到收入列",IF(AND(IFERROR(INDEX(基础资料!$AD$5:$AD$34,MATCH(O2244,基础资料!$AC$5:$AC$34,0)),"")="支",N(F2244)&lt;&gt;0),"✗ 这类是付款，金额填到支出列",IF(N(H2244)&lt;0,"⚠ 账户余额成负数了，核对一下","√"))))))))))))))))))</f>
      </c>
      <c r="O2244" s="78">
        <f>IF(D2244&lt;&gt;"",D2244,IF(AND(F2244="",G2244=""),"",IF(J2244&lt;&gt;"",IF(N(F2244)&gt;0,"客户回款","客户退款"),IF(K2244&lt;&gt;"",IF(N(G2244)&gt;0,"供应商付款","供应商退款"),IF(L2244&lt;&gt;"","费用支出","")))))</f>
      </c>
      <c r="P2244" s="78">
        <f>IF(O2244="","",IFERROR(INDEX(基础资料!$AE$5:$AE$34,MATCH(O2244,基础资料!$AC$5:$AC$34,0)),"未知"))</f>
      </c>
      <c r="Q2244" s="78">
        <f>IF(P2244="应收",COUNTIF(P$7:P2244,"应收"),"")</f>
      </c>
      <c r="R2244" s="78">
        <f>IF(P2244="应付",COUNTIF(P$7:P2244,"应付"),"")</f>
      </c>
      <c r="S2244" s="78">
        <f>N(F2244)-N(G2244)</f>
        <v>0</v>
      </c>
    </row>
    <row r="2245">
      <c r="A2245" s="109">
        <f>IF(AND(F2245="",G2245=""),"",ROW()-6)</f>
      </c>
      <c r="B2245" s="140" t="n"/>
      <c r="C2245" s="141" t="n"/>
      <c r="D2245" s="141" t="n"/>
      <c r="E2245" s="142" t="n"/>
      <c r="F2245" s="143" t="n"/>
      <c r="G2245" s="144" t="n"/>
      <c r="H2245" s="145">
        <f>IF(OR(C2245="",AND(F2245="",G2245="")),"",SUMIF(基础资料!$W$5:$W$24,C2245,基础资料!$X$5:$X$24)+SUMIF(C$7:C2245,C2245,F$7:F2245)-SUMIF(C$7:C2245,C2245,G$7:G2245))</f>
      </c>
      <c r="I2245" s="145">
        <f>IF(AND(F2245="",G2245=""),"",SUM(基础资料!$X$5:$X$24)+SUM(F$7:F2245)-SUM(G$7:G2245))</f>
      </c>
      <c r="J2245" s="141" t="n"/>
      <c r="K2245" s="141" t="n"/>
      <c r="L2245" s="141" t="n"/>
      <c r="M2245" s="142" t="n"/>
      <c r="N2245" s="146">
        <f>IF(AND(AND(F2245="",G2245=""),B2245="",C2245="",D2245="",J2245="",K2245="",L2245=""),"",IF(AND(F2245="",G2245=""),"✗ 没填金额",IF(AND(N(F2245)&lt;&gt;0,N(G2245)&lt;&gt;0),"✗ 收入、支出只能填一边",IF(NOT(ISNUMBER(B2245)),"✗ 日期不是真日期（要像 2026/9/25 这样填）",IF(OR(B2245&lt;年初日,B2245&gt;年末日),"✗ 日期不在本会计年度",IF(C2245="","✗ 没选账户",IF(COUNTIF(基础资料!$W$5:$W$24,C2245)=0,"✗ 账户不在基础资料里",IF(O2245="","✗ 没选收支项目",IF(P2245="未知","✗ 收支项目不在基础资料里",IF(AND(P2245="应收",J2245=""),"✗ 这笔要选客户",IF(AND(P2245="应收",COUNTIF(总览汇总!$B$5:$B$304,J2245)=0),"✗ 客户不在总览汇总名单里",IF(AND(P2245="应付",K2245=""),"✗ 这笔要选供应商",IF(AND(P2245="应付",COUNTIF(基础资料!$Q$5:$Q$54,K2245)=0),"✗ 供应商不在基础资料里",IF(AND(P2245="费用",L2245=""),"✗ 费用支出要选费用项目",IF(AND(L2245&lt;&gt;"",COUNTIF(基础资料!$AI$5:$AI$54,L2245)=0),"✗ 费用项目不在基础资料里",IF(AND(IFERROR(INDEX(基础资料!$AD$5:$AD$34,MATCH(O2245,基础资料!$AC$5:$AC$34,0)),"")="收",N(G2245)&lt;&gt;0),"✗ 这类是收款，金额填到收入列",IF(AND(IFERROR(INDEX(基础资料!$AD$5:$AD$34,MATCH(O2245,基础资料!$AC$5:$AC$34,0)),"")="支",N(F2245)&lt;&gt;0),"✗ 这类是付款，金额填到支出列",IF(N(H2245)&lt;0,"⚠ 账户余额成负数了，核对一下","√"))))))))))))))))))</f>
      </c>
      <c r="O2245" s="78">
        <f>IF(D2245&lt;&gt;"",D2245,IF(AND(F2245="",G2245=""),"",IF(J2245&lt;&gt;"",IF(N(F2245)&gt;0,"客户回款","客户退款"),IF(K2245&lt;&gt;"",IF(N(G2245)&gt;0,"供应商付款","供应商退款"),IF(L2245&lt;&gt;"","费用支出","")))))</f>
      </c>
      <c r="P2245" s="78">
        <f>IF(O2245="","",IFERROR(INDEX(基础资料!$AE$5:$AE$34,MATCH(O2245,基础资料!$AC$5:$AC$34,0)),"未知"))</f>
      </c>
      <c r="Q2245" s="78">
        <f>IF(P2245="应收",COUNTIF(P$7:P2245,"应收"),"")</f>
      </c>
      <c r="R2245" s="78">
        <f>IF(P2245="应付",COUNTIF(P$7:P2245,"应付"),"")</f>
      </c>
      <c r="S2245" s="78">
        <f>N(F2245)-N(G2245)</f>
        <v>0</v>
      </c>
    </row>
    <row r="2246">
      <c r="A2246" s="109">
        <f>IF(AND(F2246="",G2246=""),"",ROW()-6)</f>
      </c>
      <c r="B2246" s="140" t="n"/>
      <c r="C2246" s="141" t="n"/>
      <c r="D2246" s="141" t="n"/>
      <c r="E2246" s="142" t="n"/>
      <c r="F2246" s="143" t="n"/>
      <c r="G2246" s="144" t="n"/>
      <c r="H2246" s="145">
        <f>IF(OR(C2246="",AND(F2246="",G2246="")),"",SUMIF(基础资料!$W$5:$W$24,C2246,基础资料!$X$5:$X$24)+SUMIF(C$7:C2246,C2246,F$7:F2246)-SUMIF(C$7:C2246,C2246,G$7:G2246))</f>
      </c>
      <c r="I2246" s="145">
        <f>IF(AND(F2246="",G2246=""),"",SUM(基础资料!$X$5:$X$24)+SUM(F$7:F2246)-SUM(G$7:G2246))</f>
      </c>
      <c r="J2246" s="141" t="n"/>
      <c r="K2246" s="141" t="n"/>
      <c r="L2246" s="141" t="n"/>
      <c r="M2246" s="142" t="n"/>
      <c r="N2246" s="146">
        <f>IF(AND(AND(F2246="",G2246=""),B2246="",C2246="",D2246="",J2246="",K2246="",L2246=""),"",IF(AND(F2246="",G2246=""),"✗ 没填金额",IF(AND(N(F2246)&lt;&gt;0,N(G2246)&lt;&gt;0),"✗ 收入、支出只能填一边",IF(NOT(ISNUMBER(B2246)),"✗ 日期不是真日期（要像 2026/9/25 这样填）",IF(OR(B2246&lt;年初日,B2246&gt;年末日),"✗ 日期不在本会计年度",IF(C2246="","✗ 没选账户",IF(COUNTIF(基础资料!$W$5:$W$24,C2246)=0,"✗ 账户不在基础资料里",IF(O2246="","✗ 没选收支项目",IF(P2246="未知","✗ 收支项目不在基础资料里",IF(AND(P2246="应收",J2246=""),"✗ 这笔要选客户",IF(AND(P2246="应收",COUNTIF(总览汇总!$B$5:$B$304,J2246)=0),"✗ 客户不在总览汇总名单里",IF(AND(P2246="应付",K2246=""),"✗ 这笔要选供应商",IF(AND(P2246="应付",COUNTIF(基础资料!$Q$5:$Q$54,K2246)=0),"✗ 供应商不在基础资料里",IF(AND(P2246="费用",L2246=""),"✗ 费用支出要选费用项目",IF(AND(L2246&lt;&gt;"",COUNTIF(基础资料!$AI$5:$AI$54,L2246)=0),"✗ 费用项目不在基础资料里",IF(AND(IFERROR(INDEX(基础资料!$AD$5:$AD$34,MATCH(O2246,基础资料!$AC$5:$AC$34,0)),"")="收",N(G2246)&lt;&gt;0),"✗ 这类是收款，金额填到收入列",IF(AND(IFERROR(INDEX(基础资料!$AD$5:$AD$34,MATCH(O2246,基础资料!$AC$5:$AC$34,0)),"")="支",N(F2246)&lt;&gt;0),"✗ 这类是付款，金额填到支出列",IF(N(H2246)&lt;0,"⚠ 账户余额成负数了，核对一下","√"))))))))))))))))))</f>
      </c>
      <c r="O2246" s="78">
        <f>IF(D2246&lt;&gt;"",D2246,IF(AND(F2246="",G2246=""),"",IF(J2246&lt;&gt;"",IF(N(F2246)&gt;0,"客户回款","客户退款"),IF(K2246&lt;&gt;"",IF(N(G2246)&gt;0,"供应商付款","供应商退款"),IF(L2246&lt;&gt;"","费用支出","")))))</f>
      </c>
      <c r="P2246" s="78">
        <f>IF(O2246="","",IFERROR(INDEX(基础资料!$AE$5:$AE$34,MATCH(O2246,基础资料!$AC$5:$AC$34,0)),"未知"))</f>
      </c>
      <c r="Q2246" s="78">
        <f>IF(P2246="应收",COUNTIF(P$7:P2246,"应收"),"")</f>
      </c>
      <c r="R2246" s="78">
        <f>IF(P2246="应付",COUNTIF(P$7:P2246,"应付"),"")</f>
      </c>
      <c r="S2246" s="78">
        <f>N(F2246)-N(G2246)</f>
        <v>0</v>
      </c>
    </row>
    <row r="2247">
      <c r="A2247" s="109">
        <f>IF(AND(F2247="",G2247=""),"",ROW()-6)</f>
      </c>
      <c r="B2247" s="140" t="n"/>
      <c r="C2247" s="141" t="n"/>
      <c r="D2247" s="141" t="n"/>
      <c r="E2247" s="142" t="n"/>
      <c r="F2247" s="143" t="n"/>
      <c r="G2247" s="144" t="n"/>
      <c r="H2247" s="145">
        <f>IF(OR(C2247="",AND(F2247="",G2247="")),"",SUMIF(基础资料!$W$5:$W$24,C2247,基础资料!$X$5:$X$24)+SUMIF(C$7:C2247,C2247,F$7:F2247)-SUMIF(C$7:C2247,C2247,G$7:G2247))</f>
      </c>
      <c r="I2247" s="145">
        <f>IF(AND(F2247="",G2247=""),"",SUM(基础资料!$X$5:$X$24)+SUM(F$7:F2247)-SUM(G$7:G2247))</f>
      </c>
      <c r="J2247" s="141" t="n"/>
      <c r="K2247" s="141" t="n"/>
      <c r="L2247" s="141" t="n"/>
      <c r="M2247" s="142" t="n"/>
      <c r="N2247" s="146">
        <f>IF(AND(AND(F2247="",G2247=""),B2247="",C2247="",D2247="",J2247="",K2247="",L2247=""),"",IF(AND(F2247="",G2247=""),"✗ 没填金额",IF(AND(N(F2247)&lt;&gt;0,N(G2247)&lt;&gt;0),"✗ 收入、支出只能填一边",IF(NOT(ISNUMBER(B2247)),"✗ 日期不是真日期（要像 2026/9/25 这样填）",IF(OR(B2247&lt;年初日,B2247&gt;年末日),"✗ 日期不在本会计年度",IF(C2247="","✗ 没选账户",IF(COUNTIF(基础资料!$W$5:$W$24,C2247)=0,"✗ 账户不在基础资料里",IF(O2247="","✗ 没选收支项目",IF(P2247="未知","✗ 收支项目不在基础资料里",IF(AND(P2247="应收",J2247=""),"✗ 这笔要选客户",IF(AND(P2247="应收",COUNTIF(总览汇总!$B$5:$B$304,J2247)=0),"✗ 客户不在总览汇总名单里",IF(AND(P2247="应付",K2247=""),"✗ 这笔要选供应商",IF(AND(P2247="应付",COUNTIF(基础资料!$Q$5:$Q$54,K2247)=0),"✗ 供应商不在基础资料里",IF(AND(P2247="费用",L2247=""),"✗ 费用支出要选费用项目",IF(AND(L2247&lt;&gt;"",COUNTIF(基础资料!$AI$5:$AI$54,L2247)=0),"✗ 费用项目不在基础资料里",IF(AND(IFERROR(INDEX(基础资料!$AD$5:$AD$34,MATCH(O2247,基础资料!$AC$5:$AC$34,0)),"")="收",N(G2247)&lt;&gt;0),"✗ 这类是收款，金额填到收入列",IF(AND(IFERROR(INDEX(基础资料!$AD$5:$AD$34,MATCH(O2247,基础资料!$AC$5:$AC$34,0)),"")="支",N(F2247)&lt;&gt;0),"✗ 这类是付款，金额填到支出列",IF(N(H2247)&lt;0,"⚠ 账户余额成负数了，核对一下","√"))))))))))))))))))</f>
      </c>
      <c r="O2247" s="78">
        <f>IF(D2247&lt;&gt;"",D2247,IF(AND(F2247="",G2247=""),"",IF(J2247&lt;&gt;"",IF(N(F2247)&gt;0,"客户回款","客户退款"),IF(K2247&lt;&gt;"",IF(N(G2247)&gt;0,"供应商付款","供应商退款"),IF(L2247&lt;&gt;"","费用支出","")))))</f>
      </c>
      <c r="P2247" s="78">
        <f>IF(O2247="","",IFERROR(INDEX(基础资料!$AE$5:$AE$34,MATCH(O2247,基础资料!$AC$5:$AC$34,0)),"未知"))</f>
      </c>
      <c r="Q2247" s="78">
        <f>IF(P2247="应收",COUNTIF(P$7:P2247,"应收"),"")</f>
      </c>
      <c r="R2247" s="78">
        <f>IF(P2247="应付",COUNTIF(P$7:P2247,"应付"),"")</f>
      </c>
      <c r="S2247" s="78">
        <f>N(F2247)-N(G2247)</f>
        <v>0</v>
      </c>
    </row>
    <row r="2248">
      <c r="A2248" s="109">
        <f>IF(AND(F2248="",G2248=""),"",ROW()-6)</f>
      </c>
      <c r="B2248" s="140" t="n"/>
      <c r="C2248" s="141" t="n"/>
      <c r="D2248" s="141" t="n"/>
      <c r="E2248" s="142" t="n"/>
      <c r="F2248" s="143" t="n"/>
      <c r="G2248" s="144" t="n"/>
      <c r="H2248" s="145">
        <f>IF(OR(C2248="",AND(F2248="",G2248="")),"",SUMIF(基础资料!$W$5:$W$24,C2248,基础资料!$X$5:$X$24)+SUMIF(C$7:C2248,C2248,F$7:F2248)-SUMIF(C$7:C2248,C2248,G$7:G2248))</f>
      </c>
      <c r="I2248" s="145">
        <f>IF(AND(F2248="",G2248=""),"",SUM(基础资料!$X$5:$X$24)+SUM(F$7:F2248)-SUM(G$7:G2248))</f>
      </c>
      <c r="J2248" s="141" t="n"/>
      <c r="K2248" s="141" t="n"/>
      <c r="L2248" s="141" t="n"/>
      <c r="M2248" s="142" t="n"/>
      <c r="N2248" s="146">
        <f>IF(AND(AND(F2248="",G2248=""),B2248="",C2248="",D2248="",J2248="",K2248="",L2248=""),"",IF(AND(F2248="",G2248=""),"✗ 没填金额",IF(AND(N(F2248)&lt;&gt;0,N(G2248)&lt;&gt;0),"✗ 收入、支出只能填一边",IF(NOT(ISNUMBER(B2248)),"✗ 日期不是真日期（要像 2026/9/25 这样填）",IF(OR(B2248&lt;年初日,B2248&gt;年末日),"✗ 日期不在本会计年度",IF(C2248="","✗ 没选账户",IF(COUNTIF(基础资料!$W$5:$W$24,C2248)=0,"✗ 账户不在基础资料里",IF(O2248="","✗ 没选收支项目",IF(P2248="未知","✗ 收支项目不在基础资料里",IF(AND(P2248="应收",J2248=""),"✗ 这笔要选客户",IF(AND(P2248="应收",COUNTIF(总览汇总!$B$5:$B$304,J2248)=0),"✗ 客户不在总览汇总名单里",IF(AND(P2248="应付",K2248=""),"✗ 这笔要选供应商",IF(AND(P2248="应付",COUNTIF(基础资料!$Q$5:$Q$54,K2248)=0),"✗ 供应商不在基础资料里",IF(AND(P2248="费用",L2248=""),"✗ 费用支出要选费用项目",IF(AND(L2248&lt;&gt;"",COUNTIF(基础资料!$AI$5:$AI$54,L2248)=0),"✗ 费用项目不在基础资料里",IF(AND(IFERROR(INDEX(基础资料!$AD$5:$AD$34,MATCH(O2248,基础资料!$AC$5:$AC$34,0)),"")="收",N(G2248)&lt;&gt;0),"✗ 这类是收款，金额填到收入列",IF(AND(IFERROR(INDEX(基础资料!$AD$5:$AD$34,MATCH(O2248,基础资料!$AC$5:$AC$34,0)),"")="支",N(F2248)&lt;&gt;0),"✗ 这类是付款，金额填到支出列",IF(N(H2248)&lt;0,"⚠ 账户余额成负数了，核对一下","√"))))))))))))))))))</f>
      </c>
      <c r="O2248" s="78">
        <f>IF(D2248&lt;&gt;"",D2248,IF(AND(F2248="",G2248=""),"",IF(J2248&lt;&gt;"",IF(N(F2248)&gt;0,"客户回款","客户退款"),IF(K2248&lt;&gt;"",IF(N(G2248)&gt;0,"供应商付款","供应商退款"),IF(L2248&lt;&gt;"","费用支出","")))))</f>
      </c>
      <c r="P2248" s="78">
        <f>IF(O2248="","",IFERROR(INDEX(基础资料!$AE$5:$AE$34,MATCH(O2248,基础资料!$AC$5:$AC$34,0)),"未知"))</f>
      </c>
      <c r="Q2248" s="78">
        <f>IF(P2248="应收",COUNTIF(P$7:P2248,"应收"),"")</f>
      </c>
      <c r="R2248" s="78">
        <f>IF(P2248="应付",COUNTIF(P$7:P2248,"应付"),"")</f>
      </c>
      <c r="S2248" s="78">
        <f>N(F2248)-N(G2248)</f>
        <v>0</v>
      </c>
    </row>
    <row r="2249">
      <c r="A2249" s="109">
        <f>IF(AND(F2249="",G2249=""),"",ROW()-6)</f>
      </c>
      <c r="B2249" s="140" t="n"/>
      <c r="C2249" s="141" t="n"/>
      <c r="D2249" s="141" t="n"/>
      <c r="E2249" s="142" t="n"/>
      <c r="F2249" s="143" t="n"/>
      <c r="G2249" s="144" t="n"/>
      <c r="H2249" s="145">
        <f>IF(OR(C2249="",AND(F2249="",G2249="")),"",SUMIF(基础资料!$W$5:$W$24,C2249,基础资料!$X$5:$X$24)+SUMIF(C$7:C2249,C2249,F$7:F2249)-SUMIF(C$7:C2249,C2249,G$7:G2249))</f>
      </c>
      <c r="I2249" s="145">
        <f>IF(AND(F2249="",G2249=""),"",SUM(基础资料!$X$5:$X$24)+SUM(F$7:F2249)-SUM(G$7:G2249))</f>
      </c>
      <c r="J2249" s="141" t="n"/>
      <c r="K2249" s="141" t="n"/>
      <c r="L2249" s="141" t="n"/>
      <c r="M2249" s="142" t="n"/>
      <c r="N2249" s="146">
        <f>IF(AND(AND(F2249="",G2249=""),B2249="",C2249="",D2249="",J2249="",K2249="",L2249=""),"",IF(AND(F2249="",G2249=""),"✗ 没填金额",IF(AND(N(F2249)&lt;&gt;0,N(G2249)&lt;&gt;0),"✗ 收入、支出只能填一边",IF(NOT(ISNUMBER(B2249)),"✗ 日期不是真日期（要像 2026/9/25 这样填）",IF(OR(B2249&lt;年初日,B2249&gt;年末日),"✗ 日期不在本会计年度",IF(C2249="","✗ 没选账户",IF(COUNTIF(基础资料!$W$5:$W$24,C2249)=0,"✗ 账户不在基础资料里",IF(O2249="","✗ 没选收支项目",IF(P2249="未知","✗ 收支项目不在基础资料里",IF(AND(P2249="应收",J2249=""),"✗ 这笔要选客户",IF(AND(P2249="应收",COUNTIF(总览汇总!$B$5:$B$304,J2249)=0),"✗ 客户不在总览汇总名单里",IF(AND(P2249="应付",K2249=""),"✗ 这笔要选供应商",IF(AND(P2249="应付",COUNTIF(基础资料!$Q$5:$Q$54,K2249)=0),"✗ 供应商不在基础资料里",IF(AND(P2249="费用",L2249=""),"✗ 费用支出要选费用项目",IF(AND(L2249&lt;&gt;"",COUNTIF(基础资料!$AI$5:$AI$54,L2249)=0),"✗ 费用项目不在基础资料里",IF(AND(IFERROR(INDEX(基础资料!$AD$5:$AD$34,MATCH(O2249,基础资料!$AC$5:$AC$34,0)),"")="收",N(G2249)&lt;&gt;0),"✗ 这类是收款，金额填到收入列",IF(AND(IFERROR(INDEX(基础资料!$AD$5:$AD$34,MATCH(O2249,基础资料!$AC$5:$AC$34,0)),"")="支",N(F2249)&lt;&gt;0),"✗ 这类是付款，金额填到支出列",IF(N(H2249)&lt;0,"⚠ 账户余额成负数了，核对一下","√"))))))))))))))))))</f>
      </c>
      <c r="O2249" s="78">
        <f>IF(D2249&lt;&gt;"",D2249,IF(AND(F2249="",G2249=""),"",IF(J2249&lt;&gt;"",IF(N(F2249)&gt;0,"客户回款","客户退款"),IF(K2249&lt;&gt;"",IF(N(G2249)&gt;0,"供应商付款","供应商退款"),IF(L2249&lt;&gt;"","费用支出","")))))</f>
      </c>
      <c r="P2249" s="78">
        <f>IF(O2249="","",IFERROR(INDEX(基础资料!$AE$5:$AE$34,MATCH(O2249,基础资料!$AC$5:$AC$34,0)),"未知"))</f>
      </c>
      <c r="Q2249" s="78">
        <f>IF(P2249="应收",COUNTIF(P$7:P2249,"应收"),"")</f>
      </c>
      <c r="R2249" s="78">
        <f>IF(P2249="应付",COUNTIF(P$7:P2249,"应付"),"")</f>
      </c>
      <c r="S2249" s="78">
        <f>N(F2249)-N(G2249)</f>
        <v>0</v>
      </c>
    </row>
    <row r="2250">
      <c r="A2250" s="109">
        <f>IF(AND(F2250="",G2250=""),"",ROW()-6)</f>
      </c>
      <c r="B2250" s="140" t="n"/>
      <c r="C2250" s="141" t="n"/>
      <c r="D2250" s="141" t="n"/>
      <c r="E2250" s="142" t="n"/>
      <c r="F2250" s="143" t="n"/>
      <c r="G2250" s="144" t="n"/>
      <c r="H2250" s="145">
        <f>IF(OR(C2250="",AND(F2250="",G2250="")),"",SUMIF(基础资料!$W$5:$W$24,C2250,基础资料!$X$5:$X$24)+SUMIF(C$7:C2250,C2250,F$7:F2250)-SUMIF(C$7:C2250,C2250,G$7:G2250))</f>
      </c>
      <c r="I2250" s="145">
        <f>IF(AND(F2250="",G2250=""),"",SUM(基础资料!$X$5:$X$24)+SUM(F$7:F2250)-SUM(G$7:G2250))</f>
      </c>
      <c r="J2250" s="141" t="n"/>
      <c r="K2250" s="141" t="n"/>
      <c r="L2250" s="141" t="n"/>
      <c r="M2250" s="142" t="n"/>
      <c r="N2250" s="146">
        <f>IF(AND(AND(F2250="",G2250=""),B2250="",C2250="",D2250="",J2250="",K2250="",L2250=""),"",IF(AND(F2250="",G2250=""),"✗ 没填金额",IF(AND(N(F2250)&lt;&gt;0,N(G2250)&lt;&gt;0),"✗ 收入、支出只能填一边",IF(NOT(ISNUMBER(B2250)),"✗ 日期不是真日期（要像 2026/9/25 这样填）",IF(OR(B2250&lt;年初日,B2250&gt;年末日),"✗ 日期不在本会计年度",IF(C2250="","✗ 没选账户",IF(COUNTIF(基础资料!$W$5:$W$24,C2250)=0,"✗ 账户不在基础资料里",IF(O2250="","✗ 没选收支项目",IF(P2250="未知","✗ 收支项目不在基础资料里",IF(AND(P2250="应收",J2250=""),"✗ 这笔要选客户",IF(AND(P2250="应收",COUNTIF(总览汇总!$B$5:$B$304,J2250)=0),"✗ 客户不在总览汇总名单里",IF(AND(P2250="应付",K2250=""),"✗ 这笔要选供应商",IF(AND(P2250="应付",COUNTIF(基础资料!$Q$5:$Q$54,K2250)=0),"✗ 供应商不在基础资料里",IF(AND(P2250="费用",L2250=""),"✗ 费用支出要选费用项目",IF(AND(L2250&lt;&gt;"",COUNTIF(基础资料!$AI$5:$AI$54,L2250)=0),"✗ 费用项目不在基础资料里",IF(AND(IFERROR(INDEX(基础资料!$AD$5:$AD$34,MATCH(O2250,基础资料!$AC$5:$AC$34,0)),"")="收",N(G2250)&lt;&gt;0),"✗ 这类是收款，金额填到收入列",IF(AND(IFERROR(INDEX(基础资料!$AD$5:$AD$34,MATCH(O2250,基础资料!$AC$5:$AC$34,0)),"")="支",N(F2250)&lt;&gt;0),"✗ 这类是付款，金额填到支出列",IF(N(H2250)&lt;0,"⚠ 账户余额成负数了，核对一下","√"))))))))))))))))))</f>
      </c>
      <c r="O2250" s="78">
        <f>IF(D2250&lt;&gt;"",D2250,IF(AND(F2250="",G2250=""),"",IF(J2250&lt;&gt;"",IF(N(F2250)&gt;0,"客户回款","客户退款"),IF(K2250&lt;&gt;"",IF(N(G2250)&gt;0,"供应商付款","供应商退款"),IF(L2250&lt;&gt;"","费用支出","")))))</f>
      </c>
      <c r="P2250" s="78">
        <f>IF(O2250="","",IFERROR(INDEX(基础资料!$AE$5:$AE$34,MATCH(O2250,基础资料!$AC$5:$AC$34,0)),"未知"))</f>
      </c>
      <c r="Q2250" s="78">
        <f>IF(P2250="应收",COUNTIF(P$7:P2250,"应收"),"")</f>
      </c>
      <c r="R2250" s="78">
        <f>IF(P2250="应付",COUNTIF(P$7:P2250,"应付"),"")</f>
      </c>
      <c r="S2250" s="78">
        <f>N(F2250)-N(G2250)</f>
        <v>0</v>
      </c>
    </row>
    <row r="2251">
      <c r="A2251" s="109">
        <f>IF(AND(F2251="",G2251=""),"",ROW()-6)</f>
      </c>
      <c r="B2251" s="140" t="n"/>
      <c r="C2251" s="141" t="n"/>
      <c r="D2251" s="141" t="n"/>
      <c r="E2251" s="142" t="n"/>
      <c r="F2251" s="143" t="n"/>
      <c r="G2251" s="144" t="n"/>
      <c r="H2251" s="145">
        <f>IF(OR(C2251="",AND(F2251="",G2251="")),"",SUMIF(基础资料!$W$5:$W$24,C2251,基础资料!$X$5:$X$24)+SUMIF(C$7:C2251,C2251,F$7:F2251)-SUMIF(C$7:C2251,C2251,G$7:G2251))</f>
      </c>
      <c r="I2251" s="145">
        <f>IF(AND(F2251="",G2251=""),"",SUM(基础资料!$X$5:$X$24)+SUM(F$7:F2251)-SUM(G$7:G2251))</f>
      </c>
      <c r="J2251" s="141" t="n"/>
      <c r="K2251" s="141" t="n"/>
      <c r="L2251" s="141" t="n"/>
      <c r="M2251" s="142" t="n"/>
      <c r="N2251" s="146">
        <f>IF(AND(AND(F2251="",G2251=""),B2251="",C2251="",D2251="",J2251="",K2251="",L2251=""),"",IF(AND(F2251="",G2251=""),"✗ 没填金额",IF(AND(N(F2251)&lt;&gt;0,N(G2251)&lt;&gt;0),"✗ 收入、支出只能填一边",IF(NOT(ISNUMBER(B2251)),"✗ 日期不是真日期（要像 2026/9/25 这样填）",IF(OR(B2251&lt;年初日,B2251&gt;年末日),"✗ 日期不在本会计年度",IF(C2251="","✗ 没选账户",IF(COUNTIF(基础资料!$W$5:$W$24,C2251)=0,"✗ 账户不在基础资料里",IF(O2251="","✗ 没选收支项目",IF(P2251="未知","✗ 收支项目不在基础资料里",IF(AND(P2251="应收",J2251=""),"✗ 这笔要选客户",IF(AND(P2251="应收",COUNTIF(总览汇总!$B$5:$B$304,J2251)=0),"✗ 客户不在总览汇总名单里",IF(AND(P2251="应付",K2251=""),"✗ 这笔要选供应商",IF(AND(P2251="应付",COUNTIF(基础资料!$Q$5:$Q$54,K2251)=0),"✗ 供应商不在基础资料里",IF(AND(P2251="费用",L2251=""),"✗ 费用支出要选费用项目",IF(AND(L2251&lt;&gt;"",COUNTIF(基础资料!$AI$5:$AI$54,L2251)=0),"✗ 费用项目不在基础资料里",IF(AND(IFERROR(INDEX(基础资料!$AD$5:$AD$34,MATCH(O2251,基础资料!$AC$5:$AC$34,0)),"")="收",N(G2251)&lt;&gt;0),"✗ 这类是收款，金额填到收入列",IF(AND(IFERROR(INDEX(基础资料!$AD$5:$AD$34,MATCH(O2251,基础资料!$AC$5:$AC$34,0)),"")="支",N(F2251)&lt;&gt;0),"✗ 这类是付款，金额填到支出列",IF(N(H2251)&lt;0,"⚠ 账户余额成负数了，核对一下","√"))))))))))))))))))</f>
      </c>
      <c r="O2251" s="78">
        <f>IF(D2251&lt;&gt;"",D2251,IF(AND(F2251="",G2251=""),"",IF(J2251&lt;&gt;"",IF(N(F2251)&gt;0,"客户回款","客户退款"),IF(K2251&lt;&gt;"",IF(N(G2251)&gt;0,"供应商付款","供应商退款"),IF(L2251&lt;&gt;"","费用支出","")))))</f>
      </c>
      <c r="P2251" s="78">
        <f>IF(O2251="","",IFERROR(INDEX(基础资料!$AE$5:$AE$34,MATCH(O2251,基础资料!$AC$5:$AC$34,0)),"未知"))</f>
      </c>
      <c r="Q2251" s="78">
        <f>IF(P2251="应收",COUNTIF(P$7:P2251,"应收"),"")</f>
      </c>
      <c r="R2251" s="78">
        <f>IF(P2251="应付",COUNTIF(P$7:P2251,"应付"),"")</f>
      </c>
      <c r="S2251" s="78">
        <f>N(F2251)-N(G2251)</f>
        <v>0</v>
      </c>
    </row>
    <row r="2252">
      <c r="A2252" s="109">
        <f>IF(AND(F2252="",G2252=""),"",ROW()-6)</f>
      </c>
      <c r="B2252" s="140" t="n"/>
      <c r="C2252" s="141" t="n"/>
      <c r="D2252" s="141" t="n"/>
      <c r="E2252" s="142" t="n"/>
      <c r="F2252" s="143" t="n"/>
      <c r="G2252" s="144" t="n"/>
      <c r="H2252" s="145">
        <f>IF(OR(C2252="",AND(F2252="",G2252="")),"",SUMIF(基础资料!$W$5:$W$24,C2252,基础资料!$X$5:$X$24)+SUMIF(C$7:C2252,C2252,F$7:F2252)-SUMIF(C$7:C2252,C2252,G$7:G2252))</f>
      </c>
      <c r="I2252" s="145">
        <f>IF(AND(F2252="",G2252=""),"",SUM(基础资料!$X$5:$X$24)+SUM(F$7:F2252)-SUM(G$7:G2252))</f>
      </c>
      <c r="J2252" s="141" t="n"/>
      <c r="K2252" s="141" t="n"/>
      <c r="L2252" s="141" t="n"/>
      <c r="M2252" s="142" t="n"/>
      <c r="N2252" s="146">
        <f>IF(AND(AND(F2252="",G2252=""),B2252="",C2252="",D2252="",J2252="",K2252="",L2252=""),"",IF(AND(F2252="",G2252=""),"✗ 没填金额",IF(AND(N(F2252)&lt;&gt;0,N(G2252)&lt;&gt;0),"✗ 收入、支出只能填一边",IF(NOT(ISNUMBER(B2252)),"✗ 日期不是真日期（要像 2026/9/25 这样填）",IF(OR(B2252&lt;年初日,B2252&gt;年末日),"✗ 日期不在本会计年度",IF(C2252="","✗ 没选账户",IF(COUNTIF(基础资料!$W$5:$W$24,C2252)=0,"✗ 账户不在基础资料里",IF(O2252="","✗ 没选收支项目",IF(P2252="未知","✗ 收支项目不在基础资料里",IF(AND(P2252="应收",J2252=""),"✗ 这笔要选客户",IF(AND(P2252="应收",COUNTIF(总览汇总!$B$5:$B$304,J2252)=0),"✗ 客户不在总览汇总名单里",IF(AND(P2252="应付",K2252=""),"✗ 这笔要选供应商",IF(AND(P2252="应付",COUNTIF(基础资料!$Q$5:$Q$54,K2252)=0),"✗ 供应商不在基础资料里",IF(AND(P2252="费用",L2252=""),"✗ 费用支出要选费用项目",IF(AND(L2252&lt;&gt;"",COUNTIF(基础资料!$AI$5:$AI$54,L2252)=0),"✗ 费用项目不在基础资料里",IF(AND(IFERROR(INDEX(基础资料!$AD$5:$AD$34,MATCH(O2252,基础资料!$AC$5:$AC$34,0)),"")="收",N(G2252)&lt;&gt;0),"✗ 这类是收款，金额填到收入列",IF(AND(IFERROR(INDEX(基础资料!$AD$5:$AD$34,MATCH(O2252,基础资料!$AC$5:$AC$34,0)),"")="支",N(F2252)&lt;&gt;0),"✗ 这类是付款，金额填到支出列",IF(N(H2252)&lt;0,"⚠ 账户余额成负数了，核对一下","√"))))))))))))))))))</f>
      </c>
      <c r="O2252" s="78">
        <f>IF(D2252&lt;&gt;"",D2252,IF(AND(F2252="",G2252=""),"",IF(J2252&lt;&gt;"",IF(N(F2252)&gt;0,"客户回款","客户退款"),IF(K2252&lt;&gt;"",IF(N(G2252)&gt;0,"供应商付款","供应商退款"),IF(L2252&lt;&gt;"","费用支出","")))))</f>
      </c>
      <c r="P2252" s="78">
        <f>IF(O2252="","",IFERROR(INDEX(基础资料!$AE$5:$AE$34,MATCH(O2252,基础资料!$AC$5:$AC$34,0)),"未知"))</f>
      </c>
      <c r="Q2252" s="78">
        <f>IF(P2252="应收",COUNTIF(P$7:P2252,"应收"),"")</f>
      </c>
      <c r="R2252" s="78">
        <f>IF(P2252="应付",COUNTIF(P$7:P2252,"应付"),"")</f>
      </c>
      <c r="S2252" s="78">
        <f>N(F2252)-N(G2252)</f>
        <v>0</v>
      </c>
    </row>
    <row r="2253">
      <c r="A2253" s="109">
        <f>IF(AND(F2253="",G2253=""),"",ROW()-6)</f>
      </c>
      <c r="B2253" s="140" t="n"/>
      <c r="C2253" s="141" t="n"/>
      <c r="D2253" s="141" t="n"/>
      <c r="E2253" s="142" t="n"/>
      <c r="F2253" s="143" t="n"/>
      <c r="G2253" s="144" t="n"/>
      <c r="H2253" s="145">
        <f>IF(OR(C2253="",AND(F2253="",G2253="")),"",SUMIF(基础资料!$W$5:$W$24,C2253,基础资料!$X$5:$X$24)+SUMIF(C$7:C2253,C2253,F$7:F2253)-SUMIF(C$7:C2253,C2253,G$7:G2253))</f>
      </c>
      <c r="I2253" s="145">
        <f>IF(AND(F2253="",G2253=""),"",SUM(基础资料!$X$5:$X$24)+SUM(F$7:F2253)-SUM(G$7:G2253))</f>
      </c>
      <c r="J2253" s="141" t="n"/>
      <c r="K2253" s="141" t="n"/>
      <c r="L2253" s="141" t="n"/>
      <c r="M2253" s="142" t="n"/>
      <c r="N2253" s="146">
        <f>IF(AND(AND(F2253="",G2253=""),B2253="",C2253="",D2253="",J2253="",K2253="",L2253=""),"",IF(AND(F2253="",G2253=""),"✗ 没填金额",IF(AND(N(F2253)&lt;&gt;0,N(G2253)&lt;&gt;0),"✗ 收入、支出只能填一边",IF(NOT(ISNUMBER(B2253)),"✗ 日期不是真日期（要像 2026/9/25 这样填）",IF(OR(B2253&lt;年初日,B2253&gt;年末日),"✗ 日期不在本会计年度",IF(C2253="","✗ 没选账户",IF(COUNTIF(基础资料!$W$5:$W$24,C2253)=0,"✗ 账户不在基础资料里",IF(O2253="","✗ 没选收支项目",IF(P2253="未知","✗ 收支项目不在基础资料里",IF(AND(P2253="应收",J2253=""),"✗ 这笔要选客户",IF(AND(P2253="应收",COUNTIF(总览汇总!$B$5:$B$304,J2253)=0),"✗ 客户不在总览汇总名单里",IF(AND(P2253="应付",K2253=""),"✗ 这笔要选供应商",IF(AND(P2253="应付",COUNTIF(基础资料!$Q$5:$Q$54,K2253)=0),"✗ 供应商不在基础资料里",IF(AND(P2253="费用",L2253=""),"✗ 费用支出要选费用项目",IF(AND(L2253&lt;&gt;"",COUNTIF(基础资料!$AI$5:$AI$54,L2253)=0),"✗ 费用项目不在基础资料里",IF(AND(IFERROR(INDEX(基础资料!$AD$5:$AD$34,MATCH(O2253,基础资料!$AC$5:$AC$34,0)),"")="收",N(G2253)&lt;&gt;0),"✗ 这类是收款，金额填到收入列",IF(AND(IFERROR(INDEX(基础资料!$AD$5:$AD$34,MATCH(O2253,基础资料!$AC$5:$AC$34,0)),"")="支",N(F2253)&lt;&gt;0),"✗ 这类是付款，金额填到支出列",IF(N(H2253)&lt;0,"⚠ 账户余额成负数了，核对一下","√"))))))))))))))))))</f>
      </c>
      <c r="O2253" s="78">
        <f>IF(D2253&lt;&gt;"",D2253,IF(AND(F2253="",G2253=""),"",IF(J2253&lt;&gt;"",IF(N(F2253)&gt;0,"客户回款","客户退款"),IF(K2253&lt;&gt;"",IF(N(G2253)&gt;0,"供应商付款","供应商退款"),IF(L2253&lt;&gt;"","费用支出","")))))</f>
      </c>
      <c r="P2253" s="78">
        <f>IF(O2253="","",IFERROR(INDEX(基础资料!$AE$5:$AE$34,MATCH(O2253,基础资料!$AC$5:$AC$34,0)),"未知"))</f>
      </c>
      <c r="Q2253" s="78">
        <f>IF(P2253="应收",COUNTIF(P$7:P2253,"应收"),"")</f>
      </c>
      <c r="R2253" s="78">
        <f>IF(P2253="应付",COUNTIF(P$7:P2253,"应付"),"")</f>
      </c>
      <c r="S2253" s="78">
        <f>N(F2253)-N(G2253)</f>
        <v>0</v>
      </c>
    </row>
    <row r="2254">
      <c r="A2254" s="109">
        <f>IF(AND(F2254="",G2254=""),"",ROW()-6)</f>
      </c>
      <c r="B2254" s="140" t="n"/>
      <c r="C2254" s="141" t="n"/>
      <c r="D2254" s="141" t="n"/>
      <c r="E2254" s="142" t="n"/>
      <c r="F2254" s="143" t="n"/>
      <c r="G2254" s="144" t="n"/>
      <c r="H2254" s="145">
        <f>IF(OR(C2254="",AND(F2254="",G2254="")),"",SUMIF(基础资料!$W$5:$W$24,C2254,基础资料!$X$5:$X$24)+SUMIF(C$7:C2254,C2254,F$7:F2254)-SUMIF(C$7:C2254,C2254,G$7:G2254))</f>
      </c>
      <c r="I2254" s="145">
        <f>IF(AND(F2254="",G2254=""),"",SUM(基础资料!$X$5:$X$24)+SUM(F$7:F2254)-SUM(G$7:G2254))</f>
      </c>
      <c r="J2254" s="141" t="n"/>
      <c r="K2254" s="141" t="n"/>
      <c r="L2254" s="141" t="n"/>
      <c r="M2254" s="142" t="n"/>
      <c r="N2254" s="146">
        <f>IF(AND(AND(F2254="",G2254=""),B2254="",C2254="",D2254="",J2254="",K2254="",L2254=""),"",IF(AND(F2254="",G2254=""),"✗ 没填金额",IF(AND(N(F2254)&lt;&gt;0,N(G2254)&lt;&gt;0),"✗ 收入、支出只能填一边",IF(NOT(ISNUMBER(B2254)),"✗ 日期不是真日期（要像 2026/9/25 这样填）",IF(OR(B2254&lt;年初日,B2254&gt;年末日),"✗ 日期不在本会计年度",IF(C2254="","✗ 没选账户",IF(COUNTIF(基础资料!$W$5:$W$24,C2254)=0,"✗ 账户不在基础资料里",IF(O2254="","✗ 没选收支项目",IF(P2254="未知","✗ 收支项目不在基础资料里",IF(AND(P2254="应收",J2254=""),"✗ 这笔要选客户",IF(AND(P2254="应收",COUNTIF(总览汇总!$B$5:$B$304,J2254)=0),"✗ 客户不在总览汇总名单里",IF(AND(P2254="应付",K2254=""),"✗ 这笔要选供应商",IF(AND(P2254="应付",COUNTIF(基础资料!$Q$5:$Q$54,K2254)=0),"✗ 供应商不在基础资料里",IF(AND(P2254="费用",L2254=""),"✗ 费用支出要选费用项目",IF(AND(L2254&lt;&gt;"",COUNTIF(基础资料!$AI$5:$AI$54,L2254)=0),"✗ 费用项目不在基础资料里",IF(AND(IFERROR(INDEX(基础资料!$AD$5:$AD$34,MATCH(O2254,基础资料!$AC$5:$AC$34,0)),"")="收",N(G2254)&lt;&gt;0),"✗ 这类是收款，金额填到收入列",IF(AND(IFERROR(INDEX(基础资料!$AD$5:$AD$34,MATCH(O2254,基础资料!$AC$5:$AC$34,0)),"")="支",N(F2254)&lt;&gt;0),"✗ 这类是付款，金额填到支出列",IF(N(H2254)&lt;0,"⚠ 账户余额成负数了，核对一下","√"))))))))))))))))))</f>
      </c>
      <c r="O2254" s="78">
        <f>IF(D2254&lt;&gt;"",D2254,IF(AND(F2254="",G2254=""),"",IF(J2254&lt;&gt;"",IF(N(F2254)&gt;0,"客户回款","客户退款"),IF(K2254&lt;&gt;"",IF(N(G2254)&gt;0,"供应商付款","供应商退款"),IF(L2254&lt;&gt;"","费用支出","")))))</f>
      </c>
      <c r="P2254" s="78">
        <f>IF(O2254="","",IFERROR(INDEX(基础资料!$AE$5:$AE$34,MATCH(O2254,基础资料!$AC$5:$AC$34,0)),"未知"))</f>
      </c>
      <c r="Q2254" s="78">
        <f>IF(P2254="应收",COUNTIF(P$7:P2254,"应收"),"")</f>
      </c>
      <c r="R2254" s="78">
        <f>IF(P2254="应付",COUNTIF(P$7:P2254,"应付"),"")</f>
      </c>
      <c r="S2254" s="78">
        <f>N(F2254)-N(G2254)</f>
        <v>0</v>
      </c>
    </row>
    <row r="2255">
      <c r="A2255" s="109">
        <f>IF(AND(F2255="",G2255=""),"",ROW()-6)</f>
      </c>
      <c r="B2255" s="140" t="n"/>
      <c r="C2255" s="141" t="n"/>
      <c r="D2255" s="141" t="n"/>
      <c r="E2255" s="142" t="n"/>
      <c r="F2255" s="143" t="n"/>
      <c r="G2255" s="144" t="n"/>
      <c r="H2255" s="145">
        <f>IF(OR(C2255="",AND(F2255="",G2255="")),"",SUMIF(基础资料!$W$5:$W$24,C2255,基础资料!$X$5:$X$24)+SUMIF(C$7:C2255,C2255,F$7:F2255)-SUMIF(C$7:C2255,C2255,G$7:G2255))</f>
      </c>
      <c r="I2255" s="145">
        <f>IF(AND(F2255="",G2255=""),"",SUM(基础资料!$X$5:$X$24)+SUM(F$7:F2255)-SUM(G$7:G2255))</f>
      </c>
      <c r="J2255" s="141" t="n"/>
      <c r="K2255" s="141" t="n"/>
      <c r="L2255" s="141" t="n"/>
      <c r="M2255" s="142" t="n"/>
      <c r="N2255" s="146">
        <f>IF(AND(AND(F2255="",G2255=""),B2255="",C2255="",D2255="",J2255="",K2255="",L2255=""),"",IF(AND(F2255="",G2255=""),"✗ 没填金额",IF(AND(N(F2255)&lt;&gt;0,N(G2255)&lt;&gt;0),"✗ 收入、支出只能填一边",IF(NOT(ISNUMBER(B2255)),"✗ 日期不是真日期（要像 2026/9/25 这样填）",IF(OR(B2255&lt;年初日,B2255&gt;年末日),"✗ 日期不在本会计年度",IF(C2255="","✗ 没选账户",IF(COUNTIF(基础资料!$W$5:$W$24,C2255)=0,"✗ 账户不在基础资料里",IF(O2255="","✗ 没选收支项目",IF(P2255="未知","✗ 收支项目不在基础资料里",IF(AND(P2255="应收",J2255=""),"✗ 这笔要选客户",IF(AND(P2255="应收",COUNTIF(总览汇总!$B$5:$B$304,J2255)=0),"✗ 客户不在总览汇总名单里",IF(AND(P2255="应付",K2255=""),"✗ 这笔要选供应商",IF(AND(P2255="应付",COUNTIF(基础资料!$Q$5:$Q$54,K2255)=0),"✗ 供应商不在基础资料里",IF(AND(P2255="费用",L2255=""),"✗ 费用支出要选费用项目",IF(AND(L2255&lt;&gt;"",COUNTIF(基础资料!$AI$5:$AI$54,L2255)=0),"✗ 费用项目不在基础资料里",IF(AND(IFERROR(INDEX(基础资料!$AD$5:$AD$34,MATCH(O2255,基础资料!$AC$5:$AC$34,0)),"")="收",N(G2255)&lt;&gt;0),"✗ 这类是收款，金额填到收入列",IF(AND(IFERROR(INDEX(基础资料!$AD$5:$AD$34,MATCH(O2255,基础资料!$AC$5:$AC$34,0)),"")="支",N(F2255)&lt;&gt;0),"✗ 这类是付款，金额填到支出列",IF(N(H2255)&lt;0,"⚠ 账户余额成负数了，核对一下","√"))))))))))))))))))</f>
      </c>
      <c r="O2255" s="78">
        <f>IF(D2255&lt;&gt;"",D2255,IF(AND(F2255="",G2255=""),"",IF(J2255&lt;&gt;"",IF(N(F2255)&gt;0,"客户回款","客户退款"),IF(K2255&lt;&gt;"",IF(N(G2255)&gt;0,"供应商付款","供应商退款"),IF(L2255&lt;&gt;"","费用支出","")))))</f>
      </c>
      <c r="P2255" s="78">
        <f>IF(O2255="","",IFERROR(INDEX(基础资料!$AE$5:$AE$34,MATCH(O2255,基础资料!$AC$5:$AC$34,0)),"未知"))</f>
      </c>
      <c r="Q2255" s="78">
        <f>IF(P2255="应收",COUNTIF(P$7:P2255,"应收"),"")</f>
      </c>
      <c r="R2255" s="78">
        <f>IF(P2255="应付",COUNTIF(P$7:P2255,"应付"),"")</f>
      </c>
      <c r="S2255" s="78">
        <f>N(F2255)-N(G2255)</f>
        <v>0</v>
      </c>
    </row>
    <row r="2256">
      <c r="A2256" s="109">
        <f>IF(AND(F2256="",G2256=""),"",ROW()-6)</f>
      </c>
      <c r="B2256" s="140" t="n"/>
      <c r="C2256" s="141" t="n"/>
      <c r="D2256" s="141" t="n"/>
      <c r="E2256" s="142" t="n"/>
      <c r="F2256" s="143" t="n"/>
      <c r="G2256" s="144" t="n"/>
      <c r="H2256" s="145">
        <f>IF(OR(C2256="",AND(F2256="",G2256="")),"",SUMIF(基础资料!$W$5:$W$24,C2256,基础资料!$X$5:$X$24)+SUMIF(C$7:C2256,C2256,F$7:F2256)-SUMIF(C$7:C2256,C2256,G$7:G2256))</f>
      </c>
      <c r="I2256" s="145">
        <f>IF(AND(F2256="",G2256=""),"",SUM(基础资料!$X$5:$X$24)+SUM(F$7:F2256)-SUM(G$7:G2256))</f>
      </c>
      <c r="J2256" s="141" t="n"/>
      <c r="K2256" s="141" t="n"/>
      <c r="L2256" s="141" t="n"/>
      <c r="M2256" s="142" t="n"/>
      <c r="N2256" s="146">
        <f>IF(AND(AND(F2256="",G2256=""),B2256="",C2256="",D2256="",J2256="",K2256="",L2256=""),"",IF(AND(F2256="",G2256=""),"✗ 没填金额",IF(AND(N(F2256)&lt;&gt;0,N(G2256)&lt;&gt;0),"✗ 收入、支出只能填一边",IF(NOT(ISNUMBER(B2256)),"✗ 日期不是真日期（要像 2026/9/25 这样填）",IF(OR(B2256&lt;年初日,B2256&gt;年末日),"✗ 日期不在本会计年度",IF(C2256="","✗ 没选账户",IF(COUNTIF(基础资料!$W$5:$W$24,C2256)=0,"✗ 账户不在基础资料里",IF(O2256="","✗ 没选收支项目",IF(P2256="未知","✗ 收支项目不在基础资料里",IF(AND(P2256="应收",J2256=""),"✗ 这笔要选客户",IF(AND(P2256="应收",COUNTIF(总览汇总!$B$5:$B$304,J2256)=0),"✗ 客户不在总览汇总名单里",IF(AND(P2256="应付",K2256=""),"✗ 这笔要选供应商",IF(AND(P2256="应付",COUNTIF(基础资料!$Q$5:$Q$54,K2256)=0),"✗ 供应商不在基础资料里",IF(AND(P2256="费用",L2256=""),"✗ 费用支出要选费用项目",IF(AND(L2256&lt;&gt;"",COUNTIF(基础资料!$AI$5:$AI$54,L2256)=0),"✗ 费用项目不在基础资料里",IF(AND(IFERROR(INDEX(基础资料!$AD$5:$AD$34,MATCH(O2256,基础资料!$AC$5:$AC$34,0)),"")="收",N(G2256)&lt;&gt;0),"✗ 这类是收款，金额填到收入列",IF(AND(IFERROR(INDEX(基础资料!$AD$5:$AD$34,MATCH(O2256,基础资料!$AC$5:$AC$34,0)),"")="支",N(F2256)&lt;&gt;0),"✗ 这类是付款，金额填到支出列",IF(N(H2256)&lt;0,"⚠ 账户余额成负数了，核对一下","√"))))))))))))))))))</f>
      </c>
      <c r="O2256" s="78">
        <f>IF(D2256&lt;&gt;"",D2256,IF(AND(F2256="",G2256=""),"",IF(J2256&lt;&gt;"",IF(N(F2256)&gt;0,"客户回款","客户退款"),IF(K2256&lt;&gt;"",IF(N(G2256)&gt;0,"供应商付款","供应商退款"),IF(L2256&lt;&gt;"","费用支出","")))))</f>
      </c>
      <c r="P2256" s="78">
        <f>IF(O2256="","",IFERROR(INDEX(基础资料!$AE$5:$AE$34,MATCH(O2256,基础资料!$AC$5:$AC$34,0)),"未知"))</f>
      </c>
      <c r="Q2256" s="78">
        <f>IF(P2256="应收",COUNTIF(P$7:P2256,"应收"),"")</f>
      </c>
      <c r="R2256" s="78">
        <f>IF(P2256="应付",COUNTIF(P$7:P2256,"应付"),"")</f>
      </c>
      <c r="S2256" s="78">
        <f>N(F2256)-N(G2256)</f>
        <v>0</v>
      </c>
    </row>
    <row r="2257">
      <c r="A2257" s="109">
        <f>IF(AND(F2257="",G2257=""),"",ROW()-6)</f>
      </c>
      <c r="B2257" s="140" t="n"/>
      <c r="C2257" s="141" t="n"/>
      <c r="D2257" s="141" t="n"/>
      <c r="E2257" s="142" t="n"/>
      <c r="F2257" s="143" t="n"/>
      <c r="G2257" s="144" t="n"/>
      <c r="H2257" s="145">
        <f>IF(OR(C2257="",AND(F2257="",G2257="")),"",SUMIF(基础资料!$W$5:$W$24,C2257,基础资料!$X$5:$X$24)+SUMIF(C$7:C2257,C2257,F$7:F2257)-SUMIF(C$7:C2257,C2257,G$7:G2257))</f>
      </c>
      <c r="I2257" s="145">
        <f>IF(AND(F2257="",G2257=""),"",SUM(基础资料!$X$5:$X$24)+SUM(F$7:F2257)-SUM(G$7:G2257))</f>
      </c>
      <c r="J2257" s="141" t="n"/>
      <c r="K2257" s="141" t="n"/>
      <c r="L2257" s="141" t="n"/>
      <c r="M2257" s="142" t="n"/>
      <c r="N2257" s="146">
        <f>IF(AND(AND(F2257="",G2257=""),B2257="",C2257="",D2257="",J2257="",K2257="",L2257=""),"",IF(AND(F2257="",G2257=""),"✗ 没填金额",IF(AND(N(F2257)&lt;&gt;0,N(G2257)&lt;&gt;0),"✗ 收入、支出只能填一边",IF(NOT(ISNUMBER(B2257)),"✗ 日期不是真日期（要像 2026/9/25 这样填）",IF(OR(B2257&lt;年初日,B2257&gt;年末日),"✗ 日期不在本会计年度",IF(C2257="","✗ 没选账户",IF(COUNTIF(基础资料!$W$5:$W$24,C2257)=0,"✗ 账户不在基础资料里",IF(O2257="","✗ 没选收支项目",IF(P2257="未知","✗ 收支项目不在基础资料里",IF(AND(P2257="应收",J2257=""),"✗ 这笔要选客户",IF(AND(P2257="应收",COUNTIF(总览汇总!$B$5:$B$304,J2257)=0),"✗ 客户不在总览汇总名单里",IF(AND(P2257="应付",K2257=""),"✗ 这笔要选供应商",IF(AND(P2257="应付",COUNTIF(基础资料!$Q$5:$Q$54,K2257)=0),"✗ 供应商不在基础资料里",IF(AND(P2257="费用",L2257=""),"✗ 费用支出要选费用项目",IF(AND(L2257&lt;&gt;"",COUNTIF(基础资料!$AI$5:$AI$54,L2257)=0),"✗ 费用项目不在基础资料里",IF(AND(IFERROR(INDEX(基础资料!$AD$5:$AD$34,MATCH(O2257,基础资料!$AC$5:$AC$34,0)),"")="收",N(G2257)&lt;&gt;0),"✗ 这类是收款，金额填到收入列",IF(AND(IFERROR(INDEX(基础资料!$AD$5:$AD$34,MATCH(O2257,基础资料!$AC$5:$AC$34,0)),"")="支",N(F2257)&lt;&gt;0),"✗ 这类是付款，金额填到支出列",IF(N(H2257)&lt;0,"⚠ 账户余额成负数了，核对一下","√"))))))))))))))))))</f>
      </c>
      <c r="O2257" s="78">
        <f>IF(D2257&lt;&gt;"",D2257,IF(AND(F2257="",G2257=""),"",IF(J2257&lt;&gt;"",IF(N(F2257)&gt;0,"客户回款","客户退款"),IF(K2257&lt;&gt;"",IF(N(G2257)&gt;0,"供应商付款","供应商退款"),IF(L2257&lt;&gt;"","费用支出","")))))</f>
      </c>
      <c r="P2257" s="78">
        <f>IF(O2257="","",IFERROR(INDEX(基础资料!$AE$5:$AE$34,MATCH(O2257,基础资料!$AC$5:$AC$34,0)),"未知"))</f>
      </c>
      <c r="Q2257" s="78">
        <f>IF(P2257="应收",COUNTIF(P$7:P2257,"应收"),"")</f>
      </c>
      <c r="R2257" s="78">
        <f>IF(P2257="应付",COUNTIF(P$7:P2257,"应付"),"")</f>
      </c>
      <c r="S2257" s="78">
        <f>N(F2257)-N(G2257)</f>
        <v>0</v>
      </c>
    </row>
    <row r="2258">
      <c r="A2258" s="109">
        <f>IF(AND(F2258="",G2258=""),"",ROW()-6)</f>
      </c>
      <c r="B2258" s="140" t="n"/>
      <c r="C2258" s="141" t="n"/>
      <c r="D2258" s="141" t="n"/>
      <c r="E2258" s="142" t="n"/>
      <c r="F2258" s="143" t="n"/>
      <c r="G2258" s="144" t="n"/>
      <c r="H2258" s="145">
        <f>IF(OR(C2258="",AND(F2258="",G2258="")),"",SUMIF(基础资料!$W$5:$W$24,C2258,基础资料!$X$5:$X$24)+SUMIF(C$7:C2258,C2258,F$7:F2258)-SUMIF(C$7:C2258,C2258,G$7:G2258))</f>
      </c>
      <c r="I2258" s="145">
        <f>IF(AND(F2258="",G2258=""),"",SUM(基础资料!$X$5:$X$24)+SUM(F$7:F2258)-SUM(G$7:G2258))</f>
      </c>
      <c r="J2258" s="141" t="n"/>
      <c r="K2258" s="141" t="n"/>
      <c r="L2258" s="141" t="n"/>
      <c r="M2258" s="142" t="n"/>
      <c r="N2258" s="146">
        <f>IF(AND(AND(F2258="",G2258=""),B2258="",C2258="",D2258="",J2258="",K2258="",L2258=""),"",IF(AND(F2258="",G2258=""),"✗ 没填金额",IF(AND(N(F2258)&lt;&gt;0,N(G2258)&lt;&gt;0),"✗ 收入、支出只能填一边",IF(NOT(ISNUMBER(B2258)),"✗ 日期不是真日期（要像 2026/9/25 这样填）",IF(OR(B2258&lt;年初日,B2258&gt;年末日),"✗ 日期不在本会计年度",IF(C2258="","✗ 没选账户",IF(COUNTIF(基础资料!$W$5:$W$24,C2258)=0,"✗ 账户不在基础资料里",IF(O2258="","✗ 没选收支项目",IF(P2258="未知","✗ 收支项目不在基础资料里",IF(AND(P2258="应收",J2258=""),"✗ 这笔要选客户",IF(AND(P2258="应收",COUNTIF(总览汇总!$B$5:$B$304,J2258)=0),"✗ 客户不在总览汇总名单里",IF(AND(P2258="应付",K2258=""),"✗ 这笔要选供应商",IF(AND(P2258="应付",COUNTIF(基础资料!$Q$5:$Q$54,K2258)=0),"✗ 供应商不在基础资料里",IF(AND(P2258="费用",L2258=""),"✗ 费用支出要选费用项目",IF(AND(L2258&lt;&gt;"",COUNTIF(基础资料!$AI$5:$AI$54,L2258)=0),"✗ 费用项目不在基础资料里",IF(AND(IFERROR(INDEX(基础资料!$AD$5:$AD$34,MATCH(O2258,基础资料!$AC$5:$AC$34,0)),"")="收",N(G2258)&lt;&gt;0),"✗ 这类是收款，金额填到收入列",IF(AND(IFERROR(INDEX(基础资料!$AD$5:$AD$34,MATCH(O2258,基础资料!$AC$5:$AC$34,0)),"")="支",N(F2258)&lt;&gt;0),"✗ 这类是付款，金额填到支出列",IF(N(H2258)&lt;0,"⚠ 账户余额成负数了，核对一下","√"))))))))))))))))))</f>
      </c>
      <c r="O2258" s="78">
        <f>IF(D2258&lt;&gt;"",D2258,IF(AND(F2258="",G2258=""),"",IF(J2258&lt;&gt;"",IF(N(F2258)&gt;0,"客户回款","客户退款"),IF(K2258&lt;&gt;"",IF(N(G2258)&gt;0,"供应商付款","供应商退款"),IF(L2258&lt;&gt;"","费用支出","")))))</f>
      </c>
      <c r="P2258" s="78">
        <f>IF(O2258="","",IFERROR(INDEX(基础资料!$AE$5:$AE$34,MATCH(O2258,基础资料!$AC$5:$AC$34,0)),"未知"))</f>
      </c>
      <c r="Q2258" s="78">
        <f>IF(P2258="应收",COUNTIF(P$7:P2258,"应收"),"")</f>
      </c>
      <c r="R2258" s="78">
        <f>IF(P2258="应付",COUNTIF(P$7:P2258,"应付"),"")</f>
      </c>
      <c r="S2258" s="78">
        <f>N(F2258)-N(G2258)</f>
        <v>0</v>
      </c>
    </row>
    <row r="2259">
      <c r="A2259" s="109">
        <f>IF(AND(F2259="",G2259=""),"",ROW()-6)</f>
      </c>
      <c r="B2259" s="140" t="n"/>
      <c r="C2259" s="141" t="n"/>
      <c r="D2259" s="141" t="n"/>
      <c r="E2259" s="142" t="n"/>
      <c r="F2259" s="143" t="n"/>
      <c r="G2259" s="144" t="n"/>
      <c r="H2259" s="145">
        <f>IF(OR(C2259="",AND(F2259="",G2259="")),"",SUMIF(基础资料!$W$5:$W$24,C2259,基础资料!$X$5:$X$24)+SUMIF(C$7:C2259,C2259,F$7:F2259)-SUMIF(C$7:C2259,C2259,G$7:G2259))</f>
      </c>
      <c r="I2259" s="145">
        <f>IF(AND(F2259="",G2259=""),"",SUM(基础资料!$X$5:$X$24)+SUM(F$7:F2259)-SUM(G$7:G2259))</f>
      </c>
      <c r="J2259" s="141" t="n"/>
      <c r="K2259" s="141" t="n"/>
      <c r="L2259" s="141" t="n"/>
      <c r="M2259" s="142" t="n"/>
      <c r="N2259" s="146">
        <f>IF(AND(AND(F2259="",G2259=""),B2259="",C2259="",D2259="",J2259="",K2259="",L2259=""),"",IF(AND(F2259="",G2259=""),"✗ 没填金额",IF(AND(N(F2259)&lt;&gt;0,N(G2259)&lt;&gt;0),"✗ 收入、支出只能填一边",IF(NOT(ISNUMBER(B2259)),"✗ 日期不是真日期（要像 2026/9/25 这样填）",IF(OR(B2259&lt;年初日,B2259&gt;年末日),"✗ 日期不在本会计年度",IF(C2259="","✗ 没选账户",IF(COUNTIF(基础资料!$W$5:$W$24,C2259)=0,"✗ 账户不在基础资料里",IF(O2259="","✗ 没选收支项目",IF(P2259="未知","✗ 收支项目不在基础资料里",IF(AND(P2259="应收",J2259=""),"✗ 这笔要选客户",IF(AND(P2259="应收",COUNTIF(总览汇总!$B$5:$B$304,J2259)=0),"✗ 客户不在总览汇总名单里",IF(AND(P2259="应付",K2259=""),"✗ 这笔要选供应商",IF(AND(P2259="应付",COUNTIF(基础资料!$Q$5:$Q$54,K2259)=0),"✗ 供应商不在基础资料里",IF(AND(P2259="费用",L2259=""),"✗ 费用支出要选费用项目",IF(AND(L2259&lt;&gt;"",COUNTIF(基础资料!$AI$5:$AI$54,L2259)=0),"✗ 费用项目不在基础资料里",IF(AND(IFERROR(INDEX(基础资料!$AD$5:$AD$34,MATCH(O2259,基础资料!$AC$5:$AC$34,0)),"")="收",N(G2259)&lt;&gt;0),"✗ 这类是收款，金额填到收入列",IF(AND(IFERROR(INDEX(基础资料!$AD$5:$AD$34,MATCH(O2259,基础资料!$AC$5:$AC$34,0)),"")="支",N(F2259)&lt;&gt;0),"✗ 这类是付款，金额填到支出列",IF(N(H2259)&lt;0,"⚠ 账户余额成负数了，核对一下","√"))))))))))))))))))</f>
      </c>
      <c r="O2259" s="78">
        <f>IF(D2259&lt;&gt;"",D2259,IF(AND(F2259="",G2259=""),"",IF(J2259&lt;&gt;"",IF(N(F2259)&gt;0,"客户回款","客户退款"),IF(K2259&lt;&gt;"",IF(N(G2259)&gt;0,"供应商付款","供应商退款"),IF(L2259&lt;&gt;"","费用支出","")))))</f>
      </c>
      <c r="P2259" s="78">
        <f>IF(O2259="","",IFERROR(INDEX(基础资料!$AE$5:$AE$34,MATCH(O2259,基础资料!$AC$5:$AC$34,0)),"未知"))</f>
      </c>
      <c r="Q2259" s="78">
        <f>IF(P2259="应收",COUNTIF(P$7:P2259,"应收"),"")</f>
      </c>
      <c r="R2259" s="78">
        <f>IF(P2259="应付",COUNTIF(P$7:P2259,"应付"),"")</f>
      </c>
      <c r="S2259" s="78">
        <f>N(F2259)-N(G2259)</f>
        <v>0</v>
      </c>
    </row>
    <row r="2260">
      <c r="A2260" s="109">
        <f>IF(AND(F2260="",G2260=""),"",ROW()-6)</f>
      </c>
      <c r="B2260" s="140" t="n"/>
      <c r="C2260" s="141" t="n"/>
      <c r="D2260" s="141" t="n"/>
      <c r="E2260" s="142" t="n"/>
      <c r="F2260" s="143" t="n"/>
      <c r="G2260" s="144" t="n"/>
      <c r="H2260" s="145">
        <f>IF(OR(C2260="",AND(F2260="",G2260="")),"",SUMIF(基础资料!$W$5:$W$24,C2260,基础资料!$X$5:$X$24)+SUMIF(C$7:C2260,C2260,F$7:F2260)-SUMIF(C$7:C2260,C2260,G$7:G2260))</f>
      </c>
      <c r="I2260" s="145">
        <f>IF(AND(F2260="",G2260=""),"",SUM(基础资料!$X$5:$X$24)+SUM(F$7:F2260)-SUM(G$7:G2260))</f>
      </c>
      <c r="J2260" s="141" t="n"/>
      <c r="K2260" s="141" t="n"/>
      <c r="L2260" s="141" t="n"/>
      <c r="M2260" s="142" t="n"/>
      <c r="N2260" s="146">
        <f>IF(AND(AND(F2260="",G2260=""),B2260="",C2260="",D2260="",J2260="",K2260="",L2260=""),"",IF(AND(F2260="",G2260=""),"✗ 没填金额",IF(AND(N(F2260)&lt;&gt;0,N(G2260)&lt;&gt;0),"✗ 收入、支出只能填一边",IF(NOT(ISNUMBER(B2260)),"✗ 日期不是真日期（要像 2026/9/25 这样填）",IF(OR(B2260&lt;年初日,B2260&gt;年末日),"✗ 日期不在本会计年度",IF(C2260="","✗ 没选账户",IF(COUNTIF(基础资料!$W$5:$W$24,C2260)=0,"✗ 账户不在基础资料里",IF(O2260="","✗ 没选收支项目",IF(P2260="未知","✗ 收支项目不在基础资料里",IF(AND(P2260="应收",J2260=""),"✗ 这笔要选客户",IF(AND(P2260="应收",COUNTIF(总览汇总!$B$5:$B$304,J2260)=0),"✗ 客户不在总览汇总名单里",IF(AND(P2260="应付",K2260=""),"✗ 这笔要选供应商",IF(AND(P2260="应付",COUNTIF(基础资料!$Q$5:$Q$54,K2260)=0),"✗ 供应商不在基础资料里",IF(AND(P2260="费用",L2260=""),"✗ 费用支出要选费用项目",IF(AND(L2260&lt;&gt;"",COUNTIF(基础资料!$AI$5:$AI$54,L2260)=0),"✗ 费用项目不在基础资料里",IF(AND(IFERROR(INDEX(基础资料!$AD$5:$AD$34,MATCH(O2260,基础资料!$AC$5:$AC$34,0)),"")="收",N(G2260)&lt;&gt;0),"✗ 这类是收款，金额填到收入列",IF(AND(IFERROR(INDEX(基础资料!$AD$5:$AD$34,MATCH(O2260,基础资料!$AC$5:$AC$34,0)),"")="支",N(F2260)&lt;&gt;0),"✗ 这类是付款，金额填到支出列",IF(N(H2260)&lt;0,"⚠ 账户余额成负数了，核对一下","√"))))))))))))))))))</f>
      </c>
      <c r="O2260" s="78">
        <f>IF(D2260&lt;&gt;"",D2260,IF(AND(F2260="",G2260=""),"",IF(J2260&lt;&gt;"",IF(N(F2260)&gt;0,"客户回款","客户退款"),IF(K2260&lt;&gt;"",IF(N(G2260)&gt;0,"供应商付款","供应商退款"),IF(L2260&lt;&gt;"","费用支出","")))))</f>
      </c>
      <c r="P2260" s="78">
        <f>IF(O2260="","",IFERROR(INDEX(基础资料!$AE$5:$AE$34,MATCH(O2260,基础资料!$AC$5:$AC$34,0)),"未知"))</f>
      </c>
      <c r="Q2260" s="78">
        <f>IF(P2260="应收",COUNTIF(P$7:P2260,"应收"),"")</f>
      </c>
      <c r="R2260" s="78">
        <f>IF(P2260="应付",COUNTIF(P$7:P2260,"应付"),"")</f>
      </c>
      <c r="S2260" s="78">
        <f>N(F2260)-N(G2260)</f>
        <v>0</v>
      </c>
    </row>
    <row r="2261">
      <c r="A2261" s="109">
        <f>IF(AND(F2261="",G2261=""),"",ROW()-6)</f>
      </c>
      <c r="B2261" s="140" t="n"/>
      <c r="C2261" s="141" t="n"/>
      <c r="D2261" s="141" t="n"/>
      <c r="E2261" s="142" t="n"/>
      <c r="F2261" s="143" t="n"/>
      <c r="G2261" s="144" t="n"/>
      <c r="H2261" s="145">
        <f>IF(OR(C2261="",AND(F2261="",G2261="")),"",SUMIF(基础资料!$W$5:$W$24,C2261,基础资料!$X$5:$X$24)+SUMIF(C$7:C2261,C2261,F$7:F2261)-SUMIF(C$7:C2261,C2261,G$7:G2261))</f>
      </c>
      <c r="I2261" s="145">
        <f>IF(AND(F2261="",G2261=""),"",SUM(基础资料!$X$5:$X$24)+SUM(F$7:F2261)-SUM(G$7:G2261))</f>
      </c>
      <c r="J2261" s="141" t="n"/>
      <c r="K2261" s="141" t="n"/>
      <c r="L2261" s="141" t="n"/>
      <c r="M2261" s="142" t="n"/>
      <c r="N2261" s="146">
        <f>IF(AND(AND(F2261="",G2261=""),B2261="",C2261="",D2261="",J2261="",K2261="",L2261=""),"",IF(AND(F2261="",G2261=""),"✗ 没填金额",IF(AND(N(F2261)&lt;&gt;0,N(G2261)&lt;&gt;0),"✗ 收入、支出只能填一边",IF(NOT(ISNUMBER(B2261)),"✗ 日期不是真日期（要像 2026/9/25 这样填）",IF(OR(B2261&lt;年初日,B2261&gt;年末日),"✗ 日期不在本会计年度",IF(C2261="","✗ 没选账户",IF(COUNTIF(基础资料!$W$5:$W$24,C2261)=0,"✗ 账户不在基础资料里",IF(O2261="","✗ 没选收支项目",IF(P2261="未知","✗ 收支项目不在基础资料里",IF(AND(P2261="应收",J2261=""),"✗ 这笔要选客户",IF(AND(P2261="应收",COUNTIF(总览汇总!$B$5:$B$304,J2261)=0),"✗ 客户不在总览汇总名单里",IF(AND(P2261="应付",K2261=""),"✗ 这笔要选供应商",IF(AND(P2261="应付",COUNTIF(基础资料!$Q$5:$Q$54,K2261)=0),"✗ 供应商不在基础资料里",IF(AND(P2261="费用",L2261=""),"✗ 费用支出要选费用项目",IF(AND(L2261&lt;&gt;"",COUNTIF(基础资料!$AI$5:$AI$54,L2261)=0),"✗ 费用项目不在基础资料里",IF(AND(IFERROR(INDEX(基础资料!$AD$5:$AD$34,MATCH(O2261,基础资料!$AC$5:$AC$34,0)),"")="收",N(G2261)&lt;&gt;0),"✗ 这类是收款，金额填到收入列",IF(AND(IFERROR(INDEX(基础资料!$AD$5:$AD$34,MATCH(O2261,基础资料!$AC$5:$AC$34,0)),"")="支",N(F2261)&lt;&gt;0),"✗ 这类是付款，金额填到支出列",IF(N(H2261)&lt;0,"⚠ 账户余额成负数了，核对一下","√"))))))))))))))))))</f>
      </c>
      <c r="O2261" s="78">
        <f>IF(D2261&lt;&gt;"",D2261,IF(AND(F2261="",G2261=""),"",IF(J2261&lt;&gt;"",IF(N(F2261)&gt;0,"客户回款","客户退款"),IF(K2261&lt;&gt;"",IF(N(G2261)&gt;0,"供应商付款","供应商退款"),IF(L2261&lt;&gt;"","费用支出","")))))</f>
      </c>
      <c r="P2261" s="78">
        <f>IF(O2261="","",IFERROR(INDEX(基础资料!$AE$5:$AE$34,MATCH(O2261,基础资料!$AC$5:$AC$34,0)),"未知"))</f>
      </c>
      <c r="Q2261" s="78">
        <f>IF(P2261="应收",COUNTIF(P$7:P2261,"应收"),"")</f>
      </c>
      <c r="R2261" s="78">
        <f>IF(P2261="应付",COUNTIF(P$7:P2261,"应付"),"")</f>
      </c>
      <c r="S2261" s="78">
        <f>N(F2261)-N(G2261)</f>
        <v>0</v>
      </c>
    </row>
    <row r="2262">
      <c r="A2262" s="109">
        <f>IF(AND(F2262="",G2262=""),"",ROW()-6)</f>
      </c>
      <c r="B2262" s="140" t="n"/>
      <c r="C2262" s="141" t="n"/>
      <c r="D2262" s="141" t="n"/>
      <c r="E2262" s="142" t="n"/>
      <c r="F2262" s="143" t="n"/>
      <c r="G2262" s="144" t="n"/>
      <c r="H2262" s="145">
        <f>IF(OR(C2262="",AND(F2262="",G2262="")),"",SUMIF(基础资料!$W$5:$W$24,C2262,基础资料!$X$5:$X$24)+SUMIF(C$7:C2262,C2262,F$7:F2262)-SUMIF(C$7:C2262,C2262,G$7:G2262))</f>
      </c>
      <c r="I2262" s="145">
        <f>IF(AND(F2262="",G2262=""),"",SUM(基础资料!$X$5:$X$24)+SUM(F$7:F2262)-SUM(G$7:G2262))</f>
      </c>
      <c r="J2262" s="141" t="n"/>
      <c r="K2262" s="141" t="n"/>
      <c r="L2262" s="141" t="n"/>
      <c r="M2262" s="142" t="n"/>
      <c r="N2262" s="146">
        <f>IF(AND(AND(F2262="",G2262=""),B2262="",C2262="",D2262="",J2262="",K2262="",L2262=""),"",IF(AND(F2262="",G2262=""),"✗ 没填金额",IF(AND(N(F2262)&lt;&gt;0,N(G2262)&lt;&gt;0),"✗ 收入、支出只能填一边",IF(NOT(ISNUMBER(B2262)),"✗ 日期不是真日期（要像 2026/9/25 这样填）",IF(OR(B2262&lt;年初日,B2262&gt;年末日),"✗ 日期不在本会计年度",IF(C2262="","✗ 没选账户",IF(COUNTIF(基础资料!$W$5:$W$24,C2262)=0,"✗ 账户不在基础资料里",IF(O2262="","✗ 没选收支项目",IF(P2262="未知","✗ 收支项目不在基础资料里",IF(AND(P2262="应收",J2262=""),"✗ 这笔要选客户",IF(AND(P2262="应收",COUNTIF(总览汇总!$B$5:$B$304,J2262)=0),"✗ 客户不在总览汇总名单里",IF(AND(P2262="应付",K2262=""),"✗ 这笔要选供应商",IF(AND(P2262="应付",COUNTIF(基础资料!$Q$5:$Q$54,K2262)=0),"✗ 供应商不在基础资料里",IF(AND(P2262="费用",L2262=""),"✗ 费用支出要选费用项目",IF(AND(L2262&lt;&gt;"",COUNTIF(基础资料!$AI$5:$AI$54,L2262)=0),"✗ 费用项目不在基础资料里",IF(AND(IFERROR(INDEX(基础资料!$AD$5:$AD$34,MATCH(O2262,基础资料!$AC$5:$AC$34,0)),"")="收",N(G2262)&lt;&gt;0),"✗ 这类是收款，金额填到收入列",IF(AND(IFERROR(INDEX(基础资料!$AD$5:$AD$34,MATCH(O2262,基础资料!$AC$5:$AC$34,0)),"")="支",N(F2262)&lt;&gt;0),"✗ 这类是付款，金额填到支出列",IF(N(H2262)&lt;0,"⚠ 账户余额成负数了，核对一下","√"))))))))))))))))))</f>
      </c>
      <c r="O2262" s="78">
        <f>IF(D2262&lt;&gt;"",D2262,IF(AND(F2262="",G2262=""),"",IF(J2262&lt;&gt;"",IF(N(F2262)&gt;0,"客户回款","客户退款"),IF(K2262&lt;&gt;"",IF(N(G2262)&gt;0,"供应商付款","供应商退款"),IF(L2262&lt;&gt;"","费用支出","")))))</f>
      </c>
      <c r="P2262" s="78">
        <f>IF(O2262="","",IFERROR(INDEX(基础资料!$AE$5:$AE$34,MATCH(O2262,基础资料!$AC$5:$AC$34,0)),"未知"))</f>
      </c>
      <c r="Q2262" s="78">
        <f>IF(P2262="应收",COUNTIF(P$7:P2262,"应收"),"")</f>
      </c>
      <c r="R2262" s="78">
        <f>IF(P2262="应付",COUNTIF(P$7:P2262,"应付"),"")</f>
      </c>
      <c r="S2262" s="78">
        <f>N(F2262)-N(G2262)</f>
        <v>0</v>
      </c>
    </row>
    <row r="2263">
      <c r="A2263" s="109">
        <f>IF(AND(F2263="",G2263=""),"",ROW()-6)</f>
      </c>
      <c r="B2263" s="140" t="n"/>
      <c r="C2263" s="141" t="n"/>
      <c r="D2263" s="141" t="n"/>
      <c r="E2263" s="142" t="n"/>
      <c r="F2263" s="143" t="n"/>
      <c r="G2263" s="144" t="n"/>
      <c r="H2263" s="145">
        <f>IF(OR(C2263="",AND(F2263="",G2263="")),"",SUMIF(基础资料!$W$5:$W$24,C2263,基础资料!$X$5:$X$24)+SUMIF(C$7:C2263,C2263,F$7:F2263)-SUMIF(C$7:C2263,C2263,G$7:G2263))</f>
      </c>
      <c r="I2263" s="145">
        <f>IF(AND(F2263="",G2263=""),"",SUM(基础资料!$X$5:$X$24)+SUM(F$7:F2263)-SUM(G$7:G2263))</f>
      </c>
      <c r="J2263" s="141" t="n"/>
      <c r="K2263" s="141" t="n"/>
      <c r="L2263" s="141" t="n"/>
      <c r="M2263" s="142" t="n"/>
      <c r="N2263" s="146">
        <f>IF(AND(AND(F2263="",G2263=""),B2263="",C2263="",D2263="",J2263="",K2263="",L2263=""),"",IF(AND(F2263="",G2263=""),"✗ 没填金额",IF(AND(N(F2263)&lt;&gt;0,N(G2263)&lt;&gt;0),"✗ 收入、支出只能填一边",IF(NOT(ISNUMBER(B2263)),"✗ 日期不是真日期（要像 2026/9/25 这样填）",IF(OR(B2263&lt;年初日,B2263&gt;年末日),"✗ 日期不在本会计年度",IF(C2263="","✗ 没选账户",IF(COUNTIF(基础资料!$W$5:$W$24,C2263)=0,"✗ 账户不在基础资料里",IF(O2263="","✗ 没选收支项目",IF(P2263="未知","✗ 收支项目不在基础资料里",IF(AND(P2263="应收",J2263=""),"✗ 这笔要选客户",IF(AND(P2263="应收",COUNTIF(总览汇总!$B$5:$B$304,J2263)=0),"✗ 客户不在总览汇总名单里",IF(AND(P2263="应付",K2263=""),"✗ 这笔要选供应商",IF(AND(P2263="应付",COUNTIF(基础资料!$Q$5:$Q$54,K2263)=0),"✗ 供应商不在基础资料里",IF(AND(P2263="费用",L2263=""),"✗ 费用支出要选费用项目",IF(AND(L2263&lt;&gt;"",COUNTIF(基础资料!$AI$5:$AI$54,L2263)=0),"✗ 费用项目不在基础资料里",IF(AND(IFERROR(INDEX(基础资料!$AD$5:$AD$34,MATCH(O2263,基础资料!$AC$5:$AC$34,0)),"")="收",N(G2263)&lt;&gt;0),"✗ 这类是收款，金额填到收入列",IF(AND(IFERROR(INDEX(基础资料!$AD$5:$AD$34,MATCH(O2263,基础资料!$AC$5:$AC$34,0)),"")="支",N(F2263)&lt;&gt;0),"✗ 这类是付款，金额填到支出列",IF(N(H2263)&lt;0,"⚠ 账户余额成负数了，核对一下","√"))))))))))))))))))</f>
      </c>
      <c r="O2263" s="78">
        <f>IF(D2263&lt;&gt;"",D2263,IF(AND(F2263="",G2263=""),"",IF(J2263&lt;&gt;"",IF(N(F2263)&gt;0,"客户回款","客户退款"),IF(K2263&lt;&gt;"",IF(N(G2263)&gt;0,"供应商付款","供应商退款"),IF(L2263&lt;&gt;"","费用支出","")))))</f>
      </c>
      <c r="P2263" s="78">
        <f>IF(O2263="","",IFERROR(INDEX(基础资料!$AE$5:$AE$34,MATCH(O2263,基础资料!$AC$5:$AC$34,0)),"未知"))</f>
      </c>
      <c r="Q2263" s="78">
        <f>IF(P2263="应收",COUNTIF(P$7:P2263,"应收"),"")</f>
      </c>
      <c r="R2263" s="78">
        <f>IF(P2263="应付",COUNTIF(P$7:P2263,"应付"),"")</f>
      </c>
      <c r="S2263" s="78">
        <f>N(F2263)-N(G2263)</f>
        <v>0</v>
      </c>
    </row>
    <row r="2264">
      <c r="A2264" s="109">
        <f>IF(AND(F2264="",G2264=""),"",ROW()-6)</f>
      </c>
      <c r="B2264" s="140" t="n"/>
      <c r="C2264" s="141" t="n"/>
      <c r="D2264" s="141" t="n"/>
      <c r="E2264" s="142" t="n"/>
      <c r="F2264" s="143" t="n"/>
      <c r="G2264" s="144" t="n"/>
      <c r="H2264" s="145">
        <f>IF(OR(C2264="",AND(F2264="",G2264="")),"",SUMIF(基础资料!$W$5:$W$24,C2264,基础资料!$X$5:$X$24)+SUMIF(C$7:C2264,C2264,F$7:F2264)-SUMIF(C$7:C2264,C2264,G$7:G2264))</f>
      </c>
      <c r="I2264" s="145">
        <f>IF(AND(F2264="",G2264=""),"",SUM(基础资料!$X$5:$X$24)+SUM(F$7:F2264)-SUM(G$7:G2264))</f>
      </c>
      <c r="J2264" s="141" t="n"/>
      <c r="K2264" s="141" t="n"/>
      <c r="L2264" s="141" t="n"/>
      <c r="M2264" s="142" t="n"/>
      <c r="N2264" s="146">
        <f>IF(AND(AND(F2264="",G2264=""),B2264="",C2264="",D2264="",J2264="",K2264="",L2264=""),"",IF(AND(F2264="",G2264=""),"✗ 没填金额",IF(AND(N(F2264)&lt;&gt;0,N(G2264)&lt;&gt;0),"✗ 收入、支出只能填一边",IF(NOT(ISNUMBER(B2264)),"✗ 日期不是真日期（要像 2026/9/25 这样填）",IF(OR(B2264&lt;年初日,B2264&gt;年末日),"✗ 日期不在本会计年度",IF(C2264="","✗ 没选账户",IF(COUNTIF(基础资料!$W$5:$W$24,C2264)=0,"✗ 账户不在基础资料里",IF(O2264="","✗ 没选收支项目",IF(P2264="未知","✗ 收支项目不在基础资料里",IF(AND(P2264="应收",J2264=""),"✗ 这笔要选客户",IF(AND(P2264="应收",COUNTIF(总览汇总!$B$5:$B$304,J2264)=0),"✗ 客户不在总览汇总名单里",IF(AND(P2264="应付",K2264=""),"✗ 这笔要选供应商",IF(AND(P2264="应付",COUNTIF(基础资料!$Q$5:$Q$54,K2264)=0),"✗ 供应商不在基础资料里",IF(AND(P2264="费用",L2264=""),"✗ 费用支出要选费用项目",IF(AND(L2264&lt;&gt;"",COUNTIF(基础资料!$AI$5:$AI$54,L2264)=0),"✗ 费用项目不在基础资料里",IF(AND(IFERROR(INDEX(基础资料!$AD$5:$AD$34,MATCH(O2264,基础资料!$AC$5:$AC$34,0)),"")="收",N(G2264)&lt;&gt;0),"✗ 这类是收款，金额填到收入列",IF(AND(IFERROR(INDEX(基础资料!$AD$5:$AD$34,MATCH(O2264,基础资料!$AC$5:$AC$34,0)),"")="支",N(F2264)&lt;&gt;0),"✗ 这类是付款，金额填到支出列",IF(N(H2264)&lt;0,"⚠ 账户余额成负数了，核对一下","√"))))))))))))))))))</f>
      </c>
      <c r="O2264" s="78">
        <f>IF(D2264&lt;&gt;"",D2264,IF(AND(F2264="",G2264=""),"",IF(J2264&lt;&gt;"",IF(N(F2264)&gt;0,"客户回款","客户退款"),IF(K2264&lt;&gt;"",IF(N(G2264)&gt;0,"供应商付款","供应商退款"),IF(L2264&lt;&gt;"","费用支出","")))))</f>
      </c>
      <c r="P2264" s="78">
        <f>IF(O2264="","",IFERROR(INDEX(基础资料!$AE$5:$AE$34,MATCH(O2264,基础资料!$AC$5:$AC$34,0)),"未知"))</f>
      </c>
      <c r="Q2264" s="78">
        <f>IF(P2264="应收",COUNTIF(P$7:P2264,"应收"),"")</f>
      </c>
      <c r="R2264" s="78">
        <f>IF(P2264="应付",COUNTIF(P$7:P2264,"应付"),"")</f>
      </c>
      <c r="S2264" s="78">
        <f>N(F2264)-N(G2264)</f>
        <v>0</v>
      </c>
    </row>
    <row r="2265">
      <c r="A2265" s="109">
        <f>IF(AND(F2265="",G2265=""),"",ROW()-6)</f>
      </c>
      <c r="B2265" s="140" t="n"/>
      <c r="C2265" s="141" t="n"/>
      <c r="D2265" s="141" t="n"/>
      <c r="E2265" s="142" t="n"/>
      <c r="F2265" s="143" t="n"/>
      <c r="G2265" s="144" t="n"/>
      <c r="H2265" s="145">
        <f>IF(OR(C2265="",AND(F2265="",G2265="")),"",SUMIF(基础资料!$W$5:$W$24,C2265,基础资料!$X$5:$X$24)+SUMIF(C$7:C2265,C2265,F$7:F2265)-SUMIF(C$7:C2265,C2265,G$7:G2265))</f>
      </c>
      <c r="I2265" s="145">
        <f>IF(AND(F2265="",G2265=""),"",SUM(基础资料!$X$5:$X$24)+SUM(F$7:F2265)-SUM(G$7:G2265))</f>
      </c>
      <c r="J2265" s="141" t="n"/>
      <c r="K2265" s="141" t="n"/>
      <c r="L2265" s="141" t="n"/>
      <c r="M2265" s="142" t="n"/>
      <c r="N2265" s="146">
        <f>IF(AND(AND(F2265="",G2265=""),B2265="",C2265="",D2265="",J2265="",K2265="",L2265=""),"",IF(AND(F2265="",G2265=""),"✗ 没填金额",IF(AND(N(F2265)&lt;&gt;0,N(G2265)&lt;&gt;0),"✗ 收入、支出只能填一边",IF(NOT(ISNUMBER(B2265)),"✗ 日期不是真日期（要像 2026/9/25 这样填）",IF(OR(B2265&lt;年初日,B2265&gt;年末日),"✗ 日期不在本会计年度",IF(C2265="","✗ 没选账户",IF(COUNTIF(基础资料!$W$5:$W$24,C2265)=0,"✗ 账户不在基础资料里",IF(O2265="","✗ 没选收支项目",IF(P2265="未知","✗ 收支项目不在基础资料里",IF(AND(P2265="应收",J2265=""),"✗ 这笔要选客户",IF(AND(P2265="应收",COUNTIF(总览汇总!$B$5:$B$304,J2265)=0),"✗ 客户不在总览汇总名单里",IF(AND(P2265="应付",K2265=""),"✗ 这笔要选供应商",IF(AND(P2265="应付",COUNTIF(基础资料!$Q$5:$Q$54,K2265)=0),"✗ 供应商不在基础资料里",IF(AND(P2265="费用",L2265=""),"✗ 费用支出要选费用项目",IF(AND(L2265&lt;&gt;"",COUNTIF(基础资料!$AI$5:$AI$54,L2265)=0),"✗ 费用项目不在基础资料里",IF(AND(IFERROR(INDEX(基础资料!$AD$5:$AD$34,MATCH(O2265,基础资料!$AC$5:$AC$34,0)),"")="收",N(G2265)&lt;&gt;0),"✗ 这类是收款，金额填到收入列",IF(AND(IFERROR(INDEX(基础资料!$AD$5:$AD$34,MATCH(O2265,基础资料!$AC$5:$AC$34,0)),"")="支",N(F2265)&lt;&gt;0),"✗ 这类是付款，金额填到支出列",IF(N(H2265)&lt;0,"⚠ 账户余额成负数了，核对一下","√"))))))))))))))))))</f>
      </c>
      <c r="O2265" s="78">
        <f>IF(D2265&lt;&gt;"",D2265,IF(AND(F2265="",G2265=""),"",IF(J2265&lt;&gt;"",IF(N(F2265)&gt;0,"客户回款","客户退款"),IF(K2265&lt;&gt;"",IF(N(G2265)&gt;0,"供应商付款","供应商退款"),IF(L2265&lt;&gt;"","费用支出","")))))</f>
      </c>
      <c r="P2265" s="78">
        <f>IF(O2265="","",IFERROR(INDEX(基础资料!$AE$5:$AE$34,MATCH(O2265,基础资料!$AC$5:$AC$34,0)),"未知"))</f>
      </c>
      <c r="Q2265" s="78">
        <f>IF(P2265="应收",COUNTIF(P$7:P2265,"应收"),"")</f>
      </c>
      <c r="R2265" s="78">
        <f>IF(P2265="应付",COUNTIF(P$7:P2265,"应付"),"")</f>
      </c>
      <c r="S2265" s="78">
        <f>N(F2265)-N(G2265)</f>
        <v>0</v>
      </c>
    </row>
    <row r="2266">
      <c r="A2266" s="109">
        <f>IF(AND(F2266="",G2266=""),"",ROW()-6)</f>
      </c>
      <c r="B2266" s="140" t="n"/>
      <c r="C2266" s="141" t="n"/>
      <c r="D2266" s="141" t="n"/>
      <c r="E2266" s="142" t="n"/>
      <c r="F2266" s="143" t="n"/>
      <c r="G2266" s="144" t="n"/>
      <c r="H2266" s="145">
        <f>IF(OR(C2266="",AND(F2266="",G2266="")),"",SUMIF(基础资料!$W$5:$W$24,C2266,基础资料!$X$5:$X$24)+SUMIF(C$7:C2266,C2266,F$7:F2266)-SUMIF(C$7:C2266,C2266,G$7:G2266))</f>
      </c>
      <c r="I2266" s="145">
        <f>IF(AND(F2266="",G2266=""),"",SUM(基础资料!$X$5:$X$24)+SUM(F$7:F2266)-SUM(G$7:G2266))</f>
      </c>
      <c r="J2266" s="141" t="n"/>
      <c r="K2266" s="141" t="n"/>
      <c r="L2266" s="141" t="n"/>
      <c r="M2266" s="142" t="n"/>
      <c r="N2266" s="146">
        <f>IF(AND(AND(F2266="",G2266=""),B2266="",C2266="",D2266="",J2266="",K2266="",L2266=""),"",IF(AND(F2266="",G2266=""),"✗ 没填金额",IF(AND(N(F2266)&lt;&gt;0,N(G2266)&lt;&gt;0),"✗ 收入、支出只能填一边",IF(NOT(ISNUMBER(B2266)),"✗ 日期不是真日期（要像 2026/9/25 这样填）",IF(OR(B2266&lt;年初日,B2266&gt;年末日),"✗ 日期不在本会计年度",IF(C2266="","✗ 没选账户",IF(COUNTIF(基础资料!$W$5:$W$24,C2266)=0,"✗ 账户不在基础资料里",IF(O2266="","✗ 没选收支项目",IF(P2266="未知","✗ 收支项目不在基础资料里",IF(AND(P2266="应收",J2266=""),"✗ 这笔要选客户",IF(AND(P2266="应收",COUNTIF(总览汇总!$B$5:$B$304,J2266)=0),"✗ 客户不在总览汇总名单里",IF(AND(P2266="应付",K2266=""),"✗ 这笔要选供应商",IF(AND(P2266="应付",COUNTIF(基础资料!$Q$5:$Q$54,K2266)=0),"✗ 供应商不在基础资料里",IF(AND(P2266="费用",L2266=""),"✗ 费用支出要选费用项目",IF(AND(L2266&lt;&gt;"",COUNTIF(基础资料!$AI$5:$AI$54,L2266)=0),"✗ 费用项目不在基础资料里",IF(AND(IFERROR(INDEX(基础资料!$AD$5:$AD$34,MATCH(O2266,基础资料!$AC$5:$AC$34,0)),"")="收",N(G2266)&lt;&gt;0),"✗ 这类是收款，金额填到收入列",IF(AND(IFERROR(INDEX(基础资料!$AD$5:$AD$34,MATCH(O2266,基础资料!$AC$5:$AC$34,0)),"")="支",N(F2266)&lt;&gt;0),"✗ 这类是付款，金额填到支出列",IF(N(H2266)&lt;0,"⚠ 账户余额成负数了，核对一下","√"))))))))))))))))))</f>
      </c>
      <c r="O2266" s="78">
        <f>IF(D2266&lt;&gt;"",D2266,IF(AND(F2266="",G2266=""),"",IF(J2266&lt;&gt;"",IF(N(F2266)&gt;0,"客户回款","客户退款"),IF(K2266&lt;&gt;"",IF(N(G2266)&gt;0,"供应商付款","供应商退款"),IF(L2266&lt;&gt;"","费用支出","")))))</f>
      </c>
      <c r="P2266" s="78">
        <f>IF(O2266="","",IFERROR(INDEX(基础资料!$AE$5:$AE$34,MATCH(O2266,基础资料!$AC$5:$AC$34,0)),"未知"))</f>
      </c>
      <c r="Q2266" s="78">
        <f>IF(P2266="应收",COUNTIF(P$7:P2266,"应收"),"")</f>
      </c>
      <c r="R2266" s="78">
        <f>IF(P2266="应付",COUNTIF(P$7:P2266,"应付"),"")</f>
      </c>
      <c r="S2266" s="78">
        <f>N(F2266)-N(G2266)</f>
        <v>0</v>
      </c>
    </row>
    <row r="2267">
      <c r="A2267" s="109">
        <f>IF(AND(F2267="",G2267=""),"",ROW()-6)</f>
      </c>
      <c r="B2267" s="140" t="n"/>
      <c r="C2267" s="141" t="n"/>
      <c r="D2267" s="141" t="n"/>
      <c r="E2267" s="142" t="n"/>
      <c r="F2267" s="143" t="n"/>
      <c r="G2267" s="144" t="n"/>
      <c r="H2267" s="145">
        <f>IF(OR(C2267="",AND(F2267="",G2267="")),"",SUMIF(基础资料!$W$5:$W$24,C2267,基础资料!$X$5:$X$24)+SUMIF(C$7:C2267,C2267,F$7:F2267)-SUMIF(C$7:C2267,C2267,G$7:G2267))</f>
      </c>
      <c r="I2267" s="145">
        <f>IF(AND(F2267="",G2267=""),"",SUM(基础资料!$X$5:$X$24)+SUM(F$7:F2267)-SUM(G$7:G2267))</f>
      </c>
      <c r="J2267" s="141" t="n"/>
      <c r="K2267" s="141" t="n"/>
      <c r="L2267" s="141" t="n"/>
      <c r="M2267" s="142" t="n"/>
      <c r="N2267" s="146">
        <f>IF(AND(AND(F2267="",G2267=""),B2267="",C2267="",D2267="",J2267="",K2267="",L2267=""),"",IF(AND(F2267="",G2267=""),"✗ 没填金额",IF(AND(N(F2267)&lt;&gt;0,N(G2267)&lt;&gt;0),"✗ 收入、支出只能填一边",IF(NOT(ISNUMBER(B2267)),"✗ 日期不是真日期（要像 2026/9/25 这样填）",IF(OR(B2267&lt;年初日,B2267&gt;年末日),"✗ 日期不在本会计年度",IF(C2267="","✗ 没选账户",IF(COUNTIF(基础资料!$W$5:$W$24,C2267)=0,"✗ 账户不在基础资料里",IF(O2267="","✗ 没选收支项目",IF(P2267="未知","✗ 收支项目不在基础资料里",IF(AND(P2267="应收",J2267=""),"✗ 这笔要选客户",IF(AND(P2267="应收",COUNTIF(总览汇总!$B$5:$B$304,J2267)=0),"✗ 客户不在总览汇总名单里",IF(AND(P2267="应付",K2267=""),"✗ 这笔要选供应商",IF(AND(P2267="应付",COUNTIF(基础资料!$Q$5:$Q$54,K2267)=0),"✗ 供应商不在基础资料里",IF(AND(P2267="费用",L2267=""),"✗ 费用支出要选费用项目",IF(AND(L2267&lt;&gt;"",COUNTIF(基础资料!$AI$5:$AI$54,L2267)=0),"✗ 费用项目不在基础资料里",IF(AND(IFERROR(INDEX(基础资料!$AD$5:$AD$34,MATCH(O2267,基础资料!$AC$5:$AC$34,0)),"")="收",N(G2267)&lt;&gt;0),"✗ 这类是收款，金额填到收入列",IF(AND(IFERROR(INDEX(基础资料!$AD$5:$AD$34,MATCH(O2267,基础资料!$AC$5:$AC$34,0)),"")="支",N(F2267)&lt;&gt;0),"✗ 这类是付款，金额填到支出列",IF(N(H2267)&lt;0,"⚠ 账户余额成负数了，核对一下","√"))))))))))))))))))</f>
      </c>
      <c r="O2267" s="78">
        <f>IF(D2267&lt;&gt;"",D2267,IF(AND(F2267="",G2267=""),"",IF(J2267&lt;&gt;"",IF(N(F2267)&gt;0,"客户回款","客户退款"),IF(K2267&lt;&gt;"",IF(N(G2267)&gt;0,"供应商付款","供应商退款"),IF(L2267&lt;&gt;"","费用支出","")))))</f>
      </c>
      <c r="P2267" s="78">
        <f>IF(O2267="","",IFERROR(INDEX(基础资料!$AE$5:$AE$34,MATCH(O2267,基础资料!$AC$5:$AC$34,0)),"未知"))</f>
      </c>
      <c r="Q2267" s="78">
        <f>IF(P2267="应收",COUNTIF(P$7:P2267,"应收"),"")</f>
      </c>
      <c r="R2267" s="78">
        <f>IF(P2267="应付",COUNTIF(P$7:P2267,"应付"),"")</f>
      </c>
      <c r="S2267" s="78">
        <f>N(F2267)-N(G2267)</f>
        <v>0</v>
      </c>
    </row>
    <row r="2268">
      <c r="A2268" s="109">
        <f>IF(AND(F2268="",G2268=""),"",ROW()-6)</f>
      </c>
      <c r="B2268" s="140" t="n"/>
      <c r="C2268" s="141" t="n"/>
      <c r="D2268" s="141" t="n"/>
      <c r="E2268" s="142" t="n"/>
      <c r="F2268" s="143" t="n"/>
      <c r="G2268" s="144" t="n"/>
      <c r="H2268" s="145">
        <f>IF(OR(C2268="",AND(F2268="",G2268="")),"",SUMIF(基础资料!$W$5:$W$24,C2268,基础资料!$X$5:$X$24)+SUMIF(C$7:C2268,C2268,F$7:F2268)-SUMIF(C$7:C2268,C2268,G$7:G2268))</f>
      </c>
      <c r="I2268" s="145">
        <f>IF(AND(F2268="",G2268=""),"",SUM(基础资料!$X$5:$X$24)+SUM(F$7:F2268)-SUM(G$7:G2268))</f>
      </c>
      <c r="J2268" s="141" t="n"/>
      <c r="K2268" s="141" t="n"/>
      <c r="L2268" s="141" t="n"/>
      <c r="M2268" s="142" t="n"/>
      <c r="N2268" s="146">
        <f>IF(AND(AND(F2268="",G2268=""),B2268="",C2268="",D2268="",J2268="",K2268="",L2268=""),"",IF(AND(F2268="",G2268=""),"✗ 没填金额",IF(AND(N(F2268)&lt;&gt;0,N(G2268)&lt;&gt;0),"✗ 收入、支出只能填一边",IF(NOT(ISNUMBER(B2268)),"✗ 日期不是真日期（要像 2026/9/25 这样填）",IF(OR(B2268&lt;年初日,B2268&gt;年末日),"✗ 日期不在本会计年度",IF(C2268="","✗ 没选账户",IF(COUNTIF(基础资料!$W$5:$W$24,C2268)=0,"✗ 账户不在基础资料里",IF(O2268="","✗ 没选收支项目",IF(P2268="未知","✗ 收支项目不在基础资料里",IF(AND(P2268="应收",J2268=""),"✗ 这笔要选客户",IF(AND(P2268="应收",COUNTIF(总览汇总!$B$5:$B$304,J2268)=0),"✗ 客户不在总览汇总名单里",IF(AND(P2268="应付",K2268=""),"✗ 这笔要选供应商",IF(AND(P2268="应付",COUNTIF(基础资料!$Q$5:$Q$54,K2268)=0),"✗ 供应商不在基础资料里",IF(AND(P2268="费用",L2268=""),"✗ 费用支出要选费用项目",IF(AND(L2268&lt;&gt;"",COUNTIF(基础资料!$AI$5:$AI$54,L2268)=0),"✗ 费用项目不在基础资料里",IF(AND(IFERROR(INDEX(基础资料!$AD$5:$AD$34,MATCH(O2268,基础资料!$AC$5:$AC$34,0)),"")="收",N(G2268)&lt;&gt;0),"✗ 这类是收款，金额填到收入列",IF(AND(IFERROR(INDEX(基础资料!$AD$5:$AD$34,MATCH(O2268,基础资料!$AC$5:$AC$34,0)),"")="支",N(F2268)&lt;&gt;0),"✗ 这类是付款，金额填到支出列",IF(N(H2268)&lt;0,"⚠ 账户余额成负数了，核对一下","√"))))))))))))))))))</f>
      </c>
      <c r="O2268" s="78">
        <f>IF(D2268&lt;&gt;"",D2268,IF(AND(F2268="",G2268=""),"",IF(J2268&lt;&gt;"",IF(N(F2268)&gt;0,"客户回款","客户退款"),IF(K2268&lt;&gt;"",IF(N(G2268)&gt;0,"供应商付款","供应商退款"),IF(L2268&lt;&gt;"","费用支出","")))))</f>
      </c>
      <c r="P2268" s="78">
        <f>IF(O2268="","",IFERROR(INDEX(基础资料!$AE$5:$AE$34,MATCH(O2268,基础资料!$AC$5:$AC$34,0)),"未知"))</f>
      </c>
      <c r="Q2268" s="78">
        <f>IF(P2268="应收",COUNTIF(P$7:P2268,"应收"),"")</f>
      </c>
      <c r="R2268" s="78">
        <f>IF(P2268="应付",COUNTIF(P$7:P2268,"应付"),"")</f>
      </c>
      <c r="S2268" s="78">
        <f>N(F2268)-N(G2268)</f>
        <v>0</v>
      </c>
    </row>
    <row r="2269">
      <c r="A2269" s="109">
        <f>IF(AND(F2269="",G2269=""),"",ROW()-6)</f>
      </c>
      <c r="B2269" s="140" t="n"/>
      <c r="C2269" s="141" t="n"/>
      <c r="D2269" s="141" t="n"/>
      <c r="E2269" s="142" t="n"/>
      <c r="F2269" s="143" t="n"/>
      <c r="G2269" s="144" t="n"/>
      <c r="H2269" s="145">
        <f>IF(OR(C2269="",AND(F2269="",G2269="")),"",SUMIF(基础资料!$W$5:$W$24,C2269,基础资料!$X$5:$X$24)+SUMIF(C$7:C2269,C2269,F$7:F2269)-SUMIF(C$7:C2269,C2269,G$7:G2269))</f>
      </c>
      <c r="I2269" s="145">
        <f>IF(AND(F2269="",G2269=""),"",SUM(基础资料!$X$5:$X$24)+SUM(F$7:F2269)-SUM(G$7:G2269))</f>
      </c>
      <c r="J2269" s="141" t="n"/>
      <c r="K2269" s="141" t="n"/>
      <c r="L2269" s="141" t="n"/>
      <c r="M2269" s="142" t="n"/>
      <c r="N2269" s="146">
        <f>IF(AND(AND(F2269="",G2269=""),B2269="",C2269="",D2269="",J2269="",K2269="",L2269=""),"",IF(AND(F2269="",G2269=""),"✗ 没填金额",IF(AND(N(F2269)&lt;&gt;0,N(G2269)&lt;&gt;0),"✗ 收入、支出只能填一边",IF(NOT(ISNUMBER(B2269)),"✗ 日期不是真日期（要像 2026/9/25 这样填）",IF(OR(B2269&lt;年初日,B2269&gt;年末日),"✗ 日期不在本会计年度",IF(C2269="","✗ 没选账户",IF(COUNTIF(基础资料!$W$5:$W$24,C2269)=0,"✗ 账户不在基础资料里",IF(O2269="","✗ 没选收支项目",IF(P2269="未知","✗ 收支项目不在基础资料里",IF(AND(P2269="应收",J2269=""),"✗ 这笔要选客户",IF(AND(P2269="应收",COUNTIF(总览汇总!$B$5:$B$304,J2269)=0),"✗ 客户不在总览汇总名单里",IF(AND(P2269="应付",K2269=""),"✗ 这笔要选供应商",IF(AND(P2269="应付",COUNTIF(基础资料!$Q$5:$Q$54,K2269)=0),"✗ 供应商不在基础资料里",IF(AND(P2269="费用",L2269=""),"✗ 费用支出要选费用项目",IF(AND(L2269&lt;&gt;"",COUNTIF(基础资料!$AI$5:$AI$54,L2269)=0),"✗ 费用项目不在基础资料里",IF(AND(IFERROR(INDEX(基础资料!$AD$5:$AD$34,MATCH(O2269,基础资料!$AC$5:$AC$34,0)),"")="收",N(G2269)&lt;&gt;0),"✗ 这类是收款，金额填到收入列",IF(AND(IFERROR(INDEX(基础资料!$AD$5:$AD$34,MATCH(O2269,基础资料!$AC$5:$AC$34,0)),"")="支",N(F2269)&lt;&gt;0),"✗ 这类是付款，金额填到支出列",IF(N(H2269)&lt;0,"⚠ 账户余额成负数了，核对一下","√"))))))))))))))))))</f>
      </c>
      <c r="O2269" s="78">
        <f>IF(D2269&lt;&gt;"",D2269,IF(AND(F2269="",G2269=""),"",IF(J2269&lt;&gt;"",IF(N(F2269)&gt;0,"客户回款","客户退款"),IF(K2269&lt;&gt;"",IF(N(G2269)&gt;0,"供应商付款","供应商退款"),IF(L2269&lt;&gt;"","费用支出","")))))</f>
      </c>
      <c r="P2269" s="78">
        <f>IF(O2269="","",IFERROR(INDEX(基础资料!$AE$5:$AE$34,MATCH(O2269,基础资料!$AC$5:$AC$34,0)),"未知"))</f>
      </c>
      <c r="Q2269" s="78">
        <f>IF(P2269="应收",COUNTIF(P$7:P2269,"应收"),"")</f>
      </c>
      <c r="R2269" s="78">
        <f>IF(P2269="应付",COUNTIF(P$7:P2269,"应付"),"")</f>
      </c>
      <c r="S2269" s="78">
        <f>N(F2269)-N(G2269)</f>
        <v>0</v>
      </c>
    </row>
    <row r="2270">
      <c r="A2270" s="109">
        <f>IF(AND(F2270="",G2270=""),"",ROW()-6)</f>
      </c>
      <c r="B2270" s="140" t="n"/>
      <c r="C2270" s="141" t="n"/>
      <c r="D2270" s="141" t="n"/>
      <c r="E2270" s="142" t="n"/>
      <c r="F2270" s="143" t="n"/>
      <c r="G2270" s="144" t="n"/>
      <c r="H2270" s="145">
        <f>IF(OR(C2270="",AND(F2270="",G2270="")),"",SUMIF(基础资料!$W$5:$W$24,C2270,基础资料!$X$5:$X$24)+SUMIF(C$7:C2270,C2270,F$7:F2270)-SUMIF(C$7:C2270,C2270,G$7:G2270))</f>
      </c>
      <c r="I2270" s="145">
        <f>IF(AND(F2270="",G2270=""),"",SUM(基础资料!$X$5:$X$24)+SUM(F$7:F2270)-SUM(G$7:G2270))</f>
      </c>
      <c r="J2270" s="141" t="n"/>
      <c r="K2270" s="141" t="n"/>
      <c r="L2270" s="141" t="n"/>
      <c r="M2270" s="142" t="n"/>
      <c r="N2270" s="146">
        <f>IF(AND(AND(F2270="",G2270=""),B2270="",C2270="",D2270="",J2270="",K2270="",L2270=""),"",IF(AND(F2270="",G2270=""),"✗ 没填金额",IF(AND(N(F2270)&lt;&gt;0,N(G2270)&lt;&gt;0),"✗ 收入、支出只能填一边",IF(NOT(ISNUMBER(B2270)),"✗ 日期不是真日期（要像 2026/9/25 这样填）",IF(OR(B2270&lt;年初日,B2270&gt;年末日),"✗ 日期不在本会计年度",IF(C2270="","✗ 没选账户",IF(COUNTIF(基础资料!$W$5:$W$24,C2270)=0,"✗ 账户不在基础资料里",IF(O2270="","✗ 没选收支项目",IF(P2270="未知","✗ 收支项目不在基础资料里",IF(AND(P2270="应收",J2270=""),"✗ 这笔要选客户",IF(AND(P2270="应收",COUNTIF(总览汇总!$B$5:$B$304,J2270)=0),"✗ 客户不在总览汇总名单里",IF(AND(P2270="应付",K2270=""),"✗ 这笔要选供应商",IF(AND(P2270="应付",COUNTIF(基础资料!$Q$5:$Q$54,K2270)=0),"✗ 供应商不在基础资料里",IF(AND(P2270="费用",L2270=""),"✗ 费用支出要选费用项目",IF(AND(L2270&lt;&gt;"",COUNTIF(基础资料!$AI$5:$AI$54,L2270)=0),"✗ 费用项目不在基础资料里",IF(AND(IFERROR(INDEX(基础资料!$AD$5:$AD$34,MATCH(O2270,基础资料!$AC$5:$AC$34,0)),"")="收",N(G2270)&lt;&gt;0),"✗ 这类是收款，金额填到收入列",IF(AND(IFERROR(INDEX(基础资料!$AD$5:$AD$34,MATCH(O2270,基础资料!$AC$5:$AC$34,0)),"")="支",N(F2270)&lt;&gt;0),"✗ 这类是付款，金额填到支出列",IF(N(H2270)&lt;0,"⚠ 账户余额成负数了，核对一下","√"))))))))))))))))))</f>
      </c>
      <c r="O2270" s="78">
        <f>IF(D2270&lt;&gt;"",D2270,IF(AND(F2270="",G2270=""),"",IF(J2270&lt;&gt;"",IF(N(F2270)&gt;0,"客户回款","客户退款"),IF(K2270&lt;&gt;"",IF(N(G2270)&gt;0,"供应商付款","供应商退款"),IF(L2270&lt;&gt;"","费用支出","")))))</f>
      </c>
      <c r="P2270" s="78">
        <f>IF(O2270="","",IFERROR(INDEX(基础资料!$AE$5:$AE$34,MATCH(O2270,基础资料!$AC$5:$AC$34,0)),"未知"))</f>
      </c>
      <c r="Q2270" s="78">
        <f>IF(P2270="应收",COUNTIF(P$7:P2270,"应收"),"")</f>
      </c>
      <c r="R2270" s="78">
        <f>IF(P2270="应付",COUNTIF(P$7:P2270,"应付"),"")</f>
      </c>
      <c r="S2270" s="78">
        <f>N(F2270)-N(G2270)</f>
        <v>0</v>
      </c>
    </row>
    <row r="2271">
      <c r="A2271" s="109">
        <f>IF(AND(F2271="",G2271=""),"",ROW()-6)</f>
      </c>
      <c r="B2271" s="140" t="n"/>
      <c r="C2271" s="141" t="n"/>
      <c r="D2271" s="141" t="n"/>
      <c r="E2271" s="142" t="n"/>
      <c r="F2271" s="143" t="n"/>
      <c r="G2271" s="144" t="n"/>
      <c r="H2271" s="145">
        <f>IF(OR(C2271="",AND(F2271="",G2271="")),"",SUMIF(基础资料!$W$5:$W$24,C2271,基础资料!$X$5:$X$24)+SUMIF(C$7:C2271,C2271,F$7:F2271)-SUMIF(C$7:C2271,C2271,G$7:G2271))</f>
      </c>
      <c r="I2271" s="145">
        <f>IF(AND(F2271="",G2271=""),"",SUM(基础资料!$X$5:$X$24)+SUM(F$7:F2271)-SUM(G$7:G2271))</f>
      </c>
      <c r="J2271" s="141" t="n"/>
      <c r="K2271" s="141" t="n"/>
      <c r="L2271" s="141" t="n"/>
      <c r="M2271" s="142" t="n"/>
      <c r="N2271" s="146">
        <f>IF(AND(AND(F2271="",G2271=""),B2271="",C2271="",D2271="",J2271="",K2271="",L2271=""),"",IF(AND(F2271="",G2271=""),"✗ 没填金额",IF(AND(N(F2271)&lt;&gt;0,N(G2271)&lt;&gt;0),"✗ 收入、支出只能填一边",IF(NOT(ISNUMBER(B2271)),"✗ 日期不是真日期（要像 2026/9/25 这样填）",IF(OR(B2271&lt;年初日,B2271&gt;年末日),"✗ 日期不在本会计年度",IF(C2271="","✗ 没选账户",IF(COUNTIF(基础资料!$W$5:$W$24,C2271)=0,"✗ 账户不在基础资料里",IF(O2271="","✗ 没选收支项目",IF(P2271="未知","✗ 收支项目不在基础资料里",IF(AND(P2271="应收",J2271=""),"✗ 这笔要选客户",IF(AND(P2271="应收",COUNTIF(总览汇总!$B$5:$B$304,J2271)=0),"✗ 客户不在总览汇总名单里",IF(AND(P2271="应付",K2271=""),"✗ 这笔要选供应商",IF(AND(P2271="应付",COUNTIF(基础资料!$Q$5:$Q$54,K2271)=0),"✗ 供应商不在基础资料里",IF(AND(P2271="费用",L2271=""),"✗ 费用支出要选费用项目",IF(AND(L2271&lt;&gt;"",COUNTIF(基础资料!$AI$5:$AI$54,L2271)=0),"✗ 费用项目不在基础资料里",IF(AND(IFERROR(INDEX(基础资料!$AD$5:$AD$34,MATCH(O2271,基础资料!$AC$5:$AC$34,0)),"")="收",N(G2271)&lt;&gt;0),"✗ 这类是收款，金额填到收入列",IF(AND(IFERROR(INDEX(基础资料!$AD$5:$AD$34,MATCH(O2271,基础资料!$AC$5:$AC$34,0)),"")="支",N(F2271)&lt;&gt;0),"✗ 这类是付款，金额填到支出列",IF(N(H2271)&lt;0,"⚠ 账户余额成负数了，核对一下","√"))))))))))))))))))</f>
      </c>
      <c r="O2271" s="78">
        <f>IF(D2271&lt;&gt;"",D2271,IF(AND(F2271="",G2271=""),"",IF(J2271&lt;&gt;"",IF(N(F2271)&gt;0,"客户回款","客户退款"),IF(K2271&lt;&gt;"",IF(N(G2271)&gt;0,"供应商付款","供应商退款"),IF(L2271&lt;&gt;"","费用支出","")))))</f>
      </c>
      <c r="P2271" s="78">
        <f>IF(O2271="","",IFERROR(INDEX(基础资料!$AE$5:$AE$34,MATCH(O2271,基础资料!$AC$5:$AC$34,0)),"未知"))</f>
      </c>
      <c r="Q2271" s="78">
        <f>IF(P2271="应收",COUNTIF(P$7:P2271,"应收"),"")</f>
      </c>
      <c r="R2271" s="78">
        <f>IF(P2271="应付",COUNTIF(P$7:P2271,"应付"),"")</f>
      </c>
      <c r="S2271" s="78">
        <f>N(F2271)-N(G2271)</f>
        <v>0</v>
      </c>
    </row>
    <row r="2272">
      <c r="A2272" s="109">
        <f>IF(AND(F2272="",G2272=""),"",ROW()-6)</f>
      </c>
      <c r="B2272" s="140" t="n"/>
      <c r="C2272" s="141" t="n"/>
      <c r="D2272" s="141" t="n"/>
      <c r="E2272" s="142" t="n"/>
      <c r="F2272" s="143" t="n"/>
      <c r="G2272" s="144" t="n"/>
      <c r="H2272" s="145">
        <f>IF(OR(C2272="",AND(F2272="",G2272="")),"",SUMIF(基础资料!$W$5:$W$24,C2272,基础资料!$X$5:$X$24)+SUMIF(C$7:C2272,C2272,F$7:F2272)-SUMIF(C$7:C2272,C2272,G$7:G2272))</f>
      </c>
      <c r="I2272" s="145">
        <f>IF(AND(F2272="",G2272=""),"",SUM(基础资料!$X$5:$X$24)+SUM(F$7:F2272)-SUM(G$7:G2272))</f>
      </c>
      <c r="J2272" s="141" t="n"/>
      <c r="K2272" s="141" t="n"/>
      <c r="L2272" s="141" t="n"/>
      <c r="M2272" s="142" t="n"/>
      <c r="N2272" s="146">
        <f>IF(AND(AND(F2272="",G2272=""),B2272="",C2272="",D2272="",J2272="",K2272="",L2272=""),"",IF(AND(F2272="",G2272=""),"✗ 没填金额",IF(AND(N(F2272)&lt;&gt;0,N(G2272)&lt;&gt;0),"✗ 收入、支出只能填一边",IF(NOT(ISNUMBER(B2272)),"✗ 日期不是真日期（要像 2026/9/25 这样填）",IF(OR(B2272&lt;年初日,B2272&gt;年末日),"✗ 日期不在本会计年度",IF(C2272="","✗ 没选账户",IF(COUNTIF(基础资料!$W$5:$W$24,C2272)=0,"✗ 账户不在基础资料里",IF(O2272="","✗ 没选收支项目",IF(P2272="未知","✗ 收支项目不在基础资料里",IF(AND(P2272="应收",J2272=""),"✗ 这笔要选客户",IF(AND(P2272="应收",COUNTIF(总览汇总!$B$5:$B$304,J2272)=0),"✗ 客户不在总览汇总名单里",IF(AND(P2272="应付",K2272=""),"✗ 这笔要选供应商",IF(AND(P2272="应付",COUNTIF(基础资料!$Q$5:$Q$54,K2272)=0),"✗ 供应商不在基础资料里",IF(AND(P2272="费用",L2272=""),"✗ 费用支出要选费用项目",IF(AND(L2272&lt;&gt;"",COUNTIF(基础资料!$AI$5:$AI$54,L2272)=0),"✗ 费用项目不在基础资料里",IF(AND(IFERROR(INDEX(基础资料!$AD$5:$AD$34,MATCH(O2272,基础资料!$AC$5:$AC$34,0)),"")="收",N(G2272)&lt;&gt;0),"✗ 这类是收款，金额填到收入列",IF(AND(IFERROR(INDEX(基础资料!$AD$5:$AD$34,MATCH(O2272,基础资料!$AC$5:$AC$34,0)),"")="支",N(F2272)&lt;&gt;0),"✗ 这类是付款，金额填到支出列",IF(N(H2272)&lt;0,"⚠ 账户余额成负数了，核对一下","√"))))))))))))))))))</f>
      </c>
      <c r="O2272" s="78">
        <f>IF(D2272&lt;&gt;"",D2272,IF(AND(F2272="",G2272=""),"",IF(J2272&lt;&gt;"",IF(N(F2272)&gt;0,"客户回款","客户退款"),IF(K2272&lt;&gt;"",IF(N(G2272)&gt;0,"供应商付款","供应商退款"),IF(L2272&lt;&gt;"","费用支出","")))))</f>
      </c>
      <c r="P2272" s="78">
        <f>IF(O2272="","",IFERROR(INDEX(基础资料!$AE$5:$AE$34,MATCH(O2272,基础资料!$AC$5:$AC$34,0)),"未知"))</f>
      </c>
      <c r="Q2272" s="78">
        <f>IF(P2272="应收",COUNTIF(P$7:P2272,"应收"),"")</f>
      </c>
      <c r="R2272" s="78">
        <f>IF(P2272="应付",COUNTIF(P$7:P2272,"应付"),"")</f>
      </c>
      <c r="S2272" s="78">
        <f>N(F2272)-N(G2272)</f>
        <v>0</v>
      </c>
    </row>
    <row r="2273">
      <c r="A2273" s="109">
        <f>IF(AND(F2273="",G2273=""),"",ROW()-6)</f>
      </c>
      <c r="B2273" s="140" t="n"/>
      <c r="C2273" s="141" t="n"/>
      <c r="D2273" s="141" t="n"/>
      <c r="E2273" s="142" t="n"/>
      <c r="F2273" s="143" t="n"/>
      <c r="G2273" s="144" t="n"/>
      <c r="H2273" s="145">
        <f>IF(OR(C2273="",AND(F2273="",G2273="")),"",SUMIF(基础资料!$W$5:$W$24,C2273,基础资料!$X$5:$X$24)+SUMIF(C$7:C2273,C2273,F$7:F2273)-SUMIF(C$7:C2273,C2273,G$7:G2273))</f>
      </c>
      <c r="I2273" s="145">
        <f>IF(AND(F2273="",G2273=""),"",SUM(基础资料!$X$5:$X$24)+SUM(F$7:F2273)-SUM(G$7:G2273))</f>
      </c>
      <c r="J2273" s="141" t="n"/>
      <c r="K2273" s="141" t="n"/>
      <c r="L2273" s="141" t="n"/>
      <c r="M2273" s="142" t="n"/>
      <c r="N2273" s="146">
        <f>IF(AND(AND(F2273="",G2273=""),B2273="",C2273="",D2273="",J2273="",K2273="",L2273=""),"",IF(AND(F2273="",G2273=""),"✗ 没填金额",IF(AND(N(F2273)&lt;&gt;0,N(G2273)&lt;&gt;0),"✗ 收入、支出只能填一边",IF(NOT(ISNUMBER(B2273)),"✗ 日期不是真日期（要像 2026/9/25 这样填）",IF(OR(B2273&lt;年初日,B2273&gt;年末日),"✗ 日期不在本会计年度",IF(C2273="","✗ 没选账户",IF(COUNTIF(基础资料!$W$5:$W$24,C2273)=0,"✗ 账户不在基础资料里",IF(O2273="","✗ 没选收支项目",IF(P2273="未知","✗ 收支项目不在基础资料里",IF(AND(P2273="应收",J2273=""),"✗ 这笔要选客户",IF(AND(P2273="应收",COUNTIF(总览汇总!$B$5:$B$304,J2273)=0),"✗ 客户不在总览汇总名单里",IF(AND(P2273="应付",K2273=""),"✗ 这笔要选供应商",IF(AND(P2273="应付",COUNTIF(基础资料!$Q$5:$Q$54,K2273)=0),"✗ 供应商不在基础资料里",IF(AND(P2273="费用",L2273=""),"✗ 费用支出要选费用项目",IF(AND(L2273&lt;&gt;"",COUNTIF(基础资料!$AI$5:$AI$54,L2273)=0),"✗ 费用项目不在基础资料里",IF(AND(IFERROR(INDEX(基础资料!$AD$5:$AD$34,MATCH(O2273,基础资料!$AC$5:$AC$34,0)),"")="收",N(G2273)&lt;&gt;0),"✗ 这类是收款，金额填到收入列",IF(AND(IFERROR(INDEX(基础资料!$AD$5:$AD$34,MATCH(O2273,基础资料!$AC$5:$AC$34,0)),"")="支",N(F2273)&lt;&gt;0),"✗ 这类是付款，金额填到支出列",IF(N(H2273)&lt;0,"⚠ 账户余额成负数了，核对一下","√"))))))))))))))))))</f>
      </c>
      <c r="O2273" s="78">
        <f>IF(D2273&lt;&gt;"",D2273,IF(AND(F2273="",G2273=""),"",IF(J2273&lt;&gt;"",IF(N(F2273)&gt;0,"客户回款","客户退款"),IF(K2273&lt;&gt;"",IF(N(G2273)&gt;0,"供应商付款","供应商退款"),IF(L2273&lt;&gt;"","费用支出","")))))</f>
      </c>
      <c r="P2273" s="78">
        <f>IF(O2273="","",IFERROR(INDEX(基础资料!$AE$5:$AE$34,MATCH(O2273,基础资料!$AC$5:$AC$34,0)),"未知"))</f>
      </c>
      <c r="Q2273" s="78">
        <f>IF(P2273="应收",COUNTIF(P$7:P2273,"应收"),"")</f>
      </c>
      <c r="R2273" s="78">
        <f>IF(P2273="应付",COUNTIF(P$7:P2273,"应付"),"")</f>
      </c>
      <c r="S2273" s="78">
        <f>N(F2273)-N(G2273)</f>
        <v>0</v>
      </c>
    </row>
    <row r="2274">
      <c r="A2274" s="109">
        <f>IF(AND(F2274="",G2274=""),"",ROW()-6)</f>
      </c>
      <c r="B2274" s="140" t="n"/>
      <c r="C2274" s="141" t="n"/>
      <c r="D2274" s="141" t="n"/>
      <c r="E2274" s="142" t="n"/>
      <c r="F2274" s="143" t="n"/>
      <c r="G2274" s="144" t="n"/>
      <c r="H2274" s="145">
        <f>IF(OR(C2274="",AND(F2274="",G2274="")),"",SUMIF(基础资料!$W$5:$W$24,C2274,基础资料!$X$5:$X$24)+SUMIF(C$7:C2274,C2274,F$7:F2274)-SUMIF(C$7:C2274,C2274,G$7:G2274))</f>
      </c>
      <c r="I2274" s="145">
        <f>IF(AND(F2274="",G2274=""),"",SUM(基础资料!$X$5:$X$24)+SUM(F$7:F2274)-SUM(G$7:G2274))</f>
      </c>
      <c r="J2274" s="141" t="n"/>
      <c r="K2274" s="141" t="n"/>
      <c r="L2274" s="141" t="n"/>
      <c r="M2274" s="142" t="n"/>
      <c r="N2274" s="146">
        <f>IF(AND(AND(F2274="",G2274=""),B2274="",C2274="",D2274="",J2274="",K2274="",L2274=""),"",IF(AND(F2274="",G2274=""),"✗ 没填金额",IF(AND(N(F2274)&lt;&gt;0,N(G2274)&lt;&gt;0),"✗ 收入、支出只能填一边",IF(NOT(ISNUMBER(B2274)),"✗ 日期不是真日期（要像 2026/9/25 这样填）",IF(OR(B2274&lt;年初日,B2274&gt;年末日),"✗ 日期不在本会计年度",IF(C2274="","✗ 没选账户",IF(COUNTIF(基础资料!$W$5:$W$24,C2274)=0,"✗ 账户不在基础资料里",IF(O2274="","✗ 没选收支项目",IF(P2274="未知","✗ 收支项目不在基础资料里",IF(AND(P2274="应收",J2274=""),"✗ 这笔要选客户",IF(AND(P2274="应收",COUNTIF(总览汇总!$B$5:$B$304,J2274)=0),"✗ 客户不在总览汇总名单里",IF(AND(P2274="应付",K2274=""),"✗ 这笔要选供应商",IF(AND(P2274="应付",COUNTIF(基础资料!$Q$5:$Q$54,K2274)=0),"✗ 供应商不在基础资料里",IF(AND(P2274="费用",L2274=""),"✗ 费用支出要选费用项目",IF(AND(L2274&lt;&gt;"",COUNTIF(基础资料!$AI$5:$AI$54,L2274)=0),"✗ 费用项目不在基础资料里",IF(AND(IFERROR(INDEX(基础资料!$AD$5:$AD$34,MATCH(O2274,基础资料!$AC$5:$AC$34,0)),"")="收",N(G2274)&lt;&gt;0),"✗ 这类是收款，金额填到收入列",IF(AND(IFERROR(INDEX(基础资料!$AD$5:$AD$34,MATCH(O2274,基础资料!$AC$5:$AC$34,0)),"")="支",N(F2274)&lt;&gt;0),"✗ 这类是付款，金额填到支出列",IF(N(H2274)&lt;0,"⚠ 账户余额成负数了，核对一下","√"))))))))))))))))))</f>
      </c>
      <c r="O2274" s="78">
        <f>IF(D2274&lt;&gt;"",D2274,IF(AND(F2274="",G2274=""),"",IF(J2274&lt;&gt;"",IF(N(F2274)&gt;0,"客户回款","客户退款"),IF(K2274&lt;&gt;"",IF(N(G2274)&gt;0,"供应商付款","供应商退款"),IF(L2274&lt;&gt;"","费用支出","")))))</f>
      </c>
      <c r="P2274" s="78">
        <f>IF(O2274="","",IFERROR(INDEX(基础资料!$AE$5:$AE$34,MATCH(O2274,基础资料!$AC$5:$AC$34,0)),"未知"))</f>
      </c>
      <c r="Q2274" s="78">
        <f>IF(P2274="应收",COUNTIF(P$7:P2274,"应收"),"")</f>
      </c>
      <c r="R2274" s="78">
        <f>IF(P2274="应付",COUNTIF(P$7:P2274,"应付"),"")</f>
      </c>
      <c r="S2274" s="78">
        <f>N(F2274)-N(G2274)</f>
        <v>0</v>
      </c>
    </row>
    <row r="2275">
      <c r="A2275" s="109">
        <f>IF(AND(F2275="",G2275=""),"",ROW()-6)</f>
      </c>
      <c r="B2275" s="140" t="n"/>
      <c r="C2275" s="141" t="n"/>
      <c r="D2275" s="141" t="n"/>
      <c r="E2275" s="142" t="n"/>
      <c r="F2275" s="143" t="n"/>
      <c r="G2275" s="144" t="n"/>
      <c r="H2275" s="145">
        <f>IF(OR(C2275="",AND(F2275="",G2275="")),"",SUMIF(基础资料!$W$5:$W$24,C2275,基础资料!$X$5:$X$24)+SUMIF(C$7:C2275,C2275,F$7:F2275)-SUMIF(C$7:C2275,C2275,G$7:G2275))</f>
      </c>
      <c r="I2275" s="145">
        <f>IF(AND(F2275="",G2275=""),"",SUM(基础资料!$X$5:$X$24)+SUM(F$7:F2275)-SUM(G$7:G2275))</f>
      </c>
      <c r="J2275" s="141" t="n"/>
      <c r="K2275" s="141" t="n"/>
      <c r="L2275" s="141" t="n"/>
      <c r="M2275" s="142" t="n"/>
      <c r="N2275" s="146">
        <f>IF(AND(AND(F2275="",G2275=""),B2275="",C2275="",D2275="",J2275="",K2275="",L2275=""),"",IF(AND(F2275="",G2275=""),"✗ 没填金额",IF(AND(N(F2275)&lt;&gt;0,N(G2275)&lt;&gt;0),"✗ 收入、支出只能填一边",IF(NOT(ISNUMBER(B2275)),"✗ 日期不是真日期（要像 2026/9/25 这样填）",IF(OR(B2275&lt;年初日,B2275&gt;年末日),"✗ 日期不在本会计年度",IF(C2275="","✗ 没选账户",IF(COUNTIF(基础资料!$W$5:$W$24,C2275)=0,"✗ 账户不在基础资料里",IF(O2275="","✗ 没选收支项目",IF(P2275="未知","✗ 收支项目不在基础资料里",IF(AND(P2275="应收",J2275=""),"✗ 这笔要选客户",IF(AND(P2275="应收",COUNTIF(总览汇总!$B$5:$B$304,J2275)=0),"✗ 客户不在总览汇总名单里",IF(AND(P2275="应付",K2275=""),"✗ 这笔要选供应商",IF(AND(P2275="应付",COUNTIF(基础资料!$Q$5:$Q$54,K2275)=0),"✗ 供应商不在基础资料里",IF(AND(P2275="费用",L2275=""),"✗ 费用支出要选费用项目",IF(AND(L2275&lt;&gt;"",COUNTIF(基础资料!$AI$5:$AI$54,L2275)=0),"✗ 费用项目不在基础资料里",IF(AND(IFERROR(INDEX(基础资料!$AD$5:$AD$34,MATCH(O2275,基础资料!$AC$5:$AC$34,0)),"")="收",N(G2275)&lt;&gt;0),"✗ 这类是收款，金额填到收入列",IF(AND(IFERROR(INDEX(基础资料!$AD$5:$AD$34,MATCH(O2275,基础资料!$AC$5:$AC$34,0)),"")="支",N(F2275)&lt;&gt;0),"✗ 这类是付款，金额填到支出列",IF(N(H2275)&lt;0,"⚠ 账户余额成负数了，核对一下","√"))))))))))))))))))</f>
      </c>
      <c r="O2275" s="78">
        <f>IF(D2275&lt;&gt;"",D2275,IF(AND(F2275="",G2275=""),"",IF(J2275&lt;&gt;"",IF(N(F2275)&gt;0,"客户回款","客户退款"),IF(K2275&lt;&gt;"",IF(N(G2275)&gt;0,"供应商付款","供应商退款"),IF(L2275&lt;&gt;"","费用支出","")))))</f>
      </c>
      <c r="P2275" s="78">
        <f>IF(O2275="","",IFERROR(INDEX(基础资料!$AE$5:$AE$34,MATCH(O2275,基础资料!$AC$5:$AC$34,0)),"未知"))</f>
      </c>
      <c r="Q2275" s="78">
        <f>IF(P2275="应收",COUNTIF(P$7:P2275,"应收"),"")</f>
      </c>
      <c r="R2275" s="78">
        <f>IF(P2275="应付",COUNTIF(P$7:P2275,"应付"),"")</f>
      </c>
      <c r="S2275" s="78">
        <f>N(F2275)-N(G2275)</f>
        <v>0</v>
      </c>
    </row>
    <row r="2276">
      <c r="A2276" s="109">
        <f>IF(AND(F2276="",G2276=""),"",ROW()-6)</f>
      </c>
      <c r="B2276" s="140" t="n"/>
      <c r="C2276" s="141" t="n"/>
      <c r="D2276" s="141" t="n"/>
      <c r="E2276" s="142" t="n"/>
      <c r="F2276" s="143" t="n"/>
      <c r="G2276" s="144" t="n"/>
      <c r="H2276" s="145">
        <f>IF(OR(C2276="",AND(F2276="",G2276="")),"",SUMIF(基础资料!$W$5:$W$24,C2276,基础资料!$X$5:$X$24)+SUMIF(C$7:C2276,C2276,F$7:F2276)-SUMIF(C$7:C2276,C2276,G$7:G2276))</f>
      </c>
      <c r="I2276" s="145">
        <f>IF(AND(F2276="",G2276=""),"",SUM(基础资料!$X$5:$X$24)+SUM(F$7:F2276)-SUM(G$7:G2276))</f>
      </c>
      <c r="J2276" s="141" t="n"/>
      <c r="K2276" s="141" t="n"/>
      <c r="L2276" s="141" t="n"/>
      <c r="M2276" s="142" t="n"/>
      <c r="N2276" s="146">
        <f>IF(AND(AND(F2276="",G2276=""),B2276="",C2276="",D2276="",J2276="",K2276="",L2276=""),"",IF(AND(F2276="",G2276=""),"✗ 没填金额",IF(AND(N(F2276)&lt;&gt;0,N(G2276)&lt;&gt;0),"✗ 收入、支出只能填一边",IF(NOT(ISNUMBER(B2276)),"✗ 日期不是真日期（要像 2026/9/25 这样填）",IF(OR(B2276&lt;年初日,B2276&gt;年末日),"✗ 日期不在本会计年度",IF(C2276="","✗ 没选账户",IF(COUNTIF(基础资料!$W$5:$W$24,C2276)=0,"✗ 账户不在基础资料里",IF(O2276="","✗ 没选收支项目",IF(P2276="未知","✗ 收支项目不在基础资料里",IF(AND(P2276="应收",J2276=""),"✗ 这笔要选客户",IF(AND(P2276="应收",COUNTIF(总览汇总!$B$5:$B$304,J2276)=0),"✗ 客户不在总览汇总名单里",IF(AND(P2276="应付",K2276=""),"✗ 这笔要选供应商",IF(AND(P2276="应付",COUNTIF(基础资料!$Q$5:$Q$54,K2276)=0),"✗ 供应商不在基础资料里",IF(AND(P2276="费用",L2276=""),"✗ 费用支出要选费用项目",IF(AND(L2276&lt;&gt;"",COUNTIF(基础资料!$AI$5:$AI$54,L2276)=0),"✗ 费用项目不在基础资料里",IF(AND(IFERROR(INDEX(基础资料!$AD$5:$AD$34,MATCH(O2276,基础资料!$AC$5:$AC$34,0)),"")="收",N(G2276)&lt;&gt;0),"✗ 这类是收款，金额填到收入列",IF(AND(IFERROR(INDEX(基础资料!$AD$5:$AD$34,MATCH(O2276,基础资料!$AC$5:$AC$34,0)),"")="支",N(F2276)&lt;&gt;0),"✗ 这类是付款，金额填到支出列",IF(N(H2276)&lt;0,"⚠ 账户余额成负数了，核对一下","√"))))))))))))))))))</f>
      </c>
      <c r="O2276" s="78">
        <f>IF(D2276&lt;&gt;"",D2276,IF(AND(F2276="",G2276=""),"",IF(J2276&lt;&gt;"",IF(N(F2276)&gt;0,"客户回款","客户退款"),IF(K2276&lt;&gt;"",IF(N(G2276)&gt;0,"供应商付款","供应商退款"),IF(L2276&lt;&gt;"","费用支出","")))))</f>
      </c>
      <c r="P2276" s="78">
        <f>IF(O2276="","",IFERROR(INDEX(基础资料!$AE$5:$AE$34,MATCH(O2276,基础资料!$AC$5:$AC$34,0)),"未知"))</f>
      </c>
      <c r="Q2276" s="78">
        <f>IF(P2276="应收",COUNTIF(P$7:P2276,"应收"),"")</f>
      </c>
      <c r="R2276" s="78">
        <f>IF(P2276="应付",COUNTIF(P$7:P2276,"应付"),"")</f>
      </c>
      <c r="S2276" s="78">
        <f>N(F2276)-N(G2276)</f>
        <v>0</v>
      </c>
    </row>
    <row r="2277">
      <c r="A2277" s="109">
        <f>IF(AND(F2277="",G2277=""),"",ROW()-6)</f>
      </c>
      <c r="B2277" s="140" t="n"/>
      <c r="C2277" s="141" t="n"/>
      <c r="D2277" s="141" t="n"/>
      <c r="E2277" s="142" t="n"/>
      <c r="F2277" s="143" t="n"/>
      <c r="G2277" s="144" t="n"/>
      <c r="H2277" s="145">
        <f>IF(OR(C2277="",AND(F2277="",G2277="")),"",SUMIF(基础资料!$W$5:$W$24,C2277,基础资料!$X$5:$X$24)+SUMIF(C$7:C2277,C2277,F$7:F2277)-SUMIF(C$7:C2277,C2277,G$7:G2277))</f>
      </c>
      <c r="I2277" s="145">
        <f>IF(AND(F2277="",G2277=""),"",SUM(基础资料!$X$5:$X$24)+SUM(F$7:F2277)-SUM(G$7:G2277))</f>
      </c>
      <c r="J2277" s="141" t="n"/>
      <c r="K2277" s="141" t="n"/>
      <c r="L2277" s="141" t="n"/>
      <c r="M2277" s="142" t="n"/>
      <c r="N2277" s="146">
        <f>IF(AND(AND(F2277="",G2277=""),B2277="",C2277="",D2277="",J2277="",K2277="",L2277=""),"",IF(AND(F2277="",G2277=""),"✗ 没填金额",IF(AND(N(F2277)&lt;&gt;0,N(G2277)&lt;&gt;0),"✗ 收入、支出只能填一边",IF(NOT(ISNUMBER(B2277)),"✗ 日期不是真日期（要像 2026/9/25 这样填）",IF(OR(B2277&lt;年初日,B2277&gt;年末日),"✗ 日期不在本会计年度",IF(C2277="","✗ 没选账户",IF(COUNTIF(基础资料!$W$5:$W$24,C2277)=0,"✗ 账户不在基础资料里",IF(O2277="","✗ 没选收支项目",IF(P2277="未知","✗ 收支项目不在基础资料里",IF(AND(P2277="应收",J2277=""),"✗ 这笔要选客户",IF(AND(P2277="应收",COUNTIF(总览汇总!$B$5:$B$304,J2277)=0),"✗ 客户不在总览汇总名单里",IF(AND(P2277="应付",K2277=""),"✗ 这笔要选供应商",IF(AND(P2277="应付",COUNTIF(基础资料!$Q$5:$Q$54,K2277)=0),"✗ 供应商不在基础资料里",IF(AND(P2277="费用",L2277=""),"✗ 费用支出要选费用项目",IF(AND(L2277&lt;&gt;"",COUNTIF(基础资料!$AI$5:$AI$54,L2277)=0),"✗ 费用项目不在基础资料里",IF(AND(IFERROR(INDEX(基础资料!$AD$5:$AD$34,MATCH(O2277,基础资料!$AC$5:$AC$34,0)),"")="收",N(G2277)&lt;&gt;0),"✗ 这类是收款，金额填到收入列",IF(AND(IFERROR(INDEX(基础资料!$AD$5:$AD$34,MATCH(O2277,基础资料!$AC$5:$AC$34,0)),"")="支",N(F2277)&lt;&gt;0),"✗ 这类是付款，金额填到支出列",IF(N(H2277)&lt;0,"⚠ 账户余额成负数了，核对一下","√"))))))))))))))))))</f>
      </c>
      <c r="O2277" s="78">
        <f>IF(D2277&lt;&gt;"",D2277,IF(AND(F2277="",G2277=""),"",IF(J2277&lt;&gt;"",IF(N(F2277)&gt;0,"客户回款","客户退款"),IF(K2277&lt;&gt;"",IF(N(G2277)&gt;0,"供应商付款","供应商退款"),IF(L2277&lt;&gt;"","费用支出","")))))</f>
      </c>
      <c r="P2277" s="78">
        <f>IF(O2277="","",IFERROR(INDEX(基础资料!$AE$5:$AE$34,MATCH(O2277,基础资料!$AC$5:$AC$34,0)),"未知"))</f>
      </c>
      <c r="Q2277" s="78">
        <f>IF(P2277="应收",COUNTIF(P$7:P2277,"应收"),"")</f>
      </c>
      <c r="R2277" s="78">
        <f>IF(P2277="应付",COUNTIF(P$7:P2277,"应付"),"")</f>
      </c>
      <c r="S2277" s="78">
        <f>N(F2277)-N(G2277)</f>
        <v>0</v>
      </c>
    </row>
    <row r="2278">
      <c r="A2278" s="109">
        <f>IF(AND(F2278="",G2278=""),"",ROW()-6)</f>
      </c>
      <c r="B2278" s="140" t="n"/>
      <c r="C2278" s="141" t="n"/>
      <c r="D2278" s="141" t="n"/>
      <c r="E2278" s="142" t="n"/>
      <c r="F2278" s="143" t="n"/>
      <c r="G2278" s="144" t="n"/>
      <c r="H2278" s="145">
        <f>IF(OR(C2278="",AND(F2278="",G2278="")),"",SUMIF(基础资料!$W$5:$W$24,C2278,基础资料!$X$5:$X$24)+SUMIF(C$7:C2278,C2278,F$7:F2278)-SUMIF(C$7:C2278,C2278,G$7:G2278))</f>
      </c>
      <c r="I2278" s="145">
        <f>IF(AND(F2278="",G2278=""),"",SUM(基础资料!$X$5:$X$24)+SUM(F$7:F2278)-SUM(G$7:G2278))</f>
      </c>
      <c r="J2278" s="141" t="n"/>
      <c r="K2278" s="141" t="n"/>
      <c r="L2278" s="141" t="n"/>
      <c r="M2278" s="142" t="n"/>
      <c r="N2278" s="146">
        <f>IF(AND(AND(F2278="",G2278=""),B2278="",C2278="",D2278="",J2278="",K2278="",L2278=""),"",IF(AND(F2278="",G2278=""),"✗ 没填金额",IF(AND(N(F2278)&lt;&gt;0,N(G2278)&lt;&gt;0),"✗ 收入、支出只能填一边",IF(NOT(ISNUMBER(B2278)),"✗ 日期不是真日期（要像 2026/9/25 这样填）",IF(OR(B2278&lt;年初日,B2278&gt;年末日),"✗ 日期不在本会计年度",IF(C2278="","✗ 没选账户",IF(COUNTIF(基础资料!$W$5:$W$24,C2278)=0,"✗ 账户不在基础资料里",IF(O2278="","✗ 没选收支项目",IF(P2278="未知","✗ 收支项目不在基础资料里",IF(AND(P2278="应收",J2278=""),"✗ 这笔要选客户",IF(AND(P2278="应收",COUNTIF(总览汇总!$B$5:$B$304,J2278)=0),"✗ 客户不在总览汇总名单里",IF(AND(P2278="应付",K2278=""),"✗ 这笔要选供应商",IF(AND(P2278="应付",COUNTIF(基础资料!$Q$5:$Q$54,K2278)=0),"✗ 供应商不在基础资料里",IF(AND(P2278="费用",L2278=""),"✗ 费用支出要选费用项目",IF(AND(L2278&lt;&gt;"",COUNTIF(基础资料!$AI$5:$AI$54,L2278)=0),"✗ 费用项目不在基础资料里",IF(AND(IFERROR(INDEX(基础资料!$AD$5:$AD$34,MATCH(O2278,基础资料!$AC$5:$AC$34,0)),"")="收",N(G2278)&lt;&gt;0),"✗ 这类是收款，金额填到收入列",IF(AND(IFERROR(INDEX(基础资料!$AD$5:$AD$34,MATCH(O2278,基础资料!$AC$5:$AC$34,0)),"")="支",N(F2278)&lt;&gt;0),"✗ 这类是付款，金额填到支出列",IF(N(H2278)&lt;0,"⚠ 账户余额成负数了，核对一下","√"))))))))))))))))))</f>
      </c>
      <c r="O2278" s="78">
        <f>IF(D2278&lt;&gt;"",D2278,IF(AND(F2278="",G2278=""),"",IF(J2278&lt;&gt;"",IF(N(F2278)&gt;0,"客户回款","客户退款"),IF(K2278&lt;&gt;"",IF(N(G2278)&gt;0,"供应商付款","供应商退款"),IF(L2278&lt;&gt;"","费用支出","")))))</f>
      </c>
      <c r="P2278" s="78">
        <f>IF(O2278="","",IFERROR(INDEX(基础资料!$AE$5:$AE$34,MATCH(O2278,基础资料!$AC$5:$AC$34,0)),"未知"))</f>
      </c>
      <c r="Q2278" s="78">
        <f>IF(P2278="应收",COUNTIF(P$7:P2278,"应收"),"")</f>
      </c>
      <c r="R2278" s="78">
        <f>IF(P2278="应付",COUNTIF(P$7:P2278,"应付"),"")</f>
      </c>
      <c r="S2278" s="78">
        <f>N(F2278)-N(G2278)</f>
        <v>0</v>
      </c>
    </row>
    <row r="2279">
      <c r="A2279" s="109">
        <f>IF(AND(F2279="",G2279=""),"",ROW()-6)</f>
      </c>
      <c r="B2279" s="140" t="n"/>
      <c r="C2279" s="141" t="n"/>
      <c r="D2279" s="141" t="n"/>
      <c r="E2279" s="142" t="n"/>
      <c r="F2279" s="143" t="n"/>
      <c r="G2279" s="144" t="n"/>
      <c r="H2279" s="145">
        <f>IF(OR(C2279="",AND(F2279="",G2279="")),"",SUMIF(基础资料!$W$5:$W$24,C2279,基础资料!$X$5:$X$24)+SUMIF(C$7:C2279,C2279,F$7:F2279)-SUMIF(C$7:C2279,C2279,G$7:G2279))</f>
      </c>
      <c r="I2279" s="145">
        <f>IF(AND(F2279="",G2279=""),"",SUM(基础资料!$X$5:$X$24)+SUM(F$7:F2279)-SUM(G$7:G2279))</f>
      </c>
      <c r="J2279" s="141" t="n"/>
      <c r="K2279" s="141" t="n"/>
      <c r="L2279" s="141" t="n"/>
      <c r="M2279" s="142" t="n"/>
      <c r="N2279" s="146">
        <f>IF(AND(AND(F2279="",G2279=""),B2279="",C2279="",D2279="",J2279="",K2279="",L2279=""),"",IF(AND(F2279="",G2279=""),"✗ 没填金额",IF(AND(N(F2279)&lt;&gt;0,N(G2279)&lt;&gt;0),"✗ 收入、支出只能填一边",IF(NOT(ISNUMBER(B2279)),"✗ 日期不是真日期（要像 2026/9/25 这样填）",IF(OR(B2279&lt;年初日,B2279&gt;年末日),"✗ 日期不在本会计年度",IF(C2279="","✗ 没选账户",IF(COUNTIF(基础资料!$W$5:$W$24,C2279)=0,"✗ 账户不在基础资料里",IF(O2279="","✗ 没选收支项目",IF(P2279="未知","✗ 收支项目不在基础资料里",IF(AND(P2279="应收",J2279=""),"✗ 这笔要选客户",IF(AND(P2279="应收",COUNTIF(总览汇总!$B$5:$B$304,J2279)=0),"✗ 客户不在总览汇总名单里",IF(AND(P2279="应付",K2279=""),"✗ 这笔要选供应商",IF(AND(P2279="应付",COUNTIF(基础资料!$Q$5:$Q$54,K2279)=0),"✗ 供应商不在基础资料里",IF(AND(P2279="费用",L2279=""),"✗ 费用支出要选费用项目",IF(AND(L2279&lt;&gt;"",COUNTIF(基础资料!$AI$5:$AI$54,L2279)=0),"✗ 费用项目不在基础资料里",IF(AND(IFERROR(INDEX(基础资料!$AD$5:$AD$34,MATCH(O2279,基础资料!$AC$5:$AC$34,0)),"")="收",N(G2279)&lt;&gt;0),"✗ 这类是收款，金额填到收入列",IF(AND(IFERROR(INDEX(基础资料!$AD$5:$AD$34,MATCH(O2279,基础资料!$AC$5:$AC$34,0)),"")="支",N(F2279)&lt;&gt;0),"✗ 这类是付款，金额填到支出列",IF(N(H2279)&lt;0,"⚠ 账户余额成负数了，核对一下","√"))))))))))))))))))</f>
      </c>
      <c r="O2279" s="78">
        <f>IF(D2279&lt;&gt;"",D2279,IF(AND(F2279="",G2279=""),"",IF(J2279&lt;&gt;"",IF(N(F2279)&gt;0,"客户回款","客户退款"),IF(K2279&lt;&gt;"",IF(N(G2279)&gt;0,"供应商付款","供应商退款"),IF(L2279&lt;&gt;"","费用支出","")))))</f>
      </c>
      <c r="P2279" s="78">
        <f>IF(O2279="","",IFERROR(INDEX(基础资料!$AE$5:$AE$34,MATCH(O2279,基础资料!$AC$5:$AC$34,0)),"未知"))</f>
      </c>
      <c r="Q2279" s="78">
        <f>IF(P2279="应收",COUNTIF(P$7:P2279,"应收"),"")</f>
      </c>
      <c r="R2279" s="78">
        <f>IF(P2279="应付",COUNTIF(P$7:P2279,"应付"),"")</f>
      </c>
      <c r="S2279" s="78">
        <f>N(F2279)-N(G2279)</f>
        <v>0</v>
      </c>
    </row>
    <row r="2280">
      <c r="A2280" s="109">
        <f>IF(AND(F2280="",G2280=""),"",ROW()-6)</f>
      </c>
      <c r="B2280" s="140" t="n"/>
      <c r="C2280" s="141" t="n"/>
      <c r="D2280" s="141" t="n"/>
      <c r="E2280" s="142" t="n"/>
      <c r="F2280" s="143" t="n"/>
      <c r="G2280" s="144" t="n"/>
      <c r="H2280" s="145">
        <f>IF(OR(C2280="",AND(F2280="",G2280="")),"",SUMIF(基础资料!$W$5:$W$24,C2280,基础资料!$X$5:$X$24)+SUMIF(C$7:C2280,C2280,F$7:F2280)-SUMIF(C$7:C2280,C2280,G$7:G2280))</f>
      </c>
      <c r="I2280" s="145">
        <f>IF(AND(F2280="",G2280=""),"",SUM(基础资料!$X$5:$X$24)+SUM(F$7:F2280)-SUM(G$7:G2280))</f>
      </c>
      <c r="J2280" s="141" t="n"/>
      <c r="K2280" s="141" t="n"/>
      <c r="L2280" s="141" t="n"/>
      <c r="M2280" s="142" t="n"/>
      <c r="N2280" s="146">
        <f>IF(AND(AND(F2280="",G2280=""),B2280="",C2280="",D2280="",J2280="",K2280="",L2280=""),"",IF(AND(F2280="",G2280=""),"✗ 没填金额",IF(AND(N(F2280)&lt;&gt;0,N(G2280)&lt;&gt;0),"✗ 收入、支出只能填一边",IF(NOT(ISNUMBER(B2280)),"✗ 日期不是真日期（要像 2026/9/25 这样填）",IF(OR(B2280&lt;年初日,B2280&gt;年末日),"✗ 日期不在本会计年度",IF(C2280="","✗ 没选账户",IF(COUNTIF(基础资料!$W$5:$W$24,C2280)=0,"✗ 账户不在基础资料里",IF(O2280="","✗ 没选收支项目",IF(P2280="未知","✗ 收支项目不在基础资料里",IF(AND(P2280="应收",J2280=""),"✗ 这笔要选客户",IF(AND(P2280="应收",COUNTIF(总览汇总!$B$5:$B$304,J2280)=0),"✗ 客户不在总览汇总名单里",IF(AND(P2280="应付",K2280=""),"✗ 这笔要选供应商",IF(AND(P2280="应付",COUNTIF(基础资料!$Q$5:$Q$54,K2280)=0),"✗ 供应商不在基础资料里",IF(AND(P2280="费用",L2280=""),"✗ 费用支出要选费用项目",IF(AND(L2280&lt;&gt;"",COUNTIF(基础资料!$AI$5:$AI$54,L2280)=0),"✗ 费用项目不在基础资料里",IF(AND(IFERROR(INDEX(基础资料!$AD$5:$AD$34,MATCH(O2280,基础资料!$AC$5:$AC$34,0)),"")="收",N(G2280)&lt;&gt;0),"✗ 这类是收款，金额填到收入列",IF(AND(IFERROR(INDEX(基础资料!$AD$5:$AD$34,MATCH(O2280,基础资料!$AC$5:$AC$34,0)),"")="支",N(F2280)&lt;&gt;0),"✗ 这类是付款，金额填到支出列",IF(N(H2280)&lt;0,"⚠ 账户余额成负数了，核对一下","√"))))))))))))))))))</f>
      </c>
      <c r="O2280" s="78">
        <f>IF(D2280&lt;&gt;"",D2280,IF(AND(F2280="",G2280=""),"",IF(J2280&lt;&gt;"",IF(N(F2280)&gt;0,"客户回款","客户退款"),IF(K2280&lt;&gt;"",IF(N(G2280)&gt;0,"供应商付款","供应商退款"),IF(L2280&lt;&gt;"","费用支出","")))))</f>
      </c>
      <c r="P2280" s="78">
        <f>IF(O2280="","",IFERROR(INDEX(基础资料!$AE$5:$AE$34,MATCH(O2280,基础资料!$AC$5:$AC$34,0)),"未知"))</f>
      </c>
      <c r="Q2280" s="78">
        <f>IF(P2280="应收",COUNTIF(P$7:P2280,"应收"),"")</f>
      </c>
      <c r="R2280" s="78">
        <f>IF(P2280="应付",COUNTIF(P$7:P2280,"应付"),"")</f>
      </c>
      <c r="S2280" s="78">
        <f>N(F2280)-N(G2280)</f>
        <v>0</v>
      </c>
    </row>
    <row r="2281">
      <c r="A2281" s="109">
        <f>IF(AND(F2281="",G2281=""),"",ROW()-6)</f>
      </c>
      <c r="B2281" s="140" t="n"/>
      <c r="C2281" s="141" t="n"/>
      <c r="D2281" s="141" t="n"/>
      <c r="E2281" s="142" t="n"/>
      <c r="F2281" s="143" t="n"/>
      <c r="G2281" s="144" t="n"/>
      <c r="H2281" s="145">
        <f>IF(OR(C2281="",AND(F2281="",G2281="")),"",SUMIF(基础资料!$W$5:$W$24,C2281,基础资料!$X$5:$X$24)+SUMIF(C$7:C2281,C2281,F$7:F2281)-SUMIF(C$7:C2281,C2281,G$7:G2281))</f>
      </c>
      <c r="I2281" s="145">
        <f>IF(AND(F2281="",G2281=""),"",SUM(基础资料!$X$5:$X$24)+SUM(F$7:F2281)-SUM(G$7:G2281))</f>
      </c>
      <c r="J2281" s="141" t="n"/>
      <c r="K2281" s="141" t="n"/>
      <c r="L2281" s="141" t="n"/>
      <c r="M2281" s="142" t="n"/>
      <c r="N2281" s="146">
        <f>IF(AND(AND(F2281="",G2281=""),B2281="",C2281="",D2281="",J2281="",K2281="",L2281=""),"",IF(AND(F2281="",G2281=""),"✗ 没填金额",IF(AND(N(F2281)&lt;&gt;0,N(G2281)&lt;&gt;0),"✗ 收入、支出只能填一边",IF(NOT(ISNUMBER(B2281)),"✗ 日期不是真日期（要像 2026/9/25 这样填）",IF(OR(B2281&lt;年初日,B2281&gt;年末日),"✗ 日期不在本会计年度",IF(C2281="","✗ 没选账户",IF(COUNTIF(基础资料!$W$5:$W$24,C2281)=0,"✗ 账户不在基础资料里",IF(O2281="","✗ 没选收支项目",IF(P2281="未知","✗ 收支项目不在基础资料里",IF(AND(P2281="应收",J2281=""),"✗ 这笔要选客户",IF(AND(P2281="应收",COUNTIF(总览汇总!$B$5:$B$304,J2281)=0),"✗ 客户不在总览汇总名单里",IF(AND(P2281="应付",K2281=""),"✗ 这笔要选供应商",IF(AND(P2281="应付",COUNTIF(基础资料!$Q$5:$Q$54,K2281)=0),"✗ 供应商不在基础资料里",IF(AND(P2281="费用",L2281=""),"✗ 费用支出要选费用项目",IF(AND(L2281&lt;&gt;"",COUNTIF(基础资料!$AI$5:$AI$54,L2281)=0),"✗ 费用项目不在基础资料里",IF(AND(IFERROR(INDEX(基础资料!$AD$5:$AD$34,MATCH(O2281,基础资料!$AC$5:$AC$34,0)),"")="收",N(G2281)&lt;&gt;0),"✗ 这类是收款，金额填到收入列",IF(AND(IFERROR(INDEX(基础资料!$AD$5:$AD$34,MATCH(O2281,基础资料!$AC$5:$AC$34,0)),"")="支",N(F2281)&lt;&gt;0),"✗ 这类是付款，金额填到支出列",IF(N(H2281)&lt;0,"⚠ 账户余额成负数了，核对一下","√"))))))))))))))))))</f>
      </c>
      <c r="O2281" s="78">
        <f>IF(D2281&lt;&gt;"",D2281,IF(AND(F2281="",G2281=""),"",IF(J2281&lt;&gt;"",IF(N(F2281)&gt;0,"客户回款","客户退款"),IF(K2281&lt;&gt;"",IF(N(G2281)&gt;0,"供应商付款","供应商退款"),IF(L2281&lt;&gt;"","费用支出","")))))</f>
      </c>
      <c r="P2281" s="78">
        <f>IF(O2281="","",IFERROR(INDEX(基础资料!$AE$5:$AE$34,MATCH(O2281,基础资料!$AC$5:$AC$34,0)),"未知"))</f>
      </c>
      <c r="Q2281" s="78">
        <f>IF(P2281="应收",COUNTIF(P$7:P2281,"应收"),"")</f>
      </c>
      <c r="R2281" s="78">
        <f>IF(P2281="应付",COUNTIF(P$7:P2281,"应付"),"")</f>
      </c>
      <c r="S2281" s="78">
        <f>N(F2281)-N(G2281)</f>
        <v>0</v>
      </c>
    </row>
    <row r="2282">
      <c r="A2282" s="109">
        <f>IF(AND(F2282="",G2282=""),"",ROW()-6)</f>
      </c>
      <c r="B2282" s="140" t="n"/>
      <c r="C2282" s="141" t="n"/>
      <c r="D2282" s="141" t="n"/>
      <c r="E2282" s="142" t="n"/>
      <c r="F2282" s="143" t="n"/>
      <c r="G2282" s="144" t="n"/>
      <c r="H2282" s="145">
        <f>IF(OR(C2282="",AND(F2282="",G2282="")),"",SUMIF(基础资料!$W$5:$W$24,C2282,基础资料!$X$5:$X$24)+SUMIF(C$7:C2282,C2282,F$7:F2282)-SUMIF(C$7:C2282,C2282,G$7:G2282))</f>
      </c>
      <c r="I2282" s="145">
        <f>IF(AND(F2282="",G2282=""),"",SUM(基础资料!$X$5:$X$24)+SUM(F$7:F2282)-SUM(G$7:G2282))</f>
      </c>
      <c r="J2282" s="141" t="n"/>
      <c r="K2282" s="141" t="n"/>
      <c r="L2282" s="141" t="n"/>
      <c r="M2282" s="142" t="n"/>
      <c r="N2282" s="146">
        <f>IF(AND(AND(F2282="",G2282=""),B2282="",C2282="",D2282="",J2282="",K2282="",L2282=""),"",IF(AND(F2282="",G2282=""),"✗ 没填金额",IF(AND(N(F2282)&lt;&gt;0,N(G2282)&lt;&gt;0),"✗ 收入、支出只能填一边",IF(NOT(ISNUMBER(B2282)),"✗ 日期不是真日期（要像 2026/9/25 这样填）",IF(OR(B2282&lt;年初日,B2282&gt;年末日),"✗ 日期不在本会计年度",IF(C2282="","✗ 没选账户",IF(COUNTIF(基础资料!$W$5:$W$24,C2282)=0,"✗ 账户不在基础资料里",IF(O2282="","✗ 没选收支项目",IF(P2282="未知","✗ 收支项目不在基础资料里",IF(AND(P2282="应收",J2282=""),"✗ 这笔要选客户",IF(AND(P2282="应收",COUNTIF(总览汇总!$B$5:$B$304,J2282)=0),"✗ 客户不在总览汇总名单里",IF(AND(P2282="应付",K2282=""),"✗ 这笔要选供应商",IF(AND(P2282="应付",COUNTIF(基础资料!$Q$5:$Q$54,K2282)=0),"✗ 供应商不在基础资料里",IF(AND(P2282="费用",L2282=""),"✗ 费用支出要选费用项目",IF(AND(L2282&lt;&gt;"",COUNTIF(基础资料!$AI$5:$AI$54,L2282)=0),"✗ 费用项目不在基础资料里",IF(AND(IFERROR(INDEX(基础资料!$AD$5:$AD$34,MATCH(O2282,基础资料!$AC$5:$AC$34,0)),"")="收",N(G2282)&lt;&gt;0),"✗ 这类是收款，金额填到收入列",IF(AND(IFERROR(INDEX(基础资料!$AD$5:$AD$34,MATCH(O2282,基础资料!$AC$5:$AC$34,0)),"")="支",N(F2282)&lt;&gt;0),"✗ 这类是付款，金额填到支出列",IF(N(H2282)&lt;0,"⚠ 账户余额成负数了，核对一下","√"))))))))))))))))))</f>
      </c>
      <c r="O2282" s="78">
        <f>IF(D2282&lt;&gt;"",D2282,IF(AND(F2282="",G2282=""),"",IF(J2282&lt;&gt;"",IF(N(F2282)&gt;0,"客户回款","客户退款"),IF(K2282&lt;&gt;"",IF(N(G2282)&gt;0,"供应商付款","供应商退款"),IF(L2282&lt;&gt;"","费用支出","")))))</f>
      </c>
      <c r="P2282" s="78">
        <f>IF(O2282="","",IFERROR(INDEX(基础资料!$AE$5:$AE$34,MATCH(O2282,基础资料!$AC$5:$AC$34,0)),"未知"))</f>
      </c>
      <c r="Q2282" s="78">
        <f>IF(P2282="应收",COUNTIF(P$7:P2282,"应收"),"")</f>
      </c>
      <c r="R2282" s="78">
        <f>IF(P2282="应付",COUNTIF(P$7:P2282,"应付"),"")</f>
      </c>
      <c r="S2282" s="78">
        <f>N(F2282)-N(G2282)</f>
        <v>0</v>
      </c>
    </row>
    <row r="2283">
      <c r="A2283" s="109">
        <f>IF(AND(F2283="",G2283=""),"",ROW()-6)</f>
      </c>
      <c r="B2283" s="140" t="n"/>
      <c r="C2283" s="141" t="n"/>
      <c r="D2283" s="141" t="n"/>
      <c r="E2283" s="142" t="n"/>
      <c r="F2283" s="143" t="n"/>
      <c r="G2283" s="144" t="n"/>
      <c r="H2283" s="145">
        <f>IF(OR(C2283="",AND(F2283="",G2283="")),"",SUMIF(基础资料!$W$5:$W$24,C2283,基础资料!$X$5:$X$24)+SUMIF(C$7:C2283,C2283,F$7:F2283)-SUMIF(C$7:C2283,C2283,G$7:G2283))</f>
      </c>
      <c r="I2283" s="145">
        <f>IF(AND(F2283="",G2283=""),"",SUM(基础资料!$X$5:$X$24)+SUM(F$7:F2283)-SUM(G$7:G2283))</f>
      </c>
      <c r="J2283" s="141" t="n"/>
      <c r="K2283" s="141" t="n"/>
      <c r="L2283" s="141" t="n"/>
      <c r="M2283" s="142" t="n"/>
      <c r="N2283" s="146">
        <f>IF(AND(AND(F2283="",G2283=""),B2283="",C2283="",D2283="",J2283="",K2283="",L2283=""),"",IF(AND(F2283="",G2283=""),"✗ 没填金额",IF(AND(N(F2283)&lt;&gt;0,N(G2283)&lt;&gt;0),"✗ 收入、支出只能填一边",IF(NOT(ISNUMBER(B2283)),"✗ 日期不是真日期（要像 2026/9/25 这样填）",IF(OR(B2283&lt;年初日,B2283&gt;年末日),"✗ 日期不在本会计年度",IF(C2283="","✗ 没选账户",IF(COUNTIF(基础资料!$W$5:$W$24,C2283)=0,"✗ 账户不在基础资料里",IF(O2283="","✗ 没选收支项目",IF(P2283="未知","✗ 收支项目不在基础资料里",IF(AND(P2283="应收",J2283=""),"✗ 这笔要选客户",IF(AND(P2283="应收",COUNTIF(总览汇总!$B$5:$B$304,J2283)=0),"✗ 客户不在总览汇总名单里",IF(AND(P2283="应付",K2283=""),"✗ 这笔要选供应商",IF(AND(P2283="应付",COUNTIF(基础资料!$Q$5:$Q$54,K2283)=0),"✗ 供应商不在基础资料里",IF(AND(P2283="费用",L2283=""),"✗ 费用支出要选费用项目",IF(AND(L2283&lt;&gt;"",COUNTIF(基础资料!$AI$5:$AI$54,L2283)=0),"✗ 费用项目不在基础资料里",IF(AND(IFERROR(INDEX(基础资料!$AD$5:$AD$34,MATCH(O2283,基础资料!$AC$5:$AC$34,0)),"")="收",N(G2283)&lt;&gt;0),"✗ 这类是收款，金额填到收入列",IF(AND(IFERROR(INDEX(基础资料!$AD$5:$AD$34,MATCH(O2283,基础资料!$AC$5:$AC$34,0)),"")="支",N(F2283)&lt;&gt;0),"✗ 这类是付款，金额填到支出列",IF(N(H2283)&lt;0,"⚠ 账户余额成负数了，核对一下","√"))))))))))))))))))</f>
      </c>
      <c r="O2283" s="78">
        <f>IF(D2283&lt;&gt;"",D2283,IF(AND(F2283="",G2283=""),"",IF(J2283&lt;&gt;"",IF(N(F2283)&gt;0,"客户回款","客户退款"),IF(K2283&lt;&gt;"",IF(N(G2283)&gt;0,"供应商付款","供应商退款"),IF(L2283&lt;&gt;"","费用支出","")))))</f>
      </c>
      <c r="P2283" s="78">
        <f>IF(O2283="","",IFERROR(INDEX(基础资料!$AE$5:$AE$34,MATCH(O2283,基础资料!$AC$5:$AC$34,0)),"未知"))</f>
      </c>
      <c r="Q2283" s="78">
        <f>IF(P2283="应收",COUNTIF(P$7:P2283,"应收"),"")</f>
      </c>
      <c r="R2283" s="78">
        <f>IF(P2283="应付",COUNTIF(P$7:P2283,"应付"),"")</f>
      </c>
      <c r="S2283" s="78">
        <f>N(F2283)-N(G2283)</f>
        <v>0</v>
      </c>
    </row>
    <row r="2284">
      <c r="A2284" s="109">
        <f>IF(AND(F2284="",G2284=""),"",ROW()-6)</f>
      </c>
      <c r="B2284" s="140" t="n"/>
      <c r="C2284" s="141" t="n"/>
      <c r="D2284" s="141" t="n"/>
      <c r="E2284" s="142" t="n"/>
      <c r="F2284" s="143" t="n"/>
      <c r="G2284" s="144" t="n"/>
      <c r="H2284" s="145">
        <f>IF(OR(C2284="",AND(F2284="",G2284="")),"",SUMIF(基础资料!$W$5:$W$24,C2284,基础资料!$X$5:$X$24)+SUMIF(C$7:C2284,C2284,F$7:F2284)-SUMIF(C$7:C2284,C2284,G$7:G2284))</f>
      </c>
      <c r="I2284" s="145">
        <f>IF(AND(F2284="",G2284=""),"",SUM(基础资料!$X$5:$X$24)+SUM(F$7:F2284)-SUM(G$7:G2284))</f>
      </c>
      <c r="J2284" s="141" t="n"/>
      <c r="K2284" s="141" t="n"/>
      <c r="L2284" s="141" t="n"/>
      <c r="M2284" s="142" t="n"/>
      <c r="N2284" s="146">
        <f>IF(AND(AND(F2284="",G2284=""),B2284="",C2284="",D2284="",J2284="",K2284="",L2284=""),"",IF(AND(F2284="",G2284=""),"✗ 没填金额",IF(AND(N(F2284)&lt;&gt;0,N(G2284)&lt;&gt;0),"✗ 收入、支出只能填一边",IF(NOT(ISNUMBER(B2284)),"✗ 日期不是真日期（要像 2026/9/25 这样填）",IF(OR(B2284&lt;年初日,B2284&gt;年末日),"✗ 日期不在本会计年度",IF(C2284="","✗ 没选账户",IF(COUNTIF(基础资料!$W$5:$W$24,C2284)=0,"✗ 账户不在基础资料里",IF(O2284="","✗ 没选收支项目",IF(P2284="未知","✗ 收支项目不在基础资料里",IF(AND(P2284="应收",J2284=""),"✗ 这笔要选客户",IF(AND(P2284="应收",COUNTIF(总览汇总!$B$5:$B$304,J2284)=0),"✗ 客户不在总览汇总名单里",IF(AND(P2284="应付",K2284=""),"✗ 这笔要选供应商",IF(AND(P2284="应付",COUNTIF(基础资料!$Q$5:$Q$54,K2284)=0),"✗ 供应商不在基础资料里",IF(AND(P2284="费用",L2284=""),"✗ 费用支出要选费用项目",IF(AND(L2284&lt;&gt;"",COUNTIF(基础资料!$AI$5:$AI$54,L2284)=0),"✗ 费用项目不在基础资料里",IF(AND(IFERROR(INDEX(基础资料!$AD$5:$AD$34,MATCH(O2284,基础资料!$AC$5:$AC$34,0)),"")="收",N(G2284)&lt;&gt;0),"✗ 这类是收款，金额填到收入列",IF(AND(IFERROR(INDEX(基础资料!$AD$5:$AD$34,MATCH(O2284,基础资料!$AC$5:$AC$34,0)),"")="支",N(F2284)&lt;&gt;0),"✗ 这类是付款，金额填到支出列",IF(N(H2284)&lt;0,"⚠ 账户余额成负数了，核对一下","√"))))))))))))))))))</f>
      </c>
      <c r="O2284" s="78">
        <f>IF(D2284&lt;&gt;"",D2284,IF(AND(F2284="",G2284=""),"",IF(J2284&lt;&gt;"",IF(N(F2284)&gt;0,"客户回款","客户退款"),IF(K2284&lt;&gt;"",IF(N(G2284)&gt;0,"供应商付款","供应商退款"),IF(L2284&lt;&gt;"","费用支出","")))))</f>
      </c>
      <c r="P2284" s="78">
        <f>IF(O2284="","",IFERROR(INDEX(基础资料!$AE$5:$AE$34,MATCH(O2284,基础资料!$AC$5:$AC$34,0)),"未知"))</f>
      </c>
      <c r="Q2284" s="78">
        <f>IF(P2284="应收",COUNTIF(P$7:P2284,"应收"),"")</f>
      </c>
      <c r="R2284" s="78">
        <f>IF(P2284="应付",COUNTIF(P$7:P2284,"应付"),"")</f>
      </c>
      <c r="S2284" s="78">
        <f>N(F2284)-N(G2284)</f>
        <v>0</v>
      </c>
    </row>
    <row r="2285">
      <c r="A2285" s="109">
        <f>IF(AND(F2285="",G2285=""),"",ROW()-6)</f>
      </c>
      <c r="B2285" s="140" t="n"/>
      <c r="C2285" s="141" t="n"/>
      <c r="D2285" s="141" t="n"/>
      <c r="E2285" s="142" t="n"/>
      <c r="F2285" s="143" t="n"/>
      <c r="G2285" s="144" t="n"/>
      <c r="H2285" s="145">
        <f>IF(OR(C2285="",AND(F2285="",G2285="")),"",SUMIF(基础资料!$W$5:$W$24,C2285,基础资料!$X$5:$X$24)+SUMIF(C$7:C2285,C2285,F$7:F2285)-SUMIF(C$7:C2285,C2285,G$7:G2285))</f>
      </c>
      <c r="I2285" s="145">
        <f>IF(AND(F2285="",G2285=""),"",SUM(基础资料!$X$5:$X$24)+SUM(F$7:F2285)-SUM(G$7:G2285))</f>
      </c>
      <c r="J2285" s="141" t="n"/>
      <c r="K2285" s="141" t="n"/>
      <c r="L2285" s="141" t="n"/>
      <c r="M2285" s="142" t="n"/>
      <c r="N2285" s="146">
        <f>IF(AND(AND(F2285="",G2285=""),B2285="",C2285="",D2285="",J2285="",K2285="",L2285=""),"",IF(AND(F2285="",G2285=""),"✗ 没填金额",IF(AND(N(F2285)&lt;&gt;0,N(G2285)&lt;&gt;0),"✗ 收入、支出只能填一边",IF(NOT(ISNUMBER(B2285)),"✗ 日期不是真日期（要像 2026/9/25 这样填）",IF(OR(B2285&lt;年初日,B2285&gt;年末日),"✗ 日期不在本会计年度",IF(C2285="","✗ 没选账户",IF(COUNTIF(基础资料!$W$5:$W$24,C2285)=0,"✗ 账户不在基础资料里",IF(O2285="","✗ 没选收支项目",IF(P2285="未知","✗ 收支项目不在基础资料里",IF(AND(P2285="应收",J2285=""),"✗ 这笔要选客户",IF(AND(P2285="应收",COUNTIF(总览汇总!$B$5:$B$304,J2285)=0),"✗ 客户不在总览汇总名单里",IF(AND(P2285="应付",K2285=""),"✗ 这笔要选供应商",IF(AND(P2285="应付",COUNTIF(基础资料!$Q$5:$Q$54,K2285)=0),"✗ 供应商不在基础资料里",IF(AND(P2285="费用",L2285=""),"✗ 费用支出要选费用项目",IF(AND(L2285&lt;&gt;"",COUNTIF(基础资料!$AI$5:$AI$54,L2285)=0),"✗ 费用项目不在基础资料里",IF(AND(IFERROR(INDEX(基础资料!$AD$5:$AD$34,MATCH(O2285,基础资料!$AC$5:$AC$34,0)),"")="收",N(G2285)&lt;&gt;0),"✗ 这类是收款，金额填到收入列",IF(AND(IFERROR(INDEX(基础资料!$AD$5:$AD$34,MATCH(O2285,基础资料!$AC$5:$AC$34,0)),"")="支",N(F2285)&lt;&gt;0),"✗ 这类是付款，金额填到支出列",IF(N(H2285)&lt;0,"⚠ 账户余额成负数了，核对一下","√"))))))))))))))))))</f>
      </c>
      <c r="O2285" s="78">
        <f>IF(D2285&lt;&gt;"",D2285,IF(AND(F2285="",G2285=""),"",IF(J2285&lt;&gt;"",IF(N(F2285)&gt;0,"客户回款","客户退款"),IF(K2285&lt;&gt;"",IF(N(G2285)&gt;0,"供应商付款","供应商退款"),IF(L2285&lt;&gt;"","费用支出","")))))</f>
      </c>
      <c r="P2285" s="78">
        <f>IF(O2285="","",IFERROR(INDEX(基础资料!$AE$5:$AE$34,MATCH(O2285,基础资料!$AC$5:$AC$34,0)),"未知"))</f>
      </c>
      <c r="Q2285" s="78">
        <f>IF(P2285="应收",COUNTIF(P$7:P2285,"应收"),"")</f>
      </c>
      <c r="R2285" s="78">
        <f>IF(P2285="应付",COUNTIF(P$7:P2285,"应付"),"")</f>
      </c>
      <c r="S2285" s="78">
        <f>N(F2285)-N(G2285)</f>
        <v>0</v>
      </c>
    </row>
    <row r="2286">
      <c r="A2286" s="109">
        <f>IF(AND(F2286="",G2286=""),"",ROW()-6)</f>
      </c>
      <c r="B2286" s="140" t="n"/>
      <c r="C2286" s="141" t="n"/>
      <c r="D2286" s="141" t="n"/>
      <c r="E2286" s="142" t="n"/>
      <c r="F2286" s="143" t="n"/>
      <c r="G2286" s="144" t="n"/>
      <c r="H2286" s="145">
        <f>IF(OR(C2286="",AND(F2286="",G2286="")),"",SUMIF(基础资料!$W$5:$W$24,C2286,基础资料!$X$5:$X$24)+SUMIF(C$7:C2286,C2286,F$7:F2286)-SUMIF(C$7:C2286,C2286,G$7:G2286))</f>
      </c>
      <c r="I2286" s="145">
        <f>IF(AND(F2286="",G2286=""),"",SUM(基础资料!$X$5:$X$24)+SUM(F$7:F2286)-SUM(G$7:G2286))</f>
      </c>
      <c r="J2286" s="141" t="n"/>
      <c r="K2286" s="141" t="n"/>
      <c r="L2286" s="141" t="n"/>
      <c r="M2286" s="142" t="n"/>
      <c r="N2286" s="146">
        <f>IF(AND(AND(F2286="",G2286=""),B2286="",C2286="",D2286="",J2286="",K2286="",L2286=""),"",IF(AND(F2286="",G2286=""),"✗ 没填金额",IF(AND(N(F2286)&lt;&gt;0,N(G2286)&lt;&gt;0),"✗ 收入、支出只能填一边",IF(NOT(ISNUMBER(B2286)),"✗ 日期不是真日期（要像 2026/9/25 这样填）",IF(OR(B2286&lt;年初日,B2286&gt;年末日),"✗ 日期不在本会计年度",IF(C2286="","✗ 没选账户",IF(COUNTIF(基础资料!$W$5:$W$24,C2286)=0,"✗ 账户不在基础资料里",IF(O2286="","✗ 没选收支项目",IF(P2286="未知","✗ 收支项目不在基础资料里",IF(AND(P2286="应收",J2286=""),"✗ 这笔要选客户",IF(AND(P2286="应收",COUNTIF(总览汇总!$B$5:$B$304,J2286)=0),"✗ 客户不在总览汇总名单里",IF(AND(P2286="应付",K2286=""),"✗ 这笔要选供应商",IF(AND(P2286="应付",COUNTIF(基础资料!$Q$5:$Q$54,K2286)=0),"✗ 供应商不在基础资料里",IF(AND(P2286="费用",L2286=""),"✗ 费用支出要选费用项目",IF(AND(L2286&lt;&gt;"",COUNTIF(基础资料!$AI$5:$AI$54,L2286)=0),"✗ 费用项目不在基础资料里",IF(AND(IFERROR(INDEX(基础资料!$AD$5:$AD$34,MATCH(O2286,基础资料!$AC$5:$AC$34,0)),"")="收",N(G2286)&lt;&gt;0),"✗ 这类是收款，金额填到收入列",IF(AND(IFERROR(INDEX(基础资料!$AD$5:$AD$34,MATCH(O2286,基础资料!$AC$5:$AC$34,0)),"")="支",N(F2286)&lt;&gt;0),"✗ 这类是付款，金额填到支出列",IF(N(H2286)&lt;0,"⚠ 账户余额成负数了，核对一下","√"))))))))))))))))))</f>
      </c>
      <c r="O2286" s="78">
        <f>IF(D2286&lt;&gt;"",D2286,IF(AND(F2286="",G2286=""),"",IF(J2286&lt;&gt;"",IF(N(F2286)&gt;0,"客户回款","客户退款"),IF(K2286&lt;&gt;"",IF(N(G2286)&gt;0,"供应商付款","供应商退款"),IF(L2286&lt;&gt;"","费用支出","")))))</f>
      </c>
      <c r="P2286" s="78">
        <f>IF(O2286="","",IFERROR(INDEX(基础资料!$AE$5:$AE$34,MATCH(O2286,基础资料!$AC$5:$AC$34,0)),"未知"))</f>
      </c>
      <c r="Q2286" s="78">
        <f>IF(P2286="应收",COUNTIF(P$7:P2286,"应收"),"")</f>
      </c>
      <c r="R2286" s="78">
        <f>IF(P2286="应付",COUNTIF(P$7:P2286,"应付"),"")</f>
      </c>
      <c r="S2286" s="78">
        <f>N(F2286)-N(G2286)</f>
        <v>0</v>
      </c>
    </row>
    <row r="2287">
      <c r="A2287" s="109">
        <f>IF(AND(F2287="",G2287=""),"",ROW()-6)</f>
      </c>
      <c r="B2287" s="140" t="n"/>
      <c r="C2287" s="141" t="n"/>
      <c r="D2287" s="141" t="n"/>
      <c r="E2287" s="142" t="n"/>
      <c r="F2287" s="143" t="n"/>
      <c r="G2287" s="144" t="n"/>
      <c r="H2287" s="145">
        <f>IF(OR(C2287="",AND(F2287="",G2287="")),"",SUMIF(基础资料!$W$5:$W$24,C2287,基础资料!$X$5:$X$24)+SUMIF(C$7:C2287,C2287,F$7:F2287)-SUMIF(C$7:C2287,C2287,G$7:G2287))</f>
      </c>
      <c r="I2287" s="145">
        <f>IF(AND(F2287="",G2287=""),"",SUM(基础资料!$X$5:$X$24)+SUM(F$7:F2287)-SUM(G$7:G2287))</f>
      </c>
      <c r="J2287" s="141" t="n"/>
      <c r="K2287" s="141" t="n"/>
      <c r="L2287" s="141" t="n"/>
      <c r="M2287" s="142" t="n"/>
      <c r="N2287" s="146">
        <f>IF(AND(AND(F2287="",G2287=""),B2287="",C2287="",D2287="",J2287="",K2287="",L2287=""),"",IF(AND(F2287="",G2287=""),"✗ 没填金额",IF(AND(N(F2287)&lt;&gt;0,N(G2287)&lt;&gt;0),"✗ 收入、支出只能填一边",IF(NOT(ISNUMBER(B2287)),"✗ 日期不是真日期（要像 2026/9/25 这样填）",IF(OR(B2287&lt;年初日,B2287&gt;年末日),"✗ 日期不在本会计年度",IF(C2287="","✗ 没选账户",IF(COUNTIF(基础资料!$W$5:$W$24,C2287)=0,"✗ 账户不在基础资料里",IF(O2287="","✗ 没选收支项目",IF(P2287="未知","✗ 收支项目不在基础资料里",IF(AND(P2287="应收",J2287=""),"✗ 这笔要选客户",IF(AND(P2287="应收",COUNTIF(总览汇总!$B$5:$B$304,J2287)=0),"✗ 客户不在总览汇总名单里",IF(AND(P2287="应付",K2287=""),"✗ 这笔要选供应商",IF(AND(P2287="应付",COUNTIF(基础资料!$Q$5:$Q$54,K2287)=0),"✗ 供应商不在基础资料里",IF(AND(P2287="费用",L2287=""),"✗ 费用支出要选费用项目",IF(AND(L2287&lt;&gt;"",COUNTIF(基础资料!$AI$5:$AI$54,L2287)=0),"✗ 费用项目不在基础资料里",IF(AND(IFERROR(INDEX(基础资料!$AD$5:$AD$34,MATCH(O2287,基础资料!$AC$5:$AC$34,0)),"")="收",N(G2287)&lt;&gt;0),"✗ 这类是收款，金额填到收入列",IF(AND(IFERROR(INDEX(基础资料!$AD$5:$AD$34,MATCH(O2287,基础资料!$AC$5:$AC$34,0)),"")="支",N(F2287)&lt;&gt;0),"✗ 这类是付款，金额填到支出列",IF(N(H2287)&lt;0,"⚠ 账户余额成负数了，核对一下","√"))))))))))))))))))</f>
      </c>
      <c r="O2287" s="78">
        <f>IF(D2287&lt;&gt;"",D2287,IF(AND(F2287="",G2287=""),"",IF(J2287&lt;&gt;"",IF(N(F2287)&gt;0,"客户回款","客户退款"),IF(K2287&lt;&gt;"",IF(N(G2287)&gt;0,"供应商付款","供应商退款"),IF(L2287&lt;&gt;"","费用支出","")))))</f>
      </c>
      <c r="P2287" s="78">
        <f>IF(O2287="","",IFERROR(INDEX(基础资料!$AE$5:$AE$34,MATCH(O2287,基础资料!$AC$5:$AC$34,0)),"未知"))</f>
      </c>
      <c r="Q2287" s="78">
        <f>IF(P2287="应收",COUNTIF(P$7:P2287,"应收"),"")</f>
      </c>
      <c r="R2287" s="78">
        <f>IF(P2287="应付",COUNTIF(P$7:P2287,"应付"),"")</f>
      </c>
      <c r="S2287" s="78">
        <f>N(F2287)-N(G2287)</f>
        <v>0</v>
      </c>
    </row>
    <row r="2288">
      <c r="A2288" s="109">
        <f>IF(AND(F2288="",G2288=""),"",ROW()-6)</f>
      </c>
      <c r="B2288" s="140" t="n"/>
      <c r="C2288" s="141" t="n"/>
      <c r="D2288" s="141" t="n"/>
      <c r="E2288" s="142" t="n"/>
      <c r="F2288" s="143" t="n"/>
      <c r="G2288" s="144" t="n"/>
      <c r="H2288" s="145">
        <f>IF(OR(C2288="",AND(F2288="",G2288="")),"",SUMIF(基础资料!$W$5:$W$24,C2288,基础资料!$X$5:$X$24)+SUMIF(C$7:C2288,C2288,F$7:F2288)-SUMIF(C$7:C2288,C2288,G$7:G2288))</f>
      </c>
      <c r="I2288" s="145">
        <f>IF(AND(F2288="",G2288=""),"",SUM(基础资料!$X$5:$X$24)+SUM(F$7:F2288)-SUM(G$7:G2288))</f>
      </c>
      <c r="J2288" s="141" t="n"/>
      <c r="K2288" s="141" t="n"/>
      <c r="L2288" s="141" t="n"/>
      <c r="M2288" s="142" t="n"/>
      <c r="N2288" s="146">
        <f>IF(AND(AND(F2288="",G2288=""),B2288="",C2288="",D2288="",J2288="",K2288="",L2288=""),"",IF(AND(F2288="",G2288=""),"✗ 没填金额",IF(AND(N(F2288)&lt;&gt;0,N(G2288)&lt;&gt;0),"✗ 收入、支出只能填一边",IF(NOT(ISNUMBER(B2288)),"✗ 日期不是真日期（要像 2026/9/25 这样填）",IF(OR(B2288&lt;年初日,B2288&gt;年末日),"✗ 日期不在本会计年度",IF(C2288="","✗ 没选账户",IF(COUNTIF(基础资料!$W$5:$W$24,C2288)=0,"✗ 账户不在基础资料里",IF(O2288="","✗ 没选收支项目",IF(P2288="未知","✗ 收支项目不在基础资料里",IF(AND(P2288="应收",J2288=""),"✗ 这笔要选客户",IF(AND(P2288="应收",COUNTIF(总览汇总!$B$5:$B$304,J2288)=0),"✗ 客户不在总览汇总名单里",IF(AND(P2288="应付",K2288=""),"✗ 这笔要选供应商",IF(AND(P2288="应付",COUNTIF(基础资料!$Q$5:$Q$54,K2288)=0),"✗ 供应商不在基础资料里",IF(AND(P2288="费用",L2288=""),"✗ 费用支出要选费用项目",IF(AND(L2288&lt;&gt;"",COUNTIF(基础资料!$AI$5:$AI$54,L2288)=0),"✗ 费用项目不在基础资料里",IF(AND(IFERROR(INDEX(基础资料!$AD$5:$AD$34,MATCH(O2288,基础资料!$AC$5:$AC$34,0)),"")="收",N(G2288)&lt;&gt;0),"✗ 这类是收款，金额填到收入列",IF(AND(IFERROR(INDEX(基础资料!$AD$5:$AD$34,MATCH(O2288,基础资料!$AC$5:$AC$34,0)),"")="支",N(F2288)&lt;&gt;0),"✗ 这类是付款，金额填到支出列",IF(N(H2288)&lt;0,"⚠ 账户余额成负数了，核对一下","√"))))))))))))))))))</f>
      </c>
      <c r="O2288" s="78">
        <f>IF(D2288&lt;&gt;"",D2288,IF(AND(F2288="",G2288=""),"",IF(J2288&lt;&gt;"",IF(N(F2288)&gt;0,"客户回款","客户退款"),IF(K2288&lt;&gt;"",IF(N(G2288)&gt;0,"供应商付款","供应商退款"),IF(L2288&lt;&gt;"","费用支出","")))))</f>
      </c>
      <c r="P2288" s="78">
        <f>IF(O2288="","",IFERROR(INDEX(基础资料!$AE$5:$AE$34,MATCH(O2288,基础资料!$AC$5:$AC$34,0)),"未知"))</f>
      </c>
      <c r="Q2288" s="78">
        <f>IF(P2288="应收",COUNTIF(P$7:P2288,"应收"),"")</f>
      </c>
      <c r="R2288" s="78">
        <f>IF(P2288="应付",COUNTIF(P$7:P2288,"应付"),"")</f>
      </c>
      <c r="S2288" s="78">
        <f>N(F2288)-N(G2288)</f>
        <v>0</v>
      </c>
    </row>
    <row r="2289">
      <c r="A2289" s="109">
        <f>IF(AND(F2289="",G2289=""),"",ROW()-6)</f>
      </c>
      <c r="B2289" s="140" t="n"/>
      <c r="C2289" s="141" t="n"/>
      <c r="D2289" s="141" t="n"/>
      <c r="E2289" s="142" t="n"/>
      <c r="F2289" s="143" t="n"/>
      <c r="G2289" s="144" t="n"/>
      <c r="H2289" s="145">
        <f>IF(OR(C2289="",AND(F2289="",G2289="")),"",SUMIF(基础资料!$W$5:$W$24,C2289,基础资料!$X$5:$X$24)+SUMIF(C$7:C2289,C2289,F$7:F2289)-SUMIF(C$7:C2289,C2289,G$7:G2289))</f>
      </c>
      <c r="I2289" s="145">
        <f>IF(AND(F2289="",G2289=""),"",SUM(基础资料!$X$5:$X$24)+SUM(F$7:F2289)-SUM(G$7:G2289))</f>
      </c>
      <c r="J2289" s="141" t="n"/>
      <c r="K2289" s="141" t="n"/>
      <c r="L2289" s="141" t="n"/>
      <c r="M2289" s="142" t="n"/>
      <c r="N2289" s="146">
        <f>IF(AND(AND(F2289="",G2289=""),B2289="",C2289="",D2289="",J2289="",K2289="",L2289=""),"",IF(AND(F2289="",G2289=""),"✗ 没填金额",IF(AND(N(F2289)&lt;&gt;0,N(G2289)&lt;&gt;0),"✗ 收入、支出只能填一边",IF(NOT(ISNUMBER(B2289)),"✗ 日期不是真日期（要像 2026/9/25 这样填）",IF(OR(B2289&lt;年初日,B2289&gt;年末日),"✗ 日期不在本会计年度",IF(C2289="","✗ 没选账户",IF(COUNTIF(基础资料!$W$5:$W$24,C2289)=0,"✗ 账户不在基础资料里",IF(O2289="","✗ 没选收支项目",IF(P2289="未知","✗ 收支项目不在基础资料里",IF(AND(P2289="应收",J2289=""),"✗ 这笔要选客户",IF(AND(P2289="应收",COUNTIF(总览汇总!$B$5:$B$304,J2289)=0),"✗ 客户不在总览汇总名单里",IF(AND(P2289="应付",K2289=""),"✗ 这笔要选供应商",IF(AND(P2289="应付",COUNTIF(基础资料!$Q$5:$Q$54,K2289)=0),"✗ 供应商不在基础资料里",IF(AND(P2289="费用",L2289=""),"✗ 费用支出要选费用项目",IF(AND(L2289&lt;&gt;"",COUNTIF(基础资料!$AI$5:$AI$54,L2289)=0),"✗ 费用项目不在基础资料里",IF(AND(IFERROR(INDEX(基础资料!$AD$5:$AD$34,MATCH(O2289,基础资料!$AC$5:$AC$34,0)),"")="收",N(G2289)&lt;&gt;0),"✗ 这类是收款，金额填到收入列",IF(AND(IFERROR(INDEX(基础资料!$AD$5:$AD$34,MATCH(O2289,基础资料!$AC$5:$AC$34,0)),"")="支",N(F2289)&lt;&gt;0),"✗ 这类是付款，金额填到支出列",IF(N(H2289)&lt;0,"⚠ 账户余额成负数了，核对一下","√"))))))))))))))))))</f>
      </c>
      <c r="O2289" s="78">
        <f>IF(D2289&lt;&gt;"",D2289,IF(AND(F2289="",G2289=""),"",IF(J2289&lt;&gt;"",IF(N(F2289)&gt;0,"客户回款","客户退款"),IF(K2289&lt;&gt;"",IF(N(G2289)&gt;0,"供应商付款","供应商退款"),IF(L2289&lt;&gt;"","费用支出","")))))</f>
      </c>
      <c r="P2289" s="78">
        <f>IF(O2289="","",IFERROR(INDEX(基础资料!$AE$5:$AE$34,MATCH(O2289,基础资料!$AC$5:$AC$34,0)),"未知"))</f>
      </c>
      <c r="Q2289" s="78">
        <f>IF(P2289="应收",COUNTIF(P$7:P2289,"应收"),"")</f>
      </c>
      <c r="R2289" s="78">
        <f>IF(P2289="应付",COUNTIF(P$7:P2289,"应付"),"")</f>
      </c>
      <c r="S2289" s="78">
        <f>N(F2289)-N(G2289)</f>
        <v>0</v>
      </c>
    </row>
    <row r="2290">
      <c r="A2290" s="109">
        <f>IF(AND(F2290="",G2290=""),"",ROW()-6)</f>
      </c>
      <c r="B2290" s="140" t="n"/>
      <c r="C2290" s="141" t="n"/>
      <c r="D2290" s="141" t="n"/>
      <c r="E2290" s="142" t="n"/>
      <c r="F2290" s="143" t="n"/>
      <c r="G2290" s="144" t="n"/>
      <c r="H2290" s="145">
        <f>IF(OR(C2290="",AND(F2290="",G2290="")),"",SUMIF(基础资料!$W$5:$W$24,C2290,基础资料!$X$5:$X$24)+SUMIF(C$7:C2290,C2290,F$7:F2290)-SUMIF(C$7:C2290,C2290,G$7:G2290))</f>
      </c>
      <c r="I2290" s="145">
        <f>IF(AND(F2290="",G2290=""),"",SUM(基础资料!$X$5:$X$24)+SUM(F$7:F2290)-SUM(G$7:G2290))</f>
      </c>
      <c r="J2290" s="141" t="n"/>
      <c r="K2290" s="141" t="n"/>
      <c r="L2290" s="141" t="n"/>
      <c r="M2290" s="142" t="n"/>
      <c r="N2290" s="146">
        <f>IF(AND(AND(F2290="",G2290=""),B2290="",C2290="",D2290="",J2290="",K2290="",L2290=""),"",IF(AND(F2290="",G2290=""),"✗ 没填金额",IF(AND(N(F2290)&lt;&gt;0,N(G2290)&lt;&gt;0),"✗ 收入、支出只能填一边",IF(NOT(ISNUMBER(B2290)),"✗ 日期不是真日期（要像 2026/9/25 这样填）",IF(OR(B2290&lt;年初日,B2290&gt;年末日),"✗ 日期不在本会计年度",IF(C2290="","✗ 没选账户",IF(COUNTIF(基础资料!$W$5:$W$24,C2290)=0,"✗ 账户不在基础资料里",IF(O2290="","✗ 没选收支项目",IF(P2290="未知","✗ 收支项目不在基础资料里",IF(AND(P2290="应收",J2290=""),"✗ 这笔要选客户",IF(AND(P2290="应收",COUNTIF(总览汇总!$B$5:$B$304,J2290)=0),"✗ 客户不在总览汇总名单里",IF(AND(P2290="应付",K2290=""),"✗ 这笔要选供应商",IF(AND(P2290="应付",COUNTIF(基础资料!$Q$5:$Q$54,K2290)=0),"✗ 供应商不在基础资料里",IF(AND(P2290="费用",L2290=""),"✗ 费用支出要选费用项目",IF(AND(L2290&lt;&gt;"",COUNTIF(基础资料!$AI$5:$AI$54,L2290)=0),"✗ 费用项目不在基础资料里",IF(AND(IFERROR(INDEX(基础资料!$AD$5:$AD$34,MATCH(O2290,基础资料!$AC$5:$AC$34,0)),"")="收",N(G2290)&lt;&gt;0),"✗ 这类是收款，金额填到收入列",IF(AND(IFERROR(INDEX(基础资料!$AD$5:$AD$34,MATCH(O2290,基础资料!$AC$5:$AC$34,0)),"")="支",N(F2290)&lt;&gt;0),"✗ 这类是付款，金额填到支出列",IF(N(H2290)&lt;0,"⚠ 账户余额成负数了，核对一下","√"))))))))))))))))))</f>
      </c>
      <c r="O2290" s="78">
        <f>IF(D2290&lt;&gt;"",D2290,IF(AND(F2290="",G2290=""),"",IF(J2290&lt;&gt;"",IF(N(F2290)&gt;0,"客户回款","客户退款"),IF(K2290&lt;&gt;"",IF(N(G2290)&gt;0,"供应商付款","供应商退款"),IF(L2290&lt;&gt;"","费用支出","")))))</f>
      </c>
      <c r="P2290" s="78">
        <f>IF(O2290="","",IFERROR(INDEX(基础资料!$AE$5:$AE$34,MATCH(O2290,基础资料!$AC$5:$AC$34,0)),"未知"))</f>
      </c>
      <c r="Q2290" s="78">
        <f>IF(P2290="应收",COUNTIF(P$7:P2290,"应收"),"")</f>
      </c>
      <c r="R2290" s="78">
        <f>IF(P2290="应付",COUNTIF(P$7:P2290,"应付"),"")</f>
      </c>
      <c r="S2290" s="78">
        <f>N(F2290)-N(G2290)</f>
        <v>0</v>
      </c>
    </row>
    <row r="2291">
      <c r="A2291" s="109">
        <f>IF(AND(F2291="",G2291=""),"",ROW()-6)</f>
      </c>
      <c r="B2291" s="140" t="n"/>
      <c r="C2291" s="141" t="n"/>
      <c r="D2291" s="141" t="n"/>
      <c r="E2291" s="142" t="n"/>
      <c r="F2291" s="143" t="n"/>
      <c r="G2291" s="144" t="n"/>
      <c r="H2291" s="145">
        <f>IF(OR(C2291="",AND(F2291="",G2291="")),"",SUMIF(基础资料!$W$5:$W$24,C2291,基础资料!$X$5:$X$24)+SUMIF(C$7:C2291,C2291,F$7:F2291)-SUMIF(C$7:C2291,C2291,G$7:G2291))</f>
      </c>
      <c r="I2291" s="145">
        <f>IF(AND(F2291="",G2291=""),"",SUM(基础资料!$X$5:$X$24)+SUM(F$7:F2291)-SUM(G$7:G2291))</f>
      </c>
      <c r="J2291" s="141" t="n"/>
      <c r="K2291" s="141" t="n"/>
      <c r="L2291" s="141" t="n"/>
      <c r="M2291" s="142" t="n"/>
      <c r="N2291" s="146">
        <f>IF(AND(AND(F2291="",G2291=""),B2291="",C2291="",D2291="",J2291="",K2291="",L2291=""),"",IF(AND(F2291="",G2291=""),"✗ 没填金额",IF(AND(N(F2291)&lt;&gt;0,N(G2291)&lt;&gt;0),"✗ 收入、支出只能填一边",IF(NOT(ISNUMBER(B2291)),"✗ 日期不是真日期（要像 2026/9/25 这样填）",IF(OR(B2291&lt;年初日,B2291&gt;年末日),"✗ 日期不在本会计年度",IF(C2291="","✗ 没选账户",IF(COUNTIF(基础资料!$W$5:$W$24,C2291)=0,"✗ 账户不在基础资料里",IF(O2291="","✗ 没选收支项目",IF(P2291="未知","✗ 收支项目不在基础资料里",IF(AND(P2291="应收",J2291=""),"✗ 这笔要选客户",IF(AND(P2291="应收",COUNTIF(总览汇总!$B$5:$B$304,J2291)=0),"✗ 客户不在总览汇总名单里",IF(AND(P2291="应付",K2291=""),"✗ 这笔要选供应商",IF(AND(P2291="应付",COUNTIF(基础资料!$Q$5:$Q$54,K2291)=0),"✗ 供应商不在基础资料里",IF(AND(P2291="费用",L2291=""),"✗ 费用支出要选费用项目",IF(AND(L2291&lt;&gt;"",COUNTIF(基础资料!$AI$5:$AI$54,L2291)=0),"✗ 费用项目不在基础资料里",IF(AND(IFERROR(INDEX(基础资料!$AD$5:$AD$34,MATCH(O2291,基础资料!$AC$5:$AC$34,0)),"")="收",N(G2291)&lt;&gt;0),"✗ 这类是收款，金额填到收入列",IF(AND(IFERROR(INDEX(基础资料!$AD$5:$AD$34,MATCH(O2291,基础资料!$AC$5:$AC$34,0)),"")="支",N(F2291)&lt;&gt;0),"✗ 这类是付款，金额填到支出列",IF(N(H2291)&lt;0,"⚠ 账户余额成负数了，核对一下","√"))))))))))))))))))</f>
      </c>
      <c r="O2291" s="78">
        <f>IF(D2291&lt;&gt;"",D2291,IF(AND(F2291="",G2291=""),"",IF(J2291&lt;&gt;"",IF(N(F2291)&gt;0,"客户回款","客户退款"),IF(K2291&lt;&gt;"",IF(N(G2291)&gt;0,"供应商付款","供应商退款"),IF(L2291&lt;&gt;"","费用支出","")))))</f>
      </c>
      <c r="P2291" s="78">
        <f>IF(O2291="","",IFERROR(INDEX(基础资料!$AE$5:$AE$34,MATCH(O2291,基础资料!$AC$5:$AC$34,0)),"未知"))</f>
      </c>
      <c r="Q2291" s="78">
        <f>IF(P2291="应收",COUNTIF(P$7:P2291,"应收"),"")</f>
      </c>
      <c r="R2291" s="78">
        <f>IF(P2291="应付",COUNTIF(P$7:P2291,"应付"),"")</f>
      </c>
      <c r="S2291" s="78">
        <f>N(F2291)-N(G2291)</f>
        <v>0</v>
      </c>
    </row>
    <row r="2292">
      <c r="A2292" s="109">
        <f>IF(AND(F2292="",G2292=""),"",ROW()-6)</f>
      </c>
      <c r="B2292" s="140" t="n"/>
      <c r="C2292" s="141" t="n"/>
      <c r="D2292" s="141" t="n"/>
      <c r="E2292" s="142" t="n"/>
      <c r="F2292" s="143" t="n"/>
      <c r="G2292" s="144" t="n"/>
      <c r="H2292" s="145">
        <f>IF(OR(C2292="",AND(F2292="",G2292="")),"",SUMIF(基础资料!$W$5:$W$24,C2292,基础资料!$X$5:$X$24)+SUMIF(C$7:C2292,C2292,F$7:F2292)-SUMIF(C$7:C2292,C2292,G$7:G2292))</f>
      </c>
      <c r="I2292" s="145">
        <f>IF(AND(F2292="",G2292=""),"",SUM(基础资料!$X$5:$X$24)+SUM(F$7:F2292)-SUM(G$7:G2292))</f>
      </c>
      <c r="J2292" s="141" t="n"/>
      <c r="K2292" s="141" t="n"/>
      <c r="L2292" s="141" t="n"/>
      <c r="M2292" s="142" t="n"/>
      <c r="N2292" s="146">
        <f>IF(AND(AND(F2292="",G2292=""),B2292="",C2292="",D2292="",J2292="",K2292="",L2292=""),"",IF(AND(F2292="",G2292=""),"✗ 没填金额",IF(AND(N(F2292)&lt;&gt;0,N(G2292)&lt;&gt;0),"✗ 收入、支出只能填一边",IF(NOT(ISNUMBER(B2292)),"✗ 日期不是真日期（要像 2026/9/25 这样填）",IF(OR(B2292&lt;年初日,B2292&gt;年末日),"✗ 日期不在本会计年度",IF(C2292="","✗ 没选账户",IF(COUNTIF(基础资料!$W$5:$W$24,C2292)=0,"✗ 账户不在基础资料里",IF(O2292="","✗ 没选收支项目",IF(P2292="未知","✗ 收支项目不在基础资料里",IF(AND(P2292="应收",J2292=""),"✗ 这笔要选客户",IF(AND(P2292="应收",COUNTIF(总览汇总!$B$5:$B$304,J2292)=0),"✗ 客户不在总览汇总名单里",IF(AND(P2292="应付",K2292=""),"✗ 这笔要选供应商",IF(AND(P2292="应付",COUNTIF(基础资料!$Q$5:$Q$54,K2292)=0),"✗ 供应商不在基础资料里",IF(AND(P2292="费用",L2292=""),"✗ 费用支出要选费用项目",IF(AND(L2292&lt;&gt;"",COUNTIF(基础资料!$AI$5:$AI$54,L2292)=0),"✗ 费用项目不在基础资料里",IF(AND(IFERROR(INDEX(基础资料!$AD$5:$AD$34,MATCH(O2292,基础资料!$AC$5:$AC$34,0)),"")="收",N(G2292)&lt;&gt;0),"✗ 这类是收款，金额填到收入列",IF(AND(IFERROR(INDEX(基础资料!$AD$5:$AD$34,MATCH(O2292,基础资料!$AC$5:$AC$34,0)),"")="支",N(F2292)&lt;&gt;0),"✗ 这类是付款，金额填到支出列",IF(N(H2292)&lt;0,"⚠ 账户余额成负数了，核对一下","√"))))))))))))))))))</f>
      </c>
      <c r="O2292" s="78">
        <f>IF(D2292&lt;&gt;"",D2292,IF(AND(F2292="",G2292=""),"",IF(J2292&lt;&gt;"",IF(N(F2292)&gt;0,"客户回款","客户退款"),IF(K2292&lt;&gt;"",IF(N(G2292)&gt;0,"供应商付款","供应商退款"),IF(L2292&lt;&gt;"","费用支出","")))))</f>
      </c>
      <c r="P2292" s="78">
        <f>IF(O2292="","",IFERROR(INDEX(基础资料!$AE$5:$AE$34,MATCH(O2292,基础资料!$AC$5:$AC$34,0)),"未知"))</f>
      </c>
      <c r="Q2292" s="78">
        <f>IF(P2292="应收",COUNTIF(P$7:P2292,"应收"),"")</f>
      </c>
      <c r="R2292" s="78">
        <f>IF(P2292="应付",COUNTIF(P$7:P2292,"应付"),"")</f>
      </c>
      <c r="S2292" s="78">
        <f>N(F2292)-N(G2292)</f>
        <v>0</v>
      </c>
    </row>
    <row r="2293">
      <c r="A2293" s="109">
        <f>IF(AND(F2293="",G2293=""),"",ROW()-6)</f>
      </c>
      <c r="B2293" s="140" t="n"/>
      <c r="C2293" s="141" t="n"/>
      <c r="D2293" s="141" t="n"/>
      <c r="E2293" s="142" t="n"/>
      <c r="F2293" s="143" t="n"/>
      <c r="G2293" s="144" t="n"/>
      <c r="H2293" s="145">
        <f>IF(OR(C2293="",AND(F2293="",G2293="")),"",SUMIF(基础资料!$W$5:$W$24,C2293,基础资料!$X$5:$X$24)+SUMIF(C$7:C2293,C2293,F$7:F2293)-SUMIF(C$7:C2293,C2293,G$7:G2293))</f>
      </c>
      <c r="I2293" s="145">
        <f>IF(AND(F2293="",G2293=""),"",SUM(基础资料!$X$5:$X$24)+SUM(F$7:F2293)-SUM(G$7:G2293))</f>
      </c>
      <c r="J2293" s="141" t="n"/>
      <c r="K2293" s="141" t="n"/>
      <c r="L2293" s="141" t="n"/>
      <c r="M2293" s="142" t="n"/>
      <c r="N2293" s="146">
        <f>IF(AND(AND(F2293="",G2293=""),B2293="",C2293="",D2293="",J2293="",K2293="",L2293=""),"",IF(AND(F2293="",G2293=""),"✗ 没填金额",IF(AND(N(F2293)&lt;&gt;0,N(G2293)&lt;&gt;0),"✗ 收入、支出只能填一边",IF(NOT(ISNUMBER(B2293)),"✗ 日期不是真日期（要像 2026/9/25 这样填）",IF(OR(B2293&lt;年初日,B2293&gt;年末日),"✗ 日期不在本会计年度",IF(C2293="","✗ 没选账户",IF(COUNTIF(基础资料!$W$5:$W$24,C2293)=0,"✗ 账户不在基础资料里",IF(O2293="","✗ 没选收支项目",IF(P2293="未知","✗ 收支项目不在基础资料里",IF(AND(P2293="应收",J2293=""),"✗ 这笔要选客户",IF(AND(P2293="应收",COUNTIF(总览汇总!$B$5:$B$304,J2293)=0),"✗ 客户不在总览汇总名单里",IF(AND(P2293="应付",K2293=""),"✗ 这笔要选供应商",IF(AND(P2293="应付",COUNTIF(基础资料!$Q$5:$Q$54,K2293)=0),"✗ 供应商不在基础资料里",IF(AND(P2293="费用",L2293=""),"✗ 费用支出要选费用项目",IF(AND(L2293&lt;&gt;"",COUNTIF(基础资料!$AI$5:$AI$54,L2293)=0),"✗ 费用项目不在基础资料里",IF(AND(IFERROR(INDEX(基础资料!$AD$5:$AD$34,MATCH(O2293,基础资料!$AC$5:$AC$34,0)),"")="收",N(G2293)&lt;&gt;0),"✗ 这类是收款，金额填到收入列",IF(AND(IFERROR(INDEX(基础资料!$AD$5:$AD$34,MATCH(O2293,基础资料!$AC$5:$AC$34,0)),"")="支",N(F2293)&lt;&gt;0),"✗ 这类是付款，金额填到支出列",IF(N(H2293)&lt;0,"⚠ 账户余额成负数了，核对一下","√"))))))))))))))))))</f>
      </c>
      <c r="O2293" s="78">
        <f>IF(D2293&lt;&gt;"",D2293,IF(AND(F2293="",G2293=""),"",IF(J2293&lt;&gt;"",IF(N(F2293)&gt;0,"客户回款","客户退款"),IF(K2293&lt;&gt;"",IF(N(G2293)&gt;0,"供应商付款","供应商退款"),IF(L2293&lt;&gt;"","费用支出","")))))</f>
      </c>
      <c r="P2293" s="78">
        <f>IF(O2293="","",IFERROR(INDEX(基础资料!$AE$5:$AE$34,MATCH(O2293,基础资料!$AC$5:$AC$34,0)),"未知"))</f>
      </c>
      <c r="Q2293" s="78">
        <f>IF(P2293="应收",COUNTIF(P$7:P2293,"应收"),"")</f>
      </c>
      <c r="R2293" s="78">
        <f>IF(P2293="应付",COUNTIF(P$7:P2293,"应付"),"")</f>
      </c>
      <c r="S2293" s="78">
        <f>N(F2293)-N(G2293)</f>
        <v>0</v>
      </c>
    </row>
    <row r="2294">
      <c r="A2294" s="109">
        <f>IF(AND(F2294="",G2294=""),"",ROW()-6)</f>
      </c>
      <c r="B2294" s="140" t="n"/>
      <c r="C2294" s="141" t="n"/>
      <c r="D2294" s="141" t="n"/>
      <c r="E2294" s="142" t="n"/>
      <c r="F2294" s="143" t="n"/>
      <c r="G2294" s="144" t="n"/>
      <c r="H2294" s="145">
        <f>IF(OR(C2294="",AND(F2294="",G2294="")),"",SUMIF(基础资料!$W$5:$W$24,C2294,基础资料!$X$5:$X$24)+SUMIF(C$7:C2294,C2294,F$7:F2294)-SUMIF(C$7:C2294,C2294,G$7:G2294))</f>
      </c>
      <c r="I2294" s="145">
        <f>IF(AND(F2294="",G2294=""),"",SUM(基础资料!$X$5:$X$24)+SUM(F$7:F2294)-SUM(G$7:G2294))</f>
      </c>
      <c r="J2294" s="141" t="n"/>
      <c r="K2294" s="141" t="n"/>
      <c r="L2294" s="141" t="n"/>
      <c r="M2294" s="142" t="n"/>
      <c r="N2294" s="146">
        <f>IF(AND(AND(F2294="",G2294=""),B2294="",C2294="",D2294="",J2294="",K2294="",L2294=""),"",IF(AND(F2294="",G2294=""),"✗ 没填金额",IF(AND(N(F2294)&lt;&gt;0,N(G2294)&lt;&gt;0),"✗ 收入、支出只能填一边",IF(NOT(ISNUMBER(B2294)),"✗ 日期不是真日期（要像 2026/9/25 这样填）",IF(OR(B2294&lt;年初日,B2294&gt;年末日),"✗ 日期不在本会计年度",IF(C2294="","✗ 没选账户",IF(COUNTIF(基础资料!$W$5:$W$24,C2294)=0,"✗ 账户不在基础资料里",IF(O2294="","✗ 没选收支项目",IF(P2294="未知","✗ 收支项目不在基础资料里",IF(AND(P2294="应收",J2294=""),"✗ 这笔要选客户",IF(AND(P2294="应收",COUNTIF(总览汇总!$B$5:$B$304,J2294)=0),"✗ 客户不在总览汇总名单里",IF(AND(P2294="应付",K2294=""),"✗ 这笔要选供应商",IF(AND(P2294="应付",COUNTIF(基础资料!$Q$5:$Q$54,K2294)=0),"✗ 供应商不在基础资料里",IF(AND(P2294="费用",L2294=""),"✗ 费用支出要选费用项目",IF(AND(L2294&lt;&gt;"",COUNTIF(基础资料!$AI$5:$AI$54,L2294)=0),"✗ 费用项目不在基础资料里",IF(AND(IFERROR(INDEX(基础资料!$AD$5:$AD$34,MATCH(O2294,基础资料!$AC$5:$AC$34,0)),"")="收",N(G2294)&lt;&gt;0),"✗ 这类是收款，金额填到收入列",IF(AND(IFERROR(INDEX(基础资料!$AD$5:$AD$34,MATCH(O2294,基础资料!$AC$5:$AC$34,0)),"")="支",N(F2294)&lt;&gt;0),"✗ 这类是付款，金额填到支出列",IF(N(H2294)&lt;0,"⚠ 账户余额成负数了，核对一下","√"))))))))))))))))))</f>
      </c>
      <c r="O2294" s="78">
        <f>IF(D2294&lt;&gt;"",D2294,IF(AND(F2294="",G2294=""),"",IF(J2294&lt;&gt;"",IF(N(F2294)&gt;0,"客户回款","客户退款"),IF(K2294&lt;&gt;"",IF(N(G2294)&gt;0,"供应商付款","供应商退款"),IF(L2294&lt;&gt;"","费用支出","")))))</f>
      </c>
      <c r="P2294" s="78">
        <f>IF(O2294="","",IFERROR(INDEX(基础资料!$AE$5:$AE$34,MATCH(O2294,基础资料!$AC$5:$AC$34,0)),"未知"))</f>
      </c>
      <c r="Q2294" s="78">
        <f>IF(P2294="应收",COUNTIF(P$7:P2294,"应收"),"")</f>
      </c>
      <c r="R2294" s="78">
        <f>IF(P2294="应付",COUNTIF(P$7:P2294,"应付"),"")</f>
      </c>
      <c r="S2294" s="78">
        <f>N(F2294)-N(G2294)</f>
        <v>0</v>
      </c>
    </row>
    <row r="2295">
      <c r="A2295" s="109">
        <f>IF(AND(F2295="",G2295=""),"",ROW()-6)</f>
      </c>
      <c r="B2295" s="140" t="n"/>
      <c r="C2295" s="141" t="n"/>
      <c r="D2295" s="141" t="n"/>
      <c r="E2295" s="142" t="n"/>
      <c r="F2295" s="143" t="n"/>
      <c r="G2295" s="144" t="n"/>
      <c r="H2295" s="145">
        <f>IF(OR(C2295="",AND(F2295="",G2295="")),"",SUMIF(基础资料!$W$5:$W$24,C2295,基础资料!$X$5:$X$24)+SUMIF(C$7:C2295,C2295,F$7:F2295)-SUMIF(C$7:C2295,C2295,G$7:G2295))</f>
      </c>
      <c r="I2295" s="145">
        <f>IF(AND(F2295="",G2295=""),"",SUM(基础资料!$X$5:$X$24)+SUM(F$7:F2295)-SUM(G$7:G2295))</f>
      </c>
      <c r="J2295" s="141" t="n"/>
      <c r="K2295" s="141" t="n"/>
      <c r="L2295" s="141" t="n"/>
      <c r="M2295" s="142" t="n"/>
      <c r="N2295" s="146">
        <f>IF(AND(AND(F2295="",G2295=""),B2295="",C2295="",D2295="",J2295="",K2295="",L2295=""),"",IF(AND(F2295="",G2295=""),"✗ 没填金额",IF(AND(N(F2295)&lt;&gt;0,N(G2295)&lt;&gt;0),"✗ 收入、支出只能填一边",IF(NOT(ISNUMBER(B2295)),"✗ 日期不是真日期（要像 2026/9/25 这样填）",IF(OR(B2295&lt;年初日,B2295&gt;年末日),"✗ 日期不在本会计年度",IF(C2295="","✗ 没选账户",IF(COUNTIF(基础资料!$W$5:$W$24,C2295)=0,"✗ 账户不在基础资料里",IF(O2295="","✗ 没选收支项目",IF(P2295="未知","✗ 收支项目不在基础资料里",IF(AND(P2295="应收",J2295=""),"✗ 这笔要选客户",IF(AND(P2295="应收",COUNTIF(总览汇总!$B$5:$B$304,J2295)=0),"✗ 客户不在总览汇总名单里",IF(AND(P2295="应付",K2295=""),"✗ 这笔要选供应商",IF(AND(P2295="应付",COUNTIF(基础资料!$Q$5:$Q$54,K2295)=0),"✗ 供应商不在基础资料里",IF(AND(P2295="费用",L2295=""),"✗ 费用支出要选费用项目",IF(AND(L2295&lt;&gt;"",COUNTIF(基础资料!$AI$5:$AI$54,L2295)=0),"✗ 费用项目不在基础资料里",IF(AND(IFERROR(INDEX(基础资料!$AD$5:$AD$34,MATCH(O2295,基础资料!$AC$5:$AC$34,0)),"")="收",N(G2295)&lt;&gt;0),"✗ 这类是收款，金额填到收入列",IF(AND(IFERROR(INDEX(基础资料!$AD$5:$AD$34,MATCH(O2295,基础资料!$AC$5:$AC$34,0)),"")="支",N(F2295)&lt;&gt;0),"✗ 这类是付款，金额填到支出列",IF(N(H2295)&lt;0,"⚠ 账户余额成负数了，核对一下","√"))))))))))))))))))</f>
      </c>
      <c r="O2295" s="78">
        <f>IF(D2295&lt;&gt;"",D2295,IF(AND(F2295="",G2295=""),"",IF(J2295&lt;&gt;"",IF(N(F2295)&gt;0,"客户回款","客户退款"),IF(K2295&lt;&gt;"",IF(N(G2295)&gt;0,"供应商付款","供应商退款"),IF(L2295&lt;&gt;"","费用支出","")))))</f>
      </c>
      <c r="P2295" s="78">
        <f>IF(O2295="","",IFERROR(INDEX(基础资料!$AE$5:$AE$34,MATCH(O2295,基础资料!$AC$5:$AC$34,0)),"未知"))</f>
      </c>
      <c r="Q2295" s="78">
        <f>IF(P2295="应收",COUNTIF(P$7:P2295,"应收"),"")</f>
      </c>
      <c r="R2295" s="78">
        <f>IF(P2295="应付",COUNTIF(P$7:P2295,"应付"),"")</f>
      </c>
      <c r="S2295" s="78">
        <f>N(F2295)-N(G2295)</f>
        <v>0</v>
      </c>
    </row>
    <row r="2296">
      <c r="A2296" s="109">
        <f>IF(AND(F2296="",G2296=""),"",ROW()-6)</f>
      </c>
      <c r="B2296" s="140" t="n"/>
      <c r="C2296" s="141" t="n"/>
      <c r="D2296" s="141" t="n"/>
      <c r="E2296" s="142" t="n"/>
      <c r="F2296" s="143" t="n"/>
      <c r="G2296" s="144" t="n"/>
      <c r="H2296" s="145">
        <f>IF(OR(C2296="",AND(F2296="",G2296="")),"",SUMIF(基础资料!$W$5:$W$24,C2296,基础资料!$X$5:$X$24)+SUMIF(C$7:C2296,C2296,F$7:F2296)-SUMIF(C$7:C2296,C2296,G$7:G2296))</f>
      </c>
      <c r="I2296" s="145">
        <f>IF(AND(F2296="",G2296=""),"",SUM(基础资料!$X$5:$X$24)+SUM(F$7:F2296)-SUM(G$7:G2296))</f>
      </c>
      <c r="J2296" s="141" t="n"/>
      <c r="K2296" s="141" t="n"/>
      <c r="L2296" s="141" t="n"/>
      <c r="M2296" s="142" t="n"/>
      <c r="N2296" s="146">
        <f>IF(AND(AND(F2296="",G2296=""),B2296="",C2296="",D2296="",J2296="",K2296="",L2296=""),"",IF(AND(F2296="",G2296=""),"✗ 没填金额",IF(AND(N(F2296)&lt;&gt;0,N(G2296)&lt;&gt;0),"✗ 收入、支出只能填一边",IF(NOT(ISNUMBER(B2296)),"✗ 日期不是真日期（要像 2026/9/25 这样填）",IF(OR(B2296&lt;年初日,B2296&gt;年末日),"✗ 日期不在本会计年度",IF(C2296="","✗ 没选账户",IF(COUNTIF(基础资料!$W$5:$W$24,C2296)=0,"✗ 账户不在基础资料里",IF(O2296="","✗ 没选收支项目",IF(P2296="未知","✗ 收支项目不在基础资料里",IF(AND(P2296="应收",J2296=""),"✗ 这笔要选客户",IF(AND(P2296="应收",COUNTIF(总览汇总!$B$5:$B$304,J2296)=0),"✗ 客户不在总览汇总名单里",IF(AND(P2296="应付",K2296=""),"✗ 这笔要选供应商",IF(AND(P2296="应付",COUNTIF(基础资料!$Q$5:$Q$54,K2296)=0),"✗ 供应商不在基础资料里",IF(AND(P2296="费用",L2296=""),"✗ 费用支出要选费用项目",IF(AND(L2296&lt;&gt;"",COUNTIF(基础资料!$AI$5:$AI$54,L2296)=0),"✗ 费用项目不在基础资料里",IF(AND(IFERROR(INDEX(基础资料!$AD$5:$AD$34,MATCH(O2296,基础资料!$AC$5:$AC$34,0)),"")="收",N(G2296)&lt;&gt;0),"✗ 这类是收款，金额填到收入列",IF(AND(IFERROR(INDEX(基础资料!$AD$5:$AD$34,MATCH(O2296,基础资料!$AC$5:$AC$34,0)),"")="支",N(F2296)&lt;&gt;0),"✗ 这类是付款，金额填到支出列",IF(N(H2296)&lt;0,"⚠ 账户余额成负数了，核对一下","√"))))))))))))))))))</f>
      </c>
      <c r="O2296" s="78">
        <f>IF(D2296&lt;&gt;"",D2296,IF(AND(F2296="",G2296=""),"",IF(J2296&lt;&gt;"",IF(N(F2296)&gt;0,"客户回款","客户退款"),IF(K2296&lt;&gt;"",IF(N(G2296)&gt;0,"供应商付款","供应商退款"),IF(L2296&lt;&gt;"","费用支出","")))))</f>
      </c>
      <c r="P2296" s="78">
        <f>IF(O2296="","",IFERROR(INDEX(基础资料!$AE$5:$AE$34,MATCH(O2296,基础资料!$AC$5:$AC$34,0)),"未知"))</f>
      </c>
      <c r="Q2296" s="78">
        <f>IF(P2296="应收",COUNTIF(P$7:P2296,"应收"),"")</f>
      </c>
      <c r="R2296" s="78">
        <f>IF(P2296="应付",COUNTIF(P$7:P2296,"应付"),"")</f>
      </c>
      <c r="S2296" s="78">
        <f>N(F2296)-N(G2296)</f>
        <v>0</v>
      </c>
    </row>
    <row r="2297">
      <c r="A2297" s="109">
        <f>IF(AND(F2297="",G2297=""),"",ROW()-6)</f>
      </c>
      <c r="B2297" s="140" t="n"/>
      <c r="C2297" s="141" t="n"/>
      <c r="D2297" s="141" t="n"/>
      <c r="E2297" s="142" t="n"/>
      <c r="F2297" s="143" t="n"/>
      <c r="G2297" s="144" t="n"/>
      <c r="H2297" s="145">
        <f>IF(OR(C2297="",AND(F2297="",G2297="")),"",SUMIF(基础资料!$W$5:$W$24,C2297,基础资料!$X$5:$X$24)+SUMIF(C$7:C2297,C2297,F$7:F2297)-SUMIF(C$7:C2297,C2297,G$7:G2297))</f>
      </c>
      <c r="I2297" s="145">
        <f>IF(AND(F2297="",G2297=""),"",SUM(基础资料!$X$5:$X$24)+SUM(F$7:F2297)-SUM(G$7:G2297))</f>
      </c>
      <c r="J2297" s="141" t="n"/>
      <c r="K2297" s="141" t="n"/>
      <c r="L2297" s="141" t="n"/>
      <c r="M2297" s="142" t="n"/>
      <c r="N2297" s="146">
        <f>IF(AND(AND(F2297="",G2297=""),B2297="",C2297="",D2297="",J2297="",K2297="",L2297=""),"",IF(AND(F2297="",G2297=""),"✗ 没填金额",IF(AND(N(F2297)&lt;&gt;0,N(G2297)&lt;&gt;0),"✗ 收入、支出只能填一边",IF(NOT(ISNUMBER(B2297)),"✗ 日期不是真日期（要像 2026/9/25 这样填）",IF(OR(B2297&lt;年初日,B2297&gt;年末日),"✗ 日期不在本会计年度",IF(C2297="","✗ 没选账户",IF(COUNTIF(基础资料!$W$5:$W$24,C2297)=0,"✗ 账户不在基础资料里",IF(O2297="","✗ 没选收支项目",IF(P2297="未知","✗ 收支项目不在基础资料里",IF(AND(P2297="应收",J2297=""),"✗ 这笔要选客户",IF(AND(P2297="应收",COUNTIF(总览汇总!$B$5:$B$304,J2297)=0),"✗ 客户不在总览汇总名单里",IF(AND(P2297="应付",K2297=""),"✗ 这笔要选供应商",IF(AND(P2297="应付",COUNTIF(基础资料!$Q$5:$Q$54,K2297)=0),"✗ 供应商不在基础资料里",IF(AND(P2297="费用",L2297=""),"✗ 费用支出要选费用项目",IF(AND(L2297&lt;&gt;"",COUNTIF(基础资料!$AI$5:$AI$54,L2297)=0),"✗ 费用项目不在基础资料里",IF(AND(IFERROR(INDEX(基础资料!$AD$5:$AD$34,MATCH(O2297,基础资料!$AC$5:$AC$34,0)),"")="收",N(G2297)&lt;&gt;0),"✗ 这类是收款，金额填到收入列",IF(AND(IFERROR(INDEX(基础资料!$AD$5:$AD$34,MATCH(O2297,基础资料!$AC$5:$AC$34,0)),"")="支",N(F2297)&lt;&gt;0),"✗ 这类是付款，金额填到支出列",IF(N(H2297)&lt;0,"⚠ 账户余额成负数了，核对一下","√"))))))))))))))))))</f>
      </c>
      <c r="O2297" s="78">
        <f>IF(D2297&lt;&gt;"",D2297,IF(AND(F2297="",G2297=""),"",IF(J2297&lt;&gt;"",IF(N(F2297)&gt;0,"客户回款","客户退款"),IF(K2297&lt;&gt;"",IF(N(G2297)&gt;0,"供应商付款","供应商退款"),IF(L2297&lt;&gt;"","费用支出","")))))</f>
      </c>
      <c r="P2297" s="78">
        <f>IF(O2297="","",IFERROR(INDEX(基础资料!$AE$5:$AE$34,MATCH(O2297,基础资料!$AC$5:$AC$34,0)),"未知"))</f>
      </c>
      <c r="Q2297" s="78">
        <f>IF(P2297="应收",COUNTIF(P$7:P2297,"应收"),"")</f>
      </c>
      <c r="R2297" s="78">
        <f>IF(P2297="应付",COUNTIF(P$7:P2297,"应付"),"")</f>
      </c>
      <c r="S2297" s="78">
        <f>N(F2297)-N(G2297)</f>
        <v>0</v>
      </c>
    </row>
    <row r="2298">
      <c r="A2298" s="109">
        <f>IF(AND(F2298="",G2298=""),"",ROW()-6)</f>
      </c>
      <c r="B2298" s="140" t="n"/>
      <c r="C2298" s="141" t="n"/>
      <c r="D2298" s="141" t="n"/>
      <c r="E2298" s="142" t="n"/>
      <c r="F2298" s="143" t="n"/>
      <c r="G2298" s="144" t="n"/>
      <c r="H2298" s="145">
        <f>IF(OR(C2298="",AND(F2298="",G2298="")),"",SUMIF(基础资料!$W$5:$W$24,C2298,基础资料!$X$5:$X$24)+SUMIF(C$7:C2298,C2298,F$7:F2298)-SUMIF(C$7:C2298,C2298,G$7:G2298))</f>
      </c>
      <c r="I2298" s="145">
        <f>IF(AND(F2298="",G2298=""),"",SUM(基础资料!$X$5:$X$24)+SUM(F$7:F2298)-SUM(G$7:G2298))</f>
      </c>
      <c r="J2298" s="141" t="n"/>
      <c r="K2298" s="141" t="n"/>
      <c r="L2298" s="141" t="n"/>
      <c r="M2298" s="142" t="n"/>
      <c r="N2298" s="146">
        <f>IF(AND(AND(F2298="",G2298=""),B2298="",C2298="",D2298="",J2298="",K2298="",L2298=""),"",IF(AND(F2298="",G2298=""),"✗ 没填金额",IF(AND(N(F2298)&lt;&gt;0,N(G2298)&lt;&gt;0),"✗ 收入、支出只能填一边",IF(NOT(ISNUMBER(B2298)),"✗ 日期不是真日期（要像 2026/9/25 这样填）",IF(OR(B2298&lt;年初日,B2298&gt;年末日),"✗ 日期不在本会计年度",IF(C2298="","✗ 没选账户",IF(COUNTIF(基础资料!$W$5:$W$24,C2298)=0,"✗ 账户不在基础资料里",IF(O2298="","✗ 没选收支项目",IF(P2298="未知","✗ 收支项目不在基础资料里",IF(AND(P2298="应收",J2298=""),"✗ 这笔要选客户",IF(AND(P2298="应收",COUNTIF(总览汇总!$B$5:$B$304,J2298)=0),"✗ 客户不在总览汇总名单里",IF(AND(P2298="应付",K2298=""),"✗ 这笔要选供应商",IF(AND(P2298="应付",COUNTIF(基础资料!$Q$5:$Q$54,K2298)=0),"✗ 供应商不在基础资料里",IF(AND(P2298="费用",L2298=""),"✗ 费用支出要选费用项目",IF(AND(L2298&lt;&gt;"",COUNTIF(基础资料!$AI$5:$AI$54,L2298)=0),"✗ 费用项目不在基础资料里",IF(AND(IFERROR(INDEX(基础资料!$AD$5:$AD$34,MATCH(O2298,基础资料!$AC$5:$AC$34,0)),"")="收",N(G2298)&lt;&gt;0),"✗ 这类是收款，金额填到收入列",IF(AND(IFERROR(INDEX(基础资料!$AD$5:$AD$34,MATCH(O2298,基础资料!$AC$5:$AC$34,0)),"")="支",N(F2298)&lt;&gt;0),"✗ 这类是付款，金额填到支出列",IF(N(H2298)&lt;0,"⚠ 账户余额成负数了，核对一下","√"))))))))))))))))))</f>
      </c>
      <c r="O2298" s="78">
        <f>IF(D2298&lt;&gt;"",D2298,IF(AND(F2298="",G2298=""),"",IF(J2298&lt;&gt;"",IF(N(F2298)&gt;0,"客户回款","客户退款"),IF(K2298&lt;&gt;"",IF(N(G2298)&gt;0,"供应商付款","供应商退款"),IF(L2298&lt;&gt;"","费用支出","")))))</f>
      </c>
      <c r="P2298" s="78">
        <f>IF(O2298="","",IFERROR(INDEX(基础资料!$AE$5:$AE$34,MATCH(O2298,基础资料!$AC$5:$AC$34,0)),"未知"))</f>
      </c>
      <c r="Q2298" s="78">
        <f>IF(P2298="应收",COUNTIF(P$7:P2298,"应收"),"")</f>
      </c>
      <c r="R2298" s="78">
        <f>IF(P2298="应付",COUNTIF(P$7:P2298,"应付"),"")</f>
      </c>
      <c r="S2298" s="78">
        <f>N(F2298)-N(G2298)</f>
        <v>0</v>
      </c>
    </row>
    <row r="2299">
      <c r="A2299" s="109">
        <f>IF(AND(F2299="",G2299=""),"",ROW()-6)</f>
      </c>
      <c r="B2299" s="140" t="n"/>
      <c r="C2299" s="141" t="n"/>
      <c r="D2299" s="141" t="n"/>
      <c r="E2299" s="142" t="n"/>
      <c r="F2299" s="143" t="n"/>
      <c r="G2299" s="144" t="n"/>
      <c r="H2299" s="145">
        <f>IF(OR(C2299="",AND(F2299="",G2299="")),"",SUMIF(基础资料!$W$5:$W$24,C2299,基础资料!$X$5:$X$24)+SUMIF(C$7:C2299,C2299,F$7:F2299)-SUMIF(C$7:C2299,C2299,G$7:G2299))</f>
      </c>
      <c r="I2299" s="145">
        <f>IF(AND(F2299="",G2299=""),"",SUM(基础资料!$X$5:$X$24)+SUM(F$7:F2299)-SUM(G$7:G2299))</f>
      </c>
      <c r="J2299" s="141" t="n"/>
      <c r="K2299" s="141" t="n"/>
      <c r="L2299" s="141" t="n"/>
      <c r="M2299" s="142" t="n"/>
      <c r="N2299" s="146">
        <f>IF(AND(AND(F2299="",G2299=""),B2299="",C2299="",D2299="",J2299="",K2299="",L2299=""),"",IF(AND(F2299="",G2299=""),"✗ 没填金额",IF(AND(N(F2299)&lt;&gt;0,N(G2299)&lt;&gt;0),"✗ 收入、支出只能填一边",IF(NOT(ISNUMBER(B2299)),"✗ 日期不是真日期（要像 2026/9/25 这样填）",IF(OR(B2299&lt;年初日,B2299&gt;年末日),"✗ 日期不在本会计年度",IF(C2299="","✗ 没选账户",IF(COUNTIF(基础资料!$W$5:$W$24,C2299)=0,"✗ 账户不在基础资料里",IF(O2299="","✗ 没选收支项目",IF(P2299="未知","✗ 收支项目不在基础资料里",IF(AND(P2299="应收",J2299=""),"✗ 这笔要选客户",IF(AND(P2299="应收",COUNTIF(总览汇总!$B$5:$B$304,J2299)=0),"✗ 客户不在总览汇总名单里",IF(AND(P2299="应付",K2299=""),"✗ 这笔要选供应商",IF(AND(P2299="应付",COUNTIF(基础资料!$Q$5:$Q$54,K2299)=0),"✗ 供应商不在基础资料里",IF(AND(P2299="费用",L2299=""),"✗ 费用支出要选费用项目",IF(AND(L2299&lt;&gt;"",COUNTIF(基础资料!$AI$5:$AI$54,L2299)=0),"✗ 费用项目不在基础资料里",IF(AND(IFERROR(INDEX(基础资料!$AD$5:$AD$34,MATCH(O2299,基础资料!$AC$5:$AC$34,0)),"")="收",N(G2299)&lt;&gt;0),"✗ 这类是收款，金额填到收入列",IF(AND(IFERROR(INDEX(基础资料!$AD$5:$AD$34,MATCH(O2299,基础资料!$AC$5:$AC$34,0)),"")="支",N(F2299)&lt;&gt;0),"✗ 这类是付款，金额填到支出列",IF(N(H2299)&lt;0,"⚠ 账户余额成负数了，核对一下","√"))))))))))))))))))</f>
      </c>
      <c r="O2299" s="78">
        <f>IF(D2299&lt;&gt;"",D2299,IF(AND(F2299="",G2299=""),"",IF(J2299&lt;&gt;"",IF(N(F2299)&gt;0,"客户回款","客户退款"),IF(K2299&lt;&gt;"",IF(N(G2299)&gt;0,"供应商付款","供应商退款"),IF(L2299&lt;&gt;"","费用支出","")))))</f>
      </c>
      <c r="P2299" s="78">
        <f>IF(O2299="","",IFERROR(INDEX(基础资料!$AE$5:$AE$34,MATCH(O2299,基础资料!$AC$5:$AC$34,0)),"未知"))</f>
      </c>
      <c r="Q2299" s="78">
        <f>IF(P2299="应收",COUNTIF(P$7:P2299,"应收"),"")</f>
      </c>
      <c r="R2299" s="78">
        <f>IF(P2299="应付",COUNTIF(P$7:P2299,"应付"),"")</f>
      </c>
      <c r="S2299" s="78">
        <f>N(F2299)-N(G2299)</f>
        <v>0</v>
      </c>
    </row>
    <row r="2300">
      <c r="A2300" s="109">
        <f>IF(AND(F2300="",G2300=""),"",ROW()-6)</f>
      </c>
      <c r="B2300" s="140" t="n"/>
      <c r="C2300" s="141" t="n"/>
      <c r="D2300" s="141" t="n"/>
      <c r="E2300" s="142" t="n"/>
      <c r="F2300" s="143" t="n"/>
      <c r="G2300" s="144" t="n"/>
      <c r="H2300" s="145">
        <f>IF(OR(C2300="",AND(F2300="",G2300="")),"",SUMIF(基础资料!$W$5:$W$24,C2300,基础资料!$X$5:$X$24)+SUMIF(C$7:C2300,C2300,F$7:F2300)-SUMIF(C$7:C2300,C2300,G$7:G2300))</f>
      </c>
      <c r="I2300" s="145">
        <f>IF(AND(F2300="",G2300=""),"",SUM(基础资料!$X$5:$X$24)+SUM(F$7:F2300)-SUM(G$7:G2300))</f>
      </c>
      <c r="J2300" s="141" t="n"/>
      <c r="K2300" s="141" t="n"/>
      <c r="L2300" s="141" t="n"/>
      <c r="M2300" s="142" t="n"/>
      <c r="N2300" s="146">
        <f>IF(AND(AND(F2300="",G2300=""),B2300="",C2300="",D2300="",J2300="",K2300="",L2300=""),"",IF(AND(F2300="",G2300=""),"✗ 没填金额",IF(AND(N(F2300)&lt;&gt;0,N(G2300)&lt;&gt;0),"✗ 收入、支出只能填一边",IF(NOT(ISNUMBER(B2300)),"✗ 日期不是真日期（要像 2026/9/25 这样填）",IF(OR(B2300&lt;年初日,B2300&gt;年末日),"✗ 日期不在本会计年度",IF(C2300="","✗ 没选账户",IF(COUNTIF(基础资料!$W$5:$W$24,C2300)=0,"✗ 账户不在基础资料里",IF(O2300="","✗ 没选收支项目",IF(P2300="未知","✗ 收支项目不在基础资料里",IF(AND(P2300="应收",J2300=""),"✗ 这笔要选客户",IF(AND(P2300="应收",COUNTIF(总览汇总!$B$5:$B$304,J2300)=0),"✗ 客户不在总览汇总名单里",IF(AND(P2300="应付",K2300=""),"✗ 这笔要选供应商",IF(AND(P2300="应付",COUNTIF(基础资料!$Q$5:$Q$54,K2300)=0),"✗ 供应商不在基础资料里",IF(AND(P2300="费用",L2300=""),"✗ 费用支出要选费用项目",IF(AND(L2300&lt;&gt;"",COUNTIF(基础资料!$AI$5:$AI$54,L2300)=0),"✗ 费用项目不在基础资料里",IF(AND(IFERROR(INDEX(基础资料!$AD$5:$AD$34,MATCH(O2300,基础资料!$AC$5:$AC$34,0)),"")="收",N(G2300)&lt;&gt;0),"✗ 这类是收款，金额填到收入列",IF(AND(IFERROR(INDEX(基础资料!$AD$5:$AD$34,MATCH(O2300,基础资料!$AC$5:$AC$34,0)),"")="支",N(F2300)&lt;&gt;0),"✗ 这类是付款，金额填到支出列",IF(N(H2300)&lt;0,"⚠ 账户余额成负数了，核对一下","√"))))))))))))))))))</f>
      </c>
      <c r="O2300" s="78">
        <f>IF(D2300&lt;&gt;"",D2300,IF(AND(F2300="",G2300=""),"",IF(J2300&lt;&gt;"",IF(N(F2300)&gt;0,"客户回款","客户退款"),IF(K2300&lt;&gt;"",IF(N(G2300)&gt;0,"供应商付款","供应商退款"),IF(L2300&lt;&gt;"","费用支出","")))))</f>
      </c>
      <c r="P2300" s="78">
        <f>IF(O2300="","",IFERROR(INDEX(基础资料!$AE$5:$AE$34,MATCH(O2300,基础资料!$AC$5:$AC$34,0)),"未知"))</f>
      </c>
      <c r="Q2300" s="78">
        <f>IF(P2300="应收",COUNTIF(P$7:P2300,"应收"),"")</f>
      </c>
      <c r="R2300" s="78">
        <f>IF(P2300="应付",COUNTIF(P$7:P2300,"应付"),"")</f>
      </c>
      <c r="S2300" s="78">
        <f>N(F2300)-N(G2300)</f>
        <v>0</v>
      </c>
    </row>
    <row r="2301">
      <c r="A2301" s="109">
        <f>IF(AND(F2301="",G2301=""),"",ROW()-6)</f>
      </c>
      <c r="B2301" s="140" t="n"/>
      <c r="C2301" s="141" t="n"/>
      <c r="D2301" s="141" t="n"/>
      <c r="E2301" s="142" t="n"/>
      <c r="F2301" s="143" t="n"/>
      <c r="G2301" s="144" t="n"/>
      <c r="H2301" s="145">
        <f>IF(OR(C2301="",AND(F2301="",G2301="")),"",SUMIF(基础资料!$W$5:$W$24,C2301,基础资料!$X$5:$X$24)+SUMIF(C$7:C2301,C2301,F$7:F2301)-SUMIF(C$7:C2301,C2301,G$7:G2301))</f>
      </c>
      <c r="I2301" s="145">
        <f>IF(AND(F2301="",G2301=""),"",SUM(基础资料!$X$5:$X$24)+SUM(F$7:F2301)-SUM(G$7:G2301))</f>
      </c>
      <c r="J2301" s="141" t="n"/>
      <c r="K2301" s="141" t="n"/>
      <c r="L2301" s="141" t="n"/>
      <c r="M2301" s="142" t="n"/>
      <c r="N2301" s="146">
        <f>IF(AND(AND(F2301="",G2301=""),B2301="",C2301="",D2301="",J2301="",K2301="",L2301=""),"",IF(AND(F2301="",G2301=""),"✗ 没填金额",IF(AND(N(F2301)&lt;&gt;0,N(G2301)&lt;&gt;0),"✗ 收入、支出只能填一边",IF(NOT(ISNUMBER(B2301)),"✗ 日期不是真日期（要像 2026/9/25 这样填）",IF(OR(B2301&lt;年初日,B2301&gt;年末日),"✗ 日期不在本会计年度",IF(C2301="","✗ 没选账户",IF(COUNTIF(基础资料!$W$5:$W$24,C2301)=0,"✗ 账户不在基础资料里",IF(O2301="","✗ 没选收支项目",IF(P2301="未知","✗ 收支项目不在基础资料里",IF(AND(P2301="应收",J2301=""),"✗ 这笔要选客户",IF(AND(P2301="应收",COUNTIF(总览汇总!$B$5:$B$304,J2301)=0),"✗ 客户不在总览汇总名单里",IF(AND(P2301="应付",K2301=""),"✗ 这笔要选供应商",IF(AND(P2301="应付",COUNTIF(基础资料!$Q$5:$Q$54,K2301)=0),"✗ 供应商不在基础资料里",IF(AND(P2301="费用",L2301=""),"✗ 费用支出要选费用项目",IF(AND(L2301&lt;&gt;"",COUNTIF(基础资料!$AI$5:$AI$54,L2301)=0),"✗ 费用项目不在基础资料里",IF(AND(IFERROR(INDEX(基础资料!$AD$5:$AD$34,MATCH(O2301,基础资料!$AC$5:$AC$34,0)),"")="收",N(G2301)&lt;&gt;0),"✗ 这类是收款，金额填到收入列",IF(AND(IFERROR(INDEX(基础资料!$AD$5:$AD$34,MATCH(O2301,基础资料!$AC$5:$AC$34,0)),"")="支",N(F2301)&lt;&gt;0),"✗ 这类是付款，金额填到支出列",IF(N(H2301)&lt;0,"⚠ 账户余额成负数了，核对一下","√"))))))))))))))))))</f>
      </c>
      <c r="O2301" s="78">
        <f>IF(D2301&lt;&gt;"",D2301,IF(AND(F2301="",G2301=""),"",IF(J2301&lt;&gt;"",IF(N(F2301)&gt;0,"客户回款","客户退款"),IF(K2301&lt;&gt;"",IF(N(G2301)&gt;0,"供应商付款","供应商退款"),IF(L2301&lt;&gt;"","费用支出","")))))</f>
      </c>
      <c r="P2301" s="78">
        <f>IF(O2301="","",IFERROR(INDEX(基础资料!$AE$5:$AE$34,MATCH(O2301,基础资料!$AC$5:$AC$34,0)),"未知"))</f>
      </c>
      <c r="Q2301" s="78">
        <f>IF(P2301="应收",COUNTIF(P$7:P2301,"应收"),"")</f>
      </c>
      <c r="R2301" s="78">
        <f>IF(P2301="应付",COUNTIF(P$7:P2301,"应付"),"")</f>
      </c>
      <c r="S2301" s="78">
        <f>N(F2301)-N(G2301)</f>
        <v>0</v>
      </c>
    </row>
    <row r="2302">
      <c r="A2302" s="109">
        <f>IF(AND(F2302="",G2302=""),"",ROW()-6)</f>
      </c>
      <c r="B2302" s="140" t="n"/>
      <c r="C2302" s="141" t="n"/>
      <c r="D2302" s="141" t="n"/>
      <c r="E2302" s="142" t="n"/>
      <c r="F2302" s="143" t="n"/>
      <c r="G2302" s="144" t="n"/>
      <c r="H2302" s="145">
        <f>IF(OR(C2302="",AND(F2302="",G2302="")),"",SUMIF(基础资料!$W$5:$W$24,C2302,基础资料!$X$5:$X$24)+SUMIF(C$7:C2302,C2302,F$7:F2302)-SUMIF(C$7:C2302,C2302,G$7:G2302))</f>
      </c>
      <c r="I2302" s="145">
        <f>IF(AND(F2302="",G2302=""),"",SUM(基础资料!$X$5:$X$24)+SUM(F$7:F2302)-SUM(G$7:G2302))</f>
      </c>
      <c r="J2302" s="141" t="n"/>
      <c r="K2302" s="141" t="n"/>
      <c r="L2302" s="141" t="n"/>
      <c r="M2302" s="142" t="n"/>
      <c r="N2302" s="146">
        <f>IF(AND(AND(F2302="",G2302=""),B2302="",C2302="",D2302="",J2302="",K2302="",L2302=""),"",IF(AND(F2302="",G2302=""),"✗ 没填金额",IF(AND(N(F2302)&lt;&gt;0,N(G2302)&lt;&gt;0),"✗ 收入、支出只能填一边",IF(NOT(ISNUMBER(B2302)),"✗ 日期不是真日期（要像 2026/9/25 这样填）",IF(OR(B2302&lt;年初日,B2302&gt;年末日),"✗ 日期不在本会计年度",IF(C2302="","✗ 没选账户",IF(COUNTIF(基础资料!$W$5:$W$24,C2302)=0,"✗ 账户不在基础资料里",IF(O2302="","✗ 没选收支项目",IF(P2302="未知","✗ 收支项目不在基础资料里",IF(AND(P2302="应收",J2302=""),"✗ 这笔要选客户",IF(AND(P2302="应收",COUNTIF(总览汇总!$B$5:$B$304,J2302)=0),"✗ 客户不在总览汇总名单里",IF(AND(P2302="应付",K2302=""),"✗ 这笔要选供应商",IF(AND(P2302="应付",COUNTIF(基础资料!$Q$5:$Q$54,K2302)=0),"✗ 供应商不在基础资料里",IF(AND(P2302="费用",L2302=""),"✗ 费用支出要选费用项目",IF(AND(L2302&lt;&gt;"",COUNTIF(基础资料!$AI$5:$AI$54,L2302)=0),"✗ 费用项目不在基础资料里",IF(AND(IFERROR(INDEX(基础资料!$AD$5:$AD$34,MATCH(O2302,基础资料!$AC$5:$AC$34,0)),"")="收",N(G2302)&lt;&gt;0),"✗ 这类是收款，金额填到收入列",IF(AND(IFERROR(INDEX(基础资料!$AD$5:$AD$34,MATCH(O2302,基础资料!$AC$5:$AC$34,0)),"")="支",N(F2302)&lt;&gt;0),"✗ 这类是付款，金额填到支出列",IF(N(H2302)&lt;0,"⚠ 账户余额成负数了，核对一下","√"))))))))))))))))))</f>
      </c>
      <c r="O2302" s="78">
        <f>IF(D2302&lt;&gt;"",D2302,IF(AND(F2302="",G2302=""),"",IF(J2302&lt;&gt;"",IF(N(F2302)&gt;0,"客户回款","客户退款"),IF(K2302&lt;&gt;"",IF(N(G2302)&gt;0,"供应商付款","供应商退款"),IF(L2302&lt;&gt;"","费用支出","")))))</f>
      </c>
      <c r="P2302" s="78">
        <f>IF(O2302="","",IFERROR(INDEX(基础资料!$AE$5:$AE$34,MATCH(O2302,基础资料!$AC$5:$AC$34,0)),"未知"))</f>
      </c>
      <c r="Q2302" s="78">
        <f>IF(P2302="应收",COUNTIF(P$7:P2302,"应收"),"")</f>
      </c>
      <c r="R2302" s="78">
        <f>IF(P2302="应付",COUNTIF(P$7:P2302,"应付"),"")</f>
      </c>
      <c r="S2302" s="78">
        <f>N(F2302)-N(G2302)</f>
        <v>0</v>
      </c>
    </row>
    <row r="2303">
      <c r="A2303" s="109">
        <f>IF(AND(F2303="",G2303=""),"",ROW()-6)</f>
      </c>
      <c r="B2303" s="140" t="n"/>
      <c r="C2303" s="141" t="n"/>
      <c r="D2303" s="141" t="n"/>
      <c r="E2303" s="142" t="n"/>
      <c r="F2303" s="143" t="n"/>
      <c r="G2303" s="144" t="n"/>
      <c r="H2303" s="145">
        <f>IF(OR(C2303="",AND(F2303="",G2303="")),"",SUMIF(基础资料!$W$5:$W$24,C2303,基础资料!$X$5:$X$24)+SUMIF(C$7:C2303,C2303,F$7:F2303)-SUMIF(C$7:C2303,C2303,G$7:G2303))</f>
      </c>
      <c r="I2303" s="145">
        <f>IF(AND(F2303="",G2303=""),"",SUM(基础资料!$X$5:$X$24)+SUM(F$7:F2303)-SUM(G$7:G2303))</f>
      </c>
      <c r="J2303" s="141" t="n"/>
      <c r="K2303" s="141" t="n"/>
      <c r="L2303" s="141" t="n"/>
      <c r="M2303" s="142" t="n"/>
      <c r="N2303" s="146">
        <f>IF(AND(AND(F2303="",G2303=""),B2303="",C2303="",D2303="",J2303="",K2303="",L2303=""),"",IF(AND(F2303="",G2303=""),"✗ 没填金额",IF(AND(N(F2303)&lt;&gt;0,N(G2303)&lt;&gt;0),"✗ 收入、支出只能填一边",IF(NOT(ISNUMBER(B2303)),"✗ 日期不是真日期（要像 2026/9/25 这样填）",IF(OR(B2303&lt;年初日,B2303&gt;年末日),"✗ 日期不在本会计年度",IF(C2303="","✗ 没选账户",IF(COUNTIF(基础资料!$W$5:$W$24,C2303)=0,"✗ 账户不在基础资料里",IF(O2303="","✗ 没选收支项目",IF(P2303="未知","✗ 收支项目不在基础资料里",IF(AND(P2303="应收",J2303=""),"✗ 这笔要选客户",IF(AND(P2303="应收",COUNTIF(总览汇总!$B$5:$B$304,J2303)=0),"✗ 客户不在总览汇总名单里",IF(AND(P2303="应付",K2303=""),"✗ 这笔要选供应商",IF(AND(P2303="应付",COUNTIF(基础资料!$Q$5:$Q$54,K2303)=0),"✗ 供应商不在基础资料里",IF(AND(P2303="费用",L2303=""),"✗ 费用支出要选费用项目",IF(AND(L2303&lt;&gt;"",COUNTIF(基础资料!$AI$5:$AI$54,L2303)=0),"✗ 费用项目不在基础资料里",IF(AND(IFERROR(INDEX(基础资料!$AD$5:$AD$34,MATCH(O2303,基础资料!$AC$5:$AC$34,0)),"")="收",N(G2303)&lt;&gt;0),"✗ 这类是收款，金额填到收入列",IF(AND(IFERROR(INDEX(基础资料!$AD$5:$AD$34,MATCH(O2303,基础资料!$AC$5:$AC$34,0)),"")="支",N(F2303)&lt;&gt;0),"✗ 这类是付款，金额填到支出列",IF(N(H2303)&lt;0,"⚠ 账户余额成负数了，核对一下","√"))))))))))))))))))</f>
      </c>
      <c r="O2303" s="78">
        <f>IF(D2303&lt;&gt;"",D2303,IF(AND(F2303="",G2303=""),"",IF(J2303&lt;&gt;"",IF(N(F2303)&gt;0,"客户回款","客户退款"),IF(K2303&lt;&gt;"",IF(N(G2303)&gt;0,"供应商付款","供应商退款"),IF(L2303&lt;&gt;"","费用支出","")))))</f>
      </c>
      <c r="P2303" s="78">
        <f>IF(O2303="","",IFERROR(INDEX(基础资料!$AE$5:$AE$34,MATCH(O2303,基础资料!$AC$5:$AC$34,0)),"未知"))</f>
      </c>
      <c r="Q2303" s="78">
        <f>IF(P2303="应收",COUNTIF(P$7:P2303,"应收"),"")</f>
      </c>
      <c r="R2303" s="78">
        <f>IF(P2303="应付",COUNTIF(P$7:P2303,"应付"),"")</f>
      </c>
      <c r="S2303" s="78">
        <f>N(F2303)-N(G2303)</f>
        <v>0</v>
      </c>
    </row>
    <row r="2304">
      <c r="A2304" s="109">
        <f>IF(AND(F2304="",G2304=""),"",ROW()-6)</f>
      </c>
      <c r="B2304" s="140" t="n"/>
      <c r="C2304" s="141" t="n"/>
      <c r="D2304" s="141" t="n"/>
      <c r="E2304" s="142" t="n"/>
      <c r="F2304" s="143" t="n"/>
      <c r="G2304" s="144" t="n"/>
      <c r="H2304" s="145">
        <f>IF(OR(C2304="",AND(F2304="",G2304="")),"",SUMIF(基础资料!$W$5:$W$24,C2304,基础资料!$X$5:$X$24)+SUMIF(C$7:C2304,C2304,F$7:F2304)-SUMIF(C$7:C2304,C2304,G$7:G2304))</f>
      </c>
      <c r="I2304" s="145">
        <f>IF(AND(F2304="",G2304=""),"",SUM(基础资料!$X$5:$X$24)+SUM(F$7:F2304)-SUM(G$7:G2304))</f>
      </c>
      <c r="J2304" s="141" t="n"/>
      <c r="K2304" s="141" t="n"/>
      <c r="L2304" s="141" t="n"/>
      <c r="M2304" s="142" t="n"/>
      <c r="N2304" s="146">
        <f>IF(AND(AND(F2304="",G2304=""),B2304="",C2304="",D2304="",J2304="",K2304="",L2304=""),"",IF(AND(F2304="",G2304=""),"✗ 没填金额",IF(AND(N(F2304)&lt;&gt;0,N(G2304)&lt;&gt;0),"✗ 收入、支出只能填一边",IF(NOT(ISNUMBER(B2304)),"✗ 日期不是真日期（要像 2026/9/25 这样填）",IF(OR(B2304&lt;年初日,B2304&gt;年末日),"✗ 日期不在本会计年度",IF(C2304="","✗ 没选账户",IF(COUNTIF(基础资料!$W$5:$W$24,C2304)=0,"✗ 账户不在基础资料里",IF(O2304="","✗ 没选收支项目",IF(P2304="未知","✗ 收支项目不在基础资料里",IF(AND(P2304="应收",J2304=""),"✗ 这笔要选客户",IF(AND(P2304="应收",COUNTIF(总览汇总!$B$5:$B$304,J2304)=0),"✗ 客户不在总览汇总名单里",IF(AND(P2304="应付",K2304=""),"✗ 这笔要选供应商",IF(AND(P2304="应付",COUNTIF(基础资料!$Q$5:$Q$54,K2304)=0),"✗ 供应商不在基础资料里",IF(AND(P2304="费用",L2304=""),"✗ 费用支出要选费用项目",IF(AND(L2304&lt;&gt;"",COUNTIF(基础资料!$AI$5:$AI$54,L2304)=0),"✗ 费用项目不在基础资料里",IF(AND(IFERROR(INDEX(基础资料!$AD$5:$AD$34,MATCH(O2304,基础资料!$AC$5:$AC$34,0)),"")="收",N(G2304)&lt;&gt;0),"✗ 这类是收款，金额填到收入列",IF(AND(IFERROR(INDEX(基础资料!$AD$5:$AD$34,MATCH(O2304,基础资料!$AC$5:$AC$34,0)),"")="支",N(F2304)&lt;&gt;0),"✗ 这类是付款，金额填到支出列",IF(N(H2304)&lt;0,"⚠ 账户余额成负数了，核对一下","√"))))))))))))))))))</f>
      </c>
      <c r="O2304" s="78">
        <f>IF(D2304&lt;&gt;"",D2304,IF(AND(F2304="",G2304=""),"",IF(J2304&lt;&gt;"",IF(N(F2304)&gt;0,"客户回款","客户退款"),IF(K2304&lt;&gt;"",IF(N(G2304)&gt;0,"供应商付款","供应商退款"),IF(L2304&lt;&gt;"","费用支出","")))))</f>
      </c>
      <c r="P2304" s="78">
        <f>IF(O2304="","",IFERROR(INDEX(基础资料!$AE$5:$AE$34,MATCH(O2304,基础资料!$AC$5:$AC$34,0)),"未知"))</f>
      </c>
      <c r="Q2304" s="78">
        <f>IF(P2304="应收",COUNTIF(P$7:P2304,"应收"),"")</f>
      </c>
      <c r="R2304" s="78">
        <f>IF(P2304="应付",COUNTIF(P$7:P2304,"应付"),"")</f>
      </c>
      <c r="S2304" s="78">
        <f>N(F2304)-N(G2304)</f>
        <v>0</v>
      </c>
    </row>
    <row r="2305">
      <c r="A2305" s="109">
        <f>IF(AND(F2305="",G2305=""),"",ROW()-6)</f>
      </c>
      <c r="B2305" s="140" t="n"/>
      <c r="C2305" s="141" t="n"/>
      <c r="D2305" s="141" t="n"/>
      <c r="E2305" s="142" t="n"/>
      <c r="F2305" s="143" t="n"/>
      <c r="G2305" s="144" t="n"/>
      <c r="H2305" s="145">
        <f>IF(OR(C2305="",AND(F2305="",G2305="")),"",SUMIF(基础资料!$W$5:$W$24,C2305,基础资料!$X$5:$X$24)+SUMIF(C$7:C2305,C2305,F$7:F2305)-SUMIF(C$7:C2305,C2305,G$7:G2305))</f>
      </c>
      <c r="I2305" s="145">
        <f>IF(AND(F2305="",G2305=""),"",SUM(基础资料!$X$5:$X$24)+SUM(F$7:F2305)-SUM(G$7:G2305))</f>
      </c>
      <c r="J2305" s="141" t="n"/>
      <c r="K2305" s="141" t="n"/>
      <c r="L2305" s="141" t="n"/>
      <c r="M2305" s="142" t="n"/>
      <c r="N2305" s="146">
        <f>IF(AND(AND(F2305="",G2305=""),B2305="",C2305="",D2305="",J2305="",K2305="",L2305=""),"",IF(AND(F2305="",G2305=""),"✗ 没填金额",IF(AND(N(F2305)&lt;&gt;0,N(G2305)&lt;&gt;0),"✗ 收入、支出只能填一边",IF(NOT(ISNUMBER(B2305)),"✗ 日期不是真日期（要像 2026/9/25 这样填）",IF(OR(B2305&lt;年初日,B2305&gt;年末日),"✗ 日期不在本会计年度",IF(C2305="","✗ 没选账户",IF(COUNTIF(基础资料!$W$5:$W$24,C2305)=0,"✗ 账户不在基础资料里",IF(O2305="","✗ 没选收支项目",IF(P2305="未知","✗ 收支项目不在基础资料里",IF(AND(P2305="应收",J2305=""),"✗ 这笔要选客户",IF(AND(P2305="应收",COUNTIF(总览汇总!$B$5:$B$304,J2305)=0),"✗ 客户不在总览汇总名单里",IF(AND(P2305="应付",K2305=""),"✗ 这笔要选供应商",IF(AND(P2305="应付",COUNTIF(基础资料!$Q$5:$Q$54,K2305)=0),"✗ 供应商不在基础资料里",IF(AND(P2305="费用",L2305=""),"✗ 费用支出要选费用项目",IF(AND(L2305&lt;&gt;"",COUNTIF(基础资料!$AI$5:$AI$54,L2305)=0),"✗ 费用项目不在基础资料里",IF(AND(IFERROR(INDEX(基础资料!$AD$5:$AD$34,MATCH(O2305,基础资料!$AC$5:$AC$34,0)),"")="收",N(G2305)&lt;&gt;0),"✗ 这类是收款，金额填到收入列",IF(AND(IFERROR(INDEX(基础资料!$AD$5:$AD$34,MATCH(O2305,基础资料!$AC$5:$AC$34,0)),"")="支",N(F2305)&lt;&gt;0),"✗ 这类是付款，金额填到支出列",IF(N(H2305)&lt;0,"⚠ 账户余额成负数了，核对一下","√"))))))))))))))))))</f>
      </c>
      <c r="O2305" s="78">
        <f>IF(D2305&lt;&gt;"",D2305,IF(AND(F2305="",G2305=""),"",IF(J2305&lt;&gt;"",IF(N(F2305)&gt;0,"客户回款","客户退款"),IF(K2305&lt;&gt;"",IF(N(G2305)&gt;0,"供应商付款","供应商退款"),IF(L2305&lt;&gt;"","费用支出","")))))</f>
      </c>
      <c r="P2305" s="78">
        <f>IF(O2305="","",IFERROR(INDEX(基础资料!$AE$5:$AE$34,MATCH(O2305,基础资料!$AC$5:$AC$34,0)),"未知"))</f>
      </c>
      <c r="Q2305" s="78">
        <f>IF(P2305="应收",COUNTIF(P$7:P2305,"应收"),"")</f>
      </c>
      <c r="R2305" s="78">
        <f>IF(P2305="应付",COUNTIF(P$7:P2305,"应付"),"")</f>
      </c>
      <c r="S2305" s="78">
        <f>N(F2305)-N(G2305)</f>
        <v>0</v>
      </c>
    </row>
    <row r="2306">
      <c r="A2306" s="109">
        <f>IF(AND(F2306="",G2306=""),"",ROW()-6)</f>
      </c>
      <c r="B2306" s="140" t="n"/>
      <c r="C2306" s="141" t="n"/>
      <c r="D2306" s="141" t="n"/>
      <c r="E2306" s="142" t="n"/>
      <c r="F2306" s="143" t="n"/>
      <c r="G2306" s="144" t="n"/>
      <c r="H2306" s="145">
        <f>IF(OR(C2306="",AND(F2306="",G2306="")),"",SUMIF(基础资料!$W$5:$W$24,C2306,基础资料!$X$5:$X$24)+SUMIF(C$7:C2306,C2306,F$7:F2306)-SUMIF(C$7:C2306,C2306,G$7:G2306))</f>
      </c>
      <c r="I2306" s="145">
        <f>IF(AND(F2306="",G2306=""),"",SUM(基础资料!$X$5:$X$24)+SUM(F$7:F2306)-SUM(G$7:G2306))</f>
      </c>
      <c r="J2306" s="141" t="n"/>
      <c r="K2306" s="141" t="n"/>
      <c r="L2306" s="141" t="n"/>
      <c r="M2306" s="142" t="n"/>
      <c r="N2306" s="146">
        <f>IF(AND(AND(F2306="",G2306=""),B2306="",C2306="",D2306="",J2306="",K2306="",L2306=""),"",IF(AND(F2306="",G2306=""),"✗ 没填金额",IF(AND(N(F2306)&lt;&gt;0,N(G2306)&lt;&gt;0),"✗ 收入、支出只能填一边",IF(NOT(ISNUMBER(B2306)),"✗ 日期不是真日期（要像 2026/9/25 这样填）",IF(OR(B2306&lt;年初日,B2306&gt;年末日),"✗ 日期不在本会计年度",IF(C2306="","✗ 没选账户",IF(COUNTIF(基础资料!$W$5:$W$24,C2306)=0,"✗ 账户不在基础资料里",IF(O2306="","✗ 没选收支项目",IF(P2306="未知","✗ 收支项目不在基础资料里",IF(AND(P2306="应收",J2306=""),"✗ 这笔要选客户",IF(AND(P2306="应收",COUNTIF(总览汇总!$B$5:$B$304,J2306)=0),"✗ 客户不在总览汇总名单里",IF(AND(P2306="应付",K2306=""),"✗ 这笔要选供应商",IF(AND(P2306="应付",COUNTIF(基础资料!$Q$5:$Q$54,K2306)=0),"✗ 供应商不在基础资料里",IF(AND(P2306="费用",L2306=""),"✗ 费用支出要选费用项目",IF(AND(L2306&lt;&gt;"",COUNTIF(基础资料!$AI$5:$AI$54,L2306)=0),"✗ 费用项目不在基础资料里",IF(AND(IFERROR(INDEX(基础资料!$AD$5:$AD$34,MATCH(O2306,基础资料!$AC$5:$AC$34,0)),"")="收",N(G2306)&lt;&gt;0),"✗ 这类是收款，金额填到收入列",IF(AND(IFERROR(INDEX(基础资料!$AD$5:$AD$34,MATCH(O2306,基础资料!$AC$5:$AC$34,0)),"")="支",N(F2306)&lt;&gt;0),"✗ 这类是付款，金额填到支出列",IF(N(H2306)&lt;0,"⚠ 账户余额成负数了，核对一下","√"))))))))))))))))))</f>
      </c>
      <c r="O2306" s="78">
        <f>IF(D2306&lt;&gt;"",D2306,IF(AND(F2306="",G2306=""),"",IF(J2306&lt;&gt;"",IF(N(F2306)&gt;0,"客户回款","客户退款"),IF(K2306&lt;&gt;"",IF(N(G2306)&gt;0,"供应商付款","供应商退款"),IF(L2306&lt;&gt;"","费用支出","")))))</f>
      </c>
      <c r="P2306" s="78">
        <f>IF(O2306="","",IFERROR(INDEX(基础资料!$AE$5:$AE$34,MATCH(O2306,基础资料!$AC$5:$AC$34,0)),"未知"))</f>
      </c>
      <c r="Q2306" s="78">
        <f>IF(P2306="应收",COUNTIF(P$7:P2306,"应收"),"")</f>
      </c>
      <c r="R2306" s="78">
        <f>IF(P2306="应付",COUNTIF(P$7:P2306,"应付"),"")</f>
      </c>
      <c r="S2306" s="78">
        <f>N(F2306)-N(G2306)</f>
        <v>0</v>
      </c>
    </row>
    <row r="2307">
      <c r="A2307" s="109">
        <f>IF(AND(F2307="",G2307=""),"",ROW()-6)</f>
      </c>
      <c r="B2307" s="140" t="n"/>
      <c r="C2307" s="141" t="n"/>
      <c r="D2307" s="141" t="n"/>
      <c r="E2307" s="142" t="n"/>
      <c r="F2307" s="143" t="n"/>
      <c r="G2307" s="144" t="n"/>
      <c r="H2307" s="145">
        <f>IF(OR(C2307="",AND(F2307="",G2307="")),"",SUMIF(基础资料!$W$5:$W$24,C2307,基础资料!$X$5:$X$24)+SUMIF(C$7:C2307,C2307,F$7:F2307)-SUMIF(C$7:C2307,C2307,G$7:G2307))</f>
      </c>
      <c r="I2307" s="145">
        <f>IF(AND(F2307="",G2307=""),"",SUM(基础资料!$X$5:$X$24)+SUM(F$7:F2307)-SUM(G$7:G2307))</f>
      </c>
      <c r="J2307" s="141" t="n"/>
      <c r="K2307" s="141" t="n"/>
      <c r="L2307" s="141" t="n"/>
      <c r="M2307" s="142" t="n"/>
      <c r="N2307" s="146">
        <f>IF(AND(AND(F2307="",G2307=""),B2307="",C2307="",D2307="",J2307="",K2307="",L2307=""),"",IF(AND(F2307="",G2307=""),"✗ 没填金额",IF(AND(N(F2307)&lt;&gt;0,N(G2307)&lt;&gt;0),"✗ 收入、支出只能填一边",IF(NOT(ISNUMBER(B2307)),"✗ 日期不是真日期（要像 2026/9/25 这样填）",IF(OR(B2307&lt;年初日,B2307&gt;年末日),"✗ 日期不在本会计年度",IF(C2307="","✗ 没选账户",IF(COUNTIF(基础资料!$W$5:$W$24,C2307)=0,"✗ 账户不在基础资料里",IF(O2307="","✗ 没选收支项目",IF(P2307="未知","✗ 收支项目不在基础资料里",IF(AND(P2307="应收",J2307=""),"✗ 这笔要选客户",IF(AND(P2307="应收",COUNTIF(总览汇总!$B$5:$B$304,J2307)=0),"✗ 客户不在总览汇总名单里",IF(AND(P2307="应付",K2307=""),"✗ 这笔要选供应商",IF(AND(P2307="应付",COUNTIF(基础资料!$Q$5:$Q$54,K2307)=0),"✗ 供应商不在基础资料里",IF(AND(P2307="费用",L2307=""),"✗ 费用支出要选费用项目",IF(AND(L2307&lt;&gt;"",COUNTIF(基础资料!$AI$5:$AI$54,L2307)=0),"✗ 费用项目不在基础资料里",IF(AND(IFERROR(INDEX(基础资料!$AD$5:$AD$34,MATCH(O2307,基础资料!$AC$5:$AC$34,0)),"")="收",N(G2307)&lt;&gt;0),"✗ 这类是收款，金额填到收入列",IF(AND(IFERROR(INDEX(基础资料!$AD$5:$AD$34,MATCH(O2307,基础资料!$AC$5:$AC$34,0)),"")="支",N(F2307)&lt;&gt;0),"✗ 这类是付款，金额填到支出列",IF(N(H2307)&lt;0,"⚠ 账户余额成负数了，核对一下","√"))))))))))))))))))</f>
      </c>
      <c r="O2307" s="78">
        <f>IF(D2307&lt;&gt;"",D2307,IF(AND(F2307="",G2307=""),"",IF(J2307&lt;&gt;"",IF(N(F2307)&gt;0,"客户回款","客户退款"),IF(K2307&lt;&gt;"",IF(N(G2307)&gt;0,"供应商付款","供应商退款"),IF(L2307&lt;&gt;"","费用支出","")))))</f>
      </c>
      <c r="P2307" s="78">
        <f>IF(O2307="","",IFERROR(INDEX(基础资料!$AE$5:$AE$34,MATCH(O2307,基础资料!$AC$5:$AC$34,0)),"未知"))</f>
      </c>
      <c r="Q2307" s="78">
        <f>IF(P2307="应收",COUNTIF(P$7:P2307,"应收"),"")</f>
      </c>
      <c r="R2307" s="78">
        <f>IF(P2307="应付",COUNTIF(P$7:P2307,"应付"),"")</f>
      </c>
      <c r="S2307" s="78">
        <f>N(F2307)-N(G2307)</f>
        <v>0</v>
      </c>
    </row>
    <row r="2308">
      <c r="A2308" s="109">
        <f>IF(AND(F2308="",G2308=""),"",ROW()-6)</f>
      </c>
      <c r="B2308" s="140" t="n"/>
      <c r="C2308" s="141" t="n"/>
      <c r="D2308" s="141" t="n"/>
      <c r="E2308" s="142" t="n"/>
      <c r="F2308" s="143" t="n"/>
      <c r="G2308" s="144" t="n"/>
      <c r="H2308" s="145">
        <f>IF(OR(C2308="",AND(F2308="",G2308="")),"",SUMIF(基础资料!$W$5:$W$24,C2308,基础资料!$X$5:$X$24)+SUMIF(C$7:C2308,C2308,F$7:F2308)-SUMIF(C$7:C2308,C2308,G$7:G2308))</f>
      </c>
      <c r="I2308" s="145">
        <f>IF(AND(F2308="",G2308=""),"",SUM(基础资料!$X$5:$X$24)+SUM(F$7:F2308)-SUM(G$7:G2308))</f>
      </c>
      <c r="J2308" s="141" t="n"/>
      <c r="K2308" s="141" t="n"/>
      <c r="L2308" s="141" t="n"/>
      <c r="M2308" s="142" t="n"/>
      <c r="N2308" s="146">
        <f>IF(AND(AND(F2308="",G2308=""),B2308="",C2308="",D2308="",J2308="",K2308="",L2308=""),"",IF(AND(F2308="",G2308=""),"✗ 没填金额",IF(AND(N(F2308)&lt;&gt;0,N(G2308)&lt;&gt;0),"✗ 收入、支出只能填一边",IF(NOT(ISNUMBER(B2308)),"✗ 日期不是真日期（要像 2026/9/25 这样填）",IF(OR(B2308&lt;年初日,B2308&gt;年末日),"✗ 日期不在本会计年度",IF(C2308="","✗ 没选账户",IF(COUNTIF(基础资料!$W$5:$W$24,C2308)=0,"✗ 账户不在基础资料里",IF(O2308="","✗ 没选收支项目",IF(P2308="未知","✗ 收支项目不在基础资料里",IF(AND(P2308="应收",J2308=""),"✗ 这笔要选客户",IF(AND(P2308="应收",COUNTIF(总览汇总!$B$5:$B$304,J2308)=0),"✗ 客户不在总览汇总名单里",IF(AND(P2308="应付",K2308=""),"✗ 这笔要选供应商",IF(AND(P2308="应付",COUNTIF(基础资料!$Q$5:$Q$54,K2308)=0),"✗ 供应商不在基础资料里",IF(AND(P2308="费用",L2308=""),"✗ 费用支出要选费用项目",IF(AND(L2308&lt;&gt;"",COUNTIF(基础资料!$AI$5:$AI$54,L2308)=0),"✗ 费用项目不在基础资料里",IF(AND(IFERROR(INDEX(基础资料!$AD$5:$AD$34,MATCH(O2308,基础资料!$AC$5:$AC$34,0)),"")="收",N(G2308)&lt;&gt;0),"✗ 这类是收款，金额填到收入列",IF(AND(IFERROR(INDEX(基础资料!$AD$5:$AD$34,MATCH(O2308,基础资料!$AC$5:$AC$34,0)),"")="支",N(F2308)&lt;&gt;0),"✗ 这类是付款，金额填到支出列",IF(N(H2308)&lt;0,"⚠ 账户余额成负数了，核对一下","√"))))))))))))))))))</f>
      </c>
      <c r="O2308" s="78">
        <f>IF(D2308&lt;&gt;"",D2308,IF(AND(F2308="",G2308=""),"",IF(J2308&lt;&gt;"",IF(N(F2308)&gt;0,"客户回款","客户退款"),IF(K2308&lt;&gt;"",IF(N(G2308)&gt;0,"供应商付款","供应商退款"),IF(L2308&lt;&gt;"","费用支出","")))))</f>
      </c>
      <c r="P2308" s="78">
        <f>IF(O2308="","",IFERROR(INDEX(基础资料!$AE$5:$AE$34,MATCH(O2308,基础资料!$AC$5:$AC$34,0)),"未知"))</f>
      </c>
      <c r="Q2308" s="78">
        <f>IF(P2308="应收",COUNTIF(P$7:P2308,"应收"),"")</f>
      </c>
      <c r="R2308" s="78">
        <f>IF(P2308="应付",COUNTIF(P$7:P2308,"应付"),"")</f>
      </c>
      <c r="S2308" s="78">
        <f>N(F2308)-N(G2308)</f>
        <v>0</v>
      </c>
    </row>
    <row r="2309">
      <c r="A2309" s="109">
        <f>IF(AND(F2309="",G2309=""),"",ROW()-6)</f>
      </c>
      <c r="B2309" s="140" t="n"/>
      <c r="C2309" s="141" t="n"/>
      <c r="D2309" s="141" t="n"/>
      <c r="E2309" s="142" t="n"/>
      <c r="F2309" s="143" t="n"/>
      <c r="G2309" s="144" t="n"/>
      <c r="H2309" s="145">
        <f>IF(OR(C2309="",AND(F2309="",G2309="")),"",SUMIF(基础资料!$W$5:$W$24,C2309,基础资料!$X$5:$X$24)+SUMIF(C$7:C2309,C2309,F$7:F2309)-SUMIF(C$7:C2309,C2309,G$7:G2309))</f>
      </c>
      <c r="I2309" s="145">
        <f>IF(AND(F2309="",G2309=""),"",SUM(基础资料!$X$5:$X$24)+SUM(F$7:F2309)-SUM(G$7:G2309))</f>
      </c>
      <c r="J2309" s="141" t="n"/>
      <c r="K2309" s="141" t="n"/>
      <c r="L2309" s="141" t="n"/>
      <c r="M2309" s="142" t="n"/>
      <c r="N2309" s="146">
        <f>IF(AND(AND(F2309="",G2309=""),B2309="",C2309="",D2309="",J2309="",K2309="",L2309=""),"",IF(AND(F2309="",G2309=""),"✗ 没填金额",IF(AND(N(F2309)&lt;&gt;0,N(G2309)&lt;&gt;0),"✗ 收入、支出只能填一边",IF(NOT(ISNUMBER(B2309)),"✗ 日期不是真日期（要像 2026/9/25 这样填）",IF(OR(B2309&lt;年初日,B2309&gt;年末日),"✗ 日期不在本会计年度",IF(C2309="","✗ 没选账户",IF(COUNTIF(基础资料!$W$5:$W$24,C2309)=0,"✗ 账户不在基础资料里",IF(O2309="","✗ 没选收支项目",IF(P2309="未知","✗ 收支项目不在基础资料里",IF(AND(P2309="应收",J2309=""),"✗ 这笔要选客户",IF(AND(P2309="应收",COUNTIF(总览汇总!$B$5:$B$304,J2309)=0),"✗ 客户不在总览汇总名单里",IF(AND(P2309="应付",K2309=""),"✗ 这笔要选供应商",IF(AND(P2309="应付",COUNTIF(基础资料!$Q$5:$Q$54,K2309)=0),"✗ 供应商不在基础资料里",IF(AND(P2309="费用",L2309=""),"✗ 费用支出要选费用项目",IF(AND(L2309&lt;&gt;"",COUNTIF(基础资料!$AI$5:$AI$54,L2309)=0),"✗ 费用项目不在基础资料里",IF(AND(IFERROR(INDEX(基础资料!$AD$5:$AD$34,MATCH(O2309,基础资料!$AC$5:$AC$34,0)),"")="收",N(G2309)&lt;&gt;0),"✗ 这类是收款，金额填到收入列",IF(AND(IFERROR(INDEX(基础资料!$AD$5:$AD$34,MATCH(O2309,基础资料!$AC$5:$AC$34,0)),"")="支",N(F2309)&lt;&gt;0),"✗ 这类是付款，金额填到支出列",IF(N(H2309)&lt;0,"⚠ 账户余额成负数了，核对一下","√"))))))))))))))))))</f>
      </c>
      <c r="O2309" s="78">
        <f>IF(D2309&lt;&gt;"",D2309,IF(AND(F2309="",G2309=""),"",IF(J2309&lt;&gt;"",IF(N(F2309)&gt;0,"客户回款","客户退款"),IF(K2309&lt;&gt;"",IF(N(G2309)&gt;0,"供应商付款","供应商退款"),IF(L2309&lt;&gt;"","费用支出","")))))</f>
      </c>
      <c r="P2309" s="78">
        <f>IF(O2309="","",IFERROR(INDEX(基础资料!$AE$5:$AE$34,MATCH(O2309,基础资料!$AC$5:$AC$34,0)),"未知"))</f>
      </c>
      <c r="Q2309" s="78">
        <f>IF(P2309="应收",COUNTIF(P$7:P2309,"应收"),"")</f>
      </c>
      <c r="R2309" s="78">
        <f>IF(P2309="应付",COUNTIF(P$7:P2309,"应付"),"")</f>
      </c>
      <c r="S2309" s="78">
        <f>N(F2309)-N(G2309)</f>
        <v>0</v>
      </c>
    </row>
    <row r="2310">
      <c r="A2310" s="109">
        <f>IF(AND(F2310="",G2310=""),"",ROW()-6)</f>
      </c>
      <c r="B2310" s="140" t="n"/>
      <c r="C2310" s="141" t="n"/>
      <c r="D2310" s="141" t="n"/>
      <c r="E2310" s="142" t="n"/>
      <c r="F2310" s="143" t="n"/>
      <c r="G2310" s="144" t="n"/>
      <c r="H2310" s="145">
        <f>IF(OR(C2310="",AND(F2310="",G2310="")),"",SUMIF(基础资料!$W$5:$W$24,C2310,基础资料!$X$5:$X$24)+SUMIF(C$7:C2310,C2310,F$7:F2310)-SUMIF(C$7:C2310,C2310,G$7:G2310))</f>
      </c>
      <c r="I2310" s="145">
        <f>IF(AND(F2310="",G2310=""),"",SUM(基础资料!$X$5:$X$24)+SUM(F$7:F2310)-SUM(G$7:G2310))</f>
      </c>
      <c r="J2310" s="141" t="n"/>
      <c r="K2310" s="141" t="n"/>
      <c r="L2310" s="141" t="n"/>
      <c r="M2310" s="142" t="n"/>
      <c r="N2310" s="146">
        <f>IF(AND(AND(F2310="",G2310=""),B2310="",C2310="",D2310="",J2310="",K2310="",L2310=""),"",IF(AND(F2310="",G2310=""),"✗ 没填金额",IF(AND(N(F2310)&lt;&gt;0,N(G2310)&lt;&gt;0),"✗ 收入、支出只能填一边",IF(NOT(ISNUMBER(B2310)),"✗ 日期不是真日期（要像 2026/9/25 这样填）",IF(OR(B2310&lt;年初日,B2310&gt;年末日),"✗ 日期不在本会计年度",IF(C2310="","✗ 没选账户",IF(COUNTIF(基础资料!$W$5:$W$24,C2310)=0,"✗ 账户不在基础资料里",IF(O2310="","✗ 没选收支项目",IF(P2310="未知","✗ 收支项目不在基础资料里",IF(AND(P2310="应收",J2310=""),"✗ 这笔要选客户",IF(AND(P2310="应收",COUNTIF(总览汇总!$B$5:$B$304,J2310)=0),"✗ 客户不在总览汇总名单里",IF(AND(P2310="应付",K2310=""),"✗ 这笔要选供应商",IF(AND(P2310="应付",COUNTIF(基础资料!$Q$5:$Q$54,K2310)=0),"✗ 供应商不在基础资料里",IF(AND(P2310="费用",L2310=""),"✗ 费用支出要选费用项目",IF(AND(L2310&lt;&gt;"",COUNTIF(基础资料!$AI$5:$AI$54,L2310)=0),"✗ 费用项目不在基础资料里",IF(AND(IFERROR(INDEX(基础资料!$AD$5:$AD$34,MATCH(O2310,基础资料!$AC$5:$AC$34,0)),"")="收",N(G2310)&lt;&gt;0),"✗ 这类是收款，金额填到收入列",IF(AND(IFERROR(INDEX(基础资料!$AD$5:$AD$34,MATCH(O2310,基础资料!$AC$5:$AC$34,0)),"")="支",N(F2310)&lt;&gt;0),"✗ 这类是付款，金额填到支出列",IF(N(H2310)&lt;0,"⚠ 账户余额成负数了，核对一下","√"))))))))))))))))))</f>
      </c>
      <c r="O2310" s="78">
        <f>IF(D2310&lt;&gt;"",D2310,IF(AND(F2310="",G2310=""),"",IF(J2310&lt;&gt;"",IF(N(F2310)&gt;0,"客户回款","客户退款"),IF(K2310&lt;&gt;"",IF(N(G2310)&gt;0,"供应商付款","供应商退款"),IF(L2310&lt;&gt;"","费用支出","")))))</f>
      </c>
      <c r="P2310" s="78">
        <f>IF(O2310="","",IFERROR(INDEX(基础资料!$AE$5:$AE$34,MATCH(O2310,基础资料!$AC$5:$AC$34,0)),"未知"))</f>
      </c>
      <c r="Q2310" s="78">
        <f>IF(P2310="应收",COUNTIF(P$7:P2310,"应收"),"")</f>
      </c>
      <c r="R2310" s="78">
        <f>IF(P2310="应付",COUNTIF(P$7:P2310,"应付"),"")</f>
      </c>
      <c r="S2310" s="78">
        <f>N(F2310)-N(G2310)</f>
        <v>0</v>
      </c>
    </row>
    <row r="2311">
      <c r="A2311" s="109">
        <f>IF(AND(F2311="",G2311=""),"",ROW()-6)</f>
      </c>
      <c r="B2311" s="140" t="n"/>
      <c r="C2311" s="141" t="n"/>
      <c r="D2311" s="141" t="n"/>
      <c r="E2311" s="142" t="n"/>
      <c r="F2311" s="143" t="n"/>
      <c r="G2311" s="144" t="n"/>
      <c r="H2311" s="145">
        <f>IF(OR(C2311="",AND(F2311="",G2311="")),"",SUMIF(基础资料!$W$5:$W$24,C2311,基础资料!$X$5:$X$24)+SUMIF(C$7:C2311,C2311,F$7:F2311)-SUMIF(C$7:C2311,C2311,G$7:G2311))</f>
      </c>
      <c r="I2311" s="145">
        <f>IF(AND(F2311="",G2311=""),"",SUM(基础资料!$X$5:$X$24)+SUM(F$7:F2311)-SUM(G$7:G2311))</f>
      </c>
      <c r="J2311" s="141" t="n"/>
      <c r="K2311" s="141" t="n"/>
      <c r="L2311" s="141" t="n"/>
      <c r="M2311" s="142" t="n"/>
      <c r="N2311" s="146">
        <f>IF(AND(AND(F2311="",G2311=""),B2311="",C2311="",D2311="",J2311="",K2311="",L2311=""),"",IF(AND(F2311="",G2311=""),"✗ 没填金额",IF(AND(N(F2311)&lt;&gt;0,N(G2311)&lt;&gt;0),"✗ 收入、支出只能填一边",IF(NOT(ISNUMBER(B2311)),"✗ 日期不是真日期（要像 2026/9/25 这样填）",IF(OR(B2311&lt;年初日,B2311&gt;年末日),"✗ 日期不在本会计年度",IF(C2311="","✗ 没选账户",IF(COUNTIF(基础资料!$W$5:$W$24,C2311)=0,"✗ 账户不在基础资料里",IF(O2311="","✗ 没选收支项目",IF(P2311="未知","✗ 收支项目不在基础资料里",IF(AND(P2311="应收",J2311=""),"✗ 这笔要选客户",IF(AND(P2311="应收",COUNTIF(总览汇总!$B$5:$B$304,J2311)=0),"✗ 客户不在总览汇总名单里",IF(AND(P2311="应付",K2311=""),"✗ 这笔要选供应商",IF(AND(P2311="应付",COUNTIF(基础资料!$Q$5:$Q$54,K2311)=0),"✗ 供应商不在基础资料里",IF(AND(P2311="费用",L2311=""),"✗ 费用支出要选费用项目",IF(AND(L2311&lt;&gt;"",COUNTIF(基础资料!$AI$5:$AI$54,L2311)=0),"✗ 费用项目不在基础资料里",IF(AND(IFERROR(INDEX(基础资料!$AD$5:$AD$34,MATCH(O2311,基础资料!$AC$5:$AC$34,0)),"")="收",N(G2311)&lt;&gt;0),"✗ 这类是收款，金额填到收入列",IF(AND(IFERROR(INDEX(基础资料!$AD$5:$AD$34,MATCH(O2311,基础资料!$AC$5:$AC$34,0)),"")="支",N(F2311)&lt;&gt;0),"✗ 这类是付款，金额填到支出列",IF(N(H2311)&lt;0,"⚠ 账户余额成负数了，核对一下","√"))))))))))))))))))</f>
      </c>
      <c r="O2311" s="78">
        <f>IF(D2311&lt;&gt;"",D2311,IF(AND(F2311="",G2311=""),"",IF(J2311&lt;&gt;"",IF(N(F2311)&gt;0,"客户回款","客户退款"),IF(K2311&lt;&gt;"",IF(N(G2311)&gt;0,"供应商付款","供应商退款"),IF(L2311&lt;&gt;"","费用支出","")))))</f>
      </c>
      <c r="P2311" s="78">
        <f>IF(O2311="","",IFERROR(INDEX(基础资料!$AE$5:$AE$34,MATCH(O2311,基础资料!$AC$5:$AC$34,0)),"未知"))</f>
      </c>
      <c r="Q2311" s="78">
        <f>IF(P2311="应收",COUNTIF(P$7:P2311,"应收"),"")</f>
      </c>
      <c r="R2311" s="78">
        <f>IF(P2311="应付",COUNTIF(P$7:P2311,"应付"),"")</f>
      </c>
      <c r="S2311" s="78">
        <f>N(F2311)-N(G2311)</f>
        <v>0</v>
      </c>
    </row>
    <row r="2312">
      <c r="A2312" s="109">
        <f>IF(AND(F2312="",G2312=""),"",ROW()-6)</f>
      </c>
      <c r="B2312" s="140" t="n"/>
      <c r="C2312" s="141" t="n"/>
      <c r="D2312" s="141" t="n"/>
      <c r="E2312" s="142" t="n"/>
      <c r="F2312" s="143" t="n"/>
      <c r="G2312" s="144" t="n"/>
      <c r="H2312" s="145">
        <f>IF(OR(C2312="",AND(F2312="",G2312="")),"",SUMIF(基础资料!$W$5:$W$24,C2312,基础资料!$X$5:$X$24)+SUMIF(C$7:C2312,C2312,F$7:F2312)-SUMIF(C$7:C2312,C2312,G$7:G2312))</f>
      </c>
      <c r="I2312" s="145">
        <f>IF(AND(F2312="",G2312=""),"",SUM(基础资料!$X$5:$X$24)+SUM(F$7:F2312)-SUM(G$7:G2312))</f>
      </c>
      <c r="J2312" s="141" t="n"/>
      <c r="K2312" s="141" t="n"/>
      <c r="L2312" s="141" t="n"/>
      <c r="M2312" s="142" t="n"/>
      <c r="N2312" s="146">
        <f>IF(AND(AND(F2312="",G2312=""),B2312="",C2312="",D2312="",J2312="",K2312="",L2312=""),"",IF(AND(F2312="",G2312=""),"✗ 没填金额",IF(AND(N(F2312)&lt;&gt;0,N(G2312)&lt;&gt;0),"✗ 收入、支出只能填一边",IF(NOT(ISNUMBER(B2312)),"✗ 日期不是真日期（要像 2026/9/25 这样填）",IF(OR(B2312&lt;年初日,B2312&gt;年末日),"✗ 日期不在本会计年度",IF(C2312="","✗ 没选账户",IF(COUNTIF(基础资料!$W$5:$W$24,C2312)=0,"✗ 账户不在基础资料里",IF(O2312="","✗ 没选收支项目",IF(P2312="未知","✗ 收支项目不在基础资料里",IF(AND(P2312="应收",J2312=""),"✗ 这笔要选客户",IF(AND(P2312="应收",COUNTIF(总览汇总!$B$5:$B$304,J2312)=0),"✗ 客户不在总览汇总名单里",IF(AND(P2312="应付",K2312=""),"✗ 这笔要选供应商",IF(AND(P2312="应付",COUNTIF(基础资料!$Q$5:$Q$54,K2312)=0),"✗ 供应商不在基础资料里",IF(AND(P2312="费用",L2312=""),"✗ 费用支出要选费用项目",IF(AND(L2312&lt;&gt;"",COUNTIF(基础资料!$AI$5:$AI$54,L2312)=0),"✗ 费用项目不在基础资料里",IF(AND(IFERROR(INDEX(基础资料!$AD$5:$AD$34,MATCH(O2312,基础资料!$AC$5:$AC$34,0)),"")="收",N(G2312)&lt;&gt;0),"✗ 这类是收款，金额填到收入列",IF(AND(IFERROR(INDEX(基础资料!$AD$5:$AD$34,MATCH(O2312,基础资料!$AC$5:$AC$34,0)),"")="支",N(F2312)&lt;&gt;0),"✗ 这类是付款，金额填到支出列",IF(N(H2312)&lt;0,"⚠ 账户余额成负数了，核对一下","√"))))))))))))))))))</f>
      </c>
      <c r="O2312" s="78">
        <f>IF(D2312&lt;&gt;"",D2312,IF(AND(F2312="",G2312=""),"",IF(J2312&lt;&gt;"",IF(N(F2312)&gt;0,"客户回款","客户退款"),IF(K2312&lt;&gt;"",IF(N(G2312)&gt;0,"供应商付款","供应商退款"),IF(L2312&lt;&gt;"","费用支出","")))))</f>
      </c>
      <c r="P2312" s="78">
        <f>IF(O2312="","",IFERROR(INDEX(基础资料!$AE$5:$AE$34,MATCH(O2312,基础资料!$AC$5:$AC$34,0)),"未知"))</f>
      </c>
      <c r="Q2312" s="78">
        <f>IF(P2312="应收",COUNTIF(P$7:P2312,"应收"),"")</f>
      </c>
      <c r="R2312" s="78">
        <f>IF(P2312="应付",COUNTIF(P$7:P2312,"应付"),"")</f>
      </c>
      <c r="S2312" s="78">
        <f>N(F2312)-N(G2312)</f>
        <v>0</v>
      </c>
    </row>
    <row r="2313">
      <c r="A2313" s="109">
        <f>IF(AND(F2313="",G2313=""),"",ROW()-6)</f>
      </c>
      <c r="B2313" s="140" t="n"/>
      <c r="C2313" s="141" t="n"/>
      <c r="D2313" s="141" t="n"/>
      <c r="E2313" s="142" t="n"/>
      <c r="F2313" s="143" t="n"/>
      <c r="G2313" s="144" t="n"/>
      <c r="H2313" s="145">
        <f>IF(OR(C2313="",AND(F2313="",G2313="")),"",SUMIF(基础资料!$W$5:$W$24,C2313,基础资料!$X$5:$X$24)+SUMIF(C$7:C2313,C2313,F$7:F2313)-SUMIF(C$7:C2313,C2313,G$7:G2313))</f>
      </c>
      <c r="I2313" s="145">
        <f>IF(AND(F2313="",G2313=""),"",SUM(基础资料!$X$5:$X$24)+SUM(F$7:F2313)-SUM(G$7:G2313))</f>
      </c>
      <c r="J2313" s="141" t="n"/>
      <c r="K2313" s="141" t="n"/>
      <c r="L2313" s="141" t="n"/>
      <c r="M2313" s="142" t="n"/>
      <c r="N2313" s="146">
        <f>IF(AND(AND(F2313="",G2313=""),B2313="",C2313="",D2313="",J2313="",K2313="",L2313=""),"",IF(AND(F2313="",G2313=""),"✗ 没填金额",IF(AND(N(F2313)&lt;&gt;0,N(G2313)&lt;&gt;0),"✗ 收入、支出只能填一边",IF(NOT(ISNUMBER(B2313)),"✗ 日期不是真日期（要像 2026/9/25 这样填）",IF(OR(B2313&lt;年初日,B2313&gt;年末日),"✗ 日期不在本会计年度",IF(C2313="","✗ 没选账户",IF(COUNTIF(基础资料!$W$5:$W$24,C2313)=0,"✗ 账户不在基础资料里",IF(O2313="","✗ 没选收支项目",IF(P2313="未知","✗ 收支项目不在基础资料里",IF(AND(P2313="应收",J2313=""),"✗ 这笔要选客户",IF(AND(P2313="应收",COUNTIF(总览汇总!$B$5:$B$304,J2313)=0),"✗ 客户不在总览汇总名单里",IF(AND(P2313="应付",K2313=""),"✗ 这笔要选供应商",IF(AND(P2313="应付",COUNTIF(基础资料!$Q$5:$Q$54,K2313)=0),"✗ 供应商不在基础资料里",IF(AND(P2313="费用",L2313=""),"✗ 费用支出要选费用项目",IF(AND(L2313&lt;&gt;"",COUNTIF(基础资料!$AI$5:$AI$54,L2313)=0),"✗ 费用项目不在基础资料里",IF(AND(IFERROR(INDEX(基础资料!$AD$5:$AD$34,MATCH(O2313,基础资料!$AC$5:$AC$34,0)),"")="收",N(G2313)&lt;&gt;0),"✗ 这类是收款，金额填到收入列",IF(AND(IFERROR(INDEX(基础资料!$AD$5:$AD$34,MATCH(O2313,基础资料!$AC$5:$AC$34,0)),"")="支",N(F2313)&lt;&gt;0),"✗ 这类是付款，金额填到支出列",IF(N(H2313)&lt;0,"⚠ 账户余额成负数了，核对一下","√"))))))))))))))))))</f>
      </c>
      <c r="O2313" s="78">
        <f>IF(D2313&lt;&gt;"",D2313,IF(AND(F2313="",G2313=""),"",IF(J2313&lt;&gt;"",IF(N(F2313)&gt;0,"客户回款","客户退款"),IF(K2313&lt;&gt;"",IF(N(G2313)&gt;0,"供应商付款","供应商退款"),IF(L2313&lt;&gt;"","费用支出","")))))</f>
      </c>
      <c r="P2313" s="78">
        <f>IF(O2313="","",IFERROR(INDEX(基础资料!$AE$5:$AE$34,MATCH(O2313,基础资料!$AC$5:$AC$34,0)),"未知"))</f>
      </c>
      <c r="Q2313" s="78">
        <f>IF(P2313="应收",COUNTIF(P$7:P2313,"应收"),"")</f>
      </c>
      <c r="R2313" s="78">
        <f>IF(P2313="应付",COUNTIF(P$7:P2313,"应付"),"")</f>
      </c>
      <c r="S2313" s="78">
        <f>N(F2313)-N(G2313)</f>
        <v>0</v>
      </c>
    </row>
    <row r="2314">
      <c r="A2314" s="109">
        <f>IF(AND(F2314="",G2314=""),"",ROW()-6)</f>
      </c>
      <c r="B2314" s="140" t="n"/>
      <c r="C2314" s="141" t="n"/>
      <c r="D2314" s="141" t="n"/>
      <c r="E2314" s="142" t="n"/>
      <c r="F2314" s="143" t="n"/>
      <c r="G2314" s="144" t="n"/>
      <c r="H2314" s="145">
        <f>IF(OR(C2314="",AND(F2314="",G2314="")),"",SUMIF(基础资料!$W$5:$W$24,C2314,基础资料!$X$5:$X$24)+SUMIF(C$7:C2314,C2314,F$7:F2314)-SUMIF(C$7:C2314,C2314,G$7:G2314))</f>
      </c>
      <c r="I2314" s="145">
        <f>IF(AND(F2314="",G2314=""),"",SUM(基础资料!$X$5:$X$24)+SUM(F$7:F2314)-SUM(G$7:G2314))</f>
      </c>
      <c r="J2314" s="141" t="n"/>
      <c r="K2314" s="141" t="n"/>
      <c r="L2314" s="141" t="n"/>
      <c r="M2314" s="142" t="n"/>
      <c r="N2314" s="146">
        <f>IF(AND(AND(F2314="",G2314=""),B2314="",C2314="",D2314="",J2314="",K2314="",L2314=""),"",IF(AND(F2314="",G2314=""),"✗ 没填金额",IF(AND(N(F2314)&lt;&gt;0,N(G2314)&lt;&gt;0),"✗ 收入、支出只能填一边",IF(NOT(ISNUMBER(B2314)),"✗ 日期不是真日期（要像 2026/9/25 这样填）",IF(OR(B2314&lt;年初日,B2314&gt;年末日),"✗ 日期不在本会计年度",IF(C2314="","✗ 没选账户",IF(COUNTIF(基础资料!$W$5:$W$24,C2314)=0,"✗ 账户不在基础资料里",IF(O2314="","✗ 没选收支项目",IF(P2314="未知","✗ 收支项目不在基础资料里",IF(AND(P2314="应收",J2314=""),"✗ 这笔要选客户",IF(AND(P2314="应收",COUNTIF(总览汇总!$B$5:$B$304,J2314)=0),"✗ 客户不在总览汇总名单里",IF(AND(P2314="应付",K2314=""),"✗ 这笔要选供应商",IF(AND(P2314="应付",COUNTIF(基础资料!$Q$5:$Q$54,K2314)=0),"✗ 供应商不在基础资料里",IF(AND(P2314="费用",L2314=""),"✗ 费用支出要选费用项目",IF(AND(L2314&lt;&gt;"",COUNTIF(基础资料!$AI$5:$AI$54,L2314)=0),"✗ 费用项目不在基础资料里",IF(AND(IFERROR(INDEX(基础资料!$AD$5:$AD$34,MATCH(O2314,基础资料!$AC$5:$AC$34,0)),"")="收",N(G2314)&lt;&gt;0),"✗ 这类是收款，金额填到收入列",IF(AND(IFERROR(INDEX(基础资料!$AD$5:$AD$34,MATCH(O2314,基础资料!$AC$5:$AC$34,0)),"")="支",N(F2314)&lt;&gt;0),"✗ 这类是付款，金额填到支出列",IF(N(H2314)&lt;0,"⚠ 账户余额成负数了，核对一下","√"))))))))))))))))))</f>
      </c>
      <c r="O2314" s="78">
        <f>IF(D2314&lt;&gt;"",D2314,IF(AND(F2314="",G2314=""),"",IF(J2314&lt;&gt;"",IF(N(F2314)&gt;0,"客户回款","客户退款"),IF(K2314&lt;&gt;"",IF(N(G2314)&gt;0,"供应商付款","供应商退款"),IF(L2314&lt;&gt;"","费用支出","")))))</f>
      </c>
      <c r="P2314" s="78">
        <f>IF(O2314="","",IFERROR(INDEX(基础资料!$AE$5:$AE$34,MATCH(O2314,基础资料!$AC$5:$AC$34,0)),"未知"))</f>
      </c>
      <c r="Q2314" s="78">
        <f>IF(P2314="应收",COUNTIF(P$7:P2314,"应收"),"")</f>
      </c>
      <c r="R2314" s="78">
        <f>IF(P2314="应付",COUNTIF(P$7:P2314,"应付"),"")</f>
      </c>
      <c r="S2314" s="78">
        <f>N(F2314)-N(G2314)</f>
        <v>0</v>
      </c>
    </row>
    <row r="2315">
      <c r="A2315" s="109">
        <f>IF(AND(F2315="",G2315=""),"",ROW()-6)</f>
      </c>
      <c r="B2315" s="140" t="n"/>
      <c r="C2315" s="141" t="n"/>
      <c r="D2315" s="141" t="n"/>
      <c r="E2315" s="142" t="n"/>
      <c r="F2315" s="143" t="n"/>
      <c r="G2315" s="144" t="n"/>
      <c r="H2315" s="145">
        <f>IF(OR(C2315="",AND(F2315="",G2315="")),"",SUMIF(基础资料!$W$5:$W$24,C2315,基础资料!$X$5:$X$24)+SUMIF(C$7:C2315,C2315,F$7:F2315)-SUMIF(C$7:C2315,C2315,G$7:G2315))</f>
      </c>
      <c r="I2315" s="145">
        <f>IF(AND(F2315="",G2315=""),"",SUM(基础资料!$X$5:$X$24)+SUM(F$7:F2315)-SUM(G$7:G2315))</f>
      </c>
      <c r="J2315" s="141" t="n"/>
      <c r="K2315" s="141" t="n"/>
      <c r="L2315" s="141" t="n"/>
      <c r="M2315" s="142" t="n"/>
      <c r="N2315" s="146">
        <f>IF(AND(AND(F2315="",G2315=""),B2315="",C2315="",D2315="",J2315="",K2315="",L2315=""),"",IF(AND(F2315="",G2315=""),"✗ 没填金额",IF(AND(N(F2315)&lt;&gt;0,N(G2315)&lt;&gt;0),"✗ 收入、支出只能填一边",IF(NOT(ISNUMBER(B2315)),"✗ 日期不是真日期（要像 2026/9/25 这样填）",IF(OR(B2315&lt;年初日,B2315&gt;年末日),"✗ 日期不在本会计年度",IF(C2315="","✗ 没选账户",IF(COUNTIF(基础资料!$W$5:$W$24,C2315)=0,"✗ 账户不在基础资料里",IF(O2315="","✗ 没选收支项目",IF(P2315="未知","✗ 收支项目不在基础资料里",IF(AND(P2315="应收",J2315=""),"✗ 这笔要选客户",IF(AND(P2315="应收",COUNTIF(总览汇总!$B$5:$B$304,J2315)=0),"✗ 客户不在总览汇总名单里",IF(AND(P2315="应付",K2315=""),"✗ 这笔要选供应商",IF(AND(P2315="应付",COUNTIF(基础资料!$Q$5:$Q$54,K2315)=0),"✗ 供应商不在基础资料里",IF(AND(P2315="费用",L2315=""),"✗ 费用支出要选费用项目",IF(AND(L2315&lt;&gt;"",COUNTIF(基础资料!$AI$5:$AI$54,L2315)=0),"✗ 费用项目不在基础资料里",IF(AND(IFERROR(INDEX(基础资料!$AD$5:$AD$34,MATCH(O2315,基础资料!$AC$5:$AC$34,0)),"")="收",N(G2315)&lt;&gt;0),"✗ 这类是收款，金额填到收入列",IF(AND(IFERROR(INDEX(基础资料!$AD$5:$AD$34,MATCH(O2315,基础资料!$AC$5:$AC$34,0)),"")="支",N(F2315)&lt;&gt;0),"✗ 这类是付款，金额填到支出列",IF(N(H2315)&lt;0,"⚠ 账户余额成负数了，核对一下","√"))))))))))))))))))</f>
      </c>
      <c r="O2315" s="78">
        <f>IF(D2315&lt;&gt;"",D2315,IF(AND(F2315="",G2315=""),"",IF(J2315&lt;&gt;"",IF(N(F2315)&gt;0,"客户回款","客户退款"),IF(K2315&lt;&gt;"",IF(N(G2315)&gt;0,"供应商付款","供应商退款"),IF(L2315&lt;&gt;"","费用支出","")))))</f>
      </c>
      <c r="P2315" s="78">
        <f>IF(O2315="","",IFERROR(INDEX(基础资料!$AE$5:$AE$34,MATCH(O2315,基础资料!$AC$5:$AC$34,0)),"未知"))</f>
      </c>
      <c r="Q2315" s="78">
        <f>IF(P2315="应收",COUNTIF(P$7:P2315,"应收"),"")</f>
      </c>
      <c r="R2315" s="78">
        <f>IF(P2315="应付",COUNTIF(P$7:P2315,"应付"),"")</f>
      </c>
      <c r="S2315" s="78">
        <f>N(F2315)-N(G2315)</f>
        <v>0</v>
      </c>
    </row>
    <row r="2316">
      <c r="A2316" s="109">
        <f>IF(AND(F2316="",G2316=""),"",ROW()-6)</f>
      </c>
      <c r="B2316" s="140" t="n"/>
      <c r="C2316" s="141" t="n"/>
      <c r="D2316" s="141" t="n"/>
      <c r="E2316" s="142" t="n"/>
      <c r="F2316" s="143" t="n"/>
      <c r="G2316" s="144" t="n"/>
      <c r="H2316" s="145">
        <f>IF(OR(C2316="",AND(F2316="",G2316="")),"",SUMIF(基础资料!$W$5:$W$24,C2316,基础资料!$X$5:$X$24)+SUMIF(C$7:C2316,C2316,F$7:F2316)-SUMIF(C$7:C2316,C2316,G$7:G2316))</f>
      </c>
      <c r="I2316" s="145">
        <f>IF(AND(F2316="",G2316=""),"",SUM(基础资料!$X$5:$X$24)+SUM(F$7:F2316)-SUM(G$7:G2316))</f>
      </c>
      <c r="J2316" s="141" t="n"/>
      <c r="K2316" s="141" t="n"/>
      <c r="L2316" s="141" t="n"/>
      <c r="M2316" s="142" t="n"/>
      <c r="N2316" s="146">
        <f>IF(AND(AND(F2316="",G2316=""),B2316="",C2316="",D2316="",J2316="",K2316="",L2316=""),"",IF(AND(F2316="",G2316=""),"✗ 没填金额",IF(AND(N(F2316)&lt;&gt;0,N(G2316)&lt;&gt;0),"✗ 收入、支出只能填一边",IF(NOT(ISNUMBER(B2316)),"✗ 日期不是真日期（要像 2026/9/25 这样填）",IF(OR(B2316&lt;年初日,B2316&gt;年末日),"✗ 日期不在本会计年度",IF(C2316="","✗ 没选账户",IF(COUNTIF(基础资料!$W$5:$W$24,C2316)=0,"✗ 账户不在基础资料里",IF(O2316="","✗ 没选收支项目",IF(P2316="未知","✗ 收支项目不在基础资料里",IF(AND(P2316="应收",J2316=""),"✗ 这笔要选客户",IF(AND(P2316="应收",COUNTIF(总览汇总!$B$5:$B$304,J2316)=0),"✗ 客户不在总览汇总名单里",IF(AND(P2316="应付",K2316=""),"✗ 这笔要选供应商",IF(AND(P2316="应付",COUNTIF(基础资料!$Q$5:$Q$54,K2316)=0),"✗ 供应商不在基础资料里",IF(AND(P2316="费用",L2316=""),"✗ 费用支出要选费用项目",IF(AND(L2316&lt;&gt;"",COUNTIF(基础资料!$AI$5:$AI$54,L2316)=0),"✗ 费用项目不在基础资料里",IF(AND(IFERROR(INDEX(基础资料!$AD$5:$AD$34,MATCH(O2316,基础资料!$AC$5:$AC$34,0)),"")="收",N(G2316)&lt;&gt;0),"✗ 这类是收款，金额填到收入列",IF(AND(IFERROR(INDEX(基础资料!$AD$5:$AD$34,MATCH(O2316,基础资料!$AC$5:$AC$34,0)),"")="支",N(F2316)&lt;&gt;0),"✗ 这类是付款，金额填到支出列",IF(N(H2316)&lt;0,"⚠ 账户余额成负数了，核对一下","√"))))))))))))))))))</f>
      </c>
      <c r="O2316" s="78">
        <f>IF(D2316&lt;&gt;"",D2316,IF(AND(F2316="",G2316=""),"",IF(J2316&lt;&gt;"",IF(N(F2316)&gt;0,"客户回款","客户退款"),IF(K2316&lt;&gt;"",IF(N(G2316)&gt;0,"供应商付款","供应商退款"),IF(L2316&lt;&gt;"","费用支出","")))))</f>
      </c>
      <c r="P2316" s="78">
        <f>IF(O2316="","",IFERROR(INDEX(基础资料!$AE$5:$AE$34,MATCH(O2316,基础资料!$AC$5:$AC$34,0)),"未知"))</f>
      </c>
      <c r="Q2316" s="78">
        <f>IF(P2316="应收",COUNTIF(P$7:P2316,"应收"),"")</f>
      </c>
      <c r="R2316" s="78">
        <f>IF(P2316="应付",COUNTIF(P$7:P2316,"应付"),"")</f>
      </c>
      <c r="S2316" s="78">
        <f>N(F2316)-N(G2316)</f>
        <v>0</v>
      </c>
    </row>
    <row r="2317">
      <c r="A2317" s="109">
        <f>IF(AND(F2317="",G2317=""),"",ROW()-6)</f>
      </c>
      <c r="B2317" s="140" t="n"/>
      <c r="C2317" s="141" t="n"/>
      <c r="D2317" s="141" t="n"/>
      <c r="E2317" s="142" t="n"/>
      <c r="F2317" s="143" t="n"/>
      <c r="G2317" s="144" t="n"/>
      <c r="H2317" s="145">
        <f>IF(OR(C2317="",AND(F2317="",G2317="")),"",SUMIF(基础资料!$W$5:$W$24,C2317,基础资料!$X$5:$X$24)+SUMIF(C$7:C2317,C2317,F$7:F2317)-SUMIF(C$7:C2317,C2317,G$7:G2317))</f>
      </c>
      <c r="I2317" s="145">
        <f>IF(AND(F2317="",G2317=""),"",SUM(基础资料!$X$5:$X$24)+SUM(F$7:F2317)-SUM(G$7:G2317))</f>
      </c>
      <c r="J2317" s="141" t="n"/>
      <c r="K2317" s="141" t="n"/>
      <c r="L2317" s="141" t="n"/>
      <c r="M2317" s="142" t="n"/>
      <c r="N2317" s="146">
        <f>IF(AND(AND(F2317="",G2317=""),B2317="",C2317="",D2317="",J2317="",K2317="",L2317=""),"",IF(AND(F2317="",G2317=""),"✗ 没填金额",IF(AND(N(F2317)&lt;&gt;0,N(G2317)&lt;&gt;0),"✗ 收入、支出只能填一边",IF(NOT(ISNUMBER(B2317)),"✗ 日期不是真日期（要像 2026/9/25 这样填）",IF(OR(B2317&lt;年初日,B2317&gt;年末日),"✗ 日期不在本会计年度",IF(C2317="","✗ 没选账户",IF(COUNTIF(基础资料!$W$5:$W$24,C2317)=0,"✗ 账户不在基础资料里",IF(O2317="","✗ 没选收支项目",IF(P2317="未知","✗ 收支项目不在基础资料里",IF(AND(P2317="应收",J2317=""),"✗ 这笔要选客户",IF(AND(P2317="应收",COUNTIF(总览汇总!$B$5:$B$304,J2317)=0),"✗ 客户不在总览汇总名单里",IF(AND(P2317="应付",K2317=""),"✗ 这笔要选供应商",IF(AND(P2317="应付",COUNTIF(基础资料!$Q$5:$Q$54,K2317)=0),"✗ 供应商不在基础资料里",IF(AND(P2317="费用",L2317=""),"✗ 费用支出要选费用项目",IF(AND(L2317&lt;&gt;"",COUNTIF(基础资料!$AI$5:$AI$54,L2317)=0),"✗ 费用项目不在基础资料里",IF(AND(IFERROR(INDEX(基础资料!$AD$5:$AD$34,MATCH(O2317,基础资料!$AC$5:$AC$34,0)),"")="收",N(G2317)&lt;&gt;0),"✗ 这类是收款，金额填到收入列",IF(AND(IFERROR(INDEX(基础资料!$AD$5:$AD$34,MATCH(O2317,基础资料!$AC$5:$AC$34,0)),"")="支",N(F2317)&lt;&gt;0),"✗ 这类是付款，金额填到支出列",IF(N(H2317)&lt;0,"⚠ 账户余额成负数了，核对一下","√"))))))))))))))))))</f>
      </c>
      <c r="O2317" s="78">
        <f>IF(D2317&lt;&gt;"",D2317,IF(AND(F2317="",G2317=""),"",IF(J2317&lt;&gt;"",IF(N(F2317)&gt;0,"客户回款","客户退款"),IF(K2317&lt;&gt;"",IF(N(G2317)&gt;0,"供应商付款","供应商退款"),IF(L2317&lt;&gt;"","费用支出","")))))</f>
      </c>
      <c r="P2317" s="78">
        <f>IF(O2317="","",IFERROR(INDEX(基础资料!$AE$5:$AE$34,MATCH(O2317,基础资料!$AC$5:$AC$34,0)),"未知"))</f>
      </c>
      <c r="Q2317" s="78">
        <f>IF(P2317="应收",COUNTIF(P$7:P2317,"应收"),"")</f>
      </c>
      <c r="R2317" s="78">
        <f>IF(P2317="应付",COUNTIF(P$7:P2317,"应付"),"")</f>
      </c>
      <c r="S2317" s="78">
        <f>N(F2317)-N(G2317)</f>
        <v>0</v>
      </c>
    </row>
    <row r="2318">
      <c r="A2318" s="109">
        <f>IF(AND(F2318="",G2318=""),"",ROW()-6)</f>
      </c>
      <c r="B2318" s="140" t="n"/>
      <c r="C2318" s="141" t="n"/>
      <c r="D2318" s="141" t="n"/>
      <c r="E2318" s="142" t="n"/>
      <c r="F2318" s="143" t="n"/>
      <c r="G2318" s="144" t="n"/>
      <c r="H2318" s="145">
        <f>IF(OR(C2318="",AND(F2318="",G2318="")),"",SUMIF(基础资料!$W$5:$W$24,C2318,基础资料!$X$5:$X$24)+SUMIF(C$7:C2318,C2318,F$7:F2318)-SUMIF(C$7:C2318,C2318,G$7:G2318))</f>
      </c>
      <c r="I2318" s="145">
        <f>IF(AND(F2318="",G2318=""),"",SUM(基础资料!$X$5:$X$24)+SUM(F$7:F2318)-SUM(G$7:G2318))</f>
      </c>
      <c r="J2318" s="141" t="n"/>
      <c r="K2318" s="141" t="n"/>
      <c r="L2318" s="141" t="n"/>
      <c r="M2318" s="142" t="n"/>
      <c r="N2318" s="146">
        <f>IF(AND(AND(F2318="",G2318=""),B2318="",C2318="",D2318="",J2318="",K2318="",L2318=""),"",IF(AND(F2318="",G2318=""),"✗ 没填金额",IF(AND(N(F2318)&lt;&gt;0,N(G2318)&lt;&gt;0),"✗ 收入、支出只能填一边",IF(NOT(ISNUMBER(B2318)),"✗ 日期不是真日期（要像 2026/9/25 这样填）",IF(OR(B2318&lt;年初日,B2318&gt;年末日),"✗ 日期不在本会计年度",IF(C2318="","✗ 没选账户",IF(COUNTIF(基础资料!$W$5:$W$24,C2318)=0,"✗ 账户不在基础资料里",IF(O2318="","✗ 没选收支项目",IF(P2318="未知","✗ 收支项目不在基础资料里",IF(AND(P2318="应收",J2318=""),"✗ 这笔要选客户",IF(AND(P2318="应收",COUNTIF(总览汇总!$B$5:$B$304,J2318)=0),"✗ 客户不在总览汇总名单里",IF(AND(P2318="应付",K2318=""),"✗ 这笔要选供应商",IF(AND(P2318="应付",COUNTIF(基础资料!$Q$5:$Q$54,K2318)=0),"✗ 供应商不在基础资料里",IF(AND(P2318="费用",L2318=""),"✗ 费用支出要选费用项目",IF(AND(L2318&lt;&gt;"",COUNTIF(基础资料!$AI$5:$AI$54,L2318)=0),"✗ 费用项目不在基础资料里",IF(AND(IFERROR(INDEX(基础资料!$AD$5:$AD$34,MATCH(O2318,基础资料!$AC$5:$AC$34,0)),"")="收",N(G2318)&lt;&gt;0),"✗ 这类是收款，金额填到收入列",IF(AND(IFERROR(INDEX(基础资料!$AD$5:$AD$34,MATCH(O2318,基础资料!$AC$5:$AC$34,0)),"")="支",N(F2318)&lt;&gt;0),"✗ 这类是付款，金额填到支出列",IF(N(H2318)&lt;0,"⚠ 账户余额成负数了，核对一下","√"))))))))))))))))))</f>
      </c>
      <c r="O2318" s="78">
        <f>IF(D2318&lt;&gt;"",D2318,IF(AND(F2318="",G2318=""),"",IF(J2318&lt;&gt;"",IF(N(F2318)&gt;0,"客户回款","客户退款"),IF(K2318&lt;&gt;"",IF(N(G2318)&gt;0,"供应商付款","供应商退款"),IF(L2318&lt;&gt;"","费用支出","")))))</f>
      </c>
      <c r="P2318" s="78">
        <f>IF(O2318="","",IFERROR(INDEX(基础资料!$AE$5:$AE$34,MATCH(O2318,基础资料!$AC$5:$AC$34,0)),"未知"))</f>
      </c>
      <c r="Q2318" s="78">
        <f>IF(P2318="应收",COUNTIF(P$7:P2318,"应收"),"")</f>
      </c>
      <c r="R2318" s="78">
        <f>IF(P2318="应付",COUNTIF(P$7:P2318,"应付"),"")</f>
      </c>
      <c r="S2318" s="78">
        <f>N(F2318)-N(G2318)</f>
        <v>0</v>
      </c>
    </row>
    <row r="2319">
      <c r="A2319" s="109">
        <f>IF(AND(F2319="",G2319=""),"",ROW()-6)</f>
      </c>
      <c r="B2319" s="140" t="n"/>
      <c r="C2319" s="141" t="n"/>
      <c r="D2319" s="141" t="n"/>
      <c r="E2319" s="142" t="n"/>
      <c r="F2319" s="143" t="n"/>
      <c r="G2319" s="144" t="n"/>
      <c r="H2319" s="145">
        <f>IF(OR(C2319="",AND(F2319="",G2319="")),"",SUMIF(基础资料!$W$5:$W$24,C2319,基础资料!$X$5:$X$24)+SUMIF(C$7:C2319,C2319,F$7:F2319)-SUMIF(C$7:C2319,C2319,G$7:G2319))</f>
      </c>
      <c r="I2319" s="145">
        <f>IF(AND(F2319="",G2319=""),"",SUM(基础资料!$X$5:$X$24)+SUM(F$7:F2319)-SUM(G$7:G2319))</f>
      </c>
      <c r="J2319" s="141" t="n"/>
      <c r="K2319" s="141" t="n"/>
      <c r="L2319" s="141" t="n"/>
      <c r="M2319" s="142" t="n"/>
      <c r="N2319" s="146">
        <f>IF(AND(AND(F2319="",G2319=""),B2319="",C2319="",D2319="",J2319="",K2319="",L2319=""),"",IF(AND(F2319="",G2319=""),"✗ 没填金额",IF(AND(N(F2319)&lt;&gt;0,N(G2319)&lt;&gt;0),"✗ 收入、支出只能填一边",IF(NOT(ISNUMBER(B2319)),"✗ 日期不是真日期（要像 2026/9/25 这样填）",IF(OR(B2319&lt;年初日,B2319&gt;年末日),"✗ 日期不在本会计年度",IF(C2319="","✗ 没选账户",IF(COUNTIF(基础资料!$W$5:$W$24,C2319)=0,"✗ 账户不在基础资料里",IF(O2319="","✗ 没选收支项目",IF(P2319="未知","✗ 收支项目不在基础资料里",IF(AND(P2319="应收",J2319=""),"✗ 这笔要选客户",IF(AND(P2319="应收",COUNTIF(总览汇总!$B$5:$B$304,J2319)=0),"✗ 客户不在总览汇总名单里",IF(AND(P2319="应付",K2319=""),"✗ 这笔要选供应商",IF(AND(P2319="应付",COUNTIF(基础资料!$Q$5:$Q$54,K2319)=0),"✗ 供应商不在基础资料里",IF(AND(P2319="费用",L2319=""),"✗ 费用支出要选费用项目",IF(AND(L2319&lt;&gt;"",COUNTIF(基础资料!$AI$5:$AI$54,L2319)=0),"✗ 费用项目不在基础资料里",IF(AND(IFERROR(INDEX(基础资料!$AD$5:$AD$34,MATCH(O2319,基础资料!$AC$5:$AC$34,0)),"")="收",N(G2319)&lt;&gt;0),"✗ 这类是收款，金额填到收入列",IF(AND(IFERROR(INDEX(基础资料!$AD$5:$AD$34,MATCH(O2319,基础资料!$AC$5:$AC$34,0)),"")="支",N(F2319)&lt;&gt;0),"✗ 这类是付款，金额填到支出列",IF(N(H2319)&lt;0,"⚠ 账户余额成负数了，核对一下","√"))))))))))))))))))</f>
      </c>
      <c r="O2319" s="78">
        <f>IF(D2319&lt;&gt;"",D2319,IF(AND(F2319="",G2319=""),"",IF(J2319&lt;&gt;"",IF(N(F2319)&gt;0,"客户回款","客户退款"),IF(K2319&lt;&gt;"",IF(N(G2319)&gt;0,"供应商付款","供应商退款"),IF(L2319&lt;&gt;"","费用支出","")))))</f>
      </c>
      <c r="P2319" s="78">
        <f>IF(O2319="","",IFERROR(INDEX(基础资料!$AE$5:$AE$34,MATCH(O2319,基础资料!$AC$5:$AC$34,0)),"未知"))</f>
      </c>
      <c r="Q2319" s="78">
        <f>IF(P2319="应收",COUNTIF(P$7:P2319,"应收"),"")</f>
      </c>
      <c r="R2319" s="78">
        <f>IF(P2319="应付",COUNTIF(P$7:P2319,"应付"),"")</f>
      </c>
      <c r="S2319" s="78">
        <f>N(F2319)-N(G2319)</f>
        <v>0</v>
      </c>
    </row>
    <row r="2320">
      <c r="A2320" s="109">
        <f>IF(AND(F2320="",G2320=""),"",ROW()-6)</f>
      </c>
      <c r="B2320" s="140" t="n"/>
      <c r="C2320" s="141" t="n"/>
      <c r="D2320" s="141" t="n"/>
      <c r="E2320" s="142" t="n"/>
      <c r="F2320" s="143" t="n"/>
      <c r="G2320" s="144" t="n"/>
      <c r="H2320" s="145">
        <f>IF(OR(C2320="",AND(F2320="",G2320="")),"",SUMIF(基础资料!$W$5:$W$24,C2320,基础资料!$X$5:$X$24)+SUMIF(C$7:C2320,C2320,F$7:F2320)-SUMIF(C$7:C2320,C2320,G$7:G2320))</f>
      </c>
      <c r="I2320" s="145">
        <f>IF(AND(F2320="",G2320=""),"",SUM(基础资料!$X$5:$X$24)+SUM(F$7:F2320)-SUM(G$7:G2320))</f>
      </c>
      <c r="J2320" s="141" t="n"/>
      <c r="K2320" s="141" t="n"/>
      <c r="L2320" s="141" t="n"/>
      <c r="M2320" s="142" t="n"/>
      <c r="N2320" s="146">
        <f>IF(AND(AND(F2320="",G2320=""),B2320="",C2320="",D2320="",J2320="",K2320="",L2320=""),"",IF(AND(F2320="",G2320=""),"✗ 没填金额",IF(AND(N(F2320)&lt;&gt;0,N(G2320)&lt;&gt;0),"✗ 收入、支出只能填一边",IF(NOT(ISNUMBER(B2320)),"✗ 日期不是真日期（要像 2026/9/25 这样填）",IF(OR(B2320&lt;年初日,B2320&gt;年末日),"✗ 日期不在本会计年度",IF(C2320="","✗ 没选账户",IF(COUNTIF(基础资料!$W$5:$W$24,C2320)=0,"✗ 账户不在基础资料里",IF(O2320="","✗ 没选收支项目",IF(P2320="未知","✗ 收支项目不在基础资料里",IF(AND(P2320="应收",J2320=""),"✗ 这笔要选客户",IF(AND(P2320="应收",COUNTIF(总览汇总!$B$5:$B$304,J2320)=0),"✗ 客户不在总览汇总名单里",IF(AND(P2320="应付",K2320=""),"✗ 这笔要选供应商",IF(AND(P2320="应付",COUNTIF(基础资料!$Q$5:$Q$54,K2320)=0),"✗ 供应商不在基础资料里",IF(AND(P2320="费用",L2320=""),"✗ 费用支出要选费用项目",IF(AND(L2320&lt;&gt;"",COUNTIF(基础资料!$AI$5:$AI$54,L2320)=0),"✗ 费用项目不在基础资料里",IF(AND(IFERROR(INDEX(基础资料!$AD$5:$AD$34,MATCH(O2320,基础资料!$AC$5:$AC$34,0)),"")="收",N(G2320)&lt;&gt;0),"✗ 这类是收款，金额填到收入列",IF(AND(IFERROR(INDEX(基础资料!$AD$5:$AD$34,MATCH(O2320,基础资料!$AC$5:$AC$34,0)),"")="支",N(F2320)&lt;&gt;0),"✗ 这类是付款，金额填到支出列",IF(N(H2320)&lt;0,"⚠ 账户余额成负数了，核对一下","√"))))))))))))))))))</f>
      </c>
      <c r="O2320" s="78">
        <f>IF(D2320&lt;&gt;"",D2320,IF(AND(F2320="",G2320=""),"",IF(J2320&lt;&gt;"",IF(N(F2320)&gt;0,"客户回款","客户退款"),IF(K2320&lt;&gt;"",IF(N(G2320)&gt;0,"供应商付款","供应商退款"),IF(L2320&lt;&gt;"","费用支出","")))))</f>
      </c>
      <c r="P2320" s="78">
        <f>IF(O2320="","",IFERROR(INDEX(基础资料!$AE$5:$AE$34,MATCH(O2320,基础资料!$AC$5:$AC$34,0)),"未知"))</f>
      </c>
      <c r="Q2320" s="78">
        <f>IF(P2320="应收",COUNTIF(P$7:P2320,"应收"),"")</f>
      </c>
      <c r="R2320" s="78">
        <f>IF(P2320="应付",COUNTIF(P$7:P2320,"应付"),"")</f>
      </c>
      <c r="S2320" s="78">
        <f>N(F2320)-N(G2320)</f>
        <v>0</v>
      </c>
    </row>
    <row r="2321">
      <c r="A2321" s="109">
        <f>IF(AND(F2321="",G2321=""),"",ROW()-6)</f>
      </c>
      <c r="B2321" s="140" t="n"/>
      <c r="C2321" s="141" t="n"/>
      <c r="D2321" s="141" t="n"/>
      <c r="E2321" s="142" t="n"/>
      <c r="F2321" s="143" t="n"/>
      <c r="G2321" s="144" t="n"/>
      <c r="H2321" s="145">
        <f>IF(OR(C2321="",AND(F2321="",G2321="")),"",SUMIF(基础资料!$W$5:$W$24,C2321,基础资料!$X$5:$X$24)+SUMIF(C$7:C2321,C2321,F$7:F2321)-SUMIF(C$7:C2321,C2321,G$7:G2321))</f>
      </c>
      <c r="I2321" s="145">
        <f>IF(AND(F2321="",G2321=""),"",SUM(基础资料!$X$5:$X$24)+SUM(F$7:F2321)-SUM(G$7:G2321))</f>
      </c>
      <c r="J2321" s="141" t="n"/>
      <c r="K2321" s="141" t="n"/>
      <c r="L2321" s="141" t="n"/>
      <c r="M2321" s="142" t="n"/>
      <c r="N2321" s="146">
        <f>IF(AND(AND(F2321="",G2321=""),B2321="",C2321="",D2321="",J2321="",K2321="",L2321=""),"",IF(AND(F2321="",G2321=""),"✗ 没填金额",IF(AND(N(F2321)&lt;&gt;0,N(G2321)&lt;&gt;0),"✗ 收入、支出只能填一边",IF(NOT(ISNUMBER(B2321)),"✗ 日期不是真日期（要像 2026/9/25 这样填）",IF(OR(B2321&lt;年初日,B2321&gt;年末日),"✗ 日期不在本会计年度",IF(C2321="","✗ 没选账户",IF(COUNTIF(基础资料!$W$5:$W$24,C2321)=0,"✗ 账户不在基础资料里",IF(O2321="","✗ 没选收支项目",IF(P2321="未知","✗ 收支项目不在基础资料里",IF(AND(P2321="应收",J2321=""),"✗ 这笔要选客户",IF(AND(P2321="应收",COUNTIF(总览汇总!$B$5:$B$304,J2321)=0),"✗ 客户不在总览汇总名单里",IF(AND(P2321="应付",K2321=""),"✗ 这笔要选供应商",IF(AND(P2321="应付",COUNTIF(基础资料!$Q$5:$Q$54,K2321)=0),"✗ 供应商不在基础资料里",IF(AND(P2321="费用",L2321=""),"✗ 费用支出要选费用项目",IF(AND(L2321&lt;&gt;"",COUNTIF(基础资料!$AI$5:$AI$54,L2321)=0),"✗ 费用项目不在基础资料里",IF(AND(IFERROR(INDEX(基础资料!$AD$5:$AD$34,MATCH(O2321,基础资料!$AC$5:$AC$34,0)),"")="收",N(G2321)&lt;&gt;0),"✗ 这类是收款，金额填到收入列",IF(AND(IFERROR(INDEX(基础资料!$AD$5:$AD$34,MATCH(O2321,基础资料!$AC$5:$AC$34,0)),"")="支",N(F2321)&lt;&gt;0),"✗ 这类是付款，金额填到支出列",IF(N(H2321)&lt;0,"⚠ 账户余额成负数了，核对一下","√"))))))))))))))))))</f>
      </c>
      <c r="O2321" s="78">
        <f>IF(D2321&lt;&gt;"",D2321,IF(AND(F2321="",G2321=""),"",IF(J2321&lt;&gt;"",IF(N(F2321)&gt;0,"客户回款","客户退款"),IF(K2321&lt;&gt;"",IF(N(G2321)&gt;0,"供应商付款","供应商退款"),IF(L2321&lt;&gt;"","费用支出","")))))</f>
      </c>
      <c r="P2321" s="78">
        <f>IF(O2321="","",IFERROR(INDEX(基础资料!$AE$5:$AE$34,MATCH(O2321,基础资料!$AC$5:$AC$34,0)),"未知"))</f>
      </c>
      <c r="Q2321" s="78">
        <f>IF(P2321="应收",COUNTIF(P$7:P2321,"应收"),"")</f>
      </c>
      <c r="R2321" s="78">
        <f>IF(P2321="应付",COUNTIF(P$7:P2321,"应付"),"")</f>
      </c>
      <c r="S2321" s="78">
        <f>N(F2321)-N(G2321)</f>
        <v>0</v>
      </c>
    </row>
    <row r="2322">
      <c r="A2322" s="109">
        <f>IF(AND(F2322="",G2322=""),"",ROW()-6)</f>
      </c>
      <c r="B2322" s="140" t="n"/>
      <c r="C2322" s="141" t="n"/>
      <c r="D2322" s="141" t="n"/>
      <c r="E2322" s="142" t="n"/>
      <c r="F2322" s="143" t="n"/>
      <c r="G2322" s="144" t="n"/>
      <c r="H2322" s="145">
        <f>IF(OR(C2322="",AND(F2322="",G2322="")),"",SUMIF(基础资料!$W$5:$W$24,C2322,基础资料!$X$5:$X$24)+SUMIF(C$7:C2322,C2322,F$7:F2322)-SUMIF(C$7:C2322,C2322,G$7:G2322))</f>
      </c>
      <c r="I2322" s="145">
        <f>IF(AND(F2322="",G2322=""),"",SUM(基础资料!$X$5:$X$24)+SUM(F$7:F2322)-SUM(G$7:G2322))</f>
      </c>
      <c r="J2322" s="141" t="n"/>
      <c r="K2322" s="141" t="n"/>
      <c r="L2322" s="141" t="n"/>
      <c r="M2322" s="142" t="n"/>
      <c r="N2322" s="146">
        <f>IF(AND(AND(F2322="",G2322=""),B2322="",C2322="",D2322="",J2322="",K2322="",L2322=""),"",IF(AND(F2322="",G2322=""),"✗ 没填金额",IF(AND(N(F2322)&lt;&gt;0,N(G2322)&lt;&gt;0),"✗ 收入、支出只能填一边",IF(NOT(ISNUMBER(B2322)),"✗ 日期不是真日期（要像 2026/9/25 这样填）",IF(OR(B2322&lt;年初日,B2322&gt;年末日),"✗ 日期不在本会计年度",IF(C2322="","✗ 没选账户",IF(COUNTIF(基础资料!$W$5:$W$24,C2322)=0,"✗ 账户不在基础资料里",IF(O2322="","✗ 没选收支项目",IF(P2322="未知","✗ 收支项目不在基础资料里",IF(AND(P2322="应收",J2322=""),"✗ 这笔要选客户",IF(AND(P2322="应收",COUNTIF(总览汇总!$B$5:$B$304,J2322)=0),"✗ 客户不在总览汇总名单里",IF(AND(P2322="应付",K2322=""),"✗ 这笔要选供应商",IF(AND(P2322="应付",COUNTIF(基础资料!$Q$5:$Q$54,K2322)=0),"✗ 供应商不在基础资料里",IF(AND(P2322="费用",L2322=""),"✗ 费用支出要选费用项目",IF(AND(L2322&lt;&gt;"",COUNTIF(基础资料!$AI$5:$AI$54,L2322)=0),"✗ 费用项目不在基础资料里",IF(AND(IFERROR(INDEX(基础资料!$AD$5:$AD$34,MATCH(O2322,基础资料!$AC$5:$AC$34,0)),"")="收",N(G2322)&lt;&gt;0),"✗ 这类是收款，金额填到收入列",IF(AND(IFERROR(INDEX(基础资料!$AD$5:$AD$34,MATCH(O2322,基础资料!$AC$5:$AC$34,0)),"")="支",N(F2322)&lt;&gt;0),"✗ 这类是付款，金额填到支出列",IF(N(H2322)&lt;0,"⚠ 账户余额成负数了，核对一下","√"))))))))))))))))))</f>
      </c>
      <c r="O2322" s="78">
        <f>IF(D2322&lt;&gt;"",D2322,IF(AND(F2322="",G2322=""),"",IF(J2322&lt;&gt;"",IF(N(F2322)&gt;0,"客户回款","客户退款"),IF(K2322&lt;&gt;"",IF(N(G2322)&gt;0,"供应商付款","供应商退款"),IF(L2322&lt;&gt;"","费用支出","")))))</f>
      </c>
      <c r="P2322" s="78">
        <f>IF(O2322="","",IFERROR(INDEX(基础资料!$AE$5:$AE$34,MATCH(O2322,基础资料!$AC$5:$AC$34,0)),"未知"))</f>
      </c>
      <c r="Q2322" s="78">
        <f>IF(P2322="应收",COUNTIF(P$7:P2322,"应收"),"")</f>
      </c>
      <c r="R2322" s="78">
        <f>IF(P2322="应付",COUNTIF(P$7:P2322,"应付"),"")</f>
      </c>
      <c r="S2322" s="78">
        <f>N(F2322)-N(G2322)</f>
        <v>0</v>
      </c>
    </row>
    <row r="2323">
      <c r="A2323" s="109">
        <f>IF(AND(F2323="",G2323=""),"",ROW()-6)</f>
      </c>
      <c r="B2323" s="140" t="n"/>
      <c r="C2323" s="141" t="n"/>
      <c r="D2323" s="141" t="n"/>
      <c r="E2323" s="142" t="n"/>
      <c r="F2323" s="143" t="n"/>
      <c r="G2323" s="144" t="n"/>
      <c r="H2323" s="145">
        <f>IF(OR(C2323="",AND(F2323="",G2323="")),"",SUMIF(基础资料!$W$5:$W$24,C2323,基础资料!$X$5:$X$24)+SUMIF(C$7:C2323,C2323,F$7:F2323)-SUMIF(C$7:C2323,C2323,G$7:G2323))</f>
      </c>
      <c r="I2323" s="145">
        <f>IF(AND(F2323="",G2323=""),"",SUM(基础资料!$X$5:$X$24)+SUM(F$7:F2323)-SUM(G$7:G2323))</f>
      </c>
      <c r="J2323" s="141" t="n"/>
      <c r="K2323" s="141" t="n"/>
      <c r="L2323" s="141" t="n"/>
      <c r="M2323" s="142" t="n"/>
      <c r="N2323" s="146">
        <f>IF(AND(AND(F2323="",G2323=""),B2323="",C2323="",D2323="",J2323="",K2323="",L2323=""),"",IF(AND(F2323="",G2323=""),"✗ 没填金额",IF(AND(N(F2323)&lt;&gt;0,N(G2323)&lt;&gt;0),"✗ 收入、支出只能填一边",IF(NOT(ISNUMBER(B2323)),"✗ 日期不是真日期（要像 2026/9/25 这样填）",IF(OR(B2323&lt;年初日,B2323&gt;年末日),"✗ 日期不在本会计年度",IF(C2323="","✗ 没选账户",IF(COUNTIF(基础资料!$W$5:$W$24,C2323)=0,"✗ 账户不在基础资料里",IF(O2323="","✗ 没选收支项目",IF(P2323="未知","✗ 收支项目不在基础资料里",IF(AND(P2323="应收",J2323=""),"✗ 这笔要选客户",IF(AND(P2323="应收",COUNTIF(总览汇总!$B$5:$B$304,J2323)=0),"✗ 客户不在总览汇总名单里",IF(AND(P2323="应付",K2323=""),"✗ 这笔要选供应商",IF(AND(P2323="应付",COUNTIF(基础资料!$Q$5:$Q$54,K2323)=0),"✗ 供应商不在基础资料里",IF(AND(P2323="费用",L2323=""),"✗ 费用支出要选费用项目",IF(AND(L2323&lt;&gt;"",COUNTIF(基础资料!$AI$5:$AI$54,L2323)=0),"✗ 费用项目不在基础资料里",IF(AND(IFERROR(INDEX(基础资料!$AD$5:$AD$34,MATCH(O2323,基础资料!$AC$5:$AC$34,0)),"")="收",N(G2323)&lt;&gt;0),"✗ 这类是收款，金额填到收入列",IF(AND(IFERROR(INDEX(基础资料!$AD$5:$AD$34,MATCH(O2323,基础资料!$AC$5:$AC$34,0)),"")="支",N(F2323)&lt;&gt;0),"✗ 这类是付款，金额填到支出列",IF(N(H2323)&lt;0,"⚠ 账户余额成负数了，核对一下","√"))))))))))))))))))</f>
      </c>
      <c r="O2323" s="78">
        <f>IF(D2323&lt;&gt;"",D2323,IF(AND(F2323="",G2323=""),"",IF(J2323&lt;&gt;"",IF(N(F2323)&gt;0,"客户回款","客户退款"),IF(K2323&lt;&gt;"",IF(N(G2323)&gt;0,"供应商付款","供应商退款"),IF(L2323&lt;&gt;"","费用支出","")))))</f>
      </c>
      <c r="P2323" s="78">
        <f>IF(O2323="","",IFERROR(INDEX(基础资料!$AE$5:$AE$34,MATCH(O2323,基础资料!$AC$5:$AC$34,0)),"未知"))</f>
      </c>
      <c r="Q2323" s="78">
        <f>IF(P2323="应收",COUNTIF(P$7:P2323,"应收"),"")</f>
      </c>
      <c r="R2323" s="78">
        <f>IF(P2323="应付",COUNTIF(P$7:P2323,"应付"),"")</f>
      </c>
      <c r="S2323" s="78">
        <f>N(F2323)-N(G2323)</f>
        <v>0</v>
      </c>
    </row>
    <row r="2324">
      <c r="A2324" s="109">
        <f>IF(AND(F2324="",G2324=""),"",ROW()-6)</f>
      </c>
      <c r="B2324" s="140" t="n"/>
      <c r="C2324" s="141" t="n"/>
      <c r="D2324" s="141" t="n"/>
      <c r="E2324" s="142" t="n"/>
      <c r="F2324" s="143" t="n"/>
      <c r="G2324" s="144" t="n"/>
      <c r="H2324" s="145">
        <f>IF(OR(C2324="",AND(F2324="",G2324="")),"",SUMIF(基础资料!$W$5:$W$24,C2324,基础资料!$X$5:$X$24)+SUMIF(C$7:C2324,C2324,F$7:F2324)-SUMIF(C$7:C2324,C2324,G$7:G2324))</f>
      </c>
      <c r="I2324" s="145">
        <f>IF(AND(F2324="",G2324=""),"",SUM(基础资料!$X$5:$X$24)+SUM(F$7:F2324)-SUM(G$7:G2324))</f>
      </c>
      <c r="J2324" s="141" t="n"/>
      <c r="K2324" s="141" t="n"/>
      <c r="L2324" s="141" t="n"/>
      <c r="M2324" s="142" t="n"/>
      <c r="N2324" s="146">
        <f>IF(AND(AND(F2324="",G2324=""),B2324="",C2324="",D2324="",J2324="",K2324="",L2324=""),"",IF(AND(F2324="",G2324=""),"✗ 没填金额",IF(AND(N(F2324)&lt;&gt;0,N(G2324)&lt;&gt;0),"✗ 收入、支出只能填一边",IF(NOT(ISNUMBER(B2324)),"✗ 日期不是真日期（要像 2026/9/25 这样填）",IF(OR(B2324&lt;年初日,B2324&gt;年末日),"✗ 日期不在本会计年度",IF(C2324="","✗ 没选账户",IF(COUNTIF(基础资料!$W$5:$W$24,C2324)=0,"✗ 账户不在基础资料里",IF(O2324="","✗ 没选收支项目",IF(P2324="未知","✗ 收支项目不在基础资料里",IF(AND(P2324="应收",J2324=""),"✗ 这笔要选客户",IF(AND(P2324="应收",COUNTIF(总览汇总!$B$5:$B$304,J2324)=0),"✗ 客户不在总览汇总名单里",IF(AND(P2324="应付",K2324=""),"✗ 这笔要选供应商",IF(AND(P2324="应付",COUNTIF(基础资料!$Q$5:$Q$54,K2324)=0),"✗ 供应商不在基础资料里",IF(AND(P2324="费用",L2324=""),"✗ 费用支出要选费用项目",IF(AND(L2324&lt;&gt;"",COUNTIF(基础资料!$AI$5:$AI$54,L2324)=0),"✗ 费用项目不在基础资料里",IF(AND(IFERROR(INDEX(基础资料!$AD$5:$AD$34,MATCH(O2324,基础资料!$AC$5:$AC$34,0)),"")="收",N(G2324)&lt;&gt;0),"✗ 这类是收款，金额填到收入列",IF(AND(IFERROR(INDEX(基础资料!$AD$5:$AD$34,MATCH(O2324,基础资料!$AC$5:$AC$34,0)),"")="支",N(F2324)&lt;&gt;0),"✗ 这类是付款，金额填到支出列",IF(N(H2324)&lt;0,"⚠ 账户余额成负数了，核对一下","√"))))))))))))))))))</f>
      </c>
      <c r="O2324" s="78">
        <f>IF(D2324&lt;&gt;"",D2324,IF(AND(F2324="",G2324=""),"",IF(J2324&lt;&gt;"",IF(N(F2324)&gt;0,"客户回款","客户退款"),IF(K2324&lt;&gt;"",IF(N(G2324)&gt;0,"供应商付款","供应商退款"),IF(L2324&lt;&gt;"","费用支出","")))))</f>
      </c>
      <c r="P2324" s="78">
        <f>IF(O2324="","",IFERROR(INDEX(基础资料!$AE$5:$AE$34,MATCH(O2324,基础资料!$AC$5:$AC$34,0)),"未知"))</f>
      </c>
      <c r="Q2324" s="78">
        <f>IF(P2324="应收",COUNTIF(P$7:P2324,"应收"),"")</f>
      </c>
      <c r="R2324" s="78">
        <f>IF(P2324="应付",COUNTIF(P$7:P2324,"应付"),"")</f>
      </c>
      <c r="S2324" s="78">
        <f>N(F2324)-N(G2324)</f>
        <v>0</v>
      </c>
    </row>
    <row r="2325">
      <c r="A2325" s="109">
        <f>IF(AND(F2325="",G2325=""),"",ROW()-6)</f>
      </c>
      <c r="B2325" s="140" t="n"/>
      <c r="C2325" s="141" t="n"/>
      <c r="D2325" s="141" t="n"/>
      <c r="E2325" s="142" t="n"/>
      <c r="F2325" s="143" t="n"/>
      <c r="G2325" s="144" t="n"/>
      <c r="H2325" s="145">
        <f>IF(OR(C2325="",AND(F2325="",G2325="")),"",SUMIF(基础资料!$W$5:$W$24,C2325,基础资料!$X$5:$X$24)+SUMIF(C$7:C2325,C2325,F$7:F2325)-SUMIF(C$7:C2325,C2325,G$7:G2325))</f>
      </c>
      <c r="I2325" s="145">
        <f>IF(AND(F2325="",G2325=""),"",SUM(基础资料!$X$5:$X$24)+SUM(F$7:F2325)-SUM(G$7:G2325))</f>
      </c>
      <c r="J2325" s="141" t="n"/>
      <c r="K2325" s="141" t="n"/>
      <c r="L2325" s="141" t="n"/>
      <c r="M2325" s="142" t="n"/>
      <c r="N2325" s="146">
        <f>IF(AND(AND(F2325="",G2325=""),B2325="",C2325="",D2325="",J2325="",K2325="",L2325=""),"",IF(AND(F2325="",G2325=""),"✗ 没填金额",IF(AND(N(F2325)&lt;&gt;0,N(G2325)&lt;&gt;0),"✗ 收入、支出只能填一边",IF(NOT(ISNUMBER(B2325)),"✗ 日期不是真日期（要像 2026/9/25 这样填）",IF(OR(B2325&lt;年初日,B2325&gt;年末日),"✗ 日期不在本会计年度",IF(C2325="","✗ 没选账户",IF(COUNTIF(基础资料!$W$5:$W$24,C2325)=0,"✗ 账户不在基础资料里",IF(O2325="","✗ 没选收支项目",IF(P2325="未知","✗ 收支项目不在基础资料里",IF(AND(P2325="应收",J2325=""),"✗ 这笔要选客户",IF(AND(P2325="应收",COUNTIF(总览汇总!$B$5:$B$304,J2325)=0),"✗ 客户不在总览汇总名单里",IF(AND(P2325="应付",K2325=""),"✗ 这笔要选供应商",IF(AND(P2325="应付",COUNTIF(基础资料!$Q$5:$Q$54,K2325)=0),"✗ 供应商不在基础资料里",IF(AND(P2325="费用",L2325=""),"✗ 费用支出要选费用项目",IF(AND(L2325&lt;&gt;"",COUNTIF(基础资料!$AI$5:$AI$54,L2325)=0),"✗ 费用项目不在基础资料里",IF(AND(IFERROR(INDEX(基础资料!$AD$5:$AD$34,MATCH(O2325,基础资料!$AC$5:$AC$34,0)),"")="收",N(G2325)&lt;&gt;0),"✗ 这类是收款，金额填到收入列",IF(AND(IFERROR(INDEX(基础资料!$AD$5:$AD$34,MATCH(O2325,基础资料!$AC$5:$AC$34,0)),"")="支",N(F2325)&lt;&gt;0),"✗ 这类是付款，金额填到支出列",IF(N(H2325)&lt;0,"⚠ 账户余额成负数了，核对一下","√"))))))))))))))))))</f>
      </c>
      <c r="O2325" s="78">
        <f>IF(D2325&lt;&gt;"",D2325,IF(AND(F2325="",G2325=""),"",IF(J2325&lt;&gt;"",IF(N(F2325)&gt;0,"客户回款","客户退款"),IF(K2325&lt;&gt;"",IF(N(G2325)&gt;0,"供应商付款","供应商退款"),IF(L2325&lt;&gt;"","费用支出","")))))</f>
      </c>
      <c r="P2325" s="78">
        <f>IF(O2325="","",IFERROR(INDEX(基础资料!$AE$5:$AE$34,MATCH(O2325,基础资料!$AC$5:$AC$34,0)),"未知"))</f>
      </c>
      <c r="Q2325" s="78">
        <f>IF(P2325="应收",COUNTIF(P$7:P2325,"应收"),"")</f>
      </c>
      <c r="R2325" s="78">
        <f>IF(P2325="应付",COUNTIF(P$7:P2325,"应付"),"")</f>
      </c>
      <c r="S2325" s="78">
        <f>N(F2325)-N(G2325)</f>
        <v>0</v>
      </c>
    </row>
    <row r="2326">
      <c r="A2326" s="109">
        <f>IF(AND(F2326="",G2326=""),"",ROW()-6)</f>
      </c>
      <c r="B2326" s="140" t="n"/>
      <c r="C2326" s="141" t="n"/>
      <c r="D2326" s="141" t="n"/>
      <c r="E2326" s="142" t="n"/>
      <c r="F2326" s="143" t="n"/>
      <c r="G2326" s="144" t="n"/>
      <c r="H2326" s="145">
        <f>IF(OR(C2326="",AND(F2326="",G2326="")),"",SUMIF(基础资料!$W$5:$W$24,C2326,基础资料!$X$5:$X$24)+SUMIF(C$7:C2326,C2326,F$7:F2326)-SUMIF(C$7:C2326,C2326,G$7:G2326))</f>
      </c>
      <c r="I2326" s="145">
        <f>IF(AND(F2326="",G2326=""),"",SUM(基础资料!$X$5:$X$24)+SUM(F$7:F2326)-SUM(G$7:G2326))</f>
      </c>
      <c r="J2326" s="141" t="n"/>
      <c r="K2326" s="141" t="n"/>
      <c r="L2326" s="141" t="n"/>
      <c r="M2326" s="142" t="n"/>
      <c r="N2326" s="146">
        <f>IF(AND(AND(F2326="",G2326=""),B2326="",C2326="",D2326="",J2326="",K2326="",L2326=""),"",IF(AND(F2326="",G2326=""),"✗ 没填金额",IF(AND(N(F2326)&lt;&gt;0,N(G2326)&lt;&gt;0),"✗ 收入、支出只能填一边",IF(NOT(ISNUMBER(B2326)),"✗ 日期不是真日期（要像 2026/9/25 这样填）",IF(OR(B2326&lt;年初日,B2326&gt;年末日),"✗ 日期不在本会计年度",IF(C2326="","✗ 没选账户",IF(COUNTIF(基础资料!$W$5:$W$24,C2326)=0,"✗ 账户不在基础资料里",IF(O2326="","✗ 没选收支项目",IF(P2326="未知","✗ 收支项目不在基础资料里",IF(AND(P2326="应收",J2326=""),"✗ 这笔要选客户",IF(AND(P2326="应收",COUNTIF(总览汇总!$B$5:$B$304,J2326)=0),"✗ 客户不在总览汇总名单里",IF(AND(P2326="应付",K2326=""),"✗ 这笔要选供应商",IF(AND(P2326="应付",COUNTIF(基础资料!$Q$5:$Q$54,K2326)=0),"✗ 供应商不在基础资料里",IF(AND(P2326="费用",L2326=""),"✗ 费用支出要选费用项目",IF(AND(L2326&lt;&gt;"",COUNTIF(基础资料!$AI$5:$AI$54,L2326)=0),"✗ 费用项目不在基础资料里",IF(AND(IFERROR(INDEX(基础资料!$AD$5:$AD$34,MATCH(O2326,基础资料!$AC$5:$AC$34,0)),"")="收",N(G2326)&lt;&gt;0),"✗ 这类是收款，金额填到收入列",IF(AND(IFERROR(INDEX(基础资料!$AD$5:$AD$34,MATCH(O2326,基础资料!$AC$5:$AC$34,0)),"")="支",N(F2326)&lt;&gt;0),"✗ 这类是付款，金额填到支出列",IF(N(H2326)&lt;0,"⚠ 账户余额成负数了，核对一下","√"))))))))))))))))))</f>
      </c>
      <c r="O2326" s="78">
        <f>IF(D2326&lt;&gt;"",D2326,IF(AND(F2326="",G2326=""),"",IF(J2326&lt;&gt;"",IF(N(F2326)&gt;0,"客户回款","客户退款"),IF(K2326&lt;&gt;"",IF(N(G2326)&gt;0,"供应商付款","供应商退款"),IF(L2326&lt;&gt;"","费用支出","")))))</f>
      </c>
      <c r="P2326" s="78">
        <f>IF(O2326="","",IFERROR(INDEX(基础资料!$AE$5:$AE$34,MATCH(O2326,基础资料!$AC$5:$AC$34,0)),"未知"))</f>
      </c>
      <c r="Q2326" s="78">
        <f>IF(P2326="应收",COUNTIF(P$7:P2326,"应收"),"")</f>
      </c>
      <c r="R2326" s="78">
        <f>IF(P2326="应付",COUNTIF(P$7:P2326,"应付"),"")</f>
      </c>
      <c r="S2326" s="78">
        <f>N(F2326)-N(G2326)</f>
        <v>0</v>
      </c>
    </row>
    <row r="2327">
      <c r="A2327" s="109">
        <f>IF(AND(F2327="",G2327=""),"",ROW()-6)</f>
      </c>
      <c r="B2327" s="140" t="n"/>
      <c r="C2327" s="141" t="n"/>
      <c r="D2327" s="141" t="n"/>
      <c r="E2327" s="142" t="n"/>
      <c r="F2327" s="143" t="n"/>
      <c r="G2327" s="144" t="n"/>
      <c r="H2327" s="145">
        <f>IF(OR(C2327="",AND(F2327="",G2327="")),"",SUMIF(基础资料!$W$5:$W$24,C2327,基础资料!$X$5:$X$24)+SUMIF(C$7:C2327,C2327,F$7:F2327)-SUMIF(C$7:C2327,C2327,G$7:G2327))</f>
      </c>
      <c r="I2327" s="145">
        <f>IF(AND(F2327="",G2327=""),"",SUM(基础资料!$X$5:$X$24)+SUM(F$7:F2327)-SUM(G$7:G2327))</f>
      </c>
      <c r="J2327" s="141" t="n"/>
      <c r="K2327" s="141" t="n"/>
      <c r="L2327" s="141" t="n"/>
      <c r="M2327" s="142" t="n"/>
      <c r="N2327" s="146">
        <f>IF(AND(AND(F2327="",G2327=""),B2327="",C2327="",D2327="",J2327="",K2327="",L2327=""),"",IF(AND(F2327="",G2327=""),"✗ 没填金额",IF(AND(N(F2327)&lt;&gt;0,N(G2327)&lt;&gt;0),"✗ 收入、支出只能填一边",IF(NOT(ISNUMBER(B2327)),"✗ 日期不是真日期（要像 2026/9/25 这样填）",IF(OR(B2327&lt;年初日,B2327&gt;年末日),"✗ 日期不在本会计年度",IF(C2327="","✗ 没选账户",IF(COUNTIF(基础资料!$W$5:$W$24,C2327)=0,"✗ 账户不在基础资料里",IF(O2327="","✗ 没选收支项目",IF(P2327="未知","✗ 收支项目不在基础资料里",IF(AND(P2327="应收",J2327=""),"✗ 这笔要选客户",IF(AND(P2327="应收",COUNTIF(总览汇总!$B$5:$B$304,J2327)=0),"✗ 客户不在总览汇总名单里",IF(AND(P2327="应付",K2327=""),"✗ 这笔要选供应商",IF(AND(P2327="应付",COUNTIF(基础资料!$Q$5:$Q$54,K2327)=0),"✗ 供应商不在基础资料里",IF(AND(P2327="费用",L2327=""),"✗ 费用支出要选费用项目",IF(AND(L2327&lt;&gt;"",COUNTIF(基础资料!$AI$5:$AI$54,L2327)=0),"✗ 费用项目不在基础资料里",IF(AND(IFERROR(INDEX(基础资料!$AD$5:$AD$34,MATCH(O2327,基础资料!$AC$5:$AC$34,0)),"")="收",N(G2327)&lt;&gt;0),"✗ 这类是收款，金额填到收入列",IF(AND(IFERROR(INDEX(基础资料!$AD$5:$AD$34,MATCH(O2327,基础资料!$AC$5:$AC$34,0)),"")="支",N(F2327)&lt;&gt;0),"✗ 这类是付款，金额填到支出列",IF(N(H2327)&lt;0,"⚠ 账户余额成负数了，核对一下","√"))))))))))))))))))</f>
      </c>
      <c r="O2327" s="78">
        <f>IF(D2327&lt;&gt;"",D2327,IF(AND(F2327="",G2327=""),"",IF(J2327&lt;&gt;"",IF(N(F2327)&gt;0,"客户回款","客户退款"),IF(K2327&lt;&gt;"",IF(N(G2327)&gt;0,"供应商付款","供应商退款"),IF(L2327&lt;&gt;"","费用支出","")))))</f>
      </c>
      <c r="P2327" s="78">
        <f>IF(O2327="","",IFERROR(INDEX(基础资料!$AE$5:$AE$34,MATCH(O2327,基础资料!$AC$5:$AC$34,0)),"未知"))</f>
      </c>
      <c r="Q2327" s="78">
        <f>IF(P2327="应收",COUNTIF(P$7:P2327,"应收"),"")</f>
      </c>
      <c r="R2327" s="78">
        <f>IF(P2327="应付",COUNTIF(P$7:P2327,"应付"),"")</f>
      </c>
      <c r="S2327" s="78">
        <f>N(F2327)-N(G2327)</f>
        <v>0</v>
      </c>
    </row>
    <row r="2328">
      <c r="A2328" s="109">
        <f>IF(AND(F2328="",G2328=""),"",ROW()-6)</f>
      </c>
      <c r="B2328" s="140" t="n"/>
      <c r="C2328" s="141" t="n"/>
      <c r="D2328" s="141" t="n"/>
      <c r="E2328" s="142" t="n"/>
      <c r="F2328" s="143" t="n"/>
      <c r="G2328" s="144" t="n"/>
      <c r="H2328" s="145">
        <f>IF(OR(C2328="",AND(F2328="",G2328="")),"",SUMIF(基础资料!$W$5:$W$24,C2328,基础资料!$X$5:$X$24)+SUMIF(C$7:C2328,C2328,F$7:F2328)-SUMIF(C$7:C2328,C2328,G$7:G2328))</f>
      </c>
      <c r="I2328" s="145">
        <f>IF(AND(F2328="",G2328=""),"",SUM(基础资料!$X$5:$X$24)+SUM(F$7:F2328)-SUM(G$7:G2328))</f>
      </c>
      <c r="J2328" s="141" t="n"/>
      <c r="K2328" s="141" t="n"/>
      <c r="L2328" s="141" t="n"/>
      <c r="M2328" s="142" t="n"/>
      <c r="N2328" s="146">
        <f>IF(AND(AND(F2328="",G2328=""),B2328="",C2328="",D2328="",J2328="",K2328="",L2328=""),"",IF(AND(F2328="",G2328=""),"✗ 没填金额",IF(AND(N(F2328)&lt;&gt;0,N(G2328)&lt;&gt;0),"✗ 收入、支出只能填一边",IF(NOT(ISNUMBER(B2328)),"✗ 日期不是真日期（要像 2026/9/25 这样填）",IF(OR(B2328&lt;年初日,B2328&gt;年末日),"✗ 日期不在本会计年度",IF(C2328="","✗ 没选账户",IF(COUNTIF(基础资料!$W$5:$W$24,C2328)=0,"✗ 账户不在基础资料里",IF(O2328="","✗ 没选收支项目",IF(P2328="未知","✗ 收支项目不在基础资料里",IF(AND(P2328="应收",J2328=""),"✗ 这笔要选客户",IF(AND(P2328="应收",COUNTIF(总览汇总!$B$5:$B$304,J2328)=0),"✗ 客户不在总览汇总名单里",IF(AND(P2328="应付",K2328=""),"✗ 这笔要选供应商",IF(AND(P2328="应付",COUNTIF(基础资料!$Q$5:$Q$54,K2328)=0),"✗ 供应商不在基础资料里",IF(AND(P2328="费用",L2328=""),"✗ 费用支出要选费用项目",IF(AND(L2328&lt;&gt;"",COUNTIF(基础资料!$AI$5:$AI$54,L2328)=0),"✗ 费用项目不在基础资料里",IF(AND(IFERROR(INDEX(基础资料!$AD$5:$AD$34,MATCH(O2328,基础资料!$AC$5:$AC$34,0)),"")="收",N(G2328)&lt;&gt;0),"✗ 这类是收款，金额填到收入列",IF(AND(IFERROR(INDEX(基础资料!$AD$5:$AD$34,MATCH(O2328,基础资料!$AC$5:$AC$34,0)),"")="支",N(F2328)&lt;&gt;0),"✗ 这类是付款，金额填到支出列",IF(N(H2328)&lt;0,"⚠ 账户余额成负数了，核对一下","√"))))))))))))))))))</f>
      </c>
      <c r="O2328" s="78">
        <f>IF(D2328&lt;&gt;"",D2328,IF(AND(F2328="",G2328=""),"",IF(J2328&lt;&gt;"",IF(N(F2328)&gt;0,"客户回款","客户退款"),IF(K2328&lt;&gt;"",IF(N(G2328)&gt;0,"供应商付款","供应商退款"),IF(L2328&lt;&gt;"","费用支出","")))))</f>
      </c>
      <c r="P2328" s="78">
        <f>IF(O2328="","",IFERROR(INDEX(基础资料!$AE$5:$AE$34,MATCH(O2328,基础资料!$AC$5:$AC$34,0)),"未知"))</f>
      </c>
      <c r="Q2328" s="78">
        <f>IF(P2328="应收",COUNTIF(P$7:P2328,"应收"),"")</f>
      </c>
      <c r="R2328" s="78">
        <f>IF(P2328="应付",COUNTIF(P$7:P2328,"应付"),"")</f>
      </c>
      <c r="S2328" s="78">
        <f>N(F2328)-N(G2328)</f>
        <v>0</v>
      </c>
    </row>
    <row r="2329">
      <c r="A2329" s="109">
        <f>IF(AND(F2329="",G2329=""),"",ROW()-6)</f>
      </c>
      <c r="B2329" s="140" t="n"/>
      <c r="C2329" s="141" t="n"/>
      <c r="D2329" s="141" t="n"/>
      <c r="E2329" s="142" t="n"/>
      <c r="F2329" s="143" t="n"/>
      <c r="G2329" s="144" t="n"/>
      <c r="H2329" s="145">
        <f>IF(OR(C2329="",AND(F2329="",G2329="")),"",SUMIF(基础资料!$W$5:$W$24,C2329,基础资料!$X$5:$X$24)+SUMIF(C$7:C2329,C2329,F$7:F2329)-SUMIF(C$7:C2329,C2329,G$7:G2329))</f>
      </c>
      <c r="I2329" s="145">
        <f>IF(AND(F2329="",G2329=""),"",SUM(基础资料!$X$5:$X$24)+SUM(F$7:F2329)-SUM(G$7:G2329))</f>
      </c>
      <c r="J2329" s="141" t="n"/>
      <c r="K2329" s="141" t="n"/>
      <c r="L2329" s="141" t="n"/>
      <c r="M2329" s="142" t="n"/>
      <c r="N2329" s="146">
        <f>IF(AND(AND(F2329="",G2329=""),B2329="",C2329="",D2329="",J2329="",K2329="",L2329=""),"",IF(AND(F2329="",G2329=""),"✗ 没填金额",IF(AND(N(F2329)&lt;&gt;0,N(G2329)&lt;&gt;0),"✗ 收入、支出只能填一边",IF(NOT(ISNUMBER(B2329)),"✗ 日期不是真日期（要像 2026/9/25 这样填）",IF(OR(B2329&lt;年初日,B2329&gt;年末日),"✗ 日期不在本会计年度",IF(C2329="","✗ 没选账户",IF(COUNTIF(基础资料!$W$5:$W$24,C2329)=0,"✗ 账户不在基础资料里",IF(O2329="","✗ 没选收支项目",IF(P2329="未知","✗ 收支项目不在基础资料里",IF(AND(P2329="应收",J2329=""),"✗ 这笔要选客户",IF(AND(P2329="应收",COUNTIF(总览汇总!$B$5:$B$304,J2329)=0),"✗ 客户不在总览汇总名单里",IF(AND(P2329="应付",K2329=""),"✗ 这笔要选供应商",IF(AND(P2329="应付",COUNTIF(基础资料!$Q$5:$Q$54,K2329)=0),"✗ 供应商不在基础资料里",IF(AND(P2329="费用",L2329=""),"✗ 费用支出要选费用项目",IF(AND(L2329&lt;&gt;"",COUNTIF(基础资料!$AI$5:$AI$54,L2329)=0),"✗ 费用项目不在基础资料里",IF(AND(IFERROR(INDEX(基础资料!$AD$5:$AD$34,MATCH(O2329,基础资料!$AC$5:$AC$34,0)),"")="收",N(G2329)&lt;&gt;0),"✗ 这类是收款，金额填到收入列",IF(AND(IFERROR(INDEX(基础资料!$AD$5:$AD$34,MATCH(O2329,基础资料!$AC$5:$AC$34,0)),"")="支",N(F2329)&lt;&gt;0),"✗ 这类是付款，金额填到支出列",IF(N(H2329)&lt;0,"⚠ 账户余额成负数了，核对一下","√"))))))))))))))))))</f>
      </c>
      <c r="O2329" s="78">
        <f>IF(D2329&lt;&gt;"",D2329,IF(AND(F2329="",G2329=""),"",IF(J2329&lt;&gt;"",IF(N(F2329)&gt;0,"客户回款","客户退款"),IF(K2329&lt;&gt;"",IF(N(G2329)&gt;0,"供应商付款","供应商退款"),IF(L2329&lt;&gt;"","费用支出","")))))</f>
      </c>
      <c r="P2329" s="78">
        <f>IF(O2329="","",IFERROR(INDEX(基础资料!$AE$5:$AE$34,MATCH(O2329,基础资料!$AC$5:$AC$34,0)),"未知"))</f>
      </c>
      <c r="Q2329" s="78">
        <f>IF(P2329="应收",COUNTIF(P$7:P2329,"应收"),"")</f>
      </c>
      <c r="R2329" s="78">
        <f>IF(P2329="应付",COUNTIF(P$7:P2329,"应付"),"")</f>
      </c>
      <c r="S2329" s="78">
        <f>N(F2329)-N(G2329)</f>
        <v>0</v>
      </c>
    </row>
    <row r="2330">
      <c r="A2330" s="109">
        <f>IF(AND(F2330="",G2330=""),"",ROW()-6)</f>
      </c>
      <c r="B2330" s="140" t="n"/>
      <c r="C2330" s="141" t="n"/>
      <c r="D2330" s="141" t="n"/>
      <c r="E2330" s="142" t="n"/>
      <c r="F2330" s="143" t="n"/>
      <c r="G2330" s="144" t="n"/>
      <c r="H2330" s="145">
        <f>IF(OR(C2330="",AND(F2330="",G2330="")),"",SUMIF(基础资料!$W$5:$W$24,C2330,基础资料!$X$5:$X$24)+SUMIF(C$7:C2330,C2330,F$7:F2330)-SUMIF(C$7:C2330,C2330,G$7:G2330))</f>
      </c>
      <c r="I2330" s="145">
        <f>IF(AND(F2330="",G2330=""),"",SUM(基础资料!$X$5:$X$24)+SUM(F$7:F2330)-SUM(G$7:G2330))</f>
      </c>
      <c r="J2330" s="141" t="n"/>
      <c r="K2330" s="141" t="n"/>
      <c r="L2330" s="141" t="n"/>
      <c r="M2330" s="142" t="n"/>
      <c r="N2330" s="146">
        <f>IF(AND(AND(F2330="",G2330=""),B2330="",C2330="",D2330="",J2330="",K2330="",L2330=""),"",IF(AND(F2330="",G2330=""),"✗ 没填金额",IF(AND(N(F2330)&lt;&gt;0,N(G2330)&lt;&gt;0),"✗ 收入、支出只能填一边",IF(NOT(ISNUMBER(B2330)),"✗ 日期不是真日期（要像 2026/9/25 这样填）",IF(OR(B2330&lt;年初日,B2330&gt;年末日),"✗ 日期不在本会计年度",IF(C2330="","✗ 没选账户",IF(COUNTIF(基础资料!$W$5:$W$24,C2330)=0,"✗ 账户不在基础资料里",IF(O2330="","✗ 没选收支项目",IF(P2330="未知","✗ 收支项目不在基础资料里",IF(AND(P2330="应收",J2330=""),"✗ 这笔要选客户",IF(AND(P2330="应收",COUNTIF(总览汇总!$B$5:$B$304,J2330)=0),"✗ 客户不在总览汇总名单里",IF(AND(P2330="应付",K2330=""),"✗ 这笔要选供应商",IF(AND(P2330="应付",COUNTIF(基础资料!$Q$5:$Q$54,K2330)=0),"✗ 供应商不在基础资料里",IF(AND(P2330="费用",L2330=""),"✗ 费用支出要选费用项目",IF(AND(L2330&lt;&gt;"",COUNTIF(基础资料!$AI$5:$AI$54,L2330)=0),"✗ 费用项目不在基础资料里",IF(AND(IFERROR(INDEX(基础资料!$AD$5:$AD$34,MATCH(O2330,基础资料!$AC$5:$AC$34,0)),"")="收",N(G2330)&lt;&gt;0),"✗ 这类是收款，金额填到收入列",IF(AND(IFERROR(INDEX(基础资料!$AD$5:$AD$34,MATCH(O2330,基础资料!$AC$5:$AC$34,0)),"")="支",N(F2330)&lt;&gt;0),"✗ 这类是付款，金额填到支出列",IF(N(H2330)&lt;0,"⚠ 账户余额成负数了，核对一下","√"))))))))))))))))))</f>
      </c>
      <c r="O2330" s="78">
        <f>IF(D2330&lt;&gt;"",D2330,IF(AND(F2330="",G2330=""),"",IF(J2330&lt;&gt;"",IF(N(F2330)&gt;0,"客户回款","客户退款"),IF(K2330&lt;&gt;"",IF(N(G2330)&gt;0,"供应商付款","供应商退款"),IF(L2330&lt;&gt;"","费用支出","")))))</f>
      </c>
      <c r="P2330" s="78">
        <f>IF(O2330="","",IFERROR(INDEX(基础资料!$AE$5:$AE$34,MATCH(O2330,基础资料!$AC$5:$AC$34,0)),"未知"))</f>
      </c>
      <c r="Q2330" s="78">
        <f>IF(P2330="应收",COUNTIF(P$7:P2330,"应收"),"")</f>
      </c>
      <c r="R2330" s="78">
        <f>IF(P2330="应付",COUNTIF(P$7:P2330,"应付"),"")</f>
      </c>
      <c r="S2330" s="78">
        <f>N(F2330)-N(G2330)</f>
        <v>0</v>
      </c>
    </row>
    <row r="2331">
      <c r="A2331" s="109">
        <f>IF(AND(F2331="",G2331=""),"",ROW()-6)</f>
      </c>
      <c r="B2331" s="140" t="n"/>
      <c r="C2331" s="141" t="n"/>
      <c r="D2331" s="141" t="n"/>
      <c r="E2331" s="142" t="n"/>
      <c r="F2331" s="143" t="n"/>
      <c r="G2331" s="144" t="n"/>
      <c r="H2331" s="145">
        <f>IF(OR(C2331="",AND(F2331="",G2331="")),"",SUMIF(基础资料!$W$5:$W$24,C2331,基础资料!$X$5:$X$24)+SUMIF(C$7:C2331,C2331,F$7:F2331)-SUMIF(C$7:C2331,C2331,G$7:G2331))</f>
      </c>
      <c r="I2331" s="145">
        <f>IF(AND(F2331="",G2331=""),"",SUM(基础资料!$X$5:$X$24)+SUM(F$7:F2331)-SUM(G$7:G2331))</f>
      </c>
      <c r="J2331" s="141" t="n"/>
      <c r="K2331" s="141" t="n"/>
      <c r="L2331" s="141" t="n"/>
      <c r="M2331" s="142" t="n"/>
      <c r="N2331" s="146">
        <f>IF(AND(AND(F2331="",G2331=""),B2331="",C2331="",D2331="",J2331="",K2331="",L2331=""),"",IF(AND(F2331="",G2331=""),"✗ 没填金额",IF(AND(N(F2331)&lt;&gt;0,N(G2331)&lt;&gt;0),"✗ 收入、支出只能填一边",IF(NOT(ISNUMBER(B2331)),"✗ 日期不是真日期（要像 2026/9/25 这样填）",IF(OR(B2331&lt;年初日,B2331&gt;年末日),"✗ 日期不在本会计年度",IF(C2331="","✗ 没选账户",IF(COUNTIF(基础资料!$W$5:$W$24,C2331)=0,"✗ 账户不在基础资料里",IF(O2331="","✗ 没选收支项目",IF(P2331="未知","✗ 收支项目不在基础资料里",IF(AND(P2331="应收",J2331=""),"✗ 这笔要选客户",IF(AND(P2331="应收",COUNTIF(总览汇总!$B$5:$B$304,J2331)=0),"✗ 客户不在总览汇总名单里",IF(AND(P2331="应付",K2331=""),"✗ 这笔要选供应商",IF(AND(P2331="应付",COUNTIF(基础资料!$Q$5:$Q$54,K2331)=0),"✗ 供应商不在基础资料里",IF(AND(P2331="费用",L2331=""),"✗ 费用支出要选费用项目",IF(AND(L2331&lt;&gt;"",COUNTIF(基础资料!$AI$5:$AI$54,L2331)=0),"✗ 费用项目不在基础资料里",IF(AND(IFERROR(INDEX(基础资料!$AD$5:$AD$34,MATCH(O2331,基础资料!$AC$5:$AC$34,0)),"")="收",N(G2331)&lt;&gt;0),"✗ 这类是收款，金额填到收入列",IF(AND(IFERROR(INDEX(基础资料!$AD$5:$AD$34,MATCH(O2331,基础资料!$AC$5:$AC$34,0)),"")="支",N(F2331)&lt;&gt;0),"✗ 这类是付款，金额填到支出列",IF(N(H2331)&lt;0,"⚠ 账户余额成负数了，核对一下","√"))))))))))))))))))</f>
      </c>
      <c r="O2331" s="78">
        <f>IF(D2331&lt;&gt;"",D2331,IF(AND(F2331="",G2331=""),"",IF(J2331&lt;&gt;"",IF(N(F2331)&gt;0,"客户回款","客户退款"),IF(K2331&lt;&gt;"",IF(N(G2331)&gt;0,"供应商付款","供应商退款"),IF(L2331&lt;&gt;"","费用支出","")))))</f>
      </c>
      <c r="P2331" s="78">
        <f>IF(O2331="","",IFERROR(INDEX(基础资料!$AE$5:$AE$34,MATCH(O2331,基础资料!$AC$5:$AC$34,0)),"未知"))</f>
      </c>
      <c r="Q2331" s="78">
        <f>IF(P2331="应收",COUNTIF(P$7:P2331,"应收"),"")</f>
      </c>
      <c r="R2331" s="78">
        <f>IF(P2331="应付",COUNTIF(P$7:P2331,"应付"),"")</f>
      </c>
      <c r="S2331" s="78">
        <f>N(F2331)-N(G2331)</f>
        <v>0</v>
      </c>
    </row>
    <row r="2332">
      <c r="A2332" s="109">
        <f>IF(AND(F2332="",G2332=""),"",ROW()-6)</f>
      </c>
      <c r="B2332" s="140" t="n"/>
      <c r="C2332" s="141" t="n"/>
      <c r="D2332" s="141" t="n"/>
      <c r="E2332" s="142" t="n"/>
      <c r="F2332" s="143" t="n"/>
      <c r="G2332" s="144" t="n"/>
      <c r="H2332" s="145">
        <f>IF(OR(C2332="",AND(F2332="",G2332="")),"",SUMIF(基础资料!$W$5:$W$24,C2332,基础资料!$X$5:$X$24)+SUMIF(C$7:C2332,C2332,F$7:F2332)-SUMIF(C$7:C2332,C2332,G$7:G2332))</f>
      </c>
      <c r="I2332" s="145">
        <f>IF(AND(F2332="",G2332=""),"",SUM(基础资料!$X$5:$X$24)+SUM(F$7:F2332)-SUM(G$7:G2332))</f>
      </c>
      <c r="J2332" s="141" t="n"/>
      <c r="K2332" s="141" t="n"/>
      <c r="L2332" s="141" t="n"/>
      <c r="M2332" s="142" t="n"/>
      <c r="N2332" s="146">
        <f>IF(AND(AND(F2332="",G2332=""),B2332="",C2332="",D2332="",J2332="",K2332="",L2332=""),"",IF(AND(F2332="",G2332=""),"✗ 没填金额",IF(AND(N(F2332)&lt;&gt;0,N(G2332)&lt;&gt;0),"✗ 收入、支出只能填一边",IF(NOT(ISNUMBER(B2332)),"✗ 日期不是真日期（要像 2026/9/25 这样填）",IF(OR(B2332&lt;年初日,B2332&gt;年末日),"✗ 日期不在本会计年度",IF(C2332="","✗ 没选账户",IF(COUNTIF(基础资料!$W$5:$W$24,C2332)=0,"✗ 账户不在基础资料里",IF(O2332="","✗ 没选收支项目",IF(P2332="未知","✗ 收支项目不在基础资料里",IF(AND(P2332="应收",J2332=""),"✗ 这笔要选客户",IF(AND(P2332="应收",COUNTIF(总览汇总!$B$5:$B$304,J2332)=0),"✗ 客户不在总览汇总名单里",IF(AND(P2332="应付",K2332=""),"✗ 这笔要选供应商",IF(AND(P2332="应付",COUNTIF(基础资料!$Q$5:$Q$54,K2332)=0),"✗ 供应商不在基础资料里",IF(AND(P2332="费用",L2332=""),"✗ 费用支出要选费用项目",IF(AND(L2332&lt;&gt;"",COUNTIF(基础资料!$AI$5:$AI$54,L2332)=0),"✗ 费用项目不在基础资料里",IF(AND(IFERROR(INDEX(基础资料!$AD$5:$AD$34,MATCH(O2332,基础资料!$AC$5:$AC$34,0)),"")="收",N(G2332)&lt;&gt;0),"✗ 这类是收款，金额填到收入列",IF(AND(IFERROR(INDEX(基础资料!$AD$5:$AD$34,MATCH(O2332,基础资料!$AC$5:$AC$34,0)),"")="支",N(F2332)&lt;&gt;0),"✗ 这类是付款，金额填到支出列",IF(N(H2332)&lt;0,"⚠ 账户余额成负数了，核对一下","√"))))))))))))))))))</f>
      </c>
      <c r="O2332" s="78">
        <f>IF(D2332&lt;&gt;"",D2332,IF(AND(F2332="",G2332=""),"",IF(J2332&lt;&gt;"",IF(N(F2332)&gt;0,"客户回款","客户退款"),IF(K2332&lt;&gt;"",IF(N(G2332)&gt;0,"供应商付款","供应商退款"),IF(L2332&lt;&gt;"","费用支出","")))))</f>
      </c>
      <c r="P2332" s="78">
        <f>IF(O2332="","",IFERROR(INDEX(基础资料!$AE$5:$AE$34,MATCH(O2332,基础资料!$AC$5:$AC$34,0)),"未知"))</f>
      </c>
      <c r="Q2332" s="78">
        <f>IF(P2332="应收",COUNTIF(P$7:P2332,"应收"),"")</f>
      </c>
      <c r="R2332" s="78">
        <f>IF(P2332="应付",COUNTIF(P$7:P2332,"应付"),"")</f>
      </c>
      <c r="S2332" s="78">
        <f>N(F2332)-N(G2332)</f>
        <v>0</v>
      </c>
    </row>
    <row r="2333">
      <c r="A2333" s="109">
        <f>IF(AND(F2333="",G2333=""),"",ROW()-6)</f>
      </c>
      <c r="B2333" s="140" t="n"/>
      <c r="C2333" s="141" t="n"/>
      <c r="D2333" s="141" t="n"/>
      <c r="E2333" s="142" t="n"/>
      <c r="F2333" s="143" t="n"/>
      <c r="G2333" s="144" t="n"/>
      <c r="H2333" s="145">
        <f>IF(OR(C2333="",AND(F2333="",G2333="")),"",SUMIF(基础资料!$W$5:$W$24,C2333,基础资料!$X$5:$X$24)+SUMIF(C$7:C2333,C2333,F$7:F2333)-SUMIF(C$7:C2333,C2333,G$7:G2333))</f>
      </c>
      <c r="I2333" s="145">
        <f>IF(AND(F2333="",G2333=""),"",SUM(基础资料!$X$5:$X$24)+SUM(F$7:F2333)-SUM(G$7:G2333))</f>
      </c>
      <c r="J2333" s="141" t="n"/>
      <c r="K2333" s="141" t="n"/>
      <c r="L2333" s="141" t="n"/>
      <c r="M2333" s="142" t="n"/>
      <c r="N2333" s="146">
        <f>IF(AND(AND(F2333="",G2333=""),B2333="",C2333="",D2333="",J2333="",K2333="",L2333=""),"",IF(AND(F2333="",G2333=""),"✗ 没填金额",IF(AND(N(F2333)&lt;&gt;0,N(G2333)&lt;&gt;0),"✗ 收入、支出只能填一边",IF(NOT(ISNUMBER(B2333)),"✗ 日期不是真日期（要像 2026/9/25 这样填）",IF(OR(B2333&lt;年初日,B2333&gt;年末日),"✗ 日期不在本会计年度",IF(C2333="","✗ 没选账户",IF(COUNTIF(基础资料!$W$5:$W$24,C2333)=0,"✗ 账户不在基础资料里",IF(O2333="","✗ 没选收支项目",IF(P2333="未知","✗ 收支项目不在基础资料里",IF(AND(P2333="应收",J2333=""),"✗ 这笔要选客户",IF(AND(P2333="应收",COUNTIF(总览汇总!$B$5:$B$304,J2333)=0),"✗ 客户不在总览汇总名单里",IF(AND(P2333="应付",K2333=""),"✗ 这笔要选供应商",IF(AND(P2333="应付",COUNTIF(基础资料!$Q$5:$Q$54,K2333)=0),"✗ 供应商不在基础资料里",IF(AND(P2333="费用",L2333=""),"✗ 费用支出要选费用项目",IF(AND(L2333&lt;&gt;"",COUNTIF(基础资料!$AI$5:$AI$54,L2333)=0),"✗ 费用项目不在基础资料里",IF(AND(IFERROR(INDEX(基础资料!$AD$5:$AD$34,MATCH(O2333,基础资料!$AC$5:$AC$34,0)),"")="收",N(G2333)&lt;&gt;0),"✗ 这类是收款，金额填到收入列",IF(AND(IFERROR(INDEX(基础资料!$AD$5:$AD$34,MATCH(O2333,基础资料!$AC$5:$AC$34,0)),"")="支",N(F2333)&lt;&gt;0),"✗ 这类是付款，金额填到支出列",IF(N(H2333)&lt;0,"⚠ 账户余额成负数了，核对一下","√"))))))))))))))))))</f>
      </c>
      <c r="O2333" s="78">
        <f>IF(D2333&lt;&gt;"",D2333,IF(AND(F2333="",G2333=""),"",IF(J2333&lt;&gt;"",IF(N(F2333)&gt;0,"客户回款","客户退款"),IF(K2333&lt;&gt;"",IF(N(G2333)&gt;0,"供应商付款","供应商退款"),IF(L2333&lt;&gt;"","费用支出","")))))</f>
      </c>
      <c r="P2333" s="78">
        <f>IF(O2333="","",IFERROR(INDEX(基础资料!$AE$5:$AE$34,MATCH(O2333,基础资料!$AC$5:$AC$34,0)),"未知"))</f>
      </c>
      <c r="Q2333" s="78">
        <f>IF(P2333="应收",COUNTIF(P$7:P2333,"应收"),"")</f>
      </c>
      <c r="R2333" s="78">
        <f>IF(P2333="应付",COUNTIF(P$7:P2333,"应付"),"")</f>
      </c>
      <c r="S2333" s="78">
        <f>N(F2333)-N(G2333)</f>
        <v>0</v>
      </c>
    </row>
    <row r="2334">
      <c r="A2334" s="109">
        <f>IF(AND(F2334="",G2334=""),"",ROW()-6)</f>
      </c>
      <c r="B2334" s="140" t="n"/>
      <c r="C2334" s="141" t="n"/>
      <c r="D2334" s="141" t="n"/>
      <c r="E2334" s="142" t="n"/>
      <c r="F2334" s="143" t="n"/>
      <c r="G2334" s="144" t="n"/>
      <c r="H2334" s="145">
        <f>IF(OR(C2334="",AND(F2334="",G2334="")),"",SUMIF(基础资料!$W$5:$W$24,C2334,基础资料!$X$5:$X$24)+SUMIF(C$7:C2334,C2334,F$7:F2334)-SUMIF(C$7:C2334,C2334,G$7:G2334))</f>
      </c>
      <c r="I2334" s="145">
        <f>IF(AND(F2334="",G2334=""),"",SUM(基础资料!$X$5:$X$24)+SUM(F$7:F2334)-SUM(G$7:G2334))</f>
      </c>
      <c r="J2334" s="141" t="n"/>
      <c r="K2334" s="141" t="n"/>
      <c r="L2334" s="141" t="n"/>
      <c r="M2334" s="142" t="n"/>
      <c r="N2334" s="146">
        <f>IF(AND(AND(F2334="",G2334=""),B2334="",C2334="",D2334="",J2334="",K2334="",L2334=""),"",IF(AND(F2334="",G2334=""),"✗ 没填金额",IF(AND(N(F2334)&lt;&gt;0,N(G2334)&lt;&gt;0),"✗ 收入、支出只能填一边",IF(NOT(ISNUMBER(B2334)),"✗ 日期不是真日期（要像 2026/9/25 这样填）",IF(OR(B2334&lt;年初日,B2334&gt;年末日),"✗ 日期不在本会计年度",IF(C2334="","✗ 没选账户",IF(COUNTIF(基础资料!$W$5:$W$24,C2334)=0,"✗ 账户不在基础资料里",IF(O2334="","✗ 没选收支项目",IF(P2334="未知","✗ 收支项目不在基础资料里",IF(AND(P2334="应收",J2334=""),"✗ 这笔要选客户",IF(AND(P2334="应收",COUNTIF(总览汇总!$B$5:$B$304,J2334)=0),"✗ 客户不在总览汇总名单里",IF(AND(P2334="应付",K2334=""),"✗ 这笔要选供应商",IF(AND(P2334="应付",COUNTIF(基础资料!$Q$5:$Q$54,K2334)=0),"✗ 供应商不在基础资料里",IF(AND(P2334="费用",L2334=""),"✗ 费用支出要选费用项目",IF(AND(L2334&lt;&gt;"",COUNTIF(基础资料!$AI$5:$AI$54,L2334)=0),"✗ 费用项目不在基础资料里",IF(AND(IFERROR(INDEX(基础资料!$AD$5:$AD$34,MATCH(O2334,基础资料!$AC$5:$AC$34,0)),"")="收",N(G2334)&lt;&gt;0),"✗ 这类是收款，金额填到收入列",IF(AND(IFERROR(INDEX(基础资料!$AD$5:$AD$34,MATCH(O2334,基础资料!$AC$5:$AC$34,0)),"")="支",N(F2334)&lt;&gt;0),"✗ 这类是付款，金额填到支出列",IF(N(H2334)&lt;0,"⚠ 账户余额成负数了，核对一下","√"))))))))))))))))))</f>
      </c>
      <c r="O2334" s="78">
        <f>IF(D2334&lt;&gt;"",D2334,IF(AND(F2334="",G2334=""),"",IF(J2334&lt;&gt;"",IF(N(F2334)&gt;0,"客户回款","客户退款"),IF(K2334&lt;&gt;"",IF(N(G2334)&gt;0,"供应商付款","供应商退款"),IF(L2334&lt;&gt;"","费用支出","")))))</f>
      </c>
      <c r="P2334" s="78">
        <f>IF(O2334="","",IFERROR(INDEX(基础资料!$AE$5:$AE$34,MATCH(O2334,基础资料!$AC$5:$AC$34,0)),"未知"))</f>
      </c>
      <c r="Q2334" s="78">
        <f>IF(P2334="应收",COUNTIF(P$7:P2334,"应收"),"")</f>
      </c>
      <c r="R2334" s="78">
        <f>IF(P2334="应付",COUNTIF(P$7:P2334,"应付"),"")</f>
      </c>
      <c r="S2334" s="78">
        <f>N(F2334)-N(G2334)</f>
        <v>0</v>
      </c>
    </row>
    <row r="2335">
      <c r="A2335" s="109">
        <f>IF(AND(F2335="",G2335=""),"",ROW()-6)</f>
      </c>
      <c r="B2335" s="140" t="n"/>
      <c r="C2335" s="141" t="n"/>
      <c r="D2335" s="141" t="n"/>
      <c r="E2335" s="142" t="n"/>
      <c r="F2335" s="143" t="n"/>
      <c r="G2335" s="144" t="n"/>
      <c r="H2335" s="145">
        <f>IF(OR(C2335="",AND(F2335="",G2335="")),"",SUMIF(基础资料!$W$5:$W$24,C2335,基础资料!$X$5:$X$24)+SUMIF(C$7:C2335,C2335,F$7:F2335)-SUMIF(C$7:C2335,C2335,G$7:G2335))</f>
      </c>
      <c r="I2335" s="145">
        <f>IF(AND(F2335="",G2335=""),"",SUM(基础资料!$X$5:$X$24)+SUM(F$7:F2335)-SUM(G$7:G2335))</f>
      </c>
      <c r="J2335" s="141" t="n"/>
      <c r="K2335" s="141" t="n"/>
      <c r="L2335" s="141" t="n"/>
      <c r="M2335" s="142" t="n"/>
      <c r="N2335" s="146">
        <f>IF(AND(AND(F2335="",G2335=""),B2335="",C2335="",D2335="",J2335="",K2335="",L2335=""),"",IF(AND(F2335="",G2335=""),"✗ 没填金额",IF(AND(N(F2335)&lt;&gt;0,N(G2335)&lt;&gt;0),"✗ 收入、支出只能填一边",IF(NOT(ISNUMBER(B2335)),"✗ 日期不是真日期（要像 2026/9/25 这样填）",IF(OR(B2335&lt;年初日,B2335&gt;年末日),"✗ 日期不在本会计年度",IF(C2335="","✗ 没选账户",IF(COUNTIF(基础资料!$W$5:$W$24,C2335)=0,"✗ 账户不在基础资料里",IF(O2335="","✗ 没选收支项目",IF(P2335="未知","✗ 收支项目不在基础资料里",IF(AND(P2335="应收",J2335=""),"✗ 这笔要选客户",IF(AND(P2335="应收",COUNTIF(总览汇总!$B$5:$B$304,J2335)=0),"✗ 客户不在总览汇总名单里",IF(AND(P2335="应付",K2335=""),"✗ 这笔要选供应商",IF(AND(P2335="应付",COUNTIF(基础资料!$Q$5:$Q$54,K2335)=0),"✗ 供应商不在基础资料里",IF(AND(P2335="费用",L2335=""),"✗ 费用支出要选费用项目",IF(AND(L2335&lt;&gt;"",COUNTIF(基础资料!$AI$5:$AI$54,L2335)=0),"✗ 费用项目不在基础资料里",IF(AND(IFERROR(INDEX(基础资料!$AD$5:$AD$34,MATCH(O2335,基础资料!$AC$5:$AC$34,0)),"")="收",N(G2335)&lt;&gt;0),"✗ 这类是收款，金额填到收入列",IF(AND(IFERROR(INDEX(基础资料!$AD$5:$AD$34,MATCH(O2335,基础资料!$AC$5:$AC$34,0)),"")="支",N(F2335)&lt;&gt;0),"✗ 这类是付款，金额填到支出列",IF(N(H2335)&lt;0,"⚠ 账户余额成负数了，核对一下","√"))))))))))))))))))</f>
      </c>
      <c r="O2335" s="78">
        <f>IF(D2335&lt;&gt;"",D2335,IF(AND(F2335="",G2335=""),"",IF(J2335&lt;&gt;"",IF(N(F2335)&gt;0,"客户回款","客户退款"),IF(K2335&lt;&gt;"",IF(N(G2335)&gt;0,"供应商付款","供应商退款"),IF(L2335&lt;&gt;"","费用支出","")))))</f>
      </c>
      <c r="P2335" s="78">
        <f>IF(O2335="","",IFERROR(INDEX(基础资料!$AE$5:$AE$34,MATCH(O2335,基础资料!$AC$5:$AC$34,0)),"未知"))</f>
      </c>
      <c r="Q2335" s="78">
        <f>IF(P2335="应收",COUNTIF(P$7:P2335,"应收"),"")</f>
      </c>
      <c r="R2335" s="78">
        <f>IF(P2335="应付",COUNTIF(P$7:P2335,"应付"),"")</f>
      </c>
      <c r="S2335" s="78">
        <f>N(F2335)-N(G2335)</f>
        <v>0</v>
      </c>
    </row>
    <row r="2336">
      <c r="A2336" s="109">
        <f>IF(AND(F2336="",G2336=""),"",ROW()-6)</f>
      </c>
      <c r="B2336" s="140" t="n"/>
      <c r="C2336" s="141" t="n"/>
      <c r="D2336" s="141" t="n"/>
      <c r="E2336" s="142" t="n"/>
      <c r="F2336" s="143" t="n"/>
      <c r="G2336" s="144" t="n"/>
      <c r="H2336" s="145">
        <f>IF(OR(C2336="",AND(F2336="",G2336="")),"",SUMIF(基础资料!$W$5:$W$24,C2336,基础资料!$X$5:$X$24)+SUMIF(C$7:C2336,C2336,F$7:F2336)-SUMIF(C$7:C2336,C2336,G$7:G2336))</f>
      </c>
      <c r="I2336" s="145">
        <f>IF(AND(F2336="",G2336=""),"",SUM(基础资料!$X$5:$X$24)+SUM(F$7:F2336)-SUM(G$7:G2336))</f>
      </c>
      <c r="J2336" s="141" t="n"/>
      <c r="K2336" s="141" t="n"/>
      <c r="L2336" s="141" t="n"/>
      <c r="M2336" s="142" t="n"/>
      <c r="N2336" s="146">
        <f>IF(AND(AND(F2336="",G2336=""),B2336="",C2336="",D2336="",J2336="",K2336="",L2336=""),"",IF(AND(F2336="",G2336=""),"✗ 没填金额",IF(AND(N(F2336)&lt;&gt;0,N(G2336)&lt;&gt;0),"✗ 收入、支出只能填一边",IF(NOT(ISNUMBER(B2336)),"✗ 日期不是真日期（要像 2026/9/25 这样填）",IF(OR(B2336&lt;年初日,B2336&gt;年末日),"✗ 日期不在本会计年度",IF(C2336="","✗ 没选账户",IF(COUNTIF(基础资料!$W$5:$W$24,C2336)=0,"✗ 账户不在基础资料里",IF(O2336="","✗ 没选收支项目",IF(P2336="未知","✗ 收支项目不在基础资料里",IF(AND(P2336="应收",J2336=""),"✗ 这笔要选客户",IF(AND(P2336="应收",COUNTIF(总览汇总!$B$5:$B$304,J2336)=0),"✗ 客户不在总览汇总名单里",IF(AND(P2336="应付",K2336=""),"✗ 这笔要选供应商",IF(AND(P2336="应付",COUNTIF(基础资料!$Q$5:$Q$54,K2336)=0),"✗ 供应商不在基础资料里",IF(AND(P2336="费用",L2336=""),"✗ 费用支出要选费用项目",IF(AND(L2336&lt;&gt;"",COUNTIF(基础资料!$AI$5:$AI$54,L2336)=0),"✗ 费用项目不在基础资料里",IF(AND(IFERROR(INDEX(基础资料!$AD$5:$AD$34,MATCH(O2336,基础资料!$AC$5:$AC$34,0)),"")="收",N(G2336)&lt;&gt;0),"✗ 这类是收款，金额填到收入列",IF(AND(IFERROR(INDEX(基础资料!$AD$5:$AD$34,MATCH(O2336,基础资料!$AC$5:$AC$34,0)),"")="支",N(F2336)&lt;&gt;0),"✗ 这类是付款，金额填到支出列",IF(N(H2336)&lt;0,"⚠ 账户余额成负数了，核对一下","√"))))))))))))))))))</f>
      </c>
      <c r="O2336" s="78">
        <f>IF(D2336&lt;&gt;"",D2336,IF(AND(F2336="",G2336=""),"",IF(J2336&lt;&gt;"",IF(N(F2336)&gt;0,"客户回款","客户退款"),IF(K2336&lt;&gt;"",IF(N(G2336)&gt;0,"供应商付款","供应商退款"),IF(L2336&lt;&gt;"","费用支出","")))))</f>
      </c>
      <c r="P2336" s="78">
        <f>IF(O2336="","",IFERROR(INDEX(基础资料!$AE$5:$AE$34,MATCH(O2336,基础资料!$AC$5:$AC$34,0)),"未知"))</f>
      </c>
      <c r="Q2336" s="78">
        <f>IF(P2336="应收",COUNTIF(P$7:P2336,"应收"),"")</f>
      </c>
      <c r="R2336" s="78">
        <f>IF(P2336="应付",COUNTIF(P$7:P2336,"应付"),"")</f>
      </c>
      <c r="S2336" s="78">
        <f>N(F2336)-N(G2336)</f>
        <v>0</v>
      </c>
    </row>
    <row r="2337">
      <c r="A2337" s="109">
        <f>IF(AND(F2337="",G2337=""),"",ROW()-6)</f>
      </c>
      <c r="B2337" s="140" t="n"/>
      <c r="C2337" s="141" t="n"/>
      <c r="D2337" s="141" t="n"/>
      <c r="E2337" s="142" t="n"/>
      <c r="F2337" s="143" t="n"/>
      <c r="G2337" s="144" t="n"/>
      <c r="H2337" s="145">
        <f>IF(OR(C2337="",AND(F2337="",G2337="")),"",SUMIF(基础资料!$W$5:$W$24,C2337,基础资料!$X$5:$X$24)+SUMIF(C$7:C2337,C2337,F$7:F2337)-SUMIF(C$7:C2337,C2337,G$7:G2337))</f>
      </c>
      <c r="I2337" s="145">
        <f>IF(AND(F2337="",G2337=""),"",SUM(基础资料!$X$5:$X$24)+SUM(F$7:F2337)-SUM(G$7:G2337))</f>
      </c>
      <c r="J2337" s="141" t="n"/>
      <c r="K2337" s="141" t="n"/>
      <c r="L2337" s="141" t="n"/>
      <c r="M2337" s="142" t="n"/>
      <c r="N2337" s="146">
        <f>IF(AND(AND(F2337="",G2337=""),B2337="",C2337="",D2337="",J2337="",K2337="",L2337=""),"",IF(AND(F2337="",G2337=""),"✗ 没填金额",IF(AND(N(F2337)&lt;&gt;0,N(G2337)&lt;&gt;0),"✗ 收入、支出只能填一边",IF(NOT(ISNUMBER(B2337)),"✗ 日期不是真日期（要像 2026/9/25 这样填）",IF(OR(B2337&lt;年初日,B2337&gt;年末日),"✗ 日期不在本会计年度",IF(C2337="","✗ 没选账户",IF(COUNTIF(基础资料!$W$5:$W$24,C2337)=0,"✗ 账户不在基础资料里",IF(O2337="","✗ 没选收支项目",IF(P2337="未知","✗ 收支项目不在基础资料里",IF(AND(P2337="应收",J2337=""),"✗ 这笔要选客户",IF(AND(P2337="应收",COUNTIF(总览汇总!$B$5:$B$304,J2337)=0),"✗ 客户不在总览汇总名单里",IF(AND(P2337="应付",K2337=""),"✗ 这笔要选供应商",IF(AND(P2337="应付",COUNTIF(基础资料!$Q$5:$Q$54,K2337)=0),"✗ 供应商不在基础资料里",IF(AND(P2337="费用",L2337=""),"✗ 费用支出要选费用项目",IF(AND(L2337&lt;&gt;"",COUNTIF(基础资料!$AI$5:$AI$54,L2337)=0),"✗ 费用项目不在基础资料里",IF(AND(IFERROR(INDEX(基础资料!$AD$5:$AD$34,MATCH(O2337,基础资料!$AC$5:$AC$34,0)),"")="收",N(G2337)&lt;&gt;0),"✗ 这类是收款，金额填到收入列",IF(AND(IFERROR(INDEX(基础资料!$AD$5:$AD$34,MATCH(O2337,基础资料!$AC$5:$AC$34,0)),"")="支",N(F2337)&lt;&gt;0),"✗ 这类是付款，金额填到支出列",IF(N(H2337)&lt;0,"⚠ 账户余额成负数了，核对一下","√"))))))))))))))))))</f>
      </c>
      <c r="O2337" s="78">
        <f>IF(D2337&lt;&gt;"",D2337,IF(AND(F2337="",G2337=""),"",IF(J2337&lt;&gt;"",IF(N(F2337)&gt;0,"客户回款","客户退款"),IF(K2337&lt;&gt;"",IF(N(G2337)&gt;0,"供应商付款","供应商退款"),IF(L2337&lt;&gt;"","费用支出","")))))</f>
      </c>
      <c r="P2337" s="78">
        <f>IF(O2337="","",IFERROR(INDEX(基础资料!$AE$5:$AE$34,MATCH(O2337,基础资料!$AC$5:$AC$34,0)),"未知"))</f>
      </c>
      <c r="Q2337" s="78">
        <f>IF(P2337="应收",COUNTIF(P$7:P2337,"应收"),"")</f>
      </c>
      <c r="R2337" s="78">
        <f>IF(P2337="应付",COUNTIF(P$7:P2337,"应付"),"")</f>
      </c>
      <c r="S2337" s="78">
        <f>N(F2337)-N(G2337)</f>
        <v>0</v>
      </c>
    </row>
    <row r="2338">
      <c r="A2338" s="109">
        <f>IF(AND(F2338="",G2338=""),"",ROW()-6)</f>
      </c>
      <c r="B2338" s="140" t="n"/>
      <c r="C2338" s="141" t="n"/>
      <c r="D2338" s="141" t="n"/>
      <c r="E2338" s="142" t="n"/>
      <c r="F2338" s="143" t="n"/>
      <c r="G2338" s="144" t="n"/>
      <c r="H2338" s="145">
        <f>IF(OR(C2338="",AND(F2338="",G2338="")),"",SUMIF(基础资料!$W$5:$W$24,C2338,基础资料!$X$5:$X$24)+SUMIF(C$7:C2338,C2338,F$7:F2338)-SUMIF(C$7:C2338,C2338,G$7:G2338))</f>
      </c>
      <c r="I2338" s="145">
        <f>IF(AND(F2338="",G2338=""),"",SUM(基础资料!$X$5:$X$24)+SUM(F$7:F2338)-SUM(G$7:G2338))</f>
      </c>
      <c r="J2338" s="141" t="n"/>
      <c r="K2338" s="141" t="n"/>
      <c r="L2338" s="141" t="n"/>
      <c r="M2338" s="142" t="n"/>
      <c r="N2338" s="146">
        <f>IF(AND(AND(F2338="",G2338=""),B2338="",C2338="",D2338="",J2338="",K2338="",L2338=""),"",IF(AND(F2338="",G2338=""),"✗ 没填金额",IF(AND(N(F2338)&lt;&gt;0,N(G2338)&lt;&gt;0),"✗ 收入、支出只能填一边",IF(NOT(ISNUMBER(B2338)),"✗ 日期不是真日期（要像 2026/9/25 这样填）",IF(OR(B2338&lt;年初日,B2338&gt;年末日),"✗ 日期不在本会计年度",IF(C2338="","✗ 没选账户",IF(COUNTIF(基础资料!$W$5:$W$24,C2338)=0,"✗ 账户不在基础资料里",IF(O2338="","✗ 没选收支项目",IF(P2338="未知","✗ 收支项目不在基础资料里",IF(AND(P2338="应收",J2338=""),"✗ 这笔要选客户",IF(AND(P2338="应收",COUNTIF(总览汇总!$B$5:$B$304,J2338)=0),"✗ 客户不在总览汇总名单里",IF(AND(P2338="应付",K2338=""),"✗ 这笔要选供应商",IF(AND(P2338="应付",COUNTIF(基础资料!$Q$5:$Q$54,K2338)=0),"✗ 供应商不在基础资料里",IF(AND(P2338="费用",L2338=""),"✗ 费用支出要选费用项目",IF(AND(L2338&lt;&gt;"",COUNTIF(基础资料!$AI$5:$AI$54,L2338)=0),"✗ 费用项目不在基础资料里",IF(AND(IFERROR(INDEX(基础资料!$AD$5:$AD$34,MATCH(O2338,基础资料!$AC$5:$AC$34,0)),"")="收",N(G2338)&lt;&gt;0),"✗ 这类是收款，金额填到收入列",IF(AND(IFERROR(INDEX(基础资料!$AD$5:$AD$34,MATCH(O2338,基础资料!$AC$5:$AC$34,0)),"")="支",N(F2338)&lt;&gt;0),"✗ 这类是付款，金额填到支出列",IF(N(H2338)&lt;0,"⚠ 账户余额成负数了，核对一下","√"))))))))))))))))))</f>
      </c>
      <c r="O2338" s="78">
        <f>IF(D2338&lt;&gt;"",D2338,IF(AND(F2338="",G2338=""),"",IF(J2338&lt;&gt;"",IF(N(F2338)&gt;0,"客户回款","客户退款"),IF(K2338&lt;&gt;"",IF(N(G2338)&gt;0,"供应商付款","供应商退款"),IF(L2338&lt;&gt;"","费用支出","")))))</f>
      </c>
      <c r="P2338" s="78">
        <f>IF(O2338="","",IFERROR(INDEX(基础资料!$AE$5:$AE$34,MATCH(O2338,基础资料!$AC$5:$AC$34,0)),"未知"))</f>
      </c>
      <c r="Q2338" s="78">
        <f>IF(P2338="应收",COUNTIF(P$7:P2338,"应收"),"")</f>
      </c>
      <c r="R2338" s="78">
        <f>IF(P2338="应付",COUNTIF(P$7:P2338,"应付"),"")</f>
      </c>
      <c r="S2338" s="78">
        <f>N(F2338)-N(G2338)</f>
        <v>0</v>
      </c>
    </row>
    <row r="2339">
      <c r="A2339" s="109">
        <f>IF(AND(F2339="",G2339=""),"",ROW()-6)</f>
      </c>
      <c r="B2339" s="140" t="n"/>
      <c r="C2339" s="141" t="n"/>
      <c r="D2339" s="141" t="n"/>
      <c r="E2339" s="142" t="n"/>
      <c r="F2339" s="143" t="n"/>
      <c r="G2339" s="144" t="n"/>
      <c r="H2339" s="145">
        <f>IF(OR(C2339="",AND(F2339="",G2339="")),"",SUMIF(基础资料!$W$5:$W$24,C2339,基础资料!$X$5:$X$24)+SUMIF(C$7:C2339,C2339,F$7:F2339)-SUMIF(C$7:C2339,C2339,G$7:G2339))</f>
      </c>
      <c r="I2339" s="145">
        <f>IF(AND(F2339="",G2339=""),"",SUM(基础资料!$X$5:$X$24)+SUM(F$7:F2339)-SUM(G$7:G2339))</f>
      </c>
      <c r="J2339" s="141" t="n"/>
      <c r="K2339" s="141" t="n"/>
      <c r="L2339" s="141" t="n"/>
      <c r="M2339" s="142" t="n"/>
      <c r="N2339" s="146">
        <f>IF(AND(AND(F2339="",G2339=""),B2339="",C2339="",D2339="",J2339="",K2339="",L2339=""),"",IF(AND(F2339="",G2339=""),"✗ 没填金额",IF(AND(N(F2339)&lt;&gt;0,N(G2339)&lt;&gt;0),"✗ 收入、支出只能填一边",IF(NOT(ISNUMBER(B2339)),"✗ 日期不是真日期（要像 2026/9/25 这样填）",IF(OR(B2339&lt;年初日,B2339&gt;年末日),"✗ 日期不在本会计年度",IF(C2339="","✗ 没选账户",IF(COUNTIF(基础资料!$W$5:$W$24,C2339)=0,"✗ 账户不在基础资料里",IF(O2339="","✗ 没选收支项目",IF(P2339="未知","✗ 收支项目不在基础资料里",IF(AND(P2339="应收",J2339=""),"✗ 这笔要选客户",IF(AND(P2339="应收",COUNTIF(总览汇总!$B$5:$B$304,J2339)=0),"✗ 客户不在总览汇总名单里",IF(AND(P2339="应付",K2339=""),"✗ 这笔要选供应商",IF(AND(P2339="应付",COUNTIF(基础资料!$Q$5:$Q$54,K2339)=0),"✗ 供应商不在基础资料里",IF(AND(P2339="费用",L2339=""),"✗ 费用支出要选费用项目",IF(AND(L2339&lt;&gt;"",COUNTIF(基础资料!$AI$5:$AI$54,L2339)=0),"✗ 费用项目不在基础资料里",IF(AND(IFERROR(INDEX(基础资料!$AD$5:$AD$34,MATCH(O2339,基础资料!$AC$5:$AC$34,0)),"")="收",N(G2339)&lt;&gt;0),"✗ 这类是收款，金额填到收入列",IF(AND(IFERROR(INDEX(基础资料!$AD$5:$AD$34,MATCH(O2339,基础资料!$AC$5:$AC$34,0)),"")="支",N(F2339)&lt;&gt;0),"✗ 这类是付款，金额填到支出列",IF(N(H2339)&lt;0,"⚠ 账户余额成负数了，核对一下","√"))))))))))))))))))</f>
      </c>
      <c r="O2339" s="78">
        <f>IF(D2339&lt;&gt;"",D2339,IF(AND(F2339="",G2339=""),"",IF(J2339&lt;&gt;"",IF(N(F2339)&gt;0,"客户回款","客户退款"),IF(K2339&lt;&gt;"",IF(N(G2339)&gt;0,"供应商付款","供应商退款"),IF(L2339&lt;&gt;"","费用支出","")))))</f>
      </c>
      <c r="P2339" s="78">
        <f>IF(O2339="","",IFERROR(INDEX(基础资料!$AE$5:$AE$34,MATCH(O2339,基础资料!$AC$5:$AC$34,0)),"未知"))</f>
      </c>
      <c r="Q2339" s="78">
        <f>IF(P2339="应收",COUNTIF(P$7:P2339,"应收"),"")</f>
      </c>
      <c r="R2339" s="78">
        <f>IF(P2339="应付",COUNTIF(P$7:P2339,"应付"),"")</f>
      </c>
      <c r="S2339" s="78">
        <f>N(F2339)-N(G2339)</f>
        <v>0</v>
      </c>
    </row>
    <row r="2340">
      <c r="A2340" s="109">
        <f>IF(AND(F2340="",G2340=""),"",ROW()-6)</f>
      </c>
      <c r="B2340" s="140" t="n"/>
      <c r="C2340" s="141" t="n"/>
      <c r="D2340" s="141" t="n"/>
      <c r="E2340" s="142" t="n"/>
      <c r="F2340" s="143" t="n"/>
      <c r="G2340" s="144" t="n"/>
      <c r="H2340" s="145">
        <f>IF(OR(C2340="",AND(F2340="",G2340="")),"",SUMIF(基础资料!$W$5:$W$24,C2340,基础资料!$X$5:$X$24)+SUMIF(C$7:C2340,C2340,F$7:F2340)-SUMIF(C$7:C2340,C2340,G$7:G2340))</f>
      </c>
      <c r="I2340" s="145">
        <f>IF(AND(F2340="",G2340=""),"",SUM(基础资料!$X$5:$X$24)+SUM(F$7:F2340)-SUM(G$7:G2340))</f>
      </c>
      <c r="J2340" s="141" t="n"/>
      <c r="K2340" s="141" t="n"/>
      <c r="L2340" s="141" t="n"/>
      <c r="M2340" s="142" t="n"/>
      <c r="N2340" s="146">
        <f>IF(AND(AND(F2340="",G2340=""),B2340="",C2340="",D2340="",J2340="",K2340="",L2340=""),"",IF(AND(F2340="",G2340=""),"✗ 没填金额",IF(AND(N(F2340)&lt;&gt;0,N(G2340)&lt;&gt;0),"✗ 收入、支出只能填一边",IF(NOT(ISNUMBER(B2340)),"✗ 日期不是真日期（要像 2026/9/25 这样填）",IF(OR(B2340&lt;年初日,B2340&gt;年末日),"✗ 日期不在本会计年度",IF(C2340="","✗ 没选账户",IF(COUNTIF(基础资料!$W$5:$W$24,C2340)=0,"✗ 账户不在基础资料里",IF(O2340="","✗ 没选收支项目",IF(P2340="未知","✗ 收支项目不在基础资料里",IF(AND(P2340="应收",J2340=""),"✗ 这笔要选客户",IF(AND(P2340="应收",COUNTIF(总览汇总!$B$5:$B$304,J2340)=0),"✗ 客户不在总览汇总名单里",IF(AND(P2340="应付",K2340=""),"✗ 这笔要选供应商",IF(AND(P2340="应付",COUNTIF(基础资料!$Q$5:$Q$54,K2340)=0),"✗ 供应商不在基础资料里",IF(AND(P2340="费用",L2340=""),"✗ 费用支出要选费用项目",IF(AND(L2340&lt;&gt;"",COUNTIF(基础资料!$AI$5:$AI$54,L2340)=0),"✗ 费用项目不在基础资料里",IF(AND(IFERROR(INDEX(基础资料!$AD$5:$AD$34,MATCH(O2340,基础资料!$AC$5:$AC$34,0)),"")="收",N(G2340)&lt;&gt;0),"✗ 这类是收款，金额填到收入列",IF(AND(IFERROR(INDEX(基础资料!$AD$5:$AD$34,MATCH(O2340,基础资料!$AC$5:$AC$34,0)),"")="支",N(F2340)&lt;&gt;0),"✗ 这类是付款，金额填到支出列",IF(N(H2340)&lt;0,"⚠ 账户余额成负数了，核对一下","√"))))))))))))))))))</f>
      </c>
      <c r="O2340" s="78">
        <f>IF(D2340&lt;&gt;"",D2340,IF(AND(F2340="",G2340=""),"",IF(J2340&lt;&gt;"",IF(N(F2340)&gt;0,"客户回款","客户退款"),IF(K2340&lt;&gt;"",IF(N(G2340)&gt;0,"供应商付款","供应商退款"),IF(L2340&lt;&gt;"","费用支出","")))))</f>
      </c>
      <c r="P2340" s="78">
        <f>IF(O2340="","",IFERROR(INDEX(基础资料!$AE$5:$AE$34,MATCH(O2340,基础资料!$AC$5:$AC$34,0)),"未知"))</f>
      </c>
      <c r="Q2340" s="78">
        <f>IF(P2340="应收",COUNTIF(P$7:P2340,"应收"),"")</f>
      </c>
      <c r="R2340" s="78">
        <f>IF(P2340="应付",COUNTIF(P$7:P2340,"应付"),"")</f>
      </c>
      <c r="S2340" s="78">
        <f>N(F2340)-N(G2340)</f>
        <v>0</v>
      </c>
    </row>
    <row r="2341">
      <c r="A2341" s="109">
        <f>IF(AND(F2341="",G2341=""),"",ROW()-6)</f>
      </c>
      <c r="B2341" s="140" t="n"/>
      <c r="C2341" s="141" t="n"/>
      <c r="D2341" s="141" t="n"/>
      <c r="E2341" s="142" t="n"/>
      <c r="F2341" s="143" t="n"/>
      <c r="G2341" s="144" t="n"/>
      <c r="H2341" s="145">
        <f>IF(OR(C2341="",AND(F2341="",G2341="")),"",SUMIF(基础资料!$W$5:$W$24,C2341,基础资料!$X$5:$X$24)+SUMIF(C$7:C2341,C2341,F$7:F2341)-SUMIF(C$7:C2341,C2341,G$7:G2341))</f>
      </c>
      <c r="I2341" s="145">
        <f>IF(AND(F2341="",G2341=""),"",SUM(基础资料!$X$5:$X$24)+SUM(F$7:F2341)-SUM(G$7:G2341))</f>
      </c>
      <c r="J2341" s="141" t="n"/>
      <c r="K2341" s="141" t="n"/>
      <c r="L2341" s="141" t="n"/>
      <c r="M2341" s="142" t="n"/>
      <c r="N2341" s="146">
        <f>IF(AND(AND(F2341="",G2341=""),B2341="",C2341="",D2341="",J2341="",K2341="",L2341=""),"",IF(AND(F2341="",G2341=""),"✗ 没填金额",IF(AND(N(F2341)&lt;&gt;0,N(G2341)&lt;&gt;0),"✗ 收入、支出只能填一边",IF(NOT(ISNUMBER(B2341)),"✗ 日期不是真日期（要像 2026/9/25 这样填）",IF(OR(B2341&lt;年初日,B2341&gt;年末日),"✗ 日期不在本会计年度",IF(C2341="","✗ 没选账户",IF(COUNTIF(基础资料!$W$5:$W$24,C2341)=0,"✗ 账户不在基础资料里",IF(O2341="","✗ 没选收支项目",IF(P2341="未知","✗ 收支项目不在基础资料里",IF(AND(P2341="应收",J2341=""),"✗ 这笔要选客户",IF(AND(P2341="应收",COUNTIF(总览汇总!$B$5:$B$304,J2341)=0),"✗ 客户不在总览汇总名单里",IF(AND(P2341="应付",K2341=""),"✗ 这笔要选供应商",IF(AND(P2341="应付",COUNTIF(基础资料!$Q$5:$Q$54,K2341)=0),"✗ 供应商不在基础资料里",IF(AND(P2341="费用",L2341=""),"✗ 费用支出要选费用项目",IF(AND(L2341&lt;&gt;"",COUNTIF(基础资料!$AI$5:$AI$54,L2341)=0),"✗ 费用项目不在基础资料里",IF(AND(IFERROR(INDEX(基础资料!$AD$5:$AD$34,MATCH(O2341,基础资料!$AC$5:$AC$34,0)),"")="收",N(G2341)&lt;&gt;0),"✗ 这类是收款，金额填到收入列",IF(AND(IFERROR(INDEX(基础资料!$AD$5:$AD$34,MATCH(O2341,基础资料!$AC$5:$AC$34,0)),"")="支",N(F2341)&lt;&gt;0),"✗ 这类是付款，金额填到支出列",IF(N(H2341)&lt;0,"⚠ 账户余额成负数了，核对一下","√"))))))))))))))))))</f>
      </c>
      <c r="O2341" s="78">
        <f>IF(D2341&lt;&gt;"",D2341,IF(AND(F2341="",G2341=""),"",IF(J2341&lt;&gt;"",IF(N(F2341)&gt;0,"客户回款","客户退款"),IF(K2341&lt;&gt;"",IF(N(G2341)&gt;0,"供应商付款","供应商退款"),IF(L2341&lt;&gt;"","费用支出","")))))</f>
      </c>
      <c r="P2341" s="78">
        <f>IF(O2341="","",IFERROR(INDEX(基础资料!$AE$5:$AE$34,MATCH(O2341,基础资料!$AC$5:$AC$34,0)),"未知"))</f>
      </c>
      <c r="Q2341" s="78">
        <f>IF(P2341="应收",COUNTIF(P$7:P2341,"应收"),"")</f>
      </c>
      <c r="R2341" s="78">
        <f>IF(P2341="应付",COUNTIF(P$7:P2341,"应付"),"")</f>
      </c>
      <c r="S2341" s="78">
        <f>N(F2341)-N(G2341)</f>
        <v>0</v>
      </c>
    </row>
    <row r="2342">
      <c r="A2342" s="109">
        <f>IF(AND(F2342="",G2342=""),"",ROW()-6)</f>
      </c>
      <c r="B2342" s="140" t="n"/>
      <c r="C2342" s="141" t="n"/>
      <c r="D2342" s="141" t="n"/>
      <c r="E2342" s="142" t="n"/>
      <c r="F2342" s="143" t="n"/>
      <c r="G2342" s="144" t="n"/>
      <c r="H2342" s="145">
        <f>IF(OR(C2342="",AND(F2342="",G2342="")),"",SUMIF(基础资料!$W$5:$W$24,C2342,基础资料!$X$5:$X$24)+SUMIF(C$7:C2342,C2342,F$7:F2342)-SUMIF(C$7:C2342,C2342,G$7:G2342))</f>
      </c>
      <c r="I2342" s="145">
        <f>IF(AND(F2342="",G2342=""),"",SUM(基础资料!$X$5:$X$24)+SUM(F$7:F2342)-SUM(G$7:G2342))</f>
      </c>
      <c r="J2342" s="141" t="n"/>
      <c r="K2342" s="141" t="n"/>
      <c r="L2342" s="141" t="n"/>
      <c r="M2342" s="142" t="n"/>
      <c r="N2342" s="146">
        <f>IF(AND(AND(F2342="",G2342=""),B2342="",C2342="",D2342="",J2342="",K2342="",L2342=""),"",IF(AND(F2342="",G2342=""),"✗ 没填金额",IF(AND(N(F2342)&lt;&gt;0,N(G2342)&lt;&gt;0),"✗ 收入、支出只能填一边",IF(NOT(ISNUMBER(B2342)),"✗ 日期不是真日期（要像 2026/9/25 这样填）",IF(OR(B2342&lt;年初日,B2342&gt;年末日),"✗ 日期不在本会计年度",IF(C2342="","✗ 没选账户",IF(COUNTIF(基础资料!$W$5:$W$24,C2342)=0,"✗ 账户不在基础资料里",IF(O2342="","✗ 没选收支项目",IF(P2342="未知","✗ 收支项目不在基础资料里",IF(AND(P2342="应收",J2342=""),"✗ 这笔要选客户",IF(AND(P2342="应收",COUNTIF(总览汇总!$B$5:$B$304,J2342)=0),"✗ 客户不在总览汇总名单里",IF(AND(P2342="应付",K2342=""),"✗ 这笔要选供应商",IF(AND(P2342="应付",COUNTIF(基础资料!$Q$5:$Q$54,K2342)=0),"✗ 供应商不在基础资料里",IF(AND(P2342="费用",L2342=""),"✗ 费用支出要选费用项目",IF(AND(L2342&lt;&gt;"",COUNTIF(基础资料!$AI$5:$AI$54,L2342)=0),"✗ 费用项目不在基础资料里",IF(AND(IFERROR(INDEX(基础资料!$AD$5:$AD$34,MATCH(O2342,基础资料!$AC$5:$AC$34,0)),"")="收",N(G2342)&lt;&gt;0),"✗ 这类是收款，金额填到收入列",IF(AND(IFERROR(INDEX(基础资料!$AD$5:$AD$34,MATCH(O2342,基础资料!$AC$5:$AC$34,0)),"")="支",N(F2342)&lt;&gt;0),"✗ 这类是付款，金额填到支出列",IF(N(H2342)&lt;0,"⚠ 账户余额成负数了，核对一下","√"))))))))))))))))))</f>
      </c>
      <c r="O2342" s="78">
        <f>IF(D2342&lt;&gt;"",D2342,IF(AND(F2342="",G2342=""),"",IF(J2342&lt;&gt;"",IF(N(F2342)&gt;0,"客户回款","客户退款"),IF(K2342&lt;&gt;"",IF(N(G2342)&gt;0,"供应商付款","供应商退款"),IF(L2342&lt;&gt;"","费用支出","")))))</f>
      </c>
      <c r="P2342" s="78">
        <f>IF(O2342="","",IFERROR(INDEX(基础资料!$AE$5:$AE$34,MATCH(O2342,基础资料!$AC$5:$AC$34,0)),"未知"))</f>
      </c>
      <c r="Q2342" s="78">
        <f>IF(P2342="应收",COUNTIF(P$7:P2342,"应收"),"")</f>
      </c>
      <c r="R2342" s="78">
        <f>IF(P2342="应付",COUNTIF(P$7:P2342,"应付"),"")</f>
      </c>
      <c r="S2342" s="78">
        <f>N(F2342)-N(G2342)</f>
        <v>0</v>
      </c>
    </row>
    <row r="2343">
      <c r="A2343" s="109">
        <f>IF(AND(F2343="",G2343=""),"",ROW()-6)</f>
      </c>
      <c r="B2343" s="140" t="n"/>
      <c r="C2343" s="141" t="n"/>
      <c r="D2343" s="141" t="n"/>
      <c r="E2343" s="142" t="n"/>
      <c r="F2343" s="143" t="n"/>
      <c r="G2343" s="144" t="n"/>
      <c r="H2343" s="145">
        <f>IF(OR(C2343="",AND(F2343="",G2343="")),"",SUMIF(基础资料!$W$5:$W$24,C2343,基础资料!$X$5:$X$24)+SUMIF(C$7:C2343,C2343,F$7:F2343)-SUMIF(C$7:C2343,C2343,G$7:G2343))</f>
      </c>
      <c r="I2343" s="145">
        <f>IF(AND(F2343="",G2343=""),"",SUM(基础资料!$X$5:$X$24)+SUM(F$7:F2343)-SUM(G$7:G2343))</f>
      </c>
      <c r="J2343" s="141" t="n"/>
      <c r="K2343" s="141" t="n"/>
      <c r="L2343" s="141" t="n"/>
      <c r="M2343" s="142" t="n"/>
      <c r="N2343" s="146">
        <f>IF(AND(AND(F2343="",G2343=""),B2343="",C2343="",D2343="",J2343="",K2343="",L2343=""),"",IF(AND(F2343="",G2343=""),"✗ 没填金额",IF(AND(N(F2343)&lt;&gt;0,N(G2343)&lt;&gt;0),"✗ 收入、支出只能填一边",IF(NOT(ISNUMBER(B2343)),"✗ 日期不是真日期（要像 2026/9/25 这样填）",IF(OR(B2343&lt;年初日,B2343&gt;年末日),"✗ 日期不在本会计年度",IF(C2343="","✗ 没选账户",IF(COUNTIF(基础资料!$W$5:$W$24,C2343)=0,"✗ 账户不在基础资料里",IF(O2343="","✗ 没选收支项目",IF(P2343="未知","✗ 收支项目不在基础资料里",IF(AND(P2343="应收",J2343=""),"✗ 这笔要选客户",IF(AND(P2343="应收",COUNTIF(总览汇总!$B$5:$B$304,J2343)=0),"✗ 客户不在总览汇总名单里",IF(AND(P2343="应付",K2343=""),"✗ 这笔要选供应商",IF(AND(P2343="应付",COUNTIF(基础资料!$Q$5:$Q$54,K2343)=0),"✗ 供应商不在基础资料里",IF(AND(P2343="费用",L2343=""),"✗ 费用支出要选费用项目",IF(AND(L2343&lt;&gt;"",COUNTIF(基础资料!$AI$5:$AI$54,L2343)=0),"✗ 费用项目不在基础资料里",IF(AND(IFERROR(INDEX(基础资料!$AD$5:$AD$34,MATCH(O2343,基础资料!$AC$5:$AC$34,0)),"")="收",N(G2343)&lt;&gt;0),"✗ 这类是收款，金额填到收入列",IF(AND(IFERROR(INDEX(基础资料!$AD$5:$AD$34,MATCH(O2343,基础资料!$AC$5:$AC$34,0)),"")="支",N(F2343)&lt;&gt;0),"✗ 这类是付款，金额填到支出列",IF(N(H2343)&lt;0,"⚠ 账户余额成负数了，核对一下","√"))))))))))))))))))</f>
      </c>
      <c r="O2343" s="78">
        <f>IF(D2343&lt;&gt;"",D2343,IF(AND(F2343="",G2343=""),"",IF(J2343&lt;&gt;"",IF(N(F2343)&gt;0,"客户回款","客户退款"),IF(K2343&lt;&gt;"",IF(N(G2343)&gt;0,"供应商付款","供应商退款"),IF(L2343&lt;&gt;"","费用支出","")))))</f>
      </c>
      <c r="P2343" s="78">
        <f>IF(O2343="","",IFERROR(INDEX(基础资料!$AE$5:$AE$34,MATCH(O2343,基础资料!$AC$5:$AC$34,0)),"未知"))</f>
      </c>
      <c r="Q2343" s="78">
        <f>IF(P2343="应收",COUNTIF(P$7:P2343,"应收"),"")</f>
      </c>
      <c r="R2343" s="78">
        <f>IF(P2343="应付",COUNTIF(P$7:P2343,"应付"),"")</f>
      </c>
      <c r="S2343" s="78">
        <f>N(F2343)-N(G2343)</f>
        <v>0</v>
      </c>
    </row>
    <row r="2344">
      <c r="A2344" s="109">
        <f>IF(AND(F2344="",G2344=""),"",ROW()-6)</f>
      </c>
      <c r="B2344" s="140" t="n"/>
      <c r="C2344" s="141" t="n"/>
      <c r="D2344" s="141" t="n"/>
      <c r="E2344" s="142" t="n"/>
      <c r="F2344" s="143" t="n"/>
      <c r="G2344" s="144" t="n"/>
      <c r="H2344" s="145">
        <f>IF(OR(C2344="",AND(F2344="",G2344="")),"",SUMIF(基础资料!$W$5:$W$24,C2344,基础资料!$X$5:$X$24)+SUMIF(C$7:C2344,C2344,F$7:F2344)-SUMIF(C$7:C2344,C2344,G$7:G2344))</f>
      </c>
      <c r="I2344" s="145">
        <f>IF(AND(F2344="",G2344=""),"",SUM(基础资料!$X$5:$X$24)+SUM(F$7:F2344)-SUM(G$7:G2344))</f>
      </c>
      <c r="J2344" s="141" t="n"/>
      <c r="K2344" s="141" t="n"/>
      <c r="L2344" s="141" t="n"/>
      <c r="M2344" s="142" t="n"/>
      <c r="N2344" s="146">
        <f>IF(AND(AND(F2344="",G2344=""),B2344="",C2344="",D2344="",J2344="",K2344="",L2344=""),"",IF(AND(F2344="",G2344=""),"✗ 没填金额",IF(AND(N(F2344)&lt;&gt;0,N(G2344)&lt;&gt;0),"✗ 收入、支出只能填一边",IF(NOT(ISNUMBER(B2344)),"✗ 日期不是真日期（要像 2026/9/25 这样填）",IF(OR(B2344&lt;年初日,B2344&gt;年末日),"✗ 日期不在本会计年度",IF(C2344="","✗ 没选账户",IF(COUNTIF(基础资料!$W$5:$W$24,C2344)=0,"✗ 账户不在基础资料里",IF(O2344="","✗ 没选收支项目",IF(P2344="未知","✗ 收支项目不在基础资料里",IF(AND(P2344="应收",J2344=""),"✗ 这笔要选客户",IF(AND(P2344="应收",COUNTIF(总览汇总!$B$5:$B$304,J2344)=0),"✗ 客户不在总览汇总名单里",IF(AND(P2344="应付",K2344=""),"✗ 这笔要选供应商",IF(AND(P2344="应付",COUNTIF(基础资料!$Q$5:$Q$54,K2344)=0),"✗ 供应商不在基础资料里",IF(AND(P2344="费用",L2344=""),"✗ 费用支出要选费用项目",IF(AND(L2344&lt;&gt;"",COUNTIF(基础资料!$AI$5:$AI$54,L2344)=0),"✗ 费用项目不在基础资料里",IF(AND(IFERROR(INDEX(基础资料!$AD$5:$AD$34,MATCH(O2344,基础资料!$AC$5:$AC$34,0)),"")="收",N(G2344)&lt;&gt;0),"✗ 这类是收款，金额填到收入列",IF(AND(IFERROR(INDEX(基础资料!$AD$5:$AD$34,MATCH(O2344,基础资料!$AC$5:$AC$34,0)),"")="支",N(F2344)&lt;&gt;0),"✗ 这类是付款，金额填到支出列",IF(N(H2344)&lt;0,"⚠ 账户余额成负数了，核对一下","√"))))))))))))))))))</f>
      </c>
      <c r="O2344" s="78">
        <f>IF(D2344&lt;&gt;"",D2344,IF(AND(F2344="",G2344=""),"",IF(J2344&lt;&gt;"",IF(N(F2344)&gt;0,"客户回款","客户退款"),IF(K2344&lt;&gt;"",IF(N(G2344)&gt;0,"供应商付款","供应商退款"),IF(L2344&lt;&gt;"","费用支出","")))))</f>
      </c>
      <c r="P2344" s="78">
        <f>IF(O2344="","",IFERROR(INDEX(基础资料!$AE$5:$AE$34,MATCH(O2344,基础资料!$AC$5:$AC$34,0)),"未知"))</f>
      </c>
      <c r="Q2344" s="78">
        <f>IF(P2344="应收",COUNTIF(P$7:P2344,"应收"),"")</f>
      </c>
      <c r="R2344" s="78">
        <f>IF(P2344="应付",COUNTIF(P$7:P2344,"应付"),"")</f>
      </c>
      <c r="S2344" s="78">
        <f>N(F2344)-N(G2344)</f>
        <v>0</v>
      </c>
    </row>
    <row r="2345">
      <c r="A2345" s="109">
        <f>IF(AND(F2345="",G2345=""),"",ROW()-6)</f>
      </c>
      <c r="B2345" s="140" t="n"/>
      <c r="C2345" s="141" t="n"/>
      <c r="D2345" s="141" t="n"/>
      <c r="E2345" s="142" t="n"/>
      <c r="F2345" s="143" t="n"/>
      <c r="G2345" s="144" t="n"/>
      <c r="H2345" s="145">
        <f>IF(OR(C2345="",AND(F2345="",G2345="")),"",SUMIF(基础资料!$W$5:$W$24,C2345,基础资料!$X$5:$X$24)+SUMIF(C$7:C2345,C2345,F$7:F2345)-SUMIF(C$7:C2345,C2345,G$7:G2345))</f>
      </c>
      <c r="I2345" s="145">
        <f>IF(AND(F2345="",G2345=""),"",SUM(基础资料!$X$5:$X$24)+SUM(F$7:F2345)-SUM(G$7:G2345))</f>
      </c>
      <c r="J2345" s="141" t="n"/>
      <c r="K2345" s="141" t="n"/>
      <c r="L2345" s="141" t="n"/>
      <c r="M2345" s="142" t="n"/>
      <c r="N2345" s="146">
        <f>IF(AND(AND(F2345="",G2345=""),B2345="",C2345="",D2345="",J2345="",K2345="",L2345=""),"",IF(AND(F2345="",G2345=""),"✗ 没填金额",IF(AND(N(F2345)&lt;&gt;0,N(G2345)&lt;&gt;0),"✗ 收入、支出只能填一边",IF(NOT(ISNUMBER(B2345)),"✗ 日期不是真日期（要像 2026/9/25 这样填）",IF(OR(B2345&lt;年初日,B2345&gt;年末日),"✗ 日期不在本会计年度",IF(C2345="","✗ 没选账户",IF(COUNTIF(基础资料!$W$5:$W$24,C2345)=0,"✗ 账户不在基础资料里",IF(O2345="","✗ 没选收支项目",IF(P2345="未知","✗ 收支项目不在基础资料里",IF(AND(P2345="应收",J2345=""),"✗ 这笔要选客户",IF(AND(P2345="应收",COUNTIF(总览汇总!$B$5:$B$304,J2345)=0),"✗ 客户不在总览汇总名单里",IF(AND(P2345="应付",K2345=""),"✗ 这笔要选供应商",IF(AND(P2345="应付",COUNTIF(基础资料!$Q$5:$Q$54,K2345)=0),"✗ 供应商不在基础资料里",IF(AND(P2345="费用",L2345=""),"✗ 费用支出要选费用项目",IF(AND(L2345&lt;&gt;"",COUNTIF(基础资料!$AI$5:$AI$54,L2345)=0),"✗ 费用项目不在基础资料里",IF(AND(IFERROR(INDEX(基础资料!$AD$5:$AD$34,MATCH(O2345,基础资料!$AC$5:$AC$34,0)),"")="收",N(G2345)&lt;&gt;0),"✗ 这类是收款，金额填到收入列",IF(AND(IFERROR(INDEX(基础资料!$AD$5:$AD$34,MATCH(O2345,基础资料!$AC$5:$AC$34,0)),"")="支",N(F2345)&lt;&gt;0),"✗ 这类是付款，金额填到支出列",IF(N(H2345)&lt;0,"⚠ 账户余额成负数了，核对一下","√"))))))))))))))))))</f>
      </c>
      <c r="O2345" s="78">
        <f>IF(D2345&lt;&gt;"",D2345,IF(AND(F2345="",G2345=""),"",IF(J2345&lt;&gt;"",IF(N(F2345)&gt;0,"客户回款","客户退款"),IF(K2345&lt;&gt;"",IF(N(G2345)&gt;0,"供应商付款","供应商退款"),IF(L2345&lt;&gt;"","费用支出","")))))</f>
      </c>
      <c r="P2345" s="78">
        <f>IF(O2345="","",IFERROR(INDEX(基础资料!$AE$5:$AE$34,MATCH(O2345,基础资料!$AC$5:$AC$34,0)),"未知"))</f>
      </c>
      <c r="Q2345" s="78">
        <f>IF(P2345="应收",COUNTIF(P$7:P2345,"应收"),"")</f>
      </c>
      <c r="R2345" s="78">
        <f>IF(P2345="应付",COUNTIF(P$7:P2345,"应付"),"")</f>
      </c>
      <c r="S2345" s="78">
        <f>N(F2345)-N(G2345)</f>
        <v>0</v>
      </c>
    </row>
    <row r="2346">
      <c r="A2346" s="109">
        <f>IF(AND(F2346="",G2346=""),"",ROW()-6)</f>
      </c>
      <c r="B2346" s="140" t="n"/>
      <c r="C2346" s="141" t="n"/>
      <c r="D2346" s="141" t="n"/>
      <c r="E2346" s="142" t="n"/>
      <c r="F2346" s="143" t="n"/>
      <c r="G2346" s="144" t="n"/>
      <c r="H2346" s="145">
        <f>IF(OR(C2346="",AND(F2346="",G2346="")),"",SUMIF(基础资料!$W$5:$W$24,C2346,基础资料!$X$5:$X$24)+SUMIF(C$7:C2346,C2346,F$7:F2346)-SUMIF(C$7:C2346,C2346,G$7:G2346))</f>
      </c>
      <c r="I2346" s="145">
        <f>IF(AND(F2346="",G2346=""),"",SUM(基础资料!$X$5:$X$24)+SUM(F$7:F2346)-SUM(G$7:G2346))</f>
      </c>
      <c r="J2346" s="141" t="n"/>
      <c r="K2346" s="141" t="n"/>
      <c r="L2346" s="141" t="n"/>
      <c r="M2346" s="142" t="n"/>
      <c r="N2346" s="146">
        <f>IF(AND(AND(F2346="",G2346=""),B2346="",C2346="",D2346="",J2346="",K2346="",L2346=""),"",IF(AND(F2346="",G2346=""),"✗ 没填金额",IF(AND(N(F2346)&lt;&gt;0,N(G2346)&lt;&gt;0),"✗ 收入、支出只能填一边",IF(NOT(ISNUMBER(B2346)),"✗ 日期不是真日期（要像 2026/9/25 这样填）",IF(OR(B2346&lt;年初日,B2346&gt;年末日),"✗ 日期不在本会计年度",IF(C2346="","✗ 没选账户",IF(COUNTIF(基础资料!$W$5:$W$24,C2346)=0,"✗ 账户不在基础资料里",IF(O2346="","✗ 没选收支项目",IF(P2346="未知","✗ 收支项目不在基础资料里",IF(AND(P2346="应收",J2346=""),"✗ 这笔要选客户",IF(AND(P2346="应收",COUNTIF(总览汇总!$B$5:$B$304,J2346)=0),"✗ 客户不在总览汇总名单里",IF(AND(P2346="应付",K2346=""),"✗ 这笔要选供应商",IF(AND(P2346="应付",COUNTIF(基础资料!$Q$5:$Q$54,K2346)=0),"✗ 供应商不在基础资料里",IF(AND(P2346="费用",L2346=""),"✗ 费用支出要选费用项目",IF(AND(L2346&lt;&gt;"",COUNTIF(基础资料!$AI$5:$AI$54,L2346)=0),"✗ 费用项目不在基础资料里",IF(AND(IFERROR(INDEX(基础资料!$AD$5:$AD$34,MATCH(O2346,基础资料!$AC$5:$AC$34,0)),"")="收",N(G2346)&lt;&gt;0),"✗ 这类是收款，金额填到收入列",IF(AND(IFERROR(INDEX(基础资料!$AD$5:$AD$34,MATCH(O2346,基础资料!$AC$5:$AC$34,0)),"")="支",N(F2346)&lt;&gt;0),"✗ 这类是付款，金额填到支出列",IF(N(H2346)&lt;0,"⚠ 账户余额成负数了，核对一下","√"))))))))))))))))))</f>
      </c>
      <c r="O2346" s="78">
        <f>IF(D2346&lt;&gt;"",D2346,IF(AND(F2346="",G2346=""),"",IF(J2346&lt;&gt;"",IF(N(F2346)&gt;0,"客户回款","客户退款"),IF(K2346&lt;&gt;"",IF(N(G2346)&gt;0,"供应商付款","供应商退款"),IF(L2346&lt;&gt;"","费用支出","")))))</f>
      </c>
      <c r="P2346" s="78">
        <f>IF(O2346="","",IFERROR(INDEX(基础资料!$AE$5:$AE$34,MATCH(O2346,基础资料!$AC$5:$AC$34,0)),"未知"))</f>
      </c>
      <c r="Q2346" s="78">
        <f>IF(P2346="应收",COUNTIF(P$7:P2346,"应收"),"")</f>
      </c>
      <c r="R2346" s="78">
        <f>IF(P2346="应付",COUNTIF(P$7:P2346,"应付"),"")</f>
      </c>
      <c r="S2346" s="78">
        <f>N(F2346)-N(G2346)</f>
        <v>0</v>
      </c>
    </row>
    <row r="2347">
      <c r="A2347" s="109">
        <f>IF(AND(F2347="",G2347=""),"",ROW()-6)</f>
      </c>
      <c r="B2347" s="140" t="n"/>
      <c r="C2347" s="141" t="n"/>
      <c r="D2347" s="141" t="n"/>
      <c r="E2347" s="142" t="n"/>
      <c r="F2347" s="143" t="n"/>
      <c r="G2347" s="144" t="n"/>
      <c r="H2347" s="145">
        <f>IF(OR(C2347="",AND(F2347="",G2347="")),"",SUMIF(基础资料!$W$5:$W$24,C2347,基础资料!$X$5:$X$24)+SUMIF(C$7:C2347,C2347,F$7:F2347)-SUMIF(C$7:C2347,C2347,G$7:G2347))</f>
      </c>
      <c r="I2347" s="145">
        <f>IF(AND(F2347="",G2347=""),"",SUM(基础资料!$X$5:$X$24)+SUM(F$7:F2347)-SUM(G$7:G2347))</f>
      </c>
      <c r="J2347" s="141" t="n"/>
      <c r="K2347" s="141" t="n"/>
      <c r="L2347" s="141" t="n"/>
      <c r="M2347" s="142" t="n"/>
      <c r="N2347" s="146">
        <f>IF(AND(AND(F2347="",G2347=""),B2347="",C2347="",D2347="",J2347="",K2347="",L2347=""),"",IF(AND(F2347="",G2347=""),"✗ 没填金额",IF(AND(N(F2347)&lt;&gt;0,N(G2347)&lt;&gt;0),"✗ 收入、支出只能填一边",IF(NOT(ISNUMBER(B2347)),"✗ 日期不是真日期（要像 2026/9/25 这样填）",IF(OR(B2347&lt;年初日,B2347&gt;年末日),"✗ 日期不在本会计年度",IF(C2347="","✗ 没选账户",IF(COUNTIF(基础资料!$W$5:$W$24,C2347)=0,"✗ 账户不在基础资料里",IF(O2347="","✗ 没选收支项目",IF(P2347="未知","✗ 收支项目不在基础资料里",IF(AND(P2347="应收",J2347=""),"✗ 这笔要选客户",IF(AND(P2347="应收",COUNTIF(总览汇总!$B$5:$B$304,J2347)=0),"✗ 客户不在总览汇总名单里",IF(AND(P2347="应付",K2347=""),"✗ 这笔要选供应商",IF(AND(P2347="应付",COUNTIF(基础资料!$Q$5:$Q$54,K2347)=0),"✗ 供应商不在基础资料里",IF(AND(P2347="费用",L2347=""),"✗ 费用支出要选费用项目",IF(AND(L2347&lt;&gt;"",COUNTIF(基础资料!$AI$5:$AI$54,L2347)=0),"✗ 费用项目不在基础资料里",IF(AND(IFERROR(INDEX(基础资料!$AD$5:$AD$34,MATCH(O2347,基础资料!$AC$5:$AC$34,0)),"")="收",N(G2347)&lt;&gt;0),"✗ 这类是收款，金额填到收入列",IF(AND(IFERROR(INDEX(基础资料!$AD$5:$AD$34,MATCH(O2347,基础资料!$AC$5:$AC$34,0)),"")="支",N(F2347)&lt;&gt;0),"✗ 这类是付款，金额填到支出列",IF(N(H2347)&lt;0,"⚠ 账户余额成负数了，核对一下","√"))))))))))))))))))</f>
      </c>
      <c r="O2347" s="78">
        <f>IF(D2347&lt;&gt;"",D2347,IF(AND(F2347="",G2347=""),"",IF(J2347&lt;&gt;"",IF(N(F2347)&gt;0,"客户回款","客户退款"),IF(K2347&lt;&gt;"",IF(N(G2347)&gt;0,"供应商付款","供应商退款"),IF(L2347&lt;&gt;"","费用支出","")))))</f>
      </c>
      <c r="P2347" s="78">
        <f>IF(O2347="","",IFERROR(INDEX(基础资料!$AE$5:$AE$34,MATCH(O2347,基础资料!$AC$5:$AC$34,0)),"未知"))</f>
      </c>
      <c r="Q2347" s="78">
        <f>IF(P2347="应收",COUNTIF(P$7:P2347,"应收"),"")</f>
      </c>
      <c r="R2347" s="78">
        <f>IF(P2347="应付",COUNTIF(P$7:P2347,"应付"),"")</f>
      </c>
      <c r="S2347" s="78">
        <f>N(F2347)-N(G2347)</f>
        <v>0</v>
      </c>
    </row>
    <row r="2348">
      <c r="A2348" s="109">
        <f>IF(AND(F2348="",G2348=""),"",ROW()-6)</f>
      </c>
      <c r="B2348" s="140" t="n"/>
      <c r="C2348" s="141" t="n"/>
      <c r="D2348" s="141" t="n"/>
      <c r="E2348" s="142" t="n"/>
      <c r="F2348" s="143" t="n"/>
      <c r="G2348" s="144" t="n"/>
      <c r="H2348" s="145">
        <f>IF(OR(C2348="",AND(F2348="",G2348="")),"",SUMIF(基础资料!$W$5:$W$24,C2348,基础资料!$X$5:$X$24)+SUMIF(C$7:C2348,C2348,F$7:F2348)-SUMIF(C$7:C2348,C2348,G$7:G2348))</f>
      </c>
      <c r="I2348" s="145">
        <f>IF(AND(F2348="",G2348=""),"",SUM(基础资料!$X$5:$X$24)+SUM(F$7:F2348)-SUM(G$7:G2348))</f>
      </c>
      <c r="J2348" s="141" t="n"/>
      <c r="K2348" s="141" t="n"/>
      <c r="L2348" s="141" t="n"/>
      <c r="M2348" s="142" t="n"/>
      <c r="N2348" s="146">
        <f>IF(AND(AND(F2348="",G2348=""),B2348="",C2348="",D2348="",J2348="",K2348="",L2348=""),"",IF(AND(F2348="",G2348=""),"✗ 没填金额",IF(AND(N(F2348)&lt;&gt;0,N(G2348)&lt;&gt;0),"✗ 收入、支出只能填一边",IF(NOT(ISNUMBER(B2348)),"✗ 日期不是真日期（要像 2026/9/25 这样填）",IF(OR(B2348&lt;年初日,B2348&gt;年末日),"✗ 日期不在本会计年度",IF(C2348="","✗ 没选账户",IF(COUNTIF(基础资料!$W$5:$W$24,C2348)=0,"✗ 账户不在基础资料里",IF(O2348="","✗ 没选收支项目",IF(P2348="未知","✗ 收支项目不在基础资料里",IF(AND(P2348="应收",J2348=""),"✗ 这笔要选客户",IF(AND(P2348="应收",COUNTIF(总览汇总!$B$5:$B$304,J2348)=0),"✗ 客户不在总览汇总名单里",IF(AND(P2348="应付",K2348=""),"✗ 这笔要选供应商",IF(AND(P2348="应付",COUNTIF(基础资料!$Q$5:$Q$54,K2348)=0),"✗ 供应商不在基础资料里",IF(AND(P2348="费用",L2348=""),"✗ 费用支出要选费用项目",IF(AND(L2348&lt;&gt;"",COUNTIF(基础资料!$AI$5:$AI$54,L2348)=0),"✗ 费用项目不在基础资料里",IF(AND(IFERROR(INDEX(基础资料!$AD$5:$AD$34,MATCH(O2348,基础资料!$AC$5:$AC$34,0)),"")="收",N(G2348)&lt;&gt;0),"✗ 这类是收款，金额填到收入列",IF(AND(IFERROR(INDEX(基础资料!$AD$5:$AD$34,MATCH(O2348,基础资料!$AC$5:$AC$34,0)),"")="支",N(F2348)&lt;&gt;0),"✗ 这类是付款，金额填到支出列",IF(N(H2348)&lt;0,"⚠ 账户余额成负数了，核对一下","√"))))))))))))))))))</f>
      </c>
      <c r="O2348" s="78">
        <f>IF(D2348&lt;&gt;"",D2348,IF(AND(F2348="",G2348=""),"",IF(J2348&lt;&gt;"",IF(N(F2348)&gt;0,"客户回款","客户退款"),IF(K2348&lt;&gt;"",IF(N(G2348)&gt;0,"供应商付款","供应商退款"),IF(L2348&lt;&gt;"","费用支出","")))))</f>
      </c>
      <c r="P2348" s="78">
        <f>IF(O2348="","",IFERROR(INDEX(基础资料!$AE$5:$AE$34,MATCH(O2348,基础资料!$AC$5:$AC$34,0)),"未知"))</f>
      </c>
      <c r="Q2348" s="78">
        <f>IF(P2348="应收",COUNTIF(P$7:P2348,"应收"),"")</f>
      </c>
      <c r="R2348" s="78">
        <f>IF(P2348="应付",COUNTIF(P$7:P2348,"应付"),"")</f>
      </c>
      <c r="S2348" s="78">
        <f>N(F2348)-N(G2348)</f>
        <v>0</v>
      </c>
    </row>
    <row r="2349">
      <c r="A2349" s="109">
        <f>IF(AND(F2349="",G2349=""),"",ROW()-6)</f>
      </c>
      <c r="B2349" s="140" t="n"/>
      <c r="C2349" s="141" t="n"/>
      <c r="D2349" s="141" t="n"/>
      <c r="E2349" s="142" t="n"/>
      <c r="F2349" s="143" t="n"/>
      <c r="G2349" s="144" t="n"/>
      <c r="H2349" s="145">
        <f>IF(OR(C2349="",AND(F2349="",G2349="")),"",SUMIF(基础资料!$W$5:$W$24,C2349,基础资料!$X$5:$X$24)+SUMIF(C$7:C2349,C2349,F$7:F2349)-SUMIF(C$7:C2349,C2349,G$7:G2349))</f>
      </c>
      <c r="I2349" s="145">
        <f>IF(AND(F2349="",G2349=""),"",SUM(基础资料!$X$5:$X$24)+SUM(F$7:F2349)-SUM(G$7:G2349))</f>
      </c>
      <c r="J2349" s="141" t="n"/>
      <c r="K2349" s="141" t="n"/>
      <c r="L2349" s="141" t="n"/>
      <c r="M2349" s="142" t="n"/>
      <c r="N2349" s="146">
        <f>IF(AND(AND(F2349="",G2349=""),B2349="",C2349="",D2349="",J2349="",K2349="",L2349=""),"",IF(AND(F2349="",G2349=""),"✗ 没填金额",IF(AND(N(F2349)&lt;&gt;0,N(G2349)&lt;&gt;0),"✗ 收入、支出只能填一边",IF(NOT(ISNUMBER(B2349)),"✗ 日期不是真日期（要像 2026/9/25 这样填）",IF(OR(B2349&lt;年初日,B2349&gt;年末日),"✗ 日期不在本会计年度",IF(C2349="","✗ 没选账户",IF(COUNTIF(基础资料!$W$5:$W$24,C2349)=0,"✗ 账户不在基础资料里",IF(O2349="","✗ 没选收支项目",IF(P2349="未知","✗ 收支项目不在基础资料里",IF(AND(P2349="应收",J2349=""),"✗ 这笔要选客户",IF(AND(P2349="应收",COUNTIF(总览汇总!$B$5:$B$304,J2349)=0),"✗ 客户不在总览汇总名单里",IF(AND(P2349="应付",K2349=""),"✗ 这笔要选供应商",IF(AND(P2349="应付",COUNTIF(基础资料!$Q$5:$Q$54,K2349)=0),"✗ 供应商不在基础资料里",IF(AND(P2349="费用",L2349=""),"✗ 费用支出要选费用项目",IF(AND(L2349&lt;&gt;"",COUNTIF(基础资料!$AI$5:$AI$54,L2349)=0),"✗ 费用项目不在基础资料里",IF(AND(IFERROR(INDEX(基础资料!$AD$5:$AD$34,MATCH(O2349,基础资料!$AC$5:$AC$34,0)),"")="收",N(G2349)&lt;&gt;0),"✗ 这类是收款，金额填到收入列",IF(AND(IFERROR(INDEX(基础资料!$AD$5:$AD$34,MATCH(O2349,基础资料!$AC$5:$AC$34,0)),"")="支",N(F2349)&lt;&gt;0),"✗ 这类是付款，金额填到支出列",IF(N(H2349)&lt;0,"⚠ 账户余额成负数了，核对一下","√"))))))))))))))))))</f>
      </c>
      <c r="O2349" s="78">
        <f>IF(D2349&lt;&gt;"",D2349,IF(AND(F2349="",G2349=""),"",IF(J2349&lt;&gt;"",IF(N(F2349)&gt;0,"客户回款","客户退款"),IF(K2349&lt;&gt;"",IF(N(G2349)&gt;0,"供应商付款","供应商退款"),IF(L2349&lt;&gt;"","费用支出","")))))</f>
      </c>
      <c r="P2349" s="78">
        <f>IF(O2349="","",IFERROR(INDEX(基础资料!$AE$5:$AE$34,MATCH(O2349,基础资料!$AC$5:$AC$34,0)),"未知"))</f>
      </c>
      <c r="Q2349" s="78">
        <f>IF(P2349="应收",COUNTIF(P$7:P2349,"应收"),"")</f>
      </c>
      <c r="R2349" s="78">
        <f>IF(P2349="应付",COUNTIF(P$7:P2349,"应付"),"")</f>
      </c>
      <c r="S2349" s="78">
        <f>N(F2349)-N(G2349)</f>
        <v>0</v>
      </c>
    </row>
    <row r="2350">
      <c r="A2350" s="109">
        <f>IF(AND(F2350="",G2350=""),"",ROW()-6)</f>
      </c>
      <c r="B2350" s="140" t="n"/>
      <c r="C2350" s="141" t="n"/>
      <c r="D2350" s="141" t="n"/>
      <c r="E2350" s="142" t="n"/>
      <c r="F2350" s="143" t="n"/>
      <c r="G2350" s="144" t="n"/>
      <c r="H2350" s="145">
        <f>IF(OR(C2350="",AND(F2350="",G2350="")),"",SUMIF(基础资料!$W$5:$W$24,C2350,基础资料!$X$5:$X$24)+SUMIF(C$7:C2350,C2350,F$7:F2350)-SUMIF(C$7:C2350,C2350,G$7:G2350))</f>
      </c>
      <c r="I2350" s="145">
        <f>IF(AND(F2350="",G2350=""),"",SUM(基础资料!$X$5:$X$24)+SUM(F$7:F2350)-SUM(G$7:G2350))</f>
      </c>
      <c r="J2350" s="141" t="n"/>
      <c r="K2350" s="141" t="n"/>
      <c r="L2350" s="141" t="n"/>
      <c r="M2350" s="142" t="n"/>
      <c r="N2350" s="146">
        <f>IF(AND(AND(F2350="",G2350=""),B2350="",C2350="",D2350="",J2350="",K2350="",L2350=""),"",IF(AND(F2350="",G2350=""),"✗ 没填金额",IF(AND(N(F2350)&lt;&gt;0,N(G2350)&lt;&gt;0),"✗ 收入、支出只能填一边",IF(NOT(ISNUMBER(B2350)),"✗ 日期不是真日期（要像 2026/9/25 这样填）",IF(OR(B2350&lt;年初日,B2350&gt;年末日),"✗ 日期不在本会计年度",IF(C2350="","✗ 没选账户",IF(COUNTIF(基础资料!$W$5:$W$24,C2350)=0,"✗ 账户不在基础资料里",IF(O2350="","✗ 没选收支项目",IF(P2350="未知","✗ 收支项目不在基础资料里",IF(AND(P2350="应收",J2350=""),"✗ 这笔要选客户",IF(AND(P2350="应收",COUNTIF(总览汇总!$B$5:$B$304,J2350)=0),"✗ 客户不在总览汇总名单里",IF(AND(P2350="应付",K2350=""),"✗ 这笔要选供应商",IF(AND(P2350="应付",COUNTIF(基础资料!$Q$5:$Q$54,K2350)=0),"✗ 供应商不在基础资料里",IF(AND(P2350="费用",L2350=""),"✗ 费用支出要选费用项目",IF(AND(L2350&lt;&gt;"",COUNTIF(基础资料!$AI$5:$AI$54,L2350)=0),"✗ 费用项目不在基础资料里",IF(AND(IFERROR(INDEX(基础资料!$AD$5:$AD$34,MATCH(O2350,基础资料!$AC$5:$AC$34,0)),"")="收",N(G2350)&lt;&gt;0),"✗ 这类是收款，金额填到收入列",IF(AND(IFERROR(INDEX(基础资料!$AD$5:$AD$34,MATCH(O2350,基础资料!$AC$5:$AC$34,0)),"")="支",N(F2350)&lt;&gt;0),"✗ 这类是付款，金额填到支出列",IF(N(H2350)&lt;0,"⚠ 账户余额成负数了，核对一下","√"))))))))))))))))))</f>
      </c>
      <c r="O2350" s="78">
        <f>IF(D2350&lt;&gt;"",D2350,IF(AND(F2350="",G2350=""),"",IF(J2350&lt;&gt;"",IF(N(F2350)&gt;0,"客户回款","客户退款"),IF(K2350&lt;&gt;"",IF(N(G2350)&gt;0,"供应商付款","供应商退款"),IF(L2350&lt;&gt;"","费用支出","")))))</f>
      </c>
      <c r="P2350" s="78">
        <f>IF(O2350="","",IFERROR(INDEX(基础资料!$AE$5:$AE$34,MATCH(O2350,基础资料!$AC$5:$AC$34,0)),"未知"))</f>
      </c>
      <c r="Q2350" s="78">
        <f>IF(P2350="应收",COUNTIF(P$7:P2350,"应收"),"")</f>
      </c>
      <c r="R2350" s="78">
        <f>IF(P2350="应付",COUNTIF(P$7:P2350,"应付"),"")</f>
      </c>
      <c r="S2350" s="78">
        <f>N(F2350)-N(G2350)</f>
        <v>0</v>
      </c>
    </row>
    <row r="2351">
      <c r="A2351" s="109">
        <f>IF(AND(F2351="",G2351=""),"",ROW()-6)</f>
      </c>
      <c r="B2351" s="140" t="n"/>
      <c r="C2351" s="141" t="n"/>
      <c r="D2351" s="141" t="n"/>
      <c r="E2351" s="142" t="n"/>
      <c r="F2351" s="143" t="n"/>
      <c r="G2351" s="144" t="n"/>
      <c r="H2351" s="145">
        <f>IF(OR(C2351="",AND(F2351="",G2351="")),"",SUMIF(基础资料!$W$5:$W$24,C2351,基础资料!$X$5:$X$24)+SUMIF(C$7:C2351,C2351,F$7:F2351)-SUMIF(C$7:C2351,C2351,G$7:G2351))</f>
      </c>
      <c r="I2351" s="145">
        <f>IF(AND(F2351="",G2351=""),"",SUM(基础资料!$X$5:$X$24)+SUM(F$7:F2351)-SUM(G$7:G2351))</f>
      </c>
      <c r="J2351" s="141" t="n"/>
      <c r="K2351" s="141" t="n"/>
      <c r="L2351" s="141" t="n"/>
      <c r="M2351" s="142" t="n"/>
      <c r="N2351" s="146">
        <f>IF(AND(AND(F2351="",G2351=""),B2351="",C2351="",D2351="",J2351="",K2351="",L2351=""),"",IF(AND(F2351="",G2351=""),"✗ 没填金额",IF(AND(N(F2351)&lt;&gt;0,N(G2351)&lt;&gt;0),"✗ 收入、支出只能填一边",IF(NOT(ISNUMBER(B2351)),"✗ 日期不是真日期（要像 2026/9/25 这样填）",IF(OR(B2351&lt;年初日,B2351&gt;年末日),"✗ 日期不在本会计年度",IF(C2351="","✗ 没选账户",IF(COUNTIF(基础资料!$W$5:$W$24,C2351)=0,"✗ 账户不在基础资料里",IF(O2351="","✗ 没选收支项目",IF(P2351="未知","✗ 收支项目不在基础资料里",IF(AND(P2351="应收",J2351=""),"✗ 这笔要选客户",IF(AND(P2351="应收",COUNTIF(总览汇总!$B$5:$B$304,J2351)=0),"✗ 客户不在总览汇总名单里",IF(AND(P2351="应付",K2351=""),"✗ 这笔要选供应商",IF(AND(P2351="应付",COUNTIF(基础资料!$Q$5:$Q$54,K2351)=0),"✗ 供应商不在基础资料里",IF(AND(P2351="费用",L2351=""),"✗ 费用支出要选费用项目",IF(AND(L2351&lt;&gt;"",COUNTIF(基础资料!$AI$5:$AI$54,L2351)=0),"✗ 费用项目不在基础资料里",IF(AND(IFERROR(INDEX(基础资料!$AD$5:$AD$34,MATCH(O2351,基础资料!$AC$5:$AC$34,0)),"")="收",N(G2351)&lt;&gt;0),"✗ 这类是收款，金额填到收入列",IF(AND(IFERROR(INDEX(基础资料!$AD$5:$AD$34,MATCH(O2351,基础资料!$AC$5:$AC$34,0)),"")="支",N(F2351)&lt;&gt;0),"✗ 这类是付款，金额填到支出列",IF(N(H2351)&lt;0,"⚠ 账户余额成负数了，核对一下","√"))))))))))))))))))</f>
      </c>
      <c r="O2351" s="78">
        <f>IF(D2351&lt;&gt;"",D2351,IF(AND(F2351="",G2351=""),"",IF(J2351&lt;&gt;"",IF(N(F2351)&gt;0,"客户回款","客户退款"),IF(K2351&lt;&gt;"",IF(N(G2351)&gt;0,"供应商付款","供应商退款"),IF(L2351&lt;&gt;"","费用支出","")))))</f>
      </c>
      <c r="P2351" s="78">
        <f>IF(O2351="","",IFERROR(INDEX(基础资料!$AE$5:$AE$34,MATCH(O2351,基础资料!$AC$5:$AC$34,0)),"未知"))</f>
      </c>
      <c r="Q2351" s="78">
        <f>IF(P2351="应收",COUNTIF(P$7:P2351,"应收"),"")</f>
      </c>
      <c r="R2351" s="78">
        <f>IF(P2351="应付",COUNTIF(P$7:P2351,"应付"),"")</f>
      </c>
      <c r="S2351" s="78">
        <f>N(F2351)-N(G2351)</f>
        <v>0</v>
      </c>
    </row>
    <row r="2352">
      <c r="A2352" s="109">
        <f>IF(AND(F2352="",G2352=""),"",ROW()-6)</f>
      </c>
      <c r="B2352" s="140" t="n"/>
      <c r="C2352" s="141" t="n"/>
      <c r="D2352" s="141" t="n"/>
      <c r="E2352" s="142" t="n"/>
      <c r="F2352" s="143" t="n"/>
      <c r="G2352" s="144" t="n"/>
      <c r="H2352" s="145">
        <f>IF(OR(C2352="",AND(F2352="",G2352="")),"",SUMIF(基础资料!$W$5:$W$24,C2352,基础资料!$X$5:$X$24)+SUMIF(C$7:C2352,C2352,F$7:F2352)-SUMIF(C$7:C2352,C2352,G$7:G2352))</f>
      </c>
      <c r="I2352" s="145">
        <f>IF(AND(F2352="",G2352=""),"",SUM(基础资料!$X$5:$X$24)+SUM(F$7:F2352)-SUM(G$7:G2352))</f>
      </c>
      <c r="J2352" s="141" t="n"/>
      <c r="K2352" s="141" t="n"/>
      <c r="L2352" s="141" t="n"/>
      <c r="M2352" s="142" t="n"/>
      <c r="N2352" s="146">
        <f>IF(AND(AND(F2352="",G2352=""),B2352="",C2352="",D2352="",J2352="",K2352="",L2352=""),"",IF(AND(F2352="",G2352=""),"✗ 没填金额",IF(AND(N(F2352)&lt;&gt;0,N(G2352)&lt;&gt;0),"✗ 收入、支出只能填一边",IF(NOT(ISNUMBER(B2352)),"✗ 日期不是真日期（要像 2026/9/25 这样填）",IF(OR(B2352&lt;年初日,B2352&gt;年末日),"✗ 日期不在本会计年度",IF(C2352="","✗ 没选账户",IF(COUNTIF(基础资料!$W$5:$W$24,C2352)=0,"✗ 账户不在基础资料里",IF(O2352="","✗ 没选收支项目",IF(P2352="未知","✗ 收支项目不在基础资料里",IF(AND(P2352="应收",J2352=""),"✗ 这笔要选客户",IF(AND(P2352="应收",COUNTIF(总览汇总!$B$5:$B$304,J2352)=0),"✗ 客户不在总览汇总名单里",IF(AND(P2352="应付",K2352=""),"✗ 这笔要选供应商",IF(AND(P2352="应付",COUNTIF(基础资料!$Q$5:$Q$54,K2352)=0),"✗ 供应商不在基础资料里",IF(AND(P2352="费用",L2352=""),"✗ 费用支出要选费用项目",IF(AND(L2352&lt;&gt;"",COUNTIF(基础资料!$AI$5:$AI$54,L2352)=0),"✗ 费用项目不在基础资料里",IF(AND(IFERROR(INDEX(基础资料!$AD$5:$AD$34,MATCH(O2352,基础资料!$AC$5:$AC$34,0)),"")="收",N(G2352)&lt;&gt;0),"✗ 这类是收款，金额填到收入列",IF(AND(IFERROR(INDEX(基础资料!$AD$5:$AD$34,MATCH(O2352,基础资料!$AC$5:$AC$34,0)),"")="支",N(F2352)&lt;&gt;0),"✗ 这类是付款，金额填到支出列",IF(N(H2352)&lt;0,"⚠ 账户余额成负数了，核对一下","√"))))))))))))))))))</f>
      </c>
      <c r="O2352" s="78">
        <f>IF(D2352&lt;&gt;"",D2352,IF(AND(F2352="",G2352=""),"",IF(J2352&lt;&gt;"",IF(N(F2352)&gt;0,"客户回款","客户退款"),IF(K2352&lt;&gt;"",IF(N(G2352)&gt;0,"供应商付款","供应商退款"),IF(L2352&lt;&gt;"","费用支出","")))))</f>
      </c>
      <c r="P2352" s="78">
        <f>IF(O2352="","",IFERROR(INDEX(基础资料!$AE$5:$AE$34,MATCH(O2352,基础资料!$AC$5:$AC$34,0)),"未知"))</f>
      </c>
      <c r="Q2352" s="78">
        <f>IF(P2352="应收",COUNTIF(P$7:P2352,"应收"),"")</f>
      </c>
      <c r="R2352" s="78">
        <f>IF(P2352="应付",COUNTIF(P$7:P2352,"应付"),"")</f>
      </c>
      <c r="S2352" s="78">
        <f>N(F2352)-N(G2352)</f>
        <v>0</v>
      </c>
    </row>
    <row r="2353">
      <c r="A2353" s="109">
        <f>IF(AND(F2353="",G2353=""),"",ROW()-6)</f>
      </c>
      <c r="B2353" s="140" t="n"/>
      <c r="C2353" s="141" t="n"/>
      <c r="D2353" s="141" t="n"/>
      <c r="E2353" s="142" t="n"/>
      <c r="F2353" s="143" t="n"/>
      <c r="G2353" s="144" t="n"/>
      <c r="H2353" s="145">
        <f>IF(OR(C2353="",AND(F2353="",G2353="")),"",SUMIF(基础资料!$W$5:$W$24,C2353,基础资料!$X$5:$X$24)+SUMIF(C$7:C2353,C2353,F$7:F2353)-SUMIF(C$7:C2353,C2353,G$7:G2353))</f>
      </c>
      <c r="I2353" s="145">
        <f>IF(AND(F2353="",G2353=""),"",SUM(基础资料!$X$5:$X$24)+SUM(F$7:F2353)-SUM(G$7:G2353))</f>
      </c>
      <c r="J2353" s="141" t="n"/>
      <c r="K2353" s="141" t="n"/>
      <c r="L2353" s="141" t="n"/>
      <c r="M2353" s="142" t="n"/>
      <c r="N2353" s="146">
        <f>IF(AND(AND(F2353="",G2353=""),B2353="",C2353="",D2353="",J2353="",K2353="",L2353=""),"",IF(AND(F2353="",G2353=""),"✗ 没填金额",IF(AND(N(F2353)&lt;&gt;0,N(G2353)&lt;&gt;0),"✗ 收入、支出只能填一边",IF(NOT(ISNUMBER(B2353)),"✗ 日期不是真日期（要像 2026/9/25 这样填）",IF(OR(B2353&lt;年初日,B2353&gt;年末日),"✗ 日期不在本会计年度",IF(C2353="","✗ 没选账户",IF(COUNTIF(基础资料!$W$5:$W$24,C2353)=0,"✗ 账户不在基础资料里",IF(O2353="","✗ 没选收支项目",IF(P2353="未知","✗ 收支项目不在基础资料里",IF(AND(P2353="应收",J2353=""),"✗ 这笔要选客户",IF(AND(P2353="应收",COUNTIF(总览汇总!$B$5:$B$304,J2353)=0),"✗ 客户不在总览汇总名单里",IF(AND(P2353="应付",K2353=""),"✗ 这笔要选供应商",IF(AND(P2353="应付",COUNTIF(基础资料!$Q$5:$Q$54,K2353)=0),"✗ 供应商不在基础资料里",IF(AND(P2353="费用",L2353=""),"✗ 费用支出要选费用项目",IF(AND(L2353&lt;&gt;"",COUNTIF(基础资料!$AI$5:$AI$54,L2353)=0),"✗ 费用项目不在基础资料里",IF(AND(IFERROR(INDEX(基础资料!$AD$5:$AD$34,MATCH(O2353,基础资料!$AC$5:$AC$34,0)),"")="收",N(G2353)&lt;&gt;0),"✗ 这类是收款，金额填到收入列",IF(AND(IFERROR(INDEX(基础资料!$AD$5:$AD$34,MATCH(O2353,基础资料!$AC$5:$AC$34,0)),"")="支",N(F2353)&lt;&gt;0),"✗ 这类是付款，金额填到支出列",IF(N(H2353)&lt;0,"⚠ 账户余额成负数了，核对一下","√"))))))))))))))))))</f>
      </c>
      <c r="O2353" s="78">
        <f>IF(D2353&lt;&gt;"",D2353,IF(AND(F2353="",G2353=""),"",IF(J2353&lt;&gt;"",IF(N(F2353)&gt;0,"客户回款","客户退款"),IF(K2353&lt;&gt;"",IF(N(G2353)&gt;0,"供应商付款","供应商退款"),IF(L2353&lt;&gt;"","费用支出","")))))</f>
      </c>
      <c r="P2353" s="78">
        <f>IF(O2353="","",IFERROR(INDEX(基础资料!$AE$5:$AE$34,MATCH(O2353,基础资料!$AC$5:$AC$34,0)),"未知"))</f>
      </c>
      <c r="Q2353" s="78">
        <f>IF(P2353="应收",COUNTIF(P$7:P2353,"应收"),"")</f>
      </c>
      <c r="R2353" s="78">
        <f>IF(P2353="应付",COUNTIF(P$7:P2353,"应付"),"")</f>
      </c>
      <c r="S2353" s="78">
        <f>N(F2353)-N(G2353)</f>
        <v>0</v>
      </c>
    </row>
    <row r="2354">
      <c r="A2354" s="109">
        <f>IF(AND(F2354="",G2354=""),"",ROW()-6)</f>
      </c>
      <c r="B2354" s="140" t="n"/>
      <c r="C2354" s="141" t="n"/>
      <c r="D2354" s="141" t="n"/>
      <c r="E2354" s="142" t="n"/>
      <c r="F2354" s="143" t="n"/>
      <c r="G2354" s="144" t="n"/>
      <c r="H2354" s="145">
        <f>IF(OR(C2354="",AND(F2354="",G2354="")),"",SUMIF(基础资料!$W$5:$W$24,C2354,基础资料!$X$5:$X$24)+SUMIF(C$7:C2354,C2354,F$7:F2354)-SUMIF(C$7:C2354,C2354,G$7:G2354))</f>
      </c>
      <c r="I2354" s="145">
        <f>IF(AND(F2354="",G2354=""),"",SUM(基础资料!$X$5:$X$24)+SUM(F$7:F2354)-SUM(G$7:G2354))</f>
      </c>
      <c r="J2354" s="141" t="n"/>
      <c r="K2354" s="141" t="n"/>
      <c r="L2354" s="141" t="n"/>
      <c r="M2354" s="142" t="n"/>
      <c r="N2354" s="146">
        <f>IF(AND(AND(F2354="",G2354=""),B2354="",C2354="",D2354="",J2354="",K2354="",L2354=""),"",IF(AND(F2354="",G2354=""),"✗ 没填金额",IF(AND(N(F2354)&lt;&gt;0,N(G2354)&lt;&gt;0),"✗ 收入、支出只能填一边",IF(NOT(ISNUMBER(B2354)),"✗ 日期不是真日期（要像 2026/9/25 这样填）",IF(OR(B2354&lt;年初日,B2354&gt;年末日),"✗ 日期不在本会计年度",IF(C2354="","✗ 没选账户",IF(COUNTIF(基础资料!$W$5:$W$24,C2354)=0,"✗ 账户不在基础资料里",IF(O2354="","✗ 没选收支项目",IF(P2354="未知","✗ 收支项目不在基础资料里",IF(AND(P2354="应收",J2354=""),"✗ 这笔要选客户",IF(AND(P2354="应收",COUNTIF(总览汇总!$B$5:$B$304,J2354)=0),"✗ 客户不在总览汇总名单里",IF(AND(P2354="应付",K2354=""),"✗ 这笔要选供应商",IF(AND(P2354="应付",COUNTIF(基础资料!$Q$5:$Q$54,K2354)=0),"✗ 供应商不在基础资料里",IF(AND(P2354="费用",L2354=""),"✗ 费用支出要选费用项目",IF(AND(L2354&lt;&gt;"",COUNTIF(基础资料!$AI$5:$AI$54,L2354)=0),"✗ 费用项目不在基础资料里",IF(AND(IFERROR(INDEX(基础资料!$AD$5:$AD$34,MATCH(O2354,基础资料!$AC$5:$AC$34,0)),"")="收",N(G2354)&lt;&gt;0),"✗ 这类是收款，金额填到收入列",IF(AND(IFERROR(INDEX(基础资料!$AD$5:$AD$34,MATCH(O2354,基础资料!$AC$5:$AC$34,0)),"")="支",N(F2354)&lt;&gt;0),"✗ 这类是付款，金额填到支出列",IF(N(H2354)&lt;0,"⚠ 账户余额成负数了，核对一下","√"))))))))))))))))))</f>
      </c>
      <c r="O2354" s="78">
        <f>IF(D2354&lt;&gt;"",D2354,IF(AND(F2354="",G2354=""),"",IF(J2354&lt;&gt;"",IF(N(F2354)&gt;0,"客户回款","客户退款"),IF(K2354&lt;&gt;"",IF(N(G2354)&gt;0,"供应商付款","供应商退款"),IF(L2354&lt;&gt;"","费用支出","")))))</f>
      </c>
      <c r="P2354" s="78">
        <f>IF(O2354="","",IFERROR(INDEX(基础资料!$AE$5:$AE$34,MATCH(O2354,基础资料!$AC$5:$AC$34,0)),"未知"))</f>
      </c>
      <c r="Q2354" s="78">
        <f>IF(P2354="应收",COUNTIF(P$7:P2354,"应收"),"")</f>
      </c>
      <c r="R2354" s="78">
        <f>IF(P2354="应付",COUNTIF(P$7:P2354,"应付"),"")</f>
      </c>
      <c r="S2354" s="78">
        <f>N(F2354)-N(G2354)</f>
        <v>0</v>
      </c>
    </row>
    <row r="2355">
      <c r="A2355" s="109">
        <f>IF(AND(F2355="",G2355=""),"",ROW()-6)</f>
      </c>
      <c r="B2355" s="140" t="n"/>
      <c r="C2355" s="141" t="n"/>
      <c r="D2355" s="141" t="n"/>
      <c r="E2355" s="142" t="n"/>
      <c r="F2355" s="143" t="n"/>
      <c r="G2355" s="144" t="n"/>
      <c r="H2355" s="145">
        <f>IF(OR(C2355="",AND(F2355="",G2355="")),"",SUMIF(基础资料!$W$5:$W$24,C2355,基础资料!$X$5:$X$24)+SUMIF(C$7:C2355,C2355,F$7:F2355)-SUMIF(C$7:C2355,C2355,G$7:G2355))</f>
      </c>
      <c r="I2355" s="145">
        <f>IF(AND(F2355="",G2355=""),"",SUM(基础资料!$X$5:$X$24)+SUM(F$7:F2355)-SUM(G$7:G2355))</f>
      </c>
      <c r="J2355" s="141" t="n"/>
      <c r="K2355" s="141" t="n"/>
      <c r="L2355" s="141" t="n"/>
      <c r="M2355" s="142" t="n"/>
      <c r="N2355" s="146">
        <f>IF(AND(AND(F2355="",G2355=""),B2355="",C2355="",D2355="",J2355="",K2355="",L2355=""),"",IF(AND(F2355="",G2355=""),"✗ 没填金额",IF(AND(N(F2355)&lt;&gt;0,N(G2355)&lt;&gt;0),"✗ 收入、支出只能填一边",IF(NOT(ISNUMBER(B2355)),"✗ 日期不是真日期（要像 2026/9/25 这样填）",IF(OR(B2355&lt;年初日,B2355&gt;年末日),"✗ 日期不在本会计年度",IF(C2355="","✗ 没选账户",IF(COUNTIF(基础资料!$W$5:$W$24,C2355)=0,"✗ 账户不在基础资料里",IF(O2355="","✗ 没选收支项目",IF(P2355="未知","✗ 收支项目不在基础资料里",IF(AND(P2355="应收",J2355=""),"✗ 这笔要选客户",IF(AND(P2355="应收",COUNTIF(总览汇总!$B$5:$B$304,J2355)=0),"✗ 客户不在总览汇总名单里",IF(AND(P2355="应付",K2355=""),"✗ 这笔要选供应商",IF(AND(P2355="应付",COUNTIF(基础资料!$Q$5:$Q$54,K2355)=0),"✗ 供应商不在基础资料里",IF(AND(P2355="费用",L2355=""),"✗ 费用支出要选费用项目",IF(AND(L2355&lt;&gt;"",COUNTIF(基础资料!$AI$5:$AI$54,L2355)=0),"✗ 费用项目不在基础资料里",IF(AND(IFERROR(INDEX(基础资料!$AD$5:$AD$34,MATCH(O2355,基础资料!$AC$5:$AC$34,0)),"")="收",N(G2355)&lt;&gt;0),"✗ 这类是收款，金额填到收入列",IF(AND(IFERROR(INDEX(基础资料!$AD$5:$AD$34,MATCH(O2355,基础资料!$AC$5:$AC$34,0)),"")="支",N(F2355)&lt;&gt;0),"✗ 这类是付款，金额填到支出列",IF(N(H2355)&lt;0,"⚠ 账户余额成负数了，核对一下","√"))))))))))))))))))</f>
      </c>
      <c r="O2355" s="78">
        <f>IF(D2355&lt;&gt;"",D2355,IF(AND(F2355="",G2355=""),"",IF(J2355&lt;&gt;"",IF(N(F2355)&gt;0,"客户回款","客户退款"),IF(K2355&lt;&gt;"",IF(N(G2355)&gt;0,"供应商付款","供应商退款"),IF(L2355&lt;&gt;"","费用支出","")))))</f>
      </c>
      <c r="P2355" s="78">
        <f>IF(O2355="","",IFERROR(INDEX(基础资料!$AE$5:$AE$34,MATCH(O2355,基础资料!$AC$5:$AC$34,0)),"未知"))</f>
      </c>
      <c r="Q2355" s="78">
        <f>IF(P2355="应收",COUNTIF(P$7:P2355,"应收"),"")</f>
      </c>
      <c r="R2355" s="78">
        <f>IF(P2355="应付",COUNTIF(P$7:P2355,"应付"),"")</f>
      </c>
      <c r="S2355" s="78">
        <f>N(F2355)-N(G2355)</f>
        <v>0</v>
      </c>
    </row>
    <row r="2356">
      <c r="A2356" s="109">
        <f>IF(AND(F2356="",G2356=""),"",ROW()-6)</f>
      </c>
      <c r="B2356" s="140" t="n"/>
      <c r="C2356" s="141" t="n"/>
      <c r="D2356" s="141" t="n"/>
      <c r="E2356" s="142" t="n"/>
      <c r="F2356" s="143" t="n"/>
      <c r="G2356" s="144" t="n"/>
      <c r="H2356" s="145">
        <f>IF(OR(C2356="",AND(F2356="",G2356="")),"",SUMIF(基础资料!$W$5:$W$24,C2356,基础资料!$X$5:$X$24)+SUMIF(C$7:C2356,C2356,F$7:F2356)-SUMIF(C$7:C2356,C2356,G$7:G2356))</f>
      </c>
      <c r="I2356" s="145">
        <f>IF(AND(F2356="",G2356=""),"",SUM(基础资料!$X$5:$X$24)+SUM(F$7:F2356)-SUM(G$7:G2356))</f>
      </c>
      <c r="J2356" s="141" t="n"/>
      <c r="K2356" s="141" t="n"/>
      <c r="L2356" s="141" t="n"/>
      <c r="M2356" s="142" t="n"/>
      <c r="N2356" s="146">
        <f>IF(AND(AND(F2356="",G2356=""),B2356="",C2356="",D2356="",J2356="",K2356="",L2356=""),"",IF(AND(F2356="",G2356=""),"✗ 没填金额",IF(AND(N(F2356)&lt;&gt;0,N(G2356)&lt;&gt;0),"✗ 收入、支出只能填一边",IF(NOT(ISNUMBER(B2356)),"✗ 日期不是真日期（要像 2026/9/25 这样填）",IF(OR(B2356&lt;年初日,B2356&gt;年末日),"✗ 日期不在本会计年度",IF(C2356="","✗ 没选账户",IF(COUNTIF(基础资料!$W$5:$W$24,C2356)=0,"✗ 账户不在基础资料里",IF(O2356="","✗ 没选收支项目",IF(P2356="未知","✗ 收支项目不在基础资料里",IF(AND(P2356="应收",J2356=""),"✗ 这笔要选客户",IF(AND(P2356="应收",COUNTIF(总览汇总!$B$5:$B$304,J2356)=0),"✗ 客户不在总览汇总名单里",IF(AND(P2356="应付",K2356=""),"✗ 这笔要选供应商",IF(AND(P2356="应付",COUNTIF(基础资料!$Q$5:$Q$54,K2356)=0),"✗ 供应商不在基础资料里",IF(AND(P2356="费用",L2356=""),"✗ 费用支出要选费用项目",IF(AND(L2356&lt;&gt;"",COUNTIF(基础资料!$AI$5:$AI$54,L2356)=0),"✗ 费用项目不在基础资料里",IF(AND(IFERROR(INDEX(基础资料!$AD$5:$AD$34,MATCH(O2356,基础资料!$AC$5:$AC$34,0)),"")="收",N(G2356)&lt;&gt;0),"✗ 这类是收款，金额填到收入列",IF(AND(IFERROR(INDEX(基础资料!$AD$5:$AD$34,MATCH(O2356,基础资料!$AC$5:$AC$34,0)),"")="支",N(F2356)&lt;&gt;0),"✗ 这类是付款，金额填到支出列",IF(N(H2356)&lt;0,"⚠ 账户余额成负数了，核对一下","√"))))))))))))))))))</f>
      </c>
      <c r="O2356" s="78">
        <f>IF(D2356&lt;&gt;"",D2356,IF(AND(F2356="",G2356=""),"",IF(J2356&lt;&gt;"",IF(N(F2356)&gt;0,"客户回款","客户退款"),IF(K2356&lt;&gt;"",IF(N(G2356)&gt;0,"供应商付款","供应商退款"),IF(L2356&lt;&gt;"","费用支出","")))))</f>
      </c>
      <c r="P2356" s="78">
        <f>IF(O2356="","",IFERROR(INDEX(基础资料!$AE$5:$AE$34,MATCH(O2356,基础资料!$AC$5:$AC$34,0)),"未知"))</f>
      </c>
      <c r="Q2356" s="78">
        <f>IF(P2356="应收",COUNTIF(P$7:P2356,"应收"),"")</f>
      </c>
      <c r="R2356" s="78">
        <f>IF(P2356="应付",COUNTIF(P$7:P2356,"应付"),"")</f>
      </c>
      <c r="S2356" s="78">
        <f>N(F2356)-N(G2356)</f>
        <v>0</v>
      </c>
    </row>
    <row r="2357">
      <c r="A2357" s="109">
        <f>IF(AND(F2357="",G2357=""),"",ROW()-6)</f>
      </c>
      <c r="B2357" s="140" t="n"/>
      <c r="C2357" s="141" t="n"/>
      <c r="D2357" s="141" t="n"/>
      <c r="E2357" s="142" t="n"/>
      <c r="F2357" s="143" t="n"/>
      <c r="G2357" s="144" t="n"/>
      <c r="H2357" s="145">
        <f>IF(OR(C2357="",AND(F2357="",G2357="")),"",SUMIF(基础资料!$W$5:$W$24,C2357,基础资料!$X$5:$X$24)+SUMIF(C$7:C2357,C2357,F$7:F2357)-SUMIF(C$7:C2357,C2357,G$7:G2357))</f>
      </c>
      <c r="I2357" s="145">
        <f>IF(AND(F2357="",G2357=""),"",SUM(基础资料!$X$5:$X$24)+SUM(F$7:F2357)-SUM(G$7:G2357))</f>
      </c>
      <c r="J2357" s="141" t="n"/>
      <c r="K2357" s="141" t="n"/>
      <c r="L2357" s="141" t="n"/>
      <c r="M2357" s="142" t="n"/>
      <c r="N2357" s="146">
        <f>IF(AND(AND(F2357="",G2357=""),B2357="",C2357="",D2357="",J2357="",K2357="",L2357=""),"",IF(AND(F2357="",G2357=""),"✗ 没填金额",IF(AND(N(F2357)&lt;&gt;0,N(G2357)&lt;&gt;0),"✗ 收入、支出只能填一边",IF(NOT(ISNUMBER(B2357)),"✗ 日期不是真日期（要像 2026/9/25 这样填）",IF(OR(B2357&lt;年初日,B2357&gt;年末日),"✗ 日期不在本会计年度",IF(C2357="","✗ 没选账户",IF(COUNTIF(基础资料!$W$5:$W$24,C2357)=0,"✗ 账户不在基础资料里",IF(O2357="","✗ 没选收支项目",IF(P2357="未知","✗ 收支项目不在基础资料里",IF(AND(P2357="应收",J2357=""),"✗ 这笔要选客户",IF(AND(P2357="应收",COUNTIF(总览汇总!$B$5:$B$304,J2357)=0),"✗ 客户不在总览汇总名单里",IF(AND(P2357="应付",K2357=""),"✗ 这笔要选供应商",IF(AND(P2357="应付",COUNTIF(基础资料!$Q$5:$Q$54,K2357)=0),"✗ 供应商不在基础资料里",IF(AND(P2357="费用",L2357=""),"✗ 费用支出要选费用项目",IF(AND(L2357&lt;&gt;"",COUNTIF(基础资料!$AI$5:$AI$54,L2357)=0),"✗ 费用项目不在基础资料里",IF(AND(IFERROR(INDEX(基础资料!$AD$5:$AD$34,MATCH(O2357,基础资料!$AC$5:$AC$34,0)),"")="收",N(G2357)&lt;&gt;0),"✗ 这类是收款，金额填到收入列",IF(AND(IFERROR(INDEX(基础资料!$AD$5:$AD$34,MATCH(O2357,基础资料!$AC$5:$AC$34,0)),"")="支",N(F2357)&lt;&gt;0),"✗ 这类是付款，金额填到支出列",IF(N(H2357)&lt;0,"⚠ 账户余额成负数了，核对一下","√"))))))))))))))))))</f>
      </c>
      <c r="O2357" s="78">
        <f>IF(D2357&lt;&gt;"",D2357,IF(AND(F2357="",G2357=""),"",IF(J2357&lt;&gt;"",IF(N(F2357)&gt;0,"客户回款","客户退款"),IF(K2357&lt;&gt;"",IF(N(G2357)&gt;0,"供应商付款","供应商退款"),IF(L2357&lt;&gt;"","费用支出","")))))</f>
      </c>
      <c r="P2357" s="78">
        <f>IF(O2357="","",IFERROR(INDEX(基础资料!$AE$5:$AE$34,MATCH(O2357,基础资料!$AC$5:$AC$34,0)),"未知"))</f>
      </c>
      <c r="Q2357" s="78">
        <f>IF(P2357="应收",COUNTIF(P$7:P2357,"应收"),"")</f>
      </c>
      <c r="R2357" s="78">
        <f>IF(P2357="应付",COUNTIF(P$7:P2357,"应付"),"")</f>
      </c>
      <c r="S2357" s="78">
        <f>N(F2357)-N(G2357)</f>
        <v>0</v>
      </c>
    </row>
    <row r="2358">
      <c r="A2358" s="109">
        <f>IF(AND(F2358="",G2358=""),"",ROW()-6)</f>
      </c>
      <c r="B2358" s="140" t="n"/>
      <c r="C2358" s="141" t="n"/>
      <c r="D2358" s="141" t="n"/>
      <c r="E2358" s="142" t="n"/>
      <c r="F2358" s="143" t="n"/>
      <c r="G2358" s="144" t="n"/>
      <c r="H2358" s="145">
        <f>IF(OR(C2358="",AND(F2358="",G2358="")),"",SUMIF(基础资料!$W$5:$W$24,C2358,基础资料!$X$5:$X$24)+SUMIF(C$7:C2358,C2358,F$7:F2358)-SUMIF(C$7:C2358,C2358,G$7:G2358))</f>
      </c>
      <c r="I2358" s="145">
        <f>IF(AND(F2358="",G2358=""),"",SUM(基础资料!$X$5:$X$24)+SUM(F$7:F2358)-SUM(G$7:G2358))</f>
      </c>
      <c r="J2358" s="141" t="n"/>
      <c r="K2358" s="141" t="n"/>
      <c r="L2358" s="141" t="n"/>
      <c r="M2358" s="142" t="n"/>
      <c r="N2358" s="146">
        <f>IF(AND(AND(F2358="",G2358=""),B2358="",C2358="",D2358="",J2358="",K2358="",L2358=""),"",IF(AND(F2358="",G2358=""),"✗ 没填金额",IF(AND(N(F2358)&lt;&gt;0,N(G2358)&lt;&gt;0),"✗ 收入、支出只能填一边",IF(NOT(ISNUMBER(B2358)),"✗ 日期不是真日期（要像 2026/9/25 这样填）",IF(OR(B2358&lt;年初日,B2358&gt;年末日),"✗ 日期不在本会计年度",IF(C2358="","✗ 没选账户",IF(COUNTIF(基础资料!$W$5:$W$24,C2358)=0,"✗ 账户不在基础资料里",IF(O2358="","✗ 没选收支项目",IF(P2358="未知","✗ 收支项目不在基础资料里",IF(AND(P2358="应收",J2358=""),"✗ 这笔要选客户",IF(AND(P2358="应收",COUNTIF(总览汇总!$B$5:$B$304,J2358)=0),"✗ 客户不在总览汇总名单里",IF(AND(P2358="应付",K2358=""),"✗ 这笔要选供应商",IF(AND(P2358="应付",COUNTIF(基础资料!$Q$5:$Q$54,K2358)=0),"✗ 供应商不在基础资料里",IF(AND(P2358="费用",L2358=""),"✗ 费用支出要选费用项目",IF(AND(L2358&lt;&gt;"",COUNTIF(基础资料!$AI$5:$AI$54,L2358)=0),"✗ 费用项目不在基础资料里",IF(AND(IFERROR(INDEX(基础资料!$AD$5:$AD$34,MATCH(O2358,基础资料!$AC$5:$AC$34,0)),"")="收",N(G2358)&lt;&gt;0),"✗ 这类是收款，金额填到收入列",IF(AND(IFERROR(INDEX(基础资料!$AD$5:$AD$34,MATCH(O2358,基础资料!$AC$5:$AC$34,0)),"")="支",N(F2358)&lt;&gt;0),"✗ 这类是付款，金额填到支出列",IF(N(H2358)&lt;0,"⚠ 账户余额成负数了，核对一下","√"))))))))))))))))))</f>
      </c>
      <c r="O2358" s="78">
        <f>IF(D2358&lt;&gt;"",D2358,IF(AND(F2358="",G2358=""),"",IF(J2358&lt;&gt;"",IF(N(F2358)&gt;0,"客户回款","客户退款"),IF(K2358&lt;&gt;"",IF(N(G2358)&gt;0,"供应商付款","供应商退款"),IF(L2358&lt;&gt;"","费用支出","")))))</f>
      </c>
      <c r="P2358" s="78">
        <f>IF(O2358="","",IFERROR(INDEX(基础资料!$AE$5:$AE$34,MATCH(O2358,基础资料!$AC$5:$AC$34,0)),"未知"))</f>
      </c>
      <c r="Q2358" s="78">
        <f>IF(P2358="应收",COUNTIF(P$7:P2358,"应收"),"")</f>
      </c>
      <c r="R2358" s="78">
        <f>IF(P2358="应付",COUNTIF(P$7:P2358,"应付"),"")</f>
      </c>
      <c r="S2358" s="78">
        <f>N(F2358)-N(G2358)</f>
        <v>0</v>
      </c>
    </row>
    <row r="2359">
      <c r="A2359" s="109">
        <f>IF(AND(F2359="",G2359=""),"",ROW()-6)</f>
      </c>
      <c r="B2359" s="140" t="n"/>
      <c r="C2359" s="141" t="n"/>
      <c r="D2359" s="141" t="n"/>
      <c r="E2359" s="142" t="n"/>
      <c r="F2359" s="143" t="n"/>
      <c r="G2359" s="144" t="n"/>
      <c r="H2359" s="145">
        <f>IF(OR(C2359="",AND(F2359="",G2359="")),"",SUMIF(基础资料!$W$5:$W$24,C2359,基础资料!$X$5:$X$24)+SUMIF(C$7:C2359,C2359,F$7:F2359)-SUMIF(C$7:C2359,C2359,G$7:G2359))</f>
      </c>
      <c r="I2359" s="145">
        <f>IF(AND(F2359="",G2359=""),"",SUM(基础资料!$X$5:$X$24)+SUM(F$7:F2359)-SUM(G$7:G2359))</f>
      </c>
      <c r="J2359" s="141" t="n"/>
      <c r="K2359" s="141" t="n"/>
      <c r="L2359" s="141" t="n"/>
      <c r="M2359" s="142" t="n"/>
      <c r="N2359" s="146">
        <f>IF(AND(AND(F2359="",G2359=""),B2359="",C2359="",D2359="",J2359="",K2359="",L2359=""),"",IF(AND(F2359="",G2359=""),"✗ 没填金额",IF(AND(N(F2359)&lt;&gt;0,N(G2359)&lt;&gt;0),"✗ 收入、支出只能填一边",IF(NOT(ISNUMBER(B2359)),"✗ 日期不是真日期（要像 2026/9/25 这样填）",IF(OR(B2359&lt;年初日,B2359&gt;年末日),"✗ 日期不在本会计年度",IF(C2359="","✗ 没选账户",IF(COUNTIF(基础资料!$W$5:$W$24,C2359)=0,"✗ 账户不在基础资料里",IF(O2359="","✗ 没选收支项目",IF(P2359="未知","✗ 收支项目不在基础资料里",IF(AND(P2359="应收",J2359=""),"✗ 这笔要选客户",IF(AND(P2359="应收",COUNTIF(总览汇总!$B$5:$B$304,J2359)=0),"✗ 客户不在总览汇总名单里",IF(AND(P2359="应付",K2359=""),"✗ 这笔要选供应商",IF(AND(P2359="应付",COUNTIF(基础资料!$Q$5:$Q$54,K2359)=0),"✗ 供应商不在基础资料里",IF(AND(P2359="费用",L2359=""),"✗ 费用支出要选费用项目",IF(AND(L2359&lt;&gt;"",COUNTIF(基础资料!$AI$5:$AI$54,L2359)=0),"✗ 费用项目不在基础资料里",IF(AND(IFERROR(INDEX(基础资料!$AD$5:$AD$34,MATCH(O2359,基础资料!$AC$5:$AC$34,0)),"")="收",N(G2359)&lt;&gt;0),"✗ 这类是收款，金额填到收入列",IF(AND(IFERROR(INDEX(基础资料!$AD$5:$AD$34,MATCH(O2359,基础资料!$AC$5:$AC$34,0)),"")="支",N(F2359)&lt;&gt;0),"✗ 这类是付款，金额填到支出列",IF(N(H2359)&lt;0,"⚠ 账户余额成负数了，核对一下","√"))))))))))))))))))</f>
      </c>
      <c r="O2359" s="78">
        <f>IF(D2359&lt;&gt;"",D2359,IF(AND(F2359="",G2359=""),"",IF(J2359&lt;&gt;"",IF(N(F2359)&gt;0,"客户回款","客户退款"),IF(K2359&lt;&gt;"",IF(N(G2359)&gt;0,"供应商付款","供应商退款"),IF(L2359&lt;&gt;"","费用支出","")))))</f>
      </c>
      <c r="P2359" s="78">
        <f>IF(O2359="","",IFERROR(INDEX(基础资料!$AE$5:$AE$34,MATCH(O2359,基础资料!$AC$5:$AC$34,0)),"未知"))</f>
      </c>
      <c r="Q2359" s="78">
        <f>IF(P2359="应收",COUNTIF(P$7:P2359,"应收"),"")</f>
      </c>
      <c r="R2359" s="78">
        <f>IF(P2359="应付",COUNTIF(P$7:P2359,"应付"),"")</f>
      </c>
      <c r="S2359" s="78">
        <f>N(F2359)-N(G2359)</f>
        <v>0</v>
      </c>
    </row>
    <row r="2360">
      <c r="A2360" s="109">
        <f>IF(AND(F2360="",G2360=""),"",ROW()-6)</f>
      </c>
      <c r="B2360" s="140" t="n"/>
      <c r="C2360" s="141" t="n"/>
      <c r="D2360" s="141" t="n"/>
      <c r="E2360" s="142" t="n"/>
      <c r="F2360" s="143" t="n"/>
      <c r="G2360" s="144" t="n"/>
      <c r="H2360" s="145">
        <f>IF(OR(C2360="",AND(F2360="",G2360="")),"",SUMIF(基础资料!$W$5:$W$24,C2360,基础资料!$X$5:$X$24)+SUMIF(C$7:C2360,C2360,F$7:F2360)-SUMIF(C$7:C2360,C2360,G$7:G2360))</f>
      </c>
      <c r="I2360" s="145">
        <f>IF(AND(F2360="",G2360=""),"",SUM(基础资料!$X$5:$X$24)+SUM(F$7:F2360)-SUM(G$7:G2360))</f>
      </c>
      <c r="J2360" s="141" t="n"/>
      <c r="K2360" s="141" t="n"/>
      <c r="L2360" s="141" t="n"/>
      <c r="M2360" s="142" t="n"/>
      <c r="N2360" s="146">
        <f>IF(AND(AND(F2360="",G2360=""),B2360="",C2360="",D2360="",J2360="",K2360="",L2360=""),"",IF(AND(F2360="",G2360=""),"✗ 没填金额",IF(AND(N(F2360)&lt;&gt;0,N(G2360)&lt;&gt;0),"✗ 收入、支出只能填一边",IF(NOT(ISNUMBER(B2360)),"✗ 日期不是真日期（要像 2026/9/25 这样填）",IF(OR(B2360&lt;年初日,B2360&gt;年末日),"✗ 日期不在本会计年度",IF(C2360="","✗ 没选账户",IF(COUNTIF(基础资料!$W$5:$W$24,C2360)=0,"✗ 账户不在基础资料里",IF(O2360="","✗ 没选收支项目",IF(P2360="未知","✗ 收支项目不在基础资料里",IF(AND(P2360="应收",J2360=""),"✗ 这笔要选客户",IF(AND(P2360="应收",COUNTIF(总览汇总!$B$5:$B$304,J2360)=0),"✗ 客户不在总览汇总名单里",IF(AND(P2360="应付",K2360=""),"✗ 这笔要选供应商",IF(AND(P2360="应付",COUNTIF(基础资料!$Q$5:$Q$54,K2360)=0),"✗ 供应商不在基础资料里",IF(AND(P2360="费用",L2360=""),"✗ 费用支出要选费用项目",IF(AND(L2360&lt;&gt;"",COUNTIF(基础资料!$AI$5:$AI$54,L2360)=0),"✗ 费用项目不在基础资料里",IF(AND(IFERROR(INDEX(基础资料!$AD$5:$AD$34,MATCH(O2360,基础资料!$AC$5:$AC$34,0)),"")="收",N(G2360)&lt;&gt;0),"✗ 这类是收款，金额填到收入列",IF(AND(IFERROR(INDEX(基础资料!$AD$5:$AD$34,MATCH(O2360,基础资料!$AC$5:$AC$34,0)),"")="支",N(F2360)&lt;&gt;0),"✗ 这类是付款，金额填到支出列",IF(N(H2360)&lt;0,"⚠ 账户余额成负数了，核对一下","√"))))))))))))))))))</f>
      </c>
      <c r="O2360" s="78">
        <f>IF(D2360&lt;&gt;"",D2360,IF(AND(F2360="",G2360=""),"",IF(J2360&lt;&gt;"",IF(N(F2360)&gt;0,"客户回款","客户退款"),IF(K2360&lt;&gt;"",IF(N(G2360)&gt;0,"供应商付款","供应商退款"),IF(L2360&lt;&gt;"","费用支出","")))))</f>
      </c>
      <c r="P2360" s="78">
        <f>IF(O2360="","",IFERROR(INDEX(基础资料!$AE$5:$AE$34,MATCH(O2360,基础资料!$AC$5:$AC$34,0)),"未知"))</f>
      </c>
      <c r="Q2360" s="78">
        <f>IF(P2360="应收",COUNTIF(P$7:P2360,"应收"),"")</f>
      </c>
      <c r="R2360" s="78">
        <f>IF(P2360="应付",COUNTIF(P$7:P2360,"应付"),"")</f>
      </c>
      <c r="S2360" s="78">
        <f>N(F2360)-N(G2360)</f>
        <v>0</v>
      </c>
    </row>
    <row r="2361">
      <c r="A2361" s="109">
        <f>IF(AND(F2361="",G2361=""),"",ROW()-6)</f>
      </c>
      <c r="B2361" s="140" t="n"/>
      <c r="C2361" s="141" t="n"/>
      <c r="D2361" s="141" t="n"/>
      <c r="E2361" s="142" t="n"/>
      <c r="F2361" s="143" t="n"/>
      <c r="G2361" s="144" t="n"/>
      <c r="H2361" s="145">
        <f>IF(OR(C2361="",AND(F2361="",G2361="")),"",SUMIF(基础资料!$W$5:$W$24,C2361,基础资料!$X$5:$X$24)+SUMIF(C$7:C2361,C2361,F$7:F2361)-SUMIF(C$7:C2361,C2361,G$7:G2361))</f>
      </c>
      <c r="I2361" s="145">
        <f>IF(AND(F2361="",G2361=""),"",SUM(基础资料!$X$5:$X$24)+SUM(F$7:F2361)-SUM(G$7:G2361))</f>
      </c>
      <c r="J2361" s="141" t="n"/>
      <c r="K2361" s="141" t="n"/>
      <c r="L2361" s="141" t="n"/>
      <c r="M2361" s="142" t="n"/>
      <c r="N2361" s="146">
        <f>IF(AND(AND(F2361="",G2361=""),B2361="",C2361="",D2361="",J2361="",K2361="",L2361=""),"",IF(AND(F2361="",G2361=""),"✗ 没填金额",IF(AND(N(F2361)&lt;&gt;0,N(G2361)&lt;&gt;0),"✗ 收入、支出只能填一边",IF(NOT(ISNUMBER(B2361)),"✗ 日期不是真日期（要像 2026/9/25 这样填）",IF(OR(B2361&lt;年初日,B2361&gt;年末日),"✗ 日期不在本会计年度",IF(C2361="","✗ 没选账户",IF(COUNTIF(基础资料!$W$5:$W$24,C2361)=0,"✗ 账户不在基础资料里",IF(O2361="","✗ 没选收支项目",IF(P2361="未知","✗ 收支项目不在基础资料里",IF(AND(P2361="应收",J2361=""),"✗ 这笔要选客户",IF(AND(P2361="应收",COUNTIF(总览汇总!$B$5:$B$304,J2361)=0),"✗ 客户不在总览汇总名单里",IF(AND(P2361="应付",K2361=""),"✗ 这笔要选供应商",IF(AND(P2361="应付",COUNTIF(基础资料!$Q$5:$Q$54,K2361)=0),"✗ 供应商不在基础资料里",IF(AND(P2361="费用",L2361=""),"✗ 费用支出要选费用项目",IF(AND(L2361&lt;&gt;"",COUNTIF(基础资料!$AI$5:$AI$54,L2361)=0),"✗ 费用项目不在基础资料里",IF(AND(IFERROR(INDEX(基础资料!$AD$5:$AD$34,MATCH(O2361,基础资料!$AC$5:$AC$34,0)),"")="收",N(G2361)&lt;&gt;0),"✗ 这类是收款，金额填到收入列",IF(AND(IFERROR(INDEX(基础资料!$AD$5:$AD$34,MATCH(O2361,基础资料!$AC$5:$AC$34,0)),"")="支",N(F2361)&lt;&gt;0),"✗ 这类是付款，金额填到支出列",IF(N(H2361)&lt;0,"⚠ 账户余额成负数了，核对一下","√"))))))))))))))))))</f>
      </c>
      <c r="O2361" s="78">
        <f>IF(D2361&lt;&gt;"",D2361,IF(AND(F2361="",G2361=""),"",IF(J2361&lt;&gt;"",IF(N(F2361)&gt;0,"客户回款","客户退款"),IF(K2361&lt;&gt;"",IF(N(G2361)&gt;0,"供应商付款","供应商退款"),IF(L2361&lt;&gt;"","费用支出","")))))</f>
      </c>
      <c r="P2361" s="78">
        <f>IF(O2361="","",IFERROR(INDEX(基础资料!$AE$5:$AE$34,MATCH(O2361,基础资料!$AC$5:$AC$34,0)),"未知"))</f>
      </c>
      <c r="Q2361" s="78">
        <f>IF(P2361="应收",COUNTIF(P$7:P2361,"应收"),"")</f>
      </c>
      <c r="R2361" s="78">
        <f>IF(P2361="应付",COUNTIF(P$7:P2361,"应付"),"")</f>
      </c>
      <c r="S2361" s="78">
        <f>N(F2361)-N(G2361)</f>
        <v>0</v>
      </c>
    </row>
    <row r="2362">
      <c r="A2362" s="109">
        <f>IF(AND(F2362="",G2362=""),"",ROW()-6)</f>
      </c>
      <c r="B2362" s="140" t="n"/>
      <c r="C2362" s="141" t="n"/>
      <c r="D2362" s="141" t="n"/>
      <c r="E2362" s="142" t="n"/>
      <c r="F2362" s="143" t="n"/>
      <c r="G2362" s="144" t="n"/>
      <c r="H2362" s="145">
        <f>IF(OR(C2362="",AND(F2362="",G2362="")),"",SUMIF(基础资料!$W$5:$W$24,C2362,基础资料!$X$5:$X$24)+SUMIF(C$7:C2362,C2362,F$7:F2362)-SUMIF(C$7:C2362,C2362,G$7:G2362))</f>
      </c>
      <c r="I2362" s="145">
        <f>IF(AND(F2362="",G2362=""),"",SUM(基础资料!$X$5:$X$24)+SUM(F$7:F2362)-SUM(G$7:G2362))</f>
      </c>
      <c r="J2362" s="141" t="n"/>
      <c r="K2362" s="141" t="n"/>
      <c r="L2362" s="141" t="n"/>
      <c r="M2362" s="142" t="n"/>
      <c r="N2362" s="146">
        <f>IF(AND(AND(F2362="",G2362=""),B2362="",C2362="",D2362="",J2362="",K2362="",L2362=""),"",IF(AND(F2362="",G2362=""),"✗ 没填金额",IF(AND(N(F2362)&lt;&gt;0,N(G2362)&lt;&gt;0),"✗ 收入、支出只能填一边",IF(NOT(ISNUMBER(B2362)),"✗ 日期不是真日期（要像 2026/9/25 这样填）",IF(OR(B2362&lt;年初日,B2362&gt;年末日),"✗ 日期不在本会计年度",IF(C2362="","✗ 没选账户",IF(COUNTIF(基础资料!$W$5:$W$24,C2362)=0,"✗ 账户不在基础资料里",IF(O2362="","✗ 没选收支项目",IF(P2362="未知","✗ 收支项目不在基础资料里",IF(AND(P2362="应收",J2362=""),"✗ 这笔要选客户",IF(AND(P2362="应收",COUNTIF(总览汇总!$B$5:$B$304,J2362)=0),"✗ 客户不在总览汇总名单里",IF(AND(P2362="应付",K2362=""),"✗ 这笔要选供应商",IF(AND(P2362="应付",COUNTIF(基础资料!$Q$5:$Q$54,K2362)=0),"✗ 供应商不在基础资料里",IF(AND(P2362="费用",L2362=""),"✗ 费用支出要选费用项目",IF(AND(L2362&lt;&gt;"",COUNTIF(基础资料!$AI$5:$AI$54,L2362)=0),"✗ 费用项目不在基础资料里",IF(AND(IFERROR(INDEX(基础资料!$AD$5:$AD$34,MATCH(O2362,基础资料!$AC$5:$AC$34,0)),"")="收",N(G2362)&lt;&gt;0),"✗ 这类是收款，金额填到收入列",IF(AND(IFERROR(INDEX(基础资料!$AD$5:$AD$34,MATCH(O2362,基础资料!$AC$5:$AC$34,0)),"")="支",N(F2362)&lt;&gt;0),"✗ 这类是付款，金额填到支出列",IF(N(H2362)&lt;0,"⚠ 账户余额成负数了，核对一下","√"))))))))))))))))))</f>
      </c>
      <c r="O2362" s="78">
        <f>IF(D2362&lt;&gt;"",D2362,IF(AND(F2362="",G2362=""),"",IF(J2362&lt;&gt;"",IF(N(F2362)&gt;0,"客户回款","客户退款"),IF(K2362&lt;&gt;"",IF(N(G2362)&gt;0,"供应商付款","供应商退款"),IF(L2362&lt;&gt;"","费用支出","")))))</f>
      </c>
      <c r="P2362" s="78">
        <f>IF(O2362="","",IFERROR(INDEX(基础资料!$AE$5:$AE$34,MATCH(O2362,基础资料!$AC$5:$AC$34,0)),"未知"))</f>
      </c>
      <c r="Q2362" s="78">
        <f>IF(P2362="应收",COUNTIF(P$7:P2362,"应收"),"")</f>
      </c>
      <c r="R2362" s="78">
        <f>IF(P2362="应付",COUNTIF(P$7:P2362,"应付"),"")</f>
      </c>
      <c r="S2362" s="78">
        <f>N(F2362)-N(G2362)</f>
        <v>0</v>
      </c>
    </row>
    <row r="2363">
      <c r="A2363" s="109">
        <f>IF(AND(F2363="",G2363=""),"",ROW()-6)</f>
      </c>
      <c r="B2363" s="140" t="n"/>
      <c r="C2363" s="141" t="n"/>
      <c r="D2363" s="141" t="n"/>
      <c r="E2363" s="142" t="n"/>
      <c r="F2363" s="143" t="n"/>
      <c r="G2363" s="144" t="n"/>
      <c r="H2363" s="145">
        <f>IF(OR(C2363="",AND(F2363="",G2363="")),"",SUMIF(基础资料!$W$5:$W$24,C2363,基础资料!$X$5:$X$24)+SUMIF(C$7:C2363,C2363,F$7:F2363)-SUMIF(C$7:C2363,C2363,G$7:G2363))</f>
      </c>
      <c r="I2363" s="145">
        <f>IF(AND(F2363="",G2363=""),"",SUM(基础资料!$X$5:$X$24)+SUM(F$7:F2363)-SUM(G$7:G2363))</f>
      </c>
      <c r="J2363" s="141" t="n"/>
      <c r="K2363" s="141" t="n"/>
      <c r="L2363" s="141" t="n"/>
      <c r="M2363" s="142" t="n"/>
      <c r="N2363" s="146">
        <f>IF(AND(AND(F2363="",G2363=""),B2363="",C2363="",D2363="",J2363="",K2363="",L2363=""),"",IF(AND(F2363="",G2363=""),"✗ 没填金额",IF(AND(N(F2363)&lt;&gt;0,N(G2363)&lt;&gt;0),"✗ 收入、支出只能填一边",IF(NOT(ISNUMBER(B2363)),"✗ 日期不是真日期（要像 2026/9/25 这样填）",IF(OR(B2363&lt;年初日,B2363&gt;年末日),"✗ 日期不在本会计年度",IF(C2363="","✗ 没选账户",IF(COUNTIF(基础资料!$W$5:$W$24,C2363)=0,"✗ 账户不在基础资料里",IF(O2363="","✗ 没选收支项目",IF(P2363="未知","✗ 收支项目不在基础资料里",IF(AND(P2363="应收",J2363=""),"✗ 这笔要选客户",IF(AND(P2363="应收",COUNTIF(总览汇总!$B$5:$B$304,J2363)=0),"✗ 客户不在总览汇总名单里",IF(AND(P2363="应付",K2363=""),"✗ 这笔要选供应商",IF(AND(P2363="应付",COUNTIF(基础资料!$Q$5:$Q$54,K2363)=0),"✗ 供应商不在基础资料里",IF(AND(P2363="费用",L2363=""),"✗ 费用支出要选费用项目",IF(AND(L2363&lt;&gt;"",COUNTIF(基础资料!$AI$5:$AI$54,L2363)=0),"✗ 费用项目不在基础资料里",IF(AND(IFERROR(INDEX(基础资料!$AD$5:$AD$34,MATCH(O2363,基础资料!$AC$5:$AC$34,0)),"")="收",N(G2363)&lt;&gt;0),"✗ 这类是收款，金额填到收入列",IF(AND(IFERROR(INDEX(基础资料!$AD$5:$AD$34,MATCH(O2363,基础资料!$AC$5:$AC$34,0)),"")="支",N(F2363)&lt;&gt;0),"✗ 这类是付款，金额填到支出列",IF(N(H2363)&lt;0,"⚠ 账户余额成负数了，核对一下","√"))))))))))))))))))</f>
      </c>
      <c r="O2363" s="78">
        <f>IF(D2363&lt;&gt;"",D2363,IF(AND(F2363="",G2363=""),"",IF(J2363&lt;&gt;"",IF(N(F2363)&gt;0,"客户回款","客户退款"),IF(K2363&lt;&gt;"",IF(N(G2363)&gt;0,"供应商付款","供应商退款"),IF(L2363&lt;&gt;"","费用支出","")))))</f>
      </c>
      <c r="P2363" s="78">
        <f>IF(O2363="","",IFERROR(INDEX(基础资料!$AE$5:$AE$34,MATCH(O2363,基础资料!$AC$5:$AC$34,0)),"未知"))</f>
      </c>
      <c r="Q2363" s="78">
        <f>IF(P2363="应收",COUNTIF(P$7:P2363,"应收"),"")</f>
      </c>
      <c r="R2363" s="78">
        <f>IF(P2363="应付",COUNTIF(P$7:P2363,"应付"),"")</f>
      </c>
      <c r="S2363" s="78">
        <f>N(F2363)-N(G2363)</f>
        <v>0</v>
      </c>
    </row>
    <row r="2364">
      <c r="A2364" s="109">
        <f>IF(AND(F2364="",G2364=""),"",ROW()-6)</f>
      </c>
      <c r="B2364" s="140" t="n"/>
      <c r="C2364" s="141" t="n"/>
      <c r="D2364" s="141" t="n"/>
      <c r="E2364" s="142" t="n"/>
      <c r="F2364" s="143" t="n"/>
      <c r="G2364" s="144" t="n"/>
      <c r="H2364" s="145">
        <f>IF(OR(C2364="",AND(F2364="",G2364="")),"",SUMIF(基础资料!$W$5:$W$24,C2364,基础资料!$X$5:$X$24)+SUMIF(C$7:C2364,C2364,F$7:F2364)-SUMIF(C$7:C2364,C2364,G$7:G2364))</f>
      </c>
      <c r="I2364" s="145">
        <f>IF(AND(F2364="",G2364=""),"",SUM(基础资料!$X$5:$X$24)+SUM(F$7:F2364)-SUM(G$7:G2364))</f>
      </c>
      <c r="J2364" s="141" t="n"/>
      <c r="K2364" s="141" t="n"/>
      <c r="L2364" s="141" t="n"/>
      <c r="M2364" s="142" t="n"/>
      <c r="N2364" s="146">
        <f>IF(AND(AND(F2364="",G2364=""),B2364="",C2364="",D2364="",J2364="",K2364="",L2364=""),"",IF(AND(F2364="",G2364=""),"✗ 没填金额",IF(AND(N(F2364)&lt;&gt;0,N(G2364)&lt;&gt;0),"✗ 收入、支出只能填一边",IF(NOT(ISNUMBER(B2364)),"✗ 日期不是真日期（要像 2026/9/25 这样填）",IF(OR(B2364&lt;年初日,B2364&gt;年末日),"✗ 日期不在本会计年度",IF(C2364="","✗ 没选账户",IF(COUNTIF(基础资料!$W$5:$W$24,C2364)=0,"✗ 账户不在基础资料里",IF(O2364="","✗ 没选收支项目",IF(P2364="未知","✗ 收支项目不在基础资料里",IF(AND(P2364="应收",J2364=""),"✗ 这笔要选客户",IF(AND(P2364="应收",COUNTIF(总览汇总!$B$5:$B$304,J2364)=0),"✗ 客户不在总览汇总名单里",IF(AND(P2364="应付",K2364=""),"✗ 这笔要选供应商",IF(AND(P2364="应付",COUNTIF(基础资料!$Q$5:$Q$54,K2364)=0),"✗ 供应商不在基础资料里",IF(AND(P2364="费用",L2364=""),"✗ 费用支出要选费用项目",IF(AND(L2364&lt;&gt;"",COUNTIF(基础资料!$AI$5:$AI$54,L2364)=0),"✗ 费用项目不在基础资料里",IF(AND(IFERROR(INDEX(基础资料!$AD$5:$AD$34,MATCH(O2364,基础资料!$AC$5:$AC$34,0)),"")="收",N(G2364)&lt;&gt;0),"✗ 这类是收款，金额填到收入列",IF(AND(IFERROR(INDEX(基础资料!$AD$5:$AD$34,MATCH(O2364,基础资料!$AC$5:$AC$34,0)),"")="支",N(F2364)&lt;&gt;0),"✗ 这类是付款，金额填到支出列",IF(N(H2364)&lt;0,"⚠ 账户余额成负数了，核对一下","√"))))))))))))))))))</f>
      </c>
      <c r="O2364" s="78">
        <f>IF(D2364&lt;&gt;"",D2364,IF(AND(F2364="",G2364=""),"",IF(J2364&lt;&gt;"",IF(N(F2364)&gt;0,"客户回款","客户退款"),IF(K2364&lt;&gt;"",IF(N(G2364)&gt;0,"供应商付款","供应商退款"),IF(L2364&lt;&gt;"","费用支出","")))))</f>
      </c>
      <c r="P2364" s="78">
        <f>IF(O2364="","",IFERROR(INDEX(基础资料!$AE$5:$AE$34,MATCH(O2364,基础资料!$AC$5:$AC$34,0)),"未知"))</f>
      </c>
      <c r="Q2364" s="78">
        <f>IF(P2364="应收",COUNTIF(P$7:P2364,"应收"),"")</f>
      </c>
      <c r="R2364" s="78">
        <f>IF(P2364="应付",COUNTIF(P$7:P2364,"应付"),"")</f>
      </c>
      <c r="S2364" s="78">
        <f>N(F2364)-N(G2364)</f>
        <v>0</v>
      </c>
    </row>
    <row r="2365">
      <c r="A2365" s="109">
        <f>IF(AND(F2365="",G2365=""),"",ROW()-6)</f>
      </c>
      <c r="B2365" s="140" t="n"/>
      <c r="C2365" s="141" t="n"/>
      <c r="D2365" s="141" t="n"/>
      <c r="E2365" s="142" t="n"/>
      <c r="F2365" s="143" t="n"/>
      <c r="G2365" s="144" t="n"/>
      <c r="H2365" s="145">
        <f>IF(OR(C2365="",AND(F2365="",G2365="")),"",SUMIF(基础资料!$W$5:$W$24,C2365,基础资料!$X$5:$X$24)+SUMIF(C$7:C2365,C2365,F$7:F2365)-SUMIF(C$7:C2365,C2365,G$7:G2365))</f>
      </c>
      <c r="I2365" s="145">
        <f>IF(AND(F2365="",G2365=""),"",SUM(基础资料!$X$5:$X$24)+SUM(F$7:F2365)-SUM(G$7:G2365))</f>
      </c>
      <c r="J2365" s="141" t="n"/>
      <c r="K2365" s="141" t="n"/>
      <c r="L2365" s="141" t="n"/>
      <c r="M2365" s="142" t="n"/>
      <c r="N2365" s="146">
        <f>IF(AND(AND(F2365="",G2365=""),B2365="",C2365="",D2365="",J2365="",K2365="",L2365=""),"",IF(AND(F2365="",G2365=""),"✗ 没填金额",IF(AND(N(F2365)&lt;&gt;0,N(G2365)&lt;&gt;0),"✗ 收入、支出只能填一边",IF(NOT(ISNUMBER(B2365)),"✗ 日期不是真日期（要像 2026/9/25 这样填）",IF(OR(B2365&lt;年初日,B2365&gt;年末日),"✗ 日期不在本会计年度",IF(C2365="","✗ 没选账户",IF(COUNTIF(基础资料!$W$5:$W$24,C2365)=0,"✗ 账户不在基础资料里",IF(O2365="","✗ 没选收支项目",IF(P2365="未知","✗ 收支项目不在基础资料里",IF(AND(P2365="应收",J2365=""),"✗ 这笔要选客户",IF(AND(P2365="应收",COUNTIF(总览汇总!$B$5:$B$304,J2365)=0),"✗ 客户不在总览汇总名单里",IF(AND(P2365="应付",K2365=""),"✗ 这笔要选供应商",IF(AND(P2365="应付",COUNTIF(基础资料!$Q$5:$Q$54,K2365)=0),"✗ 供应商不在基础资料里",IF(AND(P2365="费用",L2365=""),"✗ 费用支出要选费用项目",IF(AND(L2365&lt;&gt;"",COUNTIF(基础资料!$AI$5:$AI$54,L2365)=0),"✗ 费用项目不在基础资料里",IF(AND(IFERROR(INDEX(基础资料!$AD$5:$AD$34,MATCH(O2365,基础资料!$AC$5:$AC$34,0)),"")="收",N(G2365)&lt;&gt;0),"✗ 这类是收款，金额填到收入列",IF(AND(IFERROR(INDEX(基础资料!$AD$5:$AD$34,MATCH(O2365,基础资料!$AC$5:$AC$34,0)),"")="支",N(F2365)&lt;&gt;0),"✗ 这类是付款，金额填到支出列",IF(N(H2365)&lt;0,"⚠ 账户余额成负数了，核对一下","√"))))))))))))))))))</f>
      </c>
      <c r="O2365" s="78">
        <f>IF(D2365&lt;&gt;"",D2365,IF(AND(F2365="",G2365=""),"",IF(J2365&lt;&gt;"",IF(N(F2365)&gt;0,"客户回款","客户退款"),IF(K2365&lt;&gt;"",IF(N(G2365)&gt;0,"供应商付款","供应商退款"),IF(L2365&lt;&gt;"","费用支出","")))))</f>
      </c>
      <c r="P2365" s="78">
        <f>IF(O2365="","",IFERROR(INDEX(基础资料!$AE$5:$AE$34,MATCH(O2365,基础资料!$AC$5:$AC$34,0)),"未知"))</f>
      </c>
      <c r="Q2365" s="78">
        <f>IF(P2365="应收",COUNTIF(P$7:P2365,"应收"),"")</f>
      </c>
      <c r="R2365" s="78">
        <f>IF(P2365="应付",COUNTIF(P$7:P2365,"应付"),"")</f>
      </c>
      <c r="S2365" s="78">
        <f>N(F2365)-N(G2365)</f>
        <v>0</v>
      </c>
    </row>
    <row r="2366">
      <c r="A2366" s="109">
        <f>IF(AND(F2366="",G2366=""),"",ROW()-6)</f>
      </c>
      <c r="B2366" s="140" t="n"/>
      <c r="C2366" s="141" t="n"/>
      <c r="D2366" s="141" t="n"/>
      <c r="E2366" s="142" t="n"/>
      <c r="F2366" s="143" t="n"/>
      <c r="G2366" s="144" t="n"/>
      <c r="H2366" s="145">
        <f>IF(OR(C2366="",AND(F2366="",G2366="")),"",SUMIF(基础资料!$W$5:$W$24,C2366,基础资料!$X$5:$X$24)+SUMIF(C$7:C2366,C2366,F$7:F2366)-SUMIF(C$7:C2366,C2366,G$7:G2366))</f>
      </c>
      <c r="I2366" s="145">
        <f>IF(AND(F2366="",G2366=""),"",SUM(基础资料!$X$5:$X$24)+SUM(F$7:F2366)-SUM(G$7:G2366))</f>
      </c>
      <c r="J2366" s="141" t="n"/>
      <c r="K2366" s="141" t="n"/>
      <c r="L2366" s="141" t="n"/>
      <c r="M2366" s="142" t="n"/>
      <c r="N2366" s="146">
        <f>IF(AND(AND(F2366="",G2366=""),B2366="",C2366="",D2366="",J2366="",K2366="",L2366=""),"",IF(AND(F2366="",G2366=""),"✗ 没填金额",IF(AND(N(F2366)&lt;&gt;0,N(G2366)&lt;&gt;0),"✗ 收入、支出只能填一边",IF(NOT(ISNUMBER(B2366)),"✗ 日期不是真日期（要像 2026/9/25 这样填）",IF(OR(B2366&lt;年初日,B2366&gt;年末日),"✗ 日期不在本会计年度",IF(C2366="","✗ 没选账户",IF(COUNTIF(基础资料!$W$5:$W$24,C2366)=0,"✗ 账户不在基础资料里",IF(O2366="","✗ 没选收支项目",IF(P2366="未知","✗ 收支项目不在基础资料里",IF(AND(P2366="应收",J2366=""),"✗ 这笔要选客户",IF(AND(P2366="应收",COUNTIF(总览汇总!$B$5:$B$304,J2366)=0),"✗ 客户不在总览汇总名单里",IF(AND(P2366="应付",K2366=""),"✗ 这笔要选供应商",IF(AND(P2366="应付",COUNTIF(基础资料!$Q$5:$Q$54,K2366)=0),"✗ 供应商不在基础资料里",IF(AND(P2366="费用",L2366=""),"✗ 费用支出要选费用项目",IF(AND(L2366&lt;&gt;"",COUNTIF(基础资料!$AI$5:$AI$54,L2366)=0),"✗ 费用项目不在基础资料里",IF(AND(IFERROR(INDEX(基础资料!$AD$5:$AD$34,MATCH(O2366,基础资料!$AC$5:$AC$34,0)),"")="收",N(G2366)&lt;&gt;0),"✗ 这类是收款，金额填到收入列",IF(AND(IFERROR(INDEX(基础资料!$AD$5:$AD$34,MATCH(O2366,基础资料!$AC$5:$AC$34,0)),"")="支",N(F2366)&lt;&gt;0),"✗ 这类是付款，金额填到支出列",IF(N(H2366)&lt;0,"⚠ 账户余额成负数了，核对一下","√"))))))))))))))))))</f>
      </c>
      <c r="O2366" s="78">
        <f>IF(D2366&lt;&gt;"",D2366,IF(AND(F2366="",G2366=""),"",IF(J2366&lt;&gt;"",IF(N(F2366)&gt;0,"客户回款","客户退款"),IF(K2366&lt;&gt;"",IF(N(G2366)&gt;0,"供应商付款","供应商退款"),IF(L2366&lt;&gt;"","费用支出","")))))</f>
      </c>
      <c r="P2366" s="78">
        <f>IF(O2366="","",IFERROR(INDEX(基础资料!$AE$5:$AE$34,MATCH(O2366,基础资料!$AC$5:$AC$34,0)),"未知"))</f>
      </c>
      <c r="Q2366" s="78">
        <f>IF(P2366="应收",COUNTIF(P$7:P2366,"应收"),"")</f>
      </c>
      <c r="R2366" s="78">
        <f>IF(P2366="应付",COUNTIF(P$7:P2366,"应付"),"")</f>
      </c>
      <c r="S2366" s="78">
        <f>N(F2366)-N(G2366)</f>
        <v>0</v>
      </c>
    </row>
    <row r="2367">
      <c r="A2367" s="109">
        <f>IF(AND(F2367="",G2367=""),"",ROW()-6)</f>
      </c>
      <c r="B2367" s="140" t="n"/>
      <c r="C2367" s="141" t="n"/>
      <c r="D2367" s="141" t="n"/>
      <c r="E2367" s="142" t="n"/>
      <c r="F2367" s="143" t="n"/>
      <c r="G2367" s="144" t="n"/>
      <c r="H2367" s="145">
        <f>IF(OR(C2367="",AND(F2367="",G2367="")),"",SUMIF(基础资料!$W$5:$W$24,C2367,基础资料!$X$5:$X$24)+SUMIF(C$7:C2367,C2367,F$7:F2367)-SUMIF(C$7:C2367,C2367,G$7:G2367))</f>
      </c>
      <c r="I2367" s="145">
        <f>IF(AND(F2367="",G2367=""),"",SUM(基础资料!$X$5:$X$24)+SUM(F$7:F2367)-SUM(G$7:G2367))</f>
      </c>
      <c r="J2367" s="141" t="n"/>
      <c r="K2367" s="141" t="n"/>
      <c r="L2367" s="141" t="n"/>
      <c r="M2367" s="142" t="n"/>
      <c r="N2367" s="146">
        <f>IF(AND(AND(F2367="",G2367=""),B2367="",C2367="",D2367="",J2367="",K2367="",L2367=""),"",IF(AND(F2367="",G2367=""),"✗ 没填金额",IF(AND(N(F2367)&lt;&gt;0,N(G2367)&lt;&gt;0),"✗ 收入、支出只能填一边",IF(NOT(ISNUMBER(B2367)),"✗ 日期不是真日期（要像 2026/9/25 这样填）",IF(OR(B2367&lt;年初日,B2367&gt;年末日),"✗ 日期不在本会计年度",IF(C2367="","✗ 没选账户",IF(COUNTIF(基础资料!$W$5:$W$24,C2367)=0,"✗ 账户不在基础资料里",IF(O2367="","✗ 没选收支项目",IF(P2367="未知","✗ 收支项目不在基础资料里",IF(AND(P2367="应收",J2367=""),"✗ 这笔要选客户",IF(AND(P2367="应收",COUNTIF(总览汇总!$B$5:$B$304,J2367)=0),"✗ 客户不在总览汇总名单里",IF(AND(P2367="应付",K2367=""),"✗ 这笔要选供应商",IF(AND(P2367="应付",COUNTIF(基础资料!$Q$5:$Q$54,K2367)=0),"✗ 供应商不在基础资料里",IF(AND(P2367="费用",L2367=""),"✗ 费用支出要选费用项目",IF(AND(L2367&lt;&gt;"",COUNTIF(基础资料!$AI$5:$AI$54,L2367)=0),"✗ 费用项目不在基础资料里",IF(AND(IFERROR(INDEX(基础资料!$AD$5:$AD$34,MATCH(O2367,基础资料!$AC$5:$AC$34,0)),"")="收",N(G2367)&lt;&gt;0),"✗ 这类是收款，金额填到收入列",IF(AND(IFERROR(INDEX(基础资料!$AD$5:$AD$34,MATCH(O2367,基础资料!$AC$5:$AC$34,0)),"")="支",N(F2367)&lt;&gt;0),"✗ 这类是付款，金额填到支出列",IF(N(H2367)&lt;0,"⚠ 账户余额成负数了，核对一下","√"))))))))))))))))))</f>
      </c>
      <c r="O2367" s="78">
        <f>IF(D2367&lt;&gt;"",D2367,IF(AND(F2367="",G2367=""),"",IF(J2367&lt;&gt;"",IF(N(F2367)&gt;0,"客户回款","客户退款"),IF(K2367&lt;&gt;"",IF(N(G2367)&gt;0,"供应商付款","供应商退款"),IF(L2367&lt;&gt;"","费用支出","")))))</f>
      </c>
      <c r="P2367" s="78">
        <f>IF(O2367="","",IFERROR(INDEX(基础资料!$AE$5:$AE$34,MATCH(O2367,基础资料!$AC$5:$AC$34,0)),"未知"))</f>
      </c>
      <c r="Q2367" s="78">
        <f>IF(P2367="应收",COUNTIF(P$7:P2367,"应收"),"")</f>
      </c>
      <c r="R2367" s="78">
        <f>IF(P2367="应付",COUNTIF(P$7:P2367,"应付"),"")</f>
      </c>
      <c r="S2367" s="78">
        <f>N(F2367)-N(G2367)</f>
        <v>0</v>
      </c>
    </row>
    <row r="2368">
      <c r="A2368" s="109">
        <f>IF(AND(F2368="",G2368=""),"",ROW()-6)</f>
      </c>
      <c r="B2368" s="140" t="n"/>
      <c r="C2368" s="141" t="n"/>
      <c r="D2368" s="141" t="n"/>
      <c r="E2368" s="142" t="n"/>
      <c r="F2368" s="143" t="n"/>
      <c r="G2368" s="144" t="n"/>
      <c r="H2368" s="145">
        <f>IF(OR(C2368="",AND(F2368="",G2368="")),"",SUMIF(基础资料!$W$5:$W$24,C2368,基础资料!$X$5:$X$24)+SUMIF(C$7:C2368,C2368,F$7:F2368)-SUMIF(C$7:C2368,C2368,G$7:G2368))</f>
      </c>
      <c r="I2368" s="145">
        <f>IF(AND(F2368="",G2368=""),"",SUM(基础资料!$X$5:$X$24)+SUM(F$7:F2368)-SUM(G$7:G2368))</f>
      </c>
      <c r="J2368" s="141" t="n"/>
      <c r="K2368" s="141" t="n"/>
      <c r="L2368" s="141" t="n"/>
      <c r="M2368" s="142" t="n"/>
      <c r="N2368" s="146">
        <f>IF(AND(AND(F2368="",G2368=""),B2368="",C2368="",D2368="",J2368="",K2368="",L2368=""),"",IF(AND(F2368="",G2368=""),"✗ 没填金额",IF(AND(N(F2368)&lt;&gt;0,N(G2368)&lt;&gt;0),"✗ 收入、支出只能填一边",IF(NOT(ISNUMBER(B2368)),"✗ 日期不是真日期（要像 2026/9/25 这样填）",IF(OR(B2368&lt;年初日,B2368&gt;年末日),"✗ 日期不在本会计年度",IF(C2368="","✗ 没选账户",IF(COUNTIF(基础资料!$W$5:$W$24,C2368)=0,"✗ 账户不在基础资料里",IF(O2368="","✗ 没选收支项目",IF(P2368="未知","✗ 收支项目不在基础资料里",IF(AND(P2368="应收",J2368=""),"✗ 这笔要选客户",IF(AND(P2368="应收",COUNTIF(总览汇总!$B$5:$B$304,J2368)=0),"✗ 客户不在总览汇总名单里",IF(AND(P2368="应付",K2368=""),"✗ 这笔要选供应商",IF(AND(P2368="应付",COUNTIF(基础资料!$Q$5:$Q$54,K2368)=0),"✗ 供应商不在基础资料里",IF(AND(P2368="费用",L2368=""),"✗ 费用支出要选费用项目",IF(AND(L2368&lt;&gt;"",COUNTIF(基础资料!$AI$5:$AI$54,L2368)=0),"✗ 费用项目不在基础资料里",IF(AND(IFERROR(INDEX(基础资料!$AD$5:$AD$34,MATCH(O2368,基础资料!$AC$5:$AC$34,0)),"")="收",N(G2368)&lt;&gt;0),"✗ 这类是收款，金额填到收入列",IF(AND(IFERROR(INDEX(基础资料!$AD$5:$AD$34,MATCH(O2368,基础资料!$AC$5:$AC$34,0)),"")="支",N(F2368)&lt;&gt;0),"✗ 这类是付款，金额填到支出列",IF(N(H2368)&lt;0,"⚠ 账户余额成负数了，核对一下","√"))))))))))))))))))</f>
      </c>
      <c r="O2368" s="78">
        <f>IF(D2368&lt;&gt;"",D2368,IF(AND(F2368="",G2368=""),"",IF(J2368&lt;&gt;"",IF(N(F2368)&gt;0,"客户回款","客户退款"),IF(K2368&lt;&gt;"",IF(N(G2368)&gt;0,"供应商付款","供应商退款"),IF(L2368&lt;&gt;"","费用支出","")))))</f>
      </c>
      <c r="P2368" s="78">
        <f>IF(O2368="","",IFERROR(INDEX(基础资料!$AE$5:$AE$34,MATCH(O2368,基础资料!$AC$5:$AC$34,0)),"未知"))</f>
      </c>
      <c r="Q2368" s="78">
        <f>IF(P2368="应收",COUNTIF(P$7:P2368,"应收"),"")</f>
      </c>
      <c r="R2368" s="78">
        <f>IF(P2368="应付",COUNTIF(P$7:P2368,"应付"),"")</f>
      </c>
      <c r="S2368" s="78">
        <f>N(F2368)-N(G2368)</f>
        <v>0</v>
      </c>
    </row>
    <row r="2369">
      <c r="A2369" s="109">
        <f>IF(AND(F2369="",G2369=""),"",ROW()-6)</f>
      </c>
      <c r="B2369" s="140" t="n"/>
      <c r="C2369" s="141" t="n"/>
      <c r="D2369" s="141" t="n"/>
      <c r="E2369" s="142" t="n"/>
      <c r="F2369" s="143" t="n"/>
      <c r="G2369" s="144" t="n"/>
      <c r="H2369" s="145">
        <f>IF(OR(C2369="",AND(F2369="",G2369="")),"",SUMIF(基础资料!$W$5:$W$24,C2369,基础资料!$X$5:$X$24)+SUMIF(C$7:C2369,C2369,F$7:F2369)-SUMIF(C$7:C2369,C2369,G$7:G2369))</f>
      </c>
      <c r="I2369" s="145">
        <f>IF(AND(F2369="",G2369=""),"",SUM(基础资料!$X$5:$X$24)+SUM(F$7:F2369)-SUM(G$7:G2369))</f>
      </c>
      <c r="J2369" s="141" t="n"/>
      <c r="K2369" s="141" t="n"/>
      <c r="L2369" s="141" t="n"/>
      <c r="M2369" s="142" t="n"/>
      <c r="N2369" s="146">
        <f>IF(AND(AND(F2369="",G2369=""),B2369="",C2369="",D2369="",J2369="",K2369="",L2369=""),"",IF(AND(F2369="",G2369=""),"✗ 没填金额",IF(AND(N(F2369)&lt;&gt;0,N(G2369)&lt;&gt;0),"✗ 收入、支出只能填一边",IF(NOT(ISNUMBER(B2369)),"✗ 日期不是真日期（要像 2026/9/25 这样填）",IF(OR(B2369&lt;年初日,B2369&gt;年末日),"✗ 日期不在本会计年度",IF(C2369="","✗ 没选账户",IF(COUNTIF(基础资料!$W$5:$W$24,C2369)=0,"✗ 账户不在基础资料里",IF(O2369="","✗ 没选收支项目",IF(P2369="未知","✗ 收支项目不在基础资料里",IF(AND(P2369="应收",J2369=""),"✗ 这笔要选客户",IF(AND(P2369="应收",COUNTIF(总览汇总!$B$5:$B$304,J2369)=0),"✗ 客户不在总览汇总名单里",IF(AND(P2369="应付",K2369=""),"✗ 这笔要选供应商",IF(AND(P2369="应付",COUNTIF(基础资料!$Q$5:$Q$54,K2369)=0),"✗ 供应商不在基础资料里",IF(AND(P2369="费用",L2369=""),"✗ 费用支出要选费用项目",IF(AND(L2369&lt;&gt;"",COUNTIF(基础资料!$AI$5:$AI$54,L2369)=0),"✗ 费用项目不在基础资料里",IF(AND(IFERROR(INDEX(基础资料!$AD$5:$AD$34,MATCH(O2369,基础资料!$AC$5:$AC$34,0)),"")="收",N(G2369)&lt;&gt;0),"✗ 这类是收款，金额填到收入列",IF(AND(IFERROR(INDEX(基础资料!$AD$5:$AD$34,MATCH(O2369,基础资料!$AC$5:$AC$34,0)),"")="支",N(F2369)&lt;&gt;0),"✗ 这类是付款，金额填到支出列",IF(N(H2369)&lt;0,"⚠ 账户余额成负数了，核对一下","√"))))))))))))))))))</f>
      </c>
      <c r="O2369" s="78">
        <f>IF(D2369&lt;&gt;"",D2369,IF(AND(F2369="",G2369=""),"",IF(J2369&lt;&gt;"",IF(N(F2369)&gt;0,"客户回款","客户退款"),IF(K2369&lt;&gt;"",IF(N(G2369)&gt;0,"供应商付款","供应商退款"),IF(L2369&lt;&gt;"","费用支出","")))))</f>
      </c>
      <c r="P2369" s="78">
        <f>IF(O2369="","",IFERROR(INDEX(基础资料!$AE$5:$AE$34,MATCH(O2369,基础资料!$AC$5:$AC$34,0)),"未知"))</f>
      </c>
      <c r="Q2369" s="78">
        <f>IF(P2369="应收",COUNTIF(P$7:P2369,"应收"),"")</f>
      </c>
      <c r="R2369" s="78">
        <f>IF(P2369="应付",COUNTIF(P$7:P2369,"应付"),"")</f>
      </c>
      <c r="S2369" s="78">
        <f>N(F2369)-N(G2369)</f>
        <v>0</v>
      </c>
    </row>
    <row r="2370">
      <c r="A2370" s="109">
        <f>IF(AND(F2370="",G2370=""),"",ROW()-6)</f>
      </c>
      <c r="B2370" s="140" t="n"/>
      <c r="C2370" s="141" t="n"/>
      <c r="D2370" s="141" t="n"/>
      <c r="E2370" s="142" t="n"/>
      <c r="F2370" s="143" t="n"/>
      <c r="G2370" s="144" t="n"/>
      <c r="H2370" s="145">
        <f>IF(OR(C2370="",AND(F2370="",G2370="")),"",SUMIF(基础资料!$W$5:$W$24,C2370,基础资料!$X$5:$X$24)+SUMIF(C$7:C2370,C2370,F$7:F2370)-SUMIF(C$7:C2370,C2370,G$7:G2370))</f>
      </c>
      <c r="I2370" s="145">
        <f>IF(AND(F2370="",G2370=""),"",SUM(基础资料!$X$5:$X$24)+SUM(F$7:F2370)-SUM(G$7:G2370))</f>
      </c>
      <c r="J2370" s="141" t="n"/>
      <c r="K2370" s="141" t="n"/>
      <c r="L2370" s="141" t="n"/>
      <c r="M2370" s="142" t="n"/>
      <c r="N2370" s="146">
        <f>IF(AND(AND(F2370="",G2370=""),B2370="",C2370="",D2370="",J2370="",K2370="",L2370=""),"",IF(AND(F2370="",G2370=""),"✗ 没填金额",IF(AND(N(F2370)&lt;&gt;0,N(G2370)&lt;&gt;0),"✗ 收入、支出只能填一边",IF(NOT(ISNUMBER(B2370)),"✗ 日期不是真日期（要像 2026/9/25 这样填）",IF(OR(B2370&lt;年初日,B2370&gt;年末日),"✗ 日期不在本会计年度",IF(C2370="","✗ 没选账户",IF(COUNTIF(基础资料!$W$5:$W$24,C2370)=0,"✗ 账户不在基础资料里",IF(O2370="","✗ 没选收支项目",IF(P2370="未知","✗ 收支项目不在基础资料里",IF(AND(P2370="应收",J2370=""),"✗ 这笔要选客户",IF(AND(P2370="应收",COUNTIF(总览汇总!$B$5:$B$304,J2370)=0),"✗ 客户不在总览汇总名单里",IF(AND(P2370="应付",K2370=""),"✗ 这笔要选供应商",IF(AND(P2370="应付",COUNTIF(基础资料!$Q$5:$Q$54,K2370)=0),"✗ 供应商不在基础资料里",IF(AND(P2370="费用",L2370=""),"✗ 费用支出要选费用项目",IF(AND(L2370&lt;&gt;"",COUNTIF(基础资料!$AI$5:$AI$54,L2370)=0),"✗ 费用项目不在基础资料里",IF(AND(IFERROR(INDEX(基础资料!$AD$5:$AD$34,MATCH(O2370,基础资料!$AC$5:$AC$34,0)),"")="收",N(G2370)&lt;&gt;0),"✗ 这类是收款，金额填到收入列",IF(AND(IFERROR(INDEX(基础资料!$AD$5:$AD$34,MATCH(O2370,基础资料!$AC$5:$AC$34,0)),"")="支",N(F2370)&lt;&gt;0),"✗ 这类是付款，金额填到支出列",IF(N(H2370)&lt;0,"⚠ 账户余额成负数了，核对一下","√"))))))))))))))))))</f>
      </c>
      <c r="O2370" s="78">
        <f>IF(D2370&lt;&gt;"",D2370,IF(AND(F2370="",G2370=""),"",IF(J2370&lt;&gt;"",IF(N(F2370)&gt;0,"客户回款","客户退款"),IF(K2370&lt;&gt;"",IF(N(G2370)&gt;0,"供应商付款","供应商退款"),IF(L2370&lt;&gt;"","费用支出","")))))</f>
      </c>
      <c r="P2370" s="78">
        <f>IF(O2370="","",IFERROR(INDEX(基础资料!$AE$5:$AE$34,MATCH(O2370,基础资料!$AC$5:$AC$34,0)),"未知"))</f>
      </c>
      <c r="Q2370" s="78">
        <f>IF(P2370="应收",COUNTIF(P$7:P2370,"应收"),"")</f>
      </c>
      <c r="R2370" s="78">
        <f>IF(P2370="应付",COUNTIF(P$7:P2370,"应付"),"")</f>
      </c>
      <c r="S2370" s="78">
        <f>N(F2370)-N(G2370)</f>
        <v>0</v>
      </c>
    </row>
    <row r="2371">
      <c r="A2371" s="109">
        <f>IF(AND(F2371="",G2371=""),"",ROW()-6)</f>
      </c>
      <c r="B2371" s="140" t="n"/>
      <c r="C2371" s="141" t="n"/>
      <c r="D2371" s="141" t="n"/>
      <c r="E2371" s="142" t="n"/>
      <c r="F2371" s="143" t="n"/>
      <c r="G2371" s="144" t="n"/>
      <c r="H2371" s="145">
        <f>IF(OR(C2371="",AND(F2371="",G2371="")),"",SUMIF(基础资料!$W$5:$W$24,C2371,基础资料!$X$5:$X$24)+SUMIF(C$7:C2371,C2371,F$7:F2371)-SUMIF(C$7:C2371,C2371,G$7:G2371))</f>
      </c>
      <c r="I2371" s="145">
        <f>IF(AND(F2371="",G2371=""),"",SUM(基础资料!$X$5:$X$24)+SUM(F$7:F2371)-SUM(G$7:G2371))</f>
      </c>
      <c r="J2371" s="141" t="n"/>
      <c r="K2371" s="141" t="n"/>
      <c r="L2371" s="141" t="n"/>
      <c r="M2371" s="142" t="n"/>
      <c r="N2371" s="146">
        <f>IF(AND(AND(F2371="",G2371=""),B2371="",C2371="",D2371="",J2371="",K2371="",L2371=""),"",IF(AND(F2371="",G2371=""),"✗ 没填金额",IF(AND(N(F2371)&lt;&gt;0,N(G2371)&lt;&gt;0),"✗ 收入、支出只能填一边",IF(NOT(ISNUMBER(B2371)),"✗ 日期不是真日期（要像 2026/9/25 这样填）",IF(OR(B2371&lt;年初日,B2371&gt;年末日),"✗ 日期不在本会计年度",IF(C2371="","✗ 没选账户",IF(COUNTIF(基础资料!$W$5:$W$24,C2371)=0,"✗ 账户不在基础资料里",IF(O2371="","✗ 没选收支项目",IF(P2371="未知","✗ 收支项目不在基础资料里",IF(AND(P2371="应收",J2371=""),"✗ 这笔要选客户",IF(AND(P2371="应收",COUNTIF(总览汇总!$B$5:$B$304,J2371)=0),"✗ 客户不在总览汇总名单里",IF(AND(P2371="应付",K2371=""),"✗ 这笔要选供应商",IF(AND(P2371="应付",COUNTIF(基础资料!$Q$5:$Q$54,K2371)=0),"✗ 供应商不在基础资料里",IF(AND(P2371="费用",L2371=""),"✗ 费用支出要选费用项目",IF(AND(L2371&lt;&gt;"",COUNTIF(基础资料!$AI$5:$AI$54,L2371)=0),"✗ 费用项目不在基础资料里",IF(AND(IFERROR(INDEX(基础资料!$AD$5:$AD$34,MATCH(O2371,基础资料!$AC$5:$AC$34,0)),"")="收",N(G2371)&lt;&gt;0),"✗ 这类是收款，金额填到收入列",IF(AND(IFERROR(INDEX(基础资料!$AD$5:$AD$34,MATCH(O2371,基础资料!$AC$5:$AC$34,0)),"")="支",N(F2371)&lt;&gt;0),"✗ 这类是付款，金额填到支出列",IF(N(H2371)&lt;0,"⚠ 账户余额成负数了，核对一下","√"))))))))))))))))))</f>
      </c>
      <c r="O2371" s="78">
        <f>IF(D2371&lt;&gt;"",D2371,IF(AND(F2371="",G2371=""),"",IF(J2371&lt;&gt;"",IF(N(F2371)&gt;0,"客户回款","客户退款"),IF(K2371&lt;&gt;"",IF(N(G2371)&gt;0,"供应商付款","供应商退款"),IF(L2371&lt;&gt;"","费用支出","")))))</f>
      </c>
      <c r="P2371" s="78">
        <f>IF(O2371="","",IFERROR(INDEX(基础资料!$AE$5:$AE$34,MATCH(O2371,基础资料!$AC$5:$AC$34,0)),"未知"))</f>
      </c>
      <c r="Q2371" s="78">
        <f>IF(P2371="应收",COUNTIF(P$7:P2371,"应收"),"")</f>
      </c>
      <c r="R2371" s="78">
        <f>IF(P2371="应付",COUNTIF(P$7:P2371,"应付"),"")</f>
      </c>
      <c r="S2371" s="78">
        <f>N(F2371)-N(G2371)</f>
        <v>0</v>
      </c>
    </row>
    <row r="2372">
      <c r="A2372" s="109">
        <f>IF(AND(F2372="",G2372=""),"",ROW()-6)</f>
      </c>
      <c r="B2372" s="140" t="n"/>
      <c r="C2372" s="141" t="n"/>
      <c r="D2372" s="141" t="n"/>
      <c r="E2372" s="142" t="n"/>
      <c r="F2372" s="143" t="n"/>
      <c r="G2372" s="144" t="n"/>
      <c r="H2372" s="145">
        <f>IF(OR(C2372="",AND(F2372="",G2372="")),"",SUMIF(基础资料!$W$5:$W$24,C2372,基础资料!$X$5:$X$24)+SUMIF(C$7:C2372,C2372,F$7:F2372)-SUMIF(C$7:C2372,C2372,G$7:G2372))</f>
      </c>
      <c r="I2372" s="145">
        <f>IF(AND(F2372="",G2372=""),"",SUM(基础资料!$X$5:$X$24)+SUM(F$7:F2372)-SUM(G$7:G2372))</f>
      </c>
      <c r="J2372" s="141" t="n"/>
      <c r="K2372" s="141" t="n"/>
      <c r="L2372" s="141" t="n"/>
      <c r="M2372" s="142" t="n"/>
      <c r="N2372" s="146">
        <f>IF(AND(AND(F2372="",G2372=""),B2372="",C2372="",D2372="",J2372="",K2372="",L2372=""),"",IF(AND(F2372="",G2372=""),"✗ 没填金额",IF(AND(N(F2372)&lt;&gt;0,N(G2372)&lt;&gt;0),"✗ 收入、支出只能填一边",IF(NOT(ISNUMBER(B2372)),"✗ 日期不是真日期（要像 2026/9/25 这样填）",IF(OR(B2372&lt;年初日,B2372&gt;年末日),"✗ 日期不在本会计年度",IF(C2372="","✗ 没选账户",IF(COUNTIF(基础资料!$W$5:$W$24,C2372)=0,"✗ 账户不在基础资料里",IF(O2372="","✗ 没选收支项目",IF(P2372="未知","✗ 收支项目不在基础资料里",IF(AND(P2372="应收",J2372=""),"✗ 这笔要选客户",IF(AND(P2372="应收",COUNTIF(总览汇总!$B$5:$B$304,J2372)=0),"✗ 客户不在总览汇总名单里",IF(AND(P2372="应付",K2372=""),"✗ 这笔要选供应商",IF(AND(P2372="应付",COUNTIF(基础资料!$Q$5:$Q$54,K2372)=0),"✗ 供应商不在基础资料里",IF(AND(P2372="费用",L2372=""),"✗ 费用支出要选费用项目",IF(AND(L2372&lt;&gt;"",COUNTIF(基础资料!$AI$5:$AI$54,L2372)=0),"✗ 费用项目不在基础资料里",IF(AND(IFERROR(INDEX(基础资料!$AD$5:$AD$34,MATCH(O2372,基础资料!$AC$5:$AC$34,0)),"")="收",N(G2372)&lt;&gt;0),"✗ 这类是收款，金额填到收入列",IF(AND(IFERROR(INDEX(基础资料!$AD$5:$AD$34,MATCH(O2372,基础资料!$AC$5:$AC$34,0)),"")="支",N(F2372)&lt;&gt;0),"✗ 这类是付款，金额填到支出列",IF(N(H2372)&lt;0,"⚠ 账户余额成负数了，核对一下","√"))))))))))))))))))</f>
      </c>
      <c r="O2372" s="78">
        <f>IF(D2372&lt;&gt;"",D2372,IF(AND(F2372="",G2372=""),"",IF(J2372&lt;&gt;"",IF(N(F2372)&gt;0,"客户回款","客户退款"),IF(K2372&lt;&gt;"",IF(N(G2372)&gt;0,"供应商付款","供应商退款"),IF(L2372&lt;&gt;"","费用支出","")))))</f>
      </c>
      <c r="P2372" s="78">
        <f>IF(O2372="","",IFERROR(INDEX(基础资料!$AE$5:$AE$34,MATCH(O2372,基础资料!$AC$5:$AC$34,0)),"未知"))</f>
      </c>
      <c r="Q2372" s="78">
        <f>IF(P2372="应收",COUNTIF(P$7:P2372,"应收"),"")</f>
      </c>
      <c r="R2372" s="78">
        <f>IF(P2372="应付",COUNTIF(P$7:P2372,"应付"),"")</f>
      </c>
      <c r="S2372" s="78">
        <f>N(F2372)-N(G2372)</f>
        <v>0</v>
      </c>
    </row>
    <row r="2373">
      <c r="A2373" s="109">
        <f>IF(AND(F2373="",G2373=""),"",ROW()-6)</f>
      </c>
      <c r="B2373" s="140" t="n"/>
      <c r="C2373" s="141" t="n"/>
      <c r="D2373" s="141" t="n"/>
      <c r="E2373" s="142" t="n"/>
      <c r="F2373" s="143" t="n"/>
      <c r="G2373" s="144" t="n"/>
      <c r="H2373" s="145">
        <f>IF(OR(C2373="",AND(F2373="",G2373="")),"",SUMIF(基础资料!$W$5:$W$24,C2373,基础资料!$X$5:$X$24)+SUMIF(C$7:C2373,C2373,F$7:F2373)-SUMIF(C$7:C2373,C2373,G$7:G2373))</f>
      </c>
      <c r="I2373" s="145">
        <f>IF(AND(F2373="",G2373=""),"",SUM(基础资料!$X$5:$X$24)+SUM(F$7:F2373)-SUM(G$7:G2373))</f>
      </c>
      <c r="J2373" s="141" t="n"/>
      <c r="K2373" s="141" t="n"/>
      <c r="L2373" s="141" t="n"/>
      <c r="M2373" s="142" t="n"/>
      <c r="N2373" s="146">
        <f>IF(AND(AND(F2373="",G2373=""),B2373="",C2373="",D2373="",J2373="",K2373="",L2373=""),"",IF(AND(F2373="",G2373=""),"✗ 没填金额",IF(AND(N(F2373)&lt;&gt;0,N(G2373)&lt;&gt;0),"✗ 收入、支出只能填一边",IF(NOT(ISNUMBER(B2373)),"✗ 日期不是真日期（要像 2026/9/25 这样填）",IF(OR(B2373&lt;年初日,B2373&gt;年末日),"✗ 日期不在本会计年度",IF(C2373="","✗ 没选账户",IF(COUNTIF(基础资料!$W$5:$W$24,C2373)=0,"✗ 账户不在基础资料里",IF(O2373="","✗ 没选收支项目",IF(P2373="未知","✗ 收支项目不在基础资料里",IF(AND(P2373="应收",J2373=""),"✗ 这笔要选客户",IF(AND(P2373="应收",COUNTIF(总览汇总!$B$5:$B$304,J2373)=0),"✗ 客户不在总览汇总名单里",IF(AND(P2373="应付",K2373=""),"✗ 这笔要选供应商",IF(AND(P2373="应付",COUNTIF(基础资料!$Q$5:$Q$54,K2373)=0),"✗ 供应商不在基础资料里",IF(AND(P2373="费用",L2373=""),"✗ 费用支出要选费用项目",IF(AND(L2373&lt;&gt;"",COUNTIF(基础资料!$AI$5:$AI$54,L2373)=0),"✗ 费用项目不在基础资料里",IF(AND(IFERROR(INDEX(基础资料!$AD$5:$AD$34,MATCH(O2373,基础资料!$AC$5:$AC$34,0)),"")="收",N(G2373)&lt;&gt;0),"✗ 这类是收款，金额填到收入列",IF(AND(IFERROR(INDEX(基础资料!$AD$5:$AD$34,MATCH(O2373,基础资料!$AC$5:$AC$34,0)),"")="支",N(F2373)&lt;&gt;0),"✗ 这类是付款，金额填到支出列",IF(N(H2373)&lt;0,"⚠ 账户余额成负数了，核对一下","√"))))))))))))))))))</f>
      </c>
      <c r="O2373" s="78">
        <f>IF(D2373&lt;&gt;"",D2373,IF(AND(F2373="",G2373=""),"",IF(J2373&lt;&gt;"",IF(N(F2373)&gt;0,"客户回款","客户退款"),IF(K2373&lt;&gt;"",IF(N(G2373)&gt;0,"供应商付款","供应商退款"),IF(L2373&lt;&gt;"","费用支出","")))))</f>
      </c>
      <c r="P2373" s="78">
        <f>IF(O2373="","",IFERROR(INDEX(基础资料!$AE$5:$AE$34,MATCH(O2373,基础资料!$AC$5:$AC$34,0)),"未知"))</f>
      </c>
      <c r="Q2373" s="78">
        <f>IF(P2373="应收",COUNTIF(P$7:P2373,"应收"),"")</f>
      </c>
      <c r="R2373" s="78">
        <f>IF(P2373="应付",COUNTIF(P$7:P2373,"应付"),"")</f>
      </c>
      <c r="S2373" s="78">
        <f>N(F2373)-N(G2373)</f>
        <v>0</v>
      </c>
    </row>
    <row r="2374">
      <c r="A2374" s="109">
        <f>IF(AND(F2374="",G2374=""),"",ROW()-6)</f>
      </c>
      <c r="B2374" s="140" t="n"/>
      <c r="C2374" s="141" t="n"/>
      <c r="D2374" s="141" t="n"/>
      <c r="E2374" s="142" t="n"/>
      <c r="F2374" s="143" t="n"/>
      <c r="G2374" s="144" t="n"/>
      <c r="H2374" s="145">
        <f>IF(OR(C2374="",AND(F2374="",G2374="")),"",SUMIF(基础资料!$W$5:$W$24,C2374,基础资料!$X$5:$X$24)+SUMIF(C$7:C2374,C2374,F$7:F2374)-SUMIF(C$7:C2374,C2374,G$7:G2374))</f>
      </c>
      <c r="I2374" s="145">
        <f>IF(AND(F2374="",G2374=""),"",SUM(基础资料!$X$5:$X$24)+SUM(F$7:F2374)-SUM(G$7:G2374))</f>
      </c>
      <c r="J2374" s="141" t="n"/>
      <c r="K2374" s="141" t="n"/>
      <c r="L2374" s="141" t="n"/>
      <c r="M2374" s="142" t="n"/>
      <c r="N2374" s="146">
        <f>IF(AND(AND(F2374="",G2374=""),B2374="",C2374="",D2374="",J2374="",K2374="",L2374=""),"",IF(AND(F2374="",G2374=""),"✗ 没填金额",IF(AND(N(F2374)&lt;&gt;0,N(G2374)&lt;&gt;0),"✗ 收入、支出只能填一边",IF(NOT(ISNUMBER(B2374)),"✗ 日期不是真日期（要像 2026/9/25 这样填）",IF(OR(B2374&lt;年初日,B2374&gt;年末日),"✗ 日期不在本会计年度",IF(C2374="","✗ 没选账户",IF(COUNTIF(基础资料!$W$5:$W$24,C2374)=0,"✗ 账户不在基础资料里",IF(O2374="","✗ 没选收支项目",IF(P2374="未知","✗ 收支项目不在基础资料里",IF(AND(P2374="应收",J2374=""),"✗ 这笔要选客户",IF(AND(P2374="应收",COUNTIF(总览汇总!$B$5:$B$304,J2374)=0),"✗ 客户不在总览汇总名单里",IF(AND(P2374="应付",K2374=""),"✗ 这笔要选供应商",IF(AND(P2374="应付",COUNTIF(基础资料!$Q$5:$Q$54,K2374)=0),"✗ 供应商不在基础资料里",IF(AND(P2374="费用",L2374=""),"✗ 费用支出要选费用项目",IF(AND(L2374&lt;&gt;"",COUNTIF(基础资料!$AI$5:$AI$54,L2374)=0),"✗ 费用项目不在基础资料里",IF(AND(IFERROR(INDEX(基础资料!$AD$5:$AD$34,MATCH(O2374,基础资料!$AC$5:$AC$34,0)),"")="收",N(G2374)&lt;&gt;0),"✗ 这类是收款，金额填到收入列",IF(AND(IFERROR(INDEX(基础资料!$AD$5:$AD$34,MATCH(O2374,基础资料!$AC$5:$AC$34,0)),"")="支",N(F2374)&lt;&gt;0),"✗ 这类是付款，金额填到支出列",IF(N(H2374)&lt;0,"⚠ 账户余额成负数了，核对一下","√"))))))))))))))))))</f>
      </c>
      <c r="O2374" s="78">
        <f>IF(D2374&lt;&gt;"",D2374,IF(AND(F2374="",G2374=""),"",IF(J2374&lt;&gt;"",IF(N(F2374)&gt;0,"客户回款","客户退款"),IF(K2374&lt;&gt;"",IF(N(G2374)&gt;0,"供应商付款","供应商退款"),IF(L2374&lt;&gt;"","费用支出","")))))</f>
      </c>
      <c r="P2374" s="78">
        <f>IF(O2374="","",IFERROR(INDEX(基础资料!$AE$5:$AE$34,MATCH(O2374,基础资料!$AC$5:$AC$34,0)),"未知"))</f>
      </c>
      <c r="Q2374" s="78">
        <f>IF(P2374="应收",COUNTIF(P$7:P2374,"应收"),"")</f>
      </c>
      <c r="R2374" s="78">
        <f>IF(P2374="应付",COUNTIF(P$7:P2374,"应付"),"")</f>
      </c>
      <c r="S2374" s="78">
        <f>N(F2374)-N(G2374)</f>
        <v>0</v>
      </c>
    </row>
    <row r="2375">
      <c r="A2375" s="109">
        <f>IF(AND(F2375="",G2375=""),"",ROW()-6)</f>
      </c>
      <c r="B2375" s="140" t="n"/>
      <c r="C2375" s="141" t="n"/>
      <c r="D2375" s="141" t="n"/>
      <c r="E2375" s="142" t="n"/>
      <c r="F2375" s="143" t="n"/>
      <c r="G2375" s="144" t="n"/>
      <c r="H2375" s="145">
        <f>IF(OR(C2375="",AND(F2375="",G2375="")),"",SUMIF(基础资料!$W$5:$W$24,C2375,基础资料!$X$5:$X$24)+SUMIF(C$7:C2375,C2375,F$7:F2375)-SUMIF(C$7:C2375,C2375,G$7:G2375))</f>
      </c>
      <c r="I2375" s="145">
        <f>IF(AND(F2375="",G2375=""),"",SUM(基础资料!$X$5:$X$24)+SUM(F$7:F2375)-SUM(G$7:G2375))</f>
      </c>
      <c r="J2375" s="141" t="n"/>
      <c r="K2375" s="141" t="n"/>
      <c r="L2375" s="141" t="n"/>
      <c r="M2375" s="142" t="n"/>
      <c r="N2375" s="146">
        <f>IF(AND(AND(F2375="",G2375=""),B2375="",C2375="",D2375="",J2375="",K2375="",L2375=""),"",IF(AND(F2375="",G2375=""),"✗ 没填金额",IF(AND(N(F2375)&lt;&gt;0,N(G2375)&lt;&gt;0),"✗ 收入、支出只能填一边",IF(NOT(ISNUMBER(B2375)),"✗ 日期不是真日期（要像 2026/9/25 这样填）",IF(OR(B2375&lt;年初日,B2375&gt;年末日),"✗ 日期不在本会计年度",IF(C2375="","✗ 没选账户",IF(COUNTIF(基础资料!$W$5:$W$24,C2375)=0,"✗ 账户不在基础资料里",IF(O2375="","✗ 没选收支项目",IF(P2375="未知","✗ 收支项目不在基础资料里",IF(AND(P2375="应收",J2375=""),"✗ 这笔要选客户",IF(AND(P2375="应收",COUNTIF(总览汇总!$B$5:$B$304,J2375)=0),"✗ 客户不在总览汇总名单里",IF(AND(P2375="应付",K2375=""),"✗ 这笔要选供应商",IF(AND(P2375="应付",COUNTIF(基础资料!$Q$5:$Q$54,K2375)=0),"✗ 供应商不在基础资料里",IF(AND(P2375="费用",L2375=""),"✗ 费用支出要选费用项目",IF(AND(L2375&lt;&gt;"",COUNTIF(基础资料!$AI$5:$AI$54,L2375)=0),"✗ 费用项目不在基础资料里",IF(AND(IFERROR(INDEX(基础资料!$AD$5:$AD$34,MATCH(O2375,基础资料!$AC$5:$AC$34,0)),"")="收",N(G2375)&lt;&gt;0),"✗ 这类是收款，金额填到收入列",IF(AND(IFERROR(INDEX(基础资料!$AD$5:$AD$34,MATCH(O2375,基础资料!$AC$5:$AC$34,0)),"")="支",N(F2375)&lt;&gt;0),"✗ 这类是付款，金额填到支出列",IF(N(H2375)&lt;0,"⚠ 账户余额成负数了，核对一下","√"))))))))))))))))))</f>
      </c>
      <c r="O2375" s="78">
        <f>IF(D2375&lt;&gt;"",D2375,IF(AND(F2375="",G2375=""),"",IF(J2375&lt;&gt;"",IF(N(F2375)&gt;0,"客户回款","客户退款"),IF(K2375&lt;&gt;"",IF(N(G2375)&gt;0,"供应商付款","供应商退款"),IF(L2375&lt;&gt;"","费用支出","")))))</f>
      </c>
      <c r="P2375" s="78">
        <f>IF(O2375="","",IFERROR(INDEX(基础资料!$AE$5:$AE$34,MATCH(O2375,基础资料!$AC$5:$AC$34,0)),"未知"))</f>
      </c>
      <c r="Q2375" s="78">
        <f>IF(P2375="应收",COUNTIF(P$7:P2375,"应收"),"")</f>
      </c>
      <c r="R2375" s="78">
        <f>IF(P2375="应付",COUNTIF(P$7:P2375,"应付"),"")</f>
      </c>
      <c r="S2375" s="78">
        <f>N(F2375)-N(G2375)</f>
        <v>0</v>
      </c>
    </row>
    <row r="2376">
      <c r="A2376" s="109">
        <f>IF(AND(F2376="",G2376=""),"",ROW()-6)</f>
      </c>
      <c r="B2376" s="140" t="n"/>
      <c r="C2376" s="141" t="n"/>
      <c r="D2376" s="141" t="n"/>
      <c r="E2376" s="142" t="n"/>
      <c r="F2376" s="143" t="n"/>
      <c r="G2376" s="144" t="n"/>
      <c r="H2376" s="145">
        <f>IF(OR(C2376="",AND(F2376="",G2376="")),"",SUMIF(基础资料!$W$5:$W$24,C2376,基础资料!$X$5:$X$24)+SUMIF(C$7:C2376,C2376,F$7:F2376)-SUMIF(C$7:C2376,C2376,G$7:G2376))</f>
      </c>
      <c r="I2376" s="145">
        <f>IF(AND(F2376="",G2376=""),"",SUM(基础资料!$X$5:$X$24)+SUM(F$7:F2376)-SUM(G$7:G2376))</f>
      </c>
      <c r="J2376" s="141" t="n"/>
      <c r="K2376" s="141" t="n"/>
      <c r="L2376" s="141" t="n"/>
      <c r="M2376" s="142" t="n"/>
      <c r="N2376" s="146">
        <f>IF(AND(AND(F2376="",G2376=""),B2376="",C2376="",D2376="",J2376="",K2376="",L2376=""),"",IF(AND(F2376="",G2376=""),"✗ 没填金额",IF(AND(N(F2376)&lt;&gt;0,N(G2376)&lt;&gt;0),"✗ 收入、支出只能填一边",IF(NOT(ISNUMBER(B2376)),"✗ 日期不是真日期（要像 2026/9/25 这样填）",IF(OR(B2376&lt;年初日,B2376&gt;年末日),"✗ 日期不在本会计年度",IF(C2376="","✗ 没选账户",IF(COUNTIF(基础资料!$W$5:$W$24,C2376)=0,"✗ 账户不在基础资料里",IF(O2376="","✗ 没选收支项目",IF(P2376="未知","✗ 收支项目不在基础资料里",IF(AND(P2376="应收",J2376=""),"✗ 这笔要选客户",IF(AND(P2376="应收",COUNTIF(总览汇总!$B$5:$B$304,J2376)=0),"✗ 客户不在总览汇总名单里",IF(AND(P2376="应付",K2376=""),"✗ 这笔要选供应商",IF(AND(P2376="应付",COUNTIF(基础资料!$Q$5:$Q$54,K2376)=0),"✗ 供应商不在基础资料里",IF(AND(P2376="费用",L2376=""),"✗ 费用支出要选费用项目",IF(AND(L2376&lt;&gt;"",COUNTIF(基础资料!$AI$5:$AI$54,L2376)=0),"✗ 费用项目不在基础资料里",IF(AND(IFERROR(INDEX(基础资料!$AD$5:$AD$34,MATCH(O2376,基础资料!$AC$5:$AC$34,0)),"")="收",N(G2376)&lt;&gt;0),"✗ 这类是收款，金额填到收入列",IF(AND(IFERROR(INDEX(基础资料!$AD$5:$AD$34,MATCH(O2376,基础资料!$AC$5:$AC$34,0)),"")="支",N(F2376)&lt;&gt;0),"✗ 这类是付款，金额填到支出列",IF(N(H2376)&lt;0,"⚠ 账户余额成负数了，核对一下","√"))))))))))))))))))</f>
      </c>
      <c r="O2376" s="78">
        <f>IF(D2376&lt;&gt;"",D2376,IF(AND(F2376="",G2376=""),"",IF(J2376&lt;&gt;"",IF(N(F2376)&gt;0,"客户回款","客户退款"),IF(K2376&lt;&gt;"",IF(N(G2376)&gt;0,"供应商付款","供应商退款"),IF(L2376&lt;&gt;"","费用支出","")))))</f>
      </c>
      <c r="P2376" s="78">
        <f>IF(O2376="","",IFERROR(INDEX(基础资料!$AE$5:$AE$34,MATCH(O2376,基础资料!$AC$5:$AC$34,0)),"未知"))</f>
      </c>
      <c r="Q2376" s="78">
        <f>IF(P2376="应收",COUNTIF(P$7:P2376,"应收"),"")</f>
      </c>
      <c r="R2376" s="78">
        <f>IF(P2376="应付",COUNTIF(P$7:P2376,"应付"),"")</f>
      </c>
      <c r="S2376" s="78">
        <f>N(F2376)-N(G2376)</f>
        <v>0</v>
      </c>
    </row>
    <row r="2377">
      <c r="A2377" s="109">
        <f>IF(AND(F2377="",G2377=""),"",ROW()-6)</f>
      </c>
      <c r="B2377" s="140" t="n"/>
      <c r="C2377" s="141" t="n"/>
      <c r="D2377" s="141" t="n"/>
      <c r="E2377" s="142" t="n"/>
      <c r="F2377" s="143" t="n"/>
      <c r="G2377" s="144" t="n"/>
      <c r="H2377" s="145">
        <f>IF(OR(C2377="",AND(F2377="",G2377="")),"",SUMIF(基础资料!$W$5:$W$24,C2377,基础资料!$X$5:$X$24)+SUMIF(C$7:C2377,C2377,F$7:F2377)-SUMIF(C$7:C2377,C2377,G$7:G2377))</f>
      </c>
      <c r="I2377" s="145">
        <f>IF(AND(F2377="",G2377=""),"",SUM(基础资料!$X$5:$X$24)+SUM(F$7:F2377)-SUM(G$7:G2377))</f>
      </c>
      <c r="J2377" s="141" t="n"/>
      <c r="K2377" s="141" t="n"/>
      <c r="L2377" s="141" t="n"/>
      <c r="M2377" s="142" t="n"/>
      <c r="N2377" s="146">
        <f>IF(AND(AND(F2377="",G2377=""),B2377="",C2377="",D2377="",J2377="",K2377="",L2377=""),"",IF(AND(F2377="",G2377=""),"✗ 没填金额",IF(AND(N(F2377)&lt;&gt;0,N(G2377)&lt;&gt;0),"✗ 收入、支出只能填一边",IF(NOT(ISNUMBER(B2377)),"✗ 日期不是真日期（要像 2026/9/25 这样填）",IF(OR(B2377&lt;年初日,B2377&gt;年末日),"✗ 日期不在本会计年度",IF(C2377="","✗ 没选账户",IF(COUNTIF(基础资料!$W$5:$W$24,C2377)=0,"✗ 账户不在基础资料里",IF(O2377="","✗ 没选收支项目",IF(P2377="未知","✗ 收支项目不在基础资料里",IF(AND(P2377="应收",J2377=""),"✗ 这笔要选客户",IF(AND(P2377="应收",COUNTIF(总览汇总!$B$5:$B$304,J2377)=0),"✗ 客户不在总览汇总名单里",IF(AND(P2377="应付",K2377=""),"✗ 这笔要选供应商",IF(AND(P2377="应付",COUNTIF(基础资料!$Q$5:$Q$54,K2377)=0),"✗ 供应商不在基础资料里",IF(AND(P2377="费用",L2377=""),"✗ 费用支出要选费用项目",IF(AND(L2377&lt;&gt;"",COUNTIF(基础资料!$AI$5:$AI$54,L2377)=0),"✗ 费用项目不在基础资料里",IF(AND(IFERROR(INDEX(基础资料!$AD$5:$AD$34,MATCH(O2377,基础资料!$AC$5:$AC$34,0)),"")="收",N(G2377)&lt;&gt;0),"✗ 这类是收款，金额填到收入列",IF(AND(IFERROR(INDEX(基础资料!$AD$5:$AD$34,MATCH(O2377,基础资料!$AC$5:$AC$34,0)),"")="支",N(F2377)&lt;&gt;0),"✗ 这类是付款，金额填到支出列",IF(N(H2377)&lt;0,"⚠ 账户余额成负数了，核对一下","√"))))))))))))))))))</f>
      </c>
      <c r="O2377" s="78">
        <f>IF(D2377&lt;&gt;"",D2377,IF(AND(F2377="",G2377=""),"",IF(J2377&lt;&gt;"",IF(N(F2377)&gt;0,"客户回款","客户退款"),IF(K2377&lt;&gt;"",IF(N(G2377)&gt;0,"供应商付款","供应商退款"),IF(L2377&lt;&gt;"","费用支出","")))))</f>
      </c>
      <c r="P2377" s="78">
        <f>IF(O2377="","",IFERROR(INDEX(基础资料!$AE$5:$AE$34,MATCH(O2377,基础资料!$AC$5:$AC$34,0)),"未知"))</f>
      </c>
      <c r="Q2377" s="78">
        <f>IF(P2377="应收",COUNTIF(P$7:P2377,"应收"),"")</f>
      </c>
      <c r="R2377" s="78">
        <f>IF(P2377="应付",COUNTIF(P$7:P2377,"应付"),"")</f>
      </c>
      <c r="S2377" s="78">
        <f>N(F2377)-N(G2377)</f>
        <v>0</v>
      </c>
    </row>
    <row r="2378">
      <c r="A2378" s="109">
        <f>IF(AND(F2378="",G2378=""),"",ROW()-6)</f>
      </c>
      <c r="B2378" s="140" t="n"/>
      <c r="C2378" s="141" t="n"/>
      <c r="D2378" s="141" t="n"/>
      <c r="E2378" s="142" t="n"/>
      <c r="F2378" s="143" t="n"/>
      <c r="G2378" s="144" t="n"/>
      <c r="H2378" s="145">
        <f>IF(OR(C2378="",AND(F2378="",G2378="")),"",SUMIF(基础资料!$W$5:$W$24,C2378,基础资料!$X$5:$X$24)+SUMIF(C$7:C2378,C2378,F$7:F2378)-SUMIF(C$7:C2378,C2378,G$7:G2378))</f>
      </c>
      <c r="I2378" s="145">
        <f>IF(AND(F2378="",G2378=""),"",SUM(基础资料!$X$5:$X$24)+SUM(F$7:F2378)-SUM(G$7:G2378))</f>
      </c>
      <c r="J2378" s="141" t="n"/>
      <c r="K2378" s="141" t="n"/>
      <c r="L2378" s="141" t="n"/>
      <c r="M2378" s="142" t="n"/>
      <c r="N2378" s="146">
        <f>IF(AND(AND(F2378="",G2378=""),B2378="",C2378="",D2378="",J2378="",K2378="",L2378=""),"",IF(AND(F2378="",G2378=""),"✗ 没填金额",IF(AND(N(F2378)&lt;&gt;0,N(G2378)&lt;&gt;0),"✗ 收入、支出只能填一边",IF(NOT(ISNUMBER(B2378)),"✗ 日期不是真日期（要像 2026/9/25 这样填）",IF(OR(B2378&lt;年初日,B2378&gt;年末日),"✗ 日期不在本会计年度",IF(C2378="","✗ 没选账户",IF(COUNTIF(基础资料!$W$5:$W$24,C2378)=0,"✗ 账户不在基础资料里",IF(O2378="","✗ 没选收支项目",IF(P2378="未知","✗ 收支项目不在基础资料里",IF(AND(P2378="应收",J2378=""),"✗ 这笔要选客户",IF(AND(P2378="应收",COUNTIF(总览汇总!$B$5:$B$304,J2378)=0),"✗ 客户不在总览汇总名单里",IF(AND(P2378="应付",K2378=""),"✗ 这笔要选供应商",IF(AND(P2378="应付",COUNTIF(基础资料!$Q$5:$Q$54,K2378)=0),"✗ 供应商不在基础资料里",IF(AND(P2378="费用",L2378=""),"✗ 费用支出要选费用项目",IF(AND(L2378&lt;&gt;"",COUNTIF(基础资料!$AI$5:$AI$54,L2378)=0),"✗ 费用项目不在基础资料里",IF(AND(IFERROR(INDEX(基础资料!$AD$5:$AD$34,MATCH(O2378,基础资料!$AC$5:$AC$34,0)),"")="收",N(G2378)&lt;&gt;0),"✗ 这类是收款，金额填到收入列",IF(AND(IFERROR(INDEX(基础资料!$AD$5:$AD$34,MATCH(O2378,基础资料!$AC$5:$AC$34,0)),"")="支",N(F2378)&lt;&gt;0),"✗ 这类是付款，金额填到支出列",IF(N(H2378)&lt;0,"⚠ 账户余额成负数了，核对一下","√"))))))))))))))))))</f>
      </c>
      <c r="O2378" s="78">
        <f>IF(D2378&lt;&gt;"",D2378,IF(AND(F2378="",G2378=""),"",IF(J2378&lt;&gt;"",IF(N(F2378)&gt;0,"客户回款","客户退款"),IF(K2378&lt;&gt;"",IF(N(G2378)&gt;0,"供应商付款","供应商退款"),IF(L2378&lt;&gt;"","费用支出","")))))</f>
      </c>
      <c r="P2378" s="78">
        <f>IF(O2378="","",IFERROR(INDEX(基础资料!$AE$5:$AE$34,MATCH(O2378,基础资料!$AC$5:$AC$34,0)),"未知"))</f>
      </c>
      <c r="Q2378" s="78">
        <f>IF(P2378="应收",COUNTIF(P$7:P2378,"应收"),"")</f>
      </c>
      <c r="R2378" s="78">
        <f>IF(P2378="应付",COUNTIF(P$7:P2378,"应付"),"")</f>
      </c>
      <c r="S2378" s="78">
        <f>N(F2378)-N(G2378)</f>
        <v>0</v>
      </c>
    </row>
    <row r="2379">
      <c r="A2379" s="109">
        <f>IF(AND(F2379="",G2379=""),"",ROW()-6)</f>
      </c>
      <c r="B2379" s="140" t="n"/>
      <c r="C2379" s="141" t="n"/>
      <c r="D2379" s="141" t="n"/>
      <c r="E2379" s="142" t="n"/>
      <c r="F2379" s="143" t="n"/>
      <c r="G2379" s="144" t="n"/>
      <c r="H2379" s="145">
        <f>IF(OR(C2379="",AND(F2379="",G2379="")),"",SUMIF(基础资料!$W$5:$W$24,C2379,基础资料!$X$5:$X$24)+SUMIF(C$7:C2379,C2379,F$7:F2379)-SUMIF(C$7:C2379,C2379,G$7:G2379))</f>
      </c>
      <c r="I2379" s="145">
        <f>IF(AND(F2379="",G2379=""),"",SUM(基础资料!$X$5:$X$24)+SUM(F$7:F2379)-SUM(G$7:G2379))</f>
      </c>
      <c r="J2379" s="141" t="n"/>
      <c r="K2379" s="141" t="n"/>
      <c r="L2379" s="141" t="n"/>
      <c r="M2379" s="142" t="n"/>
      <c r="N2379" s="146">
        <f>IF(AND(AND(F2379="",G2379=""),B2379="",C2379="",D2379="",J2379="",K2379="",L2379=""),"",IF(AND(F2379="",G2379=""),"✗ 没填金额",IF(AND(N(F2379)&lt;&gt;0,N(G2379)&lt;&gt;0),"✗ 收入、支出只能填一边",IF(NOT(ISNUMBER(B2379)),"✗ 日期不是真日期（要像 2026/9/25 这样填）",IF(OR(B2379&lt;年初日,B2379&gt;年末日),"✗ 日期不在本会计年度",IF(C2379="","✗ 没选账户",IF(COUNTIF(基础资料!$W$5:$W$24,C2379)=0,"✗ 账户不在基础资料里",IF(O2379="","✗ 没选收支项目",IF(P2379="未知","✗ 收支项目不在基础资料里",IF(AND(P2379="应收",J2379=""),"✗ 这笔要选客户",IF(AND(P2379="应收",COUNTIF(总览汇总!$B$5:$B$304,J2379)=0),"✗ 客户不在总览汇总名单里",IF(AND(P2379="应付",K2379=""),"✗ 这笔要选供应商",IF(AND(P2379="应付",COUNTIF(基础资料!$Q$5:$Q$54,K2379)=0),"✗ 供应商不在基础资料里",IF(AND(P2379="费用",L2379=""),"✗ 费用支出要选费用项目",IF(AND(L2379&lt;&gt;"",COUNTIF(基础资料!$AI$5:$AI$54,L2379)=0),"✗ 费用项目不在基础资料里",IF(AND(IFERROR(INDEX(基础资料!$AD$5:$AD$34,MATCH(O2379,基础资料!$AC$5:$AC$34,0)),"")="收",N(G2379)&lt;&gt;0),"✗ 这类是收款，金额填到收入列",IF(AND(IFERROR(INDEX(基础资料!$AD$5:$AD$34,MATCH(O2379,基础资料!$AC$5:$AC$34,0)),"")="支",N(F2379)&lt;&gt;0),"✗ 这类是付款，金额填到支出列",IF(N(H2379)&lt;0,"⚠ 账户余额成负数了，核对一下","√"))))))))))))))))))</f>
      </c>
      <c r="O2379" s="78">
        <f>IF(D2379&lt;&gt;"",D2379,IF(AND(F2379="",G2379=""),"",IF(J2379&lt;&gt;"",IF(N(F2379)&gt;0,"客户回款","客户退款"),IF(K2379&lt;&gt;"",IF(N(G2379)&gt;0,"供应商付款","供应商退款"),IF(L2379&lt;&gt;"","费用支出","")))))</f>
      </c>
      <c r="P2379" s="78">
        <f>IF(O2379="","",IFERROR(INDEX(基础资料!$AE$5:$AE$34,MATCH(O2379,基础资料!$AC$5:$AC$34,0)),"未知"))</f>
      </c>
      <c r="Q2379" s="78">
        <f>IF(P2379="应收",COUNTIF(P$7:P2379,"应收"),"")</f>
      </c>
      <c r="R2379" s="78">
        <f>IF(P2379="应付",COUNTIF(P$7:P2379,"应付"),"")</f>
      </c>
      <c r="S2379" s="78">
        <f>N(F2379)-N(G2379)</f>
        <v>0</v>
      </c>
    </row>
    <row r="2380">
      <c r="A2380" s="109">
        <f>IF(AND(F2380="",G2380=""),"",ROW()-6)</f>
      </c>
      <c r="B2380" s="140" t="n"/>
      <c r="C2380" s="141" t="n"/>
      <c r="D2380" s="141" t="n"/>
      <c r="E2380" s="142" t="n"/>
      <c r="F2380" s="143" t="n"/>
      <c r="G2380" s="144" t="n"/>
      <c r="H2380" s="145">
        <f>IF(OR(C2380="",AND(F2380="",G2380="")),"",SUMIF(基础资料!$W$5:$W$24,C2380,基础资料!$X$5:$X$24)+SUMIF(C$7:C2380,C2380,F$7:F2380)-SUMIF(C$7:C2380,C2380,G$7:G2380))</f>
      </c>
      <c r="I2380" s="145">
        <f>IF(AND(F2380="",G2380=""),"",SUM(基础资料!$X$5:$X$24)+SUM(F$7:F2380)-SUM(G$7:G2380))</f>
      </c>
      <c r="J2380" s="141" t="n"/>
      <c r="K2380" s="141" t="n"/>
      <c r="L2380" s="141" t="n"/>
      <c r="M2380" s="142" t="n"/>
      <c r="N2380" s="146">
        <f>IF(AND(AND(F2380="",G2380=""),B2380="",C2380="",D2380="",J2380="",K2380="",L2380=""),"",IF(AND(F2380="",G2380=""),"✗ 没填金额",IF(AND(N(F2380)&lt;&gt;0,N(G2380)&lt;&gt;0),"✗ 收入、支出只能填一边",IF(NOT(ISNUMBER(B2380)),"✗ 日期不是真日期（要像 2026/9/25 这样填）",IF(OR(B2380&lt;年初日,B2380&gt;年末日),"✗ 日期不在本会计年度",IF(C2380="","✗ 没选账户",IF(COUNTIF(基础资料!$W$5:$W$24,C2380)=0,"✗ 账户不在基础资料里",IF(O2380="","✗ 没选收支项目",IF(P2380="未知","✗ 收支项目不在基础资料里",IF(AND(P2380="应收",J2380=""),"✗ 这笔要选客户",IF(AND(P2380="应收",COUNTIF(总览汇总!$B$5:$B$304,J2380)=0),"✗ 客户不在总览汇总名单里",IF(AND(P2380="应付",K2380=""),"✗ 这笔要选供应商",IF(AND(P2380="应付",COUNTIF(基础资料!$Q$5:$Q$54,K2380)=0),"✗ 供应商不在基础资料里",IF(AND(P2380="费用",L2380=""),"✗ 费用支出要选费用项目",IF(AND(L2380&lt;&gt;"",COUNTIF(基础资料!$AI$5:$AI$54,L2380)=0),"✗ 费用项目不在基础资料里",IF(AND(IFERROR(INDEX(基础资料!$AD$5:$AD$34,MATCH(O2380,基础资料!$AC$5:$AC$34,0)),"")="收",N(G2380)&lt;&gt;0),"✗ 这类是收款，金额填到收入列",IF(AND(IFERROR(INDEX(基础资料!$AD$5:$AD$34,MATCH(O2380,基础资料!$AC$5:$AC$34,0)),"")="支",N(F2380)&lt;&gt;0),"✗ 这类是付款，金额填到支出列",IF(N(H2380)&lt;0,"⚠ 账户余额成负数了，核对一下","√"))))))))))))))))))</f>
      </c>
      <c r="O2380" s="78">
        <f>IF(D2380&lt;&gt;"",D2380,IF(AND(F2380="",G2380=""),"",IF(J2380&lt;&gt;"",IF(N(F2380)&gt;0,"客户回款","客户退款"),IF(K2380&lt;&gt;"",IF(N(G2380)&gt;0,"供应商付款","供应商退款"),IF(L2380&lt;&gt;"","费用支出","")))))</f>
      </c>
      <c r="P2380" s="78">
        <f>IF(O2380="","",IFERROR(INDEX(基础资料!$AE$5:$AE$34,MATCH(O2380,基础资料!$AC$5:$AC$34,0)),"未知"))</f>
      </c>
      <c r="Q2380" s="78">
        <f>IF(P2380="应收",COUNTIF(P$7:P2380,"应收"),"")</f>
      </c>
      <c r="R2380" s="78">
        <f>IF(P2380="应付",COUNTIF(P$7:P2380,"应付"),"")</f>
      </c>
      <c r="S2380" s="78">
        <f>N(F2380)-N(G2380)</f>
        <v>0</v>
      </c>
    </row>
    <row r="2381">
      <c r="A2381" s="109">
        <f>IF(AND(F2381="",G2381=""),"",ROW()-6)</f>
      </c>
      <c r="B2381" s="140" t="n"/>
      <c r="C2381" s="141" t="n"/>
      <c r="D2381" s="141" t="n"/>
      <c r="E2381" s="142" t="n"/>
      <c r="F2381" s="143" t="n"/>
      <c r="G2381" s="144" t="n"/>
      <c r="H2381" s="145">
        <f>IF(OR(C2381="",AND(F2381="",G2381="")),"",SUMIF(基础资料!$W$5:$W$24,C2381,基础资料!$X$5:$X$24)+SUMIF(C$7:C2381,C2381,F$7:F2381)-SUMIF(C$7:C2381,C2381,G$7:G2381))</f>
      </c>
      <c r="I2381" s="145">
        <f>IF(AND(F2381="",G2381=""),"",SUM(基础资料!$X$5:$X$24)+SUM(F$7:F2381)-SUM(G$7:G2381))</f>
      </c>
      <c r="J2381" s="141" t="n"/>
      <c r="K2381" s="141" t="n"/>
      <c r="L2381" s="141" t="n"/>
      <c r="M2381" s="142" t="n"/>
      <c r="N2381" s="146">
        <f>IF(AND(AND(F2381="",G2381=""),B2381="",C2381="",D2381="",J2381="",K2381="",L2381=""),"",IF(AND(F2381="",G2381=""),"✗ 没填金额",IF(AND(N(F2381)&lt;&gt;0,N(G2381)&lt;&gt;0),"✗ 收入、支出只能填一边",IF(NOT(ISNUMBER(B2381)),"✗ 日期不是真日期（要像 2026/9/25 这样填）",IF(OR(B2381&lt;年初日,B2381&gt;年末日),"✗ 日期不在本会计年度",IF(C2381="","✗ 没选账户",IF(COUNTIF(基础资料!$W$5:$W$24,C2381)=0,"✗ 账户不在基础资料里",IF(O2381="","✗ 没选收支项目",IF(P2381="未知","✗ 收支项目不在基础资料里",IF(AND(P2381="应收",J2381=""),"✗ 这笔要选客户",IF(AND(P2381="应收",COUNTIF(总览汇总!$B$5:$B$304,J2381)=0),"✗ 客户不在总览汇总名单里",IF(AND(P2381="应付",K2381=""),"✗ 这笔要选供应商",IF(AND(P2381="应付",COUNTIF(基础资料!$Q$5:$Q$54,K2381)=0),"✗ 供应商不在基础资料里",IF(AND(P2381="费用",L2381=""),"✗ 费用支出要选费用项目",IF(AND(L2381&lt;&gt;"",COUNTIF(基础资料!$AI$5:$AI$54,L2381)=0),"✗ 费用项目不在基础资料里",IF(AND(IFERROR(INDEX(基础资料!$AD$5:$AD$34,MATCH(O2381,基础资料!$AC$5:$AC$34,0)),"")="收",N(G2381)&lt;&gt;0),"✗ 这类是收款，金额填到收入列",IF(AND(IFERROR(INDEX(基础资料!$AD$5:$AD$34,MATCH(O2381,基础资料!$AC$5:$AC$34,0)),"")="支",N(F2381)&lt;&gt;0),"✗ 这类是付款，金额填到支出列",IF(N(H2381)&lt;0,"⚠ 账户余额成负数了，核对一下","√"))))))))))))))))))</f>
      </c>
      <c r="O2381" s="78">
        <f>IF(D2381&lt;&gt;"",D2381,IF(AND(F2381="",G2381=""),"",IF(J2381&lt;&gt;"",IF(N(F2381)&gt;0,"客户回款","客户退款"),IF(K2381&lt;&gt;"",IF(N(G2381)&gt;0,"供应商付款","供应商退款"),IF(L2381&lt;&gt;"","费用支出","")))))</f>
      </c>
      <c r="P2381" s="78">
        <f>IF(O2381="","",IFERROR(INDEX(基础资料!$AE$5:$AE$34,MATCH(O2381,基础资料!$AC$5:$AC$34,0)),"未知"))</f>
      </c>
      <c r="Q2381" s="78">
        <f>IF(P2381="应收",COUNTIF(P$7:P2381,"应收"),"")</f>
      </c>
      <c r="R2381" s="78">
        <f>IF(P2381="应付",COUNTIF(P$7:P2381,"应付"),"")</f>
      </c>
      <c r="S2381" s="78">
        <f>N(F2381)-N(G2381)</f>
        <v>0</v>
      </c>
    </row>
    <row r="2382">
      <c r="A2382" s="109">
        <f>IF(AND(F2382="",G2382=""),"",ROW()-6)</f>
      </c>
      <c r="B2382" s="140" t="n"/>
      <c r="C2382" s="141" t="n"/>
      <c r="D2382" s="141" t="n"/>
      <c r="E2382" s="142" t="n"/>
      <c r="F2382" s="143" t="n"/>
      <c r="G2382" s="144" t="n"/>
      <c r="H2382" s="145">
        <f>IF(OR(C2382="",AND(F2382="",G2382="")),"",SUMIF(基础资料!$W$5:$W$24,C2382,基础资料!$X$5:$X$24)+SUMIF(C$7:C2382,C2382,F$7:F2382)-SUMIF(C$7:C2382,C2382,G$7:G2382))</f>
      </c>
      <c r="I2382" s="145">
        <f>IF(AND(F2382="",G2382=""),"",SUM(基础资料!$X$5:$X$24)+SUM(F$7:F2382)-SUM(G$7:G2382))</f>
      </c>
      <c r="J2382" s="141" t="n"/>
      <c r="K2382" s="141" t="n"/>
      <c r="L2382" s="141" t="n"/>
      <c r="M2382" s="142" t="n"/>
      <c r="N2382" s="146">
        <f>IF(AND(AND(F2382="",G2382=""),B2382="",C2382="",D2382="",J2382="",K2382="",L2382=""),"",IF(AND(F2382="",G2382=""),"✗ 没填金额",IF(AND(N(F2382)&lt;&gt;0,N(G2382)&lt;&gt;0),"✗ 收入、支出只能填一边",IF(NOT(ISNUMBER(B2382)),"✗ 日期不是真日期（要像 2026/9/25 这样填）",IF(OR(B2382&lt;年初日,B2382&gt;年末日),"✗ 日期不在本会计年度",IF(C2382="","✗ 没选账户",IF(COUNTIF(基础资料!$W$5:$W$24,C2382)=0,"✗ 账户不在基础资料里",IF(O2382="","✗ 没选收支项目",IF(P2382="未知","✗ 收支项目不在基础资料里",IF(AND(P2382="应收",J2382=""),"✗ 这笔要选客户",IF(AND(P2382="应收",COUNTIF(总览汇总!$B$5:$B$304,J2382)=0),"✗ 客户不在总览汇总名单里",IF(AND(P2382="应付",K2382=""),"✗ 这笔要选供应商",IF(AND(P2382="应付",COUNTIF(基础资料!$Q$5:$Q$54,K2382)=0),"✗ 供应商不在基础资料里",IF(AND(P2382="费用",L2382=""),"✗ 费用支出要选费用项目",IF(AND(L2382&lt;&gt;"",COUNTIF(基础资料!$AI$5:$AI$54,L2382)=0),"✗ 费用项目不在基础资料里",IF(AND(IFERROR(INDEX(基础资料!$AD$5:$AD$34,MATCH(O2382,基础资料!$AC$5:$AC$34,0)),"")="收",N(G2382)&lt;&gt;0),"✗ 这类是收款，金额填到收入列",IF(AND(IFERROR(INDEX(基础资料!$AD$5:$AD$34,MATCH(O2382,基础资料!$AC$5:$AC$34,0)),"")="支",N(F2382)&lt;&gt;0),"✗ 这类是付款，金额填到支出列",IF(N(H2382)&lt;0,"⚠ 账户余额成负数了，核对一下","√"))))))))))))))))))</f>
      </c>
      <c r="O2382" s="78">
        <f>IF(D2382&lt;&gt;"",D2382,IF(AND(F2382="",G2382=""),"",IF(J2382&lt;&gt;"",IF(N(F2382)&gt;0,"客户回款","客户退款"),IF(K2382&lt;&gt;"",IF(N(G2382)&gt;0,"供应商付款","供应商退款"),IF(L2382&lt;&gt;"","费用支出","")))))</f>
      </c>
      <c r="P2382" s="78">
        <f>IF(O2382="","",IFERROR(INDEX(基础资料!$AE$5:$AE$34,MATCH(O2382,基础资料!$AC$5:$AC$34,0)),"未知"))</f>
      </c>
      <c r="Q2382" s="78">
        <f>IF(P2382="应收",COUNTIF(P$7:P2382,"应收"),"")</f>
      </c>
      <c r="R2382" s="78">
        <f>IF(P2382="应付",COUNTIF(P$7:P2382,"应付"),"")</f>
      </c>
      <c r="S2382" s="78">
        <f>N(F2382)-N(G2382)</f>
        <v>0</v>
      </c>
    </row>
    <row r="2383">
      <c r="A2383" s="109">
        <f>IF(AND(F2383="",G2383=""),"",ROW()-6)</f>
      </c>
      <c r="B2383" s="140" t="n"/>
      <c r="C2383" s="141" t="n"/>
      <c r="D2383" s="141" t="n"/>
      <c r="E2383" s="142" t="n"/>
      <c r="F2383" s="143" t="n"/>
      <c r="G2383" s="144" t="n"/>
      <c r="H2383" s="145">
        <f>IF(OR(C2383="",AND(F2383="",G2383="")),"",SUMIF(基础资料!$W$5:$W$24,C2383,基础资料!$X$5:$X$24)+SUMIF(C$7:C2383,C2383,F$7:F2383)-SUMIF(C$7:C2383,C2383,G$7:G2383))</f>
      </c>
      <c r="I2383" s="145">
        <f>IF(AND(F2383="",G2383=""),"",SUM(基础资料!$X$5:$X$24)+SUM(F$7:F2383)-SUM(G$7:G2383))</f>
      </c>
      <c r="J2383" s="141" t="n"/>
      <c r="K2383" s="141" t="n"/>
      <c r="L2383" s="141" t="n"/>
      <c r="M2383" s="142" t="n"/>
      <c r="N2383" s="146">
        <f>IF(AND(AND(F2383="",G2383=""),B2383="",C2383="",D2383="",J2383="",K2383="",L2383=""),"",IF(AND(F2383="",G2383=""),"✗ 没填金额",IF(AND(N(F2383)&lt;&gt;0,N(G2383)&lt;&gt;0),"✗ 收入、支出只能填一边",IF(NOT(ISNUMBER(B2383)),"✗ 日期不是真日期（要像 2026/9/25 这样填）",IF(OR(B2383&lt;年初日,B2383&gt;年末日),"✗ 日期不在本会计年度",IF(C2383="","✗ 没选账户",IF(COUNTIF(基础资料!$W$5:$W$24,C2383)=0,"✗ 账户不在基础资料里",IF(O2383="","✗ 没选收支项目",IF(P2383="未知","✗ 收支项目不在基础资料里",IF(AND(P2383="应收",J2383=""),"✗ 这笔要选客户",IF(AND(P2383="应收",COUNTIF(总览汇总!$B$5:$B$304,J2383)=0),"✗ 客户不在总览汇总名单里",IF(AND(P2383="应付",K2383=""),"✗ 这笔要选供应商",IF(AND(P2383="应付",COUNTIF(基础资料!$Q$5:$Q$54,K2383)=0),"✗ 供应商不在基础资料里",IF(AND(P2383="费用",L2383=""),"✗ 费用支出要选费用项目",IF(AND(L2383&lt;&gt;"",COUNTIF(基础资料!$AI$5:$AI$54,L2383)=0),"✗ 费用项目不在基础资料里",IF(AND(IFERROR(INDEX(基础资料!$AD$5:$AD$34,MATCH(O2383,基础资料!$AC$5:$AC$34,0)),"")="收",N(G2383)&lt;&gt;0),"✗ 这类是收款，金额填到收入列",IF(AND(IFERROR(INDEX(基础资料!$AD$5:$AD$34,MATCH(O2383,基础资料!$AC$5:$AC$34,0)),"")="支",N(F2383)&lt;&gt;0),"✗ 这类是付款，金额填到支出列",IF(N(H2383)&lt;0,"⚠ 账户余额成负数了，核对一下","√"))))))))))))))))))</f>
      </c>
      <c r="O2383" s="78">
        <f>IF(D2383&lt;&gt;"",D2383,IF(AND(F2383="",G2383=""),"",IF(J2383&lt;&gt;"",IF(N(F2383)&gt;0,"客户回款","客户退款"),IF(K2383&lt;&gt;"",IF(N(G2383)&gt;0,"供应商付款","供应商退款"),IF(L2383&lt;&gt;"","费用支出","")))))</f>
      </c>
      <c r="P2383" s="78">
        <f>IF(O2383="","",IFERROR(INDEX(基础资料!$AE$5:$AE$34,MATCH(O2383,基础资料!$AC$5:$AC$34,0)),"未知"))</f>
      </c>
      <c r="Q2383" s="78">
        <f>IF(P2383="应收",COUNTIF(P$7:P2383,"应收"),"")</f>
      </c>
      <c r="R2383" s="78">
        <f>IF(P2383="应付",COUNTIF(P$7:P2383,"应付"),"")</f>
      </c>
      <c r="S2383" s="78">
        <f>N(F2383)-N(G2383)</f>
        <v>0</v>
      </c>
    </row>
    <row r="2384">
      <c r="A2384" s="109">
        <f>IF(AND(F2384="",G2384=""),"",ROW()-6)</f>
      </c>
      <c r="B2384" s="140" t="n"/>
      <c r="C2384" s="141" t="n"/>
      <c r="D2384" s="141" t="n"/>
      <c r="E2384" s="142" t="n"/>
      <c r="F2384" s="143" t="n"/>
      <c r="G2384" s="144" t="n"/>
      <c r="H2384" s="145">
        <f>IF(OR(C2384="",AND(F2384="",G2384="")),"",SUMIF(基础资料!$W$5:$W$24,C2384,基础资料!$X$5:$X$24)+SUMIF(C$7:C2384,C2384,F$7:F2384)-SUMIF(C$7:C2384,C2384,G$7:G2384))</f>
      </c>
      <c r="I2384" s="145">
        <f>IF(AND(F2384="",G2384=""),"",SUM(基础资料!$X$5:$X$24)+SUM(F$7:F2384)-SUM(G$7:G2384))</f>
      </c>
      <c r="J2384" s="141" t="n"/>
      <c r="K2384" s="141" t="n"/>
      <c r="L2384" s="141" t="n"/>
      <c r="M2384" s="142" t="n"/>
      <c r="N2384" s="146">
        <f>IF(AND(AND(F2384="",G2384=""),B2384="",C2384="",D2384="",J2384="",K2384="",L2384=""),"",IF(AND(F2384="",G2384=""),"✗ 没填金额",IF(AND(N(F2384)&lt;&gt;0,N(G2384)&lt;&gt;0),"✗ 收入、支出只能填一边",IF(NOT(ISNUMBER(B2384)),"✗ 日期不是真日期（要像 2026/9/25 这样填）",IF(OR(B2384&lt;年初日,B2384&gt;年末日),"✗ 日期不在本会计年度",IF(C2384="","✗ 没选账户",IF(COUNTIF(基础资料!$W$5:$W$24,C2384)=0,"✗ 账户不在基础资料里",IF(O2384="","✗ 没选收支项目",IF(P2384="未知","✗ 收支项目不在基础资料里",IF(AND(P2384="应收",J2384=""),"✗ 这笔要选客户",IF(AND(P2384="应收",COUNTIF(总览汇总!$B$5:$B$304,J2384)=0),"✗ 客户不在总览汇总名单里",IF(AND(P2384="应付",K2384=""),"✗ 这笔要选供应商",IF(AND(P2384="应付",COUNTIF(基础资料!$Q$5:$Q$54,K2384)=0),"✗ 供应商不在基础资料里",IF(AND(P2384="费用",L2384=""),"✗ 费用支出要选费用项目",IF(AND(L2384&lt;&gt;"",COUNTIF(基础资料!$AI$5:$AI$54,L2384)=0),"✗ 费用项目不在基础资料里",IF(AND(IFERROR(INDEX(基础资料!$AD$5:$AD$34,MATCH(O2384,基础资料!$AC$5:$AC$34,0)),"")="收",N(G2384)&lt;&gt;0),"✗ 这类是收款，金额填到收入列",IF(AND(IFERROR(INDEX(基础资料!$AD$5:$AD$34,MATCH(O2384,基础资料!$AC$5:$AC$34,0)),"")="支",N(F2384)&lt;&gt;0),"✗ 这类是付款，金额填到支出列",IF(N(H2384)&lt;0,"⚠ 账户余额成负数了，核对一下","√"))))))))))))))))))</f>
      </c>
      <c r="O2384" s="78">
        <f>IF(D2384&lt;&gt;"",D2384,IF(AND(F2384="",G2384=""),"",IF(J2384&lt;&gt;"",IF(N(F2384)&gt;0,"客户回款","客户退款"),IF(K2384&lt;&gt;"",IF(N(G2384)&gt;0,"供应商付款","供应商退款"),IF(L2384&lt;&gt;"","费用支出","")))))</f>
      </c>
      <c r="P2384" s="78">
        <f>IF(O2384="","",IFERROR(INDEX(基础资料!$AE$5:$AE$34,MATCH(O2384,基础资料!$AC$5:$AC$34,0)),"未知"))</f>
      </c>
      <c r="Q2384" s="78">
        <f>IF(P2384="应收",COUNTIF(P$7:P2384,"应收"),"")</f>
      </c>
      <c r="R2384" s="78">
        <f>IF(P2384="应付",COUNTIF(P$7:P2384,"应付"),"")</f>
      </c>
      <c r="S2384" s="78">
        <f>N(F2384)-N(G2384)</f>
        <v>0</v>
      </c>
    </row>
    <row r="2385">
      <c r="A2385" s="109">
        <f>IF(AND(F2385="",G2385=""),"",ROW()-6)</f>
      </c>
      <c r="B2385" s="140" t="n"/>
      <c r="C2385" s="141" t="n"/>
      <c r="D2385" s="141" t="n"/>
      <c r="E2385" s="142" t="n"/>
      <c r="F2385" s="143" t="n"/>
      <c r="G2385" s="144" t="n"/>
      <c r="H2385" s="145">
        <f>IF(OR(C2385="",AND(F2385="",G2385="")),"",SUMIF(基础资料!$W$5:$W$24,C2385,基础资料!$X$5:$X$24)+SUMIF(C$7:C2385,C2385,F$7:F2385)-SUMIF(C$7:C2385,C2385,G$7:G2385))</f>
      </c>
      <c r="I2385" s="145">
        <f>IF(AND(F2385="",G2385=""),"",SUM(基础资料!$X$5:$X$24)+SUM(F$7:F2385)-SUM(G$7:G2385))</f>
      </c>
      <c r="J2385" s="141" t="n"/>
      <c r="K2385" s="141" t="n"/>
      <c r="L2385" s="141" t="n"/>
      <c r="M2385" s="142" t="n"/>
      <c r="N2385" s="146">
        <f>IF(AND(AND(F2385="",G2385=""),B2385="",C2385="",D2385="",J2385="",K2385="",L2385=""),"",IF(AND(F2385="",G2385=""),"✗ 没填金额",IF(AND(N(F2385)&lt;&gt;0,N(G2385)&lt;&gt;0),"✗ 收入、支出只能填一边",IF(NOT(ISNUMBER(B2385)),"✗ 日期不是真日期（要像 2026/9/25 这样填）",IF(OR(B2385&lt;年初日,B2385&gt;年末日),"✗ 日期不在本会计年度",IF(C2385="","✗ 没选账户",IF(COUNTIF(基础资料!$W$5:$W$24,C2385)=0,"✗ 账户不在基础资料里",IF(O2385="","✗ 没选收支项目",IF(P2385="未知","✗ 收支项目不在基础资料里",IF(AND(P2385="应收",J2385=""),"✗ 这笔要选客户",IF(AND(P2385="应收",COUNTIF(总览汇总!$B$5:$B$304,J2385)=0),"✗ 客户不在总览汇总名单里",IF(AND(P2385="应付",K2385=""),"✗ 这笔要选供应商",IF(AND(P2385="应付",COUNTIF(基础资料!$Q$5:$Q$54,K2385)=0),"✗ 供应商不在基础资料里",IF(AND(P2385="费用",L2385=""),"✗ 费用支出要选费用项目",IF(AND(L2385&lt;&gt;"",COUNTIF(基础资料!$AI$5:$AI$54,L2385)=0),"✗ 费用项目不在基础资料里",IF(AND(IFERROR(INDEX(基础资料!$AD$5:$AD$34,MATCH(O2385,基础资料!$AC$5:$AC$34,0)),"")="收",N(G2385)&lt;&gt;0),"✗ 这类是收款，金额填到收入列",IF(AND(IFERROR(INDEX(基础资料!$AD$5:$AD$34,MATCH(O2385,基础资料!$AC$5:$AC$34,0)),"")="支",N(F2385)&lt;&gt;0),"✗ 这类是付款，金额填到支出列",IF(N(H2385)&lt;0,"⚠ 账户余额成负数了，核对一下","√"))))))))))))))))))</f>
      </c>
      <c r="O2385" s="78">
        <f>IF(D2385&lt;&gt;"",D2385,IF(AND(F2385="",G2385=""),"",IF(J2385&lt;&gt;"",IF(N(F2385)&gt;0,"客户回款","客户退款"),IF(K2385&lt;&gt;"",IF(N(G2385)&gt;0,"供应商付款","供应商退款"),IF(L2385&lt;&gt;"","费用支出","")))))</f>
      </c>
      <c r="P2385" s="78">
        <f>IF(O2385="","",IFERROR(INDEX(基础资料!$AE$5:$AE$34,MATCH(O2385,基础资料!$AC$5:$AC$34,0)),"未知"))</f>
      </c>
      <c r="Q2385" s="78">
        <f>IF(P2385="应收",COUNTIF(P$7:P2385,"应收"),"")</f>
      </c>
      <c r="R2385" s="78">
        <f>IF(P2385="应付",COUNTIF(P$7:P2385,"应付"),"")</f>
      </c>
      <c r="S2385" s="78">
        <f>N(F2385)-N(G2385)</f>
        <v>0</v>
      </c>
    </row>
    <row r="2386">
      <c r="A2386" s="109">
        <f>IF(AND(F2386="",G2386=""),"",ROW()-6)</f>
      </c>
      <c r="B2386" s="140" t="n"/>
      <c r="C2386" s="141" t="n"/>
      <c r="D2386" s="141" t="n"/>
      <c r="E2386" s="142" t="n"/>
      <c r="F2386" s="143" t="n"/>
      <c r="G2386" s="144" t="n"/>
      <c r="H2386" s="145">
        <f>IF(OR(C2386="",AND(F2386="",G2386="")),"",SUMIF(基础资料!$W$5:$W$24,C2386,基础资料!$X$5:$X$24)+SUMIF(C$7:C2386,C2386,F$7:F2386)-SUMIF(C$7:C2386,C2386,G$7:G2386))</f>
      </c>
      <c r="I2386" s="145">
        <f>IF(AND(F2386="",G2386=""),"",SUM(基础资料!$X$5:$X$24)+SUM(F$7:F2386)-SUM(G$7:G2386))</f>
      </c>
      <c r="J2386" s="141" t="n"/>
      <c r="K2386" s="141" t="n"/>
      <c r="L2386" s="141" t="n"/>
      <c r="M2386" s="142" t="n"/>
      <c r="N2386" s="146">
        <f>IF(AND(AND(F2386="",G2386=""),B2386="",C2386="",D2386="",J2386="",K2386="",L2386=""),"",IF(AND(F2386="",G2386=""),"✗ 没填金额",IF(AND(N(F2386)&lt;&gt;0,N(G2386)&lt;&gt;0),"✗ 收入、支出只能填一边",IF(NOT(ISNUMBER(B2386)),"✗ 日期不是真日期（要像 2026/9/25 这样填）",IF(OR(B2386&lt;年初日,B2386&gt;年末日),"✗ 日期不在本会计年度",IF(C2386="","✗ 没选账户",IF(COUNTIF(基础资料!$W$5:$W$24,C2386)=0,"✗ 账户不在基础资料里",IF(O2386="","✗ 没选收支项目",IF(P2386="未知","✗ 收支项目不在基础资料里",IF(AND(P2386="应收",J2386=""),"✗ 这笔要选客户",IF(AND(P2386="应收",COUNTIF(总览汇总!$B$5:$B$304,J2386)=0),"✗ 客户不在总览汇总名单里",IF(AND(P2386="应付",K2386=""),"✗ 这笔要选供应商",IF(AND(P2386="应付",COUNTIF(基础资料!$Q$5:$Q$54,K2386)=0),"✗ 供应商不在基础资料里",IF(AND(P2386="费用",L2386=""),"✗ 费用支出要选费用项目",IF(AND(L2386&lt;&gt;"",COUNTIF(基础资料!$AI$5:$AI$54,L2386)=0),"✗ 费用项目不在基础资料里",IF(AND(IFERROR(INDEX(基础资料!$AD$5:$AD$34,MATCH(O2386,基础资料!$AC$5:$AC$34,0)),"")="收",N(G2386)&lt;&gt;0),"✗ 这类是收款，金额填到收入列",IF(AND(IFERROR(INDEX(基础资料!$AD$5:$AD$34,MATCH(O2386,基础资料!$AC$5:$AC$34,0)),"")="支",N(F2386)&lt;&gt;0),"✗ 这类是付款，金额填到支出列",IF(N(H2386)&lt;0,"⚠ 账户余额成负数了，核对一下","√"))))))))))))))))))</f>
      </c>
      <c r="O2386" s="78">
        <f>IF(D2386&lt;&gt;"",D2386,IF(AND(F2386="",G2386=""),"",IF(J2386&lt;&gt;"",IF(N(F2386)&gt;0,"客户回款","客户退款"),IF(K2386&lt;&gt;"",IF(N(G2386)&gt;0,"供应商付款","供应商退款"),IF(L2386&lt;&gt;"","费用支出","")))))</f>
      </c>
      <c r="P2386" s="78">
        <f>IF(O2386="","",IFERROR(INDEX(基础资料!$AE$5:$AE$34,MATCH(O2386,基础资料!$AC$5:$AC$34,0)),"未知"))</f>
      </c>
      <c r="Q2386" s="78">
        <f>IF(P2386="应收",COUNTIF(P$7:P2386,"应收"),"")</f>
      </c>
      <c r="R2386" s="78">
        <f>IF(P2386="应付",COUNTIF(P$7:P2386,"应付"),"")</f>
      </c>
      <c r="S2386" s="78">
        <f>N(F2386)-N(G2386)</f>
        <v>0</v>
      </c>
    </row>
    <row r="2387">
      <c r="A2387" s="109">
        <f>IF(AND(F2387="",G2387=""),"",ROW()-6)</f>
      </c>
      <c r="B2387" s="140" t="n"/>
      <c r="C2387" s="141" t="n"/>
      <c r="D2387" s="141" t="n"/>
      <c r="E2387" s="142" t="n"/>
      <c r="F2387" s="143" t="n"/>
      <c r="G2387" s="144" t="n"/>
      <c r="H2387" s="145">
        <f>IF(OR(C2387="",AND(F2387="",G2387="")),"",SUMIF(基础资料!$W$5:$W$24,C2387,基础资料!$X$5:$X$24)+SUMIF(C$7:C2387,C2387,F$7:F2387)-SUMIF(C$7:C2387,C2387,G$7:G2387))</f>
      </c>
      <c r="I2387" s="145">
        <f>IF(AND(F2387="",G2387=""),"",SUM(基础资料!$X$5:$X$24)+SUM(F$7:F2387)-SUM(G$7:G2387))</f>
      </c>
      <c r="J2387" s="141" t="n"/>
      <c r="K2387" s="141" t="n"/>
      <c r="L2387" s="141" t="n"/>
      <c r="M2387" s="142" t="n"/>
      <c r="N2387" s="146">
        <f>IF(AND(AND(F2387="",G2387=""),B2387="",C2387="",D2387="",J2387="",K2387="",L2387=""),"",IF(AND(F2387="",G2387=""),"✗ 没填金额",IF(AND(N(F2387)&lt;&gt;0,N(G2387)&lt;&gt;0),"✗ 收入、支出只能填一边",IF(NOT(ISNUMBER(B2387)),"✗ 日期不是真日期（要像 2026/9/25 这样填）",IF(OR(B2387&lt;年初日,B2387&gt;年末日),"✗ 日期不在本会计年度",IF(C2387="","✗ 没选账户",IF(COUNTIF(基础资料!$W$5:$W$24,C2387)=0,"✗ 账户不在基础资料里",IF(O2387="","✗ 没选收支项目",IF(P2387="未知","✗ 收支项目不在基础资料里",IF(AND(P2387="应收",J2387=""),"✗ 这笔要选客户",IF(AND(P2387="应收",COUNTIF(总览汇总!$B$5:$B$304,J2387)=0),"✗ 客户不在总览汇总名单里",IF(AND(P2387="应付",K2387=""),"✗ 这笔要选供应商",IF(AND(P2387="应付",COUNTIF(基础资料!$Q$5:$Q$54,K2387)=0),"✗ 供应商不在基础资料里",IF(AND(P2387="费用",L2387=""),"✗ 费用支出要选费用项目",IF(AND(L2387&lt;&gt;"",COUNTIF(基础资料!$AI$5:$AI$54,L2387)=0),"✗ 费用项目不在基础资料里",IF(AND(IFERROR(INDEX(基础资料!$AD$5:$AD$34,MATCH(O2387,基础资料!$AC$5:$AC$34,0)),"")="收",N(G2387)&lt;&gt;0),"✗ 这类是收款，金额填到收入列",IF(AND(IFERROR(INDEX(基础资料!$AD$5:$AD$34,MATCH(O2387,基础资料!$AC$5:$AC$34,0)),"")="支",N(F2387)&lt;&gt;0),"✗ 这类是付款，金额填到支出列",IF(N(H2387)&lt;0,"⚠ 账户余额成负数了，核对一下","√"))))))))))))))))))</f>
      </c>
      <c r="O2387" s="78">
        <f>IF(D2387&lt;&gt;"",D2387,IF(AND(F2387="",G2387=""),"",IF(J2387&lt;&gt;"",IF(N(F2387)&gt;0,"客户回款","客户退款"),IF(K2387&lt;&gt;"",IF(N(G2387)&gt;0,"供应商付款","供应商退款"),IF(L2387&lt;&gt;"","费用支出","")))))</f>
      </c>
      <c r="P2387" s="78">
        <f>IF(O2387="","",IFERROR(INDEX(基础资料!$AE$5:$AE$34,MATCH(O2387,基础资料!$AC$5:$AC$34,0)),"未知"))</f>
      </c>
      <c r="Q2387" s="78">
        <f>IF(P2387="应收",COUNTIF(P$7:P2387,"应收"),"")</f>
      </c>
      <c r="R2387" s="78">
        <f>IF(P2387="应付",COUNTIF(P$7:P2387,"应付"),"")</f>
      </c>
      <c r="S2387" s="78">
        <f>N(F2387)-N(G2387)</f>
        <v>0</v>
      </c>
    </row>
    <row r="2388">
      <c r="A2388" s="109">
        <f>IF(AND(F2388="",G2388=""),"",ROW()-6)</f>
      </c>
      <c r="B2388" s="140" t="n"/>
      <c r="C2388" s="141" t="n"/>
      <c r="D2388" s="141" t="n"/>
      <c r="E2388" s="142" t="n"/>
      <c r="F2388" s="143" t="n"/>
      <c r="G2388" s="144" t="n"/>
      <c r="H2388" s="145">
        <f>IF(OR(C2388="",AND(F2388="",G2388="")),"",SUMIF(基础资料!$W$5:$W$24,C2388,基础资料!$X$5:$X$24)+SUMIF(C$7:C2388,C2388,F$7:F2388)-SUMIF(C$7:C2388,C2388,G$7:G2388))</f>
      </c>
      <c r="I2388" s="145">
        <f>IF(AND(F2388="",G2388=""),"",SUM(基础资料!$X$5:$X$24)+SUM(F$7:F2388)-SUM(G$7:G2388))</f>
      </c>
      <c r="J2388" s="141" t="n"/>
      <c r="K2388" s="141" t="n"/>
      <c r="L2388" s="141" t="n"/>
      <c r="M2388" s="142" t="n"/>
      <c r="N2388" s="146">
        <f>IF(AND(AND(F2388="",G2388=""),B2388="",C2388="",D2388="",J2388="",K2388="",L2388=""),"",IF(AND(F2388="",G2388=""),"✗ 没填金额",IF(AND(N(F2388)&lt;&gt;0,N(G2388)&lt;&gt;0),"✗ 收入、支出只能填一边",IF(NOT(ISNUMBER(B2388)),"✗ 日期不是真日期（要像 2026/9/25 这样填）",IF(OR(B2388&lt;年初日,B2388&gt;年末日),"✗ 日期不在本会计年度",IF(C2388="","✗ 没选账户",IF(COUNTIF(基础资料!$W$5:$W$24,C2388)=0,"✗ 账户不在基础资料里",IF(O2388="","✗ 没选收支项目",IF(P2388="未知","✗ 收支项目不在基础资料里",IF(AND(P2388="应收",J2388=""),"✗ 这笔要选客户",IF(AND(P2388="应收",COUNTIF(总览汇总!$B$5:$B$304,J2388)=0),"✗ 客户不在总览汇总名单里",IF(AND(P2388="应付",K2388=""),"✗ 这笔要选供应商",IF(AND(P2388="应付",COUNTIF(基础资料!$Q$5:$Q$54,K2388)=0),"✗ 供应商不在基础资料里",IF(AND(P2388="费用",L2388=""),"✗ 费用支出要选费用项目",IF(AND(L2388&lt;&gt;"",COUNTIF(基础资料!$AI$5:$AI$54,L2388)=0),"✗ 费用项目不在基础资料里",IF(AND(IFERROR(INDEX(基础资料!$AD$5:$AD$34,MATCH(O2388,基础资料!$AC$5:$AC$34,0)),"")="收",N(G2388)&lt;&gt;0),"✗ 这类是收款，金额填到收入列",IF(AND(IFERROR(INDEX(基础资料!$AD$5:$AD$34,MATCH(O2388,基础资料!$AC$5:$AC$34,0)),"")="支",N(F2388)&lt;&gt;0),"✗ 这类是付款，金额填到支出列",IF(N(H2388)&lt;0,"⚠ 账户余额成负数了，核对一下","√"))))))))))))))))))</f>
      </c>
      <c r="O2388" s="78">
        <f>IF(D2388&lt;&gt;"",D2388,IF(AND(F2388="",G2388=""),"",IF(J2388&lt;&gt;"",IF(N(F2388)&gt;0,"客户回款","客户退款"),IF(K2388&lt;&gt;"",IF(N(G2388)&gt;0,"供应商付款","供应商退款"),IF(L2388&lt;&gt;"","费用支出","")))))</f>
      </c>
      <c r="P2388" s="78">
        <f>IF(O2388="","",IFERROR(INDEX(基础资料!$AE$5:$AE$34,MATCH(O2388,基础资料!$AC$5:$AC$34,0)),"未知"))</f>
      </c>
      <c r="Q2388" s="78">
        <f>IF(P2388="应收",COUNTIF(P$7:P2388,"应收"),"")</f>
      </c>
      <c r="R2388" s="78">
        <f>IF(P2388="应付",COUNTIF(P$7:P2388,"应付"),"")</f>
      </c>
      <c r="S2388" s="78">
        <f>N(F2388)-N(G2388)</f>
        <v>0</v>
      </c>
    </row>
    <row r="2389">
      <c r="A2389" s="109">
        <f>IF(AND(F2389="",G2389=""),"",ROW()-6)</f>
      </c>
      <c r="B2389" s="140" t="n"/>
      <c r="C2389" s="141" t="n"/>
      <c r="D2389" s="141" t="n"/>
      <c r="E2389" s="142" t="n"/>
      <c r="F2389" s="143" t="n"/>
      <c r="G2389" s="144" t="n"/>
      <c r="H2389" s="145">
        <f>IF(OR(C2389="",AND(F2389="",G2389="")),"",SUMIF(基础资料!$W$5:$W$24,C2389,基础资料!$X$5:$X$24)+SUMIF(C$7:C2389,C2389,F$7:F2389)-SUMIF(C$7:C2389,C2389,G$7:G2389))</f>
      </c>
      <c r="I2389" s="145">
        <f>IF(AND(F2389="",G2389=""),"",SUM(基础资料!$X$5:$X$24)+SUM(F$7:F2389)-SUM(G$7:G2389))</f>
      </c>
      <c r="J2389" s="141" t="n"/>
      <c r="K2389" s="141" t="n"/>
      <c r="L2389" s="141" t="n"/>
      <c r="M2389" s="142" t="n"/>
      <c r="N2389" s="146">
        <f>IF(AND(AND(F2389="",G2389=""),B2389="",C2389="",D2389="",J2389="",K2389="",L2389=""),"",IF(AND(F2389="",G2389=""),"✗ 没填金额",IF(AND(N(F2389)&lt;&gt;0,N(G2389)&lt;&gt;0),"✗ 收入、支出只能填一边",IF(NOT(ISNUMBER(B2389)),"✗ 日期不是真日期（要像 2026/9/25 这样填）",IF(OR(B2389&lt;年初日,B2389&gt;年末日),"✗ 日期不在本会计年度",IF(C2389="","✗ 没选账户",IF(COUNTIF(基础资料!$W$5:$W$24,C2389)=0,"✗ 账户不在基础资料里",IF(O2389="","✗ 没选收支项目",IF(P2389="未知","✗ 收支项目不在基础资料里",IF(AND(P2389="应收",J2389=""),"✗ 这笔要选客户",IF(AND(P2389="应收",COUNTIF(总览汇总!$B$5:$B$304,J2389)=0),"✗ 客户不在总览汇总名单里",IF(AND(P2389="应付",K2389=""),"✗ 这笔要选供应商",IF(AND(P2389="应付",COUNTIF(基础资料!$Q$5:$Q$54,K2389)=0),"✗ 供应商不在基础资料里",IF(AND(P2389="费用",L2389=""),"✗ 费用支出要选费用项目",IF(AND(L2389&lt;&gt;"",COUNTIF(基础资料!$AI$5:$AI$54,L2389)=0),"✗ 费用项目不在基础资料里",IF(AND(IFERROR(INDEX(基础资料!$AD$5:$AD$34,MATCH(O2389,基础资料!$AC$5:$AC$34,0)),"")="收",N(G2389)&lt;&gt;0),"✗ 这类是收款，金额填到收入列",IF(AND(IFERROR(INDEX(基础资料!$AD$5:$AD$34,MATCH(O2389,基础资料!$AC$5:$AC$34,0)),"")="支",N(F2389)&lt;&gt;0),"✗ 这类是付款，金额填到支出列",IF(N(H2389)&lt;0,"⚠ 账户余额成负数了，核对一下","√"))))))))))))))))))</f>
      </c>
      <c r="O2389" s="78">
        <f>IF(D2389&lt;&gt;"",D2389,IF(AND(F2389="",G2389=""),"",IF(J2389&lt;&gt;"",IF(N(F2389)&gt;0,"客户回款","客户退款"),IF(K2389&lt;&gt;"",IF(N(G2389)&gt;0,"供应商付款","供应商退款"),IF(L2389&lt;&gt;"","费用支出","")))))</f>
      </c>
      <c r="P2389" s="78">
        <f>IF(O2389="","",IFERROR(INDEX(基础资料!$AE$5:$AE$34,MATCH(O2389,基础资料!$AC$5:$AC$34,0)),"未知"))</f>
      </c>
      <c r="Q2389" s="78">
        <f>IF(P2389="应收",COUNTIF(P$7:P2389,"应收"),"")</f>
      </c>
      <c r="R2389" s="78">
        <f>IF(P2389="应付",COUNTIF(P$7:P2389,"应付"),"")</f>
      </c>
      <c r="S2389" s="78">
        <f>N(F2389)-N(G2389)</f>
        <v>0</v>
      </c>
    </row>
    <row r="2390">
      <c r="A2390" s="109">
        <f>IF(AND(F2390="",G2390=""),"",ROW()-6)</f>
      </c>
      <c r="B2390" s="140" t="n"/>
      <c r="C2390" s="141" t="n"/>
      <c r="D2390" s="141" t="n"/>
      <c r="E2390" s="142" t="n"/>
      <c r="F2390" s="143" t="n"/>
      <c r="G2390" s="144" t="n"/>
      <c r="H2390" s="145">
        <f>IF(OR(C2390="",AND(F2390="",G2390="")),"",SUMIF(基础资料!$W$5:$W$24,C2390,基础资料!$X$5:$X$24)+SUMIF(C$7:C2390,C2390,F$7:F2390)-SUMIF(C$7:C2390,C2390,G$7:G2390))</f>
      </c>
      <c r="I2390" s="145">
        <f>IF(AND(F2390="",G2390=""),"",SUM(基础资料!$X$5:$X$24)+SUM(F$7:F2390)-SUM(G$7:G2390))</f>
      </c>
      <c r="J2390" s="141" t="n"/>
      <c r="K2390" s="141" t="n"/>
      <c r="L2390" s="141" t="n"/>
      <c r="M2390" s="142" t="n"/>
      <c r="N2390" s="146">
        <f>IF(AND(AND(F2390="",G2390=""),B2390="",C2390="",D2390="",J2390="",K2390="",L2390=""),"",IF(AND(F2390="",G2390=""),"✗ 没填金额",IF(AND(N(F2390)&lt;&gt;0,N(G2390)&lt;&gt;0),"✗ 收入、支出只能填一边",IF(NOT(ISNUMBER(B2390)),"✗ 日期不是真日期（要像 2026/9/25 这样填）",IF(OR(B2390&lt;年初日,B2390&gt;年末日),"✗ 日期不在本会计年度",IF(C2390="","✗ 没选账户",IF(COUNTIF(基础资料!$W$5:$W$24,C2390)=0,"✗ 账户不在基础资料里",IF(O2390="","✗ 没选收支项目",IF(P2390="未知","✗ 收支项目不在基础资料里",IF(AND(P2390="应收",J2390=""),"✗ 这笔要选客户",IF(AND(P2390="应收",COUNTIF(总览汇总!$B$5:$B$304,J2390)=0),"✗ 客户不在总览汇总名单里",IF(AND(P2390="应付",K2390=""),"✗ 这笔要选供应商",IF(AND(P2390="应付",COUNTIF(基础资料!$Q$5:$Q$54,K2390)=0),"✗ 供应商不在基础资料里",IF(AND(P2390="费用",L2390=""),"✗ 费用支出要选费用项目",IF(AND(L2390&lt;&gt;"",COUNTIF(基础资料!$AI$5:$AI$54,L2390)=0),"✗ 费用项目不在基础资料里",IF(AND(IFERROR(INDEX(基础资料!$AD$5:$AD$34,MATCH(O2390,基础资料!$AC$5:$AC$34,0)),"")="收",N(G2390)&lt;&gt;0),"✗ 这类是收款，金额填到收入列",IF(AND(IFERROR(INDEX(基础资料!$AD$5:$AD$34,MATCH(O2390,基础资料!$AC$5:$AC$34,0)),"")="支",N(F2390)&lt;&gt;0),"✗ 这类是付款，金额填到支出列",IF(N(H2390)&lt;0,"⚠ 账户余额成负数了，核对一下","√"))))))))))))))))))</f>
      </c>
      <c r="O2390" s="78">
        <f>IF(D2390&lt;&gt;"",D2390,IF(AND(F2390="",G2390=""),"",IF(J2390&lt;&gt;"",IF(N(F2390)&gt;0,"客户回款","客户退款"),IF(K2390&lt;&gt;"",IF(N(G2390)&gt;0,"供应商付款","供应商退款"),IF(L2390&lt;&gt;"","费用支出","")))))</f>
      </c>
      <c r="P2390" s="78">
        <f>IF(O2390="","",IFERROR(INDEX(基础资料!$AE$5:$AE$34,MATCH(O2390,基础资料!$AC$5:$AC$34,0)),"未知"))</f>
      </c>
      <c r="Q2390" s="78">
        <f>IF(P2390="应收",COUNTIF(P$7:P2390,"应收"),"")</f>
      </c>
      <c r="R2390" s="78">
        <f>IF(P2390="应付",COUNTIF(P$7:P2390,"应付"),"")</f>
      </c>
      <c r="S2390" s="78">
        <f>N(F2390)-N(G2390)</f>
        <v>0</v>
      </c>
    </row>
    <row r="2391">
      <c r="A2391" s="109">
        <f>IF(AND(F2391="",G2391=""),"",ROW()-6)</f>
      </c>
      <c r="B2391" s="140" t="n"/>
      <c r="C2391" s="141" t="n"/>
      <c r="D2391" s="141" t="n"/>
      <c r="E2391" s="142" t="n"/>
      <c r="F2391" s="143" t="n"/>
      <c r="G2391" s="144" t="n"/>
      <c r="H2391" s="145">
        <f>IF(OR(C2391="",AND(F2391="",G2391="")),"",SUMIF(基础资料!$W$5:$W$24,C2391,基础资料!$X$5:$X$24)+SUMIF(C$7:C2391,C2391,F$7:F2391)-SUMIF(C$7:C2391,C2391,G$7:G2391))</f>
      </c>
      <c r="I2391" s="145">
        <f>IF(AND(F2391="",G2391=""),"",SUM(基础资料!$X$5:$X$24)+SUM(F$7:F2391)-SUM(G$7:G2391))</f>
      </c>
      <c r="J2391" s="141" t="n"/>
      <c r="K2391" s="141" t="n"/>
      <c r="L2391" s="141" t="n"/>
      <c r="M2391" s="142" t="n"/>
      <c r="N2391" s="146">
        <f>IF(AND(AND(F2391="",G2391=""),B2391="",C2391="",D2391="",J2391="",K2391="",L2391=""),"",IF(AND(F2391="",G2391=""),"✗ 没填金额",IF(AND(N(F2391)&lt;&gt;0,N(G2391)&lt;&gt;0),"✗ 收入、支出只能填一边",IF(NOT(ISNUMBER(B2391)),"✗ 日期不是真日期（要像 2026/9/25 这样填）",IF(OR(B2391&lt;年初日,B2391&gt;年末日),"✗ 日期不在本会计年度",IF(C2391="","✗ 没选账户",IF(COUNTIF(基础资料!$W$5:$W$24,C2391)=0,"✗ 账户不在基础资料里",IF(O2391="","✗ 没选收支项目",IF(P2391="未知","✗ 收支项目不在基础资料里",IF(AND(P2391="应收",J2391=""),"✗ 这笔要选客户",IF(AND(P2391="应收",COUNTIF(总览汇总!$B$5:$B$304,J2391)=0),"✗ 客户不在总览汇总名单里",IF(AND(P2391="应付",K2391=""),"✗ 这笔要选供应商",IF(AND(P2391="应付",COUNTIF(基础资料!$Q$5:$Q$54,K2391)=0),"✗ 供应商不在基础资料里",IF(AND(P2391="费用",L2391=""),"✗ 费用支出要选费用项目",IF(AND(L2391&lt;&gt;"",COUNTIF(基础资料!$AI$5:$AI$54,L2391)=0),"✗ 费用项目不在基础资料里",IF(AND(IFERROR(INDEX(基础资料!$AD$5:$AD$34,MATCH(O2391,基础资料!$AC$5:$AC$34,0)),"")="收",N(G2391)&lt;&gt;0),"✗ 这类是收款，金额填到收入列",IF(AND(IFERROR(INDEX(基础资料!$AD$5:$AD$34,MATCH(O2391,基础资料!$AC$5:$AC$34,0)),"")="支",N(F2391)&lt;&gt;0),"✗ 这类是付款，金额填到支出列",IF(N(H2391)&lt;0,"⚠ 账户余额成负数了，核对一下","√"))))))))))))))))))</f>
      </c>
      <c r="O2391" s="78">
        <f>IF(D2391&lt;&gt;"",D2391,IF(AND(F2391="",G2391=""),"",IF(J2391&lt;&gt;"",IF(N(F2391)&gt;0,"客户回款","客户退款"),IF(K2391&lt;&gt;"",IF(N(G2391)&gt;0,"供应商付款","供应商退款"),IF(L2391&lt;&gt;"","费用支出","")))))</f>
      </c>
      <c r="P2391" s="78">
        <f>IF(O2391="","",IFERROR(INDEX(基础资料!$AE$5:$AE$34,MATCH(O2391,基础资料!$AC$5:$AC$34,0)),"未知"))</f>
      </c>
      <c r="Q2391" s="78">
        <f>IF(P2391="应收",COUNTIF(P$7:P2391,"应收"),"")</f>
      </c>
      <c r="R2391" s="78">
        <f>IF(P2391="应付",COUNTIF(P$7:P2391,"应付"),"")</f>
      </c>
      <c r="S2391" s="78">
        <f>N(F2391)-N(G2391)</f>
        <v>0</v>
      </c>
    </row>
    <row r="2392">
      <c r="A2392" s="109">
        <f>IF(AND(F2392="",G2392=""),"",ROW()-6)</f>
      </c>
      <c r="B2392" s="140" t="n"/>
      <c r="C2392" s="141" t="n"/>
      <c r="D2392" s="141" t="n"/>
      <c r="E2392" s="142" t="n"/>
      <c r="F2392" s="143" t="n"/>
      <c r="G2392" s="144" t="n"/>
      <c r="H2392" s="145">
        <f>IF(OR(C2392="",AND(F2392="",G2392="")),"",SUMIF(基础资料!$W$5:$W$24,C2392,基础资料!$X$5:$X$24)+SUMIF(C$7:C2392,C2392,F$7:F2392)-SUMIF(C$7:C2392,C2392,G$7:G2392))</f>
      </c>
      <c r="I2392" s="145">
        <f>IF(AND(F2392="",G2392=""),"",SUM(基础资料!$X$5:$X$24)+SUM(F$7:F2392)-SUM(G$7:G2392))</f>
      </c>
      <c r="J2392" s="141" t="n"/>
      <c r="K2392" s="141" t="n"/>
      <c r="L2392" s="141" t="n"/>
      <c r="M2392" s="142" t="n"/>
      <c r="N2392" s="146">
        <f>IF(AND(AND(F2392="",G2392=""),B2392="",C2392="",D2392="",J2392="",K2392="",L2392=""),"",IF(AND(F2392="",G2392=""),"✗ 没填金额",IF(AND(N(F2392)&lt;&gt;0,N(G2392)&lt;&gt;0),"✗ 收入、支出只能填一边",IF(NOT(ISNUMBER(B2392)),"✗ 日期不是真日期（要像 2026/9/25 这样填）",IF(OR(B2392&lt;年初日,B2392&gt;年末日),"✗ 日期不在本会计年度",IF(C2392="","✗ 没选账户",IF(COUNTIF(基础资料!$W$5:$W$24,C2392)=0,"✗ 账户不在基础资料里",IF(O2392="","✗ 没选收支项目",IF(P2392="未知","✗ 收支项目不在基础资料里",IF(AND(P2392="应收",J2392=""),"✗ 这笔要选客户",IF(AND(P2392="应收",COUNTIF(总览汇总!$B$5:$B$304,J2392)=0),"✗ 客户不在总览汇总名单里",IF(AND(P2392="应付",K2392=""),"✗ 这笔要选供应商",IF(AND(P2392="应付",COUNTIF(基础资料!$Q$5:$Q$54,K2392)=0),"✗ 供应商不在基础资料里",IF(AND(P2392="费用",L2392=""),"✗ 费用支出要选费用项目",IF(AND(L2392&lt;&gt;"",COUNTIF(基础资料!$AI$5:$AI$54,L2392)=0),"✗ 费用项目不在基础资料里",IF(AND(IFERROR(INDEX(基础资料!$AD$5:$AD$34,MATCH(O2392,基础资料!$AC$5:$AC$34,0)),"")="收",N(G2392)&lt;&gt;0),"✗ 这类是收款，金额填到收入列",IF(AND(IFERROR(INDEX(基础资料!$AD$5:$AD$34,MATCH(O2392,基础资料!$AC$5:$AC$34,0)),"")="支",N(F2392)&lt;&gt;0),"✗ 这类是付款，金额填到支出列",IF(N(H2392)&lt;0,"⚠ 账户余额成负数了，核对一下","√"))))))))))))))))))</f>
      </c>
      <c r="O2392" s="78">
        <f>IF(D2392&lt;&gt;"",D2392,IF(AND(F2392="",G2392=""),"",IF(J2392&lt;&gt;"",IF(N(F2392)&gt;0,"客户回款","客户退款"),IF(K2392&lt;&gt;"",IF(N(G2392)&gt;0,"供应商付款","供应商退款"),IF(L2392&lt;&gt;"","费用支出","")))))</f>
      </c>
      <c r="P2392" s="78">
        <f>IF(O2392="","",IFERROR(INDEX(基础资料!$AE$5:$AE$34,MATCH(O2392,基础资料!$AC$5:$AC$34,0)),"未知"))</f>
      </c>
      <c r="Q2392" s="78">
        <f>IF(P2392="应收",COUNTIF(P$7:P2392,"应收"),"")</f>
      </c>
      <c r="R2392" s="78">
        <f>IF(P2392="应付",COUNTIF(P$7:P2392,"应付"),"")</f>
      </c>
      <c r="S2392" s="78">
        <f>N(F2392)-N(G2392)</f>
        <v>0</v>
      </c>
    </row>
    <row r="2393">
      <c r="A2393" s="109">
        <f>IF(AND(F2393="",G2393=""),"",ROW()-6)</f>
      </c>
      <c r="B2393" s="140" t="n"/>
      <c r="C2393" s="141" t="n"/>
      <c r="D2393" s="141" t="n"/>
      <c r="E2393" s="142" t="n"/>
      <c r="F2393" s="143" t="n"/>
      <c r="G2393" s="144" t="n"/>
      <c r="H2393" s="145">
        <f>IF(OR(C2393="",AND(F2393="",G2393="")),"",SUMIF(基础资料!$W$5:$W$24,C2393,基础资料!$X$5:$X$24)+SUMIF(C$7:C2393,C2393,F$7:F2393)-SUMIF(C$7:C2393,C2393,G$7:G2393))</f>
      </c>
      <c r="I2393" s="145">
        <f>IF(AND(F2393="",G2393=""),"",SUM(基础资料!$X$5:$X$24)+SUM(F$7:F2393)-SUM(G$7:G2393))</f>
      </c>
      <c r="J2393" s="141" t="n"/>
      <c r="K2393" s="141" t="n"/>
      <c r="L2393" s="141" t="n"/>
      <c r="M2393" s="142" t="n"/>
      <c r="N2393" s="146">
        <f>IF(AND(AND(F2393="",G2393=""),B2393="",C2393="",D2393="",J2393="",K2393="",L2393=""),"",IF(AND(F2393="",G2393=""),"✗ 没填金额",IF(AND(N(F2393)&lt;&gt;0,N(G2393)&lt;&gt;0),"✗ 收入、支出只能填一边",IF(NOT(ISNUMBER(B2393)),"✗ 日期不是真日期（要像 2026/9/25 这样填）",IF(OR(B2393&lt;年初日,B2393&gt;年末日),"✗ 日期不在本会计年度",IF(C2393="","✗ 没选账户",IF(COUNTIF(基础资料!$W$5:$W$24,C2393)=0,"✗ 账户不在基础资料里",IF(O2393="","✗ 没选收支项目",IF(P2393="未知","✗ 收支项目不在基础资料里",IF(AND(P2393="应收",J2393=""),"✗ 这笔要选客户",IF(AND(P2393="应收",COUNTIF(总览汇总!$B$5:$B$304,J2393)=0),"✗ 客户不在总览汇总名单里",IF(AND(P2393="应付",K2393=""),"✗ 这笔要选供应商",IF(AND(P2393="应付",COUNTIF(基础资料!$Q$5:$Q$54,K2393)=0),"✗ 供应商不在基础资料里",IF(AND(P2393="费用",L2393=""),"✗ 费用支出要选费用项目",IF(AND(L2393&lt;&gt;"",COUNTIF(基础资料!$AI$5:$AI$54,L2393)=0),"✗ 费用项目不在基础资料里",IF(AND(IFERROR(INDEX(基础资料!$AD$5:$AD$34,MATCH(O2393,基础资料!$AC$5:$AC$34,0)),"")="收",N(G2393)&lt;&gt;0),"✗ 这类是收款，金额填到收入列",IF(AND(IFERROR(INDEX(基础资料!$AD$5:$AD$34,MATCH(O2393,基础资料!$AC$5:$AC$34,0)),"")="支",N(F2393)&lt;&gt;0),"✗ 这类是付款，金额填到支出列",IF(N(H2393)&lt;0,"⚠ 账户余额成负数了，核对一下","√"))))))))))))))))))</f>
      </c>
      <c r="O2393" s="78">
        <f>IF(D2393&lt;&gt;"",D2393,IF(AND(F2393="",G2393=""),"",IF(J2393&lt;&gt;"",IF(N(F2393)&gt;0,"客户回款","客户退款"),IF(K2393&lt;&gt;"",IF(N(G2393)&gt;0,"供应商付款","供应商退款"),IF(L2393&lt;&gt;"","费用支出","")))))</f>
      </c>
      <c r="P2393" s="78">
        <f>IF(O2393="","",IFERROR(INDEX(基础资料!$AE$5:$AE$34,MATCH(O2393,基础资料!$AC$5:$AC$34,0)),"未知"))</f>
      </c>
      <c r="Q2393" s="78">
        <f>IF(P2393="应收",COUNTIF(P$7:P2393,"应收"),"")</f>
      </c>
      <c r="R2393" s="78">
        <f>IF(P2393="应付",COUNTIF(P$7:P2393,"应付"),"")</f>
      </c>
      <c r="S2393" s="78">
        <f>N(F2393)-N(G2393)</f>
        <v>0</v>
      </c>
    </row>
    <row r="2394">
      <c r="A2394" s="109">
        <f>IF(AND(F2394="",G2394=""),"",ROW()-6)</f>
      </c>
      <c r="B2394" s="140" t="n"/>
      <c r="C2394" s="141" t="n"/>
      <c r="D2394" s="141" t="n"/>
      <c r="E2394" s="142" t="n"/>
      <c r="F2394" s="143" t="n"/>
      <c r="G2394" s="144" t="n"/>
      <c r="H2394" s="145">
        <f>IF(OR(C2394="",AND(F2394="",G2394="")),"",SUMIF(基础资料!$W$5:$W$24,C2394,基础资料!$X$5:$X$24)+SUMIF(C$7:C2394,C2394,F$7:F2394)-SUMIF(C$7:C2394,C2394,G$7:G2394))</f>
      </c>
      <c r="I2394" s="145">
        <f>IF(AND(F2394="",G2394=""),"",SUM(基础资料!$X$5:$X$24)+SUM(F$7:F2394)-SUM(G$7:G2394))</f>
      </c>
      <c r="J2394" s="141" t="n"/>
      <c r="K2394" s="141" t="n"/>
      <c r="L2394" s="141" t="n"/>
      <c r="M2394" s="142" t="n"/>
      <c r="N2394" s="146">
        <f>IF(AND(AND(F2394="",G2394=""),B2394="",C2394="",D2394="",J2394="",K2394="",L2394=""),"",IF(AND(F2394="",G2394=""),"✗ 没填金额",IF(AND(N(F2394)&lt;&gt;0,N(G2394)&lt;&gt;0),"✗ 收入、支出只能填一边",IF(NOT(ISNUMBER(B2394)),"✗ 日期不是真日期（要像 2026/9/25 这样填）",IF(OR(B2394&lt;年初日,B2394&gt;年末日),"✗ 日期不在本会计年度",IF(C2394="","✗ 没选账户",IF(COUNTIF(基础资料!$W$5:$W$24,C2394)=0,"✗ 账户不在基础资料里",IF(O2394="","✗ 没选收支项目",IF(P2394="未知","✗ 收支项目不在基础资料里",IF(AND(P2394="应收",J2394=""),"✗ 这笔要选客户",IF(AND(P2394="应收",COUNTIF(总览汇总!$B$5:$B$304,J2394)=0),"✗ 客户不在总览汇总名单里",IF(AND(P2394="应付",K2394=""),"✗ 这笔要选供应商",IF(AND(P2394="应付",COUNTIF(基础资料!$Q$5:$Q$54,K2394)=0),"✗ 供应商不在基础资料里",IF(AND(P2394="费用",L2394=""),"✗ 费用支出要选费用项目",IF(AND(L2394&lt;&gt;"",COUNTIF(基础资料!$AI$5:$AI$54,L2394)=0),"✗ 费用项目不在基础资料里",IF(AND(IFERROR(INDEX(基础资料!$AD$5:$AD$34,MATCH(O2394,基础资料!$AC$5:$AC$34,0)),"")="收",N(G2394)&lt;&gt;0),"✗ 这类是收款，金额填到收入列",IF(AND(IFERROR(INDEX(基础资料!$AD$5:$AD$34,MATCH(O2394,基础资料!$AC$5:$AC$34,0)),"")="支",N(F2394)&lt;&gt;0),"✗ 这类是付款，金额填到支出列",IF(N(H2394)&lt;0,"⚠ 账户余额成负数了，核对一下","√"))))))))))))))))))</f>
      </c>
      <c r="O2394" s="78">
        <f>IF(D2394&lt;&gt;"",D2394,IF(AND(F2394="",G2394=""),"",IF(J2394&lt;&gt;"",IF(N(F2394)&gt;0,"客户回款","客户退款"),IF(K2394&lt;&gt;"",IF(N(G2394)&gt;0,"供应商付款","供应商退款"),IF(L2394&lt;&gt;"","费用支出","")))))</f>
      </c>
      <c r="P2394" s="78">
        <f>IF(O2394="","",IFERROR(INDEX(基础资料!$AE$5:$AE$34,MATCH(O2394,基础资料!$AC$5:$AC$34,0)),"未知"))</f>
      </c>
      <c r="Q2394" s="78">
        <f>IF(P2394="应收",COUNTIF(P$7:P2394,"应收"),"")</f>
      </c>
      <c r="R2394" s="78">
        <f>IF(P2394="应付",COUNTIF(P$7:P2394,"应付"),"")</f>
      </c>
      <c r="S2394" s="78">
        <f>N(F2394)-N(G2394)</f>
        <v>0</v>
      </c>
    </row>
    <row r="2395">
      <c r="A2395" s="109">
        <f>IF(AND(F2395="",G2395=""),"",ROW()-6)</f>
      </c>
      <c r="B2395" s="140" t="n"/>
      <c r="C2395" s="141" t="n"/>
      <c r="D2395" s="141" t="n"/>
      <c r="E2395" s="142" t="n"/>
      <c r="F2395" s="143" t="n"/>
      <c r="G2395" s="144" t="n"/>
      <c r="H2395" s="145">
        <f>IF(OR(C2395="",AND(F2395="",G2395="")),"",SUMIF(基础资料!$W$5:$W$24,C2395,基础资料!$X$5:$X$24)+SUMIF(C$7:C2395,C2395,F$7:F2395)-SUMIF(C$7:C2395,C2395,G$7:G2395))</f>
      </c>
      <c r="I2395" s="145">
        <f>IF(AND(F2395="",G2395=""),"",SUM(基础资料!$X$5:$X$24)+SUM(F$7:F2395)-SUM(G$7:G2395))</f>
      </c>
      <c r="J2395" s="141" t="n"/>
      <c r="K2395" s="141" t="n"/>
      <c r="L2395" s="141" t="n"/>
      <c r="M2395" s="142" t="n"/>
      <c r="N2395" s="146">
        <f>IF(AND(AND(F2395="",G2395=""),B2395="",C2395="",D2395="",J2395="",K2395="",L2395=""),"",IF(AND(F2395="",G2395=""),"✗ 没填金额",IF(AND(N(F2395)&lt;&gt;0,N(G2395)&lt;&gt;0),"✗ 收入、支出只能填一边",IF(NOT(ISNUMBER(B2395)),"✗ 日期不是真日期（要像 2026/9/25 这样填）",IF(OR(B2395&lt;年初日,B2395&gt;年末日),"✗ 日期不在本会计年度",IF(C2395="","✗ 没选账户",IF(COUNTIF(基础资料!$W$5:$W$24,C2395)=0,"✗ 账户不在基础资料里",IF(O2395="","✗ 没选收支项目",IF(P2395="未知","✗ 收支项目不在基础资料里",IF(AND(P2395="应收",J2395=""),"✗ 这笔要选客户",IF(AND(P2395="应收",COUNTIF(总览汇总!$B$5:$B$304,J2395)=0),"✗ 客户不在总览汇总名单里",IF(AND(P2395="应付",K2395=""),"✗ 这笔要选供应商",IF(AND(P2395="应付",COUNTIF(基础资料!$Q$5:$Q$54,K2395)=0),"✗ 供应商不在基础资料里",IF(AND(P2395="费用",L2395=""),"✗ 费用支出要选费用项目",IF(AND(L2395&lt;&gt;"",COUNTIF(基础资料!$AI$5:$AI$54,L2395)=0),"✗ 费用项目不在基础资料里",IF(AND(IFERROR(INDEX(基础资料!$AD$5:$AD$34,MATCH(O2395,基础资料!$AC$5:$AC$34,0)),"")="收",N(G2395)&lt;&gt;0),"✗ 这类是收款，金额填到收入列",IF(AND(IFERROR(INDEX(基础资料!$AD$5:$AD$34,MATCH(O2395,基础资料!$AC$5:$AC$34,0)),"")="支",N(F2395)&lt;&gt;0),"✗ 这类是付款，金额填到支出列",IF(N(H2395)&lt;0,"⚠ 账户余额成负数了，核对一下","√"))))))))))))))))))</f>
      </c>
      <c r="O2395" s="78">
        <f>IF(D2395&lt;&gt;"",D2395,IF(AND(F2395="",G2395=""),"",IF(J2395&lt;&gt;"",IF(N(F2395)&gt;0,"客户回款","客户退款"),IF(K2395&lt;&gt;"",IF(N(G2395)&gt;0,"供应商付款","供应商退款"),IF(L2395&lt;&gt;"","费用支出","")))))</f>
      </c>
      <c r="P2395" s="78">
        <f>IF(O2395="","",IFERROR(INDEX(基础资料!$AE$5:$AE$34,MATCH(O2395,基础资料!$AC$5:$AC$34,0)),"未知"))</f>
      </c>
      <c r="Q2395" s="78">
        <f>IF(P2395="应收",COUNTIF(P$7:P2395,"应收"),"")</f>
      </c>
      <c r="R2395" s="78">
        <f>IF(P2395="应付",COUNTIF(P$7:P2395,"应付"),"")</f>
      </c>
      <c r="S2395" s="78">
        <f>N(F2395)-N(G2395)</f>
        <v>0</v>
      </c>
    </row>
    <row r="2396">
      <c r="A2396" s="109">
        <f>IF(AND(F2396="",G2396=""),"",ROW()-6)</f>
      </c>
      <c r="B2396" s="140" t="n"/>
      <c r="C2396" s="141" t="n"/>
      <c r="D2396" s="141" t="n"/>
      <c r="E2396" s="142" t="n"/>
      <c r="F2396" s="143" t="n"/>
      <c r="G2396" s="144" t="n"/>
      <c r="H2396" s="145">
        <f>IF(OR(C2396="",AND(F2396="",G2396="")),"",SUMIF(基础资料!$W$5:$W$24,C2396,基础资料!$X$5:$X$24)+SUMIF(C$7:C2396,C2396,F$7:F2396)-SUMIF(C$7:C2396,C2396,G$7:G2396))</f>
      </c>
      <c r="I2396" s="145">
        <f>IF(AND(F2396="",G2396=""),"",SUM(基础资料!$X$5:$X$24)+SUM(F$7:F2396)-SUM(G$7:G2396))</f>
      </c>
      <c r="J2396" s="141" t="n"/>
      <c r="K2396" s="141" t="n"/>
      <c r="L2396" s="141" t="n"/>
      <c r="M2396" s="142" t="n"/>
      <c r="N2396" s="146">
        <f>IF(AND(AND(F2396="",G2396=""),B2396="",C2396="",D2396="",J2396="",K2396="",L2396=""),"",IF(AND(F2396="",G2396=""),"✗ 没填金额",IF(AND(N(F2396)&lt;&gt;0,N(G2396)&lt;&gt;0),"✗ 收入、支出只能填一边",IF(NOT(ISNUMBER(B2396)),"✗ 日期不是真日期（要像 2026/9/25 这样填）",IF(OR(B2396&lt;年初日,B2396&gt;年末日),"✗ 日期不在本会计年度",IF(C2396="","✗ 没选账户",IF(COUNTIF(基础资料!$W$5:$W$24,C2396)=0,"✗ 账户不在基础资料里",IF(O2396="","✗ 没选收支项目",IF(P2396="未知","✗ 收支项目不在基础资料里",IF(AND(P2396="应收",J2396=""),"✗ 这笔要选客户",IF(AND(P2396="应收",COUNTIF(总览汇总!$B$5:$B$304,J2396)=0),"✗ 客户不在总览汇总名单里",IF(AND(P2396="应付",K2396=""),"✗ 这笔要选供应商",IF(AND(P2396="应付",COUNTIF(基础资料!$Q$5:$Q$54,K2396)=0),"✗ 供应商不在基础资料里",IF(AND(P2396="费用",L2396=""),"✗ 费用支出要选费用项目",IF(AND(L2396&lt;&gt;"",COUNTIF(基础资料!$AI$5:$AI$54,L2396)=0),"✗ 费用项目不在基础资料里",IF(AND(IFERROR(INDEX(基础资料!$AD$5:$AD$34,MATCH(O2396,基础资料!$AC$5:$AC$34,0)),"")="收",N(G2396)&lt;&gt;0),"✗ 这类是收款，金额填到收入列",IF(AND(IFERROR(INDEX(基础资料!$AD$5:$AD$34,MATCH(O2396,基础资料!$AC$5:$AC$34,0)),"")="支",N(F2396)&lt;&gt;0),"✗ 这类是付款，金额填到支出列",IF(N(H2396)&lt;0,"⚠ 账户余额成负数了，核对一下","√"))))))))))))))))))</f>
      </c>
      <c r="O2396" s="78">
        <f>IF(D2396&lt;&gt;"",D2396,IF(AND(F2396="",G2396=""),"",IF(J2396&lt;&gt;"",IF(N(F2396)&gt;0,"客户回款","客户退款"),IF(K2396&lt;&gt;"",IF(N(G2396)&gt;0,"供应商付款","供应商退款"),IF(L2396&lt;&gt;"","费用支出","")))))</f>
      </c>
      <c r="P2396" s="78">
        <f>IF(O2396="","",IFERROR(INDEX(基础资料!$AE$5:$AE$34,MATCH(O2396,基础资料!$AC$5:$AC$34,0)),"未知"))</f>
      </c>
      <c r="Q2396" s="78">
        <f>IF(P2396="应收",COUNTIF(P$7:P2396,"应收"),"")</f>
      </c>
      <c r="R2396" s="78">
        <f>IF(P2396="应付",COUNTIF(P$7:P2396,"应付"),"")</f>
      </c>
      <c r="S2396" s="78">
        <f>N(F2396)-N(G2396)</f>
        <v>0</v>
      </c>
    </row>
    <row r="2397">
      <c r="A2397" s="109">
        <f>IF(AND(F2397="",G2397=""),"",ROW()-6)</f>
      </c>
      <c r="B2397" s="140" t="n"/>
      <c r="C2397" s="141" t="n"/>
      <c r="D2397" s="141" t="n"/>
      <c r="E2397" s="142" t="n"/>
      <c r="F2397" s="143" t="n"/>
      <c r="G2397" s="144" t="n"/>
      <c r="H2397" s="145">
        <f>IF(OR(C2397="",AND(F2397="",G2397="")),"",SUMIF(基础资料!$W$5:$W$24,C2397,基础资料!$X$5:$X$24)+SUMIF(C$7:C2397,C2397,F$7:F2397)-SUMIF(C$7:C2397,C2397,G$7:G2397))</f>
      </c>
      <c r="I2397" s="145">
        <f>IF(AND(F2397="",G2397=""),"",SUM(基础资料!$X$5:$X$24)+SUM(F$7:F2397)-SUM(G$7:G2397))</f>
      </c>
      <c r="J2397" s="141" t="n"/>
      <c r="K2397" s="141" t="n"/>
      <c r="L2397" s="141" t="n"/>
      <c r="M2397" s="142" t="n"/>
      <c r="N2397" s="146">
        <f>IF(AND(AND(F2397="",G2397=""),B2397="",C2397="",D2397="",J2397="",K2397="",L2397=""),"",IF(AND(F2397="",G2397=""),"✗ 没填金额",IF(AND(N(F2397)&lt;&gt;0,N(G2397)&lt;&gt;0),"✗ 收入、支出只能填一边",IF(NOT(ISNUMBER(B2397)),"✗ 日期不是真日期（要像 2026/9/25 这样填）",IF(OR(B2397&lt;年初日,B2397&gt;年末日),"✗ 日期不在本会计年度",IF(C2397="","✗ 没选账户",IF(COUNTIF(基础资料!$W$5:$W$24,C2397)=0,"✗ 账户不在基础资料里",IF(O2397="","✗ 没选收支项目",IF(P2397="未知","✗ 收支项目不在基础资料里",IF(AND(P2397="应收",J2397=""),"✗ 这笔要选客户",IF(AND(P2397="应收",COUNTIF(总览汇总!$B$5:$B$304,J2397)=0),"✗ 客户不在总览汇总名单里",IF(AND(P2397="应付",K2397=""),"✗ 这笔要选供应商",IF(AND(P2397="应付",COUNTIF(基础资料!$Q$5:$Q$54,K2397)=0),"✗ 供应商不在基础资料里",IF(AND(P2397="费用",L2397=""),"✗ 费用支出要选费用项目",IF(AND(L2397&lt;&gt;"",COUNTIF(基础资料!$AI$5:$AI$54,L2397)=0),"✗ 费用项目不在基础资料里",IF(AND(IFERROR(INDEX(基础资料!$AD$5:$AD$34,MATCH(O2397,基础资料!$AC$5:$AC$34,0)),"")="收",N(G2397)&lt;&gt;0),"✗ 这类是收款，金额填到收入列",IF(AND(IFERROR(INDEX(基础资料!$AD$5:$AD$34,MATCH(O2397,基础资料!$AC$5:$AC$34,0)),"")="支",N(F2397)&lt;&gt;0),"✗ 这类是付款，金额填到支出列",IF(N(H2397)&lt;0,"⚠ 账户余额成负数了，核对一下","√"))))))))))))))))))</f>
      </c>
      <c r="O2397" s="78">
        <f>IF(D2397&lt;&gt;"",D2397,IF(AND(F2397="",G2397=""),"",IF(J2397&lt;&gt;"",IF(N(F2397)&gt;0,"客户回款","客户退款"),IF(K2397&lt;&gt;"",IF(N(G2397)&gt;0,"供应商付款","供应商退款"),IF(L2397&lt;&gt;"","费用支出","")))))</f>
      </c>
      <c r="P2397" s="78">
        <f>IF(O2397="","",IFERROR(INDEX(基础资料!$AE$5:$AE$34,MATCH(O2397,基础资料!$AC$5:$AC$34,0)),"未知"))</f>
      </c>
      <c r="Q2397" s="78">
        <f>IF(P2397="应收",COUNTIF(P$7:P2397,"应收"),"")</f>
      </c>
      <c r="R2397" s="78">
        <f>IF(P2397="应付",COUNTIF(P$7:P2397,"应付"),"")</f>
      </c>
      <c r="S2397" s="78">
        <f>N(F2397)-N(G2397)</f>
        <v>0</v>
      </c>
    </row>
    <row r="2398">
      <c r="A2398" s="109">
        <f>IF(AND(F2398="",G2398=""),"",ROW()-6)</f>
      </c>
      <c r="B2398" s="140" t="n"/>
      <c r="C2398" s="141" t="n"/>
      <c r="D2398" s="141" t="n"/>
      <c r="E2398" s="142" t="n"/>
      <c r="F2398" s="143" t="n"/>
      <c r="G2398" s="144" t="n"/>
      <c r="H2398" s="145">
        <f>IF(OR(C2398="",AND(F2398="",G2398="")),"",SUMIF(基础资料!$W$5:$W$24,C2398,基础资料!$X$5:$X$24)+SUMIF(C$7:C2398,C2398,F$7:F2398)-SUMIF(C$7:C2398,C2398,G$7:G2398))</f>
      </c>
      <c r="I2398" s="145">
        <f>IF(AND(F2398="",G2398=""),"",SUM(基础资料!$X$5:$X$24)+SUM(F$7:F2398)-SUM(G$7:G2398))</f>
      </c>
      <c r="J2398" s="141" t="n"/>
      <c r="K2398" s="141" t="n"/>
      <c r="L2398" s="141" t="n"/>
      <c r="M2398" s="142" t="n"/>
      <c r="N2398" s="146">
        <f>IF(AND(AND(F2398="",G2398=""),B2398="",C2398="",D2398="",J2398="",K2398="",L2398=""),"",IF(AND(F2398="",G2398=""),"✗ 没填金额",IF(AND(N(F2398)&lt;&gt;0,N(G2398)&lt;&gt;0),"✗ 收入、支出只能填一边",IF(NOT(ISNUMBER(B2398)),"✗ 日期不是真日期（要像 2026/9/25 这样填）",IF(OR(B2398&lt;年初日,B2398&gt;年末日),"✗ 日期不在本会计年度",IF(C2398="","✗ 没选账户",IF(COUNTIF(基础资料!$W$5:$W$24,C2398)=0,"✗ 账户不在基础资料里",IF(O2398="","✗ 没选收支项目",IF(P2398="未知","✗ 收支项目不在基础资料里",IF(AND(P2398="应收",J2398=""),"✗ 这笔要选客户",IF(AND(P2398="应收",COUNTIF(总览汇总!$B$5:$B$304,J2398)=0),"✗ 客户不在总览汇总名单里",IF(AND(P2398="应付",K2398=""),"✗ 这笔要选供应商",IF(AND(P2398="应付",COUNTIF(基础资料!$Q$5:$Q$54,K2398)=0),"✗ 供应商不在基础资料里",IF(AND(P2398="费用",L2398=""),"✗ 费用支出要选费用项目",IF(AND(L2398&lt;&gt;"",COUNTIF(基础资料!$AI$5:$AI$54,L2398)=0),"✗ 费用项目不在基础资料里",IF(AND(IFERROR(INDEX(基础资料!$AD$5:$AD$34,MATCH(O2398,基础资料!$AC$5:$AC$34,0)),"")="收",N(G2398)&lt;&gt;0),"✗ 这类是收款，金额填到收入列",IF(AND(IFERROR(INDEX(基础资料!$AD$5:$AD$34,MATCH(O2398,基础资料!$AC$5:$AC$34,0)),"")="支",N(F2398)&lt;&gt;0),"✗ 这类是付款，金额填到支出列",IF(N(H2398)&lt;0,"⚠ 账户余额成负数了，核对一下","√"))))))))))))))))))</f>
      </c>
      <c r="O2398" s="78">
        <f>IF(D2398&lt;&gt;"",D2398,IF(AND(F2398="",G2398=""),"",IF(J2398&lt;&gt;"",IF(N(F2398)&gt;0,"客户回款","客户退款"),IF(K2398&lt;&gt;"",IF(N(G2398)&gt;0,"供应商付款","供应商退款"),IF(L2398&lt;&gt;"","费用支出","")))))</f>
      </c>
      <c r="P2398" s="78">
        <f>IF(O2398="","",IFERROR(INDEX(基础资料!$AE$5:$AE$34,MATCH(O2398,基础资料!$AC$5:$AC$34,0)),"未知"))</f>
      </c>
      <c r="Q2398" s="78">
        <f>IF(P2398="应收",COUNTIF(P$7:P2398,"应收"),"")</f>
      </c>
      <c r="R2398" s="78">
        <f>IF(P2398="应付",COUNTIF(P$7:P2398,"应付"),"")</f>
      </c>
      <c r="S2398" s="78">
        <f>N(F2398)-N(G2398)</f>
        <v>0</v>
      </c>
    </row>
    <row r="2399">
      <c r="A2399" s="109">
        <f>IF(AND(F2399="",G2399=""),"",ROW()-6)</f>
      </c>
      <c r="B2399" s="140" t="n"/>
      <c r="C2399" s="141" t="n"/>
      <c r="D2399" s="141" t="n"/>
      <c r="E2399" s="142" t="n"/>
      <c r="F2399" s="143" t="n"/>
      <c r="G2399" s="144" t="n"/>
      <c r="H2399" s="145">
        <f>IF(OR(C2399="",AND(F2399="",G2399="")),"",SUMIF(基础资料!$W$5:$W$24,C2399,基础资料!$X$5:$X$24)+SUMIF(C$7:C2399,C2399,F$7:F2399)-SUMIF(C$7:C2399,C2399,G$7:G2399))</f>
      </c>
      <c r="I2399" s="145">
        <f>IF(AND(F2399="",G2399=""),"",SUM(基础资料!$X$5:$X$24)+SUM(F$7:F2399)-SUM(G$7:G2399))</f>
      </c>
      <c r="J2399" s="141" t="n"/>
      <c r="K2399" s="141" t="n"/>
      <c r="L2399" s="141" t="n"/>
      <c r="M2399" s="142" t="n"/>
      <c r="N2399" s="146">
        <f>IF(AND(AND(F2399="",G2399=""),B2399="",C2399="",D2399="",J2399="",K2399="",L2399=""),"",IF(AND(F2399="",G2399=""),"✗ 没填金额",IF(AND(N(F2399)&lt;&gt;0,N(G2399)&lt;&gt;0),"✗ 收入、支出只能填一边",IF(NOT(ISNUMBER(B2399)),"✗ 日期不是真日期（要像 2026/9/25 这样填）",IF(OR(B2399&lt;年初日,B2399&gt;年末日),"✗ 日期不在本会计年度",IF(C2399="","✗ 没选账户",IF(COUNTIF(基础资料!$W$5:$W$24,C2399)=0,"✗ 账户不在基础资料里",IF(O2399="","✗ 没选收支项目",IF(P2399="未知","✗ 收支项目不在基础资料里",IF(AND(P2399="应收",J2399=""),"✗ 这笔要选客户",IF(AND(P2399="应收",COUNTIF(总览汇总!$B$5:$B$304,J2399)=0),"✗ 客户不在总览汇总名单里",IF(AND(P2399="应付",K2399=""),"✗ 这笔要选供应商",IF(AND(P2399="应付",COUNTIF(基础资料!$Q$5:$Q$54,K2399)=0),"✗ 供应商不在基础资料里",IF(AND(P2399="费用",L2399=""),"✗ 费用支出要选费用项目",IF(AND(L2399&lt;&gt;"",COUNTIF(基础资料!$AI$5:$AI$54,L2399)=0),"✗ 费用项目不在基础资料里",IF(AND(IFERROR(INDEX(基础资料!$AD$5:$AD$34,MATCH(O2399,基础资料!$AC$5:$AC$34,0)),"")="收",N(G2399)&lt;&gt;0),"✗ 这类是收款，金额填到收入列",IF(AND(IFERROR(INDEX(基础资料!$AD$5:$AD$34,MATCH(O2399,基础资料!$AC$5:$AC$34,0)),"")="支",N(F2399)&lt;&gt;0),"✗ 这类是付款，金额填到支出列",IF(N(H2399)&lt;0,"⚠ 账户余额成负数了，核对一下","√"))))))))))))))))))</f>
      </c>
      <c r="O2399" s="78">
        <f>IF(D2399&lt;&gt;"",D2399,IF(AND(F2399="",G2399=""),"",IF(J2399&lt;&gt;"",IF(N(F2399)&gt;0,"客户回款","客户退款"),IF(K2399&lt;&gt;"",IF(N(G2399)&gt;0,"供应商付款","供应商退款"),IF(L2399&lt;&gt;"","费用支出","")))))</f>
      </c>
      <c r="P2399" s="78">
        <f>IF(O2399="","",IFERROR(INDEX(基础资料!$AE$5:$AE$34,MATCH(O2399,基础资料!$AC$5:$AC$34,0)),"未知"))</f>
      </c>
      <c r="Q2399" s="78">
        <f>IF(P2399="应收",COUNTIF(P$7:P2399,"应收"),"")</f>
      </c>
      <c r="R2399" s="78">
        <f>IF(P2399="应付",COUNTIF(P$7:P2399,"应付"),"")</f>
      </c>
      <c r="S2399" s="78">
        <f>N(F2399)-N(G2399)</f>
        <v>0</v>
      </c>
    </row>
    <row r="2400">
      <c r="A2400" s="109">
        <f>IF(AND(F2400="",G2400=""),"",ROW()-6)</f>
      </c>
      <c r="B2400" s="140" t="n"/>
      <c r="C2400" s="141" t="n"/>
      <c r="D2400" s="141" t="n"/>
      <c r="E2400" s="142" t="n"/>
      <c r="F2400" s="143" t="n"/>
      <c r="G2400" s="144" t="n"/>
      <c r="H2400" s="145">
        <f>IF(OR(C2400="",AND(F2400="",G2400="")),"",SUMIF(基础资料!$W$5:$W$24,C2400,基础资料!$X$5:$X$24)+SUMIF(C$7:C2400,C2400,F$7:F2400)-SUMIF(C$7:C2400,C2400,G$7:G2400))</f>
      </c>
      <c r="I2400" s="145">
        <f>IF(AND(F2400="",G2400=""),"",SUM(基础资料!$X$5:$X$24)+SUM(F$7:F2400)-SUM(G$7:G2400))</f>
      </c>
      <c r="J2400" s="141" t="n"/>
      <c r="K2400" s="141" t="n"/>
      <c r="L2400" s="141" t="n"/>
      <c r="M2400" s="142" t="n"/>
      <c r="N2400" s="146">
        <f>IF(AND(AND(F2400="",G2400=""),B2400="",C2400="",D2400="",J2400="",K2400="",L2400=""),"",IF(AND(F2400="",G2400=""),"✗ 没填金额",IF(AND(N(F2400)&lt;&gt;0,N(G2400)&lt;&gt;0),"✗ 收入、支出只能填一边",IF(NOT(ISNUMBER(B2400)),"✗ 日期不是真日期（要像 2026/9/25 这样填）",IF(OR(B2400&lt;年初日,B2400&gt;年末日),"✗ 日期不在本会计年度",IF(C2400="","✗ 没选账户",IF(COUNTIF(基础资料!$W$5:$W$24,C2400)=0,"✗ 账户不在基础资料里",IF(O2400="","✗ 没选收支项目",IF(P2400="未知","✗ 收支项目不在基础资料里",IF(AND(P2400="应收",J2400=""),"✗ 这笔要选客户",IF(AND(P2400="应收",COUNTIF(总览汇总!$B$5:$B$304,J2400)=0),"✗ 客户不在总览汇总名单里",IF(AND(P2400="应付",K2400=""),"✗ 这笔要选供应商",IF(AND(P2400="应付",COUNTIF(基础资料!$Q$5:$Q$54,K2400)=0),"✗ 供应商不在基础资料里",IF(AND(P2400="费用",L2400=""),"✗ 费用支出要选费用项目",IF(AND(L2400&lt;&gt;"",COUNTIF(基础资料!$AI$5:$AI$54,L2400)=0),"✗ 费用项目不在基础资料里",IF(AND(IFERROR(INDEX(基础资料!$AD$5:$AD$34,MATCH(O2400,基础资料!$AC$5:$AC$34,0)),"")="收",N(G2400)&lt;&gt;0),"✗ 这类是收款，金额填到收入列",IF(AND(IFERROR(INDEX(基础资料!$AD$5:$AD$34,MATCH(O2400,基础资料!$AC$5:$AC$34,0)),"")="支",N(F2400)&lt;&gt;0),"✗ 这类是付款，金额填到支出列",IF(N(H2400)&lt;0,"⚠ 账户余额成负数了，核对一下","√"))))))))))))))))))</f>
      </c>
      <c r="O2400" s="78">
        <f>IF(D2400&lt;&gt;"",D2400,IF(AND(F2400="",G2400=""),"",IF(J2400&lt;&gt;"",IF(N(F2400)&gt;0,"客户回款","客户退款"),IF(K2400&lt;&gt;"",IF(N(G2400)&gt;0,"供应商付款","供应商退款"),IF(L2400&lt;&gt;"","费用支出","")))))</f>
      </c>
      <c r="P2400" s="78">
        <f>IF(O2400="","",IFERROR(INDEX(基础资料!$AE$5:$AE$34,MATCH(O2400,基础资料!$AC$5:$AC$34,0)),"未知"))</f>
      </c>
      <c r="Q2400" s="78">
        <f>IF(P2400="应收",COUNTIF(P$7:P2400,"应收"),"")</f>
      </c>
      <c r="R2400" s="78">
        <f>IF(P2400="应付",COUNTIF(P$7:P2400,"应付"),"")</f>
      </c>
      <c r="S2400" s="78">
        <f>N(F2400)-N(G2400)</f>
        <v>0</v>
      </c>
    </row>
    <row r="2401">
      <c r="A2401" s="109">
        <f>IF(AND(F2401="",G2401=""),"",ROW()-6)</f>
      </c>
      <c r="B2401" s="140" t="n"/>
      <c r="C2401" s="141" t="n"/>
      <c r="D2401" s="141" t="n"/>
      <c r="E2401" s="142" t="n"/>
      <c r="F2401" s="143" t="n"/>
      <c r="G2401" s="144" t="n"/>
      <c r="H2401" s="145">
        <f>IF(OR(C2401="",AND(F2401="",G2401="")),"",SUMIF(基础资料!$W$5:$W$24,C2401,基础资料!$X$5:$X$24)+SUMIF(C$7:C2401,C2401,F$7:F2401)-SUMIF(C$7:C2401,C2401,G$7:G2401))</f>
      </c>
      <c r="I2401" s="145">
        <f>IF(AND(F2401="",G2401=""),"",SUM(基础资料!$X$5:$X$24)+SUM(F$7:F2401)-SUM(G$7:G2401))</f>
      </c>
      <c r="J2401" s="141" t="n"/>
      <c r="K2401" s="141" t="n"/>
      <c r="L2401" s="141" t="n"/>
      <c r="M2401" s="142" t="n"/>
      <c r="N2401" s="146">
        <f>IF(AND(AND(F2401="",G2401=""),B2401="",C2401="",D2401="",J2401="",K2401="",L2401=""),"",IF(AND(F2401="",G2401=""),"✗ 没填金额",IF(AND(N(F2401)&lt;&gt;0,N(G2401)&lt;&gt;0),"✗ 收入、支出只能填一边",IF(NOT(ISNUMBER(B2401)),"✗ 日期不是真日期（要像 2026/9/25 这样填）",IF(OR(B2401&lt;年初日,B2401&gt;年末日),"✗ 日期不在本会计年度",IF(C2401="","✗ 没选账户",IF(COUNTIF(基础资料!$W$5:$W$24,C2401)=0,"✗ 账户不在基础资料里",IF(O2401="","✗ 没选收支项目",IF(P2401="未知","✗ 收支项目不在基础资料里",IF(AND(P2401="应收",J2401=""),"✗ 这笔要选客户",IF(AND(P2401="应收",COUNTIF(总览汇总!$B$5:$B$304,J2401)=0),"✗ 客户不在总览汇总名单里",IF(AND(P2401="应付",K2401=""),"✗ 这笔要选供应商",IF(AND(P2401="应付",COUNTIF(基础资料!$Q$5:$Q$54,K2401)=0),"✗ 供应商不在基础资料里",IF(AND(P2401="费用",L2401=""),"✗ 费用支出要选费用项目",IF(AND(L2401&lt;&gt;"",COUNTIF(基础资料!$AI$5:$AI$54,L2401)=0),"✗ 费用项目不在基础资料里",IF(AND(IFERROR(INDEX(基础资料!$AD$5:$AD$34,MATCH(O2401,基础资料!$AC$5:$AC$34,0)),"")="收",N(G2401)&lt;&gt;0),"✗ 这类是收款，金额填到收入列",IF(AND(IFERROR(INDEX(基础资料!$AD$5:$AD$34,MATCH(O2401,基础资料!$AC$5:$AC$34,0)),"")="支",N(F2401)&lt;&gt;0),"✗ 这类是付款，金额填到支出列",IF(N(H2401)&lt;0,"⚠ 账户余额成负数了，核对一下","√"))))))))))))))))))</f>
      </c>
      <c r="O2401" s="78">
        <f>IF(D2401&lt;&gt;"",D2401,IF(AND(F2401="",G2401=""),"",IF(J2401&lt;&gt;"",IF(N(F2401)&gt;0,"客户回款","客户退款"),IF(K2401&lt;&gt;"",IF(N(G2401)&gt;0,"供应商付款","供应商退款"),IF(L2401&lt;&gt;"","费用支出","")))))</f>
      </c>
      <c r="P2401" s="78">
        <f>IF(O2401="","",IFERROR(INDEX(基础资料!$AE$5:$AE$34,MATCH(O2401,基础资料!$AC$5:$AC$34,0)),"未知"))</f>
      </c>
      <c r="Q2401" s="78">
        <f>IF(P2401="应收",COUNTIF(P$7:P2401,"应收"),"")</f>
      </c>
      <c r="R2401" s="78">
        <f>IF(P2401="应付",COUNTIF(P$7:P2401,"应付"),"")</f>
      </c>
      <c r="S2401" s="78">
        <f>N(F2401)-N(G2401)</f>
        <v>0</v>
      </c>
    </row>
    <row r="2402">
      <c r="A2402" s="109">
        <f>IF(AND(F2402="",G2402=""),"",ROW()-6)</f>
      </c>
      <c r="B2402" s="140" t="n"/>
      <c r="C2402" s="141" t="n"/>
      <c r="D2402" s="141" t="n"/>
      <c r="E2402" s="142" t="n"/>
      <c r="F2402" s="143" t="n"/>
      <c r="G2402" s="144" t="n"/>
      <c r="H2402" s="145">
        <f>IF(OR(C2402="",AND(F2402="",G2402="")),"",SUMIF(基础资料!$W$5:$W$24,C2402,基础资料!$X$5:$X$24)+SUMIF(C$7:C2402,C2402,F$7:F2402)-SUMIF(C$7:C2402,C2402,G$7:G2402))</f>
      </c>
      <c r="I2402" s="145">
        <f>IF(AND(F2402="",G2402=""),"",SUM(基础资料!$X$5:$X$24)+SUM(F$7:F2402)-SUM(G$7:G2402))</f>
      </c>
      <c r="J2402" s="141" t="n"/>
      <c r="K2402" s="141" t="n"/>
      <c r="L2402" s="141" t="n"/>
      <c r="M2402" s="142" t="n"/>
      <c r="N2402" s="146">
        <f>IF(AND(AND(F2402="",G2402=""),B2402="",C2402="",D2402="",J2402="",K2402="",L2402=""),"",IF(AND(F2402="",G2402=""),"✗ 没填金额",IF(AND(N(F2402)&lt;&gt;0,N(G2402)&lt;&gt;0),"✗ 收入、支出只能填一边",IF(NOT(ISNUMBER(B2402)),"✗ 日期不是真日期（要像 2026/9/25 这样填）",IF(OR(B2402&lt;年初日,B2402&gt;年末日),"✗ 日期不在本会计年度",IF(C2402="","✗ 没选账户",IF(COUNTIF(基础资料!$W$5:$W$24,C2402)=0,"✗ 账户不在基础资料里",IF(O2402="","✗ 没选收支项目",IF(P2402="未知","✗ 收支项目不在基础资料里",IF(AND(P2402="应收",J2402=""),"✗ 这笔要选客户",IF(AND(P2402="应收",COUNTIF(总览汇总!$B$5:$B$304,J2402)=0),"✗ 客户不在总览汇总名单里",IF(AND(P2402="应付",K2402=""),"✗ 这笔要选供应商",IF(AND(P2402="应付",COUNTIF(基础资料!$Q$5:$Q$54,K2402)=0),"✗ 供应商不在基础资料里",IF(AND(P2402="费用",L2402=""),"✗ 费用支出要选费用项目",IF(AND(L2402&lt;&gt;"",COUNTIF(基础资料!$AI$5:$AI$54,L2402)=0),"✗ 费用项目不在基础资料里",IF(AND(IFERROR(INDEX(基础资料!$AD$5:$AD$34,MATCH(O2402,基础资料!$AC$5:$AC$34,0)),"")="收",N(G2402)&lt;&gt;0),"✗ 这类是收款，金额填到收入列",IF(AND(IFERROR(INDEX(基础资料!$AD$5:$AD$34,MATCH(O2402,基础资料!$AC$5:$AC$34,0)),"")="支",N(F2402)&lt;&gt;0),"✗ 这类是付款，金额填到支出列",IF(N(H2402)&lt;0,"⚠ 账户余额成负数了，核对一下","√"))))))))))))))))))</f>
      </c>
      <c r="O2402" s="78">
        <f>IF(D2402&lt;&gt;"",D2402,IF(AND(F2402="",G2402=""),"",IF(J2402&lt;&gt;"",IF(N(F2402)&gt;0,"客户回款","客户退款"),IF(K2402&lt;&gt;"",IF(N(G2402)&gt;0,"供应商付款","供应商退款"),IF(L2402&lt;&gt;"","费用支出","")))))</f>
      </c>
      <c r="P2402" s="78">
        <f>IF(O2402="","",IFERROR(INDEX(基础资料!$AE$5:$AE$34,MATCH(O2402,基础资料!$AC$5:$AC$34,0)),"未知"))</f>
      </c>
      <c r="Q2402" s="78">
        <f>IF(P2402="应收",COUNTIF(P$7:P2402,"应收"),"")</f>
      </c>
      <c r="R2402" s="78">
        <f>IF(P2402="应付",COUNTIF(P$7:P2402,"应付"),"")</f>
      </c>
      <c r="S2402" s="78">
        <f>N(F2402)-N(G2402)</f>
        <v>0</v>
      </c>
    </row>
    <row r="2403">
      <c r="A2403" s="109">
        <f>IF(AND(F2403="",G2403=""),"",ROW()-6)</f>
      </c>
      <c r="B2403" s="140" t="n"/>
      <c r="C2403" s="141" t="n"/>
      <c r="D2403" s="141" t="n"/>
      <c r="E2403" s="142" t="n"/>
      <c r="F2403" s="143" t="n"/>
      <c r="G2403" s="144" t="n"/>
      <c r="H2403" s="145">
        <f>IF(OR(C2403="",AND(F2403="",G2403="")),"",SUMIF(基础资料!$W$5:$W$24,C2403,基础资料!$X$5:$X$24)+SUMIF(C$7:C2403,C2403,F$7:F2403)-SUMIF(C$7:C2403,C2403,G$7:G2403))</f>
      </c>
      <c r="I2403" s="145">
        <f>IF(AND(F2403="",G2403=""),"",SUM(基础资料!$X$5:$X$24)+SUM(F$7:F2403)-SUM(G$7:G2403))</f>
      </c>
      <c r="J2403" s="141" t="n"/>
      <c r="K2403" s="141" t="n"/>
      <c r="L2403" s="141" t="n"/>
      <c r="M2403" s="142" t="n"/>
      <c r="N2403" s="146">
        <f>IF(AND(AND(F2403="",G2403=""),B2403="",C2403="",D2403="",J2403="",K2403="",L2403=""),"",IF(AND(F2403="",G2403=""),"✗ 没填金额",IF(AND(N(F2403)&lt;&gt;0,N(G2403)&lt;&gt;0),"✗ 收入、支出只能填一边",IF(NOT(ISNUMBER(B2403)),"✗ 日期不是真日期（要像 2026/9/25 这样填）",IF(OR(B2403&lt;年初日,B2403&gt;年末日),"✗ 日期不在本会计年度",IF(C2403="","✗ 没选账户",IF(COUNTIF(基础资料!$W$5:$W$24,C2403)=0,"✗ 账户不在基础资料里",IF(O2403="","✗ 没选收支项目",IF(P2403="未知","✗ 收支项目不在基础资料里",IF(AND(P2403="应收",J2403=""),"✗ 这笔要选客户",IF(AND(P2403="应收",COUNTIF(总览汇总!$B$5:$B$304,J2403)=0),"✗ 客户不在总览汇总名单里",IF(AND(P2403="应付",K2403=""),"✗ 这笔要选供应商",IF(AND(P2403="应付",COUNTIF(基础资料!$Q$5:$Q$54,K2403)=0),"✗ 供应商不在基础资料里",IF(AND(P2403="费用",L2403=""),"✗ 费用支出要选费用项目",IF(AND(L2403&lt;&gt;"",COUNTIF(基础资料!$AI$5:$AI$54,L2403)=0),"✗ 费用项目不在基础资料里",IF(AND(IFERROR(INDEX(基础资料!$AD$5:$AD$34,MATCH(O2403,基础资料!$AC$5:$AC$34,0)),"")="收",N(G2403)&lt;&gt;0),"✗ 这类是收款，金额填到收入列",IF(AND(IFERROR(INDEX(基础资料!$AD$5:$AD$34,MATCH(O2403,基础资料!$AC$5:$AC$34,0)),"")="支",N(F2403)&lt;&gt;0),"✗ 这类是付款，金额填到支出列",IF(N(H2403)&lt;0,"⚠ 账户余额成负数了，核对一下","√"))))))))))))))))))</f>
      </c>
      <c r="O2403" s="78">
        <f>IF(D2403&lt;&gt;"",D2403,IF(AND(F2403="",G2403=""),"",IF(J2403&lt;&gt;"",IF(N(F2403)&gt;0,"客户回款","客户退款"),IF(K2403&lt;&gt;"",IF(N(G2403)&gt;0,"供应商付款","供应商退款"),IF(L2403&lt;&gt;"","费用支出","")))))</f>
      </c>
      <c r="P2403" s="78">
        <f>IF(O2403="","",IFERROR(INDEX(基础资料!$AE$5:$AE$34,MATCH(O2403,基础资料!$AC$5:$AC$34,0)),"未知"))</f>
      </c>
      <c r="Q2403" s="78">
        <f>IF(P2403="应收",COUNTIF(P$7:P2403,"应收"),"")</f>
      </c>
      <c r="R2403" s="78">
        <f>IF(P2403="应付",COUNTIF(P$7:P2403,"应付"),"")</f>
      </c>
      <c r="S2403" s="78">
        <f>N(F2403)-N(G2403)</f>
        <v>0</v>
      </c>
    </row>
    <row r="2404">
      <c r="A2404" s="109">
        <f>IF(AND(F2404="",G2404=""),"",ROW()-6)</f>
      </c>
      <c r="B2404" s="140" t="n"/>
      <c r="C2404" s="141" t="n"/>
      <c r="D2404" s="141" t="n"/>
      <c r="E2404" s="142" t="n"/>
      <c r="F2404" s="143" t="n"/>
      <c r="G2404" s="144" t="n"/>
      <c r="H2404" s="145">
        <f>IF(OR(C2404="",AND(F2404="",G2404="")),"",SUMIF(基础资料!$W$5:$W$24,C2404,基础资料!$X$5:$X$24)+SUMIF(C$7:C2404,C2404,F$7:F2404)-SUMIF(C$7:C2404,C2404,G$7:G2404))</f>
      </c>
      <c r="I2404" s="145">
        <f>IF(AND(F2404="",G2404=""),"",SUM(基础资料!$X$5:$X$24)+SUM(F$7:F2404)-SUM(G$7:G2404))</f>
      </c>
      <c r="J2404" s="141" t="n"/>
      <c r="K2404" s="141" t="n"/>
      <c r="L2404" s="141" t="n"/>
      <c r="M2404" s="142" t="n"/>
      <c r="N2404" s="146">
        <f>IF(AND(AND(F2404="",G2404=""),B2404="",C2404="",D2404="",J2404="",K2404="",L2404=""),"",IF(AND(F2404="",G2404=""),"✗ 没填金额",IF(AND(N(F2404)&lt;&gt;0,N(G2404)&lt;&gt;0),"✗ 收入、支出只能填一边",IF(NOT(ISNUMBER(B2404)),"✗ 日期不是真日期（要像 2026/9/25 这样填）",IF(OR(B2404&lt;年初日,B2404&gt;年末日),"✗ 日期不在本会计年度",IF(C2404="","✗ 没选账户",IF(COUNTIF(基础资料!$W$5:$W$24,C2404)=0,"✗ 账户不在基础资料里",IF(O2404="","✗ 没选收支项目",IF(P2404="未知","✗ 收支项目不在基础资料里",IF(AND(P2404="应收",J2404=""),"✗ 这笔要选客户",IF(AND(P2404="应收",COUNTIF(总览汇总!$B$5:$B$304,J2404)=0),"✗ 客户不在总览汇总名单里",IF(AND(P2404="应付",K2404=""),"✗ 这笔要选供应商",IF(AND(P2404="应付",COUNTIF(基础资料!$Q$5:$Q$54,K2404)=0),"✗ 供应商不在基础资料里",IF(AND(P2404="费用",L2404=""),"✗ 费用支出要选费用项目",IF(AND(L2404&lt;&gt;"",COUNTIF(基础资料!$AI$5:$AI$54,L2404)=0),"✗ 费用项目不在基础资料里",IF(AND(IFERROR(INDEX(基础资料!$AD$5:$AD$34,MATCH(O2404,基础资料!$AC$5:$AC$34,0)),"")="收",N(G2404)&lt;&gt;0),"✗ 这类是收款，金额填到收入列",IF(AND(IFERROR(INDEX(基础资料!$AD$5:$AD$34,MATCH(O2404,基础资料!$AC$5:$AC$34,0)),"")="支",N(F2404)&lt;&gt;0),"✗ 这类是付款，金额填到支出列",IF(N(H2404)&lt;0,"⚠ 账户余额成负数了，核对一下","√"))))))))))))))))))</f>
      </c>
      <c r="O2404" s="78">
        <f>IF(D2404&lt;&gt;"",D2404,IF(AND(F2404="",G2404=""),"",IF(J2404&lt;&gt;"",IF(N(F2404)&gt;0,"客户回款","客户退款"),IF(K2404&lt;&gt;"",IF(N(G2404)&gt;0,"供应商付款","供应商退款"),IF(L2404&lt;&gt;"","费用支出","")))))</f>
      </c>
      <c r="P2404" s="78">
        <f>IF(O2404="","",IFERROR(INDEX(基础资料!$AE$5:$AE$34,MATCH(O2404,基础资料!$AC$5:$AC$34,0)),"未知"))</f>
      </c>
      <c r="Q2404" s="78">
        <f>IF(P2404="应收",COUNTIF(P$7:P2404,"应收"),"")</f>
      </c>
      <c r="R2404" s="78">
        <f>IF(P2404="应付",COUNTIF(P$7:P2404,"应付"),"")</f>
      </c>
      <c r="S2404" s="78">
        <f>N(F2404)-N(G2404)</f>
        <v>0</v>
      </c>
    </row>
    <row r="2405">
      <c r="A2405" s="109">
        <f>IF(AND(F2405="",G2405=""),"",ROW()-6)</f>
      </c>
      <c r="B2405" s="140" t="n"/>
      <c r="C2405" s="141" t="n"/>
      <c r="D2405" s="141" t="n"/>
      <c r="E2405" s="142" t="n"/>
      <c r="F2405" s="143" t="n"/>
      <c r="G2405" s="144" t="n"/>
      <c r="H2405" s="145">
        <f>IF(OR(C2405="",AND(F2405="",G2405="")),"",SUMIF(基础资料!$W$5:$W$24,C2405,基础资料!$X$5:$X$24)+SUMIF(C$7:C2405,C2405,F$7:F2405)-SUMIF(C$7:C2405,C2405,G$7:G2405))</f>
      </c>
      <c r="I2405" s="145">
        <f>IF(AND(F2405="",G2405=""),"",SUM(基础资料!$X$5:$X$24)+SUM(F$7:F2405)-SUM(G$7:G2405))</f>
      </c>
      <c r="J2405" s="141" t="n"/>
      <c r="K2405" s="141" t="n"/>
      <c r="L2405" s="141" t="n"/>
      <c r="M2405" s="142" t="n"/>
      <c r="N2405" s="146">
        <f>IF(AND(AND(F2405="",G2405=""),B2405="",C2405="",D2405="",J2405="",K2405="",L2405=""),"",IF(AND(F2405="",G2405=""),"✗ 没填金额",IF(AND(N(F2405)&lt;&gt;0,N(G2405)&lt;&gt;0),"✗ 收入、支出只能填一边",IF(NOT(ISNUMBER(B2405)),"✗ 日期不是真日期（要像 2026/9/25 这样填）",IF(OR(B2405&lt;年初日,B2405&gt;年末日),"✗ 日期不在本会计年度",IF(C2405="","✗ 没选账户",IF(COUNTIF(基础资料!$W$5:$W$24,C2405)=0,"✗ 账户不在基础资料里",IF(O2405="","✗ 没选收支项目",IF(P2405="未知","✗ 收支项目不在基础资料里",IF(AND(P2405="应收",J2405=""),"✗ 这笔要选客户",IF(AND(P2405="应收",COUNTIF(总览汇总!$B$5:$B$304,J2405)=0),"✗ 客户不在总览汇总名单里",IF(AND(P2405="应付",K2405=""),"✗ 这笔要选供应商",IF(AND(P2405="应付",COUNTIF(基础资料!$Q$5:$Q$54,K2405)=0),"✗ 供应商不在基础资料里",IF(AND(P2405="费用",L2405=""),"✗ 费用支出要选费用项目",IF(AND(L2405&lt;&gt;"",COUNTIF(基础资料!$AI$5:$AI$54,L2405)=0),"✗ 费用项目不在基础资料里",IF(AND(IFERROR(INDEX(基础资料!$AD$5:$AD$34,MATCH(O2405,基础资料!$AC$5:$AC$34,0)),"")="收",N(G2405)&lt;&gt;0),"✗ 这类是收款，金额填到收入列",IF(AND(IFERROR(INDEX(基础资料!$AD$5:$AD$34,MATCH(O2405,基础资料!$AC$5:$AC$34,0)),"")="支",N(F2405)&lt;&gt;0),"✗ 这类是付款，金额填到支出列",IF(N(H2405)&lt;0,"⚠ 账户余额成负数了，核对一下","√"))))))))))))))))))</f>
      </c>
      <c r="O2405" s="78">
        <f>IF(D2405&lt;&gt;"",D2405,IF(AND(F2405="",G2405=""),"",IF(J2405&lt;&gt;"",IF(N(F2405)&gt;0,"客户回款","客户退款"),IF(K2405&lt;&gt;"",IF(N(G2405)&gt;0,"供应商付款","供应商退款"),IF(L2405&lt;&gt;"","费用支出","")))))</f>
      </c>
      <c r="P2405" s="78">
        <f>IF(O2405="","",IFERROR(INDEX(基础资料!$AE$5:$AE$34,MATCH(O2405,基础资料!$AC$5:$AC$34,0)),"未知"))</f>
      </c>
      <c r="Q2405" s="78">
        <f>IF(P2405="应收",COUNTIF(P$7:P2405,"应收"),"")</f>
      </c>
      <c r="R2405" s="78">
        <f>IF(P2405="应付",COUNTIF(P$7:P2405,"应付"),"")</f>
      </c>
      <c r="S2405" s="78">
        <f>N(F2405)-N(G2405)</f>
        <v>0</v>
      </c>
    </row>
    <row r="2406">
      <c r="A2406" s="109">
        <f>IF(AND(F2406="",G2406=""),"",ROW()-6)</f>
      </c>
      <c r="B2406" s="140" t="n"/>
      <c r="C2406" s="141" t="n"/>
      <c r="D2406" s="141" t="n"/>
      <c r="E2406" s="142" t="n"/>
      <c r="F2406" s="143" t="n"/>
      <c r="G2406" s="144" t="n"/>
      <c r="H2406" s="145">
        <f>IF(OR(C2406="",AND(F2406="",G2406="")),"",SUMIF(基础资料!$W$5:$W$24,C2406,基础资料!$X$5:$X$24)+SUMIF(C$7:C2406,C2406,F$7:F2406)-SUMIF(C$7:C2406,C2406,G$7:G2406))</f>
      </c>
      <c r="I2406" s="145">
        <f>IF(AND(F2406="",G2406=""),"",SUM(基础资料!$X$5:$X$24)+SUM(F$7:F2406)-SUM(G$7:G2406))</f>
      </c>
      <c r="J2406" s="141" t="n"/>
      <c r="K2406" s="141" t="n"/>
      <c r="L2406" s="141" t="n"/>
      <c r="M2406" s="142" t="n"/>
      <c r="N2406" s="146">
        <f>IF(AND(AND(F2406="",G2406=""),B2406="",C2406="",D2406="",J2406="",K2406="",L2406=""),"",IF(AND(F2406="",G2406=""),"✗ 没填金额",IF(AND(N(F2406)&lt;&gt;0,N(G2406)&lt;&gt;0),"✗ 收入、支出只能填一边",IF(NOT(ISNUMBER(B2406)),"✗ 日期不是真日期（要像 2026/9/25 这样填）",IF(OR(B2406&lt;年初日,B2406&gt;年末日),"✗ 日期不在本会计年度",IF(C2406="","✗ 没选账户",IF(COUNTIF(基础资料!$W$5:$W$24,C2406)=0,"✗ 账户不在基础资料里",IF(O2406="","✗ 没选收支项目",IF(P2406="未知","✗ 收支项目不在基础资料里",IF(AND(P2406="应收",J2406=""),"✗ 这笔要选客户",IF(AND(P2406="应收",COUNTIF(总览汇总!$B$5:$B$304,J2406)=0),"✗ 客户不在总览汇总名单里",IF(AND(P2406="应付",K2406=""),"✗ 这笔要选供应商",IF(AND(P2406="应付",COUNTIF(基础资料!$Q$5:$Q$54,K2406)=0),"✗ 供应商不在基础资料里",IF(AND(P2406="费用",L2406=""),"✗ 费用支出要选费用项目",IF(AND(L2406&lt;&gt;"",COUNTIF(基础资料!$AI$5:$AI$54,L2406)=0),"✗ 费用项目不在基础资料里",IF(AND(IFERROR(INDEX(基础资料!$AD$5:$AD$34,MATCH(O2406,基础资料!$AC$5:$AC$34,0)),"")="收",N(G2406)&lt;&gt;0),"✗ 这类是收款，金额填到收入列",IF(AND(IFERROR(INDEX(基础资料!$AD$5:$AD$34,MATCH(O2406,基础资料!$AC$5:$AC$34,0)),"")="支",N(F2406)&lt;&gt;0),"✗ 这类是付款，金额填到支出列",IF(N(H2406)&lt;0,"⚠ 账户余额成负数了，核对一下","√"))))))))))))))))))</f>
      </c>
      <c r="O2406" s="78">
        <f>IF(D2406&lt;&gt;"",D2406,IF(AND(F2406="",G2406=""),"",IF(J2406&lt;&gt;"",IF(N(F2406)&gt;0,"客户回款","客户退款"),IF(K2406&lt;&gt;"",IF(N(G2406)&gt;0,"供应商付款","供应商退款"),IF(L2406&lt;&gt;"","费用支出","")))))</f>
      </c>
      <c r="P2406" s="78">
        <f>IF(O2406="","",IFERROR(INDEX(基础资料!$AE$5:$AE$34,MATCH(O2406,基础资料!$AC$5:$AC$34,0)),"未知"))</f>
      </c>
      <c r="Q2406" s="78">
        <f>IF(P2406="应收",COUNTIF(P$7:P2406,"应收"),"")</f>
      </c>
      <c r="R2406" s="78">
        <f>IF(P2406="应付",COUNTIF(P$7:P2406,"应付"),"")</f>
      </c>
      <c r="S2406" s="78">
        <f>N(F2406)-N(G2406)</f>
        <v>0</v>
      </c>
    </row>
    <row r="2407">
      <c r="A2407" s="109">
        <f>IF(AND(F2407="",G2407=""),"",ROW()-6)</f>
      </c>
      <c r="B2407" s="140" t="n"/>
      <c r="C2407" s="141" t="n"/>
      <c r="D2407" s="141" t="n"/>
      <c r="E2407" s="142" t="n"/>
      <c r="F2407" s="143" t="n"/>
      <c r="G2407" s="144" t="n"/>
      <c r="H2407" s="145">
        <f>IF(OR(C2407="",AND(F2407="",G2407="")),"",SUMIF(基础资料!$W$5:$W$24,C2407,基础资料!$X$5:$X$24)+SUMIF(C$7:C2407,C2407,F$7:F2407)-SUMIF(C$7:C2407,C2407,G$7:G2407))</f>
      </c>
      <c r="I2407" s="145">
        <f>IF(AND(F2407="",G2407=""),"",SUM(基础资料!$X$5:$X$24)+SUM(F$7:F2407)-SUM(G$7:G2407))</f>
      </c>
      <c r="J2407" s="141" t="n"/>
      <c r="K2407" s="141" t="n"/>
      <c r="L2407" s="141" t="n"/>
      <c r="M2407" s="142" t="n"/>
      <c r="N2407" s="146">
        <f>IF(AND(AND(F2407="",G2407=""),B2407="",C2407="",D2407="",J2407="",K2407="",L2407=""),"",IF(AND(F2407="",G2407=""),"✗ 没填金额",IF(AND(N(F2407)&lt;&gt;0,N(G2407)&lt;&gt;0),"✗ 收入、支出只能填一边",IF(NOT(ISNUMBER(B2407)),"✗ 日期不是真日期（要像 2026/9/25 这样填）",IF(OR(B2407&lt;年初日,B2407&gt;年末日),"✗ 日期不在本会计年度",IF(C2407="","✗ 没选账户",IF(COUNTIF(基础资料!$W$5:$W$24,C2407)=0,"✗ 账户不在基础资料里",IF(O2407="","✗ 没选收支项目",IF(P2407="未知","✗ 收支项目不在基础资料里",IF(AND(P2407="应收",J2407=""),"✗ 这笔要选客户",IF(AND(P2407="应收",COUNTIF(总览汇总!$B$5:$B$304,J2407)=0),"✗ 客户不在总览汇总名单里",IF(AND(P2407="应付",K2407=""),"✗ 这笔要选供应商",IF(AND(P2407="应付",COUNTIF(基础资料!$Q$5:$Q$54,K2407)=0),"✗ 供应商不在基础资料里",IF(AND(P2407="费用",L2407=""),"✗ 费用支出要选费用项目",IF(AND(L2407&lt;&gt;"",COUNTIF(基础资料!$AI$5:$AI$54,L2407)=0),"✗ 费用项目不在基础资料里",IF(AND(IFERROR(INDEX(基础资料!$AD$5:$AD$34,MATCH(O2407,基础资料!$AC$5:$AC$34,0)),"")="收",N(G2407)&lt;&gt;0),"✗ 这类是收款，金额填到收入列",IF(AND(IFERROR(INDEX(基础资料!$AD$5:$AD$34,MATCH(O2407,基础资料!$AC$5:$AC$34,0)),"")="支",N(F2407)&lt;&gt;0),"✗ 这类是付款，金额填到支出列",IF(N(H2407)&lt;0,"⚠ 账户余额成负数了，核对一下","√"))))))))))))))))))</f>
      </c>
      <c r="O2407" s="78">
        <f>IF(D2407&lt;&gt;"",D2407,IF(AND(F2407="",G2407=""),"",IF(J2407&lt;&gt;"",IF(N(F2407)&gt;0,"客户回款","客户退款"),IF(K2407&lt;&gt;"",IF(N(G2407)&gt;0,"供应商付款","供应商退款"),IF(L2407&lt;&gt;"","费用支出","")))))</f>
      </c>
      <c r="P2407" s="78">
        <f>IF(O2407="","",IFERROR(INDEX(基础资料!$AE$5:$AE$34,MATCH(O2407,基础资料!$AC$5:$AC$34,0)),"未知"))</f>
      </c>
      <c r="Q2407" s="78">
        <f>IF(P2407="应收",COUNTIF(P$7:P2407,"应收"),"")</f>
      </c>
      <c r="R2407" s="78">
        <f>IF(P2407="应付",COUNTIF(P$7:P2407,"应付"),"")</f>
      </c>
      <c r="S2407" s="78">
        <f>N(F2407)-N(G2407)</f>
        <v>0</v>
      </c>
    </row>
    <row r="2408">
      <c r="A2408" s="109">
        <f>IF(AND(F2408="",G2408=""),"",ROW()-6)</f>
      </c>
      <c r="B2408" s="140" t="n"/>
      <c r="C2408" s="141" t="n"/>
      <c r="D2408" s="141" t="n"/>
      <c r="E2408" s="142" t="n"/>
      <c r="F2408" s="143" t="n"/>
      <c r="G2408" s="144" t="n"/>
      <c r="H2408" s="145">
        <f>IF(OR(C2408="",AND(F2408="",G2408="")),"",SUMIF(基础资料!$W$5:$W$24,C2408,基础资料!$X$5:$X$24)+SUMIF(C$7:C2408,C2408,F$7:F2408)-SUMIF(C$7:C2408,C2408,G$7:G2408))</f>
      </c>
      <c r="I2408" s="145">
        <f>IF(AND(F2408="",G2408=""),"",SUM(基础资料!$X$5:$X$24)+SUM(F$7:F2408)-SUM(G$7:G2408))</f>
      </c>
      <c r="J2408" s="141" t="n"/>
      <c r="K2408" s="141" t="n"/>
      <c r="L2408" s="141" t="n"/>
      <c r="M2408" s="142" t="n"/>
      <c r="N2408" s="146">
        <f>IF(AND(AND(F2408="",G2408=""),B2408="",C2408="",D2408="",J2408="",K2408="",L2408=""),"",IF(AND(F2408="",G2408=""),"✗ 没填金额",IF(AND(N(F2408)&lt;&gt;0,N(G2408)&lt;&gt;0),"✗ 收入、支出只能填一边",IF(NOT(ISNUMBER(B2408)),"✗ 日期不是真日期（要像 2026/9/25 这样填）",IF(OR(B2408&lt;年初日,B2408&gt;年末日),"✗ 日期不在本会计年度",IF(C2408="","✗ 没选账户",IF(COUNTIF(基础资料!$W$5:$W$24,C2408)=0,"✗ 账户不在基础资料里",IF(O2408="","✗ 没选收支项目",IF(P2408="未知","✗ 收支项目不在基础资料里",IF(AND(P2408="应收",J2408=""),"✗ 这笔要选客户",IF(AND(P2408="应收",COUNTIF(总览汇总!$B$5:$B$304,J2408)=0),"✗ 客户不在总览汇总名单里",IF(AND(P2408="应付",K2408=""),"✗ 这笔要选供应商",IF(AND(P2408="应付",COUNTIF(基础资料!$Q$5:$Q$54,K2408)=0),"✗ 供应商不在基础资料里",IF(AND(P2408="费用",L2408=""),"✗ 费用支出要选费用项目",IF(AND(L2408&lt;&gt;"",COUNTIF(基础资料!$AI$5:$AI$54,L2408)=0),"✗ 费用项目不在基础资料里",IF(AND(IFERROR(INDEX(基础资料!$AD$5:$AD$34,MATCH(O2408,基础资料!$AC$5:$AC$34,0)),"")="收",N(G2408)&lt;&gt;0),"✗ 这类是收款，金额填到收入列",IF(AND(IFERROR(INDEX(基础资料!$AD$5:$AD$34,MATCH(O2408,基础资料!$AC$5:$AC$34,0)),"")="支",N(F2408)&lt;&gt;0),"✗ 这类是付款，金额填到支出列",IF(N(H2408)&lt;0,"⚠ 账户余额成负数了，核对一下","√"))))))))))))))))))</f>
      </c>
      <c r="O2408" s="78">
        <f>IF(D2408&lt;&gt;"",D2408,IF(AND(F2408="",G2408=""),"",IF(J2408&lt;&gt;"",IF(N(F2408)&gt;0,"客户回款","客户退款"),IF(K2408&lt;&gt;"",IF(N(G2408)&gt;0,"供应商付款","供应商退款"),IF(L2408&lt;&gt;"","费用支出","")))))</f>
      </c>
      <c r="P2408" s="78">
        <f>IF(O2408="","",IFERROR(INDEX(基础资料!$AE$5:$AE$34,MATCH(O2408,基础资料!$AC$5:$AC$34,0)),"未知"))</f>
      </c>
      <c r="Q2408" s="78">
        <f>IF(P2408="应收",COUNTIF(P$7:P2408,"应收"),"")</f>
      </c>
      <c r="R2408" s="78">
        <f>IF(P2408="应付",COUNTIF(P$7:P2408,"应付"),"")</f>
      </c>
      <c r="S2408" s="78">
        <f>N(F2408)-N(G2408)</f>
        <v>0</v>
      </c>
    </row>
    <row r="2409">
      <c r="A2409" s="109">
        <f>IF(AND(F2409="",G2409=""),"",ROW()-6)</f>
      </c>
      <c r="B2409" s="140" t="n"/>
      <c r="C2409" s="141" t="n"/>
      <c r="D2409" s="141" t="n"/>
      <c r="E2409" s="142" t="n"/>
      <c r="F2409" s="143" t="n"/>
      <c r="G2409" s="144" t="n"/>
      <c r="H2409" s="145">
        <f>IF(OR(C2409="",AND(F2409="",G2409="")),"",SUMIF(基础资料!$W$5:$W$24,C2409,基础资料!$X$5:$X$24)+SUMIF(C$7:C2409,C2409,F$7:F2409)-SUMIF(C$7:C2409,C2409,G$7:G2409))</f>
      </c>
      <c r="I2409" s="145">
        <f>IF(AND(F2409="",G2409=""),"",SUM(基础资料!$X$5:$X$24)+SUM(F$7:F2409)-SUM(G$7:G2409))</f>
      </c>
      <c r="J2409" s="141" t="n"/>
      <c r="K2409" s="141" t="n"/>
      <c r="L2409" s="141" t="n"/>
      <c r="M2409" s="142" t="n"/>
      <c r="N2409" s="146">
        <f>IF(AND(AND(F2409="",G2409=""),B2409="",C2409="",D2409="",J2409="",K2409="",L2409=""),"",IF(AND(F2409="",G2409=""),"✗ 没填金额",IF(AND(N(F2409)&lt;&gt;0,N(G2409)&lt;&gt;0),"✗ 收入、支出只能填一边",IF(NOT(ISNUMBER(B2409)),"✗ 日期不是真日期（要像 2026/9/25 这样填）",IF(OR(B2409&lt;年初日,B2409&gt;年末日),"✗ 日期不在本会计年度",IF(C2409="","✗ 没选账户",IF(COUNTIF(基础资料!$W$5:$W$24,C2409)=0,"✗ 账户不在基础资料里",IF(O2409="","✗ 没选收支项目",IF(P2409="未知","✗ 收支项目不在基础资料里",IF(AND(P2409="应收",J2409=""),"✗ 这笔要选客户",IF(AND(P2409="应收",COUNTIF(总览汇总!$B$5:$B$304,J2409)=0),"✗ 客户不在总览汇总名单里",IF(AND(P2409="应付",K2409=""),"✗ 这笔要选供应商",IF(AND(P2409="应付",COUNTIF(基础资料!$Q$5:$Q$54,K2409)=0),"✗ 供应商不在基础资料里",IF(AND(P2409="费用",L2409=""),"✗ 费用支出要选费用项目",IF(AND(L2409&lt;&gt;"",COUNTIF(基础资料!$AI$5:$AI$54,L2409)=0),"✗ 费用项目不在基础资料里",IF(AND(IFERROR(INDEX(基础资料!$AD$5:$AD$34,MATCH(O2409,基础资料!$AC$5:$AC$34,0)),"")="收",N(G2409)&lt;&gt;0),"✗ 这类是收款，金额填到收入列",IF(AND(IFERROR(INDEX(基础资料!$AD$5:$AD$34,MATCH(O2409,基础资料!$AC$5:$AC$34,0)),"")="支",N(F2409)&lt;&gt;0),"✗ 这类是付款，金额填到支出列",IF(N(H2409)&lt;0,"⚠ 账户余额成负数了，核对一下","√"))))))))))))))))))</f>
      </c>
      <c r="O2409" s="78">
        <f>IF(D2409&lt;&gt;"",D2409,IF(AND(F2409="",G2409=""),"",IF(J2409&lt;&gt;"",IF(N(F2409)&gt;0,"客户回款","客户退款"),IF(K2409&lt;&gt;"",IF(N(G2409)&gt;0,"供应商付款","供应商退款"),IF(L2409&lt;&gt;"","费用支出","")))))</f>
      </c>
      <c r="P2409" s="78">
        <f>IF(O2409="","",IFERROR(INDEX(基础资料!$AE$5:$AE$34,MATCH(O2409,基础资料!$AC$5:$AC$34,0)),"未知"))</f>
      </c>
      <c r="Q2409" s="78">
        <f>IF(P2409="应收",COUNTIF(P$7:P2409,"应收"),"")</f>
      </c>
      <c r="R2409" s="78">
        <f>IF(P2409="应付",COUNTIF(P$7:P2409,"应付"),"")</f>
      </c>
      <c r="S2409" s="78">
        <f>N(F2409)-N(G2409)</f>
        <v>0</v>
      </c>
    </row>
    <row r="2410">
      <c r="A2410" s="109">
        <f>IF(AND(F2410="",G2410=""),"",ROW()-6)</f>
      </c>
      <c r="B2410" s="140" t="n"/>
      <c r="C2410" s="141" t="n"/>
      <c r="D2410" s="141" t="n"/>
      <c r="E2410" s="142" t="n"/>
      <c r="F2410" s="143" t="n"/>
      <c r="G2410" s="144" t="n"/>
      <c r="H2410" s="145">
        <f>IF(OR(C2410="",AND(F2410="",G2410="")),"",SUMIF(基础资料!$W$5:$W$24,C2410,基础资料!$X$5:$X$24)+SUMIF(C$7:C2410,C2410,F$7:F2410)-SUMIF(C$7:C2410,C2410,G$7:G2410))</f>
      </c>
      <c r="I2410" s="145">
        <f>IF(AND(F2410="",G2410=""),"",SUM(基础资料!$X$5:$X$24)+SUM(F$7:F2410)-SUM(G$7:G2410))</f>
      </c>
      <c r="J2410" s="141" t="n"/>
      <c r="K2410" s="141" t="n"/>
      <c r="L2410" s="141" t="n"/>
      <c r="M2410" s="142" t="n"/>
      <c r="N2410" s="146">
        <f>IF(AND(AND(F2410="",G2410=""),B2410="",C2410="",D2410="",J2410="",K2410="",L2410=""),"",IF(AND(F2410="",G2410=""),"✗ 没填金额",IF(AND(N(F2410)&lt;&gt;0,N(G2410)&lt;&gt;0),"✗ 收入、支出只能填一边",IF(NOT(ISNUMBER(B2410)),"✗ 日期不是真日期（要像 2026/9/25 这样填）",IF(OR(B2410&lt;年初日,B2410&gt;年末日),"✗ 日期不在本会计年度",IF(C2410="","✗ 没选账户",IF(COUNTIF(基础资料!$W$5:$W$24,C2410)=0,"✗ 账户不在基础资料里",IF(O2410="","✗ 没选收支项目",IF(P2410="未知","✗ 收支项目不在基础资料里",IF(AND(P2410="应收",J2410=""),"✗ 这笔要选客户",IF(AND(P2410="应收",COUNTIF(总览汇总!$B$5:$B$304,J2410)=0),"✗ 客户不在总览汇总名单里",IF(AND(P2410="应付",K2410=""),"✗ 这笔要选供应商",IF(AND(P2410="应付",COUNTIF(基础资料!$Q$5:$Q$54,K2410)=0),"✗ 供应商不在基础资料里",IF(AND(P2410="费用",L2410=""),"✗ 费用支出要选费用项目",IF(AND(L2410&lt;&gt;"",COUNTIF(基础资料!$AI$5:$AI$54,L2410)=0),"✗ 费用项目不在基础资料里",IF(AND(IFERROR(INDEX(基础资料!$AD$5:$AD$34,MATCH(O2410,基础资料!$AC$5:$AC$34,0)),"")="收",N(G2410)&lt;&gt;0),"✗ 这类是收款，金额填到收入列",IF(AND(IFERROR(INDEX(基础资料!$AD$5:$AD$34,MATCH(O2410,基础资料!$AC$5:$AC$34,0)),"")="支",N(F2410)&lt;&gt;0),"✗ 这类是付款，金额填到支出列",IF(N(H2410)&lt;0,"⚠ 账户余额成负数了，核对一下","√"))))))))))))))))))</f>
      </c>
      <c r="O2410" s="78">
        <f>IF(D2410&lt;&gt;"",D2410,IF(AND(F2410="",G2410=""),"",IF(J2410&lt;&gt;"",IF(N(F2410)&gt;0,"客户回款","客户退款"),IF(K2410&lt;&gt;"",IF(N(G2410)&gt;0,"供应商付款","供应商退款"),IF(L2410&lt;&gt;"","费用支出","")))))</f>
      </c>
      <c r="P2410" s="78">
        <f>IF(O2410="","",IFERROR(INDEX(基础资料!$AE$5:$AE$34,MATCH(O2410,基础资料!$AC$5:$AC$34,0)),"未知"))</f>
      </c>
      <c r="Q2410" s="78">
        <f>IF(P2410="应收",COUNTIF(P$7:P2410,"应收"),"")</f>
      </c>
      <c r="R2410" s="78">
        <f>IF(P2410="应付",COUNTIF(P$7:P2410,"应付"),"")</f>
      </c>
      <c r="S2410" s="78">
        <f>N(F2410)-N(G2410)</f>
        <v>0</v>
      </c>
    </row>
    <row r="2411">
      <c r="A2411" s="109">
        <f>IF(AND(F2411="",G2411=""),"",ROW()-6)</f>
      </c>
      <c r="B2411" s="140" t="n"/>
      <c r="C2411" s="141" t="n"/>
      <c r="D2411" s="141" t="n"/>
      <c r="E2411" s="142" t="n"/>
      <c r="F2411" s="143" t="n"/>
      <c r="G2411" s="144" t="n"/>
      <c r="H2411" s="145">
        <f>IF(OR(C2411="",AND(F2411="",G2411="")),"",SUMIF(基础资料!$W$5:$W$24,C2411,基础资料!$X$5:$X$24)+SUMIF(C$7:C2411,C2411,F$7:F2411)-SUMIF(C$7:C2411,C2411,G$7:G2411))</f>
      </c>
      <c r="I2411" s="145">
        <f>IF(AND(F2411="",G2411=""),"",SUM(基础资料!$X$5:$X$24)+SUM(F$7:F2411)-SUM(G$7:G2411))</f>
      </c>
      <c r="J2411" s="141" t="n"/>
      <c r="K2411" s="141" t="n"/>
      <c r="L2411" s="141" t="n"/>
      <c r="M2411" s="142" t="n"/>
      <c r="N2411" s="146">
        <f>IF(AND(AND(F2411="",G2411=""),B2411="",C2411="",D2411="",J2411="",K2411="",L2411=""),"",IF(AND(F2411="",G2411=""),"✗ 没填金额",IF(AND(N(F2411)&lt;&gt;0,N(G2411)&lt;&gt;0),"✗ 收入、支出只能填一边",IF(NOT(ISNUMBER(B2411)),"✗ 日期不是真日期（要像 2026/9/25 这样填）",IF(OR(B2411&lt;年初日,B2411&gt;年末日),"✗ 日期不在本会计年度",IF(C2411="","✗ 没选账户",IF(COUNTIF(基础资料!$W$5:$W$24,C2411)=0,"✗ 账户不在基础资料里",IF(O2411="","✗ 没选收支项目",IF(P2411="未知","✗ 收支项目不在基础资料里",IF(AND(P2411="应收",J2411=""),"✗ 这笔要选客户",IF(AND(P2411="应收",COUNTIF(总览汇总!$B$5:$B$304,J2411)=0),"✗ 客户不在总览汇总名单里",IF(AND(P2411="应付",K2411=""),"✗ 这笔要选供应商",IF(AND(P2411="应付",COUNTIF(基础资料!$Q$5:$Q$54,K2411)=0),"✗ 供应商不在基础资料里",IF(AND(P2411="费用",L2411=""),"✗ 费用支出要选费用项目",IF(AND(L2411&lt;&gt;"",COUNTIF(基础资料!$AI$5:$AI$54,L2411)=0),"✗ 费用项目不在基础资料里",IF(AND(IFERROR(INDEX(基础资料!$AD$5:$AD$34,MATCH(O2411,基础资料!$AC$5:$AC$34,0)),"")="收",N(G2411)&lt;&gt;0),"✗ 这类是收款，金额填到收入列",IF(AND(IFERROR(INDEX(基础资料!$AD$5:$AD$34,MATCH(O2411,基础资料!$AC$5:$AC$34,0)),"")="支",N(F2411)&lt;&gt;0),"✗ 这类是付款，金额填到支出列",IF(N(H2411)&lt;0,"⚠ 账户余额成负数了，核对一下","√"))))))))))))))))))</f>
      </c>
      <c r="O2411" s="78">
        <f>IF(D2411&lt;&gt;"",D2411,IF(AND(F2411="",G2411=""),"",IF(J2411&lt;&gt;"",IF(N(F2411)&gt;0,"客户回款","客户退款"),IF(K2411&lt;&gt;"",IF(N(G2411)&gt;0,"供应商付款","供应商退款"),IF(L2411&lt;&gt;"","费用支出","")))))</f>
      </c>
      <c r="P2411" s="78">
        <f>IF(O2411="","",IFERROR(INDEX(基础资料!$AE$5:$AE$34,MATCH(O2411,基础资料!$AC$5:$AC$34,0)),"未知"))</f>
      </c>
      <c r="Q2411" s="78">
        <f>IF(P2411="应收",COUNTIF(P$7:P2411,"应收"),"")</f>
      </c>
      <c r="R2411" s="78">
        <f>IF(P2411="应付",COUNTIF(P$7:P2411,"应付"),"")</f>
      </c>
      <c r="S2411" s="78">
        <f>N(F2411)-N(G2411)</f>
        <v>0</v>
      </c>
    </row>
    <row r="2412">
      <c r="A2412" s="109">
        <f>IF(AND(F2412="",G2412=""),"",ROW()-6)</f>
      </c>
      <c r="B2412" s="140" t="n"/>
      <c r="C2412" s="141" t="n"/>
      <c r="D2412" s="141" t="n"/>
      <c r="E2412" s="142" t="n"/>
      <c r="F2412" s="143" t="n"/>
      <c r="G2412" s="144" t="n"/>
      <c r="H2412" s="145">
        <f>IF(OR(C2412="",AND(F2412="",G2412="")),"",SUMIF(基础资料!$W$5:$W$24,C2412,基础资料!$X$5:$X$24)+SUMIF(C$7:C2412,C2412,F$7:F2412)-SUMIF(C$7:C2412,C2412,G$7:G2412))</f>
      </c>
      <c r="I2412" s="145">
        <f>IF(AND(F2412="",G2412=""),"",SUM(基础资料!$X$5:$X$24)+SUM(F$7:F2412)-SUM(G$7:G2412))</f>
      </c>
      <c r="J2412" s="141" t="n"/>
      <c r="K2412" s="141" t="n"/>
      <c r="L2412" s="141" t="n"/>
      <c r="M2412" s="142" t="n"/>
      <c r="N2412" s="146">
        <f>IF(AND(AND(F2412="",G2412=""),B2412="",C2412="",D2412="",J2412="",K2412="",L2412=""),"",IF(AND(F2412="",G2412=""),"✗ 没填金额",IF(AND(N(F2412)&lt;&gt;0,N(G2412)&lt;&gt;0),"✗ 收入、支出只能填一边",IF(NOT(ISNUMBER(B2412)),"✗ 日期不是真日期（要像 2026/9/25 这样填）",IF(OR(B2412&lt;年初日,B2412&gt;年末日),"✗ 日期不在本会计年度",IF(C2412="","✗ 没选账户",IF(COUNTIF(基础资料!$W$5:$W$24,C2412)=0,"✗ 账户不在基础资料里",IF(O2412="","✗ 没选收支项目",IF(P2412="未知","✗ 收支项目不在基础资料里",IF(AND(P2412="应收",J2412=""),"✗ 这笔要选客户",IF(AND(P2412="应收",COUNTIF(总览汇总!$B$5:$B$304,J2412)=0),"✗ 客户不在总览汇总名单里",IF(AND(P2412="应付",K2412=""),"✗ 这笔要选供应商",IF(AND(P2412="应付",COUNTIF(基础资料!$Q$5:$Q$54,K2412)=0),"✗ 供应商不在基础资料里",IF(AND(P2412="费用",L2412=""),"✗ 费用支出要选费用项目",IF(AND(L2412&lt;&gt;"",COUNTIF(基础资料!$AI$5:$AI$54,L2412)=0),"✗ 费用项目不在基础资料里",IF(AND(IFERROR(INDEX(基础资料!$AD$5:$AD$34,MATCH(O2412,基础资料!$AC$5:$AC$34,0)),"")="收",N(G2412)&lt;&gt;0),"✗ 这类是收款，金额填到收入列",IF(AND(IFERROR(INDEX(基础资料!$AD$5:$AD$34,MATCH(O2412,基础资料!$AC$5:$AC$34,0)),"")="支",N(F2412)&lt;&gt;0),"✗ 这类是付款，金额填到支出列",IF(N(H2412)&lt;0,"⚠ 账户余额成负数了，核对一下","√"))))))))))))))))))</f>
      </c>
      <c r="O2412" s="78">
        <f>IF(D2412&lt;&gt;"",D2412,IF(AND(F2412="",G2412=""),"",IF(J2412&lt;&gt;"",IF(N(F2412)&gt;0,"客户回款","客户退款"),IF(K2412&lt;&gt;"",IF(N(G2412)&gt;0,"供应商付款","供应商退款"),IF(L2412&lt;&gt;"","费用支出","")))))</f>
      </c>
      <c r="P2412" s="78">
        <f>IF(O2412="","",IFERROR(INDEX(基础资料!$AE$5:$AE$34,MATCH(O2412,基础资料!$AC$5:$AC$34,0)),"未知"))</f>
      </c>
      <c r="Q2412" s="78">
        <f>IF(P2412="应收",COUNTIF(P$7:P2412,"应收"),"")</f>
      </c>
      <c r="R2412" s="78">
        <f>IF(P2412="应付",COUNTIF(P$7:P2412,"应付"),"")</f>
      </c>
      <c r="S2412" s="78">
        <f>N(F2412)-N(G2412)</f>
        <v>0</v>
      </c>
    </row>
    <row r="2413">
      <c r="A2413" s="109">
        <f>IF(AND(F2413="",G2413=""),"",ROW()-6)</f>
      </c>
      <c r="B2413" s="140" t="n"/>
      <c r="C2413" s="141" t="n"/>
      <c r="D2413" s="141" t="n"/>
      <c r="E2413" s="142" t="n"/>
      <c r="F2413" s="143" t="n"/>
      <c r="G2413" s="144" t="n"/>
      <c r="H2413" s="145">
        <f>IF(OR(C2413="",AND(F2413="",G2413="")),"",SUMIF(基础资料!$W$5:$W$24,C2413,基础资料!$X$5:$X$24)+SUMIF(C$7:C2413,C2413,F$7:F2413)-SUMIF(C$7:C2413,C2413,G$7:G2413))</f>
      </c>
      <c r="I2413" s="145">
        <f>IF(AND(F2413="",G2413=""),"",SUM(基础资料!$X$5:$X$24)+SUM(F$7:F2413)-SUM(G$7:G2413))</f>
      </c>
      <c r="J2413" s="141" t="n"/>
      <c r="K2413" s="141" t="n"/>
      <c r="L2413" s="141" t="n"/>
      <c r="M2413" s="142" t="n"/>
      <c r="N2413" s="146">
        <f>IF(AND(AND(F2413="",G2413=""),B2413="",C2413="",D2413="",J2413="",K2413="",L2413=""),"",IF(AND(F2413="",G2413=""),"✗ 没填金额",IF(AND(N(F2413)&lt;&gt;0,N(G2413)&lt;&gt;0),"✗ 收入、支出只能填一边",IF(NOT(ISNUMBER(B2413)),"✗ 日期不是真日期（要像 2026/9/25 这样填）",IF(OR(B2413&lt;年初日,B2413&gt;年末日),"✗ 日期不在本会计年度",IF(C2413="","✗ 没选账户",IF(COUNTIF(基础资料!$W$5:$W$24,C2413)=0,"✗ 账户不在基础资料里",IF(O2413="","✗ 没选收支项目",IF(P2413="未知","✗ 收支项目不在基础资料里",IF(AND(P2413="应收",J2413=""),"✗ 这笔要选客户",IF(AND(P2413="应收",COUNTIF(总览汇总!$B$5:$B$304,J2413)=0),"✗ 客户不在总览汇总名单里",IF(AND(P2413="应付",K2413=""),"✗ 这笔要选供应商",IF(AND(P2413="应付",COUNTIF(基础资料!$Q$5:$Q$54,K2413)=0),"✗ 供应商不在基础资料里",IF(AND(P2413="费用",L2413=""),"✗ 费用支出要选费用项目",IF(AND(L2413&lt;&gt;"",COUNTIF(基础资料!$AI$5:$AI$54,L2413)=0),"✗ 费用项目不在基础资料里",IF(AND(IFERROR(INDEX(基础资料!$AD$5:$AD$34,MATCH(O2413,基础资料!$AC$5:$AC$34,0)),"")="收",N(G2413)&lt;&gt;0),"✗ 这类是收款，金额填到收入列",IF(AND(IFERROR(INDEX(基础资料!$AD$5:$AD$34,MATCH(O2413,基础资料!$AC$5:$AC$34,0)),"")="支",N(F2413)&lt;&gt;0),"✗ 这类是付款，金额填到支出列",IF(N(H2413)&lt;0,"⚠ 账户余额成负数了，核对一下","√"))))))))))))))))))</f>
      </c>
      <c r="O2413" s="78">
        <f>IF(D2413&lt;&gt;"",D2413,IF(AND(F2413="",G2413=""),"",IF(J2413&lt;&gt;"",IF(N(F2413)&gt;0,"客户回款","客户退款"),IF(K2413&lt;&gt;"",IF(N(G2413)&gt;0,"供应商付款","供应商退款"),IF(L2413&lt;&gt;"","费用支出","")))))</f>
      </c>
      <c r="P2413" s="78">
        <f>IF(O2413="","",IFERROR(INDEX(基础资料!$AE$5:$AE$34,MATCH(O2413,基础资料!$AC$5:$AC$34,0)),"未知"))</f>
      </c>
      <c r="Q2413" s="78">
        <f>IF(P2413="应收",COUNTIF(P$7:P2413,"应收"),"")</f>
      </c>
      <c r="R2413" s="78">
        <f>IF(P2413="应付",COUNTIF(P$7:P2413,"应付"),"")</f>
      </c>
      <c r="S2413" s="78">
        <f>N(F2413)-N(G2413)</f>
        <v>0</v>
      </c>
    </row>
    <row r="2414">
      <c r="A2414" s="109">
        <f>IF(AND(F2414="",G2414=""),"",ROW()-6)</f>
      </c>
      <c r="B2414" s="140" t="n"/>
      <c r="C2414" s="141" t="n"/>
      <c r="D2414" s="141" t="n"/>
      <c r="E2414" s="142" t="n"/>
      <c r="F2414" s="143" t="n"/>
      <c r="G2414" s="144" t="n"/>
      <c r="H2414" s="145">
        <f>IF(OR(C2414="",AND(F2414="",G2414="")),"",SUMIF(基础资料!$W$5:$W$24,C2414,基础资料!$X$5:$X$24)+SUMIF(C$7:C2414,C2414,F$7:F2414)-SUMIF(C$7:C2414,C2414,G$7:G2414))</f>
      </c>
      <c r="I2414" s="145">
        <f>IF(AND(F2414="",G2414=""),"",SUM(基础资料!$X$5:$X$24)+SUM(F$7:F2414)-SUM(G$7:G2414))</f>
      </c>
      <c r="J2414" s="141" t="n"/>
      <c r="K2414" s="141" t="n"/>
      <c r="L2414" s="141" t="n"/>
      <c r="M2414" s="142" t="n"/>
      <c r="N2414" s="146">
        <f>IF(AND(AND(F2414="",G2414=""),B2414="",C2414="",D2414="",J2414="",K2414="",L2414=""),"",IF(AND(F2414="",G2414=""),"✗ 没填金额",IF(AND(N(F2414)&lt;&gt;0,N(G2414)&lt;&gt;0),"✗ 收入、支出只能填一边",IF(NOT(ISNUMBER(B2414)),"✗ 日期不是真日期（要像 2026/9/25 这样填）",IF(OR(B2414&lt;年初日,B2414&gt;年末日),"✗ 日期不在本会计年度",IF(C2414="","✗ 没选账户",IF(COUNTIF(基础资料!$W$5:$W$24,C2414)=0,"✗ 账户不在基础资料里",IF(O2414="","✗ 没选收支项目",IF(P2414="未知","✗ 收支项目不在基础资料里",IF(AND(P2414="应收",J2414=""),"✗ 这笔要选客户",IF(AND(P2414="应收",COUNTIF(总览汇总!$B$5:$B$304,J2414)=0),"✗ 客户不在总览汇总名单里",IF(AND(P2414="应付",K2414=""),"✗ 这笔要选供应商",IF(AND(P2414="应付",COUNTIF(基础资料!$Q$5:$Q$54,K2414)=0),"✗ 供应商不在基础资料里",IF(AND(P2414="费用",L2414=""),"✗ 费用支出要选费用项目",IF(AND(L2414&lt;&gt;"",COUNTIF(基础资料!$AI$5:$AI$54,L2414)=0),"✗ 费用项目不在基础资料里",IF(AND(IFERROR(INDEX(基础资料!$AD$5:$AD$34,MATCH(O2414,基础资料!$AC$5:$AC$34,0)),"")="收",N(G2414)&lt;&gt;0),"✗ 这类是收款，金额填到收入列",IF(AND(IFERROR(INDEX(基础资料!$AD$5:$AD$34,MATCH(O2414,基础资料!$AC$5:$AC$34,0)),"")="支",N(F2414)&lt;&gt;0),"✗ 这类是付款，金额填到支出列",IF(N(H2414)&lt;0,"⚠ 账户余额成负数了，核对一下","√"))))))))))))))))))</f>
      </c>
      <c r="O2414" s="78">
        <f>IF(D2414&lt;&gt;"",D2414,IF(AND(F2414="",G2414=""),"",IF(J2414&lt;&gt;"",IF(N(F2414)&gt;0,"客户回款","客户退款"),IF(K2414&lt;&gt;"",IF(N(G2414)&gt;0,"供应商付款","供应商退款"),IF(L2414&lt;&gt;"","费用支出","")))))</f>
      </c>
      <c r="P2414" s="78">
        <f>IF(O2414="","",IFERROR(INDEX(基础资料!$AE$5:$AE$34,MATCH(O2414,基础资料!$AC$5:$AC$34,0)),"未知"))</f>
      </c>
      <c r="Q2414" s="78">
        <f>IF(P2414="应收",COUNTIF(P$7:P2414,"应收"),"")</f>
      </c>
      <c r="R2414" s="78">
        <f>IF(P2414="应付",COUNTIF(P$7:P2414,"应付"),"")</f>
      </c>
      <c r="S2414" s="78">
        <f>N(F2414)-N(G2414)</f>
        <v>0</v>
      </c>
    </row>
    <row r="2415">
      <c r="A2415" s="109">
        <f>IF(AND(F2415="",G2415=""),"",ROW()-6)</f>
      </c>
      <c r="B2415" s="140" t="n"/>
      <c r="C2415" s="141" t="n"/>
      <c r="D2415" s="141" t="n"/>
      <c r="E2415" s="142" t="n"/>
      <c r="F2415" s="143" t="n"/>
      <c r="G2415" s="144" t="n"/>
      <c r="H2415" s="145">
        <f>IF(OR(C2415="",AND(F2415="",G2415="")),"",SUMIF(基础资料!$W$5:$W$24,C2415,基础资料!$X$5:$X$24)+SUMIF(C$7:C2415,C2415,F$7:F2415)-SUMIF(C$7:C2415,C2415,G$7:G2415))</f>
      </c>
      <c r="I2415" s="145">
        <f>IF(AND(F2415="",G2415=""),"",SUM(基础资料!$X$5:$X$24)+SUM(F$7:F2415)-SUM(G$7:G2415))</f>
      </c>
      <c r="J2415" s="141" t="n"/>
      <c r="K2415" s="141" t="n"/>
      <c r="L2415" s="141" t="n"/>
      <c r="M2415" s="142" t="n"/>
      <c r="N2415" s="146">
        <f>IF(AND(AND(F2415="",G2415=""),B2415="",C2415="",D2415="",J2415="",K2415="",L2415=""),"",IF(AND(F2415="",G2415=""),"✗ 没填金额",IF(AND(N(F2415)&lt;&gt;0,N(G2415)&lt;&gt;0),"✗ 收入、支出只能填一边",IF(NOT(ISNUMBER(B2415)),"✗ 日期不是真日期（要像 2026/9/25 这样填）",IF(OR(B2415&lt;年初日,B2415&gt;年末日),"✗ 日期不在本会计年度",IF(C2415="","✗ 没选账户",IF(COUNTIF(基础资料!$W$5:$W$24,C2415)=0,"✗ 账户不在基础资料里",IF(O2415="","✗ 没选收支项目",IF(P2415="未知","✗ 收支项目不在基础资料里",IF(AND(P2415="应收",J2415=""),"✗ 这笔要选客户",IF(AND(P2415="应收",COUNTIF(总览汇总!$B$5:$B$304,J2415)=0),"✗ 客户不在总览汇总名单里",IF(AND(P2415="应付",K2415=""),"✗ 这笔要选供应商",IF(AND(P2415="应付",COUNTIF(基础资料!$Q$5:$Q$54,K2415)=0),"✗ 供应商不在基础资料里",IF(AND(P2415="费用",L2415=""),"✗ 费用支出要选费用项目",IF(AND(L2415&lt;&gt;"",COUNTIF(基础资料!$AI$5:$AI$54,L2415)=0),"✗ 费用项目不在基础资料里",IF(AND(IFERROR(INDEX(基础资料!$AD$5:$AD$34,MATCH(O2415,基础资料!$AC$5:$AC$34,0)),"")="收",N(G2415)&lt;&gt;0),"✗ 这类是收款，金额填到收入列",IF(AND(IFERROR(INDEX(基础资料!$AD$5:$AD$34,MATCH(O2415,基础资料!$AC$5:$AC$34,0)),"")="支",N(F2415)&lt;&gt;0),"✗ 这类是付款，金额填到支出列",IF(N(H2415)&lt;0,"⚠ 账户余额成负数了，核对一下","√"))))))))))))))))))</f>
      </c>
      <c r="O2415" s="78">
        <f>IF(D2415&lt;&gt;"",D2415,IF(AND(F2415="",G2415=""),"",IF(J2415&lt;&gt;"",IF(N(F2415)&gt;0,"客户回款","客户退款"),IF(K2415&lt;&gt;"",IF(N(G2415)&gt;0,"供应商付款","供应商退款"),IF(L2415&lt;&gt;"","费用支出","")))))</f>
      </c>
      <c r="P2415" s="78">
        <f>IF(O2415="","",IFERROR(INDEX(基础资料!$AE$5:$AE$34,MATCH(O2415,基础资料!$AC$5:$AC$34,0)),"未知"))</f>
      </c>
      <c r="Q2415" s="78">
        <f>IF(P2415="应收",COUNTIF(P$7:P2415,"应收"),"")</f>
      </c>
      <c r="R2415" s="78">
        <f>IF(P2415="应付",COUNTIF(P$7:P2415,"应付"),"")</f>
      </c>
      <c r="S2415" s="78">
        <f>N(F2415)-N(G2415)</f>
        <v>0</v>
      </c>
    </row>
    <row r="2416">
      <c r="A2416" s="109">
        <f>IF(AND(F2416="",G2416=""),"",ROW()-6)</f>
      </c>
      <c r="B2416" s="140" t="n"/>
      <c r="C2416" s="141" t="n"/>
      <c r="D2416" s="141" t="n"/>
      <c r="E2416" s="142" t="n"/>
      <c r="F2416" s="143" t="n"/>
      <c r="G2416" s="144" t="n"/>
      <c r="H2416" s="145">
        <f>IF(OR(C2416="",AND(F2416="",G2416="")),"",SUMIF(基础资料!$W$5:$W$24,C2416,基础资料!$X$5:$X$24)+SUMIF(C$7:C2416,C2416,F$7:F2416)-SUMIF(C$7:C2416,C2416,G$7:G2416))</f>
      </c>
      <c r="I2416" s="145">
        <f>IF(AND(F2416="",G2416=""),"",SUM(基础资料!$X$5:$X$24)+SUM(F$7:F2416)-SUM(G$7:G2416))</f>
      </c>
      <c r="J2416" s="141" t="n"/>
      <c r="K2416" s="141" t="n"/>
      <c r="L2416" s="141" t="n"/>
      <c r="M2416" s="142" t="n"/>
      <c r="N2416" s="146">
        <f>IF(AND(AND(F2416="",G2416=""),B2416="",C2416="",D2416="",J2416="",K2416="",L2416=""),"",IF(AND(F2416="",G2416=""),"✗ 没填金额",IF(AND(N(F2416)&lt;&gt;0,N(G2416)&lt;&gt;0),"✗ 收入、支出只能填一边",IF(NOT(ISNUMBER(B2416)),"✗ 日期不是真日期（要像 2026/9/25 这样填）",IF(OR(B2416&lt;年初日,B2416&gt;年末日),"✗ 日期不在本会计年度",IF(C2416="","✗ 没选账户",IF(COUNTIF(基础资料!$W$5:$W$24,C2416)=0,"✗ 账户不在基础资料里",IF(O2416="","✗ 没选收支项目",IF(P2416="未知","✗ 收支项目不在基础资料里",IF(AND(P2416="应收",J2416=""),"✗ 这笔要选客户",IF(AND(P2416="应收",COUNTIF(总览汇总!$B$5:$B$304,J2416)=0),"✗ 客户不在总览汇总名单里",IF(AND(P2416="应付",K2416=""),"✗ 这笔要选供应商",IF(AND(P2416="应付",COUNTIF(基础资料!$Q$5:$Q$54,K2416)=0),"✗ 供应商不在基础资料里",IF(AND(P2416="费用",L2416=""),"✗ 费用支出要选费用项目",IF(AND(L2416&lt;&gt;"",COUNTIF(基础资料!$AI$5:$AI$54,L2416)=0),"✗ 费用项目不在基础资料里",IF(AND(IFERROR(INDEX(基础资料!$AD$5:$AD$34,MATCH(O2416,基础资料!$AC$5:$AC$34,0)),"")="收",N(G2416)&lt;&gt;0),"✗ 这类是收款，金额填到收入列",IF(AND(IFERROR(INDEX(基础资料!$AD$5:$AD$34,MATCH(O2416,基础资料!$AC$5:$AC$34,0)),"")="支",N(F2416)&lt;&gt;0),"✗ 这类是付款，金额填到支出列",IF(N(H2416)&lt;0,"⚠ 账户余额成负数了，核对一下","√"))))))))))))))))))</f>
      </c>
      <c r="O2416" s="78">
        <f>IF(D2416&lt;&gt;"",D2416,IF(AND(F2416="",G2416=""),"",IF(J2416&lt;&gt;"",IF(N(F2416)&gt;0,"客户回款","客户退款"),IF(K2416&lt;&gt;"",IF(N(G2416)&gt;0,"供应商付款","供应商退款"),IF(L2416&lt;&gt;"","费用支出","")))))</f>
      </c>
      <c r="P2416" s="78">
        <f>IF(O2416="","",IFERROR(INDEX(基础资料!$AE$5:$AE$34,MATCH(O2416,基础资料!$AC$5:$AC$34,0)),"未知"))</f>
      </c>
      <c r="Q2416" s="78">
        <f>IF(P2416="应收",COUNTIF(P$7:P2416,"应收"),"")</f>
      </c>
      <c r="R2416" s="78">
        <f>IF(P2416="应付",COUNTIF(P$7:P2416,"应付"),"")</f>
      </c>
      <c r="S2416" s="78">
        <f>N(F2416)-N(G2416)</f>
        <v>0</v>
      </c>
    </row>
    <row r="2417">
      <c r="A2417" s="109">
        <f>IF(AND(F2417="",G2417=""),"",ROW()-6)</f>
      </c>
      <c r="B2417" s="140" t="n"/>
      <c r="C2417" s="141" t="n"/>
      <c r="D2417" s="141" t="n"/>
      <c r="E2417" s="142" t="n"/>
      <c r="F2417" s="143" t="n"/>
      <c r="G2417" s="144" t="n"/>
      <c r="H2417" s="145">
        <f>IF(OR(C2417="",AND(F2417="",G2417="")),"",SUMIF(基础资料!$W$5:$W$24,C2417,基础资料!$X$5:$X$24)+SUMIF(C$7:C2417,C2417,F$7:F2417)-SUMIF(C$7:C2417,C2417,G$7:G2417))</f>
      </c>
      <c r="I2417" s="145">
        <f>IF(AND(F2417="",G2417=""),"",SUM(基础资料!$X$5:$X$24)+SUM(F$7:F2417)-SUM(G$7:G2417))</f>
      </c>
      <c r="J2417" s="141" t="n"/>
      <c r="K2417" s="141" t="n"/>
      <c r="L2417" s="141" t="n"/>
      <c r="M2417" s="142" t="n"/>
      <c r="N2417" s="146">
        <f>IF(AND(AND(F2417="",G2417=""),B2417="",C2417="",D2417="",J2417="",K2417="",L2417=""),"",IF(AND(F2417="",G2417=""),"✗ 没填金额",IF(AND(N(F2417)&lt;&gt;0,N(G2417)&lt;&gt;0),"✗ 收入、支出只能填一边",IF(NOT(ISNUMBER(B2417)),"✗ 日期不是真日期（要像 2026/9/25 这样填）",IF(OR(B2417&lt;年初日,B2417&gt;年末日),"✗ 日期不在本会计年度",IF(C2417="","✗ 没选账户",IF(COUNTIF(基础资料!$W$5:$W$24,C2417)=0,"✗ 账户不在基础资料里",IF(O2417="","✗ 没选收支项目",IF(P2417="未知","✗ 收支项目不在基础资料里",IF(AND(P2417="应收",J2417=""),"✗ 这笔要选客户",IF(AND(P2417="应收",COUNTIF(总览汇总!$B$5:$B$304,J2417)=0),"✗ 客户不在总览汇总名单里",IF(AND(P2417="应付",K2417=""),"✗ 这笔要选供应商",IF(AND(P2417="应付",COUNTIF(基础资料!$Q$5:$Q$54,K2417)=0),"✗ 供应商不在基础资料里",IF(AND(P2417="费用",L2417=""),"✗ 费用支出要选费用项目",IF(AND(L2417&lt;&gt;"",COUNTIF(基础资料!$AI$5:$AI$54,L2417)=0),"✗ 费用项目不在基础资料里",IF(AND(IFERROR(INDEX(基础资料!$AD$5:$AD$34,MATCH(O2417,基础资料!$AC$5:$AC$34,0)),"")="收",N(G2417)&lt;&gt;0),"✗ 这类是收款，金额填到收入列",IF(AND(IFERROR(INDEX(基础资料!$AD$5:$AD$34,MATCH(O2417,基础资料!$AC$5:$AC$34,0)),"")="支",N(F2417)&lt;&gt;0),"✗ 这类是付款，金额填到支出列",IF(N(H2417)&lt;0,"⚠ 账户余额成负数了，核对一下","√"))))))))))))))))))</f>
      </c>
      <c r="O2417" s="78">
        <f>IF(D2417&lt;&gt;"",D2417,IF(AND(F2417="",G2417=""),"",IF(J2417&lt;&gt;"",IF(N(F2417)&gt;0,"客户回款","客户退款"),IF(K2417&lt;&gt;"",IF(N(G2417)&gt;0,"供应商付款","供应商退款"),IF(L2417&lt;&gt;"","费用支出","")))))</f>
      </c>
      <c r="P2417" s="78">
        <f>IF(O2417="","",IFERROR(INDEX(基础资料!$AE$5:$AE$34,MATCH(O2417,基础资料!$AC$5:$AC$34,0)),"未知"))</f>
      </c>
      <c r="Q2417" s="78">
        <f>IF(P2417="应收",COUNTIF(P$7:P2417,"应收"),"")</f>
      </c>
      <c r="R2417" s="78">
        <f>IF(P2417="应付",COUNTIF(P$7:P2417,"应付"),"")</f>
      </c>
      <c r="S2417" s="78">
        <f>N(F2417)-N(G2417)</f>
        <v>0</v>
      </c>
    </row>
    <row r="2418">
      <c r="A2418" s="109">
        <f>IF(AND(F2418="",G2418=""),"",ROW()-6)</f>
      </c>
      <c r="B2418" s="140" t="n"/>
      <c r="C2418" s="141" t="n"/>
      <c r="D2418" s="141" t="n"/>
      <c r="E2418" s="142" t="n"/>
      <c r="F2418" s="143" t="n"/>
      <c r="G2418" s="144" t="n"/>
      <c r="H2418" s="145">
        <f>IF(OR(C2418="",AND(F2418="",G2418="")),"",SUMIF(基础资料!$W$5:$W$24,C2418,基础资料!$X$5:$X$24)+SUMIF(C$7:C2418,C2418,F$7:F2418)-SUMIF(C$7:C2418,C2418,G$7:G2418))</f>
      </c>
      <c r="I2418" s="145">
        <f>IF(AND(F2418="",G2418=""),"",SUM(基础资料!$X$5:$X$24)+SUM(F$7:F2418)-SUM(G$7:G2418))</f>
      </c>
      <c r="J2418" s="141" t="n"/>
      <c r="K2418" s="141" t="n"/>
      <c r="L2418" s="141" t="n"/>
      <c r="M2418" s="142" t="n"/>
      <c r="N2418" s="146">
        <f>IF(AND(AND(F2418="",G2418=""),B2418="",C2418="",D2418="",J2418="",K2418="",L2418=""),"",IF(AND(F2418="",G2418=""),"✗ 没填金额",IF(AND(N(F2418)&lt;&gt;0,N(G2418)&lt;&gt;0),"✗ 收入、支出只能填一边",IF(NOT(ISNUMBER(B2418)),"✗ 日期不是真日期（要像 2026/9/25 这样填）",IF(OR(B2418&lt;年初日,B2418&gt;年末日),"✗ 日期不在本会计年度",IF(C2418="","✗ 没选账户",IF(COUNTIF(基础资料!$W$5:$W$24,C2418)=0,"✗ 账户不在基础资料里",IF(O2418="","✗ 没选收支项目",IF(P2418="未知","✗ 收支项目不在基础资料里",IF(AND(P2418="应收",J2418=""),"✗ 这笔要选客户",IF(AND(P2418="应收",COUNTIF(总览汇总!$B$5:$B$304,J2418)=0),"✗ 客户不在总览汇总名单里",IF(AND(P2418="应付",K2418=""),"✗ 这笔要选供应商",IF(AND(P2418="应付",COUNTIF(基础资料!$Q$5:$Q$54,K2418)=0),"✗ 供应商不在基础资料里",IF(AND(P2418="费用",L2418=""),"✗ 费用支出要选费用项目",IF(AND(L2418&lt;&gt;"",COUNTIF(基础资料!$AI$5:$AI$54,L2418)=0),"✗ 费用项目不在基础资料里",IF(AND(IFERROR(INDEX(基础资料!$AD$5:$AD$34,MATCH(O2418,基础资料!$AC$5:$AC$34,0)),"")="收",N(G2418)&lt;&gt;0),"✗ 这类是收款，金额填到收入列",IF(AND(IFERROR(INDEX(基础资料!$AD$5:$AD$34,MATCH(O2418,基础资料!$AC$5:$AC$34,0)),"")="支",N(F2418)&lt;&gt;0),"✗ 这类是付款，金额填到支出列",IF(N(H2418)&lt;0,"⚠ 账户余额成负数了，核对一下","√"))))))))))))))))))</f>
      </c>
      <c r="O2418" s="78">
        <f>IF(D2418&lt;&gt;"",D2418,IF(AND(F2418="",G2418=""),"",IF(J2418&lt;&gt;"",IF(N(F2418)&gt;0,"客户回款","客户退款"),IF(K2418&lt;&gt;"",IF(N(G2418)&gt;0,"供应商付款","供应商退款"),IF(L2418&lt;&gt;"","费用支出","")))))</f>
      </c>
      <c r="P2418" s="78">
        <f>IF(O2418="","",IFERROR(INDEX(基础资料!$AE$5:$AE$34,MATCH(O2418,基础资料!$AC$5:$AC$34,0)),"未知"))</f>
      </c>
      <c r="Q2418" s="78">
        <f>IF(P2418="应收",COUNTIF(P$7:P2418,"应收"),"")</f>
      </c>
      <c r="R2418" s="78">
        <f>IF(P2418="应付",COUNTIF(P$7:P2418,"应付"),"")</f>
      </c>
      <c r="S2418" s="78">
        <f>N(F2418)-N(G2418)</f>
        <v>0</v>
      </c>
    </row>
    <row r="2419">
      <c r="A2419" s="109">
        <f>IF(AND(F2419="",G2419=""),"",ROW()-6)</f>
      </c>
      <c r="B2419" s="140" t="n"/>
      <c r="C2419" s="141" t="n"/>
      <c r="D2419" s="141" t="n"/>
      <c r="E2419" s="142" t="n"/>
      <c r="F2419" s="143" t="n"/>
      <c r="G2419" s="144" t="n"/>
      <c r="H2419" s="145">
        <f>IF(OR(C2419="",AND(F2419="",G2419="")),"",SUMIF(基础资料!$W$5:$W$24,C2419,基础资料!$X$5:$X$24)+SUMIF(C$7:C2419,C2419,F$7:F2419)-SUMIF(C$7:C2419,C2419,G$7:G2419))</f>
      </c>
      <c r="I2419" s="145">
        <f>IF(AND(F2419="",G2419=""),"",SUM(基础资料!$X$5:$X$24)+SUM(F$7:F2419)-SUM(G$7:G2419))</f>
      </c>
      <c r="J2419" s="141" t="n"/>
      <c r="K2419" s="141" t="n"/>
      <c r="L2419" s="141" t="n"/>
      <c r="M2419" s="142" t="n"/>
      <c r="N2419" s="146">
        <f>IF(AND(AND(F2419="",G2419=""),B2419="",C2419="",D2419="",J2419="",K2419="",L2419=""),"",IF(AND(F2419="",G2419=""),"✗ 没填金额",IF(AND(N(F2419)&lt;&gt;0,N(G2419)&lt;&gt;0),"✗ 收入、支出只能填一边",IF(NOT(ISNUMBER(B2419)),"✗ 日期不是真日期（要像 2026/9/25 这样填）",IF(OR(B2419&lt;年初日,B2419&gt;年末日),"✗ 日期不在本会计年度",IF(C2419="","✗ 没选账户",IF(COUNTIF(基础资料!$W$5:$W$24,C2419)=0,"✗ 账户不在基础资料里",IF(O2419="","✗ 没选收支项目",IF(P2419="未知","✗ 收支项目不在基础资料里",IF(AND(P2419="应收",J2419=""),"✗ 这笔要选客户",IF(AND(P2419="应收",COUNTIF(总览汇总!$B$5:$B$304,J2419)=0),"✗ 客户不在总览汇总名单里",IF(AND(P2419="应付",K2419=""),"✗ 这笔要选供应商",IF(AND(P2419="应付",COUNTIF(基础资料!$Q$5:$Q$54,K2419)=0),"✗ 供应商不在基础资料里",IF(AND(P2419="费用",L2419=""),"✗ 费用支出要选费用项目",IF(AND(L2419&lt;&gt;"",COUNTIF(基础资料!$AI$5:$AI$54,L2419)=0),"✗ 费用项目不在基础资料里",IF(AND(IFERROR(INDEX(基础资料!$AD$5:$AD$34,MATCH(O2419,基础资料!$AC$5:$AC$34,0)),"")="收",N(G2419)&lt;&gt;0),"✗ 这类是收款，金额填到收入列",IF(AND(IFERROR(INDEX(基础资料!$AD$5:$AD$34,MATCH(O2419,基础资料!$AC$5:$AC$34,0)),"")="支",N(F2419)&lt;&gt;0),"✗ 这类是付款，金额填到支出列",IF(N(H2419)&lt;0,"⚠ 账户余额成负数了，核对一下","√"))))))))))))))))))</f>
      </c>
      <c r="O2419" s="78">
        <f>IF(D2419&lt;&gt;"",D2419,IF(AND(F2419="",G2419=""),"",IF(J2419&lt;&gt;"",IF(N(F2419)&gt;0,"客户回款","客户退款"),IF(K2419&lt;&gt;"",IF(N(G2419)&gt;0,"供应商付款","供应商退款"),IF(L2419&lt;&gt;"","费用支出","")))))</f>
      </c>
      <c r="P2419" s="78">
        <f>IF(O2419="","",IFERROR(INDEX(基础资料!$AE$5:$AE$34,MATCH(O2419,基础资料!$AC$5:$AC$34,0)),"未知"))</f>
      </c>
      <c r="Q2419" s="78">
        <f>IF(P2419="应收",COUNTIF(P$7:P2419,"应收"),"")</f>
      </c>
      <c r="R2419" s="78">
        <f>IF(P2419="应付",COUNTIF(P$7:P2419,"应付"),"")</f>
      </c>
      <c r="S2419" s="78">
        <f>N(F2419)-N(G2419)</f>
        <v>0</v>
      </c>
    </row>
    <row r="2420">
      <c r="A2420" s="109">
        <f>IF(AND(F2420="",G2420=""),"",ROW()-6)</f>
      </c>
      <c r="B2420" s="140" t="n"/>
      <c r="C2420" s="141" t="n"/>
      <c r="D2420" s="141" t="n"/>
      <c r="E2420" s="142" t="n"/>
      <c r="F2420" s="143" t="n"/>
      <c r="G2420" s="144" t="n"/>
      <c r="H2420" s="145">
        <f>IF(OR(C2420="",AND(F2420="",G2420="")),"",SUMIF(基础资料!$W$5:$W$24,C2420,基础资料!$X$5:$X$24)+SUMIF(C$7:C2420,C2420,F$7:F2420)-SUMIF(C$7:C2420,C2420,G$7:G2420))</f>
      </c>
      <c r="I2420" s="145">
        <f>IF(AND(F2420="",G2420=""),"",SUM(基础资料!$X$5:$X$24)+SUM(F$7:F2420)-SUM(G$7:G2420))</f>
      </c>
      <c r="J2420" s="141" t="n"/>
      <c r="K2420" s="141" t="n"/>
      <c r="L2420" s="141" t="n"/>
      <c r="M2420" s="142" t="n"/>
      <c r="N2420" s="146">
        <f>IF(AND(AND(F2420="",G2420=""),B2420="",C2420="",D2420="",J2420="",K2420="",L2420=""),"",IF(AND(F2420="",G2420=""),"✗ 没填金额",IF(AND(N(F2420)&lt;&gt;0,N(G2420)&lt;&gt;0),"✗ 收入、支出只能填一边",IF(NOT(ISNUMBER(B2420)),"✗ 日期不是真日期（要像 2026/9/25 这样填）",IF(OR(B2420&lt;年初日,B2420&gt;年末日),"✗ 日期不在本会计年度",IF(C2420="","✗ 没选账户",IF(COUNTIF(基础资料!$W$5:$W$24,C2420)=0,"✗ 账户不在基础资料里",IF(O2420="","✗ 没选收支项目",IF(P2420="未知","✗ 收支项目不在基础资料里",IF(AND(P2420="应收",J2420=""),"✗ 这笔要选客户",IF(AND(P2420="应收",COUNTIF(总览汇总!$B$5:$B$304,J2420)=0),"✗ 客户不在总览汇总名单里",IF(AND(P2420="应付",K2420=""),"✗ 这笔要选供应商",IF(AND(P2420="应付",COUNTIF(基础资料!$Q$5:$Q$54,K2420)=0),"✗ 供应商不在基础资料里",IF(AND(P2420="费用",L2420=""),"✗ 费用支出要选费用项目",IF(AND(L2420&lt;&gt;"",COUNTIF(基础资料!$AI$5:$AI$54,L2420)=0),"✗ 费用项目不在基础资料里",IF(AND(IFERROR(INDEX(基础资料!$AD$5:$AD$34,MATCH(O2420,基础资料!$AC$5:$AC$34,0)),"")="收",N(G2420)&lt;&gt;0),"✗ 这类是收款，金额填到收入列",IF(AND(IFERROR(INDEX(基础资料!$AD$5:$AD$34,MATCH(O2420,基础资料!$AC$5:$AC$34,0)),"")="支",N(F2420)&lt;&gt;0),"✗ 这类是付款，金额填到支出列",IF(N(H2420)&lt;0,"⚠ 账户余额成负数了，核对一下","√"))))))))))))))))))</f>
      </c>
      <c r="O2420" s="78">
        <f>IF(D2420&lt;&gt;"",D2420,IF(AND(F2420="",G2420=""),"",IF(J2420&lt;&gt;"",IF(N(F2420)&gt;0,"客户回款","客户退款"),IF(K2420&lt;&gt;"",IF(N(G2420)&gt;0,"供应商付款","供应商退款"),IF(L2420&lt;&gt;"","费用支出","")))))</f>
      </c>
      <c r="P2420" s="78">
        <f>IF(O2420="","",IFERROR(INDEX(基础资料!$AE$5:$AE$34,MATCH(O2420,基础资料!$AC$5:$AC$34,0)),"未知"))</f>
      </c>
      <c r="Q2420" s="78">
        <f>IF(P2420="应收",COUNTIF(P$7:P2420,"应收"),"")</f>
      </c>
      <c r="R2420" s="78">
        <f>IF(P2420="应付",COUNTIF(P$7:P2420,"应付"),"")</f>
      </c>
      <c r="S2420" s="78">
        <f>N(F2420)-N(G2420)</f>
        <v>0</v>
      </c>
    </row>
    <row r="2421">
      <c r="A2421" s="109">
        <f>IF(AND(F2421="",G2421=""),"",ROW()-6)</f>
      </c>
      <c r="B2421" s="140" t="n"/>
      <c r="C2421" s="141" t="n"/>
      <c r="D2421" s="141" t="n"/>
      <c r="E2421" s="142" t="n"/>
      <c r="F2421" s="143" t="n"/>
      <c r="G2421" s="144" t="n"/>
      <c r="H2421" s="145">
        <f>IF(OR(C2421="",AND(F2421="",G2421="")),"",SUMIF(基础资料!$W$5:$W$24,C2421,基础资料!$X$5:$X$24)+SUMIF(C$7:C2421,C2421,F$7:F2421)-SUMIF(C$7:C2421,C2421,G$7:G2421))</f>
      </c>
      <c r="I2421" s="145">
        <f>IF(AND(F2421="",G2421=""),"",SUM(基础资料!$X$5:$X$24)+SUM(F$7:F2421)-SUM(G$7:G2421))</f>
      </c>
      <c r="J2421" s="141" t="n"/>
      <c r="K2421" s="141" t="n"/>
      <c r="L2421" s="141" t="n"/>
      <c r="M2421" s="142" t="n"/>
      <c r="N2421" s="146">
        <f>IF(AND(AND(F2421="",G2421=""),B2421="",C2421="",D2421="",J2421="",K2421="",L2421=""),"",IF(AND(F2421="",G2421=""),"✗ 没填金额",IF(AND(N(F2421)&lt;&gt;0,N(G2421)&lt;&gt;0),"✗ 收入、支出只能填一边",IF(NOT(ISNUMBER(B2421)),"✗ 日期不是真日期（要像 2026/9/25 这样填）",IF(OR(B2421&lt;年初日,B2421&gt;年末日),"✗ 日期不在本会计年度",IF(C2421="","✗ 没选账户",IF(COUNTIF(基础资料!$W$5:$W$24,C2421)=0,"✗ 账户不在基础资料里",IF(O2421="","✗ 没选收支项目",IF(P2421="未知","✗ 收支项目不在基础资料里",IF(AND(P2421="应收",J2421=""),"✗ 这笔要选客户",IF(AND(P2421="应收",COUNTIF(总览汇总!$B$5:$B$304,J2421)=0),"✗ 客户不在总览汇总名单里",IF(AND(P2421="应付",K2421=""),"✗ 这笔要选供应商",IF(AND(P2421="应付",COUNTIF(基础资料!$Q$5:$Q$54,K2421)=0),"✗ 供应商不在基础资料里",IF(AND(P2421="费用",L2421=""),"✗ 费用支出要选费用项目",IF(AND(L2421&lt;&gt;"",COUNTIF(基础资料!$AI$5:$AI$54,L2421)=0),"✗ 费用项目不在基础资料里",IF(AND(IFERROR(INDEX(基础资料!$AD$5:$AD$34,MATCH(O2421,基础资料!$AC$5:$AC$34,0)),"")="收",N(G2421)&lt;&gt;0),"✗ 这类是收款，金额填到收入列",IF(AND(IFERROR(INDEX(基础资料!$AD$5:$AD$34,MATCH(O2421,基础资料!$AC$5:$AC$34,0)),"")="支",N(F2421)&lt;&gt;0),"✗ 这类是付款，金额填到支出列",IF(N(H2421)&lt;0,"⚠ 账户余额成负数了，核对一下","√"))))))))))))))))))</f>
      </c>
      <c r="O2421" s="78">
        <f>IF(D2421&lt;&gt;"",D2421,IF(AND(F2421="",G2421=""),"",IF(J2421&lt;&gt;"",IF(N(F2421)&gt;0,"客户回款","客户退款"),IF(K2421&lt;&gt;"",IF(N(G2421)&gt;0,"供应商付款","供应商退款"),IF(L2421&lt;&gt;"","费用支出","")))))</f>
      </c>
      <c r="P2421" s="78">
        <f>IF(O2421="","",IFERROR(INDEX(基础资料!$AE$5:$AE$34,MATCH(O2421,基础资料!$AC$5:$AC$34,0)),"未知"))</f>
      </c>
      <c r="Q2421" s="78">
        <f>IF(P2421="应收",COUNTIF(P$7:P2421,"应收"),"")</f>
      </c>
      <c r="R2421" s="78">
        <f>IF(P2421="应付",COUNTIF(P$7:P2421,"应付"),"")</f>
      </c>
      <c r="S2421" s="78">
        <f>N(F2421)-N(G2421)</f>
        <v>0</v>
      </c>
    </row>
    <row r="2422">
      <c r="A2422" s="109">
        <f>IF(AND(F2422="",G2422=""),"",ROW()-6)</f>
      </c>
      <c r="B2422" s="140" t="n"/>
      <c r="C2422" s="141" t="n"/>
      <c r="D2422" s="141" t="n"/>
      <c r="E2422" s="142" t="n"/>
      <c r="F2422" s="143" t="n"/>
      <c r="G2422" s="144" t="n"/>
      <c r="H2422" s="145">
        <f>IF(OR(C2422="",AND(F2422="",G2422="")),"",SUMIF(基础资料!$W$5:$W$24,C2422,基础资料!$X$5:$X$24)+SUMIF(C$7:C2422,C2422,F$7:F2422)-SUMIF(C$7:C2422,C2422,G$7:G2422))</f>
      </c>
      <c r="I2422" s="145">
        <f>IF(AND(F2422="",G2422=""),"",SUM(基础资料!$X$5:$X$24)+SUM(F$7:F2422)-SUM(G$7:G2422))</f>
      </c>
      <c r="J2422" s="141" t="n"/>
      <c r="K2422" s="141" t="n"/>
      <c r="L2422" s="141" t="n"/>
      <c r="M2422" s="142" t="n"/>
      <c r="N2422" s="146">
        <f>IF(AND(AND(F2422="",G2422=""),B2422="",C2422="",D2422="",J2422="",K2422="",L2422=""),"",IF(AND(F2422="",G2422=""),"✗ 没填金额",IF(AND(N(F2422)&lt;&gt;0,N(G2422)&lt;&gt;0),"✗ 收入、支出只能填一边",IF(NOT(ISNUMBER(B2422)),"✗ 日期不是真日期（要像 2026/9/25 这样填）",IF(OR(B2422&lt;年初日,B2422&gt;年末日),"✗ 日期不在本会计年度",IF(C2422="","✗ 没选账户",IF(COUNTIF(基础资料!$W$5:$W$24,C2422)=0,"✗ 账户不在基础资料里",IF(O2422="","✗ 没选收支项目",IF(P2422="未知","✗ 收支项目不在基础资料里",IF(AND(P2422="应收",J2422=""),"✗ 这笔要选客户",IF(AND(P2422="应收",COUNTIF(总览汇总!$B$5:$B$304,J2422)=0),"✗ 客户不在总览汇总名单里",IF(AND(P2422="应付",K2422=""),"✗ 这笔要选供应商",IF(AND(P2422="应付",COUNTIF(基础资料!$Q$5:$Q$54,K2422)=0),"✗ 供应商不在基础资料里",IF(AND(P2422="费用",L2422=""),"✗ 费用支出要选费用项目",IF(AND(L2422&lt;&gt;"",COUNTIF(基础资料!$AI$5:$AI$54,L2422)=0),"✗ 费用项目不在基础资料里",IF(AND(IFERROR(INDEX(基础资料!$AD$5:$AD$34,MATCH(O2422,基础资料!$AC$5:$AC$34,0)),"")="收",N(G2422)&lt;&gt;0),"✗ 这类是收款，金额填到收入列",IF(AND(IFERROR(INDEX(基础资料!$AD$5:$AD$34,MATCH(O2422,基础资料!$AC$5:$AC$34,0)),"")="支",N(F2422)&lt;&gt;0),"✗ 这类是付款，金额填到支出列",IF(N(H2422)&lt;0,"⚠ 账户余额成负数了，核对一下","√"))))))))))))))))))</f>
      </c>
      <c r="O2422" s="78">
        <f>IF(D2422&lt;&gt;"",D2422,IF(AND(F2422="",G2422=""),"",IF(J2422&lt;&gt;"",IF(N(F2422)&gt;0,"客户回款","客户退款"),IF(K2422&lt;&gt;"",IF(N(G2422)&gt;0,"供应商付款","供应商退款"),IF(L2422&lt;&gt;"","费用支出","")))))</f>
      </c>
      <c r="P2422" s="78">
        <f>IF(O2422="","",IFERROR(INDEX(基础资料!$AE$5:$AE$34,MATCH(O2422,基础资料!$AC$5:$AC$34,0)),"未知"))</f>
      </c>
      <c r="Q2422" s="78">
        <f>IF(P2422="应收",COUNTIF(P$7:P2422,"应收"),"")</f>
      </c>
      <c r="R2422" s="78">
        <f>IF(P2422="应付",COUNTIF(P$7:P2422,"应付"),"")</f>
      </c>
      <c r="S2422" s="78">
        <f>N(F2422)-N(G2422)</f>
        <v>0</v>
      </c>
    </row>
    <row r="2423">
      <c r="A2423" s="109">
        <f>IF(AND(F2423="",G2423=""),"",ROW()-6)</f>
      </c>
      <c r="B2423" s="140" t="n"/>
      <c r="C2423" s="141" t="n"/>
      <c r="D2423" s="141" t="n"/>
      <c r="E2423" s="142" t="n"/>
      <c r="F2423" s="143" t="n"/>
      <c r="G2423" s="144" t="n"/>
      <c r="H2423" s="145">
        <f>IF(OR(C2423="",AND(F2423="",G2423="")),"",SUMIF(基础资料!$W$5:$W$24,C2423,基础资料!$X$5:$X$24)+SUMIF(C$7:C2423,C2423,F$7:F2423)-SUMIF(C$7:C2423,C2423,G$7:G2423))</f>
      </c>
      <c r="I2423" s="145">
        <f>IF(AND(F2423="",G2423=""),"",SUM(基础资料!$X$5:$X$24)+SUM(F$7:F2423)-SUM(G$7:G2423))</f>
      </c>
      <c r="J2423" s="141" t="n"/>
      <c r="K2423" s="141" t="n"/>
      <c r="L2423" s="141" t="n"/>
      <c r="M2423" s="142" t="n"/>
      <c r="N2423" s="146">
        <f>IF(AND(AND(F2423="",G2423=""),B2423="",C2423="",D2423="",J2423="",K2423="",L2423=""),"",IF(AND(F2423="",G2423=""),"✗ 没填金额",IF(AND(N(F2423)&lt;&gt;0,N(G2423)&lt;&gt;0),"✗ 收入、支出只能填一边",IF(NOT(ISNUMBER(B2423)),"✗ 日期不是真日期（要像 2026/9/25 这样填）",IF(OR(B2423&lt;年初日,B2423&gt;年末日),"✗ 日期不在本会计年度",IF(C2423="","✗ 没选账户",IF(COUNTIF(基础资料!$W$5:$W$24,C2423)=0,"✗ 账户不在基础资料里",IF(O2423="","✗ 没选收支项目",IF(P2423="未知","✗ 收支项目不在基础资料里",IF(AND(P2423="应收",J2423=""),"✗ 这笔要选客户",IF(AND(P2423="应收",COUNTIF(总览汇总!$B$5:$B$304,J2423)=0),"✗ 客户不在总览汇总名单里",IF(AND(P2423="应付",K2423=""),"✗ 这笔要选供应商",IF(AND(P2423="应付",COUNTIF(基础资料!$Q$5:$Q$54,K2423)=0),"✗ 供应商不在基础资料里",IF(AND(P2423="费用",L2423=""),"✗ 费用支出要选费用项目",IF(AND(L2423&lt;&gt;"",COUNTIF(基础资料!$AI$5:$AI$54,L2423)=0),"✗ 费用项目不在基础资料里",IF(AND(IFERROR(INDEX(基础资料!$AD$5:$AD$34,MATCH(O2423,基础资料!$AC$5:$AC$34,0)),"")="收",N(G2423)&lt;&gt;0),"✗ 这类是收款，金额填到收入列",IF(AND(IFERROR(INDEX(基础资料!$AD$5:$AD$34,MATCH(O2423,基础资料!$AC$5:$AC$34,0)),"")="支",N(F2423)&lt;&gt;0),"✗ 这类是付款，金额填到支出列",IF(N(H2423)&lt;0,"⚠ 账户余额成负数了，核对一下","√"))))))))))))))))))</f>
      </c>
      <c r="O2423" s="78">
        <f>IF(D2423&lt;&gt;"",D2423,IF(AND(F2423="",G2423=""),"",IF(J2423&lt;&gt;"",IF(N(F2423)&gt;0,"客户回款","客户退款"),IF(K2423&lt;&gt;"",IF(N(G2423)&gt;0,"供应商付款","供应商退款"),IF(L2423&lt;&gt;"","费用支出","")))))</f>
      </c>
      <c r="P2423" s="78">
        <f>IF(O2423="","",IFERROR(INDEX(基础资料!$AE$5:$AE$34,MATCH(O2423,基础资料!$AC$5:$AC$34,0)),"未知"))</f>
      </c>
      <c r="Q2423" s="78">
        <f>IF(P2423="应收",COUNTIF(P$7:P2423,"应收"),"")</f>
      </c>
      <c r="R2423" s="78">
        <f>IF(P2423="应付",COUNTIF(P$7:P2423,"应付"),"")</f>
      </c>
      <c r="S2423" s="78">
        <f>N(F2423)-N(G2423)</f>
        <v>0</v>
      </c>
    </row>
    <row r="2424">
      <c r="A2424" s="109">
        <f>IF(AND(F2424="",G2424=""),"",ROW()-6)</f>
      </c>
      <c r="B2424" s="140" t="n"/>
      <c r="C2424" s="141" t="n"/>
      <c r="D2424" s="141" t="n"/>
      <c r="E2424" s="142" t="n"/>
      <c r="F2424" s="143" t="n"/>
      <c r="G2424" s="144" t="n"/>
      <c r="H2424" s="145">
        <f>IF(OR(C2424="",AND(F2424="",G2424="")),"",SUMIF(基础资料!$W$5:$W$24,C2424,基础资料!$X$5:$X$24)+SUMIF(C$7:C2424,C2424,F$7:F2424)-SUMIF(C$7:C2424,C2424,G$7:G2424))</f>
      </c>
      <c r="I2424" s="145">
        <f>IF(AND(F2424="",G2424=""),"",SUM(基础资料!$X$5:$X$24)+SUM(F$7:F2424)-SUM(G$7:G2424))</f>
      </c>
      <c r="J2424" s="141" t="n"/>
      <c r="K2424" s="141" t="n"/>
      <c r="L2424" s="141" t="n"/>
      <c r="M2424" s="142" t="n"/>
      <c r="N2424" s="146">
        <f>IF(AND(AND(F2424="",G2424=""),B2424="",C2424="",D2424="",J2424="",K2424="",L2424=""),"",IF(AND(F2424="",G2424=""),"✗ 没填金额",IF(AND(N(F2424)&lt;&gt;0,N(G2424)&lt;&gt;0),"✗ 收入、支出只能填一边",IF(NOT(ISNUMBER(B2424)),"✗ 日期不是真日期（要像 2026/9/25 这样填）",IF(OR(B2424&lt;年初日,B2424&gt;年末日),"✗ 日期不在本会计年度",IF(C2424="","✗ 没选账户",IF(COUNTIF(基础资料!$W$5:$W$24,C2424)=0,"✗ 账户不在基础资料里",IF(O2424="","✗ 没选收支项目",IF(P2424="未知","✗ 收支项目不在基础资料里",IF(AND(P2424="应收",J2424=""),"✗ 这笔要选客户",IF(AND(P2424="应收",COUNTIF(总览汇总!$B$5:$B$304,J2424)=0),"✗ 客户不在总览汇总名单里",IF(AND(P2424="应付",K2424=""),"✗ 这笔要选供应商",IF(AND(P2424="应付",COUNTIF(基础资料!$Q$5:$Q$54,K2424)=0),"✗ 供应商不在基础资料里",IF(AND(P2424="费用",L2424=""),"✗ 费用支出要选费用项目",IF(AND(L2424&lt;&gt;"",COUNTIF(基础资料!$AI$5:$AI$54,L2424)=0),"✗ 费用项目不在基础资料里",IF(AND(IFERROR(INDEX(基础资料!$AD$5:$AD$34,MATCH(O2424,基础资料!$AC$5:$AC$34,0)),"")="收",N(G2424)&lt;&gt;0),"✗ 这类是收款，金额填到收入列",IF(AND(IFERROR(INDEX(基础资料!$AD$5:$AD$34,MATCH(O2424,基础资料!$AC$5:$AC$34,0)),"")="支",N(F2424)&lt;&gt;0),"✗ 这类是付款，金额填到支出列",IF(N(H2424)&lt;0,"⚠ 账户余额成负数了，核对一下","√"))))))))))))))))))</f>
      </c>
      <c r="O2424" s="78">
        <f>IF(D2424&lt;&gt;"",D2424,IF(AND(F2424="",G2424=""),"",IF(J2424&lt;&gt;"",IF(N(F2424)&gt;0,"客户回款","客户退款"),IF(K2424&lt;&gt;"",IF(N(G2424)&gt;0,"供应商付款","供应商退款"),IF(L2424&lt;&gt;"","费用支出","")))))</f>
      </c>
      <c r="P2424" s="78">
        <f>IF(O2424="","",IFERROR(INDEX(基础资料!$AE$5:$AE$34,MATCH(O2424,基础资料!$AC$5:$AC$34,0)),"未知"))</f>
      </c>
      <c r="Q2424" s="78">
        <f>IF(P2424="应收",COUNTIF(P$7:P2424,"应收"),"")</f>
      </c>
      <c r="R2424" s="78">
        <f>IF(P2424="应付",COUNTIF(P$7:P2424,"应付"),"")</f>
      </c>
      <c r="S2424" s="78">
        <f>N(F2424)-N(G2424)</f>
        <v>0</v>
      </c>
    </row>
    <row r="2425">
      <c r="A2425" s="109">
        <f>IF(AND(F2425="",G2425=""),"",ROW()-6)</f>
      </c>
      <c r="B2425" s="140" t="n"/>
      <c r="C2425" s="141" t="n"/>
      <c r="D2425" s="141" t="n"/>
      <c r="E2425" s="142" t="n"/>
      <c r="F2425" s="143" t="n"/>
      <c r="G2425" s="144" t="n"/>
      <c r="H2425" s="145">
        <f>IF(OR(C2425="",AND(F2425="",G2425="")),"",SUMIF(基础资料!$W$5:$W$24,C2425,基础资料!$X$5:$X$24)+SUMIF(C$7:C2425,C2425,F$7:F2425)-SUMIF(C$7:C2425,C2425,G$7:G2425))</f>
      </c>
      <c r="I2425" s="145">
        <f>IF(AND(F2425="",G2425=""),"",SUM(基础资料!$X$5:$X$24)+SUM(F$7:F2425)-SUM(G$7:G2425))</f>
      </c>
      <c r="J2425" s="141" t="n"/>
      <c r="K2425" s="141" t="n"/>
      <c r="L2425" s="141" t="n"/>
      <c r="M2425" s="142" t="n"/>
      <c r="N2425" s="146">
        <f>IF(AND(AND(F2425="",G2425=""),B2425="",C2425="",D2425="",J2425="",K2425="",L2425=""),"",IF(AND(F2425="",G2425=""),"✗ 没填金额",IF(AND(N(F2425)&lt;&gt;0,N(G2425)&lt;&gt;0),"✗ 收入、支出只能填一边",IF(NOT(ISNUMBER(B2425)),"✗ 日期不是真日期（要像 2026/9/25 这样填）",IF(OR(B2425&lt;年初日,B2425&gt;年末日),"✗ 日期不在本会计年度",IF(C2425="","✗ 没选账户",IF(COUNTIF(基础资料!$W$5:$W$24,C2425)=0,"✗ 账户不在基础资料里",IF(O2425="","✗ 没选收支项目",IF(P2425="未知","✗ 收支项目不在基础资料里",IF(AND(P2425="应收",J2425=""),"✗ 这笔要选客户",IF(AND(P2425="应收",COUNTIF(总览汇总!$B$5:$B$304,J2425)=0),"✗ 客户不在总览汇总名单里",IF(AND(P2425="应付",K2425=""),"✗ 这笔要选供应商",IF(AND(P2425="应付",COUNTIF(基础资料!$Q$5:$Q$54,K2425)=0),"✗ 供应商不在基础资料里",IF(AND(P2425="费用",L2425=""),"✗ 费用支出要选费用项目",IF(AND(L2425&lt;&gt;"",COUNTIF(基础资料!$AI$5:$AI$54,L2425)=0),"✗ 费用项目不在基础资料里",IF(AND(IFERROR(INDEX(基础资料!$AD$5:$AD$34,MATCH(O2425,基础资料!$AC$5:$AC$34,0)),"")="收",N(G2425)&lt;&gt;0),"✗ 这类是收款，金额填到收入列",IF(AND(IFERROR(INDEX(基础资料!$AD$5:$AD$34,MATCH(O2425,基础资料!$AC$5:$AC$34,0)),"")="支",N(F2425)&lt;&gt;0),"✗ 这类是付款，金额填到支出列",IF(N(H2425)&lt;0,"⚠ 账户余额成负数了，核对一下","√"))))))))))))))))))</f>
      </c>
      <c r="O2425" s="78">
        <f>IF(D2425&lt;&gt;"",D2425,IF(AND(F2425="",G2425=""),"",IF(J2425&lt;&gt;"",IF(N(F2425)&gt;0,"客户回款","客户退款"),IF(K2425&lt;&gt;"",IF(N(G2425)&gt;0,"供应商付款","供应商退款"),IF(L2425&lt;&gt;"","费用支出","")))))</f>
      </c>
      <c r="P2425" s="78">
        <f>IF(O2425="","",IFERROR(INDEX(基础资料!$AE$5:$AE$34,MATCH(O2425,基础资料!$AC$5:$AC$34,0)),"未知"))</f>
      </c>
      <c r="Q2425" s="78">
        <f>IF(P2425="应收",COUNTIF(P$7:P2425,"应收"),"")</f>
      </c>
      <c r="R2425" s="78">
        <f>IF(P2425="应付",COUNTIF(P$7:P2425,"应付"),"")</f>
      </c>
      <c r="S2425" s="78">
        <f>N(F2425)-N(G2425)</f>
        <v>0</v>
      </c>
    </row>
    <row r="2426">
      <c r="A2426" s="109">
        <f>IF(AND(F2426="",G2426=""),"",ROW()-6)</f>
      </c>
      <c r="B2426" s="140" t="n"/>
      <c r="C2426" s="141" t="n"/>
      <c r="D2426" s="141" t="n"/>
      <c r="E2426" s="142" t="n"/>
      <c r="F2426" s="143" t="n"/>
      <c r="G2426" s="144" t="n"/>
      <c r="H2426" s="145">
        <f>IF(OR(C2426="",AND(F2426="",G2426="")),"",SUMIF(基础资料!$W$5:$W$24,C2426,基础资料!$X$5:$X$24)+SUMIF(C$7:C2426,C2426,F$7:F2426)-SUMIF(C$7:C2426,C2426,G$7:G2426))</f>
      </c>
      <c r="I2426" s="145">
        <f>IF(AND(F2426="",G2426=""),"",SUM(基础资料!$X$5:$X$24)+SUM(F$7:F2426)-SUM(G$7:G2426))</f>
      </c>
      <c r="J2426" s="141" t="n"/>
      <c r="K2426" s="141" t="n"/>
      <c r="L2426" s="141" t="n"/>
      <c r="M2426" s="142" t="n"/>
      <c r="N2426" s="146">
        <f>IF(AND(AND(F2426="",G2426=""),B2426="",C2426="",D2426="",J2426="",K2426="",L2426=""),"",IF(AND(F2426="",G2426=""),"✗ 没填金额",IF(AND(N(F2426)&lt;&gt;0,N(G2426)&lt;&gt;0),"✗ 收入、支出只能填一边",IF(NOT(ISNUMBER(B2426)),"✗ 日期不是真日期（要像 2026/9/25 这样填）",IF(OR(B2426&lt;年初日,B2426&gt;年末日),"✗ 日期不在本会计年度",IF(C2426="","✗ 没选账户",IF(COUNTIF(基础资料!$W$5:$W$24,C2426)=0,"✗ 账户不在基础资料里",IF(O2426="","✗ 没选收支项目",IF(P2426="未知","✗ 收支项目不在基础资料里",IF(AND(P2426="应收",J2426=""),"✗ 这笔要选客户",IF(AND(P2426="应收",COUNTIF(总览汇总!$B$5:$B$304,J2426)=0),"✗ 客户不在总览汇总名单里",IF(AND(P2426="应付",K2426=""),"✗ 这笔要选供应商",IF(AND(P2426="应付",COUNTIF(基础资料!$Q$5:$Q$54,K2426)=0),"✗ 供应商不在基础资料里",IF(AND(P2426="费用",L2426=""),"✗ 费用支出要选费用项目",IF(AND(L2426&lt;&gt;"",COUNTIF(基础资料!$AI$5:$AI$54,L2426)=0),"✗ 费用项目不在基础资料里",IF(AND(IFERROR(INDEX(基础资料!$AD$5:$AD$34,MATCH(O2426,基础资料!$AC$5:$AC$34,0)),"")="收",N(G2426)&lt;&gt;0),"✗ 这类是收款，金额填到收入列",IF(AND(IFERROR(INDEX(基础资料!$AD$5:$AD$34,MATCH(O2426,基础资料!$AC$5:$AC$34,0)),"")="支",N(F2426)&lt;&gt;0),"✗ 这类是付款，金额填到支出列",IF(N(H2426)&lt;0,"⚠ 账户余额成负数了，核对一下","√"))))))))))))))))))</f>
      </c>
      <c r="O2426" s="78">
        <f>IF(D2426&lt;&gt;"",D2426,IF(AND(F2426="",G2426=""),"",IF(J2426&lt;&gt;"",IF(N(F2426)&gt;0,"客户回款","客户退款"),IF(K2426&lt;&gt;"",IF(N(G2426)&gt;0,"供应商付款","供应商退款"),IF(L2426&lt;&gt;"","费用支出","")))))</f>
      </c>
      <c r="P2426" s="78">
        <f>IF(O2426="","",IFERROR(INDEX(基础资料!$AE$5:$AE$34,MATCH(O2426,基础资料!$AC$5:$AC$34,0)),"未知"))</f>
      </c>
      <c r="Q2426" s="78">
        <f>IF(P2426="应收",COUNTIF(P$7:P2426,"应收"),"")</f>
      </c>
      <c r="R2426" s="78">
        <f>IF(P2426="应付",COUNTIF(P$7:P2426,"应付"),"")</f>
      </c>
      <c r="S2426" s="78">
        <f>N(F2426)-N(G2426)</f>
        <v>0</v>
      </c>
    </row>
    <row r="2427">
      <c r="A2427" s="109">
        <f>IF(AND(F2427="",G2427=""),"",ROW()-6)</f>
      </c>
      <c r="B2427" s="140" t="n"/>
      <c r="C2427" s="141" t="n"/>
      <c r="D2427" s="141" t="n"/>
      <c r="E2427" s="142" t="n"/>
      <c r="F2427" s="143" t="n"/>
      <c r="G2427" s="144" t="n"/>
      <c r="H2427" s="145">
        <f>IF(OR(C2427="",AND(F2427="",G2427="")),"",SUMIF(基础资料!$W$5:$W$24,C2427,基础资料!$X$5:$X$24)+SUMIF(C$7:C2427,C2427,F$7:F2427)-SUMIF(C$7:C2427,C2427,G$7:G2427))</f>
      </c>
      <c r="I2427" s="145">
        <f>IF(AND(F2427="",G2427=""),"",SUM(基础资料!$X$5:$X$24)+SUM(F$7:F2427)-SUM(G$7:G2427))</f>
      </c>
      <c r="J2427" s="141" t="n"/>
      <c r="K2427" s="141" t="n"/>
      <c r="L2427" s="141" t="n"/>
      <c r="M2427" s="142" t="n"/>
      <c r="N2427" s="146">
        <f>IF(AND(AND(F2427="",G2427=""),B2427="",C2427="",D2427="",J2427="",K2427="",L2427=""),"",IF(AND(F2427="",G2427=""),"✗ 没填金额",IF(AND(N(F2427)&lt;&gt;0,N(G2427)&lt;&gt;0),"✗ 收入、支出只能填一边",IF(NOT(ISNUMBER(B2427)),"✗ 日期不是真日期（要像 2026/9/25 这样填）",IF(OR(B2427&lt;年初日,B2427&gt;年末日),"✗ 日期不在本会计年度",IF(C2427="","✗ 没选账户",IF(COUNTIF(基础资料!$W$5:$W$24,C2427)=0,"✗ 账户不在基础资料里",IF(O2427="","✗ 没选收支项目",IF(P2427="未知","✗ 收支项目不在基础资料里",IF(AND(P2427="应收",J2427=""),"✗ 这笔要选客户",IF(AND(P2427="应收",COUNTIF(总览汇总!$B$5:$B$304,J2427)=0),"✗ 客户不在总览汇总名单里",IF(AND(P2427="应付",K2427=""),"✗ 这笔要选供应商",IF(AND(P2427="应付",COUNTIF(基础资料!$Q$5:$Q$54,K2427)=0),"✗ 供应商不在基础资料里",IF(AND(P2427="费用",L2427=""),"✗ 费用支出要选费用项目",IF(AND(L2427&lt;&gt;"",COUNTIF(基础资料!$AI$5:$AI$54,L2427)=0),"✗ 费用项目不在基础资料里",IF(AND(IFERROR(INDEX(基础资料!$AD$5:$AD$34,MATCH(O2427,基础资料!$AC$5:$AC$34,0)),"")="收",N(G2427)&lt;&gt;0),"✗ 这类是收款，金额填到收入列",IF(AND(IFERROR(INDEX(基础资料!$AD$5:$AD$34,MATCH(O2427,基础资料!$AC$5:$AC$34,0)),"")="支",N(F2427)&lt;&gt;0),"✗ 这类是付款，金额填到支出列",IF(N(H2427)&lt;0,"⚠ 账户余额成负数了，核对一下","√"))))))))))))))))))</f>
      </c>
      <c r="O2427" s="78">
        <f>IF(D2427&lt;&gt;"",D2427,IF(AND(F2427="",G2427=""),"",IF(J2427&lt;&gt;"",IF(N(F2427)&gt;0,"客户回款","客户退款"),IF(K2427&lt;&gt;"",IF(N(G2427)&gt;0,"供应商付款","供应商退款"),IF(L2427&lt;&gt;"","费用支出","")))))</f>
      </c>
      <c r="P2427" s="78">
        <f>IF(O2427="","",IFERROR(INDEX(基础资料!$AE$5:$AE$34,MATCH(O2427,基础资料!$AC$5:$AC$34,0)),"未知"))</f>
      </c>
      <c r="Q2427" s="78">
        <f>IF(P2427="应收",COUNTIF(P$7:P2427,"应收"),"")</f>
      </c>
      <c r="R2427" s="78">
        <f>IF(P2427="应付",COUNTIF(P$7:P2427,"应付"),"")</f>
      </c>
      <c r="S2427" s="78">
        <f>N(F2427)-N(G2427)</f>
        <v>0</v>
      </c>
    </row>
    <row r="2428">
      <c r="A2428" s="109">
        <f>IF(AND(F2428="",G2428=""),"",ROW()-6)</f>
      </c>
      <c r="B2428" s="140" t="n"/>
      <c r="C2428" s="141" t="n"/>
      <c r="D2428" s="141" t="n"/>
      <c r="E2428" s="142" t="n"/>
      <c r="F2428" s="143" t="n"/>
      <c r="G2428" s="144" t="n"/>
      <c r="H2428" s="145">
        <f>IF(OR(C2428="",AND(F2428="",G2428="")),"",SUMIF(基础资料!$W$5:$W$24,C2428,基础资料!$X$5:$X$24)+SUMIF(C$7:C2428,C2428,F$7:F2428)-SUMIF(C$7:C2428,C2428,G$7:G2428))</f>
      </c>
      <c r="I2428" s="145">
        <f>IF(AND(F2428="",G2428=""),"",SUM(基础资料!$X$5:$X$24)+SUM(F$7:F2428)-SUM(G$7:G2428))</f>
      </c>
      <c r="J2428" s="141" t="n"/>
      <c r="K2428" s="141" t="n"/>
      <c r="L2428" s="141" t="n"/>
      <c r="M2428" s="142" t="n"/>
      <c r="N2428" s="146">
        <f>IF(AND(AND(F2428="",G2428=""),B2428="",C2428="",D2428="",J2428="",K2428="",L2428=""),"",IF(AND(F2428="",G2428=""),"✗ 没填金额",IF(AND(N(F2428)&lt;&gt;0,N(G2428)&lt;&gt;0),"✗ 收入、支出只能填一边",IF(NOT(ISNUMBER(B2428)),"✗ 日期不是真日期（要像 2026/9/25 这样填）",IF(OR(B2428&lt;年初日,B2428&gt;年末日),"✗ 日期不在本会计年度",IF(C2428="","✗ 没选账户",IF(COUNTIF(基础资料!$W$5:$W$24,C2428)=0,"✗ 账户不在基础资料里",IF(O2428="","✗ 没选收支项目",IF(P2428="未知","✗ 收支项目不在基础资料里",IF(AND(P2428="应收",J2428=""),"✗ 这笔要选客户",IF(AND(P2428="应收",COUNTIF(总览汇总!$B$5:$B$304,J2428)=0),"✗ 客户不在总览汇总名单里",IF(AND(P2428="应付",K2428=""),"✗ 这笔要选供应商",IF(AND(P2428="应付",COUNTIF(基础资料!$Q$5:$Q$54,K2428)=0),"✗ 供应商不在基础资料里",IF(AND(P2428="费用",L2428=""),"✗ 费用支出要选费用项目",IF(AND(L2428&lt;&gt;"",COUNTIF(基础资料!$AI$5:$AI$54,L2428)=0),"✗ 费用项目不在基础资料里",IF(AND(IFERROR(INDEX(基础资料!$AD$5:$AD$34,MATCH(O2428,基础资料!$AC$5:$AC$34,0)),"")="收",N(G2428)&lt;&gt;0),"✗ 这类是收款，金额填到收入列",IF(AND(IFERROR(INDEX(基础资料!$AD$5:$AD$34,MATCH(O2428,基础资料!$AC$5:$AC$34,0)),"")="支",N(F2428)&lt;&gt;0),"✗ 这类是付款，金额填到支出列",IF(N(H2428)&lt;0,"⚠ 账户余额成负数了，核对一下","√"))))))))))))))))))</f>
      </c>
      <c r="O2428" s="78">
        <f>IF(D2428&lt;&gt;"",D2428,IF(AND(F2428="",G2428=""),"",IF(J2428&lt;&gt;"",IF(N(F2428)&gt;0,"客户回款","客户退款"),IF(K2428&lt;&gt;"",IF(N(G2428)&gt;0,"供应商付款","供应商退款"),IF(L2428&lt;&gt;"","费用支出","")))))</f>
      </c>
      <c r="P2428" s="78">
        <f>IF(O2428="","",IFERROR(INDEX(基础资料!$AE$5:$AE$34,MATCH(O2428,基础资料!$AC$5:$AC$34,0)),"未知"))</f>
      </c>
      <c r="Q2428" s="78">
        <f>IF(P2428="应收",COUNTIF(P$7:P2428,"应收"),"")</f>
      </c>
      <c r="R2428" s="78">
        <f>IF(P2428="应付",COUNTIF(P$7:P2428,"应付"),"")</f>
      </c>
      <c r="S2428" s="78">
        <f>N(F2428)-N(G2428)</f>
        <v>0</v>
      </c>
    </row>
    <row r="2429">
      <c r="A2429" s="109">
        <f>IF(AND(F2429="",G2429=""),"",ROW()-6)</f>
      </c>
      <c r="B2429" s="140" t="n"/>
      <c r="C2429" s="141" t="n"/>
      <c r="D2429" s="141" t="n"/>
      <c r="E2429" s="142" t="n"/>
      <c r="F2429" s="143" t="n"/>
      <c r="G2429" s="144" t="n"/>
      <c r="H2429" s="145">
        <f>IF(OR(C2429="",AND(F2429="",G2429="")),"",SUMIF(基础资料!$W$5:$W$24,C2429,基础资料!$X$5:$X$24)+SUMIF(C$7:C2429,C2429,F$7:F2429)-SUMIF(C$7:C2429,C2429,G$7:G2429))</f>
      </c>
      <c r="I2429" s="145">
        <f>IF(AND(F2429="",G2429=""),"",SUM(基础资料!$X$5:$X$24)+SUM(F$7:F2429)-SUM(G$7:G2429))</f>
      </c>
      <c r="J2429" s="141" t="n"/>
      <c r="K2429" s="141" t="n"/>
      <c r="L2429" s="141" t="n"/>
      <c r="M2429" s="142" t="n"/>
      <c r="N2429" s="146">
        <f>IF(AND(AND(F2429="",G2429=""),B2429="",C2429="",D2429="",J2429="",K2429="",L2429=""),"",IF(AND(F2429="",G2429=""),"✗ 没填金额",IF(AND(N(F2429)&lt;&gt;0,N(G2429)&lt;&gt;0),"✗ 收入、支出只能填一边",IF(NOT(ISNUMBER(B2429)),"✗ 日期不是真日期（要像 2026/9/25 这样填）",IF(OR(B2429&lt;年初日,B2429&gt;年末日),"✗ 日期不在本会计年度",IF(C2429="","✗ 没选账户",IF(COUNTIF(基础资料!$W$5:$W$24,C2429)=0,"✗ 账户不在基础资料里",IF(O2429="","✗ 没选收支项目",IF(P2429="未知","✗ 收支项目不在基础资料里",IF(AND(P2429="应收",J2429=""),"✗ 这笔要选客户",IF(AND(P2429="应收",COUNTIF(总览汇总!$B$5:$B$304,J2429)=0),"✗ 客户不在总览汇总名单里",IF(AND(P2429="应付",K2429=""),"✗ 这笔要选供应商",IF(AND(P2429="应付",COUNTIF(基础资料!$Q$5:$Q$54,K2429)=0),"✗ 供应商不在基础资料里",IF(AND(P2429="费用",L2429=""),"✗ 费用支出要选费用项目",IF(AND(L2429&lt;&gt;"",COUNTIF(基础资料!$AI$5:$AI$54,L2429)=0),"✗ 费用项目不在基础资料里",IF(AND(IFERROR(INDEX(基础资料!$AD$5:$AD$34,MATCH(O2429,基础资料!$AC$5:$AC$34,0)),"")="收",N(G2429)&lt;&gt;0),"✗ 这类是收款，金额填到收入列",IF(AND(IFERROR(INDEX(基础资料!$AD$5:$AD$34,MATCH(O2429,基础资料!$AC$5:$AC$34,0)),"")="支",N(F2429)&lt;&gt;0),"✗ 这类是付款，金额填到支出列",IF(N(H2429)&lt;0,"⚠ 账户余额成负数了，核对一下","√"))))))))))))))))))</f>
      </c>
      <c r="O2429" s="78">
        <f>IF(D2429&lt;&gt;"",D2429,IF(AND(F2429="",G2429=""),"",IF(J2429&lt;&gt;"",IF(N(F2429)&gt;0,"客户回款","客户退款"),IF(K2429&lt;&gt;"",IF(N(G2429)&gt;0,"供应商付款","供应商退款"),IF(L2429&lt;&gt;"","费用支出","")))))</f>
      </c>
      <c r="P2429" s="78">
        <f>IF(O2429="","",IFERROR(INDEX(基础资料!$AE$5:$AE$34,MATCH(O2429,基础资料!$AC$5:$AC$34,0)),"未知"))</f>
      </c>
      <c r="Q2429" s="78">
        <f>IF(P2429="应收",COUNTIF(P$7:P2429,"应收"),"")</f>
      </c>
      <c r="R2429" s="78">
        <f>IF(P2429="应付",COUNTIF(P$7:P2429,"应付"),"")</f>
      </c>
      <c r="S2429" s="78">
        <f>N(F2429)-N(G2429)</f>
        <v>0</v>
      </c>
    </row>
    <row r="2430">
      <c r="A2430" s="109">
        <f>IF(AND(F2430="",G2430=""),"",ROW()-6)</f>
      </c>
      <c r="B2430" s="140" t="n"/>
      <c r="C2430" s="141" t="n"/>
      <c r="D2430" s="141" t="n"/>
      <c r="E2430" s="142" t="n"/>
      <c r="F2430" s="143" t="n"/>
      <c r="G2430" s="144" t="n"/>
      <c r="H2430" s="145">
        <f>IF(OR(C2430="",AND(F2430="",G2430="")),"",SUMIF(基础资料!$W$5:$W$24,C2430,基础资料!$X$5:$X$24)+SUMIF(C$7:C2430,C2430,F$7:F2430)-SUMIF(C$7:C2430,C2430,G$7:G2430))</f>
      </c>
      <c r="I2430" s="145">
        <f>IF(AND(F2430="",G2430=""),"",SUM(基础资料!$X$5:$X$24)+SUM(F$7:F2430)-SUM(G$7:G2430))</f>
      </c>
      <c r="J2430" s="141" t="n"/>
      <c r="K2430" s="141" t="n"/>
      <c r="L2430" s="141" t="n"/>
      <c r="M2430" s="142" t="n"/>
      <c r="N2430" s="146">
        <f>IF(AND(AND(F2430="",G2430=""),B2430="",C2430="",D2430="",J2430="",K2430="",L2430=""),"",IF(AND(F2430="",G2430=""),"✗ 没填金额",IF(AND(N(F2430)&lt;&gt;0,N(G2430)&lt;&gt;0),"✗ 收入、支出只能填一边",IF(NOT(ISNUMBER(B2430)),"✗ 日期不是真日期（要像 2026/9/25 这样填）",IF(OR(B2430&lt;年初日,B2430&gt;年末日),"✗ 日期不在本会计年度",IF(C2430="","✗ 没选账户",IF(COUNTIF(基础资料!$W$5:$W$24,C2430)=0,"✗ 账户不在基础资料里",IF(O2430="","✗ 没选收支项目",IF(P2430="未知","✗ 收支项目不在基础资料里",IF(AND(P2430="应收",J2430=""),"✗ 这笔要选客户",IF(AND(P2430="应收",COUNTIF(总览汇总!$B$5:$B$304,J2430)=0),"✗ 客户不在总览汇总名单里",IF(AND(P2430="应付",K2430=""),"✗ 这笔要选供应商",IF(AND(P2430="应付",COUNTIF(基础资料!$Q$5:$Q$54,K2430)=0),"✗ 供应商不在基础资料里",IF(AND(P2430="费用",L2430=""),"✗ 费用支出要选费用项目",IF(AND(L2430&lt;&gt;"",COUNTIF(基础资料!$AI$5:$AI$54,L2430)=0),"✗ 费用项目不在基础资料里",IF(AND(IFERROR(INDEX(基础资料!$AD$5:$AD$34,MATCH(O2430,基础资料!$AC$5:$AC$34,0)),"")="收",N(G2430)&lt;&gt;0),"✗ 这类是收款，金额填到收入列",IF(AND(IFERROR(INDEX(基础资料!$AD$5:$AD$34,MATCH(O2430,基础资料!$AC$5:$AC$34,0)),"")="支",N(F2430)&lt;&gt;0),"✗ 这类是付款，金额填到支出列",IF(N(H2430)&lt;0,"⚠ 账户余额成负数了，核对一下","√"))))))))))))))))))</f>
      </c>
      <c r="O2430" s="78">
        <f>IF(D2430&lt;&gt;"",D2430,IF(AND(F2430="",G2430=""),"",IF(J2430&lt;&gt;"",IF(N(F2430)&gt;0,"客户回款","客户退款"),IF(K2430&lt;&gt;"",IF(N(G2430)&gt;0,"供应商付款","供应商退款"),IF(L2430&lt;&gt;"","费用支出","")))))</f>
      </c>
      <c r="P2430" s="78">
        <f>IF(O2430="","",IFERROR(INDEX(基础资料!$AE$5:$AE$34,MATCH(O2430,基础资料!$AC$5:$AC$34,0)),"未知"))</f>
      </c>
      <c r="Q2430" s="78">
        <f>IF(P2430="应收",COUNTIF(P$7:P2430,"应收"),"")</f>
      </c>
      <c r="R2430" s="78">
        <f>IF(P2430="应付",COUNTIF(P$7:P2430,"应付"),"")</f>
      </c>
      <c r="S2430" s="78">
        <f>N(F2430)-N(G2430)</f>
        <v>0</v>
      </c>
    </row>
    <row r="2431">
      <c r="A2431" s="109">
        <f>IF(AND(F2431="",G2431=""),"",ROW()-6)</f>
      </c>
      <c r="B2431" s="140" t="n"/>
      <c r="C2431" s="141" t="n"/>
      <c r="D2431" s="141" t="n"/>
      <c r="E2431" s="142" t="n"/>
      <c r="F2431" s="143" t="n"/>
      <c r="G2431" s="144" t="n"/>
      <c r="H2431" s="145">
        <f>IF(OR(C2431="",AND(F2431="",G2431="")),"",SUMIF(基础资料!$W$5:$W$24,C2431,基础资料!$X$5:$X$24)+SUMIF(C$7:C2431,C2431,F$7:F2431)-SUMIF(C$7:C2431,C2431,G$7:G2431))</f>
      </c>
      <c r="I2431" s="145">
        <f>IF(AND(F2431="",G2431=""),"",SUM(基础资料!$X$5:$X$24)+SUM(F$7:F2431)-SUM(G$7:G2431))</f>
      </c>
      <c r="J2431" s="141" t="n"/>
      <c r="K2431" s="141" t="n"/>
      <c r="L2431" s="141" t="n"/>
      <c r="M2431" s="142" t="n"/>
      <c r="N2431" s="146">
        <f>IF(AND(AND(F2431="",G2431=""),B2431="",C2431="",D2431="",J2431="",K2431="",L2431=""),"",IF(AND(F2431="",G2431=""),"✗ 没填金额",IF(AND(N(F2431)&lt;&gt;0,N(G2431)&lt;&gt;0),"✗ 收入、支出只能填一边",IF(NOT(ISNUMBER(B2431)),"✗ 日期不是真日期（要像 2026/9/25 这样填）",IF(OR(B2431&lt;年初日,B2431&gt;年末日),"✗ 日期不在本会计年度",IF(C2431="","✗ 没选账户",IF(COUNTIF(基础资料!$W$5:$W$24,C2431)=0,"✗ 账户不在基础资料里",IF(O2431="","✗ 没选收支项目",IF(P2431="未知","✗ 收支项目不在基础资料里",IF(AND(P2431="应收",J2431=""),"✗ 这笔要选客户",IF(AND(P2431="应收",COUNTIF(总览汇总!$B$5:$B$304,J2431)=0),"✗ 客户不在总览汇总名单里",IF(AND(P2431="应付",K2431=""),"✗ 这笔要选供应商",IF(AND(P2431="应付",COUNTIF(基础资料!$Q$5:$Q$54,K2431)=0),"✗ 供应商不在基础资料里",IF(AND(P2431="费用",L2431=""),"✗ 费用支出要选费用项目",IF(AND(L2431&lt;&gt;"",COUNTIF(基础资料!$AI$5:$AI$54,L2431)=0),"✗ 费用项目不在基础资料里",IF(AND(IFERROR(INDEX(基础资料!$AD$5:$AD$34,MATCH(O2431,基础资料!$AC$5:$AC$34,0)),"")="收",N(G2431)&lt;&gt;0),"✗ 这类是收款，金额填到收入列",IF(AND(IFERROR(INDEX(基础资料!$AD$5:$AD$34,MATCH(O2431,基础资料!$AC$5:$AC$34,0)),"")="支",N(F2431)&lt;&gt;0),"✗ 这类是付款，金额填到支出列",IF(N(H2431)&lt;0,"⚠ 账户余额成负数了，核对一下","√"))))))))))))))))))</f>
      </c>
      <c r="O2431" s="78">
        <f>IF(D2431&lt;&gt;"",D2431,IF(AND(F2431="",G2431=""),"",IF(J2431&lt;&gt;"",IF(N(F2431)&gt;0,"客户回款","客户退款"),IF(K2431&lt;&gt;"",IF(N(G2431)&gt;0,"供应商付款","供应商退款"),IF(L2431&lt;&gt;"","费用支出","")))))</f>
      </c>
      <c r="P2431" s="78">
        <f>IF(O2431="","",IFERROR(INDEX(基础资料!$AE$5:$AE$34,MATCH(O2431,基础资料!$AC$5:$AC$34,0)),"未知"))</f>
      </c>
      <c r="Q2431" s="78">
        <f>IF(P2431="应收",COUNTIF(P$7:P2431,"应收"),"")</f>
      </c>
      <c r="R2431" s="78">
        <f>IF(P2431="应付",COUNTIF(P$7:P2431,"应付"),"")</f>
      </c>
      <c r="S2431" s="78">
        <f>N(F2431)-N(G2431)</f>
        <v>0</v>
      </c>
    </row>
    <row r="2432">
      <c r="A2432" s="109">
        <f>IF(AND(F2432="",G2432=""),"",ROW()-6)</f>
      </c>
      <c r="B2432" s="140" t="n"/>
      <c r="C2432" s="141" t="n"/>
      <c r="D2432" s="141" t="n"/>
      <c r="E2432" s="142" t="n"/>
      <c r="F2432" s="143" t="n"/>
      <c r="G2432" s="144" t="n"/>
      <c r="H2432" s="145">
        <f>IF(OR(C2432="",AND(F2432="",G2432="")),"",SUMIF(基础资料!$W$5:$W$24,C2432,基础资料!$X$5:$X$24)+SUMIF(C$7:C2432,C2432,F$7:F2432)-SUMIF(C$7:C2432,C2432,G$7:G2432))</f>
      </c>
      <c r="I2432" s="145">
        <f>IF(AND(F2432="",G2432=""),"",SUM(基础资料!$X$5:$X$24)+SUM(F$7:F2432)-SUM(G$7:G2432))</f>
      </c>
      <c r="J2432" s="141" t="n"/>
      <c r="K2432" s="141" t="n"/>
      <c r="L2432" s="141" t="n"/>
      <c r="M2432" s="142" t="n"/>
      <c r="N2432" s="146">
        <f>IF(AND(AND(F2432="",G2432=""),B2432="",C2432="",D2432="",J2432="",K2432="",L2432=""),"",IF(AND(F2432="",G2432=""),"✗ 没填金额",IF(AND(N(F2432)&lt;&gt;0,N(G2432)&lt;&gt;0),"✗ 收入、支出只能填一边",IF(NOT(ISNUMBER(B2432)),"✗ 日期不是真日期（要像 2026/9/25 这样填）",IF(OR(B2432&lt;年初日,B2432&gt;年末日),"✗ 日期不在本会计年度",IF(C2432="","✗ 没选账户",IF(COUNTIF(基础资料!$W$5:$W$24,C2432)=0,"✗ 账户不在基础资料里",IF(O2432="","✗ 没选收支项目",IF(P2432="未知","✗ 收支项目不在基础资料里",IF(AND(P2432="应收",J2432=""),"✗ 这笔要选客户",IF(AND(P2432="应收",COUNTIF(总览汇总!$B$5:$B$304,J2432)=0),"✗ 客户不在总览汇总名单里",IF(AND(P2432="应付",K2432=""),"✗ 这笔要选供应商",IF(AND(P2432="应付",COUNTIF(基础资料!$Q$5:$Q$54,K2432)=0),"✗ 供应商不在基础资料里",IF(AND(P2432="费用",L2432=""),"✗ 费用支出要选费用项目",IF(AND(L2432&lt;&gt;"",COUNTIF(基础资料!$AI$5:$AI$54,L2432)=0),"✗ 费用项目不在基础资料里",IF(AND(IFERROR(INDEX(基础资料!$AD$5:$AD$34,MATCH(O2432,基础资料!$AC$5:$AC$34,0)),"")="收",N(G2432)&lt;&gt;0),"✗ 这类是收款，金额填到收入列",IF(AND(IFERROR(INDEX(基础资料!$AD$5:$AD$34,MATCH(O2432,基础资料!$AC$5:$AC$34,0)),"")="支",N(F2432)&lt;&gt;0),"✗ 这类是付款，金额填到支出列",IF(N(H2432)&lt;0,"⚠ 账户余额成负数了，核对一下","√"))))))))))))))))))</f>
      </c>
      <c r="O2432" s="78">
        <f>IF(D2432&lt;&gt;"",D2432,IF(AND(F2432="",G2432=""),"",IF(J2432&lt;&gt;"",IF(N(F2432)&gt;0,"客户回款","客户退款"),IF(K2432&lt;&gt;"",IF(N(G2432)&gt;0,"供应商付款","供应商退款"),IF(L2432&lt;&gt;"","费用支出","")))))</f>
      </c>
      <c r="P2432" s="78">
        <f>IF(O2432="","",IFERROR(INDEX(基础资料!$AE$5:$AE$34,MATCH(O2432,基础资料!$AC$5:$AC$34,0)),"未知"))</f>
      </c>
      <c r="Q2432" s="78">
        <f>IF(P2432="应收",COUNTIF(P$7:P2432,"应收"),"")</f>
      </c>
      <c r="R2432" s="78">
        <f>IF(P2432="应付",COUNTIF(P$7:P2432,"应付"),"")</f>
      </c>
      <c r="S2432" s="78">
        <f>N(F2432)-N(G2432)</f>
        <v>0</v>
      </c>
    </row>
    <row r="2433">
      <c r="A2433" s="109">
        <f>IF(AND(F2433="",G2433=""),"",ROW()-6)</f>
      </c>
      <c r="B2433" s="140" t="n"/>
      <c r="C2433" s="141" t="n"/>
      <c r="D2433" s="141" t="n"/>
      <c r="E2433" s="142" t="n"/>
      <c r="F2433" s="143" t="n"/>
      <c r="G2433" s="144" t="n"/>
      <c r="H2433" s="145">
        <f>IF(OR(C2433="",AND(F2433="",G2433="")),"",SUMIF(基础资料!$W$5:$W$24,C2433,基础资料!$X$5:$X$24)+SUMIF(C$7:C2433,C2433,F$7:F2433)-SUMIF(C$7:C2433,C2433,G$7:G2433))</f>
      </c>
      <c r="I2433" s="145">
        <f>IF(AND(F2433="",G2433=""),"",SUM(基础资料!$X$5:$X$24)+SUM(F$7:F2433)-SUM(G$7:G2433))</f>
      </c>
      <c r="J2433" s="141" t="n"/>
      <c r="K2433" s="141" t="n"/>
      <c r="L2433" s="141" t="n"/>
      <c r="M2433" s="142" t="n"/>
      <c r="N2433" s="146">
        <f>IF(AND(AND(F2433="",G2433=""),B2433="",C2433="",D2433="",J2433="",K2433="",L2433=""),"",IF(AND(F2433="",G2433=""),"✗ 没填金额",IF(AND(N(F2433)&lt;&gt;0,N(G2433)&lt;&gt;0),"✗ 收入、支出只能填一边",IF(NOT(ISNUMBER(B2433)),"✗ 日期不是真日期（要像 2026/9/25 这样填）",IF(OR(B2433&lt;年初日,B2433&gt;年末日),"✗ 日期不在本会计年度",IF(C2433="","✗ 没选账户",IF(COUNTIF(基础资料!$W$5:$W$24,C2433)=0,"✗ 账户不在基础资料里",IF(O2433="","✗ 没选收支项目",IF(P2433="未知","✗ 收支项目不在基础资料里",IF(AND(P2433="应收",J2433=""),"✗ 这笔要选客户",IF(AND(P2433="应收",COUNTIF(总览汇总!$B$5:$B$304,J2433)=0),"✗ 客户不在总览汇总名单里",IF(AND(P2433="应付",K2433=""),"✗ 这笔要选供应商",IF(AND(P2433="应付",COUNTIF(基础资料!$Q$5:$Q$54,K2433)=0),"✗ 供应商不在基础资料里",IF(AND(P2433="费用",L2433=""),"✗ 费用支出要选费用项目",IF(AND(L2433&lt;&gt;"",COUNTIF(基础资料!$AI$5:$AI$54,L2433)=0),"✗ 费用项目不在基础资料里",IF(AND(IFERROR(INDEX(基础资料!$AD$5:$AD$34,MATCH(O2433,基础资料!$AC$5:$AC$34,0)),"")="收",N(G2433)&lt;&gt;0),"✗ 这类是收款，金额填到收入列",IF(AND(IFERROR(INDEX(基础资料!$AD$5:$AD$34,MATCH(O2433,基础资料!$AC$5:$AC$34,0)),"")="支",N(F2433)&lt;&gt;0),"✗ 这类是付款，金额填到支出列",IF(N(H2433)&lt;0,"⚠ 账户余额成负数了，核对一下","√"))))))))))))))))))</f>
      </c>
      <c r="O2433" s="78">
        <f>IF(D2433&lt;&gt;"",D2433,IF(AND(F2433="",G2433=""),"",IF(J2433&lt;&gt;"",IF(N(F2433)&gt;0,"客户回款","客户退款"),IF(K2433&lt;&gt;"",IF(N(G2433)&gt;0,"供应商付款","供应商退款"),IF(L2433&lt;&gt;"","费用支出","")))))</f>
      </c>
      <c r="P2433" s="78">
        <f>IF(O2433="","",IFERROR(INDEX(基础资料!$AE$5:$AE$34,MATCH(O2433,基础资料!$AC$5:$AC$34,0)),"未知"))</f>
      </c>
      <c r="Q2433" s="78">
        <f>IF(P2433="应收",COUNTIF(P$7:P2433,"应收"),"")</f>
      </c>
      <c r="R2433" s="78">
        <f>IF(P2433="应付",COUNTIF(P$7:P2433,"应付"),"")</f>
      </c>
      <c r="S2433" s="78">
        <f>N(F2433)-N(G2433)</f>
        <v>0</v>
      </c>
    </row>
    <row r="2434">
      <c r="A2434" s="109">
        <f>IF(AND(F2434="",G2434=""),"",ROW()-6)</f>
      </c>
      <c r="B2434" s="140" t="n"/>
      <c r="C2434" s="141" t="n"/>
      <c r="D2434" s="141" t="n"/>
      <c r="E2434" s="142" t="n"/>
      <c r="F2434" s="143" t="n"/>
      <c r="G2434" s="144" t="n"/>
      <c r="H2434" s="145">
        <f>IF(OR(C2434="",AND(F2434="",G2434="")),"",SUMIF(基础资料!$W$5:$W$24,C2434,基础资料!$X$5:$X$24)+SUMIF(C$7:C2434,C2434,F$7:F2434)-SUMIF(C$7:C2434,C2434,G$7:G2434))</f>
      </c>
      <c r="I2434" s="145">
        <f>IF(AND(F2434="",G2434=""),"",SUM(基础资料!$X$5:$X$24)+SUM(F$7:F2434)-SUM(G$7:G2434))</f>
      </c>
      <c r="J2434" s="141" t="n"/>
      <c r="K2434" s="141" t="n"/>
      <c r="L2434" s="141" t="n"/>
      <c r="M2434" s="142" t="n"/>
      <c r="N2434" s="146">
        <f>IF(AND(AND(F2434="",G2434=""),B2434="",C2434="",D2434="",J2434="",K2434="",L2434=""),"",IF(AND(F2434="",G2434=""),"✗ 没填金额",IF(AND(N(F2434)&lt;&gt;0,N(G2434)&lt;&gt;0),"✗ 收入、支出只能填一边",IF(NOT(ISNUMBER(B2434)),"✗ 日期不是真日期（要像 2026/9/25 这样填）",IF(OR(B2434&lt;年初日,B2434&gt;年末日),"✗ 日期不在本会计年度",IF(C2434="","✗ 没选账户",IF(COUNTIF(基础资料!$W$5:$W$24,C2434)=0,"✗ 账户不在基础资料里",IF(O2434="","✗ 没选收支项目",IF(P2434="未知","✗ 收支项目不在基础资料里",IF(AND(P2434="应收",J2434=""),"✗ 这笔要选客户",IF(AND(P2434="应收",COUNTIF(总览汇总!$B$5:$B$304,J2434)=0),"✗ 客户不在总览汇总名单里",IF(AND(P2434="应付",K2434=""),"✗ 这笔要选供应商",IF(AND(P2434="应付",COUNTIF(基础资料!$Q$5:$Q$54,K2434)=0),"✗ 供应商不在基础资料里",IF(AND(P2434="费用",L2434=""),"✗ 费用支出要选费用项目",IF(AND(L2434&lt;&gt;"",COUNTIF(基础资料!$AI$5:$AI$54,L2434)=0),"✗ 费用项目不在基础资料里",IF(AND(IFERROR(INDEX(基础资料!$AD$5:$AD$34,MATCH(O2434,基础资料!$AC$5:$AC$34,0)),"")="收",N(G2434)&lt;&gt;0),"✗ 这类是收款，金额填到收入列",IF(AND(IFERROR(INDEX(基础资料!$AD$5:$AD$34,MATCH(O2434,基础资料!$AC$5:$AC$34,0)),"")="支",N(F2434)&lt;&gt;0),"✗ 这类是付款，金额填到支出列",IF(N(H2434)&lt;0,"⚠ 账户余额成负数了，核对一下","√"))))))))))))))))))</f>
      </c>
      <c r="O2434" s="78">
        <f>IF(D2434&lt;&gt;"",D2434,IF(AND(F2434="",G2434=""),"",IF(J2434&lt;&gt;"",IF(N(F2434)&gt;0,"客户回款","客户退款"),IF(K2434&lt;&gt;"",IF(N(G2434)&gt;0,"供应商付款","供应商退款"),IF(L2434&lt;&gt;"","费用支出","")))))</f>
      </c>
      <c r="P2434" s="78">
        <f>IF(O2434="","",IFERROR(INDEX(基础资料!$AE$5:$AE$34,MATCH(O2434,基础资料!$AC$5:$AC$34,0)),"未知"))</f>
      </c>
      <c r="Q2434" s="78">
        <f>IF(P2434="应收",COUNTIF(P$7:P2434,"应收"),"")</f>
      </c>
      <c r="R2434" s="78">
        <f>IF(P2434="应付",COUNTIF(P$7:P2434,"应付"),"")</f>
      </c>
      <c r="S2434" s="78">
        <f>N(F2434)-N(G2434)</f>
        <v>0</v>
      </c>
    </row>
    <row r="2435">
      <c r="A2435" s="109">
        <f>IF(AND(F2435="",G2435=""),"",ROW()-6)</f>
      </c>
      <c r="B2435" s="140" t="n"/>
      <c r="C2435" s="141" t="n"/>
      <c r="D2435" s="141" t="n"/>
      <c r="E2435" s="142" t="n"/>
      <c r="F2435" s="143" t="n"/>
      <c r="G2435" s="144" t="n"/>
      <c r="H2435" s="145">
        <f>IF(OR(C2435="",AND(F2435="",G2435="")),"",SUMIF(基础资料!$W$5:$W$24,C2435,基础资料!$X$5:$X$24)+SUMIF(C$7:C2435,C2435,F$7:F2435)-SUMIF(C$7:C2435,C2435,G$7:G2435))</f>
      </c>
      <c r="I2435" s="145">
        <f>IF(AND(F2435="",G2435=""),"",SUM(基础资料!$X$5:$X$24)+SUM(F$7:F2435)-SUM(G$7:G2435))</f>
      </c>
      <c r="J2435" s="141" t="n"/>
      <c r="K2435" s="141" t="n"/>
      <c r="L2435" s="141" t="n"/>
      <c r="M2435" s="142" t="n"/>
      <c r="N2435" s="146">
        <f>IF(AND(AND(F2435="",G2435=""),B2435="",C2435="",D2435="",J2435="",K2435="",L2435=""),"",IF(AND(F2435="",G2435=""),"✗ 没填金额",IF(AND(N(F2435)&lt;&gt;0,N(G2435)&lt;&gt;0),"✗ 收入、支出只能填一边",IF(NOT(ISNUMBER(B2435)),"✗ 日期不是真日期（要像 2026/9/25 这样填）",IF(OR(B2435&lt;年初日,B2435&gt;年末日),"✗ 日期不在本会计年度",IF(C2435="","✗ 没选账户",IF(COUNTIF(基础资料!$W$5:$W$24,C2435)=0,"✗ 账户不在基础资料里",IF(O2435="","✗ 没选收支项目",IF(P2435="未知","✗ 收支项目不在基础资料里",IF(AND(P2435="应收",J2435=""),"✗ 这笔要选客户",IF(AND(P2435="应收",COUNTIF(总览汇总!$B$5:$B$304,J2435)=0),"✗ 客户不在总览汇总名单里",IF(AND(P2435="应付",K2435=""),"✗ 这笔要选供应商",IF(AND(P2435="应付",COUNTIF(基础资料!$Q$5:$Q$54,K2435)=0),"✗ 供应商不在基础资料里",IF(AND(P2435="费用",L2435=""),"✗ 费用支出要选费用项目",IF(AND(L2435&lt;&gt;"",COUNTIF(基础资料!$AI$5:$AI$54,L2435)=0),"✗ 费用项目不在基础资料里",IF(AND(IFERROR(INDEX(基础资料!$AD$5:$AD$34,MATCH(O2435,基础资料!$AC$5:$AC$34,0)),"")="收",N(G2435)&lt;&gt;0),"✗ 这类是收款，金额填到收入列",IF(AND(IFERROR(INDEX(基础资料!$AD$5:$AD$34,MATCH(O2435,基础资料!$AC$5:$AC$34,0)),"")="支",N(F2435)&lt;&gt;0),"✗ 这类是付款，金额填到支出列",IF(N(H2435)&lt;0,"⚠ 账户余额成负数了，核对一下","√"))))))))))))))))))</f>
      </c>
      <c r="O2435" s="78">
        <f>IF(D2435&lt;&gt;"",D2435,IF(AND(F2435="",G2435=""),"",IF(J2435&lt;&gt;"",IF(N(F2435)&gt;0,"客户回款","客户退款"),IF(K2435&lt;&gt;"",IF(N(G2435)&gt;0,"供应商付款","供应商退款"),IF(L2435&lt;&gt;"","费用支出","")))))</f>
      </c>
      <c r="P2435" s="78">
        <f>IF(O2435="","",IFERROR(INDEX(基础资料!$AE$5:$AE$34,MATCH(O2435,基础资料!$AC$5:$AC$34,0)),"未知"))</f>
      </c>
      <c r="Q2435" s="78">
        <f>IF(P2435="应收",COUNTIF(P$7:P2435,"应收"),"")</f>
      </c>
      <c r="R2435" s="78">
        <f>IF(P2435="应付",COUNTIF(P$7:P2435,"应付"),"")</f>
      </c>
      <c r="S2435" s="78">
        <f>N(F2435)-N(G2435)</f>
        <v>0</v>
      </c>
    </row>
    <row r="2436">
      <c r="A2436" s="109">
        <f>IF(AND(F2436="",G2436=""),"",ROW()-6)</f>
      </c>
      <c r="B2436" s="140" t="n"/>
      <c r="C2436" s="141" t="n"/>
      <c r="D2436" s="141" t="n"/>
      <c r="E2436" s="142" t="n"/>
      <c r="F2436" s="143" t="n"/>
      <c r="G2436" s="144" t="n"/>
      <c r="H2436" s="145">
        <f>IF(OR(C2436="",AND(F2436="",G2436="")),"",SUMIF(基础资料!$W$5:$W$24,C2436,基础资料!$X$5:$X$24)+SUMIF(C$7:C2436,C2436,F$7:F2436)-SUMIF(C$7:C2436,C2436,G$7:G2436))</f>
      </c>
      <c r="I2436" s="145">
        <f>IF(AND(F2436="",G2436=""),"",SUM(基础资料!$X$5:$X$24)+SUM(F$7:F2436)-SUM(G$7:G2436))</f>
      </c>
      <c r="J2436" s="141" t="n"/>
      <c r="K2436" s="141" t="n"/>
      <c r="L2436" s="141" t="n"/>
      <c r="M2436" s="142" t="n"/>
      <c r="N2436" s="146">
        <f>IF(AND(AND(F2436="",G2436=""),B2436="",C2436="",D2436="",J2436="",K2436="",L2436=""),"",IF(AND(F2436="",G2436=""),"✗ 没填金额",IF(AND(N(F2436)&lt;&gt;0,N(G2436)&lt;&gt;0),"✗ 收入、支出只能填一边",IF(NOT(ISNUMBER(B2436)),"✗ 日期不是真日期（要像 2026/9/25 这样填）",IF(OR(B2436&lt;年初日,B2436&gt;年末日),"✗ 日期不在本会计年度",IF(C2436="","✗ 没选账户",IF(COUNTIF(基础资料!$W$5:$W$24,C2436)=0,"✗ 账户不在基础资料里",IF(O2436="","✗ 没选收支项目",IF(P2436="未知","✗ 收支项目不在基础资料里",IF(AND(P2436="应收",J2436=""),"✗ 这笔要选客户",IF(AND(P2436="应收",COUNTIF(总览汇总!$B$5:$B$304,J2436)=0),"✗ 客户不在总览汇总名单里",IF(AND(P2436="应付",K2436=""),"✗ 这笔要选供应商",IF(AND(P2436="应付",COUNTIF(基础资料!$Q$5:$Q$54,K2436)=0),"✗ 供应商不在基础资料里",IF(AND(P2436="费用",L2436=""),"✗ 费用支出要选费用项目",IF(AND(L2436&lt;&gt;"",COUNTIF(基础资料!$AI$5:$AI$54,L2436)=0),"✗ 费用项目不在基础资料里",IF(AND(IFERROR(INDEX(基础资料!$AD$5:$AD$34,MATCH(O2436,基础资料!$AC$5:$AC$34,0)),"")="收",N(G2436)&lt;&gt;0),"✗ 这类是收款，金额填到收入列",IF(AND(IFERROR(INDEX(基础资料!$AD$5:$AD$34,MATCH(O2436,基础资料!$AC$5:$AC$34,0)),"")="支",N(F2436)&lt;&gt;0),"✗ 这类是付款，金额填到支出列",IF(N(H2436)&lt;0,"⚠ 账户余额成负数了，核对一下","√"))))))))))))))))))</f>
      </c>
      <c r="O2436" s="78">
        <f>IF(D2436&lt;&gt;"",D2436,IF(AND(F2436="",G2436=""),"",IF(J2436&lt;&gt;"",IF(N(F2436)&gt;0,"客户回款","客户退款"),IF(K2436&lt;&gt;"",IF(N(G2436)&gt;0,"供应商付款","供应商退款"),IF(L2436&lt;&gt;"","费用支出","")))))</f>
      </c>
      <c r="P2436" s="78">
        <f>IF(O2436="","",IFERROR(INDEX(基础资料!$AE$5:$AE$34,MATCH(O2436,基础资料!$AC$5:$AC$34,0)),"未知"))</f>
      </c>
      <c r="Q2436" s="78">
        <f>IF(P2436="应收",COUNTIF(P$7:P2436,"应收"),"")</f>
      </c>
      <c r="R2436" s="78">
        <f>IF(P2436="应付",COUNTIF(P$7:P2436,"应付"),"")</f>
      </c>
      <c r="S2436" s="78">
        <f>N(F2436)-N(G2436)</f>
        <v>0</v>
      </c>
    </row>
    <row r="2437">
      <c r="A2437" s="109">
        <f>IF(AND(F2437="",G2437=""),"",ROW()-6)</f>
      </c>
      <c r="B2437" s="140" t="n"/>
      <c r="C2437" s="141" t="n"/>
      <c r="D2437" s="141" t="n"/>
      <c r="E2437" s="142" t="n"/>
      <c r="F2437" s="143" t="n"/>
      <c r="G2437" s="144" t="n"/>
      <c r="H2437" s="145">
        <f>IF(OR(C2437="",AND(F2437="",G2437="")),"",SUMIF(基础资料!$W$5:$W$24,C2437,基础资料!$X$5:$X$24)+SUMIF(C$7:C2437,C2437,F$7:F2437)-SUMIF(C$7:C2437,C2437,G$7:G2437))</f>
      </c>
      <c r="I2437" s="145">
        <f>IF(AND(F2437="",G2437=""),"",SUM(基础资料!$X$5:$X$24)+SUM(F$7:F2437)-SUM(G$7:G2437))</f>
      </c>
      <c r="J2437" s="141" t="n"/>
      <c r="K2437" s="141" t="n"/>
      <c r="L2437" s="141" t="n"/>
      <c r="M2437" s="142" t="n"/>
      <c r="N2437" s="146">
        <f>IF(AND(AND(F2437="",G2437=""),B2437="",C2437="",D2437="",J2437="",K2437="",L2437=""),"",IF(AND(F2437="",G2437=""),"✗ 没填金额",IF(AND(N(F2437)&lt;&gt;0,N(G2437)&lt;&gt;0),"✗ 收入、支出只能填一边",IF(NOT(ISNUMBER(B2437)),"✗ 日期不是真日期（要像 2026/9/25 这样填）",IF(OR(B2437&lt;年初日,B2437&gt;年末日),"✗ 日期不在本会计年度",IF(C2437="","✗ 没选账户",IF(COUNTIF(基础资料!$W$5:$W$24,C2437)=0,"✗ 账户不在基础资料里",IF(O2437="","✗ 没选收支项目",IF(P2437="未知","✗ 收支项目不在基础资料里",IF(AND(P2437="应收",J2437=""),"✗ 这笔要选客户",IF(AND(P2437="应收",COUNTIF(总览汇总!$B$5:$B$304,J2437)=0),"✗ 客户不在总览汇总名单里",IF(AND(P2437="应付",K2437=""),"✗ 这笔要选供应商",IF(AND(P2437="应付",COUNTIF(基础资料!$Q$5:$Q$54,K2437)=0),"✗ 供应商不在基础资料里",IF(AND(P2437="费用",L2437=""),"✗ 费用支出要选费用项目",IF(AND(L2437&lt;&gt;"",COUNTIF(基础资料!$AI$5:$AI$54,L2437)=0),"✗ 费用项目不在基础资料里",IF(AND(IFERROR(INDEX(基础资料!$AD$5:$AD$34,MATCH(O2437,基础资料!$AC$5:$AC$34,0)),"")="收",N(G2437)&lt;&gt;0),"✗ 这类是收款，金额填到收入列",IF(AND(IFERROR(INDEX(基础资料!$AD$5:$AD$34,MATCH(O2437,基础资料!$AC$5:$AC$34,0)),"")="支",N(F2437)&lt;&gt;0),"✗ 这类是付款，金额填到支出列",IF(N(H2437)&lt;0,"⚠ 账户余额成负数了，核对一下","√"))))))))))))))))))</f>
      </c>
      <c r="O2437" s="78">
        <f>IF(D2437&lt;&gt;"",D2437,IF(AND(F2437="",G2437=""),"",IF(J2437&lt;&gt;"",IF(N(F2437)&gt;0,"客户回款","客户退款"),IF(K2437&lt;&gt;"",IF(N(G2437)&gt;0,"供应商付款","供应商退款"),IF(L2437&lt;&gt;"","费用支出","")))))</f>
      </c>
      <c r="P2437" s="78">
        <f>IF(O2437="","",IFERROR(INDEX(基础资料!$AE$5:$AE$34,MATCH(O2437,基础资料!$AC$5:$AC$34,0)),"未知"))</f>
      </c>
      <c r="Q2437" s="78">
        <f>IF(P2437="应收",COUNTIF(P$7:P2437,"应收"),"")</f>
      </c>
      <c r="R2437" s="78">
        <f>IF(P2437="应付",COUNTIF(P$7:P2437,"应付"),"")</f>
      </c>
      <c r="S2437" s="78">
        <f>N(F2437)-N(G2437)</f>
        <v>0</v>
      </c>
    </row>
    <row r="2438">
      <c r="A2438" s="109">
        <f>IF(AND(F2438="",G2438=""),"",ROW()-6)</f>
      </c>
      <c r="B2438" s="140" t="n"/>
      <c r="C2438" s="141" t="n"/>
      <c r="D2438" s="141" t="n"/>
      <c r="E2438" s="142" t="n"/>
      <c r="F2438" s="143" t="n"/>
      <c r="G2438" s="144" t="n"/>
      <c r="H2438" s="145">
        <f>IF(OR(C2438="",AND(F2438="",G2438="")),"",SUMIF(基础资料!$W$5:$W$24,C2438,基础资料!$X$5:$X$24)+SUMIF(C$7:C2438,C2438,F$7:F2438)-SUMIF(C$7:C2438,C2438,G$7:G2438))</f>
      </c>
      <c r="I2438" s="145">
        <f>IF(AND(F2438="",G2438=""),"",SUM(基础资料!$X$5:$X$24)+SUM(F$7:F2438)-SUM(G$7:G2438))</f>
      </c>
      <c r="J2438" s="141" t="n"/>
      <c r="K2438" s="141" t="n"/>
      <c r="L2438" s="141" t="n"/>
      <c r="M2438" s="142" t="n"/>
      <c r="N2438" s="146">
        <f>IF(AND(AND(F2438="",G2438=""),B2438="",C2438="",D2438="",J2438="",K2438="",L2438=""),"",IF(AND(F2438="",G2438=""),"✗ 没填金额",IF(AND(N(F2438)&lt;&gt;0,N(G2438)&lt;&gt;0),"✗ 收入、支出只能填一边",IF(NOT(ISNUMBER(B2438)),"✗ 日期不是真日期（要像 2026/9/25 这样填）",IF(OR(B2438&lt;年初日,B2438&gt;年末日),"✗ 日期不在本会计年度",IF(C2438="","✗ 没选账户",IF(COUNTIF(基础资料!$W$5:$W$24,C2438)=0,"✗ 账户不在基础资料里",IF(O2438="","✗ 没选收支项目",IF(P2438="未知","✗ 收支项目不在基础资料里",IF(AND(P2438="应收",J2438=""),"✗ 这笔要选客户",IF(AND(P2438="应收",COUNTIF(总览汇总!$B$5:$B$304,J2438)=0),"✗ 客户不在总览汇总名单里",IF(AND(P2438="应付",K2438=""),"✗ 这笔要选供应商",IF(AND(P2438="应付",COUNTIF(基础资料!$Q$5:$Q$54,K2438)=0),"✗ 供应商不在基础资料里",IF(AND(P2438="费用",L2438=""),"✗ 费用支出要选费用项目",IF(AND(L2438&lt;&gt;"",COUNTIF(基础资料!$AI$5:$AI$54,L2438)=0),"✗ 费用项目不在基础资料里",IF(AND(IFERROR(INDEX(基础资料!$AD$5:$AD$34,MATCH(O2438,基础资料!$AC$5:$AC$34,0)),"")="收",N(G2438)&lt;&gt;0),"✗ 这类是收款，金额填到收入列",IF(AND(IFERROR(INDEX(基础资料!$AD$5:$AD$34,MATCH(O2438,基础资料!$AC$5:$AC$34,0)),"")="支",N(F2438)&lt;&gt;0),"✗ 这类是付款，金额填到支出列",IF(N(H2438)&lt;0,"⚠ 账户余额成负数了，核对一下","√"))))))))))))))))))</f>
      </c>
      <c r="O2438" s="78">
        <f>IF(D2438&lt;&gt;"",D2438,IF(AND(F2438="",G2438=""),"",IF(J2438&lt;&gt;"",IF(N(F2438)&gt;0,"客户回款","客户退款"),IF(K2438&lt;&gt;"",IF(N(G2438)&gt;0,"供应商付款","供应商退款"),IF(L2438&lt;&gt;"","费用支出","")))))</f>
      </c>
      <c r="P2438" s="78">
        <f>IF(O2438="","",IFERROR(INDEX(基础资料!$AE$5:$AE$34,MATCH(O2438,基础资料!$AC$5:$AC$34,0)),"未知"))</f>
      </c>
      <c r="Q2438" s="78">
        <f>IF(P2438="应收",COUNTIF(P$7:P2438,"应收"),"")</f>
      </c>
      <c r="R2438" s="78">
        <f>IF(P2438="应付",COUNTIF(P$7:P2438,"应付"),"")</f>
      </c>
      <c r="S2438" s="78">
        <f>N(F2438)-N(G2438)</f>
        <v>0</v>
      </c>
    </row>
    <row r="2439">
      <c r="A2439" s="109">
        <f>IF(AND(F2439="",G2439=""),"",ROW()-6)</f>
      </c>
      <c r="B2439" s="140" t="n"/>
      <c r="C2439" s="141" t="n"/>
      <c r="D2439" s="141" t="n"/>
      <c r="E2439" s="142" t="n"/>
      <c r="F2439" s="143" t="n"/>
      <c r="G2439" s="144" t="n"/>
      <c r="H2439" s="145">
        <f>IF(OR(C2439="",AND(F2439="",G2439="")),"",SUMIF(基础资料!$W$5:$W$24,C2439,基础资料!$X$5:$X$24)+SUMIF(C$7:C2439,C2439,F$7:F2439)-SUMIF(C$7:C2439,C2439,G$7:G2439))</f>
      </c>
      <c r="I2439" s="145">
        <f>IF(AND(F2439="",G2439=""),"",SUM(基础资料!$X$5:$X$24)+SUM(F$7:F2439)-SUM(G$7:G2439))</f>
      </c>
      <c r="J2439" s="141" t="n"/>
      <c r="K2439" s="141" t="n"/>
      <c r="L2439" s="141" t="n"/>
      <c r="M2439" s="142" t="n"/>
      <c r="N2439" s="146">
        <f>IF(AND(AND(F2439="",G2439=""),B2439="",C2439="",D2439="",J2439="",K2439="",L2439=""),"",IF(AND(F2439="",G2439=""),"✗ 没填金额",IF(AND(N(F2439)&lt;&gt;0,N(G2439)&lt;&gt;0),"✗ 收入、支出只能填一边",IF(NOT(ISNUMBER(B2439)),"✗ 日期不是真日期（要像 2026/9/25 这样填）",IF(OR(B2439&lt;年初日,B2439&gt;年末日),"✗ 日期不在本会计年度",IF(C2439="","✗ 没选账户",IF(COUNTIF(基础资料!$W$5:$W$24,C2439)=0,"✗ 账户不在基础资料里",IF(O2439="","✗ 没选收支项目",IF(P2439="未知","✗ 收支项目不在基础资料里",IF(AND(P2439="应收",J2439=""),"✗ 这笔要选客户",IF(AND(P2439="应收",COUNTIF(总览汇总!$B$5:$B$304,J2439)=0),"✗ 客户不在总览汇总名单里",IF(AND(P2439="应付",K2439=""),"✗ 这笔要选供应商",IF(AND(P2439="应付",COUNTIF(基础资料!$Q$5:$Q$54,K2439)=0),"✗ 供应商不在基础资料里",IF(AND(P2439="费用",L2439=""),"✗ 费用支出要选费用项目",IF(AND(L2439&lt;&gt;"",COUNTIF(基础资料!$AI$5:$AI$54,L2439)=0),"✗ 费用项目不在基础资料里",IF(AND(IFERROR(INDEX(基础资料!$AD$5:$AD$34,MATCH(O2439,基础资料!$AC$5:$AC$34,0)),"")="收",N(G2439)&lt;&gt;0),"✗ 这类是收款，金额填到收入列",IF(AND(IFERROR(INDEX(基础资料!$AD$5:$AD$34,MATCH(O2439,基础资料!$AC$5:$AC$34,0)),"")="支",N(F2439)&lt;&gt;0),"✗ 这类是付款，金额填到支出列",IF(N(H2439)&lt;0,"⚠ 账户余额成负数了，核对一下","√"))))))))))))))))))</f>
      </c>
      <c r="O2439" s="78">
        <f>IF(D2439&lt;&gt;"",D2439,IF(AND(F2439="",G2439=""),"",IF(J2439&lt;&gt;"",IF(N(F2439)&gt;0,"客户回款","客户退款"),IF(K2439&lt;&gt;"",IF(N(G2439)&gt;0,"供应商付款","供应商退款"),IF(L2439&lt;&gt;"","费用支出","")))))</f>
      </c>
      <c r="P2439" s="78">
        <f>IF(O2439="","",IFERROR(INDEX(基础资料!$AE$5:$AE$34,MATCH(O2439,基础资料!$AC$5:$AC$34,0)),"未知"))</f>
      </c>
      <c r="Q2439" s="78">
        <f>IF(P2439="应收",COUNTIF(P$7:P2439,"应收"),"")</f>
      </c>
      <c r="R2439" s="78">
        <f>IF(P2439="应付",COUNTIF(P$7:P2439,"应付"),"")</f>
      </c>
      <c r="S2439" s="78">
        <f>N(F2439)-N(G2439)</f>
        <v>0</v>
      </c>
    </row>
    <row r="2440">
      <c r="A2440" s="109">
        <f>IF(AND(F2440="",G2440=""),"",ROW()-6)</f>
      </c>
      <c r="B2440" s="140" t="n"/>
      <c r="C2440" s="141" t="n"/>
      <c r="D2440" s="141" t="n"/>
      <c r="E2440" s="142" t="n"/>
      <c r="F2440" s="143" t="n"/>
      <c r="G2440" s="144" t="n"/>
      <c r="H2440" s="145">
        <f>IF(OR(C2440="",AND(F2440="",G2440="")),"",SUMIF(基础资料!$W$5:$W$24,C2440,基础资料!$X$5:$X$24)+SUMIF(C$7:C2440,C2440,F$7:F2440)-SUMIF(C$7:C2440,C2440,G$7:G2440))</f>
      </c>
      <c r="I2440" s="145">
        <f>IF(AND(F2440="",G2440=""),"",SUM(基础资料!$X$5:$X$24)+SUM(F$7:F2440)-SUM(G$7:G2440))</f>
      </c>
      <c r="J2440" s="141" t="n"/>
      <c r="K2440" s="141" t="n"/>
      <c r="L2440" s="141" t="n"/>
      <c r="M2440" s="142" t="n"/>
      <c r="N2440" s="146">
        <f>IF(AND(AND(F2440="",G2440=""),B2440="",C2440="",D2440="",J2440="",K2440="",L2440=""),"",IF(AND(F2440="",G2440=""),"✗ 没填金额",IF(AND(N(F2440)&lt;&gt;0,N(G2440)&lt;&gt;0),"✗ 收入、支出只能填一边",IF(NOT(ISNUMBER(B2440)),"✗ 日期不是真日期（要像 2026/9/25 这样填）",IF(OR(B2440&lt;年初日,B2440&gt;年末日),"✗ 日期不在本会计年度",IF(C2440="","✗ 没选账户",IF(COUNTIF(基础资料!$W$5:$W$24,C2440)=0,"✗ 账户不在基础资料里",IF(O2440="","✗ 没选收支项目",IF(P2440="未知","✗ 收支项目不在基础资料里",IF(AND(P2440="应收",J2440=""),"✗ 这笔要选客户",IF(AND(P2440="应收",COUNTIF(总览汇总!$B$5:$B$304,J2440)=0),"✗ 客户不在总览汇总名单里",IF(AND(P2440="应付",K2440=""),"✗ 这笔要选供应商",IF(AND(P2440="应付",COUNTIF(基础资料!$Q$5:$Q$54,K2440)=0),"✗ 供应商不在基础资料里",IF(AND(P2440="费用",L2440=""),"✗ 费用支出要选费用项目",IF(AND(L2440&lt;&gt;"",COUNTIF(基础资料!$AI$5:$AI$54,L2440)=0),"✗ 费用项目不在基础资料里",IF(AND(IFERROR(INDEX(基础资料!$AD$5:$AD$34,MATCH(O2440,基础资料!$AC$5:$AC$34,0)),"")="收",N(G2440)&lt;&gt;0),"✗ 这类是收款，金额填到收入列",IF(AND(IFERROR(INDEX(基础资料!$AD$5:$AD$34,MATCH(O2440,基础资料!$AC$5:$AC$34,0)),"")="支",N(F2440)&lt;&gt;0),"✗ 这类是付款，金额填到支出列",IF(N(H2440)&lt;0,"⚠ 账户余额成负数了，核对一下","√"))))))))))))))))))</f>
      </c>
      <c r="O2440" s="78">
        <f>IF(D2440&lt;&gt;"",D2440,IF(AND(F2440="",G2440=""),"",IF(J2440&lt;&gt;"",IF(N(F2440)&gt;0,"客户回款","客户退款"),IF(K2440&lt;&gt;"",IF(N(G2440)&gt;0,"供应商付款","供应商退款"),IF(L2440&lt;&gt;"","费用支出","")))))</f>
      </c>
      <c r="P2440" s="78">
        <f>IF(O2440="","",IFERROR(INDEX(基础资料!$AE$5:$AE$34,MATCH(O2440,基础资料!$AC$5:$AC$34,0)),"未知"))</f>
      </c>
      <c r="Q2440" s="78">
        <f>IF(P2440="应收",COUNTIF(P$7:P2440,"应收"),"")</f>
      </c>
      <c r="R2440" s="78">
        <f>IF(P2440="应付",COUNTIF(P$7:P2440,"应付"),"")</f>
      </c>
      <c r="S2440" s="78">
        <f>N(F2440)-N(G2440)</f>
        <v>0</v>
      </c>
    </row>
    <row r="2441">
      <c r="A2441" s="109">
        <f>IF(AND(F2441="",G2441=""),"",ROW()-6)</f>
      </c>
      <c r="B2441" s="140" t="n"/>
      <c r="C2441" s="141" t="n"/>
      <c r="D2441" s="141" t="n"/>
      <c r="E2441" s="142" t="n"/>
      <c r="F2441" s="143" t="n"/>
      <c r="G2441" s="144" t="n"/>
      <c r="H2441" s="145">
        <f>IF(OR(C2441="",AND(F2441="",G2441="")),"",SUMIF(基础资料!$W$5:$W$24,C2441,基础资料!$X$5:$X$24)+SUMIF(C$7:C2441,C2441,F$7:F2441)-SUMIF(C$7:C2441,C2441,G$7:G2441))</f>
      </c>
      <c r="I2441" s="145">
        <f>IF(AND(F2441="",G2441=""),"",SUM(基础资料!$X$5:$X$24)+SUM(F$7:F2441)-SUM(G$7:G2441))</f>
      </c>
      <c r="J2441" s="141" t="n"/>
      <c r="K2441" s="141" t="n"/>
      <c r="L2441" s="141" t="n"/>
      <c r="M2441" s="142" t="n"/>
      <c r="N2441" s="146">
        <f>IF(AND(AND(F2441="",G2441=""),B2441="",C2441="",D2441="",J2441="",K2441="",L2441=""),"",IF(AND(F2441="",G2441=""),"✗ 没填金额",IF(AND(N(F2441)&lt;&gt;0,N(G2441)&lt;&gt;0),"✗ 收入、支出只能填一边",IF(NOT(ISNUMBER(B2441)),"✗ 日期不是真日期（要像 2026/9/25 这样填）",IF(OR(B2441&lt;年初日,B2441&gt;年末日),"✗ 日期不在本会计年度",IF(C2441="","✗ 没选账户",IF(COUNTIF(基础资料!$W$5:$W$24,C2441)=0,"✗ 账户不在基础资料里",IF(O2441="","✗ 没选收支项目",IF(P2441="未知","✗ 收支项目不在基础资料里",IF(AND(P2441="应收",J2441=""),"✗ 这笔要选客户",IF(AND(P2441="应收",COUNTIF(总览汇总!$B$5:$B$304,J2441)=0),"✗ 客户不在总览汇总名单里",IF(AND(P2441="应付",K2441=""),"✗ 这笔要选供应商",IF(AND(P2441="应付",COUNTIF(基础资料!$Q$5:$Q$54,K2441)=0),"✗ 供应商不在基础资料里",IF(AND(P2441="费用",L2441=""),"✗ 费用支出要选费用项目",IF(AND(L2441&lt;&gt;"",COUNTIF(基础资料!$AI$5:$AI$54,L2441)=0),"✗ 费用项目不在基础资料里",IF(AND(IFERROR(INDEX(基础资料!$AD$5:$AD$34,MATCH(O2441,基础资料!$AC$5:$AC$34,0)),"")="收",N(G2441)&lt;&gt;0),"✗ 这类是收款，金额填到收入列",IF(AND(IFERROR(INDEX(基础资料!$AD$5:$AD$34,MATCH(O2441,基础资料!$AC$5:$AC$34,0)),"")="支",N(F2441)&lt;&gt;0),"✗ 这类是付款，金额填到支出列",IF(N(H2441)&lt;0,"⚠ 账户余额成负数了，核对一下","√"))))))))))))))))))</f>
      </c>
      <c r="O2441" s="78">
        <f>IF(D2441&lt;&gt;"",D2441,IF(AND(F2441="",G2441=""),"",IF(J2441&lt;&gt;"",IF(N(F2441)&gt;0,"客户回款","客户退款"),IF(K2441&lt;&gt;"",IF(N(G2441)&gt;0,"供应商付款","供应商退款"),IF(L2441&lt;&gt;"","费用支出","")))))</f>
      </c>
      <c r="P2441" s="78">
        <f>IF(O2441="","",IFERROR(INDEX(基础资料!$AE$5:$AE$34,MATCH(O2441,基础资料!$AC$5:$AC$34,0)),"未知"))</f>
      </c>
      <c r="Q2441" s="78">
        <f>IF(P2441="应收",COUNTIF(P$7:P2441,"应收"),"")</f>
      </c>
      <c r="R2441" s="78">
        <f>IF(P2441="应付",COUNTIF(P$7:P2441,"应付"),"")</f>
      </c>
      <c r="S2441" s="78">
        <f>N(F2441)-N(G2441)</f>
        <v>0</v>
      </c>
    </row>
    <row r="2442">
      <c r="A2442" s="109">
        <f>IF(AND(F2442="",G2442=""),"",ROW()-6)</f>
      </c>
      <c r="B2442" s="140" t="n"/>
      <c r="C2442" s="141" t="n"/>
      <c r="D2442" s="141" t="n"/>
      <c r="E2442" s="142" t="n"/>
      <c r="F2442" s="143" t="n"/>
      <c r="G2442" s="144" t="n"/>
      <c r="H2442" s="145">
        <f>IF(OR(C2442="",AND(F2442="",G2442="")),"",SUMIF(基础资料!$W$5:$W$24,C2442,基础资料!$X$5:$X$24)+SUMIF(C$7:C2442,C2442,F$7:F2442)-SUMIF(C$7:C2442,C2442,G$7:G2442))</f>
      </c>
      <c r="I2442" s="145">
        <f>IF(AND(F2442="",G2442=""),"",SUM(基础资料!$X$5:$X$24)+SUM(F$7:F2442)-SUM(G$7:G2442))</f>
      </c>
      <c r="J2442" s="141" t="n"/>
      <c r="K2442" s="141" t="n"/>
      <c r="L2442" s="141" t="n"/>
      <c r="M2442" s="142" t="n"/>
      <c r="N2442" s="146">
        <f>IF(AND(AND(F2442="",G2442=""),B2442="",C2442="",D2442="",J2442="",K2442="",L2442=""),"",IF(AND(F2442="",G2442=""),"✗ 没填金额",IF(AND(N(F2442)&lt;&gt;0,N(G2442)&lt;&gt;0),"✗ 收入、支出只能填一边",IF(NOT(ISNUMBER(B2442)),"✗ 日期不是真日期（要像 2026/9/25 这样填）",IF(OR(B2442&lt;年初日,B2442&gt;年末日),"✗ 日期不在本会计年度",IF(C2442="","✗ 没选账户",IF(COUNTIF(基础资料!$W$5:$W$24,C2442)=0,"✗ 账户不在基础资料里",IF(O2442="","✗ 没选收支项目",IF(P2442="未知","✗ 收支项目不在基础资料里",IF(AND(P2442="应收",J2442=""),"✗ 这笔要选客户",IF(AND(P2442="应收",COUNTIF(总览汇总!$B$5:$B$304,J2442)=0),"✗ 客户不在总览汇总名单里",IF(AND(P2442="应付",K2442=""),"✗ 这笔要选供应商",IF(AND(P2442="应付",COUNTIF(基础资料!$Q$5:$Q$54,K2442)=0),"✗ 供应商不在基础资料里",IF(AND(P2442="费用",L2442=""),"✗ 费用支出要选费用项目",IF(AND(L2442&lt;&gt;"",COUNTIF(基础资料!$AI$5:$AI$54,L2442)=0),"✗ 费用项目不在基础资料里",IF(AND(IFERROR(INDEX(基础资料!$AD$5:$AD$34,MATCH(O2442,基础资料!$AC$5:$AC$34,0)),"")="收",N(G2442)&lt;&gt;0),"✗ 这类是收款，金额填到收入列",IF(AND(IFERROR(INDEX(基础资料!$AD$5:$AD$34,MATCH(O2442,基础资料!$AC$5:$AC$34,0)),"")="支",N(F2442)&lt;&gt;0),"✗ 这类是付款，金额填到支出列",IF(N(H2442)&lt;0,"⚠ 账户余额成负数了，核对一下","√"))))))))))))))))))</f>
      </c>
      <c r="O2442" s="78">
        <f>IF(D2442&lt;&gt;"",D2442,IF(AND(F2442="",G2442=""),"",IF(J2442&lt;&gt;"",IF(N(F2442)&gt;0,"客户回款","客户退款"),IF(K2442&lt;&gt;"",IF(N(G2442)&gt;0,"供应商付款","供应商退款"),IF(L2442&lt;&gt;"","费用支出","")))))</f>
      </c>
      <c r="P2442" s="78">
        <f>IF(O2442="","",IFERROR(INDEX(基础资料!$AE$5:$AE$34,MATCH(O2442,基础资料!$AC$5:$AC$34,0)),"未知"))</f>
      </c>
      <c r="Q2442" s="78">
        <f>IF(P2442="应收",COUNTIF(P$7:P2442,"应收"),"")</f>
      </c>
      <c r="R2442" s="78">
        <f>IF(P2442="应付",COUNTIF(P$7:P2442,"应付"),"")</f>
      </c>
      <c r="S2442" s="78">
        <f>N(F2442)-N(G2442)</f>
        <v>0</v>
      </c>
    </row>
    <row r="2443">
      <c r="A2443" s="109">
        <f>IF(AND(F2443="",G2443=""),"",ROW()-6)</f>
      </c>
      <c r="B2443" s="140" t="n"/>
      <c r="C2443" s="141" t="n"/>
      <c r="D2443" s="141" t="n"/>
      <c r="E2443" s="142" t="n"/>
      <c r="F2443" s="143" t="n"/>
      <c r="G2443" s="144" t="n"/>
      <c r="H2443" s="145">
        <f>IF(OR(C2443="",AND(F2443="",G2443="")),"",SUMIF(基础资料!$W$5:$W$24,C2443,基础资料!$X$5:$X$24)+SUMIF(C$7:C2443,C2443,F$7:F2443)-SUMIF(C$7:C2443,C2443,G$7:G2443))</f>
      </c>
      <c r="I2443" s="145">
        <f>IF(AND(F2443="",G2443=""),"",SUM(基础资料!$X$5:$X$24)+SUM(F$7:F2443)-SUM(G$7:G2443))</f>
      </c>
      <c r="J2443" s="141" t="n"/>
      <c r="K2443" s="141" t="n"/>
      <c r="L2443" s="141" t="n"/>
      <c r="M2443" s="142" t="n"/>
      <c r="N2443" s="146">
        <f>IF(AND(AND(F2443="",G2443=""),B2443="",C2443="",D2443="",J2443="",K2443="",L2443=""),"",IF(AND(F2443="",G2443=""),"✗ 没填金额",IF(AND(N(F2443)&lt;&gt;0,N(G2443)&lt;&gt;0),"✗ 收入、支出只能填一边",IF(NOT(ISNUMBER(B2443)),"✗ 日期不是真日期（要像 2026/9/25 这样填）",IF(OR(B2443&lt;年初日,B2443&gt;年末日),"✗ 日期不在本会计年度",IF(C2443="","✗ 没选账户",IF(COUNTIF(基础资料!$W$5:$W$24,C2443)=0,"✗ 账户不在基础资料里",IF(O2443="","✗ 没选收支项目",IF(P2443="未知","✗ 收支项目不在基础资料里",IF(AND(P2443="应收",J2443=""),"✗ 这笔要选客户",IF(AND(P2443="应收",COUNTIF(总览汇总!$B$5:$B$304,J2443)=0),"✗ 客户不在总览汇总名单里",IF(AND(P2443="应付",K2443=""),"✗ 这笔要选供应商",IF(AND(P2443="应付",COUNTIF(基础资料!$Q$5:$Q$54,K2443)=0),"✗ 供应商不在基础资料里",IF(AND(P2443="费用",L2443=""),"✗ 费用支出要选费用项目",IF(AND(L2443&lt;&gt;"",COUNTIF(基础资料!$AI$5:$AI$54,L2443)=0),"✗ 费用项目不在基础资料里",IF(AND(IFERROR(INDEX(基础资料!$AD$5:$AD$34,MATCH(O2443,基础资料!$AC$5:$AC$34,0)),"")="收",N(G2443)&lt;&gt;0),"✗ 这类是收款，金额填到收入列",IF(AND(IFERROR(INDEX(基础资料!$AD$5:$AD$34,MATCH(O2443,基础资料!$AC$5:$AC$34,0)),"")="支",N(F2443)&lt;&gt;0),"✗ 这类是付款，金额填到支出列",IF(N(H2443)&lt;0,"⚠ 账户余额成负数了，核对一下","√"))))))))))))))))))</f>
      </c>
      <c r="O2443" s="78">
        <f>IF(D2443&lt;&gt;"",D2443,IF(AND(F2443="",G2443=""),"",IF(J2443&lt;&gt;"",IF(N(F2443)&gt;0,"客户回款","客户退款"),IF(K2443&lt;&gt;"",IF(N(G2443)&gt;0,"供应商付款","供应商退款"),IF(L2443&lt;&gt;"","费用支出","")))))</f>
      </c>
      <c r="P2443" s="78">
        <f>IF(O2443="","",IFERROR(INDEX(基础资料!$AE$5:$AE$34,MATCH(O2443,基础资料!$AC$5:$AC$34,0)),"未知"))</f>
      </c>
      <c r="Q2443" s="78">
        <f>IF(P2443="应收",COUNTIF(P$7:P2443,"应收"),"")</f>
      </c>
      <c r="R2443" s="78">
        <f>IF(P2443="应付",COUNTIF(P$7:P2443,"应付"),"")</f>
      </c>
      <c r="S2443" s="78">
        <f>N(F2443)-N(G2443)</f>
        <v>0</v>
      </c>
    </row>
    <row r="2444">
      <c r="A2444" s="109">
        <f>IF(AND(F2444="",G2444=""),"",ROW()-6)</f>
      </c>
      <c r="B2444" s="140" t="n"/>
      <c r="C2444" s="141" t="n"/>
      <c r="D2444" s="141" t="n"/>
      <c r="E2444" s="142" t="n"/>
      <c r="F2444" s="143" t="n"/>
      <c r="G2444" s="144" t="n"/>
      <c r="H2444" s="145">
        <f>IF(OR(C2444="",AND(F2444="",G2444="")),"",SUMIF(基础资料!$W$5:$W$24,C2444,基础资料!$X$5:$X$24)+SUMIF(C$7:C2444,C2444,F$7:F2444)-SUMIF(C$7:C2444,C2444,G$7:G2444))</f>
      </c>
      <c r="I2444" s="145">
        <f>IF(AND(F2444="",G2444=""),"",SUM(基础资料!$X$5:$X$24)+SUM(F$7:F2444)-SUM(G$7:G2444))</f>
      </c>
      <c r="J2444" s="141" t="n"/>
      <c r="K2444" s="141" t="n"/>
      <c r="L2444" s="141" t="n"/>
      <c r="M2444" s="142" t="n"/>
      <c r="N2444" s="146">
        <f>IF(AND(AND(F2444="",G2444=""),B2444="",C2444="",D2444="",J2444="",K2444="",L2444=""),"",IF(AND(F2444="",G2444=""),"✗ 没填金额",IF(AND(N(F2444)&lt;&gt;0,N(G2444)&lt;&gt;0),"✗ 收入、支出只能填一边",IF(NOT(ISNUMBER(B2444)),"✗ 日期不是真日期（要像 2026/9/25 这样填）",IF(OR(B2444&lt;年初日,B2444&gt;年末日),"✗ 日期不在本会计年度",IF(C2444="","✗ 没选账户",IF(COUNTIF(基础资料!$W$5:$W$24,C2444)=0,"✗ 账户不在基础资料里",IF(O2444="","✗ 没选收支项目",IF(P2444="未知","✗ 收支项目不在基础资料里",IF(AND(P2444="应收",J2444=""),"✗ 这笔要选客户",IF(AND(P2444="应收",COUNTIF(总览汇总!$B$5:$B$304,J2444)=0),"✗ 客户不在总览汇总名单里",IF(AND(P2444="应付",K2444=""),"✗ 这笔要选供应商",IF(AND(P2444="应付",COUNTIF(基础资料!$Q$5:$Q$54,K2444)=0),"✗ 供应商不在基础资料里",IF(AND(P2444="费用",L2444=""),"✗ 费用支出要选费用项目",IF(AND(L2444&lt;&gt;"",COUNTIF(基础资料!$AI$5:$AI$54,L2444)=0),"✗ 费用项目不在基础资料里",IF(AND(IFERROR(INDEX(基础资料!$AD$5:$AD$34,MATCH(O2444,基础资料!$AC$5:$AC$34,0)),"")="收",N(G2444)&lt;&gt;0),"✗ 这类是收款，金额填到收入列",IF(AND(IFERROR(INDEX(基础资料!$AD$5:$AD$34,MATCH(O2444,基础资料!$AC$5:$AC$34,0)),"")="支",N(F2444)&lt;&gt;0),"✗ 这类是付款，金额填到支出列",IF(N(H2444)&lt;0,"⚠ 账户余额成负数了，核对一下","√"))))))))))))))))))</f>
      </c>
      <c r="O2444" s="78">
        <f>IF(D2444&lt;&gt;"",D2444,IF(AND(F2444="",G2444=""),"",IF(J2444&lt;&gt;"",IF(N(F2444)&gt;0,"客户回款","客户退款"),IF(K2444&lt;&gt;"",IF(N(G2444)&gt;0,"供应商付款","供应商退款"),IF(L2444&lt;&gt;"","费用支出","")))))</f>
      </c>
      <c r="P2444" s="78">
        <f>IF(O2444="","",IFERROR(INDEX(基础资料!$AE$5:$AE$34,MATCH(O2444,基础资料!$AC$5:$AC$34,0)),"未知"))</f>
      </c>
      <c r="Q2444" s="78">
        <f>IF(P2444="应收",COUNTIF(P$7:P2444,"应收"),"")</f>
      </c>
      <c r="R2444" s="78">
        <f>IF(P2444="应付",COUNTIF(P$7:P2444,"应付"),"")</f>
      </c>
      <c r="S2444" s="78">
        <f>N(F2444)-N(G2444)</f>
        <v>0</v>
      </c>
    </row>
    <row r="2445">
      <c r="A2445" s="109">
        <f>IF(AND(F2445="",G2445=""),"",ROW()-6)</f>
      </c>
      <c r="B2445" s="140" t="n"/>
      <c r="C2445" s="141" t="n"/>
      <c r="D2445" s="141" t="n"/>
      <c r="E2445" s="142" t="n"/>
      <c r="F2445" s="143" t="n"/>
      <c r="G2445" s="144" t="n"/>
      <c r="H2445" s="145">
        <f>IF(OR(C2445="",AND(F2445="",G2445="")),"",SUMIF(基础资料!$W$5:$W$24,C2445,基础资料!$X$5:$X$24)+SUMIF(C$7:C2445,C2445,F$7:F2445)-SUMIF(C$7:C2445,C2445,G$7:G2445))</f>
      </c>
      <c r="I2445" s="145">
        <f>IF(AND(F2445="",G2445=""),"",SUM(基础资料!$X$5:$X$24)+SUM(F$7:F2445)-SUM(G$7:G2445))</f>
      </c>
      <c r="J2445" s="141" t="n"/>
      <c r="K2445" s="141" t="n"/>
      <c r="L2445" s="141" t="n"/>
      <c r="M2445" s="142" t="n"/>
      <c r="N2445" s="146">
        <f>IF(AND(AND(F2445="",G2445=""),B2445="",C2445="",D2445="",J2445="",K2445="",L2445=""),"",IF(AND(F2445="",G2445=""),"✗ 没填金额",IF(AND(N(F2445)&lt;&gt;0,N(G2445)&lt;&gt;0),"✗ 收入、支出只能填一边",IF(NOT(ISNUMBER(B2445)),"✗ 日期不是真日期（要像 2026/9/25 这样填）",IF(OR(B2445&lt;年初日,B2445&gt;年末日),"✗ 日期不在本会计年度",IF(C2445="","✗ 没选账户",IF(COUNTIF(基础资料!$W$5:$W$24,C2445)=0,"✗ 账户不在基础资料里",IF(O2445="","✗ 没选收支项目",IF(P2445="未知","✗ 收支项目不在基础资料里",IF(AND(P2445="应收",J2445=""),"✗ 这笔要选客户",IF(AND(P2445="应收",COUNTIF(总览汇总!$B$5:$B$304,J2445)=0),"✗ 客户不在总览汇总名单里",IF(AND(P2445="应付",K2445=""),"✗ 这笔要选供应商",IF(AND(P2445="应付",COUNTIF(基础资料!$Q$5:$Q$54,K2445)=0),"✗ 供应商不在基础资料里",IF(AND(P2445="费用",L2445=""),"✗ 费用支出要选费用项目",IF(AND(L2445&lt;&gt;"",COUNTIF(基础资料!$AI$5:$AI$54,L2445)=0),"✗ 费用项目不在基础资料里",IF(AND(IFERROR(INDEX(基础资料!$AD$5:$AD$34,MATCH(O2445,基础资料!$AC$5:$AC$34,0)),"")="收",N(G2445)&lt;&gt;0),"✗ 这类是收款，金额填到收入列",IF(AND(IFERROR(INDEX(基础资料!$AD$5:$AD$34,MATCH(O2445,基础资料!$AC$5:$AC$34,0)),"")="支",N(F2445)&lt;&gt;0),"✗ 这类是付款，金额填到支出列",IF(N(H2445)&lt;0,"⚠ 账户余额成负数了，核对一下","√"))))))))))))))))))</f>
      </c>
      <c r="O2445" s="78">
        <f>IF(D2445&lt;&gt;"",D2445,IF(AND(F2445="",G2445=""),"",IF(J2445&lt;&gt;"",IF(N(F2445)&gt;0,"客户回款","客户退款"),IF(K2445&lt;&gt;"",IF(N(G2445)&gt;0,"供应商付款","供应商退款"),IF(L2445&lt;&gt;"","费用支出","")))))</f>
      </c>
      <c r="P2445" s="78">
        <f>IF(O2445="","",IFERROR(INDEX(基础资料!$AE$5:$AE$34,MATCH(O2445,基础资料!$AC$5:$AC$34,0)),"未知"))</f>
      </c>
      <c r="Q2445" s="78">
        <f>IF(P2445="应收",COUNTIF(P$7:P2445,"应收"),"")</f>
      </c>
      <c r="R2445" s="78">
        <f>IF(P2445="应付",COUNTIF(P$7:P2445,"应付"),"")</f>
      </c>
      <c r="S2445" s="78">
        <f>N(F2445)-N(G2445)</f>
        <v>0</v>
      </c>
    </row>
    <row r="2446">
      <c r="A2446" s="109">
        <f>IF(AND(F2446="",G2446=""),"",ROW()-6)</f>
      </c>
      <c r="B2446" s="140" t="n"/>
      <c r="C2446" s="141" t="n"/>
      <c r="D2446" s="141" t="n"/>
      <c r="E2446" s="142" t="n"/>
      <c r="F2446" s="143" t="n"/>
      <c r="G2446" s="144" t="n"/>
      <c r="H2446" s="145">
        <f>IF(OR(C2446="",AND(F2446="",G2446="")),"",SUMIF(基础资料!$W$5:$W$24,C2446,基础资料!$X$5:$X$24)+SUMIF(C$7:C2446,C2446,F$7:F2446)-SUMIF(C$7:C2446,C2446,G$7:G2446))</f>
      </c>
      <c r="I2446" s="145">
        <f>IF(AND(F2446="",G2446=""),"",SUM(基础资料!$X$5:$X$24)+SUM(F$7:F2446)-SUM(G$7:G2446))</f>
      </c>
      <c r="J2446" s="141" t="n"/>
      <c r="K2446" s="141" t="n"/>
      <c r="L2446" s="141" t="n"/>
      <c r="M2446" s="142" t="n"/>
      <c r="N2446" s="146">
        <f>IF(AND(AND(F2446="",G2446=""),B2446="",C2446="",D2446="",J2446="",K2446="",L2446=""),"",IF(AND(F2446="",G2446=""),"✗ 没填金额",IF(AND(N(F2446)&lt;&gt;0,N(G2446)&lt;&gt;0),"✗ 收入、支出只能填一边",IF(NOT(ISNUMBER(B2446)),"✗ 日期不是真日期（要像 2026/9/25 这样填）",IF(OR(B2446&lt;年初日,B2446&gt;年末日),"✗ 日期不在本会计年度",IF(C2446="","✗ 没选账户",IF(COUNTIF(基础资料!$W$5:$W$24,C2446)=0,"✗ 账户不在基础资料里",IF(O2446="","✗ 没选收支项目",IF(P2446="未知","✗ 收支项目不在基础资料里",IF(AND(P2446="应收",J2446=""),"✗ 这笔要选客户",IF(AND(P2446="应收",COUNTIF(总览汇总!$B$5:$B$304,J2446)=0),"✗ 客户不在总览汇总名单里",IF(AND(P2446="应付",K2446=""),"✗ 这笔要选供应商",IF(AND(P2446="应付",COUNTIF(基础资料!$Q$5:$Q$54,K2446)=0),"✗ 供应商不在基础资料里",IF(AND(P2446="费用",L2446=""),"✗ 费用支出要选费用项目",IF(AND(L2446&lt;&gt;"",COUNTIF(基础资料!$AI$5:$AI$54,L2446)=0),"✗ 费用项目不在基础资料里",IF(AND(IFERROR(INDEX(基础资料!$AD$5:$AD$34,MATCH(O2446,基础资料!$AC$5:$AC$34,0)),"")="收",N(G2446)&lt;&gt;0),"✗ 这类是收款，金额填到收入列",IF(AND(IFERROR(INDEX(基础资料!$AD$5:$AD$34,MATCH(O2446,基础资料!$AC$5:$AC$34,0)),"")="支",N(F2446)&lt;&gt;0),"✗ 这类是付款，金额填到支出列",IF(N(H2446)&lt;0,"⚠ 账户余额成负数了，核对一下","√"))))))))))))))))))</f>
      </c>
      <c r="O2446" s="78">
        <f>IF(D2446&lt;&gt;"",D2446,IF(AND(F2446="",G2446=""),"",IF(J2446&lt;&gt;"",IF(N(F2446)&gt;0,"客户回款","客户退款"),IF(K2446&lt;&gt;"",IF(N(G2446)&gt;0,"供应商付款","供应商退款"),IF(L2446&lt;&gt;"","费用支出","")))))</f>
      </c>
      <c r="P2446" s="78">
        <f>IF(O2446="","",IFERROR(INDEX(基础资料!$AE$5:$AE$34,MATCH(O2446,基础资料!$AC$5:$AC$34,0)),"未知"))</f>
      </c>
      <c r="Q2446" s="78">
        <f>IF(P2446="应收",COUNTIF(P$7:P2446,"应收"),"")</f>
      </c>
      <c r="R2446" s="78">
        <f>IF(P2446="应付",COUNTIF(P$7:P2446,"应付"),"")</f>
      </c>
      <c r="S2446" s="78">
        <f>N(F2446)-N(G2446)</f>
        <v>0</v>
      </c>
    </row>
    <row r="2447">
      <c r="A2447" s="109">
        <f>IF(AND(F2447="",G2447=""),"",ROW()-6)</f>
      </c>
      <c r="B2447" s="140" t="n"/>
      <c r="C2447" s="141" t="n"/>
      <c r="D2447" s="141" t="n"/>
      <c r="E2447" s="142" t="n"/>
      <c r="F2447" s="143" t="n"/>
      <c r="G2447" s="144" t="n"/>
      <c r="H2447" s="145">
        <f>IF(OR(C2447="",AND(F2447="",G2447="")),"",SUMIF(基础资料!$W$5:$W$24,C2447,基础资料!$X$5:$X$24)+SUMIF(C$7:C2447,C2447,F$7:F2447)-SUMIF(C$7:C2447,C2447,G$7:G2447))</f>
      </c>
      <c r="I2447" s="145">
        <f>IF(AND(F2447="",G2447=""),"",SUM(基础资料!$X$5:$X$24)+SUM(F$7:F2447)-SUM(G$7:G2447))</f>
      </c>
      <c r="J2447" s="141" t="n"/>
      <c r="K2447" s="141" t="n"/>
      <c r="L2447" s="141" t="n"/>
      <c r="M2447" s="142" t="n"/>
      <c r="N2447" s="146">
        <f>IF(AND(AND(F2447="",G2447=""),B2447="",C2447="",D2447="",J2447="",K2447="",L2447=""),"",IF(AND(F2447="",G2447=""),"✗ 没填金额",IF(AND(N(F2447)&lt;&gt;0,N(G2447)&lt;&gt;0),"✗ 收入、支出只能填一边",IF(NOT(ISNUMBER(B2447)),"✗ 日期不是真日期（要像 2026/9/25 这样填）",IF(OR(B2447&lt;年初日,B2447&gt;年末日),"✗ 日期不在本会计年度",IF(C2447="","✗ 没选账户",IF(COUNTIF(基础资料!$W$5:$W$24,C2447)=0,"✗ 账户不在基础资料里",IF(O2447="","✗ 没选收支项目",IF(P2447="未知","✗ 收支项目不在基础资料里",IF(AND(P2447="应收",J2447=""),"✗ 这笔要选客户",IF(AND(P2447="应收",COUNTIF(总览汇总!$B$5:$B$304,J2447)=0),"✗ 客户不在总览汇总名单里",IF(AND(P2447="应付",K2447=""),"✗ 这笔要选供应商",IF(AND(P2447="应付",COUNTIF(基础资料!$Q$5:$Q$54,K2447)=0),"✗ 供应商不在基础资料里",IF(AND(P2447="费用",L2447=""),"✗ 费用支出要选费用项目",IF(AND(L2447&lt;&gt;"",COUNTIF(基础资料!$AI$5:$AI$54,L2447)=0),"✗ 费用项目不在基础资料里",IF(AND(IFERROR(INDEX(基础资料!$AD$5:$AD$34,MATCH(O2447,基础资料!$AC$5:$AC$34,0)),"")="收",N(G2447)&lt;&gt;0),"✗ 这类是收款，金额填到收入列",IF(AND(IFERROR(INDEX(基础资料!$AD$5:$AD$34,MATCH(O2447,基础资料!$AC$5:$AC$34,0)),"")="支",N(F2447)&lt;&gt;0),"✗ 这类是付款，金额填到支出列",IF(N(H2447)&lt;0,"⚠ 账户余额成负数了，核对一下","√"))))))))))))))))))</f>
      </c>
      <c r="O2447" s="78">
        <f>IF(D2447&lt;&gt;"",D2447,IF(AND(F2447="",G2447=""),"",IF(J2447&lt;&gt;"",IF(N(F2447)&gt;0,"客户回款","客户退款"),IF(K2447&lt;&gt;"",IF(N(G2447)&gt;0,"供应商付款","供应商退款"),IF(L2447&lt;&gt;"","费用支出","")))))</f>
      </c>
      <c r="P2447" s="78">
        <f>IF(O2447="","",IFERROR(INDEX(基础资料!$AE$5:$AE$34,MATCH(O2447,基础资料!$AC$5:$AC$34,0)),"未知"))</f>
      </c>
      <c r="Q2447" s="78">
        <f>IF(P2447="应收",COUNTIF(P$7:P2447,"应收"),"")</f>
      </c>
      <c r="R2447" s="78">
        <f>IF(P2447="应付",COUNTIF(P$7:P2447,"应付"),"")</f>
      </c>
      <c r="S2447" s="78">
        <f>N(F2447)-N(G2447)</f>
        <v>0</v>
      </c>
    </row>
    <row r="2448">
      <c r="A2448" s="109">
        <f>IF(AND(F2448="",G2448=""),"",ROW()-6)</f>
      </c>
      <c r="B2448" s="140" t="n"/>
      <c r="C2448" s="141" t="n"/>
      <c r="D2448" s="141" t="n"/>
      <c r="E2448" s="142" t="n"/>
      <c r="F2448" s="143" t="n"/>
      <c r="G2448" s="144" t="n"/>
      <c r="H2448" s="145">
        <f>IF(OR(C2448="",AND(F2448="",G2448="")),"",SUMIF(基础资料!$W$5:$W$24,C2448,基础资料!$X$5:$X$24)+SUMIF(C$7:C2448,C2448,F$7:F2448)-SUMIF(C$7:C2448,C2448,G$7:G2448))</f>
      </c>
      <c r="I2448" s="145">
        <f>IF(AND(F2448="",G2448=""),"",SUM(基础资料!$X$5:$X$24)+SUM(F$7:F2448)-SUM(G$7:G2448))</f>
      </c>
      <c r="J2448" s="141" t="n"/>
      <c r="K2448" s="141" t="n"/>
      <c r="L2448" s="141" t="n"/>
      <c r="M2448" s="142" t="n"/>
      <c r="N2448" s="146">
        <f>IF(AND(AND(F2448="",G2448=""),B2448="",C2448="",D2448="",J2448="",K2448="",L2448=""),"",IF(AND(F2448="",G2448=""),"✗ 没填金额",IF(AND(N(F2448)&lt;&gt;0,N(G2448)&lt;&gt;0),"✗ 收入、支出只能填一边",IF(NOT(ISNUMBER(B2448)),"✗ 日期不是真日期（要像 2026/9/25 这样填）",IF(OR(B2448&lt;年初日,B2448&gt;年末日),"✗ 日期不在本会计年度",IF(C2448="","✗ 没选账户",IF(COUNTIF(基础资料!$W$5:$W$24,C2448)=0,"✗ 账户不在基础资料里",IF(O2448="","✗ 没选收支项目",IF(P2448="未知","✗ 收支项目不在基础资料里",IF(AND(P2448="应收",J2448=""),"✗ 这笔要选客户",IF(AND(P2448="应收",COUNTIF(总览汇总!$B$5:$B$304,J2448)=0),"✗ 客户不在总览汇总名单里",IF(AND(P2448="应付",K2448=""),"✗ 这笔要选供应商",IF(AND(P2448="应付",COUNTIF(基础资料!$Q$5:$Q$54,K2448)=0),"✗ 供应商不在基础资料里",IF(AND(P2448="费用",L2448=""),"✗ 费用支出要选费用项目",IF(AND(L2448&lt;&gt;"",COUNTIF(基础资料!$AI$5:$AI$54,L2448)=0),"✗ 费用项目不在基础资料里",IF(AND(IFERROR(INDEX(基础资料!$AD$5:$AD$34,MATCH(O2448,基础资料!$AC$5:$AC$34,0)),"")="收",N(G2448)&lt;&gt;0),"✗ 这类是收款，金额填到收入列",IF(AND(IFERROR(INDEX(基础资料!$AD$5:$AD$34,MATCH(O2448,基础资料!$AC$5:$AC$34,0)),"")="支",N(F2448)&lt;&gt;0),"✗ 这类是付款，金额填到支出列",IF(N(H2448)&lt;0,"⚠ 账户余额成负数了，核对一下","√"))))))))))))))))))</f>
      </c>
      <c r="O2448" s="78">
        <f>IF(D2448&lt;&gt;"",D2448,IF(AND(F2448="",G2448=""),"",IF(J2448&lt;&gt;"",IF(N(F2448)&gt;0,"客户回款","客户退款"),IF(K2448&lt;&gt;"",IF(N(G2448)&gt;0,"供应商付款","供应商退款"),IF(L2448&lt;&gt;"","费用支出","")))))</f>
      </c>
      <c r="P2448" s="78">
        <f>IF(O2448="","",IFERROR(INDEX(基础资料!$AE$5:$AE$34,MATCH(O2448,基础资料!$AC$5:$AC$34,0)),"未知"))</f>
      </c>
      <c r="Q2448" s="78">
        <f>IF(P2448="应收",COUNTIF(P$7:P2448,"应收"),"")</f>
      </c>
      <c r="R2448" s="78">
        <f>IF(P2448="应付",COUNTIF(P$7:P2448,"应付"),"")</f>
      </c>
      <c r="S2448" s="78">
        <f>N(F2448)-N(G2448)</f>
        <v>0</v>
      </c>
    </row>
    <row r="2449">
      <c r="A2449" s="109">
        <f>IF(AND(F2449="",G2449=""),"",ROW()-6)</f>
      </c>
      <c r="B2449" s="140" t="n"/>
      <c r="C2449" s="141" t="n"/>
      <c r="D2449" s="141" t="n"/>
      <c r="E2449" s="142" t="n"/>
      <c r="F2449" s="143" t="n"/>
      <c r="G2449" s="144" t="n"/>
      <c r="H2449" s="145">
        <f>IF(OR(C2449="",AND(F2449="",G2449="")),"",SUMIF(基础资料!$W$5:$W$24,C2449,基础资料!$X$5:$X$24)+SUMIF(C$7:C2449,C2449,F$7:F2449)-SUMIF(C$7:C2449,C2449,G$7:G2449))</f>
      </c>
      <c r="I2449" s="145">
        <f>IF(AND(F2449="",G2449=""),"",SUM(基础资料!$X$5:$X$24)+SUM(F$7:F2449)-SUM(G$7:G2449))</f>
      </c>
      <c r="J2449" s="141" t="n"/>
      <c r="K2449" s="141" t="n"/>
      <c r="L2449" s="141" t="n"/>
      <c r="M2449" s="142" t="n"/>
      <c r="N2449" s="146">
        <f>IF(AND(AND(F2449="",G2449=""),B2449="",C2449="",D2449="",J2449="",K2449="",L2449=""),"",IF(AND(F2449="",G2449=""),"✗ 没填金额",IF(AND(N(F2449)&lt;&gt;0,N(G2449)&lt;&gt;0),"✗ 收入、支出只能填一边",IF(NOT(ISNUMBER(B2449)),"✗ 日期不是真日期（要像 2026/9/25 这样填）",IF(OR(B2449&lt;年初日,B2449&gt;年末日),"✗ 日期不在本会计年度",IF(C2449="","✗ 没选账户",IF(COUNTIF(基础资料!$W$5:$W$24,C2449)=0,"✗ 账户不在基础资料里",IF(O2449="","✗ 没选收支项目",IF(P2449="未知","✗ 收支项目不在基础资料里",IF(AND(P2449="应收",J2449=""),"✗ 这笔要选客户",IF(AND(P2449="应收",COUNTIF(总览汇总!$B$5:$B$304,J2449)=0),"✗ 客户不在总览汇总名单里",IF(AND(P2449="应付",K2449=""),"✗ 这笔要选供应商",IF(AND(P2449="应付",COUNTIF(基础资料!$Q$5:$Q$54,K2449)=0),"✗ 供应商不在基础资料里",IF(AND(P2449="费用",L2449=""),"✗ 费用支出要选费用项目",IF(AND(L2449&lt;&gt;"",COUNTIF(基础资料!$AI$5:$AI$54,L2449)=0),"✗ 费用项目不在基础资料里",IF(AND(IFERROR(INDEX(基础资料!$AD$5:$AD$34,MATCH(O2449,基础资料!$AC$5:$AC$34,0)),"")="收",N(G2449)&lt;&gt;0),"✗ 这类是收款，金额填到收入列",IF(AND(IFERROR(INDEX(基础资料!$AD$5:$AD$34,MATCH(O2449,基础资料!$AC$5:$AC$34,0)),"")="支",N(F2449)&lt;&gt;0),"✗ 这类是付款，金额填到支出列",IF(N(H2449)&lt;0,"⚠ 账户余额成负数了，核对一下","√"))))))))))))))))))</f>
      </c>
      <c r="O2449" s="78">
        <f>IF(D2449&lt;&gt;"",D2449,IF(AND(F2449="",G2449=""),"",IF(J2449&lt;&gt;"",IF(N(F2449)&gt;0,"客户回款","客户退款"),IF(K2449&lt;&gt;"",IF(N(G2449)&gt;0,"供应商付款","供应商退款"),IF(L2449&lt;&gt;"","费用支出","")))))</f>
      </c>
      <c r="P2449" s="78">
        <f>IF(O2449="","",IFERROR(INDEX(基础资料!$AE$5:$AE$34,MATCH(O2449,基础资料!$AC$5:$AC$34,0)),"未知"))</f>
      </c>
      <c r="Q2449" s="78">
        <f>IF(P2449="应收",COUNTIF(P$7:P2449,"应收"),"")</f>
      </c>
      <c r="R2449" s="78">
        <f>IF(P2449="应付",COUNTIF(P$7:P2449,"应付"),"")</f>
      </c>
      <c r="S2449" s="78">
        <f>N(F2449)-N(G2449)</f>
        <v>0</v>
      </c>
    </row>
    <row r="2450">
      <c r="A2450" s="109">
        <f>IF(AND(F2450="",G2450=""),"",ROW()-6)</f>
      </c>
      <c r="B2450" s="140" t="n"/>
      <c r="C2450" s="141" t="n"/>
      <c r="D2450" s="141" t="n"/>
      <c r="E2450" s="142" t="n"/>
      <c r="F2450" s="143" t="n"/>
      <c r="G2450" s="144" t="n"/>
      <c r="H2450" s="145">
        <f>IF(OR(C2450="",AND(F2450="",G2450="")),"",SUMIF(基础资料!$W$5:$W$24,C2450,基础资料!$X$5:$X$24)+SUMIF(C$7:C2450,C2450,F$7:F2450)-SUMIF(C$7:C2450,C2450,G$7:G2450))</f>
      </c>
      <c r="I2450" s="145">
        <f>IF(AND(F2450="",G2450=""),"",SUM(基础资料!$X$5:$X$24)+SUM(F$7:F2450)-SUM(G$7:G2450))</f>
      </c>
      <c r="J2450" s="141" t="n"/>
      <c r="K2450" s="141" t="n"/>
      <c r="L2450" s="141" t="n"/>
      <c r="M2450" s="142" t="n"/>
      <c r="N2450" s="146">
        <f>IF(AND(AND(F2450="",G2450=""),B2450="",C2450="",D2450="",J2450="",K2450="",L2450=""),"",IF(AND(F2450="",G2450=""),"✗ 没填金额",IF(AND(N(F2450)&lt;&gt;0,N(G2450)&lt;&gt;0),"✗ 收入、支出只能填一边",IF(NOT(ISNUMBER(B2450)),"✗ 日期不是真日期（要像 2026/9/25 这样填）",IF(OR(B2450&lt;年初日,B2450&gt;年末日),"✗ 日期不在本会计年度",IF(C2450="","✗ 没选账户",IF(COUNTIF(基础资料!$W$5:$W$24,C2450)=0,"✗ 账户不在基础资料里",IF(O2450="","✗ 没选收支项目",IF(P2450="未知","✗ 收支项目不在基础资料里",IF(AND(P2450="应收",J2450=""),"✗ 这笔要选客户",IF(AND(P2450="应收",COUNTIF(总览汇总!$B$5:$B$304,J2450)=0),"✗ 客户不在总览汇总名单里",IF(AND(P2450="应付",K2450=""),"✗ 这笔要选供应商",IF(AND(P2450="应付",COUNTIF(基础资料!$Q$5:$Q$54,K2450)=0),"✗ 供应商不在基础资料里",IF(AND(P2450="费用",L2450=""),"✗ 费用支出要选费用项目",IF(AND(L2450&lt;&gt;"",COUNTIF(基础资料!$AI$5:$AI$54,L2450)=0),"✗ 费用项目不在基础资料里",IF(AND(IFERROR(INDEX(基础资料!$AD$5:$AD$34,MATCH(O2450,基础资料!$AC$5:$AC$34,0)),"")="收",N(G2450)&lt;&gt;0),"✗ 这类是收款，金额填到收入列",IF(AND(IFERROR(INDEX(基础资料!$AD$5:$AD$34,MATCH(O2450,基础资料!$AC$5:$AC$34,0)),"")="支",N(F2450)&lt;&gt;0),"✗ 这类是付款，金额填到支出列",IF(N(H2450)&lt;0,"⚠ 账户余额成负数了，核对一下","√"))))))))))))))))))</f>
      </c>
      <c r="O2450" s="78">
        <f>IF(D2450&lt;&gt;"",D2450,IF(AND(F2450="",G2450=""),"",IF(J2450&lt;&gt;"",IF(N(F2450)&gt;0,"客户回款","客户退款"),IF(K2450&lt;&gt;"",IF(N(G2450)&gt;0,"供应商付款","供应商退款"),IF(L2450&lt;&gt;"","费用支出","")))))</f>
      </c>
      <c r="P2450" s="78">
        <f>IF(O2450="","",IFERROR(INDEX(基础资料!$AE$5:$AE$34,MATCH(O2450,基础资料!$AC$5:$AC$34,0)),"未知"))</f>
      </c>
      <c r="Q2450" s="78">
        <f>IF(P2450="应收",COUNTIF(P$7:P2450,"应收"),"")</f>
      </c>
      <c r="R2450" s="78">
        <f>IF(P2450="应付",COUNTIF(P$7:P2450,"应付"),"")</f>
      </c>
      <c r="S2450" s="78">
        <f>N(F2450)-N(G2450)</f>
        <v>0</v>
      </c>
    </row>
    <row r="2451">
      <c r="A2451" s="109">
        <f>IF(AND(F2451="",G2451=""),"",ROW()-6)</f>
      </c>
      <c r="B2451" s="140" t="n"/>
      <c r="C2451" s="141" t="n"/>
      <c r="D2451" s="141" t="n"/>
      <c r="E2451" s="142" t="n"/>
      <c r="F2451" s="143" t="n"/>
      <c r="G2451" s="144" t="n"/>
      <c r="H2451" s="145">
        <f>IF(OR(C2451="",AND(F2451="",G2451="")),"",SUMIF(基础资料!$W$5:$W$24,C2451,基础资料!$X$5:$X$24)+SUMIF(C$7:C2451,C2451,F$7:F2451)-SUMIF(C$7:C2451,C2451,G$7:G2451))</f>
      </c>
      <c r="I2451" s="145">
        <f>IF(AND(F2451="",G2451=""),"",SUM(基础资料!$X$5:$X$24)+SUM(F$7:F2451)-SUM(G$7:G2451))</f>
      </c>
      <c r="J2451" s="141" t="n"/>
      <c r="K2451" s="141" t="n"/>
      <c r="L2451" s="141" t="n"/>
      <c r="M2451" s="142" t="n"/>
      <c r="N2451" s="146">
        <f>IF(AND(AND(F2451="",G2451=""),B2451="",C2451="",D2451="",J2451="",K2451="",L2451=""),"",IF(AND(F2451="",G2451=""),"✗ 没填金额",IF(AND(N(F2451)&lt;&gt;0,N(G2451)&lt;&gt;0),"✗ 收入、支出只能填一边",IF(NOT(ISNUMBER(B2451)),"✗ 日期不是真日期（要像 2026/9/25 这样填）",IF(OR(B2451&lt;年初日,B2451&gt;年末日),"✗ 日期不在本会计年度",IF(C2451="","✗ 没选账户",IF(COUNTIF(基础资料!$W$5:$W$24,C2451)=0,"✗ 账户不在基础资料里",IF(O2451="","✗ 没选收支项目",IF(P2451="未知","✗ 收支项目不在基础资料里",IF(AND(P2451="应收",J2451=""),"✗ 这笔要选客户",IF(AND(P2451="应收",COUNTIF(总览汇总!$B$5:$B$304,J2451)=0),"✗ 客户不在总览汇总名单里",IF(AND(P2451="应付",K2451=""),"✗ 这笔要选供应商",IF(AND(P2451="应付",COUNTIF(基础资料!$Q$5:$Q$54,K2451)=0),"✗ 供应商不在基础资料里",IF(AND(P2451="费用",L2451=""),"✗ 费用支出要选费用项目",IF(AND(L2451&lt;&gt;"",COUNTIF(基础资料!$AI$5:$AI$54,L2451)=0),"✗ 费用项目不在基础资料里",IF(AND(IFERROR(INDEX(基础资料!$AD$5:$AD$34,MATCH(O2451,基础资料!$AC$5:$AC$34,0)),"")="收",N(G2451)&lt;&gt;0),"✗ 这类是收款，金额填到收入列",IF(AND(IFERROR(INDEX(基础资料!$AD$5:$AD$34,MATCH(O2451,基础资料!$AC$5:$AC$34,0)),"")="支",N(F2451)&lt;&gt;0),"✗ 这类是付款，金额填到支出列",IF(N(H2451)&lt;0,"⚠ 账户余额成负数了，核对一下","√"))))))))))))))))))</f>
      </c>
      <c r="O2451" s="78">
        <f>IF(D2451&lt;&gt;"",D2451,IF(AND(F2451="",G2451=""),"",IF(J2451&lt;&gt;"",IF(N(F2451)&gt;0,"客户回款","客户退款"),IF(K2451&lt;&gt;"",IF(N(G2451)&gt;0,"供应商付款","供应商退款"),IF(L2451&lt;&gt;"","费用支出","")))))</f>
      </c>
      <c r="P2451" s="78">
        <f>IF(O2451="","",IFERROR(INDEX(基础资料!$AE$5:$AE$34,MATCH(O2451,基础资料!$AC$5:$AC$34,0)),"未知"))</f>
      </c>
      <c r="Q2451" s="78">
        <f>IF(P2451="应收",COUNTIF(P$7:P2451,"应收"),"")</f>
      </c>
      <c r="R2451" s="78">
        <f>IF(P2451="应付",COUNTIF(P$7:P2451,"应付"),"")</f>
      </c>
      <c r="S2451" s="78">
        <f>N(F2451)-N(G2451)</f>
        <v>0</v>
      </c>
    </row>
    <row r="2452">
      <c r="A2452" s="109">
        <f>IF(AND(F2452="",G2452=""),"",ROW()-6)</f>
      </c>
      <c r="B2452" s="140" t="n"/>
      <c r="C2452" s="141" t="n"/>
      <c r="D2452" s="141" t="n"/>
      <c r="E2452" s="142" t="n"/>
      <c r="F2452" s="143" t="n"/>
      <c r="G2452" s="144" t="n"/>
      <c r="H2452" s="145">
        <f>IF(OR(C2452="",AND(F2452="",G2452="")),"",SUMIF(基础资料!$W$5:$W$24,C2452,基础资料!$X$5:$X$24)+SUMIF(C$7:C2452,C2452,F$7:F2452)-SUMIF(C$7:C2452,C2452,G$7:G2452))</f>
      </c>
      <c r="I2452" s="145">
        <f>IF(AND(F2452="",G2452=""),"",SUM(基础资料!$X$5:$X$24)+SUM(F$7:F2452)-SUM(G$7:G2452))</f>
      </c>
      <c r="J2452" s="141" t="n"/>
      <c r="K2452" s="141" t="n"/>
      <c r="L2452" s="141" t="n"/>
      <c r="M2452" s="142" t="n"/>
      <c r="N2452" s="146">
        <f>IF(AND(AND(F2452="",G2452=""),B2452="",C2452="",D2452="",J2452="",K2452="",L2452=""),"",IF(AND(F2452="",G2452=""),"✗ 没填金额",IF(AND(N(F2452)&lt;&gt;0,N(G2452)&lt;&gt;0),"✗ 收入、支出只能填一边",IF(NOT(ISNUMBER(B2452)),"✗ 日期不是真日期（要像 2026/9/25 这样填）",IF(OR(B2452&lt;年初日,B2452&gt;年末日),"✗ 日期不在本会计年度",IF(C2452="","✗ 没选账户",IF(COUNTIF(基础资料!$W$5:$W$24,C2452)=0,"✗ 账户不在基础资料里",IF(O2452="","✗ 没选收支项目",IF(P2452="未知","✗ 收支项目不在基础资料里",IF(AND(P2452="应收",J2452=""),"✗ 这笔要选客户",IF(AND(P2452="应收",COUNTIF(总览汇总!$B$5:$B$304,J2452)=0),"✗ 客户不在总览汇总名单里",IF(AND(P2452="应付",K2452=""),"✗ 这笔要选供应商",IF(AND(P2452="应付",COUNTIF(基础资料!$Q$5:$Q$54,K2452)=0),"✗ 供应商不在基础资料里",IF(AND(P2452="费用",L2452=""),"✗ 费用支出要选费用项目",IF(AND(L2452&lt;&gt;"",COUNTIF(基础资料!$AI$5:$AI$54,L2452)=0),"✗ 费用项目不在基础资料里",IF(AND(IFERROR(INDEX(基础资料!$AD$5:$AD$34,MATCH(O2452,基础资料!$AC$5:$AC$34,0)),"")="收",N(G2452)&lt;&gt;0),"✗ 这类是收款，金额填到收入列",IF(AND(IFERROR(INDEX(基础资料!$AD$5:$AD$34,MATCH(O2452,基础资料!$AC$5:$AC$34,0)),"")="支",N(F2452)&lt;&gt;0),"✗ 这类是付款，金额填到支出列",IF(N(H2452)&lt;0,"⚠ 账户余额成负数了，核对一下","√"))))))))))))))))))</f>
      </c>
      <c r="O2452" s="78">
        <f>IF(D2452&lt;&gt;"",D2452,IF(AND(F2452="",G2452=""),"",IF(J2452&lt;&gt;"",IF(N(F2452)&gt;0,"客户回款","客户退款"),IF(K2452&lt;&gt;"",IF(N(G2452)&gt;0,"供应商付款","供应商退款"),IF(L2452&lt;&gt;"","费用支出","")))))</f>
      </c>
      <c r="P2452" s="78">
        <f>IF(O2452="","",IFERROR(INDEX(基础资料!$AE$5:$AE$34,MATCH(O2452,基础资料!$AC$5:$AC$34,0)),"未知"))</f>
      </c>
      <c r="Q2452" s="78">
        <f>IF(P2452="应收",COUNTIF(P$7:P2452,"应收"),"")</f>
      </c>
      <c r="R2452" s="78">
        <f>IF(P2452="应付",COUNTIF(P$7:P2452,"应付"),"")</f>
      </c>
      <c r="S2452" s="78">
        <f>N(F2452)-N(G2452)</f>
        <v>0</v>
      </c>
    </row>
    <row r="2453">
      <c r="A2453" s="109">
        <f>IF(AND(F2453="",G2453=""),"",ROW()-6)</f>
      </c>
      <c r="B2453" s="140" t="n"/>
      <c r="C2453" s="141" t="n"/>
      <c r="D2453" s="141" t="n"/>
      <c r="E2453" s="142" t="n"/>
      <c r="F2453" s="143" t="n"/>
      <c r="G2453" s="144" t="n"/>
      <c r="H2453" s="145">
        <f>IF(OR(C2453="",AND(F2453="",G2453="")),"",SUMIF(基础资料!$W$5:$W$24,C2453,基础资料!$X$5:$X$24)+SUMIF(C$7:C2453,C2453,F$7:F2453)-SUMIF(C$7:C2453,C2453,G$7:G2453))</f>
      </c>
      <c r="I2453" s="145">
        <f>IF(AND(F2453="",G2453=""),"",SUM(基础资料!$X$5:$X$24)+SUM(F$7:F2453)-SUM(G$7:G2453))</f>
      </c>
      <c r="J2453" s="141" t="n"/>
      <c r="K2453" s="141" t="n"/>
      <c r="L2453" s="141" t="n"/>
      <c r="M2453" s="142" t="n"/>
      <c r="N2453" s="146">
        <f>IF(AND(AND(F2453="",G2453=""),B2453="",C2453="",D2453="",J2453="",K2453="",L2453=""),"",IF(AND(F2453="",G2453=""),"✗ 没填金额",IF(AND(N(F2453)&lt;&gt;0,N(G2453)&lt;&gt;0),"✗ 收入、支出只能填一边",IF(NOT(ISNUMBER(B2453)),"✗ 日期不是真日期（要像 2026/9/25 这样填）",IF(OR(B2453&lt;年初日,B2453&gt;年末日),"✗ 日期不在本会计年度",IF(C2453="","✗ 没选账户",IF(COUNTIF(基础资料!$W$5:$W$24,C2453)=0,"✗ 账户不在基础资料里",IF(O2453="","✗ 没选收支项目",IF(P2453="未知","✗ 收支项目不在基础资料里",IF(AND(P2453="应收",J2453=""),"✗ 这笔要选客户",IF(AND(P2453="应收",COUNTIF(总览汇总!$B$5:$B$304,J2453)=0),"✗ 客户不在总览汇总名单里",IF(AND(P2453="应付",K2453=""),"✗ 这笔要选供应商",IF(AND(P2453="应付",COUNTIF(基础资料!$Q$5:$Q$54,K2453)=0),"✗ 供应商不在基础资料里",IF(AND(P2453="费用",L2453=""),"✗ 费用支出要选费用项目",IF(AND(L2453&lt;&gt;"",COUNTIF(基础资料!$AI$5:$AI$54,L2453)=0),"✗ 费用项目不在基础资料里",IF(AND(IFERROR(INDEX(基础资料!$AD$5:$AD$34,MATCH(O2453,基础资料!$AC$5:$AC$34,0)),"")="收",N(G2453)&lt;&gt;0),"✗ 这类是收款，金额填到收入列",IF(AND(IFERROR(INDEX(基础资料!$AD$5:$AD$34,MATCH(O2453,基础资料!$AC$5:$AC$34,0)),"")="支",N(F2453)&lt;&gt;0),"✗ 这类是付款，金额填到支出列",IF(N(H2453)&lt;0,"⚠ 账户余额成负数了，核对一下","√"))))))))))))))))))</f>
      </c>
      <c r="O2453" s="78">
        <f>IF(D2453&lt;&gt;"",D2453,IF(AND(F2453="",G2453=""),"",IF(J2453&lt;&gt;"",IF(N(F2453)&gt;0,"客户回款","客户退款"),IF(K2453&lt;&gt;"",IF(N(G2453)&gt;0,"供应商付款","供应商退款"),IF(L2453&lt;&gt;"","费用支出","")))))</f>
      </c>
      <c r="P2453" s="78">
        <f>IF(O2453="","",IFERROR(INDEX(基础资料!$AE$5:$AE$34,MATCH(O2453,基础资料!$AC$5:$AC$34,0)),"未知"))</f>
      </c>
      <c r="Q2453" s="78">
        <f>IF(P2453="应收",COUNTIF(P$7:P2453,"应收"),"")</f>
      </c>
      <c r="R2453" s="78">
        <f>IF(P2453="应付",COUNTIF(P$7:P2453,"应付"),"")</f>
      </c>
      <c r="S2453" s="78">
        <f>N(F2453)-N(G2453)</f>
        <v>0</v>
      </c>
    </row>
    <row r="2454">
      <c r="A2454" s="109">
        <f>IF(AND(F2454="",G2454=""),"",ROW()-6)</f>
      </c>
      <c r="B2454" s="140" t="n"/>
      <c r="C2454" s="141" t="n"/>
      <c r="D2454" s="141" t="n"/>
      <c r="E2454" s="142" t="n"/>
      <c r="F2454" s="143" t="n"/>
      <c r="G2454" s="144" t="n"/>
      <c r="H2454" s="145">
        <f>IF(OR(C2454="",AND(F2454="",G2454="")),"",SUMIF(基础资料!$W$5:$W$24,C2454,基础资料!$X$5:$X$24)+SUMIF(C$7:C2454,C2454,F$7:F2454)-SUMIF(C$7:C2454,C2454,G$7:G2454))</f>
      </c>
      <c r="I2454" s="145">
        <f>IF(AND(F2454="",G2454=""),"",SUM(基础资料!$X$5:$X$24)+SUM(F$7:F2454)-SUM(G$7:G2454))</f>
      </c>
      <c r="J2454" s="141" t="n"/>
      <c r="K2454" s="141" t="n"/>
      <c r="L2454" s="141" t="n"/>
      <c r="M2454" s="142" t="n"/>
      <c r="N2454" s="146">
        <f>IF(AND(AND(F2454="",G2454=""),B2454="",C2454="",D2454="",J2454="",K2454="",L2454=""),"",IF(AND(F2454="",G2454=""),"✗ 没填金额",IF(AND(N(F2454)&lt;&gt;0,N(G2454)&lt;&gt;0),"✗ 收入、支出只能填一边",IF(NOT(ISNUMBER(B2454)),"✗ 日期不是真日期（要像 2026/9/25 这样填）",IF(OR(B2454&lt;年初日,B2454&gt;年末日),"✗ 日期不在本会计年度",IF(C2454="","✗ 没选账户",IF(COUNTIF(基础资料!$W$5:$W$24,C2454)=0,"✗ 账户不在基础资料里",IF(O2454="","✗ 没选收支项目",IF(P2454="未知","✗ 收支项目不在基础资料里",IF(AND(P2454="应收",J2454=""),"✗ 这笔要选客户",IF(AND(P2454="应收",COUNTIF(总览汇总!$B$5:$B$304,J2454)=0),"✗ 客户不在总览汇总名单里",IF(AND(P2454="应付",K2454=""),"✗ 这笔要选供应商",IF(AND(P2454="应付",COUNTIF(基础资料!$Q$5:$Q$54,K2454)=0),"✗ 供应商不在基础资料里",IF(AND(P2454="费用",L2454=""),"✗ 费用支出要选费用项目",IF(AND(L2454&lt;&gt;"",COUNTIF(基础资料!$AI$5:$AI$54,L2454)=0),"✗ 费用项目不在基础资料里",IF(AND(IFERROR(INDEX(基础资料!$AD$5:$AD$34,MATCH(O2454,基础资料!$AC$5:$AC$34,0)),"")="收",N(G2454)&lt;&gt;0),"✗ 这类是收款，金额填到收入列",IF(AND(IFERROR(INDEX(基础资料!$AD$5:$AD$34,MATCH(O2454,基础资料!$AC$5:$AC$34,0)),"")="支",N(F2454)&lt;&gt;0),"✗ 这类是付款，金额填到支出列",IF(N(H2454)&lt;0,"⚠ 账户余额成负数了，核对一下","√"))))))))))))))))))</f>
      </c>
      <c r="O2454" s="78">
        <f>IF(D2454&lt;&gt;"",D2454,IF(AND(F2454="",G2454=""),"",IF(J2454&lt;&gt;"",IF(N(F2454)&gt;0,"客户回款","客户退款"),IF(K2454&lt;&gt;"",IF(N(G2454)&gt;0,"供应商付款","供应商退款"),IF(L2454&lt;&gt;"","费用支出","")))))</f>
      </c>
      <c r="P2454" s="78">
        <f>IF(O2454="","",IFERROR(INDEX(基础资料!$AE$5:$AE$34,MATCH(O2454,基础资料!$AC$5:$AC$34,0)),"未知"))</f>
      </c>
      <c r="Q2454" s="78">
        <f>IF(P2454="应收",COUNTIF(P$7:P2454,"应收"),"")</f>
      </c>
      <c r="R2454" s="78">
        <f>IF(P2454="应付",COUNTIF(P$7:P2454,"应付"),"")</f>
      </c>
      <c r="S2454" s="78">
        <f>N(F2454)-N(G2454)</f>
        <v>0</v>
      </c>
    </row>
    <row r="2455">
      <c r="A2455" s="109">
        <f>IF(AND(F2455="",G2455=""),"",ROW()-6)</f>
      </c>
      <c r="B2455" s="140" t="n"/>
      <c r="C2455" s="141" t="n"/>
      <c r="D2455" s="141" t="n"/>
      <c r="E2455" s="142" t="n"/>
      <c r="F2455" s="143" t="n"/>
      <c r="G2455" s="144" t="n"/>
      <c r="H2455" s="145">
        <f>IF(OR(C2455="",AND(F2455="",G2455="")),"",SUMIF(基础资料!$W$5:$W$24,C2455,基础资料!$X$5:$X$24)+SUMIF(C$7:C2455,C2455,F$7:F2455)-SUMIF(C$7:C2455,C2455,G$7:G2455))</f>
      </c>
      <c r="I2455" s="145">
        <f>IF(AND(F2455="",G2455=""),"",SUM(基础资料!$X$5:$X$24)+SUM(F$7:F2455)-SUM(G$7:G2455))</f>
      </c>
      <c r="J2455" s="141" t="n"/>
      <c r="K2455" s="141" t="n"/>
      <c r="L2455" s="141" t="n"/>
      <c r="M2455" s="142" t="n"/>
      <c r="N2455" s="146">
        <f>IF(AND(AND(F2455="",G2455=""),B2455="",C2455="",D2455="",J2455="",K2455="",L2455=""),"",IF(AND(F2455="",G2455=""),"✗ 没填金额",IF(AND(N(F2455)&lt;&gt;0,N(G2455)&lt;&gt;0),"✗ 收入、支出只能填一边",IF(NOT(ISNUMBER(B2455)),"✗ 日期不是真日期（要像 2026/9/25 这样填）",IF(OR(B2455&lt;年初日,B2455&gt;年末日),"✗ 日期不在本会计年度",IF(C2455="","✗ 没选账户",IF(COUNTIF(基础资料!$W$5:$W$24,C2455)=0,"✗ 账户不在基础资料里",IF(O2455="","✗ 没选收支项目",IF(P2455="未知","✗ 收支项目不在基础资料里",IF(AND(P2455="应收",J2455=""),"✗ 这笔要选客户",IF(AND(P2455="应收",COUNTIF(总览汇总!$B$5:$B$304,J2455)=0),"✗ 客户不在总览汇总名单里",IF(AND(P2455="应付",K2455=""),"✗ 这笔要选供应商",IF(AND(P2455="应付",COUNTIF(基础资料!$Q$5:$Q$54,K2455)=0),"✗ 供应商不在基础资料里",IF(AND(P2455="费用",L2455=""),"✗ 费用支出要选费用项目",IF(AND(L2455&lt;&gt;"",COUNTIF(基础资料!$AI$5:$AI$54,L2455)=0),"✗ 费用项目不在基础资料里",IF(AND(IFERROR(INDEX(基础资料!$AD$5:$AD$34,MATCH(O2455,基础资料!$AC$5:$AC$34,0)),"")="收",N(G2455)&lt;&gt;0),"✗ 这类是收款，金额填到收入列",IF(AND(IFERROR(INDEX(基础资料!$AD$5:$AD$34,MATCH(O2455,基础资料!$AC$5:$AC$34,0)),"")="支",N(F2455)&lt;&gt;0),"✗ 这类是付款，金额填到支出列",IF(N(H2455)&lt;0,"⚠ 账户余额成负数了，核对一下","√"))))))))))))))))))</f>
      </c>
      <c r="O2455" s="78">
        <f>IF(D2455&lt;&gt;"",D2455,IF(AND(F2455="",G2455=""),"",IF(J2455&lt;&gt;"",IF(N(F2455)&gt;0,"客户回款","客户退款"),IF(K2455&lt;&gt;"",IF(N(G2455)&gt;0,"供应商付款","供应商退款"),IF(L2455&lt;&gt;"","费用支出","")))))</f>
      </c>
      <c r="P2455" s="78">
        <f>IF(O2455="","",IFERROR(INDEX(基础资料!$AE$5:$AE$34,MATCH(O2455,基础资料!$AC$5:$AC$34,0)),"未知"))</f>
      </c>
      <c r="Q2455" s="78">
        <f>IF(P2455="应收",COUNTIF(P$7:P2455,"应收"),"")</f>
      </c>
      <c r="R2455" s="78">
        <f>IF(P2455="应付",COUNTIF(P$7:P2455,"应付"),"")</f>
      </c>
      <c r="S2455" s="78">
        <f>N(F2455)-N(G2455)</f>
        <v>0</v>
      </c>
    </row>
    <row r="2456">
      <c r="A2456" s="109">
        <f>IF(AND(F2456="",G2456=""),"",ROW()-6)</f>
      </c>
      <c r="B2456" s="140" t="n"/>
      <c r="C2456" s="141" t="n"/>
      <c r="D2456" s="141" t="n"/>
      <c r="E2456" s="142" t="n"/>
      <c r="F2456" s="143" t="n"/>
      <c r="G2456" s="144" t="n"/>
      <c r="H2456" s="145">
        <f>IF(OR(C2456="",AND(F2456="",G2456="")),"",SUMIF(基础资料!$W$5:$W$24,C2456,基础资料!$X$5:$X$24)+SUMIF(C$7:C2456,C2456,F$7:F2456)-SUMIF(C$7:C2456,C2456,G$7:G2456))</f>
      </c>
      <c r="I2456" s="145">
        <f>IF(AND(F2456="",G2456=""),"",SUM(基础资料!$X$5:$X$24)+SUM(F$7:F2456)-SUM(G$7:G2456))</f>
      </c>
      <c r="J2456" s="141" t="n"/>
      <c r="K2456" s="141" t="n"/>
      <c r="L2456" s="141" t="n"/>
      <c r="M2456" s="142" t="n"/>
      <c r="N2456" s="146">
        <f>IF(AND(AND(F2456="",G2456=""),B2456="",C2456="",D2456="",J2456="",K2456="",L2456=""),"",IF(AND(F2456="",G2456=""),"✗ 没填金额",IF(AND(N(F2456)&lt;&gt;0,N(G2456)&lt;&gt;0),"✗ 收入、支出只能填一边",IF(NOT(ISNUMBER(B2456)),"✗ 日期不是真日期（要像 2026/9/25 这样填）",IF(OR(B2456&lt;年初日,B2456&gt;年末日),"✗ 日期不在本会计年度",IF(C2456="","✗ 没选账户",IF(COUNTIF(基础资料!$W$5:$W$24,C2456)=0,"✗ 账户不在基础资料里",IF(O2456="","✗ 没选收支项目",IF(P2456="未知","✗ 收支项目不在基础资料里",IF(AND(P2456="应收",J2456=""),"✗ 这笔要选客户",IF(AND(P2456="应收",COUNTIF(总览汇总!$B$5:$B$304,J2456)=0),"✗ 客户不在总览汇总名单里",IF(AND(P2456="应付",K2456=""),"✗ 这笔要选供应商",IF(AND(P2456="应付",COUNTIF(基础资料!$Q$5:$Q$54,K2456)=0),"✗ 供应商不在基础资料里",IF(AND(P2456="费用",L2456=""),"✗ 费用支出要选费用项目",IF(AND(L2456&lt;&gt;"",COUNTIF(基础资料!$AI$5:$AI$54,L2456)=0),"✗ 费用项目不在基础资料里",IF(AND(IFERROR(INDEX(基础资料!$AD$5:$AD$34,MATCH(O2456,基础资料!$AC$5:$AC$34,0)),"")="收",N(G2456)&lt;&gt;0),"✗ 这类是收款，金额填到收入列",IF(AND(IFERROR(INDEX(基础资料!$AD$5:$AD$34,MATCH(O2456,基础资料!$AC$5:$AC$34,0)),"")="支",N(F2456)&lt;&gt;0),"✗ 这类是付款，金额填到支出列",IF(N(H2456)&lt;0,"⚠ 账户余额成负数了，核对一下","√"))))))))))))))))))</f>
      </c>
      <c r="O2456" s="78">
        <f>IF(D2456&lt;&gt;"",D2456,IF(AND(F2456="",G2456=""),"",IF(J2456&lt;&gt;"",IF(N(F2456)&gt;0,"客户回款","客户退款"),IF(K2456&lt;&gt;"",IF(N(G2456)&gt;0,"供应商付款","供应商退款"),IF(L2456&lt;&gt;"","费用支出","")))))</f>
      </c>
      <c r="P2456" s="78">
        <f>IF(O2456="","",IFERROR(INDEX(基础资料!$AE$5:$AE$34,MATCH(O2456,基础资料!$AC$5:$AC$34,0)),"未知"))</f>
      </c>
      <c r="Q2456" s="78">
        <f>IF(P2456="应收",COUNTIF(P$7:P2456,"应收"),"")</f>
      </c>
      <c r="R2456" s="78">
        <f>IF(P2456="应付",COUNTIF(P$7:P2456,"应付"),"")</f>
      </c>
      <c r="S2456" s="78">
        <f>N(F2456)-N(G2456)</f>
        <v>0</v>
      </c>
    </row>
    <row r="2457">
      <c r="A2457" s="109">
        <f>IF(AND(F2457="",G2457=""),"",ROW()-6)</f>
      </c>
      <c r="B2457" s="140" t="n"/>
      <c r="C2457" s="141" t="n"/>
      <c r="D2457" s="141" t="n"/>
      <c r="E2457" s="142" t="n"/>
      <c r="F2457" s="143" t="n"/>
      <c r="G2457" s="144" t="n"/>
      <c r="H2457" s="145">
        <f>IF(OR(C2457="",AND(F2457="",G2457="")),"",SUMIF(基础资料!$W$5:$W$24,C2457,基础资料!$X$5:$X$24)+SUMIF(C$7:C2457,C2457,F$7:F2457)-SUMIF(C$7:C2457,C2457,G$7:G2457))</f>
      </c>
      <c r="I2457" s="145">
        <f>IF(AND(F2457="",G2457=""),"",SUM(基础资料!$X$5:$X$24)+SUM(F$7:F2457)-SUM(G$7:G2457))</f>
      </c>
      <c r="J2457" s="141" t="n"/>
      <c r="K2457" s="141" t="n"/>
      <c r="L2457" s="141" t="n"/>
      <c r="M2457" s="142" t="n"/>
      <c r="N2457" s="146">
        <f>IF(AND(AND(F2457="",G2457=""),B2457="",C2457="",D2457="",J2457="",K2457="",L2457=""),"",IF(AND(F2457="",G2457=""),"✗ 没填金额",IF(AND(N(F2457)&lt;&gt;0,N(G2457)&lt;&gt;0),"✗ 收入、支出只能填一边",IF(NOT(ISNUMBER(B2457)),"✗ 日期不是真日期（要像 2026/9/25 这样填）",IF(OR(B2457&lt;年初日,B2457&gt;年末日),"✗ 日期不在本会计年度",IF(C2457="","✗ 没选账户",IF(COUNTIF(基础资料!$W$5:$W$24,C2457)=0,"✗ 账户不在基础资料里",IF(O2457="","✗ 没选收支项目",IF(P2457="未知","✗ 收支项目不在基础资料里",IF(AND(P2457="应收",J2457=""),"✗ 这笔要选客户",IF(AND(P2457="应收",COUNTIF(总览汇总!$B$5:$B$304,J2457)=0),"✗ 客户不在总览汇总名单里",IF(AND(P2457="应付",K2457=""),"✗ 这笔要选供应商",IF(AND(P2457="应付",COUNTIF(基础资料!$Q$5:$Q$54,K2457)=0),"✗ 供应商不在基础资料里",IF(AND(P2457="费用",L2457=""),"✗ 费用支出要选费用项目",IF(AND(L2457&lt;&gt;"",COUNTIF(基础资料!$AI$5:$AI$54,L2457)=0),"✗ 费用项目不在基础资料里",IF(AND(IFERROR(INDEX(基础资料!$AD$5:$AD$34,MATCH(O2457,基础资料!$AC$5:$AC$34,0)),"")="收",N(G2457)&lt;&gt;0),"✗ 这类是收款，金额填到收入列",IF(AND(IFERROR(INDEX(基础资料!$AD$5:$AD$34,MATCH(O2457,基础资料!$AC$5:$AC$34,0)),"")="支",N(F2457)&lt;&gt;0),"✗ 这类是付款，金额填到支出列",IF(N(H2457)&lt;0,"⚠ 账户余额成负数了，核对一下","√"))))))))))))))))))</f>
      </c>
      <c r="O2457" s="78">
        <f>IF(D2457&lt;&gt;"",D2457,IF(AND(F2457="",G2457=""),"",IF(J2457&lt;&gt;"",IF(N(F2457)&gt;0,"客户回款","客户退款"),IF(K2457&lt;&gt;"",IF(N(G2457)&gt;0,"供应商付款","供应商退款"),IF(L2457&lt;&gt;"","费用支出","")))))</f>
      </c>
      <c r="P2457" s="78">
        <f>IF(O2457="","",IFERROR(INDEX(基础资料!$AE$5:$AE$34,MATCH(O2457,基础资料!$AC$5:$AC$34,0)),"未知"))</f>
      </c>
      <c r="Q2457" s="78">
        <f>IF(P2457="应收",COUNTIF(P$7:P2457,"应收"),"")</f>
      </c>
      <c r="R2457" s="78">
        <f>IF(P2457="应付",COUNTIF(P$7:P2457,"应付"),"")</f>
      </c>
      <c r="S2457" s="78">
        <f>N(F2457)-N(G2457)</f>
        <v>0</v>
      </c>
    </row>
    <row r="2458">
      <c r="A2458" s="109">
        <f>IF(AND(F2458="",G2458=""),"",ROW()-6)</f>
      </c>
      <c r="B2458" s="140" t="n"/>
      <c r="C2458" s="141" t="n"/>
      <c r="D2458" s="141" t="n"/>
      <c r="E2458" s="142" t="n"/>
      <c r="F2458" s="143" t="n"/>
      <c r="G2458" s="144" t="n"/>
      <c r="H2458" s="145">
        <f>IF(OR(C2458="",AND(F2458="",G2458="")),"",SUMIF(基础资料!$W$5:$W$24,C2458,基础资料!$X$5:$X$24)+SUMIF(C$7:C2458,C2458,F$7:F2458)-SUMIF(C$7:C2458,C2458,G$7:G2458))</f>
      </c>
      <c r="I2458" s="145">
        <f>IF(AND(F2458="",G2458=""),"",SUM(基础资料!$X$5:$X$24)+SUM(F$7:F2458)-SUM(G$7:G2458))</f>
      </c>
      <c r="J2458" s="141" t="n"/>
      <c r="K2458" s="141" t="n"/>
      <c r="L2458" s="141" t="n"/>
      <c r="M2458" s="142" t="n"/>
      <c r="N2458" s="146">
        <f>IF(AND(AND(F2458="",G2458=""),B2458="",C2458="",D2458="",J2458="",K2458="",L2458=""),"",IF(AND(F2458="",G2458=""),"✗ 没填金额",IF(AND(N(F2458)&lt;&gt;0,N(G2458)&lt;&gt;0),"✗ 收入、支出只能填一边",IF(NOT(ISNUMBER(B2458)),"✗ 日期不是真日期（要像 2026/9/25 这样填）",IF(OR(B2458&lt;年初日,B2458&gt;年末日),"✗ 日期不在本会计年度",IF(C2458="","✗ 没选账户",IF(COUNTIF(基础资料!$W$5:$W$24,C2458)=0,"✗ 账户不在基础资料里",IF(O2458="","✗ 没选收支项目",IF(P2458="未知","✗ 收支项目不在基础资料里",IF(AND(P2458="应收",J2458=""),"✗ 这笔要选客户",IF(AND(P2458="应收",COUNTIF(总览汇总!$B$5:$B$304,J2458)=0),"✗ 客户不在总览汇总名单里",IF(AND(P2458="应付",K2458=""),"✗ 这笔要选供应商",IF(AND(P2458="应付",COUNTIF(基础资料!$Q$5:$Q$54,K2458)=0),"✗ 供应商不在基础资料里",IF(AND(P2458="费用",L2458=""),"✗ 费用支出要选费用项目",IF(AND(L2458&lt;&gt;"",COUNTIF(基础资料!$AI$5:$AI$54,L2458)=0),"✗ 费用项目不在基础资料里",IF(AND(IFERROR(INDEX(基础资料!$AD$5:$AD$34,MATCH(O2458,基础资料!$AC$5:$AC$34,0)),"")="收",N(G2458)&lt;&gt;0),"✗ 这类是收款，金额填到收入列",IF(AND(IFERROR(INDEX(基础资料!$AD$5:$AD$34,MATCH(O2458,基础资料!$AC$5:$AC$34,0)),"")="支",N(F2458)&lt;&gt;0),"✗ 这类是付款，金额填到支出列",IF(N(H2458)&lt;0,"⚠ 账户余额成负数了，核对一下","√"))))))))))))))))))</f>
      </c>
      <c r="O2458" s="78">
        <f>IF(D2458&lt;&gt;"",D2458,IF(AND(F2458="",G2458=""),"",IF(J2458&lt;&gt;"",IF(N(F2458)&gt;0,"客户回款","客户退款"),IF(K2458&lt;&gt;"",IF(N(G2458)&gt;0,"供应商付款","供应商退款"),IF(L2458&lt;&gt;"","费用支出","")))))</f>
      </c>
      <c r="P2458" s="78">
        <f>IF(O2458="","",IFERROR(INDEX(基础资料!$AE$5:$AE$34,MATCH(O2458,基础资料!$AC$5:$AC$34,0)),"未知"))</f>
      </c>
      <c r="Q2458" s="78">
        <f>IF(P2458="应收",COUNTIF(P$7:P2458,"应收"),"")</f>
      </c>
      <c r="R2458" s="78">
        <f>IF(P2458="应付",COUNTIF(P$7:P2458,"应付"),"")</f>
      </c>
      <c r="S2458" s="78">
        <f>N(F2458)-N(G2458)</f>
        <v>0</v>
      </c>
    </row>
    <row r="2459">
      <c r="A2459" s="109">
        <f>IF(AND(F2459="",G2459=""),"",ROW()-6)</f>
      </c>
      <c r="B2459" s="140" t="n"/>
      <c r="C2459" s="141" t="n"/>
      <c r="D2459" s="141" t="n"/>
      <c r="E2459" s="142" t="n"/>
      <c r="F2459" s="143" t="n"/>
      <c r="G2459" s="144" t="n"/>
      <c r="H2459" s="145">
        <f>IF(OR(C2459="",AND(F2459="",G2459="")),"",SUMIF(基础资料!$W$5:$W$24,C2459,基础资料!$X$5:$X$24)+SUMIF(C$7:C2459,C2459,F$7:F2459)-SUMIF(C$7:C2459,C2459,G$7:G2459))</f>
      </c>
      <c r="I2459" s="145">
        <f>IF(AND(F2459="",G2459=""),"",SUM(基础资料!$X$5:$X$24)+SUM(F$7:F2459)-SUM(G$7:G2459))</f>
      </c>
      <c r="J2459" s="141" t="n"/>
      <c r="K2459" s="141" t="n"/>
      <c r="L2459" s="141" t="n"/>
      <c r="M2459" s="142" t="n"/>
      <c r="N2459" s="146">
        <f>IF(AND(AND(F2459="",G2459=""),B2459="",C2459="",D2459="",J2459="",K2459="",L2459=""),"",IF(AND(F2459="",G2459=""),"✗ 没填金额",IF(AND(N(F2459)&lt;&gt;0,N(G2459)&lt;&gt;0),"✗ 收入、支出只能填一边",IF(NOT(ISNUMBER(B2459)),"✗ 日期不是真日期（要像 2026/9/25 这样填）",IF(OR(B2459&lt;年初日,B2459&gt;年末日),"✗ 日期不在本会计年度",IF(C2459="","✗ 没选账户",IF(COUNTIF(基础资料!$W$5:$W$24,C2459)=0,"✗ 账户不在基础资料里",IF(O2459="","✗ 没选收支项目",IF(P2459="未知","✗ 收支项目不在基础资料里",IF(AND(P2459="应收",J2459=""),"✗ 这笔要选客户",IF(AND(P2459="应收",COUNTIF(总览汇总!$B$5:$B$304,J2459)=0),"✗ 客户不在总览汇总名单里",IF(AND(P2459="应付",K2459=""),"✗ 这笔要选供应商",IF(AND(P2459="应付",COUNTIF(基础资料!$Q$5:$Q$54,K2459)=0),"✗ 供应商不在基础资料里",IF(AND(P2459="费用",L2459=""),"✗ 费用支出要选费用项目",IF(AND(L2459&lt;&gt;"",COUNTIF(基础资料!$AI$5:$AI$54,L2459)=0),"✗ 费用项目不在基础资料里",IF(AND(IFERROR(INDEX(基础资料!$AD$5:$AD$34,MATCH(O2459,基础资料!$AC$5:$AC$34,0)),"")="收",N(G2459)&lt;&gt;0),"✗ 这类是收款，金额填到收入列",IF(AND(IFERROR(INDEX(基础资料!$AD$5:$AD$34,MATCH(O2459,基础资料!$AC$5:$AC$34,0)),"")="支",N(F2459)&lt;&gt;0),"✗ 这类是付款，金额填到支出列",IF(N(H2459)&lt;0,"⚠ 账户余额成负数了，核对一下","√"))))))))))))))))))</f>
      </c>
      <c r="O2459" s="78">
        <f>IF(D2459&lt;&gt;"",D2459,IF(AND(F2459="",G2459=""),"",IF(J2459&lt;&gt;"",IF(N(F2459)&gt;0,"客户回款","客户退款"),IF(K2459&lt;&gt;"",IF(N(G2459)&gt;0,"供应商付款","供应商退款"),IF(L2459&lt;&gt;"","费用支出","")))))</f>
      </c>
      <c r="P2459" s="78">
        <f>IF(O2459="","",IFERROR(INDEX(基础资料!$AE$5:$AE$34,MATCH(O2459,基础资料!$AC$5:$AC$34,0)),"未知"))</f>
      </c>
      <c r="Q2459" s="78">
        <f>IF(P2459="应收",COUNTIF(P$7:P2459,"应收"),"")</f>
      </c>
      <c r="R2459" s="78">
        <f>IF(P2459="应付",COUNTIF(P$7:P2459,"应付"),"")</f>
      </c>
      <c r="S2459" s="78">
        <f>N(F2459)-N(G2459)</f>
        <v>0</v>
      </c>
    </row>
    <row r="2460">
      <c r="A2460" s="109">
        <f>IF(AND(F2460="",G2460=""),"",ROW()-6)</f>
      </c>
      <c r="B2460" s="140" t="n"/>
      <c r="C2460" s="141" t="n"/>
      <c r="D2460" s="141" t="n"/>
      <c r="E2460" s="142" t="n"/>
      <c r="F2460" s="143" t="n"/>
      <c r="G2460" s="144" t="n"/>
      <c r="H2460" s="145">
        <f>IF(OR(C2460="",AND(F2460="",G2460="")),"",SUMIF(基础资料!$W$5:$W$24,C2460,基础资料!$X$5:$X$24)+SUMIF(C$7:C2460,C2460,F$7:F2460)-SUMIF(C$7:C2460,C2460,G$7:G2460))</f>
      </c>
      <c r="I2460" s="145">
        <f>IF(AND(F2460="",G2460=""),"",SUM(基础资料!$X$5:$X$24)+SUM(F$7:F2460)-SUM(G$7:G2460))</f>
      </c>
      <c r="J2460" s="141" t="n"/>
      <c r="K2460" s="141" t="n"/>
      <c r="L2460" s="141" t="n"/>
      <c r="M2460" s="142" t="n"/>
      <c r="N2460" s="146">
        <f>IF(AND(AND(F2460="",G2460=""),B2460="",C2460="",D2460="",J2460="",K2460="",L2460=""),"",IF(AND(F2460="",G2460=""),"✗ 没填金额",IF(AND(N(F2460)&lt;&gt;0,N(G2460)&lt;&gt;0),"✗ 收入、支出只能填一边",IF(NOT(ISNUMBER(B2460)),"✗ 日期不是真日期（要像 2026/9/25 这样填）",IF(OR(B2460&lt;年初日,B2460&gt;年末日),"✗ 日期不在本会计年度",IF(C2460="","✗ 没选账户",IF(COUNTIF(基础资料!$W$5:$W$24,C2460)=0,"✗ 账户不在基础资料里",IF(O2460="","✗ 没选收支项目",IF(P2460="未知","✗ 收支项目不在基础资料里",IF(AND(P2460="应收",J2460=""),"✗ 这笔要选客户",IF(AND(P2460="应收",COUNTIF(总览汇总!$B$5:$B$304,J2460)=0),"✗ 客户不在总览汇总名单里",IF(AND(P2460="应付",K2460=""),"✗ 这笔要选供应商",IF(AND(P2460="应付",COUNTIF(基础资料!$Q$5:$Q$54,K2460)=0),"✗ 供应商不在基础资料里",IF(AND(P2460="费用",L2460=""),"✗ 费用支出要选费用项目",IF(AND(L2460&lt;&gt;"",COUNTIF(基础资料!$AI$5:$AI$54,L2460)=0),"✗ 费用项目不在基础资料里",IF(AND(IFERROR(INDEX(基础资料!$AD$5:$AD$34,MATCH(O2460,基础资料!$AC$5:$AC$34,0)),"")="收",N(G2460)&lt;&gt;0),"✗ 这类是收款，金额填到收入列",IF(AND(IFERROR(INDEX(基础资料!$AD$5:$AD$34,MATCH(O2460,基础资料!$AC$5:$AC$34,0)),"")="支",N(F2460)&lt;&gt;0),"✗ 这类是付款，金额填到支出列",IF(N(H2460)&lt;0,"⚠ 账户余额成负数了，核对一下","√"))))))))))))))))))</f>
      </c>
      <c r="O2460" s="78">
        <f>IF(D2460&lt;&gt;"",D2460,IF(AND(F2460="",G2460=""),"",IF(J2460&lt;&gt;"",IF(N(F2460)&gt;0,"客户回款","客户退款"),IF(K2460&lt;&gt;"",IF(N(G2460)&gt;0,"供应商付款","供应商退款"),IF(L2460&lt;&gt;"","费用支出","")))))</f>
      </c>
      <c r="P2460" s="78">
        <f>IF(O2460="","",IFERROR(INDEX(基础资料!$AE$5:$AE$34,MATCH(O2460,基础资料!$AC$5:$AC$34,0)),"未知"))</f>
      </c>
      <c r="Q2460" s="78">
        <f>IF(P2460="应收",COUNTIF(P$7:P2460,"应收"),"")</f>
      </c>
      <c r="R2460" s="78">
        <f>IF(P2460="应付",COUNTIF(P$7:P2460,"应付"),"")</f>
      </c>
      <c r="S2460" s="78">
        <f>N(F2460)-N(G2460)</f>
        <v>0</v>
      </c>
    </row>
    <row r="2461">
      <c r="A2461" s="109">
        <f>IF(AND(F2461="",G2461=""),"",ROW()-6)</f>
      </c>
      <c r="B2461" s="140" t="n"/>
      <c r="C2461" s="141" t="n"/>
      <c r="D2461" s="141" t="n"/>
      <c r="E2461" s="142" t="n"/>
      <c r="F2461" s="143" t="n"/>
      <c r="G2461" s="144" t="n"/>
      <c r="H2461" s="145">
        <f>IF(OR(C2461="",AND(F2461="",G2461="")),"",SUMIF(基础资料!$W$5:$W$24,C2461,基础资料!$X$5:$X$24)+SUMIF(C$7:C2461,C2461,F$7:F2461)-SUMIF(C$7:C2461,C2461,G$7:G2461))</f>
      </c>
      <c r="I2461" s="145">
        <f>IF(AND(F2461="",G2461=""),"",SUM(基础资料!$X$5:$X$24)+SUM(F$7:F2461)-SUM(G$7:G2461))</f>
      </c>
      <c r="J2461" s="141" t="n"/>
      <c r="K2461" s="141" t="n"/>
      <c r="L2461" s="141" t="n"/>
      <c r="M2461" s="142" t="n"/>
      <c r="N2461" s="146">
        <f>IF(AND(AND(F2461="",G2461=""),B2461="",C2461="",D2461="",J2461="",K2461="",L2461=""),"",IF(AND(F2461="",G2461=""),"✗ 没填金额",IF(AND(N(F2461)&lt;&gt;0,N(G2461)&lt;&gt;0),"✗ 收入、支出只能填一边",IF(NOT(ISNUMBER(B2461)),"✗ 日期不是真日期（要像 2026/9/25 这样填）",IF(OR(B2461&lt;年初日,B2461&gt;年末日),"✗ 日期不在本会计年度",IF(C2461="","✗ 没选账户",IF(COUNTIF(基础资料!$W$5:$W$24,C2461)=0,"✗ 账户不在基础资料里",IF(O2461="","✗ 没选收支项目",IF(P2461="未知","✗ 收支项目不在基础资料里",IF(AND(P2461="应收",J2461=""),"✗ 这笔要选客户",IF(AND(P2461="应收",COUNTIF(总览汇总!$B$5:$B$304,J2461)=0),"✗ 客户不在总览汇总名单里",IF(AND(P2461="应付",K2461=""),"✗ 这笔要选供应商",IF(AND(P2461="应付",COUNTIF(基础资料!$Q$5:$Q$54,K2461)=0),"✗ 供应商不在基础资料里",IF(AND(P2461="费用",L2461=""),"✗ 费用支出要选费用项目",IF(AND(L2461&lt;&gt;"",COUNTIF(基础资料!$AI$5:$AI$54,L2461)=0),"✗ 费用项目不在基础资料里",IF(AND(IFERROR(INDEX(基础资料!$AD$5:$AD$34,MATCH(O2461,基础资料!$AC$5:$AC$34,0)),"")="收",N(G2461)&lt;&gt;0),"✗ 这类是收款，金额填到收入列",IF(AND(IFERROR(INDEX(基础资料!$AD$5:$AD$34,MATCH(O2461,基础资料!$AC$5:$AC$34,0)),"")="支",N(F2461)&lt;&gt;0),"✗ 这类是付款，金额填到支出列",IF(N(H2461)&lt;0,"⚠ 账户余额成负数了，核对一下","√"))))))))))))))))))</f>
      </c>
      <c r="O2461" s="78">
        <f>IF(D2461&lt;&gt;"",D2461,IF(AND(F2461="",G2461=""),"",IF(J2461&lt;&gt;"",IF(N(F2461)&gt;0,"客户回款","客户退款"),IF(K2461&lt;&gt;"",IF(N(G2461)&gt;0,"供应商付款","供应商退款"),IF(L2461&lt;&gt;"","费用支出","")))))</f>
      </c>
      <c r="P2461" s="78">
        <f>IF(O2461="","",IFERROR(INDEX(基础资料!$AE$5:$AE$34,MATCH(O2461,基础资料!$AC$5:$AC$34,0)),"未知"))</f>
      </c>
      <c r="Q2461" s="78">
        <f>IF(P2461="应收",COUNTIF(P$7:P2461,"应收"),"")</f>
      </c>
      <c r="R2461" s="78">
        <f>IF(P2461="应付",COUNTIF(P$7:P2461,"应付"),"")</f>
      </c>
      <c r="S2461" s="78">
        <f>N(F2461)-N(G2461)</f>
        <v>0</v>
      </c>
    </row>
    <row r="2462">
      <c r="A2462" s="109">
        <f>IF(AND(F2462="",G2462=""),"",ROW()-6)</f>
      </c>
      <c r="B2462" s="140" t="n"/>
      <c r="C2462" s="141" t="n"/>
      <c r="D2462" s="141" t="n"/>
      <c r="E2462" s="142" t="n"/>
      <c r="F2462" s="143" t="n"/>
      <c r="G2462" s="144" t="n"/>
      <c r="H2462" s="145">
        <f>IF(OR(C2462="",AND(F2462="",G2462="")),"",SUMIF(基础资料!$W$5:$W$24,C2462,基础资料!$X$5:$X$24)+SUMIF(C$7:C2462,C2462,F$7:F2462)-SUMIF(C$7:C2462,C2462,G$7:G2462))</f>
      </c>
      <c r="I2462" s="145">
        <f>IF(AND(F2462="",G2462=""),"",SUM(基础资料!$X$5:$X$24)+SUM(F$7:F2462)-SUM(G$7:G2462))</f>
      </c>
      <c r="J2462" s="141" t="n"/>
      <c r="K2462" s="141" t="n"/>
      <c r="L2462" s="141" t="n"/>
      <c r="M2462" s="142" t="n"/>
      <c r="N2462" s="146">
        <f>IF(AND(AND(F2462="",G2462=""),B2462="",C2462="",D2462="",J2462="",K2462="",L2462=""),"",IF(AND(F2462="",G2462=""),"✗ 没填金额",IF(AND(N(F2462)&lt;&gt;0,N(G2462)&lt;&gt;0),"✗ 收入、支出只能填一边",IF(NOT(ISNUMBER(B2462)),"✗ 日期不是真日期（要像 2026/9/25 这样填）",IF(OR(B2462&lt;年初日,B2462&gt;年末日),"✗ 日期不在本会计年度",IF(C2462="","✗ 没选账户",IF(COUNTIF(基础资料!$W$5:$W$24,C2462)=0,"✗ 账户不在基础资料里",IF(O2462="","✗ 没选收支项目",IF(P2462="未知","✗ 收支项目不在基础资料里",IF(AND(P2462="应收",J2462=""),"✗ 这笔要选客户",IF(AND(P2462="应收",COUNTIF(总览汇总!$B$5:$B$304,J2462)=0),"✗ 客户不在总览汇总名单里",IF(AND(P2462="应付",K2462=""),"✗ 这笔要选供应商",IF(AND(P2462="应付",COUNTIF(基础资料!$Q$5:$Q$54,K2462)=0),"✗ 供应商不在基础资料里",IF(AND(P2462="费用",L2462=""),"✗ 费用支出要选费用项目",IF(AND(L2462&lt;&gt;"",COUNTIF(基础资料!$AI$5:$AI$54,L2462)=0),"✗ 费用项目不在基础资料里",IF(AND(IFERROR(INDEX(基础资料!$AD$5:$AD$34,MATCH(O2462,基础资料!$AC$5:$AC$34,0)),"")="收",N(G2462)&lt;&gt;0),"✗ 这类是收款，金额填到收入列",IF(AND(IFERROR(INDEX(基础资料!$AD$5:$AD$34,MATCH(O2462,基础资料!$AC$5:$AC$34,0)),"")="支",N(F2462)&lt;&gt;0),"✗ 这类是付款，金额填到支出列",IF(N(H2462)&lt;0,"⚠ 账户余额成负数了，核对一下","√"))))))))))))))))))</f>
      </c>
      <c r="O2462" s="78">
        <f>IF(D2462&lt;&gt;"",D2462,IF(AND(F2462="",G2462=""),"",IF(J2462&lt;&gt;"",IF(N(F2462)&gt;0,"客户回款","客户退款"),IF(K2462&lt;&gt;"",IF(N(G2462)&gt;0,"供应商付款","供应商退款"),IF(L2462&lt;&gt;"","费用支出","")))))</f>
      </c>
      <c r="P2462" s="78">
        <f>IF(O2462="","",IFERROR(INDEX(基础资料!$AE$5:$AE$34,MATCH(O2462,基础资料!$AC$5:$AC$34,0)),"未知"))</f>
      </c>
      <c r="Q2462" s="78">
        <f>IF(P2462="应收",COUNTIF(P$7:P2462,"应收"),"")</f>
      </c>
      <c r="R2462" s="78">
        <f>IF(P2462="应付",COUNTIF(P$7:P2462,"应付"),"")</f>
      </c>
      <c r="S2462" s="78">
        <f>N(F2462)-N(G2462)</f>
        <v>0</v>
      </c>
    </row>
    <row r="2463">
      <c r="A2463" s="109">
        <f>IF(AND(F2463="",G2463=""),"",ROW()-6)</f>
      </c>
      <c r="B2463" s="140" t="n"/>
      <c r="C2463" s="141" t="n"/>
      <c r="D2463" s="141" t="n"/>
      <c r="E2463" s="142" t="n"/>
      <c r="F2463" s="143" t="n"/>
      <c r="G2463" s="144" t="n"/>
      <c r="H2463" s="145">
        <f>IF(OR(C2463="",AND(F2463="",G2463="")),"",SUMIF(基础资料!$W$5:$W$24,C2463,基础资料!$X$5:$X$24)+SUMIF(C$7:C2463,C2463,F$7:F2463)-SUMIF(C$7:C2463,C2463,G$7:G2463))</f>
      </c>
      <c r="I2463" s="145">
        <f>IF(AND(F2463="",G2463=""),"",SUM(基础资料!$X$5:$X$24)+SUM(F$7:F2463)-SUM(G$7:G2463))</f>
      </c>
      <c r="J2463" s="141" t="n"/>
      <c r="K2463" s="141" t="n"/>
      <c r="L2463" s="141" t="n"/>
      <c r="M2463" s="142" t="n"/>
      <c r="N2463" s="146">
        <f>IF(AND(AND(F2463="",G2463=""),B2463="",C2463="",D2463="",J2463="",K2463="",L2463=""),"",IF(AND(F2463="",G2463=""),"✗ 没填金额",IF(AND(N(F2463)&lt;&gt;0,N(G2463)&lt;&gt;0),"✗ 收入、支出只能填一边",IF(NOT(ISNUMBER(B2463)),"✗ 日期不是真日期（要像 2026/9/25 这样填）",IF(OR(B2463&lt;年初日,B2463&gt;年末日),"✗ 日期不在本会计年度",IF(C2463="","✗ 没选账户",IF(COUNTIF(基础资料!$W$5:$W$24,C2463)=0,"✗ 账户不在基础资料里",IF(O2463="","✗ 没选收支项目",IF(P2463="未知","✗ 收支项目不在基础资料里",IF(AND(P2463="应收",J2463=""),"✗ 这笔要选客户",IF(AND(P2463="应收",COUNTIF(总览汇总!$B$5:$B$304,J2463)=0),"✗ 客户不在总览汇总名单里",IF(AND(P2463="应付",K2463=""),"✗ 这笔要选供应商",IF(AND(P2463="应付",COUNTIF(基础资料!$Q$5:$Q$54,K2463)=0),"✗ 供应商不在基础资料里",IF(AND(P2463="费用",L2463=""),"✗ 费用支出要选费用项目",IF(AND(L2463&lt;&gt;"",COUNTIF(基础资料!$AI$5:$AI$54,L2463)=0),"✗ 费用项目不在基础资料里",IF(AND(IFERROR(INDEX(基础资料!$AD$5:$AD$34,MATCH(O2463,基础资料!$AC$5:$AC$34,0)),"")="收",N(G2463)&lt;&gt;0),"✗ 这类是收款，金额填到收入列",IF(AND(IFERROR(INDEX(基础资料!$AD$5:$AD$34,MATCH(O2463,基础资料!$AC$5:$AC$34,0)),"")="支",N(F2463)&lt;&gt;0),"✗ 这类是付款，金额填到支出列",IF(N(H2463)&lt;0,"⚠ 账户余额成负数了，核对一下","√"))))))))))))))))))</f>
      </c>
      <c r="O2463" s="78">
        <f>IF(D2463&lt;&gt;"",D2463,IF(AND(F2463="",G2463=""),"",IF(J2463&lt;&gt;"",IF(N(F2463)&gt;0,"客户回款","客户退款"),IF(K2463&lt;&gt;"",IF(N(G2463)&gt;0,"供应商付款","供应商退款"),IF(L2463&lt;&gt;"","费用支出","")))))</f>
      </c>
      <c r="P2463" s="78">
        <f>IF(O2463="","",IFERROR(INDEX(基础资料!$AE$5:$AE$34,MATCH(O2463,基础资料!$AC$5:$AC$34,0)),"未知"))</f>
      </c>
      <c r="Q2463" s="78">
        <f>IF(P2463="应收",COUNTIF(P$7:P2463,"应收"),"")</f>
      </c>
      <c r="R2463" s="78">
        <f>IF(P2463="应付",COUNTIF(P$7:P2463,"应付"),"")</f>
      </c>
      <c r="S2463" s="78">
        <f>N(F2463)-N(G2463)</f>
        <v>0</v>
      </c>
    </row>
    <row r="2464">
      <c r="A2464" s="109">
        <f>IF(AND(F2464="",G2464=""),"",ROW()-6)</f>
      </c>
      <c r="B2464" s="140" t="n"/>
      <c r="C2464" s="141" t="n"/>
      <c r="D2464" s="141" t="n"/>
      <c r="E2464" s="142" t="n"/>
      <c r="F2464" s="143" t="n"/>
      <c r="G2464" s="144" t="n"/>
      <c r="H2464" s="145">
        <f>IF(OR(C2464="",AND(F2464="",G2464="")),"",SUMIF(基础资料!$W$5:$W$24,C2464,基础资料!$X$5:$X$24)+SUMIF(C$7:C2464,C2464,F$7:F2464)-SUMIF(C$7:C2464,C2464,G$7:G2464))</f>
      </c>
      <c r="I2464" s="145">
        <f>IF(AND(F2464="",G2464=""),"",SUM(基础资料!$X$5:$X$24)+SUM(F$7:F2464)-SUM(G$7:G2464))</f>
      </c>
      <c r="J2464" s="141" t="n"/>
      <c r="K2464" s="141" t="n"/>
      <c r="L2464" s="141" t="n"/>
      <c r="M2464" s="142" t="n"/>
      <c r="N2464" s="146">
        <f>IF(AND(AND(F2464="",G2464=""),B2464="",C2464="",D2464="",J2464="",K2464="",L2464=""),"",IF(AND(F2464="",G2464=""),"✗ 没填金额",IF(AND(N(F2464)&lt;&gt;0,N(G2464)&lt;&gt;0),"✗ 收入、支出只能填一边",IF(NOT(ISNUMBER(B2464)),"✗ 日期不是真日期（要像 2026/9/25 这样填）",IF(OR(B2464&lt;年初日,B2464&gt;年末日),"✗ 日期不在本会计年度",IF(C2464="","✗ 没选账户",IF(COUNTIF(基础资料!$W$5:$W$24,C2464)=0,"✗ 账户不在基础资料里",IF(O2464="","✗ 没选收支项目",IF(P2464="未知","✗ 收支项目不在基础资料里",IF(AND(P2464="应收",J2464=""),"✗ 这笔要选客户",IF(AND(P2464="应收",COUNTIF(总览汇总!$B$5:$B$304,J2464)=0),"✗ 客户不在总览汇总名单里",IF(AND(P2464="应付",K2464=""),"✗ 这笔要选供应商",IF(AND(P2464="应付",COUNTIF(基础资料!$Q$5:$Q$54,K2464)=0),"✗ 供应商不在基础资料里",IF(AND(P2464="费用",L2464=""),"✗ 费用支出要选费用项目",IF(AND(L2464&lt;&gt;"",COUNTIF(基础资料!$AI$5:$AI$54,L2464)=0),"✗ 费用项目不在基础资料里",IF(AND(IFERROR(INDEX(基础资料!$AD$5:$AD$34,MATCH(O2464,基础资料!$AC$5:$AC$34,0)),"")="收",N(G2464)&lt;&gt;0),"✗ 这类是收款，金额填到收入列",IF(AND(IFERROR(INDEX(基础资料!$AD$5:$AD$34,MATCH(O2464,基础资料!$AC$5:$AC$34,0)),"")="支",N(F2464)&lt;&gt;0),"✗ 这类是付款，金额填到支出列",IF(N(H2464)&lt;0,"⚠ 账户余额成负数了，核对一下","√"))))))))))))))))))</f>
      </c>
      <c r="O2464" s="78">
        <f>IF(D2464&lt;&gt;"",D2464,IF(AND(F2464="",G2464=""),"",IF(J2464&lt;&gt;"",IF(N(F2464)&gt;0,"客户回款","客户退款"),IF(K2464&lt;&gt;"",IF(N(G2464)&gt;0,"供应商付款","供应商退款"),IF(L2464&lt;&gt;"","费用支出","")))))</f>
      </c>
      <c r="P2464" s="78">
        <f>IF(O2464="","",IFERROR(INDEX(基础资料!$AE$5:$AE$34,MATCH(O2464,基础资料!$AC$5:$AC$34,0)),"未知"))</f>
      </c>
      <c r="Q2464" s="78">
        <f>IF(P2464="应收",COUNTIF(P$7:P2464,"应收"),"")</f>
      </c>
      <c r="R2464" s="78">
        <f>IF(P2464="应付",COUNTIF(P$7:P2464,"应付"),"")</f>
      </c>
      <c r="S2464" s="78">
        <f>N(F2464)-N(G2464)</f>
        <v>0</v>
      </c>
    </row>
    <row r="2465">
      <c r="A2465" s="109">
        <f>IF(AND(F2465="",G2465=""),"",ROW()-6)</f>
      </c>
      <c r="B2465" s="140" t="n"/>
      <c r="C2465" s="141" t="n"/>
      <c r="D2465" s="141" t="n"/>
      <c r="E2465" s="142" t="n"/>
      <c r="F2465" s="143" t="n"/>
      <c r="G2465" s="144" t="n"/>
      <c r="H2465" s="145">
        <f>IF(OR(C2465="",AND(F2465="",G2465="")),"",SUMIF(基础资料!$W$5:$W$24,C2465,基础资料!$X$5:$X$24)+SUMIF(C$7:C2465,C2465,F$7:F2465)-SUMIF(C$7:C2465,C2465,G$7:G2465))</f>
      </c>
      <c r="I2465" s="145">
        <f>IF(AND(F2465="",G2465=""),"",SUM(基础资料!$X$5:$X$24)+SUM(F$7:F2465)-SUM(G$7:G2465))</f>
      </c>
      <c r="J2465" s="141" t="n"/>
      <c r="K2465" s="141" t="n"/>
      <c r="L2465" s="141" t="n"/>
      <c r="M2465" s="142" t="n"/>
      <c r="N2465" s="146">
        <f>IF(AND(AND(F2465="",G2465=""),B2465="",C2465="",D2465="",J2465="",K2465="",L2465=""),"",IF(AND(F2465="",G2465=""),"✗ 没填金额",IF(AND(N(F2465)&lt;&gt;0,N(G2465)&lt;&gt;0),"✗ 收入、支出只能填一边",IF(NOT(ISNUMBER(B2465)),"✗ 日期不是真日期（要像 2026/9/25 这样填）",IF(OR(B2465&lt;年初日,B2465&gt;年末日),"✗ 日期不在本会计年度",IF(C2465="","✗ 没选账户",IF(COUNTIF(基础资料!$W$5:$W$24,C2465)=0,"✗ 账户不在基础资料里",IF(O2465="","✗ 没选收支项目",IF(P2465="未知","✗ 收支项目不在基础资料里",IF(AND(P2465="应收",J2465=""),"✗ 这笔要选客户",IF(AND(P2465="应收",COUNTIF(总览汇总!$B$5:$B$304,J2465)=0),"✗ 客户不在总览汇总名单里",IF(AND(P2465="应付",K2465=""),"✗ 这笔要选供应商",IF(AND(P2465="应付",COUNTIF(基础资料!$Q$5:$Q$54,K2465)=0),"✗ 供应商不在基础资料里",IF(AND(P2465="费用",L2465=""),"✗ 费用支出要选费用项目",IF(AND(L2465&lt;&gt;"",COUNTIF(基础资料!$AI$5:$AI$54,L2465)=0),"✗ 费用项目不在基础资料里",IF(AND(IFERROR(INDEX(基础资料!$AD$5:$AD$34,MATCH(O2465,基础资料!$AC$5:$AC$34,0)),"")="收",N(G2465)&lt;&gt;0),"✗ 这类是收款，金额填到收入列",IF(AND(IFERROR(INDEX(基础资料!$AD$5:$AD$34,MATCH(O2465,基础资料!$AC$5:$AC$34,0)),"")="支",N(F2465)&lt;&gt;0),"✗ 这类是付款，金额填到支出列",IF(N(H2465)&lt;0,"⚠ 账户余额成负数了，核对一下","√"))))))))))))))))))</f>
      </c>
      <c r="O2465" s="78">
        <f>IF(D2465&lt;&gt;"",D2465,IF(AND(F2465="",G2465=""),"",IF(J2465&lt;&gt;"",IF(N(F2465)&gt;0,"客户回款","客户退款"),IF(K2465&lt;&gt;"",IF(N(G2465)&gt;0,"供应商付款","供应商退款"),IF(L2465&lt;&gt;"","费用支出","")))))</f>
      </c>
      <c r="P2465" s="78">
        <f>IF(O2465="","",IFERROR(INDEX(基础资料!$AE$5:$AE$34,MATCH(O2465,基础资料!$AC$5:$AC$34,0)),"未知"))</f>
      </c>
      <c r="Q2465" s="78">
        <f>IF(P2465="应收",COUNTIF(P$7:P2465,"应收"),"")</f>
      </c>
      <c r="R2465" s="78">
        <f>IF(P2465="应付",COUNTIF(P$7:P2465,"应付"),"")</f>
      </c>
      <c r="S2465" s="78">
        <f>N(F2465)-N(G2465)</f>
        <v>0</v>
      </c>
    </row>
    <row r="2466">
      <c r="A2466" s="109">
        <f>IF(AND(F2466="",G2466=""),"",ROW()-6)</f>
      </c>
      <c r="B2466" s="140" t="n"/>
      <c r="C2466" s="141" t="n"/>
      <c r="D2466" s="141" t="n"/>
      <c r="E2466" s="142" t="n"/>
      <c r="F2466" s="143" t="n"/>
      <c r="G2466" s="144" t="n"/>
      <c r="H2466" s="145">
        <f>IF(OR(C2466="",AND(F2466="",G2466="")),"",SUMIF(基础资料!$W$5:$W$24,C2466,基础资料!$X$5:$X$24)+SUMIF(C$7:C2466,C2466,F$7:F2466)-SUMIF(C$7:C2466,C2466,G$7:G2466))</f>
      </c>
      <c r="I2466" s="145">
        <f>IF(AND(F2466="",G2466=""),"",SUM(基础资料!$X$5:$X$24)+SUM(F$7:F2466)-SUM(G$7:G2466))</f>
      </c>
      <c r="J2466" s="141" t="n"/>
      <c r="K2466" s="141" t="n"/>
      <c r="L2466" s="141" t="n"/>
      <c r="M2466" s="142" t="n"/>
      <c r="N2466" s="146">
        <f>IF(AND(AND(F2466="",G2466=""),B2466="",C2466="",D2466="",J2466="",K2466="",L2466=""),"",IF(AND(F2466="",G2466=""),"✗ 没填金额",IF(AND(N(F2466)&lt;&gt;0,N(G2466)&lt;&gt;0),"✗ 收入、支出只能填一边",IF(NOT(ISNUMBER(B2466)),"✗ 日期不是真日期（要像 2026/9/25 这样填）",IF(OR(B2466&lt;年初日,B2466&gt;年末日),"✗ 日期不在本会计年度",IF(C2466="","✗ 没选账户",IF(COUNTIF(基础资料!$W$5:$W$24,C2466)=0,"✗ 账户不在基础资料里",IF(O2466="","✗ 没选收支项目",IF(P2466="未知","✗ 收支项目不在基础资料里",IF(AND(P2466="应收",J2466=""),"✗ 这笔要选客户",IF(AND(P2466="应收",COUNTIF(总览汇总!$B$5:$B$304,J2466)=0),"✗ 客户不在总览汇总名单里",IF(AND(P2466="应付",K2466=""),"✗ 这笔要选供应商",IF(AND(P2466="应付",COUNTIF(基础资料!$Q$5:$Q$54,K2466)=0),"✗ 供应商不在基础资料里",IF(AND(P2466="费用",L2466=""),"✗ 费用支出要选费用项目",IF(AND(L2466&lt;&gt;"",COUNTIF(基础资料!$AI$5:$AI$54,L2466)=0),"✗ 费用项目不在基础资料里",IF(AND(IFERROR(INDEX(基础资料!$AD$5:$AD$34,MATCH(O2466,基础资料!$AC$5:$AC$34,0)),"")="收",N(G2466)&lt;&gt;0),"✗ 这类是收款，金额填到收入列",IF(AND(IFERROR(INDEX(基础资料!$AD$5:$AD$34,MATCH(O2466,基础资料!$AC$5:$AC$34,0)),"")="支",N(F2466)&lt;&gt;0),"✗ 这类是付款，金额填到支出列",IF(N(H2466)&lt;0,"⚠ 账户余额成负数了，核对一下","√"))))))))))))))))))</f>
      </c>
      <c r="O2466" s="78">
        <f>IF(D2466&lt;&gt;"",D2466,IF(AND(F2466="",G2466=""),"",IF(J2466&lt;&gt;"",IF(N(F2466)&gt;0,"客户回款","客户退款"),IF(K2466&lt;&gt;"",IF(N(G2466)&gt;0,"供应商付款","供应商退款"),IF(L2466&lt;&gt;"","费用支出","")))))</f>
      </c>
      <c r="P2466" s="78">
        <f>IF(O2466="","",IFERROR(INDEX(基础资料!$AE$5:$AE$34,MATCH(O2466,基础资料!$AC$5:$AC$34,0)),"未知"))</f>
      </c>
      <c r="Q2466" s="78">
        <f>IF(P2466="应收",COUNTIF(P$7:P2466,"应收"),"")</f>
      </c>
      <c r="R2466" s="78">
        <f>IF(P2466="应付",COUNTIF(P$7:P2466,"应付"),"")</f>
      </c>
      <c r="S2466" s="78">
        <f>N(F2466)-N(G2466)</f>
        <v>0</v>
      </c>
    </row>
    <row r="2467">
      <c r="A2467" s="109">
        <f>IF(AND(F2467="",G2467=""),"",ROW()-6)</f>
      </c>
      <c r="B2467" s="140" t="n"/>
      <c r="C2467" s="141" t="n"/>
      <c r="D2467" s="141" t="n"/>
      <c r="E2467" s="142" t="n"/>
      <c r="F2467" s="143" t="n"/>
      <c r="G2467" s="144" t="n"/>
      <c r="H2467" s="145">
        <f>IF(OR(C2467="",AND(F2467="",G2467="")),"",SUMIF(基础资料!$W$5:$W$24,C2467,基础资料!$X$5:$X$24)+SUMIF(C$7:C2467,C2467,F$7:F2467)-SUMIF(C$7:C2467,C2467,G$7:G2467))</f>
      </c>
      <c r="I2467" s="145">
        <f>IF(AND(F2467="",G2467=""),"",SUM(基础资料!$X$5:$X$24)+SUM(F$7:F2467)-SUM(G$7:G2467))</f>
      </c>
      <c r="J2467" s="141" t="n"/>
      <c r="K2467" s="141" t="n"/>
      <c r="L2467" s="141" t="n"/>
      <c r="M2467" s="142" t="n"/>
      <c r="N2467" s="146">
        <f>IF(AND(AND(F2467="",G2467=""),B2467="",C2467="",D2467="",J2467="",K2467="",L2467=""),"",IF(AND(F2467="",G2467=""),"✗ 没填金额",IF(AND(N(F2467)&lt;&gt;0,N(G2467)&lt;&gt;0),"✗ 收入、支出只能填一边",IF(NOT(ISNUMBER(B2467)),"✗ 日期不是真日期（要像 2026/9/25 这样填）",IF(OR(B2467&lt;年初日,B2467&gt;年末日),"✗ 日期不在本会计年度",IF(C2467="","✗ 没选账户",IF(COUNTIF(基础资料!$W$5:$W$24,C2467)=0,"✗ 账户不在基础资料里",IF(O2467="","✗ 没选收支项目",IF(P2467="未知","✗ 收支项目不在基础资料里",IF(AND(P2467="应收",J2467=""),"✗ 这笔要选客户",IF(AND(P2467="应收",COUNTIF(总览汇总!$B$5:$B$304,J2467)=0),"✗ 客户不在总览汇总名单里",IF(AND(P2467="应付",K2467=""),"✗ 这笔要选供应商",IF(AND(P2467="应付",COUNTIF(基础资料!$Q$5:$Q$54,K2467)=0),"✗ 供应商不在基础资料里",IF(AND(P2467="费用",L2467=""),"✗ 费用支出要选费用项目",IF(AND(L2467&lt;&gt;"",COUNTIF(基础资料!$AI$5:$AI$54,L2467)=0),"✗ 费用项目不在基础资料里",IF(AND(IFERROR(INDEX(基础资料!$AD$5:$AD$34,MATCH(O2467,基础资料!$AC$5:$AC$34,0)),"")="收",N(G2467)&lt;&gt;0),"✗ 这类是收款，金额填到收入列",IF(AND(IFERROR(INDEX(基础资料!$AD$5:$AD$34,MATCH(O2467,基础资料!$AC$5:$AC$34,0)),"")="支",N(F2467)&lt;&gt;0),"✗ 这类是付款，金额填到支出列",IF(N(H2467)&lt;0,"⚠ 账户余额成负数了，核对一下","√"))))))))))))))))))</f>
      </c>
      <c r="O2467" s="78">
        <f>IF(D2467&lt;&gt;"",D2467,IF(AND(F2467="",G2467=""),"",IF(J2467&lt;&gt;"",IF(N(F2467)&gt;0,"客户回款","客户退款"),IF(K2467&lt;&gt;"",IF(N(G2467)&gt;0,"供应商付款","供应商退款"),IF(L2467&lt;&gt;"","费用支出","")))))</f>
      </c>
      <c r="P2467" s="78">
        <f>IF(O2467="","",IFERROR(INDEX(基础资料!$AE$5:$AE$34,MATCH(O2467,基础资料!$AC$5:$AC$34,0)),"未知"))</f>
      </c>
      <c r="Q2467" s="78">
        <f>IF(P2467="应收",COUNTIF(P$7:P2467,"应收"),"")</f>
      </c>
      <c r="R2467" s="78">
        <f>IF(P2467="应付",COUNTIF(P$7:P2467,"应付"),"")</f>
      </c>
      <c r="S2467" s="78">
        <f>N(F2467)-N(G2467)</f>
        <v>0</v>
      </c>
    </row>
    <row r="2468">
      <c r="A2468" s="109">
        <f>IF(AND(F2468="",G2468=""),"",ROW()-6)</f>
      </c>
      <c r="B2468" s="140" t="n"/>
      <c r="C2468" s="141" t="n"/>
      <c r="D2468" s="141" t="n"/>
      <c r="E2468" s="142" t="n"/>
      <c r="F2468" s="143" t="n"/>
      <c r="G2468" s="144" t="n"/>
      <c r="H2468" s="145">
        <f>IF(OR(C2468="",AND(F2468="",G2468="")),"",SUMIF(基础资料!$W$5:$W$24,C2468,基础资料!$X$5:$X$24)+SUMIF(C$7:C2468,C2468,F$7:F2468)-SUMIF(C$7:C2468,C2468,G$7:G2468))</f>
      </c>
      <c r="I2468" s="145">
        <f>IF(AND(F2468="",G2468=""),"",SUM(基础资料!$X$5:$X$24)+SUM(F$7:F2468)-SUM(G$7:G2468))</f>
      </c>
      <c r="J2468" s="141" t="n"/>
      <c r="K2468" s="141" t="n"/>
      <c r="L2468" s="141" t="n"/>
      <c r="M2468" s="142" t="n"/>
      <c r="N2468" s="146">
        <f>IF(AND(AND(F2468="",G2468=""),B2468="",C2468="",D2468="",J2468="",K2468="",L2468=""),"",IF(AND(F2468="",G2468=""),"✗ 没填金额",IF(AND(N(F2468)&lt;&gt;0,N(G2468)&lt;&gt;0),"✗ 收入、支出只能填一边",IF(NOT(ISNUMBER(B2468)),"✗ 日期不是真日期（要像 2026/9/25 这样填）",IF(OR(B2468&lt;年初日,B2468&gt;年末日),"✗ 日期不在本会计年度",IF(C2468="","✗ 没选账户",IF(COUNTIF(基础资料!$W$5:$W$24,C2468)=0,"✗ 账户不在基础资料里",IF(O2468="","✗ 没选收支项目",IF(P2468="未知","✗ 收支项目不在基础资料里",IF(AND(P2468="应收",J2468=""),"✗ 这笔要选客户",IF(AND(P2468="应收",COUNTIF(总览汇总!$B$5:$B$304,J2468)=0),"✗ 客户不在总览汇总名单里",IF(AND(P2468="应付",K2468=""),"✗ 这笔要选供应商",IF(AND(P2468="应付",COUNTIF(基础资料!$Q$5:$Q$54,K2468)=0),"✗ 供应商不在基础资料里",IF(AND(P2468="费用",L2468=""),"✗ 费用支出要选费用项目",IF(AND(L2468&lt;&gt;"",COUNTIF(基础资料!$AI$5:$AI$54,L2468)=0),"✗ 费用项目不在基础资料里",IF(AND(IFERROR(INDEX(基础资料!$AD$5:$AD$34,MATCH(O2468,基础资料!$AC$5:$AC$34,0)),"")="收",N(G2468)&lt;&gt;0),"✗ 这类是收款，金额填到收入列",IF(AND(IFERROR(INDEX(基础资料!$AD$5:$AD$34,MATCH(O2468,基础资料!$AC$5:$AC$34,0)),"")="支",N(F2468)&lt;&gt;0),"✗ 这类是付款，金额填到支出列",IF(N(H2468)&lt;0,"⚠ 账户余额成负数了，核对一下","√"))))))))))))))))))</f>
      </c>
      <c r="O2468" s="78">
        <f>IF(D2468&lt;&gt;"",D2468,IF(AND(F2468="",G2468=""),"",IF(J2468&lt;&gt;"",IF(N(F2468)&gt;0,"客户回款","客户退款"),IF(K2468&lt;&gt;"",IF(N(G2468)&gt;0,"供应商付款","供应商退款"),IF(L2468&lt;&gt;"","费用支出","")))))</f>
      </c>
      <c r="P2468" s="78">
        <f>IF(O2468="","",IFERROR(INDEX(基础资料!$AE$5:$AE$34,MATCH(O2468,基础资料!$AC$5:$AC$34,0)),"未知"))</f>
      </c>
      <c r="Q2468" s="78">
        <f>IF(P2468="应收",COUNTIF(P$7:P2468,"应收"),"")</f>
      </c>
      <c r="R2468" s="78">
        <f>IF(P2468="应付",COUNTIF(P$7:P2468,"应付"),"")</f>
      </c>
      <c r="S2468" s="78">
        <f>N(F2468)-N(G2468)</f>
        <v>0</v>
      </c>
    </row>
    <row r="2469">
      <c r="A2469" s="109">
        <f>IF(AND(F2469="",G2469=""),"",ROW()-6)</f>
      </c>
      <c r="B2469" s="140" t="n"/>
      <c r="C2469" s="141" t="n"/>
      <c r="D2469" s="141" t="n"/>
      <c r="E2469" s="142" t="n"/>
      <c r="F2469" s="143" t="n"/>
      <c r="G2469" s="144" t="n"/>
      <c r="H2469" s="145">
        <f>IF(OR(C2469="",AND(F2469="",G2469="")),"",SUMIF(基础资料!$W$5:$W$24,C2469,基础资料!$X$5:$X$24)+SUMIF(C$7:C2469,C2469,F$7:F2469)-SUMIF(C$7:C2469,C2469,G$7:G2469))</f>
      </c>
      <c r="I2469" s="145">
        <f>IF(AND(F2469="",G2469=""),"",SUM(基础资料!$X$5:$X$24)+SUM(F$7:F2469)-SUM(G$7:G2469))</f>
      </c>
      <c r="J2469" s="141" t="n"/>
      <c r="K2469" s="141" t="n"/>
      <c r="L2469" s="141" t="n"/>
      <c r="M2469" s="142" t="n"/>
      <c r="N2469" s="146">
        <f>IF(AND(AND(F2469="",G2469=""),B2469="",C2469="",D2469="",J2469="",K2469="",L2469=""),"",IF(AND(F2469="",G2469=""),"✗ 没填金额",IF(AND(N(F2469)&lt;&gt;0,N(G2469)&lt;&gt;0),"✗ 收入、支出只能填一边",IF(NOT(ISNUMBER(B2469)),"✗ 日期不是真日期（要像 2026/9/25 这样填）",IF(OR(B2469&lt;年初日,B2469&gt;年末日),"✗ 日期不在本会计年度",IF(C2469="","✗ 没选账户",IF(COUNTIF(基础资料!$W$5:$W$24,C2469)=0,"✗ 账户不在基础资料里",IF(O2469="","✗ 没选收支项目",IF(P2469="未知","✗ 收支项目不在基础资料里",IF(AND(P2469="应收",J2469=""),"✗ 这笔要选客户",IF(AND(P2469="应收",COUNTIF(总览汇总!$B$5:$B$304,J2469)=0),"✗ 客户不在总览汇总名单里",IF(AND(P2469="应付",K2469=""),"✗ 这笔要选供应商",IF(AND(P2469="应付",COUNTIF(基础资料!$Q$5:$Q$54,K2469)=0),"✗ 供应商不在基础资料里",IF(AND(P2469="费用",L2469=""),"✗ 费用支出要选费用项目",IF(AND(L2469&lt;&gt;"",COUNTIF(基础资料!$AI$5:$AI$54,L2469)=0),"✗ 费用项目不在基础资料里",IF(AND(IFERROR(INDEX(基础资料!$AD$5:$AD$34,MATCH(O2469,基础资料!$AC$5:$AC$34,0)),"")="收",N(G2469)&lt;&gt;0),"✗ 这类是收款，金额填到收入列",IF(AND(IFERROR(INDEX(基础资料!$AD$5:$AD$34,MATCH(O2469,基础资料!$AC$5:$AC$34,0)),"")="支",N(F2469)&lt;&gt;0),"✗ 这类是付款，金额填到支出列",IF(N(H2469)&lt;0,"⚠ 账户余额成负数了，核对一下","√"))))))))))))))))))</f>
      </c>
      <c r="O2469" s="78">
        <f>IF(D2469&lt;&gt;"",D2469,IF(AND(F2469="",G2469=""),"",IF(J2469&lt;&gt;"",IF(N(F2469)&gt;0,"客户回款","客户退款"),IF(K2469&lt;&gt;"",IF(N(G2469)&gt;0,"供应商付款","供应商退款"),IF(L2469&lt;&gt;"","费用支出","")))))</f>
      </c>
      <c r="P2469" s="78">
        <f>IF(O2469="","",IFERROR(INDEX(基础资料!$AE$5:$AE$34,MATCH(O2469,基础资料!$AC$5:$AC$34,0)),"未知"))</f>
      </c>
      <c r="Q2469" s="78">
        <f>IF(P2469="应收",COUNTIF(P$7:P2469,"应收"),"")</f>
      </c>
      <c r="R2469" s="78">
        <f>IF(P2469="应付",COUNTIF(P$7:P2469,"应付"),"")</f>
      </c>
      <c r="S2469" s="78">
        <f>N(F2469)-N(G2469)</f>
        <v>0</v>
      </c>
    </row>
    <row r="2470">
      <c r="A2470" s="109">
        <f>IF(AND(F2470="",G2470=""),"",ROW()-6)</f>
      </c>
      <c r="B2470" s="140" t="n"/>
      <c r="C2470" s="141" t="n"/>
      <c r="D2470" s="141" t="n"/>
      <c r="E2470" s="142" t="n"/>
      <c r="F2470" s="143" t="n"/>
      <c r="G2470" s="144" t="n"/>
      <c r="H2470" s="145">
        <f>IF(OR(C2470="",AND(F2470="",G2470="")),"",SUMIF(基础资料!$W$5:$W$24,C2470,基础资料!$X$5:$X$24)+SUMIF(C$7:C2470,C2470,F$7:F2470)-SUMIF(C$7:C2470,C2470,G$7:G2470))</f>
      </c>
      <c r="I2470" s="145">
        <f>IF(AND(F2470="",G2470=""),"",SUM(基础资料!$X$5:$X$24)+SUM(F$7:F2470)-SUM(G$7:G2470))</f>
      </c>
      <c r="J2470" s="141" t="n"/>
      <c r="K2470" s="141" t="n"/>
      <c r="L2470" s="141" t="n"/>
      <c r="M2470" s="142" t="n"/>
      <c r="N2470" s="146">
        <f>IF(AND(AND(F2470="",G2470=""),B2470="",C2470="",D2470="",J2470="",K2470="",L2470=""),"",IF(AND(F2470="",G2470=""),"✗ 没填金额",IF(AND(N(F2470)&lt;&gt;0,N(G2470)&lt;&gt;0),"✗ 收入、支出只能填一边",IF(NOT(ISNUMBER(B2470)),"✗ 日期不是真日期（要像 2026/9/25 这样填）",IF(OR(B2470&lt;年初日,B2470&gt;年末日),"✗ 日期不在本会计年度",IF(C2470="","✗ 没选账户",IF(COUNTIF(基础资料!$W$5:$W$24,C2470)=0,"✗ 账户不在基础资料里",IF(O2470="","✗ 没选收支项目",IF(P2470="未知","✗ 收支项目不在基础资料里",IF(AND(P2470="应收",J2470=""),"✗ 这笔要选客户",IF(AND(P2470="应收",COUNTIF(总览汇总!$B$5:$B$304,J2470)=0),"✗ 客户不在总览汇总名单里",IF(AND(P2470="应付",K2470=""),"✗ 这笔要选供应商",IF(AND(P2470="应付",COUNTIF(基础资料!$Q$5:$Q$54,K2470)=0),"✗ 供应商不在基础资料里",IF(AND(P2470="费用",L2470=""),"✗ 费用支出要选费用项目",IF(AND(L2470&lt;&gt;"",COUNTIF(基础资料!$AI$5:$AI$54,L2470)=0),"✗ 费用项目不在基础资料里",IF(AND(IFERROR(INDEX(基础资料!$AD$5:$AD$34,MATCH(O2470,基础资料!$AC$5:$AC$34,0)),"")="收",N(G2470)&lt;&gt;0),"✗ 这类是收款，金额填到收入列",IF(AND(IFERROR(INDEX(基础资料!$AD$5:$AD$34,MATCH(O2470,基础资料!$AC$5:$AC$34,0)),"")="支",N(F2470)&lt;&gt;0),"✗ 这类是付款，金额填到支出列",IF(N(H2470)&lt;0,"⚠ 账户余额成负数了，核对一下","√"))))))))))))))))))</f>
      </c>
      <c r="O2470" s="78">
        <f>IF(D2470&lt;&gt;"",D2470,IF(AND(F2470="",G2470=""),"",IF(J2470&lt;&gt;"",IF(N(F2470)&gt;0,"客户回款","客户退款"),IF(K2470&lt;&gt;"",IF(N(G2470)&gt;0,"供应商付款","供应商退款"),IF(L2470&lt;&gt;"","费用支出","")))))</f>
      </c>
      <c r="P2470" s="78">
        <f>IF(O2470="","",IFERROR(INDEX(基础资料!$AE$5:$AE$34,MATCH(O2470,基础资料!$AC$5:$AC$34,0)),"未知"))</f>
      </c>
      <c r="Q2470" s="78">
        <f>IF(P2470="应收",COUNTIF(P$7:P2470,"应收"),"")</f>
      </c>
      <c r="R2470" s="78">
        <f>IF(P2470="应付",COUNTIF(P$7:P2470,"应付"),"")</f>
      </c>
      <c r="S2470" s="78">
        <f>N(F2470)-N(G2470)</f>
        <v>0</v>
      </c>
    </row>
    <row r="2471">
      <c r="A2471" s="109">
        <f>IF(AND(F2471="",G2471=""),"",ROW()-6)</f>
      </c>
      <c r="B2471" s="140" t="n"/>
      <c r="C2471" s="141" t="n"/>
      <c r="D2471" s="141" t="n"/>
      <c r="E2471" s="142" t="n"/>
      <c r="F2471" s="143" t="n"/>
      <c r="G2471" s="144" t="n"/>
      <c r="H2471" s="145">
        <f>IF(OR(C2471="",AND(F2471="",G2471="")),"",SUMIF(基础资料!$W$5:$W$24,C2471,基础资料!$X$5:$X$24)+SUMIF(C$7:C2471,C2471,F$7:F2471)-SUMIF(C$7:C2471,C2471,G$7:G2471))</f>
      </c>
      <c r="I2471" s="145">
        <f>IF(AND(F2471="",G2471=""),"",SUM(基础资料!$X$5:$X$24)+SUM(F$7:F2471)-SUM(G$7:G2471))</f>
      </c>
      <c r="J2471" s="141" t="n"/>
      <c r="K2471" s="141" t="n"/>
      <c r="L2471" s="141" t="n"/>
      <c r="M2471" s="142" t="n"/>
      <c r="N2471" s="146">
        <f>IF(AND(AND(F2471="",G2471=""),B2471="",C2471="",D2471="",J2471="",K2471="",L2471=""),"",IF(AND(F2471="",G2471=""),"✗ 没填金额",IF(AND(N(F2471)&lt;&gt;0,N(G2471)&lt;&gt;0),"✗ 收入、支出只能填一边",IF(NOT(ISNUMBER(B2471)),"✗ 日期不是真日期（要像 2026/9/25 这样填）",IF(OR(B2471&lt;年初日,B2471&gt;年末日),"✗ 日期不在本会计年度",IF(C2471="","✗ 没选账户",IF(COUNTIF(基础资料!$W$5:$W$24,C2471)=0,"✗ 账户不在基础资料里",IF(O2471="","✗ 没选收支项目",IF(P2471="未知","✗ 收支项目不在基础资料里",IF(AND(P2471="应收",J2471=""),"✗ 这笔要选客户",IF(AND(P2471="应收",COUNTIF(总览汇总!$B$5:$B$304,J2471)=0),"✗ 客户不在总览汇总名单里",IF(AND(P2471="应付",K2471=""),"✗ 这笔要选供应商",IF(AND(P2471="应付",COUNTIF(基础资料!$Q$5:$Q$54,K2471)=0),"✗ 供应商不在基础资料里",IF(AND(P2471="费用",L2471=""),"✗ 费用支出要选费用项目",IF(AND(L2471&lt;&gt;"",COUNTIF(基础资料!$AI$5:$AI$54,L2471)=0),"✗ 费用项目不在基础资料里",IF(AND(IFERROR(INDEX(基础资料!$AD$5:$AD$34,MATCH(O2471,基础资料!$AC$5:$AC$34,0)),"")="收",N(G2471)&lt;&gt;0),"✗ 这类是收款，金额填到收入列",IF(AND(IFERROR(INDEX(基础资料!$AD$5:$AD$34,MATCH(O2471,基础资料!$AC$5:$AC$34,0)),"")="支",N(F2471)&lt;&gt;0),"✗ 这类是付款，金额填到支出列",IF(N(H2471)&lt;0,"⚠ 账户余额成负数了，核对一下","√"))))))))))))))))))</f>
      </c>
      <c r="O2471" s="78">
        <f>IF(D2471&lt;&gt;"",D2471,IF(AND(F2471="",G2471=""),"",IF(J2471&lt;&gt;"",IF(N(F2471)&gt;0,"客户回款","客户退款"),IF(K2471&lt;&gt;"",IF(N(G2471)&gt;0,"供应商付款","供应商退款"),IF(L2471&lt;&gt;"","费用支出","")))))</f>
      </c>
      <c r="P2471" s="78">
        <f>IF(O2471="","",IFERROR(INDEX(基础资料!$AE$5:$AE$34,MATCH(O2471,基础资料!$AC$5:$AC$34,0)),"未知"))</f>
      </c>
      <c r="Q2471" s="78">
        <f>IF(P2471="应收",COUNTIF(P$7:P2471,"应收"),"")</f>
      </c>
      <c r="R2471" s="78">
        <f>IF(P2471="应付",COUNTIF(P$7:P2471,"应付"),"")</f>
      </c>
      <c r="S2471" s="78">
        <f>N(F2471)-N(G2471)</f>
        <v>0</v>
      </c>
    </row>
    <row r="2472">
      <c r="A2472" s="109">
        <f>IF(AND(F2472="",G2472=""),"",ROW()-6)</f>
      </c>
      <c r="B2472" s="140" t="n"/>
      <c r="C2472" s="141" t="n"/>
      <c r="D2472" s="141" t="n"/>
      <c r="E2472" s="142" t="n"/>
      <c r="F2472" s="143" t="n"/>
      <c r="G2472" s="144" t="n"/>
      <c r="H2472" s="145">
        <f>IF(OR(C2472="",AND(F2472="",G2472="")),"",SUMIF(基础资料!$W$5:$W$24,C2472,基础资料!$X$5:$X$24)+SUMIF(C$7:C2472,C2472,F$7:F2472)-SUMIF(C$7:C2472,C2472,G$7:G2472))</f>
      </c>
      <c r="I2472" s="145">
        <f>IF(AND(F2472="",G2472=""),"",SUM(基础资料!$X$5:$X$24)+SUM(F$7:F2472)-SUM(G$7:G2472))</f>
      </c>
      <c r="J2472" s="141" t="n"/>
      <c r="K2472" s="141" t="n"/>
      <c r="L2472" s="141" t="n"/>
      <c r="M2472" s="142" t="n"/>
      <c r="N2472" s="146">
        <f>IF(AND(AND(F2472="",G2472=""),B2472="",C2472="",D2472="",J2472="",K2472="",L2472=""),"",IF(AND(F2472="",G2472=""),"✗ 没填金额",IF(AND(N(F2472)&lt;&gt;0,N(G2472)&lt;&gt;0),"✗ 收入、支出只能填一边",IF(NOT(ISNUMBER(B2472)),"✗ 日期不是真日期（要像 2026/9/25 这样填）",IF(OR(B2472&lt;年初日,B2472&gt;年末日),"✗ 日期不在本会计年度",IF(C2472="","✗ 没选账户",IF(COUNTIF(基础资料!$W$5:$W$24,C2472)=0,"✗ 账户不在基础资料里",IF(O2472="","✗ 没选收支项目",IF(P2472="未知","✗ 收支项目不在基础资料里",IF(AND(P2472="应收",J2472=""),"✗ 这笔要选客户",IF(AND(P2472="应收",COUNTIF(总览汇总!$B$5:$B$304,J2472)=0),"✗ 客户不在总览汇总名单里",IF(AND(P2472="应付",K2472=""),"✗ 这笔要选供应商",IF(AND(P2472="应付",COUNTIF(基础资料!$Q$5:$Q$54,K2472)=0),"✗ 供应商不在基础资料里",IF(AND(P2472="费用",L2472=""),"✗ 费用支出要选费用项目",IF(AND(L2472&lt;&gt;"",COUNTIF(基础资料!$AI$5:$AI$54,L2472)=0),"✗ 费用项目不在基础资料里",IF(AND(IFERROR(INDEX(基础资料!$AD$5:$AD$34,MATCH(O2472,基础资料!$AC$5:$AC$34,0)),"")="收",N(G2472)&lt;&gt;0),"✗ 这类是收款，金额填到收入列",IF(AND(IFERROR(INDEX(基础资料!$AD$5:$AD$34,MATCH(O2472,基础资料!$AC$5:$AC$34,0)),"")="支",N(F2472)&lt;&gt;0),"✗ 这类是付款，金额填到支出列",IF(N(H2472)&lt;0,"⚠ 账户余额成负数了，核对一下","√"))))))))))))))))))</f>
      </c>
      <c r="O2472" s="78">
        <f>IF(D2472&lt;&gt;"",D2472,IF(AND(F2472="",G2472=""),"",IF(J2472&lt;&gt;"",IF(N(F2472)&gt;0,"客户回款","客户退款"),IF(K2472&lt;&gt;"",IF(N(G2472)&gt;0,"供应商付款","供应商退款"),IF(L2472&lt;&gt;"","费用支出","")))))</f>
      </c>
      <c r="P2472" s="78">
        <f>IF(O2472="","",IFERROR(INDEX(基础资料!$AE$5:$AE$34,MATCH(O2472,基础资料!$AC$5:$AC$34,0)),"未知"))</f>
      </c>
      <c r="Q2472" s="78">
        <f>IF(P2472="应收",COUNTIF(P$7:P2472,"应收"),"")</f>
      </c>
      <c r="R2472" s="78">
        <f>IF(P2472="应付",COUNTIF(P$7:P2472,"应付"),"")</f>
      </c>
      <c r="S2472" s="78">
        <f>N(F2472)-N(G2472)</f>
        <v>0</v>
      </c>
    </row>
    <row r="2473">
      <c r="A2473" s="109">
        <f>IF(AND(F2473="",G2473=""),"",ROW()-6)</f>
      </c>
      <c r="B2473" s="140" t="n"/>
      <c r="C2473" s="141" t="n"/>
      <c r="D2473" s="141" t="n"/>
      <c r="E2473" s="142" t="n"/>
      <c r="F2473" s="143" t="n"/>
      <c r="G2473" s="144" t="n"/>
      <c r="H2473" s="145">
        <f>IF(OR(C2473="",AND(F2473="",G2473="")),"",SUMIF(基础资料!$W$5:$W$24,C2473,基础资料!$X$5:$X$24)+SUMIF(C$7:C2473,C2473,F$7:F2473)-SUMIF(C$7:C2473,C2473,G$7:G2473))</f>
      </c>
      <c r="I2473" s="145">
        <f>IF(AND(F2473="",G2473=""),"",SUM(基础资料!$X$5:$X$24)+SUM(F$7:F2473)-SUM(G$7:G2473))</f>
      </c>
      <c r="J2473" s="141" t="n"/>
      <c r="K2473" s="141" t="n"/>
      <c r="L2473" s="141" t="n"/>
      <c r="M2473" s="142" t="n"/>
      <c r="N2473" s="146">
        <f>IF(AND(AND(F2473="",G2473=""),B2473="",C2473="",D2473="",J2473="",K2473="",L2473=""),"",IF(AND(F2473="",G2473=""),"✗ 没填金额",IF(AND(N(F2473)&lt;&gt;0,N(G2473)&lt;&gt;0),"✗ 收入、支出只能填一边",IF(NOT(ISNUMBER(B2473)),"✗ 日期不是真日期（要像 2026/9/25 这样填）",IF(OR(B2473&lt;年初日,B2473&gt;年末日),"✗ 日期不在本会计年度",IF(C2473="","✗ 没选账户",IF(COUNTIF(基础资料!$W$5:$W$24,C2473)=0,"✗ 账户不在基础资料里",IF(O2473="","✗ 没选收支项目",IF(P2473="未知","✗ 收支项目不在基础资料里",IF(AND(P2473="应收",J2473=""),"✗ 这笔要选客户",IF(AND(P2473="应收",COUNTIF(总览汇总!$B$5:$B$304,J2473)=0),"✗ 客户不在总览汇总名单里",IF(AND(P2473="应付",K2473=""),"✗ 这笔要选供应商",IF(AND(P2473="应付",COUNTIF(基础资料!$Q$5:$Q$54,K2473)=0),"✗ 供应商不在基础资料里",IF(AND(P2473="费用",L2473=""),"✗ 费用支出要选费用项目",IF(AND(L2473&lt;&gt;"",COUNTIF(基础资料!$AI$5:$AI$54,L2473)=0),"✗ 费用项目不在基础资料里",IF(AND(IFERROR(INDEX(基础资料!$AD$5:$AD$34,MATCH(O2473,基础资料!$AC$5:$AC$34,0)),"")="收",N(G2473)&lt;&gt;0),"✗ 这类是收款，金额填到收入列",IF(AND(IFERROR(INDEX(基础资料!$AD$5:$AD$34,MATCH(O2473,基础资料!$AC$5:$AC$34,0)),"")="支",N(F2473)&lt;&gt;0),"✗ 这类是付款，金额填到支出列",IF(N(H2473)&lt;0,"⚠ 账户余额成负数了，核对一下","√"))))))))))))))))))</f>
      </c>
      <c r="O2473" s="78">
        <f>IF(D2473&lt;&gt;"",D2473,IF(AND(F2473="",G2473=""),"",IF(J2473&lt;&gt;"",IF(N(F2473)&gt;0,"客户回款","客户退款"),IF(K2473&lt;&gt;"",IF(N(G2473)&gt;0,"供应商付款","供应商退款"),IF(L2473&lt;&gt;"","费用支出","")))))</f>
      </c>
      <c r="P2473" s="78">
        <f>IF(O2473="","",IFERROR(INDEX(基础资料!$AE$5:$AE$34,MATCH(O2473,基础资料!$AC$5:$AC$34,0)),"未知"))</f>
      </c>
      <c r="Q2473" s="78">
        <f>IF(P2473="应收",COUNTIF(P$7:P2473,"应收"),"")</f>
      </c>
      <c r="R2473" s="78">
        <f>IF(P2473="应付",COUNTIF(P$7:P2473,"应付"),"")</f>
      </c>
      <c r="S2473" s="78">
        <f>N(F2473)-N(G2473)</f>
        <v>0</v>
      </c>
    </row>
    <row r="2474">
      <c r="A2474" s="109">
        <f>IF(AND(F2474="",G2474=""),"",ROW()-6)</f>
      </c>
      <c r="B2474" s="140" t="n"/>
      <c r="C2474" s="141" t="n"/>
      <c r="D2474" s="141" t="n"/>
      <c r="E2474" s="142" t="n"/>
      <c r="F2474" s="143" t="n"/>
      <c r="G2474" s="144" t="n"/>
      <c r="H2474" s="145">
        <f>IF(OR(C2474="",AND(F2474="",G2474="")),"",SUMIF(基础资料!$W$5:$W$24,C2474,基础资料!$X$5:$X$24)+SUMIF(C$7:C2474,C2474,F$7:F2474)-SUMIF(C$7:C2474,C2474,G$7:G2474))</f>
      </c>
      <c r="I2474" s="145">
        <f>IF(AND(F2474="",G2474=""),"",SUM(基础资料!$X$5:$X$24)+SUM(F$7:F2474)-SUM(G$7:G2474))</f>
      </c>
      <c r="J2474" s="141" t="n"/>
      <c r="K2474" s="141" t="n"/>
      <c r="L2474" s="141" t="n"/>
      <c r="M2474" s="142" t="n"/>
      <c r="N2474" s="146">
        <f>IF(AND(AND(F2474="",G2474=""),B2474="",C2474="",D2474="",J2474="",K2474="",L2474=""),"",IF(AND(F2474="",G2474=""),"✗ 没填金额",IF(AND(N(F2474)&lt;&gt;0,N(G2474)&lt;&gt;0),"✗ 收入、支出只能填一边",IF(NOT(ISNUMBER(B2474)),"✗ 日期不是真日期（要像 2026/9/25 这样填）",IF(OR(B2474&lt;年初日,B2474&gt;年末日),"✗ 日期不在本会计年度",IF(C2474="","✗ 没选账户",IF(COUNTIF(基础资料!$W$5:$W$24,C2474)=0,"✗ 账户不在基础资料里",IF(O2474="","✗ 没选收支项目",IF(P2474="未知","✗ 收支项目不在基础资料里",IF(AND(P2474="应收",J2474=""),"✗ 这笔要选客户",IF(AND(P2474="应收",COUNTIF(总览汇总!$B$5:$B$304,J2474)=0),"✗ 客户不在总览汇总名单里",IF(AND(P2474="应付",K2474=""),"✗ 这笔要选供应商",IF(AND(P2474="应付",COUNTIF(基础资料!$Q$5:$Q$54,K2474)=0),"✗ 供应商不在基础资料里",IF(AND(P2474="费用",L2474=""),"✗ 费用支出要选费用项目",IF(AND(L2474&lt;&gt;"",COUNTIF(基础资料!$AI$5:$AI$54,L2474)=0),"✗ 费用项目不在基础资料里",IF(AND(IFERROR(INDEX(基础资料!$AD$5:$AD$34,MATCH(O2474,基础资料!$AC$5:$AC$34,0)),"")="收",N(G2474)&lt;&gt;0),"✗ 这类是收款，金额填到收入列",IF(AND(IFERROR(INDEX(基础资料!$AD$5:$AD$34,MATCH(O2474,基础资料!$AC$5:$AC$34,0)),"")="支",N(F2474)&lt;&gt;0),"✗ 这类是付款，金额填到支出列",IF(N(H2474)&lt;0,"⚠ 账户余额成负数了，核对一下","√"))))))))))))))))))</f>
      </c>
      <c r="O2474" s="78">
        <f>IF(D2474&lt;&gt;"",D2474,IF(AND(F2474="",G2474=""),"",IF(J2474&lt;&gt;"",IF(N(F2474)&gt;0,"客户回款","客户退款"),IF(K2474&lt;&gt;"",IF(N(G2474)&gt;0,"供应商付款","供应商退款"),IF(L2474&lt;&gt;"","费用支出","")))))</f>
      </c>
      <c r="P2474" s="78">
        <f>IF(O2474="","",IFERROR(INDEX(基础资料!$AE$5:$AE$34,MATCH(O2474,基础资料!$AC$5:$AC$34,0)),"未知"))</f>
      </c>
      <c r="Q2474" s="78">
        <f>IF(P2474="应收",COUNTIF(P$7:P2474,"应收"),"")</f>
      </c>
      <c r="R2474" s="78">
        <f>IF(P2474="应付",COUNTIF(P$7:P2474,"应付"),"")</f>
      </c>
      <c r="S2474" s="78">
        <f>N(F2474)-N(G2474)</f>
        <v>0</v>
      </c>
    </row>
    <row r="2475">
      <c r="A2475" s="109">
        <f>IF(AND(F2475="",G2475=""),"",ROW()-6)</f>
      </c>
      <c r="B2475" s="140" t="n"/>
      <c r="C2475" s="141" t="n"/>
      <c r="D2475" s="141" t="n"/>
      <c r="E2475" s="142" t="n"/>
      <c r="F2475" s="143" t="n"/>
      <c r="G2475" s="144" t="n"/>
      <c r="H2475" s="145">
        <f>IF(OR(C2475="",AND(F2475="",G2475="")),"",SUMIF(基础资料!$W$5:$W$24,C2475,基础资料!$X$5:$X$24)+SUMIF(C$7:C2475,C2475,F$7:F2475)-SUMIF(C$7:C2475,C2475,G$7:G2475))</f>
      </c>
      <c r="I2475" s="145">
        <f>IF(AND(F2475="",G2475=""),"",SUM(基础资料!$X$5:$X$24)+SUM(F$7:F2475)-SUM(G$7:G2475))</f>
      </c>
      <c r="J2475" s="141" t="n"/>
      <c r="K2475" s="141" t="n"/>
      <c r="L2475" s="141" t="n"/>
      <c r="M2475" s="142" t="n"/>
      <c r="N2475" s="146">
        <f>IF(AND(AND(F2475="",G2475=""),B2475="",C2475="",D2475="",J2475="",K2475="",L2475=""),"",IF(AND(F2475="",G2475=""),"✗ 没填金额",IF(AND(N(F2475)&lt;&gt;0,N(G2475)&lt;&gt;0),"✗ 收入、支出只能填一边",IF(NOT(ISNUMBER(B2475)),"✗ 日期不是真日期（要像 2026/9/25 这样填）",IF(OR(B2475&lt;年初日,B2475&gt;年末日),"✗ 日期不在本会计年度",IF(C2475="","✗ 没选账户",IF(COUNTIF(基础资料!$W$5:$W$24,C2475)=0,"✗ 账户不在基础资料里",IF(O2475="","✗ 没选收支项目",IF(P2475="未知","✗ 收支项目不在基础资料里",IF(AND(P2475="应收",J2475=""),"✗ 这笔要选客户",IF(AND(P2475="应收",COUNTIF(总览汇总!$B$5:$B$304,J2475)=0),"✗ 客户不在总览汇总名单里",IF(AND(P2475="应付",K2475=""),"✗ 这笔要选供应商",IF(AND(P2475="应付",COUNTIF(基础资料!$Q$5:$Q$54,K2475)=0),"✗ 供应商不在基础资料里",IF(AND(P2475="费用",L2475=""),"✗ 费用支出要选费用项目",IF(AND(L2475&lt;&gt;"",COUNTIF(基础资料!$AI$5:$AI$54,L2475)=0),"✗ 费用项目不在基础资料里",IF(AND(IFERROR(INDEX(基础资料!$AD$5:$AD$34,MATCH(O2475,基础资料!$AC$5:$AC$34,0)),"")="收",N(G2475)&lt;&gt;0),"✗ 这类是收款，金额填到收入列",IF(AND(IFERROR(INDEX(基础资料!$AD$5:$AD$34,MATCH(O2475,基础资料!$AC$5:$AC$34,0)),"")="支",N(F2475)&lt;&gt;0),"✗ 这类是付款，金额填到支出列",IF(N(H2475)&lt;0,"⚠ 账户余额成负数了，核对一下","√"))))))))))))))))))</f>
      </c>
      <c r="O2475" s="78">
        <f>IF(D2475&lt;&gt;"",D2475,IF(AND(F2475="",G2475=""),"",IF(J2475&lt;&gt;"",IF(N(F2475)&gt;0,"客户回款","客户退款"),IF(K2475&lt;&gt;"",IF(N(G2475)&gt;0,"供应商付款","供应商退款"),IF(L2475&lt;&gt;"","费用支出","")))))</f>
      </c>
      <c r="P2475" s="78">
        <f>IF(O2475="","",IFERROR(INDEX(基础资料!$AE$5:$AE$34,MATCH(O2475,基础资料!$AC$5:$AC$34,0)),"未知"))</f>
      </c>
      <c r="Q2475" s="78">
        <f>IF(P2475="应收",COUNTIF(P$7:P2475,"应收"),"")</f>
      </c>
      <c r="R2475" s="78">
        <f>IF(P2475="应付",COUNTIF(P$7:P2475,"应付"),"")</f>
      </c>
      <c r="S2475" s="78">
        <f>N(F2475)-N(G2475)</f>
        <v>0</v>
      </c>
    </row>
    <row r="2476">
      <c r="A2476" s="109">
        <f>IF(AND(F2476="",G2476=""),"",ROW()-6)</f>
      </c>
      <c r="B2476" s="140" t="n"/>
      <c r="C2476" s="141" t="n"/>
      <c r="D2476" s="141" t="n"/>
      <c r="E2476" s="142" t="n"/>
      <c r="F2476" s="143" t="n"/>
      <c r="G2476" s="144" t="n"/>
      <c r="H2476" s="145">
        <f>IF(OR(C2476="",AND(F2476="",G2476="")),"",SUMIF(基础资料!$W$5:$W$24,C2476,基础资料!$X$5:$X$24)+SUMIF(C$7:C2476,C2476,F$7:F2476)-SUMIF(C$7:C2476,C2476,G$7:G2476))</f>
      </c>
      <c r="I2476" s="145">
        <f>IF(AND(F2476="",G2476=""),"",SUM(基础资料!$X$5:$X$24)+SUM(F$7:F2476)-SUM(G$7:G2476))</f>
      </c>
      <c r="J2476" s="141" t="n"/>
      <c r="K2476" s="141" t="n"/>
      <c r="L2476" s="141" t="n"/>
      <c r="M2476" s="142" t="n"/>
      <c r="N2476" s="146">
        <f>IF(AND(AND(F2476="",G2476=""),B2476="",C2476="",D2476="",J2476="",K2476="",L2476=""),"",IF(AND(F2476="",G2476=""),"✗ 没填金额",IF(AND(N(F2476)&lt;&gt;0,N(G2476)&lt;&gt;0),"✗ 收入、支出只能填一边",IF(NOT(ISNUMBER(B2476)),"✗ 日期不是真日期（要像 2026/9/25 这样填）",IF(OR(B2476&lt;年初日,B2476&gt;年末日),"✗ 日期不在本会计年度",IF(C2476="","✗ 没选账户",IF(COUNTIF(基础资料!$W$5:$W$24,C2476)=0,"✗ 账户不在基础资料里",IF(O2476="","✗ 没选收支项目",IF(P2476="未知","✗ 收支项目不在基础资料里",IF(AND(P2476="应收",J2476=""),"✗ 这笔要选客户",IF(AND(P2476="应收",COUNTIF(总览汇总!$B$5:$B$304,J2476)=0),"✗ 客户不在总览汇总名单里",IF(AND(P2476="应付",K2476=""),"✗ 这笔要选供应商",IF(AND(P2476="应付",COUNTIF(基础资料!$Q$5:$Q$54,K2476)=0),"✗ 供应商不在基础资料里",IF(AND(P2476="费用",L2476=""),"✗ 费用支出要选费用项目",IF(AND(L2476&lt;&gt;"",COUNTIF(基础资料!$AI$5:$AI$54,L2476)=0),"✗ 费用项目不在基础资料里",IF(AND(IFERROR(INDEX(基础资料!$AD$5:$AD$34,MATCH(O2476,基础资料!$AC$5:$AC$34,0)),"")="收",N(G2476)&lt;&gt;0),"✗ 这类是收款，金额填到收入列",IF(AND(IFERROR(INDEX(基础资料!$AD$5:$AD$34,MATCH(O2476,基础资料!$AC$5:$AC$34,0)),"")="支",N(F2476)&lt;&gt;0),"✗ 这类是付款，金额填到支出列",IF(N(H2476)&lt;0,"⚠ 账户余额成负数了，核对一下","√"))))))))))))))))))</f>
      </c>
      <c r="O2476" s="78">
        <f>IF(D2476&lt;&gt;"",D2476,IF(AND(F2476="",G2476=""),"",IF(J2476&lt;&gt;"",IF(N(F2476)&gt;0,"客户回款","客户退款"),IF(K2476&lt;&gt;"",IF(N(G2476)&gt;0,"供应商付款","供应商退款"),IF(L2476&lt;&gt;"","费用支出","")))))</f>
      </c>
      <c r="P2476" s="78">
        <f>IF(O2476="","",IFERROR(INDEX(基础资料!$AE$5:$AE$34,MATCH(O2476,基础资料!$AC$5:$AC$34,0)),"未知"))</f>
      </c>
      <c r="Q2476" s="78">
        <f>IF(P2476="应收",COUNTIF(P$7:P2476,"应收"),"")</f>
      </c>
      <c r="R2476" s="78">
        <f>IF(P2476="应付",COUNTIF(P$7:P2476,"应付"),"")</f>
      </c>
      <c r="S2476" s="78">
        <f>N(F2476)-N(G2476)</f>
        <v>0</v>
      </c>
    </row>
    <row r="2477">
      <c r="A2477" s="109">
        <f>IF(AND(F2477="",G2477=""),"",ROW()-6)</f>
      </c>
      <c r="B2477" s="140" t="n"/>
      <c r="C2477" s="141" t="n"/>
      <c r="D2477" s="141" t="n"/>
      <c r="E2477" s="142" t="n"/>
      <c r="F2477" s="143" t="n"/>
      <c r="G2477" s="144" t="n"/>
      <c r="H2477" s="145">
        <f>IF(OR(C2477="",AND(F2477="",G2477="")),"",SUMIF(基础资料!$W$5:$W$24,C2477,基础资料!$X$5:$X$24)+SUMIF(C$7:C2477,C2477,F$7:F2477)-SUMIF(C$7:C2477,C2477,G$7:G2477))</f>
      </c>
      <c r="I2477" s="145">
        <f>IF(AND(F2477="",G2477=""),"",SUM(基础资料!$X$5:$X$24)+SUM(F$7:F2477)-SUM(G$7:G2477))</f>
      </c>
      <c r="J2477" s="141" t="n"/>
      <c r="K2477" s="141" t="n"/>
      <c r="L2477" s="141" t="n"/>
      <c r="M2477" s="142" t="n"/>
      <c r="N2477" s="146">
        <f>IF(AND(AND(F2477="",G2477=""),B2477="",C2477="",D2477="",J2477="",K2477="",L2477=""),"",IF(AND(F2477="",G2477=""),"✗ 没填金额",IF(AND(N(F2477)&lt;&gt;0,N(G2477)&lt;&gt;0),"✗ 收入、支出只能填一边",IF(NOT(ISNUMBER(B2477)),"✗ 日期不是真日期（要像 2026/9/25 这样填）",IF(OR(B2477&lt;年初日,B2477&gt;年末日),"✗ 日期不在本会计年度",IF(C2477="","✗ 没选账户",IF(COUNTIF(基础资料!$W$5:$W$24,C2477)=0,"✗ 账户不在基础资料里",IF(O2477="","✗ 没选收支项目",IF(P2477="未知","✗ 收支项目不在基础资料里",IF(AND(P2477="应收",J2477=""),"✗ 这笔要选客户",IF(AND(P2477="应收",COUNTIF(总览汇总!$B$5:$B$304,J2477)=0),"✗ 客户不在总览汇总名单里",IF(AND(P2477="应付",K2477=""),"✗ 这笔要选供应商",IF(AND(P2477="应付",COUNTIF(基础资料!$Q$5:$Q$54,K2477)=0),"✗ 供应商不在基础资料里",IF(AND(P2477="费用",L2477=""),"✗ 费用支出要选费用项目",IF(AND(L2477&lt;&gt;"",COUNTIF(基础资料!$AI$5:$AI$54,L2477)=0),"✗ 费用项目不在基础资料里",IF(AND(IFERROR(INDEX(基础资料!$AD$5:$AD$34,MATCH(O2477,基础资料!$AC$5:$AC$34,0)),"")="收",N(G2477)&lt;&gt;0),"✗ 这类是收款，金额填到收入列",IF(AND(IFERROR(INDEX(基础资料!$AD$5:$AD$34,MATCH(O2477,基础资料!$AC$5:$AC$34,0)),"")="支",N(F2477)&lt;&gt;0),"✗ 这类是付款，金额填到支出列",IF(N(H2477)&lt;0,"⚠ 账户余额成负数了，核对一下","√"))))))))))))))))))</f>
      </c>
      <c r="O2477" s="78">
        <f>IF(D2477&lt;&gt;"",D2477,IF(AND(F2477="",G2477=""),"",IF(J2477&lt;&gt;"",IF(N(F2477)&gt;0,"客户回款","客户退款"),IF(K2477&lt;&gt;"",IF(N(G2477)&gt;0,"供应商付款","供应商退款"),IF(L2477&lt;&gt;"","费用支出","")))))</f>
      </c>
      <c r="P2477" s="78">
        <f>IF(O2477="","",IFERROR(INDEX(基础资料!$AE$5:$AE$34,MATCH(O2477,基础资料!$AC$5:$AC$34,0)),"未知"))</f>
      </c>
      <c r="Q2477" s="78">
        <f>IF(P2477="应收",COUNTIF(P$7:P2477,"应收"),"")</f>
      </c>
      <c r="R2477" s="78">
        <f>IF(P2477="应付",COUNTIF(P$7:P2477,"应付"),"")</f>
      </c>
      <c r="S2477" s="78">
        <f>N(F2477)-N(G2477)</f>
        <v>0</v>
      </c>
    </row>
    <row r="2478">
      <c r="A2478" s="109">
        <f>IF(AND(F2478="",G2478=""),"",ROW()-6)</f>
      </c>
      <c r="B2478" s="140" t="n"/>
      <c r="C2478" s="141" t="n"/>
      <c r="D2478" s="141" t="n"/>
      <c r="E2478" s="142" t="n"/>
      <c r="F2478" s="143" t="n"/>
      <c r="G2478" s="144" t="n"/>
      <c r="H2478" s="145">
        <f>IF(OR(C2478="",AND(F2478="",G2478="")),"",SUMIF(基础资料!$W$5:$W$24,C2478,基础资料!$X$5:$X$24)+SUMIF(C$7:C2478,C2478,F$7:F2478)-SUMIF(C$7:C2478,C2478,G$7:G2478))</f>
      </c>
      <c r="I2478" s="145">
        <f>IF(AND(F2478="",G2478=""),"",SUM(基础资料!$X$5:$X$24)+SUM(F$7:F2478)-SUM(G$7:G2478))</f>
      </c>
      <c r="J2478" s="141" t="n"/>
      <c r="K2478" s="141" t="n"/>
      <c r="L2478" s="141" t="n"/>
      <c r="M2478" s="142" t="n"/>
      <c r="N2478" s="146">
        <f>IF(AND(AND(F2478="",G2478=""),B2478="",C2478="",D2478="",J2478="",K2478="",L2478=""),"",IF(AND(F2478="",G2478=""),"✗ 没填金额",IF(AND(N(F2478)&lt;&gt;0,N(G2478)&lt;&gt;0),"✗ 收入、支出只能填一边",IF(NOT(ISNUMBER(B2478)),"✗ 日期不是真日期（要像 2026/9/25 这样填）",IF(OR(B2478&lt;年初日,B2478&gt;年末日),"✗ 日期不在本会计年度",IF(C2478="","✗ 没选账户",IF(COUNTIF(基础资料!$W$5:$W$24,C2478)=0,"✗ 账户不在基础资料里",IF(O2478="","✗ 没选收支项目",IF(P2478="未知","✗ 收支项目不在基础资料里",IF(AND(P2478="应收",J2478=""),"✗ 这笔要选客户",IF(AND(P2478="应收",COUNTIF(总览汇总!$B$5:$B$304,J2478)=0),"✗ 客户不在总览汇总名单里",IF(AND(P2478="应付",K2478=""),"✗ 这笔要选供应商",IF(AND(P2478="应付",COUNTIF(基础资料!$Q$5:$Q$54,K2478)=0),"✗ 供应商不在基础资料里",IF(AND(P2478="费用",L2478=""),"✗ 费用支出要选费用项目",IF(AND(L2478&lt;&gt;"",COUNTIF(基础资料!$AI$5:$AI$54,L2478)=0),"✗ 费用项目不在基础资料里",IF(AND(IFERROR(INDEX(基础资料!$AD$5:$AD$34,MATCH(O2478,基础资料!$AC$5:$AC$34,0)),"")="收",N(G2478)&lt;&gt;0),"✗ 这类是收款，金额填到收入列",IF(AND(IFERROR(INDEX(基础资料!$AD$5:$AD$34,MATCH(O2478,基础资料!$AC$5:$AC$34,0)),"")="支",N(F2478)&lt;&gt;0),"✗ 这类是付款，金额填到支出列",IF(N(H2478)&lt;0,"⚠ 账户余额成负数了，核对一下","√"))))))))))))))))))</f>
      </c>
      <c r="O2478" s="78">
        <f>IF(D2478&lt;&gt;"",D2478,IF(AND(F2478="",G2478=""),"",IF(J2478&lt;&gt;"",IF(N(F2478)&gt;0,"客户回款","客户退款"),IF(K2478&lt;&gt;"",IF(N(G2478)&gt;0,"供应商付款","供应商退款"),IF(L2478&lt;&gt;"","费用支出","")))))</f>
      </c>
      <c r="P2478" s="78">
        <f>IF(O2478="","",IFERROR(INDEX(基础资料!$AE$5:$AE$34,MATCH(O2478,基础资料!$AC$5:$AC$34,0)),"未知"))</f>
      </c>
      <c r="Q2478" s="78">
        <f>IF(P2478="应收",COUNTIF(P$7:P2478,"应收"),"")</f>
      </c>
      <c r="R2478" s="78">
        <f>IF(P2478="应付",COUNTIF(P$7:P2478,"应付"),"")</f>
      </c>
      <c r="S2478" s="78">
        <f>N(F2478)-N(G2478)</f>
        <v>0</v>
      </c>
    </row>
    <row r="2479">
      <c r="A2479" s="109">
        <f>IF(AND(F2479="",G2479=""),"",ROW()-6)</f>
      </c>
      <c r="B2479" s="140" t="n"/>
      <c r="C2479" s="141" t="n"/>
      <c r="D2479" s="141" t="n"/>
      <c r="E2479" s="142" t="n"/>
      <c r="F2479" s="143" t="n"/>
      <c r="G2479" s="144" t="n"/>
      <c r="H2479" s="145">
        <f>IF(OR(C2479="",AND(F2479="",G2479="")),"",SUMIF(基础资料!$W$5:$W$24,C2479,基础资料!$X$5:$X$24)+SUMIF(C$7:C2479,C2479,F$7:F2479)-SUMIF(C$7:C2479,C2479,G$7:G2479))</f>
      </c>
      <c r="I2479" s="145">
        <f>IF(AND(F2479="",G2479=""),"",SUM(基础资料!$X$5:$X$24)+SUM(F$7:F2479)-SUM(G$7:G2479))</f>
      </c>
      <c r="J2479" s="141" t="n"/>
      <c r="K2479" s="141" t="n"/>
      <c r="L2479" s="141" t="n"/>
      <c r="M2479" s="142" t="n"/>
      <c r="N2479" s="146">
        <f>IF(AND(AND(F2479="",G2479=""),B2479="",C2479="",D2479="",J2479="",K2479="",L2479=""),"",IF(AND(F2479="",G2479=""),"✗ 没填金额",IF(AND(N(F2479)&lt;&gt;0,N(G2479)&lt;&gt;0),"✗ 收入、支出只能填一边",IF(NOT(ISNUMBER(B2479)),"✗ 日期不是真日期（要像 2026/9/25 这样填）",IF(OR(B2479&lt;年初日,B2479&gt;年末日),"✗ 日期不在本会计年度",IF(C2479="","✗ 没选账户",IF(COUNTIF(基础资料!$W$5:$W$24,C2479)=0,"✗ 账户不在基础资料里",IF(O2479="","✗ 没选收支项目",IF(P2479="未知","✗ 收支项目不在基础资料里",IF(AND(P2479="应收",J2479=""),"✗ 这笔要选客户",IF(AND(P2479="应收",COUNTIF(总览汇总!$B$5:$B$304,J2479)=0),"✗ 客户不在总览汇总名单里",IF(AND(P2479="应付",K2479=""),"✗ 这笔要选供应商",IF(AND(P2479="应付",COUNTIF(基础资料!$Q$5:$Q$54,K2479)=0),"✗ 供应商不在基础资料里",IF(AND(P2479="费用",L2479=""),"✗ 费用支出要选费用项目",IF(AND(L2479&lt;&gt;"",COUNTIF(基础资料!$AI$5:$AI$54,L2479)=0),"✗ 费用项目不在基础资料里",IF(AND(IFERROR(INDEX(基础资料!$AD$5:$AD$34,MATCH(O2479,基础资料!$AC$5:$AC$34,0)),"")="收",N(G2479)&lt;&gt;0),"✗ 这类是收款，金额填到收入列",IF(AND(IFERROR(INDEX(基础资料!$AD$5:$AD$34,MATCH(O2479,基础资料!$AC$5:$AC$34,0)),"")="支",N(F2479)&lt;&gt;0),"✗ 这类是付款，金额填到支出列",IF(N(H2479)&lt;0,"⚠ 账户余额成负数了，核对一下","√"))))))))))))))))))</f>
      </c>
      <c r="O2479" s="78">
        <f>IF(D2479&lt;&gt;"",D2479,IF(AND(F2479="",G2479=""),"",IF(J2479&lt;&gt;"",IF(N(F2479)&gt;0,"客户回款","客户退款"),IF(K2479&lt;&gt;"",IF(N(G2479)&gt;0,"供应商付款","供应商退款"),IF(L2479&lt;&gt;"","费用支出","")))))</f>
      </c>
      <c r="P2479" s="78">
        <f>IF(O2479="","",IFERROR(INDEX(基础资料!$AE$5:$AE$34,MATCH(O2479,基础资料!$AC$5:$AC$34,0)),"未知"))</f>
      </c>
      <c r="Q2479" s="78">
        <f>IF(P2479="应收",COUNTIF(P$7:P2479,"应收"),"")</f>
      </c>
      <c r="R2479" s="78">
        <f>IF(P2479="应付",COUNTIF(P$7:P2479,"应付"),"")</f>
      </c>
      <c r="S2479" s="78">
        <f>N(F2479)-N(G2479)</f>
        <v>0</v>
      </c>
    </row>
    <row r="2480">
      <c r="A2480" s="109">
        <f>IF(AND(F2480="",G2480=""),"",ROW()-6)</f>
      </c>
      <c r="B2480" s="140" t="n"/>
      <c r="C2480" s="141" t="n"/>
      <c r="D2480" s="141" t="n"/>
      <c r="E2480" s="142" t="n"/>
      <c r="F2480" s="143" t="n"/>
      <c r="G2480" s="144" t="n"/>
      <c r="H2480" s="145">
        <f>IF(OR(C2480="",AND(F2480="",G2480="")),"",SUMIF(基础资料!$W$5:$W$24,C2480,基础资料!$X$5:$X$24)+SUMIF(C$7:C2480,C2480,F$7:F2480)-SUMIF(C$7:C2480,C2480,G$7:G2480))</f>
      </c>
      <c r="I2480" s="145">
        <f>IF(AND(F2480="",G2480=""),"",SUM(基础资料!$X$5:$X$24)+SUM(F$7:F2480)-SUM(G$7:G2480))</f>
      </c>
      <c r="J2480" s="141" t="n"/>
      <c r="K2480" s="141" t="n"/>
      <c r="L2480" s="141" t="n"/>
      <c r="M2480" s="142" t="n"/>
      <c r="N2480" s="146">
        <f>IF(AND(AND(F2480="",G2480=""),B2480="",C2480="",D2480="",J2480="",K2480="",L2480=""),"",IF(AND(F2480="",G2480=""),"✗ 没填金额",IF(AND(N(F2480)&lt;&gt;0,N(G2480)&lt;&gt;0),"✗ 收入、支出只能填一边",IF(NOT(ISNUMBER(B2480)),"✗ 日期不是真日期（要像 2026/9/25 这样填）",IF(OR(B2480&lt;年初日,B2480&gt;年末日),"✗ 日期不在本会计年度",IF(C2480="","✗ 没选账户",IF(COUNTIF(基础资料!$W$5:$W$24,C2480)=0,"✗ 账户不在基础资料里",IF(O2480="","✗ 没选收支项目",IF(P2480="未知","✗ 收支项目不在基础资料里",IF(AND(P2480="应收",J2480=""),"✗ 这笔要选客户",IF(AND(P2480="应收",COUNTIF(总览汇总!$B$5:$B$304,J2480)=0),"✗ 客户不在总览汇总名单里",IF(AND(P2480="应付",K2480=""),"✗ 这笔要选供应商",IF(AND(P2480="应付",COUNTIF(基础资料!$Q$5:$Q$54,K2480)=0),"✗ 供应商不在基础资料里",IF(AND(P2480="费用",L2480=""),"✗ 费用支出要选费用项目",IF(AND(L2480&lt;&gt;"",COUNTIF(基础资料!$AI$5:$AI$54,L2480)=0),"✗ 费用项目不在基础资料里",IF(AND(IFERROR(INDEX(基础资料!$AD$5:$AD$34,MATCH(O2480,基础资料!$AC$5:$AC$34,0)),"")="收",N(G2480)&lt;&gt;0),"✗ 这类是收款，金额填到收入列",IF(AND(IFERROR(INDEX(基础资料!$AD$5:$AD$34,MATCH(O2480,基础资料!$AC$5:$AC$34,0)),"")="支",N(F2480)&lt;&gt;0),"✗ 这类是付款，金额填到支出列",IF(N(H2480)&lt;0,"⚠ 账户余额成负数了，核对一下","√"))))))))))))))))))</f>
      </c>
      <c r="O2480" s="78">
        <f>IF(D2480&lt;&gt;"",D2480,IF(AND(F2480="",G2480=""),"",IF(J2480&lt;&gt;"",IF(N(F2480)&gt;0,"客户回款","客户退款"),IF(K2480&lt;&gt;"",IF(N(G2480)&gt;0,"供应商付款","供应商退款"),IF(L2480&lt;&gt;"","费用支出","")))))</f>
      </c>
      <c r="P2480" s="78">
        <f>IF(O2480="","",IFERROR(INDEX(基础资料!$AE$5:$AE$34,MATCH(O2480,基础资料!$AC$5:$AC$34,0)),"未知"))</f>
      </c>
      <c r="Q2480" s="78">
        <f>IF(P2480="应收",COUNTIF(P$7:P2480,"应收"),"")</f>
      </c>
      <c r="R2480" s="78">
        <f>IF(P2480="应付",COUNTIF(P$7:P2480,"应付"),"")</f>
      </c>
      <c r="S2480" s="78">
        <f>N(F2480)-N(G2480)</f>
        <v>0</v>
      </c>
    </row>
    <row r="2481">
      <c r="A2481" s="109">
        <f>IF(AND(F2481="",G2481=""),"",ROW()-6)</f>
      </c>
      <c r="B2481" s="140" t="n"/>
      <c r="C2481" s="141" t="n"/>
      <c r="D2481" s="141" t="n"/>
      <c r="E2481" s="142" t="n"/>
      <c r="F2481" s="143" t="n"/>
      <c r="G2481" s="144" t="n"/>
      <c r="H2481" s="145">
        <f>IF(OR(C2481="",AND(F2481="",G2481="")),"",SUMIF(基础资料!$W$5:$W$24,C2481,基础资料!$X$5:$X$24)+SUMIF(C$7:C2481,C2481,F$7:F2481)-SUMIF(C$7:C2481,C2481,G$7:G2481))</f>
      </c>
      <c r="I2481" s="145">
        <f>IF(AND(F2481="",G2481=""),"",SUM(基础资料!$X$5:$X$24)+SUM(F$7:F2481)-SUM(G$7:G2481))</f>
      </c>
      <c r="J2481" s="141" t="n"/>
      <c r="K2481" s="141" t="n"/>
      <c r="L2481" s="141" t="n"/>
      <c r="M2481" s="142" t="n"/>
      <c r="N2481" s="146">
        <f>IF(AND(AND(F2481="",G2481=""),B2481="",C2481="",D2481="",J2481="",K2481="",L2481=""),"",IF(AND(F2481="",G2481=""),"✗ 没填金额",IF(AND(N(F2481)&lt;&gt;0,N(G2481)&lt;&gt;0),"✗ 收入、支出只能填一边",IF(NOT(ISNUMBER(B2481)),"✗ 日期不是真日期（要像 2026/9/25 这样填）",IF(OR(B2481&lt;年初日,B2481&gt;年末日),"✗ 日期不在本会计年度",IF(C2481="","✗ 没选账户",IF(COUNTIF(基础资料!$W$5:$W$24,C2481)=0,"✗ 账户不在基础资料里",IF(O2481="","✗ 没选收支项目",IF(P2481="未知","✗ 收支项目不在基础资料里",IF(AND(P2481="应收",J2481=""),"✗ 这笔要选客户",IF(AND(P2481="应收",COUNTIF(总览汇总!$B$5:$B$304,J2481)=0),"✗ 客户不在总览汇总名单里",IF(AND(P2481="应付",K2481=""),"✗ 这笔要选供应商",IF(AND(P2481="应付",COUNTIF(基础资料!$Q$5:$Q$54,K2481)=0),"✗ 供应商不在基础资料里",IF(AND(P2481="费用",L2481=""),"✗ 费用支出要选费用项目",IF(AND(L2481&lt;&gt;"",COUNTIF(基础资料!$AI$5:$AI$54,L2481)=0),"✗ 费用项目不在基础资料里",IF(AND(IFERROR(INDEX(基础资料!$AD$5:$AD$34,MATCH(O2481,基础资料!$AC$5:$AC$34,0)),"")="收",N(G2481)&lt;&gt;0),"✗ 这类是收款，金额填到收入列",IF(AND(IFERROR(INDEX(基础资料!$AD$5:$AD$34,MATCH(O2481,基础资料!$AC$5:$AC$34,0)),"")="支",N(F2481)&lt;&gt;0),"✗ 这类是付款，金额填到支出列",IF(N(H2481)&lt;0,"⚠ 账户余额成负数了，核对一下","√"))))))))))))))))))</f>
      </c>
      <c r="O2481" s="78">
        <f>IF(D2481&lt;&gt;"",D2481,IF(AND(F2481="",G2481=""),"",IF(J2481&lt;&gt;"",IF(N(F2481)&gt;0,"客户回款","客户退款"),IF(K2481&lt;&gt;"",IF(N(G2481)&gt;0,"供应商付款","供应商退款"),IF(L2481&lt;&gt;"","费用支出","")))))</f>
      </c>
      <c r="P2481" s="78">
        <f>IF(O2481="","",IFERROR(INDEX(基础资料!$AE$5:$AE$34,MATCH(O2481,基础资料!$AC$5:$AC$34,0)),"未知"))</f>
      </c>
      <c r="Q2481" s="78">
        <f>IF(P2481="应收",COUNTIF(P$7:P2481,"应收"),"")</f>
      </c>
      <c r="R2481" s="78">
        <f>IF(P2481="应付",COUNTIF(P$7:P2481,"应付"),"")</f>
      </c>
      <c r="S2481" s="78">
        <f>N(F2481)-N(G2481)</f>
        <v>0</v>
      </c>
    </row>
    <row r="2482">
      <c r="A2482" s="109">
        <f>IF(AND(F2482="",G2482=""),"",ROW()-6)</f>
      </c>
      <c r="B2482" s="140" t="n"/>
      <c r="C2482" s="141" t="n"/>
      <c r="D2482" s="141" t="n"/>
      <c r="E2482" s="142" t="n"/>
      <c r="F2482" s="143" t="n"/>
      <c r="G2482" s="144" t="n"/>
      <c r="H2482" s="145">
        <f>IF(OR(C2482="",AND(F2482="",G2482="")),"",SUMIF(基础资料!$W$5:$W$24,C2482,基础资料!$X$5:$X$24)+SUMIF(C$7:C2482,C2482,F$7:F2482)-SUMIF(C$7:C2482,C2482,G$7:G2482))</f>
      </c>
      <c r="I2482" s="145">
        <f>IF(AND(F2482="",G2482=""),"",SUM(基础资料!$X$5:$X$24)+SUM(F$7:F2482)-SUM(G$7:G2482))</f>
      </c>
      <c r="J2482" s="141" t="n"/>
      <c r="K2482" s="141" t="n"/>
      <c r="L2482" s="141" t="n"/>
      <c r="M2482" s="142" t="n"/>
      <c r="N2482" s="146">
        <f>IF(AND(AND(F2482="",G2482=""),B2482="",C2482="",D2482="",J2482="",K2482="",L2482=""),"",IF(AND(F2482="",G2482=""),"✗ 没填金额",IF(AND(N(F2482)&lt;&gt;0,N(G2482)&lt;&gt;0),"✗ 收入、支出只能填一边",IF(NOT(ISNUMBER(B2482)),"✗ 日期不是真日期（要像 2026/9/25 这样填）",IF(OR(B2482&lt;年初日,B2482&gt;年末日),"✗ 日期不在本会计年度",IF(C2482="","✗ 没选账户",IF(COUNTIF(基础资料!$W$5:$W$24,C2482)=0,"✗ 账户不在基础资料里",IF(O2482="","✗ 没选收支项目",IF(P2482="未知","✗ 收支项目不在基础资料里",IF(AND(P2482="应收",J2482=""),"✗ 这笔要选客户",IF(AND(P2482="应收",COUNTIF(总览汇总!$B$5:$B$304,J2482)=0),"✗ 客户不在总览汇总名单里",IF(AND(P2482="应付",K2482=""),"✗ 这笔要选供应商",IF(AND(P2482="应付",COUNTIF(基础资料!$Q$5:$Q$54,K2482)=0),"✗ 供应商不在基础资料里",IF(AND(P2482="费用",L2482=""),"✗ 费用支出要选费用项目",IF(AND(L2482&lt;&gt;"",COUNTIF(基础资料!$AI$5:$AI$54,L2482)=0),"✗ 费用项目不在基础资料里",IF(AND(IFERROR(INDEX(基础资料!$AD$5:$AD$34,MATCH(O2482,基础资料!$AC$5:$AC$34,0)),"")="收",N(G2482)&lt;&gt;0),"✗ 这类是收款，金额填到收入列",IF(AND(IFERROR(INDEX(基础资料!$AD$5:$AD$34,MATCH(O2482,基础资料!$AC$5:$AC$34,0)),"")="支",N(F2482)&lt;&gt;0),"✗ 这类是付款，金额填到支出列",IF(N(H2482)&lt;0,"⚠ 账户余额成负数了，核对一下","√"))))))))))))))))))</f>
      </c>
      <c r="O2482" s="78">
        <f>IF(D2482&lt;&gt;"",D2482,IF(AND(F2482="",G2482=""),"",IF(J2482&lt;&gt;"",IF(N(F2482)&gt;0,"客户回款","客户退款"),IF(K2482&lt;&gt;"",IF(N(G2482)&gt;0,"供应商付款","供应商退款"),IF(L2482&lt;&gt;"","费用支出","")))))</f>
      </c>
      <c r="P2482" s="78">
        <f>IF(O2482="","",IFERROR(INDEX(基础资料!$AE$5:$AE$34,MATCH(O2482,基础资料!$AC$5:$AC$34,0)),"未知"))</f>
      </c>
      <c r="Q2482" s="78">
        <f>IF(P2482="应收",COUNTIF(P$7:P2482,"应收"),"")</f>
      </c>
      <c r="R2482" s="78">
        <f>IF(P2482="应付",COUNTIF(P$7:P2482,"应付"),"")</f>
      </c>
      <c r="S2482" s="78">
        <f>N(F2482)-N(G2482)</f>
        <v>0</v>
      </c>
    </row>
    <row r="2483">
      <c r="A2483" s="109">
        <f>IF(AND(F2483="",G2483=""),"",ROW()-6)</f>
      </c>
      <c r="B2483" s="140" t="n"/>
      <c r="C2483" s="141" t="n"/>
      <c r="D2483" s="141" t="n"/>
      <c r="E2483" s="142" t="n"/>
      <c r="F2483" s="143" t="n"/>
      <c r="G2483" s="144" t="n"/>
      <c r="H2483" s="145">
        <f>IF(OR(C2483="",AND(F2483="",G2483="")),"",SUMIF(基础资料!$W$5:$W$24,C2483,基础资料!$X$5:$X$24)+SUMIF(C$7:C2483,C2483,F$7:F2483)-SUMIF(C$7:C2483,C2483,G$7:G2483))</f>
      </c>
      <c r="I2483" s="145">
        <f>IF(AND(F2483="",G2483=""),"",SUM(基础资料!$X$5:$X$24)+SUM(F$7:F2483)-SUM(G$7:G2483))</f>
      </c>
      <c r="J2483" s="141" t="n"/>
      <c r="K2483" s="141" t="n"/>
      <c r="L2483" s="141" t="n"/>
      <c r="M2483" s="142" t="n"/>
      <c r="N2483" s="146">
        <f>IF(AND(AND(F2483="",G2483=""),B2483="",C2483="",D2483="",J2483="",K2483="",L2483=""),"",IF(AND(F2483="",G2483=""),"✗ 没填金额",IF(AND(N(F2483)&lt;&gt;0,N(G2483)&lt;&gt;0),"✗ 收入、支出只能填一边",IF(NOT(ISNUMBER(B2483)),"✗ 日期不是真日期（要像 2026/9/25 这样填）",IF(OR(B2483&lt;年初日,B2483&gt;年末日),"✗ 日期不在本会计年度",IF(C2483="","✗ 没选账户",IF(COUNTIF(基础资料!$W$5:$W$24,C2483)=0,"✗ 账户不在基础资料里",IF(O2483="","✗ 没选收支项目",IF(P2483="未知","✗ 收支项目不在基础资料里",IF(AND(P2483="应收",J2483=""),"✗ 这笔要选客户",IF(AND(P2483="应收",COUNTIF(总览汇总!$B$5:$B$304,J2483)=0),"✗ 客户不在总览汇总名单里",IF(AND(P2483="应付",K2483=""),"✗ 这笔要选供应商",IF(AND(P2483="应付",COUNTIF(基础资料!$Q$5:$Q$54,K2483)=0),"✗ 供应商不在基础资料里",IF(AND(P2483="费用",L2483=""),"✗ 费用支出要选费用项目",IF(AND(L2483&lt;&gt;"",COUNTIF(基础资料!$AI$5:$AI$54,L2483)=0),"✗ 费用项目不在基础资料里",IF(AND(IFERROR(INDEX(基础资料!$AD$5:$AD$34,MATCH(O2483,基础资料!$AC$5:$AC$34,0)),"")="收",N(G2483)&lt;&gt;0),"✗ 这类是收款，金额填到收入列",IF(AND(IFERROR(INDEX(基础资料!$AD$5:$AD$34,MATCH(O2483,基础资料!$AC$5:$AC$34,0)),"")="支",N(F2483)&lt;&gt;0),"✗ 这类是付款，金额填到支出列",IF(N(H2483)&lt;0,"⚠ 账户余额成负数了，核对一下","√"))))))))))))))))))</f>
      </c>
      <c r="O2483" s="78">
        <f>IF(D2483&lt;&gt;"",D2483,IF(AND(F2483="",G2483=""),"",IF(J2483&lt;&gt;"",IF(N(F2483)&gt;0,"客户回款","客户退款"),IF(K2483&lt;&gt;"",IF(N(G2483)&gt;0,"供应商付款","供应商退款"),IF(L2483&lt;&gt;"","费用支出","")))))</f>
      </c>
      <c r="P2483" s="78">
        <f>IF(O2483="","",IFERROR(INDEX(基础资料!$AE$5:$AE$34,MATCH(O2483,基础资料!$AC$5:$AC$34,0)),"未知"))</f>
      </c>
      <c r="Q2483" s="78">
        <f>IF(P2483="应收",COUNTIF(P$7:P2483,"应收"),"")</f>
      </c>
      <c r="R2483" s="78">
        <f>IF(P2483="应付",COUNTIF(P$7:P2483,"应付"),"")</f>
      </c>
      <c r="S2483" s="78">
        <f>N(F2483)-N(G2483)</f>
        <v>0</v>
      </c>
    </row>
    <row r="2484">
      <c r="A2484" s="109">
        <f>IF(AND(F2484="",G2484=""),"",ROW()-6)</f>
      </c>
      <c r="B2484" s="140" t="n"/>
      <c r="C2484" s="141" t="n"/>
      <c r="D2484" s="141" t="n"/>
      <c r="E2484" s="142" t="n"/>
      <c r="F2484" s="143" t="n"/>
      <c r="G2484" s="144" t="n"/>
      <c r="H2484" s="145">
        <f>IF(OR(C2484="",AND(F2484="",G2484="")),"",SUMIF(基础资料!$W$5:$W$24,C2484,基础资料!$X$5:$X$24)+SUMIF(C$7:C2484,C2484,F$7:F2484)-SUMIF(C$7:C2484,C2484,G$7:G2484))</f>
      </c>
      <c r="I2484" s="145">
        <f>IF(AND(F2484="",G2484=""),"",SUM(基础资料!$X$5:$X$24)+SUM(F$7:F2484)-SUM(G$7:G2484))</f>
      </c>
      <c r="J2484" s="141" t="n"/>
      <c r="K2484" s="141" t="n"/>
      <c r="L2484" s="141" t="n"/>
      <c r="M2484" s="142" t="n"/>
      <c r="N2484" s="146">
        <f>IF(AND(AND(F2484="",G2484=""),B2484="",C2484="",D2484="",J2484="",K2484="",L2484=""),"",IF(AND(F2484="",G2484=""),"✗ 没填金额",IF(AND(N(F2484)&lt;&gt;0,N(G2484)&lt;&gt;0),"✗ 收入、支出只能填一边",IF(NOT(ISNUMBER(B2484)),"✗ 日期不是真日期（要像 2026/9/25 这样填）",IF(OR(B2484&lt;年初日,B2484&gt;年末日),"✗ 日期不在本会计年度",IF(C2484="","✗ 没选账户",IF(COUNTIF(基础资料!$W$5:$W$24,C2484)=0,"✗ 账户不在基础资料里",IF(O2484="","✗ 没选收支项目",IF(P2484="未知","✗ 收支项目不在基础资料里",IF(AND(P2484="应收",J2484=""),"✗ 这笔要选客户",IF(AND(P2484="应收",COUNTIF(总览汇总!$B$5:$B$304,J2484)=0),"✗ 客户不在总览汇总名单里",IF(AND(P2484="应付",K2484=""),"✗ 这笔要选供应商",IF(AND(P2484="应付",COUNTIF(基础资料!$Q$5:$Q$54,K2484)=0),"✗ 供应商不在基础资料里",IF(AND(P2484="费用",L2484=""),"✗ 费用支出要选费用项目",IF(AND(L2484&lt;&gt;"",COUNTIF(基础资料!$AI$5:$AI$54,L2484)=0),"✗ 费用项目不在基础资料里",IF(AND(IFERROR(INDEX(基础资料!$AD$5:$AD$34,MATCH(O2484,基础资料!$AC$5:$AC$34,0)),"")="收",N(G2484)&lt;&gt;0),"✗ 这类是收款，金额填到收入列",IF(AND(IFERROR(INDEX(基础资料!$AD$5:$AD$34,MATCH(O2484,基础资料!$AC$5:$AC$34,0)),"")="支",N(F2484)&lt;&gt;0),"✗ 这类是付款，金额填到支出列",IF(N(H2484)&lt;0,"⚠ 账户余额成负数了，核对一下","√"))))))))))))))))))</f>
      </c>
      <c r="O2484" s="78">
        <f>IF(D2484&lt;&gt;"",D2484,IF(AND(F2484="",G2484=""),"",IF(J2484&lt;&gt;"",IF(N(F2484)&gt;0,"客户回款","客户退款"),IF(K2484&lt;&gt;"",IF(N(G2484)&gt;0,"供应商付款","供应商退款"),IF(L2484&lt;&gt;"","费用支出","")))))</f>
      </c>
      <c r="P2484" s="78">
        <f>IF(O2484="","",IFERROR(INDEX(基础资料!$AE$5:$AE$34,MATCH(O2484,基础资料!$AC$5:$AC$34,0)),"未知"))</f>
      </c>
      <c r="Q2484" s="78">
        <f>IF(P2484="应收",COUNTIF(P$7:P2484,"应收"),"")</f>
      </c>
      <c r="R2484" s="78">
        <f>IF(P2484="应付",COUNTIF(P$7:P2484,"应付"),"")</f>
      </c>
      <c r="S2484" s="78">
        <f>N(F2484)-N(G2484)</f>
        <v>0</v>
      </c>
    </row>
    <row r="2485">
      <c r="A2485" s="109">
        <f>IF(AND(F2485="",G2485=""),"",ROW()-6)</f>
      </c>
      <c r="B2485" s="140" t="n"/>
      <c r="C2485" s="141" t="n"/>
      <c r="D2485" s="141" t="n"/>
      <c r="E2485" s="142" t="n"/>
      <c r="F2485" s="143" t="n"/>
      <c r="G2485" s="144" t="n"/>
      <c r="H2485" s="145">
        <f>IF(OR(C2485="",AND(F2485="",G2485="")),"",SUMIF(基础资料!$W$5:$W$24,C2485,基础资料!$X$5:$X$24)+SUMIF(C$7:C2485,C2485,F$7:F2485)-SUMIF(C$7:C2485,C2485,G$7:G2485))</f>
      </c>
      <c r="I2485" s="145">
        <f>IF(AND(F2485="",G2485=""),"",SUM(基础资料!$X$5:$X$24)+SUM(F$7:F2485)-SUM(G$7:G2485))</f>
      </c>
      <c r="J2485" s="141" t="n"/>
      <c r="K2485" s="141" t="n"/>
      <c r="L2485" s="141" t="n"/>
      <c r="M2485" s="142" t="n"/>
      <c r="N2485" s="146">
        <f>IF(AND(AND(F2485="",G2485=""),B2485="",C2485="",D2485="",J2485="",K2485="",L2485=""),"",IF(AND(F2485="",G2485=""),"✗ 没填金额",IF(AND(N(F2485)&lt;&gt;0,N(G2485)&lt;&gt;0),"✗ 收入、支出只能填一边",IF(NOT(ISNUMBER(B2485)),"✗ 日期不是真日期（要像 2026/9/25 这样填）",IF(OR(B2485&lt;年初日,B2485&gt;年末日),"✗ 日期不在本会计年度",IF(C2485="","✗ 没选账户",IF(COUNTIF(基础资料!$W$5:$W$24,C2485)=0,"✗ 账户不在基础资料里",IF(O2485="","✗ 没选收支项目",IF(P2485="未知","✗ 收支项目不在基础资料里",IF(AND(P2485="应收",J2485=""),"✗ 这笔要选客户",IF(AND(P2485="应收",COUNTIF(总览汇总!$B$5:$B$304,J2485)=0),"✗ 客户不在总览汇总名单里",IF(AND(P2485="应付",K2485=""),"✗ 这笔要选供应商",IF(AND(P2485="应付",COUNTIF(基础资料!$Q$5:$Q$54,K2485)=0),"✗ 供应商不在基础资料里",IF(AND(P2485="费用",L2485=""),"✗ 费用支出要选费用项目",IF(AND(L2485&lt;&gt;"",COUNTIF(基础资料!$AI$5:$AI$54,L2485)=0),"✗ 费用项目不在基础资料里",IF(AND(IFERROR(INDEX(基础资料!$AD$5:$AD$34,MATCH(O2485,基础资料!$AC$5:$AC$34,0)),"")="收",N(G2485)&lt;&gt;0),"✗ 这类是收款，金额填到收入列",IF(AND(IFERROR(INDEX(基础资料!$AD$5:$AD$34,MATCH(O2485,基础资料!$AC$5:$AC$34,0)),"")="支",N(F2485)&lt;&gt;0),"✗ 这类是付款，金额填到支出列",IF(N(H2485)&lt;0,"⚠ 账户余额成负数了，核对一下","√"))))))))))))))))))</f>
      </c>
      <c r="O2485" s="78">
        <f>IF(D2485&lt;&gt;"",D2485,IF(AND(F2485="",G2485=""),"",IF(J2485&lt;&gt;"",IF(N(F2485)&gt;0,"客户回款","客户退款"),IF(K2485&lt;&gt;"",IF(N(G2485)&gt;0,"供应商付款","供应商退款"),IF(L2485&lt;&gt;"","费用支出","")))))</f>
      </c>
      <c r="P2485" s="78">
        <f>IF(O2485="","",IFERROR(INDEX(基础资料!$AE$5:$AE$34,MATCH(O2485,基础资料!$AC$5:$AC$34,0)),"未知"))</f>
      </c>
      <c r="Q2485" s="78">
        <f>IF(P2485="应收",COUNTIF(P$7:P2485,"应收"),"")</f>
      </c>
      <c r="R2485" s="78">
        <f>IF(P2485="应付",COUNTIF(P$7:P2485,"应付"),"")</f>
      </c>
      <c r="S2485" s="78">
        <f>N(F2485)-N(G2485)</f>
        <v>0</v>
      </c>
    </row>
    <row r="2486">
      <c r="A2486" s="109">
        <f>IF(AND(F2486="",G2486=""),"",ROW()-6)</f>
      </c>
      <c r="B2486" s="140" t="n"/>
      <c r="C2486" s="141" t="n"/>
      <c r="D2486" s="141" t="n"/>
      <c r="E2486" s="142" t="n"/>
      <c r="F2486" s="143" t="n"/>
      <c r="G2486" s="144" t="n"/>
      <c r="H2486" s="145">
        <f>IF(OR(C2486="",AND(F2486="",G2486="")),"",SUMIF(基础资料!$W$5:$W$24,C2486,基础资料!$X$5:$X$24)+SUMIF(C$7:C2486,C2486,F$7:F2486)-SUMIF(C$7:C2486,C2486,G$7:G2486))</f>
      </c>
      <c r="I2486" s="145">
        <f>IF(AND(F2486="",G2486=""),"",SUM(基础资料!$X$5:$X$24)+SUM(F$7:F2486)-SUM(G$7:G2486))</f>
      </c>
      <c r="J2486" s="141" t="n"/>
      <c r="K2486" s="141" t="n"/>
      <c r="L2486" s="141" t="n"/>
      <c r="M2486" s="142" t="n"/>
      <c r="N2486" s="146">
        <f>IF(AND(AND(F2486="",G2486=""),B2486="",C2486="",D2486="",J2486="",K2486="",L2486=""),"",IF(AND(F2486="",G2486=""),"✗ 没填金额",IF(AND(N(F2486)&lt;&gt;0,N(G2486)&lt;&gt;0),"✗ 收入、支出只能填一边",IF(NOT(ISNUMBER(B2486)),"✗ 日期不是真日期（要像 2026/9/25 这样填）",IF(OR(B2486&lt;年初日,B2486&gt;年末日),"✗ 日期不在本会计年度",IF(C2486="","✗ 没选账户",IF(COUNTIF(基础资料!$W$5:$W$24,C2486)=0,"✗ 账户不在基础资料里",IF(O2486="","✗ 没选收支项目",IF(P2486="未知","✗ 收支项目不在基础资料里",IF(AND(P2486="应收",J2486=""),"✗ 这笔要选客户",IF(AND(P2486="应收",COUNTIF(总览汇总!$B$5:$B$304,J2486)=0),"✗ 客户不在总览汇总名单里",IF(AND(P2486="应付",K2486=""),"✗ 这笔要选供应商",IF(AND(P2486="应付",COUNTIF(基础资料!$Q$5:$Q$54,K2486)=0),"✗ 供应商不在基础资料里",IF(AND(P2486="费用",L2486=""),"✗ 费用支出要选费用项目",IF(AND(L2486&lt;&gt;"",COUNTIF(基础资料!$AI$5:$AI$54,L2486)=0),"✗ 费用项目不在基础资料里",IF(AND(IFERROR(INDEX(基础资料!$AD$5:$AD$34,MATCH(O2486,基础资料!$AC$5:$AC$34,0)),"")="收",N(G2486)&lt;&gt;0),"✗ 这类是收款，金额填到收入列",IF(AND(IFERROR(INDEX(基础资料!$AD$5:$AD$34,MATCH(O2486,基础资料!$AC$5:$AC$34,0)),"")="支",N(F2486)&lt;&gt;0),"✗ 这类是付款，金额填到支出列",IF(N(H2486)&lt;0,"⚠ 账户余额成负数了，核对一下","√"))))))))))))))))))</f>
      </c>
      <c r="O2486" s="78">
        <f>IF(D2486&lt;&gt;"",D2486,IF(AND(F2486="",G2486=""),"",IF(J2486&lt;&gt;"",IF(N(F2486)&gt;0,"客户回款","客户退款"),IF(K2486&lt;&gt;"",IF(N(G2486)&gt;0,"供应商付款","供应商退款"),IF(L2486&lt;&gt;"","费用支出","")))))</f>
      </c>
      <c r="P2486" s="78">
        <f>IF(O2486="","",IFERROR(INDEX(基础资料!$AE$5:$AE$34,MATCH(O2486,基础资料!$AC$5:$AC$34,0)),"未知"))</f>
      </c>
      <c r="Q2486" s="78">
        <f>IF(P2486="应收",COUNTIF(P$7:P2486,"应收"),"")</f>
      </c>
      <c r="R2486" s="78">
        <f>IF(P2486="应付",COUNTIF(P$7:P2486,"应付"),"")</f>
      </c>
      <c r="S2486" s="78">
        <f>N(F2486)-N(G2486)</f>
        <v>0</v>
      </c>
    </row>
    <row r="2487">
      <c r="A2487" s="109">
        <f>IF(AND(F2487="",G2487=""),"",ROW()-6)</f>
      </c>
      <c r="B2487" s="140" t="n"/>
      <c r="C2487" s="141" t="n"/>
      <c r="D2487" s="141" t="n"/>
      <c r="E2487" s="142" t="n"/>
      <c r="F2487" s="143" t="n"/>
      <c r="G2487" s="144" t="n"/>
      <c r="H2487" s="145">
        <f>IF(OR(C2487="",AND(F2487="",G2487="")),"",SUMIF(基础资料!$W$5:$W$24,C2487,基础资料!$X$5:$X$24)+SUMIF(C$7:C2487,C2487,F$7:F2487)-SUMIF(C$7:C2487,C2487,G$7:G2487))</f>
      </c>
      <c r="I2487" s="145">
        <f>IF(AND(F2487="",G2487=""),"",SUM(基础资料!$X$5:$X$24)+SUM(F$7:F2487)-SUM(G$7:G2487))</f>
      </c>
      <c r="J2487" s="141" t="n"/>
      <c r="K2487" s="141" t="n"/>
      <c r="L2487" s="141" t="n"/>
      <c r="M2487" s="142" t="n"/>
      <c r="N2487" s="146">
        <f>IF(AND(AND(F2487="",G2487=""),B2487="",C2487="",D2487="",J2487="",K2487="",L2487=""),"",IF(AND(F2487="",G2487=""),"✗ 没填金额",IF(AND(N(F2487)&lt;&gt;0,N(G2487)&lt;&gt;0),"✗ 收入、支出只能填一边",IF(NOT(ISNUMBER(B2487)),"✗ 日期不是真日期（要像 2026/9/25 这样填）",IF(OR(B2487&lt;年初日,B2487&gt;年末日),"✗ 日期不在本会计年度",IF(C2487="","✗ 没选账户",IF(COUNTIF(基础资料!$W$5:$W$24,C2487)=0,"✗ 账户不在基础资料里",IF(O2487="","✗ 没选收支项目",IF(P2487="未知","✗ 收支项目不在基础资料里",IF(AND(P2487="应收",J2487=""),"✗ 这笔要选客户",IF(AND(P2487="应收",COUNTIF(总览汇总!$B$5:$B$304,J2487)=0),"✗ 客户不在总览汇总名单里",IF(AND(P2487="应付",K2487=""),"✗ 这笔要选供应商",IF(AND(P2487="应付",COUNTIF(基础资料!$Q$5:$Q$54,K2487)=0),"✗ 供应商不在基础资料里",IF(AND(P2487="费用",L2487=""),"✗ 费用支出要选费用项目",IF(AND(L2487&lt;&gt;"",COUNTIF(基础资料!$AI$5:$AI$54,L2487)=0),"✗ 费用项目不在基础资料里",IF(AND(IFERROR(INDEX(基础资料!$AD$5:$AD$34,MATCH(O2487,基础资料!$AC$5:$AC$34,0)),"")="收",N(G2487)&lt;&gt;0),"✗ 这类是收款，金额填到收入列",IF(AND(IFERROR(INDEX(基础资料!$AD$5:$AD$34,MATCH(O2487,基础资料!$AC$5:$AC$34,0)),"")="支",N(F2487)&lt;&gt;0),"✗ 这类是付款，金额填到支出列",IF(N(H2487)&lt;0,"⚠ 账户余额成负数了，核对一下","√"))))))))))))))))))</f>
      </c>
      <c r="O2487" s="78">
        <f>IF(D2487&lt;&gt;"",D2487,IF(AND(F2487="",G2487=""),"",IF(J2487&lt;&gt;"",IF(N(F2487)&gt;0,"客户回款","客户退款"),IF(K2487&lt;&gt;"",IF(N(G2487)&gt;0,"供应商付款","供应商退款"),IF(L2487&lt;&gt;"","费用支出","")))))</f>
      </c>
      <c r="P2487" s="78">
        <f>IF(O2487="","",IFERROR(INDEX(基础资料!$AE$5:$AE$34,MATCH(O2487,基础资料!$AC$5:$AC$34,0)),"未知"))</f>
      </c>
      <c r="Q2487" s="78">
        <f>IF(P2487="应收",COUNTIF(P$7:P2487,"应收"),"")</f>
      </c>
      <c r="R2487" s="78">
        <f>IF(P2487="应付",COUNTIF(P$7:P2487,"应付"),"")</f>
      </c>
      <c r="S2487" s="78">
        <f>N(F2487)-N(G2487)</f>
        <v>0</v>
      </c>
    </row>
    <row r="2488">
      <c r="A2488" s="109">
        <f>IF(AND(F2488="",G2488=""),"",ROW()-6)</f>
      </c>
      <c r="B2488" s="140" t="n"/>
      <c r="C2488" s="141" t="n"/>
      <c r="D2488" s="141" t="n"/>
      <c r="E2488" s="142" t="n"/>
      <c r="F2488" s="143" t="n"/>
      <c r="G2488" s="144" t="n"/>
      <c r="H2488" s="145">
        <f>IF(OR(C2488="",AND(F2488="",G2488="")),"",SUMIF(基础资料!$W$5:$W$24,C2488,基础资料!$X$5:$X$24)+SUMIF(C$7:C2488,C2488,F$7:F2488)-SUMIF(C$7:C2488,C2488,G$7:G2488))</f>
      </c>
      <c r="I2488" s="145">
        <f>IF(AND(F2488="",G2488=""),"",SUM(基础资料!$X$5:$X$24)+SUM(F$7:F2488)-SUM(G$7:G2488))</f>
      </c>
      <c r="J2488" s="141" t="n"/>
      <c r="K2488" s="141" t="n"/>
      <c r="L2488" s="141" t="n"/>
      <c r="M2488" s="142" t="n"/>
      <c r="N2488" s="146">
        <f>IF(AND(AND(F2488="",G2488=""),B2488="",C2488="",D2488="",J2488="",K2488="",L2488=""),"",IF(AND(F2488="",G2488=""),"✗ 没填金额",IF(AND(N(F2488)&lt;&gt;0,N(G2488)&lt;&gt;0),"✗ 收入、支出只能填一边",IF(NOT(ISNUMBER(B2488)),"✗ 日期不是真日期（要像 2026/9/25 这样填）",IF(OR(B2488&lt;年初日,B2488&gt;年末日),"✗ 日期不在本会计年度",IF(C2488="","✗ 没选账户",IF(COUNTIF(基础资料!$W$5:$W$24,C2488)=0,"✗ 账户不在基础资料里",IF(O2488="","✗ 没选收支项目",IF(P2488="未知","✗ 收支项目不在基础资料里",IF(AND(P2488="应收",J2488=""),"✗ 这笔要选客户",IF(AND(P2488="应收",COUNTIF(总览汇总!$B$5:$B$304,J2488)=0),"✗ 客户不在总览汇总名单里",IF(AND(P2488="应付",K2488=""),"✗ 这笔要选供应商",IF(AND(P2488="应付",COUNTIF(基础资料!$Q$5:$Q$54,K2488)=0),"✗ 供应商不在基础资料里",IF(AND(P2488="费用",L2488=""),"✗ 费用支出要选费用项目",IF(AND(L2488&lt;&gt;"",COUNTIF(基础资料!$AI$5:$AI$54,L2488)=0),"✗ 费用项目不在基础资料里",IF(AND(IFERROR(INDEX(基础资料!$AD$5:$AD$34,MATCH(O2488,基础资料!$AC$5:$AC$34,0)),"")="收",N(G2488)&lt;&gt;0),"✗ 这类是收款，金额填到收入列",IF(AND(IFERROR(INDEX(基础资料!$AD$5:$AD$34,MATCH(O2488,基础资料!$AC$5:$AC$34,0)),"")="支",N(F2488)&lt;&gt;0),"✗ 这类是付款，金额填到支出列",IF(N(H2488)&lt;0,"⚠ 账户余额成负数了，核对一下","√"))))))))))))))))))</f>
      </c>
      <c r="O2488" s="78">
        <f>IF(D2488&lt;&gt;"",D2488,IF(AND(F2488="",G2488=""),"",IF(J2488&lt;&gt;"",IF(N(F2488)&gt;0,"客户回款","客户退款"),IF(K2488&lt;&gt;"",IF(N(G2488)&gt;0,"供应商付款","供应商退款"),IF(L2488&lt;&gt;"","费用支出","")))))</f>
      </c>
      <c r="P2488" s="78">
        <f>IF(O2488="","",IFERROR(INDEX(基础资料!$AE$5:$AE$34,MATCH(O2488,基础资料!$AC$5:$AC$34,0)),"未知"))</f>
      </c>
      <c r="Q2488" s="78">
        <f>IF(P2488="应收",COUNTIF(P$7:P2488,"应收"),"")</f>
      </c>
      <c r="R2488" s="78">
        <f>IF(P2488="应付",COUNTIF(P$7:P2488,"应付"),"")</f>
      </c>
      <c r="S2488" s="78">
        <f>N(F2488)-N(G2488)</f>
        <v>0</v>
      </c>
    </row>
    <row r="2489">
      <c r="A2489" s="109">
        <f>IF(AND(F2489="",G2489=""),"",ROW()-6)</f>
      </c>
      <c r="B2489" s="140" t="n"/>
      <c r="C2489" s="141" t="n"/>
      <c r="D2489" s="141" t="n"/>
      <c r="E2489" s="142" t="n"/>
      <c r="F2489" s="143" t="n"/>
      <c r="G2489" s="144" t="n"/>
      <c r="H2489" s="145">
        <f>IF(OR(C2489="",AND(F2489="",G2489="")),"",SUMIF(基础资料!$W$5:$W$24,C2489,基础资料!$X$5:$X$24)+SUMIF(C$7:C2489,C2489,F$7:F2489)-SUMIF(C$7:C2489,C2489,G$7:G2489))</f>
      </c>
      <c r="I2489" s="145">
        <f>IF(AND(F2489="",G2489=""),"",SUM(基础资料!$X$5:$X$24)+SUM(F$7:F2489)-SUM(G$7:G2489))</f>
      </c>
      <c r="J2489" s="141" t="n"/>
      <c r="K2489" s="141" t="n"/>
      <c r="L2489" s="141" t="n"/>
      <c r="M2489" s="142" t="n"/>
      <c r="N2489" s="146">
        <f>IF(AND(AND(F2489="",G2489=""),B2489="",C2489="",D2489="",J2489="",K2489="",L2489=""),"",IF(AND(F2489="",G2489=""),"✗ 没填金额",IF(AND(N(F2489)&lt;&gt;0,N(G2489)&lt;&gt;0),"✗ 收入、支出只能填一边",IF(NOT(ISNUMBER(B2489)),"✗ 日期不是真日期（要像 2026/9/25 这样填）",IF(OR(B2489&lt;年初日,B2489&gt;年末日),"✗ 日期不在本会计年度",IF(C2489="","✗ 没选账户",IF(COUNTIF(基础资料!$W$5:$W$24,C2489)=0,"✗ 账户不在基础资料里",IF(O2489="","✗ 没选收支项目",IF(P2489="未知","✗ 收支项目不在基础资料里",IF(AND(P2489="应收",J2489=""),"✗ 这笔要选客户",IF(AND(P2489="应收",COUNTIF(总览汇总!$B$5:$B$304,J2489)=0),"✗ 客户不在总览汇总名单里",IF(AND(P2489="应付",K2489=""),"✗ 这笔要选供应商",IF(AND(P2489="应付",COUNTIF(基础资料!$Q$5:$Q$54,K2489)=0),"✗ 供应商不在基础资料里",IF(AND(P2489="费用",L2489=""),"✗ 费用支出要选费用项目",IF(AND(L2489&lt;&gt;"",COUNTIF(基础资料!$AI$5:$AI$54,L2489)=0),"✗ 费用项目不在基础资料里",IF(AND(IFERROR(INDEX(基础资料!$AD$5:$AD$34,MATCH(O2489,基础资料!$AC$5:$AC$34,0)),"")="收",N(G2489)&lt;&gt;0),"✗ 这类是收款，金额填到收入列",IF(AND(IFERROR(INDEX(基础资料!$AD$5:$AD$34,MATCH(O2489,基础资料!$AC$5:$AC$34,0)),"")="支",N(F2489)&lt;&gt;0),"✗ 这类是付款，金额填到支出列",IF(N(H2489)&lt;0,"⚠ 账户余额成负数了，核对一下","√"))))))))))))))))))</f>
      </c>
      <c r="O2489" s="78">
        <f>IF(D2489&lt;&gt;"",D2489,IF(AND(F2489="",G2489=""),"",IF(J2489&lt;&gt;"",IF(N(F2489)&gt;0,"客户回款","客户退款"),IF(K2489&lt;&gt;"",IF(N(G2489)&gt;0,"供应商付款","供应商退款"),IF(L2489&lt;&gt;"","费用支出","")))))</f>
      </c>
      <c r="P2489" s="78">
        <f>IF(O2489="","",IFERROR(INDEX(基础资料!$AE$5:$AE$34,MATCH(O2489,基础资料!$AC$5:$AC$34,0)),"未知"))</f>
      </c>
      <c r="Q2489" s="78">
        <f>IF(P2489="应收",COUNTIF(P$7:P2489,"应收"),"")</f>
      </c>
      <c r="R2489" s="78">
        <f>IF(P2489="应付",COUNTIF(P$7:P2489,"应付"),"")</f>
      </c>
      <c r="S2489" s="78">
        <f>N(F2489)-N(G2489)</f>
        <v>0</v>
      </c>
    </row>
    <row r="2490">
      <c r="A2490" s="109">
        <f>IF(AND(F2490="",G2490=""),"",ROW()-6)</f>
      </c>
      <c r="B2490" s="140" t="n"/>
      <c r="C2490" s="141" t="n"/>
      <c r="D2490" s="141" t="n"/>
      <c r="E2490" s="142" t="n"/>
      <c r="F2490" s="143" t="n"/>
      <c r="G2490" s="144" t="n"/>
      <c r="H2490" s="145">
        <f>IF(OR(C2490="",AND(F2490="",G2490="")),"",SUMIF(基础资料!$W$5:$W$24,C2490,基础资料!$X$5:$X$24)+SUMIF(C$7:C2490,C2490,F$7:F2490)-SUMIF(C$7:C2490,C2490,G$7:G2490))</f>
      </c>
      <c r="I2490" s="145">
        <f>IF(AND(F2490="",G2490=""),"",SUM(基础资料!$X$5:$X$24)+SUM(F$7:F2490)-SUM(G$7:G2490))</f>
      </c>
      <c r="J2490" s="141" t="n"/>
      <c r="K2490" s="141" t="n"/>
      <c r="L2490" s="141" t="n"/>
      <c r="M2490" s="142" t="n"/>
      <c r="N2490" s="146">
        <f>IF(AND(AND(F2490="",G2490=""),B2490="",C2490="",D2490="",J2490="",K2490="",L2490=""),"",IF(AND(F2490="",G2490=""),"✗ 没填金额",IF(AND(N(F2490)&lt;&gt;0,N(G2490)&lt;&gt;0),"✗ 收入、支出只能填一边",IF(NOT(ISNUMBER(B2490)),"✗ 日期不是真日期（要像 2026/9/25 这样填）",IF(OR(B2490&lt;年初日,B2490&gt;年末日),"✗ 日期不在本会计年度",IF(C2490="","✗ 没选账户",IF(COUNTIF(基础资料!$W$5:$W$24,C2490)=0,"✗ 账户不在基础资料里",IF(O2490="","✗ 没选收支项目",IF(P2490="未知","✗ 收支项目不在基础资料里",IF(AND(P2490="应收",J2490=""),"✗ 这笔要选客户",IF(AND(P2490="应收",COUNTIF(总览汇总!$B$5:$B$304,J2490)=0),"✗ 客户不在总览汇总名单里",IF(AND(P2490="应付",K2490=""),"✗ 这笔要选供应商",IF(AND(P2490="应付",COUNTIF(基础资料!$Q$5:$Q$54,K2490)=0),"✗ 供应商不在基础资料里",IF(AND(P2490="费用",L2490=""),"✗ 费用支出要选费用项目",IF(AND(L2490&lt;&gt;"",COUNTIF(基础资料!$AI$5:$AI$54,L2490)=0),"✗ 费用项目不在基础资料里",IF(AND(IFERROR(INDEX(基础资料!$AD$5:$AD$34,MATCH(O2490,基础资料!$AC$5:$AC$34,0)),"")="收",N(G2490)&lt;&gt;0),"✗ 这类是收款，金额填到收入列",IF(AND(IFERROR(INDEX(基础资料!$AD$5:$AD$34,MATCH(O2490,基础资料!$AC$5:$AC$34,0)),"")="支",N(F2490)&lt;&gt;0),"✗ 这类是付款，金额填到支出列",IF(N(H2490)&lt;0,"⚠ 账户余额成负数了，核对一下","√"))))))))))))))))))</f>
      </c>
      <c r="O2490" s="78">
        <f>IF(D2490&lt;&gt;"",D2490,IF(AND(F2490="",G2490=""),"",IF(J2490&lt;&gt;"",IF(N(F2490)&gt;0,"客户回款","客户退款"),IF(K2490&lt;&gt;"",IF(N(G2490)&gt;0,"供应商付款","供应商退款"),IF(L2490&lt;&gt;"","费用支出","")))))</f>
      </c>
      <c r="P2490" s="78">
        <f>IF(O2490="","",IFERROR(INDEX(基础资料!$AE$5:$AE$34,MATCH(O2490,基础资料!$AC$5:$AC$34,0)),"未知"))</f>
      </c>
      <c r="Q2490" s="78">
        <f>IF(P2490="应收",COUNTIF(P$7:P2490,"应收"),"")</f>
      </c>
      <c r="R2490" s="78">
        <f>IF(P2490="应付",COUNTIF(P$7:P2490,"应付"),"")</f>
      </c>
      <c r="S2490" s="78">
        <f>N(F2490)-N(G2490)</f>
        <v>0</v>
      </c>
    </row>
    <row r="2491">
      <c r="A2491" s="109">
        <f>IF(AND(F2491="",G2491=""),"",ROW()-6)</f>
      </c>
      <c r="B2491" s="140" t="n"/>
      <c r="C2491" s="141" t="n"/>
      <c r="D2491" s="141" t="n"/>
      <c r="E2491" s="142" t="n"/>
      <c r="F2491" s="143" t="n"/>
      <c r="G2491" s="144" t="n"/>
      <c r="H2491" s="145">
        <f>IF(OR(C2491="",AND(F2491="",G2491="")),"",SUMIF(基础资料!$W$5:$W$24,C2491,基础资料!$X$5:$X$24)+SUMIF(C$7:C2491,C2491,F$7:F2491)-SUMIF(C$7:C2491,C2491,G$7:G2491))</f>
      </c>
      <c r="I2491" s="145">
        <f>IF(AND(F2491="",G2491=""),"",SUM(基础资料!$X$5:$X$24)+SUM(F$7:F2491)-SUM(G$7:G2491))</f>
      </c>
      <c r="J2491" s="141" t="n"/>
      <c r="K2491" s="141" t="n"/>
      <c r="L2491" s="141" t="n"/>
      <c r="M2491" s="142" t="n"/>
      <c r="N2491" s="146">
        <f>IF(AND(AND(F2491="",G2491=""),B2491="",C2491="",D2491="",J2491="",K2491="",L2491=""),"",IF(AND(F2491="",G2491=""),"✗ 没填金额",IF(AND(N(F2491)&lt;&gt;0,N(G2491)&lt;&gt;0),"✗ 收入、支出只能填一边",IF(NOT(ISNUMBER(B2491)),"✗ 日期不是真日期（要像 2026/9/25 这样填）",IF(OR(B2491&lt;年初日,B2491&gt;年末日),"✗ 日期不在本会计年度",IF(C2491="","✗ 没选账户",IF(COUNTIF(基础资料!$W$5:$W$24,C2491)=0,"✗ 账户不在基础资料里",IF(O2491="","✗ 没选收支项目",IF(P2491="未知","✗ 收支项目不在基础资料里",IF(AND(P2491="应收",J2491=""),"✗ 这笔要选客户",IF(AND(P2491="应收",COUNTIF(总览汇总!$B$5:$B$304,J2491)=0),"✗ 客户不在总览汇总名单里",IF(AND(P2491="应付",K2491=""),"✗ 这笔要选供应商",IF(AND(P2491="应付",COUNTIF(基础资料!$Q$5:$Q$54,K2491)=0),"✗ 供应商不在基础资料里",IF(AND(P2491="费用",L2491=""),"✗ 费用支出要选费用项目",IF(AND(L2491&lt;&gt;"",COUNTIF(基础资料!$AI$5:$AI$54,L2491)=0),"✗ 费用项目不在基础资料里",IF(AND(IFERROR(INDEX(基础资料!$AD$5:$AD$34,MATCH(O2491,基础资料!$AC$5:$AC$34,0)),"")="收",N(G2491)&lt;&gt;0),"✗ 这类是收款，金额填到收入列",IF(AND(IFERROR(INDEX(基础资料!$AD$5:$AD$34,MATCH(O2491,基础资料!$AC$5:$AC$34,0)),"")="支",N(F2491)&lt;&gt;0),"✗ 这类是付款，金额填到支出列",IF(N(H2491)&lt;0,"⚠ 账户余额成负数了，核对一下","√"))))))))))))))))))</f>
      </c>
      <c r="O2491" s="78">
        <f>IF(D2491&lt;&gt;"",D2491,IF(AND(F2491="",G2491=""),"",IF(J2491&lt;&gt;"",IF(N(F2491)&gt;0,"客户回款","客户退款"),IF(K2491&lt;&gt;"",IF(N(G2491)&gt;0,"供应商付款","供应商退款"),IF(L2491&lt;&gt;"","费用支出","")))))</f>
      </c>
      <c r="P2491" s="78">
        <f>IF(O2491="","",IFERROR(INDEX(基础资料!$AE$5:$AE$34,MATCH(O2491,基础资料!$AC$5:$AC$34,0)),"未知"))</f>
      </c>
      <c r="Q2491" s="78">
        <f>IF(P2491="应收",COUNTIF(P$7:P2491,"应收"),"")</f>
      </c>
      <c r="R2491" s="78">
        <f>IF(P2491="应付",COUNTIF(P$7:P2491,"应付"),"")</f>
      </c>
      <c r="S2491" s="78">
        <f>N(F2491)-N(G2491)</f>
        <v>0</v>
      </c>
    </row>
    <row r="2492">
      <c r="A2492" s="109">
        <f>IF(AND(F2492="",G2492=""),"",ROW()-6)</f>
      </c>
      <c r="B2492" s="140" t="n"/>
      <c r="C2492" s="141" t="n"/>
      <c r="D2492" s="141" t="n"/>
      <c r="E2492" s="142" t="n"/>
      <c r="F2492" s="143" t="n"/>
      <c r="G2492" s="144" t="n"/>
      <c r="H2492" s="145">
        <f>IF(OR(C2492="",AND(F2492="",G2492="")),"",SUMIF(基础资料!$W$5:$W$24,C2492,基础资料!$X$5:$X$24)+SUMIF(C$7:C2492,C2492,F$7:F2492)-SUMIF(C$7:C2492,C2492,G$7:G2492))</f>
      </c>
      <c r="I2492" s="145">
        <f>IF(AND(F2492="",G2492=""),"",SUM(基础资料!$X$5:$X$24)+SUM(F$7:F2492)-SUM(G$7:G2492))</f>
      </c>
      <c r="J2492" s="141" t="n"/>
      <c r="K2492" s="141" t="n"/>
      <c r="L2492" s="141" t="n"/>
      <c r="M2492" s="142" t="n"/>
      <c r="N2492" s="146">
        <f>IF(AND(AND(F2492="",G2492=""),B2492="",C2492="",D2492="",J2492="",K2492="",L2492=""),"",IF(AND(F2492="",G2492=""),"✗ 没填金额",IF(AND(N(F2492)&lt;&gt;0,N(G2492)&lt;&gt;0),"✗ 收入、支出只能填一边",IF(NOT(ISNUMBER(B2492)),"✗ 日期不是真日期（要像 2026/9/25 这样填）",IF(OR(B2492&lt;年初日,B2492&gt;年末日),"✗ 日期不在本会计年度",IF(C2492="","✗ 没选账户",IF(COUNTIF(基础资料!$W$5:$W$24,C2492)=0,"✗ 账户不在基础资料里",IF(O2492="","✗ 没选收支项目",IF(P2492="未知","✗ 收支项目不在基础资料里",IF(AND(P2492="应收",J2492=""),"✗ 这笔要选客户",IF(AND(P2492="应收",COUNTIF(总览汇总!$B$5:$B$304,J2492)=0),"✗ 客户不在总览汇总名单里",IF(AND(P2492="应付",K2492=""),"✗ 这笔要选供应商",IF(AND(P2492="应付",COUNTIF(基础资料!$Q$5:$Q$54,K2492)=0),"✗ 供应商不在基础资料里",IF(AND(P2492="费用",L2492=""),"✗ 费用支出要选费用项目",IF(AND(L2492&lt;&gt;"",COUNTIF(基础资料!$AI$5:$AI$54,L2492)=0),"✗ 费用项目不在基础资料里",IF(AND(IFERROR(INDEX(基础资料!$AD$5:$AD$34,MATCH(O2492,基础资料!$AC$5:$AC$34,0)),"")="收",N(G2492)&lt;&gt;0),"✗ 这类是收款，金额填到收入列",IF(AND(IFERROR(INDEX(基础资料!$AD$5:$AD$34,MATCH(O2492,基础资料!$AC$5:$AC$34,0)),"")="支",N(F2492)&lt;&gt;0),"✗ 这类是付款，金额填到支出列",IF(N(H2492)&lt;0,"⚠ 账户余额成负数了，核对一下","√"))))))))))))))))))</f>
      </c>
      <c r="O2492" s="78">
        <f>IF(D2492&lt;&gt;"",D2492,IF(AND(F2492="",G2492=""),"",IF(J2492&lt;&gt;"",IF(N(F2492)&gt;0,"客户回款","客户退款"),IF(K2492&lt;&gt;"",IF(N(G2492)&gt;0,"供应商付款","供应商退款"),IF(L2492&lt;&gt;"","费用支出","")))))</f>
      </c>
      <c r="P2492" s="78">
        <f>IF(O2492="","",IFERROR(INDEX(基础资料!$AE$5:$AE$34,MATCH(O2492,基础资料!$AC$5:$AC$34,0)),"未知"))</f>
      </c>
      <c r="Q2492" s="78">
        <f>IF(P2492="应收",COUNTIF(P$7:P2492,"应收"),"")</f>
      </c>
      <c r="R2492" s="78">
        <f>IF(P2492="应付",COUNTIF(P$7:P2492,"应付"),"")</f>
      </c>
      <c r="S2492" s="78">
        <f>N(F2492)-N(G2492)</f>
        <v>0</v>
      </c>
    </row>
    <row r="2493">
      <c r="A2493" s="109">
        <f>IF(AND(F2493="",G2493=""),"",ROW()-6)</f>
      </c>
      <c r="B2493" s="140" t="n"/>
      <c r="C2493" s="141" t="n"/>
      <c r="D2493" s="141" t="n"/>
      <c r="E2493" s="142" t="n"/>
      <c r="F2493" s="143" t="n"/>
      <c r="G2493" s="144" t="n"/>
      <c r="H2493" s="145">
        <f>IF(OR(C2493="",AND(F2493="",G2493="")),"",SUMIF(基础资料!$W$5:$W$24,C2493,基础资料!$X$5:$X$24)+SUMIF(C$7:C2493,C2493,F$7:F2493)-SUMIF(C$7:C2493,C2493,G$7:G2493))</f>
      </c>
      <c r="I2493" s="145">
        <f>IF(AND(F2493="",G2493=""),"",SUM(基础资料!$X$5:$X$24)+SUM(F$7:F2493)-SUM(G$7:G2493))</f>
      </c>
      <c r="J2493" s="141" t="n"/>
      <c r="K2493" s="141" t="n"/>
      <c r="L2493" s="141" t="n"/>
      <c r="M2493" s="142" t="n"/>
      <c r="N2493" s="146">
        <f>IF(AND(AND(F2493="",G2493=""),B2493="",C2493="",D2493="",J2493="",K2493="",L2493=""),"",IF(AND(F2493="",G2493=""),"✗ 没填金额",IF(AND(N(F2493)&lt;&gt;0,N(G2493)&lt;&gt;0),"✗ 收入、支出只能填一边",IF(NOT(ISNUMBER(B2493)),"✗ 日期不是真日期（要像 2026/9/25 这样填）",IF(OR(B2493&lt;年初日,B2493&gt;年末日),"✗ 日期不在本会计年度",IF(C2493="","✗ 没选账户",IF(COUNTIF(基础资料!$W$5:$W$24,C2493)=0,"✗ 账户不在基础资料里",IF(O2493="","✗ 没选收支项目",IF(P2493="未知","✗ 收支项目不在基础资料里",IF(AND(P2493="应收",J2493=""),"✗ 这笔要选客户",IF(AND(P2493="应收",COUNTIF(总览汇总!$B$5:$B$304,J2493)=0),"✗ 客户不在总览汇总名单里",IF(AND(P2493="应付",K2493=""),"✗ 这笔要选供应商",IF(AND(P2493="应付",COUNTIF(基础资料!$Q$5:$Q$54,K2493)=0),"✗ 供应商不在基础资料里",IF(AND(P2493="费用",L2493=""),"✗ 费用支出要选费用项目",IF(AND(L2493&lt;&gt;"",COUNTIF(基础资料!$AI$5:$AI$54,L2493)=0),"✗ 费用项目不在基础资料里",IF(AND(IFERROR(INDEX(基础资料!$AD$5:$AD$34,MATCH(O2493,基础资料!$AC$5:$AC$34,0)),"")="收",N(G2493)&lt;&gt;0),"✗ 这类是收款，金额填到收入列",IF(AND(IFERROR(INDEX(基础资料!$AD$5:$AD$34,MATCH(O2493,基础资料!$AC$5:$AC$34,0)),"")="支",N(F2493)&lt;&gt;0),"✗ 这类是付款，金额填到支出列",IF(N(H2493)&lt;0,"⚠ 账户余额成负数了，核对一下","√"))))))))))))))))))</f>
      </c>
      <c r="O2493" s="78">
        <f>IF(D2493&lt;&gt;"",D2493,IF(AND(F2493="",G2493=""),"",IF(J2493&lt;&gt;"",IF(N(F2493)&gt;0,"客户回款","客户退款"),IF(K2493&lt;&gt;"",IF(N(G2493)&gt;0,"供应商付款","供应商退款"),IF(L2493&lt;&gt;"","费用支出","")))))</f>
      </c>
      <c r="P2493" s="78">
        <f>IF(O2493="","",IFERROR(INDEX(基础资料!$AE$5:$AE$34,MATCH(O2493,基础资料!$AC$5:$AC$34,0)),"未知"))</f>
      </c>
      <c r="Q2493" s="78">
        <f>IF(P2493="应收",COUNTIF(P$7:P2493,"应收"),"")</f>
      </c>
      <c r="R2493" s="78">
        <f>IF(P2493="应付",COUNTIF(P$7:P2493,"应付"),"")</f>
      </c>
      <c r="S2493" s="78">
        <f>N(F2493)-N(G2493)</f>
        <v>0</v>
      </c>
    </row>
    <row r="2494">
      <c r="A2494" s="109">
        <f>IF(AND(F2494="",G2494=""),"",ROW()-6)</f>
      </c>
      <c r="B2494" s="140" t="n"/>
      <c r="C2494" s="141" t="n"/>
      <c r="D2494" s="141" t="n"/>
      <c r="E2494" s="142" t="n"/>
      <c r="F2494" s="143" t="n"/>
      <c r="G2494" s="144" t="n"/>
      <c r="H2494" s="145">
        <f>IF(OR(C2494="",AND(F2494="",G2494="")),"",SUMIF(基础资料!$W$5:$W$24,C2494,基础资料!$X$5:$X$24)+SUMIF(C$7:C2494,C2494,F$7:F2494)-SUMIF(C$7:C2494,C2494,G$7:G2494))</f>
      </c>
      <c r="I2494" s="145">
        <f>IF(AND(F2494="",G2494=""),"",SUM(基础资料!$X$5:$X$24)+SUM(F$7:F2494)-SUM(G$7:G2494))</f>
      </c>
      <c r="J2494" s="141" t="n"/>
      <c r="K2494" s="141" t="n"/>
      <c r="L2494" s="141" t="n"/>
      <c r="M2494" s="142" t="n"/>
      <c r="N2494" s="146">
        <f>IF(AND(AND(F2494="",G2494=""),B2494="",C2494="",D2494="",J2494="",K2494="",L2494=""),"",IF(AND(F2494="",G2494=""),"✗ 没填金额",IF(AND(N(F2494)&lt;&gt;0,N(G2494)&lt;&gt;0),"✗ 收入、支出只能填一边",IF(NOT(ISNUMBER(B2494)),"✗ 日期不是真日期（要像 2026/9/25 这样填）",IF(OR(B2494&lt;年初日,B2494&gt;年末日),"✗ 日期不在本会计年度",IF(C2494="","✗ 没选账户",IF(COUNTIF(基础资料!$W$5:$W$24,C2494)=0,"✗ 账户不在基础资料里",IF(O2494="","✗ 没选收支项目",IF(P2494="未知","✗ 收支项目不在基础资料里",IF(AND(P2494="应收",J2494=""),"✗ 这笔要选客户",IF(AND(P2494="应收",COUNTIF(总览汇总!$B$5:$B$304,J2494)=0),"✗ 客户不在总览汇总名单里",IF(AND(P2494="应付",K2494=""),"✗ 这笔要选供应商",IF(AND(P2494="应付",COUNTIF(基础资料!$Q$5:$Q$54,K2494)=0),"✗ 供应商不在基础资料里",IF(AND(P2494="费用",L2494=""),"✗ 费用支出要选费用项目",IF(AND(L2494&lt;&gt;"",COUNTIF(基础资料!$AI$5:$AI$54,L2494)=0),"✗ 费用项目不在基础资料里",IF(AND(IFERROR(INDEX(基础资料!$AD$5:$AD$34,MATCH(O2494,基础资料!$AC$5:$AC$34,0)),"")="收",N(G2494)&lt;&gt;0),"✗ 这类是收款，金额填到收入列",IF(AND(IFERROR(INDEX(基础资料!$AD$5:$AD$34,MATCH(O2494,基础资料!$AC$5:$AC$34,0)),"")="支",N(F2494)&lt;&gt;0),"✗ 这类是付款，金额填到支出列",IF(N(H2494)&lt;0,"⚠ 账户余额成负数了，核对一下","√"))))))))))))))))))</f>
      </c>
      <c r="O2494" s="78">
        <f>IF(D2494&lt;&gt;"",D2494,IF(AND(F2494="",G2494=""),"",IF(J2494&lt;&gt;"",IF(N(F2494)&gt;0,"客户回款","客户退款"),IF(K2494&lt;&gt;"",IF(N(G2494)&gt;0,"供应商付款","供应商退款"),IF(L2494&lt;&gt;"","费用支出","")))))</f>
      </c>
      <c r="P2494" s="78">
        <f>IF(O2494="","",IFERROR(INDEX(基础资料!$AE$5:$AE$34,MATCH(O2494,基础资料!$AC$5:$AC$34,0)),"未知"))</f>
      </c>
      <c r="Q2494" s="78">
        <f>IF(P2494="应收",COUNTIF(P$7:P2494,"应收"),"")</f>
      </c>
      <c r="R2494" s="78">
        <f>IF(P2494="应付",COUNTIF(P$7:P2494,"应付"),"")</f>
      </c>
      <c r="S2494" s="78">
        <f>N(F2494)-N(G2494)</f>
        <v>0</v>
      </c>
    </row>
    <row r="2495">
      <c r="A2495" s="109">
        <f>IF(AND(F2495="",G2495=""),"",ROW()-6)</f>
      </c>
      <c r="B2495" s="140" t="n"/>
      <c r="C2495" s="141" t="n"/>
      <c r="D2495" s="141" t="n"/>
      <c r="E2495" s="142" t="n"/>
      <c r="F2495" s="143" t="n"/>
      <c r="G2495" s="144" t="n"/>
      <c r="H2495" s="145">
        <f>IF(OR(C2495="",AND(F2495="",G2495="")),"",SUMIF(基础资料!$W$5:$W$24,C2495,基础资料!$X$5:$X$24)+SUMIF(C$7:C2495,C2495,F$7:F2495)-SUMIF(C$7:C2495,C2495,G$7:G2495))</f>
      </c>
      <c r="I2495" s="145">
        <f>IF(AND(F2495="",G2495=""),"",SUM(基础资料!$X$5:$X$24)+SUM(F$7:F2495)-SUM(G$7:G2495))</f>
      </c>
      <c r="J2495" s="141" t="n"/>
      <c r="K2495" s="141" t="n"/>
      <c r="L2495" s="141" t="n"/>
      <c r="M2495" s="142" t="n"/>
      <c r="N2495" s="146">
        <f>IF(AND(AND(F2495="",G2495=""),B2495="",C2495="",D2495="",J2495="",K2495="",L2495=""),"",IF(AND(F2495="",G2495=""),"✗ 没填金额",IF(AND(N(F2495)&lt;&gt;0,N(G2495)&lt;&gt;0),"✗ 收入、支出只能填一边",IF(NOT(ISNUMBER(B2495)),"✗ 日期不是真日期（要像 2026/9/25 这样填）",IF(OR(B2495&lt;年初日,B2495&gt;年末日),"✗ 日期不在本会计年度",IF(C2495="","✗ 没选账户",IF(COUNTIF(基础资料!$W$5:$W$24,C2495)=0,"✗ 账户不在基础资料里",IF(O2495="","✗ 没选收支项目",IF(P2495="未知","✗ 收支项目不在基础资料里",IF(AND(P2495="应收",J2495=""),"✗ 这笔要选客户",IF(AND(P2495="应收",COUNTIF(总览汇总!$B$5:$B$304,J2495)=0),"✗ 客户不在总览汇总名单里",IF(AND(P2495="应付",K2495=""),"✗ 这笔要选供应商",IF(AND(P2495="应付",COUNTIF(基础资料!$Q$5:$Q$54,K2495)=0),"✗ 供应商不在基础资料里",IF(AND(P2495="费用",L2495=""),"✗ 费用支出要选费用项目",IF(AND(L2495&lt;&gt;"",COUNTIF(基础资料!$AI$5:$AI$54,L2495)=0),"✗ 费用项目不在基础资料里",IF(AND(IFERROR(INDEX(基础资料!$AD$5:$AD$34,MATCH(O2495,基础资料!$AC$5:$AC$34,0)),"")="收",N(G2495)&lt;&gt;0),"✗ 这类是收款，金额填到收入列",IF(AND(IFERROR(INDEX(基础资料!$AD$5:$AD$34,MATCH(O2495,基础资料!$AC$5:$AC$34,0)),"")="支",N(F2495)&lt;&gt;0),"✗ 这类是付款，金额填到支出列",IF(N(H2495)&lt;0,"⚠ 账户余额成负数了，核对一下","√"))))))))))))))))))</f>
      </c>
      <c r="O2495" s="78">
        <f>IF(D2495&lt;&gt;"",D2495,IF(AND(F2495="",G2495=""),"",IF(J2495&lt;&gt;"",IF(N(F2495)&gt;0,"客户回款","客户退款"),IF(K2495&lt;&gt;"",IF(N(G2495)&gt;0,"供应商付款","供应商退款"),IF(L2495&lt;&gt;"","费用支出","")))))</f>
      </c>
      <c r="P2495" s="78">
        <f>IF(O2495="","",IFERROR(INDEX(基础资料!$AE$5:$AE$34,MATCH(O2495,基础资料!$AC$5:$AC$34,0)),"未知"))</f>
      </c>
      <c r="Q2495" s="78">
        <f>IF(P2495="应收",COUNTIF(P$7:P2495,"应收"),"")</f>
      </c>
      <c r="R2495" s="78">
        <f>IF(P2495="应付",COUNTIF(P$7:P2495,"应付"),"")</f>
      </c>
      <c r="S2495" s="78">
        <f>N(F2495)-N(G2495)</f>
        <v>0</v>
      </c>
    </row>
    <row r="2496">
      <c r="A2496" s="109">
        <f>IF(AND(F2496="",G2496=""),"",ROW()-6)</f>
      </c>
      <c r="B2496" s="140" t="n"/>
      <c r="C2496" s="141" t="n"/>
      <c r="D2496" s="141" t="n"/>
      <c r="E2496" s="142" t="n"/>
      <c r="F2496" s="143" t="n"/>
      <c r="G2496" s="144" t="n"/>
      <c r="H2496" s="145">
        <f>IF(OR(C2496="",AND(F2496="",G2496="")),"",SUMIF(基础资料!$W$5:$W$24,C2496,基础资料!$X$5:$X$24)+SUMIF(C$7:C2496,C2496,F$7:F2496)-SUMIF(C$7:C2496,C2496,G$7:G2496))</f>
      </c>
      <c r="I2496" s="145">
        <f>IF(AND(F2496="",G2496=""),"",SUM(基础资料!$X$5:$X$24)+SUM(F$7:F2496)-SUM(G$7:G2496))</f>
      </c>
      <c r="J2496" s="141" t="n"/>
      <c r="K2496" s="141" t="n"/>
      <c r="L2496" s="141" t="n"/>
      <c r="M2496" s="142" t="n"/>
      <c r="N2496" s="146">
        <f>IF(AND(AND(F2496="",G2496=""),B2496="",C2496="",D2496="",J2496="",K2496="",L2496=""),"",IF(AND(F2496="",G2496=""),"✗ 没填金额",IF(AND(N(F2496)&lt;&gt;0,N(G2496)&lt;&gt;0),"✗ 收入、支出只能填一边",IF(NOT(ISNUMBER(B2496)),"✗ 日期不是真日期（要像 2026/9/25 这样填）",IF(OR(B2496&lt;年初日,B2496&gt;年末日),"✗ 日期不在本会计年度",IF(C2496="","✗ 没选账户",IF(COUNTIF(基础资料!$W$5:$W$24,C2496)=0,"✗ 账户不在基础资料里",IF(O2496="","✗ 没选收支项目",IF(P2496="未知","✗ 收支项目不在基础资料里",IF(AND(P2496="应收",J2496=""),"✗ 这笔要选客户",IF(AND(P2496="应收",COUNTIF(总览汇总!$B$5:$B$304,J2496)=0),"✗ 客户不在总览汇总名单里",IF(AND(P2496="应付",K2496=""),"✗ 这笔要选供应商",IF(AND(P2496="应付",COUNTIF(基础资料!$Q$5:$Q$54,K2496)=0),"✗ 供应商不在基础资料里",IF(AND(P2496="费用",L2496=""),"✗ 费用支出要选费用项目",IF(AND(L2496&lt;&gt;"",COUNTIF(基础资料!$AI$5:$AI$54,L2496)=0),"✗ 费用项目不在基础资料里",IF(AND(IFERROR(INDEX(基础资料!$AD$5:$AD$34,MATCH(O2496,基础资料!$AC$5:$AC$34,0)),"")="收",N(G2496)&lt;&gt;0),"✗ 这类是收款，金额填到收入列",IF(AND(IFERROR(INDEX(基础资料!$AD$5:$AD$34,MATCH(O2496,基础资料!$AC$5:$AC$34,0)),"")="支",N(F2496)&lt;&gt;0),"✗ 这类是付款，金额填到支出列",IF(N(H2496)&lt;0,"⚠ 账户余额成负数了，核对一下","√"))))))))))))))))))</f>
      </c>
      <c r="O2496" s="78">
        <f>IF(D2496&lt;&gt;"",D2496,IF(AND(F2496="",G2496=""),"",IF(J2496&lt;&gt;"",IF(N(F2496)&gt;0,"客户回款","客户退款"),IF(K2496&lt;&gt;"",IF(N(G2496)&gt;0,"供应商付款","供应商退款"),IF(L2496&lt;&gt;"","费用支出","")))))</f>
      </c>
      <c r="P2496" s="78">
        <f>IF(O2496="","",IFERROR(INDEX(基础资料!$AE$5:$AE$34,MATCH(O2496,基础资料!$AC$5:$AC$34,0)),"未知"))</f>
      </c>
      <c r="Q2496" s="78">
        <f>IF(P2496="应收",COUNTIF(P$7:P2496,"应收"),"")</f>
      </c>
      <c r="R2496" s="78">
        <f>IF(P2496="应付",COUNTIF(P$7:P2496,"应付"),"")</f>
      </c>
      <c r="S2496" s="78">
        <f>N(F2496)-N(G2496)</f>
        <v>0</v>
      </c>
    </row>
    <row r="2497">
      <c r="A2497" s="109">
        <f>IF(AND(F2497="",G2497=""),"",ROW()-6)</f>
      </c>
      <c r="B2497" s="140" t="n"/>
      <c r="C2497" s="141" t="n"/>
      <c r="D2497" s="141" t="n"/>
      <c r="E2497" s="142" t="n"/>
      <c r="F2497" s="143" t="n"/>
      <c r="G2497" s="144" t="n"/>
      <c r="H2497" s="145">
        <f>IF(OR(C2497="",AND(F2497="",G2497="")),"",SUMIF(基础资料!$W$5:$W$24,C2497,基础资料!$X$5:$X$24)+SUMIF(C$7:C2497,C2497,F$7:F2497)-SUMIF(C$7:C2497,C2497,G$7:G2497))</f>
      </c>
      <c r="I2497" s="145">
        <f>IF(AND(F2497="",G2497=""),"",SUM(基础资料!$X$5:$X$24)+SUM(F$7:F2497)-SUM(G$7:G2497))</f>
      </c>
      <c r="J2497" s="141" t="n"/>
      <c r="K2497" s="141" t="n"/>
      <c r="L2497" s="141" t="n"/>
      <c r="M2497" s="142" t="n"/>
      <c r="N2497" s="146">
        <f>IF(AND(AND(F2497="",G2497=""),B2497="",C2497="",D2497="",J2497="",K2497="",L2497=""),"",IF(AND(F2497="",G2497=""),"✗ 没填金额",IF(AND(N(F2497)&lt;&gt;0,N(G2497)&lt;&gt;0),"✗ 收入、支出只能填一边",IF(NOT(ISNUMBER(B2497)),"✗ 日期不是真日期（要像 2026/9/25 这样填）",IF(OR(B2497&lt;年初日,B2497&gt;年末日),"✗ 日期不在本会计年度",IF(C2497="","✗ 没选账户",IF(COUNTIF(基础资料!$W$5:$W$24,C2497)=0,"✗ 账户不在基础资料里",IF(O2497="","✗ 没选收支项目",IF(P2497="未知","✗ 收支项目不在基础资料里",IF(AND(P2497="应收",J2497=""),"✗ 这笔要选客户",IF(AND(P2497="应收",COUNTIF(总览汇总!$B$5:$B$304,J2497)=0),"✗ 客户不在总览汇总名单里",IF(AND(P2497="应付",K2497=""),"✗ 这笔要选供应商",IF(AND(P2497="应付",COUNTIF(基础资料!$Q$5:$Q$54,K2497)=0),"✗ 供应商不在基础资料里",IF(AND(P2497="费用",L2497=""),"✗ 费用支出要选费用项目",IF(AND(L2497&lt;&gt;"",COUNTIF(基础资料!$AI$5:$AI$54,L2497)=0),"✗ 费用项目不在基础资料里",IF(AND(IFERROR(INDEX(基础资料!$AD$5:$AD$34,MATCH(O2497,基础资料!$AC$5:$AC$34,0)),"")="收",N(G2497)&lt;&gt;0),"✗ 这类是收款，金额填到收入列",IF(AND(IFERROR(INDEX(基础资料!$AD$5:$AD$34,MATCH(O2497,基础资料!$AC$5:$AC$34,0)),"")="支",N(F2497)&lt;&gt;0),"✗ 这类是付款，金额填到支出列",IF(N(H2497)&lt;0,"⚠ 账户余额成负数了，核对一下","√"))))))))))))))))))</f>
      </c>
      <c r="O2497" s="78">
        <f>IF(D2497&lt;&gt;"",D2497,IF(AND(F2497="",G2497=""),"",IF(J2497&lt;&gt;"",IF(N(F2497)&gt;0,"客户回款","客户退款"),IF(K2497&lt;&gt;"",IF(N(G2497)&gt;0,"供应商付款","供应商退款"),IF(L2497&lt;&gt;"","费用支出","")))))</f>
      </c>
      <c r="P2497" s="78">
        <f>IF(O2497="","",IFERROR(INDEX(基础资料!$AE$5:$AE$34,MATCH(O2497,基础资料!$AC$5:$AC$34,0)),"未知"))</f>
      </c>
      <c r="Q2497" s="78">
        <f>IF(P2497="应收",COUNTIF(P$7:P2497,"应收"),"")</f>
      </c>
      <c r="R2497" s="78">
        <f>IF(P2497="应付",COUNTIF(P$7:P2497,"应付"),"")</f>
      </c>
      <c r="S2497" s="78">
        <f>N(F2497)-N(G2497)</f>
        <v>0</v>
      </c>
    </row>
    <row r="2498">
      <c r="A2498" s="109">
        <f>IF(AND(F2498="",G2498=""),"",ROW()-6)</f>
      </c>
      <c r="B2498" s="140" t="n"/>
      <c r="C2498" s="141" t="n"/>
      <c r="D2498" s="141" t="n"/>
      <c r="E2498" s="142" t="n"/>
      <c r="F2498" s="143" t="n"/>
      <c r="G2498" s="144" t="n"/>
      <c r="H2498" s="145">
        <f>IF(OR(C2498="",AND(F2498="",G2498="")),"",SUMIF(基础资料!$W$5:$W$24,C2498,基础资料!$X$5:$X$24)+SUMIF(C$7:C2498,C2498,F$7:F2498)-SUMIF(C$7:C2498,C2498,G$7:G2498))</f>
      </c>
      <c r="I2498" s="145">
        <f>IF(AND(F2498="",G2498=""),"",SUM(基础资料!$X$5:$X$24)+SUM(F$7:F2498)-SUM(G$7:G2498))</f>
      </c>
      <c r="J2498" s="141" t="n"/>
      <c r="K2498" s="141" t="n"/>
      <c r="L2498" s="141" t="n"/>
      <c r="M2498" s="142" t="n"/>
      <c r="N2498" s="146">
        <f>IF(AND(AND(F2498="",G2498=""),B2498="",C2498="",D2498="",J2498="",K2498="",L2498=""),"",IF(AND(F2498="",G2498=""),"✗ 没填金额",IF(AND(N(F2498)&lt;&gt;0,N(G2498)&lt;&gt;0),"✗ 收入、支出只能填一边",IF(NOT(ISNUMBER(B2498)),"✗ 日期不是真日期（要像 2026/9/25 这样填）",IF(OR(B2498&lt;年初日,B2498&gt;年末日),"✗ 日期不在本会计年度",IF(C2498="","✗ 没选账户",IF(COUNTIF(基础资料!$W$5:$W$24,C2498)=0,"✗ 账户不在基础资料里",IF(O2498="","✗ 没选收支项目",IF(P2498="未知","✗ 收支项目不在基础资料里",IF(AND(P2498="应收",J2498=""),"✗ 这笔要选客户",IF(AND(P2498="应收",COUNTIF(总览汇总!$B$5:$B$304,J2498)=0),"✗ 客户不在总览汇总名单里",IF(AND(P2498="应付",K2498=""),"✗ 这笔要选供应商",IF(AND(P2498="应付",COUNTIF(基础资料!$Q$5:$Q$54,K2498)=0),"✗ 供应商不在基础资料里",IF(AND(P2498="费用",L2498=""),"✗ 费用支出要选费用项目",IF(AND(L2498&lt;&gt;"",COUNTIF(基础资料!$AI$5:$AI$54,L2498)=0),"✗ 费用项目不在基础资料里",IF(AND(IFERROR(INDEX(基础资料!$AD$5:$AD$34,MATCH(O2498,基础资料!$AC$5:$AC$34,0)),"")="收",N(G2498)&lt;&gt;0),"✗ 这类是收款，金额填到收入列",IF(AND(IFERROR(INDEX(基础资料!$AD$5:$AD$34,MATCH(O2498,基础资料!$AC$5:$AC$34,0)),"")="支",N(F2498)&lt;&gt;0),"✗ 这类是付款，金额填到支出列",IF(N(H2498)&lt;0,"⚠ 账户余额成负数了，核对一下","√"))))))))))))))))))</f>
      </c>
      <c r="O2498" s="78">
        <f>IF(D2498&lt;&gt;"",D2498,IF(AND(F2498="",G2498=""),"",IF(J2498&lt;&gt;"",IF(N(F2498)&gt;0,"客户回款","客户退款"),IF(K2498&lt;&gt;"",IF(N(G2498)&gt;0,"供应商付款","供应商退款"),IF(L2498&lt;&gt;"","费用支出","")))))</f>
      </c>
      <c r="P2498" s="78">
        <f>IF(O2498="","",IFERROR(INDEX(基础资料!$AE$5:$AE$34,MATCH(O2498,基础资料!$AC$5:$AC$34,0)),"未知"))</f>
      </c>
      <c r="Q2498" s="78">
        <f>IF(P2498="应收",COUNTIF(P$7:P2498,"应收"),"")</f>
      </c>
      <c r="R2498" s="78">
        <f>IF(P2498="应付",COUNTIF(P$7:P2498,"应付"),"")</f>
      </c>
      <c r="S2498" s="78">
        <f>N(F2498)-N(G2498)</f>
        <v>0</v>
      </c>
    </row>
    <row r="2499">
      <c r="A2499" s="109">
        <f>IF(AND(F2499="",G2499=""),"",ROW()-6)</f>
      </c>
      <c r="B2499" s="140" t="n"/>
      <c r="C2499" s="141" t="n"/>
      <c r="D2499" s="141" t="n"/>
      <c r="E2499" s="142" t="n"/>
      <c r="F2499" s="143" t="n"/>
      <c r="G2499" s="144" t="n"/>
      <c r="H2499" s="145">
        <f>IF(OR(C2499="",AND(F2499="",G2499="")),"",SUMIF(基础资料!$W$5:$W$24,C2499,基础资料!$X$5:$X$24)+SUMIF(C$7:C2499,C2499,F$7:F2499)-SUMIF(C$7:C2499,C2499,G$7:G2499))</f>
      </c>
      <c r="I2499" s="145">
        <f>IF(AND(F2499="",G2499=""),"",SUM(基础资料!$X$5:$X$24)+SUM(F$7:F2499)-SUM(G$7:G2499))</f>
      </c>
      <c r="J2499" s="141" t="n"/>
      <c r="K2499" s="141" t="n"/>
      <c r="L2499" s="141" t="n"/>
      <c r="M2499" s="142" t="n"/>
      <c r="N2499" s="146">
        <f>IF(AND(AND(F2499="",G2499=""),B2499="",C2499="",D2499="",J2499="",K2499="",L2499=""),"",IF(AND(F2499="",G2499=""),"✗ 没填金额",IF(AND(N(F2499)&lt;&gt;0,N(G2499)&lt;&gt;0),"✗ 收入、支出只能填一边",IF(NOT(ISNUMBER(B2499)),"✗ 日期不是真日期（要像 2026/9/25 这样填）",IF(OR(B2499&lt;年初日,B2499&gt;年末日),"✗ 日期不在本会计年度",IF(C2499="","✗ 没选账户",IF(COUNTIF(基础资料!$W$5:$W$24,C2499)=0,"✗ 账户不在基础资料里",IF(O2499="","✗ 没选收支项目",IF(P2499="未知","✗ 收支项目不在基础资料里",IF(AND(P2499="应收",J2499=""),"✗ 这笔要选客户",IF(AND(P2499="应收",COUNTIF(总览汇总!$B$5:$B$304,J2499)=0),"✗ 客户不在总览汇总名单里",IF(AND(P2499="应付",K2499=""),"✗ 这笔要选供应商",IF(AND(P2499="应付",COUNTIF(基础资料!$Q$5:$Q$54,K2499)=0),"✗ 供应商不在基础资料里",IF(AND(P2499="费用",L2499=""),"✗ 费用支出要选费用项目",IF(AND(L2499&lt;&gt;"",COUNTIF(基础资料!$AI$5:$AI$54,L2499)=0),"✗ 费用项目不在基础资料里",IF(AND(IFERROR(INDEX(基础资料!$AD$5:$AD$34,MATCH(O2499,基础资料!$AC$5:$AC$34,0)),"")="收",N(G2499)&lt;&gt;0),"✗ 这类是收款，金额填到收入列",IF(AND(IFERROR(INDEX(基础资料!$AD$5:$AD$34,MATCH(O2499,基础资料!$AC$5:$AC$34,0)),"")="支",N(F2499)&lt;&gt;0),"✗ 这类是付款，金额填到支出列",IF(N(H2499)&lt;0,"⚠ 账户余额成负数了，核对一下","√"))))))))))))))))))</f>
      </c>
      <c r="O2499" s="78">
        <f>IF(D2499&lt;&gt;"",D2499,IF(AND(F2499="",G2499=""),"",IF(J2499&lt;&gt;"",IF(N(F2499)&gt;0,"客户回款","客户退款"),IF(K2499&lt;&gt;"",IF(N(G2499)&gt;0,"供应商付款","供应商退款"),IF(L2499&lt;&gt;"","费用支出","")))))</f>
      </c>
      <c r="P2499" s="78">
        <f>IF(O2499="","",IFERROR(INDEX(基础资料!$AE$5:$AE$34,MATCH(O2499,基础资料!$AC$5:$AC$34,0)),"未知"))</f>
      </c>
      <c r="Q2499" s="78">
        <f>IF(P2499="应收",COUNTIF(P$7:P2499,"应收"),"")</f>
      </c>
      <c r="R2499" s="78">
        <f>IF(P2499="应付",COUNTIF(P$7:P2499,"应付"),"")</f>
      </c>
      <c r="S2499" s="78">
        <f>N(F2499)-N(G2499)</f>
        <v>0</v>
      </c>
    </row>
    <row r="2500">
      <c r="A2500" s="109">
        <f>IF(AND(F2500="",G2500=""),"",ROW()-6)</f>
      </c>
      <c r="B2500" s="140" t="n"/>
      <c r="C2500" s="141" t="n"/>
      <c r="D2500" s="141" t="n"/>
      <c r="E2500" s="142" t="n"/>
      <c r="F2500" s="143" t="n"/>
      <c r="G2500" s="144" t="n"/>
      <c r="H2500" s="145">
        <f>IF(OR(C2500="",AND(F2500="",G2500="")),"",SUMIF(基础资料!$W$5:$W$24,C2500,基础资料!$X$5:$X$24)+SUMIF(C$7:C2500,C2500,F$7:F2500)-SUMIF(C$7:C2500,C2500,G$7:G2500))</f>
      </c>
      <c r="I2500" s="145">
        <f>IF(AND(F2500="",G2500=""),"",SUM(基础资料!$X$5:$X$24)+SUM(F$7:F2500)-SUM(G$7:G2500))</f>
      </c>
      <c r="J2500" s="141" t="n"/>
      <c r="K2500" s="141" t="n"/>
      <c r="L2500" s="141" t="n"/>
      <c r="M2500" s="142" t="n"/>
      <c r="N2500" s="146">
        <f>IF(AND(AND(F2500="",G2500=""),B2500="",C2500="",D2500="",J2500="",K2500="",L2500=""),"",IF(AND(F2500="",G2500=""),"✗ 没填金额",IF(AND(N(F2500)&lt;&gt;0,N(G2500)&lt;&gt;0),"✗ 收入、支出只能填一边",IF(NOT(ISNUMBER(B2500)),"✗ 日期不是真日期（要像 2026/9/25 这样填）",IF(OR(B2500&lt;年初日,B2500&gt;年末日),"✗ 日期不在本会计年度",IF(C2500="","✗ 没选账户",IF(COUNTIF(基础资料!$W$5:$W$24,C2500)=0,"✗ 账户不在基础资料里",IF(O2500="","✗ 没选收支项目",IF(P2500="未知","✗ 收支项目不在基础资料里",IF(AND(P2500="应收",J2500=""),"✗ 这笔要选客户",IF(AND(P2500="应收",COUNTIF(总览汇总!$B$5:$B$304,J2500)=0),"✗ 客户不在总览汇总名单里",IF(AND(P2500="应付",K2500=""),"✗ 这笔要选供应商",IF(AND(P2500="应付",COUNTIF(基础资料!$Q$5:$Q$54,K2500)=0),"✗ 供应商不在基础资料里",IF(AND(P2500="费用",L2500=""),"✗ 费用支出要选费用项目",IF(AND(L2500&lt;&gt;"",COUNTIF(基础资料!$AI$5:$AI$54,L2500)=0),"✗ 费用项目不在基础资料里",IF(AND(IFERROR(INDEX(基础资料!$AD$5:$AD$34,MATCH(O2500,基础资料!$AC$5:$AC$34,0)),"")="收",N(G2500)&lt;&gt;0),"✗ 这类是收款，金额填到收入列",IF(AND(IFERROR(INDEX(基础资料!$AD$5:$AD$34,MATCH(O2500,基础资料!$AC$5:$AC$34,0)),"")="支",N(F2500)&lt;&gt;0),"✗ 这类是付款，金额填到支出列",IF(N(H2500)&lt;0,"⚠ 账户余额成负数了，核对一下","√"))))))))))))))))))</f>
      </c>
      <c r="O2500" s="78">
        <f>IF(D2500&lt;&gt;"",D2500,IF(AND(F2500="",G2500=""),"",IF(J2500&lt;&gt;"",IF(N(F2500)&gt;0,"客户回款","客户退款"),IF(K2500&lt;&gt;"",IF(N(G2500)&gt;0,"供应商付款","供应商退款"),IF(L2500&lt;&gt;"","费用支出","")))))</f>
      </c>
      <c r="P2500" s="78">
        <f>IF(O2500="","",IFERROR(INDEX(基础资料!$AE$5:$AE$34,MATCH(O2500,基础资料!$AC$5:$AC$34,0)),"未知"))</f>
      </c>
      <c r="Q2500" s="78">
        <f>IF(P2500="应收",COUNTIF(P$7:P2500,"应收"),"")</f>
      </c>
      <c r="R2500" s="78">
        <f>IF(P2500="应付",COUNTIF(P$7:P2500,"应付"),"")</f>
      </c>
      <c r="S2500" s="78">
        <f>N(F2500)-N(G2500)</f>
        <v>0</v>
      </c>
    </row>
    <row r="2501">
      <c r="A2501" s="109">
        <f>IF(AND(F2501="",G2501=""),"",ROW()-6)</f>
      </c>
      <c r="B2501" s="140" t="n"/>
      <c r="C2501" s="141" t="n"/>
      <c r="D2501" s="141" t="n"/>
      <c r="E2501" s="142" t="n"/>
      <c r="F2501" s="143" t="n"/>
      <c r="G2501" s="144" t="n"/>
      <c r="H2501" s="145">
        <f>IF(OR(C2501="",AND(F2501="",G2501="")),"",SUMIF(基础资料!$W$5:$W$24,C2501,基础资料!$X$5:$X$24)+SUMIF(C$7:C2501,C2501,F$7:F2501)-SUMIF(C$7:C2501,C2501,G$7:G2501))</f>
      </c>
      <c r="I2501" s="145">
        <f>IF(AND(F2501="",G2501=""),"",SUM(基础资料!$X$5:$X$24)+SUM(F$7:F2501)-SUM(G$7:G2501))</f>
      </c>
      <c r="J2501" s="141" t="n"/>
      <c r="K2501" s="141" t="n"/>
      <c r="L2501" s="141" t="n"/>
      <c r="M2501" s="142" t="n"/>
      <c r="N2501" s="146">
        <f>IF(AND(AND(F2501="",G2501=""),B2501="",C2501="",D2501="",J2501="",K2501="",L2501=""),"",IF(AND(F2501="",G2501=""),"✗ 没填金额",IF(AND(N(F2501)&lt;&gt;0,N(G2501)&lt;&gt;0),"✗ 收入、支出只能填一边",IF(NOT(ISNUMBER(B2501)),"✗ 日期不是真日期（要像 2026/9/25 这样填）",IF(OR(B2501&lt;年初日,B2501&gt;年末日),"✗ 日期不在本会计年度",IF(C2501="","✗ 没选账户",IF(COUNTIF(基础资料!$W$5:$W$24,C2501)=0,"✗ 账户不在基础资料里",IF(O2501="","✗ 没选收支项目",IF(P2501="未知","✗ 收支项目不在基础资料里",IF(AND(P2501="应收",J2501=""),"✗ 这笔要选客户",IF(AND(P2501="应收",COUNTIF(总览汇总!$B$5:$B$304,J2501)=0),"✗ 客户不在总览汇总名单里",IF(AND(P2501="应付",K2501=""),"✗ 这笔要选供应商",IF(AND(P2501="应付",COUNTIF(基础资料!$Q$5:$Q$54,K2501)=0),"✗ 供应商不在基础资料里",IF(AND(P2501="费用",L2501=""),"✗ 费用支出要选费用项目",IF(AND(L2501&lt;&gt;"",COUNTIF(基础资料!$AI$5:$AI$54,L2501)=0),"✗ 费用项目不在基础资料里",IF(AND(IFERROR(INDEX(基础资料!$AD$5:$AD$34,MATCH(O2501,基础资料!$AC$5:$AC$34,0)),"")="收",N(G2501)&lt;&gt;0),"✗ 这类是收款，金额填到收入列",IF(AND(IFERROR(INDEX(基础资料!$AD$5:$AD$34,MATCH(O2501,基础资料!$AC$5:$AC$34,0)),"")="支",N(F2501)&lt;&gt;0),"✗ 这类是付款，金额填到支出列",IF(N(H2501)&lt;0,"⚠ 账户余额成负数了，核对一下","√"))))))))))))))))))</f>
      </c>
      <c r="O2501" s="78">
        <f>IF(D2501&lt;&gt;"",D2501,IF(AND(F2501="",G2501=""),"",IF(J2501&lt;&gt;"",IF(N(F2501)&gt;0,"客户回款","客户退款"),IF(K2501&lt;&gt;"",IF(N(G2501)&gt;0,"供应商付款","供应商退款"),IF(L2501&lt;&gt;"","费用支出","")))))</f>
      </c>
      <c r="P2501" s="78">
        <f>IF(O2501="","",IFERROR(INDEX(基础资料!$AE$5:$AE$34,MATCH(O2501,基础资料!$AC$5:$AC$34,0)),"未知"))</f>
      </c>
      <c r="Q2501" s="78">
        <f>IF(P2501="应收",COUNTIF(P$7:P2501,"应收"),"")</f>
      </c>
      <c r="R2501" s="78">
        <f>IF(P2501="应付",COUNTIF(P$7:P2501,"应付"),"")</f>
      </c>
      <c r="S2501" s="78">
        <f>N(F2501)-N(G2501)</f>
        <v>0</v>
      </c>
    </row>
    <row r="2502">
      <c r="A2502" s="109">
        <f>IF(AND(F2502="",G2502=""),"",ROW()-6)</f>
      </c>
      <c r="B2502" s="140" t="n"/>
      <c r="C2502" s="141" t="n"/>
      <c r="D2502" s="141" t="n"/>
      <c r="E2502" s="142" t="n"/>
      <c r="F2502" s="143" t="n"/>
      <c r="G2502" s="144" t="n"/>
      <c r="H2502" s="145">
        <f>IF(OR(C2502="",AND(F2502="",G2502="")),"",SUMIF(基础资料!$W$5:$W$24,C2502,基础资料!$X$5:$X$24)+SUMIF(C$7:C2502,C2502,F$7:F2502)-SUMIF(C$7:C2502,C2502,G$7:G2502))</f>
      </c>
      <c r="I2502" s="145">
        <f>IF(AND(F2502="",G2502=""),"",SUM(基础资料!$X$5:$X$24)+SUM(F$7:F2502)-SUM(G$7:G2502))</f>
      </c>
      <c r="J2502" s="141" t="n"/>
      <c r="K2502" s="141" t="n"/>
      <c r="L2502" s="141" t="n"/>
      <c r="M2502" s="142" t="n"/>
      <c r="N2502" s="146">
        <f>IF(AND(AND(F2502="",G2502=""),B2502="",C2502="",D2502="",J2502="",K2502="",L2502=""),"",IF(AND(F2502="",G2502=""),"✗ 没填金额",IF(AND(N(F2502)&lt;&gt;0,N(G2502)&lt;&gt;0),"✗ 收入、支出只能填一边",IF(NOT(ISNUMBER(B2502)),"✗ 日期不是真日期（要像 2026/9/25 这样填）",IF(OR(B2502&lt;年初日,B2502&gt;年末日),"✗ 日期不在本会计年度",IF(C2502="","✗ 没选账户",IF(COUNTIF(基础资料!$W$5:$W$24,C2502)=0,"✗ 账户不在基础资料里",IF(O2502="","✗ 没选收支项目",IF(P2502="未知","✗ 收支项目不在基础资料里",IF(AND(P2502="应收",J2502=""),"✗ 这笔要选客户",IF(AND(P2502="应收",COUNTIF(总览汇总!$B$5:$B$304,J2502)=0),"✗ 客户不在总览汇总名单里",IF(AND(P2502="应付",K2502=""),"✗ 这笔要选供应商",IF(AND(P2502="应付",COUNTIF(基础资料!$Q$5:$Q$54,K2502)=0),"✗ 供应商不在基础资料里",IF(AND(P2502="费用",L2502=""),"✗ 费用支出要选费用项目",IF(AND(L2502&lt;&gt;"",COUNTIF(基础资料!$AI$5:$AI$54,L2502)=0),"✗ 费用项目不在基础资料里",IF(AND(IFERROR(INDEX(基础资料!$AD$5:$AD$34,MATCH(O2502,基础资料!$AC$5:$AC$34,0)),"")="收",N(G2502)&lt;&gt;0),"✗ 这类是收款，金额填到收入列",IF(AND(IFERROR(INDEX(基础资料!$AD$5:$AD$34,MATCH(O2502,基础资料!$AC$5:$AC$34,0)),"")="支",N(F2502)&lt;&gt;0),"✗ 这类是付款，金额填到支出列",IF(N(H2502)&lt;0,"⚠ 账户余额成负数了，核对一下","√"))))))))))))))))))</f>
      </c>
      <c r="O2502" s="78">
        <f>IF(D2502&lt;&gt;"",D2502,IF(AND(F2502="",G2502=""),"",IF(J2502&lt;&gt;"",IF(N(F2502)&gt;0,"客户回款","客户退款"),IF(K2502&lt;&gt;"",IF(N(G2502)&gt;0,"供应商付款","供应商退款"),IF(L2502&lt;&gt;"","费用支出","")))))</f>
      </c>
      <c r="P2502" s="78">
        <f>IF(O2502="","",IFERROR(INDEX(基础资料!$AE$5:$AE$34,MATCH(O2502,基础资料!$AC$5:$AC$34,0)),"未知"))</f>
      </c>
      <c r="Q2502" s="78">
        <f>IF(P2502="应收",COUNTIF(P$7:P2502,"应收"),"")</f>
      </c>
      <c r="R2502" s="78">
        <f>IF(P2502="应付",COUNTIF(P$7:P2502,"应付"),"")</f>
      </c>
      <c r="S2502" s="78">
        <f>N(F2502)-N(G2502)</f>
        <v>0</v>
      </c>
    </row>
    <row r="2503">
      <c r="A2503" s="109">
        <f>IF(AND(F2503="",G2503=""),"",ROW()-6)</f>
      </c>
      <c r="B2503" s="140" t="n"/>
      <c r="C2503" s="141" t="n"/>
      <c r="D2503" s="141" t="n"/>
      <c r="E2503" s="142" t="n"/>
      <c r="F2503" s="143" t="n"/>
      <c r="G2503" s="144" t="n"/>
      <c r="H2503" s="145">
        <f>IF(OR(C2503="",AND(F2503="",G2503="")),"",SUMIF(基础资料!$W$5:$W$24,C2503,基础资料!$X$5:$X$24)+SUMIF(C$7:C2503,C2503,F$7:F2503)-SUMIF(C$7:C2503,C2503,G$7:G2503))</f>
      </c>
      <c r="I2503" s="145">
        <f>IF(AND(F2503="",G2503=""),"",SUM(基础资料!$X$5:$X$24)+SUM(F$7:F2503)-SUM(G$7:G2503))</f>
      </c>
      <c r="J2503" s="141" t="n"/>
      <c r="K2503" s="141" t="n"/>
      <c r="L2503" s="141" t="n"/>
      <c r="M2503" s="142" t="n"/>
      <c r="N2503" s="146">
        <f>IF(AND(AND(F2503="",G2503=""),B2503="",C2503="",D2503="",J2503="",K2503="",L2503=""),"",IF(AND(F2503="",G2503=""),"✗ 没填金额",IF(AND(N(F2503)&lt;&gt;0,N(G2503)&lt;&gt;0),"✗ 收入、支出只能填一边",IF(NOT(ISNUMBER(B2503)),"✗ 日期不是真日期（要像 2026/9/25 这样填）",IF(OR(B2503&lt;年初日,B2503&gt;年末日),"✗ 日期不在本会计年度",IF(C2503="","✗ 没选账户",IF(COUNTIF(基础资料!$W$5:$W$24,C2503)=0,"✗ 账户不在基础资料里",IF(O2503="","✗ 没选收支项目",IF(P2503="未知","✗ 收支项目不在基础资料里",IF(AND(P2503="应收",J2503=""),"✗ 这笔要选客户",IF(AND(P2503="应收",COUNTIF(总览汇总!$B$5:$B$304,J2503)=0),"✗ 客户不在总览汇总名单里",IF(AND(P2503="应付",K2503=""),"✗ 这笔要选供应商",IF(AND(P2503="应付",COUNTIF(基础资料!$Q$5:$Q$54,K2503)=0),"✗ 供应商不在基础资料里",IF(AND(P2503="费用",L2503=""),"✗ 费用支出要选费用项目",IF(AND(L2503&lt;&gt;"",COUNTIF(基础资料!$AI$5:$AI$54,L2503)=0),"✗ 费用项目不在基础资料里",IF(AND(IFERROR(INDEX(基础资料!$AD$5:$AD$34,MATCH(O2503,基础资料!$AC$5:$AC$34,0)),"")="收",N(G2503)&lt;&gt;0),"✗ 这类是收款，金额填到收入列",IF(AND(IFERROR(INDEX(基础资料!$AD$5:$AD$34,MATCH(O2503,基础资料!$AC$5:$AC$34,0)),"")="支",N(F2503)&lt;&gt;0),"✗ 这类是付款，金额填到支出列",IF(N(H2503)&lt;0,"⚠ 账户余额成负数了，核对一下","√"))))))))))))))))))</f>
      </c>
      <c r="O2503" s="78">
        <f>IF(D2503&lt;&gt;"",D2503,IF(AND(F2503="",G2503=""),"",IF(J2503&lt;&gt;"",IF(N(F2503)&gt;0,"客户回款","客户退款"),IF(K2503&lt;&gt;"",IF(N(G2503)&gt;0,"供应商付款","供应商退款"),IF(L2503&lt;&gt;"","费用支出","")))))</f>
      </c>
      <c r="P2503" s="78">
        <f>IF(O2503="","",IFERROR(INDEX(基础资料!$AE$5:$AE$34,MATCH(O2503,基础资料!$AC$5:$AC$34,0)),"未知"))</f>
      </c>
      <c r="Q2503" s="78">
        <f>IF(P2503="应收",COUNTIF(P$7:P2503,"应收"),"")</f>
      </c>
      <c r="R2503" s="78">
        <f>IF(P2503="应付",COUNTIF(P$7:P2503,"应付"),"")</f>
      </c>
      <c r="S2503" s="78">
        <f>N(F2503)-N(G2503)</f>
        <v>0</v>
      </c>
    </row>
    <row r="2504">
      <c r="A2504" s="109">
        <f>IF(AND(F2504="",G2504=""),"",ROW()-6)</f>
      </c>
      <c r="B2504" s="140" t="n"/>
      <c r="C2504" s="141" t="n"/>
      <c r="D2504" s="141" t="n"/>
      <c r="E2504" s="142" t="n"/>
      <c r="F2504" s="143" t="n"/>
      <c r="G2504" s="144" t="n"/>
      <c r="H2504" s="145">
        <f>IF(OR(C2504="",AND(F2504="",G2504="")),"",SUMIF(基础资料!$W$5:$W$24,C2504,基础资料!$X$5:$X$24)+SUMIF(C$7:C2504,C2504,F$7:F2504)-SUMIF(C$7:C2504,C2504,G$7:G2504))</f>
      </c>
      <c r="I2504" s="145">
        <f>IF(AND(F2504="",G2504=""),"",SUM(基础资料!$X$5:$X$24)+SUM(F$7:F2504)-SUM(G$7:G2504))</f>
      </c>
      <c r="J2504" s="141" t="n"/>
      <c r="K2504" s="141" t="n"/>
      <c r="L2504" s="141" t="n"/>
      <c r="M2504" s="142" t="n"/>
      <c r="N2504" s="146">
        <f>IF(AND(AND(F2504="",G2504=""),B2504="",C2504="",D2504="",J2504="",K2504="",L2504=""),"",IF(AND(F2504="",G2504=""),"✗ 没填金额",IF(AND(N(F2504)&lt;&gt;0,N(G2504)&lt;&gt;0),"✗ 收入、支出只能填一边",IF(NOT(ISNUMBER(B2504)),"✗ 日期不是真日期（要像 2026/9/25 这样填）",IF(OR(B2504&lt;年初日,B2504&gt;年末日),"✗ 日期不在本会计年度",IF(C2504="","✗ 没选账户",IF(COUNTIF(基础资料!$W$5:$W$24,C2504)=0,"✗ 账户不在基础资料里",IF(O2504="","✗ 没选收支项目",IF(P2504="未知","✗ 收支项目不在基础资料里",IF(AND(P2504="应收",J2504=""),"✗ 这笔要选客户",IF(AND(P2504="应收",COUNTIF(总览汇总!$B$5:$B$304,J2504)=0),"✗ 客户不在总览汇总名单里",IF(AND(P2504="应付",K2504=""),"✗ 这笔要选供应商",IF(AND(P2504="应付",COUNTIF(基础资料!$Q$5:$Q$54,K2504)=0),"✗ 供应商不在基础资料里",IF(AND(P2504="费用",L2504=""),"✗ 费用支出要选费用项目",IF(AND(L2504&lt;&gt;"",COUNTIF(基础资料!$AI$5:$AI$54,L2504)=0),"✗ 费用项目不在基础资料里",IF(AND(IFERROR(INDEX(基础资料!$AD$5:$AD$34,MATCH(O2504,基础资料!$AC$5:$AC$34,0)),"")="收",N(G2504)&lt;&gt;0),"✗ 这类是收款，金额填到收入列",IF(AND(IFERROR(INDEX(基础资料!$AD$5:$AD$34,MATCH(O2504,基础资料!$AC$5:$AC$34,0)),"")="支",N(F2504)&lt;&gt;0),"✗ 这类是付款，金额填到支出列",IF(N(H2504)&lt;0,"⚠ 账户余额成负数了，核对一下","√"))))))))))))))))))</f>
      </c>
      <c r="O2504" s="78">
        <f>IF(D2504&lt;&gt;"",D2504,IF(AND(F2504="",G2504=""),"",IF(J2504&lt;&gt;"",IF(N(F2504)&gt;0,"客户回款","客户退款"),IF(K2504&lt;&gt;"",IF(N(G2504)&gt;0,"供应商付款","供应商退款"),IF(L2504&lt;&gt;"","费用支出","")))))</f>
      </c>
      <c r="P2504" s="78">
        <f>IF(O2504="","",IFERROR(INDEX(基础资料!$AE$5:$AE$34,MATCH(O2504,基础资料!$AC$5:$AC$34,0)),"未知"))</f>
      </c>
      <c r="Q2504" s="78">
        <f>IF(P2504="应收",COUNTIF(P$7:P2504,"应收"),"")</f>
      </c>
      <c r="R2504" s="78">
        <f>IF(P2504="应付",COUNTIF(P$7:P2504,"应付"),"")</f>
      </c>
      <c r="S2504" s="78">
        <f>N(F2504)-N(G2504)</f>
        <v>0</v>
      </c>
    </row>
    <row r="2505">
      <c r="A2505" s="109">
        <f>IF(AND(F2505="",G2505=""),"",ROW()-6)</f>
      </c>
      <c r="B2505" s="140" t="n"/>
      <c r="C2505" s="141" t="n"/>
      <c r="D2505" s="141" t="n"/>
      <c r="E2505" s="142" t="n"/>
      <c r="F2505" s="143" t="n"/>
      <c r="G2505" s="144" t="n"/>
      <c r="H2505" s="145">
        <f>IF(OR(C2505="",AND(F2505="",G2505="")),"",SUMIF(基础资料!$W$5:$W$24,C2505,基础资料!$X$5:$X$24)+SUMIF(C$7:C2505,C2505,F$7:F2505)-SUMIF(C$7:C2505,C2505,G$7:G2505))</f>
      </c>
      <c r="I2505" s="145">
        <f>IF(AND(F2505="",G2505=""),"",SUM(基础资料!$X$5:$X$24)+SUM(F$7:F2505)-SUM(G$7:G2505))</f>
      </c>
      <c r="J2505" s="141" t="n"/>
      <c r="K2505" s="141" t="n"/>
      <c r="L2505" s="141" t="n"/>
      <c r="M2505" s="142" t="n"/>
      <c r="N2505" s="146">
        <f>IF(AND(AND(F2505="",G2505=""),B2505="",C2505="",D2505="",J2505="",K2505="",L2505=""),"",IF(AND(F2505="",G2505=""),"✗ 没填金额",IF(AND(N(F2505)&lt;&gt;0,N(G2505)&lt;&gt;0),"✗ 收入、支出只能填一边",IF(NOT(ISNUMBER(B2505)),"✗ 日期不是真日期（要像 2026/9/25 这样填）",IF(OR(B2505&lt;年初日,B2505&gt;年末日),"✗ 日期不在本会计年度",IF(C2505="","✗ 没选账户",IF(COUNTIF(基础资料!$W$5:$W$24,C2505)=0,"✗ 账户不在基础资料里",IF(O2505="","✗ 没选收支项目",IF(P2505="未知","✗ 收支项目不在基础资料里",IF(AND(P2505="应收",J2505=""),"✗ 这笔要选客户",IF(AND(P2505="应收",COUNTIF(总览汇总!$B$5:$B$304,J2505)=0),"✗ 客户不在总览汇总名单里",IF(AND(P2505="应付",K2505=""),"✗ 这笔要选供应商",IF(AND(P2505="应付",COUNTIF(基础资料!$Q$5:$Q$54,K2505)=0),"✗ 供应商不在基础资料里",IF(AND(P2505="费用",L2505=""),"✗ 费用支出要选费用项目",IF(AND(L2505&lt;&gt;"",COUNTIF(基础资料!$AI$5:$AI$54,L2505)=0),"✗ 费用项目不在基础资料里",IF(AND(IFERROR(INDEX(基础资料!$AD$5:$AD$34,MATCH(O2505,基础资料!$AC$5:$AC$34,0)),"")="收",N(G2505)&lt;&gt;0),"✗ 这类是收款，金额填到收入列",IF(AND(IFERROR(INDEX(基础资料!$AD$5:$AD$34,MATCH(O2505,基础资料!$AC$5:$AC$34,0)),"")="支",N(F2505)&lt;&gt;0),"✗ 这类是付款，金额填到支出列",IF(N(H2505)&lt;0,"⚠ 账户余额成负数了，核对一下","√"))))))))))))))))))</f>
      </c>
      <c r="O2505" s="78">
        <f>IF(D2505&lt;&gt;"",D2505,IF(AND(F2505="",G2505=""),"",IF(J2505&lt;&gt;"",IF(N(F2505)&gt;0,"客户回款","客户退款"),IF(K2505&lt;&gt;"",IF(N(G2505)&gt;0,"供应商付款","供应商退款"),IF(L2505&lt;&gt;"","费用支出","")))))</f>
      </c>
      <c r="P2505" s="78">
        <f>IF(O2505="","",IFERROR(INDEX(基础资料!$AE$5:$AE$34,MATCH(O2505,基础资料!$AC$5:$AC$34,0)),"未知"))</f>
      </c>
      <c r="Q2505" s="78">
        <f>IF(P2505="应收",COUNTIF(P$7:P2505,"应收"),"")</f>
      </c>
      <c r="R2505" s="78">
        <f>IF(P2505="应付",COUNTIF(P$7:P2505,"应付"),"")</f>
      </c>
      <c r="S2505" s="78">
        <f>N(F2505)-N(G2505)</f>
        <v>0</v>
      </c>
    </row>
    <row r="2506">
      <c r="A2506" s="109">
        <f>IF(AND(F2506="",G2506=""),"",ROW()-6)</f>
      </c>
      <c r="B2506" s="140" t="n"/>
      <c r="C2506" s="141" t="n"/>
      <c r="D2506" s="141" t="n"/>
      <c r="E2506" s="142" t="n"/>
      <c r="F2506" s="143" t="n"/>
      <c r="G2506" s="144" t="n"/>
      <c r="H2506" s="145">
        <f>IF(OR(C2506="",AND(F2506="",G2506="")),"",SUMIF(基础资料!$W$5:$W$24,C2506,基础资料!$X$5:$X$24)+SUMIF(C$7:C2506,C2506,F$7:F2506)-SUMIF(C$7:C2506,C2506,G$7:G2506))</f>
      </c>
      <c r="I2506" s="145">
        <f>IF(AND(F2506="",G2506=""),"",SUM(基础资料!$X$5:$X$24)+SUM(F$7:F2506)-SUM(G$7:G2506))</f>
      </c>
      <c r="J2506" s="141" t="n"/>
      <c r="K2506" s="141" t="n"/>
      <c r="L2506" s="141" t="n"/>
      <c r="M2506" s="142" t="n"/>
      <c r="N2506" s="146">
        <f>IF(AND(AND(F2506="",G2506=""),B2506="",C2506="",D2506="",J2506="",K2506="",L2506=""),"",IF(AND(F2506="",G2506=""),"✗ 没填金额",IF(AND(N(F2506)&lt;&gt;0,N(G2506)&lt;&gt;0),"✗ 收入、支出只能填一边",IF(NOT(ISNUMBER(B2506)),"✗ 日期不是真日期（要像 2026/9/25 这样填）",IF(OR(B2506&lt;年初日,B2506&gt;年末日),"✗ 日期不在本会计年度",IF(C2506="","✗ 没选账户",IF(COUNTIF(基础资料!$W$5:$W$24,C2506)=0,"✗ 账户不在基础资料里",IF(O2506="","✗ 没选收支项目",IF(P2506="未知","✗ 收支项目不在基础资料里",IF(AND(P2506="应收",J2506=""),"✗ 这笔要选客户",IF(AND(P2506="应收",COUNTIF(总览汇总!$B$5:$B$304,J2506)=0),"✗ 客户不在总览汇总名单里",IF(AND(P2506="应付",K2506=""),"✗ 这笔要选供应商",IF(AND(P2506="应付",COUNTIF(基础资料!$Q$5:$Q$54,K2506)=0),"✗ 供应商不在基础资料里",IF(AND(P2506="费用",L2506=""),"✗ 费用支出要选费用项目",IF(AND(L2506&lt;&gt;"",COUNTIF(基础资料!$AI$5:$AI$54,L2506)=0),"✗ 费用项目不在基础资料里",IF(AND(IFERROR(INDEX(基础资料!$AD$5:$AD$34,MATCH(O2506,基础资料!$AC$5:$AC$34,0)),"")="收",N(G2506)&lt;&gt;0),"✗ 这类是收款，金额填到收入列",IF(AND(IFERROR(INDEX(基础资料!$AD$5:$AD$34,MATCH(O2506,基础资料!$AC$5:$AC$34,0)),"")="支",N(F2506)&lt;&gt;0),"✗ 这类是付款，金额填到支出列",IF(N(H2506)&lt;0,"⚠ 账户余额成负数了，核对一下","√"))))))))))))))))))</f>
      </c>
      <c r="O2506" s="78">
        <f>IF(D2506&lt;&gt;"",D2506,IF(AND(F2506="",G2506=""),"",IF(J2506&lt;&gt;"",IF(N(F2506)&gt;0,"客户回款","客户退款"),IF(K2506&lt;&gt;"",IF(N(G2506)&gt;0,"供应商付款","供应商退款"),IF(L2506&lt;&gt;"","费用支出","")))))</f>
      </c>
      <c r="P2506" s="78">
        <f>IF(O2506="","",IFERROR(INDEX(基础资料!$AE$5:$AE$34,MATCH(O2506,基础资料!$AC$5:$AC$34,0)),"未知"))</f>
      </c>
      <c r="Q2506" s="78">
        <f>IF(P2506="应收",COUNTIF(P$7:P2506,"应收"),"")</f>
      </c>
      <c r="R2506" s="78">
        <f>IF(P2506="应付",COUNTIF(P$7:P2506,"应付"),"")</f>
      </c>
      <c r="S2506" s="78">
        <f>N(F2506)-N(G2506)</f>
        <v>0</v>
      </c>
    </row>
    <row r="2507">
      <c r="A2507" s="109">
        <f>IF(AND(F2507="",G2507=""),"",ROW()-6)</f>
      </c>
      <c r="B2507" s="140" t="n"/>
      <c r="C2507" s="141" t="n"/>
      <c r="D2507" s="141" t="n"/>
      <c r="E2507" s="142" t="n"/>
      <c r="F2507" s="143" t="n"/>
      <c r="G2507" s="144" t="n"/>
      <c r="H2507" s="145">
        <f>IF(OR(C2507="",AND(F2507="",G2507="")),"",SUMIF(基础资料!$W$5:$W$24,C2507,基础资料!$X$5:$X$24)+SUMIF(C$7:C2507,C2507,F$7:F2507)-SUMIF(C$7:C2507,C2507,G$7:G2507))</f>
      </c>
      <c r="I2507" s="145">
        <f>IF(AND(F2507="",G2507=""),"",SUM(基础资料!$X$5:$X$24)+SUM(F$7:F2507)-SUM(G$7:G2507))</f>
      </c>
      <c r="J2507" s="141" t="n"/>
      <c r="K2507" s="141" t="n"/>
      <c r="L2507" s="141" t="n"/>
      <c r="M2507" s="142" t="n"/>
      <c r="N2507" s="146">
        <f>IF(AND(AND(F2507="",G2507=""),B2507="",C2507="",D2507="",J2507="",K2507="",L2507=""),"",IF(AND(F2507="",G2507=""),"✗ 没填金额",IF(AND(N(F2507)&lt;&gt;0,N(G2507)&lt;&gt;0),"✗ 收入、支出只能填一边",IF(NOT(ISNUMBER(B2507)),"✗ 日期不是真日期（要像 2026/9/25 这样填）",IF(OR(B2507&lt;年初日,B2507&gt;年末日),"✗ 日期不在本会计年度",IF(C2507="","✗ 没选账户",IF(COUNTIF(基础资料!$W$5:$W$24,C2507)=0,"✗ 账户不在基础资料里",IF(O2507="","✗ 没选收支项目",IF(P2507="未知","✗ 收支项目不在基础资料里",IF(AND(P2507="应收",J2507=""),"✗ 这笔要选客户",IF(AND(P2507="应收",COUNTIF(总览汇总!$B$5:$B$304,J2507)=0),"✗ 客户不在总览汇总名单里",IF(AND(P2507="应付",K2507=""),"✗ 这笔要选供应商",IF(AND(P2507="应付",COUNTIF(基础资料!$Q$5:$Q$54,K2507)=0),"✗ 供应商不在基础资料里",IF(AND(P2507="费用",L2507=""),"✗ 费用支出要选费用项目",IF(AND(L2507&lt;&gt;"",COUNTIF(基础资料!$AI$5:$AI$54,L2507)=0),"✗ 费用项目不在基础资料里",IF(AND(IFERROR(INDEX(基础资料!$AD$5:$AD$34,MATCH(O2507,基础资料!$AC$5:$AC$34,0)),"")="收",N(G2507)&lt;&gt;0),"✗ 这类是收款，金额填到收入列",IF(AND(IFERROR(INDEX(基础资料!$AD$5:$AD$34,MATCH(O2507,基础资料!$AC$5:$AC$34,0)),"")="支",N(F2507)&lt;&gt;0),"✗ 这类是付款，金额填到支出列",IF(N(H2507)&lt;0,"⚠ 账户余额成负数了，核对一下","√"))))))))))))))))))</f>
      </c>
      <c r="O2507" s="78">
        <f>IF(D2507&lt;&gt;"",D2507,IF(AND(F2507="",G2507=""),"",IF(J2507&lt;&gt;"",IF(N(F2507)&gt;0,"客户回款","客户退款"),IF(K2507&lt;&gt;"",IF(N(G2507)&gt;0,"供应商付款","供应商退款"),IF(L2507&lt;&gt;"","费用支出","")))))</f>
      </c>
      <c r="P2507" s="78">
        <f>IF(O2507="","",IFERROR(INDEX(基础资料!$AE$5:$AE$34,MATCH(O2507,基础资料!$AC$5:$AC$34,0)),"未知"))</f>
      </c>
      <c r="Q2507" s="78">
        <f>IF(P2507="应收",COUNTIF(P$7:P2507,"应收"),"")</f>
      </c>
      <c r="R2507" s="78">
        <f>IF(P2507="应付",COUNTIF(P$7:P2507,"应付"),"")</f>
      </c>
      <c r="S2507" s="78">
        <f>N(F2507)-N(G2507)</f>
        <v>0</v>
      </c>
    </row>
    <row r="2508">
      <c r="A2508" s="109">
        <f>IF(AND(F2508="",G2508=""),"",ROW()-6)</f>
      </c>
      <c r="B2508" s="140" t="n"/>
      <c r="C2508" s="141" t="n"/>
      <c r="D2508" s="141" t="n"/>
      <c r="E2508" s="142" t="n"/>
      <c r="F2508" s="143" t="n"/>
      <c r="G2508" s="144" t="n"/>
      <c r="H2508" s="145">
        <f>IF(OR(C2508="",AND(F2508="",G2508="")),"",SUMIF(基础资料!$W$5:$W$24,C2508,基础资料!$X$5:$X$24)+SUMIF(C$7:C2508,C2508,F$7:F2508)-SUMIF(C$7:C2508,C2508,G$7:G2508))</f>
      </c>
      <c r="I2508" s="145">
        <f>IF(AND(F2508="",G2508=""),"",SUM(基础资料!$X$5:$X$24)+SUM(F$7:F2508)-SUM(G$7:G2508))</f>
      </c>
      <c r="J2508" s="141" t="n"/>
      <c r="K2508" s="141" t="n"/>
      <c r="L2508" s="141" t="n"/>
      <c r="M2508" s="142" t="n"/>
      <c r="N2508" s="146">
        <f>IF(AND(AND(F2508="",G2508=""),B2508="",C2508="",D2508="",J2508="",K2508="",L2508=""),"",IF(AND(F2508="",G2508=""),"✗ 没填金额",IF(AND(N(F2508)&lt;&gt;0,N(G2508)&lt;&gt;0),"✗ 收入、支出只能填一边",IF(NOT(ISNUMBER(B2508)),"✗ 日期不是真日期（要像 2026/9/25 这样填）",IF(OR(B2508&lt;年初日,B2508&gt;年末日),"✗ 日期不在本会计年度",IF(C2508="","✗ 没选账户",IF(COUNTIF(基础资料!$W$5:$W$24,C2508)=0,"✗ 账户不在基础资料里",IF(O2508="","✗ 没选收支项目",IF(P2508="未知","✗ 收支项目不在基础资料里",IF(AND(P2508="应收",J2508=""),"✗ 这笔要选客户",IF(AND(P2508="应收",COUNTIF(总览汇总!$B$5:$B$304,J2508)=0),"✗ 客户不在总览汇总名单里",IF(AND(P2508="应付",K2508=""),"✗ 这笔要选供应商",IF(AND(P2508="应付",COUNTIF(基础资料!$Q$5:$Q$54,K2508)=0),"✗ 供应商不在基础资料里",IF(AND(P2508="费用",L2508=""),"✗ 费用支出要选费用项目",IF(AND(L2508&lt;&gt;"",COUNTIF(基础资料!$AI$5:$AI$54,L2508)=0),"✗ 费用项目不在基础资料里",IF(AND(IFERROR(INDEX(基础资料!$AD$5:$AD$34,MATCH(O2508,基础资料!$AC$5:$AC$34,0)),"")="收",N(G2508)&lt;&gt;0),"✗ 这类是收款，金额填到收入列",IF(AND(IFERROR(INDEX(基础资料!$AD$5:$AD$34,MATCH(O2508,基础资料!$AC$5:$AC$34,0)),"")="支",N(F2508)&lt;&gt;0),"✗ 这类是付款，金额填到支出列",IF(N(H2508)&lt;0,"⚠ 账户余额成负数了，核对一下","√"))))))))))))))))))</f>
      </c>
      <c r="O2508" s="78">
        <f>IF(D2508&lt;&gt;"",D2508,IF(AND(F2508="",G2508=""),"",IF(J2508&lt;&gt;"",IF(N(F2508)&gt;0,"客户回款","客户退款"),IF(K2508&lt;&gt;"",IF(N(G2508)&gt;0,"供应商付款","供应商退款"),IF(L2508&lt;&gt;"","费用支出","")))))</f>
      </c>
      <c r="P2508" s="78">
        <f>IF(O2508="","",IFERROR(INDEX(基础资料!$AE$5:$AE$34,MATCH(O2508,基础资料!$AC$5:$AC$34,0)),"未知"))</f>
      </c>
      <c r="Q2508" s="78">
        <f>IF(P2508="应收",COUNTIF(P$7:P2508,"应收"),"")</f>
      </c>
      <c r="R2508" s="78">
        <f>IF(P2508="应付",COUNTIF(P$7:P2508,"应付"),"")</f>
      </c>
      <c r="S2508" s="78">
        <f>N(F2508)-N(G2508)</f>
        <v>0</v>
      </c>
    </row>
    <row r="2509">
      <c r="A2509" s="109">
        <f>IF(AND(F2509="",G2509=""),"",ROW()-6)</f>
      </c>
      <c r="B2509" s="140" t="n"/>
      <c r="C2509" s="141" t="n"/>
      <c r="D2509" s="141" t="n"/>
      <c r="E2509" s="142" t="n"/>
      <c r="F2509" s="143" t="n"/>
      <c r="G2509" s="144" t="n"/>
      <c r="H2509" s="145">
        <f>IF(OR(C2509="",AND(F2509="",G2509="")),"",SUMIF(基础资料!$W$5:$W$24,C2509,基础资料!$X$5:$X$24)+SUMIF(C$7:C2509,C2509,F$7:F2509)-SUMIF(C$7:C2509,C2509,G$7:G2509))</f>
      </c>
      <c r="I2509" s="145">
        <f>IF(AND(F2509="",G2509=""),"",SUM(基础资料!$X$5:$X$24)+SUM(F$7:F2509)-SUM(G$7:G2509))</f>
      </c>
      <c r="J2509" s="141" t="n"/>
      <c r="K2509" s="141" t="n"/>
      <c r="L2509" s="141" t="n"/>
      <c r="M2509" s="142" t="n"/>
      <c r="N2509" s="146">
        <f>IF(AND(AND(F2509="",G2509=""),B2509="",C2509="",D2509="",J2509="",K2509="",L2509=""),"",IF(AND(F2509="",G2509=""),"✗ 没填金额",IF(AND(N(F2509)&lt;&gt;0,N(G2509)&lt;&gt;0),"✗ 收入、支出只能填一边",IF(NOT(ISNUMBER(B2509)),"✗ 日期不是真日期（要像 2026/9/25 这样填）",IF(OR(B2509&lt;年初日,B2509&gt;年末日),"✗ 日期不在本会计年度",IF(C2509="","✗ 没选账户",IF(COUNTIF(基础资料!$W$5:$W$24,C2509)=0,"✗ 账户不在基础资料里",IF(O2509="","✗ 没选收支项目",IF(P2509="未知","✗ 收支项目不在基础资料里",IF(AND(P2509="应收",J2509=""),"✗ 这笔要选客户",IF(AND(P2509="应收",COUNTIF(总览汇总!$B$5:$B$304,J2509)=0),"✗ 客户不在总览汇总名单里",IF(AND(P2509="应付",K2509=""),"✗ 这笔要选供应商",IF(AND(P2509="应付",COUNTIF(基础资料!$Q$5:$Q$54,K2509)=0),"✗ 供应商不在基础资料里",IF(AND(P2509="费用",L2509=""),"✗ 费用支出要选费用项目",IF(AND(L2509&lt;&gt;"",COUNTIF(基础资料!$AI$5:$AI$54,L2509)=0),"✗ 费用项目不在基础资料里",IF(AND(IFERROR(INDEX(基础资料!$AD$5:$AD$34,MATCH(O2509,基础资料!$AC$5:$AC$34,0)),"")="收",N(G2509)&lt;&gt;0),"✗ 这类是收款，金额填到收入列",IF(AND(IFERROR(INDEX(基础资料!$AD$5:$AD$34,MATCH(O2509,基础资料!$AC$5:$AC$34,0)),"")="支",N(F2509)&lt;&gt;0),"✗ 这类是付款，金额填到支出列",IF(N(H2509)&lt;0,"⚠ 账户余额成负数了，核对一下","√"))))))))))))))))))</f>
      </c>
      <c r="O2509" s="78">
        <f>IF(D2509&lt;&gt;"",D2509,IF(AND(F2509="",G2509=""),"",IF(J2509&lt;&gt;"",IF(N(F2509)&gt;0,"客户回款","客户退款"),IF(K2509&lt;&gt;"",IF(N(G2509)&gt;0,"供应商付款","供应商退款"),IF(L2509&lt;&gt;"","费用支出","")))))</f>
      </c>
      <c r="P2509" s="78">
        <f>IF(O2509="","",IFERROR(INDEX(基础资料!$AE$5:$AE$34,MATCH(O2509,基础资料!$AC$5:$AC$34,0)),"未知"))</f>
      </c>
      <c r="Q2509" s="78">
        <f>IF(P2509="应收",COUNTIF(P$7:P2509,"应收"),"")</f>
      </c>
      <c r="R2509" s="78">
        <f>IF(P2509="应付",COUNTIF(P$7:P2509,"应付"),"")</f>
      </c>
      <c r="S2509" s="78">
        <f>N(F2509)-N(G2509)</f>
        <v>0</v>
      </c>
    </row>
    <row r="2510">
      <c r="A2510" s="109">
        <f>IF(AND(F2510="",G2510=""),"",ROW()-6)</f>
      </c>
      <c r="B2510" s="140" t="n"/>
      <c r="C2510" s="141" t="n"/>
      <c r="D2510" s="141" t="n"/>
      <c r="E2510" s="142" t="n"/>
      <c r="F2510" s="143" t="n"/>
      <c r="G2510" s="144" t="n"/>
      <c r="H2510" s="145">
        <f>IF(OR(C2510="",AND(F2510="",G2510="")),"",SUMIF(基础资料!$W$5:$W$24,C2510,基础资料!$X$5:$X$24)+SUMIF(C$7:C2510,C2510,F$7:F2510)-SUMIF(C$7:C2510,C2510,G$7:G2510))</f>
      </c>
      <c r="I2510" s="145">
        <f>IF(AND(F2510="",G2510=""),"",SUM(基础资料!$X$5:$X$24)+SUM(F$7:F2510)-SUM(G$7:G2510))</f>
      </c>
      <c r="J2510" s="141" t="n"/>
      <c r="K2510" s="141" t="n"/>
      <c r="L2510" s="141" t="n"/>
      <c r="M2510" s="142" t="n"/>
      <c r="N2510" s="146">
        <f>IF(AND(AND(F2510="",G2510=""),B2510="",C2510="",D2510="",J2510="",K2510="",L2510=""),"",IF(AND(F2510="",G2510=""),"✗ 没填金额",IF(AND(N(F2510)&lt;&gt;0,N(G2510)&lt;&gt;0),"✗ 收入、支出只能填一边",IF(NOT(ISNUMBER(B2510)),"✗ 日期不是真日期（要像 2026/9/25 这样填）",IF(OR(B2510&lt;年初日,B2510&gt;年末日),"✗ 日期不在本会计年度",IF(C2510="","✗ 没选账户",IF(COUNTIF(基础资料!$W$5:$W$24,C2510)=0,"✗ 账户不在基础资料里",IF(O2510="","✗ 没选收支项目",IF(P2510="未知","✗ 收支项目不在基础资料里",IF(AND(P2510="应收",J2510=""),"✗ 这笔要选客户",IF(AND(P2510="应收",COUNTIF(总览汇总!$B$5:$B$304,J2510)=0),"✗ 客户不在总览汇总名单里",IF(AND(P2510="应付",K2510=""),"✗ 这笔要选供应商",IF(AND(P2510="应付",COUNTIF(基础资料!$Q$5:$Q$54,K2510)=0),"✗ 供应商不在基础资料里",IF(AND(P2510="费用",L2510=""),"✗ 费用支出要选费用项目",IF(AND(L2510&lt;&gt;"",COUNTIF(基础资料!$AI$5:$AI$54,L2510)=0),"✗ 费用项目不在基础资料里",IF(AND(IFERROR(INDEX(基础资料!$AD$5:$AD$34,MATCH(O2510,基础资料!$AC$5:$AC$34,0)),"")="收",N(G2510)&lt;&gt;0),"✗ 这类是收款，金额填到收入列",IF(AND(IFERROR(INDEX(基础资料!$AD$5:$AD$34,MATCH(O2510,基础资料!$AC$5:$AC$34,0)),"")="支",N(F2510)&lt;&gt;0),"✗ 这类是付款，金额填到支出列",IF(N(H2510)&lt;0,"⚠ 账户余额成负数了，核对一下","√"))))))))))))))))))</f>
      </c>
      <c r="O2510" s="78">
        <f>IF(D2510&lt;&gt;"",D2510,IF(AND(F2510="",G2510=""),"",IF(J2510&lt;&gt;"",IF(N(F2510)&gt;0,"客户回款","客户退款"),IF(K2510&lt;&gt;"",IF(N(G2510)&gt;0,"供应商付款","供应商退款"),IF(L2510&lt;&gt;"","费用支出","")))))</f>
      </c>
      <c r="P2510" s="78">
        <f>IF(O2510="","",IFERROR(INDEX(基础资料!$AE$5:$AE$34,MATCH(O2510,基础资料!$AC$5:$AC$34,0)),"未知"))</f>
      </c>
      <c r="Q2510" s="78">
        <f>IF(P2510="应收",COUNTIF(P$7:P2510,"应收"),"")</f>
      </c>
      <c r="R2510" s="78">
        <f>IF(P2510="应付",COUNTIF(P$7:P2510,"应付"),"")</f>
      </c>
      <c r="S2510" s="78">
        <f>N(F2510)-N(G2510)</f>
        <v>0</v>
      </c>
    </row>
    <row r="2511">
      <c r="A2511" s="109">
        <f>IF(AND(F2511="",G2511=""),"",ROW()-6)</f>
      </c>
      <c r="B2511" s="140" t="n"/>
      <c r="C2511" s="141" t="n"/>
      <c r="D2511" s="141" t="n"/>
      <c r="E2511" s="142" t="n"/>
      <c r="F2511" s="143" t="n"/>
      <c r="G2511" s="144" t="n"/>
      <c r="H2511" s="145">
        <f>IF(OR(C2511="",AND(F2511="",G2511="")),"",SUMIF(基础资料!$W$5:$W$24,C2511,基础资料!$X$5:$X$24)+SUMIF(C$7:C2511,C2511,F$7:F2511)-SUMIF(C$7:C2511,C2511,G$7:G2511))</f>
      </c>
      <c r="I2511" s="145">
        <f>IF(AND(F2511="",G2511=""),"",SUM(基础资料!$X$5:$X$24)+SUM(F$7:F2511)-SUM(G$7:G2511))</f>
      </c>
      <c r="J2511" s="141" t="n"/>
      <c r="K2511" s="141" t="n"/>
      <c r="L2511" s="141" t="n"/>
      <c r="M2511" s="142" t="n"/>
      <c r="N2511" s="146">
        <f>IF(AND(AND(F2511="",G2511=""),B2511="",C2511="",D2511="",J2511="",K2511="",L2511=""),"",IF(AND(F2511="",G2511=""),"✗ 没填金额",IF(AND(N(F2511)&lt;&gt;0,N(G2511)&lt;&gt;0),"✗ 收入、支出只能填一边",IF(NOT(ISNUMBER(B2511)),"✗ 日期不是真日期（要像 2026/9/25 这样填）",IF(OR(B2511&lt;年初日,B2511&gt;年末日),"✗ 日期不在本会计年度",IF(C2511="","✗ 没选账户",IF(COUNTIF(基础资料!$W$5:$W$24,C2511)=0,"✗ 账户不在基础资料里",IF(O2511="","✗ 没选收支项目",IF(P2511="未知","✗ 收支项目不在基础资料里",IF(AND(P2511="应收",J2511=""),"✗ 这笔要选客户",IF(AND(P2511="应收",COUNTIF(总览汇总!$B$5:$B$304,J2511)=0),"✗ 客户不在总览汇总名单里",IF(AND(P2511="应付",K2511=""),"✗ 这笔要选供应商",IF(AND(P2511="应付",COUNTIF(基础资料!$Q$5:$Q$54,K2511)=0),"✗ 供应商不在基础资料里",IF(AND(P2511="费用",L2511=""),"✗ 费用支出要选费用项目",IF(AND(L2511&lt;&gt;"",COUNTIF(基础资料!$AI$5:$AI$54,L2511)=0),"✗ 费用项目不在基础资料里",IF(AND(IFERROR(INDEX(基础资料!$AD$5:$AD$34,MATCH(O2511,基础资料!$AC$5:$AC$34,0)),"")="收",N(G2511)&lt;&gt;0),"✗ 这类是收款，金额填到收入列",IF(AND(IFERROR(INDEX(基础资料!$AD$5:$AD$34,MATCH(O2511,基础资料!$AC$5:$AC$34,0)),"")="支",N(F2511)&lt;&gt;0),"✗ 这类是付款，金额填到支出列",IF(N(H2511)&lt;0,"⚠ 账户余额成负数了，核对一下","√"))))))))))))))))))</f>
      </c>
      <c r="O2511" s="78">
        <f>IF(D2511&lt;&gt;"",D2511,IF(AND(F2511="",G2511=""),"",IF(J2511&lt;&gt;"",IF(N(F2511)&gt;0,"客户回款","客户退款"),IF(K2511&lt;&gt;"",IF(N(G2511)&gt;0,"供应商付款","供应商退款"),IF(L2511&lt;&gt;"","费用支出","")))))</f>
      </c>
      <c r="P2511" s="78">
        <f>IF(O2511="","",IFERROR(INDEX(基础资料!$AE$5:$AE$34,MATCH(O2511,基础资料!$AC$5:$AC$34,0)),"未知"))</f>
      </c>
      <c r="Q2511" s="78">
        <f>IF(P2511="应收",COUNTIF(P$7:P2511,"应收"),"")</f>
      </c>
      <c r="R2511" s="78">
        <f>IF(P2511="应付",COUNTIF(P$7:P2511,"应付"),"")</f>
      </c>
      <c r="S2511" s="78">
        <f>N(F2511)-N(G2511)</f>
        <v>0</v>
      </c>
    </row>
    <row r="2512">
      <c r="A2512" s="109">
        <f>IF(AND(F2512="",G2512=""),"",ROW()-6)</f>
      </c>
      <c r="B2512" s="140" t="n"/>
      <c r="C2512" s="141" t="n"/>
      <c r="D2512" s="141" t="n"/>
      <c r="E2512" s="142" t="n"/>
      <c r="F2512" s="143" t="n"/>
      <c r="G2512" s="144" t="n"/>
      <c r="H2512" s="145">
        <f>IF(OR(C2512="",AND(F2512="",G2512="")),"",SUMIF(基础资料!$W$5:$W$24,C2512,基础资料!$X$5:$X$24)+SUMIF(C$7:C2512,C2512,F$7:F2512)-SUMIF(C$7:C2512,C2512,G$7:G2512))</f>
      </c>
      <c r="I2512" s="145">
        <f>IF(AND(F2512="",G2512=""),"",SUM(基础资料!$X$5:$X$24)+SUM(F$7:F2512)-SUM(G$7:G2512))</f>
      </c>
      <c r="J2512" s="141" t="n"/>
      <c r="K2512" s="141" t="n"/>
      <c r="L2512" s="141" t="n"/>
      <c r="M2512" s="142" t="n"/>
      <c r="N2512" s="146">
        <f>IF(AND(AND(F2512="",G2512=""),B2512="",C2512="",D2512="",J2512="",K2512="",L2512=""),"",IF(AND(F2512="",G2512=""),"✗ 没填金额",IF(AND(N(F2512)&lt;&gt;0,N(G2512)&lt;&gt;0),"✗ 收入、支出只能填一边",IF(NOT(ISNUMBER(B2512)),"✗ 日期不是真日期（要像 2026/9/25 这样填）",IF(OR(B2512&lt;年初日,B2512&gt;年末日),"✗ 日期不在本会计年度",IF(C2512="","✗ 没选账户",IF(COUNTIF(基础资料!$W$5:$W$24,C2512)=0,"✗ 账户不在基础资料里",IF(O2512="","✗ 没选收支项目",IF(P2512="未知","✗ 收支项目不在基础资料里",IF(AND(P2512="应收",J2512=""),"✗ 这笔要选客户",IF(AND(P2512="应收",COUNTIF(总览汇总!$B$5:$B$304,J2512)=0),"✗ 客户不在总览汇总名单里",IF(AND(P2512="应付",K2512=""),"✗ 这笔要选供应商",IF(AND(P2512="应付",COUNTIF(基础资料!$Q$5:$Q$54,K2512)=0),"✗ 供应商不在基础资料里",IF(AND(P2512="费用",L2512=""),"✗ 费用支出要选费用项目",IF(AND(L2512&lt;&gt;"",COUNTIF(基础资料!$AI$5:$AI$54,L2512)=0),"✗ 费用项目不在基础资料里",IF(AND(IFERROR(INDEX(基础资料!$AD$5:$AD$34,MATCH(O2512,基础资料!$AC$5:$AC$34,0)),"")="收",N(G2512)&lt;&gt;0),"✗ 这类是收款，金额填到收入列",IF(AND(IFERROR(INDEX(基础资料!$AD$5:$AD$34,MATCH(O2512,基础资料!$AC$5:$AC$34,0)),"")="支",N(F2512)&lt;&gt;0),"✗ 这类是付款，金额填到支出列",IF(N(H2512)&lt;0,"⚠ 账户余额成负数了，核对一下","√"))))))))))))))))))</f>
      </c>
      <c r="O2512" s="78">
        <f>IF(D2512&lt;&gt;"",D2512,IF(AND(F2512="",G2512=""),"",IF(J2512&lt;&gt;"",IF(N(F2512)&gt;0,"客户回款","客户退款"),IF(K2512&lt;&gt;"",IF(N(G2512)&gt;0,"供应商付款","供应商退款"),IF(L2512&lt;&gt;"","费用支出","")))))</f>
      </c>
      <c r="P2512" s="78">
        <f>IF(O2512="","",IFERROR(INDEX(基础资料!$AE$5:$AE$34,MATCH(O2512,基础资料!$AC$5:$AC$34,0)),"未知"))</f>
      </c>
      <c r="Q2512" s="78">
        <f>IF(P2512="应收",COUNTIF(P$7:P2512,"应收"),"")</f>
      </c>
      <c r="R2512" s="78">
        <f>IF(P2512="应付",COUNTIF(P$7:P2512,"应付"),"")</f>
      </c>
      <c r="S2512" s="78">
        <f>N(F2512)-N(G2512)</f>
        <v>0</v>
      </c>
    </row>
    <row r="2513">
      <c r="A2513" s="109">
        <f>IF(AND(F2513="",G2513=""),"",ROW()-6)</f>
      </c>
      <c r="B2513" s="140" t="n"/>
      <c r="C2513" s="141" t="n"/>
      <c r="D2513" s="141" t="n"/>
      <c r="E2513" s="142" t="n"/>
      <c r="F2513" s="143" t="n"/>
      <c r="G2513" s="144" t="n"/>
      <c r="H2513" s="145">
        <f>IF(OR(C2513="",AND(F2513="",G2513="")),"",SUMIF(基础资料!$W$5:$W$24,C2513,基础资料!$X$5:$X$24)+SUMIF(C$7:C2513,C2513,F$7:F2513)-SUMIF(C$7:C2513,C2513,G$7:G2513))</f>
      </c>
      <c r="I2513" s="145">
        <f>IF(AND(F2513="",G2513=""),"",SUM(基础资料!$X$5:$X$24)+SUM(F$7:F2513)-SUM(G$7:G2513))</f>
      </c>
      <c r="J2513" s="141" t="n"/>
      <c r="K2513" s="141" t="n"/>
      <c r="L2513" s="141" t="n"/>
      <c r="M2513" s="142" t="n"/>
      <c r="N2513" s="146">
        <f>IF(AND(AND(F2513="",G2513=""),B2513="",C2513="",D2513="",J2513="",K2513="",L2513=""),"",IF(AND(F2513="",G2513=""),"✗ 没填金额",IF(AND(N(F2513)&lt;&gt;0,N(G2513)&lt;&gt;0),"✗ 收入、支出只能填一边",IF(NOT(ISNUMBER(B2513)),"✗ 日期不是真日期（要像 2026/9/25 这样填）",IF(OR(B2513&lt;年初日,B2513&gt;年末日),"✗ 日期不在本会计年度",IF(C2513="","✗ 没选账户",IF(COUNTIF(基础资料!$W$5:$W$24,C2513)=0,"✗ 账户不在基础资料里",IF(O2513="","✗ 没选收支项目",IF(P2513="未知","✗ 收支项目不在基础资料里",IF(AND(P2513="应收",J2513=""),"✗ 这笔要选客户",IF(AND(P2513="应收",COUNTIF(总览汇总!$B$5:$B$304,J2513)=0),"✗ 客户不在总览汇总名单里",IF(AND(P2513="应付",K2513=""),"✗ 这笔要选供应商",IF(AND(P2513="应付",COUNTIF(基础资料!$Q$5:$Q$54,K2513)=0),"✗ 供应商不在基础资料里",IF(AND(P2513="费用",L2513=""),"✗ 费用支出要选费用项目",IF(AND(L2513&lt;&gt;"",COUNTIF(基础资料!$AI$5:$AI$54,L2513)=0),"✗ 费用项目不在基础资料里",IF(AND(IFERROR(INDEX(基础资料!$AD$5:$AD$34,MATCH(O2513,基础资料!$AC$5:$AC$34,0)),"")="收",N(G2513)&lt;&gt;0),"✗ 这类是收款，金额填到收入列",IF(AND(IFERROR(INDEX(基础资料!$AD$5:$AD$34,MATCH(O2513,基础资料!$AC$5:$AC$34,0)),"")="支",N(F2513)&lt;&gt;0),"✗ 这类是付款，金额填到支出列",IF(N(H2513)&lt;0,"⚠ 账户余额成负数了，核对一下","√"))))))))))))))))))</f>
      </c>
      <c r="O2513" s="78">
        <f>IF(D2513&lt;&gt;"",D2513,IF(AND(F2513="",G2513=""),"",IF(J2513&lt;&gt;"",IF(N(F2513)&gt;0,"客户回款","客户退款"),IF(K2513&lt;&gt;"",IF(N(G2513)&gt;0,"供应商付款","供应商退款"),IF(L2513&lt;&gt;"","费用支出","")))))</f>
      </c>
      <c r="P2513" s="78">
        <f>IF(O2513="","",IFERROR(INDEX(基础资料!$AE$5:$AE$34,MATCH(O2513,基础资料!$AC$5:$AC$34,0)),"未知"))</f>
      </c>
      <c r="Q2513" s="78">
        <f>IF(P2513="应收",COUNTIF(P$7:P2513,"应收"),"")</f>
      </c>
      <c r="R2513" s="78">
        <f>IF(P2513="应付",COUNTIF(P$7:P2513,"应付"),"")</f>
      </c>
      <c r="S2513" s="78">
        <f>N(F2513)-N(G2513)</f>
        <v>0</v>
      </c>
    </row>
    <row r="2514">
      <c r="A2514" s="109">
        <f>IF(AND(F2514="",G2514=""),"",ROW()-6)</f>
      </c>
      <c r="B2514" s="140" t="n"/>
      <c r="C2514" s="141" t="n"/>
      <c r="D2514" s="141" t="n"/>
      <c r="E2514" s="142" t="n"/>
      <c r="F2514" s="143" t="n"/>
      <c r="G2514" s="144" t="n"/>
      <c r="H2514" s="145">
        <f>IF(OR(C2514="",AND(F2514="",G2514="")),"",SUMIF(基础资料!$W$5:$W$24,C2514,基础资料!$X$5:$X$24)+SUMIF(C$7:C2514,C2514,F$7:F2514)-SUMIF(C$7:C2514,C2514,G$7:G2514))</f>
      </c>
      <c r="I2514" s="145">
        <f>IF(AND(F2514="",G2514=""),"",SUM(基础资料!$X$5:$X$24)+SUM(F$7:F2514)-SUM(G$7:G2514))</f>
      </c>
      <c r="J2514" s="141" t="n"/>
      <c r="K2514" s="141" t="n"/>
      <c r="L2514" s="141" t="n"/>
      <c r="M2514" s="142" t="n"/>
      <c r="N2514" s="146">
        <f>IF(AND(AND(F2514="",G2514=""),B2514="",C2514="",D2514="",J2514="",K2514="",L2514=""),"",IF(AND(F2514="",G2514=""),"✗ 没填金额",IF(AND(N(F2514)&lt;&gt;0,N(G2514)&lt;&gt;0),"✗ 收入、支出只能填一边",IF(NOT(ISNUMBER(B2514)),"✗ 日期不是真日期（要像 2026/9/25 这样填）",IF(OR(B2514&lt;年初日,B2514&gt;年末日),"✗ 日期不在本会计年度",IF(C2514="","✗ 没选账户",IF(COUNTIF(基础资料!$W$5:$W$24,C2514)=0,"✗ 账户不在基础资料里",IF(O2514="","✗ 没选收支项目",IF(P2514="未知","✗ 收支项目不在基础资料里",IF(AND(P2514="应收",J2514=""),"✗ 这笔要选客户",IF(AND(P2514="应收",COUNTIF(总览汇总!$B$5:$B$304,J2514)=0),"✗ 客户不在总览汇总名单里",IF(AND(P2514="应付",K2514=""),"✗ 这笔要选供应商",IF(AND(P2514="应付",COUNTIF(基础资料!$Q$5:$Q$54,K2514)=0),"✗ 供应商不在基础资料里",IF(AND(P2514="费用",L2514=""),"✗ 费用支出要选费用项目",IF(AND(L2514&lt;&gt;"",COUNTIF(基础资料!$AI$5:$AI$54,L2514)=0),"✗ 费用项目不在基础资料里",IF(AND(IFERROR(INDEX(基础资料!$AD$5:$AD$34,MATCH(O2514,基础资料!$AC$5:$AC$34,0)),"")="收",N(G2514)&lt;&gt;0),"✗ 这类是收款，金额填到收入列",IF(AND(IFERROR(INDEX(基础资料!$AD$5:$AD$34,MATCH(O2514,基础资料!$AC$5:$AC$34,0)),"")="支",N(F2514)&lt;&gt;0),"✗ 这类是付款，金额填到支出列",IF(N(H2514)&lt;0,"⚠ 账户余额成负数了，核对一下","√"))))))))))))))))))</f>
      </c>
      <c r="O2514" s="78">
        <f>IF(D2514&lt;&gt;"",D2514,IF(AND(F2514="",G2514=""),"",IF(J2514&lt;&gt;"",IF(N(F2514)&gt;0,"客户回款","客户退款"),IF(K2514&lt;&gt;"",IF(N(G2514)&gt;0,"供应商付款","供应商退款"),IF(L2514&lt;&gt;"","费用支出","")))))</f>
      </c>
      <c r="P2514" s="78">
        <f>IF(O2514="","",IFERROR(INDEX(基础资料!$AE$5:$AE$34,MATCH(O2514,基础资料!$AC$5:$AC$34,0)),"未知"))</f>
      </c>
      <c r="Q2514" s="78">
        <f>IF(P2514="应收",COUNTIF(P$7:P2514,"应收"),"")</f>
      </c>
      <c r="R2514" s="78">
        <f>IF(P2514="应付",COUNTIF(P$7:P2514,"应付"),"")</f>
      </c>
      <c r="S2514" s="78">
        <f>N(F2514)-N(G2514)</f>
        <v>0</v>
      </c>
    </row>
    <row r="2515">
      <c r="A2515" s="109">
        <f>IF(AND(F2515="",G2515=""),"",ROW()-6)</f>
      </c>
      <c r="B2515" s="140" t="n"/>
      <c r="C2515" s="141" t="n"/>
      <c r="D2515" s="141" t="n"/>
      <c r="E2515" s="142" t="n"/>
      <c r="F2515" s="143" t="n"/>
      <c r="G2515" s="144" t="n"/>
      <c r="H2515" s="145">
        <f>IF(OR(C2515="",AND(F2515="",G2515="")),"",SUMIF(基础资料!$W$5:$W$24,C2515,基础资料!$X$5:$X$24)+SUMIF(C$7:C2515,C2515,F$7:F2515)-SUMIF(C$7:C2515,C2515,G$7:G2515))</f>
      </c>
      <c r="I2515" s="145">
        <f>IF(AND(F2515="",G2515=""),"",SUM(基础资料!$X$5:$X$24)+SUM(F$7:F2515)-SUM(G$7:G2515))</f>
      </c>
      <c r="J2515" s="141" t="n"/>
      <c r="K2515" s="141" t="n"/>
      <c r="L2515" s="141" t="n"/>
      <c r="M2515" s="142" t="n"/>
      <c r="N2515" s="146">
        <f>IF(AND(AND(F2515="",G2515=""),B2515="",C2515="",D2515="",J2515="",K2515="",L2515=""),"",IF(AND(F2515="",G2515=""),"✗ 没填金额",IF(AND(N(F2515)&lt;&gt;0,N(G2515)&lt;&gt;0),"✗ 收入、支出只能填一边",IF(NOT(ISNUMBER(B2515)),"✗ 日期不是真日期（要像 2026/9/25 这样填）",IF(OR(B2515&lt;年初日,B2515&gt;年末日),"✗ 日期不在本会计年度",IF(C2515="","✗ 没选账户",IF(COUNTIF(基础资料!$W$5:$W$24,C2515)=0,"✗ 账户不在基础资料里",IF(O2515="","✗ 没选收支项目",IF(P2515="未知","✗ 收支项目不在基础资料里",IF(AND(P2515="应收",J2515=""),"✗ 这笔要选客户",IF(AND(P2515="应收",COUNTIF(总览汇总!$B$5:$B$304,J2515)=0),"✗ 客户不在总览汇总名单里",IF(AND(P2515="应付",K2515=""),"✗ 这笔要选供应商",IF(AND(P2515="应付",COUNTIF(基础资料!$Q$5:$Q$54,K2515)=0),"✗ 供应商不在基础资料里",IF(AND(P2515="费用",L2515=""),"✗ 费用支出要选费用项目",IF(AND(L2515&lt;&gt;"",COUNTIF(基础资料!$AI$5:$AI$54,L2515)=0),"✗ 费用项目不在基础资料里",IF(AND(IFERROR(INDEX(基础资料!$AD$5:$AD$34,MATCH(O2515,基础资料!$AC$5:$AC$34,0)),"")="收",N(G2515)&lt;&gt;0),"✗ 这类是收款，金额填到收入列",IF(AND(IFERROR(INDEX(基础资料!$AD$5:$AD$34,MATCH(O2515,基础资料!$AC$5:$AC$34,0)),"")="支",N(F2515)&lt;&gt;0),"✗ 这类是付款，金额填到支出列",IF(N(H2515)&lt;0,"⚠ 账户余额成负数了，核对一下","√"))))))))))))))))))</f>
      </c>
      <c r="O2515" s="78">
        <f>IF(D2515&lt;&gt;"",D2515,IF(AND(F2515="",G2515=""),"",IF(J2515&lt;&gt;"",IF(N(F2515)&gt;0,"客户回款","客户退款"),IF(K2515&lt;&gt;"",IF(N(G2515)&gt;0,"供应商付款","供应商退款"),IF(L2515&lt;&gt;"","费用支出","")))))</f>
      </c>
      <c r="P2515" s="78">
        <f>IF(O2515="","",IFERROR(INDEX(基础资料!$AE$5:$AE$34,MATCH(O2515,基础资料!$AC$5:$AC$34,0)),"未知"))</f>
      </c>
      <c r="Q2515" s="78">
        <f>IF(P2515="应收",COUNTIF(P$7:P2515,"应收"),"")</f>
      </c>
      <c r="R2515" s="78">
        <f>IF(P2515="应付",COUNTIF(P$7:P2515,"应付"),"")</f>
      </c>
      <c r="S2515" s="78">
        <f>N(F2515)-N(G2515)</f>
        <v>0</v>
      </c>
    </row>
    <row r="2516">
      <c r="A2516" s="109">
        <f>IF(AND(F2516="",G2516=""),"",ROW()-6)</f>
      </c>
      <c r="B2516" s="140" t="n"/>
      <c r="C2516" s="141" t="n"/>
      <c r="D2516" s="141" t="n"/>
      <c r="E2516" s="142" t="n"/>
      <c r="F2516" s="143" t="n"/>
      <c r="G2516" s="144" t="n"/>
      <c r="H2516" s="145">
        <f>IF(OR(C2516="",AND(F2516="",G2516="")),"",SUMIF(基础资料!$W$5:$W$24,C2516,基础资料!$X$5:$X$24)+SUMIF(C$7:C2516,C2516,F$7:F2516)-SUMIF(C$7:C2516,C2516,G$7:G2516))</f>
      </c>
      <c r="I2516" s="145">
        <f>IF(AND(F2516="",G2516=""),"",SUM(基础资料!$X$5:$X$24)+SUM(F$7:F2516)-SUM(G$7:G2516))</f>
      </c>
      <c r="J2516" s="141" t="n"/>
      <c r="K2516" s="141" t="n"/>
      <c r="L2516" s="141" t="n"/>
      <c r="M2516" s="142" t="n"/>
      <c r="N2516" s="146">
        <f>IF(AND(AND(F2516="",G2516=""),B2516="",C2516="",D2516="",J2516="",K2516="",L2516=""),"",IF(AND(F2516="",G2516=""),"✗ 没填金额",IF(AND(N(F2516)&lt;&gt;0,N(G2516)&lt;&gt;0),"✗ 收入、支出只能填一边",IF(NOT(ISNUMBER(B2516)),"✗ 日期不是真日期（要像 2026/9/25 这样填）",IF(OR(B2516&lt;年初日,B2516&gt;年末日),"✗ 日期不在本会计年度",IF(C2516="","✗ 没选账户",IF(COUNTIF(基础资料!$W$5:$W$24,C2516)=0,"✗ 账户不在基础资料里",IF(O2516="","✗ 没选收支项目",IF(P2516="未知","✗ 收支项目不在基础资料里",IF(AND(P2516="应收",J2516=""),"✗ 这笔要选客户",IF(AND(P2516="应收",COUNTIF(总览汇总!$B$5:$B$304,J2516)=0),"✗ 客户不在总览汇总名单里",IF(AND(P2516="应付",K2516=""),"✗ 这笔要选供应商",IF(AND(P2516="应付",COUNTIF(基础资料!$Q$5:$Q$54,K2516)=0),"✗ 供应商不在基础资料里",IF(AND(P2516="费用",L2516=""),"✗ 费用支出要选费用项目",IF(AND(L2516&lt;&gt;"",COUNTIF(基础资料!$AI$5:$AI$54,L2516)=0),"✗ 费用项目不在基础资料里",IF(AND(IFERROR(INDEX(基础资料!$AD$5:$AD$34,MATCH(O2516,基础资料!$AC$5:$AC$34,0)),"")="收",N(G2516)&lt;&gt;0),"✗ 这类是收款，金额填到收入列",IF(AND(IFERROR(INDEX(基础资料!$AD$5:$AD$34,MATCH(O2516,基础资料!$AC$5:$AC$34,0)),"")="支",N(F2516)&lt;&gt;0),"✗ 这类是付款，金额填到支出列",IF(N(H2516)&lt;0,"⚠ 账户余额成负数了，核对一下","√"))))))))))))))))))</f>
      </c>
      <c r="O2516" s="78">
        <f>IF(D2516&lt;&gt;"",D2516,IF(AND(F2516="",G2516=""),"",IF(J2516&lt;&gt;"",IF(N(F2516)&gt;0,"客户回款","客户退款"),IF(K2516&lt;&gt;"",IF(N(G2516)&gt;0,"供应商付款","供应商退款"),IF(L2516&lt;&gt;"","费用支出","")))))</f>
      </c>
      <c r="P2516" s="78">
        <f>IF(O2516="","",IFERROR(INDEX(基础资料!$AE$5:$AE$34,MATCH(O2516,基础资料!$AC$5:$AC$34,0)),"未知"))</f>
      </c>
      <c r="Q2516" s="78">
        <f>IF(P2516="应收",COUNTIF(P$7:P2516,"应收"),"")</f>
      </c>
      <c r="R2516" s="78">
        <f>IF(P2516="应付",COUNTIF(P$7:P2516,"应付"),"")</f>
      </c>
      <c r="S2516" s="78">
        <f>N(F2516)-N(G2516)</f>
        <v>0</v>
      </c>
    </row>
    <row r="2517">
      <c r="A2517" s="109">
        <f>IF(AND(F2517="",G2517=""),"",ROW()-6)</f>
      </c>
      <c r="B2517" s="140" t="n"/>
      <c r="C2517" s="141" t="n"/>
      <c r="D2517" s="141" t="n"/>
      <c r="E2517" s="142" t="n"/>
      <c r="F2517" s="143" t="n"/>
      <c r="G2517" s="144" t="n"/>
      <c r="H2517" s="145">
        <f>IF(OR(C2517="",AND(F2517="",G2517="")),"",SUMIF(基础资料!$W$5:$W$24,C2517,基础资料!$X$5:$X$24)+SUMIF(C$7:C2517,C2517,F$7:F2517)-SUMIF(C$7:C2517,C2517,G$7:G2517))</f>
      </c>
      <c r="I2517" s="145">
        <f>IF(AND(F2517="",G2517=""),"",SUM(基础资料!$X$5:$X$24)+SUM(F$7:F2517)-SUM(G$7:G2517))</f>
      </c>
      <c r="J2517" s="141" t="n"/>
      <c r="K2517" s="141" t="n"/>
      <c r="L2517" s="141" t="n"/>
      <c r="M2517" s="142" t="n"/>
      <c r="N2517" s="146">
        <f>IF(AND(AND(F2517="",G2517=""),B2517="",C2517="",D2517="",J2517="",K2517="",L2517=""),"",IF(AND(F2517="",G2517=""),"✗ 没填金额",IF(AND(N(F2517)&lt;&gt;0,N(G2517)&lt;&gt;0),"✗ 收入、支出只能填一边",IF(NOT(ISNUMBER(B2517)),"✗ 日期不是真日期（要像 2026/9/25 这样填）",IF(OR(B2517&lt;年初日,B2517&gt;年末日),"✗ 日期不在本会计年度",IF(C2517="","✗ 没选账户",IF(COUNTIF(基础资料!$W$5:$W$24,C2517)=0,"✗ 账户不在基础资料里",IF(O2517="","✗ 没选收支项目",IF(P2517="未知","✗ 收支项目不在基础资料里",IF(AND(P2517="应收",J2517=""),"✗ 这笔要选客户",IF(AND(P2517="应收",COUNTIF(总览汇总!$B$5:$B$304,J2517)=0),"✗ 客户不在总览汇总名单里",IF(AND(P2517="应付",K2517=""),"✗ 这笔要选供应商",IF(AND(P2517="应付",COUNTIF(基础资料!$Q$5:$Q$54,K2517)=0),"✗ 供应商不在基础资料里",IF(AND(P2517="费用",L2517=""),"✗ 费用支出要选费用项目",IF(AND(L2517&lt;&gt;"",COUNTIF(基础资料!$AI$5:$AI$54,L2517)=0),"✗ 费用项目不在基础资料里",IF(AND(IFERROR(INDEX(基础资料!$AD$5:$AD$34,MATCH(O2517,基础资料!$AC$5:$AC$34,0)),"")="收",N(G2517)&lt;&gt;0),"✗ 这类是收款，金额填到收入列",IF(AND(IFERROR(INDEX(基础资料!$AD$5:$AD$34,MATCH(O2517,基础资料!$AC$5:$AC$34,0)),"")="支",N(F2517)&lt;&gt;0),"✗ 这类是付款，金额填到支出列",IF(N(H2517)&lt;0,"⚠ 账户余额成负数了，核对一下","√"))))))))))))))))))</f>
      </c>
      <c r="O2517" s="78">
        <f>IF(D2517&lt;&gt;"",D2517,IF(AND(F2517="",G2517=""),"",IF(J2517&lt;&gt;"",IF(N(F2517)&gt;0,"客户回款","客户退款"),IF(K2517&lt;&gt;"",IF(N(G2517)&gt;0,"供应商付款","供应商退款"),IF(L2517&lt;&gt;"","费用支出","")))))</f>
      </c>
      <c r="P2517" s="78">
        <f>IF(O2517="","",IFERROR(INDEX(基础资料!$AE$5:$AE$34,MATCH(O2517,基础资料!$AC$5:$AC$34,0)),"未知"))</f>
      </c>
      <c r="Q2517" s="78">
        <f>IF(P2517="应收",COUNTIF(P$7:P2517,"应收"),"")</f>
      </c>
      <c r="R2517" s="78">
        <f>IF(P2517="应付",COUNTIF(P$7:P2517,"应付"),"")</f>
      </c>
      <c r="S2517" s="78">
        <f>N(F2517)-N(G2517)</f>
        <v>0</v>
      </c>
    </row>
    <row r="2518">
      <c r="A2518" s="109">
        <f>IF(AND(F2518="",G2518=""),"",ROW()-6)</f>
      </c>
      <c r="B2518" s="140" t="n"/>
      <c r="C2518" s="141" t="n"/>
      <c r="D2518" s="141" t="n"/>
      <c r="E2518" s="142" t="n"/>
      <c r="F2518" s="143" t="n"/>
      <c r="G2518" s="144" t="n"/>
      <c r="H2518" s="145">
        <f>IF(OR(C2518="",AND(F2518="",G2518="")),"",SUMIF(基础资料!$W$5:$W$24,C2518,基础资料!$X$5:$X$24)+SUMIF(C$7:C2518,C2518,F$7:F2518)-SUMIF(C$7:C2518,C2518,G$7:G2518))</f>
      </c>
      <c r="I2518" s="145">
        <f>IF(AND(F2518="",G2518=""),"",SUM(基础资料!$X$5:$X$24)+SUM(F$7:F2518)-SUM(G$7:G2518))</f>
      </c>
      <c r="J2518" s="141" t="n"/>
      <c r="K2518" s="141" t="n"/>
      <c r="L2518" s="141" t="n"/>
      <c r="M2518" s="142" t="n"/>
      <c r="N2518" s="146">
        <f>IF(AND(AND(F2518="",G2518=""),B2518="",C2518="",D2518="",J2518="",K2518="",L2518=""),"",IF(AND(F2518="",G2518=""),"✗ 没填金额",IF(AND(N(F2518)&lt;&gt;0,N(G2518)&lt;&gt;0),"✗ 收入、支出只能填一边",IF(NOT(ISNUMBER(B2518)),"✗ 日期不是真日期（要像 2026/9/25 这样填）",IF(OR(B2518&lt;年初日,B2518&gt;年末日),"✗ 日期不在本会计年度",IF(C2518="","✗ 没选账户",IF(COUNTIF(基础资料!$W$5:$W$24,C2518)=0,"✗ 账户不在基础资料里",IF(O2518="","✗ 没选收支项目",IF(P2518="未知","✗ 收支项目不在基础资料里",IF(AND(P2518="应收",J2518=""),"✗ 这笔要选客户",IF(AND(P2518="应收",COUNTIF(总览汇总!$B$5:$B$304,J2518)=0),"✗ 客户不在总览汇总名单里",IF(AND(P2518="应付",K2518=""),"✗ 这笔要选供应商",IF(AND(P2518="应付",COUNTIF(基础资料!$Q$5:$Q$54,K2518)=0),"✗ 供应商不在基础资料里",IF(AND(P2518="费用",L2518=""),"✗ 费用支出要选费用项目",IF(AND(L2518&lt;&gt;"",COUNTIF(基础资料!$AI$5:$AI$54,L2518)=0),"✗ 费用项目不在基础资料里",IF(AND(IFERROR(INDEX(基础资料!$AD$5:$AD$34,MATCH(O2518,基础资料!$AC$5:$AC$34,0)),"")="收",N(G2518)&lt;&gt;0),"✗ 这类是收款，金额填到收入列",IF(AND(IFERROR(INDEX(基础资料!$AD$5:$AD$34,MATCH(O2518,基础资料!$AC$5:$AC$34,0)),"")="支",N(F2518)&lt;&gt;0),"✗ 这类是付款，金额填到支出列",IF(N(H2518)&lt;0,"⚠ 账户余额成负数了，核对一下","√"))))))))))))))))))</f>
      </c>
      <c r="O2518" s="78">
        <f>IF(D2518&lt;&gt;"",D2518,IF(AND(F2518="",G2518=""),"",IF(J2518&lt;&gt;"",IF(N(F2518)&gt;0,"客户回款","客户退款"),IF(K2518&lt;&gt;"",IF(N(G2518)&gt;0,"供应商付款","供应商退款"),IF(L2518&lt;&gt;"","费用支出","")))))</f>
      </c>
      <c r="P2518" s="78">
        <f>IF(O2518="","",IFERROR(INDEX(基础资料!$AE$5:$AE$34,MATCH(O2518,基础资料!$AC$5:$AC$34,0)),"未知"))</f>
      </c>
      <c r="Q2518" s="78">
        <f>IF(P2518="应收",COUNTIF(P$7:P2518,"应收"),"")</f>
      </c>
      <c r="R2518" s="78">
        <f>IF(P2518="应付",COUNTIF(P$7:P2518,"应付"),"")</f>
      </c>
      <c r="S2518" s="78">
        <f>N(F2518)-N(G2518)</f>
        <v>0</v>
      </c>
    </row>
    <row r="2519">
      <c r="A2519" s="109">
        <f>IF(AND(F2519="",G2519=""),"",ROW()-6)</f>
      </c>
      <c r="B2519" s="140" t="n"/>
      <c r="C2519" s="141" t="n"/>
      <c r="D2519" s="141" t="n"/>
      <c r="E2519" s="142" t="n"/>
      <c r="F2519" s="143" t="n"/>
      <c r="G2519" s="144" t="n"/>
      <c r="H2519" s="145">
        <f>IF(OR(C2519="",AND(F2519="",G2519="")),"",SUMIF(基础资料!$W$5:$W$24,C2519,基础资料!$X$5:$X$24)+SUMIF(C$7:C2519,C2519,F$7:F2519)-SUMIF(C$7:C2519,C2519,G$7:G2519))</f>
      </c>
      <c r="I2519" s="145">
        <f>IF(AND(F2519="",G2519=""),"",SUM(基础资料!$X$5:$X$24)+SUM(F$7:F2519)-SUM(G$7:G2519))</f>
      </c>
      <c r="J2519" s="141" t="n"/>
      <c r="K2519" s="141" t="n"/>
      <c r="L2519" s="141" t="n"/>
      <c r="M2519" s="142" t="n"/>
      <c r="N2519" s="146">
        <f>IF(AND(AND(F2519="",G2519=""),B2519="",C2519="",D2519="",J2519="",K2519="",L2519=""),"",IF(AND(F2519="",G2519=""),"✗ 没填金额",IF(AND(N(F2519)&lt;&gt;0,N(G2519)&lt;&gt;0),"✗ 收入、支出只能填一边",IF(NOT(ISNUMBER(B2519)),"✗ 日期不是真日期（要像 2026/9/25 这样填）",IF(OR(B2519&lt;年初日,B2519&gt;年末日),"✗ 日期不在本会计年度",IF(C2519="","✗ 没选账户",IF(COUNTIF(基础资料!$W$5:$W$24,C2519)=0,"✗ 账户不在基础资料里",IF(O2519="","✗ 没选收支项目",IF(P2519="未知","✗ 收支项目不在基础资料里",IF(AND(P2519="应收",J2519=""),"✗ 这笔要选客户",IF(AND(P2519="应收",COUNTIF(总览汇总!$B$5:$B$304,J2519)=0),"✗ 客户不在总览汇总名单里",IF(AND(P2519="应付",K2519=""),"✗ 这笔要选供应商",IF(AND(P2519="应付",COUNTIF(基础资料!$Q$5:$Q$54,K2519)=0),"✗ 供应商不在基础资料里",IF(AND(P2519="费用",L2519=""),"✗ 费用支出要选费用项目",IF(AND(L2519&lt;&gt;"",COUNTIF(基础资料!$AI$5:$AI$54,L2519)=0),"✗ 费用项目不在基础资料里",IF(AND(IFERROR(INDEX(基础资料!$AD$5:$AD$34,MATCH(O2519,基础资料!$AC$5:$AC$34,0)),"")="收",N(G2519)&lt;&gt;0),"✗ 这类是收款，金额填到收入列",IF(AND(IFERROR(INDEX(基础资料!$AD$5:$AD$34,MATCH(O2519,基础资料!$AC$5:$AC$34,0)),"")="支",N(F2519)&lt;&gt;0),"✗ 这类是付款，金额填到支出列",IF(N(H2519)&lt;0,"⚠ 账户余额成负数了，核对一下","√"))))))))))))))))))</f>
      </c>
      <c r="O2519" s="78">
        <f>IF(D2519&lt;&gt;"",D2519,IF(AND(F2519="",G2519=""),"",IF(J2519&lt;&gt;"",IF(N(F2519)&gt;0,"客户回款","客户退款"),IF(K2519&lt;&gt;"",IF(N(G2519)&gt;0,"供应商付款","供应商退款"),IF(L2519&lt;&gt;"","费用支出","")))))</f>
      </c>
      <c r="P2519" s="78">
        <f>IF(O2519="","",IFERROR(INDEX(基础资料!$AE$5:$AE$34,MATCH(O2519,基础资料!$AC$5:$AC$34,0)),"未知"))</f>
      </c>
      <c r="Q2519" s="78">
        <f>IF(P2519="应收",COUNTIF(P$7:P2519,"应收"),"")</f>
      </c>
      <c r="R2519" s="78">
        <f>IF(P2519="应付",COUNTIF(P$7:P2519,"应付"),"")</f>
      </c>
      <c r="S2519" s="78">
        <f>N(F2519)-N(G2519)</f>
        <v>0</v>
      </c>
    </row>
    <row r="2520">
      <c r="A2520" s="109">
        <f>IF(AND(F2520="",G2520=""),"",ROW()-6)</f>
      </c>
      <c r="B2520" s="140" t="n"/>
      <c r="C2520" s="141" t="n"/>
      <c r="D2520" s="141" t="n"/>
      <c r="E2520" s="142" t="n"/>
      <c r="F2520" s="143" t="n"/>
      <c r="G2520" s="144" t="n"/>
      <c r="H2520" s="145">
        <f>IF(OR(C2520="",AND(F2520="",G2520="")),"",SUMIF(基础资料!$W$5:$W$24,C2520,基础资料!$X$5:$X$24)+SUMIF(C$7:C2520,C2520,F$7:F2520)-SUMIF(C$7:C2520,C2520,G$7:G2520))</f>
      </c>
      <c r="I2520" s="145">
        <f>IF(AND(F2520="",G2520=""),"",SUM(基础资料!$X$5:$X$24)+SUM(F$7:F2520)-SUM(G$7:G2520))</f>
      </c>
      <c r="J2520" s="141" t="n"/>
      <c r="K2520" s="141" t="n"/>
      <c r="L2520" s="141" t="n"/>
      <c r="M2520" s="142" t="n"/>
      <c r="N2520" s="146">
        <f>IF(AND(AND(F2520="",G2520=""),B2520="",C2520="",D2520="",J2520="",K2520="",L2520=""),"",IF(AND(F2520="",G2520=""),"✗ 没填金额",IF(AND(N(F2520)&lt;&gt;0,N(G2520)&lt;&gt;0),"✗ 收入、支出只能填一边",IF(NOT(ISNUMBER(B2520)),"✗ 日期不是真日期（要像 2026/9/25 这样填）",IF(OR(B2520&lt;年初日,B2520&gt;年末日),"✗ 日期不在本会计年度",IF(C2520="","✗ 没选账户",IF(COUNTIF(基础资料!$W$5:$W$24,C2520)=0,"✗ 账户不在基础资料里",IF(O2520="","✗ 没选收支项目",IF(P2520="未知","✗ 收支项目不在基础资料里",IF(AND(P2520="应收",J2520=""),"✗ 这笔要选客户",IF(AND(P2520="应收",COUNTIF(总览汇总!$B$5:$B$304,J2520)=0),"✗ 客户不在总览汇总名单里",IF(AND(P2520="应付",K2520=""),"✗ 这笔要选供应商",IF(AND(P2520="应付",COUNTIF(基础资料!$Q$5:$Q$54,K2520)=0),"✗ 供应商不在基础资料里",IF(AND(P2520="费用",L2520=""),"✗ 费用支出要选费用项目",IF(AND(L2520&lt;&gt;"",COUNTIF(基础资料!$AI$5:$AI$54,L2520)=0),"✗ 费用项目不在基础资料里",IF(AND(IFERROR(INDEX(基础资料!$AD$5:$AD$34,MATCH(O2520,基础资料!$AC$5:$AC$34,0)),"")="收",N(G2520)&lt;&gt;0),"✗ 这类是收款，金额填到收入列",IF(AND(IFERROR(INDEX(基础资料!$AD$5:$AD$34,MATCH(O2520,基础资料!$AC$5:$AC$34,0)),"")="支",N(F2520)&lt;&gt;0),"✗ 这类是付款，金额填到支出列",IF(N(H2520)&lt;0,"⚠ 账户余额成负数了，核对一下","√"))))))))))))))))))</f>
      </c>
      <c r="O2520" s="78">
        <f>IF(D2520&lt;&gt;"",D2520,IF(AND(F2520="",G2520=""),"",IF(J2520&lt;&gt;"",IF(N(F2520)&gt;0,"客户回款","客户退款"),IF(K2520&lt;&gt;"",IF(N(G2520)&gt;0,"供应商付款","供应商退款"),IF(L2520&lt;&gt;"","费用支出","")))))</f>
      </c>
      <c r="P2520" s="78">
        <f>IF(O2520="","",IFERROR(INDEX(基础资料!$AE$5:$AE$34,MATCH(O2520,基础资料!$AC$5:$AC$34,0)),"未知"))</f>
      </c>
      <c r="Q2520" s="78">
        <f>IF(P2520="应收",COUNTIF(P$7:P2520,"应收"),"")</f>
      </c>
      <c r="R2520" s="78">
        <f>IF(P2520="应付",COUNTIF(P$7:P2520,"应付"),"")</f>
      </c>
      <c r="S2520" s="78">
        <f>N(F2520)-N(G2520)</f>
        <v>0</v>
      </c>
    </row>
    <row r="2521">
      <c r="A2521" s="109">
        <f>IF(AND(F2521="",G2521=""),"",ROW()-6)</f>
      </c>
      <c r="B2521" s="140" t="n"/>
      <c r="C2521" s="141" t="n"/>
      <c r="D2521" s="141" t="n"/>
      <c r="E2521" s="142" t="n"/>
      <c r="F2521" s="143" t="n"/>
      <c r="G2521" s="144" t="n"/>
      <c r="H2521" s="145">
        <f>IF(OR(C2521="",AND(F2521="",G2521="")),"",SUMIF(基础资料!$W$5:$W$24,C2521,基础资料!$X$5:$X$24)+SUMIF(C$7:C2521,C2521,F$7:F2521)-SUMIF(C$7:C2521,C2521,G$7:G2521))</f>
      </c>
      <c r="I2521" s="145">
        <f>IF(AND(F2521="",G2521=""),"",SUM(基础资料!$X$5:$X$24)+SUM(F$7:F2521)-SUM(G$7:G2521))</f>
      </c>
      <c r="J2521" s="141" t="n"/>
      <c r="K2521" s="141" t="n"/>
      <c r="L2521" s="141" t="n"/>
      <c r="M2521" s="142" t="n"/>
      <c r="N2521" s="146">
        <f>IF(AND(AND(F2521="",G2521=""),B2521="",C2521="",D2521="",J2521="",K2521="",L2521=""),"",IF(AND(F2521="",G2521=""),"✗ 没填金额",IF(AND(N(F2521)&lt;&gt;0,N(G2521)&lt;&gt;0),"✗ 收入、支出只能填一边",IF(NOT(ISNUMBER(B2521)),"✗ 日期不是真日期（要像 2026/9/25 这样填）",IF(OR(B2521&lt;年初日,B2521&gt;年末日),"✗ 日期不在本会计年度",IF(C2521="","✗ 没选账户",IF(COUNTIF(基础资料!$W$5:$W$24,C2521)=0,"✗ 账户不在基础资料里",IF(O2521="","✗ 没选收支项目",IF(P2521="未知","✗ 收支项目不在基础资料里",IF(AND(P2521="应收",J2521=""),"✗ 这笔要选客户",IF(AND(P2521="应收",COUNTIF(总览汇总!$B$5:$B$304,J2521)=0),"✗ 客户不在总览汇总名单里",IF(AND(P2521="应付",K2521=""),"✗ 这笔要选供应商",IF(AND(P2521="应付",COUNTIF(基础资料!$Q$5:$Q$54,K2521)=0),"✗ 供应商不在基础资料里",IF(AND(P2521="费用",L2521=""),"✗ 费用支出要选费用项目",IF(AND(L2521&lt;&gt;"",COUNTIF(基础资料!$AI$5:$AI$54,L2521)=0),"✗ 费用项目不在基础资料里",IF(AND(IFERROR(INDEX(基础资料!$AD$5:$AD$34,MATCH(O2521,基础资料!$AC$5:$AC$34,0)),"")="收",N(G2521)&lt;&gt;0),"✗ 这类是收款，金额填到收入列",IF(AND(IFERROR(INDEX(基础资料!$AD$5:$AD$34,MATCH(O2521,基础资料!$AC$5:$AC$34,0)),"")="支",N(F2521)&lt;&gt;0),"✗ 这类是付款，金额填到支出列",IF(N(H2521)&lt;0,"⚠ 账户余额成负数了，核对一下","√"))))))))))))))))))</f>
      </c>
      <c r="O2521" s="78">
        <f>IF(D2521&lt;&gt;"",D2521,IF(AND(F2521="",G2521=""),"",IF(J2521&lt;&gt;"",IF(N(F2521)&gt;0,"客户回款","客户退款"),IF(K2521&lt;&gt;"",IF(N(G2521)&gt;0,"供应商付款","供应商退款"),IF(L2521&lt;&gt;"","费用支出","")))))</f>
      </c>
      <c r="P2521" s="78">
        <f>IF(O2521="","",IFERROR(INDEX(基础资料!$AE$5:$AE$34,MATCH(O2521,基础资料!$AC$5:$AC$34,0)),"未知"))</f>
      </c>
      <c r="Q2521" s="78">
        <f>IF(P2521="应收",COUNTIF(P$7:P2521,"应收"),"")</f>
      </c>
      <c r="R2521" s="78">
        <f>IF(P2521="应付",COUNTIF(P$7:P2521,"应付"),"")</f>
      </c>
      <c r="S2521" s="78">
        <f>N(F2521)-N(G2521)</f>
        <v>0</v>
      </c>
    </row>
    <row r="2522">
      <c r="A2522" s="109">
        <f>IF(AND(F2522="",G2522=""),"",ROW()-6)</f>
      </c>
      <c r="B2522" s="140" t="n"/>
      <c r="C2522" s="141" t="n"/>
      <c r="D2522" s="141" t="n"/>
      <c r="E2522" s="142" t="n"/>
      <c r="F2522" s="143" t="n"/>
      <c r="G2522" s="144" t="n"/>
      <c r="H2522" s="145">
        <f>IF(OR(C2522="",AND(F2522="",G2522="")),"",SUMIF(基础资料!$W$5:$W$24,C2522,基础资料!$X$5:$X$24)+SUMIF(C$7:C2522,C2522,F$7:F2522)-SUMIF(C$7:C2522,C2522,G$7:G2522))</f>
      </c>
      <c r="I2522" s="145">
        <f>IF(AND(F2522="",G2522=""),"",SUM(基础资料!$X$5:$X$24)+SUM(F$7:F2522)-SUM(G$7:G2522))</f>
      </c>
      <c r="J2522" s="141" t="n"/>
      <c r="K2522" s="141" t="n"/>
      <c r="L2522" s="141" t="n"/>
      <c r="M2522" s="142" t="n"/>
      <c r="N2522" s="146">
        <f>IF(AND(AND(F2522="",G2522=""),B2522="",C2522="",D2522="",J2522="",K2522="",L2522=""),"",IF(AND(F2522="",G2522=""),"✗ 没填金额",IF(AND(N(F2522)&lt;&gt;0,N(G2522)&lt;&gt;0),"✗ 收入、支出只能填一边",IF(NOT(ISNUMBER(B2522)),"✗ 日期不是真日期（要像 2026/9/25 这样填）",IF(OR(B2522&lt;年初日,B2522&gt;年末日),"✗ 日期不在本会计年度",IF(C2522="","✗ 没选账户",IF(COUNTIF(基础资料!$W$5:$W$24,C2522)=0,"✗ 账户不在基础资料里",IF(O2522="","✗ 没选收支项目",IF(P2522="未知","✗ 收支项目不在基础资料里",IF(AND(P2522="应收",J2522=""),"✗ 这笔要选客户",IF(AND(P2522="应收",COUNTIF(总览汇总!$B$5:$B$304,J2522)=0),"✗ 客户不在总览汇总名单里",IF(AND(P2522="应付",K2522=""),"✗ 这笔要选供应商",IF(AND(P2522="应付",COUNTIF(基础资料!$Q$5:$Q$54,K2522)=0),"✗ 供应商不在基础资料里",IF(AND(P2522="费用",L2522=""),"✗ 费用支出要选费用项目",IF(AND(L2522&lt;&gt;"",COUNTIF(基础资料!$AI$5:$AI$54,L2522)=0),"✗ 费用项目不在基础资料里",IF(AND(IFERROR(INDEX(基础资料!$AD$5:$AD$34,MATCH(O2522,基础资料!$AC$5:$AC$34,0)),"")="收",N(G2522)&lt;&gt;0),"✗ 这类是收款，金额填到收入列",IF(AND(IFERROR(INDEX(基础资料!$AD$5:$AD$34,MATCH(O2522,基础资料!$AC$5:$AC$34,0)),"")="支",N(F2522)&lt;&gt;0),"✗ 这类是付款，金额填到支出列",IF(N(H2522)&lt;0,"⚠ 账户余额成负数了，核对一下","√"))))))))))))))))))</f>
      </c>
      <c r="O2522" s="78">
        <f>IF(D2522&lt;&gt;"",D2522,IF(AND(F2522="",G2522=""),"",IF(J2522&lt;&gt;"",IF(N(F2522)&gt;0,"客户回款","客户退款"),IF(K2522&lt;&gt;"",IF(N(G2522)&gt;0,"供应商付款","供应商退款"),IF(L2522&lt;&gt;"","费用支出","")))))</f>
      </c>
      <c r="P2522" s="78">
        <f>IF(O2522="","",IFERROR(INDEX(基础资料!$AE$5:$AE$34,MATCH(O2522,基础资料!$AC$5:$AC$34,0)),"未知"))</f>
      </c>
      <c r="Q2522" s="78">
        <f>IF(P2522="应收",COUNTIF(P$7:P2522,"应收"),"")</f>
      </c>
      <c r="R2522" s="78">
        <f>IF(P2522="应付",COUNTIF(P$7:P2522,"应付"),"")</f>
      </c>
      <c r="S2522" s="78">
        <f>N(F2522)-N(G2522)</f>
        <v>0</v>
      </c>
    </row>
    <row r="2523">
      <c r="A2523" s="109">
        <f>IF(AND(F2523="",G2523=""),"",ROW()-6)</f>
      </c>
      <c r="B2523" s="140" t="n"/>
      <c r="C2523" s="141" t="n"/>
      <c r="D2523" s="141" t="n"/>
      <c r="E2523" s="142" t="n"/>
      <c r="F2523" s="143" t="n"/>
      <c r="G2523" s="144" t="n"/>
      <c r="H2523" s="145">
        <f>IF(OR(C2523="",AND(F2523="",G2523="")),"",SUMIF(基础资料!$W$5:$W$24,C2523,基础资料!$X$5:$X$24)+SUMIF(C$7:C2523,C2523,F$7:F2523)-SUMIF(C$7:C2523,C2523,G$7:G2523))</f>
      </c>
      <c r="I2523" s="145">
        <f>IF(AND(F2523="",G2523=""),"",SUM(基础资料!$X$5:$X$24)+SUM(F$7:F2523)-SUM(G$7:G2523))</f>
      </c>
      <c r="J2523" s="141" t="n"/>
      <c r="K2523" s="141" t="n"/>
      <c r="L2523" s="141" t="n"/>
      <c r="M2523" s="142" t="n"/>
      <c r="N2523" s="146">
        <f>IF(AND(AND(F2523="",G2523=""),B2523="",C2523="",D2523="",J2523="",K2523="",L2523=""),"",IF(AND(F2523="",G2523=""),"✗ 没填金额",IF(AND(N(F2523)&lt;&gt;0,N(G2523)&lt;&gt;0),"✗ 收入、支出只能填一边",IF(NOT(ISNUMBER(B2523)),"✗ 日期不是真日期（要像 2026/9/25 这样填）",IF(OR(B2523&lt;年初日,B2523&gt;年末日),"✗ 日期不在本会计年度",IF(C2523="","✗ 没选账户",IF(COUNTIF(基础资料!$W$5:$W$24,C2523)=0,"✗ 账户不在基础资料里",IF(O2523="","✗ 没选收支项目",IF(P2523="未知","✗ 收支项目不在基础资料里",IF(AND(P2523="应收",J2523=""),"✗ 这笔要选客户",IF(AND(P2523="应收",COUNTIF(总览汇总!$B$5:$B$304,J2523)=0),"✗ 客户不在总览汇总名单里",IF(AND(P2523="应付",K2523=""),"✗ 这笔要选供应商",IF(AND(P2523="应付",COUNTIF(基础资料!$Q$5:$Q$54,K2523)=0),"✗ 供应商不在基础资料里",IF(AND(P2523="费用",L2523=""),"✗ 费用支出要选费用项目",IF(AND(L2523&lt;&gt;"",COUNTIF(基础资料!$AI$5:$AI$54,L2523)=0),"✗ 费用项目不在基础资料里",IF(AND(IFERROR(INDEX(基础资料!$AD$5:$AD$34,MATCH(O2523,基础资料!$AC$5:$AC$34,0)),"")="收",N(G2523)&lt;&gt;0),"✗ 这类是收款，金额填到收入列",IF(AND(IFERROR(INDEX(基础资料!$AD$5:$AD$34,MATCH(O2523,基础资料!$AC$5:$AC$34,0)),"")="支",N(F2523)&lt;&gt;0),"✗ 这类是付款，金额填到支出列",IF(N(H2523)&lt;0,"⚠ 账户余额成负数了，核对一下","√"))))))))))))))))))</f>
      </c>
      <c r="O2523" s="78">
        <f>IF(D2523&lt;&gt;"",D2523,IF(AND(F2523="",G2523=""),"",IF(J2523&lt;&gt;"",IF(N(F2523)&gt;0,"客户回款","客户退款"),IF(K2523&lt;&gt;"",IF(N(G2523)&gt;0,"供应商付款","供应商退款"),IF(L2523&lt;&gt;"","费用支出","")))))</f>
      </c>
      <c r="P2523" s="78">
        <f>IF(O2523="","",IFERROR(INDEX(基础资料!$AE$5:$AE$34,MATCH(O2523,基础资料!$AC$5:$AC$34,0)),"未知"))</f>
      </c>
      <c r="Q2523" s="78">
        <f>IF(P2523="应收",COUNTIF(P$7:P2523,"应收"),"")</f>
      </c>
      <c r="R2523" s="78">
        <f>IF(P2523="应付",COUNTIF(P$7:P2523,"应付"),"")</f>
      </c>
      <c r="S2523" s="78">
        <f>N(F2523)-N(G2523)</f>
        <v>0</v>
      </c>
    </row>
    <row r="2524">
      <c r="A2524" s="109">
        <f>IF(AND(F2524="",G2524=""),"",ROW()-6)</f>
      </c>
      <c r="B2524" s="140" t="n"/>
      <c r="C2524" s="141" t="n"/>
      <c r="D2524" s="141" t="n"/>
      <c r="E2524" s="142" t="n"/>
      <c r="F2524" s="143" t="n"/>
      <c r="G2524" s="144" t="n"/>
      <c r="H2524" s="145">
        <f>IF(OR(C2524="",AND(F2524="",G2524="")),"",SUMIF(基础资料!$W$5:$W$24,C2524,基础资料!$X$5:$X$24)+SUMIF(C$7:C2524,C2524,F$7:F2524)-SUMIF(C$7:C2524,C2524,G$7:G2524))</f>
      </c>
      <c r="I2524" s="145">
        <f>IF(AND(F2524="",G2524=""),"",SUM(基础资料!$X$5:$X$24)+SUM(F$7:F2524)-SUM(G$7:G2524))</f>
      </c>
      <c r="J2524" s="141" t="n"/>
      <c r="K2524" s="141" t="n"/>
      <c r="L2524" s="141" t="n"/>
      <c r="M2524" s="142" t="n"/>
      <c r="N2524" s="146">
        <f>IF(AND(AND(F2524="",G2524=""),B2524="",C2524="",D2524="",J2524="",K2524="",L2524=""),"",IF(AND(F2524="",G2524=""),"✗ 没填金额",IF(AND(N(F2524)&lt;&gt;0,N(G2524)&lt;&gt;0),"✗ 收入、支出只能填一边",IF(NOT(ISNUMBER(B2524)),"✗ 日期不是真日期（要像 2026/9/25 这样填）",IF(OR(B2524&lt;年初日,B2524&gt;年末日),"✗ 日期不在本会计年度",IF(C2524="","✗ 没选账户",IF(COUNTIF(基础资料!$W$5:$W$24,C2524)=0,"✗ 账户不在基础资料里",IF(O2524="","✗ 没选收支项目",IF(P2524="未知","✗ 收支项目不在基础资料里",IF(AND(P2524="应收",J2524=""),"✗ 这笔要选客户",IF(AND(P2524="应收",COUNTIF(总览汇总!$B$5:$B$304,J2524)=0),"✗ 客户不在总览汇总名单里",IF(AND(P2524="应付",K2524=""),"✗ 这笔要选供应商",IF(AND(P2524="应付",COUNTIF(基础资料!$Q$5:$Q$54,K2524)=0),"✗ 供应商不在基础资料里",IF(AND(P2524="费用",L2524=""),"✗ 费用支出要选费用项目",IF(AND(L2524&lt;&gt;"",COUNTIF(基础资料!$AI$5:$AI$54,L2524)=0),"✗ 费用项目不在基础资料里",IF(AND(IFERROR(INDEX(基础资料!$AD$5:$AD$34,MATCH(O2524,基础资料!$AC$5:$AC$34,0)),"")="收",N(G2524)&lt;&gt;0),"✗ 这类是收款，金额填到收入列",IF(AND(IFERROR(INDEX(基础资料!$AD$5:$AD$34,MATCH(O2524,基础资料!$AC$5:$AC$34,0)),"")="支",N(F2524)&lt;&gt;0),"✗ 这类是付款，金额填到支出列",IF(N(H2524)&lt;0,"⚠ 账户余额成负数了，核对一下","√"))))))))))))))))))</f>
      </c>
      <c r="O2524" s="78">
        <f>IF(D2524&lt;&gt;"",D2524,IF(AND(F2524="",G2524=""),"",IF(J2524&lt;&gt;"",IF(N(F2524)&gt;0,"客户回款","客户退款"),IF(K2524&lt;&gt;"",IF(N(G2524)&gt;0,"供应商付款","供应商退款"),IF(L2524&lt;&gt;"","费用支出","")))))</f>
      </c>
      <c r="P2524" s="78">
        <f>IF(O2524="","",IFERROR(INDEX(基础资料!$AE$5:$AE$34,MATCH(O2524,基础资料!$AC$5:$AC$34,0)),"未知"))</f>
      </c>
      <c r="Q2524" s="78">
        <f>IF(P2524="应收",COUNTIF(P$7:P2524,"应收"),"")</f>
      </c>
      <c r="R2524" s="78">
        <f>IF(P2524="应付",COUNTIF(P$7:P2524,"应付"),"")</f>
      </c>
      <c r="S2524" s="78">
        <f>N(F2524)-N(G2524)</f>
        <v>0</v>
      </c>
    </row>
    <row r="2525">
      <c r="A2525" s="109">
        <f>IF(AND(F2525="",G2525=""),"",ROW()-6)</f>
      </c>
      <c r="B2525" s="140" t="n"/>
      <c r="C2525" s="141" t="n"/>
      <c r="D2525" s="141" t="n"/>
      <c r="E2525" s="142" t="n"/>
      <c r="F2525" s="143" t="n"/>
      <c r="G2525" s="144" t="n"/>
      <c r="H2525" s="145">
        <f>IF(OR(C2525="",AND(F2525="",G2525="")),"",SUMIF(基础资料!$W$5:$W$24,C2525,基础资料!$X$5:$X$24)+SUMIF(C$7:C2525,C2525,F$7:F2525)-SUMIF(C$7:C2525,C2525,G$7:G2525))</f>
      </c>
      <c r="I2525" s="145">
        <f>IF(AND(F2525="",G2525=""),"",SUM(基础资料!$X$5:$X$24)+SUM(F$7:F2525)-SUM(G$7:G2525))</f>
      </c>
      <c r="J2525" s="141" t="n"/>
      <c r="K2525" s="141" t="n"/>
      <c r="L2525" s="141" t="n"/>
      <c r="M2525" s="142" t="n"/>
      <c r="N2525" s="146">
        <f>IF(AND(AND(F2525="",G2525=""),B2525="",C2525="",D2525="",J2525="",K2525="",L2525=""),"",IF(AND(F2525="",G2525=""),"✗ 没填金额",IF(AND(N(F2525)&lt;&gt;0,N(G2525)&lt;&gt;0),"✗ 收入、支出只能填一边",IF(NOT(ISNUMBER(B2525)),"✗ 日期不是真日期（要像 2026/9/25 这样填）",IF(OR(B2525&lt;年初日,B2525&gt;年末日),"✗ 日期不在本会计年度",IF(C2525="","✗ 没选账户",IF(COUNTIF(基础资料!$W$5:$W$24,C2525)=0,"✗ 账户不在基础资料里",IF(O2525="","✗ 没选收支项目",IF(P2525="未知","✗ 收支项目不在基础资料里",IF(AND(P2525="应收",J2525=""),"✗ 这笔要选客户",IF(AND(P2525="应收",COUNTIF(总览汇总!$B$5:$B$304,J2525)=0),"✗ 客户不在总览汇总名单里",IF(AND(P2525="应付",K2525=""),"✗ 这笔要选供应商",IF(AND(P2525="应付",COUNTIF(基础资料!$Q$5:$Q$54,K2525)=0),"✗ 供应商不在基础资料里",IF(AND(P2525="费用",L2525=""),"✗ 费用支出要选费用项目",IF(AND(L2525&lt;&gt;"",COUNTIF(基础资料!$AI$5:$AI$54,L2525)=0),"✗ 费用项目不在基础资料里",IF(AND(IFERROR(INDEX(基础资料!$AD$5:$AD$34,MATCH(O2525,基础资料!$AC$5:$AC$34,0)),"")="收",N(G2525)&lt;&gt;0),"✗ 这类是收款，金额填到收入列",IF(AND(IFERROR(INDEX(基础资料!$AD$5:$AD$34,MATCH(O2525,基础资料!$AC$5:$AC$34,0)),"")="支",N(F2525)&lt;&gt;0),"✗ 这类是付款，金额填到支出列",IF(N(H2525)&lt;0,"⚠ 账户余额成负数了，核对一下","√"))))))))))))))))))</f>
      </c>
      <c r="O2525" s="78">
        <f>IF(D2525&lt;&gt;"",D2525,IF(AND(F2525="",G2525=""),"",IF(J2525&lt;&gt;"",IF(N(F2525)&gt;0,"客户回款","客户退款"),IF(K2525&lt;&gt;"",IF(N(G2525)&gt;0,"供应商付款","供应商退款"),IF(L2525&lt;&gt;"","费用支出","")))))</f>
      </c>
      <c r="P2525" s="78">
        <f>IF(O2525="","",IFERROR(INDEX(基础资料!$AE$5:$AE$34,MATCH(O2525,基础资料!$AC$5:$AC$34,0)),"未知"))</f>
      </c>
      <c r="Q2525" s="78">
        <f>IF(P2525="应收",COUNTIF(P$7:P2525,"应收"),"")</f>
      </c>
      <c r="R2525" s="78">
        <f>IF(P2525="应付",COUNTIF(P$7:P2525,"应付"),"")</f>
      </c>
      <c r="S2525" s="78">
        <f>N(F2525)-N(G2525)</f>
        <v>0</v>
      </c>
    </row>
    <row r="2526">
      <c r="A2526" s="109">
        <f>IF(AND(F2526="",G2526=""),"",ROW()-6)</f>
      </c>
      <c r="B2526" s="140" t="n"/>
      <c r="C2526" s="141" t="n"/>
      <c r="D2526" s="141" t="n"/>
      <c r="E2526" s="142" t="n"/>
      <c r="F2526" s="143" t="n"/>
      <c r="G2526" s="144" t="n"/>
      <c r="H2526" s="145">
        <f>IF(OR(C2526="",AND(F2526="",G2526="")),"",SUMIF(基础资料!$W$5:$W$24,C2526,基础资料!$X$5:$X$24)+SUMIF(C$7:C2526,C2526,F$7:F2526)-SUMIF(C$7:C2526,C2526,G$7:G2526))</f>
      </c>
      <c r="I2526" s="145">
        <f>IF(AND(F2526="",G2526=""),"",SUM(基础资料!$X$5:$X$24)+SUM(F$7:F2526)-SUM(G$7:G2526))</f>
      </c>
      <c r="J2526" s="141" t="n"/>
      <c r="K2526" s="141" t="n"/>
      <c r="L2526" s="141" t="n"/>
      <c r="M2526" s="142" t="n"/>
      <c r="N2526" s="146">
        <f>IF(AND(AND(F2526="",G2526=""),B2526="",C2526="",D2526="",J2526="",K2526="",L2526=""),"",IF(AND(F2526="",G2526=""),"✗ 没填金额",IF(AND(N(F2526)&lt;&gt;0,N(G2526)&lt;&gt;0),"✗ 收入、支出只能填一边",IF(NOT(ISNUMBER(B2526)),"✗ 日期不是真日期（要像 2026/9/25 这样填）",IF(OR(B2526&lt;年初日,B2526&gt;年末日),"✗ 日期不在本会计年度",IF(C2526="","✗ 没选账户",IF(COUNTIF(基础资料!$W$5:$W$24,C2526)=0,"✗ 账户不在基础资料里",IF(O2526="","✗ 没选收支项目",IF(P2526="未知","✗ 收支项目不在基础资料里",IF(AND(P2526="应收",J2526=""),"✗ 这笔要选客户",IF(AND(P2526="应收",COUNTIF(总览汇总!$B$5:$B$304,J2526)=0),"✗ 客户不在总览汇总名单里",IF(AND(P2526="应付",K2526=""),"✗ 这笔要选供应商",IF(AND(P2526="应付",COUNTIF(基础资料!$Q$5:$Q$54,K2526)=0),"✗ 供应商不在基础资料里",IF(AND(P2526="费用",L2526=""),"✗ 费用支出要选费用项目",IF(AND(L2526&lt;&gt;"",COUNTIF(基础资料!$AI$5:$AI$54,L2526)=0),"✗ 费用项目不在基础资料里",IF(AND(IFERROR(INDEX(基础资料!$AD$5:$AD$34,MATCH(O2526,基础资料!$AC$5:$AC$34,0)),"")="收",N(G2526)&lt;&gt;0),"✗ 这类是收款，金额填到收入列",IF(AND(IFERROR(INDEX(基础资料!$AD$5:$AD$34,MATCH(O2526,基础资料!$AC$5:$AC$34,0)),"")="支",N(F2526)&lt;&gt;0),"✗ 这类是付款，金额填到支出列",IF(N(H2526)&lt;0,"⚠ 账户余额成负数了，核对一下","√"))))))))))))))))))</f>
      </c>
      <c r="O2526" s="78">
        <f>IF(D2526&lt;&gt;"",D2526,IF(AND(F2526="",G2526=""),"",IF(J2526&lt;&gt;"",IF(N(F2526)&gt;0,"客户回款","客户退款"),IF(K2526&lt;&gt;"",IF(N(G2526)&gt;0,"供应商付款","供应商退款"),IF(L2526&lt;&gt;"","费用支出","")))))</f>
      </c>
      <c r="P2526" s="78">
        <f>IF(O2526="","",IFERROR(INDEX(基础资料!$AE$5:$AE$34,MATCH(O2526,基础资料!$AC$5:$AC$34,0)),"未知"))</f>
      </c>
      <c r="Q2526" s="78">
        <f>IF(P2526="应收",COUNTIF(P$7:P2526,"应收"),"")</f>
      </c>
      <c r="R2526" s="78">
        <f>IF(P2526="应付",COUNTIF(P$7:P2526,"应付"),"")</f>
      </c>
      <c r="S2526" s="78">
        <f>N(F2526)-N(G2526)</f>
        <v>0</v>
      </c>
    </row>
    <row r="2527">
      <c r="A2527" s="109">
        <f>IF(AND(F2527="",G2527=""),"",ROW()-6)</f>
      </c>
      <c r="B2527" s="140" t="n"/>
      <c r="C2527" s="141" t="n"/>
      <c r="D2527" s="141" t="n"/>
      <c r="E2527" s="142" t="n"/>
      <c r="F2527" s="143" t="n"/>
      <c r="G2527" s="144" t="n"/>
      <c r="H2527" s="145">
        <f>IF(OR(C2527="",AND(F2527="",G2527="")),"",SUMIF(基础资料!$W$5:$W$24,C2527,基础资料!$X$5:$X$24)+SUMIF(C$7:C2527,C2527,F$7:F2527)-SUMIF(C$7:C2527,C2527,G$7:G2527))</f>
      </c>
      <c r="I2527" s="145">
        <f>IF(AND(F2527="",G2527=""),"",SUM(基础资料!$X$5:$X$24)+SUM(F$7:F2527)-SUM(G$7:G2527))</f>
      </c>
      <c r="J2527" s="141" t="n"/>
      <c r="K2527" s="141" t="n"/>
      <c r="L2527" s="141" t="n"/>
      <c r="M2527" s="142" t="n"/>
      <c r="N2527" s="146">
        <f>IF(AND(AND(F2527="",G2527=""),B2527="",C2527="",D2527="",J2527="",K2527="",L2527=""),"",IF(AND(F2527="",G2527=""),"✗ 没填金额",IF(AND(N(F2527)&lt;&gt;0,N(G2527)&lt;&gt;0),"✗ 收入、支出只能填一边",IF(NOT(ISNUMBER(B2527)),"✗ 日期不是真日期（要像 2026/9/25 这样填）",IF(OR(B2527&lt;年初日,B2527&gt;年末日),"✗ 日期不在本会计年度",IF(C2527="","✗ 没选账户",IF(COUNTIF(基础资料!$W$5:$W$24,C2527)=0,"✗ 账户不在基础资料里",IF(O2527="","✗ 没选收支项目",IF(P2527="未知","✗ 收支项目不在基础资料里",IF(AND(P2527="应收",J2527=""),"✗ 这笔要选客户",IF(AND(P2527="应收",COUNTIF(总览汇总!$B$5:$B$304,J2527)=0),"✗ 客户不在总览汇总名单里",IF(AND(P2527="应付",K2527=""),"✗ 这笔要选供应商",IF(AND(P2527="应付",COUNTIF(基础资料!$Q$5:$Q$54,K2527)=0),"✗ 供应商不在基础资料里",IF(AND(P2527="费用",L2527=""),"✗ 费用支出要选费用项目",IF(AND(L2527&lt;&gt;"",COUNTIF(基础资料!$AI$5:$AI$54,L2527)=0),"✗ 费用项目不在基础资料里",IF(AND(IFERROR(INDEX(基础资料!$AD$5:$AD$34,MATCH(O2527,基础资料!$AC$5:$AC$34,0)),"")="收",N(G2527)&lt;&gt;0),"✗ 这类是收款，金额填到收入列",IF(AND(IFERROR(INDEX(基础资料!$AD$5:$AD$34,MATCH(O2527,基础资料!$AC$5:$AC$34,0)),"")="支",N(F2527)&lt;&gt;0),"✗ 这类是付款，金额填到支出列",IF(N(H2527)&lt;0,"⚠ 账户余额成负数了，核对一下","√"))))))))))))))))))</f>
      </c>
      <c r="O2527" s="78">
        <f>IF(D2527&lt;&gt;"",D2527,IF(AND(F2527="",G2527=""),"",IF(J2527&lt;&gt;"",IF(N(F2527)&gt;0,"客户回款","客户退款"),IF(K2527&lt;&gt;"",IF(N(G2527)&gt;0,"供应商付款","供应商退款"),IF(L2527&lt;&gt;"","费用支出","")))))</f>
      </c>
      <c r="P2527" s="78">
        <f>IF(O2527="","",IFERROR(INDEX(基础资料!$AE$5:$AE$34,MATCH(O2527,基础资料!$AC$5:$AC$34,0)),"未知"))</f>
      </c>
      <c r="Q2527" s="78">
        <f>IF(P2527="应收",COUNTIF(P$7:P2527,"应收"),"")</f>
      </c>
      <c r="R2527" s="78">
        <f>IF(P2527="应付",COUNTIF(P$7:P2527,"应付"),"")</f>
      </c>
      <c r="S2527" s="78">
        <f>N(F2527)-N(G2527)</f>
        <v>0</v>
      </c>
    </row>
    <row r="2528">
      <c r="A2528" s="109">
        <f>IF(AND(F2528="",G2528=""),"",ROW()-6)</f>
      </c>
      <c r="B2528" s="140" t="n"/>
      <c r="C2528" s="141" t="n"/>
      <c r="D2528" s="141" t="n"/>
      <c r="E2528" s="142" t="n"/>
      <c r="F2528" s="143" t="n"/>
      <c r="G2528" s="144" t="n"/>
      <c r="H2528" s="145">
        <f>IF(OR(C2528="",AND(F2528="",G2528="")),"",SUMIF(基础资料!$W$5:$W$24,C2528,基础资料!$X$5:$X$24)+SUMIF(C$7:C2528,C2528,F$7:F2528)-SUMIF(C$7:C2528,C2528,G$7:G2528))</f>
      </c>
      <c r="I2528" s="145">
        <f>IF(AND(F2528="",G2528=""),"",SUM(基础资料!$X$5:$X$24)+SUM(F$7:F2528)-SUM(G$7:G2528))</f>
      </c>
      <c r="J2528" s="141" t="n"/>
      <c r="K2528" s="141" t="n"/>
      <c r="L2528" s="141" t="n"/>
      <c r="M2528" s="142" t="n"/>
      <c r="N2528" s="146">
        <f>IF(AND(AND(F2528="",G2528=""),B2528="",C2528="",D2528="",J2528="",K2528="",L2528=""),"",IF(AND(F2528="",G2528=""),"✗ 没填金额",IF(AND(N(F2528)&lt;&gt;0,N(G2528)&lt;&gt;0),"✗ 收入、支出只能填一边",IF(NOT(ISNUMBER(B2528)),"✗ 日期不是真日期（要像 2026/9/25 这样填）",IF(OR(B2528&lt;年初日,B2528&gt;年末日),"✗ 日期不在本会计年度",IF(C2528="","✗ 没选账户",IF(COUNTIF(基础资料!$W$5:$W$24,C2528)=0,"✗ 账户不在基础资料里",IF(O2528="","✗ 没选收支项目",IF(P2528="未知","✗ 收支项目不在基础资料里",IF(AND(P2528="应收",J2528=""),"✗ 这笔要选客户",IF(AND(P2528="应收",COUNTIF(总览汇总!$B$5:$B$304,J2528)=0),"✗ 客户不在总览汇总名单里",IF(AND(P2528="应付",K2528=""),"✗ 这笔要选供应商",IF(AND(P2528="应付",COUNTIF(基础资料!$Q$5:$Q$54,K2528)=0),"✗ 供应商不在基础资料里",IF(AND(P2528="费用",L2528=""),"✗ 费用支出要选费用项目",IF(AND(L2528&lt;&gt;"",COUNTIF(基础资料!$AI$5:$AI$54,L2528)=0),"✗ 费用项目不在基础资料里",IF(AND(IFERROR(INDEX(基础资料!$AD$5:$AD$34,MATCH(O2528,基础资料!$AC$5:$AC$34,0)),"")="收",N(G2528)&lt;&gt;0),"✗ 这类是收款，金额填到收入列",IF(AND(IFERROR(INDEX(基础资料!$AD$5:$AD$34,MATCH(O2528,基础资料!$AC$5:$AC$34,0)),"")="支",N(F2528)&lt;&gt;0),"✗ 这类是付款，金额填到支出列",IF(N(H2528)&lt;0,"⚠ 账户余额成负数了，核对一下","√"))))))))))))))))))</f>
      </c>
      <c r="O2528" s="78">
        <f>IF(D2528&lt;&gt;"",D2528,IF(AND(F2528="",G2528=""),"",IF(J2528&lt;&gt;"",IF(N(F2528)&gt;0,"客户回款","客户退款"),IF(K2528&lt;&gt;"",IF(N(G2528)&gt;0,"供应商付款","供应商退款"),IF(L2528&lt;&gt;"","费用支出","")))))</f>
      </c>
      <c r="P2528" s="78">
        <f>IF(O2528="","",IFERROR(INDEX(基础资料!$AE$5:$AE$34,MATCH(O2528,基础资料!$AC$5:$AC$34,0)),"未知"))</f>
      </c>
      <c r="Q2528" s="78">
        <f>IF(P2528="应收",COUNTIF(P$7:P2528,"应收"),"")</f>
      </c>
      <c r="R2528" s="78">
        <f>IF(P2528="应付",COUNTIF(P$7:P2528,"应付"),"")</f>
      </c>
      <c r="S2528" s="78">
        <f>N(F2528)-N(G2528)</f>
        <v>0</v>
      </c>
    </row>
    <row r="2529">
      <c r="A2529" s="109">
        <f>IF(AND(F2529="",G2529=""),"",ROW()-6)</f>
      </c>
      <c r="B2529" s="140" t="n"/>
      <c r="C2529" s="141" t="n"/>
      <c r="D2529" s="141" t="n"/>
      <c r="E2529" s="142" t="n"/>
      <c r="F2529" s="143" t="n"/>
      <c r="G2529" s="144" t="n"/>
      <c r="H2529" s="145">
        <f>IF(OR(C2529="",AND(F2529="",G2529="")),"",SUMIF(基础资料!$W$5:$W$24,C2529,基础资料!$X$5:$X$24)+SUMIF(C$7:C2529,C2529,F$7:F2529)-SUMIF(C$7:C2529,C2529,G$7:G2529))</f>
      </c>
      <c r="I2529" s="145">
        <f>IF(AND(F2529="",G2529=""),"",SUM(基础资料!$X$5:$X$24)+SUM(F$7:F2529)-SUM(G$7:G2529))</f>
      </c>
      <c r="J2529" s="141" t="n"/>
      <c r="K2529" s="141" t="n"/>
      <c r="L2529" s="141" t="n"/>
      <c r="M2529" s="142" t="n"/>
      <c r="N2529" s="146">
        <f>IF(AND(AND(F2529="",G2529=""),B2529="",C2529="",D2529="",J2529="",K2529="",L2529=""),"",IF(AND(F2529="",G2529=""),"✗ 没填金额",IF(AND(N(F2529)&lt;&gt;0,N(G2529)&lt;&gt;0),"✗ 收入、支出只能填一边",IF(NOT(ISNUMBER(B2529)),"✗ 日期不是真日期（要像 2026/9/25 这样填）",IF(OR(B2529&lt;年初日,B2529&gt;年末日),"✗ 日期不在本会计年度",IF(C2529="","✗ 没选账户",IF(COUNTIF(基础资料!$W$5:$W$24,C2529)=0,"✗ 账户不在基础资料里",IF(O2529="","✗ 没选收支项目",IF(P2529="未知","✗ 收支项目不在基础资料里",IF(AND(P2529="应收",J2529=""),"✗ 这笔要选客户",IF(AND(P2529="应收",COUNTIF(总览汇总!$B$5:$B$304,J2529)=0),"✗ 客户不在总览汇总名单里",IF(AND(P2529="应付",K2529=""),"✗ 这笔要选供应商",IF(AND(P2529="应付",COUNTIF(基础资料!$Q$5:$Q$54,K2529)=0),"✗ 供应商不在基础资料里",IF(AND(P2529="费用",L2529=""),"✗ 费用支出要选费用项目",IF(AND(L2529&lt;&gt;"",COUNTIF(基础资料!$AI$5:$AI$54,L2529)=0),"✗ 费用项目不在基础资料里",IF(AND(IFERROR(INDEX(基础资料!$AD$5:$AD$34,MATCH(O2529,基础资料!$AC$5:$AC$34,0)),"")="收",N(G2529)&lt;&gt;0),"✗ 这类是收款，金额填到收入列",IF(AND(IFERROR(INDEX(基础资料!$AD$5:$AD$34,MATCH(O2529,基础资料!$AC$5:$AC$34,0)),"")="支",N(F2529)&lt;&gt;0),"✗ 这类是付款，金额填到支出列",IF(N(H2529)&lt;0,"⚠ 账户余额成负数了，核对一下","√"))))))))))))))))))</f>
      </c>
      <c r="O2529" s="78">
        <f>IF(D2529&lt;&gt;"",D2529,IF(AND(F2529="",G2529=""),"",IF(J2529&lt;&gt;"",IF(N(F2529)&gt;0,"客户回款","客户退款"),IF(K2529&lt;&gt;"",IF(N(G2529)&gt;0,"供应商付款","供应商退款"),IF(L2529&lt;&gt;"","费用支出","")))))</f>
      </c>
      <c r="P2529" s="78">
        <f>IF(O2529="","",IFERROR(INDEX(基础资料!$AE$5:$AE$34,MATCH(O2529,基础资料!$AC$5:$AC$34,0)),"未知"))</f>
      </c>
      <c r="Q2529" s="78">
        <f>IF(P2529="应收",COUNTIF(P$7:P2529,"应收"),"")</f>
      </c>
      <c r="R2529" s="78">
        <f>IF(P2529="应付",COUNTIF(P$7:P2529,"应付"),"")</f>
      </c>
      <c r="S2529" s="78">
        <f>N(F2529)-N(G2529)</f>
        <v>0</v>
      </c>
    </row>
    <row r="2530">
      <c r="A2530" s="109">
        <f>IF(AND(F2530="",G2530=""),"",ROW()-6)</f>
      </c>
      <c r="B2530" s="140" t="n"/>
      <c r="C2530" s="141" t="n"/>
      <c r="D2530" s="141" t="n"/>
      <c r="E2530" s="142" t="n"/>
      <c r="F2530" s="143" t="n"/>
      <c r="G2530" s="144" t="n"/>
      <c r="H2530" s="145">
        <f>IF(OR(C2530="",AND(F2530="",G2530="")),"",SUMIF(基础资料!$W$5:$W$24,C2530,基础资料!$X$5:$X$24)+SUMIF(C$7:C2530,C2530,F$7:F2530)-SUMIF(C$7:C2530,C2530,G$7:G2530))</f>
      </c>
      <c r="I2530" s="145">
        <f>IF(AND(F2530="",G2530=""),"",SUM(基础资料!$X$5:$X$24)+SUM(F$7:F2530)-SUM(G$7:G2530))</f>
      </c>
      <c r="J2530" s="141" t="n"/>
      <c r="K2530" s="141" t="n"/>
      <c r="L2530" s="141" t="n"/>
      <c r="M2530" s="142" t="n"/>
      <c r="N2530" s="146">
        <f>IF(AND(AND(F2530="",G2530=""),B2530="",C2530="",D2530="",J2530="",K2530="",L2530=""),"",IF(AND(F2530="",G2530=""),"✗ 没填金额",IF(AND(N(F2530)&lt;&gt;0,N(G2530)&lt;&gt;0),"✗ 收入、支出只能填一边",IF(NOT(ISNUMBER(B2530)),"✗ 日期不是真日期（要像 2026/9/25 这样填）",IF(OR(B2530&lt;年初日,B2530&gt;年末日),"✗ 日期不在本会计年度",IF(C2530="","✗ 没选账户",IF(COUNTIF(基础资料!$W$5:$W$24,C2530)=0,"✗ 账户不在基础资料里",IF(O2530="","✗ 没选收支项目",IF(P2530="未知","✗ 收支项目不在基础资料里",IF(AND(P2530="应收",J2530=""),"✗ 这笔要选客户",IF(AND(P2530="应收",COUNTIF(总览汇总!$B$5:$B$304,J2530)=0),"✗ 客户不在总览汇总名单里",IF(AND(P2530="应付",K2530=""),"✗ 这笔要选供应商",IF(AND(P2530="应付",COUNTIF(基础资料!$Q$5:$Q$54,K2530)=0),"✗ 供应商不在基础资料里",IF(AND(P2530="费用",L2530=""),"✗ 费用支出要选费用项目",IF(AND(L2530&lt;&gt;"",COUNTIF(基础资料!$AI$5:$AI$54,L2530)=0),"✗ 费用项目不在基础资料里",IF(AND(IFERROR(INDEX(基础资料!$AD$5:$AD$34,MATCH(O2530,基础资料!$AC$5:$AC$34,0)),"")="收",N(G2530)&lt;&gt;0),"✗ 这类是收款，金额填到收入列",IF(AND(IFERROR(INDEX(基础资料!$AD$5:$AD$34,MATCH(O2530,基础资料!$AC$5:$AC$34,0)),"")="支",N(F2530)&lt;&gt;0),"✗ 这类是付款，金额填到支出列",IF(N(H2530)&lt;0,"⚠ 账户余额成负数了，核对一下","√"))))))))))))))))))</f>
      </c>
      <c r="O2530" s="78">
        <f>IF(D2530&lt;&gt;"",D2530,IF(AND(F2530="",G2530=""),"",IF(J2530&lt;&gt;"",IF(N(F2530)&gt;0,"客户回款","客户退款"),IF(K2530&lt;&gt;"",IF(N(G2530)&gt;0,"供应商付款","供应商退款"),IF(L2530&lt;&gt;"","费用支出","")))))</f>
      </c>
      <c r="P2530" s="78">
        <f>IF(O2530="","",IFERROR(INDEX(基础资料!$AE$5:$AE$34,MATCH(O2530,基础资料!$AC$5:$AC$34,0)),"未知"))</f>
      </c>
      <c r="Q2530" s="78">
        <f>IF(P2530="应收",COUNTIF(P$7:P2530,"应收"),"")</f>
      </c>
      <c r="R2530" s="78">
        <f>IF(P2530="应付",COUNTIF(P$7:P2530,"应付"),"")</f>
      </c>
      <c r="S2530" s="78">
        <f>N(F2530)-N(G2530)</f>
        <v>0</v>
      </c>
    </row>
    <row r="2531">
      <c r="A2531" s="109">
        <f>IF(AND(F2531="",G2531=""),"",ROW()-6)</f>
      </c>
      <c r="B2531" s="140" t="n"/>
      <c r="C2531" s="141" t="n"/>
      <c r="D2531" s="141" t="n"/>
      <c r="E2531" s="142" t="n"/>
      <c r="F2531" s="143" t="n"/>
      <c r="G2531" s="144" t="n"/>
      <c r="H2531" s="145">
        <f>IF(OR(C2531="",AND(F2531="",G2531="")),"",SUMIF(基础资料!$W$5:$W$24,C2531,基础资料!$X$5:$X$24)+SUMIF(C$7:C2531,C2531,F$7:F2531)-SUMIF(C$7:C2531,C2531,G$7:G2531))</f>
      </c>
      <c r="I2531" s="145">
        <f>IF(AND(F2531="",G2531=""),"",SUM(基础资料!$X$5:$X$24)+SUM(F$7:F2531)-SUM(G$7:G2531))</f>
      </c>
      <c r="J2531" s="141" t="n"/>
      <c r="K2531" s="141" t="n"/>
      <c r="L2531" s="141" t="n"/>
      <c r="M2531" s="142" t="n"/>
      <c r="N2531" s="146">
        <f>IF(AND(AND(F2531="",G2531=""),B2531="",C2531="",D2531="",J2531="",K2531="",L2531=""),"",IF(AND(F2531="",G2531=""),"✗ 没填金额",IF(AND(N(F2531)&lt;&gt;0,N(G2531)&lt;&gt;0),"✗ 收入、支出只能填一边",IF(NOT(ISNUMBER(B2531)),"✗ 日期不是真日期（要像 2026/9/25 这样填）",IF(OR(B2531&lt;年初日,B2531&gt;年末日),"✗ 日期不在本会计年度",IF(C2531="","✗ 没选账户",IF(COUNTIF(基础资料!$W$5:$W$24,C2531)=0,"✗ 账户不在基础资料里",IF(O2531="","✗ 没选收支项目",IF(P2531="未知","✗ 收支项目不在基础资料里",IF(AND(P2531="应收",J2531=""),"✗ 这笔要选客户",IF(AND(P2531="应收",COUNTIF(总览汇总!$B$5:$B$304,J2531)=0),"✗ 客户不在总览汇总名单里",IF(AND(P2531="应付",K2531=""),"✗ 这笔要选供应商",IF(AND(P2531="应付",COUNTIF(基础资料!$Q$5:$Q$54,K2531)=0),"✗ 供应商不在基础资料里",IF(AND(P2531="费用",L2531=""),"✗ 费用支出要选费用项目",IF(AND(L2531&lt;&gt;"",COUNTIF(基础资料!$AI$5:$AI$54,L2531)=0),"✗ 费用项目不在基础资料里",IF(AND(IFERROR(INDEX(基础资料!$AD$5:$AD$34,MATCH(O2531,基础资料!$AC$5:$AC$34,0)),"")="收",N(G2531)&lt;&gt;0),"✗ 这类是收款，金额填到收入列",IF(AND(IFERROR(INDEX(基础资料!$AD$5:$AD$34,MATCH(O2531,基础资料!$AC$5:$AC$34,0)),"")="支",N(F2531)&lt;&gt;0),"✗ 这类是付款，金额填到支出列",IF(N(H2531)&lt;0,"⚠ 账户余额成负数了，核对一下","√"))))))))))))))))))</f>
      </c>
      <c r="O2531" s="78">
        <f>IF(D2531&lt;&gt;"",D2531,IF(AND(F2531="",G2531=""),"",IF(J2531&lt;&gt;"",IF(N(F2531)&gt;0,"客户回款","客户退款"),IF(K2531&lt;&gt;"",IF(N(G2531)&gt;0,"供应商付款","供应商退款"),IF(L2531&lt;&gt;"","费用支出","")))))</f>
      </c>
      <c r="P2531" s="78">
        <f>IF(O2531="","",IFERROR(INDEX(基础资料!$AE$5:$AE$34,MATCH(O2531,基础资料!$AC$5:$AC$34,0)),"未知"))</f>
      </c>
      <c r="Q2531" s="78">
        <f>IF(P2531="应收",COUNTIF(P$7:P2531,"应收"),"")</f>
      </c>
      <c r="R2531" s="78">
        <f>IF(P2531="应付",COUNTIF(P$7:P2531,"应付"),"")</f>
      </c>
      <c r="S2531" s="78">
        <f>N(F2531)-N(G2531)</f>
        <v>0</v>
      </c>
    </row>
    <row r="2532">
      <c r="A2532" s="109">
        <f>IF(AND(F2532="",G2532=""),"",ROW()-6)</f>
      </c>
      <c r="B2532" s="140" t="n"/>
      <c r="C2532" s="141" t="n"/>
      <c r="D2532" s="141" t="n"/>
      <c r="E2532" s="142" t="n"/>
      <c r="F2532" s="143" t="n"/>
      <c r="G2532" s="144" t="n"/>
      <c r="H2532" s="145">
        <f>IF(OR(C2532="",AND(F2532="",G2532="")),"",SUMIF(基础资料!$W$5:$W$24,C2532,基础资料!$X$5:$X$24)+SUMIF(C$7:C2532,C2532,F$7:F2532)-SUMIF(C$7:C2532,C2532,G$7:G2532))</f>
      </c>
      <c r="I2532" s="145">
        <f>IF(AND(F2532="",G2532=""),"",SUM(基础资料!$X$5:$X$24)+SUM(F$7:F2532)-SUM(G$7:G2532))</f>
      </c>
      <c r="J2532" s="141" t="n"/>
      <c r="K2532" s="141" t="n"/>
      <c r="L2532" s="141" t="n"/>
      <c r="M2532" s="142" t="n"/>
      <c r="N2532" s="146">
        <f>IF(AND(AND(F2532="",G2532=""),B2532="",C2532="",D2532="",J2532="",K2532="",L2532=""),"",IF(AND(F2532="",G2532=""),"✗ 没填金额",IF(AND(N(F2532)&lt;&gt;0,N(G2532)&lt;&gt;0),"✗ 收入、支出只能填一边",IF(NOT(ISNUMBER(B2532)),"✗ 日期不是真日期（要像 2026/9/25 这样填）",IF(OR(B2532&lt;年初日,B2532&gt;年末日),"✗ 日期不在本会计年度",IF(C2532="","✗ 没选账户",IF(COUNTIF(基础资料!$W$5:$W$24,C2532)=0,"✗ 账户不在基础资料里",IF(O2532="","✗ 没选收支项目",IF(P2532="未知","✗ 收支项目不在基础资料里",IF(AND(P2532="应收",J2532=""),"✗ 这笔要选客户",IF(AND(P2532="应收",COUNTIF(总览汇总!$B$5:$B$304,J2532)=0),"✗ 客户不在总览汇总名单里",IF(AND(P2532="应付",K2532=""),"✗ 这笔要选供应商",IF(AND(P2532="应付",COUNTIF(基础资料!$Q$5:$Q$54,K2532)=0),"✗ 供应商不在基础资料里",IF(AND(P2532="费用",L2532=""),"✗ 费用支出要选费用项目",IF(AND(L2532&lt;&gt;"",COUNTIF(基础资料!$AI$5:$AI$54,L2532)=0),"✗ 费用项目不在基础资料里",IF(AND(IFERROR(INDEX(基础资料!$AD$5:$AD$34,MATCH(O2532,基础资料!$AC$5:$AC$34,0)),"")="收",N(G2532)&lt;&gt;0),"✗ 这类是收款，金额填到收入列",IF(AND(IFERROR(INDEX(基础资料!$AD$5:$AD$34,MATCH(O2532,基础资料!$AC$5:$AC$34,0)),"")="支",N(F2532)&lt;&gt;0),"✗ 这类是付款，金额填到支出列",IF(N(H2532)&lt;0,"⚠ 账户余额成负数了，核对一下","√"))))))))))))))))))</f>
      </c>
      <c r="O2532" s="78">
        <f>IF(D2532&lt;&gt;"",D2532,IF(AND(F2532="",G2532=""),"",IF(J2532&lt;&gt;"",IF(N(F2532)&gt;0,"客户回款","客户退款"),IF(K2532&lt;&gt;"",IF(N(G2532)&gt;0,"供应商付款","供应商退款"),IF(L2532&lt;&gt;"","费用支出","")))))</f>
      </c>
      <c r="P2532" s="78">
        <f>IF(O2532="","",IFERROR(INDEX(基础资料!$AE$5:$AE$34,MATCH(O2532,基础资料!$AC$5:$AC$34,0)),"未知"))</f>
      </c>
      <c r="Q2532" s="78">
        <f>IF(P2532="应收",COUNTIF(P$7:P2532,"应收"),"")</f>
      </c>
      <c r="R2532" s="78">
        <f>IF(P2532="应付",COUNTIF(P$7:P2532,"应付"),"")</f>
      </c>
      <c r="S2532" s="78">
        <f>N(F2532)-N(G2532)</f>
        <v>0</v>
      </c>
    </row>
    <row r="2533">
      <c r="A2533" s="109">
        <f>IF(AND(F2533="",G2533=""),"",ROW()-6)</f>
      </c>
      <c r="B2533" s="140" t="n"/>
      <c r="C2533" s="141" t="n"/>
      <c r="D2533" s="141" t="n"/>
      <c r="E2533" s="142" t="n"/>
      <c r="F2533" s="143" t="n"/>
      <c r="G2533" s="144" t="n"/>
      <c r="H2533" s="145">
        <f>IF(OR(C2533="",AND(F2533="",G2533="")),"",SUMIF(基础资料!$W$5:$W$24,C2533,基础资料!$X$5:$X$24)+SUMIF(C$7:C2533,C2533,F$7:F2533)-SUMIF(C$7:C2533,C2533,G$7:G2533))</f>
      </c>
      <c r="I2533" s="145">
        <f>IF(AND(F2533="",G2533=""),"",SUM(基础资料!$X$5:$X$24)+SUM(F$7:F2533)-SUM(G$7:G2533))</f>
      </c>
      <c r="J2533" s="141" t="n"/>
      <c r="K2533" s="141" t="n"/>
      <c r="L2533" s="141" t="n"/>
      <c r="M2533" s="142" t="n"/>
      <c r="N2533" s="146">
        <f>IF(AND(AND(F2533="",G2533=""),B2533="",C2533="",D2533="",J2533="",K2533="",L2533=""),"",IF(AND(F2533="",G2533=""),"✗ 没填金额",IF(AND(N(F2533)&lt;&gt;0,N(G2533)&lt;&gt;0),"✗ 收入、支出只能填一边",IF(NOT(ISNUMBER(B2533)),"✗ 日期不是真日期（要像 2026/9/25 这样填）",IF(OR(B2533&lt;年初日,B2533&gt;年末日),"✗ 日期不在本会计年度",IF(C2533="","✗ 没选账户",IF(COUNTIF(基础资料!$W$5:$W$24,C2533)=0,"✗ 账户不在基础资料里",IF(O2533="","✗ 没选收支项目",IF(P2533="未知","✗ 收支项目不在基础资料里",IF(AND(P2533="应收",J2533=""),"✗ 这笔要选客户",IF(AND(P2533="应收",COUNTIF(总览汇总!$B$5:$B$304,J2533)=0),"✗ 客户不在总览汇总名单里",IF(AND(P2533="应付",K2533=""),"✗ 这笔要选供应商",IF(AND(P2533="应付",COUNTIF(基础资料!$Q$5:$Q$54,K2533)=0),"✗ 供应商不在基础资料里",IF(AND(P2533="费用",L2533=""),"✗ 费用支出要选费用项目",IF(AND(L2533&lt;&gt;"",COUNTIF(基础资料!$AI$5:$AI$54,L2533)=0),"✗ 费用项目不在基础资料里",IF(AND(IFERROR(INDEX(基础资料!$AD$5:$AD$34,MATCH(O2533,基础资料!$AC$5:$AC$34,0)),"")="收",N(G2533)&lt;&gt;0),"✗ 这类是收款，金额填到收入列",IF(AND(IFERROR(INDEX(基础资料!$AD$5:$AD$34,MATCH(O2533,基础资料!$AC$5:$AC$34,0)),"")="支",N(F2533)&lt;&gt;0),"✗ 这类是付款，金额填到支出列",IF(N(H2533)&lt;0,"⚠ 账户余额成负数了，核对一下","√"))))))))))))))))))</f>
      </c>
      <c r="O2533" s="78">
        <f>IF(D2533&lt;&gt;"",D2533,IF(AND(F2533="",G2533=""),"",IF(J2533&lt;&gt;"",IF(N(F2533)&gt;0,"客户回款","客户退款"),IF(K2533&lt;&gt;"",IF(N(G2533)&gt;0,"供应商付款","供应商退款"),IF(L2533&lt;&gt;"","费用支出","")))))</f>
      </c>
      <c r="P2533" s="78">
        <f>IF(O2533="","",IFERROR(INDEX(基础资料!$AE$5:$AE$34,MATCH(O2533,基础资料!$AC$5:$AC$34,0)),"未知"))</f>
      </c>
      <c r="Q2533" s="78">
        <f>IF(P2533="应收",COUNTIF(P$7:P2533,"应收"),"")</f>
      </c>
      <c r="R2533" s="78">
        <f>IF(P2533="应付",COUNTIF(P$7:P2533,"应付"),"")</f>
      </c>
      <c r="S2533" s="78">
        <f>N(F2533)-N(G2533)</f>
        <v>0</v>
      </c>
    </row>
    <row r="2534">
      <c r="A2534" s="109">
        <f>IF(AND(F2534="",G2534=""),"",ROW()-6)</f>
      </c>
      <c r="B2534" s="140" t="n"/>
      <c r="C2534" s="141" t="n"/>
      <c r="D2534" s="141" t="n"/>
      <c r="E2534" s="142" t="n"/>
      <c r="F2534" s="143" t="n"/>
      <c r="G2534" s="144" t="n"/>
      <c r="H2534" s="145">
        <f>IF(OR(C2534="",AND(F2534="",G2534="")),"",SUMIF(基础资料!$W$5:$W$24,C2534,基础资料!$X$5:$X$24)+SUMIF(C$7:C2534,C2534,F$7:F2534)-SUMIF(C$7:C2534,C2534,G$7:G2534))</f>
      </c>
      <c r="I2534" s="145">
        <f>IF(AND(F2534="",G2534=""),"",SUM(基础资料!$X$5:$X$24)+SUM(F$7:F2534)-SUM(G$7:G2534))</f>
      </c>
      <c r="J2534" s="141" t="n"/>
      <c r="K2534" s="141" t="n"/>
      <c r="L2534" s="141" t="n"/>
      <c r="M2534" s="142" t="n"/>
      <c r="N2534" s="146">
        <f>IF(AND(AND(F2534="",G2534=""),B2534="",C2534="",D2534="",J2534="",K2534="",L2534=""),"",IF(AND(F2534="",G2534=""),"✗ 没填金额",IF(AND(N(F2534)&lt;&gt;0,N(G2534)&lt;&gt;0),"✗ 收入、支出只能填一边",IF(NOT(ISNUMBER(B2534)),"✗ 日期不是真日期（要像 2026/9/25 这样填）",IF(OR(B2534&lt;年初日,B2534&gt;年末日),"✗ 日期不在本会计年度",IF(C2534="","✗ 没选账户",IF(COUNTIF(基础资料!$W$5:$W$24,C2534)=0,"✗ 账户不在基础资料里",IF(O2534="","✗ 没选收支项目",IF(P2534="未知","✗ 收支项目不在基础资料里",IF(AND(P2534="应收",J2534=""),"✗ 这笔要选客户",IF(AND(P2534="应收",COUNTIF(总览汇总!$B$5:$B$304,J2534)=0),"✗ 客户不在总览汇总名单里",IF(AND(P2534="应付",K2534=""),"✗ 这笔要选供应商",IF(AND(P2534="应付",COUNTIF(基础资料!$Q$5:$Q$54,K2534)=0),"✗ 供应商不在基础资料里",IF(AND(P2534="费用",L2534=""),"✗ 费用支出要选费用项目",IF(AND(L2534&lt;&gt;"",COUNTIF(基础资料!$AI$5:$AI$54,L2534)=0),"✗ 费用项目不在基础资料里",IF(AND(IFERROR(INDEX(基础资料!$AD$5:$AD$34,MATCH(O2534,基础资料!$AC$5:$AC$34,0)),"")="收",N(G2534)&lt;&gt;0),"✗ 这类是收款，金额填到收入列",IF(AND(IFERROR(INDEX(基础资料!$AD$5:$AD$34,MATCH(O2534,基础资料!$AC$5:$AC$34,0)),"")="支",N(F2534)&lt;&gt;0),"✗ 这类是付款，金额填到支出列",IF(N(H2534)&lt;0,"⚠ 账户余额成负数了，核对一下","√"))))))))))))))))))</f>
      </c>
      <c r="O2534" s="78">
        <f>IF(D2534&lt;&gt;"",D2534,IF(AND(F2534="",G2534=""),"",IF(J2534&lt;&gt;"",IF(N(F2534)&gt;0,"客户回款","客户退款"),IF(K2534&lt;&gt;"",IF(N(G2534)&gt;0,"供应商付款","供应商退款"),IF(L2534&lt;&gt;"","费用支出","")))))</f>
      </c>
      <c r="P2534" s="78">
        <f>IF(O2534="","",IFERROR(INDEX(基础资料!$AE$5:$AE$34,MATCH(O2534,基础资料!$AC$5:$AC$34,0)),"未知"))</f>
      </c>
      <c r="Q2534" s="78">
        <f>IF(P2534="应收",COUNTIF(P$7:P2534,"应收"),"")</f>
      </c>
      <c r="R2534" s="78">
        <f>IF(P2534="应付",COUNTIF(P$7:P2534,"应付"),"")</f>
      </c>
      <c r="S2534" s="78">
        <f>N(F2534)-N(G2534)</f>
        <v>0</v>
      </c>
    </row>
    <row r="2535">
      <c r="A2535" s="109">
        <f>IF(AND(F2535="",G2535=""),"",ROW()-6)</f>
      </c>
      <c r="B2535" s="140" t="n"/>
      <c r="C2535" s="141" t="n"/>
      <c r="D2535" s="141" t="n"/>
      <c r="E2535" s="142" t="n"/>
      <c r="F2535" s="143" t="n"/>
      <c r="G2535" s="144" t="n"/>
      <c r="H2535" s="145">
        <f>IF(OR(C2535="",AND(F2535="",G2535="")),"",SUMIF(基础资料!$W$5:$W$24,C2535,基础资料!$X$5:$X$24)+SUMIF(C$7:C2535,C2535,F$7:F2535)-SUMIF(C$7:C2535,C2535,G$7:G2535))</f>
      </c>
      <c r="I2535" s="145">
        <f>IF(AND(F2535="",G2535=""),"",SUM(基础资料!$X$5:$X$24)+SUM(F$7:F2535)-SUM(G$7:G2535))</f>
      </c>
      <c r="J2535" s="141" t="n"/>
      <c r="K2535" s="141" t="n"/>
      <c r="L2535" s="141" t="n"/>
      <c r="M2535" s="142" t="n"/>
      <c r="N2535" s="146">
        <f>IF(AND(AND(F2535="",G2535=""),B2535="",C2535="",D2535="",J2535="",K2535="",L2535=""),"",IF(AND(F2535="",G2535=""),"✗ 没填金额",IF(AND(N(F2535)&lt;&gt;0,N(G2535)&lt;&gt;0),"✗ 收入、支出只能填一边",IF(NOT(ISNUMBER(B2535)),"✗ 日期不是真日期（要像 2026/9/25 这样填）",IF(OR(B2535&lt;年初日,B2535&gt;年末日),"✗ 日期不在本会计年度",IF(C2535="","✗ 没选账户",IF(COUNTIF(基础资料!$W$5:$W$24,C2535)=0,"✗ 账户不在基础资料里",IF(O2535="","✗ 没选收支项目",IF(P2535="未知","✗ 收支项目不在基础资料里",IF(AND(P2535="应收",J2535=""),"✗ 这笔要选客户",IF(AND(P2535="应收",COUNTIF(总览汇总!$B$5:$B$304,J2535)=0),"✗ 客户不在总览汇总名单里",IF(AND(P2535="应付",K2535=""),"✗ 这笔要选供应商",IF(AND(P2535="应付",COUNTIF(基础资料!$Q$5:$Q$54,K2535)=0),"✗ 供应商不在基础资料里",IF(AND(P2535="费用",L2535=""),"✗ 费用支出要选费用项目",IF(AND(L2535&lt;&gt;"",COUNTIF(基础资料!$AI$5:$AI$54,L2535)=0),"✗ 费用项目不在基础资料里",IF(AND(IFERROR(INDEX(基础资料!$AD$5:$AD$34,MATCH(O2535,基础资料!$AC$5:$AC$34,0)),"")="收",N(G2535)&lt;&gt;0),"✗ 这类是收款，金额填到收入列",IF(AND(IFERROR(INDEX(基础资料!$AD$5:$AD$34,MATCH(O2535,基础资料!$AC$5:$AC$34,0)),"")="支",N(F2535)&lt;&gt;0),"✗ 这类是付款，金额填到支出列",IF(N(H2535)&lt;0,"⚠ 账户余额成负数了，核对一下","√"))))))))))))))))))</f>
      </c>
      <c r="O2535" s="78">
        <f>IF(D2535&lt;&gt;"",D2535,IF(AND(F2535="",G2535=""),"",IF(J2535&lt;&gt;"",IF(N(F2535)&gt;0,"客户回款","客户退款"),IF(K2535&lt;&gt;"",IF(N(G2535)&gt;0,"供应商付款","供应商退款"),IF(L2535&lt;&gt;"","费用支出","")))))</f>
      </c>
      <c r="P2535" s="78">
        <f>IF(O2535="","",IFERROR(INDEX(基础资料!$AE$5:$AE$34,MATCH(O2535,基础资料!$AC$5:$AC$34,0)),"未知"))</f>
      </c>
      <c r="Q2535" s="78">
        <f>IF(P2535="应收",COUNTIF(P$7:P2535,"应收"),"")</f>
      </c>
      <c r="R2535" s="78">
        <f>IF(P2535="应付",COUNTIF(P$7:P2535,"应付"),"")</f>
      </c>
      <c r="S2535" s="78">
        <f>N(F2535)-N(G2535)</f>
        <v>0</v>
      </c>
    </row>
    <row r="2536">
      <c r="A2536" s="109">
        <f>IF(AND(F2536="",G2536=""),"",ROW()-6)</f>
      </c>
      <c r="B2536" s="140" t="n"/>
      <c r="C2536" s="141" t="n"/>
      <c r="D2536" s="141" t="n"/>
      <c r="E2536" s="142" t="n"/>
      <c r="F2536" s="143" t="n"/>
      <c r="G2536" s="144" t="n"/>
      <c r="H2536" s="145">
        <f>IF(OR(C2536="",AND(F2536="",G2536="")),"",SUMIF(基础资料!$W$5:$W$24,C2536,基础资料!$X$5:$X$24)+SUMIF(C$7:C2536,C2536,F$7:F2536)-SUMIF(C$7:C2536,C2536,G$7:G2536))</f>
      </c>
      <c r="I2536" s="145">
        <f>IF(AND(F2536="",G2536=""),"",SUM(基础资料!$X$5:$X$24)+SUM(F$7:F2536)-SUM(G$7:G2536))</f>
      </c>
      <c r="J2536" s="141" t="n"/>
      <c r="K2536" s="141" t="n"/>
      <c r="L2536" s="141" t="n"/>
      <c r="M2536" s="142" t="n"/>
      <c r="N2536" s="146">
        <f>IF(AND(AND(F2536="",G2536=""),B2536="",C2536="",D2536="",J2536="",K2536="",L2536=""),"",IF(AND(F2536="",G2536=""),"✗ 没填金额",IF(AND(N(F2536)&lt;&gt;0,N(G2536)&lt;&gt;0),"✗ 收入、支出只能填一边",IF(NOT(ISNUMBER(B2536)),"✗ 日期不是真日期（要像 2026/9/25 这样填）",IF(OR(B2536&lt;年初日,B2536&gt;年末日),"✗ 日期不在本会计年度",IF(C2536="","✗ 没选账户",IF(COUNTIF(基础资料!$W$5:$W$24,C2536)=0,"✗ 账户不在基础资料里",IF(O2536="","✗ 没选收支项目",IF(P2536="未知","✗ 收支项目不在基础资料里",IF(AND(P2536="应收",J2536=""),"✗ 这笔要选客户",IF(AND(P2536="应收",COUNTIF(总览汇总!$B$5:$B$304,J2536)=0),"✗ 客户不在总览汇总名单里",IF(AND(P2536="应付",K2536=""),"✗ 这笔要选供应商",IF(AND(P2536="应付",COUNTIF(基础资料!$Q$5:$Q$54,K2536)=0),"✗ 供应商不在基础资料里",IF(AND(P2536="费用",L2536=""),"✗ 费用支出要选费用项目",IF(AND(L2536&lt;&gt;"",COUNTIF(基础资料!$AI$5:$AI$54,L2536)=0),"✗ 费用项目不在基础资料里",IF(AND(IFERROR(INDEX(基础资料!$AD$5:$AD$34,MATCH(O2536,基础资料!$AC$5:$AC$34,0)),"")="收",N(G2536)&lt;&gt;0),"✗ 这类是收款，金额填到收入列",IF(AND(IFERROR(INDEX(基础资料!$AD$5:$AD$34,MATCH(O2536,基础资料!$AC$5:$AC$34,0)),"")="支",N(F2536)&lt;&gt;0),"✗ 这类是付款，金额填到支出列",IF(N(H2536)&lt;0,"⚠ 账户余额成负数了，核对一下","√"))))))))))))))))))</f>
      </c>
      <c r="O2536" s="78">
        <f>IF(D2536&lt;&gt;"",D2536,IF(AND(F2536="",G2536=""),"",IF(J2536&lt;&gt;"",IF(N(F2536)&gt;0,"客户回款","客户退款"),IF(K2536&lt;&gt;"",IF(N(G2536)&gt;0,"供应商付款","供应商退款"),IF(L2536&lt;&gt;"","费用支出","")))))</f>
      </c>
      <c r="P2536" s="78">
        <f>IF(O2536="","",IFERROR(INDEX(基础资料!$AE$5:$AE$34,MATCH(O2536,基础资料!$AC$5:$AC$34,0)),"未知"))</f>
      </c>
      <c r="Q2536" s="78">
        <f>IF(P2536="应收",COUNTIF(P$7:P2536,"应收"),"")</f>
      </c>
      <c r="R2536" s="78">
        <f>IF(P2536="应付",COUNTIF(P$7:P2536,"应付"),"")</f>
      </c>
      <c r="S2536" s="78">
        <f>N(F2536)-N(G2536)</f>
        <v>0</v>
      </c>
    </row>
    <row r="2537">
      <c r="A2537" s="109">
        <f>IF(AND(F2537="",G2537=""),"",ROW()-6)</f>
      </c>
      <c r="B2537" s="140" t="n"/>
      <c r="C2537" s="141" t="n"/>
      <c r="D2537" s="141" t="n"/>
      <c r="E2537" s="142" t="n"/>
      <c r="F2537" s="143" t="n"/>
      <c r="G2537" s="144" t="n"/>
      <c r="H2537" s="145">
        <f>IF(OR(C2537="",AND(F2537="",G2537="")),"",SUMIF(基础资料!$W$5:$W$24,C2537,基础资料!$X$5:$X$24)+SUMIF(C$7:C2537,C2537,F$7:F2537)-SUMIF(C$7:C2537,C2537,G$7:G2537))</f>
      </c>
      <c r="I2537" s="145">
        <f>IF(AND(F2537="",G2537=""),"",SUM(基础资料!$X$5:$X$24)+SUM(F$7:F2537)-SUM(G$7:G2537))</f>
      </c>
      <c r="J2537" s="141" t="n"/>
      <c r="K2537" s="141" t="n"/>
      <c r="L2537" s="141" t="n"/>
      <c r="M2537" s="142" t="n"/>
      <c r="N2537" s="146">
        <f>IF(AND(AND(F2537="",G2537=""),B2537="",C2537="",D2537="",J2537="",K2537="",L2537=""),"",IF(AND(F2537="",G2537=""),"✗ 没填金额",IF(AND(N(F2537)&lt;&gt;0,N(G2537)&lt;&gt;0),"✗ 收入、支出只能填一边",IF(NOT(ISNUMBER(B2537)),"✗ 日期不是真日期（要像 2026/9/25 这样填）",IF(OR(B2537&lt;年初日,B2537&gt;年末日),"✗ 日期不在本会计年度",IF(C2537="","✗ 没选账户",IF(COUNTIF(基础资料!$W$5:$W$24,C2537)=0,"✗ 账户不在基础资料里",IF(O2537="","✗ 没选收支项目",IF(P2537="未知","✗ 收支项目不在基础资料里",IF(AND(P2537="应收",J2537=""),"✗ 这笔要选客户",IF(AND(P2537="应收",COUNTIF(总览汇总!$B$5:$B$304,J2537)=0),"✗ 客户不在总览汇总名单里",IF(AND(P2537="应付",K2537=""),"✗ 这笔要选供应商",IF(AND(P2537="应付",COUNTIF(基础资料!$Q$5:$Q$54,K2537)=0),"✗ 供应商不在基础资料里",IF(AND(P2537="费用",L2537=""),"✗ 费用支出要选费用项目",IF(AND(L2537&lt;&gt;"",COUNTIF(基础资料!$AI$5:$AI$54,L2537)=0),"✗ 费用项目不在基础资料里",IF(AND(IFERROR(INDEX(基础资料!$AD$5:$AD$34,MATCH(O2537,基础资料!$AC$5:$AC$34,0)),"")="收",N(G2537)&lt;&gt;0),"✗ 这类是收款，金额填到收入列",IF(AND(IFERROR(INDEX(基础资料!$AD$5:$AD$34,MATCH(O2537,基础资料!$AC$5:$AC$34,0)),"")="支",N(F2537)&lt;&gt;0),"✗ 这类是付款，金额填到支出列",IF(N(H2537)&lt;0,"⚠ 账户余额成负数了，核对一下","√"))))))))))))))))))</f>
      </c>
      <c r="O2537" s="78">
        <f>IF(D2537&lt;&gt;"",D2537,IF(AND(F2537="",G2537=""),"",IF(J2537&lt;&gt;"",IF(N(F2537)&gt;0,"客户回款","客户退款"),IF(K2537&lt;&gt;"",IF(N(G2537)&gt;0,"供应商付款","供应商退款"),IF(L2537&lt;&gt;"","费用支出","")))))</f>
      </c>
      <c r="P2537" s="78">
        <f>IF(O2537="","",IFERROR(INDEX(基础资料!$AE$5:$AE$34,MATCH(O2537,基础资料!$AC$5:$AC$34,0)),"未知"))</f>
      </c>
      <c r="Q2537" s="78">
        <f>IF(P2537="应收",COUNTIF(P$7:P2537,"应收"),"")</f>
      </c>
      <c r="R2537" s="78">
        <f>IF(P2537="应付",COUNTIF(P$7:P2537,"应付"),"")</f>
      </c>
      <c r="S2537" s="78">
        <f>N(F2537)-N(G2537)</f>
        <v>0</v>
      </c>
    </row>
    <row r="2538">
      <c r="A2538" s="109">
        <f>IF(AND(F2538="",G2538=""),"",ROW()-6)</f>
      </c>
      <c r="B2538" s="140" t="n"/>
      <c r="C2538" s="141" t="n"/>
      <c r="D2538" s="141" t="n"/>
      <c r="E2538" s="142" t="n"/>
      <c r="F2538" s="143" t="n"/>
      <c r="G2538" s="144" t="n"/>
      <c r="H2538" s="145">
        <f>IF(OR(C2538="",AND(F2538="",G2538="")),"",SUMIF(基础资料!$W$5:$W$24,C2538,基础资料!$X$5:$X$24)+SUMIF(C$7:C2538,C2538,F$7:F2538)-SUMIF(C$7:C2538,C2538,G$7:G2538))</f>
      </c>
      <c r="I2538" s="145">
        <f>IF(AND(F2538="",G2538=""),"",SUM(基础资料!$X$5:$X$24)+SUM(F$7:F2538)-SUM(G$7:G2538))</f>
      </c>
      <c r="J2538" s="141" t="n"/>
      <c r="K2538" s="141" t="n"/>
      <c r="L2538" s="141" t="n"/>
      <c r="M2538" s="142" t="n"/>
      <c r="N2538" s="146">
        <f>IF(AND(AND(F2538="",G2538=""),B2538="",C2538="",D2538="",J2538="",K2538="",L2538=""),"",IF(AND(F2538="",G2538=""),"✗ 没填金额",IF(AND(N(F2538)&lt;&gt;0,N(G2538)&lt;&gt;0),"✗ 收入、支出只能填一边",IF(NOT(ISNUMBER(B2538)),"✗ 日期不是真日期（要像 2026/9/25 这样填）",IF(OR(B2538&lt;年初日,B2538&gt;年末日),"✗ 日期不在本会计年度",IF(C2538="","✗ 没选账户",IF(COUNTIF(基础资料!$W$5:$W$24,C2538)=0,"✗ 账户不在基础资料里",IF(O2538="","✗ 没选收支项目",IF(P2538="未知","✗ 收支项目不在基础资料里",IF(AND(P2538="应收",J2538=""),"✗ 这笔要选客户",IF(AND(P2538="应收",COUNTIF(总览汇总!$B$5:$B$304,J2538)=0),"✗ 客户不在总览汇总名单里",IF(AND(P2538="应付",K2538=""),"✗ 这笔要选供应商",IF(AND(P2538="应付",COUNTIF(基础资料!$Q$5:$Q$54,K2538)=0),"✗ 供应商不在基础资料里",IF(AND(P2538="费用",L2538=""),"✗ 费用支出要选费用项目",IF(AND(L2538&lt;&gt;"",COUNTIF(基础资料!$AI$5:$AI$54,L2538)=0),"✗ 费用项目不在基础资料里",IF(AND(IFERROR(INDEX(基础资料!$AD$5:$AD$34,MATCH(O2538,基础资料!$AC$5:$AC$34,0)),"")="收",N(G2538)&lt;&gt;0),"✗ 这类是收款，金额填到收入列",IF(AND(IFERROR(INDEX(基础资料!$AD$5:$AD$34,MATCH(O2538,基础资料!$AC$5:$AC$34,0)),"")="支",N(F2538)&lt;&gt;0),"✗ 这类是付款，金额填到支出列",IF(N(H2538)&lt;0,"⚠ 账户余额成负数了，核对一下","√"))))))))))))))))))</f>
      </c>
      <c r="O2538" s="78">
        <f>IF(D2538&lt;&gt;"",D2538,IF(AND(F2538="",G2538=""),"",IF(J2538&lt;&gt;"",IF(N(F2538)&gt;0,"客户回款","客户退款"),IF(K2538&lt;&gt;"",IF(N(G2538)&gt;0,"供应商付款","供应商退款"),IF(L2538&lt;&gt;"","费用支出","")))))</f>
      </c>
      <c r="P2538" s="78">
        <f>IF(O2538="","",IFERROR(INDEX(基础资料!$AE$5:$AE$34,MATCH(O2538,基础资料!$AC$5:$AC$34,0)),"未知"))</f>
      </c>
      <c r="Q2538" s="78">
        <f>IF(P2538="应收",COUNTIF(P$7:P2538,"应收"),"")</f>
      </c>
      <c r="R2538" s="78">
        <f>IF(P2538="应付",COUNTIF(P$7:P2538,"应付"),"")</f>
      </c>
      <c r="S2538" s="78">
        <f>N(F2538)-N(G2538)</f>
        <v>0</v>
      </c>
    </row>
    <row r="2539">
      <c r="A2539" s="109">
        <f>IF(AND(F2539="",G2539=""),"",ROW()-6)</f>
      </c>
      <c r="B2539" s="140" t="n"/>
      <c r="C2539" s="141" t="n"/>
      <c r="D2539" s="141" t="n"/>
      <c r="E2539" s="142" t="n"/>
      <c r="F2539" s="143" t="n"/>
      <c r="G2539" s="144" t="n"/>
      <c r="H2539" s="145">
        <f>IF(OR(C2539="",AND(F2539="",G2539="")),"",SUMIF(基础资料!$W$5:$W$24,C2539,基础资料!$X$5:$X$24)+SUMIF(C$7:C2539,C2539,F$7:F2539)-SUMIF(C$7:C2539,C2539,G$7:G2539))</f>
      </c>
      <c r="I2539" s="145">
        <f>IF(AND(F2539="",G2539=""),"",SUM(基础资料!$X$5:$X$24)+SUM(F$7:F2539)-SUM(G$7:G2539))</f>
      </c>
      <c r="J2539" s="141" t="n"/>
      <c r="K2539" s="141" t="n"/>
      <c r="L2539" s="141" t="n"/>
      <c r="M2539" s="142" t="n"/>
      <c r="N2539" s="146">
        <f>IF(AND(AND(F2539="",G2539=""),B2539="",C2539="",D2539="",J2539="",K2539="",L2539=""),"",IF(AND(F2539="",G2539=""),"✗ 没填金额",IF(AND(N(F2539)&lt;&gt;0,N(G2539)&lt;&gt;0),"✗ 收入、支出只能填一边",IF(NOT(ISNUMBER(B2539)),"✗ 日期不是真日期（要像 2026/9/25 这样填）",IF(OR(B2539&lt;年初日,B2539&gt;年末日),"✗ 日期不在本会计年度",IF(C2539="","✗ 没选账户",IF(COUNTIF(基础资料!$W$5:$W$24,C2539)=0,"✗ 账户不在基础资料里",IF(O2539="","✗ 没选收支项目",IF(P2539="未知","✗ 收支项目不在基础资料里",IF(AND(P2539="应收",J2539=""),"✗ 这笔要选客户",IF(AND(P2539="应收",COUNTIF(总览汇总!$B$5:$B$304,J2539)=0),"✗ 客户不在总览汇总名单里",IF(AND(P2539="应付",K2539=""),"✗ 这笔要选供应商",IF(AND(P2539="应付",COUNTIF(基础资料!$Q$5:$Q$54,K2539)=0),"✗ 供应商不在基础资料里",IF(AND(P2539="费用",L2539=""),"✗ 费用支出要选费用项目",IF(AND(L2539&lt;&gt;"",COUNTIF(基础资料!$AI$5:$AI$54,L2539)=0),"✗ 费用项目不在基础资料里",IF(AND(IFERROR(INDEX(基础资料!$AD$5:$AD$34,MATCH(O2539,基础资料!$AC$5:$AC$34,0)),"")="收",N(G2539)&lt;&gt;0),"✗ 这类是收款，金额填到收入列",IF(AND(IFERROR(INDEX(基础资料!$AD$5:$AD$34,MATCH(O2539,基础资料!$AC$5:$AC$34,0)),"")="支",N(F2539)&lt;&gt;0),"✗ 这类是付款，金额填到支出列",IF(N(H2539)&lt;0,"⚠ 账户余额成负数了，核对一下","√"))))))))))))))))))</f>
      </c>
      <c r="O2539" s="78">
        <f>IF(D2539&lt;&gt;"",D2539,IF(AND(F2539="",G2539=""),"",IF(J2539&lt;&gt;"",IF(N(F2539)&gt;0,"客户回款","客户退款"),IF(K2539&lt;&gt;"",IF(N(G2539)&gt;0,"供应商付款","供应商退款"),IF(L2539&lt;&gt;"","费用支出","")))))</f>
      </c>
      <c r="P2539" s="78">
        <f>IF(O2539="","",IFERROR(INDEX(基础资料!$AE$5:$AE$34,MATCH(O2539,基础资料!$AC$5:$AC$34,0)),"未知"))</f>
      </c>
      <c r="Q2539" s="78">
        <f>IF(P2539="应收",COUNTIF(P$7:P2539,"应收"),"")</f>
      </c>
      <c r="R2539" s="78">
        <f>IF(P2539="应付",COUNTIF(P$7:P2539,"应付"),"")</f>
      </c>
      <c r="S2539" s="78">
        <f>N(F2539)-N(G2539)</f>
        <v>0</v>
      </c>
    </row>
    <row r="2540">
      <c r="A2540" s="109">
        <f>IF(AND(F2540="",G2540=""),"",ROW()-6)</f>
      </c>
      <c r="B2540" s="140" t="n"/>
      <c r="C2540" s="141" t="n"/>
      <c r="D2540" s="141" t="n"/>
      <c r="E2540" s="142" t="n"/>
      <c r="F2540" s="143" t="n"/>
      <c r="G2540" s="144" t="n"/>
      <c r="H2540" s="145">
        <f>IF(OR(C2540="",AND(F2540="",G2540="")),"",SUMIF(基础资料!$W$5:$W$24,C2540,基础资料!$X$5:$X$24)+SUMIF(C$7:C2540,C2540,F$7:F2540)-SUMIF(C$7:C2540,C2540,G$7:G2540))</f>
      </c>
      <c r="I2540" s="145">
        <f>IF(AND(F2540="",G2540=""),"",SUM(基础资料!$X$5:$X$24)+SUM(F$7:F2540)-SUM(G$7:G2540))</f>
      </c>
      <c r="J2540" s="141" t="n"/>
      <c r="K2540" s="141" t="n"/>
      <c r="L2540" s="141" t="n"/>
      <c r="M2540" s="142" t="n"/>
      <c r="N2540" s="146">
        <f>IF(AND(AND(F2540="",G2540=""),B2540="",C2540="",D2540="",J2540="",K2540="",L2540=""),"",IF(AND(F2540="",G2540=""),"✗ 没填金额",IF(AND(N(F2540)&lt;&gt;0,N(G2540)&lt;&gt;0),"✗ 收入、支出只能填一边",IF(NOT(ISNUMBER(B2540)),"✗ 日期不是真日期（要像 2026/9/25 这样填）",IF(OR(B2540&lt;年初日,B2540&gt;年末日),"✗ 日期不在本会计年度",IF(C2540="","✗ 没选账户",IF(COUNTIF(基础资料!$W$5:$W$24,C2540)=0,"✗ 账户不在基础资料里",IF(O2540="","✗ 没选收支项目",IF(P2540="未知","✗ 收支项目不在基础资料里",IF(AND(P2540="应收",J2540=""),"✗ 这笔要选客户",IF(AND(P2540="应收",COUNTIF(总览汇总!$B$5:$B$304,J2540)=0),"✗ 客户不在总览汇总名单里",IF(AND(P2540="应付",K2540=""),"✗ 这笔要选供应商",IF(AND(P2540="应付",COUNTIF(基础资料!$Q$5:$Q$54,K2540)=0),"✗ 供应商不在基础资料里",IF(AND(P2540="费用",L2540=""),"✗ 费用支出要选费用项目",IF(AND(L2540&lt;&gt;"",COUNTIF(基础资料!$AI$5:$AI$54,L2540)=0),"✗ 费用项目不在基础资料里",IF(AND(IFERROR(INDEX(基础资料!$AD$5:$AD$34,MATCH(O2540,基础资料!$AC$5:$AC$34,0)),"")="收",N(G2540)&lt;&gt;0),"✗ 这类是收款，金额填到收入列",IF(AND(IFERROR(INDEX(基础资料!$AD$5:$AD$34,MATCH(O2540,基础资料!$AC$5:$AC$34,0)),"")="支",N(F2540)&lt;&gt;0),"✗ 这类是付款，金额填到支出列",IF(N(H2540)&lt;0,"⚠ 账户余额成负数了，核对一下","√"))))))))))))))))))</f>
      </c>
      <c r="O2540" s="78">
        <f>IF(D2540&lt;&gt;"",D2540,IF(AND(F2540="",G2540=""),"",IF(J2540&lt;&gt;"",IF(N(F2540)&gt;0,"客户回款","客户退款"),IF(K2540&lt;&gt;"",IF(N(G2540)&gt;0,"供应商付款","供应商退款"),IF(L2540&lt;&gt;"","费用支出","")))))</f>
      </c>
      <c r="P2540" s="78">
        <f>IF(O2540="","",IFERROR(INDEX(基础资料!$AE$5:$AE$34,MATCH(O2540,基础资料!$AC$5:$AC$34,0)),"未知"))</f>
      </c>
      <c r="Q2540" s="78">
        <f>IF(P2540="应收",COUNTIF(P$7:P2540,"应收"),"")</f>
      </c>
      <c r="R2540" s="78">
        <f>IF(P2540="应付",COUNTIF(P$7:P2540,"应付"),"")</f>
      </c>
      <c r="S2540" s="78">
        <f>N(F2540)-N(G2540)</f>
        <v>0</v>
      </c>
    </row>
    <row r="2541">
      <c r="A2541" s="109">
        <f>IF(AND(F2541="",G2541=""),"",ROW()-6)</f>
      </c>
      <c r="B2541" s="140" t="n"/>
      <c r="C2541" s="141" t="n"/>
      <c r="D2541" s="141" t="n"/>
      <c r="E2541" s="142" t="n"/>
      <c r="F2541" s="143" t="n"/>
      <c r="G2541" s="144" t="n"/>
      <c r="H2541" s="145">
        <f>IF(OR(C2541="",AND(F2541="",G2541="")),"",SUMIF(基础资料!$W$5:$W$24,C2541,基础资料!$X$5:$X$24)+SUMIF(C$7:C2541,C2541,F$7:F2541)-SUMIF(C$7:C2541,C2541,G$7:G2541))</f>
      </c>
      <c r="I2541" s="145">
        <f>IF(AND(F2541="",G2541=""),"",SUM(基础资料!$X$5:$X$24)+SUM(F$7:F2541)-SUM(G$7:G2541))</f>
      </c>
      <c r="J2541" s="141" t="n"/>
      <c r="K2541" s="141" t="n"/>
      <c r="L2541" s="141" t="n"/>
      <c r="M2541" s="142" t="n"/>
      <c r="N2541" s="146">
        <f>IF(AND(AND(F2541="",G2541=""),B2541="",C2541="",D2541="",J2541="",K2541="",L2541=""),"",IF(AND(F2541="",G2541=""),"✗ 没填金额",IF(AND(N(F2541)&lt;&gt;0,N(G2541)&lt;&gt;0),"✗ 收入、支出只能填一边",IF(NOT(ISNUMBER(B2541)),"✗ 日期不是真日期（要像 2026/9/25 这样填）",IF(OR(B2541&lt;年初日,B2541&gt;年末日),"✗ 日期不在本会计年度",IF(C2541="","✗ 没选账户",IF(COUNTIF(基础资料!$W$5:$W$24,C2541)=0,"✗ 账户不在基础资料里",IF(O2541="","✗ 没选收支项目",IF(P2541="未知","✗ 收支项目不在基础资料里",IF(AND(P2541="应收",J2541=""),"✗ 这笔要选客户",IF(AND(P2541="应收",COUNTIF(总览汇总!$B$5:$B$304,J2541)=0),"✗ 客户不在总览汇总名单里",IF(AND(P2541="应付",K2541=""),"✗ 这笔要选供应商",IF(AND(P2541="应付",COUNTIF(基础资料!$Q$5:$Q$54,K2541)=0),"✗ 供应商不在基础资料里",IF(AND(P2541="费用",L2541=""),"✗ 费用支出要选费用项目",IF(AND(L2541&lt;&gt;"",COUNTIF(基础资料!$AI$5:$AI$54,L2541)=0),"✗ 费用项目不在基础资料里",IF(AND(IFERROR(INDEX(基础资料!$AD$5:$AD$34,MATCH(O2541,基础资料!$AC$5:$AC$34,0)),"")="收",N(G2541)&lt;&gt;0),"✗ 这类是收款，金额填到收入列",IF(AND(IFERROR(INDEX(基础资料!$AD$5:$AD$34,MATCH(O2541,基础资料!$AC$5:$AC$34,0)),"")="支",N(F2541)&lt;&gt;0),"✗ 这类是付款，金额填到支出列",IF(N(H2541)&lt;0,"⚠ 账户余额成负数了，核对一下","√"))))))))))))))))))</f>
      </c>
      <c r="O2541" s="78">
        <f>IF(D2541&lt;&gt;"",D2541,IF(AND(F2541="",G2541=""),"",IF(J2541&lt;&gt;"",IF(N(F2541)&gt;0,"客户回款","客户退款"),IF(K2541&lt;&gt;"",IF(N(G2541)&gt;0,"供应商付款","供应商退款"),IF(L2541&lt;&gt;"","费用支出","")))))</f>
      </c>
      <c r="P2541" s="78">
        <f>IF(O2541="","",IFERROR(INDEX(基础资料!$AE$5:$AE$34,MATCH(O2541,基础资料!$AC$5:$AC$34,0)),"未知"))</f>
      </c>
      <c r="Q2541" s="78">
        <f>IF(P2541="应收",COUNTIF(P$7:P2541,"应收"),"")</f>
      </c>
      <c r="R2541" s="78">
        <f>IF(P2541="应付",COUNTIF(P$7:P2541,"应付"),"")</f>
      </c>
      <c r="S2541" s="78">
        <f>N(F2541)-N(G2541)</f>
        <v>0</v>
      </c>
    </row>
    <row r="2542">
      <c r="A2542" s="109">
        <f>IF(AND(F2542="",G2542=""),"",ROW()-6)</f>
      </c>
      <c r="B2542" s="140" t="n"/>
      <c r="C2542" s="141" t="n"/>
      <c r="D2542" s="141" t="n"/>
      <c r="E2542" s="142" t="n"/>
      <c r="F2542" s="143" t="n"/>
      <c r="G2542" s="144" t="n"/>
      <c r="H2542" s="145">
        <f>IF(OR(C2542="",AND(F2542="",G2542="")),"",SUMIF(基础资料!$W$5:$W$24,C2542,基础资料!$X$5:$X$24)+SUMIF(C$7:C2542,C2542,F$7:F2542)-SUMIF(C$7:C2542,C2542,G$7:G2542))</f>
      </c>
      <c r="I2542" s="145">
        <f>IF(AND(F2542="",G2542=""),"",SUM(基础资料!$X$5:$X$24)+SUM(F$7:F2542)-SUM(G$7:G2542))</f>
      </c>
      <c r="J2542" s="141" t="n"/>
      <c r="K2542" s="141" t="n"/>
      <c r="L2542" s="141" t="n"/>
      <c r="M2542" s="142" t="n"/>
      <c r="N2542" s="146">
        <f>IF(AND(AND(F2542="",G2542=""),B2542="",C2542="",D2542="",J2542="",K2542="",L2542=""),"",IF(AND(F2542="",G2542=""),"✗ 没填金额",IF(AND(N(F2542)&lt;&gt;0,N(G2542)&lt;&gt;0),"✗ 收入、支出只能填一边",IF(NOT(ISNUMBER(B2542)),"✗ 日期不是真日期（要像 2026/9/25 这样填）",IF(OR(B2542&lt;年初日,B2542&gt;年末日),"✗ 日期不在本会计年度",IF(C2542="","✗ 没选账户",IF(COUNTIF(基础资料!$W$5:$W$24,C2542)=0,"✗ 账户不在基础资料里",IF(O2542="","✗ 没选收支项目",IF(P2542="未知","✗ 收支项目不在基础资料里",IF(AND(P2542="应收",J2542=""),"✗ 这笔要选客户",IF(AND(P2542="应收",COUNTIF(总览汇总!$B$5:$B$304,J2542)=0),"✗ 客户不在总览汇总名单里",IF(AND(P2542="应付",K2542=""),"✗ 这笔要选供应商",IF(AND(P2542="应付",COUNTIF(基础资料!$Q$5:$Q$54,K2542)=0),"✗ 供应商不在基础资料里",IF(AND(P2542="费用",L2542=""),"✗ 费用支出要选费用项目",IF(AND(L2542&lt;&gt;"",COUNTIF(基础资料!$AI$5:$AI$54,L2542)=0),"✗ 费用项目不在基础资料里",IF(AND(IFERROR(INDEX(基础资料!$AD$5:$AD$34,MATCH(O2542,基础资料!$AC$5:$AC$34,0)),"")="收",N(G2542)&lt;&gt;0),"✗ 这类是收款，金额填到收入列",IF(AND(IFERROR(INDEX(基础资料!$AD$5:$AD$34,MATCH(O2542,基础资料!$AC$5:$AC$34,0)),"")="支",N(F2542)&lt;&gt;0),"✗ 这类是付款，金额填到支出列",IF(N(H2542)&lt;0,"⚠ 账户余额成负数了，核对一下","√"))))))))))))))))))</f>
      </c>
      <c r="O2542" s="78">
        <f>IF(D2542&lt;&gt;"",D2542,IF(AND(F2542="",G2542=""),"",IF(J2542&lt;&gt;"",IF(N(F2542)&gt;0,"客户回款","客户退款"),IF(K2542&lt;&gt;"",IF(N(G2542)&gt;0,"供应商付款","供应商退款"),IF(L2542&lt;&gt;"","费用支出","")))))</f>
      </c>
      <c r="P2542" s="78">
        <f>IF(O2542="","",IFERROR(INDEX(基础资料!$AE$5:$AE$34,MATCH(O2542,基础资料!$AC$5:$AC$34,0)),"未知"))</f>
      </c>
      <c r="Q2542" s="78">
        <f>IF(P2542="应收",COUNTIF(P$7:P2542,"应收"),"")</f>
      </c>
      <c r="R2542" s="78">
        <f>IF(P2542="应付",COUNTIF(P$7:P2542,"应付"),"")</f>
      </c>
      <c r="S2542" s="78">
        <f>N(F2542)-N(G2542)</f>
        <v>0</v>
      </c>
    </row>
    <row r="2543">
      <c r="A2543" s="109">
        <f>IF(AND(F2543="",G2543=""),"",ROW()-6)</f>
      </c>
      <c r="B2543" s="140" t="n"/>
      <c r="C2543" s="141" t="n"/>
      <c r="D2543" s="141" t="n"/>
      <c r="E2543" s="142" t="n"/>
      <c r="F2543" s="143" t="n"/>
      <c r="G2543" s="144" t="n"/>
      <c r="H2543" s="145">
        <f>IF(OR(C2543="",AND(F2543="",G2543="")),"",SUMIF(基础资料!$W$5:$W$24,C2543,基础资料!$X$5:$X$24)+SUMIF(C$7:C2543,C2543,F$7:F2543)-SUMIF(C$7:C2543,C2543,G$7:G2543))</f>
      </c>
      <c r="I2543" s="145">
        <f>IF(AND(F2543="",G2543=""),"",SUM(基础资料!$X$5:$X$24)+SUM(F$7:F2543)-SUM(G$7:G2543))</f>
      </c>
      <c r="J2543" s="141" t="n"/>
      <c r="K2543" s="141" t="n"/>
      <c r="L2543" s="141" t="n"/>
      <c r="M2543" s="142" t="n"/>
      <c r="N2543" s="146">
        <f>IF(AND(AND(F2543="",G2543=""),B2543="",C2543="",D2543="",J2543="",K2543="",L2543=""),"",IF(AND(F2543="",G2543=""),"✗ 没填金额",IF(AND(N(F2543)&lt;&gt;0,N(G2543)&lt;&gt;0),"✗ 收入、支出只能填一边",IF(NOT(ISNUMBER(B2543)),"✗ 日期不是真日期（要像 2026/9/25 这样填）",IF(OR(B2543&lt;年初日,B2543&gt;年末日),"✗ 日期不在本会计年度",IF(C2543="","✗ 没选账户",IF(COUNTIF(基础资料!$W$5:$W$24,C2543)=0,"✗ 账户不在基础资料里",IF(O2543="","✗ 没选收支项目",IF(P2543="未知","✗ 收支项目不在基础资料里",IF(AND(P2543="应收",J2543=""),"✗ 这笔要选客户",IF(AND(P2543="应收",COUNTIF(总览汇总!$B$5:$B$304,J2543)=0),"✗ 客户不在总览汇总名单里",IF(AND(P2543="应付",K2543=""),"✗ 这笔要选供应商",IF(AND(P2543="应付",COUNTIF(基础资料!$Q$5:$Q$54,K2543)=0),"✗ 供应商不在基础资料里",IF(AND(P2543="费用",L2543=""),"✗ 费用支出要选费用项目",IF(AND(L2543&lt;&gt;"",COUNTIF(基础资料!$AI$5:$AI$54,L2543)=0),"✗ 费用项目不在基础资料里",IF(AND(IFERROR(INDEX(基础资料!$AD$5:$AD$34,MATCH(O2543,基础资料!$AC$5:$AC$34,0)),"")="收",N(G2543)&lt;&gt;0),"✗ 这类是收款，金额填到收入列",IF(AND(IFERROR(INDEX(基础资料!$AD$5:$AD$34,MATCH(O2543,基础资料!$AC$5:$AC$34,0)),"")="支",N(F2543)&lt;&gt;0),"✗ 这类是付款，金额填到支出列",IF(N(H2543)&lt;0,"⚠ 账户余额成负数了，核对一下","√"))))))))))))))))))</f>
      </c>
      <c r="O2543" s="78">
        <f>IF(D2543&lt;&gt;"",D2543,IF(AND(F2543="",G2543=""),"",IF(J2543&lt;&gt;"",IF(N(F2543)&gt;0,"客户回款","客户退款"),IF(K2543&lt;&gt;"",IF(N(G2543)&gt;0,"供应商付款","供应商退款"),IF(L2543&lt;&gt;"","费用支出","")))))</f>
      </c>
      <c r="P2543" s="78">
        <f>IF(O2543="","",IFERROR(INDEX(基础资料!$AE$5:$AE$34,MATCH(O2543,基础资料!$AC$5:$AC$34,0)),"未知"))</f>
      </c>
      <c r="Q2543" s="78">
        <f>IF(P2543="应收",COUNTIF(P$7:P2543,"应收"),"")</f>
      </c>
      <c r="R2543" s="78">
        <f>IF(P2543="应付",COUNTIF(P$7:P2543,"应付"),"")</f>
      </c>
      <c r="S2543" s="78">
        <f>N(F2543)-N(G2543)</f>
        <v>0</v>
      </c>
    </row>
    <row r="2544">
      <c r="A2544" s="109">
        <f>IF(AND(F2544="",G2544=""),"",ROW()-6)</f>
      </c>
      <c r="B2544" s="140" t="n"/>
      <c r="C2544" s="141" t="n"/>
      <c r="D2544" s="141" t="n"/>
      <c r="E2544" s="142" t="n"/>
      <c r="F2544" s="143" t="n"/>
      <c r="G2544" s="144" t="n"/>
      <c r="H2544" s="145">
        <f>IF(OR(C2544="",AND(F2544="",G2544="")),"",SUMIF(基础资料!$W$5:$W$24,C2544,基础资料!$X$5:$X$24)+SUMIF(C$7:C2544,C2544,F$7:F2544)-SUMIF(C$7:C2544,C2544,G$7:G2544))</f>
      </c>
      <c r="I2544" s="145">
        <f>IF(AND(F2544="",G2544=""),"",SUM(基础资料!$X$5:$X$24)+SUM(F$7:F2544)-SUM(G$7:G2544))</f>
      </c>
      <c r="J2544" s="141" t="n"/>
      <c r="K2544" s="141" t="n"/>
      <c r="L2544" s="141" t="n"/>
      <c r="M2544" s="142" t="n"/>
      <c r="N2544" s="146">
        <f>IF(AND(AND(F2544="",G2544=""),B2544="",C2544="",D2544="",J2544="",K2544="",L2544=""),"",IF(AND(F2544="",G2544=""),"✗ 没填金额",IF(AND(N(F2544)&lt;&gt;0,N(G2544)&lt;&gt;0),"✗ 收入、支出只能填一边",IF(NOT(ISNUMBER(B2544)),"✗ 日期不是真日期（要像 2026/9/25 这样填）",IF(OR(B2544&lt;年初日,B2544&gt;年末日),"✗ 日期不在本会计年度",IF(C2544="","✗ 没选账户",IF(COUNTIF(基础资料!$W$5:$W$24,C2544)=0,"✗ 账户不在基础资料里",IF(O2544="","✗ 没选收支项目",IF(P2544="未知","✗ 收支项目不在基础资料里",IF(AND(P2544="应收",J2544=""),"✗ 这笔要选客户",IF(AND(P2544="应收",COUNTIF(总览汇总!$B$5:$B$304,J2544)=0),"✗ 客户不在总览汇总名单里",IF(AND(P2544="应付",K2544=""),"✗ 这笔要选供应商",IF(AND(P2544="应付",COUNTIF(基础资料!$Q$5:$Q$54,K2544)=0),"✗ 供应商不在基础资料里",IF(AND(P2544="费用",L2544=""),"✗ 费用支出要选费用项目",IF(AND(L2544&lt;&gt;"",COUNTIF(基础资料!$AI$5:$AI$54,L2544)=0),"✗ 费用项目不在基础资料里",IF(AND(IFERROR(INDEX(基础资料!$AD$5:$AD$34,MATCH(O2544,基础资料!$AC$5:$AC$34,0)),"")="收",N(G2544)&lt;&gt;0),"✗ 这类是收款，金额填到收入列",IF(AND(IFERROR(INDEX(基础资料!$AD$5:$AD$34,MATCH(O2544,基础资料!$AC$5:$AC$34,0)),"")="支",N(F2544)&lt;&gt;0),"✗ 这类是付款，金额填到支出列",IF(N(H2544)&lt;0,"⚠ 账户余额成负数了，核对一下","√"))))))))))))))))))</f>
      </c>
      <c r="O2544" s="78">
        <f>IF(D2544&lt;&gt;"",D2544,IF(AND(F2544="",G2544=""),"",IF(J2544&lt;&gt;"",IF(N(F2544)&gt;0,"客户回款","客户退款"),IF(K2544&lt;&gt;"",IF(N(G2544)&gt;0,"供应商付款","供应商退款"),IF(L2544&lt;&gt;"","费用支出","")))))</f>
      </c>
      <c r="P2544" s="78">
        <f>IF(O2544="","",IFERROR(INDEX(基础资料!$AE$5:$AE$34,MATCH(O2544,基础资料!$AC$5:$AC$34,0)),"未知"))</f>
      </c>
      <c r="Q2544" s="78">
        <f>IF(P2544="应收",COUNTIF(P$7:P2544,"应收"),"")</f>
      </c>
      <c r="R2544" s="78">
        <f>IF(P2544="应付",COUNTIF(P$7:P2544,"应付"),"")</f>
      </c>
      <c r="S2544" s="78">
        <f>N(F2544)-N(G2544)</f>
        <v>0</v>
      </c>
    </row>
    <row r="2545">
      <c r="A2545" s="109">
        <f>IF(AND(F2545="",G2545=""),"",ROW()-6)</f>
      </c>
      <c r="B2545" s="140" t="n"/>
      <c r="C2545" s="141" t="n"/>
      <c r="D2545" s="141" t="n"/>
      <c r="E2545" s="142" t="n"/>
      <c r="F2545" s="143" t="n"/>
      <c r="G2545" s="144" t="n"/>
      <c r="H2545" s="145">
        <f>IF(OR(C2545="",AND(F2545="",G2545="")),"",SUMIF(基础资料!$W$5:$W$24,C2545,基础资料!$X$5:$X$24)+SUMIF(C$7:C2545,C2545,F$7:F2545)-SUMIF(C$7:C2545,C2545,G$7:G2545))</f>
      </c>
      <c r="I2545" s="145">
        <f>IF(AND(F2545="",G2545=""),"",SUM(基础资料!$X$5:$X$24)+SUM(F$7:F2545)-SUM(G$7:G2545))</f>
      </c>
      <c r="J2545" s="141" t="n"/>
      <c r="K2545" s="141" t="n"/>
      <c r="L2545" s="141" t="n"/>
      <c r="M2545" s="142" t="n"/>
      <c r="N2545" s="146">
        <f>IF(AND(AND(F2545="",G2545=""),B2545="",C2545="",D2545="",J2545="",K2545="",L2545=""),"",IF(AND(F2545="",G2545=""),"✗ 没填金额",IF(AND(N(F2545)&lt;&gt;0,N(G2545)&lt;&gt;0),"✗ 收入、支出只能填一边",IF(NOT(ISNUMBER(B2545)),"✗ 日期不是真日期（要像 2026/9/25 这样填）",IF(OR(B2545&lt;年初日,B2545&gt;年末日),"✗ 日期不在本会计年度",IF(C2545="","✗ 没选账户",IF(COUNTIF(基础资料!$W$5:$W$24,C2545)=0,"✗ 账户不在基础资料里",IF(O2545="","✗ 没选收支项目",IF(P2545="未知","✗ 收支项目不在基础资料里",IF(AND(P2545="应收",J2545=""),"✗ 这笔要选客户",IF(AND(P2545="应收",COUNTIF(总览汇总!$B$5:$B$304,J2545)=0),"✗ 客户不在总览汇总名单里",IF(AND(P2545="应付",K2545=""),"✗ 这笔要选供应商",IF(AND(P2545="应付",COUNTIF(基础资料!$Q$5:$Q$54,K2545)=0),"✗ 供应商不在基础资料里",IF(AND(P2545="费用",L2545=""),"✗ 费用支出要选费用项目",IF(AND(L2545&lt;&gt;"",COUNTIF(基础资料!$AI$5:$AI$54,L2545)=0),"✗ 费用项目不在基础资料里",IF(AND(IFERROR(INDEX(基础资料!$AD$5:$AD$34,MATCH(O2545,基础资料!$AC$5:$AC$34,0)),"")="收",N(G2545)&lt;&gt;0),"✗ 这类是收款，金额填到收入列",IF(AND(IFERROR(INDEX(基础资料!$AD$5:$AD$34,MATCH(O2545,基础资料!$AC$5:$AC$34,0)),"")="支",N(F2545)&lt;&gt;0),"✗ 这类是付款，金额填到支出列",IF(N(H2545)&lt;0,"⚠ 账户余额成负数了，核对一下","√"))))))))))))))))))</f>
      </c>
      <c r="O2545" s="78">
        <f>IF(D2545&lt;&gt;"",D2545,IF(AND(F2545="",G2545=""),"",IF(J2545&lt;&gt;"",IF(N(F2545)&gt;0,"客户回款","客户退款"),IF(K2545&lt;&gt;"",IF(N(G2545)&gt;0,"供应商付款","供应商退款"),IF(L2545&lt;&gt;"","费用支出","")))))</f>
      </c>
      <c r="P2545" s="78">
        <f>IF(O2545="","",IFERROR(INDEX(基础资料!$AE$5:$AE$34,MATCH(O2545,基础资料!$AC$5:$AC$34,0)),"未知"))</f>
      </c>
      <c r="Q2545" s="78">
        <f>IF(P2545="应收",COUNTIF(P$7:P2545,"应收"),"")</f>
      </c>
      <c r="R2545" s="78">
        <f>IF(P2545="应付",COUNTIF(P$7:P2545,"应付"),"")</f>
      </c>
      <c r="S2545" s="78">
        <f>N(F2545)-N(G2545)</f>
        <v>0</v>
      </c>
    </row>
    <row r="2546">
      <c r="A2546" s="109">
        <f>IF(AND(F2546="",G2546=""),"",ROW()-6)</f>
      </c>
      <c r="B2546" s="140" t="n"/>
      <c r="C2546" s="141" t="n"/>
      <c r="D2546" s="141" t="n"/>
      <c r="E2546" s="142" t="n"/>
      <c r="F2546" s="143" t="n"/>
      <c r="G2546" s="144" t="n"/>
      <c r="H2546" s="145">
        <f>IF(OR(C2546="",AND(F2546="",G2546="")),"",SUMIF(基础资料!$W$5:$W$24,C2546,基础资料!$X$5:$X$24)+SUMIF(C$7:C2546,C2546,F$7:F2546)-SUMIF(C$7:C2546,C2546,G$7:G2546))</f>
      </c>
      <c r="I2546" s="145">
        <f>IF(AND(F2546="",G2546=""),"",SUM(基础资料!$X$5:$X$24)+SUM(F$7:F2546)-SUM(G$7:G2546))</f>
      </c>
      <c r="J2546" s="141" t="n"/>
      <c r="K2546" s="141" t="n"/>
      <c r="L2546" s="141" t="n"/>
      <c r="M2546" s="142" t="n"/>
      <c r="N2546" s="146">
        <f>IF(AND(AND(F2546="",G2546=""),B2546="",C2546="",D2546="",J2546="",K2546="",L2546=""),"",IF(AND(F2546="",G2546=""),"✗ 没填金额",IF(AND(N(F2546)&lt;&gt;0,N(G2546)&lt;&gt;0),"✗ 收入、支出只能填一边",IF(NOT(ISNUMBER(B2546)),"✗ 日期不是真日期（要像 2026/9/25 这样填）",IF(OR(B2546&lt;年初日,B2546&gt;年末日),"✗ 日期不在本会计年度",IF(C2546="","✗ 没选账户",IF(COUNTIF(基础资料!$W$5:$W$24,C2546)=0,"✗ 账户不在基础资料里",IF(O2546="","✗ 没选收支项目",IF(P2546="未知","✗ 收支项目不在基础资料里",IF(AND(P2546="应收",J2546=""),"✗ 这笔要选客户",IF(AND(P2546="应收",COUNTIF(总览汇总!$B$5:$B$304,J2546)=0),"✗ 客户不在总览汇总名单里",IF(AND(P2546="应付",K2546=""),"✗ 这笔要选供应商",IF(AND(P2546="应付",COUNTIF(基础资料!$Q$5:$Q$54,K2546)=0),"✗ 供应商不在基础资料里",IF(AND(P2546="费用",L2546=""),"✗ 费用支出要选费用项目",IF(AND(L2546&lt;&gt;"",COUNTIF(基础资料!$AI$5:$AI$54,L2546)=0),"✗ 费用项目不在基础资料里",IF(AND(IFERROR(INDEX(基础资料!$AD$5:$AD$34,MATCH(O2546,基础资料!$AC$5:$AC$34,0)),"")="收",N(G2546)&lt;&gt;0),"✗ 这类是收款，金额填到收入列",IF(AND(IFERROR(INDEX(基础资料!$AD$5:$AD$34,MATCH(O2546,基础资料!$AC$5:$AC$34,0)),"")="支",N(F2546)&lt;&gt;0),"✗ 这类是付款，金额填到支出列",IF(N(H2546)&lt;0,"⚠ 账户余额成负数了，核对一下","√"))))))))))))))))))</f>
      </c>
      <c r="O2546" s="78">
        <f>IF(D2546&lt;&gt;"",D2546,IF(AND(F2546="",G2546=""),"",IF(J2546&lt;&gt;"",IF(N(F2546)&gt;0,"客户回款","客户退款"),IF(K2546&lt;&gt;"",IF(N(G2546)&gt;0,"供应商付款","供应商退款"),IF(L2546&lt;&gt;"","费用支出","")))))</f>
      </c>
      <c r="P2546" s="78">
        <f>IF(O2546="","",IFERROR(INDEX(基础资料!$AE$5:$AE$34,MATCH(O2546,基础资料!$AC$5:$AC$34,0)),"未知"))</f>
      </c>
      <c r="Q2546" s="78">
        <f>IF(P2546="应收",COUNTIF(P$7:P2546,"应收"),"")</f>
      </c>
      <c r="R2546" s="78">
        <f>IF(P2546="应付",COUNTIF(P$7:P2546,"应付"),"")</f>
      </c>
      <c r="S2546" s="78">
        <f>N(F2546)-N(G2546)</f>
        <v>0</v>
      </c>
    </row>
    <row r="2547">
      <c r="A2547" s="109">
        <f>IF(AND(F2547="",G2547=""),"",ROW()-6)</f>
      </c>
      <c r="B2547" s="140" t="n"/>
      <c r="C2547" s="141" t="n"/>
      <c r="D2547" s="141" t="n"/>
      <c r="E2547" s="142" t="n"/>
      <c r="F2547" s="143" t="n"/>
      <c r="G2547" s="144" t="n"/>
      <c r="H2547" s="145">
        <f>IF(OR(C2547="",AND(F2547="",G2547="")),"",SUMIF(基础资料!$W$5:$W$24,C2547,基础资料!$X$5:$X$24)+SUMIF(C$7:C2547,C2547,F$7:F2547)-SUMIF(C$7:C2547,C2547,G$7:G2547))</f>
      </c>
      <c r="I2547" s="145">
        <f>IF(AND(F2547="",G2547=""),"",SUM(基础资料!$X$5:$X$24)+SUM(F$7:F2547)-SUM(G$7:G2547))</f>
      </c>
      <c r="J2547" s="141" t="n"/>
      <c r="K2547" s="141" t="n"/>
      <c r="L2547" s="141" t="n"/>
      <c r="M2547" s="142" t="n"/>
      <c r="N2547" s="146">
        <f>IF(AND(AND(F2547="",G2547=""),B2547="",C2547="",D2547="",J2547="",K2547="",L2547=""),"",IF(AND(F2547="",G2547=""),"✗ 没填金额",IF(AND(N(F2547)&lt;&gt;0,N(G2547)&lt;&gt;0),"✗ 收入、支出只能填一边",IF(NOT(ISNUMBER(B2547)),"✗ 日期不是真日期（要像 2026/9/25 这样填）",IF(OR(B2547&lt;年初日,B2547&gt;年末日),"✗ 日期不在本会计年度",IF(C2547="","✗ 没选账户",IF(COUNTIF(基础资料!$W$5:$W$24,C2547)=0,"✗ 账户不在基础资料里",IF(O2547="","✗ 没选收支项目",IF(P2547="未知","✗ 收支项目不在基础资料里",IF(AND(P2547="应收",J2547=""),"✗ 这笔要选客户",IF(AND(P2547="应收",COUNTIF(总览汇总!$B$5:$B$304,J2547)=0),"✗ 客户不在总览汇总名单里",IF(AND(P2547="应付",K2547=""),"✗ 这笔要选供应商",IF(AND(P2547="应付",COUNTIF(基础资料!$Q$5:$Q$54,K2547)=0),"✗ 供应商不在基础资料里",IF(AND(P2547="费用",L2547=""),"✗ 费用支出要选费用项目",IF(AND(L2547&lt;&gt;"",COUNTIF(基础资料!$AI$5:$AI$54,L2547)=0),"✗ 费用项目不在基础资料里",IF(AND(IFERROR(INDEX(基础资料!$AD$5:$AD$34,MATCH(O2547,基础资料!$AC$5:$AC$34,0)),"")="收",N(G2547)&lt;&gt;0),"✗ 这类是收款，金额填到收入列",IF(AND(IFERROR(INDEX(基础资料!$AD$5:$AD$34,MATCH(O2547,基础资料!$AC$5:$AC$34,0)),"")="支",N(F2547)&lt;&gt;0),"✗ 这类是付款，金额填到支出列",IF(N(H2547)&lt;0,"⚠ 账户余额成负数了，核对一下","√"))))))))))))))))))</f>
      </c>
      <c r="O2547" s="78">
        <f>IF(D2547&lt;&gt;"",D2547,IF(AND(F2547="",G2547=""),"",IF(J2547&lt;&gt;"",IF(N(F2547)&gt;0,"客户回款","客户退款"),IF(K2547&lt;&gt;"",IF(N(G2547)&gt;0,"供应商付款","供应商退款"),IF(L2547&lt;&gt;"","费用支出","")))))</f>
      </c>
      <c r="P2547" s="78">
        <f>IF(O2547="","",IFERROR(INDEX(基础资料!$AE$5:$AE$34,MATCH(O2547,基础资料!$AC$5:$AC$34,0)),"未知"))</f>
      </c>
      <c r="Q2547" s="78">
        <f>IF(P2547="应收",COUNTIF(P$7:P2547,"应收"),"")</f>
      </c>
      <c r="R2547" s="78">
        <f>IF(P2547="应付",COUNTIF(P$7:P2547,"应付"),"")</f>
      </c>
      <c r="S2547" s="78">
        <f>N(F2547)-N(G2547)</f>
        <v>0</v>
      </c>
    </row>
    <row r="2548">
      <c r="A2548" s="109">
        <f>IF(AND(F2548="",G2548=""),"",ROW()-6)</f>
      </c>
      <c r="B2548" s="140" t="n"/>
      <c r="C2548" s="141" t="n"/>
      <c r="D2548" s="141" t="n"/>
      <c r="E2548" s="142" t="n"/>
      <c r="F2548" s="143" t="n"/>
      <c r="G2548" s="144" t="n"/>
      <c r="H2548" s="145">
        <f>IF(OR(C2548="",AND(F2548="",G2548="")),"",SUMIF(基础资料!$W$5:$W$24,C2548,基础资料!$X$5:$X$24)+SUMIF(C$7:C2548,C2548,F$7:F2548)-SUMIF(C$7:C2548,C2548,G$7:G2548))</f>
      </c>
      <c r="I2548" s="145">
        <f>IF(AND(F2548="",G2548=""),"",SUM(基础资料!$X$5:$X$24)+SUM(F$7:F2548)-SUM(G$7:G2548))</f>
      </c>
      <c r="J2548" s="141" t="n"/>
      <c r="K2548" s="141" t="n"/>
      <c r="L2548" s="141" t="n"/>
      <c r="M2548" s="142" t="n"/>
      <c r="N2548" s="146">
        <f>IF(AND(AND(F2548="",G2548=""),B2548="",C2548="",D2548="",J2548="",K2548="",L2548=""),"",IF(AND(F2548="",G2548=""),"✗ 没填金额",IF(AND(N(F2548)&lt;&gt;0,N(G2548)&lt;&gt;0),"✗ 收入、支出只能填一边",IF(NOT(ISNUMBER(B2548)),"✗ 日期不是真日期（要像 2026/9/25 这样填）",IF(OR(B2548&lt;年初日,B2548&gt;年末日),"✗ 日期不在本会计年度",IF(C2548="","✗ 没选账户",IF(COUNTIF(基础资料!$W$5:$W$24,C2548)=0,"✗ 账户不在基础资料里",IF(O2548="","✗ 没选收支项目",IF(P2548="未知","✗ 收支项目不在基础资料里",IF(AND(P2548="应收",J2548=""),"✗ 这笔要选客户",IF(AND(P2548="应收",COUNTIF(总览汇总!$B$5:$B$304,J2548)=0),"✗ 客户不在总览汇总名单里",IF(AND(P2548="应付",K2548=""),"✗ 这笔要选供应商",IF(AND(P2548="应付",COUNTIF(基础资料!$Q$5:$Q$54,K2548)=0),"✗ 供应商不在基础资料里",IF(AND(P2548="费用",L2548=""),"✗ 费用支出要选费用项目",IF(AND(L2548&lt;&gt;"",COUNTIF(基础资料!$AI$5:$AI$54,L2548)=0),"✗ 费用项目不在基础资料里",IF(AND(IFERROR(INDEX(基础资料!$AD$5:$AD$34,MATCH(O2548,基础资料!$AC$5:$AC$34,0)),"")="收",N(G2548)&lt;&gt;0),"✗ 这类是收款，金额填到收入列",IF(AND(IFERROR(INDEX(基础资料!$AD$5:$AD$34,MATCH(O2548,基础资料!$AC$5:$AC$34,0)),"")="支",N(F2548)&lt;&gt;0),"✗ 这类是付款，金额填到支出列",IF(N(H2548)&lt;0,"⚠ 账户余额成负数了，核对一下","√"))))))))))))))))))</f>
      </c>
      <c r="O2548" s="78">
        <f>IF(D2548&lt;&gt;"",D2548,IF(AND(F2548="",G2548=""),"",IF(J2548&lt;&gt;"",IF(N(F2548)&gt;0,"客户回款","客户退款"),IF(K2548&lt;&gt;"",IF(N(G2548)&gt;0,"供应商付款","供应商退款"),IF(L2548&lt;&gt;"","费用支出","")))))</f>
      </c>
      <c r="P2548" s="78">
        <f>IF(O2548="","",IFERROR(INDEX(基础资料!$AE$5:$AE$34,MATCH(O2548,基础资料!$AC$5:$AC$34,0)),"未知"))</f>
      </c>
      <c r="Q2548" s="78">
        <f>IF(P2548="应收",COUNTIF(P$7:P2548,"应收"),"")</f>
      </c>
      <c r="R2548" s="78">
        <f>IF(P2548="应付",COUNTIF(P$7:P2548,"应付"),"")</f>
      </c>
      <c r="S2548" s="78">
        <f>N(F2548)-N(G2548)</f>
        <v>0</v>
      </c>
    </row>
    <row r="2549">
      <c r="A2549" s="109">
        <f>IF(AND(F2549="",G2549=""),"",ROW()-6)</f>
      </c>
      <c r="B2549" s="140" t="n"/>
      <c r="C2549" s="141" t="n"/>
      <c r="D2549" s="141" t="n"/>
      <c r="E2549" s="142" t="n"/>
      <c r="F2549" s="143" t="n"/>
      <c r="G2549" s="144" t="n"/>
      <c r="H2549" s="145">
        <f>IF(OR(C2549="",AND(F2549="",G2549="")),"",SUMIF(基础资料!$W$5:$W$24,C2549,基础资料!$X$5:$X$24)+SUMIF(C$7:C2549,C2549,F$7:F2549)-SUMIF(C$7:C2549,C2549,G$7:G2549))</f>
      </c>
      <c r="I2549" s="145">
        <f>IF(AND(F2549="",G2549=""),"",SUM(基础资料!$X$5:$X$24)+SUM(F$7:F2549)-SUM(G$7:G2549))</f>
      </c>
      <c r="J2549" s="141" t="n"/>
      <c r="K2549" s="141" t="n"/>
      <c r="L2549" s="141" t="n"/>
      <c r="M2549" s="142" t="n"/>
      <c r="N2549" s="146">
        <f>IF(AND(AND(F2549="",G2549=""),B2549="",C2549="",D2549="",J2549="",K2549="",L2549=""),"",IF(AND(F2549="",G2549=""),"✗ 没填金额",IF(AND(N(F2549)&lt;&gt;0,N(G2549)&lt;&gt;0),"✗ 收入、支出只能填一边",IF(NOT(ISNUMBER(B2549)),"✗ 日期不是真日期（要像 2026/9/25 这样填）",IF(OR(B2549&lt;年初日,B2549&gt;年末日),"✗ 日期不在本会计年度",IF(C2549="","✗ 没选账户",IF(COUNTIF(基础资料!$W$5:$W$24,C2549)=0,"✗ 账户不在基础资料里",IF(O2549="","✗ 没选收支项目",IF(P2549="未知","✗ 收支项目不在基础资料里",IF(AND(P2549="应收",J2549=""),"✗ 这笔要选客户",IF(AND(P2549="应收",COUNTIF(总览汇总!$B$5:$B$304,J2549)=0),"✗ 客户不在总览汇总名单里",IF(AND(P2549="应付",K2549=""),"✗ 这笔要选供应商",IF(AND(P2549="应付",COUNTIF(基础资料!$Q$5:$Q$54,K2549)=0),"✗ 供应商不在基础资料里",IF(AND(P2549="费用",L2549=""),"✗ 费用支出要选费用项目",IF(AND(L2549&lt;&gt;"",COUNTIF(基础资料!$AI$5:$AI$54,L2549)=0),"✗ 费用项目不在基础资料里",IF(AND(IFERROR(INDEX(基础资料!$AD$5:$AD$34,MATCH(O2549,基础资料!$AC$5:$AC$34,0)),"")="收",N(G2549)&lt;&gt;0),"✗ 这类是收款，金额填到收入列",IF(AND(IFERROR(INDEX(基础资料!$AD$5:$AD$34,MATCH(O2549,基础资料!$AC$5:$AC$34,0)),"")="支",N(F2549)&lt;&gt;0),"✗ 这类是付款，金额填到支出列",IF(N(H2549)&lt;0,"⚠ 账户余额成负数了，核对一下","√"))))))))))))))))))</f>
      </c>
      <c r="O2549" s="78">
        <f>IF(D2549&lt;&gt;"",D2549,IF(AND(F2549="",G2549=""),"",IF(J2549&lt;&gt;"",IF(N(F2549)&gt;0,"客户回款","客户退款"),IF(K2549&lt;&gt;"",IF(N(G2549)&gt;0,"供应商付款","供应商退款"),IF(L2549&lt;&gt;"","费用支出","")))))</f>
      </c>
      <c r="P2549" s="78">
        <f>IF(O2549="","",IFERROR(INDEX(基础资料!$AE$5:$AE$34,MATCH(O2549,基础资料!$AC$5:$AC$34,0)),"未知"))</f>
      </c>
      <c r="Q2549" s="78">
        <f>IF(P2549="应收",COUNTIF(P$7:P2549,"应收"),"")</f>
      </c>
      <c r="R2549" s="78">
        <f>IF(P2549="应付",COUNTIF(P$7:P2549,"应付"),"")</f>
      </c>
      <c r="S2549" s="78">
        <f>N(F2549)-N(G2549)</f>
        <v>0</v>
      </c>
    </row>
    <row r="2550">
      <c r="A2550" s="109">
        <f>IF(AND(F2550="",G2550=""),"",ROW()-6)</f>
      </c>
      <c r="B2550" s="140" t="n"/>
      <c r="C2550" s="141" t="n"/>
      <c r="D2550" s="141" t="n"/>
      <c r="E2550" s="142" t="n"/>
      <c r="F2550" s="143" t="n"/>
      <c r="G2550" s="144" t="n"/>
      <c r="H2550" s="145">
        <f>IF(OR(C2550="",AND(F2550="",G2550="")),"",SUMIF(基础资料!$W$5:$W$24,C2550,基础资料!$X$5:$X$24)+SUMIF(C$7:C2550,C2550,F$7:F2550)-SUMIF(C$7:C2550,C2550,G$7:G2550))</f>
      </c>
      <c r="I2550" s="145">
        <f>IF(AND(F2550="",G2550=""),"",SUM(基础资料!$X$5:$X$24)+SUM(F$7:F2550)-SUM(G$7:G2550))</f>
      </c>
      <c r="J2550" s="141" t="n"/>
      <c r="K2550" s="141" t="n"/>
      <c r="L2550" s="141" t="n"/>
      <c r="M2550" s="142" t="n"/>
      <c r="N2550" s="146">
        <f>IF(AND(AND(F2550="",G2550=""),B2550="",C2550="",D2550="",J2550="",K2550="",L2550=""),"",IF(AND(F2550="",G2550=""),"✗ 没填金额",IF(AND(N(F2550)&lt;&gt;0,N(G2550)&lt;&gt;0),"✗ 收入、支出只能填一边",IF(NOT(ISNUMBER(B2550)),"✗ 日期不是真日期（要像 2026/9/25 这样填）",IF(OR(B2550&lt;年初日,B2550&gt;年末日),"✗ 日期不在本会计年度",IF(C2550="","✗ 没选账户",IF(COUNTIF(基础资料!$W$5:$W$24,C2550)=0,"✗ 账户不在基础资料里",IF(O2550="","✗ 没选收支项目",IF(P2550="未知","✗ 收支项目不在基础资料里",IF(AND(P2550="应收",J2550=""),"✗ 这笔要选客户",IF(AND(P2550="应收",COUNTIF(总览汇总!$B$5:$B$304,J2550)=0),"✗ 客户不在总览汇总名单里",IF(AND(P2550="应付",K2550=""),"✗ 这笔要选供应商",IF(AND(P2550="应付",COUNTIF(基础资料!$Q$5:$Q$54,K2550)=0),"✗ 供应商不在基础资料里",IF(AND(P2550="费用",L2550=""),"✗ 费用支出要选费用项目",IF(AND(L2550&lt;&gt;"",COUNTIF(基础资料!$AI$5:$AI$54,L2550)=0),"✗ 费用项目不在基础资料里",IF(AND(IFERROR(INDEX(基础资料!$AD$5:$AD$34,MATCH(O2550,基础资料!$AC$5:$AC$34,0)),"")="收",N(G2550)&lt;&gt;0),"✗ 这类是收款，金额填到收入列",IF(AND(IFERROR(INDEX(基础资料!$AD$5:$AD$34,MATCH(O2550,基础资料!$AC$5:$AC$34,0)),"")="支",N(F2550)&lt;&gt;0),"✗ 这类是付款，金额填到支出列",IF(N(H2550)&lt;0,"⚠ 账户余额成负数了，核对一下","√"))))))))))))))))))</f>
      </c>
      <c r="O2550" s="78">
        <f>IF(D2550&lt;&gt;"",D2550,IF(AND(F2550="",G2550=""),"",IF(J2550&lt;&gt;"",IF(N(F2550)&gt;0,"客户回款","客户退款"),IF(K2550&lt;&gt;"",IF(N(G2550)&gt;0,"供应商付款","供应商退款"),IF(L2550&lt;&gt;"","费用支出","")))))</f>
      </c>
      <c r="P2550" s="78">
        <f>IF(O2550="","",IFERROR(INDEX(基础资料!$AE$5:$AE$34,MATCH(O2550,基础资料!$AC$5:$AC$34,0)),"未知"))</f>
      </c>
      <c r="Q2550" s="78">
        <f>IF(P2550="应收",COUNTIF(P$7:P2550,"应收"),"")</f>
      </c>
      <c r="R2550" s="78">
        <f>IF(P2550="应付",COUNTIF(P$7:P2550,"应付"),"")</f>
      </c>
      <c r="S2550" s="78">
        <f>N(F2550)-N(G2550)</f>
        <v>0</v>
      </c>
    </row>
    <row r="2551">
      <c r="A2551" s="109">
        <f>IF(AND(F2551="",G2551=""),"",ROW()-6)</f>
      </c>
      <c r="B2551" s="140" t="n"/>
      <c r="C2551" s="141" t="n"/>
      <c r="D2551" s="141" t="n"/>
      <c r="E2551" s="142" t="n"/>
      <c r="F2551" s="143" t="n"/>
      <c r="G2551" s="144" t="n"/>
      <c r="H2551" s="145">
        <f>IF(OR(C2551="",AND(F2551="",G2551="")),"",SUMIF(基础资料!$W$5:$W$24,C2551,基础资料!$X$5:$X$24)+SUMIF(C$7:C2551,C2551,F$7:F2551)-SUMIF(C$7:C2551,C2551,G$7:G2551))</f>
      </c>
      <c r="I2551" s="145">
        <f>IF(AND(F2551="",G2551=""),"",SUM(基础资料!$X$5:$X$24)+SUM(F$7:F2551)-SUM(G$7:G2551))</f>
      </c>
      <c r="J2551" s="141" t="n"/>
      <c r="K2551" s="141" t="n"/>
      <c r="L2551" s="141" t="n"/>
      <c r="M2551" s="142" t="n"/>
      <c r="N2551" s="146">
        <f>IF(AND(AND(F2551="",G2551=""),B2551="",C2551="",D2551="",J2551="",K2551="",L2551=""),"",IF(AND(F2551="",G2551=""),"✗ 没填金额",IF(AND(N(F2551)&lt;&gt;0,N(G2551)&lt;&gt;0),"✗ 收入、支出只能填一边",IF(NOT(ISNUMBER(B2551)),"✗ 日期不是真日期（要像 2026/9/25 这样填）",IF(OR(B2551&lt;年初日,B2551&gt;年末日),"✗ 日期不在本会计年度",IF(C2551="","✗ 没选账户",IF(COUNTIF(基础资料!$W$5:$W$24,C2551)=0,"✗ 账户不在基础资料里",IF(O2551="","✗ 没选收支项目",IF(P2551="未知","✗ 收支项目不在基础资料里",IF(AND(P2551="应收",J2551=""),"✗ 这笔要选客户",IF(AND(P2551="应收",COUNTIF(总览汇总!$B$5:$B$304,J2551)=0),"✗ 客户不在总览汇总名单里",IF(AND(P2551="应付",K2551=""),"✗ 这笔要选供应商",IF(AND(P2551="应付",COUNTIF(基础资料!$Q$5:$Q$54,K2551)=0),"✗ 供应商不在基础资料里",IF(AND(P2551="费用",L2551=""),"✗ 费用支出要选费用项目",IF(AND(L2551&lt;&gt;"",COUNTIF(基础资料!$AI$5:$AI$54,L2551)=0),"✗ 费用项目不在基础资料里",IF(AND(IFERROR(INDEX(基础资料!$AD$5:$AD$34,MATCH(O2551,基础资料!$AC$5:$AC$34,0)),"")="收",N(G2551)&lt;&gt;0),"✗ 这类是收款，金额填到收入列",IF(AND(IFERROR(INDEX(基础资料!$AD$5:$AD$34,MATCH(O2551,基础资料!$AC$5:$AC$34,0)),"")="支",N(F2551)&lt;&gt;0),"✗ 这类是付款，金额填到支出列",IF(N(H2551)&lt;0,"⚠ 账户余额成负数了，核对一下","√"))))))))))))))))))</f>
      </c>
      <c r="O2551" s="78">
        <f>IF(D2551&lt;&gt;"",D2551,IF(AND(F2551="",G2551=""),"",IF(J2551&lt;&gt;"",IF(N(F2551)&gt;0,"客户回款","客户退款"),IF(K2551&lt;&gt;"",IF(N(G2551)&gt;0,"供应商付款","供应商退款"),IF(L2551&lt;&gt;"","费用支出","")))))</f>
      </c>
      <c r="P2551" s="78">
        <f>IF(O2551="","",IFERROR(INDEX(基础资料!$AE$5:$AE$34,MATCH(O2551,基础资料!$AC$5:$AC$34,0)),"未知"))</f>
      </c>
      <c r="Q2551" s="78">
        <f>IF(P2551="应收",COUNTIF(P$7:P2551,"应收"),"")</f>
      </c>
      <c r="R2551" s="78">
        <f>IF(P2551="应付",COUNTIF(P$7:P2551,"应付"),"")</f>
      </c>
      <c r="S2551" s="78">
        <f>N(F2551)-N(G2551)</f>
        <v>0</v>
      </c>
    </row>
    <row r="2552">
      <c r="A2552" s="109">
        <f>IF(AND(F2552="",G2552=""),"",ROW()-6)</f>
      </c>
      <c r="B2552" s="140" t="n"/>
      <c r="C2552" s="141" t="n"/>
      <c r="D2552" s="141" t="n"/>
      <c r="E2552" s="142" t="n"/>
      <c r="F2552" s="143" t="n"/>
      <c r="G2552" s="144" t="n"/>
      <c r="H2552" s="145">
        <f>IF(OR(C2552="",AND(F2552="",G2552="")),"",SUMIF(基础资料!$W$5:$W$24,C2552,基础资料!$X$5:$X$24)+SUMIF(C$7:C2552,C2552,F$7:F2552)-SUMIF(C$7:C2552,C2552,G$7:G2552))</f>
      </c>
      <c r="I2552" s="145">
        <f>IF(AND(F2552="",G2552=""),"",SUM(基础资料!$X$5:$X$24)+SUM(F$7:F2552)-SUM(G$7:G2552))</f>
      </c>
      <c r="J2552" s="141" t="n"/>
      <c r="K2552" s="141" t="n"/>
      <c r="L2552" s="141" t="n"/>
      <c r="M2552" s="142" t="n"/>
      <c r="N2552" s="146">
        <f>IF(AND(AND(F2552="",G2552=""),B2552="",C2552="",D2552="",J2552="",K2552="",L2552=""),"",IF(AND(F2552="",G2552=""),"✗ 没填金额",IF(AND(N(F2552)&lt;&gt;0,N(G2552)&lt;&gt;0),"✗ 收入、支出只能填一边",IF(NOT(ISNUMBER(B2552)),"✗ 日期不是真日期（要像 2026/9/25 这样填）",IF(OR(B2552&lt;年初日,B2552&gt;年末日),"✗ 日期不在本会计年度",IF(C2552="","✗ 没选账户",IF(COUNTIF(基础资料!$W$5:$W$24,C2552)=0,"✗ 账户不在基础资料里",IF(O2552="","✗ 没选收支项目",IF(P2552="未知","✗ 收支项目不在基础资料里",IF(AND(P2552="应收",J2552=""),"✗ 这笔要选客户",IF(AND(P2552="应收",COUNTIF(总览汇总!$B$5:$B$304,J2552)=0),"✗ 客户不在总览汇总名单里",IF(AND(P2552="应付",K2552=""),"✗ 这笔要选供应商",IF(AND(P2552="应付",COUNTIF(基础资料!$Q$5:$Q$54,K2552)=0),"✗ 供应商不在基础资料里",IF(AND(P2552="费用",L2552=""),"✗ 费用支出要选费用项目",IF(AND(L2552&lt;&gt;"",COUNTIF(基础资料!$AI$5:$AI$54,L2552)=0),"✗ 费用项目不在基础资料里",IF(AND(IFERROR(INDEX(基础资料!$AD$5:$AD$34,MATCH(O2552,基础资料!$AC$5:$AC$34,0)),"")="收",N(G2552)&lt;&gt;0),"✗ 这类是收款，金额填到收入列",IF(AND(IFERROR(INDEX(基础资料!$AD$5:$AD$34,MATCH(O2552,基础资料!$AC$5:$AC$34,0)),"")="支",N(F2552)&lt;&gt;0),"✗ 这类是付款，金额填到支出列",IF(N(H2552)&lt;0,"⚠ 账户余额成负数了，核对一下","√"))))))))))))))))))</f>
      </c>
      <c r="O2552" s="78">
        <f>IF(D2552&lt;&gt;"",D2552,IF(AND(F2552="",G2552=""),"",IF(J2552&lt;&gt;"",IF(N(F2552)&gt;0,"客户回款","客户退款"),IF(K2552&lt;&gt;"",IF(N(G2552)&gt;0,"供应商付款","供应商退款"),IF(L2552&lt;&gt;"","费用支出","")))))</f>
      </c>
      <c r="P2552" s="78">
        <f>IF(O2552="","",IFERROR(INDEX(基础资料!$AE$5:$AE$34,MATCH(O2552,基础资料!$AC$5:$AC$34,0)),"未知"))</f>
      </c>
      <c r="Q2552" s="78">
        <f>IF(P2552="应收",COUNTIF(P$7:P2552,"应收"),"")</f>
      </c>
      <c r="R2552" s="78">
        <f>IF(P2552="应付",COUNTIF(P$7:P2552,"应付"),"")</f>
      </c>
      <c r="S2552" s="78">
        <f>N(F2552)-N(G2552)</f>
        <v>0</v>
      </c>
    </row>
    <row r="2553">
      <c r="A2553" s="109">
        <f>IF(AND(F2553="",G2553=""),"",ROW()-6)</f>
      </c>
      <c r="B2553" s="140" t="n"/>
      <c r="C2553" s="141" t="n"/>
      <c r="D2553" s="141" t="n"/>
      <c r="E2553" s="142" t="n"/>
      <c r="F2553" s="143" t="n"/>
      <c r="G2553" s="144" t="n"/>
      <c r="H2553" s="145">
        <f>IF(OR(C2553="",AND(F2553="",G2553="")),"",SUMIF(基础资料!$W$5:$W$24,C2553,基础资料!$X$5:$X$24)+SUMIF(C$7:C2553,C2553,F$7:F2553)-SUMIF(C$7:C2553,C2553,G$7:G2553))</f>
      </c>
      <c r="I2553" s="145">
        <f>IF(AND(F2553="",G2553=""),"",SUM(基础资料!$X$5:$X$24)+SUM(F$7:F2553)-SUM(G$7:G2553))</f>
      </c>
      <c r="J2553" s="141" t="n"/>
      <c r="K2553" s="141" t="n"/>
      <c r="L2553" s="141" t="n"/>
      <c r="M2553" s="142" t="n"/>
      <c r="N2553" s="146">
        <f>IF(AND(AND(F2553="",G2553=""),B2553="",C2553="",D2553="",J2553="",K2553="",L2553=""),"",IF(AND(F2553="",G2553=""),"✗ 没填金额",IF(AND(N(F2553)&lt;&gt;0,N(G2553)&lt;&gt;0),"✗ 收入、支出只能填一边",IF(NOT(ISNUMBER(B2553)),"✗ 日期不是真日期（要像 2026/9/25 这样填）",IF(OR(B2553&lt;年初日,B2553&gt;年末日),"✗ 日期不在本会计年度",IF(C2553="","✗ 没选账户",IF(COUNTIF(基础资料!$W$5:$W$24,C2553)=0,"✗ 账户不在基础资料里",IF(O2553="","✗ 没选收支项目",IF(P2553="未知","✗ 收支项目不在基础资料里",IF(AND(P2553="应收",J2553=""),"✗ 这笔要选客户",IF(AND(P2553="应收",COUNTIF(总览汇总!$B$5:$B$304,J2553)=0),"✗ 客户不在总览汇总名单里",IF(AND(P2553="应付",K2553=""),"✗ 这笔要选供应商",IF(AND(P2553="应付",COUNTIF(基础资料!$Q$5:$Q$54,K2553)=0),"✗ 供应商不在基础资料里",IF(AND(P2553="费用",L2553=""),"✗ 费用支出要选费用项目",IF(AND(L2553&lt;&gt;"",COUNTIF(基础资料!$AI$5:$AI$54,L2553)=0),"✗ 费用项目不在基础资料里",IF(AND(IFERROR(INDEX(基础资料!$AD$5:$AD$34,MATCH(O2553,基础资料!$AC$5:$AC$34,0)),"")="收",N(G2553)&lt;&gt;0),"✗ 这类是收款，金额填到收入列",IF(AND(IFERROR(INDEX(基础资料!$AD$5:$AD$34,MATCH(O2553,基础资料!$AC$5:$AC$34,0)),"")="支",N(F2553)&lt;&gt;0),"✗ 这类是付款，金额填到支出列",IF(N(H2553)&lt;0,"⚠ 账户余额成负数了，核对一下","√"))))))))))))))))))</f>
      </c>
      <c r="O2553" s="78">
        <f>IF(D2553&lt;&gt;"",D2553,IF(AND(F2553="",G2553=""),"",IF(J2553&lt;&gt;"",IF(N(F2553)&gt;0,"客户回款","客户退款"),IF(K2553&lt;&gt;"",IF(N(G2553)&gt;0,"供应商付款","供应商退款"),IF(L2553&lt;&gt;"","费用支出","")))))</f>
      </c>
      <c r="P2553" s="78">
        <f>IF(O2553="","",IFERROR(INDEX(基础资料!$AE$5:$AE$34,MATCH(O2553,基础资料!$AC$5:$AC$34,0)),"未知"))</f>
      </c>
      <c r="Q2553" s="78">
        <f>IF(P2553="应收",COUNTIF(P$7:P2553,"应收"),"")</f>
      </c>
      <c r="R2553" s="78">
        <f>IF(P2553="应付",COUNTIF(P$7:P2553,"应付"),"")</f>
      </c>
      <c r="S2553" s="78">
        <f>N(F2553)-N(G2553)</f>
        <v>0</v>
      </c>
    </row>
    <row r="2554">
      <c r="A2554" s="109">
        <f>IF(AND(F2554="",G2554=""),"",ROW()-6)</f>
      </c>
      <c r="B2554" s="140" t="n"/>
      <c r="C2554" s="141" t="n"/>
      <c r="D2554" s="141" t="n"/>
      <c r="E2554" s="142" t="n"/>
      <c r="F2554" s="143" t="n"/>
      <c r="G2554" s="144" t="n"/>
      <c r="H2554" s="145">
        <f>IF(OR(C2554="",AND(F2554="",G2554="")),"",SUMIF(基础资料!$W$5:$W$24,C2554,基础资料!$X$5:$X$24)+SUMIF(C$7:C2554,C2554,F$7:F2554)-SUMIF(C$7:C2554,C2554,G$7:G2554))</f>
      </c>
      <c r="I2554" s="145">
        <f>IF(AND(F2554="",G2554=""),"",SUM(基础资料!$X$5:$X$24)+SUM(F$7:F2554)-SUM(G$7:G2554))</f>
      </c>
      <c r="J2554" s="141" t="n"/>
      <c r="K2554" s="141" t="n"/>
      <c r="L2554" s="141" t="n"/>
      <c r="M2554" s="142" t="n"/>
      <c r="N2554" s="146">
        <f>IF(AND(AND(F2554="",G2554=""),B2554="",C2554="",D2554="",J2554="",K2554="",L2554=""),"",IF(AND(F2554="",G2554=""),"✗ 没填金额",IF(AND(N(F2554)&lt;&gt;0,N(G2554)&lt;&gt;0),"✗ 收入、支出只能填一边",IF(NOT(ISNUMBER(B2554)),"✗ 日期不是真日期（要像 2026/9/25 这样填）",IF(OR(B2554&lt;年初日,B2554&gt;年末日),"✗ 日期不在本会计年度",IF(C2554="","✗ 没选账户",IF(COUNTIF(基础资料!$W$5:$W$24,C2554)=0,"✗ 账户不在基础资料里",IF(O2554="","✗ 没选收支项目",IF(P2554="未知","✗ 收支项目不在基础资料里",IF(AND(P2554="应收",J2554=""),"✗ 这笔要选客户",IF(AND(P2554="应收",COUNTIF(总览汇总!$B$5:$B$304,J2554)=0),"✗ 客户不在总览汇总名单里",IF(AND(P2554="应付",K2554=""),"✗ 这笔要选供应商",IF(AND(P2554="应付",COUNTIF(基础资料!$Q$5:$Q$54,K2554)=0),"✗ 供应商不在基础资料里",IF(AND(P2554="费用",L2554=""),"✗ 费用支出要选费用项目",IF(AND(L2554&lt;&gt;"",COUNTIF(基础资料!$AI$5:$AI$54,L2554)=0),"✗ 费用项目不在基础资料里",IF(AND(IFERROR(INDEX(基础资料!$AD$5:$AD$34,MATCH(O2554,基础资料!$AC$5:$AC$34,0)),"")="收",N(G2554)&lt;&gt;0),"✗ 这类是收款，金额填到收入列",IF(AND(IFERROR(INDEX(基础资料!$AD$5:$AD$34,MATCH(O2554,基础资料!$AC$5:$AC$34,0)),"")="支",N(F2554)&lt;&gt;0),"✗ 这类是付款，金额填到支出列",IF(N(H2554)&lt;0,"⚠ 账户余额成负数了，核对一下","√"))))))))))))))))))</f>
      </c>
      <c r="O2554" s="78">
        <f>IF(D2554&lt;&gt;"",D2554,IF(AND(F2554="",G2554=""),"",IF(J2554&lt;&gt;"",IF(N(F2554)&gt;0,"客户回款","客户退款"),IF(K2554&lt;&gt;"",IF(N(G2554)&gt;0,"供应商付款","供应商退款"),IF(L2554&lt;&gt;"","费用支出","")))))</f>
      </c>
      <c r="P2554" s="78">
        <f>IF(O2554="","",IFERROR(INDEX(基础资料!$AE$5:$AE$34,MATCH(O2554,基础资料!$AC$5:$AC$34,0)),"未知"))</f>
      </c>
      <c r="Q2554" s="78">
        <f>IF(P2554="应收",COUNTIF(P$7:P2554,"应收"),"")</f>
      </c>
      <c r="R2554" s="78">
        <f>IF(P2554="应付",COUNTIF(P$7:P2554,"应付"),"")</f>
      </c>
      <c r="S2554" s="78">
        <f>N(F2554)-N(G2554)</f>
        <v>0</v>
      </c>
    </row>
    <row r="2555">
      <c r="A2555" s="109">
        <f>IF(AND(F2555="",G2555=""),"",ROW()-6)</f>
      </c>
      <c r="B2555" s="140" t="n"/>
      <c r="C2555" s="141" t="n"/>
      <c r="D2555" s="141" t="n"/>
      <c r="E2555" s="142" t="n"/>
      <c r="F2555" s="143" t="n"/>
      <c r="G2555" s="144" t="n"/>
      <c r="H2555" s="145">
        <f>IF(OR(C2555="",AND(F2555="",G2555="")),"",SUMIF(基础资料!$W$5:$W$24,C2555,基础资料!$X$5:$X$24)+SUMIF(C$7:C2555,C2555,F$7:F2555)-SUMIF(C$7:C2555,C2555,G$7:G2555))</f>
      </c>
      <c r="I2555" s="145">
        <f>IF(AND(F2555="",G2555=""),"",SUM(基础资料!$X$5:$X$24)+SUM(F$7:F2555)-SUM(G$7:G2555))</f>
      </c>
      <c r="J2555" s="141" t="n"/>
      <c r="K2555" s="141" t="n"/>
      <c r="L2555" s="141" t="n"/>
      <c r="M2555" s="142" t="n"/>
      <c r="N2555" s="146">
        <f>IF(AND(AND(F2555="",G2555=""),B2555="",C2555="",D2555="",J2555="",K2555="",L2555=""),"",IF(AND(F2555="",G2555=""),"✗ 没填金额",IF(AND(N(F2555)&lt;&gt;0,N(G2555)&lt;&gt;0),"✗ 收入、支出只能填一边",IF(NOT(ISNUMBER(B2555)),"✗ 日期不是真日期（要像 2026/9/25 这样填）",IF(OR(B2555&lt;年初日,B2555&gt;年末日),"✗ 日期不在本会计年度",IF(C2555="","✗ 没选账户",IF(COUNTIF(基础资料!$W$5:$W$24,C2555)=0,"✗ 账户不在基础资料里",IF(O2555="","✗ 没选收支项目",IF(P2555="未知","✗ 收支项目不在基础资料里",IF(AND(P2555="应收",J2555=""),"✗ 这笔要选客户",IF(AND(P2555="应收",COUNTIF(总览汇总!$B$5:$B$304,J2555)=0),"✗ 客户不在总览汇总名单里",IF(AND(P2555="应付",K2555=""),"✗ 这笔要选供应商",IF(AND(P2555="应付",COUNTIF(基础资料!$Q$5:$Q$54,K2555)=0),"✗ 供应商不在基础资料里",IF(AND(P2555="费用",L2555=""),"✗ 费用支出要选费用项目",IF(AND(L2555&lt;&gt;"",COUNTIF(基础资料!$AI$5:$AI$54,L2555)=0),"✗ 费用项目不在基础资料里",IF(AND(IFERROR(INDEX(基础资料!$AD$5:$AD$34,MATCH(O2555,基础资料!$AC$5:$AC$34,0)),"")="收",N(G2555)&lt;&gt;0),"✗ 这类是收款，金额填到收入列",IF(AND(IFERROR(INDEX(基础资料!$AD$5:$AD$34,MATCH(O2555,基础资料!$AC$5:$AC$34,0)),"")="支",N(F2555)&lt;&gt;0),"✗ 这类是付款，金额填到支出列",IF(N(H2555)&lt;0,"⚠ 账户余额成负数了，核对一下","√"))))))))))))))))))</f>
      </c>
      <c r="O2555" s="78">
        <f>IF(D2555&lt;&gt;"",D2555,IF(AND(F2555="",G2555=""),"",IF(J2555&lt;&gt;"",IF(N(F2555)&gt;0,"客户回款","客户退款"),IF(K2555&lt;&gt;"",IF(N(G2555)&gt;0,"供应商付款","供应商退款"),IF(L2555&lt;&gt;"","费用支出","")))))</f>
      </c>
      <c r="P2555" s="78">
        <f>IF(O2555="","",IFERROR(INDEX(基础资料!$AE$5:$AE$34,MATCH(O2555,基础资料!$AC$5:$AC$34,0)),"未知"))</f>
      </c>
      <c r="Q2555" s="78">
        <f>IF(P2555="应收",COUNTIF(P$7:P2555,"应收"),"")</f>
      </c>
      <c r="R2555" s="78">
        <f>IF(P2555="应付",COUNTIF(P$7:P2555,"应付"),"")</f>
      </c>
      <c r="S2555" s="78">
        <f>N(F2555)-N(G2555)</f>
        <v>0</v>
      </c>
    </row>
    <row r="2556">
      <c r="A2556" s="109">
        <f>IF(AND(F2556="",G2556=""),"",ROW()-6)</f>
      </c>
      <c r="B2556" s="140" t="n"/>
      <c r="C2556" s="141" t="n"/>
      <c r="D2556" s="141" t="n"/>
      <c r="E2556" s="142" t="n"/>
      <c r="F2556" s="143" t="n"/>
      <c r="G2556" s="144" t="n"/>
      <c r="H2556" s="145">
        <f>IF(OR(C2556="",AND(F2556="",G2556="")),"",SUMIF(基础资料!$W$5:$W$24,C2556,基础资料!$X$5:$X$24)+SUMIF(C$7:C2556,C2556,F$7:F2556)-SUMIF(C$7:C2556,C2556,G$7:G2556))</f>
      </c>
      <c r="I2556" s="145">
        <f>IF(AND(F2556="",G2556=""),"",SUM(基础资料!$X$5:$X$24)+SUM(F$7:F2556)-SUM(G$7:G2556))</f>
      </c>
      <c r="J2556" s="141" t="n"/>
      <c r="K2556" s="141" t="n"/>
      <c r="L2556" s="141" t="n"/>
      <c r="M2556" s="142" t="n"/>
      <c r="N2556" s="146">
        <f>IF(AND(AND(F2556="",G2556=""),B2556="",C2556="",D2556="",J2556="",K2556="",L2556=""),"",IF(AND(F2556="",G2556=""),"✗ 没填金额",IF(AND(N(F2556)&lt;&gt;0,N(G2556)&lt;&gt;0),"✗ 收入、支出只能填一边",IF(NOT(ISNUMBER(B2556)),"✗ 日期不是真日期（要像 2026/9/25 这样填）",IF(OR(B2556&lt;年初日,B2556&gt;年末日),"✗ 日期不在本会计年度",IF(C2556="","✗ 没选账户",IF(COUNTIF(基础资料!$W$5:$W$24,C2556)=0,"✗ 账户不在基础资料里",IF(O2556="","✗ 没选收支项目",IF(P2556="未知","✗ 收支项目不在基础资料里",IF(AND(P2556="应收",J2556=""),"✗ 这笔要选客户",IF(AND(P2556="应收",COUNTIF(总览汇总!$B$5:$B$304,J2556)=0),"✗ 客户不在总览汇总名单里",IF(AND(P2556="应付",K2556=""),"✗ 这笔要选供应商",IF(AND(P2556="应付",COUNTIF(基础资料!$Q$5:$Q$54,K2556)=0),"✗ 供应商不在基础资料里",IF(AND(P2556="费用",L2556=""),"✗ 费用支出要选费用项目",IF(AND(L2556&lt;&gt;"",COUNTIF(基础资料!$AI$5:$AI$54,L2556)=0),"✗ 费用项目不在基础资料里",IF(AND(IFERROR(INDEX(基础资料!$AD$5:$AD$34,MATCH(O2556,基础资料!$AC$5:$AC$34,0)),"")="收",N(G2556)&lt;&gt;0),"✗ 这类是收款，金额填到收入列",IF(AND(IFERROR(INDEX(基础资料!$AD$5:$AD$34,MATCH(O2556,基础资料!$AC$5:$AC$34,0)),"")="支",N(F2556)&lt;&gt;0),"✗ 这类是付款，金额填到支出列",IF(N(H2556)&lt;0,"⚠ 账户余额成负数了，核对一下","√"))))))))))))))))))</f>
      </c>
      <c r="O2556" s="78">
        <f>IF(D2556&lt;&gt;"",D2556,IF(AND(F2556="",G2556=""),"",IF(J2556&lt;&gt;"",IF(N(F2556)&gt;0,"客户回款","客户退款"),IF(K2556&lt;&gt;"",IF(N(G2556)&gt;0,"供应商付款","供应商退款"),IF(L2556&lt;&gt;"","费用支出","")))))</f>
      </c>
      <c r="P2556" s="78">
        <f>IF(O2556="","",IFERROR(INDEX(基础资料!$AE$5:$AE$34,MATCH(O2556,基础资料!$AC$5:$AC$34,0)),"未知"))</f>
      </c>
      <c r="Q2556" s="78">
        <f>IF(P2556="应收",COUNTIF(P$7:P2556,"应收"),"")</f>
      </c>
      <c r="R2556" s="78">
        <f>IF(P2556="应付",COUNTIF(P$7:P2556,"应付"),"")</f>
      </c>
      <c r="S2556" s="78">
        <f>N(F2556)-N(G2556)</f>
        <v>0</v>
      </c>
    </row>
    <row r="2557">
      <c r="A2557" s="109">
        <f>IF(AND(F2557="",G2557=""),"",ROW()-6)</f>
      </c>
      <c r="B2557" s="140" t="n"/>
      <c r="C2557" s="141" t="n"/>
      <c r="D2557" s="141" t="n"/>
      <c r="E2557" s="142" t="n"/>
      <c r="F2557" s="143" t="n"/>
      <c r="G2557" s="144" t="n"/>
      <c r="H2557" s="145">
        <f>IF(OR(C2557="",AND(F2557="",G2557="")),"",SUMIF(基础资料!$W$5:$W$24,C2557,基础资料!$X$5:$X$24)+SUMIF(C$7:C2557,C2557,F$7:F2557)-SUMIF(C$7:C2557,C2557,G$7:G2557))</f>
      </c>
      <c r="I2557" s="145">
        <f>IF(AND(F2557="",G2557=""),"",SUM(基础资料!$X$5:$X$24)+SUM(F$7:F2557)-SUM(G$7:G2557))</f>
      </c>
      <c r="J2557" s="141" t="n"/>
      <c r="K2557" s="141" t="n"/>
      <c r="L2557" s="141" t="n"/>
      <c r="M2557" s="142" t="n"/>
      <c r="N2557" s="146">
        <f>IF(AND(AND(F2557="",G2557=""),B2557="",C2557="",D2557="",J2557="",K2557="",L2557=""),"",IF(AND(F2557="",G2557=""),"✗ 没填金额",IF(AND(N(F2557)&lt;&gt;0,N(G2557)&lt;&gt;0),"✗ 收入、支出只能填一边",IF(NOT(ISNUMBER(B2557)),"✗ 日期不是真日期（要像 2026/9/25 这样填）",IF(OR(B2557&lt;年初日,B2557&gt;年末日),"✗ 日期不在本会计年度",IF(C2557="","✗ 没选账户",IF(COUNTIF(基础资料!$W$5:$W$24,C2557)=0,"✗ 账户不在基础资料里",IF(O2557="","✗ 没选收支项目",IF(P2557="未知","✗ 收支项目不在基础资料里",IF(AND(P2557="应收",J2557=""),"✗ 这笔要选客户",IF(AND(P2557="应收",COUNTIF(总览汇总!$B$5:$B$304,J2557)=0),"✗ 客户不在总览汇总名单里",IF(AND(P2557="应付",K2557=""),"✗ 这笔要选供应商",IF(AND(P2557="应付",COUNTIF(基础资料!$Q$5:$Q$54,K2557)=0),"✗ 供应商不在基础资料里",IF(AND(P2557="费用",L2557=""),"✗ 费用支出要选费用项目",IF(AND(L2557&lt;&gt;"",COUNTIF(基础资料!$AI$5:$AI$54,L2557)=0),"✗ 费用项目不在基础资料里",IF(AND(IFERROR(INDEX(基础资料!$AD$5:$AD$34,MATCH(O2557,基础资料!$AC$5:$AC$34,0)),"")="收",N(G2557)&lt;&gt;0),"✗ 这类是收款，金额填到收入列",IF(AND(IFERROR(INDEX(基础资料!$AD$5:$AD$34,MATCH(O2557,基础资料!$AC$5:$AC$34,0)),"")="支",N(F2557)&lt;&gt;0),"✗ 这类是付款，金额填到支出列",IF(N(H2557)&lt;0,"⚠ 账户余额成负数了，核对一下","√"))))))))))))))))))</f>
      </c>
      <c r="O2557" s="78">
        <f>IF(D2557&lt;&gt;"",D2557,IF(AND(F2557="",G2557=""),"",IF(J2557&lt;&gt;"",IF(N(F2557)&gt;0,"客户回款","客户退款"),IF(K2557&lt;&gt;"",IF(N(G2557)&gt;0,"供应商付款","供应商退款"),IF(L2557&lt;&gt;"","费用支出","")))))</f>
      </c>
      <c r="P2557" s="78">
        <f>IF(O2557="","",IFERROR(INDEX(基础资料!$AE$5:$AE$34,MATCH(O2557,基础资料!$AC$5:$AC$34,0)),"未知"))</f>
      </c>
      <c r="Q2557" s="78">
        <f>IF(P2557="应收",COUNTIF(P$7:P2557,"应收"),"")</f>
      </c>
      <c r="R2557" s="78">
        <f>IF(P2557="应付",COUNTIF(P$7:P2557,"应付"),"")</f>
      </c>
      <c r="S2557" s="78">
        <f>N(F2557)-N(G2557)</f>
        <v>0</v>
      </c>
    </row>
    <row r="2558">
      <c r="A2558" s="109">
        <f>IF(AND(F2558="",G2558=""),"",ROW()-6)</f>
      </c>
      <c r="B2558" s="140" t="n"/>
      <c r="C2558" s="141" t="n"/>
      <c r="D2558" s="141" t="n"/>
      <c r="E2558" s="142" t="n"/>
      <c r="F2558" s="143" t="n"/>
      <c r="G2558" s="144" t="n"/>
      <c r="H2558" s="145">
        <f>IF(OR(C2558="",AND(F2558="",G2558="")),"",SUMIF(基础资料!$W$5:$W$24,C2558,基础资料!$X$5:$X$24)+SUMIF(C$7:C2558,C2558,F$7:F2558)-SUMIF(C$7:C2558,C2558,G$7:G2558))</f>
      </c>
      <c r="I2558" s="145">
        <f>IF(AND(F2558="",G2558=""),"",SUM(基础资料!$X$5:$X$24)+SUM(F$7:F2558)-SUM(G$7:G2558))</f>
      </c>
      <c r="J2558" s="141" t="n"/>
      <c r="K2558" s="141" t="n"/>
      <c r="L2558" s="141" t="n"/>
      <c r="M2558" s="142" t="n"/>
      <c r="N2558" s="146">
        <f>IF(AND(AND(F2558="",G2558=""),B2558="",C2558="",D2558="",J2558="",K2558="",L2558=""),"",IF(AND(F2558="",G2558=""),"✗ 没填金额",IF(AND(N(F2558)&lt;&gt;0,N(G2558)&lt;&gt;0),"✗ 收入、支出只能填一边",IF(NOT(ISNUMBER(B2558)),"✗ 日期不是真日期（要像 2026/9/25 这样填）",IF(OR(B2558&lt;年初日,B2558&gt;年末日),"✗ 日期不在本会计年度",IF(C2558="","✗ 没选账户",IF(COUNTIF(基础资料!$W$5:$W$24,C2558)=0,"✗ 账户不在基础资料里",IF(O2558="","✗ 没选收支项目",IF(P2558="未知","✗ 收支项目不在基础资料里",IF(AND(P2558="应收",J2558=""),"✗ 这笔要选客户",IF(AND(P2558="应收",COUNTIF(总览汇总!$B$5:$B$304,J2558)=0),"✗ 客户不在总览汇总名单里",IF(AND(P2558="应付",K2558=""),"✗ 这笔要选供应商",IF(AND(P2558="应付",COUNTIF(基础资料!$Q$5:$Q$54,K2558)=0),"✗ 供应商不在基础资料里",IF(AND(P2558="费用",L2558=""),"✗ 费用支出要选费用项目",IF(AND(L2558&lt;&gt;"",COUNTIF(基础资料!$AI$5:$AI$54,L2558)=0),"✗ 费用项目不在基础资料里",IF(AND(IFERROR(INDEX(基础资料!$AD$5:$AD$34,MATCH(O2558,基础资料!$AC$5:$AC$34,0)),"")="收",N(G2558)&lt;&gt;0),"✗ 这类是收款，金额填到收入列",IF(AND(IFERROR(INDEX(基础资料!$AD$5:$AD$34,MATCH(O2558,基础资料!$AC$5:$AC$34,0)),"")="支",N(F2558)&lt;&gt;0),"✗ 这类是付款，金额填到支出列",IF(N(H2558)&lt;0,"⚠ 账户余额成负数了，核对一下","√"))))))))))))))))))</f>
      </c>
      <c r="O2558" s="78">
        <f>IF(D2558&lt;&gt;"",D2558,IF(AND(F2558="",G2558=""),"",IF(J2558&lt;&gt;"",IF(N(F2558)&gt;0,"客户回款","客户退款"),IF(K2558&lt;&gt;"",IF(N(G2558)&gt;0,"供应商付款","供应商退款"),IF(L2558&lt;&gt;"","费用支出","")))))</f>
      </c>
      <c r="P2558" s="78">
        <f>IF(O2558="","",IFERROR(INDEX(基础资料!$AE$5:$AE$34,MATCH(O2558,基础资料!$AC$5:$AC$34,0)),"未知"))</f>
      </c>
      <c r="Q2558" s="78">
        <f>IF(P2558="应收",COUNTIF(P$7:P2558,"应收"),"")</f>
      </c>
      <c r="R2558" s="78">
        <f>IF(P2558="应付",COUNTIF(P$7:P2558,"应付"),"")</f>
      </c>
      <c r="S2558" s="78">
        <f>N(F2558)-N(G2558)</f>
        <v>0</v>
      </c>
    </row>
    <row r="2559">
      <c r="A2559" s="109">
        <f>IF(AND(F2559="",G2559=""),"",ROW()-6)</f>
      </c>
      <c r="B2559" s="140" t="n"/>
      <c r="C2559" s="141" t="n"/>
      <c r="D2559" s="141" t="n"/>
      <c r="E2559" s="142" t="n"/>
      <c r="F2559" s="143" t="n"/>
      <c r="G2559" s="144" t="n"/>
      <c r="H2559" s="145">
        <f>IF(OR(C2559="",AND(F2559="",G2559="")),"",SUMIF(基础资料!$W$5:$W$24,C2559,基础资料!$X$5:$X$24)+SUMIF(C$7:C2559,C2559,F$7:F2559)-SUMIF(C$7:C2559,C2559,G$7:G2559))</f>
      </c>
      <c r="I2559" s="145">
        <f>IF(AND(F2559="",G2559=""),"",SUM(基础资料!$X$5:$X$24)+SUM(F$7:F2559)-SUM(G$7:G2559))</f>
      </c>
      <c r="J2559" s="141" t="n"/>
      <c r="K2559" s="141" t="n"/>
      <c r="L2559" s="141" t="n"/>
      <c r="M2559" s="142" t="n"/>
      <c r="N2559" s="146">
        <f>IF(AND(AND(F2559="",G2559=""),B2559="",C2559="",D2559="",J2559="",K2559="",L2559=""),"",IF(AND(F2559="",G2559=""),"✗ 没填金额",IF(AND(N(F2559)&lt;&gt;0,N(G2559)&lt;&gt;0),"✗ 收入、支出只能填一边",IF(NOT(ISNUMBER(B2559)),"✗ 日期不是真日期（要像 2026/9/25 这样填）",IF(OR(B2559&lt;年初日,B2559&gt;年末日),"✗ 日期不在本会计年度",IF(C2559="","✗ 没选账户",IF(COUNTIF(基础资料!$W$5:$W$24,C2559)=0,"✗ 账户不在基础资料里",IF(O2559="","✗ 没选收支项目",IF(P2559="未知","✗ 收支项目不在基础资料里",IF(AND(P2559="应收",J2559=""),"✗ 这笔要选客户",IF(AND(P2559="应收",COUNTIF(总览汇总!$B$5:$B$304,J2559)=0),"✗ 客户不在总览汇总名单里",IF(AND(P2559="应付",K2559=""),"✗ 这笔要选供应商",IF(AND(P2559="应付",COUNTIF(基础资料!$Q$5:$Q$54,K2559)=0),"✗ 供应商不在基础资料里",IF(AND(P2559="费用",L2559=""),"✗ 费用支出要选费用项目",IF(AND(L2559&lt;&gt;"",COUNTIF(基础资料!$AI$5:$AI$54,L2559)=0),"✗ 费用项目不在基础资料里",IF(AND(IFERROR(INDEX(基础资料!$AD$5:$AD$34,MATCH(O2559,基础资料!$AC$5:$AC$34,0)),"")="收",N(G2559)&lt;&gt;0),"✗ 这类是收款，金额填到收入列",IF(AND(IFERROR(INDEX(基础资料!$AD$5:$AD$34,MATCH(O2559,基础资料!$AC$5:$AC$34,0)),"")="支",N(F2559)&lt;&gt;0),"✗ 这类是付款，金额填到支出列",IF(N(H2559)&lt;0,"⚠ 账户余额成负数了，核对一下","√"))))))))))))))))))</f>
      </c>
      <c r="O2559" s="78">
        <f>IF(D2559&lt;&gt;"",D2559,IF(AND(F2559="",G2559=""),"",IF(J2559&lt;&gt;"",IF(N(F2559)&gt;0,"客户回款","客户退款"),IF(K2559&lt;&gt;"",IF(N(G2559)&gt;0,"供应商付款","供应商退款"),IF(L2559&lt;&gt;"","费用支出","")))))</f>
      </c>
      <c r="P2559" s="78">
        <f>IF(O2559="","",IFERROR(INDEX(基础资料!$AE$5:$AE$34,MATCH(O2559,基础资料!$AC$5:$AC$34,0)),"未知"))</f>
      </c>
      <c r="Q2559" s="78">
        <f>IF(P2559="应收",COUNTIF(P$7:P2559,"应收"),"")</f>
      </c>
      <c r="R2559" s="78">
        <f>IF(P2559="应付",COUNTIF(P$7:P2559,"应付"),"")</f>
      </c>
      <c r="S2559" s="78">
        <f>N(F2559)-N(G2559)</f>
        <v>0</v>
      </c>
    </row>
    <row r="2560">
      <c r="A2560" s="109">
        <f>IF(AND(F2560="",G2560=""),"",ROW()-6)</f>
      </c>
      <c r="B2560" s="140" t="n"/>
      <c r="C2560" s="141" t="n"/>
      <c r="D2560" s="141" t="n"/>
      <c r="E2560" s="142" t="n"/>
      <c r="F2560" s="143" t="n"/>
      <c r="G2560" s="144" t="n"/>
      <c r="H2560" s="145">
        <f>IF(OR(C2560="",AND(F2560="",G2560="")),"",SUMIF(基础资料!$W$5:$W$24,C2560,基础资料!$X$5:$X$24)+SUMIF(C$7:C2560,C2560,F$7:F2560)-SUMIF(C$7:C2560,C2560,G$7:G2560))</f>
      </c>
      <c r="I2560" s="145">
        <f>IF(AND(F2560="",G2560=""),"",SUM(基础资料!$X$5:$X$24)+SUM(F$7:F2560)-SUM(G$7:G2560))</f>
      </c>
      <c r="J2560" s="141" t="n"/>
      <c r="K2560" s="141" t="n"/>
      <c r="L2560" s="141" t="n"/>
      <c r="M2560" s="142" t="n"/>
      <c r="N2560" s="146">
        <f>IF(AND(AND(F2560="",G2560=""),B2560="",C2560="",D2560="",J2560="",K2560="",L2560=""),"",IF(AND(F2560="",G2560=""),"✗ 没填金额",IF(AND(N(F2560)&lt;&gt;0,N(G2560)&lt;&gt;0),"✗ 收入、支出只能填一边",IF(NOT(ISNUMBER(B2560)),"✗ 日期不是真日期（要像 2026/9/25 这样填）",IF(OR(B2560&lt;年初日,B2560&gt;年末日),"✗ 日期不在本会计年度",IF(C2560="","✗ 没选账户",IF(COUNTIF(基础资料!$W$5:$W$24,C2560)=0,"✗ 账户不在基础资料里",IF(O2560="","✗ 没选收支项目",IF(P2560="未知","✗ 收支项目不在基础资料里",IF(AND(P2560="应收",J2560=""),"✗ 这笔要选客户",IF(AND(P2560="应收",COUNTIF(总览汇总!$B$5:$B$304,J2560)=0),"✗ 客户不在总览汇总名单里",IF(AND(P2560="应付",K2560=""),"✗ 这笔要选供应商",IF(AND(P2560="应付",COUNTIF(基础资料!$Q$5:$Q$54,K2560)=0),"✗ 供应商不在基础资料里",IF(AND(P2560="费用",L2560=""),"✗ 费用支出要选费用项目",IF(AND(L2560&lt;&gt;"",COUNTIF(基础资料!$AI$5:$AI$54,L2560)=0),"✗ 费用项目不在基础资料里",IF(AND(IFERROR(INDEX(基础资料!$AD$5:$AD$34,MATCH(O2560,基础资料!$AC$5:$AC$34,0)),"")="收",N(G2560)&lt;&gt;0),"✗ 这类是收款，金额填到收入列",IF(AND(IFERROR(INDEX(基础资料!$AD$5:$AD$34,MATCH(O2560,基础资料!$AC$5:$AC$34,0)),"")="支",N(F2560)&lt;&gt;0),"✗ 这类是付款，金额填到支出列",IF(N(H2560)&lt;0,"⚠ 账户余额成负数了，核对一下","√"))))))))))))))))))</f>
      </c>
      <c r="O2560" s="78">
        <f>IF(D2560&lt;&gt;"",D2560,IF(AND(F2560="",G2560=""),"",IF(J2560&lt;&gt;"",IF(N(F2560)&gt;0,"客户回款","客户退款"),IF(K2560&lt;&gt;"",IF(N(G2560)&gt;0,"供应商付款","供应商退款"),IF(L2560&lt;&gt;"","费用支出","")))))</f>
      </c>
      <c r="P2560" s="78">
        <f>IF(O2560="","",IFERROR(INDEX(基础资料!$AE$5:$AE$34,MATCH(O2560,基础资料!$AC$5:$AC$34,0)),"未知"))</f>
      </c>
      <c r="Q2560" s="78">
        <f>IF(P2560="应收",COUNTIF(P$7:P2560,"应收"),"")</f>
      </c>
      <c r="R2560" s="78">
        <f>IF(P2560="应付",COUNTIF(P$7:P2560,"应付"),"")</f>
      </c>
      <c r="S2560" s="78">
        <f>N(F2560)-N(G2560)</f>
        <v>0</v>
      </c>
    </row>
    <row r="2561">
      <c r="A2561" s="109">
        <f>IF(AND(F2561="",G2561=""),"",ROW()-6)</f>
      </c>
      <c r="B2561" s="140" t="n"/>
      <c r="C2561" s="141" t="n"/>
      <c r="D2561" s="141" t="n"/>
      <c r="E2561" s="142" t="n"/>
      <c r="F2561" s="143" t="n"/>
      <c r="G2561" s="144" t="n"/>
      <c r="H2561" s="145">
        <f>IF(OR(C2561="",AND(F2561="",G2561="")),"",SUMIF(基础资料!$W$5:$W$24,C2561,基础资料!$X$5:$X$24)+SUMIF(C$7:C2561,C2561,F$7:F2561)-SUMIF(C$7:C2561,C2561,G$7:G2561))</f>
      </c>
      <c r="I2561" s="145">
        <f>IF(AND(F2561="",G2561=""),"",SUM(基础资料!$X$5:$X$24)+SUM(F$7:F2561)-SUM(G$7:G2561))</f>
      </c>
      <c r="J2561" s="141" t="n"/>
      <c r="K2561" s="141" t="n"/>
      <c r="L2561" s="141" t="n"/>
      <c r="M2561" s="142" t="n"/>
      <c r="N2561" s="146">
        <f>IF(AND(AND(F2561="",G2561=""),B2561="",C2561="",D2561="",J2561="",K2561="",L2561=""),"",IF(AND(F2561="",G2561=""),"✗ 没填金额",IF(AND(N(F2561)&lt;&gt;0,N(G2561)&lt;&gt;0),"✗ 收入、支出只能填一边",IF(NOT(ISNUMBER(B2561)),"✗ 日期不是真日期（要像 2026/9/25 这样填）",IF(OR(B2561&lt;年初日,B2561&gt;年末日),"✗ 日期不在本会计年度",IF(C2561="","✗ 没选账户",IF(COUNTIF(基础资料!$W$5:$W$24,C2561)=0,"✗ 账户不在基础资料里",IF(O2561="","✗ 没选收支项目",IF(P2561="未知","✗ 收支项目不在基础资料里",IF(AND(P2561="应收",J2561=""),"✗ 这笔要选客户",IF(AND(P2561="应收",COUNTIF(总览汇总!$B$5:$B$304,J2561)=0),"✗ 客户不在总览汇总名单里",IF(AND(P2561="应付",K2561=""),"✗ 这笔要选供应商",IF(AND(P2561="应付",COUNTIF(基础资料!$Q$5:$Q$54,K2561)=0),"✗ 供应商不在基础资料里",IF(AND(P2561="费用",L2561=""),"✗ 费用支出要选费用项目",IF(AND(L2561&lt;&gt;"",COUNTIF(基础资料!$AI$5:$AI$54,L2561)=0),"✗ 费用项目不在基础资料里",IF(AND(IFERROR(INDEX(基础资料!$AD$5:$AD$34,MATCH(O2561,基础资料!$AC$5:$AC$34,0)),"")="收",N(G2561)&lt;&gt;0),"✗ 这类是收款，金额填到收入列",IF(AND(IFERROR(INDEX(基础资料!$AD$5:$AD$34,MATCH(O2561,基础资料!$AC$5:$AC$34,0)),"")="支",N(F2561)&lt;&gt;0),"✗ 这类是付款，金额填到支出列",IF(N(H2561)&lt;0,"⚠ 账户余额成负数了，核对一下","√"))))))))))))))))))</f>
      </c>
      <c r="O2561" s="78">
        <f>IF(D2561&lt;&gt;"",D2561,IF(AND(F2561="",G2561=""),"",IF(J2561&lt;&gt;"",IF(N(F2561)&gt;0,"客户回款","客户退款"),IF(K2561&lt;&gt;"",IF(N(G2561)&gt;0,"供应商付款","供应商退款"),IF(L2561&lt;&gt;"","费用支出","")))))</f>
      </c>
      <c r="P2561" s="78">
        <f>IF(O2561="","",IFERROR(INDEX(基础资料!$AE$5:$AE$34,MATCH(O2561,基础资料!$AC$5:$AC$34,0)),"未知"))</f>
      </c>
      <c r="Q2561" s="78">
        <f>IF(P2561="应收",COUNTIF(P$7:P2561,"应收"),"")</f>
      </c>
      <c r="R2561" s="78">
        <f>IF(P2561="应付",COUNTIF(P$7:P2561,"应付"),"")</f>
      </c>
      <c r="S2561" s="78">
        <f>N(F2561)-N(G2561)</f>
        <v>0</v>
      </c>
    </row>
    <row r="2562">
      <c r="A2562" s="109">
        <f>IF(AND(F2562="",G2562=""),"",ROW()-6)</f>
      </c>
      <c r="B2562" s="140" t="n"/>
      <c r="C2562" s="141" t="n"/>
      <c r="D2562" s="141" t="n"/>
      <c r="E2562" s="142" t="n"/>
      <c r="F2562" s="143" t="n"/>
      <c r="G2562" s="144" t="n"/>
      <c r="H2562" s="145">
        <f>IF(OR(C2562="",AND(F2562="",G2562="")),"",SUMIF(基础资料!$W$5:$W$24,C2562,基础资料!$X$5:$X$24)+SUMIF(C$7:C2562,C2562,F$7:F2562)-SUMIF(C$7:C2562,C2562,G$7:G2562))</f>
      </c>
      <c r="I2562" s="145">
        <f>IF(AND(F2562="",G2562=""),"",SUM(基础资料!$X$5:$X$24)+SUM(F$7:F2562)-SUM(G$7:G2562))</f>
      </c>
      <c r="J2562" s="141" t="n"/>
      <c r="K2562" s="141" t="n"/>
      <c r="L2562" s="141" t="n"/>
      <c r="M2562" s="142" t="n"/>
      <c r="N2562" s="146">
        <f>IF(AND(AND(F2562="",G2562=""),B2562="",C2562="",D2562="",J2562="",K2562="",L2562=""),"",IF(AND(F2562="",G2562=""),"✗ 没填金额",IF(AND(N(F2562)&lt;&gt;0,N(G2562)&lt;&gt;0),"✗ 收入、支出只能填一边",IF(NOT(ISNUMBER(B2562)),"✗ 日期不是真日期（要像 2026/9/25 这样填）",IF(OR(B2562&lt;年初日,B2562&gt;年末日),"✗ 日期不在本会计年度",IF(C2562="","✗ 没选账户",IF(COUNTIF(基础资料!$W$5:$W$24,C2562)=0,"✗ 账户不在基础资料里",IF(O2562="","✗ 没选收支项目",IF(P2562="未知","✗ 收支项目不在基础资料里",IF(AND(P2562="应收",J2562=""),"✗ 这笔要选客户",IF(AND(P2562="应收",COUNTIF(总览汇总!$B$5:$B$304,J2562)=0),"✗ 客户不在总览汇总名单里",IF(AND(P2562="应付",K2562=""),"✗ 这笔要选供应商",IF(AND(P2562="应付",COUNTIF(基础资料!$Q$5:$Q$54,K2562)=0),"✗ 供应商不在基础资料里",IF(AND(P2562="费用",L2562=""),"✗ 费用支出要选费用项目",IF(AND(L2562&lt;&gt;"",COUNTIF(基础资料!$AI$5:$AI$54,L2562)=0),"✗ 费用项目不在基础资料里",IF(AND(IFERROR(INDEX(基础资料!$AD$5:$AD$34,MATCH(O2562,基础资料!$AC$5:$AC$34,0)),"")="收",N(G2562)&lt;&gt;0),"✗ 这类是收款，金额填到收入列",IF(AND(IFERROR(INDEX(基础资料!$AD$5:$AD$34,MATCH(O2562,基础资料!$AC$5:$AC$34,0)),"")="支",N(F2562)&lt;&gt;0),"✗ 这类是付款，金额填到支出列",IF(N(H2562)&lt;0,"⚠ 账户余额成负数了，核对一下","√"))))))))))))))))))</f>
      </c>
      <c r="O2562" s="78">
        <f>IF(D2562&lt;&gt;"",D2562,IF(AND(F2562="",G2562=""),"",IF(J2562&lt;&gt;"",IF(N(F2562)&gt;0,"客户回款","客户退款"),IF(K2562&lt;&gt;"",IF(N(G2562)&gt;0,"供应商付款","供应商退款"),IF(L2562&lt;&gt;"","费用支出","")))))</f>
      </c>
      <c r="P2562" s="78">
        <f>IF(O2562="","",IFERROR(INDEX(基础资料!$AE$5:$AE$34,MATCH(O2562,基础资料!$AC$5:$AC$34,0)),"未知"))</f>
      </c>
      <c r="Q2562" s="78">
        <f>IF(P2562="应收",COUNTIF(P$7:P2562,"应收"),"")</f>
      </c>
      <c r="R2562" s="78">
        <f>IF(P2562="应付",COUNTIF(P$7:P2562,"应付"),"")</f>
      </c>
      <c r="S2562" s="78">
        <f>N(F2562)-N(G2562)</f>
        <v>0</v>
      </c>
    </row>
    <row r="2563">
      <c r="A2563" s="109">
        <f>IF(AND(F2563="",G2563=""),"",ROW()-6)</f>
      </c>
      <c r="B2563" s="140" t="n"/>
      <c r="C2563" s="141" t="n"/>
      <c r="D2563" s="141" t="n"/>
      <c r="E2563" s="142" t="n"/>
      <c r="F2563" s="143" t="n"/>
      <c r="G2563" s="144" t="n"/>
      <c r="H2563" s="145">
        <f>IF(OR(C2563="",AND(F2563="",G2563="")),"",SUMIF(基础资料!$W$5:$W$24,C2563,基础资料!$X$5:$X$24)+SUMIF(C$7:C2563,C2563,F$7:F2563)-SUMIF(C$7:C2563,C2563,G$7:G2563))</f>
      </c>
      <c r="I2563" s="145">
        <f>IF(AND(F2563="",G2563=""),"",SUM(基础资料!$X$5:$X$24)+SUM(F$7:F2563)-SUM(G$7:G2563))</f>
      </c>
      <c r="J2563" s="141" t="n"/>
      <c r="K2563" s="141" t="n"/>
      <c r="L2563" s="141" t="n"/>
      <c r="M2563" s="142" t="n"/>
      <c r="N2563" s="146">
        <f>IF(AND(AND(F2563="",G2563=""),B2563="",C2563="",D2563="",J2563="",K2563="",L2563=""),"",IF(AND(F2563="",G2563=""),"✗ 没填金额",IF(AND(N(F2563)&lt;&gt;0,N(G2563)&lt;&gt;0),"✗ 收入、支出只能填一边",IF(NOT(ISNUMBER(B2563)),"✗ 日期不是真日期（要像 2026/9/25 这样填）",IF(OR(B2563&lt;年初日,B2563&gt;年末日),"✗ 日期不在本会计年度",IF(C2563="","✗ 没选账户",IF(COUNTIF(基础资料!$W$5:$W$24,C2563)=0,"✗ 账户不在基础资料里",IF(O2563="","✗ 没选收支项目",IF(P2563="未知","✗ 收支项目不在基础资料里",IF(AND(P2563="应收",J2563=""),"✗ 这笔要选客户",IF(AND(P2563="应收",COUNTIF(总览汇总!$B$5:$B$304,J2563)=0),"✗ 客户不在总览汇总名单里",IF(AND(P2563="应付",K2563=""),"✗ 这笔要选供应商",IF(AND(P2563="应付",COUNTIF(基础资料!$Q$5:$Q$54,K2563)=0),"✗ 供应商不在基础资料里",IF(AND(P2563="费用",L2563=""),"✗ 费用支出要选费用项目",IF(AND(L2563&lt;&gt;"",COUNTIF(基础资料!$AI$5:$AI$54,L2563)=0),"✗ 费用项目不在基础资料里",IF(AND(IFERROR(INDEX(基础资料!$AD$5:$AD$34,MATCH(O2563,基础资料!$AC$5:$AC$34,0)),"")="收",N(G2563)&lt;&gt;0),"✗ 这类是收款，金额填到收入列",IF(AND(IFERROR(INDEX(基础资料!$AD$5:$AD$34,MATCH(O2563,基础资料!$AC$5:$AC$34,0)),"")="支",N(F2563)&lt;&gt;0),"✗ 这类是付款，金额填到支出列",IF(N(H2563)&lt;0,"⚠ 账户余额成负数了，核对一下","√"))))))))))))))))))</f>
      </c>
      <c r="O2563" s="78">
        <f>IF(D2563&lt;&gt;"",D2563,IF(AND(F2563="",G2563=""),"",IF(J2563&lt;&gt;"",IF(N(F2563)&gt;0,"客户回款","客户退款"),IF(K2563&lt;&gt;"",IF(N(G2563)&gt;0,"供应商付款","供应商退款"),IF(L2563&lt;&gt;"","费用支出","")))))</f>
      </c>
      <c r="P2563" s="78">
        <f>IF(O2563="","",IFERROR(INDEX(基础资料!$AE$5:$AE$34,MATCH(O2563,基础资料!$AC$5:$AC$34,0)),"未知"))</f>
      </c>
      <c r="Q2563" s="78">
        <f>IF(P2563="应收",COUNTIF(P$7:P2563,"应收"),"")</f>
      </c>
      <c r="R2563" s="78">
        <f>IF(P2563="应付",COUNTIF(P$7:P2563,"应付"),"")</f>
      </c>
      <c r="S2563" s="78">
        <f>N(F2563)-N(G2563)</f>
        <v>0</v>
      </c>
    </row>
    <row r="2564">
      <c r="A2564" s="109">
        <f>IF(AND(F2564="",G2564=""),"",ROW()-6)</f>
      </c>
      <c r="B2564" s="140" t="n"/>
      <c r="C2564" s="141" t="n"/>
      <c r="D2564" s="141" t="n"/>
      <c r="E2564" s="142" t="n"/>
      <c r="F2564" s="143" t="n"/>
      <c r="G2564" s="144" t="n"/>
      <c r="H2564" s="145">
        <f>IF(OR(C2564="",AND(F2564="",G2564="")),"",SUMIF(基础资料!$W$5:$W$24,C2564,基础资料!$X$5:$X$24)+SUMIF(C$7:C2564,C2564,F$7:F2564)-SUMIF(C$7:C2564,C2564,G$7:G2564))</f>
      </c>
      <c r="I2564" s="145">
        <f>IF(AND(F2564="",G2564=""),"",SUM(基础资料!$X$5:$X$24)+SUM(F$7:F2564)-SUM(G$7:G2564))</f>
      </c>
      <c r="J2564" s="141" t="n"/>
      <c r="K2564" s="141" t="n"/>
      <c r="L2564" s="141" t="n"/>
      <c r="M2564" s="142" t="n"/>
      <c r="N2564" s="146">
        <f>IF(AND(AND(F2564="",G2564=""),B2564="",C2564="",D2564="",J2564="",K2564="",L2564=""),"",IF(AND(F2564="",G2564=""),"✗ 没填金额",IF(AND(N(F2564)&lt;&gt;0,N(G2564)&lt;&gt;0),"✗ 收入、支出只能填一边",IF(NOT(ISNUMBER(B2564)),"✗ 日期不是真日期（要像 2026/9/25 这样填）",IF(OR(B2564&lt;年初日,B2564&gt;年末日),"✗ 日期不在本会计年度",IF(C2564="","✗ 没选账户",IF(COUNTIF(基础资料!$W$5:$W$24,C2564)=0,"✗ 账户不在基础资料里",IF(O2564="","✗ 没选收支项目",IF(P2564="未知","✗ 收支项目不在基础资料里",IF(AND(P2564="应收",J2564=""),"✗ 这笔要选客户",IF(AND(P2564="应收",COUNTIF(总览汇总!$B$5:$B$304,J2564)=0),"✗ 客户不在总览汇总名单里",IF(AND(P2564="应付",K2564=""),"✗ 这笔要选供应商",IF(AND(P2564="应付",COUNTIF(基础资料!$Q$5:$Q$54,K2564)=0),"✗ 供应商不在基础资料里",IF(AND(P2564="费用",L2564=""),"✗ 费用支出要选费用项目",IF(AND(L2564&lt;&gt;"",COUNTIF(基础资料!$AI$5:$AI$54,L2564)=0),"✗ 费用项目不在基础资料里",IF(AND(IFERROR(INDEX(基础资料!$AD$5:$AD$34,MATCH(O2564,基础资料!$AC$5:$AC$34,0)),"")="收",N(G2564)&lt;&gt;0),"✗ 这类是收款，金额填到收入列",IF(AND(IFERROR(INDEX(基础资料!$AD$5:$AD$34,MATCH(O2564,基础资料!$AC$5:$AC$34,0)),"")="支",N(F2564)&lt;&gt;0),"✗ 这类是付款，金额填到支出列",IF(N(H2564)&lt;0,"⚠ 账户余额成负数了，核对一下","√"))))))))))))))))))</f>
      </c>
      <c r="O2564" s="78">
        <f>IF(D2564&lt;&gt;"",D2564,IF(AND(F2564="",G2564=""),"",IF(J2564&lt;&gt;"",IF(N(F2564)&gt;0,"客户回款","客户退款"),IF(K2564&lt;&gt;"",IF(N(G2564)&gt;0,"供应商付款","供应商退款"),IF(L2564&lt;&gt;"","费用支出","")))))</f>
      </c>
      <c r="P2564" s="78">
        <f>IF(O2564="","",IFERROR(INDEX(基础资料!$AE$5:$AE$34,MATCH(O2564,基础资料!$AC$5:$AC$34,0)),"未知"))</f>
      </c>
      <c r="Q2564" s="78">
        <f>IF(P2564="应收",COUNTIF(P$7:P2564,"应收"),"")</f>
      </c>
      <c r="R2564" s="78">
        <f>IF(P2564="应付",COUNTIF(P$7:P2564,"应付"),"")</f>
      </c>
      <c r="S2564" s="78">
        <f>N(F2564)-N(G2564)</f>
        <v>0</v>
      </c>
    </row>
    <row r="2565">
      <c r="A2565" s="109">
        <f>IF(AND(F2565="",G2565=""),"",ROW()-6)</f>
      </c>
      <c r="B2565" s="140" t="n"/>
      <c r="C2565" s="141" t="n"/>
      <c r="D2565" s="141" t="n"/>
      <c r="E2565" s="142" t="n"/>
      <c r="F2565" s="143" t="n"/>
      <c r="G2565" s="144" t="n"/>
      <c r="H2565" s="145">
        <f>IF(OR(C2565="",AND(F2565="",G2565="")),"",SUMIF(基础资料!$W$5:$W$24,C2565,基础资料!$X$5:$X$24)+SUMIF(C$7:C2565,C2565,F$7:F2565)-SUMIF(C$7:C2565,C2565,G$7:G2565))</f>
      </c>
      <c r="I2565" s="145">
        <f>IF(AND(F2565="",G2565=""),"",SUM(基础资料!$X$5:$X$24)+SUM(F$7:F2565)-SUM(G$7:G2565))</f>
      </c>
      <c r="J2565" s="141" t="n"/>
      <c r="K2565" s="141" t="n"/>
      <c r="L2565" s="141" t="n"/>
      <c r="M2565" s="142" t="n"/>
      <c r="N2565" s="146">
        <f>IF(AND(AND(F2565="",G2565=""),B2565="",C2565="",D2565="",J2565="",K2565="",L2565=""),"",IF(AND(F2565="",G2565=""),"✗ 没填金额",IF(AND(N(F2565)&lt;&gt;0,N(G2565)&lt;&gt;0),"✗ 收入、支出只能填一边",IF(NOT(ISNUMBER(B2565)),"✗ 日期不是真日期（要像 2026/9/25 这样填）",IF(OR(B2565&lt;年初日,B2565&gt;年末日),"✗ 日期不在本会计年度",IF(C2565="","✗ 没选账户",IF(COUNTIF(基础资料!$W$5:$W$24,C2565)=0,"✗ 账户不在基础资料里",IF(O2565="","✗ 没选收支项目",IF(P2565="未知","✗ 收支项目不在基础资料里",IF(AND(P2565="应收",J2565=""),"✗ 这笔要选客户",IF(AND(P2565="应收",COUNTIF(总览汇总!$B$5:$B$304,J2565)=0),"✗ 客户不在总览汇总名单里",IF(AND(P2565="应付",K2565=""),"✗ 这笔要选供应商",IF(AND(P2565="应付",COUNTIF(基础资料!$Q$5:$Q$54,K2565)=0),"✗ 供应商不在基础资料里",IF(AND(P2565="费用",L2565=""),"✗ 费用支出要选费用项目",IF(AND(L2565&lt;&gt;"",COUNTIF(基础资料!$AI$5:$AI$54,L2565)=0),"✗ 费用项目不在基础资料里",IF(AND(IFERROR(INDEX(基础资料!$AD$5:$AD$34,MATCH(O2565,基础资料!$AC$5:$AC$34,0)),"")="收",N(G2565)&lt;&gt;0),"✗ 这类是收款，金额填到收入列",IF(AND(IFERROR(INDEX(基础资料!$AD$5:$AD$34,MATCH(O2565,基础资料!$AC$5:$AC$34,0)),"")="支",N(F2565)&lt;&gt;0),"✗ 这类是付款，金额填到支出列",IF(N(H2565)&lt;0,"⚠ 账户余额成负数了，核对一下","√"))))))))))))))))))</f>
      </c>
      <c r="O2565" s="78">
        <f>IF(D2565&lt;&gt;"",D2565,IF(AND(F2565="",G2565=""),"",IF(J2565&lt;&gt;"",IF(N(F2565)&gt;0,"客户回款","客户退款"),IF(K2565&lt;&gt;"",IF(N(G2565)&gt;0,"供应商付款","供应商退款"),IF(L2565&lt;&gt;"","费用支出","")))))</f>
      </c>
      <c r="P2565" s="78">
        <f>IF(O2565="","",IFERROR(INDEX(基础资料!$AE$5:$AE$34,MATCH(O2565,基础资料!$AC$5:$AC$34,0)),"未知"))</f>
      </c>
      <c r="Q2565" s="78">
        <f>IF(P2565="应收",COUNTIF(P$7:P2565,"应收"),"")</f>
      </c>
      <c r="R2565" s="78">
        <f>IF(P2565="应付",COUNTIF(P$7:P2565,"应付"),"")</f>
      </c>
      <c r="S2565" s="78">
        <f>N(F2565)-N(G2565)</f>
        <v>0</v>
      </c>
    </row>
    <row r="2566">
      <c r="A2566" s="109">
        <f>IF(AND(F2566="",G2566=""),"",ROW()-6)</f>
      </c>
      <c r="B2566" s="140" t="n"/>
      <c r="C2566" s="141" t="n"/>
      <c r="D2566" s="141" t="n"/>
      <c r="E2566" s="142" t="n"/>
      <c r="F2566" s="143" t="n"/>
      <c r="G2566" s="144" t="n"/>
      <c r="H2566" s="145">
        <f>IF(OR(C2566="",AND(F2566="",G2566="")),"",SUMIF(基础资料!$W$5:$W$24,C2566,基础资料!$X$5:$X$24)+SUMIF(C$7:C2566,C2566,F$7:F2566)-SUMIF(C$7:C2566,C2566,G$7:G2566))</f>
      </c>
      <c r="I2566" s="145">
        <f>IF(AND(F2566="",G2566=""),"",SUM(基础资料!$X$5:$X$24)+SUM(F$7:F2566)-SUM(G$7:G2566))</f>
      </c>
      <c r="J2566" s="141" t="n"/>
      <c r="K2566" s="141" t="n"/>
      <c r="L2566" s="141" t="n"/>
      <c r="M2566" s="142" t="n"/>
      <c r="N2566" s="146">
        <f>IF(AND(AND(F2566="",G2566=""),B2566="",C2566="",D2566="",J2566="",K2566="",L2566=""),"",IF(AND(F2566="",G2566=""),"✗ 没填金额",IF(AND(N(F2566)&lt;&gt;0,N(G2566)&lt;&gt;0),"✗ 收入、支出只能填一边",IF(NOT(ISNUMBER(B2566)),"✗ 日期不是真日期（要像 2026/9/25 这样填）",IF(OR(B2566&lt;年初日,B2566&gt;年末日),"✗ 日期不在本会计年度",IF(C2566="","✗ 没选账户",IF(COUNTIF(基础资料!$W$5:$W$24,C2566)=0,"✗ 账户不在基础资料里",IF(O2566="","✗ 没选收支项目",IF(P2566="未知","✗ 收支项目不在基础资料里",IF(AND(P2566="应收",J2566=""),"✗ 这笔要选客户",IF(AND(P2566="应收",COUNTIF(总览汇总!$B$5:$B$304,J2566)=0),"✗ 客户不在总览汇总名单里",IF(AND(P2566="应付",K2566=""),"✗ 这笔要选供应商",IF(AND(P2566="应付",COUNTIF(基础资料!$Q$5:$Q$54,K2566)=0),"✗ 供应商不在基础资料里",IF(AND(P2566="费用",L2566=""),"✗ 费用支出要选费用项目",IF(AND(L2566&lt;&gt;"",COUNTIF(基础资料!$AI$5:$AI$54,L2566)=0),"✗ 费用项目不在基础资料里",IF(AND(IFERROR(INDEX(基础资料!$AD$5:$AD$34,MATCH(O2566,基础资料!$AC$5:$AC$34,0)),"")="收",N(G2566)&lt;&gt;0),"✗ 这类是收款，金额填到收入列",IF(AND(IFERROR(INDEX(基础资料!$AD$5:$AD$34,MATCH(O2566,基础资料!$AC$5:$AC$34,0)),"")="支",N(F2566)&lt;&gt;0),"✗ 这类是付款，金额填到支出列",IF(N(H2566)&lt;0,"⚠ 账户余额成负数了，核对一下","√"))))))))))))))))))</f>
      </c>
      <c r="O2566" s="78">
        <f>IF(D2566&lt;&gt;"",D2566,IF(AND(F2566="",G2566=""),"",IF(J2566&lt;&gt;"",IF(N(F2566)&gt;0,"客户回款","客户退款"),IF(K2566&lt;&gt;"",IF(N(G2566)&gt;0,"供应商付款","供应商退款"),IF(L2566&lt;&gt;"","费用支出","")))))</f>
      </c>
      <c r="P2566" s="78">
        <f>IF(O2566="","",IFERROR(INDEX(基础资料!$AE$5:$AE$34,MATCH(O2566,基础资料!$AC$5:$AC$34,0)),"未知"))</f>
      </c>
      <c r="Q2566" s="78">
        <f>IF(P2566="应收",COUNTIF(P$7:P2566,"应收"),"")</f>
      </c>
      <c r="R2566" s="78">
        <f>IF(P2566="应付",COUNTIF(P$7:P2566,"应付"),"")</f>
      </c>
      <c r="S2566" s="78">
        <f>N(F2566)-N(G2566)</f>
        <v>0</v>
      </c>
    </row>
    <row r="2567">
      <c r="A2567" s="109">
        <f>IF(AND(F2567="",G2567=""),"",ROW()-6)</f>
      </c>
      <c r="B2567" s="140" t="n"/>
      <c r="C2567" s="141" t="n"/>
      <c r="D2567" s="141" t="n"/>
      <c r="E2567" s="142" t="n"/>
      <c r="F2567" s="143" t="n"/>
      <c r="G2567" s="144" t="n"/>
      <c r="H2567" s="145">
        <f>IF(OR(C2567="",AND(F2567="",G2567="")),"",SUMIF(基础资料!$W$5:$W$24,C2567,基础资料!$X$5:$X$24)+SUMIF(C$7:C2567,C2567,F$7:F2567)-SUMIF(C$7:C2567,C2567,G$7:G2567))</f>
      </c>
      <c r="I2567" s="145">
        <f>IF(AND(F2567="",G2567=""),"",SUM(基础资料!$X$5:$X$24)+SUM(F$7:F2567)-SUM(G$7:G2567))</f>
      </c>
      <c r="J2567" s="141" t="n"/>
      <c r="K2567" s="141" t="n"/>
      <c r="L2567" s="141" t="n"/>
      <c r="M2567" s="142" t="n"/>
      <c r="N2567" s="146">
        <f>IF(AND(AND(F2567="",G2567=""),B2567="",C2567="",D2567="",J2567="",K2567="",L2567=""),"",IF(AND(F2567="",G2567=""),"✗ 没填金额",IF(AND(N(F2567)&lt;&gt;0,N(G2567)&lt;&gt;0),"✗ 收入、支出只能填一边",IF(NOT(ISNUMBER(B2567)),"✗ 日期不是真日期（要像 2026/9/25 这样填）",IF(OR(B2567&lt;年初日,B2567&gt;年末日),"✗ 日期不在本会计年度",IF(C2567="","✗ 没选账户",IF(COUNTIF(基础资料!$W$5:$W$24,C2567)=0,"✗ 账户不在基础资料里",IF(O2567="","✗ 没选收支项目",IF(P2567="未知","✗ 收支项目不在基础资料里",IF(AND(P2567="应收",J2567=""),"✗ 这笔要选客户",IF(AND(P2567="应收",COUNTIF(总览汇总!$B$5:$B$304,J2567)=0),"✗ 客户不在总览汇总名单里",IF(AND(P2567="应付",K2567=""),"✗ 这笔要选供应商",IF(AND(P2567="应付",COUNTIF(基础资料!$Q$5:$Q$54,K2567)=0),"✗ 供应商不在基础资料里",IF(AND(P2567="费用",L2567=""),"✗ 费用支出要选费用项目",IF(AND(L2567&lt;&gt;"",COUNTIF(基础资料!$AI$5:$AI$54,L2567)=0),"✗ 费用项目不在基础资料里",IF(AND(IFERROR(INDEX(基础资料!$AD$5:$AD$34,MATCH(O2567,基础资料!$AC$5:$AC$34,0)),"")="收",N(G2567)&lt;&gt;0),"✗ 这类是收款，金额填到收入列",IF(AND(IFERROR(INDEX(基础资料!$AD$5:$AD$34,MATCH(O2567,基础资料!$AC$5:$AC$34,0)),"")="支",N(F2567)&lt;&gt;0),"✗ 这类是付款，金额填到支出列",IF(N(H2567)&lt;0,"⚠ 账户余额成负数了，核对一下","√"))))))))))))))))))</f>
      </c>
      <c r="O2567" s="78">
        <f>IF(D2567&lt;&gt;"",D2567,IF(AND(F2567="",G2567=""),"",IF(J2567&lt;&gt;"",IF(N(F2567)&gt;0,"客户回款","客户退款"),IF(K2567&lt;&gt;"",IF(N(G2567)&gt;0,"供应商付款","供应商退款"),IF(L2567&lt;&gt;"","费用支出","")))))</f>
      </c>
      <c r="P2567" s="78">
        <f>IF(O2567="","",IFERROR(INDEX(基础资料!$AE$5:$AE$34,MATCH(O2567,基础资料!$AC$5:$AC$34,0)),"未知"))</f>
      </c>
      <c r="Q2567" s="78">
        <f>IF(P2567="应收",COUNTIF(P$7:P2567,"应收"),"")</f>
      </c>
      <c r="R2567" s="78">
        <f>IF(P2567="应付",COUNTIF(P$7:P2567,"应付"),"")</f>
      </c>
      <c r="S2567" s="78">
        <f>N(F2567)-N(G2567)</f>
        <v>0</v>
      </c>
    </row>
    <row r="2568">
      <c r="A2568" s="109">
        <f>IF(AND(F2568="",G2568=""),"",ROW()-6)</f>
      </c>
      <c r="B2568" s="140" t="n"/>
      <c r="C2568" s="141" t="n"/>
      <c r="D2568" s="141" t="n"/>
      <c r="E2568" s="142" t="n"/>
      <c r="F2568" s="143" t="n"/>
      <c r="G2568" s="144" t="n"/>
      <c r="H2568" s="145">
        <f>IF(OR(C2568="",AND(F2568="",G2568="")),"",SUMIF(基础资料!$W$5:$W$24,C2568,基础资料!$X$5:$X$24)+SUMIF(C$7:C2568,C2568,F$7:F2568)-SUMIF(C$7:C2568,C2568,G$7:G2568))</f>
      </c>
      <c r="I2568" s="145">
        <f>IF(AND(F2568="",G2568=""),"",SUM(基础资料!$X$5:$X$24)+SUM(F$7:F2568)-SUM(G$7:G2568))</f>
      </c>
      <c r="J2568" s="141" t="n"/>
      <c r="K2568" s="141" t="n"/>
      <c r="L2568" s="141" t="n"/>
      <c r="M2568" s="142" t="n"/>
      <c r="N2568" s="146">
        <f>IF(AND(AND(F2568="",G2568=""),B2568="",C2568="",D2568="",J2568="",K2568="",L2568=""),"",IF(AND(F2568="",G2568=""),"✗ 没填金额",IF(AND(N(F2568)&lt;&gt;0,N(G2568)&lt;&gt;0),"✗ 收入、支出只能填一边",IF(NOT(ISNUMBER(B2568)),"✗ 日期不是真日期（要像 2026/9/25 这样填）",IF(OR(B2568&lt;年初日,B2568&gt;年末日),"✗ 日期不在本会计年度",IF(C2568="","✗ 没选账户",IF(COUNTIF(基础资料!$W$5:$W$24,C2568)=0,"✗ 账户不在基础资料里",IF(O2568="","✗ 没选收支项目",IF(P2568="未知","✗ 收支项目不在基础资料里",IF(AND(P2568="应收",J2568=""),"✗ 这笔要选客户",IF(AND(P2568="应收",COUNTIF(总览汇总!$B$5:$B$304,J2568)=0),"✗ 客户不在总览汇总名单里",IF(AND(P2568="应付",K2568=""),"✗ 这笔要选供应商",IF(AND(P2568="应付",COUNTIF(基础资料!$Q$5:$Q$54,K2568)=0),"✗ 供应商不在基础资料里",IF(AND(P2568="费用",L2568=""),"✗ 费用支出要选费用项目",IF(AND(L2568&lt;&gt;"",COUNTIF(基础资料!$AI$5:$AI$54,L2568)=0),"✗ 费用项目不在基础资料里",IF(AND(IFERROR(INDEX(基础资料!$AD$5:$AD$34,MATCH(O2568,基础资料!$AC$5:$AC$34,0)),"")="收",N(G2568)&lt;&gt;0),"✗ 这类是收款，金额填到收入列",IF(AND(IFERROR(INDEX(基础资料!$AD$5:$AD$34,MATCH(O2568,基础资料!$AC$5:$AC$34,0)),"")="支",N(F2568)&lt;&gt;0),"✗ 这类是付款，金额填到支出列",IF(N(H2568)&lt;0,"⚠ 账户余额成负数了，核对一下","√"))))))))))))))))))</f>
      </c>
      <c r="O2568" s="78">
        <f>IF(D2568&lt;&gt;"",D2568,IF(AND(F2568="",G2568=""),"",IF(J2568&lt;&gt;"",IF(N(F2568)&gt;0,"客户回款","客户退款"),IF(K2568&lt;&gt;"",IF(N(G2568)&gt;0,"供应商付款","供应商退款"),IF(L2568&lt;&gt;"","费用支出","")))))</f>
      </c>
      <c r="P2568" s="78">
        <f>IF(O2568="","",IFERROR(INDEX(基础资料!$AE$5:$AE$34,MATCH(O2568,基础资料!$AC$5:$AC$34,0)),"未知"))</f>
      </c>
      <c r="Q2568" s="78">
        <f>IF(P2568="应收",COUNTIF(P$7:P2568,"应收"),"")</f>
      </c>
      <c r="R2568" s="78">
        <f>IF(P2568="应付",COUNTIF(P$7:P2568,"应付"),"")</f>
      </c>
      <c r="S2568" s="78">
        <f>N(F2568)-N(G2568)</f>
        <v>0</v>
      </c>
    </row>
    <row r="2569">
      <c r="A2569" s="109">
        <f>IF(AND(F2569="",G2569=""),"",ROW()-6)</f>
      </c>
      <c r="B2569" s="140" t="n"/>
      <c r="C2569" s="141" t="n"/>
      <c r="D2569" s="141" t="n"/>
      <c r="E2569" s="142" t="n"/>
      <c r="F2569" s="143" t="n"/>
      <c r="G2569" s="144" t="n"/>
      <c r="H2569" s="145">
        <f>IF(OR(C2569="",AND(F2569="",G2569="")),"",SUMIF(基础资料!$W$5:$W$24,C2569,基础资料!$X$5:$X$24)+SUMIF(C$7:C2569,C2569,F$7:F2569)-SUMIF(C$7:C2569,C2569,G$7:G2569))</f>
      </c>
      <c r="I2569" s="145">
        <f>IF(AND(F2569="",G2569=""),"",SUM(基础资料!$X$5:$X$24)+SUM(F$7:F2569)-SUM(G$7:G2569))</f>
      </c>
      <c r="J2569" s="141" t="n"/>
      <c r="K2569" s="141" t="n"/>
      <c r="L2569" s="141" t="n"/>
      <c r="M2569" s="142" t="n"/>
      <c r="N2569" s="146">
        <f>IF(AND(AND(F2569="",G2569=""),B2569="",C2569="",D2569="",J2569="",K2569="",L2569=""),"",IF(AND(F2569="",G2569=""),"✗ 没填金额",IF(AND(N(F2569)&lt;&gt;0,N(G2569)&lt;&gt;0),"✗ 收入、支出只能填一边",IF(NOT(ISNUMBER(B2569)),"✗ 日期不是真日期（要像 2026/9/25 这样填）",IF(OR(B2569&lt;年初日,B2569&gt;年末日),"✗ 日期不在本会计年度",IF(C2569="","✗ 没选账户",IF(COUNTIF(基础资料!$W$5:$W$24,C2569)=0,"✗ 账户不在基础资料里",IF(O2569="","✗ 没选收支项目",IF(P2569="未知","✗ 收支项目不在基础资料里",IF(AND(P2569="应收",J2569=""),"✗ 这笔要选客户",IF(AND(P2569="应收",COUNTIF(总览汇总!$B$5:$B$304,J2569)=0),"✗ 客户不在总览汇总名单里",IF(AND(P2569="应付",K2569=""),"✗ 这笔要选供应商",IF(AND(P2569="应付",COUNTIF(基础资料!$Q$5:$Q$54,K2569)=0),"✗ 供应商不在基础资料里",IF(AND(P2569="费用",L2569=""),"✗ 费用支出要选费用项目",IF(AND(L2569&lt;&gt;"",COUNTIF(基础资料!$AI$5:$AI$54,L2569)=0),"✗ 费用项目不在基础资料里",IF(AND(IFERROR(INDEX(基础资料!$AD$5:$AD$34,MATCH(O2569,基础资料!$AC$5:$AC$34,0)),"")="收",N(G2569)&lt;&gt;0),"✗ 这类是收款，金额填到收入列",IF(AND(IFERROR(INDEX(基础资料!$AD$5:$AD$34,MATCH(O2569,基础资料!$AC$5:$AC$34,0)),"")="支",N(F2569)&lt;&gt;0),"✗ 这类是付款，金额填到支出列",IF(N(H2569)&lt;0,"⚠ 账户余额成负数了，核对一下","√"))))))))))))))))))</f>
      </c>
      <c r="O2569" s="78">
        <f>IF(D2569&lt;&gt;"",D2569,IF(AND(F2569="",G2569=""),"",IF(J2569&lt;&gt;"",IF(N(F2569)&gt;0,"客户回款","客户退款"),IF(K2569&lt;&gt;"",IF(N(G2569)&gt;0,"供应商付款","供应商退款"),IF(L2569&lt;&gt;"","费用支出","")))))</f>
      </c>
      <c r="P2569" s="78">
        <f>IF(O2569="","",IFERROR(INDEX(基础资料!$AE$5:$AE$34,MATCH(O2569,基础资料!$AC$5:$AC$34,0)),"未知"))</f>
      </c>
      <c r="Q2569" s="78">
        <f>IF(P2569="应收",COUNTIF(P$7:P2569,"应收"),"")</f>
      </c>
      <c r="R2569" s="78">
        <f>IF(P2569="应付",COUNTIF(P$7:P2569,"应付"),"")</f>
      </c>
      <c r="S2569" s="78">
        <f>N(F2569)-N(G2569)</f>
        <v>0</v>
      </c>
    </row>
    <row r="2570">
      <c r="A2570" s="109">
        <f>IF(AND(F2570="",G2570=""),"",ROW()-6)</f>
      </c>
      <c r="B2570" s="140" t="n"/>
      <c r="C2570" s="141" t="n"/>
      <c r="D2570" s="141" t="n"/>
      <c r="E2570" s="142" t="n"/>
      <c r="F2570" s="143" t="n"/>
      <c r="G2570" s="144" t="n"/>
      <c r="H2570" s="145">
        <f>IF(OR(C2570="",AND(F2570="",G2570="")),"",SUMIF(基础资料!$W$5:$W$24,C2570,基础资料!$X$5:$X$24)+SUMIF(C$7:C2570,C2570,F$7:F2570)-SUMIF(C$7:C2570,C2570,G$7:G2570))</f>
      </c>
      <c r="I2570" s="145">
        <f>IF(AND(F2570="",G2570=""),"",SUM(基础资料!$X$5:$X$24)+SUM(F$7:F2570)-SUM(G$7:G2570))</f>
      </c>
      <c r="J2570" s="141" t="n"/>
      <c r="K2570" s="141" t="n"/>
      <c r="L2570" s="141" t="n"/>
      <c r="M2570" s="142" t="n"/>
      <c r="N2570" s="146">
        <f>IF(AND(AND(F2570="",G2570=""),B2570="",C2570="",D2570="",J2570="",K2570="",L2570=""),"",IF(AND(F2570="",G2570=""),"✗ 没填金额",IF(AND(N(F2570)&lt;&gt;0,N(G2570)&lt;&gt;0),"✗ 收入、支出只能填一边",IF(NOT(ISNUMBER(B2570)),"✗ 日期不是真日期（要像 2026/9/25 这样填）",IF(OR(B2570&lt;年初日,B2570&gt;年末日),"✗ 日期不在本会计年度",IF(C2570="","✗ 没选账户",IF(COUNTIF(基础资料!$W$5:$W$24,C2570)=0,"✗ 账户不在基础资料里",IF(O2570="","✗ 没选收支项目",IF(P2570="未知","✗ 收支项目不在基础资料里",IF(AND(P2570="应收",J2570=""),"✗ 这笔要选客户",IF(AND(P2570="应收",COUNTIF(总览汇总!$B$5:$B$304,J2570)=0),"✗ 客户不在总览汇总名单里",IF(AND(P2570="应付",K2570=""),"✗ 这笔要选供应商",IF(AND(P2570="应付",COUNTIF(基础资料!$Q$5:$Q$54,K2570)=0),"✗ 供应商不在基础资料里",IF(AND(P2570="费用",L2570=""),"✗ 费用支出要选费用项目",IF(AND(L2570&lt;&gt;"",COUNTIF(基础资料!$AI$5:$AI$54,L2570)=0),"✗ 费用项目不在基础资料里",IF(AND(IFERROR(INDEX(基础资料!$AD$5:$AD$34,MATCH(O2570,基础资料!$AC$5:$AC$34,0)),"")="收",N(G2570)&lt;&gt;0),"✗ 这类是收款，金额填到收入列",IF(AND(IFERROR(INDEX(基础资料!$AD$5:$AD$34,MATCH(O2570,基础资料!$AC$5:$AC$34,0)),"")="支",N(F2570)&lt;&gt;0),"✗ 这类是付款，金额填到支出列",IF(N(H2570)&lt;0,"⚠ 账户余额成负数了，核对一下","√"))))))))))))))))))</f>
      </c>
      <c r="O2570" s="78">
        <f>IF(D2570&lt;&gt;"",D2570,IF(AND(F2570="",G2570=""),"",IF(J2570&lt;&gt;"",IF(N(F2570)&gt;0,"客户回款","客户退款"),IF(K2570&lt;&gt;"",IF(N(G2570)&gt;0,"供应商付款","供应商退款"),IF(L2570&lt;&gt;"","费用支出","")))))</f>
      </c>
      <c r="P2570" s="78">
        <f>IF(O2570="","",IFERROR(INDEX(基础资料!$AE$5:$AE$34,MATCH(O2570,基础资料!$AC$5:$AC$34,0)),"未知"))</f>
      </c>
      <c r="Q2570" s="78">
        <f>IF(P2570="应收",COUNTIF(P$7:P2570,"应收"),"")</f>
      </c>
      <c r="R2570" s="78">
        <f>IF(P2570="应付",COUNTIF(P$7:P2570,"应付"),"")</f>
      </c>
      <c r="S2570" s="78">
        <f>N(F2570)-N(G2570)</f>
        <v>0</v>
      </c>
    </row>
    <row r="2571">
      <c r="A2571" s="109">
        <f>IF(AND(F2571="",G2571=""),"",ROW()-6)</f>
      </c>
      <c r="B2571" s="140" t="n"/>
      <c r="C2571" s="141" t="n"/>
      <c r="D2571" s="141" t="n"/>
      <c r="E2571" s="142" t="n"/>
      <c r="F2571" s="143" t="n"/>
      <c r="G2571" s="144" t="n"/>
      <c r="H2571" s="145">
        <f>IF(OR(C2571="",AND(F2571="",G2571="")),"",SUMIF(基础资料!$W$5:$W$24,C2571,基础资料!$X$5:$X$24)+SUMIF(C$7:C2571,C2571,F$7:F2571)-SUMIF(C$7:C2571,C2571,G$7:G2571))</f>
      </c>
      <c r="I2571" s="145">
        <f>IF(AND(F2571="",G2571=""),"",SUM(基础资料!$X$5:$X$24)+SUM(F$7:F2571)-SUM(G$7:G2571))</f>
      </c>
      <c r="J2571" s="141" t="n"/>
      <c r="K2571" s="141" t="n"/>
      <c r="L2571" s="141" t="n"/>
      <c r="M2571" s="142" t="n"/>
      <c r="N2571" s="146">
        <f>IF(AND(AND(F2571="",G2571=""),B2571="",C2571="",D2571="",J2571="",K2571="",L2571=""),"",IF(AND(F2571="",G2571=""),"✗ 没填金额",IF(AND(N(F2571)&lt;&gt;0,N(G2571)&lt;&gt;0),"✗ 收入、支出只能填一边",IF(NOT(ISNUMBER(B2571)),"✗ 日期不是真日期（要像 2026/9/25 这样填）",IF(OR(B2571&lt;年初日,B2571&gt;年末日),"✗ 日期不在本会计年度",IF(C2571="","✗ 没选账户",IF(COUNTIF(基础资料!$W$5:$W$24,C2571)=0,"✗ 账户不在基础资料里",IF(O2571="","✗ 没选收支项目",IF(P2571="未知","✗ 收支项目不在基础资料里",IF(AND(P2571="应收",J2571=""),"✗ 这笔要选客户",IF(AND(P2571="应收",COUNTIF(总览汇总!$B$5:$B$304,J2571)=0),"✗ 客户不在总览汇总名单里",IF(AND(P2571="应付",K2571=""),"✗ 这笔要选供应商",IF(AND(P2571="应付",COUNTIF(基础资料!$Q$5:$Q$54,K2571)=0),"✗ 供应商不在基础资料里",IF(AND(P2571="费用",L2571=""),"✗ 费用支出要选费用项目",IF(AND(L2571&lt;&gt;"",COUNTIF(基础资料!$AI$5:$AI$54,L2571)=0),"✗ 费用项目不在基础资料里",IF(AND(IFERROR(INDEX(基础资料!$AD$5:$AD$34,MATCH(O2571,基础资料!$AC$5:$AC$34,0)),"")="收",N(G2571)&lt;&gt;0),"✗ 这类是收款，金额填到收入列",IF(AND(IFERROR(INDEX(基础资料!$AD$5:$AD$34,MATCH(O2571,基础资料!$AC$5:$AC$34,0)),"")="支",N(F2571)&lt;&gt;0),"✗ 这类是付款，金额填到支出列",IF(N(H2571)&lt;0,"⚠ 账户余额成负数了，核对一下","√"))))))))))))))))))</f>
      </c>
      <c r="O2571" s="78">
        <f>IF(D2571&lt;&gt;"",D2571,IF(AND(F2571="",G2571=""),"",IF(J2571&lt;&gt;"",IF(N(F2571)&gt;0,"客户回款","客户退款"),IF(K2571&lt;&gt;"",IF(N(G2571)&gt;0,"供应商付款","供应商退款"),IF(L2571&lt;&gt;"","费用支出","")))))</f>
      </c>
      <c r="P2571" s="78">
        <f>IF(O2571="","",IFERROR(INDEX(基础资料!$AE$5:$AE$34,MATCH(O2571,基础资料!$AC$5:$AC$34,0)),"未知"))</f>
      </c>
      <c r="Q2571" s="78">
        <f>IF(P2571="应收",COUNTIF(P$7:P2571,"应收"),"")</f>
      </c>
      <c r="R2571" s="78">
        <f>IF(P2571="应付",COUNTIF(P$7:P2571,"应付"),"")</f>
      </c>
      <c r="S2571" s="78">
        <f>N(F2571)-N(G2571)</f>
        <v>0</v>
      </c>
    </row>
    <row r="2572">
      <c r="A2572" s="109">
        <f>IF(AND(F2572="",G2572=""),"",ROW()-6)</f>
      </c>
      <c r="B2572" s="140" t="n"/>
      <c r="C2572" s="141" t="n"/>
      <c r="D2572" s="141" t="n"/>
      <c r="E2572" s="142" t="n"/>
      <c r="F2572" s="143" t="n"/>
      <c r="G2572" s="144" t="n"/>
      <c r="H2572" s="145">
        <f>IF(OR(C2572="",AND(F2572="",G2572="")),"",SUMIF(基础资料!$W$5:$W$24,C2572,基础资料!$X$5:$X$24)+SUMIF(C$7:C2572,C2572,F$7:F2572)-SUMIF(C$7:C2572,C2572,G$7:G2572))</f>
      </c>
      <c r="I2572" s="145">
        <f>IF(AND(F2572="",G2572=""),"",SUM(基础资料!$X$5:$X$24)+SUM(F$7:F2572)-SUM(G$7:G2572))</f>
      </c>
      <c r="J2572" s="141" t="n"/>
      <c r="K2572" s="141" t="n"/>
      <c r="L2572" s="141" t="n"/>
      <c r="M2572" s="142" t="n"/>
      <c r="N2572" s="146">
        <f>IF(AND(AND(F2572="",G2572=""),B2572="",C2572="",D2572="",J2572="",K2572="",L2572=""),"",IF(AND(F2572="",G2572=""),"✗ 没填金额",IF(AND(N(F2572)&lt;&gt;0,N(G2572)&lt;&gt;0),"✗ 收入、支出只能填一边",IF(NOT(ISNUMBER(B2572)),"✗ 日期不是真日期（要像 2026/9/25 这样填）",IF(OR(B2572&lt;年初日,B2572&gt;年末日),"✗ 日期不在本会计年度",IF(C2572="","✗ 没选账户",IF(COUNTIF(基础资料!$W$5:$W$24,C2572)=0,"✗ 账户不在基础资料里",IF(O2572="","✗ 没选收支项目",IF(P2572="未知","✗ 收支项目不在基础资料里",IF(AND(P2572="应收",J2572=""),"✗ 这笔要选客户",IF(AND(P2572="应收",COUNTIF(总览汇总!$B$5:$B$304,J2572)=0),"✗ 客户不在总览汇总名单里",IF(AND(P2572="应付",K2572=""),"✗ 这笔要选供应商",IF(AND(P2572="应付",COUNTIF(基础资料!$Q$5:$Q$54,K2572)=0),"✗ 供应商不在基础资料里",IF(AND(P2572="费用",L2572=""),"✗ 费用支出要选费用项目",IF(AND(L2572&lt;&gt;"",COUNTIF(基础资料!$AI$5:$AI$54,L2572)=0),"✗ 费用项目不在基础资料里",IF(AND(IFERROR(INDEX(基础资料!$AD$5:$AD$34,MATCH(O2572,基础资料!$AC$5:$AC$34,0)),"")="收",N(G2572)&lt;&gt;0),"✗ 这类是收款，金额填到收入列",IF(AND(IFERROR(INDEX(基础资料!$AD$5:$AD$34,MATCH(O2572,基础资料!$AC$5:$AC$34,0)),"")="支",N(F2572)&lt;&gt;0),"✗ 这类是付款，金额填到支出列",IF(N(H2572)&lt;0,"⚠ 账户余额成负数了，核对一下","√"))))))))))))))))))</f>
      </c>
      <c r="O2572" s="78">
        <f>IF(D2572&lt;&gt;"",D2572,IF(AND(F2572="",G2572=""),"",IF(J2572&lt;&gt;"",IF(N(F2572)&gt;0,"客户回款","客户退款"),IF(K2572&lt;&gt;"",IF(N(G2572)&gt;0,"供应商付款","供应商退款"),IF(L2572&lt;&gt;"","费用支出","")))))</f>
      </c>
      <c r="P2572" s="78">
        <f>IF(O2572="","",IFERROR(INDEX(基础资料!$AE$5:$AE$34,MATCH(O2572,基础资料!$AC$5:$AC$34,0)),"未知"))</f>
      </c>
      <c r="Q2572" s="78">
        <f>IF(P2572="应收",COUNTIF(P$7:P2572,"应收"),"")</f>
      </c>
      <c r="R2572" s="78">
        <f>IF(P2572="应付",COUNTIF(P$7:P2572,"应付"),"")</f>
      </c>
      <c r="S2572" s="78">
        <f>N(F2572)-N(G2572)</f>
        <v>0</v>
      </c>
    </row>
    <row r="2573">
      <c r="A2573" s="109">
        <f>IF(AND(F2573="",G2573=""),"",ROW()-6)</f>
      </c>
      <c r="B2573" s="140" t="n"/>
      <c r="C2573" s="141" t="n"/>
      <c r="D2573" s="141" t="n"/>
      <c r="E2573" s="142" t="n"/>
      <c r="F2573" s="143" t="n"/>
      <c r="G2573" s="144" t="n"/>
      <c r="H2573" s="145">
        <f>IF(OR(C2573="",AND(F2573="",G2573="")),"",SUMIF(基础资料!$W$5:$W$24,C2573,基础资料!$X$5:$X$24)+SUMIF(C$7:C2573,C2573,F$7:F2573)-SUMIF(C$7:C2573,C2573,G$7:G2573))</f>
      </c>
      <c r="I2573" s="145">
        <f>IF(AND(F2573="",G2573=""),"",SUM(基础资料!$X$5:$X$24)+SUM(F$7:F2573)-SUM(G$7:G2573))</f>
      </c>
      <c r="J2573" s="141" t="n"/>
      <c r="K2573" s="141" t="n"/>
      <c r="L2573" s="141" t="n"/>
      <c r="M2573" s="142" t="n"/>
      <c r="N2573" s="146">
        <f>IF(AND(AND(F2573="",G2573=""),B2573="",C2573="",D2573="",J2573="",K2573="",L2573=""),"",IF(AND(F2573="",G2573=""),"✗ 没填金额",IF(AND(N(F2573)&lt;&gt;0,N(G2573)&lt;&gt;0),"✗ 收入、支出只能填一边",IF(NOT(ISNUMBER(B2573)),"✗ 日期不是真日期（要像 2026/9/25 这样填）",IF(OR(B2573&lt;年初日,B2573&gt;年末日),"✗ 日期不在本会计年度",IF(C2573="","✗ 没选账户",IF(COUNTIF(基础资料!$W$5:$W$24,C2573)=0,"✗ 账户不在基础资料里",IF(O2573="","✗ 没选收支项目",IF(P2573="未知","✗ 收支项目不在基础资料里",IF(AND(P2573="应收",J2573=""),"✗ 这笔要选客户",IF(AND(P2573="应收",COUNTIF(总览汇总!$B$5:$B$304,J2573)=0),"✗ 客户不在总览汇总名单里",IF(AND(P2573="应付",K2573=""),"✗ 这笔要选供应商",IF(AND(P2573="应付",COUNTIF(基础资料!$Q$5:$Q$54,K2573)=0),"✗ 供应商不在基础资料里",IF(AND(P2573="费用",L2573=""),"✗ 费用支出要选费用项目",IF(AND(L2573&lt;&gt;"",COUNTIF(基础资料!$AI$5:$AI$54,L2573)=0),"✗ 费用项目不在基础资料里",IF(AND(IFERROR(INDEX(基础资料!$AD$5:$AD$34,MATCH(O2573,基础资料!$AC$5:$AC$34,0)),"")="收",N(G2573)&lt;&gt;0),"✗ 这类是收款，金额填到收入列",IF(AND(IFERROR(INDEX(基础资料!$AD$5:$AD$34,MATCH(O2573,基础资料!$AC$5:$AC$34,0)),"")="支",N(F2573)&lt;&gt;0),"✗ 这类是付款，金额填到支出列",IF(N(H2573)&lt;0,"⚠ 账户余额成负数了，核对一下","√"))))))))))))))))))</f>
      </c>
      <c r="O2573" s="78">
        <f>IF(D2573&lt;&gt;"",D2573,IF(AND(F2573="",G2573=""),"",IF(J2573&lt;&gt;"",IF(N(F2573)&gt;0,"客户回款","客户退款"),IF(K2573&lt;&gt;"",IF(N(G2573)&gt;0,"供应商付款","供应商退款"),IF(L2573&lt;&gt;"","费用支出","")))))</f>
      </c>
      <c r="P2573" s="78">
        <f>IF(O2573="","",IFERROR(INDEX(基础资料!$AE$5:$AE$34,MATCH(O2573,基础资料!$AC$5:$AC$34,0)),"未知"))</f>
      </c>
      <c r="Q2573" s="78">
        <f>IF(P2573="应收",COUNTIF(P$7:P2573,"应收"),"")</f>
      </c>
      <c r="R2573" s="78">
        <f>IF(P2573="应付",COUNTIF(P$7:P2573,"应付"),"")</f>
      </c>
      <c r="S2573" s="78">
        <f>N(F2573)-N(G2573)</f>
        <v>0</v>
      </c>
    </row>
    <row r="2574">
      <c r="A2574" s="109">
        <f>IF(AND(F2574="",G2574=""),"",ROW()-6)</f>
      </c>
      <c r="B2574" s="140" t="n"/>
      <c r="C2574" s="141" t="n"/>
      <c r="D2574" s="141" t="n"/>
      <c r="E2574" s="142" t="n"/>
      <c r="F2574" s="143" t="n"/>
      <c r="G2574" s="144" t="n"/>
      <c r="H2574" s="145">
        <f>IF(OR(C2574="",AND(F2574="",G2574="")),"",SUMIF(基础资料!$W$5:$W$24,C2574,基础资料!$X$5:$X$24)+SUMIF(C$7:C2574,C2574,F$7:F2574)-SUMIF(C$7:C2574,C2574,G$7:G2574))</f>
      </c>
      <c r="I2574" s="145">
        <f>IF(AND(F2574="",G2574=""),"",SUM(基础资料!$X$5:$X$24)+SUM(F$7:F2574)-SUM(G$7:G2574))</f>
      </c>
      <c r="J2574" s="141" t="n"/>
      <c r="K2574" s="141" t="n"/>
      <c r="L2574" s="141" t="n"/>
      <c r="M2574" s="142" t="n"/>
      <c r="N2574" s="146">
        <f>IF(AND(AND(F2574="",G2574=""),B2574="",C2574="",D2574="",J2574="",K2574="",L2574=""),"",IF(AND(F2574="",G2574=""),"✗ 没填金额",IF(AND(N(F2574)&lt;&gt;0,N(G2574)&lt;&gt;0),"✗ 收入、支出只能填一边",IF(NOT(ISNUMBER(B2574)),"✗ 日期不是真日期（要像 2026/9/25 这样填）",IF(OR(B2574&lt;年初日,B2574&gt;年末日),"✗ 日期不在本会计年度",IF(C2574="","✗ 没选账户",IF(COUNTIF(基础资料!$W$5:$W$24,C2574)=0,"✗ 账户不在基础资料里",IF(O2574="","✗ 没选收支项目",IF(P2574="未知","✗ 收支项目不在基础资料里",IF(AND(P2574="应收",J2574=""),"✗ 这笔要选客户",IF(AND(P2574="应收",COUNTIF(总览汇总!$B$5:$B$304,J2574)=0),"✗ 客户不在总览汇总名单里",IF(AND(P2574="应付",K2574=""),"✗ 这笔要选供应商",IF(AND(P2574="应付",COUNTIF(基础资料!$Q$5:$Q$54,K2574)=0),"✗ 供应商不在基础资料里",IF(AND(P2574="费用",L2574=""),"✗ 费用支出要选费用项目",IF(AND(L2574&lt;&gt;"",COUNTIF(基础资料!$AI$5:$AI$54,L2574)=0),"✗ 费用项目不在基础资料里",IF(AND(IFERROR(INDEX(基础资料!$AD$5:$AD$34,MATCH(O2574,基础资料!$AC$5:$AC$34,0)),"")="收",N(G2574)&lt;&gt;0),"✗ 这类是收款，金额填到收入列",IF(AND(IFERROR(INDEX(基础资料!$AD$5:$AD$34,MATCH(O2574,基础资料!$AC$5:$AC$34,0)),"")="支",N(F2574)&lt;&gt;0),"✗ 这类是付款，金额填到支出列",IF(N(H2574)&lt;0,"⚠ 账户余额成负数了，核对一下","√"))))))))))))))))))</f>
      </c>
      <c r="O2574" s="78">
        <f>IF(D2574&lt;&gt;"",D2574,IF(AND(F2574="",G2574=""),"",IF(J2574&lt;&gt;"",IF(N(F2574)&gt;0,"客户回款","客户退款"),IF(K2574&lt;&gt;"",IF(N(G2574)&gt;0,"供应商付款","供应商退款"),IF(L2574&lt;&gt;"","费用支出","")))))</f>
      </c>
      <c r="P2574" s="78">
        <f>IF(O2574="","",IFERROR(INDEX(基础资料!$AE$5:$AE$34,MATCH(O2574,基础资料!$AC$5:$AC$34,0)),"未知"))</f>
      </c>
      <c r="Q2574" s="78">
        <f>IF(P2574="应收",COUNTIF(P$7:P2574,"应收"),"")</f>
      </c>
      <c r="R2574" s="78">
        <f>IF(P2574="应付",COUNTIF(P$7:P2574,"应付"),"")</f>
      </c>
      <c r="S2574" s="78">
        <f>N(F2574)-N(G2574)</f>
        <v>0</v>
      </c>
    </row>
    <row r="2575">
      <c r="A2575" s="109">
        <f>IF(AND(F2575="",G2575=""),"",ROW()-6)</f>
      </c>
      <c r="B2575" s="140" t="n"/>
      <c r="C2575" s="141" t="n"/>
      <c r="D2575" s="141" t="n"/>
      <c r="E2575" s="142" t="n"/>
      <c r="F2575" s="143" t="n"/>
      <c r="G2575" s="144" t="n"/>
      <c r="H2575" s="145">
        <f>IF(OR(C2575="",AND(F2575="",G2575="")),"",SUMIF(基础资料!$W$5:$W$24,C2575,基础资料!$X$5:$X$24)+SUMIF(C$7:C2575,C2575,F$7:F2575)-SUMIF(C$7:C2575,C2575,G$7:G2575))</f>
      </c>
      <c r="I2575" s="145">
        <f>IF(AND(F2575="",G2575=""),"",SUM(基础资料!$X$5:$X$24)+SUM(F$7:F2575)-SUM(G$7:G2575))</f>
      </c>
      <c r="J2575" s="141" t="n"/>
      <c r="K2575" s="141" t="n"/>
      <c r="L2575" s="141" t="n"/>
      <c r="M2575" s="142" t="n"/>
      <c r="N2575" s="146">
        <f>IF(AND(AND(F2575="",G2575=""),B2575="",C2575="",D2575="",J2575="",K2575="",L2575=""),"",IF(AND(F2575="",G2575=""),"✗ 没填金额",IF(AND(N(F2575)&lt;&gt;0,N(G2575)&lt;&gt;0),"✗ 收入、支出只能填一边",IF(NOT(ISNUMBER(B2575)),"✗ 日期不是真日期（要像 2026/9/25 这样填）",IF(OR(B2575&lt;年初日,B2575&gt;年末日),"✗ 日期不在本会计年度",IF(C2575="","✗ 没选账户",IF(COUNTIF(基础资料!$W$5:$W$24,C2575)=0,"✗ 账户不在基础资料里",IF(O2575="","✗ 没选收支项目",IF(P2575="未知","✗ 收支项目不在基础资料里",IF(AND(P2575="应收",J2575=""),"✗ 这笔要选客户",IF(AND(P2575="应收",COUNTIF(总览汇总!$B$5:$B$304,J2575)=0),"✗ 客户不在总览汇总名单里",IF(AND(P2575="应付",K2575=""),"✗ 这笔要选供应商",IF(AND(P2575="应付",COUNTIF(基础资料!$Q$5:$Q$54,K2575)=0),"✗ 供应商不在基础资料里",IF(AND(P2575="费用",L2575=""),"✗ 费用支出要选费用项目",IF(AND(L2575&lt;&gt;"",COUNTIF(基础资料!$AI$5:$AI$54,L2575)=0),"✗ 费用项目不在基础资料里",IF(AND(IFERROR(INDEX(基础资料!$AD$5:$AD$34,MATCH(O2575,基础资料!$AC$5:$AC$34,0)),"")="收",N(G2575)&lt;&gt;0),"✗ 这类是收款，金额填到收入列",IF(AND(IFERROR(INDEX(基础资料!$AD$5:$AD$34,MATCH(O2575,基础资料!$AC$5:$AC$34,0)),"")="支",N(F2575)&lt;&gt;0),"✗ 这类是付款，金额填到支出列",IF(N(H2575)&lt;0,"⚠ 账户余额成负数了，核对一下","√"))))))))))))))))))</f>
      </c>
      <c r="O2575" s="78">
        <f>IF(D2575&lt;&gt;"",D2575,IF(AND(F2575="",G2575=""),"",IF(J2575&lt;&gt;"",IF(N(F2575)&gt;0,"客户回款","客户退款"),IF(K2575&lt;&gt;"",IF(N(G2575)&gt;0,"供应商付款","供应商退款"),IF(L2575&lt;&gt;"","费用支出","")))))</f>
      </c>
      <c r="P2575" s="78">
        <f>IF(O2575="","",IFERROR(INDEX(基础资料!$AE$5:$AE$34,MATCH(O2575,基础资料!$AC$5:$AC$34,0)),"未知"))</f>
      </c>
      <c r="Q2575" s="78">
        <f>IF(P2575="应收",COUNTIF(P$7:P2575,"应收"),"")</f>
      </c>
      <c r="R2575" s="78">
        <f>IF(P2575="应付",COUNTIF(P$7:P2575,"应付"),"")</f>
      </c>
      <c r="S2575" s="78">
        <f>N(F2575)-N(G2575)</f>
        <v>0</v>
      </c>
    </row>
    <row r="2576">
      <c r="A2576" s="109">
        <f>IF(AND(F2576="",G2576=""),"",ROW()-6)</f>
      </c>
      <c r="B2576" s="140" t="n"/>
      <c r="C2576" s="141" t="n"/>
      <c r="D2576" s="141" t="n"/>
      <c r="E2576" s="142" t="n"/>
      <c r="F2576" s="143" t="n"/>
      <c r="G2576" s="144" t="n"/>
      <c r="H2576" s="145">
        <f>IF(OR(C2576="",AND(F2576="",G2576="")),"",SUMIF(基础资料!$W$5:$W$24,C2576,基础资料!$X$5:$X$24)+SUMIF(C$7:C2576,C2576,F$7:F2576)-SUMIF(C$7:C2576,C2576,G$7:G2576))</f>
      </c>
      <c r="I2576" s="145">
        <f>IF(AND(F2576="",G2576=""),"",SUM(基础资料!$X$5:$X$24)+SUM(F$7:F2576)-SUM(G$7:G2576))</f>
      </c>
      <c r="J2576" s="141" t="n"/>
      <c r="K2576" s="141" t="n"/>
      <c r="L2576" s="141" t="n"/>
      <c r="M2576" s="142" t="n"/>
      <c r="N2576" s="146">
        <f>IF(AND(AND(F2576="",G2576=""),B2576="",C2576="",D2576="",J2576="",K2576="",L2576=""),"",IF(AND(F2576="",G2576=""),"✗ 没填金额",IF(AND(N(F2576)&lt;&gt;0,N(G2576)&lt;&gt;0),"✗ 收入、支出只能填一边",IF(NOT(ISNUMBER(B2576)),"✗ 日期不是真日期（要像 2026/9/25 这样填）",IF(OR(B2576&lt;年初日,B2576&gt;年末日),"✗ 日期不在本会计年度",IF(C2576="","✗ 没选账户",IF(COUNTIF(基础资料!$W$5:$W$24,C2576)=0,"✗ 账户不在基础资料里",IF(O2576="","✗ 没选收支项目",IF(P2576="未知","✗ 收支项目不在基础资料里",IF(AND(P2576="应收",J2576=""),"✗ 这笔要选客户",IF(AND(P2576="应收",COUNTIF(总览汇总!$B$5:$B$304,J2576)=0),"✗ 客户不在总览汇总名单里",IF(AND(P2576="应付",K2576=""),"✗ 这笔要选供应商",IF(AND(P2576="应付",COUNTIF(基础资料!$Q$5:$Q$54,K2576)=0),"✗ 供应商不在基础资料里",IF(AND(P2576="费用",L2576=""),"✗ 费用支出要选费用项目",IF(AND(L2576&lt;&gt;"",COUNTIF(基础资料!$AI$5:$AI$54,L2576)=0),"✗ 费用项目不在基础资料里",IF(AND(IFERROR(INDEX(基础资料!$AD$5:$AD$34,MATCH(O2576,基础资料!$AC$5:$AC$34,0)),"")="收",N(G2576)&lt;&gt;0),"✗ 这类是收款，金额填到收入列",IF(AND(IFERROR(INDEX(基础资料!$AD$5:$AD$34,MATCH(O2576,基础资料!$AC$5:$AC$34,0)),"")="支",N(F2576)&lt;&gt;0),"✗ 这类是付款，金额填到支出列",IF(N(H2576)&lt;0,"⚠ 账户余额成负数了，核对一下","√"))))))))))))))))))</f>
      </c>
      <c r="O2576" s="78">
        <f>IF(D2576&lt;&gt;"",D2576,IF(AND(F2576="",G2576=""),"",IF(J2576&lt;&gt;"",IF(N(F2576)&gt;0,"客户回款","客户退款"),IF(K2576&lt;&gt;"",IF(N(G2576)&gt;0,"供应商付款","供应商退款"),IF(L2576&lt;&gt;"","费用支出","")))))</f>
      </c>
      <c r="P2576" s="78">
        <f>IF(O2576="","",IFERROR(INDEX(基础资料!$AE$5:$AE$34,MATCH(O2576,基础资料!$AC$5:$AC$34,0)),"未知"))</f>
      </c>
      <c r="Q2576" s="78">
        <f>IF(P2576="应收",COUNTIF(P$7:P2576,"应收"),"")</f>
      </c>
      <c r="R2576" s="78">
        <f>IF(P2576="应付",COUNTIF(P$7:P2576,"应付"),"")</f>
      </c>
      <c r="S2576" s="78">
        <f>N(F2576)-N(G2576)</f>
        <v>0</v>
      </c>
    </row>
    <row r="2577">
      <c r="A2577" s="109">
        <f>IF(AND(F2577="",G2577=""),"",ROW()-6)</f>
      </c>
      <c r="B2577" s="140" t="n"/>
      <c r="C2577" s="141" t="n"/>
      <c r="D2577" s="141" t="n"/>
      <c r="E2577" s="142" t="n"/>
      <c r="F2577" s="143" t="n"/>
      <c r="G2577" s="144" t="n"/>
      <c r="H2577" s="145">
        <f>IF(OR(C2577="",AND(F2577="",G2577="")),"",SUMIF(基础资料!$W$5:$W$24,C2577,基础资料!$X$5:$X$24)+SUMIF(C$7:C2577,C2577,F$7:F2577)-SUMIF(C$7:C2577,C2577,G$7:G2577))</f>
      </c>
      <c r="I2577" s="145">
        <f>IF(AND(F2577="",G2577=""),"",SUM(基础资料!$X$5:$X$24)+SUM(F$7:F2577)-SUM(G$7:G2577))</f>
      </c>
      <c r="J2577" s="141" t="n"/>
      <c r="K2577" s="141" t="n"/>
      <c r="L2577" s="141" t="n"/>
      <c r="M2577" s="142" t="n"/>
      <c r="N2577" s="146">
        <f>IF(AND(AND(F2577="",G2577=""),B2577="",C2577="",D2577="",J2577="",K2577="",L2577=""),"",IF(AND(F2577="",G2577=""),"✗ 没填金额",IF(AND(N(F2577)&lt;&gt;0,N(G2577)&lt;&gt;0),"✗ 收入、支出只能填一边",IF(NOT(ISNUMBER(B2577)),"✗ 日期不是真日期（要像 2026/9/25 这样填）",IF(OR(B2577&lt;年初日,B2577&gt;年末日),"✗ 日期不在本会计年度",IF(C2577="","✗ 没选账户",IF(COUNTIF(基础资料!$W$5:$W$24,C2577)=0,"✗ 账户不在基础资料里",IF(O2577="","✗ 没选收支项目",IF(P2577="未知","✗ 收支项目不在基础资料里",IF(AND(P2577="应收",J2577=""),"✗ 这笔要选客户",IF(AND(P2577="应收",COUNTIF(总览汇总!$B$5:$B$304,J2577)=0),"✗ 客户不在总览汇总名单里",IF(AND(P2577="应付",K2577=""),"✗ 这笔要选供应商",IF(AND(P2577="应付",COUNTIF(基础资料!$Q$5:$Q$54,K2577)=0),"✗ 供应商不在基础资料里",IF(AND(P2577="费用",L2577=""),"✗ 费用支出要选费用项目",IF(AND(L2577&lt;&gt;"",COUNTIF(基础资料!$AI$5:$AI$54,L2577)=0),"✗ 费用项目不在基础资料里",IF(AND(IFERROR(INDEX(基础资料!$AD$5:$AD$34,MATCH(O2577,基础资料!$AC$5:$AC$34,0)),"")="收",N(G2577)&lt;&gt;0),"✗ 这类是收款，金额填到收入列",IF(AND(IFERROR(INDEX(基础资料!$AD$5:$AD$34,MATCH(O2577,基础资料!$AC$5:$AC$34,0)),"")="支",N(F2577)&lt;&gt;0),"✗ 这类是付款，金额填到支出列",IF(N(H2577)&lt;0,"⚠ 账户余额成负数了，核对一下","√"))))))))))))))))))</f>
      </c>
      <c r="O2577" s="78">
        <f>IF(D2577&lt;&gt;"",D2577,IF(AND(F2577="",G2577=""),"",IF(J2577&lt;&gt;"",IF(N(F2577)&gt;0,"客户回款","客户退款"),IF(K2577&lt;&gt;"",IF(N(G2577)&gt;0,"供应商付款","供应商退款"),IF(L2577&lt;&gt;"","费用支出","")))))</f>
      </c>
      <c r="P2577" s="78">
        <f>IF(O2577="","",IFERROR(INDEX(基础资料!$AE$5:$AE$34,MATCH(O2577,基础资料!$AC$5:$AC$34,0)),"未知"))</f>
      </c>
      <c r="Q2577" s="78">
        <f>IF(P2577="应收",COUNTIF(P$7:P2577,"应收"),"")</f>
      </c>
      <c r="R2577" s="78">
        <f>IF(P2577="应付",COUNTIF(P$7:P2577,"应付"),"")</f>
      </c>
      <c r="S2577" s="78">
        <f>N(F2577)-N(G2577)</f>
        <v>0</v>
      </c>
    </row>
    <row r="2578">
      <c r="A2578" s="109">
        <f>IF(AND(F2578="",G2578=""),"",ROW()-6)</f>
      </c>
      <c r="B2578" s="140" t="n"/>
      <c r="C2578" s="141" t="n"/>
      <c r="D2578" s="141" t="n"/>
      <c r="E2578" s="142" t="n"/>
      <c r="F2578" s="143" t="n"/>
      <c r="G2578" s="144" t="n"/>
      <c r="H2578" s="145">
        <f>IF(OR(C2578="",AND(F2578="",G2578="")),"",SUMIF(基础资料!$W$5:$W$24,C2578,基础资料!$X$5:$X$24)+SUMIF(C$7:C2578,C2578,F$7:F2578)-SUMIF(C$7:C2578,C2578,G$7:G2578))</f>
      </c>
      <c r="I2578" s="145">
        <f>IF(AND(F2578="",G2578=""),"",SUM(基础资料!$X$5:$X$24)+SUM(F$7:F2578)-SUM(G$7:G2578))</f>
      </c>
      <c r="J2578" s="141" t="n"/>
      <c r="K2578" s="141" t="n"/>
      <c r="L2578" s="141" t="n"/>
      <c r="M2578" s="142" t="n"/>
      <c r="N2578" s="146">
        <f>IF(AND(AND(F2578="",G2578=""),B2578="",C2578="",D2578="",J2578="",K2578="",L2578=""),"",IF(AND(F2578="",G2578=""),"✗ 没填金额",IF(AND(N(F2578)&lt;&gt;0,N(G2578)&lt;&gt;0),"✗ 收入、支出只能填一边",IF(NOT(ISNUMBER(B2578)),"✗ 日期不是真日期（要像 2026/9/25 这样填）",IF(OR(B2578&lt;年初日,B2578&gt;年末日),"✗ 日期不在本会计年度",IF(C2578="","✗ 没选账户",IF(COUNTIF(基础资料!$W$5:$W$24,C2578)=0,"✗ 账户不在基础资料里",IF(O2578="","✗ 没选收支项目",IF(P2578="未知","✗ 收支项目不在基础资料里",IF(AND(P2578="应收",J2578=""),"✗ 这笔要选客户",IF(AND(P2578="应收",COUNTIF(总览汇总!$B$5:$B$304,J2578)=0),"✗ 客户不在总览汇总名单里",IF(AND(P2578="应付",K2578=""),"✗ 这笔要选供应商",IF(AND(P2578="应付",COUNTIF(基础资料!$Q$5:$Q$54,K2578)=0),"✗ 供应商不在基础资料里",IF(AND(P2578="费用",L2578=""),"✗ 费用支出要选费用项目",IF(AND(L2578&lt;&gt;"",COUNTIF(基础资料!$AI$5:$AI$54,L2578)=0),"✗ 费用项目不在基础资料里",IF(AND(IFERROR(INDEX(基础资料!$AD$5:$AD$34,MATCH(O2578,基础资料!$AC$5:$AC$34,0)),"")="收",N(G2578)&lt;&gt;0),"✗ 这类是收款，金额填到收入列",IF(AND(IFERROR(INDEX(基础资料!$AD$5:$AD$34,MATCH(O2578,基础资料!$AC$5:$AC$34,0)),"")="支",N(F2578)&lt;&gt;0),"✗ 这类是付款，金额填到支出列",IF(N(H2578)&lt;0,"⚠ 账户余额成负数了，核对一下","√"))))))))))))))))))</f>
      </c>
      <c r="O2578" s="78">
        <f>IF(D2578&lt;&gt;"",D2578,IF(AND(F2578="",G2578=""),"",IF(J2578&lt;&gt;"",IF(N(F2578)&gt;0,"客户回款","客户退款"),IF(K2578&lt;&gt;"",IF(N(G2578)&gt;0,"供应商付款","供应商退款"),IF(L2578&lt;&gt;"","费用支出","")))))</f>
      </c>
      <c r="P2578" s="78">
        <f>IF(O2578="","",IFERROR(INDEX(基础资料!$AE$5:$AE$34,MATCH(O2578,基础资料!$AC$5:$AC$34,0)),"未知"))</f>
      </c>
      <c r="Q2578" s="78">
        <f>IF(P2578="应收",COUNTIF(P$7:P2578,"应收"),"")</f>
      </c>
      <c r="R2578" s="78">
        <f>IF(P2578="应付",COUNTIF(P$7:P2578,"应付"),"")</f>
      </c>
      <c r="S2578" s="78">
        <f>N(F2578)-N(G2578)</f>
        <v>0</v>
      </c>
    </row>
    <row r="2579">
      <c r="A2579" s="109">
        <f>IF(AND(F2579="",G2579=""),"",ROW()-6)</f>
      </c>
      <c r="B2579" s="140" t="n"/>
      <c r="C2579" s="141" t="n"/>
      <c r="D2579" s="141" t="n"/>
      <c r="E2579" s="142" t="n"/>
      <c r="F2579" s="143" t="n"/>
      <c r="G2579" s="144" t="n"/>
      <c r="H2579" s="145">
        <f>IF(OR(C2579="",AND(F2579="",G2579="")),"",SUMIF(基础资料!$W$5:$W$24,C2579,基础资料!$X$5:$X$24)+SUMIF(C$7:C2579,C2579,F$7:F2579)-SUMIF(C$7:C2579,C2579,G$7:G2579))</f>
      </c>
      <c r="I2579" s="145">
        <f>IF(AND(F2579="",G2579=""),"",SUM(基础资料!$X$5:$X$24)+SUM(F$7:F2579)-SUM(G$7:G2579))</f>
      </c>
      <c r="J2579" s="141" t="n"/>
      <c r="K2579" s="141" t="n"/>
      <c r="L2579" s="141" t="n"/>
      <c r="M2579" s="142" t="n"/>
      <c r="N2579" s="146">
        <f>IF(AND(AND(F2579="",G2579=""),B2579="",C2579="",D2579="",J2579="",K2579="",L2579=""),"",IF(AND(F2579="",G2579=""),"✗ 没填金额",IF(AND(N(F2579)&lt;&gt;0,N(G2579)&lt;&gt;0),"✗ 收入、支出只能填一边",IF(NOT(ISNUMBER(B2579)),"✗ 日期不是真日期（要像 2026/9/25 这样填）",IF(OR(B2579&lt;年初日,B2579&gt;年末日),"✗ 日期不在本会计年度",IF(C2579="","✗ 没选账户",IF(COUNTIF(基础资料!$W$5:$W$24,C2579)=0,"✗ 账户不在基础资料里",IF(O2579="","✗ 没选收支项目",IF(P2579="未知","✗ 收支项目不在基础资料里",IF(AND(P2579="应收",J2579=""),"✗ 这笔要选客户",IF(AND(P2579="应收",COUNTIF(总览汇总!$B$5:$B$304,J2579)=0),"✗ 客户不在总览汇总名单里",IF(AND(P2579="应付",K2579=""),"✗ 这笔要选供应商",IF(AND(P2579="应付",COUNTIF(基础资料!$Q$5:$Q$54,K2579)=0),"✗ 供应商不在基础资料里",IF(AND(P2579="费用",L2579=""),"✗ 费用支出要选费用项目",IF(AND(L2579&lt;&gt;"",COUNTIF(基础资料!$AI$5:$AI$54,L2579)=0),"✗ 费用项目不在基础资料里",IF(AND(IFERROR(INDEX(基础资料!$AD$5:$AD$34,MATCH(O2579,基础资料!$AC$5:$AC$34,0)),"")="收",N(G2579)&lt;&gt;0),"✗ 这类是收款，金额填到收入列",IF(AND(IFERROR(INDEX(基础资料!$AD$5:$AD$34,MATCH(O2579,基础资料!$AC$5:$AC$34,0)),"")="支",N(F2579)&lt;&gt;0),"✗ 这类是付款，金额填到支出列",IF(N(H2579)&lt;0,"⚠ 账户余额成负数了，核对一下","√"))))))))))))))))))</f>
      </c>
      <c r="O2579" s="78">
        <f>IF(D2579&lt;&gt;"",D2579,IF(AND(F2579="",G2579=""),"",IF(J2579&lt;&gt;"",IF(N(F2579)&gt;0,"客户回款","客户退款"),IF(K2579&lt;&gt;"",IF(N(G2579)&gt;0,"供应商付款","供应商退款"),IF(L2579&lt;&gt;"","费用支出","")))))</f>
      </c>
      <c r="P2579" s="78">
        <f>IF(O2579="","",IFERROR(INDEX(基础资料!$AE$5:$AE$34,MATCH(O2579,基础资料!$AC$5:$AC$34,0)),"未知"))</f>
      </c>
      <c r="Q2579" s="78">
        <f>IF(P2579="应收",COUNTIF(P$7:P2579,"应收"),"")</f>
      </c>
      <c r="R2579" s="78">
        <f>IF(P2579="应付",COUNTIF(P$7:P2579,"应付"),"")</f>
      </c>
      <c r="S2579" s="78">
        <f>N(F2579)-N(G2579)</f>
        <v>0</v>
      </c>
    </row>
    <row r="2580">
      <c r="A2580" s="109">
        <f>IF(AND(F2580="",G2580=""),"",ROW()-6)</f>
      </c>
      <c r="B2580" s="140" t="n"/>
      <c r="C2580" s="141" t="n"/>
      <c r="D2580" s="141" t="n"/>
      <c r="E2580" s="142" t="n"/>
      <c r="F2580" s="143" t="n"/>
      <c r="G2580" s="144" t="n"/>
      <c r="H2580" s="145">
        <f>IF(OR(C2580="",AND(F2580="",G2580="")),"",SUMIF(基础资料!$W$5:$W$24,C2580,基础资料!$X$5:$X$24)+SUMIF(C$7:C2580,C2580,F$7:F2580)-SUMIF(C$7:C2580,C2580,G$7:G2580))</f>
      </c>
      <c r="I2580" s="145">
        <f>IF(AND(F2580="",G2580=""),"",SUM(基础资料!$X$5:$X$24)+SUM(F$7:F2580)-SUM(G$7:G2580))</f>
      </c>
      <c r="J2580" s="141" t="n"/>
      <c r="K2580" s="141" t="n"/>
      <c r="L2580" s="141" t="n"/>
      <c r="M2580" s="142" t="n"/>
      <c r="N2580" s="146">
        <f>IF(AND(AND(F2580="",G2580=""),B2580="",C2580="",D2580="",J2580="",K2580="",L2580=""),"",IF(AND(F2580="",G2580=""),"✗ 没填金额",IF(AND(N(F2580)&lt;&gt;0,N(G2580)&lt;&gt;0),"✗ 收入、支出只能填一边",IF(NOT(ISNUMBER(B2580)),"✗ 日期不是真日期（要像 2026/9/25 这样填）",IF(OR(B2580&lt;年初日,B2580&gt;年末日),"✗ 日期不在本会计年度",IF(C2580="","✗ 没选账户",IF(COUNTIF(基础资料!$W$5:$W$24,C2580)=0,"✗ 账户不在基础资料里",IF(O2580="","✗ 没选收支项目",IF(P2580="未知","✗ 收支项目不在基础资料里",IF(AND(P2580="应收",J2580=""),"✗ 这笔要选客户",IF(AND(P2580="应收",COUNTIF(总览汇总!$B$5:$B$304,J2580)=0),"✗ 客户不在总览汇总名单里",IF(AND(P2580="应付",K2580=""),"✗ 这笔要选供应商",IF(AND(P2580="应付",COUNTIF(基础资料!$Q$5:$Q$54,K2580)=0),"✗ 供应商不在基础资料里",IF(AND(P2580="费用",L2580=""),"✗ 费用支出要选费用项目",IF(AND(L2580&lt;&gt;"",COUNTIF(基础资料!$AI$5:$AI$54,L2580)=0),"✗ 费用项目不在基础资料里",IF(AND(IFERROR(INDEX(基础资料!$AD$5:$AD$34,MATCH(O2580,基础资料!$AC$5:$AC$34,0)),"")="收",N(G2580)&lt;&gt;0),"✗ 这类是收款，金额填到收入列",IF(AND(IFERROR(INDEX(基础资料!$AD$5:$AD$34,MATCH(O2580,基础资料!$AC$5:$AC$34,0)),"")="支",N(F2580)&lt;&gt;0),"✗ 这类是付款，金额填到支出列",IF(N(H2580)&lt;0,"⚠ 账户余额成负数了，核对一下","√"))))))))))))))))))</f>
      </c>
      <c r="O2580" s="78">
        <f>IF(D2580&lt;&gt;"",D2580,IF(AND(F2580="",G2580=""),"",IF(J2580&lt;&gt;"",IF(N(F2580)&gt;0,"客户回款","客户退款"),IF(K2580&lt;&gt;"",IF(N(G2580)&gt;0,"供应商付款","供应商退款"),IF(L2580&lt;&gt;"","费用支出","")))))</f>
      </c>
      <c r="P2580" s="78">
        <f>IF(O2580="","",IFERROR(INDEX(基础资料!$AE$5:$AE$34,MATCH(O2580,基础资料!$AC$5:$AC$34,0)),"未知"))</f>
      </c>
      <c r="Q2580" s="78">
        <f>IF(P2580="应收",COUNTIF(P$7:P2580,"应收"),"")</f>
      </c>
      <c r="R2580" s="78">
        <f>IF(P2580="应付",COUNTIF(P$7:P2580,"应付"),"")</f>
      </c>
      <c r="S2580" s="78">
        <f>N(F2580)-N(G2580)</f>
        <v>0</v>
      </c>
    </row>
    <row r="2581">
      <c r="A2581" s="109">
        <f>IF(AND(F2581="",G2581=""),"",ROW()-6)</f>
      </c>
      <c r="B2581" s="140" t="n"/>
      <c r="C2581" s="141" t="n"/>
      <c r="D2581" s="141" t="n"/>
      <c r="E2581" s="142" t="n"/>
      <c r="F2581" s="143" t="n"/>
      <c r="G2581" s="144" t="n"/>
      <c r="H2581" s="145">
        <f>IF(OR(C2581="",AND(F2581="",G2581="")),"",SUMIF(基础资料!$W$5:$W$24,C2581,基础资料!$X$5:$X$24)+SUMIF(C$7:C2581,C2581,F$7:F2581)-SUMIF(C$7:C2581,C2581,G$7:G2581))</f>
      </c>
      <c r="I2581" s="145">
        <f>IF(AND(F2581="",G2581=""),"",SUM(基础资料!$X$5:$X$24)+SUM(F$7:F2581)-SUM(G$7:G2581))</f>
      </c>
      <c r="J2581" s="141" t="n"/>
      <c r="K2581" s="141" t="n"/>
      <c r="L2581" s="141" t="n"/>
      <c r="M2581" s="142" t="n"/>
      <c r="N2581" s="146">
        <f>IF(AND(AND(F2581="",G2581=""),B2581="",C2581="",D2581="",J2581="",K2581="",L2581=""),"",IF(AND(F2581="",G2581=""),"✗ 没填金额",IF(AND(N(F2581)&lt;&gt;0,N(G2581)&lt;&gt;0),"✗ 收入、支出只能填一边",IF(NOT(ISNUMBER(B2581)),"✗ 日期不是真日期（要像 2026/9/25 这样填）",IF(OR(B2581&lt;年初日,B2581&gt;年末日),"✗ 日期不在本会计年度",IF(C2581="","✗ 没选账户",IF(COUNTIF(基础资料!$W$5:$W$24,C2581)=0,"✗ 账户不在基础资料里",IF(O2581="","✗ 没选收支项目",IF(P2581="未知","✗ 收支项目不在基础资料里",IF(AND(P2581="应收",J2581=""),"✗ 这笔要选客户",IF(AND(P2581="应收",COUNTIF(总览汇总!$B$5:$B$304,J2581)=0),"✗ 客户不在总览汇总名单里",IF(AND(P2581="应付",K2581=""),"✗ 这笔要选供应商",IF(AND(P2581="应付",COUNTIF(基础资料!$Q$5:$Q$54,K2581)=0),"✗ 供应商不在基础资料里",IF(AND(P2581="费用",L2581=""),"✗ 费用支出要选费用项目",IF(AND(L2581&lt;&gt;"",COUNTIF(基础资料!$AI$5:$AI$54,L2581)=0),"✗ 费用项目不在基础资料里",IF(AND(IFERROR(INDEX(基础资料!$AD$5:$AD$34,MATCH(O2581,基础资料!$AC$5:$AC$34,0)),"")="收",N(G2581)&lt;&gt;0),"✗ 这类是收款，金额填到收入列",IF(AND(IFERROR(INDEX(基础资料!$AD$5:$AD$34,MATCH(O2581,基础资料!$AC$5:$AC$34,0)),"")="支",N(F2581)&lt;&gt;0),"✗ 这类是付款，金额填到支出列",IF(N(H2581)&lt;0,"⚠ 账户余额成负数了，核对一下","√"))))))))))))))))))</f>
      </c>
      <c r="O2581" s="78">
        <f>IF(D2581&lt;&gt;"",D2581,IF(AND(F2581="",G2581=""),"",IF(J2581&lt;&gt;"",IF(N(F2581)&gt;0,"客户回款","客户退款"),IF(K2581&lt;&gt;"",IF(N(G2581)&gt;0,"供应商付款","供应商退款"),IF(L2581&lt;&gt;"","费用支出","")))))</f>
      </c>
      <c r="P2581" s="78">
        <f>IF(O2581="","",IFERROR(INDEX(基础资料!$AE$5:$AE$34,MATCH(O2581,基础资料!$AC$5:$AC$34,0)),"未知"))</f>
      </c>
      <c r="Q2581" s="78">
        <f>IF(P2581="应收",COUNTIF(P$7:P2581,"应收"),"")</f>
      </c>
      <c r="R2581" s="78">
        <f>IF(P2581="应付",COUNTIF(P$7:P2581,"应付"),"")</f>
      </c>
      <c r="S2581" s="78">
        <f>N(F2581)-N(G2581)</f>
        <v>0</v>
      </c>
    </row>
    <row r="2582">
      <c r="A2582" s="109">
        <f>IF(AND(F2582="",G2582=""),"",ROW()-6)</f>
      </c>
      <c r="B2582" s="140" t="n"/>
      <c r="C2582" s="141" t="n"/>
      <c r="D2582" s="141" t="n"/>
      <c r="E2582" s="142" t="n"/>
      <c r="F2582" s="143" t="n"/>
      <c r="G2582" s="144" t="n"/>
      <c r="H2582" s="145">
        <f>IF(OR(C2582="",AND(F2582="",G2582="")),"",SUMIF(基础资料!$W$5:$W$24,C2582,基础资料!$X$5:$X$24)+SUMIF(C$7:C2582,C2582,F$7:F2582)-SUMIF(C$7:C2582,C2582,G$7:G2582))</f>
      </c>
      <c r="I2582" s="145">
        <f>IF(AND(F2582="",G2582=""),"",SUM(基础资料!$X$5:$X$24)+SUM(F$7:F2582)-SUM(G$7:G2582))</f>
      </c>
      <c r="J2582" s="141" t="n"/>
      <c r="K2582" s="141" t="n"/>
      <c r="L2582" s="141" t="n"/>
      <c r="M2582" s="142" t="n"/>
      <c r="N2582" s="146">
        <f>IF(AND(AND(F2582="",G2582=""),B2582="",C2582="",D2582="",J2582="",K2582="",L2582=""),"",IF(AND(F2582="",G2582=""),"✗ 没填金额",IF(AND(N(F2582)&lt;&gt;0,N(G2582)&lt;&gt;0),"✗ 收入、支出只能填一边",IF(NOT(ISNUMBER(B2582)),"✗ 日期不是真日期（要像 2026/9/25 这样填）",IF(OR(B2582&lt;年初日,B2582&gt;年末日),"✗ 日期不在本会计年度",IF(C2582="","✗ 没选账户",IF(COUNTIF(基础资料!$W$5:$W$24,C2582)=0,"✗ 账户不在基础资料里",IF(O2582="","✗ 没选收支项目",IF(P2582="未知","✗ 收支项目不在基础资料里",IF(AND(P2582="应收",J2582=""),"✗ 这笔要选客户",IF(AND(P2582="应收",COUNTIF(总览汇总!$B$5:$B$304,J2582)=0),"✗ 客户不在总览汇总名单里",IF(AND(P2582="应付",K2582=""),"✗ 这笔要选供应商",IF(AND(P2582="应付",COUNTIF(基础资料!$Q$5:$Q$54,K2582)=0),"✗ 供应商不在基础资料里",IF(AND(P2582="费用",L2582=""),"✗ 费用支出要选费用项目",IF(AND(L2582&lt;&gt;"",COUNTIF(基础资料!$AI$5:$AI$54,L2582)=0),"✗ 费用项目不在基础资料里",IF(AND(IFERROR(INDEX(基础资料!$AD$5:$AD$34,MATCH(O2582,基础资料!$AC$5:$AC$34,0)),"")="收",N(G2582)&lt;&gt;0),"✗ 这类是收款，金额填到收入列",IF(AND(IFERROR(INDEX(基础资料!$AD$5:$AD$34,MATCH(O2582,基础资料!$AC$5:$AC$34,0)),"")="支",N(F2582)&lt;&gt;0),"✗ 这类是付款，金额填到支出列",IF(N(H2582)&lt;0,"⚠ 账户余额成负数了，核对一下","√"))))))))))))))))))</f>
      </c>
      <c r="O2582" s="78">
        <f>IF(D2582&lt;&gt;"",D2582,IF(AND(F2582="",G2582=""),"",IF(J2582&lt;&gt;"",IF(N(F2582)&gt;0,"客户回款","客户退款"),IF(K2582&lt;&gt;"",IF(N(G2582)&gt;0,"供应商付款","供应商退款"),IF(L2582&lt;&gt;"","费用支出","")))))</f>
      </c>
      <c r="P2582" s="78">
        <f>IF(O2582="","",IFERROR(INDEX(基础资料!$AE$5:$AE$34,MATCH(O2582,基础资料!$AC$5:$AC$34,0)),"未知"))</f>
      </c>
      <c r="Q2582" s="78">
        <f>IF(P2582="应收",COUNTIF(P$7:P2582,"应收"),"")</f>
      </c>
      <c r="R2582" s="78">
        <f>IF(P2582="应付",COUNTIF(P$7:P2582,"应付"),"")</f>
      </c>
      <c r="S2582" s="78">
        <f>N(F2582)-N(G2582)</f>
        <v>0</v>
      </c>
    </row>
    <row r="2583">
      <c r="A2583" s="109">
        <f>IF(AND(F2583="",G2583=""),"",ROW()-6)</f>
      </c>
      <c r="B2583" s="140" t="n"/>
      <c r="C2583" s="141" t="n"/>
      <c r="D2583" s="141" t="n"/>
      <c r="E2583" s="142" t="n"/>
      <c r="F2583" s="143" t="n"/>
      <c r="G2583" s="144" t="n"/>
      <c r="H2583" s="145">
        <f>IF(OR(C2583="",AND(F2583="",G2583="")),"",SUMIF(基础资料!$W$5:$W$24,C2583,基础资料!$X$5:$X$24)+SUMIF(C$7:C2583,C2583,F$7:F2583)-SUMIF(C$7:C2583,C2583,G$7:G2583))</f>
      </c>
      <c r="I2583" s="145">
        <f>IF(AND(F2583="",G2583=""),"",SUM(基础资料!$X$5:$X$24)+SUM(F$7:F2583)-SUM(G$7:G2583))</f>
      </c>
      <c r="J2583" s="141" t="n"/>
      <c r="K2583" s="141" t="n"/>
      <c r="L2583" s="141" t="n"/>
      <c r="M2583" s="142" t="n"/>
      <c r="N2583" s="146">
        <f>IF(AND(AND(F2583="",G2583=""),B2583="",C2583="",D2583="",J2583="",K2583="",L2583=""),"",IF(AND(F2583="",G2583=""),"✗ 没填金额",IF(AND(N(F2583)&lt;&gt;0,N(G2583)&lt;&gt;0),"✗ 收入、支出只能填一边",IF(NOT(ISNUMBER(B2583)),"✗ 日期不是真日期（要像 2026/9/25 这样填）",IF(OR(B2583&lt;年初日,B2583&gt;年末日),"✗ 日期不在本会计年度",IF(C2583="","✗ 没选账户",IF(COUNTIF(基础资料!$W$5:$W$24,C2583)=0,"✗ 账户不在基础资料里",IF(O2583="","✗ 没选收支项目",IF(P2583="未知","✗ 收支项目不在基础资料里",IF(AND(P2583="应收",J2583=""),"✗ 这笔要选客户",IF(AND(P2583="应收",COUNTIF(总览汇总!$B$5:$B$304,J2583)=0),"✗ 客户不在总览汇总名单里",IF(AND(P2583="应付",K2583=""),"✗ 这笔要选供应商",IF(AND(P2583="应付",COUNTIF(基础资料!$Q$5:$Q$54,K2583)=0),"✗ 供应商不在基础资料里",IF(AND(P2583="费用",L2583=""),"✗ 费用支出要选费用项目",IF(AND(L2583&lt;&gt;"",COUNTIF(基础资料!$AI$5:$AI$54,L2583)=0),"✗ 费用项目不在基础资料里",IF(AND(IFERROR(INDEX(基础资料!$AD$5:$AD$34,MATCH(O2583,基础资料!$AC$5:$AC$34,0)),"")="收",N(G2583)&lt;&gt;0),"✗ 这类是收款，金额填到收入列",IF(AND(IFERROR(INDEX(基础资料!$AD$5:$AD$34,MATCH(O2583,基础资料!$AC$5:$AC$34,0)),"")="支",N(F2583)&lt;&gt;0),"✗ 这类是付款，金额填到支出列",IF(N(H2583)&lt;0,"⚠ 账户余额成负数了，核对一下","√"))))))))))))))))))</f>
      </c>
      <c r="O2583" s="78">
        <f>IF(D2583&lt;&gt;"",D2583,IF(AND(F2583="",G2583=""),"",IF(J2583&lt;&gt;"",IF(N(F2583)&gt;0,"客户回款","客户退款"),IF(K2583&lt;&gt;"",IF(N(G2583)&gt;0,"供应商付款","供应商退款"),IF(L2583&lt;&gt;"","费用支出","")))))</f>
      </c>
      <c r="P2583" s="78">
        <f>IF(O2583="","",IFERROR(INDEX(基础资料!$AE$5:$AE$34,MATCH(O2583,基础资料!$AC$5:$AC$34,0)),"未知"))</f>
      </c>
      <c r="Q2583" s="78">
        <f>IF(P2583="应收",COUNTIF(P$7:P2583,"应收"),"")</f>
      </c>
      <c r="R2583" s="78">
        <f>IF(P2583="应付",COUNTIF(P$7:P2583,"应付"),"")</f>
      </c>
      <c r="S2583" s="78">
        <f>N(F2583)-N(G2583)</f>
        <v>0</v>
      </c>
    </row>
    <row r="2584">
      <c r="A2584" s="109">
        <f>IF(AND(F2584="",G2584=""),"",ROW()-6)</f>
      </c>
      <c r="B2584" s="140" t="n"/>
      <c r="C2584" s="141" t="n"/>
      <c r="D2584" s="141" t="n"/>
      <c r="E2584" s="142" t="n"/>
      <c r="F2584" s="143" t="n"/>
      <c r="G2584" s="144" t="n"/>
      <c r="H2584" s="145">
        <f>IF(OR(C2584="",AND(F2584="",G2584="")),"",SUMIF(基础资料!$W$5:$W$24,C2584,基础资料!$X$5:$X$24)+SUMIF(C$7:C2584,C2584,F$7:F2584)-SUMIF(C$7:C2584,C2584,G$7:G2584))</f>
      </c>
      <c r="I2584" s="145">
        <f>IF(AND(F2584="",G2584=""),"",SUM(基础资料!$X$5:$X$24)+SUM(F$7:F2584)-SUM(G$7:G2584))</f>
      </c>
      <c r="J2584" s="141" t="n"/>
      <c r="K2584" s="141" t="n"/>
      <c r="L2584" s="141" t="n"/>
      <c r="M2584" s="142" t="n"/>
      <c r="N2584" s="146">
        <f>IF(AND(AND(F2584="",G2584=""),B2584="",C2584="",D2584="",J2584="",K2584="",L2584=""),"",IF(AND(F2584="",G2584=""),"✗ 没填金额",IF(AND(N(F2584)&lt;&gt;0,N(G2584)&lt;&gt;0),"✗ 收入、支出只能填一边",IF(NOT(ISNUMBER(B2584)),"✗ 日期不是真日期（要像 2026/9/25 这样填）",IF(OR(B2584&lt;年初日,B2584&gt;年末日),"✗ 日期不在本会计年度",IF(C2584="","✗ 没选账户",IF(COUNTIF(基础资料!$W$5:$W$24,C2584)=0,"✗ 账户不在基础资料里",IF(O2584="","✗ 没选收支项目",IF(P2584="未知","✗ 收支项目不在基础资料里",IF(AND(P2584="应收",J2584=""),"✗ 这笔要选客户",IF(AND(P2584="应收",COUNTIF(总览汇总!$B$5:$B$304,J2584)=0),"✗ 客户不在总览汇总名单里",IF(AND(P2584="应付",K2584=""),"✗ 这笔要选供应商",IF(AND(P2584="应付",COUNTIF(基础资料!$Q$5:$Q$54,K2584)=0),"✗ 供应商不在基础资料里",IF(AND(P2584="费用",L2584=""),"✗ 费用支出要选费用项目",IF(AND(L2584&lt;&gt;"",COUNTIF(基础资料!$AI$5:$AI$54,L2584)=0),"✗ 费用项目不在基础资料里",IF(AND(IFERROR(INDEX(基础资料!$AD$5:$AD$34,MATCH(O2584,基础资料!$AC$5:$AC$34,0)),"")="收",N(G2584)&lt;&gt;0),"✗ 这类是收款，金额填到收入列",IF(AND(IFERROR(INDEX(基础资料!$AD$5:$AD$34,MATCH(O2584,基础资料!$AC$5:$AC$34,0)),"")="支",N(F2584)&lt;&gt;0),"✗ 这类是付款，金额填到支出列",IF(N(H2584)&lt;0,"⚠ 账户余额成负数了，核对一下","√"))))))))))))))))))</f>
      </c>
      <c r="O2584" s="78">
        <f>IF(D2584&lt;&gt;"",D2584,IF(AND(F2584="",G2584=""),"",IF(J2584&lt;&gt;"",IF(N(F2584)&gt;0,"客户回款","客户退款"),IF(K2584&lt;&gt;"",IF(N(G2584)&gt;0,"供应商付款","供应商退款"),IF(L2584&lt;&gt;"","费用支出","")))))</f>
      </c>
      <c r="P2584" s="78">
        <f>IF(O2584="","",IFERROR(INDEX(基础资料!$AE$5:$AE$34,MATCH(O2584,基础资料!$AC$5:$AC$34,0)),"未知"))</f>
      </c>
      <c r="Q2584" s="78">
        <f>IF(P2584="应收",COUNTIF(P$7:P2584,"应收"),"")</f>
      </c>
      <c r="R2584" s="78">
        <f>IF(P2584="应付",COUNTIF(P$7:P2584,"应付"),"")</f>
      </c>
      <c r="S2584" s="78">
        <f>N(F2584)-N(G2584)</f>
        <v>0</v>
      </c>
    </row>
    <row r="2585">
      <c r="A2585" s="109">
        <f>IF(AND(F2585="",G2585=""),"",ROW()-6)</f>
      </c>
      <c r="B2585" s="140" t="n"/>
      <c r="C2585" s="141" t="n"/>
      <c r="D2585" s="141" t="n"/>
      <c r="E2585" s="142" t="n"/>
      <c r="F2585" s="143" t="n"/>
      <c r="G2585" s="144" t="n"/>
      <c r="H2585" s="145">
        <f>IF(OR(C2585="",AND(F2585="",G2585="")),"",SUMIF(基础资料!$W$5:$W$24,C2585,基础资料!$X$5:$X$24)+SUMIF(C$7:C2585,C2585,F$7:F2585)-SUMIF(C$7:C2585,C2585,G$7:G2585))</f>
      </c>
      <c r="I2585" s="145">
        <f>IF(AND(F2585="",G2585=""),"",SUM(基础资料!$X$5:$X$24)+SUM(F$7:F2585)-SUM(G$7:G2585))</f>
      </c>
      <c r="J2585" s="141" t="n"/>
      <c r="K2585" s="141" t="n"/>
      <c r="L2585" s="141" t="n"/>
      <c r="M2585" s="142" t="n"/>
      <c r="N2585" s="146">
        <f>IF(AND(AND(F2585="",G2585=""),B2585="",C2585="",D2585="",J2585="",K2585="",L2585=""),"",IF(AND(F2585="",G2585=""),"✗ 没填金额",IF(AND(N(F2585)&lt;&gt;0,N(G2585)&lt;&gt;0),"✗ 收入、支出只能填一边",IF(NOT(ISNUMBER(B2585)),"✗ 日期不是真日期（要像 2026/9/25 这样填）",IF(OR(B2585&lt;年初日,B2585&gt;年末日),"✗ 日期不在本会计年度",IF(C2585="","✗ 没选账户",IF(COUNTIF(基础资料!$W$5:$W$24,C2585)=0,"✗ 账户不在基础资料里",IF(O2585="","✗ 没选收支项目",IF(P2585="未知","✗ 收支项目不在基础资料里",IF(AND(P2585="应收",J2585=""),"✗ 这笔要选客户",IF(AND(P2585="应收",COUNTIF(总览汇总!$B$5:$B$304,J2585)=0),"✗ 客户不在总览汇总名单里",IF(AND(P2585="应付",K2585=""),"✗ 这笔要选供应商",IF(AND(P2585="应付",COUNTIF(基础资料!$Q$5:$Q$54,K2585)=0),"✗ 供应商不在基础资料里",IF(AND(P2585="费用",L2585=""),"✗ 费用支出要选费用项目",IF(AND(L2585&lt;&gt;"",COUNTIF(基础资料!$AI$5:$AI$54,L2585)=0),"✗ 费用项目不在基础资料里",IF(AND(IFERROR(INDEX(基础资料!$AD$5:$AD$34,MATCH(O2585,基础资料!$AC$5:$AC$34,0)),"")="收",N(G2585)&lt;&gt;0),"✗ 这类是收款，金额填到收入列",IF(AND(IFERROR(INDEX(基础资料!$AD$5:$AD$34,MATCH(O2585,基础资料!$AC$5:$AC$34,0)),"")="支",N(F2585)&lt;&gt;0),"✗ 这类是付款，金额填到支出列",IF(N(H2585)&lt;0,"⚠ 账户余额成负数了，核对一下","√"))))))))))))))))))</f>
      </c>
      <c r="O2585" s="78">
        <f>IF(D2585&lt;&gt;"",D2585,IF(AND(F2585="",G2585=""),"",IF(J2585&lt;&gt;"",IF(N(F2585)&gt;0,"客户回款","客户退款"),IF(K2585&lt;&gt;"",IF(N(G2585)&gt;0,"供应商付款","供应商退款"),IF(L2585&lt;&gt;"","费用支出","")))))</f>
      </c>
      <c r="P2585" s="78">
        <f>IF(O2585="","",IFERROR(INDEX(基础资料!$AE$5:$AE$34,MATCH(O2585,基础资料!$AC$5:$AC$34,0)),"未知"))</f>
      </c>
      <c r="Q2585" s="78">
        <f>IF(P2585="应收",COUNTIF(P$7:P2585,"应收"),"")</f>
      </c>
      <c r="R2585" s="78">
        <f>IF(P2585="应付",COUNTIF(P$7:P2585,"应付"),"")</f>
      </c>
      <c r="S2585" s="78">
        <f>N(F2585)-N(G2585)</f>
        <v>0</v>
      </c>
    </row>
    <row r="2586">
      <c r="A2586" s="109">
        <f>IF(AND(F2586="",G2586=""),"",ROW()-6)</f>
      </c>
      <c r="B2586" s="140" t="n"/>
      <c r="C2586" s="141" t="n"/>
      <c r="D2586" s="141" t="n"/>
      <c r="E2586" s="142" t="n"/>
      <c r="F2586" s="143" t="n"/>
      <c r="G2586" s="144" t="n"/>
      <c r="H2586" s="145">
        <f>IF(OR(C2586="",AND(F2586="",G2586="")),"",SUMIF(基础资料!$W$5:$W$24,C2586,基础资料!$X$5:$X$24)+SUMIF(C$7:C2586,C2586,F$7:F2586)-SUMIF(C$7:C2586,C2586,G$7:G2586))</f>
      </c>
      <c r="I2586" s="145">
        <f>IF(AND(F2586="",G2586=""),"",SUM(基础资料!$X$5:$X$24)+SUM(F$7:F2586)-SUM(G$7:G2586))</f>
      </c>
      <c r="J2586" s="141" t="n"/>
      <c r="K2586" s="141" t="n"/>
      <c r="L2586" s="141" t="n"/>
      <c r="M2586" s="142" t="n"/>
      <c r="N2586" s="146">
        <f>IF(AND(AND(F2586="",G2586=""),B2586="",C2586="",D2586="",J2586="",K2586="",L2586=""),"",IF(AND(F2586="",G2586=""),"✗ 没填金额",IF(AND(N(F2586)&lt;&gt;0,N(G2586)&lt;&gt;0),"✗ 收入、支出只能填一边",IF(NOT(ISNUMBER(B2586)),"✗ 日期不是真日期（要像 2026/9/25 这样填）",IF(OR(B2586&lt;年初日,B2586&gt;年末日),"✗ 日期不在本会计年度",IF(C2586="","✗ 没选账户",IF(COUNTIF(基础资料!$W$5:$W$24,C2586)=0,"✗ 账户不在基础资料里",IF(O2586="","✗ 没选收支项目",IF(P2586="未知","✗ 收支项目不在基础资料里",IF(AND(P2586="应收",J2586=""),"✗ 这笔要选客户",IF(AND(P2586="应收",COUNTIF(总览汇总!$B$5:$B$304,J2586)=0),"✗ 客户不在总览汇总名单里",IF(AND(P2586="应付",K2586=""),"✗ 这笔要选供应商",IF(AND(P2586="应付",COUNTIF(基础资料!$Q$5:$Q$54,K2586)=0),"✗ 供应商不在基础资料里",IF(AND(P2586="费用",L2586=""),"✗ 费用支出要选费用项目",IF(AND(L2586&lt;&gt;"",COUNTIF(基础资料!$AI$5:$AI$54,L2586)=0),"✗ 费用项目不在基础资料里",IF(AND(IFERROR(INDEX(基础资料!$AD$5:$AD$34,MATCH(O2586,基础资料!$AC$5:$AC$34,0)),"")="收",N(G2586)&lt;&gt;0),"✗ 这类是收款，金额填到收入列",IF(AND(IFERROR(INDEX(基础资料!$AD$5:$AD$34,MATCH(O2586,基础资料!$AC$5:$AC$34,0)),"")="支",N(F2586)&lt;&gt;0),"✗ 这类是付款，金额填到支出列",IF(N(H2586)&lt;0,"⚠ 账户余额成负数了，核对一下","√"))))))))))))))))))</f>
      </c>
      <c r="O2586" s="78">
        <f>IF(D2586&lt;&gt;"",D2586,IF(AND(F2586="",G2586=""),"",IF(J2586&lt;&gt;"",IF(N(F2586)&gt;0,"客户回款","客户退款"),IF(K2586&lt;&gt;"",IF(N(G2586)&gt;0,"供应商付款","供应商退款"),IF(L2586&lt;&gt;"","费用支出","")))))</f>
      </c>
      <c r="P2586" s="78">
        <f>IF(O2586="","",IFERROR(INDEX(基础资料!$AE$5:$AE$34,MATCH(O2586,基础资料!$AC$5:$AC$34,0)),"未知"))</f>
      </c>
      <c r="Q2586" s="78">
        <f>IF(P2586="应收",COUNTIF(P$7:P2586,"应收"),"")</f>
      </c>
      <c r="R2586" s="78">
        <f>IF(P2586="应付",COUNTIF(P$7:P2586,"应付"),"")</f>
      </c>
      <c r="S2586" s="78">
        <f>N(F2586)-N(G2586)</f>
        <v>0</v>
      </c>
    </row>
    <row r="2587">
      <c r="A2587" s="109">
        <f>IF(AND(F2587="",G2587=""),"",ROW()-6)</f>
      </c>
      <c r="B2587" s="140" t="n"/>
      <c r="C2587" s="141" t="n"/>
      <c r="D2587" s="141" t="n"/>
      <c r="E2587" s="142" t="n"/>
      <c r="F2587" s="143" t="n"/>
      <c r="G2587" s="144" t="n"/>
      <c r="H2587" s="145">
        <f>IF(OR(C2587="",AND(F2587="",G2587="")),"",SUMIF(基础资料!$W$5:$W$24,C2587,基础资料!$X$5:$X$24)+SUMIF(C$7:C2587,C2587,F$7:F2587)-SUMIF(C$7:C2587,C2587,G$7:G2587))</f>
      </c>
      <c r="I2587" s="145">
        <f>IF(AND(F2587="",G2587=""),"",SUM(基础资料!$X$5:$X$24)+SUM(F$7:F2587)-SUM(G$7:G2587))</f>
      </c>
      <c r="J2587" s="141" t="n"/>
      <c r="K2587" s="141" t="n"/>
      <c r="L2587" s="141" t="n"/>
      <c r="M2587" s="142" t="n"/>
      <c r="N2587" s="146">
        <f>IF(AND(AND(F2587="",G2587=""),B2587="",C2587="",D2587="",J2587="",K2587="",L2587=""),"",IF(AND(F2587="",G2587=""),"✗ 没填金额",IF(AND(N(F2587)&lt;&gt;0,N(G2587)&lt;&gt;0),"✗ 收入、支出只能填一边",IF(NOT(ISNUMBER(B2587)),"✗ 日期不是真日期（要像 2026/9/25 这样填）",IF(OR(B2587&lt;年初日,B2587&gt;年末日),"✗ 日期不在本会计年度",IF(C2587="","✗ 没选账户",IF(COUNTIF(基础资料!$W$5:$W$24,C2587)=0,"✗ 账户不在基础资料里",IF(O2587="","✗ 没选收支项目",IF(P2587="未知","✗ 收支项目不在基础资料里",IF(AND(P2587="应收",J2587=""),"✗ 这笔要选客户",IF(AND(P2587="应收",COUNTIF(总览汇总!$B$5:$B$304,J2587)=0),"✗ 客户不在总览汇总名单里",IF(AND(P2587="应付",K2587=""),"✗ 这笔要选供应商",IF(AND(P2587="应付",COUNTIF(基础资料!$Q$5:$Q$54,K2587)=0),"✗ 供应商不在基础资料里",IF(AND(P2587="费用",L2587=""),"✗ 费用支出要选费用项目",IF(AND(L2587&lt;&gt;"",COUNTIF(基础资料!$AI$5:$AI$54,L2587)=0),"✗ 费用项目不在基础资料里",IF(AND(IFERROR(INDEX(基础资料!$AD$5:$AD$34,MATCH(O2587,基础资料!$AC$5:$AC$34,0)),"")="收",N(G2587)&lt;&gt;0),"✗ 这类是收款，金额填到收入列",IF(AND(IFERROR(INDEX(基础资料!$AD$5:$AD$34,MATCH(O2587,基础资料!$AC$5:$AC$34,0)),"")="支",N(F2587)&lt;&gt;0),"✗ 这类是付款，金额填到支出列",IF(N(H2587)&lt;0,"⚠ 账户余额成负数了，核对一下","√"))))))))))))))))))</f>
      </c>
      <c r="O2587" s="78">
        <f>IF(D2587&lt;&gt;"",D2587,IF(AND(F2587="",G2587=""),"",IF(J2587&lt;&gt;"",IF(N(F2587)&gt;0,"客户回款","客户退款"),IF(K2587&lt;&gt;"",IF(N(G2587)&gt;0,"供应商付款","供应商退款"),IF(L2587&lt;&gt;"","费用支出","")))))</f>
      </c>
      <c r="P2587" s="78">
        <f>IF(O2587="","",IFERROR(INDEX(基础资料!$AE$5:$AE$34,MATCH(O2587,基础资料!$AC$5:$AC$34,0)),"未知"))</f>
      </c>
      <c r="Q2587" s="78">
        <f>IF(P2587="应收",COUNTIF(P$7:P2587,"应收"),"")</f>
      </c>
      <c r="R2587" s="78">
        <f>IF(P2587="应付",COUNTIF(P$7:P2587,"应付"),"")</f>
      </c>
      <c r="S2587" s="78">
        <f>N(F2587)-N(G2587)</f>
        <v>0</v>
      </c>
    </row>
    <row r="2588">
      <c r="A2588" s="109">
        <f>IF(AND(F2588="",G2588=""),"",ROW()-6)</f>
      </c>
      <c r="B2588" s="140" t="n"/>
      <c r="C2588" s="141" t="n"/>
      <c r="D2588" s="141" t="n"/>
      <c r="E2588" s="142" t="n"/>
      <c r="F2588" s="143" t="n"/>
      <c r="G2588" s="144" t="n"/>
      <c r="H2588" s="145">
        <f>IF(OR(C2588="",AND(F2588="",G2588="")),"",SUMIF(基础资料!$W$5:$W$24,C2588,基础资料!$X$5:$X$24)+SUMIF(C$7:C2588,C2588,F$7:F2588)-SUMIF(C$7:C2588,C2588,G$7:G2588))</f>
      </c>
      <c r="I2588" s="145">
        <f>IF(AND(F2588="",G2588=""),"",SUM(基础资料!$X$5:$X$24)+SUM(F$7:F2588)-SUM(G$7:G2588))</f>
      </c>
      <c r="J2588" s="141" t="n"/>
      <c r="K2588" s="141" t="n"/>
      <c r="L2588" s="141" t="n"/>
      <c r="M2588" s="142" t="n"/>
      <c r="N2588" s="146">
        <f>IF(AND(AND(F2588="",G2588=""),B2588="",C2588="",D2588="",J2588="",K2588="",L2588=""),"",IF(AND(F2588="",G2588=""),"✗ 没填金额",IF(AND(N(F2588)&lt;&gt;0,N(G2588)&lt;&gt;0),"✗ 收入、支出只能填一边",IF(NOT(ISNUMBER(B2588)),"✗ 日期不是真日期（要像 2026/9/25 这样填）",IF(OR(B2588&lt;年初日,B2588&gt;年末日),"✗ 日期不在本会计年度",IF(C2588="","✗ 没选账户",IF(COUNTIF(基础资料!$W$5:$W$24,C2588)=0,"✗ 账户不在基础资料里",IF(O2588="","✗ 没选收支项目",IF(P2588="未知","✗ 收支项目不在基础资料里",IF(AND(P2588="应收",J2588=""),"✗ 这笔要选客户",IF(AND(P2588="应收",COUNTIF(总览汇总!$B$5:$B$304,J2588)=0),"✗ 客户不在总览汇总名单里",IF(AND(P2588="应付",K2588=""),"✗ 这笔要选供应商",IF(AND(P2588="应付",COUNTIF(基础资料!$Q$5:$Q$54,K2588)=0),"✗ 供应商不在基础资料里",IF(AND(P2588="费用",L2588=""),"✗ 费用支出要选费用项目",IF(AND(L2588&lt;&gt;"",COUNTIF(基础资料!$AI$5:$AI$54,L2588)=0),"✗ 费用项目不在基础资料里",IF(AND(IFERROR(INDEX(基础资料!$AD$5:$AD$34,MATCH(O2588,基础资料!$AC$5:$AC$34,0)),"")="收",N(G2588)&lt;&gt;0),"✗ 这类是收款，金额填到收入列",IF(AND(IFERROR(INDEX(基础资料!$AD$5:$AD$34,MATCH(O2588,基础资料!$AC$5:$AC$34,0)),"")="支",N(F2588)&lt;&gt;0),"✗ 这类是付款，金额填到支出列",IF(N(H2588)&lt;0,"⚠ 账户余额成负数了，核对一下","√"))))))))))))))))))</f>
      </c>
      <c r="O2588" s="78">
        <f>IF(D2588&lt;&gt;"",D2588,IF(AND(F2588="",G2588=""),"",IF(J2588&lt;&gt;"",IF(N(F2588)&gt;0,"客户回款","客户退款"),IF(K2588&lt;&gt;"",IF(N(G2588)&gt;0,"供应商付款","供应商退款"),IF(L2588&lt;&gt;"","费用支出","")))))</f>
      </c>
      <c r="P2588" s="78">
        <f>IF(O2588="","",IFERROR(INDEX(基础资料!$AE$5:$AE$34,MATCH(O2588,基础资料!$AC$5:$AC$34,0)),"未知"))</f>
      </c>
      <c r="Q2588" s="78">
        <f>IF(P2588="应收",COUNTIF(P$7:P2588,"应收"),"")</f>
      </c>
      <c r="R2588" s="78">
        <f>IF(P2588="应付",COUNTIF(P$7:P2588,"应付"),"")</f>
      </c>
      <c r="S2588" s="78">
        <f>N(F2588)-N(G2588)</f>
        <v>0</v>
      </c>
    </row>
    <row r="2589">
      <c r="A2589" s="109">
        <f>IF(AND(F2589="",G2589=""),"",ROW()-6)</f>
      </c>
      <c r="B2589" s="140" t="n"/>
      <c r="C2589" s="141" t="n"/>
      <c r="D2589" s="141" t="n"/>
      <c r="E2589" s="142" t="n"/>
      <c r="F2589" s="143" t="n"/>
      <c r="G2589" s="144" t="n"/>
      <c r="H2589" s="145">
        <f>IF(OR(C2589="",AND(F2589="",G2589="")),"",SUMIF(基础资料!$W$5:$W$24,C2589,基础资料!$X$5:$X$24)+SUMIF(C$7:C2589,C2589,F$7:F2589)-SUMIF(C$7:C2589,C2589,G$7:G2589))</f>
      </c>
      <c r="I2589" s="145">
        <f>IF(AND(F2589="",G2589=""),"",SUM(基础资料!$X$5:$X$24)+SUM(F$7:F2589)-SUM(G$7:G2589))</f>
      </c>
      <c r="J2589" s="141" t="n"/>
      <c r="K2589" s="141" t="n"/>
      <c r="L2589" s="141" t="n"/>
      <c r="M2589" s="142" t="n"/>
      <c r="N2589" s="146">
        <f>IF(AND(AND(F2589="",G2589=""),B2589="",C2589="",D2589="",J2589="",K2589="",L2589=""),"",IF(AND(F2589="",G2589=""),"✗ 没填金额",IF(AND(N(F2589)&lt;&gt;0,N(G2589)&lt;&gt;0),"✗ 收入、支出只能填一边",IF(NOT(ISNUMBER(B2589)),"✗ 日期不是真日期（要像 2026/9/25 这样填）",IF(OR(B2589&lt;年初日,B2589&gt;年末日),"✗ 日期不在本会计年度",IF(C2589="","✗ 没选账户",IF(COUNTIF(基础资料!$W$5:$W$24,C2589)=0,"✗ 账户不在基础资料里",IF(O2589="","✗ 没选收支项目",IF(P2589="未知","✗ 收支项目不在基础资料里",IF(AND(P2589="应收",J2589=""),"✗ 这笔要选客户",IF(AND(P2589="应收",COUNTIF(总览汇总!$B$5:$B$304,J2589)=0),"✗ 客户不在总览汇总名单里",IF(AND(P2589="应付",K2589=""),"✗ 这笔要选供应商",IF(AND(P2589="应付",COUNTIF(基础资料!$Q$5:$Q$54,K2589)=0),"✗ 供应商不在基础资料里",IF(AND(P2589="费用",L2589=""),"✗ 费用支出要选费用项目",IF(AND(L2589&lt;&gt;"",COUNTIF(基础资料!$AI$5:$AI$54,L2589)=0),"✗ 费用项目不在基础资料里",IF(AND(IFERROR(INDEX(基础资料!$AD$5:$AD$34,MATCH(O2589,基础资料!$AC$5:$AC$34,0)),"")="收",N(G2589)&lt;&gt;0),"✗ 这类是收款，金额填到收入列",IF(AND(IFERROR(INDEX(基础资料!$AD$5:$AD$34,MATCH(O2589,基础资料!$AC$5:$AC$34,0)),"")="支",N(F2589)&lt;&gt;0),"✗ 这类是付款，金额填到支出列",IF(N(H2589)&lt;0,"⚠ 账户余额成负数了，核对一下","√"))))))))))))))))))</f>
      </c>
      <c r="O2589" s="78">
        <f>IF(D2589&lt;&gt;"",D2589,IF(AND(F2589="",G2589=""),"",IF(J2589&lt;&gt;"",IF(N(F2589)&gt;0,"客户回款","客户退款"),IF(K2589&lt;&gt;"",IF(N(G2589)&gt;0,"供应商付款","供应商退款"),IF(L2589&lt;&gt;"","费用支出","")))))</f>
      </c>
      <c r="P2589" s="78">
        <f>IF(O2589="","",IFERROR(INDEX(基础资料!$AE$5:$AE$34,MATCH(O2589,基础资料!$AC$5:$AC$34,0)),"未知"))</f>
      </c>
      <c r="Q2589" s="78">
        <f>IF(P2589="应收",COUNTIF(P$7:P2589,"应收"),"")</f>
      </c>
      <c r="R2589" s="78">
        <f>IF(P2589="应付",COUNTIF(P$7:P2589,"应付"),"")</f>
      </c>
      <c r="S2589" s="78">
        <f>N(F2589)-N(G2589)</f>
        <v>0</v>
      </c>
    </row>
    <row r="2590">
      <c r="A2590" s="109">
        <f>IF(AND(F2590="",G2590=""),"",ROW()-6)</f>
      </c>
      <c r="B2590" s="140" t="n"/>
      <c r="C2590" s="141" t="n"/>
      <c r="D2590" s="141" t="n"/>
      <c r="E2590" s="142" t="n"/>
      <c r="F2590" s="143" t="n"/>
      <c r="G2590" s="144" t="n"/>
      <c r="H2590" s="145">
        <f>IF(OR(C2590="",AND(F2590="",G2590="")),"",SUMIF(基础资料!$W$5:$W$24,C2590,基础资料!$X$5:$X$24)+SUMIF(C$7:C2590,C2590,F$7:F2590)-SUMIF(C$7:C2590,C2590,G$7:G2590))</f>
      </c>
      <c r="I2590" s="145">
        <f>IF(AND(F2590="",G2590=""),"",SUM(基础资料!$X$5:$X$24)+SUM(F$7:F2590)-SUM(G$7:G2590))</f>
      </c>
      <c r="J2590" s="141" t="n"/>
      <c r="K2590" s="141" t="n"/>
      <c r="L2590" s="141" t="n"/>
      <c r="M2590" s="142" t="n"/>
      <c r="N2590" s="146">
        <f>IF(AND(AND(F2590="",G2590=""),B2590="",C2590="",D2590="",J2590="",K2590="",L2590=""),"",IF(AND(F2590="",G2590=""),"✗ 没填金额",IF(AND(N(F2590)&lt;&gt;0,N(G2590)&lt;&gt;0),"✗ 收入、支出只能填一边",IF(NOT(ISNUMBER(B2590)),"✗ 日期不是真日期（要像 2026/9/25 这样填）",IF(OR(B2590&lt;年初日,B2590&gt;年末日),"✗ 日期不在本会计年度",IF(C2590="","✗ 没选账户",IF(COUNTIF(基础资料!$W$5:$W$24,C2590)=0,"✗ 账户不在基础资料里",IF(O2590="","✗ 没选收支项目",IF(P2590="未知","✗ 收支项目不在基础资料里",IF(AND(P2590="应收",J2590=""),"✗ 这笔要选客户",IF(AND(P2590="应收",COUNTIF(总览汇总!$B$5:$B$304,J2590)=0),"✗ 客户不在总览汇总名单里",IF(AND(P2590="应付",K2590=""),"✗ 这笔要选供应商",IF(AND(P2590="应付",COUNTIF(基础资料!$Q$5:$Q$54,K2590)=0),"✗ 供应商不在基础资料里",IF(AND(P2590="费用",L2590=""),"✗ 费用支出要选费用项目",IF(AND(L2590&lt;&gt;"",COUNTIF(基础资料!$AI$5:$AI$54,L2590)=0),"✗ 费用项目不在基础资料里",IF(AND(IFERROR(INDEX(基础资料!$AD$5:$AD$34,MATCH(O2590,基础资料!$AC$5:$AC$34,0)),"")="收",N(G2590)&lt;&gt;0),"✗ 这类是收款，金额填到收入列",IF(AND(IFERROR(INDEX(基础资料!$AD$5:$AD$34,MATCH(O2590,基础资料!$AC$5:$AC$34,0)),"")="支",N(F2590)&lt;&gt;0),"✗ 这类是付款，金额填到支出列",IF(N(H2590)&lt;0,"⚠ 账户余额成负数了，核对一下","√"))))))))))))))))))</f>
      </c>
      <c r="O2590" s="78">
        <f>IF(D2590&lt;&gt;"",D2590,IF(AND(F2590="",G2590=""),"",IF(J2590&lt;&gt;"",IF(N(F2590)&gt;0,"客户回款","客户退款"),IF(K2590&lt;&gt;"",IF(N(G2590)&gt;0,"供应商付款","供应商退款"),IF(L2590&lt;&gt;"","费用支出","")))))</f>
      </c>
      <c r="P2590" s="78">
        <f>IF(O2590="","",IFERROR(INDEX(基础资料!$AE$5:$AE$34,MATCH(O2590,基础资料!$AC$5:$AC$34,0)),"未知"))</f>
      </c>
      <c r="Q2590" s="78">
        <f>IF(P2590="应收",COUNTIF(P$7:P2590,"应收"),"")</f>
      </c>
      <c r="R2590" s="78">
        <f>IF(P2590="应付",COUNTIF(P$7:P2590,"应付"),"")</f>
      </c>
      <c r="S2590" s="78">
        <f>N(F2590)-N(G2590)</f>
        <v>0</v>
      </c>
    </row>
    <row r="2591">
      <c r="A2591" s="109">
        <f>IF(AND(F2591="",G2591=""),"",ROW()-6)</f>
      </c>
      <c r="B2591" s="140" t="n"/>
      <c r="C2591" s="141" t="n"/>
      <c r="D2591" s="141" t="n"/>
      <c r="E2591" s="142" t="n"/>
      <c r="F2591" s="143" t="n"/>
      <c r="G2591" s="144" t="n"/>
      <c r="H2591" s="145">
        <f>IF(OR(C2591="",AND(F2591="",G2591="")),"",SUMIF(基础资料!$W$5:$W$24,C2591,基础资料!$X$5:$X$24)+SUMIF(C$7:C2591,C2591,F$7:F2591)-SUMIF(C$7:C2591,C2591,G$7:G2591))</f>
      </c>
      <c r="I2591" s="145">
        <f>IF(AND(F2591="",G2591=""),"",SUM(基础资料!$X$5:$X$24)+SUM(F$7:F2591)-SUM(G$7:G2591))</f>
      </c>
      <c r="J2591" s="141" t="n"/>
      <c r="K2591" s="141" t="n"/>
      <c r="L2591" s="141" t="n"/>
      <c r="M2591" s="142" t="n"/>
      <c r="N2591" s="146">
        <f>IF(AND(AND(F2591="",G2591=""),B2591="",C2591="",D2591="",J2591="",K2591="",L2591=""),"",IF(AND(F2591="",G2591=""),"✗ 没填金额",IF(AND(N(F2591)&lt;&gt;0,N(G2591)&lt;&gt;0),"✗ 收入、支出只能填一边",IF(NOT(ISNUMBER(B2591)),"✗ 日期不是真日期（要像 2026/9/25 这样填）",IF(OR(B2591&lt;年初日,B2591&gt;年末日),"✗ 日期不在本会计年度",IF(C2591="","✗ 没选账户",IF(COUNTIF(基础资料!$W$5:$W$24,C2591)=0,"✗ 账户不在基础资料里",IF(O2591="","✗ 没选收支项目",IF(P2591="未知","✗ 收支项目不在基础资料里",IF(AND(P2591="应收",J2591=""),"✗ 这笔要选客户",IF(AND(P2591="应收",COUNTIF(总览汇总!$B$5:$B$304,J2591)=0),"✗ 客户不在总览汇总名单里",IF(AND(P2591="应付",K2591=""),"✗ 这笔要选供应商",IF(AND(P2591="应付",COUNTIF(基础资料!$Q$5:$Q$54,K2591)=0),"✗ 供应商不在基础资料里",IF(AND(P2591="费用",L2591=""),"✗ 费用支出要选费用项目",IF(AND(L2591&lt;&gt;"",COUNTIF(基础资料!$AI$5:$AI$54,L2591)=0),"✗ 费用项目不在基础资料里",IF(AND(IFERROR(INDEX(基础资料!$AD$5:$AD$34,MATCH(O2591,基础资料!$AC$5:$AC$34,0)),"")="收",N(G2591)&lt;&gt;0),"✗ 这类是收款，金额填到收入列",IF(AND(IFERROR(INDEX(基础资料!$AD$5:$AD$34,MATCH(O2591,基础资料!$AC$5:$AC$34,0)),"")="支",N(F2591)&lt;&gt;0),"✗ 这类是付款，金额填到支出列",IF(N(H2591)&lt;0,"⚠ 账户余额成负数了，核对一下","√"))))))))))))))))))</f>
      </c>
      <c r="O2591" s="78">
        <f>IF(D2591&lt;&gt;"",D2591,IF(AND(F2591="",G2591=""),"",IF(J2591&lt;&gt;"",IF(N(F2591)&gt;0,"客户回款","客户退款"),IF(K2591&lt;&gt;"",IF(N(G2591)&gt;0,"供应商付款","供应商退款"),IF(L2591&lt;&gt;"","费用支出","")))))</f>
      </c>
      <c r="P2591" s="78">
        <f>IF(O2591="","",IFERROR(INDEX(基础资料!$AE$5:$AE$34,MATCH(O2591,基础资料!$AC$5:$AC$34,0)),"未知"))</f>
      </c>
      <c r="Q2591" s="78">
        <f>IF(P2591="应收",COUNTIF(P$7:P2591,"应收"),"")</f>
      </c>
      <c r="R2591" s="78">
        <f>IF(P2591="应付",COUNTIF(P$7:P2591,"应付"),"")</f>
      </c>
      <c r="S2591" s="78">
        <f>N(F2591)-N(G2591)</f>
        <v>0</v>
      </c>
    </row>
    <row r="2592">
      <c r="A2592" s="109">
        <f>IF(AND(F2592="",G2592=""),"",ROW()-6)</f>
      </c>
      <c r="B2592" s="140" t="n"/>
      <c r="C2592" s="141" t="n"/>
      <c r="D2592" s="141" t="n"/>
      <c r="E2592" s="142" t="n"/>
      <c r="F2592" s="143" t="n"/>
      <c r="G2592" s="144" t="n"/>
      <c r="H2592" s="145">
        <f>IF(OR(C2592="",AND(F2592="",G2592="")),"",SUMIF(基础资料!$W$5:$W$24,C2592,基础资料!$X$5:$X$24)+SUMIF(C$7:C2592,C2592,F$7:F2592)-SUMIF(C$7:C2592,C2592,G$7:G2592))</f>
      </c>
      <c r="I2592" s="145">
        <f>IF(AND(F2592="",G2592=""),"",SUM(基础资料!$X$5:$X$24)+SUM(F$7:F2592)-SUM(G$7:G2592))</f>
      </c>
      <c r="J2592" s="141" t="n"/>
      <c r="K2592" s="141" t="n"/>
      <c r="L2592" s="141" t="n"/>
      <c r="M2592" s="142" t="n"/>
      <c r="N2592" s="146">
        <f>IF(AND(AND(F2592="",G2592=""),B2592="",C2592="",D2592="",J2592="",K2592="",L2592=""),"",IF(AND(F2592="",G2592=""),"✗ 没填金额",IF(AND(N(F2592)&lt;&gt;0,N(G2592)&lt;&gt;0),"✗ 收入、支出只能填一边",IF(NOT(ISNUMBER(B2592)),"✗ 日期不是真日期（要像 2026/9/25 这样填）",IF(OR(B2592&lt;年初日,B2592&gt;年末日),"✗ 日期不在本会计年度",IF(C2592="","✗ 没选账户",IF(COUNTIF(基础资料!$W$5:$W$24,C2592)=0,"✗ 账户不在基础资料里",IF(O2592="","✗ 没选收支项目",IF(P2592="未知","✗ 收支项目不在基础资料里",IF(AND(P2592="应收",J2592=""),"✗ 这笔要选客户",IF(AND(P2592="应收",COUNTIF(总览汇总!$B$5:$B$304,J2592)=0),"✗ 客户不在总览汇总名单里",IF(AND(P2592="应付",K2592=""),"✗ 这笔要选供应商",IF(AND(P2592="应付",COUNTIF(基础资料!$Q$5:$Q$54,K2592)=0),"✗ 供应商不在基础资料里",IF(AND(P2592="费用",L2592=""),"✗ 费用支出要选费用项目",IF(AND(L2592&lt;&gt;"",COUNTIF(基础资料!$AI$5:$AI$54,L2592)=0),"✗ 费用项目不在基础资料里",IF(AND(IFERROR(INDEX(基础资料!$AD$5:$AD$34,MATCH(O2592,基础资料!$AC$5:$AC$34,0)),"")="收",N(G2592)&lt;&gt;0),"✗ 这类是收款，金额填到收入列",IF(AND(IFERROR(INDEX(基础资料!$AD$5:$AD$34,MATCH(O2592,基础资料!$AC$5:$AC$34,0)),"")="支",N(F2592)&lt;&gt;0),"✗ 这类是付款，金额填到支出列",IF(N(H2592)&lt;0,"⚠ 账户余额成负数了，核对一下","√"))))))))))))))))))</f>
      </c>
      <c r="O2592" s="78">
        <f>IF(D2592&lt;&gt;"",D2592,IF(AND(F2592="",G2592=""),"",IF(J2592&lt;&gt;"",IF(N(F2592)&gt;0,"客户回款","客户退款"),IF(K2592&lt;&gt;"",IF(N(G2592)&gt;0,"供应商付款","供应商退款"),IF(L2592&lt;&gt;"","费用支出","")))))</f>
      </c>
      <c r="P2592" s="78">
        <f>IF(O2592="","",IFERROR(INDEX(基础资料!$AE$5:$AE$34,MATCH(O2592,基础资料!$AC$5:$AC$34,0)),"未知"))</f>
      </c>
      <c r="Q2592" s="78">
        <f>IF(P2592="应收",COUNTIF(P$7:P2592,"应收"),"")</f>
      </c>
      <c r="R2592" s="78">
        <f>IF(P2592="应付",COUNTIF(P$7:P2592,"应付"),"")</f>
      </c>
      <c r="S2592" s="78">
        <f>N(F2592)-N(G2592)</f>
        <v>0</v>
      </c>
    </row>
    <row r="2593">
      <c r="A2593" s="109">
        <f>IF(AND(F2593="",G2593=""),"",ROW()-6)</f>
      </c>
      <c r="B2593" s="140" t="n"/>
      <c r="C2593" s="141" t="n"/>
      <c r="D2593" s="141" t="n"/>
      <c r="E2593" s="142" t="n"/>
      <c r="F2593" s="143" t="n"/>
      <c r="G2593" s="144" t="n"/>
      <c r="H2593" s="145">
        <f>IF(OR(C2593="",AND(F2593="",G2593="")),"",SUMIF(基础资料!$W$5:$W$24,C2593,基础资料!$X$5:$X$24)+SUMIF(C$7:C2593,C2593,F$7:F2593)-SUMIF(C$7:C2593,C2593,G$7:G2593))</f>
      </c>
      <c r="I2593" s="145">
        <f>IF(AND(F2593="",G2593=""),"",SUM(基础资料!$X$5:$X$24)+SUM(F$7:F2593)-SUM(G$7:G2593))</f>
      </c>
      <c r="J2593" s="141" t="n"/>
      <c r="K2593" s="141" t="n"/>
      <c r="L2593" s="141" t="n"/>
      <c r="M2593" s="142" t="n"/>
      <c r="N2593" s="146">
        <f>IF(AND(AND(F2593="",G2593=""),B2593="",C2593="",D2593="",J2593="",K2593="",L2593=""),"",IF(AND(F2593="",G2593=""),"✗ 没填金额",IF(AND(N(F2593)&lt;&gt;0,N(G2593)&lt;&gt;0),"✗ 收入、支出只能填一边",IF(NOT(ISNUMBER(B2593)),"✗ 日期不是真日期（要像 2026/9/25 这样填）",IF(OR(B2593&lt;年初日,B2593&gt;年末日),"✗ 日期不在本会计年度",IF(C2593="","✗ 没选账户",IF(COUNTIF(基础资料!$W$5:$W$24,C2593)=0,"✗ 账户不在基础资料里",IF(O2593="","✗ 没选收支项目",IF(P2593="未知","✗ 收支项目不在基础资料里",IF(AND(P2593="应收",J2593=""),"✗ 这笔要选客户",IF(AND(P2593="应收",COUNTIF(总览汇总!$B$5:$B$304,J2593)=0),"✗ 客户不在总览汇总名单里",IF(AND(P2593="应付",K2593=""),"✗ 这笔要选供应商",IF(AND(P2593="应付",COUNTIF(基础资料!$Q$5:$Q$54,K2593)=0),"✗ 供应商不在基础资料里",IF(AND(P2593="费用",L2593=""),"✗ 费用支出要选费用项目",IF(AND(L2593&lt;&gt;"",COUNTIF(基础资料!$AI$5:$AI$54,L2593)=0),"✗ 费用项目不在基础资料里",IF(AND(IFERROR(INDEX(基础资料!$AD$5:$AD$34,MATCH(O2593,基础资料!$AC$5:$AC$34,0)),"")="收",N(G2593)&lt;&gt;0),"✗ 这类是收款，金额填到收入列",IF(AND(IFERROR(INDEX(基础资料!$AD$5:$AD$34,MATCH(O2593,基础资料!$AC$5:$AC$34,0)),"")="支",N(F2593)&lt;&gt;0),"✗ 这类是付款，金额填到支出列",IF(N(H2593)&lt;0,"⚠ 账户余额成负数了，核对一下","√"))))))))))))))))))</f>
      </c>
      <c r="O2593" s="78">
        <f>IF(D2593&lt;&gt;"",D2593,IF(AND(F2593="",G2593=""),"",IF(J2593&lt;&gt;"",IF(N(F2593)&gt;0,"客户回款","客户退款"),IF(K2593&lt;&gt;"",IF(N(G2593)&gt;0,"供应商付款","供应商退款"),IF(L2593&lt;&gt;"","费用支出","")))))</f>
      </c>
      <c r="P2593" s="78">
        <f>IF(O2593="","",IFERROR(INDEX(基础资料!$AE$5:$AE$34,MATCH(O2593,基础资料!$AC$5:$AC$34,0)),"未知"))</f>
      </c>
      <c r="Q2593" s="78">
        <f>IF(P2593="应收",COUNTIF(P$7:P2593,"应收"),"")</f>
      </c>
      <c r="R2593" s="78">
        <f>IF(P2593="应付",COUNTIF(P$7:P2593,"应付"),"")</f>
      </c>
      <c r="S2593" s="78">
        <f>N(F2593)-N(G2593)</f>
        <v>0</v>
      </c>
    </row>
    <row r="2594">
      <c r="A2594" s="109">
        <f>IF(AND(F2594="",G2594=""),"",ROW()-6)</f>
      </c>
      <c r="B2594" s="140" t="n"/>
      <c r="C2594" s="141" t="n"/>
      <c r="D2594" s="141" t="n"/>
      <c r="E2594" s="142" t="n"/>
      <c r="F2594" s="143" t="n"/>
      <c r="G2594" s="144" t="n"/>
      <c r="H2594" s="145">
        <f>IF(OR(C2594="",AND(F2594="",G2594="")),"",SUMIF(基础资料!$W$5:$W$24,C2594,基础资料!$X$5:$X$24)+SUMIF(C$7:C2594,C2594,F$7:F2594)-SUMIF(C$7:C2594,C2594,G$7:G2594))</f>
      </c>
      <c r="I2594" s="145">
        <f>IF(AND(F2594="",G2594=""),"",SUM(基础资料!$X$5:$X$24)+SUM(F$7:F2594)-SUM(G$7:G2594))</f>
      </c>
      <c r="J2594" s="141" t="n"/>
      <c r="K2594" s="141" t="n"/>
      <c r="L2594" s="141" t="n"/>
      <c r="M2594" s="142" t="n"/>
      <c r="N2594" s="146">
        <f>IF(AND(AND(F2594="",G2594=""),B2594="",C2594="",D2594="",J2594="",K2594="",L2594=""),"",IF(AND(F2594="",G2594=""),"✗ 没填金额",IF(AND(N(F2594)&lt;&gt;0,N(G2594)&lt;&gt;0),"✗ 收入、支出只能填一边",IF(NOT(ISNUMBER(B2594)),"✗ 日期不是真日期（要像 2026/9/25 这样填）",IF(OR(B2594&lt;年初日,B2594&gt;年末日),"✗ 日期不在本会计年度",IF(C2594="","✗ 没选账户",IF(COUNTIF(基础资料!$W$5:$W$24,C2594)=0,"✗ 账户不在基础资料里",IF(O2594="","✗ 没选收支项目",IF(P2594="未知","✗ 收支项目不在基础资料里",IF(AND(P2594="应收",J2594=""),"✗ 这笔要选客户",IF(AND(P2594="应收",COUNTIF(总览汇总!$B$5:$B$304,J2594)=0),"✗ 客户不在总览汇总名单里",IF(AND(P2594="应付",K2594=""),"✗ 这笔要选供应商",IF(AND(P2594="应付",COUNTIF(基础资料!$Q$5:$Q$54,K2594)=0),"✗ 供应商不在基础资料里",IF(AND(P2594="费用",L2594=""),"✗ 费用支出要选费用项目",IF(AND(L2594&lt;&gt;"",COUNTIF(基础资料!$AI$5:$AI$54,L2594)=0),"✗ 费用项目不在基础资料里",IF(AND(IFERROR(INDEX(基础资料!$AD$5:$AD$34,MATCH(O2594,基础资料!$AC$5:$AC$34,0)),"")="收",N(G2594)&lt;&gt;0),"✗ 这类是收款，金额填到收入列",IF(AND(IFERROR(INDEX(基础资料!$AD$5:$AD$34,MATCH(O2594,基础资料!$AC$5:$AC$34,0)),"")="支",N(F2594)&lt;&gt;0),"✗ 这类是付款，金额填到支出列",IF(N(H2594)&lt;0,"⚠ 账户余额成负数了，核对一下","√"))))))))))))))))))</f>
      </c>
      <c r="O2594" s="78">
        <f>IF(D2594&lt;&gt;"",D2594,IF(AND(F2594="",G2594=""),"",IF(J2594&lt;&gt;"",IF(N(F2594)&gt;0,"客户回款","客户退款"),IF(K2594&lt;&gt;"",IF(N(G2594)&gt;0,"供应商付款","供应商退款"),IF(L2594&lt;&gt;"","费用支出","")))))</f>
      </c>
      <c r="P2594" s="78">
        <f>IF(O2594="","",IFERROR(INDEX(基础资料!$AE$5:$AE$34,MATCH(O2594,基础资料!$AC$5:$AC$34,0)),"未知"))</f>
      </c>
      <c r="Q2594" s="78">
        <f>IF(P2594="应收",COUNTIF(P$7:P2594,"应收"),"")</f>
      </c>
      <c r="R2594" s="78">
        <f>IF(P2594="应付",COUNTIF(P$7:P2594,"应付"),"")</f>
      </c>
      <c r="S2594" s="78">
        <f>N(F2594)-N(G2594)</f>
        <v>0</v>
      </c>
    </row>
    <row r="2595">
      <c r="A2595" s="109">
        <f>IF(AND(F2595="",G2595=""),"",ROW()-6)</f>
      </c>
      <c r="B2595" s="140" t="n"/>
      <c r="C2595" s="141" t="n"/>
      <c r="D2595" s="141" t="n"/>
      <c r="E2595" s="142" t="n"/>
      <c r="F2595" s="143" t="n"/>
      <c r="G2595" s="144" t="n"/>
      <c r="H2595" s="145">
        <f>IF(OR(C2595="",AND(F2595="",G2595="")),"",SUMIF(基础资料!$W$5:$W$24,C2595,基础资料!$X$5:$X$24)+SUMIF(C$7:C2595,C2595,F$7:F2595)-SUMIF(C$7:C2595,C2595,G$7:G2595))</f>
      </c>
      <c r="I2595" s="145">
        <f>IF(AND(F2595="",G2595=""),"",SUM(基础资料!$X$5:$X$24)+SUM(F$7:F2595)-SUM(G$7:G2595))</f>
      </c>
      <c r="J2595" s="141" t="n"/>
      <c r="K2595" s="141" t="n"/>
      <c r="L2595" s="141" t="n"/>
      <c r="M2595" s="142" t="n"/>
      <c r="N2595" s="146">
        <f>IF(AND(AND(F2595="",G2595=""),B2595="",C2595="",D2595="",J2595="",K2595="",L2595=""),"",IF(AND(F2595="",G2595=""),"✗ 没填金额",IF(AND(N(F2595)&lt;&gt;0,N(G2595)&lt;&gt;0),"✗ 收入、支出只能填一边",IF(NOT(ISNUMBER(B2595)),"✗ 日期不是真日期（要像 2026/9/25 这样填）",IF(OR(B2595&lt;年初日,B2595&gt;年末日),"✗ 日期不在本会计年度",IF(C2595="","✗ 没选账户",IF(COUNTIF(基础资料!$W$5:$W$24,C2595)=0,"✗ 账户不在基础资料里",IF(O2595="","✗ 没选收支项目",IF(P2595="未知","✗ 收支项目不在基础资料里",IF(AND(P2595="应收",J2595=""),"✗ 这笔要选客户",IF(AND(P2595="应收",COUNTIF(总览汇总!$B$5:$B$304,J2595)=0),"✗ 客户不在总览汇总名单里",IF(AND(P2595="应付",K2595=""),"✗ 这笔要选供应商",IF(AND(P2595="应付",COUNTIF(基础资料!$Q$5:$Q$54,K2595)=0),"✗ 供应商不在基础资料里",IF(AND(P2595="费用",L2595=""),"✗ 费用支出要选费用项目",IF(AND(L2595&lt;&gt;"",COUNTIF(基础资料!$AI$5:$AI$54,L2595)=0),"✗ 费用项目不在基础资料里",IF(AND(IFERROR(INDEX(基础资料!$AD$5:$AD$34,MATCH(O2595,基础资料!$AC$5:$AC$34,0)),"")="收",N(G2595)&lt;&gt;0),"✗ 这类是收款，金额填到收入列",IF(AND(IFERROR(INDEX(基础资料!$AD$5:$AD$34,MATCH(O2595,基础资料!$AC$5:$AC$34,0)),"")="支",N(F2595)&lt;&gt;0),"✗ 这类是付款，金额填到支出列",IF(N(H2595)&lt;0,"⚠ 账户余额成负数了，核对一下","√"))))))))))))))))))</f>
      </c>
      <c r="O2595" s="78">
        <f>IF(D2595&lt;&gt;"",D2595,IF(AND(F2595="",G2595=""),"",IF(J2595&lt;&gt;"",IF(N(F2595)&gt;0,"客户回款","客户退款"),IF(K2595&lt;&gt;"",IF(N(G2595)&gt;0,"供应商付款","供应商退款"),IF(L2595&lt;&gt;"","费用支出","")))))</f>
      </c>
      <c r="P2595" s="78">
        <f>IF(O2595="","",IFERROR(INDEX(基础资料!$AE$5:$AE$34,MATCH(O2595,基础资料!$AC$5:$AC$34,0)),"未知"))</f>
      </c>
      <c r="Q2595" s="78">
        <f>IF(P2595="应收",COUNTIF(P$7:P2595,"应收"),"")</f>
      </c>
      <c r="R2595" s="78">
        <f>IF(P2595="应付",COUNTIF(P$7:P2595,"应付"),"")</f>
      </c>
      <c r="S2595" s="78">
        <f>N(F2595)-N(G2595)</f>
        <v>0</v>
      </c>
    </row>
    <row r="2596">
      <c r="A2596" s="109">
        <f>IF(AND(F2596="",G2596=""),"",ROW()-6)</f>
      </c>
      <c r="B2596" s="140" t="n"/>
      <c r="C2596" s="141" t="n"/>
      <c r="D2596" s="141" t="n"/>
      <c r="E2596" s="142" t="n"/>
      <c r="F2596" s="143" t="n"/>
      <c r="G2596" s="144" t="n"/>
      <c r="H2596" s="145">
        <f>IF(OR(C2596="",AND(F2596="",G2596="")),"",SUMIF(基础资料!$W$5:$W$24,C2596,基础资料!$X$5:$X$24)+SUMIF(C$7:C2596,C2596,F$7:F2596)-SUMIF(C$7:C2596,C2596,G$7:G2596))</f>
      </c>
      <c r="I2596" s="145">
        <f>IF(AND(F2596="",G2596=""),"",SUM(基础资料!$X$5:$X$24)+SUM(F$7:F2596)-SUM(G$7:G2596))</f>
      </c>
      <c r="J2596" s="141" t="n"/>
      <c r="K2596" s="141" t="n"/>
      <c r="L2596" s="141" t="n"/>
      <c r="M2596" s="142" t="n"/>
      <c r="N2596" s="146">
        <f>IF(AND(AND(F2596="",G2596=""),B2596="",C2596="",D2596="",J2596="",K2596="",L2596=""),"",IF(AND(F2596="",G2596=""),"✗ 没填金额",IF(AND(N(F2596)&lt;&gt;0,N(G2596)&lt;&gt;0),"✗ 收入、支出只能填一边",IF(NOT(ISNUMBER(B2596)),"✗ 日期不是真日期（要像 2026/9/25 这样填）",IF(OR(B2596&lt;年初日,B2596&gt;年末日),"✗ 日期不在本会计年度",IF(C2596="","✗ 没选账户",IF(COUNTIF(基础资料!$W$5:$W$24,C2596)=0,"✗ 账户不在基础资料里",IF(O2596="","✗ 没选收支项目",IF(P2596="未知","✗ 收支项目不在基础资料里",IF(AND(P2596="应收",J2596=""),"✗ 这笔要选客户",IF(AND(P2596="应收",COUNTIF(总览汇总!$B$5:$B$304,J2596)=0),"✗ 客户不在总览汇总名单里",IF(AND(P2596="应付",K2596=""),"✗ 这笔要选供应商",IF(AND(P2596="应付",COUNTIF(基础资料!$Q$5:$Q$54,K2596)=0),"✗ 供应商不在基础资料里",IF(AND(P2596="费用",L2596=""),"✗ 费用支出要选费用项目",IF(AND(L2596&lt;&gt;"",COUNTIF(基础资料!$AI$5:$AI$54,L2596)=0),"✗ 费用项目不在基础资料里",IF(AND(IFERROR(INDEX(基础资料!$AD$5:$AD$34,MATCH(O2596,基础资料!$AC$5:$AC$34,0)),"")="收",N(G2596)&lt;&gt;0),"✗ 这类是收款，金额填到收入列",IF(AND(IFERROR(INDEX(基础资料!$AD$5:$AD$34,MATCH(O2596,基础资料!$AC$5:$AC$34,0)),"")="支",N(F2596)&lt;&gt;0),"✗ 这类是付款，金额填到支出列",IF(N(H2596)&lt;0,"⚠ 账户余额成负数了，核对一下","√"))))))))))))))))))</f>
      </c>
      <c r="O2596" s="78">
        <f>IF(D2596&lt;&gt;"",D2596,IF(AND(F2596="",G2596=""),"",IF(J2596&lt;&gt;"",IF(N(F2596)&gt;0,"客户回款","客户退款"),IF(K2596&lt;&gt;"",IF(N(G2596)&gt;0,"供应商付款","供应商退款"),IF(L2596&lt;&gt;"","费用支出","")))))</f>
      </c>
      <c r="P2596" s="78">
        <f>IF(O2596="","",IFERROR(INDEX(基础资料!$AE$5:$AE$34,MATCH(O2596,基础资料!$AC$5:$AC$34,0)),"未知"))</f>
      </c>
      <c r="Q2596" s="78">
        <f>IF(P2596="应收",COUNTIF(P$7:P2596,"应收"),"")</f>
      </c>
      <c r="R2596" s="78">
        <f>IF(P2596="应付",COUNTIF(P$7:P2596,"应付"),"")</f>
      </c>
      <c r="S2596" s="78">
        <f>N(F2596)-N(G2596)</f>
        <v>0</v>
      </c>
    </row>
    <row r="2597">
      <c r="A2597" s="109">
        <f>IF(AND(F2597="",G2597=""),"",ROW()-6)</f>
      </c>
      <c r="B2597" s="140" t="n"/>
      <c r="C2597" s="141" t="n"/>
      <c r="D2597" s="141" t="n"/>
      <c r="E2597" s="142" t="n"/>
      <c r="F2597" s="143" t="n"/>
      <c r="G2597" s="144" t="n"/>
      <c r="H2597" s="145">
        <f>IF(OR(C2597="",AND(F2597="",G2597="")),"",SUMIF(基础资料!$W$5:$W$24,C2597,基础资料!$X$5:$X$24)+SUMIF(C$7:C2597,C2597,F$7:F2597)-SUMIF(C$7:C2597,C2597,G$7:G2597))</f>
      </c>
      <c r="I2597" s="145">
        <f>IF(AND(F2597="",G2597=""),"",SUM(基础资料!$X$5:$X$24)+SUM(F$7:F2597)-SUM(G$7:G2597))</f>
      </c>
      <c r="J2597" s="141" t="n"/>
      <c r="K2597" s="141" t="n"/>
      <c r="L2597" s="141" t="n"/>
      <c r="M2597" s="142" t="n"/>
      <c r="N2597" s="146">
        <f>IF(AND(AND(F2597="",G2597=""),B2597="",C2597="",D2597="",J2597="",K2597="",L2597=""),"",IF(AND(F2597="",G2597=""),"✗ 没填金额",IF(AND(N(F2597)&lt;&gt;0,N(G2597)&lt;&gt;0),"✗ 收入、支出只能填一边",IF(NOT(ISNUMBER(B2597)),"✗ 日期不是真日期（要像 2026/9/25 这样填）",IF(OR(B2597&lt;年初日,B2597&gt;年末日),"✗ 日期不在本会计年度",IF(C2597="","✗ 没选账户",IF(COUNTIF(基础资料!$W$5:$W$24,C2597)=0,"✗ 账户不在基础资料里",IF(O2597="","✗ 没选收支项目",IF(P2597="未知","✗ 收支项目不在基础资料里",IF(AND(P2597="应收",J2597=""),"✗ 这笔要选客户",IF(AND(P2597="应收",COUNTIF(总览汇总!$B$5:$B$304,J2597)=0),"✗ 客户不在总览汇总名单里",IF(AND(P2597="应付",K2597=""),"✗ 这笔要选供应商",IF(AND(P2597="应付",COUNTIF(基础资料!$Q$5:$Q$54,K2597)=0),"✗ 供应商不在基础资料里",IF(AND(P2597="费用",L2597=""),"✗ 费用支出要选费用项目",IF(AND(L2597&lt;&gt;"",COUNTIF(基础资料!$AI$5:$AI$54,L2597)=0),"✗ 费用项目不在基础资料里",IF(AND(IFERROR(INDEX(基础资料!$AD$5:$AD$34,MATCH(O2597,基础资料!$AC$5:$AC$34,0)),"")="收",N(G2597)&lt;&gt;0),"✗ 这类是收款，金额填到收入列",IF(AND(IFERROR(INDEX(基础资料!$AD$5:$AD$34,MATCH(O2597,基础资料!$AC$5:$AC$34,0)),"")="支",N(F2597)&lt;&gt;0),"✗ 这类是付款，金额填到支出列",IF(N(H2597)&lt;0,"⚠ 账户余额成负数了，核对一下","√"))))))))))))))))))</f>
      </c>
      <c r="O2597" s="78">
        <f>IF(D2597&lt;&gt;"",D2597,IF(AND(F2597="",G2597=""),"",IF(J2597&lt;&gt;"",IF(N(F2597)&gt;0,"客户回款","客户退款"),IF(K2597&lt;&gt;"",IF(N(G2597)&gt;0,"供应商付款","供应商退款"),IF(L2597&lt;&gt;"","费用支出","")))))</f>
      </c>
      <c r="P2597" s="78">
        <f>IF(O2597="","",IFERROR(INDEX(基础资料!$AE$5:$AE$34,MATCH(O2597,基础资料!$AC$5:$AC$34,0)),"未知"))</f>
      </c>
      <c r="Q2597" s="78">
        <f>IF(P2597="应收",COUNTIF(P$7:P2597,"应收"),"")</f>
      </c>
      <c r="R2597" s="78">
        <f>IF(P2597="应付",COUNTIF(P$7:P2597,"应付"),"")</f>
      </c>
      <c r="S2597" s="78">
        <f>N(F2597)-N(G2597)</f>
        <v>0</v>
      </c>
    </row>
    <row r="2598">
      <c r="A2598" s="109">
        <f>IF(AND(F2598="",G2598=""),"",ROW()-6)</f>
      </c>
      <c r="B2598" s="140" t="n"/>
      <c r="C2598" s="141" t="n"/>
      <c r="D2598" s="141" t="n"/>
      <c r="E2598" s="142" t="n"/>
      <c r="F2598" s="143" t="n"/>
      <c r="G2598" s="144" t="n"/>
      <c r="H2598" s="145">
        <f>IF(OR(C2598="",AND(F2598="",G2598="")),"",SUMIF(基础资料!$W$5:$W$24,C2598,基础资料!$X$5:$X$24)+SUMIF(C$7:C2598,C2598,F$7:F2598)-SUMIF(C$7:C2598,C2598,G$7:G2598))</f>
      </c>
      <c r="I2598" s="145">
        <f>IF(AND(F2598="",G2598=""),"",SUM(基础资料!$X$5:$X$24)+SUM(F$7:F2598)-SUM(G$7:G2598))</f>
      </c>
      <c r="J2598" s="141" t="n"/>
      <c r="K2598" s="141" t="n"/>
      <c r="L2598" s="141" t="n"/>
      <c r="M2598" s="142" t="n"/>
      <c r="N2598" s="146">
        <f>IF(AND(AND(F2598="",G2598=""),B2598="",C2598="",D2598="",J2598="",K2598="",L2598=""),"",IF(AND(F2598="",G2598=""),"✗ 没填金额",IF(AND(N(F2598)&lt;&gt;0,N(G2598)&lt;&gt;0),"✗ 收入、支出只能填一边",IF(NOT(ISNUMBER(B2598)),"✗ 日期不是真日期（要像 2026/9/25 这样填）",IF(OR(B2598&lt;年初日,B2598&gt;年末日),"✗ 日期不在本会计年度",IF(C2598="","✗ 没选账户",IF(COUNTIF(基础资料!$W$5:$W$24,C2598)=0,"✗ 账户不在基础资料里",IF(O2598="","✗ 没选收支项目",IF(P2598="未知","✗ 收支项目不在基础资料里",IF(AND(P2598="应收",J2598=""),"✗ 这笔要选客户",IF(AND(P2598="应收",COUNTIF(总览汇总!$B$5:$B$304,J2598)=0),"✗ 客户不在总览汇总名单里",IF(AND(P2598="应付",K2598=""),"✗ 这笔要选供应商",IF(AND(P2598="应付",COUNTIF(基础资料!$Q$5:$Q$54,K2598)=0),"✗ 供应商不在基础资料里",IF(AND(P2598="费用",L2598=""),"✗ 费用支出要选费用项目",IF(AND(L2598&lt;&gt;"",COUNTIF(基础资料!$AI$5:$AI$54,L2598)=0),"✗ 费用项目不在基础资料里",IF(AND(IFERROR(INDEX(基础资料!$AD$5:$AD$34,MATCH(O2598,基础资料!$AC$5:$AC$34,0)),"")="收",N(G2598)&lt;&gt;0),"✗ 这类是收款，金额填到收入列",IF(AND(IFERROR(INDEX(基础资料!$AD$5:$AD$34,MATCH(O2598,基础资料!$AC$5:$AC$34,0)),"")="支",N(F2598)&lt;&gt;0),"✗ 这类是付款，金额填到支出列",IF(N(H2598)&lt;0,"⚠ 账户余额成负数了，核对一下","√"))))))))))))))))))</f>
      </c>
      <c r="O2598" s="78">
        <f>IF(D2598&lt;&gt;"",D2598,IF(AND(F2598="",G2598=""),"",IF(J2598&lt;&gt;"",IF(N(F2598)&gt;0,"客户回款","客户退款"),IF(K2598&lt;&gt;"",IF(N(G2598)&gt;0,"供应商付款","供应商退款"),IF(L2598&lt;&gt;"","费用支出","")))))</f>
      </c>
      <c r="P2598" s="78">
        <f>IF(O2598="","",IFERROR(INDEX(基础资料!$AE$5:$AE$34,MATCH(O2598,基础资料!$AC$5:$AC$34,0)),"未知"))</f>
      </c>
      <c r="Q2598" s="78">
        <f>IF(P2598="应收",COUNTIF(P$7:P2598,"应收"),"")</f>
      </c>
      <c r="R2598" s="78">
        <f>IF(P2598="应付",COUNTIF(P$7:P2598,"应付"),"")</f>
      </c>
      <c r="S2598" s="78">
        <f>N(F2598)-N(G2598)</f>
        <v>0</v>
      </c>
    </row>
    <row r="2599">
      <c r="A2599" s="109">
        <f>IF(AND(F2599="",G2599=""),"",ROW()-6)</f>
      </c>
      <c r="B2599" s="140" t="n"/>
      <c r="C2599" s="141" t="n"/>
      <c r="D2599" s="141" t="n"/>
      <c r="E2599" s="142" t="n"/>
      <c r="F2599" s="143" t="n"/>
      <c r="G2599" s="144" t="n"/>
      <c r="H2599" s="145">
        <f>IF(OR(C2599="",AND(F2599="",G2599="")),"",SUMIF(基础资料!$W$5:$W$24,C2599,基础资料!$X$5:$X$24)+SUMIF(C$7:C2599,C2599,F$7:F2599)-SUMIF(C$7:C2599,C2599,G$7:G2599))</f>
      </c>
      <c r="I2599" s="145">
        <f>IF(AND(F2599="",G2599=""),"",SUM(基础资料!$X$5:$X$24)+SUM(F$7:F2599)-SUM(G$7:G2599))</f>
      </c>
      <c r="J2599" s="141" t="n"/>
      <c r="K2599" s="141" t="n"/>
      <c r="L2599" s="141" t="n"/>
      <c r="M2599" s="142" t="n"/>
      <c r="N2599" s="146">
        <f>IF(AND(AND(F2599="",G2599=""),B2599="",C2599="",D2599="",J2599="",K2599="",L2599=""),"",IF(AND(F2599="",G2599=""),"✗ 没填金额",IF(AND(N(F2599)&lt;&gt;0,N(G2599)&lt;&gt;0),"✗ 收入、支出只能填一边",IF(NOT(ISNUMBER(B2599)),"✗ 日期不是真日期（要像 2026/9/25 这样填）",IF(OR(B2599&lt;年初日,B2599&gt;年末日),"✗ 日期不在本会计年度",IF(C2599="","✗ 没选账户",IF(COUNTIF(基础资料!$W$5:$W$24,C2599)=0,"✗ 账户不在基础资料里",IF(O2599="","✗ 没选收支项目",IF(P2599="未知","✗ 收支项目不在基础资料里",IF(AND(P2599="应收",J2599=""),"✗ 这笔要选客户",IF(AND(P2599="应收",COUNTIF(总览汇总!$B$5:$B$304,J2599)=0),"✗ 客户不在总览汇总名单里",IF(AND(P2599="应付",K2599=""),"✗ 这笔要选供应商",IF(AND(P2599="应付",COUNTIF(基础资料!$Q$5:$Q$54,K2599)=0),"✗ 供应商不在基础资料里",IF(AND(P2599="费用",L2599=""),"✗ 费用支出要选费用项目",IF(AND(L2599&lt;&gt;"",COUNTIF(基础资料!$AI$5:$AI$54,L2599)=0),"✗ 费用项目不在基础资料里",IF(AND(IFERROR(INDEX(基础资料!$AD$5:$AD$34,MATCH(O2599,基础资料!$AC$5:$AC$34,0)),"")="收",N(G2599)&lt;&gt;0),"✗ 这类是收款，金额填到收入列",IF(AND(IFERROR(INDEX(基础资料!$AD$5:$AD$34,MATCH(O2599,基础资料!$AC$5:$AC$34,0)),"")="支",N(F2599)&lt;&gt;0),"✗ 这类是付款，金额填到支出列",IF(N(H2599)&lt;0,"⚠ 账户余额成负数了，核对一下","√"))))))))))))))))))</f>
      </c>
      <c r="O2599" s="78">
        <f>IF(D2599&lt;&gt;"",D2599,IF(AND(F2599="",G2599=""),"",IF(J2599&lt;&gt;"",IF(N(F2599)&gt;0,"客户回款","客户退款"),IF(K2599&lt;&gt;"",IF(N(G2599)&gt;0,"供应商付款","供应商退款"),IF(L2599&lt;&gt;"","费用支出","")))))</f>
      </c>
      <c r="P2599" s="78">
        <f>IF(O2599="","",IFERROR(INDEX(基础资料!$AE$5:$AE$34,MATCH(O2599,基础资料!$AC$5:$AC$34,0)),"未知"))</f>
      </c>
      <c r="Q2599" s="78">
        <f>IF(P2599="应收",COUNTIF(P$7:P2599,"应收"),"")</f>
      </c>
      <c r="R2599" s="78">
        <f>IF(P2599="应付",COUNTIF(P$7:P2599,"应付"),"")</f>
      </c>
      <c r="S2599" s="78">
        <f>N(F2599)-N(G2599)</f>
        <v>0</v>
      </c>
    </row>
    <row r="2600">
      <c r="A2600" s="109">
        <f>IF(AND(F2600="",G2600=""),"",ROW()-6)</f>
      </c>
      <c r="B2600" s="140" t="n"/>
      <c r="C2600" s="141" t="n"/>
      <c r="D2600" s="141" t="n"/>
      <c r="E2600" s="142" t="n"/>
      <c r="F2600" s="143" t="n"/>
      <c r="G2600" s="144" t="n"/>
      <c r="H2600" s="145">
        <f>IF(OR(C2600="",AND(F2600="",G2600="")),"",SUMIF(基础资料!$W$5:$W$24,C2600,基础资料!$X$5:$X$24)+SUMIF(C$7:C2600,C2600,F$7:F2600)-SUMIF(C$7:C2600,C2600,G$7:G2600))</f>
      </c>
      <c r="I2600" s="145">
        <f>IF(AND(F2600="",G2600=""),"",SUM(基础资料!$X$5:$X$24)+SUM(F$7:F2600)-SUM(G$7:G2600))</f>
      </c>
      <c r="J2600" s="141" t="n"/>
      <c r="K2600" s="141" t="n"/>
      <c r="L2600" s="141" t="n"/>
      <c r="M2600" s="142" t="n"/>
      <c r="N2600" s="146">
        <f>IF(AND(AND(F2600="",G2600=""),B2600="",C2600="",D2600="",J2600="",K2600="",L2600=""),"",IF(AND(F2600="",G2600=""),"✗ 没填金额",IF(AND(N(F2600)&lt;&gt;0,N(G2600)&lt;&gt;0),"✗ 收入、支出只能填一边",IF(NOT(ISNUMBER(B2600)),"✗ 日期不是真日期（要像 2026/9/25 这样填）",IF(OR(B2600&lt;年初日,B2600&gt;年末日),"✗ 日期不在本会计年度",IF(C2600="","✗ 没选账户",IF(COUNTIF(基础资料!$W$5:$W$24,C2600)=0,"✗ 账户不在基础资料里",IF(O2600="","✗ 没选收支项目",IF(P2600="未知","✗ 收支项目不在基础资料里",IF(AND(P2600="应收",J2600=""),"✗ 这笔要选客户",IF(AND(P2600="应收",COUNTIF(总览汇总!$B$5:$B$304,J2600)=0),"✗ 客户不在总览汇总名单里",IF(AND(P2600="应付",K2600=""),"✗ 这笔要选供应商",IF(AND(P2600="应付",COUNTIF(基础资料!$Q$5:$Q$54,K2600)=0),"✗ 供应商不在基础资料里",IF(AND(P2600="费用",L2600=""),"✗ 费用支出要选费用项目",IF(AND(L2600&lt;&gt;"",COUNTIF(基础资料!$AI$5:$AI$54,L2600)=0),"✗ 费用项目不在基础资料里",IF(AND(IFERROR(INDEX(基础资料!$AD$5:$AD$34,MATCH(O2600,基础资料!$AC$5:$AC$34,0)),"")="收",N(G2600)&lt;&gt;0),"✗ 这类是收款，金额填到收入列",IF(AND(IFERROR(INDEX(基础资料!$AD$5:$AD$34,MATCH(O2600,基础资料!$AC$5:$AC$34,0)),"")="支",N(F2600)&lt;&gt;0),"✗ 这类是付款，金额填到支出列",IF(N(H2600)&lt;0,"⚠ 账户余额成负数了，核对一下","√"))))))))))))))))))</f>
      </c>
      <c r="O2600" s="78">
        <f>IF(D2600&lt;&gt;"",D2600,IF(AND(F2600="",G2600=""),"",IF(J2600&lt;&gt;"",IF(N(F2600)&gt;0,"客户回款","客户退款"),IF(K2600&lt;&gt;"",IF(N(G2600)&gt;0,"供应商付款","供应商退款"),IF(L2600&lt;&gt;"","费用支出","")))))</f>
      </c>
      <c r="P2600" s="78">
        <f>IF(O2600="","",IFERROR(INDEX(基础资料!$AE$5:$AE$34,MATCH(O2600,基础资料!$AC$5:$AC$34,0)),"未知"))</f>
      </c>
      <c r="Q2600" s="78">
        <f>IF(P2600="应收",COUNTIF(P$7:P2600,"应收"),"")</f>
      </c>
      <c r="R2600" s="78">
        <f>IF(P2600="应付",COUNTIF(P$7:P2600,"应付"),"")</f>
      </c>
      <c r="S2600" s="78">
        <f>N(F2600)-N(G2600)</f>
        <v>0</v>
      </c>
    </row>
    <row r="2601">
      <c r="A2601" s="109">
        <f>IF(AND(F2601="",G2601=""),"",ROW()-6)</f>
      </c>
      <c r="B2601" s="140" t="n"/>
      <c r="C2601" s="141" t="n"/>
      <c r="D2601" s="141" t="n"/>
      <c r="E2601" s="142" t="n"/>
      <c r="F2601" s="143" t="n"/>
      <c r="G2601" s="144" t="n"/>
      <c r="H2601" s="145">
        <f>IF(OR(C2601="",AND(F2601="",G2601="")),"",SUMIF(基础资料!$W$5:$W$24,C2601,基础资料!$X$5:$X$24)+SUMIF(C$7:C2601,C2601,F$7:F2601)-SUMIF(C$7:C2601,C2601,G$7:G2601))</f>
      </c>
      <c r="I2601" s="145">
        <f>IF(AND(F2601="",G2601=""),"",SUM(基础资料!$X$5:$X$24)+SUM(F$7:F2601)-SUM(G$7:G2601))</f>
      </c>
      <c r="J2601" s="141" t="n"/>
      <c r="K2601" s="141" t="n"/>
      <c r="L2601" s="141" t="n"/>
      <c r="M2601" s="142" t="n"/>
      <c r="N2601" s="146">
        <f>IF(AND(AND(F2601="",G2601=""),B2601="",C2601="",D2601="",J2601="",K2601="",L2601=""),"",IF(AND(F2601="",G2601=""),"✗ 没填金额",IF(AND(N(F2601)&lt;&gt;0,N(G2601)&lt;&gt;0),"✗ 收入、支出只能填一边",IF(NOT(ISNUMBER(B2601)),"✗ 日期不是真日期（要像 2026/9/25 这样填）",IF(OR(B2601&lt;年初日,B2601&gt;年末日),"✗ 日期不在本会计年度",IF(C2601="","✗ 没选账户",IF(COUNTIF(基础资料!$W$5:$W$24,C2601)=0,"✗ 账户不在基础资料里",IF(O2601="","✗ 没选收支项目",IF(P2601="未知","✗ 收支项目不在基础资料里",IF(AND(P2601="应收",J2601=""),"✗ 这笔要选客户",IF(AND(P2601="应收",COUNTIF(总览汇总!$B$5:$B$304,J2601)=0),"✗ 客户不在总览汇总名单里",IF(AND(P2601="应付",K2601=""),"✗ 这笔要选供应商",IF(AND(P2601="应付",COUNTIF(基础资料!$Q$5:$Q$54,K2601)=0),"✗ 供应商不在基础资料里",IF(AND(P2601="费用",L2601=""),"✗ 费用支出要选费用项目",IF(AND(L2601&lt;&gt;"",COUNTIF(基础资料!$AI$5:$AI$54,L2601)=0),"✗ 费用项目不在基础资料里",IF(AND(IFERROR(INDEX(基础资料!$AD$5:$AD$34,MATCH(O2601,基础资料!$AC$5:$AC$34,0)),"")="收",N(G2601)&lt;&gt;0),"✗ 这类是收款，金额填到收入列",IF(AND(IFERROR(INDEX(基础资料!$AD$5:$AD$34,MATCH(O2601,基础资料!$AC$5:$AC$34,0)),"")="支",N(F2601)&lt;&gt;0),"✗ 这类是付款，金额填到支出列",IF(N(H2601)&lt;0,"⚠ 账户余额成负数了，核对一下","√"))))))))))))))))))</f>
      </c>
      <c r="O2601" s="78">
        <f>IF(D2601&lt;&gt;"",D2601,IF(AND(F2601="",G2601=""),"",IF(J2601&lt;&gt;"",IF(N(F2601)&gt;0,"客户回款","客户退款"),IF(K2601&lt;&gt;"",IF(N(G2601)&gt;0,"供应商付款","供应商退款"),IF(L2601&lt;&gt;"","费用支出","")))))</f>
      </c>
      <c r="P2601" s="78">
        <f>IF(O2601="","",IFERROR(INDEX(基础资料!$AE$5:$AE$34,MATCH(O2601,基础资料!$AC$5:$AC$34,0)),"未知"))</f>
      </c>
      <c r="Q2601" s="78">
        <f>IF(P2601="应收",COUNTIF(P$7:P2601,"应收"),"")</f>
      </c>
      <c r="R2601" s="78">
        <f>IF(P2601="应付",COUNTIF(P$7:P2601,"应付"),"")</f>
      </c>
      <c r="S2601" s="78">
        <f>N(F2601)-N(G2601)</f>
        <v>0</v>
      </c>
    </row>
    <row r="2602">
      <c r="A2602" s="109">
        <f>IF(AND(F2602="",G2602=""),"",ROW()-6)</f>
      </c>
      <c r="B2602" s="140" t="n"/>
      <c r="C2602" s="141" t="n"/>
      <c r="D2602" s="141" t="n"/>
      <c r="E2602" s="142" t="n"/>
      <c r="F2602" s="143" t="n"/>
      <c r="G2602" s="144" t="n"/>
      <c r="H2602" s="145">
        <f>IF(OR(C2602="",AND(F2602="",G2602="")),"",SUMIF(基础资料!$W$5:$W$24,C2602,基础资料!$X$5:$X$24)+SUMIF(C$7:C2602,C2602,F$7:F2602)-SUMIF(C$7:C2602,C2602,G$7:G2602))</f>
      </c>
      <c r="I2602" s="145">
        <f>IF(AND(F2602="",G2602=""),"",SUM(基础资料!$X$5:$X$24)+SUM(F$7:F2602)-SUM(G$7:G2602))</f>
      </c>
      <c r="J2602" s="141" t="n"/>
      <c r="K2602" s="141" t="n"/>
      <c r="L2602" s="141" t="n"/>
      <c r="M2602" s="142" t="n"/>
      <c r="N2602" s="146">
        <f>IF(AND(AND(F2602="",G2602=""),B2602="",C2602="",D2602="",J2602="",K2602="",L2602=""),"",IF(AND(F2602="",G2602=""),"✗ 没填金额",IF(AND(N(F2602)&lt;&gt;0,N(G2602)&lt;&gt;0),"✗ 收入、支出只能填一边",IF(NOT(ISNUMBER(B2602)),"✗ 日期不是真日期（要像 2026/9/25 这样填）",IF(OR(B2602&lt;年初日,B2602&gt;年末日),"✗ 日期不在本会计年度",IF(C2602="","✗ 没选账户",IF(COUNTIF(基础资料!$W$5:$W$24,C2602)=0,"✗ 账户不在基础资料里",IF(O2602="","✗ 没选收支项目",IF(P2602="未知","✗ 收支项目不在基础资料里",IF(AND(P2602="应收",J2602=""),"✗ 这笔要选客户",IF(AND(P2602="应收",COUNTIF(总览汇总!$B$5:$B$304,J2602)=0),"✗ 客户不在总览汇总名单里",IF(AND(P2602="应付",K2602=""),"✗ 这笔要选供应商",IF(AND(P2602="应付",COUNTIF(基础资料!$Q$5:$Q$54,K2602)=0),"✗ 供应商不在基础资料里",IF(AND(P2602="费用",L2602=""),"✗ 费用支出要选费用项目",IF(AND(L2602&lt;&gt;"",COUNTIF(基础资料!$AI$5:$AI$54,L2602)=0),"✗ 费用项目不在基础资料里",IF(AND(IFERROR(INDEX(基础资料!$AD$5:$AD$34,MATCH(O2602,基础资料!$AC$5:$AC$34,0)),"")="收",N(G2602)&lt;&gt;0),"✗ 这类是收款，金额填到收入列",IF(AND(IFERROR(INDEX(基础资料!$AD$5:$AD$34,MATCH(O2602,基础资料!$AC$5:$AC$34,0)),"")="支",N(F2602)&lt;&gt;0),"✗ 这类是付款，金额填到支出列",IF(N(H2602)&lt;0,"⚠ 账户余额成负数了，核对一下","√"))))))))))))))))))</f>
      </c>
      <c r="O2602" s="78">
        <f>IF(D2602&lt;&gt;"",D2602,IF(AND(F2602="",G2602=""),"",IF(J2602&lt;&gt;"",IF(N(F2602)&gt;0,"客户回款","客户退款"),IF(K2602&lt;&gt;"",IF(N(G2602)&gt;0,"供应商付款","供应商退款"),IF(L2602&lt;&gt;"","费用支出","")))))</f>
      </c>
      <c r="P2602" s="78">
        <f>IF(O2602="","",IFERROR(INDEX(基础资料!$AE$5:$AE$34,MATCH(O2602,基础资料!$AC$5:$AC$34,0)),"未知"))</f>
      </c>
      <c r="Q2602" s="78">
        <f>IF(P2602="应收",COUNTIF(P$7:P2602,"应收"),"")</f>
      </c>
      <c r="R2602" s="78">
        <f>IF(P2602="应付",COUNTIF(P$7:P2602,"应付"),"")</f>
      </c>
      <c r="S2602" s="78">
        <f>N(F2602)-N(G2602)</f>
        <v>0</v>
      </c>
    </row>
    <row r="2603">
      <c r="A2603" s="109">
        <f>IF(AND(F2603="",G2603=""),"",ROW()-6)</f>
      </c>
      <c r="B2603" s="140" t="n"/>
      <c r="C2603" s="141" t="n"/>
      <c r="D2603" s="141" t="n"/>
      <c r="E2603" s="142" t="n"/>
      <c r="F2603" s="143" t="n"/>
      <c r="G2603" s="144" t="n"/>
      <c r="H2603" s="145">
        <f>IF(OR(C2603="",AND(F2603="",G2603="")),"",SUMIF(基础资料!$W$5:$W$24,C2603,基础资料!$X$5:$X$24)+SUMIF(C$7:C2603,C2603,F$7:F2603)-SUMIF(C$7:C2603,C2603,G$7:G2603))</f>
      </c>
      <c r="I2603" s="145">
        <f>IF(AND(F2603="",G2603=""),"",SUM(基础资料!$X$5:$X$24)+SUM(F$7:F2603)-SUM(G$7:G2603))</f>
      </c>
      <c r="J2603" s="141" t="n"/>
      <c r="K2603" s="141" t="n"/>
      <c r="L2603" s="141" t="n"/>
      <c r="M2603" s="142" t="n"/>
      <c r="N2603" s="146">
        <f>IF(AND(AND(F2603="",G2603=""),B2603="",C2603="",D2603="",J2603="",K2603="",L2603=""),"",IF(AND(F2603="",G2603=""),"✗ 没填金额",IF(AND(N(F2603)&lt;&gt;0,N(G2603)&lt;&gt;0),"✗ 收入、支出只能填一边",IF(NOT(ISNUMBER(B2603)),"✗ 日期不是真日期（要像 2026/9/25 这样填）",IF(OR(B2603&lt;年初日,B2603&gt;年末日),"✗ 日期不在本会计年度",IF(C2603="","✗ 没选账户",IF(COUNTIF(基础资料!$W$5:$W$24,C2603)=0,"✗ 账户不在基础资料里",IF(O2603="","✗ 没选收支项目",IF(P2603="未知","✗ 收支项目不在基础资料里",IF(AND(P2603="应收",J2603=""),"✗ 这笔要选客户",IF(AND(P2603="应收",COUNTIF(总览汇总!$B$5:$B$304,J2603)=0),"✗ 客户不在总览汇总名单里",IF(AND(P2603="应付",K2603=""),"✗ 这笔要选供应商",IF(AND(P2603="应付",COUNTIF(基础资料!$Q$5:$Q$54,K2603)=0),"✗ 供应商不在基础资料里",IF(AND(P2603="费用",L2603=""),"✗ 费用支出要选费用项目",IF(AND(L2603&lt;&gt;"",COUNTIF(基础资料!$AI$5:$AI$54,L2603)=0),"✗ 费用项目不在基础资料里",IF(AND(IFERROR(INDEX(基础资料!$AD$5:$AD$34,MATCH(O2603,基础资料!$AC$5:$AC$34,0)),"")="收",N(G2603)&lt;&gt;0),"✗ 这类是收款，金额填到收入列",IF(AND(IFERROR(INDEX(基础资料!$AD$5:$AD$34,MATCH(O2603,基础资料!$AC$5:$AC$34,0)),"")="支",N(F2603)&lt;&gt;0),"✗ 这类是付款，金额填到支出列",IF(N(H2603)&lt;0,"⚠ 账户余额成负数了，核对一下","√"))))))))))))))))))</f>
      </c>
      <c r="O2603" s="78">
        <f>IF(D2603&lt;&gt;"",D2603,IF(AND(F2603="",G2603=""),"",IF(J2603&lt;&gt;"",IF(N(F2603)&gt;0,"客户回款","客户退款"),IF(K2603&lt;&gt;"",IF(N(G2603)&gt;0,"供应商付款","供应商退款"),IF(L2603&lt;&gt;"","费用支出","")))))</f>
      </c>
      <c r="P2603" s="78">
        <f>IF(O2603="","",IFERROR(INDEX(基础资料!$AE$5:$AE$34,MATCH(O2603,基础资料!$AC$5:$AC$34,0)),"未知"))</f>
      </c>
      <c r="Q2603" s="78">
        <f>IF(P2603="应收",COUNTIF(P$7:P2603,"应收"),"")</f>
      </c>
      <c r="R2603" s="78">
        <f>IF(P2603="应付",COUNTIF(P$7:P2603,"应付"),"")</f>
      </c>
      <c r="S2603" s="78">
        <f>N(F2603)-N(G2603)</f>
        <v>0</v>
      </c>
    </row>
    <row r="2604">
      <c r="A2604" s="109">
        <f>IF(AND(F2604="",G2604=""),"",ROW()-6)</f>
      </c>
      <c r="B2604" s="140" t="n"/>
      <c r="C2604" s="141" t="n"/>
      <c r="D2604" s="141" t="n"/>
      <c r="E2604" s="142" t="n"/>
      <c r="F2604" s="143" t="n"/>
      <c r="G2604" s="144" t="n"/>
      <c r="H2604" s="145">
        <f>IF(OR(C2604="",AND(F2604="",G2604="")),"",SUMIF(基础资料!$W$5:$W$24,C2604,基础资料!$X$5:$X$24)+SUMIF(C$7:C2604,C2604,F$7:F2604)-SUMIF(C$7:C2604,C2604,G$7:G2604))</f>
      </c>
      <c r="I2604" s="145">
        <f>IF(AND(F2604="",G2604=""),"",SUM(基础资料!$X$5:$X$24)+SUM(F$7:F2604)-SUM(G$7:G2604))</f>
      </c>
      <c r="J2604" s="141" t="n"/>
      <c r="K2604" s="141" t="n"/>
      <c r="L2604" s="141" t="n"/>
      <c r="M2604" s="142" t="n"/>
      <c r="N2604" s="146">
        <f>IF(AND(AND(F2604="",G2604=""),B2604="",C2604="",D2604="",J2604="",K2604="",L2604=""),"",IF(AND(F2604="",G2604=""),"✗ 没填金额",IF(AND(N(F2604)&lt;&gt;0,N(G2604)&lt;&gt;0),"✗ 收入、支出只能填一边",IF(NOT(ISNUMBER(B2604)),"✗ 日期不是真日期（要像 2026/9/25 这样填）",IF(OR(B2604&lt;年初日,B2604&gt;年末日),"✗ 日期不在本会计年度",IF(C2604="","✗ 没选账户",IF(COUNTIF(基础资料!$W$5:$W$24,C2604)=0,"✗ 账户不在基础资料里",IF(O2604="","✗ 没选收支项目",IF(P2604="未知","✗ 收支项目不在基础资料里",IF(AND(P2604="应收",J2604=""),"✗ 这笔要选客户",IF(AND(P2604="应收",COUNTIF(总览汇总!$B$5:$B$304,J2604)=0),"✗ 客户不在总览汇总名单里",IF(AND(P2604="应付",K2604=""),"✗ 这笔要选供应商",IF(AND(P2604="应付",COUNTIF(基础资料!$Q$5:$Q$54,K2604)=0),"✗ 供应商不在基础资料里",IF(AND(P2604="费用",L2604=""),"✗ 费用支出要选费用项目",IF(AND(L2604&lt;&gt;"",COUNTIF(基础资料!$AI$5:$AI$54,L2604)=0),"✗ 费用项目不在基础资料里",IF(AND(IFERROR(INDEX(基础资料!$AD$5:$AD$34,MATCH(O2604,基础资料!$AC$5:$AC$34,0)),"")="收",N(G2604)&lt;&gt;0),"✗ 这类是收款，金额填到收入列",IF(AND(IFERROR(INDEX(基础资料!$AD$5:$AD$34,MATCH(O2604,基础资料!$AC$5:$AC$34,0)),"")="支",N(F2604)&lt;&gt;0),"✗ 这类是付款，金额填到支出列",IF(N(H2604)&lt;0,"⚠ 账户余额成负数了，核对一下","√"))))))))))))))))))</f>
      </c>
      <c r="O2604" s="78">
        <f>IF(D2604&lt;&gt;"",D2604,IF(AND(F2604="",G2604=""),"",IF(J2604&lt;&gt;"",IF(N(F2604)&gt;0,"客户回款","客户退款"),IF(K2604&lt;&gt;"",IF(N(G2604)&gt;0,"供应商付款","供应商退款"),IF(L2604&lt;&gt;"","费用支出","")))))</f>
      </c>
      <c r="P2604" s="78">
        <f>IF(O2604="","",IFERROR(INDEX(基础资料!$AE$5:$AE$34,MATCH(O2604,基础资料!$AC$5:$AC$34,0)),"未知"))</f>
      </c>
      <c r="Q2604" s="78">
        <f>IF(P2604="应收",COUNTIF(P$7:P2604,"应收"),"")</f>
      </c>
      <c r="R2604" s="78">
        <f>IF(P2604="应付",COUNTIF(P$7:P2604,"应付"),"")</f>
      </c>
      <c r="S2604" s="78">
        <f>N(F2604)-N(G2604)</f>
        <v>0</v>
      </c>
    </row>
    <row r="2605">
      <c r="A2605" s="109">
        <f>IF(AND(F2605="",G2605=""),"",ROW()-6)</f>
      </c>
      <c r="B2605" s="140" t="n"/>
      <c r="C2605" s="141" t="n"/>
      <c r="D2605" s="141" t="n"/>
      <c r="E2605" s="142" t="n"/>
      <c r="F2605" s="143" t="n"/>
      <c r="G2605" s="144" t="n"/>
      <c r="H2605" s="145">
        <f>IF(OR(C2605="",AND(F2605="",G2605="")),"",SUMIF(基础资料!$W$5:$W$24,C2605,基础资料!$X$5:$X$24)+SUMIF(C$7:C2605,C2605,F$7:F2605)-SUMIF(C$7:C2605,C2605,G$7:G2605))</f>
      </c>
      <c r="I2605" s="145">
        <f>IF(AND(F2605="",G2605=""),"",SUM(基础资料!$X$5:$X$24)+SUM(F$7:F2605)-SUM(G$7:G2605))</f>
      </c>
      <c r="J2605" s="141" t="n"/>
      <c r="K2605" s="141" t="n"/>
      <c r="L2605" s="141" t="n"/>
      <c r="M2605" s="142" t="n"/>
      <c r="N2605" s="146">
        <f>IF(AND(AND(F2605="",G2605=""),B2605="",C2605="",D2605="",J2605="",K2605="",L2605=""),"",IF(AND(F2605="",G2605=""),"✗ 没填金额",IF(AND(N(F2605)&lt;&gt;0,N(G2605)&lt;&gt;0),"✗ 收入、支出只能填一边",IF(NOT(ISNUMBER(B2605)),"✗ 日期不是真日期（要像 2026/9/25 这样填）",IF(OR(B2605&lt;年初日,B2605&gt;年末日),"✗ 日期不在本会计年度",IF(C2605="","✗ 没选账户",IF(COUNTIF(基础资料!$W$5:$W$24,C2605)=0,"✗ 账户不在基础资料里",IF(O2605="","✗ 没选收支项目",IF(P2605="未知","✗ 收支项目不在基础资料里",IF(AND(P2605="应收",J2605=""),"✗ 这笔要选客户",IF(AND(P2605="应收",COUNTIF(总览汇总!$B$5:$B$304,J2605)=0),"✗ 客户不在总览汇总名单里",IF(AND(P2605="应付",K2605=""),"✗ 这笔要选供应商",IF(AND(P2605="应付",COUNTIF(基础资料!$Q$5:$Q$54,K2605)=0),"✗ 供应商不在基础资料里",IF(AND(P2605="费用",L2605=""),"✗ 费用支出要选费用项目",IF(AND(L2605&lt;&gt;"",COUNTIF(基础资料!$AI$5:$AI$54,L2605)=0),"✗ 费用项目不在基础资料里",IF(AND(IFERROR(INDEX(基础资料!$AD$5:$AD$34,MATCH(O2605,基础资料!$AC$5:$AC$34,0)),"")="收",N(G2605)&lt;&gt;0),"✗ 这类是收款，金额填到收入列",IF(AND(IFERROR(INDEX(基础资料!$AD$5:$AD$34,MATCH(O2605,基础资料!$AC$5:$AC$34,0)),"")="支",N(F2605)&lt;&gt;0),"✗ 这类是付款，金额填到支出列",IF(N(H2605)&lt;0,"⚠ 账户余额成负数了，核对一下","√"))))))))))))))))))</f>
      </c>
      <c r="O2605" s="78">
        <f>IF(D2605&lt;&gt;"",D2605,IF(AND(F2605="",G2605=""),"",IF(J2605&lt;&gt;"",IF(N(F2605)&gt;0,"客户回款","客户退款"),IF(K2605&lt;&gt;"",IF(N(G2605)&gt;0,"供应商付款","供应商退款"),IF(L2605&lt;&gt;"","费用支出","")))))</f>
      </c>
      <c r="P2605" s="78">
        <f>IF(O2605="","",IFERROR(INDEX(基础资料!$AE$5:$AE$34,MATCH(O2605,基础资料!$AC$5:$AC$34,0)),"未知"))</f>
      </c>
      <c r="Q2605" s="78">
        <f>IF(P2605="应收",COUNTIF(P$7:P2605,"应收"),"")</f>
      </c>
      <c r="R2605" s="78">
        <f>IF(P2605="应付",COUNTIF(P$7:P2605,"应付"),"")</f>
      </c>
      <c r="S2605" s="78">
        <f>N(F2605)-N(G2605)</f>
        <v>0</v>
      </c>
    </row>
    <row r="2606">
      <c r="A2606" s="109">
        <f>IF(AND(F2606="",G2606=""),"",ROW()-6)</f>
      </c>
      <c r="B2606" s="140" t="n"/>
      <c r="C2606" s="141" t="n"/>
      <c r="D2606" s="141" t="n"/>
      <c r="E2606" s="142" t="n"/>
      <c r="F2606" s="143" t="n"/>
      <c r="G2606" s="144" t="n"/>
      <c r="H2606" s="145">
        <f>IF(OR(C2606="",AND(F2606="",G2606="")),"",SUMIF(基础资料!$W$5:$W$24,C2606,基础资料!$X$5:$X$24)+SUMIF(C$7:C2606,C2606,F$7:F2606)-SUMIF(C$7:C2606,C2606,G$7:G2606))</f>
      </c>
      <c r="I2606" s="145">
        <f>IF(AND(F2606="",G2606=""),"",SUM(基础资料!$X$5:$X$24)+SUM(F$7:F2606)-SUM(G$7:G2606))</f>
      </c>
      <c r="J2606" s="141" t="n"/>
      <c r="K2606" s="141" t="n"/>
      <c r="L2606" s="141" t="n"/>
      <c r="M2606" s="142" t="n"/>
      <c r="N2606" s="146">
        <f>IF(AND(AND(F2606="",G2606=""),B2606="",C2606="",D2606="",J2606="",K2606="",L2606=""),"",IF(AND(F2606="",G2606=""),"✗ 没填金额",IF(AND(N(F2606)&lt;&gt;0,N(G2606)&lt;&gt;0),"✗ 收入、支出只能填一边",IF(NOT(ISNUMBER(B2606)),"✗ 日期不是真日期（要像 2026/9/25 这样填）",IF(OR(B2606&lt;年初日,B2606&gt;年末日),"✗ 日期不在本会计年度",IF(C2606="","✗ 没选账户",IF(COUNTIF(基础资料!$W$5:$W$24,C2606)=0,"✗ 账户不在基础资料里",IF(O2606="","✗ 没选收支项目",IF(P2606="未知","✗ 收支项目不在基础资料里",IF(AND(P2606="应收",J2606=""),"✗ 这笔要选客户",IF(AND(P2606="应收",COUNTIF(总览汇总!$B$5:$B$304,J2606)=0),"✗ 客户不在总览汇总名单里",IF(AND(P2606="应付",K2606=""),"✗ 这笔要选供应商",IF(AND(P2606="应付",COUNTIF(基础资料!$Q$5:$Q$54,K2606)=0),"✗ 供应商不在基础资料里",IF(AND(P2606="费用",L2606=""),"✗ 费用支出要选费用项目",IF(AND(L2606&lt;&gt;"",COUNTIF(基础资料!$AI$5:$AI$54,L2606)=0),"✗ 费用项目不在基础资料里",IF(AND(IFERROR(INDEX(基础资料!$AD$5:$AD$34,MATCH(O2606,基础资料!$AC$5:$AC$34,0)),"")="收",N(G2606)&lt;&gt;0),"✗ 这类是收款，金额填到收入列",IF(AND(IFERROR(INDEX(基础资料!$AD$5:$AD$34,MATCH(O2606,基础资料!$AC$5:$AC$34,0)),"")="支",N(F2606)&lt;&gt;0),"✗ 这类是付款，金额填到支出列",IF(N(H2606)&lt;0,"⚠ 账户余额成负数了，核对一下","√"))))))))))))))))))</f>
      </c>
      <c r="O2606" s="78">
        <f>IF(D2606&lt;&gt;"",D2606,IF(AND(F2606="",G2606=""),"",IF(J2606&lt;&gt;"",IF(N(F2606)&gt;0,"客户回款","客户退款"),IF(K2606&lt;&gt;"",IF(N(G2606)&gt;0,"供应商付款","供应商退款"),IF(L2606&lt;&gt;"","费用支出","")))))</f>
      </c>
      <c r="P2606" s="78">
        <f>IF(O2606="","",IFERROR(INDEX(基础资料!$AE$5:$AE$34,MATCH(O2606,基础资料!$AC$5:$AC$34,0)),"未知"))</f>
      </c>
      <c r="Q2606" s="78">
        <f>IF(P2606="应收",COUNTIF(P$7:P2606,"应收"),"")</f>
      </c>
      <c r="R2606" s="78">
        <f>IF(P2606="应付",COUNTIF(P$7:P2606,"应付"),"")</f>
      </c>
      <c r="S2606" s="78">
        <f>N(F2606)-N(G2606)</f>
        <v>0</v>
      </c>
    </row>
    <row r="2607">
      <c r="A2607" s="109">
        <f>IF(AND(F2607="",G2607=""),"",ROW()-6)</f>
      </c>
      <c r="B2607" s="140" t="n"/>
      <c r="C2607" s="141" t="n"/>
      <c r="D2607" s="141" t="n"/>
      <c r="E2607" s="142" t="n"/>
      <c r="F2607" s="143" t="n"/>
      <c r="G2607" s="144" t="n"/>
      <c r="H2607" s="145">
        <f>IF(OR(C2607="",AND(F2607="",G2607="")),"",SUMIF(基础资料!$W$5:$W$24,C2607,基础资料!$X$5:$X$24)+SUMIF(C$7:C2607,C2607,F$7:F2607)-SUMIF(C$7:C2607,C2607,G$7:G2607))</f>
      </c>
      <c r="I2607" s="145">
        <f>IF(AND(F2607="",G2607=""),"",SUM(基础资料!$X$5:$X$24)+SUM(F$7:F2607)-SUM(G$7:G2607))</f>
      </c>
      <c r="J2607" s="141" t="n"/>
      <c r="K2607" s="141" t="n"/>
      <c r="L2607" s="141" t="n"/>
      <c r="M2607" s="142" t="n"/>
      <c r="N2607" s="146">
        <f>IF(AND(AND(F2607="",G2607=""),B2607="",C2607="",D2607="",J2607="",K2607="",L2607=""),"",IF(AND(F2607="",G2607=""),"✗ 没填金额",IF(AND(N(F2607)&lt;&gt;0,N(G2607)&lt;&gt;0),"✗ 收入、支出只能填一边",IF(NOT(ISNUMBER(B2607)),"✗ 日期不是真日期（要像 2026/9/25 这样填）",IF(OR(B2607&lt;年初日,B2607&gt;年末日),"✗ 日期不在本会计年度",IF(C2607="","✗ 没选账户",IF(COUNTIF(基础资料!$W$5:$W$24,C2607)=0,"✗ 账户不在基础资料里",IF(O2607="","✗ 没选收支项目",IF(P2607="未知","✗ 收支项目不在基础资料里",IF(AND(P2607="应收",J2607=""),"✗ 这笔要选客户",IF(AND(P2607="应收",COUNTIF(总览汇总!$B$5:$B$304,J2607)=0),"✗ 客户不在总览汇总名单里",IF(AND(P2607="应付",K2607=""),"✗ 这笔要选供应商",IF(AND(P2607="应付",COUNTIF(基础资料!$Q$5:$Q$54,K2607)=0),"✗ 供应商不在基础资料里",IF(AND(P2607="费用",L2607=""),"✗ 费用支出要选费用项目",IF(AND(L2607&lt;&gt;"",COUNTIF(基础资料!$AI$5:$AI$54,L2607)=0),"✗ 费用项目不在基础资料里",IF(AND(IFERROR(INDEX(基础资料!$AD$5:$AD$34,MATCH(O2607,基础资料!$AC$5:$AC$34,0)),"")="收",N(G2607)&lt;&gt;0),"✗ 这类是收款，金额填到收入列",IF(AND(IFERROR(INDEX(基础资料!$AD$5:$AD$34,MATCH(O2607,基础资料!$AC$5:$AC$34,0)),"")="支",N(F2607)&lt;&gt;0),"✗ 这类是付款，金额填到支出列",IF(N(H2607)&lt;0,"⚠ 账户余额成负数了，核对一下","√"))))))))))))))))))</f>
      </c>
      <c r="O2607" s="78">
        <f>IF(D2607&lt;&gt;"",D2607,IF(AND(F2607="",G2607=""),"",IF(J2607&lt;&gt;"",IF(N(F2607)&gt;0,"客户回款","客户退款"),IF(K2607&lt;&gt;"",IF(N(G2607)&gt;0,"供应商付款","供应商退款"),IF(L2607&lt;&gt;"","费用支出","")))))</f>
      </c>
      <c r="P2607" s="78">
        <f>IF(O2607="","",IFERROR(INDEX(基础资料!$AE$5:$AE$34,MATCH(O2607,基础资料!$AC$5:$AC$34,0)),"未知"))</f>
      </c>
      <c r="Q2607" s="78">
        <f>IF(P2607="应收",COUNTIF(P$7:P2607,"应收"),"")</f>
      </c>
      <c r="R2607" s="78">
        <f>IF(P2607="应付",COUNTIF(P$7:P2607,"应付"),"")</f>
      </c>
      <c r="S2607" s="78">
        <f>N(F2607)-N(G2607)</f>
        <v>0</v>
      </c>
    </row>
    <row r="2608">
      <c r="A2608" s="109">
        <f>IF(AND(F2608="",G2608=""),"",ROW()-6)</f>
      </c>
      <c r="B2608" s="140" t="n"/>
      <c r="C2608" s="141" t="n"/>
      <c r="D2608" s="141" t="n"/>
      <c r="E2608" s="142" t="n"/>
      <c r="F2608" s="143" t="n"/>
      <c r="G2608" s="144" t="n"/>
      <c r="H2608" s="145">
        <f>IF(OR(C2608="",AND(F2608="",G2608="")),"",SUMIF(基础资料!$W$5:$W$24,C2608,基础资料!$X$5:$X$24)+SUMIF(C$7:C2608,C2608,F$7:F2608)-SUMIF(C$7:C2608,C2608,G$7:G2608))</f>
      </c>
      <c r="I2608" s="145">
        <f>IF(AND(F2608="",G2608=""),"",SUM(基础资料!$X$5:$X$24)+SUM(F$7:F2608)-SUM(G$7:G2608))</f>
      </c>
      <c r="J2608" s="141" t="n"/>
      <c r="K2608" s="141" t="n"/>
      <c r="L2608" s="141" t="n"/>
      <c r="M2608" s="142" t="n"/>
      <c r="N2608" s="146">
        <f>IF(AND(AND(F2608="",G2608=""),B2608="",C2608="",D2608="",J2608="",K2608="",L2608=""),"",IF(AND(F2608="",G2608=""),"✗ 没填金额",IF(AND(N(F2608)&lt;&gt;0,N(G2608)&lt;&gt;0),"✗ 收入、支出只能填一边",IF(NOT(ISNUMBER(B2608)),"✗ 日期不是真日期（要像 2026/9/25 这样填）",IF(OR(B2608&lt;年初日,B2608&gt;年末日),"✗ 日期不在本会计年度",IF(C2608="","✗ 没选账户",IF(COUNTIF(基础资料!$W$5:$W$24,C2608)=0,"✗ 账户不在基础资料里",IF(O2608="","✗ 没选收支项目",IF(P2608="未知","✗ 收支项目不在基础资料里",IF(AND(P2608="应收",J2608=""),"✗ 这笔要选客户",IF(AND(P2608="应收",COUNTIF(总览汇总!$B$5:$B$304,J2608)=0),"✗ 客户不在总览汇总名单里",IF(AND(P2608="应付",K2608=""),"✗ 这笔要选供应商",IF(AND(P2608="应付",COUNTIF(基础资料!$Q$5:$Q$54,K2608)=0),"✗ 供应商不在基础资料里",IF(AND(P2608="费用",L2608=""),"✗ 费用支出要选费用项目",IF(AND(L2608&lt;&gt;"",COUNTIF(基础资料!$AI$5:$AI$54,L2608)=0),"✗ 费用项目不在基础资料里",IF(AND(IFERROR(INDEX(基础资料!$AD$5:$AD$34,MATCH(O2608,基础资料!$AC$5:$AC$34,0)),"")="收",N(G2608)&lt;&gt;0),"✗ 这类是收款，金额填到收入列",IF(AND(IFERROR(INDEX(基础资料!$AD$5:$AD$34,MATCH(O2608,基础资料!$AC$5:$AC$34,0)),"")="支",N(F2608)&lt;&gt;0),"✗ 这类是付款，金额填到支出列",IF(N(H2608)&lt;0,"⚠ 账户余额成负数了，核对一下","√"))))))))))))))))))</f>
      </c>
      <c r="O2608" s="78">
        <f>IF(D2608&lt;&gt;"",D2608,IF(AND(F2608="",G2608=""),"",IF(J2608&lt;&gt;"",IF(N(F2608)&gt;0,"客户回款","客户退款"),IF(K2608&lt;&gt;"",IF(N(G2608)&gt;0,"供应商付款","供应商退款"),IF(L2608&lt;&gt;"","费用支出","")))))</f>
      </c>
      <c r="P2608" s="78">
        <f>IF(O2608="","",IFERROR(INDEX(基础资料!$AE$5:$AE$34,MATCH(O2608,基础资料!$AC$5:$AC$34,0)),"未知"))</f>
      </c>
      <c r="Q2608" s="78">
        <f>IF(P2608="应收",COUNTIF(P$7:P2608,"应收"),"")</f>
      </c>
      <c r="R2608" s="78">
        <f>IF(P2608="应付",COUNTIF(P$7:P2608,"应付"),"")</f>
      </c>
      <c r="S2608" s="78">
        <f>N(F2608)-N(G2608)</f>
        <v>0</v>
      </c>
    </row>
    <row r="2609">
      <c r="A2609" s="109">
        <f>IF(AND(F2609="",G2609=""),"",ROW()-6)</f>
      </c>
      <c r="B2609" s="140" t="n"/>
      <c r="C2609" s="141" t="n"/>
      <c r="D2609" s="141" t="n"/>
      <c r="E2609" s="142" t="n"/>
      <c r="F2609" s="143" t="n"/>
      <c r="G2609" s="144" t="n"/>
      <c r="H2609" s="145">
        <f>IF(OR(C2609="",AND(F2609="",G2609="")),"",SUMIF(基础资料!$W$5:$W$24,C2609,基础资料!$X$5:$X$24)+SUMIF(C$7:C2609,C2609,F$7:F2609)-SUMIF(C$7:C2609,C2609,G$7:G2609))</f>
      </c>
      <c r="I2609" s="145">
        <f>IF(AND(F2609="",G2609=""),"",SUM(基础资料!$X$5:$X$24)+SUM(F$7:F2609)-SUM(G$7:G2609))</f>
      </c>
      <c r="J2609" s="141" t="n"/>
      <c r="K2609" s="141" t="n"/>
      <c r="L2609" s="141" t="n"/>
      <c r="M2609" s="142" t="n"/>
      <c r="N2609" s="146">
        <f>IF(AND(AND(F2609="",G2609=""),B2609="",C2609="",D2609="",J2609="",K2609="",L2609=""),"",IF(AND(F2609="",G2609=""),"✗ 没填金额",IF(AND(N(F2609)&lt;&gt;0,N(G2609)&lt;&gt;0),"✗ 收入、支出只能填一边",IF(NOT(ISNUMBER(B2609)),"✗ 日期不是真日期（要像 2026/9/25 这样填）",IF(OR(B2609&lt;年初日,B2609&gt;年末日),"✗ 日期不在本会计年度",IF(C2609="","✗ 没选账户",IF(COUNTIF(基础资料!$W$5:$W$24,C2609)=0,"✗ 账户不在基础资料里",IF(O2609="","✗ 没选收支项目",IF(P2609="未知","✗ 收支项目不在基础资料里",IF(AND(P2609="应收",J2609=""),"✗ 这笔要选客户",IF(AND(P2609="应收",COUNTIF(总览汇总!$B$5:$B$304,J2609)=0),"✗ 客户不在总览汇总名单里",IF(AND(P2609="应付",K2609=""),"✗ 这笔要选供应商",IF(AND(P2609="应付",COUNTIF(基础资料!$Q$5:$Q$54,K2609)=0),"✗ 供应商不在基础资料里",IF(AND(P2609="费用",L2609=""),"✗ 费用支出要选费用项目",IF(AND(L2609&lt;&gt;"",COUNTIF(基础资料!$AI$5:$AI$54,L2609)=0),"✗ 费用项目不在基础资料里",IF(AND(IFERROR(INDEX(基础资料!$AD$5:$AD$34,MATCH(O2609,基础资料!$AC$5:$AC$34,0)),"")="收",N(G2609)&lt;&gt;0),"✗ 这类是收款，金额填到收入列",IF(AND(IFERROR(INDEX(基础资料!$AD$5:$AD$34,MATCH(O2609,基础资料!$AC$5:$AC$34,0)),"")="支",N(F2609)&lt;&gt;0),"✗ 这类是付款，金额填到支出列",IF(N(H2609)&lt;0,"⚠ 账户余额成负数了，核对一下","√"))))))))))))))))))</f>
      </c>
      <c r="O2609" s="78">
        <f>IF(D2609&lt;&gt;"",D2609,IF(AND(F2609="",G2609=""),"",IF(J2609&lt;&gt;"",IF(N(F2609)&gt;0,"客户回款","客户退款"),IF(K2609&lt;&gt;"",IF(N(G2609)&gt;0,"供应商付款","供应商退款"),IF(L2609&lt;&gt;"","费用支出","")))))</f>
      </c>
      <c r="P2609" s="78">
        <f>IF(O2609="","",IFERROR(INDEX(基础资料!$AE$5:$AE$34,MATCH(O2609,基础资料!$AC$5:$AC$34,0)),"未知"))</f>
      </c>
      <c r="Q2609" s="78">
        <f>IF(P2609="应收",COUNTIF(P$7:P2609,"应收"),"")</f>
      </c>
      <c r="R2609" s="78">
        <f>IF(P2609="应付",COUNTIF(P$7:P2609,"应付"),"")</f>
      </c>
      <c r="S2609" s="78">
        <f>N(F2609)-N(G2609)</f>
        <v>0</v>
      </c>
    </row>
    <row r="2610">
      <c r="A2610" s="109">
        <f>IF(AND(F2610="",G2610=""),"",ROW()-6)</f>
      </c>
      <c r="B2610" s="140" t="n"/>
      <c r="C2610" s="141" t="n"/>
      <c r="D2610" s="141" t="n"/>
      <c r="E2610" s="142" t="n"/>
      <c r="F2610" s="143" t="n"/>
      <c r="G2610" s="144" t="n"/>
      <c r="H2610" s="145">
        <f>IF(OR(C2610="",AND(F2610="",G2610="")),"",SUMIF(基础资料!$W$5:$W$24,C2610,基础资料!$X$5:$X$24)+SUMIF(C$7:C2610,C2610,F$7:F2610)-SUMIF(C$7:C2610,C2610,G$7:G2610))</f>
      </c>
      <c r="I2610" s="145">
        <f>IF(AND(F2610="",G2610=""),"",SUM(基础资料!$X$5:$X$24)+SUM(F$7:F2610)-SUM(G$7:G2610))</f>
      </c>
      <c r="J2610" s="141" t="n"/>
      <c r="K2610" s="141" t="n"/>
      <c r="L2610" s="141" t="n"/>
      <c r="M2610" s="142" t="n"/>
      <c r="N2610" s="146">
        <f>IF(AND(AND(F2610="",G2610=""),B2610="",C2610="",D2610="",J2610="",K2610="",L2610=""),"",IF(AND(F2610="",G2610=""),"✗ 没填金额",IF(AND(N(F2610)&lt;&gt;0,N(G2610)&lt;&gt;0),"✗ 收入、支出只能填一边",IF(NOT(ISNUMBER(B2610)),"✗ 日期不是真日期（要像 2026/9/25 这样填）",IF(OR(B2610&lt;年初日,B2610&gt;年末日),"✗ 日期不在本会计年度",IF(C2610="","✗ 没选账户",IF(COUNTIF(基础资料!$W$5:$W$24,C2610)=0,"✗ 账户不在基础资料里",IF(O2610="","✗ 没选收支项目",IF(P2610="未知","✗ 收支项目不在基础资料里",IF(AND(P2610="应收",J2610=""),"✗ 这笔要选客户",IF(AND(P2610="应收",COUNTIF(总览汇总!$B$5:$B$304,J2610)=0),"✗ 客户不在总览汇总名单里",IF(AND(P2610="应付",K2610=""),"✗ 这笔要选供应商",IF(AND(P2610="应付",COUNTIF(基础资料!$Q$5:$Q$54,K2610)=0),"✗ 供应商不在基础资料里",IF(AND(P2610="费用",L2610=""),"✗ 费用支出要选费用项目",IF(AND(L2610&lt;&gt;"",COUNTIF(基础资料!$AI$5:$AI$54,L2610)=0),"✗ 费用项目不在基础资料里",IF(AND(IFERROR(INDEX(基础资料!$AD$5:$AD$34,MATCH(O2610,基础资料!$AC$5:$AC$34,0)),"")="收",N(G2610)&lt;&gt;0),"✗ 这类是收款，金额填到收入列",IF(AND(IFERROR(INDEX(基础资料!$AD$5:$AD$34,MATCH(O2610,基础资料!$AC$5:$AC$34,0)),"")="支",N(F2610)&lt;&gt;0),"✗ 这类是付款，金额填到支出列",IF(N(H2610)&lt;0,"⚠ 账户余额成负数了，核对一下","√"))))))))))))))))))</f>
      </c>
      <c r="O2610" s="78">
        <f>IF(D2610&lt;&gt;"",D2610,IF(AND(F2610="",G2610=""),"",IF(J2610&lt;&gt;"",IF(N(F2610)&gt;0,"客户回款","客户退款"),IF(K2610&lt;&gt;"",IF(N(G2610)&gt;0,"供应商付款","供应商退款"),IF(L2610&lt;&gt;"","费用支出","")))))</f>
      </c>
      <c r="P2610" s="78">
        <f>IF(O2610="","",IFERROR(INDEX(基础资料!$AE$5:$AE$34,MATCH(O2610,基础资料!$AC$5:$AC$34,0)),"未知"))</f>
      </c>
      <c r="Q2610" s="78">
        <f>IF(P2610="应收",COUNTIF(P$7:P2610,"应收"),"")</f>
      </c>
      <c r="R2610" s="78">
        <f>IF(P2610="应付",COUNTIF(P$7:P2610,"应付"),"")</f>
      </c>
      <c r="S2610" s="78">
        <f>N(F2610)-N(G2610)</f>
        <v>0</v>
      </c>
    </row>
    <row r="2611">
      <c r="A2611" s="109">
        <f>IF(AND(F2611="",G2611=""),"",ROW()-6)</f>
      </c>
      <c r="B2611" s="140" t="n"/>
      <c r="C2611" s="141" t="n"/>
      <c r="D2611" s="141" t="n"/>
      <c r="E2611" s="142" t="n"/>
      <c r="F2611" s="143" t="n"/>
      <c r="G2611" s="144" t="n"/>
      <c r="H2611" s="145">
        <f>IF(OR(C2611="",AND(F2611="",G2611="")),"",SUMIF(基础资料!$W$5:$W$24,C2611,基础资料!$X$5:$X$24)+SUMIF(C$7:C2611,C2611,F$7:F2611)-SUMIF(C$7:C2611,C2611,G$7:G2611))</f>
      </c>
      <c r="I2611" s="145">
        <f>IF(AND(F2611="",G2611=""),"",SUM(基础资料!$X$5:$X$24)+SUM(F$7:F2611)-SUM(G$7:G2611))</f>
      </c>
      <c r="J2611" s="141" t="n"/>
      <c r="K2611" s="141" t="n"/>
      <c r="L2611" s="141" t="n"/>
      <c r="M2611" s="142" t="n"/>
      <c r="N2611" s="146">
        <f>IF(AND(AND(F2611="",G2611=""),B2611="",C2611="",D2611="",J2611="",K2611="",L2611=""),"",IF(AND(F2611="",G2611=""),"✗ 没填金额",IF(AND(N(F2611)&lt;&gt;0,N(G2611)&lt;&gt;0),"✗ 收入、支出只能填一边",IF(NOT(ISNUMBER(B2611)),"✗ 日期不是真日期（要像 2026/9/25 这样填）",IF(OR(B2611&lt;年初日,B2611&gt;年末日),"✗ 日期不在本会计年度",IF(C2611="","✗ 没选账户",IF(COUNTIF(基础资料!$W$5:$W$24,C2611)=0,"✗ 账户不在基础资料里",IF(O2611="","✗ 没选收支项目",IF(P2611="未知","✗ 收支项目不在基础资料里",IF(AND(P2611="应收",J2611=""),"✗ 这笔要选客户",IF(AND(P2611="应收",COUNTIF(总览汇总!$B$5:$B$304,J2611)=0),"✗ 客户不在总览汇总名单里",IF(AND(P2611="应付",K2611=""),"✗ 这笔要选供应商",IF(AND(P2611="应付",COUNTIF(基础资料!$Q$5:$Q$54,K2611)=0),"✗ 供应商不在基础资料里",IF(AND(P2611="费用",L2611=""),"✗ 费用支出要选费用项目",IF(AND(L2611&lt;&gt;"",COUNTIF(基础资料!$AI$5:$AI$54,L2611)=0),"✗ 费用项目不在基础资料里",IF(AND(IFERROR(INDEX(基础资料!$AD$5:$AD$34,MATCH(O2611,基础资料!$AC$5:$AC$34,0)),"")="收",N(G2611)&lt;&gt;0),"✗ 这类是收款，金额填到收入列",IF(AND(IFERROR(INDEX(基础资料!$AD$5:$AD$34,MATCH(O2611,基础资料!$AC$5:$AC$34,0)),"")="支",N(F2611)&lt;&gt;0),"✗ 这类是付款，金额填到支出列",IF(N(H2611)&lt;0,"⚠ 账户余额成负数了，核对一下","√"))))))))))))))))))</f>
      </c>
      <c r="O2611" s="78">
        <f>IF(D2611&lt;&gt;"",D2611,IF(AND(F2611="",G2611=""),"",IF(J2611&lt;&gt;"",IF(N(F2611)&gt;0,"客户回款","客户退款"),IF(K2611&lt;&gt;"",IF(N(G2611)&gt;0,"供应商付款","供应商退款"),IF(L2611&lt;&gt;"","费用支出","")))))</f>
      </c>
      <c r="P2611" s="78">
        <f>IF(O2611="","",IFERROR(INDEX(基础资料!$AE$5:$AE$34,MATCH(O2611,基础资料!$AC$5:$AC$34,0)),"未知"))</f>
      </c>
      <c r="Q2611" s="78">
        <f>IF(P2611="应收",COUNTIF(P$7:P2611,"应收"),"")</f>
      </c>
      <c r="R2611" s="78">
        <f>IF(P2611="应付",COUNTIF(P$7:P2611,"应付"),"")</f>
      </c>
      <c r="S2611" s="78">
        <f>N(F2611)-N(G2611)</f>
        <v>0</v>
      </c>
    </row>
    <row r="2612">
      <c r="A2612" s="109">
        <f>IF(AND(F2612="",G2612=""),"",ROW()-6)</f>
      </c>
      <c r="B2612" s="140" t="n"/>
      <c r="C2612" s="141" t="n"/>
      <c r="D2612" s="141" t="n"/>
      <c r="E2612" s="142" t="n"/>
      <c r="F2612" s="143" t="n"/>
      <c r="G2612" s="144" t="n"/>
      <c r="H2612" s="145">
        <f>IF(OR(C2612="",AND(F2612="",G2612="")),"",SUMIF(基础资料!$W$5:$W$24,C2612,基础资料!$X$5:$X$24)+SUMIF(C$7:C2612,C2612,F$7:F2612)-SUMIF(C$7:C2612,C2612,G$7:G2612))</f>
      </c>
      <c r="I2612" s="145">
        <f>IF(AND(F2612="",G2612=""),"",SUM(基础资料!$X$5:$X$24)+SUM(F$7:F2612)-SUM(G$7:G2612))</f>
      </c>
      <c r="J2612" s="141" t="n"/>
      <c r="K2612" s="141" t="n"/>
      <c r="L2612" s="141" t="n"/>
      <c r="M2612" s="142" t="n"/>
      <c r="N2612" s="146">
        <f>IF(AND(AND(F2612="",G2612=""),B2612="",C2612="",D2612="",J2612="",K2612="",L2612=""),"",IF(AND(F2612="",G2612=""),"✗ 没填金额",IF(AND(N(F2612)&lt;&gt;0,N(G2612)&lt;&gt;0),"✗ 收入、支出只能填一边",IF(NOT(ISNUMBER(B2612)),"✗ 日期不是真日期（要像 2026/9/25 这样填）",IF(OR(B2612&lt;年初日,B2612&gt;年末日),"✗ 日期不在本会计年度",IF(C2612="","✗ 没选账户",IF(COUNTIF(基础资料!$W$5:$W$24,C2612)=0,"✗ 账户不在基础资料里",IF(O2612="","✗ 没选收支项目",IF(P2612="未知","✗ 收支项目不在基础资料里",IF(AND(P2612="应收",J2612=""),"✗ 这笔要选客户",IF(AND(P2612="应收",COUNTIF(总览汇总!$B$5:$B$304,J2612)=0),"✗ 客户不在总览汇总名单里",IF(AND(P2612="应付",K2612=""),"✗ 这笔要选供应商",IF(AND(P2612="应付",COUNTIF(基础资料!$Q$5:$Q$54,K2612)=0),"✗ 供应商不在基础资料里",IF(AND(P2612="费用",L2612=""),"✗ 费用支出要选费用项目",IF(AND(L2612&lt;&gt;"",COUNTIF(基础资料!$AI$5:$AI$54,L2612)=0),"✗ 费用项目不在基础资料里",IF(AND(IFERROR(INDEX(基础资料!$AD$5:$AD$34,MATCH(O2612,基础资料!$AC$5:$AC$34,0)),"")="收",N(G2612)&lt;&gt;0),"✗ 这类是收款，金额填到收入列",IF(AND(IFERROR(INDEX(基础资料!$AD$5:$AD$34,MATCH(O2612,基础资料!$AC$5:$AC$34,0)),"")="支",N(F2612)&lt;&gt;0),"✗ 这类是付款，金额填到支出列",IF(N(H2612)&lt;0,"⚠ 账户余额成负数了，核对一下","√"))))))))))))))))))</f>
      </c>
      <c r="O2612" s="78">
        <f>IF(D2612&lt;&gt;"",D2612,IF(AND(F2612="",G2612=""),"",IF(J2612&lt;&gt;"",IF(N(F2612)&gt;0,"客户回款","客户退款"),IF(K2612&lt;&gt;"",IF(N(G2612)&gt;0,"供应商付款","供应商退款"),IF(L2612&lt;&gt;"","费用支出","")))))</f>
      </c>
      <c r="P2612" s="78">
        <f>IF(O2612="","",IFERROR(INDEX(基础资料!$AE$5:$AE$34,MATCH(O2612,基础资料!$AC$5:$AC$34,0)),"未知"))</f>
      </c>
      <c r="Q2612" s="78">
        <f>IF(P2612="应收",COUNTIF(P$7:P2612,"应收"),"")</f>
      </c>
      <c r="R2612" s="78">
        <f>IF(P2612="应付",COUNTIF(P$7:P2612,"应付"),"")</f>
      </c>
      <c r="S2612" s="78">
        <f>N(F2612)-N(G2612)</f>
        <v>0</v>
      </c>
    </row>
    <row r="2613">
      <c r="A2613" s="109">
        <f>IF(AND(F2613="",G2613=""),"",ROW()-6)</f>
      </c>
      <c r="B2613" s="140" t="n"/>
      <c r="C2613" s="141" t="n"/>
      <c r="D2613" s="141" t="n"/>
      <c r="E2613" s="142" t="n"/>
      <c r="F2613" s="143" t="n"/>
      <c r="G2613" s="144" t="n"/>
      <c r="H2613" s="145">
        <f>IF(OR(C2613="",AND(F2613="",G2613="")),"",SUMIF(基础资料!$W$5:$W$24,C2613,基础资料!$X$5:$X$24)+SUMIF(C$7:C2613,C2613,F$7:F2613)-SUMIF(C$7:C2613,C2613,G$7:G2613))</f>
      </c>
      <c r="I2613" s="145">
        <f>IF(AND(F2613="",G2613=""),"",SUM(基础资料!$X$5:$X$24)+SUM(F$7:F2613)-SUM(G$7:G2613))</f>
      </c>
      <c r="J2613" s="141" t="n"/>
      <c r="K2613" s="141" t="n"/>
      <c r="L2613" s="141" t="n"/>
      <c r="M2613" s="142" t="n"/>
      <c r="N2613" s="146">
        <f>IF(AND(AND(F2613="",G2613=""),B2613="",C2613="",D2613="",J2613="",K2613="",L2613=""),"",IF(AND(F2613="",G2613=""),"✗ 没填金额",IF(AND(N(F2613)&lt;&gt;0,N(G2613)&lt;&gt;0),"✗ 收入、支出只能填一边",IF(NOT(ISNUMBER(B2613)),"✗ 日期不是真日期（要像 2026/9/25 这样填）",IF(OR(B2613&lt;年初日,B2613&gt;年末日),"✗ 日期不在本会计年度",IF(C2613="","✗ 没选账户",IF(COUNTIF(基础资料!$W$5:$W$24,C2613)=0,"✗ 账户不在基础资料里",IF(O2613="","✗ 没选收支项目",IF(P2613="未知","✗ 收支项目不在基础资料里",IF(AND(P2613="应收",J2613=""),"✗ 这笔要选客户",IF(AND(P2613="应收",COUNTIF(总览汇总!$B$5:$B$304,J2613)=0),"✗ 客户不在总览汇总名单里",IF(AND(P2613="应付",K2613=""),"✗ 这笔要选供应商",IF(AND(P2613="应付",COUNTIF(基础资料!$Q$5:$Q$54,K2613)=0),"✗ 供应商不在基础资料里",IF(AND(P2613="费用",L2613=""),"✗ 费用支出要选费用项目",IF(AND(L2613&lt;&gt;"",COUNTIF(基础资料!$AI$5:$AI$54,L2613)=0),"✗ 费用项目不在基础资料里",IF(AND(IFERROR(INDEX(基础资料!$AD$5:$AD$34,MATCH(O2613,基础资料!$AC$5:$AC$34,0)),"")="收",N(G2613)&lt;&gt;0),"✗ 这类是收款，金额填到收入列",IF(AND(IFERROR(INDEX(基础资料!$AD$5:$AD$34,MATCH(O2613,基础资料!$AC$5:$AC$34,0)),"")="支",N(F2613)&lt;&gt;0),"✗ 这类是付款，金额填到支出列",IF(N(H2613)&lt;0,"⚠ 账户余额成负数了，核对一下","√"))))))))))))))))))</f>
      </c>
      <c r="O2613" s="78">
        <f>IF(D2613&lt;&gt;"",D2613,IF(AND(F2613="",G2613=""),"",IF(J2613&lt;&gt;"",IF(N(F2613)&gt;0,"客户回款","客户退款"),IF(K2613&lt;&gt;"",IF(N(G2613)&gt;0,"供应商付款","供应商退款"),IF(L2613&lt;&gt;"","费用支出","")))))</f>
      </c>
      <c r="P2613" s="78">
        <f>IF(O2613="","",IFERROR(INDEX(基础资料!$AE$5:$AE$34,MATCH(O2613,基础资料!$AC$5:$AC$34,0)),"未知"))</f>
      </c>
      <c r="Q2613" s="78">
        <f>IF(P2613="应收",COUNTIF(P$7:P2613,"应收"),"")</f>
      </c>
      <c r="R2613" s="78">
        <f>IF(P2613="应付",COUNTIF(P$7:P2613,"应付"),"")</f>
      </c>
      <c r="S2613" s="78">
        <f>N(F2613)-N(G2613)</f>
        <v>0</v>
      </c>
    </row>
    <row r="2614">
      <c r="A2614" s="109">
        <f>IF(AND(F2614="",G2614=""),"",ROW()-6)</f>
      </c>
      <c r="B2614" s="140" t="n"/>
      <c r="C2614" s="141" t="n"/>
      <c r="D2614" s="141" t="n"/>
      <c r="E2614" s="142" t="n"/>
      <c r="F2614" s="143" t="n"/>
      <c r="G2614" s="144" t="n"/>
      <c r="H2614" s="145">
        <f>IF(OR(C2614="",AND(F2614="",G2614="")),"",SUMIF(基础资料!$W$5:$W$24,C2614,基础资料!$X$5:$X$24)+SUMIF(C$7:C2614,C2614,F$7:F2614)-SUMIF(C$7:C2614,C2614,G$7:G2614))</f>
      </c>
      <c r="I2614" s="145">
        <f>IF(AND(F2614="",G2614=""),"",SUM(基础资料!$X$5:$X$24)+SUM(F$7:F2614)-SUM(G$7:G2614))</f>
      </c>
      <c r="J2614" s="141" t="n"/>
      <c r="K2614" s="141" t="n"/>
      <c r="L2614" s="141" t="n"/>
      <c r="M2614" s="142" t="n"/>
      <c r="N2614" s="146">
        <f>IF(AND(AND(F2614="",G2614=""),B2614="",C2614="",D2614="",J2614="",K2614="",L2614=""),"",IF(AND(F2614="",G2614=""),"✗ 没填金额",IF(AND(N(F2614)&lt;&gt;0,N(G2614)&lt;&gt;0),"✗ 收入、支出只能填一边",IF(NOT(ISNUMBER(B2614)),"✗ 日期不是真日期（要像 2026/9/25 这样填）",IF(OR(B2614&lt;年初日,B2614&gt;年末日),"✗ 日期不在本会计年度",IF(C2614="","✗ 没选账户",IF(COUNTIF(基础资料!$W$5:$W$24,C2614)=0,"✗ 账户不在基础资料里",IF(O2614="","✗ 没选收支项目",IF(P2614="未知","✗ 收支项目不在基础资料里",IF(AND(P2614="应收",J2614=""),"✗ 这笔要选客户",IF(AND(P2614="应收",COUNTIF(总览汇总!$B$5:$B$304,J2614)=0),"✗ 客户不在总览汇总名单里",IF(AND(P2614="应付",K2614=""),"✗ 这笔要选供应商",IF(AND(P2614="应付",COUNTIF(基础资料!$Q$5:$Q$54,K2614)=0),"✗ 供应商不在基础资料里",IF(AND(P2614="费用",L2614=""),"✗ 费用支出要选费用项目",IF(AND(L2614&lt;&gt;"",COUNTIF(基础资料!$AI$5:$AI$54,L2614)=0),"✗ 费用项目不在基础资料里",IF(AND(IFERROR(INDEX(基础资料!$AD$5:$AD$34,MATCH(O2614,基础资料!$AC$5:$AC$34,0)),"")="收",N(G2614)&lt;&gt;0),"✗ 这类是收款，金额填到收入列",IF(AND(IFERROR(INDEX(基础资料!$AD$5:$AD$34,MATCH(O2614,基础资料!$AC$5:$AC$34,0)),"")="支",N(F2614)&lt;&gt;0),"✗ 这类是付款，金额填到支出列",IF(N(H2614)&lt;0,"⚠ 账户余额成负数了，核对一下","√"))))))))))))))))))</f>
      </c>
      <c r="O2614" s="78">
        <f>IF(D2614&lt;&gt;"",D2614,IF(AND(F2614="",G2614=""),"",IF(J2614&lt;&gt;"",IF(N(F2614)&gt;0,"客户回款","客户退款"),IF(K2614&lt;&gt;"",IF(N(G2614)&gt;0,"供应商付款","供应商退款"),IF(L2614&lt;&gt;"","费用支出","")))))</f>
      </c>
      <c r="P2614" s="78">
        <f>IF(O2614="","",IFERROR(INDEX(基础资料!$AE$5:$AE$34,MATCH(O2614,基础资料!$AC$5:$AC$34,0)),"未知"))</f>
      </c>
      <c r="Q2614" s="78">
        <f>IF(P2614="应收",COUNTIF(P$7:P2614,"应收"),"")</f>
      </c>
      <c r="R2614" s="78">
        <f>IF(P2614="应付",COUNTIF(P$7:P2614,"应付"),"")</f>
      </c>
      <c r="S2614" s="78">
        <f>N(F2614)-N(G2614)</f>
        <v>0</v>
      </c>
    </row>
    <row r="2615">
      <c r="A2615" s="109">
        <f>IF(AND(F2615="",G2615=""),"",ROW()-6)</f>
      </c>
      <c r="B2615" s="140" t="n"/>
      <c r="C2615" s="141" t="n"/>
      <c r="D2615" s="141" t="n"/>
      <c r="E2615" s="142" t="n"/>
      <c r="F2615" s="143" t="n"/>
      <c r="G2615" s="144" t="n"/>
      <c r="H2615" s="145">
        <f>IF(OR(C2615="",AND(F2615="",G2615="")),"",SUMIF(基础资料!$W$5:$W$24,C2615,基础资料!$X$5:$X$24)+SUMIF(C$7:C2615,C2615,F$7:F2615)-SUMIF(C$7:C2615,C2615,G$7:G2615))</f>
      </c>
      <c r="I2615" s="145">
        <f>IF(AND(F2615="",G2615=""),"",SUM(基础资料!$X$5:$X$24)+SUM(F$7:F2615)-SUM(G$7:G2615))</f>
      </c>
      <c r="J2615" s="141" t="n"/>
      <c r="K2615" s="141" t="n"/>
      <c r="L2615" s="141" t="n"/>
      <c r="M2615" s="142" t="n"/>
      <c r="N2615" s="146">
        <f>IF(AND(AND(F2615="",G2615=""),B2615="",C2615="",D2615="",J2615="",K2615="",L2615=""),"",IF(AND(F2615="",G2615=""),"✗ 没填金额",IF(AND(N(F2615)&lt;&gt;0,N(G2615)&lt;&gt;0),"✗ 收入、支出只能填一边",IF(NOT(ISNUMBER(B2615)),"✗ 日期不是真日期（要像 2026/9/25 这样填）",IF(OR(B2615&lt;年初日,B2615&gt;年末日),"✗ 日期不在本会计年度",IF(C2615="","✗ 没选账户",IF(COUNTIF(基础资料!$W$5:$W$24,C2615)=0,"✗ 账户不在基础资料里",IF(O2615="","✗ 没选收支项目",IF(P2615="未知","✗ 收支项目不在基础资料里",IF(AND(P2615="应收",J2615=""),"✗ 这笔要选客户",IF(AND(P2615="应收",COUNTIF(总览汇总!$B$5:$B$304,J2615)=0),"✗ 客户不在总览汇总名单里",IF(AND(P2615="应付",K2615=""),"✗ 这笔要选供应商",IF(AND(P2615="应付",COUNTIF(基础资料!$Q$5:$Q$54,K2615)=0),"✗ 供应商不在基础资料里",IF(AND(P2615="费用",L2615=""),"✗ 费用支出要选费用项目",IF(AND(L2615&lt;&gt;"",COUNTIF(基础资料!$AI$5:$AI$54,L2615)=0),"✗ 费用项目不在基础资料里",IF(AND(IFERROR(INDEX(基础资料!$AD$5:$AD$34,MATCH(O2615,基础资料!$AC$5:$AC$34,0)),"")="收",N(G2615)&lt;&gt;0),"✗ 这类是收款，金额填到收入列",IF(AND(IFERROR(INDEX(基础资料!$AD$5:$AD$34,MATCH(O2615,基础资料!$AC$5:$AC$34,0)),"")="支",N(F2615)&lt;&gt;0),"✗ 这类是付款，金额填到支出列",IF(N(H2615)&lt;0,"⚠ 账户余额成负数了，核对一下","√"))))))))))))))))))</f>
      </c>
      <c r="O2615" s="78">
        <f>IF(D2615&lt;&gt;"",D2615,IF(AND(F2615="",G2615=""),"",IF(J2615&lt;&gt;"",IF(N(F2615)&gt;0,"客户回款","客户退款"),IF(K2615&lt;&gt;"",IF(N(G2615)&gt;0,"供应商付款","供应商退款"),IF(L2615&lt;&gt;"","费用支出","")))))</f>
      </c>
      <c r="P2615" s="78">
        <f>IF(O2615="","",IFERROR(INDEX(基础资料!$AE$5:$AE$34,MATCH(O2615,基础资料!$AC$5:$AC$34,0)),"未知"))</f>
      </c>
      <c r="Q2615" s="78">
        <f>IF(P2615="应收",COUNTIF(P$7:P2615,"应收"),"")</f>
      </c>
      <c r="R2615" s="78">
        <f>IF(P2615="应付",COUNTIF(P$7:P2615,"应付"),"")</f>
      </c>
      <c r="S2615" s="78">
        <f>N(F2615)-N(G2615)</f>
        <v>0</v>
      </c>
    </row>
    <row r="2616">
      <c r="A2616" s="109">
        <f>IF(AND(F2616="",G2616=""),"",ROW()-6)</f>
      </c>
      <c r="B2616" s="140" t="n"/>
      <c r="C2616" s="141" t="n"/>
      <c r="D2616" s="141" t="n"/>
      <c r="E2616" s="142" t="n"/>
      <c r="F2616" s="143" t="n"/>
      <c r="G2616" s="144" t="n"/>
      <c r="H2616" s="145">
        <f>IF(OR(C2616="",AND(F2616="",G2616="")),"",SUMIF(基础资料!$W$5:$W$24,C2616,基础资料!$X$5:$X$24)+SUMIF(C$7:C2616,C2616,F$7:F2616)-SUMIF(C$7:C2616,C2616,G$7:G2616))</f>
      </c>
      <c r="I2616" s="145">
        <f>IF(AND(F2616="",G2616=""),"",SUM(基础资料!$X$5:$X$24)+SUM(F$7:F2616)-SUM(G$7:G2616))</f>
      </c>
      <c r="J2616" s="141" t="n"/>
      <c r="K2616" s="141" t="n"/>
      <c r="L2616" s="141" t="n"/>
      <c r="M2616" s="142" t="n"/>
      <c r="N2616" s="146">
        <f>IF(AND(AND(F2616="",G2616=""),B2616="",C2616="",D2616="",J2616="",K2616="",L2616=""),"",IF(AND(F2616="",G2616=""),"✗ 没填金额",IF(AND(N(F2616)&lt;&gt;0,N(G2616)&lt;&gt;0),"✗ 收入、支出只能填一边",IF(NOT(ISNUMBER(B2616)),"✗ 日期不是真日期（要像 2026/9/25 这样填）",IF(OR(B2616&lt;年初日,B2616&gt;年末日),"✗ 日期不在本会计年度",IF(C2616="","✗ 没选账户",IF(COUNTIF(基础资料!$W$5:$W$24,C2616)=0,"✗ 账户不在基础资料里",IF(O2616="","✗ 没选收支项目",IF(P2616="未知","✗ 收支项目不在基础资料里",IF(AND(P2616="应收",J2616=""),"✗ 这笔要选客户",IF(AND(P2616="应收",COUNTIF(总览汇总!$B$5:$B$304,J2616)=0),"✗ 客户不在总览汇总名单里",IF(AND(P2616="应付",K2616=""),"✗ 这笔要选供应商",IF(AND(P2616="应付",COUNTIF(基础资料!$Q$5:$Q$54,K2616)=0),"✗ 供应商不在基础资料里",IF(AND(P2616="费用",L2616=""),"✗ 费用支出要选费用项目",IF(AND(L2616&lt;&gt;"",COUNTIF(基础资料!$AI$5:$AI$54,L2616)=0),"✗ 费用项目不在基础资料里",IF(AND(IFERROR(INDEX(基础资料!$AD$5:$AD$34,MATCH(O2616,基础资料!$AC$5:$AC$34,0)),"")="收",N(G2616)&lt;&gt;0),"✗ 这类是收款，金额填到收入列",IF(AND(IFERROR(INDEX(基础资料!$AD$5:$AD$34,MATCH(O2616,基础资料!$AC$5:$AC$34,0)),"")="支",N(F2616)&lt;&gt;0),"✗ 这类是付款，金额填到支出列",IF(N(H2616)&lt;0,"⚠ 账户余额成负数了，核对一下","√"))))))))))))))))))</f>
      </c>
      <c r="O2616" s="78">
        <f>IF(D2616&lt;&gt;"",D2616,IF(AND(F2616="",G2616=""),"",IF(J2616&lt;&gt;"",IF(N(F2616)&gt;0,"客户回款","客户退款"),IF(K2616&lt;&gt;"",IF(N(G2616)&gt;0,"供应商付款","供应商退款"),IF(L2616&lt;&gt;"","费用支出","")))))</f>
      </c>
      <c r="P2616" s="78">
        <f>IF(O2616="","",IFERROR(INDEX(基础资料!$AE$5:$AE$34,MATCH(O2616,基础资料!$AC$5:$AC$34,0)),"未知"))</f>
      </c>
      <c r="Q2616" s="78">
        <f>IF(P2616="应收",COUNTIF(P$7:P2616,"应收"),"")</f>
      </c>
      <c r="R2616" s="78">
        <f>IF(P2616="应付",COUNTIF(P$7:P2616,"应付"),"")</f>
      </c>
      <c r="S2616" s="78">
        <f>N(F2616)-N(G2616)</f>
        <v>0</v>
      </c>
    </row>
    <row r="2617">
      <c r="A2617" s="109">
        <f>IF(AND(F2617="",G2617=""),"",ROW()-6)</f>
      </c>
      <c r="B2617" s="140" t="n"/>
      <c r="C2617" s="141" t="n"/>
      <c r="D2617" s="141" t="n"/>
      <c r="E2617" s="142" t="n"/>
      <c r="F2617" s="143" t="n"/>
      <c r="G2617" s="144" t="n"/>
      <c r="H2617" s="145">
        <f>IF(OR(C2617="",AND(F2617="",G2617="")),"",SUMIF(基础资料!$W$5:$W$24,C2617,基础资料!$X$5:$X$24)+SUMIF(C$7:C2617,C2617,F$7:F2617)-SUMIF(C$7:C2617,C2617,G$7:G2617))</f>
      </c>
      <c r="I2617" s="145">
        <f>IF(AND(F2617="",G2617=""),"",SUM(基础资料!$X$5:$X$24)+SUM(F$7:F2617)-SUM(G$7:G2617))</f>
      </c>
      <c r="J2617" s="141" t="n"/>
      <c r="K2617" s="141" t="n"/>
      <c r="L2617" s="141" t="n"/>
      <c r="M2617" s="142" t="n"/>
      <c r="N2617" s="146">
        <f>IF(AND(AND(F2617="",G2617=""),B2617="",C2617="",D2617="",J2617="",K2617="",L2617=""),"",IF(AND(F2617="",G2617=""),"✗ 没填金额",IF(AND(N(F2617)&lt;&gt;0,N(G2617)&lt;&gt;0),"✗ 收入、支出只能填一边",IF(NOT(ISNUMBER(B2617)),"✗ 日期不是真日期（要像 2026/9/25 这样填）",IF(OR(B2617&lt;年初日,B2617&gt;年末日),"✗ 日期不在本会计年度",IF(C2617="","✗ 没选账户",IF(COUNTIF(基础资料!$W$5:$W$24,C2617)=0,"✗ 账户不在基础资料里",IF(O2617="","✗ 没选收支项目",IF(P2617="未知","✗ 收支项目不在基础资料里",IF(AND(P2617="应收",J2617=""),"✗ 这笔要选客户",IF(AND(P2617="应收",COUNTIF(总览汇总!$B$5:$B$304,J2617)=0),"✗ 客户不在总览汇总名单里",IF(AND(P2617="应付",K2617=""),"✗ 这笔要选供应商",IF(AND(P2617="应付",COUNTIF(基础资料!$Q$5:$Q$54,K2617)=0),"✗ 供应商不在基础资料里",IF(AND(P2617="费用",L2617=""),"✗ 费用支出要选费用项目",IF(AND(L2617&lt;&gt;"",COUNTIF(基础资料!$AI$5:$AI$54,L2617)=0),"✗ 费用项目不在基础资料里",IF(AND(IFERROR(INDEX(基础资料!$AD$5:$AD$34,MATCH(O2617,基础资料!$AC$5:$AC$34,0)),"")="收",N(G2617)&lt;&gt;0),"✗ 这类是收款，金额填到收入列",IF(AND(IFERROR(INDEX(基础资料!$AD$5:$AD$34,MATCH(O2617,基础资料!$AC$5:$AC$34,0)),"")="支",N(F2617)&lt;&gt;0),"✗ 这类是付款，金额填到支出列",IF(N(H2617)&lt;0,"⚠ 账户余额成负数了，核对一下","√"))))))))))))))))))</f>
      </c>
      <c r="O2617" s="78">
        <f>IF(D2617&lt;&gt;"",D2617,IF(AND(F2617="",G2617=""),"",IF(J2617&lt;&gt;"",IF(N(F2617)&gt;0,"客户回款","客户退款"),IF(K2617&lt;&gt;"",IF(N(G2617)&gt;0,"供应商付款","供应商退款"),IF(L2617&lt;&gt;"","费用支出","")))))</f>
      </c>
      <c r="P2617" s="78">
        <f>IF(O2617="","",IFERROR(INDEX(基础资料!$AE$5:$AE$34,MATCH(O2617,基础资料!$AC$5:$AC$34,0)),"未知"))</f>
      </c>
      <c r="Q2617" s="78">
        <f>IF(P2617="应收",COUNTIF(P$7:P2617,"应收"),"")</f>
      </c>
      <c r="R2617" s="78">
        <f>IF(P2617="应付",COUNTIF(P$7:P2617,"应付"),"")</f>
      </c>
      <c r="S2617" s="78">
        <f>N(F2617)-N(G2617)</f>
        <v>0</v>
      </c>
    </row>
    <row r="2618">
      <c r="A2618" s="109">
        <f>IF(AND(F2618="",G2618=""),"",ROW()-6)</f>
      </c>
      <c r="B2618" s="140" t="n"/>
      <c r="C2618" s="141" t="n"/>
      <c r="D2618" s="141" t="n"/>
      <c r="E2618" s="142" t="n"/>
      <c r="F2618" s="143" t="n"/>
      <c r="G2618" s="144" t="n"/>
      <c r="H2618" s="145">
        <f>IF(OR(C2618="",AND(F2618="",G2618="")),"",SUMIF(基础资料!$W$5:$W$24,C2618,基础资料!$X$5:$X$24)+SUMIF(C$7:C2618,C2618,F$7:F2618)-SUMIF(C$7:C2618,C2618,G$7:G2618))</f>
      </c>
      <c r="I2618" s="145">
        <f>IF(AND(F2618="",G2618=""),"",SUM(基础资料!$X$5:$X$24)+SUM(F$7:F2618)-SUM(G$7:G2618))</f>
      </c>
      <c r="J2618" s="141" t="n"/>
      <c r="K2618" s="141" t="n"/>
      <c r="L2618" s="141" t="n"/>
      <c r="M2618" s="142" t="n"/>
      <c r="N2618" s="146">
        <f>IF(AND(AND(F2618="",G2618=""),B2618="",C2618="",D2618="",J2618="",K2618="",L2618=""),"",IF(AND(F2618="",G2618=""),"✗ 没填金额",IF(AND(N(F2618)&lt;&gt;0,N(G2618)&lt;&gt;0),"✗ 收入、支出只能填一边",IF(NOT(ISNUMBER(B2618)),"✗ 日期不是真日期（要像 2026/9/25 这样填）",IF(OR(B2618&lt;年初日,B2618&gt;年末日),"✗ 日期不在本会计年度",IF(C2618="","✗ 没选账户",IF(COUNTIF(基础资料!$W$5:$W$24,C2618)=0,"✗ 账户不在基础资料里",IF(O2618="","✗ 没选收支项目",IF(P2618="未知","✗ 收支项目不在基础资料里",IF(AND(P2618="应收",J2618=""),"✗ 这笔要选客户",IF(AND(P2618="应收",COUNTIF(总览汇总!$B$5:$B$304,J2618)=0),"✗ 客户不在总览汇总名单里",IF(AND(P2618="应付",K2618=""),"✗ 这笔要选供应商",IF(AND(P2618="应付",COUNTIF(基础资料!$Q$5:$Q$54,K2618)=0),"✗ 供应商不在基础资料里",IF(AND(P2618="费用",L2618=""),"✗ 费用支出要选费用项目",IF(AND(L2618&lt;&gt;"",COUNTIF(基础资料!$AI$5:$AI$54,L2618)=0),"✗ 费用项目不在基础资料里",IF(AND(IFERROR(INDEX(基础资料!$AD$5:$AD$34,MATCH(O2618,基础资料!$AC$5:$AC$34,0)),"")="收",N(G2618)&lt;&gt;0),"✗ 这类是收款，金额填到收入列",IF(AND(IFERROR(INDEX(基础资料!$AD$5:$AD$34,MATCH(O2618,基础资料!$AC$5:$AC$34,0)),"")="支",N(F2618)&lt;&gt;0),"✗ 这类是付款，金额填到支出列",IF(N(H2618)&lt;0,"⚠ 账户余额成负数了，核对一下","√"))))))))))))))))))</f>
      </c>
      <c r="O2618" s="78">
        <f>IF(D2618&lt;&gt;"",D2618,IF(AND(F2618="",G2618=""),"",IF(J2618&lt;&gt;"",IF(N(F2618)&gt;0,"客户回款","客户退款"),IF(K2618&lt;&gt;"",IF(N(G2618)&gt;0,"供应商付款","供应商退款"),IF(L2618&lt;&gt;"","费用支出","")))))</f>
      </c>
      <c r="P2618" s="78">
        <f>IF(O2618="","",IFERROR(INDEX(基础资料!$AE$5:$AE$34,MATCH(O2618,基础资料!$AC$5:$AC$34,0)),"未知"))</f>
      </c>
      <c r="Q2618" s="78">
        <f>IF(P2618="应收",COUNTIF(P$7:P2618,"应收"),"")</f>
      </c>
      <c r="R2618" s="78">
        <f>IF(P2618="应付",COUNTIF(P$7:P2618,"应付"),"")</f>
      </c>
      <c r="S2618" s="78">
        <f>N(F2618)-N(G2618)</f>
        <v>0</v>
      </c>
    </row>
    <row r="2619">
      <c r="A2619" s="109">
        <f>IF(AND(F2619="",G2619=""),"",ROW()-6)</f>
      </c>
      <c r="B2619" s="140" t="n"/>
      <c r="C2619" s="141" t="n"/>
      <c r="D2619" s="141" t="n"/>
      <c r="E2619" s="142" t="n"/>
      <c r="F2619" s="143" t="n"/>
      <c r="G2619" s="144" t="n"/>
      <c r="H2619" s="145">
        <f>IF(OR(C2619="",AND(F2619="",G2619="")),"",SUMIF(基础资料!$W$5:$W$24,C2619,基础资料!$X$5:$X$24)+SUMIF(C$7:C2619,C2619,F$7:F2619)-SUMIF(C$7:C2619,C2619,G$7:G2619))</f>
      </c>
      <c r="I2619" s="145">
        <f>IF(AND(F2619="",G2619=""),"",SUM(基础资料!$X$5:$X$24)+SUM(F$7:F2619)-SUM(G$7:G2619))</f>
      </c>
      <c r="J2619" s="141" t="n"/>
      <c r="K2619" s="141" t="n"/>
      <c r="L2619" s="141" t="n"/>
      <c r="M2619" s="142" t="n"/>
      <c r="N2619" s="146">
        <f>IF(AND(AND(F2619="",G2619=""),B2619="",C2619="",D2619="",J2619="",K2619="",L2619=""),"",IF(AND(F2619="",G2619=""),"✗ 没填金额",IF(AND(N(F2619)&lt;&gt;0,N(G2619)&lt;&gt;0),"✗ 收入、支出只能填一边",IF(NOT(ISNUMBER(B2619)),"✗ 日期不是真日期（要像 2026/9/25 这样填）",IF(OR(B2619&lt;年初日,B2619&gt;年末日),"✗ 日期不在本会计年度",IF(C2619="","✗ 没选账户",IF(COUNTIF(基础资料!$W$5:$W$24,C2619)=0,"✗ 账户不在基础资料里",IF(O2619="","✗ 没选收支项目",IF(P2619="未知","✗ 收支项目不在基础资料里",IF(AND(P2619="应收",J2619=""),"✗ 这笔要选客户",IF(AND(P2619="应收",COUNTIF(总览汇总!$B$5:$B$304,J2619)=0),"✗ 客户不在总览汇总名单里",IF(AND(P2619="应付",K2619=""),"✗ 这笔要选供应商",IF(AND(P2619="应付",COUNTIF(基础资料!$Q$5:$Q$54,K2619)=0),"✗ 供应商不在基础资料里",IF(AND(P2619="费用",L2619=""),"✗ 费用支出要选费用项目",IF(AND(L2619&lt;&gt;"",COUNTIF(基础资料!$AI$5:$AI$54,L2619)=0),"✗ 费用项目不在基础资料里",IF(AND(IFERROR(INDEX(基础资料!$AD$5:$AD$34,MATCH(O2619,基础资料!$AC$5:$AC$34,0)),"")="收",N(G2619)&lt;&gt;0),"✗ 这类是收款，金额填到收入列",IF(AND(IFERROR(INDEX(基础资料!$AD$5:$AD$34,MATCH(O2619,基础资料!$AC$5:$AC$34,0)),"")="支",N(F2619)&lt;&gt;0),"✗ 这类是付款，金额填到支出列",IF(N(H2619)&lt;0,"⚠ 账户余额成负数了，核对一下","√"))))))))))))))))))</f>
      </c>
      <c r="O2619" s="78">
        <f>IF(D2619&lt;&gt;"",D2619,IF(AND(F2619="",G2619=""),"",IF(J2619&lt;&gt;"",IF(N(F2619)&gt;0,"客户回款","客户退款"),IF(K2619&lt;&gt;"",IF(N(G2619)&gt;0,"供应商付款","供应商退款"),IF(L2619&lt;&gt;"","费用支出","")))))</f>
      </c>
      <c r="P2619" s="78">
        <f>IF(O2619="","",IFERROR(INDEX(基础资料!$AE$5:$AE$34,MATCH(O2619,基础资料!$AC$5:$AC$34,0)),"未知"))</f>
      </c>
      <c r="Q2619" s="78">
        <f>IF(P2619="应收",COUNTIF(P$7:P2619,"应收"),"")</f>
      </c>
      <c r="R2619" s="78">
        <f>IF(P2619="应付",COUNTIF(P$7:P2619,"应付"),"")</f>
      </c>
      <c r="S2619" s="78">
        <f>N(F2619)-N(G2619)</f>
        <v>0</v>
      </c>
    </row>
    <row r="2620">
      <c r="A2620" s="109">
        <f>IF(AND(F2620="",G2620=""),"",ROW()-6)</f>
      </c>
      <c r="B2620" s="140" t="n"/>
      <c r="C2620" s="141" t="n"/>
      <c r="D2620" s="141" t="n"/>
      <c r="E2620" s="142" t="n"/>
      <c r="F2620" s="143" t="n"/>
      <c r="G2620" s="144" t="n"/>
      <c r="H2620" s="145">
        <f>IF(OR(C2620="",AND(F2620="",G2620="")),"",SUMIF(基础资料!$W$5:$W$24,C2620,基础资料!$X$5:$X$24)+SUMIF(C$7:C2620,C2620,F$7:F2620)-SUMIF(C$7:C2620,C2620,G$7:G2620))</f>
      </c>
      <c r="I2620" s="145">
        <f>IF(AND(F2620="",G2620=""),"",SUM(基础资料!$X$5:$X$24)+SUM(F$7:F2620)-SUM(G$7:G2620))</f>
      </c>
      <c r="J2620" s="141" t="n"/>
      <c r="K2620" s="141" t="n"/>
      <c r="L2620" s="141" t="n"/>
      <c r="M2620" s="142" t="n"/>
      <c r="N2620" s="146">
        <f>IF(AND(AND(F2620="",G2620=""),B2620="",C2620="",D2620="",J2620="",K2620="",L2620=""),"",IF(AND(F2620="",G2620=""),"✗ 没填金额",IF(AND(N(F2620)&lt;&gt;0,N(G2620)&lt;&gt;0),"✗ 收入、支出只能填一边",IF(NOT(ISNUMBER(B2620)),"✗ 日期不是真日期（要像 2026/9/25 这样填）",IF(OR(B2620&lt;年初日,B2620&gt;年末日),"✗ 日期不在本会计年度",IF(C2620="","✗ 没选账户",IF(COUNTIF(基础资料!$W$5:$W$24,C2620)=0,"✗ 账户不在基础资料里",IF(O2620="","✗ 没选收支项目",IF(P2620="未知","✗ 收支项目不在基础资料里",IF(AND(P2620="应收",J2620=""),"✗ 这笔要选客户",IF(AND(P2620="应收",COUNTIF(总览汇总!$B$5:$B$304,J2620)=0),"✗ 客户不在总览汇总名单里",IF(AND(P2620="应付",K2620=""),"✗ 这笔要选供应商",IF(AND(P2620="应付",COUNTIF(基础资料!$Q$5:$Q$54,K2620)=0),"✗ 供应商不在基础资料里",IF(AND(P2620="费用",L2620=""),"✗ 费用支出要选费用项目",IF(AND(L2620&lt;&gt;"",COUNTIF(基础资料!$AI$5:$AI$54,L2620)=0),"✗ 费用项目不在基础资料里",IF(AND(IFERROR(INDEX(基础资料!$AD$5:$AD$34,MATCH(O2620,基础资料!$AC$5:$AC$34,0)),"")="收",N(G2620)&lt;&gt;0),"✗ 这类是收款，金额填到收入列",IF(AND(IFERROR(INDEX(基础资料!$AD$5:$AD$34,MATCH(O2620,基础资料!$AC$5:$AC$34,0)),"")="支",N(F2620)&lt;&gt;0),"✗ 这类是付款，金额填到支出列",IF(N(H2620)&lt;0,"⚠ 账户余额成负数了，核对一下","√"))))))))))))))))))</f>
      </c>
      <c r="O2620" s="78">
        <f>IF(D2620&lt;&gt;"",D2620,IF(AND(F2620="",G2620=""),"",IF(J2620&lt;&gt;"",IF(N(F2620)&gt;0,"客户回款","客户退款"),IF(K2620&lt;&gt;"",IF(N(G2620)&gt;0,"供应商付款","供应商退款"),IF(L2620&lt;&gt;"","费用支出","")))))</f>
      </c>
      <c r="P2620" s="78">
        <f>IF(O2620="","",IFERROR(INDEX(基础资料!$AE$5:$AE$34,MATCH(O2620,基础资料!$AC$5:$AC$34,0)),"未知"))</f>
      </c>
      <c r="Q2620" s="78">
        <f>IF(P2620="应收",COUNTIF(P$7:P2620,"应收"),"")</f>
      </c>
      <c r="R2620" s="78">
        <f>IF(P2620="应付",COUNTIF(P$7:P2620,"应付"),"")</f>
      </c>
      <c r="S2620" s="78">
        <f>N(F2620)-N(G2620)</f>
        <v>0</v>
      </c>
    </row>
    <row r="2621">
      <c r="A2621" s="109">
        <f>IF(AND(F2621="",G2621=""),"",ROW()-6)</f>
      </c>
      <c r="B2621" s="140" t="n"/>
      <c r="C2621" s="141" t="n"/>
      <c r="D2621" s="141" t="n"/>
      <c r="E2621" s="142" t="n"/>
      <c r="F2621" s="143" t="n"/>
      <c r="G2621" s="144" t="n"/>
      <c r="H2621" s="145">
        <f>IF(OR(C2621="",AND(F2621="",G2621="")),"",SUMIF(基础资料!$W$5:$W$24,C2621,基础资料!$X$5:$X$24)+SUMIF(C$7:C2621,C2621,F$7:F2621)-SUMIF(C$7:C2621,C2621,G$7:G2621))</f>
      </c>
      <c r="I2621" s="145">
        <f>IF(AND(F2621="",G2621=""),"",SUM(基础资料!$X$5:$X$24)+SUM(F$7:F2621)-SUM(G$7:G2621))</f>
      </c>
      <c r="J2621" s="141" t="n"/>
      <c r="K2621" s="141" t="n"/>
      <c r="L2621" s="141" t="n"/>
      <c r="M2621" s="142" t="n"/>
      <c r="N2621" s="146">
        <f>IF(AND(AND(F2621="",G2621=""),B2621="",C2621="",D2621="",J2621="",K2621="",L2621=""),"",IF(AND(F2621="",G2621=""),"✗ 没填金额",IF(AND(N(F2621)&lt;&gt;0,N(G2621)&lt;&gt;0),"✗ 收入、支出只能填一边",IF(NOT(ISNUMBER(B2621)),"✗ 日期不是真日期（要像 2026/9/25 这样填）",IF(OR(B2621&lt;年初日,B2621&gt;年末日),"✗ 日期不在本会计年度",IF(C2621="","✗ 没选账户",IF(COUNTIF(基础资料!$W$5:$W$24,C2621)=0,"✗ 账户不在基础资料里",IF(O2621="","✗ 没选收支项目",IF(P2621="未知","✗ 收支项目不在基础资料里",IF(AND(P2621="应收",J2621=""),"✗ 这笔要选客户",IF(AND(P2621="应收",COUNTIF(总览汇总!$B$5:$B$304,J2621)=0),"✗ 客户不在总览汇总名单里",IF(AND(P2621="应付",K2621=""),"✗ 这笔要选供应商",IF(AND(P2621="应付",COUNTIF(基础资料!$Q$5:$Q$54,K2621)=0),"✗ 供应商不在基础资料里",IF(AND(P2621="费用",L2621=""),"✗ 费用支出要选费用项目",IF(AND(L2621&lt;&gt;"",COUNTIF(基础资料!$AI$5:$AI$54,L2621)=0),"✗ 费用项目不在基础资料里",IF(AND(IFERROR(INDEX(基础资料!$AD$5:$AD$34,MATCH(O2621,基础资料!$AC$5:$AC$34,0)),"")="收",N(G2621)&lt;&gt;0),"✗ 这类是收款，金额填到收入列",IF(AND(IFERROR(INDEX(基础资料!$AD$5:$AD$34,MATCH(O2621,基础资料!$AC$5:$AC$34,0)),"")="支",N(F2621)&lt;&gt;0),"✗ 这类是付款，金额填到支出列",IF(N(H2621)&lt;0,"⚠ 账户余额成负数了，核对一下","√"))))))))))))))))))</f>
      </c>
      <c r="O2621" s="78">
        <f>IF(D2621&lt;&gt;"",D2621,IF(AND(F2621="",G2621=""),"",IF(J2621&lt;&gt;"",IF(N(F2621)&gt;0,"客户回款","客户退款"),IF(K2621&lt;&gt;"",IF(N(G2621)&gt;0,"供应商付款","供应商退款"),IF(L2621&lt;&gt;"","费用支出","")))))</f>
      </c>
      <c r="P2621" s="78">
        <f>IF(O2621="","",IFERROR(INDEX(基础资料!$AE$5:$AE$34,MATCH(O2621,基础资料!$AC$5:$AC$34,0)),"未知"))</f>
      </c>
      <c r="Q2621" s="78">
        <f>IF(P2621="应收",COUNTIF(P$7:P2621,"应收"),"")</f>
      </c>
      <c r="R2621" s="78">
        <f>IF(P2621="应付",COUNTIF(P$7:P2621,"应付"),"")</f>
      </c>
      <c r="S2621" s="78">
        <f>N(F2621)-N(G2621)</f>
        <v>0</v>
      </c>
    </row>
    <row r="2622">
      <c r="A2622" s="109">
        <f>IF(AND(F2622="",G2622=""),"",ROW()-6)</f>
      </c>
      <c r="B2622" s="140" t="n"/>
      <c r="C2622" s="141" t="n"/>
      <c r="D2622" s="141" t="n"/>
      <c r="E2622" s="142" t="n"/>
      <c r="F2622" s="143" t="n"/>
      <c r="G2622" s="144" t="n"/>
      <c r="H2622" s="145">
        <f>IF(OR(C2622="",AND(F2622="",G2622="")),"",SUMIF(基础资料!$W$5:$W$24,C2622,基础资料!$X$5:$X$24)+SUMIF(C$7:C2622,C2622,F$7:F2622)-SUMIF(C$7:C2622,C2622,G$7:G2622))</f>
      </c>
      <c r="I2622" s="145">
        <f>IF(AND(F2622="",G2622=""),"",SUM(基础资料!$X$5:$X$24)+SUM(F$7:F2622)-SUM(G$7:G2622))</f>
      </c>
      <c r="J2622" s="141" t="n"/>
      <c r="K2622" s="141" t="n"/>
      <c r="L2622" s="141" t="n"/>
      <c r="M2622" s="142" t="n"/>
      <c r="N2622" s="146">
        <f>IF(AND(AND(F2622="",G2622=""),B2622="",C2622="",D2622="",J2622="",K2622="",L2622=""),"",IF(AND(F2622="",G2622=""),"✗ 没填金额",IF(AND(N(F2622)&lt;&gt;0,N(G2622)&lt;&gt;0),"✗ 收入、支出只能填一边",IF(NOT(ISNUMBER(B2622)),"✗ 日期不是真日期（要像 2026/9/25 这样填）",IF(OR(B2622&lt;年初日,B2622&gt;年末日),"✗ 日期不在本会计年度",IF(C2622="","✗ 没选账户",IF(COUNTIF(基础资料!$W$5:$W$24,C2622)=0,"✗ 账户不在基础资料里",IF(O2622="","✗ 没选收支项目",IF(P2622="未知","✗ 收支项目不在基础资料里",IF(AND(P2622="应收",J2622=""),"✗ 这笔要选客户",IF(AND(P2622="应收",COUNTIF(总览汇总!$B$5:$B$304,J2622)=0),"✗ 客户不在总览汇总名单里",IF(AND(P2622="应付",K2622=""),"✗ 这笔要选供应商",IF(AND(P2622="应付",COUNTIF(基础资料!$Q$5:$Q$54,K2622)=0),"✗ 供应商不在基础资料里",IF(AND(P2622="费用",L2622=""),"✗ 费用支出要选费用项目",IF(AND(L2622&lt;&gt;"",COUNTIF(基础资料!$AI$5:$AI$54,L2622)=0),"✗ 费用项目不在基础资料里",IF(AND(IFERROR(INDEX(基础资料!$AD$5:$AD$34,MATCH(O2622,基础资料!$AC$5:$AC$34,0)),"")="收",N(G2622)&lt;&gt;0),"✗ 这类是收款，金额填到收入列",IF(AND(IFERROR(INDEX(基础资料!$AD$5:$AD$34,MATCH(O2622,基础资料!$AC$5:$AC$34,0)),"")="支",N(F2622)&lt;&gt;0),"✗ 这类是付款，金额填到支出列",IF(N(H2622)&lt;0,"⚠ 账户余额成负数了，核对一下","√"))))))))))))))))))</f>
      </c>
      <c r="O2622" s="78">
        <f>IF(D2622&lt;&gt;"",D2622,IF(AND(F2622="",G2622=""),"",IF(J2622&lt;&gt;"",IF(N(F2622)&gt;0,"客户回款","客户退款"),IF(K2622&lt;&gt;"",IF(N(G2622)&gt;0,"供应商付款","供应商退款"),IF(L2622&lt;&gt;"","费用支出","")))))</f>
      </c>
      <c r="P2622" s="78">
        <f>IF(O2622="","",IFERROR(INDEX(基础资料!$AE$5:$AE$34,MATCH(O2622,基础资料!$AC$5:$AC$34,0)),"未知"))</f>
      </c>
      <c r="Q2622" s="78">
        <f>IF(P2622="应收",COUNTIF(P$7:P2622,"应收"),"")</f>
      </c>
      <c r="R2622" s="78">
        <f>IF(P2622="应付",COUNTIF(P$7:P2622,"应付"),"")</f>
      </c>
      <c r="S2622" s="78">
        <f>N(F2622)-N(G2622)</f>
        <v>0</v>
      </c>
    </row>
    <row r="2623">
      <c r="A2623" s="109">
        <f>IF(AND(F2623="",G2623=""),"",ROW()-6)</f>
      </c>
      <c r="B2623" s="140" t="n"/>
      <c r="C2623" s="141" t="n"/>
      <c r="D2623" s="141" t="n"/>
      <c r="E2623" s="142" t="n"/>
      <c r="F2623" s="143" t="n"/>
      <c r="G2623" s="144" t="n"/>
      <c r="H2623" s="145">
        <f>IF(OR(C2623="",AND(F2623="",G2623="")),"",SUMIF(基础资料!$W$5:$W$24,C2623,基础资料!$X$5:$X$24)+SUMIF(C$7:C2623,C2623,F$7:F2623)-SUMIF(C$7:C2623,C2623,G$7:G2623))</f>
      </c>
      <c r="I2623" s="145">
        <f>IF(AND(F2623="",G2623=""),"",SUM(基础资料!$X$5:$X$24)+SUM(F$7:F2623)-SUM(G$7:G2623))</f>
      </c>
      <c r="J2623" s="141" t="n"/>
      <c r="K2623" s="141" t="n"/>
      <c r="L2623" s="141" t="n"/>
      <c r="M2623" s="142" t="n"/>
      <c r="N2623" s="146">
        <f>IF(AND(AND(F2623="",G2623=""),B2623="",C2623="",D2623="",J2623="",K2623="",L2623=""),"",IF(AND(F2623="",G2623=""),"✗ 没填金额",IF(AND(N(F2623)&lt;&gt;0,N(G2623)&lt;&gt;0),"✗ 收入、支出只能填一边",IF(NOT(ISNUMBER(B2623)),"✗ 日期不是真日期（要像 2026/9/25 这样填）",IF(OR(B2623&lt;年初日,B2623&gt;年末日),"✗ 日期不在本会计年度",IF(C2623="","✗ 没选账户",IF(COUNTIF(基础资料!$W$5:$W$24,C2623)=0,"✗ 账户不在基础资料里",IF(O2623="","✗ 没选收支项目",IF(P2623="未知","✗ 收支项目不在基础资料里",IF(AND(P2623="应收",J2623=""),"✗ 这笔要选客户",IF(AND(P2623="应收",COUNTIF(总览汇总!$B$5:$B$304,J2623)=0),"✗ 客户不在总览汇总名单里",IF(AND(P2623="应付",K2623=""),"✗ 这笔要选供应商",IF(AND(P2623="应付",COUNTIF(基础资料!$Q$5:$Q$54,K2623)=0),"✗ 供应商不在基础资料里",IF(AND(P2623="费用",L2623=""),"✗ 费用支出要选费用项目",IF(AND(L2623&lt;&gt;"",COUNTIF(基础资料!$AI$5:$AI$54,L2623)=0),"✗ 费用项目不在基础资料里",IF(AND(IFERROR(INDEX(基础资料!$AD$5:$AD$34,MATCH(O2623,基础资料!$AC$5:$AC$34,0)),"")="收",N(G2623)&lt;&gt;0),"✗ 这类是收款，金额填到收入列",IF(AND(IFERROR(INDEX(基础资料!$AD$5:$AD$34,MATCH(O2623,基础资料!$AC$5:$AC$34,0)),"")="支",N(F2623)&lt;&gt;0),"✗ 这类是付款，金额填到支出列",IF(N(H2623)&lt;0,"⚠ 账户余额成负数了，核对一下","√"))))))))))))))))))</f>
      </c>
      <c r="O2623" s="78">
        <f>IF(D2623&lt;&gt;"",D2623,IF(AND(F2623="",G2623=""),"",IF(J2623&lt;&gt;"",IF(N(F2623)&gt;0,"客户回款","客户退款"),IF(K2623&lt;&gt;"",IF(N(G2623)&gt;0,"供应商付款","供应商退款"),IF(L2623&lt;&gt;"","费用支出","")))))</f>
      </c>
      <c r="P2623" s="78">
        <f>IF(O2623="","",IFERROR(INDEX(基础资料!$AE$5:$AE$34,MATCH(O2623,基础资料!$AC$5:$AC$34,0)),"未知"))</f>
      </c>
      <c r="Q2623" s="78">
        <f>IF(P2623="应收",COUNTIF(P$7:P2623,"应收"),"")</f>
      </c>
      <c r="R2623" s="78">
        <f>IF(P2623="应付",COUNTIF(P$7:P2623,"应付"),"")</f>
      </c>
      <c r="S2623" s="78">
        <f>N(F2623)-N(G2623)</f>
        <v>0</v>
      </c>
    </row>
    <row r="2624">
      <c r="A2624" s="109">
        <f>IF(AND(F2624="",G2624=""),"",ROW()-6)</f>
      </c>
      <c r="B2624" s="140" t="n"/>
      <c r="C2624" s="141" t="n"/>
      <c r="D2624" s="141" t="n"/>
      <c r="E2624" s="142" t="n"/>
      <c r="F2624" s="143" t="n"/>
      <c r="G2624" s="144" t="n"/>
      <c r="H2624" s="145">
        <f>IF(OR(C2624="",AND(F2624="",G2624="")),"",SUMIF(基础资料!$W$5:$W$24,C2624,基础资料!$X$5:$X$24)+SUMIF(C$7:C2624,C2624,F$7:F2624)-SUMIF(C$7:C2624,C2624,G$7:G2624))</f>
      </c>
      <c r="I2624" s="145">
        <f>IF(AND(F2624="",G2624=""),"",SUM(基础资料!$X$5:$X$24)+SUM(F$7:F2624)-SUM(G$7:G2624))</f>
      </c>
      <c r="J2624" s="141" t="n"/>
      <c r="K2624" s="141" t="n"/>
      <c r="L2624" s="141" t="n"/>
      <c r="M2624" s="142" t="n"/>
      <c r="N2624" s="146">
        <f>IF(AND(AND(F2624="",G2624=""),B2624="",C2624="",D2624="",J2624="",K2624="",L2624=""),"",IF(AND(F2624="",G2624=""),"✗ 没填金额",IF(AND(N(F2624)&lt;&gt;0,N(G2624)&lt;&gt;0),"✗ 收入、支出只能填一边",IF(NOT(ISNUMBER(B2624)),"✗ 日期不是真日期（要像 2026/9/25 这样填）",IF(OR(B2624&lt;年初日,B2624&gt;年末日),"✗ 日期不在本会计年度",IF(C2624="","✗ 没选账户",IF(COUNTIF(基础资料!$W$5:$W$24,C2624)=0,"✗ 账户不在基础资料里",IF(O2624="","✗ 没选收支项目",IF(P2624="未知","✗ 收支项目不在基础资料里",IF(AND(P2624="应收",J2624=""),"✗ 这笔要选客户",IF(AND(P2624="应收",COUNTIF(总览汇总!$B$5:$B$304,J2624)=0),"✗ 客户不在总览汇总名单里",IF(AND(P2624="应付",K2624=""),"✗ 这笔要选供应商",IF(AND(P2624="应付",COUNTIF(基础资料!$Q$5:$Q$54,K2624)=0),"✗ 供应商不在基础资料里",IF(AND(P2624="费用",L2624=""),"✗ 费用支出要选费用项目",IF(AND(L2624&lt;&gt;"",COUNTIF(基础资料!$AI$5:$AI$54,L2624)=0),"✗ 费用项目不在基础资料里",IF(AND(IFERROR(INDEX(基础资料!$AD$5:$AD$34,MATCH(O2624,基础资料!$AC$5:$AC$34,0)),"")="收",N(G2624)&lt;&gt;0),"✗ 这类是收款，金额填到收入列",IF(AND(IFERROR(INDEX(基础资料!$AD$5:$AD$34,MATCH(O2624,基础资料!$AC$5:$AC$34,0)),"")="支",N(F2624)&lt;&gt;0),"✗ 这类是付款，金额填到支出列",IF(N(H2624)&lt;0,"⚠ 账户余额成负数了，核对一下","√"))))))))))))))))))</f>
      </c>
      <c r="O2624" s="78">
        <f>IF(D2624&lt;&gt;"",D2624,IF(AND(F2624="",G2624=""),"",IF(J2624&lt;&gt;"",IF(N(F2624)&gt;0,"客户回款","客户退款"),IF(K2624&lt;&gt;"",IF(N(G2624)&gt;0,"供应商付款","供应商退款"),IF(L2624&lt;&gt;"","费用支出","")))))</f>
      </c>
      <c r="P2624" s="78">
        <f>IF(O2624="","",IFERROR(INDEX(基础资料!$AE$5:$AE$34,MATCH(O2624,基础资料!$AC$5:$AC$34,0)),"未知"))</f>
      </c>
      <c r="Q2624" s="78">
        <f>IF(P2624="应收",COUNTIF(P$7:P2624,"应收"),"")</f>
      </c>
      <c r="R2624" s="78">
        <f>IF(P2624="应付",COUNTIF(P$7:P2624,"应付"),"")</f>
      </c>
      <c r="S2624" s="78">
        <f>N(F2624)-N(G2624)</f>
        <v>0</v>
      </c>
    </row>
    <row r="2625">
      <c r="A2625" s="109">
        <f>IF(AND(F2625="",G2625=""),"",ROW()-6)</f>
      </c>
      <c r="B2625" s="140" t="n"/>
      <c r="C2625" s="141" t="n"/>
      <c r="D2625" s="141" t="n"/>
      <c r="E2625" s="142" t="n"/>
      <c r="F2625" s="143" t="n"/>
      <c r="G2625" s="144" t="n"/>
      <c r="H2625" s="145">
        <f>IF(OR(C2625="",AND(F2625="",G2625="")),"",SUMIF(基础资料!$W$5:$W$24,C2625,基础资料!$X$5:$X$24)+SUMIF(C$7:C2625,C2625,F$7:F2625)-SUMIF(C$7:C2625,C2625,G$7:G2625))</f>
      </c>
      <c r="I2625" s="145">
        <f>IF(AND(F2625="",G2625=""),"",SUM(基础资料!$X$5:$X$24)+SUM(F$7:F2625)-SUM(G$7:G2625))</f>
      </c>
      <c r="J2625" s="141" t="n"/>
      <c r="K2625" s="141" t="n"/>
      <c r="L2625" s="141" t="n"/>
      <c r="M2625" s="142" t="n"/>
      <c r="N2625" s="146">
        <f>IF(AND(AND(F2625="",G2625=""),B2625="",C2625="",D2625="",J2625="",K2625="",L2625=""),"",IF(AND(F2625="",G2625=""),"✗ 没填金额",IF(AND(N(F2625)&lt;&gt;0,N(G2625)&lt;&gt;0),"✗ 收入、支出只能填一边",IF(NOT(ISNUMBER(B2625)),"✗ 日期不是真日期（要像 2026/9/25 这样填）",IF(OR(B2625&lt;年初日,B2625&gt;年末日),"✗ 日期不在本会计年度",IF(C2625="","✗ 没选账户",IF(COUNTIF(基础资料!$W$5:$W$24,C2625)=0,"✗ 账户不在基础资料里",IF(O2625="","✗ 没选收支项目",IF(P2625="未知","✗ 收支项目不在基础资料里",IF(AND(P2625="应收",J2625=""),"✗ 这笔要选客户",IF(AND(P2625="应收",COUNTIF(总览汇总!$B$5:$B$304,J2625)=0),"✗ 客户不在总览汇总名单里",IF(AND(P2625="应付",K2625=""),"✗ 这笔要选供应商",IF(AND(P2625="应付",COUNTIF(基础资料!$Q$5:$Q$54,K2625)=0),"✗ 供应商不在基础资料里",IF(AND(P2625="费用",L2625=""),"✗ 费用支出要选费用项目",IF(AND(L2625&lt;&gt;"",COUNTIF(基础资料!$AI$5:$AI$54,L2625)=0),"✗ 费用项目不在基础资料里",IF(AND(IFERROR(INDEX(基础资料!$AD$5:$AD$34,MATCH(O2625,基础资料!$AC$5:$AC$34,0)),"")="收",N(G2625)&lt;&gt;0),"✗ 这类是收款，金额填到收入列",IF(AND(IFERROR(INDEX(基础资料!$AD$5:$AD$34,MATCH(O2625,基础资料!$AC$5:$AC$34,0)),"")="支",N(F2625)&lt;&gt;0),"✗ 这类是付款，金额填到支出列",IF(N(H2625)&lt;0,"⚠ 账户余额成负数了，核对一下","√"))))))))))))))))))</f>
      </c>
      <c r="O2625" s="78">
        <f>IF(D2625&lt;&gt;"",D2625,IF(AND(F2625="",G2625=""),"",IF(J2625&lt;&gt;"",IF(N(F2625)&gt;0,"客户回款","客户退款"),IF(K2625&lt;&gt;"",IF(N(G2625)&gt;0,"供应商付款","供应商退款"),IF(L2625&lt;&gt;"","费用支出","")))))</f>
      </c>
      <c r="P2625" s="78">
        <f>IF(O2625="","",IFERROR(INDEX(基础资料!$AE$5:$AE$34,MATCH(O2625,基础资料!$AC$5:$AC$34,0)),"未知"))</f>
      </c>
      <c r="Q2625" s="78">
        <f>IF(P2625="应收",COUNTIF(P$7:P2625,"应收"),"")</f>
      </c>
      <c r="R2625" s="78">
        <f>IF(P2625="应付",COUNTIF(P$7:P2625,"应付"),"")</f>
      </c>
      <c r="S2625" s="78">
        <f>N(F2625)-N(G2625)</f>
        <v>0</v>
      </c>
    </row>
    <row r="2626">
      <c r="A2626" s="109">
        <f>IF(AND(F2626="",G2626=""),"",ROW()-6)</f>
      </c>
      <c r="B2626" s="140" t="n"/>
      <c r="C2626" s="141" t="n"/>
      <c r="D2626" s="141" t="n"/>
      <c r="E2626" s="142" t="n"/>
      <c r="F2626" s="143" t="n"/>
      <c r="G2626" s="144" t="n"/>
      <c r="H2626" s="145">
        <f>IF(OR(C2626="",AND(F2626="",G2626="")),"",SUMIF(基础资料!$W$5:$W$24,C2626,基础资料!$X$5:$X$24)+SUMIF(C$7:C2626,C2626,F$7:F2626)-SUMIF(C$7:C2626,C2626,G$7:G2626))</f>
      </c>
      <c r="I2626" s="145">
        <f>IF(AND(F2626="",G2626=""),"",SUM(基础资料!$X$5:$X$24)+SUM(F$7:F2626)-SUM(G$7:G2626))</f>
      </c>
      <c r="J2626" s="141" t="n"/>
      <c r="K2626" s="141" t="n"/>
      <c r="L2626" s="141" t="n"/>
      <c r="M2626" s="142" t="n"/>
      <c r="N2626" s="146">
        <f>IF(AND(AND(F2626="",G2626=""),B2626="",C2626="",D2626="",J2626="",K2626="",L2626=""),"",IF(AND(F2626="",G2626=""),"✗ 没填金额",IF(AND(N(F2626)&lt;&gt;0,N(G2626)&lt;&gt;0),"✗ 收入、支出只能填一边",IF(NOT(ISNUMBER(B2626)),"✗ 日期不是真日期（要像 2026/9/25 这样填）",IF(OR(B2626&lt;年初日,B2626&gt;年末日),"✗ 日期不在本会计年度",IF(C2626="","✗ 没选账户",IF(COUNTIF(基础资料!$W$5:$W$24,C2626)=0,"✗ 账户不在基础资料里",IF(O2626="","✗ 没选收支项目",IF(P2626="未知","✗ 收支项目不在基础资料里",IF(AND(P2626="应收",J2626=""),"✗ 这笔要选客户",IF(AND(P2626="应收",COUNTIF(总览汇总!$B$5:$B$304,J2626)=0),"✗ 客户不在总览汇总名单里",IF(AND(P2626="应付",K2626=""),"✗ 这笔要选供应商",IF(AND(P2626="应付",COUNTIF(基础资料!$Q$5:$Q$54,K2626)=0),"✗ 供应商不在基础资料里",IF(AND(P2626="费用",L2626=""),"✗ 费用支出要选费用项目",IF(AND(L2626&lt;&gt;"",COUNTIF(基础资料!$AI$5:$AI$54,L2626)=0),"✗ 费用项目不在基础资料里",IF(AND(IFERROR(INDEX(基础资料!$AD$5:$AD$34,MATCH(O2626,基础资料!$AC$5:$AC$34,0)),"")="收",N(G2626)&lt;&gt;0),"✗ 这类是收款，金额填到收入列",IF(AND(IFERROR(INDEX(基础资料!$AD$5:$AD$34,MATCH(O2626,基础资料!$AC$5:$AC$34,0)),"")="支",N(F2626)&lt;&gt;0),"✗ 这类是付款，金额填到支出列",IF(N(H2626)&lt;0,"⚠ 账户余额成负数了，核对一下","√"))))))))))))))))))</f>
      </c>
      <c r="O2626" s="78">
        <f>IF(D2626&lt;&gt;"",D2626,IF(AND(F2626="",G2626=""),"",IF(J2626&lt;&gt;"",IF(N(F2626)&gt;0,"客户回款","客户退款"),IF(K2626&lt;&gt;"",IF(N(G2626)&gt;0,"供应商付款","供应商退款"),IF(L2626&lt;&gt;"","费用支出","")))))</f>
      </c>
      <c r="P2626" s="78">
        <f>IF(O2626="","",IFERROR(INDEX(基础资料!$AE$5:$AE$34,MATCH(O2626,基础资料!$AC$5:$AC$34,0)),"未知"))</f>
      </c>
      <c r="Q2626" s="78">
        <f>IF(P2626="应收",COUNTIF(P$7:P2626,"应收"),"")</f>
      </c>
      <c r="R2626" s="78">
        <f>IF(P2626="应付",COUNTIF(P$7:P2626,"应付"),"")</f>
      </c>
      <c r="S2626" s="78">
        <f>N(F2626)-N(G2626)</f>
        <v>0</v>
      </c>
    </row>
    <row r="2627">
      <c r="A2627" s="109">
        <f>IF(AND(F2627="",G2627=""),"",ROW()-6)</f>
      </c>
      <c r="B2627" s="140" t="n"/>
      <c r="C2627" s="141" t="n"/>
      <c r="D2627" s="141" t="n"/>
      <c r="E2627" s="142" t="n"/>
      <c r="F2627" s="143" t="n"/>
      <c r="G2627" s="144" t="n"/>
      <c r="H2627" s="145">
        <f>IF(OR(C2627="",AND(F2627="",G2627="")),"",SUMIF(基础资料!$W$5:$W$24,C2627,基础资料!$X$5:$X$24)+SUMIF(C$7:C2627,C2627,F$7:F2627)-SUMIF(C$7:C2627,C2627,G$7:G2627))</f>
      </c>
      <c r="I2627" s="145">
        <f>IF(AND(F2627="",G2627=""),"",SUM(基础资料!$X$5:$X$24)+SUM(F$7:F2627)-SUM(G$7:G2627))</f>
      </c>
      <c r="J2627" s="141" t="n"/>
      <c r="K2627" s="141" t="n"/>
      <c r="L2627" s="141" t="n"/>
      <c r="M2627" s="142" t="n"/>
      <c r="N2627" s="146">
        <f>IF(AND(AND(F2627="",G2627=""),B2627="",C2627="",D2627="",J2627="",K2627="",L2627=""),"",IF(AND(F2627="",G2627=""),"✗ 没填金额",IF(AND(N(F2627)&lt;&gt;0,N(G2627)&lt;&gt;0),"✗ 收入、支出只能填一边",IF(NOT(ISNUMBER(B2627)),"✗ 日期不是真日期（要像 2026/9/25 这样填）",IF(OR(B2627&lt;年初日,B2627&gt;年末日),"✗ 日期不在本会计年度",IF(C2627="","✗ 没选账户",IF(COUNTIF(基础资料!$W$5:$W$24,C2627)=0,"✗ 账户不在基础资料里",IF(O2627="","✗ 没选收支项目",IF(P2627="未知","✗ 收支项目不在基础资料里",IF(AND(P2627="应收",J2627=""),"✗ 这笔要选客户",IF(AND(P2627="应收",COUNTIF(总览汇总!$B$5:$B$304,J2627)=0),"✗ 客户不在总览汇总名单里",IF(AND(P2627="应付",K2627=""),"✗ 这笔要选供应商",IF(AND(P2627="应付",COUNTIF(基础资料!$Q$5:$Q$54,K2627)=0),"✗ 供应商不在基础资料里",IF(AND(P2627="费用",L2627=""),"✗ 费用支出要选费用项目",IF(AND(L2627&lt;&gt;"",COUNTIF(基础资料!$AI$5:$AI$54,L2627)=0),"✗ 费用项目不在基础资料里",IF(AND(IFERROR(INDEX(基础资料!$AD$5:$AD$34,MATCH(O2627,基础资料!$AC$5:$AC$34,0)),"")="收",N(G2627)&lt;&gt;0),"✗ 这类是收款，金额填到收入列",IF(AND(IFERROR(INDEX(基础资料!$AD$5:$AD$34,MATCH(O2627,基础资料!$AC$5:$AC$34,0)),"")="支",N(F2627)&lt;&gt;0),"✗ 这类是付款，金额填到支出列",IF(N(H2627)&lt;0,"⚠ 账户余额成负数了，核对一下","√"))))))))))))))))))</f>
      </c>
      <c r="O2627" s="78">
        <f>IF(D2627&lt;&gt;"",D2627,IF(AND(F2627="",G2627=""),"",IF(J2627&lt;&gt;"",IF(N(F2627)&gt;0,"客户回款","客户退款"),IF(K2627&lt;&gt;"",IF(N(G2627)&gt;0,"供应商付款","供应商退款"),IF(L2627&lt;&gt;"","费用支出","")))))</f>
      </c>
      <c r="P2627" s="78">
        <f>IF(O2627="","",IFERROR(INDEX(基础资料!$AE$5:$AE$34,MATCH(O2627,基础资料!$AC$5:$AC$34,0)),"未知"))</f>
      </c>
      <c r="Q2627" s="78">
        <f>IF(P2627="应收",COUNTIF(P$7:P2627,"应收"),"")</f>
      </c>
      <c r="R2627" s="78">
        <f>IF(P2627="应付",COUNTIF(P$7:P2627,"应付"),"")</f>
      </c>
      <c r="S2627" s="78">
        <f>N(F2627)-N(G2627)</f>
        <v>0</v>
      </c>
    </row>
    <row r="2628">
      <c r="A2628" s="109">
        <f>IF(AND(F2628="",G2628=""),"",ROW()-6)</f>
      </c>
      <c r="B2628" s="140" t="n"/>
      <c r="C2628" s="141" t="n"/>
      <c r="D2628" s="141" t="n"/>
      <c r="E2628" s="142" t="n"/>
      <c r="F2628" s="143" t="n"/>
      <c r="G2628" s="144" t="n"/>
      <c r="H2628" s="145">
        <f>IF(OR(C2628="",AND(F2628="",G2628="")),"",SUMIF(基础资料!$W$5:$W$24,C2628,基础资料!$X$5:$X$24)+SUMIF(C$7:C2628,C2628,F$7:F2628)-SUMIF(C$7:C2628,C2628,G$7:G2628))</f>
      </c>
      <c r="I2628" s="145">
        <f>IF(AND(F2628="",G2628=""),"",SUM(基础资料!$X$5:$X$24)+SUM(F$7:F2628)-SUM(G$7:G2628))</f>
      </c>
      <c r="J2628" s="141" t="n"/>
      <c r="K2628" s="141" t="n"/>
      <c r="L2628" s="141" t="n"/>
      <c r="M2628" s="142" t="n"/>
      <c r="N2628" s="146">
        <f>IF(AND(AND(F2628="",G2628=""),B2628="",C2628="",D2628="",J2628="",K2628="",L2628=""),"",IF(AND(F2628="",G2628=""),"✗ 没填金额",IF(AND(N(F2628)&lt;&gt;0,N(G2628)&lt;&gt;0),"✗ 收入、支出只能填一边",IF(NOT(ISNUMBER(B2628)),"✗ 日期不是真日期（要像 2026/9/25 这样填）",IF(OR(B2628&lt;年初日,B2628&gt;年末日),"✗ 日期不在本会计年度",IF(C2628="","✗ 没选账户",IF(COUNTIF(基础资料!$W$5:$W$24,C2628)=0,"✗ 账户不在基础资料里",IF(O2628="","✗ 没选收支项目",IF(P2628="未知","✗ 收支项目不在基础资料里",IF(AND(P2628="应收",J2628=""),"✗ 这笔要选客户",IF(AND(P2628="应收",COUNTIF(总览汇总!$B$5:$B$304,J2628)=0),"✗ 客户不在总览汇总名单里",IF(AND(P2628="应付",K2628=""),"✗ 这笔要选供应商",IF(AND(P2628="应付",COUNTIF(基础资料!$Q$5:$Q$54,K2628)=0),"✗ 供应商不在基础资料里",IF(AND(P2628="费用",L2628=""),"✗ 费用支出要选费用项目",IF(AND(L2628&lt;&gt;"",COUNTIF(基础资料!$AI$5:$AI$54,L2628)=0),"✗ 费用项目不在基础资料里",IF(AND(IFERROR(INDEX(基础资料!$AD$5:$AD$34,MATCH(O2628,基础资料!$AC$5:$AC$34,0)),"")="收",N(G2628)&lt;&gt;0),"✗ 这类是收款，金额填到收入列",IF(AND(IFERROR(INDEX(基础资料!$AD$5:$AD$34,MATCH(O2628,基础资料!$AC$5:$AC$34,0)),"")="支",N(F2628)&lt;&gt;0),"✗ 这类是付款，金额填到支出列",IF(N(H2628)&lt;0,"⚠ 账户余额成负数了，核对一下","√"))))))))))))))))))</f>
      </c>
      <c r="O2628" s="78">
        <f>IF(D2628&lt;&gt;"",D2628,IF(AND(F2628="",G2628=""),"",IF(J2628&lt;&gt;"",IF(N(F2628)&gt;0,"客户回款","客户退款"),IF(K2628&lt;&gt;"",IF(N(G2628)&gt;0,"供应商付款","供应商退款"),IF(L2628&lt;&gt;"","费用支出","")))))</f>
      </c>
      <c r="P2628" s="78">
        <f>IF(O2628="","",IFERROR(INDEX(基础资料!$AE$5:$AE$34,MATCH(O2628,基础资料!$AC$5:$AC$34,0)),"未知"))</f>
      </c>
      <c r="Q2628" s="78">
        <f>IF(P2628="应收",COUNTIF(P$7:P2628,"应收"),"")</f>
      </c>
      <c r="R2628" s="78">
        <f>IF(P2628="应付",COUNTIF(P$7:P2628,"应付"),"")</f>
      </c>
      <c r="S2628" s="78">
        <f>N(F2628)-N(G2628)</f>
        <v>0</v>
      </c>
    </row>
    <row r="2629">
      <c r="A2629" s="109">
        <f>IF(AND(F2629="",G2629=""),"",ROW()-6)</f>
      </c>
      <c r="B2629" s="140" t="n"/>
      <c r="C2629" s="141" t="n"/>
      <c r="D2629" s="141" t="n"/>
      <c r="E2629" s="142" t="n"/>
      <c r="F2629" s="143" t="n"/>
      <c r="G2629" s="144" t="n"/>
      <c r="H2629" s="145">
        <f>IF(OR(C2629="",AND(F2629="",G2629="")),"",SUMIF(基础资料!$W$5:$W$24,C2629,基础资料!$X$5:$X$24)+SUMIF(C$7:C2629,C2629,F$7:F2629)-SUMIF(C$7:C2629,C2629,G$7:G2629))</f>
      </c>
      <c r="I2629" s="145">
        <f>IF(AND(F2629="",G2629=""),"",SUM(基础资料!$X$5:$X$24)+SUM(F$7:F2629)-SUM(G$7:G2629))</f>
      </c>
      <c r="J2629" s="141" t="n"/>
      <c r="K2629" s="141" t="n"/>
      <c r="L2629" s="141" t="n"/>
      <c r="M2629" s="142" t="n"/>
      <c r="N2629" s="146">
        <f>IF(AND(AND(F2629="",G2629=""),B2629="",C2629="",D2629="",J2629="",K2629="",L2629=""),"",IF(AND(F2629="",G2629=""),"✗ 没填金额",IF(AND(N(F2629)&lt;&gt;0,N(G2629)&lt;&gt;0),"✗ 收入、支出只能填一边",IF(NOT(ISNUMBER(B2629)),"✗ 日期不是真日期（要像 2026/9/25 这样填）",IF(OR(B2629&lt;年初日,B2629&gt;年末日),"✗ 日期不在本会计年度",IF(C2629="","✗ 没选账户",IF(COUNTIF(基础资料!$W$5:$W$24,C2629)=0,"✗ 账户不在基础资料里",IF(O2629="","✗ 没选收支项目",IF(P2629="未知","✗ 收支项目不在基础资料里",IF(AND(P2629="应收",J2629=""),"✗ 这笔要选客户",IF(AND(P2629="应收",COUNTIF(总览汇总!$B$5:$B$304,J2629)=0),"✗ 客户不在总览汇总名单里",IF(AND(P2629="应付",K2629=""),"✗ 这笔要选供应商",IF(AND(P2629="应付",COUNTIF(基础资料!$Q$5:$Q$54,K2629)=0),"✗ 供应商不在基础资料里",IF(AND(P2629="费用",L2629=""),"✗ 费用支出要选费用项目",IF(AND(L2629&lt;&gt;"",COUNTIF(基础资料!$AI$5:$AI$54,L2629)=0),"✗ 费用项目不在基础资料里",IF(AND(IFERROR(INDEX(基础资料!$AD$5:$AD$34,MATCH(O2629,基础资料!$AC$5:$AC$34,0)),"")="收",N(G2629)&lt;&gt;0),"✗ 这类是收款，金额填到收入列",IF(AND(IFERROR(INDEX(基础资料!$AD$5:$AD$34,MATCH(O2629,基础资料!$AC$5:$AC$34,0)),"")="支",N(F2629)&lt;&gt;0),"✗ 这类是付款，金额填到支出列",IF(N(H2629)&lt;0,"⚠ 账户余额成负数了，核对一下","√"))))))))))))))))))</f>
      </c>
      <c r="O2629" s="78">
        <f>IF(D2629&lt;&gt;"",D2629,IF(AND(F2629="",G2629=""),"",IF(J2629&lt;&gt;"",IF(N(F2629)&gt;0,"客户回款","客户退款"),IF(K2629&lt;&gt;"",IF(N(G2629)&gt;0,"供应商付款","供应商退款"),IF(L2629&lt;&gt;"","费用支出","")))))</f>
      </c>
      <c r="P2629" s="78">
        <f>IF(O2629="","",IFERROR(INDEX(基础资料!$AE$5:$AE$34,MATCH(O2629,基础资料!$AC$5:$AC$34,0)),"未知"))</f>
      </c>
      <c r="Q2629" s="78">
        <f>IF(P2629="应收",COUNTIF(P$7:P2629,"应收"),"")</f>
      </c>
      <c r="R2629" s="78">
        <f>IF(P2629="应付",COUNTIF(P$7:P2629,"应付"),"")</f>
      </c>
      <c r="S2629" s="78">
        <f>N(F2629)-N(G2629)</f>
        <v>0</v>
      </c>
    </row>
    <row r="2630">
      <c r="A2630" s="109">
        <f>IF(AND(F2630="",G2630=""),"",ROW()-6)</f>
      </c>
      <c r="B2630" s="140" t="n"/>
      <c r="C2630" s="141" t="n"/>
      <c r="D2630" s="141" t="n"/>
      <c r="E2630" s="142" t="n"/>
      <c r="F2630" s="143" t="n"/>
      <c r="G2630" s="144" t="n"/>
      <c r="H2630" s="145">
        <f>IF(OR(C2630="",AND(F2630="",G2630="")),"",SUMIF(基础资料!$W$5:$W$24,C2630,基础资料!$X$5:$X$24)+SUMIF(C$7:C2630,C2630,F$7:F2630)-SUMIF(C$7:C2630,C2630,G$7:G2630))</f>
      </c>
      <c r="I2630" s="145">
        <f>IF(AND(F2630="",G2630=""),"",SUM(基础资料!$X$5:$X$24)+SUM(F$7:F2630)-SUM(G$7:G2630))</f>
      </c>
      <c r="J2630" s="141" t="n"/>
      <c r="K2630" s="141" t="n"/>
      <c r="L2630" s="141" t="n"/>
      <c r="M2630" s="142" t="n"/>
      <c r="N2630" s="146">
        <f>IF(AND(AND(F2630="",G2630=""),B2630="",C2630="",D2630="",J2630="",K2630="",L2630=""),"",IF(AND(F2630="",G2630=""),"✗ 没填金额",IF(AND(N(F2630)&lt;&gt;0,N(G2630)&lt;&gt;0),"✗ 收入、支出只能填一边",IF(NOT(ISNUMBER(B2630)),"✗ 日期不是真日期（要像 2026/9/25 这样填）",IF(OR(B2630&lt;年初日,B2630&gt;年末日),"✗ 日期不在本会计年度",IF(C2630="","✗ 没选账户",IF(COUNTIF(基础资料!$W$5:$W$24,C2630)=0,"✗ 账户不在基础资料里",IF(O2630="","✗ 没选收支项目",IF(P2630="未知","✗ 收支项目不在基础资料里",IF(AND(P2630="应收",J2630=""),"✗ 这笔要选客户",IF(AND(P2630="应收",COUNTIF(总览汇总!$B$5:$B$304,J2630)=0),"✗ 客户不在总览汇总名单里",IF(AND(P2630="应付",K2630=""),"✗ 这笔要选供应商",IF(AND(P2630="应付",COUNTIF(基础资料!$Q$5:$Q$54,K2630)=0),"✗ 供应商不在基础资料里",IF(AND(P2630="费用",L2630=""),"✗ 费用支出要选费用项目",IF(AND(L2630&lt;&gt;"",COUNTIF(基础资料!$AI$5:$AI$54,L2630)=0),"✗ 费用项目不在基础资料里",IF(AND(IFERROR(INDEX(基础资料!$AD$5:$AD$34,MATCH(O2630,基础资料!$AC$5:$AC$34,0)),"")="收",N(G2630)&lt;&gt;0),"✗ 这类是收款，金额填到收入列",IF(AND(IFERROR(INDEX(基础资料!$AD$5:$AD$34,MATCH(O2630,基础资料!$AC$5:$AC$34,0)),"")="支",N(F2630)&lt;&gt;0),"✗ 这类是付款，金额填到支出列",IF(N(H2630)&lt;0,"⚠ 账户余额成负数了，核对一下","√"))))))))))))))))))</f>
      </c>
      <c r="O2630" s="78">
        <f>IF(D2630&lt;&gt;"",D2630,IF(AND(F2630="",G2630=""),"",IF(J2630&lt;&gt;"",IF(N(F2630)&gt;0,"客户回款","客户退款"),IF(K2630&lt;&gt;"",IF(N(G2630)&gt;0,"供应商付款","供应商退款"),IF(L2630&lt;&gt;"","费用支出","")))))</f>
      </c>
      <c r="P2630" s="78">
        <f>IF(O2630="","",IFERROR(INDEX(基础资料!$AE$5:$AE$34,MATCH(O2630,基础资料!$AC$5:$AC$34,0)),"未知"))</f>
      </c>
      <c r="Q2630" s="78">
        <f>IF(P2630="应收",COUNTIF(P$7:P2630,"应收"),"")</f>
      </c>
      <c r="R2630" s="78">
        <f>IF(P2630="应付",COUNTIF(P$7:P2630,"应付"),"")</f>
      </c>
      <c r="S2630" s="78">
        <f>N(F2630)-N(G2630)</f>
        <v>0</v>
      </c>
    </row>
    <row r="2631">
      <c r="A2631" s="109">
        <f>IF(AND(F2631="",G2631=""),"",ROW()-6)</f>
      </c>
      <c r="B2631" s="140" t="n"/>
      <c r="C2631" s="141" t="n"/>
      <c r="D2631" s="141" t="n"/>
      <c r="E2631" s="142" t="n"/>
      <c r="F2631" s="143" t="n"/>
      <c r="G2631" s="144" t="n"/>
      <c r="H2631" s="145">
        <f>IF(OR(C2631="",AND(F2631="",G2631="")),"",SUMIF(基础资料!$W$5:$W$24,C2631,基础资料!$X$5:$X$24)+SUMIF(C$7:C2631,C2631,F$7:F2631)-SUMIF(C$7:C2631,C2631,G$7:G2631))</f>
      </c>
      <c r="I2631" s="145">
        <f>IF(AND(F2631="",G2631=""),"",SUM(基础资料!$X$5:$X$24)+SUM(F$7:F2631)-SUM(G$7:G2631))</f>
      </c>
      <c r="J2631" s="141" t="n"/>
      <c r="K2631" s="141" t="n"/>
      <c r="L2631" s="141" t="n"/>
      <c r="M2631" s="142" t="n"/>
      <c r="N2631" s="146">
        <f>IF(AND(AND(F2631="",G2631=""),B2631="",C2631="",D2631="",J2631="",K2631="",L2631=""),"",IF(AND(F2631="",G2631=""),"✗ 没填金额",IF(AND(N(F2631)&lt;&gt;0,N(G2631)&lt;&gt;0),"✗ 收入、支出只能填一边",IF(NOT(ISNUMBER(B2631)),"✗ 日期不是真日期（要像 2026/9/25 这样填）",IF(OR(B2631&lt;年初日,B2631&gt;年末日),"✗ 日期不在本会计年度",IF(C2631="","✗ 没选账户",IF(COUNTIF(基础资料!$W$5:$W$24,C2631)=0,"✗ 账户不在基础资料里",IF(O2631="","✗ 没选收支项目",IF(P2631="未知","✗ 收支项目不在基础资料里",IF(AND(P2631="应收",J2631=""),"✗ 这笔要选客户",IF(AND(P2631="应收",COUNTIF(总览汇总!$B$5:$B$304,J2631)=0),"✗ 客户不在总览汇总名单里",IF(AND(P2631="应付",K2631=""),"✗ 这笔要选供应商",IF(AND(P2631="应付",COUNTIF(基础资料!$Q$5:$Q$54,K2631)=0),"✗ 供应商不在基础资料里",IF(AND(P2631="费用",L2631=""),"✗ 费用支出要选费用项目",IF(AND(L2631&lt;&gt;"",COUNTIF(基础资料!$AI$5:$AI$54,L2631)=0),"✗ 费用项目不在基础资料里",IF(AND(IFERROR(INDEX(基础资料!$AD$5:$AD$34,MATCH(O2631,基础资料!$AC$5:$AC$34,0)),"")="收",N(G2631)&lt;&gt;0),"✗ 这类是收款，金额填到收入列",IF(AND(IFERROR(INDEX(基础资料!$AD$5:$AD$34,MATCH(O2631,基础资料!$AC$5:$AC$34,0)),"")="支",N(F2631)&lt;&gt;0),"✗ 这类是付款，金额填到支出列",IF(N(H2631)&lt;0,"⚠ 账户余额成负数了，核对一下","√"))))))))))))))))))</f>
      </c>
      <c r="O2631" s="78">
        <f>IF(D2631&lt;&gt;"",D2631,IF(AND(F2631="",G2631=""),"",IF(J2631&lt;&gt;"",IF(N(F2631)&gt;0,"客户回款","客户退款"),IF(K2631&lt;&gt;"",IF(N(G2631)&gt;0,"供应商付款","供应商退款"),IF(L2631&lt;&gt;"","费用支出","")))))</f>
      </c>
      <c r="P2631" s="78">
        <f>IF(O2631="","",IFERROR(INDEX(基础资料!$AE$5:$AE$34,MATCH(O2631,基础资料!$AC$5:$AC$34,0)),"未知"))</f>
      </c>
      <c r="Q2631" s="78">
        <f>IF(P2631="应收",COUNTIF(P$7:P2631,"应收"),"")</f>
      </c>
      <c r="R2631" s="78">
        <f>IF(P2631="应付",COUNTIF(P$7:P2631,"应付"),"")</f>
      </c>
      <c r="S2631" s="78">
        <f>N(F2631)-N(G2631)</f>
        <v>0</v>
      </c>
    </row>
    <row r="2632">
      <c r="A2632" s="109">
        <f>IF(AND(F2632="",G2632=""),"",ROW()-6)</f>
      </c>
      <c r="B2632" s="140" t="n"/>
      <c r="C2632" s="141" t="n"/>
      <c r="D2632" s="141" t="n"/>
      <c r="E2632" s="142" t="n"/>
      <c r="F2632" s="143" t="n"/>
      <c r="G2632" s="144" t="n"/>
      <c r="H2632" s="145">
        <f>IF(OR(C2632="",AND(F2632="",G2632="")),"",SUMIF(基础资料!$W$5:$W$24,C2632,基础资料!$X$5:$X$24)+SUMIF(C$7:C2632,C2632,F$7:F2632)-SUMIF(C$7:C2632,C2632,G$7:G2632))</f>
      </c>
      <c r="I2632" s="145">
        <f>IF(AND(F2632="",G2632=""),"",SUM(基础资料!$X$5:$X$24)+SUM(F$7:F2632)-SUM(G$7:G2632))</f>
      </c>
      <c r="J2632" s="141" t="n"/>
      <c r="K2632" s="141" t="n"/>
      <c r="L2632" s="141" t="n"/>
      <c r="M2632" s="142" t="n"/>
      <c r="N2632" s="146">
        <f>IF(AND(AND(F2632="",G2632=""),B2632="",C2632="",D2632="",J2632="",K2632="",L2632=""),"",IF(AND(F2632="",G2632=""),"✗ 没填金额",IF(AND(N(F2632)&lt;&gt;0,N(G2632)&lt;&gt;0),"✗ 收入、支出只能填一边",IF(NOT(ISNUMBER(B2632)),"✗ 日期不是真日期（要像 2026/9/25 这样填）",IF(OR(B2632&lt;年初日,B2632&gt;年末日),"✗ 日期不在本会计年度",IF(C2632="","✗ 没选账户",IF(COUNTIF(基础资料!$W$5:$W$24,C2632)=0,"✗ 账户不在基础资料里",IF(O2632="","✗ 没选收支项目",IF(P2632="未知","✗ 收支项目不在基础资料里",IF(AND(P2632="应收",J2632=""),"✗ 这笔要选客户",IF(AND(P2632="应收",COUNTIF(总览汇总!$B$5:$B$304,J2632)=0),"✗ 客户不在总览汇总名单里",IF(AND(P2632="应付",K2632=""),"✗ 这笔要选供应商",IF(AND(P2632="应付",COUNTIF(基础资料!$Q$5:$Q$54,K2632)=0),"✗ 供应商不在基础资料里",IF(AND(P2632="费用",L2632=""),"✗ 费用支出要选费用项目",IF(AND(L2632&lt;&gt;"",COUNTIF(基础资料!$AI$5:$AI$54,L2632)=0),"✗ 费用项目不在基础资料里",IF(AND(IFERROR(INDEX(基础资料!$AD$5:$AD$34,MATCH(O2632,基础资料!$AC$5:$AC$34,0)),"")="收",N(G2632)&lt;&gt;0),"✗ 这类是收款，金额填到收入列",IF(AND(IFERROR(INDEX(基础资料!$AD$5:$AD$34,MATCH(O2632,基础资料!$AC$5:$AC$34,0)),"")="支",N(F2632)&lt;&gt;0),"✗ 这类是付款，金额填到支出列",IF(N(H2632)&lt;0,"⚠ 账户余额成负数了，核对一下","√"))))))))))))))))))</f>
      </c>
      <c r="O2632" s="78">
        <f>IF(D2632&lt;&gt;"",D2632,IF(AND(F2632="",G2632=""),"",IF(J2632&lt;&gt;"",IF(N(F2632)&gt;0,"客户回款","客户退款"),IF(K2632&lt;&gt;"",IF(N(G2632)&gt;0,"供应商付款","供应商退款"),IF(L2632&lt;&gt;"","费用支出","")))))</f>
      </c>
      <c r="P2632" s="78">
        <f>IF(O2632="","",IFERROR(INDEX(基础资料!$AE$5:$AE$34,MATCH(O2632,基础资料!$AC$5:$AC$34,0)),"未知"))</f>
      </c>
      <c r="Q2632" s="78">
        <f>IF(P2632="应收",COUNTIF(P$7:P2632,"应收"),"")</f>
      </c>
      <c r="R2632" s="78">
        <f>IF(P2632="应付",COUNTIF(P$7:P2632,"应付"),"")</f>
      </c>
      <c r="S2632" s="78">
        <f>N(F2632)-N(G2632)</f>
        <v>0</v>
      </c>
    </row>
    <row r="2633">
      <c r="A2633" s="109">
        <f>IF(AND(F2633="",G2633=""),"",ROW()-6)</f>
      </c>
      <c r="B2633" s="140" t="n"/>
      <c r="C2633" s="141" t="n"/>
      <c r="D2633" s="141" t="n"/>
      <c r="E2633" s="142" t="n"/>
      <c r="F2633" s="143" t="n"/>
      <c r="G2633" s="144" t="n"/>
      <c r="H2633" s="145">
        <f>IF(OR(C2633="",AND(F2633="",G2633="")),"",SUMIF(基础资料!$W$5:$W$24,C2633,基础资料!$X$5:$X$24)+SUMIF(C$7:C2633,C2633,F$7:F2633)-SUMIF(C$7:C2633,C2633,G$7:G2633))</f>
      </c>
      <c r="I2633" s="145">
        <f>IF(AND(F2633="",G2633=""),"",SUM(基础资料!$X$5:$X$24)+SUM(F$7:F2633)-SUM(G$7:G2633))</f>
      </c>
      <c r="J2633" s="141" t="n"/>
      <c r="K2633" s="141" t="n"/>
      <c r="L2633" s="141" t="n"/>
      <c r="M2633" s="142" t="n"/>
      <c r="N2633" s="146">
        <f>IF(AND(AND(F2633="",G2633=""),B2633="",C2633="",D2633="",J2633="",K2633="",L2633=""),"",IF(AND(F2633="",G2633=""),"✗ 没填金额",IF(AND(N(F2633)&lt;&gt;0,N(G2633)&lt;&gt;0),"✗ 收入、支出只能填一边",IF(NOT(ISNUMBER(B2633)),"✗ 日期不是真日期（要像 2026/9/25 这样填）",IF(OR(B2633&lt;年初日,B2633&gt;年末日),"✗ 日期不在本会计年度",IF(C2633="","✗ 没选账户",IF(COUNTIF(基础资料!$W$5:$W$24,C2633)=0,"✗ 账户不在基础资料里",IF(O2633="","✗ 没选收支项目",IF(P2633="未知","✗ 收支项目不在基础资料里",IF(AND(P2633="应收",J2633=""),"✗ 这笔要选客户",IF(AND(P2633="应收",COUNTIF(总览汇总!$B$5:$B$304,J2633)=0),"✗ 客户不在总览汇总名单里",IF(AND(P2633="应付",K2633=""),"✗ 这笔要选供应商",IF(AND(P2633="应付",COUNTIF(基础资料!$Q$5:$Q$54,K2633)=0),"✗ 供应商不在基础资料里",IF(AND(P2633="费用",L2633=""),"✗ 费用支出要选费用项目",IF(AND(L2633&lt;&gt;"",COUNTIF(基础资料!$AI$5:$AI$54,L2633)=0),"✗ 费用项目不在基础资料里",IF(AND(IFERROR(INDEX(基础资料!$AD$5:$AD$34,MATCH(O2633,基础资料!$AC$5:$AC$34,0)),"")="收",N(G2633)&lt;&gt;0),"✗ 这类是收款，金额填到收入列",IF(AND(IFERROR(INDEX(基础资料!$AD$5:$AD$34,MATCH(O2633,基础资料!$AC$5:$AC$34,0)),"")="支",N(F2633)&lt;&gt;0),"✗ 这类是付款，金额填到支出列",IF(N(H2633)&lt;0,"⚠ 账户余额成负数了，核对一下","√"))))))))))))))))))</f>
      </c>
      <c r="O2633" s="78">
        <f>IF(D2633&lt;&gt;"",D2633,IF(AND(F2633="",G2633=""),"",IF(J2633&lt;&gt;"",IF(N(F2633)&gt;0,"客户回款","客户退款"),IF(K2633&lt;&gt;"",IF(N(G2633)&gt;0,"供应商付款","供应商退款"),IF(L2633&lt;&gt;"","费用支出","")))))</f>
      </c>
      <c r="P2633" s="78">
        <f>IF(O2633="","",IFERROR(INDEX(基础资料!$AE$5:$AE$34,MATCH(O2633,基础资料!$AC$5:$AC$34,0)),"未知"))</f>
      </c>
      <c r="Q2633" s="78">
        <f>IF(P2633="应收",COUNTIF(P$7:P2633,"应收"),"")</f>
      </c>
      <c r="R2633" s="78">
        <f>IF(P2633="应付",COUNTIF(P$7:P2633,"应付"),"")</f>
      </c>
      <c r="S2633" s="78">
        <f>N(F2633)-N(G2633)</f>
        <v>0</v>
      </c>
    </row>
    <row r="2634">
      <c r="A2634" s="109">
        <f>IF(AND(F2634="",G2634=""),"",ROW()-6)</f>
      </c>
      <c r="B2634" s="140" t="n"/>
      <c r="C2634" s="141" t="n"/>
      <c r="D2634" s="141" t="n"/>
      <c r="E2634" s="142" t="n"/>
      <c r="F2634" s="143" t="n"/>
      <c r="G2634" s="144" t="n"/>
      <c r="H2634" s="145">
        <f>IF(OR(C2634="",AND(F2634="",G2634="")),"",SUMIF(基础资料!$W$5:$W$24,C2634,基础资料!$X$5:$X$24)+SUMIF(C$7:C2634,C2634,F$7:F2634)-SUMIF(C$7:C2634,C2634,G$7:G2634))</f>
      </c>
      <c r="I2634" s="145">
        <f>IF(AND(F2634="",G2634=""),"",SUM(基础资料!$X$5:$X$24)+SUM(F$7:F2634)-SUM(G$7:G2634))</f>
      </c>
      <c r="J2634" s="141" t="n"/>
      <c r="K2634" s="141" t="n"/>
      <c r="L2634" s="141" t="n"/>
      <c r="M2634" s="142" t="n"/>
      <c r="N2634" s="146">
        <f>IF(AND(AND(F2634="",G2634=""),B2634="",C2634="",D2634="",J2634="",K2634="",L2634=""),"",IF(AND(F2634="",G2634=""),"✗ 没填金额",IF(AND(N(F2634)&lt;&gt;0,N(G2634)&lt;&gt;0),"✗ 收入、支出只能填一边",IF(NOT(ISNUMBER(B2634)),"✗ 日期不是真日期（要像 2026/9/25 这样填）",IF(OR(B2634&lt;年初日,B2634&gt;年末日),"✗ 日期不在本会计年度",IF(C2634="","✗ 没选账户",IF(COUNTIF(基础资料!$W$5:$W$24,C2634)=0,"✗ 账户不在基础资料里",IF(O2634="","✗ 没选收支项目",IF(P2634="未知","✗ 收支项目不在基础资料里",IF(AND(P2634="应收",J2634=""),"✗ 这笔要选客户",IF(AND(P2634="应收",COUNTIF(总览汇总!$B$5:$B$304,J2634)=0),"✗ 客户不在总览汇总名单里",IF(AND(P2634="应付",K2634=""),"✗ 这笔要选供应商",IF(AND(P2634="应付",COUNTIF(基础资料!$Q$5:$Q$54,K2634)=0),"✗ 供应商不在基础资料里",IF(AND(P2634="费用",L2634=""),"✗ 费用支出要选费用项目",IF(AND(L2634&lt;&gt;"",COUNTIF(基础资料!$AI$5:$AI$54,L2634)=0),"✗ 费用项目不在基础资料里",IF(AND(IFERROR(INDEX(基础资料!$AD$5:$AD$34,MATCH(O2634,基础资料!$AC$5:$AC$34,0)),"")="收",N(G2634)&lt;&gt;0),"✗ 这类是收款，金额填到收入列",IF(AND(IFERROR(INDEX(基础资料!$AD$5:$AD$34,MATCH(O2634,基础资料!$AC$5:$AC$34,0)),"")="支",N(F2634)&lt;&gt;0),"✗ 这类是付款，金额填到支出列",IF(N(H2634)&lt;0,"⚠ 账户余额成负数了，核对一下","√"))))))))))))))))))</f>
      </c>
      <c r="O2634" s="78">
        <f>IF(D2634&lt;&gt;"",D2634,IF(AND(F2634="",G2634=""),"",IF(J2634&lt;&gt;"",IF(N(F2634)&gt;0,"客户回款","客户退款"),IF(K2634&lt;&gt;"",IF(N(G2634)&gt;0,"供应商付款","供应商退款"),IF(L2634&lt;&gt;"","费用支出","")))))</f>
      </c>
      <c r="P2634" s="78">
        <f>IF(O2634="","",IFERROR(INDEX(基础资料!$AE$5:$AE$34,MATCH(O2634,基础资料!$AC$5:$AC$34,0)),"未知"))</f>
      </c>
      <c r="Q2634" s="78">
        <f>IF(P2634="应收",COUNTIF(P$7:P2634,"应收"),"")</f>
      </c>
      <c r="R2634" s="78">
        <f>IF(P2634="应付",COUNTIF(P$7:P2634,"应付"),"")</f>
      </c>
      <c r="S2634" s="78">
        <f>N(F2634)-N(G2634)</f>
        <v>0</v>
      </c>
    </row>
    <row r="2635">
      <c r="A2635" s="109">
        <f>IF(AND(F2635="",G2635=""),"",ROW()-6)</f>
      </c>
      <c r="B2635" s="140" t="n"/>
      <c r="C2635" s="141" t="n"/>
      <c r="D2635" s="141" t="n"/>
      <c r="E2635" s="142" t="n"/>
      <c r="F2635" s="143" t="n"/>
      <c r="G2635" s="144" t="n"/>
      <c r="H2635" s="145">
        <f>IF(OR(C2635="",AND(F2635="",G2635="")),"",SUMIF(基础资料!$W$5:$W$24,C2635,基础资料!$X$5:$X$24)+SUMIF(C$7:C2635,C2635,F$7:F2635)-SUMIF(C$7:C2635,C2635,G$7:G2635))</f>
      </c>
      <c r="I2635" s="145">
        <f>IF(AND(F2635="",G2635=""),"",SUM(基础资料!$X$5:$X$24)+SUM(F$7:F2635)-SUM(G$7:G2635))</f>
      </c>
      <c r="J2635" s="141" t="n"/>
      <c r="K2635" s="141" t="n"/>
      <c r="L2635" s="141" t="n"/>
      <c r="M2635" s="142" t="n"/>
      <c r="N2635" s="146">
        <f>IF(AND(AND(F2635="",G2635=""),B2635="",C2635="",D2635="",J2635="",K2635="",L2635=""),"",IF(AND(F2635="",G2635=""),"✗ 没填金额",IF(AND(N(F2635)&lt;&gt;0,N(G2635)&lt;&gt;0),"✗ 收入、支出只能填一边",IF(NOT(ISNUMBER(B2635)),"✗ 日期不是真日期（要像 2026/9/25 这样填）",IF(OR(B2635&lt;年初日,B2635&gt;年末日),"✗ 日期不在本会计年度",IF(C2635="","✗ 没选账户",IF(COUNTIF(基础资料!$W$5:$W$24,C2635)=0,"✗ 账户不在基础资料里",IF(O2635="","✗ 没选收支项目",IF(P2635="未知","✗ 收支项目不在基础资料里",IF(AND(P2635="应收",J2635=""),"✗ 这笔要选客户",IF(AND(P2635="应收",COUNTIF(总览汇总!$B$5:$B$304,J2635)=0),"✗ 客户不在总览汇总名单里",IF(AND(P2635="应付",K2635=""),"✗ 这笔要选供应商",IF(AND(P2635="应付",COUNTIF(基础资料!$Q$5:$Q$54,K2635)=0),"✗ 供应商不在基础资料里",IF(AND(P2635="费用",L2635=""),"✗ 费用支出要选费用项目",IF(AND(L2635&lt;&gt;"",COUNTIF(基础资料!$AI$5:$AI$54,L2635)=0),"✗ 费用项目不在基础资料里",IF(AND(IFERROR(INDEX(基础资料!$AD$5:$AD$34,MATCH(O2635,基础资料!$AC$5:$AC$34,0)),"")="收",N(G2635)&lt;&gt;0),"✗ 这类是收款，金额填到收入列",IF(AND(IFERROR(INDEX(基础资料!$AD$5:$AD$34,MATCH(O2635,基础资料!$AC$5:$AC$34,0)),"")="支",N(F2635)&lt;&gt;0),"✗ 这类是付款，金额填到支出列",IF(N(H2635)&lt;0,"⚠ 账户余额成负数了，核对一下","√"))))))))))))))))))</f>
      </c>
      <c r="O2635" s="78">
        <f>IF(D2635&lt;&gt;"",D2635,IF(AND(F2635="",G2635=""),"",IF(J2635&lt;&gt;"",IF(N(F2635)&gt;0,"客户回款","客户退款"),IF(K2635&lt;&gt;"",IF(N(G2635)&gt;0,"供应商付款","供应商退款"),IF(L2635&lt;&gt;"","费用支出","")))))</f>
      </c>
      <c r="P2635" s="78">
        <f>IF(O2635="","",IFERROR(INDEX(基础资料!$AE$5:$AE$34,MATCH(O2635,基础资料!$AC$5:$AC$34,0)),"未知"))</f>
      </c>
      <c r="Q2635" s="78">
        <f>IF(P2635="应收",COUNTIF(P$7:P2635,"应收"),"")</f>
      </c>
      <c r="R2635" s="78">
        <f>IF(P2635="应付",COUNTIF(P$7:P2635,"应付"),"")</f>
      </c>
      <c r="S2635" s="78">
        <f>N(F2635)-N(G2635)</f>
        <v>0</v>
      </c>
    </row>
    <row r="2636">
      <c r="A2636" s="109">
        <f>IF(AND(F2636="",G2636=""),"",ROW()-6)</f>
      </c>
      <c r="B2636" s="140" t="n"/>
      <c r="C2636" s="141" t="n"/>
      <c r="D2636" s="141" t="n"/>
      <c r="E2636" s="142" t="n"/>
      <c r="F2636" s="143" t="n"/>
      <c r="G2636" s="144" t="n"/>
      <c r="H2636" s="145">
        <f>IF(OR(C2636="",AND(F2636="",G2636="")),"",SUMIF(基础资料!$W$5:$W$24,C2636,基础资料!$X$5:$X$24)+SUMIF(C$7:C2636,C2636,F$7:F2636)-SUMIF(C$7:C2636,C2636,G$7:G2636))</f>
      </c>
      <c r="I2636" s="145">
        <f>IF(AND(F2636="",G2636=""),"",SUM(基础资料!$X$5:$X$24)+SUM(F$7:F2636)-SUM(G$7:G2636))</f>
      </c>
      <c r="J2636" s="141" t="n"/>
      <c r="K2636" s="141" t="n"/>
      <c r="L2636" s="141" t="n"/>
      <c r="M2636" s="142" t="n"/>
      <c r="N2636" s="146">
        <f>IF(AND(AND(F2636="",G2636=""),B2636="",C2636="",D2636="",J2636="",K2636="",L2636=""),"",IF(AND(F2636="",G2636=""),"✗ 没填金额",IF(AND(N(F2636)&lt;&gt;0,N(G2636)&lt;&gt;0),"✗ 收入、支出只能填一边",IF(NOT(ISNUMBER(B2636)),"✗ 日期不是真日期（要像 2026/9/25 这样填）",IF(OR(B2636&lt;年初日,B2636&gt;年末日),"✗ 日期不在本会计年度",IF(C2636="","✗ 没选账户",IF(COUNTIF(基础资料!$W$5:$W$24,C2636)=0,"✗ 账户不在基础资料里",IF(O2636="","✗ 没选收支项目",IF(P2636="未知","✗ 收支项目不在基础资料里",IF(AND(P2636="应收",J2636=""),"✗ 这笔要选客户",IF(AND(P2636="应收",COUNTIF(总览汇总!$B$5:$B$304,J2636)=0),"✗ 客户不在总览汇总名单里",IF(AND(P2636="应付",K2636=""),"✗ 这笔要选供应商",IF(AND(P2636="应付",COUNTIF(基础资料!$Q$5:$Q$54,K2636)=0),"✗ 供应商不在基础资料里",IF(AND(P2636="费用",L2636=""),"✗ 费用支出要选费用项目",IF(AND(L2636&lt;&gt;"",COUNTIF(基础资料!$AI$5:$AI$54,L2636)=0),"✗ 费用项目不在基础资料里",IF(AND(IFERROR(INDEX(基础资料!$AD$5:$AD$34,MATCH(O2636,基础资料!$AC$5:$AC$34,0)),"")="收",N(G2636)&lt;&gt;0),"✗ 这类是收款，金额填到收入列",IF(AND(IFERROR(INDEX(基础资料!$AD$5:$AD$34,MATCH(O2636,基础资料!$AC$5:$AC$34,0)),"")="支",N(F2636)&lt;&gt;0),"✗ 这类是付款，金额填到支出列",IF(N(H2636)&lt;0,"⚠ 账户余额成负数了，核对一下","√"))))))))))))))))))</f>
      </c>
      <c r="O2636" s="78">
        <f>IF(D2636&lt;&gt;"",D2636,IF(AND(F2636="",G2636=""),"",IF(J2636&lt;&gt;"",IF(N(F2636)&gt;0,"客户回款","客户退款"),IF(K2636&lt;&gt;"",IF(N(G2636)&gt;0,"供应商付款","供应商退款"),IF(L2636&lt;&gt;"","费用支出","")))))</f>
      </c>
      <c r="P2636" s="78">
        <f>IF(O2636="","",IFERROR(INDEX(基础资料!$AE$5:$AE$34,MATCH(O2636,基础资料!$AC$5:$AC$34,0)),"未知"))</f>
      </c>
      <c r="Q2636" s="78">
        <f>IF(P2636="应收",COUNTIF(P$7:P2636,"应收"),"")</f>
      </c>
      <c r="R2636" s="78">
        <f>IF(P2636="应付",COUNTIF(P$7:P2636,"应付"),"")</f>
      </c>
      <c r="S2636" s="78">
        <f>N(F2636)-N(G2636)</f>
        <v>0</v>
      </c>
    </row>
    <row r="2637">
      <c r="A2637" s="109">
        <f>IF(AND(F2637="",G2637=""),"",ROW()-6)</f>
      </c>
      <c r="B2637" s="140" t="n"/>
      <c r="C2637" s="141" t="n"/>
      <c r="D2637" s="141" t="n"/>
      <c r="E2637" s="142" t="n"/>
      <c r="F2637" s="143" t="n"/>
      <c r="G2637" s="144" t="n"/>
      <c r="H2637" s="145">
        <f>IF(OR(C2637="",AND(F2637="",G2637="")),"",SUMIF(基础资料!$W$5:$W$24,C2637,基础资料!$X$5:$X$24)+SUMIF(C$7:C2637,C2637,F$7:F2637)-SUMIF(C$7:C2637,C2637,G$7:G2637))</f>
      </c>
      <c r="I2637" s="145">
        <f>IF(AND(F2637="",G2637=""),"",SUM(基础资料!$X$5:$X$24)+SUM(F$7:F2637)-SUM(G$7:G2637))</f>
      </c>
      <c r="J2637" s="141" t="n"/>
      <c r="K2637" s="141" t="n"/>
      <c r="L2637" s="141" t="n"/>
      <c r="M2637" s="142" t="n"/>
      <c r="N2637" s="146">
        <f>IF(AND(AND(F2637="",G2637=""),B2637="",C2637="",D2637="",J2637="",K2637="",L2637=""),"",IF(AND(F2637="",G2637=""),"✗ 没填金额",IF(AND(N(F2637)&lt;&gt;0,N(G2637)&lt;&gt;0),"✗ 收入、支出只能填一边",IF(NOT(ISNUMBER(B2637)),"✗ 日期不是真日期（要像 2026/9/25 这样填）",IF(OR(B2637&lt;年初日,B2637&gt;年末日),"✗ 日期不在本会计年度",IF(C2637="","✗ 没选账户",IF(COUNTIF(基础资料!$W$5:$W$24,C2637)=0,"✗ 账户不在基础资料里",IF(O2637="","✗ 没选收支项目",IF(P2637="未知","✗ 收支项目不在基础资料里",IF(AND(P2637="应收",J2637=""),"✗ 这笔要选客户",IF(AND(P2637="应收",COUNTIF(总览汇总!$B$5:$B$304,J2637)=0),"✗ 客户不在总览汇总名单里",IF(AND(P2637="应付",K2637=""),"✗ 这笔要选供应商",IF(AND(P2637="应付",COUNTIF(基础资料!$Q$5:$Q$54,K2637)=0),"✗ 供应商不在基础资料里",IF(AND(P2637="费用",L2637=""),"✗ 费用支出要选费用项目",IF(AND(L2637&lt;&gt;"",COUNTIF(基础资料!$AI$5:$AI$54,L2637)=0),"✗ 费用项目不在基础资料里",IF(AND(IFERROR(INDEX(基础资料!$AD$5:$AD$34,MATCH(O2637,基础资料!$AC$5:$AC$34,0)),"")="收",N(G2637)&lt;&gt;0),"✗ 这类是收款，金额填到收入列",IF(AND(IFERROR(INDEX(基础资料!$AD$5:$AD$34,MATCH(O2637,基础资料!$AC$5:$AC$34,0)),"")="支",N(F2637)&lt;&gt;0),"✗ 这类是付款，金额填到支出列",IF(N(H2637)&lt;0,"⚠ 账户余额成负数了，核对一下","√"))))))))))))))))))</f>
      </c>
      <c r="O2637" s="78">
        <f>IF(D2637&lt;&gt;"",D2637,IF(AND(F2637="",G2637=""),"",IF(J2637&lt;&gt;"",IF(N(F2637)&gt;0,"客户回款","客户退款"),IF(K2637&lt;&gt;"",IF(N(G2637)&gt;0,"供应商付款","供应商退款"),IF(L2637&lt;&gt;"","费用支出","")))))</f>
      </c>
      <c r="P2637" s="78">
        <f>IF(O2637="","",IFERROR(INDEX(基础资料!$AE$5:$AE$34,MATCH(O2637,基础资料!$AC$5:$AC$34,0)),"未知"))</f>
      </c>
      <c r="Q2637" s="78">
        <f>IF(P2637="应收",COUNTIF(P$7:P2637,"应收"),"")</f>
      </c>
      <c r="R2637" s="78">
        <f>IF(P2637="应付",COUNTIF(P$7:P2637,"应付"),"")</f>
      </c>
      <c r="S2637" s="78">
        <f>N(F2637)-N(G2637)</f>
        <v>0</v>
      </c>
    </row>
    <row r="2638">
      <c r="A2638" s="109">
        <f>IF(AND(F2638="",G2638=""),"",ROW()-6)</f>
      </c>
      <c r="B2638" s="140" t="n"/>
      <c r="C2638" s="141" t="n"/>
      <c r="D2638" s="141" t="n"/>
      <c r="E2638" s="142" t="n"/>
      <c r="F2638" s="143" t="n"/>
      <c r="G2638" s="144" t="n"/>
      <c r="H2638" s="145">
        <f>IF(OR(C2638="",AND(F2638="",G2638="")),"",SUMIF(基础资料!$W$5:$W$24,C2638,基础资料!$X$5:$X$24)+SUMIF(C$7:C2638,C2638,F$7:F2638)-SUMIF(C$7:C2638,C2638,G$7:G2638))</f>
      </c>
      <c r="I2638" s="145">
        <f>IF(AND(F2638="",G2638=""),"",SUM(基础资料!$X$5:$X$24)+SUM(F$7:F2638)-SUM(G$7:G2638))</f>
      </c>
      <c r="J2638" s="141" t="n"/>
      <c r="K2638" s="141" t="n"/>
      <c r="L2638" s="141" t="n"/>
      <c r="M2638" s="142" t="n"/>
      <c r="N2638" s="146">
        <f>IF(AND(AND(F2638="",G2638=""),B2638="",C2638="",D2638="",J2638="",K2638="",L2638=""),"",IF(AND(F2638="",G2638=""),"✗ 没填金额",IF(AND(N(F2638)&lt;&gt;0,N(G2638)&lt;&gt;0),"✗ 收入、支出只能填一边",IF(NOT(ISNUMBER(B2638)),"✗ 日期不是真日期（要像 2026/9/25 这样填）",IF(OR(B2638&lt;年初日,B2638&gt;年末日),"✗ 日期不在本会计年度",IF(C2638="","✗ 没选账户",IF(COUNTIF(基础资料!$W$5:$W$24,C2638)=0,"✗ 账户不在基础资料里",IF(O2638="","✗ 没选收支项目",IF(P2638="未知","✗ 收支项目不在基础资料里",IF(AND(P2638="应收",J2638=""),"✗ 这笔要选客户",IF(AND(P2638="应收",COUNTIF(总览汇总!$B$5:$B$304,J2638)=0),"✗ 客户不在总览汇总名单里",IF(AND(P2638="应付",K2638=""),"✗ 这笔要选供应商",IF(AND(P2638="应付",COUNTIF(基础资料!$Q$5:$Q$54,K2638)=0),"✗ 供应商不在基础资料里",IF(AND(P2638="费用",L2638=""),"✗ 费用支出要选费用项目",IF(AND(L2638&lt;&gt;"",COUNTIF(基础资料!$AI$5:$AI$54,L2638)=0),"✗ 费用项目不在基础资料里",IF(AND(IFERROR(INDEX(基础资料!$AD$5:$AD$34,MATCH(O2638,基础资料!$AC$5:$AC$34,0)),"")="收",N(G2638)&lt;&gt;0),"✗ 这类是收款，金额填到收入列",IF(AND(IFERROR(INDEX(基础资料!$AD$5:$AD$34,MATCH(O2638,基础资料!$AC$5:$AC$34,0)),"")="支",N(F2638)&lt;&gt;0),"✗ 这类是付款，金额填到支出列",IF(N(H2638)&lt;0,"⚠ 账户余额成负数了，核对一下","√"))))))))))))))))))</f>
      </c>
      <c r="O2638" s="78">
        <f>IF(D2638&lt;&gt;"",D2638,IF(AND(F2638="",G2638=""),"",IF(J2638&lt;&gt;"",IF(N(F2638)&gt;0,"客户回款","客户退款"),IF(K2638&lt;&gt;"",IF(N(G2638)&gt;0,"供应商付款","供应商退款"),IF(L2638&lt;&gt;"","费用支出","")))))</f>
      </c>
      <c r="P2638" s="78">
        <f>IF(O2638="","",IFERROR(INDEX(基础资料!$AE$5:$AE$34,MATCH(O2638,基础资料!$AC$5:$AC$34,0)),"未知"))</f>
      </c>
      <c r="Q2638" s="78">
        <f>IF(P2638="应收",COUNTIF(P$7:P2638,"应收"),"")</f>
      </c>
      <c r="R2638" s="78">
        <f>IF(P2638="应付",COUNTIF(P$7:P2638,"应付"),"")</f>
      </c>
      <c r="S2638" s="78">
        <f>N(F2638)-N(G2638)</f>
        <v>0</v>
      </c>
    </row>
    <row r="2639">
      <c r="A2639" s="109">
        <f>IF(AND(F2639="",G2639=""),"",ROW()-6)</f>
      </c>
      <c r="B2639" s="140" t="n"/>
      <c r="C2639" s="141" t="n"/>
      <c r="D2639" s="141" t="n"/>
      <c r="E2639" s="142" t="n"/>
      <c r="F2639" s="143" t="n"/>
      <c r="G2639" s="144" t="n"/>
      <c r="H2639" s="145">
        <f>IF(OR(C2639="",AND(F2639="",G2639="")),"",SUMIF(基础资料!$W$5:$W$24,C2639,基础资料!$X$5:$X$24)+SUMIF(C$7:C2639,C2639,F$7:F2639)-SUMIF(C$7:C2639,C2639,G$7:G2639))</f>
      </c>
      <c r="I2639" s="145">
        <f>IF(AND(F2639="",G2639=""),"",SUM(基础资料!$X$5:$X$24)+SUM(F$7:F2639)-SUM(G$7:G2639))</f>
      </c>
      <c r="J2639" s="141" t="n"/>
      <c r="K2639" s="141" t="n"/>
      <c r="L2639" s="141" t="n"/>
      <c r="M2639" s="142" t="n"/>
      <c r="N2639" s="146">
        <f>IF(AND(AND(F2639="",G2639=""),B2639="",C2639="",D2639="",J2639="",K2639="",L2639=""),"",IF(AND(F2639="",G2639=""),"✗ 没填金额",IF(AND(N(F2639)&lt;&gt;0,N(G2639)&lt;&gt;0),"✗ 收入、支出只能填一边",IF(NOT(ISNUMBER(B2639)),"✗ 日期不是真日期（要像 2026/9/25 这样填）",IF(OR(B2639&lt;年初日,B2639&gt;年末日),"✗ 日期不在本会计年度",IF(C2639="","✗ 没选账户",IF(COUNTIF(基础资料!$W$5:$W$24,C2639)=0,"✗ 账户不在基础资料里",IF(O2639="","✗ 没选收支项目",IF(P2639="未知","✗ 收支项目不在基础资料里",IF(AND(P2639="应收",J2639=""),"✗ 这笔要选客户",IF(AND(P2639="应收",COUNTIF(总览汇总!$B$5:$B$304,J2639)=0),"✗ 客户不在总览汇总名单里",IF(AND(P2639="应付",K2639=""),"✗ 这笔要选供应商",IF(AND(P2639="应付",COUNTIF(基础资料!$Q$5:$Q$54,K2639)=0),"✗ 供应商不在基础资料里",IF(AND(P2639="费用",L2639=""),"✗ 费用支出要选费用项目",IF(AND(L2639&lt;&gt;"",COUNTIF(基础资料!$AI$5:$AI$54,L2639)=0),"✗ 费用项目不在基础资料里",IF(AND(IFERROR(INDEX(基础资料!$AD$5:$AD$34,MATCH(O2639,基础资料!$AC$5:$AC$34,0)),"")="收",N(G2639)&lt;&gt;0),"✗ 这类是收款，金额填到收入列",IF(AND(IFERROR(INDEX(基础资料!$AD$5:$AD$34,MATCH(O2639,基础资料!$AC$5:$AC$34,0)),"")="支",N(F2639)&lt;&gt;0),"✗ 这类是付款，金额填到支出列",IF(N(H2639)&lt;0,"⚠ 账户余额成负数了，核对一下","√"))))))))))))))))))</f>
      </c>
      <c r="O2639" s="78">
        <f>IF(D2639&lt;&gt;"",D2639,IF(AND(F2639="",G2639=""),"",IF(J2639&lt;&gt;"",IF(N(F2639)&gt;0,"客户回款","客户退款"),IF(K2639&lt;&gt;"",IF(N(G2639)&gt;0,"供应商付款","供应商退款"),IF(L2639&lt;&gt;"","费用支出","")))))</f>
      </c>
      <c r="P2639" s="78">
        <f>IF(O2639="","",IFERROR(INDEX(基础资料!$AE$5:$AE$34,MATCH(O2639,基础资料!$AC$5:$AC$34,0)),"未知"))</f>
      </c>
      <c r="Q2639" s="78">
        <f>IF(P2639="应收",COUNTIF(P$7:P2639,"应收"),"")</f>
      </c>
      <c r="R2639" s="78">
        <f>IF(P2639="应付",COUNTIF(P$7:P2639,"应付"),"")</f>
      </c>
      <c r="S2639" s="78">
        <f>N(F2639)-N(G2639)</f>
        <v>0</v>
      </c>
    </row>
    <row r="2640">
      <c r="A2640" s="109">
        <f>IF(AND(F2640="",G2640=""),"",ROW()-6)</f>
      </c>
      <c r="B2640" s="140" t="n"/>
      <c r="C2640" s="141" t="n"/>
      <c r="D2640" s="141" t="n"/>
      <c r="E2640" s="142" t="n"/>
      <c r="F2640" s="143" t="n"/>
      <c r="G2640" s="144" t="n"/>
      <c r="H2640" s="145">
        <f>IF(OR(C2640="",AND(F2640="",G2640="")),"",SUMIF(基础资料!$W$5:$W$24,C2640,基础资料!$X$5:$X$24)+SUMIF(C$7:C2640,C2640,F$7:F2640)-SUMIF(C$7:C2640,C2640,G$7:G2640))</f>
      </c>
      <c r="I2640" s="145">
        <f>IF(AND(F2640="",G2640=""),"",SUM(基础资料!$X$5:$X$24)+SUM(F$7:F2640)-SUM(G$7:G2640))</f>
      </c>
      <c r="J2640" s="141" t="n"/>
      <c r="K2640" s="141" t="n"/>
      <c r="L2640" s="141" t="n"/>
      <c r="M2640" s="142" t="n"/>
      <c r="N2640" s="146">
        <f>IF(AND(AND(F2640="",G2640=""),B2640="",C2640="",D2640="",J2640="",K2640="",L2640=""),"",IF(AND(F2640="",G2640=""),"✗ 没填金额",IF(AND(N(F2640)&lt;&gt;0,N(G2640)&lt;&gt;0),"✗ 收入、支出只能填一边",IF(NOT(ISNUMBER(B2640)),"✗ 日期不是真日期（要像 2026/9/25 这样填）",IF(OR(B2640&lt;年初日,B2640&gt;年末日),"✗ 日期不在本会计年度",IF(C2640="","✗ 没选账户",IF(COUNTIF(基础资料!$W$5:$W$24,C2640)=0,"✗ 账户不在基础资料里",IF(O2640="","✗ 没选收支项目",IF(P2640="未知","✗ 收支项目不在基础资料里",IF(AND(P2640="应收",J2640=""),"✗ 这笔要选客户",IF(AND(P2640="应收",COUNTIF(总览汇总!$B$5:$B$304,J2640)=0),"✗ 客户不在总览汇总名单里",IF(AND(P2640="应付",K2640=""),"✗ 这笔要选供应商",IF(AND(P2640="应付",COUNTIF(基础资料!$Q$5:$Q$54,K2640)=0),"✗ 供应商不在基础资料里",IF(AND(P2640="费用",L2640=""),"✗ 费用支出要选费用项目",IF(AND(L2640&lt;&gt;"",COUNTIF(基础资料!$AI$5:$AI$54,L2640)=0),"✗ 费用项目不在基础资料里",IF(AND(IFERROR(INDEX(基础资料!$AD$5:$AD$34,MATCH(O2640,基础资料!$AC$5:$AC$34,0)),"")="收",N(G2640)&lt;&gt;0),"✗ 这类是收款，金额填到收入列",IF(AND(IFERROR(INDEX(基础资料!$AD$5:$AD$34,MATCH(O2640,基础资料!$AC$5:$AC$34,0)),"")="支",N(F2640)&lt;&gt;0),"✗ 这类是付款，金额填到支出列",IF(N(H2640)&lt;0,"⚠ 账户余额成负数了，核对一下","√"))))))))))))))))))</f>
      </c>
      <c r="O2640" s="78">
        <f>IF(D2640&lt;&gt;"",D2640,IF(AND(F2640="",G2640=""),"",IF(J2640&lt;&gt;"",IF(N(F2640)&gt;0,"客户回款","客户退款"),IF(K2640&lt;&gt;"",IF(N(G2640)&gt;0,"供应商付款","供应商退款"),IF(L2640&lt;&gt;"","费用支出","")))))</f>
      </c>
      <c r="P2640" s="78">
        <f>IF(O2640="","",IFERROR(INDEX(基础资料!$AE$5:$AE$34,MATCH(O2640,基础资料!$AC$5:$AC$34,0)),"未知"))</f>
      </c>
      <c r="Q2640" s="78">
        <f>IF(P2640="应收",COUNTIF(P$7:P2640,"应收"),"")</f>
      </c>
      <c r="R2640" s="78">
        <f>IF(P2640="应付",COUNTIF(P$7:P2640,"应付"),"")</f>
      </c>
      <c r="S2640" s="78">
        <f>N(F2640)-N(G2640)</f>
        <v>0</v>
      </c>
    </row>
    <row r="2641">
      <c r="A2641" s="109">
        <f>IF(AND(F2641="",G2641=""),"",ROW()-6)</f>
      </c>
      <c r="B2641" s="140" t="n"/>
      <c r="C2641" s="141" t="n"/>
      <c r="D2641" s="141" t="n"/>
      <c r="E2641" s="142" t="n"/>
      <c r="F2641" s="143" t="n"/>
      <c r="G2641" s="144" t="n"/>
      <c r="H2641" s="145">
        <f>IF(OR(C2641="",AND(F2641="",G2641="")),"",SUMIF(基础资料!$W$5:$W$24,C2641,基础资料!$X$5:$X$24)+SUMIF(C$7:C2641,C2641,F$7:F2641)-SUMIF(C$7:C2641,C2641,G$7:G2641))</f>
      </c>
      <c r="I2641" s="145">
        <f>IF(AND(F2641="",G2641=""),"",SUM(基础资料!$X$5:$X$24)+SUM(F$7:F2641)-SUM(G$7:G2641))</f>
      </c>
      <c r="J2641" s="141" t="n"/>
      <c r="K2641" s="141" t="n"/>
      <c r="L2641" s="141" t="n"/>
      <c r="M2641" s="142" t="n"/>
      <c r="N2641" s="146">
        <f>IF(AND(AND(F2641="",G2641=""),B2641="",C2641="",D2641="",J2641="",K2641="",L2641=""),"",IF(AND(F2641="",G2641=""),"✗ 没填金额",IF(AND(N(F2641)&lt;&gt;0,N(G2641)&lt;&gt;0),"✗ 收入、支出只能填一边",IF(NOT(ISNUMBER(B2641)),"✗ 日期不是真日期（要像 2026/9/25 这样填）",IF(OR(B2641&lt;年初日,B2641&gt;年末日),"✗ 日期不在本会计年度",IF(C2641="","✗ 没选账户",IF(COUNTIF(基础资料!$W$5:$W$24,C2641)=0,"✗ 账户不在基础资料里",IF(O2641="","✗ 没选收支项目",IF(P2641="未知","✗ 收支项目不在基础资料里",IF(AND(P2641="应收",J2641=""),"✗ 这笔要选客户",IF(AND(P2641="应收",COUNTIF(总览汇总!$B$5:$B$304,J2641)=0),"✗ 客户不在总览汇总名单里",IF(AND(P2641="应付",K2641=""),"✗ 这笔要选供应商",IF(AND(P2641="应付",COUNTIF(基础资料!$Q$5:$Q$54,K2641)=0),"✗ 供应商不在基础资料里",IF(AND(P2641="费用",L2641=""),"✗ 费用支出要选费用项目",IF(AND(L2641&lt;&gt;"",COUNTIF(基础资料!$AI$5:$AI$54,L2641)=0),"✗ 费用项目不在基础资料里",IF(AND(IFERROR(INDEX(基础资料!$AD$5:$AD$34,MATCH(O2641,基础资料!$AC$5:$AC$34,0)),"")="收",N(G2641)&lt;&gt;0),"✗ 这类是收款，金额填到收入列",IF(AND(IFERROR(INDEX(基础资料!$AD$5:$AD$34,MATCH(O2641,基础资料!$AC$5:$AC$34,0)),"")="支",N(F2641)&lt;&gt;0),"✗ 这类是付款，金额填到支出列",IF(N(H2641)&lt;0,"⚠ 账户余额成负数了，核对一下","√"))))))))))))))))))</f>
      </c>
      <c r="O2641" s="78">
        <f>IF(D2641&lt;&gt;"",D2641,IF(AND(F2641="",G2641=""),"",IF(J2641&lt;&gt;"",IF(N(F2641)&gt;0,"客户回款","客户退款"),IF(K2641&lt;&gt;"",IF(N(G2641)&gt;0,"供应商付款","供应商退款"),IF(L2641&lt;&gt;"","费用支出","")))))</f>
      </c>
      <c r="P2641" s="78">
        <f>IF(O2641="","",IFERROR(INDEX(基础资料!$AE$5:$AE$34,MATCH(O2641,基础资料!$AC$5:$AC$34,0)),"未知"))</f>
      </c>
      <c r="Q2641" s="78">
        <f>IF(P2641="应收",COUNTIF(P$7:P2641,"应收"),"")</f>
      </c>
      <c r="R2641" s="78">
        <f>IF(P2641="应付",COUNTIF(P$7:P2641,"应付"),"")</f>
      </c>
      <c r="S2641" s="78">
        <f>N(F2641)-N(G2641)</f>
        <v>0</v>
      </c>
    </row>
    <row r="2642">
      <c r="A2642" s="109">
        <f>IF(AND(F2642="",G2642=""),"",ROW()-6)</f>
      </c>
      <c r="B2642" s="140" t="n"/>
      <c r="C2642" s="141" t="n"/>
      <c r="D2642" s="141" t="n"/>
      <c r="E2642" s="142" t="n"/>
      <c r="F2642" s="143" t="n"/>
      <c r="G2642" s="144" t="n"/>
      <c r="H2642" s="145">
        <f>IF(OR(C2642="",AND(F2642="",G2642="")),"",SUMIF(基础资料!$W$5:$W$24,C2642,基础资料!$X$5:$X$24)+SUMIF(C$7:C2642,C2642,F$7:F2642)-SUMIF(C$7:C2642,C2642,G$7:G2642))</f>
      </c>
      <c r="I2642" s="145">
        <f>IF(AND(F2642="",G2642=""),"",SUM(基础资料!$X$5:$X$24)+SUM(F$7:F2642)-SUM(G$7:G2642))</f>
      </c>
      <c r="J2642" s="141" t="n"/>
      <c r="K2642" s="141" t="n"/>
      <c r="L2642" s="141" t="n"/>
      <c r="M2642" s="142" t="n"/>
      <c r="N2642" s="146">
        <f>IF(AND(AND(F2642="",G2642=""),B2642="",C2642="",D2642="",J2642="",K2642="",L2642=""),"",IF(AND(F2642="",G2642=""),"✗ 没填金额",IF(AND(N(F2642)&lt;&gt;0,N(G2642)&lt;&gt;0),"✗ 收入、支出只能填一边",IF(NOT(ISNUMBER(B2642)),"✗ 日期不是真日期（要像 2026/9/25 这样填）",IF(OR(B2642&lt;年初日,B2642&gt;年末日),"✗ 日期不在本会计年度",IF(C2642="","✗ 没选账户",IF(COUNTIF(基础资料!$W$5:$W$24,C2642)=0,"✗ 账户不在基础资料里",IF(O2642="","✗ 没选收支项目",IF(P2642="未知","✗ 收支项目不在基础资料里",IF(AND(P2642="应收",J2642=""),"✗ 这笔要选客户",IF(AND(P2642="应收",COUNTIF(总览汇总!$B$5:$B$304,J2642)=0),"✗ 客户不在总览汇总名单里",IF(AND(P2642="应付",K2642=""),"✗ 这笔要选供应商",IF(AND(P2642="应付",COUNTIF(基础资料!$Q$5:$Q$54,K2642)=0),"✗ 供应商不在基础资料里",IF(AND(P2642="费用",L2642=""),"✗ 费用支出要选费用项目",IF(AND(L2642&lt;&gt;"",COUNTIF(基础资料!$AI$5:$AI$54,L2642)=0),"✗ 费用项目不在基础资料里",IF(AND(IFERROR(INDEX(基础资料!$AD$5:$AD$34,MATCH(O2642,基础资料!$AC$5:$AC$34,0)),"")="收",N(G2642)&lt;&gt;0),"✗ 这类是收款，金额填到收入列",IF(AND(IFERROR(INDEX(基础资料!$AD$5:$AD$34,MATCH(O2642,基础资料!$AC$5:$AC$34,0)),"")="支",N(F2642)&lt;&gt;0),"✗ 这类是付款，金额填到支出列",IF(N(H2642)&lt;0,"⚠ 账户余额成负数了，核对一下","√"))))))))))))))))))</f>
      </c>
      <c r="O2642" s="78">
        <f>IF(D2642&lt;&gt;"",D2642,IF(AND(F2642="",G2642=""),"",IF(J2642&lt;&gt;"",IF(N(F2642)&gt;0,"客户回款","客户退款"),IF(K2642&lt;&gt;"",IF(N(G2642)&gt;0,"供应商付款","供应商退款"),IF(L2642&lt;&gt;"","费用支出","")))))</f>
      </c>
      <c r="P2642" s="78">
        <f>IF(O2642="","",IFERROR(INDEX(基础资料!$AE$5:$AE$34,MATCH(O2642,基础资料!$AC$5:$AC$34,0)),"未知"))</f>
      </c>
      <c r="Q2642" s="78">
        <f>IF(P2642="应收",COUNTIF(P$7:P2642,"应收"),"")</f>
      </c>
      <c r="R2642" s="78">
        <f>IF(P2642="应付",COUNTIF(P$7:P2642,"应付"),"")</f>
      </c>
      <c r="S2642" s="78">
        <f>N(F2642)-N(G2642)</f>
        <v>0</v>
      </c>
    </row>
    <row r="2643">
      <c r="A2643" s="109">
        <f>IF(AND(F2643="",G2643=""),"",ROW()-6)</f>
      </c>
      <c r="B2643" s="140" t="n"/>
      <c r="C2643" s="141" t="n"/>
      <c r="D2643" s="141" t="n"/>
      <c r="E2643" s="142" t="n"/>
      <c r="F2643" s="143" t="n"/>
      <c r="G2643" s="144" t="n"/>
      <c r="H2643" s="145">
        <f>IF(OR(C2643="",AND(F2643="",G2643="")),"",SUMIF(基础资料!$W$5:$W$24,C2643,基础资料!$X$5:$X$24)+SUMIF(C$7:C2643,C2643,F$7:F2643)-SUMIF(C$7:C2643,C2643,G$7:G2643))</f>
      </c>
      <c r="I2643" s="145">
        <f>IF(AND(F2643="",G2643=""),"",SUM(基础资料!$X$5:$X$24)+SUM(F$7:F2643)-SUM(G$7:G2643))</f>
      </c>
      <c r="J2643" s="141" t="n"/>
      <c r="K2643" s="141" t="n"/>
      <c r="L2643" s="141" t="n"/>
      <c r="M2643" s="142" t="n"/>
      <c r="N2643" s="146">
        <f>IF(AND(AND(F2643="",G2643=""),B2643="",C2643="",D2643="",J2643="",K2643="",L2643=""),"",IF(AND(F2643="",G2643=""),"✗ 没填金额",IF(AND(N(F2643)&lt;&gt;0,N(G2643)&lt;&gt;0),"✗ 收入、支出只能填一边",IF(NOT(ISNUMBER(B2643)),"✗ 日期不是真日期（要像 2026/9/25 这样填）",IF(OR(B2643&lt;年初日,B2643&gt;年末日),"✗ 日期不在本会计年度",IF(C2643="","✗ 没选账户",IF(COUNTIF(基础资料!$W$5:$W$24,C2643)=0,"✗ 账户不在基础资料里",IF(O2643="","✗ 没选收支项目",IF(P2643="未知","✗ 收支项目不在基础资料里",IF(AND(P2643="应收",J2643=""),"✗ 这笔要选客户",IF(AND(P2643="应收",COUNTIF(总览汇总!$B$5:$B$304,J2643)=0),"✗ 客户不在总览汇总名单里",IF(AND(P2643="应付",K2643=""),"✗ 这笔要选供应商",IF(AND(P2643="应付",COUNTIF(基础资料!$Q$5:$Q$54,K2643)=0),"✗ 供应商不在基础资料里",IF(AND(P2643="费用",L2643=""),"✗ 费用支出要选费用项目",IF(AND(L2643&lt;&gt;"",COUNTIF(基础资料!$AI$5:$AI$54,L2643)=0),"✗ 费用项目不在基础资料里",IF(AND(IFERROR(INDEX(基础资料!$AD$5:$AD$34,MATCH(O2643,基础资料!$AC$5:$AC$34,0)),"")="收",N(G2643)&lt;&gt;0),"✗ 这类是收款，金额填到收入列",IF(AND(IFERROR(INDEX(基础资料!$AD$5:$AD$34,MATCH(O2643,基础资料!$AC$5:$AC$34,0)),"")="支",N(F2643)&lt;&gt;0),"✗ 这类是付款，金额填到支出列",IF(N(H2643)&lt;0,"⚠ 账户余额成负数了，核对一下","√"))))))))))))))))))</f>
      </c>
      <c r="O2643" s="78">
        <f>IF(D2643&lt;&gt;"",D2643,IF(AND(F2643="",G2643=""),"",IF(J2643&lt;&gt;"",IF(N(F2643)&gt;0,"客户回款","客户退款"),IF(K2643&lt;&gt;"",IF(N(G2643)&gt;0,"供应商付款","供应商退款"),IF(L2643&lt;&gt;"","费用支出","")))))</f>
      </c>
      <c r="P2643" s="78">
        <f>IF(O2643="","",IFERROR(INDEX(基础资料!$AE$5:$AE$34,MATCH(O2643,基础资料!$AC$5:$AC$34,0)),"未知"))</f>
      </c>
      <c r="Q2643" s="78">
        <f>IF(P2643="应收",COUNTIF(P$7:P2643,"应收"),"")</f>
      </c>
      <c r="R2643" s="78">
        <f>IF(P2643="应付",COUNTIF(P$7:P2643,"应付"),"")</f>
      </c>
      <c r="S2643" s="78">
        <f>N(F2643)-N(G2643)</f>
        <v>0</v>
      </c>
    </row>
    <row r="2644">
      <c r="A2644" s="109">
        <f>IF(AND(F2644="",G2644=""),"",ROW()-6)</f>
      </c>
      <c r="B2644" s="140" t="n"/>
      <c r="C2644" s="141" t="n"/>
      <c r="D2644" s="141" t="n"/>
      <c r="E2644" s="142" t="n"/>
      <c r="F2644" s="143" t="n"/>
      <c r="G2644" s="144" t="n"/>
      <c r="H2644" s="145">
        <f>IF(OR(C2644="",AND(F2644="",G2644="")),"",SUMIF(基础资料!$W$5:$W$24,C2644,基础资料!$X$5:$X$24)+SUMIF(C$7:C2644,C2644,F$7:F2644)-SUMIF(C$7:C2644,C2644,G$7:G2644))</f>
      </c>
      <c r="I2644" s="145">
        <f>IF(AND(F2644="",G2644=""),"",SUM(基础资料!$X$5:$X$24)+SUM(F$7:F2644)-SUM(G$7:G2644))</f>
      </c>
      <c r="J2644" s="141" t="n"/>
      <c r="K2644" s="141" t="n"/>
      <c r="L2644" s="141" t="n"/>
      <c r="M2644" s="142" t="n"/>
      <c r="N2644" s="146">
        <f>IF(AND(AND(F2644="",G2644=""),B2644="",C2644="",D2644="",J2644="",K2644="",L2644=""),"",IF(AND(F2644="",G2644=""),"✗ 没填金额",IF(AND(N(F2644)&lt;&gt;0,N(G2644)&lt;&gt;0),"✗ 收入、支出只能填一边",IF(NOT(ISNUMBER(B2644)),"✗ 日期不是真日期（要像 2026/9/25 这样填）",IF(OR(B2644&lt;年初日,B2644&gt;年末日),"✗ 日期不在本会计年度",IF(C2644="","✗ 没选账户",IF(COUNTIF(基础资料!$W$5:$W$24,C2644)=0,"✗ 账户不在基础资料里",IF(O2644="","✗ 没选收支项目",IF(P2644="未知","✗ 收支项目不在基础资料里",IF(AND(P2644="应收",J2644=""),"✗ 这笔要选客户",IF(AND(P2644="应收",COUNTIF(总览汇总!$B$5:$B$304,J2644)=0),"✗ 客户不在总览汇总名单里",IF(AND(P2644="应付",K2644=""),"✗ 这笔要选供应商",IF(AND(P2644="应付",COUNTIF(基础资料!$Q$5:$Q$54,K2644)=0),"✗ 供应商不在基础资料里",IF(AND(P2644="费用",L2644=""),"✗ 费用支出要选费用项目",IF(AND(L2644&lt;&gt;"",COUNTIF(基础资料!$AI$5:$AI$54,L2644)=0),"✗ 费用项目不在基础资料里",IF(AND(IFERROR(INDEX(基础资料!$AD$5:$AD$34,MATCH(O2644,基础资料!$AC$5:$AC$34,0)),"")="收",N(G2644)&lt;&gt;0),"✗ 这类是收款，金额填到收入列",IF(AND(IFERROR(INDEX(基础资料!$AD$5:$AD$34,MATCH(O2644,基础资料!$AC$5:$AC$34,0)),"")="支",N(F2644)&lt;&gt;0),"✗ 这类是付款，金额填到支出列",IF(N(H2644)&lt;0,"⚠ 账户余额成负数了，核对一下","√"))))))))))))))))))</f>
      </c>
      <c r="O2644" s="78">
        <f>IF(D2644&lt;&gt;"",D2644,IF(AND(F2644="",G2644=""),"",IF(J2644&lt;&gt;"",IF(N(F2644)&gt;0,"客户回款","客户退款"),IF(K2644&lt;&gt;"",IF(N(G2644)&gt;0,"供应商付款","供应商退款"),IF(L2644&lt;&gt;"","费用支出","")))))</f>
      </c>
      <c r="P2644" s="78">
        <f>IF(O2644="","",IFERROR(INDEX(基础资料!$AE$5:$AE$34,MATCH(O2644,基础资料!$AC$5:$AC$34,0)),"未知"))</f>
      </c>
      <c r="Q2644" s="78">
        <f>IF(P2644="应收",COUNTIF(P$7:P2644,"应收"),"")</f>
      </c>
      <c r="R2644" s="78">
        <f>IF(P2644="应付",COUNTIF(P$7:P2644,"应付"),"")</f>
      </c>
      <c r="S2644" s="78">
        <f>N(F2644)-N(G2644)</f>
        <v>0</v>
      </c>
    </row>
    <row r="2645">
      <c r="A2645" s="109">
        <f>IF(AND(F2645="",G2645=""),"",ROW()-6)</f>
      </c>
      <c r="B2645" s="140" t="n"/>
      <c r="C2645" s="141" t="n"/>
      <c r="D2645" s="141" t="n"/>
      <c r="E2645" s="142" t="n"/>
      <c r="F2645" s="143" t="n"/>
      <c r="G2645" s="144" t="n"/>
      <c r="H2645" s="145">
        <f>IF(OR(C2645="",AND(F2645="",G2645="")),"",SUMIF(基础资料!$W$5:$W$24,C2645,基础资料!$X$5:$X$24)+SUMIF(C$7:C2645,C2645,F$7:F2645)-SUMIF(C$7:C2645,C2645,G$7:G2645))</f>
      </c>
      <c r="I2645" s="145">
        <f>IF(AND(F2645="",G2645=""),"",SUM(基础资料!$X$5:$X$24)+SUM(F$7:F2645)-SUM(G$7:G2645))</f>
      </c>
      <c r="J2645" s="141" t="n"/>
      <c r="K2645" s="141" t="n"/>
      <c r="L2645" s="141" t="n"/>
      <c r="M2645" s="142" t="n"/>
      <c r="N2645" s="146">
        <f>IF(AND(AND(F2645="",G2645=""),B2645="",C2645="",D2645="",J2645="",K2645="",L2645=""),"",IF(AND(F2645="",G2645=""),"✗ 没填金额",IF(AND(N(F2645)&lt;&gt;0,N(G2645)&lt;&gt;0),"✗ 收入、支出只能填一边",IF(NOT(ISNUMBER(B2645)),"✗ 日期不是真日期（要像 2026/9/25 这样填）",IF(OR(B2645&lt;年初日,B2645&gt;年末日),"✗ 日期不在本会计年度",IF(C2645="","✗ 没选账户",IF(COUNTIF(基础资料!$W$5:$W$24,C2645)=0,"✗ 账户不在基础资料里",IF(O2645="","✗ 没选收支项目",IF(P2645="未知","✗ 收支项目不在基础资料里",IF(AND(P2645="应收",J2645=""),"✗ 这笔要选客户",IF(AND(P2645="应收",COUNTIF(总览汇总!$B$5:$B$304,J2645)=0),"✗ 客户不在总览汇总名单里",IF(AND(P2645="应付",K2645=""),"✗ 这笔要选供应商",IF(AND(P2645="应付",COUNTIF(基础资料!$Q$5:$Q$54,K2645)=0),"✗ 供应商不在基础资料里",IF(AND(P2645="费用",L2645=""),"✗ 费用支出要选费用项目",IF(AND(L2645&lt;&gt;"",COUNTIF(基础资料!$AI$5:$AI$54,L2645)=0),"✗ 费用项目不在基础资料里",IF(AND(IFERROR(INDEX(基础资料!$AD$5:$AD$34,MATCH(O2645,基础资料!$AC$5:$AC$34,0)),"")="收",N(G2645)&lt;&gt;0),"✗ 这类是收款，金额填到收入列",IF(AND(IFERROR(INDEX(基础资料!$AD$5:$AD$34,MATCH(O2645,基础资料!$AC$5:$AC$34,0)),"")="支",N(F2645)&lt;&gt;0),"✗ 这类是付款，金额填到支出列",IF(N(H2645)&lt;0,"⚠ 账户余额成负数了，核对一下","√"))))))))))))))))))</f>
      </c>
      <c r="O2645" s="78">
        <f>IF(D2645&lt;&gt;"",D2645,IF(AND(F2645="",G2645=""),"",IF(J2645&lt;&gt;"",IF(N(F2645)&gt;0,"客户回款","客户退款"),IF(K2645&lt;&gt;"",IF(N(G2645)&gt;0,"供应商付款","供应商退款"),IF(L2645&lt;&gt;"","费用支出","")))))</f>
      </c>
      <c r="P2645" s="78">
        <f>IF(O2645="","",IFERROR(INDEX(基础资料!$AE$5:$AE$34,MATCH(O2645,基础资料!$AC$5:$AC$34,0)),"未知"))</f>
      </c>
      <c r="Q2645" s="78">
        <f>IF(P2645="应收",COUNTIF(P$7:P2645,"应收"),"")</f>
      </c>
      <c r="R2645" s="78">
        <f>IF(P2645="应付",COUNTIF(P$7:P2645,"应付"),"")</f>
      </c>
      <c r="S2645" s="78">
        <f>N(F2645)-N(G2645)</f>
        <v>0</v>
      </c>
    </row>
    <row r="2646">
      <c r="A2646" s="109">
        <f>IF(AND(F2646="",G2646=""),"",ROW()-6)</f>
      </c>
      <c r="B2646" s="140" t="n"/>
      <c r="C2646" s="141" t="n"/>
      <c r="D2646" s="141" t="n"/>
      <c r="E2646" s="142" t="n"/>
      <c r="F2646" s="143" t="n"/>
      <c r="G2646" s="144" t="n"/>
      <c r="H2646" s="145">
        <f>IF(OR(C2646="",AND(F2646="",G2646="")),"",SUMIF(基础资料!$W$5:$W$24,C2646,基础资料!$X$5:$X$24)+SUMIF(C$7:C2646,C2646,F$7:F2646)-SUMIF(C$7:C2646,C2646,G$7:G2646))</f>
      </c>
      <c r="I2646" s="145">
        <f>IF(AND(F2646="",G2646=""),"",SUM(基础资料!$X$5:$X$24)+SUM(F$7:F2646)-SUM(G$7:G2646))</f>
      </c>
      <c r="J2646" s="141" t="n"/>
      <c r="K2646" s="141" t="n"/>
      <c r="L2646" s="141" t="n"/>
      <c r="M2646" s="142" t="n"/>
      <c r="N2646" s="146">
        <f>IF(AND(AND(F2646="",G2646=""),B2646="",C2646="",D2646="",J2646="",K2646="",L2646=""),"",IF(AND(F2646="",G2646=""),"✗ 没填金额",IF(AND(N(F2646)&lt;&gt;0,N(G2646)&lt;&gt;0),"✗ 收入、支出只能填一边",IF(NOT(ISNUMBER(B2646)),"✗ 日期不是真日期（要像 2026/9/25 这样填）",IF(OR(B2646&lt;年初日,B2646&gt;年末日),"✗ 日期不在本会计年度",IF(C2646="","✗ 没选账户",IF(COUNTIF(基础资料!$W$5:$W$24,C2646)=0,"✗ 账户不在基础资料里",IF(O2646="","✗ 没选收支项目",IF(P2646="未知","✗ 收支项目不在基础资料里",IF(AND(P2646="应收",J2646=""),"✗ 这笔要选客户",IF(AND(P2646="应收",COUNTIF(总览汇总!$B$5:$B$304,J2646)=0),"✗ 客户不在总览汇总名单里",IF(AND(P2646="应付",K2646=""),"✗ 这笔要选供应商",IF(AND(P2646="应付",COUNTIF(基础资料!$Q$5:$Q$54,K2646)=0),"✗ 供应商不在基础资料里",IF(AND(P2646="费用",L2646=""),"✗ 费用支出要选费用项目",IF(AND(L2646&lt;&gt;"",COUNTIF(基础资料!$AI$5:$AI$54,L2646)=0),"✗ 费用项目不在基础资料里",IF(AND(IFERROR(INDEX(基础资料!$AD$5:$AD$34,MATCH(O2646,基础资料!$AC$5:$AC$34,0)),"")="收",N(G2646)&lt;&gt;0),"✗ 这类是收款，金额填到收入列",IF(AND(IFERROR(INDEX(基础资料!$AD$5:$AD$34,MATCH(O2646,基础资料!$AC$5:$AC$34,0)),"")="支",N(F2646)&lt;&gt;0),"✗ 这类是付款，金额填到支出列",IF(N(H2646)&lt;0,"⚠ 账户余额成负数了，核对一下","√"))))))))))))))))))</f>
      </c>
      <c r="O2646" s="78">
        <f>IF(D2646&lt;&gt;"",D2646,IF(AND(F2646="",G2646=""),"",IF(J2646&lt;&gt;"",IF(N(F2646)&gt;0,"客户回款","客户退款"),IF(K2646&lt;&gt;"",IF(N(G2646)&gt;0,"供应商付款","供应商退款"),IF(L2646&lt;&gt;"","费用支出","")))))</f>
      </c>
      <c r="P2646" s="78">
        <f>IF(O2646="","",IFERROR(INDEX(基础资料!$AE$5:$AE$34,MATCH(O2646,基础资料!$AC$5:$AC$34,0)),"未知"))</f>
      </c>
      <c r="Q2646" s="78">
        <f>IF(P2646="应收",COUNTIF(P$7:P2646,"应收"),"")</f>
      </c>
      <c r="R2646" s="78">
        <f>IF(P2646="应付",COUNTIF(P$7:P2646,"应付"),"")</f>
      </c>
      <c r="S2646" s="78">
        <f>N(F2646)-N(G2646)</f>
        <v>0</v>
      </c>
    </row>
    <row r="2647">
      <c r="A2647" s="109">
        <f>IF(AND(F2647="",G2647=""),"",ROW()-6)</f>
      </c>
      <c r="B2647" s="140" t="n"/>
      <c r="C2647" s="141" t="n"/>
      <c r="D2647" s="141" t="n"/>
      <c r="E2647" s="142" t="n"/>
      <c r="F2647" s="143" t="n"/>
      <c r="G2647" s="144" t="n"/>
      <c r="H2647" s="145">
        <f>IF(OR(C2647="",AND(F2647="",G2647="")),"",SUMIF(基础资料!$W$5:$W$24,C2647,基础资料!$X$5:$X$24)+SUMIF(C$7:C2647,C2647,F$7:F2647)-SUMIF(C$7:C2647,C2647,G$7:G2647))</f>
      </c>
      <c r="I2647" s="145">
        <f>IF(AND(F2647="",G2647=""),"",SUM(基础资料!$X$5:$X$24)+SUM(F$7:F2647)-SUM(G$7:G2647))</f>
      </c>
      <c r="J2647" s="141" t="n"/>
      <c r="K2647" s="141" t="n"/>
      <c r="L2647" s="141" t="n"/>
      <c r="M2647" s="142" t="n"/>
      <c r="N2647" s="146">
        <f>IF(AND(AND(F2647="",G2647=""),B2647="",C2647="",D2647="",J2647="",K2647="",L2647=""),"",IF(AND(F2647="",G2647=""),"✗ 没填金额",IF(AND(N(F2647)&lt;&gt;0,N(G2647)&lt;&gt;0),"✗ 收入、支出只能填一边",IF(NOT(ISNUMBER(B2647)),"✗ 日期不是真日期（要像 2026/9/25 这样填）",IF(OR(B2647&lt;年初日,B2647&gt;年末日),"✗ 日期不在本会计年度",IF(C2647="","✗ 没选账户",IF(COUNTIF(基础资料!$W$5:$W$24,C2647)=0,"✗ 账户不在基础资料里",IF(O2647="","✗ 没选收支项目",IF(P2647="未知","✗ 收支项目不在基础资料里",IF(AND(P2647="应收",J2647=""),"✗ 这笔要选客户",IF(AND(P2647="应收",COUNTIF(总览汇总!$B$5:$B$304,J2647)=0),"✗ 客户不在总览汇总名单里",IF(AND(P2647="应付",K2647=""),"✗ 这笔要选供应商",IF(AND(P2647="应付",COUNTIF(基础资料!$Q$5:$Q$54,K2647)=0),"✗ 供应商不在基础资料里",IF(AND(P2647="费用",L2647=""),"✗ 费用支出要选费用项目",IF(AND(L2647&lt;&gt;"",COUNTIF(基础资料!$AI$5:$AI$54,L2647)=0),"✗ 费用项目不在基础资料里",IF(AND(IFERROR(INDEX(基础资料!$AD$5:$AD$34,MATCH(O2647,基础资料!$AC$5:$AC$34,0)),"")="收",N(G2647)&lt;&gt;0),"✗ 这类是收款，金额填到收入列",IF(AND(IFERROR(INDEX(基础资料!$AD$5:$AD$34,MATCH(O2647,基础资料!$AC$5:$AC$34,0)),"")="支",N(F2647)&lt;&gt;0),"✗ 这类是付款，金额填到支出列",IF(N(H2647)&lt;0,"⚠ 账户余额成负数了，核对一下","√"))))))))))))))))))</f>
      </c>
      <c r="O2647" s="78">
        <f>IF(D2647&lt;&gt;"",D2647,IF(AND(F2647="",G2647=""),"",IF(J2647&lt;&gt;"",IF(N(F2647)&gt;0,"客户回款","客户退款"),IF(K2647&lt;&gt;"",IF(N(G2647)&gt;0,"供应商付款","供应商退款"),IF(L2647&lt;&gt;"","费用支出","")))))</f>
      </c>
      <c r="P2647" s="78">
        <f>IF(O2647="","",IFERROR(INDEX(基础资料!$AE$5:$AE$34,MATCH(O2647,基础资料!$AC$5:$AC$34,0)),"未知"))</f>
      </c>
      <c r="Q2647" s="78">
        <f>IF(P2647="应收",COUNTIF(P$7:P2647,"应收"),"")</f>
      </c>
      <c r="R2647" s="78">
        <f>IF(P2647="应付",COUNTIF(P$7:P2647,"应付"),"")</f>
      </c>
      <c r="S2647" s="78">
        <f>N(F2647)-N(G2647)</f>
        <v>0</v>
      </c>
    </row>
    <row r="2648">
      <c r="A2648" s="109">
        <f>IF(AND(F2648="",G2648=""),"",ROW()-6)</f>
      </c>
      <c r="B2648" s="140" t="n"/>
      <c r="C2648" s="141" t="n"/>
      <c r="D2648" s="141" t="n"/>
      <c r="E2648" s="142" t="n"/>
      <c r="F2648" s="143" t="n"/>
      <c r="G2648" s="144" t="n"/>
      <c r="H2648" s="145">
        <f>IF(OR(C2648="",AND(F2648="",G2648="")),"",SUMIF(基础资料!$W$5:$W$24,C2648,基础资料!$X$5:$X$24)+SUMIF(C$7:C2648,C2648,F$7:F2648)-SUMIF(C$7:C2648,C2648,G$7:G2648))</f>
      </c>
      <c r="I2648" s="145">
        <f>IF(AND(F2648="",G2648=""),"",SUM(基础资料!$X$5:$X$24)+SUM(F$7:F2648)-SUM(G$7:G2648))</f>
      </c>
      <c r="J2648" s="141" t="n"/>
      <c r="K2648" s="141" t="n"/>
      <c r="L2648" s="141" t="n"/>
      <c r="M2648" s="142" t="n"/>
      <c r="N2648" s="146">
        <f>IF(AND(AND(F2648="",G2648=""),B2648="",C2648="",D2648="",J2648="",K2648="",L2648=""),"",IF(AND(F2648="",G2648=""),"✗ 没填金额",IF(AND(N(F2648)&lt;&gt;0,N(G2648)&lt;&gt;0),"✗ 收入、支出只能填一边",IF(NOT(ISNUMBER(B2648)),"✗ 日期不是真日期（要像 2026/9/25 这样填）",IF(OR(B2648&lt;年初日,B2648&gt;年末日),"✗ 日期不在本会计年度",IF(C2648="","✗ 没选账户",IF(COUNTIF(基础资料!$W$5:$W$24,C2648)=0,"✗ 账户不在基础资料里",IF(O2648="","✗ 没选收支项目",IF(P2648="未知","✗ 收支项目不在基础资料里",IF(AND(P2648="应收",J2648=""),"✗ 这笔要选客户",IF(AND(P2648="应收",COUNTIF(总览汇总!$B$5:$B$304,J2648)=0),"✗ 客户不在总览汇总名单里",IF(AND(P2648="应付",K2648=""),"✗ 这笔要选供应商",IF(AND(P2648="应付",COUNTIF(基础资料!$Q$5:$Q$54,K2648)=0),"✗ 供应商不在基础资料里",IF(AND(P2648="费用",L2648=""),"✗ 费用支出要选费用项目",IF(AND(L2648&lt;&gt;"",COUNTIF(基础资料!$AI$5:$AI$54,L2648)=0),"✗ 费用项目不在基础资料里",IF(AND(IFERROR(INDEX(基础资料!$AD$5:$AD$34,MATCH(O2648,基础资料!$AC$5:$AC$34,0)),"")="收",N(G2648)&lt;&gt;0),"✗ 这类是收款，金额填到收入列",IF(AND(IFERROR(INDEX(基础资料!$AD$5:$AD$34,MATCH(O2648,基础资料!$AC$5:$AC$34,0)),"")="支",N(F2648)&lt;&gt;0),"✗ 这类是付款，金额填到支出列",IF(N(H2648)&lt;0,"⚠ 账户余额成负数了，核对一下","√"))))))))))))))))))</f>
      </c>
      <c r="O2648" s="78">
        <f>IF(D2648&lt;&gt;"",D2648,IF(AND(F2648="",G2648=""),"",IF(J2648&lt;&gt;"",IF(N(F2648)&gt;0,"客户回款","客户退款"),IF(K2648&lt;&gt;"",IF(N(G2648)&gt;0,"供应商付款","供应商退款"),IF(L2648&lt;&gt;"","费用支出","")))))</f>
      </c>
      <c r="P2648" s="78">
        <f>IF(O2648="","",IFERROR(INDEX(基础资料!$AE$5:$AE$34,MATCH(O2648,基础资料!$AC$5:$AC$34,0)),"未知"))</f>
      </c>
      <c r="Q2648" s="78">
        <f>IF(P2648="应收",COUNTIF(P$7:P2648,"应收"),"")</f>
      </c>
      <c r="R2648" s="78">
        <f>IF(P2648="应付",COUNTIF(P$7:P2648,"应付"),"")</f>
      </c>
      <c r="S2648" s="78">
        <f>N(F2648)-N(G2648)</f>
        <v>0</v>
      </c>
    </row>
    <row r="2649">
      <c r="A2649" s="109">
        <f>IF(AND(F2649="",G2649=""),"",ROW()-6)</f>
      </c>
      <c r="B2649" s="140" t="n"/>
      <c r="C2649" s="141" t="n"/>
      <c r="D2649" s="141" t="n"/>
      <c r="E2649" s="142" t="n"/>
      <c r="F2649" s="143" t="n"/>
      <c r="G2649" s="144" t="n"/>
      <c r="H2649" s="145">
        <f>IF(OR(C2649="",AND(F2649="",G2649="")),"",SUMIF(基础资料!$W$5:$W$24,C2649,基础资料!$X$5:$X$24)+SUMIF(C$7:C2649,C2649,F$7:F2649)-SUMIF(C$7:C2649,C2649,G$7:G2649))</f>
      </c>
      <c r="I2649" s="145">
        <f>IF(AND(F2649="",G2649=""),"",SUM(基础资料!$X$5:$X$24)+SUM(F$7:F2649)-SUM(G$7:G2649))</f>
      </c>
      <c r="J2649" s="141" t="n"/>
      <c r="K2649" s="141" t="n"/>
      <c r="L2649" s="141" t="n"/>
      <c r="M2649" s="142" t="n"/>
      <c r="N2649" s="146">
        <f>IF(AND(AND(F2649="",G2649=""),B2649="",C2649="",D2649="",J2649="",K2649="",L2649=""),"",IF(AND(F2649="",G2649=""),"✗ 没填金额",IF(AND(N(F2649)&lt;&gt;0,N(G2649)&lt;&gt;0),"✗ 收入、支出只能填一边",IF(NOT(ISNUMBER(B2649)),"✗ 日期不是真日期（要像 2026/9/25 这样填）",IF(OR(B2649&lt;年初日,B2649&gt;年末日),"✗ 日期不在本会计年度",IF(C2649="","✗ 没选账户",IF(COUNTIF(基础资料!$W$5:$W$24,C2649)=0,"✗ 账户不在基础资料里",IF(O2649="","✗ 没选收支项目",IF(P2649="未知","✗ 收支项目不在基础资料里",IF(AND(P2649="应收",J2649=""),"✗ 这笔要选客户",IF(AND(P2649="应收",COUNTIF(总览汇总!$B$5:$B$304,J2649)=0),"✗ 客户不在总览汇总名单里",IF(AND(P2649="应付",K2649=""),"✗ 这笔要选供应商",IF(AND(P2649="应付",COUNTIF(基础资料!$Q$5:$Q$54,K2649)=0),"✗ 供应商不在基础资料里",IF(AND(P2649="费用",L2649=""),"✗ 费用支出要选费用项目",IF(AND(L2649&lt;&gt;"",COUNTIF(基础资料!$AI$5:$AI$54,L2649)=0),"✗ 费用项目不在基础资料里",IF(AND(IFERROR(INDEX(基础资料!$AD$5:$AD$34,MATCH(O2649,基础资料!$AC$5:$AC$34,0)),"")="收",N(G2649)&lt;&gt;0),"✗ 这类是收款，金额填到收入列",IF(AND(IFERROR(INDEX(基础资料!$AD$5:$AD$34,MATCH(O2649,基础资料!$AC$5:$AC$34,0)),"")="支",N(F2649)&lt;&gt;0),"✗ 这类是付款，金额填到支出列",IF(N(H2649)&lt;0,"⚠ 账户余额成负数了，核对一下","√"))))))))))))))))))</f>
      </c>
      <c r="O2649" s="78">
        <f>IF(D2649&lt;&gt;"",D2649,IF(AND(F2649="",G2649=""),"",IF(J2649&lt;&gt;"",IF(N(F2649)&gt;0,"客户回款","客户退款"),IF(K2649&lt;&gt;"",IF(N(G2649)&gt;0,"供应商付款","供应商退款"),IF(L2649&lt;&gt;"","费用支出","")))))</f>
      </c>
      <c r="P2649" s="78">
        <f>IF(O2649="","",IFERROR(INDEX(基础资料!$AE$5:$AE$34,MATCH(O2649,基础资料!$AC$5:$AC$34,0)),"未知"))</f>
      </c>
      <c r="Q2649" s="78">
        <f>IF(P2649="应收",COUNTIF(P$7:P2649,"应收"),"")</f>
      </c>
      <c r="R2649" s="78">
        <f>IF(P2649="应付",COUNTIF(P$7:P2649,"应付"),"")</f>
      </c>
      <c r="S2649" s="78">
        <f>N(F2649)-N(G2649)</f>
        <v>0</v>
      </c>
    </row>
    <row r="2650">
      <c r="A2650" s="109">
        <f>IF(AND(F2650="",G2650=""),"",ROW()-6)</f>
      </c>
      <c r="B2650" s="140" t="n"/>
      <c r="C2650" s="141" t="n"/>
      <c r="D2650" s="141" t="n"/>
      <c r="E2650" s="142" t="n"/>
      <c r="F2650" s="143" t="n"/>
      <c r="G2650" s="144" t="n"/>
      <c r="H2650" s="145">
        <f>IF(OR(C2650="",AND(F2650="",G2650="")),"",SUMIF(基础资料!$W$5:$W$24,C2650,基础资料!$X$5:$X$24)+SUMIF(C$7:C2650,C2650,F$7:F2650)-SUMIF(C$7:C2650,C2650,G$7:G2650))</f>
      </c>
      <c r="I2650" s="145">
        <f>IF(AND(F2650="",G2650=""),"",SUM(基础资料!$X$5:$X$24)+SUM(F$7:F2650)-SUM(G$7:G2650))</f>
      </c>
      <c r="J2650" s="141" t="n"/>
      <c r="K2650" s="141" t="n"/>
      <c r="L2650" s="141" t="n"/>
      <c r="M2650" s="142" t="n"/>
      <c r="N2650" s="146">
        <f>IF(AND(AND(F2650="",G2650=""),B2650="",C2650="",D2650="",J2650="",K2650="",L2650=""),"",IF(AND(F2650="",G2650=""),"✗ 没填金额",IF(AND(N(F2650)&lt;&gt;0,N(G2650)&lt;&gt;0),"✗ 收入、支出只能填一边",IF(NOT(ISNUMBER(B2650)),"✗ 日期不是真日期（要像 2026/9/25 这样填）",IF(OR(B2650&lt;年初日,B2650&gt;年末日),"✗ 日期不在本会计年度",IF(C2650="","✗ 没选账户",IF(COUNTIF(基础资料!$W$5:$W$24,C2650)=0,"✗ 账户不在基础资料里",IF(O2650="","✗ 没选收支项目",IF(P2650="未知","✗ 收支项目不在基础资料里",IF(AND(P2650="应收",J2650=""),"✗ 这笔要选客户",IF(AND(P2650="应收",COUNTIF(总览汇总!$B$5:$B$304,J2650)=0),"✗ 客户不在总览汇总名单里",IF(AND(P2650="应付",K2650=""),"✗ 这笔要选供应商",IF(AND(P2650="应付",COUNTIF(基础资料!$Q$5:$Q$54,K2650)=0),"✗ 供应商不在基础资料里",IF(AND(P2650="费用",L2650=""),"✗ 费用支出要选费用项目",IF(AND(L2650&lt;&gt;"",COUNTIF(基础资料!$AI$5:$AI$54,L2650)=0),"✗ 费用项目不在基础资料里",IF(AND(IFERROR(INDEX(基础资料!$AD$5:$AD$34,MATCH(O2650,基础资料!$AC$5:$AC$34,0)),"")="收",N(G2650)&lt;&gt;0),"✗ 这类是收款，金额填到收入列",IF(AND(IFERROR(INDEX(基础资料!$AD$5:$AD$34,MATCH(O2650,基础资料!$AC$5:$AC$34,0)),"")="支",N(F2650)&lt;&gt;0),"✗ 这类是付款，金额填到支出列",IF(N(H2650)&lt;0,"⚠ 账户余额成负数了，核对一下","√"))))))))))))))))))</f>
      </c>
      <c r="O2650" s="78">
        <f>IF(D2650&lt;&gt;"",D2650,IF(AND(F2650="",G2650=""),"",IF(J2650&lt;&gt;"",IF(N(F2650)&gt;0,"客户回款","客户退款"),IF(K2650&lt;&gt;"",IF(N(G2650)&gt;0,"供应商付款","供应商退款"),IF(L2650&lt;&gt;"","费用支出","")))))</f>
      </c>
      <c r="P2650" s="78">
        <f>IF(O2650="","",IFERROR(INDEX(基础资料!$AE$5:$AE$34,MATCH(O2650,基础资料!$AC$5:$AC$34,0)),"未知"))</f>
      </c>
      <c r="Q2650" s="78">
        <f>IF(P2650="应收",COUNTIF(P$7:P2650,"应收"),"")</f>
      </c>
      <c r="R2650" s="78">
        <f>IF(P2650="应付",COUNTIF(P$7:P2650,"应付"),"")</f>
      </c>
      <c r="S2650" s="78">
        <f>N(F2650)-N(G2650)</f>
        <v>0</v>
      </c>
    </row>
    <row r="2651">
      <c r="A2651" s="109">
        <f>IF(AND(F2651="",G2651=""),"",ROW()-6)</f>
      </c>
      <c r="B2651" s="140" t="n"/>
      <c r="C2651" s="141" t="n"/>
      <c r="D2651" s="141" t="n"/>
      <c r="E2651" s="142" t="n"/>
      <c r="F2651" s="143" t="n"/>
      <c r="G2651" s="144" t="n"/>
      <c r="H2651" s="145">
        <f>IF(OR(C2651="",AND(F2651="",G2651="")),"",SUMIF(基础资料!$W$5:$W$24,C2651,基础资料!$X$5:$X$24)+SUMIF(C$7:C2651,C2651,F$7:F2651)-SUMIF(C$7:C2651,C2651,G$7:G2651))</f>
      </c>
      <c r="I2651" s="145">
        <f>IF(AND(F2651="",G2651=""),"",SUM(基础资料!$X$5:$X$24)+SUM(F$7:F2651)-SUM(G$7:G2651))</f>
      </c>
      <c r="J2651" s="141" t="n"/>
      <c r="K2651" s="141" t="n"/>
      <c r="L2651" s="141" t="n"/>
      <c r="M2651" s="142" t="n"/>
      <c r="N2651" s="146">
        <f>IF(AND(AND(F2651="",G2651=""),B2651="",C2651="",D2651="",J2651="",K2651="",L2651=""),"",IF(AND(F2651="",G2651=""),"✗ 没填金额",IF(AND(N(F2651)&lt;&gt;0,N(G2651)&lt;&gt;0),"✗ 收入、支出只能填一边",IF(NOT(ISNUMBER(B2651)),"✗ 日期不是真日期（要像 2026/9/25 这样填）",IF(OR(B2651&lt;年初日,B2651&gt;年末日),"✗ 日期不在本会计年度",IF(C2651="","✗ 没选账户",IF(COUNTIF(基础资料!$W$5:$W$24,C2651)=0,"✗ 账户不在基础资料里",IF(O2651="","✗ 没选收支项目",IF(P2651="未知","✗ 收支项目不在基础资料里",IF(AND(P2651="应收",J2651=""),"✗ 这笔要选客户",IF(AND(P2651="应收",COUNTIF(总览汇总!$B$5:$B$304,J2651)=0),"✗ 客户不在总览汇总名单里",IF(AND(P2651="应付",K2651=""),"✗ 这笔要选供应商",IF(AND(P2651="应付",COUNTIF(基础资料!$Q$5:$Q$54,K2651)=0),"✗ 供应商不在基础资料里",IF(AND(P2651="费用",L2651=""),"✗ 费用支出要选费用项目",IF(AND(L2651&lt;&gt;"",COUNTIF(基础资料!$AI$5:$AI$54,L2651)=0),"✗ 费用项目不在基础资料里",IF(AND(IFERROR(INDEX(基础资料!$AD$5:$AD$34,MATCH(O2651,基础资料!$AC$5:$AC$34,0)),"")="收",N(G2651)&lt;&gt;0),"✗ 这类是收款，金额填到收入列",IF(AND(IFERROR(INDEX(基础资料!$AD$5:$AD$34,MATCH(O2651,基础资料!$AC$5:$AC$34,0)),"")="支",N(F2651)&lt;&gt;0),"✗ 这类是付款，金额填到支出列",IF(N(H2651)&lt;0,"⚠ 账户余额成负数了，核对一下","√"))))))))))))))))))</f>
      </c>
      <c r="O2651" s="78">
        <f>IF(D2651&lt;&gt;"",D2651,IF(AND(F2651="",G2651=""),"",IF(J2651&lt;&gt;"",IF(N(F2651)&gt;0,"客户回款","客户退款"),IF(K2651&lt;&gt;"",IF(N(G2651)&gt;0,"供应商付款","供应商退款"),IF(L2651&lt;&gt;"","费用支出","")))))</f>
      </c>
      <c r="P2651" s="78">
        <f>IF(O2651="","",IFERROR(INDEX(基础资料!$AE$5:$AE$34,MATCH(O2651,基础资料!$AC$5:$AC$34,0)),"未知"))</f>
      </c>
      <c r="Q2651" s="78">
        <f>IF(P2651="应收",COUNTIF(P$7:P2651,"应收"),"")</f>
      </c>
      <c r="R2651" s="78">
        <f>IF(P2651="应付",COUNTIF(P$7:P2651,"应付"),"")</f>
      </c>
      <c r="S2651" s="78">
        <f>N(F2651)-N(G2651)</f>
        <v>0</v>
      </c>
    </row>
    <row r="2652">
      <c r="A2652" s="109">
        <f>IF(AND(F2652="",G2652=""),"",ROW()-6)</f>
      </c>
      <c r="B2652" s="140" t="n"/>
      <c r="C2652" s="141" t="n"/>
      <c r="D2652" s="141" t="n"/>
      <c r="E2652" s="142" t="n"/>
      <c r="F2652" s="143" t="n"/>
      <c r="G2652" s="144" t="n"/>
      <c r="H2652" s="145">
        <f>IF(OR(C2652="",AND(F2652="",G2652="")),"",SUMIF(基础资料!$W$5:$W$24,C2652,基础资料!$X$5:$X$24)+SUMIF(C$7:C2652,C2652,F$7:F2652)-SUMIF(C$7:C2652,C2652,G$7:G2652))</f>
      </c>
      <c r="I2652" s="145">
        <f>IF(AND(F2652="",G2652=""),"",SUM(基础资料!$X$5:$X$24)+SUM(F$7:F2652)-SUM(G$7:G2652))</f>
      </c>
      <c r="J2652" s="141" t="n"/>
      <c r="K2652" s="141" t="n"/>
      <c r="L2652" s="141" t="n"/>
      <c r="M2652" s="142" t="n"/>
      <c r="N2652" s="146">
        <f>IF(AND(AND(F2652="",G2652=""),B2652="",C2652="",D2652="",J2652="",K2652="",L2652=""),"",IF(AND(F2652="",G2652=""),"✗ 没填金额",IF(AND(N(F2652)&lt;&gt;0,N(G2652)&lt;&gt;0),"✗ 收入、支出只能填一边",IF(NOT(ISNUMBER(B2652)),"✗ 日期不是真日期（要像 2026/9/25 这样填）",IF(OR(B2652&lt;年初日,B2652&gt;年末日),"✗ 日期不在本会计年度",IF(C2652="","✗ 没选账户",IF(COUNTIF(基础资料!$W$5:$W$24,C2652)=0,"✗ 账户不在基础资料里",IF(O2652="","✗ 没选收支项目",IF(P2652="未知","✗ 收支项目不在基础资料里",IF(AND(P2652="应收",J2652=""),"✗ 这笔要选客户",IF(AND(P2652="应收",COUNTIF(总览汇总!$B$5:$B$304,J2652)=0),"✗ 客户不在总览汇总名单里",IF(AND(P2652="应付",K2652=""),"✗ 这笔要选供应商",IF(AND(P2652="应付",COUNTIF(基础资料!$Q$5:$Q$54,K2652)=0),"✗ 供应商不在基础资料里",IF(AND(P2652="费用",L2652=""),"✗ 费用支出要选费用项目",IF(AND(L2652&lt;&gt;"",COUNTIF(基础资料!$AI$5:$AI$54,L2652)=0),"✗ 费用项目不在基础资料里",IF(AND(IFERROR(INDEX(基础资料!$AD$5:$AD$34,MATCH(O2652,基础资料!$AC$5:$AC$34,0)),"")="收",N(G2652)&lt;&gt;0),"✗ 这类是收款，金额填到收入列",IF(AND(IFERROR(INDEX(基础资料!$AD$5:$AD$34,MATCH(O2652,基础资料!$AC$5:$AC$34,0)),"")="支",N(F2652)&lt;&gt;0),"✗ 这类是付款，金额填到支出列",IF(N(H2652)&lt;0,"⚠ 账户余额成负数了，核对一下","√"))))))))))))))))))</f>
      </c>
      <c r="O2652" s="78">
        <f>IF(D2652&lt;&gt;"",D2652,IF(AND(F2652="",G2652=""),"",IF(J2652&lt;&gt;"",IF(N(F2652)&gt;0,"客户回款","客户退款"),IF(K2652&lt;&gt;"",IF(N(G2652)&gt;0,"供应商付款","供应商退款"),IF(L2652&lt;&gt;"","费用支出","")))))</f>
      </c>
      <c r="P2652" s="78">
        <f>IF(O2652="","",IFERROR(INDEX(基础资料!$AE$5:$AE$34,MATCH(O2652,基础资料!$AC$5:$AC$34,0)),"未知"))</f>
      </c>
      <c r="Q2652" s="78">
        <f>IF(P2652="应收",COUNTIF(P$7:P2652,"应收"),"")</f>
      </c>
      <c r="R2652" s="78">
        <f>IF(P2652="应付",COUNTIF(P$7:P2652,"应付"),"")</f>
      </c>
      <c r="S2652" s="78">
        <f>N(F2652)-N(G2652)</f>
        <v>0</v>
      </c>
    </row>
    <row r="2653">
      <c r="A2653" s="109">
        <f>IF(AND(F2653="",G2653=""),"",ROW()-6)</f>
      </c>
      <c r="B2653" s="140" t="n"/>
      <c r="C2653" s="141" t="n"/>
      <c r="D2653" s="141" t="n"/>
      <c r="E2653" s="142" t="n"/>
      <c r="F2653" s="143" t="n"/>
      <c r="G2653" s="144" t="n"/>
      <c r="H2653" s="145">
        <f>IF(OR(C2653="",AND(F2653="",G2653="")),"",SUMIF(基础资料!$W$5:$W$24,C2653,基础资料!$X$5:$X$24)+SUMIF(C$7:C2653,C2653,F$7:F2653)-SUMIF(C$7:C2653,C2653,G$7:G2653))</f>
      </c>
      <c r="I2653" s="145">
        <f>IF(AND(F2653="",G2653=""),"",SUM(基础资料!$X$5:$X$24)+SUM(F$7:F2653)-SUM(G$7:G2653))</f>
      </c>
      <c r="J2653" s="141" t="n"/>
      <c r="K2653" s="141" t="n"/>
      <c r="L2653" s="141" t="n"/>
      <c r="M2653" s="142" t="n"/>
      <c r="N2653" s="146">
        <f>IF(AND(AND(F2653="",G2653=""),B2653="",C2653="",D2653="",J2653="",K2653="",L2653=""),"",IF(AND(F2653="",G2653=""),"✗ 没填金额",IF(AND(N(F2653)&lt;&gt;0,N(G2653)&lt;&gt;0),"✗ 收入、支出只能填一边",IF(NOT(ISNUMBER(B2653)),"✗ 日期不是真日期（要像 2026/9/25 这样填）",IF(OR(B2653&lt;年初日,B2653&gt;年末日),"✗ 日期不在本会计年度",IF(C2653="","✗ 没选账户",IF(COUNTIF(基础资料!$W$5:$W$24,C2653)=0,"✗ 账户不在基础资料里",IF(O2653="","✗ 没选收支项目",IF(P2653="未知","✗ 收支项目不在基础资料里",IF(AND(P2653="应收",J2653=""),"✗ 这笔要选客户",IF(AND(P2653="应收",COUNTIF(总览汇总!$B$5:$B$304,J2653)=0),"✗ 客户不在总览汇总名单里",IF(AND(P2653="应付",K2653=""),"✗ 这笔要选供应商",IF(AND(P2653="应付",COUNTIF(基础资料!$Q$5:$Q$54,K2653)=0),"✗ 供应商不在基础资料里",IF(AND(P2653="费用",L2653=""),"✗ 费用支出要选费用项目",IF(AND(L2653&lt;&gt;"",COUNTIF(基础资料!$AI$5:$AI$54,L2653)=0),"✗ 费用项目不在基础资料里",IF(AND(IFERROR(INDEX(基础资料!$AD$5:$AD$34,MATCH(O2653,基础资料!$AC$5:$AC$34,0)),"")="收",N(G2653)&lt;&gt;0),"✗ 这类是收款，金额填到收入列",IF(AND(IFERROR(INDEX(基础资料!$AD$5:$AD$34,MATCH(O2653,基础资料!$AC$5:$AC$34,0)),"")="支",N(F2653)&lt;&gt;0),"✗ 这类是付款，金额填到支出列",IF(N(H2653)&lt;0,"⚠ 账户余额成负数了，核对一下","√"))))))))))))))))))</f>
      </c>
      <c r="O2653" s="78">
        <f>IF(D2653&lt;&gt;"",D2653,IF(AND(F2653="",G2653=""),"",IF(J2653&lt;&gt;"",IF(N(F2653)&gt;0,"客户回款","客户退款"),IF(K2653&lt;&gt;"",IF(N(G2653)&gt;0,"供应商付款","供应商退款"),IF(L2653&lt;&gt;"","费用支出","")))))</f>
      </c>
      <c r="P2653" s="78">
        <f>IF(O2653="","",IFERROR(INDEX(基础资料!$AE$5:$AE$34,MATCH(O2653,基础资料!$AC$5:$AC$34,0)),"未知"))</f>
      </c>
      <c r="Q2653" s="78">
        <f>IF(P2653="应收",COUNTIF(P$7:P2653,"应收"),"")</f>
      </c>
      <c r="R2653" s="78">
        <f>IF(P2653="应付",COUNTIF(P$7:P2653,"应付"),"")</f>
      </c>
      <c r="S2653" s="78">
        <f>N(F2653)-N(G2653)</f>
        <v>0</v>
      </c>
    </row>
    <row r="2654">
      <c r="A2654" s="109">
        <f>IF(AND(F2654="",G2654=""),"",ROW()-6)</f>
      </c>
      <c r="B2654" s="140" t="n"/>
      <c r="C2654" s="141" t="n"/>
      <c r="D2654" s="141" t="n"/>
      <c r="E2654" s="142" t="n"/>
      <c r="F2654" s="143" t="n"/>
      <c r="G2654" s="144" t="n"/>
      <c r="H2654" s="145">
        <f>IF(OR(C2654="",AND(F2654="",G2654="")),"",SUMIF(基础资料!$W$5:$W$24,C2654,基础资料!$X$5:$X$24)+SUMIF(C$7:C2654,C2654,F$7:F2654)-SUMIF(C$7:C2654,C2654,G$7:G2654))</f>
      </c>
      <c r="I2654" s="145">
        <f>IF(AND(F2654="",G2654=""),"",SUM(基础资料!$X$5:$X$24)+SUM(F$7:F2654)-SUM(G$7:G2654))</f>
      </c>
      <c r="J2654" s="141" t="n"/>
      <c r="K2654" s="141" t="n"/>
      <c r="L2654" s="141" t="n"/>
      <c r="M2654" s="142" t="n"/>
      <c r="N2654" s="146">
        <f>IF(AND(AND(F2654="",G2654=""),B2654="",C2654="",D2654="",J2654="",K2654="",L2654=""),"",IF(AND(F2654="",G2654=""),"✗ 没填金额",IF(AND(N(F2654)&lt;&gt;0,N(G2654)&lt;&gt;0),"✗ 收入、支出只能填一边",IF(NOT(ISNUMBER(B2654)),"✗ 日期不是真日期（要像 2026/9/25 这样填）",IF(OR(B2654&lt;年初日,B2654&gt;年末日),"✗ 日期不在本会计年度",IF(C2654="","✗ 没选账户",IF(COUNTIF(基础资料!$W$5:$W$24,C2654)=0,"✗ 账户不在基础资料里",IF(O2654="","✗ 没选收支项目",IF(P2654="未知","✗ 收支项目不在基础资料里",IF(AND(P2654="应收",J2654=""),"✗ 这笔要选客户",IF(AND(P2654="应收",COUNTIF(总览汇总!$B$5:$B$304,J2654)=0),"✗ 客户不在总览汇总名单里",IF(AND(P2654="应付",K2654=""),"✗ 这笔要选供应商",IF(AND(P2654="应付",COUNTIF(基础资料!$Q$5:$Q$54,K2654)=0),"✗ 供应商不在基础资料里",IF(AND(P2654="费用",L2654=""),"✗ 费用支出要选费用项目",IF(AND(L2654&lt;&gt;"",COUNTIF(基础资料!$AI$5:$AI$54,L2654)=0),"✗ 费用项目不在基础资料里",IF(AND(IFERROR(INDEX(基础资料!$AD$5:$AD$34,MATCH(O2654,基础资料!$AC$5:$AC$34,0)),"")="收",N(G2654)&lt;&gt;0),"✗ 这类是收款，金额填到收入列",IF(AND(IFERROR(INDEX(基础资料!$AD$5:$AD$34,MATCH(O2654,基础资料!$AC$5:$AC$34,0)),"")="支",N(F2654)&lt;&gt;0),"✗ 这类是付款，金额填到支出列",IF(N(H2654)&lt;0,"⚠ 账户余额成负数了，核对一下","√"))))))))))))))))))</f>
      </c>
      <c r="O2654" s="78">
        <f>IF(D2654&lt;&gt;"",D2654,IF(AND(F2654="",G2654=""),"",IF(J2654&lt;&gt;"",IF(N(F2654)&gt;0,"客户回款","客户退款"),IF(K2654&lt;&gt;"",IF(N(G2654)&gt;0,"供应商付款","供应商退款"),IF(L2654&lt;&gt;"","费用支出","")))))</f>
      </c>
      <c r="P2654" s="78">
        <f>IF(O2654="","",IFERROR(INDEX(基础资料!$AE$5:$AE$34,MATCH(O2654,基础资料!$AC$5:$AC$34,0)),"未知"))</f>
      </c>
      <c r="Q2654" s="78">
        <f>IF(P2654="应收",COUNTIF(P$7:P2654,"应收"),"")</f>
      </c>
      <c r="R2654" s="78">
        <f>IF(P2654="应付",COUNTIF(P$7:P2654,"应付"),"")</f>
      </c>
      <c r="S2654" s="78">
        <f>N(F2654)-N(G2654)</f>
        <v>0</v>
      </c>
    </row>
    <row r="2655">
      <c r="A2655" s="109">
        <f>IF(AND(F2655="",G2655=""),"",ROW()-6)</f>
      </c>
      <c r="B2655" s="140" t="n"/>
      <c r="C2655" s="141" t="n"/>
      <c r="D2655" s="141" t="n"/>
      <c r="E2655" s="142" t="n"/>
      <c r="F2655" s="143" t="n"/>
      <c r="G2655" s="144" t="n"/>
      <c r="H2655" s="145">
        <f>IF(OR(C2655="",AND(F2655="",G2655="")),"",SUMIF(基础资料!$W$5:$W$24,C2655,基础资料!$X$5:$X$24)+SUMIF(C$7:C2655,C2655,F$7:F2655)-SUMIF(C$7:C2655,C2655,G$7:G2655))</f>
      </c>
      <c r="I2655" s="145">
        <f>IF(AND(F2655="",G2655=""),"",SUM(基础资料!$X$5:$X$24)+SUM(F$7:F2655)-SUM(G$7:G2655))</f>
      </c>
      <c r="J2655" s="141" t="n"/>
      <c r="K2655" s="141" t="n"/>
      <c r="L2655" s="141" t="n"/>
      <c r="M2655" s="142" t="n"/>
      <c r="N2655" s="146">
        <f>IF(AND(AND(F2655="",G2655=""),B2655="",C2655="",D2655="",J2655="",K2655="",L2655=""),"",IF(AND(F2655="",G2655=""),"✗ 没填金额",IF(AND(N(F2655)&lt;&gt;0,N(G2655)&lt;&gt;0),"✗ 收入、支出只能填一边",IF(NOT(ISNUMBER(B2655)),"✗ 日期不是真日期（要像 2026/9/25 这样填）",IF(OR(B2655&lt;年初日,B2655&gt;年末日),"✗ 日期不在本会计年度",IF(C2655="","✗ 没选账户",IF(COUNTIF(基础资料!$W$5:$W$24,C2655)=0,"✗ 账户不在基础资料里",IF(O2655="","✗ 没选收支项目",IF(P2655="未知","✗ 收支项目不在基础资料里",IF(AND(P2655="应收",J2655=""),"✗ 这笔要选客户",IF(AND(P2655="应收",COUNTIF(总览汇总!$B$5:$B$304,J2655)=0),"✗ 客户不在总览汇总名单里",IF(AND(P2655="应付",K2655=""),"✗ 这笔要选供应商",IF(AND(P2655="应付",COUNTIF(基础资料!$Q$5:$Q$54,K2655)=0),"✗ 供应商不在基础资料里",IF(AND(P2655="费用",L2655=""),"✗ 费用支出要选费用项目",IF(AND(L2655&lt;&gt;"",COUNTIF(基础资料!$AI$5:$AI$54,L2655)=0),"✗ 费用项目不在基础资料里",IF(AND(IFERROR(INDEX(基础资料!$AD$5:$AD$34,MATCH(O2655,基础资料!$AC$5:$AC$34,0)),"")="收",N(G2655)&lt;&gt;0),"✗ 这类是收款，金额填到收入列",IF(AND(IFERROR(INDEX(基础资料!$AD$5:$AD$34,MATCH(O2655,基础资料!$AC$5:$AC$34,0)),"")="支",N(F2655)&lt;&gt;0),"✗ 这类是付款，金额填到支出列",IF(N(H2655)&lt;0,"⚠ 账户余额成负数了，核对一下","√"))))))))))))))))))</f>
      </c>
      <c r="O2655" s="78">
        <f>IF(D2655&lt;&gt;"",D2655,IF(AND(F2655="",G2655=""),"",IF(J2655&lt;&gt;"",IF(N(F2655)&gt;0,"客户回款","客户退款"),IF(K2655&lt;&gt;"",IF(N(G2655)&gt;0,"供应商付款","供应商退款"),IF(L2655&lt;&gt;"","费用支出","")))))</f>
      </c>
      <c r="P2655" s="78">
        <f>IF(O2655="","",IFERROR(INDEX(基础资料!$AE$5:$AE$34,MATCH(O2655,基础资料!$AC$5:$AC$34,0)),"未知"))</f>
      </c>
      <c r="Q2655" s="78">
        <f>IF(P2655="应收",COUNTIF(P$7:P2655,"应收"),"")</f>
      </c>
      <c r="R2655" s="78">
        <f>IF(P2655="应付",COUNTIF(P$7:P2655,"应付"),"")</f>
      </c>
      <c r="S2655" s="78">
        <f>N(F2655)-N(G2655)</f>
        <v>0</v>
      </c>
    </row>
    <row r="2656">
      <c r="A2656" s="109">
        <f>IF(AND(F2656="",G2656=""),"",ROW()-6)</f>
      </c>
      <c r="B2656" s="140" t="n"/>
      <c r="C2656" s="141" t="n"/>
      <c r="D2656" s="141" t="n"/>
      <c r="E2656" s="142" t="n"/>
      <c r="F2656" s="143" t="n"/>
      <c r="G2656" s="144" t="n"/>
      <c r="H2656" s="145">
        <f>IF(OR(C2656="",AND(F2656="",G2656="")),"",SUMIF(基础资料!$W$5:$W$24,C2656,基础资料!$X$5:$X$24)+SUMIF(C$7:C2656,C2656,F$7:F2656)-SUMIF(C$7:C2656,C2656,G$7:G2656))</f>
      </c>
      <c r="I2656" s="145">
        <f>IF(AND(F2656="",G2656=""),"",SUM(基础资料!$X$5:$X$24)+SUM(F$7:F2656)-SUM(G$7:G2656))</f>
      </c>
      <c r="J2656" s="141" t="n"/>
      <c r="K2656" s="141" t="n"/>
      <c r="L2656" s="141" t="n"/>
      <c r="M2656" s="142" t="n"/>
      <c r="N2656" s="146">
        <f>IF(AND(AND(F2656="",G2656=""),B2656="",C2656="",D2656="",J2656="",K2656="",L2656=""),"",IF(AND(F2656="",G2656=""),"✗ 没填金额",IF(AND(N(F2656)&lt;&gt;0,N(G2656)&lt;&gt;0),"✗ 收入、支出只能填一边",IF(NOT(ISNUMBER(B2656)),"✗ 日期不是真日期（要像 2026/9/25 这样填）",IF(OR(B2656&lt;年初日,B2656&gt;年末日),"✗ 日期不在本会计年度",IF(C2656="","✗ 没选账户",IF(COUNTIF(基础资料!$W$5:$W$24,C2656)=0,"✗ 账户不在基础资料里",IF(O2656="","✗ 没选收支项目",IF(P2656="未知","✗ 收支项目不在基础资料里",IF(AND(P2656="应收",J2656=""),"✗ 这笔要选客户",IF(AND(P2656="应收",COUNTIF(总览汇总!$B$5:$B$304,J2656)=0),"✗ 客户不在总览汇总名单里",IF(AND(P2656="应付",K2656=""),"✗ 这笔要选供应商",IF(AND(P2656="应付",COUNTIF(基础资料!$Q$5:$Q$54,K2656)=0),"✗ 供应商不在基础资料里",IF(AND(P2656="费用",L2656=""),"✗ 费用支出要选费用项目",IF(AND(L2656&lt;&gt;"",COUNTIF(基础资料!$AI$5:$AI$54,L2656)=0),"✗ 费用项目不在基础资料里",IF(AND(IFERROR(INDEX(基础资料!$AD$5:$AD$34,MATCH(O2656,基础资料!$AC$5:$AC$34,0)),"")="收",N(G2656)&lt;&gt;0),"✗ 这类是收款，金额填到收入列",IF(AND(IFERROR(INDEX(基础资料!$AD$5:$AD$34,MATCH(O2656,基础资料!$AC$5:$AC$34,0)),"")="支",N(F2656)&lt;&gt;0),"✗ 这类是付款，金额填到支出列",IF(N(H2656)&lt;0,"⚠ 账户余额成负数了，核对一下","√"))))))))))))))))))</f>
      </c>
      <c r="O2656" s="78">
        <f>IF(D2656&lt;&gt;"",D2656,IF(AND(F2656="",G2656=""),"",IF(J2656&lt;&gt;"",IF(N(F2656)&gt;0,"客户回款","客户退款"),IF(K2656&lt;&gt;"",IF(N(G2656)&gt;0,"供应商付款","供应商退款"),IF(L2656&lt;&gt;"","费用支出","")))))</f>
      </c>
      <c r="P2656" s="78">
        <f>IF(O2656="","",IFERROR(INDEX(基础资料!$AE$5:$AE$34,MATCH(O2656,基础资料!$AC$5:$AC$34,0)),"未知"))</f>
      </c>
      <c r="Q2656" s="78">
        <f>IF(P2656="应收",COUNTIF(P$7:P2656,"应收"),"")</f>
      </c>
      <c r="R2656" s="78">
        <f>IF(P2656="应付",COUNTIF(P$7:P2656,"应付"),"")</f>
      </c>
      <c r="S2656" s="78">
        <f>N(F2656)-N(G2656)</f>
        <v>0</v>
      </c>
    </row>
    <row r="2657">
      <c r="A2657" s="109">
        <f>IF(AND(F2657="",G2657=""),"",ROW()-6)</f>
      </c>
      <c r="B2657" s="140" t="n"/>
      <c r="C2657" s="141" t="n"/>
      <c r="D2657" s="141" t="n"/>
      <c r="E2657" s="142" t="n"/>
      <c r="F2657" s="143" t="n"/>
      <c r="G2657" s="144" t="n"/>
      <c r="H2657" s="145">
        <f>IF(OR(C2657="",AND(F2657="",G2657="")),"",SUMIF(基础资料!$W$5:$W$24,C2657,基础资料!$X$5:$X$24)+SUMIF(C$7:C2657,C2657,F$7:F2657)-SUMIF(C$7:C2657,C2657,G$7:G2657))</f>
      </c>
      <c r="I2657" s="145">
        <f>IF(AND(F2657="",G2657=""),"",SUM(基础资料!$X$5:$X$24)+SUM(F$7:F2657)-SUM(G$7:G2657))</f>
      </c>
      <c r="J2657" s="141" t="n"/>
      <c r="K2657" s="141" t="n"/>
      <c r="L2657" s="141" t="n"/>
      <c r="M2657" s="142" t="n"/>
      <c r="N2657" s="146">
        <f>IF(AND(AND(F2657="",G2657=""),B2657="",C2657="",D2657="",J2657="",K2657="",L2657=""),"",IF(AND(F2657="",G2657=""),"✗ 没填金额",IF(AND(N(F2657)&lt;&gt;0,N(G2657)&lt;&gt;0),"✗ 收入、支出只能填一边",IF(NOT(ISNUMBER(B2657)),"✗ 日期不是真日期（要像 2026/9/25 这样填）",IF(OR(B2657&lt;年初日,B2657&gt;年末日),"✗ 日期不在本会计年度",IF(C2657="","✗ 没选账户",IF(COUNTIF(基础资料!$W$5:$W$24,C2657)=0,"✗ 账户不在基础资料里",IF(O2657="","✗ 没选收支项目",IF(P2657="未知","✗ 收支项目不在基础资料里",IF(AND(P2657="应收",J2657=""),"✗ 这笔要选客户",IF(AND(P2657="应收",COUNTIF(总览汇总!$B$5:$B$304,J2657)=0),"✗ 客户不在总览汇总名单里",IF(AND(P2657="应付",K2657=""),"✗ 这笔要选供应商",IF(AND(P2657="应付",COUNTIF(基础资料!$Q$5:$Q$54,K2657)=0),"✗ 供应商不在基础资料里",IF(AND(P2657="费用",L2657=""),"✗ 费用支出要选费用项目",IF(AND(L2657&lt;&gt;"",COUNTIF(基础资料!$AI$5:$AI$54,L2657)=0),"✗ 费用项目不在基础资料里",IF(AND(IFERROR(INDEX(基础资料!$AD$5:$AD$34,MATCH(O2657,基础资料!$AC$5:$AC$34,0)),"")="收",N(G2657)&lt;&gt;0),"✗ 这类是收款，金额填到收入列",IF(AND(IFERROR(INDEX(基础资料!$AD$5:$AD$34,MATCH(O2657,基础资料!$AC$5:$AC$34,0)),"")="支",N(F2657)&lt;&gt;0),"✗ 这类是付款，金额填到支出列",IF(N(H2657)&lt;0,"⚠ 账户余额成负数了，核对一下","√"))))))))))))))))))</f>
      </c>
      <c r="O2657" s="78">
        <f>IF(D2657&lt;&gt;"",D2657,IF(AND(F2657="",G2657=""),"",IF(J2657&lt;&gt;"",IF(N(F2657)&gt;0,"客户回款","客户退款"),IF(K2657&lt;&gt;"",IF(N(G2657)&gt;0,"供应商付款","供应商退款"),IF(L2657&lt;&gt;"","费用支出","")))))</f>
      </c>
      <c r="P2657" s="78">
        <f>IF(O2657="","",IFERROR(INDEX(基础资料!$AE$5:$AE$34,MATCH(O2657,基础资料!$AC$5:$AC$34,0)),"未知"))</f>
      </c>
      <c r="Q2657" s="78">
        <f>IF(P2657="应收",COUNTIF(P$7:P2657,"应收"),"")</f>
      </c>
      <c r="R2657" s="78">
        <f>IF(P2657="应付",COUNTIF(P$7:P2657,"应付"),"")</f>
      </c>
      <c r="S2657" s="78">
        <f>N(F2657)-N(G2657)</f>
        <v>0</v>
      </c>
    </row>
    <row r="2658">
      <c r="A2658" s="109">
        <f>IF(AND(F2658="",G2658=""),"",ROW()-6)</f>
      </c>
      <c r="B2658" s="140" t="n"/>
      <c r="C2658" s="141" t="n"/>
      <c r="D2658" s="141" t="n"/>
      <c r="E2658" s="142" t="n"/>
      <c r="F2658" s="143" t="n"/>
      <c r="G2658" s="144" t="n"/>
      <c r="H2658" s="145">
        <f>IF(OR(C2658="",AND(F2658="",G2658="")),"",SUMIF(基础资料!$W$5:$W$24,C2658,基础资料!$X$5:$X$24)+SUMIF(C$7:C2658,C2658,F$7:F2658)-SUMIF(C$7:C2658,C2658,G$7:G2658))</f>
      </c>
      <c r="I2658" s="145">
        <f>IF(AND(F2658="",G2658=""),"",SUM(基础资料!$X$5:$X$24)+SUM(F$7:F2658)-SUM(G$7:G2658))</f>
      </c>
      <c r="J2658" s="141" t="n"/>
      <c r="K2658" s="141" t="n"/>
      <c r="L2658" s="141" t="n"/>
      <c r="M2658" s="142" t="n"/>
      <c r="N2658" s="146">
        <f>IF(AND(AND(F2658="",G2658=""),B2658="",C2658="",D2658="",J2658="",K2658="",L2658=""),"",IF(AND(F2658="",G2658=""),"✗ 没填金额",IF(AND(N(F2658)&lt;&gt;0,N(G2658)&lt;&gt;0),"✗ 收入、支出只能填一边",IF(NOT(ISNUMBER(B2658)),"✗ 日期不是真日期（要像 2026/9/25 这样填）",IF(OR(B2658&lt;年初日,B2658&gt;年末日),"✗ 日期不在本会计年度",IF(C2658="","✗ 没选账户",IF(COUNTIF(基础资料!$W$5:$W$24,C2658)=0,"✗ 账户不在基础资料里",IF(O2658="","✗ 没选收支项目",IF(P2658="未知","✗ 收支项目不在基础资料里",IF(AND(P2658="应收",J2658=""),"✗ 这笔要选客户",IF(AND(P2658="应收",COUNTIF(总览汇总!$B$5:$B$304,J2658)=0),"✗ 客户不在总览汇总名单里",IF(AND(P2658="应付",K2658=""),"✗ 这笔要选供应商",IF(AND(P2658="应付",COUNTIF(基础资料!$Q$5:$Q$54,K2658)=0),"✗ 供应商不在基础资料里",IF(AND(P2658="费用",L2658=""),"✗ 费用支出要选费用项目",IF(AND(L2658&lt;&gt;"",COUNTIF(基础资料!$AI$5:$AI$54,L2658)=0),"✗ 费用项目不在基础资料里",IF(AND(IFERROR(INDEX(基础资料!$AD$5:$AD$34,MATCH(O2658,基础资料!$AC$5:$AC$34,0)),"")="收",N(G2658)&lt;&gt;0),"✗ 这类是收款，金额填到收入列",IF(AND(IFERROR(INDEX(基础资料!$AD$5:$AD$34,MATCH(O2658,基础资料!$AC$5:$AC$34,0)),"")="支",N(F2658)&lt;&gt;0),"✗ 这类是付款，金额填到支出列",IF(N(H2658)&lt;0,"⚠ 账户余额成负数了，核对一下","√"))))))))))))))))))</f>
      </c>
      <c r="O2658" s="78">
        <f>IF(D2658&lt;&gt;"",D2658,IF(AND(F2658="",G2658=""),"",IF(J2658&lt;&gt;"",IF(N(F2658)&gt;0,"客户回款","客户退款"),IF(K2658&lt;&gt;"",IF(N(G2658)&gt;0,"供应商付款","供应商退款"),IF(L2658&lt;&gt;"","费用支出","")))))</f>
      </c>
      <c r="P2658" s="78">
        <f>IF(O2658="","",IFERROR(INDEX(基础资料!$AE$5:$AE$34,MATCH(O2658,基础资料!$AC$5:$AC$34,0)),"未知"))</f>
      </c>
      <c r="Q2658" s="78">
        <f>IF(P2658="应收",COUNTIF(P$7:P2658,"应收"),"")</f>
      </c>
      <c r="R2658" s="78">
        <f>IF(P2658="应付",COUNTIF(P$7:P2658,"应付"),"")</f>
      </c>
      <c r="S2658" s="78">
        <f>N(F2658)-N(G2658)</f>
        <v>0</v>
      </c>
    </row>
    <row r="2659">
      <c r="A2659" s="109">
        <f>IF(AND(F2659="",G2659=""),"",ROW()-6)</f>
      </c>
      <c r="B2659" s="140" t="n"/>
      <c r="C2659" s="141" t="n"/>
      <c r="D2659" s="141" t="n"/>
      <c r="E2659" s="142" t="n"/>
      <c r="F2659" s="143" t="n"/>
      <c r="G2659" s="144" t="n"/>
      <c r="H2659" s="145">
        <f>IF(OR(C2659="",AND(F2659="",G2659="")),"",SUMIF(基础资料!$W$5:$W$24,C2659,基础资料!$X$5:$X$24)+SUMIF(C$7:C2659,C2659,F$7:F2659)-SUMIF(C$7:C2659,C2659,G$7:G2659))</f>
      </c>
      <c r="I2659" s="145">
        <f>IF(AND(F2659="",G2659=""),"",SUM(基础资料!$X$5:$X$24)+SUM(F$7:F2659)-SUM(G$7:G2659))</f>
      </c>
      <c r="J2659" s="141" t="n"/>
      <c r="K2659" s="141" t="n"/>
      <c r="L2659" s="141" t="n"/>
      <c r="M2659" s="142" t="n"/>
      <c r="N2659" s="146">
        <f>IF(AND(AND(F2659="",G2659=""),B2659="",C2659="",D2659="",J2659="",K2659="",L2659=""),"",IF(AND(F2659="",G2659=""),"✗ 没填金额",IF(AND(N(F2659)&lt;&gt;0,N(G2659)&lt;&gt;0),"✗ 收入、支出只能填一边",IF(NOT(ISNUMBER(B2659)),"✗ 日期不是真日期（要像 2026/9/25 这样填）",IF(OR(B2659&lt;年初日,B2659&gt;年末日),"✗ 日期不在本会计年度",IF(C2659="","✗ 没选账户",IF(COUNTIF(基础资料!$W$5:$W$24,C2659)=0,"✗ 账户不在基础资料里",IF(O2659="","✗ 没选收支项目",IF(P2659="未知","✗ 收支项目不在基础资料里",IF(AND(P2659="应收",J2659=""),"✗ 这笔要选客户",IF(AND(P2659="应收",COUNTIF(总览汇总!$B$5:$B$304,J2659)=0),"✗ 客户不在总览汇总名单里",IF(AND(P2659="应付",K2659=""),"✗ 这笔要选供应商",IF(AND(P2659="应付",COUNTIF(基础资料!$Q$5:$Q$54,K2659)=0),"✗ 供应商不在基础资料里",IF(AND(P2659="费用",L2659=""),"✗ 费用支出要选费用项目",IF(AND(L2659&lt;&gt;"",COUNTIF(基础资料!$AI$5:$AI$54,L2659)=0),"✗ 费用项目不在基础资料里",IF(AND(IFERROR(INDEX(基础资料!$AD$5:$AD$34,MATCH(O2659,基础资料!$AC$5:$AC$34,0)),"")="收",N(G2659)&lt;&gt;0),"✗ 这类是收款，金额填到收入列",IF(AND(IFERROR(INDEX(基础资料!$AD$5:$AD$34,MATCH(O2659,基础资料!$AC$5:$AC$34,0)),"")="支",N(F2659)&lt;&gt;0),"✗ 这类是付款，金额填到支出列",IF(N(H2659)&lt;0,"⚠ 账户余额成负数了，核对一下","√"))))))))))))))))))</f>
      </c>
      <c r="O2659" s="78">
        <f>IF(D2659&lt;&gt;"",D2659,IF(AND(F2659="",G2659=""),"",IF(J2659&lt;&gt;"",IF(N(F2659)&gt;0,"客户回款","客户退款"),IF(K2659&lt;&gt;"",IF(N(G2659)&gt;0,"供应商付款","供应商退款"),IF(L2659&lt;&gt;"","费用支出","")))))</f>
      </c>
      <c r="P2659" s="78">
        <f>IF(O2659="","",IFERROR(INDEX(基础资料!$AE$5:$AE$34,MATCH(O2659,基础资料!$AC$5:$AC$34,0)),"未知"))</f>
      </c>
      <c r="Q2659" s="78">
        <f>IF(P2659="应收",COUNTIF(P$7:P2659,"应收"),"")</f>
      </c>
      <c r="R2659" s="78">
        <f>IF(P2659="应付",COUNTIF(P$7:P2659,"应付"),"")</f>
      </c>
      <c r="S2659" s="78">
        <f>N(F2659)-N(G2659)</f>
        <v>0</v>
      </c>
    </row>
    <row r="2660">
      <c r="A2660" s="109">
        <f>IF(AND(F2660="",G2660=""),"",ROW()-6)</f>
      </c>
      <c r="B2660" s="140" t="n"/>
      <c r="C2660" s="141" t="n"/>
      <c r="D2660" s="141" t="n"/>
      <c r="E2660" s="142" t="n"/>
      <c r="F2660" s="143" t="n"/>
      <c r="G2660" s="144" t="n"/>
      <c r="H2660" s="145">
        <f>IF(OR(C2660="",AND(F2660="",G2660="")),"",SUMIF(基础资料!$W$5:$W$24,C2660,基础资料!$X$5:$X$24)+SUMIF(C$7:C2660,C2660,F$7:F2660)-SUMIF(C$7:C2660,C2660,G$7:G2660))</f>
      </c>
      <c r="I2660" s="145">
        <f>IF(AND(F2660="",G2660=""),"",SUM(基础资料!$X$5:$X$24)+SUM(F$7:F2660)-SUM(G$7:G2660))</f>
      </c>
      <c r="J2660" s="141" t="n"/>
      <c r="K2660" s="141" t="n"/>
      <c r="L2660" s="141" t="n"/>
      <c r="M2660" s="142" t="n"/>
      <c r="N2660" s="146">
        <f>IF(AND(AND(F2660="",G2660=""),B2660="",C2660="",D2660="",J2660="",K2660="",L2660=""),"",IF(AND(F2660="",G2660=""),"✗ 没填金额",IF(AND(N(F2660)&lt;&gt;0,N(G2660)&lt;&gt;0),"✗ 收入、支出只能填一边",IF(NOT(ISNUMBER(B2660)),"✗ 日期不是真日期（要像 2026/9/25 这样填）",IF(OR(B2660&lt;年初日,B2660&gt;年末日),"✗ 日期不在本会计年度",IF(C2660="","✗ 没选账户",IF(COUNTIF(基础资料!$W$5:$W$24,C2660)=0,"✗ 账户不在基础资料里",IF(O2660="","✗ 没选收支项目",IF(P2660="未知","✗ 收支项目不在基础资料里",IF(AND(P2660="应收",J2660=""),"✗ 这笔要选客户",IF(AND(P2660="应收",COUNTIF(总览汇总!$B$5:$B$304,J2660)=0),"✗ 客户不在总览汇总名单里",IF(AND(P2660="应付",K2660=""),"✗ 这笔要选供应商",IF(AND(P2660="应付",COUNTIF(基础资料!$Q$5:$Q$54,K2660)=0),"✗ 供应商不在基础资料里",IF(AND(P2660="费用",L2660=""),"✗ 费用支出要选费用项目",IF(AND(L2660&lt;&gt;"",COUNTIF(基础资料!$AI$5:$AI$54,L2660)=0),"✗ 费用项目不在基础资料里",IF(AND(IFERROR(INDEX(基础资料!$AD$5:$AD$34,MATCH(O2660,基础资料!$AC$5:$AC$34,0)),"")="收",N(G2660)&lt;&gt;0),"✗ 这类是收款，金额填到收入列",IF(AND(IFERROR(INDEX(基础资料!$AD$5:$AD$34,MATCH(O2660,基础资料!$AC$5:$AC$34,0)),"")="支",N(F2660)&lt;&gt;0),"✗ 这类是付款，金额填到支出列",IF(N(H2660)&lt;0,"⚠ 账户余额成负数了，核对一下","√"))))))))))))))))))</f>
      </c>
      <c r="O2660" s="78">
        <f>IF(D2660&lt;&gt;"",D2660,IF(AND(F2660="",G2660=""),"",IF(J2660&lt;&gt;"",IF(N(F2660)&gt;0,"客户回款","客户退款"),IF(K2660&lt;&gt;"",IF(N(G2660)&gt;0,"供应商付款","供应商退款"),IF(L2660&lt;&gt;"","费用支出","")))))</f>
      </c>
      <c r="P2660" s="78">
        <f>IF(O2660="","",IFERROR(INDEX(基础资料!$AE$5:$AE$34,MATCH(O2660,基础资料!$AC$5:$AC$34,0)),"未知"))</f>
      </c>
      <c r="Q2660" s="78">
        <f>IF(P2660="应收",COUNTIF(P$7:P2660,"应收"),"")</f>
      </c>
      <c r="R2660" s="78">
        <f>IF(P2660="应付",COUNTIF(P$7:P2660,"应付"),"")</f>
      </c>
      <c r="S2660" s="78">
        <f>N(F2660)-N(G2660)</f>
        <v>0</v>
      </c>
    </row>
    <row r="2661">
      <c r="A2661" s="109">
        <f>IF(AND(F2661="",G2661=""),"",ROW()-6)</f>
      </c>
      <c r="B2661" s="140" t="n"/>
      <c r="C2661" s="141" t="n"/>
      <c r="D2661" s="141" t="n"/>
      <c r="E2661" s="142" t="n"/>
      <c r="F2661" s="143" t="n"/>
      <c r="G2661" s="144" t="n"/>
      <c r="H2661" s="145">
        <f>IF(OR(C2661="",AND(F2661="",G2661="")),"",SUMIF(基础资料!$W$5:$W$24,C2661,基础资料!$X$5:$X$24)+SUMIF(C$7:C2661,C2661,F$7:F2661)-SUMIF(C$7:C2661,C2661,G$7:G2661))</f>
      </c>
      <c r="I2661" s="145">
        <f>IF(AND(F2661="",G2661=""),"",SUM(基础资料!$X$5:$X$24)+SUM(F$7:F2661)-SUM(G$7:G2661))</f>
      </c>
      <c r="J2661" s="141" t="n"/>
      <c r="K2661" s="141" t="n"/>
      <c r="L2661" s="141" t="n"/>
      <c r="M2661" s="142" t="n"/>
      <c r="N2661" s="146">
        <f>IF(AND(AND(F2661="",G2661=""),B2661="",C2661="",D2661="",J2661="",K2661="",L2661=""),"",IF(AND(F2661="",G2661=""),"✗ 没填金额",IF(AND(N(F2661)&lt;&gt;0,N(G2661)&lt;&gt;0),"✗ 收入、支出只能填一边",IF(NOT(ISNUMBER(B2661)),"✗ 日期不是真日期（要像 2026/9/25 这样填）",IF(OR(B2661&lt;年初日,B2661&gt;年末日),"✗ 日期不在本会计年度",IF(C2661="","✗ 没选账户",IF(COUNTIF(基础资料!$W$5:$W$24,C2661)=0,"✗ 账户不在基础资料里",IF(O2661="","✗ 没选收支项目",IF(P2661="未知","✗ 收支项目不在基础资料里",IF(AND(P2661="应收",J2661=""),"✗ 这笔要选客户",IF(AND(P2661="应收",COUNTIF(总览汇总!$B$5:$B$304,J2661)=0),"✗ 客户不在总览汇总名单里",IF(AND(P2661="应付",K2661=""),"✗ 这笔要选供应商",IF(AND(P2661="应付",COUNTIF(基础资料!$Q$5:$Q$54,K2661)=0),"✗ 供应商不在基础资料里",IF(AND(P2661="费用",L2661=""),"✗ 费用支出要选费用项目",IF(AND(L2661&lt;&gt;"",COUNTIF(基础资料!$AI$5:$AI$54,L2661)=0),"✗ 费用项目不在基础资料里",IF(AND(IFERROR(INDEX(基础资料!$AD$5:$AD$34,MATCH(O2661,基础资料!$AC$5:$AC$34,0)),"")="收",N(G2661)&lt;&gt;0),"✗ 这类是收款，金额填到收入列",IF(AND(IFERROR(INDEX(基础资料!$AD$5:$AD$34,MATCH(O2661,基础资料!$AC$5:$AC$34,0)),"")="支",N(F2661)&lt;&gt;0),"✗ 这类是付款，金额填到支出列",IF(N(H2661)&lt;0,"⚠ 账户余额成负数了，核对一下","√"))))))))))))))))))</f>
      </c>
      <c r="O2661" s="78">
        <f>IF(D2661&lt;&gt;"",D2661,IF(AND(F2661="",G2661=""),"",IF(J2661&lt;&gt;"",IF(N(F2661)&gt;0,"客户回款","客户退款"),IF(K2661&lt;&gt;"",IF(N(G2661)&gt;0,"供应商付款","供应商退款"),IF(L2661&lt;&gt;"","费用支出","")))))</f>
      </c>
      <c r="P2661" s="78">
        <f>IF(O2661="","",IFERROR(INDEX(基础资料!$AE$5:$AE$34,MATCH(O2661,基础资料!$AC$5:$AC$34,0)),"未知"))</f>
      </c>
      <c r="Q2661" s="78">
        <f>IF(P2661="应收",COUNTIF(P$7:P2661,"应收"),"")</f>
      </c>
      <c r="R2661" s="78">
        <f>IF(P2661="应付",COUNTIF(P$7:P2661,"应付"),"")</f>
      </c>
      <c r="S2661" s="78">
        <f>N(F2661)-N(G2661)</f>
        <v>0</v>
      </c>
    </row>
    <row r="2662">
      <c r="A2662" s="109">
        <f>IF(AND(F2662="",G2662=""),"",ROW()-6)</f>
      </c>
      <c r="B2662" s="140" t="n"/>
      <c r="C2662" s="141" t="n"/>
      <c r="D2662" s="141" t="n"/>
      <c r="E2662" s="142" t="n"/>
      <c r="F2662" s="143" t="n"/>
      <c r="G2662" s="144" t="n"/>
      <c r="H2662" s="145">
        <f>IF(OR(C2662="",AND(F2662="",G2662="")),"",SUMIF(基础资料!$W$5:$W$24,C2662,基础资料!$X$5:$X$24)+SUMIF(C$7:C2662,C2662,F$7:F2662)-SUMIF(C$7:C2662,C2662,G$7:G2662))</f>
      </c>
      <c r="I2662" s="145">
        <f>IF(AND(F2662="",G2662=""),"",SUM(基础资料!$X$5:$X$24)+SUM(F$7:F2662)-SUM(G$7:G2662))</f>
      </c>
      <c r="J2662" s="141" t="n"/>
      <c r="K2662" s="141" t="n"/>
      <c r="L2662" s="141" t="n"/>
      <c r="M2662" s="142" t="n"/>
      <c r="N2662" s="146">
        <f>IF(AND(AND(F2662="",G2662=""),B2662="",C2662="",D2662="",J2662="",K2662="",L2662=""),"",IF(AND(F2662="",G2662=""),"✗ 没填金额",IF(AND(N(F2662)&lt;&gt;0,N(G2662)&lt;&gt;0),"✗ 收入、支出只能填一边",IF(NOT(ISNUMBER(B2662)),"✗ 日期不是真日期（要像 2026/9/25 这样填）",IF(OR(B2662&lt;年初日,B2662&gt;年末日),"✗ 日期不在本会计年度",IF(C2662="","✗ 没选账户",IF(COUNTIF(基础资料!$W$5:$W$24,C2662)=0,"✗ 账户不在基础资料里",IF(O2662="","✗ 没选收支项目",IF(P2662="未知","✗ 收支项目不在基础资料里",IF(AND(P2662="应收",J2662=""),"✗ 这笔要选客户",IF(AND(P2662="应收",COUNTIF(总览汇总!$B$5:$B$304,J2662)=0),"✗ 客户不在总览汇总名单里",IF(AND(P2662="应付",K2662=""),"✗ 这笔要选供应商",IF(AND(P2662="应付",COUNTIF(基础资料!$Q$5:$Q$54,K2662)=0),"✗ 供应商不在基础资料里",IF(AND(P2662="费用",L2662=""),"✗ 费用支出要选费用项目",IF(AND(L2662&lt;&gt;"",COUNTIF(基础资料!$AI$5:$AI$54,L2662)=0),"✗ 费用项目不在基础资料里",IF(AND(IFERROR(INDEX(基础资料!$AD$5:$AD$34,MATCH(O2662,基础资料!$AC$5:$AC$34,0)),"")="收",N(G2662)&lt;&gt;0),"✗ 这类是收款，金额填到收入列",IF(AND(IFERROR(INDEX(基础资料!$AD$5:$AD$34,MATCH(O2662,基础资料!$AC$5:$AC$34,0)),"")="支",N(F2662)&lt;&gt;0),"✗ 这类是付款，金额填到支出列",IF(N(H2662)&lt;0,"⚠ 账户余额成负数了，核对一下","√"))))))))))))))))))</f>
      </c>
      <c r="O2662" s="78">
        <f>IF(D2662&lt;&gt;"",D2662,IF(AND(F2662="",G2662=""),"",IF(J2662&lt;&gt;"",IF(N(F2662)&gt;0,"客户回款","客户退款"),IF(K2662&lt;&gt;"",IF(N(G2662)&gt;0,"供应商付款","供应商退款"),IF(L2662&lt;&gt;"","费用支出","")))))</f>
      </c>
      <c r="P2662" s="78">
        <f>IF(O2662="","",IFERROR(INDEX(基础资料!$AE$5:$AE$34,MATCH(O2662,基础资料!$AC$5:$AC$34,0)),"未知"))</f>
      </c>
      <c r="Q2662" s="78">
        <f>IF(P2662="应收",COUNTIF(P$7:P2662,"应收"),"")</f>
      </c>
      <c r="R2662" s="78">
        <f>IF(P2662="应付",COUNTIF(P$7:P2662,"应付"),"")</f>
      </c>
      <c r="S2662" s="78">
        <f>N(F2662)-N(G2662)</f>
        <v>0</v>
      </c>
    </row>
    <row r="2663">
      <c r="A2663" s="109">
        <f>IF(AND(F2663="",G2663=""),"",ROW()-6)</f>
      </c>
      <c r="B2663" s="140" t="n"/>
      <c r="C2663" s="141" t="n"/>
      <c r="D2663" s="141" t="n"/>
      <c r="E2663" s="142" t="n"/>
      <c r="F2663" s="143" t="n"/>
      <c r="G2663" s="144" t="n"/>
      <c r="H2663" s="145">
        <f>IF(OR(C2663="",AND(F2663="",G2663="")),"",SUMIF(基础资料!$W$5:$W$24,C2663,基础资料!$X$5:$X$24)+SUMIF(C$7:C2663,C2663,F$7:F2663)-SUMIF(C$7:C2663,C2663,G$7:G2663))</f>
      </c>
      <c r="I2663" s="145">
        <f>IF(AND(F2663="",G2663=""),"",SUM(基础资料!$X$5:$X$24)+SUM(F$7:F2663)-SUM(G$7:G2663))</f>
      </c>
      <c r="J2663" s="141" t="n"/>
      <c r="K2663" s="141" t="n"/>
      <c r="L2663" s="141" t="n"/>
      <c r="M2663" s="142" t="n"/>
      <c r="N2663" s="146">
        <f>IF(AND(AND(F2663="",G2663=""),B2663="",C2663="",D2663="",J2663="",K2663="",L2663=""),"",IF(AND(F2663="",G2663=""),"✗ 没填金额",IF(AND(N(F2663)&lt;&gt;0,N(G2663)&lt;&gt;0),"✗ 收入、支出只能填一边",IF(NOT(ISNUMBER(B2663)),"✗ 日期不是真日期（要像 2026/9/25 这样填）",IF(OR(B2663&lt;年初日,B2663&gt;年末日),"✗ 日期不在本会计年度",IF(C2663="","✗ 没选账户",IF(COUNTIF(基础资料!$W$5:$W$24,C2663)=0,"✗ 账户不在基础资料里",IF(O2663="","✗ 没选收支项目",IF(P2663="未知","✗ 收支项目不在基础资料里",IF(AND(P2663="应收",J2663=""),"✗ 这笔要选客户",IF(AND(P2663="应收",COUNTIF(总览汇总!$B$5:$B$304,J2663)=0),"✗ 客户不在总览汇总名单里",IF(AND(P2663="应付",K2663=""),"✗ 这笔要选供应商",IF(AND(P2663="应付",COUNTIF(基础资料!$Q$5:$Q$54,K2663)=0),"✗ 供应商不在基础资料里",IF(AND(P2663="费用",L2663=""),"✗ 费用支出要选费用项目",IF(AND(L2663&lt;&gt;"",COUNTIF(基础资料!$AI$5:$AI$54,L2663)=0),"✗ 费用项目不在基础资料里",IF(AND(IFERROR(INDEX(基础资料!$AD$5:$AD$34,MATCH(O2663,基础资料!$AC$5:$AC$34,0)),"")="收",N(G2663)&lt;&gt;0),"✗ 这类是收款，金额填到收入列",IF(AND(IFERROR(INDEX(基础资料!$AD$5:$AD$34,MATCH(O2663,基础资料!$AC$5:$AC$34,0)),"")="支",N(F2663)&lt;&gt;0),"✗ 这类是付款，金额填到支出列",IF(N(H2663)&lt;0,"⚠ 账户余额成负数了，核对一下","√"))))))))))))))))))</f>
      </c>
      <c r="O2663" s="78">
        <f>IF(D2663&lt;&gt;"",D2663,IF(AND(F2663="",G2663=""),"",IF(J2663&lt;&gt;"",IF(N(F2663)&gt;0,"客户回款","客户退款"),IF(K2663&lt;&gt;"",IF(N(G2663)&gt;0,"供应商付款","供应商退款"),IF(L2663&lt;&gt;"","费用支出","")))))</f>
      </c>
      <c r="P2663" s="78">
        <f>IF(O2663="","",IFERROR(INDEX(基础资料!$AE$5:$AE$34,MATCH(O2663,基础资料!$AC$5:$AC$34,0)),"未知"))</f>
      </c>
      <c r="Q2663" s="78">
        <f>IF(P2663="应收",COUNTIF(P$7:P2663,"应收"),"")</f>
      </c>
      <c r="R2663" s="78">
        <f>IF(P2663="应付",COUNTIF(P$7:P2663,"应付"),"")</f>
      </c>
      <c r="S2663" s="78">
        <f>N(F2663)-N(G2663)</f>
        <v>0</v>
      </c>
    </row>
    <row r="2664">
      <c r="A2664" s="109">
        <f>IF(AND(F2664="",G2664=""),"",ROW()-6)</f>
      </c>
      <c r="B2664" s="140" t="n"/>
      <c r="C2664" s="141" t="n"/>
      <c r="D2664" s="141" t="n"/>
      <c r="E2664" s="142" t="n"/>
      <c r="F2664" s="143" t="n"/>
      <c r="G2664" s="144" t="n"/>
      <c r="H2664" s="145">
        <f>IF(OR(C2664="",AND(F2664="",G2664="")),"",SUMIF(基础资料!$W$5:$W$24,C2664,基础资料!$X$5:$X$24)+SUMIF(C$7:C2664,C2664,F$7:F2664)-SUMIF(C$7:C2664,C2664,G$7:G2664))</f>
      </c>
      <c r="I2664" s="145">
        <f>IF(AND(F2664="",G2664=""),"",SUM(基础资料!$X$5:$X$24)+SUM(F$7:F2664)-SUM(G$7:G2664))</f>
      </c>
      <c r="J2664" s="141" t="n"/>
      <c r="K2664" s="141" t="n"/>
      <c r="L2664" s="141" t="n"/>
      <c r="M2664" s="142" t="n"/>
      <c r="N2664" s="146">
        <f>IF(AND(AND(F2664="",G2664=""),B2664="",C2664="",D2664="",J2664="",K2664="",L2664=""),"",IF(AND(F2664="",G2664=""),"✗ 没填金额",IF(AND(N(F2664)&lt;&gt;0,N(G2664)&lt;&gt;0),"✗ 收入、支出只能填一边",IF(NOT(ISNUMBER(B2664)),"✗ 日期不是真日期（要像 2026/9/25 这样填）",IF(OR(B2664&lt;年初日,B2664&gt;年末日),"✗ 日期不在本会计年度",IF(C2664="","✗ 没选账户",IF(COUNTIF(基础资料!$W$5:$W$24,C2664)=0,"✗ 账户不在基础资料里",IF(O2664="","✗ 没选收支项目",IF(P2664="未知","✗ 收支项目不在基础资料里",IF(AND(P2664="应收",J2664=""),"✗ 这笔要选客户",IF(AND(P2664="应收",COUNTIF(总览汇总!$B$5:$B$304,J2664)=0),"✗ 客户不在总览汇总名单里",IF(AND(P2664="应付",K2664=""),"✗ 这笔要选供应商",IF(AND(P2664="应付",COUNTIF(基础资料!$Q$5:$Q$54,K2664)=0),"✗ 供应商不在基础资料里",IF(AND(P2664="费用",L2664=""),"✗ 费用支出要选费用项目",IF(AND(L2664&lt;&gt;"",COUNTIF(基础资料!$AI$5:$AI$54,L2664)=0),"✗ 费用项目不在基础资料里",IF(AND(IFERROR(INDEX(基础资料!$AD$5:$AD$34,MATCH(O2664,基础资料!$AC$5:$AC$34,0)),"")="收",N(G2664)&lt;&gt;0),"✗ 这类是收款，金额填到收入列",IF(AND(IFERROR(INDEX(基础资料!$AD$5:$AD$34,MATCH(O2664,基础资料!$AC$5:$AC$34,0)),"")="支",N(F2664)&lt;&gt;0),"✗ 这类是付款，金额填到支出列",IF(N(H2664)&lt;0,"⚠ 账户余额成负数了，核对一下","√"))))))))))))))))))</f>
      </c>
      <c r="O2664" s="78">
        <f>IF(D2664&lt;&gt;"",D2664,IF(AND(F2664="",G2664=""),"",IF(J2664&lt;&gt;"",IF(N(F2664)&gt;0,"客户回款","客户退款"),IF(K2664&lt;&gt;"",IF(N(G2664)&gt;0,"供应商付款","供应商退款"),IF(L2664&lt;&gt;"","费用支出","")))))</f>
      </c>
      <c r="P2664" s="78">
        <f>IF(O2664="","",IFERROR(INDEX(基础资料!$AE$5:$AE$34,MATCH(O2664,基础资料!$AC$5:$AC$34,0)),"未知"))</f>
      </c>
      <c r="Q2664" s="78">
        <f>IF(P2664="应收",COUNTIF(P$7:P2664,"应收"),"")</f>
      </c>
      <c r="R2664" s="78">
        <f>IF(P2664="应付",COUNTIF(P$7:P2664,"应付"),"")</f>
      </c>
      <c r="S2664" s="78">
        <f>N(F2664)-N(G2664)</f>
        <v>0</v>
      </c>
    </row>
    <row r="2665">
      <c r="A2665" s="109">
        <f>IF(AND(F2665="",G2665=""),"",ROW()-6)</f>
      </c>
      <c r="B2665" s="140" t="n"/>
      <c r="C2665" s="141" t="n"/>
      <c r="D2665" s="141" t="n"/>
      <c r="E2665" s="142" t="n"/>
      <c r="F2665" s="143" t="n"/>
      <c r="G2665" s="144" t="n"/>
      <c r="H2665" s="145">
        <f>IF(OR(C2665="",AND(F2665="",G2665="")),"",SUMIF(基础资料!$W$5:$W$24,C2665,基础资料!$X$5:$X$24)+SUMIF(C$7:C2665,C2665,F$7:F2665)-SUMIF(C$7:C2665,C2665,G$7:G2665))</f>
      </c>
      <c r="I2665" s="145">
        <f>IF(AND(F2665="",G2665=""),"",SUM(基础资料!$X$5:$X$24)+SUM(F$7:F2665)-SUM(G$7:G2665))</f>
      </c>
      <c r="J2665" s="141" t="n"/>
      <c r="K2665" s="141" t="n"/>
      <c r="L2665" s="141" t="n"/>
      <c r="M2665" s="142" t="n"/>
      <c r="N2665" s="146">
        <f>IF(AND(AND(F2665="",G2665=""),B2665="",C2665="",D2665="",J2665="",K2665="",L2665=""),"",IF(AND(F2665="",G2665=""),"✗ 没填金额",IF(AND(N(F2665)&lt;&gt;0,N(G2665)&lt;&gt;0),"✗ 收入、支出只能填一边",IF(NOT(ISNUMBER(B2665)),"✗ 日期不是真日期（要像 2026/9/25 这样填）",IF(OR(B2665&lt;年初日,B2665&gt;年末日),"✗ 日期不在本会计年度",IF(C2665="","✗ 没选账户",IF(COUNTIF(基础资料!$W$5:$W$24,C2665)=0,"✗ 账户不在基础资料里",IF(O2665="","✗ 没选收支项目",IF(P2665="未知","✗ 收支项目不在基础资料里",IF(AND(P2665="应收",J2665=""),"✗ 这笔要选客户",IF(AND(P2665="应收",COUNTIF(总览汇总!$B$5:$B$304,J2665)=0),"✗ 客户不在总览汇总名单里",IF(AND(P2665="应付",K2665=""),"✗ 这笔要选供应商",IF(AND(P2665="应付",COUNTIF(基础资料!$Q$5:$Q$54,K2665)=0),"✗ 供应商不在基础资料里",IF(AND(P2665="费用",L2665=""),"✗ 费用支出要选费用项目",IF(AND(L2665&lt;&gt;"",COUNTIF(基础资料!$AI$5:$AI$54,L2665)=0),"✗ 费用项目不在基础资料里",IF(AND(IFERROR(INDEX(基础资料!$AD$5:$AD$34,MATCH(O2665,基础资料!$AC$5:$AC$34,0)),"")="收",N(G2665)&lt;&gt;0),"✗ 这类是收款，金额填到收入列",IF(AND(IFERROR(INDEX(基础资料!$AD$5:$AD$34,MATCH(O2665,基础资料!$AC$5:$AC$34,0)),"")="支",N(F2665)&lt;&gt;0),"✗ 这类是付款，金额填到支出列",IF(N(H2665)&lt;0,"⚠ 账户余额成负数了，核对一下","√"))))))))))))))))))</f>
      </c>
      <c r="O2665" s="78">
        <f>IF(D2665&lt;&gt;"",D2665,IF(AND(F2665="",G2665=""),"",IF(J2665&lt;&gt;"",IF(N(F2665)&gt;0,"客户回款","客户退款"),IF(K2665&lt;&gt;"",IF(N(G2665)&gt;0,"供应商付款","供应商退款"),IF(L2665&lt;&gt;"","费用支出","")))))</f>
      </c>
      <c r="P2665" s="78">
        <f>IF(O2665="","",IFERROR(INDEX(基础资料!$AE$5:$AE$34,MATCH(O2665,基础资料!$AC$5:$AC$34,0)),"未知"))</f>
      </c>
      <c r="Q2665" s="78">
        <f>IF(P2665="应收",COUNTIF(P$7:P2665,"应收"),"")</f>
      </c>
      <c r="R2665" s="78">
        <f>IF(P2665="应付",COUNTIF(P$7:P2665,"应付"),"")</f>
      </c>
      <c r="S2665" s="78">
        <f>N(F2665)-N(G2665)</f>
        <v>0</v>
      </c>
    </row>
    <row r="2666">
      <c r="A2666" s="109">
        <f>IF(AND(F2666="",G2666=""),"",ROW()-6)</f>
      </c>
      <c r="B2666" s="140" t="n"/>
      <c r="C2666" s="141" t="n"/>
      <c r="D2666" s="141" t="n"/>
      <c r="E2666" s="142" t="n"/>
      <c r="F2666" s="143" t="n"/>
      <c r="G2666" s="144" t="n"/>
      <c r="H2666" s="145">
        <f>IF(OR(C2666="",AND(F2666="",G2666="")),"",SUMIF(基础资料!$W$5:$W$24,C2666,基础资料!$X$5:$X$24)+SUMIF(C$7:C2666,C2666,F$7:F2666)-SUMIF(C$7:C2666,C2666,G$7:G2666))</f>
      </c>
      <c r="I2666" s="145">
        <f>IF(AND(F2666="",G2666=""),"",SUM(基础资料!$X$5:$X$24)+SUM(F$7:F2666)-SUM(G$7:G2666))</f>
      </c>
      <c r="J2666" s="141" t="n"/>
      <c r="K2666" s="141" t="n"/>
      <c r="L2666" s="141" t="n"/>
      <c r="M2666" s="142" t="n"/>
      <c r="N2666" s="146">
        <f>IF(AND(AND(F2666="",G2666=""),B2666="",C2666="",D2666="",J2666="",K2666="",L2666=""),"",IF(AND(F2666="",G2666=""),"✗ 没填金额",IF(AND(N(F2666)&lt;&gt;0,N(G2666)&lt;&gt;0),"✗ 收入、支出只能填一边",IF(NOT(ISNUMBER(B2666)),"✗ 日期不是真日期（要像 2026/9/25 这样填）",IF(OR(B2666&lt;年初日,B2666&gt;年末日),"✗ 日期不在本会计年度",IF(C2666="","✗ 没选账户",IF(COUNTIF(基础资料!$W$5:$W$24,C2666)=0,"✗ 账户不在基础资料里",IF(O2666="","✗ 没选收支项目",IF(P2666="未知","✗ 收支项目不在基础资料里",IF(AND(P2666="应收",J2666=""),"✗ 这笔要选客户",IF(AND(P2666="应收",COUNTIF(总览汇总!$B$5:$B$304,J2666)=0),"✗ 客户不在总览汇总名单里",IF(AND(P2666="应付",K2666=""),"✗ 这笔要选供应商",IF(AND(P2666="应付",COUNTIF(基础资料!$Q$5:$Q$54,K2666)=0),"✗ 供应商不在基础资料里",IF(AND(P2666="费用",L2666=""),"✗ 费用支出要选费用项目",IF(AND(L2666&lt;&gt;"",COUNTIF(基础资料!$AI$5:$AI$54,L2666)=0),"✗ 费用项目不在基础资料里",IF(AND(IFERROR(INDEX(基础资料!$AD$5:$AD$34,MATCH(O2666,基础资料!$AC$5:$AC$34,0)),"")="收",N(G2666)&lt;&gt;0),"✗ 这类是收款，金额填到收入列",IF(AND(IFERROR(INDEX(基础资料!$AD$5:$AD$34,MATCH(O2666,基础资料!$AC$5:$AC$34,0)),"")="支",N(F2666)&lt;&gt;0),"✗ 这类是付款，金额填到支出列",IF(N(H2666)&lt;0,"⚠ 账户余额成负数了，核对一下","√"))))))))))))))))))</f>
      </c>
      <c r="O2666" s="78">
        <f>IF(D2666&lt;&gt;"",D2666,IF(AND(F2666="",G2666=""),"",IF(J2666&lt;&gt;"",IF(N(F2666)&gt;0,"客户回款","客户退款"),IF(K2666&lt;&gt;"",IF(N(G2666)&gt;0,"供应商付款","供应商退款"),IF(L2666&lt;&gt;"","费用支出","")))))</f>
      </c>
      <c r="P2666" s="78">
        <f>IF(O2666="","",IFERROR(INDEX(基础资料!$AE$5:$AE$34,MATCH(O2666,基础资料!$AC$5:$AC$34,0)),"未知"))</f>
      </c>
      <c r="Q2666" s="78">
        <f>IF(P2666="应收",COUNTIF(P$7:P2666,"应收"),"")</f>
      </c>
      <c r="R2666" s="78">
        <f>IF(P2666="应付",COUNTIF(P$7:P2666,"应付"),"")</f>
      </c>
      <c r="S2666" s="78">
        <f>N(F2666)-N(G2666)</f>
        <v>0</v>
      </c>
    </row>
    <row r="2667">
      <c r="A2667" s="109">
        <f>IF(AND(F2667="",G2667=""),"",ROW()-6)</f>
      </c>
      <c r="B2667" s="140" t="n"/>
      <c r="C2667" s="141" t="n"/>
      <c r="D2667" s="141" t="n"/>
      <c r="E2667" s="142" t="n"/>
      <c r="F2667" s="143" t="n"/>
      <c r="G2667" s="144" t="n"/>
      <c r="H2667" s="145">
        <f>IF(OR(C2667="",AND(F2667="",G2667="")),"",SUMIF(基础资料!$W$5:$W$24,C2667,基础资料!$X$5:$X$24)+SUMIF(C$7:C2667,C2667,F$7:F2667)-SUMIF(C$7:C2667,C2667,G$7:G2667))</f>
      </c>
      <c r="I2667" s="145">
        <f>IF(AND(F2667="",G2667=""),"",SUM(基础资料!$X$5:$X$24)+SUM(F$7:F2667)-SUM(G$7:G2667))</f>
      </c>
      <c r="J2667" s="141" t="n"/>
      <c r="K2667" s="141" t="n"/>
      <c r="L2667" s="141" t="n"/>
      <c r="M2667" s="142" t="n"/>
      <c r="N2667" s="146">
        <f>IF(AND(AND(F2667="",G2667=""),B2667="",C2667="",D2667="",J2667="",K2667="",L2667=""),"",IF(AND(F2667="",G2667=""),"✗ 没填金额",IF(AND(N(F2667)&lt;&gt;0,N(G2667)&lt;&gt;0),"✗ 收入、支出只能填一边",IF(NOT(ISNUMBER(B2667)),"✗ 日期不是真日期（要像 2026/9/25 这样填）",IF(OR(B2667&lt;年初日,B2667&gt;年末日),"✗ 日期不在本会计年度",IF(C2667="","✗ 没选账户",IF(COUNTIF(基础资料!$W$5:$W$24,C2667)=0,"✗ 账户不在基础资料里",IF(O2667="","✗ 没选收支项目",IF(P2667="未知","✗ 收支项目不在基础资料里",IF(AND(P2667="应收",J2667=""),"✗ 这笔要选客户",IF(AND(P2667="应收",COUNTIF(总览汇总!$B$5:$B$304,J2667)=0),"✗ 客户不在总览汇总名单里",IF(AND(P2667="应付",K2667=""),"✗ 这笔要选供应商",IF(AND(P2667="应付",COUNTIF(基础资料!$Q$5:$Q$54,K2667)=0),"✗ 供应商不在基础资料里",IF(AND(P2667="费用",L2667=""),"✗ 费用支出要选费用项目",IF(AND(L2667&lt;&gt;"",COUNTIF(基础资料!$AI$5:$AI$54,L2667)=0),"✗ 费用项目不在基础资料里",IF(AND(IFERROR(INDEX(基础资料!$AD$5:$AD$34,MATCH(O2667,基础资料!$AC$5:$AC$34,0)),"")="收",N(G2667)&lt;&gt;0),"✗ 这类是收款，金额填到收入列",IF(AND(IFERROR(INDEX(基础资料!$AD$5:$AD$34,MATCH(O2667,基础资料!$AC$5:$AC$34,0)),"")="支",N(F2667)&lt;&gt;0),"✗ 这类是付款，金额填到支出列",IF(N(H2667)&lt;0,"⚠ 账户余额成负数了，核对一下","√"))))))))))))))))))</f>
      </c>
      <c r="O2667" s="78">
        <f>IF(D2667&lt;&gt;"",D2667,IF(AND(F2667="",G2667=""),"",IF(J2667&lt;&gt;"",IF(N(F2667)&gt;0,"客户回款","客户退款"),IF(K2667&lt;&gt;"",IF(N(G2667)&gt;0,"供应商付款","供应商退款"),IF(L2667&lt;&gt;"","费用支出","")))))</f>
      </c>
      <c r="P2667" s="78">
        <f>IF(O2667="","",IFERROR(INDEX(基础资料!$AE$5:$AE$34,MATCH(O2667,基础资料!$AC$5:$AC$34,0)),"未知"))</f>
      </c>
      <c r="Q2667" s="78">
        <f>IF(P2667="应收",COUNTIF(P$7:P2667,"应收"),"")</f>
      </c>
      <c r="R2667" s="78">
        <f>IF(P2667="应付",COUNTIF(P$7:P2667,"应付"),"")</f>
      </c>
      <c r="S2667" s="78">
        <f>N(F2667)-N(G2667)</f>
        <v>0</v>
      </c>
    </row>
    <row r="2668">
      <c r="A2668" s="109">
        <f>IF(AND(F2668="",G2668=""),"",ROW()-6)</f>
      </c>
      <c r="B2668" s="140" t="n"/>
      <c r="C2668" s="141" t="n"/>
      <c r="D2668" s="141" t="n"/>
      <c r="E2668" s="142" t="n"/>
      <c r="F2668" s="143" t="n"/>
      <c r="G2668" s="144" t="n"/>
      <c r="H2668" s="145">
        <f>IF(OR(C2668="",AND(F2668="",G2668="")),"",SUMIF(基础资料!$W$5:$W$24,C2668,基础资料!$X$5:$X$24)+SUMIF(C$7:C2668,C2668,F$7:F2668)-SUMIF(C$7:C2668,C2668,G$7:G2668))</f>
      </c>
      <c r="I2668" s="145">
        <f>IF(AND(F2668="",G2668=""),"",SUM(基础资料!$X$5:$X$24)+SUM(F$7:F2668)-SUM(G$7:G2668))</f>
      </c>
      <c r="J2668" s="141" t="n"/>
      <c r="K2668" s="141" t="n"/>
      <c r="L2668" s="141" t="n"/>
      <c r="M2668" s="142" t="n"/>
      <c r="N2668" s="146">
        <f>IF(AND(AND(F2668="",G2668=""),B2668="",C2668="",D2668="",J2668="",K2668="",L2668=""),"",IF(AND(F2668="",G2668=""),"✗ 没填金额",IF(AND(N(F2668)&lt;&gt;0,N(G2668)&lt;&gt;0),"✗ 收入、支出只能填一边",IF(NOT(ISNUMBER(B2668)),"✗ 日期不是真日期（要像 2026/9/25 这样填）",IF(OR(B2668&lt;年初日,B2668&gt;年末日),"✗ 日期不在本会计年度",IF(C2668="","✗ 没选账户",IF(COUNTIF(基础资料!$W$5:$W$24,C2668)=0,"✗ 账户不在基础资料里",IF(O2668="","✗ 没选收支项目",IF(P2668="未知","✗ 收支项目不在基础资料里",IF(AND(P2668="应收",J2668=""),"✗ 这笔要选客户",IF(AND(P2668="应收",COUNTIF(总览汇总!$B$5:$B$304,J2668)=0),"✗ 客户不在总览汇总名单里",IF(AND(P2668="应付",K2668=""),"✗ 这笔要选供应商",IF(AND(P2668="应付",COUNTIF(基础资料!$Q$5:$Q$54,K2668)=0),"✗ 供应商不在基础资料里",IF(AND(P2668="费用",L2668=""),"✗ 费用支出要选费用项目",IF(AND(L2668&lt;&gt;"",COUNTIF(基础资料!$AI$5:$AI$54,L2668)=0),"✗ 费用项目不在基础资料里",IF(AND(IFERROR(INDEX(基础资料!$AD$5:$AD$34,MATCH(O2668,基础资料!$AC$5:$AC$34,0)),"")="收",N(G2668)&lt;&gt;0),"✗ 这类是收款，金额填到收入列",IF(AND(IFERROR(INDEX(基础资料!$AD$5:$AD$34,MATCH(O2668,基础资料!$AC$5:$AC$34,0)),"")="支",N(F2668)&lt;&gt;0),"✗ 这类是付款，金额填到支出列",IF(N(H2668)&lt;0,"⚠ 账户余额成负数了，核对一下","√"))))))))))))))))))</f>
      </c>
      <c r="O2668" s="78">
        <f>IF(D2668&lt;&gt;"",D2668,IF(AND(F2668="",G2668=""),"",IF(J2668&lt;&gt;"",IF(N(F2668)&gt;0,"客户回款","客户退款"),IF(K2668&lt;&gt;"",IF(N(G2668)&gt;0,"供应商付款","供应商退款"),IF(L2668&lt;&gt;"","费用支出","")))))</f>
      </c>
      <c r="P2668" s="78">
        <f>IF(O2668="","",IFERROR(INDEX(基础资料!$AE$5:$AE$34,MATCH(O2668,基础资料!$AC$5:$AC$34,0)),"未知"))</f>
      </c>
      <c r="Q2668" s="78">
        <f>IF(P2668="应收",COUNTIF(P$7:P2668,"应收"),"")</f>
      </c>
      <c r="R2668" s="78">
        <f>IF(P2668="应付",COUNTIF(P$7:P2668,"应付"),"")</f>
      </c>
      <c r="S2668" s="78">
        <f>N(F2668)-N(G2668)</f>
        <v>0</v>
      </c>
    </row>
    <row r="2669">
      <c r="A2669" s="109">
        <f>IF(AND(F2669="",G2669=""),"",ROW()-6)</f>
      </c>
      <c r="B2669" s="140" t="n"/>
      <c r="C2669" s="141" t="n"/>
      <c r="D2669" s="141" t="n"/>
      <c r="E2669" s="142" t="n"/>
      <c r="F2669" s="143" t="n"/>
      <c r="G2669" s="144" t="n"/>
      <c r="H2669" s="145">
        <f>IF(OR(C2669="",AND(F2669="",G2669="")),"",SUMIF(基础资料!$W$5:$W$24,C2669,基础资料!$X$5:$X$24)+SUMIF(C$7:C2669,C2669,F$7:F2669)-SUMIF(C$7:C2669,C2669,G$7:G2669))</f>
      </c>
      <c r="I2669" s="145">
        <f>IF(AND(F2669="",G2669=""),"",SUM(基础资料!$X$5:$X$24)+SUM(F$7:F2669)-SUM(G$7:G2669))</f>
      </c>
      <c r="J2669" s="141" t="n"/>
      <c r="K2669" s="141" t="n"/>
      <c r="L2669" s="141" t="n"/>
      <c r="M2669" s="142" t="n"/>
      <c r="N2669" s="146">
        <f>IF(AND(AND(F2669="",G2669=""),B2669="",C2669="",D2669="",J2669="",K2669="",L2669=""),"",IF(AND(F2669="",G2669=""),"✗ 没填金额",IF(AND(N(F2669)&lt;&gt;0,N(G2669)&lt;&gt;0),"✗ 收入、支出只能填一边",IF(NOT(ISNUMBER(B2669)),"✗ 日期不是真日期（要像 2026/9/25 这样填）",IF(OR(B2669&lt;年初日,B2669&gt;年末日),"✗ 日期不在本会计年度",IF(C2669="","✗ 没选账户",IF(COUNTIF(基础资料!$W$5:$W$24,C2669)=0,"✗ 账户不在基础资料里",IF(O2669="","✗ 没选收支项目",IF(P2669="未知","✗ 收支项目不在基础资料里",IF(AND(P2669="应收",J2669=""),"✗ 这笔要选客户",IF(AND(P2669="应收",COUNTIF(总览汇总!$B$5:$B$304,J2669)=0),"✗ 客户不在总览汇总名单里",IF(AND(P2669="应付",K2669=""),"✗ 这笔要选供应商",IF(AND(P2669="应付",COUNTIF(基础资料!$Q$5:$Q$54,K2669)=0),"✗ 供应商不在基础资料里",IF(AND(P2669="费用",L2669=""),"✗ 费用支出要选费用项目",IF(AND(L2669&lt;&gt;"",COUNTIF(基础资料!$AI$5:$AI$54,L2669)=0),"✗ 费用项目不在基础资料里",IF(AND(IFERROR(INDEX(基础资料!$AD$5:$AD$34,MATCH(O2669,基础资料!$AC$5:$AC$34,0)),"")="收",N(G2669)&lt;&gt;0),"✗ 这类是收款，金额填到收入列",IF(AND(IFERROR(INDEX(基础资料!$AD$5:$AD$34,MATCH(O2669,基础资料!$AC$5:$AC$34,0)),"")="支",N(F2669)&lt;&gt;0),"✗ 这类是付款，金额填到支出列",IF(N(H2669)&lt;0,"⚠ 账户余额成负数了，核对一下","√"))))))))))))))))))</f>
      </c>
      <c r="O2669" s="78">
        <f>IF(D2669&lt;&gt;"",D2669,IF(AND(F2669="",G2669=""),"",IF(J2669&lt;&gt;"",IF(N(F2669)&gt;0,"客户回款","客户退款"),IF(K2669&lt;&gt;"",IF(N(G2669)&gt;0,"供应商付款","供应商退款"),IF(L2669&lt;&gt;"","费用支出","")))))</f>
      </c>
      <c r="P2669" s="78">
        <f>IF(O2669="","",IFERROR(INDEX(基础资料!$AE$5:$AE$34,MATCH(O2669,基础资料!$AC$5:$AC$34,0)),"未知"))</f>
      </c>
      <c r="Q2669" s="78">
        <f>IF(P2669="应收",COUNTIF(P$7:P2669,"应收"),"")</f>
      </c>
      <c r="R2669" s="78">
        <f>IF(P2669="应付",COUNTIF(P$7:P2669,"应付"),"")</f>
      </c>
      <c r="S2669" s="78">
        <f>N(F2669)-N(G2669)</f>
        <v>0</v>
      </c>
    </row>
    <row r="2670">
      <c r="A2670" s="109">
        <f>IF(AND(F2670="",G2670=""),"",ROW()-6)</f>
      </c>
      <c r="B2670" s="140" t="n"/>
      <c r="C2670" s="141" t="n"/>
      <c r="D2670" s="141" t="n"/>
      <c r="E2670" s="142" t="n"/>
      <c r="F2670" s="143" t="n"/>
      <c r="G2670" s="144" t="n"/>
      <c r="H2670" s="145">
        <f>IF(OR(C2670="",AND(F2670="",G2670="")),"",SUMIF(基础资料!$W$5:$W$24,C2670,基础资料!$X$5:$X$24)+SUMIF(C$7:C2670,C2670,F$7:F2670)-SUMIF(C$7:C2670,C2670,G$7:G2670))</f>
      </c>
      <c r="I2670" s="145">
        <f>IF(AND(F2670="",G2670=""),"",SUM(基础资料!$X$5:$X$24)+SUM(F$7:F2670)-SUM(G$7:G2670))</f>
      </c>
      <c r="J2670" s="141" t="n"/>
      <c r="K2670" s="141" t="n"/>
      <c r="L2670" s="141" t="n"/>
      <c r="M2670" s="142" t="n"/>
      <c r="N2670" s="146">
        <f>IF(AND(AND(F2670="",G2670=""),B2670="",C2670="",D2670="",J2670="",K2670="",L2670=""),"",IF(AND(F2670="",G2670=""),"✗ 没填金额",IF(AND(N(F2670)&lt;&gt;0,N(G2670)&lt;&gt;0),"✗ 收入、支出只能填一边",IF(NOT(ISNUMBER(B2670)),"✗ 日期不是真日期（要像 2026/9/25 这样填）",IF(OR(B2670&lt;年初日,B2670&gt;年末日),"✗ 日期不在本会计年度",IF(C2670="","✗ 没选账户",IF(COUNTIF(基础资料!$W$5:$W$24,C2670)=0,"✗ 账户不在基础资料里",IF(O2670="","✗ 没选收支项目",IF(P2670="未知","✗ 收支项目不在基础资料里",IF(AND(P2670="应收",J2670=""),"✗ 这笔要选客户",IF(AND(P2670="应收",COUNTIF(总览汇总!$B$5:$B$304,J2670)=0),"✗ 客户不在总览汇总名单里",IF(AND(P2670="应付",K2670=""),"✗ 这笔要选供应商",IF(AND(P2670="应付",COUNTIF(基础资料!$Q$5:$Q$54,K2670)=0),"✗ 供应商不在基础资料里",IF(AND(P2670="费用",L2670=""),"✗ 费用支出要选费用项目",IF(AND(L2670&lt;&gt;"",COUNTIF(基础资料!$AI$5:$AI$54,L2670)=0),"✗ 费用项目不在基础资料里",IF(AND(IFERROR(INDEX(基础资料!$AD$5:$AD$34,MATCH(O2670,基础资料!$AC$5:$AC$34,0)),"")="收",N(G2670)&lt;&gt;0),"✗ 这类是收款，金额填到收入列",IF(AND(IFERROR(INDEX(基础资料!$AD$5:$AD$34,MATCH(O2670,基础资料!$AC$5:$AC$34,0)),"")="支",N(F2670)&lt;&gt;0),"✗ 这类是付款，金额填到支出列",IF(N(H2670)&lt;0,"⚠ 账户余额成负数了，核对一下","√"))))))))))))))))))</f>
      </c>
      <c r="O2670" s="78">
        <f>IF(D2670&lt;&gt;"",D2670,IF(AND(F2670="",G2670=""),"",IF(J2670&lt;&gt;"",IF(N(F2670)&gt;0,"客户回款","客户退款"),IF(K2670&lt;&gt;"",IF(N(G2670)&gt;0,"供应商付款","供应商退款"),IF(L2670&lt;&gt;"","费用支出","")))))</f>
      </c>
      <c r="P2670" s="78">
        <f>IF(O2670="","",IFERROR(INDEX(基础资料!$AE$5:$AE$34,MATCH(O2670,基础资料!$AC$5:$AC$34,0)),"未知"))</f>
      </c>
      <c r="Q2670" s="78">
        <f>IF(P2670="应收",COUNTIF(P$7:P2670,"应收"),"")</f>
      </c>
      <c r="R2670" s="78">
        <f>IF(P2670="应付",COUNTIF(P$7:P2670,"应付"),"")</f>
      </c>
      <c r="S2670" s="78">
        <f>N(F2670)-N(G2670)</f>
        <v>0</v>
      </c>
    </row>
    <row r="2671">
      <c r="A2671" s="109">
        <f>IF(AND(F2671="",G2671=""),"",ROW()-6)</f>
      </c>
      <c r="B2671" s="140" t="n"/>
      <c r="C2671" s="141" t="n"/>
      <c r="D2671" s="141" t="n"/>
      <c r="E2671" s="142" t="n"/>
      <c r="F2671" s="143" t="n"/>
      <c r="G2671" s="144" t="n"/>
      <c r="H2671" s="145">
        <f>IF(OR(C2671="",AND(F2671="",G2671="")),"",SUMIF(基础资料!$W$5:$W$24,C2671,基础资料!$X$5:$X$24)+SUMIF(C$7:C2671,C2671,F$7:F2671)-SUMIF(C$7:C2671,C2671,G$7:G2671))</f>
      </c>
      <c r="I2671" s="145">
        <f>IF(AND(F2671="",G2671=""),"",SUM(基础资料!$X$5:$X$24)+SUM(F$7:F2671)-SUM(G$7:G2671))</f>
      </c>
      <c r="J2671" s="141" t="n"/>
      <c r="K2671" s="141" t="n"/>
      <c r="L2671" s="141" t="n"/>
      <c r="M2671" s="142" t="n"/>
      <c r="N2671" s="146">
        <f>IF(AND(AND(F2671="",G2671=""),B2671="",C2671="",D2671="",J2671="",K2671="",L2671=""),"",IF(AND(F2671="",G2671=""),"✗ 没填金额",IF(AND(N(F2671)&lt;&gt;0,N(G2671)&lt;&gt;0),"✗ 收入、支出只能填一边",IF(NOT(ISNUMBER(B2671)),"✗ 日期不是真日期（要像 2026/9/25 这样填）",IF(OR(B2671&lt;年初日,B2671&gt;年末日),"✗ 日期不在本会计年度",IF(C2671="","✗ 没选账户",IF(COUNTIF(基础资料!$W$5:$W$24,C2671)=0,"✗ 账户不在基础资料里",IF(O2671="","✗ 没选收支项目",IF(P2671="未知","✗ 收支项目不在基础资料里",IF(AND(P2671="应收",J2671=""),"✗ 这笔要选客户",IF(AND(P2671="应收",COUNTIF(总览汇总!$B$5:$B$304,J2671)=0),"✗ 客户不在总览汇总名单里",IF(AND(P2671="应付",K2671=""),"✗ 这笔要选供应商",IF(AND(P2671="应付",COUNTIF(基础资料!$Q$5:$Q$54,K2671)=0),"✗ 供应商不在基础资料里",IF(AND(P2671="费用",L2671=""),"✗ 费用支出要选费用项目",IF(AND(L2671&lt;&gt;"",COUNTIF(基础资料!$AI$5:$AI$54,L2671)=0),"✗ 费用项目不在基础资料里",IF(AND(IFERROR(INDEX(基础资料!$AD$5:$AD$34,MATCH(O2671,基础资料!$AC$5:$AC$34,0)),"")="收",N(G2671)&lt;&gt;0),"✗ 这类是收款，金额填到收入列",IF(AND(IFERROR(INDEX(基础资料!$AD$5:$AD$34,MATCH(O2671,基础资料!$AC$5:$AC$34,0)),"")="支",N(F2671)&lt;&gt;0),"✗ 这类是付款，金额填到支出列",IF(N(H2671)&lt;0,"⚠ 账户余额成负数了，核对一下","√"))))))))))))))))))</f>
      </c>
      <c r="O2671" s="78">
        <f>IF(D2671&lt;&gt;"",D2671,IF(AND(F2671="",G2671=""),"",IF(J2671&lt;&gt;"",IF(N(F2671)&gt;0,"客户回款","客户退款"),IF(K2671&lt;&gt;"",IF(N(G2671)&gt;0,"供应商付款","供应商退款"),IF(L2671&lt;&gt;"","费用支出","")))))</f>
      </c>
      <c r="P2671" s="78">
        <f>IF(O2671="","",IFERROR(INDEX(基础资料!$AE$5:$AE$34,MATCH(O2671,基础资料!$AC$5:$AC$34,0)),"未知"))</f>
      </c>
      <c r="Q2671" s="78">
        <f>IF(P2671="应收",COUNTIF(P$7:P2671,"应收"),"")</f>
      </c>
      <c r="R2671" s="78">
        <f>IF(P2671="应付",COUNTIF(P$7:P2671,"应付"),"")</f>
      </c>
      <c r="S2671" s="78">
        <f>N(F2671)-N(G2671)</f>
        <v>0</v>
      </c>
    </row>
    <row r="2672">
      <c r="A2672" s="109">
        <f>IF(AND(F2672="",G2672=""),"",ROW()-6)</f>
      </c>
      <c r="B2672" s="140" t="n"/>
      <c r="C2672" s="141" t="n"/>
      <c r="D2672" s="141" t="n"/>
      <c r="E2672" s="142" t="n"/>
      <c r="F2672" s="143" t="n"/>
      <c r="G2672" s="144" t="n"/>
      <c r="H2672" s="145">
        <f>IF(OR(C2672="",AND(F2672="",G2672="")),"",SUMIF(基础资料!$W$5:$W$24,C2672,基础资料!$X$5:$X$24)+SUMIF(C$7:C2672,C2672,F$7:F2672)-SUMIF(C$7:C2672,C2672,G$7:G2672))</f>
      </c>
      <c r="I2672" s="145">
        <f>IF(AND(F2672="",G2672=""),"",SUM(基础资料!$X$5:$X$24)+SUM(F$7:F2672)-SUM(G$7:G2672))</f>
      </c>
      <c r="J2672" s="141" t="n"/>
      <c r="K2672" s="141" t="n"/>
      <c r="L2672" s="141" t="n"/>
      <c r="M2672" s="142" t="n"/>
      <c r="N2672" s="146">
        <f>IF(AND(AND(F2672="",G2672=""),B2672="",C2672="",D2672="",J2672="",K2672="",L2672=""),"",IF(AND(F2672="",G2672=""),"✗ 没填金额",IF(AND(N(F2672)&lt;&gt;0,N(G2672)&lt;&gt;0),"✗ 收入、支出只能填一边",IF(NOT(ISNUMBER(B2672)),"✗ 日期不是真日期（要像 2026/9/25 这样填）",IF(OR(B2672&lt;年初日,B2672&gt;年末日),"✗ 日期不在本会计年度",IF(C2672="","✗ 没选账户",IF(COUNTIF(基础资料!$W$5:$W$24,C2672)=0,"✗ 账户不在基础资料里",IF(O2672="","✗ 没选收支项目",IF(P2672="未知","✗ 收支项目不在基础资料里",IF(AND(P2672="应收",J2672=""),"✗ 这笔要选客户",IF(AND(P2672="应收",COUNTIF(总览汇总!$B$5:$B$304,J2672)=0),"✗ 客户不在总览汇总名单里",IF(AND(P2672="应付",K2672=""),"✗ 这笔要选供应商",IF(AND(P2672="应付",COUNTIF(基础资料!$Q$5:$Q$54,K2672)=0),"✗ 供应商不在基础资料里",IF(AND(P2672="费用",L2672=""),"✗ 费用支出要选费用项目",IF(AND(L2672&lt;&gt;"",COUNTIF(基础资料!$AI$5:$AI$54,L2672)=0),"✗ 费用项目不在基础资料里",IF(AND(IFERROR(INDEX(基础资料!$AD$5:$AD$34,MATCH(O2672,基础资料!$AC$5:$AC$34,0)),"")="收",N(G2672)&lt;&gt;0),"✗ 这类是收款，金额填到收入列",IF(AND(IFERROR(INDEX(基础资料!$AD$5:$AD$34,MATCH(O2672,基础资料!$AC$5:$AC$34,0)),"")="支",N(F2672)&lt;&gt;0),"✗ 这类是付款，金额填到支出列",IF(N(H2672)&lt;0,"⚠ 账户余额成负数了，核对一下","√"))))))))))))))))))</f>
      </c>
      <c r="O2672" s="78">
        <f>IF(D2672&lt;&gt;"",D2672,IF(AND(F2672="",G2672=""),"",IF(J2672&lt;&gt;"",IF(N(F2672)&gt;0,"客户回款","客户退款"),IF(K2672&lt;&gt;"",IF(N(G2672)&gt;0,"供应商付款","供应商退款"),IF(L2672&lt;&gt;"","费用支出","")))))</f>
      </c>
      <c r="P2672" s="78">
        <f>IF(O2672="","",IFERROR(INDEX(基础资料!$AE$5:$AE$34,MATCH(O2672,基础资料!$AC$5:$AC$34,0)),"未知"))</f>
      </c>
      <c r="Q2672" s="78">
        <f>IF(P2672="应收",COUNTIF(P$7:P2672,"应收"),"")</f>
      </c>
      <c r="R2672" s="78">
        <f>IF(P2672="应付",COUNTIF(P$7:P2672,"应付"),"")</f>
      </c>
      <c r="S2672" s="78">
        <f>N(F2672)-N(G2672)</f>
        <v>0</v>
      </c>
    </row>
    <row r="2673">
      <c r="A2673" s="109">
        <f>IF(AND(F2673="",G2673=""),"",ROW()-6)</f>
      </c>
      <c r="B2673" s="140" t="n"/>
      <c r="C2673" s="141" t="n"/>
      <c r="D2673" s="141" t="n"/>
      <c r="E2673" s="142" t="n"/>
      <c r="F2673" s="143" t="n"/>
      <c r="G2673" s="144" t="n"/>
      <c r="H2673" s="145">
        <f>IF(OR(C2673="",AND(F2673="",G2673="")),"",SUMIF(基础资料!$W$5:$W$24,C2673,基础资料!$X$5:$X$24)+SUMIF(C$7:C2673,C2673,F$7:F2673)-SUMIF(C$7:C2673,C2673,G$7:G2673))</f>
      </c>
      <c r="I2673" s="145">
        <f>IF(AND(F2673="",G2673=""),"",SUM(基础资料!$X$5:$X$24)+SUM(F$7:F2673)-SUM(G$7:G2673))</f>
      </c>
      <c r="J2673" s="141" t="n"/>
      <c r="K2673" s="141" t="n"/>
      <c r="L2673" s="141" t="n"/>
      <c r="M2673" s="142" t="n"/>
      <c r="N2673" s="146">
        <f>IF(AND(AND(F2673="",G2673=""),B2673="",C2673="",D2673="",J2673="",K2673="",L2673=""),"",IF(AND(F2673="",G2673=""),"✗ 没填金额",IF(AND(N(F2673)&lt;&gt;0,N(G2673)&lt;&gt;0),"✗ 收入、支出只能填一边",IF(NOT(ISNUMBER(B2673)),"✗ 日期不是真日期（要像 2026/9/25 这样填）",IF(OR(B2673&lt;年初日,B2673&gt;年末日),"✗ 日期不在本会计年度",IF(C2673="","✗ 没选账户",IF(COUNTIF(基础资料!$W$5:$W$24,C2673)=0,"✗ 账户不在基础资料里",IF(O2673="","✗ 没选收支项目",IF(P2673="未知","✗ 收支项目不在基础资料里",IF(AND(P2673="应收",J2673=""),"✗ 这笔要选客户",IF(AND(P2673="应收",COUNTIF(总览汇总!$B$5:$B$304,J2673)=0),"✗ 客户不在总览汇总名单里",IF(AND(P2673="应付",K2673=""),"✗ 这笔要选供应商",IF(AND(P2673="应付",COUNTIF(基础资料!$Q$5:$Q$54,K2673)=0),"✗ 供应商不在基础资料里",IF(AND(P2673="费用",L2673=""),"✗ 费用支出要选费用项目",IF(AND(L2673&lt;&gt;"",COUNTIF(基础资料!$AI$5:$AI$54,L2673)=0),"✗ 费用项目不在基础资料里",IF(AND(IFERROR(INDEX(基础资料!$AD$5:$AD$34,MATCH(O2673,基础资料!$AC$5:$AC$34,0)),"")="收",N(G2673)&lt;&gt;0),"✗ 这类是收款，金额填到收入列",IF(AND(IFERROR(INDEX(基础资料!$AD$5:$AD$34,MATCH(O2673,基础资料!$AC$5:$AC$34,0)),"")="支",N(F2673)&lt;&gt;0),"✗ 这类是付款，金额填到支出列",IF(N(H2673)&lt;0,"⚠ 账户余额成负数了，核对一下","√"))))))))))))))))))</f>
      </c>
      <c r="O2673" s="78">
        <f>IF(D2673&lt;&gt;"",D2673,IF(AND(F2673="",G2673=""),"",IF(J2673&lt;&gt;"",IF(N(F2673)&gt;0,"客户回款","客户退款"),IF(K2673&lt;&gt;"",IF(N(G2673)&gt;0,"供应商付款","供应商退款"),IF(L2673&lt;&gt;"","费用支出","")))))</f>
      </c>
      <c r="P2673" s="78">
        <f>IF(O2673="","",IFERROR(INDEX(基础资料!$AE$5:$AE$34,MATCH(O2673,基础资料!$AC$5:$AC$34,0)),"未知"))</f>
      </c>
      <c r="Q2673" s="78">
        <f>IF(P2673="应收",COUNTIF(P$7:P2673,"应收"),"")</f>
      </c>
      <c r="R2673" s="78">
        <f>IF(P2673="应付",COUNTIF(P$7:P2673,"应付"),"")</f>
      </c>
      <c r="S2673" s="78">
        <f>N(F2673)-N(G2673)</f>
        <v>0</v>
      </c>
    </row>
    <row r="2674">
      <c r="A2674" s="109">
        <f>IF(AND(F2674="",G2674=""),"",ROW()-6)</f>
      </c>
      <c r="B2674" s="140" t="n"/>
      <c r="C2674" s="141" t="n"/>
      <c r="D2674" s="141" t="n"/>
      <c r="E2674" s="142" t="n"/>
      <c r="F2674" s="143" t="n"/>
      <c r="G2674" s="144" t="n"/>
      <c r="H2674" s="145">
        <f>IF(OR(C2674="",AND(F2674="",G2674="")),"",SUMIF(基础资料!$W$5:$W$24,C2674,基础资料!$X$5:$X$24)+SUMIF(C$7:C2674,C2674,F$7:F2674)-SUMIF(C$7:C2674,C2674,G$7:G2674))</f>
      </c>
      <c r="I2674" s="145">
        <f>IF(AND(F2674="",G2674=""),"",SUM(基础资料!$X$5:$X$24)+SUM(F$7:F2674)-SUM(G$7:G2674))</f>
      </c>
      <c r="J2674" s="141" t="n"/>
      <c r="K2674" s="141" t="n"/>
      <c r="L2674" s="141" t="n"/>
      <c r="M2674" s="142" t="n"/>
      <c r="N2674" s="146">
        <f>IF(AND(AND(F2674="",G2674=""),B2674="",C2674="",D2674="",J2674="",K2674="",L2674=""),"",IF(AND(F2674="",G2674=""),"✗ 没填金额",IF(AND(N(F2674)&lt;&gt;0,N(G2674)&lt;&gt;0),"✗ 收入、支出只能填一边",IF(NOT(ISNUMBER(B2674)),"✗ 日期不是真日期（要像 2026/9/25 这样填）",IF(OR(B2674&lt;年初日,B2674&gt;年末日),"✗ 日期不在本会计年度",IF(C2674="","✗ 没选账户",IF(COUNTIF(基础资料!$W$5:$W$24,C2674)=0,"✗ 账户不在基础资料里",IF(O2674="","✗ 没选收支项目",IF(P2674="未知","✗ 收支项目不在基础资料里",IF(AND(P2674="应收",J2674=""),"✗ 这笔要选客户",IF(AND(P2674="应收",COUNTIF(总览汇总!$B$5:$B$304,J2674)=0),"✗ 客户不在总览汇总名单里",IF(AND(P2674="应付",K2674=""),"✗ 这笔要选供应商",IF(AND(P2674="应付",COUNTIF(基础资料!$Q$5:$Q$54,K2674)=0),"✗ 供应商不在基础资料里",IF(AND(P2674="费用",L2674=""),"✗ 费用支出要选费用项目",IF(AND(L2674&lt;&gt;"",COUNTIF(基础资料!$AI$5:$AI$54,L2674)=0),"✗ 费用项目不在基础资料里",IF(AND(IFERROR(INDEX(基础资料!$AD$5:$AD$34,MATCH(O2674,基础资料!$AC$5:$AC$34,0)),"")="收",N(G2674)&lt;&gt;0),"✗ 这类是收款，金额填到收入列",IF(AND(IFERROR(INDEX(基础资料!$AD$5:$AD$34,MATCH(O2674,基础资料!$AC$5:$AC$34,0)),"")="支",N(F2674)&lt;&gt;0),"✗ 这类是付款，金额填到支出列",IF(N(H2674)&lt;0,"⚠ 账户余额成负数了，核对一下","√"))))))))))))))))))</f>
      </c>
      <c r="O2674" s="78">
        <f>IF(D2674&lt;&gt;"",D2674,IF(AND(F2674="",G2674=""),"",IF(J2674&lt;&gt;"",IF(N(F2674)&gt;0,"客户回款","客户退款"),IF(K2674&lt;&gt;"",IF(N(G2674)&gt;0,"供应商付款","供应商退款"),IF(L2674&lt;&gt;"","费用支出","")))))</f>
      </c>
      <c r="P2674" s="78">
        <f>IF(O2674="","",IFERROR(INDEX(基础资料!$AE$5:$AE$34,MATCH(O2674,基础资料!$AC$5:$AC$34,0)),"未知"))</f>
      </c>
      <c r="Q2674" s="78">
        <f>IF(P2674="应收",COUNTIF(P$7:P2674,"应收"),"")</f>
      </c>
      <c r="R2674" s="78">
        <f>IF(P2674="应付",COUNTIF(P$7:P2674,"应付"),"")</f>
      </c>
      <c r="S2674" s="78">
        <f>N(F2674)-N(G2674)</f>
        <v>0</v>
      </c>
    </row>
    <row r="2675">
      <c r="A2675" s="109">
        <f>IF(AND(F2675="",G2675=""),"",ROW()-6)</f>
      </c>
      <c r="B2675" s="140" t="n"/>
      <c r="C2675" s="141" t="n"/>
      <c r="D2675" s="141" t="n"/>
      <c r="E2675" s="142" t="n"/>
      <c r="F2675" s="143" t="n"/>
      <c r="G2675" s="144" t="n"/>
      <c r="H2675" s="145">
        <f>IF(OR(C2675="",AND(F2675="",G2675="")),"",SUMIF(基础资料!$W$5:$W$24,C2675,基础资料!$X$5:$X$24)+SUMIF(C$7:C2675,C2675,F$7:F2675)-SUMIF(C$7:C2675,C2675,G$7:G2675))</f>
      </c>
      <c r="I2675" s="145">
        <f>IF(AND(F2675="",G2675=""),"",SUM(基础资料!$X$5:$X$24)+SUM(F$7:F2675)-SUM(G$7:G2675))</f>
      </c>
      <c r="J2675" s="141" t="n"/>
      <c r="K2675" s="141" t="n"/>
      <c r="L2675" s="141" t="n"/>
      <c r="M2675" s="142" t="n"/>
      <c r="N2675" s="146">
        <f>IF(AND(AND(F2675="",G2675=""),B2675="",C2675="",D2675="",J2675="",K2675="",L2675=""),"",IF(AND(F2675="",G2675=""),"✗ 没填金额",IF(AND(N(F2675)&lt;&gt;0,N(G2675)&lt;&gt;0),"✗ 收入、支出只能填一边",IF(NOT(ISNUMBER(B2675)),"✗ 日期不是真日期（要像 2026/9/25 这样填）",IF(OR(B2675&lt;年初日,B2675&gt;年末日),"✗ 日期不在本会计年度",IF(C2675="","✗ 没选账户",IF(COUNTIF(基础资料!$W$5:$W$24,C2675)=0,"✗ 账户不在基础资料里",IF(O2675="","✗ 没选收支项目",IF(P2675="未知","✗ 收支项目不在基础资料里",IF(AND(P2675="应收",J2675=""),"✗ 这笔要选客户",IF(AND(P2675="应收",COUNTIF(总览汇总!$B$5:$B$304,J2675)=0),"✗ 客户不在总览汇总名单里",IF(AND(P2675="应付",K2675=""),"✗ 这笔要选供应商",IF(AND(P2675="应付",COUNTIF(基础资料!$Q$5:$Q$54,K2675)=0),"✗ 供应商不在基础资料里",IF(AND(P2675="费用",L2675=""),"✗ 费用支出要选费用项目",IF(AND(L2675&lt;&gt;"",COUNTIF(基础资料!$AI$5:$AI$54,L2675)=0),"✗ 费用项目不在基础资料里",IF(AND(IFERROR(INDEX(基础资料!$AD$5:$AD$34,MATCH(O2675,基础资料!$AC$5:$AC$34,0)),"")="收",N(G2675)&lt;&gt;0),"✗ 这类是收款，金额填到收入列",IF(AND(IFERROR(INDEX(基础资料!$AD$5:$AD$34,MATCH(O2675,基础资料!$AC$5:$AC$34,0)),"")="支",N(F2675)&lt;&gt;0),"✗ 这类是付款，金额填到支出列",IF(N(H2675)&lt;0,"⚠ 账户余额成负数了，核对一下","√"))))))))))))))))))</f>
      </c>
      <c r="O2675" s="78">
        <f>IF(D2675&lt;&gt;"",D2675,IF(AND(F2675="",G2675=""),"",IF(J2675&lt;&gt;"",IF(N(F2675)&gt;0,"客户回款","客户退款"),IF(K2675&lt;&gt;"",IF(N(G2675)&gt;0,"供应商付款","供应商退款"),IF(L2675&lt;&gt;"","费用支出","")))))</f>
      </c>
      <c r="P2675" s="78">
        <f>IF(O2675="","",IFERROR(INDEX(基础资料!$AE$5:$AE$34,MATCH(O2675,基础资料!$AC$5:$AC$34,0)),"未知"))</f>
      </c>
      <c r="Q2675" s="78">
        <f>IF(P2675="应收",COUNTIF(P$7:P2675,"应收"),"")</f>
      </c>
      <c r="R2675" s="78">
        <f>IF(P2675="应付",COUNTIF(P$7:P2675,"应付"),"")</f>
      </c>
      <c r="S2675" s="78">
        <f>N(F2675)-N(G2675)</f>
        <v>0</v>
      </c>
    </row>
    <row r="2676">
      <c r="A2676" s="109">
        <f>IF(AND(F2676="",G2676=""),"",ROW()-6)</f>
      </c>
      <c r="B2676" s="140" t="n"/>
      <c r="C2676" s="141" t="n"/>
      <c r="D2676" s="141" t="n"/>
      <c r="E2676" s="142" t="n"/>
      <c r="F2676" s="143" t="n"/>
      <c r="G2676" s="144" t="n"/>
      <c r="H2676" s="145">
        <f>IF(OR(C2676="",AND(F2676="",G2676="")),"",SUMIF(基础资料!$W$5:$W$24,C2676,基础资料!$X$5:$X$24)+SUMIF(C$7:C2676,C2676,F$7:F2676)-SUMIF(C$7:C2676,C2676,G$7:G2676))</f>
      </c>
      <c r="I2676" s="145">
        <f>IF(AND(F2676="",G2676=""),"",SUM(基础资料!$X$5:$X$24)+SUM(F$7:F2676)-SUM(G$7:G2676))</f>
      </c>
      <c r="J2676" s="141" t="n"/>
      <c r="K2676" s="141" t="n"/>
      <c r="L2676" s="141" t="n"/>
      <c r="M2676" s="142" t="n"/>
      <c r="N2676" s="146">
        <f>IF(AND(AND(F2676="",G2676=""),B2676="",C2676="",D2676="",J2676="",K2676="",L2676=""),"",IF(AND(F2676="",G2676=""),"✗ 没填金额",IF(AND(N(F2676)&lt;&gt;0,N(G2676)&lt;&gt;0),"✗ 收入、支出只能填一边",IF(NOT(ISNUMBER(B2676)),"✗ 日期不是真日期（要像 2026/9/25 这样填）",IF(OR(B2676&lt;年初日,B2676&gt;年末日),"✗ 日期不在本会计年度",IF(C2676="","✗ 没选账户",IF(COUNTIF(基础资料!$W$5:$W$24,C2676)=0,"✗ 账户不在基础资料里",IF(O2676="","✗ 没选收支项目",IF(P2676="未知","✗ 收支项目不在基础资料里",IF(AND(P2676="应收",J2676=""),"✗ 这笔要选客户",IF(AND(P2676="应收",COUNTIF(总览汇总!$B$5:$B$304,J2676)=0),"✗ 客户不在总览汇总名单里",IF(AND(P2676="应付",K2676=""),"✗ 这笔要选供应商",IF(AND(P2676="应付",COUNTIF(基础资料!$Q$5:$Q$54,K2676)=0),"✗ 供应商不在基础资料里",IF(AND(P2676="费用",L2676=""),"✗ 费用支出要选费用项目",IF(AND(L2676&lt;&gt;"",COUNTIF(基础资料!$AI$5:$AI$54,L2676)=0),"✗ 费用项目不在基础资料里",IF(AND(IFERROR(INDEX(基础资料!$AD$5:$AD$34,MATCH(O2676,基础资料!$AC$5:$AC$34,0)),"")="收",N(G2676)&lt;&gt;0),"✗ 这类是收款，金额填到收入列",IF(AND(IFERROR(INDEX(基础资料!$AD$5:$AD$34,MATCH(O2676,基础资料!$AC$5:$AC$34,0)),"")="支",N(F2676)&lt;&gt;0),"✗ 这类是付款，金额填到支出列",IF(N(H2676)&lt;0,"⚠ 账户余额成负数了，核对一下","√"))))))))))))))))))</f>
      </c>
      <c r="O2676" s="78">
        <f>IF(D2676&lt;&gt;"",D2676,IF(AND(F2676="",G2676=""),"",IF(J2676&lt;&gt;"",IF(N(F2676)&gt;0,"客户回款","客户退款"),IF(K2676&lt;&gt;"",IF(N(G2676)&gt;0,"供应商付款","供应商退款"),IF(L2676&lt;&gt;"","费用支出","")))))</f>
      </c>
      <c r="P2676" s="78">
        <f>IF(O2676="","",IFERROR(INDEX(基础资料!$AE$5:$AE$34,MATCH(O2676,基础资料!$AC$5:$AC$34,0)),"未知"))</f>
      </c>
      <c r="Q2676" s="78">
        <f>IF(P2676="应收",COUNTIF(P$7:P2676,"应收"),"")</f>
      </c>
      <c r="R2676" s="78">
        <f>IF(P2676="应付",COUNTIF(P$7:P2676,"应付"),"")</f>
      </c>
      <c r="S2676" s="78">
        <f>N(F2676)-N(G2676)</f>
        <v>0</v>
      </c>
    </row>
    <row r="2677">
      <c r="A2677" s="109">
        <f>IF(AND(F2677="",G2677=""),"",ROW()-6)</f>
      </c>
      <c r="B2677" s="140" t="n"/>
      <c r="C2677" s="141" t="n"/>
      <c r="D2677" s="141" t="n"/>
      <c r="E2677" s="142" t="n"/>
      <c r="F2677" s="143" t="n"/>
      <c r="G2677" s="144" t="n"/>
      <c r="H2677" s="145">
        <f>IF(OR(C2677="",AND(F2677="",G2677="")),"",SUMIF(基础资料!$W$5:$W$24,C2677,基础资料!$X$5:$X$24)+SUMIF(C$7:C2677,C2677,F$7:F2677)-SUMIF(C$7:C2677,C2677,G$7:G2677))</f>
      </c>
      <c r="I2677" s="145">
        <f>IF(AND(F2677="",G2677=""),"",SUM(基础资料!$X$5:$X$24)+SUM(F$7:F2677)-SUM(G$7:G2677))</f>
      </c>
      <c r="J2677" s="141" t="n"/>
      <c r="K2677" s="141" t="n"/>
      <c r="L2677" s="141" t="n"/>
      <c r="M2677" s="142" t="n"/>
      <c r="N2677" s="146">
        <f>IF(AND(AND(F2677="",G2677=""),B2677="",C2677="",D2677="",J2677="",K2677="",L2677=""),"",IF(AND(F2677="",G2677=""),"✗ 没填金额",IF(AND(N(F2677)&lt;&gt;0,N(G2677)&lt;&gt;0),"✗ 收入、支出只能填一边",IF(NOT(ISNUMBER(B2677)),"✗ 日期不是真日期（要像 2026/9/25 这样填）",IF(OR(B2677&lt;年初日,B2677&gt;年末日),"✗ 日期不在本会计年度",IF(C2677="","✗ 没选账户",IF(COUNTIF(基础资料!$W$5:$W$24,C2677)=0,"✗ 账户不在基础资料里",IF(O2677="","✗ 没选收支项目",IF(P2677="未知","✗ 收支项目不在基础资料里",IF(AND(P2677="应收",J2677=""),"✗ 这笔要选客户",IF(AND(P2677="应收",COUNTIF(总览汇总!$B$5:$B$304,J2677)=0),"✗ 客户不在总览汇总名单里",IF(AND(P2677="应付",K2677=""),"✗ 这笔要选供应商",IF(AND(P2677="应付",COUNTIF(基础资料!$Q$5:$Q$54,K2677)=0),"✗ 供应商不在基础资料里",IF(AND(P2677="费用",L2677=""),"✗ 费用支出要选费用项目",IF(AND(L2677&lt;&gt;"",COUNTIF(基础资料!$AI$5:$AI$54,L2677)=0),"✗ 费用项目不在基础资料里",IF(AND(IFERROR(INDEX(基础资料!$AD$5:$AD$34,MATCH(O2677,基础资料!$AC$5:$AC$34,0)),"")="收",N(G2677)&lt;&gt;0),"✗ 这类是收款，金额填到收入列",IF(AND(IFERROR(INDEX(基础资料!$AD$5:$AD$34,MATCH(O2677,基础资料!$AC$5:$AC$34,0)),"")="支",N(F2677)&lt;&gt;0),"✗ 这类是付款，金额填到支出列",IF(N(H2677)&lt;0,"⚠ 账户余额成负数了，核对一下","√"))))))))))))))))))</f>
      </c>
      <c r="O2677" s="78">
        <f>IF(D2677&lt;&gt;"",D2677,IF(AND(F2677="",G2677=""),"",IF(J2677&lt;&gt;"",IF(N(F2677)&gt;0,"客户回款","客户退款"),IF(K2677&lt;&gt;"",IF(N(G2677)&gt;0,"供应商付款","供应商退款"),IF(L2677&lt;&gt;"","费用支出","")))))</f>
      </c>
      <c r="P2677" s="78">
        <f>IF(O2677="","",IFERROR(INDEX(基础资料!$AE$5:$AE$34,MATCH(O2677,基础资料!$AC$5:$AC$34,0)),"未知"))</f>
      </c>
      <c r="Q2677" s="78">
        <f>IF(P2677="应收",COUNTIF(P$7:P2677,"应收"),"")</f>
      </c>
      <c r="R2677" s="78">
        <f>IF(P2677="应付",COUNTIF(P$7:P2677,"应付"),"")</f>
      </c>
      <c r="S2677" s="78">
        <f>N(F2677)-N(G2677)</f>
        <v>0</v>
      </c>
    </row>
    <row r="2678">
      <c r="A2678" s="109">
        <f>IF(AND(F2678="",G2678=""),"",ROW()-6)</f>
      </c>
      <c r="B2678" s="140" t="n"/>
      <c r="C2678" s="141" t="n"/>
      <c r="D2678" s="141" t="n"/>
      <c r="E2678" s="142" t="n"/>
      <c r="F2678" s="143" t="n"/>
      <c r="G2678" s="144" t="n"/>
      <c r="H2678" s="145">
        <f>IF(OR(C2678="",AND(F2678="",G2678="")),"",SUMIF(基础资料!$W$5:$W$24,C2678,基础资料!$X$5:$X$24)+SUMIF(C$7:C2678,C2678,F$7:F2678)-SUMIF(C$7:C2678,C2678,G$7:G2678))</f>
      </c>
      <c r="I2678" s="145">
        <f>IF(AND(F2678="",G2678=""),"",SUM(基础资料!$X$5:$X$24)+SUM(F$7:F2678)-SUM(G$7:G2678))</f>
      </c>
      <c r="J2678" s="141" t="n"/>
      <c r="K2678" s="141" t="n"/>
      <c r="L2678" s="141" t="n"/>
      <c r="M2678" s="142" t="n"/>
      <c r="N2678" s="146">
        <f>IF(AND(AND(F2678="",G2678=""),B2678="",C2678="",D2678="",J2678="",K2678="",L2678=""),"",IF(AND(F2678="",G2678=""),"✗ 没填金额",IF(AND(N(F2678)&lt;&gt;0,N(G2678)&lt;&gt;0),"✗ 收入、支出只能填一边",IF(NOT(ISNUMBER(B2678)),"✗ 日期不是真日期（要像 2026/9/25 这样填）",IF(OR(B2678&lt;年初日,B2678&gt;年末日),"✗ 日期不在本会计年度",IF(C2678="","✗ 没选账户",IF(COUNTIF(基础资料!$W$5:$W$24,C2678)=0,"✗ 账户不在基础资料里",IF(O2678="","✗ 没选收支项目",IF(P2678="未知","✗ 收支项目不在基础资料里",IF(AND(P2678="应收",J2678=""),"✗ 这笔要选客户",IF(AND(P2678="应收",COUNTIF(总览汇总!$B$5:$B$304,J2678)=0),"✗ 客户不在总览汇总名单里",IF(AND(P2678="应付",K2678=""),"✗ 这笔要选供应商",IF(AND(P2678="应付",COUNTIF(基础资料!$Q$5:$Q$54,K2678)=0),"✗ 供应商不在基础资料里",IF(AND(P2678="费用",L2678=""),"✗ 费用支出要选费用项目",IF(AND(L2678&lt;&gt;"",COUNTIF(基础资料!$AI$5:$AI$54,L2678)=0),"✗ 费用项目不在基础资料里",IF(AND(IFERROR(INDEX(基础资料!$AD$5:$AD$34,MATCH(O2678,基础资料!$AC$5:$AC$34,0)),"")="收",N(G2678)&lt;&gt;0),"✗ 这类是收款，金额填到收入列",IF(AND(IFERROR(INDEX(基础资料!$AD$5:$AD$34,MATCH(O2678,基础资料!$AC$5:$AC$34,0)),"")="支",N(F2678)&lt;&gt;0),"✗ 这类是付款，金额填到支出列",IF(N(H2678)&lt;0,"⚠ 账户余额成负数了，核对一下","√"))))))))))))))))))</f>
      </c>
      <c r="O2678" s="78">
        <f>IF(D2678&lt;&gt;"",D2678,IF(AND(F2678="",G2678=""),"",IF(J2678&lt;&gt;"",IF(N(F2678)&gt;0,"客户回款","客户退款"),IF(K2678&lt;&gt;"",IF(N(G2678)&gt;0,"供应商付款","供应商退款"),IF(L2678&lt;&gt;"","费用支出","")))))</f>
      </c>
      <c r="P2678" s="78">
        <f>IF(O2678="","",IFERROR(INDEX(基础资料!$AE$5:$AE$34,MATCH(O2678,基础资料!$AC$5:$AC$34,0)),"未知"))</f>
      </c>
      <c r="Q2678" s="78">
        <f>IF(P2678="应收",COUNTIF(P$7:P2678,"应收"),"")</f>
      </c>
      <c r="R2678" s="78">
        <f>IF(P2678="应付",COUNTIF(P$7:P2678,"应付"),"")</f>
      </c>
      <c r="S2678" s="78">
        <f>N(F2678)-N(G2678)</f>
        <v>0</v>
      </c>
    </row>
    <row r="2679">
      <c r="A2679" s="109">
        <f>IF(AND(F2679="",G2679=""),"",ROW()-6)</f>
      </c>
      <c r="B2679" s="140" t="n"/>
      <c r="C2679" s="141" t="n"/>
      <c r="D2679" s="141" t="n"/>
      <c r="E2679" s="142" t="n"/>
      <c r="F2679" s="143" t="n"/>
      <c r="G2679" s="144" t="n"/>
      <c r="H2679" s="145">
        <f>IF(OR(C2679="",AND(F2679="",G2679="")),"",SUMIF(基础资料!$W$5:$W$24,C2679,基础资料!$X$5:$X$24)+SUMIF(C$7:C2679,C2679,F$7:F2679)-SUMIF(C$7:C2679,C2679,G$7:G2679))</f>
      </c>
      <c r="I2679" s="145">
        <f>IF(AND(F2679="",G2679=""),"",SUM(基础资料!$X$5:$X$24)+SUM(F$7:F2679)-SUM(G$7:G2679))</f>
      </c>
      <c r="J2679" s="141" t="n"/>
      <c r="K2679" s="141" t="n"/>
      <c r="L2679" s="141" t="n"/>
      <c r="M2679" s="142" t="n"/>
      <c r="N2679" s="146">
        <f>IF(AND(AND(F2679="",G2679=""),B2679="",C2679="",D2679="",J2679="",K2679="",L2679=""),"",IF(AND(F2679="",G2679=""),"✗ 没填金额",IF(AND(N(F2679)&lt;&gt;0,N(G2679)&lt;&gt;0),"✗ 收入、支出只能填一边",IF(NOT(ISNUMBER(B2679)),"✗ 日期不是真日期（要像 2026/9/25 这样填）",IF(OR(B2679&lt;年初日,B2679&gt;年末日),"✗ 日期不在本会计年度",IF(C2679="","✗ 没选账户",IF(COUNTIF(基础资料!$W$5:$W$24,C2679)=0,"✗ 账户不在基础资料里",IF(O2679="","✗ 没选收支项目",IF(P2679="未知","✗ 收支项目不在基础资料里",IF(AND(P2679="应收",J2679=""),"✗ 这笔要选客户",IF(AND(P2679="应收",COUNTIF(总览汇总!$B$5:$B$304,J2679)=0),"✗ 客户不在总览汇总名单里",IF(AND(P2679="应付",K2679=""),"✗ 这笔要选供应商",IF(AND(P2679="应付",COUNTIF(基础资料!$Q$5:$Q$54,K2679)=0),"✗ 供应商不在基础资料里",IF(AND(P2679="费用",L2679=""),"✗ 费用支出要选费用项目",IF(AND(L2679&lt;&gt;"",COUNTIF(基础资料!$AI$5:$AI$54,L2679)=0),"✗ 费用项目不在基础资料里",IF(AND(IFERROR(INDEX(基础资料!$AD$5:$AD$34,MATCH(O2679,基础资料!$AC$5:$AC$34,0)),"")="收",N(G2679)&lt;&gt;0),"✗ 这类是收款，金额填到收入列",IF(AND(IFERROR(INDEX(基础资料!$AD$5:$AD$34,MATCH(O2679,基础资料!$AC$5:$AC$34,0)),"")="支",N(F2679)&lt;&gt;0),"✗ 这类是付款，金额填到支出列",IF(N(H2679)&lt;0,"⚠ 账户余额成负数了，核对一下","√"))))))))))))))))))</f>
      </c>
      <c r="O2679" s="78">
        <f>IF(D2679&lt;&gt;"",D2679,IF(AND(F2679="",G2679=""),"",IF(J2679&lt;&gt;"",IF(N(F2679)&gt;0,"客户回款","客户退款"),IF(K2679&lt;&gt;"",IF(N(G2679)&gt;0,"供应商付款","供应商退款"),IF(L2679&lt;&gt;"","费用支出","")))))</f>
      </c>
      <c r="P2679" s="78">
        <f>IF(O2679="","",IFERROR(INDEX(基础资料!$AE$5:$AE$34,MATCH(O2679,基础资料!$AC$5:$AC$34,0)),"未知"))</f>
      </c>
      <c r="Q2679" s="78">
        <f>IF(P2679="应收",COUNTIF(P$7:P2679,"应收"),"")</f>
      </c>
      <c r="R2679" s="78">
        <f>IF(P2679="应付",COUNTIF(P$7:P2679,"应付"),"")</f>
      </c>
      <c r="S2679" s="78">
        <f>N(F2679)-N(G2679)</f>
        <v>0</v>
      </c>
    </row>
    <row r="2680">
      <c r="A2680" s="109">
        <f>IF(AND(F2680="",G2680=""),"",ROW()-6)</f>
      </c>
      <c r="B2680" s="140" t="n"/>
      <c r="C2680" s="141" t="n"/>
      <c r="D2680" s="141" t="n"/>
      <c r="E2680" s="142" t="n"/>
      <c r="F2680" s="143" t="n"/>
      <c r="G2680" s="144" t="n"/>
      <c r="H2680" s="145">
        <f>IF(OR(C2680="",AND(F2680="",G2680="")),"",SUMIF(基础资料!$W$5:$W$24,C2680,基础资料!$X$5:$X$24)+SUMIF(C$7:C2680,C2680,F$7:F2680)-SUMIF(C$7:C2680,C2680,G$7:G2680))</f>
      </c>
      <c r="I2680" s="145">
        <f>IF(AND(F2680="",G2680=""),"",SUM(基础资料!$X$5:$X$24)+SUM(F$7:F2680)-SUM(G$7:G2680))</f>
      </c>
      <c r="J2680" s="141" t="n"/>
      <c r="K2680" s="141" t="n"/>
      <c r="L2680" s="141" t="n"/>
      <c r="M2680" s="142" t="n"/>
      <c r="N2680" s="146">
        <f>IF(AND(AND(F2680="",G2680=""),B2680="",C2680="",D2680="",J2680="",K2680="",L2680=""),"",IF(AND(F2680="",G2680=""),"✗ 没填金额",IF(AND(N(F2680)&lt;&gt;0,N(G2680)&lt;&gt;0),"✗ 收入、支出只能填一边",IF(NOT(ISNUMBER(B2680)),"✗ 日期不是真日期（要像 2026/9/25 这样填）",IF(OR(B2680&lt;年初日,B2680&gt;年末日),"✗ 日期不在本会计年度",IF(C2680="","✗ 没选账户",IF(COUNTIF(基础资料!$W$5:$W$24,C2680)=0,"✗ 账户不在基础资料里",IF(O2680="","✗ 没选收支项目",IF(P2680="未知","✗ 收支项目不在基础资料里",IF(AND(P2680="应收",J2680=""),"✗ 这笔要选客户",IF(AND(P2680="应收",COUNTIF(总览汇总!$B$5:$B$304,J2680)=0),"✗ 客户不在总览汇总名单里",IF(AND(P2680="应付",K2680=""),"✗ 这笔要选供应商",IF(AND(P2680="应付",COUNTIF(基础资料!$Q$5:$Q$54,K2680)=0),"✗ 供应商不在基础资料里",IF(AND(P2680="费用",L2680=""),"✗ 费用支出要选费用项目",IF(AND(L2680&lt;&gt;"",COUNTIF(基础资料!$AI$5:$AI$54,L2680)=0),"✗ 费用项目不在基础资料里",IF(AND(IFERROR(INDEX(基础资料!$AD$5:$AD$34,MATCH(O2680,基础资料!$AC$5:$AC$34,0)),"")="收",N(G2680)&lt;&gt;0),"✗ 这类是收款，金额填到收入列",IF(AND(IFERROR(INDEX(基础资料!$AD$5:$AD$34,MATCH(O2680,基础资料!$AC$5:$AC$34,0)),"")="支",N(F2680)&lt;&gt;0),"✗ 这类是付款，金额填到支出列",IF(N(H2680)&lt;0,"⚠ 账户余额成负数了，核对一下","√"))))))))))))))))))</f>
      </c>
      <c r="O2680" s="78">
        <f>IF(D2680&lt;&gt;"",D2680,IF(AND(F2680="",G2680=""),"",IF(J2680&lt;&gt;"",IF(N(F2680)&gt;0,"客户回款","客户退款"),IF(K2680&lt;&gt;"",IF(N(G2680)&gt;0,"供应商付款","供应商退款"),IF(L2680&lt;&gt;"","费用支出","")))))</f>
      </c>
      <c r="P2680" s="78">
        <f>IF(O2680="","",IFERROR(INDEX(基础资料!$AE$5:$AE$34,MATCH(O2680,基础资料!$AC$5:$AC$34,0)),"未知"))</f>
      </c>
      <c r="Q2680" s="78">
        <f>IF(P2680="应收",COUNTIF(P$7:P2680,"应收"),"")</f>
      </c>
      <c r="R2680" s="78">
        <f>IF(P2680="应付",COUNTIF(P$7:P2680,"应付"),"")</f>
      </c>
      <c r="S2680" s="78">
        <f>N(F2680)-N(G2680)</f>
        <v>0</v>
      </c>
    </row>
    <row r="2681">
      <c r="A2681" s="109">
        <f>IF(AND(F2681="",G2681=""),"",ROW()-6)</f>
      </c>
      <c r="B2681" s="140" t="n"/>
      <c r="C2681" s="141" t="n"/>
      <c r="D2681" s="141" t="n"/>
      <c r="E2681" s="142" t="n"/>
      <c r="F2681" s="143" t="n"/>
      <c r="G2681" s="144" t="n"/>
      <c r="H2681" s="145">
        <f>IF(OR(C2681="",AND(F2681="",G2681="")),"",SUMIF(基础资料!$W$5:$W$24,C2681,基础资料!$X$5:$X$24)+SUMIF(C$7:C2681,C2681,F$7:F2681)-SUMIF(C$7:C2681,C2681,G$7:G2681))</f>
      </c>
      <c r="I2681" s="145">
        <f>IF(AND(F2681="",G2681=""),"",SUM(基础资料!$X$5:$X$24)+SUM(F$7:F2681)-SUM(G$7:G2681))</f>
      </c>
      <c r="J2681" s="141" t="n"/>
      <c r="K2681" s="141" t="n"/>
      <c r="L2681" s="141" t="n"/>
      <c r="M2681" s="142" t="n"/>
      <c r="N2681" s="146">
        <f>IF(AND(AND(F2681="",G2681=""),B2681="",C2681="",D2681="",J2681="",K2681="",L2681=""),"",IF(AND(F2681="",G2681=""),"✗ 没填金额",IF(AND(N(F2681)&lt;&gt;0,N(G2681)&lt;&gt;0),"✗ 收入、支出只能填一边",IF(NOT(ISNUMBER(B2681)),"✗ 日期不是真日期（要像 2026/9/25 这样填）",IF(OR(B2681&lt;年初日,B2681&gt;年末日),"✗ 日期不在本会计年度",IF(C2681="","✗ 没选账户",IF(COUNTIF(基础资料!$W$5:$W$24,C2681)=0,"✗ 账户不在基础资料里",IF(O2681="","✗ 没选收支项目",IF(P2681="未知","✗ 收支项目不在基础资料里",IF(AND(P2681="应收",J2681=""),"✗ 这笔要选客户",IF(AND(P2681="应收",COUNTIF(总览汇总!$B$5:$B$304,J2681)=0),"✗ 客户不在总览汇总名单里",IF(AND(P2681="应付",K2681=""),"✗ 这笔要选供应商",IF(AND(P2681="应付",COUNTIF(基础资料!$Q$5:$Q$54,K2681)=0),"✗ 供应商不在基础资料里",IF(AND(P2681="费用",L2681=""),"✗ 费用支出要选费用项目",IF(AND(L2681&lt;&gt;"",COUNTIF(基础资料!$AI$5:$AI$54,L2681)=0),"✗ 费用项目不在基础资料里",IF(AND(IFERROR(INDEX(基础资料!$AD$5:$AD$34,MATCH(O2681,基础资料!$AC$5:$AC$34,0)),"")="收",N(G2681)&lt;&gt;0),"✗ 这类是收款，金额填到收入列",IF(AND(IFERROR(INDEX(基础资料!$AD$5:$AD$34,MATCH(O2681,基础资料!$AC$5:$AC$34,0)),"")="支",N(F2681)&lt;&gt;0),"✗ 这类是付款，金额填到支出列",IF(N(H2681)&lt;0,"⚠ 账户余额成负数了，核对一下","√"))))))))))))))))))</f>
      </c>
      <c r="O2681" s="78">
        <f>IF(D2681&lt;&gt;"",D2681,IF(AND(F2681="",G2681=""),"",IF(J2681&lt;&gt;"",IF(N(F2681)&gt;0,"客户回款","客户退款"),IF(K2681&lt;&gt;"",IF(N(G2681)&gt;0,"供应商付款","供应商退款"),IF(L2681&lt;&gt;"","费用支出","")))))</f>
      </c>
      <c r="P2681" s="78">
        <f>IF(O2681="","",IFERROR(INDEX(基础资料!$AE$5:$AE$34,MATCH(O2681,基础资料!$AC$5:$AC$34,0)),"未知"))</f>
      </c>
      <c r="Q2681" s="78">
        <f>IF(P2681="应收",COUNTIF(P$7:P2681,"应收"),"")</f>
      </c>
      <c r="R2681" s="78">
        <f>IF(P2681="应付",COUNTIF(P$7:P2681,"应付"),"")</f>
      </c>
      <c r="S2681" s="78">
        <f>N(F2681)-N(G2681)</f>
        <v>0</v>
      </c>
    </row>
    <row r="2682">
      <c r="A2682" s="109">
        <f>IF(AND(F2682="",G2682=""),"",ROW()-6)</f>
      </c>
      <c r="B2682" s="140" t="n"/>
      <c r="C2682" s="141" t="n"/>
      <c r="D2682" s="141" t="n"/>
      <c r="E2682" s="142" t="n"/>
      <c r="F2682" s="143" t="n"/>
      <c r="G2682" s="144" t="n"/>
      <c r="H2682" s="145">
        <f>IF(OR(C2682="",AND(F2682="",G2682="")),"",SUMIF(基础资料!$W$5:$W$24,C2682,基础资料!$X$5:$X$24)+SUMIF(C$7:C2682,C2682,F$7:F2682)-SUMIF(C$7:C2682,C2682,G$7:G2682))</f>
      </c>
      <c r="I2682" s="145">
        <f>IF(AND(F2682="",G2682=""),"",SUM(基础资料!$X$5:$X$24)+SUM(F$7:F2682)-SUM(G$7:G2682))</f>
      </c>
      <c r="J2682" s="141" t="n"/>
      <c r="K2682" s="141" t="n"/>
      <c r="L2682" s="141" t="n"/>
      <c r="M2682" s="142" t="n"/>
      <c r="N2682" s="146">
        <f>IF(AND(AND(F2682="",G2682=""),B2682="",C2682="",D2682="",J2682="",K2682="",L2682=""),"",IF(AND(F2682="",G2682=""),"✗ 没填金额",IF(AND(N(F2682)&lt;&gt;0,N(G2682)&lt;&gt;0),"✗ 收入、支出只能填一边",IF(NOT(ISNUMBER(B2682)),"✗ 日期不是真日期（要像 2026/9/25 这样填）",IF(OR(B2682&lt;年初日,B2682&gt;年末日),"✗ 日期不在本会计年度",IF(C2682="","✗ 没选账户",IF(COUNTIF(基础资料!$W$5:$W$24,C2682)=0,"✗ 账户不在基础资料里",IF(O2682="","✗ 没选收支项目",IF(P2682="未知","✗ 收支项目不在基础资料里",IF(AND(P2682="应收",J2682=""),"✗ 这笔要选客户",IF(AND(P2682="应收",COUNTIF(总览汇总!$B$5:$B$304,J2682)=0),"✗ 客户不在总览汇总名单里",IF(AND(P2682="应付",K2682=""),"✗ 这笔要选供应商",IF(AND(P2682="应付",COUNTIF(基础资料!$Q$5:$Q$54,K2682)=0),"✗ 供应商不在基础资料里",IF(AND(P2682="费用",L2682=""),"✗ 费用支出要选费用项目",IF(AND(L2682&lt;&gt;"",COUNTIF(基础资料!$AI$5:$AI$54,L2682)=0),"✗ 费用项目不在基础资料里",IF(AND(IFERROR(INDEX(基础资料!$AD$5:$AD$34,MATCH(O2682,基础资料!$AC$5:$AC$34,0)),"")="收",N(G2682)&lt;&gt;0),"✗ 这类是收款，金额填到收入列",IF(AND(IFERROR(INDEX(基础资料!$AD$5:$AD$34,MATCH(O2682,基础资料!$AC$5:$AC$34,0)),"")="支",N(F2682)&lt;&gt;0),"✗ 这类是付款，金额填到支出列",IF(N(H2682)&lt;0,"⚠ 账户余额成负数了，核对一下","√"))))))))))))))))))</f>
      </c>
      <c r="O2682" s="78">
        <f>IF(D2682&lt;&gt;"",D2682,IF(AND(F2682="",G2682=""),"",IF(J2682&lt;&gt;"",IF(N(F2682)&gt;0,"客户回款","客户退款"),IF(K2682&lt;&gt;"",IF(N(G2682)&gt;0,"供应商付款","供应商退款"),IF(L2682&lt;&gt;"","费用支出","")))))</f>
      </c>
      <c r="P2682" s="78">
        <f>IF(O2682="","",IFERROR(INDEX(基础资料!$AE$5:$AE$34,MATCH(O2682,基础资料!$AC$5:$AC$34,0)),"未知"))</f>
      </c>
      <c r="Q2682" s="78">
        <f>IF(P2682="应收",COUNTIF(P$7:P2682,"应收"),"")</f>
      </c>
      <c r="R2682" s="78">
        <f>IF(P2682="应付",COUNTIF(P$7:P2682,"应付"),"")</f>
      </c>
      <c r="S2682" s="78">
        <f>N(F2682)-N(G2682)</f>
        <v>0</v>
      </c>
    </row>
    <row r="2683">
      <c r="A2683" s="109">
        <f>IF(AND(F2683="",G2683=""),"",ROW()-6)</f>
      </c>
      <c r="B2683" s="140" t="n"/>
      <c r="C2683" s="141" t="n"/>
      <c r="D2683" s="141" t="n"/>
      <c r="E2683" s="142" t="n"/>
      <c r="F2683" s="143" t="n"/>
      <c r="G2683" s="144" t="n"/>
      <c r="H2683" s="145">
        <f>IF(OR(C2683="",AND(F2683="",G2683="")),"",SUMIF(基础资料!$W$5:$W$24,C2683,基础资料!$X$5:$X$24)+SUMIF(C$7:C2683,C2683,F$7:F2683)-SUMIF(C$7:C2683,C2683,G$7:G2683))</f>
      </c>
      <c r="I2683" s="145">
        <f>IF(AND(F2683="",G2683=""),"",SUM(基础资料!$X$5:$X$24)+SUM(F$7:F2683)-SUM(G$7:G2683))</f>
      </c>
      <c r="J2683" s="141" t="n"/>
      <c r="K2683" s="141" t="n"/>
      <c r="L2683" s="141" t="n"/>
      <c r="M2683" s="142" t="n"/>
      <c r="N2683" s="146">
        <f>IF(AND(AND(F2683="",G2683=""),B2683="",C2683="",D2683="",J2683="",K2683="",L2683=""),"",IF(AND(F2683="",G2683=""),"✗ 没填金额",IF(AND(N(F2683)&lt;&gt;0,N(G2683)&lt;&gt;0),"✗ 收入、支出只能填一边",IF(NOT(ISNUMBER(B2683)),"✗ 日期不是真日期（要像 2026/9/25 这样填）",IF(OR(B2683&lt;年初日,B2683&gt;年末日),"✗ 日期不在本会计年度",IF(C2683="","✗ 没选账户",IF(COUNTIF(基础资料!$W$5:$W$24,C2683)=0,"✗ 账户不在基础资料里",IF(O2683="","✗ 没选收支项目",IF(P2683="未知","✗ 收支项目不在基础资料里",IF(AND(P2683="应收",J2683=""),"✗ 这笔要选客户",IF(AND(P2683="应收",COUNTIF(总览汇总!$B$5:$B$304,J2683)=0),"✗ 客户不在总览汇总名单里",IF(AND(P2683="应付",K2683=""),"✗ 这笔要选供应商",IF(AND(P2683="应付",COUNTIF(基础资料!$Q$5:$Q$54,K2683)=0),"✗ 供应商不在基础资料里",IF(AND(P2683="费用",L2683=""),"✗ 费用支出要选费用项目",IF(AND(L2683&lt;&gt;"",COUNTIF(基础资料!$AI$5:$AI$54,L2683)=0),"✗ 费用项目不在基础资料里",IF(AND(IFERROR(INDEX(基础资料!$AD$5:$AD$34,MATCH(O2683,基础资料!$AC$5:$AC$34,0)),"")="收",N(G2683)&lt;&gt;0),"✗ 这类是收款，金额填到收入列",IF(AND(IFERROR(INDEX(基础资料!$AD$5:$AD$34,MATCH(O2683,基础资料!$AC$5:$AC$34,0)),"")="支",N(F2683)&lt;&gt;0),"✗ 这类是付款，金额填到支出列",IF(N(H2683)&lt;0,"⚠ 账户余额成负数了，核对一下","√"))))))))))))))))))</f>
      </c>
      <c r="O2683" s="78">
        <f>IF(D2683&lt;&gt;"",D2683,IF(AND(F2683="",G2683=""),"",IF(J2683&lt;&gt;"",IF(N(F2683)&gt;0,"客户回款","客户退款"),IF(K2683&lt;&gt;"",IF(N(G2683)&gt;0,"供应商付款","供应商退款"),IF(L2683&lt;&gt;"","费用支出","")))))</f>
      </c>
      <c r="P2683" s="78">
        <f>IF(O2683="","",IFERROR(INDEX(基础资料!$AE$5:$AE$34,MATCH(O2683,基础资料!$AC$5:$AC$34,0)),"未知"))</f>
      </c>
      <c r="Q2683" s="78">
        <f>IF(P2683="应收",COUNTIF(P$7:P2683,"应收"),"")</f>
      </c>
      <c r="R2683" s="78">
        <f>IF(P2683="应付",COUNTIF(P$7:P2683,"应付"),"")</f>
      </c>
      <c r="S2683" s="78">
        <f>N(F2683)-N(G2683)</f>
        <v>0</v>
      </c>
    </row>
    <row r="2684">
      <c r="A2684" s="109">
        <f>IF(AND(F2684="",G2684=""),"",ROW()-6)</f>
      </c>
      <c r="B2684" s="140" t="n"/>
      <c r="C2684" s="141" t="n"/>
      <c r="D2684" s="141" t="n"/>
      <c r="E2684" s="142" t="n"/>
      <c r="F2684" s="143" t="n"/>
      <c r="G2684" s="144" t="n"/>
      <c r="H2684" s="145">
        <f>IF(OR(C2684="",AND(F2684="",G2684="")),"",SUMIF(基础资料!$W$5:$W$24,C2684,基础资料!$X$5:$X$24)+SUMIF(C$7:C2684,C2684,F$7:F2684)-SUMIF(C$7:C2684,C2684,G$7:G2684))</f>
      </c>
      <c r="I2684" s="145">
        <f>IF(AND(F2684="",G2684=""),"",SUM(基础资料!$X$5:$X$24)+SUM(F$7:F2684)-SUM(G$7:G2684))</f>
      </c>
      <c r="J2684" s="141" t="n"/>
      <c r="K2684" s="141" t="n"/>
      <c r="L2684" s="141" t="n"/>
      <c r="M2684" s="142" t="n"/>
      <c r="N2684" s="146">
        <f>IF(AND(AND(F2684="",G2684=""),B2684="",C2684="",D2684="",J2684="",K2684="",L2684=""),"",IF(AND(F2684="",G2684=""),"✗ 没填金额",IF(AND(N(F2684)&lt;&gt;0,N(G2684)&lt;&gt;0),"✗ 收入、支出只能填一边",IF(NOT(ISNUMBER(B2684)),"✗ 日期不是真日期（要像 2026/9/25 这样填）",IF(OR(B2684&lt;年初日,B2684&gt;年末日),"✗ 日期不在本会计年度",IF(C2684="","✗ 没选账户",IF(COUNTIF(基础资料!$W$5:$W$24,C2684)=0,"✗ 账户不在基础资料里",IF(O2684="","✗ 没选收支项目",IF(P2684="未知","✗ 收支项目不在基础资料里",IF(AND(P2684="应收",J2684=""),"✗ 这笔要选客户",IF(AND(P2684="应收",COUNTIF(总览汇总!$B$5:$B$304,J2684)=0),"✗ 客户不在总览汇总名单里",IF(AND(P2684="应付",K2684=""),"✗ 这笔要选供应商",IF(AND(P2684="应付",COUNTIF(基础资料!$Q$5:$Q$54,K2684)=0),"✗ 供应商不在基础资料里",IF(AND(P2684="费用",L2684=""),"✗ 费用支出要选费用项目",IF(AND(L2684&lt;&gt;"",COUNTIF(基础资料!$AI$5:$AI$54,L2684)=0),"✗ 费用项目不在基础资料里",IF(AND(IFERROR(INDEX(基础资料!$AD$5:$AD$34,MATCH(O2684,基础资料!$AC$5:$AC$34,0)),"")="收",N(G2684)&lt;&gt;0),"✗ 这类是收款，金额填到收入列",IF(AND(IFERROR(INDEX(基础资料!$AD$5:$AD$34,MATCH(O2684,基础资料!$AC$5:$AC$34,0)),"")="支",N(F2684)&lt;&gt;0),"✗ 这类是付款，金额填到支出列",IF(N(H2684)&lt;0,"⚠ 账户余额成负数了，核对一下","√"))))))))))))))))))</f>
      </c>
      <c r="O2684" s="78">
        <f>IF(D2684&lt;&gt;"",D2684,IF(AND(F2684="",G2684=""),"",IF(J2684&lt;&gt;"",IF(N(F2684)&gt;0,"客户回款","客户退款"),IF(K2684&lt;&gt;"",IF(N(G2684)&gt;0,"供应商付款","供应商退款"),IF(L2684&lt;&gt;"","费用支出","")))))</f>
      </c>
      <c r="P2684" s="78">
        <f>IF(O2684="","",IFERROR(INDEX(基础资料!$AE$5:$AE$34,MATCH(O2684,基础资料!$AC$5:$AC$34,0)),"未知"))</f>
      </c>
      <c r="Q2684" s="78">
        <f>IF(P2684="应收",COUNTIF(P$7:P2684,"应收"),"")</f>
      </c>
      <c r="R2684" s="78">
        <f>IF(P2684="应付",COUNTIF(P$7:P2684,"应付"),"")</f>
      </c>
      <c r="S2684" s="78">
        <f>N(F2684)-N(G2684)</f>
        <v>0</v>
      </c>
    </row>
    <row r="2685">
      <c r="A2685" s="109">
        <f>IF(AND(F2685="",G2685=""),"",ROW()-6)</f>
      </c>
      <c r="B2685" s="140" t="n"/>
      <c r="C2685" s="141" t="n"/>
      <c r="D2685" s="141" t="n"/>
      <c r="E2685" s="142" t="n"/>
      <c r="F2685" s="143" t="n"/>
      <c r="G2685" s="144" t="n"/>
      <c r="H2685" s="145">
        <f>IF(OR(C2685="",AND(F2685="",G2685="")),"",SUMIF(基础资料!$W$5:$W$24,C2685,基础资料!$X$5:$X$24)+SUMIF(C$7:C2685,C2685,F$7:F2685)-SUMIF(C$7:C2685,C2685,G$7:G2685))</f>
      </c>
      <c r="I2685" s="145">
        <f>IF(AND(F2685="",G2685=""),"",SUM(基础资料!$X$5:$X$24)+SUM(F$7:F2685)-SUM(G$7:G2685))</f>
      </c>
      <c r="J2685" s="141" t="n"/>
      <c r="K2685" s="141" t="n"/>
      <c r="L2685" s="141" t="n"/>
      <c r="M2685" s="142" t="n"/>
      <c r="N2685" s="146">
        <f>IF(AND(AND(F2685="",G2685=""),B2685="",C2685="",D2685="",J2685="",K2685="",L2685=""),"",IF(AND(F2685="",G2685=""),"✗ 没填金额",IF(AND(N(F2685)&lt;&gt;0,N(G2685)&lt;&gt;0),"✗ 收入、支出只能填一边",IF(NOT(ISNUMBER(B2685)),"✗ 日期不是真日期（要像 2026/9/25 这样填）",IF(OR(B2685&lt;年初日,B2685&gt;年末日),"✗ 日期不在本会计年度",IF(C2685="","✗ 没选账户",IF(COUNTIF(基础资料!$W$5:$W$24,C2685)=0,"✗ 账户不在基础资料里",IF(O2685="","✗ 没选收支项目",IF(P2685="未知","✗ 收支项目不在基础资料里",IF(AND(P2685="应收",J2685=""),"✗ 这笔要选客户",IF(AND(P2685="应收",COUNTIF(总览汇总!$B$5:$B$304,J2685)=0),"✗ 客户不在总览汇总名单里",IF(AND(P2685="应付",K2685=""),"✗ 这笔要选供应商",IF(AND(P2685="应付",COUNTIF(基础资料!$Q$5:$Q$54,K2685)=0),"✗ 供应商不在基础资料里",IF(AND(P2685="费用",L2685=""),"✗ 费用支出要选费用项目",IF(AND(L2685&lt;&gt;"",COUNTIF(基础资料!$AI$5:$AI$54,L2685)=0),"✗ 费用项目不在基础资料里",IF(AND(IFERROR(INDEX(基础资料!$AD$5:$AD$34,MATCH(O2685,基础资料!$AC$5:$AC$34,0)),"")="收",N(G2685)&lt;&gt;0),"✗ 这类是收款，金额填到收入列",IF(AND(IFERROR(INDEX(基础资料!$AD$5:$AD$34,MATCH(O2685,基础资料!$AC$5:$AC$34,0)),"")="支",N(F2685)&lt;&gt;0),"✗ 这类是付款，金额填到支出列",IF(N(H2685)&lt;0,"⚠ 账户余额成负数了，核对一下","√"))))))))))))))))))</f>
      </c>
      <c r="O2685" s="78">
        <f>IF(D2685&lt;&gt;"",D2685,IF(AND(F2685="",G2685=""),"",IF(J2685&lt;&gt;"",IF(N(F2685)&gt;0,"客户回款","客户退款"),IF(K2685&lt;&gt;"",IF(N(G2685)&gt;0,"供应商付款","供应商退款"),IF(L2685&lt;&gt;"","费用支出","")))))</f>
      </c>
      <c r="P2685" s="78">
        <f>IF(O2685="","",IFERROR(INDEX(基础资料!$AE$5:$AE$34,MATCH(O2685,基础资料!$AC$5:$AC$34,0)),"未知"))</f>
      </c>
      <c r="Q2685" s="78">
        <f>IF(P2685="应收",COUNTIF(P$7:P2685,"应收"),"")</f>
      </c>
      <c r="R2685" s="78">
        <f>IF(P2685="应付",COUNTIF(P$7:P2685,"应付"),"")</f>
      </c>
      <c r="S2685" s="78">
        <f>N(F2685)-N(G2685)</f>
        <v>0</v>
      </c>
    </row>
    <row r="2686">
      <c r="A2686" s="109">
        <f>IF(AND(F2686="",G2686=""),"",ROW()-6)</f>
      </c>
      <c r="B2686" s="140" t="n"/>
      <c r="C2686" s="141" t="n"/>
      <c r="D2686" s="141" t="n"/>
      <c r="E2686" s="142" t="n"/>
      <c r="F2686" s="143" t="n"/>
      <c r="G2686" s="144" t="n"/>
      <c r="H2686" s="145">
        <f>IF(OR(C2686="",AND(F2686="",G2686="")),"",SUMIF(基础资料!$W$5:$W$24,C2686,基础资料!$X$5:$X$24)+SUMIF(C$7:C2686,C2686,F$7:F2686)-SUMIF(C$7:C2686,C2686,G$7:G2686))</f>
      </c>
      <c r="I2686" s="145">
        <f>IF(AND(F2686="",G2686=""),"",SUM(基础资料!$X$5:$X$24)+SUM(F$7:F2686)-SUM(G$7:G2686))</f>
      </c>
      <c r="J2686" s="141" t="n"/>
      <c r="K2686" s="141" t="n"/>
      <c r="L2686" s="141" t="n"/>
      <c r="M2686" s="142" t="n"/>
      <c r="N2686" s="146">
        <f>IF(AND(AND(F2686="",G2686=""),B2686="",C2686="",D2686="",J2686="",K2686="",L2686=""),"",IF(AND(F2686="",G2686=""),"✗ 没填金额",IF(AND(N(F2686)&lt;&gt;0,N(G2686)&lt;&gt;0),"✗ 收入、支出只能填一边",IF(NOT(ISNUMBER(B2686)),"✗ 日期不是真日期（要像 2026/9/25 这样填）",IF(OR(B2686&lt;年初日,B2686&gt;年末日),"✗ 日期不在本会计年度",IF(C2686="","✗ 没选账户",IF(COUNTIF(基础资料!$W$5:$W$24,C2686)=0,"✗ 账户不在基础资料里",IF(O2686="","✗ 没选收支项目",IF(P2686="未知","✗ 收支项目不在基础资料里",IF(AND(P2686="应收",J2686=""),"✗ 这笔要选客户",IF(AND(P2686="应收",COUNTIF(总览汇总!$B$5:$B$304,J2686)=0),"✗ 客户不在总览汇总名单里",IF(AND(P2686="应付",K2686=""),"✗ 这笔要选供应商",IF(AND(P2686="应付",COUNTIF(基础资料!$Q$5:$Q$54,K2686)=0),"✗ 供应商不在基础资料里",IF(AND(P2686="费用",L2686=""),"✗ 费用支出要选费用项目",IF(AND(L2686&lt;&gt;"",COUNTIF(基础资料!$AI$5:$AI$54,L2686)=0),"✗ 费用项目不在基础资料里",IF(AND(IFERROR(INDEX(基础资料!$AD$5:$AD$34,MATCH(O2686,基础资料!$AC$5:$AC$34,0)),"")="收",N(G2686)&lt;&gt;0),"✗ 这类是收款，金额填到收入列",IF(AND(IFERROR(INDEX(基础资料!$AD$5:$AD$34,MATCH(O2686,基础资料!$AC$5:$AC$34,0)),"")="支",N(F2686)&lt;&gt;0),"✗ 这类是付款，金额填到支出列",IF(N(H2686)&lt;0,"⚠ 账户余额成负数了，核对一下","√"))))))))))))))))))</f>
      </c>
      <c r="O2686" s="78">
        <f>IF(D2686&lt;&gt;"",D2686,IF(AND(F2686="",G2686=""),"",IF(J2686&lt;&gt;"",IF(N(F2686)&gt;0,"客户回款","客户退款"),IF(K2686&lt;&gt;"",IF(N(G2686)&gt;0,"供应商付款","供应商退款"),IF(L2686&lt;&gt;"","费用支出","")))))</f>
      </c>
      <c r="P2686" s="78">
        <f>IF(O2686="","",IFERROR(INDEX(基础资料!$AE$5:$AE$34,MATCH(O2686,基础资料!$AC$5:$AC$34,0)),"未知"))</f>
      </c>
      <c r="Q2686" s="78">
        <f>IF(P2686="应收",COUNTIF(P$7:P2686,"应收"),"")</f>
      </c>
      <c r="R2686" s="78">
        <f>IF(P2686="应付",COUNTIF(P$7:P2686,"应付"),"")</f>
      </c>
      <c r="S2686" s="78">
        <f>N(F2686)-N(G2686)</f>
        <v>0</v>
      </c>
    </row>
    <row r="2687">
      <c r="A2687" s="109">
        <f>IF(AND(F2687="",G2687=""),"",ROW()-6)</f>
      </c>
      <c r="B2687" s="140" t="n"/>
      <c r="C2687" s="141" t="n"/>
      <c r="D2687" s="141" t="n"/>
      <c r="E2687" s="142" t="n"/>
      <c r="F2687" s="143" t="n"/>
      <c r="G2687" s="144" t="n"/>
      <c r="H2687" s="145">
        <f>IF(OR(C2687="",AND(F2687="",G2687="")),"",SUMIF(基础资料!$W$5:$W$24,C2687,基础资料!$X$5:$X$24)+SUMIF(C$7:C2687,C2687,F$7:F2687)-SUMIF(C$7:C2687,C2687,G$7:G2687))</f>
      </c>
      <c r="I2687" s="145">
        <f>IF(AND(F2687="",G2687=""),"",SUM(基础资料!$X$5:$X$24)+SUM(F$7:F2687)-SUM(G$7:G2687))</f>
      </c>
      <c r="J2687" s="141" t="n"/>
      <c r="K2687" s="141" t="n"/>
      <c r="L2687" s="141" t="n"/>
      <c r="M2687" s="142" t="n"/>
      <c r="N2687" s="146">
        <f>IF(AND(AND(F2687="",G2687=""),B2687="",C2687="",D2687="",J2687="",K2687="",L2687=""),"",IF(AND(F2687="",G2687=""),"✗ 没填金额",IF(AND(N(F2687)&lt;&gt;0,N(G2687)&lt;&gt;0),"✗ 收入、支出只能填一边",IF(NOT(ISNUMBER(B2687)),"✗ 日期不是真日期（要像 2026/9/25 这样填）",IF(OR(B2687&lt;年初日,B2687&gt;年末日),"✗ 日期不在本会计年度",IF(C2687="","✗ 没选账户",IF(COUNTIF(基础资料!$W$5:$W$24,C2687)=0,"✗ 账户不在基础资料里",IF(O2687="","✗ 没选收支项目",IF(P2687="未知","✗ 收支项目不在基础资料里",IF(AND(P2687="应收",J2687=""),"✗ 这笔要选客户",IF(AND(P2687="应收",COUNTIF(总览汇总!$B$5:$B$304,J2687)=0),"✗ 客户不在总览汇总名单里",IF(AND(P2687="应付",K2687=""),"✗ 这笔要选供应商",IF(AND(P2687="应付",COUNTIF(基础资料!$Q$5:$Q$54,K2687)=0),"✗ 供应商不在基础资料里",IF(AND(P2687="费用",L2687=""),"✗ 费用支出要选费用项目",IF(AND(L2687&lt;&gt;"",COUNTIF(基础资料!$AI$5:$AI$54,L2687)=0),"✗ 费用项目不在基础资料里",IF(AND(IFERROR(INDEX(基础资料!$AD$5:$AD$34,MATCH(O2687,基础资料!$AC$5:$AC$34,0)),"")="收",N(G2687)&lt;&gt;0),"✗ 这类是收款，金额填到收入列",IF(AND(IFERROR(INDEX(基础资料!$AD$5:$AD$34,MATCH(O2687,基础资料!$AC$5:$AC$34,0)),"")="支",N(F2687)&lt;&gt;0),"✗ 这类是付款，金额填到支出列",IF(N(H2687)&lt;0,"⚠ 账户余额成负数了，核对一下","√"))))))))))))))))))</f>
      </c>
      <c r="O2687" s="78">
        <f>IF(D2687&lt;&gt;"",D2687,IF(AND(F2687="",G2687=""),"",IF(J2687&lt;&gt;"",IF(N(F2687)&gt;0,"客户回款","客户退款"),IF(K2687&lt;&gt;"",IF(N(G2687)&gt;0,"供应商付款","供应商退款"),IF(L2687&lt;&gt;"","费用支出","")))))</f>
      </c>
      <c r="P2687" s="78">
        <f>IF(O2687="","",IFERROR(INDEX(基础资料!$AE$5:$AE$34,MATCH(O2687,基础资料!$AC$5:$AC$34,0)),"未知"))</f>
      </c>
      <c r="Q2687" s="78">
        <f>IF(P2687="应收",COUNTIF(P$7:P2687,"应收"),"")</f>
      </c>
      <c r="R2687" s="78">
        <f>IF(P2687="应付",COUNTIF(P$7:P2687,"应付"),"")</f>
      </c>
      <c r="S2687" s="78">
        <f>N(F2687)-N(G2687)</f>
        <v>0</v>
      </c>
    </row>
    <row r="2688">
      <c r="A2688" s="109">
        <f>IF(AND(F2688="",G2688=""),"",ROW()-6)</f>
      </c>
      <c r="B2688" s="140" t="n"/>
      <c r="C2688" s="141" t="n"/>
      <c r="D2688" s="141" t="n"/>
      <c r="E2688" s="142" t="n"/>
      <c r="F2688" s="143" t="n"/>
      <c r="G2688" s="144" t="n"/>
      <c r="H2688" s="145">
        <f>IF(OR(C2688="",AND(F2688="",G2688="")),"",SUMIF(基础资料!$W$5:$W$24,C2688,基础资料!$X$5:$X$24)+SUMIF(C$7:C2688,C2688,F$7:F2688)-SUMIF(C$7:C2688,C2688,G$7:G2688))</f>
      </c>
      <c r="I2688" s="145">
        <f>IF(AND(F2688="",G2688=""),"",SUM(基础资料!$X$5:$X$24)+SUM(F$7:F2688)-SUM(G$7:G2688))</f>
      </c>
      <c r="J2688" s="141" t="n"/>
      <c r="K2688" s="141" t="n"/>
      <c r="L2688" s="141" t="n"/>
      <c r="M2688" s="142" t="n"/>
      <c r="N2688" s="146">
        <f>IF(AND(AND(F2688="",G2688=""),B2688="",C2688="",D2688="",J2688="",K2688="",L2688=""),"",IF(AND(F2688="",G2688=""),"✗ 没填金额",IF(AND(N(F2688)&lt;&gt;0,N(G2688)&lt;&gt;0),"✗ 收入、支出只能填一边",IF(NOT(ISNUMBER(B2688)),"✗ 日期不是真日期（要像 2026/9/25 这样填）",IF(OR(B2688&lt;年初日,B2688&gt;年末日),"✗ 日期不在本会计年度",IF(C2688="","✗ 没选账户",IF(COUNTIF(基础资料!$W$5:$W$24,C2688)=0,"✗ 账户不在基础资料里",IF(O2688="","✗ 没选收支项目",IF(P2688="未知","✗ 收支项目不在基础资料里",IF(AND(P2688="应收",J2688=""),"✗ 这笔要选客户",IF(AND(P2688="应收",COUNTIF(总览汇总!$B$5:$B$304,J2688)=0),"✗ 客户不在总览汇总名单里",IF(AND(P2688="应付",K2688=""),"✗ 这笔要选供应商",IF(AND(P2688="应付",COUNTIF(基础资料!$Q$5:$Q$54,K2688)=0),"✗ 供应商不在基础资料里",IF(AND(P2688="费用",L2688=""),"✗ 费用支出要选费用项目",IF(AND(L2688&lt;&gt;"",COUNTIF(基础资料!$AI$5:$AI$54,L2688)=0),"✗ 费用项目不在基础资料里",IF(AND(IFERROR(INDEX(基础资料!$AD$5:$AD$34,MATCH(O2688,基础资料!$AC$5:$AC$34,0)),"")="收",N(G2688)&lt;&gt;0),"✗ 这类是收款，金额填到收入列",IF(AND(IFERROR(INDEX(基础资料!$AD$5:$AD$34,MATCH(O2688,基础资料!$AC$5:$AC$34,0)),"")="支",N(F2688)&lt;&gt;0),"✗ 这类是付款，金额填到支出列",IF(N(H2688)&lt;0,"⚠ 账户余额成负数了，核对一下","√"))))))))))))))))))</f>
      </c>
      <c r="O2688" s="78">
        <f>IF(D2688&lt;&gt;"",D2688,IF(AND(F2688="",G2688=""),"",IF(J2688&lt;&gt;"",IF(N(F2688)&gt;0,"客户回款","客户退款"),IF(K2688&lt;&gt;"",IF(N(G2688)&gt;0,"供应商付款","供应商退款"),IF(L2688&lt;&gt;"","费用支出","")))))</f>
      </c>
      <c r="P2688" s="78">
        <f>IF(O2688="","",IFERROR(INDEX(基础资料!$AE$5:$AE$34,MATCH(O2688,基础资料!$AC$5:$AC$34,0)),"未知"))</f>
      </c>
      <c r="Q2688" s="78">
        <f>IF(P2688="应收",COUNTIF(P$7:P2688,"应收"),"")</f>
      </c>
      <c r="R2688" s="78">
        <f>IF(P2688="应付",COUNTIF(P$7:P2688,"应付"),"")</f>
      </c>
      <c r="S2688" s="78">
        <f>N(F2688)-N(G2688)</f>
        <v>0</v>
      </c>
    </row>
    <row r="2689">
      <c r="A2689" s="109">
        <f>IF(AND(F2689="",G2689=""),"",ROW()-6)</f>
      </c>
      <c r="B2689" s="140" t="n"/>
      <c r="C2689" s="141" t="n"/>
      <c r="D2689" s="141" t="n"/>
      <c r="E2689" s="142" t="n"/>
      <c r="F2689" s="143" t="n"/>
      <c r="G2689" s="144" t="n"/>
      <c r="H2689" s="145">
        <f>IF(OR(C2689="",AND(F2689="",G2689="")),"",SUMIF(基础资料!$W$5:$W$24,C2689,基础资料!$X$5:$X$24)+SUMIF(C$7:C2689,C2689,F$7:F2689)-SUMIF(C$7:C2689,C2689,G$7:G2689))</f>
      </c>
      <c r="I2689" s="145">
        <f>IF(AND(F2689="",G2689=""),"",SUM(基础资料!$X$5:$X$24)+SUM(F$7:F2689)-SUM(G$7:G2689))</f>
      </c>
      <c r="J2689" s="141" t="n"/>
      <c r="K2689" s="141" t="n"/>
      <c r="L2689" s="141" t="n"/>
      <c r="M2689" s="142" t="n"/>
      <c r="N2689" s="146">
        <f>IF(AND(AND(F2689="",G2689=""),B2689="",C2689="",D2689="",J2689="",K2689="",L2689=""),"",IF(AND(F2689="",G2689=""),"✗ 没填金额",IF(AND(N(F2689)&lt;&gt;0,N(G2689)&lt;&gt;0),"✗ 收入、支出只能填一边",IF(NOT(ISNUMBER(B2689)),"✗ 日期不是真日期（要像 2026/9/25 这样填）",IF(OR(B2689&lt;年初日,B2689&gt;年末日),"✗ 日期不在本会计年度",IF(C2689="","✗ 没选账户",IF(COUNTIF(基础资料!$W$5:$W$24,C2689)=0,"✗ 账户不在基础资料里",IF(O2689="","✗ 没选收支项目",IF(P2689="未知","✗ 收支项目不在基础资料里",IF(AND(P2689="应收",J2689=""),"✗ 这笔要选客户",IF(AND(P2689="应收",COUNTIF(总览汇总!$B$5:$B$304,J2689)=0),"✗ 客户不在总览汇总名单里",IF(AND(P2689="应付",K2689=""),"✗ 这笔要选供应商",IF(AND(P2689="应付",COUNTIF(基础资料!$Q$5:$Q$54,K2689)=0),"✗ 供应商不在基础资料里",IF(AND(P2689="费用",L2689=""),"✗ 费用支出要选费用项目",IF(AND(L2689&lt;&gt;"",COUNTIF(基础资料!$AI$5:$AI$54,L2689)=0),"✗ 费用项目不在基础资料里",IF(AND(IFERROR(INDEX(基础资料!$AD$5:$AD$34,MATCH(O2689,基础资料!$AC$5:$AC$34,0)),"")="收",N(G2689)&lt;&gt;0),"✗ 这类是收款，金额填到收入列",IF(AND(IFERROR(INDEX(基础资料!$AD$5:$AD$34,MATCH(O2689,基础资料!$AC$5:$AC$34,0)),"")="支",N(F2689)&lt;&gt;0),"✗ 这类是付款，金额填到支出列",IF(N(H2689)&lt;0,"⚠ 账户余额成负数了，核对一下","√"))))))))))))))))))</f>
      </c>
      <c r="O2689" s="78">
        <f>IF(D2689&lt;&gt;"",D2689,IF(AND(F2689="",G2689=""),"",IF(J2689&lt;&gt;"",IF(N(F2689)&gt;0,"客户回款","客户退款"),IF(K2689&lt;&gt;"",IF(N(G2689)&gt;0,"供应商付款","供应商退款"),IF(L2689&lt;&gt;"","费用支出","")))))</f>
      </c>
      <c r="P2689" s="78">
        <f>IF(O2689="","",IFERROR(INDEX(基础资料!$AE$5:$AE$34,MATCH(O2689,基础资料!$AC$5:$AC$34,0)),"未知"))</f>
      </c>
      <c r="Q2689" s="78">
        <f>IF(P2689="应收",COUNTIF(P$7:P2689,"应收"),"")</f>
      </c>
      <c r="R2689" s="78">
        <f>IF(P2689="应付",COUNTIF(P$7:P2689,"应付"),"")</f>
      </c>
      <c r="S2689" s="78">
        <f>N(F2689)-N(G2689)</f>
        <v>0</v>
      </c>
    </row>
    <row r="2690">
      <c r="A2690" s="109">
        <f>IF(AND(F2690="",G2690=""),"",ROW()-6)</f>
      </c>
      <c r="B2690" s="140" t="n"/>
      <c r="C2690" s="141" t="n"/>
      <c r="D2690" s="141" t="n"/>
      <c r="E2690" s="142" t="n"/>
      <c r="F2690" s="143" t="n"/>
      <c r="G2690" s="144" t="n"/>
      <c r="H2690" s="145">
        <f>IF(OR(C2690="",AND(F2690="",G2690="")),"",SUMIF(基础资料!$W$5:$W$24,C2690,基础资料!$X$5:$X$24)+SUMIF(C$7:C2690,C2690,F$7:F2690)-SUMIF(C$7:C2690,C2690,G$7:G2690))</f>
      </c>
      <c r="I2690" s="145">
        <f>IF(AND(F2690="",G2690=""),"",SUM(基础资料!$X$5:$X$24)+SUM(F$7:F2690)-SUM(G$7:G2690))</f>
      </c>
      <c r="J2690" s="141" t="n"/>
      <c r="K2690" s="141" t="n"/>
      <c r="L2690" s="141" t="n"/>
      <c r="M2690" s="142" t="n"/>
      <c r="N2690" s="146">
        <f>IF(AND(AND(F2690="",G2690=""),B2690="",C2690="",D2690="",J2690="",K2690="",L2690=""),"",IF(AND(F2690="",G2690=""),"✗ 没填金额",IF(AND(N(F2690)&lt;&gt;0,N(G2690)&lt;&gt;0),"✗ 收入、支出只能填一边",IF(NOT(ISNUMBER(B2690)),"✗ 日期不是真日期（要像 2026/9/25 这样填）",IF(OR(B2690&lt;年初日,B2690&gt;年末日),"✗ 日期不在本会计年度",IF(C2690="","✗ 没选账户",IF(COUNTIF(基础资料!$W$5:$W$24,C2690)=0,"✗ 账户不在基础资料里",IF(O2690="","✗ 没选收支项目",IF(P2690="未知","✗ 收支项目不在基础资料里",IF(AND(P2690="应收",J2690=""),"✗ 这笔要选客户",IF(AND(P2690="应收",COUNTIF(总览汇总!$B$5:$B$304,J2690)=0),"✗ 客户不在总览汇总名单里",IF(AND(P2690="应付",K2690=""),"✗ 这笔要选供应商",IF(AND(P2690="应付",COUNTIF(基础资料!$Q$5:$Q$54,K2690)=0),"✗ 供应商不在基础资料里",IF(AND(P2690="费用",L2690=""),"✗ 费用支出要选费用项目",IF(AND(L2690&lt;&gt;"",COUNTIF(基础资料!$AI$5:$AI$54,L2690)=0),"✗ 费用项目不在基础资料里",IF(AND(IFERROR(INDEX(基础资料!$AD$5:$AD$34,MATCH(O2690,基础资料!$AC$5:$AC$34,0)),"")="收",N(G2690)&lt;&gt;0),"✗ 这类是收款，金额填到收入列",IF(AND(IFERROR(INDEX(基础资料!$AD$5:$AD$34,MATCH(O2690,基础资料!$AC$5:$AC$34,0)),"")="支",N(F2690)&lt;&gt;0),"✗ 这类是付款，金额填到支出列",IF(N(H2690)&lt;0,"⚠ 账户余额成负数了，核对一下","√"))))))))))))))))))</f>
      </c>
      <c r="O2690" s="78">
        <f>IF(D2690&lt;&gt;"",D2690,IF(AND(F2690="",G2690=""),"",IF(J2690&lt;&gt;"",IF(N(F2690)&gt;0,"客户回款","客户退款"),IF(K2690&lt;&gt;"",IF(N(G2690)&gt;0,"供应商付款","供应商退款"),IF(L2690&lt;&gt;"","费用支出","")))))</f>
      </c>
      <c r="P2690" s="78">
        <f>IF(O2690="","",IFERROR(INDEX(基础资料!$AE$5:$AE$34,MATCH(O2690,基础资料!$AC$5:$AC$34,0)),"未知"))</f>
      </c>
      <c r="Q2690" s="78">
        <f>IF(P2690="应收",COUNTIF(P$7:P2690,"应收"),"")</f>
      </c>
      <c r="R2690" s="78">
        <f>IF(P2690="应付",COUNTIF(P$7:P2690,"应付"),"")</f>
      </c>
      <c r="S2690" s="78">
        <f>N(F2690)-N(G2690)</f>
        <v>0</v>
      </c>
    </row>
    <row r="2691">
      <c r="A2691" s="109">
        <f>IF(AND(F2691="",G2691=""),"",ROW()-6)</f>
      </c>
      <c r="B2691" s="140" t="n"/>
      <c r="C2691" s="141" t="n"/>
      <c r="D2691" s="141" t="n"/>
      <c r="E2691" s="142" t="n"/>
      <c r="F2691" s="143" t="n"/>
      <c r="G2691" s="144" t="n"/>
      <c r="H2691" s="145">
        <f>IF(OR(C2691="",AND(F2691="",G2691="")),"",SUMIF(基础资料!$W$5:$W$24,C2691,基础资料!$X$5:$X$24)+SUMIF(C$7:C2691,C2691,F$7:F2691)-SUMIF(C$7:C2691,C2691,G$7:G2691))</f>
      </c>
      <c r="I2691" s="145">
        <f>IF(AND(F2691="",G2691=""),"",SUM(基础资料!$X$5:$X$24)+SUM(F$7:F2691)-SUM(G$7:G2691))</f>
      </c>
      <c r="J2691" s="141" t="n"/>
      <c r="K2691" s="141" t="n"/>
      <c r="L2691" s="141" t="n"/>
      <c r="M2691" s="142" t="n"/>
      <c r="N2691" s="146">
        <f>IF(AND(AND(F2691="",G2691=""),B2691="",C2691="",D2691="",J2691="",K2691="",L2691=""),"",IF(AND(F2691="",G2691=""),"✗ 没填金额",IF(AND(N(F2691)&lt;&gt;0,N(G2691)&lt;&gt;0),"✗ 收入、支出只能填一边",IF(NOT(ISNUMBER(B2691)),"✗ 日期不是真日期（要像 2026/9/25 这样填）",IF(OR(B2691&lt;年初日,B2691&gt;年末日),"✗ 日期不在本会计年度",IF(C2691="","✗ 没选账户",IF(COUNTIF(基础资料!$W$5:$W$24,C2691)=0,"✗ 账户不在基础资料里",IF(O2691="","✗ 没选收支项目",IF(P2691="未知","✗ 收支项目不在基础资料里",IF(AND(P2691="应收",J2691=""),"✗ 这笔要选客户",IF(AND(P2691="应收",COUNTIF(总览汇总!$B$5:$B$304,J2691)=0),"✗ 客户不在总览汇总名单里",IF(AND(P2691="应付",K2691=""),"✗ 这笔要选供应商",IF(AND(P2691="应付",COUNTIF(基础资料!$Q$5:$Q$54,K2691)=0),"✗ 供应商不在基础资料里",IF(AND(P2691="费用",L2691=""),"✗ 费用支出要选费用项目",IF(AND(L2691&lt;&gt;"",COUNTIF(基础资料!$AI$5:$AI$54,L2691)=0),"✗ 费用项目不在基础资料里",IF(AND(IFERROR(INDEX(基础资料!$AD$5:$AD$34,MATCH(O2691,基础资料!$AC$5:$AC$34,0)),"")="收",N(G2691)&lt;&gt;0),"✗ 这类是收款，金额填到收入列",IF(AND(IFERROR(INDEX(基础资料!$AD$5:$AD$34,MATCH(O2691,基础资料!$AC$5:$AC$34,0)),"")="支",N(F2691)&lt;&gt;0),"✗ 这类是付款，金额填到支出列",IF(N(H2691)&lt;0,"⚠ 账户余额成负数了，核对一下","√"))))))))))))))))))</f>
      </c>
      <c r="O2691" s="78">
        <f>IF(D2691&lt;&gt;"",D2691,IF(AND(F2691="",G2691=""),"",IF(J2691&lt;&gt;"",IF(N(F2691)&gt;0,"客户回款","客户退款"),IF(K2691&lt;&gt;"",IF(N(G2691)&gt;0,"供应商付款","供应商退款"),IF(L2691&lt;&gt;"","费用支出","")))))</f>
      </c>
      <c r="P2691" s="78">
        <f>IF(O2691="","",IFERROR(INDEX(基础资料!$AE$5:$AE$34,MATCH(O2691,基础资料!$AC$5:$AC$34,0)),"未知"))</f>
      </c>
      <c r="Q2691" s="78">
        <f>IF(P2691="应收",COUNTIF(P$7:P2691,"应收"),"")</f>
      </c>
      <c r="R2691" s="78">
        <f>IF(P2691="应付",COUNTIF(P$7:P2691,"应付"),"")</f>
      </c>
      <c r="S2691" s="78">
        <f>N(F2691)-N(G2691)</f>
        <v>0</v>
      </c>
    </row>
    <row r="2692">
      <c r="A2692" s="109">
        <f>IF(AND(F2692="",G2692=""),"",ROW()-6)</f>
      </c>
      <c r="B2692" s="140" t="n"/>
      <c r="C2692" s="141" t="n"/>
      <c r="D2692" s="141" t="n"/>
      <c r="E2692" s="142" t="n"/>
      <c r="F2692" s="143" t="n"/>
      <c r="G2692" s="144" t="n"/>
      <c r="H2692" s="145">
        <f>IF(OR(C2692="",AND(F2692="",G2692="")),"",SUMIF(基础资料!$W$5:$W$24,C2692,基础资料!$X$5:$X$24)+SUMIF(C$7:C2692,C2692,F$7:F2692)-SUMIF(C$7:C2692,C2692,G$7:G2692))</f>
      </c>
      <c r="I2692" s="145">
        <f>IF(AND(F2692="",G2692=""),"",SUM(基础资料!$X$5:$X$24)+SUM(F$7:F2692)-SUM(G$7:G2692))</f>
      </c>
      <c r="J2692" s="141" t="n"/>
      <c r="K2692" s="141" t="n"/>
      <c r="L2692" s="141" t="n"/>
      <c r="M2692" s="142" t="n"/>
      <c r="N2692" s="146">
        <f>IF(AND(AND(F2692="",G2692=""),B2692="",C2692="",D2692="",J2692="",K2692="",L2692=""),"",IF(AND(F2692="",G2692=""),"✗ 没填金额",IF(AND(N(F2692)&lt;&gt;0,N(G2692)&lt;&gt;0),"✗ 收入、支出只能填一边",IF(NOT(ISNUMBER(B2692)),"✗ 日期不是真日期（要像 2026/9/25 这样填）",IF(OR(B2692&lt;年初日,B2692&gt;年末日),"✗ 日期不在本会计年度",IF(C2692="","✗ 没选账户",IF(COUNTIF(基础资料!$W$5:$W$24,C2692)=0,"✗ 账户不在基础资料里",IF(O2692="","✗ 没选收支项目",IF(P2692="未知","✗ 收支项目不在基础资料里",IF(AND(P2692="应收",J2692=""),"✗ 这笔要选客户",IF(AND(P2692="应收",COUNTIF(总览汇总!$B$5:$B$304,J2692)=0),"✗ 客户不在总览汇总名单里",IF(AND(P2692="应付",K2692=""),"✗ 这笔要选供应商",IF(AND(P2692="应付",COUNTIF(基础资料!$Q$5:$Q$54,K2692)=0),"✗ 供应商不在基础资料里",IF(AND(P2692="费用",L2692=""),"✗ 费用支出要选费用项目",IF(AND(L2692&lt;&gt;"",COUNTIF(基础资料!$AI$5:$AI$54,L2692)=0),"✗ 费用项目不在基础资料里",IF(AND(IFERROR(INDEX(基础资料!$AD$5:$AD$34,MATCH(O2692,基础资料!$AC$5:$AC$34,0)),"")="收",N(G2692)&lt;&gt;0),"✗ 这类是收款，金额填到收入列",IF(AND(IFERROR(INDEX(基础资料!$AD$5:$AD$34,MATCH(O2692,基础资料!$AC$5:$AC$34,0)),"")="支",N(F2692)&lt;&gt;0),"✗ 这类是付款，金额填到支出列",IF(N(H2692)&lt;0,"⚠ 账户余额成负数了，核对一下","√"))))))))))))))))))</f>
      </c>
      <c r="O2692" s="78">
        <f>IF(D2692&lt;&gt;"",D2692,IF(AND(F2692="",G2692=""),"",IF(J2692&lt;&gt;"",IF(N(F2692)&gt;0,"客户回款","客户退款"),IF(K2692&lt;&gt;"",IF(N(G2692)&gt;0,"供应商付款","供应商退款"),IF(L2692&lt;&gt;"","费用支出","")))))</f>
      </c>
      <c r="P2692" s="78">
        <f>IF(O2692="","",IFERROR(INDEX(基础资料!$AE$5:$AE$34,MATCH(O2692,基础资料!$AC$5:$AC$34,0)),"未知"))</f>
      </c>
      <c r="Q2692" s="78">
        <f>IF(P2692="应收",COUNTIF(P$7:P2692,"应收"),"")</f>
      </c>
      <c r="R2692" s="78">
        <f>IF(P2692="应付",COUNTIF(P$7:P2692,"应付"),"")</f>
      </c>
      <c r="S2692" s="78">
        <f>N(F2692)-N(G2692)</f>
        <v>0</v>
      </c>
    </row>
    <row r="2693">
      <c r="A2693" s="109">
        <f>IF(AND(F2693="",G2693=""),"",ROW()-6)</f>
      </c>
      <c r="B2693" s="140" t="n"/>
      <c r="C2693" s="141" t="n"/>
      <c r="D2693" s="141" t="n"/>
      <c r="E2693" s="142" t="n"/>
      <c r="F2693" s="143" t="n"/>
      <c r="G2693" s="144" t="n"/>
      <c r="H2693" s="145">
        <f>IF(OR(C2693="",AND(F2693="",G2693="")),"",SUMIF(基础资料!$W$5:$W$24,C2693,基础资料!$X$5:$X$24)+SUMIF(C$7:C2693,C2693,F$7:F2693)-SUMIF(C$7:C2693,C2693,G$7:G2693))</f>
      </c>
      <c r="I2693" s="145">
        <f>IF(AND(F2693="",G2693=""),"",SUM(基础资料!$X$5:$X$24)+SUM(F$7:F2693)-SUM(G$7:G2693))</f>
      </c>
      <c r="J2693" s="141" t="n"/>
      <c r="K2693" s="141" t="n"/>
      <c r="L2693" s="141" t="n"/>
      <c r="M2693" s="142" t="n"/>
      <c r="N2693" s="146">
        <f>IF(AND(AND(F2693="",G2693=""),B2693="",C2693="",D2693="",J2693="",K2693="",L2693=""),"",IF(AND(F2693="",G2693=""),"✗ 没填金额",IF(AND(N(F2693)&lt;&gt;0,N(G2693)&lt;&gt;0),"✗ 收入、支出只能填一边",IF(NOT(ISNUMBER(B2693)),"✗ 日期不是真日期（要像 2026/9/25 这样填）",IF(OR(B2693&lt;年初日,B2693&gt;年末日),"✗ 日期不在本会计年度",IF(C2693="","✗ 没选账户",IF(COUNTIF(基础资料!$W$5:$W$24,C2693)=0,"✗ 账户不在基础资料里",IF(O2693="","✗ 没选收支项目",IF(P2693="未知","✗ 收支项目不在基础资料里",IF(AND(P2693="应收",J2693=""),"✗ 这笔要选客户",IF(AND(P2693="应收",COUNTIF(总览汇总!$B$5:$B$304,J2693)=0),"✗ 客户不在总览汇总名单里",IF(AND(P2693="应付",K2693=""),"✗ 这笔要选供应商",IF(AND(P2693="应付",COUNTIF(基础资料!$Q$5:$Q$54,K2693)=0),"✗ 供应商不在基础资料里",IF(AND(P2693="费用",L2693=""),"✗ 费用支出要选费用项目",IF(AND(L2693&lt;&gt;"",COUNTIF(基础资料!$AI$5:$AI$54,L2693)=0),"✗ 费用项目不在基础资料里",IF(AND(IFERROR(INDEX(基础资料!$AD$5:$AD$34,MATCH(O2693,基础资料!$AC$5:$AC$34,0)),"")="收",N(G2693)&lt;&gt;0),"✗ 这类是收款，金额填到收入列",IF(AND(IFERROR(INDEX(基础资料!$AD$5:$AD$34,MATCH(O2693,基础资料!$AC$5:$AC$34,0)),"")="支",N(F2693)&lt;&gt;0),"✗ 这类是付款，金额填到支出列",IF(N(H2693)&lt;0,"⚠ 账户余额成负数了，核对一下","√"))))))))))))))))))</f>
      </c>
      <c r="O2693" s="78">
        <f>IF(D2693&lt;&gt;"",D2693,IF(AND(F2693="",G2693=""),"",IF(J2693&lt;&gt;"",IF(N(F2693)&gt;0,"客户回款","客户退款"),IF(K2693&lt;&gt;"",IF(N(G2693)&gt;0,"供应商付款","供应商退款"),IF(L2693&lt;&gt;"","费用支出","")))))</f>
      </c>
      <c r="P2693" s="78">
        <f>IF(O2693="","",IFERROR(INDEX(基础资料!$AE$5:$AE$34,MATCH(O2693,基础资料!$AC$5:$AC$34,0)),"未知"))</f>
      </c>
      <c r="Q2693" s="78">
        <f>IF(P2693="应收",COUNTIF(P$7:P2693,"应收"),"")</f>
      </c>
      <c r="R2693" s="78">
        <f>IF(P2693="应付",COUNTIF(P$7:P2693,"应付"),"")</f>
      </c>
      <c r="S2693" s="78">
        <f>N(F2693)-N(G2693)</f>
        <v>0</v>
      </c>
    </row>
    <row r="2694">
      <c r="A2694" s="109">
        <f>IF(AND(F2694="",G2694=""),"",ROW()-6)</f>
      </c>
      <c r="B2694" s="140" t="n"/>
      <c r="C2694" s="141" t="n"/>
      <c r="D2694" s="141" t="n"/>
      <c r="E2694" s="142" t="n"/>
      <c r="F2694" s="143" t="n"/>
      <c r="G2694" s="144" t="n"/>
      <c r="H2694" s="145">
        <f>IF(OR(C2694="",AND(F2694="",G2694="")),"",SUMIF(基础资料!$W$5:$W$24,C2694,基础资料!$X$5:$X$24)+SUMIF(C$7:C2694,C2694,F$7:F2694)-SUMIF(C$7:C2694,C2694,G$7:G2694))</f>
      </c>
      <c r="I2694" s="145">
        <f>IF(AND(F2694="",G2694=""),"",SUM(基础资料!$X$5:$X$24)+SUM(F$7:F2694)-SUM(G$7:G2694))</f>
      </c>
      <c r="J2694" s="141" t="n"/>
      <c r="K2694" s="141" t="n"/>
      <c r="L2694" s="141" t="n"/>
      <c r="M2694" s="142" t="n"/>
      <c r="N2694" s="146">
        <f>IF(AND(AND(F2694="",G2694=""),B2694="",C2694="",D2694="",J2694="",K2694="",L2694=""),"",IF(AND(F2694="",G2694=""),"✗ 没填金额",IF(AND(N(F2694)&lt;&gt;0,N(G2694)&lt;&gt;0),"✗ 收入、支出只能填一边",IF(NOT(ISNUMBER(B2694)),"✗ 日期不是真日期（要像 2026/9/25 这样填）",IF(OR(B2694&lt;年初日,B2694&gt;年末日),"✗ 日期不在本会计年度",IF(C2694="","✗ 没选账户",IF(COUNTIF(基础资料!$W$5:$W$24,C2694)=0,"✗ 账户不在基础资料里",IF(O2694="","✗ 没选收支项目",IF(P2694="未知","✗ 收支项目不在基础资料里",IF(AND(P2694="应收",J2694=""),"✗ 这笔要选客户",IF(AND(P2694="应收",COUNTIF(总览汇总!$B$5:$B$304,J2694)=0),"✗ 客户不在总览汇总名单里",IF(AND(P2694="应付",K2694=""),"✗ 这笔要选供应商",IF(AND(P2694="应付",COUNTIF(基础资料!$Q$5:$Q$54,K2694)=0),"✗ 供应商不在基础资料里",IF(AND(P2694="费用",L2694=""),"✗ 费用支出要选费用项目",IF(AND(L2694&lt;&gt;"",COUNTIF(基础资料!$AI$5:$AI$54,L2694)=0),"✗ 费用项目不在基础资料里",IF(AND(IFERROR(INDEX(基础资料!$AD$5:$AD$34,MATCH(O2694,基础资料!$AC$5:$AC$34,0)),"")="收",N(G2694)&lt;&gt;0),"✗ 这类是收款，金额填到收入列",IF(AND(IFERROR(INDEX(基础资料!$AD$5:$AD$34,MATCH(O2694,基础资料!$AC$5:$AC$34,0)),"")="支",N(F2694)&lt;&gt;0),"✗ 这类是付款，金额填到支出列",IF(N(H2694)&lt;0,"⚠ 账户余额成负数了，核对一下","√"))))))))))))))))))</f>
      </c>
      <c r="O2694" s="78">
        <f>IF(D2694&lt;&gt;"",D2694,IF(AND(F2694="",G2694=""),"",IF(J2694&lt;&gt;"",IF(N(F2694)&gt;0,"客户回款","客户退款"),IF(K2694&lt;&gt;"",IF(N(G2694)&gt;0,"供应商付款","供应商退款"),IF(L2694&lt;&gt;"","费用支出","")))))</f>
      </c>
      <c r="P2694" s="78">
        <f>IF(O2694="","",IFERROR(INDEX(基础资料!$AE$5:$AE$34,MATCH(O2694,基础资料!$AC$5:$AC$34,0)),"未知"))</f>
      </c>
      <c r="Q2694" s="78">
        <f>IF(P2694="应收",COUNTIF(P$7:P2694,"应收"),"")</f>
      </c>
      <c r="R2694" s="78">
        <f>IF(P2694="应付",COUNTIF(P$7:P2694,"应付"),"")</f>
      </c>
      <c r="S2694" s="78">
        <f>N(F2694)-N(G2694)</f>
        <v>0</v>
      </c>
    </row>
    <row r="2695">
      <c r="A2695" s="109">
        <f>IF(AND(F2695="",G2695=""),"",ROW()-6)</f>
      </c>
      <c r="B2695" s="140" t="n"/>
      <c r="C2695" s="141" t="n"/>
      <c r="D2695" s="141" t="n"/>
      <c r="E2695" s="142" t="n"/>
      <c r="F2695" s="143" t="n"/>
      <c r="G2695" s="144" t="n"/>
      <c r="H2695" s="145">
        <f>IF(OR(C2695="",AND(F2695="",G2695="")),"",SUMIF(基础资料!$W$5:$W$24,C2695,基础资料!$X$5:$X$24)+SUMIF(C$7:C2695,C2695,F$7:F2695)-SUMIF(C$7:C2695,C2695,G$7:G2695))</f>
      </c>
      <c r="I2695" s="145">
        <f>IF(AND(F2695="",G2695=""),"",SUM(基础资料!$X$5:$X$24)+SUM(F$7:F2695)-SUM(G$7:G2695))</f>
      </c>
      <c r="J2695" s="141" t="n"/>
      <c r="K2695" s="141" t="n"/>
      <c r="L2695" s="141" t="n"/>
      <c r="M2695" s="142" t="n"/>
      <c r="N2695" s="146">
        <f>IF(AND(AND(F2695="",G2695=""),B2695="",C2695="",D2695="",J2695="",K2695="",L2695=""),"",IF(AND(F2695="",G2695=""),"✗ 没填金额",IF(AND(N(F2695)&lt;&gt;0,N(G2695)&lt;&gt;0),"✗ 收入、支出只能填一边",IF(NOT(ISNUMBER(B2695)),"✗ 日期不是真日期（要像 2026/9/25 这样填）",IF(OR(B2695&lt;年初日,B2695&gt;年末日),"✗ 日期不在本会计年度",IF(C2695="","✗ 没选账户",IF(COUNTIF(基础资料!$W$5:$W$24,C2695)=0,"✗ 账户不在基础资料里",IF(O2695="","✗ 没选收支项目",IF(P2695="未知","✗ 收支项目不在基础资料里",IF(AND(P2695="应收",J2695=""),"✗ 这笔要选客户",IF(AND(P2695="应收",COUNTIF(总览汇总!$B$5:$B$304,J2695)=0),"✗ 客户不在总览汇总名单里",IF(AND(P2695="应付",K2695=""),"✗ 这笔要选供应商",IF(AND(P2695="应付",COUNTIF(基础资料!$Q$5:$Q$54,K2695)=0),"✗ 供应商不在基础资料里",IF(AND(P2695="费用",L2695=""),"✗ 费用支出要选费用项目",IF(AND(L2695&lt;&gt;"",COUNTIF(基础资料!$AI$5:$AI$54,L2695)=0),"✗ 费用项目不在基础资料里",IF(AND(IFERROR(INDEX(基础资料!$AD$5:$AD$34,MATCH(O2695,基础资料!$AC$5:$AC$34,0)),"")="收",N(G2695)&lt;&gt;0),"✗ 这类是收款，金额填到收入列",IF(AND(IFERROR(INDEX(基础资料!$AD$5:$AD$34,MATCH(O2695,基础资料!$AC$5:$AC$34,0)),"")="支",N(F2695)&lt;&gt;0),"✗ 这类是付款，金额填到支出列",IF(N(H2695)&lt;0,"⚠ 账户余额成负数了，核对一下","√"))))))))))))))))))</f>
      </c>
      <c r="O2695" s="78">
        <f>IF(D2695&lt;&gt;"",D2695,IF(AND(F2695="",G2695=""),"",IF(J2695&lt;&gt;"",IF(N(F2695)&gt;0,"客户回款","客户退款"),IF(K2695&lt;&gt;"",IF(N(G2695)&gt;0,"供应商付款","供应商退款"),IF(L2695&lt;&gt;"","费用支出","")))))</f>
      </c>
      <c r="P2695" s="78">
        <f>IF(O2695="","",IFERROR(INDEX(基础资料!$AE$5:$AE$34,MATCH(O2695,基础资料!$AC$5:$AC$34,0)),"未知"))</f>
      </c>
      <c r="Q2695" s="78">
        <f>IF(P2695="应收",COUNTIF(P$7:P2695,"应收"),"")</f>
      </c>
      <c r="R2695" s="78">
        <f>IF(P2695="应付",COUNTIF(P$7:P2695,"应付"),"")</f>
      </c>
      <c r="S2695" s="78">
        <f>N(F2695)-N(G2695)</f>
        <v>0</v>
      </c>
    </row>
    <row r="2696">
      <c r="A2696" s="109">
        <f>IF(AND(F2696="",G2696=""),"",ROW()-6)</f>
      </c>
      <c r="B2696" s="140" t="n"/>
      <c r="C2696" s="141" t="n"/>
      <c r="D2696" s="141" t="n"/>
      <c r="E2696" s="142" t="n"/>
      <c r="F2696" s="143" t="n"/>
      <c r="G2696" s="144" t="n"/>
      <c r="H2696" s="145">
        <f>IF(OR(C2696="",AND(F2696="",G2696="")),"",SUMIF(基础资料!$W$5:$W$24,C2696,基础资料!$X$5:$X$24)+SUMIF(C$7:C2696,C2696,F$7:F2696)-SUMIF(C$7:C2696,C2696,G$7:G2696))</f>
      </c>
      <c r="I2696" s="145">
        <f>IF(AND(F2696="",G2696=""),"",SUM(基础资料!$X$5:$X$24)+SUM(F$7:F2696)-SUM(G$7:G2696))</f>
      </c>
      <c r="J2696" s="141" t="n"/>
      <c r="K2696" s="141" t="n"/>
      <c r="L2696" s="141" t="n"/>
      <c r="M2696" s="142" t="n"/>
      <c r="N2696" s="146">
        <f>IF(AND(AND(F2696="",G2696=""),B2696="",C2696="",D2696="",J2696="",K2696="",L2696=""),"",IF(AND(F2696="",G2696=""),"✗ 没填金额",IF(AND(N(F2696)&lt;&gt;0,N(G2696)&lt;&gt;0),"✗ 收入、支出只能填一边",IF(NOT(ISNUMBER(B2696)),"✗ 日期不是真日期（要像 2026/9/25 这样填）",IF(OR(B2696&lt;年初日,B2696&gt;年末日),"✗ 日期不在本会计年度",IF(C2696="","✗ 没选账户",IF(COUNTIF(基础资料!$W$5:$W$24,C2696)=0,"✗ 账户不在基础资料里",IF(O2696="","✗ 没选收支项目",IF(P2696="未知","✗ 收支项目不在基础资料里",IF(AND(P2696="应收",J2696=""),"✗ 这笔要选客户",IF(AND(P2696="应收",COUNTIF(总览汇总!$B$5:$B$304,J2696)=0),"✗ 客户不在总览汇总名单里",IF(AND(P2696="应付",K2696=""),"✗ 这笔要选供应商",IF(AND(P2696="应付",COUNTIF(基础资料!$Q$5:$Q$54,K2696)=0),"✗ 供应商不在基础资料里",IF(AND(P2696="费用",L2696=""),"✗ 费用支出要选费用项目",IF(AND(L2696&lt;&gt;"",COUNTIF(基础资料!$AI$5:$AI$54,L2696)=0),"✗ 费用项目不在基础资料里",IF(AND(IFERROR(INDEX(基础资料!$AD$5:$AD$34,MATCH(O2696,基础资料!$AC$5:$AC$34,0)),"")="收",N(G2696)&lt;&gt;0),"✗ 这类是收款，金额填到收入列",IF(AND(IFERROR(INDEX(基础资料!$AD$5:$AD$34,MATCH(O2696,基础资料!$AC$5:$AC$34,0)),"")="支",N(F2696)&lt;&gt;0),"✗ 这类是付款，金额填到支出列",IF(N(H2696)&lt;0,"⚠ 账户余额成负数了，核对一下","√"))))))))))))))))))</f>
      </c>
      <c r="O2696" s="78">
        <f>IF(D2696&lt;&gt;"",D2696,IF(AND(F2696="",G2696=""),"",IF(J2696&lt;&gt;"",IF(N(F2696)&gt;0,"客户回款","客户退款"),IF(K2696&lt;&gt;"",IF(N(G2696)&gt;0,"供应商付款","供应商退款"),IF(L2696&lt;&gt;"","费用支出","")))))</f>
      </c>
      <c r="P2696" s="78">
        <f>IF(O2696="","",IFERROR(INDEX(基础资料!$AE$5:$AE$34,MATCH(O2696,基础资料!$AC$5:$AC$34,0)),"未知"))</f>
      </c>
      <c r="Q2696" s="78">
        <f>IF(P2696="应收",COUNTIF(P$7:P2696,"应收"),"")</f>
      </c>
      <c r="R2696" s="78">
        <f>IF(P2696="应付",COUNTIF(P$7:P2696,"应付"),"")</f>
      </c>
      <c r="S2696" s="78">
        <f>N(F2696)-N(G2696)</f>
        <v>0</v>
      </c>
    </row>
    <row r="2697">
      <c r="A2697" s="109">
        <f>IF(AND(F2697="",G2697=""),"",ROW()-6)</f>
      </c>
      <c r="B2697" s="140" t="n"/>
      <c r="C2697" s="141" t="n"/>
      <c r="D2697" s="141" t="n"/>
      <c r="E2697" s="142" t="n"/>
      <c r="F2697" s="143" t="n"/>
      <c r="G2697" s="144" t="n"/>
      <c r="H2697" s="145">
        <f>IF(OR(C2697="",AND(F2697="",G2697="")),"",SUMIF(基础资料!$W$5:$W$24,C2697,基础资料!$X$5:$X$24)+SUMIF(C$7:C2697,C2697,F$7:F2697)-SUMIF(C$7:C2697,C2697,G$7:G2697))</f>
      </c>
      <c r="I2697" s="145">
        <f>IF(AND(F2697="",G2697=""),"",SUM(基础资料!$X$5:$X$24)+SUM(F$7:F2697)-SUM(G$7:G2697))</f>
      </c>
      <c r="J2697" s="141" t="n"/>
      <c r="K2697" s="141" t="n"/>
      <c r="L2697" s="141" t="n"/>
      <c r="M2697" s="142" t="n"/>
      <c r="N2697" s="146">
        <f>IF(AND(AND(F2697="",G2697=""),B2697="",C2697="",D2697="",J2697="",K2697="",L2697=""),"",IF(AND(F2697="",G2697=""),"✗ 没填金额",IF(AND(N(F2697)&lt;&gt;0,N(G2697)&lt;&gt;0),"✗ 收入、支出只能填一边",IF(NOT(ISNUMBER(B2697)),"✗ 日期不是真日期（要像 2026/9/25 这样填）",IF(OR(B2697&lt;年初日,B2697&gt;年末日),"✗ 日期不在本会计年度",IF(C2697="","✗ 没选账户",IF(COUNTIF(基础资料!$W$5:$W$24,C2697)=0,"✗ 账户不在基础资料里",IF(O2697="","✗ 没选收支项目",IF(P2697="未知","✗ 收支项目不在基础资料里",IF(AND(P2697="应收",J2697=""),"✗ 这笔要选客户",IF(AND(P2697="应收",COUNTIF(总览汇总!$B$5:$B$304,J2697)=0),"✗ 客户不在总览汇总名单里",IF(AND(P2697="应付",K2697=""),"✗ 这笔要选供应商",IF(AND(P2697="应付",COUNTIF(基础资料!$Q$5:$Q$54,K2697)=0),"✗ 供应商不在基础资料里",IF(AND(P2697="费用",L2697=""),"✗ 费用支出要选费用项目",IF(AND(L2697&lt;&gt;"",COUNTIF(基础资料!$AI$5:$AI$54,L2697)=0),"✗ 费用项目不在基础资料里",IF(AND(IFERROR(INDEX(基础资料!$AD$5:$AD$34,MATCH(O2697,基础资料!$AC$5:$AC$34,0)),"")="收",N(G2697)&lt;&gt;0),"✗ 这类是收款，金额填到收入列",IF(AND(IFERROR(INDEX(基础资料!$AD$5:$AD$34,MATCH(O2697,基础资料!$AC$5:$AC$34,0)),"")="支",N(F2697)&lt;&gt;0),"✗ 这类是付款，金额填到支出列",IF(N(H2697)&lt;0,"⚠ 账户余额成负数了，核对一下","√"))))))))))))))))))</f>
      </c>
      <c r="O2697" s="78">
        <f>IF(D2697&lt;&gt;"",D2697,IF(AND(F2697="",G2697=""),"",IF(J2697&lt;&gt;"",IF(N(F2697)&gt;0,"客户回款","客户退款"),IF(K2697&lt;&gt;"",IF(N(G2697)&gt;0,"供应商付款","供应商退款"),IF(L2697&lt;&gt;"","费用支出","")))))</f>
      </c>
      <c r="P2697" s="78">
        <f>IF(O2697="","",IFERROR(INDEX(基础资料!$AE$5:$AE$34,MATCH(O2697,基础资料!$AC$5:$AC$34,0)),"未知"))</f>
      </c>
      <c r="Q2697" s="78">
        <f>IF(P2697="应收",COUNTIF(P$7:P2697,"应收"),"")</f>
      </c>
      <c r="R2697" s="78">
        <f>IF(P2697="应付",COUNTIF(P$7:P2697,"应付"),"")</f>
      </c>
      <c r="S2697" s="78">
        <f>N(F2697)-N(G2697)</f>
        <v>0</v>
      </c>
    </row>
    <row r="2698">
      <c r="A2698" s="109">
        <f>IF(AND(F2698="",G2698=""),"",ROW()-6)</f>
      </c>
      <c r="B2698" s="140" t="n"/>
      <c r="C2698" s="141" t="n"/>
      <c r="D2698" s="141" t="n"/>
      <c r="E2698" s="142" t="n"/>
      <c r="F2698" s="143" t="n"/>
      <c r="G2698" s="144" t="n"/>
      <c r="H2698" s="145">
        <f>IF(OR(C2698="",AND(F2698="",G2698="")),"",SUMIF(基础资料!$W$5:$W$24,C2698,基础资料!$X$5:$X$24)+SUMIF(C$7:C2698,C2698,F$7:F2698)-SUMIF(C$7:C2698,C2698,G$7:G2698))</f>
      </c>
      <c r="I2698" s="145">
        <f>IF(AND(F2698="",G2698=""),"",SUM(基础资料!$X$5:$X$24)+SUM(F$7:F2698)-SUM(G$7:G2698))</f>
      </c>
      <c r="J2698" s="141" t="n"/>
      <c r="K2698" s="141" t="n"/>
      <c r="L2698" s="141" t="n"/>
      <c r="M2698" s="142" t="n"/>
      <c r="N2698" s="146">
        <f>IF(AND(AND(F2698="",G2698=""),B2698="",C2698="",D2698="",J2698="",K2698="",L2698=""),"",IF(AND(F2698="",G2698=""),"✗ 没填金额",IF(AND(N(F2698)&lt;&gt;0,N(G2698)&lt;&gt;0),"✗ 收入、支出只能填一边",IF(NOT(ISNUMBER(B2698)),"✗ 日期不是真日期（要像 2026/9/25 这样填）",IF(OR(B2698&lt;年初日,B2698&gt;年末日),"✗ 日期不在本会计年度",IF(C2698="","✗ 没选账户",IF(COUNTIF(基础资料!$W$5:$W$24,C2698)=0,"✗ 账户不在基础资料里",IF(O2698="","✗ 没选收支项目",IF(P2698="未知","✗ 收支项目不在基础资料里",IF(AND(P2698="应收",J2698=""),"✗ 这笔要选客户",IF(AND(P2698="应收",COUNTIF(总览汇总!$B$5:$B$304,J2698)=0),"✗ 客户不在总览汇总名单里",IF(AND(P2698="应付",K2698=""),"✗ 这笔要选供应商",IF(AND(P2698="应付",COUNTIF(基础资料!$Q$5:$Q$54,K2698)=0),"✗ 供应商不在基础资料里",IF(AND(P2698="费用",L2698=""),"✗ 费用支出要选费用项目",IF(AND(L2698&lt;&gt;"",COUNTIF(基础资料!$AI$5:$AI$54,L2698)=0),"✗ 费用项目不在基础资料里",IF(AND(IFERROR(INDEX(基础资料!$AD$5:$AD$34,MATCH(O2698,基础资料!$AC$5:$AC$34,0)),"")="收",N(G2698)&lt;&gt;0),"✗ 这类是收款，金额填到收入列",IF(AND(IFERROR(INDEX(基础资料!$AD$5:$AD$34,MATCH(O2698,基础资料!$AC$5:$AC$34,0)),"")="支",N(F2698)&lt;&gt;0),"✗ 这类是付款，金额填到支出列",IF(N(H2698)&lt;0,"⚠ 账户余额成负数了，核对一下","√"))))))))))))))))))</f>
      </c>
      <c r="O2698" s="78">
        <f>IF(D2698&lt;&gt;"",D2698,IF(AND(F2698="",G2698=""),"",IF(J2698&lt;&gt;"",IF(N(F2698)&gt;0,"客户回款","客户退款"),IF(K2698&lt;&gt;"",IF(N(G2698)&gt;0,"供应商付款","供应商退款"),IF(L2698&lt;&gt;"","费用支出","")))))</f>
      </c>
      <c r="P2698" s="78">
        <f>IF(O2698="","",IFERROR(INDEX(基础资料!$AE$5:$AE$34,MATCH(O2698,基础资料!$AC$5:$AC$34,0)),"未知"))</f>
      </c>
      <c r="Q2698" s="78">
        <f>IF(P2698="应收",COUNTIF(P$7:P2698,"应收"),"")</f>
      </c>
      <c r="R2698" s="78">
        <f>IF(P2698="应付",COUNTIF(P$7:P2698,"应付"),"")</f>
      </c>
      <c r="S2698" s="78">
        <f>N(F2698)-N(G2698)</f>
        <v>0</v>
      </c>
    </row>
    <row r="2699">
      <c r="A2699" s="109">
        <f>IF(AND(F2699="",G2699=""),"",ROW()-6)</f>
      </c>
      <c r="B2699" s="140" t="n"/>
      <c r="C2699" s="141" t="n"/>
      <c r="D2699" s="141" t="n"/>
      <c r="E2699" s="142" t="n"/>
      <c r="F2699" s="143" t="n"/>
      <c r="G2699" s="144" t="n"/>
      <c r="H2699" s="145">
        <f>IF(OR(C2699="",AND(F2699="",G2699="")),"",SUMIF(基础资料!$W$5:$W$24,C2699,基础资料!$X$5:$X$24)+SUMIF(C$7:C2699,C2699,F$7:F2699)-SUMIF(C$7:C2699,C2699,G$7:G2699))</f>
      </c>
      <c r="I2699" s="145">
        <f>IF(AND(F2699="",G2699=""),"",SUM(基础资料!$X$5:$X$24)+SUM(F$7:F2699)-SUM(G$7:G2699))</f>
      </c>
      <c r="J2699" s="141" t="n"/>
      <c r="K2699" s="141" t="n"/>
      <c r="L2699" s="141" t="n"/>
      <c r="M2699" s="142" t="n"/>
      <c r="N2699" s="146">
        <f>IF(AND(AND(F2699="",G2699=""),B2699="",C2699="",D2699="",J2699="",K2699="",L2699=""),"",IF(AND(F2699="",G2699=""),"✗ 没填金额",IF(AND(N(F2699)&lt;&gt;0,N(G2699)&lt;&gt;0),"✗ 收入、支出只能填一边",IF(NOT(ISNUMBER(B2699)),"✗ 日期不是真日期（要像 2026/9/25 这样填）",IF(OR(B2699&lt;年初日,B2699&gt;年末日),"✗ 日期不在本会计年度",IF(C2699="","✗ 没选账户",IF(COUNTIF(基础资料!$W$5:$W$24,C2699)=0,"✗ 账户不在基础资料里",IF(O2699="","✗ 没选收支项目",IF(P2699="未知","✗ 收支项目不在基础资料里",IF(AND(P2699="应收",J2699=""),"✗ 这笔要选客户",IF(AND(P2699="应收",COUNTIF(总览汇总!$B$5:$B$304,J2699)=0),"✗ 客户不在总览汇总名单里",IF(AND(P2699="应付",K2699=""),"✗ 这笔要选供应商",IF(AND(P2699="应付",COUNTIF(基础资料!$Q$5:$Q$54,K2699)=0),"✗ 供应商不在基础资料里",IF(AND(P2699="费用",L2699=""),"✗ 费用支出要选费用项目",IF(AND(L2699&lt;&gt;"",COUNTIF(基础资料!$AI$5:$AI$54,L2699)=0),"✗ 费用项目不在基础资料里",IF(AND(IFERROR(INDEX(基础资料!$AD$5:$AD$34,MATCH(O2699,基础资料!$AC$5:$AC$34,0)),"")="收",N(G2699)&lt;&gt;0),"✗ 这类是收款，金额填到收入列",IF(AND(IFERROR(INDEX(基础资料!$AD$5:$AD$34,MATCH(O2699,基础资料!$AC$5:$AC$34,0)),"")="支",N(F2699)&lt;&gt;0),"✗ 这类是付款，金额填到支出列",IF(N(H2699)&lt;0,"⚠ 账户余额成负数了，核对一下","√"))))))))))))))))))</f>
      </c>
      <c r="O2699" s="78">
        <f>IF(D2699&lt;&gt;"",D2699,IF(AND(F2699="",G2699=""),"",IF(J2699&lt;&gt;"",IF(N(F2699)&gt;0,"客户回款","客户退款"),IF(K2699&lt;&gt;"",IF(N(G2699)&gt;0,"供应商付款","供应商退款"),IF(L2699&lt;&gt;"","费用支出","")))))</f>
      </c>
      <c r="P2699" s="78">
        <f>IF(O2699="","",IFERROR(INDEX(基础资料!$AE$5:$AE$34,MATCH(O2699,基础资料!$AC$5:$AC$34,0)),"未知"))</f>
      </c>
      <c r="Q2699" s="78">
        <f>IF(P2699="应收",COUNTIF(P$7:P2699,"应收"),"")</f>
      </c>
      <c r="R2699" s="78">
        <f>IF(P2699="应付",COUNTIF(P$7:P2699,"应付"),"")</f>
      </c>
      <c r="S2699" s="78">
        <f>N(F2699)-N(G2699)</f>
        <v>0</v>
      </c>
    </row>
    <row r="2700">
      <c r="A2700" s="109">
        <f>IF(AND(F2700="",G2700=""),"",ROW()-6)</f>
      </c>
      <c r="B2700" s="140" t="n"/>
      <c r="C2700" s="141" t="n"/>
      <c r="D2700" s="141" t="n"/>
      <c r="E2700" s="142" t="n"/>
      <c r="F2700" s="143" t="n"/>
      <c r="G2700" s="144" t="n"/>
      <c r="H2700" s="145">
        <f>IF(OR(C2700="",AND(F2700="",G2700="")),"",SUMIF(基础资料!$W$5:$W$24,C2700,基础资料!$X$5:$X$24)+SUMIF(C$7:C2700,C2700,F$7:F2700)-SUMIF(C$7:C2700,C2700,G$7:G2700))</f>
      </c>
      <c r="I2700" s="145">
        <f>IF(AND(F2700="",G2700=""),"",SUM(基础资料!$X$5:$X$24)+SUM(F$7:F2700)-SUM(G$7:G2700))</f>
      </c>
      <c r="J2700" s="141" t="n"/>
      <c r="K2700" s="141" t="n"/>
      <c r="L2700" s="141" t="n"/>
      <c r="M2700" s="142" t="n"/>
      <c r="N2700" s="146">
        <f>IF(AND(AND(F2700="",G2700=""),B2700="",C2700="",D2700="",J2700="",K2700="",L2700=""),"",IF(AND(F2700="",G2700=""),"✗ 没填金额",IF(AND(N(F2700)&lt;&gt;0,N(G2700)&lt;&gt;0),"✗ 收入、支出只能填一边",IF(NOT(ISNUMBER(B2700)),"✗ 日期不是真日期（要像 2026/9/25 这样填）",IF(OR(B2700&lt;年初日,B2700&gt;年末日),"✗ 日期不在本会计年度",IF(C2700="","✗ 没选账户",IF(COUNTIF(基础资料!$W$5:$W$24,C2700)=0,"✗ 账户不在基础资料里",IF(O2700="","✗ 没选收支项目",IF(P2700="未知","✗ 收支项目不在基础资料里",IF(AND(P2700="应收",J2700=""),"✗ 这笔要选客户",IF(AND(P2700="应收",COUNTIF(总览汇总!$B$5:$B$304,J2700)=0),"✗ 客户不在总览汇总名单里",IF(AND(P2700="应付",K2700=""),"✗ 这笔要选供应商",IF(AND(P2700="应付",COUNTIF(基础资料!$Q$5:$Q$54,K2700)=0),"✗ 供应商不在基础资料里",IF(AND(P2700="费用",L2700=""),"✗ 费用支出要选费用项目",IF(AND(L2700&lt;&gt;"",COUNTIF(基础资料!$AI$5:$AI$54,L2700)=0),"✗ 费用项目不在基础资料里",IF(AND(IFERROR(INDEX(基础资料!$AD$5:$AD$34,MATCH(O2700,基础资料!$AC$5:$AC$34,0)),"")="收",N(G2700)&lt;&gt;0),"✗ 这类是收款，金额填到收入列",IF(AND(IFERROR(INDEX(基础资料!$AD$5:$AD$34,MATCH(O2700,基础资料!$AC$5:$AC$34,0)),"")="支",N(F2700)&lt;&gt;0),"✗ 这类是付款，金额填到支出列",IF(N(H2700)&lt;0,"⚠ 账户余额成负数了，核对一下","√"))))))))))))))))))</f>
      </c>
      <c r="O2700" s="78">
        <f>IF(D2700&lt;&gt;"",D2700,IF(AND(F2700="",G2700=""),"",IF(J2700&lt;&gt;"",IF(N(F2700)&gt;0,"客户回款","客户退款"),IF(K2700&lt;&gt;"",IF(N(G2700)&gt;0,"供应商付款","供应商退款"),IF(L2700&lt;&gt;"","费用支出","")))))</f>
      </c>
      <c r="P2700" s="78">
        <f>IF(O2700="","",IFERROR(INDEX(基础资料!$AE$5:$AE$34,MATCH(O2700,基础资料!$AC$5:$AC$34,0)),"未知"))</f>
      </c>
      <c r="Q2700" s="78">
        <f>IF(P2700="应收",COUNTIF(P$7:P2700,"应收"),"")</f>
      </c>
      <c r="R2700" s="78">
        <f>IF(P2700="应付",COUNTIF(P$7:P2700,"应付"),"")</f>
      </c>
      <c r="S2700" s="78">
        <f>N(F2700)-N(G2700)</f>
        <v>0</v>
      </c>
    </row>
    <row r="2701">
      <c r="A2701" s="109">
        <f>IF(AND(F2701="",G2701=""),"",ROW()-6)</f>
      </c>
      <c r="B2701" s="140" t="n"/>
      <c r="C2701" s="141" t="n"/>
      <c r="D2701" s="141" t="n"/>
      <c r="E2701" s="142" t="n"/>
      <c r="F2701" s="143" t="n"/>
      <c r="G2701" s="144" t="n"/>
      <c r="H2701" s="145">
        <f>IF(OR(C2701="",AND(F2701="",G2701="")),"",SUMIF(基础资料!$W$5:$W$24,C2701,基础资料!$X$5:$X$24)+SUMIF(C$7:C2701,C2701,F$7:F2701)-SUMIF(C$7:C2701,C2701,G$7:G2701))</f>
      </c>
      <c r="I2701" s="145">
        <f>IF(AND(F2701="",G2701=""),"",SUM(基础资料!$X$5:$X$24)+SUM(F$7:F2701)-SUM(G$7:G2701))</f>
      </c>
      <c r="J2701" s="141" t="n"/>
      <c r="K2701" s="141" t="n"/>
      <c r="L2701" s="141" t="n"/>
      <c r="M2701" s="142" t="n"/>
      <c r="N2701" s="146">
        <f>IF(AND(AND(F2701="",G2701=""),B2701="",C2701="",D2701="",J2701="",K2701="",L2701=""),"",IF(AND(F2701="",G2701=""),"✗ 没填金额",IF(AND(N(F2701)&lt;&gt;0,N(G2701)&lt;&gt;0),"✗ 收入、支出只能填一边",IF(NOT(ISNUMBER(B2701)),"✗ 日期不是真日期（要像 2026/9/25 这样填）",IF(OR(B2701&lt;年初日,B2701&gt;年末日),"✗ 日期不在本会计年度",IF(C2701="","✗ 没选账户",IF(COUNTIF(基础资料!$W$5:$W$24,C2701)=0,"✗ 账户不在基础资料里",IF(O2701="","✗ 没选收支项目",IF(P2701="未知","✗ 收支项目不在基础资料里",IF(AND(P2701="应收",J2701=""),"✗ 这笔要选客户",IF(AND(P2701="应收",COUNTIF(总览汇总!$B$5:$B$304,J2701)=0),"✗ 客户不在总览汇总名单里",IF(AND(P2701="应付",K2701=""),"✗ 这笔要选供应商",IF(AND(P2701="应付",COUNTIF(基础资料!$Q$5:$Q$54,K2701)=0),"✗ 供应商不在基础资料里",IF(AND(P2701="费用",L2701=""),"✗ 费用支出要选费用项目",IF(AND(L2701&lt;&gt;"",COUNTIF(基础资料!$AI$5:$AI$54,L2701)=0),"✗ 费用项目不在基础资料里",IF(AND(IFERROR(INDEX(基础资料!$AD$5:$AD$34,MATCH(O2701,基础资料!$AC$5:$AC$34,0)),"")="收",N(G2701)&lt;&gt;0),"✗ 这类是收款，金额填到收入列",IF(AND(IFERROR(INDEX(基础资料!$AD$5:$AD$34,MATCH(O2701,基础资料!$AC$5:$AC$34,0)),"")="支",N(F2701)&lt;&gt;0),"✗ 这类是付款，金额填到支出列",IF(N(H2701)&lt;0,"⚠ 账户余额成负数了，核对一下","√"))))))))))))))))))</f>
      </c>
      <c r="O2701" s="78">
        <f>IF(D2701&lt;&gt;"",D2701,IF(AND(F2701="",G2701=""),"",IF(J2701&lt;&gt;"",IF(N(F2701)&gt;0,"客户回款","客户退款"),IF(K2701&lt;&gt;"",IF(N(G2701)&gt;0,"供应商付款","供应商退款"),IF(L2701&lt;&gt;"","费用支出","")))))</f>
      </c>
      <c r="P2701" s="78">
        <f>IF(O2701="","",IFERROR(INDEX(基础资料!$AE$5:$AE$34,MATCH(O2701,基础资料!$AC$5:$AC$34,0)),"未知"))</f>
      </c>
      <c r="Q2701" s="78">
        <f>IF(P2701="应收",COUNTIF(P$7:P2701,"应收"),"")</f>
      </c>
      <c r="R2701" s="78">
        <f>IF(P2701="应付",COUNTIF(P$7:P2701,"应付"),"")</f>
      </c>
      <c r="S2701" s="78">
        <f>N(F2701)-N(G2701)</f>
        <v>0</v>
      </c>
    </row>
    <row r="2702">
      <c r="A2702" s="109">
        <f>IF(AND(F2702="",G2702=""),"",ROW()-6)</f>
      </c>
      <c r="B2702" s="140" t="n"/>
      <c r="C2702" s="141" t="n"/>
      <c r="D2702" s="141" t="n"/>
      <c r="E2702" s="142" t="n"/>
      <c r="F2702" s="143" t="n"/>
      <c r="G2702" s="144" t="n"/>
      <c r="H2702" s="145">
        <f>IF(OR(C2702="",AND(F2702="",G2702="")),"",SUMIF(基础资料!$W$5:$W$24,C2702,基础资料!$X$5:$X$24)+SUMIF(C$7:C2702,C2702,F$7:F2702)-SUMIF(C$7:C2702,C2702,G$7:G2702))</f>
      </c>
      <c r="I2702" s="145">
        <f>IF(AND(F2702="",G2702=""),"",SUM(基础资料!$X$5:$X$24)+SUM(F$7:F2702)-SUM(G$7:G2702))</f>
      </c>
      <c r="J2702" s="141" t="n"/>
      <c r="K2702" s="141" t="n"/>
      <c r="L2702" s="141" t="n"/>
      <c r="M2702" s="142" t="n"/>
      <c r="N2702" s="146">
        <f>IF(AND(AND(F2702="",G2702=""),B2702="",C2702="",D2702="",J2702="",K2702="",L2702=""),"",IF(AND(F2702="",G2702=""),"✗ 没填金额",IF(AND(N(F2702)&lt;&gt;0,N(G2702)&lt;&gt;0),"✗ 收入、支出只能填一边",IF(NOT(ISNUMBER(B2702)),"✗ 日期不是真日期（要像 2026/9/25 这样填）",IF(OR(B2702&lt;年初日,B2702&gt;年末日),"✗ 日期不在本会计年度",IF(C2702="","✗ 没选账户",IF(COUNTIF(基础资料!$W$5:$W$24,C2702)=0,"✗ 账户不在基础资料里",IF(O2702="","✗ 没选收支项目",IF(P2702="未知","✗ 收支项目不在基础资料里",IF(AND(P2702="应收",J2702=""),"✗ 这笔要选客户",IF(AND(P2702="应收",COUNTIF(总览汇总!$B$5:$B$304,J2702)=0),"✗ 客户不在总览汇总名单里",IF(AND(P2702="应付",K2702=""),"✗ 这笔要选供应商",IF(AND(P2702="应付",COUNTIF(基础资料!$Q$5:$Q$54,K2702)=0),"✗ 供应商不在基础资料里",IF(AND(P2702="费用",L2702=""),"✗ 费用支出要选费用项目",IF(AND(L2702&lt;&gt;"",COUNTIF(基础资料!$AI$5:$AI$54,L2702)=0),"✗ 费用项目不在基础资料里",IF(AND(IFERROR(INDEX(基础资料!$AD$5:$AD$34,MATCH(O2702,基础资料!$AC$5:$AC$34,0)),"")="收",N(G2702)&lt;&gt;0),"✗ 这类是收款，金额填到收入列",IF(AND(IFERROR(INDEX(基础资料!$AD$5:$AD$34,MATCH(O2702,基础资料!$AC$5:$AC$34,0)),"")="支",N(F2702)&lt;&gt;0),"✗ 这类是付款，金额填到支出列",IF(N(H2702)&lt;0,"⚠ 账户余额成负数了，核对一下","√"))))))))))))))))))</f>
      </c>
      <c r="O2702" s="78">
        <f>IF(D2702&lt;&gt;"",D2702,IF(AND(F2702="",G2702=""),"",IF(J2702&lt;&gt;"",IF(N(F2702)&gt;0,"客户回款","客户退款"),IF(K2702&lt;&gt;"",IF(N(G2702)&gt;0,"供应商付款","供应商退款"),IF(L2702&lt;&gt;"","费用支出","")))))</f>
      </c>
      <c r="P2702" s="78">
        <f>IF(O2702="","",IFERROR(INDEX(基础资料!$AE$5:$AE$34,MATCH(O2702,基础资料!$AC$5:$AC$34,0)),"未知"))</f>
      </c>
      <c r="Q2702" s="78">
        <f>IF(P2702="应收",COUNTIF(P$7:P2702,"应收"),"")</f>
      </c>
      <c r="R2702" s="78">
        <f>IF(P2702="应付",COUNTIF(P$7:P2702,"应付"),"")</f>
      </c>
      <c r="S2702" s="78">
        <f>N(F2702)-N(G2702)</f>
        <v>0</v>
      </c>
    </row>
    <row r="2703">
      <c r="A2703" s="109">
        <f>IF(AND(F2703="",G2703=""),"",ROW()-6)</f>
      </c>
      <c r="B2703" s="140" t="n"/>
      <c r="C2703" s="141" t="n"/>
      <c r="D2703" s="141" t="n"/>
      <c r="E2703" s="142" t="n"/>
      <c r="F2703" s="143" t="n"/>
      <c r="G2703" s="144" t="n"/>
      <c r="H2703" s="145">
        <f>IF(OR(C2703="",AND(F2703="",G2703="")),"",SUMIF(基础资料!$W$5:$W$24,C2703,基础资料!$X$5:$X$24)+SUMIF(C$7:C2703,C2703,F$7:F2703)-SUMIF(C$7:C2703,C2703,G$7:G2703))</f>
      </c>
      <c r="I2703" s="145">
        <f>IF(AND(F2703="",G2703=""),"",SUM(基础资料!$X$5:$X$24)+SUM(F$7:F2703)-SUM(G$7:G2703))</f>
      </c>
      <c r="J2703" s="141" t="n"/>
      <c r="K2703" s="141" t="n"/>
      <c r="L2703" s="141" t="n"/>
      <c r="M2703" s="142" t="n"/>
      <c r="N2703" s="146">
        <f>IF(AND(AND(F2703="",G2703=""),B2703="",C2703="",D2703="",J2703="",K2703="",L2703=""),"",IF(AND(F2703="",G2703=""),"✗ 没填金额",IF(AND(N(F2703)&lt;&gt;0,N(G2703)&lt;&gt;0),"✗ 收入、支出只能填一边",IF(NOT(ISNUMBER(B2703)),"✗ 日期不是真日期（要像 2026/9/25 这样填）",IF(OR(B2703&lt;年初日,B2703&gt;年末日),"✗ 日期不在本会计年度",IF(C2703="","✗ 没选账户",IF(COUNTIF(基础资料!$W$5:$W$24,C2703)=0,"✗ 账户不在基础资料里",IF(O2703="","✗ 没选收支项目",IF(P2703="未知","✗ 收支项目不在基础资料里",IF(AND(P2703="应收",J2703=""),"✗ 这笔要选客户",IF(AND(P2703="应收",COUNTIF(总览汇总!$B$5:$B$304,J2703)=0),"✗ 客户不在总览汇总名单里",IF(AND(P2703="应付",K2703=""),"✗ 这笔要选供应商",IF(AND(P2703="应付",COUNTIF(基础资料!$Q$5:$Q$54,K2703)=0),"✗ 供应商不在基础资料里",IF(AND(P2703="费用",L2703=""),"✗ 费用支出要选费用项目",IF(AND(L2703&lt;&gt;"",COUNTIF(基础资料!$AI$5:$AI$54,L2703)=0),"✗ 费用项目不在基础资料里",IF(AND(IFERROR(INDEX(基础资料!$AD$5:$AD$34,MATCH(O2703,基础资料!$AC$5:$AC$34,0)),"")="收",N(G2703)&lt;&gt;0),"✗ 这类是收款，金额填到收入列",IF(AND(IFERROR(INDEX(基础资料!$AD$5:$AD$34,MATCH(O2703,基础资料!$AC$5:$AC$34,0)),"")="支",N(F2703)&lt;&gt;0),"✗ 这类是付款，金额填到支出列",IF(N(H2703)&lt;0,"⚠ 账户余额成负数了，核对一下","√"))))))))))))))))))</f>
      </c>
      <c r="O2703" s="78">
        <f>IF(D2703&lt;&gt;"",D2703,IF(AND(F2703="",G2703=""),"",IF(J2703&lt;&gt;"",IF(N(F2703)&gt;0,"客户回款","客户退款"),IF(K2703&lt;&gt;"",IF(N(G2703)&gt;0,"供应商付款","供应商退款"),IF(L2703&lt;&gt;"","费用支出","")))))</f>
      </c>
      <c r="P2703" s="78">
        <f>IF(O2703="","",IFERROR(INDEX(基础资料!$AE$5:$AE$34,MATCH(O2703,基础资料!$AC$5:$AC$34,0)),"未知"))</f>
      </c>
      <c r="Q2703" s="78">
        <f>IF(P2703="应收",COUNTIF(P$7:P2703,"应收"),"")</f>
      </c>
      <c r="R2703" s="78">
        <f>IF(P2703="应付",COUNTIF(P$7:P2703,"应付"),"")</f>
      </c>
      <c r="S2703" s="78">
        <f>N(F2703)-N(G2703)</f>
        <v>0</v>
      </c>
    </row>
    <row r="2704">
      <c r="A2704" s="109">
        <f>IF(AND(F2704="",G2704=""),"",ROW()-6)</f>
      </c>
      <c r="B2704" s="140" t="n"/>
      <c r="C2704" s="141" t="n"/>
      <c r="D2704" s="141" t="n"/>
      <c r="E2704" s="142" t="n"/>
      <c r="F2704" s="143" t="n"/>
      <c r="G2704" s="144" t="n"/>
      <c r="H2704" s="145">
        <f>IF(OR(C2704="",AND(F2704="",G2704="")),"",SUMIF(基础资料!$W$5:$W$24,C2704,基础资料!$X$5:$X$24)+SUMIF(C$7:C2704,C2704,F$7:F2704)-SUMIF(C$7:C2704,C2704,G$7:G2704))</f>
      </c>
      <c r="I2704" s="145">
        <f>IF(AND(F2704="",G2704=""),"",SUM(基础资料!$X$5:$X$24)+SUM(F$7:F2704)-SUM(G$7:G2704))</f>
      </c>
      <c r="J2704" s="141" t="n"/>
      <c r="K2704" s="141" t="n"/>
      <c r="L2704" s="141" t="n"/>
      <c r="M2704" s="142" t="n"/>
      <c r="N2704" s="146">
        <f>IF(AND(AND(F2704="",G2704=""),B2704="",C2704="",D2704="",J2704="",K2704="",L2704=""),"",IF(AND(F2704="",G2704=""),"✗ 没填金额",IF(AND(N(F2704)&lt;&gt;0,N(G2704)&lt;&gt;0),"✗ 收入、支出只能填一边",IF(NOT(ISNUMBER(B2704)),"✗ 日期不是真日期（要像 2026/9/25 这样填）",IF(OR(B2704&lt;年初日,B2704&gt;年末日),"✗ 日期不在本会计年度",IF(C2704="","✗ 没选账户",IF(COUNTIF(基础资料!$W$5:$W$24,C2704)=0,"✗ 账户不在基础资料里",IF(O2704="","✗ 没选收支项目",IF(P2704="未知","✗ 收支项目不在基础资料里",IF(AND(P2704="应收",J2704=""),"✗ 这笔要选客户",IF(AND(P2704="应收",COUNTIF(总览汇总!$B$5:$B$304,J2704)=0),"✗ 客户不在总览汇总名单里",IF(AND(P2704="应付",K2704=""),"✗ 这笔要选供应商",IF(AND(P2704="应付",COUNTIF(基础资料!$Q$5:$Q$54,K2704)=0),"✗ 供应商不在基础资料里",IF(AND(P2704="费用",L2704=""),"✗ 费用支出要选费用项目",IF(AND(L2704&lt;&gt;"",COUNTIF(基础资料!$AI$5:$AI$54,L2704)=0),"✗ 费用项目不在基础资料里",IF(AND(IFERROR(INDEX(基础资料!$AD$5:$AD$34,MATCH(O2704,基础资料!$AC$5:$AC$34,0)),"")="收",N(G2704)&lt;&gt;0),"✗ 这类是收款，金额填到收入列",IF(AND(IFERROR(INDEX(基础资料!$AD$5:$AD$34,MATCH(O2704,基础资料!$AC$5:$AC$34,0)),"")="支",N(F2704)&lt;&gt;0),"✗ 这类是付款，金额填到支出列",IF(N(H2704)&lt;0,"⚠ 账户余额成负数了，核对一下","√"))))))))))))))))))</f>
      </c>
      <c r="O2704" s="78">
        <f>IF(D2704&lt;&gt;"",D2704,IF(AND(F2704="",G2704=""),"",IF(J2704&lt;&gt;"",IF(N(F2704)&gt;0,"客户回款","客户退款"),IF(K2704&lt;&gt;"",IF(N(G2704)&gt;0,"供应商付款","供应商退款"),IF(L2704&lt;&gt;"","费用支出","")))))</f>
      </c>
      <c r="P2704" s="78">
        <f>IF(O2704="","",IFERROR(INDEX(基础资料!$AE$5:$AE$34,MATCH(O2704,基础资料!$AC$5:$AC$34,0)),"未知"))</f>
      </c>
      <c r="Q2704" s="78">
        <f>IF(P2704="应收",COUNTIF(P$7:P2704,"应收"),"")</f>
      </c>
      <c r="R2704" s="78">
        <f>IF(P2704="应付",COUNTIF(P$7:P2704,"应付"),"")</f>
      </c>
      <c r="S2704" s="78">
        <f>N(F2704)-N(G2704)</f>
        <v>0</v>
      </c>
    </row>
    <row r="2705">
      <c r="A2705" s="109">
        <f>IF(AND(F2705="",G2705=""),"",ROW()-6)</f>
      </c>
      <c r="B2705" s="140" t="n"/>
      <c r="C2705" s="141" t="n"/>
      <c r="D2705" s="141" t="n"/>
      <c r="E2705" s="142" t="n"/>
      <c r="F2705" s="143" t="n"/>
      <c r="G2705" s="144" t="n"/>
      <c r="H2705" s="145">
        <f>IF(OR(C2705="",AND(F2705="",G2705="")),"",SUMIF(基础资料!$W$5:$W$24,C2705,基础资料!$X$5:$X$24)+SUMIF(C$7:C2705,C2705,F$7:F2705)-SUMIF(C$7:C2705,C2705,G$7:G2705))</f>
      </c>
      <c r="I2705" s="145">
        <f>IF(AND(F2705="",G2705=""),"",SUM(基础资料!$X$5:$X$24)+SUM(F$7:F2705)-SUM(G$7:G2705))</f>
      </c>
      <c r="J2705" s="141" t="n"/>
      <c r="K2705" s="141" t="n"/>
      <c r="L2705" s="141" t="n"/>
      <c r="M2705" s="142" t="n"/>
      <c r="N2705" s="146">
        <f>IF(AND(AND(F2705="",G2705=""),B2705="",C2705="",D2705="",J2705="",K2705="",L2705=""),"",IF(AND(F2705="",G2705=""),"✗ 没填金额",IF(AND(N(F2705)&lt;&gt;0,N(G2705)&lt;&gt;0),"✗ 收入、支出只能填一边",IF(NOT(ISNUMBER(B2705)),"✗ 日期不是真日期（要像 2026/9/25 这样填）",IF(OR(B2705&lt;年初日,B2705&gt;年末日),"✗ 日期不在本会计年度",IF(C2705="","✗ 没选账户",IF(COUNTIF(基础资料!$W$5:$W$24,C2705)=0,"✗ 账户不在基础资料里",IF(O2705="","✗ 没选收支项目",IF(P2705="未知","✗ 收支项目不在基础资料里",IF(AND(P2705="应收",J2705=""),"✗ 这笔要选客户",IF(AND(P2705="应收",COUNTIF(总览汇总!$B$5:$B$304,J2705)=0),"✗ 客户不在总览汇总名单里",IF(AND(P2705="应付",K2705=""),"✗ 这笔要选供应商",IF(AND(P2705="应付",COUNTIF(基础资料!$Q$5:$Q$54,K2705)=0),"✗ 供应商不在基础资料里",IF(AND(P2705="费用",L2705=""),"✗ 费用支出要选费用项目",IF(AND(L2705&lt;&gt;"",COUNTIF(基础资料!$AI$5:$AI$54,L2705)=0),"✗ 费用项目不在基础资料里",IF(AND(IFERROR(INDEX(基础资料!$AD$5:$AD$34,MATCH(O2705,基础资料!$AC$5:$AC$34,0)),"")="收",N(G2705)&lt;&gt;0),"✗ 这类是收款，金额填到收入列",IF(AND(IFERROR(INDEX(基础资料!$AD$5:$AD$34,MATCH(O2705,基础资料!$AC$5:$AC$34,0)),"")="支",N(F2705)&lt;&gt;0),"✗ 这类是付款，金额填到支出列",IF(N(H2705)&lt;0,"⚠ 账户余额成负数了，核对一下","√"))))))))))))))))))</f>
      </c>
      <c r="O2705" s="78">
        <f>IF(D2705&lt;&gt;"",D2705,IF(AND(F2705="",G2705=""),"",IF(J2705&lt;&gt;"",IF(N(F2705)&gt;0,"客户回款","客户退款"),IF(K2705&lt;&gt;"",IF(N(G2705)&gt;0,"供应商付款","供应商退款"),IF(L2705&lt;&gt;"","费用支出","")))))</f>
      </c>
      <c r="P2705" s="78">
        <f>IF(O2705="","",IFERROR(INDEX(基础资料!$AE$5:$AE$34,MATCH(O2705,基础资料!$AC$5:$AC$34,0)),"未知"))</f>
      </c>
      <c r="Q2705" s="78">
        <f>IF(P2705="应收",COUNTIF(P$7:P2705,"应收"),"")</f>
      </c>
      <c r="R2705" s="78">
        <f>IF(P2705="应付",COUNTIF(P$7:P2705,"应付"),"")</f>
      </c>
      <c r="S2705" s="78">
        <f>N(F2705)-N(G2705)</f>
        <v>0</v>
      </c>
    </row>
    <row r="2706">
      <c r="A2706" s="109">
        <f>IF(AND(F2706="",G2706=""),"",ROW()-6)</f>
      </c>
      <c r="B2706" s="140" t="n"/>
      <c r="C2706" s="141" t="n"/>
      <c r="D2706" s="141" t="n"/>
      <c r="E2706" s="142" t="n"/>
      <c r="F2706" s="143" t="n"/>
      <c r="G2706" s="144" t="n"/>
      <c r="H2706" s="145">
        <f>IF(OR(C2706="",AND(F2706="",G2706="")),"",SUMIF(基础资料!$W$5:$W$24,C2706,基础资料!$X$5:$X$24)+SUMIF(C$7:C2706,C2706,F$7:F2706)-SUMIF(C$7:C2706,C2706,G$7:G2706))</f>
      </c>
      <c r="I2706" s="145">
        <f>IF(AND(F2706="",G2706=""),"",SUM(基础资料!$X$5:$X$24)+SUM(F$7:F2706)-SUM(G$7:G2706))</f>
      </c>
      <c r="J2706" s="141" t="n"/>
      <c r="K2706" s="141" t="n"/>
      <c r="L2706" s="141" t="n"/>
      <c r="M2706" s="142" t="n"/>
      <c r="N2706" s="146">
        <f>IF(AND(AND(F2706="",G2706=""),B2706="",C2706="",D2706="",J2706="",K2706="",L2706=""),"",IF(AND(F2706="",G2706=""),"✗ 没填金额",IF(AND(N(F2706)&lt;&gt;0,N(G2706)&lt;&gt;0),"✗ 收入、支出只能填一边",IF(NOT(ISNUMBER(B2706)),"✗ 日期不是真日期（要像 2026/9/25 这样填）",IF(OR(B2706&lt;年初日,B2706&gt;年末日),"✗ 日期不在本会计年度",IF(C2706="","✗ 没选账户",IF(COUNTIF(基础资料!$W$5:$W$24,C2706)=0,"✗ 账户不在基础资料里",IF(O2706="","✗ 没选收支项目",IF(P2706="未知","✗ 收支项目不在基础资料里",IF(AND(P2706="应收",J2706=""),"✗ 这笔要选客户",IF(AND(P2706="应收",COUNTIF(总览汇总!$B$5:$B$304,J2706)=0),"✗ 客户不在总览汇总名单里",IF(AND(P2706="应付",K2706=""),"✗ 这笔要选供应商",IF(AND(P2706="应付",COUNTIF(基础资料!$Q$5:$Q$54,K2706)=0),"✗ 供应商不在基础资料里",IF(AND(P2706="费用",L2706=""),"✗ 费用支出要选费用项目",IF(AND(L2706&lt;&gt;"",COUNTIF(基础资料!$AI$5:$AI$54,L2706)=0),"✗ 费用项目不在基础资料里",IF(AND(IFERROR(INDEX(基础资料!$AD$5:$AD$34,MATCH(O2706,基础资料!$AC$5:$AC$34,0)),"")="收",N(G2706)&lt;&gt;0),"✗ 这类是收款，金额填到收入列",IF(AND(IFERROR(INDEX(基础资料!$AD$5:$AD$34,MATCH(O2706,基础资料!$AC$5:$AC$34,0)),"")="支",N(F2706)&lt;&gt;0),"✗ 这类是付款，金额填到支出列",IF(N(H2706)&lt;0,"⚠ 账户余额成负数了，核对一下","√"))))))))))))))))))</f>
      </c>
      <c r="O2706" s="78">
        <f>IF(D2706&lt;&gt;"",D2706,IF(AND(F2706="",G2706=""),"",IF(J2706&lt;&gt;"",IF(N(F2706)&gt;0,"客户回款","客户退款"),IF(K2706&lt;&gt;"",IF(N(G2706)&gt;0,"供应商付款","供应商退款"),IF(L2706&lt;&gt;"","费用支出","")))))</f>
      </c>
      <c r="P2706" s="78">
        <f>IF(O2706="","",IFERROR(INDEX(基础资料!$AE$5:$AE$34,MATCH(O2706,基础资料!$AC$5:$AC$34,0)),"未知"))</f>
      </c>
      <c r="Q2706" s="78">
        <f>IF(P2706="应收",COUNTIF(P$7:P2706,"应收"),"")</f>
      </c>
      <c r="R2706" s="78">
        <f>IF(P2706="应付",COUNTIF(P$7:P2706,"应付"),"")</f>
      </c>
      <c r="S2706" s="78">
        <f>N(F2706)-N(G2706)</f>
        <v>0</v>
      </c>
    </row>
    <row r="2707">
      <c r="A2707" s="109">
        <f>IF(AND(F2707="",G2707=""),"",ROW()-6)</f>
      </c>
      <c r="B2707" s="140" t="n"/>
      <c r="C2707" s="141" t="n"/>
      <c r="D2707" s="141" t="n"/>
      <c r="E2707" s="142" t="n"/>
      <c r="F2707" s="143" t="n"/>
      <c r="G2707" s="144" t="n"/>
      <c r="H2707" s="145">
        <f>IF(OR(C2707="",AND(F2707="",G2707="")),"",SUMIF(基础资料!$W$5:$W$24,C2707,基础资料!$X$5:$X$24)+SUMIF(C$7:C2707,C2707,F$7:F2707)-SUMIF(C$7:C2707,C2707,G$7:G2707))</f>
      </c>
      <c r="I2707" s="145">
        <f>IF(AND(F2707="",G2707=""),"",SUM(基础资料!$X$5:$X$24)+SUM(F$7:F2707)-SUM(G$7:G2707))</f>
      </c>
      <c r="J2707" s="141" t="n"/>
      <c r="K2707" s="141" t="n"/>
      <c r="L2707" s="141" t="n"/>
      <c r="M2707" s="142" t="n"/>
      <c r="N2707" s="146">
        <f>IF(AND(AND(F2707="",G2707=""),B2707="",C2707="",D2707="",J2707="",K2707="",L2707=""),"",IF(AND(F2707="",G2707=""),"✗ 没填金额",IF(AND(N(F2707)&lt;&gt;0,N(G2707)&lt;&gt;0),"✗ 收入、支出只能填一边",IF(NOT(ISNUMBER(B2707)),"✗ 日期不是真日期（要像 2026/9/25 这样填）",IF(OR(B2707&lt;年初日,B2707&gt;年末日),"✗ 日期不在本会计年度",IF(C2707="","✗ 没选账户",IF(COUNTIF(基础资料!$W$5:$W$24,C2707)=0,"✗ 账户不在基础资料里",IF(O2707="","✗ 没选收支项目",IF(P2707="未知","✗ 收支项目不在基础资料里",IF(AND(P2707="应收",J2707=""),"✗ 这笔要选客户",IF(AND(P2707="应收",COUNTIF(总览汇总!$B$5:$B$304,J2707)=0),"✗ 客户不在总览汇总名单里",IF(AND(P2707="应付",K2707=""),"✗ 这笔要选供应商",IF(AND(P2707="应付",COUNTIF(基础资料!$Q$5:$Q$54,K2707)=0),"✗ 供应商不在基础资料里",IF(AND(P2707="费用",L2707=""),"✗ 费用支出要选费用项目",IF(AND(L2707&lt;&gt;"",COUNTIF(基础资料!$AI$5:$AI$54,L2707)=0),"✗ 费用项目不在基础资料里",IF(AND(IFERROR(INDEX(基础资料!$AD$5:$AD$34,MATCH(O2707,基础资料!$AC$5:$AC$34,0)),"")="收",N(G2707)&lt;&gt;0),"✗ 这类是收款，金额填到收入列",IF(AND(IFERROR(INDEX(基础资料!$AD$5:$AD$34,MATCH(O2707,基础资料!$AC$5:$AC$34,0)),"")="支",N(F2707)&lt;&gt;0),"✗ 这类是付款，金额填到支出列",IF(N(H2707)&lt;0,"⚠ 账户余额成负数了，核对一下","√"))))))))))))))))))</f>
      </c>
      <c r="O2707" s="78">
        <f>IF(D2707&lt;&gt;"",D2707,IF(AND(F2707="",G2707=""),"",IF(J2707&lt;&gt;"",IF(N(F2707)&gt;0,"客户回款","客户退款"),IF(K2707&lt;&gt;"",IF(N(G2707)&gt;0,"供应商付款","供应商退款"),IF(L2707&lt;&gt;"","费用支出","")))))</f>
      </c>
      <c r="P2707" s="78">
        <f>IF(O2707="","",IFERROR(INDEX(基础资料!$AE$5:$AE$34,MATCH(O2707,基础资料!$AC$5:$AC$34,0)),"未知"))</f>
      </c>
      <c r="Q2707" s="78">
        <f>IF(P2707="应收",COUNTIF(P$7:P2707,"应收"),"")</f>
      </c>
      <c r="R2707" s="78">
        <f>IF(P2707="应付",COUNTIF(P$7:P2707,"应付"),"")</f>
      </c>
      <c r="S2707" s="78">
        <f>N(F2707)-N(G2707)</f>
        <v>0</v>
      </c>
    </row>
    <row r="2708">
      <c r="A2708" s="109">
        <f>IF(AND(F2708="",G2708=""),"",ROW()-6)</f>
      </c>
      <c r="B2708" s="140" t="n"/>
      <c r="C2708" s="141" t="n"/>
      <c r="D2708" s="141" t="n"/>
      <c r="E2708" s="142" t="n"/>
      <c r="F2708" s="143" t="n"/>
      <c r="G2708" s="144" t="n"/>
      <c r="H2708" s="145">
        <f>IF(OR(C2708="",AND(F2708="",G2708="")),"",SUMIF(基础资料!$W$5:$W$24,C2708,基础资料!$X$5:$X$24)+SUMIF(C$7:C2708,C2708,F$7:F2708)-SUMIF(C$7:C2708,C2708,G$7:G2708))</f>
      </c>
      <c r="I2708" s="145">
        <f>IF(AND(F2708="",G2708=""),"",SUM(基础资料!$X$5:$X$24)+SUM(F$7:F2708)-SUM(G$7:G2708))</f>
      </c>
      <c r="J2708" s="141" t="n"/>
      <c r="K2708" s="141" t="n"/>
      <c r="L2708" s="141" t="n"/>
      <c r="M2708" s="142" t="n"/>
      <c r="N2708" s="146">
        <f>IF(AND(AND(F2708="",G2708=""),B2708="",C2708="",D2708="",J2708="",K2708="",L2708=""),"",IF(AND(F2708="",G2708=""),"✗ 没填金额",IF(AND(N(F2708)&lt;&gt;0,N(G2708)&lt;&gt;0),"✗ 收入、支出只能填一边",IF(NOT(ISNUMBER(B2708)),"✗ 日期不是真日期（要像 2026/9/25 这样填）",IF(OR(B2708&lt;年初日,B2708&gt;年末日),"✗ 日期不在本会计年度",IF(C2708="","✗ 没选账户",IF(COUNTIF(基础资料!$W$5:$W$24,C2708)=0,"✗ 账户不在基础资料里",IF(O2708="","✗ 没选收支项目",IF(P2708="未知","✗ 收支项目不在基础资料里",IF(AND(P2708="应收",J2708=""),"✗ 这笔要选客户",IF(AND(P2708="应收",COUNTIF(总览汇总!$B$5:$B$304,J2708)=0),"✗ 客户不在总览汇总名单里",IF(AND(P2708="应付",K2708=""),"✗ 这笔要选供应商",IF(AND(P2708="应付",COUNTIF(基础资料!$Q$5:$Q$54,K2708)=0),"✗ 供应商不在基础资料里",IF(AND(P2708="费用",L2708=""),"✗ 费用支出要选费用项目",IF(AND(L2708&lt;&gt;"",COUNTIF(基础资料!$AI$5:$AI$54,L2708)=0),"✗ 费用项目不在基础资料里",IF(AND(IFERROR(INDEX(基础资料!$AD$5:$AD$34,MATCH(O2708,基础资料!$AC$5:$AC$34,0)),"")="收",N(G2708)&lt;&gt;0),"✗ 这类是收款，金额填到收入列",IF(AND(IFERROR(INDEX(基础资料!$AD$5:$AD$34,MATCH(O2708,基础资料!$AC$5:$AC$34,0)),"")="支",N(F2708)&lt;&gt;0),"✗ 这类是付款，金额填到支出列",IF(N(H2708)&lt;0,"⚠ 账户余额成负数了，核对一下","√"))))))))))))))))))</f>
      </c>
      <c r="O2708" s="78">
        <f>IF(D2708&lt;&gt;"",D2708,IF(AND(F2708="",G2708=""),"",IF(J2708&lt;&gt;"",IF(N(F2708)&gt;0,"客户回款","客户退款"),IF(K2708&lt;&gt;"",IF(N(G2708)&gt;0,"供应商付款","供应商退款"),IF(L2708&lt;&gt;"","费用支出","")))))</f>
      </c>
      <c r="P2708" s="78">
        <f>IF(O2708="","",IFERROR(INDEX(基础资料!$AE$5:$AE$34,MATCH(O2708,基础资料!$AC$5:$AC$34,0)),"未知"))</f>
      </c>
      <c r="Q2708" s="78">
        <f>IF(P2708="应收",COUNTIF(P$7:P2708,"应收"),"")</f>
      </c>
      <c r="R2708" s="78">
        <f>IF(P2708="应付",COUNTIF(P$7:P2708,"应付"),"")</f>
      </c>
      <c r="S2708" s="78">
        <f>N(F2708)-N(G2708)</f>
        <v>0</v>
      </c>
    </row>
    <row r="2709">
      <c r="A2709" s="109">
        <f>IF(AND(F2709="",G2709=""),"",ROW()-6)</f>
      </c>
      <c r="B2709" s="140" t="n"/>
      <c r="C2709" s="141" t="n"/>
      <c r="D2709" s="141" t="n"/>
      <c r="E2709" s="142" t="n"/>
      <c r="F2709" s="143" t="n"/>
      <c r="G2709" s="144" t="n"/>
      <c r="H2709" s="145">
        <f>IF(OR(C2709="",AND(F2709="",G2709="")),"",SUMIF(基础资料!$W$5:$W$24,C2709,基础资料!$X$5:$X$24)+SUMIF(C$7:C2709,C2709,F$7:F2709)-SUMIF(C$7:C2709,C2709,G$7:G2709))</f>
      </c>
      <c r="I2709" s="145">
        <f>IF(AND(F2709="",G2709=""),"",SUM(基础资料!$X$5:$X$24)+SUM(F$7:F2709)-SUM(G$7:G2709))</f>
      </c>
      <c r="J2709" s="141" t="n"/>
      <c r="K2709" s="141" t="n"/>
      <c r="L2709" s="141" t="n"/>
      <c r="M2709" s="142" t="n"/>
      <c r="N2709" s="146">
        <f>IF(AND(AND(F2709="",G2709=""),B2709="",C2709="",D2709="",J2709="",K2709="",L2709=""),"",IF(AND(F2709="",G2709=""),"✗ 没填金额",IF(AND(N(F2709)&lt;&gt;0,N(G2709)&lt;&gt;0),"✗ 收入、支出只能填一边",IF(NOT(ISNUMBER(B2709)),"✗ 日期不是真日期（要像 2026/9/25 这样填）",IF(OR(B2709&lt;年初日,B2709&gt;年末日),"✗ 日期不在本会计年度",IF(C2709="","✗ 没选账户",IF(COUNTIF(基础资料!$W$5:$W$24,C2709)=0,"✗ 账户不在基础资料里",IF(O2709="","✗ 没选收支项目",IF(P2709="未知","✗ 收支项目不在基础资料里",IF(AND(P2709="应收",J2709=""),"✗ 这笔要选客户",IF(AND(P2709="应收",COUNTIF(总览汇总!$B$5:$B$304,J2709)=0),"✗ 客户不在总览汇总名单里",IF(AND(P2709="应付",K2709=""),"✗ 这笔要选供应商",IF(AND(P2709="应付",COUNTIF(基础资料!$Q$5:$Q$54,K2709)=0),"✗ 供应商不在基础资料里",IF(AND(P2709="费用",L2709=""),"✗ 费用支出要选费用项目",IF(AND(L2709&lt;&gt;"",COUNTIF(基础资料!$AI$5:$AI$54,L2709)=0),"✗ 费用项目不在基础资料里",IF(AND(IFERROR(INDEX(基础资料!$AD$5:$AD$34,MATCH(O2709,基础资料!$AC$5:$AC$34,0)),"")="收",N(G2709)&lt;&gt;0),"✗ 这类是收款，金额填到收入列",IF(AND(IFERROR(INDEX(基础资料!$AD$5:$AD$34,MATCH(O2709,基础资料!$AC$5:$AC$34,0)),"")="支",N(F2709)&lt;&gt;0),"✗ 这类是付款，金额填到支出列",IF(N(H2709)&lt;0,"⚠ 账户余额成负数了，核对一下","√"))))))))))))))))))</f>
      </c>
      <c r="O2709" s="78">
        <f>IF(D2709&lt;&gt;"",D2709,IF(AND(F2709="",G2709=""),"",IF(J2709&lt;&gt;"",IF(N(F2709)&gt;0,"客户回款","客户退款"),IF(K2709&lt;&gt;"",IF(N(G2709)&gt;0,"供应商付款","供应商退款"),IF(L2709&lt;&gt;"","费用支出","")))))</f>
      </c>
      <c r="P2709" s="78">
        <f>IF(O2709="","",IFERROR(INDEX(基础资料!$AE$5:$AE$34,MATCH(O2709,基础资料!$AC$5:$AC$34,0)),"未知"))</f>
      </c>
      <c r="Q2709" s="78">
        <f>IF(P2709="应收",COUNTIF(P$7:P2709,"应收"),"")</f>
      </c>
      <c r="R2709" s="78">
        <f>IF(P2709="应付",COUNTIF(P$7:P2709,"应付"),"")</f>
      </c>
      <c r="S2709" s="78">
        <f>N(F2709)-N(G2709)</f>
        <v>0</v>
      </c>
    </row>
    <row r="2710">
      <c r="A2710" s="109">
        <f>IF(AND(F2710="",G2710=""),"",ROW()-6)</f>
      </c>
      <c r="B2710" s="140" t="n"/>
      <c r="C2710" s="141" t="n"/>
      <c r="D2710" s="141" t="n"/>
      <c r="E2710" s="142" t="n"/>
      <c r="F2710" s="143" t="n"/>
      <c r="G2710" s="144" t="n"/>
      <c r="H2710" s="145">
        <f>IF(OR(C2710="",AND(F2710="",G2710="")),"",SUMIF(基础资料!$W$5:$W$24,C2710,基础资料!$X$5:$X$24)+SUMIF(C$7:C2710,C2710,F$7:F2710)-SUMIF(C$7:C2710,C2710,G$7:G2710))</f>
      </c>
      <c r="I2710" s="145">
        <f>IF(AND(F2710="",G2710=""),"",SUM(基础资料!$X$5:$X$24)+SUM(F$7:F2710)-SUM(G$7:G2710))</f>
      </c>
      <c r="J2710" s="141" t="n"/>
      <c r="K2710" s="141" t="n"/>
      <c r="L2710" s="141" t="n"/>
      <c r="M2710" s="142" t="n"/>
      <c r="N2710" s="146">
        <f>IF(AND(AND(F2710="",G2710=""),B2710="",C2710="",D2710="",J2710="",K2710="",L2710=""),"",IF(AND(F2710="",G2710=""),"✗ 没填金额",IF(AND(N(F2710)&lt;&gt;0,N(G2710)&lt;&gt;0),"✗ 收入、支出只能填一边",IF(NOT(ISNUMBER(B2710)),"✗ 日期不是真日期（要像 2026/9/25 这样填）",IF(OR(B2710&lt;年初日,B2710&gt;年末日),"✗ 日期不在本会计年度",IF(C2710="","✗ 没选账户",IF(COUNTIF(基础资料!$W$5:$W$24,C2710)=0,"✗ 账户不在基础资料里",IF(O2710="","✗ 没选收支项目",IF(P2710="未知","✗ 收支项目不在基础资料里",IF(AND(P2710="应收",J2710=""),"✗ 这笔要选客户",IF(AND(P2710="应收",COUNTIF(总览汇总!$B$5:$B$304,J2710)=0),"✗ 客户不在总览汇总名单里",IF(AND(P2710="应付",K2710=""),"✗ 这笔要选供应商",IF(AND(P2710="应付",COUNTIF(基础资料!$Q$5:$Q$54,K2710)=0),"✗ 供应商不在基础资料里",IF(AND(P2710="费用",L2710=""),"✗ 费用支出要选费用项目",IF(AND(L2710&lt;&gt;"",COUNTIF(基础资料!$AI$5:$AI$54,L2710)=0),"✗ 费用项目不在基础资料里",IF(AND(IFERROR(INDEX(基础资料!$AD$5:$AD$34,MATCH(O2710,基础资料!$AC$5:$AC$34,0)),"")="收",N(G2710)&lt;&gt;0),"✗ 这类是收款，金额填到收入列",IF(AND(IFERROR(INDEX(基础资料!$AD$5:$AD$34,MATCH(O2710,基础资料!$AC$5:$AC$34,0)),"")="支",N(F2710)&lt;&gt;0),"✗ 这类是付款，金额填到支出列",IF(N(H2710)&lt;0,"⚠ 账户余额成负数了，核对一下","√"))))))))))))))))))</f>
      </c>
      <c r="O2710" s="78">
        <f>IF(D2710&lt;&gt;"",D2710,IF(AND(F2710="",G2710=""),"",IF(J2710&lt;&gt;"",IF(N(F2710)&gt;0,"客户回款","客户退款"),IF(K2710&lt;&gt;"",IF(N(G2710)&gt;0,"供应商付款","供应商退款"),IF(L2710&lt;&gt;"","费用支出","")))))</f>
      </c>
      <c r="P2710" s="78">
        <f>IF(O2710="","",IFERROR(INDEX(基础资料!$AE$5:$AE$34,MATCH(O2710,基础资料!$AC$5:$AC$34,0)),"未知"))</f>
      </c>
      <c r="Q2710" s="78">
        <f>IF(P2710="应收",COUNTIF(P$7:P2710,"应收"),"")</f>
      </c>
      <c r="R2710" s="78">
        <f>IF(P2710="应付",COUNTIF(P$7:P2710,"应付"),"")</f>
      </c>
      <c r="S2710" s="78">
        <f>N(F2710)-N(G2710)</f>
        <v>0</v>
      </c>
    </row>
    <row r="2711">
      <c r="A2711" s="109">
        <f>IF(AND(F2711="",G2711=""),"",ROW()-6)</f>
      </c>
      <c r="B2711" s="140" t="n"/>
      <c r="C2711" s="141" t="n"/>
      <c r="D2711" s="141" t="n"/>
      <c r="E2711" s="142" t="n"/>
      <c r="F2711" s="143" t="n"/>
      <c r="G2711" s="144" t="n"/>
      <c r="H2711" s="145">
        <f>IF(OR(C2711="",AND(F2711="",G2711="")),"",SUMIF(基础资料!$W$5:$W$24,C2711,基础资料!$X$5:$X$24)+SUMIF(C$7:C2711,C2711,F$7:F2711)-SUMIF(C$7:C2711,C2711,G$7:G2711))</f>
      </c>
      <c r="I2711" s="145">
        <f>IF(AND(F2711="",G2711=""),"",SUM(基础资料!$X$5:$X$24)+SUM(F$7:F2711)-SUM(G$7:G2711))</f>
      </c>
      <c r="J2711" s="141" t="n"/>
      <c r="K2711" s="141" t="n"/>
      <c r="L2711" s="141" t="n"/>
      <c r="M2711" s="142" t="n"/>
      <c r="N2711" s="146">
        <f>IF(AND(AND(F2711="",G2711=""),B2711="",C2711="",D2711="",J2711="",K2711="",L2711=""),"",IF(AND(F2711="",G2711=""),"✗ 没填金额",IF(AND(N(F2711)&lt;&gt;0,N(G2711)&lt;&gt;0),"✗ 收入、支出只能填一边",IF(NOT(ISNUMBER(B2711)),"✗ 日期不是真日期（要像 2026/9/25 这样填）",IF(OR(B2711&lt;年初日,B2711&gt;年末日),"✗ 日期不在本会计年度",IF(C2711="","✗ 没选账户",IF(COUNTIF(基础资料!$W$5:$W$24,C2711)=0,"✗ 账户不在基础资料里",IF(O2711="","✗ 没选收支项目",IF(P2711="未知","✗ 收支项目不在基础资料里",IF(AND(P2711="应收",J2711=""),"✗ 这笔要选客户",IF(AND(P2711="应收",COUNTIF(总览汇总!$B$5:$B$304,J2711)=0),"✗ 客户不在总览汇总名单里",IF(AND(P2711="应付",K2711=""),"✗ 这笔要选供应商",IF(AND(P2711="应付",COUNTIF(基础资料!$Q$5:$Q$54,K2711)=0),"✗ 供应商不在基础资料里",IF(AND(P2711="费用",L2711=""),"✗ 费用支出要选费用项目",IF(AND(L2711&lt;&gt;"",COUNTIF(基础资料!$AI$5:$AI$54,L2711)=0),"✗ 费用项目不在基础资料里",IF(AND(IFERROR(INDEX(基础资料!$AD$5:$AD$34,MATCH(O2711,基础资料!$AC$5:$AC$34,0)),"")="收",N(G2711)&lt;&gt;0),"✗ 这类是收款，金额填到收入列",IF(AND(IFERROR(INDEX(基础资料!$AD$5:$AD$34,MATCH(O2711,基础资料!$AC$5:$AC$34,0)),"")="支",N(F2711)&lt;&gt;0),"✗ 这类是付款，金额填到支出列",IF(N(H2711)&lt;0,"⚠ 账户余额成负数了，核对一下","√"))))))))))))))))))</f>
      </c>
      <c r="O2711" s="78">
        <f>IF(D2711&lt;&gt;"",D2711,IF(AND(F2711="",G2711=""),"",IF(J2711&lt;&gt;"",IF(N(F2711)&gt;0,"客户回款","客户退款"),IF(K2711&lt;&gt;"",IF(N(G2711)&gt;0,"供应商付款","供应商退款"),IF(L2711&lt;&gt;"","费用支出","")))))</f>
      </c>
      <c r="P2711" s="78">
        <f>IF(O2711="","",IFERROR(INDEX(基础资料!$AE$5:$AE$34,MATCH(O2711,基础资料!$AC$5:$AC$34,0)),"未知"))</f>
      </c>
      <c r="Q2711" s="78">
        <f>IF(P2711="应收",COUNTIF(P$7:P2711,"应收"),"")</f>
      </c>
      <c r="R2711" s="78">
        <f>IF(P2711="应付",COUNTIF(P$7:P2711,"应付"),"")</f>
      </c>
      <c r="S2711" s="78">
        <f>N(F2711)-N(G2711)</f>
        <v>0</v>
      </c>
    </row>
    <row r="2712">
      <c r="A2712" s="109">
        <f>IF(AND(F2712="",G2712=""),"",ROW()-6)</f>
      </c>
      <c r="B2712" s="140" t="n"/>
      <c r="C2712" s="141" t="n"/>
      <c r="D2712" s="141" t="n"/>
      <c r="E2712" s="142" t="n"/>
      <c r="F2712" s="143" t="n"/>
      <c r="G2712" s="144" t="n"/>
      <c r="H2712" s="145">
        <f>IF(OR(C2712="",AND(F2712="",G2712="")),"",SUMIF(基础资料!$W$5:$W$24,C2712,基础资料!$X$5:$X$24)+SUMIF(C$7:C2712,C2712,F$7:F2712)-SUMIF(C$7:C2712,C2712,G$7:G2712))</f>
      </c>
      <c r="I2712" s="145">
        <f>IF(AND(F2712="",G2712=""),"",SUM(基础资料!$X$5:$X$24)+SUM(F$7:F2712)-SUM(G$7:G2712))</f>
      </c>
      <c r="J2712" s="141" t="n"/>
      <c r="K2712" s="141" t="n"/>
      <c r="L2712" s="141" t="n"/>
      <c r="M2712" s="142" t="n"/>
      <c r="N2712" s="146">
        <f>IF(AND(AND(F2712="",G2712=""),B2712="",C2712="",D2712="",J2712="",K2712="",L2712=""),"",IF(AND(F2712="",G2712=""),"✗ 没填金额",IF(AND(N(F2712)&lt;&gt;0,N(G2712)&lt;&gt;0),"✗ 收入、支出只能填一边",IF(NOT(ISNUMBER(B2712)),"✗ 日期不是真日期（要像 2026/9/25 这样填）",IF(OR(B2712&lt;年初日,B2712&gt;年末日),"✗ 日期不在本会计年度",IF(C2712="","✗ 没选账户",IF(COUNTIF(基础资料!$W$5:$W$24,C2712)=0,"✗ 账户不在基础资料里",IF(O2712="","✗ 没选收支项目",IF(P2712="未知","✗ 收支项目不在基础资料里",IF(AND(P2712="应收",J2712=""),"✗ 这笔要选客户",IF(AND(P2712="应收",COUNTIF(总览汇总!$B$5:$B$304,J2712)=0),"✗ 客户不在总览汇总名单里",IF(AND(P2712="应付",K2712=""),"✗ 这笔要选供应商",IF(AND(P2712="应付",COUNTIF(基础资料!$Q$5:$Q$54,K2712)=0),"✗ 供应商不在基础资料里",IF(AND(P2712="费用",L2712=""),"✗ 费用支出要选费用项目",IF(AND(L2712&lt;&gt;"",COUNTIF(基础资料!$AI$5:$AI$54,L2712)=0),"✗ 费用项目不在基础资料里",IF(AND(IFERROR(INDEX(基础资料!$AD$5:$AD$34,MATCH(O2712,基础资料!$AC$5:$AC$34,0)),"")="收",N(G2712)&lt;&gt;0),"✗ 这类是收款，金额填到收入列",IF(AND(IFERROR(INDEX(基础资料!$AD$5:$AD$34,MATCH(O2712,基础资料!$AC$5:$AC$34,0)),"")="支",N(F2712)&lt;&gt;0),"✗ 这类是付款，金额填到支出列",IF(N(H2712)&lt;0,"⚠ 账户余额成负数了，核对一下","√"))))))))))))))))))</f>
      </c>
      <c r="O2712" s="78">
        <f>IF(D2712&lt;&gt;"",D2712,IF(AND(F2712="",G2712=""),"",IF(J2712&lt;&gt;"",IF(N(F2712)&gt;0,"客户回款","客户退款"),IF(K2712&lt;&gt;"",IF(N(G2712)&gt;0,"供应商付款","供应商退款"),IF(L2712&lt;&gt;"","费用支出","")))))</f>
      </c>
      <c r="P2712" s="78">
        <f>IF(O2712="","",IFERROR(INDEX(基础资料!$AE$5:$AE$34,MATCH(O2712,基础资料!$AC$5:$AC$34,0)),"未知"))</f>
      </c>
      <c r="Q2712" s="78">
        <f>IF(P2712="应收",COUNTIF(P$7:P2712,"应收"),"")</f>
      </c>
      <c r="R2712" s="78">
        <f>IF(P2712="应付",COUNTIF(P$7:P2712,"应付"),"")</f>
      </c>
      <c r="S2712" s="78">
        <f>N(F2712)-N(G2712)</f>
        <v>0</v>
      </c>
    </row>
    <row r="2713">
      <c r="A2713" s="109">
        <f>IF(AND(F2713="",G2713=""),"",ROW()-6)</f>
      </c>
      <c r="B2713" s="140" t="n"/>
      <c r="C2713" s="141" t="n"/>
      <c r="D2713" s="141" t="n"/>
      <c r="E2713" s="142" t="n"/>
      <c r="F2713" s="143" t="n"/>
      <c r="G2713" s="144" t="n"/>
      <c r="H2713" s="145">
        <f>IF(OR(C2713="",AND(F2713="",G2713="")),"",SUMIF(基础资料!$W$5:$W$24,C2713,基础资料!$X$5:$X$24)+SUMIF(C$7:C2713,C2713,F$7:F2713)-SUMIF(C$7:C2713,C2713,G$7:G2713))</f>
      </c>
      <c r="I2713" s="145">
        <f>IF(AND(F2713="",G2713=""),"",SUM(基础资料!$X$5:$X$24)+SUM(F$7:F2713)-SUM(G$7:G2713))</f>
      </c>
      <c r="J2713" s="141" t="n"/>
      <c r="K2713" s="141" t="n"/>
      <c r="L2713" s="141" t="n"/>
      <c r="M2713" s="142" t="n"/>
      <c r="N2713" s="146">
        <f>IF(AND(AND(F2713="",G2713=""),B2713="",C2713="",D2713="",J2713="",K2713="",L2713=""),"",IF(AND(F2713="",G2713=""),"✗ 没填金额",IF(AND(N(F2713)&lt;&gt;0,N(G2713)&lt;&gt;0),"✗ 收入、支出只能填一边",IF(NOT(ISNUMBER(B2713)),"✗ 日期不是真日期（要像 2026/9/25 这样填）",IF(OR(B2713&lt;年初日,B2713&gt;年末日),"✗ 日期不在本会计年度",IF(C2713="","✗ 没选账户",IF(COUNTIF(基础资料!$W$5:$W$24,C2713)=0,"✗ 账户不在基础资料里",IF(O2713="","✗ 没选收支项目",IF(P2713="未知","✗ 收支项目不在基础资料里",IF(AND(P2713="应收",J2713=""),"✗ 这笔要选客户",IF(AND(P2713="应收",COUNTIF(总览汇总!$B$5:$B$304,J2713)=0),"✗ 客户不在总览汇总名单里",IF(AND(P2713="应付",K2713=""),"✗ 这笔要选供应商",IF(AND(P2713="应付",COUNTIF(基础资料!$Q$5:$Q$54,K2713)=0),"✗ 供应商不在基础资料里",IF(AND(P2713="费用",L2713=""),"✗ 费用支出要选费用项目",IF(AND(L2713&lt;&gt;"",COUNTIF(基础资料!$AI$5:$AI$54,L2713)=0),"✗ 费用项目不在基础资料里",IF(AND(IFERROR(INDEX(基础资料!$AD$5:$AD$34,MATCH(O2713,基础资料!$AC$5:$AC$34,0)),"")="收",N(G2713)&lt;&gt;0),"✗ 这类是收款，金额填到收入列",IF(AND(IFERROR(INDEX(基础资料!$AD$5:$AD$34,MATCH(O2713,基础资料!$AC$5:$AC$34,0)),"")="支",N(F2713)&lt;&gt;0),"✗ 这类是付款，金额填到支出列",IF(N(H2713)&lt;0,"⚠ 账户余额成负数了，核对一下","√"))))))))))))))))))</f>
      </c>
      <c r="O2713" s="78">
        <f>IF(D2713&lt;&gt;"",D2713,IF(AND(F2713="",G2713=""),"",IF(J2713&lt;&gt;"",IF(N(F2713)&gt;0,"客户回款","客户退款"),IF(K2713&lt;&gt;"",IF(N(G2713)&gt;0,"供应商付款","供应商退款"),IF(L2713&lt;&gt;"","费用支出","")))))</f>
      </c>
      <c r="P2713" s="78">
        <f>IF(O2713="","",IFERROR(INDEX(基础资料!$AE$5:$AE$34,MATCH(O2713,基础资料!$AC$5:$AC$34,0)),"未知"))</f>
      </c>
      <c r="Q2713" s="78">
        <f>IF(P2713="应收",COUNTIF(P$7:P2713,"应收"),"")</f>
      </c>
      <c r="R2713" s="78">
        <f>IF(P2713="应付",COUNTIF(P$7:P2713,"应付"),"")</f>
      </c>
      <c r="S2713" s="78">
        <f>N(F2713)-N(G2713)</f>
        <v>0</v>
      </c>
    </row>
    <row r="2714">
      <c r="A2714" s="109">
        <f>IF(AND(F2714="",G2714=""),"",ROW()-6)</f>
      </c>
      <c r="B2714" s="140" t="n"/>
      <c r="C2714" s="141" t="n"/>
      <c r="D2714" s="141" t="n"/>
      <c r="E2714" s="142" t="n"/>
      <c r="F2714" s="143" t="n"/>
      <c r="G2714" s="144" t="n"/>
      <c r="H2714" s="145">
        <f>IF(OR(C2714="",AND(F2714="",G2714="")),"",SUMIF(基础资料!$W$5:$W$24,C2714,基础资料!$X$5:$X$24)+SUMIF(C$7:C2714,C2714,F$7:F2714)-SUMIF(C$7:C2714,C2714,G$7:G2714))</f>
      </c>
      <c r="I2714" s="145">
        <f>IF(AND(F2714="",G2714=""),"",SUM(基础资料!$X$5:$X$24)+SUM(F$7:F2714)-SUM(G$7:G2714))</f>
      </c>
      <c r="J2714" s="141" t="n"/>
      <c r="K2714" s="141" t="n"/>
      <c r="L2714" s="141" t="n"/>
      <c r="M2714" s="142" t="n"/>
      <c r="N2714" s="146">
        <f>IF(AND(AND(F2714="",G2714=""),B2714="",C2714="",D2714="",J2714="",K2714="",L2714=""),"",IF(AND(F2714="",G2714=""),"✗ 没填金额",IF(AND(N(F2714)&lt;&gt;0,N(G2714)&lt;&gt;0),"✗ 收入、支出只能填一边",IF(NOT(ISNUMBER(B2714)),"✗ 日期不是真日期（要像 2026/9/25 这样填）",IF(OR(B2714&lt;年初日,B2714&gt;年末日),"✗ 日期不在本会计年度",IF(C2714="","✗ 没选账户",IF(COUNTIF(基础资料!$W$5:$W$24,C2714)=0,"✗ 账户不在基础资料里",IF(O2714="","✗ 没选收支项目",IF(P2714="未知","✗ 收支项目不在基础资料里",IF(AND(P2714="应收",J2714=""),"✗ 这笔要选客户",IF(AND(P2714="应收",COUNTIF(总览汇总!$B$5:$B$304,J2714)=0),"✗ 客户不在总览汇总名单里",IF(AND(P2714="应付",K2714=""),"✗ 这笔要选供应商",IF(AND(P2714="应付",COUNTIF(基础资料!$Q$5:$Q$54,K2714)=0),"✗ 供应商不在基础资料里",IF(AND(P2714="费用",L2714=""),"✗ 费用支出要选费用项目",IF(AND(L2714&lt;&gt;"",COUNTIF(基础资料!$AI$5:$AI$54,L2714)=0),"✗ 费用项目不在基础资料里",IF(AND(IFERROR(INDEX(基础资料!$AD$5:$AD$34,MATCH(O2714,基础资料!$AC$5:$AC$34,0)),"")="收",N(G2714)&lt;&gt;0),"✗ 这类是收款，金额填到收入列",IF(AND(IFERROR(INDEX(基础资料!$AD$5:$AD$34,MATCH(O2714,基础资料!$AC$5:$AC$34,0)),"")="支",N(F2714)&lt;&gt;0),"✗ 这类是付款，金额填到支出列",IF(N(H2714)&lt;0,"⚠ 账户余额成负数了，核对一下","√"))))))))))))))))))</f>
      </c>
      <c r="O2714" s="78">
        <f>IF(D2714&lt;&gt;"",D2714,IF(AND(F2714="",G2714=""),"",IF(J2714&lt;&gt;"",IF(N(F2714)&gt;0,"客户回款","客户退款"),IF(K2714&lt;&gt;"",IF(N(G2714)&gt;0,"供应商付款","供应商退款"),IF(L2714&lt;&gt;"","费用支出","")))))</f>
      </c>
      <c r="P2714" s="78">
        <f>IF(O2714="","",IFERROR(INDEX(基础资料!$AE$5:$AE$34,MATCH(O2714,基础资料!$AC$5:$AC$34,0)),"未知"))</f>
      </c>
      <c r="Q2714" s="78">
        <f>IF(P2714="应收",COUNTIF(P$7:P2714,"应收"),"")</f>
      </c>
      <c r="R2714" s="78">
        <f>IF(P2714="应付",COUNTIF(P$7:P2714,"应付"),"")</f>
      </c>
      <c r="S2714" s="78">
        <f>N(F2714)-N(G2714)</f>
        <v>0</v>
      </c>
    </row>
    <row r="2715">
      <c r="A2715" s="109">
        <f>IF(AND(F2715="",G2715=""),"",ROW()-6)</f>
      </c>
      <c r="B2715" s="140" t="n"/>
      <c r="C2715" s="141" t="n"/>
      <c r="D2715" s="141" t="n"/>
      <c r="E2715" s="142" t="n"/>
      <c r="F2715" s="143" t="n"/>
      <c r="G2715" s="144" t="n"/>
      <c r="H2715" s="145">
        <f>IF(OR(C2715="",AND(F2715="",G2715="")),"",SUMIF(基础资料!$W$5:$W$24,C2715,基础资料!$X$5:$X$24)+SUMIF(C$7:C2715,C2715,F$7:F2715)-SUMIF(C$7:C2715,C2715,G$7:G2715))</f>
      </c>
      <c r="I2715" s="145">
        <f>IF(AND(F2715="",G2715=""),"",SUM(基础资料!$X$5:$X$24)+SUM(F$7:F2715)-SUM(G$7:G2715))</f>
      </c>
      <c r="J2715" s="141" t="n"/>
      <c r="K2715" s="141" t="n"/>
      <c r="L2715" s="141" t="n"/>
      <c r="M2715" s="142" t="n"/>
      <c r="N2715" s="146">
        <f>IF(AND(AND(F2715="",G2715=""),B2715="",C2715="",D2715="",J2715="",K2715="",L2715=""),"",IF(AND(F2715="",G2715=""),"✗ 没填金额",IF(AND(N(F2715)&lt;&gt;0,N(G2715)&lt;&gt;0),"✗ 收入、支出只能填一边",IF(NOT(ISNUMBER(B2715)),"✗ 日期不是真日期（要像 2026/9/25 这样填）",IF(OR(B2715&lt;年初日,B2715&gt;年末日),"✗ 日期不在本会计年度",IF(C2715="","✗ 没选账户",IF(COUNTIF(基础资料!$W$5:$W$24,C2715)=0,"✗ 账户不在基础资料里",IF(O2715="","✗ 没选收支项目",IF(P2715="未知","✗ 收支项目不在基础资料里",IF(AND(P2715="应收",J2715=""),"✗ 这笔要选客户",IF(AND(P2715="应收",COUNTIF(总览汇总!$B$5:$B$304,J2715)=0),"✗ 客户不在总览汇总名单里",IF(AND(P2715="应付",K2715=""),"✗ 这笔要选供应商",IF(AND(P2715="应付",COUNTIF(基础资料!$Q$5:$Q$54,K2715)=0),"✗ 供应商不在基础资料里",IF(AND(P2715="费用",L2715=""),"✗ 费用支出要选费用项目",IF(AND(L2715&lt;&gt;"",COUNTIF(基础资料!$AI$5:$AI$54,L2715)=0),"✗ 费用项目不在基础资料里",IF(AND(IFERROR(INDEX(基础资料!$AD$5:$AD$34,MATCH(O2715,基础资料!$AC$5:$AC$34,0)),"")="收",N(G2715)&lt;&gt;0),"✗ 这类是收款，金额填到收入列",IF(AND(IFERROR(INDEX(基础资料!$AD$5:$AD$34,MATCH(O2715,基础资料!$AC$5:$AC$34,0)),"")="支",N(F2715)&lt;&gt;0),"✗ 这类是付款，金额填到支出列",IF(N(H2715)&lt;0,"⚠ 账户余额成负数了，核对一下","√"))))))))))))))))))</f>
      </c>
      <c r="O2715" s="78">
        <f>IF(D2715&lt;&gt;"",D2715,IF(AND(F2715="",G2715=""),"",IF(J2715&lt;&gt;"",IF(N(F2715)&gt;0,"客户回款","客户退款"),IF(K2715&lt;&gt;"",IF(N(G2715)&gt;0,"供应商付款","供应商退款"),IF(L2715&lt;&gt;"","费用支出","")))))</f>
      </c>
      <c r="P2715" s="78">
        <f>IF(O2715="","",IFERROR(INDEX(基础资料!$AE$5:$AE$34,MATCH(O2715,基础资料!$AC$5:$AC$34,0)),"未知"))</f>
      </c>
      <c r="Q2715" s="78">
        <f>IF(P2715="应收",COUNTIF(P$7:P2715,"应收"),"")</f>
      </c>
      <c r="R2715" s="78">
        <f>IF(P2715="应付",COUNTIF(P$7:P2715,"应付"),"")</f>
      </c>
      <c r="S2715" s="78">
        <f>N(F2715)-N(G2715)</f>
        <v>0</v>
      </c>
    </row>
    <row r="2716">
      <c r="A2716" s="109">
        <f>IF(AND(F2716="",G2716=""),"",ROW()-6)</f>
      </c>
      <c r="B2716" s="140" t="n"/>
      <c r="C2716" s="141" t="n"/>
      <c r="D2716" s="141" t="n"/>
      <c r="E2716" s="142" t="n"/>
      <c r="F2716" s="143" t="n"/>
      <c r="G2716" s="144" t="n"/>
      <c r="H2716" s="145">
        <f>IF(OR(C2716="",AND(F2716="",G2716="")),"",SUMIF(基础资料!$W$5:$W$24,C2716,基础资料!$X$5:$X$24)+SUMIF(C$7:C2716,C2716,F$7:F2716)-SUMIF(C$7:C2716,C2716,G$7:G2716))</f>
      </c>
      <c r="I2716" s="145">
        <f>IF(AND(F2716="",G2716=""),"",SUM(基础资料!$X$5:$X$24)+SUM(F$7:F2716)-SUM(G$7:G2716))</f>
      </c>
      <c r="J2716" s="141" t="n"/>
      <c r="K2716" s="141" t="n"/>
      <c r="L2716" s="141" t="n"/>
      <c r="M2716" s="142" t="n"/>
      <c r="N2716" s="146">
        <f>IF(AND(AND(F2716="",G2716=""),B2716="",C2716="",D2716="",J2716="",K2716="",L2716=""),"",IF(AND(F2716="",G2716=""),"✗ 没填金额",IF(AND(N(F2716)&lt;&gt;0,N(G2716)&lt;&gt;0),"✗ 收入、支出只能填一边",IF(NOT(ISNUMBER(B2716)),"✗ 日期不是真日期（要像 2026/9/25 这样填）",IF(OR(B2716&lt;年初日,B2716&gt;年末日),"✗ 日期不在本会计年度",IF(C2716="","✗ 没选账户",IF(COUNTIF(基础资料!$W$5:$W$24,C2716)=0,"✗ 账户不在基础资料里",IF(O2716="","✗ 没选收支项目",IF(P2716="未知","✗ 收支项目不在基础资料里",IF(AND(P2716="应收",J2716=""),"✗ 这笔要选客户",IF(AND(P2716="应收",COUNTIF(总览汇总!$B$5:$B$304,J2716)=0),"✗ 客户不在总览汇总名单里",IF(AND(P2716="应付",K2716=""),"✗ 这笔要选供应商",IF(AND(P2716="应付",COUNTIF(基础资料!$Q$5:$Q$54,K2716)=0),"✗ 供应商不在基础资料里",IF(AND(P2716="费用",L2716=""),"✗ 费用支出要选费用项目",IF(AND(L2716&lt;&gt;"",COUNTIF(基础资料!$AI$5:$AI$54,L2716)=0),"✗ 费用项目不在基础资料里",IF(AND(IFERROR(INDEX(基础资料!$AD$5:$AD$34,MATCH(O2716,基础资料!$AC$5:$AC$34,0)),"")="收",N(G2716)&lt;&gt;0),"✗ 这类是收款，金额填到收入列",IF(AND(IFERROR(INDEX(基础资料!$AD$5:$AD$34,MATCH(O2716,基础资料!$AC$5:$AC$34,0)),"")="支",N(F2716)&lt;&gt;0),"✗ 这类是付款，金额填到支出列",IF(N(H2716)&lt;0,"⚠ 账户余额成负数了，核对一下","√"))))))))))))))))))</f>
      </c>
      <c r="O2716" s="78">
        <f>IF(D2716&lt;&gt;"",D2716,IF(AND(F2716="",G2716=""),"",IF(J2716&lt;&gt;"",IF(N(F2716)&gt;0,"客户回款","客户退款"),IF(K2716&lt;&gt;"",IF(N(G2716)&gt;0,"供应商付款","供应商退款"),IF(L2716&lt;&gt;"","费用支出","")))))</f>
      </c>
      <c r="P2716" s="78">
        <f>IF(O2716="","",IFERROR(INDEX(基础资料!$AE$5:$AE$34,MATCH(O2716,基础资料!$AC$5:$AC$34,0)),"未知"))</f>
      </c>
      <c r="Q2716" s="78">
        <f>IF(P2716="应收",COUNTIF(P$7:P2716,"应收"),"")</f>
      </c>
      <c r="R2716" s="78">
        <f>IF(P2716="应付",COUNTIF(P$7:P2716,"应付"),"")</f>
      </c>
      <c r="S2716" s="78">
        <f>N(F2716)-N(G2716)</f>
        <v>0</v>
      </c>
    </row>
    <row r="2717">
      <c r="A2717" s="109">
        <f>IF(AND(F2717="",G2717=""),"",ROW()-6)</f>
      </c>
      <c r="B2717" s="140" t="n"/>
      <c r="C2717" s="141" t="n"/>
      <c r="D2717" s="141" t="n"/>
      <c r="E2717" s="142" t="n"/>
      <c r="F2717" s="143" t="n"/>
      <c r="G2717" s="144" t="n"/>
      <c r="H2717" s="145">
        <f>IF(OR(C2717="",AND(F2717="",G2717="")),"",SUMIF(基础资料!$W$5:$W$24,C2717,基础资料!$X$5:$X$24)+SUMIF(C$7:C2717,C2717,F$7:F2717)-SUMIF(C$7:C2717,C2717,G$7:G2717))</f>
      </c>
      <c r="I2717" s="145">
        <f>IF(AND(F2717="",G2717=""),"",SUM(基础资料!$X$5:$X$24)+SUM(F$7:F2717)-SUM(G$7:G2717))</f>
      </c>
      <c r="J2717" s="141" t="n"/>
      <c r="K2717" s="141" t="n"/>
      <c r="L2717" s="141" t="n"/>
      <c r="M2717" s="142" t="n"/>
      <c r="N2717" s="146">
        <f>IF(AND(AND(F2717="",G2717=""),B2717="",C2717="",D2717="",J2717="",K2717="",L2717=""),"",IF(AND(F2717="",G2717=""),"✗ 没填金额",IF(AND(N(F2717)&lt;&gt;0,N(G2717)&lt;&gt;0),"✗ 收入、支出只能填一边",IF(NOT(ISNUMBER(B2717)),"✗ 日期不是真日期（要像 2026/9/25 这样填）",IF(OR(B2717&lt;年初日,B2717&gt;年末日),"✗ 日期不在本会计年度",IF(C2717="","✗ 没选账户",IF(COUNTIF(基础资料!$W$5:$W$24,C2717)=0,"✗ 账户不在基础资料里",IF(O2717="","✗ 没选收支项目",IF(P2717="未知","✗ 收支项目不在基础资料里",IF(AND(P2717="应收",J2717=""),"✗ 这笔要选客户",IF(AND(P2717="应收",COUNTIF(总览汇总!$B$5:$B$304,J2717)=0),"✗ 客户不在总览汇总名单里",IF(AND(P2717="应付",K2717=""),"✗ 这笔要选供应商",IF(AND(P2717="应付",COUNTIF(基础资料!$Q$5:$Q$54,K2717)=0),"✗ 供应商不在基础资料里",IF(AND(P2717="费用",L2717=""),"✗ 费用支出要选费用项目",IF(AND(L2717&lt;&gt;"",COUNTIF(基础资料!$AI$5:$AI$54,L2717)=0),"✗ 费用项目不在基础资料里",IF(AND(IFERROR(INDEX(基础资料!$AD$5:$AD$34,MATCH(O2717,基础资料!$AC$5:$AC$34,0)),"")="收",N(G2717)&lt;&gt;0),"✗ 这类是收款，金额填到收入列",IF(AND(IFERROR(INDEX(基础资料!$AD$5:$AD$34,MATCH(O2717,基础资料!$AC$5:$AC$34,0)),"")="支",N(F2717)&lt;&gt;0),"✗ 这类是付款，金额填到支出列",IF(N(H2717)&lt;0,"⚠ 账户余额成负数了，核对一下","√"))))))))))))))))))</f>
      </c>
      <c r="O2717" s="78">
        <f>IF(D2717&lt;&gt;"",D2717,IF(AND(F2717="",G2717=""),"",IF(J2717&lt;&gt;"",IF(N(F2717)&gt;0,"客户回款","客户退款"),IF(K2717&lt;&gt;"",IF(N(G2717)&gt;0,"供应商付款","供应商退款"),IF(L2717&lt;&gt;"","费用支出","")))))</f>
      </c>
      <c r="P2717" s="78">
        <f>IF(O2717="","",IFERROR(INDEX(基础资料!$AE$5:$AE$34,MATCH(O2717,基础资料!$AC$5:$AC$34,0)),"未知"))</f>
      </c>
      <c r="Q2717" s="78">
        <f>IF(P2717="应收",COUNTIF(P$7:P2717,"应收"),"")</f>
      </c>
      <c r="R2717" s="78">
        <f>IF(P2717="应付",COUNTIF(P$7:P2717,"应付"),"")</f>
      </c>
      <c r="S2717" s="78">
        <f>N(F2717)-N(G2717)</f>
        <v>0</v>
      </c>
    </row>
    <row r="2718">
      <c r="A2718" s="109">
        <f>IF(AND(F2718="",G2718=""),"",ROW()-6)</f>
      </c>
      <c r="B2718" s="140" t="n"/>
      <c r="C2718" s="141" t="n"/>
      <c r="D2718" s="141" t="n"/>
      <c r="E2718" s="142" t="n"/>
      <c r="F2718" s="143" t="n"/>
      <c r="G2718" s="144" t="n"/>
      <c r="H2718" s="145">
        <f>IF(OR(C2718="",AND(F2718="",G2718="")),"",SUMIF(基础资料!$W$5:$W$24,C2718,基础资料!$X$5:$X$24)+SUMIF(C$7:C2718,C2718,F$7:F2718)-SUMIF(C$7:C2718,C2718,G$7:G2718))</f>
      </c>
      <c r="I2718" s="145">
        <f>IF(AND(F2718="",G2718=""),"",SUM(基础资料!$X$5:$X$24)+SUM(F$7:F2718)-SUM(G$7:G2718))</f>
      </c>
      <c r="J2718" s="141" t="n"/>
      <c r="K2718" s="141" t="n"/>
      <c r="L2718" s="141" t="n"/>
      <c r="M2718" s="142" t="n"/>
      <c r="N2718" s="146">
        <f>IF(AND(AND(F2718="",G2718=""),B2718="",C2718="",D2718="",J2718="",K2718="",L2718=""),"",IF(AND(F2718="",G2718=""),"✗ 没填金额",IF(AND(N(F2718)&lt;&gt;0,N(G2718)&lt;&gt;0),"✗ 收入、支出只能填一边",IF(NOT(ISNUMBER(B2718)),"✗ 日期不是真日期（要像 2026/9/25 这样填）",IF(OR(B2718&lt;年初日,B2718&gt;年末日),"✗ 日期不在本会计年度",IF(C2718="","✗ 没选账户",IF(COUNTIF(基础资料!$W$5:$W$24,C2718)=0,"✗ 账户不在基础资料里",IF(O2718="","✗ 没选收支项目",IF(P2718="未知","✗ 收支项目不在基础资料里",IF(AND(P2718="应收",J2718=""),"✗ 这笔要选客户",IF(AND(P2718="应收",COUNTIF(总览汇总!$B$5:$B$304,J2718)=0),"✗ 客户不在总览汇总名单里",IF(AND(P2718="应付",K2718=""),"✗ 这笔要选供应商",IF(AND(P2718="应付",COUNTIF(基础资料!$Q$5:$Q$54,K2718)=0),"✗ 供应商不在基础资料里",IF(AND(P2718="费用",L2718=""),"✗ 费用支出要选费用项目",IF(AND(L2718&lt;&gt;"",COUNTIF(基础资料!$AI$5:$AI$54,L2718)=0),"✗ 费用项目不在基础资料里",IF(AND(IFERROR(INDEX(基础资料!$AD$5:$AD$34,MATCH(O2718,基础资料!$AC$5:$AC$34,0)),"")="收",N(G2718)&lt;&gt;0),"✗ 这类是收款，金额填到收入列",IF(AND(IFERROR(INDEX(基础资料!$AD$5:$AD$34,MATCH(O2718,基础资料!$AC$5:$AC$34,0)),"")="支",N(F2718)&lt;&gt;0),"✗ 这类是付款，金额填到支出列",IF(N(H2718)&lt;0,"⚠ 账户余额成负数了，核对一下","√"))))))))))))))))))</f>
      </c>
      <c r="O2718" s="78">
        <f>IF(D2718&lt;&gt;"",D2718,IF(AND(F2718="",G2718=""),"",IF(J2718&lt;&gt;"",IF(N(F2718)&gt;0,"客户回款","客户退款"),IF(K2718&lt;&gt;"",IF(N(G2718)&gt;0,"供应商付款","供应商退款"),IF(L2718&lt;&gt;"","费用支出","")))))</f>
      </c>
      <c r="P2718" s="78">
        <f>IF(O2718="","",IFERROR(INDEX(基础资料!$AE$5:$AE$34,MATCH(O2718,基础资料!$AC$5:$AC$34,0)),"未知"))</f>
      </c>
      <c r="Q2718" s="78">
        <f>IF(P2718="应收",COUNTIF(P$7:P2718,"应收"),"")</f>
      </c>
      <c r="R2718" s="78">
        <f>IF(P2718="应付",COUNTIF(P$7:P2718,"应付"),"")</f>
      </c>
      <c r="S2718" s="78">
        <f>N(F2718)-N(G2718)</f>
        <v>0</v>
      </c>
    </row>
    <row r="2719">
      <c r="A2719" s="109">
        <f>IF(AND(F2719="",G2719=""),"",ROW()-6)</f>
      </c>
      <c r="B2719" s="140" t="n"/>
      <c r="C2719" s="141" t="n"/>
      <c r="D2719" s="141" t="n"/>
      <c r="E2719" s="142" t="n"/>
      <c r="F2719" s="143" t="n"/>
      <c r="G2719" s="144" t="n"/>
      <c r="H2719" s="145">
        <f>IF(OR(C2719="",AND(F2719="",G2719="")),"",SUMIF(基础资料!$W$5:$W$24,C2719,基础资料!$X$5:$X$24)+SUMIF(C$7:C2719,C2719,F$7:F2719)-SUMIF(C$7:C2719,C2719,G$7:G2719))</f>
      </c>
      <c r="I2719" s="145">
        <f>IF(AND(F2719="",G2719=""),"",SUM(基础资料!$X$5:$X$24)+SUM(F$7:F2719)-SUM(G$7:G2719))</f>
      </c>
      <c r="J2719" s="141" t="n"/>
      <c r="K2719" s="141" t="n"/>
      <c r="L2719" s="141" t="n"/>
      <c r="M2719" s="142" t="n"/>
      <c r="N2719" s="146">
        <f>IF(AND(AND(F2719="",G2719=""),B2719="",C2719="",D2719="",J2719="",K2719="",L2719=""),"",IF(AND(F2719="",G2719=""),"✗ 没填金额",IF(AND(N(F2719)&lt;&gt;0,N(G2719)&lt;&gt;0),"✗ 收入、支出只能填一边",IF(NOT(ISNUMBER(B2719)),"✗ 日期不是真日期（要像 2026/9/25 这样填）",IF(OR(B2719&lt;年初日,B2719&gt;年末日),"✗ 日期不在本会计年度",IF(C2719="","✗ 没选账户",IF(COUNTIF(基础资料!$W$5:$W$24,C2719)=0,"✗ 账户不在基础资料里",IF(O2719="","✗ 没选收支项目",IF(P2719="未知","✗ 收支项目不在基础资料里",IF(AND(P2719="应收",J2719=""),"✗ 这笔要选客户",IF(AND(P2719="应收",COUNTIF(总览汇总!$B$5:$B$304,J2719)=0),"✗ 客户不在总览汇总名单里",IF(AND(P2719="应付",K2719=""),"✗ 这笔要选供应商",IF(AND(P2719="应付",COUNTIF(基础资料!$Q$5:$Q$54,K2719)=0),"✗ 供应商不在基础资料里",IF(AND(P2719="费用",L2719=""),"✗ 费用支出要选费用项目",IF(AND(L2719&lt;&gt;"",COUNTIF(基础资料!$AI$5:$AI$54,L2719)=0),"✗ 费用项目不在基础资料里",IF(AND(IFERROR(INDEX(基础资料!$AD$5:$AD$34,MATCH(O2719,基础资料!$AC$5:$AC$34,0)),"")="收",N(G2719)&lt;&gt;0),"✗ 这类是收款，金额填到收入列",IF(AND(IFERROR(INDEX(基础资料!$AD$5:$AD$34,MATCH(O2719,基础资料!$AC$5:$AC$34,0)),"")="支",N(F2719)&lt;&gt;0),"✗ 这类是付款，金额填到支出列",IF(N(H2719)&lt;0,"⚠ 账户余额成负数了，核对一下","√"))))))))))))))))))</f>
      </c>
      <c r="O2719" s="78">
        <f>IF(D2719&lt;&gt;"",D2719,IF(AND(F2719="",G2719=""),"",IF(J2719&lt;&gt;"",IF(N(F2719)&gt;0,"客户回款","客户退款"),IF(K2719&lt;&gt;"",IF(N(G2719)&gt;0,"供应商付款","供应商退款"),IF(L2719&lt;&gt;"","费用支出","")))))</f>
      </c>
      <c r="P2719" s="78">
        <f>IF(O2719="","",IFERROR(INDEX(基础资料!$AE$5:$AE$34,MATCH(O2719,基础资料!$AC$5:$AC$34,0)),"未知"))</f>
      </c>
      <c r="Q2719" s="78">
        <f>IF(P2719="应收",COUNTIF(P$7:P2719,"应收"),"")</f>
      </c>
      <c r="R2719" s="78">
        <f>IF(P2719="应付",COUNTIF(P$7:P2719,"应付"),"")</f>
      </c>
      <c r="S2719" s="78">
        <f>N(F2719)-N(G2719)</f>
        <v>0</v>
      </c>
    </row>
    <row r="2720">
      <c r="A2720" s="109">
        <f>IF(AND(F2720="",G2720=""),"",ROW()-6)</f>
      </c>
      <c r="B2720" s="140" t="n"/>
      <c r="C2720" s="141" t="n"/>
      <c r="D2720" s="141" t="n"/>
      <c r="E2720" s="142" t="n"/>
      <c r="F2720" s="143" t="n"/>
      <c r="G2720" s="144" t="n"/>
      <c r="H2720" s="145">
        <f>IF(OR(C2720="",AND(F2720="",G2720="")),"",SUMIF(基础资料!$W$5:$W$24,C2720,基础资料!$X$5:$X$24)+SUMIF(C$7:C2720,C2720,F$7:F2720)-SUMIF(C$7:C2720,C2720,G$7:G2720))</f>
      </c>
      <c r="I2720" s="145">
        <f>IF(AND(F2720="",G2720=""),"",SUM(基础资料!$X$5:$X$24)+SUM(F$7:F2720)-SUM(G$7:G2720))</f>
      </c>
      <c r="J2720" s="141" t="n"/>
      <c r="K2720" s="141" t="n"/>
      <c r="L2720" s="141" t="n"/>
      <c r="M2720" s="142" t="n"/>
      <c r="N2720" s="146">
        <f>IF(AND(AND(F2720="",G2720=""),B2720="",C2720="",D2720="",J2720="",K2720="",L2720=""),"",IF(AND(F2720="",G2720=""),"✗ 没填金额",IF(AND(N(F2720)&lt;&gt;0,N(G2720)&lt;&gt;0),"✗ 收入、支出只能填一边",IF(NOT(ISNUMBER(B2720)),"✗ 日期不是真日期（要像 2026/9/25 这样填）",IF(OR(B2720&lt;年初日,B2720&gt;年末日),"✗ 日期不在本会计年度",IF(C2720="","✗ 没选账户",IF(COUNTIF(基础资料!$W$5:$W$24,C2720)=0,"✗ 账户不在基础资料里",IF(O2720="","✗ 没选收支项目",IF(P2720="未知","✗ 收支项目不在基础资料里",IF(AND(P2720="应收",J2720=""),"✗ 这笔要选客户",IF(AND(P2720="应收",COUNTIF(总览汇总!$B$5:$B$304,J2720)=0),"✗ 客户不在总览汇总名单里",IF(AND(P2720="应付",K2720=""),"✗ 这笔要选供应商",IF(AND(P2720="应付",COUNTIF(基础资料!$Q$5:$Q$54,K2720)=0),"✗ 供应商不在基础资料里",IF(AND(P2720="费用",L2720=""),"✗ 费用支出要选费用项目",IF(AND(L2720&lt;&gt;"",COUNTIF(基础资料!$AI$5:$AI$54,L2720)=0),"✗ 费用项目不在基础资料里",IF(AND(IFERROR(INDEX(基础资料!$AD$5:$AD$34,MATCH(O2720,基础资料!$AC$5:$AC$34,0)),"")="收",N(G2720)&lt;&gt;0),"✗ 这类是收款，金额填到收入列",IF(AND(IFERROR(INDEX(基础资料!$AD$5:$AD$34,MATCH(O2720,基础资料!$AC$5:$AC$34,0)),"")="支",N(F2720)&lt;&gt;0),"✗ 这类是付款，金额填到支出列",IF(N(H2720)&lt;0,"⚠ 账户余额成负数了，核对一下","√"))))))))))))))))))</f>
      </c>
      <c r="O2720" s="78">
        <f>IF(D2720&lt;&gt;"",D2720,IF(AND(F2720="",G2720=""),"",IF(J2720&lt;&gt;"",IF(N(F2720)&gt;0,"客户回款","客户退款"),IF(K2720&lt;&gt;"",IF(N(G2720)&gt;0,"供应商付款","供应商退款"),IF(L2720&lt;&gt;"","费用支出","")))))</f>
      </c>
      <c r="P2720" s="78">
        <f>IF(O2720="","",IFERROR(INDEX(基础资料!$AE$5:$AE$34,MATCH(O2720,基础资料!$AC$5:$AC$34,0)),"未知"))</f>
      </c>
      <c r="Q2720" s="78">
        <f>IF(P2720="应收",COUNTIF(P$7:P2720,"应收"),"")</f>
      </c>
      <c r="R2720" s="78">
        <f>IF(P2720="应付",COUNTIF(P$7:P2720,"应付"),"")</f>
      </c>
      <c r="S2720" s="78">
        <f>N(F2720)-N(G2720)</f>
        <v>0</v>
      </c>
    </row>
    <row r="2721">
      <c r="A2721" s="109">
        <f>IF(AND(F2721="",G2721=""),"",ROW()-6)</f>
      </c>
      <c r="B2721" s="140" t="n"/>
      <c r="C2721" s="141" t="n"/>
      <c r="D2721" s="141" t="n"/>
      <c r="E2721" s="142" t="n"/>
      <c r="F2721" s="143" t="n"/>
      <c r="G2721" s="144" t="n"/>
      <c r="H2721" s="145">
        <f>IF(OR(C2721="",AND(F2721="",G2721="")),"",SUMIF(基础资料!$W$5:$W$24,C2721,基础资料!$X$5:$X$24)+SUMIF(C$7:C2721,C2721,F$7:F2721)-SUMIF(C$7:C2721,C2721,G$7:G2721))</f>
      </c>
      <c r="I2721" s="145">
        <f>IF(AND(F2721="",G2721=""),"",SUM(基础资料!$X$5:$X$24)+SUM(F$7:F2721)-SUM(G$7:G2721))</f>
      </c>
      <c r="J2721" s="141" t="n"/>
      <c r="K2721" s="141" t="n"/>
      <c r="L2721" s="141" t="n"/>
      <c r="M2721" s="142" t="n"/>
      <c r="N2721" s="146">
        <f>IF(AND(AND(F2721="",G2721=""),B2721="",C2721="",D2721="",J2721="",K2721="",L2721=""),"",IF(AND(F2721="",G2721=""),"✗ 没填金额",IF(AND(N(F2721)&lt;&gt;0,N(G2721)&lt;&gt;0),"✗ 收入、支出只能填一边",IF(NOT(ISNUMBER(B2721)),"✗ 日期不是真日期（要像 2026/9/25 这样填）",IF(OR(B2721&lt;年初日,B2721&gt;年末日),"✗ 日期不在本会计年度",IF(C2721="","✗ 没选账户",IF(COUNTIF(基础资料!$W$5:$W$24,C2721)=0,"✗ 账户不在基础资料里",IF(O2721="","✗ 没选收支项目",IF(P2721="未知","✗ 收支项目不在基础资料里",IF(AND(P2721="应收",J2721=""),"✗ 这笔要选客户",IF(AND(P2721="应收",COUNTIF(总览汇总!$B$5:$B$304,J2721)=0),"✗ 客户不在总览汇总名单里",IF(AND(P2721="应付",K2721=""),"✗ 这笔要选供应商",IF(AND(P2721="应付",COUNTIF(基础资料!$Q$5:$Q$54,K2721)=0),"✗ 供应商不在基础资料里",IF(AND(P2721="费用",L2721=""),"✗ 费用支出要选费用项目",IF(AND(L2721&lt;&gt;"",COUNTIF(基础资料!$AI$5:$AI$54,L2721)=0),"✗ 费用项目不在基础资料里",IF(AND(IFERROR(INDEX(基础资料!$AD$5:$AD$34,MATCH(O2721,基础资料!$AC$5:$AC$34,0)),"")="收",N(G2721)&lt;&gt;0),"✗ 这类是收款，金额填到收入列",IF(AND(IFERROR(INDEX(基础资料!$AD$5:$AD$34,MATCH(O2721,基础资料!$AC$5:$AC$34,0)),"")="支",N(F2721)&lt;&gt;0),"✗ 这类是付款，金额填到支出列",IF(N(H2721)&lt;0,"⚠ 账户余额成负数了，核对一下","√"))))))))))))))))))</f>
      </c>
      <c r="O2721" s="78">
        <f>IF(D2721&lt;&gt;"",D2721,IF(AND(F2721="",G2721=""),"",IF(J2721&lt;&gt;"",IF(N(F2721)&gt;0,"客户回款","客户退款"),IF(K2721&lt;&gt;"",IF(N(G2721)&gt;0,"供应商付款","供应商退款"),IF(L2721&lt;&gt;"","费用支出","")))))</f>
      </c>
      <c r="P2721" s="78">
        <f>IF(O2721="","",IFERROR(INDEX(基础资料!$AE$5:$AE$34,MATCH(O2721,基础资料!$AC$5:$AC$34,0)),"未知"))</f>
      </c>
      <c r="Q2721" s="78">
        <f>IF(P2721="应收",COUNTIF(P$7:P2721,"应收"),"")</f>
      </c>
      <c r="R2721" s="78">
        <f>IF(P2721="应付",COUNTIF(P$7:P2721,"应付"),"")</f>
      </c>
      <c r="S2721" s="78">
        <f>N(F2721)-N(G2721)</f>
        <v>0</v>
      </c>
    </row>
    <row r="2722">
      <c r="A2722" s="109">
        <f>IF(AND(F2722="",G2722=""),"",ROW()-6)</f>
      </c>
      <c r="B2722" s="140" t="n"/>
      <c r="C2722" s="141" t="n"/>
      <c r="D2722" s="141" t="n"/>
      <c r="E2722" s="142" t="n"/>
      <c r="F2722" s="143" t="n"/>
      <c r="G2722" s="144" t="n"/>
      <c r="H2722" s="145">
        <f>IF(OR(C2722="",AND(F2722="",G2722="")),"",SUMIF(基础资料!$W$5:$W$24,C2722,基础资料!$X$5:$X$24)+SUMIF(C$7:C2722,C2722,F$7:F2722)-SUMIF(C$7:C2722,C2722,G$7:G2722))</f>
      </c>
      <c r="I2722" s="145">
        <f>IF(AND(F2722="",G2722=""),"",SUM(基础资料!$X$5:$X$24)+SUM(F$7:F2722)-SUM(G$7:G2722))</f>
      </c>
      <c r="J2722" s="141" t="n"/>
      <c r="K2722" s="141" t="n"/>
      <c r="L2722" s="141" t="n"/>
      <c r="M2722" s="142" t="n"/>
      <c r="N2722" s="146">
        <f>IF(AND(AND(F2722="",G2722=""),B2722="",C2722="",D2722="",J2722="",K2722="",L2722=""),"",IF(AND(F2722="",G2722=""),"✗ 没填金额",IF(AND(N(F2722)&lt;&gt;0,N(G2722)&lt;&gt;0),"✗ 收入、支出只能填一边",IF(NOT(ISNUMBER(B2722)),"✗ 日期不是真日期（要像 2026/9/25 这样填）",IF(OR(B2722&lt;年初日,B2722&gt;年末日),"✗ 日期不在本会计年度",IF(C2722="","✗ 没选账户",IF(COUNTIF(基础资料!$W$5:$W$24,C2722)=0,"✗ 账户不在基础资料里",IF(O2722="","✗ 没选收支项目",IF(P2722="未知","✗ 收支项目不在基础资料里",IF(AND(P2722="应收",J2722=""),"✗ 这笔要选客户",IF(AND(P2722="应收",COUNTIF(总览汇总!$B$5:$B$304,J2722)=0),"✗ 客户不在总览汇总名单里",IF(AND(P2722="应付",K2722=""),"✗ 这笔要选供应商",IF(AND(P2722="应付",COUNTIF(基础资料!$Q$5:$Q$54,K2722)=0),"✗ 供应商不在基础资料里",IF(AND(P2722="费用",L2722=""),"✗ 费用支出要选费用项目",IF(AND(L2722&lt;&gt;"",COUNTIF(基础资料!$AI$5:$AI$54,L2722)=0),"✗ 费用项目不在基础资料里",IF(AND(IFERROR(INDEX(基础资料!$AD$5:$AD$34,MATCH(O2722,基础资料!$AC$5:$AC$34,0)),"")="收",N(G2722)&lt;&gt;0),"✗ 这类是收款，金额填到收入列",IF(AND(IFERROR(INDEX(基础资料!$AD$5:$AD$34,MATCH(O2722,基础资料!$AC$5:$AC$34,0)),"")="支",N(F2722)&lt;&gt;0),"✗ 这类是付款，金额填到支出列",IF(N(H2722)&lt;0,"⚠ 账户余额成负数了，核对一下","√"))))))))))))))))))</f>
      </c>
      <c r="O2722" s="78">
        <f>IF(D2722&lt;&gt;"",D2722,IF(AND(F2722="",G2722=""),"",IF(J2722&lt;&gt;"",IF(N(F2722)&gt;0,"客户回款","客户退款"),IF(K2722&lt;&gt;"",IF(N(G2722)&gt;0,"供应商付款","供应商退款"),IF(L2722&lt;&gt;"","费用支出","")))))</f>
      </c>
      <c r="P2722" s="78">
        <f>IF(O2722="","",IFERROR(INDEX(基础资料!$AE$5:$AE$34,MATCH(O2722,基础资料!$AC$5:$AC$34,0)),"未知"))</f>
      </c>
      <c r="Q2722" s="78">
        <f>IF(P2722="应收",COUNTIF(P$7:P2722,"应收"),"")</f>
      </c>
      <c r="R2722" s="78">
        <f>IF(P2722="应付",COUNTIF(P$7:P2722,"应付"),"")</f>
      </c>
      <c r="S2722" s="78">
        <f>N(F2722)-N(G2722)</f>
        <v>0</v>
      </c>
    </row>
    <row r="2723">
      <c r="A2723" s="109">
        <f>IF(AND(F2723="",G2723=""),"",ROW()-6)</f>
      </c>
      <c r="B2723" s="140" t="n"/>
      <c r="C2723" s="141" t="n"/>
      <c r="D2723" s="141" t="n"/>
      <c r="E2723" s="142" t="n"/>
      <c r="F2723" s="143" t="n"/>
      <c r="G2723" s="144" t="n"/>
      <c r="H2723" s="145">
        <f>IF(OR(C2723="",AND(F2723="",G2723="")),"",SUMIF(基础资料!$W$5:$W$24,C2723,基础资料!$X$5:$X$24)+SUMIF(C$7:C2723,C2723,F$7:F2723)-SUMIF(C$7:C2723,C2723,G$7:G2723))</f>
      </c>
      <c r="I2723" s="145">
        <f>IF(AND(F2723="",G2723=""),"",SUM(基础资料!$X$5:$X$24)+SUM(F$7:F2723)-SUM(G$7:G2723))</f>
      </c>
      <c r="J2723" s="141" t="n"/>
      <c r="K2723" s="141" t="n"/>
      <c r="L2723" s="141" t="n"/>
      <c r="M2723" s="142" t="n"/>
      <c r="N2723" s="146">
        <f>IF(AND(AND(F2723="",G2723=""),B2723="",C2723="",D2723="",J2723="",K2723="",L2723=""),"",IF(AND(F2723="",G2723=""),"✗ 没填金额",IF(AND(N(F2723)&lt;&gt;0,N(G2723)&lt;&gt;0),"✗ 收入、支出只能填一边",IF(NOT(ISNUMBER(B2723)),"✗ 日期不是真日期（要像 2026/9/25 这样填）",IF(OR(B2723&lt;年初日,B2723&gt;年末日),"✗ 日期不在本会计年度",IF(C2723="","✗ 没选账户",IF(COUNTIF(基础资料!$W$5:$W$24,C2723)=0,"✗ 账户不在基础资料里",IF(O2723="","✗ 没选收支项目",IF(P2723="未知","✗ 收支项目不在基础资料里",IF(AND(P2723="应收",J2723=""),"✗ 这笔要选客户",IF(AND(P2723="应收",COUNTIF(总览汇总!$B$5:$B$304,J2723)=0),"✗ 客户不在总览汇总名单里",IF(AND(P2723="应付",K2723=""),"✗ 这笔要选供应商",IF(AND(P2723="应付",COUNTIF(基础资料!$Q$5:$Q$54,K2723)=0),"✗ 供应商不在基础资料里",IF(AND(P2723="费用",L2723=""),"✗ 费用支出要选费用项目",IF(AND(L2723&lt;&gt;"",COUNTIF(基础资料!$AI$5:$AI$54,L2723)=0),"✗ 费用项目不在基础资料里",IF(AND(IFERROR(INDEX(基础资料!$AD$5:$AD$34,MATCH(O2723,基础资料!$AC$5:$AC$34,0)),"")="收",N(G2723)&lt;&gt;0),"✗ 这类是收款，金额填到收入列",IF(AND(IFERROR(INDEX(基础资料!$AD$5:$AD$34,MATCH(O2723,基础资料!$AC$5:$AC$34,0)),"")="支",N(F2723)&lt;&gt;0),"✗ 这类是付款，金额填到支出列",IF(N(H2723)&lt;0,"⚠ 账户余额成负数了，核对一下","√"))))))))))))))))))</f>
      </c>
      <c r="O2723" s="78">
        <f>IF(D2723&lt;&gt;"",D2723,IF(AND(F2723="",G2723=""),"",IF(J2723&lt;&gt;"",IF(N(F2723)&gt;0,"客户回款","客户退款"),IF(K2723&lt;&gt;"",IF(N(G2723)&gt;0,"供应商付款","供应商退款"),IF(L2723&lt;&gt;"","费用支出","")))))</f>
      </c>
      <c r="P2723" s="78">
        <f>IF(O2723="","",IFERROR(INDEX(基础资料!$AE$5:$AE$34,MATCH(O2723,基础资料!$AC$5:$AC$34,0)),"未知"))</f>
      </c>
      <c r="Q2723" s="78">
        <f>IF(P2723="应收",COUNTIF(P$7:P2723,"应收"),"")</f>
      </c>
      <c r="R2723" s="78">
        <f>IF(P2723="应付",COUNTIF(P$7:P2723,"应付"),"")</f>
      </c>
      <c r="S2723" s="78">
        <f>N(F2723)-N(G2723)</f>
        <v>0</v>
      </c>
    </row>
    <row r="2724">
      <c r="A2724" s="109">
        <f>IF(AND(F2724="",G2724=""),"",ROW()-6)</f>
      </c>
      <c r="B2724" s="140" t="n"/>
      <c r="C2724" s="141" t="n"/>
      <c r="D2724" s="141" t="n"/>
      <c r="E2724" s="142" t="n"/>
      <c r="F2724" s="143" t="n"/>
      <c r="G2724" s="144" t="n"/>
      <c r="H2724" s="145">
        <f>IF(OR(C2724="",AND(F2724="",G2724="")),"",SUMIF(基础资料!$W$5:$W$24,C2724,基础资料!$X$5:$X$24)+SUMIF(C$7:C2724,C2724,F$7:F2724)-SUMIF(C$7:C2724,C2724,G$7:G2724))</f>
      </c>
      <c r="I2724" s="145">
        <f>IF(AND(F2724="",G2724=""),"",SUM(基础资料!$X$5:$X$24)+SUM(F$7:F2724)-SUM(G$7:G2724))</f>
      </c>
      <c r="J2724" s="141" t="n"/>
      <c r="K2724" s="141" t="n"/>
      <c r="L2724" s="141" t="n"/>
      <c r="M2724" s="142" t="n"/>
      <c r="N2724" s="146">
        <f>IF(AND(AND(F2724="",G2724=""),B2724="",C2724="",D2724="",J2724="",K2724="",L2724=""),"",IF(AND(F2724="",G2724=""),"✗ 没填金额",IF(AND(N(F2724)&lt;&gt;0,N(G2724)&lt;&gt;0),"✗ 收入、支出只能填一边",IF(NOT(ISNUMBER(B2724)),"✗ 日期不是真日期（要像 2026/9/25 这样填）",IF(OR(B2724&lt;年初日,B2724&gt;年末日),"✗ 日期不在本会计年度",IF(C2724="","✗ 没选账户",IF(COUNTIF(基础资料!$W$5:$W$24,C2724)=0,"✗ 账户不在基础资料里",IF(O2724="","✗ 没选收支项目",IF(P2724="未知","✗ 收支项目不在基础资料里",IF(AND(P2724="应收",J2724=""),"✗ 这笔要选客户",IF(AND(P2724="应收",COUNTIF(总览汇总!$B$5:$B$304,J2724)=0),"✗ 客户不在总览汇总名单里",IF(AND(P2724="应付",K2724=""),"✗ 这笔要选供应商",IF(AND(P2724="应付",COUNTIF(基础资料!$Q$5:$Q$54,K2724)=0),"✗ 供应商不在基础资料里",IF(AND(P2724="费用",L2724=""),"✗ 费用支出要选费用项目",IF(AND(L2724&lt;&gt;"",COUNTIF(基础资料!$AI$5:$AI$54,L2724)=0),"✗ 费用项目不在基础资料里",IF(AND(IFERROR(INDEX(基础资料!$AD$5:$AD$34,MATCH(O2724,基础资料!$AC$5:$AC$34,0)),"")="收",N(G2724)&lt;&gt;0),"✗ 这类是收款，金额填到收入列",IF(AND(IFERROR(INDEX(基础资料!$AD$5:$AD$34,MATCH(O2724,基础资料!$AC$5:$AC$34,0)),"")="支",N(F2724)&lt;&gt;0),"✗ 这类是付款，金额填到支出列",IF(N(H2724)&lt;0,"⚠ 账户余额成负数了，核对一下","√"))))))))))))))))))</f>
      </c>
      <c r="O2724" s="78">
        <f>IF(D2724&lt;&gt;"",D2724,IF(AND(F2724="",G2724=""),"",IF(J2724&lt;&gt;"",IF(N(F2724)&gt;0,"客户回款","客户退款"),IF(K2724&lt;&gt;"",IF(N(G2724)&gt;0,"供应商付款","供应商退款"),IF(L2724&lt;&gt;"","费用支出","")))))</f>
      </c>
      <c r="P2724" s="78">
        <f>IF(O2724="","",IFERROR(INDEX(基础资料!$AE$5:$AE$34,MATCH(O2724,基础资料!$AC$5:$AC$34,0)),"未知"))</f>
      </c>
      <c r="Q2724" s="78">
        <f>IF(P2724="应收",COUNTIF(P$7:P2724,"应收"),"")</f>
      </c>
      <c r="R2724" s="78">
        <f>IF(P2724="应付",COUNTIF(P$7:P2724,"应付"),"")</f>
      </c>
      <c r="S2724" s="78">
        <f>N(F2724)-N(G2724)</f>
        <v>0</v>
      </c>
    </row>
    <row r="2725">
      <c r="A2725" s="109">
        <f>IF(AND(F2725="",G2725=""),"",ROW()-6)</f>
      </c>
      <c r="B2725" s="140" t="n"/>
      <c r="C2725" s="141" t="n"/>
      <c r="D2725" s="141" t="n"/>
      <c r="E2725" s="142" t="n"/>
      <c r="F2725" s="143" t="n"/>
      <c r="G2725" s="144" t="n"/>
      <c r="H2725" s="145">
        <f>IF(OR(C2725="",AND(F2725="",G2725="")),"",SUMIF(基础资料!$W$5:$W$24,C2725,基础资料!$X$5:$X$24)+SUMIF(C$7:C2725,C2725,F$7:F2725)-SUMIF(C$7:C2725,C2725,G$7:G2725))</f>
      </c>
      <c r="I2725" s="145">
        <f>IF(AND(F2725="",G2725=""),"",SUM(基础资料!$X$5:$X$24)+SUM(F$7:F2725)-SUM(G$7:G2725))</f>
      </c>
      <c r="J2725" s="141" t="n"/>
      <c r="K2725" s="141" t="n"/>
      <c r="L2725" s="141" t="n"/>
      <c r="M2725" s="142" t="n"/>
      <c r="N2725" s="146">
        <f>IF(AND(AND(F2725="",G2725=""),B2725="",C2725="",D2725="",J2725="",K2725="",L2725=""),"",IF(AND(F2725="",G2725=""),"✗ 没填金额",IF(AND(N(F2725)&lt;&gt;0,N(G2725)&lt;&gt;0),"✗ 收入、支出只能填一边",IF(NOT(ISNUMBER(B2725)),"✗ 日期不是真日期（要像 2026/9/25 这样填）",IF(OR(B2725&lt;年初日,B2725&gt;年末日),"✗ 日期不在本会计年度",IF(C2725="","✗ 没选账户",IF(COUNTIF(基础资料!$W$5:$W$24,C2725)=0,"✗ 账户不在基础资料里",IF(O2725="","✗ 没选收支项目",IF(P2725="未知","✗ 收支项目不在基础资料里",IF(AND(P2725="应收",J2725=""),"✗ 这笔要选客户",IF(AND(P2725="应收",COUNTIF(总览汇总!$B$5:$B$304,J2725)=0),"✗ 客户不在总览汇总名单里",IF(AND(P2725="应付",K2725=""),"✗ 这笔要选供应商",IF(AND(P2725="应付",COUNTIF(基础资料!$Q$5:$Q$54,K2725)=0),"✗ 供应商不在基础资料里",IF(AND(P2725="费用",L2725=""),"✗ 费用支出要选费用项目",IF(AND(L2725&lt;&gt;"",COUNTIF(基础资料!$AI$5:$AI$54,L2725)=0),"✗ 费用项目不在基础资料里",IF(AND(IFERROR(INDEX(基础资料!$AD$5:$AD$34,MATCH(O2725,基础资料!$AC$5:$AC$34,0)),"")="收",N(G2725)&lt;&gt;0),"✗ 这类是收款，金额填到收入列",IF(AND(IFERROR(INDEX(基础资料!$AD$5:$AD$34,MATCH(O2725,基础资料!$AC$5:$AC$34,0)),"")="支",N(F2725)&lt;&gt;0),"✗ 这类是付款，金额填到支出列",IF(N(H2725)&lt;0,"⚠ 账户余额成负数了，核对一下","√"))))))))))))))))))</f>
      </c>
      <c r="O2725" s="78">
        <f>IF(D2725&lt;&gt;"",D2725,IF(AND(F2725="",G2725=""),"",IF(J2725&lt;&gt;"",IF(N(F2725)&gt;0,"客户回款","客户退款"),IF(K2725&lt;&gt;"",IF(N(G2725)&gt;0,"供应商付款","供应商退款"),IF(L2725&lt;&gt;"","费用支出","")))))</f>
      </c>
      <c r="P2725" s="78">
        <f>IF(O2725="","",IFERROR(INDEX(基础资料!$AE$5:$AE$34,MATCH(O2725,基础资料!$AC$5:$AC$34,0)),"未知"))</f>
      </c>
      <c r="Q2725" s="78">
        <f>IF(P2725="应收",COUNTIF(P$7:P2725,"应收"),"")</f>
      </c>
      <c r="R2725" s="78">
        <f>IF(P2725="应付",COUNTIF(P$7:P2725,"应付"),"")</f>
      </c>
      <c r="S2725" s="78">
        <f>N(F2725)-N(G2725)</f>
        <v>0</v>
      </c>
    </row>
    <row r="2726">
      <c r="A2726" s="109">
        <f>IF(AND(F2726="",G2726=""),"",ROW()-6)</f>
      </c>
      <c r="B2726" s="140" t="n"/>
      <c r="C2726" s="141" t="n"/>
      <c r="D2726" s="141" t="n"/>
      <c r="E2726" s="142" t="n"/>
      <c r="F2726" s="143" t="n"/>
      <c r="G2726" s="144" t="n"/>
      <c r="H2726" s="145">
        <f>IF(OR(C2726="",AND(F2726="",G2726="")),"",SUMIF(基础资料!$W$5:$W$24,C2726,基础资料!$X$5:$X$24)+SUMIF(C$7:C2726,C2726,F$7:F2726)-SUMIF(C$7:C2726,C2726,G$7:G2726))</f>
      </c>
      <c r="I2726" s="145">
        <f>IF(AND(F2726="",G2726=""),"",SUM(基础资料!$X$5:$X$24)+SUM(F$7:F2726)-SUM(G$7:G2726))</f>
      </c>
      <c r="J2726" s="141" t="n"/>
      <c r="K2726" s="141" t="n"/>
      <c r="L2726" s="141" t="n"/>
      <c r="M2726" s="142" t="n"/>
      <c r="N2726" s="146">
        <f>IF(AND(AND(F2726="",G2726=""),B2726="",C2726="",D2726="",J2726="",K2726="",L2726=""),"",IF(AND(F2726="",G2726=""),"✗ 没填金额",IF(AND(N(F2726)&lt;&gt;0,N(G2726)&lt;&gt;0),"✗ 收入、支出只能填一边",IF(NOT(ISNUMBER(B2726)),"✗ 日期不是真日期（要像 2026/9/25 这样填）",IF(OR(B2726&lt;年初日,B2726&gt;年末日),"✗ 日期不在本会计年度",IF(C2726="","✗ 没选账户",IF(COUNTIF(基础资料!$W$5:$W$24,C2726)=0,"✗ 账户不在基础资料里",IF(O2726="","✗ 没选收支项目",IF(P2726="未知","✗ 收支项目不在基础资料里",IF(AND(P2726="应收",J2726=""),"✗ 这笔要选客户",IF(AND(P2726="应收",COUNTIF(总览汇总!$B$5:$B$304,J2726)=0),"✗ 客户不在总览汇总名单里",IF(AND(P2726="应付",K2726=""),"✗ 这笔要选供应商",IF(AND(P2726="应付",COUNTIF(基础资料!$Q$5:$Q$54,K2726)=0),"✗ 供应商不在基础资料里",IF(AND(P2726="费用",L2726=""),"✗ 费用支出要选费用项目",IF(AND(L2726&lt;&gt;"",COUNTIF(基础资料!$AI$5:$AI$54,L2726)=0),"✗ 费用项目不在基础资料里",IF(AND(IFERROR(INDEX(基础资料!$AD$5:$AD$34,MATCH(O2726,基础资料!$AC$5:$AC$34,0)),"")="收",N(G2726)&lt;&gt;0),"✗ 这类是收款，金额填到收入列",IF(AND(IFERROR(INDEX(基础资料!$AD$5:$AD$34,MATCH(O2726,基础资料!$AC$5:$AC$34,0)),"")="支",N(F2726)&lt;&gt;0),"✗ 这类是付款，金额填到支出列",IF(N(H2726)&lt;0,"⚠ 账户余额成负数了，核对一下","√"))))))))))))))))))</f>
      </c>
      <c r="O2726" s="78">
        <f>IF(D2726&lt;&gt;"",D2726,IF(AND(F2726="",G2726=""),"",IF(J2726&lt;&gt;"",IF(N(F2726)&gt;0,"客户回款","客户退款"),IF(K2726&lt;&gt;"",IF(N(G2726)&gt;0,"供应商付款","供应商退款"),IF(L2726&lt;&gt;"","费用支出","")))))</f>
      </c>
      <c r="P2726" s="78">
        <f>IF(O2726="","",IFERROR(INDEX(基础资料!$AE$5:$AE$34,MATCH(O2726,基础资料!$AC$5:$AC$34,0)),"未知"))</f>
      </c>
      <c r="Q2726" s="78">
        <f>IF(P2726="应收",COUNTIF(P$7:P2726,"应收"),"")</f>
      </c>
      <c r="R2726" s="78">
        <f>IF(P2726="应付",COUNTIF(P$7:P2726,"应付"),"")</f>
      </c>
      <c r="S2726" s="78">
        <f>N(F2726)-N(G2726)</f>
        <v>0</v>
      </c>
    </row>
    <row r="2727">
      <c r="A2727" s="109">
        <f>IF(AND(F2727="",G2727=""),"",ROW()-6)</f>
      </c>
      <c r="B2727" s="140" t="n"/>
      <c r="C2727" s="141" t="n"/>
      <c r="D2727" s="141" t="n"/>
      <c r="E2727" s="142" t="n"/>
      <c r="F2727" s="143" t="n"/>
      <c r="G2727" s="144" t="n"/>
      <c r="H2727" s="145">
        <f>IF(OR(C2727="",AND(F2727="",G2727="")),"",SUMIF(基础资料!$W$5:$W$24,C2727,基础资料!$X$5:$X$24)+SUMIF(C$7:C2727,C2727,F$7:F2727)-SUMIF(C$7:C2727,C2727,G$7:G2727))</f>
      </c>
      <c r="I2727" s="145">
        <f>IF(AND(F2727="",G2727=""),"",SUM(基础资料!$X$5:$X$24)+SUM(F$7:F2727)-SUM(G$7:G2727))</f>
      </c>
      <c r="J2727" s="141" t="n"/>
      <c r="K2727" s="141" t="n"/>
      <c r="L2727" s="141" t="n"/>
      <c r="M2727" s="142" t="n"/>
      <c r="N2727" s="146">
        <f>IF(AND(AND(F2727="",G2727=""),B2727="",C2727="",D2727="",J2727="",K2727="",L2727=""),"",IF(AND(F2727="",G2727=""),"✗ 没填金额",IF(AND(N(F2727)&lt;&gt;0,N(G2727)&lt;&gt;0),"✗ 收入、支出只能填一边",IF(NOT(ISNUMBER(B2727)),"✗ 日期不是真日期（要像 2026/9/25 这样填）",IF(OR(B2727&lt;年初日,B2727&gt;年末日),"✗ 日期不在本会计年度",IF(C2727="","✗ 没选账户",IF(COUNTIF(基础资料!$W$5:$W$24,C2727)=0,"✗ 账户不在基础资料里",IF(O2727="","✗ 没选收支项目",IF(P2727="未知","✗ 收支项目不在基础资料里",IF(AND(P2727="应收",J2727=""),"✗ 这笔要选客户",IF(AND(P2727="应收",COUNTIF(总览汇总!$B$5:$B$304,J2727)=0),"✗ 客户不在总览汇总名单里",IF(AND(P2727="应付",K2727=""),"✗ 这笔要选供应商",IF(AND(P2727="应付",COUNTIF(基础资料!$Q$5:$Q$54,K2727)=0),"✗ 供应商不在基础资料里",IF(AND(P2727="费用",L2727=""),"✗ 费用支出要选费用项目",IF(AND(L2727&lt;&gt;"",COUNTIF(基础资料!$AI$5:$AI$54,L2727)=0),"✗ 费用项目不在基础资料里",IF(AND(IFERROR(INDEX(基础资料!$AD$5:$AD$34,MATCH(O2727,基础资料!$AC$5:$AC$34,0)),"")="收",N(G2727)&lt;&gt;0),"✗ 这类是收款，金额填到收入列",IF(AND(IFERROR(INDEX(基础资料!$AD$5:$AD$34,MATCH(O2727,基础资料!$AC$5:$AC$34,0)),"")="支",N(F2727)&lt;&gt;0),"✗ 这类是付款，金额填到支出列",IF(N(H2727)&lt;0,"⚠ 账户余额成负数了，核对一下","√"))))))))))))))))))</f>
      </c>
      <c r="O2727" s="78">
        <f>IF(D2727&lt;&gt;"",D2727,IF(AND(F2727="",G2727=""),"",IF(J2727&lt;&gt;"",IF(N(F2727)&gt;0,"客户回款","客户退款"),IF(K2727&lt;&gt;"",IF(N(G2727)&gt;0,"供应商付款","供应商退款"),IF(L2727&lt;&gt;"","费用支出","")))))</f>
      </c>
      <c r="P2727" s="78">
        <f>IF(O2727="","",IFERROR(INDEX(基础资料!$AE$5:$AE$34,MATCH(O2727,基础资料!$AC$5:$AC$34,0)),"未知"))</f>
      </c>
      <c r="Q2727" s="78">
        <f>IF(P2727="应收",COUNTIF(P$7:P2727,"应收"),"")</f>
      </c>
      <c r="R2727" s="78">
        <f>IF(P2727="应付",COUNTIF(P$7:P2727,"应付"),"")</f>
      </c>
      <c r="S2727" s="78">
        <f>N(F2727)-N(G2727)</f>
        <v>0</v>
      </c>
    </row>
    <row r="2728">
      <c r="A2728" s="109">
        <f>IF(AND(F2728="",G2728=""),"",ROW()-6)</f>
      </c>
      <c r="B2728" s="140" t="n"/>
      <c r="C2728" s="141" t="n"/>
      <c r="D2728" s="141" t="n"/>
      <c r="E2728" s="142" t="n"/>
      <c r="F2728" s="143" t="n"/>
      <c r="G2728" s="144" t="n"/>
      <c r="H2728" s="145">
        <f>IF(OR(C2728="",AND(F2728="",G2728="")),"",SUMIF(基础资料!$W$5:$W$24,C2728,基础资料!$X$5:$X$24)+SUMIF(C$7:C2728,C2728,F$7:F2728)-SUMIF(C$7:C2728,C2728,G$7:G2728))</f>
      </c>
      <c r="I2728" s="145">
        <f>IF(AND(F2728="",G2728=""),"",SUM(基础资料!$X$5:$X$24)+SUM(F$7:F2728)-SUM(G$7:G2728))</f>
      </c>
      <c r="J2728" s="141" t="n"/>
      <c r="K2728" s="141" t="n"/>
      <c r="L2728" s="141" t="n"/>
      <c r="M2728" s="142" t="n"/>
      <c r="N2728" s="146">
        <f>IF(AND(AND(F2728="",G2728=""),B2728="",C2728="",D2728="",J2728="",K2728="",L2728=""),"",IF(AND(F2728="",G2728=""),"✗ 没填金额",IF(AND(N(F2728)&lt;&gt;0,N(G2728)&lt;&gt;0),"✗ 收入、支出只能填一边",IF(NOT(ISNUMBER(B2728)),"✗ 日期不是真日期（要像 2026/9/25 这样填）",IF(OR(B2728&lt;年初日,B2728&gt;年末日),"✗ 日期不在本会计年度",IF(C2728="","✗ 没选账户",IF(COUNTIF(基础资料!$W$5:$W$24,C2728)=0,"✗ 账户不在基础资料里",IF(O2728="","✗ 没选收支项目",IF(P2728="未知","✗ 收支项目不在基础资料里",IF(AND(P2728="应收",J2728=""),"✗ 这笔要选客户",IF(AND(P2728="应收",COUNTIF(总览汇总!$B$5:$B$304,J2728)=0),"✗ 客户不在总览汇总名单里",IF(AND(P2728="应付",K2728=""),"✗ 这笔要选供应商",IF(AND(P2728="应付",COUNTIF(基础资料!$Q$5:$Q$54,K2728)=0),"✗ 供应商不在基础资料里",IF(AND(P2728="费用",L2728=""),"✗ 费用支出要选费用项目",IF(AND(L2728&lt;&gt;"",COUNTIF(基础资料!$AI$5:$AI$54,L2728)=0),"✗ 费用项目不在基础资料里",IF(AND(IFERROR(INDEX(基础资料!$AD$5:$AD$34,MATCH(O2728,基础资料!$AC$5:$AC$34,0)),"")="收",N(G2728)&lt;&gt;0),"✗ 这类是收款，金额填到收入列",IF(AND(IFERROR(INDEX(基础资料!$AD$5:$AD$34,MATCH(O2728,基础资料!$AC$5:$AC$34,0)),"")="支",N(F2728)&lt;&gt;0),"✗ 这类是付款，金额填到支出列",IF(N(H2728)&lt;0,"⚠ 账户余额成负数了，核对一下","√"))))))))))))))))))</f>
      </c>
      <c r="O2728" s="78">
        <f>IF(D2728&lt;&gt;"",D2728,IF(AND(F2728="",G2728=""),"",IF(J2728&lt;&gt;"",IF(N(F2728)&gt;0,"客户回款","客户退款"),IF(K2728&lt;&gt;"",IF(N(G2728)&gt;0,"供应商付款","供应商退款"),IF(L2728&lt;&gt;"","费用支出","")))))</f>
      </c>
      <c r="P2728" s="78">
        <f>IF(O2728="","",IFERROR(INDEX(基础资料!$AE$5:$AE$34,MATCH(O2728,基础资料!$AC$5:$AC$34,0)),"未知"))</f>
      </c>
      <c r="Q2728" s="78">
        <f>IF(P2728="应收",COUNTIF(P$7:P2728,"应收"),"")</f>
      </c>
      <c r="R2728" s="78">
        <f>IF(P2728="应付",COUNTIF(P$7:P2728,"应付"),"")</f>
      </c>
      <c r="S2728" s="78">
        <f>N(F2728)-N(G2728)</f>
        <v>0</v>
      </c>
    </row>
    <row r="2729">
      <c r="A2729" s="109">
        <f>IF(AND(F2729="",G2729=""),"",ROW()-6)</f>
      </c>
      <c r="B2729" s="140" t="n"/>
      <c r="C2729" s="141" t="n"/>
      <c r="D2729" s="141" t="n"/>
      <c r="E2729" s="142" t="n"/>
      <c r="F2729" s="143" t="n"/>
      <c r="G2729" s="144" t="n"/>
      <c r="H2729" s="145">
        <f>IF(OR(C2729="",AND(F2729="",G2729="")),"",SUMIF(基础资料!$W$5:$W$24,C2729,基础资料!$X$5:$X$24)+SUMIF(C$7:C2729,C2729,F$7:F2729)-SUMIF(C$7:C2729,C2729,G$7:G2729))</f>
      </c>
      <c r="I2729" s="145">
        <f>IF(AND(F2729="",G2729=""),"",SUM(基础资料!$X$5:$X$24)+SUM(F$7:F2729)-SUM(G$7:G2729))</f>
      </c>
      <c r="J2729" s="141" t="n"/>
      <c r="K2729" s="141" t="n"/>
      <c r="L2729" s="141" t="n"/>
      <c r="M2729" s="142" t="n"/>
      <c r="N2729" s="146">
        <f>IF(AND(AND(F2729="",G2729=""),B2729="",C2729="",D2729="",J2729="",K2729="",L2729=""),"",IF(AND(F2729="",G2729=""),"✗ 没填金额",IF(AND(N(F2729)&lt;&gt;0,N(G2729)&lt;&gt;0),"✗ 收入、支出只能填一边",IF(NOT(ISNUMBER(B2729)),"✗ 日期不是真日期（要像 2026/9/25 这样填）",IF(OR(B2729&lt;年初日,B2729&gt;年末日),"✗ 日期不在本会计年度",IF(C2729="","✗ 没选账户",IF(COUNTIF(基础资料!$W$5:$W$24,C2729)=0,"✗ 账户不在基础资料里",IF(O2729="","✗ 没选收支项目",IF(P2729="未知","✗ 收支项目不在基础资料里",IF(AND(P2729="应收",J2729=""),"✗ 这笔要选客户",IF(AND(P2729="应收",COUNTIF(总览汇总!$B$5:$B$304,J2729)=0),"✗ 客户不在总览汇总名单里",IF(AND(P2729="应付",K2729=""),"✗ 这笔要选供应商",IF(AND(P2729="应付",COUNTIF(基础资料!$Q$5:$Q$54,K2729)=0),"✗ 供应商不在基础资料里",IF(AND(P2729="费用",L2729=""),"✗ 费用支出要选费用项目",IF(AND(L2729&lt;&gt;"",COUNTIF(基础资料!$AI$5:$AI$54,L2729)=0),"✗ 费用项目不在基础资料里",IF(AND(IFERROR(INDEX(基础资料!$AD$5:$AD$34,MATCH(O2729,基础资料!$AC$5:$AC$34,0)),"")="收",N(G2729)&lt;&gt;0),"✗ 这类是收款，金额填到收入列",IF(AND(IFERROR(INDEX(基础资料!$AD$5:$AD$34,MATCH(O2729,基础资料!$AC$5:$AC$34,0)),"")="支",N(F2729)&lt;&gt;0),"✗ 这类是付款，金额填到支出列",IF(N(H2729)&lt;0,"⚠ 账户余额成负数了，核对一下","√"))))))))))))))))))</f>
      </c>
      <c r="O2729" s="78">
        <f>IF(D2729&lt;&gt;"",D2729,IF(AND(F2729="",G2729=""),"",IF(J2729&lt;&gt;"",IF(N(F2729)&gt;0,"客户回款","客户退款"),IF(K2729&lt;&gt;"",IF(N(G2729)&gt;0,"供应商付款","供应商退款"),IF(L2729&lt;&gt;"","费用支出","")))))</f>
      </c>
      <c r="P2729" s="78">
        <f>IF(O2729="","",IFERROR(INDEX(基础资料!$AE$5:$AE$34,MATCH(O2729,基础资料!$AC$5:$AC$34,0)),"未知"))</f>
      </c>
      <c r="Q2729" s="78">
        <f>IF(P2729="应收",COUNTIF(P$7:P2729,"应收"),"")</f>
      </c>
      <c r="R2729" s="78">
        <f>IF(P2729="应付",COUNTIF(P$7:P2729,"应付"),"")</f>
      </c>
      <c r="S2729" s="78">
        <f>N(F2729)-N(G2729)</f>
        <v>0</v>
      </c>
    </row>
    <row r="2730">
      <c r="A2730" s="109">
        <f>IF(AND(F2730="",G2730=""),"",ROW()-6)</f>
      </c>
      <c r="B2730" s="140" t="n"/>
      <c r="C2730" s="141" t="n"/>
      <c r="D2730" s="141" t="n"/>
      <c r="E2730" s="142" t="n"/>
      <c r="F2730" s="143" t="n"/>
      <c r="G2730" s="144" t="n"/>
      <c r="H2730" s="145">
        <f>IF(OR(C2730="",AND(F2730="",G2730="")),"",SUMIF(基础资料!$W$5:$W$24,C2730,基础资料!$X$5:$X$24)+SUMIF(C$7:C2730,C2730,F$7:F2730)-SUMIF(C$7:C2730,C2730,G$7:G2730))</f>
      </c>
      <c r="I2730" s="145">
        <f>IF(AND(F2730="",G2730=""),"",SUM(基础资料!$X$5:$X$24)+SUM(F$7:F2730)-SUM(G$7:G2730))</f>
      </c>
      <c r="J2730" s="141" t="n"/>
      <c r="K2730" s="141" t="n"/>
      <c r="L2730" s="141" t="n"/>
      <c r="M2730" s="142" t="n"/>
      <c r="N2730" s="146">
        <f>IF(AND(AND(F2730="",G2730=""),B2730="",C2730="",D2730="",J2730="",K2730="",L2730=""),"",IF(AND(F2730="",G2730=""),"✗ 没填金额",IF(AND(N(F2730)&lt;&gt;0,N(G2730)&lt;&gt;0),"✗ 收入、支出只能填一边",IF(NOT(ISNUMBER(B2730)),"✗ 日期不是真日期（要像 2026/9/25 这样填）",IF(OR(B2730&lt;年初日,B2730&gt;年末日),"✗ 日期不在本会计年度",IF(C2730="","✗ 没选账户",IF(COUNTIF(基础资料!$W$5:$W$24,C2730)=0,"✗ 账户不在基础资料里",IF(O2730="","✗ 没选收支项目",IF(P2730="未知","✗ 收支项目不在基础资料里",IF(AND(P2730="应收",J2730=""),"✗ 这笔要选客户",IF(AND(P2730="应收",COUNTIF(总览汇总!$B$5:$B$304,J2730)=0),"✗ 客户不在总览汇总名单里",IF(AND(P2730="应付",K2730=""),"✗ 这笔要选供应商",IF(AND(P2730="应付",COUNTIF(基础资料!$Q$5:$Q$54,K2730)=0),"✗ 供应商不在基础资料里",IF(AND(P2730="费用",L2730=""),"✗ 费用支出要选费用项目",IF(AND(L2730&lt;&gt;"",COUNTIF(基础资料!$AI$5:$AI$54,L2730)=0),"✗ 费用项目不在基础资料里",IF(AND(IFERROR(INDEX(基础资料!$AD$5:$AD$34,MATCH(O2730,基础资料!$AC$5:$AC$34,0)),"")="收",N(G2730)&lt;&gt;0),"✗ 这类是收款，金额填到收入列",IF(AND(IFERROR(INDEX(基础资料!$AD$5:$AD$34,MATCH(O2730,基础资料!$AC$5:$AC$34,0)),"")="支",N(F2730)&lt;&gt;0),"✗ 这类是付款，金额填到支出列",IF(N(H2730)&lt;0,"⚠ 账户余额成负数了，核对一下","√"))))))))))))))))))</f>
      </c>
      <c r="O2730" s="78">
        <f>IF(D2730&lt;&gt;"",D2730,IF(AND(F2730="",G2730=""),"",IF(J2730&lt;&gt;"",IF(N(F2730)&gt;0,"客户回款","客户退款"),IF(K2730&lt;&gt;"",IF(N(G2730)&gt;0,"供应商付款","供应商退款"),IF(L2730&lt;&gt;"","费用支出","")))))</f>
      </c>
      <c r="P2730" s="78">
        <f>IF(O2730="","",IFERROR(INDEX(基础资料!$AE$5:$AE$34,MATCH(O2730,基础资料!$AC$5:$AC$34,0)),"未知"))</f>
      </c>
      <c r="Q2730" s="78">
        <f>IF(P2730="应收",COUNTIF(P$7:P2730,"应收"),"")</f>
      </c>
      <c r="R2730" s="78">
        <f>IF(P2730="应付",COUNTIF(P$7:P2730,"应付"),"")</f>
      </c>
      <c r="S2730" s="78">
        <f>N(F2730)-N(G2730)</f>
        <v>0</v>
      </c>
    </row>
    <row r="2731">
      <c r="A2731" s="109">
        <f>IF(AND(F2731="",G2731=""),"",ROW()-6)</f>
      </c>
      <c r="B2731" s="140" t="n"/>
      <c r="C2731" s="141" t="n"/>
      <c r="D2731" s="141" t="n"/>
      <c r="E2731" s="142" t="n"/>
      <c r="F2731" s="143" t="n"/>
      <c r="G2731" s="144" t="n"/>
      <c r="H2731" s="145">
        <f>IF(OR(C2731="",AND(F2731="",G2731="")),"",SUMIF(基础资料!$W$5:$W$24,C2731,基础资料!$X$5:$X$24)+SUMIF(C$7:C2731,C2731,F$7:F2731)-SUMIF(C$7:C2731,C2731,G$7:G2731))</f>
      </c>
      <c r="I2731" s="145">
        <f>IF(AND(F2731="",G2731=""),"",SUM(基础资料!$X$5:$X$24)+SUM(F$7:F2731)-SUM(G$7:G2731))</f>
      </c>
      <c r="J2731" s="141" t="n"/>
      <c r="K2731" s="141" t="n"/>
      <c r="L2731" s="141" t="n"/>
      <c r="M2731" s="142" t="n"/>
      <c r="N2731" s="146">
        <f>IF(AND(AND(F2731="",G2731=""),B2731="",C2731="",D2731="",J2731="",K2731="",L2731=""),"",IF(AND(F2731="",G2731=""),"✗ 没填金额",IF(AND(N(F2731)&lt;&gt;0,N(G2731)&lt;&gt;0),"✗ 收入、支出只能填一边",IF(NOT(ISNUMBER(B2731)),"✗ 日期不是真日期（要像 2026/9/25 这样填）",IF(OR(B2731&lt;年初日,B2731&gt;年末日),"✗ 日期不在本会计年度",IF(C2731="","✗ 没选账户",IF(COUNTIF(基础资料!$W$5:$W$24,C2731)=0,"✗ 账户不在基础资料里",IF(O2731="","✗ 没选收支项目",IF(P2731="未知","✗ 收支项目不在基础资料里",IF(AND(P2731="应收",J2731=""),"✗ 这笔要选客户",IF(AND(P2731="应收",COUNTIF(总览汇总!$B$5:$B$304,J2731)=0),"✗ 客户不在总览汇总名单里",IF(AND(P2731="应付",K2731=""),"✗ 这笔要选供应商",IF(AND(P2731="应付",COUNTIF(基础资料!$Q$5:$Q$54,K2731)=0),"✗ 供应商不在基础资料里",IF(AND(P2731="费用",L2731=""),"✗ 费用支出要选费用项目",IF(AND(L2731&lt;&gt;"",COUNTIF(基础资料!$AI$5:$AI$54,L2731)=0),"✗ 费用项目不在基础资料里",IF(AND(IFERROR(INDEX(基础资料!$AD$5:$AD$34,MATCH(O2731,基础资料!$AC$5:$AC$34,0)),"")="收",N(G2731)&lt;&gt;0),"✗ 这类是收款，金额填到收入列",IF(AND(IFERROR(INDEX(基础资料!$AD$5:$AD$34,MATCH(O2731,基础资料!$AC$5:$AC$34,0)),"")="支",N(F2731)&lt;&gt;0),"✗ 这类是付款，金额填到支出列",IF(N(H2731)&lt;0,"⚠ 账户余额成负数了，核对一下","√"))))))))))))))))))</f>
      </c>
      <c r="O2731" s="78">
        <f>IF(D2731&lt;&gt;"",D2731,IF(AND(F2731="",G2731=""),"",IF(J2731&lt;&gt;"",IF(N(F2731)&gt;0,"客户回款","客户退款"),IF(K2731&lt;&gt;"",IF(N(G2731)&gt;0,"供应商付款","供应商退款"),IF(L2731&lt;&gt;"","费用支出","")))))</f>
      </c>
      <c r="P2731" s="78">
        <f>IF(O2731="","",IFERROR(INDEX(基础资料!$AE$5:$AE$34,MATCH(O2731,基础资料!$AC$5:$AC$34,0)),"未知"))</f>
      </c>
      <c r="Q2731" s="78">
        <f>IF(P2731="应收",COUNTIF(P$7:P2731,"应收"),"")</f>
      </c>
      <c r="R2731" s="78">
        <f>IF(P2731="应付",COUNTIF(P$7:P2731,"应付"),"")</f>
      </c>
      <c r="S2731" s="78">
        <f>N(F2731)-N(G2731)</f>
        <v>0</v>
      </c>
    </row>
    <row r="2732">
      <c r="A2732" s="109">
        <f>IF(AND(F2732="",G2732=""),"",ROW()-6)</f>
      </c>
      <c r="B2732" s="140" t="n"/>
      <c r="C2732" s="141" t="n"/>
      <c r="D2732" s="141" t="n"/>
      <c r="E2732" s="142" t="n"/>
      <c r="F2732" s="143" t="n"/>
      <c r="G2732" s="144" t="n"/>
      <c r="H2732" s="145">
        <f>IF(OR(C2732="",AND(F2732="",G2732="")),"",SUMIF(基础资料!$W$5:$W$24,C2732,基础资料!$X$5:$X$24)+SUMIF(C$7:C2732,C2732,F$7:F2732)-SUMIF(C$7:C2732,C2732,G$7:G2732))</f>
      </c>
      <c r="I2732" s="145">
        <f>IF(AND(F2732="",G2732=""),"",SUM(基础资料!$X$5:$X$24)+SUM(F$7:F2732)-SUM(G$7:G2732))</f>
      </c>
      <c r="J2732" s="141" t="n"/>
      <c r="K2732" s="141" t="n"/>
      <c r="L2732" s="141" t="n"/>
      <c r="M2732" s="142" t="n"/>
      <c r="N2732" s="146">
        <f>IF(AND(AND(F2732="",G2732=""),B2732="",C2732="",D2732="",J2732="",K2732="",L2732=""),"",IF(AND(F2732="",G2732=""),"✗ 没填金额",IF(AND(N(F2732)&lt;&gt;0,N(G2732)&lt;&gt;0),"✗ 收入、支出只能填一边",IF(NOT(ISNUMBER(B2732)),"✗ 日期不是真日期（要像 2026/9/25 这样填）",IF(OR(B2732&lt;年初日,B2732&gt;年末日),"✗ 日期不在本会计年度",IF(C2732="","✗ 没选账户",IF(COUNTIF(基础资料!$W$5:$W$24,C2732)=0,"✗ 账户不在基础资料里",IF(O2732="","✗ 没选收支项目",IF(P2732="未知","✗ 收支项目不在基础资料里",IF(AND(P2732="应收",J2732=""),"✗ 这笔要选客户",IF(AND(P2732="应收",COUNTIF(总览汇总!$B$5:$B$304,J2732)=0),"✗ 客户不在总览汇总名单里",IF(AND(P2732="应付",K2732=""),"✗ 这笔要选供应商",IF(AND(P2732="应付",COUNTIF(基础资料!$Q$5:$Q$54,K2732)=0),"✗ 供应商不在基础资料里",IF(AND(P2732="费用",L2732=""),"✗ 费用支出要选费用项目",IF(AND(L2732&lt;&gt;"",COUNTIF(基础资料!$AI$5:$AI$54,L2732)=0),"✗ 费用项目不在基础资料里",IF(AND(IFERROR(INDEX(基础资料!$AD$5:$AD$34,MATCH(O2732,基础资料!$AC$5:$AC$34,0)),"")="收",N(G2732)&lt;&gt;0),"✗ 这类是收款，金额填到收入列",IF(AND(IFERROR(INDEX(基础资料!$AD$5:$AD$34,MATCH(O2732,基础资料!$AC$5:$AC$34,0)),"")="支",N(F2732)&lt;&gt;0),"✗ 这类是付款，金额填到支出列",IF(N(H2732)&lt;0,"⚠ 账户余额成负数了，核对一下","√"))))))))))))))))))</f>
      </c>
      <c r="O2732" s="78">
        <f>IF(D2732&lt;&gt;"",D2732,IF(AND(F2732="",G2732=""),"",IF(J2732&lt;&gt;"",IF(N(F2732)&gt;0,"客户回款","客户退款"),IF(K2732&lt;&gt;"",IF(N(G2732)&gt;0,"供应商付款","供应商退款"),IF(L2732&lt;&gt;"","费用支出","")))))</f>
      </c>
      <c r="P2732" s="78">
        <f>IF(O2732="","",IFERROR(INDEX(基础资料!$AE$5:$AE$34,MATCH(O2732,基础资料!$AC$5:$AC$34,0)),"未知"))</f>
      </c>
      <c r="Q2732" s="78">
        <f>IF(P2732="应收",COUNTIF(P$7:P2732,"应收"),"")</f>
      </c>
      <c r="R2732" s="78">
        <f>IF(P2732="应付",COUNTIF(P$7:P2732,"应付"),"")</f>
      </c>
      <c r="S2732" s="78">
        <f>N(F2732)-N(G2732)</f>
        <v>0</v>
      </c>
    </row>
    <row r="2733">
      <c r="A2733" s="109">
        <f>IF(AND(F2733="",G2733=""),"",ROW()-6)</f>
      </c>
      <c r="B2733" s="140" t="n"/>
      <c r="C2733" s="141" t="n"/>
      <c r="D2733" s="141" t="n"/>
      <c r="E2733" s="142" t="n"/>
      <c r="F2733" s="143" t="n"/>
      <c r="G2733" s="144" t="n"/>
      <c r="H2733" s="145">
        <f>IF(OR(C2733="",AND(F2733="",G2733="")),"",SUMIF(基础资料!$W$5:$W$24,C2733,基础资料!$X$5:$X$24)+SUMIF(C$7:C2733,C2733,F$7:F2733)-SUMIF(C$7:C2733,C2733,G$7:G2733))</f>
      </c>
      <c r="I2733" s="145">
        <f>IF(AND(F2733="",G2733=""),"",SUM(基础资料!$X$5:$X$24)+SUM(F$7:F2733)-SUM(G$7:G2733))</f>
      </c>
      <c r="J2733" s="141" t="n"/>
      <c r="K2733" s="141" t="n"/>
      <c r="L2733" s="141" t="n"/>
      <c r="M2733" s="142" t="n"/>
      <c r="N2733" s="146">
        <f>IF(AND(AND(F2733="",G2733=""),B2733="",C2733="",D2733="",J2733="",K2733="",L2733=""),"",IF(AND(F2733="",G2733=""),"✗ 没填金额",IF(AND(N(F2733)&lt;&gt;0,N(G2733)&lt;&gt;0),"✗ 收入、支出只能填一边",IF(NOT(ISNUMBER(B2733)),"✗ 日期不是真日期（要像 2026/9/25 这样填）",IF(OR(B2733&lt;年初日,B2733&gt;年末日),"✗ 日期不在本会计年度",IF(C2733="","✗ 没选账户",IF(COUNTIF(基础资料!$W$5:$W$24,C2733)=0,"✗ 账户不在基础资料里",IF(O2733="","✗ 没选收支项目",IF(P2733="未知","✗ 收支项目不在基础资料里",IF(AND(P2733="应收",J2733=""),"✗ 这笔要选客户",IF(AND(P2733="应收",COUNTIF(总览汇总!$B$5:$B$304,J2733)=0),"✗ 客户不在总览汇总名单里",IF(AND(P2733="应付",K2733=""),"✗ 这笔要选供应商",IF(AND(P2733="应付",COUNTIF(基础资料!$Q$5:$Q$54,K2733)=0),"✗ 供应商不在基础资料里",IF(AND(P2733="费用",L2733=""),"✗ 费用支出要选费用项目",IF(AND(L2733&lt;&gt;"",COUNTIF(基础资料!$AI$5:$AI$54,L2733)=0),"✗ 费用项目不在基础资料里",IF(AND(IFERROR(INDEX(基础资料!$AD$5:$AD$34,MATCH(O2733,基础资料!$AC$5:$AC$34,0)),"")="收",N(G2733)&lt;&gt;0),"✗ 这类是收款，金额填到收入列",IF(AND(IFERROR(INDEX(基础资料!$AD$5:$AD$34,MATCH(O2733,基础资料!$AC$5:$AC$34,0)),"")="支",N(F2733)&lt;&gt;0),"✗ 这类是付款，金额填到支出列",IF(N(H2733)&lt;0,"⚠ 账户余额成负数了，核对一下","√"))))))))))))))))))</f>
      </c>
      <c r="O2733" s="78">
        <f>IF(D2733&lt;&gt;"",D2733,IF(AND(F2733="",G2733=""),"",IF(J2733&lt;&gt;"",IF(N(F2733)&gt;0,"客户回款","客户退款"),IF(K2733&lt;&gt;"",IF(N(G2733)&gt;0,"供应商付款","供应商退款"),IF(L2733&lt;&gt;"","费用支出","")))))</f>
      </c>
      <c r="P2733" s="78">
        <f>IF(O2733="","",IFERROR(INDEX(基础资料!$AE$5:$AE$34,MATCH(O2733,基础资料!$AC$5:$AC$34,0)),"未知"))</f>
      </c>
      <c r="Q2733" s="78">
        <f>IF(P2733="应收",COUNTIF(P$7:P2733,"应收"),"")</f>
      </c>
      <c r="R2733" s="78">
        <f>IF(P2733="应付",COUNTIF(P$7:P2733,"应付"),"")</f>
      </c>
      <c r="S2733" s="78">
        <f>N(F2733)-N(G2733)</f>
        <v>0</v>
      </c>
    </row>
    <row r="2734">
      <c r="A2734" s="109">
        <f>IF(AND(F2734="",G2734=""),"",ROW()-6)</f>
      </c>
      <c r="B2734" s="140" t="n"/>
      <c r="C2734" s="141" t="n"/>
      <c r="D2734" s="141" t="n"/>
      <c r="E2734" s="142" t="n"/>
      <c r="F2734" s="143" t="n"/>
      <c r="G2734" s="144" t="n"/>
      <c r="H2734" s="145">
        <f>IF(OR(C2734="",AND(F2734="",G2734="")),"",SUMIF(基础资料!$W$5:$W$24,C2734,基础资料!$X$5:$X$24)+SUMIF(C$7:C2734,C2734,F$7:F2734)-SUMIF(C$7:C2734,C2734,G$7:G2734))</f>
      </c>
      <c r="I2734" s="145">
        <f>IF(AND(F2734="",G2734=""),"",SUM(基础资料!$X$5:$X$24)+SUM(F$7:F2734)-SUM(G$7:G2734))</f>
      </c>
      <c r="J2734" s="141" t="n"/>
      <c r="K2734" s="141" t="n"/>
      <c r="L2734" s="141" t="n"/>
      <c r="M2734" s="142" t="n"/>
      <c r="N2734" s="146">
        <f>IF(AND(AND(F2734="",G2734=""),B2734="",C2734="",D2734="",J2734="",K2734="",L2734=""),"",IF(AND(F2734="",G2734=""),"✗ 没填金额",IF(AND(N(F2734)&lt;&gt;0,N(G2734)&lt;&gt;0),"✗ 收入、支出只能填一边",IF(NOT(ISNUMBER(B2734)),"✗ 日期不是真日期（要像 2026/9/25 这样填）",IF(OR(B2734&lt;年初日,B2734&gt;年末日),"✗ 日期不在本会计年度",IF(C2734="","✗ 没选账户",IF(COUNTIF(基础资料!$W$5:$W$24,C2734)=0,"✗ 账户不在基础资料里",IF(O2734="","✗ 没选收支项目",IF(P2734="未知","✗ 收支项目不在基础资料里",IF(AND(P2734="应收",J2734=""),"✗ 这笔要选客户",IF(AND(P2734="应收",COUNTIF(总览汇总!$B$5:$B$304,J2734)=0),"✗ 客户不在总览汇总名单里",IF(AND(P2734="应付",K2734=""),"✗ 这笔要选供应商",IF(AND(P2734="应付",COUNTIF(基础资料!$Q$5:$Q$54,K2734)=0),"✗ 供应商不在基础资料里",IF(AND(P2734="费用",L2734=""),"✗ 费用支出要选费用项目",IF(AND(L2734&lt;&gt;"",COUNTIF(基础资料!$AI$5:$AI$54,L2734)=0),"✗ 费用项目不在基础资料里",IF(AND(IFERROR(INDEX(基础资料!$AD$5:$AD$34,MATCH(O2734,基础资料!$AC$5:$AC$34,0)),"")="收",N(G2734)&lt;&gt;0),"✗ 这类是收款，金额填到收入列",IF(AND(IFERROR(INDEX(基础资料!$AD$5:$AD$34,MATCH(O2734,基础资料!$AC$5:$AC$34,0)),"")="支",N(F2734)&lt;&gt;0),"✗ 这类是付款，金额填到支出列",IF(N(H2734)&lt;0,"⚠ 账户余额成负数了，核对一下","√"))))))))))))))))))</f>
      </c>
      <c r="O2734" s="78">
        <f>IF(D2734&lt;&gt;"",D2734,IF(AND(F2734="",G2734=""),"",IF(J2734&lt;&gt;"",IF(N(F2734)&gt;0,"客户回款","客户退款"),IF(K2734&lt;&gt;"",IF(N(G2734)&gt;0,"供应商付款","供应商退款"),IF(L2734&lt;&gt;"","费用支出","")))))</f>
      </c>
      <c r="P2734" s="78">
        <f>IF(O2734="","",IFERROR(INDEX(基础资料!$AE$5:$AE$34,MATCH(O2734,基础资料!$AC$5:$AC$34,0)),"未知"))</f>
      </c>
      <c r="Q2734" s="78">
        <f>IF(P2734="应收",COUNTIF(P$7:P2734,"应收"),"")</f>
      </c>
      <c r="R2734" s="78">
        <f>IF(P2734="应付",COUNTIF(P$7:P2734,"应付"),"")</f>
      </c>
      <c r="S2734" s="78">
        <f>N(F2734)-N(G2734)</f>
        <v>0</v>
      </c>
    </row>
    <row r="2735">
      <c r="A2735" s="109">
        <f>IF(AND(F2735="",G2735=""),"",ROW()-6)</f>
      </c>
      <c r="B2735" s="140" t="n"/>
      <c r="C2735" s="141" t="n"/>
      <c r="D2735" s="141" t="n"/>
      <c r="E2735" s="142" t="n"/>
      <c r="F2735" s="143" t="n"/>
      <c r="G2735" s="144" t="n"/>
      <c r="H2735" s="145">
        <f>IF(OR(C2735="",AND(F2735="",G2735="")),"",SUMIF(基础资料!$W$5:$W$24,C2735,基础资料!$X$5:$X$24)+SUMIF(C$7:C2735,C2735,F$7:F2735)-SUMIF(C$7:C2735,C2735,G$7:G2735))</f>
      </c>
      <c r="I2735" s="145">
        <f>IF(AND(F2735="",G2735=""),"",SUM(基础资料!$X$5:$X$24)+SUM(F$7:F2735)-SUM(G$7:G2735))</f>
      </c>
      <c r="J2735" s="141" t="n"/>
      <c r="K2735" s="141" t="n"/>
      <c r="L2735" s="141" t="n"/>
      <c r="M2735" s="142" t="n"/>
      <c r="N2735" s="146">
        <f>IF(AND(AND(F2735="",G2735=""),B2735="",C2735="",D2735="",J2735="",K2735="",L2735=""),"",IF(AND(F2735="",G2735=""),"✗ 没填金额",IF(AND(N(F2735)&lt;&gt;0,N(G2735)&lt;&gt;0),"✗ 收入、支出只能填一边",IF(NOT(ISNUMBER(B2735)),"✗ 日期不是真日期（要像 2026/9/25 这样填）",IF(OR(B2735&lt;年初日,B2735&gt;年末日),"✗ 日期不在本会计年度",IF(C2735="","✗ 没选账户",IF(COUNTIF(基础资料!$W$5:$W$24,C2735)=0,"✗ 账户不在基础资料里",IF(O2735="","✗ 没选收支项目",IF(P2735="未知","✗ 收支项目不在基础资料里",IF(AND(P2735="应收",J2735=""),"✗ 这笔要选客户",IF(AND(P2735="应收",COUNTIF(总览汇总!$B$5:$B$304,J2735)=0),"✗ 客户不在总览汇总名单里",IF(AND(P2735="应付",K2735=""),"✗ 这笔要选供应商",IF(AND(P2735="应付",COUNTIF(基础资料!$Q$5:$Q$54,K2735)=0),"✗ 供应商不在基础资料里",IF(AND(P2735="费用",L2735=""),"✗ 费用支出要选费用项目",IF(AND(L2735&lt;&gt;"",COUNTIF(基础资料!$AI$5:$AI$54,L2735)=0),"✗ 费用项目不在基础资料里",IF(AND(IFERROR(INDEX(基础资料!$AD$5:$AD$34,MATCH(O2735,基础资料!$AC$5:$AC$34,0)),"")="收",N(G2735)&lt;&gt;0),"✗ 这类是收款，金额填到收入列",IF(AND(IFERROR(INDEX(基础资料!$AD$5:$AD$34,MATCH(O2735,基础资料!$AC$5:$AC$34,0)),"")="支",N(F2735)&lt;&gt;0),"✗ 这类是付款，金额填到支出列",IF(N(H2735)&lt;0,"⚠ 账户余额成负数了，核对一下","√"))))))))))))))))))</f>
      </c>
      <c r="O2735" s="78">
        <f>IF(D2735&lt;&gt;"",D2735,IF(AND(F2735="",G2735=""),"",IF(J2735&lt;&gt;"",IF(N(F2735)&gt;0,"客户回款","客户退款"),IF(K2735&lt;&gt;"",IF(N(G2735)&gt;0,"供应商付款","供应商退款"),IF(L2735&lt;&gt;"","费用支出","")))))</f>
      </c>
      <c r="P2735" s="78">
        <f>IF(O2735="","",IFERROR(INDEX(基础资料!$AE$5:$AE$34,MATCH(O2735,基础资料!$AC$5:$AC$34,0)),"未知"))</f>
      </c>
      <c r="Q2735" s="78">
        <f>IF(P2735="应收",COUNTIF(P$7:P2735,"应收"),"")</f>
      </c>
      <c r="R2735" s="78">
        <f>IF(P2735="应付",COUNTIF(P$7:P2735,"应付"),"")</f>
      </c>
      <c r="S2735" s="78">
        <f>N(F2735)-N(G2735)</f>
        <v>0</v>
      </c>
    </row>
    <row r="2736">
      <c r="A2736" s="109">
        <f>IF(AND(F2736="",G2736=""),"",ROW()-6)</f>
      </c>
      <c r="B2736" s="140" t="n"/>
      <c r="C2736" s="141" t="n"/>
      <c r="D2736" s="141" t="n"/>
      <c r="E2736" s="142" t="n"/>
      <c r="F2736" s="143" t="n"/>
      <c r="G2736" s="144" t="n"/>
      <c r="H2736" s="145">
        <f>IF(OR(C2736="",AND(F2736="",G2736="")),"",SUMIF(基础资料!$W$5:$W$24,C2736,基础资料!$X$5:$X$24)+SUMIF(C$7:C2736,C2736,F$7:F2736)-SUMIF(C$7:C2736,C2736,G$7:G2736))</f>
      </c>
      <c r="I2736" s="145">
        <f>IF(AND(F2736="",G2736=""),"",SUM(基础资料!$X$5:$X$24)+SUM(F$7:F2736)-SUM(G$7:G2736))</f>
      </c>
      <c r="J2736" s="141" t="n"/>
      <c r="K2736" s="141" t="n"/>
      <c r="L2736" s="141" t="n"/>
      <c r="M2736" s="142" t="n"/>
      <c r="N2736" s="146">
        <f>IF(AND(AND(F2736="",G2736=""),B2736="",C2736="",D2736="",J2736="",K2736="",L2736=""),"",IF(AND(F2736="",G2736=""),"✗ 没填金额",IF(AND(N(F2736)&lt;&gt;0,N(G2736)&lt;&gt;0),"✗ 收入、支出只能填一边",IF(NOT(ISNUMBER(B2736)),"✗ 日期不是真日期（要像 2026/9/25 这样填）",IF(OR(B2736&lt;年初日,B2736&gt;年末日),"✗ 日期不在本会计年度",IF(C2736="","✗ 没选账户",IF(COUNTIF(基础资料!$W$5:$W$24,C2736)=0,"✗ 账户不在基础资料里",IF(O2736="","✗ 没选收支项目",IF(P2736="未知","✗ 收支项目不在基础资料里",IF(AND(P2736="应收",J2736=""),"✗ 这笔要选客户",IF(AND(P2736="应收",COUNTIF(总览汇总!$B$5:$B$304,J2736)=0),"✗ 客户不在总览汇总名单里",IF(AND(P2736="应付",K2736=""),"✗ 这笔要选供应商",IF(AND(P2736="应付",COUNTIF(基础资料!$Q$5:$Q$54,K2736)=0),"✗ 供应商不在基础资料里",IF(AND(P2736="费用",L2736=""),"✗ 费用支出要选费用项目",IF(AND(L2736&lt;&gt;"",COUNTIF(基础资料!$AI$5:$AI$54,L2736)=0),"✗ 费用项目不在基础资料里",IF(AND(IFERROR(INDEX(基础资料!$AD$5:$AD$34,MATCH(O2736,基础资料!$AC$5:$AC$34,0)),"")="收",N(G2736)&lt;&gt;0),"✗ 这类是收款，金额填到收入列",IF(AND(IFERROR(INDEX(基础资料!$AD$5:$AD$34,MATCH(O2736,基础资料!$AC$5:$AC$34,0)),"")="支",N(F2736)&lt;&gt;0),"✗ 这类是付款，金额填到支出列",IF(N(H2736)&lt;0,"⚠ 账户余额成负数了，核对一下","√"))))))))))))))))))</f>
      </c>
      <c r="O2736" s="78">
        <f>IF(D2736&lt;&gt;"",D2736,IF(AND(F2736="",G2736=""),"",IF(J2736&lt;&gt;"",IF(N(F2736)&gt;0,"客户回款","客户退款"),IF(K2736&lt;&gt;"",IF(N(G2736)&gt;0,"供应商付款","供应商退款"),IF(L2736&lt;&gt;"","费用支出","")))))</f>
      </c>
      <c r="P2736" s="78">
        <f>IF(O2736="","",IFERROR(INDEX(基础资料!$AE$5:$AE$34,MATCH(O2736,基础资料!$AC$5:$AC$34,0)),"未知"))</f>
      </c>
      <c r="Q2736" s="78">
        <f>IF(P2736="应收",COUNTIF(P$7:P2736,"应收"),"")</f>
      </c>
      <c r="R2736" s="78">
        <f>IF(P2736="应付",COUNTIF(P$7:P2736,"应付"),"")</f>
      </c>
      <c r="S2736" s="78">
        <f>N(F2736)-N(G2736)</f>
        <v>0</v>
      </c>
    </row>
    <row r="2737">
      <c r="A2737" s="109">
        <f>IF(AND(F2737="",G2737=""),"",ROW()-6)</f>
      </c>
      <c r="B2737" s="140" t="n"/>
      <c r="C2737" s="141" t="n"/>
      <c r="D2737" s="141" t="n"/>
      <c r="E2737" s="142" t="n"/>
      <c r="F2737" s="143" t="n"/>
      <c r="G2737" s="144" t="n"/>
      <c r="H2737" s="145">
        <f>IF(OR(C2737="",AND(F2737="",G2737="")),"",SUMIF(基础资料!$W$5:$W$24,C2737,基础资料!$X$5:$X$24)+SUMIF(C$7:C2737,C2737,F$7:F2737)-SUMIF(C$7:C2737,C2737,G$7:G2737))</f>
      </c>
      <c r="I2737" s="145">
        <f>IF(AND(F2737="",G2737=""),"",SUM(基础资料!$X$5:$X$24)+SUM(F$7:F2737)-SUM(G$7:G2737))</f>
      </c>
      <c r="J2737" s="141" t="n"/>
      <c r="K2737" s="141" t="n"/>
      <c r="L2737" s="141" t="n"/>
      <c r="M2737" s="142" t="n"/>
      <c r="N2737" s="146">
        <f>IF(AND(AND(F2737="",G2737=""),B2737="",C2737="",D2737="",J2737="",K2737="",L2737=""),"",IF(AND(F2737="",G2737=""),"✗ 没填金额",IF(AND(N(F2737)&lt;&gt;0,N(G2737)&lt;&gt;0),"✗ 收入、支出只能填一边",IF(NOT(ISNUMBER(B2737)),"✗ 日期不是真日期（要像 2026/9/25 这样填）",IF(OR(B2737&lt;年初日,B2737&gt;年末日),"✗ 日期不在本会计年度",IF(C2737="","✗ 没选账户",IF(COUNTIF(基础资料!$W$5:$W$24,C2737)=0,"✗ 账户不在基础资料里",IF(O2737="","✗ 没选收支项目",IF(P2737="未知","✗ 收支项目不在基础资料里",IF(AND(P2737="应收",J2737=""),"✗ 这笔要选客户",IF(AND(P2737="应收",COUNTIF(总览汇总!$B$5:$B$304,J2737)=0),"✗ 客户不在总览汇总名单里",IF(AND(P2737="应付",K2737=""),"✗ 这笔要选供应商",IF(AND(P2737="应付",COUNTIF(基础资料!$Q$5:$Q$54,K2737)=0),"✗ 供应商不在基础资料里",IF(AND(P2737="费用",L2737=""),"✗ 费用支出要选费用项目",IF(AND(L2737&lt;&gt;"",COUNTIF(基础资料!$AI$5:$AI$54,L2737)=0),"✗ 费用项目不在基础资料里",IF(AND(IFERROR(INDEX(基础资料!$AD$5:$AD$34,MATCH(O2737,基础资料!$AC$5:$AC$34,0)),"")="收",N(G2737)&lt;&gt;0),"✗ 这类是收款，金额填到收入列",IF(AND(IFERROR(INDEX(基础资料!$AD$5:$AD$34,MATCH(O2737,基础资料!$AC$5:$AC$34,0)),"")="支",N(F2737)&lt;&gt;0),"✗ 这类是付款，金额填到支出列",IF(N(H2737)&lt;0,"⚠ 账户余额成负数了，核对一下","√"))))))))))))))))))</f>
      </c>
      <c r="O2737" s="78">
        <f>IF(D2737&lt;&gt;"",D2737,IF(AND(F2737="",G2737=""),"",IF(J2737&lt;&gt;"",IF(N(F2737)&gt;0,"客户回款","客户退款"),IF(K2737&lt;&gt;"",IF(N(G2737)&gt;0,"供应商付款","供应商退款"),IF(L2737&lt;&gt;"","费用支出","")))))</f>
      </c>
      <c r="P2737" s="78">
        <f>IF(O2737="","",IFERROR(INDEX(基础资料!$AE$5:$AE$34,MATCH(O2737,基础资料!$AC$5:$AC$34,0)),"未知"))</f>
      </c>
      <c r="Q2737" s="78">
        <f>IF(P2737="应收",COUNTIF(P$7:P2737,"应收"),"")</f>
      </c>
      <c r="R2737" s="78">
        <f>IF(P2737="应付",COUNTIF(P$7:P2737,"应付"),"")</f>
      </c>
      <c r="S2737" s="78">
        <f>N(F2737)-N(G2737)</f>
        <v>0</v>
      </c>
    </row>
    <row r="2738">
      <c r="A2738" s="109">
        <f>IF(AND(F2738="",G2738=""),"",ROW()-6)</f>
      </c>
      <c r="B2738" s="140" t="n"/>
      <c r="C2738" s="141" t="n"/>
      <c r="D2738" s="141" t="n"/>
      <c r="E2738" s="142" t="n"/>
      <c r="F2738" s="143" t="n"/>
      <c r="G2738" s="144" t="n"/>
      <c r="H2738" s="145">
        <f>IF(OR(C2738="",AND(F2738="",G2738="")),"",SUMIF(基础资料!$W$5:$W$24,C2738,基础资料!$X$5:$X$24)+SUMIF(C$7:C2738,C2738,F$7:F2738)-SUMIF(C$7:C2738,C2738,G$7:G2738))</f>
      </c>
      <c r="I2738" s="145">
        <f>IF(AND(F2738="",G2738=""),"",SUM(基础资料!$X$5:$X$24)+SUM(F$7:F2738)-SUM(G$7:G2738))</f>
      </c>
      <c r="J2738" s="141" t="n"/>
      <c r="K2738" s="141" t="n"/>
      <c r="L2738" s="141" t="n"/>
      <c r="M2738" s="142" t="n"/>
      <c r="N2738" s="146">
        <f>IF(AND(AND(F2738="",G2738=""),B2738="",C2738="",D2738="",J2738="",K2738="",L2738=""),"",IF(AND(F2738="",G2738=""),"✗ 没填金额",IF(AND(N(F2738)&lt;&gt;0,N(G2738)&lt;&gt;0),"✗ 收入、支出只能填一边",IF(NOT(ISNUMBER(B2738)),"✗ 日期不是真日期（要像 2026/9/25 这样填）",IF(OR(B2738&lt;年初日,B2738&gt;年末日),"✗ 日期不在本会计年度",IF(C2738="","✗ 没选账户",IF(COUNTIF(基础资料!$W$5:$W$24,C2738)=0,"✗ 账户不在基础资料里",IF(O2738="","✗ 没选收支项目",IF(P2738="未知","✗ 收支项目不在基础资料里",IF(AND(P2738="应收",J2738=""),"✗ 这笔要选客户",IF(AND(P2738="应收",COUNTIF(总览汇总!$B$5:$B$304,J2738)=0),"✗ 客户不在总览汇总名单里",IF(AND(P2738="应付",K2738=""),"✗ 这笔要选供应商",IF(AND(P2738="应付",COUNTIF(基础资料!$Q$5:$Q$54,K2738)=0),"✗ 供应商不在基础资料里",IF(AND(P2738="费用",L2738=""),"✗ 费用支出要选费用项目",IF(AND(L2738&lt;&gt;"",COUNTIF(基础资料!$AI$5:$AI$54,L2738)=0),"✗ 费用项目不在基础资料里",IF(AND(IFERROR(INDEX(基础资料!$AD$5:$AD$34,MATCH(O2738,基础资料!$AC$5:$AC$34,0)),"")="收",N(G2738)&lt;&gt;0),"✗ 这类是收款，金额填到收入列",IF(AND(IFERROR(INDEX(基础资料!$AD$5:$AD$34,MATCH(O2738,基础资料!$AC$5:$AC$34,0)),"")="支",N(F2738)&lt;&gt;0),"✗ 这类是付款，金额填到支出列",IF(N(H2738)&lt;0,"⚠ 账户余额成负数了，核对一下","√"))))))))))))))))))</f>
      </c>
      <c r="O2738" s="78">
        <f>IF(D2738&lt;&gt;"",D2738,IF(AND(F2738="",G2738=""),"",IF(J2738&lt;&gt;"",IF(N(F2738)&gt;0,"客户回款","客户退款"),IF(K2738&lt;&gt;"",IF(N(G2738)&gt;0,"供应商付款","供应商退款"),IF(L2738&lt;&gt;"","费用支出","")))))</f>
      </c>
      <c r="P2738" s="78">
        <f>IF(O2738="","",IFERROR(INDEX(基础资料!$AE$5:$AE$34,MATCH(O2738,基础资料!$AC$5:$AC$34,0)),"未知"))</f>
      </c>
      <c r="Q2738" s="78">
        <f>IF(P2738="应收",COUNTIF(P$7:P2738,"应收"),"")</f>
      </c>
      <c r="R2738" s="78">
        <f>IF(P2738="应付",COUNTIF(P$7:P2738,"应付"),"")</f>
      </c>
      <c r="S2738" s="78">
        <f>N(F2738)-N(G2738)</f>
        <v>0</v>
      </c>
    </row>
    <row r="2739">
      <c r="A2739" s="109">
        <f>IF(AND(F2739="",G2739=""),"",ROW()-6)</f>
      </c>
      <c r="B2739" s="140" t="n"/>
      <c r="C2739" s="141" t="n"/>
      <c r="D2739" s="141" t="n"/>
      <c r="E2739" s="142" t="n"/>
      <c r="F2739" s="143" t="n"/>
      <c r="G2739" s="144" t="n"/>
      <c r="H2739" s="145">
        <f>IF(OR(C2739="",AND(F2739="",G2739="")),"",SUMIF(基础资料!$W$5:$W$24,C2739,基础资料!$X$5:$X$24)+SUMIF(C$7:C2739,C2739,F$7:F2739)-SUMIF(C$7:C2739,C2739,G$7:G2739))</f>
      </c>
      <c r="I2739" s="145">
        <f>IF(AND(F2739="",G2739=""),"",SUM(基础资料!$X$5:$X$24)+SUM(F$7:F2739)-SUM(G$7:G2739))</f>
      </c>
      <c r="J2739" s="141" t="n"/>
      <c r="K2739" s="141" t="n"/>
      <c r="L2739" s="141" t="n"/>
      <c r="M2739" s="142" t="n"/>
      <c r="N2739" s="146">
        <f>IF(AND(AND(F2739="",G2739=""),B2739="",C2739="",D2739="",J2739="",K2739="",L2739=""),"",IF(AND(F2739="",G2739=""),"✗ 没填金额",IF(AND(N(F2739)&lt;&gt;0,N(G2739)&lt;&gt;0),"✗ 收入、支出只能填一边",IF(NOT(ISNUMBER(B2739)),"✗ 日期不是真日期（要像 2026/9/25 这样填）",IF(OR(B2739&lt;年初日,B2739&gt;年末日),"✗ 日期不在本会计年度",IF(C2739="","✗ 没选账户",IF(COUNTIF(基础资料!$W$5:$W$24,C2739)=0,"✗ 账户不在基础资料里",IF(O2739="","✗ 没选收支项目",IF(P2739="未知","✗ 收支项目不在基础资料里",IF(AND(P2739="应收",J2739=""),"✗ 这笔要选客户",IF(AND(P2739="应收",COUNTIF(总览汇总!$B$5:$B$304,J2739)=0),"✗ 客户不在总览汇总名单里",IF(AND(P2739="应付",K2739=""),"✗ 这笔要选供应商",IF(AND(P2739="应付",COUNTIF(基础资料!$Q$5:$Q$54,K2739)=0),"✗ 供应商不在基础资料里",IF(AND(P2739="费用",L2739=""),"✗ 费用支出要选费用项目",IF(AND(L2739&lt;&gt;"",COUNTIF(基础资料!$AI$5:$AI$54,L2739)=0),"✗ 费用项目不在基础资料里",IF(AND(IFERROR(INDEX(基础资料!$AD$5:$AD$34,MATCH(O2739,基础资料!$AC$5:$AC$34,0)),"")="收",N(G2739)&lt;&gt;0),"✗ 这类是收款，金额填到收入列",IF(AND(IFERROR(INDEX(基础资料!$AD$5:$AD$34,MATCH(O2739,基础资料!$AC$5:$AC$34,0)),"")="支",N(F2739)&lt;&gt;0),"✗ 这类是付款，金额填到支出列",IF(N(H2739)&lt;0,"⚠ 账户余额成负数了，核对一下","√"))))))))))))))))))</f>
      </c>
      <c r="O2739" s="78">
        <f>IF(D2739&lt;&gt;"",D2739,IF(AND(F2739="",G2739=""),"",IF(J2739&lt;&gt;"",IF(N(F2739)&gt;0,"客户回款","客户退款"),IF(K2739&lt;&gt;"",IF(N(G2739)&gt;0,"供应商付款","供应商退款"),IF(L2739&lt;&gt;"","费用支出","")))))</f>
      </c>
      <c r="P2739" s="78">
        <f>IF(O2739="","",IFERROR(INDEX(基础资料!$AE$5:$AE$34,MATCH(O2739,基础资料!$AC$5:$AC$34,0)),"未知"))</f>
      </c>
      <c r="Q2739" s="78">
        <f>IF(P2739="应收",COUNTIF(P$7:P2739,"应收"),"")</f>
      </c>
      <c r="R2739" s="78">
        <f>IF(P2739="应付",COUNTIF(P$7:P2739,"应付"),"")</f>
      </c>
      <c r="S2739" s="78">
        <f>N(F2739)-N(G2739)</f>
        <v>0</v>
      </c>
    </row>
    <row r="2740">
      <c r="A2740" s="109">
        <f>IF(AND(F2740="",G2740=""),"",ROW()-6)</f>
      </c>
      <c r="B2740" s="140" t="n"/>
      <c r="C2740" s="141" t="n"/>
      <c r="D2740" s="141" t="n"/>
      <c r="E2740" s="142" t="n"/>
      <c r="F2740" s="143" t="n"/>
      <c r="G2740" s="144" t="n"/>
      <c r="H2740" s="145">
        <f>IF(OR(C2740="",AND(F2740="",G2740="")),"",SUMIF(基础资料!$W$5:$W$24,C2740,基础资料!$X$5:$X$24)+SUMIF(C$7:C2740,C2740,F$7:F2740)-SUMIF(C$7:C2740,C2740,G$7:G2740))</f>
      </c>
      <c r="I2740" s="145">
        <f>IF(AND(F2740="",G2740=""),"",SUM(基础资料!$X$5:$X$24)+SUM(F$7:F2740)-SUM(G$7:G2740))</f>
      </c>
      <c r="J2740" s="141" t="n"/>
      <c r="K2740" s="141" t="n"/>
      <c r="L2740" s="141" t="n"/>
      <c r="M2740" s="142" t="n"/>
      <c r="N2740" s="146">
        <f>IF(AND(AND(F2740="",G2740=""),B2740="",C2740="",D2740="",J2740="",K2740="",L2740=""),"",IF(AND(F2740="",G2740=""),"✗ 没填金额",IF(AND(N(F2740)&lt;&gt;0,N(G2740)&lt;&gt;0),"✗ 收入、支出只能填一边",IF(NOT(ISNUMBER(B2740)),"✗ 日期不是真日期（要像 2026/9/25 这样填）",IF(OR(B2740&lt;年初日,B2740&gt;年末日),"✗ 日期不在本会计年度",IF(C2740="","✗ 没选账户",IF(COUNTIF(基础资料!$W$5:$W$24,C2740)=0,"✗ 账户不在基础资料里",IF(O2740="","✗ 没选收支项目",IF(P2740="未知","✗ 收支项目不在基础资料里",IF(AND(P2740="应收",J2740=""),"✗ 这笔要选客户",IF(AND(P2740="应收",COUNTIF(总览汇总!$B$5:$B$304,J2740)=0),"✗ 客户不在总览汇总名单里",IF(AND(P2740="应付",K2740=""),"✗ 这笔要选供应商",IF(AND(P2740="应付",COUNTIF(基础资料!$Q$5:$Q$54,K2740)=0),"✗ 供应商不在基础资料里",IF(AND(P2740="费用",L2740=""),"✗ 费用支出要选费用项目",IF(AND(L2740&lt;&gt;"",COUNTIF(基础资料!$AI$5:$AI$54,L2740)=0),"✗ 费用项目不在基础资料里",IF(AND(IFERROR(INDEX(基础资料!$AD$5:$AD$34,MATCH(O2740,基础资料!$AC$5:$AC$34,0)),"")="收",N(G2740)&lt;&gt;0),"✗ 这类是收款，金额填到收入列",IF(AND(IFERROR(INDEX(基础资料!$AD$5:$AD$34,MATCH(O2740,基础资料!$AC$5:$AC$34,0)),"")="支",N(F2740)&lt;&gt;0),"✗ 这类是付款，金额填到支出列",IF(N(H2740)&lt;0,"⚠ 账户余额成负数了，核对一下","√"))))))))))))))))))</f>
      </c>
      <c r="O2740" s="78">
        <f>IF(D2740&lt;&gt;"",D2740,IF(AND(F2740="",G2740=""),"",IF(J2740&lt;&gt;"",IF(N(F2740)&gt;0,"客户回款","客户退款"),IF(K2740&lt;&gt;"",IF(N(G2740)&gt;0,"供应商付款","供应商退款"),IF(L2740&lt;&gt;"","费用支出","")))))</f>
      </c>
      <c r="P2740" s="78">
        <f>IF(O2740="","",IFERROR(INDEX(基础资料!$AE$5:$AE$34,MATCH(O2740,基础资料!$AC$5:$AC$34,0)),"未知"))</f>
      </c>
      <c r="Q2740" s="78">
        <f>IF(P2740="应收",COUNTIF(P$7:P2740,"应收"),"")</f>
      </c>
      <c r="R2740" s="78">
        <f>IF(P2740="应付",COUNTIF(P$7:P2740,"应付"),"")</f>
      </c>
      <c r="S2740" s="78">
        <f>N(F2740)-N(G2740)</f>
        <v>0</v>
      </c>
    </row>
    <row r="2741">
      <c r="A2741" s="109">
        <f>IF(AND(F2741="",G2741=""),"",ROW()-6)</f>
      </c>
      <c r="B2741" s="140" t="n"/>
      <c r="C2741" s="141" t="n"/>
      <c r="D2741" s="141" t="n"/>
      <c r="E2741" s="142" t="n"/>
      <c r="F2741" s="143" t="n"/>
      <c r="G2741" s="144" t="n"/>
      <c r="H2741" s="145">
        <f>IF(OR(C2741="",AND(F2741="",G2741="")),"",SUMIF(基础资料!$W$5:$W$24,C2741,基础资料!$X$5:$X$24)+SUMIF(C$7:C2741,C2741,F$7:F2741)-SUMIF(C$7:C2741,C2741,G$7:G2741))</f>
      </c>
      <c r="I2741" s="145">
        <f>IF(AND(F2741="",G2741=""),"",SUM(基础资料!$X$5:$X$24)+SUM(F$7:F2741)-SUM(G$7:G2741))</f>
      </c>
      <c r="J2741" s="141" t="n"/>
      <c r="K2741" s="141" t="n"/>
      <c r="L2741" s="141" t="n"/>
      <c r="M2741" s="142" t="n"/>
      <c r="N2741" s="146">
        <f>IF(AND(AND(F2741="",G2741=""),B2741="",C2741="",D2741="",J2741="",K2741="",L2741=""),"",IF(AND(F2741="",G2741=""),"✗ 没填金额",IF(AND(N(F2741)&lt;&gt;0,N(G2741)&lt;&gt;0),"✗ 收入、支出只能填一边",IF(NOT(ISNUMBER(B2741)),"✗ 日期不是真日期（要像 2026/9/25 这样填）",IF(OR(B2741&lt;年初日,B2741&gt;年末日),"✗ 日期不在本会计年度",IF(C2741="","✗ 没选账户",IF(COUNTIF(基础资料!$W$5:$W$24,C2741)=0,"✗ 账户不在基础资料里",IF(O2741="","✗ 没选收支项目",IF(P2741="未知","✗ 收支项目不在基础资料里",IF(AND(P2741="应收",J2741=""),"✗ 这笔要选客户",IF(AND(P2741="应收",COUNTIF(总览汇总!$B$5:$B$304,J2741)=0),"✗ 客户不在总览汇总名单里",IF(AND(P2741="应付",K2741=""),"✗ 这笔要选供应商",IF(AND(P2741="应付",COUNTIF(基础资料!$Q$5:$Q$54,K2741)=0),"✗ 供应商不在基础资料里",IF(AND(P2741="费用",L2741=""),"✗ 费用支出要选费用项目",IF(AND(L2741&lt;&gt;"",COUNTIF(基础资料!$AI$5:$AI$54,L2741)=0),"✗ 费用项目不在基础资料里",IF(AND(IFERROR(INDEX(基础资料!$AD$5:$AD$34,MATCH(O2741,基础资料!$AC$5:$AC$34,0)),"")="收",N(G2741)&lt;&gt;0),"✗ 这类是收款，金额填到收入列",IF(AND(IFERROR(INDEX(基础资料!$AD$5:$AD$34,MATCH(O2741,基础资料!$AC$5:$AC$34,0)),"")="支",N(F2741)&lt;&gt;0),"✗ 这类是付款，金额填到支出列",IF(N(H2741)&lt;0,"⚠ 账户余额成负数了，核对一下","√"))))))))))))))))))</f>
      </c>
      <c r="O2741" s="78">
        <f>IF(D2741&lt;&gt;"",D2741,IF(AND(F2741="",G2741=""),"",IF(J2741&lt;&gt;"",IF(N(F2741)&gt;0,"客户回款","客户退款"),IF(K2741&lt;&gt;"",IF(N(G2741)&gt;0,"供应商付款","供应商退款"),IF(L2741&lt;&gt;"","费用支出","")))))</f>
      </c>
      <c r="P2741" s="78">
        <f>IF(O2741="","",IFERROR(INDEX(基础资料!$AE$5:$AE$34,MATCH(O2741,基础资料!$AC$5:$AC$34,0)),"未知"))</f>
      </c>
      <c r="Q2741" s="78">
        <f>IF(P2741="应收",COUNTIF(P$7:P2741,"应收"),"")</f>
      </c>
      <c r="R2741" s="78">
        <f>IF(P2741="应付",COUNTIF(P$7:P2741,"应付"),"")</f>
      </c>
      <c r="S2741" s="78">
        <f>N(F2741)-N(G2741)</f>
        <v>0</v>
      </c>
    </row>
    <row r="2742">
      <c r="A2742" s="109">
        <f>IF(AND(F2742="",G2742=""),"",ROW()-6)</f>
      </c>
      <c r="B2742" s="140" t="n"/>
      <c r="C2742" s="141" t="n"/>
      <c r="D2742" s="141" t="n"/>
      <c r="E2742" s="142" t="n"/>
      <c r="F2742" s="143" t="n"/>
      <c r="G2742" s="144" t="n"/>
      <c r="H2742" s="145">
        <f>IF(OR(C2742="",AND(F2742="",G2742="")),"",SUMIF(基础资料!$W$5:$W$24,C2742,基础资料!$X$5:$X$24)+SUMIF(C$7:C2742,C2742,F$7:F2742)-SUMIF(C$7:C2742,C2742,G$7:G2742))</f>
      </c>
      <c r="I2742" s="145">
        <f>IF(AND(F2742="",G2742=""),"",SUM(基础资料!$X$5:$X$24)+SUM(F$7:F2742)-SUM(G$7:G2742))</f>
      </c>
      <c r="J2742" s="141" t="n"/>
      <c r="K2742" s="141" t="n"/>
      <c r="L2742" s="141" t="n"/>
      <c r="M2742" s="142" t="n"/>
      <c r="N2742" s="146">
        <f>IF(AND(AND(F2742="",G2742=""),B2742="",C2742="",D2742="",J2742="",K2742="",L2742=""),"",IF(AND(F2742="",G2742=""),"✗ 没填金额",IF(AND(N(F2742)&lt;&gt;0,N(G2742)&lt;&gt;0),"✗ 收入、支出只能填一边",IF(NOT(ISNUMBER(B2742)),"✗ 日期不是真日期（要像 2026/9/25 这样填）",IF(OR(B2742&lt;年初日,B2742&gt;年末日),"✗ 日期不在本会计年度",IF(C2742="","✗ 没选账户",IF(COUNTIF(基础资料!$W$5:$W$24,C2742)=0,"✗ 账户不在基础资料里",IF(O2742="","✗ 没选收支项目",IF(P2742="未知","✗ 收支项目不在基础资料里",IF(AND(P2742="应收",J2742=""),"✗ 这笔要选客户",IF(AND(P2742="应收",COUNTIF(总览汇总!$B$5:$B$304,J2742)=0),"✗ 客户不在总览汇总名单里",IF(AND(P2742="应付",K2742=""),"✗ 这笔要选供应商",IF(AND(P2742="应付",COUNTIF(基础资料!$Q$5:$Q$54,K2742)=0),"✗ 供应商不在基础资料里",IF(AND(P2742="费用",L2742=""),"✗ 费用支出要选费用项目",IF(AND(L2742&lt;&gt;"",COUNTIF(基础资料!$AI$5:$AI$54,L2742)=0),"✗ 费用项目不在基础资料里",IF(AND(IFERROR(INDEX(基础资料!$AD$5:$AD$34,MATCH(O2742,基础资料!$AC$5:$AC$34,0)),"")="收",N(G2742)&lt;&gt;0),"✗ 这类是收款，金额填到收入列",IF(AND(IFERROR(INDEX(基础资料!$AD$5:$AD$34,MATCH(O2742,基础资料!$AC$5:$AC$34,0)),"")="支",N(F2742)&lt;&gt;0),"✗ 这类是付款，金额填到支出列",IF(N(H2742)&lt;0,"⚠ 账户余额成负数了，核对一下","√"))))))))))))))))))</f>
      </c>
      <c r="O2742" s="78">
        <f>IF(D2742&lt;&gt;"",D2742,IF(AND(F2742="",G2742=""),"",IF(J2742&lt;&gt;"",IF(N(F2742)&gt;0,"客户回款","客户退款"),IF(K2742&lt;&gt;"",IF(N(G2742)&gt;0,"供应商付款","供应商退款"),IF(L2742&lt;&gt;"","费用支出","")))))</f>
      </c>
      <c r="P2742" s="78">
        <f>IF(O2742="","",IFERROR(INDEX(基础资料!$AE$5:$AE$34,MATCH(O2742,基础资料!$AC$5:$AC$34,0)),"未知"))</f>
      </c>
      <c r="Q2742" s="78">
        <f>IF(P2742="应收",COUNTIF(P$7:P2742,"应收"),"")</f>
      </c>
      <c r="R2742" s="78">
        <f>IF(P2742="应付",COUNTIF(P$7:P2742,"应付"),"")</f>
      </c>
      <c r="S2742" s="78">
        <f>N(F2742)-N(G2742)</f>
        <v>0</v>
      </c>
    </row>
    <row r="2743">
      <c r="A2743" s="109">
        <f>IF(AND(F2743="",G2743=""),"",ROW()-6)</f>
      </c>
      <c r="B2743" s="140" t="n"/>
      <c r="C2743" s="141" t="n"/>
      <c r="D2743" s="141" t="n"/>
      <c r="E2743" s="142" t="n"/>
      <c r="F2743" s="143" t="n"/>
      <c r="G2743" s="144" t="n"/>
      <c r="H2743" s="145">
        <f>IF(OR(C2743="",AND(F2743="",G2743="")),"",SUMIF(基础资料!$W$5:$W$24,C2743,基础资料!$X$5:$X$24)+SUMIF(C$7:C2743,C2743,F$7:F2743)-SUMIF(C$7:C2743,C2743,G$7:G2743))</f>
      </c>
      <c r="I2743" s="145">
        <f>IF(AND(F2743="",G2743=""),"",SUM(基础资料!$X$5:$X$24)+SUM(F$7:F2743)-SUM(G$7:G2743))</f>
      </c>
      <c r="J2743" s="141" t="n"/>
      <c r="K2743" s="141" t="n"/>
      <c r="L2743" s="141" t="n"/>
      <c r="M2743" s="142" t="n"/>
      <c r="N2743" s="146">
        <f>IF(AND(AND(F2743="",G2743=""),B2743="",C2743="",D2743="",J2743="",K2743="",L2743=""),"",IF(AND(F2743="",G2743=""),"✗ 没填金额",IF(AND(N(F2743)&lt;&gt;0,N(G2743)&lt;&gt;0),"✗ 收入、支出只能填一边",IF(NOT(ISNUMBER(B2743)),"✗ 日期不是真日期（要像 2026/9/25 这样填）",IF(OR(B2743&lt;年初日,B2743&gt;年末日),"✗ 日期不在本会计年度",IF(C2743="","✗ 没选账户",IF(COUNTIF(基础资料!$W$5:$W$24,C2743)=0,"✗ 账户不在基础资料里",IF(O2743="","✗ 没选收支项目",IF(P2743="未知","✗ 收支项目不在基础资料里",IF(AND(P2743="应收",J2743=""),"✗ 这笔要选客户",IF(AND(P2743="应收",COUNTIF(总览汇总!$B$5:$B$304,J2743)=0),"✗ 客户不在总览汇总名单里",IF(AND(P2743="应付",K2743=""),"✗ 这笔要选供应商",IF(AND(P2743="应付",COUNTIF(基础资料!$Q$5:$Q$54,K2743)=0),"✗ 供应商不在基础资料里",IF(AND(P2743="费用",L2743=""),"✗ 费用支出要选费用项目",IF(AND(L2743&lt;&gt;"",COUNTIF(基础资料!$AI$5:$AI$54,L2743)=0),"✗ 费用项目不在基础资料里",IF(AND(IFERROR(INDEX(基础资料!$AD$5:$AD$34,MATCH(O2743,基础资料!$AC$5:$AC$34,0)),"")="收",N(G2743)&lt;&gt;0),"✗ 这类是收款，金额填到收入列",IF(AND(IFERROR(INDEX(基础资料!$AD$5:$AD$34,MATCH(O2743,基础资料!$AC$5:$AC$34,0)),"")="支",N(F2743)&lt;&gt;0),"✗ 这类是付款，金额填到支出列",IF(N(H2743)&lt;0,"⚠ 账户余额成负数了，核对一下","√"))))))))))))))))))</f>
      </c>
      <c r="O2743" s="78">
        <f>IF(D2743&lt;&gt;"",D2743,IF(AND(F2743="",G2743=""),"",IF(J2743&lt;&gt;"",IF(N(F2743)&gt;0,"客户回款","客户退款"),IF(K2743&lt;&gt;"",IF(N(G2743)&gt;0,"供应商付款","供应商退款"),IF(L2743&lt;&gt;"","费用支出","")))))</f>
      </c>
      <c r="P2743" s="78">
        <f>IF(O2743="","",IFERROR(INDEX(基础资料!$AE$5:$AE$34,MATCH(O2743,基础资料!$AC$5:$AC$34,0)),"未知"))</f>
      </c>
      <c r="Q2743" s="78">
        <f>IF(P2743="应收",COUNTIF(P$7:P2743,"应收"),"")</f>
      </c>
      <c r="R2743" s="78">
        <f>IF(P2743="应付",COUNTIF(P$7:P2743,"应付"),"")</f>
      </c>
      <c r="S2743" s="78">
        <f>N(F2743)-N(G2743)</f>
        <v>0</v>
      </c>
    </row>
    <row r="2744">
      <c r="A2744" s="109">
        <f>IF(AND(F2744="",G2744=""),"",ROW()-6)</f>
      </c>
      <c r="B2744" s="140" t="n"/>
      <c r="C2744" s="141" t="n"/>
      <c r="D2744" s="141" t="n"/>
      <c r="E2744" s="142" t="n"/>
      <c r="F2744" s="143" t="n"/>
      <c r="G2744" s="144" t="n"/>
      <c r="H2744" s="145">
        <f>IF(OR(C2744="",AND(F2744="",G2744="")),"",SUMIF(基础资料!$W$5:$W$24,C2744,基础资料!$X$5:$X$24)+SUMIF(C$7:C2744,C2744,F$7:F2744)-SUMIF(C$7:C2744,C2744,G$7:G2744))</f>
      </c>
      <c r="I2744" s="145">
        <f>IF(AND(F2744="",G2744=""),"",SUM(基础资料!$X$5:$X$24)+SUM(F$7:F2744)-SUM(G$7:G2744))</f>
      </c>
      <c r="J2744" s="141" t="n"/>
      <c r="K2744" s="141" t="n"/>
      <c r="L2744" s="141" t="n"/>
      <c r="M2744" s="142" t="n"/>
      <c r="N2744" s="146">
        <f>IF(AND(AND(F2744="",G2744=""),B2744="",C2744="",D2744="",J2744="",K2744="",L2744=""),"",IF(AND(F2744="",G2744=""),"✗ 没填金额",IF(AND(N(F2744)&lt;&gt;0,N(G2744)&lt;&gt;0),"✗ 收入、支出只能填一边",IF(NOT(ISNUMBER(B2744)),"✗ 日期不是真日期（要像 2026/9/25 这样填）",IF(OR(B2744&lt;年初日,B2744&gt;年末日),"✗ 日期不在本会计年度",IF(C2744="","✗ 没选账户",IF(COUNTIF(基础资料!$W$5:$W$24,C2744)=0,"✗ 账户不在基础资料里",IF(O2744="","✗ 没选收支项目",IF(P2744="未知","✗ 收支项目不在基础资料里",IF(AND(P2744="应收",J2744=""),"✗ 这笔要选客户",IF(AND(P2744="应收",COUNTIF(总览汇总!$B$5:$B$304,J2744)=0),"✗ 客户不在总览汇总名单里",IF(AND(P2744="应付",K2744=""),"✗ 这笔要选供应商",IF(AND(P2744="应付",COUNTIF(基础资料!$Q$5:$Q$54,K2744)=0),"✗ 供应商不在基础资料里",IF(AND(P2744="费用",L2744=""),"✗ 费用支出要选费用项目",IF(AND(L2744&lt;&gt;"",COUNTIF(基础资料!$AI$5:$AI$54,L2744)=0),"✗ 费用项目不在基础资料里",IF(AND(IFERROR(INDEX(基础资料!$AD$5:$AD$34,MATCH(O2744,基础资料!$AC$5:$AC$34,0)),"")="收",N(G2744)&lt;&gt;0),"✗ 这类是收款，金额填到收入列",IF(AND(IFERROR(INDEX(基础资料!$AD$5:$AD$34,MATCH(O2744,基础资料!$AC$5:$AC$34,0)),"")="支",N(F2744)&lt;&gt;0),"✗ 这类是付款，金额填到支出列",IF(N(H2744)&lt;0,"⚠ 账户余额成负数了，核对一下","√"))))))))))))))))))</f>
      </c>
      <c r="O2744" s="78">
        <f>IF(D2744&lt;&gt;"",D2744,IF(AND(F2744="",G2744=""),"",IF(J2744&lt;&gt;"",IF(N(F2744)&gt;0,"客户回款","客户退款"),IF(K2744&lt;&gt;"",IF(N(G2744)&gt;0,"供应商付款","供应商退款"),IF(L2744&lt;&gt;"","费用支出","")))))</f>
      </c>
      <c r="P2744" s="78">
        <f>IF(O2744="","",IFERROR(INDEX(基础资料!$AE$5:$AE$34,MATCH(O2744,基础资料!$AC$5:$AC$34,0)),"未知"))</f>
      </c>
      <c r="Q2744" s="78">
        <f>IF(P2744="应收",COUNTIF(P$7:P2744,"应收"),"")</f>
      </c>
      <c r="R2744" s="78">
        <f>IF(P2744="应付",COUNTIF(P$7:P2744,"应付"),"")</f>
      </c>
      <c r="S2744" s="78">
        <f>N(F2744)-N(G2744)</f>
        <v>0</v>
      </c>
    </row>
    <row r="2745">
      <c r="A2745" s="109">
        <f>IF(AND(F2745="",G2745=""),"",ROW()-6)</f>
      </c>
      <c r="B2745" s="140" t="n"/>
      <c r="C2745" s="141" t="n"/>
      <c r="D2745" s="141" t="n"/>
      <c r="E2745" s="142" t="n"/>
      <c r="F2745" s="143" t="n"/>
      <c r="G2745" s="144" t="n"/>
      <c r="H2745" s="145">
        <f>IF(OR(C2745="",AND(F2745="",G2745="")),"",SUMIF(基础资料!$W$5:$W$24,C2745,基础资料!$X$5:$X$24)+SUMIF(C$7:C2745,C2745,F$7:F2745)-SUMIF(C$7:C2745,C2745,G$7:G2745))</f>
      </c>
      <c r="I2745" s="145">
        <f>IF(AND(F2745="",G2745=""),"",SUM(基础资料!$X$5:$X$24)+SUM(F$7:F2745)-SUM(G$7:G2745))</f>
      </c>
      <c r="J2745" s="141" t="n"/>
      <c r="K2745" s="141" t="n"/>
      <c r="L2745" s="141" t="n"/>
      <c r="M2745" s="142" t="n"/>
      <c r="N2745" s="146">
        <f>IF(AND(AND(F2745="",G2745=""),B2745="",C2745="",D2745="",J2745="",K2745="",L2745=""),"",IF(AND(F2745="",G2745=""),"✗ 没填金额",IF(AND(N(F2745)&lt;&gt;0,N(G2745)&lt;&gt;0),"✗ 收入、支出只能填一边",IF(NOT(ISNUMBER(B2745)),"✗ 日期不是真日期（要像 2026/9/25 这样填）",IF(OR(B2745&lt;年初日,B2745&gt;年末日),"✗ 日期不在本会计年度",IF(C2745="","✗ 没选账户",IF(COUNTIF(基础资料!$W$5:$W$24,C2745)=0,"✗ 账户不在基础资料里",IF(O2745="","✗ 没选收支项目",IF(P2745="未知","✗ 收支项目不在基础资料里",IF(AND(P2745="应收",J2745=""),"✗ 这笔要选客户",IF(AND(P2745="应收",COUNTIF(总览汇总!$B$5:$B$304,J2745)=0),"✗ 客户不在总览汇总名单里",IF(AND(P2745="应付",K2745=""),"✗ 这笔要选供应商",IF(AND(P2745="应付",COUNTIF(基础资料!$Q$5:$Q$54,K2745)=0),"✗ 供应商不在基础资料里",IF(AND(P2745="费用",L2745=""),"✗ 费用支出要选费用项目",IF(AND(L2745&lt;&gt;"",COUNTIF(基础资料!$AI$5:$AI$54,L2745)=0),"✗ 费用项目不在基础资料里",IF(AND(IFERROR(INDEX(基础资料!$AD$5:$AD$34,MATCH(O2745,基础资料!$AC$5:$AC$34,0)),"")="收",N(G2745)&lt;&gt;0),"✗ 这类是收款，金额填到收入列",IF(AND(IFERROR(INDEX(基础资料!$AD$5:$AD$34,MATCH(O2745,基础资料!$AC$5:$AC$34,0)),"")="支",N(F2745)&lt;&gt;0),"✗ 这类是付款，金额填到支出列",IF(N(H2745)&lt;0,"⚠ 账户余额成负数了，核对一下","√"))))))))))))))))))</f>
      </c>
      <c r="O2745" s="78">
        <f>IF(D2745&lt;&gt;"",D2745,IF(AND(F2745="",G2745=""),"",IF(J2745&lt;&gt;"",IF(N(F2745)&gt;0,"客户回款","客户退款"),IF(K2745&lt;&gt;"",IF(N(G2745)&gt;0,"供应商付款","供应商退款"),IF(L2745&lt;&gt;"","费用支出","")))))</f>
      </c>
      <c r="P2745" s="78">
        <f>IF(O2745="","",IFERROR(INDEX(基础资料!$AE$5:$AE$34,MATCH(O2745,基础资料!$AC$5:$AC$34,0)),"未知"))</f>
      </c>
      <c r="Q2745" s="78">
        <f>IF(P2745="应收",COUNTIF(P$7:P2745,"应收"),"")</f>
      </c>
      <c r="R2745" s="78">
        <f>IF(P2745="应付",COUNTIF(P$7:P2745,"应付"),"")</f>
      </c>
      <c r="S2745" s="78">
        <f>N(F2745)-N(G2745)</f>
        <v>0</v>
      </c>
    </row>
    <row r="2746">
      <c r="A2746" s="109">
        <f>IF(AND(F2746="",G2746=""),"",ROW()-6)</f>
      </c>
      <c r="B2746" s="140" t="n"/>
      <c r="C2746" s="141" t="n"/>
      <c r="D2746" s="141" t="n"/>
      <c r="E2746" s="142" t="n"/>
      <c r="F2746" s="143" t="n"/>
      <c r="G2746" s="144" t="n"/>
      <c r="H2746" s="145">
        <f>IF(OR(C2746="",AND(F2746="",G2746="")),"",SUMIF(基础资料!$W$5:$W$24,C2746,基础资料!$X$5:$X$24)+SUMIF(C$7:C2746,C2746,F$7:F2746)-SUMIF(C$7:C2746,C2746,G$7:G2746))</f>
      </c>
      <c r="I2746" s="145">
        <f>IF(AND(F2746="",G2746=""),"",SUM(基础资料!$X$5:$X$24)+SUM(F$7:F2746)-SUM(G$7:G2746))</f>
      </c>
      <c r="J2746" s="141" t="n"/>
      <c r="K2746" s="141" t="n"/>
      <c r="L2746" s="141" t="n"/>
      <c r="M2746" s="142" t="n"/>
      <c r="N2746" s="146">
        <f>IF(AND(AND(F2746="",G2746=""),B2746="",C2746="",D2746="",J2746="",K2746="",L2746=""),"",IF(AND(F2746="",G2746=""),"✗ 没填金额",IF(AND(N(F2746)&lt;&gt;0,N(G2746)&lt;&gt;0),"✗ 收入、支出只能填一边",IF(NOT(ISNUMBER(B2746)),"✗ 日期不是真日期（要像 2026/9/25 这样填）",IF(OR(B2746&lt;年初日,B2746&gt;年末日),"✗ 日期不在本会计年度",IF(C2746="","✗ 没选账户",IF(COUNTIF(基础资料!$W$5:$W$24,C2746)=0,"✗ 账户不在基础资料里",IF(O2746="","✗ 没选收支项目",IF(P2746="未知","✗ 收支项目不在基础资料里",IF(AND(P2746="应收",J2746=""),"✗ 这笔要选客户",IF(AND(P2746="应收",COUNTIF(总览汇总!$B$5:$B$304,J2746)=0),"✗ 客户不在总览汇总名单里",IF(AND(P2746="应付",K2746=""),"✗ 这笔要选供应商",IF(AND(P2746="应付",COUNTIF(基础资料!$Q$5:$Q$54,K2746)=0),"✗ 供应商不在基础资料里",IF(AND(P2746="费用",L2746=""),"✗ 费用支出要选费用项目",IF(AND(L2746&lt;&gt;"",COUNTIF(基础资料!$AI$5:$AI$54,L2746)=0),"✗ 费用项目不在基础资料里",IF(AND(IFERROR(INDEX(基础资料!$AD$5:$AD$34,MATCH(O2746,基础资料!$AC$5:$AC$34,0)),"")="收",N(G2746)&lt;&gt;0),"✗ 这类是收款，金额填到收入列",IF(AND(IFERROR(INDEX(基础资料!$AD$5:$AD$34,MATCH(O2746,基础资料!$AC$5:$AC$34,0)),"")="支",N(F2746)&lt;&gt;0),"✗ 这类是付款，金额填到支出列",IF(N(H2746)&lt;0,"⚠ 账户余额成负数了，核对一下","√"))))))))))))))))))</f>
      </c>
      <c r="O2746" s="78">
        <f>IF(D2746&lt;&gt;"",D2746,IF(AND(F2746="",G2746=""),"",IF(J2746&lt;&gt;"",IF(N(F2746)&gt;0,"客户回款","客户退款"),IF(K2746&lt;&gt;"",IF(N(G2746)&gt;0,"供应商付款","供应商退款"),IF(L2746&lt;&gt;"","费用支出","")))))</f>
      </c>
      <c r="P2746" s="78">
        <f>IF(O2746="","",IFERROR(INDEX(基础资料!$AE$5:$AE$34,MATCH(O2746,基础资料!$AC$5:$AC$34,0)),"未知"))</f>
      </c>
      <c r="Q2746" s="78">
        <f>IF(P2746="应收",COUNTIF(P$7:P2746,"应收"),"")</f>
      </c>
      <c r="R2746" s="78">
        <f>IF(P2746="应付",COUNTIF(P$7:P2746,"应付"),"")</f>
      </c>
      <c r="S2746" s="78">
        <f>N(F2746)-N(G2746)</f>
        <v>0</v>
      </c>
    </row>
    <row r="2747">
      <c r="A2747" s="109">
        <f>IF(AND(F2747="",G2747=""),"",ROW()-6)</f>
      </c>
      <c r="B2747" s="140" t="n"/>
      <c r="C2747" s="141" t="n"/>
      <c r="D2747" s="141" t="n"/>
      <c r="E2747" s="142" t="n"/>
      <c r="F2747" s="143" t="n"/>
      <c r="G2747" s="144" t="n"/>
      <c r="H2747" s="145">
        <f>IF(OR(C2747="",AND(F2747="",G2747="")),"",SUMIF(基础资料!$W$5:$W$24,C2747,基础资料!$X$5:$X$24)+SUMIF(C$7:C2747,C2747,F$7:F2747)-SUMIF(C$7:C2747,C2747,G$7:G2747))</f>
      </c>
      <c r="I2747" s="145">
        <f>IF(AND(F2747="",G2747=""),"",SUM(基础资料!$X$5:$X$24)+SUM(F$7:F2747)-SUM(G$7:G2747))</f>
      </c>
      <c r="J2747" s="141" t="n"/>
      <c r="K2747" s="141" t="n"/>
      <c r="L2747" s="141" t="n"/>
      <c r="M2747" s="142" t="n"/>
      <c r="N2747" s="146">
        <f>IF(AND(AND(F2747="",G2747=""),B2747="",C2747="",D2747="",J2747="",K2747="",L2747=""),"",IF(AND(F2747="",G2747=""),"✗ 没填金额",IF(AND(N(F2747)&lt;&gt;0,N(G2747)&lt;&gt;0),"✗ 收入、支出只能填一边",IF(NOT(ISNUMBER(B2747)),"✗ 日期不是真日期（要像 2026/9/25 这样填）",IF(OR(B2747&lt;年初日,B2747&gt;年末日),"✗ 日期不在本会计年度",IF(C2747="","✗ 没选账户",IF(COUNTIF(基础资料!$W$5:$W$24,C2747)=0,"✗ 账户不在基础资料里",IF(O2747="","✗ 没选收支项目",IF(P2747="未知","✗ 收支项目不在基础资料里",IF(AND(P2747="应收",J2747=""),"✗ 这笔要选客户",IF(AND(P2747="应收",COUNTIF(总览汇总!$B$5:$B$304,J2747)=0),"✗ 客户不在总览汇总名单里",IF(AND(P2747="应付",K2747=""),"✗ 这笔要选供应商",IF(AND(P2747="应付",COUNTIF(基础资料!$Q$5:$Q$54,K2747)=0),"✗ 供应商不在基础资料里",IF(AND(P2747="费用",L2747=""),"✗ 费用支出要选费用项目",IF(AND(L2747&lt;&gt;"",COUNTIF(基础资料!$AI$5:$AI$54,L2747)=0),"✗ 费用项目不在基础资料里",IF(AND(IFERROR(INDEX(基础资料!$AD$5:$AD$34,MATCH(O2747,基础资料!$AC$5:$AC$34,0)),"")="收",N(G2747)&lt;&gt;0),"✗ 这类是收款，金额填到收入列",IF(AND(IFERROR(INDEX(基础资料!$AD$5:$AD$34,MATCH(O2747,基础资料!$AC$5:$AC$34,0)),"")="支",N(F2747)&lt;&gt;0),"✗ 这类是付款，金额填到支出列",IF(N(H2747)&lt;0,"⚠ 账户余额成负数了，核对一下","√"))))))))))))))))))</f>
      </c>
      <c r="O2747" s="78">
        <f>IF(D2747&lt;&gt;"",D2747,IF(AND(F2747="",G2747=""),"",IF(J2747&lt;&gt;"",IF(N(F2747)&gt;0,"客户回款","客户退款"),IF(K2747&lt;&gt;"",IF(N(G2747)&gt;0,"供应商付款","供应商退款"),IF(L2747&lt;&gt;"","费用支出","")))))</f>
      </c>
      <c r="P2747" s="78">
        <f>IF(O2747="","",IFERROR(INDEX(基础资料!$AE$5:$AE$34,MATCH(O2747,基础资料!$AC$5:$AC$34,0)),"未知"))</f>
      </c>
      <c r="Q2747" s="78">
        <f>IF(P2747="应收",COUNTIF(P$7:P2747,"应收"),"")</f>
      </c>
      <c r="R2747" s="78">
        <f>IF(P2747="应付",COUNTIF(P$7:P2747,"应付"),"")</f>
      </c>
      <c r="S2747" s="78">
        <f>N(F2747)-N(G2747)</f>
        <v>0</v>
      </c>
    </row>
    <row r="2748">
      <c r="A2748" s="109">
        <f>IF(AND(F2748="",G2748=""),"",ROW()-6)</f>
      </c>
      <c r="B2748" s="140" t="n"/>
      <c r="C2748" s="141" t="n"/>
      <c r="D2748" s="141" t="n"/>
      <c r="E2748" s="142" t="n"/>
      <c r="F2748" s="143" t="n"/>
      <c r="G2748" s="144" t="n"/>
      <c r="H2748" s="145">
        <f>IF(OR(C2748="",AND(F2748="",G2748="")),"",SUMIF(基础资料!$W$5:$W$24,C2748,基础资料!$X$5:$X$24)+SUMIF(C$7:C2748,C2748,F$7:F2748)-SUMIF(C$7:C2748,C2748,G$7:G2748))</f>
      </c>
      <c r="I2748" s="145">
        <f>IF(AND(F2748="",G2748=""),"",SUM(基础资料!$X$5:$X$24)+SUM(F$7:F2748)-SUM(G$7:G2748))</f>
      </c>
      <c r="J2748" s="141" t="n"/>
      <c r="K2748" s="141" t="n"/>
      <c r="L2748" s="141" t="n"/>
      <c r="M2748" s="142" t="n"/>
      <c r="N2748" s="146">
        <f>IF(AND(AND(F2748="",G2748=""),B2748="",C2748="",D2748="",J2748="",K2748="",L2748=""),"",IF(AND(F2748="",G2748=""),"✗ 没填金额",IF(AND(N(F2748)&lt;&gt;0,N(G2748)&lt;&gt;0),"✗ 收入、支出只能填一边",IF(NOT(ISNUMBER(B2748)),"✗ 日期不是真日期（要像 2026/9/25 这样填）",IF(OR(B2748&lt;年初日,B2748&gt;年末日),"✗ 日期不在本会计年度",IF(C2748="","✗ 没选账户",IF(COUNTIF(基础资料!$W$5:$W$24,C2748)=0,"✗ 账户不在基础资料里",IF(O2748="","✗ 没选收支项目",IF(P2748="未知","✗ 收支项目不在基础资料里",IF(AND(P2748="应收",J2748=""),"✗ 这笔要选客户",IF(AND(P2748="应收",COUNTIF(总览汇总!$B$5:$B$304,J2748)=0),"✗ 客户不在总览汇总名单里",IF(AND(P2748="应付",K2748=""),"✗ 这笔要选供应商",IF(AND(P2748="应付",COUNTIF(基础资料!$Q$5:$Q$54,K2748)=0),"✗ 供应商不在基础资料里",IF(AND(P2748="费用",L2748=""),"✗ 费用支出要选费用项目",IF(AND(L2748&lt;&gt;"",COUNTIF(基础资料!$AI$5:$AI$54,L2748)=0),"✗ 费用项目不在基础资料里",IF(AND(IFERROR(INDEX(基础资料!$AD$5:$AD$34,MATCH(O2748,基础资料!$AC$5:$AC$34,0)),"")="收",N(G2748)&lt;&gt;0),"✗ 这类是收款，金额填到收入列",IF(AND(IFERROR(INDEX(基础资料!$AD$5:$AD$34,MATCH(O2748,基础资料!$AC$5:$AC$34,0)),"")="支",N(F2748)&lt;&gt;0),"✗ 这类是付款，金额填到支出列",IF(N(H2748)&lt;0,"⚠ 账户余额成负数了，核对一下","√"))))))))))))))))))</f>
      </c>
      <c r="O2748" s="78">
        <f>IF(D2748&lt;&gt;"",D2748,IF(AND(F2748="",G2748=""),"",IF(J2748&lt;&gt;"",IF(N(F2748)&gt;0,"客户回款","客户退款"),IF(K2748&lt;&gt;"",IF(N(G2748)&gt;0,"供应商付款","供应商退款"),IF(L2748&lt;&gt;"","费用支出","")))))</f>
      </c>
      <c r="P2748" s="78">
        <f>IF(O2748="","",IFERROR(INDEX(基础资料!$AE$5:$AE$34,MATCH(O2748,基础资料!$AC$5:$AC$34,0)),"未知"))</f>
      </c>
      <c r="Q2748" s="78">
        <f>IF(P2748="应收",COUNTIF(P$7:P2748,"应收"),"")</f>
      </c>
      <c r="R2748" s="78">
        <f>IF(P2748="应付",COUNTIF(P$7:P2748,"应付"),"")</f>
      </c>
      <c r="S2748" s="78">
        <f>N(F2748)-N(G2748)</f>
        <v>0</v>
      </c>
    </row>
    <row r="2749">
      <c r="A2749" s="109">
        <f>IF(AND(F2749="",G2749=""),"",ROW()-6)</f>
      </c>
      <c r="B2749" s="140" t="n"/>
      <c r="C2749" s="141" t="n"/>
      <c r="D2749" s="141" t="n"/>
      <c r="E2749" s="142" t="n"/>
      <c r="F2749" s="143" t="n"/>
      <c r="G2749" s="144" t="n"/>
      <c r="H2749" s="145">
        <f>IF(OR(C2749="",AND(F2749="",G2749="")),"",SUMIF(基础资料!$W$5:$W$24,C2749,基础资料!$X$5:$X$24)+SUMIF(C$7:C2749,C2749,F$7:F2749)-SUMIF(C$7:C2749,C2749,G$7:G2749))</f>
      </c>
      <c r="I2749" s="145">
        <f>IF(AND(F2749="",G2749=""),"",SUM(基础资料!$X$5:$X$24)+SUM(F$7:F2749)-SUM(G$7:G2749))</f>
      </c>
      <c r="J2749" s="141" t="n"/>
      <c r="K2749" s="141" t="n"/>
      <c r="L2749" s="141" t="n"/>
      <c r="M2749" s="142" t="n"/>
      <c r="N2749" s="146">
        <f>IF(AND(AND(F2749="",G2749=""),B2749="",C2749="",D2749="",J2749="",K2749="",L2749=""),"",IF(AND(F2749="",G2749=""),"✗ 没填金额",IF(AND(N(F2749)&lt;&gt;0,N(G2749)&lt;&gt;0),"✗ 收入、支出只能填一边",IF(NOT(ISNUMBER(B2749)),"✗ 日期不是真日期（要像 2026/9/25 这样填）",IF(OR(B2749&lt;年初日,B2749&gt;年末日),"✗ 日期不在本会计年度",IF(C2749="","✗ 没选账户",IF(COUNTIF(基础资料!$W$5:$W$24,C2749)=0,"✗ 账户不在基础资料里",IF(O2749="","✗ 没选收支项目",IF(P2749="未知","✗ 收支项目不在基础资料里",IF(AND(P2749="应收",J2749=""),"✗ 这笔要选客户",IF(AND(P2749="应收",COUNTIF(总览汇总!$B$5:$B$304,J2749)=0),"✗ 客户不在总览汇总名单里",IF(AND(P2749="应付",K2749=""),"✗ 这笔要选供应商",IF(AND(P2749="应付",COUNTIF(基础资料!$Q$5:$Q$54,K2749)=0),"✗ 供应商不在基础资料里",IF(AND(P2749="费用",L2749=""),"✗ 费用支出要选费用项目",IF(AND(L2749&lt;&gt;"",COUNTIF(基础资料!$AI$5:$AI$54,L2749)=0),"✗ 费用项目不在基础资料里",IF(AND(IFERROR(INDEX(基础资料!$AD$5:$AD$34,MATCH(O2749,基础资料!$AC$5:$AC$34,0)),"")="收",N(G2749)&lt;&gt;0),"✗ 这类是收款，金额填到收入列",IF(AND(IFERROR(INDEX(基础资料!$AD$5:$AD$34,MATCH(O2749,基础资料!$AC$5:$AC$34,0)),"")="支",N(F2749)&lt;&gt;0),"✗ 这类是付款，金额填到支出列",IF(N(H2749)&lt;0,"⚠ 账户余额成负数了，核对一下","√"))))))))))))))))))</f>
      </c>
      <c r="O2749" s="78">
        <f>IF(D2749&lt;&gt;"",D2749,IF(AND(F2749="",G2749=""),"",IF(J2749&lt;&gt;"",IF(N(F2749)&gt;0,"客户回款","客户退款"),IF(K2749&lt;&gt;"",IF(N(G2749)&gt;0,"供应商付款","供应商退款"),IF(L2749&lt;&gt;"","费用支出","")))))</f>
      </c>
      <c r="P2749" s="78">
        <f>IF(O2749="","",IFERROR(INDEX(基础资料!$AE$5:$AE$34,MATCH(O2749,基础资料!$AC$5:$AC$34,0)),"未知"))</f>
      </c>
      <c r="Q2749" s="78">
        <f>IF(P2749="应收",COUNTIF(P$7:P2749,"应收"),"")</f>
      </c>
      <c r="R2749" s="78">
        <f>IF(P2749="应付",COUNTIF(P$7:P2749,"应付"),"")</f>
      </c>
      <c r="S2749" s="78">
        <f>N(F2749)-N(G2749)</f>
        <v>0</v>
      </c>
    </row>
    <row r="2750">
      <c r="A2750" s="109">
        <f>IF(AND(F2750="",G2750=""),"",ROW()-6)</f>
      </c>
      <c r="B2750" s="140" t="n"/>
      <c r="C2750" s="141" t="n"/>
      <c r="D2750" s="141" t="n"/>
      <c r="E2750" s="142" t="n"/>
      <c r="F2750" s="143" t="n"/>
      <c r="G2750" s="144" t="n"/>
      <c r="H2750" s="145">
        <f>IF(OR(C2750="",AND(F2750="",G2750="")),"",SUMIF(基础资料!$W$5:$W$24,C2750,基础资料!$X$5:$X$24)+SUMIF(C$7:C2750,C2750,F$7:F2750)-SUMIF(C$7:C2750,C2750,G$7:G2750))</f>
      </c>
      <c r="I2750" s="145">
        <f>IF(AND(F2750="",G2750=""),"",SUM(基础资料!$X$5:$X$24)+SUM(F$7:F2750)-SUM(G$7:G2750))</f>
      </c>
      <c r="J2750" s="141" t="n"/>
      <c r="K2750" s="141" t="n"/>
      <c r="L2750" s="141" t="n"/>
      <c r="M2750" s="142" t="n"/>
      <c r="N2750" s="146">
        <f>IF(AND(AND(F2750="",G2750=""),B2750="",C2750="",D2750="",J2750="",K2750="",L2750=""),"",IF(AND(F2750="",G2750=""),"✗ 没填金额",IF(AND(N(F2750)&lt;&gt;0,N(G2750)&lt;&gt;0),"✗ 收入、支出只能填一边",IF(NOT(ISNUMBER(B2750)),"✗ 日期不是真日期（要像 2026/9/25 这样填）",IF(OR(B2750&lt;年初日,B2750&gt;年末日),"✗ 日期不在本会计年度",IF(C2750="","✗ 没选账户",IF(COUNTIF(基础资料!$W$5:$W$24,C2750)=0,"✗ 账户不在基础资料里",IF(O2750="","✗ 没选收支项目",IF(P2750="未知","✗ 收支项目不在基础资料里",IF(AND(P2750="应收",J2750=""),"✗ 这笔要选客户",IF(AND(P2750="应收",COUNTIF(总览汇总!$B$5:$B$304,J2750)=0),"✗ 客户不在总览汇总名单里",IF(AND(P2750="应付",K2750=""),"✗ 这笔要选供应商",IF(AND(P2750="应付",COUNTIF(基础资料!$Q$5:$Q$54,K2750)=0),"✗ 供应商不在基础资料里",IF(AND(P2750="费用",L2750=""),"✗ 费用支出要选费用项目",IF(AND(L2750&lt;&gt;"",COUNTIF(基础资料!$AI$5:$AI$54,L2750)=0),"✗ 费用项目不在基础资料里",IF(AND(IFERROR(INDEX(基础资料!$AD$5:$AD$34,MATCH(O2750,基础资料!$AC$5:$AC$34,0)),"")="收",N(G2750)&lt;&gt;0),"✗ 这类是收款，金额填到收入列",IF(AND(IFERROR(INDEX(基础资料!$AD$5:$AD$34,MATCH(O2750,基础资料!$AC$5:$AC$34,0)),"")="支",N(F2750)&lt;&gt;0),"✗ 这类是付款，金额填到支出列",IF(N(H2750)&lt;0,"⚠ 账户余额成负数了，核对一下","√"))))))))))))))))))</f>
      </c>
      <c r="O2750" s="78">
        <f>IF(D2750&lt;&gt;"",D2750,IF(AND(F2750="",G2750=""),"",IF(J2750&lt;&gt;"",IF(N(F2750)&gt;0,"客户回款","客户退款"),IF(K2750&lt;&gt;"",IF(N(G2750)&gt;0,"供应商付款","供应商退款"),IF(L2750&lt;&gt;"","费用支出","")))))</f>
      </c>
      <c r="P2750" s="78">
        <f>IF(O2750="","",IFERROR(INDEX(基础资料!$AE$5:$AE$34,MATCH(O2750,基础资料!$AC$5:$AC$34,0)),"未知"))</f>
      </c>
      <c r="Q2750" s="78">
        <f>IF(P2750="应收",COUNTIF(P$7:P2750,"应收"),"")</f>
      </c>
      <c r="R2750" s="78">
        <f>IF(P2750="应付",COUNTIF(P$7:P2750,"应付"),"")</f>
      </c>
      <c r="S2750" s="78">
        <f>N(F2750)-N(G2750)</f>
        <v>0</v>
      </c>
    </row>
    <row r="2751">
      <c r="A2751" s="109">
        <f>IF(AND(F2751="",G2751=""),"",ROW()-6)</f>
      </c>
      <c r="B2751" s="140" t="n"/>
      <c r="C2751" s="141" t="n"/>
      <c r="D2751" s="141" t="n"/>
      <c r="E2751" s="142" t="n"/>
      <c r="F2751" s="143" t="n"/>
      <c r="G2751" s="144" t="n"/>
      <c r="H2751" s="145">
        <f>IF(OR(C2751="",AND(F2751="",G2751="")),"",SUMIF(基础资料!$W$5:$W$24,C2751,基础资料!$X$5:$X$24)+SUMIF(C$7:C2751,C2751,F$7:F2751)-SUMIF(C$7:C2751,C2751,G$7:G2751))</f>
      </c>
      <c r="I2751" s="145">
        <f>IF(AND(F2751="",G2751=""),"",SUM(基础资料!$X$5:$X$24)+SUM(F$7:F2751)-SUM(G$7:G2751))</f>
      </c>
      <c r="J2751" s="141" t="n"/>
      <c r="K2751" s="141" t="n"/>
      <c r="L2751" s="141" t="n"/>
      <c r="M2751" s="142" t="n"/>
      <c r="N2751" s="146">
        <f>IF(AND(AND(F2751="",G2751=""),B2751="",C2751="",D2751="",J2751="",K2751="",L2751=""),"",IF(AND(F2751="",G2751=""),"✗ 没填金额",IF(AND(N(F2751)&lt;&gt;0,N(G2751)&lt;&gt;0),"✗ 收入、支出只能填一边",IF(NOT(ISNUMBER(B2751)),"✗ 日期不是真日期（要像 2026/9/25 这样填）",IF(OR(B2751&lt;年初日,B2751&gt;年末日),"✗ 日期不在本会计年度",IF(C2751="","✗ 没选账户",IF(COUNTIF(基础资料!$W$5:$W$24,C2751)=0,"✗ 账户不在基础资料里",IF(O2751="","✗ 没选收支项目",IF(P2751="未知","✗ 收支项目不在基础资料里",IF(AND(P2751="应收",J2751=""),"✗ 这笔要选客户",IF(AND(P2751="应收",COUNTIF(总览汇总!$B$5:$B$304,J2751)=0),"✗ 客户不在总览汇总名单里",IF(AND(P2751="应付",K2751=""),"✗ 这笔要选供应商",IF(AND(P2751="应付",COUNTIF(基础资料!$Q$5:$Q$54,K2751)=0),"✗ 供应商不在基础资料里",IF(AND(P2751="费用",L2751=""),"✗ 费用支出要选费用项目",IF(AND(L2751&lt;&gt;"",COUNTIF(基础资料!$AI$5:$AI$54,L2751)=0),"✗ 费用项目不在基础资料里",IF(AND(IFERROR(INDEX(基础资料!$AD$5:$AD$34,MATCH(O2751,基础资料!$AC$5:$AC$34,0)),"")="收",N(G2751)&lt;&gt;0),"✗ 这类是收款，金额填到收入列",IF(AND(IFERROR(INDEX(基础资料!$AD$5:$AD$34,MATCH(O2751,基础资料!$AC$5:$AC$34,0)),"")="支",N(F2751)&lt;&gt;0),"✗ 这类是付款，金额填到支出列",IF(N(H2751)&lt;0,"⚠ 账户余额成负数了，核对一下","√"))))))))))))))))))</f>
      </c>
      <c r="O2751" s="78">
        <f>IF(D2751&lt;&gt;"",D2751,IF(AND(F2751="",G2751=""),"",IF(J2751&lt;&gt;"",IF(N(F2751)&gt;0,"客户回款","客户退款"),IF(K2751&lt;&gt;"",IF(N(G2751)&gt;0,"供应商付款","供应商退款"),IF(L2751&lt;&gt;"","费用支出","")))))</f>
      </c>
      <c r="P2751" s="78">
        <f>IF(O2751="","",IFERROR(INDEX(基础资料!$AE$5:$AE$34,MATCH(O2751,基础资料!$AC$5:$AC$34,0)),"未知"))</f>
      </c>
      <c r="Q2751" s="78">
        <f>IF(P2751="应收",COUNTIF(P$7:P2751,"应收"),"")</f>
      </c>
      <c r="R2751" s="78">
        <f>IF(P2751="应付",COUNTIF(P$7:P2751,"应付"),"")</f>
      </c>
      <c r="S2751" s="78">
        <f>N(F2751)-N(G2751)</f>
        <v>0</v>
      </c>
    </row>
    <row r="2752">
      <c r="A2752" s="109">
        <f>IF(AND(F2752="",G2752=""),"",ROW()-6)</f>
      </c>
      <c r="B2752" s="140" t="n"/>
      <c r="C2752" s="141" t="n"/>
      <c r="D2752" s="141" t="n"/>
      <c r="E2752" s="142" t="n"/>
      <c r="F2752" s="143" t="n"/>
      <c r="G2752" s="144" t="n"/>
      <c r="H2752" s="145">
        <f>IF(OR(C2752="",AND(F2752="",G2752="")),"",SUMIF(基础资料!$W$5:$W$24,C2752,基础资料!$X$5:$X$24)+SUMIF(C$7:C2752,C2752,F$7:F2752)-SUMIF(C$7:C2752,C2752,G$7:G2752))</f>
      </c>
      <c r="I2752" s="145">
        <f>IF(AND(F2752="",G2752=""),"",SUM(基础资料!$X$5:$X$24)+SUM(F$7:F2752)-SUM(G$7:G2752))</f>
      </c>
      <c r="J2752" s="141" t="n"/>
      <c r="K2752" s="141" t="n"/>
      <c r="L2752" s="141" t="n"/>
      <c r="M2752" s="142" t="n"/>
      <c r="N2752" s="146">
        <f>IF(AND(AND(F2752="",G2752=""),B2752="",C2752="",D2752="",J2752="",K2752="",L2752=""),"",IF(AND(F2752="",G2752=""),"✗ 没填金额",IF(AND(N(F2752)&lt;&gt;0,N(G2752)&lt;&gt;0),"✗ 收入、支出只能填一边",IF(NOT(ISNUMBER(B2752)),"✗ 日期不是真日期（要像 2026/9/25 这样填）",IF(OR(B2752&lt;年初日,B2752&gt;年末日),"✗ 日期不在本会计年度",IF(C2752="","✗ 没选账户",IF(COUNTIF(基础资料!$W$5:$W$24,C2752)=0,"✗ 账户不在基础资料里",IF(O2752="","✗ 没选收支项目",IF(P2752="未知","✗ 收支项目不在基础资料里",IF(AND(P2752="应收",J2752=""),"✗ 这笔要选客户",IF(AND(P2752="应收",COUNTIF(总览汇总!$B$5:$B$304,J2752)=0),"✗ 客户不在总览汇总名单里",IF(AND(P2752="应付",K2752=""),"✗ 这笔要选供应商",IF(AND(P2752="应付",COUNTIF(基础资料!$Q$5:$Q$54,K2752)=0),"✗ 供应商不在基础资料里",IF(AND(P2752="费用",L2752=""),"✗ 费用支出要选费用项目",IF(AND(L2752&lt;&gt;"",COUNTIF(基础资料!$AI$5:$AI$54,L2752)=0),"✗ 费用项目不在基础资料里",IF(AND(IFERROR(INDEX(基础资料!$AD$5:$AD$34,MATCH(O2752,基础资料!$AC$5:$AC$34,0)),"")="收",N(G2752)&lt;&gt;0),"✗ 这类是收款，金额填到收入列",IF(AND(IFERROR(INDEX(基础资料!$AD$5:$AD$34,MATCH(O2752,基础资料!$AC$5:$AC$34,0)),"")="支",N(F2752)&lt;&gt;0),"✗ 这类是付款，金额填到支出列",IF(N(H2752)&lt;0,"⚠ 账户余额成负数了，核对一下","√"))))))))))))))))))</f>
      </c>
      <c r="O2752" s="78">
        <f>IF(D2752&lt;&gt;"",D2752,IF(AND(F2752="",G2752=""),"",IF(J2752&lt;&gt;"",IF(N(F2752)&gt;0,"客户回款","客户退款"),IF(K2752&lt;&gt;"",IF(N(G2752)&gt;0,"供应商付款","供应商退款"),IF(L2752&lt;&gt;"","费用支出","")))))</f>
      </c>
      <c r="P2752" s="78">
        <f>IF(O2752="","",IFERROR(INDEX(基础资料!$AE$5:$AE$34,MATCH(O2752,基础资料!$AC$5:$AC$34,0)),"未知"))</f>
      </c>
      <c r="Q2752" s="78">
        <f>IF(P2752="应收",COUNTIF(P$7:P2752,"应收"),"")</f>
      </c>
      <c r="R2752" s="78">
        <f>IF(P2752="应付",COUNTIF(P$7:P2752,"应付"),"")</f>
      </c>
      <c r="S2752" s="78">
        <f>N(F2752)-N(G2752)</f>
        <v>0</v>
      </c>
    </row>
    <row r="2753">
      <c r="A2753" s="109">
        <f>IF(AND(F2753="",G2753=""),"",ROW()-6)</f>
      </c>
      <c r="B2753" s="140" t="n"/>
      <c r="C2753" s="141" t="n"/>
      <c r="D2753" s="141" t="n"/>
      <c r="E2753" s="142" t="n"/>
      <c r="F2753" s="143" t="n"/>
      <c r="G2753" s="144" t="n"/>
      <c r="H2753" s="145">
        <f>IF(OR(C2753="",AND(F2753="",G2753="")),"",SUMIF(基础资料!$W$5:$W$24,C2753,基础资料!$X$5:$X$24)+SUMIF(C$7:C2753,C2753,F$7:F2753)-SUMIF(C$7:C2753,C2753,G$7:G2753))</f>
      </c>
      <c r="I2753" s="145">
        <f>IF(AND(F2753="",G2753=""),"",SUM(基础资料!$X$5:$X$24)+SUM(F$7:F2753)-SUM(G$7:G2753))</f>
      </c>
      <c r="J2753" s="141" t="n"/>
      <c r="K2753" s="141" t="n"/>
      <c r="L2753" s="141" t="n"/>
      <c r="M2753" s="142" t="n"/>
      <c r="N2753" s="146">
        <f>IF(AND(AND(F2753="",G2753=""),B2753="",C2753="",D2753="",J2753="",K2753="",L2753=""),"",IF(AND(F2753="",G2753=""),"✗ 没填金额",IF(AND(N(F2753)&lt;&gt;0,N(G2753)&lt;&gt;0),"✗ 收入、支出只能填一边",IF(NOT(ISNUMBER(B2753)),"✗ 日期不是真日期（要像 2026/9/25 这样填）",IF(OR(B2753&lt;年初日,B2753&gt;年末日),"✗ 日期不在本会计年度",IF(C2753="","✗ 没选账户",IF(COUNTIF(基础资料!$W$5:$W$24,C2753)=0,"✗ 账户不在基础资料里",IF(O2753="","✗ 没选收支项目",IF(P2753="未知","✗ 收支项目不在基础资料里",IF(AND(P2753="应收",J2753=""),"✗ 这笔要选客户",IF(AND(P2753="应收",COUNTIF(总览汇总!$B$5:$B$304,J2753)=0),"✗ 客户不在总览汇总名单里",IF(AND(P2753="应付",K2753=""),"✗ 这笔要选供应商",IF(AND(P2753="应付",COUNTIF(基础资料!$Q$5:$Q$54,K2753)=0),"✗ 供应商不在基础资料里",IF(AND(P2753="费用",L2753=""),"✗ 费用支出要选费用项目",IF(AND(L2753&lt;&gt;"",COUNTIF(基础资料!$AI$5:$AI$54,L2753)=0),"✗ 费用项目不在基础资料里",IF(AND(IFERROR(INDEX(基础资料!$AD$5:$AD$34,MATCH(O2753,基础资料!$AC$5:$AC$34,0)),"")="收",N(G2753)&lt;&gt;0),"✗ 这类是收款，金额填到收入列",IF(AND(IFERROR(INDEX(基础资料!$AD$5:$AD$34,MATCH(O2753,基础资料!$AC$5:$AC$34,0)),"")="支",N(F2753)&lt;&gt;0),"✗ 这类是付款，金额填到支出列",IF(N(H2753)&lt;0,"⚠ 账户余额成负数了，核对一下","√"))))))))))))))))))</f>
      </c>
      <c r="O2753" s="78">
        <f>IF(D2753&lt;&gt;"",D2753,IF(AND(F2753="",G2753=""),"",IF(J2753&lt;&gt;"",IF(N(F2753)&gt;0,"客户回款","客户退款"),IF(K2753&lt;&gt;"",IF(N(G2753)&gt;0,"供应商付款","供应商退款"),IF(L2753&lt;&gt;"","费用支出","")))))</f>
      </c>
      <c r="P2753" s="78">
        <f>IF(O2753="","",IFERROR(INDEX(基础资料!$AE$5:$AE$34,MATCH(O2753,基础资料!$AC$5:$AC$34,0)),"未知"))</f>
      </c>
      <c r="Q2753" s="78">
        <f>IF(P2753="应收",COUNTIF(P$7:P2753,"应收"),"")</f>
      </c>
      <c r="R2753" s="78">
        <f>IF(P2753="应付",COUNTIF(P$7:P2753,"应付"),"")</f>
      </c>
      <c r="S2753" s="78">
        <f>N(F2753)-N(G2753)</f>
        <v>0</v>
      </c>
    </row>
    <row r="2754">
      <c r="A2754" s="109">
        <f>IF(AND(F2754="",G2754=""),"",ROW()-6)</f>
      </c>
      <c r="B2754" s="140" t="n"/>
      <c r="C2754" s="141" t="n"/>
      <c r="D2754" s="141" t="n"/>
      <c r="E2754" s="142" t="n"/>
      <c r="F2754" s="143" t="n"/>
      <c r="G2754" s="144" t="n"/>
      <c r="H2754" s="145">
        <f>IF(OR(C2754="",AND(F2754="",G2754="")),"",SUMIF(基础资料!$W$5:$W$24,C2754,基础资料!$X$5:$X$24)+SUMIF(C$7:C2754,C2754,F$7:F2754)-SUMIF(C$7:C2754,C2754,G$7:G2754))</f>
      </c>
      <c r="I2754" s="145">
        <f>IF(AND(F2754="",G2754=""),"",SUM(基础资料!$X$5:$X$24)+SUM(F$7:F2754)-SUM(G$7:G2754))</f>
      </c>
      <c r="J2754" s="141" t="n"/>
      <c r="K2754" s="141" t="n"/>
      <c r="L2754" s="141" t="n"/>
      <c r="M2754" s="142" t="n"/>
      <c r="N2754" s="146">
        <f>IF(AND(AND(F2754="",G2754=""),B2754="",C2754="",D2754="",J2754="",K2754="",L2754=""),"",IF(AND(F2754="",G2754=""),"✗ 没填金额",IF(AND(N(F2754)&lt;&gt;0,N(G2754)&lt;&gt;0),"✗ 收入、支出只能填一边",IF(NOT(ISNUMBER(B2754)),"✗ 日期不是真日期（要像 2026/9/25 这样填）",IF(OR(B2754&lt;年初日,B2754&gt;年末日),"✗ 日期不在本会计年度",IF(C2754="","✗ 没选账户",IF(COUNTIF(基础资料!$W$5:$W$24,C2754)=0,"✗ 账户不在基础资料里",IF(O2754="","✗ 没选收支项目",IF(P2754="未知","✗ 收支项目不在基础资料里",IF(AND(P2754="应收",J2754=""),"✗ 这笔要选客户",IF(AND(P2754="应收",COUNTIF(总览汇总!$B$5:$B$304,J2754)=0),"✗ 客户不在总览汇总名单里",IF(AND(P2754="应付",K2754=""),"✗ 这笔要选供应商",IF(AND(P2754="应付",COUNTIF(基础资料!$Q$5:$Q$54,K2754)=0),"✗ 供应商不在基础资料里",IF(AND(P2754="费用",L2754=""),"✗ 费用支出要选费用项目",IF(AND(L2754&lt;&gt;"",COUNTIF(基础资料!$AI$5:$AI$54,L2754)=0),"✗ 费用项目不在基础资料里",IF(AND(IFERROR(INDEX(基础资料!$AD$5:$AD$34,MATCH(O2754,基础资料!$AC$5:$AC$34,0)),"")="收",N(G2754)&lt;&gt;0),"✗ 这类是收款，金额填到收入列",IF(AND(IFERROR(INDEX(基础资料!$AD$5:$AD$34,MATCH(O2754,基础资料!$AC$5:$AC$34,0)),"")="支",N(F2754)&lt;&gt;0),"✗ 这类是付款，金额填到支出列",IF(N(H2754)&lt;0,"⚠ 账户余额成负数了，核对一下","√"))))))))))))))))))</f>
      </c>
      <c r="O2754" s="78">
        <f>IF(D2754&lt;&gt;"",D2754,IF(AND(F2754="",G2754=""),"",IF(J2754&lt;&gt;"",IF(N(F2754)&gt;0,"客户回款","客户退款"),IF(K2754&lt;&gt;"",IF(N(G2754)&gt;0,"供应商付款","供应商退款"),IF(L2754&lt;&gt;"","费用支出","")))))</f>
      </c>
      <c r="P2754" s="78">
        <f>IF(O2754="","",IFERROR(INDEX(基础资料!$AE$5:$AE$34,MATCH(O2754,基础资料!$AC$5:$AC$34,0)),"未知"))</f>
      </c>
      <c r="Q2754" s="78">
        <f>IF(P2754="应收",COUNTIF(P$7:P2754,"应收"),"")</f>
      </c>
      <c r="R2754" s="78">
        <f>IF(P2754="应付",COUNTIF(P$7:P2754,"应付"),"")</f>
      </c>
      <c r="S2754" s="78">
        <f>N(F2754)-N(G2754)</f>
        <v>0</v>
      </c>
    </row>
    <row r="2755">
      <c r="A2755" s="109">
        <f>IF(AND(F2755="",G2755=""),"",ROW()-6)</f>
      </c>
      <c r="B2755" s="140" t="n"/>
      <c r="C2755" s="141" t="n"/>
      <c r="D2755" s="141" t="n"/>
      <c r="E2755" s="142" t="n"/>
      <c r="F2755" s="143" t="n"/>
      <c r="G2755" s="144" t="n"/>
      <c r="H2755" s="145">
        <f>IF(OR(C2755="",AND(F2755="",G2755="")),"",SUMIF(基础资料!$W$5:$W$24,C2755,基础资料!$X$5:$X$24)+SUMIF(C$7:C2755,C2755,F$7:F2755)-SUMIF(C$7:C2755,C2755,G$7:G2755))</f>
      </c>
      <c r="I2755" s="145">
        <f>IF(AND(F2755="",G2755=""),"",SUM(基础资料!$X$5:$X$24)+SUM(F$7:F2755)-SUM(G$7:G2755))</f>
      </c>
      <c r="J2755" s="141" t="n"/>
      <c r="K2755" s="141" t="n"/>
      <c r="L2755" s="141" t="n"/>
      <c r="M2755" s="142" t="n"/>
      <c r="N2755" s="146">
        <f>IF(AND(AND(F2755="",G2755=""),B2755="",C2755="",D2755="",J2755="",K2755="",L2755=""),"",IF(AND(F2755="",G2755=""),"✗ 没填金额",IF(AND(N(F2755)&lt;&gt;0,N(G2755)&lt;&gt;0),"✗ 收入、支出只能填一边",IF(NOT(ISNUMBER(B2755)),"✗ 日期不是真日期（要像 2026/9/25 这样填）",IF(OR(B2755&lt;年初日,B2755&gt;年末日),"✗ 日期不在本会计年度",IF(C2755="","✗ 没选账户",IF(COUNTIF(基础资料!$W$5:$W$24,C2755)=0,"✗ 账户不在基础资料里",IF(O2755="","✗ 没选收支项目",IF(P2755="未知","✗ 收支项目不在基础资料里",IF(AND(P2755="应收",J2755=""),"✗ 这笔要选客户",IF(AND(P2755="应收",COUNTIF(总览汇总!$B$5:$B$304,J2755)=0),"✗ 客户不在总览汇总名单里",IF(AND(P2755="应付",K2755=""),"✗ 这笔要选供应商",IF(AND(P2755="应付",COUNTIF(基础资料!$Q$5:$Q$54,K2755)=0),"✗ 供应商不在基础资料里",IF(AND(P2755="费用",L2755=""),"✗ 费用支出要选费用项目",IF(AND(L2755&lt;&gt;"",COUNTIF(基础资料!$AI$5:$AI$54,L2755)=0),"✗ 费用项目不在基础资料里",IF(AND(IFERROR(INDEX(基础资料!$AD$5:$AD$34,MATCH(O2755,基础资料!$AC$5:$AC$34,0)),"")="收",N(G2755)&lt;&gt;0),"✗ 这类是收款，金额填到收入列",IF(AND(IFERROR(INDEX(基础资料!$AD$5:$AD$34,MATCH(O2755,基础资料!$AC$5:$AC$34,0)),"")="支",N(F2755)&lt;&gt;0),"✗ 这类是付款，金额填到支出列",IF(N(H2755)&lt;0,"⚠ 账户余额成负数了，核对一下","√"))))))))))))))))))</f>
      </c>
      <c r="O2755" s="78">
        <f>IF(D2755&lt;&gt;"",D2755,IF(AND(F2755="",G2755=""),"",IF(J2755&lt;&gt;"",IF(N(F2755)&gt;0,"客户回款","客户退款"),IF(K2755&lt;&gt;"",IF(N(G2755)&gt;0,"供应商付款","供应商退款"),IF(L2755&lt;&gt;"","费用支出","")))))</f>
      </c>
      <c r="P2755" s="78">
        <f>IF(O2755="","",IFERROR(INDEX(基础资料!$AE$5:$AE$34,MATCH(O2755,基础资料!$AC$5:$AC$34,0)),"未知"))</f>
      </c>
      <c r="Q2755" s="78">
        <f>IF(P2755="应收",COUNTIF(P$7:P2755,"应收"),"")</f>
      </c>
      <c r="R2755" s="78">
        <f>IF(P2755="应付",COUNTIF(P$7:P2755,"应付"),"")</f>
      </c>
      <c r="S2755" s="78">
        <f>N(F2755)-N(G2755)</f>
        <v>0</v>
      </c>
    </row>
    <row r="2756">
      <c r="A2756" s="109">
        <f>IF(AND(F2756="",G2756=""),"",ROW()-6)</f>
      </c>
      <c r="B2756" s="140" t="n"/>
      <c r="C2756" s="141" t="n"/>
      <c r="D2756" s="141" t="n"/>
      <c r="E2756" s="142" t="n"/>
      <c r="F2756" s="143" t="n"/>
      <c r="G2756" s="144" t="n"/>
      <c r="H2756" s="145">
        <f>IF(OR(C2756="",AND(F2756="",G2756="")),"",SUMIF(基础资料!$W$5:$W$24,C2756,基础资料!$X$5:$X$24)+SUMIF(C$7:C2756,C2756,F$7:F2756)-SUMIF(C$7:C2756,C2756,G$7:G2756))</f>
      </c>
      <c r="I2756" s="145">
        <f>IF(AND(F2756="",G2756=""),"",SUM(基础资料!$X$5:$X$24)+SUM(F$7:F2756)-SUM(G$7:G2756))</f>
      </c>
      <c r="J2756" s="141" t="n"/>
      <c r="K2756" s="141" t="n"/>
      <c r="L2756" s="141" t="n"/>
      <c r="M2756" s="142" t="n"/>
      <c r="N2756" s="146">
        <f>IF(AND(AND(F2756="",G2756=""),B2756="",C2756="",D2756="",J2756="",K2756="",L2756=""),"",IF(AND(F2756="",G2756=""),"✗ 没填金额",IF(AND(N(F2756)&lt;&gt;0,N(G2756)&lt;&gt;0),"✗ 收入、支出只能填一边",IF(NOT(ISNUMBER(B2756)),"✗ 日期不是真日期（要像 2026/9/25 这样填）",IF(OR(B2756&lt;年初日,B2756&gt;年末日),"✗ 日期不在本会计年度",IF(C2756="","✗ 没选账户",IF(COUNTIF(基础资料!$W$5:$W$24,C2756)=0,"✗ 账户不在基础资料里",IF(O2756="","✗ 没选收支项目",IF(P2756="未知","✗ 收支项目不在基础资料里",IF(AND(P2756="应收",J2756=""),"✗ 这笔要选客户",IF(AND(P2756="应收",COUNTIF(总览汇总!$B$5:$B$304,J2756)=0),"✗ 客户不在总览汇总名单里",IF(AND(P2756="应付",K2756=""),"✗ 这笔要选供应商",IF(AND(P2756="应付",COUNTIF(基础资料!$Q$5:$Q$54,K2756)=0),"✗ 供应商不在基础资料里",IF(AND(P2756="费用",L2756=""),"✗ 费用支出要选费用项目",IF(AND(L2756&lt;&gt;"",COUNTIF(基础资料!$AI$5:$AI$54,L2756)=0),"✗ 费用项目不在基础资料里",IF(AND(IFERROR(INDEX(基础资料!$AD$5:$AD$34,MATCH(O2756,基础资料!$AC$5:$AC$34,0)),"")="收",N(G2756)&lt;&gt;0),"✗ 这类是收款，金额填到收入列",IF(AND(IFERROR(INDEX(基础资料!$AD$5:$AD$34,MATCH(O2756,基础资料!$AC$5:$AC$34,0)),"")="支",N(F2756)&lt;&gt;0),"✗ 这类是付款，金额填到支出列",IF(N(H2756)&lt;0,"⚠ 账户余额成负数了，核对一下","√"))))))))))))))))))</f>
      </c>
      <c r="O2756" s="78">
        <f>IF(D2756&lt;&gt;"",D2756,IF(AND(F2756="",G2756=""),"",IF(J2756&lt;&gt;"",IF(N(F2756)&gt;0,"客户回款","客户退款"),IF(K2756&lt;&gt;"",IF(N(G2756)&gt;0,"供应商付款","供应商退款"),IF(L2756&lt;&gt;"","费用支出","")))))</f>
      </c>
      <c r="P2756" s="78">
        <f>IF(O2756="","",IFERROR(INDEX(基础资料!$AE$5:$AE$34,MATCH(O2756,基础资料!$AC$5:$AC$34,0)),"未知"))</f>
      </c>
      <c r="Q2756" s="78">
        <f>IF(P2756="应收",COUNTIF(P$7:P2756,"应收"),"")</f>
      </c>
      <c r="R2756" s="78">
        <f>IF(P2756="应付",COUNTIF(P$7:P2756,"应付"),"")</f>
      </c>
      <c r="S2756" s="78">
        <f>N(F2756)-N(G2756)</f>
        <v>0</v>
      </c>
    </row>
    <row r="2757">
      <c r="A2757" s="109">
        <f>IF(AND(F2757="",G2757=""),"",ROW()-6)</f>
      </c>
      <c r="B2757" s="140" t="n"/>
      <c r="C2757" s="141" t="n"/>
      <c r="D2757" s="141" t="n"/>
      <c r="E2757" s="142" t="n"/>
      <c r="F2757" s="143" t="n"/>
      <c r="G2757" s="144" t="n"/>
      <c r="H2757" s="145">
        <f>IF(OR(C2757="",AND(F2757="",G2757="")),"",SUMIF(基础资料!$W$5:$W$24,C2757,基础资料!$X$5:$X$24)+SUMIF(C$7:C2757,C2757,F$7:F2757)-SUMIF(C$7:C2757,C2757,G$7:G2757))</f>
      </c>
      <c r="I2757" s="145">
        <f>IF(AND(F2757="",G2757=""),"",SUM(基础资料!$X$5:$X$24)+SUM(F$7:F2757)-SUM(G$7:G2757))</f>
      </c>
      <c r="J2757" s="141" t="n"/>
      <c r="K2757" s="141" t="n"/>
      <c r="L2757" s="141" t="n"/>
      <c r="M2757" s="142" t="n"/>
      <c r="N2757" s="146">
        <f>IF(AND(AND(F2757="",G2757=""),B2757="",C2757="",D2757="",J2757="",K2757="",L2757=""),"",IF(AND(F2757="",G2757=""),"✗ 没填金额",IF(AND(N(F2757)&lt;&gt;0,N(G2757)&lt;&gt;0),"✗ 收入、支出只能填一边",IF(NOT(ISNUMBER(B2757)),"✗ 日期不是真日期（要像 2026/9/25 这样填）",IF(OR(B2757&lt;年初日,B2757&gt;年末日),"✗ 日期不在本会计年度",IF(C2757="","✗ 没选账户",IF(COUNTIF(基础资料!$W$5:$W$24,C2757)=0,"✗ 账户不在基础资料里",IF(O2757="","✗ 没选收支项目",IF(P2757="未知","✗ 收支项目不在基础资料里",IF(AND(P2757="应收",J2757=""),"✗ 这笔要选客户",IF(AND(P2757="应收",COUNTIF(总览汇总!$B$5:$B$304,J2757)=0),"✗ 客户不在总览汇总名单里",IF(AND(P2757="应付",K2757=""),"✗ 这笔要选供应商",IF(AND(P2757="应付",COUNTIF(基础资料!$Q$5:$Q$54,K2757)=0),"✗ 供应商不在基础资料里",IF(AND(P2757="费用",L2757=""),"✗ 费用支出要选费用项目",IF(AND(L2757&lt;&gt;"",COUNTIF(基础资料!$AI$5:$AI$54,L2757)=0),"✗ 费用项目不在基础资料里",IF(AND(IFERROR(INDEX(基础资料!$AD$5:$AD$34,MATCH(O2757,基础资料!$AC$5:$AC$34,0)),"")="收",N(G2757)&lt;&gt;0),"✗ 这类是收款，金额填到收入列",IF(AND(IFERROR(INDEX(基础资料!$AD$5:$AD$34,MATCH(O2757,基础资料!$AC$5:$AC$34,0)),"")="支",N(F2757)&lt;&gt;0),"✗ 这类是付款，金额填到支出列",IF(N(H2757)&lt;0,"⚠ 账户余额成负数了，核对一下","√"))))))))))))))))))</f>
      </c>
      <c r="O2757" s="78">
        <f>IF(D2757&lt;&gt;"",D2757,IF(AND(F2757="",G2757=""),"",IF(J2757&lt;&gt;"",IF(N(F2757)&gt;0,"客户回款","客户退款"),IF(K2757&lt;&gt;"",IF(N(G2757)&gt;0,"供应商付款","供应商退款"),IF(L2757&lt;&gt;"","费用支出","")))))</f>
      </c>
      <c r="P2757" s="78">
        <f>IF(O2757="","",IFERROR(INDEX(基础资料!$AE$5:$AE$34,MATCH(O2757,基础资料!$AC$5:$AC$34,0)),"未知"))</f>
      </c>
      <c r="Q2757" s="78">
        <f>IF(P2757="应收",COUNTIF(P$7:P2757,"应收"),"")</f>
      </c>
      <c r="R2757" s="78">
        <f>IF(P2757="应付",COUNTIF(P$7:P2757,"应付"),"")</f>
      </c>
      <c r="S2757" s="78">
        <f>N(F2757)-N(G2757)</f>
        <v>0</v>
      </c>
    </row>
    <row r="2758">
      <c r="A2758" s="109">
        <f>IF(AND(F2758="",G2758=""),"",ROW()-6)</f>
      </c>
      <c r="B2758" s="140" t="n"/>
      <c r="C2758" s="141" t="n"/>
      <c r="D2758" s="141" t="n"/>
      <c r="E2758" s="142" t="n"/>
      <c r="F2758" s="143" t="n"/>
      <c r="G2758" s="144" t="n"/>
      <c r="H2758" s="145">
        <f>IF(OR(C2758="",AND(F2758="",G2758="")),"",SUMIF(基础资料!$W$5:$W$24,C2758,基础资料!$X$5:$X$24)+SUMIF(C$7:C2758,C2758,F$7:F2758)-SUMIF(C$7:C2758,C2758,G$7:G2758))</f>
      </c>
      <c r="I2758" s="145">
        <f>IF(AND(F2758="",G2758=""),"",SUM(基础资料!$X$5:$X$24)+SUM(F$7:F2758)-SUM(G$7:G2758))</f>
      </c>
      <c r="J2758" s="141" t="n"/>
      <c r="K2758" s="141" t="n"/>
      <c r="L2758" s="141" t="n"/>
      <c r="M2758" s="142" t="n"/>
      <c r="N2758" s="146">
        <f>IF(AND(AND(F2758="",G2758=""),B2758="",C2758="",D2758="",J2758="",K2758="",L2758=""),"",IF(AND(F2758="",G2758=""),"✗ 没填金额",IF(AND(N(F2758)&lt;&gt;0,N(G2758)&lt;&gt;0),"✗ 收入、支出只能填一边",IF(NOT(ISNUMBER(B2758)),"✗ 日期不是真日期（要像 2026/9/25 这样填）",IF(OR(B2758&lt;年初日,B2758&gt;年末日),"✗ 日期不在本会计年度",IF(C2758="","✗ 没选账户",IF(COUNTIF(基础资料!$W$5:$W$24,C2758)=0,"✗ 账户不在基础资料里",IF(O2758="","✗ 没选收支项目",IF(P2758="未知","✗ 收支项目不在基础资料里",IF(AND(P2758="应收",J2758=""),"✗ 这笔要选客户",IF(AND(P2758="应收",COUNTIF(总览汇总!$B$5:$B$304,J2758)=0),"✗ 客户不在总览汇总名单里",IF(AND(P2758="应付",K2758=""),"✗ 这笔要选供应商",IF(AND(P2758="应付",COUNTIF(基础资料!$Q$5:$Q$54,K2758)=0),"✗ 供应商不在基础资料里",IF(AND(P2758="费用",L2758=""),"✗ 费用支出要选费用项目",IF(AND(L2758&lt;&gt;"",COUNTIF(基础资料!$AI$5:$AI$54,L2758)=0),"✗ 费用项目不在基础资料里",IF(AND(IFERROR(INDEX(基础资料!$AD$5:$AD$34,MATCH(O2758,基础资料!$AC$5:$AC$34,0)),"")="收",N(G2758)&lt;&gt;0),"✗ 这类是收款，金额填到收入列",IF(AND(IFERROR(INDEX(基础资料!$AD$5:$AD$34,MATCH(O2758,基础资料!$AC$5:$AC$34,0)),"")="支",N(F2758)&lt;&gt;0),"✗ 这类是付款，金额填到支出列",IF(N(H2758)&lt;0,"⚠ 账户余额成负数了，核对一下","√"))))))))))))))))))</f>
      </c>
      <c r="O2758" s="78">
        <f>IF(D2758&lt;&gt;"",D2758,IF(AND(F2758="",G2758=""),"",IF(J2758&lt;&gt;"",IF(N(F2758)&gt;0,"客户回款","客户退款"),IF(K2758&lt;&gt;"",IF(N(G2758)&gt;0,"供应商付款","供应商退款"),IF(L2758&lt;&gt;"","费用支出","")))))</f>
      </c>
      <c r="P2758" s="78">
        <f>IF(O2758="","",IFERROR(INDEX(基础资料!$AE$5:$AE$34,MATCH(O2758,基础资料!$AC$5:$AC$34,0)),"未知"))</f>
      </c>
      <c r="Q2758" s="78">
        <f>IF(P2758="应收",COUNTIF(P$7:P2758,"应收"),"")</f>
      </c>
      <c r="R2758" s="78">
        <f>IF(P2758="应付",COUNTIF(P$7:P2758,"应付"),"")</f>
      </c>
      <c r="S2758" s="78">
        <f>N(F2758)-N(G2758)</f>
        <v>0</v>
      </c>
    </row>
    <row r="2759">
      <c r="A2759" s="109">
        <f>IF(AND(F2759="",G2759=""),"",ROW()-6)</f>
      </c>
      <c r="B2759" s="140" t="n"/>
      <c r="C2759" s="141" t="n"/>
      <c r="D2759" s="141" t="n"/>
      <c r="E2759" s="142" t="n"/>
      <c r="F2759" s="143" t="n"/>
      <c r="G2759" s="144" t="n"/>
      <c r="H2759" s="145">
        <f>IF(OR(C2759="",AND(F2759="",G2759="")),"",SUMIF(基础资料!$W$5:$W$24,C2759,基础资料!$X$5:$X$24)+SUMIF(C$7:C2759,C2759,F$7:F2759)-SUMIF(C$7:C2759,C2759,G$7:G2759))</f>
      </c>
      <c r="I2759" s="145">
        <f>IF(AND(F2759="",G2759=""),"",SUM(基础资料!$X$5:$X$24)+SUM(F$7:F2759)-SUM(G$7:G2759))</f>
      </c>
      <c r="J2759" s="141" t="n"/>
      <c r="K2759" s="141" t="n"/>
      <c r="L2759" s="141" t="n"/>
      <c r="M2759" s="142" t="n"/>
      <c r="N2759" s="146">
        <f>IF(AND(AND(F2759="",G2759=""),B2759="",C2759="",D2759="",J2759="",K2759="",L2759=""),"",IF(AND(F2759="",G2759=""),"✗ 没填金额",IF(AND(N(F2759)&lt;&gt;0,N(G2759)&lt;&gt;0),"✗ 收入、支出只能填一边",IF(NOT(ISNUMBER(B2759)),"✗ 日期不是真日期（要像 2026/9/25 这样填）",IF(OR(B2759&lt;年初日,B2759&gt;年末日),"✗ 日期不在本会计年度",IF(C2759="","✗ 没选账户",IF(COUNTIF(基础资料!$W$5:$W$24,C2759)=0,"✗ 账户不在基础资料里",IF(O2759="","✗ 没选收支项目",IF(P2759="未知","✗ 收支项目不在基础资料里",IF(AND(P2759="应收",J2759=""),"✗ 这笔要选客户",IF(AND(P2759="应收",COUNTIF(总览汇总!$B$5:$B$304,J2759)=0),"✗ 客户不在总览汇总名单里",IF(AND(P2759="应付",K2759=""),"✗ 这笔要选供应商",IF(AND(P2759="应付",COUNTIF(基础资料!$Q$5:$Q$54,K2759)=0),"✗ 供应商不在基础资料里",IF(AND(P2759="费用",L2759=""),"✗ 费用支出要选费用项目",IF(AND(L2759&lt;&gt;"",COUNTIF(基础资料!$AI$5:$AI$54,L2759)=0),"✗ 费用项目不在基础资料里",IF(AND(IFERROR(INDEX(基础资料!$AD$5:$AD$34,MATCH(O2759,基础资料!$AC$5:$AC$34,0)),"")="收",N(G2759)&lt;&gt;0),"✗ 这类是收款，金额填到收入列",IF(AND(IFERROR(INDEX(基础资料!$AD$5:$AD$34,MATCH(O2759,基础资料!$AC$5:$AC$34,0)),"")="支",N(F2759)&lt;&gt;0),"✗ 这类是付款，金额填到支出列",IF(N(H2759)&lt;0,"⚠ 账户余额成负数了，核对一下","√"))))))))))))))))))</f>
      </c>
      <c r="O2759" s="78">
        <f>IF(D2759&lt;&gt;"",D2759,IF(AND(F2759="",G2759=""),"",IF(J2759&lt;&gt;"",IF(N(F2759)&gt;0,"客户回款","客户退款"),IF(K2759&lt;&gt;"",IF(N(G2759)&gt;0,"供应商付款","供应商退款"),IF(L2759&lt;&gt;"","费用支出","")))))</f>
      </c>
      <c r="P2759" s="78">
        <f>IF(O2759="","",IFERROR(INDEX(基础资料!$AE$5:$AE$34,MATCH(O2759,基础资料!$AC$5:$AC$34,0)),"未知"))</f>
      </c>
      <c r="Q2759" s="78">
        <f>IF(P2759="应收",COUNTIF(P$7:P2759,"应收"),"")</f>
      </c>
      <c r="R2759" s="78">
        <f>IF(P2759="应付",COUNTIF(P$7:P2759,"应付"),"")</f>
      </c>
      <c r="S2759" s="78">
        <f>N(F2759)-N(G2759)</f>
        <v>0</v>
      </c>
    </row>
    <row r="2760">
      <c r="A2760" s="109">
        <f>IF(AND(F2760="",G2760=""),"",ROW()-6)</f>
      </c>
      <c r="B2760" s="140" t="n"/>
      <c r="C2760" s="141" t="n"/>
      <c r="D2760" s="141" t="n"/>
      <c r="E2760" s="142" t="n"/>
      <c r="F2760" s="143" t="n"/>
      <c r="G2760" s="144" t="n"/>
      <c r="H2760" s="145">
        <f>IF(OR(C2760="",AND(F2760="",G2760="")),"",SUMIF(基础资料!$W$5:$W$24,C2760,基础资料!$X$5:$X$24)+SUMIF(C$7:C2760,C2760,F$7:F2760)-SUMIF(C$7:C2760,C2760,G$7:G2760))</f>
      </c>
      <c r="I2760" s="145">
        <f>IF(AND(F2760="",G2760=""),"",SUM(基础资料!$X$5:$X$24)+SUM(F$7:F2760)-SUM(G$7:G2760))</f>
      </c>
      <c r="J2760" s="141" t="n"/>
      <c r="K2760" s="141" t="n"/>
      <c r="L2760" s="141" t="n"/>
      <c r="M2760" s="142" t="n"/>
      <c r="N2760" s="146">
        <f>IF(AND(AND(F2760="",G2760=""),B2760="",C2760="",D2760="",J2760="",K2760="",L2760=""),"",IF(AND(F2760="",G2760=""),"✗ 没填金额",IF(AND(N(F2760)&lt;&gt;0,N(G2760)&lt;&gt;0),"✗ 收入、支出只能填一边",IF(NOT(ISNUMBER(B2760)),"✗ 日期不是真日期（要像 2026/9/25 这样填）",IF(OR(B2760&lt;年初日,B2760&gt;年末日),"✗ 日期不在本会计年度",IF(C2760="","✗ 没选账户",IF(COUNTIF(基础资料!$W$5:$W$24,C2760)=0,"✗ 账户不在基础资料里",IF(O2760="","✗ 没选收支项目",IF(P2760="未知","✗ 收支项目不在基础资料里",IF(AND(P2760="应收",J2760=""),"✗ 这笔要选客户",IF(AND(P2760="应收",COUNTIF(总览汇总!$B$5:$B$304,J2760)=0),"✗ 客户不在总览汇总名单里",IF(AND(P2760="应付",K2760=""),"✗ 这笔要选供应商",IF(AND(P2760="应付",COUNTIF(基础资料!$Q$5:$Q$54,K2760)=0),"✗ 供应商不在基础资料里",IF(AND(P2760="费用",L2760=""),"✗ 费用支出要选费用项目",IF(AND(L2760&lt;&gt;"",COUNTIF(基础资料!$AI$5:$AI$54,L2760)=0),"✗ 费用项目不在基础资料里",IF(AND(IFERROR(INDEX(基础资料!$AD$5:$AD$34,MATCH(O2760,基础资料!$AC$5:$AC$34,0)),"")="收",N(G2760)&lt;&gt;0),"✗ 这类是收款，金额填到收入列",IF(AND(IFERROR(INDEX(基础资料!$AD$5:$AD$34,MATCH(O2760,基础资料!$AC$5:$AC$34,0)),"")="支",N(F2760)&lt;&gt;0),"✗ 这类是付款，金额填到支出列",IF(N(H2760)&lt;0,"⚠ 账户余额成负数了，核对一下","√"))))))))))))))))))</f>
      </c>
      <c r="O2760" s="78">
        <f>IF(D2760&lt;&gt;"",D2760,IF(AND(F2760="",G2760=""),"",IF(J2760&lt;&gt;"",IF(N(F2760)&gt;0,"客户回款","客户退款"),IF(K2760&lt;&gt;"",IF(N(G2760)&gt;0,"供应商付款","供应商退款"),IF(L2760&lt;&gt;"","费用支出","")))))</f>
      </c>
      <c r="P2760" s="78">
        <f>IF(O2760="","",IFERROR(INDEX(基础资料!$AE$5:$AE$34,MATCH(O2760,基础资料!$AC$5:$AC$34,0)),"未知"))</f>
      </c>
      <c r="Q2760" s="78">
        <f>IF(P2760="应收",COUNTIF(P$7:P2760,"应收"),"")</f>
      </c>
      <c r="R2760" s="78">
        <f>IF(P2760="应付",COUNTIF(P$7:P2760,"应付"),"")</f>
      </c>
      <c r="S2760" s="78">
        <f>N(F2760)-N(G2760)</f>
        <v>0</v>
      </c>
    </row>
    <row r="2761">
      <c r="A2761" s="109">
        <f>IF(AND(F2761="",G2761=""),"",ROW()-6)</f>
      </c>
      <c r="B2761" s="140" t="n"/>
      <c r="C2761" s="141" t="n"/>
      <c r="D2761" s="141" t="n"/>
      <c r="E2761" s="142" t="n"/>
      <c r="F2761" s="143" t="n"/>
      <c r="G2761" s="144" t="n"/>
      <c r="H2761" s="145">
        <f>IF(OR(C2761="",AND(F2761="",G2761="")),"",SUMIF(基础资料!$W$5:$W$24,C2761,基础资料!$X$5:$X$24)+SUMIF(C$7:C2761,C2761,F$7:F2761)-SUMIF(C$7:C2761,C2761,G$7:G2761))</f>
      </c>
      <c r="I2761" s="145">
        <f>IF(AND(F2761="",G2761=""),"",SUM(基础资料!$X$5:$X$24)+SUM(F$7:F2761)-SUM(G$7:G2761))</f>
      </c>
      <c r="J2761" s="141" t="n"/>
      <c r="K2761" s="141" t="n"/>
      <c r="L2761" s="141" t="n"/>
      <c r="M2761" s="142" t="n"/>
      <c r="N2761" s="146">
        <f>IF(AND(AND(F2761="",G2761=""),B2761="",C2761="",D2761="",J2761="",K2761="",L2761=""),"",IF(AND(F2761="",G2761=""),"✗ 没填金额",IF(AND(N(F2761)&lt;&gt;0,N(G2761)&lt;&gt;0),"✗ 收入、支出只能填一边",IF(NOT(ISNUMBER(B2761)),"✗ 日期不是真日期（要像 2026/9/25 这样填）",IF(OR(B2761&lt;年初日,B2761&gt;年末日),"✗ 日期不在本会计年度",IF(C2761="","✗ 没选账户",IF(COUNTIF(基础资料!$W$5:$W$24,C2761)=0,"✗ 账户不在基础资料里",IF(O2761="","✗ 没选收支项目",IF(P2761="未知","✗ 收支项目不在基础资料里",IF(AND(P2761="应收",J2761=""),"✗ 这笔要选客户",IF(AND(P2761="应收",COUNTIF(总览汇总!$B$5:$B$304,J2761)=0),"✗ 客户不在总览汇总名单里",IF(AND(P2761="应付",K2761=""),"✗ 这笔要选供应商",IF(AND(P2761="应付",COUNTIF(基础资料!$Q$5:$Q$54,K2761)=0),"✗ 供应商不在基础资料里",IF(AND(P2761="费用",L2761=""),"✗ 费用支出要选费用项目",IF(AND(L2761&lt;&gt;"",COUNTIF(基础资料!$AI$5:$AI$54,L2761)=0),"✗ 费用项目不在基础资料里",IF(AND(IFERROR(INDEX(基础资料!$AD$5:$AD$34,MATCH(O2761,基础资料!$AC$5:$AC$34,0)),"")="收",N(G2761)&lt;&gt;0),"✗ 这类是收款，金额填到收入列",IF(AND(IFERROR(INDEX(基础资料!$AD$5:$AD$34,MATCH(O2761,基础资料!$AC$5:$AC$34,0)),"")="支",N(F2761)&lt;&gt;0),"✗ 这类是付款，金额填到支出列",IF(N(H2761)&lt;0,"⚠ 账户余额成负数了，核对一下","√"))))))))))))))))))</f>
      </c>
      <c r="O2761" s="78">
        <f>IF(D2761&lt;&gt;"",D2761,IF(AND(F2761="",G2761=""),"",IF(J2761&lt;&gt;"",IF(N(F2761)&gt;0,"客户回款","客户退款"),IF(K2761&lt;&gt;"",IF(N(G2761)&gt;0,"供应商付款","供应商退款"),IF(L2761&lt;&gt;"","费用支出","")))))</f>
      </c>
      <c r="P2761" s="78">
        <f>IF(O2761="","",IFERROR(INDEX(基础资料!$AE$5:$AE$34,MATCH(O2761,基础资料!$AC$5:$AC$34,0)),"未知"))</f>
      </c>
      <c r="Q2761" s="78">
        <f>IF(P2761="应收",COUNTIF(P$7:P2761,"应收"),"")</f>
      </c>
      <c r="R2761" s="78">
        <f>IF(P2761="应付",COUNTIF(P$7:P2761,"应付"),"")</f>
      </c>
      <c r="S2761" s="78">
        <f>N(F2761)-N(G2761)</f>
        <v>0</v>
      </c>
    </row>
    <row r="2762">
      <c r="A2762" s="109">
        <f>IF(AND(F2762="",G2762=""),"",ROW()-6)</f>
      </c>
      <c r="B2762" s="140" t="n"/>
      <c r="C2762" s="141" t="n"/>
      <c r="D2762" s="141" t="n"/>
      <c r="E2762" s="142" t="n"/>
      <c r="F2762" s="143" t="n"/>
      <c r="G2762" s="144" t="n"/>
      <c r="H2762" s="145">
        <f>IF(OR(C2762="",AND(F2762="",G2762="")),"",SUMIF(基础资料!$W$5:$W$24,C2762,基础资料!$X$5:$X$24)+SUMIF(C$7:C2762,C2762,F$7:F2762)-SUMIF(C$7:C2762,C2762,G$7:G2762))</f>
      </c>
      <c r="I2762" s="145">
        <f>IF(AND(F2762="",G2762=""),"",SUM(基础资料!$X$5:$X$24)+SUM(F$7:F2762)-SUM(G$7:G2762))</f>
      </c>
      <c r="J2762" s="141" t="n"/>
      <c r="K2762" s="141" t="n"/>
      <c r="L2762" s="141" t="n"/>
      <c r="M2762" s="142" t="n"/>
      <c r="N2762" s="146">
        <f>IF(AND(AND(F2762="",G2762=""),B2762="",C2762="",D2762="",J2762="",K2762="",L2762=""),"",IF(AND(F2762="",G2762=""),"✗ 没填金额",IF(AND(N(F2762)&lt;&gt;0,N(G2762)&lt;&gt;0),"✗ 收入、支出只能填一边",IF(NOT(ISNUMBER(B2762)),"✗ 日期不是真日期（要像 2026/9/25 这样填）",IF(OR(B2762&lt;年初日,B2762&gt;年末日),"✗ 日期不在本会计年度",IF(C2762="","✗ 没选账户",IF(COUNTIF(基础资料!$W$5:$W$24,C2762)=0,"✗ 账户不在基础资料里",IF(O2762="","✗ 没选收支项目",IF(P2762="未知","✗ 收支项目不在基础资料里",IF(AND(P2762="应收",J2762=""),"✗ 这笔要选客户",IF(AND(P2762="应收",COUNTIF(总览汇总!$B$5:$B$304,J2762)=0),"✗ 客户不在总览汇总名单里",IF(AND(P2762="应付",K2762=""),"✗ 这笔要选供应商",IF(AND(P2762="应付",COUNTIF(基础资料!$Q$5:$Q$54,K2762)=0),"✗ 供应商不在基础资料里",IF(AND(P2762="费用",L2762=""),"✗ 费用支出要选费用项目",IF(AND(L2762&lt;&gt;"",COUNTIF(基础资料!$AI$5:$AI$54,L2762)=0),"✗ 费用项目不在基础资料里",IF(AND(IFERROR(INDEX(基础资料!$AD$5:$AD$34,MATCH(O2762,基础资料!$AC$5:$AC$34,0)),"")="收",N(G2762)&lt;&gt;0),"✗ 这类是收款，金额填到收入列",IF(AND(IFERROR(INDEX(基础资料!$AD$5:$AD$34,MATCH(O2762,基础资料!$AC$5:$AC$34,0)),"")="支",N(F2762)&lt;&gt;0),"✗ 这类是付款，金额填到支出列",IF(N(H2762)&lt;0,"⚠ 账户余额成负数了，核对一下","√"))))))))))))))))))</f>
      </c>
      <c r="O2762" s="78">
        <f>IF(D2762&lt;&gt;"",D2762,IF(AND(F2762="",G2762=""),"",IF(J2762&lt;&gt;"",IF(N(F2762)&gt;0,"客户回款","客户退款"),IF(K2762&lt;&gt;"",IF(N(G2762)&gt;0,"供应商付款","供应商退款"),IF(L2762&lt;&gt;"","费用支出","")))))</f>
      </c>
      <c r="P2762" s="78">
        <f>IF(O2762="","",IFERROR(INDEX(基础资料!$AE$5:$AE$34,MATCH(O2762,基础资料!$AC$5:$AC$34,0)),"未知"))</f>
      </c>
      <c r="Q2762" s="78">
        <f>IF(P2762="应收",COUNTIF(P$7:P2762,"应收"),"")</f>
      </c>
      <c r="R2762" s="78">
        <f>IF(P2762="应付",COUNTIF(P$7:P2762,"应付"),"")</f>
      </c>
      <c r="S2762" s="78">
        <f>N(F2762)-N(G2762)</f>
        <v>0</v>
      </c>
    </row>
    <row r="2763">
      <c r="A2763" s="109">
        <f>IF(AND(F2763="",G2763=""),"",ROW()-6)</f>
      </c>
      <c r="B2763" s="140" t="n"/>
      <c r="C2763" s="141" t="n"/>
      <c r="D2763" s="141" t="n"/>
      <c r="E2763" s="142" t="n"/>
      <c r="F2763" s="143" t="n"/>
      <c r="G2763" s="144" t="n"/>
      <c r="H2763" s="145">
        <f>IF(OR(C2763="",AND(F2763="",G2763="")),"",SUMIF(基础资料!$W$5:$W$24,C2763,基础资料!$X$5:$X$24)+SUMIF(C$7:C2763,C2763,F$7:F2763)-SUMIF(C$7:C2763,C2763,G$7:G2763))</f>
      </c>
      <c r="I2763" s="145">
        <f>IF(AND(F2763="",G2763=""),"",SUM(基础资料!$X$5:$X$24)+SUM(F$7:F2763)-SUM(G$7:G2763))</f>
      </c>
      <c r="J2763" s="141" t="n"/>
      <c r="K2763" s="141" t="n"/>
      <c r="L2763" s="141" t="n"/>
      <c r="M2763" s="142" t="n"/>
      <c r="N2763" s="146">
        <f>IF(AND(AND(F2763="",G2763=""),B2763="",C2763="",D2763="",J2763="",K2763="",L2763=""),"",IF(AND(F2763="",G2763=""),"✗ 没填金额",IF(AND(N(F2763)&lt;&gt;0,N(G2763)&lt;&gt;0),"✗ 收入、支出只能填一边",IF(NOT(ISNUMBER(B2763)),"✗ 日期不是真日期（要像 2026/9/25 这样填）",IF(OR(B2763&lt;年初日,B2763&gt;年末日),"✗ 日期不在本会计年度",IF(C2763="","✗ 没选账户",IF(COUNTIF(基础资料!$W$5:$W$24,C2763)=0,"✗ 账户不在基础资料里",IF(O2763="","✗ 没选收支项目",IF(P2763="未知","✗ 收支项目不在基础资料里",IF(AND(P2763="应收",J2763=""),"✗ 这笔要选客户",IF(AND(P2763="应收",COUNTIF(总览汇总!$B$5:$B$304,J2763)=0),"✗ 客户不在总览汇总名单里",IF(AND(P2763="应付",K2763=""),"✗ 这笔要选供应商",IF(AND(P2763="应付",COUNTIF(基础资料!$Q$5:$Q$54,K2763)=0),"✗ 供应商不在基础资料里",IF(AND(P2763="费用",L2763=""),"✗ 费用支出要选费用项目",IF(AND(L2763&lt;&gt;"",COUNTIF(基础资料!$AI$5:$AI$54,L2763)=0),"✗ 费用项目不在基础资料里",IF(AND(IFERROR(INDEX(基础资料!$AD$5:$AD$34,MATCH(O2763,基础资料!$AC$5:$AC$34,0)),"")="收",N(G2763)&lt;&gt;0),"✗ 这类是收款，金额填到收入列",IF(AND(IFERROR(INDEX(基础资料!$AD$5:$AD$34,MATCH(O2763,基础资料!$AC$5:$AC$34,0)),"")="支",N(F2763)&lt;&gt;0),"✗ 这类是付款，金额填到支出列",IF(N(H2763)&lt;0,"⚠ 账户余额成负数了，核对一下","√"))))))))))))))))))</f>
      </c>
      <c r="O2763" s="78">
        <f>IF(D2763&lt;&gt;"",D2763,IF(AND(F2763="",G2763=""),"",IF(J2763&lt;&gt;"",IF(N(F2763)&gt;0,"客户回款","客户退款"),IF(K2763&lt;&gt;"",IF(N(G2763)&gt;0,"供应商付款","供应商退款"),IF(L2763&lt;&gt;"","费用支出","")))))</f>
      </c>
      <c r="P2763" s="78">
        <f>IF(O2763="","",IFERROR(INDEX(基础资料!$AE$5:$AE$34,MATCH(O2763,基础资料!$AC$5:$AC$34,0)),"未知"))</f>
      </c>
      <c r="Q2763" s="78">
        <f>IF(P2763="应收",COUNTIF(P$7:P2763,"应收"),"")</f>
      </c>
      <c r="R2763" s="78">
        <f>IF(P2763="应付",COUNTIF(P$7:P2763,"应付"),"")</f>
      </c>
      <c r="S2763" s="78">
        <f>N(F2763)-N(G2763)</f>
        <v>0</v>
      </c>
    </row>
    <row r="2764">
      <c r="A2764" s="109">
        <f>IF(AND(F2764="",G2764=""),"",ROW()-6)</f>
      </c>
      <c r="B2764" s="140" t="n"/>
      <c r="C2764" s="141" t="n"/>
      <c r="D2764" s="141" t="n"/>
      <c r="E2764" s="142" t="n"/>
      <c r="F2764" s="143" t="n"/>
      <c r="G2764" s="144" t="n"/>
      <c r="H2764" s="145">
        <f>IF(OR(C2764="",AND(F2764="",G2764="")),"",SUMIF(基础资料!$W$5:$W$24,C2764,基础资料!$X$5:$X$24)+SUMIF(C$7:C2764,C2764,F$7:F2764)-SUMIF(C$7:C2764,C2764,G$7:G2764))</f>
      </c>
      <c r="I2764" s="145">
        <f>IF(AND(F2764="",G2764=""),"",SUM(基础资料!$X$5:$X$24)+SUM(F$7:F2764)-SUM(G$7:G2764))</f>
      </c>
      <c r="J2764" s="141" t="n"/>
      <c r="K2764" s="141" t="n"/>
      <c r="L2764" s="141" t="n"/>
      <c r="M2764" s="142" t="n"/>
      <c r="N2764" s="146">
        <f>IF(AND(AND(F2764="",G2764=""),B2764="",C2764="",D2764="",J2764="",K2764="",L2764=""),"",IF(AND(F2764="",G2764=""),"✗ 没填金额",IF(AND(N(F2764)&lt;&gt;0,N(G2764)&lt;&gt;0),"✗ 收入、支出只能填一边",IF(NOT(ISNUMBER(B2764)),"✗ 日期不是真日期（要像 2026/9/25 这样填）",IF(OR(B2764&lt;年初日,B2764&gt;年末日),"✗ 日期不在本会计年度",IF(C2764="","✗ 没选账户",IF(COUNTIF(基础资料!$W$5:$W$24,C2764)=0,"✗ 账户不在基础资料里",IF(O2764="","✗ 没选收支项目",IF(P2764="未知","✗ 收支项目不在基础资料里",IF(AND(P2764="应收",J2764=""),"✗ 这笔要选客户",IF(AND(P2764="应收",COUNTIF(总览汇总!$B$5:$B$304,J2764)=0),"✗ 客户不在总览汇总名单里",IF(AND(P2764="应付",K2764=""),"✗ 这笔要选供应商",IF(AND(P2764="应付",COUNTIF(基础资料!$Q$5:$Q$54,K2764)=0),"✗ 供应商不在基础资料里",IF(AND(P2764="费用",L2764=""),"✗ 费用支出要选费用项目",IF(AND(L2764&lt;&gt;"",COUNTIF(基础资料!$AI$5:$AI$54,L2764)=0),"✗ 费用项目不在基础资料里",IF(AND(IFERROR(INDEX(基础资料!$AD$5:$AD$34,MATCH(O2764,基础资料!$AC$5:$AC$34,0)),"")="收",N(G2764)&lt;&gt;0),"✗ 这类是收款，金额填到收入列",IF(AND(IFERROR(INDEX(基础资料!$AD$5:$AD$34,MATCH(O2764,基础资料!$AC$5:$AC$34,0)),"")="支",N(F2764)&lt;&gt;0),"✗ 这类是付款，金额填到支出列",IF(N(H2764)&lt;0,"⚠ 账户余额成负数了，核对一下","√"))))))))))))))))))</f>
      </c>
      <c r="O2764" s="78">
        <f>IF(D2764&lt;&gt;"",D2764,IF(AND(F2764="",G2764=""),"",IF(J2764&lt;&gt;"",IF(N(F2764)&gt;0,"客户回款","客户退款"),IF(K2764&lt;&gt;"",IF(N(G2764)&gt;0,"供应商付款","供应商退款"),IF(L2764&lt;&gt;"","费用支出","")))))</f>
      </c>
      <c r="P2764" s="78">
        <f>IF(O2764="","",IFERROR(INDEX(基础资料!$AE$5:$AE$34,MATCH(O2764,基础资料!$AC$5:$AC$34,0)),"未知"))</f>
      </c>
      <c r="Q2764" s="78">
        <f>IF(P2764="应收",COUNTIF(P$7:P2764,"应收"),"")</f>
      </c>
      <c r="R2764" s="78">
        <f>IF(P2764="应付",COUNTIF(P$7:P2764,"应付"),"")</f>
      </c>
      <c r="S2764" s="78">
        <f>N(F2764)-N(G2764)</f>
        <v>0</v>
      </c>
    </row>
    <row r="2765">
      <c r="A2765" s="109">
        <f>IF(AND(F2765="",G2765=""),"",ROW()-6)</f>
      </c>
      <c r="B2765" s="140" t="n"/>
      <c r="C2765" s="141" t="n"/>
      <c r="D2765" s="141" t="n"/>
      <c r="E2765" s="142" t="n"/>
      <c r="F2765" s="143" t="n"/>
      <c r="G2765" s="144" t="n"/>
      <c r="H2765" s="145">
        <f>IF(OR(C2765="",AND(F2765="",G2765="")),"",SUMIF(基础资料!$W$5:$W$24,C2765,基础资料!$X$5:$X$24)+SUMIF(C$7:C2765,C2765,F$7:F2765)-SUMIF(C$7:C2765,C2765,G$7:G2765))</f>
      </c>
      <c r="I2765" s="145">
        <f>IF(AND(F2765="",G2765=""),"",SUM(基础资料!$X$5:$X$24)+SUM(F$7:F2765)-SUM(G$7:G2765))</f>
      </c>
      <c r="J2765" s="141" t="n"/>
      <c r="K2765" s="141" t="n"/>
      <c r="L2765" s="141" t="n"/>
      <c r="M2765" s="142" t="n"/>
      <c r="N2765" s="146">
        <f>IF(AND(AND(F2765="",G2765=""),B2765="",C2765="",D2765="",J2765="",K2765="",L2765=""),"",IF(AND(F2765="",G2765=""),"✗ 没填金额",IF(AND(N(F2765)&lt;&gt;0,N(G2765)&lt;&gt;0),"✗ 收入、支出只能填一边",IF(NOT(ISNUMBER(B2765)),"✗ 日期不是真日期（要像 2026/9/25 这样填）",IF(OR(B2765&lt;年初日,B2765&gt;年末日),"✗ 日期不在本会计年度",IF(C2765="","✗ 没选账户",IF(COUNTIF(基础资料!$W$5:$W$24,C2765)=0,"✗ 账户不在基础资料里",IF(O2765="","✗ 没选收支项目",IF(P2765="未知","✗ 收支项目不在基础资料里",IF(AND(P2765="应收",J2765=""),"✗ 这笔要选客户",IF(AND(P2765="应收",COUNTIF(总览汇总!$B$5:$B$304,J2765)=0),"✗ 客户不在总览汇总名单里",IF(AND(P2765="应付",K2765=""),"✗ 这笔要选供应商",IF(AND(P2765="应付",COUNTIF(基础资料!$Q$5:$Q$54,K2765)=0),"✗ 供应商不在基础资料里",IF(AND(P2765="费用",L2765=""),"✗ 费用支出要选费用项目",IF(AND(L2765&lt;&gt;"",COUNTIF(基础资料!$AI$5:$AI$54,L2765)=0),"✗ 费用项目不在基础资料里",IF(AND(IFERROR(INDEX(基础资料!$AD$5:$AD$34,MATCH(O2765,基础资料!$AC$5:$AC$34,0)),"")="收",N(G2765)&lt;&gt;0),"✗ 这类是收款，金额填到收入列",IF(AND(IFERROR(INDEX(基础资料!$AD$5:$AD$34,MATCH(O2765,基础资料!$AC$5:$AC$34,0)),"")="支",N(F2765)&lt;&gt;0),"✗ 这类是付款，金额填到支出列",IF(N(H2765)&lt;0,"⚠ 账户余额成负数了，核对一下","√"))))))))))))))))))</f>
      </c>
      <c r="O2765" s="78">
        <f>IF(D2765&lt;&gt;"",D2765,IF(AND(F2765="",G2765=""),"",IF(J2765&lt;&gt;"",IF(N(F2765)&gt;0,"客户回款","客户退款"),IF(K2765&lt;&gt;"",IF(N(G2765)&gt;0,"供应商付款","供应商退款"),IF(L2765&lt;&gt;"","费用支出","")))))</f>
      </c>
      <c r="P2765" s="78">
        <f>IF(O2765="","",IFERROR(INDEX(基础资料!$AE$5:$AE$34,MATCH(O2765,基础资料!$AC$5:$AC$34,0)),"未知"))</f>
      </c>
      <c r="Q2765" s="78">
        <f>IF(P2765="应收",COUNTIF(P$7:P2765,"应收"),"")</f>
      </c>
      <c r="R2765" s="78">
        <f>IF(P2765="应付",COUNTIF(P$7:P2765,"应付"),"")</f>
      </c>
      <c r="S2765" s="78">
        <f>N(F2765)-N(G2765)</f>
        <v>0</v>
      </c>
    </row>
    <row r="2766">
      <c r="A2766" s="109">
        <f>IF(AND(F2766="",G2766=""),"",ROW()-6)</f>
      </c>
      <c r="B2766" s="140" t="n"/>
      <c r="C2766" s="141" t="n"/>
      <c r="D2766" s="141" t="n"/>
      <c r="E2766" s="142" t="n"/>
      <c r="F2766" s="143" t="n"/>
      <c r="G2766" s="144" t="n"/>
      <c r="H2766" s="145">
        <f>IF(OR(C2766="",AND(F2766="",G2766="")),"",SUMIF(基础资料!$W$5:$W$24,C2766,基础资料!$X$5:$X$24)+SUMIF(C$7:C2766,C2766,F$7:F2766)-SUMIF(C$7:C2766,C2766,G$7:G2766))</f>
      </c>
      <c r="I2766" s="145">
        <f>IF(AND(F2766="",G2766=""),"",SUM(基础资料!$X$5:$X$24)+SUM(F$7:F2766)-SUM(G$7:G2766))</f>
      </c>
      <c r="J2766" s="141" t="n"/>
      <c r="K2766" s="141" t="n"/>
      <c r="L2766" s="141" t="n"/>
      <c r="M2766" s="142" t="n"/>
      <c r="N2766" s="146">
        <f>IF(AND(AND(F2766="",G2766=""),B2766="",C2766="",D2766="",J2766="",K2766="",L2766=""),"",IF(AND(F2766="",G2766=""),"✗ 没填金额",IF(AND(N(F2766)&lt;&gt;0,N(G2766)&lt;&gt;0),"✗ 收入、支出只能填一边",IF(NOT(ISNUMBER(B2766)),"✗ 日期不是真日期（要像 2026/9/25 这样填）",IF(OR(B2766&lt;年初日,B2766&gt;年末日),"✗ 日期不在本会计年度",IF(C2766="","✗ 没选账户",IF(COUNTIF(基础资料!$W$5:$W$24,C2766)=0,"✗ 账户不在基础资料里",IF(O2766="","✗ 没选收支项目",IF(P2766="未知","✗ 收支项目不在基础资料里",IF(AND(P2766="应收",J2766=""),"✗ 这笔要选客户",IF(AND(P2766="应收",COUNTIF(总览汇总!$B$5:$B$304,J2766)=0),"✗ 客户不在总览汇总名单里",IF(AND(P2766="应付",K2766=""),"✗ 这笔要选供应商",IF(AND(P2766="应付",COUNTIF(基础资料!$Q$5:$Q$54,K2766)=0),"✗ 供应商不在基础资料里",IF(AND(P2766="费用",L2766=""),"✗ 费用支出要选费用项目",IF(AND(L2766&lt;&gt;"",COUNTIF(基础资料!$AI$5:$AI$54,L2766)=0),"✗ 费用项目不在基础资料里",IF(AND(IFERROR(INDEX(基础资料!$AD$5:$AD$34,MATCH(O2766,基础资料!$AC$5:$AC$34,0)),"")="收",N(G2766)&lt;&gt;0),"✗ 这类是收款，金额填到收入列",IF(AND(IFERROR(INDEX(基础资料!$AD$5:$AD$34,MATCH(O2766,基础资料!$AC$5:$AC$34,0)),"")="支",N(F2766)&lt;&gt;0),"✗ 这类是付款，金额填到支出列",IF(N(H2766)&lt;0,"⚠ 账户余额成负数了，核对一下","√"))))))))))))))))))</f>
      </c>
      <c r="O2766" s="78">
        <f>IF(D2766&lt;&gt;"",D2766,IF(AND(F2766="",G2766=""),"",IF(J2766&lt;&gt;"",IF(N(F2766)&gt;0,"客户回款","客户退款"),IF(K2766&lt;&gt;"",IF(N(G2766)&gt;0,"供应商付款","供应商退款"),IF(L2766&lt;&gt;"","费用支出","")))))</f>
      </c>
      <c r="P2766" s="78">
        <f>IF(O2766="","",IFERROR(INDEX(基础资料!$AE$5:$AE$34,MATCH(O2766,基础资料!$AC$5:$AC$34,0)),"未知"))</f>
      </c>
      <c r="Q2766" s="78">
        <f>IF(P2766="应收",COUNTIF(P$7:P2766,"应收"),"")</f>
      </c>
      <c r="R2766" s="78">
        <f>IF(P2766="应付",COUNTIF(P$7:P2766,"应付"),"")</f>
      </c>
      <c r="S2766" s="78">
        <f>N(F2766)-N(G2766)</f>
        <v>0</v>
      </c>
    </row>
    <row r="2767">
      <c r="A2767" s="109">
        <f>IF(AND(F2767="",G2767=""),"",ROW()-6)</f>
      </c>
      <c r="B2767" s="140" t="n"/>
      <c r="C2767" s="141" t="n"/>
      <c r="D2767" s="141" t="n"/>
      <c r="E2767" s="142" t="n"/>
      <c r="F2767" s="143" t="n"/>
      <c r="G2767" s="144" t="n"/>
      <c r="H2767" s="145">
        <f>IF(OR(C2767="",AND(F2767="",G2767="")),"",SUMIF(基础资料!$W$5:$W$24,C2767,基础资料!$X$5:$X$24)+SUMIF(C$7:C2767,C2767,F$7:F2767)-SUMIF(C$7:C2767,C2767,G$7:G2767))</f>
      </c>
      <c r="I2767" s="145">
        <f>IF(AND(F2767="",G2767=""),"",SUM(基础资料!$X$5:$X$24)+SUM(F$7:F2767)-SUM(G$7:G2767))</f>
      </c>
      <c r="J2767" s="141" t="n"/>
      <c r="K2767" s="141" t="n"/>
      <c r="L2767" s="141" t="n"/>
      <c r="M2767" s="142" t="n"/>
      <c r="N2767" s="146">
        <f>IF(AND(AND(F2767="",G2767=""),B2767="",C2767="",D2767="",J2767="",K2767="",L2767=""),"",IF(AND(F2767="",G2767=""),"✗ 没填金额",IF(AND(N(F2767)&lt;&gt;0,N(G2767)&lt;&gt;0),"✗ 收入、支出只能填一边",IF(NOT(ISNUMBER(B2767)),"✗ 日期不是真日期（要像 2026/9/25 这样填）",IF(OR(B2767&lt;年初日,B2767&gt;年末日),"✗ 日期不在本会计年度",IF(C2767="","✗ 没选账户",IF(COUNTIF(基础资料!$W$5:$W$24,C2767)=0,"✗ 账户不在基础资料里",IF(O2767="","✗ 没选收支项目",IF(P2767="未知","✗ 收支项目不在基础资料里",IF(AND(P2767="应收",J2767=""),"✗ 这笔要选客户",IF(AND(P2767="应收",COUNTIF(总览汇总!$B$5:$B$304,J2767)=0),"✗ 客户不在总览汇总名单里",IF(AND(P2767="应付",K2767=""),"✗ 这笔要选供应商",IF(AND(P2767="应付",COUNTIF(基础资料!$Q$5:$Q$54,K2767)=0),"✗ 供应商不在基础资料里",IF(AND(P2767="费用",L2767=""),"✗ 费用支出要选费用项目",IF(AND(L2767&lt;&gt;"",COUNTIF(基础资料!$AI$5:$AI$54,L2767)=0),"✗ 费用项目不在基础资料里",IF(AND(IFERROR(INDEX(基础资料!$AD$5:$AD$34,MATCH(O2767,基础资料!$AC$5:$AC$34,0)),"")="收",N(G2767)&lt;&gt;0),"✗ 这类是收款，金额填到收入列",IF(AND(IFERROR(INDEX(基础资料!$AD$5:$AD$34,MATCH(O2767,基础资料!$AC$5:$AC$34,0)),"")="支",N(F2767)&lt;&gt;0),"✗ 这类是付款，金额填到支出列",IF(N(H2767)&lt;0,"⚠ 账户余额成负数了，核对一下","√"))))))))))))))))))</f>
      </c>
      <c r="O2767" s="78">
        <f>IF(D2767&lt;&gt;"",D2767,IF(AND(F2767="",G2767=""),"",IF(J2767&lt;&gt;"",IF(N(F2767)&gt;0,"客户回款","客户退款"),IF(K2767&lt;&gt;"",IF(N(G2767)&gt;0,"供应商付款","供应商退款"),IF(L2767&lt;&gt;"","费用支出","")))))</f>
      </c>
      <c r="P2767" s="78">
        <f>IF(O2767="","",IFERROR(INDEX(基础资料!$AE$5:$AE$34,MATCH(O2767,基础资料!$AC$5:$AC$34,0)),"未知"))</f>
      </c>
      <c r="Q2767" s="78">
        <f>IF(P2767="应收",COUNTIF(P$7:P2767,"应收"),"")</f>
      </c>
      <c r="R2767" s="78">
        <f>IF(P2767="应付",COUNTIF(P$7:P2767,"应付"),"")</f>
      </c>
      <c r="S2767" s="78">
        <f>N(F2767)-N(G2767)</f>
        <v>0</v>
      </c>
    </row>
    <row r="2768">
      <c r="A2768" s="109">
        <f>IF(AND(F2768="",G2768=""),"",ROW()-6)</f>
      </c>
      <c r="B2768" s="140" t="n"/>
      <c r="C2768" s="141" t="n"/>
      <c r="D2768" s="141" t="n"/>
      <c r="E2768" s="142" t="n"/>
      <c r="F2768" s="143" t="n"/>
      <c r="G2768" s="144" t="n"/>
      <c r="H2768" s="145">
        <f>IF(OR(C2768="",AND(F2768="",G2768="")),"",SUMIF(基础资料!$W$5:$W$24,C2768,基础资料!$X$5:$X$24)+SUMIF(C$7:C2768,C2768,F$7:F2768)-SUMIF(C$7:C2768,C2768,G$7:G2768))</f>
      </c>
      <c r="I2768" s="145">
        <f>IF(AND(F2768="",G2768=""),"",SUM(基础资料!$X$5:$X$24)+SUM(F$7:F2768)-SUM(G$7:G2768))</f>
      </c>
      <c r="J2768" s="141" t="n"/>
      <c r="K2768" s="141" t="n"/>
      <c r="L2768" s="141" t="n"/>
      <c r="M2768" s="142" t="n"/>
      <c r="N2768" s="146">
        <f>IF(AND(AND(F2768="",G2768=""),B2768="",C2768="",D2768="",J2768="",K2768="",L2768=""),"",IF(AND(F2768="",G2768=""),"✗ 没填金额",IF(AND(N(F2768)&lt;&gt;0,N(G2768)&lt;&gt;0),"✗ 收入、支出只能填一边",IF(NOT(ISNUMBER(B2768)),"✗ 日期不是真日期（要像 2026/9/25 这样填）",IF(OR(B2768&lt;年初日,B2768&gt;年末日),"✗ 日期不在本会计年度",IF(C2768="","✗ 没选账户",IF(COUNTIF(基础资料!$W$5:$W$24,C2768)=0,"✗ 账户不在基础资料里",IF(O2768="","✗ 没选收支项目",IF(P2768="未知","✗ 收支项目不在基础资料里",IF(AND(P2768="应收",J2768=""),"✗ 这笔要选客户",IF(AND(P2768="应收",COUNTIF(总览汇总!$B$5:$B$304,J2768)=0),"✗ 客户不在总览汇总名单里",IF(AND(P2768="应付",K2768=""),"✗ 这笔要选供应商",IF(AND(P2768="应付",COUNTIF(基础资料!$Q$5:$Q$54,K2768)=0),"✗ 供应商不在基础资料里",IF(AND(P2768="费用",L2768=""),"✗ 费用支出要选费用项目",IF(AND(L2768&lt;&gt;"",COUNTIF(基础资料!$AI$5:$AI$54,L2768)=0),"✗ 费用项目不在基础资料里",IF(AND(IFERROR(INDEX(基础资料!$AD$5:$AD$34,MATCH(O2768,基础资料!$AC$5:$AC$34,0)),"")="收",N(G2768)&lt;&gt;0),"✗ 这类是收款，金额填到收入列",IF(AND(IFERROR(INDEX(基础资料!$AD$5:$AD$34,MATCH(O2768,基础资料!$AC$5:$AC$34,0)),"")="支",N(F2768)&lt;&gt;0),"✗ 这类是付款，金额填到支出列",IF(N(H2768)&lt;0,"⚠ 账户余额成负数了，核对一下","√"))))))))))))))))))</f>
      </c>
      <c r="O2768" s="78">
        <f>IF(D2768&lt;&gt;"",D2768,IF(AND(F2768="",G2768=""),"",IF(J2768&lt;&gt;"",IF(N(F2768)&gt;0,"客户回款","客户退款"),IF(K2768&lt;&gt;"",IF(N(G2768)&gt;0,"供应商付款","供应商退款"),IF(L2768&lt;&gt;"","费用支出","")))))</f>
      </c>
      <c r="P2768" s="78">
        <f>IF(O2768="","",IFERROR(INDEX(基础资料!$AE$5:$AE$34,MATCH(O2768,基础资料!$AC$5:$AC$34,0)),"未知"))</f>
      </c>
      <c r="Q2768" s="78">
        <f>IF(P2768="应收",COUNTIF(P$7:P2768,"应收"),"")</f>
      </c>
      <c r="R2768" s="78">
        <f>IF(P2768="应付",COUNTIF(P$7:P2768,"应付"),"")</f>
      </c>
      <c r="S2768" s="78">
        <f>N(F2768)-N(G2768)</f>
        <v>0</v>
      </c>
    </row>
    <row r="2769">
      <c r="A2769" s="109">
        <f>IF(AND(F2769="",G2769=""),"",ROW()-6)</f>
      </c>
      <c r="B2769" s="140" t="n"/>
      <c r="C2769" s="141" t="n"/>
      <c r="D2769" s="141" t="n"/>
      <c r="E2769" s="142" t="n"/>
      <c r="F2769" s="143" t="n"/>
      <c r="G2769" s="144" t="n"/>
      <c r="H2769" s="145">
        <f>IF(OR(C2769="",AND(F2769="",G2769="")),"",SUMIF(基础资料!$W$5:$W$24,C2769,基础资料!$X$5:$X$24)+SUMIF(C$7:C2769,C2769,F$7:F2769)-SUMIF(C$7:C2769,C2769,G$7:G2769))</f>
      </c>
      <c r="I2769" s="145">
        <f>IF(AND(F2769="",G2769=""),"",SUM(基础资料!$X$5:$X$24)+SUM(F$7:F2769)-SUM(G$7:G2769))</f>
      </c>
      <c r="J2769" s="141" t="n"/>
      <c r="K2769" s="141" t="n"/>
      <c r="L2769" s="141" t="n"/>
      <c r="M2769" s="142" t="n"/>
      <c r="N2769" s="146">
        <f>IF(AND(AND(F2769="",G2769=""),B2769="",C2769="",D2769="",J2769="",K2769="",L2769=""),"",IF(AND(F2769="",G2769=""),"✗ 没填金额",IF(AND(N(F2769)&lt;&gt;0,N(G2769)&lt;&gt;0),"✗ 收入、支出只能填一边",IF(NOT(ISNUMBER(B2769)),"✗ 日期不是真日期（要像 2026/9/25 这样填）",IF(OR(B2769&lt;年初日,B2769&gt;年末日),"✗ 日期不在本会计年度",IF(C2769="","✗ 没选账户",IF(COUNTIF(基础资料!$W$5:$W$24,C2769)=0,"✗ 账户不在基础资料里",IF(O2769="","✗ 没选收支项目",IF(P2769="未知","✗ 收支项目不在基础资料里",IF(AND(P2769="应收",J2769=""),"✗ 这笔要选客户",IF(AND(P2769="应收",COUNTIF(总览汇总!$B$5:$B$304,J2769)=0),"✗ 客户不在总览汇总名单里",IF(AND(P2769="应付",K2769=""),"✗ 这笔要选供应商",IF(AND(P2769="应付",COUNTIF(基础资料!$Q$5:$Q$54,K2769)=0),"✗ 供应商不在基础资料里",IF(AND(P2769="费用",L2769=""),"✗ 费用支出要选费用项目",IF(AND(L2769&lt;&gt;"",COUNTIF(基础资料!$AI$5:$AI$54,L2769)=0),"✗ 费用项目不在基础资料里",IF(AND(IFERROR(INDEX(基础资料!$AD$5:$AD$34,MATCH(O2769,基础资料!$AC$5:$AC$34,0)),"")="收",N(G2769)&lt;&gt;0),"✗ 这类是收款，金额填到收入列",IF(AND(IFERROR(INDEX(基础资料!$AD$5:$AD$34,MATCH(O2769,基础资料!$AC$5:$AC$34,0)),"")="支",N(F2769)&lt;&gt;0),"✗ 这类是付款，金额填到支出列",IF(N(H2769)&lt;0,"⚠ 账户余额成负数了，核对一下","√"))))))))))))))))))</f>
      </c>
      <c r="O2769" s="78">
        <f>IF(D2769&lt;&gt;"",D2769,IF(AND(F2769="",G2769=""),"",IF(J2769&lt;&gt;"",IF(N(F2769)&gt;0,"客户回款","客户退款"),IF(K2769&lt;&gt;"",IF(N(G2769)&gt;0,"供应商付款","供应商退款"),IF(L2769&lt;&gt;"","费用支出","")))))</f>
      </c>
      <c r="P2769" s="78">
        <f>IF(O2769="","",IFERROR(INDEX(基础资料!$AE$5:$AE$34,MATCH(O2769,基础资料!$AC$5:$AC$34,0)),"未知"))</f>
      </c>
      <c r="Q2769" s="78">
        <f>IF(P2769="应收",COUNTIF(P$7:P2769,"应收"),"")</f>
      </c>
      <c r="R2769" s="78">
        <f>IF(P2769="应付",COUNTIF(P$7:P2769,"应付"),"")</f>
      </c>
      <c r="S2769" s="78">
        <f>N(F2769)-N(G2769)</f>
        <v>0</v>
      </c>
    </row>
    <row r="2770">
      <c r="A2770" s="109">
        <f>IF(AND(F2770="",G2770=""),"",ROW()-6)</f>
      </c>
      <c r="B2770" s="140" t="n"/>
      <c r="C2770" s="141" t="n"/>
      <c r="D2770" s="141" t="n"/>
      <c r="E2770" s="142" t="n"/>
      <c r="F2770" s="143" t="n"/>
      <c r="G2770" s="144" t="n"/>
      <c r="H2770" s="145">
        <f>IF(OR(C2770="",AND(F2770="",G2770="")),"",SUMIF(基础资料!$W$5:$W$24,C2770,基础资料!$X$5:$X$24)+SUMIF(C$7:C2770,C2770,F$7:F2770)-SUMIF(C$7:C2770,C2770,G$7:G2770))</f>
      </c>
      <c r="I2770" s="145">
        <f>IF(AND(F2770="",G2770=""),"",SUM(基础资料!$X$5:$X$24)+SUM(F$7:F2770)-SUM(G$7:G2770))</f>
      </c>
      <c r="J2770" s="141" t="n"/>
      <c r="K2770" s="141" t="n"/>
      <c r="L2770" s="141" t="n"/>
      <c r="M2770" s="142" t="n"/>
      <c r="N2770" s="146">
        <f>IF(AND(AND(F2770="",G2770=""),B2770="",C2770="",D2770="",J2770="",K2770="",L2770=""),"",IF(AND(F2770="",G2770=""),"✗ 没填金额",IF(AND(N(F2770)&lt;&gt;0,N(G2770)&lt;&gt;0),"✗ 收入、支出只能填一边",IF(NOT(ISNUMBER(B2770)),"✗ 日期不是真日期（要像 2026/9/25 这样填）",IF(OR(B2770&lt;年初日,B2770&gt;年末日),"✗ 日期不在本会计年度",IF(C2770="","✗ 没选账户",IF(COUNTIF(基础资料!$W$5:$W$24,C2770)=0,"✗ 账户不在基础资料里",IF(O2770="","✗ 没选收支项目",IF(P2770="未知","✗ 收支项目不在基础资料里",IF(AND(P2770="应收",J2770=""),"✗ 这笔要选客户",IF(AND(P2770="应收",COUNTIF(总览汇总!$B$5:$B$304,J2770)=0),"✗ 客户不在总览汇总名单里",IF(AND(P2770="应付",K2770=""),"✗ 这笔要选供应商",IF(AND(P2770="应付",COUNTIF(基础资料!$Q$5:$Q$54,K2770)=0),"✗ 供应商不在基础资料里",IF(AND(P2770="费用",L2770=""),"✗ 费用支出要选费用项目",IF(AND(L2770&lt;&gt;"",COUNTIF(基础资料!$AI$5:$AI$54,L2770)=0),"✗ 费用项目不在基础资料里",IF(AND(IFERROR(INDEX(基础资料!$AD$5:$AD$34,MATCH(O2770,基础资料!$AC$5:$AC$34,0)),"")="收",N(G2770)&lt;&gt;0),"✗ 这类是收款，金额填到收入列",IF(AND(IFERROR(INDEX(基础资料!$AD$5:$AD$34,MATCH(O2770,基础资料!$AC$5:$AC$34,0)),"")="支",N(F2770)&lt;&gt;0),"✗ 这类是付款，金额填到支出列",IF(N(H2770)&lt;0,"⚠ 账户余额成负数了，核对一下","√"))))))))))))))))))</f>
      </c>
      <c r="O2770" s="78">
        <f>IF(D2770&lt;&gt;"",D2770,IF(AND(F2770="",G2770=""),"",IF(J2770&lt;&gt;"",IF(N(F2770)&gt;0,"客户回款","客户退款"),IF(K2770&lt;&gt;"",IF(N(G2770)&gt;0,"供应商付款","供应商退款"),IF(L2770&lt;&gt;"","费用支出","")))))</f>
      </c>
      <c r="P2770" s="78">
        <f>IF(O2770="","",IFERROR(INDEX(基础资料!$AE$5:$AE$34,MATCH(O2770,基础资料!$AC$5:$AC$34,0)),"未知"))</f>
      </c>
      <c r="Q2770" s="78">
        <f>IF(P2770="应收",COUNTIF(P$7:P2770,"应收"),"")</f>
      </c>
      <c r="R2770" s="78">
        <f>IF(P2770="应付",COUNTIF(P$7:P2770,"应付"),"")</f>
      </c>
      <c r="S2770" s="78">
        <f>N(F2770)-N(G2770)</f>
        <v>0</v>
      </c>
    </row>
    <row r="2771">
      <c r="A2771" s="109">
        <f>IF(AND(F2771="",G2771=""),"",ROW()-6)</f>
      </c>
      <c r="B2771" s="140" t="n"/>
      <c r="C2771" s="141" t="n"/>
      <c r="D2771" s="141" t="n"/>
      <c r="E2771" s="142" t="n"/>
      <c r="F2771" s="143" t="n"/>
      <c r="G2771" s="144" t="n"/>
      <c r="H2771" s="145">
        <f>IF(OR(C2771="",AND(F2771="",G2771="")),"",SUMIF(基础资料!$W$5:$W$24,C2771,基础资料!$X$5:$X$24)+SUMIF(C$7:C2771,C2771,F$7:F2771)-SUMIF(C$7:C2771,C2771,G$7:G2771))</f>
      </c>
      <c r="I2771" s="145">
        <f>IF(AND(F2771="",G2771=""),"",SUM(基础资料!$X$5:$X$24)+SUM(F$7:F2771)-SUM(G$7:G2771))</f>
      </c>
      <c r="J2771" s="141" t="n"/>
      <c r="K2771" s="141" t="n"/>
      <c r="L2771" s="141" t="n"/>
      <c r="M2771" s="142" t="n"/>
      <c r="N2771" s="146">
        <f>IF(AND(AND(F2771="",G2771=""),B2771="",C2771="",D2771="",J2771="",K2771="",L2771=""),"",IF(AND(F2771="",G2771=""),"✗ 没填金额",IF(AND(N(F2771)&lt;&gt;0,N(G2771)&lt;&gt;0),"✗ 收入、支出只能填一边",IF(NOT(ISNUMBER(B2771)),"✗ 日期不是真日期（要像 2026/9/25 这样填）",IF(OR(B2771&lt;年初日,B2771&gt;年末日),"✗ 日期不在本会计年度",IF(C2771="","✗ 没选账户",IF(COUNTIF(基础资料!$W$5:$W$24,C2771)=0,"✗ 账户不在基础资料里",IF(O2771="","✗ 没选收支项目",IF(P2771="未知","✗ 收支项目不在基础资料里",IF(AND(P2771="应收",J2771=""),"✗ 这笔要选客户",IF(AND(P2771="应收",COUNTIF(总览汇总!$B$5:$B$304,J2771)=0),"✗ 客户不在总览汇总名单里",IF(AND(P2771="应付",K2771=""),"✗ 这笔要选供应商",IF(AND(P2771="应付",COUNTIF(基础资料!$Q$5:$Q$54,K2771)=0),"✗ 供应商不在基础资料里",IF(AND(P2771="费用",L2771=""),"✗ 费用支出要选费用项目",IF(AND(L2771&lt;&gt;"",COUNTIF(基础资料!$AI$5:$AI$54,L2771)=0),"✗ 费用项目不在基础资料里",IF(AND(IFERROR(INDEX(基础资料!$AD$5:$AD$34,MATCH(O2771,基础资料!$AC$5:$AC$34,0)),"")="收",N(G2771)&lt;&gt;0),"✗ 这类是收款，金额填到收入列",IF(AND(IFERROR(INDEX(基础资料!$AD$5:$AD$34,MATCH(O2771,基础资料!$AC$5:$AC$34,0)),"")="支",N(F2771)&lt;&gt;0),"✗ 这类是付款，金额填到支出列",IF(N(H2771)&lt;0,"⚠ 账户余额成负数了，核对一下","√"))))))))))))))))))</f>
      </c>
      <c r="O2771" s="78">
        <f>IF(D2771&lt;&gt;"",D2771,IF(AND(F2771="",G2771=""),"",IF(J2771&lt;&gt;"",IF(N(F2771)&gt;0,"客户回款","客户退款"),IF(K2771&lt;&gt;"",IF(N(G2771)&gt;0,"供应商付款","供应商退款"),IF(L2771&lt;&gt;"","费用支出","")))))</f>
      </c>
      <c r="P2771" s="78">
        <f>IF(O2771="","",IFERROR(INDEX(基础资料!$AE$5:$AE$34,MATCH(O2771,基础资料!$AC$5:$AC$34,0)),"未知"))</f>
      </c>
      <c r="Q2771" s="78">
        <f>IF(P2771="应收",COUNTIF(P$7:P2771,"应收"),"")</f>
      </c>
      <c r="R2771" s="78">
        <f>IF(P2771="应付",COUNTIF(P$7:P2771,"应付"),"")</f>
      </c>
      <c r="S2771" s="78">
        <f>N(F2771)-N(G2771)</f>
        <v>0</v>
      </c>
    </row>
    <row r="2772">
      <c r="A2772" s="109">
        <f>IF(AND(F2772="",G2772=""),"",ROW()-6)</f>
      </c>
      <c r="B2772" s="140" t="n"/>
      <c r="C2772" s="141" t="n"/>
      <c r="D2772" s="141" t="n"/>
      <c r="E2772" s="142" t="n"/>
      <c r="F2772" s="143" t="n"/>
      <c r="G2772" s="144" t="n"/>
      <c r="H2772" s="145">
        <f>IF(OR(C2772="",AND(F2772="",G2772="")),"",SUMIF(基础资料!$W$5:$W$24,C2772,基础资料!$X$5:$X$24)+SUMIF(C$7:C2772,C2772,F$7:F2772)-SUMIF(C$7:C2772,C2772,G$7:G2772))</f>
      </c>
      <c r="I2772" s="145">
        <f>IF(AND(F2772="",G2772=""),"",SUM(基础资料!$X$5:$X$24)+SUM(F$7:F2772)-SUM(G$7:G2772))</f>
      </c>
      <c r="J2772" s="141" t="n"/>
      <c r="K2772" s="141" t="n"/>
      <c r="L2772" s="141" t="n"/>
      <c r="M2772" s="142" t="n"/>
      <c r="N2772" s="146">
        <f>IF(AND(AND(F2772="",G2772=""),B2772="",C2772="",D2772="",J2772="",K2772="",L2772=""),"",IF(AND(F2772="",G2772=""),"✗ 没填金额",IF(AND(N(F2772)&lt;&gt;0,N(G2772)&lt;&gt;0),"✗ 收入、支出只能填一边",IF(NOT(ISNUMBER(B2772)),"✗ 日期不是真日期（要像 2026/9/25 这样填）",IF(OR(B2772&lt;年初日,B2772&gt;年末日),"✗ 日期不在本会计年度",IF(C2772="","✗ 没选账户",IF(COUNTIF(基础资料!$W$5:$W$24,C2772)=0,"✗ 账户不在基础资料里",IF(O2772="","✗ 没选收支项目",IF(P2772="未知","✗ 收支项目不在基础资料里",IF(AND(P2772="应收",J2772=""),"✗ 这笔要选客户",IF(AND(P2772="应收",COUNTIF(总览汇总!$B$5:$B$304,J2772)=0),"✗ 客户不在总览汇总名单里",IF(AND(P2772="应付",K2772=""),"✗ 这笔要选供应商",IF(AND(P2772="应付",COUNTIF(基础资料!$Q$5:$Q$54,K2772)=0),"✗ 供应商不在基础资料里",IF(AND(P2772="费用",L2772=""),"✗ 费用支出要选费用项目",IF(AND(L2772&lt;&gt;"",COUNTIF(基础资料!$AI$5:$AI$54,L2772)=0),"✗ 费用项目不在基础资料里",IF(AND(IFERROR(INDEX(基础资料!$AD$5:$AD$34,MATCH(O2772,基础资料!$AC$5:$AC$34,0)),"")="收",N(G2772)&lt;&gt;0),"✗ 这类是收款，金额填到收入列",IF(AND(IFERROR(INDEX(基础资料!$AD$5:$AD$34,MATCH(O2772,基础资料!$AC$5:$AC$34,0)),"")="支",N(F2772)&lt;&gt;0),"✗ 这类是付款，金额填到支出列",IF(N(H2772)&lt;0,"⚠ 账户余额成负数了，核对一下","√"))))))))))))))))))</f>
      </c>
      <c r="O2772" s="78">
        <f>IF(D2772&lt;&gt;"",D2772,IF(AND(F2772="",G2772=""),"",IF(J2772&lt;&gt;"",IF(N(F2772)&gt;0,"客户回款","客户退款"),IF(K2772&lt;&gt;"",IF(N(G2772)&gt;0,"供应商付款","供应商退款"),IF(L2772&lt;&gt;"","费用支出","")))))</f>
      </c>
      <c r="P2772" s="78">
        <f>IF(O2772="","",IFERROR(INDEX(基础资料!$AE$5:$AE$34,MATCH(O2772,基础资料!$AC$5:$AC$34,0)),"未知"))</f>
      </c>
      <c r="Q2772" s="78">
        <f>IF(P2772="应收",COUNTIF(P$7:P2772,"应收"),"")</f>
      </c>
      <c r="R2772" s="78">
        <f>IF(P2772="应付",COUNTIF(P$7:P2772,"应付"),"")</f>
      </c>
      <c r="S2772" s="78">
        <f>N(F2772)-N(G2772)</f>
        <v>0</v>
      </c>
    </row>
    <row r="2773">
      <c r="A2773" s="109">
        <f>IF(AND(F2773="",G2773=""),"",ROW()-6)</f>
      </c>
      <c r="B2773" s="140" t="n"/>
      <c r="C2773" s="141" t="n"/>
      <c r="D2773" s="141" t="n"/>
      <c r="E2773" s="142" t="n"/>
      <c r="F2773" s="143" t="n"/>
      <c r="G2773" s="144" t="n"/>
      <c r="H2773" s="145">
        <f>IF(OR(C2773="",AND(F2773="",G2773="")),"",SUMIF(基础资料!$W$5:$W$24,C2773,基础资料!$X$5:$X$24)+SUMIF(C$7:C2773,C2773,F$7:F2773)-SUMIF(C$7:C2773,C2773,G$7:G2773))</f>
      </c>
      <c r="I2773" s="145">
        <f>IF(AND(F2773="",G2773=""),"",SUM(基础资料!$X$5:$X$24)+SUM(F$7:F2773)-SUM(G$7:G2773))</f>
      </c>
      <c r="J2773" s="141" t="n"/>
      <c r="K2773" s="141" t="n"/>
      <c r="L2773" s="141" t="n"/>
      <c r="M2773" s="142" t="n"/>
      <c r="N2773" s="146">
        <f>IF(AND(AND(F2773="",G2773=""),B2773="",C2773="",D2773="",J2773="",K2773="",L2773=""),"",IF(AND(F2773="",G2773=""),"✗ 没填金额",IF(AND(N(F2773)&lt;&gt;0,N(G2773)&lt;&gt;0),"✗ 收入、支出只能填一边",IF(NOT(ISNUMBER(B2773)),"✗ 日期不是真日期（要像 2026/9/25 这样填）",IF(OR(B2773&lt;年初日,B2773&gt;年末日),"✗ 日期不在本会计年度",IF(C2773="","✗ 没选账户",IF(COUNTIF(基础资料!$W$5:$W$24,C2773)=0,"✗ 账户不在基础资料里",IF(O2773="","✗ 没选收支项目",IF(P2773="未知","✗ 收支项目不在基础资料里",IF(AND(P2773="应收",J2773=""),"✗ 这笔要选客户",IF(AND(P2773="应收",COUNTIF(总览汇总!$B$5:$B$304,J2773)=0),"✗ 客户不在总览汇总名单里",IF(AND(P2773="应付",K2773=""),"✗ 这笔要选供应商",IF(AND(P2773="应付",COUNTIF(基础资料!$Q$5:$Q$54,K2773)=0),"✗ 供应商不在基础资料里",IF(AND(P2773="费用",L2773=""),"✗ 费用支出要选费用项目",IF(AND(L2773&lt;&gt;"",COUNTIF(基础资料!$AI$5:$AI$54,L2773)=0),"✗ 费用项目不在基础资料里",IF(AND(IFERROR(INDEX(基础资料!$AD$5:$AD$34,MATCH(O2773,基础资料!$AC$5:$AC$34,0)),"")="收",N(G2773)&lt;&gt;0),"✗ 这类是收款，金额填到收入列",IF(AND(IFERROR(INDEX(基础资料!$AD$5:$AD$34,MATCH(O2773,基础资料!$AC$5:$AC$34,0)),"")="支",N(F2773)&lt;&gt;0),"✗ 这类是付款，金额填到支出列",IF(N(H2773)&lt;0,"⚠ 账户余额成负数了，核对一下","√"))))))))))))))))))</f>
      </c>
      <c r="O2773" s="78">
        <f>IF(D2773&lt;&gt;"",D2773,IF(AND(F2773="",G2773=""),"",IF(J2773&lt;&gt;"",IF(N(F2773)&gt;0,"客户回款","客户退款"),IF(K2773&lt;&gt;"",IF(N(G2773)&gt;0,"供应商付款","供应商退款"),IF(L2773&lt;&gt;"","费用支出","")))))</f>
      </c>
      <c r="P2773" s="78">
        <f>IF(O2773="","",IFERROR(INDEX(基础资料!$AE$5:$AE$34,MATCH(O2773,基础资料!$AC$5:$AC$34,0)),"未知"))</f>
      </c>
      <c r="Q2773" s="78">
        <f>IF(P2773="应收",COUNTIF(P$7:P2773,"应收"),"")</f>
      </c>
      <c r="R2773" s="78">
        <f>IF(P2773="应付",COUNTIF(P$7:P2773,"应付"),"")</f>
      </c>
      <c r="S2773" s="78">
        <f>N(F2773)-N(G2773)</f>
        <v>0</v>
      </c>
    </row>
    <row r="2774">
      <c r="A2774" s="109">
        <f>IF(AND(F2774="",G2774=""),"",ROW()-6)</f>
      </c>
      <c r="B2774" s="140" t="n"/>
      <c r="C2774" s="141" t="n"/>
      <c r="D2774" s="141" t="n"/>
      <c r="E2774" s="142" t="n"/>
      <c r="F2774" s="143" t="n"/>
      <c r="G2774" s="144" t="n"/>
      <c r="H2774" s="145">
        <f>IF(OR(C2774="",AND(F2774="",G2774="")),"",SUMIF(基础资料!$W$5:$W$24,C2774,基础资料!$X$5:$X$24)+SUMIF(C$7:C2774,C2774,F$7:F2774)-SUMIF(C$7:C2774,C2774,G$7:G2774))</f>
      </c>
      <c r="I2774" s="145">
        <f>IF(AND(F2774="",G2774=""),"",SUM(基础资料!$X$5:$X$24)+SUM(F$7:F2774)-SUM(G$7:G2774))</f>
      </c>
      <c r="J2774" s="141" t="n"/>
      <c r="K2774" s="141" t="n"/>
      <c r="L2774" s="141" t="n"/>
      <c r="M2774" s="142" t="n"/>
      <c r="N2774" s="146">
        <f>IF(AND(AND(F2774="",G2774=""),B2774="",C2774="",D2774="",J2774="",K2774="",L2774=""),"",IF(AND(F2774="",G2774=""),"✗ 没填金额",IF(AND(N(F2774)&lt;&gt;0,N(G2774)&lt;&gt;0),"✗ 收入、支出只能填一边",IF(NOT(ISNUMBER(B2774)),"✗ 日期不是真日期（要像 2026/9/25 这样填）",IF(OR(B2774&lt;年初日,B2774&gt;年末日),"✗ 日期不在本会计年度",IF(C2774="","✗ 没选账户",IF(COUNTIF(基础资料!$W$5:$W$24,C2774)=0,"✗ 账户不在基础资料里",IF(O2774="","✗ 没选收支项目",IF(P2774="未知","✗ 收支项目不在基础资料里",IF(AND(P2774="应收",J2774=""),"✗ 这笔要选客户",IF(AND(P2774="应收",COUNTIF(总览汇总!$B$5:$B$304,J2774)=0),"✗ 客户不在总览汇总名单里",IF(AND(P2774="应付",K2774=""),"✗ 这笔要选供应商",IF(AND(P2774="应付",COUNTIF(基础资料!$Q$5:$Q$54,K2774)=0),"✗ 供应商不在基础资料里",IF(AND(P2774="费用",L2774=""),"✗ 费用支出要选费用项目",IF(AND(L2774&lt;&gt;"",COUNTIF(基础资料!$AI$5:$AI$54,L2774)=0),"✗ 费用项目不在基础资料里",IF(AND(IFERROR(INDEX(基础资料!$AD$5:$AD$34,MATCH(O2774,基础资料!$AC$5:$AC$34,0)),"")="收",N(G2774)&lt;&gt;0),"✗ 这类是收款，金额填到收入列",IF(AND(IFERROR(INDEX(基础资料!$AD$5:$AD$34,MATCH(O2774,基础资料!$AC$5:$AC$34,0)),"")="支",N(F2774)&lt;&gt;0),"✗ 这类是付款，金额填到支出列",IF(N(H2774)&lt;0,"⚠ 账户余额成负数了，核对一下","√"))))))))))))))))))</f>
      </c>
      <c r="O2774" s="78">
        <f>IF(D2774&lt;&gt;"",D2774,IF(AND(F2774="",G2774=""),"",IF(J2774&lt;&gt;"",IF(N(F2774)&gt;0,"客户回款","客户退款"),IF(K2774&lt;&gt;"",IF(N(G2774)&gt;0,"供应商付款","供应商退款"),IF(L2774&lt;&gt;"","费用支出","")))))</f>
      </c>
      <c r="P2774" s="78">
        <f>IF(O2774="","",IFERROR(INDEX(基础资料!$AE$5:$AE$34,MATCH(O2774,基础资料!$AC$5:$AC$34,0)),"未知"))</f>
      </c>
      <c r="Q2774" s="78">
        <f>IF(P2774="应收",COUNTIF(P$7:P2774,"应收"),"")</f>
      </c>
      <c r="R2774" s="78">
        <f>IF(P2774="应付",COUNTIF(P$7:P2774,"应付"),"")</f>
      </c>
      <c r="S2774" s="78">
        <f>N(F2774)-N(G2774)</f>
        <v>0</v>
      </c>
    </row>
    <row r="2775">
      <c r="A2775" s="109">
        <f>IF(AND(F2775="",G2775=""),"",ROW()-6)</f>
      </c>
      <c r="B2775" s="140" t="n"/>
      <c r="C2775" s="141" t="n"/>
      <c r="D2775" s="141" t="n"/>
      <c r="E2775" s="142" t="n"/>
      <c r="F2775" s="143" t="n"/>
      <c r="G2775" s="144" t="n"/>
      <c r="H2775" s="145">
        <f>IF(OR(C2775="",AND(F2775="",G2775="")),"",SUMIF(基础资料!$W$5:$W$24,C2775,基础资料!$X$5:$X$24)+SUMIF(C$7:C2775,C2775,F$7:F2775)-SUMIF(C$7:C2775,C2775,G$7:G2775))</f>
      </c>
      <c r="I2775" s="145">
        <f>IF(AND(F2775="",G2775=""),"",SUM(基础资料!$X$5:$X$24)+SUM(F$7:F2775)-SUM(G$7:G2775))</f>
      </c>
      <c r="J2775" s="141" t="n"/>
      <c r="K2775" s="141" t="n"/>
      <c r="L2775" s="141" t="n"/>
      <c r="M2775" s="142" t="n"/>
      <c r="N2775" s="146">
        <f>IF(AND(AND(F2775="",G2775=""),B2775="",C2775="",D2775="",J2775="",K2775="",L2775=""),"",IF(AND(F2775="",G2775=""),"✗ 没填金额",IF(AND(N(F2775)&lt;&gt;0,N(G2775)&lt;&gt;0),"✗ 收入、支出只能填一边",IF(NOT(ISNUMBER(B2775)),"✗ 日期不是真日期（要像 2026/9/25 这样填）",IF(OR(B2775&lt;年初日,B2775&gt;年末日),"✗ 日期不在本会计年度",IF(C2775="","✗ 没选账户",IF(COUNTIF(基础资料!$W$5:$W$24,C2775)=0,"✗ 账户不在基础资料里",IF(O2775="","✗ 没选收支项目",IF(P2775="未知","✗ 收支项目不在基础资料里",IF(AND(P2775="应收",J2775=""),"✗ 这笔要选客户",IF(AND(P2775="应收",COUNTIF(总览汇总!$B$5:$B$304,J2775)=0),"✗ 客户不在总览汇总名单里",IF(AND(P2775="应付",K2775=""),"✗ 这笔要选供应商",IF(AND(P2775="应付",COUNTIF(基础资料!$Q$5:$Q$54,K2775)=0),"✗ 供应商不在基础资料里",IF(AND(P2775="费用",L2775=""),"✗ 费用支出要选费用项目",IF(AND(L2775&lt;&gt;"",COUNTIF(基础资料!$AI$5:$AI$54,L2775)=0),"✗ 费用项目不在基础资料里",IF(AND(IFERROR(INDEX(基础资料!$AD$5:$AD$34,MATCH(O2775,基础资料!$AC$5:$AC$34,0)),"")="收",N(G2775)&lt;&gt;0),"✗ 这类是收款，金额填到收入列",IF(AND(IFERROR(INDEX(基础资料!$AD$5:$AD$34,MATCH(O2775,基础资料!$AC$5:$AC$34,0)),"")="支",N(F2775)&lt;&gt;0),"✗ 这类是付款，金额填到支出列",IF(N(H2775)&lt;0,"⚠ 账户余额成负数了，核对一下","√"))))))))))))))))))</f>
      </c>
      <c r="O2775" s="78">
        <f>IF(D2775&lt;&gt;"",D2775,IF(AND(F2775="",G2775=""),"",IF(J2775&lt;&gt;"",IF(N(F2775)&gt;0,"客户回款","客户退款"),IF(K2775&lt;&gt;"",IF(N(G2775)&gt;0,"供应商付款","供应商退款"),IF(L2775&lt;&gt;"","费用支出","")))))</f>
      </c>
      <c r="P2775" s="78">
        <f>IF(O2775="","",IFERROR(INDEX(基础资料!$AE$5:$AE$34,MATCH(O2775,基础资料!$AC$5:$AC$34,0)),"未知"))</f>
      </c>
      <c r="Q2775" s="78">
        <f>IF(P2775="应收",COUNTIF(P$7:P2775,"应收"),"")</f>
      </c>
      <c r="R2775" s="78">
        <f>IF(P2775="应付",COUNTIF(P$7:P2775,"应付"),"")</f>
      </c>
      <c r="S2775" s="78">
        <f>N(F2775)-N(G2775)</f>
        <v>0</v>
      </c>
    </row>
    <row r="2776">
      <c r="A2776" s="109">
        <f>IF(AND(F2776="",G2776=""),"",ROW()-6)</f>
      </c>
      <c r="B2776" s="140" t="n"/>
      <c r="C2776" s="141" t="n"/>
      <c r="D2776" s="141" t="n"/>
      <c r="E2776" s="142" t="n"/>
      <c r="F2776" s="143" t="n"/>
      <c r="G2776" s="144" t="n"/>
      <c r="H2776" s="145">
        <f>IF(OR(C2776="",AND(F2776="",G2776="")),"",SUMIF(基础资料!$W$5:$W$24,C2776,基础资料!$X$5:$X$24)+SUMIF(C$7:C2776,C2776,F$7:F2776)-SUMIF(C$7:C2776,C2776,G$7:G2776))</f>
      </c>
      <c r="I2776" s="145">
        <f>IF(AND(F2776="",G2776=""),"",SUM(基础资料!$X$5:$X$24)+SUM(F$7:F2776)-SUM(G$7:G2776))</f>
      </c>
      <c r="J2776" s="141" t="n"/>
      <c r="K2776" s="141" t="n"/>
      <c r="L2776" s="141" t="n"/>
      <c r="M2776" s="142" t="n"/>
      <c r="N2776" s="146">
        <f>IF(AND(AND(F2776="",G2776=""),B2776="",C2776="",D2776="",J2776="",K2776="",L2776=""),"",IF(AND(F2776="",G2776=""),"✗ 没填金额",IF(AND(N(F2776)&lt;&gt;0,N(G2776)&lt;&gt;0),"✗ 收入、支出只能填一边",IF(NOT(ISNUMBER(B2776)),"✗ 日期不是真日期（要像 2026/9/25 这样填）",IF(OR(B2776&lt;年初日,B2776&gt;年末日),"✗ 日期不在本会计年度",IF(C2776="","✗ 没选账户",IF(COUNTIF(基础资料!$W$5:$W$24,C2776)=0,"✗ 账户不在基础资料里",IF(O2776="","✗ 没选收支项目",IF(P2776="未知","✗ 收支项目不在基础资料里",IF(AND(P2776="应收",J2776=""),"✗ 这笔要选客户",IF(AND(P2776="应收",COUNTIF(总览汇总!$B$5:$B$304,J2776)=0),"✗ 客户不在总览汇总名单里",IF(AND(P2776="应付",K2776=""),"✗ 这笔要选供应商",IF(AND(P2776="应付",COUNTIF(基础资料!$Q$5:$Q$54,K2776)=0),"✗ 供应商不在基础资料里",IF(AND(P2776="费用",L2776=""),"✗ 费用支出要选费用项目",IF(AND(L2776&lt;&gt;"",COUNTIF(基础资料!$AI$5:$AI$54,L2776)=0),"✗ 费用项目不在基础资料里",IF(AND(IFERROR(INDEX(基础资料!$AD$5:$AD$34,MATCH(O2776,基础资料!$AC$5:$AC$34,0)),"")="收",N(G2776)&lt;&gt;0),"✗ 这类是收款，金额填到收入列",IF(AND(IFERROR(INDEX(基础资料!$AD$5:$AD$34,MATCH(O2776,基础资料!$AC$5:$AC$34,0)),"")="支",N(F2776)&lt;&gt;0),"✗ 这类是付款，金额填到支出列",IF(N(H2776)&lt;0,"⚠ 账户余额成负数了，核对一下","√"))))))))))))))))))</f>
      </c>
      <c r="O2776" s="78">
        <f>IF(D2776&lt;&gt;"",D2776,IF(AND(F2776="",G2776=""),"",IF(J2776&lt;&gt;"",IF(N(F2776)&gt;0,"客户回款","客户退款"),IF(K2776&lt;&gt;"",IF(N(G2776)&gt;0,"供应商付款","供应商退款"),IF(L2776&lt;&gt;"","费用支出","")))))</f>
      </c>
      <c r="P2776" s="78">
        <f>IF(O2776="","",IFERROR(INDEX(基础资料!$AE$5:$AE$34,MATCH(O2776,基础资料!$AC$5:$AC$34,0)),"未知"))</f>
      </c>
      <c r="Q2776" s="78">
        <f>IF(P2776="应收",COUNTIF(P$7:P2776,"应收"),"")</f>
      </c>
      <c r="R2776" s="78">
        <f>IF(P2776="应付",COUNTIF(P$7:P2776,"应付"),"")</f>
      </c>
      <c r="S2776" s="78">
        <f>N(F2776)-N(G2776)</f>
        <v>0</v>
      </c>
    </row>
    <row r="2777">
      <c r="A2777" s="109">
        <f>IF(AND(F2777="",G2777=""),"",ROW()-6)</f>
      </c>
      <c r="B2777" s="140" t="n"/>
      <c r="C2777" s="141" t="n"/>
      <c r="D2777" s="141" t="n"/>
      <c r="E2777" s="142" t="n"/>
      <c r="F2777" s="143" t="n"/>
      <c r="G2777" s="144" t="n"/>
      <c r="H2777" s="145">
        <f>IF(OR(C2777="",AND(F2777="",G2777="")),"",SUMIF(基础资料!$W$5:$W$24,C2777,基础资料!$X$5:$X$24)+SUMIF(C$7:C2777,C2777,F$7:F2777)-SUMIF(C$7:C2777,C2777,G$7:G2777))</f>
      </c>
      <c r="I2777" s="145">
        <f>IF(AND(F2777="",G2777=""),"",SUM(基础资料!$X$5:$X$24)+SUM(F$7:F2777)-SUM(G$7:G2777))</f>
      </c>
      <c r="J2777" s="141" t="n"/>
      <c r="K2777" s="141" t="n"/>
      <c r="L2777" s="141" t="n"/>
      <c r="M2777" s="142" t="n"/>
      <c r="N2777" s="146">
        <f>IF(AND(AND(F2777="",G2777=""),B2777="",C2777="",D2777="",J2777="",K2777="",L2777=""),"",IF(AND(F2777="",G2777=""),"✗ 没填金额",IF(AND(N(F2777)&lt;&gt;0,N(G2777)&lt;&gt;0),"✗ 收入、支出只能填一边",IF(NOT(ISNUMBER(B2777)),"✗ 日期不是真日期（要像 2026/9/25 这样填）",IF(OR(B2777&lt;年初日,B2777&gt;年末日),"✗ 日期不在本会计年度",IF(C2777="","✗ 没选账户",IF(COUNTIF(基础资料!$W$5:$W$24,C2777)=0,"✗ 账户不在基础资料里",IF(O2777="","✗ 没选收支项目",IF(P2777="未知","✗ 收支项目不在基础资料里",IF(AND(P2777="应收",J2777=""),"✗ 这笔要选客户",IF(AND(P2777="应收",COUNTIF(总览汇总!$B$5:$B$304,J2777)=0),"✗ 客户不在总览汇总名单里",IF(AND(P2777="应付",K2777=""),"✗ 这笔要选供应商",IF(AND(P2777="应付",COUNTIF(基础资料!$Q$5:$Q$54,K2777)=0),"✗ 供应商不在基础资料里",IF(AND(P2777="费用",L2777=""),"✗ 费用支出要选费用项目",IF(AND(L2777&lt;&gt;"",COUNTIF(基础资料!$AI$5:$AI$54,L2777)=0),"✗ 费用项目不在基础资料里",IF(AND(IFERROR(INDEX(基础资料!$AD$5:$AD$34,MATCH(O2777,基础资料!$AC$5:$AC$34,0)),"")="收",N(G2777)&lt;&gt;0),"✗ 这类是收款，金额填到收入列",IF(AND(IFERROR(INDEX(基础资料!$AD$5:$AD$34,MATCH(O2777,基础资料!$AC$5:$AC$34,0)),"")="支",N(F2777)&lt;&gt;0),"✗ 这类是付款，金额填到支出列",IF(N(H2777)&lt;0,"⚠ 账户余额成负数了，核对一下","√"))))))))))))))))))</f>
      </c>
      <c r="O2777" s="78">
        <f>IF(D2777&lt;&gt;"",D2777,IF(AND(F2777="",G2777=""),"",IF(J2777&lt;&gt;"",IF(N(F2777)&gt;0,"客户回款","客户退款"),IF(K2777&lt;&gt;"",IF(N(G2777)&gt;0,"供应商付款","供应商退款"),IF(L2777&lt;&gt;"","费用支出","")))))</f>
      </c>
      <c r="P2777" s="78">
        <f>IF(O2777="","",IFERROR(INDEX(基础资料!$AE$5:$AE$34,MATCH(O2777,基础资料!$AC$5:$AC$34,0)),"未知"))</f>
      </c>
      <c r="Q2777" s="78">
        <f>IF(P2777="应收",COUNTIF(P$7:P2777,"应收"),"")</f>
      </c>
      <c r="R2777" s="78">
        <f>IF(P2777="应付",COUNTIF(P$7:P2777,"应付"),"")</f>
      </c>
      <c r="S2777" s="78">
        <f>N(F2777)-N(G2777)</f>
        <v>0</v>
      </c>
    </row>
    <row r="2778">
      <c r="A2778" s="109">
        <f>IF(AND(F2778="",G2778=""),"",ROW()-6)</f>
      </c>
      <c r="B2778" s="140" t="n"/>
      <c r="C2778" s="141" t="n"/>
      <c r="D2778" s="141" t="n"/>
      <c r="E2778" s="142" t="n"/>
      <c r="F2778" s="143" t="n"/>
      <c r="G2778" s="144" t="n"/>
      <c r="H2778" s="145">
        <f>IF(OR(C2778="",AND(F2778="",G2778="")),"",SUMIF(基础资料!$W$5:$W$24,C2778,基础资料!$X$5:$X$24)+SUMIF(C$7:C2778,C2778,F$7:F2778)-SUMIF(C$7:C2778,C2778,G$7:G2778))</f>
      </c>
      <c r="I2778" s="145">
        <f>IF(AND(F2778="",G2778=""),"",SUM(基础资料!$X$5:$X$24)+SUM(F$7:F2778)-SUM(G$7:G2778))</f>
      </c>
      <c r="J2778" s="141" t="n"/>
      <c r="K2778" s="141" t="n"/>
      <c r="L2778" s="141" t="n"/>
      <c r="M2778" s="142" t="n"/>
      <c r="N2778" s="146">
        <f>IF(AND(AND(F2778="",G2778=""),B2778="",C2778="",D2778="",J2778="",K2778="",L2778=""),"",IF(AND(F2778="",G2778=""),"✗ 没填金额",IF(AND(N(F2778)&lt;&gt;0,N(G2778)&lt;&gt;0),"✗ 收入、支出只能填一边",IF(NOT(ISNUMBER(B2778)),"✗ 日期不是真日期（要像 2026/9/25 这样填）",IF(OR(B2778&lt;年初日,B2778&gt;年末日),"✗ 日期不在本会计年度",IF(C2778="","✗ 没选账户",IF(COUNTIF(基础资料!$W$5:$W$24,C2778)=0,"✗ 账户不在基础资料里",IF(O2778="","✗ 没选收支项目",IF(P2778="未知","✗ 收支项目不在基础资料里",IF(AND(P2778="应收",J2778=""),"✗ 这笔要选客户",IF(AND(P2778="应收",COUNTIF(总览汇总!$B$5:$B$304,J2778)=0),"✗ 客户不在总览汇总名单里",IF(AND(P2778="应付",K2778=""),"✗ 这笔要选供应商",IF(AND(P2778="应付",COUNTIF(基础资料!$Q$5:$Q$54,K2778)=0),"✗ 供应商不在基础资料里",IF(AND(P2778="费用",L2778=""),"✗ 费用支出要选费用项目",IF(AND(L2778&lt;&gt;"",COUNTIF(基础资料!$AI$5:$AI$54,L2778)=0),"✗ 费用项目不在基础资料里",IF(AND(IFERROR(INDEX(基础资料!$AD$5:$AD$34,MATCH(O2778,基础资料!$AC$5:$AC$34,0)),"")="收",N(G2778)&lt;&gt;0),"✗ 这类是收款，金额填到收入列",IF(AND(IFERROR(INDEX(基础资料!$AD$5:$AD$34,MATCH(O2778,基础资料!$AC$5:$AC$34,0)),"")="支",N(F2778)&lt;&gt;0),"✗ 这类是付款，金额填到支出列",IF(N(H2778)&lt;0,"⚠ 账户余额成负数了，核对一下","√"))))))))))))))))))</f>
      </c>
      <c r="O2778" s="78">
        <f>IF(D2778&lt;&gt;"",D2778,IF(AND(F2778="",G2778=""),"",IF(J2778&lt;&gt;"",IF(N(F2778)&gt;0,"客户回款","客户退款"),IF(K2778&lt;&gt;"",IF(N(G2778)&gt;0,"供应商付款","供应商退款"),IF(L2778&lt;&gt;"","费用支出","")))))</f>
      </c>
      <c r="P2778" s="78">
        <f>IF(O2778="","",IFERROR(INDEX(基础资料!$AE$5:$AE$34,MATCH(O2778,基础资料!$AC$5:$AC$34,0)),"未知"))</f>
      </c>
      <c r="Q2778" s="78">
        <f>IF(P2778="应收",COUNTIF(P$7:P2778,"应收"),"")</f>
      </c>
      <c r="R2778" s="78">
        <f>IF(P2778="应付",COUNTIF(P$7:P2778,"应付"),"")</f>
      </c>
      <c r="S2778" s="78">
        <f>N(F2778)-N(G2778)</f>
        <v>0</v>
      </c>
    </row>
    <row r="2779">
      <c r="A2779" s="109">
        <f>IF(AND(F2779="",G2779=""),"",ROW()-6)</f>
      </c>
      <c r="B2779" s="140" t="n"/>
      <c r="C2779" s="141" t="n"/>
      <c r="D2779" s="141" t="n"/>
      <c r="E2779" s="142" t="n"/>
      <c r="F2779" s="143" t="n"/>
      <c r="G2779" s="144" t="n"/>
      <c r="H2779" s="145">
        <f>IF(OR(C2779="",AND(F2779="",G2779="")),"",SUMIF(基础资料!$W$5:$W$24,C2779,基础资料!$X$5:$X$24)+SUMIF(C$7:C2779,C2779,F$7:F2779)-SUMIF(C$7:C2779,C2779,G$7:G2779))</f>
      </c>
      <c r="I2779" s="145">
        <f>IF(AND(F2779="",G2779=""),"",SUM(基础资料!$X$5:$X$24)+SUM(F$7:F2779)-SUM(G$7:G2779))</f>
      </c>
      <c r="J2779" s="141" t="n"/>
      <c r="K2779" s="141" t="n"/>
      <c r="L2779" s="141" t="n"/>
      <c r="M2779" s="142" t="n"/>
      <c r="N2779" s="146">
        <f>IF(AND(AND(F2779="",G2779=""),B2779="",C2779="",D2779="",J2779="",K2779="",L2779=""),"",IF(AND(F2779="",G2779=""),"✗ 没填金额",IF(AND(N(F2779)&lt;&gt;0,N(G2779)&lt;&gt;0),"✗ 收入、支出只能填一边",IF(NOT(ISNUMBER(B2779)),"✗ 日期不是真日期（要像 2026/9/25 这样填）",IF(OR(B2779&lt;年初日,B2779&gt;年末日),"✗ 日期不在本会计年度",IF(C2779="","✗ 没选账户",IF(COUNTIF(基础资料!$W$5:$W$24,C2779)=0,"✗ 账户不在基础资料里",IF(O2779="","✗ 没选收支项目",IF(P2779="未知","✗ 收支项目不在基础资料里",IF(AND(P2779="应收",J2779=""),"✗ 这笔要选客户",IF(AND(P2779="应收",COUNTIF(总览汇总!$B$5:$B$304,J2779)=0),"✗ 客户不在总览汇总名单里",IF(AND(P2779="应付",K2779=""),"✗ 这笔要选供应商",IF(AND(P2779="应付",COUNTIF(基础资料!$Q$5:$Q$54,K2779)=0),"✗ 供应商不在基础资料里",IF(AND(P2779="费用",L2779=""),"✗ 费用支出要选费用项目",IF(AND(L2779&lt;&gt;"",COUNTIF(基础资料!$AI$5:$AI$54,L2779)=0),"✗ 费用项目不在基础资料里",IF(AND(IFERROR(INDEX(基础资料!$AD$5:$AD$34,MATCH(O2779,基础资料!$AC$5:$AC$34,0)),"")="收",N(G2779)&lt;&gt;0),"✗ 这类是收款，金额填到收入列",IF(AND(IFERROR(INDEX(基础资料!$AD$5:$AD$34,MATCH(O2779,基础资料!$AC$5:$AC$34,0)),"")="支",N(F2779)&lt;&gt;0),"✗ 这类是付款，金额填到支出列",IF(N(H2779)&lt;0,"⚠ 账户余额成负数了，核对一下","√"))))))))))))))))))</f>
      </c>
      <c r="O2779" s="78">
        <f>IF(D2779&lt;&gt;"",D2779,IF(AND(F2779="",G2779=""),"",IF(J2779&lt;&gt;"",IF(N(F2779)&gt;0,"客户回款","客户退款"),IF(K2779&lt;&gt;"",IF(N(G2779)&gt;0,"供应商付款","供应商退款"),IF(L2779&lt;&gt;"","费用支出","")))))</f>
      </c>
      <c r="P2779" s="78">
        <f>IF(O2779="","",IFERROR(INDEX(基础资料!$AE$5:$AE$34,MATCH(O2779,基础资料!$AC$5:$AC$34,0)),"未知"))</f>
      </c>
      <c r="Q2779" s="78">
        <f>IF(P2779="应收",COUNTIF(P$7:P2779,"应收"),"")</f>
      </c>
      <c r="R2779" s="78">
        <f>IF(P2779="应付",COUNTIF(P$7:P2779,"应付"),"")</f>
      </c>
      <c r="S2779" s="78">
        <f>N(F2779)-N(G2779)</f>
        <v>0</v>
      </c>
    </row>
    <row r="2780">
      <c r="A2780" s="109">
        <f>IF(AND(F2780="",G2780=""),"",ROW()-6)</f>
      </c>
      <c r="B2780" s="140" t="n"/>
      <c r="C2780" s="141" t="n"/>
      <c r="D2780" s="141" t="n"/>
      <c r="E2780" s="142" t="n"/>
      <c r="F2780" s="143" t="n"/>
      <c r="G2780" s="144" t="n"/>
      <c r="H2780" s="145">
        <f>IF(OR(C2780="",AND(F2780="",G2780="")),"",SUMIF(基础资料!$W$5:$W$24,C2780,基础资料!$X$5:$X$24)+SUMIF(C$7:C2780,C2780,F$7:F2780)-SUMIF(C$7:C2780,C2780,G$7:G2780))</f>
      </c>
      <c r="I2780" s="145">
        <f>IF(AND(F2780="",G2780=""),"",SUM(基础资料!$X$5:$X$24)+SUM(F$7:F2780)-SUM(G$7:G2780))</f>
      </c>
      <c r="J2780" s="141" t="n"/>
      <c r="K2780" s="141" t="n"/>
      <c r="L2780" s="141" t="n"/>
      <c r="M2780" s="142" t="n"/>
      <c r="N2780" s="146">
        <f>IF(AND(AND(F2780="",G2780=""),B2780="",C2780="",D2780="",J2780="",K2780="",L2780=""),"",IF(AND(F2780="",G2780=""),"✗ 没填金额",IF(AND(N(F2780)&lt;&gt;0,N(G2780)&lt;&gt;0),"✗ 收入、支出只能填一边",IF(NOT(ISNUMBER(B2780)),"✗ 日期不是真日期（要像 2026/9/25 这样填）",IF(OR(B2780&lt;年初日,B2780&gt;年末日),"✗ 日期不在本会计年度",IF(C2780="","✗ 没选账户",IF(COUNTIF(基础资料!$W$5:$W$24,C2780)=0,"✗ 账户不在基础资料里",IF(O2780="","✗ 没选收支项目",IF(P2780="未知","✗ 收支项目不在基础资料里",IF(AND(P2780="应收",J2780=""),"✗ 这笔要选客户",IF(AND(P2780="应收",COUNTIF(总览汇总!$B$5:$B$304,J2780)=0),"✗ 客户不在总览汇总名单里",IF(AND(P2780="应付",K2780=""),"✗ 这笔要选供应商",IF(AND(P2780="应付",COUNTIF(基础资料!$Q$5:$Q$54,K2780)=0),"✗ 供应商不在基础资料里",IF(AND(P2780="费用",L2780=""),"✗ 费用支出要选费用项目",IF(AND(L2780&lt;&gt;"",COUNTIF(基础资料!$AI$5:$AI$54,L2780)=0),"✗ 费用项目不在基础资料里",IF(AND(IFERROR(INDEX(基础资料!$AD$5:$AD$34,MATCH(O2780,基础资料!$AC$5:$AC$34,0)),"")="收",N(G2780)&lt;&gt;0),"✗ 这类是收款，金额填到收入列",IF(AND(IFERROR(INDEX(基础资料!$AD$5:$AD$34,MATCH(O2780,基础资料!$AC$5:$AC$34,0)),"")="支",N(F2780)&lt;&gt;0),"✗ 这类是付款，金额填到支出列",IF(N(H2780)&lt;0,"⚠ 账户余额成负数了，核对一下","√"))))))))))))))))))</f>
      </c>
      <c r="O2780" s="78">
        <f>IF(D2780&lt;&gt;"",D2780,IF(AND(F2780="",G2780=""),"",IF(J2780&lt;&gt;"",IF(N(F2780)&gt;0,"客户回款","客户退款"),IF(K2780&lt;&gt;"",IF(N(G2780)&gt;0,"供应商付款","供应商退款"),IF(L2780&lt;&gt;"","费用支出","")))))</f>
      </c>
      <c r="P2780" s="78">
        <f>IF(O2780="","",IFERROR(INDEX(基础资料!$AE$5:$AE$34,MATCH(O2780,基础资料!$AC$5:$AC$34,0)),"未知"))</f>
      </c>
      <c r="Q2780" s="78">
        <f>IF(P2780="应收",COUNTIF(P$7:P2780,"应收"),"")</f>
      </c>
      <c r="R2780" s="78">
        <f>IF(P2780="应付",COUNTIF(P$7:P2780,"应付"),"")</f>
      </c>
      <c r="S2780" s="78">
        <f>N(F2780)-N(G2780)</f>
        <v>0</v>
      </c>
    </row>
    <row r="2781">
      <c r="A2781" s="109">
        <f>IF(AND(F2781="",G2781=""),"",ROW()-6)</f>
      </c>
      <c r="B2781" s="140" t="n"/>
      <c r="C2781" s="141" t="n"/>
      <c r="D2781" s="141" t="n"/>
      <c r="E2781" s="142" t="n"/>
      <c r="F2781" s="143" t="n"/>
      <c r="G2781" s="144" t="n"/>
      <c r="H2781" s="145">
        <f>IF(OR(C2781="",AND(F2781="",G2781="")),"",SUMIF(基础资料!$W$5:$W$24,C2781,基础资料!$X$5:$X$24)+SUMIF(C$7:C2781,C2781,F$7:F2781)-SUMIF(C$7:C2781,C2781,G$7:G2781))</f>
      </c>
      <c r="I2781" s="145">
        <f>IF(AND(F2781="",G2781=""),"",SUM(基础资料!$X$5:$X$24)+SUM(F$7:F2781)-SUM(G$7:G2781))</f>
      </c>
      <c r="J2781" s="141" t="n"/>
      <c r="K2781" s="141" t="n"/>
      <c r="L2781" s="141" t="n"/>
      <c r="M2781" s="142" t="n"/>
      <c r="N2781" s="146">
        <f>IF(AND(AND(F2781="",G2781=""),B2781="",C2781="",D2781="",J2781="",K2781="",L2781=""),"",IF(AND(F2781="",G2781=""),"✗ 没填金额",IF(AND(N(F2781)&lt;&gt;0,N(G2781)&lt;&gt;0),"✗ 收入、支出只能填一边",IF(NOT(ISNUMBER(B2781)),"✗ 日期不是真日期（要像 2026/9/25 这样填）",IF(OR(B2781&lt;年初日,B2781&gt;年末日),"✗ 日期不在本会计年度",IF(C2781="","✗ 没选账户",IF(COUNTIF(基础资料!$W$5:$W$24,C2781)=0,"✗ 账户不在基础资料里",IF(O2781="","✗ 没选收支项目",IF(P2781="未知","✗ 收支项目不在基础资料里",IF(AND(P2781="应收",J2781=""),"✗ 这笔要选客户",IF(AND(P2781="应收",COUNTIF(总览汇总!$B$5:$B$304,J2781)=0),"✗ 客户不在总览汇总名单里",IF(AND(P2781="应付",K2781=""),"✗ 这笔要选供应商",IF(AND(P2781="应付",COUNTIF(基础资料!$Q$5:$Q$54,K2781)=0),"✗ 供应商不在基础资料里",IF(AND(P2781="费用",L2781=""),"✗ 费用支出要选费用项目",IF(AND(L2781&lt;&gt;"",COUNTIF(基础资料!$AI$5:$AI$54,L2781)=0),"✗ 费用项目不在基础资料里",IF(AND(IFERROR(INDEX(基础资料!$AD$5:$AD$34,MATCH(O2781,基础资料!$AC$5:$AC$34,0)),"")="收",N(G2781)&lt;&gt;0),"✗ 这类是收款，金额填到收入列",IF(AND(IFERROR(INDEX(基础资料!$AD$5:$AD$34,MATCH(O2781,基础资料!$AC$5:$AC$34,0)),"")="支",N(F2781)&lt;&gt;0),"✗ 这类是付款，金额填到支出列",IF(N(H2781)&lt;0,"⚠ 账户余额成负数了，核对一下","√"))))))))))))))))))</f>
      </c>
      <c r="O2781" s="78">
        <f>IF(D2781&lt;&gt;"",D2781,IF(AND(F2781="",G2781=""),"",IF(J2781&lt;&gt;"",IF(N(F2781)&gt;0,"客户回款","客户退款"),IF(K2781&lt;&gt;"",IF(N(G2781)&gt;0,"供应商付款","供应商退款"),IF(L2781&lt;&gt;"","费用支出","")))))</f>
      </c>
      <c r="P2781" s="78">
        <f>IF(O2781="","",IFERROR(INDEX(基础资料!$AE$5:$AE$34,MATCH(O2781,基础资料!$AC$5:$AC$34,0)),"未知"))</f>
      </c>
      <c r="Q2781" s="78">
        <f>IF(P2781="应收",COUNTIF(P$7:P2781,"应收"),"")</f>
      </c>
      <c r="R2781" s="78">
        <f>IF(P2781="应付",COUNTIF(P$7:P2781,"应付"),"")</f>
      </c>
      <c r="S2781" s="78">
        <f>N(F2781)-N(G2781)</f>
        <v>0</v>
      </c>
    </row>
    <row r="2782">
      <c r="A2782" s="109">
        <f>IF(AND(F2782="",G2782=""),"",ROW()-6)</f>
      </c>
      <c r="B2782" s="140" t="n"/>
      <c r="C2782" s="141" t="n"/>
      <c r="D2782" s="141" t="n"/>
      <c r="E2782" s="142" t="n"/>
      <c r="F2782" s="143" t="n"/>
      <c r="G2782" s="144" t="n"/>
      <c r="H2782" s="145">
        <f>IF(OR(C2782="",AND(F2782="",G2782="")),"",SUMIF(基础资料!$W$5:$W$24,C2782,基础资料!$X$5:$X$24)+SUMIF(C$7:C2782,C2782,F$7:F2782)-SUMIF(C$7:C2782,C2782,G$7:G2782))</f>
      </c>
      <c r="I2782" s="145">
        <f>IF(AND(F2782="",G2782=""),"",SUM(基础资料!$X$5:$X$24)+SUM(F$7:F2782)-SUM(G$7:G2782))</f>
      </c>
      <c r="J2782" s="141" t="n"/>
      <c r="K2782" s="141" t="n"/>
      <c r="L2782" s="141" t="n"/>
      <c r="M2782" s="142" t="n"/>
      <c r="N2782" s="146">
        <f>IF(AND(AND(F2782="",G2782=""),B2782="",C2782="",D2782="",J2782="",K2782="",L2782=""),"",IF(AND(F2782="",G2782=""),"✗ 没填金额",IF(AND(N(F2782)&lt;&gt;0,N(G2782)&lt;&gt;0),"✗ 收入、支出只能填一边",IF(NOT(ISNUMBER(B2782)),"✗ 日期不是真日期（要像 2026/9/25 这样填）",IF(OR(B2782&lt;年初日,B2782&gt;年末日),"✗ 日期不在本会计年度",IF(C2782="","✗ 没选账户",IF(COUNTIF(基础资料!$W$5:$W$24,C2782)=0,"✗ 账户不在基础资料里",IF(O2782="","✗ 没选收支项目",IF(P2782="未知","✗ 收支项目不在基础资料里",IF(AND(P2782="应收",J2782=""),"✗ 这笔要选客户",IF(AND(P2782="应收",COUNTIF(总览汇总!$B$5:$B$304,J2782)=0),"✗ 客户不在总览汇总名单里",IF(AND(P2782="应付",K2782=""),"✗ 这笔要选供应商",IF(AND(P2782="应付",COUNTIF(基础资料!$Q$5:$Q$54,K2782)=0),"✗ 供应商不在基础资料里",IF(AND(P2782="费用",L2782=""),"✗ 费用支出要选费用项目",IF(AND(L2782&lt;&gt;"",COUNTIF(基础资料!$AI$5:$AI$54,L2782)=0),"✗ 费用项目不在基础资料里",IF(AND(IFERROR(INDEX(基础资料!$AD$5:$AD$34,MATCH(O2782,基础资料!$AC$5:$AC$34,0)),"")="收",N(G2782)&lt;&gt;0),"✗ 这类是收款，金额填到收入列",IF(AND(IFERROR(INDEX(基础资料!$AD$5:$AD$34,MATCH(O2782,基础资料!$AC$5:$AC$34,0)),"")="支",N(F2782)&lt;&gt;0),"✗ 这类是付款，金额填到支出列",IF(N(H2782)&lt;0,"⚠ 账户余额成负数了，核对一下","√"))))))))))))))))))</f>
      </c>
      <c r="O2782" s="78">
        <f>IF(D2782&lt;&gt;"",D2782,IF(AND(F2782="",G2782=""),"",IF(J2782&lt;&gt;"",IF(N(F2782)&gt;0,"客户回款","客户退款"),IF(K2782&lt;&gt;"",IF(N(G2782)&gt;0,"供应商付款","供应商退款"),IF(L2782&lt;&gt;"","费用支出","")))))</f>
      </c>
      <c r="P2782" s="78">
        <f>IF(O2782="","",IFERROR(INDEX(基础资料!$AE$5:$AE$34,MATCH(O2782,基础资料!$AC$5:$AC$34,0)),"未知"))</f>
      </c>
      <c r="Q2782" s="78">
        <f>IF(P2782="应收",COUNTIF(P$7:P2782,"应收"),"")</f>
      </c>
      <c r="R2782" s="78">
        <f>IF(P2782="应付",COUNTIF(P$7:P2782,"应付"),"")</f>
      </c>
      <c r="S2782" s="78">
        <f>N(F2782)-N(G2782)</f>
        <v>0</v>
      </c>
    </row>
    <row r="2783">
      <c r="A2783" s="109">
        <f>IF(AND(F2783="",G2783=""),"",ROW()-6)</f>
      </c>
      <c r="B2783" s="140" t="n"/>
      <c r="C2783" s="141" t="n"/>
      <c r="D2783" s="141" t="n"/>
      <c r="E2783" s="142" t="n"/>
      <c r="F2783" s="143" t="n"/>
      <c r="G2783" s="144" t="n"/>
      <c r="H2783" s="145">
        <f>IF(OR(C2783="",AND(F2783="",G2783="")),"",SUMIF(基础资料!$W$5:$W$24,C2783,基础资料!$X$5:$X$24)+SUMIF(C$7:C2783,C2783,F$7:F2783)-SUMIF(C$7:C2783,C2783,G$7:G2783))</f>
      </c>
      <c r="I2783" s="145">
        <f>IF(AND(F2783="",G2783=""),"",SUM(基础资料!$X$5:$X$24)+SUM(F$7:F2783)-SUM(G$7:G2783))</f>
      </c>
      <c r="J2783" s="141" t="n"/>
      <c r="K2783" s="141" t="n"/>
      <c r="L2783" s="141" t="n"/>
      <c r="M2783" s="142" t="n"/>
      <c r="N2783" s="146">
        <f>IF(AND(AND(F2783="",G2783=""),B2783="",C2783="",D2783="",J2783="",K2783="",L2783=""),"",IF(AND(F2783="",G2783=""),"✗ 没填金额",IF(AND(N(F2783)&lt;&gt;0,N(G2783)&lt;&gt;0),"✗ 收入、支出只能填一边",IF(NOT(ISNUMBER(B2783)),"✗ 日期不是真日期（要像 2026/9/25 这样填）",IF(OR(B2783&lt;年初日,B2783&gt;年末日),"✗ 日期不在本会计年度",IF(C2783="","✗ 没选账户",IF(COUNTIF(基础资料!$W$5:$W$24,C2783)=0,"✗ 账户不在基础资料里",IF(O2783="","✗ 没选收支项目",IF(P2783="未知","✗ 收支项目不在基础资料里",IF(AND(P2783="应收",J2783=""),"✗ 这笔要选客户",IF(AND(P2783="应收",COUNTIF(总览汇总!$B$5:$B$304,J2783)=0),"✗ 客户不在总览汇总名单里",IF(AND(P2783="应付",K2783=""),"✗ 这笔要选供应商",IF(AND(P2783="应付",COUNTIF(基础资料!$Q$5:$Q$54,K2783)=0),"✗ 供应商不在基础资料里",IF(AND(P2783="费用",L2783=""),"✗ 费用支出要选费用项目",IF(AND(L2783&lt;&gt;"",COUNTIF(基础资料!$AI$5:$AI$54,L2783)=0),"✗ 费用项目不在基础资料里",IF(AND(IFERROR(INDEX(基础资料!$AD$5:$AD$34,MATCH(O2783,基础资料!$AC$5:$AC$34,0)),"")="收",N(G2783)&lt;&gt;0),"✗ 这类是收款，金额填到收入列",IF(AND(IFERROR(INDEX(基础资料!$AD$5:$AD$34,MATCH(O2783,基础资料!$AC$5:$AC$34,0)),"")="支",N(F2783)&lt;&gt;0),"✗ 这类是付款，金额填到支出列",IF(N(H2783)&lt;0,"⚠ 账户余额成负数了，核对一下","√"))))))))))))))))))</f>
      </c>
      <c r="O2783" s="78">
        <f>IF(D2783&lt;&gt;"",D2783,IF(AND(F2783="",G2783=""),"",IF(J2783&lt;&gt;"",IF(N(F2783)&gt;0,"客户回款","客户退款"),IF(K2783&lt;&gt;"",IF(N(G2783)&gt;0,"供应商付款","供应商退款"),IF(L2783&lt;&gt;"","费用支出","")))))</f>
      </c>
      <c r="P2783" s="78">
        <f>IF(O2783="","",IFERROR(INDEX(基础资料!$AE$5:$AE$34,MATCH(O2783,基础资料!$AC$5:$AC$34,0)),"未知"))</f>
      </c>
      <c r="Q2783" s="78">
        <f>IF(P2783="应收",COUNTIF(P$7:P2783,"应收"),"")</f>
      </c>
      <c r="R2783" s="78">
        <f>IF(P2783="应付",COUNTIF(P$7:P2783,"应付"),"")</f>
      </c>
      <c r="S2783" s="78">
        <f>N(F2783)-N(G2783)</f>
        <v>0</v>
      </c>
    </row>
    <row r="2784">
      <c r="A2784" s="109">
        <f>IF(AND(F2784="",G2784=""),"",ROW()-6)</f>
      </c>
      <c r="B2784" s="140" t="n"/>
      <c r="C2784" s="141" t="n"/>
      <c r="D2784" s="141" t="n"/>
      <c r="E2784" s="142" t="n"/>
      <c r="F2784" s="143" t="n"/>
      <c r="G2784" s="144" t="n"/>
      <c r="H2784" s="145">
        <f>IF(OR(C2784="",AND(F2784="",G2784="")),"",SUMIF(基础资料!$W$5:$W$24,C2784,基础资料!$X$5:$X$24)+SUMIF(C$7:C2784,C2784,F$7:F2784)-SUMIF(C$7:C2784,C2784,G$7:G2784))</f>
      </c>
      <c r="I2784" s="145">
        <f>IF(AND(F2784="",G2784=""),"",SUM(基础资料!$X$5:$X$24)+SUM(F$7:F2784)-SUM(G$7:G2784))</f>
      </c>
      <c r="J2784" s="141" t="n"/>
      <c r="K2784" s="141" t="n"/>
      <c r="L2784" s="141" t="n"/>
      <c r="M2784" s="142" t="n"/>
      <c r="N2784" s="146">
        <f>IF(AND(AND(F2784="",G2784=""),B2784="",C2784="",D2784="",J2784="",K2784="",L2784=""),"",IF(AND(F2784="",G2784=""),"✗ 没填金额",IF(AND(N(F2784)&lt;&gt;0,N(G2784)&lt;&gt;0),"✗ 收入、支出只能填一边",IF(NOT(ISNUMBER(B2784)),"✗ 日期不是真日期（要像 2026/9/25 这样填）",IF(OR(B2784&lt;年初日,B2784&gt;年末日),"✗ 日期不在本会计年度",IF(C2784="","✗ 没选账户",IF(COUNTIF(基础资料!$W$5:$W$24,C2784)=0,"✗ 账户不在基础资料里",IF(O2784="","✗ 没选收支项目",IF(P2784="未知","✗ 收支项目不在基础资料里",IF(AND(P2784="应收",J2784=""),"✗ 这笔要选客户",IF(AND(P2784="应收",COUNTIF(总览汇总!$B$5:$B$304,J2784)=0),"✗ 客户不在总览汇总名单里",IF(AND(P2784="应付",K2784=""),"✗ 这笔要选供应商",IF(AND(P2784="应付",COUNTIF(基础资料!$Q$5:$Q$54,K2784)=0),"✗ 供应商不在基础资料里",IF(AND(P2784="费用",L2784=""),"✗ 费用支出要选费用项目",IF(AND(L2784&lt;&gt;"",COUNTIF(基础资料!$AI$5:$AI$54,L2784)=0),"✗ 费用项目不在基础资料里",IF(AND(IFERROR(INDEX(基础资料!$AD$5:$AD$34,MATCH(O2784,基础资料!$AC$5:$AC$34,0)),"")="收",N(G2784)&lt;&gt;0),"✗ 这类是收款，金额填到收入列",IF(AND(IFERROR(INDEX(基础资料!$AD$5:$AD$34,MATCH(O2784,基础资料!$AC$5:$AC$34,0)),"")="支",N(F2784)&lt;&gt;0),"✗ 这类是付款，金额填到支出列",IF(N(H2784)&lt;0,"⚠ 账户余额成负数了，核对一下","√"))))))))))))))))))</f>
      </c>
      <c r="O2784" s="78">
        <f>IF(D2784&lt;&gt;"",D2784,IF(AND(F2784="",G2784=""),"",IF(J2784&lt;&gt;"",IF(N(F2784)&gt;0,"客户回款","客户退款"),IF(K2784&lt;&gt;"",IF(N(G2784)&gt;0,"供应商付款","供应商退款"),IF(L2784&lt;&gt;"","费用支出","")))))</f>
      </c>
      <c r="P2784" s="78">
        <f>IF(O2784="","",IFERROR(INDEX(基础资料!$AE$5:$AE$34,MATCH(O2784,基础资料!$AC$5:$AC$34,0)),"未知"))</f>
      </c>
      <c r="Q2784" s="78">
        <f>IF(P2784="应收",COUNTIF(P$7:P2784,"应收"),"")</f>
      </c>
      <c r="R2784" s="78">
        <f>IF(P2784="应付",COUNTIF(P$7:P2784,"应付"),"")</f>
      </c>
      <c r="S2784" s="78">
        <f>N(F2784)-N(G2784)</f>
        <v>0</v>
      </c>
    </row>
    <row r="2785">
      <c r="A2785" s="109">
        <f>IF(AND(F2785="",G2785=""),"",ROW()-6)</f>
      </c>
      <c r="B2785" s="140" t="n"/>
      <c r="C2785" s="141" t="n"/>
      <c r="D2785" s="141" t="n"/>
      <c r="E2785" s="142" t="n"/>
      <c r="F2785" s="143" t="n"/>
      <c r="G2785" s="144" t="n"/>
      <c r="H2785" s="145">
        <f>IF(OR(C2785="",AND(F2785="",G2785="")),"",SUMIF(基础资料!$W$5:$W$24,C2785,基础资料!$X$5:$X$24)+SUMIF(C$7:C2785,C2785,F$7:F2785)-SUMIF(C$7:C2785,C2785,G$7:G2785))</f>
      </c>
      <c r="I2785" s="145">
        <f>IF(AND(F2785="",G2785=""),"",SUM(基础资料!$X$5:$X$24)+SUM(F$7:F2785)-SUM(G$7:G2785))</f>
      </c>
      <c r="J2785" s="141" t="n"/>
      <c r="K2785" s="141" t="n"/>
      <c r="L2785" s="141" t="n"/>
      <c r="M2785" s="142" t="n"/>
      <c r="N2785" s="146">
        <f>IF(AND(AND(F2785="",G2785=""),B2785="",C2785="",D2785="",J2785="",K2785="",L2785=""),"",IF(AND(F2785="",G2785=""),"✗ 没填金额",IF(AND(N(F2785)&lt;&gt;0,N(G2785)&lt;&gt;0),"✗ 收入、支出只能填一边",IF(NOT(ISNUMBER(B2785)),"✗ 日期不是真日期（要像 2026/9/25 这样填）",IF(OR(B2785&lt;年初日,B2785&gt;年末日),"✗ 日期不在本会计年度",IF(C2785="","✗ 没选账户",IF(COUNTIF(基础资料!$W$5:$W$24,C2785)=0,"✗ 账户不在基础资料里",IF(O2785="","✗ 没选收支项目",IF(P2785="未知","✗ 收支项目不在基础资料里",IF(AND(P2785="应收",J2785=""),"✗ 这笔要选客户",IF(AND(P2785="应收",COUNTIF(总览汇总!$B$5:$B$304,J2785)=0),"✗ 客户不在总览汇总名单里",IF(AND(P2785="应付",K2785=""),"✗ 这笔要选供应商",IF(AND(P2785="应付",COUNTIF(基础资料!$Q$5:$Q$54,K2785)=0),"✗ 供应商不在基础资料里",IF(AND(P2785="费用",L2785=""),"✗ 费用支出要选费用项目",IF(AND(L2785&lt;&gt;"",COUNTIF(基础资料!$AI$5:$AI$54,L2785)=0),"✗ 费用项目不在基础资料里",IF(AND(IFERROR(INDEX(基础资料!$AD$5:$AD$34,MATCH(O2785,基础资料!$AC$5:$AC$34,0)),"")="收",N(G2785)&lt;&gt;0),"✗ 这类是收款，金额填到收入列",IF(AND(IFERROR(INDEX(基础资料!$AD$5:$AD$34,MATCH(O2785,基础资料!$AC$5:$AC$34,0)),"")="支",N(F2785)&lt;&gt;0),"✗ 这类是付款，金额填到支出列",IF(N(H2785)&lt;0,"⚠ 账户余额成负数了，核对一下","√"))))))))))))))))))</f>
      </c>
      <c r="O2785" s="78">
        <f>IF(D2785&lt;&gt;"",D2785,IF(AND(F2785="",G2785=""),"",IF(J2785&lt;&gt;"",IF(N(F2785)&gt;0,"客户回款","客户退款"),IF(K2785&lt;&gt;"",IF(N(G2785)&gt;0,"供应商付款","供应商退款"),IF(L2785&lt;&gt;"","费用支出","")))))</f>
      </c>
      <c r="P2785" s="78">
        <f>IF(O2785="","",IFERROR(INDEX(基础资料!$AE$5:$AE$34,MATCH(O2785,基础资料!$AC$5:$AC$34,0)),"未知"))</f>
      </c>
      <c r="Q2785" s="78">
        <f>IF(P2785="应收",COUNTIF(P$7:P2785,"应收"),"")</f>
      </c>
      <c r="R2785" s="78">
        <f>IF(P2785="应付",COUNTIF(P$7:P2785,"应付"),"")</f>
      </c>
      <c r="S2785" s="78">
        <f>N(F2785)-N(G2785)</f>
        <v>0</v>
      </c>
    </row>
    <row r="2786">
      <c r="A2786" s="109">
        <f>IF(AND(F2786="",G2786=""),"",ROW()-6)</f>
      </c>
      <c r="B2786" s="140" t="n"/>
      <c r="C2786" s="141" t="n"/>
      <c r="D2786" s="141" t="n"/>
      <c r="E2786" s="142" t="n"/>
      <c r="F2786" s="143" t="n"/>
      <c r="G2786" s="144" t="n"/>
      <c r="H2786" s="145">
        <f>IF(OR(C2786="",AND(F2786="",G2786="")),"",SUMIF(基础资料!$W$5:$W$24,C2786,基础资料!$X$5:$X$24)+SUMIF(C$7:C2786,C2786,F$7:F2786)-SUMIF(C$7:C2786,C2786,G$7:G2786))</f>
      </c>
      <c r="I2786" s="145">
        <f>IF(AND(F2786="",G2786=""),"",SUM(基础资料!$X$5:$X$24)+SUM(F$7:F2786)-SUM(G$7:G2786))</f>
      </c>
      <c r="J2786" s="141" t="n"/>
      <c r="K2786" s="141" t="n"/>
      <c r="L2786" s="141" t="n"/>
      <c r="M2786" s="142" t="n"/>
      <c r="N2786" s="146">
        <f>IF(AND(AND(F2786="",G2786=""),B2786="",C2786="",D2786="",J2786="",K2786="",L2786=""),"",IF(AND(F2786="",G2786=""),"✗ 没填金额",IF(AND(N(F2786)&lt;&gt;0,N(G2786)&lt;&gt;0),"✗ 收入、支出只能填一边",IF(NOT(ISNUMBER(B2786)),"✗ 日期不是真日期（要像 2026/9/25 这样填）",IF(OR(B2786&lt;年初日,B2786&gt;年末日),"✗ 日期不在本会计年度",IF(C2786="","✗ 没选账户",IF(COUNTIF(基础资料!$W$5:$W$24,C2786)=0,"✗ 账户不在基础资料里",IF(O2786="","✗ 没选收支项目",IF(P2786="未知","✗ 收支项目不在基础资料里",IF(AND(P2786="应收",J2786=""),"✗ 这笔要选客户",IF(AND(P2786="应收",COUNTIF(总览汇总!$B$5:$B$304,J2786)=0),"✗ 客户不在总览汇总名单里",IF(AND(P2786="应付",K2786=""),"✗ 这笔要选供应商",IF(AND(P2786="应付",COUNTIF(基础资料!$Q$5:$Q$54,K2786)=0),"✗ 供应商不在基础资料里",IF(AND(P2786="费用",L2786=""),"✗ 费用支出要选费用项目",IF(AND(L2786&lt;&gt;"",COUNTIF(基础资料!$AI$5:$AI$54,L2786)=0),"✗ 费用项目不在基础资料里",IF(AND(IFERROR(INDEX(基础资料!$AD$5:$AD$34,MATCH(O2786,基础资料!$AC$5:$AC$34,0)),"")="收",N(G2786)&lt;&gt;0),"✗ 这类是收款，金额填到收入列",IF(AND(IFERROR(INDEX(基础资料!$AD$5:$AD$34,MATCH(O2786,基础资料!$AC$5:$AC$34,0)),"")="支",N(F2786)&lt;&gt;0),"✗ 这类是付款，金额填到支出列",IF(N(H2786)&lt;0,"⚠ 账户余额成负数了，核对一下","√"))))))))))))))))))</f>
      </c>
      <c r="O2786" s="78">
        <f>IF(D2786&lt;&gt;"",D2786,IF(AND(F2786="",G2786=""),"",IF(J2786&lt;&gt;"",IF(N(F2786)&gt;0,"客户回款","客户退款"),IF(K2786&lt;&gt;"",IF(N(G2786)&gt;0,"供应商付款","供应商退款"),IF(L2786&lt;&gt;"","费用支出","")))))</f>
      </c>
      <c r="P2786" s="78">
        <f>IF(O2786="","",IFERROR(INDEX(基础资料!$AE$5:$AE$34,MATCH(O2786,基础资料!$AC$5:$AC$34,0)),"未知"))</f>
      </c>
      <c r="Q2786" s="78">
        <f>IF(P2786="应收",COUNTIF(P$7:P2786,"应收"),"")</f>
      </c>
      <c r="R2786" s="78">
        <f>IF(P2786="应付",COUNTIF(P$7:P2786,"应付"),"")</f>
      </c>
      <c r="S2786" s="78">
        <f>N(F2786)-N(G2786)</f>
        <v>0</v>
      </c>
    </row>
    <row r="2787">
      <c r="A2787" s="109">
        <f>IF(AND(F2787="",G2787=""),"",ROW()-6)</f>
      </c>
      <c r="B2787" s="140" t="n"/>
      <c r="C2787" s="141" t="n"/>
      <c r="D2787" s="141" t="n"/>
      <c r="E2787" s="142" t="n"/>
      <c r="F2787" s="143" t="n"/>
      <c r="G2787" s="144" t="n"/>
      <c r="H2787" s="145">
        <f>IF(OR(C2787="",AND(F2787="",G2787="")),"",SUMIF(基础资料!$W$5:$W$24,C2787,基础资料!$X$5:$X$24)+SUMIF(C$7:C2787,C2787,F$7:F2787)-SUMIF(C$7:C2787,C2787,G$7:G2787))</f>
      </c>
      <c r="I2787" s="145">
        <f>IF(AND(F2787="",G2787=""),"",SUM(基础资料!$X$5:$X$24)+SUM(F$7:F2787)-SUM(G$7:G2787))</f>
      </c>
      <c r="J2787" s="141" t="n"/>
      <c r="K2787" s="141" t="n"/>
      <c r="L2787" s="141" t="n"/>
      <c r="M2787" s="142" t="n"/>
      <c r="N2787" s="146">
        <f>IF(AND(AND(F2787="",G2787=""),B2787="",C2787="",D2787="",J2787="",K2787="",L2787=""),"",IF(AND(F2787="",G2787=""),"✗ 没填金额",IF(AND(N(F2787)&lt;&gt;0,N(G2787)&lt;&gt;0),"✗ 收入、支出只能填一边",IF(NOT(ISNUMBER(B2787)),"✗ 日期不是真日期（要像 2026/9/25 这样填）",IF(OR(B2787&lt;年初日,B2787&gt;年末日),"✗ 日期不在本会计年度",IF(C2787="","✗ 没选账户",IF(COUNTIF(基础资料!$W$5:$W$24,C2787)=0,"✗ 账户不在基础资料里",IF(O2787="","✗ 没选收支项目",IF(P2787="未知","✗ 收支项目不在基础资料里",IF(AND(P2787="应收",J2787=""),"✗ 这笔要选客户",IF(AND(P2787="应收",COUNTIF(总览汇总!$B$5:$B$304,J2787)=0),"✗ 客户不在总览汇总名单里",IF(AND(P2787="应付",K2787=""),"✗ 这笔要选供应商",IF(AND(P2787="应付",COUNTIF(基础资料!$Q$5:$Q$54,K2787)=0),"✗ 供应商不在基础资料里",IF(AND(P2787="费用",L2787=""),"✗ 费用支出要选费用项目",IF(AND(L2787&lt;&gt;"",COUNTIF(基础资料!$AI$5:$AI$54,L2787)=0),"✗ 费用项目不在基础资料里",IF(AND(IFERROR(INDEX(基础资料!$AD$5:$AD$34,MATCH(O2787,基础资料!$AC$5:$AC$34,0)),"")="收",N(G2787)&lt;&gt;0),"✗ 这类是收款，金额填到收入列",IF(AND(IFERROR(INDEX(基础资料!$AD$5:$AD$34,MATCH(O2787,基础资料!$AC$5:$AC$34,0)),"")="支",N(F2787)&lt;&gt;0),"✗ 这类是付款，金额填到支出列",IF(N(H2787)&lt;0,"⚠ 账户余额成负数了，核对一下","√"))))))))))))))))))</f>
      </c>
      <c r="O2787" s="78">
        <f>IF(D2787&lt;&gt;"",D2787,IF(AND(F2787="",G2787=""),"",IF(J2787&lt;&gt;"",IF(N(F2787)&gt;0,"客户回款","客户退款"),IF(K2787&lt;&gt;"",IF(N(G2787)&gt;0,"供应商付款","供应商退款"),IF(L2787&lt;&gt;"","费用支出","")))))</f>
      </c>
      <c r="P2787" s="78">
        <f>IF(O2787="","",IFERROR(INDEX(基础资料!$AE$5:$AE$34,MATCH(O2787,基础资料!$AC$5:$AC$34,0)),"未知"))</f>
      </c>
      <c r="Q2787" s="78">
        <f>IF(P2787="应收",COUNTIF(P$7:P2787,"应收"),"")</f>
      </c>
      <c r="R2787" s="78">
        <f>IF(P2787="应付",COUNTIF(P$7:P2787,"应付"),"")</f>
      </c>
      <c r="S2787" s="78">
        <f>N(F2787)-N(G2787)</f>
        <v>0</v>
      </c>
    </row>
    <row r="2788">
      <c r="A2788" s="109">
        <f>IF(AND(F2788="",G2788=""),"",ROW()-6)</f>
      </c>
      <c r="B2788" s="140" t="n"/>
      <c r="C2788" s="141" t="n"/>
      <c r="D2788" s="141" t="n"/>
      <c r="E2788" s="142" t="n"/>
      <c r="F2788" s="143" t="n"/>
      <c r="G2788" s="144" t="n"/>
      <c r="H2788" s="145">
        <f>IF(OR(C2788="",AND(F2788="",G2788="")),"",SUMIF(基础资料!$W$5:$W$24,C2788,基础资料!$X$5:$X$24)+SUMIF(C$7:C2788,C2788,F$7:F2788)-SUMIF(C$7:C2788,C2788,G$7:G2788))</f>
      </c>
      <c r="I2788" s="145">
        <f>IF(AND(F2788="",G2788=""),"",SUM(基础资料!$X$5:$X$24)+SUM(F$7:F2788)-SUM(G$7:G2788))</f>
      </c>
      <c r="J2788" s="141" t="n"/>
      <c r="K2788" s="141" t="n"/>
      <c r="L2788" s="141" t="n"/>
      <c r="M2788" s="142" t="n"/>
      <c r="N2788" s="146">
        <f>IF(AND(AND(F2788="",G2788=""),B2788="",C2788="",D2788="",J2788="",K2788="",L2788=""),"",IF(AND(F2788="",G2788=""),"✗ 没填金额",IF(AND(N(F2788)&lt;&gt;0,N(G2788)&lt;&gt;0),"✗ 收入、支出只能填一边",IF(NOT(ISNUMBER(B2788)),"✗ 日期不是真日期（要像 2026/9/25 这样填）",IF(OR(B2788&lt;年初日,B2788&gt;年末日),"✗ 日期不在本会计年度",IF(C2788="","✗ 没选账户",IF(COUNTIF(基础资料!$W$5:$W$24,C2788)=0,"✗ 账户不在基础资料里",IF(O2788="","✗ 没选收支项目",IF(P2788="未知","✗ 收支项目不在基础资料里",IF(AND(P2788="应收",J2788=""),"✗ 这笔要选客户",IF(AND(P2788="应收",COUNTIF(总览汇总!$B$5:$B$304,J2788)=0),"✗ 客户不在总览汇总名单里",IF(AND(P2788="应付",K2788=""),"✗ 这笔要选供应商",IF(AND(P2788="应付",COUNTIF(基础资料!$Q$5:$Q$54,K2788)=0),"✗ 供应商不在基础资料里",IF(AND(P2788="费用",L2788=""),"✗ 费用支出要选费用项目",IF(AND(L2788&lt;&gt;"",COUNTIF(基础资料!$AI$5:$AI$54,L2788)=0),"✗ 费用项目不在基础资料里",IF(AND(IFERROR(INDEX(基础资料!$AD$5:$AD$34,MATCH(O2788,基础资料!$AC$5:$AC$34,0)),"")="收",N(G2788)&lt;&gt;0),"✗ 这类是收款，金额填到收入列",IF(AND(IFERROR(INDEX(基础资料!$AD$5:$AD$34,MATCH(O2788,基础资料!$AC$5:$AC$34,0)),"")="支",N(F2788)&lt;&gt;0),"✗ 这类是付款，金额填到支出列",IF(N(H2788)&lt;0,"⚠ 账户余额成负数了，核对一下","√"))))))))))))))))))</f>
      </c>
      <c r="O2788" s="78">
        <f>IF(D2788&lt;&gt;"",D2788,IF(AND(F2788="",G2788=""),"",IF(J2788&lt;&gt;"",IF(N(F2788)&gt;0,"客户回款","客户退款"),IF(K2788&lt;&gt;"",IF(N(G2788)&gt;0,"供应商付款","供应商退款"),IF(L2788&lt;&gt;"","费用支出","")))))</f>
      </c>
      <c r="P2788" s="78">
        <f>IF(O2788="","",IFERROR(INDEX(基础资料!$AE$5:$AE$34,MATCH(O2788,基础资料!$AC$5:$AC$34,0)),"未知"))</f>
      </c>
      <c r="Q2788" s="78">
        <f>IF(P2788="应收",COUNTIF(P$7:P2788,"应收"),"")</f>
      </c>
      <c r="R2788" s="78">
        <f>IF(P2788="应付",COUNTIF(P$7:P2788,"应付"),"")</f>
      </c>
      <c r="S2788" s="78">
        <f>N(F2788)-N(G2788)</f>
        <v>0</v>
      </c>
    </row>
    <row r="2789">
      <c r="A2789" s="109">
        <f>IF(AND(F2789="",G2789=""),"",ROW()-6)</f>
      </c>
      <c r="B2789" s="140" t="n"/>
      <c r="C2789" s="141" t="n"/>
      <c r="D2789" s="141" t="n"/>
      <c r="E2789" s="142" t="n"/>
      <c r="F2789" s="143" t="n"/>
      <c r="G2789" s="144" t="n"/>
      <c r="H2789" s="145">
        <f>IF(OR(C2789="",AND(F2789="",G2789="")),"",SUMIF(基础资料!$W$5:$W$24,C2789,基础资料!$X$5:$X$24)+SUMIF(C$7:C2789,C2789,F$7:F2789)-SUMIF(C$7:C2789,C2789,G$7:G2789))</f>
      </c>
      <c r="I2789" s="145">
        <f>IF(AND(F2789="",G2789=""),"",SUM(基础资料!$X$5:$X$24)+SUM(F$7:F2789)-SUM(G$7:G2789))</f>
      </c>
      <c r="J2789" s="141" t="n"/>
      <c r="K2789" s="141" t="n"/>
      <c r="L2789" s="141" t="n"/>
      <c r="M2789" s="142" t="n"/>
      <c r="N2789" s="146">
        <f>IF(AND(AND(F2789="",G2789=""),B2789="",C2789="",D2789="",J2789="",K2789="",L2789=""),"",IF(AND(F2789="",G2789=""),"✗ 没填金额",IF(AND(N(F2789)&lt;&gt;0,N(G2789)&lt;&gt;0),"✗ 收入、支出只能填一边",IF(NOT(ISNUMBER(B2789)),"✗ 日期不是真日期（要像 2026/9/25 这样填）",IF(OR(B2789&lt;年初日,B2789&gt;年末日),"✗ 日期不在本会计年度",IF(C2789="","✗ 没选账户",IF(COUNTIF(基础资料!$W$5:$W$24,C2789)=0,"✗ 账户不在基础资料里",IF(O2789="","✗ 没选收支项目",IF(P2789="未知","✗ 收支项目不在基础资料里",IF(AND(P2789="应收",J2789=""),"✗ 这笔要选客户",IF(AND(P2789="应收",COUNTIF(总览汇总!$B$5:$B$304,J2789)=0),"✗ 客户不在总览汇总名单里",IF(AND(P2789="应付",K2789=""),"✗ 这笔要选供应商",IF(AND(P2789="应付",COUNTIF(基础资料!$Q$5:$Q$54,K2789)=0),"✗ 供应商不在基础资料里",IF(AND(P2789="费用",L2789=""),"✗ 费用支出要选费用项目",IF(AND(L2789&lt;&gt;"",COUNTIF(基础资料!$AI$5:$AI$54,L2789)=0),"✗ 费用项目不在基础资料里",IF(AND(IFERROR(INDEX(基础资料!$AD$5:$AD$34,MATCH(O2789,基础资料!$AC$5:$AC$34,0)),"")="收",N(G2789)&lt;&gt;0),"✗ 这类是收款，金额填到收入列",IF(AND(IFERROR(INDEX(基础资料!$AD$5:$AD$34,MATCH(O2789,基础资料!$AC$5:$AC$34,0)),"")="支",N(F2789)&lt;&gt;0),"✗ 这类是付款，金额填到支出列",IF(N(H2789)&lt;0,"⚠ 账户余额成负数了，核对一下","√"))))))))))))))))))</f>
      </c>
      <c r="O2789" s="78">
        <f>IF(D2789&lt;&gt;"",D2789,IF(AND(F2789="",G2789=""),"",IF(J2789&lt;&gt;"",IF(N(F2789)&gt;0,"客户回款","客户退款"),IF(K2789&lt;&gt;"",IF(N(G2789)&gt;0,"供应商付款","供应商退款"),IF(L2789&lt;&gt;"","费用支出","")))))</f>
      </c>
      <c r="P2789" s="78">
        <f>IF(O2789="","",IFERROR(INDEX(基础资料!$AE$5:$AE$34,MATCH(O2789,基础资料!$AC$5:$AC$34,0)),"未知"))</f>
      </c>
      <c r="Q2789" s="78">
        <f>IF(P2789="应收",COUNTIF(P$7:P2789,"应收"),"")</f>
      </c>
      <c r="R2789" s="78">
        <f>IF(P2789="应付",COUNTIF(P$7:P2789,"应付"),"")</f>
      </c>
      <c r="S2789" s="78">
        <f>N(F2789)-N(G2789)</f>
        <v>0</v>
      </c>
    </row>
    <row r="2790">
      <c r="A2790" s="109">
        <f>IF(AND(F2790="",G2790=""),"",ROW()-6)</f>
      </c>
      <c r="B2790" s="140" t="n"/>
      <c r="C2790" s="141" t="n"/>
      <c r="D2790" s="141" t="n"/>
      <c r="E2790" s="142" t="n"/>
      <c r="F2790" s="143" t="n"/>
      <c r="G2790" s="144" t="n"/>
      <c r="H2790" s="145">
        <f>IF(OR(C2790="",AND(F2790="",G2790="")),"",SUMIF(基础资料!$W$5:$W$24,C2790,基础资料!$X$5:$X$24)+SUMIF(C$7:C2790,C2790,F$7:F2790)-SUMIF(C$7:C2790,C2790,G$7:G2790))</f>
      </c>
      <c r="I2790" s="145">
        <f>IF(AND(F2790="",G2790=""),"",SUM(基础资料!$X$5:$X$24)+SUM(F$7:F2790)-SUM(G$7:G2790))</f>
      </c>
      <c r="J2790" s="141" t="n"/>
      <c r="K2790" s="141" t="n"/>
      <c r="L2790" s="141" t="n"/>
      <c r="M2790" s="142" t="n"/>
      <c r="N2790" s="146">
        <f>IF(AND(AND(F2790="",G2790=""),B2790="",C2790="",D2790="",J2790="",K2790="",L2790=""),"",IF(AND(F2790="",G2790=""),"✗ 没填金额",IF(AND(N(F2790)&lt;&gt;0,N(G2790)&lt;&gt;0),"✗ 收入、支出只能填一边",IF(NOT(ISNUMBER(B2790)),"✗ 日期不是真日期（要像 2026/9/25 这样填）",IF(OR(B2790&lt;年初日,B2790&gt;年末日),"✗ 日期不在本会计年度",IF(C2790="","✗ 没选账户",IF(COUNTIF(基础资料!$W$5:$W$24,C2790)=0,"✗ 账户不在基础资料里",IF(O2790="","✗ 没选收支项目",IF(P2790="未知","✗ 收支项目不在基础资料里",IF(AND(P2790="应收",J2790=""),"✗ 这笔要选客户",IF(AND(P2790="应收",COUNTIF(总览汇总!$B$5:$B$304,J2790)=0),"✗ 客户不在总览汇总名单里",IF(AND(P2790="应付",K2790=""),"✗ 这笔要选供应商",IF(AND(P2790="应付",COUNTIF(基础资料!$Q$5:$Q$54,K2790)=0),"✗ 供应商不在基础资料里",IF(AND(P2790="费用",L2790=""),"✗ 费用支出要选费用项目",IF(AND(L2790&lt;&gt;"",COUNTIF(基础资料!$AI$5:$AI$54,L2790)=0),"✗ 费用项目不在基础资料里",IF(AND(IFERROR(INDEX(基础资料!$AD$5:$AD$34,MATCH(O2790,基础资料!$AC$5:$AC$34,0)),"")="收",N(G2790)&lt;&gt;0),"✗ 这类是收款，金额填到收入列",IF(AND(IFERROR(INDEX(基础资料!$AD$5:$AD$34,MATCH(O2790,基础资料!$AC$5:$AC$34,0)),"")="支",N(F2790)&lt;&gt;0),"✗ 这类是付款，金额填到支出列",IF(N(H2790)&lt;0,"⚠ 账户余额成负数了，核对一下","√"))))))))))))))))))</f>
      </c>
      <c r="O2790" s="78">
        <f>IF(D2790&lt;&gt;"",D2790,IF(AND(F2790="",G2790=""),"",IF(J2790&lt;&gt;"",IF(N(F2790)&gt;0,"客户回款","客户退款"),IF(K2790&lt;&gt;"",IF(N(G2790)&gt;0,"供应商付款","供应商退款"),IF(L2790&lt;&gt;"","费用支出","")))))</f>
      </c>
      <c r="P2790" s="78">
        <f>IF(O2790="","",IFERROR(INDEX(基础资料!$AE$5:$AE$34,MATCH(O2790,基础资料!$AC$5:$AC$34,0)),"未知"))</f>
      </c>
      <c r="Q2790" s="78">
        <f>IF(P2790="应收",COUNTIF(P$7:P2790,"应收"),"")</f>
      </c>
      <c r="R2790" s="78">
        <f>IF(P2790="应付",COUNTIF(P$7:P2790,"应付"),"")</f>
      </c>
      <c r="S2790" s="78">
        <f>N(F2790)-N(G2790)</f>
        <v>0</v>
      </c>
    </row>
    <row r="2791">
      <c r="A2791" s="109">
        <f>IF(AND(F2791="",G2791=""),"",ROW()-6)</f>
      </c>
      <c r="B2791" s="140" t="n"/>
      <c r="C2791" s="141" t="n"/>
      <c r="D2791" s="141" t="n"/>
      <c r="E2791" s="142" t="n"/>
      <c r="F2791" s="143" t="n"/>
      <c r="G2791" s="144" t="n"/>
      <c r="H2791" s="145">
        <f>IF(OR(C2791="",AND(F2791="",G2791="")),"",SUMIF(基础资料!$W$5:$W$24,C2791,基础资料!$X$5:$X$24)+SUMIF(C$7:C2791,C2791,F$7:F2791)-SUMIF(C$7:C2791,C2791,G$7:G2791))</f>
      </c>
      <c r="I2791" s="145">
        <f>IF(AND(F2791="",G2791=""),"",SUM(基础资料!$X$5:$X$24)+SUM(F$7:F2791)-SUM(G$7:G2791))</f>
      </c>
      <c r="J2791" s="141" t="n"/>
      <c r="K2791" s="141" t="n"/>
      <c r="L2791" s="141" t="n"/>
      <c r="M2791" s="142" t="n"/>
      <c r="N2791" s="146">
        <f>IF(AND(AND(F2791="",G2791=""),B2791="",C2791="",D2791="",J2791="",K2791="",L2791=""),"",IF(AND(F2791="",G2791=""),"✗ 没填金额",IF(AND(N(F2791)&lt;&gt;0,N(G2791)&lt;&gt;0),"✗ 收入、支出只能填一边",IF(NOT(ISNUMBER(B2791)),"✗ 日期不是真日期（要像 2026/9/25 这样填）",IF(OR(B2791&lt;年初日,B2791&gt;年末日),"✗ 日期不在本会计年度",IF(C2791="","✗ 没选账户",IF(COUNTIF(基础资料!$W$5:$W$24,C2791)=0,"✗ 账户不在基础资料里",IF(O2791="","✗ 没选收支项目",IF(P2791="未知","✗ 收支项目不在基础资料里",IF(AND(P2791="应收",J2791=""),"✗ 这笔要选客户",IF(AND(P2791="应收",COUNTIF(总览汇总!$B$5:$B$304,J2791)=0),"✗ 客户不在总览汇总名单里",IF(AND(P2791="应付",K2791=""),"✗ 这笔要选供应商",IF(AND(P2791="应付",COUNTIF(基础资料!$Q$5:$Q$54,K2791)=0),"✗ 供应商不在基础资料里",IF(AND(P2791="费用",L2791=""),"✗ 费用支出要选费用项目",IF(AND(L2791&lt;&gt;"",COUNTIF(基础资料!$AI$5:$AI$54,L2791)=0),"✗ 费用项目不在基础资料里",IF(AND(IFERROR(INDEX(基础资料!$AD$5:$AD$34,MATCH(O2791,基础资料!$AC$5:$AC$34,0)),"")="收",N(G2791)&lt;&gt;0),"✗ 这类是收款，金额填到收入列",IF(AND(IFERROR(INDEX(基础资料!$AD$5:$AD$34,MATCH(O2791,基础资料!$AC$5:$AC$34,0)),"")="支",N(F2791)&lt;&gt;0),"✗ 这类是付款，金额填到支出列",IF(N(H2791)&lt;0,"⚠ 账户余额成负数了，核对一下","√"))))))))))))))))))</f>
      </c>
      <c r="O2791" s="78">
        <f>IF(D2791&lt;&gt;"",D2791,IF(AND(F2791="",G2791=""),"",IF(J2791&lt;&gt;"",IF(N(F2791)&gt;0,"客户回款","客户退款"),IF(K2791&lt;&gt;"",IF(N(G2791)&gt;0,"供应商付款","供应商退款"),IF(L2791&lt;&gt;"","费用支出","")))))</f>
      </c>
      <c r="P2791" s="78">
        <f>IF(O2791="","",IFERROR(INDEX(基础资料!$AE$5:$AE$34,MATCH(O2791,基础资料!$AC$5:$AC$34,0)),"未知"))</f>
      </c>
      <c r="Q2791" s="78">
        <f>IF(P2791="应收",COUNTIF(P$7:P2791,"应收"),"")</f>
      </c>
      <c r="R2791" s="78">
        <f>IF(P2791="应付",COUNTIF(P$7:P2791,"应付"),"")</f>
      </c>
      <c r="S2791" s="78">
        <f>N(F2791)-N(G2791)</f>
        <v>0</v>
      </c>
    </row>
    <row r="2792">
      <c r="A2792" s="109">
        <f>IF(AND(F2792="",G2792=""),"",ROW()-6)</f>
      </c>
      <c r="B2792" s="140" t="n"/>
      <c r="C2792" s="141" t="n"/>
      <c r="D2792" s="141" t="n"/>
      <c r="E2792" s="142" t="n"/>
      <c r="F2792" s="143" t="n"/>
      <c r="G2792" s="144" t="n"/>
      <c r="H2792" s="145">
        <f>IF(OR(C2792="",AND(F2792="",G2792="")),"",SUMIF(基础资料!$W$5:$W$24,C2792,基础资料!$X$5:$X$24)+SUMIF(C$7:C2792,C2792,F$7:F2792)-SUMIF(C$7:C2792,C2792,G$7:G2792))</f>
      </c>
      <c r="I2792" s="145">
        <f>IF(AND(F2792="",G2792=""),"",SUM(基础资料!$X$5:$X$24)+SUM(F$7:F2792)-SUM(G$7:G2792))</f>
      </c>
      <c r="J2792" s="141" t="n"/>
      <c r="K2792" s="141" t="n"/>
      <c r="L2792" s="141" t="n"/>
      <c r="M2792" s="142" t="n"/>
      <c r="N2792" s="146">
        <f>IF(AND(AND(F2792="",G2792=""),B2792="",C2792="",D2792="",J2792="",K2792="",L2792=""),"",IF(AND(F2792="",G2792=""),"✗ 没填金额",IF(AND(N(F2792)&lt;&gt;0,N(G2792)&lt;&gt;0),"✗ 收入、支出只能填一边",IF(NOT(ISNUMBER(B2792)),"✗ 日期不是真日期（要像 2026/9/25 这样填）",IF(OR(B2792&lt;年初日,B2792&gt;年末日),"✗ 日期不在本会计年度",IF(C2792="","✗ 没选账户",IF(COUNTIF(基础资料!$W$5:$W$24,C2792)=0,"✗ 账户不在基础资料里",IF(O2792="","✗ 没选收支项目",IF(P2792="未知","✗ 收支项目不在基础资料里",IF(AND(P2792="应收",J2792=""),"✗ 这笔要选客户",IF(AND(P2792="应收",COUNTIF(总览汇总!$B$5:$B$304,J2792)=0),"✗ 客户不在总览汇总名单里",IF(AND(P2792="应付",K2792=""),"✗ 这笔要选供应商",IF(AND(P2792="应付",COUNTIF(基础资料!$Q$5:$Q$54,K2792)=0),"✗ 供应商不在基础资料里",IF(AND(P2792="费用",L2792=""),"✗ 费用支出要选费用项目",IF(AND(L2792&lt;&gt;"",COUNTIF(基础资料!$AI$5:$AI$54,L2792)=0),"✗ 费用项目不在基础资料里",IF(AND(IFERROR(INDEX(基础资料!$AD$5:$AD$34,MATCH(O2792,基础资料!$AC$5:$AC$34,0)),"")="收",N(G2792)&lt;&gt;0),"✗ 这类是收款，金额填到收入列",IF(AND(IFERROR(INDEX(基础资料!$AD$5:$AD$34,MATCH(O2792,基础资料!$AC$5:$AC$34,0)),"")="支",N(F2792)&lt;&gt;0),"✗ 这类是付款，金额填到支出列",IF(N(H2792)&lt;0,"⚠ 账户余额成负数了，核对一下","√"))))))))))))))))))</f>
      </c>
      <c r="O2792" s="78">
        <f>IF(D2792&lt;&gt;"",D2792,IF(AND(F2792="",G2792=""),"",IF(J2792&lt;&gt;"",IF(N(F2792)&gt;0,"客户回款","客户退款"),IF(K2792&lt;&gt;"",IF(N(G2792)&gt;0,"供应商付款","供应商退款"),IF(L2792&lt;&gt;"","费用支出","")))))</f>
      </c>
      <c r="P2792" s="78">
        <f>IF(O2792="","",IFERROR(INDEX(基础资料!$AE$5:$AE$34,MATCH(O2792,基础资料!$AC$5:$AC$34,0)),"未知"))</f>
      </c>
      <c r="Q2792" s="78">
        <f>IF(P2792="应收",COUNTIF(P$7:P2792,"应收"),"")</f>
      </c>
      <c r="R2792" s="78">
        <f>IF(P2792="应付",COUNTIF(P$7:P2792,"应付"),"")</f>
      </c>
      <c r="S2792" s="78">
        <f>N(F2792)-N(G2792)</f>
        <v>0</v>
      </c>
    </row>
    <row r="2793">
      <c r="A2793" s="109">
        <f>IF(AND(F2793="",G2793=""),"",ROW()-6)</f>
      </c>
      <c r="B2793" s="140" t="n"/>
      <c r="C2793" s="141" t="n"/>
      <c r="D2793" s="141" t="n"/>
      <c r="E2793" s="142" t="n"/>
      <c r="F2793" s="143" t="n"/>
      <c r="G2793" s="144" t="n"/>
      <c r="H2793" s="145">
        <f>IF(OR(C2793="",AND(F2793="",G2793="")),"",SUMIF(基础资料!$W$5:$W$24,C2793,基础资料!$X$5:$X$24)+SUMIF(C$7:C2793,C2793,F$7:F2793)-SUMIF(C$7:C2793,C2793,G$7:G2793))</f>
      </c>
      <c r="I2793" s="145">
        <f>IF(AND(F2793="",G2793=""),"",SUM(基础资料!$X$5:$X$24)+SUM(F$7:F2793)-SUM(G$7:G2793))</f>
      </c>
      <c r="J2793" s="141" t="n"/>
      <c r="K2793" s="141" t="n"/>
      <c r="L2793" s="141" t="n"/>
      <c r="M2793" s="142" t="n"/>
      <c r="N2793" s="146">
        <f>IF(AND(AND(F2793="",G2793=""),B2793="",C2793="",D2793="",J2793="",K2793="",L2793=""),"",IF(AND(F2793="",G2793=""),"✗ 没填金额",IF(AND(N(F2793)&lt;&gt;0,N(G2793)&lt;&gt;0),"✗ 收入、支出只能填一边",IF(NOT(ISNUMBER(B2793)),"✗ 日期不是真日期（要像 2026/9/25 这样填）",IF(OR(B2793&lt;年初日,B2793&gt;年末日),"✗ 日期不在本会计年度",IF(C2793="","✗ 没选账户",IF(COUNTIF(基础资料!$W$5:$W$24,C2793)=0,"✗ 账户不在基础资料里",IF(O2793="","✗ 没选收支项目",IF(P2793="未知","✗ 收支项目不在基础资料里",IF(AND(P2793="应收",J2793=""),"✗ 这笔要选客户",IF(AND(P2793="应收",COUNTIF(总览汇总!$B$5:$B$304,J2793)=0),"✗ 客户不在总览汇总名单里",IF(AND(P2793="应付",K2793=""),"✗ 这笔要选供应商",IF(AND(P2793="应付",COUNTIF(基础资料!$Q$5:$Q$54,K2793)=0),"✗ 供应商不在基础资料里",IF(AND(P2793="费用",L2793=""),"✗ 费用支出要选费用项目",IF(AND(L2793&lt;&gt;"",COUNTIF(基础资料!$AI$5:$AI$54,L2793)=0),"✗ 费用项目不在基础资料里",IF(AND(IFERROR(INDEX(基础资料!$AD$5:$AD$34,MATCH(O2793,基础资料!$AC$5:$AC$34,0)),"")="收",N(G2793)&lt;&gt;0),"✗ 这类是收款，金额填到收入列",IF(AND(IFERROR(INDEX(基础资料!$AD$5:$AD$34,MATCH(O2793,基础资料!$AC$5:$AC$34,0)),"")="支",N(F2793)&lt;&gt;0),"✗ 这类是付款，金额填到支出列",IF(N(H2793)&lt;0,"⚠ 账户余额成负数了，核对一下","√"))))))))))))))))))</f>
      </c>
      <c r="O2793" s="78">
        <f>IF(D2793&lt;&gt;"",D2793,IF(AND(F2793="",G2793=""),"",IF(J2793&lt;&gt;"",IF(N(F2793)&gt;0,"客户回款","客户退款"),IF(K2793&lt;&gt;"",IF(N(G2793)&gt;0,"供应商付款","供应商退款"),IF(L2793&lt;&gt;"","费用支出","")))))</f>
      </c>
      <c r="P2793" s="78">
        <f>IF(O2793="","",IFERROR(INDEX(基础资料!$AE$5:$AE$34,MATCH(O2793,基础资料!$AC$5:$AC$34,0)),"未知"))</f>
      </c>
      <c r="Q2793" s="78">
        <f>IF(P2793="应收",COUNTIF(P$7:P2793,"应收"),"")</f>
      </c>
      <c r="R2793" s="78">
        <f>IF(P2793="应付",COUNTIF(P$7:P2793,"应付"),"")</f>
      </c>
      <c r="S2793" s="78">
        <f>N(F2793)-N(G2793)</f>
        <v>0</v>
      </c>
    </row>
    <row r="2794">
      <c r="A2794" s="109">
        <f>IF(AND(F2794="",G2794=""),"",ROW()-6)</f>
      </c>
      <c r="B2794" s="140" t="n"/>
      <c r="C2794" s="141" t="n"/>
      <c r="D2794" s="141" t="n"/>
      <c r="E2794" s="142" t="n"/>
      <c r="F2794" s="143" t="n"/>
      <c r="G2794" s="144" t="n"/>
      <c r="H2794" s="145">
        <f>IF(OR(C2794="",AND(F2794="",G2794="")),"",SUMIF(基础资料!$W$5:$W$24,C2794,基础资料!$X$5:$X$24)+SUMIF(C$7:C2794,C2794,F$7:F2794)-SUMIF(C$7:C2794,C2794,G$7:G2794))</f>
      </c>
      <c r="I2794" s="145">
        <f>IF(AND(F2794="",G2794=""),"",SUM(基础资料!$X$5:$X$24)+SUM(F$7:F2794)-SUM(G$7:G2794))</f>
      </c>
      <c r="J2794" s="141" t="n"/>
      <c r="K2794" s="141" t="n"/>
      <c r="L2794" s="141" t="n"/>
      <c r="M2794" s="142" t="n"/>
      <c r="N2794" s="146">
        <f>IF(AND(AND(F2794="",G2794=""),B2794="",C2794="",D2794="",J2794="",K2794="",L2794=""),"",IF(AND(F2794="",G2794=""),"✗ 没填金额",IF(AND(N(F2794)&lt;&gt;0,N(G2794)&lt;&gt;0),"✗ 收入、支出只能填一边",IF(NOT(ISNUMBER(B2794)),"✗ 日期不是真日期（要像 2026/9/25 这样填）",IF(OR(B2794&lt;年初日,B2794&gt;年末日),"✗ 日期不在本会计年度",IF(C2794="","✗ 没选账户",IF(COUNTIF(基础资料!$W$5:$W$24,C2794)=0,"✗ 账户不在基础资料里",IF(O2794="","✗ 没选收支项目",IF(P2794="未知","✗ 收支项目不在基础资料里",IF(AND(P2794="应收",J2794=""),"✗ 这笔要选客户",IF(AND(P2794="应收",COUNTIF(总览汇总!$B$5:$B$304,J2794)=0),"✗ 客户不在总览汇总名单里",IF(AND(P2794="应付",K2794=""),"✗ 这笔要选供应商",IF(AND(P2794="应付",COUNTIF(基础资料!$Q$5:$Q$54,K2794)=0),"✗ 供应商不在基础资料里",IF(AND(P2794="费用",L2794=""),"✗ 费用支出要选费用项目",IF(AND(L2794&lt;&gt;"",COUNTIF(基础资料!$AI$5:$AI$54,L2794)=0),"✗ 费用项目不在基础资料里",IF(AND(IFERROR(INDEX(基础资料!$AD$5:$AD$34,MATCH(O2794,基础资料!$AC$5:$AC$34,0)),"")="收",N(G2794)&lt;&gt;0),"✗ 这类是收款，金额填到收入列",IF(AND(IFERROR(INDEX(基础资料!$AD$5:$AD$34,MATCH(O2794,基础资料!$AC$5:$AC$34,0)),"")="支",N(F2794)&lt;&gt;0),"✗ 这类是付款，金额填到支出列",IF(N(H2794)&lt;0,"⚠ 账户余额成负数了，核对一下","√"))))))))))))))))))</f>
      </c>
      <c r="O2794" s="78">
        <f>IF(D2794&lt;&gt;"",D2794,IF(AND(F2794="",G2794=""),"",IF(J2794&lt;&gt;"",IF(N(F2794)&gt;0,"客户回款","客户退款"),IF(K2794&lt;&gt;"",IF(N(G2794)&gt;0,"供应商付款","供应商退款"),IF(L2794&lt;&gt;"","费用支出","")))))</f>
      </c>
      <c r="P2794" s="78">
        <f>IF(O2794="","",IFERROR(INDEX(基础资料!$AE$5:$AE$34,MATCH(O2794,基础资料!$AC$5:$AC$34,0)),"未知"))</f>
      </c>
      <c r="Q2794" s="78">
        <f>IF(P2794="应收",COUNTIF(P$7:P2794,"应收"),"")</f>
      </c>
      <c r="R2794" s="78">
        <f>IF(P2794="应付",COUNTIF(P$7:P2794,"应付"),"")</f>
      </c>
      <c r="S2794" s="78">
        <f>N(F2794)-N(G2794)</f>
        <v>0</v>
      </c>
    </row>
    <row r="2795">
      <c r="A2795" s="109">
        <f>IF(AND(F2795="",G2795=""),"",ROW()-6)</f>
      </c>
      <c r="B2795" s="140" t="n"/>
      <c r="C2795" s="141" t="n"/>
      <c r="D2795" s="141" t="n"/>
      <c r="E2795" s="142" t="n"/>
      <c r="F2795" s="143" t="n"/>
      <c r="G2795" s="144" t="n"/>
      <c r="H2795" s="145">
        <f>IF(OR(C2795="",AND(F2795="",G2795="")),"",SUMIF(基础资料!$W$5:$W$24,C2795,基础资料!$X$5:$X$24)+SUMIF(C$7:C2795,C2795,F$7:F2795)-SUMIF(C$7:C2795,C2795,G$7:G2795))</f>
      </c>
      <c r="I2795" s="145">
        <f>IF(AND(F2795="",G2795=""),"",SUM(基础资料!$X$5:$X$24)+SUM(F$7:F2795)-SUM(G$7:G2795))</f>
      </c>
      <c r="J2795" s="141" t="n"/>
      <c r="K2795" s="141" t="n"/>
      <c r="L2795" s="141" t="n"/>
      <c r="M2795" s="142" t="n"/>
      <c r="N2795" s="146">
        <f>IF(AND(AND(F2795="",G2795=""),B2795="",C2795="",D2795="",J2795="",K2795="",L2795=""),"",IF(AND(F2795="",G2795=""),"✗ 没填金额",IF(AND(N(F2795)&lt;&gt;0,N(G2795)&lt;&gt;0),"✗ 收入、支出只能填一边",IF(NOT(ISNUMBER(B2795)),"✗ 日期不是真日期（要像 2026/9/25 这样填）",IF(OR(B2795&lt;年初日,B2795&gt;年末日),"✗ 日期不在本会计年度",IF(C2795="","✗ 没选账户",IF(COUNTIF(基础资料!$W$5:$W$24,C2795)=0,"✗ 账户不在基础资料里",IF(O2795="","✗ 没选收支项目",IF(P2795="未知","✗ 收支项目不在基础资料里",IF(AND(P2795="应收",J2795=""),"✗ 这笔要选客户",IF(AND(P2795="应收",COUNTIF(总览汇总!$B$5:$B$304,J2795)=0),"✗ 客户不在总览汇总名单里",IF(AND(P2795="应付",K2795=""),"✗ 这笔要选供应商",IF(AND(P2795="应付",COUNTIF(基础资料!$Q$5:$Q$54,K2795)=0),"✗ 供应商不在基础资料里",IF(AND(P2795="费用",L2795=""),"✗ 费用支出要选费用项目",IF(AND(L2795&lt;&gt;"",COUNTIF(基础资料!$AI$5:$AI$54,L2795)=0),"✗ 费用项目不在基础资料里",IF(AND(IFERROR(INDEX(基础资料!$AD$5:$AD$34,MATCH(O2795,基础资料!$AC$5:$AC$34,0)),"")="收",N(G2795)&lt;&gt;0),"✗ 这类是收款，金额填到收入列",IF(AND(IFERROR(INDEX(基础资料!$AD$5:$AD$34,MATCH(O2795,基础资料!$AC$5:$AC$34,0)),"")="支",N(F2795)&lt;&gt;0),"✗ 这类是付款，金额填到支出列",IF(N(H2795)&lt;0,"⚠ 账户余额成负数了，核对一下","√"))))))))))))))))))</f>
      </c>
      <c r="O2795" s="78">
        <f>IF(D2795&lt;&gt;"",D2795,IF(AND(F2795="",G2795=""),"",IF(J2795&lt;&gt;"",IF(N(F2795)&gt;0,"客户回款","客户退款"),IF(K2795&lt;&gt;"",IF(N(G2795)&gt;0,"供应商付款","供应商退款"),IF(L2795&lt;&gt;"","费用支出","")))))</f>
      </c>
      <c r="P2795" s="78">
        <f>IF(O2795="","",IFERROR(INDEX(基础资料!$AE$5:$AE$34,MATCH(O2795,基础资料!$AC$5:$AC$34,0)),"未知"))</f>
      </c>
      <c r="Q2795" s="78">
        <f>IF(P2795="应收",COUNTIF(P$7:P2795,"应收"),"")</f>
      </c>
      <c r="R2795" s="78">
        <f>IF(P2795="应付",COUNTIF(P$7:P2795,"应付"),"")</f>
      </c>
      <c r="S2795" s="78">
        <f>N(F2795)-N(G2795)</f>
        <v>0</v>
      </c>
    </row>
    <row r="2796">
      <c r="A2796" s="109">
        <f>IF(AND(F2796="",G2796=""),"",ROW()-6)</f>
      </c>
      <c r="B2796" s="140" t="n"/>
      <c r="C2796" s="141" t="n"/>
      <c r="D2796" s="141" t="n"/>
      <c r="E2796" s="142" t="n"/>
      <c r="F2796" s="143" t="n"/>
      <c r="G2796" s="144" t="n"/>
      <c r="H2796" s="145">
        <f>IF(OR(C2796="",AND(F2796="",G2796="")),"",SUMIF(基础资料!$W$5:$W$24,C2796,基础资料!$X$5:$X$24)+SUMIF(C$7:C2796,C2796,F$7:F2796)-SUMIF(C$7:C2796,C2796,G$7:G2796))</f>
      </c>
      <c r="I2796" s="145">
        <f>IF(AND(F2796="",G2796=""),"",SUM(基础资料!$X$5:$X$24)+SUM(F$7:F2796)-SUM(G$7:G2796))</f>
      </c>
      <c r="J2796" s="141" t="n"/>
      <c r="K2796" s="141" t="n"/>
      <c r="L2796" s="141" t="n"/>
      <c r="M2796" s="142" t="n"/>
      <c r="N2796" s="146">
        <f>IF(AND(AND(F2796="",G2796=""),B2796="",C2796="",D2796="",J2796="",K2796="",L2796=""),"",IF(AND(F2796="",G2796=""),"✗ 没填金额",IF(AND(N(F2796)&lt;&gt;0,N(G2796)&lt;&gt;0),"✗ 收入、支出只能填一边",IF(NOT(ISNUMBER(B2796)),"✗ 日期不是真日期（要像 2026/9/25 这样填）",IF(OR(B2796&lt;年初日,B2796&gt;年末日),"✗ 日期不在本会计年度",IF(C2796="","✗ 没选账户",IF(COUNTIF(基础资料!$W$5:$W$24,C2796)=0,"✗ 账户不在基础资料里",IF(O2796="","✗ 没选收支项目",IF(P2796="未知","✗ 收支项目不在基础资料里",IF(AND(P2796="应收",J2796=""),"✗ 这笔要选客户",IF(AND(P2796="应收",COUNTIF(总览汇总!$B$5:$B$304,J2796)=0),"✗ 客户不在总览汇总名单里",IF(AND(P2796="应付",K2796=""),"✗ 这笔要选供应商",IF(AND(P2796="应付",COUNTIF(基础资料!$Q$5:$Q$54,K2796)=0),"✗ 供应商不在基础资料里",IF(AND(P2796="费用",L2796=""),"✗ 费用支出要选费用项目",IF(AND(L2796&lt;&gt;"",COUNTIF(基础资料!$AI$5:$AI$54,L2796)=0),"✗ 费用项目不在基础资料里",IF(AND(IFERROR(INDEX(基础资料!$AD$5:$AD$34,MATCH(O2796,基础资料!$AC$5:$AC$34,0)),"")="收",N(G2796)&lt;&gt;0),"✗ 这类是收款，金额填到收入列",IF(AND(IFERROR(INDEX(基础资料!$AD$5:$AD$34,MATCH(O2796,基础资料!$AC$5:$AC$34,0)),"")="支",N(F2796)&lt;&gt;0),"✗ 这类是付款，金额填到支出列",IF(N(H2796)&lt;0,"⚠ 账户余额成负数了，核对一下","√"))))))))))))))))))</f>
      </c>
      <c r="O2796" s="78">
        <f>IF(D2796&lt;&gt;"",D2796,IF(AND(F2796="",G2796=""),"",IF(J2796&lt;&gt;"",IF(N(F2796)&gt;0,"客户回款","客户退款"),IF(K2796&lt;&gt;"",IF(N(G2796)&gt;0,"供应商付款","供应商退款"),IF(L2796&lt;&gt;"","费用支出","")))))</f>
      </c>
      <c r="P2796" s="78">
        <f>IF(O2796="","",IFERROR(INDEX(基础资料!$AE$5:$AE$34,MATCH(O2796,基础资料!$AC$5:$AC$34,0)),"未知"))</f>
      </c>
      <c r="Q2796" s="78">
        <f>IF(P2796="应收",COUNTIF(P$7:P2796,"应收"),"")</f>
      </c>
      <c r="R2796" s="78">
        <f>IF(P2796="应付",COUNTIF(P$7:P2796,"应付"),"")</f>
      </c>
      <c r="S2796" s="78">
        <f>N(F2796)-N(G2796)</f>
        <v>0</v>
      </c>
    </row>
    <row r="2797">
      <c r="A2797" s="109">
        <f>IF(AND(F2797="",G2797=""),"",ROW()-6)</f>
      </c>
      <c r="B2797" s="140" t="n"/>
      <c r="C2797" s="141" t="n"/>
      <c r="D2797" s="141" t="n"/>
      <c r="E2797" s="142" t="n"/>
      <c r="F2797" s="143" t="n"/>
      <c r="G2797" s="144" t="n"/>
      <c r="H2797" s="145">
        <f>IF(OR(C2797="",AND(F2797="",G2797="")),"",SUMIF(基础资料!$W$5:$W$24,C2797,基础资料!$X$5:$X$24)+SUMIF(C$7:C2797,C2797,F$7:F2797)-SUMIF(C$7:C2797,C2797,G$7:G2797))</f>
      </c>
      <c r="I2797" s="145">
        <f>IF(AND(F2797="",G2797=""),"",SUM(基础资料!$X$5:$X$24)+SUM(F$7:F2797)-SUM(G$7:G2797))</f>
      </c>
      <c r="J2797" s="141" t="n"/>
      <c r="K2797" s="141" t="n"/>
      <c r="L2797" s="141" t="n"/>
      <c r="M2797" s="142" t="n"/>
      <c r="N2797" s="146">
        <f>IF(AND(AND(F2797="",G2797=""),B2797="",C2797="",D2797="",J2797="",K2797="",L2797=""),"",IF(AND(F2797="",G2797=""),"✗ 没填金额",IF(AND(N(F2797)&lt;&gt;0,N(G2797)&lt;&gt;0),"✗ 收入、支出只能填一边",IF(NOT(ISNUMBER(B2797)),"✗ 日期不是真日期（要像 2026/9/25 这样填）",IF(OR(B2797&lt;年初日,B2797&gt;年末日),"✗ 日期不在本会计年度",IF(C2797="","✗ 没选账户",IF(COUNTIF(基础资料!$W$5:$W$24,C2797)=0,"✗ 账户不在基础资料里",IF(O2797="","✗ 没选收支项目",IF(P2797="未知","✗ 收支项目不在基础资料里",IF(AND(P2797="应收",J2797=""),"✗ 这笔要选客户",IF(AND(P2797="应收",COUNTIF(总览汇总!$B$5:$B$304,J2797)=0),"✗ 客户不在总览汇总名单里",IF(AND(P2797="应付",K2797=""),"✗ 这笔要选供应商",IF(AND(P2797="应付",COUNTIF(基础资料!$Q$5:$Q$54,K2797)=0),"✗ 供应商不在基础资料里",IF(AND(P2797="费用",L2797=""),"✗ 费用支出要选费用项目",IF(AND(L2797&lt;&gt;"",COUNTIF(基础资料!$AI$5:$AI$54,L2797)=0),"✗ 费用项目不在基础资料里",IF(AND(IFERROR(INDEX(基础资料!$AD$5:$AD$34,MATCH(O2797,基础资料!$AC$5:$AC$34,0)),"")="收",N(G2797)&lt;&gt;0),"✗ 这类是收款，金额填到收入列",IF(AND(IFERROR(INDEX(基础资料!$AD$5:$AD$34,MATCH(O2797,基础资料!$AC$5:$AC$34,0)),"")="支",N(F2797)&lt;&gt;0),"✗ 这类是付款，金额填到支出列",IF(N(H2797)&lt;0,"⚠ 账户余额成负数了，核对一下","√"))))))))))))))))))</f>
      </c>
      <c r="O2797" s="78">
        <f>IF(D2797&lt;&gt;"",D2797,IF(AND(F2797="",G2797=""),"",IF(J2797&lt;&gt;"",IF(N(F2797)&gt;0,"客户回款","客户退款"),IF(K2797&lt;&gt;"",IF(N(G2797)&gt;0,"供应商付款","供应商退款"),IF(L2797&lt;&gt;"","费用支出","")))))</f>
      </c>
      <c r="P2797" s="78">
        <f>IF(O2797="","",IFERROR(INDEX(基础资料!$AE$5:$AE$34,MATCH(O2797,基础资料!$AC$5:$AC$34,0)),"未知"))</f>
      </c>
      <c r="Q2797" s="78">
        <f>IF(P2797="应收",COUNTIF(P$7:P2797,"应收"),"")</f>
      </c>
      <c r="R2797" s="78">
        <f>IF(P2797="应付",COUNTIF(P$7:P2797,"应付"),"")</f>
      </c>
      <c r="S2797" s="78">
        <f>N(F2797)-N(G2797)</f>
        <v>0</v>
      </c>
    </row>
    <row r="2798">
      <c r="A2798" s="109">
        <f>IF(AND(F2798="",G2798=""),"",ROW()-6)</f>
      </c>
      <c r="B2798" s="140" t="n"/>
      <c r="C2798" s="141" t="n"/>
      <c r="D2798" s="141" t="n"/>
      <c r="E2798" s="142" t="n"/>
      <c r="F2798" s="143" t="n"/>
      <c r="G2798" s="144" t="n"/>
      <c r="H2798" s="145">
        <f>IF(OR(C2798="",AND(F2798="",G2798="")),"",SUMIF(基础资料!$W$5:$W$24,C2798,基础资料!$X$5:$X$24)+SUMIF(C$7:C2798,C2798,F$7:F2798)-SUMIF(C$7:C2798,C2798,G$7:G2798))</f>
      </c>
      <c r="I2798" s="145">
        <f>IF(AND(F2798="",G2798=""),"",SUM(基础资料!$X$5:$X$24)+SUM(F$7:F2798)-SUM(G$7:G2798))</f>
      </c>
      <c r="J2798" s="141" t="n"/>
      <c r="K2798" s="141" t="n"/>
      <c r="L2798" s="141" t="n"/>
      <c r="M2798" s="142" t="n"/>
      <c r="N2798" s="146">
        <f>IF(AND(AND(F2798="",G2798=""),B2798="",C2798="",D2798="",J2798="",K2798="",L2798=""),"",IF(AND(F2798="",G2798=""),"✗ 没填金额",IF(AND(N(F2798)&lt;&gt;0,N(G2798)&lt;&gt;0),"✗ 收入、支出只能填一边",IF(NOT(ISNUMBER(B2798)),"✗ 日期不是真日期（要像 2026/9/25 这样填）",IF(OR(B2798&lt;年初日,B2798&gt;年末日),"✗ 日期不在本会计年度",IF(C2798="","✗ 没选账户",IF(COUNTIF(基础资料!$W$5:$W$24,C2798)=0,"✗ 账户不在基础资料里",IF(O2798="","✗ 没选收支项目",IF(P2798="未知","✗ 收支项目不在基础资料里",IF(AND(P2798="应收",J2798=""),"✗ 这笔要选客户",IF(AND(P2798="应收",COUNTIF(总览汇总!$B$5:$B$304,J2798)=0),"✗ 客户不在总览汇总名单里",IF(AND(P2798="应付",K2798=""),"✗ 这笔要选供应商",IF(AND(P2798="应付",COUNTIF(基础资料!$Q$5:$Q$54,K2798)=0),"✗ 供应商不在基础资料里",IF(AND(P2798="费用",L2798=""),"✗ 费用支出要选费用项目",IF(AND(L2798&lt;&gt;"",COUNTIF(基础资料!$AI$5:$AI$54,L2798)=0),"✗ 费用项目不在基础资料里",IF(AND(IFERROR(INDEX(基础资料!$AD$5:$AD$34,MATCH(O2798,基础资料!$AC$5:$AC$34,0)),"")="收",N(G2798)&lt;&gt;0),"✗ 这类是收款，金额填到收入列",IF(AND(IFERROR(INDEX(基础资料!$AD$5:$AD$34,MATCH(O2798,基础资料!$AC$5:$AC$34,0)),"")="支",N(F2798)&lt;&gt;0),"✗ 这类是付款，金额填到支出列",IF(N(H2798)&lt;0,"⚠ 账户余额成负数了，核对一下","√"))))))))))))))))))</f>
      </c>
      <c r="O2798" s="78">
        <f>IF(D2798&lt;&gt;"",D2798,IF(AND(F2798="",G2798=""),"",IF(J2798&lt;&gt;"",IF(N(F2798)&gt;0,"客户回款","客户退款"),IF(K2798&lt;&gt;"",IF(N(G2798)&gt;0,"供应商付款","供应商退款"),IF(L2798&lt;&gt;"","费用支出","")))))</f>
      </c>
      <c r="P2798" s="78">
        <f>IF(O2798="","",IFERROR(INDEX(基础资料!$AE$5:$AE$34,MATCH(O2798,基础资料!$AC$5:$AC$34,0)),"未知"))</f>
      </c>
      <c r="Q2798" s="78">
        <f>IF(P2798="应收",COUNTIF(P$7:P2798,"应收"),"")</f>
      </c>
      <c r="R2798" s="78">
        <f>IF(P2798="应付",COUNTIF(P$7:P2798,"应付"),"")</f>
      </c>
      <c r="S2798" s="78">
        <f>N(F2798)-N(G2798)</f>
        <v>0</v>
      </c>
    </row>
    <row r="2799">
      <c r="A2799" s="109">
        <f>IF(AND(F2799="",G2799=""),"",ROW()-6)</f>
      </c>
      <c r="B2799" s="140" t="n"/>
      <c r="C2799" s="141" t="n"/>
      <c r="D2799" s="141" t="n"/>
      <c r="E2799" s="142" t="n"/>
      <c r="F2799" s="143" t="n"/>
      <c r="G2799" s="144" t="n"/>
      <c r="H2799" s="145">
        <f>IF(OR(C2799="",AND(F2799="",G2799="")),"",SUMIF(基础资料!$W$5:$W$24,C2799,基础资料!$X$5:$X$24)+SUMIF(C$7:C2799,C2799,F$7:F2799)-SUMIF(C$7:C2799,C2799,G$7:G2799))</f>
      </c>
      <c r="I2799" s="145">
        <f>IF(AND(F2799="",G2799=""),"",SUM(基础资料!$X$5:$X$24)+SUM(F$7:F2799)-SUM(G$7:G2799))</f>
      </c>
      <c r="J2799" s="141" t="n"/>
      <c r="K2799" s="141" t="n"/>
      <c r="L2799" s="141" t="n"/>
      <c r="M2799" s="142" t="n"/>
      <c r="N2799" s="146">
        <f>IF(AND(AND(F2799="",G2799=""),B2799="",C2799="",D2799="",J2799="",K2799="",L2799=""),"",IF(AND(F2799="",G2799=""),"✗ 没填金额",IF(AND(N(F2799)&lt;&gt;0,N(G2799)&lt;&gt;0),"✗ 收入、支出只能填一边",IF(NOT(ISNUMBER(B2799)),"✗ 日期不是真日期（要像 2026/9/25 这样填）",IF(OR(B2799&lt;年初日,B2799&gt;年末日),"✗ 日期不在本会计年度",IF(C2799="","✗ 没选账户",IF(COUNTIF(基础资料!$W$5:$W$24,C2799)=0,"✗ 账户不在基础资料里",IF(O2799="","✗ 没选收支项目",IF(P2799="未知","✗ 收支项目不在基础资料里",IF(AND(P2799="应收",J2799=""),"✗ 这笔要选客户",IF(AND(P2799="应收",COUNTIF(总览汇总!$B$5:$B$304,J2799)=0),"✗ 客户不在总览汇总名单里",IF(AND(P2799="应付",K2799=""),"✗ 这笔要选供应商",IF(AND(P2799="应付",COUNTIF(基础资料!$Q$5:$Q$54,K2799)=0),"✗ 供应商不在基础资料里",IF(AND(P2799="费用",L2799=""),"✗ 费用支出要选费用项目",IF(AND(L2799&lt;&gt;"",COUNTIF(基础资料!$AI$5:$AI$54,L2799)=0),"✗ 费用项目不在基础资料里",IF(AND(IFERROR(INDEX(基础资料!$AD$5:$AD$34,MATCH(O2799,基础资料!$AC$5:$AC$34,0)),"")="收",N(G2799)&lt;&gt;0),"✗ 这类是收款，金额填到收入列",IF(AND(IFERROR(INDEX(基础资料!$AD$5:$AD$34,MATCH(O2799,基础资料!$AC$5:$AC$34,0)),"")="支",N(F2799)&lt;&gt;0),"✗ 这类是付款，金额填到支出列",IF(N(H2799)&lt;0,"⚠ 账户余额成负数了，核对一下","√"))))))))))))))))))</f>
      </c>
      <c r="O2799" s="78">
        <f>IF(D2799&lt;&gt;"",D2799,IF(AND(F2799="",G2799=""),"",IF(J2799&lt;&gt;"",IF(N(F2799)&gt;0,"客户回款","客户退款"),IF(K2799&lt;&gt;"",IF(N(G2799)&gt;0,"供应商付款","供应商退款"),IF(L2799&lt;&gt;"","费用支出","")))))</f>
      </c>
      <c r="P2799" s="78">
        <f>IF(O2799="","",IFERROR(INDEX(基础资料!$AE$5:$AE$34,MATCH(O2799,基础资料!$AC$5:$AC$34,0)),"未知"))</f>
      </c>
      <c r="Q2799" s="78">
        <f>IF(P2799="应收",COUNTIF(P$7:P2799,"应收"),"")</f>
      </c>
      <c r="R2799" s="78">
        <f>IF(P2799="应付",COUNTIF(P$7:P2799,"应付"),"")</f>
      </c>
      <c r="S2799" s="78">
        <f>N(F2799)-N(G2799)</f>
        <v>0</v>
      </c>
    </row>
    <row r="2800">
      <c r="A2800" s="109">
        <f>IF(AND(F2800="",G2800=""),"",ROW()-6)</f>
      </c>
      <c r="B2800" s="140" t="n"/>
      <c r="C2800" s="141" t="n"/>
      <c r="D2800" s="141" t="n"/>
      <c r="E2800" s="142" t="n"/>
      <c r="F2800" s="143" t="n"/>
      <c r="G2800" s="144" t="n"/>
      <c r="H2800" s="145">
        <f>IF(OR(C2800="",AND(F2800="",G2800="")),"",SUMIF(基础资料!$W$5:$W$24,C2800,基础资料!$X$5:$X$24)+SUMIF(C$7:C2800,C2800,F$7:F2800)-SUMIF(C$7:C2800,C2800,G$7:G2800))</f>
      </c>
      <c r="I2800" s="145">
        <f>IF(AND(F2800="",G2800=""),"",SUM(基础资料!$X$5:$X$24)+SUM(F$7:F2800)-SUM(G$7:G2800))</f>
      </c>
      <c r="J2800" s="141" t="n"/>
      <c r="K2800" s="141" t="n"/>
      <c r="L2800" s="141" t="n"/>
      <c r="M2800" s="142" t="n"/>
      <c r="N2800" s="146">
        <f>IF(AND(AND(F2800="",G2800=""),B2800="",C2800="",D2800="",J2800="",K2800="",L2800=""),"",IF(AND(F2800="",G2800=""),"✗ 没填金额",IF(AND(N(F2800)&lt;&gt;0,N(G2800)&lt;&gt;0),"✗ 收入、支出只能填一边",IF(NOT(ISNUMBER(B2800)),"✗ 日期不是真日期（要像 2026/9/25 这样填）",IF(OR(B2800&lt;年初日,B2800&gt;年末日),"✗ 日期不在本会计年度",IF(C2800="","✗ 没选账户",IF(COUNTIF(基础资料!$W$5:$W$24,C2800)=0,"✗ 账户不在基础资料里",IF(O2800="","✗ 没选收支项目",IF(P2800="未知","✗ 收支项目不在基础资料里",IF(AND(P2800="应收",J2800=""),"✗ 这笔要选客户",IF(AND(P2800="应收",COUNTIF(总览汇总!$B$5:$B$304,J2800)=0),"✗ 客户不在总览汇总名单里",IF(AND(P2800="应付",K2800=""),"✗ 这笔要选供应商",IF(AND(P2800="应付",COUNTIF(基础资料!$Q$5:$Q$54,K2800)=0),"✗ 供应商不在基础资料里",IF(AND(P2800="费用",L2800=""),"✗ 费用支出要选费用项目",IF(AND(L2800&lt;&gt;"",COUNTIF(基础资料!$AI$5:$AI$54,L2800)=0),"✗ 费用项目不在基础资料里",IF(AND(IFERROR(INDEX(基础资料!$AD$5:$AD$34,MATCH(O2800,基础资料!$AC$5:$AC$34,0)),"")="收",N(G2800)&lt;&gt;0),"✗ 这类是收款，金额填到收入列",IF(AND(IFERROR(INDEX(基础资料!$AD$5:$AD$34,MATCH(O2800,基础资料!$AC$5:$AC$34,0)),"")="支",N(F2800)&lt;&gt;0),"✗ 这类是付款，金额填到支出列",IF(N(H2800)&lt;0,"⚠ 账户余额成负数了，核对一下","√"))))))))))))))))))</f>
      </c>
      <c r="O2800" s="78">
        <f>IF(D2800&lt;&gt;"",D2800,IF(AND(F2800="",G2800=""),"",IF(J2800&lt;&gt;"",IF(N(F2800)&gt;0,"客户回款","客户退款"),IF(K2800&lt;&gt;"",IF(N(G2800)&gt;0,"供应商付款","供应商退款"),IF(L2800&lt;&gt;"","费用支出","")))))</f>
      </c>
      <c r="P2800" s="78">
        <f>IF(O2800="","",IFERROR(INDEX(基础资料!$AE$5:$AE$34,MATCH(O2800,基础资料!$AC$5:$AC$34,0)),"未知"))</f>
      </c>
      <c r="Q2800" s="78">
        <f>IF(P2800="应收",COUNTIF(P$7:P2800,"应收"),"")</f>
      </c>
      <c r="R2800" s="78">
        <f>IF(P2800="应付",COUNTIF(P$7:P2800,"应付"),"")</f>
      </c>
      <c r="S2800" s="78">
        <f>N(F2800)-N(G2800)</f>
        <v>0</v>
      </c>
    </row>
    <row r="2801">
      <c r="A2801" s="109">
        <f>IF(AND(F2801="",G2801=""),"",ROW()-6)</f>
      </c>
      <c r="B2801" s="140" t="n"/>
      <c r="C2801" s="141" t="n"/>
      <c r="D2801" s="141" t="n"/>
      <c r="E2801" s="142" t="n"/>
      <c r="F2801" s="143" t="n"/>
      <c r="G2801" s="144" t="n"/>
      <c r="H2801" s="145">
        <f>IF(OR(C2801="",AND(F2801="",G2801="")),"",SUMIF(基础资料!$W$5:$W$24,C2801,基础资料!$X$5:$X$24)+SUMIF(C$7:C2801,C2801,F$7:F2801)-SUMIF(C$7:C2801,C2801,G$7:G2801))</f>
      </c>
      <c r="I2801" s="145">
        <f>IF(AND(F2801="",G2801=""),"",SUM(基础资料!$X$5:$X$24)+SUM(F$7:F2801)-SUM(G$7:G2801))</f>
      </c>
      <c r="J2801" s="141" t="n"/>
      <c r="K2801" s="141" t="n"/>
      <c r="L2801" s="141" t="n"/>
      <c r="M2801" s="142" t="n"/>
      <c r="N2801" s="146">
        <f>IF(AND(AND(F2801="",G2801=""),B2801="",C2801="",D2801="",J2801="",K2801="",L2801=""),"",IF(AND(F2801="",G2801=""),"✗ 没填金额",IF(AND(N(F2801)&lt;&gt;0,N(G2801)&lt;&gt;0),"✗ 收入、支出只能填一边",IF(NOT(ISNUMBER(B2801)),"✗ 日期不是真日期（要像 2026/9/25 这样填）",IF(OR(B2801&lt;年初日,B2801&gt;年末日),"✗ 日期不在本会计年度",IF(C2801="","✗ 没选账户",IF(COUNTIF(基础资料!$W$5:$W$24,C2801)=0,"✗ 账户不在基础资料里",IF(O2801="","✗ 没选收支项目",IF(P2801="未知","✗ 收支项目不在基础资料里",IF(AND(P2801="应收",J2801=""),"✗ 这笔要选客户",IF(AND(P2801="应收",COUNTIF(总览汇总!$B$5:$B$304,J2801)=0),"✗ 客户不在总览汇总名单里",IF(AND(P2801="应付",K2801=""),"✗ 这笔要选供应商",IF(AND(P2801="应付",COUNTIF(基础资料!$Q$5:$Q$54,K2801)=0),"✗ 供应商不在基础资料里",IF(AND(P2801="费用",L2801=""),"✗ 费用支出要选费用项目",IF(AND(L2801&lt;&gt;"",COUNTIF(基础资料!$AI$5:$AI$54,L2801)=0),"✗ 费用项目不在基础资料里",IF(AND(IFERROR(INDEX(基础资料!$AD$5:$AD$34,MATCH(O2801,基础资料!$AC$5:$AC$34,0)),"")="收",N(G2801)&lt;&gt;0),"✗ 这类是收款，金额填到收入列",IF(AND(IFERROR(INDEX(基础资料!$AD$5:$AD$34,MATCH(O2801,基础资料!$AC$5:$AC$34,0)),"")="支",N(F2801)&lt;&gt;0),"✗ 这类是付款，金额填到支出列",IF(N(H2801)&lt;0,"⚠ 账户余额成负数了，核对一下","√"))))))))))))))))))</f>
      </c>
      <c r="O2801" s="78">
        <f>IF(D2801&lt;&gt;"",D2801,IF(AND(F2801="",G2801=""),"",IF(J2801&lt;&gt;"",IF(N(F2801)&gt;0,"客户回款","客户退款"),IF(K2801&lt;&gt;"",IF(N(G2801)&gt;0,"供应商付款","供应商退款"),IF(L2801&lt;&gt;"","费用支出","")))))</f>
      </c>
      <c r="P2801" s="78">
        <f>IF(O2801="","",IFERROR(INDEX(基础资料!$AE$5:$AE$34,MATCH(O2801,基础资料!$AC$5:$AC$34,0)),"未知"))</f>
      </c>
      <c r="Q2801" s="78">
        <f>IF(P2801="应收",COUNTIF(P$7:P2801,"应收"),"")</f>
      </c>
      <c r="R2801" s="78">
        <f>IF(P2801="应付",COUNTIF(P$7:P2801,"应付"),"")</f>
      </c>
      <c r="S2801" s="78">
        <f>N(F2801)-N(G2801)</f>
        <v>0</v>
      </c>
    </row>
    <row r="2802">
      <c r="A2802" s="109">
        <f>IF(AND(F2802="",G2802=""),"",ROW()-6)</f>
      </c>
      <c r="B2802" s="140" t="n"/>
      <c r="C2802" s="141" t="n"/>
      <c r="D2802" s="141" t="n"/>
      <c r="E2802" s="142" t="n"/>
      <c r="F2802" s="143" t="n"/>
      <c r="G2802" s="144" t="n"/>
      <c r="H2802" s="145">
        <f>IF(OR(C2802="",AND(F2802="",G2802="")),"",SUMIF(基础资料!$W$5:$W$24,C2802,基础资料!$X$5:$X$24)+SUMIF(C$7:C2802,C2802,F$7:F2802)-SUMIF(C$7:C2802,C2802,G$7:G2802))</f>
      </c>
      <c r="I2802" s="145">
        <f>IF(AND(F2802="",G2802=""),"",SUM(基础资料!$X$5:$X$24)+SUM(F$7:F2802)-SUM(G$7:G2802))</f>
      </c>
      <c r="J2802" s="141" t="n"/>
      <c r="K2802" s="141" t="n"/>
      <c r="L2802" s="141" t="n"/>
      <c r="M2802" s="142" t="n"/>
      <c r="N2802" s="146">
        <f>IF(AND(AND(F2802="",G2802=""),B2802="",C2802="",D2802="",J2802="",K2802="",L2802=""),"",IF(AND(F2802="",G2802=""),"✗ 没填金额",IF(AND(N(F2802)&lt;&gt;0,N(G2802)&lt;&gt;0),"✗ 收入、支出只能填一边",IF(NOT(ISNUMBER(B2802)),"✗ 日期不是真日期（要像 2026/9/25 这样填）",IF(OR(B2802&lt;年初日,B2802&gt;年末日),"✗ 日期不在本会计年度",IF(C2802="","✗ 没选账户",IF(COUNTIF(基础资料!$W$5:$W$24,C2802)=0,"✗ 账户不在基础资料里",IF(O2802="","✗ 没选收支项目",IF(P2802="未知","✗ 收支项目不在基础资料里",IF(AND(P2802="应收",J2802=""),"✗ 这笔要选客户",IF(AND(P2802="应收",COUNTIF(总览汇总!$B$5:$B$304,J2802)=0),"✗ 客户不在总览汇总名单里",IF(AND(P2802="应付",K2802=""),"✗ 这笔要选供应商",IF(AND(P2802="应付",COUNTIF(基础资料!$Q$5:$Q$54,K2802)=0),"✗ 供应商不在基础资料里",IF(AND(P2802="费用",L2802=""),"✗ 费用支出要选费用项目",IF(AND(L2802&lt;&gt;"",COUNTIF(基础资料!$AI$5:$AI$54,L2802)=0),"✗ 费用项目不在基础资料里",IF(AND(IFERROR(INDEX(基础资料!$AD$5:$AD$34,MATCH(O2802,基础资料!$AC$5:$AC$34,0)),"")="收",N(G2802)&lt;&gt;0),"✗ 这类是收款，金额填到收入列",IF(AND(IFERROR(INDEX(基础资料!$AD$5:$AD$34,MATCH(O2802,基础资料!$AC$5:$AC$34,0)),"")="支",N(F2802)&lt;&gt;0),"✗ 这类是付款，金额填到支出列",IF(N(H2802)&lt;0,"⚠ 账户余额成负数了，核对一下","√"))))))))))))))))))</f>
      </c>
      <c r="O2802" s="78">
        <f>IF(D2802&lt;&gt;"",D2802,IF(AND(F2802="",G2802=""),"",IF(J2802&lt;&gt;"",IF(N(F2802)&gt;0,"客户回款","客户退款"),IF(K2802&lt;&gt;"",IF(N(G2802)&gt;0,"供应商付款","供应商退款"),IF(L2802&lt;&gt;"","费用支出","")))))</f>
      </c>
      <c r="P2802" s="78">
        <f>IF(O2802="","",IFERROR(INDEX(基础资料!$AE$5:$AE$34,MATCH(O2802,基础资料!$AC$5:$AC$34,0)),"未知"))</f>
      </c>
      <c r="Q2802" s="78">
        <f>IF(P2802="应收",COUNTIF(P$7:P2802,"应收"),"")</f>
      </c>
      <c r="R2802" s="78">
        <f>IF(P2802="应付",COUNTIF(P$7:P2802,"应付"),"")</f>
      </c>
      <c r="S2802" s="78">
        <f>N(F2802)-N(G2802)</f>
        <v>0</v>
      </c>
    </row>
    <row r="2803">
      <c r="A2803" s="109">
        <f>IF(AND(F2803="",G2803=""),"",ROW()-6)</f>
      </c>
      <c r="B2803" s="140" t="n"/>
      <c r="C2803" s="141" t="n"/>
      <c r="D2803" s="141" t="n"/>
      <c r="E2803" s="142" t="n"/>
      <c r="F2803" s="143" t="n"/>
      <c r="G2803" s="144" t="n"/>
      <c r="H2803" s="145">
        <f>IF(OR(C2803="",AND(F2803="",G2803="")),"",SUMIF(基础资料!$W$5:$W$24,C2803,基础资料!$X$5:$X$24)+SUMIF(C$7:C2803,C2803,F$7:F2803)-SUMIF(C$7:C2803,C2803,G$7:G2803))</f>
      </c>
      <c r="I2803" s="145">
        <f>IF(AND(F2803="",G2803=""),"",SUM(基础资料!$X$5:$X$24)+SUM(F$7:F2803)-SUM(G$7:G2803))</f>
      </c>
      <c r="J2803" s="141" t="n"/>
      <c r="K2803" s="141" t="n"/>
      <c r="L2803" s="141" t="n"/>
      <c r="M2803" s="142" t="n"/>
      <c r="N2803" s="146">
        <f>IF(AND(AND(F2803="",G2803=""),B2803="",C2803="",D2803="",J2803="",K2803="",L2803=""),"",IF(AND(F2803="",G2803=""),"✗ 没填金额",IF(AND(N(F2803)&lt;&gt;0,N(G2803)&lt;&gt;0),"✗ 收入、支出只能填一边",IF(NOT(ISNUMBER(B2803)),"✗ 日期不是真日期（要像 2026/9/25 这样填）",IF(OR(B2803&lt;年初日,B2803&gt;年末日),"✗ 日期不在本会计年度",IF(C2803="","✗ 没选账户",IF(COUNTIF(基础资料!$W$5:$W$24,C2803)=0,"✗ 账户不在基础资料里",IF(O2803="","✗ 没选收支项目",IF(P2803="未知","✗ 收支项目不在基础资料里",IF(AND(P2803="应收",J2803=""),"✗ 这笔要选客户",IF(AND(P2803="应收",COUNTIF(总览汇总!$B$5:$B$304,J2803)=0),"✗ 客户不在总览汇总名单里",IF(AND(P2803="应付",K2803=""),"✗ 这笔要选供应商",IF(AND(P2803="应付",COUNTIF(基础资料!$Q$5:$Q$54,K2803)=0),"✗ 供应商不在基础资料里",IF(AND(P2803="费用",L2803=""),"✗ 费用支出要选费用项目",IF(AND(L2803&lt;&gt;"",COUNTIF(基础资料!$AI$5:$AI$54,L2803)=0),"✗ 费用项目不在基础资料里",IF(AND(IFERROR(INDEX(基础资料!$AD$5:$AD$34,MATCH(O2803,基础资料!$AC$5:$AC$34,0)),"")="收",N(G2803)&lt;&gt;0),"✗ 这类是收款，金额填到收入列",IF(AND(IFERROR(INDEX(基础资料!$AD$5:$AD$34,MATCH(O2803,基础资料!$AC$5:$AC$34,0)),"")="支",N(F2803)&lt;&gt;0),"✗ 这类是付款，金额填到支出列",IF(N(H2803)&lt;0,"⚠ 账户余额成负数了，核对一下","√"))))))))))))))))))</f>
      </c>
      <c r="O2803" s="78">
        <f>IF(D2803&lt;&gt;"",D2803,IF(AND(F2803="",G2803=""),"",IF(J2803&lt;&gt;"",IF(N(F2803)&gt;0,"客户回款","客户退款"),IF(K2803&lt;&gt;"",IF(N(G2803)&gt;0,"供应商付款","供应商退款"),IF(L2803&lt;&gt;"","费用支出","")))))</f>
      </c>
      <c r="P2803" s="78">
        <f>IF(O2803="","",IFERROR(INDEX(基础资料!$AE$5:$AE$34,MATCH(O2803,基础资料!$AC$5:$AC$34,0)),"未知"))</f>
      </c>
      <c r="Q2803" s="78">
        <f>IF(P2803="应收",COUNTIF(P$7:P2803,"应收"),"")</f>
      </c>
      <c r="R2803" s="78">
        <f>IF(P2803="应付",COUNTIF(P$7:P2803,"应付"),"")</f>
      </c>
      <c r="S2803" s="78">
        <f>N(F2803)-N(G2803)</f>
        <v>0</v>
      </c>
    </row>
    <row r="2804">
      <c r="A2804" s="109">
        <f>IF(AND(F2804="",G2804=""),"",ROW()-6)</f>
      </c>
      <c r="B2804" s="140" t="n"/>
      <c r="C2804" s="141" t="n"/>
      <c r="D2804" s="141" t="n"/>
      <c r="E2804" s="142" t="n"/>
      <c r="F2804" s="143" t="n"/>
      <c r="G2804" s="144" t="n"/>
      <c r="H2804" s="145">
        <f>IF(OR(C2804="",AND(F2804="",G2804="")),"",SUMIF(基础资料!$W$5:$W$24,C2804,基础资料!$X$5:$X$24)+SUMIF(C$7:C2804,C2804,F$7:F2804)-SUMIF(C$7:C2804,C2804,G$7:G2804))</f>
      </c>
      <c r="I2804" s="145">
        <f>IF(AND(F2804="",G2804=""),"",SUM(基础资料!$X$5:$X$24)+SUM(F$7:F2804)-SUM(G$7:G2804))</f>
      </c>
      <c r="J2804" s="141" t="n"/>
      <c r="K2804" s="141" t="n"/>
      <c r="L2804" s="141" t="n"/>
      <c r="M2804" s="142" t="n"/>
      <c r="N2804" s="146">
        <f>IF(AND(AND(F2804="",G2804=""),B2804="",C2804="",D2804="",J2804="",K2804="",L2804=""),"",IF(AND(F2804="",G2804=""),"✗ 没填金额",IF(AND(N(F2804)&lt;&gt;0,N(G2804)&lt;&gt;0),"✗ 收入、支出只能填一边",IF(NOT(ISNUMBER(B2804)),"✗ 日期不是真日期（要像 2026/9/25 这样填）",IF(OR(B2804&lt;年初日,B2804&gt;年末日),"✗ 日期不在本会计年度",IF(C2804="","✗ 没选账户",IF(COUNTIF(基础资料!$W$5:$W$24,C2804)=0,"✗ 账户不在基础资料里",IF(O2804="","✗ 没选收支项目",IF(P2804="未知","✗ 收支项目不在基础资料里",IF(AND(P2804="应收",J2804=""),"✗ 这笔要选客户",IF(AND(P2804="应收",COUNTIF(总览汇总!$B$5:$B$304,J2804)=0),"✗ 客户不在总览汇总名单里",IF(AND(P2804="应付",K2804=""),"✗ 这笔要选供应商",IF(AND(P2804="应付",COUNTIF(基础资料!$Q$5:$Q$54,K2804)=0),"✗ 供应商不在基础资料里",IF(AND(P2804="费用",L2804=""),"✗ 费用支出要选费用项目",IF(AND(L2804&lt;&gt;"",COUNTIF(基础资料!$AI$5:$AI$54,L2804)=0),"✗ 费用项目不在基础资料里",IF(AND(IFERROR(INDEX(基础资料!$AD$5:$AD$34,MATCH(O2804,基础资料!$AC$5:$AC$34,0)),"")="收",N(G2804)&lt;&gt;0),"✗ 这类是收款，金额填到收入列",IF(AND(IFERROR(INDEX(基础资料!$AD$5:$AD$34,MATCH(O2804,基础资料!$AC$5:$AC$34,0)),"")="支",N(F2804)&lt;&gt;0),"✗ 这类是付款，金额填到支出列",IF(N(H2804)&lt;0,"⚠ 账户余额成负数了，核对一下","√"))))))))))))))))))</f>
      </c>
      <c r="O2804" s="78">
        <f>IF(D2804&lt;&gt;"",D2804,IF(AND(F2804="",G2804=""),"",IF(J2804&lt;&gt;"",IF(N(F2804)&gt;0,"客户回款","客户退款"),IF(K2804&lt;&gt;"",IF(N(G2804)&gt;0,"供应商付款","供应商退款"),IF(L2804&lt;&gt;"","费用支出","")))))</f>
      </c>
      <c r="P2804" s="78">
        <f>IF(O2804="","",IFERROR(INDEX(基础资料!$AE$5:$AE$34,MATCH(O2804,基础资料!$AC$5:$AC$34,0)),"未知"))</f>
      </c>
      <c r="Q2804" s="78">
        <f>IF(P2804="应收",COUNTIF(P$7:P2804,"应收"),"")</f>
      </c>
      <c r="R2804" s="78">
        <f>IF(P2804="应付",COUNTIF(P$7:P2804,"应付"),"")</f>
      </c>
      <c r="S2804" s="78">
        <f>N(F2804)-N(G2804)</f>
        <v>0</v>
      </c>
    </row>
    <row r="2805">
      <c r="A2805" s="109">
        <f>IF(AND(F2805="",G2805=""),"",ROW()-6)</f>
      </c>
      <c r="B2805" s="140" t="n"/>
      <c r="C2805" s="141" t="n"/>
      <c r="D2805" s="141" t="n"/>
      <c r="E2805" s="142" t="n"/>
      <c r="F2805" s="143" t="n"/>
      <c r="G2805" s="144" t="n"/>
      <c r="H2805" s="145">
        <f>IF(OR(C2805="",AND(F2805="",G2805="")),"",SUMIF(基础资料!$W$5:$W$24,C2805,基础资料!$X$5:$X$24)+SUMIF(C$7:C2805,C2805,F$7:F2805)-SUMIF(C$7:C2805,C2805,G$7:G2805))</f>
      </c>
      <c r="I2805" s="145">
        <f>IF(AND(F2805="",G2805=""),"",SUM(基础资料!$X$5:$X$24)+SUM(F$7:F2805)-SUM(G$7:G2805))</f>
      </c>
      <c r="J2805" s="141" t="n"/>
      <c r="K2805" s="141" t="n"/>
      <c r="L2805" s="141" t="n"/>
      <c r="M2805" s="142" t="n"/>
      <c r="N2805" s="146">
        <f>IF(AND(AND(F2805="",G2805=""),B2805="",C2805="",D2805="",J2805="",K2805="",L2805=""),"",IF(AND(F2805="",G2805=""),"✗ 没填金额",IF(AND(N(F2805)&lt;&gt;0,N(G2805)&lt;&gt;0),"✗ 收入、支出只能填一边",IF(NOT(ISNUMBER(B2805)),"✗ 日期不是真日期（要像 2026/9/25 这样填）",IF(OR(B2805&lt;年初日,B2805&gt;年末日),"✗ 日期不在本会计年度",IF(C2805="","✗ 没选账户",IF(COUNTIF(基础资料!$W$5:$W$24,C2805)=0,"✗ 账户不在基础资料里",IF(O2805="","✗ 没选收支项目",IF(P2805="未知","✗ 收支项目不在基础资料里",IF(AND(P2805="应收",J2805=""),"✗ 这笔要选客户",IF(AND(P2805="应收",COUNTIF(总览汇总!$B$5:$B$304,J2805)=0),"✗ 客户不在总览汇总名单里",IF(AND(P2805="应付",K2805=""),"✗ 这笔要选供应商",IF(AND(P2805="应付",COUNTIF(基础资料!$Q$5:$Q$54,K2805)=0),"✗ 供应商不在基础资料里",IF(AND(P2805="费用",L2805=""),"✗ 费用支出要选费用项目",IF(AND(L2805&lt;&gt;"",COUNTIF(基础资料!$AI$5:$AI$54,L2805)=0),"✗ 费用项目不在基础资料里",IF(AND(IFERROR(INDEX(基础资料!$AD$5:$AD$34,MATCH(O2805,基础资料!$AC$5:$AC$34,0)),"")="收",N(G2805)&lt;&gt;0),"✗ 这类是收款，金额填到收入列",IF(AND(IFERROR(INDEX(基础资料!$AD$5:$AD$34,MATCH(O2805,基础资料!$AC$5:$AC$34,0)),"")="支",N(F2805)&lt;&gt;0),"✗ 这类是付款，金额填到支出列",IF(N(H2805)&lt;0,"⚠ 账户余额成负数了，核对一下","√"))))))))))))))))))</f>
      </c>
      <c r="O2805" s="78">
        <f>IF(D2805&lt;&gt;"",D2805,IF(AND(F2805="",G2805=""),"",IF(J2805&lt;&gt;"",IF(N(F2805)&gt;0,"客户回款","客户退款"),IF(K2805&lt;&gt;"",IF(N(G2805)&gt;0,"供应商付款","供应商退款"),IF(L2805&lt;&gt;"","费用支出","")))))</f>
      </c>
      <c r="P2805" s="78">
        <f>IF(O2805="","",IFERROR(INDEX(基础资料!$AE$5:$AE$34,MATCH(O2805,基础资料!$AC$5:$AC$34,0)),"未知"))</f>
      </c>
      <c r="Q2805" s="78">
        <f>IF(P2805="应收",COUNTIF(P$7:P2805,"应收"),"")</f>
      </c>
      <c r="R2805" s="78">
        <f>IF(P2805="应付",COUNTIF(P$7:P2805,"应付"),"")</f>
      </c>
      <c r="S2805" s="78">
        <f>N(F2805)-N(G2805)</f>
        <v>0</v>
      </c>
    </row>
    <row r="2806">
      <c r="A2806" s="109">
        <f>IF(AND(F2806="",G2806=""),"",ROW()-6)</f>
      </c>
      <c r="B2806" s="140" t="n"/>
      <c r="C2806" s="141" t="n"/>
      <c r="D2806" s="141" t="n"/>
      <c r="E2806" s="142" t="n"/>
      <c r="F2806" s="143" t="n"/>
      <c r="G2806" s="144" t="n"/>
      <c r="H2806" s="145">
        <f>IF(OR(C2806="",AND(F2806="",G2806="")),"",SUMIF(基础资料!$W$5:$W$24,C2806,基础资料!$X$5:$X$24)+SUMIF(C$7:C2806,C2806,F$7:F2806)-SUMIF(C$7:C2806,C2806,G$7:G2806))</f>
      </c>
      <c r="I2806" s="145">
        <f>IF(AND(F2806="",G2806=""),"",SUM(基础资料!$X$5:$X$24)+SUM(F$7:F2806)-SUM(G$7:G2806))</f>
      </c>
      <c r="J2806" s="141" t="n"/>
      <c r="K2806" s="141" t="n"/>
      <c r="L2806" s="141" t="n"/>
      <c r="M2806" s="142" t="n"/>
      <c r="N2806" s="146">
        <f>IF(AND(AND(F2806="",G2806=""),B2806="",C2806="",D2806="",J2806="",K2806="",L2806=""),"",IF(AND(F2806="",G2806=""),"✗ 没填金额",IF(AND(N(F2806)&lt;&gt;0,N(G2806)&lt;&gt;0),"✗ 收入、支出只能填一边",IF(NOT(ISNUMBER(B2806)),"✗ 日期不是真日期（要像 2026/9/25 这样填）",IF(OR(B2806&lt;年初日,B2806&gt;年末日),"✗ 日期不在本会计年度",IF(C2806="","✗ 没选账户",IF(COUNTIF(基础资料!$W$5:$W$24,C2806)=0,"✗ 账户不在基础资料里",IF(O2806="","✗ 没选收支项目",IF(P2806="未知","✗ 收支项目不在基础资料里",IF(AND(P2806="应收",J2806=""),"✗ 这笔要选客户",IF(AND(P2806="应收",COUNTIF(总览汇总!$B$5:$B$304,J2806)=0),"✗ 客户不在总览汇总名单里",IF(AND(P2806="应付",K2806=""),"✗ 这笔要选供应商",IF(AND(P2806="应付",COUNTIF(基础资料!$Q$5:$Q$54,K2806)=0),"✗ 供应商不在基础资料里",IF(AND(P2806="费用",L2806=""),"✗ 费用支出要选费用项目",IF(AND(L2806&lt;&gt;"",COUNTIF(基础资料!$AI$5:$AI$54,L2806)=0),"✗ 费用项目不在基础资料里",IF(AND(IFERROR(INDEX(基础资料!$AD$5:$AD$34,MATCH(O2806,基础资料!$AC$5:$AC$34,0)),"")="收",N(G2806)&lt;&gt;0),"✗ 这类是收款，金额填到收入列",IF(AND(IFERROR(INDEX(基础资料!$AD$5:$AD$34,MATCH(O2806,基础资料!$AC$5:$AC$34,0)),"")="支",N(F2806)&lt;&gt;0),"✗ 这类是付款，金额填到支出列",IF(N(H2806)&lt;0,"⚠ 账户余额成负数了，核对一下","√"))))))))))))))))))</f>
      </c>
      <c r="O2806" s="78">
        <f>IF(D2806&lt;&gt;"",D2806,IF(AND(F2806="",G2806=""),"",IF(J2806&lt;&gt;"",IF(N(F2806)&gt;0,"客户回款","客户退款"),IF(K2806&lt;&gt;"",IF(N(G2806)&gt;0,"供应商付款","供应商退款"),IF(L2806&lt;&gt;"","费用支出","")))))</f>
      </c>
      <c r="P2806" s="78">
        <f>IF(O2806="","",IFERROR(INDEX(基础资料!$AE$5:$AE$34,MATCH(O2806,基础资料!$AC$5:$AC$34,0)),"未知"))</f>
      </c>
      <c r="Q2806" s="78">
        <f>IF(P2806="应收",COUNTIF(P$7:P2806,"应收"),"")</f>
      </c>
      <c r="R2806" s="78">
        <f>IF(P2806="应付",COUNTIF(P$7:P2806,"应付"),"")</f>
      </c>
      <c r="S2806" s="78">
        <f>N(F2806)-N(G2806)</f>
        <v>0</v>
      </c>
    </row>
    <row r="2807">
      <c r="A2807" s="109">
        <f>IF(AND(F2807="",G2807=""),"",ROW()-6)</f>
      </c>
      <c r="B2807" s="140" t="n"/>
      <c r="C2807" s="141" t="n"/>
      <c r="D2807" s="141" t="n"/>
      <c r="E2807" s="142" t="n"/>
      <c r="F2807" s="143" t="n"/>
      <c r="G2807" s="144" t="n"/>
      <c r="H2807" s="145">
        <f>IF(OR(C2807="",AND(F2807="",G2807="")),"",SUMIF(基础资料!$W$5:$W$24,C2807,基础资料!$X$5:$X$24)+SUMIF(C$7:C2807,C2807,F$7:F2807)-SUMIF(C$7:C2807,C2807,G$7:G2807))</f>
      </c>
      <c r="I2807" s="145">
        <f>IF(AND(F2807="",G2807=""),"",SUM(基础资料!$X$5:$X$24)+SUM(F$7:F2807)-SUM(G$7:G2807))</f>
      </c>
      <c r="J2807" s="141" t="n"/>
      <c r="K2807" s="141" t="n"/>
      <c r="L2807" s="141" t="n"/>
      <c r="M2807" s="142" t="n"/>
      <c r="N2807" s="146">
        <f>IF(AND(AND(F2807="",G2807=""),B2807="",C2807="",D2807="",J2807="",K2807="",L2807=""),"",IF(AND(F2807="",G2807=""),"✗ 没填金额",IF(AND(N(F2807)&lt;&gt;0,N(G2807)&lt;&gt;0),"✗ 收入、支出只能填一边",IF(NOT(ISNUMBER(B2807)),"✗ 日期不是真日期（要像 2026/9/25 这样填）",IF(OR(B2807&lt;年初日,B2807&gt;年末日),"✗ 日期不在本会计年度",IF(C2807="","✗ 没选账户",IF(COUNTIF(基础资料!$W$5:$W$24,C2807)=0,"✗ 账户不在基础资料里",IF(O2807="","✗ 没选收支项目",IF(P2807="未知","✗ 收支项目不在基础资料里",IF(AND(P2807="应收",J2807=""),"✗ 这笔要选客户",IF(AND(P2807="应收",COUNTIF(总览汇总!$B$5:$B$304,J2807)=0),"✗ 客户不在总览汇总名单里",IF(AND(P2807="应付",K2807=""),"✗ 这笔要选供应商",IF(AND(P2807="应付",COUNTIF(基础资料!$Q$5:$Q$54,K2807)=0),"✗ 供应商不在基础资料里",IF(AND(P2807="费用",L2807=""),"✗ 费用支出要选费用项目",IF(AND(L2807&lt;&gt;"",COUNTIF(基础资料!$AI$5:$AI$54,L2807)=0),"✗ 费用项目不在基础资料里",IF(AND(IFERROR(INDEX(基础资料!$AD$5:$AD$34,MATCH(O2807,基础资料!$AC$5:$AC$34,0)),"")="收",N(G2807)&lt;&gt;0),"✗ 这类是收款，金额填到收入列",IF(AND(IFERROR(INDEX(基础资料!$AD$5:$AD$34,MATCH(O2807,基础资料!$AC$5:$AC$34,0)),"")="支",N(F2807)&lt;&gt;0),"✗ 这类是付款，金额填到支出列",IF(N(H2807)&lt;0,"⚠ 账户余额成负数了，核对一下","√"))))))))))))))))))</f>
      </c>
      <c r="O2807" s="78">
        <f>IF(D2807&lt;&gt;"",D2807,IF(AND(F2807="",G2807=""),"",IF(J2807&lt;&gt;"",IF(N(F2807)&gt;0,"客户回款","客户退款"),IF(K2807&lt;&gt;"",IF(N(G2807)&gt;0,"供应商付款","供应商退款"),IF(L2807&lt;&gt;"","费用支出","")))))</f>
      </c>
      <c r="P2807" s="78">
        <f>IF(O2807="","",IFERROR(INDEX(基础资料!$AE$5:$AE$34,MATCH(O2807,基础资料!$AC$5:$AC$34,0)),"未知"))</f>
      </c>
      <c r="Q2807" s="78">
        <f>IF(P2807="应收",COUNTIF(P$7:P2807,"应收"),"")</f>
      </c>
      <c r="R2807" s="78">
        <f>IF(P2807="应付",COUNTIF(P$7:P2807,"应付"),"")</f>
      </c>
      <c r="S2807" s="78">
        <f>N(F2807)-N(G2807)</f>
        <v>0</v>
      </c>
    </row>
    <row r="2808">
      <c r="A2808" s="109">
        <f>IF(AND(F2808="",G2808=""),"",ROW()-6)</f>
      </c>
      <c r="B2808" s="140" t="n"/>
      <c r="C2808" s="141" t="n"/>
      <c r="D2808" s="141" t="n"/>
      <c r="E2808" s="142" t="n"/>
      <c r="F2808" s="143" t="n"/>
      <c r="G2808" s="144" t="n"/>
      <c r="H2808" s="145">
        <f>IF(OR(C2808="",AND(F2808="",G2808="")),"",SUMIF(基础资料!$W$5:$W$24,C2808,基础资料!$X$5:$X$24)+SUMIF(C$7:C2808,C2808,F$7:F2808)-SUMIF(C$7:C2808,C2808,G$7:G2808))</f>
      </c>
      <c r="I2808" s="145">
        <f>IF(AND(F2808="",G2808=""),"",SUM(基础资料!$X$5:$X$24)+SUM(F$7:F2808)-SUM(G$7:G2808))</f>
      </c>
      <c r="J2808" s="141" t="n"/>
      <c r="K2808" s="141" t="n"/>
      <c r="L2808" s="141" t="n"/>
      <c r="M2808" s="142" t="n"/>
      <c r="N2808" s="146">
        <f>IF(AND(AND(F2808="",G2808=""),B2808="",C2808="",D2808="",J2808="",K2808="",L2808=""),"",IF(AND(F2808="",G2808=""),"✗ 没填金额",IF(AND(N(F2808)&lt;&gt;0,N(G2808)&lt;&gt;0),"✗ 收入、支出只能填一边",IF(NOT(ISNUMBER(B2808)),"✗ 日期不是真日期（要像 2026/9/25 这样填）",IF(OR(B2808&lt;年初日,B2808&gt;年末日),"✗ 日期不在本会计年度",IF(C2808="","✗ 没选账户",IF(COUNTIF(基础资料!$W$5:$W$24,C2808)=0,"✗ 账户不在基础资料里",IF(O2808="","✗ 没选收支项目",IF(P2808="未知","✗ 收支项目不在基础资料里",IF(AND(P2808="应收",J2808=""),"✗ 这笔要选客户",IF(AND(P2808="应收",COUNTIF(总览汇总!$B$5:$B$304,J2808)=0),"✗ 客户不在总览汇总名单里",IF(AND(P2808="应付",K2808=""),"✗ 这笔要选供应商",IF(AND(P2808="应付",COUNTIF(基础资料!$Q$5:$Q$54,K2808)=0),"✗ 供应商不在基础资料里",IF(AND(P2808="费用",L2808=""),"✗ 费用支出要选费用项目",IF(AND(L2808&lt;&gt;"",COUNTIF(基础资料!$AI$5:$AI$54,L2808)=0),"✗ 费用项目不在基础资料里",IF(AND(IFERROR(INDEX(基础资料!$AD$5:$AD$34,MATCH(O2808,基础资料!$AC$5:$AC$34,0)),"")="收",N(G2808)&lt;&gt;0),"✗ 这类是收款，金额填到收入列",IF(AND(IFERROR(INDEX(基础资料!$AD$5:$AD$34,MATCH(O2808,基础资料!$AC$5:$AC$34,0)),"")="支",N(F2808)&lt;&gt;0),"✗ 这类是付款，金额填到支出列",IF(N(H2808)&lt;0,"⚠ 账户余额成负数了，核对一下","√"))))))))))))))))))</f>
      </c>
      <c r="O2808" s="78">
        <f>IF(D2808&lt;&gt;"",D2808,IF(AND(F2808="",G2808=""),"",IF(J2808&lt;&gt;"",IF(N(F2808)&gt;0,"客户回款","客户退款"),IF(K2808&lt;&gt;"",IF(N(G2808)&gt;0,"供应商付款","供应商退款"),IF(L2808&lt;&gt;"","费用支出","")))))</f>
      </c>
      <c r="P2808" s="78">
        <f>IF(O2808="","",IFERROR(INDEX(基础资料!$AE$5:$AE$34,MATCH(O2808,基础资料!$AC$5:$AC$34,0)),"未知"))</f>
      </c>
      <c r="Q2808" s="78">
        <f>IF(P2808="应收",COUNTIF(P$7:P2808,"应收"),"")</f>
      </c>
      <c r="R2808" s="78">
        <f>IF(P2808="应付",COUNTIF(P$7:P2808,"应付"),"")</f>
      </c>
      <c r="S2808" s="78">
        <f>N(F2808)-N(G2808)</f>
        <v>0</v>
      </c>
    </row>
    <row r="2809">
      <c r="A2809" s="109">
        <f>IF(AND(F2809="",G2809=""),"",ROW()-6)</f>
      </c>
      <c r="B2809" s="140" t="n"/>
      <c r="C2809" s="141" t="n"/>
      <c r="D2809" s="141" t="n"/>
      <c r="E2809" s="142" t="n"/>
      <c r="F2809" s="143" t="n"/>
      <c r="G2809" s="144" t="n"/>
      <c r="H2809" s="145">
        <f>IF(OR(C2809="",AND(F2809="",G2809="")),"",SUMIF(基础资料!$W$5:$W$24,C2809,基础资料!$X$5:$X$24)+SUMIF(C$7:C2809,C2809,F$7:F2809)-SUMIF(C$7:C2809,C2809,G$7:G2809))</f>
      </c>
      <c r="I2809" s="145">
        <f>IF(AND(F2809="",G2809=""),"",SUM(基础资料!$X$5:$X$24)+SUM(F$7:F2809)-SUM(G$7:G2809))</f>
      </c>
      <c r="J2809" s="141" t="n"/>
      <c r="K2809" s="141" t="n"/>
      <c r="L2809" s="141" t="n"/>
      <c r="M2809" s="142" t="n"/>
      <c r="N2809" s="146">
        <f>IF(AND(AND(F2809="",G2809=""),B2809="",C2809="",D2809="",J2809="",K2809="",L2809=""),"",IF(AND(F2809="",G2809=""),"✗ 没填金额",IF(AND(N(F2809)&lt;&gt;0,N(G2809)&lt;&gt;0),"✗ 收入、支出只能填一边",IF(NOT(ISNUMBER(B2809)),"✗ 日期不是真日期（要像 2026/9/25 这样填）",IF(OR(B2809&lt;年初日,B2809&gt;年末日),"✗ 日期不在本会计年度",IF(C2809="","✗ 没选账户",IF(COUNTIF(基础资料!$W$5:$W$24,C2809)=0,"✗ 账户不在基础资料里",IF(O2809="","✗ 没选收支项目",IF(P2809="未知","✗ 收支项目不在基础资料里",IF(AND(P2809="应收",J2809=""),"✗ 这笔要选客户",IF(AND(P2809="应收",COUNTIF(总览汇总!$B$5:$B$304,J2809)=0),"✗ 客户不在总览汇总名单里",IF(AND(P2809="应付",K2809=""),"✗ 这笔要选供应商",IF(AND(P2809="应付",COUNTIF(基础资料!$Q$5:$Q$54,K2809)=0),"✗ 供应商不在基础资料里",IF(AND(P2809="费用",L2809=""),"✗ 费用支出要选费用项目",IF(AND(L2809&lt;&gt;"",COUNTIF(基础资料!$AI$5:$AI$54,L2809)=0),"✗ 费用项目不在基础资料里",IF(AND(IFERROR(INDEX(基础资料!$AD$5:$AD$34,MATCH(O2809,基础资料!$AC$5:$AC$34,0)),"")="收",N(G2809)&lt;&gt;0),"✗ 这类是收款，金额填到收入列",IF(AND(IFERROR(INDEX(基础资料!$AD$5:$AD$34,MATCH(O2809,基础资料!$AC$5:$AC$34,0)),"")="支",N(F2809)&lt;&gt;0),"✗ 这类是付款，金额填到支出列",IF(N(H2809)&lt;0,"⚠ 账户余额成负数了，核对一下","√"))))))))))))))))))</f>
      </c>
      <c r="O2809" s="78">
        <f>IF(D2809&lt;&gt;"",D2809,IF(AND(F2809="",G2809=""),"",IF(J2809&lt;&gt;"",IF(N(F2809)&gt;0,"客户回款","客户退款"),IF(K2809&lt;&gt;"",IF(N(G2809)&gt;0,"供应商付款","供应商退款"),IF(L2809&lt;&gt;"","费用支出","")))))</f>
      </c>
      <c r="P2809" s="78">
        <f>IF(O2809="","",IFERROR(INDEX(基础资料!$AE$5:$AE$34,MATCH(O2809,基础资料!$AC$5:$AC$34,0)),"未知"))</f>
      </c>
      <c r="Q2809" s="78">
        <f>IF(P2809="应收",COUNTIF(P$7:P2809,"应收"),"")</f>
      </c>
      <c r="R2809" s="78">
        <f>IF(P2809="应付",COUNTIF(P$7:P2809,"应付"),"")</f>
      </c>
      <c r="S2809" s="78">
        <f>N(F2809)-N(G2809)</f>
        <v>0</v>
      </c>
    </row>
    <row r="2810">
      <c r="A2810" s="109">
        <f>IF(AND(F2810="",G2810=""),"",ROW()-6)</f>
      </c>
      <c r="B2810" s="140" t="n"/>
      <c r="C2810" s="141" t="n"/>
      <c r="D2810" s="141" t="n"/>
      <c r="E2810" s="142" t="n"/>
      <c r="F2810" s="143" t="n"/>
      <c r="G2810" s="144" t="n"/>
      <c r="H2810" s="145">
        <f>IF(OR(C2810="",AND(F2810="",G2810="")),"",SUMIF(基础资料!$W$5:$W$24,C2810,基础资料!$X$5:$X$24)+SUMIF(C$7:C2810,C2810,F$7:F2810)-SUMIF(C$7:C2810,C2810,G$7:G2810))</f>
      </c>
      <c r="I2810" s="145">
        <f>IF(AND(F2810="",G2810=""),"",SUM(基础资料!$X$5:$X$24)+SUM(F$7:F2810)-SUM(G$7:G2810))</f>
      </c>
      <c r="J2810" s="141" t="n"/>
      <c r="K2810" s="141" t="n"/>
      <c r="L2810" s="141" t="n"/>
      <c r="M2810" s="142" t="n"/>
      <c r="N2810" s="146">
        <f>IF(AND(AND(F2810="",G2810=""),B2810="",C2810="",D2810="",J2810="",K2810="",L2810=""),"",IF(AND(F2810="",G2810=""),"✗ 没填金额",IF(AND(N(F2810)&lt;&gt;0,N(G2810)&lt;&gt;0),"✗ 收入、支出只能填一边",IF(NOT(ISNUMBER(B2810)),"✗ 日期不是真日期（要像 2026/9/25 这样填）",IF(OR(B2810&lt;年初日,B2810&gt;年末日),"✗ 日期不在本会计年度",IF(C2810="","✗ 没选账户",IF(COUNTIF(基础资料!$W$5:$W$24,C2810)=0,"✗ 账户不在基础资料里",IF(O2810="","✗ 没选收支项目",IF(P2810="未知","✗ 收支项目不在基础资料里",IF(AND(P2810="应收",J2810=""),"✗ 这笔要选客户",IF(AND(P2810="应收",COUNTIF(总览汇总!$B$5:$B$304,J2810)=0),"✗ 客户不在总览汇总名单里",IF(AND(P2810="应付",K2810=""),"✗ 这笔要选供应商",IF(AND(P2810="应付",COUNTIF(基础资料!$Q$5:$Q$54,K2810)=0),"✗ 供应商不在基础资料里",IF(AND(P2810="费用",L2810=""),"✗ 费用支出要选费用项目",IF(AND(L2810&lt;&gt;"",COUNTIF(基础资料!$AI$5:$AI$54,L2810)=0),"✗ 费用项目不在基础资料里",IF(AND(IFERROR(INDEX(基础资料!$AD$5:$AD$34,MATCH(O2810,基础资料!$AC$5:$AC$34,0)),"")="收",N(G2810)&lt;&gt;0),"✗ 这类是收款，金额填到收入列",IF(AND(IFERROR(INDEX(基础资料!$AD$5:$AD$34,MATCH(O2810,基础资料!$AC$5:$AC$34,0)),"")="支",N(F2810)&lt;&gt;0),"✗ 这类是付款，金额填到支出列",IF(N(H2810)&lt;0,"⚠ 账户余额成负数了，核对一下","√"))))))))))))))))))</f>
      </c>
      <c r="O2810" s="78">
        <f>IF(D2810&lt;&gt;"",D2810,IF(AND(F2810="",G2810=""),"",IF(J2810&lt;&gt;"",IF(N(F2810)&gt;0,"客户回款","客户退款"),IF(K2810&lt;&gt;"",IF(N(G2810)&gt;0,"供应商付款","供应商退款"),IF(L2810&lt;&gt;"","费用支出","")))))</f>
      </c>
      <c r="P2810" s="78">
        <f>IF(O2810="","",IFERROR(INDEX(基础资料!$AE$5:$AE$34,MATCH(O2810,基础资料!$AC$5:$AC$34,0)),"未知"))</f>
      </c>
      <c r="Q2810" s="78">
        <f>IF(P2810="应收",COUNTIF(P$7:P2810,"应收"),"")</f>
      </c>
      <c r="R2810" s="78">
        <f>IF(P2810="应付",COUNTIF(P$7:P2810,"应付"),"")</f>
      </c>
      <c r="S2810" s="78">
        <f>N(F2810)-N(G2810)</f>
        <v>0</v>
      </c>
    </row>
    <row r="2811">
      <c r="A2811" s="109">
        <f>IF(AND(F2811="",G2811=""),"",ROW()-6)</f>
      </c>
      <c r="B2811" s="140" t="n"/>
      <c r="C2811" s="141" t="n"/>
      <c r="D2811" s="141" t="n"/>
      <c r="E2811" s="142" t="n"/>
      <c r="F2811" s="143" t="n"/>
      <c r="G2811" s="144" t="n"/>
      <c r="H2811" s="145">
        <f>IF(OR(C2811="",AND(F2811="",G2811="")),"",SUMIF(基础资料!$W$5:$W$24,C2811,基础资料!$X$5:$X$24)+SUMIF(C$7:C2811,C2811,F$7:F2811)-SUMIF(C$7:C2811,C2811,G$7:G2811))</f>
      </c>
      <c r="I2811" s="145">
        <f>IF(AND(F2811="",G2811=""),"",SUM(基础资料!$X$5:$X$24)+SUM(F$7:F2811)-SUM(G$7:G2811))</f>
      </c>
      <c r="J2811" s="141" t="n"/>
      <c r="K2811" s="141" t="n"/>
      <c r="L2811" s="141" t="n"/>
      <c r="M2811" s="142" t="n"/>
      <c r="N2811" s="146">
        <f>IF(AND(AND(F2811="",G2811=""),B2811="",C2811="",D2811="",J2811="",K2811="",L2811=""),"",IF(AND(F2811="",G2811=""),"✗ 没填金额",IF(AND(N(F2811)&lt;&gt;0,N(G2811)&lt;&gt;0),"✗ 收入、支出只能填一边",IF(NOT(ISNUMBER(B2811)),"✗ 日期不是真日期（要像 2026/9/25 这样填）",IF(OR(B2811&lt;年初日,B2811&gt;年末日),"✗ 日期不在本会计年度",IF(C2811="","✗ 没选账户",IF(COUNTIF(基础资料!$W$5:$W$24,C2811)=0,"✗ 账户不在基础资料里",IF(O2811="","✗ 没选收支项目",IF(P2811="未知","✗ 收支项目不在基础资料里",IF(AND(P2811="应收",J2811=""),"✗ 这笔要选客户",IF(AND(P2811="应收",COUNTIF(总览汇总!$B$5:$B$304,J2811)=0),"✗ 客户不在总览汇总名单里",IF(AND(P2811="应付",K2811=""),"✗ 这笔要选供应商",IF(AND(P2811="应付",COUNTIF(基础资料!$Q$5:$Q$54,K2811)=0),"✗ 供应商不在基础资料里",IF(AND(P2811="费用",L2811=""),"✗ 费用支出要选费用项目",IF(AND(L2811&lt;&gt;"",COUNTIF(基础资料!$AI$5:$AI$54,L2811)=0),"✗ 费用项目不在基础资料里",IF(AND(IFERROR(INDEX(基础资料!$AD$5:$AD$34,MATCH(O2811,基础资料!$AC$5:$AC$34,0)),"")="收",N(G2811)&lt;&gt;0),"✗ 这类是收款，金额填到收入列",IF(AND(IFERROR(INDEX(基础资料!$AD$5:$AD$34,MATCH(O2811,基础资料!$AC$5:$AC$34,0)),"")="支",N(F2811)&lt;&gt;0),"✗ 这类是付款，金额填到支出列",IF(N(H2811)&lt;0,"⚠ 账户余额成负数了，核对一下","√"))))))))))))))))))</f>
      </c>
      <c r="O2811" s="78">
        <f>IF(D2811&lt;&gt;"",D2811,IF(AND(F2811="",G2811=""),"",IF(J2811&lt;&gt;"",IF(N(F2811)&gt;0,"客户回款","客户退款"),IF(K2811&lt;&gt;"",IF(N(G2811)&gt;0,"供应商付款","供应商退款"),IF(L2811&lt;&gt;"","费用支出","")))))</f>
      </c>
      <c r="P2811" s="78">
        <f>IF(O2811="","",IFERROR(INDEX(基础资料!$AE$5:$AE$34,MATCH(O2811,基础资料!$AC$5:$AC$34,0)),"未知"))</f>
      </c>
      <c r="Q2811" s="78">
        <f>IF(P2811="应收",COUNTIF(P$7:P2811,"应收"),"")</f>
      </c>
      <c r="R2811" s="78">
        <f>IF(P2811="应付",COUNTIF(P$7:P2811,"应付"),"")</f>
      </c>
      <c r="S2811" s="78">
        <f>N(F2811)-N(G2811)</f>
        <v>0</v>
      </c>
    </row>
    <row r="2812">
      <c r="A2812" s="109">
        <f>IF(AND(F2812="",G2812=""),"",ROW()-6)</f>
      </c>
      <c r="B2812" s="140" t="n"/>
      <c r="C2812" s="141" t="n"/>
      <c r="D2812" s="141" t="n"/>
      <c r="E2812" s="142" t="n"/>
      <c r="F2812" s="143" t="n"/>
      <c r="G2812" s="144" t="n"/>
      <c r="H2812" s="145">
        <f>IF(OR(C2812="",AND(F2812="",G2812="")),"",SUMIF(基础资料!$W$5:$W$24,C2812,基础资料!$X$5:$X$24)+SUMIF(C$7:C2812,C2812,F$7:F2812)-SUMIF(C$7:C2812,C2812,G$7:G2812))</f>
      </c>
      <c r="I2812" s="145">
        <f>IF(AND(F2812="",G2812=""),"",SUM(基础资料!$X$5:$X$24)+SUM(F$7:F2812)-SUM(G$7:G2812))</f>
      </c>
      <c r="J2812" s="141" t="n"/>
      <c r="K2812" s="141" t="n"/>
      <c r="L2812" s="141" t="n"/>
      <c r="M2812" s="142" t="n"/>
      <c r="N2812" s="146">
        <f>IF(AND(AND(F2812="",G2812=""),B2812="",C2812="",D2812="",J2812="",K2812="",L2812=""),"",IF(AND(F2812="",G2812=""),"✗ 没填金额",IF(AND(N(F2812)&lt;&gt;0,N(G2812)&lt;&gt;0),"✗ 收入、支出只能填一边",IF(NOT(ISNUMBER(B2812)),"✗ 日期不是真日期（要像 2026/9/25 这样填）",IF(OR(B2812&lt;年初日,B2812&gt;年末日),"✗ 日期不在本会计年度",IF(C2812="","✗ 没选账户",IF(COUNTIF(基础资料!$W$5:$W$24,C2812)=0,"✗ 账户不在基础资料里",IF(O2812="","✗ 没选收支项目",IF(P2812="未知","✗ 收支项目不在基础资料里",IF(AND(P2812="应收",J2812=""),"✗ 这笔要选客户",IF(AND(P2812="应收",COUNTIF(总览汇总!$B$5:$B$304,J2812)=0),"✗ 客户不在总览汇总名单里",IF(AND(P2812="应付",K2812=""),"✗ 这笔要选供应商",IF(AND(P2812="应付",COUNTIF(基础资料!$Q$5:$Q$54,K2812)=0),"✗ 供应商不在基础资料里",IF(AND(P2812="费用",L2812=""),"✗ 费用支出要选费用项目",IF(AND(L2812&lt;&gt;"",COUNTIF(基础资料!$AI$5:$AI$54,L2812)=0),"✗ 费用项目不在基础资料里",IF(AND(IFERROR(INDEX(基础资料!$AD$5:$AD$34,MATCH(O2812,基础资料!$AC$5:$AC$34,0)),"")="收",N(G2812)&lt;&gt;0),"✗ 这类是收款，金额填到收入列",IF(AND(IFERROR(INDEX(基础资料!$AD$5:$AD$34,MATCH(O2812,基础资料!$AC$5:$AC$34,0)),"")="支",N(F2812)&lt;&gt;0),"✗ 这类是付款，金额填到支出列",IF(N(H2812)&lt;0,"⚠ 账户余额成负数了，核对一下","√"))))))))))))))))))</f>
      </c>
      <c r="O2812" s="78">
        <f>IF(D2812&lt;&gt;"",D2812,IF(AND(F2812="",G2812=""),"",IF(J2812&lt;&gt;"",IF(N(F2812)&gt;0,"客户回款","客户退款"),IF(K2812&lt;&gt;"",IF(N(G2812)&gt;0,"供应商付款","供应商退款"),IF(L2812&lt;&gt;"","费用支出","")))))</f>
      </c>
      <c r="P2812" s="78">
        <f>IF(O2812="","",IFERROR(INDEX(基础资料!$AE$5:$AE$34,MATCH(O2812,基础资料!$AC$5:$AC$34,0)),"未知"))</f>
      </c>
      <c r="Q2812" s="78">
        <f>IF(P2812="应收",COUNTIF(P$7:P2812,"应收"),"")</f>
      </c>
      <c r="R2812" s="78">
        <f>IF(P2812="应付",COUNTIF(P$7:P2812,"应付"),"")</f>
      </c>
      <c r="S2812" s="78">
        <f>N(F2812)-N(G2812)</f>
        <v>0</v>
      </c>
    </row>
    <row r="2813">
      <c r="A2813" s="109">
        <f>IF(AND(F2813="",G2813=""),"",ROW()-6)</f>
      </c>
      <c r="B2813" s="140" t="n"/>
      <c r="C2813" s="141" t="n"/>
      <c r="D2813" s="141" t="n"/>
      <c r="E2813" s="142" t="n"/>
      <c r="F2813" s="143" t="n"/>
      <c r="G2813" s="144" t="n"/>
      <c r="H2813" s="145">
        <f>IF(OR(C2813="",AND(F2813="",G2813="")),"",SUMIF(基础资料!$W$5:$W$24,C2813,基础资料!$X$5:$X$24)+SUMIF(C$7:C2813,C2813,F$7:F2813)-SUMIF(C$7:C2813,C2813,G$7:G2813))</f>
      </c>
      <c r="I2813" s="145">
        <f>IF(AND(F2813="",G2813=""),"",SUM(基础资料!$X$5:$X$24)+SUM(F$7:F2813)-SUM(G$7:G2813))</f>
      </c>
      <c r="J2813" s="141" t="n"/>
      <c r="K2813" s="141" t="n"/>
      <c r="L2813" s="141" t="n"/>
      <c r="M2813" s="142" t="n"/>
      <c r="N2813" s="146">
        <f>IF(AND(AND(F2813="",G2813=""),B2813="",C2813="",D2813="",J2813="",K2813="",L2813=""),"",IF(AND(F2813="",G2813=""),"✗ 没填金额",IF(AND(N(F2813)&lt;&gt;0,N(G2813)&lt;&gt;0),"✗ 收入、支出只能填一边",IF(NOT(ISNUMBER(B2813)),"✗ 日期不是真日期（要像 2026/9/25 这样填）",IF(OR(B2813&lt;年初日,B2813&gt;年末日),"✗ 日期不在本会计年度",IF(C2813="","✗ 没选账户",IF(COUNTIF(基础资料!$W$5:$W$24,C2813)=0,"✗ 账户不在基础资料里",IF(O2813="","✗ 没选收支项目",IF(P2813="未知","✗ 收支项目不在基础资料里",IF(AND(P2813="应收",J2813=""),"✗ 这笔要选客户",IF(AND(P2813="应收",COUNTIF(总览汇总!$B$5:$B$304,J2813)=0),"✗ 客户不在总览汇总名单里",IF(AND(P2813="应付",K2813=""),"✗ 这笔要选供应商",IF(AND(P2813="应付",COUNTIF(基础资料!$Q$5:$Q$54,K2813)=0),"✗ 供应商不在基础资料里",IF(AND(P2813="费用",L2813=""),"✗ 费用支出要选费用项目",IF(AND(L2813&lt;&gt;"",COUNTIF(基础资料!$AI$5:$AI$54,L2813)=0),"✗ 费用项目不在基础资料里",IF(AND(IFERROR(INDEX(基础资料!$AD$5:$AD$34,MATCH(O2813,基础资料!$AC$5:$AC$34,0)),"")="收",N(G2813)&lt;&gt;0),"✗ 这类是收款，金额填到收入列",IF(AND(IFERROR(INDEX(基础资料!$AD$5:$AD$34,MATCH(O2813,基础资料!$AC$5:$AC$34,0)),"")="支",N(F2813)&lt;&gt;0),"✗ 这类是付款，金额填到支出列",IF(N(H2813)&lt;0,"⚠ 账户余额成负数了，核对一下","√"))))))))))))))))))</f>
      </c>
      <c r="O2813" s="78">
        <f>IF(D2813&lt;&gt;"",D2813,IF(AND(F2813="",G2813=""),"",IF(J2813&lt;&gt;"",IF(N(F2813)&gt;0,"客户回款","客户退款"),IF(K2813&lt;&gt;"",IF(N(G2813)&gt;0,"供应商付款","供应商退款"),IF(L2813&lt;&gt;"","费用支出","")))))</f>
      </c>
      <c r="P2813" s="78">
        <f>IF(O2813="","",IFERROR(INDEX(基础资料!$AE$5:$AE$34,MATCH(O2813,基础资料!$AC$5:$AC$34,0)),"未知"))</f>
      </c>
      <c r="Q2813" s="78">
        <f>IF(P2813="应收",COUNTIF(P$7:P2813,"应收"),"")</f>
      </c>
      <c r="R2813" s="78">
        <f>IF(P2813="应付",COUNTIF(P$7:P2813,"应付"),"")</f>
      </c>
      <c r="S2813" s="78">
        <f>N(F2813)-N(G2813)</f>
        <v>0</v>
      </c>
    </row>
    <row r="2814">
      <c r="A2814" s="109">
        <f>IF(AND(F2814="",G2814=""),"",ROW()-6)</f>
      </c>
      <c r="B2814" s="140" t="n"/>
      <c r="C2814" s="141" t="n"/>
      <c r="D2814" s="141" t="n"/>
      <c r="E2814" s="142" t="n"/>
      <c r="F2814" s="143" t="n"/>
      <c r="G2814" s="144" t="n"/>
      <c r="H2814" s="145">
        <f>IF(OR(C2814="",AND(F2814="",G2814="")),"",SUMIF(基础资料!$W$5:$W$24,C2814,基础资料!$X$5:$X$24)+SUMIF(C$7:C2814,C2814,F$7:F2814)-SUMIF(C$7:C2814,C2814,G$7:G2814))</f>
      </c>
      <c r="I2814" s="145">
        <f>IF(AND(F2814="",G2814=""),"",SUM(基础资料!$X$5:$X$24)+SUM(F$7:F2814)-SUM(G$7:G2814))</f>
      </c>
      <c r="J2814" s="141" t="n"/>
      <c r="K2814" s="141" t="n"/>
      <c r="L2814" s="141" t="n"/>
      <c r="M2814" s="142" t="n"/>
      <c r="N2814" s="146">
        <f>IF(AND(AND(F2814="",G2814=""),B2814="",C2814="",D2814="",J2814="",K2814="",L2814=""),"",IF(AND(F2814="",G2814=""),"✗ 没填金额",IF(AND(N(F2814)&lt;&gt;0,N(G2814)&lt;&gt;0),"✗ 收入、支出只能填一边",IF(NOT(ISNUMBER(B2814)),"✗ 日期不是真日期（要像 2026/9/25 这样填）",IF(OR(B2814&lt;年初日,B2814&gt;年末日),"✗ 日期不在本会计年度",IF(C2814="","✗ 没选账户",IF(COUNTIF(基础资料!$W$5:$W$24,C2814)=0,"✗ 账户不在基础资料里",IF(O2814="","✗ 没选收支项目",IF(P2814="未知","✗ 收支项目不在基础资料里",IF(AND(P2814="应收",J2814=""),"✗ 这笔要选客户",IF(AND(P2814="应收",COUNTIF(总览汇总!$B$5:$B$304,J2814)=0),"✗ 客户不在总览汇总名单里",IF(AND(P2814="应付",K2814=""),"✗ 这笔要选供应商",IF(AND(P2814="应付",COUNTIF(基础资料!$Q$5:$Q$54,K2814)=0),"✗ 供应商不在基础资料里",IF(AND(P2814="费用",L2814=""),"✗ 费用支出要选费用项目",IF(AND(L2814&lt;&gt;"",COUNTIF(基础资料!$AI$5:$AI$54,L2814)=0),"✗ 费用项目不在基础资料里",IF(AND(IFERROR(INDEX(基础资料!$AD$5:$AD$34,MATCH(O2814,基础资料!$AC$5:$AC$34,0)),"")="收",N(G2814)&lt;&gt;0),"✗ 这类是收款，金额填到收入列",IF(AND(IFERROR(INDEX(基础资料!$AD$5:$AD$34,MATCH(O2814,基础资料!$AC$5:$AC$34,0)),"")="支",N(F2814)&lt;&gt;0),"✗ 这类是付款，金额填到支出列",IF(N(H2814)&lt;0,"⚠ 账户余额成负数了，核对一下","√"))))))))))))))))))</f>
      </c>
      <c r="O2814" s="78">
        <f>IF(D2814&lt;&gt;"",D2814,IF(AND(F2814="",G2814=""),"",IF(J2814&lt;&gt;"",IF(N(F2814)&gt;0,"客户回款","客户退款"),IF(K2814&lt;&gt;"",IF(N(G2814)&gt;0,"供应商付款","供应商退款"),IF(L2814&lt;&gt;"","费用支出","")))))</f>
      </c>
      <c r="P2814" s="78">
        <f>IF(O2814="","",IFERROR(INDEX(基础资料!$AE$5:$AE$34,MATCH(O2814,基础资料!$AC$5:$AC$34,0)),"未知"))</f>
      </c>
      <c r="Q2814" s="78">
        <f>IF(P2814="应收",COUNTIF(P$7:P2814,"应收"),"")</f>
      </c>
      <c r="R2814" s="78">
        <f>IF(P2814="应付",COUNTIF(P$7:P2814,"应付"),"")</f>
      </c>
      <c r="S2814" s="78">
        <f>N(F2814)-N(G2814)</f>
        <v>0</v>
      </c>
    </row>
    <row r="2815">
      <c r="A2815" s="109">
        <f>IF(AND(F2815="",G2815=""),"",ROW()-6)</f>
      </c>
      <c r="B2815" s="140" t="n"/>
      <c r="C2815" s="141" t="n"/>
      <c r="D2815" s="141" t="n"/>
      <c r="E2815" s="142" t="n"/>
      <c r="F2815" s="143" t="n"/>
      <c r="G2815" s="144" t="n"/>
      <c r="H2815" s="145">
        <f>IF(OR(C2815="",AND(F2815="",G2815="")),"",SUMIF(基础资料!$W$5:$W$24,C2815,基础资料!$X$5:$X$24)+SUMIF(C$7:C2815,C2815,F$7:F2815)-SUMIF(C$7:C2815,C2815,G$7:G2815))</f>
      </c>
      <c r="I2815" s="145">
        <f>IF(AND(F2815="",G2815=""),"",SUM(基础资料!$X$5:$X$24)+SUM(F$7:F2815)-SUM(G$7:G2815))</f>
      </c>
      <c r="J2815" s="141" t="n"/>
      <c r="K2815" s="141" t="n"/>
      <c r="L2815" s="141" t="n"/>
      <c r="M2815" s="142" t="n"/>
      <c r="N2815" s="146">
        <f>IF(AND(AND(F2815="",G2815=""),B2815="",C2815="",D2815="",J2815="",K2815="",L2815=""),"",IF(AND(F2815="",G2815=""),"✗ 没填金额",IF(AND(N(F2815)&lt;&gt;0,N(G2815)&lt;&gt;0),"✗ 收入、支出只能填一边",IF(NOT(ISNUMBER(B2815)),"✗ 日期不是真日期（要像 2026/9/25 这样填）",IF(OR(B2815&lt;年初日,B2815&gt;年末日),"✗ 日期不在本会计年度",IF(C2815="","✗ 没选账户",IF(COUNTIF(基础资料!$W$5:$W$24,C2815)=0,"✗ 账户不在基础资料里",IF(O2815="","✗ 没选收支项目",IF(P2815="未知","✗ 收支项目不在基础资料里",IF(AND(P2815="应收",J2815=""),"✗ 这笔要选客户",IF(AND(P2815="应收",COUNTIF(总览汇总!$B$5:$B$304,J2815)=0),"✗ 客户不在总览汇总名单里",IF(AND(P2815="应付",K2815=""),"✗ 这笔要选供应商",IF(AND(P2815="应付",COUNTIF(基础资料!$Q$5:$Q$54,K2815)=0),"✗ 供应商不在基础资料里",IF(AND(P2815="费用",L2815=""),"✗ 费用支出要选费用项目",IF(AND(L2815&lt;&gt;"",COUNTIF(基础资料!$AI$5:$AI$54,L2815)=0),"✗ 费用项目不在基础资料里",IF(AND(IFERROR(INDEX(基础资料!$AD$5:$AD$34,MATCH(O2815,基础资料!$AC$5:$AC$34,0)),"")="收",N(G2815)&lt;&gt;0),"✗ 这类是收款，金额填到收入列",IF(AND(IFERROR(INDEX(基础资料!$AD$5:$AD$34,MATCH(O2815,基础资料!$AC$5:$AC$34,0)),"")="支",N(F2815)&lt;&gt;0),"✗ 这类是付款，金额填到支出列",IF(N(H2815)&lt;0,"⚠ 账户余额成负数了，核对一下","√"))))))))))))))))))</f>
      </c>
      <c r="O2815" s="78">
        <f>IF(D2815&lt;&gt;"",D2815,IF(AND(F2815="",G2815=""),"",IF(J2815&lt;&gt;"",IF(N(F2815)&gt;0,"客户回款","客户退款"),IF(K2815&lt;&gt;"",IF(N(G2815)&gt;0,"供应商付款","供应商退款"),IF(L2815&lt;&gt;"","费用支出","")))))</f>
      </c>
      <c r="P2815" s="78">
        <f>IF(O2815="","",IFERROR(INDEX(基础资料!$AE$5:$AE$34,MATCH(O2815,基础资料!$AC$5:$AC$34,0)),"未知"))</f>
      </c>
      <c r="Q2815" s="78">
        <f>IF(P2815="应收",COUNTIF(P$7:P2815,"应收"),"")</f>
      </c>
      <c r="R2815" s="78">
        <f>IF(P2815="应付",COUNTIF(P$7:P2815,"应付"),"")</f>
      </c>
      <c r="S2815" s="78">
        <f>N(F2815)-N(G2815)</f>
        <v>0</v>
      </c>
    </row>
    <row r="2816">
      <c r="A2816" s="109">
        <f>IF(AND(F2816="",G2816=""),"",ROW()-6)</f>
      </c>
      <c r="B2816" s="140" t="n"/>
      <c r="C2816" s="141" t="n"/>
      <c r="D2816" s="141" t="n"/>
      <c r="E2816" s="142" t="n"/>
      <c r="F2816" s="143" t="n"/>
      <c r="G2816" s="144" t="n"/>
      <c r="H2816" s="145">
        <f>IF(OR(C2816="",AND(F2816="",G2816="")),"",SUMIF(基础资料!$W$5:$W$24,C2816,基础资料!$X$5:$X$24)+SUMIF(C$7:C2816,C2816,F$7:F2816)-SUMIF(C$7:C2816,C2816,G$7:G2816))</f>
      </c>
      <c r="I2816" s="145">
        <f>IF(AND(F2816="",G2816=""),"",SUM(基础资料!$X$5:$X$24)+SUM(F$7:F2816)-SUM(G$7:G2816))</f>
      </c>
      <c r="J2816" s="141" t="n"/>
      <c r="K2816" s="141" t="n"/>
      <c r="L2816" s="141" t="n"/>
      <c r="M2816" s="142" t="n"/>
      <c r="N2816" s="146">
        <f>IF(AND(AND(F2816="",G2816=""),B2816="",C2816="",D2816="",J2816="",K2816="",L2816=""),"",IF(AND(F2816="",G2816=""),"✗ 没填金额",IF(AND(N(F2816)&lt;&gt;0,N(G2816)&lt;&gt;0),"✗ 收入、支出只能填一边",IF(NOT(ISNUMBER(B2816)),"✗ 日期不是真日期（要像 2026/9/25 这样填）",IF(OR(B2816&lt;年初日,B2816&gt;年末日),"✗ 日期不在本会计年度",IF(C2816="","✗ 没选账户",IF(COUNTIF(基础资料!$W$5:$W$24,C2816)=0,"✗ 账户不在基础资料里",IF(O2816="","✗ 没选收支项目",IF(P2816="未知","✗ 收支项目不在基础资料里",IF(AND(P2816="应收",J2816=""),"✗ 这笔要选客户",IF(AND(P2816="应收",COUNTIF(总览汇总!$B$5:$B$304,J2816)=0),"✗ 客户不在总览汇总名单里",IF(AND(P2816="应付",K2816=""),"✗ 这笔要选供应商",IF(AND(P2816="应付",COUNTIF(基础资料!$Q$5:$Q$54,K2816)=0),"✗ 供应商不在基础资料里",IF(AND(P2816="费用",L2816=""),"✗ 费用支出要选费用项目",IF(AND(L2816&lt;&gt;"",COUNTIF(基础资料!$AI$5:$AI$54,L2816)=0),"✗ 费用项目不在基础资料里",IF(AND(IFERROR(INDEX(基础资料!$AD$5:$AD$34,MATCH(O2816,基础资料!$AC$5:$AC$34,0)),"")="收",N(G2816)&lt;&gt;0),"✗ 这类是收款，金额填到收入列",IF(AND(IFERROR(INDEX(基础资料!$AD$5:$AD$34,MATCH(O2816,基础资料!$AC$5:$AC$34,0)),"")="支",N(F2816)&lt;&gt;0),"✗ 这类是付款，金额填到支出列",IF(N(H2816)&lt;0,"⚠ 账户余额成负数了，核对一下","√"))))))))))))))))))</f>
      </c>
      <c r="O2816" s="78">
        <f>IF(D2816&lt;&gt;"",D2816,IF(AND(F2816="",G2816=""),"",IF(J2816&lt;&gt;"",IF(N(F2816)&gt;0,"客户回款","客户退款"),IF(K2816&lt;&gt;"",IF(N(G2816)&gt;0,"供应商付款","供应商退款"),IF(L2816&lt;&gt;"","费用支出","")))))</f>
      </c>
      <c r="P2816" s="78">
        <f>IF(O2816="","",IFERROR(INDEX(基础资料!$AE$5:$AE$34,MATCH(O2816,基础资料!$AC$5:$AC$34,0)),"未知"))</f>
      </c>
      <c r="Q2816" s="78">
        <f>IF(P2816="应收",COUNTIF(P$7:P2816,"应收"),"")</f>
      </c>
      <c r="R2816" s="78">
        <f>IF(P2816="应付",COUNTIF(P$7:P2816,"应付"),"")</f>
      </c>
      <c r="S2816" s="78">
        <f>N(F2816)-N(G2816)</f>
        <v>0</v>
      </c>
    </row>
    <row r="2817">
      <c r="A2817" s="109">
        <f>IF(AND(F2817="",G2817=""),"",ROW()-6)</f>
      </c>
      <c r="B2817" s="140" t="n"/>
      <c r="C2817" s="141" t="n"/>
      <c r="D2817" s="141" t="n"/>
      <c r="E2817" s="142" t="n"/>
      <c r="F2817" s="143" t="n"/>
      <c r="G2817" s="144" t="n"/>
      <c r="H2817" s="145">
        <f>IF(OR(C2817="",AND(F2817="",G2817="")),"",SUMIF(基础资料!$W$5:$W$24,C2817,基础资料!$X$5:$X$24)+SUMIF(C$7:C2817,C2817,F$7:F2817)-SUMIF(C$7:C2817,C2817,G$7:G2817))</f>
      </c>
      <c r="I2817" s="145">
        <f>IF(AND(F2817="",G2817=""),"",SUM(基础资料!$X$5:$X$24)+SUM(F$7:F2817)-SUM(G$7:G2817))</f>
      </c>
      <c r="J2817" s="141" t="n"/>
      <c r="K2817" s="141" t="n"/>
      <c r="L2817" s="141" t="n"/>
      <c r="M2817" s="142" t="n"/>
      <c r="N2817" s="146">
        <f>IF(AND(AND(F2817="",G2817=""),B2817="",C2817="",D2817="",J2817="",K2817="",L2817=""),"",IF(AND(F2817="",G2817=""),"✗ 没填金额",IF(AND(N(F2817)&lt;&gt;0,N(G2817)&lt;&gt;0),"✗ 收入、支出只能填一边",IF(NOT(ISNUMBER(B2817)),"✗ 日期不是真日期（要像 2026/9/25 这样填）",IF(OR(B2817&lt;年初日,B2817&gt;年末日),"✗ 日期不在本会计年度",IF(C2817="","✗ 没选账户",IF(COUNTIF(基础资料!$W$5:$W$24,C2817)=0,"✗ 账户不在基础资料里",IF(O2817="","✗ 没选收支项目",IF(P2817="未知","✗ 收支项目不在基础资料里",IF(AND(P2817="应收",J2817=""),"✗ 这笔要选客户",IF(AND(P2817="应收",COUNTIF(总览汇总!$B$5:$B$304,J2817)=0),"✗ 客户不在总览汇总名单里",IF(AND(P2817="应付",K2817=""),"✗ 这笔要选供应商",IF(AND(P2817="应付",COUNTIF(基础资料!$Q$5:$Q$54,K2817)=0),"✗ 供应商不在基础资料里",IF(AND(P2817="费用",L2817=""),"✗ 费用支出要选费用项目",IF(AND(L2817&lt;&gt;"",COUNTIF(基础资料!$AI$5:$AI$54,L2817)=0),"✗ 费用项目不在基础资料里",IF(AND(IFERROR(INDEX(基础资料!$AD$5:$AD$34,MATCH(O2817,基础资料!$AC$5:$AC$34,0)),"")="收",N(G2817)&lt;&gt;0),"✗ 这类是收款，金额填到收入列",IF(AND(IFERROR(INDEX(基础资料!$AD$5:$AD$34,MATCH(O2817,基础资料!$AC$5:$AC$34,0)),"")="支",N(F2817)&lt;&gt;0),"✗ 这类是付款，金额填到支出列",IF(N(H2817)&lt;0,"⚠ 账户余额成负数了，核对一下","√"))))))))))))))))))</f>
      </c>
      <c r="O2817" s="78">
        <f>IF(D2817&lt;&gt;"",D2817,IF(AND(F2817="",G2817=""),"",IF(J2817&lt;&gt;"",IF(N(F2817)&gt;0,"客户回款","客户退款"),IF(K2817&lt;&gt;"",IF(N(G2817)&gt;0,"供应商付款","供应商退款"),IF(L2817&lt;&gt;"","费用支出","")))))</f>
      </c>
      <c r="P2817" s="78">
        <f>IF(O2817="","",IFERROR(INDEX(基础资料!$AE$5:$AE$34,MATCH(O2817,基础资料!$AC$5:$AC$34,0)),"未知"))</f>
      </c>
      <c r="Q2817" s="78">
        <f>IF(P2817="应收",COUNTIF(P$7:P2817,"应收"),"")</f>
      </c>
      <c r="R2817" s="78">
        <f>IF(P2817="应付",COUNTIF(P$7:P2817,"应付"),"")</f>
      </c>
      <c r="S2817" s="78">
        <f>N(F2817)-N(G2817)</f>
        <v>0</v>
      </c>
    </row>
    <row r="2818">
      <c r="A2818" s="109">
        <f>IF(AND(F2818="",G2818=""),"",ROW()-6)</f>
      </c>
      <c r="B2818" s="140" t="n"/>
      <c r="C2818" s="141" t="n"/>
      <c r="D2818" s="141" t="n"/>
      <c r="E2818" s="142" t="n"/>
      <c r="F2818" s="143" t="n"/>
      <c r="G2818" s="144" t="n"/>
      <c r="H2818" s="145">
        <f>IF(OR(C2818="",AND(F2818="",G2818="")),"",SUMIF(基础资料!$W$5:$W$24,C2818,基础资料!$X$5:$X$24)+SUMIF(C$7:C2818,C2818,F$7:F2818)-SUMIF(C$7:C2818,C2818,G$7:G2818))</f>
      </c>
      <c r="I2818" s="145">
        <f>IF(AND(F2818="",G2818=""),"",SUM(基础资料!$X$5:$X$24)+SUM(F$7:F2818)-SUM(G$7:G2818))</f>
      </c>
      <c r="J2818" s="141" t="n"/>
      <c r="K2818" s="141" t="n"/>
      <c r="L2818" s="141" t="n"/>
      <c r="M2818" s="142" t="n"/>
      <c r="N2818" s="146">
        <f>IF(AND(AND(F2818="",G2818=""),B2818="",C2818="",D2818="",J2818="",K2818="",L2818=""),"",IF(AND(F2818="",G2818=""),"✗ 没填金额",IF(AND(N(F2818)&lt;&gt;0,N(G2818)&lt;&gt;0),"✗ 收入、支出只能填一边",IF(NOT(ISNUMBER(B2818)),"✗ 日期不是真日期（要像 2026/9/25 这样填）",IF(OR(B2818&lt;年初日,B2818&gt;年末日),"✗ 日期不在本会计年度",IF(C2818="","✗ 没选账户",IF(COUNTIF(基础资料!$W$5:$W$24,C2818)=0,"✗ 账户不在基础资料里",IF(O2818="","✗ 没选收支项目",IF(P2818="未知","✗ 收支项目不在基础资料里",IF(AND(P2818="应收",J2818=""),"✗ 这笔要选客户",IF(AND(P2818="应收",COUNTIF(总览汇总!$B$5:$B$304,J2818)=0),"✗ 客户不在总览汇总名单里",IF(AND(P2818="应付",K2818=""),"✗ 这笔要选供应商",IF(AND(P2818="应付",COUNTIF(基础资料!$Q$5:$Q$54,K2818)=0),"✗ 供应商不在基础资料里",IF(AND(P2818="费用",L2818=""),"✗ 费用支出要选费用项目",IF(AND(L2818&lt;&gt;"",COUNTIF(基础资料!$AI$5:$AI$54,L2818)=0),"✗ 费用项目不在基础资料里",IF(AND(IFERROR(INDEX(基础资料!$AD$5:$AD$34,MATCH(O2818,基础资料!$AC$5:$AC$34,0)),"")="收",N(G2818)&lt;&gt;0),"✗ 这类是收款，金额填到收入列",IF(AND(IFERROR(INDEX(基础资料!$AD$5:$AD$34,MATCH(O2818,基础资料!$AC$5:$AC$34,0)),"")="支",N(F2818)&lt;&gt;0),"✗ 这类是付款，金额填到支出列",IF(N(H2818)&lt;0,"⚠ 账户余额成负数了，核对一下","√"))))))))))))))))))</f>
      </c>
      <c r="O2818" s="78">
        <f>IF(D2818&lt;&gt;"",D2818,IF(AND(F2818="",G2818=""),"",IF(J2818&lt;&gt;"",IF(N(F2818)&gt;0,"客户回款","客户退款"),IF(K2818&lt;&gt;"",IF(N(G2818)&gt;0,"供应商付款","供应商退款"),IF(L2818&lt;&gt;"","费用支出","")))))</f>
      </c>
      <c r="P2818" s="78">
        <f>IF(O2818="","",IFERROR(INDEX(基础资料!$AE$5:$AE$34,MATCH(O2818,基础资料!$AC$5:$AC$34,0)),"未知"))</f>
      </c>
      <c r="Q2818" s="78">
        <f>IF(P2818="应收",COUNTIF(P$7:P2818,"应收"),"")</f>
      </c>
      <c r="R2818" s="78">
        <f>IF(P2818="应付",COUNTIF(P$7:P2818,"应付"),"")</f>
      </c>
      <c r="S2818" s="78">
        <f>N(F2818)-N(G2818)</f>
        <v>0</v>
      </c>
    </row>
    <row r="2819">
      <c r="A2819" s="109">
        <f>IF(AND(F2819="",G2819=""),"",ROW()-6)</f>
      </c>
      <c r="B2819" s="140" t="n"/>
      <c r="C2819" s="141" t="n"/>
      <c r="D2819" s="141" t="n"/>
      <c r="E2819" s="142" t="n"/>
      <c r="F2819" s="143" t="n"/>
      <c r="G2819" s="144" t="n"/>
      <c r="H2819" s="145">
        <f>IF(OR(C2819="",AND(F2819="",G2819="")),"",SUMIF(基础资料!$W$5:$W$24,C2819,基础资料!$X$5:$X$24)+SUMIF(C$7:C2819,C2819,F$7:F2819)-SUMIF(C$7:C2819,C2819,G$7:G2819))</f>
      </c>
      <c r="I2819" s="145">
        <f>IF(AND(F2819="",G2819=""),"",SUM(基础资料!$X$5:$X$24)+SUM(F$7:F2819)-SUM(G$7:G2819))</f>
      </c>
      <c r="J2819" s="141" t="n"/>
      <c r="K2819" s="141" t="n"/>
      <c r="L2819" s="141" t="n"/>
      <c r="M2819" s="142" t="n"/>
      <c r="N2819" s="146">
        <f>IF(AND(AND(F2819="",G2819=""),B2819="",C2819="",D2819="",J2819="",K2819="",L2819=""),"",IF(AND(F2819="",G2819=""),"✗ 没填金额",IF(AND(N(F2819)&lt;&gt;0,N(G2819)&lt;&gt;0),"✗ 收入、支出只能填一边",IF(NOT(ISNUMBER(B2819)),"✗ 日期不是真日期（要像 2026/9/25 这样填）",IF(OR(B2819&lt;年初日,B2819&gt;年末日),"✗ 日期不在本会计年度",IF(C2819="","✗ 没选账户",IF(COUNTIF(基础资料!$W$5:$W$24,C2819)=0,"✗ 账户不在基础资料里",IF(O2819="","✗ 没选收支项目",IF(P2819="未知","✗ 收支项目不在基础资料里",IF(AND(P2819="应收",J2819=""),"✗ 这笔要选客户",IF(AND(P2819="应收",COUNTIF(总览汇总!$B$5:$B$304,J2819)=0),"✗ 客户不在总览汇总名单里",IF(AND(P2819="应付",K2819=""),"✗ 这笔要选供应商",IF(AND(P2819="应付",COUNTIF(基础资料!$Q$5:$Q$54,K2819)=0),"✗ 供应商不在基础资料里",IF(AND(P2819="费用",L2819=""),"✗ 费用支出要选费用项目",IF(AND(L2819&lt;&gt;"",COUNTIF(基础资料!$AI$5:$AI$54,L2819)=0),"✗ 费用项目不在基础资料里",IF(AND(IFERROR(INDEX(基础资料!$AD$5:$AD$34,MATCH(O2819,基础资料!$AC$5:$AC$34,0)),"")="收",N(G2819)&lt;&gt;0),"✗ 这类是收款，金额填到收入列",IF(AND(IFERROR(INDEX(基础资料!$AD$5:$AD$34,MATCH(O2819,基础资料!$AC$5:$AC$34,0)),"")="支",N(F2819)&lt;&gt;0),"✗ 这类是付款，金额填到支出列",IF(N(H2819)&lt;0,"⚠ 账户余额成负数了，核对一下","√"))))))))))))))))))</f>
      </c>
      <c r="O2819" s="78">
        <f>IF(D2819&lt;&gt;"",D2819,IF(AND(F2819="",G2819=""),"",IF(J2819&lt;&gt;"",IF(N(F2819)&gt;0,"客户回款","客户退款"),IF(K2819&lt;&gt;"",IF(N(G2819)&gt;0,"供应商付款","供应商退款"),IF(L2819&lt;&gt;"","费用支出","")))))</f>
      </c>
      <c r="P2819" s="78">
        <f>IF(O2819="","",IFERROR(INDEX(基础资料!$AE$5:$AE$34,MATCH(O2819,基础资料!$AC$5:$AC$34,0)),"未知"))</f>
      </c>
      <c r="Q2819" s="78">
        <f>IF(P2819="应收",COUNTIF(P$7:P2819,"应收"),"")</f>
      </c>
      <c r="R2819" s="78">
        <f>IF(P2819="应付",COUNTIF(P$7:P2819,"应付"),"")</f>
      </c>
      <c r="S2819" s="78">
        <f>N(F2819)-N(G2819)</f>
        <v>0</v>
      </c>
    </row>
    <row r="2820">
      <c r="A2820" s="109">
        <f>IF(AND(F2820="",G2820=""),"",ROW()-6)</f>
      </c>
      <c r="B2820" s="140" t="n"/>
      <c r="C2820" s="141" t="n"/>
      <c r="D2820" s="141" t="n"/>
      <c r="E2820" s="142" t="n"/>
      <c r="F2820" s="143" t="n"/>
      <c r="G2820" s="144" t="n"/>
      <c r="H2820" s="145">
        <f>IF(OR(C2820="",AND(F2820="",G2820="")),"",SUMIF(基础资料!$W$5:$W$24,C2820,基础资料!$X$5:$X$24)+SUMIF(C$7:C2820,C2820,F$7:F2820)-SUMIF(C$7:C2820,C2820,G$7:G2820))</f>
      </c>
      <c r="I2820" s="145">
        <f>IF(AND(F2820="",G2820=""),"",SUM(基础资料!$X$5:$X$24)+SUM(F$7:F2820)-SUM(G$7:G2820))</f>
      </c>
      <c r="J2820" s="141" t="n"/>
      <c r="K2820" s="141" t="n"/>
      <c r="L2820" s="141" t="n"/>
      <c r="M2820" s="142" t="n"/>
      <c r="N2820" s="146">
        <f>IF(AND(AND(F2820="",G2820=""),B2820="",C2820="",D2820="",J2820="",K2820="",L2820=""),"",IF(AND(F2820="",G2820=""),"✗ 没填金额",IF(AND(N(F2820)&lt;&gt;0,N(G2820)&lt;&gt;0),"✗ 收入、支出只能填一边",IF(NOT(ISNUMBER(B2820)),"✗ 日期不是真日期（要像 2026/9/25 这样填）",IF(OR(B2820&lt;年初日,B2820&gt;年末日),"✗ 日期不在本会计年度",IF(C2820="","✗ 没选账户",IF(COUNTIF(基础资料!$W$5:$W$24,C2820)=0,"✗ 账户不在基础资料里",IF(O2820="","✗ 没选收支项目",IF(P2820="未知","✗ 收支项目不在基础资料里",IF(AND(P2820="应收",J2820=""),"✗ 这笔要选客户",IF(AND(P2820="应收",COUNTIF(总览汇总!$B$5:$B$304,J2820)=0),"✗ 客户不在总览汇总名单里",IF(AND(P2820="应付",K2820=""),"✗ 这笔要选供应商",IF(AND(P2820="应付",COUNTIF(基础资料!$Q$5:$Q$54,K2820)=0),"✗ 供应商不在基础资料里",IF(AND(P2820="费用",L2820=""),"✗ 费用支出要选费用项目",IF(AND(L2820&lt;&gt;"",COUNTIF(基础资料!$AI$5:$AI$54,L2820)=0),"✗ 费用项目不在基础资料里",IF(AND(IFERROR(INDEX(基础资料!$AD$5:$AD$34,MATCH(O2820,基础资料!$AC$5:$AC$34,0)),"")="收",N(G2820)&lt;&gt;0),"✗ 这类是收款，金额填到收入列",IF(AND(IFERROR(INDEX(基础资料!$AD$5:$AD$34,MATCH(O2820,基础资料!$AC$5:$AC$34,0)),"")="支",N(F2820)&lt;&gt;0),"✗ 这类是付款，金额填到支出列",IF(N(H2820)&lt;0,"⚠ 账户余额成负数了，核对一下","√"))))))))))))))))))</f>
      </c>
      <c r="O2820" s="78">
        <f>IF(D2820&lt;&gt;"",D2820,IF(AND(F2820="",G2820=""),"",IF(J2820&lt;&gt;"",IF(N(F2820)&gt;0,"客户回款","客户退款"),IF(K2820&lt;&gt;"",IF(N(G2820)&gt;0,"供应商付款","供应商退款"),IF(L2820&lt;&gt;"","费用支出","")))))</f>
      </c>
      <c r="P2820" s="78">
        <f>IF(O2820="","",IFERROR(INDEX(基础资料!$AE$5:$AE$34,MATCH(O2820,基础资料!$AC$5:$AC$34,0)),"未知"))</f>
      </c>
      <c r="Q2820" s="78">
        <f>IF(P2820="应收",COUNTIF(P$7:P2820,"应收"),"")</f>
      </c>
      <c r="R2820" s="78">
        <f>IF(P2820="应付",COUNTIF(P$7:P2820,"应付"),"")</f>
      </c>
      <c r="S2820" s="78">
        <f>N(F2820)-N(G2820)</f>
        <v>0</v>
      </c>
    </row>
    <row r="2821">
      <c r="A2821" s="109">
        <f>IF(AND(F2821="",G2821=""),"",ROW()-6)</f>
      </c>
      <c r="B2821" s="140" t="n"/>
      <c r="C2821" s="141" t="n"/>
      <c r="D2821" s="141" t="n"/>
      <c r="E2821" s="142" t="n"/>
      <c r="F2821" s="143" t="n"/>
      <c r="G2821" s="144" t="n"/>
      <c r="H2821" s="145">
        <f>IF(OR(C2821="",AND(F2821="",G2821="")),"",SUMIF(基础资料!$W$5:$W$24,C2821,基础资料!$X$5:$X$24)+SUMIF(C$7:C2821,C2821,F$7:F2821)-SUMIF(C$7:C2821,C2821,G$7:G2821))</f>
      </c>
      <c r="I2821" s="145">
        <f>IF(AND(F2821="",G2821=""),"",SUM(基础资料!$X$5:$X$24)+SUM(F$7:F2821)-SUM(G$7:G2821))</f>
      </c>
      <c r="J2821" s="141" t="n"/>
      <c r="K2821" s="141" t="n"/>
      <c r="L2821" s="141" t="n"/>
      <c r="M2821" s="142" t="n"/>
      <c r="N2821" s="146">
        <f>IF(AND(AND(F2821="",G2821=""),B2821="",C2821="",D2821="",J2821="",K2821="",L2821=""),"",IF(AND(F2821="",G2821=""),"✗ 没填金额",IF(AND(N(F2821)&lt;&gt;0,N(G2821)&lt;&gt;0),"✗ 收入、支出只能填一边",IF(NOT(ISNUMBER(B2821)),"✗ 日期不是真日期（要像 2026/9/25 这样填）",IF(OR(B2821&lt;年初日,B2821&gt;年末日),"✗ 日期不在本会计年度",IF(C2821="","✗ 没选账户",IF(COUNTIF(基础资料!$W$5:$W$24,C2821)=0,"✗ 账户不在基础资料里",IF(O2821="","✗ 没选收支项目",IF(P2821="未知","✗ 收支项目不在基础资料里",IF(AND(P2821="应收",J2821=""),"✗ 这笔要选客户",IF(AND(P2821="应收",COUNTIF(总览汇总!$B$5:$B$304,J2821)=0),"✗ 客户不在总览汇总名单里",IF(AND(P2821="应付",K2821=""),"✗ 这笔要选供应商",IF(AND(P2821="应付",COUNTIF(基础资料!$Q$5:$Q$54,K2821)=0),"✗ 供应商不在基础资料里",IF(AND(P2821="费用",L2821=""),"✗ 费用支出要选费用项目",IF(AND(L2821&lt;&gt;"",COUNTIF(基础资料!$AI$5:$AI$54,L2821)=0),"✗ 费用项目不在基础资料里",IF(AND(IFERROR(INDEX(基础资料!$AD$5:$AD$34,MATCH(O2821,基础资料!$AC$5:$AC$34,0)),"")="收",N(G2821)&lt;&gt;0),"✗ 这类是收款，金额填到收入列",IF(AND(IFERROR(INDEX(基础资料!$AD$5:$AD$34,MATCH(O2821,基础资料!$AC$5:$AC$34,0)),"")="支",N(F2821)&lt;&gt;0),"✗ 这类是付款，金额填到支出列",IF(N(H2821)&lt;0,"⚠ 账户余额成负数了，核对一下","√"))))))))))))))))))</f>
      </c>
      <c r="O2821" s="78">
        <f>IF(D2821&lt;&gt;"",D2821,IF(AND(F2821="",G2821=""),"",IF(J2821&lt;&gt;"",IF(N(F2821)&gt;0,"客户回款","客户退款"),IF(K2821&lt;&gt;"",IF(N(G2821)&gt;0,"供应商付款","供应商退款"),IF(L2821&lt;&gt;"","费用支出","")))))</f>
      </c>
      <c r="P2821" s="78">
        <f>IF(O2821="","",IFERROR(INDEX(基础资料!$AE$5:$AE$34,MATCH(O2821,基础资料!$AC$5:$AC$34,0)),"未知"))</f>
      </c>
      <c r="Q2821" s="78">
        <f>IF(P2821="应收",COUNTIF(P$7:P2821,"应收"),"")</f>
      </c>
      <c r="R2821" s="78">
        <f>IF(P2821="应付",COUNTIF(P$7:P2821,"应付"),"")</f>
      </c>
      <c r="S2821" s="78">
        <f>N(F2821)-N(G2821)</f>
        <v>0</v>
      </c>
    </row>
    <row r="2822">
      <c r="A2822" s="109">
        <f>IF(AND(F2822="",G2822=""),"",ROW()-6)</f>
      </c>
      <c r="B2822" s="140" t="n"/>
      <c r="C2822" s="141" t="n"/>
      <c r="D2822" s="141" t="n"/>
      <c r="E2822" s="142" t="n"/>
      <c r="F2822" s="143" t="n"/>
      <c r="G2822" s="144" t="n"/>
      <c r="H2822" s="145">
        <f>IF(OR(C2822="",AND(F2822="",G2822="")),"",SUMIF(基础资料!$W$5:$W$24,C2822,基础资料!$X$5:$X$24)+SUMIF(C$7:C2822,C2822,F$7:F2822)-SUMIF(C$7:C2822,C2822,G$7:G2822))</f>
      </c>
      <c r="I2822" s="145">
        <f>IF(AND(F2822="",G2822=""),"",SUM(基础资料!$X$5:$X$24)+SUM(F$7:F2822)-SUM(G$7:G2822))</f>
      </c>
      <c r="J2822" s="141" t="n"/>
      <c r="K2822" s="141" t="n"/>
      <c r="L2822" s="141" t="n"/>
      <c r="M2822" s="142" t="n"/>
      <c r="N2822" s="146">
        <f>IF(AND(AND(F2822="",G2822=""),B2822="",C2822="",D2822="",J2822="",K2822="",L2822=""),"",IF(AND(F2822="",G2822=""),"✗ 没填金额",IF(AND(N(F2822)&lt;&gt;0,N(G2822)&lt;&gt;0),"✗ 收入、支出只能填一边",IF(NOT(ISNUMBER(B2822)),"✗ 日期不是真日期（要像 2026/9/25 这样填）",IF(OR(B2822&lt;年初日,B2822&gt;年末日),"✗ 日期不在本会计年度",IF(C2822="","✗ 没选账户",IF(COUNTIF(基础资料!$W$5:$W$24,C2822)=0,"✗ 账户不在基础资料里",IF(O2822="","✗ 没选收支项目",IF(P2822="未知","✗ 收支项目不在基础资料里",IF(AND(P2822="应收",J2822=""),"✗ 这笔要选客户",IF(AND(P2822="应收",COUNTIF(总览汇总!$B$5:$B$304,J2822)=0),"✗ 客户不在总览汇总名单里",IF(AND(P2822="应付",K2822=""),"✗ 这笔要选供应商",IF(AND(P2822="应付",COUNTIF(基础资料!$Q$5:$Q$54,K2822)=0),"✗ 供应商不在基础资料里",IF(AND(P2822="费用",L2822=""),"✗ 费用支出要选费用项目",IF(AND(L2822&lt;&gt;"",COUNTIF(基础资料!$AI$5:$AI$54,L2822)=0),"✗ 费用项目不在基础资料里",IF(AND(IFERROR(INDEX(基础资料!$AD$5:$AD$34,MATCH(O2822,基础资料!$AC$5:$AC$34,0)),"")="收",N(G2822)&lt;&gt;0),"✗ 这类是收款，金额填到收入列",IF(AND(IFERROR(INDEX(基础资料!$AD$5:$AD$34,MATCH(O2822,基础资料!$AC$5:$AC$34,0)),"")="支",N(F2822)&lt;&gt;0),"✗ 这类是付款，金额填到支出列",IF(N(H2822)&lt;0,"⚠ 账户余额成负数了，核对一下","√"))))))))))))))))))</f>
      </c>
      <c r="O2822" s="78">
        <f>IF(D2822&lt;&gt;"",D2822,IF(AND(F2822="",G2822=""),"",IF(J2822&lt;&gt;"",IF(N(F2822)&gt;0,"客户回款","客户退款"),IF(K2822&lt;&gt;"",IF(N(G2822)&gt;0,"供应商付款","供应商退款"),IF(L2822&lt;&gt;"","费用支出","")))))</f>
      </c>
      <c r="P2822" s="78">
        <f>IF(O2822="","",IFERROR(INDEX(基础资料!$AE$5:$AE$34,MATCH(O2822,基础资料!$AC$5:$AC$34,0)),"未知"))</f>
      </c>
      <c r="Q2822" s="78">
        <f>IF(P2822="应收",COUNTIF(P$7:P2822,"应收"),"")</f>
      </c>
      <c r="R2822" s="78">
        <f>IF(P2822="应付",COUNTIF(P$7:P2822,"应付"),"")</f>
      </c>
      <c r="S2822" s="78">
        <f>N(F2822)-N(G2822)</f>
        <v>0</v>
      </c>
    </row>
    <row r="2823">
      <c r="A2823" s="109">
        <f>IF(AND(F2823="",G2823=""),"",ROW()-6)</f>
      </c>
      <c r="B2823" s="140" t="n"/>
      <c r="C2823" s="141" t="n"/>
      <c r="D2823" s="141" t="n"/>
      <c r="E2823" s="142" t="n"/>
      <c r="F2823" s="143" t="n"/>
      <c r="G2823" s="144" t="n"/>
      <c r="H2823" s="145">
        <f>IF(OR(C2823="",AND(F2823="",G2823="")),"",SUMIF(基础资料!$W$5:$W$24,C2823,基础资料!$X$5:$X$24)+SUMIF(C$7:C2823,C2823,F$7:F2823)-SUMIF(C$7:C2823,C2823,G$7:G2823))</f>
      </c>
      <c r="I2823" s="145">
        <f>IF(AND(F2823="",G2823=""),"",SUM(基础资料!$X$5:$X$24)+SUM(F$7:F2823)-SUM(G$7:G2823))</f>
      </c>
      <c r="J2823" s="141" t="n"/>
      <c r="K2823" s="141" t="n"/>
      <c r="L2823" s="141" t="n"/>
      <c r="M2823" s="142" t="n"/>
      <c r="N2823" s="146">
        <f>IF(AND(AND(F2823="",G2823=""),B2823="",C2823="",D2823="",J2823="",K2823="",L2823=""),"",IF(AND(F2823="",G2823=""),"✗ 没填金额",IF(AND(N(F2823)&lt;&gt;0,N(G2823)&lt;&gt;0),"✗ 收入、支出只能填一边",IF(NOT(ISNUMBER(B2823)),"✗ 日期不是真日期（要像 2026/9/25 这样填）",IF(OR(B2823&lt;年初日,B2823&gt;年末日),"✗ 日期不在本会计年度",IF(C2823="","✗ 没选账户",IF(COUNTIF(基础资料!$W$5:$W$24,C2823)=0,"✗ 账户不在基础资料里",IF(O2823="","✗ 没选收支项目",IF(P2823="未知","✗ 收支项目不在基础资料里",IF(AND(P2823="应收",J2823=""),"✗ 这笔要选客户",IF(AND(P2823="应收",COUNTIF(总览汇总!$B$5:$B$304,J2823)=0),"✗ 客户不在总览汇总名单里",IF(AND(P2823="应付",K2823=""),"✗ 这笔要选供应商",IF(AND(P2823="应付",COUNTIF(基础资料!$Q$5:$Q$54,K2823)=0),"✗ 供应商不在基础资料里",IF(AND(P2823="费用",L2823=""),"✗ 费用支出要选费用项目",IF(AND(L2823&lt;&gt;"",COUNTIF(基础资料!$AI$5:$AI$54,L2823)=0),"✗ 费用项目不在基础资料里",IF(AND(IFERROR(INDEX(基础资料!$AD$5:$AD$34,MATCH(O2823,基础资料!$AC$5:$AC$34,0)),"")="收",N(G2823)&lt;&gt;0),"✗ 这类是收款，金额填到收入列",IF(AND(IFERROR(INDEX(基础资料!$AD$5:$AD$34,MATCH(O2823,基础资料!$AC$5:$AC$34,0)),"")="支",N(F2823)&lt;&gt;0),"✗ 这类是付款，金额填到支出列",IF(N(H2823)&lt;0,"⚠ 账户余额成负数了，核对一下","√"))))))))))))))))))</f>
      </c>
      <c r="O2823" s="78">
        <f>IF(D2823&lt;&gt;"",D2823,IF(AND(F2823="",G2823=""),"",IF(J2823&lt;&gt;"",IF(N(F2823)&gt;0,"客户回款","客户退款"),IF(K2823&lt;&gt;"",IF(N(G2823)&gt;0,"供应商付款","供应商退款"),IF(L2823&lt;&gt;"","费用支出","")))))</f>
      </c>
      <c r="P2823" s="78">
        <f>IF(O2823="","",IFERROR(INDEX(基础资料!$AE$5:$AE$34,MATCH(O2823,基础资料!$AC$5:$AC$34,0)),"未知"))</f>
      </c>
      <c r="Q2823" s="78">
        <f>IF(P2823="应收",COUNTIF(P$7:P2823,"应收"),"")</f>
      </c>
      <c r="R2823" s="78">
        <f>IF(P2823="应付",COUNTIF(P$7:P2823,"应付"),"")</f>
      </c>
      <c r="S2823" s="78">
        <f>N(F2823)-N(G2823)</f>
        <v>0</v>
      </c>
    </row>
    <row r="2824">
      <c r="A2824" s="109">
        <f>IF(AND(F2824="",G2824=""),"",ROW()-6)</f>
      </c>
      <c r="B2824" s="140" t="n"/>
      <c r="C2824" s="141" t="n"/>
      <c r="D2824" s="141" t="n"/>
      <c r="E2824" s="142" t="n"/>
      <c r="F2824" s="143" t="n"/>
      <c r="G2824" s="144" t="n"/>
      <c r="H2824" s="145">
        <f>IF(OR(C2824="",AND(F2824="",G2824="")),"",SUMIF(基础资料!$W$5:$W$24,C2824,基础资料!$X$5:$X$24)+SUMIF(C$7:C2824,C2824,F$7:F2824)-SUMIF(C$7:C2824,C2824,G$7:G2824))</f>
      </c>
      <c r="I2824" s="145">
        <f>IF(AND(F2824="",G2824=""),"",SUM(基础资料!$X$5:$X$24)+SUM(F$7:F2824)-SUM(G$7:G2824))</f>
      </c>
      <c r="J2824" s="141" t="n"/>
      <c r="K2824" s="141" t="n"/>
      <c r="L2824" s="141" t="n"/>
      <c r="M2824" s="142" t="n"/>
      <c r="N2824" s="146">
        <f>IF(AND(AND(F2824="",G2824=""),B2824="",C2824="",D2824="",J2824="",K2824="",L2824=""),"",IF(AND(F2824="",G2824=""),"✗ 没填金额",IF(AND(N(F2824)&lt;&gt;0,N(G2824)&lt;&gt;0),"✗ 收入、支出只能填一边",IF(NOT(ISNUMBER(B2824)),"✗ 日期不是真日期（要像 2026/9/25 这样填）",IF(OR(B2824&lt;年初日,B2824&gt;年末日),"✗ 日期不在本会计年度",IF(C2824="","✗ 没选账户",IF(COUNTIF(基础资料!$W$5:$W$24,C2824)=0,"✗ 账户不在基础资料里",IF(O2824="","✗ 没选收支项目",IF(P2824="未知","✗ 收支项目不在基础资料里",IF(AND(P2824="应收",J2824=""),"✗ 这笔要选客户",IF(AND(P2824="应收",COUNTIF(总览汇总!$B$5:$B$304,J2824)=0),"✗ 客户不在总览汇总名单里",IF(AND(P2824="应付",K2824=""),"✗ 这笔要选供应商",IF(AND(P2824="应付",COUNTIF(基础资料!$Q$5:$Q$54,K2824)=0),"✗ 供应商不在基础资料里",IF(AND(P2824="费用",L2824=""),"✗ 费用支出要选费用项目",IF(AND(L2824&lt;&gt;"",COUNTIF(基础资料!$AI$5:$AI$54,L2824)=0),"✗ 费用项目不在基础资料里",IF(AND(IFERROR(INDEX(基础资料!$AD$5:$AD$34,MATCH(O2824,基础资料!$AC$5:$AC$34,0)),"")="收",N(G2824)&lt;&gt;0),"✗ 这类是收款，金额填到收入列",IF(AND(IFERROR(INDEX(基础资料!$AD$5:$AD$34,MATCH(O2824,基础资料!$AC$5:$AC$34,0)),"")="支",N(F2824)&lt;&gt;0),"✗ 这类是付款，金额填到支出列",IF(N(H2824)&lt;0,"⚠ 账户余额成负数了，核对一下","√"))))))))))))))))))</f>
      </c>
      <c r="O2824" s="78">
        <f>IF(D2824&lt;&gt;"",D2824,IF(AND(F2824="",G2824=""),"",IF(J2824&lt;&gt;"",IF(N(F2824)&gt;0,"客户回款","客户退款"),IF(K2824&lt;&gt;"",IF(N(G2824)&gt;0,"供应商付款","供应商退款"),IF(L2824&lt;&gt;"","费用支出","")))))</f>
      </c>
      <c r="P2824" s="78">
        <f>IF(O2824="","",IFERROR(INDEX(基础资料!$AE$5:$AE$34,MATCH(O2824,基础资料!$AC$5:$AC$34,0)),"未知"))</f>
      </c>
      <c r="Q2824" s="78">
        <f>IF(P2824="应收",COUNTIF(P$7:P2824,"应收"),"")</f>
      </c>
      <c r="R2824" s="78">
        <f>IF(P2824="应付",COUNTIF(P$7:P2824,"应付"),"")</f>
      </c>
      <c r="S2824" s="78">
        <f>N(F2824)-N(G2824)</f>
        <v>0</v>
      </c>
    </row>
    <row r="2825">
      <c r="A2825" s="109">
        <f>IF(AND(F2825="",G2825=""),"",ROW()-6)</f>
      </c>
      <c r="B2825" s="140" t="n"/>
      <c r="C2825" s="141" t="n"/>
      <c r="D2825" s="141" t="n"/>
      <c r="E2825" s="142" t="n"/>
      <c r="F2825" s="143" t="n"/>
      <c r="G2825" s="144" t="n"/>
      <c r="H2825" s="145">
        <f>IF(OR(C2825="",AND(F2825="",G2825="")),"",SUMIF(基础资料!$W$5:$W$24,C2825,基础资料!$X$5:$X$24)+SUMIF(C$7:C2825,C2825,F$7:F2825)-SUMIF(C$7:C2825,C2825,G$7:G2825))</f>
      </c>
      <c r="I2825" s="145">
        <f>IF(AND(F2825="",G2825=""),"",SUM(基础资料!$X$5:$X$24)+SUM(F$7:F2825)-SUM(G$7:G2825))</f>
      </c>
      <c r="J2825" s="141" t="n"/>
      <c r="K2825" s="141" t="n"/>
      <c r="L2825" s="141" t="n"/>
      <c r="M2825" s="142" t="n"/>
      <c r="N2825" s="146">
        <f>IF(AND(AND(F2825="",G2825=""),B2825="",C2825="",D2825="",J2825="",K2825="",L2825=""),"",IF(AND(F2825="",G2825=""),"✗ 没填金额",IF(AND(N(F2825)&lt;&gt;0,N(G2825)&lt;&gt;0),"✗ 收入、支出只能填一边",IF(NOT(ISNUMBER(B2825)),"✗ 日期不是真日期（要像 2026/9/25 这样填）",IF(OR(B2825&lt;年初日,B2825&gt;年末日),"✗ 日期不在本会计年度",IF(C2825="","✗ 没选账户",IF(COUNTIF(基础资料!$W$5:$W$24,C2825)=0,"✗ 账户不在基础资料里",IF(O2825="","✗ 没选收支项目",IF(P2825="未知","✗ 收支项目不在基础资料里",IF(AND(P2825="应收",J2825=""),"✗ 这笔要选客户",IF(AND(P2825="应收",COUNTIF(总览汇总!$B$5:$B$304,J2825)=0),"✗ 客户不在总览汇总名单里",IF(AND(P2825="应付",K2825=""),"✗ 这笔要选供应商",IF(AND(P2825="应付",COUNTIF(基础资料!$Q$5:$Q$54,K2825)=0),"✗ 供应商不在基础资料里",IF(AND(P2825="费用",L2825=""),"✗ 费用支出要选费用项目",IF(AND(L2825&lt;&gt;"",COUNTIF(基础资料!$AI$5:$AI$54,L2825)=0),"✗ 费用项目不在基础资料里",IF(AND(IFERROR(INDEX(基础资料!$AD$5:$AD$34,MATCH(O2825,基础资料!$AC$5:$AC$34,0)),"")="收",N(G2825)&lt;&gt;0),"✗ 这类是收款，金额填到收入列",IF(AND(IFERROR(INDEX(基础资料!$AD$5:$AD$34,MATCH(O2825,基础资料!$AC$5:$AC$34,0)),"")="支",N(F2825)&lt;&gt;0),"✗ 这类是付款，金额填到支出列",IF(N(H2825)&lt;0,"⚠ 账户余额成负数了，核对一下","√"))))))))))))))))))</f>
      </c>
      <c r="O2825" s="78">
        <f>IF(D2825&lt;&gt;"",D2825,IF(AND(F2825="",G2825=""),"",IF(J2825&lt;&gt;"",IF(N(F2825)&gt;0,"客户回款","客户退款"),IF(K2825&lt;&gt;"",IF(N(G2825)&gt;0,"供应商付款","供应商退款"),IF(L2825&lt;&gt;"","费用支出","")))))</f>
      </c>
      <c r="P2825" s="78">
        <f>IF(O2825="","",IFERROR(INDEX(基础资料!$AE$5:$AE$34,MATCH(O2825,基础资料!$AC$5:$AC$34,0)),"未知"))</f>
      </c>
      <c r="Q2825" s="78">
        <f>IF(P2825="应收",COUNTIF(P$7:P2825,"应收"),"")</f>
      </c>
      <c r="R2825" s="78">
        <f>IF(P2825="应付",COUNTIF(P$7:P2825,"应付"),"")</f>
      </c>
      <c r="S2825" s="78">
        <f>N(F2825)-N(G2825)</f>
        <v>0</v>
      </c>
    </row>
    <row r="2826">
      <c r="A2826" s="109">
        <f>IF(AND(F2826="",G2826=""),"",ROW()-6)</f>
      </c>
      <c r="B2826" s="140" t="n"/>
      <c r="C2826" s="141" t="n"/>
      <c r="D2826" s="141" t="n"/>
      <c r="E2826" s="142" t="n"/>
      <c r="F2826" s="143" t="n"/>
      <c r="G2826" s="144" t="n"/>
      <c r="H2826" s="145">
        <f>IF(OR(C2826="",AND(F2826="",G2826="")),"",SUMIF(基础资料!$W$5:$W$24,C2826,基础资料!$X$5:$X$24)+SUMIF(C$7:C2826,C2826,F$7:F2826)-SUMIF(C$7:C2826,C2826,G$7:G2826))</f>
      </c>
      <c r="I2826" s="145">
        <f>IF(AND(F2826="",G2826=""),"",SUM(基础资料!$X$5:$X$24)+SUM(F$7:F2826)-SUM(G$7:G2826))</f>
      </c>
      <c r="J2826" s="141" t="n"/>
      <c r="K2826" s="141" t="n"/>
      <c r="L2826" s="141" t="n"/>
      <c r="M2826" s="142" t="n"/>
      <c r="N2826" s="146">
        <f>IF(AND(AND(F2826="",G2826=""),B2826="",C2826="",D2826="",J2826="",K2826="",L2826=""),"",IF(AND(F2826="",G2826=""),"✗ 没填金额",IF(AND(N(F2826)&lt;&gt;0,N(G2826)&lt;&gt;0),"✗ 收入、支出只能填一边",IF(NOT(ISNUMBER(B2826)),"✗ 日期不是真日期（要像 2026/9/25 这样填）",IF(OR(B2826&lt;年初日,B2826&gt;年末日),"✗ 日期不在本会计年度",IF(C2826="","✗ 没选账户",IF(COUNTIF(基础资料!$W$5:$W$24,C2826)=0,"✗ 账户不在基础资料里",IF(O2826="","✗ 没选收支项目",IF(P2826="未知","✗ 收支项目不在基础资料里",IF(AND(P2826="应收",J2826=""),"✗ 这笔要选客户",IF(AND(P2826="应收",COUNTIF(总览汇总!$B$5:$B$304,J2826)=0),"✗ 客户不在总览汇总名单里",IF(AND(P2826="应付",K2826=""),"✗ 这笔要选供应商",IF(AND(P2826="应付",COUNTIF(基础资料!$Q$5:$Q$54,K2826)=0),"✗ 供应商不在基础资料里",IF(AND(P2826="费用",L2826=""),"✗ 费用支出要选费用项目",IF(AND(L2826&lt;&gt;"",COUNTIF(基础资料!$AI$5:$AI$54,L2826)=0),"✗ 费用项目不在基础资料里",IF(AND(IFERROR(INDEX(基础资料!$AD$5:$AD$34,MATCH(O2826,基础资料!$AC$5:$AC$34,0)),"")="收",N(G2826)&lt;&gt;0),"✗ 这类是收款，金额填到收入列",IF(AND(IFERROR(INDEX(基础资料!$AD$5:$AD$34,MATCH(O2826,基础资料!$AC$5:$AC$34,0)),"")="支",N(F2826)&lt;&gt;0),"✗ 这类是付款，金额填到支出列",IF(N(H2826)&lt;0,"⚠ 账户余额成负数了，核对一下","√"))))))))))))))))))</f>
      </c>
      <c r="O2826" s="78">
        <f>IF(D2826&lt;&gt;"",D2826,IF(AND(F2826="",G2826=""),"",IF(J2826&lt;&gt;"",IF(N(F2826)&gt;0,"客户回款","客户退款"),IF(K2826&lt;&gt;"",IF(N(G2826)&gt;0,"供应商付款","供应商退款"),IF(L2826&lt;&gt;"","费用支出","")))))</f>
      </c>
      <c r="P2826" s="78">
        <f>IF(O2826="","",IFERROR(INDEX(基础资料!$AE$5:$AE$34,MATCH(O2826,基础资料!$AC$5:$AC$34,0)),"未知"))</f>
      </c>
      <c r="Q2826" s="78">
        <f>IF(P2826="应收",COUNTIF(P$7:P2826,"应收"),"")</f>
      </c>
      <c r="R2826" s="78">
        <f>IF(P2826="应付",COUNTIF(P$7:P2826,"应付"),"")</f>
      </c>
      <c r="S2826" s="78">
        <f>N(F2826)-N(G2826)</f>
        <v>0</v>
      </c>
    </row>
    <row r="2827">
      <c r="A2827" s="109">
        <f>IF(AND(F2827="",G2827=""),"",ROW()-6)</f>
      </c>
      <c r="B2827" s="140" t="n"/>
      <c r="C2827" s="141" t="n"/>
      <c r="D2827" s="141" t="n"/>
      <c r="E2827" s="142" t="n"/>
      <c r="F2827" s="143" t="n"/>
      <c r="G2827" s="144" t="n"/>
      <c r="H2827" s="145">
        <f>IF(OR(C2827="",AND(F2827="",G2827="")),"",SUMIF(基础资料!$W$5:$W$24,C2827,基础资料!$X$5:$X$24)+SUMIF(C$7:C2827,C2827,F$7:F2827)-SUMIF(C$7:C2827,C2827,G$7:G2827))</f>
      </c>
      <c r="I2827" s="145">
        <f>IF(AND(F2827="",G2827=""),"",SUM(基础资料!$X$5:$X$24)+SUM(F$7:F2827)-SUM(G$7:G2827))</f>
      </c>
      <c r="J2827" s="141" t="n"/>
      <c r="K2827" s="141" t="n"/>
      <c r="L2827" s="141" t="n"/>
      <c r="M2827" s="142" t="n"/>
      <c r="N2827" s="146">
        <f>IF(AND(AND(F2827="",G2827=""),B2827="",C2827="",D2827="",J2827="",K2827="",L2827=""),"",IF(AND(F2827="",G2827=""),"✗ 没填金额",IF(AND(N(F2827)&lt;&gt;0,N(G2827)&lt;&gt;0),"✗ 收入、支出只能填一边",IF(NOT(ISNUMBER(B2827)),"✗ 日期不是真日期（要像 2026/9/25 这样填）",IF(OR(B2827&lt;年初日,B2827&gt;年末日),"✗ 日期不在本会计年度",IF(C2827="","✗ 没选账户",IF(COUNTIF(基础资料!$W$5:$W$24,C2827)=0,"✗ 账户不在基础资料里",IF(O2827="","✗ 没选收支项目",IF(P2827="未知","✗ 收支项目不在基础资料里",IF(AND(P2827="应收",J2827=""),"✗ 这笔要选客户",IF(AND(P2827="应收",COUNTIF(总览汇总!$B$5:$B$304,J2827)=0),"✗ 客户不在总览汇总名单里",IF(AND(P2827="应付",K2827=""),"✗ 这笔要选供应商",IF(AND(P2827="应付",COUNTIF(基础资料!$Q$5:$Q$54,K2827)=0),"✗ 供应商不在基础资料里",IF(AND(P2827="费用",L2827=""),"✗ 费用支出要选费用项目",IF(AND(L2827&lt;&gt;"",COUNTIF(基础资料!$AI$5:$AI$54,L2827)=0),"✗ 费用项目不在基础资料里",IF(AND(IFERROR(INDEX(基础资料!$AD$5:$AD$34,MATCH(O2827,基础资料!$AC$5:$AC$34,0)),"")="收",N(G2827)&lt;&gt;0),"✗ 这类是收款，金额填到收入列",IF(AND(IFERROR(INDEX(基础资料!$AD$5:$AD$34,MATCH(O2827,基础资料!$AC$5:$AC$34,0)),"")="支",N(F2827)&lt;&gt;0),"✗ 这类是付款，金额填到支出列",IF(N(H2827)&lt;0,"⚠ 账户余额成负数了，核对一下","√"))))))))))))))))))</f>
      </c>
      <c r="O2827" s="78">
        <f>IF(D2827&lt;&gt;"",D2827,IF(AND(F2827="",G2827=""),"",IF(J2827&lt;&gt;"",IF(N(F2827)&gt;0,"客户回款","客户退款"),IF(K2827&lt;&gt;"",IF(N(G2827)&gt;0,"供应商付款","供应商退款"),IF(L2827&lt;&gt;"","费用支出","")))))</f>
      </c>
      <c r="P2827" s="78">
        <f>IF(O2827="","",IFERROR(INDEX(基础资料!$AE$5:$AE$34,MATCH(O2827,基础资料!$AC$5:$AC$34,0)),"未知"))</f>
      </c>
      <c r="Q2827" s="78">
        <f>IF(P2827="应收",COUNTIF(P$7:P2827,"应收"),"")</f>
      </c>
      <c r="R2827" s="78">
        <f>IF(P2827="应付",COUNTIF(P$7:P2827,"应付"),"")</f>
      </c>
      <c r="S2827" s="78">
        <f>N(F2827)-N(G2827)</f>
        <v>0</v>
      </c>
    </row>
    <row r="2828">
      <c r="A2828" s="109">
        <f>IF(AND(F2828="",G2828=""),"",ROW()-6)</f>
      </c>
      <c r="B2828" s="140" t="n"/>
      <c r="C2828" s="141" t="n"/>
      <c r="D2828" s="141" t="n"/>
      <c r="E2828" s="142" t="n"/>
      <c r="F2828" s="143" t="n"/>
      <c r="G2828" s="144" t="n"/>
      <c r="H2828" s="145">
        <f>IF(OR(C2828="",AND(F2828="",G2828="")),"",SUMIF(基础资料!$W$5:$W$24,C2828,基础资料!$X$5:$X$24)+SUMIF(C$7:C2828,C2828,F$7:F2828)-SUMIF(C$7:C2828,C2828,G$7:G2828))</f>
      </c>
      <c r="I2828" s="145">
        <f>IF(AND(F2828="",G2828=""),"",SUM(基础资料!$X$5:$X$24)+SUM(F$7:F2828)-SUM(G$7:G2828))</f>
      </c>
      <c r="J2828" s="141" t="n"/>
      <c r="K2828" s="141" t="n"/>
      <c r="L2828" s="141" t="n"/>
      <c r="M2828" s="142" t="n"/>
      <c r="N2828" s="146">
        <f>IF(AND(AND(F2828="",G2828=""),B2828="",C2828="",D2828="",J2828="",K2828="",L2828=""),"",IF(AND(F2828="",G2828=""),"✗ 没填金额",IF(AND(N(F2828)&lt;&gt;0,N(G2828)&lt;&gt;0),"✗ 收入、支出只能填一边",IF(NOT(ISNUMBER(B2828)),"✗ 日期不是真日期（要像 2026/9/25 这样填）",IF(OR(B2828&lt;年初日,B2828&gt;年末日),"✗ 日期不在本会计年度",IF(C2828="","✗ 没选账户",IF(COUNTIF(基础资料!$W$5:$W$24,C2828)=0,"✗ 账户不在基础资料里",IF(O2828="","✗ 没选收支项目",IF(P2828="未知","✗ 收支项目不在基础资料里",IF(AND(P2828="应收",J2828=""),"✗ 这笔要选客户",IF(AND(P2828="应收",COUNTIF(总览汇总!$B$5:$B$304,J2828)=0),"✗ 客户不在总览汇总名单里",IF(AND(P2828="应付",K2828=""),"✗ 这笔要选供应商",IF(AND(P2828="应付",COUNTIF(基础资料!$Q$5:$Q$54,K2828)=0),"✗ 供应商不在基础资料里",IF(AND(P2828="费用",L2828=""),"✗ 费用支出要选费用项目",IF(AND(L2828&lt;&gt;"",COUNTIF(基础资料!$AI$5:$AI$54,L2828)=0),"✗ 费用项目不在基础资料里",IF(AND(IFERROR(INDEX(基础资料!$AD$5:$AD$34,MATCH(O2828,基础资料!$AC$5:$AC$34,0)),"")="收",N(G2828)&lt;&gt;0),"✗ 这类是收款，金额填到收入列",IF(AND(IFERROR(INDEX(基础资料!$AD$5:$AD$34,MATCH(O2828,基础资料!$AC$5:$AC$34,0)),"")="支",N(F2828)&lt;&gt;0),"✗ 这类是付款，金额填到支出列",IF(N(H2828)&lt;0,"⚠ 账户余额成负数了，核对一下","√"))))))))))))))))))</f>
      </c>
      <c r="O2828" s="78">
        <f>IF(D2828&lt;&gt;"",D2828,IF(AND(F2828="",G2828=""),"",IF(J2828&lt;&gt;"",IF(N(F2828)&gt;0,"客户回款","客户退款"),IF(K2828&lt;&gt;"",IF(N(G2828)&gt;0,"供应商付款","供应商退款"),IF(L2828&lt;&gt;"","费用支出","")))))</f>
      </c>
      <c r="P2828" s="78">
        <f>IF(O2828="","",IFERROR(INDEX(基础资料!$AE$5:$AE$34,MATCH(O2828,基础资料!$AC$5:$AC$34,0)),"未知"))</f>
      </c>
      <c r="Q2828" s="78">
        <f>IF(P2828="应收",COUNTIF(P$7:P2828,"应收"),"")</f>
      </c>
      <c r="R2828" s="78">
        <f>IF(P2828="应付",COUNTIF(P$7:P2828,"应付"),"")</f>
      </c>
      <c r="S2828" s="78">
        <f>N(F2828)-N(G2828)</f>
        <v>0</v>
      </c>
    </row>
    <row r="2829">
      <c r="A2829" s="109">
        <f>IF(AND(F2829="",G2829=""),"",ROW()-6)</f>
      </c>
      <c r="B2829" s="140" t="n"/>
      <c r="C2829" s="141" t="n"/>
      <c r="D2829" s="141" t="n"/>
      <c r="E2829" s="142" t="n"/>
      <c r="F2829" s="143" t="n"/>
      <c r="G2829" s="144" t="n"/>
      <c r="H2829" s="145">
        <f>IF(OR(C2829="",AND(F2829="",G2829="")),"",SUMIF(基础资料!$W$5:$W$24,C2829,基础资料!$X$5:$X$24)+SUMIF(C$7:C2829,C2829,F$7:F2829)-SUMIF(C$7:C2829,C2829,G$7:G2829))</f>
      </c>
      <c r="I2829" s="145">
        <f>IF(AND(F2829="",G2829=""),"",SUM(基础资料!$X$5:$X$24)+SUM(F$7:F2829)-SUM(G$7:G2829))</f>
      </c>
      <c r="J2829" s="141" t="n"/>
      <c r="K2829" s="141" t="n"/>
      <c r="L2829" s="141" t="n"/>
      <c r="M2829" s="142" t="n"/>
      <c r="N2829" s="146">
        <f>IF(AND(AND(F2829="",G2829=""),B2829="",C2829="",D2829="",J2829="",K2829="",L2829=""),"",IF(AND(F2829="",G2829=""),"✗ 没填金额",IF(AND(N(F2829)&lt;&gt;0,N(G2829)&lt;&gt;0),"✗ 收入、支出只能填一边",IF(NOT(ISNUMBER(B2829)),"✗ 日期不是真日期（要像 2026/9/25 这样填）",IF(OR(B2829&lt;年初日,B2829&gt;年末日),"✗ 日期不在本会计年度",IF(C2829="","✗ 没选账户",IF(COUNTIF(基础资料!$W$5:$W$24,C2829)=0,"✗ 账户不在基础资料里",IF(O2829="","✗ 没选收支项目",IF(P2829="未知","✗ 收支项目不在基础资料里",IF(AND(P2829="应收",J2829=""),"✗ 这笔要选客户",IF(AND(P2829="应收",COUNTIF(总览汇总!$B$5:$B$304,J2829)=0),"✗ 客户不在总览汇总名单里",IF(AND(P2829="应付",K2829=""),"✗ 这笔要选供应商",IF(AND(P2829="应付",COUNTIF(基础资料!$Q$5:$Q$54,K2829)=0),"✗ 供应商不在基础资料里",IF(AND(P2829="费用",L2829=""),"✗ 费用支出要选费用项目",IF(AND(L2829&lt;&gt;"",COUNTIF(基础资料!$AI$5:$AI$54,L2829)=0),"✗ 费用项目不在基础资料里",IF(AND(IFERROR(INDEX(基础资料!$AD$5:$AD$34,MATCH(O2829,基础资料!$AC$5:$AC$34,0)),"")="收",N(G2829)&lt;&gt;0),"✗ 这类是收款，金额填到收入列",IF(AND(IFERROR(INDEX(基础资料!$AD$5:$AD$34,MATCH(O2829,基础资料!$AC$5:$AC$34,0)),"")="支",N(F2829)&lt;&gt;0),"✗ 这类是付款，金额填到支出列",IF(N(H2829)&lt;0,"⚠ 账户余额成负数了，核对一下","√"))))))))))))))))))</f>
      </c>
      <c r="O2829" s="78">
        <f>IF(D2829&lt;&gt;"",D2829,IF(AND(F2829="",G2829=""),"",IF(J2829&lt;&gt;"",IF(N(F2829)&gt;0,"客户回款","客户退款"),IF(K2829&lt;&gt;"",IF(N(G2829)&gt;0,"供应商付款","供应商退款"),IF(L2829&lt;&gt;"","费用支出","")))))</f>
      </c>
      <c r="P2829" s="78">
        <f>IF(O2829="","",IFERROR(INDEX(基础资料!$AE$5:$AE$34,MATCH(O2829,基础资料!$AC$5:$AC$34,0)),"未知"))</f>
      </c>
      <c r="Q2829" s="78">
        <f>IF(P2829="应收",COUNTIF(P$7:P2829,"应收"),"")</f>
      </c>
      <c r="R2829" s="78">
        <f>IF(P2829="应付",COUNTIF(P$7:P2829,"应付"),"")</f>
      </c>
      <c r="S2829" s="78">
        <f>N(F2829)-N(G2829)</f>
        <v>0</v>
      </c>
    </row>
    <row r="2830">
      <c r="A2830" s="109">
        <f>IF(AND(F2830="",G2830=""),"",ROW()-6)</f>
      </c>
      <c r="B2830" s="140" t="n"/>
      <c r="C2830" s="141" t="n"/>
      <c r="D2830" s="141" t="n"/>
      <c r="E2830" s="142" t="n"/>
      <c r="F2830" s="143" t="n"/>
      <c r="G2830" s="144" t="n"/>
      <c r="H2830" s="145">
        <f>IF(OR(C2830="",AND(F2830="",G2830="")),"",SUMIF(基础资料!$W$5:$W$24,C2830,基础资料!$X$5:$X$24)+SUMIF(C$7:C2830,C2830,F$7:F2830)-SUMIF(C$7:C2830,C2830,G$7:G2830))</f>
      </c>
      <c r="I2830" s="145">
        <f>IF(AND(F2830="",G2830=""),"",SUM(基础资料!$X$5:$X$24)+SUM(F$7:F2830)-SUM(G$7:G2830))</f>
      </c>
      <c r="J2830" s="141" t="n"/>
      <c r="K2830" s="141" t="n"/>
      <c r="L2830" s="141" t="n"/>
      <c r="M2830" s="142" t="n"/>
      <c r="N2830" s="146">
        <f>IF(AND(AND(F2830="",G2830=""),B2830="",C2830="",D2830="",J2830="",K2830="",L2830=""),"",IF(AND(F2830="",G2830=""),"✗ 没填金额",IF(AND(N(F2830)&lt;&gt;0,N(G2830)&lt;&gt;0),"✗ 收入、支出只能填一边",IF(NOT(ISNUMBER(B2830)),"✗ 日期不是真日期（要像 2026/9/25 这样填）",IF(OR(B2830&lt;年初日,B2830&gt;年末日),"✗ 日期不在本会计年度",IF(C2830="","✗ 没选账户",IF(COUNTIF(基础资料!$W$5:$W$24,C2830)=0,"✗ 账户不在基础资料里",IF(O2830="","✗ 没选收支项目",IF(P2830="未知","✗ 收支项目不在基础资料里",IF(AND(P2830="应收",J2830=""),"✗ 这笔要选客户",IF(AND(P2830="应收",COUNTIF(总览汇总!$B$5:$B$304,J2830)=0),"✗ 客户不在总览汇总名单里",IF(AND(P2830="应付",K2830=""),"✗ 这笔要选供应商",IF(AND(P2830="应付",COUNTIF(基础资料!$Q$5:$Q$54,K2830)=0),"✗ 供应商不在基础资料里",IF(AND(P2830="费用",L2830=""),"✗ 费用支出要选费用项目",IF(AND(L2830&lt;&gt;"",COUNTIF(基础资料!$AI$5:$AI$54,L2830)=0),"✗ 费用项目不在基础资料里",IF(AND(IFERROR(INDEX(基础资料!$AD$5:$AD$34,MATCH(O2830,基础资料!$AC$5:$AC$34,0)),"")="收",N(G2830)&lt;&gt;0),"✗ 这类是收款，金额填到收入列",IF(AND(IFERROR(INDEX(基础资料!$AD$5:$AD$34,MATCH(O2830,基础资料!$AC$5:$AC$34,0)),"")="支",N(F2830)&lt;&gt;0),"✗ 这类是付款，金额填到支出列",IF(N(H2830)&lt;0,"⚠ 账户余额成负数了，核对一下","√"))))))))))))))))))</f>
      </c>
      <c r="O2830" s="78">
        <f>IF(D2830&lt;&gt;"",D2830,IF(AND(F2830="",G2830=""),"",IF(J2830&lt;&gt;"",IF(N(F2830)&gt;0,"客户回款","客户退款"),IF(K2830&lt;&gt;"",IF(N(G2830)&gt;0,"供应商付款","供应商退款"),IF(L2830&lt;&gt;"","费用支出","")))))</f>
      </c>
      <c r="P2830" s="78">
        <f>IF(O2830="","",IFERROR(INDEX(基础资料!$AE$5:$AE$34,MATCH(O2830,基础资料!$AC$5:$AC$34,0)),"未知"))</f>
      </c>
      <c r="Q2830" s="78">
        <f>IF(P2830="应收",COUNTIF(P$7:P2830,"应收"),"")</f>
      </c>
      <c r="R2830" s="78">
        <f>IF(P2830="应付",COUNTIF(P$7:P2830,"应付"),"")</f>
      </c>
      <c r="S2830" s="78">
        <f>N(F2830)-N(G2830)</f>
        <v>0</v>
      </c>
    </row>
    <row r="2831">
      <c r="A2831" s="109">
        <f>IF(AND(F2831="",G2831=""),"",ROW()-6)</f>
      </c>
      <c r="B2831" s="140" t="n"/>
      <c r="C2831" s="141" t="n"/>
      <c r="D2831" s="141" t="n"/>
      <c r="E2831" s="142" t="n"/>
      <c r="F2831" s="143" t="n"/>
      <c r="G2831" s="144" t="n"/>
      <c r="H2831" s="145">
        <f>IF(OR(C2831="",AND(F2831="",G2831="")),"",SUMIF(基础资料!$W$5:$W$24,C2831,基础资料!$X$5:$X$24)+SUMIF(C$7:C2831,C2831,F$7:F2831)-SUMIF(C$7:C2831,C2831,G$7:G2831))</f>
      </c>
      <c r="I2831" s="145">
        <f>IF(AND(F2831="",G2831=""),"",SUM(基础资料!$X$5:$X$24)+SUM(F$7:F2831)-SUM(G$7:G2831))</f>
      </c>
      <c r="J2831" s="141" t="n"/>
      <c r="K2831" s="141" t="n"/>
      <c r="L2831" s="141" t="n"/>
      <c r="M2831" s="142" t="n"/>
      <c r="N2831" s="146">
        <f>IF(AND(AND(F2831="",G2831=""),B2831="",C2831="",D2831="",J2831="",K2831="",L2831=""),"",IF(AND(F2831="",G2831=""),"✗ 没填金额",IF(AND(N(F2831)&lt;&gt;0,N(G2831)&lt;&gt;0),"✗ 收入、支出只能填一边",IF(NOT(ISNUMBER(B2831)),"✗ 日期不是真日期（要像 2026/9/25 这样填）",IF(OR(B2831&lt;年初日,B2831&gt;年末日),"✗ 日期不在本会计年度",IF(C2831="","✗ 没选账户",IF(COUNTIF(基础资料!$W$5:$W$24,C2831)=0,"✗ 账户不在基础资料里",IF(O2831="","✗ 没选收支项目",IF(P2831="未知","✗ 收支项目不在基础资料里",IF(AND(P2831="应收",J2831=""),"✗ 这笔要选客户",IF(AND(P2831="应收",COUNTIF(总览汇总!$B$5:$B$304,J2831)=0),"✗ 客户不在总览汇总名单里",IF(AND(P2831="应付",K2831=""),"✗ 这笔要选供应商",IF(AND(P2831="应付",COUNTIF(基础资料!$Q$5:$Q$54,K2831)=0),"✗ 供应商不在基础资料里",IF(AND(P2831="费用",L2831=""),"✗ 费用支出要选费用项目",IF(AND(L2831&lt;&gt;"",COUNTIF(基础资料!$AI$5:$AI$54,L2831)=0),"✗ 费用项目不在基础资料里",IF(AND(IFERROR(INDEX(基础资料!$AD$5:$AD$34,MATCH(O2831,基础资料!$AC$5:$AC$34,0)),"")="收",N(G2831)&lt;&gt;0),"✗ 这类是收款，金额填到收入列",IF(AND(IFERROR(INDEX(基础资料!$AD$5:$AD$34,MATCH(O2831,基础资料!$AC$5:$AC$34,0)),"")="支",N(F2831)&lt;&gt;0),"✗ 这类是付款，金额填到支出列",IF(N(H2831)&lt;0,"⚠ 账户余额成负数了，核对一下","√"))))))))))))))))))</f>
      </c>
      <c r="O2831" s="78">
        <f>IF(D2831&lt;&gt;"",D2831,IF(AND(F2831="",G2831=""),"",IF(J2831&lt;&gt;"",IF(N(F2831)&gt;0,"客户回款","客户退款"),IF(K2831&lt;&gt;"",IF(N(G2831)&gt;0,"供应商付款","供应商退款"),IF(L2831&lt;&gt;"","费用支出","")))))</f>
      </c>
      <c r="P2831" s="78">
        <f>IF(O2831="","",IFERROR(INDEX(基础资料!$AE$5:$AE$34,MATCH(O2831,基础资料!$AC$5:$AC$34,0)),"未知"))</f>
      </c>
      <c r="Q2831" s="78">
        <f>IF(P2831="应收",COUNTIF(P$7:P2831,"应收"),"")</f>
      </c>
      <c r="R2831" s="78">
        <f>IF(P2831="应付",COUNTIF(P$7:P2831,"应付"),"")</f>
      </c>
      <c r="S2831" s="78">
        <f>N(F2831)-N(G2831)</f>
        <v>0</v>
      </c>
    </row>
    <row r="2832">
      <c r="A2832" s="109">
        <f>IF(AND(F2832="",G2832=""),"",ROW()-6)</f>
      </c>
      <c r="B2832" s="140" t="n"/>
      <c r="C2832" s="141" t="n"/>
      <c r="D2832" s="141" t="n"/>
      <c r="E2832" s="142" t="n"/>
      <c r="F2832" s="143" t="n"/>
      <c r="G2832" s="144" t="n"/>
      <c r="H2832" s="145">
        <f>IF(OR(C2832="",AND(F2832="",G2832="")),"",SUMIF(基础资料!$W$5:$W$24,C2832,基础资料!$X$5:$X$24)+SUMIF(C$7:C2832,C2832,F$7:F2832)-SUMIF(C$7:C2832,C2832,G$7:G2832))</f>
      </c>
      <c r="I2832" s="145">
        <f>IF(AND(F2832="",G2832=""),"",SUM(基础资料!$X$5:$X$24)+SUM(F$7:F2832)-SUM(G$7:G2832))</f>
      </c>
      <c r="J2832" s="141" t="n"/>
      <c r="K2832" s="141" t="n"/>
      <c r="L2832" s="141" t="n"/>
      <c r="M2832" s="142" t="n"/>
      <c r="N2832" s="146">
        <f>IF(AND(AND(F2832="",G2832=""),B2832="",C2832="",D2832="",J2832="",K2832="",L2832=""),"",IF(AND(F2832="",G2832=""),"✗ 没填金额",IF(AND(N(F2832)&lt;&gt;0,N(G2832)&lt;&gt;0),"✗ 收入、支出只能填一边",IF(NOT(ISNUMBER(B2832)),"✗ 日期不是真日期（要像 2026/9/25 这样填）",IF(OR(B2832&lt;年初日,B2832&gt;年末日),"✗ 日期不在本会计年度",IF(C2832="","✗ 没选账户",IF(COUNTIF(基础资料!$W$5:$W$24,C2832)=0,"✗ 账户不在基础资料里",IF(O2832="","✗ 没选收支项目",IF(P2832="未知","✗ 收支项目不在基础资料里",IF(AND(P2832="应收",J2832=""),"✗ 这笔要选客户",IF(AND(P2832="应收",COUNTIF(总览汇总!$B$5:$B$304,J2832)=0),"✗ 客户不在总览汇总名单里",IF(AND(P2832="应付",K2832=""),"✗ 这笔要选供应商",IF(AND(P2832="应付",COUNTIF(基础资料!$Q$5:$Q$54,K2832)=0),"✗ 供应商不在基础资料里",IF(AND(P2832="费用",L2832=""),"✗ 费用支出要选费用项目",IF(AND(L2832&lt;&gt;"",COUNTIF(基础资料!$AI$5:$AI$54,L2832)=0),"✗ 费用项目不在基础资料里",IF(AND(IFERROR(INDEX(基础资料!$AD$5:$AD$34,MATCH(O2832,基础资料!$AC$5:$AC$34,0)),"")="收",N(G2832)&lt;&gt;0),"✗ 这类是收款，金额填到收入列",IF(AND(IFERROR(INDEX(基础资料!$AD$5:$AD$34,MATCH(O2832,基础资料!$AC$5:$AC$34,0)),"")="支",N(F2832)&lt;&gt;0),"✗ 这类是付款，金额填到支出列",IF(N(H2832)&lt;0,"⚠ 账户余额成负数了，核对一下","√"))))))))))))))))))</f>
      </c>
      <c r="O2832" s="78">
        <f>IF(D2832&lt;&gt;"",D2832,IF(AND(F2832="",G2832=""),"",IF(J2832&lt;&gt;"",IF(N(F2832)&gt;0,"客户回款","客户退款"),IF(K2832&lt;&gt;"",IF(N(G2832)&gt;0,"供应商付款","供应商退款"),IF(L2832&lt;&gt;"","费用支出","")))))</f>
      </c>
      <c r="P2832" s="78">
        <f>IF(O2832="","",IFERROR(INDEX(基础资料!$AE$5:$AE$34,MATCH(O2832,基础资料!$AC$5:$AC$34,0)),"未知"))</f>
      </c>
      <c r="Q2832" s="78">
        <f>IF(P2832="应收",COUNTIF(P$7:P2832,"应收"),"")</f>
      </c>
      <c r="R2832" s="78">
        <f>IF(P2832="应付",COUNTIF(P$7:P2832,"应付"),"")</f>
      </c>
      <c r="S2832" s="78">
        <f>N(F2832)-N(G2832)</f>
        <v>0</v>
      </c>
    </row>
    <row r="2833">
      <c r="A2833" s="109">
        <f>IF(AND(F2833="",G2833=""),"",ROW()-6)</f>
      </c>
      <c r="B2833" s="140" t="n"/>
      <c r="C2833" s="141" t="n"/>
      <c r="D2833" s="141" t="n"/>
      <c r="E2833" s="142" t="n"/>
      <c r="F2833" s="143" t="n"/>
      <c r="G2833" s="144" t="n"/>
      <c r="H2833" s="145">
        <f>IF(OR(C2833="",AND(F2833="",G2833="")),"",SUMIF(基础资料!$W$5:$W$24,C2833,基础资料!$X$5:$X$24)+SUMIF(C$7:C2833,C2833,F$7:F2833)-SUMIF(C$7:C2833,C2833,G$7:G2833))</f>
      </c>
      <c r="I2833" s="145">
        <f>IF(AND(F2833="",G2833=""),"",SUM(基础资料!$X$5:$X$24)+SUM(F$7:F2833)-SUM(G$7:G2833))</f>
      </c>
      <c r="J2833" s="141" t="n"/>
      <c r="K2833" s="141" t="n"/>
      <c r="L2833" s="141" t="n"/>
      <c r="M2833" s="142" t="n"/>
      <c r="N2833" s="146">
        <f>IF(AND(AND(F2833="",G2833=""),B2833="",C2833="",D2833="",J2833="",K2833="",L2833=""),"",IF(AND(F2833="",G2833=""),"✗ 没填金额",IF(AND(N(F2833)&lt;&gt;0,N(G2833)&lt;&gt;0),"✗ 收入、支出只能填一边",IF(NOT(ISNUMBER(B2833)),"✗ 日期不是真日期（要像 2026/9/25 这样填）",IF(OR(B2833&lt;年初日,B2833&gt;年末日),"✗ 日期不在本会计年度",IF(C2833="","✗ 没选账户",IF(COUNTIF(基础资料!$W$5:$W$24,C2833)=0,"✗ 账户不在基础资料里",IF(O2833="","✗ 没选收支项目",IF(P2833="未知","✗ 收支项目不在基础资料里",IF(AND(P2833="应收",J2833=""),"✗ 这笔要选客户",IF(AND(P2833="应收",COUNTIF(总览汇总!$B$5:$B$304,J2833)=0),"✗ 客户不在总览汇总名单里",IF(AND(P2833="应付",K2833=""),"✗ 这笔要选供应商",IF(AND(P2833="应付",COUNTIF(基础资料!$Q$5:$Q$54,K2833)=0),"✗ 供应商不在基础资料里",IF(AND(P2833="费用",L2833=""),"✗ 费用支出要选费用项目",IF(AND(L2833&lt;&gt;"",COUNTIF(基础资料!$AI$5:$AI$54,L2833)=0),"✗ 费用项目不在基础资料里",IF(AND(IFERROR(INDEX(基础资料!$AD$5:$AD$34,MATCH(O2833,基础资料!$AC$5:$AC$34,0)),"")="收",N(G2833)&lt;&gt;0),"✗ 这类是收款，金额填到收入列",IF(AND(IFERROR(INDEX(基础资料!$AD$5:$AD$34,MATCH(O2833,基础资料!$AC$5:$AC$34,0)),"")="支",N(F2833)&lt;&gt;0),"✗ 这类是付款，金额填到支出列",IF(N(H2833)&lt;0,"⚠ 账户余额成负数了，核对一下","√"))))))))))))))))))</f>
      </c>
      <c r="O2833" s="78">
        <f>IF(D2833&lt;&gt;"",D2833,IF(AND(F2833="",G2833=""),"",IF(J2833&lt;&gt;"",IF(N(F2833)&gt;0,"客户回款","客户退款"),IF(K2833&lt;&gt;"",IF(N(G2833)&gt;0,"供应商付款","供应商退款"),IF(L2833&lt;&gt;"","费用支出","")))))</f>
      </c>
      <c r="P2833" s="78">
        <f>IF(O2833="","",IFERROR(INDEX(基础资料!$AE$5:$AE$34,MATCH(O2833,基础资料!$AC$5:$AC$34,0)),"未知"))</f>
      </c>
      <c r="Q2833" s="78">
        <f>IF(P2833="应收",COUNTIF(P$7:P2833,"应收"),"")</f>
      </c>
      <c r="R2833" s="78">
        <f>IF(P2833="应付",COUNTIF(P$7:P2833,"应付"),"")</f>
      </c>
      <c r="S2833" s="78">
        <f>N(F2833)-N(G2833)</f>
        <v>0</v>
      </c>
    </row>
    <row r="2834">
      <c r="A2834" s="109">
        <f>IF(AND(F2834="",G2834=""),"",ROW()-6)</f>
      </c>
      <c r="B2834" s="140" t="n"/>
      <c r="C2834" s="141" t="n"/>
      <c r="D2834" s="141" t="n"/>
      <c r="E2834" s="142" t="n"/>
      <c r="F2834" s="143" t="n"/>
      <c r="G2834" s="144" t="n"/>
      <c r="H2834" s="145">
        <f>IF(OR(C2834="",AND(F2834="",G2834="")),"",SUMIF(基础资料!$W$5:$W$24,C2834,基础资料!$X$5:$X$24)+SUMIF(C$7:C2834,C2834,F$7:F2834)-SUMIF(C$7:C2834,C2834,G$7:G2834))</f>
      </c>
      <c r="I2834" s="145">
        <f>IF(AND(F2834="",G2834=""),"",SUM(基础资料!$X$5:$X$24)+SUM(F$7:F2834)-SUM(G$7:G2834))</f>
      </c>
      <c r="J2834" s="141" t="n"/>
      <c r="K2834" s="141" t="n"/>
      <c r="L2834" s="141" t="n"/>
      <c r="M2834" s="142" t="n"/>
      <c r="N2834" s="146">
        <f>IF(AND(AND(F2834="",G2834=""),B2834="",C2834="",D2834="",J2834="",K2834="",L2834=""),"",IF(AND(F2834="",G2834=""),"✗ 没填金额",IF(AND(N(F2834)&lt;&gt;0,N(G2834)&lt;&gt;0),"✗ 收入、支出只能填一边",IF(NOT(ISNUMBER(B2834)),"✗ 日期不是真日期（要像 2026/9/25 这样填）",IF(OR(B2834&lt;年初日,B2834&gt;年末日),"✗ 日期不在本会计年度",IF(C2834="","✗ 没选账户",IF(COUNTIF(基础资料!$W$5:$W$24,C2834)=0,"✗ 账户不在基础资料里",IF(O2834="","✗ 没选收支项目",IF(P2834="未知","✗ 收支项目不在基础资料里",IF(AND(P2834="应收",J2834=""),"✗ 这笔要选客户",IF(AND(P2834="应收",COUNTIF(总览汇总!$B$5:$B$304,J2834)=0),"✗ 客户不在总览汇总名单里",IF(AND(P2834="应付",K2834=""),"✗ 这笔要选供应商",IF(AND(P2834="应付",COUNTIF(基础资料!$Q$5:$Q$54,K2834)=0),"✗ 供应商不在基础资料里",IF(AND(P2834="费用",L2834=""),"✗ 费用支出要选费用项目",IF(AND(L2834&lt;&gt;"",COUNTIF(基础资料!$AI$5:$AI$54,L2834)=0),"✗ 费用项目不在基础资料里",IF(AND(IFERROR(INDEX(基础资料!$AD$5:$AD$34,MATCH(O2834,基础资料!$AC$5:$AC$34,0)),"")="收",N(G2834)&lt;&gt;0),"✗ 这类是收款，金额填到收入列",IF(AND(IFERROR(INDEX(基础资料!$AD$5:$AD$34,MATCH(O2834,基础资料!$AC$5:$AC$34,0)),"")="支",N(F2834)&lt;&gt;0),"✗ 这类是付款，金额填到支出列",IF(N(H2834)&lt;0,"⚠ 账户余额成负数了，核对一下","√"))))))))))))))))))</f>
      </c>
      <c r="O2834" s="78">
        <f>IF(D2834&lt;&gt;"",D2834,IF(AND(F2834="",G2834=""),"",IF(J2834&lt;&gt;"",IF(N(F2834)&gt;0,"客户回款","客户退款"),IF(K2834&lt;&gt;"",IF(N(G2834)&gt;0,"供应商付款","供应商退款"),IF(L2834&lt;&gt;"","费用支出","")))))</f>
      </c>
      <c r="P2834" s="78">
        <f>IF(O2834="","",IFERROR(INDEX(基础资料!$AE$5:$AE$34,MATCH(O2834,基础资料!$AC$5:$AC$34,0)),"未知"))</f>
      </c>
      <c r="Q2834" s="78">
        <f>IF(P2834="应收",COUNTIF(P$7:P2834,"应收"),"")</f>
      </c>
      <c r="R2834" s="78">
        <f>IF(P2834="应付",COUNTIF(P$7:P2834,"应付"),"")</f>
      </c>
      <c r="S2834" s="78">
        <f>N(F2834)-N(G2834)</f>
        <v>0</v>
      </c>
    </row>
    <row r="2835">
      <c r="A2835" s="109">
        <f>IF(AND(F2835="",G2835=""),"",ROW()-6)</f>
      </c>
      <c r="B2835" s="140" t="n"/>
      <c r="C2835" s="141" t="n"/>
      <c r="D2835" s="141" t="n"/>
      <c r="E2835" s="142" t="n"/>
      <c r="F2835" s="143" t="n"/>
      <c r="G2835" s="144" t="n"/>
      <c r="H2835" s="145">
        <f>IF(OR(C2835="",AND(F2835="",G2835="")),"",SUMIF(基础资料!$W$5:$W$24,C2835,基础资料!$X$5:$X$24)+SUMIF(C$7:C2835,C2835,F$7:F2835)-SUMIF(C$7:C2835,C2835,G$7:G2835))</f>
      </c>
      <c r="I2835" s="145">
        <f>IF(AND(F2835="",G2835=""),"",SUM(基础资料!$X$5:$X$24)+SUM(F$7:F2835)-SUM(G$7:G2835))</f>
      </c>
      <c r="J2835" s="141" t="n"/>
      <c r="K2835" s="141" t="n"/>
      <c r="L2835" s="141" t="n"/>
      <c r="M2835" s="142" t="n"/>
      <c r="N2835" s="146">
        <f>IF(AND(AND(F2835="",G2835=""),B2835="",C2835="",D2835="",J2835="",K2835="",L2835=""),"",IF(AND(F2835="",G2835=""),"✗ 没填金额",IF(AND(N(F2835)&lt;&gt;0,N(G2835)&lt;&gt;0),"✗ 收入、支出只能填一边",IF(NOT(ISNUMBER(B2835)),"✗ 日期不是真日期（要像 2026/9/25 这样填）",IF(OR(B2835&lt;年初日,B2835&gt;年末日),"✗ 日期不在本会计年度",IF(C2835="","✗ 没选账户",IF(COUNTIF(基础资料!$W$5:$W$24,C2835)=0,"✗ 账户不在基础资料里",IF(O2835="","✗ 没选收支项目",IF(P2835="未知","✗ 收支项目不在基础资料里",IF(AND(P2835="应收",J2835=""),"✗ 这笔要选客户",IF(AND(P2835="应收",COUNTIF(总览汇总!$B$5:$B$304,J2835)=0),"✗ 客户不在总览汇总名单里",IF(AND(P2835="应付",K2835=""),"✗ 这笔要选供应商",IF(AND(P2835="应付",COUNTIF(基础资料!$Q$5:$Q$54,K2835)=0),"✗ 供应商不在基础资料里",IF(AND(P2835="费用",L2835=""),"✗ 费用支出要选费用项目",IF(AND(L2835&lt;&gt;"",COUNTIF(基础资料!$AI$5:$AI$54,L2835)=0),"✗ 费用项目不在基础资料里",IF(AND(IFERROR(INDEX(基础资料!$AD$5:$AD$34,MATCH(O2835,基础资料!$AC$5:$AC$34,0)),"")="收",N(G2835)&lt;&gt;0),"✗ 这类是收款，金额填到收入列",IF(AND(IFERROR(INDEX(基础资料!$AD$5:$AD$34,MATCH(O2835,基础资料!$AC$5:$AC$34,0)),"")="支",N(F2835)&lt;&gt;0),"✗ 这类是付款，金额填到支出列",IF(N(H2835)&lt;0,"⚠ 账户余额成负数了，核对一下","√"))))))))))))))))))</f>
      </c>
      <c r="O2835" s="78">
        <f>IF(D2835&lt;&gt;"",D2835,IF(AND(F2835="",G2835=""),"",IF(J2835&lt;&gt;"",IF(N(F2835)&gt;0,"客户回款","客户退款"),IF(K2835&lt;&gt;"",IF(N(G2835)&gt;0,"供应商付款","供应商退款"),IF(L2835&lt;&gt;"","费用支出","")))))</f>
      </c>
      <c r="P2835" s="78">
        <f>IF(O2835="","",IFERROR(INDEX(基础资料!$AE$5:$AE$34,MATCH(O2835,基础资料!$AC$5:$AC$34,0)),"未知"))</f>
      </c>
      <c r="Q2835" s="78">
        <f>IF(P2835="应收",COUNTIF(P$7:P2835,"应收"),"")</f>
      </c>
      <c r="R2835" s="78">
        <f>IF(P2835="应付",COUNTIF(P$7:P2835,"应付"),"")</f>
      </c>
      <c r="S2835" s="78">
        <f>N(F2835)-N(G2835)</f>
        <v>0</v>
      </c>
    </row>
    <row r="2836">
      <c r="A2836" s="109">
        <f>IF(AND(F2836="",G2836=""),"",ROW()-6)</f>
      </c>
      <c r="B2836" s="140" t="n"/>
      <c r="C2836" s="141" t="n"/>
      <c r="D2836" s="141" t="n"/>
      <c r="E2836" s="142" t="n"/>
      <c r="F2836" s="143" t="n"/>
      <c r="G2836" s="144" t="n"/>
      <c r="H2836" s="145">
        <f>IF(OR(C2836="",AND(F2836="",G2836="")),"",SUMIF(基础资料!$W$5:$W$24,C2836,基础资料!$X$5:$X$24)+SUMIF(C$7:C2836,C2836,F$7:F2836)-SUMIF(C$7:C2836,C2836,G$7:G2836))</f>
      </c>
      <c r="I2836" s="145">
        <f>IF(AND(F2836="",G2836=""),"",SUM(基础资料!$X$5:$X$24)+SUM(F$7:F2836)-SUM(G$7:G2836))</f>
      </c>
      <c r="J2836" s="141" t="n"/>
      <c r="K2836" s="141" t="n"/>
      <c r="L2836" s="141" t="n"/>
      <c r="M2836" s="142" t="n"/>
      <c r="N2836" s="146">
        <f>IF(AND(AND(F2836="",G2836=""),B2836="",C2836="",D2836="",J2836="",K2836="",L2836=""),"",IF(AND(F2836="",G2836=""),"✗ 没填金额",IF(AND(N(F2836)&lt;&gt;0,N(G2836)&lt;&gt;0),"✗ 收入、支出只能填一边",IF(NOT(ISNUMBER(B2836)),"✗ 日期不是真日期（要像 2026/9/25 这样填）",IF(OR(B2836&lt;年初日,B2836&gt;年末日),"✗ 日期不在本会计年度",IF(C2836="","✗ 没选账户",IF(COUNTIF(基础资料!$W$5:$W$24,C2836)=0,"✗ 账户不在基础资料里",IF(O2836="","✗ 没选收支项目",IF(P2836="未知","✗ 收支项目不在基础资料里",IF(AND(P2836="应收",J2836=""),"✗ 这笔要选客户",IF(AND(P2836="应收",COUNTIF(总览汇总!$B$5:$B$304,J2836)=0),"✗ 客户不在总览汇总名单里",IF(AND(P2836="应付",K2836=""),"✗ 这笔要选供应商",IF(AND(P2836="应付",COUNTIF(基础资料!$Q$5:$Q$54,K2836)=0),"✗ 供应商不在基础资料里",IF(AND(P2836="费用",L2836=""),"✗ 费用支出要选费用项目",IF(AND(L2836&lt;&gt;"",COUNTIF(基础资料!$AI$5:$AI$54,L2836)=0),"✗ 费用项目不在基础资料里",IF(AND(IFERROR(INDEX(基础资料!$AD$5:$AD$34,MATCH(O2836,基础资料!$AC$5:$AC$34,0)),"")="收",N(G2836)&lt;&gt;0),"✗ 这类是收款，金额填到收入列",IF(AND(IFERROR(INDEX(基础资料!$AD$5:$AD$34,MATCH(O2836,基础资料!$AC$5:$AC$34,0)),"")="支",N(F2836)&lt;&gt;0),"✗ 这类是付款，金额填到支出列",IF(N(H2836)&lt;0,"⚠ 账户余额成负数了，核对一下","√"))))))))))))))))))</f>
      </c>
      <c r="O2836" s="78">
        <f>IF(D2836&lt;&gt;"",D2836,IF(AND(F2836="",G2836=""),"",IF(J2836&lt;&gt;"",IF(N(F2836)&gt;0,"客户回款","客户退款"),IF(K2836&lt;&gt;"",IF(N(G2836)&gt;0,"供应商付款","供应商退款"),IF(L2836&lt;&gt;"","费用支出","")))))</f>
      </c>
      <c r="P2836" s="78">
        <f>IF(O2836="","",IFERROR(INDEX(基础资料!$AE$5:$AE$34,MATCH(O2836,基础资料!$AC$5:$AC$34,0)),"未知"))</f>
      </c>
      <c r="Q2836" s="78">
        <f>IF(P2836="应收",COUNTIF(P$7:P2836,"应收"),"")</f>
      </c>
      <c r="R2836" s="78">
        <f>IF(P2836="应付",COUNTIF(P$7:P2836,"应付"),"")</f>
      </c>
      <c r="S2836" s="78">
        <f>N(F2836)-N(G2836)</f>
        <v>0</v>
      </c>
    </row>
    <row r="2837">
      <c r="A2837" s="109">
        <f>IF(AND(F2837="",G2837=""),"",ROW()-6)</f>
      </c>
      <c r="B2837" s="140" t="n"/>
      <c r="C2837" s="141" t="n"/>
      <c r="D2837" s="141" t="n"/>
      <c r="E2837" s="142" t="n"/>
      <c r="F2837" s="143" t="n"/>
      <c r="G2837" s="144" t="n"/>
      <c r="H2837" s="145">
        <f>IF(OR(C2837="",AND(F2837="",G2837="")),"",SUMIF(基础资料!$W$5:$W$24,C2837,基础资料!$X$5:$X$24)+SUMIF(C$7:C2837,C2837,F$7:F2837)-SUMIF(C$7:C2837,C2837,G$7:G2837))</f>
      </c>
      <c r="I2837" s="145">
        <f>IF(AND(F2837="",G2837=""),"",SUM(基础资料!$X$5:$X$24)+SUM(F$7:F2837)-SUM(G$7:G2837))</f>
      </c>
      <c r="J2837" s="141" t="n"/>
      <c r="K2837" s="141" t="n"/>
      <c r="L2837" s="141" t="n"/>
      <c r="M2837" s="142" t="n"/>
      <c r="N2837" s="146">
        <f>IF(AND(AND(F2837="",G2837=""),B2837="",C2837="",D2837="",J2837="",K2837="",L2837=""),"",IF(AND(F2837="",G2837=""),"✗ 没填金额",IF(AND(N(F2837)&lt;&gt;0,N(G2837)&lt;&gt;0),"✗ 收入、支出只能填一边",IF(NOT(ISNUMBER(B2837)),"✗ 日期不是真日期（要像 2026/9/25 这样填）",IF(OR(B2837&lt;年初日,B2837&gt;年末日),"✗ 日期不在本会计年度",IF(C2837="","✗ 没选账户",IF(COUNTIF(基础资料!$W$5:$W$24,C2837)=0,"✗ 账户不在基础资料里",IF(O2837="","✗ 没选收支项目",IF(P2837="未知","✗ 收支项目不在基础资料里",IF(AND(P2837="应收",J2837=""),"✗ 这笔要选客户",IF(AND(P2837="应收",COUNTIF(总览汇总!$B$5:$B$304,J2837)=0),"✗ 客户不在总览汇总名单里",IF(AND(P2837="应付",K2837=""),"✗ 这笔要选供应商",IF(AND(P2837="应付",COUNTIF(基础资料!$Q$5:$Q$54,K2837)=0),"✗ 供应商不在基础资料里",IF(AND(P2837="费用",L2837=""),"✗ 费用支出要选费用项目",IF(AND(L2837&lt;&gt;"",COUNTIF(基础资料!$AI$5:$AI$54,L2837)=0),"✗ 费用项目不在基础资料里",IF(AND(IFERROR(INDEX(基础资料!$AD$5:$AD$34,MATCH(O2837,基础资料!$AC$5:$AC$34,0)),"")="收",N(G2837)&lt;&gt;0),"✗ 这类是收款，金额填到收入列",IF(AND(IFERROR(INDEX(基础资料!$AD$5:$AD$34,MATCH(O2837,基础资料!$AC$5:$AC$34,0)),"")="支",N(F2837)&lt;&gt;0),"✗ 这类是付款，金额填到支出列",IF(N(H2837)&lt;0,"⚠ 账户余额成负数了，核对一下","√"))))))))))))))))))</f>
      </c>
      <c r="O2837" s="78">
        <f>IF(D2837&lt;&gt;"",D2837,IF(AND(F2837="",G2837=""),"",IF(J2837&lt;&gt;"",IF(N(F2837)&gt;0,"客户回款","客户退款"),IF(K2837&lt;&gt;"",IF(N(G2837)&gt;0,"供应商付款","供应商退款"),IF(L2837&lt;&gt;"","费用支出","")))))</f>
      </c>
      <c r="P2837" s="78">
        <f>IF(O2837="","",IFERROR(INDEX(基础资料!$AE$5:$AE$34,MATCH(O2837,基础资料!$AC$5:$AC$34,0)),"未知"))</f>
      </c>
      <c r="Q2837" s="78">
        <f>IF(P2837="应收",COUNTIF(P$7:P2837,"应收"),"")</f>
      </c>
      <c r="R2837" s="78">
        <f>IF(P2837="应付",COUNTIF(P$7:P2837,"应付"),"")</f>
      </c>
      <c r="S2837" s="78">
        <f>N(F2837)-N(G2837)</f>
        <v>0</v>
      </c>
    </row>
    <row r="2838">
      <c r="A2838" s="109">
        <f>IF(AND(F2838="",G2838=""),"",ROW()-6)</f>
      </c>
      <c r="B2838" s="140" t="n"/>
      <c r="C2838" s="141" t="n"/>
      <c r="D2838" s="141" t="n"/>
      <c r="E2838" s="142" t="n"/>
      <c r="F2838" s="143" t="n"/>
      <c r="G2838" s="144" t="n"/>
      <c r="H2838" s="145">
        <f>IF(OR(C2838="",AND(F2838="",G2838="")),"",SUMIF(基础资料!$W$5:$W$24,C2838,基础资料!$X$5:$X$24)+SUMIF(C$7:C2838,C2838,F$7:F2838)-SUMIF(C$7:C2838,C2838,G$7:G2838))</f>
      </c>
      <c r="I2838" s="145">
        <f>IF(AND(F2838="",G2838=""),"",SUM(基础资料!$X$5:$X$24)+SUM(F$7:F2838)-SUM(G$7:G2838))</f>
      </c>
      <c r="J2838" s="141" t="n"/>
      <c r="K2838" s="141" t="n"/>
      <c r="L2838" s="141" t="n"/>
      <c r="M2838" s="142" t="n"/>
      <c r="N2838" s="146">
        <f>IF(AND(AND(F2838="",G2838=""),B2838="",C2838="",D2838="",J2838="",K2838="",L2838=""),"",IF(AND(F2838="",G2838=""),"✗ 没填金额",IF(AND(N(F2838)&lt;&gt;0,N(G2838)&lt;&gt;0),"✗ 收入、支出只能填一边",IF(NOT(ISNUMBER(B2838)),"✗ 日期不是真日期（要像 2026/9/25 这样填）",IF(OR(B2838&lt;年初日,B2838&gt;年末日),"✗ 日期不在本会计年度",IF(C2838="","✗ 没选账户",IF(COUNTIF(基础资料!$W$5:$W$24,C2838)=0,"✗ 账户不在基础资料里",IF(O2838="","✗ 没选收支项目",IF(P2838="未知","✗ 收支项目不在基础资料里",IF(AND(P2838="应收",J2838=""),"✗ 这笔要选客户",IF(AND(P2838="应收",COUNTIF(总览汇总!$B$5:$B$304,J2838)=0),"✗ 客户不在总览汇总名单里",IF(AND(P2838="应付",K2838=""),"✗ 这笔要选供应商",IF(AND(P2838="应付",COUNTIF(基础资料!$Q$5:$Q$54,K2838)=0),"✗ 供应商不在基础资料里",IF(AND(P2838="费用",L2838=""),"✗ 费用支出要选费用项目",IF(AND(L2838&lt;&gt;"",COUNTIF(基础资料!$AI$5:$AI$54,L2838)=0),"✗ 费用项目不在基础资料里",IF(AND(IFERROR(INDEX(基础资料!$AD$5:$AD$34,MATCH(O2838,基础资料!$AC$5:$AC$34,0)),"")="收",N(G2838)&lt;&gt;0),"✗ 这类是收款，金额填到收入列",IF(AND(IFERROR(INDEX(基础资料!$AD$5:$AD$34,MATCH(O2838,基础资料!$AC$5:$AC$34,0)),"")="支",N(F2838)&lt;&gt;0),"✗ 这类是付款，金额填到支出列",IF(N(H2838)&lt;0,"⚠ 账户余额成负数了，核对一下","√"))))))))))))))))))</f>
      </c>
      <c r="O2838" s="78">
        <f>IF(D2838&lt;&gt;"",D2838,IF(AND(F2838="",G2838=""),"",IF(J2838&lt;&gt;"",IF(N(F2838)&gt;0,"客户回款","客户退款"),IF(K2838&lt;&gt;"",IF(N(G2838)&gt;0,"供应商付款","供应商退款"),IF(L2838&lt;&gt;"","费用支出","")))))</f>
      </c>
      <c r="P2838" s="78">
        <f>IF(O2838="","",IFERROR(INDEX(基础资料!$AE$5:$AE$34,MATCH(O2838,基础资料!$AC$5:$AC$34,0)),"未知"))</f>
      </c>
      <c r="Q2838" s="78">
        <f>IF(P2838="应收",COUNTIF(P$7:P2838,"应收"),"")</f>
      </c>
      <c r="R2838" s="78">
        <f>IF(P2838="应付",COUNTIF(P$7:P2838,"应付"),"")</f>
      </c>
      <c r="S2838" s="78">
        <f>N(F2838)-N(G2838)</f>
        <v>0</v>
      </c>
    </row>
    <row r="2839">
      <c r="A2839" s="109">
        <f>IF(AND(F2839="",G2839=""),"",ROW()-6)</f>
      </c>
      <c r="B2839" s="140" t="n"/>
      <c r="C2839" s="141" t="n"/>
      <c r="D2839" s="141" t="n"/>
      <c r="E2839" s="142" t="n"/>
      <c r="F2839" s="143" t="n"/>
      <c r="G2839" s="144" t="n"/>
      <c r="H2839" s="145">
        <f>IF(OR(C2839="",AND(F2839="",G2839="")),"",SUMIF(基础资料!$W$5:$W$24,C2839,基础资料!$X$5:$X$24)+SUMIF(C$7:C2839,C2839,F$7:F2839)-SUMIF(C$7:C2839,C2839,G$7:G2839))</f>
      </c>
      <c r="I2839" s="145">
        <f>IF(AND(F2839="",G2839=""),"",SUM(基础资料!$X$5:$X$24)+SUM(F$7:F2839)-SUM(G$7:G2839))</f>
      </c>
      <c r="J2839" s="141" t="n"/>
      <c r="K2839" s="141" t="n"/>
      <c r="L2839" s="141" t="n"/>
      <c r="M2839" s="142" t="n"/>
      <c r="N2839" s="146">
        <f>IF(AND(AND(F2839="",G2839=""),B2839="",C2839="",D2839="",J2839="",K2839="",L2839=""),"",IF(AND(F2839="",G2839=""),"✗ 没填金额",IF(AND(N(F2839)&lt;&gt;0,N(G2839)&lt;&gt;0),"✗ 收入、支出只能填一边",IF(NOT(ISNUMBER(B2839)),"✗ 日期不是真日期（要像 2026/9/25 这样填）",IF(OR(B2839&lt;年初日,B2839&gt;年末日),"✗ 日期不在本会计年度",IF(C2839="","✗ 没选账户",IF(COUNTIF(基础资料!$W$5:$W$24,C2839)=0,"✗ 账户不在基础资料里",IF(O2839="","✗ 没选收支项目",IF(P2839="未知","✗ 收支项目不在基础资料里",IF(AND(P2839="应收",J2839=""),"✗ 这笔要选客户",IF(AND(P2839="应收",COUNTIF(总览汇总!$B$5:$B$304,J2839)=0),"✗ 客户不在总览汇总名单里",IF(AND(P2839="应付",K2839=""),"✗ 这笔要选供应商",IF(AND(P2839="应付",COUNTIF(基础资料!$Q$5:$Q$54,K2839)=0),"✗ 供应商不在基础资料里",IF(AND(P2839="费用",L2839=""),"✗ 费用支出要选费用项目",IF(AND(L2839&lt;&gt;"",COUNTIF(基础资料!$AI$5:$AI$54,L2839)=0),"✗ 费用项目不在基础资料里",IF(AND(IFERROR(INDEX(基础资料!$AD$5:$AD$34,MATCH(O2839,基础资料!$AC$5:$AC$34,0)),"")="收",N(G2839)&lt;&gt;0),"✗ 这类是收款，金额填到收入列",IF(AND(IFERROR(INDEX(基础资料!$AD$5:$AD$34,MATCH(O2839,基础资料!$AC$5:$AC$34,0)),"")="支",N(F2839)&lt;&gt;0),"✗ 这类是付款，金额填到支出列",IF(N(H2839)&lt;0,"⚠ 账户余额成负数了，核对一下","√"))))))))))))))))))</f>
      </c>
      <c r="O2839" s="78">
        <f>IF(D2839&lt;&gt;"",D2839,IF(AND(F2839="",G2839=""),"",IF(J2839&lt;&gt;"",IF(N(F2839)&gt;0,"客户回款","客户退款"),IF(K2839&lt;&gt;"",IF(N(G2839)&gt;0,"供应商付款","供应商退款"),IF(L2839&lt;&gt;"","费用支出","")))))</f>
      </c>
      <c r="P2839" s="78">
        <f>IF(O2839="","",IFERROR(INDEX(基础资料!$AE$5:$AE$34,MATCH(O2839,基础资料!$AC$5:$AC$34,0)),"未知"))</f>
      </c>
      <c r="Q2839" s="78">
        <f>IF(P2839="应收",COUNTIF(P$7:P2839,"应收"),"")</f>
      </c>
      <c r="R2839" s="78">
        <f>IF(P2839="应付",COUNTIF(P$7:P2839,"应付"),"")</f>
      </c>
      <c r="S2839" s="78">
        <f>N(F2839)-N(G2839)</f>
        <v>0</v>
      </c>
    </row>
    <row r="2840">
      <c r="A2840" s="109">
        <f>IF(AND(F2840="",G2840=""),"",ROW()-6)</f>
      </c>
      <c r="B2840" s="140" t="n"/>
      <c r="C2840" s="141" t="n"/>
      <c r="D2840" s="141" t="n"/>
      <c r="E2840" s="142" t="n"/>
      <c r="F2840" s="143" t="n"/>
      <c r="G2840" s="144" t="n"/>
      <c r="H2840" s="145">
        <f>IF(OR(C2840="",AND(F2840="",G2840="")),"",SUMIF(基础资料!$W$5:$W$24,C2840,基础资料!$X$5:$X$24)+SUMIF(C$7:C2840,C2840,F$7:F2840)-SUMIF(C$7:C2840,C2840,G$7:G2840))</f>
      </c>
      <c r="I2840" s="145">
        <f>IF(AND(F2840="",G2840=""),"",SUM(基础资料!$X$5:$X$24)+SUM(F$7:F2840)-SUM(G$7:G2840))</f>
      </c>
      <c r="J2840" s="141" t="n"/>
      <c r="K2840" s="141" t="n"/>
      <c r="L2840" s="141" t="n"/>
      <c r="M2840" s="142" t="n"/>
      <c r="N2840" s="146">
        <f>IF(AND(AND(F2840="",G2840=""),B2840="",C2840="",D2840="",J2840="",K2840="",L2840=""),"",IF(AND(F2840="",G2840=""),"✗ 没填金额",IF(AND(N(F2840)&lt;&gt;0,N(G2840)&lt;&gt;0),"✗ 收入、支出只能填一边",IF(NOT(ISNUMBER(B2840)),"✗ 日期不是真日期（要像 2026/9/25 这样填）",IF(OR(B2840&lt;年初日,B2840&gt;年末日),"✗ 日期不在本会计年度",IF(C2840="","✗ 没选账户",IF(COUNTIF(基础资料!$W$5:$W$24,C2840)=0,"✗ 账户不在基础资料里",IF(O2840="","✗ 没选收支项目",IF(P2840="未知","✗ 收支项目不在基础资料里",IF(AND(P2840="应收",J2840=""),"✗ 这笔要选客户",IF(AND(P2840="应收",COUNTIF(总览汇总!$B$5:$B$304,J2840)=0),"✗ 客户不在总览汇总名单里",IF(AND(P2840="应付",K2840=""),"✗ 这笔要选供应商",IF(AND(P2840="应付",COUNTIF(基础资料!$Q$5:$Q$54,K2840)=0),"✗ 供应商不在基础资料里",IF(AND(P2840="费用",L2840=""),"✗ 费用支出要选费用项目",IF(AND(L2840&lt;&gt;"",COUNTIF(基础资料!$AI$5:$AI$54,L2840)=0),"✗ 费用项目不在基础资料里",IF(AND(IFERROR(INDEX(基础资料!$AD$5:$AD$34,MATCH(O2840,基础资料!$AC$5:$AC$34,0)),"")="收",N(G2840)&lt;&gt;0),"✗ 这类是收款，金额填到收入列",IF(AND(IFERROR(INDEX(基础资料!$AD$5:$AD$34,MATCH(O2840,基础资料!$AC$5:$AC$34,0)),"")="支",N(F2840)&lt;&gt;0),"✗ 这类是付款，金额填到支出列",IF(N(H2840)&lt;0,"⚠ 账户余额成负数了，核对一下","√"))))))))))))))))))</f>
      </c>
      <c r="O2840" s="78">
        <f>IF(D2840&lt;&gt;"",D2840,IF(AND(F2840="",G2840=""),"",IF(J2840&lt;&gt;"",IF(N(F2840)&gt;0,"客户回款","客户退款"),IF(K2840&lt;&gt;"",IF(N(G2840)&gt;0,"供应商付款","供应商退款"),IF(L2840&lt;&gt;"","费用支出","")))))</f>
      </c>
      <c r="P2840" s="78">
        <f>IF(O2840="","",IFERROR(INDEX(基础资料!$AE$5:$AE$34,MATCH(O2840,基础资料!$AC$5:$AC$34,0)),"未知"))</f>
      </c>
      <c r="Q2840" s="78">
        <f>IF(P2840="应收",COUNTIF(P$7:P2840,"应收"),"")</f>
      </c>
      <c r="R2840" s="78">
        <f>IF(P2840="应付",COUNTIF(P$7:P2840,"应付"),"")</f>
      </c>
      <c r="S2840" s="78">
        <f>N(F2840)-N(G2840)</f>
        <v>0</v>
      </c>
    </row>
    <row r="2841">
      <c r="A2841" s="109">
        <f>IF(AND(F2841="",G2841=""),"",ROW()-6)</f>
      </c>
      <c r="B2841" s="140" t="n"/>
      <c r="C2841" s="141" t="n"/>
      <c r="D2841" s="141" t="n"/>
      <c r="E2841" s="142" t="n"/>
      <c r="F2841" s="143" t="n"/>
      <c r="G2841" s="144" t="n"/>
      <c r="H2841" s="145">
        <f>IF(OR(C2841="",AND(F2841="",G2841="")),"",SUMIF(基础资料!$W$5:$W$24,C2841,基础资料!$X$5:$X$24)+SUMIF(C$7:C2841,C2841,F$7:F2841)-SUMIF(C$7:C2841,C2841,G$7:G2841))</f>
      </c>
      <c r="I2841" s="145">
        <f>IF(AND(F2841="",G2841=""),"",SUM(基础资料!$X$5:$X$24)+SUM(F$7:F2841)-SUM(G$7:G2841))</f>
      </c>
      <c r="J2841" s="141" t="n"/>
      <c r="K2841" s="141" t="n"/>
      <c r="L2841" s="141" t="n"/>
      <c r="M2841" s="142" t="n"/>
      <c r="N2841" s="146">
        <f>IF(AND(AND(F2841="",G2841=""),B2841="",C2841="",D2841="",J2841="",K2841="",L2841=""),"",IF(AND(F2841="",G2841=""),"✗ 没填金额",IF(AND(N(F2841)&lt;&gt;0,N(G2841)&lt;&gt;0),"✗ 收入、支出只能填一边",IF(NOT(ISNUMBER(B2841)),"✗ 日期不是真日期（要像 2026/9/25 这样填）",IF(OR(B2841&lt;年初日,B2841&gt;年末日),"✗ 日期不在本会计年度",IF(C2841="","✗ 没选账户",IF(COUNTIF(基础资料!$W$5:$W$24,C2841)=0,"✗ 账户不在基础资料里",IF(O2841="","✗ 没选收支项目",IF(P2841="未知","✗ 收支项目不在基础资料里",IF(AND(P2841="应收",J2841=""),"✗ 这笔要选客户",IF(AND(P2841="应收",COUNTIF(总览汇总!$B$5:$B$304,J2841)=0),"✗ 客户不在总览汇总名单里",IF(AND(P2841="应付",K2841=""),"✗ 这笔要选供应商",IF(AND(P2841="应付",COUNTIF(基础资料!$Q$5:$Q$54,K2841)=0),"✗ 供应商不在基础资料里",IF(AND(P2841="费用",L2841=""),"✗ 费用支出要选费用项目",IF(AND(L2841&lt;&gt;"",COUNTIF(基础资料!$AI$5:$AI$54,L2841)=0),"✗ 费用项目不在基础资料里",IF(AND(IFERROR(INDEX(基础资料!$AD$5:$AD$34,MATCH(O2841,基础资料!$AC$5:$AC$34,0)),"")="收",N(G2841)&lt;&gt;0),"✗ 这类是收款，金额填到收入列",IF(AND(IFERROR(INDEX(基础资料!$AD$5:$AD$34,MATCH(O2841,基础资料!$AC$5:$AC$34,0)),"")="支",N(F2841)&lt;&gt;0),"✗ 这类是付款，金额填到支出列",IF(N(H2841)&lt;0,"⚠ 账户余额成负数了，核对一下","√"))))))))))))))))))</f>
      </c>
      <c r="O2841" s="78">
        <f>IF(D2841&lt;&gt;"",D2841,IF(AND(F2841="",G2841=""),"",IF(J2841&lt;&gt;"",IF(N(F2841)&gt;0,"客户回款","客户退款"),IF(K2841&lt;&gt;"",IF(N(G2841)&gt;0,"供应商付款","供应商退款"),IF(L2841&lt;&gt;"","费用支出","")))))</f>
      </c>
      <c r="P2841" s="78">
        <f>IF(O2841="","",IFERROR(INDEX(基础资料!$AE$5:$AE$34,MATCH(O2841,基础资料!$AC$5:$AC$34,0)),"未知"))</f>
      </c>
      <c r="Q2841" s="78">
        <f>IF(P2841="应收",COUNTIF(P$7:P2841,"应收"),"")</f>
      </c>
      <c r="R2841" s="78">
        <f>IF(P2841="应付",COUNTIF(P$7:P2841,"应付"),"")</f>
      </c>
      <c r="S2841" s="78">
        <f>N(F2841)-N(G2841)</f>
        <v>0</v>
      </c>
    </row>
    <row r="2842">
      <c r="A2842" s="109">
        <f>IF(AND(F2842="",G2842=""),"",ROW()-6)</f>
      </c>
      <c r="B2842" s="140" t="n"/>
      <c r="C2842" s="141" t="n"/>
      <c r="D2842" s="141" t="n"/>
      <c r="E2842" s="142" t="n"/>
      <c r="F2842" s="143" t="n"/>
      <c r="G2842" s="144" t="n"/>
      <c r="H2842" s="145">
        <f>IF(OR(C2842="",AND(F2842="",G2842="")),"",SUMIF(基础资料!$W$5:$W$24,C2842,基础资料!$X$5:$X$24)+SUMIF(C$7:C2842,C2842,F$7:F2842)-SUMIF(C$7:C2842,C2842,G$7:G2842))</f>
      </c>
      <c r="I2842" s="145">
        <f>IF(AND(F2842="",G2842=""),"",SUM(基础资料!$X$5:$X$24)+SUM(F$7:F2842)-SUM(G$7:G2842))</f>
      </c>
      <c r="J2842" s="141" t="n"/>
      <c r="K2842" s="141" t="n"/>
      <c r="L2842" s="141" t="n"/>
      <c r="M2842" s="142" t="n"/>
      <c r="N2842" s="146">
        <f>IF(AND(AND(F2842="",G2842=""),B2842="",C2842="",D2842="",J2842="",K2842="",L2842=""),"",IF(AND(F2842="",G2842=""),"✗ 没填金额",IF(AND(N(F2842)&lt;&gt;0,N(G2842)&lt;&gt;0),"✗ 收入、支出只能填一边",IF(NOT(ISNUMBER(B2842)),"✗ 日期不是真日期（要像 2026/9/25 这样填）",IF(OR(B2842&lt;年初日,B2842&gt;年末日),"✗ 日期不在本会计年度",IF(C2842="","✗ 没选账户",IF(COUNTIF(基础资料!$W$5:$W$24,C2842)=0,"✗ 账户不在基础资料里",IF(O2842="","✗ 没选收支项目",IF(P2842="未知","✗ 收支项目不在基础资料里",IF(AND(P2842="应收",J2842=""),"✗ 这笔要选客户",IF(AND(P2842="应收",COUNTIF(总览汇总!$B$5:$B$304,J2842)=0),"✗ 客户不在总览汇总名单里",IF(AND(P2842="应付",K2842=""),"✗ 这笔要选供应商",IF(AND(P2842="应付",COUNTIF(基础资料!$Q$5:$Q$54,K2842)=0),"✗ 供应商不在基础资料里",IF(AND(P2842="费用",L2842=""),"✗ 费用支出要选费用项目",IF(AND(L2842&lt;&gt;"",COUNTIF(基础资料!$AI$5:$AI$54,L2842)=0),"✗ 费用项目不在基础资料里",IF(AND(IFERROR(INDEX(基础资料!$AD$5:$AD$34,MATCH(O2842,基础资料!$AC$5:$AC$34,0)),"")="收",N(G2842)&lt;&gt;0),"✗ 这类是收款，金额填到收入列",IF(AND(IFERROR(INDEX(基础资料!$AD$5:$AD$34,MATCH(O2842,基础资料!$AC$5:$AC$34,0)),"")="支",N(F2842)&lt;&gt;0),"✗ 这类是付款，金额填到支出列",IF(N(H2842)&lt;0,"⚠ 账户余额成负数了，核对一下","√"))))))))))))))))))</f>
      </c>
      <c r="O2842" s="78">
        <f>IF(D2842&lt;&gt;"",D2842,IF(AND(F2842="",G2842=""),"",IF(J2842&lt;&gt;"",IF(N(F2842)&gt;0,"客户回款","客户退款"),IF(K2842&lt;&gt;"",IF(N(G2842)&gt;0,"供应商付款","供应商退款"),IF(L2842&lt;&gt;"","费用支出","")))))</f>
      </c>
      <c r="P2842" s="78">
        <f>IF(O2842="","",IFERROR(INDEX(基础资料!$AE$5:$AE$34,MATCH(O2842,基础资料!$AC$5:$AC$34,0)),"未知"))</f>
      </c>
      <c r="Q2842" s="78">
        <f>IF(P2842="应收",COUNTIF(P$7:P2842,"应收"),"")</f>
      </c>
      <c r="R2842" s="78">
        <f>IF(P2842="应付",COUNTIF(P$7:P2842,"应付"),"")</f>
      </c>
      <c r="S2842" s="78">
        <f>N(F2842)-N(G2842)</f>
        <v>0</v>
      </c>
    </row>
    <row r="2843">
      <c r="A2843" s="109">
        <f>IF(AND(F2843="",G2843=""),"",ROW()-6)</f>
      </c>
      <c r="B2843" s="140" t="n"/>
      <c r="C2843" s="141" t="n"/>
      <c r="D2843" s="141" t="n"/>
      <c r="E2843" s="142" t="n"/>
      <c r="F2843" s="143" t="n"/>
      <c r="G2843" s="144" t="n"/>
      <c r="H2843" s="145">
        <f>IF(OR(C2843="",AND(F2843="",G2843="")),"",SUMIF(基础资料!$W$5:$W$24,C2843,基础资料!$X$5:$X$24)+SUMIF(C$7:C2843,C2843,F$7:F2843)-SUMIF(C$7:C2843,C2843,G$7:G2843))</f>
      </c>
      <c r="I2843" s="145">
        <f>IF(AND(F2843="",G2843=""),"",SUM(基础资料!$X$5:$X$24)+SUM(F$7:F2843)-SUM(G$7:G2843))</f>
      </c>
      <c r="J2843" s="141" t="n"/>
      <c r="K2843" s="141" t="n"/>
      <c r="L2843" s="141" t="n"/>
      <c r="M2843" s="142" t="n"/>
      <c r="N2843" s="146">
        <f>IF(AND(AND(F2843="",G2843=""),B2843="",C2843="",D2843="",J2843="",K2843="",L2843=""),"",IF(AND(F2843="",G2843=""),"✗ 没填金额",IF(AND(N(F2843)&lt;&gt;0,N(G2843)&lt;&gt;0),"✗ 收入、支出只能填一边",IF(NOT(ISNUMBER(B2843)),"✗ 日期不是真日期（要像 2026/9/25 这样填）",IF(OR(B2843&lt;年初日,B2843&gt;年末日),"✗ 日期不在本会计年度",IF(C2843="","✗ 没选账户",IF(COUNTIF(基础资料!$W$5:$W$24,C2843)=0,"✗ 账户不在基础资料里",IF(O2843="","✗ 没选收支项目",IF(P2843="未知","✗ 收支项目不在基础资料里",IF(AND(P2843="应收",J2843=""),"✗ 这笔要选客户",IF(AND(P2843="应收",COUNTIF(总览汇总!$B$5:$B$304,J2843)=0),"✗ 客户不在总览汇总名单里",IF(AND(P2843="应付",K2843=""),"✗ 这笔要选供应商",IF(AND(P2843="应付",COUNTIF(基础资料!$Q$5:$Q$54,K2843)=0),"✗ 供应商不在基础资料里",IF(AND(P2843="费用",L2843=""),"✗ 费用支出要选费用项目",IF(AND(L2843&lt;&gt;"",COUNTIF(基础资料!$AI$5:$AI$54,L2843)=0),"✗ 费用项目不在基础资料里",IF(AND(IFERROR(INDEX(基础资料!$AD$5:$AD$34,MATCH(O2843,基础资料!$AC$5:$AC$34,0)),"")="收",N(G2843)&lt;&gt;0),"✗ 这类是收款，金额填到收入列",IF(AND(IFERROR(INDEX(基础资料!$AD$5:$AD$34,MATCH(O2843,基础资料!$AC$5:$AC$34,0)),"")="支",N(F2843)&lt;&gt;0),"✗ 这类是付款，金额填到支出列",IF(N(H2843)&lt;0,"⚠ 账户余额成负数了，核对一下","√"))))))))))))))))))</f>
      </c>
      <c r="O2843" s="78">
        <f>IF(D2843&lt;&gt;"",D2843,IF(AND(F2843="",G2843=""),"",IF(J2843&lt;&gt;"",IF(N(F2843)&gt;0,"客户回款","客户退款"),IF(K2843&lt;&gt;"",IF(N(G2843)&gt;0,"供应商付款","供应商退款"),IF(L2843&lt;&gt;"","费用支出","")))))</f>
      </c>
      <c r="P2843" s="78">
        <f>IF(O2843="","",IFERROR(INDEX(基础资料!$AE$5:$AE$34,MATCH(O2843,基础资料!$AC$5:$AC$34,0)),"未知"))</f>
      </c>
      <c r="Q2843" s="78">
        <f>IF(P2843="应收",COUNTIF(P$7:P2843,"应收"),"")</f>
      </c>
      <c r="R2843" s="78">
        <f>IF(P2843="应付",COUNTIF(P$7:P2843,"应付"),"")</f>
      </c>
      <c r="S2843" s="78">
        <f>N(F2843)-N(G2843)</f>
        <v>0</v>
      </c>
    </row>
    <row r="2844">
      <c r="A2844" s="109">
        <f>IF(AND(F2844="",G2844=""),"",ROW()-6)</f>
      </c>
      <c r="B2844" s="140" t="n"/>
      <c r="C2844" s="141" t="n"/>
      <c r="D2844" s="141" t="n"/>
      <c r="E2844" s="142" t="n"/>
      <c r="F2844" s="143" t="n"/>
      <c r="G2844" s="144" t="n"/>
      <c r="H2844" s="145">
        <f>IF(OR(C2844="",AND(F2844="",G2844="")),"",SUMIF(基础资料!$W$5:$W$24,C2844,基础资料!$X$5:$X$24)+SUMIF(C$7:C2844,C2844,F$7:F2844)-SUMIF(C$7:C2844,C2844,G$7:G2844))</f>
      </c>
      <c r="I2844" s="145">
        <f>IF(AND(F2844="",G2844=""),"",SUM(基础资料!$X$5:$X$24)+SUM(F$7:F2844)-SUM(G$7:G2844))</f>
      </c>
      <c r="J2844" s="141" t="n"/>
      <c r="K2844" s="141" t="n"/>
      <c r="L2844" s="141" t="n"/>
      <c r="M2844" s="142" t="n"/>
      <c r="N2844" s="146">
        <f>IF(AND(AND(F2844="",G2844=""),B2844="",C2844="",D2844="",J2844="",K2844="",L2844=""),"",IF(AND(F2844="",G2844=""),"✗ 没填金额",IF(AND(N(F2844)&lt;&gt;0,N(G2844)&lt;&gt;0),"✗ 收入、支出只能填一边",IF(NOT(ISNUMBER(B2844)),"✗ 日期不是真日期（要像 2026/9/25 这样填）",IF(OR(B2844&lt;年初日,B2844&gt;年末日),"✗ 日期不在本会计年度",IF(C2844="","✗ 没选账户",IF(COUNTIF(基础资料!$W$5:$W$24,C2844)=0,"✗ 账户不在基础资料里",IF(O2844="","✗ 没选收支项目",IF(P2844="未知","✗ 收支项目不在基础资料里",IF(AND(P2844="应收",J2844=""),"✗ 这笔要选客户",IF(AND(P2844="应收",COUNTIF(总览汇总!$B$5:$B$304,J2844)=0),"✗ 客户不在总览汇总名单里",IF(AND(P2844="应付",K2844=""),"✗ 这笔要选供应商",IF(AND(P2844="应付",COUNTIF(基础资料!$Q$5:$Q$54,K2844)=0),"✗ 供应商不在基础资料里",IF(AND(P2844="费用",L2844=""),"✗ 费用支出要选费用项目",IF(AND(L2844&lt;&gt;"",COUNTIF(基础资料!$AI$5:$AI$54,L2844)=0),"✗ 费用项目不在基础资料里",IF(AND(IFERROR(INDEX(基础资料!$AD$5:$AD$34,MATCH(O2844,基础资料!$AC$5:$AC$34,0)),"")="收",N(G2844)&lt;&gt;0),"✗ 这类是收款，金额填到收入列",IF(AND(IFERROR(INDEX(基础资料!$AD$5:$AD$34,MATCH(O2844,基础资料!$AC$5:$AC$34,0)),"")="支",N(F2844)&lt;&gt;0),"✗ 这类是付款，金额填到支出列",IF(N(H2844)&lt;0,"⚠ 账户余额成负数了，核对一下","√"))))))))))))))))))</f>
      </c>
      <c r="O2844" s="78">
        <f>IF(D2844&lt;&gt;"",D2844,IF(AND(F2844="",G2844=""),"",IF(J2844&lt;&gt;"",IF(N(F2844)&gt;0,"客户回款","客户退款"),IF(K2844&lt;&gt;"",IF(N(G2844)&gt;0,"供应商付款","供应商退款"),IF(L2844&lt;&gt;"","费用支出","")))))</f>
      </c>
      <c r="P2844" s="78">
        <f>IF(O2844="","",IFERROR(INDEX(基础资料!$AE$5:$AE$34,MATCH(O2844,基础资料!$AC$5:$AC$34,0)),"未知"))</f>
      </c>
      <c r="Q2844" s="78">
        <f>IF(P2844="应收",COUNTIF(P$7:P2844,"应收"),"")</f>
      </c>
      <c r="R2844" s="78">
        <f>IF(P2844="应付",COUNTIF(P$7:P2844,"应付"),"")</f>
      </c>
      <c r="S2844" s="78">
        <f>N(F2844)-N(G2844)</f>
        <v>0</v>
      </c>
    </row>
    <row r="2845">
      <c r="A2845" s="109">
        <f>IF(AND(F2845="",G2845=""),"",ROW()-6)</f>
      </c>
      <c r="B2845" s="140" t="n"/>
      <c r="C2845" s="141" t="n"/>
      <c r="D2845" s="141" t="n"/>
      <c r="E2845" s="142" t="n"/>
      <c r="F2845" s="143" t="n"/>
      <c r="G2845" s="144" t="n"/>
      <c r="H2845" s="145">
        <f>IF(OR(C2845="",AND(F2845="",G2845="")),"",SUMIF(基础资料!$W$5:$W$24,C2845,基础资料!$X$5:$X$24)+SUMIF(C$7:C2845,C2845,F$7:F2845)-SUMIF(C$7:C2845,C2845,G$7:G2845))</f>
      </c>
      <c r="I2845" s="145">
        <f>IF(AND(F2845="",G2845=""),"",SUM(基础资料!$X$5:$X$24)+SUM(F$7:F2845)-SUM(G$7:G2845))</f>
      </c>
      <c r="J2845" s="141" t="n"/>
      <c r="K2845" s="141" t="n"/>
      <c r="L2845" s="141" t="n"/>
      <c r="M2845" s="142" t="n"/>
      <c r="N2845" s="146">
        <f>IF(AND(AND(F2845="",G2845=""),B2845="",C2845="",D2845="",J2845="",K2845="",L2845=""),"",IF(AND(F2845="",G2845=""),"✗ 没填金额",IF(AND(N(F2845)&lt;&gt;0,N(G2845)&lt;&gt;0),"✗ 收入、支出只能填一边",IF(NOT(ISNUMBER(B2845)),"✗ 日期不是真日期（要像 2026/9/25 这样填）",IF(OR(B2845&lt;年初日,B2845&gt;年末日),"✗ 日期不在本会计年度",IF(C2845="","✗ 没选账户",IF(COUNTIF(基础资料!$W$5:$W$24,C2845)=0,"✗ 账户不在基础资料里",IF(O2845="","✗ 没选收支项目",IF(P2845="未知","✗ 收支项目不在基础资料里",IF(AND(P2845="应收",J2845=""),"✗ 这笔要选客户",IF(AND(P2845="应收",COUNTIF(总览汇总!$B$5:$B$304,J2845)=0),"✗ 客户不在总览汇总名单里",IF(AND(P2845="应付",K2845=""),"✗ 这笔要选供应商",IF(AND(P2845="应付",COUNTIF(基础资料!$Q$5:$Q$54,K2845)=0),"✗ 供应商不在基础资料里",IF(AND(P2845="费用",L2845=""),"✗ 费用支出要选费用项目",IF(AND(L2845&lt;&gt;"",COUNTIF(基础资料!$AI$5:$AI$54,L2845)=0),"✗ 费用项目不在基础资料里",IF(AND(IFERROR(INDEX(基础资料!$AD$5:$AD$34,MATCH(O2845,基础资料!$AC$5:$AC$34,0)),"")="收",N(G2845)&lt;&gt;0),"✗ 这类是收款，金额填到收入列",IF(AND(IFERROR(INDEX(基础资料!$AD$5:$AD$34,MATCH(O2845,基础资料!$AC$5:$AC$34,0)),"")="支",N(F2845)&lt;&gt;0),"✗ 这类是付款，金额填到支出列",IF(N(H2845)&lt;0,"⚠ 账户余额成负数了，核对一下","√"))))))))))))))))))</f>
      </c>
      <c r="O2845" s="78">
        <f>IF(D2845&lt;&gt;"",D2845,IF(AND(F2845="",G2845=""),"",IF(J2845&lt;&gt;"",IF(N(F2845)&gt;0,"客户回款","客户退款"),IF(K2845&lt;&gt;"",IF(N(G2845)&gt;0,"供应商付款","供应商退款"),IF(L2845&lt;&gt;"","费用支出","")))))</f>
      </c>
      <c r="P2845" s="78">
        <f>IF(O2845="","",IFERROR(INDEX(基础资料!$AE$5:$AE$34,MATCH(O2845,基础资料!$AC$5:$AC$34,0)),"未知"))</f>
      </c>
      <c r="Q2845" s="78">
        <f>IF(P2845="应收",COUNTIF(P$7:P2845,"应收"),"")</f>
      </c>
      <c r="R2845" s="78">
        <f>IF(P2845="应付",COUNTIF(P$7:P2845,"应付"),"")</f>
      </c>
      <c r="S2845" s="78">
        <f>N(F2845)-N(G2845)</f>
        <v>0</v>
      </c>
    </row>
    <row r="2846">
      <c r="A2846" s="109">
        <f>IF(AND(F2846="",G2846=""),"",ROW()-6)</f>
      </c>
      <c r="B2846" s="140" t="n"/>
      <c r="C2846" s="141" t="n"/>
      <c r="D2846" s="141" t="n"/>
      <c r="E2846" s="142" t="n"/>
      <c r="F2846" s="143" t="n"/>
      <c r="G2846" s="144" t="n"/>
      <c r="H2846" s="145">
        <f>IF(OR(C2846="",AND(F2846="",G2846="")),"",SUMIF(基础资料!$W$5:$W$24,C2846,基础资料!$X$5:$X$24)+SUMIF(C$7:C2846,C2846,F$7:F2846)-SUMIF(C$7:C2846,C2846,G$7:G2846))</f>
      </c>
      <c r="I2846" s="145">
        <f>IF(AND(F2846="",G2846=""),"",SUM(基础资料!$X$5:$X$24)+SUM(F$7:F2846)-SUM(G$7:G2846))</f>
      </c>
      <c r="J2846" s="141" t="n"/>
      <c r="K2846" s="141" t="n"/>
      <c r="L2846" s="141" t="n"/>
      <c r="M2846" s="142" t="n"/>
      <c r="N2846" s="146">
        <f>IF(AND(AND(F2846="",G2846=""),B2846="",C2846="",D2846="",J2846="",K2846="",L2846=""),"",IF(AND(F2846="",G2846=""),"✗ 没填金额",IF(AND(N(F2846)&lt;&gt;0,N(G2846)&lt;&gt;0),"✗ 收入、支出只能填一边",IF(NOT(ISNUMBER(B2846)),"✗ 日期不是真日期（要像 2026/9/25 这样填）",IF(OR(B2846&lt;年初日,B2846&gt;年末日),"✗ 日期不在本会计年度",IF(C2846="","✗ 没选账户",IF(COUNTIF(基础资料!$W$5:$W$24,C2846)=0,"✗ 账户不在基础资料里",IF(O2846="","✗ 没选收支项目",IF(P2846="未知","✗ 收支项目不在基础资料里",IF(AND(P2846="应收",J2846=""),"✗ 这笔要选客户",IF(AND(P2846="应收",COUNTIF(总览汇总!$B$5:$B$304,J2846)=0),"✗ 客户不在总览汇总名单里",IF(AND(P2846="应付",K2846=""),"✗ 这笔要选供应商",IF(AND(P2846="应付",COUNTIF(基础资料!$Q$5:$Q$54,K2846)=0),"✗ 供应商不在基础资料里",IF(AND(P2846="费用",L2846=""),"✗ 费用支出要选费用项目",IF(AND(L2846&lt;&gt;"",COUNTIF(基础资料!$AI$5:$AI$54,L2846)=0),"✗ 费用项目不在基础资料里",IF(AND(IFERROR(INDEX(基础资料!$AD$5:$AD$34,MATCH(O2846,基础资料!$AC$5:$AC$34,0)),"")="收",N(G2846)&lt;&gt;0),"✗ 这类是收款，金额填到收入列",IF(AND(IFERROR(INDEX(基础资料!$AD$5:$AD$34,MATCH(O2846,基础资料!$AC$5:$AC$34,0)),"")="支",N(F2846)&lt;&gt;0),"✗ 这类是付款，金额填到支出列",IF(N(H2846)&lt;0,"⚠ 账户余额成负数了，核对一下","√"))))))))))))))))))</f>
      </c>
      <c r="O2846" s="78">
        <f>IF(D2846&lt;&gt;"",D2846,IF(AND(F2846="",G2846=""),"",IF(J2846&lt;&gt;"",IF(N(F2846)&gt;0,"客户回款","客户退款"),IF(K2846&lt;&gt;"",IF(N(G2846)&gt;0,"供应商付款","供应商退款"),IF(L2846&lt;&gt;"","费用支出","")))))</f>
      </c>
      <c r="P2846" s="78">
        <f>IF(O2846="","",IFERROR(INDEX(基础资料!$AE$5:$AE$34,MATCH(O2846,基础资料!$AC$5:$AC$34,0)),"未知"))</f>
      </c>
      <c r="Q2846" s="78">
        <f>IF(P2846="应收",COUNTIF(P$7:P2846,"应收"),"")</f>
      </c>
      <c r="R2846" s="78">
        <f>IF(P2846="应付",COUNTIF(P$7:P2846,"应付"),"")</f>
      </c>
      <c r="S2846" s="78">
        <f>N(F2846)-N(G2846)</f>
        <v>0</v>
      </c>
    </row>
    <row r="2847">
      <c r="A2847" s="109">
        <f>IF(AND(F2847="",G2847=""),"",ROW()-6)</f>
      </c>
      <c r="B2847" s="140" t="n"/>
      <c r="C2847" s="141" t="n"/>
      <c r="D2847" s="141" t="n"/>
      <c r="E2847" s="142" t="n"/>
      <c r="F2847" s="143" t="n"/>
      <c r="G2847" s="144" t="n"/>
      <c r="H2847" s="145">
        <f>IF(OR(C2847="",AND(F2847="",G2847="")),"",SUMIF(基础资料!$W$5:$W$24,C2847,基础资料!$X$5:$X$24)+SUMIF(C$7:C2847,C2847,F$7:F2847)-SUMIF(C$7:C2847,C2847,G$7:G2847))</f>
      </c>
      <c r="I2847" s="145">
        <f>IF(AND(F2847="",G2847=""),"",SUM(基础资料!$X$5:$X$24)+SUM(F$7:F2847)-SUM(G$7:G2847))</f>
      </c>
      <c r="J2847" s="141" t="n"/>
      <c r="K2847" s="141" t="n"/>
      <c r="L2847" s="141" t="n"/>
      <c r="M2847" s="142" t="n"/>
      <c r="N2847" s="146">
        <f>IF(AND(AND(F2847="",G2847=""),B2847="",C2847="",D2847="",J2847="",K2847="",L2847=""),"",IF(AND(F2847="",G2847=""),"✗ 没填金额",IF(AND(N(F2847)&lt;&gt;0,N(G2847)&lt;&gt;0),"✗ 收入、支出只能填一边",IF(NOT(ISNUMBER(B2847)),"✗ 日期不是真日期（要像 2026/9/25 这样填）",IF(OR(B2847&lt;年初日,B2847&gt;年末日),"✗ 日期不在本会计年度",IF(C2847="","✗ 没选账户",IF(COUNTIF(基础资料!$W$5:$W$24,C2847)=0,"✗ 账户不在基础资料里",IF(O2847="","✗ 没选收支项目",IF(P2847="未知","✗ 收支项目不在基础资料里",IF(AND(P2847="应收",J2847=""),"✗ 这笔要选客户",IF(AND(P2847="应收",COUNTIF(总览汇总!$B$5:$B$304,J2847)=0),"✗ 客户不在总览汇总名单里",IF(AND(P2847="应付",K2847=""),"✗ 这笔要选供应商",IF(AND(P2847="应付",COUNTIF(基础资料!$Q$5:$Q$54,K2847)=0),"✗ 供应商不在基础资料里",IF(AND(P2847="费用",L2847=""),"✗ 费用支出要选费用项目",IF(AND(L2847&lt;&gt;"",COUNTIF(基础资料!$AI$5:$AI$54,L2847)=0),"✗ 费用项目不在基础资料里",IF(AND(IFERROR(INDEX(基础资料!$AD$5:$AD$34,MATCH(O2847,基础资料!$AC$5:$AC$34,0)),"")="收",N(G2847)&lt;&gt;0),"✗ 这类是收款，金额填到收入列",IF(AND(IFERROR(INDEX(基础资料!$AD$5:$AD$34,MATCH(O2847,基础资料!$AC$5:$AC$34,0)),"")="支",N(F2847)&lt;&gt;0),"✗ 这类是付款，金额填到支出列",IF(N(H2847)&lt;0,"⚠ 账户余额成负数了，核对一下","√"))))))))))))))))))</f>
      </c>
      <c r="O2847" s="78">
        <f>IF(D2847&lt;&gt;"",D2847,IF(AND(F2847="",G2847=""),"",IF(J2847&lt;&gt;"",IF(N(F2847)&gt;0,"客户回款","客户退款"),IF(K2847&lt;&gt;"",IF(N(G2847)&gt;0,"供应商付款","供应商退款"),IF(L2847&lt;&gt;"","费用支出","")))))</f>
      </c>
      <c r="P2847" s="78">
        <f>IF(O2847="","",IFERROR(INDEX(基础资料!$AE$5:$AE$34,MATCH(O2847,基础资料!$AC$5:$AC$34,0)),"未知"))</f>
      </c>
      <c r="Q2847" s="78">
        <f>IF(P2847="应收",COUNTIF(P$7:P2847,"应收"),"")</f>
      </c>
      <c r="R2847" s="78">
        <f>IF(P2847="应付",COUNTIF(P$7:P2847,"应付"),"")</f>
      </c>
      <c r="S2847" s="78">
        <f>N(F2847)-N(G2847)</f>
        <v>0</v>
      </c>
    </row>
    <row r="2848">
      <c r="A2848" s="109">
        <f>IF(AND(F2848="",G2848=""),"",ROW()-6)</f>
      </c>
      <c r="B2848" s="140" t="n"/>
      <c r="C2848" s="141" t="n"/>
      <c r="D2848" s="141" t="n"/>
      <c r="E2848" s="142" t="n"/>
      <c r="F2848" s="143" t="n"/>
      <c r="G2848" s="144" t="n"/>
      <c r="H2848" s="145">
        <f>IF(OR(C2848="",AND(F2848="",G2848="")),"",SUMIF(基础资料!$W$5:$W$24,C2848,基础资料!$X$5:$X$24)+SUMIF(C$7:C2848,C2848,F$7:F2848)-SUMIF(C$7:C2848,C2848,G$7:G2848))</f>
      </c>
      <c r="I2848" s="145">
        <f>IF(AND(F2848="",G2848=""),"",SUM(基础资料!$X$5:$X$24)+SUM(F$7:F2848)-SUM(G$7:G2848))</f>
      </c>
      <c r="J2848" s="141" t="n"/>
      <c r="K2848" s="141" t="n"/>
      <c r="L2848" s="141" t="n"/>
      <c r="M2848" s="142" t="n"/>
      <c r="N2848" s="146">
        <f>IF(AND(AND(F2848="",G2848=""),B2848="",C2848="",D2848="",J2848="",K2848="",L2848=""),"",IF(AND(F2848="",G2848=""),"✗ 没填金额",IF(AND(N(F2848)&lt;&gt;0,N(G2848)&lt;&gt;0),"✗ 收入、支出只能填一边",IF(NOT(ISNUMBER(B2848)),"✗ 日期不是真日期（要像 2026/9/25 这样填）",IF(OR(B2848&lt;年初日,B2848&gt;年末日),"✗ 日期不在本会计年度",IF(C2848="","✗ 没选账户",IF(COUNTIF(基础资料!$W$5:$W$24,C2848)=0,"✗ 账户不在基础资料里",IF(O2848="","✗ 没选收支项目",IF(P2848="未知","✗ 收支项目不在基础资料里",IF(AND(P2848="应收",J2848=""),"✗ 这笔要选客户",IF(AND(P2848="应收",COUNTIF(总览汇总!$B$5:$B$304,J2848)=0),"✗ 客户不在总览汇总名单里",IF(AND(P2848="应付",K2848=""),"✗ 这笔要选供应商",IF(AND(P2848="应付",COUNTIF(基础资料!$Q$5:$Q$54,K2848)=0),"✗ 供应商不在基础资料里",IF(AND(P2848="费用",L2848=""),"✗ 费用支出要选费用项目",IF(AND(L2848&lt;&gt;"",COUNTIF(基础资料!$AI$5:$AI$54,L2848)=0),"✗ 费用项目不在基础资料里",IF(AND(IFERROR(INDEX(基础资料!$AD$5:$AD$34,MATCH(O2848,基础资料!$AC$5:$AC$34,0)),"")="收",N(G2848)&lt;&gt;0),"✗ 这类是收款，金额填到收入列",IF(AND(IFERROR(INDEX(基础资料!$AD$5:$AD$34,MATCH(O2848,基础资料!$AC$5:$AC$34,0)),"")="支",N(F2848)&lt;&gt;0),"✗ 这类是付款，金额填到支出列",IF(N(H2848)&lt;0,"⚠ 账户余额成负数了，核对一下","√"))))))))))))))))))</f>
      </c>
      <c r="O2848" s="78">
        <f>IF(D2848&lt;&gt;"",D2848,IF(AND(F2848="",G2848=""),"",IF(J2848&lt;&gt;"",IF(N(F2848)&gt;0,"客户回款","客户退款"),IF(K2848&lt;&gt;"",IF(N(G2848)&gt;0,"供应商付款","供应商退款"),IF(L2848&lt;&gt;"","费用支出","")))))</f>
      </c>
      <c r="P2848" s="78">
        <f>IF(O2848="","",IFERROR(INDEX(基础资料!$AE$5:$AE$34,MATCH(O2848,基础资料!$AC$5:$AC$34,0)),"未知"))</f>
      </c>
      <c r="Q2848" s="78">
        <f>IF(P2848="应收",COUNTIF(P$7:P2848,"应收"),"")</f>
      </c>
      <c r="R2848" s="78">
        <f>IF(P2848="应付",COUNTIF(P$7:P2848,"应付"),"")</f>
      </c>
      <c r="S2848" s="78">
        <f>N(F2848)-N(G2848)</f>
        <v>0</v>
      </c>
    </row>
    <row r="2849">
      <c r="A2849" s="109">
        <f>IF(AND(F2849="",G2849=""),"",ROW()-6)</f>
      </c>
      <c r="B2849" s="140" t="n"/>
      <c r="C2849" s="141" t="n"/>
      <c r="D2849" s="141" t="n"/>
      <c r="E2849" s="142" t="n"/>
      <c r="F2849" s="143" t="n"/>
      <c r="G2849" s="144" t="n"/>
      <c r="H2849" s="145">
        <f>IF(OR(C2849="",AND(F2849="",G2849="")),"",SUMIF(基础资料!$W$5:$W$24,C2849,基础资料!$X$5:$X$24)+SUMIF(C$7:C2849,C2849,F$7:F2849)-SUMIF(C$7:C2849,C2849,G$7:G2849))</f>
      </c>
      <c r="I2849" s="145">
        <f>IF(AND(F2849="",G2849=""),"",SUM(基础资料!$X$5:$X$24)+SUM(F$7:F2849)-SUM(G$7:G2849))</f>
      </c>
      <c r="J2849" s="141" t="n"/>
      <c r="K2849" s="141" t="n"/>
      <c r="L2849" s="141" t="n"/>
      <c r="M2849" s="142" t="n"/>
      <c r="N2849" s="146">
        <f>IF(AND(AND(F2849="",G2849=""),B2849="",C2849="",D2849="",J2849="",K2849="",L2849=""),"",IF(AND(F2849="",G2849=""),"✗ 没填金额",IF(AND(N(F2849)&lt;&gt;0,N(G2849)&lt;&gt;0),"✗ 收入、支出只能填一边",IF(NOT(ISNUMBER(B2849)),"✗ 日期不是真日期（要像 2026/9/25 这样填）",IF(OR(B2849&lt;年初日,B2849&gt;年末日),"✗ 日期不在本会计年度",IF(C2849="","✗ 没选账户",IF(COUNTIF(基础资料!$W$5:$W$24,C2849)=0,"✗ 账户不在基础资料里",IF(O2849="","✗ 没选收支项目",IF(P2849="未知","✗ 收支项目不在基础资料里",IF(AND(P2849="应收",J2849=""),"✗ 这笔要选客户",IF(AND(P2849="应收",COUNTIF(总览汇总!$B$5:$B$304,J2849)=0),"✗ 客户不在总览汇总名单里",IF(AND(P2849="应付",K2849=""),"✗ 这笔要选供应商",IF(AND(P2849="应付",COUNTIF(基础资料!$Q$5:$Q$54,K2849)=0),"✗ 供应商不在基础资料里",IF(AND(P2849="费用",L2849=""),"✗ 费用支出要选费用项目",IF(AND(L2849&lt;&gt;"",COUNTIF(基础资料!$AI$5:$AI$54,L2849)=0),"✗ 费用项目不在基础资料里",IF(AND(IFERROR(INDEX(基础资料!$AD$5:$AD$34,MATCH(O2849,基础资料!$AC$5:$AC$34,0)),"")="收",N(G2849)&lt;&gt;0),"✗ 这类是收款，金额填到收入列",IF(AND(IFERROR(INDEX(基础资料!$AD$5:$AD$34,MATCH(O2849,基础资料!$AC$5:$AC$34,0)),"")="支",N(F2849)&lt;&gt;0),"✗ 这类是付款，金额填到支出列",IF(N(H2849)&lt;0,"⚠ 账户余额成负数了，核对一下","√"))))))))))))))))))</f>
      </c>
      <c r="O2849" s="78">
        <f>IF(D2849&lt;&gt;"",D2849,IF(AND(F2849="",G2849=""),"",IF(J2849&lt;&gt;"",IF(N(F2849)&gt;0,"客户回款","客户退款"),IF(K2849&lt;&gt;"",IF(N(G2849)&gt;0,"供应商付款","供应商退款"),IF(L2849&lt;&gt;"","费用支出","")))))</f>
      </c>
      <c r="P2849" s="78">
        <f>IF(O2849="","",IFERROR(INDEX(基础资料!$AE$5:$AE$34,MATCH(O2849,基础资料!$AC$5:$AC$34,0)),"未知"))</f>
      </c>
      <c r="Q2849" s="78">
        <f>IF(P2849="应收",COUNTIF(P$7:P2849,"应收"),"")</f>
      </c>
      <c r="R2849" s="78">
        <f>IF(P2849="应付",COUNTIF(P$7:P2849,"应付"),"")</f>
      </c>
      <c r="S2849" s="78">
        <f>N(F2849)-N(G2849)</f>
        <v>0</v>
      </c>
    </row>
    <row r="2850">
      <c r="A2850" s="109">
        <f>IF(AND(F2850="",G2850=""),"",ROW()-6)</f>
      </c>
      <c r="B2850" s="140" t="n"/>
      <c r="C2850" s="141" t="n"/>
      <c r="D2850" s="141" t="n"/>
      <c r="E2850" s="142" t="n"/>
      <c r="F2850" s="143" t="n"/>
      <c r="G2850" s="144" t="n"/>
      <c r="H2850" s="145">
        <f>IF(OR(C2850="",AND(F2850="",G2850="")),"",SUMIF(基础资料!$W$5:$W$24,C2850,基础资料!$X$5:$X$24)+SUMIF(C$7:C2850,C2850,F$7:F2850)-SUMIF(C$7:C2850,C2850,G$7:G2850))</f>
      </c>
      <c r="I2850" s="145">
        <f>IF(AND(F2850="",G2850=""),"",SUM(基础资料!$X$5:$X$24)+SUM(F$7:F2850)-SUM(G$7:G2850))</f>
      </c>
      <c r="J2850" s="141" t="n"/>
      <c r="K2850" s="141" t="n"/>
      <c r="L2850" s="141" t="n"/>
      <c r="M2850" s="142" t="n"/>
      <c r="N2850" s="146">
        <f>IF(AND(AND(F2850="",G2850=""),B2850="",C2850="",D2850="",J2850="",K2850="",L2850=""),"",IF(AND(F2850="",G2850=""),"✗ 没填金额",IF(AND(N(F2850)&lt;&gt;0,N(G2850)&lt;&gt;0),"✗ 收入、支出只能填一边",IF(NOT(ISNUMBER(B2850)),"✗ 日期不是真日期（要像 2026/9/25 这样填）",IF(OR(B2850&lt;年初日,B2850&gt;年末日),"✗ 日期不在本会计年度",IF(C2850="","✗ 没选账户",IF(COUNTIF(基础资料!$W$5:$W$24,C2850)=0,"✗ 账户不在基础资料里",IF(O2850="","✗ 没选收支项目",IF(P2850="未知","✗ 收支项目不在基础资料里",IF(AND(P2850="应收",J2850=""),"✗ 这笔要选客户",IF(AND(P2850="应收",COUNTIF(总览汇总!$B$5:$B$304,J2850)=0),"✗ 客户不在总览汇总名单里",IF(AND(P2850="应付",K2850=""),"✗ 这笔要选供应商",IF(AND(P2850="应付",COUNTIF(基础资料!$Q$5:$Q$54,K2850)=0),"✗ 供应商不在基础资料里",IF(AND(P2850="费用",L2850=""),"✗ 费用支出要选费用项目",IF(AND(L2850&lt;&gt;"",COUNTIF(基础资料!$AI$5:$AI$54,L2850)=0),"✗ 费用项目不在基础资料里",IF(AND(IFERROR(INDEX(基础资料!$AD$5:$AD$34,MATCH(O2850,基础资料!$AC$5:$AC$34,0)),"")="收",N(G2850)&lt;&gt;0),"✗ 这类是收款，金额填到收入列",IF(AND(IFERROR(INDEX(基础资料!$AD$5:$AD$34,MATCH(O2850,基础资料!$AC$5:$AC$34,0)),"")="支",N(F2850)&lt;&gt;0),"✗ 这类是付款，金额填到支出列",IF(N(H2850)&lt;0,"⚠ 账户余额成负数了，核对一下","√"))))))))))))))))))</f>
      </c>
      <c r="O2850" s="78">
        <f>IF(D2850&lt;&gt;"",D2850,IF(AND(F2850="",G2850=""),"",IF(J2850&lt;&gt;"",IF(N(F2850)&gt;0,"客户回款","客户退款"),IF(K2850&lt;&gt;"",IF(N(G2850)&gt;0,"供应商付款","供应商退款"),IF(L2850&lt;&gt;"","费用支出","")))))</f>
      </c>
      <c r="P2850" s="78">
        <f>IF(O2850="","",IFERROR(INDEX(基础资料!$AE$5:$AE$34,MATCH(O2850,基础资料!$AC$5:$AC$34,0)),"未知"))</f>
      </c>
      <c r="Q2850" s="78">
        <f>IF(P2850="应收",COUNTIF(P$7:P2850,"应收"),"")</f>
      </c>
      <c r="R2850" s="78">
        <f>IF(P2850="应付",COUNTIF(P$7:P2850,"应付"),"")</f>
      </c>
      <c r="S2850" s="78">
        <f>N(F2850)-N(G2850)</f>
        <v>0</v>
      </c>
    </row>
    <row r="2851">
      <c r="A2851" s="109">
        <f>IF(AND(F2851="",G2851=""),"",ROW()-6)</f>
      </c>
      <c r="B2851" s="140" t="n"/>
      <c r="C2851" s="141" t="n"/>
      <c r="D2851" s="141" t="n"/>
      <c r="E2851" s="142" t="n"/>
      <c r="F2851" s="143" t="n"/>
      <c r="G2851" s="144" t="n"/>
      <c r="H2851" s="145">
        <f>IF(OR(C2851="",AND(F2851="",G2851="")),"",SUMIF(基础资料!$W$5:$W$24,C2851,基础资料!$X$5:$X$24)+SUMIF(C$7:C2851,C2851,F$7:F2851)-SUMIF(C$7:C2851,C2851,G$7:G2851))</f>
      </c>
      <c r="I2851" s="145">
        <f>IF(AND(F2851="",G2851=""),"",SUM(基础资料!$X$5:$X$24)+SUM(F$7:F2851)-SUM(G$7:G2851))</f>
      </c>
      <c r="J2851" s="141" t="n"/>
      <c r="K2851" s="141" t="n"/>
      <c r="L2851" s="141" t="n"/>
      <c r="M2851" s="142" t="n"/>
      <c r="N2851" s="146">
        <f>IF(AND(AND(F2851="",G2851=""),B2851="",C2851="",D2851="",J2851="",K2851="",L2851=""),"",IF(AND(F2851="",G2851=""),"✗ 没填金额",IF(AND(N(F2851)&lt;&gt;0,N(G2851)&lt;&gt;0),"✗ 收入、支出只能填一边",IF(NOT(ISNUMBER(B2851)),"✗ 日期不是真日期（要像 2026/9/25 这样填）",IF(OR(B2851&lt;年初日,B2851&gt;年末日),"✗ 日期不在本会计年度",IF(C2851="","✗ 没选账户",IF(COUNTIF(基础资料!$W$5:$W$24,C2851)=0,"✗ 账户不在基础资料里",IF(O2851="","✗ 没选收支项目",IF(P2851="未知","✗ 收支项目不在基础资料里",IF(AND(P2851="应收",J2851=""),"✗ 这笔要选客户",IF(AND(P2851="应收",COUNTIF(总览汇总!$B$5:$B$304,J2851)=0),"✗ 客户不在总览汇总名单里",IF(AND(P2851="应付",K2851=""),"✗ 这笔要选供应商",IF(AND(P2851="应付",COUNTIF(基础资料!$Q$5:$Q$54,K2851)=0),"✗ 供应商不在基础资料里",IF(AND(P2851="费用",L2851=""),"✗ 费用支出要选费用项目",IF(AND(L2851&lt;&gt;"",COUNTIF(基础资料!$AI$5:$AI$54,L2851)=0),"✗ 费用项目不在基础资料里",IF(AND(IFERROR(INDEX(基础资料!$AD$5:$AD$34,MATCH(O2851,基础资料!$AC$5:$AC$34,0)),"")="收",N(G2851)&lt;&gt;0),"✗ 这类是收款，金额填到收入列",IF(AND(IFERROR(INDEX(基础资料!$AD$5:$AD$34,MATCH(O2851,基础资料!$AC$5:$AC$34,0)),"")="支",N(F2851)&lt;&gt;0),"✗ 这类是付款，金额填到支出列",IF(N(H2851)&lt;0,"⚠ 账户余额成负数了，核对一下","√"))))))))))))))))))</f>
      </c>
      <c r="O2851" s="78">
        <f>IF(D2851&lt;&gt;"",D2851,IF(AND(F2851="",G2851=""),"",IF(J2851&lt;&gt;"",IF(N(F2851)&gt;0,"客户回款","客户退款"),IF(K2851&lt;&gt;"",IF(N(G2851)&gt;0,"供应商付款","供应商退款"),IF(L2851&lt;&gt;"","费用支出","")))))</f>
      </c>
      <c r="P2851" s="78">
        <f>IF(O2851="","",IFERROR(INDEX(基础资料!$AE$5:$AE$34,MATCH(O2851,基础资料!$AC$5:$AC$34,0)),"未知"))</f>
      </c>
      <c r="Q2851" s="78">
        <f>IF(P2851="应收",COUNTIF(P$7:P2851,"应收"),"")</f>
      </c>
      <c r="R2851" s="78">
        <f>IF(P2851="应付",COUNTIF(P$7:P2851,"应付"),"")</f>
      </c>
      <c r="S2851" s="78">
        <f>N(F2851)-N(G2851)</f>
        <v>0</v>
      </c>
    </row>
    <row r="2852">
      <c r="A2852" s="109">
        <f>IF(AND(F2852="",G2852=""),"",ROW()-6)</f>
      </c>
      <c r="B2852" s="140" t="n"/>
      <c r="C2852" s="141" t="n"/>
      <c r="D2852" s="141" t="n"/>
      <c r="E2852" s="142" t="n"/>
      <c r="F2852" s="143" t="n"/>
      <c r="G2852" s="144" t="n"/>
      <c r="H2852" s="145">
        <f>IF(OR(C2852="",AND(F2852="",G2852="")),"",SUMIF(基础资料!$W$5:$W$24,C2852,基础资料!$X$5:$X$24)+SUMIF(C$7:C2852,C2852,F$7:F2852)-SUMIF(C$7:C2852,C2852,G$7:G2852))</f>
      </c>
      <c r="I2852" s="145">
        <f>IF(AND(F2852="",G2852=""),"",SUM(基础资料!$X$5:$X$24)+SUM(F$7:F2852)-SUM(G$7:G2852))</f>
      </c>
      <c r="J2852" s="141" t="n"/>
      <c r="K2852" s="141" t="n"/>
      <c r="L2852" s="141" t="n"/>
      <c r="M2852" s="142" t="n"/>
      <c r="N2852" s="146">
        <f>IF(AND(AND(F2852="",G2852=""),B2852="",C2852="",D2852="",J2852="",K2852="",L2852=""),"",IF(AND(F2852="",G2852=""),"✗ 没填金额",IF(AND(N(F2852)&lt;&gt;0,N(G2852)&lt;&gt;0),"✗ 收入、支出只能填一边",IF(NOT(ISNUMBER(B2852)),"✗ 日期不是真日期（要像 2026/9/25 这样填）",IF(OR(B2852&lt;年初日,B2852&gt;年末日),"✗ 日期不在本会计年度",IF(C2852="","✗ 没选账户",IF(COUNTIF(基础资料!$W$5:$W$24,C2852)=0,"✗ 账户不在基础资料里",IF(O2852="","✗ 没选收支项目",IF(P2852="未知","✗ 收支项目不在基础资料里",IF(AND(P2852="应收",J2852=""),"✗ 这笔要选客户",IF(AND(P2852="应收",COUNTIF(总览汇总!$B$5:$B$304,J2852)=0),"✗ 客户不在总览汇总名单里",IF(AND(P2852="应付",K2852=""),"✗ 这笔要选供应商",IF(AND(P2852="应付",COUNTIF(基础资料!$Q$5:$Q$54,K2852)=0),"✗ 供应商不在基础资料里",IF(AND(P2852="费用",L2852=""),"✗ 费用支出要选费用项目",IF(AND(L2852&lt;&gt;"",COUNTIF(基础资料!$AI$5:$AI$54,L2852)=0),"✗ 费用项目不在基础资料里",IF(AND(IFERROR(INDEX(基础资料!$AD$5:$AD$34,MATCH(O2852,基础资料!$AC$5:$AC$34,0)),"")="收",N(G2852)&lt;&gt;0),"✗ 这类是收款，金额填到收入列",IF(AND(IFERROR(INDEX(基础资料!$AD$5:$AD$34,MATCH(O2852,基础资料!$AC$5:$AC$34,0)),"")="支",N(F2852)&lt;&gt;0),"✗ 这类是付款，金额填到支出列",IF(N(H2852)&lt;0,"⚠ 账户余额成负数了，核对一下","√"))))))))))))))))))</f>
      </c>
      <c r="O2852" s="78">
        <f>IF(D2852&lt;&gt;"",D2852,IF(AND(F2852="",G2852=""),"",IF(J2852&lt;&gt;"",IF(N(F2852)&gt;0,"客户回款","客户退款"),IF(K2852&lt;&gt;"",IF(N(G2852)&gt;0,"供应商付款","供应商退款"),IF(L2852&lt;&gt;"","费用支出","")))))</f>
      </c>
      <c r="P2852" s="78">
        <f>IF(O2852="","",IFERROR(INDEX(基础资料!$AE$5:$AE$34,MATCH(O2852,基础资料!$AC$5:$AC$34,0)),"未知"))</f>
      </c>
      <c r="Q2852" s="78">
        <f>IF(P2852="应收",COUNTIF(P$7:P2852,"应收"),"")</f>
      </c>
      <c r="R2852" s="78">
        <f>IF(P2852="应付",COUNTIF(P$7:P2852,"应付"),"")</f>
      </c>
      <c r="S2852" s="78">
        <f>N(F2852)-N(G2852)</f>
        <v>0</v>
      </c>
    </row>
    <row r="2853">
      <c r="A2853" s="109">
        <f>IF(AND(F2853="",G2853=""),"",ROW()-6)</f>
      </c>
      <c r="B2853" s="140" t="n"/>
      <c r="C2853" s="141" t="n"/>
      <c r="D2853" s="141" t="n"/>
      <c r="E2853" s="142" t="n"/>
      <c r="F2853" s="143" t="n"/>
      <c r="G2853" s="144" t="n"/>
      <c r="H2853" s="145">
        <f>IF(OR(C2853="",AND(F2853="",G2853="")),"",SUMIF(基础资料!$W$5:$W$24,C2853,基础资料!$X$5:$X$24)+SUMIF(C$7:C2853,C2853,F$7:F2853)-SUMIF(C$7:C2853,C2853,G$7:G2853))</f>
      </c>
      <c r="I2853" s="145">
        <f>IF(AND(F2853="",G2853=""),"",SUM(基础资料!$X$5:$X$24)+SUM(F$7:F2853)-SUM(G$7:G2853))</f>
      </c>
      <c r="J2853" s="141" t="n"/>
      <c r="K2853" s="141" t="n"/>
      <c r="L2853" s="141" t="n"/>
      <c r="M2853" s="142" t="n"/>
      <c r="N2853" s="146">
        <f>IF(AND(AND(F2853="",G2853=""),B2853="",C2853="",D2853="",J2853="",K2853="",L2853=""),"",IF(AND(F2853="",G2853=""),"✗ 没填金额",IF(AND(N(F2853)&lt;&gt;0,N(G2853)&lt;&gt;0),"✗ 收入、支出只能填一边",IF(NOT(ISNUMBER(B2853)),"✗ 日期不是真日期（要像 2026/9/25 这样填）",IF(OR(B2853&lt;年初日,B2853&gt;年末日),"✗ 日期不在本会计年度",IF(C2853="","✗ 没选账户",IF(COUNTIF(基础资料!$W$5:$W$24,C2853)=0,"✗ 账户不在基础资料里",IF(O2853="","✗ 没选收支项目",IF(P2853="未知","✗ 收支项目不在基础资料里",IF(AND(P2853="应收",J2853=""),"✗ 这笔要选客户",IF(AND(P2853="应收",COUNTIF(总览汇总!$B$5:$B$304,J2853)=0),"✗ 客户不在总览汇总名单里",IF(AND(P2853="应付",K2853=""),"✗ 这笔要选供应商",IF(AND(P2853="应付",COUNTIF(基础资料!$Q$5:$Q$54,K2853)=0),"✗ 供应商不在基础资料里",IF(AND(P2853="费用",L2853=""),"✗ 费用支出要选费用项目",IF(AND(L2853&lt;&gt;"",COUNTIF(基础资料!$AI$5:$AI$54,L2853)=0),"✗ 费用项目不在基础资料里",IF(AND(IFERROR(INDEX(基础资料!$AD$5:$AD$34,MATCH(O2853,基础资料!$AC$5:$AC$34,0)),"")="收",N(G2853)&lt;&gt;0),"✗ 这类是收款，金额填到收入列",IF(AND(IFERROR(INDEX(基础资料!$AD$5:$AD$34,MATCH(O2853,基础资料!$AC$5:$AC$34,0)),"")="支",N(F2853)&lt;&gt;0),"✗ 这类是付款，金额填到支出列",IF(N(H2853)&lt;0,"⚠ 账户余额成负数了，核对一下","√"))))))))))))))))))</f>
      </c>
      <c r="O2853" s="78">
        <f>IF(D2853&lt;&gt;"",D2853,IF(AND(F2853="",G2853=""),"",IF(J2853&lt;&gt;"",IF(N(F2853)&gt;0,"客户回款","客户退款"),IF(K2853&lt;&gt;"",IF(N(G2853)&gt;0,"供应商付款","供应商退款"),IF(L2853&lt;&gt;"","费用支出","")))))</f>
      </c>
      <c r="P2853" s="78">
        <f>IF(O2853="","",IFERROR(INDEX(基础资料!$AE$5:$AE$34,MATCH(O2853,基础资料!$AC$5:$AC$34,0)),"未知"))</f>
      </c>
      <c r="Q2853" s="78">
        <f>IF(P2853="应收",COUNTIF(P$7:P2853,"应收"),"")</f>
      </c>
      <c r="R2853" s="78">
        <f>IF(P2853="应付",COUNTIF(P$7:P2853,"应付"),"")</f>
      </c>
      <c r="S2853" s="78">
        <f>N(F2853)-N(G2853)</f>
        <v>0</v>
      </c>
    </row>
    <row r="2854">
      <c r="A2854" s="109">
        <f>IF(AND(F2854="",G2854=""),"",ROW()-6)</f>
      </c>
      <c r="B2854" s="140" t="n"/>
      <c r="C2854" s="141" t="n"/>
      <c r="D2854" s="141" t="n"/>
      <c r="E2854" s="142" t="n"/>
      <c r="F2854" s="143" t="n"/>
      <c r="G2854" s="144" t="n"/>
      <c r="H2854" s="145">
        <f>IF(OR(C2854="",AND(F2854="",G2854="")),"",SUMIF(基础资料!$W$5:$W$24,C2854,基础资料!$X$5:$X$24)+SUMIF(C$7:C2854,C2854,F$7:F2854)-SUMIF(C$7:C2854,C2854,G$7:G2854))</f>
      </c>
      <c r="I2854" s="145">
        <f>IF(AND(F2854="",G2854=""),"",SUM(基础资料!$X$5:$X$24)+SUM(F$7:F2854)-SUM(G$7:G2854))</f>
      </c>
      <c r="J2854" s="141" t="n"/>
      <c r="K2854" s="141" t="n"/>
      <c r="L2854" s="141" t="n"/>
      <c r="M2854" s="142" t="n"/>
      <c r="N2854" s="146">
        <f>IF(AND(AND(F2854="",G2854=""),B2854="",C2854="",D2854="",J2854="",K2854="",L2854=""),"",IF(AND(F2854="",G2854=""),"✗ 没填金额",IF(AND(N(F2854)&lt;&gt;0,N(G2854)&lt;&gt;0),"✗ 收入、支出只能填一边",IF(NOT(ISNUMBER(B2854)),"✗ 日期不是真日期（要像 2026/9/25 这样填）",IF(OR(B2854&lt;年初日,B2854&gt;年末日),"✗ 日期不在本会计年度",IF(C2854="","✗ 没选账户",IF(COUNTIF(基础资料!$W$5:$W$24,C2854)=0,"✗ 账户不在基础资料里",IF(O2854="","✗ 没选收支项目",IF(P2854="未知","✗ 收支项目不在基础资料里",IF(AND(P2854="应收",J2854=""),"✗ 这笔要选客户",IF(AND(P2854="应收",COUNTIF(总览汇总!$B$5:$B$304,J2854)=0),"✗ 客户不在总览汇总名单里",IF(AND(P2854="应付",K2854=""),"✗ 这笔要选供应商",IF(AND(P2854="应付",COUNTIF(基础资料!$Q$5:$Q$54,K2854)=0),"✗ 供应商不在基础资料里",IF(AND(P2854="费用",L2854=""),"✗ 费用支出要选费用项目",IF(AND(L2854&lt;&gt;"",COUNTIF(基础资料!$AI$5:$AI$54,L2854)=0),"✗ 费用项目不在基础资料里",IF(AND(IFERROR(INDEX(基础资料!$AD$5:$AD$34,MATCH(O2854,基础资料!$AC$5:$AC$34,0)),"")="收",N(G2854)&lt;&gt;0),"✗ 这类是收款，金额填到收入列",IF(AND(IFERROR(INDEX(基础资料!$AD$5:$AD$34,MATCH(O2854,基础资料!$AC$5:$AC$34,0)),"")="支",N(F2854)&lt;&gt;0),"✗ 这类是付款，金额填到支出列",IF(N(H2854)&lt;0,"⚠ 账户余额成负数了，核对一下","√"))))))))))))))))))</f>
      </c>
      <c r="O2854" s="78">
        <f>IF(D2854&lt;&gt;"",D2854,IF(AND(F2854="",G2854=""),"",IF(J2854&lt;&gt;"",IF(N(F2854)&gt;0,"客户回款","客户退款"),IF(K2854&lt;&gt;"",IF(N(G2854)&gt;0,"供应商付款","供应商退款"),IF(L2854&lt;&gt;"","费用支出","")))))</f>
      </c>
      <c r="P2854" s="78">
        <f>IF(O2854="","",IFERROR(INDEX(基础资料!$AE$5:$AE$34,MATCH(O2854,基础资料!$AC$5:$AC$34,0)),"未知"))</f>
      </c>
      <c r="Q2854" s="78">
        <f>IF(P2854="应收",COUNTIF(P$7:P2854,"应收"),"")</f>
      </c>
      <c r="R2854" s="78">
        <f>IF(P2854="应付",COUNTIF(P$7:P2854,"应付"),"")</f>
      </c>
      <c r="S2854" s="78">
        <f>N(F2854)-N(G2854)</f>
        <v>0</v>
      </c>
    </row>
    <row r="2855">
      <c r="A2855" s="109">
        <f>IF(AND(F2855="",G2855=""),"",ROW()-6)</f>
      </c>
      <c r="B2855" s="140" t="n"/>
      <c r="C2855" s="141" t="n"/>
      <c r="D2855" s="141" t="n"/>
      <c r="E2855" s="142" t="n"/>
      <c r="F2855" s="143" t="n"/>
      <c r="G2855" s="144" t="n"/>
      <c r="H2855" s="145">
        <f>IF(OR(C2855="",AND(F2855="",G2855="")),"",SUMIF(基础资料!$W$5:$W$24,C2855,基础资料!$X$5:$X$24)+SUMIF(C$7:C2855,C2855,F$7:F2855)-SUMIF(C$7:C2855,C2855,G$7:G2855))</f>
      </c>
      <c r="I2855" s="145">
        <f>IF(AND(F2855="",G2855=""),"",SUM(基础资料!$X$5:$X$24)+SUM(F$7:F2855)-SUM(G$7:G2855))</f>
      </c>
      <c r="J2855" s="141" t="n"/>
      <c r="K2855" s="141" t="n"/>
      <c r="L2855" s="141" t="n"/>
      <c r="M2855" s="142" t="n"/>
      <c r="N2855" s="146">
        <f>IF(AND(AND(F2855="",G2855=""),B2855="",C2855="",D2855="",J2855="",K2855="",L2855=""),"",IF(AND(F2855="",G2855=""),"✗ 没填金额",IF(AND(N(F2855)&lt;&gt;0,N(G2855)&lt;&gt;0),"✗ 收入、支出只能填一边",IF(NOT(ISNUMBER(B2855)),"✗ 日期不是真日期（要像 2026/9/25 这样填）",IF(OR(B2855&lt;年初日,B2855&gt;年末日),"✗ 日期不在本会计年度",IF(C2855="","✗ 没选账户",IF(COUNTIF(基础资料!$W$5:$W$24,C2855)=0,"✗ 账户不在基础资料里",IF(O2855="","✗ 没选收支项目",IF(P2855="未知","✗ 收支项目不在基础资料里",IF(AND(P2855="应收",J2855=""),"✗ 这笔要选客户",IF(AND(P2855="应收",COUNTIF(总览汇总!$B$5:$B$304,J2855)=0),"✗ 客户不在总览汇总名单里",IF(AND(P2855="应付",K2855=""),"✗ 这笔要选供应商",IF(AND(P2855="应付",COUNTIF(基础资料!$Q$5:$Q$54,K2855)=0),"✗ 供应商不在基础资料里",IF(AND(P2855="费用",L2855=""),"✗ 费用支出要选费用项目",IF(AND(L2855&lt;&gt;"",COUNTIF(基础资料!$AI$5:$AI$54,L2855)=0),"✗ 费用项目不在基础资料里",IF(AND(IFERROR(INDEX(基础资料!$AD$5:$AD$34,MATCH(O2855,基础资料!$AC$5:$AC$34,0)),"")="收",N(G2855)&lt;&gt;0),"✗ 这类是收款，金额填到收入列",IF(AND(IFERROR(INDEX(基础资料!$AD$5:$AD$34,MATCH(O2855,基础资料!$AC$5:$AC$34,0)),"")="支",N(F2855)&lt;&gt;0),"✗ 这类是付款，金额填到支出列",IF(N(H2855)&lt;0,"⚠ 账户余额成负数了，核对一下","√"))))))))))))))))))</f>
      </c>
      <c r="O2855" s="78">
        <f>IF(D2855&lt;&gt;"",D2855,IF(AND(F2855="",G2855=""),"",IF(J2855&lt;&gt;"",IF(N(F2855)&gt;0,"客户回款","客户退款"),IF(K2855&lt;&gt;"",IF(N(G2855)&gt;0,"供应商付款","供应商退款"),IF(L2855&lt;&gt;"","费用支出","")))))</f>
      </c>
      <c r="P2855" s="78">
        <f>IF(O2855="","",IFERROR(INDEX(基础资料!$AE$5:$AE$34,MATCH(O2855,基础资料!$AC$5:$AC$34,0)),"未知"))</f>
      </c>
      <c r="Q2855" s="78">
        <f>IF(P2855="应收",COUNTIF(P$7:P2855,"应收"),"")</f>
      </c>
      <c r="R2855" s="78">
        <f>IF(P2855="应付",COUNTIF(P$7:P2855,"应付"),"")</f>
      </c>
      <c r="S2855" s="78">
        <f>N(F2855)-N(G2855)</f>
        <v>0</v>
      </c>
    </row>
    <row r="2856">
      <c r="A2856" s="109">
        <f>IF(AND(F2856="",G2856=""),"",ROW()-6)</f>
      </c>
      <c r="B2856" s="140" t="n"/>
      <c r="C2856" s="141" t="n"/>
      <c r="D2856" s="141" t="n"/>
      <c r="E2856" s="142" t="n"/>
      <c r="F2856" s="143" t="n"/>
      <c r="G2856" s="144" t="n"/>
      <c r="H2856" s="145">
        <f>IF(OR(C2856="",AND(F2856="",G2856="")),"",SUMIF(基础资料!$W$5:$W$24,C2856,基础资料!$X$5:$X$24)+SUMIF(C$7:C2856,C2856,F$7:F2856)-SUMIF(C$7:C2856,C2856,G$7:G2856))</f>
      </c>
      <c r="I2856" s="145">
        <f>IF(AND(F2856="",G2856=""),"",SUM(基础资料!$X$5:$X$24)+SUM(F$7:F2856)-SUM(G$7:G2856))</f>
      </c>
      <c r="J2856" s="141" t="n"/>
      <c r="K2856" s="141" t="n"/>
      <c r="L2856" s="141" t="n"/>
      <c r="M2856" s="142" t="n"/>
      <c r="N2856" s="146">
        <f>IF(AND(AND(F2856="",G2856=""),B2856="",C2856="",D2856="",J2856="",K2856="",L2856=""),"",IF(AND(F2856="",G2856=""),"✗ 没填金额",IF(AND(N(F2856)&lt;&gt;0,N(G2856)&lt;&gt;0),"✗ 收入、支出只能填一边",IF(NOT(ISNUMBER(B2856)),"✗ 日期不是真日期（要像 2026/9/25 这样填）",IF(OR(B2856&lt;年初日,B2856&gt;年末日),"✗ 日期不在本会计年度",IF(C2856="","✗ 没选账户",IF(COUNTIF(基础资料!$W$5:$W$24,C2856)=0,"✗ 账户不在基础资料里",IF(O2856="","✗ 没选收支项目",IF(P2856="未知","✗ 收支项目不在基础资料里",IF(AND(P2856="应收",J2856=""),"✗ 这笔要选客户",IF(AND(P2856="应收",COUNTIF(总览汇总!$B$5:$B$304,J2856)=0),"✗ 客户不在总览汇总名单里",IF(AND(P2856="应付",K2856=""),"✗ 这笔要选供应商",IF(AND(P2856="应付",COUNTIF(基础资料!$Q$5:$Q$54,K2856)=0),"✗ 供应商不在基础资料里",IF(AND(P2856="费用",L2856=""),"✗ 费用支出要选费用项目",IF(AND(L2856&lt;&gt;"",COUNTIF(基础资料!$AI$5:$AI$54,L2856)=0),"✗ 费用项目不在基础资料里",IF(AND(IFERROR(INDEX(基础资料!$AD$5:$AD$34,MATCH(O2856,基础资料!$AC$5:$AC$34,0)),"")="收",N(G2856)&lt;&gt;0),"✗ 这类是收款，金额填到收入列",IF(AND(IFERROR(INDEX(基础资料!$AD$5:$AD$34,MATCH(O2856,基础资料!$AC$5:$AC$34,0)),"")="支",N(F2856)&lt;&gt;0),"✗ 这类是付款，金额填到支出列",IF(N(H2856)&lt;0,"⚠ 账户余额成负数了，核对一下","√"))))))))))))))))))</f>
      </c>
      <c r="O2856" s="78">
        <f>IF(D2856&lt;&gt;"",D2856,IF(AND(F2856="",G2856=""),"",IF(J2856&lt;&gt;"",IF(N(F2856)&gt;0,"客户回款","客户退款"),IF(K2856&lt;&gt;"",IF(N(G2856)&gt;0,"供应商付款","供应商退款"),IF(L2856&lt;&gt;"","费用支出","")))))</f>
      </c>
      <c r="P2856" s="78">
        <f>IF(O2856="","",IFERROR(INDEX(基础资料!$AE$5:$AE$34,MATCH(O2856,基础资料!$AC$5:$AC$34,0)),"未知"))</f>
      </c>
      <c r="Q2856" s="78">
        <f>IF(P2856="应收",COUNTIF(P$7:P2856,"应收"),"")</f>
      </c>
      <c r="R2856" s="78">
        <f>IF(P2856="应付",COUNTIF(P$7:P2856,"应付"),"")</f>
      </c>
      <c r="S2856" s="78">
        <f>N(F2856)-N(G2856)</f>
        <v>0</v>
      </c>
    </row>
    <row r="2857">
      <c r="A2857" s="109">
        <f>IF(AND(F2857="",G2857=""),"",ROW()-6)</f>
      </c>
      <c r="B2857" s="140" t="n"/>
      <c r="C2857" s="141" t="n"/>
      <c r="D2857" s="141" t="n"/>
      <c r="E2857" s="142" t="n"/>
      <c r="F2857" s="143" t="n"/>
      <c r="G2857" s="144" t="n"/>
      <c r="H2857" s="145">
        <f>IF(OR(C2857="",AND(F2857="",G2857="")),"",SUMIF(基础资料!$W$5:$W$24,C2857,基础资料!$X$5:$X$24)+SUMIF(C$7:C2857,C2857,F$7:F2857)-SUMIF(C$7:C2857,C2857,G$7:G2857))</f>
      </c>
      <c r="I2857" s="145">
        <f>IF(AND(F2857="",G2857=""),"",SUM(基础资料!$X$5:$X$24)+SUM(F$7:F2857)-SUM(G$7:G2857))</f>
      </c>
      <c r="J2857" s="141" t="n"/>
      <c r="K2857" s="141" t="n"/>
      <c r="L2857" s="141" t="n"/>
      <c r="M2857" s="142" t="n"/>
      <c r="N2857" s="146">
        <f>IF(AND(AND(F2857="",G2857=""),B2857="",C2857="",D2857="",J2857="",K2857="",L2857=""),"",IF(AND(F2857="",G2857=""),"✗ 没填金额",IF(AND(N(F2857)&lt;&gt;0,N(G2857)&lt;&gt;0),"✗ 收入、支出只能填一边",IF(NOT(ISNUMBER(B2857)),"✗ 日期不是真日期（要像 2026/9/25 这样填）",IF(OR(B2857&lt;年初日,B2857&gt;年末日),"✗ 日期不在本会计年度",IF(C2857="","✗ 没选账户",IF(COUNTIF(基础资料!$W$5:$W$24,C2857)=0,"✗ 账户不在基础资料里",IF(O2857="","✗ 没选收支项目",IF(P2857="未知","✗ 收支项目不在基础资料里",IF(AND(P2857="应收",J2857=""),"✗ 这笔要选客户",IF(AND(P2857="应收",COUNTIF(总览汇总!$B$5:$B$304,J2857)=0),"✗ 客户不在总览汇总名单里",IF(AND(P2857="应付",K2857=""),"✗ 这笔要选供应商",IF(AND(P2857="应付",COUNTIF(基础资料!$Q$5:$Q$54,K2857)=0),"✗ 供应商不在基础资料里",IF(AND(P2857="费用",L2857=""),"✗ 费用支出要选费用项目",IF(AND(L2857&lt;&gt;"",COUNTIF(基础资料!$AI$5:$AI$54,L2857)=0),"✗ 费用项目不在基础资料里",IF(AND(IFERROR(INDEX(基础资料!$AD$5:$AD$34,MATCH(O2857,基础资料!$AC$5:$AC$34,0)),"")="收",N(G2857)&lt;&gt;0),"✗ 这类是收款，金额填到收入列",IF(AND(IFERROR(INDEX(基础资料!$AD$5:$AD$34,MATCH(O2857,基础资料!$AC$5:$AC$34,0)),"")="支",N(F2857)&lt;&gt;0),"✗ 这类是付款，金额填到支出列",IF(N(H2857)&lt;0,"⚠ 账户余额成负数了，核对一下","√"))))))))))))))))))</f>
      </c>
      <c r="O2857" s="78">
        <f>IF(D2857&lt;&gt;"",D2857,IF(AND(F2857="",G2857=""),"",IF(J2857&lt;&gt;"",IF(N(F2857)&gt;0,"客户回款","客户退款"),IF(K2857&lt;&gt;"",IF(N(G2857)&gt;0,"供应商付款","供应商退款"),IF(L2857&lt;&gt;"","费用支出","")))))</f>
      </c>
      <c r="P2857" s="78">
        <f>IF(O2857="","",IFERROR(INDEX(基础资料!$AE$5:$AE$34,MATCH(O2857,基础资料!$AC$5:$AC$34,0)),"未知"))</f>
      </c>
      <c r="Q2857" s="78">
        <f>IF(P2857="应收",COUNTIF(P$7:P2857,"应收"),"")</f>
      </c>
      <c r="R2857" s="78">
        <f>IF(P2857="应付",COUNTIF(P$7:P2857,"应付"),"")</f>
      </c>
      <c r="S2857" s="78">
        <f>N(F2857)-N(G2857)</f>
        <v>0</v>
      </c>
    </row>
    <row r="2858">
      <c r="A2858" s="109">
        <f>IF(AND(F2858="",G2858=""),"",ROW()-6)</f>
      </c>
      <c r="B2858" s="140" t="n"/>
      <c r="C2858" s="141" t="n"/>
      <c r="D2858" s="141" t="n"/>
      <c r="E2858" s="142" t="n"/>
      <c r="F2858" s="143" t="n"/>
      <c r="G2858" s="144" t="n"/>
      <c r="H2858" s="145">
        <f>IF(OR(C2858="",AND(F2858="",G2858="")),"",SUMIF(基础资料!$W$5:$W$24,C2858,基础资料!$X$5:$X$24)+SUMIF(C$7:C2858,C2858,F$7:F2858)-SUMIF(C$7:C2858,C2858,G$7:G2858))</f>
      </c>
      <c r="I2858" s="145">
        <f>IF(AND(F2858="",G2858=""),"",SUM(基础资料!$X$5:$X$24)+SUM(F$7:F2858)-SUM(G$7:G2858))</f>
      </c>
      <c r="J2858" s="141" t="n"/>
      <c r="K2858" s="141" t="n"/>
      <c r="L2858" s="141" t="n"/>
      <c r="M2858" s="142" t="n"/>
      <c r="N2858" s="146">
        <f>IF(AND(AND(F2858="",G2858=""),B2858="",C2858="",D2858="",J2858="",K2858="",L2858=""),"",IF(AND(F2858="",G2858=""),"✗ 没填金额",IF(AND(N(F2858)&lt;&gt;0,N(G2858)&lt;&gt;0),"✗ 收入、支出只能填一边",IF(NOT(ISNUMBER(B2858)),"✗ 日期不是真日期（要像 2026/9/25 这样填）",IF(OR(B2858&lt;年初日,B2858&gt;年末日),"✗ 日期不在本会计年度",IF(C2858="","✗ 没选账户",IF(COUNTIF(基础资料!$W$5:$W$24,C2858)=0,"✗ 账户不在基础资料里",IF(O2858="","✗ 没选收支项目",IF(P2858="未知","✗ 收支项目不在基础资料里",IF(AND(P2858="应收",J2858=""),"✗ 这笔要选客户",IF(AND(P2858="应收",COUNTIF(总览汇总!$B$5:$B$304,J2858)=0),"✗ 客户不在总览汇总名单里",IF(AND(P2858="应付",K2858=""),"✗ 这笔要选供应商",IF(AND(P2858="应付",COUNTIF(基础资料!$Q$5:$Q$54,K2858)=0),"✗ 供应商不在基础资料里",IF(AND(P2858="费用",L2858=""),"✗ 费用支出要选费用项目",IF(AND(L2858&lt;&gt;"",COUNTIF(基础资料!$AI$5:$AI$54,L2858)=0),"✗ 费用项目不在基础资料里",IF(AND(IFERROR(INDEX(基础资料!$AD$5:$AD$34,MATCH(O2858,基础资料!$AC$5:$AC$34,0)),"")="收",N(G2858)&lt;&gt;0),"✗ 这类是收款，金额填到收入列",IF(AND(IFERROR(INDEX(基础资料!$AD$5:$AD$34,MATCH(O2858,基础资料!$AC$5:$AC$34,0)),"")="支",N(F2858)&lt;&gt;0),"✗ 这类是付款，金额填到支出列",IF(N(H2858)&lt;0,"⚠ 账户余额成负数了，核对一下","√"))))))))))))))))))</f>
      </c>
      <c r="O2858" s="78">
        <f>IF(D2858&lt;&gt;"",D2858,IF(AND(F2858="",G2858=""),"",IF(J2858&lt;&gt;"",IF(N(F2858)&gt;0,"客户回款","客户退款"),IF(K2858&lt;&gt;"",IF(N(G2858)&gt;0,"供应商付款","供应商退款"),IF(L2858&lt;&gt;"","费用支出","")))))</f>
      </c>
      <c r="P2858" s="78">
        <f>IF(O2858="","",IFERROR(INDEX(基础资料!$AE$5:$AE$34,MATCH(O2858,基础资料!$AC$5:$AC$34,0)),"未知"))</f>
      </c>
      <c r="Q2858" s="78">
        <f>IF(P2858="应收",COUNTIF(P$7:P2858,"应收"),"")</f>
      </c>
      <c r="R2858" s="78">
        <f>IF(P2858="应付",COUNTIF(P$7:P2858,"应付"),"")</f>
      </c>
      <c r="S2858" s="78">
        <f>N(F2858)-N(G2858)</f>
        <v>0</v>
      </c>
    </row>
    <row r="2859">
      <c r="A2859" s="109">
        <f>IF(AND(F2859="",G2859=""),"",ROW()-6)</f>
      </c>
      <c r="B2859" s="140" t="n"/>
      <c r="C2859" s="141" t="n"/>
      <c r="D2859" s="141" t="n"/>
      <c r="E2859" s="142" t="n"/>
      <c r="F2859" s="143" t="n"/>
      <c r="G2859" s="144" t="n"/>
      <c r="H2859" s="145">
        <f>IF(OR(C2859="",AND(F2859="",G2859="")),"",SUMIF(基础资料!$W$5:$W$24,C2859,基础资料!$X$5:$X$24)+SUMIF(C$7:C2859,C2859,F$7:F2859)-SUMIF(C$7:C2859,C2859,G$7:G2859))</f>
      </c>
      <c r="I2859" s="145">
        <f>IF(AND(F2859="",G2859=""),"",SUM(基础资料!$X$5:$X$24)+SUM(F$7:F2859)-SUM(G$7:G2859))</f>
      </c>
      <c r="J2859" s="141" t="n"/>
      <c r="K2859" s="141" t="n"/>
      <c r="L2859" s="141" t="n"/>
      <c r="M2859" s="142" t="n"/>
      <c r="N2859" s="146">
        <f>IF(AND(AND(F2859="",G2859=""),B2859="",C2859="",D2859="",J2859="",K2859="",L2859=""),"",IF(AND(F2859="",G2859=""),"✗ 没填金额",IF(AND(N(F2859)&lt;&gt;0,N(G2859)&lt;&gt;0),"✗ 收入、支出只能填一边",IF(NOT(ISNUMBER(B2859)),"✗ 日期不是真日期（要像 2026/9/25 这样填）",IF(OR(B2859&lt;年初日,B2859&gt;年末日),"✗ 日期不在本会计年度",IF(C2859="","✗ 没选账户",IF(COUNTIF(基础资料!$W$5:$W$24,C2859)=0,"✗ 账户不在基础资料里",IF(O2859="","✗ 没选收支项目",IF(P2859="未知","✗ 收支项目不在基础资料里",IF(AND(P2859="应收",J2859=""),"✗ 这笔要选客户",IF(AND(P2859="应收",COUNTIF(总览汇总!$B$5:$B$304,J2859)=0),"✗ 客户不在总览汇总名单里",IF(AND(P2859="应付",K2859=""),"✗ 这笔要选供应商",IF(AND(P2859="应付",COUNTIF(基础资料!$Q$5:$Q$54,K2859)=0),"✗ 供应商不在基础资料里",IF(AND(P2859="费用",L2859=""),"✗ 费用支出要选费用项目",IF(AND(L2859&lt;&gt;"",COUNTIF(基础资料!$AI$5:$AI$54,L2859)=0),"✗ 费用项目不在基础资料里",IF(AND(IFERROR(INDEX(基础资料!$AD$5:$AD$34,MATCH(O2859,基础资料!$AC$5:$AC$34,0)),"")="收",N(G2859)&lt;&gt;0),"✗ 这类是收款，金额填到收入列",IF(AND(IFERROR(INDEX(基础资料!$AD$5:$AD$34,MATCH(O2859,基础资料!$AC$5:$AC$34,0)),"")="支",N(F2859)&lt;&gt;0),"✗ 这类是付款，金额填到支出列",IF(N(H2859)&lt;0,"⚠ 账户余额成负数了，核对一下","√"))))))))))))))))))</f>
      </c>
      <c r="O2859" s="78">
        <f>IF(D2859&lt;&gt;"",D2859,IF(AND(F2859="",G2859=""),"",IF(J2859&lt;&gt;"",IF(N(F2859)&gt;0,"客户回款","客户退款"),IF(K2859&lt;&gt;"",IF(N(G2859)&gt;0,"供应商付款","供应商退款"),IF(L2859&lt;&gt;"","费用支出","")))))</f>
      </c>
      <c r="P2859" s="78">
        <f>IF(O2859="","",IFERROR(INDEX(基础资料!$AE$5:$AE$34,MATCH(O2859,基础资料!$AC$5:$AC$34,0)),"未知"))</f>
      </c>
      <c r="Q2859" s="78">
        <f>IF(P2859="应收",COUNTIF(P$7:P2859,"应收"),"")</f>
      </c>
      <c r="R2859" s="78">
        <f>IF(P2859="应付",COUNTIF(P$7:P2859,"应付"),"")</f>
      </c>
      <c r="S2859" s="78">
        <f>N(F2859)-N(G2859)</f>
        <v>0</v>
      </c>
    </row>
    <row r="2860">
      <c r="A2860" s="109">
        <f>IF(AND(F2860="",G2860=""),"",ROW()-6)</f>
      </c>
      <c r="B2860" s="140" t="n"/>
      <c r="C2860" s="141" t="n"/>
      <c r="D2860" s="141" t="n"/>
      <c r="E2860" s="142" t="n"/>
      <c r="F2860" s="143" t="n"/>
      <c r="G2860" s="144" t="n"/>
      <c r="H2860" s="145">
        <f>IF(OR(C2860="",AND(F2860="",G2860="")),"",SUMIF(基础资料!$W$5:$W$24,C2860,基础资料!$X$5:$X$24)+SUMIF(C$7:C2860,C2860,F$7:F2860)-SUMIF(C$7:C2860,C2860,G$7:G2860))</f>
      </c>
      <c r="I2860" s="145">
        <f>IF(AND(F2860="",G2860=""),"",SUM(基础资料!$X$5:$X$24)+SUM(F$7:F2860)-SUM(G$7:G2860))</f>
      </c>
      <c r="J2860" s="141" t="n"/>
      <c r="K2860" s="141" t="n"/>
      <c r="L2860" s="141" t="n"/>
      <c r="M2860" s="142" t="n"/>
      <c r="N2860" s="146">
        <f>IF(AND(AND(F2860="",G2860=""),B2860="",C2860="",D2860="",J2860="",K2860="",L2860=""),"",IF(AND(F2860="",G2860=""),"✗ 没填金额",IF(AND(N(F2860)&lt;&gt;0,N(G2860)&lt;&gt;0),"✗ 收入、支出只能填一边",IF(NOT(ISNUMBER(B2860)),"✗ 日期不是真日期（要像 2026/9/25 这样填）",IF(OR(B2860&lt;年初日,B2860&gt;年末日),"✗ 日期不在本会计年度",IF(C2860="","✗ 没选账户",IF(COUNTIF(基础资料!$W$5:$W$24,C2860)=0,"✗ 账户不在基础资料里",IF(O2860="","✗ 没选收支项目",IF(P2860="未知","✗ 收支项目不在基础资料里",IF(AND(P2860="应收",J2860=""),"✗ 这笔要选客户",IF(AND(P2860="应收",COUNTIF(总览汇总!$B$5:$B$304,J2860)=0),"✗ 客户不在总览汇总名单里",IF(AND(P2860="应付",K2860=""),"✗ 这笔要选供应商",IF(AND(P2860="应付",COUNTIF(基础资料!$Q$5:$Q$54,K2860)=0),"✗ 供应商不在基础资料里",IF(AND(P2860="费用",L2860=""),"✗ 费用支出要选费用项目",IF(AND(L2860&lt;&gt;"",COUNTIF(基础资料!$AI$5:$AI$54,L2860)=0),"✗ 费用项目不在基础资料里",IF(AND(IFERROR(INDEX(基础资料!$AD$5:$AD$34,MATCH(O2860,基础资料!$AC$5:$AC$34,0)),"")="收",N(G2860)&lt;&gt;0),"✗ 这类是收款，金额填到收入列",IF(AND(IFERROR(INDEX(基础资料!$AD$5:$AD$34,MATCH(O2860,基础资料!$AC$5:$AC$34,0)),"")="支",N(F2860)&lt;&gt;0),"✗ 这类是付款，金额填到支出列",IF(N(H2860)&lt;0,"⚠ 账户余额成负数了，核对一下","√"))))))))))))))))))</f>
      </c>
      <c r="O2860" s="78">
        <f>IF(D2860&lt;&gt;"",D2860,IF(AND(F2860="",G2860=""),"",IF(J2860&lt;&gt;"",IF(N(F2860)&gt;0,"客户回款","客户退款"),IF(K2860&lt;&gt;"",IF(N(G2860)&gt;0,"供应商付款","供应商退款"),IF(L2860&lt;&gt;"","费用支出","")))))</f>
      </c>
      <c r="P2860" s="78">
        <f>IF(O2860="","",IFERROR(INDEX(基础资料!$AE$5:$AE$34,MATCH(O2860,基础资料!$AC$5:$AC$34,0)),"未知"))</f>
      </c>
      <c r="Q2860" s="78">
        <f>IF(P2860="应收",COUNTIF(P$7:P2860,"应收"),"")</f>
      </c>
      <c r="R2860" s="78">
        <f>IF(P2860="应付",COUNTIF(P$7:P2860,"应付"),"")</f>
      </c>
      <c r="S2860" s="78">
        <f>N(F2860)-N(G2860)</f>
        <v>0</v>
      </c>
    </row>
    <row r="2861">
      <c r="A2861" s="109">
        <f>IF(AND(F2861="",G2861=""),"",ROW()-6)</f>
      </c>
      <c r="B2861" s="140" t="n"/>
      <c r="C2861" s="141" t="n"/>
      <c r="D2861" s="141" t="n"/>
      <c r="E2861" s="142" t="n"/>
      <c r="F2861" s="143" t="n"/>
      <c r="G2861" s="144" t="n"/>
      <c r="H2861" s="145">
        <f>IF(OR(C2861="",AND(F2861="",G2861="")),"",SUMIF(基础资料!$W$5:$W$24,C2861,基础资料!$X$5:$X$24)+SUMIF(C$7:C2861,C2861,F$7:F2861)-SUMIF(C$7:C2861,C2861,G$7:G2861))</f>
      </c>
      <c r="I2861" s="145">
        <f>IF(AND(F2861="",G2861=""),"",SUM(基础资料!$X$5:$X$24)+SUM(F$7:F2861)-SUM(G$7:G2861))</f>
      </c>
      <c r="J2861" s="141" t="n"/>
      <c r="K2861" s="141" t="n"/>
      <c r="L2861" s="141" t="n"/>
      <c r="M2861" s="142" t="n"/>
      <c r="N2861" s="146">
        <f>IF(AND(AND(F2861="",G2861=""),B2861="",C2861="",D2861="",J2861="",K2861="",L2861=""),"",IF(AND(F2861="",G2861=""),"✗ 没填金额",IF(AND(N(F2861)&lt;&gt;0,N(G2861)&lt;&gt;0),"✗ 收入、支出只能填一边",IF(NOT(ISNUMBER(B2861)),"✗ 日期不是真日期（要像 2026/9/25 这样填）",IF(OR(B2861&lt;年初日,B2861&gt;年末日),"✗ 日期不在本会计年度",IF(C2861="","✗ 没选账户",IF(COUNTIF(基础资料!$W$5:$W$24,C2861)=0,"✗ 账户不在基础资料里",IF(O2861="","✗ 没选收支项目",IF(P2861="未知","✗ 收支项目不在基础资料里",IF(AND(P2861="应收",J2861=""),"✗ 这笔要选客户",IF(AND(P2861="应收",COUNTIF(总览汇总!$B$5:$B$304,J2861)=0),"✗ 客户不在总览汇总名单里",IF(AND(P2861="应付",K2861=""),"✗ 这笔要选供应商",IF(AND(P2861="应付",COUNTIF(基础资料!$Q$5:$Q$54,K2861)=0),"✗ 供应商不在基础资料里",IF(AND(P2861="费用",L2861=""),"✗ 费用支出要选费用项目",IF(AND(L2861&lt;&gt;"",COUNTIF(基础资料!$AI$5:$AI$54,L2861)=0),"✗ 费用项目不在基础资料里",IF(AND(IFERROR(INDEX(基础资料!$AD$5:$AD$34,MATCH(O2861,基础资料!$AC$5:$AC$34,0)),"")="收",N(G2861)&lt;&gt;0),"✗ 这类是收款，金额填到收入列",IF(AND(IFERROR(INDEX(基础资料!$AD$5:$AD$34,MATCH(O2861,基础资料!$AC$5:$AC$34,0)),"")="支",N(F2861)&lt;&gt;0),"✗ 这类是付款，金额填到支出列",IF(N(H2861)&lt;0,"⚠ 账户余额成负数了，核对一下","√"))))))))))))))))))</f>
      </c>
      <c r="O2861" s="78">
        <f>IF(D2861&lt;&gt;"",D2861,IF(AND(F2861="",G2861=""),"",IF(J2861&lt;&gt;"",IF(N(F2861)&gt;0,"客户回款","客户退款"),IF(K2861&lt;&gt;"",IF(N(G2861)&gt;0,"供应商付款","供应商退款"),IF(L2861&lt;&gt;"","费用支出","")))))</f>
      </c>
      <c r="P2861" s="78">
        <f>IF(O2861="","",IFERROR(INDEX(基础资料!$AE$5:$AE$34,MATCH(O2861,基础资料!$AC$5:$AC$34,0)),"未知"))</f>
      </c>
      <c r="Q2861" s="78">
        <f>IF(P2861="应收",COUNTIF(P$7:P2861,"应收"),"")</f>
      </c>
      <c r="R2861" s="78">
        <f>IF(P2861="应付",COUNTIF(P$7:P2861,"应付"),"")</f>
      </c>
      <c r="S2861" s="78">
        <f>N(F2861)-N(G2861)</f>
        <v>0</v>
      </c>
    </row>
    <row r="2862">
      <c r="A2862" s="109">
        <f>IF(AND(F2862="",G2862=""),"",ROW()-6)</f>
      </c>
      <c r="B2862" s="140" t="n"/>
      <c r="C2862" s="141" t="n"/>
      <c r="D2862" s="141" t="n"/>
      <c r="E2862" s="142" t="n"/>
      <c r="F2862" s="143" t="n"/>
      <c r="G2862" s="144" t="n"/>
      <c r="H2862" s="145">
        <f>IF(OR(C2862="",AND(F2862="",G2862="")),"",SUMIF(基础资料!$W$5:$W$24,C2862,基础资料!$X$5:$X$24)+SUMIF(C$7:C2862,C2862,F$7:F2862)-SUMIF(C$7:C2862,C2862,G$7:G2862))</f>
      </c>
      <c r="I2862" s="145">
        <f>IF(AND(F2862="",G2862=""),"",SUM(基础资料!$X$5:$X$24)+SUM(F$7:F2862)-SUM(G$7:G2862))</f>
      </c>
      <c r="J2862" s="141" t="n"/>
      <c r="K2862" s="141" t="n"/>
      <c r="L2862" s="141" t="n"/>
      <c r="M2862" s="142" t="n"/>
      <c r="N2862" s="146">
        <f>IF(AND(AND(F2862="",G2862=""),B2862="",C2862="",D2862="",J2862="",K2862="",L2862=""),"",IF(AND(F2862="",G2862=""),"✗ 没填金额",IF(AND(N(F2862)&lt;&gt;0,N(G2862)&lt;&gt;0),"✗ 收入、支出只能填一边",IF(NOT(ISNUMBER(B2862)),"✗ 日期不是真日期（要像 2026/9/25 这样填）",IF(OR(B2862&lt;年初日,B2862&gt;年末日),"✗ 日期不在本会计年度",IF(C2862="","✗ 没选账户",IF(COUNTIF(基础资料!$W$5:$W$24,C2862)=0,"✗ 账户不在基础资料里",IF(O2862="","✗ 没选收支项目",IF(P2862="未知","✗ 收支项目不在基础资料里",IF(AND(P2862="应收",J2862=""),"✗ 这笔要选客户",IF(AND(P2862="应收",COUNTIF(总览汇总!$B$5:$B$304,J2862)=0),"✗ 客户不在总览汇总名单里",IF(AND(P2862="应付",K2862=""),"✗ 这笔要选供应商",IF(AND(P2862="应付",COUNTIF(基础资料!$Q$5:$Q$54,K2862)=0),"✗ 供应商不在基础资料里",IF(AND(P2862="费用",L2862=""),"✗ 费用支出要选费用项目",IF(AND(L2862&lt;&gt;"",COUNTIF(基础资料!$AI$5:$AI$54,L2862)=0),"✗ 费用项目不在基础资料里",IF(AND(IFERROR(INDEX(基础资料!$AD$5:$AD$34,MATCH(O2862,基础资料!$AC$5:$AC$34,0)),"")="收",N(G2862)&lt;&gt;0),"✗ 这类是收款，金额填到收入列",IF(AND(IFERROR(INDEX(基础资料!$AD$5:$AD$34,MATCH(O2862,基础资料!$AC$5:$AC$34,0)),"")="支",N(F2862)&lt;&gt;0),"✗ 这类是付款，金额填到支出列",IF(N(H2862)&lt;0,"⚠ 账户余额成负数了，核对一下","√"))))))))))))))))))</f>
      </c>
      <c r="O2862" s="78">
        <f>IF(D2862&lt;&gt;"",D2862,IF(AND(F2862="",G2862=""),"",IF(J2862&lt;&gt;"",IF(N(F2862)&gt;0,"客户回款","客户退款"),IF(K2862&lt;&gt;"",IF(N(G2862)&gt;0,"供应商付款","供应商退款"),IF(L2862&lt;&gt;"","费用支出","")))))</f>
      </c>
      <c r="P2862" s="78">
        <f>IF(O2862="","",IFERROR(INDEX(基础资料!$AE$5:$AE$34,MATCH(O2862,基础资料!$AC$5:$AC$34,0)),"未知"))</f>
      </c>
      <c r="Q2862" s="78">
        <f>IF(P2862="应收",COUNTIF(P$7:P2862,"应收"),"")</f>
      </c>
      <c r="R2862" s="78">
        <f>IF(P2862="应付",COUNTIF(P$7:P2862,"应付"),"")</f>
      </c>
      <c r="S2862" s="78">
        <f>N(F2862)-N(G2862)</f>
        <v>0</v>
      </c>
    </row>
    <row r="2863">
      <c r="A2863" s="109">
        <f>IF(AND(F2863="",G2863=""),"",ROW()-6)</f>
      </c>
      <c r="B2863" s="140" t="n"/>
      <c r="C2863" s="141" t="n"/>
      <c r="D2863" s="141" t="n"/>
      <c r="E2863" s="142" t="n"/>
      <c r="F2863" s="143" t="n"/>
      <c r="G2863" s="144" t="n"/>
      <c r="H2863" s="145">
        <f>IF(OR(C2863="",AND(F2863="",G2863="")),"",SUMIF(基础资料!$W$5:$W$24,C2863,基础资料!$X$5:$X$24)+SUMIF(C$7:C2863,C2863,F$7:F2863)-SUMIF(C$7:C2863,C2863,G$7:G2863))</f>
      </c>
      <c r="I2863" s="145">
        <f>IF(AND(F2863="",G2863=""),"",SUM(基础资料!$X$5:$X$24)+SUM(F$7:F2863)-SUM(G$7:G2863))</f>
      </c>
      <c r="J2863" s="141" t="n"/>
      <c r="K2863" s="141" t="n"/>
      <c r="L2863" s="141" t="n"/>
      <c r="M2863" s="142" t="n"/>
      <c r="N2863" s="146">
        <f>IF(AND(AND(F2863="",G2863=""),B2863="",C2863="",D2863="",J2863="",K2863="",L2863=""),"",IF(AND(F2863="",G2863=""),"✗ 没填金额",IF(AND(N(F2863)&lt;&gt;0,N(G2863)&lt;&gt;0),"✗ 收入、支出只能填一边",IF(NOT(ISNUMBER(B2863)),"✗ 日期不是真日期（要像 2026/9/25 这样填）",IF(OR(B2863&lt;年初日,B2863&gt;年末日),"✗ 日期不在本会计年度",IF(C2863="","✗ 没选账户",IF(COUNTIF(基础资料!$W$5:$W$24,C2863)=0,"✗ 账户不在基础资料里",IF(O2863="","✗ 没选收支项目",IF(P2863="未知","✗ 收支项目不在基础资料里",IF(AND(P2863="应收",J2863=""),"✗ 这笔要选客户",IF(AND(P2863="应收",COUNTIF(总览汇总!$B$5:$B$304,J2863)=0),"✗ 客户不在总览汇总名单里",IF(AND(P2863="应付",K2863=""),"✗ 这笔要选供应商",IF(AND(P2863="应付",COUNTIF(基础资料!$Q$5:$Q$54,K2863)=0),"✗ 供应商不在基础资料里",IF(AND(P2863="费用",L2863=""),"✗ 费用支出要选费用项目",IF(AND(L2863&lt;&gt;"",COUNTIF(基础资料!$AI$5:$AI$54,L2863)=0),"✗ 费用项目不在基础资料里",IF(AND(IFERROR(INDEX(基础资料!$AD$5:$AD$34,MATCH(O2863,基础资料!$AC$5:$AC$34,0)),"")="收",N(G2863)&lt;&gt;0),"✗ 这类是收款，金额填到收入列",IF(AND(IFERROR(INDEX(基础资料!$AD$5:$AD$34,MATCH(O2863,基础资料!$AC$5:$AC$34,0)),"")="支",N(F2863)&lt;&gt;0),"✗ 这类是付款，金额填到支出列",IF(N(H2863)&lt;0,"⚠ 账户余额成负数了，核对一下","√"))))))))))))))))))</f>
      </c>
      <c r="O2863" s="78">
        <f>IF(D2863&lt;&gt;"",D2863,IF(AND(F2863="",G2863=""),"",IF(J2863&lt;&gt;"",IF(N(F2863)&gt;0,"客户回款","客户退款"),IF(K2863&lt;&gt;"",IF(N(G2863)&gt;0,"供应商付款","供应商退款"),IF(L2863&lt;&gt;"","费用支出","")))))</f>
      </c>
      <c r="P2863" s="78">
        <f>IF(O2863="","",IFERROR(INDEX(基础资料!$AE$5:$AE$34,MATCH(O2863,基础资料!$AC$5:$AC$34,0)),"未知"))</f>
      </c>
      <c r="Q2863" s="78">
        <f>IF(P2863="应收",COUNTIF(P$7:P2863,"应收"),"")</f>
      </c>
      <c r="R2863" s="78">
        <f>IF(P2863="应付",COUNTIF(P$7:P2863,"应付"),"")</f>
      </c>
      <c r="S2863" s="78">
        <f>N(F2863)-N(G2863)</f>
        <v>0</v>
      </c>
    </row>
    <row r="2864">
      <c r="A2864" s="109">
        <f>IF(AND(F2864="",G2864=""),"",ROW()-6)</f>
      </c>
      <c r="B2864" s="140" t="n"/>
      <c r="C2864" s="141" t="n"/>
      <c r="D2864" s="141" t="n"/>
      <c r="E2864" s="142" t="n"/>
      <c r="F2864" s="143" t="n"/>
      <c r="G2864" s="144" t="n"/>
      <c r="H2864" s="145">
        <f>IF(OR(C2864="",AND(F2864="",G2864="")),"",SUMIF(基础资料!$W$5:$W$24,C2864,基础资料!$X$5:$X$24)+SUMIF(C$7:C2864,C2864,F$7:F2864)-SUMIF(C$7:C2864,C2864,G$7:G2864))</f>
      </c>
      <c r="I2864" s="145">
        <f>IF(AND(F2864="",G2864=""),"",SUM(基础资料!$X$5:$X$24)+SUM(F$7:F2864)-SUM(G$7:G2864))</f>
      </c>
      <c r="J2864" s="141" t="n"/>
      <c r="K2864" s="141" t="n"/>
      <c r="L2864" s="141" t="n"/>
      <c r="M2864" s="142" t="n"/>
      <c r="N2864" s="146">
        <f>IF(AND(AND(F2864="",G2864=""),B2864="",C2864="",D2864="",J2864="",K2864="",L2864=""),"",IF(AND(F2864="",G2864=""),"✗ 没填金额",IF(AND(N(F2864)&lt;&gt;0,N(G2864)&lt;&gt;0),"✗ 收入、支出只能填一边",IF(NOT(ISNUMBER(B2864)),"✗ 日期不是真日期（要像 2026/9/25 这样填）",IF(OR(B2864&lt;年初日,B2864&gt;年末日),"✗ 日期不在本会计年度",IF(C2864="","✗ 没选账户",IF(COUNTIF(基础资料!$W$5:$W$24,C2864)=0,"✗ 账户不在基础资料里",IF(O2864="","✗ 没选收支项目",IF(P2864="未知","✗ 收支项目不在基础资料里",IF(AND(P2864="应收",J2864=""),"✗ 这笔要选客户",IF(AND(P2864="应收",COUNTIF(总览汇总!$B$5:$B$304,J2864)=0),"✗ 客户不在总览汇总名单里",IF(AND(P2864="应付",K2864=""),"✗ 这笔要选供应商",IF(AND(P2864="应付",COUNTIF(基础资料!$Q$5:$Q$54,K2864)=0),"✗ 供应商不在基础资料里",IF(AND(P2864="费用",L2864=""),"✗ 费用支出要选费用项目",IF(AND(L2864&lt;&gt;"",COUNTIF(基础资料!$AI$5:$AI$54,L2864)=0),"✗ 费用项目不在基础资料里",IF(AND(IFERROR(INDEX(基础资料!$AD$5:$AD$34,MATCH(O2864,基础资料!$AC$5:$AC$34,0)),"")="收",N(G2864)&lt;&gt;0),"✗ 这类是收款，金额填到收入列",IF(AND(IFERROR(INDEX(基础资料!$AD$5:$AD$34,MATCH(O2864,基础资料!$AC$5:$AC$34,0)),"")="支",N(F2864)&lt;&gt;0),"✗ 这类是付款，金额填到支出列",IF(N(H2864)&lt;0,"⚠ 账户余额成负数了，核对一下","√"))))))))))))))))))</f>
      </c>
      <c r="O2864" s="78">
        <f>IF(D2864&lt;&gt;"",D2864,IF(AND(F2864="",G2864=""),"",IF(J2864&lt;&gt;"",IF(N(F2864)&gt;0,"客户回款","客户退款"),IF(K2864&lt;&gt;"",IF(N(G2864)&gt;0,"供应商付款","供应商退款"),IF(L2864&lt;&gt;"","费用支出","")))))</f>
      </c>
      <c r="P2864" s="78">
        <f>IF(O2864="","",IFERROR(INDEX(基础资料!$AE$5:$AE$34,MATCH(O2864,基础资料!$AC$5:$AC$34,0)),"未知"))</f>
      </c>
      <c r="Q2864" s="78">
        <f>IF(P2864="应收",COUNTIF(P$7:P2864,"应收"),"")</f>
      </c>
      <c r="R2864" s="78">
        <f>IF(P2864="应付",COUNTIF(P$7:P2864,"应付"),"")</f>
      </c>
      <c r="S2864" s="78">
        <f>N(F2864)-N(G2864)</f>
        <v>0</v>
      </c>
    </row>
    <row r="2865">
      <c r="A2865" s="109">
        <f>IF(AND(F2865="",G2865=""),"",ROW()-6)</f>
      </c>
      <c r="B2865" s="140" t="n"/>
      <c r="C2865" s="141" t="n"/>
      <c r="D2865" s="141" t="n"/>
      <c r="E2865" s="142" t="n"/>
      <c r="F2865" s="143" t="n"/>
      <c r="G2865" s="144" t="n"/>
      <c r="H2865" s="145">
        <f>IF(OR(C2865="",AND(F2865="",G2865="")),"",SUMIF(基础资料!$W$5:$W$24,C2865,基础资料!$X$5:$X$24)+SUMIF(C$7:C2865,C2865,F$7:F2865)-SUMIF(C$7:C2865,C2865,G$7:G2865))</f>
      </c>
      <c r="I2865" s="145">
        <f>IF(AND(F2865="",G2865=""),"",SUM(基础资料!$X$5:$X$24)+SUM(F$7:F2865)-SUM(G$7:G2865))</f>
      </c>
      <c r="J2865" s="141" t="n"/>
      <c r="K2865" s="141" t="n"/>
      <c r="L2865" s="141" t="n"/>
      <c r="M2865" s="142" t="n"/>
      <c r="N2865" s="146">
        <f>IF(AND(AND(F2865="",G2865=""),B2865="",C2865="",D2865="",J2865="",K2865="",L2865=""),"",IF(AND(F2865="",G2865=""),"✗ 没填金额",IF(AND(N(F2865)&lt;&gt;0,N(G2865)&lt;&gt;0),"✗ 收入、支出只能填一边",IF(NOT(ISNUMBER(B2865)),"✗ 日期不是真日期（要像 2026/9/25 这样填）",IF(OR(B2865&lt;年初日,B2865&gt;年末日),"✗ 日期不在本会计年度",IF(C2865="","✗ 没选账户",IF(COUNTIF(基础资料!$W$5:$W$24,C2865)=0,"✗ 账户不在基础资料里",IF(O2865="","✗ 没选收支项目",IF(P2865="未知","✗ 收支项目不在基础资料里",IF(AND(P2865="应收",J2865=""),"✗ 这笔要选客户",IF(AND(P2865="应收",COUNTIF(总览汇总!$B$5:$B$304,J2865)=0),"✗ 客户不在总览汇总名单里",IF(AND(P2865="应付",K2865=""),"✗ 这笔要选供应商",IF(AND(P2865="应付",COUNTIF(基础资料!$Q$5:$Q$54,K2865)=0),"✗ 供应商不在基础资料里",IF(AND(P2865="费用",L2865=""),"✗ 费用支出要选费用项目",IF(AND(L2865&lt;&gt;"",COUNTIF(基础资料!$AI$5:$AI$54,L2865)=0),"✗ 费用项目不在基础资料里",IF(AND(IFERROR(INDEX(基础资料!$AD$5:$AD$34,MATCH(O2865,基础资料!$AC$5:$AC$34,0)),"")="收",N(G2865)&lt;&gt;0),"✗ 这类是收款，金额填到收入列",IF(AND(IFERROR(INDEX(基础资料!$AD$5:$AD$34,MATCH(O2865,基础资料!$AC$5:$AC$34,0)),"")="支",N(F2865)&lt;&gt;0),"✗ 这类是付款，金额填到支出列",IF(N(H2865)&lt;0,"⚠ 账户余额成负数了，核对一下","√"))))))))))))))))))</f>
      </c>
      <c r="O2865" s="78">
        <f>IF(D2865&lt;&gt;"",D2865,IF(AND(F2865="",G2865=""),"",IF(J2865&lt;&gt;"",IF(N(F2865)&gt;0,"客户回款","客户退款"),IF(K2865&lt;&gt;"",IF(N(G2865)&gt;0,"供应商付款","供应商退款"),IF(L2865&lt;&gt;"","费用支出","")))))</f>
      </c>
      <c r="P2865" s="78">
        <f>IF(O2865="","",IFERROR(INDEX(基础资料!$AE$5:$AE$34,MATCH(O2865,基础资料!$AC$5:$AC$34,0)),"未知"))</f>
      </c>
      <c r="Q2865" s="78">
        <f>IF(P2865="应收",COUNTIF(P$7:P2865,"应收"),"")</f>
      </c>
      <c r="R2865" s="78">
        <f>IF(P2865="应付",COUNTIF(P$7:P2865,"应付"),"")</f>
      </c>
      <c r="S2865" s="78">
        <f>N(F2865)-N(G2865)</f>
        <v>0</v>
      </c>
    </row>
    <row r="2866">
      <c r="A2866" s="109">
        <f>IF(AND(F2866="",G2866=""),"",ROW()-6)</f>
      </c>
      <c r="B2866" s="140" t="n"/>
      <c r="C2866" s="141" t="n"/>
      <c r="D2866" s="141" t="n"/>
      <c r="E2866" s="142" t="n"/>
      <c r="F2866" s="143" t="n"/>
      <c r="G2866" s="144" t="n"/>
      <c r="H2866" s="145">
        <f>IF(OR(C2866="",AND(F2866="",G2866="")),"",SUMIF(基础资料!$W$5:$W$24,C2866,基础资料!$X$5:$X$24)+SUMIF(C$7:C2866,C2866,F$7:F2866)-SUMIF(C$7:C2866,C2866,G$7:G2866))</f>
      </c>
      <c r="I2866" s="145">
        <f>IF(AND(F2866="",G2866=""),"",SUM(基础资料!$X$5:$X$24)+SUM(F$7:F2866)-SUM(G$7:G2866))</f>
      </c>
      <c r="J2866" s="141" t="n"/>
      <c r="K2866" s="141" t="n"/>
      <c r="L2866" s="141" t="n"/>
      <c r="M2866" s="142" t="n"/>
      <c r="N2866" s="146">
        <f>IF(AND(AND(F2866="",G2866=""),B2866="",C2866="",D2866="",J2866="",K2866="",L2866=""),"",IF(AND(F2866="",G2866=""),"✗ 没填金额",IF(AND(N(F2866)&lt;&gt;0,N(G2866)&lt;&gt;0),"✗ 收入、支出只能填一边",IF(NOT(ISNUMBER(B2866)),"✗ 日期不是真日期（要像 2026/9/25 这样填）",IF(OR(B2866&lt;年初日,B2866&gt;年末日),"✗ 日期不在本会计年度",IF(C2866="","✗ 没选账户",IF(COUNTIF(基础资料!$W$5:$W$24,C2866)=0,"✗ 账户不在基础资料里",IF(O2866="","✗ 没选收支项目",IF(P2866="未知","✗ 收支项目不在基础资料里",IF(AND(P2866="应收",J2866=""),"✗ 这笔要选客户",IF(AND(P2866="应收",COUNTIF(总览汇总!$B$5:$B$304,J2866)=0),"✗ 客户不在总览汇总名单里",IF(AND(P2866="应付",K2866=""),"✗ 这笔要选供应商",IF(AND(P2866="应付",COUNTIF(基础资料!$Q$5:$Q$54,K2866)=0),"✗ 供应商不在基础资料里",IF(AND(P2866="费用",L2866=""),"✗ 费用支出要选费用项目",IF(AND(L2866&lt;&gt;"",COUNTIF(基础资料!$AI$5:$AI$54,L2866)=0),"✗ 费用项目不在基础资料里",IF(AND(IFERROR(INDEX(基础资料!$AD$5:$AD$34,MATCH(O2866,基础资料!$AC$5:$AC$34,0)),"")="收",N(G2866)&lt;&gt;0),"✗ 这类是收款，金额填到收入列",IF(AND(IFERROR(INDEX(基础资料!$AD$5:$AD$34,MATCH(O2866,基础资料!$AC$5:$AC$34,0)),"")="支",N(F2866)&lt;&gt;0),"✗ 这类是付款，金额填到支出列",IF(N(H2866)&lt;0,"⚠ 账户余额成负数了，核对一下","√"))))))))))))))))))</f>
      </c>
      <c r="O2866" s="78">
        <f>IF(D2866&lt;&gt;"",D2866,IF(AND(F2866="",G2866=""),"",IF(J2866&lt;&gt;"",IF(N(F2866)&gt;0,"客户回款","客户退款"),IF(K2866&lt;&gt;"",IF(N(G2866)&gt;0,"供应商付款","供应商退款"),IF(L2866&lt;&gt;"","费用支出","")))))</f>
      </c>
      <c r="P2866" s="78">
        <f>IF(O2866="","",IFERROR(INDEX(基础资料!$AE$5:$AE$34,MATCH(O2866,基础资料!$AC$5:$AC$34,0)),"未知"))</f>
      </c>
      <c r="Q2866" s="78">
        <f>IF(P2866="应收",COUNTIF(P$7:P2866,"应收"),"")</f>
      </c>
      <c r="R2866" s="78">
        <f>IF(P2866="应付",COUNTIF(P$7:P2866,"应付"),"")</f>
      </c>
      <c r="S2866" s="78">
        <f>N(F2866)-N(G2866)</f>
        <v>0</v>
      </c>
    </row>
    <row r="2867">
      <c r="A2867" s="109">
        <f>IF(AND(F2867="",G2867=""),"",ROW()-6)</f>
      </c>
      <c r="B2867" s="140" t="n"/>
      <c r="C2867" s="141" t="n"/>
      <c r="D2867" s="141" t="n"/>
      <c r="E2867" s="142" t="n"/>
      <c r="F2867" s="143" t="n"/>
      <c r="G2867" s="144" t="n"/>
      <c r="H2867" s="145">
        <f>IF(OR(C2867="",AND(F2867="",G2867="")),"",SUMIF(基础资料!$W$5:$W$24,C2867,基础资料!$X$5:$X$24)+SUMIF(C$7:C2867,C2867,F$7:F2867)-SUMIF(C$7:C2867,C2867,G$7:G2867))</f>
      </c>
      <c r="I2867" s="145">
        <f>IF(AND(F2867="",G2867=""),"",SUM(基础资料!$X$5:$X$24)+SUM(F$7:F2867)-SUM(G$7:G2867))</f>
      </c>
      <c r="J2867" s="141" t="n"/>
      <c r="K2867" s="141" t="n"/>
      <c r="L2867" s="141" t="n"/>
      <c r="M2867" s="142" t="n"/>
      <c r="N2867" s="146">
        <f>IF(AND(AND(F2867="",G2867=""),B2867="",C2867="",D2867="",J2867="",K2867="",L2867=""),"",IF(AND(F2867="",G2867=""),"✗ 没填金额",IF(AND(N(F2867)&lt;&gt;0,N(G2867)&lt;&gt;0),"✗ 收入、支出只能填一边",IF(NOT(ISNUMBER(B2867)),"✗ 日期不是真日期（要像 2026/9/25 这样填）",IF(OR(B2867&lt;年初日,B2867&gt;年末日),"✗ 日期不在本会计年度",IF(C2867="","✗ 没选账户",IF(COUNTIF(基础资料!$W$5:$W$24,C2867)=0,"✗ 账户不在基础资料里",IF(O2867="","✗ 没选收支项目",IF(P2867="未知","✗ 收支项目不在基础资料里",IF(AND(P2867="应收",J2867=""),"✗ 这笔要选客户",IF(AND(P2867="应收",COUNTIF(总览汇总!$B$5:$B$304,J2867)=0),"✗ 客户不在总览汇总名单里",IF(AND(P2867="应付",K2867=""),"✗ 这笔要选供应商",IF(AND(P2867="应付",COUNTIF(基础资料!$Q$5:$Q$54,K2867)=0),"✗ 供应商不在基础资料里",IF(AND(P2867="费用",L2867=""),"✗ 费用支出要选费用项目",IF(AND(L2867&lt;&gt;"",COUNTIF(基础资料!$AI$5:$AI$54,L2867)=0),"✗ 费用项目不在基础资料里",IF(AND(IFERROR(INDEX(基础资料!$AD$5:$AD$34,MATCH(O2867,基础资料!$AC$5:$AC$34,0)),"")="收",N(G2867)&lt;&gt;0),"✗ 这类是收款，金额填到收入列",IF(AND(IFERROR(INDEX(基础资料!$AD$5:$AD$34,MATCH(O2867,基础资料!$AC$5:$AC$34,0)),"")="支",N(F2867)&lt;&gt;0),"✗ 这类是付款，金额填到支出列",IF(N(H2867)&lt;0,"⚠ 账户余额成负数了，核对一下","√"))))))))))))))))))</f>
      </c>
      <c r="O2867" s="78">
        <f>IF(D2867&lt;&gt;"",D2867,IF(AND(F2867="",G2867=""),"",IF(J2867&lt;&gt;"",IF(N(F2867)&gt;0,"客户回款","客户退款"),IF(K2867&lt;&gt;"",IF(N(G2867)&gt;0,"供应商付款","供应商退款"),IF(L2867&lt;&gt;"","费用支出","")))))</f>
      </c>
      <c r="P2867" s="78">
        <f>IF(O2867="","",IFERROR(INDEX(基础资料!$AE$5:$AE$34,MATCH(O2867,基础资料!$AC$5:$AC$34,0)),"未知"))</f>
      </c>
      <c r="Q2867" s="78">
        <f>IF(P2867="应收",COUNTIF(P$7:P2867,"应收"),"")</f>
      </c>
      <c r="R2867" s="78">
        <f>IF(P2867="应付",COUNTIF(P$7:P2867,"应付"),"")</f>
      </c>
      <c r="S2867" s="78">
        <f>N(F2867)-N(G2867)</f>
        <v>0</v>
      </c>
    </row>
    <row r="2868">
      <c r="A2868" s="109">
        <f>IF(AND(F2868="",G2868=""),"",ROW()-6)</f>
      </c>
      <c r="B2868" s="140" t="n"/>
      <c r="C2868" s="141" t="n"/>
      <c r="D2868" s="141" t="n"/>
      <c r="E2868" s="142" t="n"/>
      <c r="F2868" s="143" t="n"/>
      <c r="G2868" s="144" t="n"/>
      <c r="H2868" s="145">
        <f>IF(OR(C2868="",AND(F2868="",G2868="")),"",SUMIF(基础资料!$W$5:$W$24,C2868,基础资料!$X$5:$X$24)+SUMIF(C$7:C2868,C2868,F$7:F2868)-SUMIF(C$7:C2868,C2868,G$7:G2868))</f>
      </c>
      <c r="I2868" s="145">
        <f>IF(AND(F2868="",G2868=""),"",SUM(基础资料!$X$5:$X$24)+SUM(F$7:F2868)-SUM(G$7:G2868))</f>
      </c>
      <c r="J2868" s="141" t="n"/>
      <c r="K2868" s="141" t="n"/>
      <c r="L2868" s="141" t="n"/>
      <c r="M2868" s="142" t="n"/>
      <c r="N2868" s="146">
        <f>IF(AND(AND(F2868="",G2868=""),B2868="",C2868="",D2868="",J2868="",K2868="",L2868=""),"",IF(AND(F2868="",G2868=""),"✗ 没填金额",IF(AND(N(F2868)&lt;&gt;0,N(G2868)&lt;&gt;0),"✗ 收入、支出只能填一边",IF(NOT(ISNUMBER(B2868)),"✗ 日期不是真日期（要像 2026/9/25 这样填）",IF(OR(B2868&lt;年初日,B2868&gt;年末日),"✗ 日期不在本会计年度",IF(C2868="","✗ 没选账户",IF(COUNTIF(基础资料!$W$5:$W$24,C2868)=0,"✗ 账户不在基础资料里",IF(O2868="","✗ 没选收支项目",IF(P2868="未知","✗ 收支项目不在基础资料里",IF(AND(P2868="应收",J2868=""),"✗ 这笔要选客户",IF(AND(P2868="应收",COUNTIF(总览汇总!$B$5:$B$304,J2868)=0),"✗ 客户不在总览汇总名单里",IF(AND(P2868="应付",K2868=""),"✗ 这笔要选供应商",IF(AND(P2868="应付",COUNTIF(基础资料!$Q$5:$Q$54,K2868)=0),"✗ 供应商不在基础资料里",IF(AND(P2868="费用",L2868=""),"✗ 费用支出要选费用项目",IF(AND(L2868&lt;&gt;"",COUNTIF(基础资料!$AI$5:$AI$54,L2868)=0),"✗ 费用项目不在基础资料里",IF(AND(IFERROR(INDEX(基础资料!$AD$5:$AD$34,MATCH(O2868,基础资料!$AC$5:$AC$34,0)),"")="收",N(G2868)&lt;&gt;0),"✗ 这类是收款，金额填到收入列",IF(AND(IFERROR(INDEX(基础资料!$AD$5:$AD$34,MATCH(O2868,基础资料!$AC$5:$AC$34,0)),"")="支",N(F2868)&lt;&gt;0),"✗ 这类是付款，金额填到支出列",IF(N(H2868)&lt;0,"⚠ 账户余额成负数了，核对一下","√"))))))))))))))))))</f>
      </c>
      <c r="O2868" s="78">
        <f>IF(D2868&lt;&gt;"",D2868,IF(AND(F2868="",G2868=""),"",IF(J2868&lt;&gt;"",IF(N(F2868)&gt;0,"客户回款","客户退款"),IF(K2868&lt;&gt;"",IF(N(G2868)&gt;0,"供应商付款","供应商退款"),IF(L2868&lt;&gt;"","费用支出","")))))</f>
      </c>
      <c r="P2868" s="78">
        <f>IF(O2868="","",IFERROR(INDEX(基础资料!$AE$5:$AE$34,MATCH(O2868,基础资料!$AC$5:$AC$34,0)),"未知"))</f>
      </c>
      <c r="Q2868" s="78">
        <f>IF(P2868="应收",COUNTIF(P$7:P2868,"应收"),"")</f>
      </c>
      <c r="R2868" s="78">
        <f>IF(P2868="应付",COUNTIF(P$7:P2868,"应付"),"")</f>
      </c>
      <c r="S2868" s="78">
        <f>N(F2868)-N(G2868)</f>
        <v>0</v>
      </c>
    </row>
    <row r="2869">
      <c r="A2869" s="109">
        <f>IF(AND(F2869="",G2869=""),"",ROW()-6)</f>
      </c>
      <c r="B2869" s="140" t="n"/>
      <c r="C2869" s="141" t="n"/>
      <c r="D2869" s="141" t="n"/>
      <c r="E2869" s="142" t="n"/>
      <c r="F2869" s="143" t="n"/>
      <c r="G2869" s="144" t="n"/>
      <c r="H2869" s="145">
        <f>IF(OR(C2869="",AND(F2869="",G2869="")),"",SUMIF(基础资料!$W$5:$W$24,C2869,基础资料!$X$5:$X$24)+SUMIF(C$7:C2869,C2869,F$7:F2869)-SUMIF(C$7:C2869,C2869,G$7:G2869))</f>
      </c>
      <c r="I2869" s="145">
        <f>IF(AND(F2869="",G2869=""),"",SUM(基础资料!$X$5:$X$24)+SUM(F$7:F2869)-SUM(G$7:G2869))</f>
      </c>
      <c r="J2869" s="141" t="n"/>
      <c r="K2869" s="141" t="n"/>
      <c r="L2869" s="141" t="n"/>
      <c r="M2869" s="142" t="n"/>
      <c r="N2869" s="146">
        <f>IF(AND(AND(F2869="",G2869=""),B2869="",C2869="",D2869="",J2869="",K2869="",L2869=""),"",IF(AND(F2869="",G2869=""),"✗ 没填金额",IF(AND(N(F2869)&lt;&gt;0,N(G2869)&lt;&gt;0),"✗ 收入、支出只能填一边",IF(NOT(ISNUMBER(B2869)),"✗ 日期不是真日期（要像 2026/9/25 这样填）",IF(OR(B2869&lt;年初日,B2869&gt;年末日),"✗ 日期不在本会计年度",IF(C2869="","✗ 没选账户",IF(COUNTIF(基础资料!$W$5:$W$24,C2869)=0,"✗ 账户不在基础资料里",IF(O2869="","✗ 没选收支项目",IF(P2869="未知","✗ 收支项目不在基础资料里",IF(AND(P2869="应收",J2869=""),"✗ 这笔要选客户",IF(AND(P2869="应收",COUNTIF(总览汇总!$B$5:$B$304,J2869)=0),"✗ 客户不在总览汇总名单里",IF(AND(P2869="应付",K2869=""),"✗ 这笔要选供应商",IF(AND(P2869="应付",COUNTIF(基础资料!$Q$5:$Q$54,K2869)=0),"✗ 供应商不在基础资料里",IF(AND(P2869="费用",L2869=""),"✗ 费用支出要选费用项目",IF(AND(L2869&lt;&gt;"",COUNTIF(基础资料!$AI$5:$AI$54,L2869)=0),"✗ 费用项目不在基础资料里",IF(AND(IFERROR(INDEX(基础资料!$AD$5:$AD$34,MATCH(O2869,基础资料!$AC$5:$AC$34,0)),"")="收",N(G2869)&lt;&gt;0),"✗ 这类是收款，金额填到收入列",IF(AND(IFERROR(INDEX(基础资料!$AD$5:$AD$34,MATCH(O2869,基础资料!$AC$5:$AC$34,0)),"")="支",N(F2869)&lt;&gt;0),"✗ 这类是付款，金额填到支出列",IF(N(H2869)&lt;0,"⚠ 账户余额成负数了，核对一下","√"))))))))))))))))))</f>
      </c>
      <c r="O2869" s="78">
        <f>IF(D2869&lt;&gt;"",D2869,IF(AND(F2869="",G2869=""),"",IF(J2869&lt;&gt;"",IF(N(F2869)&gt;0,"客户回款","客户退款"),IF(K2869&lt;&gt;"",IF(N(G2869)&gt;0,"供应商付款","供应商退款"),IF(L2869&lt;&gt;"","费用支出","")))))</f>
      </c>
      <c r="P2869" s="78">
        <f>IF(O2869="","",IFERROR(INDEX(基础资料!$AE$5:$AE$34,MATCH(O2869,基础资料!$AC$5:$AC$34,0)),"未知"))</f>
      </c>
      <c r="Q2869" s="78">
        <f>IF(P2869="应收",COUNTIF(P$7:P2869,"应收"),"")</f>
      </c>
      <c r="R2869" s="78">
        <f>IF(P2869="应付",COUNTIF(P$7:P2869,"应付"),"")</f>
      </c>
      <c r="S2869" s="78">
        <f>N(F2869)-N(G2869)</f>
        <v>0</v>
      </c>
    </row>
    <row r="2870">
      <c r="A2870" s="109">
        <f>IF(AND(F2870="",G2870=""),"",ROW()-6)</f>
      </c>
      <c r="B2870" s="140" t="n"/>
      <c r="C2870" s="141" t="n"/>
      <c r="D2870" s="141" t="n"/>
      <c r="E2870" s="142" t="n"/>
      <c r="F2870" s="143" t="n"/>
      <c r="G2870" s="144" t="n"/>
      <c r="H2870" s="145">
        <f>IF(OR(C2870="",AND(F2870="",G2870="")),"",SUMIF(基础资料!$W$5:$W$24,C2870,基础资料!$X$5:$X$24)+SUMIF(C$7:C2870,C2870,F$7:F2870)-SUMIF(C$7:C2870,C2870,G$7:G2870))</f>
      </c>
      <c r="I2870" s="145">
        <f>IF(AND(F2870="",G2870=""),"",SUM(基础资料!$X$5:$X$24)+SUM(F$7:F2870)-SUM(G$7:G2870))</f>
      </c>
      <c r="J2870" s="141" t="n"/>
      <c r="K2870" s="141" t="n"/>
      <c r="L2870" s="141" t="n"/>
      <c r="M2870" s="142" t="n"/>
      <c r="N2870" s="146">
        <f>IF(AND(AND(F2870="",G2870=""),B2870="",C2870="",D2870="",J2870="",K2870="",L2870=""),"",IF(AND(F2870="",G2870=""),"✗ 没填金额",IF(AND(N(F2870)&lt;&gt;0,N(G2870)&lt;&gt;0),"✗ 收入、支出只能填一边",IF(NOT(ISNUMBER(B2870)),"✗ 日期不是真日期（要像 2026/9/25 这样填）",IF(OR(B2870&lt;年初日,B2870&gt;年末日),"✗ 日期不在本会计年度",IF(C2870="","✗ 没选账户",IF(COUNTIF(基础资料!$W$5:$W$24,C2870)=0,"✗ 账户不在基础资料里",IF(O2870="","✗ 没选收支项目",IF(P2870="未知","✗ 收支项目不在基础资料里",IF(AND(P2870="应收",J2870=""),"✗ 这笔要选客户",IF(AND(P2870="应收",COUNTIF(总览汇总!$B$5:$B$304,J2870)=0),"✗ 客户不在总览汇总名单里",IF(AND(P2870="应付",K2870=""),"✗ 这笔要选供应商",IF(AND(P2870="应付",COUNTIF(基础资料!$Q$5:$Q$54,K2870)=0),"✗ 供应商不在基础资料里",IF(AND(P2870="费用",L2870=""),"✗ 费用支出要选费用项目",IF(AND(L2870&lt;&gt;"",COUNTIF(基础资料!$AI$5:$AI$54,L2870)=0),"✗ 费用项目不在基础资料里",IF(AND(IFERROR(INDEX(基础资料!$AD$5:$AD$34,MATCH(O2870,基础资料!$AC$5:$AC$34,0)),"")="收",N(G2870)&lt;&gt;0),"✗ 这类是收款，金额填到收入列",IF(AND(IFERROR(INDEX(基础资料!$AD$5:$AD$34,MATCH(O2870,基础资料!$AC$5:$AC$34,0)),"")="支",N(F2870)&lt;&gt;0),"✗ 这类是付款，金额填到支出列",IF(N(H2870)&lt;0,"⚠ 账户余额成负数了，核对一下","√"))))))))))))))))))</f>
      </c>
      <c r="O2870" s="78">
        <f>IF(D2870&lt;&gt;"",D2870,IF(AND(F2870="",G2870=""),"",IF(J2870&lt;&gt;"",IF(N(F2870)&gt;0,"客户回款","客户退款"),IF(K2870&lt;&gt;"",IF(N(G2870)&gt;0,"供应商付款","供应商退款"),IF(L2870&lt;&gt;"","费用支出","")))))</f>
      </c>
      <c r="P2870" s="78">
        <f>IF(O2870="","",IFERROR(INDEX(基础资料!$AE$5:$AE$34,MATCH(O2870,基础资料!$AC$5:$AC$34,0)),"未知"))</f>
      </c>
      <c r="Q2870" s="78">
        <f>IF(P2870="应收",COUNTIF(P$7:P2870,"应收"),"")</f>
      </c>
      <c r="R2870" s="78">
        <f>IF(P2870="应付",COUNTIF(P$7:P2870,"应付"),"")</f>
      </c>
      <c r="S2870" s="78">
        <f>N(F2870)-N(G2870)</f>
        <v>0</v>
      </c>
    </row>
    <row r="2871">
      <c r="A2871" s="109">
        <f>IF(AND(F2871="",G2871=""),"",ROW()-6)</f>
      </c>
      <c r="B2871" s="140" t="n"/>
      <c r="C2871" s="141" t="n"/>
      <c r="D2871" s="141" t="n"/>
      <c r="E2871" s="142" t="n"/>
      <c r="F2871" s="143" t="n"/>
      <c r="G2871" s="144" t="n"/>
      <c r="H2871" s="145">
        <f>IF(OR(C2871="",AND(F2871="",G2871="")),"",SUMIF(基础资料!$W$5:$W$24,C2871,基础资料!$X$5:$X$24)+SUMIF(C$7:C2871,C2871,F$7:F2871)-SUMIF(C$7:C2871,C2871,G$7:G2871))</f>
      </c>
      <c r="I2871" s="145">
        <f>IF(AND(F2871="",G2871=""),"",SUM(基础资料!$X$5:$X$24)+SUM(F$7:F2871)-SUM(G$7:G2871))</f>
      </c>
      <c r="J2871" s="141" t="n"/>
      <c r="K2871" s="141" t="n"/>
      <c r="L2871" s="141" t="n"/>
      <c r="M2871" s="142" t="n"/>
      <c r="N2871" s="146">
        <f>IF(AND(AND(F2871="",G2871=""),B2871="",C2871="",D2871="",J2871="",K2871="",L2871=""),"",IF(AND(F2871="",G2871=""),"✗ 没填金额",IF(AND(N(F2871)&lt;&gt;0,N(G2871)&lt;&gt;0),"✗ 收入、支出只能填一边",IF(NOT(ISNUMBER(B2871)),"✗ 日期不是真日期（要像 2026/9/25 这样填）",IF(OR(B2871&lt;年初日,B2871&gt;年末日),"✗ 日期不在本会计年度",IF(C2871="","✗ 没选账户",IF(COUNTIF(基础资料!$W$5:$W$24,C2871)=0,"✗ 账户不在基础资料里",IF(O2871="","✗ 没选收支项目",IF(P2871="未知","✗ 收支项目不在基础资料里",IF(AND(P2871="应收",J2871=""),"✗ 这笔要选客户",IF(AND(P2871="应收",COUNTIF(总览汇总!$B$5:$B$304,J2871)=0),"✗ 客户不在总览汇总名单里",IF(AND(P2871="应付",K2871=""),"✗ 这笔要选供应商",IF(AND(P2871="应付",COUNTIF(基础资料!$Q$5:$Q$54,K2871)=0),"✗ 供应商不在基础资料里",IF(AND(P2871="费用",L2871=""),"✗ 费用支出要选费用项目",IF(AND(L2871&lt;&gt;"",COUNTIF(基础资料!$AI$5:$AI$54,L2871)=0),"✗ 费用项目不在基础资料里",IF(AND(IFERROR(INDEX(基础资料!$AD$5:$AD$34,MATCH(O2871,基础资料!$AC$5:$AC$34,0)),"")="收",N(G2871)&lt;&gt;0),"✗ 这类是收款，金额填到收入列",IF(AND(IFERROR(INDEX(基础资料!$AD$5:$AD$34,MATCH(O2871,基础资料!$AC$5:$AC$34,0)),"")="支",N(F2871)&lt;&gt;0),"✗ 这类是付款，金额填到支出列",IF(N(H2871)&lt;0,"⚠ 账户余额成负数了，核对一下","√"))))))))))))))))))</f>
      </c>
      <c r="O2871" s="78">
        <f>IF(D2871&lt;&gt;"",D2871,IF(AND(F2871="",G2871=""),"",IF(J2871&lt;&gt;"",IF(N(F2871)&gt;0,"客户回款","客户退款"),IF(K2871&lt;&gt;"",IF(N(G2871)&gt;0,"供应商付款","供应商退款"),IF(L2871&lt;&gt;"","费用支出","")))))</f>
      </c>
      <c r="P2871" s="78">
        <f>IF(O2871="","",IFERROR(INDEX(基础资料!$AE$5:$AE$34,MATCH(O2871,基础资料!$AC$5:$AC$34,0)),"未知"))</f>
      </c>
      <c r="Q2871" s="78">
        <f>IF(P2871="应收",COUNTIF(P$7:P2871,"应收"),"")</f>
      </c>
      <c r="R2871" s="78">
        <f>IF(P2871="应付",COUNTIF(P$7:P2871,"应付"),"")</f>
      </c>
      <c r="S2871" s="78">
        <f>N(F2871)-N(G2871)</f>
        <v>0</v>
      </c>
    </row>
    <row r="2872">
      <c r="A2872" s="109">
        <f>IF(AND(F2872="",G2872=""),"",ROW()-6)</f>
      </c>
      <c r="B2872" s="140" t="n"/>
      <c r="C2872" s="141" t="n"/>
      <c r="D2872" s="141" t="n"/>
      <c r="E2872" s="142" t="n"/>
      <c r="F2872" s="143" t="n"/>
      <c r="G2872" s="144" t="n"/>
      <c r="H2872" s="145">
        <f>IF(OR(C2872="",AND(F2872="",G2872="")),"",SUMIF(基础资料!$W$5:$W$24,C2872,基础资料!$X$5:$X$24)+SUMIF(C$7:C2872,C2872,F$7:F2872)-SUMIF(C$7:C2872,C2872,G$7:G2872))</f>
      </c>
      <c r="I2872" s="145">
        <f>IF(AND(F2872="",G2872=""),"",SUM(基础资料!$X$5:$X$24)+SUM(F$7:F2872)-SUM(G$7:G2872))</f>
      </c>
      <c r="J2872" s="141" t="n"/>
      <c r="K2872" s="141" t="n"/>
      <c r="L2872" s="141" t="n"/>
      <c r="M2872" s="142" t="n"/>
      <c r="N2872" s="146">
        <f>IF(AND(AND(F2872="",G2872=""),B2872="",C2872="",D2872="",J2872="",K2872="",L2872=""),"",IF(AND(F2872="",G2872=""),"✗ 没填金额",IF(AND(N(F2872)&lt;&gt;0,N(G2872)&lt;&gt;0),"✗ 收入、支出只能填一边",IF(NOT(ISNUMBER(B2872)),"✗ 日期不是真日期（要像 2026/9/25 这样填）",IF(OR(B2872&lt;年初日,B2872&gt;年末日),"✗ 日期不在本会计年度",IF(C2872="","✗ 没选账户",IF(COUNTIF(基础资料!$W$5:$W$24,C2872)=0,"✗ 账户不在基础资料里",IF(O2872="","✗ 没选收支项目",IF(P2872="未知","✗ 收支项目不在基础资料里",IF(AND(P2872="应收",J2872=""),"✗ 这笔要选客户",IF(AND(P2872="应收",COUNTIF(总览汇总!$B$5:$B$304,J2872)=0),"✗ 客户不在总览汇总名单里",IF(AND(P2872="应付",K2872=""),"✗ 这笔要选供应商",IF(AND(P2872="应付",COUNTIF(基础资料!$Q$5:$Q$54,K2872)=0),"✗ 供应商不在基础资料里",IF(AND(P2872="费用",L2872=""),"✗ 费用支出要选费用项目",IF(AND(L2872&lt;&gt;"",COUNTIF(基础资料!$AI$5:$AI$54,L2872)=0),"✗ 费用项目不在基础资料里",IF(AND(IFERROR(INDEX(基础资料!$AD$5:$AD$34,MATCH(O2872,基础资料!$AC$5:$AC$34,0)),"")="收",N(G2872)&lt;&gt;0),"✗ 这类是收款，金额填到收入列",IF(AND(IFERROR(INDEX(基础资料!$AD$5:$AD$34,MATCH(O2872,基础资料!$AC$5:$AC$34,0)),"")="支",N(F2872)&lt;&gt;0),"✗ 这类是付款，金额填到支出列",IF(N(H2872)&lt;0,"⚠ 账户余额成负数了，核对一下","√"))))))))))))))))))</f>
      </c>
      <c r="O2872" s="78">
        <f>IF(D2872&lt;&gt;"",D2872,IF(AND(F2872="",G2872=""),"",IF(J2872&lt;&gt;"",IF(N(F2872)&gt;0,"客户回款","客户退款"),IF(K2872&lt;&gt;"",IF(N(G2872)&gt;0,"供应商付款","供应商退款"),IF(L2872&lt;&gt;"","费用支出","")))))</f>
      </c>
      <c r="P2872" s="78">
        <f>IF(O2872="","",IFERROR(INDEX(基础资料!$AE$5:$AE$34,MATCH(O2872,基础资料!$AC$5:$AC$34,0)),"未知"))</f>
      </c>
      <c r="Q2872" s="78">
        <f>IF(P2872="应收",COUNTIF(P$7:P2872,"应收"),"")</f>
      </c>
      <c r="R2872" s="78">
        <f>IF(P2872="应付",COUNTIF(P$7:P2872,"应付"),"")</f>
      </c>
      <c r="S2872" s="78">
        <f>N(F2872)-N(G2872)</f>
        <v>0</v>
      </c>
    </row>
    <row r="2873">
      <c r="A2873" s="109">
        <f>IF(AND(F2873="",G2873=""),"",ROW()-6)</f>
      </c>
      <c r="B2873" s="140" t="n"/>
      <c r="C2873" s="141" t="n"/>
      <c r="D2873" s="141" t="n"/>
      <c r="E2873" s="142" t="n"/>
      <c r="F2873" s="143" t="n"/>
      <c r="G2873" s="144" t="n"/>
      <c r="H2873" s="145">
        <f>IF(OR(C2873="",AND(F2873="",G2873="")),"",SUMIF(基础资料!$W$5:$W$24,C2873,基础资料!$X$5:$X$24)+SUMIF(C$7:C2873,C2873,F$7:F2873)-SUMIF(C$7:C2873,C2873,G$7:G2873))</f>
      </c>
      <c r="I2873" s="145">
        <f>IF(AND(F2873="",G2873=""),"",SUM(基础资料!$X$5:$X$24)+SUM(F$7:F2873)-SUM(G$7:G2873))</f>
      </c>
      <c r="J2873" s="141" t="n"/>
      <c r="K2873" s="141" t="n"/>
      <c r="L2873" s="141" t="n"/>
      <c r="M2873" s="142" t="n"/>
      <c r="N2873" s="146">
        <f>IF(AND(AND(F2873="",G2873=""),B2873="",C2873="",D2873="",J2873="",K2873="",L2873=""),"",IF(AND(F2873="",G2873=""),"✗ 没填金额",IF(AND(N(F2873)&lt;&gt;0,N(G2873)&lt;&gt;0),"✗ 收入、支出只能填一边",IF(NOT(ISNUMBER(B2873)),"✗ 日期不是真日期（要像 2026/9/25 这样填）",IF(OR(B2873&lt;年初日,B2873&gt;年末日),"✗ 日期不在本会计年度",IF(C2873="","✗ 没选账户",IF(COUNTIF(基础资料!$W$5:$W$24,C2873)=0,"✗ 账户不在基础资料里",IF(O2873="","✗ 没选收支项目",IF(P2873="未知","✗ 收支项目不在基础资料里",IF(AND(P2873="应收",J2873=""),"✗ 这笔要选客户",IF(AND(P2873="应收",COUNTIF(总览汇总!$B$5:$B$304,J2873)=0),"✗ 客户不在总览汇总名单里",IF(AND(P2873="应付",K2873=""),"✗ 这笔要选供应商",IF(AND(P2873="应付",COUNTIF(基础资料!$Q$5:$Q$54,K2873)=0),"✗ 供应商不在基础资料里",IF(AND(P2873="费用",L2873=""),"✗ 费用支出要选费用项目",IF(AND(L2873&lt;&gt;"",COUNTIF(基础资料!$AI$5:$AI$54,L2873)=0),"✗ 费用项目不在基础资料里",IF(AND(IFERROR(INDEX(基础资料!$AD$5:$AD$34,MATCH(O2873,基础资料!$AC$5:$AC$34,0)),"")="收",N(G2873)&lt;&gt;0),"✗ 这类是收款，金额填到收入列",IF(AND(IFERROR(INDEX(基础资料!$AD$5:$AD$34,MATCH(O2873,基础资料!$AC$5:$AC$34,0)),"")="支",N(F2873)&lt;&gt;0),"✗ 这类是付款，金额填到支出列",IF(N(H2873)&lt;0,"⚠ 账户余额成负数了，核对一下","√"))))))))))))))))))</f>
      </c>
      <c r="O2873" s="78">
        <f>IF(D2873&lt;&gt;"",D2873,IF(AND(F2873="",G2873=""),"",IF(J2873&lt;&gt;"",IF(N(F2873)&gt;0,"客户回款","客户退款"),IF(K2873&lt;&gt;"",IF(N(G2873)&gt;0,"供应商付款","供应商退款"),IF(L2873&lt;&gt;"","费用支出","")))))</f>
      </c>
      <c r="P2873" s="78">
        <f>IF(O2873="","",IFERROR(INDEX(基础资料!$AE$5:$AE$34,MATCH(O2873,基础资料!$AC$5:$AC$34,0)),"未知"))</f>
      </c>
      <c r="Q2873" s="78">
        <f>IF(P2873="应收",COUNTIF(P$7:P2873,"应收"),"")</f>
      </c>
      <c r="R2873" s="78">
        <f>IF(P2873="应付",COUNTIF(P$7:P2873,"应付"),"")</f>
      </c>
      <c r="S2873" s="78">
        <f>N(F2873)-N(G2873)</f>
        <v>0</v>
      </c>
    </row>
    <row r="2874">
      <c r="A2874" s="109">
        <f>IF(AND(F2874="",G2874=""),"",ROW()-6)</f>
      </c>
      <c r="B2874" s="140" t="n"/>
      <c r="C2874" s="141" t="n"/>
      <c r="D2874" s="141" t="n"/>
      <c r="E2874" s="142" t="n"/>
      <c r="F2874" s="143" t="n"/>
      <c r="G2874" s="144" t="n"/>
      <c r="H2874" s="145">
        <f>IF(OR(C2874="",AND(F2874="",G2874="")),"",SUMIF(基础资料!$W$5:$W$24,C2874,基础资料!$X$5:$X$24)+SUMIF(C$7:C2874,C2874,F$7:F2874)-SUMIF(C$7:C2874,C2874,G$7:G2874))</f>
      </c>
      <c r="I2874" s="145">
        <f>IF(AND(F2874="",G2874=""),"",SUM(基础资料!$X$5:$X$24)+SUM(F$7:F2874)-SUM(G$7:G2874))</f>
      </c>
      <c r="J2874" s="141" t="n"/>
      <c r="K2874" s="141" t="n"/>
      <c r="L2874" s="141" t="n"/>
      <c r="M2874" s="142" t="n"/>
      <c r="N2874" s="146">
        <f>IF(AND(AND(F2874="",G2874=""),B2874="",C2874="",D2874="",J2874="",K2874="",L2874=""),"",IF(AND(F2874="",G2874=""),"✗ 没填金额",IF(AND(N(F2874)&lt;&gt;0,N(G2874)&lt;&gt;0),"✗ 收入、支出只能填一边",IF(NOT(ISNUMBER(B2874)),"✗ 日期不是真日期（要像 2026/9/25 这样填）",IF(OR(B2874&lt;年初日,B2874&gt;年末日),"✗ 日期不在本会计年度",IF(C2874="","✗ 没选账户",IF(COUNTIF(基础资料!$W$5:$W$24,C2874)=0,"✗ 账户不在基础资料里",IF(O2874="","✗ 没选收支项目",IF(P2874="未知","✗ 收支项目不在基础资料里",IF(AND(P2874="应收",J2874=""),"✗ 这笔要选客户",IF(AND(P2874="应收",COUNTIF(总览汇总!$B$5:$B$304,J2874)=0),"✗ 客户不在总览汇总名单里",IF(AND(P2874="应付",K2874=""),"✗ 这笔要选供应商",IF(AND(P2874="应付",COUNTIF(基础资料!$Q$5:$Q$54,K2874)=0),"✗ 供应商不在基础资料里",IF(AND(P2874="费用",L2874=""),"✗ 费用支出要选费用项目",IF(AND(L2874&lt;&gt;"",COUNTIF(基础资料!$AI$5:$AI$54,L2874)=0),"✗ 费用项目不在基础资料里",IF(AND(IFERROR(INDEX(基础资料!$AD$5:$AD$34,MATCH(O2874,基础资料!$AC$5:$AC$34,0)),"")="收",N(G2874)&lt;&gt;0),"✗ 这类是收款，金额填到收入列",IF(AND(IFERROR(INDEX(基础资料!$AD$5:$AD$34,MATCH(O2874,基础资料!$AC$5:$AC$34,0)),"")="支",N(F2874)&lt;&gt;0),"✗ 这类是付款，金额填到支出列",IF(N(H2874)&lt;0,"⚠ 账户余额成负数了，核对一下","√"))))))))))))))))))</f>
      </c>
      <c r="O2874" s="78">
        <f>IF(D2874&lt;&gt;"",D2874,IF(AND(F2874="",G2874=""),"",IF(J2874&lt;&gt;"",IF(N(F2874)&gt;0,"客户回款","客户退款"),IF(K2874&lt;&gt;"",IF(N(G2874)&gt;0,"供应商付款","供应商退款"),IF(L2874&lt;&gt;"","费用支出","")))))</f>
      </c>
      <c r="P2874" s="78">
        <f>IF(O2874="","",IFERROR(INDEX(基础资料!$AE$5:$AE$34,MATCH(O2874,基础资料!$AC$5:$AC$34,0)),"未知"))</f>
      </c>
      <c r="Q2874" s="78">
        <f>IF(P2874="应收",COUNTIF(P$7:P2874,"应收"),"")</f>
      </c>
      <c r="R2874" s="78">
        <f>IF(P2874="应付",COUNTIF(P$7:P2874,"应付"),"")</f>
      </c>
      <c r="S2874" s="78">
        <f>N(F2874)-N(G2874)</f>
        <v>0</v>
      </c>
    </row>
    <row r="2875">
      <c r="A2875" s="109">
        <f>IF(AND(F2875="",G2875=""),"",ROW()-6)</f>
      </c>
      <c r="B2875" s="140" t="n"/>
      <c r="C2875" s="141" t="n"/>
      <c r="D2875" s="141" t="n"/>
      <c r="E2875" s="142" t="n"/>
      <c r="F2875" s="143" t="n"/>
      <c r="G2875" s="144" t="n"/>
      <c r="H2875" s="145">
        <f>IF(OR(C2875="",AND(F2875="",G2875="")),"",SUMIF(基础资料!$W$5:$W$24,C2875,基础资料!$X$5:$X$24)+SUMIF(C$7:C2875,C2875,F$7:F2875)-SUMIF(C$7:C2875,C2875,G$7:G2875))</f>
      </c>
      <c r="I2875" s="145">
        <f>IF(AND(F2875="",G2875=""),"",SUM(基础资料!$X$5:$X$24)+SUM(F$7:F2875)-SUM(G$7:G2875))</f>
      </c>
      <c r="J2875" s="141" t="n"/>
      <c r="K2875" s="141" t="n"/>
      <c r="L2875" s="141" t="n"/>
      <c r="M2875" s="142" t="n"/>
      <c r="N2875" s="146">
        <f>IF(AND(AND(F2875="",G2875=""),B2875="",C2875="",D2875="",J2875="",K2875="",L2875=""),"",IF(AND(F2875="",G2875=""),"✗ 没填金额",IF(AND(N(F2875)&lt;&gt;0,N(G2875)&lt;&gt;0),"✗ 收入、支出只能填一边",IF(NOT(ISNUMBER(B2875)),"✗ 日期不是真日期（要像 2026/9/25 这样填）",IF(OR(B2875&lt;年初日,B2875&gt;年末日),"✗ 日期不在本会计年度",IF(C2875="","✗ 没选账户",IF(COUNTIF(基础资料!$W$5:$W$24,C2875)=0,"✗ 账户不在基础资料里",IF(O2875="","✗ 没选收支项目",IF(P2875="未知","✗ 收支项目不在基础资料里",IF(AND(P2875="应收",J2875=""),"✗ 这笔要选客户",IF(AND(P2875="应收",COUNTIF(总览汇总!$B$5:$B$304,J2875)=0),"✗ 客户不在总览汇总名单里",IF(AND(P2875="应付",K2875=""),"✗ 这笔要选供应商",IF(AND(P2875="应付",COUNTIF(基础资料!$Q$5:$Q$54,K2875)=0),"✗ 供应商不在基础资料里",IF(AND(P2875="费用",L2875=""),"✗ 费用支出要选费用项目",IF(AND(L2875&lt;&gt;"",COUNTIF(基础资料!$AI$5:$AI$54,L2875)=0),"✗ 费用项目不在基础资料里",IF(AND(IFERROR(INDEX(基础资料!$AD$5:$AD$34,MATCH(O2875,基础资料!$AC$5:$AC$34,0)),"")="收",N(G2875)&lt;&gt;0),"✗ 这类是收款，金额填到收入列",IF(AND(IFERROR(INDEX(基础资料!$AD$5:$AD$34,MATCH(O2875,基础资料!$AC$5:$AC$34,0)),"")="支",N(F2875)&lt;&gt;0),"✗ 这类是付款，金额填到支出列",IF(N(H2875)&lt;0,"⚠ 账户余额成负数了，核对一下","√"))))))))))))))))))</f>
      </c>
      <c r="O2875" s="78">
        <f>IF(D2875&lt;&gt;"",D2875,IF(AND(F2875="",G2875=""),"",IF(J2875&lt;&gt;"",IF(N(F2875)&gt;0,"客户回款","客户退款"),IF(K2875&lt;&gt;"",IF(N(G2875)&gt;0,"供应商付款","供应商退款"),IF(L2875&lt;&gt;"","费用支出","")))))</f>
      </c>
      <c r="P2875" s="78">
        <f>IF(O2875="","",IFERROR(INDEX(基础资料!$AE$5:$AE$34,MATCH(O2875,基础资料!$AC$5:$AC$34,0)),"未知"))</f>
      </c>
      <c r="Q2875" s="78">
        <f>IF(P2875="应收",COUNTIF(P$7:P2875,"应收"),"")</f>
      </c>
      <c r="R2875" s="78">
        <f>IF(P2875="应付",COUNTIF(P$7:P2875,"应付"),"")</f>
      </c>
      <c r="S2875" s="78">
        <f>N(F2875)-N(G2875)</f>
        <v>0</v>
      </c>
    </row>
    <row r="2876">
      <c r="A2876" s="109">
        <f>IF(AND(F2876="",G2876=""),"",ROW()-6)</f>
      </c>
      <c r="B2876" s="140" t="n"/>
      <c r="C2876" s="141" t="n"/>
      <c r="D2876" s="141" t="n"/>
      <c r="E2876" s="142" t="n"/>
      <c r="F2876" s="143" t="n"/>
      <c r="G2876" s="144" t="n"/>
      <c r="H2876" s="145">
        <f>IF(OR(C2876="",AND(F2876="",G2876="")),"",SUMIF(基础资料!$W$5:$W$24,C2876,基础资料!$X$5:$X$24)+SUMIF(C$7:C2876,C2876,F$7:F2876)-SUMIF(C$7:C2876,C2876,G$7:G2876))</f>
      </c>
      <c r="I2876" s="145">
        <f>IF(AND(F2876="",G2876=""),"",SUM(基础资料!$X$5:$X$24)+SUM(F$7:F2876)-SUM(G$7:G2876))</f>
      </c>
      <c r="J2876" s="141" t="n"/>
      <c r="K2876" s="141" t="n"/>
      <c r="L2876" s="141" t="n"/>
      <c r="M2876" s="142" t="n"/>
      <c r="N2876" s="146">
        <f>IF(AND(AND(F2876="",G2876=""),B2876="",C2876="",D2876="",J2876="",K2876="",L2876=""),"",IF(AND(F2876="",G2876=""),"✗ 没填金额",IF(AND(N(F2876)&lt;&gt;0,N(G2876)&lt;&gt;0),"✗ 收入、支出只能填一边",IF(NOT(ISNUMBER(B2876)),"✗ 日期不是真日期（要像 2026/9/25 这样填）",IF(OR(B2876&lt;年初日,B2876&gt;年末日),"✗ 日期不在本会计年度",IF(C2876="","✗ 没选账户",IF(COUNTIF(基础资料!$W$5:$W$24,C2876)=0,"✗ 账户不在基础资料里",IF(O2876="","✗ 没选收支项目",IF(P2876="未知","✗ 收支项目不在基础资料里",IF(AND(P2876="应收",J2876=""),"✗ 这笔要选客户",IF(AND(P2876="应收",COUNTIF(总览汇总!$B$5:$B$304,J2876)=0),"✗ 客户不在总览汇总名单里",IF(AND(P2876="应付",K2876=""),"✗ 这笔要选供应商",IF(AND(P2876="应付",COUNTIF(基础资料!$Q$5:$Q$54,K2876)=0),"✗ 供应商不在基础资料里",IF(AND(P2876="费用",L2876=""),"✗ 费用支出要选费用项目",IF(AND(L2876&lt;&gt;"",COUNTIF(基础资料!$AI$5:$AI$54,L2876)=0),"✗ 费用项目不在基础资料里",IF(AND(IFERROR(INDEX(基础资料!$AD$5:$AD$34,MATCH(O2876,基础资料!$AC$5:$AC$34,0)),"")="收",N(G2876)&lt;&gt;0),"✗ 这类是收款，金额填到收入列",IF(AND(IFERROR(INDEX(基础资料!$AD$5:$AD$34,MATCH(O2876,基础资料!$AC$5:$AC$34,0)),"")="支",N(F2876)&lt;&gt;0),"✗ 这类是付款，金额填到支出列",IF(N(H2876)&lt;0,"⚠ 账户余额成负数了，核对一下","√"))))))))))))))))))</f>
      </c>
      <c r="O2876" s="78">
        <f>IF(D2876&lt;&gt;"",D2876,IF(AND(F2876="",G2876=""),"",IF(J2876&lt;&gt;"",IF(N(F2876)&gt;0,"客户回款","客户退款"),IF(K2876&lt;&gt;"",IF(N(G2876)&gt;0,"供应商付款","供应商退款"),IF(L2876&lt;&gt;"","费用支出","")))))</f>
      </c>
      <c r="P2876" s="78">
        <f>IF(O2876="","",IFERROR(INDEX(基础资料!$AE$5:$AE$34,MATCH(O2876,基础资料!$AC$5:$AC$34,0)),"未知"))</f>
      </c>
      <c r="Q2876" s="78">
        <f>IF(P2876="应收",COUNTIF(P$7:P2876,"应收"),"")</f>
      </c>
      <c r="R2876" s="78">
        <f>IF(P2876="应付",COUNTIF(P$7:P2876,"应付"),"")</f>
      </c>
      <c r="S2876" s="78">
        <f>N(F2876)-N(G2876)</f>
        <v>0</v>
      </c>
    </row>
    <row r="2877">
      <c r="A2877" s="109">
        <f>IF(AND(F2877="",G2877=""),"",ROW()-6)</f>
      </c>
      <c r="B2877" s="140" t="n"/>
      <c r="C2877" s="141" t="n"/>
      <c r="D2877" s="141" t="n"/>
      <c r="E2877" s="142" t="n"/>
      <c r="F2877" s="143" t="n"/>
      <c r="G2877" s="144" t="n"/>
      <c r="H2877" s="145">
        <f>IF(OR(C2877="",AND(F2877="",G2877="")),"",SUMIF(基础资料!$W$5:$W$24,C2877,基础资料!$X$5:$X$24)+SUMIF(C$7:C2877,C2877,F$7:F2877)-SUMIF(C$7:C2877,C2877,G$7:G2877))</f>
      </c>
      <c r="I2877" s="145">
        <f>IF(AND(F2877="",G2877=""),"",SUM(基础资料!$X$5:$X$24)+SUM(F$7:F2877)-SUM(G$7:G2877))</f>
      </c>
      <c r="J2877" s="141" t="n"/>
      <c r="K2877" s="141" t="n"/>
      <c r="L2877" s="141" t="n"/>
      <c r="M2877" s="142" t="n"/>
      <c r="N2877" s="146">
        <f>IF(AND(AND(F2877="",G2877=""),B2877="",C2877="",D2877="",J2877="",K2877="",L2877=""),"",IF(AND(F2877="",G2877=""),"✗ 没填金额",IF(AND(N(F2877)&lt;&gt;0,N(G2877)&lt;&gt;0),"✗ 收入、支出只能填一边",IF(NOT(ISNUMBER(B2877)),"✗ 日期不是真日期（要像 2026/9/25 这样填）",IF(OR(B2877&lt;年初日,B2877&gt;年末日),"✗ 日期不在本会计年度",IF(C2877="","✗ 没选账户",IF(COUNTIF(基础资料!$W$5:$W$24,C2877)=0,"✗ 账户不在基础资料里",IF(O2877="","✗ 没选收支项目",IF(P2877="未知","✗ 收支项目不在基础资料里",IF(AND(P2877="应收",J2877=""),"✗ 这笔要选客户",IF(AND(P2877="应收",COUNTIF(总览汇总!$B$5:$B$304,J2877)=0),"✗ 客户不在总览汇总名单里",IF(AND(P2877="应付",K2877=""),"✗ 这笔要选供应商",IF(AND(P2877="应付",COUNTIF(基础资料!$Q$5:$Q$54,K2877)=0),"✗ 供应商不在基础资料里",IF(AND(P2877="费用",L2877=""),"✗ 费用支出要选费用项目",IF(AND(L2877&lt;&gt;"",COUNTIF(基础资料!$AI$5:$AI$54,L2877)=0),"✗ 费用项目不在基础资料里",IF(AND(IFERROR(INDEX(基础资料!$AD$5:$AD$34,MATCH(O2877,基础资料!$AC$5:$AC$34,0)),"")="收",N(G2877)&lt;&gt;0),"✗ 这类是收款，金额填到收入列",IF(AND(IFERROR(INDEX(基础资料!$AD$5:$AD$34,MATCH(O2877,基础资料!$AC$5:$AC$34,0)),"")="支",N(F2877)&lt;&gt;0),"✗ 这类是付款，金额填到支出列",IF(N(H2877)&lt;0,"⚠ 账户余额成负数了，核对一下","√"))))))))))))))))))</f>
      </c>
      <c r="O2877" s="78">
        <f>IF(D2877&lt;&gt;"",D2877,IF(AND(F2877="",G2877=""),"",IF(J2877&lt;&gt;"",IF(N(F2877)&gt;0,"客户回款","客户退款"),IF(K2877&lt;&gt;"",IF(N(G2877)&gt;0,"供应商付款","供应商退款"),IF(L2877&lt;&gt;"","费用支出","")))))</f>
      </c>
      <c r="P2877" s="78">
        <f>IF(O2877="","",IFERROR(INDEX(基础资料!$AE$5:$AE$34,MATCH(O2877,基础资料!$AC$5:$AC$34,0)),"未知"))</f>
      </c>
      <c r="Q2877" s="78">
        <f>IF(P2877="应收",COUNTIF(P$7:P2877,"应收"),"")</f>
      </c>
      <c r="R2877" s="78">
        <f>IF(P2877="应付",COUNTIF(P$7:P2877,"应付"),"")</f>
      </c>
      <c r="S2877" s="78">
        <f>N(F2877)-N(G2877)</f>
        <v>0</v>
      </c>
    </row>
    <row r="2878">
      <c r="A2878" s="109">
        <f>IF(AND(F2878="",G2878=""),"",ROW()-6)</f>
      </c>
      <c r="B2878" s="140" t="n"/>
      <c r="C2878" s="141" t="n"/>
      <c r="D2878" s="141" t="n"/>
      <c r="E2878" s="142" t="n"/>
      <c r="F2878" s="143" t="n"/>
      <c r="G2878" s="144" t="n"/>
      <c r="H2878" s="145">
        <f>IF(OR(C2878="",AND(F2878="",G2878="")),"",SUMIF(基础资料!$W$5:$W$24,C2878,基础资料!$X$5:$X$24)+SUMIF(C$7:C2878,C2878,F$7:F2878)-SUMIF(C$7:C2878,C2878,G$7:G2878))</f>
      </c>
      <c r="I2878" s="145">
        <f>IF(AND(F2878="",G2878=""),"",SUM(基础资料!$X$5:$X$24)+SUM(F$7:F2878)-SUM(G$7:G2878))</f>
      </c>
      <c r="J2878" s="141" t="n"/>
      <c r="K2878" s="141" t="n"/>
      <c r="L2878" s="141" t="n"/>
      <c r="M2878" s="142" t="n"/>
      <c r="N2878" s="146">
        <f>IF(AND(AND(F2878="",G2878=""),B2878="",C2878="",D2878="",J2878="",K2878="",L2878=""),"",IF(AND(F2878="",G2878=""),"✗ 没填金额",IF(AND(N(F2878)&lt;&gt;0,N(G2878)&lt;&gt;0),"✗ 收入、支出只能填一边",IF(NOT(ISNUMBER(B2878)),"✗ 日期不是真日期（要像 2026/9/25 这样填）",IF(OR(B2878&lt;年初日,B2878&gt;年末日),"✗ 日期不在本会计年度",IF(C2878="","✗ 没选账户",IF(COUNTIF(基础资料!$W$5:$W$24,C2878)=0,"✗ 账户不在基础资料里",IF(O2878="","✗ 没选收支项目",IF(P2878="未知","✗ 收支项目不在基础资料里",IF(AND(P2878="应收",J2878=""),"✗ 这笔要选客户",IF(AND(P2878="应收",COUNTIF(总览汇总!$B$5:$B$304,J2878)=0),"✗ 客户不在总览汇总名单里",IF(AND(P2878="应付",K2878=""),"✗ 这笔要选供应商",IF(AND(P2878="应付",COUNTIF(基础资料!$Q$5:$Q$54,K2878)=0),"✗ 供应商不在基础资料里",IF(AND(P2878="费用",L2878=""),"✗ 费用支出要选费用项目",IF(AND(L2878&lt;&gt;"",COUNTIF(基础资料!$AI$5:$AI$54,L2878)=0),"✗ 费用项目不在基础资料里",IF(AND(IFERROR(INDEX(基础资料!$AD$5:$AD$34,MATCH(O2878,基础资料!$AC$5:$AC$34,0)),"")="收",N(G2878)&lt;&gt;0),"✗ 这类是收款，金额填到收入列",IF(AND(IFERROR(INDEX(基础资料!$AD$5:$AD$34,MATCH(O2878,基础资料!$AC$5:$AC$34,0)),"")="支",N(F2878)&lt;&gt;0),"✗ 这类是付款，金额填到支出列",IF(N(H2878)&lt;0,"⚠ 账户余额成负数了，核对一下","√"))))))))))))))))))</f>
      </c>
      <c r="O2878" s="78">
        <f>IF(D2878&lt;&gt;"",D2878,IF(AND(F2878="",G2878=""),"",IF(J2878&lt;&gt;"",IF(N(F2878)&gt;0,"客户回款","客户退款"),IF(K2878&lt;&gt;"",IF(N(G2878)&gt;0,"供应商付款","供应商退款"),IF(L2878&lt;&gt;"","费用支出","")))))</f>
      </c>
      <c r="P2878" s="78">
        <f>IF(O2878="","",IFERROR(INDEX(基础资料!$AE$5:$AE$34,MATCH(O2878,基础资料!$AC$5:$AC$34,0)),"未知"))</f>
      </c>
      <c r="Q2878" s="78">
        <f>IF(P2878="应收",COUNTIF(P$7:P2878,"应收"),"")</f>
      </c>
      <c r="R2878" s="78">
        <f>IF(P2878="应付",COUNTIF(P$7:P2878,"应付"),"")</f>
      </c>
      <c r="S2878" s="78">
        <f>N(F2878)-N(G2878)</f>
        <v>0</v>
      </c>
    </row>
    <row r="2879">
      <c r="A2879" s="109">
        <f>IF(AND(F2879="",G2879=""),"",ROW()-6)</f>
      </c>
      <c r="B2879" s="140" t="n"/>
      <c r="C2879" s="141" t="n"/>
      <c r="D2879" s="141" t="n"/>
      <c r="E2879" s="142" t="n"/>
      <c r="F2879" s="143" t="n"/>
      <c r="G2879" s="144" t="n"/>
      <c r="H2879" s="145">
        <f>IF(OR(C2879="",AND(F2879="",G2879="")),"",SUMIF(基础资料!$W$5:$W$24,C2879,基础资料!$X$5:$X$24)+SUMIF(C$7:C2879,C2879,F$7:F2879)-SUMIF(C$7:C2879,C2879,G$7:G2879))</f>
      </c>
      <c r="I2879" s="145">
        <f>IF(AND(F2879="",G2879=""),"",SUM(基础资料!$X$5:$X$24)+SUM(F$7:F2879)-SUM(G$7:G2879))</f>
      </c>
      <c r="J2879" s="141" t="n"/>
      <c r="K2879" s="141" t="n"/>
      <c r="L2879" s="141" t="n"/>
      <c r="M2879" s="142" t="n"/>
      <c r="N2879" s="146">
        <f>IF(AND(AND(F2879="",G2879=""),B2879="",C2879="",D2879="",J2879="",K2879="",L2879=""),"",IF(AND(F2879="",G2879=""),"✗ 没填金额",IF(AND(N(F2879)&lt;&gt;0,N(G2879)&lt;&gt;0),"✗ 收入、支出只能填一边",IF(NOT(ISNUMBER(B2879)),"✗ 日期不是真日期（要像 2026/9/25 这样填）",IF(OR(B2879&lt;年初日,B2879&gt;年末日),"✗ 日期不在本会计年度",IF(C2879="","✗ 没选账户",IF(COUNTIF(基础资料!$W$5:$W$24,C2879)=0,"✗ 账户不在基础资料里",IF(O2879="","✗ 没选收支项目",IF(P2879="未知","✗ 收支项目不在基础资料里",IF(AND(P2879="应收",J2879=""),"✗ 这笔要选客户",IF(AND(P2879="应收",COUNTIF(总览汇总!$B$5:$B$304,J2879)=0),"✗ 客户不在总览汇总名单里",IF(AND(P2879="应付",K2879=""),"✗ 这笔要选供应商",IF(AND(P2879="应付",COUNTIF(基础资料!$Q$5:$Q$54,K2879)=0),"✗ 供应商不在基础资料里",IF(AND(P2879="费用",L2879=""),"✗ 费用支出要选费用项目",IF(AND(L2879&lt;&gt;"",COUNTIF(基础资料!$AI$5:$AI$54,L2879)=0),"✗ 费用项目不在基础资料里",IF(AND(IFERROR(INDEX(基础资料!$AD$5:$AD$34,MATCH(O2879,基础资料!$AC$5:$AC$34,0)),"")="收",N(G2879)&lt;&gt;0),"✗ 这类是收款，金额填到收入列",IF(AND(IFERROR(INDEX(基础资料!$AD$5:$AD$34,MATCH(O2879,基础资料!$AC$5:$AC$34,0)),"")="支",N(F2879)&lt;&gt;0),"✗ 这类是付款，金额填到支出列",IF(N(H2879)&lt;0,"⚠ 账户余额成负数了，核对一下","√"))))))))))))))))))</f>
      </c>
      <c r="O2879" s="78">
        <f>IF(D2879&lt;&gt;"",D2879,IF(AND(F2879="",G2879=""),"",IF(J2879&lt;&gt;"",IF(N(F2879)&gt;0,"客户回款","客户退款"),IF(K2879&lt;&gt;"",IF(N(G2879)&gt;0,"供应商付款","供应商退款"),IF(L2879&lt;&gt;"","费用支出","")))))</f>
      </c>
      <c r="P2879" s="78">
        <f>IF(O2879="","",IFERROR(INDEX(基础资料!$AE$5:$AE$34,MATCH(O2879,基础资料!$AC$5:$AC$34,0)),"未知"))</f>
      </c>
      <c r="Q2879" s="78">
        <f>IF(P2879="应收",COUNTIF(P$7:P2879,"应收"),"")</f>
      </c>
      <c r="R2879" s="78">
        <f>IF(P2879="应付",COUNTIF(P$7:P2879,"应付"),"")</f>
      </c>
      <c r="S2879" s="78">
        <f>N(F2879)-N(G2879)</f>
        <v>0</v>
      </c>
    </row>
    <row r="2880">
      <c r="A2880" s="109">
        <f>IF(AND(F2880="",G2880=""),"",ROW()-6)</f>
      </c>
      <c r="B2880" s="140" t="n"/>
      <c r="C2880" s="141" t="n"/>
      <c r="D2880" s="141" t="n"/>
      <c r="E2880" s="142" t="n"/>
      <c r="F2880" s="143" t="n"/>
      <c r="G2880" s="144" t="n"/>
      <c r="H2880" s="145">
        <f>IF(OR(C2880="",AND(F2880="",G2880="")),"",SUMIF(基础资料!$W$5:$W$24,C2880,基础资料!$X$5:$X$24)+SUMIF(C$7:C2880,C2880,F$7:F2880)-SUMIF(C$7:C2880,C2880,G$7:G2880))</f>
      </c>
      <c r="I2880" s="145">
        <f>IF(AND(F2880="",G2880=""),"",SUM(基础资料!$X$5:$X$24)+SUM(F$7:F2880)-SUM(G$7:G2880))</f>
      </c>
      <c r="J2880" s="141" t="n"/>
      <c r="K2880" s="141" t="n"/>
      <c r="L2880" s="141" t="n"/>
      <c r="M2880" s="142" t="n"/>
      <c r="N2880" s="146">
        <f>IF(AND(AND(F2880="",G2880=""),B2880="",C2880="",D2880="",J2880="",K2880="",L2880=""),"",IF(AND(F2880="",G2880=""),"✗ 没填金额",IF(AND(N(F2880)&lt;&gt;0,N(G2880)&lt;&gt;0),"✗ 收入、支出只能填一边",IF(NOT(ISNUMBER(B2880)),"✗ 日期不是真日期（要像 2026/9/25 这样填）",IF(OR(B2880&lt;年初日,B2880&gt;年末日),"✗ 日期不在本会计年度",IF(C2880="","✗ 没选账户",IF(COUNTIF(基础资料!$W$5:$W$24,C2880)=0,"✗ 账户不在基础资料里",IF(O2880="","✗ 没选收支项目",IF(P2880="未知","✗ 收支项目不在基础资料里",IF(AND(P2880="应收",J2880=""),"✗ 这笔要选客户",IF(AND(P2880="应收",COUNTIF(总览汇总!$B$5:$B$304,J2880)=0),"✗ 客户不在总览汇总名单里",IF(AND(P2880="应付",K2880=""),"✗ 这笔要选供应商",IF(AND(P2880="应付",COUNTIF(基础资料!$Q$5:$Q$54,K2880)=0),"✗ 供应商不在基础资料里",IF(AND(P2880="费用",L2880=""),"✗ 费用支出要选费用项目",IF(AND(L2880&lt;&gt;"",COUNTIF(基础资料!$AI$5:$AI$54,L2880)=0),"✗ 费用项目不在基础资料里",IF(AND(IFERROR(INDEX(基础资料!$AD$5:$AD$34,MATCH(O2880,基础资料!$AC$5:$AC$34,0)),"")="收",N(G2880)&lt;&gt;0),"✗ 这类是收款，金额填到收入列",IF(AND(IFERROR(INDEX(基础资料!$AD$5:$AD$34,MATCH(O2880,基础资料!$AC$5:$AC$34,0)),"")="支",N(F2880)&lt;&gt;0),"✗ 这类是付款，金额填到支出列",IF(N(H2880)&lt;0,"⚠ 账户余额成负数了，核对一下","√"))))))))))))))))))</f>
      </c>
      <c r="O2880" s="78">
        <f>IF(D2880&lt;&gt;"",D2880,IF(AND(F2880="",G2880=""),"",IF(J2880&lt;&gt;"",IF(N(F2880)&gt;0,"客户回款","客户退款"),IF(K2880&lt;&gt;"",IF(N(G2880)&gt;0,"供应商付款","供应商退款"),IF(L2880&lt;&gt;"","费用支出","")))))</f>
      </c>
      <c r="P2880" s="78">
        <f>IF(O2880="","",IFERROR(INDEX(基础资料!$AE$5:$AE$34,MATCH(O2880,基础资料!$AC$5:$AC$34,0)),"未知"))</f>
      </c>
      <c r="Q2880" s="78">
        <f>IF(P2880="应收",COUNTIF(P$7:P2880,"应收"),"")</f>
      </c>
      <c r="R2880" s="78">
        <f>IF(P2880="应付",COUNTIF(P$7:P2880,"应付"),"")</f>
      </c>
      <c r="S2880" s="78">
        <f>N(F2880)-N(G2880)</f>
        <v>0</v>
      </c>
    </row>
    <row r="2881">
      <c r="A2881" s="109">
        <f>IF(AND(F2881="",G2881=""),"",ROW()-6)</f>
      </c>
      <c r="B2881" s="140" t="n"/>
      <c r="C2881" s="141" t="n"/>
      <c r="D2881" s="141" t="n"/>
      <c r="E2881" s="142" t="n"/>
      <c r="F2881" s="143" t="n"/>
      <c r="G2881" s="144" t="n"/>
      <c r="H2881" s="145">
        <f>IF(OR(C2881="",AND(F2881="",G2881="")),"",SUMIF(基础资料!$W$5:$W$24,C2881,基础资料!$X$5:$X$24)+SUMIF(C$7:C2881,C2881,F$7:F2881)-SUMIF(C$7:C2881,C2881,G$7:G2881))</f>
      </c>
      <c r="I2881" s="145">
        <f>IF(AND(F2881="",G2881=""),"",SUM(基础资料!$X$5:$X$24)+SUM(F$7:F2881)-SUM(G$7:G2881))</f>
      </c>
      <c r="J2881" s="141" t="n"/>
      <c r="K2881" s="141" t="n"/>
      <c r="L2881" s="141" t="n"/>
      <c r="M2881" s="142" t="n"/>
      <c r="N2881" s="146">
        <f>IF(AND(AND(F2881="",G2881=""),B2881="",C2881="",D2881="",J2881="",K2881="",L2881=""),"",IF(AND(F2881="",G2881=""),"✗ 没填金额",IF(AND(N(F2881)&lt;&gt;0,N(G2881)&lt;&gt;0),"✗ 收入、支出只能填一边",IF(NOT(ISNUMBER(B2881)),"✗ 日期不是真日期（要像 2026/9/25 这样填）",IF(OR(B2881&lt;年初日,B2881&gt;年末日),"✗ 日期不在本会计年度",IF(C2881="","✗ 没选账户",IF(COUNTIF(基础资料!$W$5:$W$24,C2881)=0,"✗ 账户不在基础资料里",IF(O2881="","✗ 没选收支项目",IF(P2881="未知","✗ 收支项目不在基础资料里",IF(AND(P2881="应收",J2881=""),"✗ 这笔要选客户",IF(AND(P2881="应收",COUNTIF(总览汇总!$B$5:$B$304,J2881)=0),"✗ 客户不在总览汇总名单里",IF(AND(P2881="应付",K2881=""),"✗ 这笔要选供应商",IF(AND(P2881="应付",COUNTIF(基础资料!$Q$5:$Q$54,K2881)=0),"✗ 供应商不在基础资料里",IF(AND(P2881="费用",L2881=""),"✗ 费用支出要选费用项目",IF(AND(L2881&lt;&gt;"",COUNTIF(基础资料!$AI$5:$AI$54,L2881)=0),"✗ 费用项目不在基础资料里",IF(AND(IFERROR(INDEX(基础资料!$AD$5:$AD$34,MATCH(O2881,基础资料!$AC$5:$AC$34,0)),"")="收",N(G2881)&lt;&gt;0),"✗ 这类是收款，金额填到收入列",IF(AND(IFERROR(INDEX(基础资料!$AD$5:$AD$34,MATCH(O2881,基础资料!$AC$5:$AC$34,0)),"")="支",N(F2881)&lt;&gt;0),"✗ 这类是付款，金额填到支出列",IF(N(H2881)&lt;0,"⚠ 账户余额成负数了，核对一下","√"))))))))))))))))))</f>
      </c>
      <c r="O2881" s="78">
        <f>IF(D2881&lt;&gt;"",D2881,IF(AND(F2881="",G2881=""),"",IF(J2881&lt;&gt;"",IF(N(F2881)&gt;0,"客户回款","客户退款"),IF(K2881&lt;&gt;"",IF(N(G2881)&gt;0,"供应商付款","供应商退款"),IF(L2881&lt;&gt;"","费用支出","")))))</f>
      </c>
      <c r="P2881" s="78">
        <f>IF(O2881="","",IFERROR(INDEX(基础资料!$AE$5:$AE$34,MATCH(O2881,基础资料!$AC$5:$AC$34,0)),"未知"))</f>
      </c>
      <c r="Q2881" s="78">
        <f>IF(P2881="应收",COUNTIF(P$7:P2881,"应收"),"")</f>
      </c>
      <c r="R2881" s="78">
        <f>IF(P2881="应付",COUNTIF(P$7:P2881,"应付"),"")</f>
      </c>
      <c r="S2881" s="78">
        <f>N(F2881)-N(G2881)</f>
        <v>0</v>
      </c>
    </row>
    <row r="2882">
      <c r="A2882" s="109">
        <f>IF(AND(F2882="",G2882=""),"",ROW()-6)</f>
      </c>
      <c r="B2882" s="140" t="n"/>
      <c r="C2882" s="141" t="n"/>
      <c r="D2882" s="141" t="n"/>
      <c r="E2882" s="142" t="n"/>
      <c r="F2882" s="143" t="n"/>
      <c r="G2882" s="144" t="n"/>
      <c r="H2882" s="145">
        <f>IF(OR(C2882="",AND(F2882="",G2882="")),"",SUMIF(基础资料!$W$5:$W$24,C2882,基础资料!$X$5:$X$24)+SUMIF(C$7:C2882,C2882,F$7:F2882)-SUMIF(C$7:C2882,C2882,G$7:G2882))</f>
      </c>
      <c r="I2882" s="145">
        <f>IF(AND(F2882="",G2882=""),"",SUM(基础资料!$X$5:$X$24)+SUM(F$7:F2882)-SUM(G$7:G2882))</f>
      </c>
      <c r="J2882" s="141" t="n"/>
      <c r="K2882" s="141" t="n"/>
      <c r="L2882" s="141" t="n"/>
      <c r="M2882" s="142" t="n"/>
      <c r="N2882" s="146">
        <f>IF(AND(AND(F2882="",G2882=""),B2882="",C2882="",D2882="",J2882="",K2882="",L2882=""),"",IF(AND(F2882="",G2882=""),"✗ 没填金额",IF(AND(N(F2882)&lt;&gt;0,N(G2882)&lt;&gt;0),"✗ 收入、支出只能填一边",IF(NOT(ISNUMBER(B2882)),"✗ 日期不是真日期（要像 2026/9/25 这样填）",IF(OR(B2882&lt;年初日,B2882&gt;年末日),"✗ 日期不在本会计年度",IF(C2882="","✗ 没选账户",IF(COUNTIF(基础资料!$W$5:$W$24,C2882)=0,"✗ 账户不在基础资料里",IF(O2882="","✗ 没选收支项目",IF(P2882="未知","✗ 收支项目不在基础资料里",IF(AND(P2882="应收",J2882=""),"✗ 这笔要选客户",IF(AND(P2882="应收",COUNTIF(总览汇总!$B$5:$B$304,J2882)=0),"✗ 客户不在总览汇总名单里",IF(AND(P2882="应付",K2882=""),"✗ 这笔要选供应商",IF(AND(P2882="应付",COUNTIF(基础资料!$Q$5:$Q$54,K2882)=0),"✗ 供应商不在基础资料里",IF(AND(P2882="费用",L2882=""),"✗ 费用支出要选费用项目",IF(AND(L2882&lt;&gt;"",COUNTIF(基础资料!$AI$5:$AI$54,L2882)=0),"✗ 费用项目不在基础资料里",IF(AND(IFERROR(INDEX(基础资料!$AD$5:$AD$34,MATCH(O2882,基础资料!$AC$5:$AC$34,0)),"")="收",N(G2882)&lt;&gt;0),"✗ 这类是收款，金额填到收入列",IF(AND(IFERROR(INDEX(基础资料!$AD$5:$AD$34,MATCH(O2882,基础资料!$AC$5:$AC$34,0)),"")="支",N(F2882)&lt;&gt;0),"✗ 这类是付款，金额填到支出列",IF(N(H2882)&lt;0,"⚠ 账户余额成负数了，核对一下","√"))))))))))))))))))</f>
      </c>
      <c r="O2882" s="78">
        <f>IF(D2882&lt;&gt;"",D2882,IF(AND(F2882="",G2882=""),"",IF(J2882&lt;&gt;"",IF(N(F2882)&gt;0,"客户回款","客户退款"),IF(K2882&lt;&gt;"",IF(N(G2882)&gt;0,"供应商付款","供应商退款"),IF(L2882&lt;&gt;"","费用支出","")))))</f>
      </c>
      <c r="P2882" s="78">
        <f>IF(O2882="","",IFERROR(INDEX(基础资料!$AE$5:$AE$34,MATCH(O2882,基础资料!$AC$5:$AC$34,0)),"未知"))</f>
      </c>
      <c r="Q2882" s="78">
        <f>IF(P2882="应收",COUNTIF(P$7:P2882,"应收"),"")</f>
      </c>
      <c r="R2882" s="78">
        <f>IF(P2882="应付",COUNTIF(P$7:P2882,"应付"),"")</f>
      </c>
      <c r="S2882" s="78">
        <f>N(F2882)-N(G2882)</f>
        <v>0</v>
      </c>
    </row>
    <row r="2883">
      <c r="A2883" s="109">
        <f>IF(AND(F2883="",G2883=""),"",ROW()-6)</f>
      </c>
      <c r="B2883" s="140" t="n"/>
      <c r="C2883" s="141" t="n"/>
      <c r="D2883" s="141" t="n"/>
      <c r="E2883" s="142" t="n"/>
      <c r="F2883" s="143" t="n"/>
      <c r="G2883" s="144" t="n"/>
      <c r="H2883" s="145">
        <f>IF(OR(C2883="",AND(F2883="",G2883="")),"",SUMIF(基础资料!$W$5:$W$24,C2883,基础资料!$X$5:$X$24)+SUMIF(C$7:C2883,C2883,F$7:F2883)-SUMIF(C$7:C2883,C2883,G$7:G2883))</f>
      </c>
      <c r="I2883" s="145">
        <f>IF(AND(F2883="",G2883=""),"",SUM(基础资料!$X$5:$X$24)+SUM(F$7:F2883)-SUM(G$7:G2883))</f>
      </c>
      <c r="J2883" s="141" t="n"/>
      <c r="K2883" s="141" t="n"/>
      <c r="L2883" s="141" t="n"/>
      <c r="M2883" s="142" t="n"/>
      <c r="N2883" s="146">
        <f>IF(AND(AND(F2883="",G2883=""),B2883="",C2883="",D2883="",J2883="",K2883="",L2883=""),"",IF(AND(F2883="",G2883=""),"✗ 没填金额",IF(AND(N(F2883)&lt;&gt;0,N(G2883)&lt;&gt;0),"✗ 收入、支出只能填一边",IF(NOT(ISNUMBER(B2883)),"✗ 日期不是真日期（要像 2026/9/25 这样填）",IF(OR(B2883&lt;年初日,B2883&gt;年末日),"✗ 日期不在本会计年度",IF(C2883="","✗ 没选账户",IF(COUNTIF(基础资料!$W$5:$W$24,C2883)=0,"✗ 账户不在基础资料里",IF(O2883="","✗ 没选收支项目",IF(P2883="未知","✗ 收支项目不在基础资料里",IF(AND(P2883="应收",J2883=""),"✗ 这笔要选客户",IF(AND(P2883="应收",COUNTIF(总览汇总!$B$5:$B$304,J2883)=0),"✗ 客户不在总览汇总名单里",IF(AND(P2883="应付",K2883=""),"✗ 这笔要选供应商",IF(AND(P2883="应付",COUNTIF(基础资料!$Q$5:$Q$54,K2883)=0),"✗ 供应商不在基础资料里",IF(AND(P2883="费用",L2883=""),"✗ 费用支出要选费用项目",IF(AND(L2883&lt;&gt;"",COUNTIF(基础资料!$AI$5:$AI$54,L2883)=0),"✗ 费用项目不在基础资料里",IF(AND(IFERROR(INDEX(基础资料!$AD$5:$AD$34,MATCH(O2883,基础资料!$AC$5:$AC$34,0)),"")="收",N(G2883)&lt;&gt;0),"✗ 这类是收款，金额填到收入列",IF(AND(IFERROR(INDEX(基础资料!$AD$5:$AD$34,MATCH(O2883,基础资料!$AC$5:$AC$34,0)),"")="支",N(F2883)&lt;&gt;0),"✗ 这类是付款，金额填到支出列",IF(N(H2883)&lt;0,"⚠ 账户余额成负数了，核对一下","√"))))))))))))))))))</f>
      </c>
      <c r="O2883" s="78">
        <f>IF(D2883&lt;&gt;"",D2883,IF(AND(F2883="",G2883=""),"",IF(J2883&lt;&gt;"",IF(N(F2883)&gt;0,"客户回款","客户退款"),IF(K2883&lt;&gt;"",IF(N(G2883)&gt;0,"供应商付款","供应商退款"),IF(L2883&lt;&gt;"","费用支出","")))))</f>
      </c>
      <c r="P2883" s="78">
        <f>IF(O2883="","",IFERROR(INDEX(基础资料!$AE$5:$AE$34,MATCH(O2883,基础资料!$AC$5:$AC$34,0)),"未知"))</f>
      </c>
      <c r="Q2883" s="78">
        <f>IF(P2883="应收",COUNTIF(P$7:P2883,"应收"),"")</f>
      </c>
      <c r="R2883" s="78">
        <f>IF(P2883="应付",COUNTIF(P$7:P2883,"应付"),"")</f>
      </c>
      <c r="S2883" s="78">
        <f>N(F2883)-N(G2883)</f>
        <v>0</v>
      </c>
    </row>
    <row r="2884">
      <c r="A2884" s="109">
        <f>IF(AND(F2884="",G2884=""),"",ROW()-6)</f>
      </c>
      <c r="B2884" s="140" t="n"/>
      <c r="C2884" s="141" t="n"/>
      <c r="D2884" s="141" t="n"/>
      <c r="E2884" s="142" t="n"/>
      <c r="F2884" s="143" t="n"/>
      <c r="G2884" s="144" t="n"/>
      <c r="H2884" s="145">
        <f>IF(OR(C2884="",AND(F2884="",G2884="")),"",SUMIF(基础资料!$W$5:$W$24,C2884,基础资料!$X$5:$X$24)+SUMIF(C$7:C2884,C2884,F$7:F2884)-SUMIF(C$7:C2884,C2884,G$7:G2884))</f>
      </c>
      <c r="I2884" s="145">
        <f>IF(AND(F2884="",G2884=""),"",SUM(基础资料!$X$5:$X$24)+SUM(F$7:F2884)-SUM(G$7:G2884))</f>
      </c>
      <c r="J2884" s="141" t="n"/>
      <c r="K2884" s="141" t="n"/>
      <c r="L2884" s="141" t="n"/>
      <c r="M2884" s="142" t="n"/>
      <c r="N2884" s="146">
        <f>IF(AND(AND(F2884="",G2884=""),B2884="",C2884="",D2884="",J2884="",K2884="",L2884=""),"",IF(AND(F2884="",G2884=""),"✗ 没填金额",IF(AND(N(F2884)&lt;&gt;0,N(G2884)&lt;&gt;0),"✗ 收入、支出只能填一边",IF(NOT(ISNUMBER(B2884)),"✗ 日期不是真日期（要像 2026/9/25 这样填）",IF(OR(B2884&lt;年初日,B2884&gt;年末日),"✗ 日期不在本会计年度",IF(C2884="","✗ 没选账户",IF(COUNTIF(基础资料!$W$5:$W$24,C2884)=0,"✗ 账户不在基础资料里",IF(O2884="","✗ 没选收支项目",IF(P2884="未知","✗ 收支项目不在基础资料里",IF(AND(P2884="应收",J2884=""),"✗ 这笔要选客户",IF(AND(P2884="应收",COUNTIF(总览汇总!$B$5:$B$304,J2884)=0),"✗ 客户不在总览汇总名单里",IF(AND(P2884="应付",K2884=""),"✗ 这笔要选供应商",IF(AND(P2884="应付",COUNTIF(基础资料!$Q$5:$Q$54,K2884)=0),"✗ 供应商不在基础资料里",IF(AND(P2884="费用",L2884=""),"✗ 费用支出要选费用项目",IF(AND(L2884&lt;&gt;"",COUNTIF(基础资料!$AI$5:$AI$54,L2884)=0),"✗ 费用项目不在基础资料里",IF(AND(IFERROR(INDEX(基础资料!$AD$5:$AD$34,MATCH(O2884,基础资料!$AC$5:$AC$34,0)),"")="收",N(G2884)&lt;&gt;0),"✗ 这类是收款，金额填到收入列",IF(AND(IFERROR(INDEX(基础资料!$AD$5:$AD$34,MATCH(O2884,基础资料!$AC$5:$AC$34,0)),"")="支",N(F2884)&lt;&gt;0),"✗ 这类是付款，金额填到支出列",IF(N(H2884)&lt;0,"⚠ 账户余额成负数了，核对一下","√"))))))))))))))))))</f>
      </c>
      <c r="O2884" s="78">
        <f>IF(D2884&lt;&gt;"",D2884,IF(AND(F2884="",G2884=""),"",IF(J2884&lt;&gt;"",IF(N(F2884)&gt;0,"客户回款","客户退款"),IF(K2884&lt;&gt;"",IF(N(G2884)&gt;0,"供应商付款","供应商退款"),IF(L2884&lt;&gt;"","费用支出","")))))</f>
      </c>
      <c r="P2884" s="78">
        <f>IF(O2884="","",IFERROR(INDEX(基础资料!$AE$5:$AE$34,MATCH(O2884,基础资料!$AC$5:$AC$34,0)),"未知"))</f>
      </c>
      <c r="Q2884" s="78">
        <f>IF(P2884="应收",COUNTIF(P$7:P2884,"应收"),"")</f>
      </c>
      <c r="R2884" s="78">
        <f>IF(P2884="应付",COUNTIF(P$7:P2884,"应付"),"")</f>
      </c>
      <c r="S2884" s="78">
        <f>N(F2884)-N(G2884)</f>
        <v>0</v>
      </c>
    </row>
    <row r="2885">
      <c r="A2885" s="109">
        <f>IF(AND(F2885="",G2885=""),"",ROW()-6)</f>
      </c>
      <c r="B2885" s="140" t="n"/>
      <c r="C2885" s="141" t="n"/>
      <c r="D2885" s="141" t="n"/>
      <c r="E2885" s="142" t="n"/>
      <c r="F2885" s="143" t="n"/>
      <c r="G2885" s="144" t="n"/>
      <c r="H2885" s="145">
        <f>IF(OR(C2885="",AND(F2885="",G2885="")),"",SUMIF(基础资料!$W$5:$W$24,C2885,基础资料!$X$5:$X$24)+SUMIF(C$7:C2885,C2885,F$7:F2885)-SUMIF(C$7:C2885,C2885,G$7:G2885))</f>
      </c>
      <c r="I2885" s="145">
        <f>IF(AND(F2885="",G2885=""),"",SUM(基础资料!$X$5:$X$24)+SUM(F$7:F2885)-SUM(G$7:G2885))</f>
      </c>
      <c r="J2885" s="141" t="n"/>
      <c r="K2885" s="141" t="n"/>
      <c r="L2885" s="141" t="n"/>
      <c r="M2885" s="142" t="n"/>
      <c r="N2885" s="146">
        <f>IF(AND(AND(F2885="",G2885=""),B2885="",C2885="",D2885="",J2885="",K2885="",L2885=""),"",IF(AND(F2885="",G2885=""),"✗ 没填金额",IF(AND(N(F2885)&lt;&gt;0,N(G2885)&lt;&gt;0),"✗ 收入、支出只能填一边",IF(NOT(ISNUMBER(B2885)),"✗ 日期不是真日期（要像 2026/9/25 这样填）",IF(OR(B2885&lt;年初日,B2885&gt;年末日),"✗ 日期不在本会计年度",IF(C2885="","✗ 没选账户",IF(COUNTIF(基础资料!$W$5:$W$24,C2885)=0,"✗ 账户不在基础资料里",IF(O2885="","✗ 没选收支项目",IF(P2885="未知","✗ 收支项目不在基础资料里",IF(AND(P2885="应收",J2885=""),"✗ 这笔要选客户",IF(AND(P2885="应收",COUNTIF(总览汇总!$B$5:$B$304,J2885)=0),"✗ 客户不在总览汇总名单里",IF(AND(P2885="应付",K2885=""),"✗ 这笔要选供应商",IF(AND(P2885="应付",COUNTIF(基础资料!$Q$5:$Q$54,K2885)=0),"✗ 供应商不在基础资料里",IF(AND(P2885="费用",L2885=""),"✗ 费用支出要选费用项目",IF(AND(L2885&lt;&gt;"",COUNTIF(基础资料!$AI$5:$AI$54,L2885)=0),"✗ 费用项目不在基础资料里",IF(AND(IFERROR(INDEX(基础资料!$AD$5:$AD$34,MATCH(O2885,基础资料!$AC$5:$AC$34,0)),"")="收",N(G2885)&lt;&gt;0),"✗ 这类是收款，金额填到收入列",IF(AND(IFERROR(INDEX(基础资料!$AD$5:$AD$34,MATCH(O2885,基础资料!$AC$5:$AC$34,0)),"")="支",N(F2885)&lt;&gt;0),"✗ 这类是付款，金额填到支出列",IF(N(H2885)&lt;0,"⚠ 账户余额成负数了，核对一下","√"))))))))))))))))))</f>
      </c>
      <c r="O2885" s="78">
        <f>IF(D2885&lt;&gt;"",D2885,IF(AND(F2885="",G2885=""),"",IF(J2885&lt;&gt;"",IF(N(F2885)&gt;0,"客户回款","客户退款"),IF(K2885&lt;&gt;"",IF(N(G2885)&gt;0,"供应商付款","供应商退款"),IF(L2885&lt;&gt;"","费用支出","")))))</f>
      </c>
      <c r="P2885" s="78">
        <f>IF(O2885="","",IFERROR(INDEX(基础资料!$AE$5:$AE$34,MATCH(O2885,基础资料!$AC$5:$AC$34,0)),"未知"))</f>
      </c>
      <c r="Q2885" s="78">
        <f>IF(P2885="应收",COUNTIF(P$7:P2885,"应收"),"")</f>
      </c>
      <c r="R2885" s="78">
        <f>IF(P2885="应付",COUNTIF(P$7:P2885,"应付"),"")</f>
      </c>
      <c r="S2885" s="78">
        <f>N(F2885)-N(G2885)</f>
        <v>0</v>
      </c>
    </row>
    <row r="2886">
      <c r="A2886" s="109">
        <f>IF(AND(F2886="",G2886=""),"",ROW()-6)</f>
      </c>
      <c r="B2886" s="140" t="n"/>
      <c r="C2886" s="141" t="n"/>
      <c r="D2886" s="141" t="n"/>
      <c r="E2886" s="142" t="n"/>
      <c r="F2886" s="143" t="n"/>
      <c r="G2886" s="144" t="n"/>
      <c r="H2886" s="145">
        <f>IF(OR(C2886="",AND(F2886="",G2886="")),"",SUMIF(基础资料!$W$5:$W$24,C2886,基础资料!$X$5:$X$24)+SUMIF(C$7:C2886,C2886,F$7:F2886)-SUMIF(C$7:C2886,C2886,G$7:G2886))</f>
      </c>
      <c r="I2886" s="145">
        <f>IF(AND(F2886="",G2886=""),"",SUM(基础资料!$X$5:$X$24)+SUM(F$7:F2886)-SUM(G$7:G2886))</f>
      </c>
      <c r="J2886" s="141" t="n"/>
      <c r="K2886" s="141" t="n"/>
      <c r="L2886" s="141" t="n"/>
      <c r="M2886" s="142" t="n"/>
      <c r="N2886" s="146">
        <f>IF(AND(AND(F2886="",G2886=""),B2886="",C2886="",D2886="",J2886="",K2886="",L2886=""),"",IF(AND(F2886="",G2886=""),"✗ 没填金额",IF(AND(N(F2886)&lt;&gt;0,N(G2886)&lt;&gt;0),"✗ 收入、支出只能填一边",IF(NOT(ISNUMBER(B2886)),"✗ 日期不是真日期（要像 2026/9/25 这样填）",IF(OR(B2886&lt;年初日,B2886&gt;年末日),"✗ 日期不在本会计年度",IF(C2886="","✗ 没选账户",IF(COUNTIF(基础资料!$W$5:$W$24,C2886)=0,"✗ 账户不在基础资料里",IF(O2886="","✗ 没选收支项目",IF(P2886="未知","✗ 收支项目不在基础资料里",IF(AND(P2886="应收",J2886=""),"✗ 这笔要选客户",IF(AND(P2886="应收",COUNTIF(总览汇总!$B$5:$B$304,J2886)=0),"✗ 客户不在总览汇总名单里",IF(AND(P2886="应付",K2886=""),"✗ 这笔要选供应商",IF(AND(P2886="应付",COUNTIF(基础资料!$Q$5:$Q$54,K2886)=0),"✗ 供应商不在基础资料里",IF(AND(P2886="费用",L2886=""),"✗ 费用支出要选费用项目",IF(AND(L2886&lt;&gt;"",COUNTIF(基础资料!$AI$5:$AI$54,L2886)=0),"✗ 费用项目不在基础资料里",IF(AND(IFERROR(INDEX(基础资料!$AD$5:$AD$34,MATCH(O2886,基础资料!$AC$5:$AC$34,0)),"")="收",N(G2886)&lt;&gt;0),"✗ 这类是收款，金额填到收入列",IF(AND(IFERROR(INDEX(基础资料!$AD$5:$AD$34,MATCH(O2886,基础资料!$AC$5:$AC$34,0)),"")="支",N(F2886)&lt;&gt;0),"✗ 这类是付款，金额填到支出列",IF(N(H2886)&lt;0,"⚠ 账户余额成负数了，核对一下","√"))))))))))))))))))</f>
      </c>
      <c r="O2886" s="78">
        <f>IF(D2886&lt;&gt;"",D2886,IF(AND(F2886="",G2886=""),"",IF(J2886&lt;&gt;"",IF(N(F2886)&gt;0,"客户回款","客户退款"),IF(K2886&lt;&gt;"",IF(N(G2886)&gt;0,"供应商付款","供应商退款"),IF(L2886&lt;&gt;"","费用支出","")))))</f>
      </c>
      <c r="P2886" s="78">
        <f>IF(O2886="","",IFERROR(INDEX(基础资料!$AE$5:$AE$34,MATCH(O2886,基础资料!$AC$5:$AC$34,0)),"未知"))</f>
      </c>
      <c r="Q2886" s="78">
        <f>IF(P2886="应收",COUNTIF(P$7:P2886,"应收"),"")</f>
      </c>
      <c r="R2886" s="78">
        <f>IF(P2886="应付",COUNTIF(P$7:P2886,"应付"),"")</f>
      </c>
      <c r="S2886" s="78">
        <f>N(F2886)-N(G2886)</f>
        <v>0</v>
      </c>
    </row>
    <row r="2887">
      <c r="A2887" s="109">
        <f>IF(AND(F2887="",G2887=""),"",ROW()-6)</f>
      </c>
      <c r="B2887" s="140" t="n"/>
      <c r="C2887" s="141" t="n"/>
      <c r="D2887" s="141" t="n"/>
      <c r="E2887" s="142" t="n"/>
      <c r="F2887" s="143" t="n"/>
      <c r="G2887" s="144" t="n"/>
      <c r="H2887" s="145">
        <f>IF(OR(C2887="",AND(F2887="",G2887="")),"",SUMIF(基础资料!$W$5:$W$24,C2887,基础资料!$X$5:$X$24)+SUMIF(C$7:C2887,C2887,F$7:F2887)-SUMIF(C$7:C2887,C2887,G$7:G2887))</f>
      </c>
      <c r="I2887" s="145">
        <f>IF(AND(F2887="",G2887=""),"",SUM(基础资料!$X$5:$X$24)+SUM(F$7:F2887)-SUM(G$7:G2887))</f>
      </c>
      <c r="J2887" s="141" t="n"/>
      <c r="K2887" s="141" t="n"/>
      <c r="L2887" s="141" t="n"/>
      <c r="M2887" s="142" t="n"/>
      <c r="N2887" s="146">
        <f>IF(AND(AND(F2887="",G2887=""),B2887="",C2887="",D2887="",J2887="",K2887="",L2887=""),"",IF(AND(F2887="",G2887=""),"✗ 没填金额",IF(AND(N(F2887)&lt;&gt;0,N(G2887)&lt;&gt;0),"✗ 收入、支出只能填一边",IF(NOT(ISNUMBER(B2887)),"✗ 日期不是真日期（要像 2026/9/25 这样填）",IF(OR(B2887&lt;年初日,B2887&gt;年末日),"✗ 日期不在本会计年度",IF(C2887="","✗ 没选账户",IF(COUNTIF(基础资料!$W$5:$W$24,C2887)=0,"✗ 账户不在基础资料里",IF(O2887="","✗ 没选收支项目",IF(P2887="未知","✗ 收支项目不在基础资料里",IF(AND(P2887="应收",J2887=""),"✗ 这笔要选客户",IF(AND(P2887="应收",COUNTIF(总览汇总!$B$5:$B$304,J2887)=0),"✗ 客户不在总览汇总名单里",IF(AND(P2887="应付",K2887=""),"✗ 这笔要选供应商",IF(AND(P2887="应付",COUNTIF(基础资料!$Q$5:$Q$54,K2887)=0),"✗ 供应商不在基础资料里",IF(AND(P2887="费用",L2887=""),"✗ 费用支出要选费用项目",IF(AND(L2887&lt;&gt;"",COUNTIF(基础资料!$AI$5:$AI$54,L2887)=0),"✗ 费用项目不在基础资料里",IF(AND(IFERROR(INDEX(基础资料!$AD$5:$AD$34,MATCH(O2887,基础资料!$AC$5:$AC$34,0)),"")="收",N(G2887)&lt;&gt;0),"✗ 这类是收款，金额填到收入列",IF(AND(IFERROR(INDEX(基础资料!$AD$5:$AD$34,MATCH(O2887,基础资料!$AC$5:$AC$34,0)),"")="支",N(F2887)&lt;&gt;0),"✗ 这类是付款，金额填到支出列",IF(N(H2887)&lt;0,"⚠ 账户余额成负数了，核对一下","√"))))))))))))))))))</f>
      </c>
      <c r="O2887" s="78">
        <f>IF(D2887&lt;&gt;"",D2887,IF(AND(F2887="",G2887=""),"",IF(J2887&lt;&gt;"",IF(N(F2887)&gt;0,"客户回款","客户退款"),IF(K2887&lt;&gt;"",IF(N(G2887)&gt;0,"供应商付款","供应商退款"),IF(L2887&lt;&gt;"","费用支出","")))))</f>
      </c>
      <c r="P2887" s="78">
        <f>IF(O2887="","",IFERROR(INDEX(基础资料!$AE$5:$AE$34,MATCH(O2887,基础资料!$AC$5:$AC$34,0)),"未知"))</f>
      </c>
      <c r="Q2887" s="78">
        <f>IF(P2887="应收",COUNTIF(P$7:P2887,"应收"),"")</f>
      </c>
      <c r="R2887" s="78">
        <f>IF(P2887="应付",COUNTIF(P$7:P2887,"应付"),"")</f>
      </c>
      <c r="S2887" s="78">
        <f>N(F2887)-N(G2887)</f>
        <v>0</v>
      </c>
    </row>
    <row r="2888">
      <c r="A2888" s="109">
        <f>IF(AND(F2888="",G2888=""),"",ROW()-6)</f>
      </c>
      <c r="B2888" s="140" t="n"/>
      <c r="C2888" s="141" t="n"/>
      <c r="D2888" s="141" t="n"/>
      <c r="E2888" s="142" t="n"/>
      <c r="F2888" s="143" t="n"/>
      <c r="G2888" s="144" t="n"/>
      <c r="H2888" s="145">
        <f>IF(OR(C2888="",AND(F2888="",G2888="")),"",SUMIF(基础资料!$W$5:$W$24,C2888,基础资料!$X$5:$X$24)+SUMIF(C$7:C2888,C2888,F$7:F2888)-SUMIF(C$7:C2888,C2888,G$7:G2888))</f>
      </c>
      <c r="I2888" s="145">
        <f>IF(AND(F2888="",G2888=""),"",SUM(基础资料!$X$5:$X$24)+SUM(F$7:F2888)-SUM(G$7:G2888))</f>
      </c>
      <c r="J2888" s="141" t="n"/>
      <c r="K2888" s="141" t="n"/>
      <c r="L2888" s="141" t="n"/>
      <c r="M2888" s="142" t="n"/>
      <c r="N2888" s="146">
        <f>IF(AND(AND(F2888="",G2888=""),B2888="",C2888="",D2888="",J2888="",K2888="",L2888=""),"",IF(AND(F2888="",G2888=""),"✗ 没填金额",IF(AND(N(F2888)&lt;&gt;0,N(G2888)&lt;&gt;0),"✗ 收入、支出只能填一边",IF(NOT(ISNUMBER(B2888)),"✗ 日期不是真日期（要像 2026/9/25 这样填）",IF(OR(B2888&lt;年初日,B2888&gt;年末日),"✗ 日期不在本会计年度",IF(C2888="","✗ 没选账户",IF(COUNTIF(基础资料!$W$5:$W$24,C2888)=0,"✗ 账户不在基础资料里",IF(O2888="","✗ 没选收支项目",IF(P2888="未知","✗ 收支项目不在基础资料里",IF(AND(P2888="应收",J2888=""),"✗ 这笔要选客户",IF(AND(P2888="应收",COUNTIF(总览汇总!$B$5:$B$304,J2888)=0),"✗ 客户不在总览汇总名单里",IF(AND(P2888="应付",K2888=""),"✗ 这笔要选供应商",IF(AND(P2888="应付",COUNTIF(基础资料!$Q$5:$Q$54,K2888)=0),"✗ 供应商不在基础资料里",IF(AND(P2888="费用",L2888=""),"✗ 费用支出要选费用项目",IF(AND(L2888&lt;&gt;"",COUNTIF(基础资料!$AI$5:$AI$54,L2888)=0),"✗ 费用项目不在基础资料里",IF(AND(IFERROR(INDEX(基础资料!$AD$5:$AD$34,MATCH(O2888,基础资料!$AC$5:$AC$34,0)),"")="收",N(G2888)&lt;&gt;0),"✗ 这类是收款，金额填到收入列",IF(AND(IFERROR(INDEX(基础资料!$AD$5:$AD$34,MATCH(O2888,基础资料!$AC$5:$AC$34,0)),"")="支",N(F2888)&lt;&gt;0),"✗ 这类是付款，金额填到支出列",IF(N(H2888)&lt;0,"⚠ 账户余额成负数了，核对一下","√"))))))))))))))))))</f>
      </c>
      <c r="O2888" s="78">
        <f>IF(D2888&lt;&gt;"",D2888,IF(AND(F2888="",G2888=""),"",IF(J2888&lt;&gt;"",IF(N(F2888)&gt;0,"客户回款","客户退款"),IF(K2888&lt;&gt;"",IF(N(G2888)&gt;0,"供应商付款","供应商退款"),IF(L2888&lt;&gt;"","费用支出","")))))</f>
      </c>
      <c r="P2888" s="78">
        <f>IF(O2888="","",IFERROR(INDEX(基础资料!$AE$5:$AE$34,MATCH(O2888,基础资料!$AC$5:$AC$34,0)),"未知"))</f>
      </c>
      <c r="Q2888" s="78">
        <f>IF(P2888="应收",COUNTIF(P$7:P2888,"应收"),"")</f>
      </c>
      <c r="R2888" s="78">
        <f>IF(P2888="应付",COUNTIF(P$7:P2888,"应付"),"")</f>
      </c>
      <c r="S2888" s="78">
        <f>N(F2888)-N(G2888)</f>
        <v>0</v>
      </c>
    </row>
    <row r="2889">
      <c r="A2889" s="109">
        <f>IF(AND(F2889="",G2889=""),"",ROW()-6)</f>
      </c>
      <c r="B2889" s="140" t="n"/>
      <c r="C2889" s="141" t="n"/>
      <c r="D2889" s="141" t="n"/>
      <c r="E2889" s="142" t="n"/>
      <c r="F2889" s="143" t="n"/>
      <c r="G2889" s="144" t="n"/>
      <c r="H2889" s="145">
        <f>IF(OR(C2889="",AND(F2889="",G2889="")),"",SUMIF(基础资料!$W$5:$W$24,C2889,基础资料!$X$5:$X$24)+SUMIF(C$7:C2889,C2889,F$7:F2889)-SUMIF(C$7:C2889,C2889,G$7:G2889))</f>
      </c>
      <c r="I2889" s="145">
        <f>IF(AND(F2889="",G2889=""),"",SUM(基础资料!$X$5:$X$24)+SUM(F$7:F2889)-SUM(G$7:G2889))</f>
      </c>
      <c r="J2889" s="141" t="n"/>
      <c r="K2889" s="141" t="n"/>
      <c r="L2889" s="141" t="n"/>
      <c r="M2889" s="142" t="n"/>
      <c r="N2889" s="146">
        <f>IF(AND(AND(F2889="",G2889=""),B2889="",C2889="",D2889="",J2889="",K2889="",L2889=""),"",IF(AND(F2889="",G2889=""),"✗ 没填金额",IF(AND(N(F2889)&lt;&gt;0,N(G2889)&lt;&gt;0),"✗ 收入、支出只能填一边",IF(NOT(ISNUMBER(B2889)),"✗ 日期不是真日期（要像 2026/9/25 这样填）",IF(OR(B2889&lt;年初日,B2889&gt;年末日),"✗ 日期不在本会计年度",IF(C2889="","✗ 没选账户",IF(COUNTIF(基础资料!$W$5:$W$24,C2889)=0,"✗ 账户不在基础资料里",IF(O2889="","✗ 没选收支项目",IF(P2889="未知","✗ 收支项目不在基础资料里",IF(AND(P2889="应收",J2889=""),"✗ 这笔要选客户",IF(AND(P2889="应收",COUNTIF(总览汇总!$B$5:$B$304,J2889)=0),"✗ 客户不在总览汇总名单里",IF(AND(P2889="应付",K2889=""),"✗ 这笔要选供应商",IF(AND(P2889="应付",COUNTIF(基础资料!$Q$5:$Q$54,K2889)=0),"✗ 供应商不在基础资料里",IF(AND(P2889="费用",L2889=""),"✗ 费用支出要选费用项目",IF(AND(L2889&lt;&gt;"",COUNTIF(基础资料!$AI$5:$AI$54,L2889)=0),"✗ 费用项目不在基础资料里",IF(AND(IFERROR(INDEX(基础资料!$AD$5:$AD$34,MATCH(O2889,基础资料!$AC$5:$AC$34,0)),"")="收",N(G2889)&lt;&gt;0),"✗ 这类是收款，金额填到收入列",IF(AND(IFERROR(INDEX(基础资料!$AD$5:$AD$34,MATCH(O2889,基础资料!$AC$5:$AC$34,0)),"")="支",N(F2889)&lt;&gt;0),"✗ 这类是付款，金额填到支出列",IF(N(H2889)&lt;0,"⚠ 账户余额成负数了，核对一下","√"))))))))))))))))))</f>
      </c>
      <c r="O2889" s="78">
        <f>IF(D2889&lt;&gt;"",D2889,IF(AND(F2889="",G2889=""),"",IF(J2889&lt;&gt;"",IF(N(F2889)&gt;0,"客户回款","客户退款"),IF(K2889&lt;&gt;"",IF(N(G2889)&gt;0,"供应商付款","供应商退款"),IF(L2889&lt;&gt;"","费用支出","")))))</f>
      </c>
      <c r="P2889" s="78">
        <f>IF(O2889="","",IFERROR(INDEX(基础资料!$AE$5:$AE$34,MATCH(O2889,基础资料!$AC$5:$AC$34,0)),"未知"))</f>
      </c>
      <c r="Q2889" s="78">
        <f>IF(P2889="应收",COUNTIF(P$7:P2889,"应收"),"")</f>
      </c>
      <c r="R2889" s="78">
        <f>IF(P2889="应付",COUNTIF(P$7:P2889,"应付"),"")</f>
      </c>
      <c r="S2889" s="78">
        <f>N(F2889)-N(G2889)</f>
        <v>0</v>
      </c>
    </row>
    <row r="2890">
      <c r="A2890" s="109">
        <f>IF(AND(F2890="",G2890=""),"",ROW()-6)</f>
      </c>
      <c r="B2890" s="140" t="n"/>
      <c r="C2890" s="141" t="n"/>
      <c r="D2890" s="141" t="n"/>
      <c r="E2890" s="142" t="n"/>
      <c r="F2890" s="143" t="n"/>
      <c r="G2890" s="144" t="n"/>
      <c r="H2890" s="145">
        <f>IF(OR(C2890="",AND(F2890="",G2890="")),"",SUMIF(基础资料!$W$5:$W$24,C2890,基础资料!$X$5:$X$24)+SUMIF(C$7:C2890,C2890,F$7:F2890)-SUMIF(C$7:C2890,C2890,G$7:G2890))</f>
      </c>
      <c r="I2890" s="145">
        <f>IF(AND(F2890="",G2890=""),"",SUM(基础资料!$X$5:$X$24)+SUM(F$7:F2890)-SUM(G$7:G2890))</f>
      </c>
      <c r="J2890" s="141" t="n"/>
      <c r="K2890" s="141" t="n"/>
      <c r="L2890" s="141" t="n"/>
      <c r="M2890" s="142" t="n"/>
      <c r="N2890" s="146">
        <f>IF(AND(AND(F2890="",G2890=""),B2890="",C2890="",D2890="",J2890="",K2890="",L2890=""),"",IF(AND(F2890="",G2890=""),"✗ 没填金额",IF(AND(N(F2890)&lt;&gt;0,N(G2890)&lt;&gt;0),"✗ 收入、支出只能填一边",IF(NOT(ISNUMBER(B2890)),"✗ 日期不是真日期（要像 2026/9/25 这样填）",IF(OR(B2890&lt;年初日,B2890&gt;年末日),"✗ 日期不在本会计年度",IF(C2890="","✗ 没选账户",IF(COUNTIF(基础资料!$W$5:$W$24,C2890)=0,"✗ 账户不在基础资料里",IF(O2890="","✗ 没选收支项目",IF(P2890="未知","✗ 收支项目不在基础资料里",IF(AND(P2890="应收",J2890=""),"✗ 这笔要选客户",IF(AND(P2890="应收",COUNTIF(总览汇总!$B$5:$B$304,J2890)=0),"✗ 客户不在总览汇总名单里",IF(AND(P2890="应付",K2890=""),"✗ 这笔要选供应商",IF(AND(P2890="应付",COUNTIF(基础资料!$Q$5:$Q$54,K2890)=0),"✗ 供应商不在基础资料里",IF(AND(P2890="费用",L2890=""),"✗ 费用支出要选费用项目",IF(AND(L2890&lt;&gt;"",COUNTIF(基础资料!$AI$5:$AI$54,L2890)=0),"✗ 费用项目不在基础资料里",IF(AND(IFERROR(INDEX(基础资料!$AD$5:$AD$34,MATCH(O2890,基础资料!$AC$5:$AC$34,0)),"")="收",N(G2890)&lt;&gt;0),"✗ 这类是收款，金额填到收入列",IF(AND(IFERROR(INDEX(基础资料!$AD$5:$AD$34,MATCH(O2890,基础资料!$AC$5:$AC$34,0)),"")="支",N(F2890)&lt;&gt;0),"✗ 这类是付款，金额填到支出列",IF(N(H2890)&lt;0,"⚠ 账户余额成负数了，核对一下","√"))))))))))))))))))</f>
      </c>
      <c r="O2890" s="78">
        <f>IF(D2890&lt;&gt;"",D2890,IF(AND(F2890="",G2890=""),"",IF(J2890&lt;&gt;"",IF(N(F2890)&gt;0,"客户回款","客户退款"),IF(K2890&lt;&gt;"",IF(N(G2890)&gt;0,"供应商付款","供应商退款"),IF(L2890&lt;&gt;"","费用支出","")))))</f>
      </c>
      <c r="P2890" s="78">
        <f>IF(O2890="","",IFERROR(INDEX(基础资料!$AE$5:$AE$34,MATCH(O2890,基础资料!$AC$5:$AC$34,0)),"未知"))</f>
      </c>
      <c r="Q2890" s="78">
        <f>IF(P2890="应收",COUNTIF(P$7:P2890,"应收"),"")</f>
      </c>
      <c r="R2890" s="78">
        <f>IF(P2890="应付",COUNTIF(P$7:P2890,"应付"),"")</f>
      </c>
      <c r="S2890" s="78">
        <f>N(F2890)-N(G2890)</f>
        <v>0</v>
      </c>
    </row>
    <row r="2891">
      <c r="A2891" s="109">
        <f>IF(AND(F2891="",G2891=""),"",ROW()-6)</f>
      </c>
      <c r="B2891" s="140" t="n"/>
      <c r="C2891" s="141" t="n"/>
      <c r="D2891" s="141" t="n"/>
      <c r="E2891" s="142" t="n"/>
      <c r="F2891" s="143" t="n"/>
      <c r="G2891" s="144" t="n"/>
      <c r="H2891" s="145">
        <f>IF(OR(C2891="",AND(F2891="",G2891="")),"",SUMIF(基础资料!$W$5:$W$24,C2891,基础资料!$X$5:$X$24)+SUMIF(C$7:C2891,C2891,F$7:F2891)-SUMIF(C$7:C2891,C2891,G$7:G2891))</f>
      </c>
      <c r="I2891" s="145">
        <f>IF(AND(F2891="",G2891=""),"",SUM(基础资料!$X$5:$X$24)+SUM(F$7:F2891)-SUM(G$7:G2891))</f>
      </c>
      <c r="J2891" s="141" t="n"/>
      <c r="K2891" s="141" t="n"/>
      <c r="L2891" s="141" t="n"/>
      <c r="M2891" s="142" t="n"/>
      <c r="N2891" s="146">
        <f>IF(AND(AND(F2891="",G2891=""),B2891="",C2891="",D2891="",J2891="",K2891="",L2891=""),"",IF(AND(F2891="",G2891=""),"✗ 没填金额",IF(AND(N(F2891)&lt;&gt;0,N(G2891)&lt;&gt;0),"✗ 收入、支出只能填一边",IF(NOT(ISNUMBER(B2891)),"✗ 日期不是真日期（要像 2026/9/25 这样填）",IF(OR(B2891&lt;年初日,B2891&gt;年末日),"✗ 日期不在本会计年度",IF(C2891="","✗ 没选账户",IF(COUNTIF(基础资料!$W$5:$W$24,C2891)=0,"✗ 账户不在基础资料里",IF(O2891="","✗ 没选收支项目",IF(P2891="未知","✗ 收支项目不在基础资料里",IF(AND(P2891="应收",J2891=""),"✗ 这笔要选客户",IF(AND(P2891="应收",COUNTIF(总览汇总!$B$5:$B$304,J2891)=0),"✗ 客户不在总览汇总名单里",IF(AND(P2891="应付",K2891=""),"✗ 这笔要选供应商",IF(AND(P2891="应付",COUNTIF(基础资料!$Q$5:$Q$54,K2891)=0),"✗ 供应商不在基础资料里",IF(AND(P2891="费用",L2891=""),"✗ 费用支出要选费用项目",IF(AND(L2891&lt;&gt;"",COUNTIF(基础资料!$AI$5:$AI$54,L2891)=0),"✗ 费用项目不在基础资料里",IF(AND(IFERROR(INDEX(基础资料!$AD$5:$AD$34,MATCH(O2891,基础资料!$AC$5:$AC$34,0)),"")="收",N(G2891)&lt;&gt;0),"✗ 这类是收款，金额填到收入列",IF(AND(IFERROR(INDEX(基础资料!$AD$5:$AD$34,MATCH(O2891,基础资料!$AC$5:$AC$34,0)),"")="支",N(F2891)&lt;&gt;0),"✗ 这类是付款，金额填到支出列",IF(N(H2891)&lt;0,"⚠ 账户余额成负数了，核对一下","√"))))))))))))))))))</f>
      </c>
      <c r="O2891" s="78">
        <f>IF(D2891&lt;&gt;"",D2891,IF(AND(F2891="",G2891=""),"",IF(J2891&lt;&gt;"",IF(N(F2891)&gt;0,"客户回款","客户退款"),IF(K2891&lt;&gt;"",IF(N(G2891)&gt;0,"供应商付款","供应商退款"),IF(L2891&lt;&gt;"","费用支出","")))))</f>
      </c>
      <c r="P2891" s="78">
        <f>IF(O2891="","",IFERROR(INDEX(基础资料!$AE$5:$AE$34,MATCH(O2891,基础资料!$AC$5:$AC$34,0)),"未知"))</f>
      </c>
      <c r="Q2891" s="78">
        <f>IF(P2891="应收",COUNTIF(P$7:P2891,"应收"),"")</f>
      </c>
      <c r="R2891" s="78">
        <f>IF(P2891="应付",COUNTIF(P$7:P2891,"应付"),"")</f>
      </c>
      <c r="S2891" s="78">
        <f>N(F2891)-N(G2891)</f>
        <v>0</v>
      </c>
    </row>
    <row r="2892">
      <c r="A2892" s="109">
        <f>IF(AND(F2892="",G2892=""),"",ROW()-6)</f>
      </c>
      <c r="B2892" s="140" t="n"/>
      <c r="C2892" s="141" t="n"/>
      <c r="D2892" s="141" t="n"/>
      <c r="E2892" s="142" t="n"/>
      <c r="F2892" s="143" t="n"/>
      <c r="G2892" s="144" t="n"/>
      <c r="H2892" s="145">
        <f>IF(OR(C2892="",AND(F2892="",G2892="")),"",SUMIF(基础资料!$W$5:$W$24,C2892,基础资料!$X$5:$X$24)+SUMIF(C$7:C2892,C2892,F$7:F2892)-SUMIF(C$7:C2892,C2892,G$7:G2892))</f>
      </c>
      <c r="I2892" s="145">
        <f>IF(AND(F2892="",G2892=""),"",SUM(基础资料!$X$5:$X$24)+SUM(F$7:F2892)-SUM(G$7:G2892))</f>
      </c>
      <c r="J2892" s="141" t="n"/>
      <c r="K2892" s="141" t="n"/>
      <c r="L2892" s="141" t="n"/>
      <c r="M2892" s="142" t="n"/>
      <c r="N2892" s="146">
        <f>IF(AND(AND(F2892="",G2892=""),B2892="",C2892="",D2892="",J2892="",K2892="",L2892=""),"",IF(AND(F2892="",G2892=""),"✗ 没填金额",IF(AND(N(F2892)&lt;&gt;0,N(G2892)&lt;&gt;0),"✗ 收入、支出只能填一边",IF(NOT(ISNUMBER(B2892)),"✗ 日期不是真日期（要像 2026/9/25 这样填）",IF(OR(B2892&lt;年初日,B2892&gt;年末日),"✗ 日期不在本会计年度",IF(C2892="","✗ 没选账户",IF(COUNTIF(基础资料!$W$5:$W$24,C2892)=0,"✗ 账户不在基础资料里",IF(O2892="","✗ 没选收支项目",IF(P2892="未知","✗ 收支项目不在基础资料里",IF(AND(P2892="应收",J2892=""),"✗ 这笔要选客户",IF(AND(P2892="应收",COUNTIF(总览汇总!$B$5:$B$304,J2892)=0),"✗ 客户不在总览汇总名单里",IF(AND(P2892="应付",K2892=""),"✗ 这笔要选供应商",IF(AND(P2892="应付",COUNTIF(基础资料!$Q$5:$Q$54,K2892)=0),"✗ 供应商不在基础资料里",IF(AND(P2892="费用",L2892=""),"✗ 费用支出要选费用项目",IF(AND(L2892&lt;&gt;"",COUNTIF(基础资料!$AI$5:$AI$54,L2892)=0),"✗ 费用项目不在基础资料里",IF(AND(IFERROR(INDEX(基础资料!$AD$5:$AD$34,MATCH(O2892,基础资料!$AC$5:$AC$34,0)),"")="收",N(G2892)&lt;&gt;0),"✗ 这类是收款，金额填到收入列",IF(AND(IFERROR(INDEX(基础资料!$AD$5:$AD$34,MATCH(O2892,基础资料!$AC$5:$AC$34,0)),"")="支",N(F2892)&lt;&gt;0),"✗ 这类是付款，金额填到支出列",IF(N(H2892)&lt;0,"⚠ 账户余额成负数了，核对一下","√"))))))))))))))))))</f>
      </c>
      <c r="O2892" s="78">
        <f>IF(D2892&lt;&gt;"",D2892,IF(AND(F2892="",G2892=""),"",IF(J2892&lt;&gt;"",IF(N(F2892)&gt;0,"客户回款","客户退款"),IF(K2892&lt;&gt;"",IF(N(G2892)&gt;0,"供应商付款","供应商退款"),IF(L2892&lt;&gt;"","费用支出","")))))</f>
      </c>
      <c r="P2892" s="78">
        <f>IF(O2892="","",IFERROR(INDEX(基础资料!$AE$5:$AE$34,MATCH(O2892,基础资料!$AC$5:$AC$34,0)),"未知"))</f>
      </c>
      <c r="Q2892" s="78">
        <f>IF(P2892="应收",COUNTIF(P$7:P2892,"应收"),"")</f>
      </c>
      <c r="R2892" s="78">
        <f>IF(P2892="应付",COUNTIF(P$7:P2892,"应付"),"")</f>
      </c>
      <c r="S2892" s="78">
        <f>N(F2892)-N(G2892)</f>
        <v>0</v>
      </c>
    </row>
    <row r="2893">
      <c r="A2893" s="109">
        <f>IF(AND(F2893="",G2893=""),"",ROW()-6)</f>
      </c>
      <c r="B2893" s="140" t="n"/>
      <c r="C2893" s="141" t="n"/>
      <c r="D2893" s="141" t="n"/>
      <c r="E2893" s="142" t="n"/>
      <c r="F2893" s="143" t="n"/>
      <c r="G2893" s="144" t="n"/>
      <c r="H2893" s="145">
        <f>IF(OR(C2893="",AND(F2893="",G2893="")),"",SUMIF(基础资料!$W$5:$W$24,C2893,基础资料!$X$5:$X$24)+SUMIF(C$7:C2893,C2893,F$7:F2893)-SUMIF(C$7:C2893,C2893,G$7:G2893))</f>
      </c>
      <c r="I2893" s="145">
        <f>IF(AND(F2893="",G2893=""),"",SUM(基础资料!$X$5:$X$24)+SUM(F$7:F2893)-SUM(G$7:G2893))</f>
      </c>
      <c r="J2893" s="141" t="n"/>
      <c r="K2893" s="141" t="n"/>
      <c r="L2893" s="141" t="n"/>
      <c r="M2893" s="142" t="n"/>
      <c r="N2893" s="146">
        <f>IF(AND(AND(F2893="",G2893=""),B2893="",C2893="",D2893="",J2893="",K2893="",L2893=""),"",IF(AND(F2893="",G2893=""),"✗ 没填金额",IF(AND(N(F2893)&lt;&gt;0,N(G2893)&lt;&gt;0),"✗ 收入、支出只能填一边",IF(NOT(ISNUMBER(B2893)),"✗ 日期不是真日期（要像 2026/9/25 这样填）",IF(OR(B2893&lt;年初日,B2893&gt;年末日),"✗ 日期不在本会计年度",IF(C2893="","✗ 没选账户",IF(COUNTIF(基础资料!$W$5:$W$24,C2893)=0,"✗ 账户不在基础资料里",IF(O2893="","✗ 没选收支项目",IF(P2893="未知","✗ 收支项目不在基础资料里",IF(AND(P2893="应收",J2893=""),"✗ 这笔要选客户",IF(AND(P2893="应收",COUNTIF(总览汇总!$B$5:$B$304,J2893)=0),"✗ 客户不在总览汇总名单里",IF(AND(P2893="应付",K2893=""),"✗ 这笔要选供应商",IF(AND(P2893="应付",COUNTIF(基础资料!$Q$5:$Q$54,K2893)=0),"✗ 供应商不在基础资料里",IF(AND(P2893="费用",L2893=""),"✗ 费用支出要选费用项目",IF(AND(L2893&lt;&gt;"",COUNTIF(基础资料!$AI$5:$AI$54,L2893)=0),"✗ 费用项目不在基础资料里",IF(AND(IFERROR(INDEX(基础资料!$AD$5:$AD$34,MATCH(O2893,基础资料!$AC$5:$AC$34,0)),"")="收",N(G2893)&lt;&gt;0),"✗ 这类是收款，金额填到收入列",IF(AND(IFERROR(INDEX(基础资料!$AD$5:$AD$34,MATCH(O2893,基础资料!$AC$5:$AC$34,0)),"")="支",N(F2893)&lt;&gt;0),"✗ 这类是付款，金额填到支出列",IF(N(H2893)&lt;0,"⚠ 账户余额成负数了，核对一下","√"))))))))))))))))))</f>
      </c>
      <c r="O2893" s="78">
        <f>IF(D2893&lt;&gt;"",D2893,IF(AND(F2893="",G2893=""),"",IF(J2893&lt;&gt;"",IF(N(F2893)&gt;0,"客户回款","客户退款"),IF(K2893&lt;&gt;"",IF(N(G2893)&gt;0,"供应商付款","供应商退款"),IF(L2893&lt;&gt;"","费用支出","")))))</f>
      </c>
      <c r="P2893" s="78">
        <f>IF(O2893="","",IFERROR(INDEX(基础资料!$AE$5:$AE$34,MATCH(O2893,基础资料!$AC$5:$AC$34,0)),"未知"))</f>
      </c>
      <c r="Q2893" s="78">
        <f>IF(P2893="应收",COUNTIF(P$7:P2893,"应收"),"")</f>
      </c>
      <c r="R2893" s="78">
        <f>IF(P2893="应付",COUNTIF(P$7:P2893,"应付"),"")</f>
      </c>
      <c r="S2893" s="78">
        <f>N(F2893)-N(G2893)</f>
        <v>0</v>
      </c>
    </row>
    <row r="2894">
      <c r="A2894" s="109">
        <f>IF(AND(F2894="",G2894=""),"",ROW()-6)</f>
      </c>
      <c r="B2894" s="140" t="n"/>
      <c r="C2894" s="141" t="n"/>
      <c r="D2894" s="141" t="n"/>
      <c r="E2894" s="142" t="n"/>
      <c r="F2894" s="143" t="n"/>
      <c r="G2894" s="144" t="n"/>
      <c r="H2894" s="145">
        <f>IF(OR(C2894="",AND(F2894="",G2894="")),"",SUMIF(基础资料!$W$5:$W$24,C2894,基础资料!$X$5:$X$24)+SUMIF(C$7:C2894,C2894,F$7:F2894)-SUMIF(C$7:C2894,C2894,G$7:G2894))</f>
      </c>
      <c r="I2894" s="145">
        <f>IF(AND(F2894="",G2894=""),"",SUM(基础资料!$X$5:$X$24)+SUM(F$7:F2894)-SUM(G$7:G2894))</f>
      </c>
      <c r="J2894" s="141" t="n"/>
      <c r="K2894" s="141" t="n"/>
      <c r="L2894" s="141" t="n"/>
      <c r="M2894" s="142" t="n"/>
      <c r="N2894" s="146">
        <f>IF(AND(AND(F2894="",G2894=""),B2894="",C2894="",D2894="",J2894="",K2894="",L2894=""),"",IF(AND(F2894="",G2894=""),"✗ 没填金额",IF(AND(N(F2894)&lt;&gt;0,N(G2894)&lt;&gt;0),"✗ 收入、支出只能填一边",IF(NOT(ISNUMBER(B2894)),"✗ 日期不是真日期（要像 2026/9/25 这样填）",IF(OR(B2894&lt;年初日,B2894&gt;年末日),"✗ 日期不在本会计年度",IF(C2894="","✗ 没选账户",IF(COUNTIF(基础资料!$W$5:$W$24,C2894)=0,"✗ 账户不在基础资料里",IF(O2894="","✗ 没选收支项目",IF(P2894="未知","✗ 收支项目不在基础资料里",IF(AND(P2894="应收",J2894=""),"✗ 这笔要选客户",IF(AND(P2894="应收",COUNTIF(总览汇总!$B$5:$B$304,J2894)=0),"✗ 客户不在总览汇总名单里",IF(AND(P2894="应付",K2894=""),"✗ 这笔要选供应商",IF(AND(P2894="应付",COUNTIF(基础资料!$Q$5:$Q$54,K2894)=0),"✗ 供应商不在基础资料里",IF(AND(P2894="费用",L2894=""),"✗ 费用支出要选费用项目",IF(AND(L2894&lt;&gt;"",COUNTIF(基础资料!$AI$5:$AI$54,L2894)=0),"✗ 费用项目不在基础资料里",IF(AND(IFERROR(INDEX(基础资料!$AD$5:$AD$34,MATCH(O2894,基础资料!$AC$5:$AC$34,0)),"")="收",N(G2894)&lt;&gt;0),"✗ 这类是收款，金额填到收入列",IF(AND(IFERROR(INDEX(基础资料!$AD$5:$AD$34,MATCH(O2894,基础资料!$AC$5:$AC$34,0)),"")="支",N(F2894)&lt;&gt;0),"✗ 这类是付款，金额填到支出列",IF(N(H2894)&lt;0,"⚠ 账户余额成负数了，核对一下","√"))))))))))))))))))</f>
      </c>
      <c r="O2894" s="78">
        <f>IF(D2894&lt;&gt;"",D2894,IF(AND(F2894="",G2894=""),"",IF(J2894&lt;&gt;"",IF(N(F2894)&gt;0,"客户回款","客户退款"),IF(K2894&lt;&gt;"",IF(N(G2894)&gt;0,"供应商付款","供应商退款"),IF(L2894&lt;&gt;"","费用支出","")))))</f>
      </c>
      <c r="P2894" s="78">
        <f>IF(O2894="","",IFERROR(INDEX(基础资料!$AE$5:$AE$34,MATCH(O2894,基础资料!$AC$5:$AC$34,0)),"未知"))</f>
      </c>
      <c r="Q2894" s="78">
        <f>IF(P2894="应收",COUNTIF(P$7:P2894,"应收"),"")</f>
      </c>
      <c r="R2894" s="78">
        <f>IF(P2894="应付",COUNTIF(P$7:P2894,"应付"),"")</f>
      </c>
      <c r="S2894" s="78">
        <f>N(F2894)-N(G2894)</f>
        <v>0</v>
      </c>
    </row>
    <row r="2895">
      <c r="A2895" s="109">
        <f>IF(AND(F2895="",G2895=""),"",ROW()-6)</f>
      </c>
      <c r="B2895" s="140" t="n"/>
      <c r="C2895" s="141" t="n"/>
      <c r="D2895" s="141" t="n"/>
      <c r="E2895" s="142" t="n"/>
      <c r="F2895" s="143" t="n"/>
      <c r="G2895" s="144" t="n"/>
      <c r="H2895" s="145">
        <f>IF(OR(C2895="",AND(F2895="",G2895="")),"",SUMIF(基础资料!$W$5:$W$24,C2895,基础资料!$X$5:$X$24)+SUMIF(C$7:C2895,C2895,F$7:F2895)-SUMIF(C$7:C2895,C2895,G$7:G2895))</f>
      </c>
      <c r="I2895" s="145">
        <f>IF(AND(F2895="",G2895=""),"",SUM(基础资料!$X$5:$X$24)+SUM(F$7:F2895)-SUM(G$7:G2895))</f>
      </c>
      <c r="J2895" s="141" t="n"/>
      <c r="K2895" s="141" t="n"/>
      <c r="L2895" s="141" t="n"/>
      <c r="M2895" s="142" t="n"/>
      <c r="N2895" s="146">
        <f>IF(AND(AND(F2895="",G2895=""),B2895="",C2895="",D2895="",J2895="",K2895="",L2895=""),"",IF(AND(F2895="",G2895=""),"✗ 没填金额",IF(AND(N(F2895)&lt;&gt;0,N(G2895)&lt;&gt;0),"✗ 收入、支出只能填一边",IF(NOT(ISNUMBER(B2895)),"✗ 日期不是真日期（要像 2026/9/25 这样填）",IF(OR(B2895&lt;年初日,B2895&gt;年末日),"✗ 日期不在本会计年度",IF(C2895="","✗ 没选账户",IF(COUNTIF(基础资料!$W$5:$W$24,C2895)=0,"✗ 账户不在基础资料里",IF(O2895="","✗ 没选收支项目",IF(P2895="未知","✗ 收支项目不在基础资料里",IF(AND(P2895="应收",J2895=""),"✗ 这笔要选客户",IF(AND(P2895="应收",COUNTIF(总览汇总!$B$5:$B$304,J2895)=0),"✗ 客户不在总览汇总名单里",IF(AND(P2895="应付",K2895=""),"✗ 这笔要选供应商",IF(AND(P2895="应付",COUNTIF(基础资料!$Q$5:$Q$54,K2895)=0),"✗ 供应商不在基础资料里",IF(AND(P2895="费用",L2895=""),"✗ 费用支出要选费用项目",IF(AND(L2895&lt;&gt;"",COUNTIF(基础资料!$AI$5:$AI$54,L2895)=0),"✗ 费用项目不在基础资料里",IF(AND(IFERROR(INDEX(基础资料!$AD$5:$AD$34,MATCH(O2895,基础资料!$AC$5:$AC$34,0)),"")="收",N(G2895)&lt;&gt;0),"✗ 这类是收款，金额填到收入列",IF(AND(IFERROR(INDEX(基础资料!$AD$5:$AD$34,MATCH(O2895,基础资料!$AC$5:$AC$34,0)),"")="支",N(F2895)&lt;&gt;0),"✗ 这类是付款，金额填到支出列",IF(N(H2895)&lt;0,"⚠ 账户余额成负数了，核对一下","√"))))))))))))))))))</f>
      </c>
      <c r="O2895" s="78">
        <f>IF(D2895&lt;&gt;"",D2895,IF(AND(F2895="",G2895=""),"",IF(J2895&lt;&gt;"",IF(N(F2895)&gt;0,"客户回款","客户退款"),IF(K2895&lt;&gt;"",IF(N(G2895)&gt;0,"供应商付款","供应商退款"),IF(L2895&lt;&gt;"","费用支出","")))))</f>
      </c>
      <c r="P2895" s="78">
        <f>IF(O2895="","",IFERROR(INDEX(基础资料!$AE$5:$AE$34,MATCH(O2895,基础资料!$AC$5:$AC$34,0)),"未知"))</f>
      </c>
      <c r="Q2895" s="78">
        <f>IF(P2895="应收",COUNTIF(P$7:P2895,"应收"),"")</f>
      </c>
      <c r="R2895" s="78">
        <f>IF(P2895="应付",COUNTIF(P$7:P2895,"应付"),"")</f>
      </c>
      <c r="S2895" s="78">
        <f>N(F2895)-N(G2895)</f>
        <v>0</v>
      </c>
    </row>
    <row r="2896">
      <c r="A2896" s="109">
        <f>IF(AND(F2896="",G2896=""),"",ROW()-6)</f>
      </c>
      <c r="B2896" s="140" t="n"/>
      <c r="C2896" s="141" t="n"/>
      <c r="D2896" s="141" t="n"/>
      <c r="E2896" s="142" t="n"/>
      <c r="F2896" s="143" t="n"/>
      <c r="G2896" s="144" t="n"/>
      <c r="H2896" s="145">
        <f>IF(OR(C2896="",AND(F2896="",G2896="")),"",SUMIF(基础资料!$W$5:$W$24,C2896,基础资料!$X$5:$X$24)+SUMIF(C$7:C2896,C2896,F$7:F2896)-SUMIF(C$7:C2896,C2896,G$7:G2896))</f>
      </c>
      <c r="I2896" s="145">
        <f>IF(AND(F2896="",G2896=""),"",SUM(基础资料!$X$5:$X$24)+SUM(F$7:F2896)-SUM(G$7:G2896))</f>
      </c>
      <c r="J2896" s="141" t="n"/>
      <c r="K2896" s="141" t="n"/>
      <c r="L2896" s="141" t="n"/>
      <c r="M2896" s="142" t="n"/>
      <c r="N2896" s="146">
        <f>IF(AND(AND(F2896="",G2896=""),B2896="",C2896="",D2896="",J2896="",K2896="",L2896=""),"",IF(AND(F2896="",G2896=""),"✗ 没填金额",IF(AND(N(F2896)&lt;&gt;0,N(G2896)&lt;&gt;0),"✗ 收入、支出只能填一边",IF(NOT(ISNUMBER(B2896)),"✗ 日期不是真日期（要像 2026/9/25 这样填）",IF(OR(B2896&lt;年初日,B2896&gt;年末日),"✗ 日期不在本会计年度",IF(C2896="","✗ 没选账户",IF(COUNTIF(基础资料!$W$5:$W$24,C2896)=0,"✗ 账户不在基础资料里",IF(O2896="","✗ 没选收支项目",IF(P2896="未知","✗ 收支项目不在基础资料里",IF(AND(P2896="应收",J2896=""),"✗ 这笔要选客户",IF(AND(P2896="应收",COUNTIF(总览汇总!$B$5:$B$304,J2896)=0),"✗ 客户不在总览汇总名单里",IF(AND(P2896="应付",K2896=""),"✗ 这笔要选供应商",IF(AND(P2896="应付",COUNTIF(基础资料!$Q$5:$Q$54,K2896)=0),"✗ 供应商不在基础资料里",IF(AND(P2896="费用",L2896=""),"✗ 费用支出要选费用项目",IF(AND(L2896&lt;&gt;"",COUNTIF(基础资料!$AI$5:$AI$54,L2896)=0),"✗ 费用项目不在基础资料里",IF(AND(IFERROR(INDEX(基础资料!$AD$5:$AD$34,MATCH(O2896,基础资料!$AC$5:$AC$34,0)),"")="收",N(G2896)&lt;&gt;0),"✗ 这类是收款，金额填到收入列",IF(AND(IFERROR(INDEX(基础资料!$AD$5:$AD$34,MATCH(O2896,基础资料!$AC$5:$AC$34,0)),"")="支",N(F2896)&lt;&gt;0),"✗ 这类是付款，金额填到支出列",IF(N(H2896)&lt;0,"⚠ 账户余额成负数了，核对一下","√"))))))))))))))))))</f>
      </c>
      <c r="O2896" s="78">
        <f>IF(D2896&lt;&gt;"",D2896,IF(AND(F2896="",G2896=""),"",IF(J2896&lt;&gt;"",IF(N(F2896)&gt;0,"客户回款","客户退款"),IF(K2896&lt;&gt;"",IF(N(G2896)&gt;0,"供应商付款","供应商退款"),IF(L2896&lt;&gt;"","费用支出","")))))</f>
      </c>
      <c r="P2896" s="78">
        <f>IF(O2896="","",IFERROR(INDEX(基础资料!$AE$5:$AE$34,MATCH(O2896,基础资料!$AC$5:$AC$34,0)),"未知"))</f>
      </c>
      <c r="Q2896" s="78">
        <f>IF(P2896="应收",COUNTIF(P$7:P2896,"应收"),"")</f>
      </c>
      <c r="R2896" s="78">
        <f>IF(P2896="应付",COUNTIF(P$7:P2896,"应付"),"")</f>
      </c>
      <c r="S2896" s="78">
        <f>N(F2896)-N(G2896)</f>
        <v>0</v>
      </c>
    </row>
    <row r="2897">
      <c r="A2897" s="109">
        <f>IF(AND(F2897="",G2897=""),"",ROW()-6)</f>
      </c>
      <c r="B2897" s="140" t="n"/>
      <c r="C2897" s="141" t="n"/>
      <c r="D2897" s="141" t="n"/>
      <c r="E2897" s="142" t="n"/>
      <c r="F2897" s="143" t="n"/>
      <c r="G2897" s="144" t="n"/>
      <c r="H2897" s="145">
        <f>IF(OR(C2897="",AND(F2897="",G2897="")),"",SUMIF(基础资料!$W$5:$W$24,C2897,基础资料!$X$5:$X$24)+SUMIF(C$7:C2897,C2897,F$7:F2897)-SUMIF(C$7:C2897,C2897,G$7:G2897))</f>
      </c>
      <c r="I2897" s="145">
        <f>IF(AND(F2897="",G2897=""),"",SUM(基础资料!$X$5:$X$24)+SUM(F$7:F2897)-SUM(G$7:G2897))</f>
      </c>
      <c r="J2897" s="141" t="n"/>
      <c r="K2897" s="141" t="n"/>
      <c r="L2897" s="141" t="n"/>
      <c r="M2897" s="142" t="n"/>
      <c r="N2897" s="146">
        <f>IF(AND(AND(F2897="",G2897=""),B2897="",C2897="",D2897="",J2897="",K2897="",L2897=""),"",IF(AND(F2897="",G2897=""),"✗ 没填金额",IF(AND(N(F2897)&lt;&gt;0,N(G2897)&lt;&gt;0),"✗ 收入、支出只能填一边",IF(NOT(ISNUMBER(B2897)),"✗ 日期不是真日期（要像 2026/9/25 这样填）",IF(OR(B2897&lt;年初日,B2897&gt;年末日),"✗ 日期不在本会计年度",IF(C2897="","✗ 没选账户",IF(COUNTIF(基础资料!$W$5:$W$24,C2897)=0,"✗ 账户不在基础资料里",IF(O2897="","✗ 没选收支项目",IF(P2897="未知","✗ 收支项目不在基础资料里",IF(AND(P2897="应收",J2897=""),"✗ 这笔要选客户",IF(AND(P2897="应收",COUNTIF(总览汇总!$B$5:$B$304,J2897)=0),"✗ 客户不在总览汇总名单里",IF(AND(P2897="应付",K2897=""),"✗ 这笔要选供应商",IF(AND(P2897="应付",COUNTIF(基础资料!$Q$5:$Q$54,K2897)=0),"✗ 供应商不在基础资料里",IF(AND(P2897="费用",L2897=""),"✗ 费用支出要选费用项目",IF(AND(L2897&lt;&gt;"",COUNTIF(基础资料!$AI$5:$AI$54,L2897)=0),"✗ 费用项目不在基础资料里",IF(AND(IFERROR(INDEX(基础资料!$AD$5:$AD$34,MATCH(O2897,基础资料!$AC$5:$AC$34,0)),"")="收",N(G2897)&lt;&gt;0),"✗ 这类是收款，金额填到收入列",IF(AND(IFERROR(INDEX(基础资料!$AD$5:$AD$34,MATCH(O2897,基础资料!$AC$5:$AC$34,0)),"")="支",N(F2897)&lt;&gt;0),"✗ 这类是付款，金额填到支出列",IF(N(H2897)&lt;0,"⚠ 账户余额成负数了，核对一下","√"))))))))))))))))))</f>
      </c>
      <c r="O2897" s="78">
        <f>IF(D2897&lt;&gt;"",D2897,IF(AND(F2897="",G2897=""),"",IF(J2897&lt;&gt;"",IF(N(F2897)&gt;0,"客户回款","客户退款"),IF(K2897&lt;&gt;"",IF(N(G2897)&gt;0,"供应商付款","供应商退款"),IF(L2897&lt;&gt;"","费用支出","")))))</f>
      </c>
      <c r="P2897" s="78">
        <f>IF(O2897="","",IFERROR(INDEX(基础资料!$AE$5:$AE$34,MATCH(O2897,基础资料!$AC$5:$AC$34,0)),"未知"))</f>
      </c>
      <c r="Q2897" s="78">
        <f>IF(P2897="应收",COUNTIF(P$7:P2897,"应收"),"")</f>
      </c>
      <c r="R2897" s="78">
        <f>IF(P2897="应付",COUNTIF(P$7:P2897,"应付"),"")</f>
      </c>
      <c r="S2897" s="78">
        <f>N(F2897)-N(G2897)</f>
        <v>0</v>
      </c>
    </row>
    <row r="2898">
      <c r="A2898" s="109">
        <f>IF(AND(F2898="",G2898=""),"",ROW()-6)</f>
      </c>
      <c r="B2898" s="140" t="n"/>
      <c r="C2898" s="141" t="n"/>
      <c r="D2898" s="141" t="n"/>
      <c r="E2898" s="142" t="n"/>
      <c r="F2898" s="143" t="n"/>
      <c r="G2898" s="144" t="n"/>
      <c r="H2898" s="145">
        <f>IF(OR(C2898="",AND(F2898="",G2898="")),"",SUMIF(基础资料!$W$5:$W$24,C2898,基础资料!$X$5:$X$24)+SUMIF(C$7:C2898,C2898,F$7:F2898)-SUMIF(C$7:C2898,C2898,G$7:G2898))</f>
      </c>
      <c r="I2898" s="145">
        <f>IF(AND(F2898="",G2898=""),"",SUM(基础资料!$X$5:$X$24)+SUM(F$7:F2898)-SUM(G$7:G2898))</f>
      </c>
      <c r="J2898" s="141" t="n"/>
      <c r="K2898" s="141" t="n"/>
      <c r="L2898" s="141" t="n"/>
      <c r="M2898" s="142" t="n"/>
      <c r="N2898" s="146">
        <f>IF(AND(AND(F2898="",G2898=""),B2898="",C2898="",D2898="",J2898="",K2898="",L2898=""),"",IF(AND(F2898="",G2898=""),"✗ 没填金额",IF(AND(N(F2898)&lt;&gt;0,N(G2898)&lt;&gt;0),"✗ 收入、支出只能填一边",IF(NOT(ISNUMBER(B2898)),"✗ 日期不是真日期（要像 2026/9/25 这样填）",IF(OR(B2898&lt;年初日,B2898&gt;年末日),"✗ 日期不在本会计年度",IF(C2898="","✗ 没选账户",IF(COUNTIF(基础资料!$W$5:$W$24,C2898)=0,"✗ 账户不在基础资料里",IF(O2898="","✗ 没选收支项目",IF(P2898="未知","✗ 收支项目不在基础资料里",IF(AND(P2898="应收",J2898=""),"✗ 这笔要选客户",IF(AND(P2898="应收",COUNTIF(总览汇总!$B$5:$B$304,J2898)=0),"✗ 客户不在总览汇总名单里",IF(AND(P2898="应付",K2898=""),"✗ 这笔要选供应商",IF(AND(P2898="应付",COUNTIF(基础资料!$Q$5:$Q$54,K2898)=0),"✗ 供应商不在基础资料里",IF(AND(P2898="费用",L2898=""),"✗ 费用支出要选费用项目",IF(AND(L2898&lt;&gt;"",COUNTIF(基础资料!$AI$5:$AI$54,L2898)=0),"✗ 费用项目不在基础资料里",IF(AND(IFERROR(INDEX(基础资料!$AD$5:$AD$34,MATCH(O2898,基础资料!$AC$5:$AC$34,0)),"")="收",N(G2898)&lt;&gt;0),"✗ 这类是收款，金额填到收入列",IF(AND(IFERROR(INDEX(基础资料!$AD$5:$AD$34,MATCH(O2898,基础资料!$AC$5:$AC$34,0)),"")="支",N(F2898)&lt;&gt;0),"✗ 这类是付款，金额填到支出列",IF(N(H2898)&lt;0,"⚠ 账户余额成负数了，核对一下","√"))))))))))))))))))</f>
      </c>
      <c r="O2898" s="78">
        <f>IF(D2898&lt;&gt;"",D2898,IF(AND(F2898="",G2898=""),"",IF(J2898&lt;&gt;"",IF(N(F2898)&gt;0,"客户回款","客户退款"),IF(K2898&lt;&gt;"",IF(N(G2898)&gt;0,"供应商付款","供应商退款"),IF(L2898&lt;&gt;"","费用支出","")))))</f>
      </c>
      <c r="P2898" s="78">
        <f>IF(O2898="","",IFERROR(INDEX(基础资料!$AE$5:$AE$34,MATCH(O2898,基础资料!$AC$5:$AC$34,0)),"未知"))</f>
      </c>
      <c r="Q2898" s="78">
        <f>IF(P2898="应收",COUNTIF(P$7:P2898,"应收"),"")</f>
      </c>
      <c r="R2898" s="78">
        <f>IF(P2898="应付",COUNTIF(P$7:P2898,"应付"),"")</f>
      </c>
      <c r="S2898" s="78">
        <f>N(F2898)-N(G2898)</f>
        <v>0</v>
      </c>
    </row>
    <row r="2899">
      <c r="A2899" s="109">
        <f>IF(AND(F2899="",G2899=""),"",ROW()-6)</f>
      </c>
      <c r="B2899" s="140" t="n"/>
      <c r="C2899" s="141" t="n"/>
      <c r="D2899" s="141" t="n"/>
      <c r="E2899" s="142" t="n"/>
      <c r="F2899" s="143" t="n"/>
      <c r="G2899" s="144" t="n"/>
      <c r="H2899" s="145">
        <f>IF(OR(C2899="",AND(F2899="",G2899="")),"",SUMIF(基础资料!$W$5:$W$24,C2899,基础资料!$X$5:$X$24)+SUMIF(C$7:C2899,C2899,F$7:F2899)-SUMIF(C$7:C2899,C2899,G$7:G2899))</f>
      </c>
      <c r="I2899" s="145">
        <f>IF(AND(F2899="",G2899=""),"",SUM(基础资料!$X$5:$X$24)+SUM(F$7:F2899)-SUM(G$7:G2899))</f>
      </c>
      <c r="J2899" s="141" t="n"/>
      <c r="K2899" s="141" t="n"/>
      <c r="L2899" s="141" t="n"/>
      <c r="M2899" s="142" t="n"/>
      <c r="N2899" s="146">
        <f>IF(AND(AND(F2899="",G2899=""),B2899="",C2899="",D2899="",J2899="",K2899="",L2899=""),"",IF(AND(F2899="",G2899=""),"✗ 没填金额",IF(AND(N(F2899)&lt;&gt;0,N(G2899)&lt;&gt;0),"✗ 收入、支出只能填一边",IF(NOT(ISNUMBER(B2899)),"✗ 日期不是真日期（要像 2026/9/25 这样填）",IF(OR(B2899&lt;年初日,B2899&gt;年末日),"✗ 日期不在本会计年度",IF(C2899="","✗ 没选账户",IF(COUNTIF(基础资料!$W$5:$W$24,C2899)=0,"✗ 账户不在基础资料里",IF(O2899="","✗ 没选收支项目",IF(P2899="未知","✗ 收支项目不在基础资料里",IF(AND(P2899="应收",J2899=""),"✗ 这笔要选客户",IF(AND(P2899="应收",COUNTIF(总览汇总!$B$5:$B$304,J2899)=0),"✗ 客户不在总览汇总名单里",IF(AND(P2899="应付",K2899=""),"✗ 这笔要选供应商",IF(AND(P2899="应付",COUNTIF(基础资料!$Q$5:$Q$54,K2899)=0),"✗ 供应商不在基础资料里",IF(AND(P2899="费用",L2899=""),"✗ 费用支出要选费用项目",IF(AND(L2899&lt;&gt;"",COUNTIF(基础资料!$AI$5:$AI$54,L2899)=0),"✗ 费用项目不在基础资料里",IF(AND(IFERROR(INDEX(基础资料!$AD$5:$AD$34,MATCH(O2899,基础资料!$AC$5:$AC$34,0)),"")="收",N(G2899)&lt;&gt;0),"✗ 这类是收款，金额填到收入列",IF(AND(IFERROR(INDEX(基础资料!$AD$5:$AD$34,MATCH(O2899,基础资料!$AC$5:$AC$34,0)),"")="支",N(F2899)&lt;&gt;0),"✗ 这类是付款，金额填到支出列",IF(N(H2899)&lt;0,"⚠ 账户余额成负数了，核对一下","√"))))))))))))))))))</f>
      </c>
      <c r="O2899" s="78">
        <f>IF(D2899&lt;&gt;"",D2899,IF(AND(F2899="",G2899=""),"",IF(J2899&lt;&gt;"",IF(N(F2899)&gt;0,"客户回款","客户退款"),IF(K2899&lt;&gt;"",IF(N(G2899)&gt;0,"供应商付款","供应商退款"),IF(L2899&lt;&gt;"","费用支出","")))))</f>
      </c>
      <c r="P2899" s="78">
        <f>IF(O2899="","",IFERROR(INDEX(基础资料!$AE$5:$AE$34,MATCH(O2899,基础资料!$AC$5:$AC$34,0)),"未知"))</f>
      </c>
      <c r="Q2899" s="78">
        <f>IF(P2899="应收",COUNTIF(P$7:P2899,"应收"),"")</f>
      </c>
      <c r="R2899" s="78">
        <f>IF(P2899="应付",COUNTIF(P$7:P2899,"应付"),"")</f>
      </c>
      <c r="S2899" s="78">
        <f>N(F2899)-N(G2899)</f>
        <v>0</v>
      </c>
    </row>
    <row r="2900">
      <c r="A2900" s="109">
        <f>IF(AND(F2900="",G2900=""),"",ROW()-6)</f>
      </c>
      <c r="B2900" s="140" t="n"/>
      <c r="C2900" s="141" t="n"/>
      <c r="D2900" s="141" t="n"/>
      <c r="E2900" s="142" t="n"/>
      <c r="F2900" s="143" t="n"/>
      <c r="G2900" s="144" t="n"/>
      <c r="H2900" s="145">
        <f>IF(OR(C2900="",AND(F2900="",G2900="")),"",SUMIF(基础资料!$W$5:$W$24,C2900,基础资料!$X$5:$X$24)+SUMIF(C$7:C2900,C2900,F$7:F2900)-SUMIF(C$7:C2900,C2900,G$7:G2900))</f>
      </c>
      <c r="I2900" s="145">
        <f>IF(AND(F2900="",G2900=""),"",SUM(基础资料!$X$5:$X$24)+SUM(F$7:F2900)-SUM(G$7:G2900))</f>
      </c>
      <c r="J2900" s="141" t="n"/>
      <c r="K2900" s="141" t="n"/>
      <c r="L2900" s="141" t="n"/>
      <c r="M2900" s="142" t="n"/>
      <c r="N2900" s="146">
        <f>IF(AND(AND(F2900="",G2900=""),B2900="",C2900="",D2900="",J2900="",K2900="",L2900=""),"",IF(AND(F2900="",G2900=""),"✗ 没填金额",IF(AND(N(F2900)&lt;&gt;0,N(G2900)&lt;&gt;0),"✗ 收入、支出只能填一边",IF(NOT(ISNUMBER(B2900)),"✗ 日期不是真日期（要像 2026/9/25 这样填）",IF(OR(B2900&lt;年初日,B2900&gt;年末日),"✗ 日期不在本会计年度",IF(C2900="","✗ 没选账户",IF(COUNTIF(基础资料!$W$5:$W$24,C2900)=0,"✗ 账户不在基础资料里",IF(O2900="","✗ 没选收支项目",IF(P2900="未知","✗ 收支项目不在基础资料里",IF(AND(P2900="应收",J2900=""),"✗ 这笔要选客户",IF(AND(P2900="应收",COUNTIF(总览汇总!$B$5:$B$304,J2900)=0),"✗ 客户不在总览汇总名单里",IF(AND(P2900="应付",K2900=""),"✗ 这笔要选供应商",IF(AND(P2900="应付",COUNTIF(基础资料!$Q$5:$Q$54,K2900)=0),"✗ 供应商不在基础资料里",IF(AND(P2900="费用",L2900=""),"✗ 费用支出要选费用项目",IF(AND(L2900&lt;&gt;"",COUNTIF(基础资料!$AI$5:$AI$54,L2900)=0),"✗ 费用项目不在基础资料里",IF(AND(IFERROR(INDEX(基础资料!$AD$5:$AD$34,MATCH(O2900,基础资料!$AC$5:$AC$34,0)),"")="收",N(G2900)&lt;&gt;0),"✗ 这类是收款，金额填到收入列",IF(AND(IFERROR(INDEX(基础资料!$AD$5:$AD$34,MATCH(O2900,基础资料!$AC$5:$AC$34,0)),"")="支",N(F2900)&lt;&gt;0),"✗ 这类是付款，金额填到支出列",IF(N(H2900)&lt;0,"⚠ 账户余额成负数了，核对一下","√"))))))))))))))))))</f>
      </c>
      <c r="O2900" s="78">
        <f>IF(D2900&lt;&gt;"",D2900,IF(AND(F2900="",G2900=""),"",IF(J2900&lt;&gt;"",IF(N(F2900)&gt;0,"客户回款","客户退款"),IF(K2900&lt;&gt;"",IF(N(G2900)&gt;0,"供应商付款","供应商退款"),IF(L2900&lt;&gt;"","费用支出","")))))</f>
      </c>
      <c r="P2900" s="78">
        <f>IF(O2900="","",IFERROR(INDEX(基础资料!$AE$5:$AE$34,MATCH(O2900,基础资料!$AC$5:$AC$34,0)),"未知"))</f>
      </c>
      <c r="Q2900" s="78">
        <f>IF(P2900="应收",COUNTIF(P$7:P2900,"应收"),"")</f>
      </c>
      <c r="R2900" s="78">
        <f>IF(P2900="应付",COUNTIF(P$7:P2900,"应付"),"")</f>
      </c>
      <c r="S2900" s="78">
        <f>N(F2900)-N(G2900)</f>
        <v>0</v>
      </c>
    </row>
    <row r="2901">
      <c r="A2901" s="109">
        <f>IF(AND(F2901="",G2901=""),"",ROW()-6)</f>
      </c>
      <c r="B2901" s="140" t="n"/>
      <c r="C2901" s="141" t="n"/>
      <c r="D2901" s="141" t="n"/>
      <c r="E2901" s="142" t="n"/>
      <c r="F2901" s="143" t="n"/>
      <c r="G2901" s="144" t="n"/>
      <c r="H2901" s="145">
        <f>IF(OR(C2901="",AND(F2901="",G2901="")),"",SUMIF(基础资料!$W$5:$W$24,C2901,基础资料!$X$5:$X$24)+SUMIF(C$7:C2901,C2901,F$7:F2901)-SUMIF(C$7:C2901,C2901,G$7:G2901))</f>
      </c>
      <c r="I2901" s="145">
        <f>IF(AND(F2901="",G2901=""),"",SUM(基础资料!$X$5:$X$24)+SUM(F$7:F2901)-SUM(G$7:G2901))</f>
      </c>
      <c r="J2901" s="141" t="n"/>
      <c r="K2901" s="141" t="n"/>
      <c r="L2901" s="141" t="n"/>
      <c r="M2901" s="142" t="n"/>
      <c r="N2901" s="146">
        <f>IF(AND(AND(F2901="",G2901=""),B2901="",C2901="",D2901="",J2901="",K2901="",L2901=""),"",IF(AND(F2901="",G2901=""),"✗ 没填金额",IF(AND(N(F2901)&lt;&gt;0,N(G2901)&lt;&gt;0),"✗ 收入、支出只能填一边",IF(NOT(ISNUMBER(B2901)),"✗ 日期不是真日期（要像 2026/9/25 这样填）",IF(OR(B2901&lt;年初日,B2901&gt;年末日),"✗ 日期不在本会计年度",IF(C2901="","✗ 没选账户",IF(COUNTIF(基础资料!$W$5:$W$24,C2901)=0,"✗ 账户不在基础资料里",IF(O2901="","✗ 没选收支项目",IF(P2901="未知","✗ 收支项目不在基础资料里",IF(AND(P2901="应收",J2901=""),"✗ 这笔要选客户",IF(AND(P2901="应收",COUNTIF(总览汇总!$B$5:$B$304,J2901)=0),"✗ 客户不在总览汇总名单里",IF(AND(P2901="应付",K2901=""),"✗ 这笔要选供应商",IF(AND(P2901="应付",COUNTIF(基础资料!$Q$5:$Q$54,K2901)=0),"✗ 供应商不在基础资料里",IF(AND(P2901="费用",L2901=""),"✗ 费用支出要选费用项目",IF(AND(L2901&lt;&gt;"",COUNTIF(基础资料!$AI$5:$AI$54,L2901)=0),"✗ 费用项目不在基础资料里",IF(AND(IFERROR(INDEX(基础资料!$AD$5:$AD$34,MATCH(O2901,基础资料!$AC$5:$AC$34,0)),"")="收",N(G2901)&lt;&gt;0),"✗ 这类是收款，金额填到收入列",IF(AND(IFERROR(INDEX(基础资料!$AD$5:$AD$34,MATCH(O2901,基础资料!$AC$5:$AC$34,0)),"")="支",N(F2901)&lt;&gt;0),"✗ 这类是付款，金额填到支出列",IF(N(H2901)&lt;0,"⚠ 账户余额成负数了，核对一下","√"))))))))))))))))))</f>
      </c>
      <c r="O2901" s="78">
        <f>IF(D2901&lt;&gt;"",D2901,IF(AND(F2901="",G2901=""),"",IF(J2901&lt;&gt;"",IF(N(F2901)&gt;0,"客户回款","客户退款"),IF(K2901&lt;&gt;"",IF(N(G2901)&gt;0,"供应商付款","供应商退款"),IF(L2901&lt;&gt;"","费用支出","")))))</f>
      </c>
      <c r="P2901" s="78">
        <f>IF(O2901="","",IFERROR(INDEX(基础资料!$AE$5:$AE$34,MATCH(O2901,基础资料!$AC$5:$AC$34,0)),"未知"))</f>
      </c>
      <c r="Q2901" s="78">
        <f>IF(P2901="应收",COUNTIF(P$7:P2901,"应收"),"")</f>
      </c>
      <c r="R2901" s="78">
        <f>IF(P2901="应付",COUNTIF(P$7:P2901,"应付"),"")</f>
      </c>
      <c r="S2901" s="78">
        <f>N(F2901)-N(G2901)</f>
        <v>0</v>
      </c>
    </row>
    <row r="2902">
      <c r="A2902" s="109">
        <f>IF(AND(F2902="",G2902=""),"",ROW()-6)</f>
      </c>
      <c r="B2902" s="140" t="n"/>
      <c r="C2902" s="141" t="n"/>
      <c r="D2902" s="141" t="n"/>
      <c r="E2902" s="142" t="n"/>
      <c r="F2902" s="143" t="n"/>
      <c r="G2902" s="144" t="n"/>
      <c r="H2902" s="145">
        <f>IF(OR(C2902="",AND(F2902="",G2902="")),"",SUMIF(基础资料!$W$5:$W$24,C2902,基础资料!$X$5:$X$24)+SUMIF(C$7:C2902,C2902,F$7:F2902)-SUMIF(C$7:C2902,C2902,G$7:G2902))</f>
      </c>
      <c r="I2902" s="145">
        <f>IF(AND(F2902="",G2902=""),"",SUM(基础资料!$X$5:$X$24)+SUM(F$7:F2902)-SUM(G$7:G2902))</f>
      </c>
      <c r="J2902" s="141" t="n"/>
      <c r="K2902" s="141" t="n"/>
      <c r="L2902" s="141" t="n"/>
      <c r="M2902" s="142" t="n"/>
      <c r="N2902" s="146">
        <f>IF(AND(AND(F2902="",G2902=""),B2902="",C2902="",D2902="",J2902="",K2902="",L2902=""),"",IF(AND(F2902="",G2902=""),"✗ 没填金额",IF(AND(N(F2902)&lt;&gt;0,N(G2902)&lt;&gt;0),"✗ 收入、支出只能填一边",IF(NOT(ISNUMBER(B2902)),"✗ 日期不是真日期（要像 2026/9/25 这样填）",IF(OR(B2902&lt;年初日,B2902&gt;年末日),"✗ 日期不在本会计年度",IF(C2902="","✗ 没选账户",IF(COUNTIF(基础资料!$W$5:$W$24,C2902)=0,"✗ 账户不在基础资料里",IF(O2902="","✗ 没选收支项目",IF(P2902="未知","✗ 收支项目不在基础资料里",IF(AND(P2902="应收",J2902=""),"✗ 这笔要选客户",IF(AND(P2902="应收",COUNTIF(总览汇总!$B$5:$B$304,J2902)=0),"✗ 客户不在总览汇总名单里",IF(AND(P2902="应付",K2902=""),"✗ 这笔要选供应商",IF(AND(P2902="应付",COUNTIF(基础资料!$Q$5:$Q$54,K2902)=0),"✗ 供应商不在基础资料里",IF(AND(P2902="费用",L2902=""),"✗ 费用支出要选费用项目",IF(AND(L2902&lt;&gt;"",COUNTIF(基础资料!$AI$5:$AI$54,L2902)=0),"✗ 费用项目不在基础资料里",IF(AND(IFERROR(INDEX(基础资料!$AD$5:$AD$34,MATCH(O2902,基础资料!$AC$5:$AC$34,0)),"")="收",N(G2902)&lt;&gt;0),"✗ 这类是收款，金额填到收入列",IF(AND(IFERROR(INDEX(基础资料!$AD$5:$AD$34,MATCH(O2902,基础资料!$AC$5:$AC$34,0)),"")="支",N(F2902)&lt;&gt;0),"✗ 这类是付款，金额填到支出列",IF(N(H2902)&lt;0,"⚠ 账户余额成负数了，核对一下","√"))))))))))))))))))</f>
      </c>
      <c r="O2902" s="78">
        <f>IF(D2902&lt;&gt;"",D2902,IF(AND(F2902="",G2902=""),"",IF(J2902&lt;&gt;"",IF(N(F2902)&gt;0,"客户回款","客户退款"),IF(K2902&lt;&gt;"",IF(N(G2902)&gt;0,"供应商付款","供应商退款"),IF(L2902&lt;&gt;"","费用支出","")))))</f>
      </c>
      <c r="P2902" s="78">
        <f>IF(O2902="","",IFERROR(INDEX(基础资料!$AE$5:$AE$34,MATCH(O2902,基础资料!$AC$5:$AC$34,0)),"未知"))</f>
      </c>
      <c r="Q2902" s="78">
        <f>IF(P2902="应收",COUNTIF(P$7:P2902,"应收"),"")</f>
      </c>
      <c r="R2902" s="78">
        <f>IF(P2902="应付",COUNTIF(P$7:P2902,"应付"),"")</f>
      </c>
      <c r="S2902" s="78">
        <f>N(F2902)-N(G2902)</f>
        <v>0</v>
      </c>
    </row>
    <row r="2903">
      <c r="A2903" s="109">
        <f>IF(AND(F2903="",G2903=""),"",ROW()-6)</f>
      </c>
      <c r="B2903" s="140" t="n"/>
      <c r="C2903" s="141" t="n"/>
      <c r="D2903" s="141" t="n"/>
      <c r="E2903" s="142" t="n"/>
      <c r="F2903" s="143" t="n"/>
      <c r="G2903" s="144" t="n"/>
      <c r="H2903" s="145">
        <f>IF(OR(C2903="",AND(F2903="",G2903="")),"",SUMIF(基础资料!$W$5:$W$24,C2903,基础资料!$X$5:$X$24)+SUMIF(C$7:C2903,C2903,F$7:F2903)-SUMIF(C$7:C2903,C2903,G$7:G2903))</f>
      </c>
      <c r="I2903" s="145">
        <f>IF(AND(F2903="",G2903=""),"",SUM(基础资料!$X$5:$X$24)+SUM(F$7:F2903)-SUM(G$7:G2903))</f>
      </c>
      <c r="J2903" s="141" t="n"/>
      <c r="K2903" s="141" t="n"/>
      <c r="L2903" s="141" t="n"/>
      <c r="M2903" s="142" t="n"/>
      <c r="N2903" s="146">
        <f>IF(AND(AND(F2903="",G2903=""),B2903="",C2903="",D2903="",J2903="",K2903="",L2903=""),"",IF(AND(F2903="",G2903=""),"✗ 没填金额",IF(AND(N(F2903)&lt;&gt;0,N(G2903)&lt;&gt;0),"✗ 收入、支出只能填一边",IF(NOT(ISNUMBER(B2903)),"✗ 日期不是真日期（要像 2026/9/25 这样填）",IF(OR(B2903&lt;年初日,B2903&gt;年末日),"✗ 日期不在本会计年度",IF(C2903="","✗ 没选账户",IF(COUNTIF(基础资料!$W$5:$W$24,C2903)=0,"✗ 账户不在基础资料里",IF(O2903="","✗ 没选收支项目",IF(P2903="未知","✗ 收支项目不在基础资料里",IF(AND(P2903="应收",J2903=""),"✗ 这笔要选客户",IF(AND(P2903="应收",COUNTIF(总览汇总!$B$5:$B$304,J2903)=0),"✗ 客户不在总览汇总名单里",IF(AND(P2903="应付",K2903=""),"✗ 这笔要选供应商",IF(AND(P2903="应付",COUNTIF(基础资料!$Q$5:$Q$54,K2903)=0),"✗ 供应商不在基础资料里",IF(AND(P2903="费用",L2903=""),"✗ 费用支出要选费用项目",IF(AND(L2903&lt;&gt;"",COUNTIF(基础资料!$AI$5:$AI$54,L2903)=0),"✗ 费用项目不在基础资料里",IF(AND(IFERROR(INDEX(基础资料!$AD$5:$AD$34,MATCH(O2903,基础资料!$AC$5:$AC$34,0)),"")="收",N(G2903)&lt;&gt;0),"✗ 这类是收款，金额填到收入列",IF(AND(IFERROR(INDEX(基础资料!$AD$5:$AD$34,MATCH(O2903,基础资料!$AC$5:$AC$34,0)),"")="支",N(F2903)&lt;&gt;0),"✗ 这类是付款，金额填到支出列",IF(N(H2903)&lt;0,"⚠ 账户余额成负数了，核对一下","√"))))))))))))))))))</f>
      </c>
      <c r="O2903" s="78">
        <f>IF(D2903&lt;&gt;"",D2903,IF(AND(F2903="",G2903=""),"",IF(J2903&lt;&gt;"",IF(N(F2903)&gt;0,"客户回款","客户退款"),IF(K2903&lt;&gt;"",IF(N(G2903)&gt;0,"供应商付款","供应商退款"),IF(L2903&lt;&gt;"","费用支出","")))))</f>
      </c>
      <c r="P2903" s="78">
        <f>IF(O2903="","",IFERROR(INDEX(基础资料!$AE$5:$AE$34,MATCH(O2903,基础资料!$AC$5:$AC$34,0)),"未知"))</f>
      </c>
      <c r="Q2903" s="78">
        <f>IF(P2903="应收",COUNTIF(P$7:P2903,"应收"),"")</f>
      </c>
      <c r="R2903" s="78">
        <f>IF(P2903="应付",COUNTIF(P$7:P2903,"应付"),"")</f>
      </c>
      <c r="S2903" s="78">
        <f>N(F2903)-N(G2903)</f>
        <v>0</v>
      </c>
    </row>
    <row r="2904">
      <c r="A2904" s="109">
        <f>IF(AND(F2904="",G2904=""),"",ROW()-6)</f>
      </c>
      <c r="B2904" s="140" t="n"/>
      <c r="C2904" s="141" t="n"/>
      <c r="D2904" s="141" t="n"/>
      <c r="E2904" s="142" t="n"/>
      <c r="F2904" s="143" t="n"/>
      <c r="G2904" s="144" t="n"/>
      <c r="H2904" s="145">
        <f>IF(OR(C2904="",AND(F2904="",G2904="")),"",SUMIF(基础资料!$W$5:$W$24,C2904,基础资料!$X$5:$X$24)+SUMIF(C$7:C2904,C2904,F$7:F2904)-SUMIF(C$7:C2904,C2904,G$7:G2904))</f>
      </c>
      <c r="I2904" s="145">
        <f>IF(AND(F2904="",G2904=""),"",SUM(基础资料!$X$5:$X$24)+SUM(F$7:F2904)-SUM(G$7:G2904))</f>
      </c>
      <c r="J2904" s="141" t="n"/>
      <c r="K2904" s="141" t="n"/>
      <c r="L2904" s="141" t="n"/>
      <c r="M2904" s="142" t="n"/>
      <c r="N2904" s="146">
        <f>IF(AND(AND(F2904="",G2904=""),B2904="",C2904="",D2904="",J2904="",K2904="",L2904=""),"",IF(AND(F2904="",G2904=""),"✗ 没填金额",IF(AND(N(F2904)&lt;&gt;0,N(G2904)&lt;&gt;0),"✗ 收入、支出只能填一边",IF(NOT(ISNUMBER(B2904)),"✗ 日期不是真日期（要像 2026/9/25 这样填）",IF(OR(B2904&lt;年初日,B2904&gt;年末日),"✗ 日期不在本会计年度",IF(C2904="","✗ 没选账户",IF(COUNTIF(基础资料!$W$5:$W$24,C2904)=0,"✗ 账户不在基础资料里",IF(O2904="","✗ 没选收支项目",IF(P2904="未知","✗ 收支项目不在基础资料里",IF(AND(P2904="应收",J2904=""),"✗ 这笔要选客户",IF(AND(P2904="应收",COUNTIF(总览汇总!$B$5:$B$304,J2904)=0),"✗ 客户不在总览汇总名单里",IF(AND(P2904="应付",K2904=""),"✗ 这笔要选供应商",IF(AND(P2904="应付",COUNTIF(基础资料!$Q$5:$Q$54,K2904)=0),"✗ 供应商不在基础资料里",IF(AND(P2904="费用",L2904=""),"✗ 费用支出要选费用项目",IF(AND(L2904&lt;&gt;"",COUNTIF(基础资料!$AI$5:$AI$54,L2904)=0),"✗ 费用项目不在基础资料里",IF(AND(IFERROR(INDEX(基础资料!$AD$5:$AD$34,MATCH(O2904,基础资料!$AC$5:$AC$34,0)),"")="收",N(G2904)&lt;&gt;0),"✗ 这类是收款，金额填到收入列",IF(AND(IFERROR(INDEX(基础资料!$AD$5:$AD$34,MATCH(O2904,基础资料!$AC$5:$AC$34,0)),"")="支",N(F2904)&lt;&gt;0),"✗ 这类是付款，金额填到支出列",IF(N(H2904)&lt;0,"⚠ 账户余额成负数了，核对一下","√"))))))))))))))))))</f>
      </c>
      <c r="O2904" s="78">
        <f>IF(D2904&lt;&gt;"",D2904,IF(AND(F2904="",G2904=""),"",IF(J2904&lt;&gt;"",IF(N(F2904)&gt;0,"客户回款","客户退款"),IF(K2904&lt;&gt;"",IF(N(G2904)&gt;0,"供应商付款","供应商退款"),IF(L2904&lt;&gt;"","费用支出","")))))</f>
      </c>
      <c r="P2904" s="78">
        <f>IF(O2904="","",IFERROR(INDEX(基础资料!$AE$5:$AE$34,MATCH(O2904,基础资料!$AC$5:$AC$34,0)),"未知"))</f>
      </c>
      <c r="Q2904" s="78">
        <f>IF(P2904="应收",COUNTIF(P$7:P2904,"应收"),"")</f>
      </c>
      <c r="R2904" s="78">
        <f>IF(P2904="应付",COUNTIF(P$7:P2904,"应付"),"")</f>
      </c>
      <c r="S2904" s="78">
        <f>N(F2904)-N(G2904)</f>
        <v>0</v>
      </c>
    </row>
    <row r="2905">
      <c r="A2905" s="109">
        <f>IF(AND(F2905="",G2905=""),"",ROW()-6)</f>
      </c>
      <c r="B2905" s="140" t="n"/>
      <c r="C2905" s="141" t="n"/>
      <c r="D2905" s="141" t="n"/>
      <c r="E2905" s="142" t="n"/>
      <c r="F2905" s="143" t="n"/>
      <c r="G2905" s="144" t="n"/>
      <c r="H2905" s="145">
        <f>IF(OR(C2905="",AND(F2905="",G2905="")),"",SUMIF(基础资料!$W$5:$W$24,C2905,基础资料!$X$5:$X$24)+SUMIF(C$7:C2905,C2905,F$7:F2905)-SUMIF(C$7:C2905,C2905,G$7:G2905))</f>
      </c>
      <c r="I2905" s="145">
        <f>IF(AND(F2905="",G2905=""),"",SUM(基础资料!$X$5:$X$24)+SUM(F$7:F2905)-SUM(G$7:G2905))</f>
      </c>
      <c r="J2905" s="141" t="n"/>
      <c r="K2905" s="141" t="n"/>
      <c r="L2905" s="141" t="n"/>
      <c r="M2905" s="142" t="n"/>
      <c r="N2905" s="146">
        <f>IF(AND(AND(F2905="",G2905=""),B2905="",C2905="",D2905="",J2905="",K2905="",L2905=""),"",IF(AND(F2905="",G2905=""),"✗ 没填金额",IF(AND(N(F2905)&lt;&gt;0,N(G2905)&lt;&gt;0),"✗ 收入、支出只能填一边",IF(NOT(ISNUMBER(B2905)),"✗ 日期不是真日期（要像 2026/9/25 这样填）",IF(OR(B2905&lt;年初日,B2905&gt;年末日),"✗ 日期不在本会计年度",IF(C2905="","✗ 没选账户",IF(COUNTIF(基础资料!$W$5:$W$24,C2905)=0,"✗ 账户不在基础资料里",IF(O2905="","✗ 没选收支项目",IF(P2905="未知","✗ 收支项目不在基础资料里",IF(AND(P2905="应收",J2905=""),"✗ 这笔要选客户",IF(AND(P2905="应收",COUNTIF(总览汇总!$B$5:$B$304,J2905)=0),"✗ 客户不在总览汇总名单里",IF(AND(P2905="应付",K2905=""),"✗ 这笔要选供应商",IF(AND(P2905="应付",COUNTIF(基础资料!$Q$5:$Q$54,K2905)=0),"✗ 供应商不在基础资料里",IF(AND(P2905="费用",L2905=""),"✗ 费用支出要选费用项目",IF(AND(L2905&lt;&gt;"",COUNTIF(基础资料!$AI$5:$AI$54,L2905)=0),"✗ 费用项目不在基础资料里",IF(AND(IFERROR(INDEX(基础资料!$AD$5:$AD$34,MATCH(O2905,基础资料!$AC$5:$AC$34,0)),"")="收",N(G2905)&lt;&gt;0),"✗ 这类是收款，金额填到收入列",IF(AND(IFERROR(INDEX(基础资料!$AD$5:$AD$34,MATCH(O2905,基础资料!$AC$5:$AC$34,0)),"")="支",N(F2905)&lt;&gt;0),"✗ 这类是付款，金额填到支出列",IF(N(H2905)&lt;0,"⚠ 账户余额成负数了，核对一下","√"))))))))))))))))))</f>
      </c>
      <c r="O2905" s="78">
        <f>IF(D2905&lt;&gt;"",D2905,IF(AND(F2905="",G2905=""),"",IF(J2905&lt;&gt;"",IF(N(F2905)&gt;0,"客户回款","客户退款"),IF(K2905&lt;&gt;"",IF(N(G2905)&gt;0,"供应商付款","供应商退款"),IF(L2905&lt;&gt;"","费用支出","")))))</f>
      </c>
      <c r="P2905" s="78">
        <f>IF(O2905="","",IFERROR(INDEX(基础资料!$AE$5:$AE$34,MATCH(O2905,基础资料!$AC$5:$AC$34,0)),"未知"))</f>
      </c>
      <c r="Q2905" s="78">
        <f>IF(P2905="应收",COUNTIF(P$7:P2905,"应收"),"")</f>
      </c>
      <c r="R2905" s="78">
        <f>IF(P2905="应付",COUNTIF(P$7:P2905,"应付"),"")</f>
      </c>
      <c r="S2905" s="78">
        <f>N(F2905)-N(G2905)</f>
        <v>0</v>
      </c>
    </row>
    <row r="2906">
      <c r="A2906" s="109">
        <f>IF(AND(F2906="",G2906=""),"",ROW()-6)</f>
      </c>
      <c r="B2906" s="140" t="n"/>
      <c r="C2906" s="141" t="n"/>
      <c r="D2906" s="141" t="n"/>
      <c r="E2906" s="142" t="n"/>
      <c r="F2906" s="143" t="n"/>
      <c r="G2906" s="144" t="n"/>
      <c r="H2906" s="145">
        <f>IF(OR(C2906="",AND(F2906="",G2906="")),"",SUMIF(基础资料!$W$5:$W$24,C2906,基础资料!$X$5:$X$24)+SUMIF(C$7:C2906,C2906,F$7:F2906)-SUMIF(C$7:C2906,C2906,G$7:G2906))</f>
      </c>
      <c r="I2906" s="145">
        <f>IF(AND(F2906="",G2906=""),"",SUM(基础资料!$X$5:$X$24)+SUM(F$7:F2906)-SUM(G$7:G2906))</f>
      </c>
      <c r="J2906" s="141" t="n"/>
      <c r="K2906" s="141" t="n"/>
      <c r="L2906" s="141" t="n"/>
      <c r="M2906" s="142" t="n"/>
      <c r="N2906" s="146">
        <f>IF(AND(AND(F2906="",G2906=""),B2906="",C2906="",D2906="",J2906="",K2906="",L2906=""),"",IF(AND(F2906="",G2906=""),"✗ 没填金额",IF(AND(N(F2906)&lt;&gt;0,N(G2906)&lt;&gt;0),"✗ 收入、支出只能填一边",IF(NOT(ISNUMBER(B2906)),"✗ 日期不是真日期（要像 2026/9/25 这样填）",IF(OR(B2906&lt;年初日,B2906&gt;年末日),"✗ 日期不在本会计年度",IF(C2906="","✗ 没选账户",IF(COUNTIF(基础资料!$W$5:$W$24,C2906)=0,"✗ 账户不在基础资料里",IF(O2906="","✗ 没选收支项目",IF(P2906="未知","✗ 收支项目不在基础资料里",IF(AND(P2906="应收",J2906=""),"✗ 这笔要选客户",IF(AND(P2906="应收",COUNTIF(总览汇总!$B$5:$B$304,J2906)=0),"✗ 客户不在总览汇总名单里",IF(AND(P2906="应付",K2906=""),"✗ 这笔要选供应商",IF(AND(P2906="应付",COUNTIF(基础资料!$Q$5:$Q$54,K2906)=0),"✗ 供应商不在基础资料里",IF(AND(P2906="费用",L2906=""),"✗ 费用支出要选费用项目",IF(AND(L2906&lt;&gt;"",COUNTIF(基础资料!$AI$5:$AI$54,L2906)=0),"✗ 费用项目不在基础资料里",IF(AND(IFERROR(INDEX(基础资料!$AD$5:$AD$34,MATCH(O2906,基础资料!$AC$5:$AC$34,0)),"")="收",N(G2906)&lt;&gt;0),"✗ 这类是收款，金额填到收入列",IF(AND(IFERROR(INDEX(基础资料!$AD$5:$AD$34,MATCH(O2906,基础资料!$AC$5:$AC$34,0)),"")="支",N(F2906)&lt;&gt;0),"✗ 这类是付款，金额填到支出列",IF(N(H2906)&lt;0,"⚠ 账户余额成负数了，核对一下","√"))))))))))))))))))</f>
      </c>
      <c r="O2906" s="78">
        <f>IF(D2906&lt;&gt;"",D2906,IF(AND(F2906="",G2906=""),"",IF(J2906&lt;&gt;"",IF(N(F2906)&gt;0,"客户回款","客户退款"),IF(K2906&lt;&gt;"",IF(N(G2906)&gt;0,"供应商付款","供应商退款"),IF(L2906&lt;&gt;"","费用支出","")))))</f>
      </c>
      <c r="P2906" s="78">
        <f>IF(O2906="","",IFERROR(INDEX(基础资料!$AE$5:$AE$34,MATCH(O2906,基础资料!$AC$5:$AC$34,0)),"未知"))</f>
      </c>
      <c r="Q2906" s="78">
        <f>IF(P2906="应收",COUNTIF(P$7:P2906,"应收"),"")</f>
      </c>
      <c r="R2906" s="78">
        <f>IF(P2906="应付",COUNTIF(P$7:P2906,"应付"),"")</f>
      </c>
      <c r="S2906" s="78">
        <f>N(F2906)-N(G2906)</f>
        <v>0</v>
      </c>
    </row>
    <row r="2907">
      <c r="A2907" s="109">
        <f>IF(AND(F2907="",G2907=""),"",ROW()-6)</f>
      </c>
      <c r="B2907" s="140" t="n"/>
      <c r="C2907" s="141" t="n"/>
      <c r="D2907" s="141" t="n"/>
      <c r="E2907" s="142" t="n"/>
      <c r="F2907" s="143" t="n"/>
      <c r="G2907" s="144" t="n"/>
      <c r="H2907" s="145">
        <f>IF(OR(C2907="",AND(F2907="",G2907="")),"",SUMIF(基础资料!$W$5:$W$24,C2907,基础资料!$X$5:$X$24)+SUMIF(C$7:C2907,C2907,F$7:F2907)-SUMIF(C$7:C2907,C2907,G$7:G2907))</f>
      </c>
      <c r="I2907" s="145">
        <f>IF(AND(F2907="",G2907=""),"",SUM(基础资料!$X$5:$X$24)+SUM(F$7:F2907)-SUM(G$7:G2907))</f>
      </c>
      <c r="J2907" s="141" t="n"/>
      <c r="K2907" s="141" t="n"/>
      <c r="L2907" s="141" t="n"/>
      <c r="M2907" s="142" t="n"/>
      <c r="N2907" s="146">
        <f>IF(AND(AND(F2907="",G2907=""),B2907="",C2907="",D2907="",J2907="",K2907="",L2907=""),"",IF(AND(F2907="",G2907=""),"✗ 没填金额",IF(AND(N(F2907)&lt;&gt;0,N(G2907)&lt;&gt;0),"✗ 收入、支出只能填一边",IF(NOT(ISNUMBER(B2907)),"✗ 日期不是真日期（要像 2026/9/25 这样填）",IF(OR(B2907&lt;年初日,B2907&gt;年末日),"✗ 日期不在本会计年度",IF(C2907="","✗ 没选账户",IF(COUNTIF(基础资料!$W$5:$W$24,C2907)=0,"✗ 账户不在基础资料里",IF(O2907="","✗ 没选收支项目",IF(P2907="未知","✗ 收支项目不在基础资料里",IF(AND(P2907="应收",J2907=""),"✗ 这笔要选客户",IF(AND(P2907="应收",COUNTIF(总览汇总!$B$5:$B$304,J2907)=0),"✗ 客户不在总览汇总名单里",IF(AND(P2907="应付",K2907=""),"✗ 这笔要选供应商",IF(AND(P2907="应付",COUNTIF(基础资料!$Q$5:$Q$54,K2907)=0),"✗ 供应商不在基础资料里",IF(AND(P2907="费用",L2907=""),"✗ 费用支出要选费用项目",IF(AND(L2907&lt;&gt;"",COUNTIF(基础资料!$AI$5:$AI$54,L2907)=0),"✗ 费用项目不在基础资料里",IF(AND(IFERROR(INDEX(基础资料!$AD$5:$AD$34,MATCH(O2907,基础资料!$AC$5:$AC$34,0)),"")="收",N(G2907)&lt;&gt;0),"✗ 这类是收款，金额填到收入列",IF(AND(IFERROR(INDEX(基础资料!$AD$5:$AD$34,MATCH(O2907,基础资料!$AC$5:$AC$34,0)),"")="支",N(F2907)&lt;&gt;0),"✗ 这类是付款，金额填到支出列",IF(N(H2907)&lt;0,"⚠ 账户余额成负数了，核对一下","√"))))))))))))))))))</f>
      </c>
      <c r="O2907" s="78">
        <f>IF(D2907&lt;&gt;"",D2907,IF(AND(F2907="",G2907=""),"",IF(J2907&lt;&gt;"",IF(N(F2907)&gt;0,"客户回款","客户退款"),IF(K2907&lt;&gt;"",IF(N(G2907)&gt;0,"供应商付款","供应商退款"),IF(L2907&lt;&gt;"","费用支出","")))))</f>
      </c>
      <c r="P2907" s="78">
        <f>IF(O2907="","",IFERROR(INDEX(基础资料!$AE$5:$AE$34,MATCH(O2907,基础资料!$AC$5:$AC$34,0)),"未知"))</f>
      </c>
      <c r="Q2907" s="78">
        <f>IF(P2907="应收",COUNTIF(P$7:P2907,"应收"),"")</f>
      </c>
      <c r="R2907" s="78">
        <f>IF(P2907="应付",COUNTIF(P$7:P2907,"应付"),"")</f>
      </c>
      <c r="S2907" s="78">
        <f>N(F2907)-N(G2907)</f>
        <v>0</v>
      </c>
    </row>
    <row r="2908">
      <c r="A2908" s="109">
        <f>IF(AND(F2908="",G2908=""),"",ROW()-6)</f>
      </c>
      <c r="B2908" s="140" t="n"/>
      <c r="C2908" s="141" t="n"/>
      <c r="D2908" s="141" t="n"/>
      <c r="E2908" s="142" t="n"/>
      <c r="F2908" s="143" t="n"/>
      <c r="G2908" s="144" t="n"/>
      <c r="H2908" s="145">
        <f>IF(OR(C2908="",AND(F2908="",G2908="")),"",SUMIF(基础资料!$W$5:$W$24,C2908,基础资料!$X$5:$X$24)+SUMIF(C$7:C2908,C2908,F$7:F2908)-SUMIF(C$7:C2908,C2908,G$7:G2908))</f>
      </c>
      <c r="I2908" s="145">
        <f>IF(AND(F2908="",G2908=""),"",SUM(基础资料!$X$5:$X$24)+SUM(F$7:F2908)-SUM(G$7:G2908))</f>
      </c>
      <c r="J2908" s="141" t="n"/>
      <c r="K2908" s="141" t="n"/>
      <c r="L2908" s="141" t="n"/>
      <c r="M2908" s="142" t="n"/>
      <c r="N2908" s="146">
        <f>IF(AND(AND(F2908="",G2908=""),B2908="",C2908="",D2908="",J2908="",K2908="",L2908=""),"",IF(AND(F2908="",G2908=""),"✗ 没填金额",IF(AND(N(F2908)&lt;&gt;0,N(G2908)&lt;&gt;0),"✗ 收入、支出只能填一边",IF(NOT(ISNUMBER(B2908)),"✗ 日期不是真日期（要像 2026/9/25 这样填）",IF(OR(B2908&lt;年初日,B2908&gt;年末日),"✗ 日期不在本会计年度",IF(C2908="","✗ 没选账户",IF(COUNTIF(基础资料!$W$5:$W$24,C2908)=0,"✗ 账户不在基础资料里",IF(O2908="","✗ 没选收支项目",IF(P2908="未知","✗ 收支项目不在基础资料里",IF(AND(P2908="应收",J2908=""),"✗ 这笔要选客户",IF(AND(P2908="应收",COUNTIF(总览汇总!$B$5:$B$304,J2908)=0),"✗ 客户不在总览汇总名单里",IF(AND(P2908="应付",K2908=""),"✗ 这笔要选供应商",IF(AND(P2908="应付",COUNTIF(基础资料!$Q$5:$Q$54,K2908)=0),"✗ 供应商不在基础资料里",IF(AND(P2908="费用",L2908=""),"✗ 费用支出要选费用项目",IF(AND(L2908&lt;&gt;"",COUNTIF(基础资料!$AI$5:$AI$54,L2908)=0),"✗ 费用项目不在基础资料里",IF(AND(IFERROR(INDEX(基础资料!$AD$5:$AD$34,MATCH(O2908,基础资料!$AC$5:$AC$34,0)),"")="收",N(G2908)&lt;&gt;0),"✗ 这类是收款，金额填到收入列",IF(AND(IFERROR(INDEX(基础资料!$AD$5:$AD$34,MATCH(O2908,基础资料!$AC$5:$AC$34,0)),"")="支",N(F2908)&lt;&gt;0),"✗ 这类是付款，金额填到支出列",IF(N(H2908)&lt;0,"⚠ 账户余额成负数了，核对一下","√"))))))))))))))))))</f>
      </c>
      <c r="O2908" s="78">
        <f>IF(D2908&lt;&gt;"",D2908,IF(AND(F2908="",G2908=""),"",IF(J2908&lt;&gt;"",IF(N(F2908)&gt;0,"客户回款","客户退款"),IF(K2908&lt;&gt;"",IF(N(G2908)&gt;0,"供应商付款","供应商退款"),IF(L2908&lt;&gt;"","费用支出","")))))</f>
      </c>
      <c r="P2908" s="78">
        <f>IF(O2908="","",IFERROR(INDEX(基础资料!$AE$5:$AE$34,MATCH(O2908,基础资料!$AC$5:$AC$34,0)),"未知"))</f>
      </c>
      <c r="Q2908" s="78">
        <f>IF(P2908="应收",COUNTIF(P$7:P2908,"应收"),"")</f>
      </c>
      <c r="R2908" s="78">
        <f>IF(P2908="应付",COUNTIF(P$7:P2908,"应付"),"")</f>
      </c>
      <c r="S2908" s="78">
        <f>N(F2908)-N(G2908)</f>
        <v>0</v>
      </c>
    </row>
    <row r="2909">
      <c r="A2909" s="109">
        <f>IF(AND(F2909="",G2909=""),"",ROW()-6)</f>
      </c>
      <c r="B2909" s="140" t="n"/>
      <c r="C2909" s="141" t="n"/>
      <c r="D2909" s="141" t="n"/>
      <c r="E2909" s="142" t="n"/>
      <c r="F2909" s="143" t="n"/>
      <c r="G2909" s="144" t="n"/>
      <c r="H2909" s="145">
        <f>IF(OR(C2909="",AND(F2909="",G2909="")),"",SUMIF(基础资料!$W$5:$W$24,C2909,基础资料!$X$5:$X$24)+SUMIF(C$7:C2909,C2909,F$7:F2909)-SUMIF(C$7:C2909,C2909,G$7:G2909))</f>
      </c>
      <c r="I2909" s="145">
        <f>IF(AND(F2909="",G2909=""),"",SUM(基础资料!$X$5:$X$24)+SUM(F$7:F2909)-SUM(G$7:G2909))</f>
      </c>
      <c r="J2909" s="141" t="n"/>
      <c r="K2909" s="141" t="n"/>
      <c r="L2909" s="141" t="n"/>
      <c r="M2909" s="142" t="n"/>
      <c r="N2909" s="146">
        <f>IF(AND(AND(F2909="",G2909=""),B2909="",C2909="",D2909="",J2909="",K2909="",L2909=""),"",IF(AND(F2909="",G2909=""),"✗ 没填金额",IF(AND(N(F2909)&lt;&gt;0,N(G2909)&lt;&gt;0),"✗ 收入、支出只能填一边",IF(NOT(ISNUMBER(B2909)),"✗ 日期不是真日期（要像 2026/9/25 这样填）",IF(OR(B2909&lt;年初日,B2909&gt;年末日),"✗ 日期不在本会计年度",IF(C2909="","✗ 没选账户",IF(COUNTIF(基础资料!$W$5:$W$24,C2909)=0,"✗ 账户不在基础资料里",IF(O2909="","✗ 没选收支项目",IF(P2909="未知","✗ 收支项目不在基础资料里",IF(AND(P2909="应收",J2909=""),"✗ 这笔要选客户",IF(AND(P2909="应收",COUNTIF(总览汇总!$B$5:$B$304,J2909)=0),"✗ 客户不在总览汇总名单里",IF(AND(P2909="应付",K2909=""),"✗ 这笔要选供应商",IF(AND(P2909="应付",COUNTIF(基础资料!$Q$5:$Q$54,K2909)=0),"✗ 供应商不在基础资料里",IF(AND(P2909="费用",L2909=""),"✗ 费用支出要选费用项目",IF(AND(L2909&lt;&gt;"",COUNTIF(基础资料!$AI$5:$AI$54,L2909)=0),"✗ 费用项目不在基础资料里",IF(AND(IFERROR(INDEX(基础资料!$AD$5:$AD$34,MATCH(O2909,基础资料!$AC$5:$AC$34,0)),"")="收",N(G2909)&lt;&gt;0),"✗ 这类是收款，金额填到收入列",IF(AND(IFERROR(INDEX(基础资料!$AD$5:$AD$34,MATCH(O2909,基础资料!$AC$5:$AC$34,0)),"")="支",N(F2909)&lt;&gt;0),"✗ 这类是付款，金额填到支出列",IF(N(H2909)&lt;0,"⚠ 账户余额成负数了，核对一下","√"))))))))))))))))))</f>
      </c>
      <c r="O2909" s="78">
        <f>IF(D2909&lt;&gt;"",D2909,IF(AND(F2909="",G2909=""),"",IF(J2909&lt;&gt;"",IF(N(F2909)&gt;0,"客户回款","客户退款"),IF(K2909&lt;&gt;"",IF(N(G2909)&gt;0,"供应商付款","供应商退款"),IF(L2909&lt;&gt;"","费用支出","")))))</f>
      </c>
      <c r="P2909" s="78">
        <f>IF(O2909="","",IFERROR(INDEX(基础资料!$AE$5:$AE$34,MATCH(O2909,基础资料!$AC$5:$AC$34,0)),"未知"))</f>
      </c>
      <c r="Q2909" s="78">
        <f>IF(P2909="应收",COUNTIF(P$7:P2909,"应收"),"")</f>
      </c>
      <c r="R2909" s="78">
        <f>IF(P2909="应付",COUNTIF(P$7:P2909,"应付"),"")</f>
      </c>
      <c r="S2909" s="78">
        <f>N(F2909)-N(G2909)</f>
        <v>0</v>
      </c>
    </row>
    <row r="2910">
      <c r="A2910" s="109">
        <f>IF(AND(F2910="",G2910=""),"",ROW()-6)</f>
      </c>
      <c r="B2910" s="140" t="n"/>
      <c r="C2910" s="141" t="n"/>
      <c r="D2910" s="141" t="n"/>
      <c r="E2910" s="142" t="n"/>
      <c r="F2910" s="143" t="n"/>
      <c r="G2910" s="144" t="n"/>
      <c r="H2910" s="145">
        <f>IF(OR(C2910="",AND(F2910="",G2910="")),"",SUMIF(基础资料!$W$5:$W$24,C2910,基础资料!$X$5:$X$24)+SUMIF(C$7:C2910,C2910,F$7:F2910)-SUMIF(C$7:C2910,C2910,G$7:G2910))</f>
      </c>
      <c r="I2910" s="145">
        <f>IF(AND(F2910="",G2910=""),"",SUM(基础资料!$X$5:$X$24)+SUM(F$7:F2910)-SUM(G$7:G2910))</f>
      </c>
      <c r="J2910" s="141" t="n"/>
      <c r="K2910" s="141" t="n"/>
      <c r="L2910" s="141" t="n"/>
      <c r="M2910" s="142" t="n"/>
      <c r="N2910" s="146">
        <f>IF(AND(AND(F2910="",G2910=""),B2910="",C2910="",D2910="",J2910="",K2910="",L2910=""),"",IF(AND(F2910="",G2910=""),"✗ 没填金额",IF(AND(N(F2910)&lt;&gt;0,N(G2910)&lt;&gt;0),"✗ 收入、支出只能填一边",IF(NOT(ISNUMBER(B2910)),"✗ 日期不是真日期（要像 2026/9/25 这样填）",IF(OR(B2910&lt;年初日,B2910&gt;年末日),"✗ 日期不在本会计年度",IF(C2910="","✗ 没选账户",IF(COUNTIF(基础资料!$W$5:$W$24,C2910)=0,"✗ 账户不在基础资料里",IF(O2910="","✗ 没选收支项目",IF(P2910="未知","✗ 收支项目不在基础资料里",IF(AND(P2910="应收",J2910=""),"✗ 这笔要选客户",IF(AND(P2910="应收",COUNTIF(总览汇总!$B$5:$B$304,J2910)=0),"✗ 客户不在总览汇总名单里",IF(AND(P2910="应付",K2910=""),"✗ 这笔要选供应商",IF(AND(P2910="应付",COUNTIF(基础资料!$Q$5:$Q$54,K2910)=0),"✗ 供应商不在基础资料里",IF(AND(P2910="费用",L2910=""),"✗ 费用支出要选费用项目",IF(AND(L2910&lt;&gt;"",COUNTIF(基础资料!$AI$5:$AI$54,L2910)=0),"✗ 费用项目不在基础资料里",IF(AND(IFERROR(INDEX(基础资料!$AD$5:$AD$34,MATCH(O2910,基础资料!$AC$5:$AC$34,0)),"")="收",N(G2910)&lt;&gt;0),"✗ 这类是收款，金额填到收入列",IF(AND(IFERROR(INDEX(基础资料!$AD$5:$AD$34,MATCH(O2910,基础资料!$AC$5:$AC$34,0)),"")="支",N(F2910)&lt;&gt;0),"✗ 这类是付款，金额填到支出列",IF(N(H2910)&lt;0,"⚠ 账户余额成负数了，核对一下","√"))))))))))))))))))</f>
      </c>
      <c r="O2910" s="78">
        <f>IF(D2910&lt;&gt;"",D2910,IF(AND(F2910="",G2910=""),"",IF(J2910&lt;&gt;"",IF(N(F2910)&gt;0,"客户回款","客户退款"),IF(K2910&lt;&gt;"",IF(N(G2910)&gt;0,"供应商付款","供应商退款"),IF(L2910&lt;&gt;"","费用支出","")))))</f>
      </c>
      <c r="P2910" s="78">
        <f>IF(O2910="","",IFERROR(INDEX(基础资料!$AE$5:$AE$34,MATCH(O2910,基础资料!$AC$5:$AC$34,0)),"未知"))</f>
      </c>
      <c r="Q2910" s="78">
        <f>IF(P2910="应收",COUNTIF(P$7:P2910,"应收"),"")</f>
      </c>
      <c r="R2910" s="78">
        <f>IF(P2910="应付",COUNTIF(P$7:P2910,"应付"),"")</f>
      </c>
      <c r="S2910" s="78">
        <f>N(F2910)-N(G2910)</f>
        <v>0</v>
      </c>
    </row>
    <row r="2911">
      <c r="A2911" s="109">
        <f>IF(AND(F2911="",G2911=""),"",ROW()-6)</f>
      </c>
      <c r="B2911" s="140" t="n"/>
      <c r="C2911" s="141" t="n"/>
      <c r="D2911" s="141" t="n"/>
      <c r="E2911" s="142" t="n"/>
      <c r="F2911" s="143" t="n"/>
      <c r="G2911" s="144" t="n"/>
      <c r="H2911" s="145">
        <f>IF(OR(C2911="",AND(F2911="",G2911="")),"",SUMIF(基础资料!$W$5:$W$24,C2911,基础资料!$X$5:$X$24)+SUMIF(C$7:C2911,C2911,F$7:F2911)-SUMIF(C$7:C2911,C2911,G$7:G2911))</f>
      </c>
      <c r="I2911" s="145">
        <f>IF(AND(F2911="",G2911=""),"",SUM(基础资料!$X$5:$X$24)+SUM(F$7:F2911)-SUM(G$7:G2911))</f>
      </c>
      <c r="J2911" s="141" t="n"/>
      <c r="K2911" s="141" t="n"/>
      <c r="L2911" s="141" t="n"/>
      <c r="M2911" s="142" t="n"/>
      <c r="N2911" s="146">
        <f>IF(AND(AND(F2911="",G2911=""),B2911="",C2911="",D2911="",J2911="",K2911="",L2911=""),"",IF(AND(F2911="",G2911=""),"✗ 没填金额",IF(AND(N(F2911)&lt;&gt;0,N(G2911)&lt;&gt;0),"✗ 收入、支出只能填一边",IF(NOT(ISNUMBER(B2911)),"✗ 日期不是真日期（要像 2026/9/25 这样填）",IF(OR(B2911&lt;年初日,B2911&gt;年末日),"✗ 日期不在本会计年度",IF(C2911="","✗ 没选账户",IF(COUNTIF(基础资料!$W$5:$W$24,C2911)=0,"✗ 账户不在基础资料里",IF(O2911="","✗ 没选收支项目",IF(P2911="未知","✗ 收支项目不在基础资料里",IF(AND(P2911="应收",J2911=""),"✗ 这笔要选客户",IF(AND(P2911="应收",COUNTIF(总览汇总!$B$5:$B$304,J2911)=0),"✗ 客户不在总览汇总名单里",IF(AND(P2911="应付",K2911=""),"✗ 这笔要选供应商",IF(AND(P2911="应付",COUNTIF(基础资料!$Q$5:$Q$54,K2911)=0),"✗ 供应商不在基础资料里",IF(AND(P2911="费用",L2911=""),"✗ 费用支出要选费用项目",IF(AND(L2911&lt;&gt;"",COUNTIF(基础资料!$AI$5:$AI$54,L2911)=0),"✗ 费用项目不在基础资料里",IF(AND(IFERROR(INDEX(基础资料!$AD$5:$AD$34,MATCH(O2911,基础资料!$AC$5:$AC$34,0)),"")="收",N(G2911)&lt;&gt;0),"✗ 这类是收款，金额填到收入列",IF(AND(IFERROR(INDEX(基础资料!$AD$5:$AD$34,MATCH(O2911,基础资料!$AC$5:$AC$34,0)),"")="支",N(F2911)&lt;&gt;0),"✗ 这类是付款，金额填到支出列",IF(N(H2911)&lt;0,"⚠ 账户余额成负数了，核对一下","√"))))))))))))))))))</f>
      </c>
      <c r="O2911" s="78">
        <f>IF(D2911&lt;&gt;"",D2911,IF(AND(F2911="",G2911=""),"",IF(J2911&lt;&gt;"",IF(N(F2911)&gt;0,"客户回款","客户退款"),IF(K2911&lt;&gt;"",IF(N(G2911)&gt;0,"供应商付款","供应商退款"),IF(L2911&lt;&gt;"","费用支出","")))))</f>
      </c>
      <c r="P2911" s="78">
        <f>IF(O2911="","",IFERROR(INDEX(基础资料!$AE$5:$AE$34,MATCH(O2911,基础资料!$AC$5:$AC$34,0)),"未知"))</f>
      </c>
      <c r="Q2911" s="78">
        <f>IF(P2911="应收",COUNTIF(P$7:P2911,"应收"),"")</f>
      </c>
      <c r="R2911" s="78">
        <f>IF(P2911="应付",COUNTIF(P$7:P2911,"应付"),"")</f>
      </c>
      <c r="S2911" s="78">
        <f>N(F2911)-N(G2911)</f>
        <v>0</v>
      </c>
    </row>
    <row r="2912">
      <c r="A2912" s="109">
        <f>IF(AND(F2912="",G2912=""),"",ROW()-6)</f>
      </c>
      <c r="B2912" s="140" t="n"/>
      <c r="C2912" s="141" t="n"/>
      <c r="D2912" s="141" t="n"/>
      <c r="E2912" s="142" t="n"/>
      <c r="F2912" s="143" t="n"/>
      <c r="G2912" s="144" t="n"/>
      <c r="H2912" s="145">
        <f>IF(OR(C2912="",AND(F2912="",G2912="")),"",SUMIF(基础资料!$W$5:$W$24,C2912,基础资料!$X$5:$X$24)+SUMIF(C$7:C2912,C2912,F$7:F2912)-SUMIF(C$7:C2912,C2912,G$7:G2912))</f>
      </c>
      <c r="I2912" s="145">
        <f>IF(AND(F2912="",G2912=""),"",SUM(基础资料!$X$5:$X$24)+SUM(F$7:F2912)-SUM(G$7:G2912))</f>
      </c>
      <c r="J2912" s="141" t="n"/>
      <c r="K2912" s="141" t="n"/>
      <c r="L2912" s="141" t="n"/>
      <c r="M2912" s="142" t="n"/>
      <c r="N2912" s="146">
        <f>IF(AND(AND(F2912="",G2912=""),B2912="",C2912="",D2912="",J2912="",K2912="",L2912=""),"",IF(AND(F2912="",G2912=""),"✗ 没填金额",IF(AND(N(F2912)&lt;&gt;0,N(G2912)&lt;&gt;0),"✗ 收入、支出只能填一边",IF(NOT(ISNUMBER(B2912)),"✗ 日期不是真日期（要像 2026/9/25 这样填）",IF(OR(B2912&lt;年初日,B2912&gt;年末日),"✗ 日期不在本会计年度",IF(C2912="","✗ 没选账户",IF(COUNTIF(基础资料!$W$5:$W$24,C2912)=0,"✗ 账户不在基础资料里",IF(O2912="","✗ 没选收支项目",IF(P2912="未知","✗ 收支项目不在基础资料里",IF(AND(P2912="应收",J2912=""),"✗ 这笔要选客户",IF(AND(P2912="应收",COUNTIF(总览汇总!$B$5:$B$304,J2912)=0),"✗ 客户不在总览汇总名单里",IF(AND(P2912="应付",K2912=""),"✗ 这笔要选供应商",IF(AND(P2912="应付",COUNTIF(基础资料!$Q$5:$Q$54,K2912)=0),"✗ 供应商不在基础资料里",IF(AND(P2912="费用",L2912=""),"✗ 费用支出要选费用项目",IF(AND(L2912&lt;&gt;"",COUNTIF(基础资料!$AI$5:$AI$54,L2912)=0),"✗ 费用项目不在基础资料里",IF(AND(IFERROR(INDEX(基础资料!$AD$5:$AD$34,MATCH(O2912,基础资料!$AC$5:$AC$34,0)),"")="收",N(G2912)&lt;&gt;0),"✗ 这类是收款，金额填到收入列",IF(AND(IFERROR(INDEX(基础资料!$AD$5:$AD$34,MATCH(O2912,基础资料!$AC$5:$AC$34,0)),"")="支",N(F2912)&lt;&gt;0),"✗ 这类是付款，金额填到支出列",IF(N(H2912)&lt;0,"⚠ 账户余额成负数了，核对一下","√"))))))))))))))))))</f>
      </c>
      <c r="O2912" s="78">
        <f>IF(D2912&lt;&gt;"",D2912,IF(AND(F2912="",G2912=""),"",IF(J2912&lt;&gt;"",IF(N(F2912)&gt;0,"客户回款","客户退款"),IF(K2912&lt;&gt;"",IF(N(G2912)&gt;0,"供应商付款","供应商退款"),IF(L2912&lt;&gt;"","费用支出","")))))</f>
      </c>
      <c r="P2912" s="78">
        <f>IF(O2912="","",IFERROR(INDEX(基础资料!$AE$5:$AE$34,MATCH(O2912,基础资料!$AC$5:$AC$34,0)),"未知"))</f>
      </c>
      <c r="Q2912" s="78">
        <f>IF(P2912="应收",COUNTIF(P$7:P2912,"应收"),"")</f>
      </c>
      <c r="R2912" s="78">
        <f>IF(P2912="应付",COUNTIF(P$7:P2912,"应付"),"")</f>
      </c>
      <c r="S2912" s="78">
        <f>N(F2912)-N(G2912)</f>
        <v>0</v>
      </c>
    </row>
    <row r="2913">
      <c r="A2913" s="109">
        <f>IF(AND(F2913="",G2913=""),"",ROW()-6)</f>
      </c>
      <c r="B2913" s="140" t="n"/>
      <c r="C2913" s="141" t="n"/>
      <c r="D2913" s="141" t="n"/>
      <c r="E2913" s="142" t="n"/>
      <c r="F2913" s="143" t="n"/>
      <c r="G2913" s="144" t="n"/>
      <c r="H2913" s="145">
        <f>IF(OR(C2913="",AND(F2913="",G2913="")),"",SUMIF(基础资料!$W$5:$W$24,C2913,基础资料!$X$5:$X$24)+SUMIF(C$7:C2913,C2913,F$7:F2913)-SUMIF(C$7:C2913,C2913,G$7:G2913))</f>
      </c>
      <c r="I2913" s="145">
        <f>IF(AND(F2913="",G2913=""),"",SUM(基础资料!$X$5:$X$24)+SUM(F$7:F2913)-SUM(G$7:G2913))</f>
      </c>
      <c r="J2913" s="141" t="n"/>
      <c r="K2913" s="141" t="n"/>
      <c r="L2913" s="141" t="n"/>
      <c r="M2913" s="142" t="n"/>
      <c r="N2913" s="146">
        <f>IF(AND(AND(F2913="",G2913=""),B2913="",C2913="",D2913="",J2913="",K2913="",L2913=""),"",IF(AND(F2913="",G2913=""),"✗ 没填金额",IF(AND(N(F2913)&lt;&gt;0,N(G2913)&lt;&gt;0),"✗ 收入、支出只能填一边",IF(NOT(ISNUMBER(B2913)),"✗ 日期不是真日期（要像 2026/9/25 这样填）",IF(OR(B2913&lt;年初日,B2913&gt;年末日),"✗ 日期不在本会计年度",IF(C2913="","✗ 没选账户",IF(COUNTIF(基础资料!$W$5:$W$24,C2913)=0,"✗ 账户不在基础资料里",IF(O2913="","✗ 没选收支项目",IF(P2913="未知","✗ 收支项目不在基础资料里",IF(AND(P2913="应收",J2913=""),"✗ 这笔要选客户",IF(AND(P2913="应收",COUNTIF(总览汇总!$B$5:$B$304,J2913)=0),"✗ 客户不在总览汇总名单里",IF(AND(P2913="应付",K2913=""),"✗ 这笔要选供应商",IF(AND(P2913="应付",COUNTIF(基础资料!$Q$5:$Q$54,K2913)=0),"✗ 供应商不在基础资料里",IF(AND(P2913="费用",L2913=""),"✗ 费用支出要选费用项目",IF(AND(L2913&lt;&gt;"",COUNTIF(基础资料!$AI$5:$AI$54,L2913)=0),"✗ 费用项目不在基础资料里",IF(AND(IFERROR(INDEX(基础资料!$AD$5:$AD$34,MATCH(O2913,基础资料!$AC$5:$AC$34,0)),"")="收",N(G2913)&lt;&gt;0),"✗ 这类是收款，金额填到收入列",IF(AND(IFERROR(INDEX(基础资料!$AD$5:$AD$34,MATCH(O2913,基础资料!$AC$5:$AC$34,0)),"")="支",N(F2913)&lt;&gt;0),"✗ 这类是付款，金额填到支出列",IF(N(H2913)&lt;0,"⚠ 账户余额成负数了，核对一下","√"))))))))))))))))))</f>
      </c>
      <c r="O2913" s="78">
        <f>IF(D2913&lt;&gt;"",D2913,IF(AND(F2913="",G2913=""),"",IF(J2913&lt;&gt;"",IF(N(F2913)&gt;0,"客户回款","客户退款"),IF(K2913&lt;&gt;"",IF(N(G2913)&gt;0,"供应商付款","供应商退款"),IF(L2913&lt;&gt;"","费用支出","")))))</f>
      </c>
      <c r="P2913" s="78">
        <f>IF(O2913="","",IFERROR(INDEX(基础资料!$AE$5:$AE$34,MATCH(O2913,基础资料!$AC$5:$AC$34,0)),"未知"))</f>
      </c>
      <c r="Q2913" s="78">
        <f>IF(P2913="应收",COUNTIF(P$7:P2913,"应收"),"")</f>
      </c>
      <c r="R2913" s="78">
        <f>IF(P2913="应付",COUNTIF(P$7:P2913,"应付"),"")</f>
      </c>
      <c r="S2913" s="78">
        <f>N(F2913)-N(G2913)</f>
        <v>0</v>
      </c>
    </row>
    <row r="2914">
      <c r="A2914" s="109">
        <f>IF(AND(F2914="",G2914=""),"",ROW()-6)</f>
      </c>
      <c r="B2914" s="140" t="n"/>
      <c r="C2914" s="141" t="n"/>
      <c r="D2914" s="141" t="n"/>
      <c r="E2914" s="142" t="n"/>
      <c r="F2914" s="143" t="n"/>
      <c r="G2914" s="144" t="n"/>
      <c r="H2914" s="145">
        <f>IF(OR(C2914="",AND(F2914="",G2914="")),"",SUMIF(基础资料!$W$5:$W$24,C2914,基础资料!$X$5:$X$24)+SUMIF(C$7:C2914,C2914,F$7:F2914)-SUMIF(C$7:C2914,C2914,G$7:G2914))</f>
      </c>
      <c r="I2914" s="145">
        <f>IF(AND(F2914="",G2914=""),"",SUM(基础资料!$X$5:$X$24)+SUM(F$7:F2914)-SUM(G$7:G2914))</f>
      </c>
      <c r="J2914" s="141" t="n"/>
      <c r="K2914" s="141" t="n"/>
      <c r="L2914" s="141" t="n"/>
      <c r="M2914" s="142" t="n"/>
      <c r="N2914" s="146">
        <f>IF(AND(AND(F2914="",G2914=""),B2914="",C2914="",D2914="",J2914="",K2914="",L2914=""),"",IF(AND(F2914="",G2914=""),"✗ 没填金额",IF(AND(N(F2914)&lt;&gt;0,N(G2914)&lt;&gt;0),"✗ 收入、支出只能填一边",IF(NOT(ISNUMBER(B2914)),"✗ 日期不是真日期（要像 2026/9/25 这样填）",IF(OR(B2914&lt;年初日,B2914&gt;年末日),"✗ 日期不在本会计年度",IF(C2914="","✗ 没选账户",IF(COUNTIF(基础资料!$W$5:$W$24,C2914)=0,"✗ 账户不在基础资料里",IF(O2914="","✗ 没选收支项目",IF(P2914="未知","✗ 收支项目不在基础资料里",IF(AND(P2914="应收",J2914=""),"✗ 这笔要选客户",IF(AND(P2914="应收",COUNTIF(总览汇总!$B$5:$B$304,J2914)=0),"✗ 客户不在总览汇总名单里",IF(AND(P2914="应付",K2914=""),"✗ 这笔要选供应商",IF(AND(P2914="应付",COUNTIF(基础资料!$Q$5:$Q$54,K2914)=0),"✗ 供应商不在基础资料里",IF(AND(P2914="费用",L2914=""),"✗ 费用支出要选费用项目",IF(AND(L2914&lt;&gt;"",COUNTIF(基础资料!$AI$5:$AI$54,L2914)=0),"✗ 费用项目不在基础资料里",IF(AND(IFERROR(INDEX(基础资料!$AD$5:$AD$34,MATCH(O2914,基础资料!$AC$5:$AC$34,0)),"")="收",N(G2914)&lt;&gt;0),"✗ 这类是收款，金额填到收入列",IF(AND(IFERROR(INDEX(基础资料!$AD$5:$AD$34,MATCH(O2914,基础资料!$AC$5:$AC$34,0)),"")="支",N(F2914)&lt;&gt;0),"✗ 这类是付款，金额填到支出列",IF(N(H2914)&lt;0,"⚠ 账户余额成负数了，核对一下","√"))))))))))))))))))</f>
      </c>
      <c r="O2914" s="78">
        <f>IF(D2914&lt;&gt;"",D2914,IF(AND(F2914="",G2914=""),"",IF(J2914&lt;&gt;"",IF(N(F2914)&gt;0,"客户回款","客户退款"),IF(K2914&lt;&gt;"",IF(N(G2914)&gt;0,"供应商付款","供应商退款"),IF(L2914&lt;&gt;"","费用支出","")))))</f>
      </c>
      <c r="P2914" s="78">
        <f>IF(O2914="","",IFERROR(INDEX(基础资料!$AE$5:$AE$34,MATCH(O2914,基础资料!$AC$5:$AC$34,0)),"未知"))</f>
      </c>
      <c r="Q2914" s="78">
        <f>IF(P2914="应收",COUNTIF(P$7:P2914,"应收"),"")</f>
      </c>
      <c r="R2914" s="78">
        <f>IF(P2914="应付",COUNTIF(P$7:P2914,"应付"),"")</f>
      </c>
      <c r="S2914" s="78">
        <f>N(F2914)-N(G2914)</f>
        <v>0</v>
      </c>
    </row>
    <row r="2915">
      <c r="A2915" s="109">
        <f>IF(AND(F2915="",G2915=""),"",ROW()-6)</f>
      </c>
      <c r="B2915" s="140" t="n"/>
      <c r="C2915" s="141" t="n"/>
      <c r="D2915" s="141" t="n"/>
      <c r="E2915" s="142" t="n"/>
      <c r="F2915" s="143" t="n"/>
      <c r="G2915" s="144" t="n"/>
      <c r="H2915" s="145">
        <f>IF(OR(C2915="",AND(F2915="",G2915="")),"",SUMIF(基础资料!$W$5:$W$24,C2915,基础资料!$X$5:$X$24)+SUMIF(C$7:C2915,C2915,F$7:F2915)-SUMIF(C$7:C2915,C2915,G$7:G2915))</f>
      </c>
      <c r="I2915" s="145">
        <f>IF(AND(F2915="",G2915=""),"",SUM(基础资料!$X$5:$X$24)+SUM(F$7:F2915)-SUM(G$7:G2915))</f>
      </c>
      <c r="J2915" s="141" t="n"/>
      <c r="K2915" s="141" t="n"/>
      <c r="L2915" s="141" t="n"/>
      <c r="M2915" s="142" t="n"/>
      <c r="N2915" s="146">
        <f>IF(AND(AND(F2915="",G2915=""),B2915="",C2915="",D2915="",J2915="",K2915="",L2915=""),"",IF(AND(F2915="",G2915=""),"✗ 没填金额",IF(AND(N(F2915)&lt;&gt;0,N(G2915)&lt;&gt;0),"✗ 收入、支出只能填一边",IF(NOT(ISNUMBER(B2915)),"✗ 日期不是真日期（要像 2026/9/25 这样填）",IF(OR(B2915&lt;年初日,B2915&gt;年末日),"✗ 日期不在本会计年度",IF(C2915="","✗ 没选账户",IF(COUNTIF(基础资料!$W$5:$W$24,C2915)=0,"✗ 账户不在基础资料里",IF(O2915="","✗ 没选收支项目",IF(P2915="未知","✗ 收支项目不在基础资料里",IF(AND(P2915="应收",J2915=""),"✗ 这笔要选客户",IF(AND(P2915="应收",COUNTIF(总览汇总!$B$5:$B$304,J2915)=0),"✗ 客户不在总览汇总名单里",IF(AND(P2915="应付",K2915=""),"✗ 这笔要选供应商",IF(AND(P2915="应付",COUNTIF(基础资料!$Q$5:$Q$54,K2915)=0),"✗ 供应商不在基础资料里",IF(AND(P2915="费用",L2915=""),"✗ 费用支出要选费用项目",IF(AND(L2915&lt;&gt;"",COUNTIF(基础资料!$AI$5:$AI$54,L2915)=0),"✗ 费用项目不在基础资料里",IF(AND(IFERROR(INDEX(基础资料!$AD$5:$AD$34,MATCH(O2915,基础资料!$AC$5:$AC$34,0)),"")="收",N(G2915)&lt;&gt;0),"✗ 这类是收款，金额填到收入列",IF(AND(IFERROR(INDEX(基础资料!$AD$5:$AD$34,MATCH(O2915,基础资料!$AC$5:$AC$34,0)),"")="支",N(F2915)&lt;&gt;0),"✗ 这类是付款，金额填到支出列",IF(N(H2915)&lt;0,"⚠ 账户余额成负数了，核对一下","√"))))))))))))))))))</f>
      </c>
      <c r="O2915" s="78">
        <f>IF(D2915&lt;&gt;"",D2915,IF(AND(F2915="",G2915=""),"",IF(J2915&lt;&gt;"",IF(N(F2915)&gt;0,"客户回款","客户退款"),IF(K2915&lt;&gt;"",IF(N(G2915)&gt;0,"供应商付款","供应商退款"),IF(L2915&lt;&gt;"","费用支出","")))))</f>
      </c>
      <c r="P2915" s="78">
        <f>IF(O2915="","",IFERROR(INDEX(基础资料!$AE$5:$AE$34,MATCH(O2915,基础资料!$AC$5:$AC$34,0)),"未知"))</f>
      </c>
      <c r="Q2915" s="78">
        <f>IF(P2915="应收",COUNTIF(P$7:P2915,"应收"),"")</f>
      </c>
      <c r="R2915" s="78">
        <f>IF(P2915="应付",COUNTIF(P$7:P2915,"应付"),"")</f>
      </c>
      <c r="S2915" s="78">
        <f>N(F2915)-N(G2915)</f>
        <v>0</v>
      </c>
    </row>
    <row r="2916">
      <c r="A2916" s="109">
        <f>IF(AND(F2916="",G2916=""),"",ROW()-6)</f>
      </c>
      <c r="B2916" s="140" t="n"/>
      <c r="C2916" s="141" t="n"/>
      <c r="D2916" s="141" t="n"/>
      <c r="E2916" s="142" t="n"/>
      <c r="F2916" s="143" t="n"/>
      <c r="G2916" s="144" t="n"/>
      <c r="H2916" s="145">
        <f>IF(OR(C2916="",AND(F2916="",G2916="")),"",SUMIF(基础资料!$W$5:$W$24,C2916,基础资料!$X$5:$X$24)+SUMIF(C$7:C2916,C2916,F$7:F2916)-SUMIF(C$7:C2916,C2916,G$7:G2916))</f>
      </c>
      <c r="I2916" s="145">
        <f>IF(AND(F2916="",G2916=""),"",SUM(基础资料!$X$5:$X$24)+SUM(F$7:F2916)-SUM(G$7:G2916))</f>
      </c>
      <c r="J2916" s="141" t="n"/>
      <c r="K2916" s="141" t="n"/>
      <c r="L2916" s="141" t="n"/>
      <c r="M2916" s="142" t="n"/>
      <c r="N2916" s="146">
        <f>IF(AND(AND(F2916="",G2916=""),B2916="",C2916="",D2916="",J2916="",K2916="",L2916=""),"",IF(AND(F2916="",G2916=""),"✗ 没填金额",IF(AND(N(F2916)&lt;&gt;0,N(G2916)&lt;&gt;0),"✗ 收入、支出只能填一边",IF(NOT(ISNUMBER(B2916)),"✗ 日期不是真日期（要像 2026/9/25 这样填）",IF(OR(B2916&lt;年初日,B2916&gt;年末日),"✗ 日期不在本会计年度",IF(C2916="","✗ 没选账户",IF(COUNTIF(基础资料!$W$5:$W$24,C2916)=0,"✗ 账户不在基础资料里",IF(O2916="","✗ 没选收支项目",IF(P2916="未知","✗ 收支项目不在基础资料里",IF(AND(P2916="应收",J2916=""),"✗ 这笔要选客户",IF(AND(P2916="应收",COUNTIF(总览汇总!$B$5:$B$304,J2916)=0),"✗ 客户不在总览汇总名单里",IF(AND(P2916="应付",K2916=""),"✗ 这笔要选供应商",IF(AND(P2916="应付",COUNTIF(基础资料!$Q$5:$Q$54,K2916)=0),"✗ 供应商不在基础资料里",IF(AND(P2916="费用",L2916=""),"✗ 费用支出要选费用项目",IF(AND(L2916&lt;&gt;"",COUNTIF(基础资料!$AI$5:$AI$54,L2916)=0),"✗ 费用项目不在基础资料里",IF(AND(IFERROR(INDEX(基础资料!$AD$5:$AD$34,MATCH(O2916,基础资料!$AC$5:$AC$34,0)),"")="收",N(G2916)&lt;&gt;0),"✗ 这类是收款，金额填到收入列",IF(AND(IFERROR(INDEX(基础资料!$AD$5:$AD$34,MATCH(O2916,基础资料!$AC$5:$AC$34,0)),"")="支",N(F2916)&lt;&gt;0),"✗ 这类是付款，金额填到支出列",IF(N(H2916)&lt;0,"⚠ 账户余额成负数了，核对一下","√"))))))))))))))))))</f>
      </c>
      <c r="O2916" s="78">
        <f>IF(D2916&lt;&gt;"",D2916,IF(AND(F2916="",G2916=""),"",IF(J2916&lt;&gt;"",IF(N(F2916)&gt;0,"客户回款","客户退款"),IF(K2916&lt;&gt;"",IF(N(G2916)&gt;0,"供应商付款","供应商退款"),IF(L2916&lt;&gt;"","费用支出","")))))</f>
      </c>
      <c r="P2916" s="78">
        <f>IF(O2916="","",IFERROR(INDEX(基础资料!$AE$5:$AE$34,MATCH(O2916,基础资料!$AC$5:$AC$34,0)),"未知"))</f>
      </c>
      <c r="Q2916" s="78">
        <f>IF(P2916="应收",COUNTIF(P$7:P2916,"应收"),"")</f>
      </c>
      <c r="R2916" s="78">
        <f>IF(P2916="应付",COUNTIF(P$7:P2916,"应付"),"")</f>
      </c>
      <c r="S2916" s="78">
        <f>N(F2916)-N(G2916)</f>
        <v>0</v>
      </c>
    </row>
    <row r="2917">
      <c r="A2917" s="109">
        <f>IF(AND(F2917="",G2917=""),"",ROW()-6)</f>
      </c>
      <c r="B2917" s="140" t="n"/>
      <c r="C2917" s="141" t="n"/>
      <c r="D2917" s="141" t="n"/>
      <c r="E2917" s="142" t="n"/>
      <c r="F2917" s="143" t="n"/>
      <c r="G2917" s="144" t="n"/>
      <c r="H2917" s="145">
        <f>IF(OR(C2917="",AND(F2917="",G2917="")),"",SUMIF(基础资料!$W$5:$W$24,C2917,基础资料!$X$5:$X$24)+SUMIF(C$7:C2917,C2917,F$7:F2917)-SUMIF(C$7:C2917,C2917,G$7:G2917))</f>
      </c>
      <c r="I2917" s="145">
        <f>IF(AND(F2917="",G2917=""),"",SUM(基础资料!$X$5:$X$24)+SUM(F$7:F2917)-SUM(G$7:G2917))</f>
      </c>
      <c r="J2917" s="141" t="n"/>
      <c r="K2917" s="141" t="n"/>
      <c r="L2917" s="141" t="n"/>
      <c r="M2917" s="142" t="n"/>
      <c r="N2917" s="146">
        <f>IF(AND(AND(F2917="",G2917=""),B2917="",C2917="",D2917="",J2917="",K2917="",L2917=""),"",IF(AND(F2917="",G2917=""),"✗ 没填金额",IF(AND(N(F2917)&lt;&gt;0,N(G2917)&lt;&gt;0),"✗ 收入、支出只能填一边",IF(NOT(ISNUMBER(B2917)),"✗ 日期不是真日期（要像 2026/9/25 这样填）",IF(OR(B2917&lt;年初日,B2917&gt;年末日),"✗ 日期不在本会计年度",IF(C2917="","✗ 没选账户",IF(COUNTIF(基础资料!$W$5:$W$24,C2917)=0,"✗ 账户不在基础资料里",IF(O2917="","✗ 没选收支项目",IF(P2917="未知","✗ 收支项目不在基础资料里",IF(AND(P2917="应收",J2917=""),"✗ 这笔要选客户",IF(AND(P2917="应收",COUNTIF(总览汇总!$B$5:$B$304,J2917)=0),"✗ 客户不在总览汇总名单里",IF(AND(P2917="应付",K2917=""),"✗ 这笔要选供应商",IF(AND(P2917="应付",COUNTIF(基础资料!$Q$5:$Q$54,K2917)=0),"✗ 供应商不在基础资料里",IF(AND(P2917="费用",L2917=""),"✗ 费用支出要选费用项目",IF(AND(L2917&lt;&gt;"",COUNTIF(基础资料!$AI$5:$AI$54,L2917)=0),"✗ 费用项目不在基础资料里",IF(AND(IFERROR(INDEX(基础资料!$AD$5:$AD$34,MATCH(O2917,基础资料!$AC$5:$AC$34,0)),"")="收",N(G2917)&lt;&gt;0),"✗ 这类是收款，金额填到收入列",IF(AND(IFERROR(INDEX(基础资料!$AD$5:$AD$34,MATCH(O2917,基础资料!$AC$5:$AC$34,0)),"")="支",N(F2917)&lt;&gt;0),"✗ 这类是付款，金额填到支出列",IF(N(H2917)&lt;0,"⚠ 账户余额成负数了，核对一下","√"))))))))))))))))))</f>
      </c>
      <c r="O2917" s="78">
        <f>IF(D2917&lt;&gt;"",D2917,IF(AND(F2917="",G2917=""),"",IF(J2917&lt;&gt;"",IF(N(F2917)&gt;0,"客户回款","客户退款"),IF(K2917&lt;&gt;"",IF(N(G2917)&gt;0,"供应商付款","供应商退款"),IF(L2917&lt;&gt;"","费用支出","")))))</f>
      </c>
      <c r="P2917" s="78">
        <f>IF(O2917="","",IFERROR(INDEX(基础资料!$AE$5:$AE$34,MATCH(O2917,基础资料!$AC$5:$AC$34,0)),"未知"))</f>
      </c>
      <c r="Q2917" s="78">
        <f>IF(P2917="应收",COUNTIF(P$7:P2917,"应收"),"")</f>
      </c>
      <c r="R2917" s="78">
        <f>IF(P2917="应付",COUNTIF(P$7:P2917,"应付"),"")</f>
      </c>
      <c r="S2917" s="78">
        <f>N(F2917)-N(G2917)</f>
        <v>0</v>
      </c>
    </row>
    <row r="2918">
      <c r="A2918" s="109">
        <f>IF(AND(F2918="",G2918=""),"",ROW()-6)</f>
      </c>
      <c r="B2918" s="140" t="n"/>
      <c r="C2918" s="141" t="n"/>
      <c r="D2918" s="141" t="n"/>
      <c r="E2918" s="142" t="n"/>
      <c r="F2918" s="143" t="n"/>
      <c r="G2918" s="144" t="n"/>
      <c r="H2918" s="145">
        <f>IF(OR(C2918="",AND(F2918="",G2918="")),"",SUMIF(基础资料!$W$5:$W$24,C2918,基础资料!$X$5:$X$24)+SUMIF(C$7:C2918,C2918,F$7:F2918)-SUMIF(C$7:C2918,C2918,G$7:G2918))</f>
      </c>
      <c r="I2918" s="145">
        <f>IF(AND(F2918="",G2918=""),"",SUM(基础资料!$X$5:$X$24)+SUM(F$7:F2918)-SUM(G$7:G2918))</f>
      </c>
      <c r="J2918" s="141" t="n"/>
      <c r="K2918" s="141" t="n"/>
      <c r="L2918" s="141" t="n"/>
      <c r="M2918" s="142" t="n"/>
      <c r="N2918" s="146">
        <f>IF(AND(AND(F2918="",G2918=""),B2918="",C2918="",D2918="",J2918="",K2918="",L2918=""),"",IF(AND(F2918="",G2918=""),"✗ 没填金额",IF(AND(N(F2918)&lt;&gt;0,N(G2918)&lt;&gt;0),"✗ 收入、支出只能填一边",IF(NOT(ISNUMBER(B2918)),"✗ 日期不是真日期（要像 2026/9/25 这样填）",IF(OR(B2918&lt;年初日,B2918&gt;年末日),"✗ 日期不在本会计年度",IF(C2918="","✗ 没选账户",IF(COUNTIF(基础资料!$W$5:$W$24,C2918)=0,"✗ 账户不在基础资料里",IF(O2918="","✗ 没选收支项目",IF(P2918="未知","✗ 收支项目不在基础资料里",IF(AND(P2918="应收",J2918=""),"✗ 这笔要选客户",IF(AND(P2918="应收",COUNTIF(总览汇总!$B$5:$B$304,J2918)=0),"✗ 客户不在总览汇总名单里",IF(AND(P2918="应付",K2918=""),"✗ 这笔要选供应商",IF(AND(P2918="应付",COUNTIF(基础资料!$Q$5:$Q$54,K2918)=0),"✗ 供应商不在基础资料里",IF(AND(P2918="费用",L2918=""),"✗ 费用支出要选费用项目",IF(AND(L2918&lt;&gt;"",COUNTIF(基础资料!$AI$5:$AI$54,L2918)=0),"✗ 费用项目不在基础资料里",IF(AND(IFERROR(INDEX(基础资料!$AD$5:$AD$34,MATCH(O2918,基础资料!$AC$5:$AC$34,0)),"")="收",N(G2918)&lt;&gt;0),"✗ 这类是收款，金额填到收入列",IF(AND(IFERROR(INDEX(基础资料!$AD$5:$AD$34,MATCH(O2918,基础资料!$AC$5:$AC$34,0)),"")="支",N(F2918)&lt;&gt;0),"✗ 这类是付款，金额填到支出列",IF(N(H2918)&lt;0,"⚠ 账户余额成负数了，核对一下","√"))))))))))))))))))</f>
      </c>
      <c r="O2918" s="78">
        <f>IF(D2918&lt;&gt;"",D2918,IF(AND(F2918="",G2918=""),"",IF(J2918&lt;&gt;"",IF(N(F2918)&gt;0,"客户回款","客户退款"),IF(K2918&lt;&gt;"",IF(N(G2918)&gt;0,"供应商付款","供应商退款"),IF(L2918&lt;&gt;"","费用支出","")))))</f>
      </c>
      <c r="P2918" s="78">
        <f>IF(O2918="","",IFERROR(INDEX(基础资料!$AE$5:$AE$34,MATCH(O2918,基础资料!$AC$5:$AC$34,0)),"未知"))</f>
      </c>
      <c r="Q2918" s="78">
        <f>IF(P2918="应收",COUNTIF(P$7:P2918,"应收"),"")</f>
      </c>
      <c r="R2918" s="78">
        <f>IF(P2918="应付",COUNTIF(P$7:P2918,"应付"),"")</f>
      </c>
      <c r="S2918" s="78">
        <f>N(F2918)-N(G2918)</f>
        <v>0</v>
      </c>
    </row>
    <row r="2919">
      <c r="A2919" s="109">
        <f>IF(AND(F2919="",G2919=""),"",ROW()-6)</f>
      </c>
      <c r="B2919" s="140" t="n"/>
      <c r="C2919" s="141" t="n"/>
      <c r="D2919" s="141" t="n"/>
      <c r="E2919" s="142" t="n"/>
      <c r="F2919" s="143" t="n"/>
      <c r="G2919" s="144" t="n"/>
      <c r="H2919" s="145">
        <f>IF(OR(C2919="",AND(F2919="",G2919="")),"",SUMIF(基础资料!$W$5:$W$24,C2919,基础资料!$X$5:$X$24)+SUMIF(C$7:C2919,C2919,F$7:F2919)-SUMIF(C$7:C2919,C2919,G$7:G2919))</f>
      </c>
      <c r="I2919" s="145">
        <f>IF(AND(F2919="",G2919=""),"",SUM(基础资料!$X$5:$X$24)+SUM(F$7:F2919)-SUM(G$7:G2919))</f>
      </c>
      <c r="J2919" s="141" t="n"/>
      <c r="K2919" s="141" t="n"/>
      <c r="L2919" s="141" t="n"/>
      <c r="M2919" s="142" t="n"/>
      <c r="N2919" s="146">
        <f>IF(AND(AND(F2919="",G2919=""),B2919="",C2919="",D2919="",J2919="",K2919="",L2919=""),"",IF(AND(F2919="",G2919=""),"✗ 没填金额",IF(AND(N(F2919)&lt;&gt;0,N(G2919)&lt;&gt;0),"✗ 收入、支出只能填一边",IF(NOT(ISNUMBER(B2919)),"✗ 日期不是真日期（要像 2026/9/25 这样填）",IF(OR(B2919&lt;年初日,B2919&gt;年末日),"✗ 日期不在本会计年度",IF(C2919="","✗ 没选账户",IF(COUNTIF(基础资料!$W$5:$W$24,C2919)=0,"✗ 账户不在基础资料里",IF(O2919="","✗ 没选收支项目",IF(P2919="未知","✗ 收支项目不在基础资料里",IF(AND(P2919="应收",J2919=""),"✗ 这笔要选客户",IF(AND(P2919="应收",COUNTIF(总览汇总!$B$5:$B$304,J2919)=0),"✗ 客户不在总览汇总名单里",IF(AND(P2919="应付",K2919=""),"✗ 这笔要选供应商",IF(AND(P2919="应付",COUNTIF(基础资料!$Q$5:$Q$54,K2919)=0),"✗ 供应商不在基础资料里",IF(AND(P2919="费用",L2919=""),"✗ 费用支出要选费用项目",IF(AND(L2919&lt;&gt;"",COUNTIF(基础资料!$AI$5:$AI$54,L2919)=0),"✗ 费用项目不在基础资料里",IF(AND(IFERROR(INDEX(基础资料!$AD$5:$AD$34,MATCH(O2919,基础资料!$AC$5:$AC$34,0)),"")="收",N(G2919)&lt;&gt;0),"✗ 这类是收款，金额填到收入列",IF(AND(IFERROR(INDEX(基础资料!$AD$5:$AD$34,MATCH(O2919,基础资料!$AC$5:$AC$34,0)),"")="支",N(F2919)&lt;&gt;0),"✗ 这类是付款，金额填到支出列",IF(N(H2919)&lt;0,"⚠ 账户余额成负数了，核对一下","√"))))))))))))))))))</f>
      </c>
      <c r="O2919" s="78">
        <f>IF(D2919&lt;&gt;"",D2919,IF(AND(F2919="",G2919=""),"",IF(J2919&lt;&gt;"",IF(N(F2919)&gt;0,"客户回款","客户退款"),IF(K2919&lt;&gt;"",IF(N(G2919)&gt;0,"供应商付款","供应商退款"),IF(L2919&lt;&gt;"","费用支出","")))))</f>
      </c>
      <c r="P2919" s="78">
        <f>IF(O2919="","",IFERROR(INDEX(基础资料!$AE$5:$AE$34,MATCH(O2919,基础资料!$AC$5:$AC$34,0)),"未知"))</f>
      </c>
      <c r="Q2919" s="78">
        <f>IF(P2919="应收",COUNTIF(P$7:P2919,"应收"),"")</f>
      </c>
      <c r="R2919" s="78">
        <f>IF(P2919="应付",COUNTIF(P$7:P2919,"应付"),"")</f>
      </c>
      <c r="S2919" s="78">
        <f>N(F2919)-N(G2919)</f>
        <v>0</v>
      </c>
    </row>
    <row r="2920">
      <c r="A2920" s="109">
        <f>IF(AND(F2920="",G2920=""),"",ROW()-6)</f>
      </c>
      <c r="B2920" s="140" t="n"/>
      <c r="C2920" s="141" t="n"/>
      <c r="D2920" s="141" t="n"/>
      <c r="E2920" s="142" t="n"/>
      <c r="F2920" s="143" t="n"/>
      <c r="G2920" s="144" t="n"/>
      <c r="H2920" s="145">
        <f>IF(OR(C2920="",AND(F2920="",G2920="")),"",SUMIF(基础资料!$W$5:$W$24,C2920,基础资料!$X$5:$X$24)+SUMIF(C$7:C2920,C2920,F$7:F2920)-SUMIF(C$7:C2920,C2920,G$7:G2920))</f>
      </c>
      <c r="I2920" s="145">
        <f>IF(AND(F2920="",G2920=""),"",SUM(基础资料!$X$5:$X$24)+SUM(F$7:F2920)-SUM(G$7:G2920))</f>
      </c>
      <c r="J2920" s="141" t="n"/>
      <c r="K2920" s="141" t="n"/>
      <c r="L2920" s="141" t="n"/>
      <c r="M2920" s="142" t="n"/>
      <c r="N2920" s="146">
        <f>IF(AND(AND(F2920="",G2920=""),B2920="",C2920="",D2920="",J2920="",K2920="",L2920=""),"",IF(AND(F2920="",G2920=""),"✗ 没填金额",IF(AND(N(F2920)&lt;&gt;0,N(G2920)&lt;&gt;0),"✗ 收入、支出只能填一边",IF(NOT(ISNUMBER(B2920)),"✗ 日期不是真日期（要像 2026/9/25 这样填）",IF(OR(B2920&lt;年初日,B2920&gt;年末日),"✗ 日期不在本会计年度",IF(C2920="","✗ 没选账户",IF(COUNTIF(基础资料!$W$5:$W$24,C2920)=0,"✗ 账户不在基础资料里",IF(O2920="","✗ 没选收支项目",IF(P2920="未知","✗ 收支项目不在基础资料里",IF(AND(P2920="应收",J2920=""),"✗ 这笔要选客户",IF(AND(P2920="应收",COUNTIF(总览汇总!$B$5:$B$304,J2920)=0),"✗ 客户不在总览汇总名单里",IF(AND(P2920="应付",K2920=""),"✗ 这笔要选供应商",IF(AND(P2920="应付",COUNTIF(基础资料!$Q$5:$Q$54,K2920)=0),"✗ 供应商不在基础资料里",IF(AND(P2920="费用",L2920=""),"✗ 费用支出要选费用项目",IF(AND(L2920&lt;&gt;"",COUNTIF(基础资料!$AI$5:$AI$54,L2920)=0),"✗ 费用项目不在基础资料里",IF(AND(IFERROR(INDEX(基础资料!$AD$5:$AD$34,MATCH(O2920,基础资料!$AC$5:$AC$34,0)),"")="收",N(G2920)&lt;&gt;0),"✗ 这类是收款，金额填到收入列",IF(AND(IFERROR(INDEX(基础资料!$AD$5:$AD$34,MATCH(O2920,基础资料!$AC$5:$AC$34,0)),"")="支",N(F2920)&lt;&gt;0),"✗ 这类是付款，金额填到支出列",IF(N(H2920)&lt;0,"⚠ 账户余额成负数了，核对一下","√"))))))))))))))))))</f>
      </c>
      <c r="O2920" s="78">
        <f>IF(D2920&lt;&gt;"",D2920,IF(AND(F2920="",G2920=""),"",IF(J2920&lt;&gt;"",IF(N(F2920)&gt;0,"客户回款","客户退款"),IF(K2920&lt;&gt;"",IF(N(G2920)&gt;0,"供应商付款","供应商退款"),IF(L2920&lt;&gt;"","费用支出","")))))</f>
      </c>
      <c r="P2920" s="78">
        <f>IF(O2920="","",IFERROR(INDEX(基础资料!$AE$5:$AE$34,MATCH(O2920,基础资料!$AC$5:$AC$34,0)),"未知"))</f>
      </c>
      <c r="Q2920" s="78">
        <f>IF(P2920="应收",COUNTIF(P$7:P2920,"应收"),"")</f>
      </c>
      <c r="R2920" s="78">
        <f>IF(P2920="应付",COUNTIF(P$7:P2920,"应付"),"")</f>
      </c>
      <c r="S2920" s="78">
        <f>N(F2920)-N(G2920)</f>
        <v>0</v>
      </c>
    </row>
    <row r="2921">
      <c r="A2921" s="109">
        <f>IF(AND(F2921="",G2921=""),"",ROW()-6)</f>
      </c>
      <c r="B2921" s="140" t="n"/>
      <c r="C2921" s="141" t="n"/>
      <c r="D2921" s="141" t="n"/>
      <c r="E2921" s="142" t="n"/>
      <c r="F2921" s="143" t="n"/>
      <c r="G2921" s="144" t="n"/>
      <c r="H2921" s="145">
        <f>IF(OR(C2921="",AND(F2921="",G2921="")),"",SUMIF(基础资料!$W$5:$W$24,C2921,基础资料!$X$5:$X$24)+SUMIF(C$7:C2921,C2921,F$7:F2921)-SUMIF(C$7:C2921,C2921,G$7:G2921))</f>
      </c>
      <c r="I2921" s="145">
        <f>IF(AND(F2921="",G2921=""),"",SUM(基础资料!$X$5:$X$24)+SUM(F$7:F2921)-SUM(G$7:G2921))</f>
      </c>
      <c r="J2921" s="141" t="n"/>
      <c r="K2921" s="141" t="n"/>
      <c r="L2921" s="141" t="n"/>
      <c r="M2921" s="142" t="n"/>
      <c r="N2921" s="146">
        <f>IF(AND(AND(F2921="",G2921=""),B2921="",C2921="",D2921="",J2921="",K2921="",L2921=""),"",IF(AND(F2921="",G2921=""),"✗ 没填金额",IF(AND(N(F2921)&lt;&gt;0,N(G2921)&lt;&gt;0),"✗ 收入、支出只能填一边",IF(NOT(ISNUMBER(B2921)),"✗ 日期不是真日期（要像 2026/9/25 这样填）",IF(OR(B2921&lt;年初日,B2921&gt;年末日),"✗ 日期不在本会计年度",IF(C2921="","✗ 没选账户",IF(COUNTIF(基础资料!$W$5:$W$24,C2921)=0,"✗ 账户不在基础资料里",IF(O2921="","✗ 没选收支项目",IF(P2921="未知","✗ 收支项目不在基础资料里",IF(AND(P2921="应收",J2921=""),"✗ 这笔要选客户",IF(AND(P2921="应收",COUNTIF(总览汇总!$B$5:$B$304,J2921)=0),"✗ 客户不在总览汇总名单里",IF(AND(P2921="应付",K2921=""),"✗ 这笔要选供应商",IF(AND(P2921="应付",COUNTIF(基础资料!$Q$5:$Q$54,K2921)=0),"✗ 供应商不在基础资料里",IF(AND(P2921="费用",L2921=""),"✗ 费用支出要选费用项目",IF(AND(L2921&lt;&gt;"",COUNTIF(基础资料!$AI$5:$AI$54,L2921)=0),"✗ 费用项目不在基础资料里",IF(AND(IFERROR(INDEX(基础资料!$AD$5:$AD$34,MATCH(O2921,基础资料!$AC$5:$AC$34,0)),"")="收",N(G2921)&lt;&gt;0),"✗ 这类是收款，金额填到收入列",IF(AND(IFERROR(INDEX(基础资料!$AD$5:$AD$34,MATCH(O2921,基础资料!$AC$5:$AC$34,0)),"")="支",N(F2921)&lt;&gt;0),"✗ 这类是付款，金额填到支出列",IF(N(H2921)&lt;0,"⚠ 账户余额成负数了，核对一下","√"))))))))))))))))))</f>
      </c>
      <c r="O2921" s="78">
        <f>IF(D2921&lt;&gt;"",D2921,IF(AND(F2921="",G2921=""),"",IF(J2921&lt;&gt;"",IF(N(F2921)&gt;0,"客户回款","客户退款"),IF(K2921&lt;&gt;"",IF(N(G2921)&gt;0,"供应商付款","供应商退款"),IF(L2921&lt;&gt;"","费用支出","")))))</f>
      </c>
      <c r="P2921" s="78">
        <f>IF(O2921="","",IFERROR(INDEX(基础资料!$AE$5:$AE$34,MATCH(O2921,基础资料!$AC$5:$AC$34,0)),"未知"))</f>
      </c>
      <c r="Q2921" s="78">
        <f>IF(P2921="应收",COUNTIF(P$7:P2921,"应收"),"")</f>
      </c>
      <c r="R2921" s="78">
        <f>IF(P2921="应付",COUNTIF(P$7:P2921,"应付"),"")</f>
      </c>
      <c r="S2921" s="78">
        <f>N(F2921)-N(G2921)</f>
        <v>0</v>
      </c>
    </row>
    <row r="2922">
      <c r="A2922" s="109">
        <f>IF(AND(F2922="",G2922=""),"",ROW()-6)</f>
      </c>
      <c r="B2922" s="140" t="n"/>
      <c r="C2922" s="141" t="n"/>
      <c r="D2922" s="141" t="n"/>
      <c r="E2922" s="142" t="n"/>
      <c r="F2922" s="143" t="n"/>
      <c r="G2922" s="144" t="n"/>
      <c r="H2922" s="145">
        <f>IF(OR(C2922="",AND(F2922="",G2922="")),"",SUMIF(基础资料!$W$5:$W$24,C2922,基础资料!$X$5:$X$24)+SUMIF(C$7:C2922,C2922,F$7:F2922)-SUMIF(C$7:C2922,C2922,G$7:G2922))</f>
      </c>
      <c r="I2922" s="145">
        <f>IF(AND(F2922="",G2922=""),"",SUM(基础资料!$X$5:$X$24)+SUM(F$7:F2922)-SUM(G$7:G2922))</f>
      </c>
      <c r="J2922" s="141" t="n"/>
      <c r="K2922" s="141" t="n"/>
      <c r="L2922" s="141" t="n"/>
      <c r="M2922" s="142" t="n"/>
      <c r="N2922" s="146">
        <f>IF(AND(AND(F2922="",G2922=""),B2922="",C2922="",D2922="",J2922="",K2922="",L2922=""),"",IF(AND(F2922="",G2922=""),"✗ 没填金额",IF(AND(N(F2922)&lt;&gt;0,N(G2922)&lt;&gt;0),"✗ 收入、支出只能填一边",IF(NOT(ISNUMBER(B2922)),"✗ 日期不是真日期（要像 2026/9/25 这样填）",IF(OR(B2922&lt;年初日,B2922&gt;年末日),"✗ 日期不在本会计年度",IF(C2922="","✗ 没选账户",IF(COUNTIF(基础资料!$W$5:$W$24,C2922)=0,"✗ 账户不在基础资料里",IF(O2922="","✗ 没选收支项目",IF(P2922="未知","✗ 收支项目不在基础资料里",IF(AND(P2922="应收",J2922=""),"✗ 这笔要选客户",IF(AND(P2922="应收",COUNTIF(总览汇总!$B$5:$B$304,J2922)=0),"✗ 客户不在总览汇总名单里",IF(AND(P2922="应付",K2922=""),"✗ 这笔要选供应商",IF(AND(P2922="应付",COUNTIF(基础资料!$Q$5:$Q$54,K2922)=0),"✗ 供应商不在基础资料里",IF(AND(P2922="费用",L2922=""),"✗ 费用支出要选费用项目",IF(AND(L2922&lt;&gt;"",COUNTIF(基础资料!$AI$5:$AI$54,L2922)=0),"✗ 费用项目不在基础资料里",IF(AND(IFERROR(INDEX(基础资料!$AD$5:$AD$34,MATCH(O2922,基础资料!$AC$5:$AC$34,0)),"")="收",N(G2922)&lt;&gt;0),"✗ 这类是收款，金额填到收入列",IF(AND(IFERROR(INDEX(基础资料!$AD$5:$AD$34,MATCH(O2922,基础资料!$AC$5:$AC$34,0)),"")="支",N(F2922)&lt;&gt;0),"✗ 这类是付款，金额填到支出列",IF(N(H2922)&lt;0,"⚠ 账户余额成负数了，核对一下","√"))))))))))))))))))</f>
      </c>
      <c r="O2922" s="78">
        <f>IF(D2922&lt;&gt;"",D2922,IF(AND(F2922="",G2922=""),"",IF(J2922&lt;&gt;"",IF(N(F2922)&gt;0,"客户回款","客户退款"),IF(K2922&lt;&gt;"",IF(N(G2922)&gt;0,"供应商付款","供应商退款"),IF(L2922&lt;&gt;"","费用支出","")))))</f>
      </c>
      <c r="P2922" s="78">
        <f>IF(O2922="","",IFERROR(INDEX(基础资料!$AE$5:$AE$34,MATCH(O2922,基础资料!$AC$5:$AC$34,0)),"未知"))</f>
      </c>
      <c r="Q2922" s="78">
        <f>IF(P2922="应收",COUNTIF(P$7:P2922,"应收"),"")</f>
      </c>
      <c r="R2922" s="78">
        <f>IF(P2922="应付",COUNTIF(P$7:P2922,"应付"),"")</f>
      </c>
      <c r="S2922" s="78">
        <f>N(F2922)-N(G2922)</f>
        <v>0</v>
      </c>
    </row>
    <row r="2923">
      <c r="A2923" s="109">
        <f>IF(AND(F2923="",G2923=""),"",ROW()-6)</f>
      </c>
      <c r="B2923" s="140" t="n"/>
      <c r="C2923" s="141" t="n"/>
      <c r="D2923" s="141" t="n"/>
      <c r="E2923" s="142" t="n"/>
      <c r="F2923" s="143" t="n"/>
      <c r="G2923" s="144" t="n"/>
      <c r="H2923" s="145">
        <f>IF(OR(C2923="",AND(F2923="",G2923="")),"",SUMIF(基础资料!$W$5:$W$24,C2923,基础资料!$X$5:$X$24)+SUMIF(C$7:C2923,C2923,F$7:F2923)-SUMIF(C$7:C2923,C2923,G$7:G2923))</f>
      </c>
      <c r="I2923" s="145">
        <f>IF(AND(F2923="",G2923=""),"",SUM(基础资料!$X$5:$X$24)+SUM(F$7:F2923)-SUM(G$7:G2923))</f>
      </c>
      <c r="J2923" s="141" t="n"/>
      <c r="K2923" s="141" t="n"/>
      <c r="L2923" s="141" t="n"/>
      <c r="M2923" s="142" t="n"/>
      <c r="N2923" s="146">
        <f>IF(AND(AND(F2923="",G2923=""),B2923="",C2923="",D2923="",J2923="",K2923="",L2923=""),"",IF(AND(F2923="",G2923=""),"✗ 没填金额",IF(AND(N(F2923)&lt;&gt;0,N(G2923)&lt;&gt;0),"✗ 收入、支出只能填一边",IF(NOT(ISNUMBER(B2923)),"✗ 日期不是真日期（要像 2026/9/25 这样填）",IF(OR(B2923&lt;年初日,B2923&gt;年末日),"✗ 日期不在本会计年度",IF(C2923="","✗ 没选账户",IF(COUNTIF(基础资料!$W$5:$W$24,C2923)=0,"✗ 账户不在基础资料里",IF(O2923="","✗ 没选收支项目",IF(P2923="未知","✗ 收支项目不在基础资料里",IF(AND(P2923="应收",J2923=""),"✗ 这笔要选客户",IF(AND(P2923="应收",COUNTIF(总览汇总!$B$5:$B$304,J2923)=0),"✗ 客户不在总览汇总名单里",IF(AND(P2923="应付",K2923=""),"✗ 这笔要选供应商",IF(AND(P2923="应付",COUNTIF(基础资料!$Q$5:$Q$54,K2923)=0),"✗ 供应商不在基础资料里",IF(AND(P2923="费用",L2923=""),"✗ 费用支出要选费用项目",IF(AND(L2923&lt;&gt;"",COUNTIF(基础资料!$AI$5:$AI$54,L2923)=0),"✗ 费用项目不在基础资料里",IF(AND(IFERROR(INDEX(基础资料!$AD$5:$AD$34,MATCH(O2923,基础资料!$AC$5:$AC$34,0)),"")="收",N(G2923)&lt;&gt;0),"✗ 这类是收款，金额填到收入列",IF(AND(IFERROR(INDEX(基础资料!$AD$5:$AD$34,MATCH(O2923,基础资料!$AC$5:$AC$34,0)),"")="支",N(F2923)&lt;&gt;0),"✗ 这类是付款，金额填到支出列",IF(N(H2923)&lt;0,"⚠ 账户余额成负数了，核对一下","√"))))))))))))))))))</f>
      </c>
      <c r="O2923" s="78">
        <f>IF(D2923&lt;&gt;"",D2923,IF(AND(F2923="",G2923=""),"",IF(J2923&lt;&gt;"",IF(N(F2923)&gt;0,"客户回款","客户退款"),IF(K2923&lt;&gt;"",IF(N(G2923)&gt;0,"供应商付款","供应商退款"),IF(L2923&lt;&gt;"","费用支出","")))))</f>
      </c>
      <c r="P2923" s="78">
        <f>IF(O2923="","",IFERROR(INDEX(基础资料!$AE$5:$AE$34,MATCH(O2923,基础资料!$AC$5:$AC$34,0)),"未知"))</f>
      </c>
      <c r="Q2923" s="78">
        <f>IF(P2923="应收",COUNTIF(P$7:P2923,"应收"),"")</f>
      </c>
      <c r="R2923" s="78">
        <f>IF(P2923="应付",COUNTIF(P$7:P2923,"应付"),"")</f>
      </c>
      <c r="S2923" s="78">
        <f>N(F2923)-N(G2923)</f>
        <v>0</v>
      </c>
    </row>
    <row r="2924">
      <c r="A2924" s="109">
        <f>IF(AND(F2924="",G2924=""),"",ROW()-6)</f>
      </c>
      <c r="B2924" s="140" t="n"/>
      <c r="C2924" s="141" t="n"/>
      <c r="D2924" s="141" t="n"/>
      <c r="E2924" s="142" t="n"/>
      <c r="F2924" s="143" t="n"/>
      <c r="G2924" s="144" t="n"/>
      <c r="H2924" s="145">
        <f>IF(OR(C2924="",AND(F2924="",G2924="")),"",SUMIF(基础资料!$W$5:$W$24,C2924,基础资料!$X$5:$X$24)+SUMIF(C$7:C2924,C2924,F$7:F2924)-SUMIF(C$7:C2924,C2924,G$7:G2924))</f>
      </c>
      <c r="I2924" s="145">
        <f>IF(AND(F2924="",G2924=""),"",SUM(基础资料!$X$5:$X$24)+SUM(F$7:F2924)-SUM(G$7:G2924))</f>
      </c>
      <c r="J2924" s="141" t="n"/>
      <c r="K2924" s="141" t="n"/>
      <c r="L2924" s="141" t="n"/>
      <c r="M2924" s="142" t="n"/>
      <c r="N2924" s="146">
        <f>IF(AND(AND(F2924="",G2924=""),B2924="",C2924="",D2924="",J2924="",K2924="",L2924=""),"",IF(AND(F2924="",G2924=""),"✗ 没填金额",IF(AND(N(F2924)&lt;&gt;0,N(G2924)&lt;&gt;0),"✗ 收入、支出只能填一边",IF(NOT(ISNUMBER(B2924)),"✗ 日期不是真日期（要像 2026/9/25 这样填）",IF(OR(B2924&lt;年初日,B2924&gt;年末日),"✗ 日期不在本会计年度",IF(C2924="","✗ 没选账户",IF(COUNTIF(基础资料!$W$5:$W$24,C2924)=0,"✗ 账户不在基础资料里",IF(O2924="","✗ 没选收支项目",IF(P2924="未知","✗ 收支项目不在基础资料里",IF(AND(P2924="应收",J2924=""),"✗ 这笔要选客户",IF(AND(P2924="应收",COUNTIF(总览汇总!$B$5:$B$304,J2924)=0),"✗ 客户不在总览汇总名单里",IF(AND(P2924="应付",K2924=""),"✗ 这笔要选供应商",IF(AND(P2924="应付",COUNTIF(基础资料!$Q$5:$Q$54,K2924)=0),"✗ 供应商不在基础资料里",IF(AND(P2924="费用",L2924=""),"✗ 费用支出要选费用项目",IF(AND(L2924&lt;&gt;"",COUNTIF(基础资料!$AI$5:$AI$54,L2924)=0),"✗ 费用项目不在基础资料里",IF(AND(IFERROR(INDEX(基础资料!$AD$5:$AD$34,MATCH(O2924,基础资料!$AC$5:$AC$34,0)),"")="收",N(G2924)&lt;&gt;0),"✗ 这类是收款，金额填到收入列",IF(AND(IFERROR(INDEX(基础资料!$AD$5:$AD$34,MATCH(O2924,基础资料!$AC$5:$AC$34,0)),"")="支",N(F2924)&lt;&gt;0),"✗ 这类是付款，金额填到支出列",IF(N(H2924)&lt;0,"⚠ 账户余额成负数了，核对一下","√"))))))))))))))))))</f>
      </c>
      <c r="O2924" s="78">
        <f>IF(D2924&lt;&gt;"",D2924,IF(AND(F2924="",G2924=""),"",IF(J2924&lt;&gt;"",IF(N(F2924)&gt;0,"客户回款","客户退款"),IF(K2924&lt;&gt;"",IF(N(G2924)&gt;0,"供应商付款","供应商退款"),IF(L2924&lt;&gt;"","费用支出","")))))</f>
      </c>
      <c r="P2924" s="78">
        <f>IF(O2924="","",IFERROR(INDEX(基础资料!$AE$5:$AE$34,MATCH(O2924,基础资料!$AC$5:$AC$34,0)),"未知"))</f>
      </c>
      <c r="Q2924" s="78">
        <f>IF(P2924="应收",COUNTIF(P$7:P2924,"应收"),"")</f>
      </c>
      <c r="R2924" s="78">
        <f>IF(P2924="应付",COUNTIF(P$7:P2924,"应付"),"")</f>
      </c>
      <c r="S2924" s="78">
        <f>N(F2924)-N(G2924)</f>
        <v>0</v>
      </c>
    </row>
    <row r="2925">
      <c r="A2925" s="109">
        <f>IF(AND(F2925="",G2925=""),"",ROW()-6)</f>
      </c>
      <c r="B2925" s="140" t="n"/>
      <c r="C2925" s="141" t="n"/>
      <c r="D2925" s="141" t="n"/>
      <c r="E2925" s="142" t="n"/>
      <c r="F2925" s="143" t="n"/>
      <c r="G2925" s="144" t="n"/>
      <c r="H2925" s="145">
        <f>IF(OR(C2925="",AND(F2925="",G2925="")),"",SUMIF(基础资料!$W$5:$W$24,C2925,基础资料!$X$5:$X$24)+SUMIF(C$7:C2925,C2925,F$7:F2925)-SUMIF(C$7:C2925,C2925,G$7:G2925))</f>
      </c>
      <c r="I2925" s="145">
        <f>IF(AND(F2925="",G2925=""),"",SUM(基础资料!$X$5:$X$24)+SUM(F$7:F2925)-SUM(G$7:G2925))</f>
      </c>
      <c r="J2925" s="141" t="n"/>
      <c r="K2925" s="141" t="n"/>
      <c r="L2925" s="141" t="n"/>
      <c r="M2925" s="142" t="n"/>
      <c r="N2925" s="146">
        <f>IF(AND(AND(F2925="",G2925=""),B2925="",C2925="",D2925="",J2925="",K2925="",L2925=""),"",IF(AND(F2925="",G2925=""),"✗ 没填金额",IF(AND(N(F2925)&lt;&gt;0,N(G2925)&lt;&gt;0),"✗ 收入、支出只能填一边",IF(NOT(ISNUMBER(B2925)),"✗ 日期不是真日期（要像 2026/9/25 这样填）",IF(OR(B2925&lt;年初日,B2925&gt;年末日),"✗ 日期不在本会计年度",IF(C2925="","✗ 没选账户",IF(COUNTIF(基础资料!$W$5:$W$24,C2925)=0,"✗ 账户不在基础资料里",IF(O2925="","✗ 没选收支项目",IF(P2925="未知","✗ 收支项目不在基础资料里",IF(AND(P2925="应收",J2925=""),"✗ 这笔要选客户",IF(AND(P2925="应收",COUNTIF(总览汇总!$B$5:$B$304,J2925)=0),"✗ 客户不在总览汇总名单里",IF(AND(P2925="应付",K2925=""),"✗ 这笔要选供应商",IF(AND(P2925="应付",COUNTIF(基础资料!$Q$5:$Q$54,K2925)=0),"✗ 供应商不在基础资料里",IF(AND(P2925="费用",L2925=""),"✗ 费用支出要选费用项目",IF(AND(L2925&lt;&gt;"",COUNTIF(基础资料!$AI$5:$AI$54,L2925)=0),"✗ 费用项目不在基础资料里",IF(AND(IFERROR(INDEX(基础资料!$AD$5:$AD$34,MATCH(O2925,基础资料!$AC$5:$AC$34,0)),"")="收",N(G2925)&lt;&gt;0),"✗ 这类是收款，金额填到收入列",IF(AND(IFERROR(INDEX(基础资料!$AD$5:$AD$34,MATCH(O2925,基础资料!$AC$5:$AC$34,0)),"")="支",N(F2925)&lt;&gt;0),"✗ 这类是付款，金额填到支出列",IF(N(H2925)&lt;0,"⚠ 账户余额成负数了，核对一下","√"))))))))))))))))))</f>
      </c>
      <c r="O2925" s="78">
        <f>IF(D2925&lt;&gt;"",D2925,IF(AND(F2925="",G2925=""),"",IF(J2925&lt;&gt;"",IF(N(F2925)&gt;0,"客户回款","客户退款"),IF(K2925&lt;&gt;"",IF(N(G2925)&gt;0,"供应商付款","供应商退款"),IF(L2925&lt;&gt;"","费用支出","")))))</f>
      </c>
      <c r="P2925" s="78">
        <f>IF(O2925="","",IFERROR(INDEX(基础资料!$AE$5:$AE$34,MATCH(O2925,基础资料!$AC$5:$AC$34,0)),"未知"))</f>
      </c>
      <c r="Q2925" s="78">
        <f>IF(P2925="应收",COUNTIF(P$7:P2925,"应收"),"")</f>
      </c>
      <c r="R2925" s="78">
        <f>IF(P2925="应付",COUNTIF(P$7:P2925,"应付"),"")</f>
      </c>
      <c r="S2925" s="78">
        <f>N(F2925)-N(G2925)</f>
        <v>0</v>
      </c>
    </row>
    <row r="2926">
      <c r="A2926" s="109">
        <f>IF(AND(F2926="",G2926=""),"",ROW()-6)</f>
      </c>
      <c r="B2926" s="140" t="n"/>
      <c r="C2926" s="141" t="n"/>
      <c r="D2926" s="141" t="n"/>
      <c r="E2926" s="142" t="n"/>
      <c r="F2926" s="143" t="n"/>
      <c r="G2926" s="144" t="n"/>
      <c r="H2926" s="145">
        <f>IF(OR(C2926="",AND(F2926="",G2926="")),"",SUMIF(基础资料!$W$5:$W$24,C2926,基础资料!$X$5:$X$24)+SUMIF(C$7:C2926,C2926,F$7:F2926)-SUMIF(C$7:C2926,C2926,G$7:G2926))</f>
      </c>
      <c r="I2926" s="145">
        <f>IF(AND(F2926="",G2926=""),"",SUM(基础资料!$X$5:$X$24)+SUM(F$7:F2926)-SUM(G$7:G2926))</f>
      </c>
      <c r="J2926" s="141" t="n"/>
      <c r="K2926" s="141" t="n"/>
      <c r="L2926" s="141" t="n"/>
      <c r="M2926" s="142" t="n"/>
      <c r="N2926" s="146">
        <f>IF(AND(AND(F2926="",G2926=""),B2926="",C2926="",D2926="",J2926="",K2926="",L2926=""),"",IF(AND(F2926="",G2926=""),"✗ 没填金额",IF(AND(N(F2926)&lt;&gt;0,N(G2926)&lt;&gt;0),"✗ 收入、支出只能填一边",IF(NOT(ISNUMBER(B2926)),"✗ 日期不是真日期（要像 2026/9/25 这样填）",IF(OR(B2926&lt;年初日,B2926&gt;年末日),"✗ 日期不在本会计年度",IF(C2926="","✗ 没选账户",IF(COUNTIF(基础资料!$W$5:$W$24,C2926)=0,"✗ 账户不在基础资料里",IF(O2926="","✗ 没选收支项目",IF(P2926="未知","✗ 收支项目不在基础资料里",IF(AND(P2926="应收",J2926=""),"✗ 这笔要选客户",IF(AND(P2926="应收",COUNTIF(总览汇总!$B$5:$B$304,J2926)=0),"✗ 客户不在总览汇总名单里",IF(AND(P2926="应付",K2926=""),"✗ 这笔要选供应商",IF(AND(P2926="应付",COUNTIF(基础资料!$Q$5:$Q$54,K2926)=0),"✗ 供应商不在基础资料里",IF(AND(P2926="费用",L2926=""),"✗ 费用支出要选费用项目",IF(AND(L2926&lt;&gt;"",COUNTIF(基础资料!$AI$5:$AI$54,L2926)=0),"✗ 费用项目不在基础资料里",IF(AND(IFERROR(INDEX(基础资料!$AD$5:$AD$34,MATCH(O2926,基础资料!$AC$5:$AC$34,0)),"")="收",N(G2926)&lt;&gt;0),"✗ 这类是收款，金额填到收入列",IF(AND(IFERROR(INDEX(基础资料!$AD$5:$AD$34,MATCH(O2926,基础资料!$AC$5:$AC$34,0)),"")="支",N(F2926)&lt;&gt;0),"✗ 这类是付款，金额填到支出列",IF(N(H2926)&lt;0,"⚠ 账户余额成负数了，核对一下","√"))))))))))))))))))</f>
      </c>
      <c r="O2926" s="78">
        <f>IF(D2926&lt;&gt;"",D2926,IF(AND(F2926="",G2926=""),"",IF(J2926&lt;&gt;"",IF(N(F2926)&gt;0,"客户回款","客户退款"),IF(K2926&lt;&gt;"",IF(N(G2926)&gt;0,"供应商付款","供应商退款"),IF(L2926&lt;&gt;"","费用支出","")))))</f>
      </c>
      <c r="P2926" s="78">
        <f>IF(O2926="","",IFERROR(INDEX(基础资料!$AE$5:$AE$34,MATCH(O2926,基础资料!$AC$5:$AC$34,0)),"未知"))</f>
      </c>
      <c r="Q2926" s="78">
        <f>IF(P2926="应收",COUNTIF(P$7:P2926,"应收"),"")</f>
      </c>
      <c r="R2926" s="78">
        <f>IF(P2926="应付",COUNTIF(P$7:P2926,"应付"),"")</f>
      </c>
      <c r="S2926" s="78">
        <f>N(F2926)-N(G2926)</f>
        <v>0</v>
      </c>
    </row>
    <row r="2927">
      <c r="A2927" s="109">
        <f>IF(AND(F2927="",G2927=""),"",ROW()-6)</f>
      </c>
      <c r="B2927" s="140" t="n"/>
      <c r="C2927" s="141" t="n"/>
      <c r="D2927" s="141" t="n"/>
      <c r="E2927" s="142" t="n"/>
      <c r="F2927" s="143" t="n"/>
      <c r="G2927" s="144" t="n"/>
      <c r="H2927" s="145">
        <f>IF(OR(C2927="",AND(F2927="",G2927="")),"",SUMIF(基础资料!$W$5:$W$24,C2927,基础资料!$X$5:$X$24)+SUMIF(C$7:C2927,C2927,F$7:F2927)-SUMIF(C$7:C2927,C2927,G$7:G2927))</f>
      </c>
      <c r="I2927" s="145">
        <f>IF(AND(F2927="",G2927=""),"",SUM(基础资料!$X$5:$X$24)+SUM(F$7:F2927)-SUM(G$7:G2927))</f>
      </c>
      <c r="J2927" s="141" t="n"/>
      <c r="K2927" s="141" t="n"/>
      <c r="L2927" s="141" t="n"/>
      <c r="M2927" s="142" t="n"/>
      <c r="N2927" s="146">
        <f>IF(AND(AND(F2927="",G2927=""),B2927="",C2927="",D2927="",J2927="",K2927="",L2927=""),"",IF(AND(F2927="",G2927=""),"✗ 没填金额",IF(AND(N(F2927)&lt;&gt;0,N(G2927)&lt;&gt;0),"✗ 收入、支出只能填一边",IF(NOT(ISNUMBER(B2927)),"✗ 日期不是真日期（要像 2026/9/25 这样填）",IF(OR(B2927&lt;年初日,B2927&gt;年末日),"✗ 日期不在本会计年度",IF(C2927="","✗ 没选账户",IF(COUNTIF(基础资料!$W$5:$W$24,C2927)=0,"✗ 账户不在基础资料里",IF(O2927="","✗ 没选收支项目",IF(P2927="未知","✗ 收支项目不在基础资料里",IF(AND(P2927="应收",J2927=""),"✗ 这笔要选客户",IF(AND(P2927="应收",COUNTIF(总览汇总!$B$5:$B$304,J2927)=0),"✗ 客户不在总览汇总名单里",IF(AND(P2927="应付",K2927=""),"✗ 这笔要选供应商",IF(AND(P2927="应付",COUNTIF(基础资料!$Q$5:$Q$54,K2927)=0),"✗ 供应商不在基础资料里",IF(AND(P2927="费用",L2927=""),"✗ 费用支出要选费用项目",IF(AND(L2927&lt;&gt;"",COUNTIF(基础资料!$AI$5:$AI$54,L2927)=0),"✗ 费用项目不在基础资料里",IF(AND(IFERROR(INDEX(基础资料!$AD$5:$AD$34,MATCH(O2927,基础资料!$AC$5:$AC$34,0)),"")="收",N(G2927)&lt;&gt;0),"✗ 这类是收款，金额填到收入列",IF(AND(IFERROR(INDEX(基础资料!$AD$5:$AD$34,MATCH(O2927,基础资料!$AC$5:$AC$34,0)),"")="支",N(F2927)&lt;&gt;0),"✗ 这类是付款，金额填到支出列",IF(N(H2927)&lt;0,"⚠ 账户余额成负数了，核对一下","√"))))))))))))))))))</f>
      </c>
      <c r="O2927" s="78">
        <f>IF(D2927&lt;&gt;"",D2927,IF(AND(F2927="",G2927=""),"",IF(J2927&lt;&gt;"",IF(N(F2927)&gt;0,"客户回款","客户退款"),IF(K2927&lt;&gt;"",IF(N(G2927)&gt;0,"供应商付款","供应商退款"),IF(L2927&lt;&gt;"","费用支出","")))))</f>
      </c>
      <c r="P2927" s="78">
        <f>IF(O2927="","",IFERROR(INDEX(基础资料!$AE$5:$AE$34,MATCH(O2927,基础资料!$AC$5:$AC$34,0)),"未知"))</f>
      </c>
      <c r="Q2927" s="78">
        <f>IF(P2927="应收",COUNTIF(P$7:P2927,"应收"),"")</f>
      </c>
      <c r="R2927" s="78">
        <f>IF(P2927="应付",COUNTIF(P$7:P2927,"应付"),"")</f>
      </c>
      <c r="S2927" s="78">
        <f>N(F2927)-N(G2927)</f>
        <v>0</v>
      </c>
    </row>
    <row r="2928">
      <c r="A2928" s="109">
        <f>IF(AND(F2928="",G2928=""),"",ROW()-6)</f>
      </c>
      <c r="B2928" s="140" t="n"/>
      <c r="C2928" s="141" t="n"/>
      <c r="D2928" s="141" t="n"/>
      <c r="E2928" s="142" t="n"/>
      <c r="F2928" s="143" t="n"/>
      <c r="G2928" s="144" t="n"/>
      <c r="H2928" s="145">
        <f>IF(OR(C2928="",AND(F2928="",G2928="")),"",SUMIF(基础资料!$W$5:$W$24,C2928,基础资料!$X$5:$X$24)+SUMIF(C$7:C2928,C2928,F$7:F2928)-SUMIF(C$7:C2928,C2928,G$7:G2928))</f>
      </c>
      <c r="I2928" s="145">
        <f>IF(AND(F2928="",G2928=""),"",SUM(基础资料!$X$5:$X$24)+SUM(F$7:F2928)-SUM(G$7:G2928))</f>
      </c>
      <c r="J2928" s="141" t="n"/>
      <c r="K2928" s="141" t="n"/>
      <c r="L2928" s="141" t="n"/>
      <c r="M2928" s="142" t="n"/>
      <c r="N2928" s="146">
        <f>IF(AND(AND(F2928="",G2928=""),B2928="",C2928="",D2928="",J2928="",K2928="",L2928=""),"",IF(AND(F2928="",G2928=""),"✗ 没填金额",IF(AND(N(F2928)&lt;&gt;0,N(G2928)&lt;&gt;0),"✗ 收入、支出只能填一边",IF(NOT(ISNUMBER(B2928)),"✗ 日期不是真日期（要像 2026/9/25 这样填）",IF(OR(B2928&lt;年初日,B2928&gt;年末日),"✗ 日期不在本会计年度",IF(C2928="","✗ 没选账户",IF(COUNTIF(基础资料!$W$5:$W$24,C2928)=0,"✗ 账户不在基础资料里",IF(O2928="","✗ 没选收支项目",IF(P2928="未知","✗ 收支项目不在基础资料里",IF(AND(P2928="应收",J2928=""),"✗ 这笔要选客户",IF(AND(P2928="应收",COUNTIF(总览汇总!$B$5:$B$304,J2928)=0),"✗ 客户不在总览汇总名单里",IF(AND(P2928="应付",K2928=""),"✗ 这笔要选供应商",IF(AND(P2928="应付",COUNTIF(基础资料!$Q$5:$Q$54,K2928)=0),"✗ 供应商不在基础资料里",IF(AND(P2928="费用",L2928=""),"✗ 费用支出要选费用项目",IF(AND(L2928&lt;&gt;"",COUNTIF(基础资料!$AI$5:$AI$54,L2928)=0),"✗ 费用项目不在基础资料里",IF(AND(IFERROR(INDEX(基础资料!$AD$5:$AD$34,MATCH(O2928,基础资料!$AC$5:$AC$34,0)),"")="收",N(G2928)&lt;&gt;0),"✗ 这类是收款，金额填到收入列",IF(AND(IFERROR(INDEX(基础资料!$AD$5:$AD$34,MATCH(O2928,基础资料!$AC$5:$AC$34,0)),"")="支",N(F2928)&lt;&gt;0),"✗ 这类是付款，金额填到支出列",IF(N(H2928)&lt;0,"⚠ 账户余额成负数了，核对一下","√"))))))))))))))))))</f>
      </c>
      <c r="O2928" s="78">
        <f>IF(D2928&lt;&gt;"",D2928,IF(AND(F2928="",G2928=""),"",IF(J2928&lt;&gt;"",IF(N(F2928)&gt;0,"客户回款","客户退款"),IF(K2928&lt;&gt;"",IF(N(G2928)&gt;0,"供应商付款","供应商退款"),IF(L2928&lt;&gt;"","费用支出","")))))</f>
      </c>
      <c r="P2928" s="78">
        <f>IF(O2928="","",IFERROR(INDEX(基础资料!$AE$5:$AE$34,MATCH(O2928,基础资料!$AC$5:$AC$34,0)),"未知"))</f>
      </c>
      <c r="Q2928" s="78">
        <f>IF(P2928="应收",COUNTIF(P$7:P2928,"应收"),"")</f>
      </c>
      <c r="R2928" s="78">
        <f>IF(P2928="应付",COUNTIF(P$7:P2928,"应付"),"")</f>
      </c>
      <c r="S2928" s="78">
        <f>N(F2928)-N(G2928)</f>
        <v>0</v>
      </c>
    </row>
    <row r="2929">
      <c r="A2929" s="109">
        <f>IF(AND(F2929="",G2929=""),"",ROW()-6)</f>
      </c>
      <c r="B2929" s="140" t="n"/>
      <c r="C2929" s="141" t="n"/>
      <c r="D2929" s="141" t="n"/>
      <c r="E2929" s="142" t="n"/>
      <c r="F2929" s="143" t="n"/>
      <c r="G2929" s="144" t="n"/>
      <c r="H2929" s="145">
        <f>IF(OR(C2929="",AND(F2929="",G2929="")),"",SUMIF(基础资料!$W$5:$W$24,C2929,基础资料!$X$5:$X$24)+SUMIF(C$7:C2929,C2929,F$7:F2929)-SUMIF(C$7:C2929,C2929,G$7:G2929))</f>
      </c>
      <c r="I2929" s="145">
        <f>IF(AND(F2929="",G2929=""),"",SUM(基础资料!$X$5:$X$24)+SUM(F$7:F2929)-SUM(G$7:G2929))</f>
      </c>
      <c r="J2929" s="141" t="n"/>
      <c r="K2929" s="141" t="n"/>
      <c r="L2929" s="141" t="n"/>
      <c r="M2929" s="142" t="n"/>
      <c r="N2929" s="146">
        <f>IF(AND(AND(F2929="",G2929=""),B2929="",C2929="",D2929="",J2929="",K2929="",L2929=""),"",IF(AND(F2929="",G2929=""),"✗ 没填金额",IF(AND(N(F2929)&lt;&gt;0,N(G2929)&lt;&gt;0),"✗ 收入、支出只能填一边",IF(NOT(ISNUMBER(B2929)),"✗ 日期不是真日期（要像 2026/9/25 这样填）",IF(OR(B2929&lt;年初日,B2929&gt;年末日),"✗ 日期不在本会计年度",IF(C2929="","✗ 没选账户",IF(COUNTIF(基础资料!$W$5:$W$24,C2929)=0,"✗ 账户不在基础资料里",IF(O2929="","✗ 没选收支项目",IF(P2929="未知","✗ 收支项目不在基础资料里",IF(AND(P2929="应收",J2929=""),"✗ 这笔要选客户",IF(AND(P2929="应收",COUNTIF(总览汇总!$B$5:$B$304,J2929)=0),"✗ 客户不在总览汇总名单里",IF(AND(P2929="应付",K2929=""),"✗ 这笔要选供应商",IF(AND(P2929="应付",COUNTIF(基础资料!$Q$5:$Q$54,K2929)=0),"✗ 供应商不在基础资料里",IF(AND(P2929="费用",L2929=""),"✗ 费用支出要选费用项目",IF(AND(L2929&lt;&gt;"",COUNTIF(基础资料!$AI$5:$AI$54,L2929)=0),"✗ 费用项目不在基础资料里",IF(AND(IFERROR(INDEX(基础资料!$AD$5:$AD$34,MATCH(O2929,基础资料!$AC$5:$AC$34,0)),"")="收",N(G2929)&lt;&gt;0),"✗ 这类是收款，金额填到收入列",IF(AND(IFERROR(INDEX(基础资料!$AD$5:$AD$34,MATCH(O2929,基础资料!$AC$5:$AC$34,0)),"")="支",N(F2929)&lt;&gt;0),"✗ 这类是付款，金额填到支出列",IF(N(H2929)&lt;0,"⚠ 账户余额成负数了，核对一下","√"))))))))))))))))))</f>
      </c>
      <c r="O2929" s="78">
        <f>IF(D2929&lt;&gt;"",D2929,IF(AND(F2929="",G2929=""),"",IF(J2929&lt;&gt;"",IF(N(F2929)&gt;0,"客户回款","客户退款"),IF(K2929&lt;&gt;"",IF(N(G2929)&gt;0,"供应商付款","供应商退款"),IF(L2929&lt;&gt;"","费用支出","")))))</f>
      </c>
      <c r="P2929" s="78">
        <f>IF(O2929="","",IFERROR(INDEX(基础资料!$AE$5:$AE$34,MATCH(O2929,基础资料!$AC$5:$AC$34,0)),"未知"))</f>
      </c>
      <c r="Q2929" s="78">
        <f>IF(P2929="应收",COUNTIF(P$7:P2929,"应收"),"")</f>
      </c>
      <c r="R2929" s="78">
        <f>IF(P2929="应付",COUNTIF(P$7:P2929,"应付"),"")</f>
      </c>
      <c r="S2929" s="78">
        <f>N(F2929)-N(G2929)</f>
        <v>0</v>
      </c>
    </row>
    <row r="2930">
      <c r="A2930" s="109">
        <f>IF(AND(F2930="",G2930=""),"",ROW()-6)</f>
      </c>
      <c r="B2930" s="140" t="n"/>
      <c r="C2930" s="141" t="n"/>
      <c r="D2930" s="141" t="n"/>
      <c r="E2930" s="142" t="n"/>
      <c r="F2930" s="143" t="n"/>
      <c r="G2930" s="144" t="n"/>
      <c r="H2930" s="145">
        <f>IF(OR(C2930="",AND(F2930="",G2930="")),"",SUMIF(基础资料!$W$5:$W$24,C2930,基础资料!$X$5:$X$24)+SUMIF(C$7:C2930,C2930,F$7:F2930)-SUMIF(C$7:C2930,C2930,G$7:G2930))</f>
      </c>
      <c r="I2930" s="145">
        <f>IF(AND(F2930="",G2930=""),"",SUM(基础资料!$X$5:$X$24)+SUM(F$7:F2930)-SUM(G$7:G2930))</f>
      </c>
      <c r="J2930" s="141" t="n"/>
      <c r="K2930" s="141" t="n"/>
      <c r="L2930" s="141" t="n"/>
      <c r="M2930" s="142" t="n"/>
      <c r="N2930" s="146">
        <f>IF(AND(AND(F2930="",G2930=""),B2930="",C2930="",D2930="",J2930="",K2930="",L2930=""),"",IF(AND(F2930="",G2930=""),"✗ 没填金额",IF(AND(N(F2930)&lt;&gt;0,N(G2930)&lt;&gt;0),"✗ 收入、支出只能填一边",IF(NOT(ISNUMBER(B2930)),"✗ 日期不是真日期（要像 2026/9/25 这样填）",IF(OR(B2930&lt;年初日,B2930&gt;年末日),"✗ 日期不在本会计年度",IF(C2930="","✗ 没选账户",IF(COUNTIF(基础资料!$W$5:$W$24,C2930)=0,"✗ 账户不在基础资料里",IF(O2930="","✗ 没选收支项目",IF(P2930="未知","✗ 收支项目不在基础资料里",IF(AND(P2930="应收",J2930=""),"✗ 这笔要选客户",IF(AND(P2930="应收",COUNTIF(总览汇总!$B$5:$B$304,J2930)=0),"✗ 客户不在总览汇总名单里",IF(AND(P2930="应付",K2930=""),"✗ 这笔要选供应商",IF(AND(P2930="应付",COUNTIF(基础资料!$Q$5:$Q$54,K2930)=0),"✗ 供应商不在基础资料里",IF(AND(P2930="费用",L2930=""),"✗ 费用支出要选费用项目",IF(AND(L2930&lt;&gt;"",COUNTIF(基础资料!$AI$5:$AI$54,L2930)=0),"✗ 费用项目不在基础资料里",IF(AND(IFERROR(INDEX(基础资料!$AD$5:$AD$34,MATCH(O2930,基础资料!$AC$5:$AC$34,0)),"")="收",N(G2930)&lt;&gt;0),"✗ 这类是收款，金额填到收入列",IF(AND(IFERROR(INDEX(基础资料!$AD$5:$AD$34,MATCH(O2930,基础资料!$AC$5:$AC$34,0)),"")="支",N(F2930)&lt;&gt;0),"✗ 这类是付款，金额填到支出列",IF(N(H2930)&lt;0,"⚠ 账户余额成负数了，核对一下","√"))))))))))))))))))</f>
      </c>
      <c r="O2930" s="78">
        <f>IF(D2930&lt;&gt;"",D2930,IF(AND(F2930="",G2930=""),"",IF(J2930&lt;&gt;"",IF(N(F2930)&gt;0,"客户回款","客户退款"),IF(K2930&lt;&gt;"",IF(N(G2930)&gt;0,"供应商付款","供应商退款"),IF(L2930&lt;&gt;"","费用支出","")))))</f>
      </c>
      <c r="P2930" s="78">
        <f>IF(O2930="","",IFERROR(INDEX(基础资料!$AE$5:$AE$34,MATCH(O2930,基础资料!$AC$5:$AC$34,0)),"未知"))</f>
      </c>
      <c r="Q2930" s="78">
        <f>IF(P2930="应收",COUNTIF(P$7:P2930,"应收"),"")</f>
      </c>
      <c r="R2930" s="78">
        <f>IF(P2930="应付",COUNTIF(P$7:P2930,"应付"),"")</f>
      </c>
      <c r="S2930" s="78">
        <f>N(F2930)-N(G2930)</f>
        <v>0</v>
      </c>
    </row>
    <row r="2931">
      <c r="A2931" s="109">
        <f>IF(AND(F2931="",G2931=""),"",ROW()-6)</f>
      </c>
      <c r="B2931" s="140" t="n"/>
      <c r="C2931" s="141" t="n"/>
      <c r="D2931" s="141" t="n"/>
      <c r="E2931" s="142" t="n"/>
      <c r="F2931" s="143" t="n"/>
      <c r="G2931" s="144" t="n"/>
      <c r="H2931" s="145">
        <f>IF(OR(C2931="",AND(F2931="",G2931="")),"",SUMIF(基础资料!$W$5:$W$24,C2931,基础资料!$X$5:$X$24)+SUMIF(C$7:C2931,C2931,F$7:F2931)-SUMIF(C$7:C2931,C2931,G$7:G2931))</f>
      </c>
      <c r="I2931" s="145">
        <f>IF(AND(F2931="",G2931=""),"",SUM(基础资料!$X$5:$X$24)+SUM(F$7:F2931)-SUM(G$7:G2931))</f>
      </c>
      <c r="J2931" s="141" t="n"/>
      <c r="K2931" s="141" t="n"/>
      <c r="L2931" s="141" t="n"/>
      <c r="M2931" s="142" t="n"/>
      <c r="N2931" s="146">
        <f>IF(AND(AND(F2931="",G2931=""),B2931="",C2931="",D2931="",J2931="",K2931="",L2931=""),"",IF(AND(F2931="",G2931=""),"✗ 没填金额",IF(AND(N(F2931)&lt;&gt;0,N(G2931)&lt;&gt;0),"✗ 收入、支出只能填一边",IF(NOT(ISNUMBER(B2931)),"✗ 日期不是真日期（要像 2026/9/25 这样填）",IF(OR(B2931&lt;年初日,B2931&gt;年末日),"✗ 日期不在本会计年度",IF(C2931="","✗ 没选账户",IF(COUNTIF(基础资料!$W$5:$W$24,C2931)=0,"✗ 账户不在基础资料里",IF(O2931="","✗ 没选收支项目",IF(P2931="未知","✗ 收支项目不在基础资料里",IF(AND(P2931="应收",J2931=""),"✗ 这笔要选客户",IF(AND(P2931="应收",COUNTIF(总览汇总!$B$5:$B$304,J2931)=0),"✗ 客户不在总览汇总名单里",IF(AND(P2931="应付",K2931=""),"✗ 这笔要选供应商",IF(AND(P2931="应付",COUNTIF(基础资料!$Q$5:$Q$54,K2931)=0),"✗ 供应商不在基础资料里",IF(AND(P2931="费用",L2931=""),"✗ 费用支出要选费用项目",IF(AND(L2931&lt;&gt;"",COUNTIF(基础资料!$AI$5:$AI$54,L2931)=0),"✗ 费用项目不在基础资料里",IF(AND(IFERROR(INDEX(基础资料!$AD$5:$AD$34,MATCH(O2931,基础资料!$AC$5:$AC$34,0)),"")="收",N(G2931)&lt;&gt;0),"✗ 这类是收款，金额填到收入列",IF(AND(IFERROR(INDEX(基础资料!$AD$5:$AD$34,MATCH(O2931,基础资料!$AC$5:$AC$34,0)),"")="支",N(F2931)&lt;&gt;0),"✗ 这类是付款，金额填到支出列",IF(N(H2931)&lt;0,"⚠ 账户余额成负数了，核对一下","√"))))))))))))))))))</f>
      </c>
      <c r="O2931" s="78">
        <f>IF(D2931&lt;&gt;"",D2931,IF(AND(F2931="",G2931=""),"",IF(J2931&lt;&gt;"",IF(N(F2931)&gt;0,"客户回款","客户退款"),IF(K2931&lt;&gt;"",IF(N(G2931)&gt;0,"供应商付款","供应商退款"),IF(L2931&lt;&gt;"","费用支出","")))))</f>
      </c>
      <c r="P2931" s="78">
        <f>IF(O2931="","",IFERROR(INDEX(基础资料!$AE$5:$AE$34,MATCH(O2931,基础资料!$AC$5:$AC$34,0)),"未知"))</f>
      </c>
      <c r="Q2931" s="78">
        <f>IF(P2931="应收",COUNTIF(P$7:P2931,"应收"),"")</f>
      </c>
      <c r="R2931" s="78">
        <f>IF(P2931="应付",COUNTIF(P$7:P2931,"应付"),"")</f>
      </c>
      <c r="S2931" s="78">
        <f>N(F2931)-N(G2931)</f>
        <v>0</v>
      </c>
    </row>
    <row r="2932">
      <c r="A2932" s="109">
        <f>IF(AND(F2932="",G2932=""),"",ROW()-6)</f>
      </c>
      <c r="B2932" s="140" t="n"/>
      <c r="C2932" s="141" t="n"/>
      <c r="D2932" s="141" t="n"/>
      <c r="E2932" s="142" t="n"/>
      <c r="F2932" s="143" t="n"/>
      <c r="G2932" s="144" t="n"/>
      <c r="H2932" s="145">
        <f>IF(OR(C2932="",AND(F2932="",G2932="")),"",SUMIF(基础资料!$W$5:$W$24,C2932,基础资料!$X$5:$X$24)+SUMIF(C$7:C2932,C2932,F$7:F2932)-SUMIF(C$7:C2932,C2932,G$7:G2932))</f>
      </c>
      <c r="I2932" s="145">
        <f>IF(AND(F2932="",G2932=""),"",SUM(基础资料!$X$5:$X$24)+SUM(F$7:F2932)-SUM(G$7:G2932))</f>
      </c>
      <c r="J2932" s="141" t="n"/>
      <c r="K2932" s="141" t="n"/>
      <c r="L2932" s="141" t="n"/>
      <c r="M2932" s="142" t="n"/>
      <c r="N2932" s="146">
        <f>IF(AND(AND(F2932="",G2932=""),B2932="",C2932="",D2932="",J2932="",K2932="",L2932=""),"",IF(AND(F2932="",G2932=""),"✗ 没填金额",IF(AND(N(F2932)&lt;&gt;0,N(G2932)&lt;&gt;0),"✗ 收入、支出只能填一边",IF(NOT(ISNUMBER(B2932)),"✗ 日期不是真日期（要像 2026/9/25 这样填）",IF(OR(B2932&lt;年初日,B2932&gt;年末日),"✗ 日期不在本会计年度",IF(C2932="","✗ 没选账户",IF(COUNTIF(基础资料!$W$5:$W$24,C2932)=0,"✗ 账户不在基础资料里",IF(O2932="","✗ 没选收支项目",IF(P2932="未知","✗ 收支项目不在基础资料里",IF(AND(P2932="应收",J2932=""),"✗ 这笔要选客户",IF(AND(P2932="应收",COUNTIF(总览汇总!$B$5:$B$304,J2932)=0),"✗ 客户不在总览汇总名单里",IF(AND(P2932="应付",K2932=""),"✗ 这笔要选供应商",IF(AND(P2932="应付",COUNTIF(基础资料!$Q$5:$Q$54,K2932)=0),"✗ 供应商不在基础资料里",IF(AND(P2932="费用",L2932=""),"✗ 费用支出要选费用项目",IF(AND(L2932&lt;&gt;"",COUNTIF(基础资料!$AI$5:$AI$54,L2932)=0),"✗ 费用项目不在基础资料里",IF(AND(IFERROR(INDEX(基础资料!$AD$5:$AD$34,MATCH(O2932,基础资料!$AC$5:$AC$34,0)),"")="收",N(G2932)&lt;&gt;0),"✗ 这类是收款，金额填到收入列",IF(AND(IFERROR(INDEX(基础资料!$AD$5:$AD$34,MATCH(O2932,基础资料!$AC$5:$AC$34,0)),"")="支",N(F2932)&lt;&gt;0),"✗ 这类是付款，金额填到支出列",IF(N(H2932)&lt;0,"⚠ 账户余额成负数了，核对一下","√"))))))))))))))))))</f>
      </c>
      <c r="O2932" s="78">
        <f>IF(D2932&lt;&gt;"",D2932,IF(AND(F2932="",G2932=""),"",IF(J2932&lt;&gt;"",IF(N(F2932)&gt;0,"客户回款","客户退款"),IF(K2932&lt;&gt;"",IF(N(G2932)&gt;0,"供应商付款","供应商退款"),IF(L2932&lt;&gt;"","费用支出","")))))</f>
      </c>
      <c r="P2932" s="78">
        <f>IF(O2932="","",IFERROR(INDEX(基础资料!$AE$5:$AE$34,MATCH(O2932,基础资料!$AC$5:$AC$34,0)),"未知"))</f>
      </c>
      <c r="Q2932" s="78">
        <f>IF(P2932="应收",COUNTIF(P$7:P2932,"应收"),"")</f>
      </c>
      <c r="R2932" s="78">
        <f>IF(P2932="应付",COUNTIF(P$7:P2932,"应付"),"")</f>
      </c>
      <c r="S2932" s="78">
        <f>N(F2932)-N(G2932)</f>
        <v>0</v>
      </c>
    </row>
    <row r="2933">
      <c r="A2933" s="109">
        <f>IF(AND(F2933="",G2933=""),"",ROW()-6)</f>
      </c>
      <c r="B2933" s="140" t="n"/>
      <c r="C2933" s="141" t="n"/>
      <c r="D2933" s="141" t="n"/>
      <c r="E2933" s="142" t="n"/>
      <c r="F2933" s="143" t="n"/>
      <c r="G2933" s="144" t="n"/>
      <c r="H2933" s="145">
        <f>IF(OR(C2933="",AND(F2933="",G2933="")),"",SUMIF(基础资料!$W$5:$W$24,C2933,基础资料!$X$5:$X$24)+SUMIF(C$7:C2933,C2933,F$7:F2933)-SUMIF(C$7:C2933,C2933,G$7:G2933))</f>
      </c>
      <c r="I2933" s="145">
        <f>IF(AND(F2933="",G2933=""),"",SUM(基础资料!$X$5:$X$24)+SUM(F$7:F2933)-SUM(G$7:G2933))</f>
      </c>
      <c r="J2933" s="141" t="n"/>
      <c r="K2933" s="141" t="n"/>
      <c r="L2933" s="141" t="n"/>
      <c r="M2933" s="142" t="n"/>
      <c r="N2933" s="146">
        <f>IF(AND(AND(F2933="",G2933=""),B2933="",C2933="",D2933="",J2933="",K2933="",L2933=""),"",IF(AND(F2933="",G2933=""),"✗ 没填金额",IF(AND(N(F2933)&lt;&gt;0,N(G2933)&lt;&gt;0),"✗ 收入、支出只能填一边",IF(NOT(ISNUMBER(B2933)),"✗ 日期不是真日期（要像 2026/9/25 这样填）",IF(OR(B2933&lt;年初日,B2933&gt;年末日),"✗ 日期不在本会计年度",IF(C2933="","✗ 没选账户",IF(COUNTIF(基础资料!$W$5:$W$24,C2933)=0,"✗ 账户不在基础资料里",IF(O2933="","✗ 没选收支项目",IF(P2933="未知","✗ 收支项目不在基础资料里",IF(AND(P2933="应收",J2933=""),"✗ 这笔要选客户",IF(AND(P2933="应收",COUNTIF(总览汇总!$B$5:$B$304,J2933)=0),"✗ 客户不在总览汇总名单里",IF(AND(P2933="应付",K2933=""),"✗ 这笔要选供应商",IF(AND(P2933="应付",COUNTIF(基础资料!$Q$5:$Q$54,K2933)=0),"✗ 供应商不在基础资料里",IF(AND(P2933="费用",L2933=""),"✗ 费用支出要选费用项目",IF(AND(L2933&lt;&gt;"",COUNTIF(基础资料!$AI$5:$AI$54,L2933)=0),"✗ 费用项目不在基础资料里",IF(AND(IFERROR(INDEX(基础资料!$AD$5:$AD$34,MATCH(O2933,基础资料!$AC$5:$AC$34,0)),"")="收",N(G2933)&lt;&gt;0),"✗ 这类是收款，金额填到收入列",IF(AND(IFERROR(INDEX(基础资料!$AD$5:$AD$34,MATCH(O2933,基础资料!$AC$5:$AC$34,0)),"")="支",N(F2933)&lt;&gt;0),"✗ 这类是付款，金额填到支出列",IF(N(H2933)&lt;0,"⚠ 账户余额成负数了，核对一下","√"))))))))))))))))))</f>
      </c>
      <c r="O2933" s="78">
        <f>IF(D2933&lt;&gt;"",D2933,IF(AND(F2933="",G2933=""),"",IF(J2933&lt;&gt;"",IF(N(F2933)&gt;0,"客户回款","客户退款"),IF(K2933&lt;&gt;"",IF(N(G2933)&gt;0,"供应商付款","供应商退款"),IF(L2933&lt;&gt;"","费用支出","")))))</f>
      </c>
      <c r="P2933" s="78">
        <f>IF(O2933="","",IFERROR(INDEX(基础资料!$AE$5:$AE$34,MATCH(O2933,基础资料!$AC$5:$AC$34,0)),"未知"))</f>
      </c>
      <c r="Q2933" s="78">
        <f>IF(P2933="应收",COUNTIF(P$7:P2933,"应收"),"")</f>
      </c>
      <c r="R2933" s="78">
        <f>IF(P2933="应付",COUNTIF(P$7:P2933,"应付"),"")</f>
      </c>
      <c r="S2933" s="78">
        <f>N(F2933)-N(G2933)</f>
        <v>0</v>
      </c>
    </row>
    <row r="2934">
      <c r="A2934" s="109">
        <f>IF(AND(F2934="",G2934=""),"",ROW()-6)</f>
      </c>
      <c r="B2934" s="140" t="n"/>
      <c r="C2934" s="141" t="n"/>
      <c r="D2934" s="141" t="n"/>
      <c r="E2934" s="142" t="n"/>
      <c r="F2934" s="143" t="n"/>
      <c r="G2934" s="144" t="n"/>
      <c r="H2934" s="145">
        <f>IF(OR(C2934="",AND(F2934="",G2934="")),"",SUMIF(基础资料!$W$5:$W$24,C2934,基础资料!$X$5:$X$24)+SUMIF(C$7:C2934,C2934,F$7:F2934)-SUMIF(C$7:C2934,C2934,G$7:G2934))</f>
      </c>
      <c r="I2934" s="145">
        <f>IF(AND(F2934="",G2934=""),"",SUM(基础资料!$X$5:$X$24)+SUM(F$7:F2934)-SUM(G$7:G2934))</f>
      </c>
      <c r="J2934" s="141" t="n"/>
      <c r="K2934" s="141" t="n"/>
      <c r="L2934" s="141" t="n"/>
      <c r="M2934" s="142" t="n"/>
      <c r="N2934" s="146">
        <f>IF(AND(AND(F2934="",G2934=""),B2934="",C2934="",D2934="",J2934="",K2934="",L2934=""),"",IF(AND(F2934="",G2934=""),"✗ 没填金额",IF(AND(N(F2934)&lt;&gt;0,N(G2934)&lt;&gt;0),"✗ 收入、支出只能填一边",IF(NOT(ISNUMBER(B2934)),"✗ 日期不是真日期（要像 2026/9/25 这样填）",IF(OR(B2934&lt;年初日,B2934&gt;年末日),"✗ 日期不在本会计年度",IF(C2934="","✗ 没选账户",IF(COUNTIF(基础资料!$W$5:$W$24,C2934)=0,"✗ 账户不在基础资料里",IF(O2934="","✗ 没选收支项目",IF(P2934="未知","✗ 收支项目不在基础资料里",IF(AND(P2934="应收",J2934=""),"✗ 这笔要选客户",IF(AND(P2934="应收",COUNTIF(总览汇总!$B$5:$B$304,J2934)=0),"✗ 客户不在总览汇总名单里",IF(AND(P2934="应付",K2934=""),"✗ 这笔要选供应商",IF(AND(P2934="应付",COUNTIF(基础资料!$Q$5:$Q$54,K2934)=0),"✗ 供应商不在基础资料里",IF(AND(P2934="费用",L2934=""),"✗ 费用支出要选费用项目",IF(AND(L2934&lt;&gt;"",COUNTIF(基础资料!$AI$5:$AI$54,L2934)=0),"✗ 费用项目不在基础资料里",IF(AND(IFERROR(INDEX(基础资料!$AD$5:$AD$34,MATCH(O2934,基础资料!$AC$5:$AC$34,0)),"")="收",N(G2934)&lt;&gt;0),"✗ 这类是收款，金额填到收入列",IF(AND(IFERROR(INDEX(基础资料!$AD$5:$AD$34,MATCH(O2934,基础资料!$AC$5:$AC$34,0)),"")="支",N(F2934)&lt;&gt;0),"✗ 这类是付款，金额填到支出列",IF(N(H2934)&lt;0,"⚠ 账户余额成负数了，核对一下","√"))))))))))))))))))</f>
      </c>
      <c r="O2934" s="78">
        <f>IF(D2934&lt;&gt;"",D2934,IF(AND(F2934="",G2934=""),"",IF(J2934&lt;&gt;"",IF(N(F2934)&gt;0,"客户回款","客户退款"),IF(K2934&lt;&gt;"",IF(N(G2934)&gt;0,"供应商付款","供应商退款"),IF(L2934&lt;&gt;"","费用支出","")))))</f>
      </c>
      <c r="P2934" s="78">
        <f>IF(O2934="","",IFERROR(INDEX(基础资料!$AE$5:$AE$34,MATCH(O2934,基础资料!$AC$5:$AC$34,0)),"未知"))</f>
      </c>
      <c r="Q2934" s="78">
        <f>IF(P2934="应收",COUNTIF(P$7:P2934,"应收"),"")</f>
      </c>
      <c r="R2934" s="78">
        <f>IF(P2934="应付",COUNTIF(P$7:P2934,"应付"),"")</f>
      </c>
      <c r="S2934" s="78">
        <f>N(F2934)-N(G2934)</f>
        <v>0</v>
      </c>
    </row>
    <row r="2935">
      <c r="A2935" s="109">
        <f>IF(AND(F2935="",G2935=""),"",ROW()-6)</f>
      </c>
      <c r="B2935" s="140" t="n"/>
      <c r="C2935" s="141" t="n"/>
      <c r="D2935" s="141" t="n"/>
      <c r="E2935" s="142" t="n"/>
      <c r="F2935" s="143" t="n"/>
      <c r="G2935" s="144" t="n"/>
      <c r="H2935" s="145">
        <f>IF(OR(C2935="",AND(F2935="",G2935="")),"",SUMIF(基础资料!$W$5:$W$24,C2935,基础资料!$X$5:$X$24)+SUMIF(C$7:C2935,C2935,F$7:F2935)-SUMIF(C$7:C2935,C2935,G$7:G2935))</f>
      </c>
      <c r="I2935" s="145">
        <f>IF(AND(F2935="",G2935=""),"",SUM(基础资料!$X$5:$X$24)+SUM(F$7:F2935)-SUM(G$7:G2935))</f>
      </c>
      <c r="J2935" s="141" t="n"/>
      <c r="K2935" s="141" t="n"/>
      <c r="L2935" s="141" t="n"/>
      <c r="M2935" s="142" t="n"/>
      <c r="N2935" s="146">
        <f>IF(AND(AND(F2935="",G2935=""),B2935="",C2935="",D2935="",J2935="",K2935="",L2935=""),"",IF(AND(F2935="",G2935=""),"✗ 没填金额",IF(AND(N(F2935)&lt;&gt;0,N(G2935)&lt;&gt;0),"✗ 收入、支出只能填一边",IF(NOT(ISNUMBER(B2935)),"✗ 日期不是真日期（要像 2026/9/25 这样填）",IF(OR(B2935&lt;年初日,B2935&gt;年末日),"✗ 日期不在本会计年度",IF(C2935="","✗ 没选账户",IF(COUNTIF(基础资料!$W$5:$W$24,C2935)=0,"✗ 账户不在基础资料里",IF(O2935="","✗ 没选收支项目",IF(P2935="未知","✗ 收支项目不在基础资料里",IF(AND(P2935="应收",J2935=""),"✗ 这笔要选客户",IF(AND(P2935="应收",COUNTIF(总览汇总!$B$5:$B$304,J2935)=0),"✗ 客户不在总览汇总名单里",IF(AND(P2935="应付",K2935=""),"✗ 这笔要选供应商",IF(AND(P2935="应付",COUNTIF(基础资料!$Q$5:$Q$54,K2935)=0),"✗ 供应商不在基础资料里",IF(AND(P2935="费用",L2935=""),"✗ 费用支出要选费用项目",IF(AND(L2935&lt;&gt;"",COUNTIF(基础资料!$AI$5:$AI$54,L2935)=0),"✗ 费用项目不在基础资料里",IF(AND(IFERROR(INDEX(基础资料!$AD$5:$AD$34,MATCH(O2935,基础资料!$AC$5:$AC$34,0)),"")="收",N(G2935)&lt;&gt;0),"✗ 这类是收款，金额填到收入列",IF(AND(IFERROR(INDEX(基础资料!$AD$5:$AD$34,MATCH(O2935,基础资料!$AC$5:$AC$34,0)),"")="支",N(F2935)&lt;&gt;0),"✗ 这类是付款，金额填到支出列",IF(N(H2935)&lt;0,"⚠ 账户余额成负数了，核对一下","√"))))))))))))))))))</f>
      </c>
      <c r="O2935" s="78">
        <f>IF(D2935&lt;&gt;"",D2935,IF(AND(F2935="",G2935=""),"",IF(J2935&lt;&gt;"",IF(N(F2935)&gt;0,"客户回款","客户退款"),IF(K2935&lt;&gt;"",IF(N(G2935)&gt;0,"供应商付款","供应商退款"),IF(L2935&lt;&gt;"","费用支出","")))))</f>
      </c>
      <c r="P2935" s="78">
        <f>IF(O2935="","",IFERROR(INDEX(基础资料!$AE$5:$AE$34,MATCH(O2935,基础资料!$AC$5:$AC$34,0)),"未知"))</f>
      </c>
      <c r="Q2935" s="78">
        <f>IF(P2935="应收",COUNTIF(P$7:P2935,"应收"),"")</f>
      </c>
      <c r="R2935" s="78">
        <f>IF(P2935="应付",COUNTIF(P$7:P2935,"应付"),"")</f>
      </c>
      <c r="S2935" s="78">
        <f>N(F2935)-N(G2935)</f>
        <v>0</v>
      </c>
    </row>
    <row r="2936">
      <c r="A2936" s="109">
        <f>IF(AND(F2936="",G2936=""),"",ROW()-6)</f>
      </c>
      <c r="B2936" s="140" t="n"/>
      <c r="C2936" s="141" t="n"/>
      <c r="D2936" s="141" t="n"/>
      <c r="E2936" s="142" t="n"/>
      <c r="F2936" s="143" t="n"/>
      <c r="G2936" s="144" t="n"/>
      <c r="H2936" s="145">
        <f>IF(OR(C2936="",AND(F2936="",G2936="")),"",SUMIF(基础资料!$W$5:$W$24,C2936,基础资料!$X$5:$X$24)+SUMIF(C$7:C2936,C2936,F$7:F2936)-SUMIF(C$7:C2936,C2936,G$7:G2936))</f>
      </c>
      <c r="I2936" s="145">
        <f>IF(AND(F2936="",G2936=""),"",SUM(基础资料!$X$5:$X$24)+SUM(F$7:F2936)-SUM(G$7:G2936))</f>
      </c>
      <c r="J2936" s="141" t="n"/>
      <c r="K2936" s="141" t="n"/>
      <c r="L2936" s="141" t="n"/>
      <c r="M2936" s="142" t="n"/>
      <c r="N2936" s="146">
        <f>IF(AND(AND(F2936="",G2936=""),B2936="",C2936="",D2936="",J2936="",K2936="",L2936=""),"",IF(AND(F2936="",G2936=""),"✗ 没填金额",IF(AND(N(F2936)&lt;&gt;0,N(G2936)&lt;&gt;0),"✗ 收入、支出只能填一边",IF(NOT(ISNUMBER(B2936)),"✗ 日期不是真日期（要像 2026/9/25 这样填）",IF(OR(B2936&lt;年初日,B2936&gt;年末日),"✗ 日期不在本会计年度",IF(C2936="","✗ 没选账户",IF(COUNTIF(基础资料!$W$5:$W$24,C2936)=0,"✗ 账户不在基础资料里",IF(O2936="","✗ 没选收支项目",IF(P2936="未知","✗ 收支项目不在基础资料里",IF(AND(P2936="应收",J2936=""),"✗ 这笔要选客户",IF(AND(P2936="应收",COUNTIF(总览汇总!$B$5:$B$304,J2936)=0),"✗ 客户不在总览汇总名单里",IF(AND(P2936="应付",K2936=""),"✗ 这笔要选供应商",IF(AND(P2936="应付",COUNTIF(基础资料!$Q$5:$Q$54,K2936)=0),"✗ 供应商不在基础资料里",IF(AND(P2936="费用",L2936=""),"✗ 费用支出要选费用项目",IF(AND(L2936&lt;&gt;"",COUNTIF(基础资料!$AI$5:$AI$54,L2936)=0),"✗ 费用项目不在基础资料里",IF(AND(IFERROR(INDEX(基础资料!$AD$5:$AD$34,MATCH(O2936,基础资料!$AC$5:$AC$34,0)),"")="收",N(G2936)&lt;&gt;0),"✗ 这类是收款，金额填到收入列",IF(AND(IFERROR(INDEX(基础资料!$AD$5:$AD$34,MATCH(O2936,基础资料!$AC$5:$AC$34,0)),"")="支",N(F2936)&lt;&gt;0),"✗ 这类是付款，金额填到支出列",IF(N(H2936)&lt;0,"⚠ 账户余额成负数了，核对一下","√"))))))))))))))))))</f>
      </c>
      <c r="O2936" s="78">
        <f>IF(D2936&lt;&gt;"",D2936,IF(AND(F2936="",G2936=""),"",IF(J2936&lt;&gt;"",IF(N(F2936)&gt;0,"客户回款","客户退款"),IF(K2936&lt;&gt;"",IF(N(G2936)&gt;0,"供应商付款","供应商退款"),IF(L2936&lt;&gt;"","费用支出","")))))</f>
      </c>
      <c r="P2936" s="78">
        <f>IF(O2936="","",IFERROR(INDEX(基础资料!$AE$5:$AE$34,MATCH(O2936,基础资料!$AC$5:$AC$34,0)),"未知"))</f>
      </c>
      <c r="Q2936" s="78">
        <f>IF(P2936="应收",COUNTIF(P$7:P2936,"应收"),"")</f>
      </c>
      <c r="R2936" s="78">
        <f>IF(P2936="应付",COUNTIF(P$7:P2936,"应付"),"")</f>
      </c>
      <c r="S2936" s="78">
        <f>N(F2936)-N(G2936)</f>
        <v>0</v>
      </c>
    </row>
    <row r="2937">
      <c r="A2937" s="109">
        <f>IF(AND(F2937="",G2937=""),"",ROW()-6)</f>
      </c>
      <c r="B2937" s="140" t="n"/>
      <c r="C2937" s="141" t="n"/>
      <c r="D2937" s="141" t="n"/>
      <c r="E2937" s="142" t="n"/>
      <c r="F2937" s="143" t="n"/>
      <c r="G2937" s="144" t="n"/>
      <c r="H2937" s="145">
        <f>IF(OR(C2937="",AND(F2937="",G2937="")),"",SUMIF(基础资料!$W$5:$W$24,C2937,基础资料!$X$5:$X$24)+SUMIF(C$7:C2937,C2937,F$7:F2937)-SUMIF(C$7:C2937,C2937,G$7:G2937))</f>
      </c>
      <c r="I2937" s="145">
        <f>IF(AND(F2937="",G2937=""),"",SUM(基础资料!$X$5:$X$24)+SUM(F$7:F2937)-SUM(G$7:G2937))</f>
      </c>
      <c r="J2937" s="141" t="n"/>
      <c r="K2937" s="141" t="n"/>
      <c r="L2937" s="141" t="n"/>
      <c r="M2937" s="142" t="n"/>
      <c r="N2937" s="146">
        <f>IF(AND(AND(F2937="",G2937=""),B2937="",C2937="",D2937="",J2937="",K2937="",L2937=""),"",IF(AND(F2937="",G2937=""),"✗ 没填金额",IF(AND(N(F2937)&lt;&gt;0,N(G2937)&lt;&gt;0),"✗ 收入、支出只能填一边",IF(NOT(ISNUMBER(B2937)),"✗ 日期不是真日期（要像 2026/9/25 这样填）",IF(OR(B2937&lt;年初日,B2937&gt;年末日),"✗ 日期不在本会计年度",IF(C2937="","✗ 没选账户",IF(COUNTIF(基础资料!$W$5:$W$24,C2937)=0,"✗ 账户不在基础资料里",IF(O2937="","✗ 没选收支项目",IF(P2937="未知","✗ 收支项目不在基础资料里",IF(AND(P2937="应收",J2937=""),"✗ 这笔要选客户",IF(AND(P2937="应收",COUNTIF(总览汇总!$B$5:$B$304,J2937)=0),"✗ 客户不在总览汇总名单里",IF(AND(P2937="应付",K2937=""),"✗ 这笔要选供应商",IF(AND(P2937="应付",COUNTIF(基础资料!$Q$5:$Q$54,K2937)=0),"✗ 供应商不在基础资料里",IF(AND(P2937="费用",L2937=""),"✗ 费用支出要选费用项目",IF(AND(L2937&lt;&gt;"",COUNTIF(基础资料!$AI$5:$AI$54,L2937)=0),"✗ 费用项目不在基础资料里",IF(AND(IFERROR(INDEX(基础资料!$AD$5:$AD$34,MATCH(O2937,基础资料!$AC$5:$AC$34,0)),"")="收",N(G2937)&lt;&gt;0),"✗ 这类是收款，金额填到收入列",IF(AND(IFERROR(INDEX(基础资料!$AD$5:$AD$34,MATCH(O2937,基础资料!$AC$5:$AC$34,0)),"")="支",N(F2937)&lt;&gt;0),"✗ 这类是付款，金额填到支出列",IF(N(H2937)&lt;0,"⚠ 账户余额成负数了，核对一下","√"))))))))))))))))))</f>
      </c>
      <c r="O2937" s="78">
        <f>IF(D2937&lt;&gt;"",D2937,IF(AND(F2937="",G2937=""),"",IF(J2937&lt;&gt;"",IF(N(F2937)&gt;0,"客户回款","客户退款"),IF(K2937&lt;&gt;"",IF(N(G2937)&gt;0,"供应商付款","供应商退款"),IF(L2937&lt;&gt;"","费用支出","")))))</f>
      </c>
      <c r="P2937" s="78">
        <f>IF(O2937="","",IFERROR(INDEX(基础资料!$AE$5:$AE$34,MATCH(O2937,基础资料!$AC$5:$AC$34,0)),"未知"))</f>
      </c>
      <c r="Q2937" s="78">
        <f>IF(P2937="应收",COUNTIF(P$7:P2937,"应收"),"")</f>
      </c>
      <c r="R2937" s="78">
        <f>IF(P2937="应付",COUNTIF(P$7:P2937,"应付"),"")</f>
      </c>
      <c r="S2937" s="78">
        <f>N(F2937)-N(G2937)</f>
        <v>0</v>
      </c>
    </row>
    <row r="2938">
      <c r="A2938" s="109">
        <f>IF(AND(F2938="",G2938=""),"",ROW()-6)</f>
      </c>
      <c r="B2938" s="140" t="n"/>
      <c r="C2938" s="141" t="n"/>
      <c r="D2938" s="141" t="n"/>
      <c r="E2938" s="142" t="n"/>
      <c r="F2938" s="143" t="n"/>
      <c r="G2938" s="144" t="n"/>
      <c r="H2938" s="145">
        <f>IF(OR(C2938="",AND(F2938="",G2938="")),"",SUMIF(基础资料!$W$5:$W$24,C2938,基础资料!$X$5:$X$24)+SUMIF(C$7:C2938,C2938,F$7:F2938)-SUMIF(C$7:C2938,C2938,G$7:G2938))</f>
      </c>
      <c r="I2938" s="145">
        <f>IF(AND(F2938="",G2938=""),"",SUM(基础资料!$X$5:$X$24)+SUM(F$7:F2938)-SUM(G$7:G2938))</f>
      </c>
      <c r="J2938" s="141" t="n"/>
      <c r="K2938" s="141" t="n"/>
      <c r="L2938" s="141" t="n"/>
      <c r="M2938" s="142" t="n"/>
      <c r="N2938" s="146">
        <f>IF(AND(AND(F2938="",G2938=""),B2938="",C2938="",D2938="",J2938="",K2938="",L2938=""),"",IF(AND(F2938="",G2938=""),"✗ 没填金额",IF(AND(N(F2938)&lt;&gt;0,N(G2938)&lt;&gt;0),"✗ 收入、支出只能填一边",IF(NOT(ISNUMBER(B2938)),"✗ 日期不是真日期（要像 2026/9/25 这样填）",IF(OR(B2938&lt;年初日,B2938&gt;年末日),"✗ 日期不在本会计年度",IF(C2938="","✗ 没选账户",IF(COUNTIF(基础资料!$W$5:$W$24,C2938)=0,"✗ 账户不在基础资料里",IF(O2938="","✗ 没选收支项目",IF(P2938="未知","✗ 收支项目不在基础资料里",IF(AND(P2938="应收",J2938=""),"✗ 这笔要选客户",IF(AND(P2938="应收",COUNTIF(总览汇总!$B$5:$B$304,J2938)=0),"✗ 客户不在总览汇总名单里",IF(AND(P2938="应付",K2938=""),"✗ 这笔要选供应商",IF(AND(P2938="应付",COUNTIF(基础资料!$Q$5:$Q$54,K2938)=0),"✗ 供应商不在基础资料里",IF(AND(P2938="费用",L2938=""),"✗ 费用支出要选费用项目",IF(AND(L2938&lt;&gt;"",COUNTIF(基础资料!$AI$5:$AI$54,L2938)=0),"✗ 费用项目不在基础资料里",IF(AND(IFERROR(INDEX(基础资料!$AD$5:$AD$34,MATCH(O2938,基础资料!$AC$5:$AC$34,0)),"")="收",N(G2938)&lt;&gt;0),"✗ 这类是收款，金额填到收入列",IF(AND(IFERROR(INDEX(基础资料!$AD$5:$AD$34,MATCH(O2938,基础资料!$AC$5:$AC$34,0)),"")="支",N(F2938)&lt;&gt;0),"✗ 这类是付款，金额填到支出列",IF(N(H2938)&lt;0,"⚠ 账户余额成负数了，核对一下","√"))))))))))))))))))</f>
      </c>
      <c r="O2938" s="78">
        <f>IF(D2938&lt;&gt;"",D2938,IF(AND(F2938="",G2938=""),"",IF(J2938&lt;&gt;"",IF(N(F2938)&gt;0,"客户回款","客户退款"),IF(K2938&lt;&gt;"",IF(N(G2938)&gt;0,"供应商付款","供应商退款"),IF(L2938&lt;&gt;"","费用支出","")))))</f>
      </c>
      <c r="P2938" s="78">
        <f>IF(O2938="","",IFERROR(INDEX(基础资料!$AE$5:$AE$34,MATCH(O2938,基础资料!$AC$5:$AC$34,0)),"未知"))</f>
      </c>
      <c r="Q2938" s="78">
        <f>IF(P2938="应收",COUNTIF(P$7:P2938,"应收"),"")</f>
      </c>
      <c r="R2938" s="78">
        <f>IF(P2938="应付",COUNTIF(P$7:P2938,"应付"),"")</f>
      </c>
      <c r="S2938" s="78">
        <f>N(F2938)-N(G2938)</f>
        <v>0</v>
      </c>
    </row>
    <row r="2939">
      <c r="A2939" s="109">
        <f>IF(AND(F2939="",G2939=""),"",ROW()-6)</f>
      </c>
      <c r="B2939" s="140" t="n"/>
      <c r="C2939" s="141" t="n"/>
      <c r="D2939" s="141" t="n"/>
      <c r="E2939" s="142" t="n"/>
      <c r="F2939" s="143" t="n"/>
      <c r="G2939" s="144" t="n"/>
      <c r="H2939" s="145">
        <f>IF(OR(C2939="",AND(F2939="",G2939="")),"",SUMIF(基础资料!$W$5:$W$24,C2939,基础资料!$X$5:$X$24)+SUMIF(C$7:C2939,C2939,F$7:F2939)-SUMIF(C$7:C2939,C2939,G$7:G2939))</f>
      </c>
      <c r="I2939" s="145">
        <f>IF(AND(F2939="",G2939=""),"",SUM(基础资料!$X$5:$X$24)+SUM(F$7:F2939)-SUM(G$7:G2939))</f>
      </c>
      <c r="J2939" s="141" t="n"/>
      <c r="K2939" s="141" t="n"/>
      <c r="L2939" s="141" t="n"/>
      <c r="M2939" s="142" t="n"/>
      <c r="N2939" s="146">
        <f>IF(AND(AND(F2939="",G2939=""),B2939="",C2939="",D2939="",J2939="",K2939="",L2939=""),"",IF(AND(F2939="",G2939=""),"✗ 没填金额",IF(AND(N(F2939)&lt;&gt;0,N(G2939)&lt;&gt;0),"✗ 收入、支出只能填一边",IF(NOT(ISNUMBER(B2939)),"✗ 日期不是真日期（要像 2026/9/25 这样填）",IF(OR(B2939&lt;年初日,B2939&gt;年末日),"✗ 日期不在本会计年度",IF(C2939="","✗ 没选账户",IF(COUNTIF(基础资料!$W$5:$W$24,C2939)=0,"✗ 账户不在基础资料里",IF(O2939="","✗ 没选收支项目",IF(P2939="未知","✗ 收支项目不在基础资料里",IF(AND(P2939="应收",J2939=""),"✗ 这笔要选客户",IF(AND(P2939="应收",COUNTIF(总览汇总!$B$5:$B$304,J2939)=0),"✗ 客户不在总览汇总名单里",IF(AND(P2939="应付",K2939=""),"✗ 这笔要选供应商",IF(AND(P2939="应付",COUNTIF(基础资料!$Q$5:$Q$54,K2939)=0),"✗ 供应商不在基础资料里",IF(AND(P2939="费用",L2939=""),"✗ 费用支出要选费用项目",IF(AND(L2939&lt;&gt;"",COUNTIF(基础资料!$AI$5:$AI$54,L2939)=0),"✗ 费用项目不在基础资料里",IF(AND(IFERROR(INDEX(基础资料!$AD$5:$AD$34,MATCH(O2939,基础资料!$AC$5:$AC$34,0)),"")="收",N(G2939)&lt;&gt;0),"✗ 这类是收款，金额填到收入列",IF(AND(IFERROR(INDEX(基础资料!$AD$5:$AD$34,MATCH(O2939,基础资料!$AC$5:$AC$34,0)),"")="支",N(F2939)&lt;&gt;0),"✗ 这类是付款，金额填到支出列",IF(N(H2939)&lt;0,"⚠ 账户余额成负数了，核对一下","√"))))))))))))))))))</f>
      </c>
      <c r="O2939" s="78">
        <f>IF(D2939&lt;&gt;"",D2939,IF(AND(F2939="",G2939=""),"",IF(J2939&lt;&gt;"",IF(N(F2939)&gt;0,"客户回款","客户退款"),IF(K2939&lt;&gt;"",IF(N(G2939)&gt;0,"供应商付款","供应商退款"),IF(L2939&lt;&gt;"","费用支出","")))))</f>
      </c>
      <c r="P2939" s="78">
        <f>IF(O2939="","",IFERROR(INDEX(基础资料!$AE$5:$AE$34,MATCH(O2939,基础资料!$AC$5:$AC$34,0)),"未知"))</f>
      </c>
      <c r="Q2939" s="78">
        <f>IF(P2939="应收",COUNTIF(P$7:P2939,"应收"),"")</f>
      </c>
      <c r="R2939" s="78">
        <f>IF(P2939="应付",COUNTIF(P$7:P2939,"应付"),"")</f>
      </c>
      <c r="S2939" s="78">
        <f>N(F2939)-N(G2939)</f>
        <v>0</v>
      </c>
    </row>
    <row r="2940">
      <c r="A2940" s="109">
        <f>IF(AND(F2940="",G2940=""),"",ROW()-6)</f>
      </c>
      <c r="B2940" s="140" t="n"/>
      <c r="C2940" s="141" t="n"/>
      <c r="D2940" s="141" t="n"/>
      <c r="E2940" s="142" t="n"/>
      <c r="F2940" s="143" t="n"/>
      <c r="G2940" s="144" t="n"/>
      <c r="H2940" s="145">
        <f>IF(OR(C2940="",AND(F2940="",G2940="")),"",SUMIF(基础资料!$W$5:$W$24,C2940,基础资料!$X$5:$X$24)+SUMIF(C$7:C2940,C2940,F$7:F2940)-SUMIF(C$7:C2940,C2940,G$7:G2940))</f>
      </c>
      <c r="I2940" s="145">
        <f>IF(AND(F2940="",G2940=""),"",SUM(基础资料!$X$5:$X$24)+SUM(F$7:F2940)-SUM(G$7:G2940))</f>
      </c>
      <c r="J2940" s="141" t="n"/>
      <c r="K2940" s="141" t="n"/>
      <c r="L2940" s="141" t="n"/>
      <c r="M2940" s="142" t="n"/>
      <c r="N2940" s="146">
        <f>IF(AND(AND(F2940="",G2940=""),B2940="",C2940="",D2940="",J2940="",K2940="",L2940=""),"",IF(AND(F2940="",G2940=""),"✗ 没填金额",IF(AND(N(F2940)&lt;&gt;0,N(G2940)&lt;&gt;0),"✗ 收入、支出只能填一边",IF(NOT(ISNUMBER(B2940)),"✗ 日期不是真日期（要像 2026/9/25 这样填）",IF(OR(B2940&lt;年初日,B2940&gt;年末日),"✗ 日期不在本会计年度",IF(C2940="","✗ 没选账户",IF(COUNTIF(基础资料!$W$5:$W$24,C2940)=0,"✗ 账户不在基础资料里",IF(O2940="","✗ 没选收支项目",IF(P2940="未知","✗ 收支项目不在基础资料里",IF(AND(P2940="应收",J2940=""),"✗ 这笔要选客户",IF(AND(P2940="应收",COUNTIF(总览汇总!$B$5:$B$304,J2940)=0),"✗ 客户不在总览汇总名单里",IF(AND(P2940="应付",K2940=""),"✗ 这笔要选供应商",IF(AND(P2940="应付",COUNTIF(基础资料!$Q$5:$Q$54,K2940)=0),"✗ 供应商不在基础资料里",IF(AND(P2940="费用",L2940=""),"✗ 费用支出要选费用项目",IF(AND(L2940&lt;&gt;"",COUNTIF(基础资料!$AI$5:$AI$54,L2940)=0),"✗ 费用项目不在基础资料里",IF(AND(IFERROR(INDEX(基础资料!$AD$5:$AD$34,MATCH(O2940,基础资料!$AC$5:$AC$34,0)),"")="收",N(G2940)&lt;&gt;0),"✗ 这类是收款，金额填到收入列",IF(AND(IFERROR(INDEX(基础资料!$AD$5:$AD$34,MATCH(O2940,基础资料!$AC$5:$AC$34,0)),"")="支",N(F2940)&lt;&gt;0),"✗ 这类是付款，金额填到支出列",IF(N(H2940)&lt;0,"⚠ 账户余额成负数了，核对一下","√"))))))))))))))))))</f>
      </c>
      <c r="O2940" s="78">
        <f>IF(D2940&lt;&gt;"",D2940,IF(AND(F2940="",G2940=""),"",IF(J2940&lt;&gt;"",IF(N(F2940)&gt;0,"客户回款","客户退款"),IF(K2940&lt;&gt;"",IF(N(G2940)&gt;0,"供应商付款","供应商退款"),IF(L2940&lt;&gt;"","费用支出","")))))</f>
      </c>
      <c r="P2940" s="78">
        <f>IF(O2940="","",IFERROR(INDEX(基础资料!$AE$5:$AE$34,MATCH(O2940,基础资料!$AC$5:$AC$34,0)),"未知"))</f>
      </c>
      <c r="Q2940" s="78">
        <f>IF(P2940="应收",COUNTIF(P$7:P2940,"应收"),"")</f>
      </c>
      <c r="R2940" s="78">
        <f>IF(P2940="应付",COUNTIF(P$7:P2940,"应付"),"")</f>
      </c>
      <c r="S2940" s="78">
        <f>N(F2940)-N(G2940)</f>
        <v>0</v>
      </c>
    </row>
    <row r="2941">
      <c r="A2941" s="109">
        <f>IF(AND(F2941="",G2941=""),"",ROW()-6)</f>
      </c>
      <c r="B2941" s="140" t="n"/>
      <c r="C2941" s="141" t="n"/>
      <c r="D2941" s="141" t="n"/>
      <c r="E2941" s="142" t="n"/>
      <c r="F2941" s="143" t="n"/>
      <c r="G2941" s="144" t="n"/>
      <c r="H2941" s="145">
        <f>IF(OR(C2941="",AND(F2941="",G2941="")),"",SUMIF(基础资料!$W$5:$W$24,C2941,基础资料!$X$5:$X$24)+SUMIF(C$7:C2941,C2941,F$7:F2941)-SUMIF(C$7:C2941,C2941,G$7:G2941))</f>
      </c>
      <c r="I2941" s="145">
        <f>IF(AND(F2941="",G2941=""),"",SUM(基础资料!$X$5:$X$24)+SUM(F$7:F2941)-SUM(G$7:G2941))</f>
      </c>
      <c r="J2941" s="141" t="n"/>
      <c r="K2941" s="141" t="n"/>
      <c r="L2941" s="141" t="n"/>
      <c r="M2941" s="142" t="n"/>
      <c r="N2941" s="146">
        <f>IF(AND(AND(F2941="",G2941=""),B2941="",C2941="",D2941="",J2941="",K2941="",L2941=""),"",IF(AND(F2941="",G2941=""),"✗ 没填金额",IF(AND(N(F2941)&lt;&gt;0,N(G2941)&lt;&gt;0),"✗ 收入、支出只能填一边",IF(NOT(ISNUMBER(B2941)),"✗ 日期不是真日期（要像 2026/9/25 这样填）",IF(OR(B2941&lt;年初日,B2941&gt;年末日),"✗ 日期不在本会计年度",IF(C2941="","✗ 没选账户",IF(COUNTIF(基础资料!$W$5:$W$24,C2941)=0,"✗ 账户不在基础资料里",IF(O2941="","✗ 没选收支项目",IF(P2941="未知","✗ 收支项目不在基础资料里",IF(AND(P2941="应收",J2941=""),"✗ 这笔要选客户",IF(AND(P2941="应收",COUNTIF(总览汇总!$B$5:$B$304,J2941)=0),"✗ 客户不在总览汇总名单里",IF(AND(P2941="应付",K2941=""),"✗ 这笔要选供应商",IF(AND(P2941="应付",COUNTIF(基础资料!$Q$5:$Q$54,K2941)=0),"✗ 供应商不在基础资料里",IF(AND(P2941="费用",L2941=""),"✗ 费用支出要选费用项目",IF(AND(L2941&lt;&gt;"",COUNTIF(基础资料!$AI$5:$AI$54,L2941)=0),"✗ 费用项目不在基础资料里",IF(AND(IFERROR(INDEX(基础资料!$AD$5:$AD$34,MATCH(O2941,基础资料!$AC$5:$AC$34,0)),"")="收",N(G2941)&lt;&gt;0),"✗ 这类是收款，金额填到收入列",IF(AND(IFERROR(INDEX(基础资料!$AD$5:$AD$34,MATCH(O2941,基础资料!$AC$5:$AC$34,0)),"")="支",N(F2941)&lt;&gt;0),"✗ 这类是付款，金额填到支出列",IF(N(H2941)&lt;0,"⚠ 账户余额成负数了，核对一下","√"))))))))))))))))))</f>
      </c>
      <c r="O2941" s="78">
        <f>IF(D2941&lt;&gt;"",D2941,IF(AND(F2941="",G2941=""),"",IF(J2941&lt;&gt;"",IF(N(F2941)&gt;0,"客户回款","客户退款"),IF(K2941&lt;&gt;"",IF(N(G2941)&gt;0,"供应商付款","供应商退款"),IF(L2941&lt;&gt;"","费用支出","")))))</f>
      </c>
      <c r="P2941" s="78">
        <f>IF(O2941="","",IFERROR(INDEX(基础资料!$AE$5:$AE$34,MATCH(O2941,基础资料!$AC$5:$AC$34,0)),"未知"))</f>
      </c>
      <c r="Q2941" s="78">
        <f>IF(P2941="应收",COUNTIF(P$7:P2941,"应收"),"")</f>
      </c>
      <c r="R2941" s="78">
        <f>IF(P2941="应付",COUNTIF(P$7:P2941,"应付"),"")</f>
      </c>
      <c r="S2941" s="78">
        <f>N(F2941)-N(G2941)</f>
        <v>0</v>
      </c>
    </row>
    <row r="2942">
      <c r="A2942" s="109">
        <f>IF(AND(F2942="",G2942=""),"",ROW()-6)</f>
      </c>
      <c r="B2942" s="140" t="n"/>
      <c r="C2942" s="141" t="n"/>
      <c r="D2942" s="141" t="n"/>
      <c r="E2942" s="142" t="n"/>
      <c r="F2942" s="143" t="n"/>
      <c r="G2942" s="144" t="n"/>
      <c r="H2942" s="145">
        <f>IF(OR(C2942="",AND(F2942="",G2942="")),"",SUMIF(基础资料!$W$5:$W$24,C2942,基础资料!$X$5:$X$24)+SUMIF(C$7:C2942,C2942,F$7:F2942)-SUMIF(C$7:C2942,C2942,G$7:G2942))</f>
      </c>
      <c r="I2942" s="145">
        <f>IF(AND(F2942="",G2942=""),"",SUM(基础资料!$X$5:$X$24)+SUM(F$7:F2942)-SUM(G$7:G2942))</f>
      </c>
      <c r="J2942" s="141" t="n"/>
      <c r="K2942" s="141" t="n"/>
      <c r="L2942" s="141" t="n"/>
      <c r="M2942" s="142" t="n"/>
      <c r="N2942" s="146">
        <f>IF(AND(AND(F2942="",G2942=""),B2942="",C2942="",D2942="",J2942="",K2942="",L2942=""),"",IF(AND(F2942="",G2942=""),"✗ 没填金额",IF(AND(N(F2942)&lt;&gt;0,N(G2942)&lt;&gt;0),"✗ 收入、支出只能填一边",IF(NOT(ISNUMBER(B2942)),"✗ 日期不是真日期（要像 2026/9/25 这样填）",IF(OR(B2942&lt;年初日,B2942&gt;年末日),"✗ 日期不在本会计年度",IF(C2942="","✗ 没选账户",IF(COUNTIF(基础资料!$W$5:$W$24,C2942)=0,"✗ 账户不在基础资料里",IF(O2942="","✗ 没选收支项目",IF(P2942="未知","✗ 收支项目不在基础资料里",IF(AND(P2942="应收",J2942=""),"✗ 这笔要选客户",IF(AND(P2942="应收",COUNTIF(总览汇总!$B$5:$B$304,J2942)=0),"✗ 客户不在总览汇总名单里",IF(AND(P2942="应付",K2942=""),"✗ 这笔要选供应商",IF(AND(P2942="应付",COUNTIF(基础资料!$Q$5:$Q$54,K2942)=0),"✗ 供应商不在基础资料里",IF(AND(P2942="费用",L2942=""),"✗ 费用支出要选费用项目",IF(AND(L2942&lt;&gt;"",COUNTIF(基础资料!$AI$5:$AI$54,L2942)=0),"✗ 费用项目不在基础资料里",IF(AND(IFERROR(INDEX(基础资料!$AD$5:$AD$34,MATCH(O2942,基础资料!$AC$5:$AC$34,0)),"")="收",N(G2942)&lt;&gt;0),"✗ 这类是收款，金额填到收入列",IF(AND(IFERROR(INDEX(基础资料!$AD$5:$AD$34,MATCH(O2942,基础资料!$AC$5:$AC$34,0)),"")="支",N(F2942)&lt;&gt;0),"✗ 这类是付款，金额填到支出列",IF(N(H2942)&lt;0,"⚠ 账户余额成负数了，核对一下","√"))))))))))))))))))</f>
      </c>
      <c r="O2942" s="78">
        <f>IF(D2942&lt;&gt;"",D2942,IF(AND(F2942="",G2942=""),"",IF(J2942&lt;&gt;"",IF(N(F2942)&gt;0,"客户回款","客户退款"),IF(K2942&lt;&gt;"",IF(N(G2942)&gt;0,"供应商付款","供应商退款"),IF(L2942&lt;&gt;"","费用支出","")))))</f>
      </c>
      <c r="P2942" s="78">
        <f>IF(O2942="","",IFERROR(INDEX(基础资料!$AE$5:$AE$34,MATCH(O2942,基础资料!$AC$5:$AC$34,0)),"未知"))</f>
      </c>
      <c r="Q2942" s="78">
        <f>IF(P2942="应收",COUNTIF(P$7:P2942,"应收"),"")</f>
      </c>
      <c r="R2942" s="78">
        <f>IF(P2942="应付",COUNTIF(P$7:P2942,"应付"),"")</f>
      </c>
      <c r="S2942" s="78">
        <f>N(F2942)-N(G2942)</f>
        <v>0</v>
      </c>
    </row>
    <row r="2943">
      <c r="A2943" s="109">
        <f>IF(AND(F2943="",G2943=""),"",ROW()-6)</f>
      </c>
      <c r="B2943" s="140" t="n"/>
      <c r="C2943" s="141" t="n"/>
      <c r="D2943" s="141" t="n"/>
      <c r="E2943" s="142" t="n"/>
      <c r="F2943" s="143" t="n"/>
      <c r="G2943" s="144" t="n"/>
      <c r="H2943" s="145">
        <f>IF(OR(C2943="",AND(F2943="",G2943="")),"",SUMIF(基础资料!$W$5:$W$24,C2943,基础资料!$X$5:$X$24)+SUMIF(C$7:C2943,C2943,F$7:F2943)-SUMIF(C$7:C2943,C2943,G$7:G2943))</f>
      </c>
      <c r="I2943" s="145">
        <f>IF(AND(F2943="",G2943=""),"",SUM(基础资料!$X$5:$X$24)+SUM(F$7:F2943)-SUM(G$7:G2943))</f>
      </c>
      <c r="J2943" s="141" t="n"/>
      <c r="K2943" s="141" t="n"/>
      <c r="L2943" s="141" t="n"/>
      <c r="M2943" s="142" t="n"/>
      <c r="N2943" s="146">
        <f>IF(AND(AND(F2943="",G2943=""),B2943="",C2943="",D2943="",J2943="",K2943="",L2943=""),"",IF(AND(F2943="",G2943=""),"✗ 没填金额",IF(AND(N(F2943)&lt;&gt;0,N(G2943)&lt;&gt;0),"✗ 收入、支出只能填一边",IF(NOT(ISNUMBER(B2943)),"✗ 日期不是真日期（要像 2026/9/25 这样填）",IF(OR(B2943&lt;年初日,B2943&gt;年末日),"✗ 日期不在本会计年度",IF(C2943="","✗ 没选账户",IF(COUNTIF(基础资料!$W$5:$W$24,C2943)=0,"✗ 账户不在基础资料里",IF(O2943="","✗ 没选收支项目",IF(P2943="未知","✗ 收支项目不在基础资料里",IF(AND(P2943="应收",J2943=""),"✗ 这笔要选客户",IF(AND(P2943="应收",COUNTIF(总览汇总!$B$5:$B$304,J2943)=0),"✗ 客户不在总览汇总名单里",IF(AND(P2943="应付",K2943=""),"✗ 这笔要选供应商",IF(AND(P2943="应付",COUNTIF(基础资料!$Q$5:$Q$54,K2943)=0),"✗ 供应商不在基础资料里",IF(AND(P2943="费用",L2943=""),"✗ 费用支出要选费用项目",IF(AND(L2943&lt;&gt;"",COUNTIF(基础资料!$AI$5:$AI$54,L2943)=0),"✗ 费用项目不在基础资料里",IF(AND(IFERROR(INDEX(基础资料!$AD$5:$AD$34,MATCH(O2943,基础资料!$AC$5:$AC$34,0)),"")="收",N(G2943)&lt;&gt;0),"✗ 这类是收款，金额填到收入列",IF(AND(IFERROR(INDEX(基础资料!$AD$5:$AD$34,MATCH(O2943,基础资料!$AC$5:$AC$34,0)),"")="支",N(F2943)&lt;&gt;0),"✗ 这类是付款，金额填到支出列",IF(N(H2943)&lt;0,"⚠ 账户余额成负数了，核对一下","√"))))))))))))))))))</f>
      </c>
      <c r="O2943" s="78">
        <f>IF(D2943&lt;&gt;"",D2943,IF(AND(F2943="",G2943=""),"",IF(J2943&lt;&gt;"",IF(N(F2943)&gt;0,"客户回款","客户退款"),IF(K2943&lt;&gt;"",IF(N(G2943)&gt;0,"供应商付款","供应商退款"),IF(L2943&lt;&gt;"","费用支出","")))))</f>
      </c>
      <c r="P2943" s="78">
        <f>IF(O2943="","",IFERROR(INDEX(基础资料!$AE$5:$AE$34,MATCH(O2943,基础资料!$AC$5:$AC$34,0)),"未知"))</f>
      </c>
      <c r="Q2943" s="78">
        <f>IF(P2943="应收",COUNTIF(P$7:P2943,"应收"),"")</f>
      </c>
      <c r="R2943" s="78">
        <f>IF(P2943="应付",COUNTIF(P$7:P2943,"应付"),"")</f>
      </c>
      <c r="S2943" s="78">
        <f>N(F2943)-N(G2943)</f>
        <v>0</v>
      </c>
    </row>
    <row r="2944">
      <c r="A2944" s="109">
        <f>IF(AND(F2944="",G2944=""),"",ROW()-6)</f>
      </c>
      <c r="B2944" s="140" t="n"/>
      <c r="C2944" s="141" t="n"/>
      <c r="D2944" s="141" t="n"/>
      <c r="E2944" s="142" t="n"/>
      <c r="F2944" s="143" t="n"/>
      <c r="G2944" s="144" t="n"/>
      <c r="H2944" s="145">
        <f>IF(OR(C2944="",AND(F2944="",G2944="")),"",SUMIF(基础资料!$W$5:$W$24,C2944,基础资料!$X$5:$X$24)+SUMIF(C$7:C2944,C2944,F$7:F2944)-SUMIF(C$7:C2944,C2944,G$7:G2944))</f>
      </c>
      <c r="I2944" s="145">
        <f>IF(AND(F2944="",G2944=""),"",SUM(基础资料!$X$5:$X$24)+SUM(F$7:F2944)-SUM(G$7:G2944))</f>
      </c>
      <c r="J2944" s="141" t="n"/>
      <c r="K2944" s="141" t="n"/>
      <c r="L2944" s="141" t="n"/>
      <c r="M2944" s="142" t="n"/>
      <c r="N2944" s="146">
        <f>IF(AND(AND(F2944="",G2944=""),B2944="",C2944="",D2944="",J2944="",K2944="",L2944=""),"",IF(AND(F2944="",G2944=""),"✗ 没填金额",IF(AND(N(F2944)&lt;&gt;0,N(G2944)&lt;&gt;0),"✗ 收入、支出只能填一边",IF(NOT(ISNUMBER(B2944)),"✗ 日期不是真日期（要像 2026/9/25 这样填）",IF(OR(B2944&lt;年初日,B2944&gt;年末日),"✗ 日期不在本会计年度",IF(C2944="","✗ 没选账户",IF(COUNTIF(基础资料!$W$5:$W$24,C2944)=0,"✗ 账户不在基础资料里",IF(O2944="","✗ 没选收支项目",IF(P2944="未知","✗ 收支项目不在基础资料里",IF(AND(P2944="应收",J2944=""),"✗ 这笔要选客户",IF(AND(P2944="应收",COUNTIF(总览汇总!$B$5:$B$304,J2944)=0),"✗ 客户不在总览汇总名单里",IF(AND(P2944="应付",K2944=""),"✗ 这笔要选供应商",IF(AND(P2944="应付",COUNTIF(基础资料!$Q$5:$Q$54,K2944)=0),"✗ 供应商不在基础资料里",IF(AND(P2944="费用",L2944=""),"✗ 费用支出要选费用项目",IF(AND(L2944&lt;&gt;"",COUNTIF(基础资料!$AI$5:$AI$54,L2944)=0),"✗ 费用项目不在基础资料里",IF(AND(IFERROR(INDEX(基础资料!$AD$5:$AD$34,MATCH(O2944,基础资料!$AC$5:$AC$34,0)),"")="收",N(G2944)&lt;&gt;0),"✗ 这类是收款，金额填到收入列",IF(AND(IFERROR(INDEX(基础资料!$AD$5:$AD$34,MATCH(O2944,基础资料!$AC$5:$AC$34,0)),"")="支",N(F2944)&lt;&gt;0),"✗ 这类是付款，金额填到支出列",IF(N(H2944)&lt;0,"⚠ 账户余额成负数了，核对一下","√"))))))))))))))))))</f>
      </c>
      <c r="O2944" s="78">
        <f>IF(D2944&lt;&gt;"",D2944,IF(AND(F2944="",G2944=""),"",IF(J2944&lt;&gt;"",IF(N(F2944)&gt;0,"客户回款","客户退款"),IF(K2944&lt;&gt;"",IF(N(G2944)&gt;0,"供应商付款","供应商退款"),IF(L2944&lt;&gt;"","费用支出","")))))</f>
      </c>
      <c r="P2944" s="78">
        <f>IF(O2944="","",IFERROR(INDEX(基础资料!$AE$5:$AE$34,MATCH(O2944,基础资料!$AC$5:$AC$34,0)),"未知"))</f>
      </c>
      <c r="Q2944" s="78">
        <f>IF(P2944="应收",COUNTIF(P$7:P2944,"应收"),"")</f>
      </c>
      <c r="R2944" s="78">
        <f>IF(P2944="应付",COUNTIF(P$7:P2944,"应付"),"")</f>
      </c>
      <c r="S2944" s="78">
        <f>N(F2944)-N(G2944)</f>
        <v>0</v>
      </c>
    </row>
    <row r="2945">
      <c r="A2945" s="109">
        <f>IF(AND(F2945="",G2945=""),"",ROW()-6)</f>
      </c>
      <c r="B2945" s="140" t="n"/>
      <c r="C2945" s="141" t="n"/>
      <c r="D2945" s="141" t="n"/>
      <c r="E2945" s="142" t="n"/>
      <c r="F2945" s="143" t="n"/>
      <c r="G2945" s="144" t="n"/>
      <c r="H2945" s="145">
        <f>IF(OR(C2945="",AND(F2945="",G2945="")),"",SUMIF(基础资料!$W$5:$W$24,C2945,基础资料!$X$5:$X$24)+SUMIF(C$7:C2945,C2945,F$7:F2945)-SUMIF(C$7:C2945,C2945,G$7:G2945))</f>
      </c>
      <c r="I2945" s="145">
        <f>IF(AND(F2945="",G2945=""),"",SUM(基础资料!$X$5:$X$24)+SUM(F$7:F2945)-SUM(G$7:G2945))</f>
      </c>
      <c r="J2945" s="141" t="n"/>
      <c r="K2945" s="141" t="n"/>
      <c r="L2945" s="141" t="n"/>
      <c r="M2945" s="142" t="n"/>
      <c r="N2945" s="146">
        <f>IF(AND(AND(F2945="",G2945=""),B2945="",C2945="",D2945="",J2945="",K2945="",L2945=""),"",IF(AND(F2945="",G2945=""),"✗ 没填金额",IF(AND(N(F2945)&lt;&gt;0,N(G2945)&lt;&gt;0),"✗ 收入、支出只能填一边",IF(NOT(ISNUMBER(B2945)),"✗ 日期不是真日期（要像 2026/9/25 这样填）",IF(OR(B2945&lt;年初日,B2945&gt;年末日),"✗ 日期不在本会计年度",IF(C2945="","✗ 没选账户",IF(COUNTIF(基础资料!$W$5:$W$24,C2945)=0,"✗ 账户不在基础资料里",IF(O2945="","✗ 没选收支项目",IF(P2945="未知","✗ 收支项目不在基础资料里",IF(AND(P2945="应收",J2945=""),"✗ 这笔要选客户",IF(AND(P2945="应收",COUNTIF(总览汇总!$B$5:$B$304,J2945)=0),"✗ 客户不在总览汇总名单里",IF(AND(P2945="应付",K2945=""),"✗ 这笔要选供应商",IF(AND(P2945="应付",COUNTIF(基础资料!$Q$5:$Q$54,K2945)=0),"✗ 供应商不在基础资料里",IF(AND(P2945="费用",L2945=""),"✗ 费用支出要选费用项目",IF(AND(L2945&lt;&gt;"",COUNTIF(基础资料!$AI$5:$AI$54,L2945)=0),"✗ 费用项目不在基础资料里",IF(AND(IFERROR(INDEX(基础资料!$AD$5:$AD$34,MATCH(O2945,基础资料!$AC$5:$AC$34,0)),"")="收",N(G2945)&lt;&gt;0),"✗ 这类是收款，金额填到收入列",IF(AND(IFERROR(INDEX(基础资料!$AD$5:$AD$34,MATCH(O2945,基础资料!$AC$5:$AC$34,0)),"")="支",N(F2945)&lt;&gt;0),"✗ 这类是付款，金额填到支出列",IF(N(H2945)&lt;0,"⚠ 账户余额成负数了，核对一下","√"))))))))))))))))))</f>
      </c>
      <c r="O2945" s="78">
        <f>IF(D2945&lt;&gt;"",D2945,IF(AND(F2945="",G2945=""),"",IF(J2945&lt;&gt;"",IF(N(F2945)&gt;0,"客户回款","客户退款"),IF(K2945&lt;&gt;"",IF(N(G2945)&gt;0,"供应商付款","供应商退款"),IF(L2945&lt;&gt;"","费用支出","")))))</f>
      </c>
      <c r="P2945" s="78">
        <f>IF(O2945="","",IFERROR(INDEX(基础资料!$AE$5:$AE$34,MATCH(O2945,基础资料!$AC$5:$AC$34,0)),"未知"))</f>
      </c>
      <c r="Q2945" s="78">
        <f>IF(P2945="应收",COUNTIF(P$7:P2945,"应收"),"")</f>
      </c>
      <c r="R2945" s="78">
        <f>IF(P2945="应付",COUNTIF(P$7:P2945,"应付"),"")</f>
      </c>
      <c r="S2945" s="78">
        <f>N(F2945)-N(G2945)</f>
        <v>0</v>
      </c>
    </row>
    <row r="2946">
      <c r="A2946" s="109">
        <f>IF(AND(F2946="",G2946=""),"",ROW()-6)</f>
      </c>
      <c r="B2946" s="140" t="n"/>
      <c r="C2946" s="141" t="n"/>
      <c r="D2946" s="141" t="n"/>
      <c r="E2946" s="142" t="n"/>
      <c r="F2946" s="143" t="n"/>
      <c r="G2946" s="144" t="n"/>
      <c r="H2946" s="145">
        <f>IF(OR(C2946="",AND(F2946="",G2946="")),"",SUMIF(基础资料!$W$5:$W$24,C2946,基础资料!$X$5:$X$24)+SUMIF(C$7:C2946,C2946,F$7:F2946)-SUMIF(C$7:C2946,C2946,G$7:G2946))</f>
      </c>
      <c r="I2946" s="145">
        <f>IF(AND(F2946="",G2946=""),"",SUM(基础资料!$X$5:$X$24)+SUM(F$7:F2946)-SUM(G$7:G2946))</f>
      </c>
      <c r="J2946" s="141" t="n"/>
      <c r="K2946" s="141" t="n"/>
      <c r="L2946" s="141" t="n"/>
      <c r="M2946" s="142" t="n"/>
      <c r="N2946" s="146">
        <f>IF(AND(AND(F2946="",G2946=""),B2946="",C2946="",D2946="",J2946="",K2946="",L2946=""),"",IF(AND(F2946="",G2946=""),"✗ 没填金额",IF(AND(N(F2946)&lt;&gt;0,N(G2946)&lt;&gt;0),"✗ 收入、支出只能填一边",IF(NOT(ISNUMBER(B2946)),"✗ 日期不是真日期（要像 2026/9/25 这样填）",IF(OR(B2946&lt;年初日,B2946&gt;年末日),"✗ 日期不在本会计年度",IF(C2946="","✗ 没选账户",IF(COUNTIF(基础资料!$W$5:$W$24,C2946)=0,"✗ 账户不在基础资料里",IF(O2946="","✗ 没选收支项目",IF(P2946="未知","✗ 收支项目不在基础资料里",IF(AND(P2946="应收",J2946=""),"✗ 这笔要选客户",IF(AND(P2946="应收",COUNTIF(总览汇总!$B$5:$B$304,J2946)=0),"✗ 客户不在总览汇总名单里",IF(AND(P2946="应付",K2946=""),"✗ 这笔要选供应商",IF(AND(P2946="应付",COUNTIF(基础资料!$Q$5:$Q$54,K2946)=0),"✗ 供应商不在基础资料里",IF(AND(P2946="费用",L2946=""),"✗ 费用支出要选费用项目",IF(AND(L2946&lt;&gt;"",COUNTIF(基础资料!$AI$5:$AI$54,L2946)=0),"✗ 费用项目不在基础资料里",IF(AND(IFERROR(INDEX(基础资料!$AD$5:$AD$34,MATCH(O2946,基础资料!$AC$5:$AC$34,0)),"")="收",N(G2946)&lt;&gt;0),"✗ 这类是收款，金额填到收入列",IF(AND(IFERROR(INDEX(基础资料!$AD$5:$AD$34,MATCH(O2946,基础资料!$AC$5:$AC$34,0)),"")="支",N(F2946)&lt;&gt;0),"✗ 这类是付款，金额填到支出列",IF(N(H2946)&lt;0,"⚠ 账户余额成负数了，核对一下","√"))))))))))))))))))</f>
      </c>
      <c r="O2946" s="78">
        <f>IF(D2946&lt;&gt;"",D2946,IF(AND(F2946="",G2946=""),"",IF(J2946&lt;&gt;"",IF(N(F2946)&gt;0,"客户回款","客户退款"),IF(K2946&lt;&gt;"",IF(N(G2946)&gt;0,"供应商付款","供应商退款"),IF(L2946&lt;&gt;"","费用支出","")))))</f>
      </c>
      <c r="P2946" s="78">
        <f>IF(O2946="","",IFERROR(INDEX(基础资料!$AE$5:$AE$34,MATCH(O2946,基础资料!$AC$5:$AC$34,0)),"未知"))</f>
      </c>
      <c r="Q2946" s="78">
        <f>IF(P2946="应收",COUNTIF(P$7:P2946,"应收"),"")</f>
      </c>
      <c r="R2946" s="78">
        <f>IF(P2946="应付",COUNTIF(P$7:P2946,"应付"),"")</f>
      </c>
      <c r="S2946" s="78">
        <f>N(F2946)-N(G2946)</f>
        <v>0</v>
      </c>
    </row>
    <row r="2947">
      <c r="A2947" s="109">
        <f>IF(AND(F2947="",G2947=""),"",ROW()-6)</f>
      </c>
      <c r="B2947" s="140" t="n"/>
      <c r="C2947" s="141" t="n"/>
      <c r="D2947" s="141" t="n"/>
      <c r="E2947" s="142" t="n"/>
      <c r="F2947" s="143" t="n"/>
      <c r="G2947" s="144" t="n"/>
      <c r="H2947" s="145">
        <f>IF(OR(C2947="",AND(F2947="",G2947="")),"",SUMIF(基础资料!$W$5:$W$24,C2947,基础资料!$X$5:$X$24)+SUMIF(C$7:C2947,C2947,F$7:F2947)-SUMIF(C$7:C2947,C2947,G$7:G2947))</f>
      </c>
      <c r="I2947" s="145">
        <f>IF(AND(F2947="",G2947=""),"",SUM(基础资料!$X$5:$X$24)+SUM(F$7:F2947)-SUM(G$7:G2947))</f>
      </c>
      <c r="J2947" s="141" t="n"/>
      <c r="K2947" s="141" t="n"/>
      <c r="L2947" s="141" t="n"/>
      <c r="M2947" s="142" t="n"/>
      <c r="N2947" s="146">
        <f>IF(AND(AND(F2947="",G2947=""),B2947="",C2947="",D2947="",J2947="",K2947="",L2947=""),"",IF(AND(F2947="",G2947=""),"✗ 没填金额",IF(AND(N(F2947)&lt;&gt;0,N(G2947)&lt;&gt;0),"✗ 收入、支出只能填一边",IF(NOT(ISNUMBER(B2947)),"✗ 日期不是真日期（要像 2026/9/25 这样填）",IF(OR(B2947&lt;年初日,B2947&gt;年末日),"✗ 日期不在本会计年度",IF(C2947="","✗ 没选账户",IF(COUNTIF(基础资料!$W$5:$W$24,C2947)=0,"✗ 账户不在基础资料里",IF(O2947="","✗ 没选收支项目",IF(P2947="未知","✗ 收支项目不在基础资料里",IF(AND(P2947="应收",J2947=""),"✗ 这笔要选客户",IF(AND(P2947="应收",COUNTIF(总览汇总!$B$5:$B$304,J2947)=0),"✗ 客户不在总览汇总名单里",IF(AND(P2947="应付",K2947=""),"✗ 这笔要选供应商",IF(AND(P2947="应付",COUNTIF(基础资料!$Q$5:$Q$54,K2947)=0),"✗ 供应商不在基础资料里",IF(AND(P2947="费用",L2947=""),"✗ 费用支出要选费用项目",IF(AND(L2947&lt;&gt;"",COUNTIF(基础资料!$AI$5:$AI$54,L2947)=0),"✗ 费用项目不在基础资料里",IF(AND(IFERROR(INDEX(基础资料!$AD$5:$AD$34,MATCH(O2947,基础资料!$AC$5:$AC$34,0)),"")="收",N(G2947)&lt;&gt;0),"✗ 这类是收款，金额填到收入列",IF(AND(IFERROR(INDEX(基础资料!$AD$5:$AD$34,MATCH(O2947,基础资料!$AC$5:$AC$34,0)),"")="支",N(F2947)&lt;&gt;0),"✗ 这类是付款，金额填到支出列",IF(N(H2947)&lt;0,"⚠ 账户余额成负数了，核对一下","√"))))))))))))))))))</f>
      </c>
      <c r="O2947" s="78">
        <f>IF(D2947&lt;&gt;"",D2947,IF(AND(F2947="",G2947=""),"",IF(J2947&lt;&gt;"",IF(N(F2947)&gt;0,"客户回款","客户退款"),IF(K2947&lt;&gt;"",IF(N(G2947)&gt;0,"供应商付款","供应商退款"),IF(L2947&lt;&gt;"","费用支出","")))))</f>
      </c>
      <c r="P2947" s="78">
        <f>IF(O2947="","",IFERROR(INDEX(基础资料!$AE$5:$AE$34,MATCH(O2947,基础资料!$AC$5:$AC$34,0)),"未知"))</f>
      </c>
      <c r="Q2947" s="78">
        <f>IF(P2947="应收",COUNTIF(P$7:P2947,"应收"),"")</f>
      </c>
      <c r="R2947" s="78">
        <f>IF(P2947="应付",COUNTIF(P$7:P2947,"应付"),"")</f>
      </c>
      <c r="S2947" s="78">
        <f>N(F2947)-N(G2947)</f>
        <v>0</v>
      </c>
    </row>
    <row r="2948">
      <c r="A2948" s="109">
        <f>IF(AND(F2948="",G2948=""),"",ROW()-6)</f>
      </c>
      <c r="B2948" s="140" t="n"/>
      <c r="C2948" s="141" t="n"/>
      <c r="D2948" s="141" t="n"/>
      <c r="E2948" s="142" t="n"/>
      <c r="F2948" s="143" t="n"/>
      <c r="G2948" s="144" t="n"/>
      <c r="H2948" s="145">
        <f>IF(OR(C2948="",AND(F2948="",G2948="")),"",SUMIF(基础资料!$W$5:$W$24,C2948,基础资料!$X$5:$X$24)+SUMIF(C$7:C2948,C2948,F$7:F2948)-SUMIF(C$7:C2948,C2948,G$7:G2948))</f>
      </c>
      <c r="I2948" s="145">
        <f>IF(AND(F2948="",G2948=""),"",SUM(基础资料!$X$5:$X$24)+SUM(F$7:F2948)-SUM(G$7:G2948))</f>
      </c>
      <c r="J2948" s="141" t="n"/>
      <c r="K2948" s="141" t="n"/>
      <c r="L2948" s="141" t="n"/>
      <c r="M2948" s="142" t="n"/>
      <c r="N2948" s="146">
        <f>IF(AND(AND(F2948="",G2948=""),B2948="",C2948="",D2948="",J2948="",K2948="",L2948=""),"",IF(AND(F2948="",G2948=""),"✗ 没填金额",IF(AND(N(F2948)&lt;&gt;0,N(G2948)&lt;&gt;0),"✗ 收入、支出只能填一边",IF(NOT(ISNUMBER(B2948)),"✗ 日期不是真日期（要像 2026/9/25 这样填）",IF(OR(B2948&lt;年初日,B2948&gt;年末日),"✗ 日期不在本会计年度",IF(C2948="","✗ 没选账户",IF(COUNTIF(基础资料!$W$5:$W$24,C2948)=0,"✗ 账户不在基础资料里",IF(O2948="","✗ 没选收支项目",IF(P2948="未知","✗ 收支项目不在基础资料里",IF(AND(P2948="应收",J2948=""),"✗ 这笔要选客户",IF(AND(P2948="应收",COUNTIF(总览汇总!$B$5:$B$304,J2948)=0),"✗ 客户不在总览汇总名单里",IF(AND(P2948="应付",K2948=""),"✗ 这笔要选供应商",IF(AND(P2948="应付",COUNTIF(基础资料!$Q$5:$Q$54,K2948)=0),"✗ 供应商不在基础资料里",IF(AND(P2948="费用",L2948=""),"✗ 费用支出要选费用项目",IF(AND(L2948&lt;&gt;"",COUNTIF(基础资料!$AI$5:$AI$54,L2948)=0),"✗ 费用项目不在基础资料里",IF(AND(IFERROR(INDEX(基础资料!$AD$5:$AD$34,MATCH(O2948,基础资料!$AC$5:$AC$34,0)),"")="收",N(G2948)&lt;&gt;0),"✗ 这类是收款，金额填到收入列",IF(AND(IFERROR(INDEX(基础资料!$AD$5:$AD$34,MATCH(O2948,基础资料!$AC$5:$AC$34,0)),"")="支",N(F2948)&lt;&gt;0),"✗ 这类是付款，金额填到支出列",IF(N(H2948)&lt;0,"⚠ 账户余额成负数了，核对一下","√"))))))))))))))))))</f>
      </c>
      <c r="O2948" s="78">
        <f>IF(D2948&lt;&gt;"",D2948,IF(AND(F2948="",G2948=""),"",IF(J2948&lt;&gt;"",IF(N(F2948)&gt;0,"客户回款","客户退款"),IF(K2948&lt;&gt;"",IF(N(G2948)&gt;0,"供应商付款","供应商退款"),IF(L2948&lt;&gt;"","费用支出","")))))</f>
      </c>
      <c r="P2948" s="78">
        <f>IF(O2948="","",IFERROR(INDEX(基础资料!$AE$5:$AE$34,MATCH(O2948,基础资料!$AC$5:$AC$34,0)),"未知"))</f>
      </c>
      <c r="Q2948" s="78">
        <f>IF(P2948="应收",COUNTIF(P$7:P2948,"应收"),"")</f>
      </c>
      <c r="R2948" s="78">
        <f>IF(P2948="应付",COUNTIF(P$7:P2948,"应付"),"")</f>
      </c>
      <c r="S2948" s="78">
        <f>N(F2948)-N(G2948)</f>
        <v>0</v>
      </c>
    </row>
    <row r="2949">
      <c r="A2949" s="109">
        <f>IF(AND(F2949="",G2949=""),"",ROW()-6)</f>
      </c>
      <c r="B2949" s="140" t="n"/>
      <c r="C2949" s="141" t="n"/>
      <c r="D2949" s="141" t="n"/>
      <c r="E2949" s="142" t="n"/>
      <c r="F2949" s="143" t="n"/>
      <c r="G2949" s="144" t="n"/>
      <c r="H2949" s="145">
        <f>IF(OR(C2949="",AND(F2949="",G2949="")),"",SUMIF(基础资料!$W$5:$W$24,C2949,基础资料!$X$5:$X$24)+SUMIF(C$7:C2949,C2949,F$7:F2949)-SUMIF(C$7:C2949,C2949,G$7:G2949))</f>
      </c>
      <c r="I2949" s="145">
        <f>IF(AND(F2949="",G2949=""),"",SUM(基础资料!$X$5:$X$24)+SUM(F$7:F2949)-SUM(G$7:G2949))</f>
      </c>
      <c r="J2949" s="141" t="n"/>
      <c r="K2949" s="141" t="n"/>
      <c r="L2949" s="141" t="n"/>
      <c r="M2949" s="142" t="n"/>
      <c r="N2949" s="146">
        <f>IF(AND(AND(F2949="",G2949=""),B2949="",C2949="",D2949="",J2949="",K2949="",L2949=""),"",IF(AND(F2949="",G2949=""),"✗ 没填金额",IF(AND(N(F2949)&lt;&gt;0,N(G2949)&lt;&gt;0),"✗ 收入、支出只能填一边",IF(NOT(ISNUMBER(B2949)),"✗ 日期不是真日期（要像 2026/9/25 这样填）",IF(OR(B2949&lt;年初日,B2949&gt;年末日),"✗ 日期不在本会计年度",IF(C2949="","✗ 没选账户",IF(COUNTIF(基础资料!$W$5:$W$24,C2949)=0,"✗ 账户不在基础资料里",IF(O2949="","✗ 没选收支项目",IF(P2949="未知","✗ 收支项目不在基础资料里",IF(AND(P2949="应收",J2949=""),"✗ 这笔要选客户",IF(AND(P2949="应收",COUNTIF(总览汇总!$B$5:$B$304,J2949)=0),"✗ 客户不在总览汇总名单里",IF(AND(P2949="应付",K2949=""),"✗ 这笔要选供应商",IF(AND(P2949="应付",COUNTIF(基础资料!$Q$5:$Q$54,K2949)=0),"✗ 供应商不在基础资料里",IF(AND(P2949="费用",L2949=""),"✗ 费用支出要选费用项目",IF(AND(L2949&lt;&gt;"",COUNTIF(基础资料!$AI$5:$AI$54,L2949)=0),"✗ 费用项目不在基础资料里",IF(AND(IFERROR(INDEX(基础资料!$AD$5:$AD$34,MATCH(O2949,基础资料!$AC$5:$AC$34,0)),"")="收",N(G2949)&lt;&gt;0),"✗ 这类是收款，金额填到收入列",IF(AND(IFERROR(INDEX(基础资料!$AD$5:$AD$34,MATCH(O2949,基础资料!$AC$5:$AC$34,0)),"")="支",N(F2949)&lt;&gt;0),"✗ 这类是付款，金额填到支出列",IF(N(H2949)&lt;0,"⚠ 账户余额成负数了，核对一下","√"))))))))))))))))))</f>
      </c>
      <c r="O2949" s="78">
        <f>IF(D2949&lt;&gt;"",D2949,IF(AND(F2949="",G2949=""),"",IF(J2949&lt;&gt;"",IF(N(F2949)&gt;0,"客户回款","客户退款"),IF(K2949&lt;&gt;"",IF(N(G2949)&gt;0,"供应商付款","供应商退款"),IF(L2949&lt;&gt;"","费用支出","")))))</f>
      </c>
      <c r="P2949" s="78">
        <f>IF(O2949="","",IFERROR(INDEX(基础资料!$AE$5:$AE$34,MATCH(O2949,基础资料!$AC$5:$AC$34,0)),"未知"))</f>
      </c>
      <c r="Q2949" s="78">
        <f>IF(P2949="应收",COUNTIF(P$7:P2949,"应收"),"")</f>
      </c>
      <c r="R2949" s="78">
        <f>IF(P2949="应付",COUNTIF(P$7:P2949,"应付"),"")</f>
      </c>
      <c r="S2949" s="78">
        <f>N(F2949)-N(G2949)</f>
        <v>0</v>
      </c>
    </row>
    <row r="2950">
      <c r="A2950" s="109">
        <f>IF(AND(F2950="",G2950=""),"",ROW()-6)</f>
      </c>
      <c r="B2950" s="140" t="n"/>
      <c r="C2950" s="141" t="n"/>
      <c r="D2950" s="141" t="n"/>
      <c r="E2950" s="142" t="n"/>
      <c r="F2950" s="143" t="n"/>
      <c r="G2950" s="144" t="n"/>
      <c r="H2950" s="145">
        <f>IF(OR(C2950="",AND(F2950="",G2950="")),"",SUMIF(基础资料!$W$5:$W$24,C2950,基础资料!$X$5:$X$24)+SUMIF(C$7:C2950,C2950,F$7:F2950)-SUMIF(C$7:C2950,C2950,G$7:G2950))</f>
      </c>
      <c r="I2950" s="145">
        <f>IF(AND(F2950="",G2950=""),"",SUM(基础资料!$X$5:$X$24)+SUM(F$7:F2950)-SUM(G$7:G2950))</f>
      </c>
      <c r="J2950" s="141" t="n"/>
      <c r="K2950" s="141" t="n"/>
      <c r="L2950" s="141" t="n"/>
      <c r="M2950" s="142" t="n"/>
      <c r="N2950" s="146">
        <f>IF(AND(AND(F2950="",G2950=""),B2950="",C2950="",D2950="",J2950="",K2950="",L2950=""),"",IF(AND(F2950="",G2950=""),"✗ 没填金额",IF(AND(N(F2950)&lt;&gt;0,N(G2950)&lt;&gt;0),"✗ 收入、支出只能填一边",IF(NOT(ISNUMBER(B2950)),"✗ 日期不是真日期（要像 2026/9/25 这样填）",IF(OR(B2950&lt;年初日,B2950&gt;年末日),"✗ 日期不在本会计年度",IF(C2950="","✗ 没选账户",IF(COUNTIF(基础资料!$W$5:$W$24,C2950)=0,"✗ 账户不在基础资料里",IF(O2950="","✗ 没选收支项目",IF(P2950="未知","✗ 收支项目不在基础资料里",IF(AND(P2950="应收",J2950=""),"✗ 这笔要选客户",IF(AND(P2950="应收",COUNTIF(总览汇总!$B$5:$B$304,J2950)=0),"✗ 客户不在总览汇总名单里",IF(AND(P2950="应付",K2950=""),"✗ 这笔要选供应商",IF(AND(P2950="应付",COUNTIF(基础资料!$Q$5:$Q$54,K2950)=0),"✗ 供应商不在基础资料里",IF(AND(P2950="费用",L2950=""),"✗ 费用支出要选费用项目",IF(AND(L2950&lt;&gt;"",COUNTIF(基础资料!$AI$5:$AI$54,L2950)=0),"✗ 费用项目不在基础资料里",IF(AND(IFERROR(INDEX(基础资料!$AD$5:$AD$34,MATCH(O2950,基础资料!$AC$5:$AC$34,0)),"")="收",N(G2950)&lt;&gt;0),"✗ 这类是收款，金额填到收入列",IF(AND(IFERROR(INDEX(基础资料!$AD$5:$AD$34,MATCH(O2950,基础资料!$AC$5:$AC$34,0)),"")="支",N(F2950)&lt;&gt;0),"✗ 这类是付款，金额填到支出列",IF(N(H2950)&lt;0,"⚠ 账户余额成负数了，核对一下","√"))))))))))))))))))</f>
      </c>
      <c r="O2950" s="78">
        <f>IF(D2950&lt;&gt;"",D2950,IF(AND(F2950="",G2950=""),"",IF(J2950&lt;&gt;"",IF(N(F2950)&gt;0,"客户回款","客户退款"),IF(K2950&lt;&gt;"",IF(N(G2950)&gt;0,"供应商付款","供应商退款"),IF(L2950&lt;&gt;"","费用支出","")))))</f>
      </c>
      <c r="P2950" s="78">
        <f>IF(O2950="","",IFERROR(INDEX(基础资料!$AE$5:$AE$34,MATCH(O2950,基础资料!$AC$5:$AC$34,0)),"未知"))</f>
      </c>
      <c r="Q2950" s="78">
        <f>IF(P2950="应收",COUNTIF(P$7:P2950,"应收"),"")</f>
      </c>
      <c r="R2950" s="78">
        <f>IF(P2950="应付",COUNTIF(P$7:P2950,"应付"),"")</f>
      </c>
      <c r="S2950" s="78">
        <f>N(F2950)-N(G2950)</f>
        <v>0</v>
      </c>
    </row>
    <row r="2951">
      <c r="A2951" s="109">
        <f>IF(AND(F2951="",G2951=""),"",ROW()-6)</f>
      </c>
      <c r="B2951" s="140" t="n"/>
      <c r="C2951" s="141" t="n"/>
      <c r="D2951" s="141" t="n"/>
      <c r="E2951" s="142" t="n"/>
      <c r="F2951" s="143" t="n"/>
      <c r="G2951" s="144" t="n"/>
      <c r="H2951" s="145">
        <f>IF(OR(C2951="",AND(F2951="",G2951="")),"",SUMIF(基础资料!$W$5:$W$24,C2951,基础资料!$X$5:$X$24)+SUMIF(C$7:C2951,C2951,F$7:F2951)-SUMIF(C$7:C2951,C2951,G$7:G2951))</f>
      </c>
      <c r="I2951" s="145">
        <f>IF(AND(F2951="",G2951=""),"",SUM(基础资料!$X$5:$X$24)+SUM(F$7:F2951)-SUM(G$7:G2951))</f>
      </c>
      <c r="J2951" s="141" t="n"/>
      <c r="K2951" s="141" t="n"/>
      <c r="L2951" s="141" t="n"/>
      <c r="M2951" s="142" t="n"/>
      <c r="N2951" s="146">
        <f>IF(AND(AND(F2951="",G2951=""),B2951="",C2951="",D2951="",J2951="",K2951="",L2951=""),"",IF(AND(F2951="",G2951=""),"✗ 没填金额",IF(AND(N(F2951)&lt;&gt;0,N(G2951)&lt;&gt;0),"✗ 收入、支出只能填一边",IF(NOT(ISNUMBER(B2951)),"✗ 日期不是真日期（要像 2026/9/25 这样填）",IF(OR(B2951&lt;年初日,B2951&gt;年末日),"✗ 日期不在本会计年度",IF(C2951="","✗ 没选账户",IF(COUNTIF(基础资料!$W$5:$W$24,C2951)=0,"✗ 账户不在基础资料里",IF(O2951="","✗ 没选收支项目",IF(P2951="未知","✗ 收支项目不在基础资料里",IF(AND(P2951="应收",J2951=""),"✗ 这笔要选客户",IF(AND(P2951="应收",COUNTIF(总览汇总!$B$5:$B$304,J2951)=0),"✗ 客户不在总览汇总名单里",IF(AND(P2951="应付",K2951=""),"✗ 这笔要选供应商",IF(AND(P2951="应付",COUNTIF(基础资料!$Q$5:$Q$54,K2951)=0),"✗ 供应商不在基础资料里",IF(AND(P2951="费用",L2951=""),"✗ 费用支出要选费用项目",IF(AND(L2951&lt;&gt;"",COUNTIF(基础资料!$AI$5:$AI$54,L2951)=0),"✗ 费用项目不在基础资料里",IF(AND(IFERROR(INDEX(基础资料!$AD$5:$AD$34,MATCH(O2951,基础资料!$AC$5:$AC$34,0)),"")="收",N(G2951)&lt;&gt;0),"✗ 这类是收款，金额填到收入列",IF(AND(IFERROR(INDEX(基础资料!$AD$5:$AD$34,MATCH(O2951,基础资料!$AC$5:$AC$34,0)),"")="支",N(F2951)&lt;&gt;0),"✗ 这类是付款，金额填到支出列",IF(N(H2951)&lt;0,"⚠ 账户余额成负数了，核对一下","√"))))))))))))))))))</f>
      </c>
      <c r="O2951" s="78">
        <f>IF(D2951&lt;&gt;"",D2951,IF(AND(F2951="",G2951=""),"",IF(J2951&lt;&gt;"",IF(N(F2951)&gt;0,"客户回款","客户退款"),IF(K2951&lt;&gt;"",IF(N(G2951)&gt;0,"供应商付款","供应商退款"),IF(L2951&lt;&gt;"","费用支出","")))))</f>
      </c>
      <c r="P2951" s="78">
        <f>IF(O2951="","",IFERROR(INDEX(基础资料!$AE$5:$AE$34,MATCH(O2951,基础资料!$AC$5:$AC$34,0)),"未知"))</f>
      </c>
      <c r="Q2951" s="78">
        <f>IF(P2951="应收",COUNTIF(P$7:P2951,"应收"),"")</f>
      </c>
      <c r="R2951" s="78">
        <f>IF(P2951="应付",COUNTIF(P$7:P2951,"应付"),"")</f>
      </c>
      <c r="S2951" s="78">
        <f>N(F2951)-N(G2951)</f>
        <v>0</v>
      </c>
    </row>
    <row r="2952">
      <c r="A2952" s="109">
        <f>IF(AND(F2952="",G2952=""),"",ROW()-6)</f>
      </c>
      <c r="B2952" s="140" t="n"/>
      <c r="C2952" s="141" t="n"/>
      <c r="D2952" s="141" t="n"/>
      <c r="E2952" s="142" t="n"/>
      <c r="F2952" s="143" t="n"/>
      <c r="G2952" s="144" t="n"/>
      <c r="H2952" s="145">
        <f>IF(OR(C2952="",AND(F2952="",G2952="")),"",SUMIF(基础资料!$W$5:$W$24,C2952,基础资料!$X$5:$X$24)+SUMIF(C$7:C2952,C2952,F$7:F2952)-SUMIF(C$7:C2952,C2952,G$7:G2952))</f>
      </c>
      <c r="I2952" s="145">
        <f>IF(AND(F2952="",G2952=""),"",SUM(基础资料!$X$5:$X$24)+SUM(F$7:F2952)-SUM(G$7:G2952))</f>
      </c>
      <c r="J2952" s="141" t="n"/>
      <c r="K2952" s="141" t="n"/>
      <c r="L2952" s="141" t="n"/>
      <c r="M2952" s="142" t="n"/>
      <c r="N2952" s="146">
        <f>IF(AND(AND(F2952="",G2952=""),B2952="",C2952="",D2952="",J2952="",K2952="",L2952=""),"",IF(AND(F2952="",G2952=""),"✗ 没填金额",IF(AND(N(F2952)&lt;&gt;0,N(G2952)&lt;&gt;0),"✗ 收入、支出只能填一边",IF(NOT(ISNUMBER(B2952)),"✗ 日期不是真日期（要像 2026/9/25 这样填）",IF(OR(B2952&lt;年初日,B2952&gt;年末日),"✗ 日期不在本会计年度",IF(C2952="","✗ 没选账户",IF(COUNTIF(基础资料!$W$5:$W$24,C2952)=0,"✗ 账户不在基础资料里",IF(O2952="","✗ 没选收支项目",IF(P2952="未知","✗ 收支项目不在基础资料里",IF(AND(P2952="应收",J2952=""),"✗ 这笔要选客户",IF(AND(P2952="应收",COUNTIF(总览汇总!$B$5:$B$304,J2952)=0),"✗ 客户不在总览汇总名单里",IF(AND(P2952="应付",K2952=""),"✗ 这笔要选供应商",IF(AND(P2952="应付",COUNTIF(基础资料!$Q$5:$Q$54,K2952)=0),"✗ 供应商不在基础资料里",IF(AND(P2952="费用",L2952=""),"✗ 费用支出要选费用项目",IF(AND(L2952&lt;&gt;"",COUNTIF(基础资料!$AI$5:$AI$54,L2952)=0),"✗ 费用项目不在基础资料里",IF(AND(IFERROR(INDEX(基础资料!$AD$5:$AD$34,MATCH(O2952,基础资料!$AC$5:$AC$34,0)),"")="收",N(G2952)&lt;&gt;0),"✗ 这类是收款，金额填到收入列",IF(AND(IFERROR(INDEX(基础资料!$AD$5:$AD$34,MATCH(O2952,基础资料!$AC$5:$AC$34,0)),"")="支",N(F2952)&lt;&gt;0),"✗ 这类是付款，金额填到支出列",IF(N(H2952)&lt;0,"⚠ 账户余额成负数了，核对一下","√"))))))))))))))))))</f>
      </c>
      <c r="O2952" s="78">
        <f>IF(D2952&lt;&gt;"",D2952,IF(AND(F2952="",G2952=""),"",IF(J2952&lt;&gt;"",IF(N(F2952)&gt;0,"客户回款","客户退款"),IF(K2952&lt;&gt;"",IF(N(G2952)&gt;0,"供应商付款","供应商退款"),IF(L2952&lt;&gt;"","费用支出","")))))</f>
      </c>
      <c r="P2952" s="78">
        <f>IF(O2952="","",IFERROR(INDEX(基础资料!$AE$5:$AE$34,MATCH(O2952,基础资料!$AC$5:$AC$34,0)),"未知"))</f>
      </c>
      <c r="Q2952" s="78">
        <f>IF(P2952="应收",COUNTIF(P$7:P2952,"应收"),"")</f>
      </c>
      <c r="R2952" s="78">
        <f>IF(P2952="应付",COUNTIF(P$7:P2952,"应付"),"")</f>
      </c>
      <c r="S2952" s="78">
        <f>N(F2952)-N(G2952)</f>
        <v>0</v>
      </c>
    </row>
    <row r="2953">
      <c r="A2953" s="109">
        <f>IF(AND(F2953="",G2953=""),"",ROW()-6)</f>
      </c>
      <c r="B2953" s="140" t="n"/>
      <c r="C2953" s="141" t="n"/>
      <c r="D2953" s="141" t="n"/>
      <c r="E2953" s="142" t="n"/>
      <c r="F2953" s="143" t="n"/>
      <c r="G2953" s="144" t="n"/>
      <c r="H2953" s="145">
        <f>IF(OR(C2953="",AND(F2953="",G2953="")),"",SUMIF(基础资料!$W$5:$W$24,C2953,基础资料!$X$5:$X$24)+SUMIF(C$7:C2953,C2953,F$7:F2953)-SUMIF(C$7:C2953,C2953,G$7:G2953))</f>
      </c>
      <c r="I2953" s="145">
        <f>IF(AND(F2953="",G2953=""),"",SUM(基础资料!$X$5:$X$24)+SUM(F$7:F2953)-SUM(G$7:G2953))</f>
      </c>
      <c r="J2953" s="141" t="n"/>
      <c r="K2953" s="141" t="n"/>
      <c r="L2953" s="141" t="n"/>
      <c r="M2953" s="142" t="n"/>
      <c r="N2953" s="146">
        <f>IF(AND(AND(F2953="",G2953=""),B2953="",C2953="",D2953="",J2953="",K2953="",L2953=""),"",IF(AND(F2953="",G2953=""),"✗ 没填金额",IF(AND(N(F2953)&lt;&gt;0,N(G2953)&lt;&gt;0),"✗ 收入、支出只能填一边",IF(NOT(ISNUMBER(B2953)),"✗ 日期不是真日期（要像 2026/9/25 这样填）",IF(OR(B2953&lt;年初日,B2953&gt;年末日),"✗ 日期不在本会计年度",IF(C2953="","✗ 没选账户",IF(COUNTIF(基础资料!$W$5:$W$24,C2953)=0,"✗ 账户不在基础资料里",IF(O2953="","✗ 没选收支项目",IF(P2953="未知","✗ 收支项目不在基础资料里",IF(AND(P2953="应收",J2953=""),"✗ 这笔要选客户",IF(AND(P2953="应收",COUNTIF(总览汇总!$B$5:$B$304,J2953)=0),"✗ 客户不在总览汇总名单里",IF(AND(P2953="应付",K2953=""),"✗ 这笔要选供应商",IF(AND(P2953="应付",COUNTIF(基础资料!$Q$5:$Q$54,K2953)=0),"✗ 供应商不在基础资料里",IF(AND(P2953="费用",L2953=""),"✗ 费用支出要选费用项目",IF(AND(L2953&lt;&gt;"",COUNTIF(基础资料!$AI$5:$AI$54,L2953)=0),"✗ 费用项目不在基础资料里",IF(AND(IFERROR(INDEX(基础资料!$AD$5:$AD$34,MATCH(O2953,基础资料!$AC$5:$AC$34,0)),"")="收",N(G2953)&lt;&gt;0),"✗ 这类是收款，金额填到收入列",IF(AND(IFERROR(INDEX(基础资料!$AD$5:$AD$34,MATCH(O2953,基础资料!$AC$5:$AC$34,0)),"")="支",N(F2953)&lt;&gt;0),"✗ 这类是付款，金额填到支出列",IF(N(H2953)&lt;0,"⚠ 账户余额成负数了，核对一下","√"))))))))))))))))))</f>
      </c>
      <c r="O2953" s="78">
        <f>IF(D2953&lt;&gt;"",D2953,IF(AND(F2953="",G2953=""),"",IF(J2953&lt;&gt;"",IF(N(F2953)&gt;0,"客户回款","客户退款"),IF(K2953&lt;&gt;"",IF(N(G2953)&gt;0,"供应商付款","供应商退款"),IF(L2953&lt;&gt;"","费用支出","")))))</f>
      </c>
      <c r="P2953" s="78">
        <f>IF(O2953="","",IFERROR(INDEX(基础资料!$AE$5:$AE$34,MATCH(O2953,基础资料!$AC$5:$AC$34,0)),"未知"))</f>
      </c>
      <c r="Q2953" s="78">
        <f>IF(P2953="应收",COUNTIF(P$7:P2953,"应收"),"")</f>
      </c>
      <c r="R2953" s="78">
        <f>IF(P2953="应付",COUNTIF(P$7:P2953,"应付"),"")</f>
      </c>
      <c r="S2953" s="78">
        <f>N(F2953)-N(G2953)</f>
        <v>0</v>
      </c>
    </row>
    <row r="2954">
      <c r="A2954" s="109">
        <f>IF(AND(F2954="",G2954=""),"",ROW()-6)</f>
      </c>
      <c r="B2954" s="140" t="n"/>
      <c r="C2954" s="141" t="n"/>
      <c r="D2954" s="141" t="n"/>
      <c r="E2954" s="142" t="n"/>
      <c r="F2954" s="143" t="n"/>
      <c r="G2954" s="144" t="n"/>
      <c r="H2954" s="145">
        <f>IF(OR(C2954="",AND(F2954="",G2954="")),"",SUMIF(基础资料!$W$5:$W$24,C2954,基础资料!$X$5:$X$24)+SUMIF(C$7:C2954,C2954,F$7:F2954)-SUMIF(C$7:C2954,C2954,G$7:G2954))</f>
      </c>
      <c r="I2954" s="145">
        <f>IF(AND(F2954="",G2954=""),"",SUM(基础资料!$X$5:$X$24)+SUM(F$7:F2954)-SUM(G$7:G2954))</f>
      </c>
      <c r="J2954" s="141" t="n"/>
      <c r="K2954" s="141" t="n"/>
      <c r="L2954" s="141" t="n"/>
      <c r="M2954" s="142" t="n"/>
      <c r="N2954" s="146">
        <f>IF(AND(AND(F2954="",G2954=""),B2954="",C2954="",D2954="",J2954="",K2954="",L2954=""),"",IF(AND(F2954="",G2954=""),"✗ 没填金额",IF(AND(N(F2954)&lt;&gt;0,N(G2954)&lt;&gt;0),"✗ 收入、支出只能填一边",IF(NOT(ISNUMBER(B2954)),"✗ 日期不是真日期（要像 2026/9/25 这样填）",IF(OR(B2954&lt;年初日,B2954&gt;年末日),"✗ 日期不在本会计年度",IF(C2954="","✗ 没选账户",IF(COUNTIF(基础资料!$W$5:$W$24,C2954)=0,"✗ 账户不在基础资料里",IF(O2954="","✗ 没选收支项目",IF(P2954="未知","✗ 收支项目不在基础资料里",IF(AND(P2954="应收",J2954=""),"✗ 这笔要选客户",IF(AND(P2954="应收",COUNTIF(总览汇总!$B$5:$B$304,J2954)=0),"✗ 客户不在总览汇总名单里",IF(AND(P2954="应付",K2954=""),"✗ 这笔要选供应商",IF(AND(P2954="应付",COUNTIF(基础资料!$Q$5:$Q$54,K2954)=0),"✗ 供应商不在基础资料里",IF(AND(P2954="费用",L2954=""),"✗ 费用支出要选费用项目",IF(AND(L2954&lt;&gt;"",COUNTIF(基础资料!$AI$5:$AI$54,L2954)=0),"✗ 费用项目不在基础资料里",IF(AND(IFERROR(INDEX(基础资料!$AD$5:$AD$34,MATCH(O2954,基础资料!$AC$5:$AC$34,0)),"")="收",N(G2954)&lt;&gt;0),"✗ 这类是收款，金额填到收入列",IF(AND(IFERROR(INDEX(基础资料!$AD$5:$AD$34,MATCH(O2954,基础资料!$AC$5:$AC$34,0)),"")="支",N(F2954)&lt;&gt;0),"✗ 这类是付款，金额填到支出列",IF(N(H2954)&lt;0,"⚠ 账户余额成负数了，核对一下","√"))))))))))))))))))</f>
      </c>
      <c r="O2954" s="78">
        <f>IF(D2954&lt;&gt;"",D2954,IF(AND(F2954="",G2954=""),"",IF(J2954&lt;&gt;"",IF(N(F2954)&gt;0,"客户回款","客户退款"),IF(K2954&lt;&gt;"",IF(N(G2954)&gt;0,"供应商付款","供应商退款"),IF(L2954&lt;&gt;"","费用支出","")))))</f>
      </c>
      <c r="P2954" s="78">
        <f>IF(O2954="","",IFERROR(INDEX(基础资料!$AE$5:$AE$34,MATCH(O2954,基础资料!$AC$5:$AC$34,0)),"未知"))</f>
      </c>
      <c r="Q2954" s="78">
        <f>IF(P2954="应收",COUNTIF(P$7:P2954,"应收"),"")</f>
      </c>
      <c r="R2954" s="78">
        <f>IF(P2954="应付",COUNTIF(P$7:P2954,"应付"),"")</f>
      </c>
      <c r="S2954" s="78">
        <f>N(F2954)-N(G2954)</f>
        <v>0</v>
      </c>
    </row>
    <row r="2955">
      <c r="A2955" s="109">
        <f>IF(AND(F2955="",G2955=""),"",ROW()-6)</f>
      </c>
      <c r="B2955" s="140" t="n"/>
      <c r="C2955" s="141" t="n"/>
      <c r="D2955" s="141" t="n"/>
      <c r="E2955" s="142" t="n"/>
      <c r="F2955" s="143" t="n"/>
      <c r="G2955" s="144" t="n"/>
      <c r="H2955" s="145">
        <f>IF(OR(C2955="",AND(F2955="",G2955="")),"",SUMIF(基础资料!$W$5:$W$24,C2955,基础资料!$X$5:$X$24)+SUMIF(C$7:C2955,C2955,F$7:F2955)-SUMIF(C$7:C2955,C2955,G$7:G2955))</f>
      </c>
      <c r="I2955" s="145">
        <f>IF(AND(F2955="",G2955=""),"",SUM(基础资料!$X$5:$X$24)+SUM(F$7:F2955)-SUM(G$7:G2955))</f>
      </c>
      <c r="J2955" s="141" t="n"/>
      <c r="K2955" s="141" t="n"/>
      <c r="L2955" s="141" t="n"/>
      <c r="M2955" s="142" t="n"/>
      <c r="N2955" s="146">
        <f>IF(AND(AND(F2955="",G2955=""),B2955="",C2955="",D2955="",J2955="",K2955="",L2955=""),"",IF(AND(F2955="",G2955=""),"✗ 没填金额",IF(AND(N(F2955)&lt;&gt;0,N(G2955)&lt;&gt;0),"✗ 收入、支出只能填一边",IF(NOT(ISNUMBER(B2955)),"✗ 日期不是真日期（要像 2026/9/25 这样填）",IF(OR(B2955&lt;年初日,B2955&gt;年末日),"✗ 日期不在本会计年度",IF(C2955="","✗ 没选账户",IF(COUNTIF(基础资料!$W$5:$W$24,C2955)=0,"✗ 账户不在基础资料里",IF(O2955="","✗ 没选收支项目",IF(P2955="未知","✗ 收支项目不在基础资料里",IF(AND(P2955="应收",J2955=""),"✗ 这笔要选客户",IF(AND(P2955="应收",COUNTIF(总览汇总!$B$5:$B$304,J2955)=0),"✗ 客户不在总览汇总名单里",IF(AND(P2955="应付",K2955=""),"✗ 这笔要选供应商",IF(AND(P2955="应付",COUNTIF(基础资料!$Q$5:$Q$54,K2955)=0),"✗ 供应商不在基础资料里",IF(AND(P2955="费用",L2955=""),"✗ 费用支出要选费用项目",IF(AND(L2955&lt;&gt;"",COUNTIF(基础资料!$AI$5:$AI$54,L2955)=0),"✗ 费用项目不在基础资料里",IF(AND(IFERROR(INDEX(基础资料!$AD$5:$AD$34,MATCH(O2955,基础资料!$AC$5:$AC$34,0)),"")="收",N(G2955)&lt;&gt;0),"✗ 这类是收款，金额填到收入列",IF(AND(IFERROR(INDEX(基础资料!$AD$5:$AD$34,MATCH(O2955,基础资料!$AC$5:$AC$34,0)),"")="支",N(F2955)&lt;&gt;0),"✗ 这类是付款，金额填到支出列",IF(N(H2955)&lt;0,"⚠ 账户余额成负数了，核对一下","√"))))))))))))))))))</f>
      </c>
      <c r="O2955" s="78">
        <f>IF(D2955&lt;&gt;"",D2955,IF(AND(F2955="",G2955=""),"",IF(J2955&lt;&gt;"",IF(N(F2955)&gt;0,"客户回款","客户退款"),IF(K2955&lt;&gt;"",IF(N(G2955)&gt;0,"供应商付款","供应商退款"),IF(L2955&lt;&gt;"","费用支出","")))))</f>
      </c>
      <c r="P2955" s="78">
        <f>IF(O2955="","",IFERROR(INDEX(基础资料!$AE$5:$AE$34,MATCH(O2955,基础资料!$AC$5:$AC$34,0)),"未知"))</f>
      </c>
      <c r="Q2955" s="78">
        <f>IF(P2955="应收",COUNTIF(P$7:P2955,"应收"),"")</f>
      </c>
      <c r="R2955" s="78">
        <f>IF(P2955="应付",COUNTIF(P$7:P2955,"应付"),"")</f>
      </c>
      <c r="S2955" s="78">
        <f>N(F2955)-N(G2955)</f>
        <v>0</v>
      </c>
    </row>
    <row r="2956">
      <c r="A2956" s="109">
        <f>IF(AND(F2956="",G2956=""),"",ROW()-6)</f>
      </c>
      <c r="B2956" s="140" t="n"/>
      <c r="C2956" s="141" t="n"/>
      <c r="D2956" s="141" t="n"/>
      <c r="E2956" s="142" t="n"/>
      <c r="F2956" s="143" t="n"/>
      <c r="G2956" s="144" t="n"/>
      <c r="H2956" s="145">
        <f>IF(OR(C2956="",AND(F2956="",G2956="")),"",SUMIF(基础资料!$W$5:$W$24,C2956,基础资料!$X$5:$X$24)+SUMIF(C$7:C2956,C2956,F$7:F2956)-SUMIF(C$7:C2956,C2956,G$7:G2956))</f>
      </c>
      <c r="I2956" s="145">
        <f>IF(AND(F2956="",G2956=""),"",SUM(基础资料!$X$5:$X$24)+SUM(F$7:F2956)-SUM(G$7:G2956))</f>
      </c>
      <c r="J2956" s="141" t="n"/>
      <c r="K2956" s="141" t="n"/>
      <c r="L2956" s="141" t="n"/>
      <c r="M2956" s="142" t="n"/>
      <c r="N2956" s="146">
        <f>IF(AND(AND(F2956="",G2956=""),B2956="",C2956="",D2956="",J2956="",K2956="",L2956=""),"",IF(AND(F2956="",G2956=""),"✗ 没填金额",IF(AND(N(F2956)&lt;&gt;0,N(G2956)&lt;&gt;0),"✗ 收入、支出只能填一边",IF(NOT(ISNUMBER(B2956)),"✗ 日期不是真日期（要像 2026/9/25 这样填）",IF(OR(B2956&lt;年初日,B2956&gt;年末日),"✗ 日期不在本会计年度",IF(C2956="","✗ 没选账户",IF(COUNTIF(基础资料!$W$5:$W$24,C2956)=0,"✗ 账户不在基础资料里",IF(O2956="","✗ 没选收支项目",IF(P2956="未知","✗ 收支项目不在基础资料里",IF(AND(P2956="应收",J2956=""),"✗ 这笔要选客户",IF(AND(P2956="应收",COUNTIF(总览汇总!$B$5:$B$304,J2956)=0),"✗ 客户不在总览汇总名单里",IF(AND(P2956="应付",K2956=""),"✗ 这笔要选供应商",IF(AND(P2956="应付",COUNTIF(基础资料!$Q$5:$Q$54,K2956)=0),"✗ 供应商不在基础资料里",IF(AND(P2956="费用",L2956=""),"✗ 费用支出要选费用项目",IF(AND(L2956&lt;&gt;"",COUNTIF(基础资料!$AI$5:$AI$54,L2956)=0),"✗ 费用项目不在基础资料里",IF(AND(IFERROR(INDEX(基础资料!$AD$5:$AD$34,MATCH(O2956,基础资料!$AC$5:$AC$34,0)),"")="收",N(G2956)&lt;&gt;0),"✗ 这类是收款，金额填到收入列",IF(AND(IFERROR(INDEX(基础资料!$AD$5:$AD$34,MATCH(O2956,基础资料!$AC$5:$AC$34,0)),"")="支",N(F2956)&lt;&gt;0),"✗ 这类是付款，金额填到支出列",IF(N(H2956)&lt;0,"⚠ 账户余额成负数了，核对一下","√"))))))))))))))))))</f>
      </c>
      <c r="O2956" s="78">
        <f>IF(D2956&lt;&gt;"",D2956,IF(AND(F2956="",G2956=""),"",IF(J2956&lt;&gt;"",IF(N(F2956)&gt;0,"客户回款","客户退款"),IF(K2956&lt;&gt;"",IF(N(G2956)&gt;0,"供应商付款","供应商退款"),IF(L2956&lt;&gt;"","费用支出","")))))</f>
      </c>
      <c r="P2956" s="78">
        <f>IF(O2956="","",IFERROR(INDEX(基础资料!$AE$5:$AE$34,MATCH(O2956,基础资料!$AC$5:$AC$34,0)),"未知"))</f>
      </c>
      <c r="Q2956" s="78">
        <f>IF(P2956="应收",COUNTIF(P$7:P2956,"应收"),"")</f>
      </c>
      <c r="R2956" s="78">
        <f>IF(P2956="应付",COUNTIF(P$7:P2956,"应付"),"")</f>
      </c>
      <c r="S2956" s="78">
        <f>N(F2956)-N(G2956)</f>
        <v>0</v>
      </c>
    </row>
    <row r="2957">
      <c r="A2957" s="109">
        <f>IF(AND(F2957="",G2957=""),"",ROW()-6)</f>
      </c>
      <c r="B2957" s="140" t="n"/>
      <c r="C2957" s="141" t="n"/>
      <c r="D2957" s="141" t="n"/>
      <c r="E2957" s="142" t="n"/>
      <c r="F2957" s="143" t="n"/>
      <c r="G2957" s="144" t="n"/>
      <c r="H2957" s="145">
        <f>IF(OR(C2957="",AND(F2957="",G2957="")),"",SUMIF(基础资料!$W$5:$W$24,C2957,基础资料!$X$5:$X$24)+SUMIF(C$7:C2957,C2957,F$7:F2957)-SUMIF(C$7:C2957,C2957,G$7:G2957))</f>
      </c>
      <c r="I2957" s="145">
        <f>IF(AND(F2957="",G2957=""),"",SUM(基础资料!$X$5:$X$24)+SUM(F$7:F2957)-SUM(G$7:G2957))</f>
      </c>
      <c r="J2957" s="141" t="n"/>
      <c r="K2957" s="141" t="n"/>
      <c r="L2957" s="141" t="n"/>
      <c r="M2957" s="142" t="n"/>
      <c r="N2957" s="146">
        <f>IF(AND(AND(F2957="",G2957=""),B2957="",C2957="",D2957="",J2957="",K2957="",L2957=""),"",IF(AND(F2957="",G2957=""),"✗ 没填金额",IF(AND(N(F2957)&lt;&gt;0,N(G2957)&lt;&gt;0),"✗ 收入、支出只能填一边",IF(NOT(ISNUMBER(B2957)),"✗ 日期不是真日期（要像 2026/9/25 这样填）",IF(OR(B2957&lt;年初日,B2957&gt;年末日),"✗ 日期不在本会计年度",IF(C2957="","✗ 没选账户",IF(COUNTIF(基础资料!$W$5:$W$24,C2957)=0,"✗ 账户不在基础资料里",IF(O2957="","✗ 没选收支项目",IF(P2957="未知","✗ 收支项目不在基础资料里",IF(AND(P2957="应收",J2957=""),"✗ 这笔要选客户",IF(AND(P2957="应收",COUNTIF(总览汇总!$B$5:$B$304,J2957)=0),"✗ 客户不在总览汇总名单里",IF(AND(P2957="应付",K2957=""),"✗ 这笔要选供应商",IF(AND(P2957="应付",COUNTIF(基础资料!$Q$5:$Q$54,K2957)=0),"✗ 供应商不在基础资料里",IF(AND(P2957="费用",L2957=""),"✗ 费用支出要选费用项目",IF(AND(L2957&lt;&gt;"",COUNTIF(基础资料!$AI$5:$AI$54,L2957)=0),"✗ 费用项目不在基础资料里",IF(AND(IFERROR(INDEX(基础资料!$AD$5:$AD$34,MATCH(O2957,基础资料!$AC$5:$AC$34,0)),"")="收",N(G2957)&lt;&gt;0),"✗ 这类是收款，金额填到收入列",IF(AND(IFERROR(INDEX(基础资料!$AD$5:$AD$34,MATCH(O2957,基础资料!$AC$5:$AC$34,0)),"")="支",N(F2957)&lt;&gt;0),"✗ 这类是付款，金额填到支出列",IF(N(H2957)&lt;0,"⚠ 账户余额成负数了，核对一下","√"))))))))))))))))))</f>
      </c>
      <c r="O2957" s="78">
        <f>IF(D2957&lt;&gt;"",D2957,IF(AND(F2957="",G2957=""),"",IF(J2957&lt;&gt;"",IF(N(F2957)&gt;0,"客户回款","客户退款"),IF(K2957&lt;&gt;"",IF(N(G2957)&gt;0,"供应商付款","供应商退款"),IF(L2957&lt;&gt;"","费用支出","")))))</f>
      </c>
      <c r="P2957" s="78">
        <f>IF(O2957="","",IFERROR(INDEX(基础资料!$AE$5:$AE$34,MATCH(O2957,基础资料!$AC$5:$AC$34,0)),"未知"))</f>
      </c>
      <c r="Q2957" s="78">
        <f>IF(P2957="应收",COUNTIF(P$7:P2957,"应收"),"")</f>
      </c>
      <c r="R2957" s="78">
        <f>IF(P2957="应付",COUNTIF(P$7:P2957,"应付"),"")</f>
      </c>
      <c r="S2957" s="78">
        <f>N(F2957)-N(G2957)</f>
        <v>0</v>
      </c>
    </row>
    <row r="2958">
      <c r="A2958" s="109">
        <f>IF(AND(F2958="",G2958=""),"",ROW()-6)</f>
      </c>
      <c r="B2958" s="140" t="n"/>
      <c r="C2958" s="141" t="n"/>
      <c r="D2958" s="141" t="n"/>
      <c r="E2958" s="142" t="n"/>
      <c r="F2958" s="143" t="n"/>
      <c r="G2958" s="144" t="n"/>
      <c r="H2958" s="145">
        <f>IF(OR(C2958="",AND(F2958="",G2958="")),"",SUMIF(基础资料!$W$5:$W$24,C2958,基础资料!$X$5:$X$24)+SUMIF(C$7:C2958,C2958,F$7:F2958)-SUMIF(C$7:C2958,C2958,G$7:G2958))</f>
      </c>
      <c r="I2958" s="145">
        <f>IF(AND(F2958="",G2958=""),"",SUM(基础资料!$X$5:$X$24)+SUM(F$7:F2958)-SUM(G$7:G2958))</f>
      </c>
      <c r="J2958" s="141" t="n"/>
      <c r="K2958" s="141" t="n"/>
      <c r="L2958" s="141" t="n"/>
      <c r="M2958" s="142" t="n"/>
      <c r="N2958" s="146">
        <f>IF(AND(AND(F2958="",G2958=""),B2958="",C2958="",D2958="",J2958="",K2958="",L2958=""),"",IF(AND(F2958="",G2958=""),"✗ 没填金额",IF(AND(N(F2958)&lt;&gt;0,N(G2958)&lt;&gt;0),"✗ 收入、支出只能填一边",IF(NOT(ISNUMBER(B2958)),"✗ 日期不是真日期（要像 2026/9/25 这样填）",IF(OR(B2958&lt;年初日,B2958&gt;年末日),"✗ 日期不在本会计年度",IF(C2958="","✗ 没选账户",IF(COUNTIF(基础资料!$W$5:$W$24,C2958)=0,"✗ 账户不在基础资料里",IF(O2958="","✗ 没选收支项目",IF(P2958="未知","✗ 收支项目不在基础资料里",IF(AND(P2958="应收",J2958=""),"✗ 这笔要选客户",IF(AND(P2958="应收",COUNTIF(总览汇总!$B$5:$B$304,J2958)=0),"✗ 客户不在总览汇总名单里",IF(AND(P2958="应付",K2958=""),"✗ 这笔要选供应商",IF(AND(P2958="应付",COUNTIF(基础资料!$Q$5:$Q$54,K2958)=0),"✗ 供应商不在基础资料里",IF(AND(P2958="费用",L2958=""),"✗ 费用支出要选费用项目",IF(AND(L2958&lt;&gt;"",COUNTIF(基础资料!$AI$5:$AI$54,L2958)=0),"✗ 费用项目不在基础资料里",IF(AND(IFERROR(INDEX(基础资料!$AD$5:$AD$34,MATCH(O2958,基础资料!$AC$5:$AC$34,0)),"")="收",N(G2958)&lt;&gt;0),"✗ 这类是收款，金额填到收入列",IF(AND(IFERROR(INDEX(基础资料!$AD$5:$AD$34,MATCH(O2958,基础资料!$AC$5:$AC$34,0)),"")="支",N(F2958)&lt;&gt;0),"✗ 这类是付款，金额填到支出列",IF(N(H2958)&lt;0,"⚠ 账户余额成负数了，核对一下","√"))))))))))))))))))</f>
      </c>
      <c r="O2958" s="78">
        <f>IF(D2958&lt;&gt;"",D2958,IF(AND(F2958="",G2958=""),"",IF(J2958&lt;&gt;"",IF(N(F2958)&gt;0,"客户回款","客户退款"),IF(K2958&lt;&gt;"",IF(N(G2958)&gt;0,"供应商付款","供应商退款"),IF(L2958&lt;&gt;"","费用支出","")))))</f>
      </c>
      <c r="P2958" s="78">
        <f>IF(O2958="","",IFERROR(INDEX(基础资料!$AE$5:$AE$34,MATCH(O2958,基础资料!$AC$5:$AC$34,0)),"未知"))</f>
      </c>
      <c r="Q2958" s="78">
        <f>IF(P2958="应收",COUNTIF(P$7:P2958,"应收"),"")</f>
      </c>
      <c r="R2958" s="78">
        <f>IF(P2958="应付",COUNTIF(P$7:P2958,"应付"),"")</f>
      </c>
      <c r="S2958" s="78">
        <f>N(F2958)-N(G2958)</f>
        <v>0</v>
      </c>
    </row>
    <row r="2959">
      <c r="A2959" s="109">
        <f>IF(AND(F2959="",G2959=""),"",ROW()-6)</f>
      </c>
      <c r="B2959" s="140" t="n"/>
      <c r="C2959" s="141" t="n"/>
      <c r="D2959" s="141" t="n"/>
      <c r="E2959" s="142" t="n"/>
      <c r="F2959" s="143" t="n"/>
      <c r="G2959" s="144" t="n"/>
      <c r="H2959" s="145">
        <f>IF(OR(C2959="",AND(F2959="",G2959="")),"",SUMIF(基础资料!$W$5:$W$24,C2959,基础资料!$X$5:$X$24)+SUMIF(C$7:C2959,C2959,F$7:F2959)-SUMIF(C$7:C2959,C2959,G$7:G2959))</f>
      </c>
      <c r="I2959" s="145">
        <f>IF(AND(F2959="",G2959=""),"",SUM(基础资料!$X$5:$X$24)+SUM(F$7:F2959)-SUM(G$7:G2959))</f>
      </c>
      <c r="J2959" s="141" t="n"/>
      <c r="K2959" s="141" t="n"/>
      <c r="L2959" s="141" t="n"/>
      <c r="M2959" s="142" t="n"/>
      <c r="N2959" s="146">
        <f>IF(AND(AND(F2959="",G2959=""),B2959="",C2959="",D2959="",J2959="",K2959="",L2959=""),"",IF(AND(F2959="",G2959=""),"✗ 没填金额",IF(AND(N(F2959)&lt;&gt;0,N(G2959)&lt;&gt;0),"✗ 收入、支出只能填一边",IF(NOT(ISNUMBER(B2959)),"✗ 日期不是真日期（要像 2026/9/25 这样填）",IF(OR(B2959&lt;年初日,B2959&gt;年末日),"✗ 日期不在本会计年度",IF(C2959="","✗ 没选账户",IF(COUNTIF(基础资料!$W$5:$W$24,C2959)=0,"✗ 账户不在基础资料里",IF(O2959="","✗ 没选收支项目",IF(P2959="未知","✗ 收支项目不在基础资料里",IF(AND(P2959="应收",J2959=""),"✗ 这笔要选客户",IF(AND(P2959="应收",COUNTIF(总览汇总!$B$5:$B$304,J2959)=0),"✗ 客户不在总览汇总名单里",IF(AND(P2959="应付",K2959=""),"✗ 这笔要选供应商",IF(AND(P2959="应付",COUNTIF(基础资料!$Q$5:$Q$54,K2959)=0),"✗ 供应商不在基础资料里",IF(AND(P2959="费用",L2959=""),"✗ 费用支出要选费用项目",IF(AND(L2959&lt;&gt;"",COUNTIF(基础资料!$AI$5:$AI$54,L2959)=0),"✗ 费用项目不在基础资料里",IF(AND(IFERROR(INDEX(基础资料!$AD$5:$AD$34,MATCH(O2959,基础资料!$AC$5:$AC$34,0)),"")="收",N(G2959)&lt;&gt;0),"✗ 这类是收款，金额填到收入列",IF(AND(IFERROR(INDEX(基础资料!$AD$5:$AD$34,MATCH(O2959,基础资料!$AC$5:$AC$34,0)),"")="支",N(F2959)&lt;&gt;0),"✗ 这类是付款，金额填到支出列",IF(N(H2959)&lt;0,"⚠ 账户余额成负数了，核对一下","√"))))))))))))))))))</f>
      </c>
      <c r="O2959" s="78">
        <f>IF(D2959&lt;&gt;"",D2959,IF(AND(F2959="",G2959=""),"",IF(J2959&lt;&gt;"",IF(N(F2959)&gt;0,"客户回款","客户退款"),IF(K2959&lt;&gt;"",IF(N(G2959)&gt;0,"供应商付款","供应商退款"),IF(L2959&lt;&gt;"","费用支出","")))))</f>
      </c>
      <c r="P2959" s="78">
        <f>IF(O2959="","",IFERROR(INDEX(基础资料!$AE$5:$AE$34,MATCH(O2959,基础资料!$AC$5:$AC$34,0)),"未知"))</f>
      </c>
      <c r="Q2959" s="78">
        <f>IF(P2959="应收",COUNTIF(P$7:P2959,"应收"),"")</f>
      </c>
      <c r="R2959" s="78">
        <f>IF(P2959="应付",COUNTIF(P$7:P2959,"应付"),"")</f>
      </c>
      <c r="S2959" s="78">
        <f>N(F2959)-N(G2959)</f>
        <v>0</v>
      </c>
    </row>
    <row r="2960">
      <c r="A2960" s="109">
        <f>IF(AND(F2960="",G2960=""),"",ROW()-6)</f>
      </c>
      <c r="B2960" s="140" t="n"/>
      <c r="C2960" s="141" t="n"/>
      <c r="D2960" s="141" t="n"/>
      <c r="E2960" s="142" t="n"/>
      <c r="F2960" s="143" t="n"/>
      <c r="G2960" s="144" t="n"/>
      <c r="H2960" s="145">
        <f>IF(OR(C2960="",AND(F2960="",G2960="")),"",SUMIF(基础资料!$W$5:$W$24,C2960,基础资料!$X$5:$X$24)+SUMIF(C$7:C2960,C2960,F$7:F2960)-SUMIF(C$7:C2960,C2960,G$7:G2960))</f>
      </c>
      <c r="I2960" s="145">
        <f>IF(AND(F2960="",G2960=""),"",SUM(基础资料!$X$5:$X$24)+SUM(F$7:F2960)-SUM(G$7:G2960))</f>
      </c>
      <c r="J2960" s="141" t="n"/>
      <c r="K2960" s="141" t="n"/>
      <c r="L2960" s="141" t="n"/>
      <c r="M2960" s="142" t="n"/>
      <c r="N2960" s="146">
        <f>IF(AND(AND(F2960="",G2960=""),B2960="",C2960="",D2960="",J2960="",K2960="",L2960=""),"",IF(AND(F2960="",G2960=""),"✗ 没填金额",IF(AND(N(F2960)&lt;&gt;0,N(G2960)&lt;&gt;0),"✗ 收入、支出只能填一边",IF(NOT(ISNUMBER(B2960)),"✗ 日期不是真日期（要像 2026/9/25 这样填）",IF(OR(B2960&lt;年初日,B2960&gt;年末日),"✗ 日期不在本会计年度",IF(C2960="","✗ 没选账户",IF(COUNTIF(基础资料!$W$5:$W$24,C2960)=0,"✗ 账户不在基础资料里",IF(O2960="","✗ 没选收支项目",IF(P2960="未知","✗ 收支项目不在基础资料里",IF(AND(P2960="应收",J2960=""),"✗ 这笔要选客户",IF(AND(P2960="应收",COUNTIF(总览汇总!$B$5:$B$304,J2960)=0),"✗ 客户不在总览汇总名单里",IF(AND(P2960="应付",K2960=""),"✗ 这笔要选供应商",IF(AND(P2960="应付",COUNTIF(基础资料!$Q$5:$Q$54,K2960)=0),"✗ 供应商不在基础资料里",IF(AND(P2960="费用",L2960=""),"✗ 费用支出要选费用项目",IF(AND(L2960&lt;&gt;"",COUNTIF(基础资料!$AI$5:$AI$54,L2960)=0),"✗ 费用项目不在基础资料里",IF(AND(IFERROR(INDEX(基础资料!$AD$5:$AD$34,MATCH(O2960,基础资料!$AC$5:$AC$34,0)),"")="收",N(G2960)&lt;&gt;0),"✗ 这类是收款，金额填到收入列",IF(AND(IFERROR(INDEX(基础资料!$AD$5:$AD$34,MATCH(O2960,基础资料!$AC$5:$AC$34,0)),"")="支",N(F2960)&lt;&gt;0),"✗ 这类是付款，金额填到支出列",IF(N(H2960)&lt;0,"⚠ 账户余额成负数了，核对一下","√"))))))))))))))))))</f>
      </c>
      <c r="O2960" s="78">
        <f>IF(D2960&lt;&gt;"",D2960,IF(AND(F2960="",G2960=""),"",IF(J2960&lt;&gt;"",IF(N(F2960)&gt;0,"客户回款","客户退款"),IF(K2960&lt;&gt;"",IF(N(G2960)&gt;0,"供应商付款","供应商退款"),IF(L2960&lt;&gt;"","费用支出","")))))</f>
      </c>
      <c r="P2960" s="78">
        <f>IF(O2960="","",IFERROR(INDEX(基础资料!$AE$5:$AE$34,MATCH(O2960,基础资料!$AC$5:$AC$34,0)),"未知"))</f>
      </c>
      <c r="Q2960" s="78">
        <f>IF(P2960="应收",COUNTIF(P$7:P2960,"应收"),"")</f>
      </c>
      <c r="R2960" s="78">
        <f>IF(P2960="应付",COUNTIF(P$7:P2960,"应付"),"")</f>
      </c>
      <c r="S2960" s="78">
        <f>N(F2960)-N(G2960)</f>
        <v>0</v>
      </c>
    </row>
    <row r="2961">
      <c r="A2961" s="109">
        <f>IF(AND(F2961="",G2961=""),"",ROW()-6)</f>
      </c>
      <c r="B2961" s="140" t="n"/>
      <c r="C2961" s="141" t="n"/>
      <c r="D2961" s="141" t="n"/>
      <c r="E2961" s="142" t="n"/>
      <c r="F2961" s="143" t="n"/>
      <c r="G2961" s="144" t="n"/>
      <c r="H2961" s="145">
        <f>IF(OR(C2961="",AND(F2961="",G2961="")),"",SUMIF(基础资料!$W$5:$W$24,C2961,基础资料!$X$5:$X$24)+SUMIF(C$7:C2961,C2961,F$7:F2961)-SUMIF(C$7:C2961,C2961,G$7:G2961))</f>
      </c>
      <c r="I2961" s="145">
        <f>IF(AND(F2961="",G2961=""),"",SUM(基础资料!$X$5:$X$24)+SUM(F$7:F2961)-SUM(G$7:G2961))</f>
      </c>
      <c r="J2961" s="141" t="n"/>
      <c r="K2961" s="141" t="n"/>
      <c r="L2961" s="141" t="n"/>
      <c r="M2961" s="142" t="n"/>
      <c r="N2961" s="146">
        <f>IF(AND(AND(F2961="",G2961=""),B2961="",C2961="",D2961="",J2961="",K2961="",L2961=""),"",IF(AND(F2961="",G2961=""),"✗ 没填金额",IF(AND(N(F2961)&lt;&gt;0,N(G2961)&lt;&gt;0),"✗ 收入、支出只能填一边",IF(NOT(ISNUMBER(B2961)),"✗ 日期不是真日期（要像 2026/9/25 这样填）",IF(OR(B2961&lt;年初日,B2961&gt;年末日),"✗ 日期不在本会计年度",IF(C2961="","✗ 没选账户",IF(COUNTIF(基础资料!$W$5:$W$24,C2961)=0,"✗ 账户不在基础资料里",IF(O2961="","✗ 没选收支项目",IF(P2961="未知","✗ 收支项目不在基础资料里",IF(AND(P2961="应收",J2961=""),"✗ 这笔要选客户",IF(AND(P2961="应收",COUNTIF(总览汇总!$B$5:$B$304,J2961)=0),"✗ 客户不在总览汇总名单里",IF(AND(P2961="应付",K2961=""),"✗ 这笔要选供应商",IF(AND(P2961="应付",COUNTIF(基础资料!$Q$5:$Q$54,K2961)=0),"✗ 供应商不在基础资料里",IF(AND(P2961="费用",L2961=""),"✗ 费用支出要选费用项目",IF(AND(L2961&lt;&gt;"",COUNTIF(基础资料!$AI$5:$AI$54,L2961)=0),"✗ 费用项目不在基础资料里",IF(AND(IFERROR(INDEX(基础资料!$AD$5:$AD$34,MATCH(O2961,基础资料!$AC$5:$AC$34,0)),"")="收",N(G2961)&lt;&gt;0),"✗ 这类是收款，金额填到收入列",IF(AND(IFERROR(INDEX(基础资料!$AD$5:$AD$34,MATCH(O2961,基础资料!$AC$5:$AC$34,0)),"")="支",N(F2961)&lt;&gt;0),"✗ 这类是付款，金额填到支出列",IF(N(H2961)&lt;0,"⚠ 账户余额成负数了，核对一下","√"))))))))))))))))))</f>
      </c>
      <c r="O2961" s="78">
        <f>IF(D2961&lt;&gt;"",D2961,IF(AND(F2961="",G2961=""),"",IF(J2961&lt;&gt;"",IF(N(F2961)&gt;0,"客户回款","客户退款"),IF(K2961&lt;&gt;"",IF(N(G2961)&gt;0,"供应商付款","供应商退款"),IF(L2961&lt;&gt;"","费用支出","")))))</f>
      </c>
      <c r="P2961" s="78">
        <f>IF(O2961="","",IFERROR(INDEX(基础资料!$AE$5:$AE$34,MATCH(O2961,基础资料!$AC$5:$AC$34,0)),"未知"))</f>
      </c>
      <c r="Q2961" s="78">
        <f>IF(P2961="应收",COUNTIF(P$7:P2961,"应收"),"")</f>
      </c>
      <c r="R2961" s="78">
        <f>IF(P2961="应付",COUNTIF(P$7:P2961,"应付"),"")</f>
      </c>
      <c r="S2961" s="78">
        <f>N(F2961)-N(G2961)</f>
        <v>0</v>
      </c>
    </row>
    <row r="2962">
      <c r="A2962" s="109">
        <f>IF(AND(F2962="",G2962=""),"",ROW()-6)</f>
      </c>
      <c r="B2962" s="140" t="n"/>
      <c r="C2962" s="141" t="n"/>
      <c r="D2962" s="141" t="n"/>
      <c r="E2962" s="142" t="n"/>
      <c r="F2962" s="143" t="n"/>
      <c r="G2962" s="144" t="n"/>
      <c r="H2962" s="145">
        <f>IF(OR(C2962="",AND(F2962="",G2962="")),"",SUMIF(基础资料!$W$5:$W$24,C2962,基础资料!$X$5:$X$24)+SUMIF(C$7:C2962,C2962,F$7:F2962)-SUMIF(C$7:C2962,C2962,G$7:G2962))</f>
      </c>
      <c r="I2962" s="145">
        <f>IF(AND(F2962="",G2962=""),"",SUM(基础资料!$X$5:$X$24)+SUM(F$7:F2962)-SUM(G$7:G2962))</f>
      </c>
      <c r="J2962" s="141" t="n"/>
      <c r="K2962" s="141" t="n"/>
      <c r="L2962" s="141" t="n"/>
      <c r="M2962" s="142" t="n"/>
      <c r="N2962" s="146">
        <f>IF(AND(AND(F2962="",G2962=""),B2962="",C2962="",D2962="",J2962="",K2962="",L2962=""),"",IF(AND(F2962="",G2962=""),"✗ 没填金额",IF(AND(N(F2962)&lt;&gt;0,N(G2962)&lt;&gt;0),"✗ 收入、支出只能填一边",IF(NOT(ISNUMBER(B2962)),"✗ 日期不是真日期（要像 2026/9/25 这样填）",IF(OR(B2962&lt;年初日,B2962&gt;年末日),"✗ 日期不在本会计年度",IF(C2962="","✗ 没选账户",IF(COUNTIF(基础资料!$W$5:$W$24,C2962)=0,"✗ 账户不在基础资料里",IF(O2962="","✗ 没选收支项目",IF(P2962="未知","✗ 收支项目不在基础资料里",IF(AND(P2962="应收",J2962=""),"✗ 这笔要选客户",IF(AND(P2962="应收",COUNTIF(总览汇总!$B$5:$B$304,J2962)=0),"✗ 客户不在总览汇总名单里",IF(AND(P2962="应付",K2962=""),"✗ 这笔要选供应商",IF(AND(P2962="应付",COUNTIF(基础资料!$Q$5:$Q$54,K2962)=0),"✗ 供应商不在基础资料里",IF(AND(P2962="费用",L2962=""),"✗ 费用支出要选费用项目",IF(AND(L2962&lt;&gt;"",COUNTIF(基础资料!$AI$5:$AI$54,L2962)=0),"✗ 费用项目不在基础资料里",IF(AND(IFERROR(INDEX(基础资料!$AD$5:$AD$34,MATCH(O2962,基础资料!$AC$5:$AC$34,0)),"")="收",N(G2962)&lt;&gt;0),"✗ 这类是收款，金额填到收入列",IF(AND(IFERROR(INDEX(基础资料!$AD$5:$AD$34,MATCH(O2962,基础资料!$AC$5:$AC$34,0)),"")="支",N(F2962)&lt;&gt;0),"✗ 这类是付款，金额填到支出列",IF(N(H2962)&lt;0,"⚠ 账户余额成负数了，核对一下","√"))))))))))))))))))</f>
      </c>
      <c r="O2962" s="78">
        <f>IF(D2962&lt;&gt;"",D2962,IF(AND(F2962="",G2962=""),"",IF(J2962&lt;&gt;"",IF(N(F2962)&gt;0,"客户回款","客户退款"),IF(K2962&lt;&gt;"",IF(N(G2962)&gt;0,"供应商付款","供应商退款"),IF(L2962&lt;&gt;"","费用支出","")))))</f>
      </c>
      <c r="P2962" s="78">
        <f>IF(O2962="","",IFERROR(INDEX(基础资料!$AE$5:$AE$34,MATCH(O2962,基础资料!$AC$5:$AC$34,0)),"未知"))</f>
      </c>
      <c r="Q2962" s="78">
        <f>IF(P2962="应收",COUNTIF(P$7:P2962,"应收"),"")</f>
      </c>
      <c r="R2962" s="78">
        <f>IF(P2962="应付",COUNTIF(P$7:P2962,"应付"),"")</f>
      </c>
      <c r="S2962" s="78">
        <f>N(F2962)-N(G2962)</f>
        <v>0</v>
      </c>
    </row>
    <row r="2963">
      <c r="A2963" s="109">
        <f>IF(AND(F2963="",G2963=""),"",ROW()-6)</f>
      </c>
      <c r="B2963" s="140" t="n"/>
      <c r="C2963" s="141" t="n"/>
      <c r="D2963" s="141" t="n"/>
      <c r="E2963" s="142" t="n"/>
      <c r="F2963" s="143" t="n"/>
      <c r="G2963" s="144" t="n"/>
      <c r="H2963" s="145">
        <f>IF(OR(C2963="",AND(F2963="",G2963="")),"",SUMIF(基础资料!$W$5:$W$24,C2963,基础资料!$X$5:$X$24)+SUMIF(C$7:C2963,C2963,F$7:F2963)-SUMIF(C$7:C2963,C2963,G$7:G2963))</f>
      </c>
      <c r="I2963" s="145">
        <f>IF(AND(F2963="",G2963=""),"",SUM(基础资料!$X$5:$X$24)+SUM(F$7:F2963)-SUM(G$7:G2963))</f>
      </c>
      <c r="J2963" s="141" t="n"/>
      <c r="K2963" s="141" t="n"/>
      <c r="L2963" s="141" t="n"/>
      <c r="M2963" s="142" t="n"/>
      <c r="N2963" s="146">
        <f>IF(AND(AND(F2963="",G2963=""),B2963="",C2963="",D2963="",J2963="",K2963="",L2963=""),"",IF(AND(F2963="",G2963=""),"✗ 没填金额",IF(AND(N(F2963)&lt;&gt;0,N(G2963)&lt;&gt;0),"✗ 收入、支出只能填一边",IF(NOT(ISNUMBER(B2963)),"✗ 日期不是真日期（要像 2026/9/25 这样填）",IF(OR(B2963&lt;年初日,B2963&gt;年末日),"✗ 日期不在本会计年度",IF(C2963="","✗ 没选账户",IF(COUNTIF(基础资料!$W$5:$W$24,C2963)=0,"✗ 账户不在基础资料里",IF(O2963="","✗ 没选收支项目",IF(P2963="未知","✗ 收支项目不在基础资料里",IF(AND(P2963="应收",J2963=""),"✗ 这笔要选客户",IF(AND(P2963="应收",COUNTIF(总览汇总!$B$5:$B$304,J2963)=0),"✗ 客户不在总览汇总名单里",IF(AND(P2963="应付",K2963=""),"✗ 这笔要选供应商",IF(AND(P2963="应付",COUNTIF(基础资料!$Q$5:$Q$54,K2963)=0),"✗ 供应商不在基础资料里",IF(AND(P2963="费用",L2963=""),"✗ 费用支出要选费用项目",IF(AND(L2963&lt;&gt;"",COUNTIF(基础资料!$AI$5:$AI$54,L2963)=0),"✗ 费用项目不在基础资料里",IF(AND(IFERROR(INDEX(基础资料!$AD$5:$AD$34,MATCH(O2963,基础资料!$AC$5:$AC$34,0)),"")="收",N(G2963)&lt;&gt;0),"✗ 这类是收款，金额填到收入列",IF(AND(IFERROR(INDEX(基础资料!$AD$5:$AD$34,MATCH(O2963,基础资料!$AC$5:$AC$34,0)),"")="支",N(F2963)&lt;&gt;0),"✗ 这类是付款，金额填到支出列",IF(N(H2963)&lt;0,"⚠ 账户余额成负数了，核对一下","√"))))))))))))))))))</f>
      </c>
      <c r="O2963" s="78">
        <f>IF(D2963&lt;&gt;"",D2963,IF(AND(F2963="",G2963=""),"",IF(J2963&lt;&gt;"",IF(N(F2963)&gt;0,"客户回款","客户退款"),IF(K2963&lt;&gt;"",IF(N(G2963)&gt;0,"供应商付款","供应商退款"),IF(L2963&lt;&gt;"","费用支出","")))))</f>
      </c>
      <c r="P2963" s="78">
        <f>IF(O2963="","",IFERROR(INDEX(基础资料!$AE$5:$AE$34,MATCH(O2963,基础资料!$AC$5:$AC$34,0)),"未知"))</f>
      </c>
      <c r="Q2963" s="78">
        <f>IF(P2963="应收",COUNTIF(P$7:P2963,"应收"),"")</f>
      </c>
      <c r="R2963" s="78">
        <f>IF(P2963="应付",COUNTIF(P$7:P2963,"应付"),"")</f>
      </c>
      <c r="S2963" s="78">
        <f>N(F2963)-N(G2963)</f>
        <v>0</v>
      </c>
    </row>
    <row r="2964">
      <c r="A2964" s="109">
        <f>IF(AND(F2964="",G2964=""),"",ROW()-6)</f>
      </c>
      <c r="B2964" s="140" t="n"/>
      <c r="C2964" s="141" t="n"/>
      <c r="D2964" s="141" t="n"/>
      <c r="E2964" s="142" t="n"/>
      <c r="F2964" s="143" t="n"/>
      <c r="G2964" s="144" t="n"/>
      <c r="H2964" s="145">
        <f>IF(OR(C2964="",AND(F2964="",G2964="")),"",SUMIF(基础资料!$W$5:$W$24,C2964,基础资料!$X$5:$X$24)+SUMIF(C$7:C2964,C2964,F$7:F2964)-SUMIF(C$7:C2964,C2964,G$7:G2964))</f>
      </c>
      <c r="I2964" s="145">
        <f>IF(AND(F2964="",G2964=""),"",SUM(基础资料!$X$5:$X$24)+SUM(F$7:F2964)-SUM(G$7:G2964))</f>
      </c>
      <c r="J2964" s="141" t="n"/>
      <c r="K2964" s="141" t="n"/>
      <c r="L2964" s="141" t="n"/>
      <c r="M2964" s="142" t="n"/>
      <c r="N2964" s="146">
        <f>IF(AND(AND(F2964="",G2964=""),B2964="",C2964="",D2964="",J2964="",K2964="",L2964=""),"",IF(AND(F2964="",G2964=""),"✗ 没填金额",IF(AND(N(F2964)&lt;&gt;0,N(G2964)&lt;&gt;0),"✗ 收入、支出只能填一边",IF(NOT(ISNUMBER(B2964)),"✗ 日期不是真日期（要像 2026/9/25 这样填）",IF(OR(B2964&lt;年初日,B2964&gt;年末日),"✗ 日期不在本会计年度",IF(C2964="","✗ 没选账户",IF(COUNTIF(基础资料!$W$5:$W$24,C2964)=0,"✗ 账户不在基础资料里",IF(O2964="","✗ 没选收支项目",IF(P2964="未知","✗ 收支项目不在基础资料里",IF(AND(P2964="应收",J2964=""),"✗ 这笔要选客户",IF(AND(P2964="应收",COUNTIF(总览汇总!$B$5:$B$304,J2964)=0),"✗ 客户不在总览汇总名单里",IF(AND(P2964="应付",K2964=""),"✗ 这笔要选供应商",IF(AND(P2964="应付",COUNTIF(基础资料!$Q$5:$Q$54,K2964)=0),"✗ 供应商不在基础资料里",IF(AND(P2964="费用",L2964=""),"✗ 费用支出要选费用项目",IF(AND(L2964&lt;&gt;"",COUNTIF(基础资料!$AI$5:$AI$54,L2964)=0),"✗ 费用项目不在基础资料里",IF(AND(IFERROR(INDEX(基础资料!$AD$5:$AD$34,MATCH(O2964,基础资料!$AC$5:$AC$34,0)),"")="收",N(G2964)&lt;&gt;0),"✗ 这类是收款，金额填到收入列",IF(AND(IFERROR(INDEX(基础资料!$AD$5:$AD$34,MATCH(O2964,基础资料!$AC$5:$AC$34,0)),"")="支",N(F2964)&lt;&gt;0),"✗ 这类是付款，金额填到支出列",IF(N(H2964)&lt;0,"⚠ 账户余额成负数了，核对一下","√"))))))))))))))))))</f>
      </c>
      <c r="O2964" s="78">
        <f>IF(D2964&lt;&gt;"",D2964,IF(AND(F2964="",G2964=""),"",IF(J2964&lt;&gt;"",IF(N(F2964)&gt;0,"客户回款","客户退款"),IF(K2964&lt;&gt;"",IF(N(G2964)&gt;0,"供应商付款","供应商退款"),IF(L2964&lt;&gt;"","费用支出","")))))</f>
      </c>
      <c r="P2964" s="78">
        <f>IF(O2964="","",IFERROR(INDEX(基础资料!$AE$5:$AE$34,MATCH(O2964,基础资料!$AC$5:$AC$34,0)),"未知"))</f>
      </c>
      <c r="Q2964" s="78">
        <f>IF(P2964="应收",COUNTIF(P$7:P2964,"应收"),"")</f>
      </c>
      <c r="R2964" s="78">
        <f>IF(P2964="应付",COUNTIF(P$7:P2964,"应付"),"")</f>
      </c>
      <c r="S2964" s="78">
        <f>N(F2964)-N(G2964)</f>
        <v>0</v>
      </c>
    </row>
    <row r="2965">
      <c r="A2965" s="109">
        <f>IF(AND(F2965="",G2965=""),"",ROW()-6)</f>
      </c>
      <c r="B2965" s="140" t="n"/>
      <c r="C2965" s="141" t="n"/>
      <c r="D2965" s="141" t="n"/>
      <c r="E2965" s="142" t="n"/>
      <c r="F2965" s="143" t="n"/>
      <c r="G2965" s="144" t="n"/>
      <c r="H2965" s="145">
        <f>IF(OR(C2965="",AND(F2965="",G2965="")),"",SUMIF(基础资料!$W$5:$W$24,C2965,基础资料!$X$5:$X$24)+SUMIF(C$7:C2965,C2965,F$7:F2965)-SUMIF(C$7:C2965,C2965,G$7:G2965))</f>
      </c>
      <c r="I2965" s="145">
        <f>IF(AND(F2965="",G2965=""),"",SUM(基础资料!$X$5:$X$24)+SUM(F$7:F2965)-SUM(G$7:G2965))</f>
      </c>
      <c r="J2965" s="141" t="n"/>
      <c r="K2965" s="141" t="n"/>
      <c r="L2965" s="141" t="n"/>
      <c r="M2965" s="142" t="n"/>
      <c r="N2965" s="146">
        <f>IF(AND(AND(F2965="",G2965=""),B2965="",C2965="",D2965="",J2965="",K2965="",L2965=""),"",IF(AND(F2965="",G2965=""),"✗ 没填金额",IF(AND(N(F2965)&lt;&gt;0,N(G2965)&lt;&gt;0),"✗ 收入、支出只能填一边",IF(NOT(ISNUMBER(B2965)),"✗ 日期不是真日期（要像 2026/9/25 这样填）",IF(OR(B2965&lt;年初日,B2965&gt;年末日),"✗ 日期不在本会计年度",IF(C2965="","✗ 没选账户",IF(COUNTIF(基础资料!$W$5:$W$24,C2965)=0,"✗ 账户不在基础资料里",IF(O2965="","✗ 没选收支项目",IF(P2965="未知","✗ 收支项目不在基础资料里",IF(AND(P2965="应收",J2965=""),"✗ 这笔要选客户",IF(AND(P2965="应收",COUNTIF(总览汇总!$B$5:$B$304,J2965)=0),"✗ 客户不在总览汇总名单里",IF(AND(P2965="应付",K2965=""),"✗ 这笔要选供应商",IF(AND(P2965="应付",COUNTIF(基础资料!$Q$5:$Q$54,K2965)=0),"✗ 供应商不在基础资料里",IF(AND(P2965="费用",L2965=""),"✗ 费用支出要选费用项目",IF(AND(L2965&lt;&gt;"",COUNTIF(基础资料!$AI$5:$AI$54,L2965)=0),"✗ 费用项目不在基础资料里",IF(AND(IFERROR(INDEX(基础资料!$AD$5:$AD$34,MATCH(O2965,基础资料!$AC$5:$AC$34,0)),"")="收",N(G2965)&lt;&gt;0),"✗ 这类是收款，金额填到收入列",IF(AND(IFERROR(INDEX(基础资料!$AD$5:$AD$34,MATCH(O2965,基础资料!$AC$5:$AC$34,0)),"")="支",N(F2965)&lt;&gt;0),"✗ 这类是付款，金额填到支出列",IF(N(H2965)&lt;0,"⚠ 账户余额成负数了，核对一下","√"))))))))))))))))))</f>
      </c>
      <c r="O2965" s="78">
        <f>IF(D2965&lt;&gt;"",D2965,IF(AND(F2965="",G2965=""),"",IF(J2965&lt;&gt;"",IF(N(F2965)&gt;0,"客户回款","客户退款"),IF(K2965&lt;&gt;"",IF(N(G2965)&gt;0,"供应商付款","供应商退款"),IF(L2965&lt;&gt;"","费用支出","")))))</f>
      </c>
      <c r="P2965" s="78">
        <f>IF(O2965="","",IFERROR(INDEX(基础资料!$AE$5:$AE$34,MATCH(O2965,基础资料!$AC$5:$AC$34,0)),"未知"))</f>
      </c>
      <c r="Q2965" s="78">
        <f>IF(P2965="应收",COUNTIF(P$7:P2965,"应收"),"")</f>
      </c>
      <c r="R2965" s="78">
        <f>IF(P2965="应付",COUNTIF(P$7:P2965,"应付"),"")</f>
      </c>
      <c r="S2965" s="78">
        <f>N(F2965)-N(G2965)</f>
        <v>0</v>
      </c>
    </row>
    <row r="2966">
      <c r="A2966" s="109">
        <f>IF(AND(F2966="",G2966=""),"",ROW()-6)</f>
      </c>
      <c r="B2966" s="140" t="n"/>
      <c r="C2966" s="141" t="n"/>
      <c r="D2966" s="141" t="n"/>
      <c r="E2966" s="142" t="n"/>
      <c r="F2966" s="143" t="n"/>
      <c r="G2966" s="144" t="n"/>
      <c r="H2966" s="145">
        <f>IF(OR(C2966="",AND(F2966="",G2966="")),"",SUMIF(基础资料!$W$5:$W$24,C2966,基础资料!$X$5:$X$24)+SUMIF(C$7:C2966,C2966,F$7:F2966)-SUMIF(C$7:C2966,C2966,G$7:G2966))</f>
      </c>
      <c r="I2966" s="145">
        <f>IF(AND(F2966="",G2966=""),"",SUM(基础资料!$X$5:$X$24)+SUM(F$7:F2966)-SUM(G$7:G2966))</f>
      </c>
      <c r="J2966" s="141" t="n"/>
      <c r="K2966" s="141" t="n"/>
      <c r="L2966" s="141" t="n"/>
      <c r="M2966" s="142" t="n"/>
      <c r="N2966" s="146">
        <f>IF(AND(AND(F2966="",G2966=""),B2966="",C2966="",D2966="",J2966="",K2966="",L2966=""),"",IF(AND(F2966="",G2966=""),"✗ 没填金额",IF(AND(N(F2966)&lt;&gt;0,N(G2966)&lt;&gt;0),"✗ 收入、支出只能填一边",IF(NOT(ISNUMBER(B2966)),"✗ 日期不是真日期（要像 2026/9/25 这样填）",IF(OR(B2966&lt;年初日,B2966&gt;年末日),"✗ 日期不在本会计年度",IF(C2966="","✗ 没选账户",IF(COUNTIF(基础资料!$W$5:$W$24,C2966)=0,"✗ 账户不在基础资料里",IF(O2966="","✗ 没选收支项目",IF(P2966="未知","✗ 收支项目不在基础资料里",IF(AND(P2966="应收",J2966=""),"✗ 这笔要选客户",IF(AND(P2966="应收",COUNTIF(总览汇总!$B$5:$B$304,J2966)=0),"✗ 客户不在总览汇总名单里",IF(AND(P2966="应付",K2966=""),"✗ 这笔要选供应商",IF(AND(P2966="应付",COUNTIF(基础资料!$Q$5:$Q$54,K2966)=0),"✗ 供应商不在基础资料里",IF(AND(P2966="费用",L2966=""),"✗ 费用支出要选费用项目",IF(AND(L2966&lt;&gt;"",COUNTIF(基础资料!$AI$5:$AI$54,L2966)=0),"✗ 费用项目不在基础资料里",IF(AND(IFERROR(INDEX(基础资料!$AD$5:$AD$34,MATCH(O2966,基础资料!$AC$5:$AC$34,0)),"")="收",N(G2966)&lt;&gt;0),"✗ 这类是收款，金额填到收入列",IF(AND(IFERROR(INDEX(基础资料!$AD$5:$AD$34,MATCH(O2966,基础资料!$AC$5:$AC$34,0)),"")="支",N(F2966)&lt;&gt;0),"✗ 这类是付款，金额填到支出列",IF(N(H2966)&lt;0,"⚠ 账户余额成负数了，核对一下","√"))))))))))))))))))</f>
      </c>
      <c r="O2966" s="78">
        <f>IF(D2966&lt;&gt;"",D2966,IF(AND(F2966="",G2966=""),"",IF(J2966&lt;&gt;"",IF(N(F2966)&gt;0,"客户回款","客户退款"),IF(K2966&lt;&gt;"",IF(N(G2966)&gt;0,"供应商付款","供应商退款"),IF(L2966&lt;&gt;"","费用支出","")))))</f>
      </c>
      <c r="P2966" s="78">
        <f>IF(O2966="","",IFERROR(INDEX(基础资料!$AE$5:$AE$34,MATCH(O2966,基础资料!$AC$5:$AC$34,0)),"未知"))</f>
      </c>
      <c r="Q2966" s="78">
        <f>IF(P2966="应收",COUNTIF(P$7:P2966,"应收"),"")</f>
      </c>
      <c r="R2966" s="78">
        <f>IF(P2966="应付",COUNTIF(P$7:P2966,"应付"),"")</f>
      </c>
      <c r="S2966" s="78">
        <f>N(F2966)-N(G2966)</f>
        <v>0</v>
      </c>
    </row>
    <row r="2967">
      <c r="A2967" s="109">
        <f>IF(AND(F2967="",G2967=""),"",ROW()-6)</f>
      </c>
      <c r="B2967" s="140" t="n"/>
      <c r="C2967" s="141" t="n"/>
      <c r="D2967" s="141" t="n"/>
      <c r="E2967" s="142" t="n"/>
      <c r="F2967" s="143" t="n"/>
      <c r="G2967" s="144" t="n"/>
      <c r="H2967" s="145">
        <f>IF(OR(C2967="",AND(F2967="",G2967="")),"",SUMIF(基础资料!$W$5:$W$24,C2967,基础资料!$X$5:$X$24)+SUMIF(C$7:C2967,C2967,F$7:F2967)-SUMIF(C$7:C2967,C2967,G$7:G2967))</f>
      </c>
      <c r="I2967" s="145">
        <f>IF(AND(F2967="",G2967=""),"",SUM(基础资料!$X$5:$X$24)+SUM(F$7:F2967)-SUM(G$7:G2967))</f>
      </c>
      <c r="J2967" s="141" t="n"/>
      <c r="K2967" s="141" t="n"/>
      <c r="L2967" s="141" t="n"/>
      <c r="M2967" s="142" t="n"/>
      <c r="N2967" s="146">
        <f>IF(AND(AND(F2967="",G2967=""),B2967="",C2967="",D2967="",J2967="",K2967="",L2967=""),"",IF(AND(F2967="",G2967=""),"✗ 没填金额",IF(AND(N(F2967)&lt;&gt;0,N(G2967)&lt;&gt;0),"✗ 收入、支出只能填一边",IF(NOT(ISNUMBER(B2967)),"✗ 日期不是真日期（要像 2026/9/25 这样填）",IF(OR(B2967&lt;年初日,B2967&gt;年末日),"✗ 日期不在本会计年度",IF(C2967="","✗ 没选账户",IF(COUNTIF(基础资料!$W$5:$W$24,C2967)=0,"✗ 账户不在基础资料里",IF(O2967="","✗ 没选收支项目",IF(P2967="未知","✗ 收支项目不在基础资料里",IF(AND(P2967="应收",J2967=""),"✗ 这笔要选客户",IF(AND(P2967="应收",COUNTIF(总览汇总!$B$5:$B$304,J2967)=0),"✗ 客户不在总览汇总名单里",IF(AND(P2967="应付",K2967=""),"✗ 这笔要选供应商",IF(AND(P2967="应付",COUNTIF(基础资料!$Q$5:$Q$54,K2967)=0),"✗ 供应商不在基础资料里",IF(AND(P2967="费用",L2967=""),"✗ 费用支出要选费用项目",IF(AND(L2967&lt;&gt;"",COUNTIF(基础资料!$AI$5:$AI$54,L2967)=0),"✗ 费用项目不在基础资料里",IF(AND(IFERROR(INDEX(基础资料!$AD$5:$AD$34,MATCH(O2967,基础资料!$AC$5:$AC$34,0)),"")="收",N(G2967)&lt;&gt;0),"✗ 这类是收款，金额填到收入列",IF(AND(IFERROR(INDEX(基础资料!$AD$5:$AD$34,MATCH(O2967,基础资料!$AC$5:$AC$34,0)),"")="支",N(F2967)&lt;&gt;0),"✗ 这类是付款，金额填到支出列",IF(N(H2967)&lt;0,"⚠ 账户余额成负数了，核对一下","√"))))))))))))))))))</f>
      </c>
      <c r="O2967" s="78">
        <f>IF(D2967&lt;&gt;"",D2967,IF(AND(F2967="",G2967=""),"",IF(J2967&lt;&gt;"",IF(N(F2967)&gt;0,"客户回款","客户退款"),IF(K2967&lt;&gt;"",IF(N(G2967)&gt;0,"供应商付款","供应商退款"),IF(L2967&lt;&gt;"","费用支出","")))))</f>
      </c>
      <c r="P2967" s="78">
        <f>IF(O2967="","",IFERROR(INDEX(基础资料!$AE$5:$AE$34,MATCH(O2967,基础资料!$AC$5:$AC$34,0)),"未知"))</f>
      </c>
      <c r="Q2967" s="78">
        <f>IF(P2967="应收",COUNTIF(P$7:P2967,"应收"),"")</f>
      </c>
      <c r="R2967" s="78">
        <f>IF(P2967="应付",COUNTIF(P$7:P2967,"应付"),"")</f>
      </c>
      <c r="S2967" s="78">
        <f>N(F2967)-N(G2967)</f>
        <v>0</v>
      </c>
    </row>
    <row r="2968">
      <c r="A2968" s="109">
        <f>IF(AND(F2968="",G2968=""),"",ROW()-6)</f>
      </c>
      <c r="B2968" s="140" t="n"/>
      <c r="C2968" s="141" t="n"/>
      <c r="D2968" s="141" t="n"/>
      <c r="E2968" s="142" t="n"/>
      <c r="F2968" s="143" t="n"/>
      <c r="G2968" s="144" t="n"/>
      <c r="H2968" s="145">
        <f>IF(OR(C2968="",AND(F2968="",G2968="")),"",SUMIF(基础资料!$W$5:$W$24,C2968,基础资料!$X$5:$X$24)+SUMIF(C$7:C2968,C2968,F$7:F2968)-SUMIF(C$7:C2968,C2968,G$7:G2968))</f>
      </c>
      <c r="I2968" s="145">
        <f>IF(AND(F2968="",G2968=""),"",SUM(基础资料!$X$5:$X$24)+SUM(F$7:F2968)-SUM(G$7:G2968))</f>
      </c>
      <c r="J2968" s="141" t="n"/>
      <c r="K2968" s="141" t="n"/>
      <c r="L2968" s="141" t="n"/>
      <c r="M2968" s="142" t="n"/>
      <c r="N2968" s="146">
        <f>IF(AND(AND(F2968="",G2968=""),B2968="",C2968="",D2968="",J2968="",K2968="",L2968=""),"",IF(AND(F2968="",G2968=""),"✗ 没填金额",IF(AND(N(F2968)&lt;&gt;0,N(G2968)&lt;&gt;0),"✗ 收入、支出只能填一边",IF(NOT(ISNUMBER(B2968)),"✗ 日期不是真日期（要像 2026/9/25 这样填）",IF(OR(B2968&lt;年初日,B2968&gt;年末日),"✗ 日期不在本会计年度",IF(C2968="","✗ 没选账户",IF(COUNTIF(基础资料!$W$5:$W$24,C2968)=0,"✗ 账户不在基础资料里",IF(O2968="","✗ 没选收支项目",IF(P2968="未知","✗ 收支项目不在基础资料里",IF(AND(P2968="应收",J2968=""),"✗ 这笔要选客户",IF(AND(P2968="应收",COUNTIF(总览汇总!$B$5:$B$304,J2968)=0),"✗ 客户不在总览汇总名单里",IF(AND(P2968="应付",K2968=""),"✗ 这笔要选供应商",IF(AND(P2968="应付",COUNTIF(基础资料!$Q$5:$Q$54,K2968)=0),"✗ 供应商不在基础资料里",IF(AND(P2968="费用",L2968=""),"✗ 费用支出要选费用项目",IF(AND(L2968&lt;&gt;"",COUNTIF(基础资料!$AI$5:$AI$54,L2968)=0),"✗ 费用项目不在基础资料里",IF(AND(IFERROR(INDEX(基础资料!$AD$5:$AD$34,MATCH(O2968,基础资料!$AC$5:$AC$34,0)),"")="收",N(G2968)&lt;&gt;0),"✗ 这类是收款，金额填到收入列",IF(AND(IFERROR(INDEX(基础资料!$AD$5:$AD$34,MATCH(O2968,基础资料!$AC$5:$AC$34,0)),"")="支",N(F2968)&lt;&gt;0),"✗ 这类是付款，金额填到支出列",IF(N(H2968)&lt;0,"⚠ 账户余额成负数了，核对一下","√"))))))))))))))))))</f>
      </c>
      <c r="O2968" s="78">
        <f>IF(D2968&lt;&gt;"",D2968,IF(AND(F2968="",G2968=""),"",IF(J2968&lt;&gt;"",IF(N(F2968)&gt;0,"客户回款","客户退款"),IF(K2968&lt;&gt;"",IF(N(G2968)&gt;0,"供应商付款","供应商退款"),IF(L2968&lt;&gt;"","费用支出","")))))</f>
      </c>
      <c r="P2968" s="78">
        <f>IF(O2968="","",IFERROR(INDEX(基础资料!$AE$5:$AE$34,MATCH(O2968,基础资料!$AC$5:$AC$34,0)),"未知"))</f>
      </c>
      <c r="Q2968" s="78">
        <f>IF(P2968="应收",COUNTIF(P$7:P2968,"应收"),"")</f>
      </c>
      <c r="R2968" s="78">
        <f>IF(P2968="应付",COUNTIF(P$7:P2968,"应付"),"")</f>
      </c>
      <c r="S2968" s="78">
        <f>N(F2968)-N(G2968)</f>
        <v>0</v>
      </c>
    </row>
    <row r="2969">
      <c r="A2969" s="109">
        <f>IF(AND(F2969="",G2969=""),"",ROW()-6)</f>
      </c>
      <c r="B2969" s="140" t="n"/>
      <c r="C2969" s="141" t="n"/>
      <c r="D2969" s="141" t="n"/>
      <c r="E2969" s="142" t="n"/>
      <c r="F2969" s="143" t="n"/>
      <c r="G2969" s="144" t="n"/>
      <c r="H2969" s="145">
        <f>IF(OR(C2969="",AND(F2969="",G2969="")),"",SUMIF(基础资料!$W$5:$W$24,C2969,基础资料!$X$5:$X$24)+SUMIF(C$7:C2969,C2969,F$7:F2969)-SUMIF(C$7:C2969,C2969,G$7:G2969))</f>
      </c>
      <c r="I2969" s="145">
        <f>IF(AND(F2969="",G2969=""),"",SUM(基础资料!$X$5:$X$24)+SUM(F$7:F2969)-SUM(G$7:G2969))</f>
      </c>
      <c r="J2969" s="141" t="n"/>
      <c r="K2969" s="141" t="n"/>
      <c r="L2969" s="141" t="n"/>
      <c r="M2969" s="142" t="n"/>
      <c r="N2969" s="146">
        <f>IF(AND(AND(F2969="",G2969=""),B2969="",C2969="",D2969="",J2969="",K2969="",L2969=""),"",IF(AND(F2969="",G2969=""),"✗ 没填金额",IF(AND(N(F2969)&lt;&gt;0,N(G2969)&lt;&gt;0),"✗ 收入、支出只能填一边",IF(NOT(ISNUMBER(B2969)),"✗ 日期不是真日期（要像 2026/9/25 这样填）",IF(OR(B2969&lt;年初日,B2969&gt;年末日),"✗ 日期不在本会计年度",IF(C2969="","✗ 没选账户",IF(COUNTIF(基础资料!$W$5:$W$24,C2969)=0,"✗ 账户不在基础资料里",IF(O2969="","✗ 没选收支项目",IF(P2969="未知","✗ 收支项目不在基础资料里",IF(AND(P2969="应收",J2969=""),"✗ 这笔要选客户",IF(AND(P2969="应收",COUNTIF(总览汇总!$B$5:$B$304,J2969)=0),"✗ 客户不在总览汇总名单里",IF(AND(P2969="应付",K2969=""),"✗ 这笔要选供应商",IF(AND(P2969="应付",COUNTIF(基础资料!$Q$5:$Q$54,K2969)=0),"✗ 供应商不在基础资料里",IF(AND(P2969="费用",L2969=""),"✗ 费用支出要选费用项目",IF(AND(L2969&lt;&gt;"",COUNTIF(基础资料!$AI$5:$AI$54,L2969)=0),"✗ 费用项目不在基础资料里",IF(AND(IFERROR(INDEX(基础资料!$AD$5:$AD$34,MATCH(O2969,基础资料!$AC$5:$AC$34,0)),"")="收",N(G2969)&lt;&gt;0),"✗ 这类是收款，金额填到收入列",IF(AND(IFERROR(INDEX(基础资料!$AD$5:$AD$34,MATCH(O2969,基础资料!$AC$5:$AC$34,0)),"")="支",N(F2969)&lt;&gt;0),"✗ 这类是付款，金额填到支出列",IF(N(H2969)&lt;0,"⚠ 账户余额成负数了，核对一下","√"))))))))))))))))))</f>
      </c>
      <c r="O2969" s="78">
        <f>IF(D2969&lt;&gt;"",D2969,IF(AND(F2969="",G2969=""),"",IF(J2969&lt;&gt;"",IF(N(F2969)&gt;0,"客户回款","客户退款"),IF(K2969&lt;&gt;"",IF(N(G2969)&gt;0,"供应商付款","供应商退款"),IF(L2969&lt;&gt;"","费用支出","")))))</f>
      </c>
      <c r="P2969" s="78">
        <f>IF(O2969="","",IFERROR(INDEX(基础资料!$AE$5:$AE$34,MATCH(O2969,基础资料!$AC$5:$AC$34,0)),"未知"))</f>
      </c>
      <c r="Q2969" s="78">
        <f>IF(P2969="应收",COUNTIF(P$7:P2969,"应收"),"")</f>
      </c>
      <c r="R2969" s="78">
        <f>IF(P2969="应付",COUNTIF(P$7:P2969,"应付"),"")</f>
      </c>
      <c r="S2969" s="78">
        <f>N(F2969)-N(G2969)</f>
        <v>0</v>
      </c>
    </row>
    <row r="2970">
      <c r="A2970" s="109">
        <f>IF(AND(F2970="",G2970=""),"",ROW()-6)</f>
      </c>
      <c r="B2970" s="140" t="n"/>
      <c r="C2970" s="141" t="n"/>
      <c r="D2970" s="141" t="n"/>
      <c r="E2970" s="142" t="n"/>
      <c r="F2970" s="143" t="n"/>
      <c r="G2970" s="144" t="n"/>
      <c r="H2970" s="145">
        <f>IF(OR(C2970="",AND(F2970="",G2970="")),"",SUMIF(基础资料!$W$5:$W$24,C2970,基础资料!$X$5:$X$24)+SUMIF(C$7:C2970,C2970,F$7:F2970)-SUMIF(C$7:C2970,C2970,G$7:G2970))</f>
      </c>
      <c r="I2970" s="145">
        <f>IF(AND(F2970="",G2970=""),"",SUM(基础资料!$X$5:$X$24)+SUM(F$7:F2970)-SUM(G$7:G2970))</f>
      </c>
      <c r="J2970" s="141" t="n"/>
      <c r="K2970" s="141" t="n"/>
      <c r="L2970" s="141" t="n"/>
      <c r="M2970" s="142" t="n"/>
      <c r="N2970" s="146">
        <f>IF(AND(AND(F2970="",G2970=""),B2970="",C2970="",D2970="",J2970="",K2970="",L2970=""),"",IF(AND(F2970="",G2970=""),"✗ 没填金额",IF(AND(N(F2970)&lt;&gt;0,N(G2970)&lt;&gt;0),"✗ 收入、支出只能填一边",IF(NOT(ISNUMBER(B2970)),"✗ 日期不是真日期（要像 2026/9/25 这样填）",IF(OR(B2970&lt;年初日,B2970&gt;年末日),"✗ 日期不在本会计年度",IF(C2970="","✗ 没选账户",IF(COUNTIF(基础资料!$W$5:$W$24,C2970)=0,"✗ 账户不在基础资料里",IF(O2970="","✗ 没选收支项目",IF(P2970="未知","✗ 收支项目不在基础资料里",IF(AND(P2970="应收",J2970=""),"✗ 这笔要选客户",IF(AND(P2970="应收",COUNTIF(总览汇总!$B$5:$B$304,J2970)=0),"✗ 客户不在总览汇总名单里",IF(AND(P2970="应付",K2970=""),"✗ 这笔要选供应商",IF(AND(P2970="应付",COUNTIF(基础资料!$Q$5:$Q$54,K2970)=0),"✗ 供应商不在基础资料里",IF(AND(P2970="费用",L2970=""),"✗ 费用支出要选费用项目",IF(AND(L2970&lt;&gt;"",COUNTIF(基础资料!$AI$5:$AI$54,L2970)=0),"✗ 费用项目不在基础资料里",IF(AND(IFERROR(INDEX(基础资料!$AD$5:$AD$34,MATCH(O2970,基础资料!$AC$5:$AC$34,0)),"")="收",N(G2970)&lt;&gt;0),"✗ 这类是收款，金额填到收入列",IF(AND(IFERROR(INDEX(基础资料!$AD$5:$AD$34,MATCH(O2970,基础资料!$AC$5:$AC$34,0)),"")="支",N(F2970)&lt;&gt;0),"✗ 这类是付款，金额填到支出列",IF(N(H2970)&lt;0,"⚠ 账户余额成负数了，核对一下","√"))))))))))))))))))</f>
      </c>
      <c r="O2970" s="78">
        <f>IF(D2970&lt;&gt;"",D2970,IF(AND(F2970="",G2970=""),"",IF(J2970&lt;&gt;"",IF(N(F2970)&gt;0,"客户回款","客户退款"),IF(K2970&lt;&gt;"",IF(N(G2970)&gt;0,"供应商付款","供应商退款"),IF(L2970&lt;&gt;"","费用支出","")))))</f>
      </c>
      <c r="P2970" s="78">
        <f>IF(O2970="","",IFERROR(INDEX(基础资料!$AE$5:$AE$34,MATCH(O2970,基础资料!$AC$5:$AC$34,0)),"未知"))</f>
      </c>
      <c r="Q2970" s="78">
        <f>IF(P2970="应收",COUNTIF(P$7:P2970,"应收"),"")</f>
      </c>
      <c r="R2970" s="78">
        <f>IF(P2970="应付",COUNTIF(P$7:P2970,"应付"),"")</f>
      </c>
      <c r="S2970" s="78">
        <f>N(F2970)-N(G2970)</f>
        <v>0</v>
      </c>
    </row>
    <row r="2971">
      <c r="A2971" s="109">
        <f>IF(AND(F2971="",G2971=""),"",ROW()-6)</f>
      </c>
      <c r="B2971" s="140" t="n"/>
      <c r="C2971" s="141" t="n"/>
      <c r="D2971" s="141" t="n"/>
      <c r="E2971" s="142" t="n"/>
      <c r="F2971" s="143" t="n"/>
      <c r="G2971" s="144" t="n"/>
      <c r="H2971" s="145">
        <f>IF(OR(C2971="",AND(F2971="",G2971="")),"",SUMIF(基础资料!$W$5:$W$24,C2971,基础资料!$X$5:$X$24)+SUMIF(C$7:C2971,C2971,F$7:F2971)-SUMIF(C$7:C2971,C2971,G$7:G2971))</f>
      </c>
      <c r="I2971" s="145">
        <f>IF(AND(F2971="",G2971=""),"",SUM(基础资料!$X$5:$X$24)+SUM(F$7:F2971)-SUM(G$7:G2971))</f>
      </c>
      <c r="J2971" s="141" t="n"/>
      <c r="K2971" s="141" t="n"/>
      <c r="L2971" s="141" t="n"/>
      <c r="M2971" s="142" t="n"/>
      <c r="N2971" s="146">
        <f>IF(AND(AND(F2971="",G2971=""),B2971="",C2971="",D2971="",J2971="",K2971="",L2971=""),"",IF(AND(F2971="",G2971=""),"✗ 没填金额",IF(AND(N(F2971)&lt;&gt;0,N(G2971)&lt;&gt;0),"✗ 收入、支出只能填一边",IF(NOT(ISNUMBER(B2971)),"✗ 日期不是真日期（要像 2026/9/25 这样填）",IF(OR(B2971&lt;年初日,B2971&gt;年末日),"✗ 日期不在本会计年度",IF(C2971="","✗ 没选账户",IF(COUNTIF(基础资料!$W$5:$W$24,C2971)=0,"✗ 账户不在基础资料里",IF(O2971="","✗ 没选收支项目",IF(P2971="未知","✗ 收支项目不在基础资料里",IF(AND(P2971="应收",J2971=""),"✗ 这笔要选客户",IF(AND(P2971="应收",COUNTIF(总览汇总!$B$5:$B$304,J2971)=0),"✗ 客户不在总览汇总名单里",IF(AND(P2971="应付",K2971=""),"✗ 这笔要选供应商",IF(AND(P2971="应付",COUNTIF(基础资料!$Q$5:$Q$54,K2971)=0),"✗ 供应商不在基础资料里",IF(AND(P2971="费用",L2971=""),"✗ 费用支出要选费用项目",IF(AND(L2971&lt;&gt;"",COUNTIF(基础资料!$AI$5:$AI$54,L2971)=0),"✗ 费用项目不在基础资料里",IF(AND(IFERROR(INDEX(基础资料!$AD$5:$AD$34,MATCH(O2971,基础资料!$AC$5:$AC$34,0)),"")="收",N(G2971)&lt;&gt;0),"✗ 这类是收款，金额填到收入列",IF(AND(IFERROR(INDEX(基础资料!$AD$5:$AD$34,MATCH(O2971,基础资料!$AC$5:$AC$34,0)),"")="支",N(F2971)&lt;&gt;0),"✗ 这类是付款，金额填到支出列",IF(N(H2971)&lt;0,"⚠ 账户余额成负数了，核对一下","√"))))))))))))))))))</f>
      </c>
      <c r="O2971" s="78">
        <f>IF(D2971&lt;&gt;"",D2971,IF(AND(F2971="",G2971=""),"",IF(J2971&lt;&gt;"",IF(N(F2971)&gt;0,"客户回款","客户退款"),IF(K2971&lt;&gt;"",IF(N(G2971)&gt;0,"供应商付款","供应商退款"),IF(L2971&lt;&gt;"","费用支出","")))))</f>
      </c>
      <c r="P2971" s="78">
        <f>IF(O2971="","",IFERROR(INDEX(基础资料!$AE$5:$AE$34,MATCH(O2971,基础资料!$AC$5:$AC$34,0)),"未知"))</f>
      </c>
      <c r="Q2971" s="78">
        <f>IF(P2971="应收",COUNTIF(P$7:P2971,"应收"),"")</f>
      </c>
      <c r="R2971" s="78">
        <f>IF(P2971="应付",COUNTIF(P$7:P2971,"应付"),"")</f>
      </c>
      <c r="S2971" s="78">
        <f>N(F2971)-N(G2971)</f>
        <v>0</v>
      </c>
    </row>
    <row r="2972">
      <c r="A2972" s="109">
        <f>IF(AND(F2972="",G2972=""),"",ROW()-6)</f>
      </c>
      <c r="B2972" s="140" t="n"/>
      <c r="C2972" s="141" t="n"/>
      <c r="D2972" s="141" t="n"/>
      <c r="E2972" s="142" t="n"/>
      <c r="F2972" s="143" t="n"/>
      <c r="G2972" s="144" t="n"/>
      <c r="H2972" s="145">
        <f>IF(OR(C2972="",AND(F2972="",G2972="")),"",SUMIF(基础资料!$W$5:$W$24,C2972,基础资料!$X$5:$X$24)+SUMIF(C$7:C2972,C2972,F$7:F2972)-SUMIF(C$7:C2972,C2972,G$7:G2972))</f>
      </c>
      <c r="I2972" s="145">
        <f>IF(AND(F2972="",G2972=""),"",SUM(基础资料!$X$5:$X$24)+SUM(F$7:F2972)-SUM(G$7:G2972))</f>
      </c>
      <c r="J2972" s="141" t="n"/>
      <c r="K2972" s="141" t="n"/>
      <c r="L2972" s="141" t="n"/>
      <c r="M2972" s="142" t="n"/>
      <c r="N2972" s="146">
        <f>IF(AND(AND(F2972="",G2972=""),B2972="",C2972="",D2972="",J2972="",K2972="",L2972=""),"",IF(AND(F2972="",G2972=""),"✗ 没填金额",IF(AND(N(F2972)&lt;&gt;0,N(G2972)&lt;&gt;0),"✗ 收入、支出只能填一边",IF(NOT(ISNUMBER(B2972)),"✗ 日期不是真日期（要像 2026/9/25 这样填）",IF(OR(B2972&lt;年初日,B2972&gt;年末日),"✗ 日期不在本会计年度",IF(C2972="","✗ 没选账户",IF(COUNTIF(基础资料!$W$5:$W$24,C2972)=0,"✗ 账户不在基础资料里",IF(O2972="","✗ 没选收支项目",IF(P2972="未知","✗ 收支项目不在基础资料里",IF(AND(P2972="应收",J2972=""),"✗ 这笔要选客户",IF(AND(P2972="应收",COUNTIF(总览汇总!$B$5:$B$304,J2972)=0),"✗ 客户不在总览汇总名单里",IF(AND(P2972="应付",K2972=""),"✗ 这笔要选供应商",IF(AND(P2972="应付",COUNTIF(基础资料!$Q$5:$Q$54,K2972)=0),"✗ 供应商不在基础资料里",IF(AND(P2972="费用",L2972=""),"✗ 费用支出要选费用项目",IF(AND(L2972&lt;&gt;"",COUNTIF(基础资料!$AI$5:$AI$54,L2972)=0),"✗ 费用项目不在基础资料里",IF(AND(IFERROR(INDEX(基础资料!$AD$5:$AD$34,MATCH(O2972,基础资料!$AC$5:$AC$34,0)),"")="收",N(G2972)&lt;&gt;0),"✗ 这类是收款，金额填到收入列",IF(AND(IFERROR(INDEX(基础资料!$AD$5:$AD$34,MATCH(O2972,基础资料!$AC$5:$AC$34,0)),"")="支",N(F2972)&lt;&gt;0),"✗ 这类是付款，金额填到支出列",IF(N(H2972)&lt;0,"⚠ 账户余额成负数了，核对一下","√"))))))))))))))))))</f>
      </c>
      <c r="O2972" s="78">
        <f>IF(D2972&lt;&gt;"",D2972,IF(AND(F2972="",G2972=""),"",IF(J2972&lt;&gt;"",IF(N(F2972)&gt;0,"客户回款","客户退款"),IF(K2972&lt;&gt;"",IF(N(G2972)&gt;0,"供应商付款","供应商退款"),IF(L2972&lt;&gt;"","费用支出","")))))</f>
      </c>
      <c r="P2972" s="78">
        <f>IF(O2972="","",IFERROR(INDEX(基础资料!$AE$5:$AE$34,MATCH(O2972,基础资料!$AC$5:$AC$34,0)),"未知"))</f>
      </c>
      <c r="Q2972" s="78">
        <f>IF(P2972="应收",COUNTIF(P$7:P2972,"应收"),"")</f>
      </c>
      <c r="R2972" s="78">
        <f>IF(P2972="应付",COUNTIF(P$7:P2972,"应付"),"")</f>
      </c>
      <c r="S2972" s="78">
        <f>N(F2972)-N(G2972)</f>
        <v>0</v>
      </c>
    </row>
    <row r="2973">
      <c r="A2973" s="109">
        <f>IF(AND(F2973="",G2973=""),"",ROW()-6)</f>
      </c>
      <c r="B2973" s="140" t="n"/>
      <c r="C2973" s="141" t="n"/>
      <c r="D2973" s="141" t="n"/>
      <c r="E2973" s="142" t="n"/>
      <c r="F2973" s="143" t="n"/>
      <c r="G2973" s="144" t="n"/>
      <c r="H2973" s="145">
        <f>IF(OR(C2973="",AND(F2973="",G2973="")),"",SUMIF(基础资料!$W$5:$W$24,C2973,基础资料!$X$5:$X$24)+SUMIF(C$7:C2973,C2973,F$7:F2973)-SUMIF(C$7:C2973,C2973,G$7:G2973))</f>
      </c>
      <c r="I2973" s="145">
        <f>IF(AND(F2973="",G2973=""),"",SUM(基础资料!$X$5:$X$24)+SUM(F$7:F2973)-SUM(G$7:G2973))</f>
      </c>
      <c r="J2973" s="141" t="n"/>
      <c r="K2973" s="141" t="n"/>
      <c r="L2973" s="141" t="n"/>
      <c r="M2973" s="142" t="n"/>
      <c r="N2973" s="146">
        <f>IF(AND(AND(F2973="",G2973=""),B2973="",C2973="",D2973="",J2973="",K2973="",L2973=""),"",IF(AND(F2973="",G2973=""),"✗ 没填金额",IF(AND(N(F2973)&lt;&gt;0,N(G2973)&lt;&gt;0),"✗ 收入、支出只能填一边",IF(NOT(ISNUMBER(B2973)),"✗ 日期不是真日期（要像 2026/9/25 这样填）",IF(OR(B2973&lt;年初日,B2973&gt;年末日),"✗ 日期不在本会计年度",IF(C2973="","✗ 没选账户",IF(COUNTIF(基础资料!$W$5:$W$24,C2973)=0,"✗ 账户不在基础资料里",IF(O2973="","✗ 没选收支项目",IF(P2973="未知","✗ 收支项目不在基础资料里",IF(AND(P2973="应收",J2973=""),"✗ 这笔要选客户",IF(AND(P2973="应收",COUNTIF(总览汇总!$B$5:$B$304,J2973)=0),"✗ 客户不在总览汇总名单里",IF(AND(P2973="应付",K2973=""),"✗ 这笔要选供应商",IF(AND(P2973="应付",COUNTIF(基础资料!$Q$5:$Q$54,K2973)=0),"✗ 供应商不在基础资料里",IF(AND(P2973="费用",L2973=""),"✗ 费用支出要选费用项目",IF(AND(L2973&lt;&gt;"",COUNTIF(基础资料!$AI$5:$AI$54,L2973)=0),"✗ 费用项目不在基础资料里",IF(AND(IFERROR(INDEX(基础资料!$AD$5:$AD$34,MATCH(O2973,基础资料!$AC$5:$AC$34,0)),"")="收",N(G2973)&lt;&gt;0),"✗ 这类是收款，金额填到收入列",IF(AND(IFERROR(INDEX(基础资料!$AD$5:$AD$34,MATCH(O2973,基础资料!$AC$5:$AC$34,0)),"")="支",N(F2973)&lt;&gt;0),"✗ 这类是付款，金额填到支出列",IF(N(H2973)&lt;0,"⚠ 账户余额成负数了，核对一下","√"))))))))))))))))))</f>
      </c>
      <c r="O2973" s="78">
        <f>IF(D2973&lt;&gt;"",D2973,IF(AND(F2973="",G2973=""),"",IF(J2973&lt;&gt;"",IF(N(F2973)&gt;0,"客户回款","客户退款"),IF(K2973&lt;&gt;"",IF(N(G2973)&gt;0,"供应商付款","供应商退款"),IF(L2973&lt;&gt;"","费用支出","")))))</f>
      </c>
      <c r="P2973" s="78">
        <f>IF(O2973="","",IFERROR(INDEX(基础资料!$AE$5:$AE$34,MATCH(O2973,基础资料!$AC$5:$AC$34,0)),"未知"))</f>
      </c>
      <c r="Q2973" s="78">
        <f>IF(P2973="应收",COUNTIF(P$7:P2973,"应收"),"")</f>
      </c>
      <c r="R2973" s="78">
        <f>IF(P2973="应付",COUNTIF(P$7:P2973,"应付"),"")</f>
      </c>
      <c r="S2973" s="78">
        <f>N(F2973)-N(G2973)</f>
        <v>0</v>
      </c>
    </row>
    <row r="2974">
      <c r="A2974" s="109">
        <f>IF(AND(F2974="",G2974=""),"",ROW()-6)</f>
      </c>
      <c r="B2974" s="140" t="n"/>
      <c r="C2974" s="141" t="n"/>
      <c r="D2974" s="141" t="n"/>
      <c r="E2974" s="142" t="n"/>
      <c r="F2974" s="143" t="n"/>
      <c r="G2974" s="144" t="n"/>
      <c r="H2974" s="145">
        <f>IF(OR(C2974="",AND(F2974="",G2974="")),"",SUMIF(基础资料!$W$5:$W$24,C2974,基础资料!$X$5:$X$24)+SUMIF(C$7:C2974,C2974,F$7:F2974)-SUMIF(C$7:C2974,C2974,G$7:G2974))</f>
      </c>
      <c r="I2974" s="145">
        <f>IF(AND(F2974="",G2974=""),"",SUM(基础资料!$X$5:$X$24)+SUM(F$7:F2974)-SUM(G$7:G2974))</f>
      </c>
      <c r="J2974" s="141" t="n"/>
      <c r="K2974" s="141" t="n"/>
      <c r="L2974" s="141" t="n"/>
      <c r="M2974" s="142" t="n"/>
      <c r="N2974" s="146">
        <f>IF(AND(AND(F2974="",G2974=""),B2974="",C2974="",D2974="",J2974="",K2974="",L2974=""),"",IF(AND(F2974="",G2974=""),"✗ 没填金额",IF(AND(N(F2974)&lt;&gt;0,N(G2974)&lt;&gt;0),"✗ 收入、支出只能填一边",IF(NOT(ISNUMBER(B2974)),"✗ 日期不是真日期（要像 2026/9/25 这样填）",IF(OR(B2974&lt;年初日,B2974&gt;年末日),"✗ 日期不在本会计年度",IF(C2974="","✗ 没选账户",IF(COUNTIF(基础资料!$W$5:$W$24,C2974)=0,"✗ 账户不在基础资料里",IF(O2974="","✗ 没选收支项目",IF(P2974="未知","✗ 收支项目不在基础资料里",IF(AND(P2974="应收",J2974=""),"✗ 这笔要选客户",IF(AND(P2974="应收",COUNTIF(总览汇总!$B$5:$B$304,J2974)=0),"✗ 客户不在总览汇总名单里",IF(AND(P2974="应付",K2974=""),"✗ 这笔要选供应商",IF(AND(P2974="应付",COUNTIF(基础资料!$Q$5:$Q$54,K2974)=0),"✗ 供应商不在基础资料里",IF(AND(P2974="费用",L2974=""),"✗ 费用支出要选费用项目",IF(AND(L2974&lt;&gt;"",COUNTIF(基础资料!$AI$5:$AI$54,L2974)=0),"✗ 费用项目不在基础资料里",IF(AND(IFERROR(INDEX(基础资料!$AD$5:$AD$34,MATCH(O2974,基础资料!$AC$5:$AC$34,0)),"")="收",N(G2974)&lt;&gt;0),"✗ 这类是收款，金额填到收入列",IF(AND(IFERROR(INDEX(基础资料!$AD$5:$AD$34,MATCH(O2974,基础资料!$AC$5:$AC$34,0)),"")="支",N(F2974)&lt;&gt;0),"✗ 这类是付款，金额填到支出列",IF(N(H2974)&lt;0,"⚠ 账户余额成负数了，核对一下","√"))))))))))))))))))</f>
      </c>
      <c r="O2974" s="78">
        <f>IF(D2974&lt;&gt;"",D2974,IF(AND(F2974="",G2974=""),"",IF(J2974&lt;&gt;"",IF(N(F2974)&gt;0,"客户回款","客户退款"),IF(K2974&lt;&gt;"",IF(N(G2974)&gt;0,"供应商付款","供应商退款"),IF(L2974&lt;&gt;"","费用支出","")))))</f>
      </c>
      <c r="P2974" s="78">
        <f>IF(O2974="","",IFERROR(INDEX(基础资料!$AE$5:$AE$34,MATCH(O2974,基础资料!$AC$5:$AC$34,0)),"未知"))</f>
      </c>
      <c r="Q2974" s="78">
        <f>IF(P2974="应收",COUNTIF(P$7:P2974,"应收"),"")</f>
      </c>
      <c r="R2974" s="78">
        <f>IF(P2974="应付",COUNTIF(P$7:P2974,"应付"),"")</f>
      </c>
      <c r="S2974" s="78">
        <f>N(F2974)-N(G2974)</f>
        <v>0</v>
      </c>
    </row>
    <row r="2975">
      <c r="A2975" s="109">
        <f>IF(AND(F2975="",G2975=""),"",ROW()-6)</f>
      </c>
      <c r="B2975" s="140" t="n"/>
      <c r="C2975" s="141" t="n"/>
      <c r="D2975" s="141" t="n"/>
      <c r="E2975" s="142" t="n"/>
      <c r="F2975" s="143" t="n"/>
      <c r="G2975" s="144" t="n"/>
      <c r="H2975" s="145">
        <f>IF(OR(C2975="",AND(F2975="",G2975="")),"",SUMIF(基础资料!$W$5:$W$24,C2975,基础资料!$X$5:$X$24)+SUMIF(C$7:C2975,C2975,F$7:F2975)-SUMIF(C$7:C2975,C2975,G$7:G2975))</f>
      </c>
      <c r="I2975" s="145">
        <f>IF(AND(F2975="",G2975=""),"",SUM(基础资料!$X$5:$X$24)+SUM(F$7:F2975)-SUM(G$7:G2975))</f>
      </c>
      <c r="J2975" s="141" t="n"/>
      <c r="K2975" s="141" t="n"/>
      <c r="L2975" s="141" t="n"/>
      <c r="M2975" s="142" t="n"/>
      <c r="N2975" s="146">
        <f>IF(AND(AND(F2975="",G2975=""),B2975="",C2975="",D2975="",J2975="",K2975="",L2975=""),"",IF(AND(F2975="",G2975=""),"✗ 没填金额",IF(AND(N(F2975)&lt;&gt;0,N(G2975)&lt;&gt;0),"✗ 收入、支出只能填一边",IF(NOT(ISNUMBER(B2975)),"✗ 日期不是真日期（要像 2026/9/25 这样填）",IF(OR(B2975&lt;年初日,B2975&gt;年末日),"✗ 日期不在本会计年度",IF(C2975="","✗ 没选账户",IF(COUNTIF(基础资料!$W$5:$W$24,C2975)=0,"✗ 账户不在基础资料里",IF(O2975="","✗ 没选收支项目",IF(P2975="未知","✗ 收支项目不在基础资料里",IF(AND(P2975="应收",J2975=""),"✗ 这笔要选客户",IF(AND(P2975="应收",COUNTIF(总览汇总!$B$5:$B$304,J2975)=0),"✗ 客户不在总览汇总名单里",IF(AND(P2975="应付",K2975=""),"✗ 这笔要选供应商",IF(AND(P2975="应付",COUNTIF(基础资料!$Q$5:$Q$54,K2975)=0),"✗ 供应商不在基础资料里",IF(AND(P2975="费用",L2975=""),"✗ 费用支出要选费用项目",IF(AND(L2975&lt;&gt;"",COUNTIF(基础资料!$AI$5:$AI$54,L2975)=0),"✗ 费用项目不在基础资料里",IF(AND(IFERROR(INDEX(基础资料!$AD$5:$AD$34,MATCH(O2975,基础资料!$AC$5:$AC$34,0)),"")="收",N(G2975)&lt;&gt;0),"✗ 这类是收款，金额填到收入列",IF(AND(IFERROR(INDEX(基础资料!$AD$5:$AD$34,MATCH(O2975,基础资料!$AC$5:$AC$34,0)),"")="支",N(F2975)&lt;&gt;0),"✗ 这类是付款，金额填到支出列",IF(N(H2975)&lt;0,"⚠ 账户余额成负数了，核对一下","√"))))))))))))))))))</f>
      </c>
      <c r="O2975" s="78">
        <f>IF(D2975&lt;&gt;"",D2975,IF(AND(F2975="",G2975=""),"",IF(J2975&lt;&gt;"",IF(N(F2975)&gt;0,"客户回款","客户退款"),IF(K2975&lt;&gt;"",IF(N(G2975)&gt;0,"供应商付款","供应商退款"),IF(L2975&lt;&gt;"","费用支出","")))))</f>
      </c>
      <c r="P2975" s="78">
        <f>IF(O2975="","",IFERROR(INDEX(基础资料!$AE$5:$AE$34,MATCH(O2975,基础资料!$AC$5:$AC$34,0)),"未知"))</f>
      </c>
      <c r="Q2975" s="78">
        <f>IF(P2975="应收",COUNTIF(P$7:P2975,"应收"),"")</f>
      </c>
      <c r="R2975" s="78">
        <f>IF(P2975="应付",COUNTIF(P$7:P2975,"应付"),"")</f>
      </c>
      <c r="S2975" s="78">
        <f>N(F2975)-N(G2975)</f>
        <v>0</v>
      </c>
    </row>
    <row r="2976">
      <c r="A2976" s="109">
        <f>IF(AND(F2976="",G2976=""),"",ROW()-6)</f>
      </c>
      <c r="B2976" s="140" t="n"/>
      <c r="C2976" s="141" t="n"/>
      <c r="D2976" s="141" t="n"/>
      <c r="E2976" s="142" t="n"/>
      <c r="F2976" s="143" t="n"/>
      <c r="G2976" s="144" t="n"/>
      <c r="H2976" s="145">
        <f>IF(OR(C2976="",AND(F2976="",G2976="")),"",SUMIF(基础资料!$W$5:$W$24,C2976,基础资料!$X$5:$X$24)+SUMIF(C$7:C2976,C2976,F$7:F2976)-SUMIF(C$7:C2976,C2976,G$7:G2976))</f>
      </c>
      <c r="I2976" s="145">
        <f>IF(AND(F2976="",G2976=""),"",SUM(基础资料!$X$5:$X$24)+SUM(F$7:F2976)-SUM(G$7:G2976))</f>
      </c>
      <c r="J2976" s="141" t="n"/>
      <c r="K2976" s="141" t="n"/>
      <c r="L2976" s="141" t="n"/>
      <c r="M2976" s="142" t="n"/>
      <c r="N2976" s="146">
        <f>IF(AND(AND(F2976="",G2976=""),B2976="",C2976="",D2976="",J2976="",K2976="",L2976=""),"",IF(AND(F2976="",G2976=""),"✗ 没填金额",IF(AND(N(F2976)&lt;&gt;0,N(G2976)&lt;&gt;0),"✗ 收入、支出只能填一边",IF(NOT(ISNUMBER(B2976)),"✗ 日期不是真日期（要像 2026/9/25 这样填）",IF(OR(B2976&lt;年初日,B2976&gt;年末日),"✗ 日期不在本会计年度",IF(C2976="","✗ 没选账户",IF(COUNTIF(基础资料!$W$5:$W$24,C2976)=0,"✗ 账户不在基础资料里",IF(O2976="","✗ 没选收支项目",IF(P2976="未知","✗ 收支项目不在基础资料里",IF(AND(P2976="应收",J2976=""),"✗ 这笔要选客户",IF(AND(P2976="应收",COUNTIF(总览汇总!$B$5:$B$304,J2976)=0),"✗ 客户不在总览汇总名单里",IF(AND(P2976="应付",K2976=""),"✗ 这笔要选供应商",IF(AND(P2976="应付",COUNTIF(基础资料!$Q$5:$Q$54,K2976)=0),"✗ 供应商不在基础资料里",IF(AND(P2976="费用",L2976=""),"✗ 费用支出要选费用项目",IF(AND(L2976&lt;&gt;"",COUNTIF(基础资料!$AI$5:$AI$54,L2976)=0),"✗ 费用项目不在基础资料里",IF(AND(IFERROR(INDEX(基础资料!$AD$5:$AD$34,MATCH(O2976,基础资料!$AC$5:$AC$34,0)),"")="收",N(G2976)&lt;&gt;0),"✗ 这类是收款，金额填到收入列",IF(AND(IFERROR(INDEX(基础资料!$AD$5:$AD$34,MATCH(O2976,基础资料!$AC$5:$AC$34,0)),"")="支",N(F2976)&lt;&gt;0),"✗ 这类是付款，金额填到支出列",IF(N(H2976)&lt;0,"⚠ 账户余额成负数了，核对一下","√"))))))))))))))))))</f>
      </c>
      <c r="O2976" s="78">
        <f>IF(D2976&lt;&gt;"",D2976,IF(AND(F2976="",G2976=""),"",IF(J2976&lt;&gt;"",IF(N(F2976)&gt;0,"客户回款","客户退款"),IF(K2976&lt;&gt;"",IF(N(G2976)&gt;0,"供应商付款","供应商退款"),IF(L2976&lt;&gt;"","费用支出","")))))</f>
      </c>
      <c r="P2976" s="78">
        <f>IF(O2976="","",IFERROR(INDEX(基础资料!$AE$5:$AE$34,MATCH(O2976,基础资料!$AC$5:$AC$34,0)),"未知"))</f>
      </c>
      <c r="Q2976" s="78">
        <f>IF(P2976="应收",COUNTIF(P$7:P2976,"应收"),"")</f>
      </c>
      <c r="R2976" s="78">
        <f>IF(P2976="应付",COUNTIF(P$7:P2976,"应付"),"")</f>
      </c>
      <c r="S2976" s="78">
        <f>N(F2976)-N(G2976)</f>
        <v>0</v>
      </c>
    </row>
    <row r="2977">
      <c r="A2977" s="109">
        <f>IF(AND(F2977="",G2977=""),"",ROW()-6)</f>
      </c>
      <c r="B2977" s="140" t="n"/>
      <c r="C2977" s="141" t="n"/>
      <c r="D2977" s="141" t="n"/>
      <c r="E2977" s="142" t="n"/>
      <c r="F2977" s="143" t="n"/>
      <c r="G2977" s="144" t="n"/>
      <c r="H2977" s="145">
        <f>IF(OR(C2977="",AND(F2977="",G2977="")),"",SUMIF(基础资料!$W$5:$W$24,C2977,基础资料!$X$5:$X$24)+SUMIF(C$7:C2977,C2977,F$7:F2977)-SUMIF(C$7:C2977,C2977,G$7:G2977))</f>
      </c>
      <c r="I2977" s="145">
        <f>IF(AND(F2977="",G2977=""),"",SUM(基础资料!$X$5:$X$24)+SUM(F$7:F2977)-SUM(G$7:G2977))</f>
      </c>
      <c r="J2977" s="141" t="n"/>
      <c r="K2977" s="141" t="n"/>
      <c r="L2977" s="141" t="n"/>
      <c r="M2977" s="142" t="n"/>
      <c r="N2977" s="146">
        <f>IF(AND(AND(F2977="",G2977=""),B2977="",C2977="",D2977="",J2977="",K2977="",L2977=""),"",IF(AND(F2977="",G2977=""),"✗ 没填金额",IF(AND(N(F2977)&lt;&gt;0,N(G2977)&lt;&gt;0),"✗ 收入、支出只能填一边",IF(NOT(ISNUMBER(B2977)),"✗ 日期不是真日期（要像 2026/9/25 这样填）",IF(OR(B2977&lt;年初日,B2977&gt;年末日),"✗ 日期不在本会计年度",IF(C2977="","✗ 没选账户",IF(COUNTIF(基础资料!$W$5:$W$24,C2977)=0,"✗ 账户不在基础资料里",IF(O2977="","✗ 没选收支项目",IF(P2977="未知","✗ 收支项目不在基础资料里",IF(AND(P2977="应收",J2977=""),"✗ 这笔要选客户",IF(AND(P2977="应收",COUNTIF(总览汇总!$B$5:$B$304,J2977)=0),"✗ 客户不在总览汇总名单里",IF(AND(P2977="应付",K2977=""),"✗ 这笔要选供应商",IF(AND(P2977="应付",COUNTIF(基础资料!$Q$5:$Q$54,K2977)=0),"✗ 供应商不在基础资料里",IF(AND(P2977="费用",L2977=""),"✗ 费用支出要选费用项目",IF(AND(L2977&lt;&gt;"",COUNTIF(基础资料!$AI$5:$AI$54,L2977)=0),"✗ 费用项目不在基础资料里",IF(AND(IFERROR(INDEX(基础资料!$AD$5:$AD$34,MATCH(O2977,基础资料!$AC$5:$AC$34,0)),"")="收",N(G2977)&lt;&gt;0),"✗ 这类是收款，金额填到收入列",IF(AND(IFERROR(INDEX(基础资料!$AD$5:$AD$34,MATCH(O2977,基础资料!$AC$5:$AC$34,0)),"")="支",N(F2977)&lt;&gt;0),"✗ 这类是付款，金额填到支出列",IF(N(H2977)&lt;0,"⚠ 账户余额成负数了，核对一下","√"))))))))))))))))))</f>
      </c>
      <c r="O2977" s="78">
        <f>IF(D2977&lt;&gt;"",D2977,IF(AND(F2977="",G2977=""),"",IF(J2977&lt;&gt;"",IF(N(F2977)&gt;0,"客户回款","客户退款"),IF(K2977&lt;&gt;"",IF(N(G2977)&gt;0,"供应商付款","供应商退款"),IF(L2977&lt;&gt;"","费用支出","")))))</f>
      </c>
      <c r="P2977" s="78">
        <f>IF(O2977="","",IFERROR(INDEX(基础资料!$AE$5:$AE$34,MATCH(O2977,基础资料!$AC$5:$AC$34,0)),"未知"))</f>
      </c>
      <c r="Q2977" s="78">
        <f>IF(P2977="应收",COUNTIF(P$7:P2977,"应收"),"")</f>
      </c>
      <c r="R2977" s="78">
        <f>IF(P2977="应付",COUNTIF(P$7:P2977,"应付"),"")</f>
      </c>
      <c r="S2977" s="78">
        <f>N(F2977)-N(G2977)</f>
        <v>0</v>
      </c>
    </row>
    <row r="2978">
      <c r="A2978" s="109">
        <f>IF(AND(F2978="",G2978=""),"",ROW()-6)</f>
      </c>
      <c r="B2978" s="140" t="n"/>
      <c r="C2978" s="141" t="n"/>
      <c r="D2978" s="141" t="n"/>
      <c r="E2978" s="142" t="n"/>
      <c r="F2978" s="143" t="n"/>
      <c r="G2978" s="144" t="n"/>
      <c r="H2978" s="145">
        <f>IF(OR(C2978="",AND(F2978="",G2978="")),"",SUMIF(基础资料!$W$5:$W$24,C2978,基础资料!$X$5:$X$24)+SUMIF(C$7:C2978,C2978,F$7:F2978)-SUMIF(C$7:C2978,C2978,G$7:G2978))</f>
      </c>
      <c r="I2978" s="145">
        <f>IF(AND(F2978="",G2978=""),"",SUM(基础资料!$X$5:$X$24)+SUM(F$7:F2978)-SUM(G$7:G2978))</f>
      </c>
      <c r="J2978" s="141" t="n"/>
      <c r="K2978" s="141" t="n"/>
      <c r="L2978" s="141" t="n"/>
      <c r="M2978" s="142" t="n"/>
      <c r="N2978" s="146">
        <f>IF(AND(AND(F2978="",G2978=""),B2978="",C2978="",D2978="",J2978="",K2978="",L2978=""),"",IF(AND(F2978="",G2978=""),"✗ 没填金额",IF(AND(N(F2978)&lt;&gt;0,N(G2978)&lt;&gt;0),"✗ 收入、支出只能填一边",IF(NOT(ISNUMBER(B2978)),"✗ 日期不是真日期（要像 2026/9/25 这样填）",IF(OR(B2978&lt;年初日,B2978&gt;年末日),"✗ 日期不在本会计年度",IF(C2978="","✗ 没选账户",IF(COUNTIF(基础资料!$W$5:$W$24,C2978)=0,"✗ 账户不在基础资料里",IF(O2978="","✗ 没选收支项目",IF(P2978="未知","✗ 收支项目不在基础资料里",IF(AND(P2978="应收",J2978=""),"✗ 这笔要选客户",IF(AND(P2978="应收",COUNTIF(总览汇总!$B$5:$B$304,J2978)=0),"✗ 客户不在总览汇总名单里",IF(AND(P2978="应付",K2978=""),"✗ 这笔要选供应商",IF(AND(P2978="应付",COUNTIF(基础资料!$Q$5:$Q$54,K2978)=0),"✗ 供应商不在基础资料里",IF(AND(P2978="费用",L2978=""),"✗ 费用支出要选费用项目",IF(AND(L2978&lt;&gt;"",COUNTIF(基础资料!$AI$5:$AI$54,L2978)=0),"✗ 费用项目不在基础资料里",IF(AND(IFERROR(INDEX(基础资料!$AD$5:$AD$34,MATCH(O2978,基础资料!$AC$5:$AC$34,0)),"")="收",N(G2978)&lt;&gt;0),"✗ 这类是收款，金额填到收入列",IF(AND(IFERROR(INDEX(基础资料!$AD$5:$AD$34,MATCH(O2978,基础资料!$AC$5:$AC$34,0)),"")="支",N(F2978)&lt;&gt;0),"✗ 这类是付款，金额填到支出列",IF(N(H2978)&lt;0,"⚠ 账户余额成负数了，核对一下","√"))))))))))))))))))</f>
      </c>
      <c r="O2978" s="78">
        <f>IF(D2978&lt;&gt;"",D2978,IF(AND(F2978="",G2978=""),"",IF(J2978&lt;&gt;"",IF(N(F2978)&gt;0,"客户回款","客户退款"),IF(K2978&lt;&gt;"",IF(N(G2978)&gt;0,"供应商付款","供应商退款"),IF(L2978&lt;&gt;"","费用支出","")))))</f>
      </c>
      <c r="P2978" s="78">
        <f>IF(O2978="","",IFERROR(INDEX(基础资料!$AE$5:$AE$34,MATCH(O2978,基础资料!$AC$5:$AC$34,0)),"未知"))</f>
      </c>
      <c r="Q2978" s="78">
        <f>IF(P2978="应收",COUNTIF(P$7:P2978,"应收"),"")</f>
      </c>
      <c r="R2978" s="78">
        <f>IF(P2978="应付",COUNTIF(P$7:P2978,"应付"),"")</f>
      </c>
      <c r="S2978" s="78">
        <f>N(F2978)-N(G2978)</f>
        <v>0</v>
      </c>
    </row>
    <row r="2979">
      <c r="A2979" s="109">
        <f>IF(AND(F2979="",G2979=""),"",ROW()-6)</f>
      </c>
      <c r="B2979" s="140" t="n"/>
      <c r="C2979" s="141" t="n"/>
      <c r="D2979" s="141" t="n"/>
      <c r="E2979" s="142" t="n"/>
      <c r="F2979" s="143" t="n"/>
      <c r="G2979" s="144" t="n"/>
      <c r="H2979" s="145">
        <f>IF(OR(C2979="",AND(F2979="",G2979="")),"",SUMIF(基础资料!$W$5:$W$24,C2979,基础资料!$X$5:$X$24)+SUMIF(C$7:C2979,C2979,F$7:F2979)-SUMIF(C$7:C2979,C2979,G$7:G2979))</f>
      </c>
      <c r="I2979" s="145">
        <f>IF(AND(F2979="",G2979=""),"",SUM(基础资料!$X$5:$X$24)+SUM(F$7:F2979)-SUM(G$7:G2979))</f>
      </c>
      <c r="J2979" s="141" t="n"/>
      <c r="K2979" s="141" t="n"/>
      <c r="L2979" s="141" t="n"/>
      <c r="M2979" s="142" t="n"/>
      <c r="N2979" s="146">
        <f>IF(AND(AND(F2979="",G2979=""),B2979="",C2979="",D2979="",J2979="",K2979="",L2979=""),"",IF(AND(F2979="",G2979=""),"✗ 没填金额",IF(AND(N(F2979)&lt;&gt;0,N(G2979)&lt;&gt;0),"✗ 收入、支出只能填一边",IF(NOT(ISNUMBER(B2979)),"✗ 日期不是真日期（要像 2026/9/25 这样填）",IF(OR(B2979&lt;年初日,B2979&gt;年末日),"✗ 日期不在本会计年度",IF(C2979="","✗ 没选账户",IF(COUNTIF(基础资料!$W$5:$W$24,C2979)=0,"✗ 账户不在基础资料里",IF(O2979="","✗ 没选收支项目",IF(P2979="未知","✗ 收支项目不在基础资料里",IF(AND(P2979="应收",J2979=""),"✗ 这笔要选客户",IF(AND(P2979="应收",COUNTIF(总览汇总!$B$5:$B$304,J2979)=0),"✗ 客户不在总览汇总名单里",IF(AND(P2979="应付",K2979=""),"✗ 这笔要选供应商",IF(AND(P2979="应付",COUNTIF(基础资料!$Q$5:$Q$54,K2979)=0),"✗ 供应商不在基础资料里",IF(AND(P2979="费用",L2979=""),"✗ 费用支出要选费用项目",IF(AND(L2979&lt;&gt;"",COUNTIF(基础资料!$AI$5:$AI$54,L2979)=0),"✗ 费用项目不在基础资料里",IF(AND(IFERROR(INDEX(基础资料!$AD$5:$AD$34,MATCH(O2979,基础资料!$AC$5:$AC$34,0)),"")="收",N(G2979)&lt;&gt;0),"✗ 这类是收款，金额填到收入列",IF(AND(IFERROR(INDEX(基础资料!$AD$5:$AD$34,MATCH(O2979,基础资料!$AC$5:$AC$34,0)),"")="支",N(F2979)&lt;&gt;0),"✗ 这类是付款，金额填到支出列",IF(N(H2979)&lt;0,"⚠ 账户余额成负数了，核对一下","√"))))))))))))))))))</f>
      </c>
      <c r="O2979" s="78">
        <f>IF(D2979&lt;&gt;"",D2979,IF(AND(F2979="",G2979=""),"",IF(J2979&lt;&gt;"",IF(N(F2979)&gt;0,"客户回款","客户退款"),IF(K2979&lt;&gt;"",IF(N(G2979)&gt;0,"供应商付款","供应商退款"),IF(L2979&lt;&gt;"","费用支出","")))))</f>
      </c>
      <c r="P2979" s="78">
        <f>IF(O2979="","",IFERROR(INDEX(基础资料!$AE$5:$AE$34,MATCH(O2979,基础资料!$AC$5:$AC$34,0)),"未知"))</f>
      </c>
      <c r="Q2979" s="78">
        <f>IF(P2979="应收",COUNTIF(P$7:P2979,"应收"),"")</f>
      </c>
      <c r="R2979" s="78">
        <f>IF(P2979="应付",COUNTIF(P$7:P2979,"应付"),"")</f>
      </c>
      <c r="S2979" s="78">
        <f>N(F2979)-N(G2979)</f>
        <v>0</v>
      </c>
    </row>
    <row r="2980">
      <c r="A2980" s="109">
        <f>IF(AND(F2980="",G2980=""),"",ROW()-6)</f>
      </c>
      <c r="B2980" s="140" t="n"/>
      <c r="C2980" s="141" t="n"/>
      <c r="D2980" s="141" t="n"/>
      <c r="E2980" s="142" t="n"/>
      <c r="F2980" s="143" t="n"/>
      <c r="G2980" s="144" t="n"/>
      <c r="H2980" s="145">
        <f>IF(OR(C2980="",AND(F2980="",G2980="")),"",SUMIF(基础资料!$W$5:$W$24,C2980,基础资料!$X$5:$X$24)+SUMIF(C$7:C2980,C2980,F$7:F2980)-SUMIF(C$7:C2980,C2980,G$7:G2980))</f>
      </c>
      <c r="I2980" s="145">
        <f>IF(AND(F2980="",G2980=""),"",SUM(基础资料!$X$5:$X$24)+SUM(F$7:F2980)-SUM(G$7:G2980))</f>
      </c>
      <c r="J2980" s="141" t="n"/>
      <c r="K2980" s="141" t="n"/>
      <c r="L2980" s="141" t="n"/>
      <c r="M2980" s="142" t="n"/>
      <c r="N2980" s="146">
        <f>IF(AND(AND(F2980="",G2980=""),B2980="",C2980="",D2980="",J2980="",K2980="",L2980=""),"",IF(AND(F2980="",G2980=""),"✗ 没填金额",IF(AND(N(F2980)&lt;&gt;0,N(G2980)&lt;&gt;0),"✗ 收入、支出只能填一边",IF(NOT(ISNUMBER(B2980)),"✗ 日期不是真日期（要像 2026/9/25 这样填）",IF(OR(B2980&lt;年初日,B2980&gt;年末日),"✗ 日期不在本会计年度",IF(C2980="","✗ 没选账户",IF(COUNTIF(基础资料!$W$5:$W$24,C2980)=0,"✗ 账户不在基础资料里",IF(O2980="","✗ 没选收支项目",IF(P2980="未知","✗ 收支项目不在基础资料里",IF(AND(P2980="应收",J2980=""),"✗ 这笔要选客户",IF(AND(P2980="应收",COUNTIF(总览汇总!$B$5:$B$304,J2980)=0),"✗ 客户不在总览汇总名单里",IF(AND(P2980="应付",K2980=""),"✗ 这笔要选供应商",IF(AND(P2980="应付",COUNTIF(基础资料!$Q$5:$Q$54,K2980)=0),"✗ 供应商不在基础资料里",IF(AND(P2980="费用",L2980=""),"✗ 费用支出要选费用项目",IF(AND(L2980&lt;&gt;"",COUNTIF(基础资料!$AI$5:$AI$54,L2980)=0),"✗ 费用项目不在基础资料里",IF(AND(IFERROR(INDEX(基础资料!$AD$5:$AD$34,MATCH(O2980,基础资料!$AC$5:$AC$34,0)),"")="收",N(G2980)&lt;&gt;0),"✗ 这类是收款，金额填到收入列",IF(AND(IFERROR(INDEX(基础资料!$AD$5:$AD$34,MATCH(O2980,基础资料!$AC$5:$AC$34,0)),"")="支",N(F2980)&lt;&gt;0),"✗ 这类是付款，金额填到支出列",IF(N(H2980)&lt;0,"⚠ 账户余额成负数了，核对一下","√"))))))))))))))))))</f>
      </c>
      <c r="O2980" s="78">
        <f>IF(D2980&lt;&gt;"",D2980,IF(AND(F2980="",G2980=""),"",IF(J2980&lt;&gt;"",IF(N(F2980)&gt;0,"客户回款","客户退款"),IF(K2980&lt;&gt;"",IF(N(G2980)&gt;0,"供应商付款","供应商退款"),IF(L2980&lt;&gt;"","费用支出","")))))</f>
      </c>
      <c r="P2980" s="78">
        <f>IF(O2980="","",IFERROR(INDEX(基础资料!$AE$5:$AE$34,MATCH(O2980,基础资料!$AC$5:$AC$34,0)),"未知"))</f>
      </c>
      <c r="Q2980" s="78">
        <f>IF(P2980="应收",COUNTIF(P$7:P2980,"应收"),"")</f>
      </c>
      <c r="R2980" s="78">
        <f>IF(P2980="应付",COUNTIF(P$7:P2980,"应付"),"")</f>
      </c>
      <c r="S2980" s="78">
        <f>N(F2980)-N(G2980)</f>
        <v>0</v>
      </c>
    </row>
    <row r="2981">
      <c r="A2981" s="109">
        <f>IF(AND(F2981="",G2981=""),"",ROW()-6)</f>
      </c>
      <c r="B2981" s="140" t="n"/>
      <c r="C2981" s="141" t="n"/>
      <c r="D2981" s="141" t="n"/>
      <c r="E2981" s="142" t="n"/>
      <c r="F2981" s="143" t="n"/>
      <c r="G2981" s="144" t="n"/>
      <c r="H2981" s="145">
        <f>IF(OR(C2981="",AND(F2981="",G2981="")),"",SUMIF(基础资料!$W$5:$W$24,C2981,基础资料!$X$5:$X$24)+SUMIF(C$7:C2981,C2981,F$7:F2981)-SUMIF(C$7:C2981,C2981,G$7:G2981))</f>
      </c>
      <c r="I2981" s="145">
        <f>IF(AND(F2981="",G2981=""),"",SUM(基础资料!$X$5:$X$24)+SUM(F$7:F2981)-SUM(G$7:G2981))</f>
      </c>
      <c r="J2981" s="141" t="n"/>
      <c r="K2981" s="141" t="n"/>
      <c r="L2981" s="141" t="n"/>
      <c r="M2981" s="142" t="n"/>
      <c r="N2981" s="146">
        <f>IF(AND(AND(F2981="",G2981=""),B2981="",C2981="",D2981="",J2981="",K2981="",L2981=""),"",IF(AND(F2981="",G2981=""),"✗ 没填金额",IF(AND(N(F2981)&lt;&gt;0,N(G2981)&lt;&gt;0),"✗ 收入、支出只能填一边",IF(NOT(ISNUMBER(B2981)),"✗ 日期不是真日期（要像 2026/9/25 这样填）",IF(OR(B2981&lt;年初日,B2981&gt;年末日),"✗ 日期不在本会计年度",IF(C2981="","✗ 没选账户",IF(COUNTIF(基础资料!$W$5:$W$24,C2981)=0,"✗ 账户不在基础资料里",IF(O2981="","✗ 没选收支项目",IF(P2981="未知","✗ 收支项目不在基础资料里",IF(AND(P2981="应收",J2981=""),"✗ 这笔要选客户",IF(AND(P2981="应收",COUNTIF(总览汇总!$B$5:$B$304,J2981)=0),"✗ 客户不在总览汇总名单里",IF(AND(P2981="应付",K2981=""),"✗ 这笔要选供应商",IF(AND(P2981="应付",COUNTIF(基础资料!$Q$5:$Q$54,K2981)=0),"✗ 供应商不在基础资料里",IF(AND(P2981="费用",L2981=""),"✗ 费用支出要选费用项目",IF(AND(L2981&lt;&gt;"",COUNTIF(基础资料!$AI$5:$AI$54,L2981)=0),"✗ 费用项目不在基础资料里",IF(AND(IFERROR(INDEX(基础资料!$AD$5:$AD$34,MATCH(O2981,基础资料!$AC$5:$AC$34,0)),"")="收",N(G2981)&lt;&gt;0),"✗ 这类是收款，金额填到收入列",IF(AND(IFERROR(INDEX(基础资料!$AD$5:$AD$34,MATCH(O2981,基础资料!$AC$5:$AC$34,0)),"")="支",N(F2981)&lt;&gt;0),"✗ 这类是付款，金额填到支出列",IF(N(H2981)&lt;0,"⚠ 账户余额成负数了，核对一下","√"))))))))))))))))))</f>
      </c>
      <c r="O2981" s="78">
        <f>IF(D2981&lt;&gt;"",D2981,IF(AND(F2981="",G2981=""),"",IF(J2981&lt;&gt;"",IF(N(F2981)&gt;0,"客户回款","客户退款"),IF(K2981&lt;&gt;"",IF(N(G2981)&gt;0,"供应商付款","供应商退款"),IF(L2981&lt;&gt;"","费用支出","")))))</f>
      </c>
      <c r="P2981" s="78">
        <f>IF(O2981="","",IFERROR(INDEX(基础资料!$AE$5:$AE$34,MATCH(O2981,基础资料!$AC$5:$AC$34,0)),"未知"))</f>
      </c>
      <c r="Q2981" s="78">
        <f>IF(P2981="应收",COUNTIF(P$7:P2981,"应收"),"")</f>
      </c>
      <c r="R2981" s="78">
        <f>IF(P2981="应付",COUNTIF(P$7:P2981,"应付"),"")</f>
      </c>
      <c r="S2981" s="78">
        <f>N(F2981)-N(G2981)</f>
        <v>0</v>
      </c>
    </row>
    <row r="2982">
      <c r="A2982" s="109">
        <f>IF(AND(F2982="",G2982=""),"",ROW()-6)</f>
      </c>
      <c r="B2982" s="140" t="n"/>
      <c r="C2982" s="141" t="n"/>
      <c r="D2982" s="141" t="n"/>
      <c r="E2982" s="142" t="n"/>
      <c r="F2982" s="143" t="n"/>
      <c r="G2982" s="144" t="n"/>
      <c r="H2982" s="145">
        <f>IF(OR(C2982="",AND(F2982="",G2982="")),"",SUMIF(基础资料!$W$5:$W$24,C2982,基础资料!$X$5:$X$24)+SUMIF(C$7:C2982,C2982,F$7:F2982)-SUMIF(C$7:C2982,C2982,G$7:G2982))</f>
      </c>
      <c r="I2982" s="145">
        <f>IF(AND(F2982="",G2982=""),"",SUM(基础资料!$X$5:$X$24)+SUM(F$7:F2982)-SUM(G$7:G2982))</f>
      </c>
      <c r="J2982" s="141" t="n"/>
      <c r="K2982" s="141" t="n"/>
      <c r="L2982" s="141" t="n"/>
      <c r="M2982" s="142" t="n"/>
      <c r="N2982" s="146">
        <f>IF(AND(AND(F2982="",G2982=""),B2982="",C2982="",D2982="",J2982="",K2982="",L2982=""),"",IF(AND(F2982="",G2982=""),"✗ 没填金额",IF(AND(N(F2982)&lt;&gt;0,N(G2982)&lt;&gt;0),"✗ 收入、支出只能填一边",IF(NOT(ISNUMBER(B2982)),"✗ 日期不是真日期（要像 2026/9/25 这样填）",IF(OR(B2982&lt;年初日,B2982&gt;年末日),"✗ 日期不在本会计年度",IF(C2982="","✗ 没选账户",IF(COUNTIF(基础资料!$W$5:$W$24,C2982)=0,"✗ 账户不在基础资料里",IF(O2982="","✗ 没选收支项目",IF(P2982="未知","✗ 收支项目不在基础资料里",IF(AND(P2982="应收",J2982=""),"✗ 这笔要选客户",IF(AND(P2982="应收",COUNTIF(总览汇总!$B$5:$B$304,J2982)=0),"✗ 客户不在总览汇总名单里",IF(AND(P2982="应付",K2982=""),"✗ 这笔要选供应商",IF(AND(P2982="应付",COUNTIF(基础资料!$Q$5:$Q$54,K2982)=0),"✗ 供应商不在基础资料里",IF(AND(P2982="费用",L2982=""),"✗ 费用支出要选费用项目",IF(AND(L2982&lt;&gt;"",COUNTIF(基础资料!$AI$5:$AI$54,L2982)=0),"✗ 费用项目不在基础资料里",IF(AND(IFERROR(INDEX(基础资料!$AD$5:$AD$34,MATCH(O2982,基础资料!$AC$5:$AC$34,0)),"")="收",N(G2982)&lt;&gt;0),"✗ 这类是收款，金额填到收入列",IF(AND(IFERROR(INDEX(基础资料!$AD$5:$AD$34,MATCH(O2982,基础资料!$AC$5:$AC$34,0)),"")="支",N(F2982)&lt;&gt;0),"✗ 这类是付款，金额填到支出列",IF(N(H2982)&lt;0,"⚠ 账户余额成负数了，核对一下","√"))))))))))))))))))</f>
      </c>
      <c r="O2982" s="78">
        <f>IF(D2982&lt;&gt;"",D2982,IF(AND(F2982="",G2982=""),"",IF(J2982&lt;&gt;"",IF(N(F2982)&gt;0,"客户回款","客户退款"),IF(K2982&lt;&gt;"",IF(N(G2982)&gt;0,"供应商付款","供应商退款"),IF(L2982&lt;&gt;"","费用支出","")))))</f>
      </c>
      <c r="P2982" s="78">
        <f>IF(O2982="","",IFERROR(INDEX(基础资料!$AE$5:$AE$34,MATCH(O2982,基础资料!$AC$5:$AC$34,0)),"未知"))</f>
      </c>
      <c r="Q2982" s="78">
        <f>IF(P2982="应收",COUNTIF(P$7:P2982,"应收"),"")</f>
      </c>
      <c r="R2982" s="78">
        <f>IF(P2982="应付",COUNTIF(P$7:P2982,"应付"),"")</f>
      </c>
      <c r="S2982" s="78">
        <f>N(F2982)-N(G2982)</f>
        <v>0</v>
      </c>
    </row>
    <row r="2983">
      <c r="A2983" s="109">
        <f>IF(AND(F2983="",G2983=""),"",ROW()-6)</f>
      </c>
      <c r="B2983" s="140" t="n"/>
      <c r="C2983" s="141" t="n"/>
      <c r="D2983" s="141" t="n"/>
      <c r="E2983" s="142" t="n"/>
      <c r="F2983" s="143" t="n"/>
      <c r="G2983" s="144" t="n"/>
      <c r="H2983" s="145">
        <f>IF(OR(C2983="",AND(F2983="",G2983="")),"",SUMIF(基础资料!$W$5:$W$24,C2983,基础资料!$X$5:$X$24)+SUMIF(C$7:C2983,C2983,F$7:F2983)-SUMIF(C$7:C2983,C2983,G$7:G2983))</f>
      </c>
      <c r="I2983" s="145">
        <f>IF(AND(F2983="",G2983=""),"",SUM(基础资料!$X$5:$X$24)+SUM(F$7:F2983)-SUM(G$7:G2983))</f>
      </c>
      <c r="J2983" s="141" t="n"/>
      <c r="K2983" s="141" t="n"/>
      <c r="L2983" s="141" t="n"/>
      <c r="M2983" s="142" t="n"/>
      <c r="N2983" s="146">
        <f>IF(AND(AND(F2983="",G2983=""),B2983="",C2983="",D2983="",J2983="",K2983="",L2983=""),"",IF(AND(F2983="",G2983=""),"✗ 没填金额",IF(AND(N(F2983)&lt;&gt;0,N(G2983)&lt;&gt;0),"✗ 收入、支出只能填一边",IF(NOT(ISNUMBER(B2983)),"✗ 日期不是真日期（要像 2026/9/25 这样填）",IF(OR(B2983&lt;年初日,B2983&gt;年末日),"✗ 日期不在本会计年度",IF(C2983="","✗ 没选账户",IF(COUNTIF(基础资料!$W$5:$W$24,C2983)=0,"✗ 账户不在基础资料里",IF(O2983="","✗ 没选收支项目",IF(P2983="未知","✗ 收支项目不在基础资料里",IF(AND(P2983="应收",J2983=""),"✗ 这笔要选客户",IF(AND(P2983="应收",COUNTIF(总览汇总!$B$5:$B$304,J2983)=0),"✗ 客户不在总览汇总名单里",IF(AND(P2983="应付",K2983=""),"✗ 这笔要选供应商",IF(AND(P2983="应付",COUNTIF(基础资料!$Q$5:$Q$54,K2983)=0),"✗ 供应商不在基础资料里",IF(AND(P2983="费用",L2983=""),"✗ 费用支出要选费用项目",IF(AND(L2983&lt;&gt;"",COUNTIF(基础资料!$AI$5:$AI$54,L2983)=0),"✗ 费用项目不在基础资料里",IF(AND(IFERROR(INDEX(基础资料!$AD$5:$AD$34,MATCH(O2983,基础资料!$AC$5:$AC$34,0)),"")="收",N(G2983)&lt;&gt;0),"✗ 这类是收款，金额填到收入列",IF(AND(IFERROR(INDEX(基础资料!$AD$5:$AD$34,MATCH(O2983,基础资料!$AC$5:$AC$34,0)),"")="支",N(F2983)&lt;&gt;0),"✗ 这类是付款，金额填到支出列",IF(N(H2983)&lt;0,"⚠ 账户余额成负数了，核对一下","√"))))))))))))))))))</f>
      </c>
      <c r="O2983" s="78">
        <f>IF(D2983&lt;&gt;"",D2983,IF(AND(F2983="",G2983=""),"",IF(J2983&lt;&gt;"",IF(N(F2983)&gt;0,"客户回款","客户退款"),IF(K2983&lt;&gt;"",IF(N(G2983)&gt;0,"供应商付款","供应商退款"),IF(L2983&lt;&gt;"","费用支出","")))))</f>
      </c>
      <c r="P2983" s="78">
        <f>IF(O2983="","",IFERROR(INDEX(基础资料!$AE$5:$AE$34,MATCH(O2983,基础资料!$AC$5:$AC$34,0)),"未知"))</f>
      </c>
      <c r="Q2983" s="78">
        <f>IF(P2983="应收",COUNTIF(P$7:P2983,"应收"),"")</f>
      </c>
      <c r="R2983" s="78">
        <f>IF(P2983="应付",COUNTIF(P$7:P2983,"应付"),"")</f>
      </c>
      <c r="S2983" s="78">
        <f>N(F2983)-N(G2983)</f>
        <v>0</v>
      </c>
    </row>
    <row r="2984">
      <c r="A2984" s="109">
        <f>IF(AND(F2984="",G2984=""),"",ROW()-6)</f>
      </c>
      <c r="B2984" s="140" t="n"/>
      <c r="C2984" s="141" t="n"/>
      <c r="D2984" s="141" t="n"/>
      <c r="E2984" s="142" t="n"/>
      <c r="F2984" s="143" t="n"/>
      <c r="G2984" s="144" t="n"/>
      <c r="H2984" s="145">
        <f>IF(OR(C2984="",AND(F2984="",G2984="")),"",SUMIF(基础资料!$W$5:$W$24,C2984,基础资料!$X$5:$X$24)+SUMIF(C$7:C2984,C2984,F$7:F2984)-SUMIF(C$7:C2984,C2984,G$7:G2984))</f>
      </c>
      <c r="I2984" s="145">
        <f>IF(AND(F2984="",G2984=""),"",SUM(基础资料!$X$5:$X$24)+SUM(F$7:F2984)-SUM(G$7:G2984))</f>
      </c>
      <c r="J2984" s="141" t="n"/>
      <c r="K2984" s="141" t="n"/>
      <c r="L2984" s="141" t="n"/>
      <c r="M2984" s="142" t="n"/>
      <c r="N2984" s="146">
        <f>IF(AND(AND(F2984="",G2984=""),B2984="",C2984="",D2984="",J2984="",K2984="",L2984=""),"",IF(AND(F2984="",G2984=""),"✗ 没填金额",IF(AND(N(F2984)&lt;&gt;0,N(G2984)&lt;&gt;0),"✗ 收入、支出只能填一边",IF(NOT(ISNUMBER(B2984)),"✗ 日期不是真日期（要像 2026/9/25 这样填）",IF(OR(B2984&lt;年初日,B2984&gt;年末日),"✗ 日期不在本会计年度",IF(C2984="","✗ 没选账户",IF(COUNTIF(基础资料!$W$5:$W$24,C2984)=0,"✗ 账户不在基础资料里",IF(O2984="","✗ 没选收支项目",IF(P2984="未知","✗ 收支项目不在基础资料里",IF(AND(P2984="应收",J2984=""),"✗ 这笔要选客户",IF(AND(P2984="应收",COUNTIF(总览汇总!$B$5:$B$304,J2984)=0),"✗ 客户不在总览汇总名单里",IF(AND(P2984="应付",K2984=""),"✗ 这笔要选供应商",IF(AND(P2984="应付",COUNTIF(基础资料!$Q$5:$Q$54,K2984)=0),"✗ 供应商不在基础资料里",IF(AND(P2984="费用",L2984=""),"✗ 费用支出要选费用项目",IF(AND(L2984&lt;&gt;"",COUNTIF(基础资料!$AI$5:$AI$54,L2984)=0),"✗ 费用项目不在基础资料里",IF(AND(IFERROR(INDEX(基础资料!$AD$5:$AD$34,MATCH(O2984,基础资料!$AC$5:$AC$34,0)),"")="收",N(G2984)&lt;&gt;0),"✗ 这类是收款，金额填到收入列",IF(AND(IFERROR(INDEX(基础资料!$AD$5:$AD$34,MATCH(O2984,基础资料!$AC$5:$AC$34,0)),"")="支",N(F2984)&lt;&gt;0),"✗ 这类是付款，金额填到支出列",IF(N(H2984)&lt;0,"⚠ 账户余额成负数了，核对一下","√"))))))))))))))))))</f>
      </c>
      <c r="O2984" s="78">
        <f>IF(D2984&lt;&gt;"",D2984,IF(AND(F2984="",G2984=""),"",IF(J2984&lt;&gt;"",IF(N(F2984)&gt;0,"客户回款","客户退款"),IF(K2984&lt;&gt;"",IF(N(G2984)&gt;0,"供应商付款","供应商退款"),IF(L2984&lt;&gt;"","费用支出","")))))</f>
      </c>
      <c r="P2984" s="78">
        <f>IF(O2984="","",IFERROR(INDEX(基础资料!$AE$5:$AE$34,MATCH(O2984,基础资料!$AC$5:$AC$34,0)),"未知"))</f>
      </c>
      <c r="Q2984" s="78">
        <f>IF(P2984="应收",COUNTIF(P$7:P2984,"应收"),"")</f>
      </c>
      <c r="R2984" s="78">
        <f>IF(P2984="应付",COUNTIF(P$7:P2984,"应付"),"")</f>
      </c>
      <c r="S2984" s="78">
        <f>N(F2984)-N(G2984)</f>
        <v>0</v>
      </c>
    </row>
    <row r="2985">
      <c r="A2985" s="109">
        <f>IF(AND(F2985="",G2985=""),"",ROW()-6)</f>
      </c>
      <c r="B2985" s="140" t="n"/>
      <c r="C2985" s="141" t="n"/>
      <c r="D2985" s="141" t="n"/>
      <c r="E2985" s="142" t="n"/>
      <c r="F2985" s="143" t="n"/>
      <c r="G2985" s="144" t="n"/>
      <c r="H2985" s="145">
        <f>IF(OR(C2985="",AND(F2985="",G2985="")),"",SUMIF(基础资料!$W$5:$W$24,C2985,基础资料!$X$5:$X$24)+SUMIF(C$7:C2985,C2985,F$7:F2985)-SUMIF(C$7:C2985,C2985,G$7:G2985))</f>
      </c>
      <c r="I2985" s="145">
        <f>IF(AND(F2985="",G2985=""),"",SUM(基础资料!$X$5:$X$24)+SUM(F$7:F2985)-SUM(G$7:G2985))</f>
      </c>
      <c r="J2985" s="141" t="n"/>
      <c r="K2985" s="141" t="n"/>
      <c r="L2985" s="141" t="n"/>
      <c r="M2985" s="142" t="n"/>
      <c r="N2985" s="146">
        <f>IF(AND(AND(F2985="",G2985=""),B2985="",C2985="",D2985="",J2985="",K2985="",L2985=""),"",IF(AND(F2985="",G2985=""),"✗ 没填金额",IF(AND(N(F2985)&lt;&gt;0,N(G2985)&lt;&gt;0),"✗ 收入、支出只能填一边",IF(NOT(ISNUMBER(B2985)),"✗ 日期不是真日期（要像 2026/9/25 这样填）",IF(OR(B2985&lt;年初日,B2985&gt;年末日),"✗ 日期不在本会计年度",IF(C2985="","✗ 没选账户",IF(COUNTIF(基础资料!$W$5:$W$24,C2985)=0,"✗ 账户不在基础资料里",IF(O2985="","✗ 没选收支项目",IF(P2985="未知","✗ 收支项目不在基础资料里",IF(AND(P2985="应收",J2985=""),"✗ 这笔要选客户",IF(AND(P2985="应收",COUNTIF(总览汇总!$B$5:$B$304,J2985)=0),"✗ 客户不在总览汇总名单里",IF(AND(P2985="应付",K2985=""),"✗ 这笔要选供应商",IF(AND(P2985="应付",COUNTIF(基础资料!$Q$5:$Q$54,K2985)=0),"✗ 供应商不在基础资料里",IF(AND(P2985="费用",L2985=""),"✗ 费用支出要选费用项目",IF(AND(L2985&lt;&gt;"",COUNTIF(基础资料!$AI$5:$AI$54,L2985)=0),"✗ 费用项目不在基础资料里",IF(AND(IFERROR(INDEX(基础资料!$AD$5:$AD$34,MATCH(O2985,基础资料!$AC$5:$AC$34,0)),"")="收",N(G2985)&lt;&gt;0),"✗ 这类是收款，金额填到收入列",IF(AND(IFERROR(INDEX(基础资料!$AD$5:$AD$34,MATCH(O2985,基础资料!$AC$5:$AC$34,0)),"")="支",N(F2985)&lt;&gt;0),"✗ 这类是付款，金额填到支出列",IF(N(H2985)&lt;0,"⚠ 账户余额成负数了，核对一下","√"))))))))))))))))))</f>
      </c>
      <c r="O2985" s="78">
        <f>IF(D2985&lt;&gt;"",D2985,IF(AND(F2985="",G2985=""),"",IF(J2985&lt;&gt;"",IF(N(F2985)&gt;0,"客户回款","客户退款"),IF(K2985&lt;&gt;"",IF(N(G2985)&gt;0,"供应商付款","供应商退款"),IF(L2985&lt;&gt;"","费用支出","")))))</f>
      </c>
      <c r="P2985" s="78">
        <f>IF(O2985="","",IFERROR(INDEX(基础资料!$AE$5:$AE$34,MATCH(O2985,基础资料!$AC$5:$AC$34,0)),"未知"))</f>
      </c>
      <c r="Q2985" s="78">
        <f>IF(P2985="应收",COUNTIF(P$7:P2985,"应收"),"")</f>
      </c>
      <c r="R2985" s="78">
        <f>IF(P2985="应付",COUNTIF(P$7:P2985,"应付"),"")</f>
      </c>
      <c r="S2985" s="78">
        <f>N(F2985)-N(G2985)</f>
        <v>0</v>
      </c>
    </row>
    <row r="2986">
      <c r="A2986" s="109">
        <f>IF(AND(F2986="",G2986=""),"",ROW()-6)</f>
      </c>
      <c r="B2986" s="140" t="n"/>
      <c r="C2986" s="141" t="n"/>
      <c r="D2986" s="141" t="n"/>
      <c r="E2986" s="142" t="n"/>
      <c r="F2986" s="143" t="n"/>
      <c r="G2986" s="144" t="n"/>
      <c r="H2986" s="145">
        <f>IF(OR(C2986="",AND(F2986="",G2986="")),"",SUMIF(基础资料!$W$5:$W$24,C2986,基础资料!$X$5:$X$24)+SUMIF(C$7:C2986,C2986,F$7:F2986)-SUMIF(C$7:C2986,C2986,G$7:G2986))</f>
      </c>
      <c r="I2986" s="145">
        <f>IF(AND(F2986="",G2986=""),"",SUM(基础资料!$X$5:$X$24)+SUM(F$7:F2986)-SUM(G$7:G2986))</f>
      </c>
      <c r="J2986" s="141" t="n"/>
      <c r="K2986" s="141" t="n"/>
      <c r="L2986" s="141" t="n"/>
      <c r="M2986" s="142" t="n"/>
      <c r="N2986" s="146">
        <f>IF(AND(AND(F2986="",G2986=""),B2986="",C2986="",D2986="",J2986="",K2986="",L2986=""),"",IF(AND(F2986="",G2986=""),"✗ 没填金额",IF(AND(N(F2986)&lt;&gt;0,N(G2986)&lt;&gt;0),"✗ 收入、支出只能填一边",IF(NOT(ISNUMBER(B2986)),"✗ 日期不是真日期（要像 2026/9/25 这样填）",IF(OR(B2986&lt;年初日,B2986&gt;年末日),"✗ 日期不在本会计年度",IF(C2986="","✗ 没选账户",IF(COUNTIF(基础资料!$W$5:$W$24,C2986)=0,"✗ 账户不在基础资料里",IF(O2986="","✗ 没选收支项目",IF(P2986="未知","✗ 收支项目不在基础资料里",IF(AND(P2986="应收",J2986=""),"✗ 这笔要选客户",IF(AND(P2986="应收",COUNTIF(总览汇总!$B$5:$B$304,J2986)=0),"✗ 客户不在总览汇总名单里",IF(AND(P2986="应付",K2986=""),"✗ 这笔要选供应商",IF(AND(P2986="应付",COUNTIF(基础资料!$Q$5:$Q$54,K2986)=0),"✗ 供应商不在基础资料里",IF(AND(P2986="费用",L2986=""),"✗ 费用支出要选费用项目",IF(AND(L2986&lt;&gt;"",COUNTIF(基础资料!$AI$5:$AI$54,L2986)=0),"✗ 费用项目不在基础资料里",IF(AND(IFERROR(INDEX(基础资料!$AD$5:$AD$34,MATCH(O2986,基础资料!$AC$5:$AC$34,0)),"")="收",N(G2986)&lt;&gt;0),"✗ 这类是收款，金额填到收入列",IF(AND(IFERROR(INDEX(基础资料!$AD$5:$AD$34,MATCH(O2986,基础资料!$AC$5:$AC$34,0)),"")="支",N(F2986)&lt;&gt;0),"✗ 这类是付款，金额填到支出列",IF(N(H2986)&lt;0,"⚠ 账户余额成负数了，核对一下","√"))))))))))))))))))</f>
      </c>
      <c r="O2986" s="78">
        <f>IF(D2986&lt;&gt;"",D2986,IF(AND(F2986="",G2986=""),"",IF(J2986&lt;&gt;"",IF(N(F2986)&gt;0,"客户回款","客户退款"),IF(K2986&lt;&gt;"",IF(N(G2986)&gt;0,"供应商付款","供应商退款"),IF(L2986&lt;&gt;"","费用支出","")))))</f>
      </c>
      <c r="P2986" s="78">
        <f>IF(O2986="","",IFERROR(INDEX(基础资料!$AE$5:$AE$34,MATCH(O2986,基础资料!$AC$5:$AC$34,0)),"未知"))</f>
      </c>
      <c r="Q2986" s="78">
        <f>IF(P2986="应收",COUNTIF(P$7:P2986,"应收"),"")</f>
      </c>
      <c r="R2986" s="78">
        <f>IF(P2986="应付",COUNTIF(P$7:P2986,"应付"),"")</f>
      </c>
      <c r="S2986" s="78">
        <f>N(F2986)-N(G2986)</f>
        <v>0</v>
      </c>
    </row>
    <row r="2987">
      <c r="A2987" s="109">
        <f>IF(AND(F2987="",G2987=""),"",ROW()-6)</f>
      </c>
      <c r="B2987" s="140" t="n"/>
      <c r="C2987" s="141" t="n"/>
      <c r="D2987" s="141" t="n"/>
      <c r="E2987" s="142" t="n"/>
      <c r="F2987" s="143" t="n"/>
      <c r="G2987" s="144" t="n"/>
      <c r="H2987" s="145">
        <f>IF(OR(C2987="",AND(F2987="",G2987="")),"",SUMIF(基础资料!$W$5:$W$24,C2987,基础资料!$X$5:$X$24)+SUMIF(C$7:C2987,C2987,F$7:F2987)-SUMIF(C$7:C2987,C2987,G$7:G2987))</f>
      </c>
      <c r="I2987" s="145">
        <f>IF(AND(F2987="",G2987=""),"",SUM(基础资料!$X$5:$X$24)+SUM(F$7:F2987)-SUM(G$7:G2987))</f>
      </c>
      <c r="J2987" s="141" t="n"/>
      <c r="K2987" s="141" t="n"/>
      <c r="L2987" s="141" t="n"/>
      <c r="M2987" s="142" t="n"/>
      <c r="N2987" s="146">
        <f>IF(AND(AND(F2987="",G2987=""),B2987="",C2987="",D2987="",J2987="",K2987="",L2987=""),"",IF(AND(F2987="",G2987=""),"✗ 没填金额",IF(AND(N(F2987)&lt;&gt;0,N(G2987)&lt;&gt;0),"✗ 收入、支出只能填一边",IF(NOT(ISNUMBER(B2987)),"✗ 日期不是真日期（要像 2026/9/25 这样填）",IF(OR(B2987&lt;年初日,B2987&gt;年末日),"✗ 日期不在本会计年度",IF(C2987="","✗ 没选账户",IF(COUNTIF(基础资料!$W$5:$W$24,C2987)=0,"✗ 账户不在基础资料里",IF(O2987="","✗ 没选收支项目",IF(P2987="未知","✗ 收支项目不在基础资料里",IF(AND(P2987="应收",J2987=""),"✗ 这笔要选客户",IF(AND(P2987="应收",COUNTIF(总览汇总!$B$5:$B$304,J2987)=0),"✗ 客户不在总览汇总名单里",IF(AND(P2987="应付",K2987=""),"✗ 这笔要选供应商",IF(AND(P2987="应付",COUNTIF(基础资料!$Q$5:$Q$54,K2987)=0),"✗ 供应商不在基础资料里",IF(AND(P2987="费用",L2987=""),"✗ 费用支出要选费用项目",IF(AND(L2987&lt;&gt;"",COUNTIF(基础资料!$AI$5:$AI$54,L2987)=0),"✗ 费用项目不在基础资料里",IF(AND(IFERROR(INDEX(基础资料!$AD$5:$AD$34,MATCH(O2987,基础资料!$AC$5:$AC$34,0)),"")="收",N(G2987)&lt;&gt;0),"✗ 这类是收款，金额填到收入列",IF(AND(IFERROR(INDEX(基础资料!$AD$5:$AD$34,MATCH(O2987,基础资料!$AC$5:$AC$34,0)),"")="支",N(F2987)&lt;&gt;0),"✗ 这类是付款，金额填到支出列",IF(N(H2987)&lt;0,"⚠ 账户余额成负数了，核对一下","√"))))))))))))))))))</f>
      </c>
      <c r="O2987" s="78">
        <f>IF(D2987&lt;&gt;"",D2987,IF(AND(F2987="",G2987=""),"",IF(J2987&lt;&gt;"",IF(N(F2987)&gt;0,"客户回款","客户退款"),IF(K2987&lt;&gt;"",IF(N(G2987)&gt;0,"供应商付款","供应商退款"),IF(L2987&lt;&gt;"","费用支出","")))))</f>
      </c>
      <c r="P2987" s="78">
        <f>IF(O2987="","",IFERROR(INDEX(基础资料!$AE$5:$AE$34,MATCH(O2987,基础资料!$AC$5:$AC$34,0)),"未知"))</f>
      </c>
      <c r="Q2987" s="78">
        <f>IF(P2987="应收",COUNTIF(P$7:P2987,"应收"),"")</f>
      </c>
      <c r="R2987" s="78">
        <f>IF(P2987="应付",COUNTIF(P$7:P2987,"应付"),"")</f>
      </c>
      <c r="S2987" s="78">
        <f>N(F2987)-N(G2987)</f>
        <v>0</v>
      </c>
    </row>
    <row r="2988">
      <c r="A2988" s="109">
        <f>IF(AND(F2988="",G2988=""),"",ROW()-6)</f>
      </c>
      <c r="B2988" s="140" t="n"/>
      <c r="C2988" s="141" t="n"/>
      <c r="D2988" s="141" t="n"/>
      <c r="E2988" s="142" t="n"/>
      <c r="F2988" s="143" t="n"/>
      <c r="G2988" s="144" t="n"/>
      <c r="H2988" s="145">
        <f>IF(OR(C2988="",AND(F2988="",G2988="")),"",SUMIF(基础资料!$W$5:$W$24,C2988,基础资料!$X$5:$X$24)+SUMIF(C$7:C2988,C2988,F$7:F2988)-SUMIF(C$7:C2988,C2988,G$7:G2988))</f>
      </c>
      <c r="I2988" s="145">
        <f>IF(AND(F2988="",G2988=""),"",SUM(基础资料!$X$5:$X$24)+SUM(F$7:F2988)-SUM(G$7:G2988))</f>
      </c>
      <c r="J2988" s="141" t="n"/>
      <c r="K2988" s="141" t="n"/>
      <c r="L2988" s="141" t="n"/>
      <c r="M2988" s="142" t="n"/>
      <c r="N2988" s="146">
        <f>IF(AND(AND(F2988="",G2988=""),B2988="",C2988="",D2988="",J2988="",K2988="",L2988=""),"",IF(AND(F2988="",G2988=""),"✗ 没填金额",IF(AND(N(F2988)&lt;&gt;0,N(G2988)&lt;&gt;0),"✗ 收入、支出只能填一边",IF(NOT(ISNUMBER(B2988)),"✗ 日期不是真日期（要像 2026/9/25 这样填）",IF(OR(B2988&lt;年初日,B2988&gt;年末日),"✗ 日期不在本会计年度",IF(C2988="","✗ 没选账户",IF(COUNTIF(基础资料!$W$5:$W$24,C2988)=0,"✗ 账户不在基础资料里",IF(O2988="","✗ 没选收支项目",IF(P2988="未知","✗ 收支项目不在基础资料里",IF(AND(P2988="应收",J2988=""),"✗ 这笔要选客户",IF(AND(P2988="应收",COUNTIF(总览汇总!$B$5:$B$304,J2988)=0),"✗ 客户不在总览汇总名单里",IF(AND(P2988="应付",K2988=""),"✗ 这笔要选供应商",IF(AND(P2988="应付",COUNTIF(基础资料!$Q$5:$Q$54,K2988)=0),"✗ 供应商不在基础资料里",IF(AND(P2988="费用",L2988=""),"✗ 费用支出要选费用项目",IF(AND(L2988&lt;&gt;"",COUNTIF(基础资料!$AI$5:$AI$54,L2988)=0),"✗ 费用项目不在基础资料里",IF(AND(IFERROR(INDEX(基础资料!$AD$5:$AD$34,MATCH(O2988,基础资料!$AC$5:$AC$34,0)),"")="收",N(G2988)&lt;&gt;0),"✗ 这类是收款，金额填到收入列",IF(AND(IFERROR(INDEX(基础资料!$AD$5:$AD$34,MATCH(O2988,基础资料!$AC$5:$AC$34,0)),"")="支",N(F2988)&lt;&gt;0),"✗ 这类是付款，金额填到支出列",IF(N(H2988)&lt;0,"⚠ 账户余额成负数了，核对一下","√"))))))))))))))))))</f>
      </c>
      <c r="O2988" s="78">
        <f>IF(D2988&lt;&gt;"",D2988,IF(AND(F2988="",G2988=""),"",IF(J2988&lt;&gt;"",IF(N(F2988)&gt;0,"客户回款","客户退款"),IF(K2988&lt;&gt;"",IF(N(G2988)&gt;0,"供应商付款","供应商退款"),IF(L2988&lt;&gt;"","费用支出","")))))</f>
      </c>
      <c r="P2988" s="78">
        <f>IF(O2988="","",IFERROR(INDEX(基础资料!$AE$5:$AE$34,MATCH(O2988,基础资料!$AC$5:$AC$34,0)),"未知"))</f>
      </c>
      <c r="Q2988" s="78">
        <f>IF(P2988="应收",COUNTIF(P$7:P2988,"应收"),"")</f>
      </c>
      <c r="R2988" s="78">
        <f>IF(P2988="应付",COUNTIF(P$7:P2988,"应付"),"")</f>
      </c>
      <c r="S2988" s="78">
        <f>N(F2988)-N(G2988)</f>
        <v>0</v>
      </c>
    </row>
    <row r="2989">
      <c r="A2989" s="109">
        <f>IF(AND(F2989="",G2989=""),"",ROW()-6)</f>
      </c>
      <c r="B2989" s="140" t="n"/>
      <c r="C2989" s="141" t="n"/>
      <c r="D2989" s="141" t="n"/>
      <c r="E2989" s="142" t="n"/>
      <c r="F2989" s="143" t="n"/>
      <c r="G2989" s="144" t="n"/>
      <c r="H2989" s="145">
        <f>IF(OR(C2989="",AND(F2989="",G2989="")),"",SUMIF(基础资料!$W$5:$W$24,C2989,基础资料!$X$5:$X$24)+SUMIF(C$7:C2989,C2989,F$7:F2989)-SUMIF(C$7:C2989,C2989,G$7:G2989))</f>
      </c>
      <c r="I2989" s="145">
        <f>IF(AND(F2989="",G2989=""),"",SUM(基础资料!$X$5:$X$24)+SUM(F$7:F2989)-SUM(G$7:G2989))</f>
      </c>
      <c r="J2989" s="141" t="n"/>
      <c r="K2989" s="141" t="n"/>
      <c r="L2989" s="141" t="n"/>
      <c r="M2989" s="142" t="n"/>
      <c r="N2989" s="146">
        <f>IF(AND(AND(F2989="",G2989=""),B2989="",C2989="",D2989="",J2989="",K2989="",L2989=""),"",IF(AND(F2989="",G2989=""),"✗ 没填金额",IF(AND(N(F2989)&lt;&gt;0,N(G2989)&lt;&gt;0),"✗ 收入、支出只能填一边",IF(NOT(ISNUMBER(B2989)),"✗ 日期不是真日期（要像 2026/9/25 这样填）",IF(OR(B2989&lt;年初日,B2989&gt;年末日),"✗ 日期不在本会计年度",IF(C2989="","✗ 没选账户",IF(COUNTIF(基础资料!$W$5:$W$24,C2989)=0,"✗ 账户不在基础资料里",IF(O2989="","✗ 没选收支项目",IF(P2989="未知","✗ 收支项目不在基础资料里",IF(AND(P2989="应收",J2989=""),"✗ 这笔要选客户",IF(AND(P2989="应收",COUNTIF(总览汇总!$B$5:$B$304,J2989)=0),"✗ 客户不在总览汇总名单里",IF(AND(P2989="应付",K2989=""),"✗ 这笔要选供应商",IF(AND(P2989="应付",COUNTIF(基础资料!$Q$5:$Q$54,K2989)=0),"✗ 供应商不在基础资料里",IF(AND(P2989="费用",L2989=""),"✗ 费用支出要选费用项目",IF(AND(L2989&lt;&gt;"",COUNTIF(基础资料!$AI$5:$AI$54,L2989)=0),"✗ 费用项目不在基础资料里",IF(AND(IFERROR(INDEX(基础资料!$AD$5:$AD$34,MATCH(O2989,基础资料!$AC$5:$AC$34,0)),"")="收",N(G2989)&lt;&gt;0),"✗ 这类是收款，金额填到收入列",IF(AND(IFERROR(INDEX(基础资料!$AD$5:$AD$34,MATCH(O2989,基础资料!$AC$5:$AC$34,0)),"")="支",N(F2989)&lt;&gt;0),"✗ 这类是付款，金额填到支出列",IF(N(H2989)&lt;0,"⚠ 账户余额成负数了，核对一下","√"))))))))))))))))))</f>
      </c>
      <c r="O2989" s="78">
        <f>IF(D2989&lt;&gt;"",D2989,IF(AND(F2989="",G2989=""),"",IF(J2989&lt;&gt;"",IF(N(F2989)&gt;0,"客户回款","客户退款"),IF(K2989&lt;&gt;"",IF(N(G2989)&gt;0,"供应商付款","供应商退款"),IF(L2989&lt;&gt;"","费用支出","")))))</f>
      </c>
      <c r="P2989" s="78">
        <f>IF(O2989="","",IFERROR(INDEX(基础资料!$AE$5:$AE$34,MATCH(O2989,基础资料!$AC$5:$AC$34,0)),"未知"))</f>
      </c>
      <c r="Q2989" s="78">
        <f>IF(P2989="应收",COUNTIF(P$7:P2989,"应收"),"")</f>
      </c>
      <c r="R2989" s="78">
        <f>IF(P2989="应付",COUNTIF(P$7:P2989,"应付"),"")</f>
      </c>
      <c r="S2989" s="78">
        <f>N(F2989)-N(G2989)</f>
        <v>0</v>
      </c>
    </row>
    <row r="2990">
      <c r="A2990" s="109">
        <f>IF(AND(F2990="",G2990=""),"",ROW()-6)</f>
      </c>
      <c r="B2990" s="140" t="n"/>
      <c r="C2990" s="141" t="n"/>
      <c r="D2990" s="141" t="n"/>
      <c r="E2990" s="142" t="n"/>
      <c r="F2990" s="143" t="n"/>
      <c r="G2990" s="144" t="n"/>
      <c r="H2990" s="145">
        <f>IF(OR(C2990="",AND(F2990="",G2990="")),"",SUMIF(基础资料!$W$5:$W$24,C2990,基础资料!$X$5:$X$24)+SUMIF(C$7:C2990,C2990,F$7:F2990)-SUMIF(C$7:C2990,C2990,G$7:G2990))</f>
      </c>
      <c r="I2990" s="145">
        <f>IF(AND(F2990="",G2990=""),"",SUM(基础资料!$X$5:$X$24)+SUM(F$7:F2990)-SUM(G$7:G2990))</f>
      </c>
      <c r="J2990" s="141" t="n"/>
      <c r="K2990" s="141" t="n"/>
      <c r="L2990" s="141" t="n"/>
      <c r="M2990" s="142" t="n"/>
      <c r="N2990" s="146">
        <f>IF(AND(AND(F2990="",G2990=""),B2990="",C2990="",D2990="",J2990="",K2990="",L2990=""),"",IF(AND(F2990="",G2990=""),"✗ 没填金额",IF(AND(N(F2990)&lt;&gt;0,N(G2990)&lt;&gt;0),"✗ 收入、支出只能填一边",IF(NOT(ISNUMBER(B2990)),"✗ 日期不是真日期（要像 2026/9/25 这样填）",IF(OR(B2990&lt;年初日,B2990&gt;年末日),"✗ 日期不在本会计年度",IF(C2990="","✗ 没选账户",IF(COUNTIF(基础资料!$W$5:$W$24,C2990)=0,"✗ 账户不在基础资料里",IF(O2990="","✗ 没选收支项目",IF(P2990="未知","✗ 收支项目不在基础资料里",IF(AND(P2990="应收",J2990=""),"✗ 这笔要选客户",IF(AND(P2990="应收",COUNTIF(总览汇总!$B$5:$B$304,J2990)=0),"✗ 客户不在总览汇总名单里",IF(AND(P2990="应付",K2990=""),"✗ 这笔要选供应商",IF(AND(P2990="应付",COUNTIF(基础资料!$Q$5:$Q$54,K2990)=0),"✗ 供应商不在基础资料里",IF(AND(P2990="费用",L2990=""),"✗ 费用支出要选费用项目",IF(AND(L2990&lt;&gt;"",COUNTIF(基础资料!$AI$5:$AI$54,L2990)=0),"✗ 费用项目不在基础资料里",IF(AND(IFERROR(INDEX(基础资料!$AD$5:$AD$34,MATCH(O2990,基础资料!$AC$5:$AC$34,0)),"")="收",N(G2990)&lt;&gt;0),"✗ 这类是收款，金额填到收入列",IF(AND(IFERROR(INDEX(基础资料!$AD$5:$AD$34,MATCH(O2990,基础资料!$AC$5:$AC$34,0)),"")="支",N(F2990)&lt;&gt;0),"✗ 这类是付款，金额填到支出列",IF(N(H2990)&lt;0,"⚠ 账户余额成负数了，核对一下","√"))))))))))))))))))</f>
      </c>
      <c r="O2990" s="78">
        <f>IF(D2990&lt;&gt;"",D2990,IF(AND(F2990="",G2990=""),"",IF(J2990&lt;&gt;"",IF(N(F2990)&gt;0,"客户回款","客户退款"),IF(K2990&lt;&gt;"",IF(N(G2990)&gt;0,"供应商付款","供应商退款"),IF(L2990&lt;&gt;"","费用支出","")))))</f>
      </c>
      <c r="P2990" s="78">
        <f>IF(O2990="","",IFERROR(INDEX(基础资料!$AE$5:$AE$34,MATCH(O2990,基础资料!$AC$5:$AC$34,0)),"未知"))</f>
      </c>
      <c r="Q2990" s="78">
        <f>IF(P2990="应收",COUNTIF(P$7:P2990,"应收"),"")</f>
      </c>
      <c r="R2990" s="78">
        <f>IF(P2990="应付",COUNTIF(P$7:P2990,"应付"),"")</f>
      </c>
      <c r="S2990" s="78">
        <f>N(F2990)-N(G2990)</f>
        <v>0</v>
      </c>
    </row>
    <row r="2991">
      <c r="A2991" s="109">
        <f>IF(AND(F2991="",G2991=""),"",ROW()-6)</f>
      </c>
      <c r="B2991" s="140" t="n"/>
      <c r="C2991" s="141" t="n"/>
      <c r="D2991" s="141" t="n"/>
      <c r="E2991" s="142" t="n"/>
      <c r="F2991" s="143" t="n"/>
      <c r="G2991" s="144" t="n"/>
      <c r="H2991" s="145">
        <f>IF(OR(C2991="",AND(F2991="",G2991="")),"",SUMIF(基础资料!$W$5:$W$24,C2991,基础资料!$X$5:$X$24)+SUMIF(C$7:C2991,C2991,F$7:F2991)-SUMIF(C$7:C2991,C2991,G$7:G2991))</f>
      </c>
      <c r="I2991" s="145">
        <f>IF(AND(F2991="",G2991=""),"",SUM(基础资料!$X$5:$X$24)+SUM(F$7:F2991)-SUM(G$7:G2991))</f>
      </c>
      <c r="J2991" s="141" t="n"/>
      <c r="K2991" s="141" t="n"/>
      <c r="L2991" s="141" t="n"/>
      <c r="M2991" s="142" t="n"/>
      <c r="N2991" s="146">
        <f>IF(AND(AND(F2991="",G2991=""),B2991="",C2991="",D2991="",J2991="",K2991="",L2991=""),"",IF(AND(F2991="",G2991=""),"✗ 没填金额",IF(AND(N(F2991)&lt;&gt;0,N(G2991)&lt;&gt;0),"✗ 收入、支出只能填一边",IF(NOT(ISNUMBER(B2991)),"✗ 日期不是真日期（要像 2026/9/25 这样填）",IF(OR(B2991&lt;年初日,B2991&gt;年末日),"✗ 日期不在本会计年度",IF(C2991="","✗ 没选账户",IF(COUNTIF(基础资料!$W$5:$W$24,C2991)=0,"✗ 账户不在基础资料里",IF(O2991="","✗ 没选收支项目",IF(P2991="未知","✗ 收支项目不在基础资料里",IF(AND(P2991="应收",J2991=""),"✗ 这笔要选客户",IF(AND(P2991="应收",COUNTIF(总览汇总!$B$5:$B$304,J2991)=0),"✗ 客户不在总览汇总名单里",IF(AND(P2991="应付",K2991=""),"✗ 这笔要选供应商",IF(AND(P2991="应付",COUNTIF(基础资料!$Q$5:$Q$54,K2991)=0),"✗ 供应商不在基础资料里",IF(AND(P2991="费用",L2991=""),"✗ 费用支出要选费用项目",IF(AND(L2991&lt;&gt;"",COUNTIF(基础资料!$AI$5:$AI$54,L2991)=0),"✗ 费用项目不在基础资料里",IF(AND(IFERROR(INDEX(基础资料!$AD$5:$AD$34,MATCH(O2991,基础资料!$AC$5:$AC$34,0)),"")="收",N(G2991)&lt;&gt;0),"✗ 这类是收款，金额填到收入列",IF(AND(IFERROR(INDEX(基础资料!$AD$5:$AD$34,MATCH(O2991,基础资料!$AC$5:$AC$34,0)),"")="支",N(F2991)&lt;&gt;0),"✗ 这类是付款，金额填到支出列",IF(N(H2991)&lt;0,"⚠ 账户余额成负数了，核对一下","√"))))))))))))))))))</f>
      </c>
      <c r="O2991" s="78">
        <f>IF(D2991&lt;&gt;"",D2991,IF(AND(F2991="",G2991=""),"",IF(J2991&lt;&gt;"",IF(N(F2991)&gt;0,"客户回款","客户退款"),IF(K2991&lt;&gt;"",IF(N(G2991)&gt;0,"供应商付款","供应商退款"),IF(L2991&lt;&gt;"","费用支出","")))))</f>
      </c>
      <c r="P2991" s="78">
        <f>IF(O2991="","",IFERROR(INDEX(基础资料!$AE$5:$AE$34,MATCH(O2991,基础资料!$AC$5:$AC$34,0)),"未知"))</f>
      </c>
      <c r="Q2991" s="78">
        <f>IF(P2991="应收",COUNTIF(P$7:P2991,"应收"),"")</f>
      </c>
      <c r="R2991" s="78">
        <f>IF(P2991="应付",COUNTIF(P$7:P2991,"应付"),"")</f>
      </c>
      <c r="S2991" s="78">
        <f>N(F2991)-N(G2991)</f>
        <v>0</v>
      </c>
    </row>
    <row r="2992">
      <c r="A2992" s="109">
        <f>IF(AND(F2992="",G2992=""),"",ROW()-6)</f>
      </c>
      <c r="B2992" s="140" t="n"/>
      <c r="C2992" s="141" t="n"/>
      <c r="D2992" s="141" t="n"/>
      <c r="E2992" s="142" t="n"/>
      <c r="F2992" s="143" t="n"/>
      <c r="G2992" s="144" t="n"/>
      <c r="H2992" s="145">
        <f>IF(OR(C2992="",AND(F2992="",G2992="")),"",SUMIF(基础资料!$W$5:$W$24,C2992,基础资料!$X$5:$X$24)+SUMIF(C$7:C2992,C2992,F$7:F2992)-SUMIF(C$7:C2992,C2992,G$7:G2992))</f>
      </c>
      <c r="I2992" s="145">
        <f>IF(AND(F2992="",G2992=""),"",SUM(基础资料!$X$5:$X$24)+SUM(F$7:F2992)-SUM(G$7:G2992))</f>
      </c>
      <c r="J2992" s="141" t="n"/>
      <c r="K2992" s="141" t="n"/>
      <c r="L2992" s="141" t="n"/>
      <c r="M2992" s="142" t="n"/>
      <c r="N2992" s="146">
        <f>IF(AND(AND(F2992="",G2992=""),B2992="",C2992="",D2992="",J2992="",K2992="",L2992=""),"",IF(AND(F2992="",G2992=""),"✗ 没填金额",IF(AND(N(F2992)&lt;&gt;0,N(G2992)&lt;&gt;0),"✗ 收入、支出只能填一边",IF(NOT(ISNUMBER(B2992)),"✗ 日期不是真日期（要像 2026/9/25 这样填）",IF(OR(B2992&lt;年初日,B2992&gt;年末日),"✗ 日期不在本会计年度",IF(C2992="","✗ 没选账户",IF(COUNTIF(基础资料!$W$5:$W$24,C2992)=0,"✗ 账户不在基础资料里",IF(O2992="","✗ 没选收支项目",IF(P2992="未知","✗ 收支项目不在基础资料里",IF(AND(P2992="应收",J2992=""),"✗ 这笔要选客户",IF(AND(P2992="应收",COUNTIF(总览汇总!$B$5:$B$304,J2992)=0),"✗ 客户不在总览汇总名单里",IF(AND(P2992="应付",K2992=""),"✗ 这笔要选供应商",IF(AND(P2992="应付",COUNTIF(基础资料!$Q$5:$Q$54,K2992)=0),"✗ 供应商不在基础资料里",IF(AND(P2992="费用",L2992=""),"✗ 费用支出要选费用项目",IF(AND(L2992&lt;&gt;"",COUNTIF(基础资料!$AI$5:$AI$54,L2992)=0),"✗ 费用项目不在基础资料里",IF(AND(IFERROR(INDEX(基础资料!$AD$5:$AD$34,MATCH(O2992,基础资料!$AC$5:$AC$34,0)),"")="收",N(G2992)&lt;&gt;0),"✗ 这类是收款，金额填到收入列",IF(AND(IFERROR(INDEX(基础资料!$AD$5:$AD$34,MATCH(O2992,基础资料!$AC$5:$AC$34,0)),"")="支",N(F2992)&lt;&gt;0),"✗ 这类是付款，金额填到支出列",IF(N(H2992)&lt;0,"⚠ 账户余额成负数了，核对一下","√"))))))))))))))))))</f>
      </c>
      <c r="O2992" s="78">
        <f>IF(D2992&lt;&gt;"",D2992,IF(AND(F2992="",G2992=""),"",IF(J2992&lt;&gt;"",IF(N(F2992)&gt;0,"客户回款","客户退款"),IF(K2992&lt;&gt;"",IF(N(G2992)&gt;0,"供应商付款","供应商退款"),IF(L2992&lt;&gt;"","费用支出","")))))</f>
      </c>
      <c r="P2992" s="78">
        <f>IF(O2992="","",IFERROR(INDEX(基础资料!$AE$5:$AE$34,MATCH(O2992,基础资料!$AC$5:$AC$34,0)),"未知"))</f>
      </c>
      <c r="Q2992" s="78">
        <f>IF(P2992="应收",COUNTIF(P$7:P2992,"应收"),"")</f>
      </c>
      <c r="R2992" s="78">
        <f>IF(P2992="应付",COUNTIF(P$7:P2992,"应付"),"")</f>
      </c>
      <c r="S2992" s="78">
        <f>N(F2992)-N(G2992)</f>
        <v>0</v>
      </c>
    </row>
    <row r="2993">
      <c r="A2993" s="109">
        <f>IF(AND(F2993="",G2993=""),"",ROW()-6)</f>
      </c>
      <c r="B2993" s="140" t="n"/>
      <c r="C2993" s="141" t="n"/>
      <c r="D2993" s="141" t="n"/>
      <c r="E2993" s="142" t="n"/>
      <c r="F2993" s="143" t="n"/>
      <c r="G2993" s="144" t="n"/>
      <c r="H2993" s="145">
        <f>IF(OR(C2993="",AND(F2993="",G2993="")),"",SUMIF(基础资料!$W$5:$W$24,C2993,基础资料!$X$5:$X$24)+SUMIF(C$7:C2993,C2993,F$7:F2993)-SUMIF(C$7:C2993,C2993,G$7:G2993))</f>
      </c>
      <c r="I2993" s="145">
        <f>IF(AND(F2993="",G2993=""),"",SUM(基础资料!$X$5:$X$24)+SUM(F$7:F2993)-SUM(G$7:G2993))</f>
      </c>
      <c r="J2993" s="141" t="n"/>
      <c r="K2993" s="141" t="n"/>
      <c r="L2993" s="141" t="n"/>
      <c r="M2993" s="142" t="n"/>
      <c r="N2993" s="146">
        <f>IF(AND(AND(F2993="",G2993=""),B2993="",C2993="",D2993="",J2993="",K2993="",L2993=""),"",IF(AND(F2993="",G2993=""),"✗ 没填金额",IF(AND(N(F2993)&lt;&gt;0,N(G2993)&lt;&gt;0),"✗ 收入、支出只能填一边",IF(NOT(ISNUMBER(B2993)),"✗ 日期不是真日期（要像 2026/9/25 这样填）",IF(OR(B2993&lt;年初日,B2993&gt;年末日),"✗ 日期不在本会计年度",IF(C2993="","✗ 没选账户",IF(COUNTIF(基础资料!$W$5:$W$24,C2993)=0,"✗ 账户不在基础资料里",IF(O2993="","✗ 没选收支项目",IF(P2993="未知","✗ 收支项目不在基础资料里",IF(AND(P2993="应收",J2993=""),"✗ 这笔要选客户",IF(AND(P2993="应收",COUNTIF(总览汇总!$B$5:$B$304,J2993)=0),"✗ 客户不在总览汇总名单里",IF(AND(P2993="应付",K2993=""),"✗ 这笔要选供应商",IF(AND(P2993="应付",COUNTIF(基础资料!$Q$5:$Q$54,K2993)=0),"✗ 供应商不在基础资料里",IF(AND(P2993="费用",L2993=""),"✗ 费用支出要选费用项目",IF(AND(L2993&lt;&gt;"",COUNTIF(基础资料!$AI$5:$AI$54,L2993)=0),"✗ 费用项目不在基础资料里",IF(AND(IFERROR(INDEX(基础资料!$AD$5:$AD$34,MATCH(O2993,基础资料!$AC$5:$AC$34,0)),"")="收",N(G2993)&lt;&gt;0),"✗ 这类是收款，金额填到收入列",IF(AND(IFERROR(INDEX(基础资料!$AD$5:$AD$34,MATCH(O2993,基础资料!$AC$5:$AC$34,0)),"")="支",N(F2993)&lt;&gt;0),"✗ 这类是付款，金额填到支出列",IF(N(H2993)&lt;0,"⚠ 账户余额成负数了，核对一下","√"))))))))))))))))))</f>
      </c>
      <c r="O2993" s="78">
        <f>IF(D2993&lt;&gt;"",D2993,IF(AND(F2993="",G2993=""),"",IF(J2993&lt;&gt;"",IF(N(F2993)&gt;0,"客户回款","客户退款"),IF(K2993&lt;&gt;"",IF(N(G2993)&gt;0,"供应商付款","供应商退款"),IF(L2993&lt;&gt;"","费用支出","")))))</f>
      </c>
      <c r="P2993" s="78">
        <f>IF(O2993="","",IFERROR(INDEX(基础资料!$AE$5:$AE$34,MATCH(O2993,基础资料!$AC$5:$AC$34,0)),"未知"))</f>
      </c>
      <c r="Q2993" s="78">
        <f>IF(P2993="应收",COUNTIF(P$7:P2993,"应收"),"")</f>
      </c>
      <c r="R2993" s="78">
        <f>IF(P2993="应付",COUNTIF(P$7:P2993,"应付"),"")</f>
      </c>
      <c r="S2993" s="78">
        <f>N(F2993)-N(G2993)</f>
        <v>0</v>
      </c>
    </row>
    <row r="2994">
      <c r="A2994" s="109">
        <f>IF(AND(F2994="",G2994=""),"",ROW()-6)</f>
      </c>
      <c r="B2994" s="140" t="n"/>
      <c r="C2994" s="141" t="n"/>
      <c r="D2994" s="141" t="n"/>
      <c r="E2994" s="142" t="n"/>
      <c r="F2994" s="143" t="n"/>
      <c r="G2994" s="144" t="n"/>
      <c r="H2994" s="145">
        <f>IF(OR(C2994="",AND(F2994="",G2994="")),"",SUMIF(基础资料!$W$5:$W$24,C2994,基础资料!$X$5:$X$24)+SUMIF(C$7:C2994,C2994,F$7:F2994)-SUMIF(C$7:C2994,C2994,G$7:G2994))</f>
      </c>
      <c r="I2994" s="145">
        <f>IF(AND(F2994="",G2994=""),"",SUM(基础资料!$X$5:$X$24)+SUM(F$7:F2994)-SUM(G$7:G2994))</f>
      </c>
      <c r="J2994" s="141" t="n"/>
      <c r="K2994" s="141" t="n"/>
      <c r="L2994" s="141" t="n"/>
      <c r="M2994" s="142" t="n"/>
      <c r="N2994" s="146">
        <f>IF(AND(AND(F2994="",G2994=""),B2994="",C2994="",D2994="",J2994="",K2994="",L2994=""),"",IF(AND(F2994="",G2994=""),"✗ 没填金额",IF(AND(N(F2994)&lt;&gt;0,N(G2994)&lt;&gt;0),"✗ 收入、支出只能填一边",IF(NOT(ISNUMBER(B2994)),"✗ 日期不是真日期（要像 2026/9/25 这样填）",IF(OR(B2994&lt;年初日,B2994&gt;年末日),"✗ 日期不在本会计年度",IF(C2994="","✗ 没选账户",IF(COUNTIF(基础资料!$W$5:$W$24,C2994)=0,"✗ 账户不在基础资料里",IF(O2994="","✗ 没选收支项目",IF(P2994="未知","✗ 收支项目不在基础资料里",IF(AND(P2994="应收",J2994=""),"✗ 这笔要选客户",IF(AND(P2994="应收",COUNTIF(总览汇总!$B$5:$B$304,J2994)=0),"✗ 客户不在总览汇总名单里",IF(AND(P2994="应付",K2994=""),"✗ 这笔要选供应商",IF(AND(P2994="应付",COUNTIF(基础资料!$Q$5:$Q$54,K2994)=0),"✗ 供应商不在基础资料里",IF(AND(P2994="费用",L2994=""),"✗ 费用支出要选费用项目",IF(AND(L2994&lt;&gt;"",COUNTIF(基础资料!$AI$5:$AI$54,L2994)=0),"✗ 费用项目不在基础资料里",IF(AND(IFERROR(INDEX(基础资料!$AD$5:$AD$34,MATCH(O2994,基础资料!$AC$5:$AC$34,0)),"")="收",N(G2994)&lt;&gt;0),"✗ 这类是收款，金额填到收入列",IF(AND(IFERROR(INDEX(基础资料!$AD$5:$AD$34,MATCH(O2994,基础资料!$AC$5:$AC$34,0)),"")="支",N(F2994)&lt;&gt;0),"✗ 这类是付款，金额填到支出列",IF(N(H2994)&lt;0,"⚠ 账户余额成负数了，核对一下","√"))))))))))))))))))</f>
      </c>
      <c r="O2994" s="78">
        <f>IF(D2994&lt;&gt;"",D2994,IF(AND(F2994="",G2994=""),"",IF(J2994&lt;&gt;"",IF(N(F2994)&gt;0,"客户回款","客户退款"),IF(K2994&lt;&gt;"",IF(N(G2994)&gt;0,"供应商付款","供应商退款"),IF(L2994&lt;&gt;"","费用支出","")))))</f>
      </c>
      <c r="P2994" s="78">
        <f>IF(O2994="","",IFERROR(INDEX(基础资料!$AE$5:$AE$34,MATCH(O2994,基础资料!$AC$5:$AC$34,0)),"未知"))</f>
      </c>
      <c r="Q2994" s="78">
        <f>IF(P2994="应收",COUNTIF(P$7:P2994,"应收"),"")</f>
      </c>
      <c r="R2994" s="78">
        <f>IF(P2994="应付",COUNTIF(P$7:P2994,"应付"),"")</f>
      </c>
      <c r="S2994" s="78">
        <f>N(F2994)-N(G2994)</f>
        <v>0</v>
      </c>
    </row>
    <row r="2995">
      <c r="A2995" s="109">
        <f>IF(AND(F2995="",G2995=""),"",ROW()-6)</f>
      </c>
      <c r="B2995" s="140" t="n"/>
      <c r="C2995" s="141" t="n"/>
      <c r="D2995" s="141" t="n"/>
      <c r="E2995" s="142" t="n"/>
      <c r="F2995" s="143" t="n"/>
      <c r="G2995" s="144" t="n"/>
      <c r="H2995" s="145">
        <f>IF(OR(C2995="",AND(F2995="",G2995="")),"",SUMIF(基础资料!$W$5:$W$24,C2995,基础资料!$X$5:$X$24)+SUMIF(C$7:C2995,C2995,F$7:F2995)-SUMIF(C$7:C2995,C2995,G$7:G2995))</f>
      </c>
      <c r="I2995" s="145">
        <f>IF(AND(F2995="",G2995=""),"",SUM(基础资料!$X$5:$X$24)+SUM(F$7:F2995)-SUM(G$7:G2995))</f>
      </c>
      <c r="J2995" s="141" t="n"/>
      <c r="K2995" s="141" t="n"/>
      <c r="L2995" s="141" t="n"/>
      <c r="M2995" s="142" t="n"/>
      <c r="N2995" s="146">
        <f>IF(AND(AND(F2995="",G2995=""),B2995="",C2995="",D2995="",J2995="",K2995="",L2995=""),"",IF(AND(F2995="",G2995=""),"✗ 没填金额",IF(AND(N(F2995)&lt;&gt;0,N(G2995)&lt;&gt;0),"✗ 收入、支出只能填一边",IF(NOT(ISNUMBER(B2995)),"✗ 日期不是真日期（要像 2026/9/25 这样填）",IF(OR(B2995&lt;年初日,B2995&gt;年末日),"✗ 日期不在本会计年度",IF(C2995="","✗ 没选账户",IF(COUNTIF(基础资料!$W$5:$W$24,C2995)=0,"✗ 账户不在基础资料里",IF(O2995="","✗ 没选收支项目",IF(P2995="未知","✗ 收支项目不在基础资料里",IF(AND(P2995="应收",J2995=""),"✗ 这笔要选客户",IF(AND(P2995="应收",COUNTIF(总览汇总!$B$5:$B$304,J2995)=0),"✗ 客户不在总览汇总名单里",IF(AND(P2995="应付",K2995=""),"✗ 这笔要选供应商",IF(AND(P2995="应付",COUNTIF(基础资料!$Q$5:$Q$54,K2995)=0),"✗ 供应商不在基础资料里",IF(AND(P2995="费用",L2995=""),"✗ 费用支出要选费用项目",IF(AND(L2995&lt;&gt;"",COUNTIF(基础资料!$AI$5:$AI$54,L2995)=0),"✗ 费用项目不在基础资料里",IF(AND(IFERROR(INDEX(基础资料!$AD$5:$AD$34,MATCH(O2995,基础资料!$AC$5:$AC$34,0)),"")="收",N(G2995)&lt;&gt;0),"✗ 这类是收款，金额填到收入列",IF(AND(IFERROR(INDEX(基础资料!$AD$5:$AD$34,MATCH(O2995,基础资料!$AC$5:$AC$34,0)),"")="支",N(F2995)&lt;&gt;0),"✗ 这类是付款，金额填到支出列",IF(N(H2995)&lt;0,"⚠ 账户余额成负数了，核对一下","√"))))))))))))))))))</f>
      </c>
      <c r="O2995" s="78">
        <f>IF(D2995&lt;&gt;"",D2995,IF(AND(F2995="",G2995=""),"",IF(J2995&lt;&gt;"",IF(N(F2995)&gt;0,"客户回款","客户退款"),IF(K2995&lt;&gt;"",IF(N(G2995)&gt;0,"供应商付款","供应商退款"),IF(L2995&lt;&gt;"","费用支出","")))))</f>
      </c>
      <c r="P2995" s="78">
        <f>IF(O2995="","",IFERROR(INDEX(基础资料!$AE$5:$AE$34,MATCH(O2995,基础资料!$AC$5:$AC$34,0)),"未知"))</f>
      </c>
      <c r="Q2995" s="78">
        <f>IF(P2995="应收",COUNTIF(P$7:P2995,"应收"),"")</f>
      </c>
      <c r="R2995" s="78">
        <f>IF(P2995="应付",COUNTIF(P$7:P2995,"应付"),"")</f>
      </c>
      <c r="S2995" s="78">
        <f>N(F2995)-N(G2995)</f>
        <v>0</v>
      </c>
    </row>
    <row r="2996">
      <c r="A2996" s="109">
        <f>IF(AND(F2996="",G2996=""),"",ROW()-6)</f>
      </c>
      <c r="B2996" s="140" t="n"/>
      <c r="C2996" s="141" t="n"/>
      <c r="D2996" s="141" t="n"/>
      <c r="E2996" s="142" t="n"/>
      <c r="F2996" s="143" t="n"/>
      <c r="G2996" s="144" t="n"/>
      <c r="H2996" s="145">
        <f>IF(OR(C2996="",AND(F2996="",G2996="")),"",SUMIF(基础资料!$W$5:$W$24,C2996,基础资料!$X$5:$X$24)+SUMIF(C$7:C2996,C2996,F$7:F2996)-SUMIF(C$7:C2996,C2996,G$7:G2996))</f>
      </c>
      <c r="I2996" s="145">
        <f>IF(AND(F2996="",G2996=""),"",SUM(基础资料!$X$5:$X$24)+SUM(F$7:F2996)-SUM(G$7:G2996))</f>
      </c>
      <c r="J2996" s="141" t="n"/>
      <c r="K2996" s="141" t="n"/>
      <c r="L2996" s="141" t="n"/>
      <c r="M2996" s="142" t="n"/>
      <c r="N2996" s="146">
        <f>IF(AND(AND(F2996="",G2996=""),B2996="",C2996="",D2996="",J2996="",K2996="",L2996=""),"",IF(AND(F2996="",G2996=""),"✗ 没填金额",IF(AND(N(F2996)&lt;&gt;0,N(G2996)&lt;&gt;0),"✗ 收入、支出只能填一边",IF(NOT(ISNUMBER(B2996)),"✗ 日期不是真日期（要像 2026/9/25 这样填）",IF(OR(B2996&lt;年初日,B2996&gt;年末日),"✗ 日期不在本会计年度",IF(C2996="","✗ 没选账户",IF(COUNTIF(基础资料!$W$5:$W$24,C2996)=0,"✗ 账户不在基础资料里",IF(O2996="","✗ 没选收支项目",IF(P2996="未知","✗ 收支项目不在基础资料里",IF(AND(P2996="应收",J2996=""),"✗ 这笔要选客户",IF(AND(P2996="应收",COUNTIF(总览汇总!$B$5:$B$304,J2996)=0),"✗ 客户不在总览汇总名单里",IF(AND(P2996="应付",K2996=""),"✗ 这笔要选供应商",IF(AND(P2996="应付",COUNTIF(基础资料!$Q$5:$Q$54,K2996)=0),"✗ 供应商不在基础资料里",IF(AND(P2996="费用",L2996=""),"✗ 费用支出要选费用项目",IF(AND(L2996&lt;&gt;"",COUNTIF(基础资料!$AI$5:$AI$54,L2996)=0),"✗ 费用项目不在基础资料里",IF(AND(IFERROR(INDEX(基础资料!$AD$5:$AD$34,MATCH(O2996,基础资料!$AC$5:$AC$34,0)),"")="收",N(G2996)&lt;&gt;0),"✗ 这类是收款，金额填到收入列",IF(AND(IFERROR(INDEX(基础资料!$AD$5:$AD$34,MATCH(O2996,基础资料!$AC$5:$AC$34,0)),"")="支",N(F2996)&lt;&gt;0),"✗ 这类是付款，金额填到支出列",IF(N(H2996)&lt;0,"⚠ 账户余额成负数了，核对一下","√"))))))))))))))))))</f>
      </c>
      <c r="O2996" s="78">
        <f>IF(D2996&lt;&gt;"",D2996,IF(AND(F2996="",G2996=""),"",IF(J2996&lt;&gt;"",IF(N(F2996)&gt;0,"客户回款","客户退款"),IF(K2996&lt;&gt;"",IF(N(G2996)&gt;0,"供应商付款","供应商退款"),IF(L2996&lt;&gt;"","费用支出","")))))</f>
      </c>
      <c r="P2996" s="78">
        <f>IF(O2996="","",IFERROR(INDEX(基础资料!$AE$5:$AE$34,MATCH(O2996,基础资料!$AC$5:$AC$34,0)),"未知"))</f>
      </c>
      <c r="Q2996" s="78">
        <f>IF(P2996="应收",COUNTIF(P$7:P2996,"应收"),"")</f>
      </c>
      <c r="R2996" s="78">
        <f>IF(P2996="应付",COUNTIF(P$7:P2996,"应付"),"")</f>
      </c>
      <c r="S2996" s="78">
        <f>N(F2996)-N(G2996)</f>
        <v>0</v>
      </c>
    </row>
    <row r="2997">
      <c r="A2997" s="109">
        <f>IF(AND(F2997="",G2997=""),"",ROW()-6)</f>
      </c>
      <c r="B2997" s="140" t="n"/>
      <c r="C2997" s="141" t="n"/>
      <c r="D2997" s="141" t="n"/>
      <c r="E2997" s="142" t="n"/>
      <c r="F2997" s="143" t="n"/>
      <c r="G2997" s="144" t="n"/>
      <c r="H2997" s="145">
        <f>IF(OR(C2997="",AND(F2997="",G2997="")),"",SUMIF(基础资料!$W$5:$W$24,C2997,基础资料!$X$5:$X$24)+SUMIF(C$7:C2997,C2997,F$7:F2997)-SUMIF(C$7:C2997,C2997,G$7:G2997))</f>
      </c>
      <c r="I2997" s="145">
        <f>IF(AND(F2997="",G2997=""),"",SUM(基础资料!$X$5:$X$24)+SUM(F$7:F2997)-SUM(G$7:G2997))</f>
      </c>
      <c r="J2997" s="141" t="n"/>
      <c r="K2997" s="141" t="n"/>
      <c r="L2997" s="141" t="n"/>
      <c r="M2997" s="142" t="n"/>
      <c r="N2997" s="146">
        <f>IF(AND(AND(F2997="",G2997=""),B2997="",C2997="",D2997="",J2997="",K2997="",L2997=""),"",IF(AND(F2997="",G2997=""),"✗ 没填金额",IF(AND(N(F2997)&lt;&gt;0,N(G2997)&lt;&gt;0),"✗ 收入、支出只能填一边",IF(NOT(ISNUMBER(B2997)),"✗ 日期不是真日期（要像 2026/9/25 这样填）",IF(OR(B2997&lt;年初日,B2997&gt;年末日),"✗ 日期不在本会计年度",IF(C2997="","✗ 没选账户",IF(COUNTIF(基础资料!$W$5:$W$24,C2997)=0,"✗ 账户不在基础资料里",IF(O2997="","✗ 没选收支项目",IF(P2997="未知","✗ 收支项目不在基础资料里",IF(AND(P2997="应收",J2997=""),"✗ 这笔要选客户",IF(AND(P2997="应收",COUNTIF(总览汇总!$B$5:$B$304,J2997)=0),"✗ 客户不在总览汇总名单里",IF(AND(P2997="应付",K2997=""),"✗ 这笔要选供应商",IF(AND(P2997="应付",COUNTIF(基础资料!$Q$5:$Q$54,K2997)=0),"✗ 供应商不在基础资料里",IF(AND(P2997="费用",L2997=""),"✗ 费用支出要选费用项目",IF(AND(L2997&lt;&gt;"",COUNTIF(基础资料!$AI$5:$AI$54,L2997)=0),"✗ 费用项目不在基础资料里",IF(AND(IFERROR(INDEX(基础资料!$AD$5:$AD$34,MATCH(O2997,基础资料!$AC$5:$AC$34,0)),"")="收",N(G2997)&lt;&gt;0),"✗ 这类是收款，金额填到收入列",IF(AND(IFERROR(INDEX(基础资料!$AD$5:$AD$34,MATCH(O2997,基础资料!$AC$5:$AC$34,0)),"")="支",N(F2997)&lt;&gt;0),"✗ 这类是付款，金额填到支出列",IF(N(H2997)&lt;0,"⚠ 账户余额成负数了，核对一下","√"))))))))))))))))))</f>
      </c>
      <c r="O2997" s="78">
        <f>IF(D2997&lt;&gt;"",D2997,IF(AND(F2997="",G2997=""),"",IF(J2997&lt;&gt;"",IF(N(F2997)&gt;0,"客户回款","客户退款"),IF(K2997&lt;&gt;"",IF(N(G2997)&gt;0,"供应商付款","供应商退款"),IF(L2997&lt;&gt;"","费用支出","")))))</f>
      </c>
      <c r="P2997" s="78">
        <f>IF(O2997="","",IFERROR(INDEX(基础资料!$AE$5:$AE$34,MATCH(O2997,基础资料!$AC$5:$AC$34,0)),"未知"))</f>
      </c>
      <c r="Q2997" s="78">
        <f>IF(P2997="应收",COUNTIF(P$7:P2997,"应收"),"")</f>
      </c>
      <c r="R2997" s="78">
        <f>IF(P2997="应付",COUNTIF(P$7:P2997,"应付"),"")</f>
      </c>
      <c r="S2997" s="78">
        <f>N(F2997)-N(G2997)</f>
        <v>0</v>
      </c>
    </row>
    <row r="2998">
      <c r="A2998" s="109">
        <f>IF(AND(F2998="",G2998=""),"",ROW()-6)</f>
      </c>
      <c r="B2998" s="140" t="n"/>
      <c r="C2998" s="141" t="n"/>
      <c r="D2998" s="141" t="n"/>
      <c r="E2998" s="142" t="n"/>
      <c r="F2998" s="143" t="n"/>
      <c r="G2998" s="144" t="n"/>
      <c r="H2998" s="145">
        <f>IF(OR(C2998="",AND(F2998="",G2998="")),"",SUMIF(基础资料!$W$5:$W$24,C2998,基础资料!$X$5:$X$24)+SUMIF(C$7:C2998,C2998,F$7:F2998)-SUMIF(C$7:C2998,C2998,G$7:G2998))</f>
      </c>
      <c r="I2998" s="145">
        <f>IF(AND(F2998="",G2998=""),"",SUM(基础资料!$X$5:$X$24)+SUM(F$7:F2998)-SUM(G$7:G2998))</f>
      </c>
      <c r="J2998" s="141" t="n"/>
      <c r="K2998" s="141" t="n"/>
      <c r="L2998" s="141" t="n"/>
      <c r="M2998" s="142" t="n"/>
      <c r="N2998" s="146">
        <f>IF(AND(AND(F2998="",G2998=""),B2998="",C2998="",D2998="",J2998="",K2998="",L2998=""),"",IF(AND(F2998="",G2998=""),"✗ 没填金额",IF(AND(N(F2998)&lt;&gt;0,N(G2998)&lt;&gt;0),"✗ 收入、支出只能填一边",IF(NOT(ISNUMBER(B2998)),"✗ 日期不是真日期（要像 2026/9/25 这样填）",IF(OR(B2998&lt;年初日,B2998&gt;年末日),"✗ 日期不在本会计年度",IF(C2998="","✗ 没选账户",IF(COUNTIF(基础资料!$W$5:$W$24,C2998)=0,"✗ 账户不在基础资料里",IF(O2998="","✗ 没选收支项目",IF(P2998="未知","✗ 收支项目不在基础资料里",IF(AND(P2998="应收",J2998=""),"✗ 这笔要选客户",IF(AND(P2998="应收",COUNTIF(总览汇总!$B$5:$B$304,J2998)=0),"✗ 客户不在总览汇总名单里",IF(AND(P2998="应付",K2998=""),"✗ 这笔要选供应商",IF(AND(P2998="应付",COUNTIF(基础资料!$Q$5:$Q$54,K2998)=0),"✗ 供应商不在基础资料里",IF(AND(P2998="费用",L2998=""),"✗ 费用支出要选费用项目",IF(AND(L2998&lt;&gt;"",COUNTIF(基础资料!$AI$5:$AI$54,L2998)=0),"✗ 费用项目不在基础资料里",IF(AND(IFERROR(INDEX(基础资料!$AD$5:$AD$34,MATCH(O2998,基础资料!$AC$5:$AC$34,0)),"")="收",N(G2998)&lt;&gt;0),"✗ 这类是收款，金额填到收入列",IF(AND(IFERROR(INDEX(基础资料!$AD$5:$AD$34,MATCH(O2998,基础资料!$AC$5:$AC$34,0)),"")="支",N(F2998)&lt;&gt;0),"✗ 这类是付款，金额填到支出列",IF(N(H2998)&lt;0,"⚠ 账户余额成负数了，核对一下","√"))))))))))))))))))</f>
      </c>
      <c r="O2998" s="78">
        <f>IF(D2998&lt;&gt;"",D2998,IF(AND(F2998="",G2998=""),"",IF(J2998&lt;&gt;"",IF(N(F2998)&gt;0,"客户回款","客户退款"),IF(K2998&lt;&gt;"",IF(N(G2998)&gt;0,"供应商付款","供应商退款"),IF(L2998&lt;&gt;"","费用支出","")))))</f>
      </c>
      <c r="P2998" s="78">
        <f>IF(O2998="","",IFERROR(INDEX(基础资料!$AE$5:$AE$34,MATCH(O2998,基础资料!$AC$5:$AC$34,0)),"未知"))</f>
      </c>
      <c r="Q2998" s="78">
        <f>IF(P2998="应收",COUNTIF(P$7:P2998,"应收"),"")</f>
      </c>
      <c r="R2998" s="78">
        <f>IF(P2998="应付",COUNTIF(P$7:P2998,"应付"),"")</f>
      </c>
      <c r="S2998" s="78">
        <f>N(F2998)-N(G2998)</f>
        <v>0</v>
      </c>
    </row>
    <row r="2999">
      <c r="A2999" s="109">
        <f>IF(AND(F2999="",G2999=""),"",ROW()-6)</f>
      </c>
      <c r="B2999" s="140" t="n"/>
      <c r="C2999" s="141" t="n"/>
      <c r="D2999" s="141" t="n"/>
      <c r="E2999" s="142" t="n"/>
      <c r="F2999" s="143" t="n"/>
      <c r="G2999" s="144" t="n"/>
      <c r="H2999" s="145">
        <f>IF(OR(C2999="",AND(F2999="",G2999="")),"",SUMIF(基础资料!$W$5:$W$24,C2999,基础资料!$X$5:$X$24)+SUMIF(C$7:C2999,C2999,F$7:F2999)-SUMIF(C$7:C2999,C2999,G$7:G2999))</f>
      </c>
      <c r="I2999" s="145">
        <f>IF(AND(F2999="",G2999=""),"",SUM(基础资料!$X$5:$X$24)+SUM(F$7:F2999)-SUM(G$7:G2999))</f>
      </c>
      <c r="J2999" s="141" t="n"/>
      <c r="K2999" s="141" t="n"/>
      <c r="L2999" s="141" t="n"/>
      <c r="M2999" s="142" t="n"/>
      <c r="N2999" s="146">
        <f>IF(AND(AND(F2999="",G2999=""),B2999="",C2999="",D2999="",J2999="",K2999="",L2999=""),"",IF(AND(F2999="",G2999=""),"✗ 没填金额",IF(AND(N(F2999)&lt;&gt;0,N(G2999)&lt;&gt;0),"✗ 收入、支出只能填一边",IF(NOT(ISNUMBER(B2999)),"✗ 日期不是真日期（要像 2026/9/25 这样填）",IF(OR(B2999&lt;年初日,B2999&gt;年末日),"✗ 日期不在本会计年度",IF(C2999="","✗ 没选账户",IF(COUNTIF(基础资料!$W$5:$W$24,C2999)=0,"✗ 账户不在基础资料里",IF(O2999="","✗ 没选收支项目",IF(P2999="未知","✗ 收支项目不在基础资料里",IF(AND(P2999="应收",J2999=""),"✗ 这笔要选客户",IF(AND(P2999="应收",COUNTIF(总览汇总!$B$5:$B$304,J2999)=0),"✗ 客户不在总览汇总名单里",IF(AND(P2999="应付",K2999=""),"✗ 这笔要选供应商",IF(AND(P2999="应付",COUNTIF(基础资料!$Q$5:$Q$54,K2999)=0),"✗ 供应商不在基础资料里",IF(AND(P2999="费用",L2999=""),"✗ 费用支出要选费用项目",IF(AND(L2999&lt;&gt;"",COUNTIF(基础资料!$AI$5:$AI$54,L2999)=0),"✗ 费用项目不在基础资料里",IF(AND(IFERROR(INDEX(基础资料!$AD$5:$AD$34,MATCH(O2999,基础资料!$AC$5:$AC$34,0)),"")="收",N(G2999)&lt;&gt;0),"✗ 这类是收款，金额填到收入列",IF(AND(IFERROR(INDEX(基础资料!$AD$5:$AD$34,MATCH(O2999,基础资料!$AC$5:$AC$34,0)),"")="支",N(F2999)&lt;&gt;0),"✗ 这类是付款，金额填到支出列",IF(N(H2999)&lt;0,"⚠ 账户余额成负数了，核对一下","√"))))))))))))))))))</f>
      </c>
      <c r="O2999" s="78">
        <f>IF(D2999&lt;&gt;"",D2999,IF(AND(F2999="",G2999=""),"",IF(J2999&lt;&gt;"",IF(N(F2999)&gt;0,"客户回款","客户退款"),IF(K2999&lt;&gt;"",IF(N(G2999)&gt;0,"供应商付款","供应商退款"),IF(L2999&lt;&gt;"","费用支出","")))))</f>
      </c>
      <c r="P2999" s="78">
        <f>IF(O2999="","",IFERROR(INDEX(基础资料!$AE$5:$AE$34,MATCH(O2999,基础资料!$AC$5:$AC$34,0)),"未知"))</f>
      </c>
      <c r="Q2999" s="78">
        <f>IF(P2999="应收",COUNTIF(P$7:P2999,"应收"),"")</f>
      </c>
      <c r="R2999" s="78">
        <f>IF(P2999="应付",COUNTIF(P$7:P2999,"应付"),"")</f>
      </c>
      <c r="S2999" s="78">
        <f>N(F2999)-N(G2999)</f>
        <v>0</v>
      </c>
    </row>
    <row r="3000">
      <c r="A3000" s="109">
        <f>IF(AND(F3000="",G3000=""),"",ROW()-6)</f>
      </c>
      <c r="B3000" s="140" t="n"/>
      <c r="C3000" s="141" t="n"/>
      <c r="D3000" s="141" t="n"/>
      <c r="E3000" s="142" t="n"/>
      <c r="F3000" s="143" t="n"/>
      <c r="G3000" s="144" t="n"/>
      <c r="H3000" s="145">
        <f>IF(OR(C3000="",AND(F3000="",G3000="")),"",SUMIF(基础资料!$W$5:$W$24,C3000,基础资料!$X$5:$X$24)+SUMIF(C$7:C3000,C3000,F$7:F3000)-SUMIF(C$7:C3000,C3000,G$7:G3000))</f>
      </c>
      <c r="I3000" s="145">
        <f>IF(AND(F3000="",G3000=""),"",SUM(基础资料!$X$5:$X$24)+SUM(F$7:F3000)-SUM(G$7:G3000))</f>
      </c>
      <c r="J3000" s="141" t="n"/>
      <c r="K3000" s="141" t="n"/>
      <c r="L3000" s="141" t="n"/>
      <c r="M3000" s="142" t="n"/>
      <c r="N3000" s="146">
        <f>IF(AND(AND(F3000="",G3000=""),B3000="",C3000="",D3000="",J3000="",K3000="",L3000=""),"",IF(AND(F3000="",G3000=""),"✗ 没填金额",IF(AND(N(F3000)&lt;&gt;0,N(G3000)&lt;&gt;0),"✗ 收入、支出只能填一边",IF(NOT(ISNUMBER(B3000)),"✗ 日期不是真日期（要像 2026/9/25 这样填）",IF(OR(B3000&lt;年初日,B3000&gt;年末日),"✗ 日期不在本会计年度",IF(C3000="","✗ 没选账户",IF(COUNTIF(基础资料!$W$5:$W$24,C3000)=0,"✗ 账户不在基础资料里",IF(O3000="","✗ 没选收支项目",IF(P3000="未知","✗ 收支项目不在基础资料里",IF(AND(P3000="应收",J3000=""),"✗ 这笔要选客户",IF(AND(P3000="应收",COUNTIF(总览汇总!$B$5:$B$304,J3000)=0),"✗ 客户不在总览汇总名单里",IF(AND(P3000="应付",K3000=""),"✗ 这笔要选供应商",IF(AND(P3000="应付",COUNTIF(基础资料!$Q$5:$Q$54,K3000)=0),"✗ 供应商不在基础资料里",IF(AND(P3000="费用",L3000=""),"✗ 费用支出要选费用项目",IF(AND(L3000&lt;&gt;"",COUNTIF(基础资料!$AI$5:$AI$54,L3000)=0),"✗ 费用项目不在基础资料里",IF(AND(IFERROR(INDEX(基础资料!$AD$5:$AD$34,MATCH(O3000,基础资料!$AC$5:$AC$34,0)),"")="收",N(G3000)&lt;&gt;0),"✗ 这类是收款，金额填到收入列",IF(AND(IFERROR(INDEX(基础资料!$AD$5:$AD$34,MATCH(O3000,基础资料!$AC$5:$AC$34,0)),"")="支",N(F3000)&lt;&gt;0),"✗ 这类是付款，金额填到支出列",IF(N(H3000)&lt;0,"⚠ 账户余额成负数了，核对一下","√"))))))))))))))))))</f>
      </c>
      <c r="O3000" s="78">
        <f>IF(D3000&lt;&gt;"",D3000,IF(AND(F3000="",G3000=""),"",IF(J3000&lt;&gt;"",IF(N(F3000)&gt;0,"客户回款","客户退款"),IF(K3000&lt;&gt;"",IF(N(G3000)&gt;0,"供应商付款","供应商退款"),IF(L3000&lt;&gt;"","费用支出","")))))</f>
      </c>
      <c r="P3000" s="78">
        <f>IF(O3000="","",IFERROR(INDEX(基础资料!$AE$5:$AE$34,MATCH(O3000,基础资料!$AC$5:$AC$34,0)),"未知"))</f>
      </c>
      <c r="Q3000" s="78">
        <f>IF(P3000="应收",COUNTIF(P$7:P3000,"应收"),"")</f>
      </c>
      <c r="R3000" s="78">
        <f>IF(P3000="应付",COUNTIF(P$7:P3000,"应付"),"")</f>
      </c>
      <c r="S3000" s="78">
        <f>N(F3000)-N(G3000)</f>
        <v>0</v>
      </c>
    </row>
    <row r="3001">
      <c r="A3001" s="109">
        <f>IF(AND(F3001="",G3001=""),"",ROW()-6)</f>
      </c>
      <c r="B3001" s="140" t="n"/>
      <c r="C3001" s="141" t="n"/>
      <c r="D3001" s="141" t="n"/>
      <c r="E3001" s="142" t="n"/>
      <c r="F3001" s="143" t="n"/>
      <c r="G3001" s="144" t="n"/>
      <c r="H3001" s="145">
        <f>IF(OR(C3001="",AND(F3001="",G3001="")),"",SUMIF(基础资料!$W$5:$W$24,C3001,基础资料!$X$5:$X$24)+SUMIF(C$7:C3001,C3001,F$7:F3001)-SUMIF(C$7:C3001,C3001,G$7:G3001))</f>
      </c>
      <c r="I3001" s="145">
        <f>IF(AND(F3001="",G3001=""),"",SUM(基础资料!$X$5:$X$24)+SUM(F$7:F3001)-SUM(G$7:G3001))</f>
      </c>
      <c r="J3001" s="141" t="n"/>
      <c r="K3001" s="141" t="n"/>
      <c r="L3001" s="141" t="n"/>
      <c r="M3001" s="142" t="n"/>
      <c r="N3001" s="146">
        <f>IF(AND(AND(F3001="",G3001=""),B3001="",C3001="",D3001="",J3001="",K3001="",L3001=""),"",IF(AND(F3001="",G3001=""),"✗ 没填金额",IF(AND(N(F3001)&lt;&gt;0,N(G3001)&lt;&gt;0),"✗ 收入、支出只能填一边",IF(NOT(ISNUMBER(B3001)),"✗ 日期不是真日期（要像 2026/9/25 这样填）",IF(OR(B3001&lt;年初日,B3001&gt;年末日),"✗ 日期不在本会计年度",IF(C3001="","✗ 没选账户",IF(COUNTIF(基础资料!$W$5:$W$24,C3001)=0,"✗ 账户不在基础资料里",IF(O3001="","✗ 没选收支项目",IF(P3001="未知","✗ 收支项目不在基础资料里",IF(AND(P3001="应收",J3001=""),"✗ 这笔要选客户",IF(AND(P3001="应收",COUNTIF(总览汇总!$B$5:$B$304,J3001)=0),"✗ 客户不在总览汇总名单里",IF(AND(P3001="应付",K3001=""),"✗ 这笔要选供应商",IF(AND(P3001="应付",COUNTIF(基础资料!$Q$5:$Q$54,K3001)=0),"✗ 供应商不在基础资料里",IF(AND(P3001="费用",L3001=""),"✗ 费用支出要选费用项目",IF(AND(L3001&lt;&gt;"",COUNTIF(基础资料!$AI$5:$AI$54,L3001)=0),"✗ 费用项目不在基础资料里",IF(AND(IFERROR(INDEX(基础资料!$AD$5:$AD$34,MATCH(O3001,基础资料!$AC$5:$AC$34,0)),"")="收",N(G3001)&lt;&gt;0),"✗ 这类是收款，金额填到收入列",IF(AND(IFERROR(INDEX(基础资料!$AD$5:$AD$34,MATCH(O3001,基础资料!$AC$5:$AC$34,0)),"")="支",N(F3001)&lt;&gt;0),"✗ 这类是付款，金额填到支出列",IF(N(H3001)&lt;0,"⚠ 账户余额成负数了，核对一下","√"))))))))))))))))))</f>
      </c>
      <c r="O3001" s="78">
        <f>IF(D3001&lt;&gt;"",D3001,IF(AND(F3001="",G3001=""),"",IF(J3001&lt;&gt;"",IF(N(F3001)&gt;0,"客户回款","客户退款"),IF(K3001&lt;&gt;"",IF(N(G3001)&gt;0,"供应商付款","供应商退款"),IF(L3001&lt;&gt;"","费用支出","")))))</f>
      </c>
      <c r="P3001" s="78">
        <f>IF(O3001="","",IFERROR(INDEX(基础资料!$AE$5:$AE$34,MATCH(O3001,基础资料!$AC$5:$AC$34,0)),"未知"))</f>
      </c>
      <c r="Q3001" s="78">
        <f>IF(P3001="应收",COUNTIF(P$7:P3001,"应收"),"")</f>
      </c>
      <c r="R3001" s="78">
        <f>IF(P3001="应付",COUNTIF(P$7:P3001,"应付"),"")</f>
      </c>
      <c r="S3001" s="78">
        <f>N(F3001)-N(G3001)</f>
        <v>0</v>
      </c>
    </row>
    <row r="3002">
      <c r="A3002" s="109">
        <f>IF(AND(F3002="",G3002=""),"",ROW()-6)</f>
      </c>
      <c r="B3002" s="140" t="n"/>
      <c r="C3002" s="141" t="n"/>
      <c r="D3002" s="141" t="n"/>
      <c r="E3002" s="142" t="n"/>
      <c r="F3002" s="143" t="n"/>
      <c r="G3002" s="144" t="n"/>
      <c r="H3002" s="145">
        <f>IF(OR(C3002="",AND(F3002="",G3002="")),"",SUMIF(基础资料!$W$5:$W$24,C3002,基础资料!$X$5:$X$24)+SUMIF(C$7:C3002,C3002,F$7:F3002)-SUMIF(C$7:C3002,C3002,G$7:G3002))</f>
      </c>
      <c r="I3002" s="145">
        <f>IF(AND(F3002="",G3002=""),"",SUM(基础资料!$X$5:$X$24)+SUM(F$7:F3002)-SUM(G$7:G3002))</f>
      </c>
      <c r="J3002" s="141" t="n"/>
      <c r="K3002" s="141" t="n"/>
      <c r="L3002" s="141" t="n"/>
      <c r="M3002" s="142" t="n"/>
      <c r="N3002" s="146">
        <f>IF(AND(AND(F3002="",G3002=""),B3002="",C3002="",D3002="",J3002="",K3002="",L3002=""),"",IF(AND(F3002="",G3002=""),"✗ 没填金额",IF(AND(N(F3002)&lt;&gt;0,N(G3002)&lt;&gt;0),"✗ 收入、支出只能填一边",IF(NOT(ISNUMBER(B3002)),"✗ 日期不是真日期（要像 2026/9/25 这样填）",IF(OR(B3002&lt;年初日,B3002&gt;年末日),"✗ 日期不在本会计年度",IF(C3002="","✗ 没选账户",IF(COUNTIF(基础资料!$W$5:$W$24,C3002)=0,"✗ 账户不在基础资料里",IF(O3002="","✗ 没选收支项目",IF(P3002="未知","✗ 收支项目不在基础资料里",IF(AND(P3002="应收",J3002=""),"✗ 这笔要选客户",IF(AND(P3002="应收",COUNTIF(总览汇总!$B$5:$B$304,J3002)=0),"✗ 客户不在总览汇总名单里",IF(AND(P3002="应付",K3002=""),"✗ 这笔要选供应商",IF(AND(P3002="应付",COUNTIF(基础资料!$Q$5:$Q$54,K3002)=0),"✗ 供应商不在基础资料里",IF(AND(P3002="费用",L3002=""),"✗ 费用支出要选费用项目",IF(AND(L3002&lt;&gt;"",COUNTIF(基础资料!$AI$5:$AI$54,L3002)=0),"✗ 费用项目不在基础资料里",IF(AND(IFERROR(INDEX(基础资料!$AD$5:$AD$34,MATCH(O3002,基础资料!$AC$5:$AC$34,0)),"")="收",N(G3002)&lt;&gt;0),"✗ 这类是收款，金额填到收入列",IF(AND(IFERROR(INDEX(基础资料!$AD$5:$AD$34,MATCH(O3002,基础资料!$AC$5:$AC$34,0)),"")="支",N(F3002)&lt;&gt;0),"✗ 这类是付款，金额填到支出列",IF(N(H3002)&lt;0,"⚠ 账户余额成负数了，核对一下","√"))))))))))))))))))</f>
      </c>
      <c r="O3002" s="78">
        <f>IF(D3002&lt;&gt;"",D3002,IF(AND(F3002="",G3002=""),"",IF(J3002&lt;&gt;"",IF(N(F3002)&gt;0,"客户回款","客户退款"),IF(K3002&lt;&gt;"",IF(N(G3002)&gt;0,"供应商付款","供应商退款"),IF(L3002&lt;&gt;"","费用支出","")))))</f>
      </c>
      <c r="P3002" s="78">
        <f>IF(O3002="","",IFERROR(INDEX(基础资料!$AE$5:$AE$34,MATCH(O3002,基础资料!$AC$5:$AC$34,0)),"未知"))</f>
      </c>
      <c r="Q3002" s="78">
        <f>IF(P3002="应收",COUNTIF(P$7:P3002,"应收"),"")</f>
      </c>
      <c r="R3002" s="78">
        <f>IF(P3002="应付",COUNTIF(P$7:P3002,"应付"),"")</f>
      </c>
      <c r="S3002" s="78">
        <f>N(F3002)-N(G3002)</f>
        <v>0</v>
      </c>
    </row>
    <row r="3003">
      <c r="A3003" s="109">
        <f>IF(AND(F3003="",G3003=""),"",ROW()-6)</f>
      </c>
      <c r="B3003" s="140" t="n"/>
      <c r="C3003" s="141" t="n"/>
      <c r="D3003" s="141" t="n"/>
      <c r="E3003" s="142" t="n"/>
      <c r="F3003" s="143" t="n"/>
      <c r="G3003" s="144" t="n"/>
      <c r="H3003" s="145">
        <f>IF(OR(C3003="",AND(F3003="",G3003="")),"",SUMIF(基础资料!$W$5:$W$24,C3003,基础资料!$X$5:$X$24)+SUMIF(C$7:C3003,C3003,F$7:F3003)-SUMIF(C$7:C3003,C3003,G$7:G3003))</f>
      </c>
      <c r="I3003" s="145">
        <f>IF(AND(F3003="",G3003=""),"",SUM(基础资料!$X$5:$X$24)+SUM(F$7:F3003)-SUM(G$7:G3003))</f>
      </c>
      <c r="J3003" s="141" t="n"/>
      <c r="K3003" s="141" t="n"/>
      <c r="L3003" s="141" t="n"/>
      <c r="M3003" s="142" t="n"/>
      <c r="N3003" s="146">
        <f>IF(AND(AND(F3003="",G3003=""),B3003="",C3003="",D3003="",J3003="",K3003="",L3003=""),"",IF(AND(F3003="",G3003=""),"✗ 没填金额",IF(AND(N(F3003)&lt;&gt;0,N(G3003)&lt;&gt;0),"✗ 收入、支出只能填一边",IF(NOT(ISNUMBER(B3003)),"✗ 日期不是真日期（要像 2026/9/25 这样填）",IF(OR(B3003&lt;年初日,B3003&gt;年末日),"✗ 日期不在本会计年度",IF(C3003="","✗ 没选账户",IF(COUNTIF(基础资料!$W$5:$W$24,C3003)=0,"✗ 账户不在基础资料里",IF(O3003="","✗ 没选收支项目",IF(P3003="未知","✗ 收支项目不在基础资料里",IF(AND(P3003="应收",J3003=""),"✗ 这笔要选客户",IF(AND(P3003="应收",COUNTIF(总览汇总!$B$5:$B$304,J3003)=0),"✗ 客户不在总览汇总名单里",IF(AND(P3003="应付",K3003=""),"✗ 这笔要选供应商",IF(AND(P3003="应付",COUNTIF(基础资料!$Q$5:$Q$54,K3003)=0),"✗ 供应商不在基础资料里",IF(AND(P3003="费用",L3003=""),"✗ 费用支出要选费用项目",IF(AND(L3003&lt;&gt;"",COUNTIF(基础资料!$AI$5:$AI$54,L3003)=0),"✗ 费用项目不在基础资料里",IF(AND(IFERROR(INDEX(基础资料!$AD$5:$AD$34,MATCH(O3003,基础资料!$AC$5:$AC$34,0)),"")="收",N(G3003)&lt;&gt;0),"✗ 这类是收款，金额填到收入列",IF(AND(IFERROR(INDEX(基础资料!$AD$5:$AD$34,MATCH(O3003,基础资料!$AC$5:$AC$34,0)),"")="支",N(F3003)&lt;&gt;0),"✗ 这类是付款，金额填到支出列",IF(N(H3003)&lt;0,"⚠ 账户余额成负数了，核对一下","√"))))))))))))))))))</f>
      </c>
      <c r="O3003" s="78">
        <f>IF(D3003&lt;&gt;"",D3003,IF(AND(F3003="",G3003=""),"",IF(J3003&lt;&gt;"",IF(N(F3003)&gt;0,"客户回款","客户退款"),IF(K3003&lt;&gt;"",IF(N(G3003)&gt;0,"供应商付款","供应商退款"),IF(L3003&lt;&gt;"","费用支出","")))))</f>
      </c>
      <c r="P3003" s="78">
        <f>IF(O3003="","",IFERROR(INDEX(基础资料!$AE$5:$AE$34,MATCH(O3003,基础资料!$AC$5:$AC$34,0)),"未知"))</f>
      </c>
      <c r="Q3003" s="78">
        <f>IF(P3003="应收",COUNTIF(P$7:P3003,"应收"),"")</f>
      </c>
      <c r="R3003" s="78">
        <f>IF(P3003="应付",COUNTIF(P$7:P3003,"应付"),"")</f>
      </c>
      <c r="S3003" s="78">
        <f>N(F3003)-N(G3003)</f>
        <v>0</v>
      </c>
    </row>
    <row r="3004">
      <c r="A3004" s="109">
        <f>IF(AND(F3004="",G3004=""),"",ROW()-6)</f>
      </c>
      <c r="B3004" s="140" t="n"/>
      <c r="C3004" s="141" t="n"/>
      <c r="D3004" s="141" t="n"/>
      <c r="E3004" s="142" t="n"/>
      <c r="F3004" s="143" t="n"/>
      <c r="G3004" s="144" t="n"/>
      <c r="H3004" s="145">
        <f>IF(OR(C3004="",AND(F3004="",G3004="")),"",SUMIF(基础资料!$W$5:$W$24,C3004,基础资料!$X$5:$X$24)+SUMIF(C$7:C3004,C3004,F$7:F3004)-SUMIF(C$7:C3004,C3004,G$7:G3004))</f>
      </c>
      <c r="I3004" s="145">
        <f>IF(AND(F3004="",G3004=""),"",SUM(基础资料!$X$5:$X$24)+SUM(F$7:F3004)-SUM(G$7:G3004))</f>
      </c>
      <c r="J3004" s="141" t="n"/>
      <c r="K3004" s="141" t="n"/>
      <c r="L3004" s="141" t="n"/>
      <c r="M3004" s="142" t="n"/>
      <c r="N3004" s="146">
        <f>IF(AND(AND(F3004="",G3004=""),B3004="",C3004="",D3004="",J3004="",K3004="",L3004=""),"",IF(AND(F3004="",G3004=""),"✗ 没填金额",IF(AND(N(F3004)&lt;&gt;0,N(G3004)&lt;&gt;0),"✗ 收入、支出只能填一边",IF(NOT(ISNUMBER(B3004)),"✗ 日期不是真日期（要像 2026/9/25 这样填）",IF(OR(B3004&lt;年初日,B3004&gt;年末日),"✗ 日期不在本会计年度",IF(C3004="","✗ 没选账户",IF(COUNTIF(基础资料!$W$5:$W$24,C3004)=0,"✗ 账户不在基础资料里",IF(O3004="","✗ 没选收支项目",IF(P3004="未知","✗ 收支项目不在基础资料里",IF(AND(P3004="应收",J3004=""),"✗ 这笔要选客户",IF(AND(P3004="应收",COUNTIF(总览汇总!$B$5:$B$304,J3004)=0),"✗ 客户不在总览汇总名单里",IF(AND(P3004="应付",K3004=""),"✗ 这笔要选供应商",IF(AND(P3004="应付",COUNTIF(基础资料!$Q$5:$Q$54,K3004)=0),"✗ 供应商不在基础资料里",IF(AND(P3004="费用",L3004=""),"✗ 费用支出要选费用项目",IF(AND(L3004&lt;&gt;"",COUNTIF(基础资料!$AI$5:$AI$54,L3004)=0),"✗ 费用项目不在基础资料里",IF(AND(IFERROR(INDEX(基础资料!$AD$5:$AD$34,MATCH(O3004,基础资料!$AC$5:$AC$34,0)),"")="收",N(G3004)&lt;&gt;0),"✗ 这类是收款，金额填到收入列",IF(AND(IFERROR(INDEX(基础资料!$AD$5:$AD$34,MATCH(O3004,基础资料!$AC$5:$AC$34,0)),"")="支",N(F3004)&lt;&gt;0),"✗ 这类是付款，金额填到支出列",IF(N(H3004)&lt;0,"⚠ 账户余额成负数了，核对一下","√"))))))))))))))))))</f>
      </c>
      <c r="O3004" s="78">
        <f>IF(D3004&lt;&gt;"",D3004,IF(AND(F3004="",G3004=""),"",IF(J3004&lt;&gt;"",IF(N(F3004)&gt;0,"客户回款","客户退款"),IF(K3004&lt;&gt;"",IF(N(G3004)&gt;0,"供应商付款","供应商退款"),IF(L3004&lt;&gt;"","费用支出","")))))</f>
      </c>
      <c r="P3004" s="78">
        <f>IF(O3004="","",IFERROR(INDEX(基础资料!$AE$5:$AE$34,MATCH(O3004,基础资料!$AC$5:$AC$34,0)),"未知"))</f>
      </c>
      <c r="Q3004" s="78">
        <f>IF(P3004="应收",COUNTIF(P$7:P3004,"应收"),"")</f>
      </c>
      <c r="R3004" s="78">
        <f>IF(P3004="应付",COUNTIF(P$7:P3004,"应付"),"")</f>
      </c>
      <c r="S3004" s="78">
        <f>N(F3004)-N(G3004)</f>
        <v>0</v>
      </c>
    </row>
    <row r="3005">
      <c r="A3005" s="109">
        <f>IF(AND(F3005="",G3005=""),"",ROW()-6)</f>
      </c>
      <c r="B3005" s="140" t="n"/>
      <c r="C3005" s="141" t="n"/>
      <c r="D3005" s="141" t="n"/>
      <c r="E3005" s="142" t="n"/>
      <c r="F3005" s="143" t="n"/>
      <c r="G3005" s="144" t="n"/>
      <c r="H3005" s="145">
        <f>IF(OR(C3005="",AND(F3005="",G3005="")),"",SUMIF(基础资料!$W$5:$W$24,C3005,基础资料!$X$5:$X$24)+SUMIF(C$7:C3005,C3005,F$7:F3005)-SUMIF(C$7:C3005,C3005,G$7:G3005))</f>
      </c>
      <c r="I3005" s="145">
        <f>IF(AND(F3005="",G3005=""),"",SUM(基础资料!$X$5:$X$24)+SUM(F$7:F3005)-SUM(G$7:G3005))</f>
      </c>
      <c r="J3005" s="141" t="n"/>
      <c r="K3005" s="141" t="n"/>
      <c r="L3005" s="141" t="n"/>
      <c r="M3005" s="142" t="n"/>
      <c r="N3005" s="146">
        <f>IF(AND(AND(F3005="",G3005=""),B3005="",C3005="",D3005="",J3005="",K3005="",L3005=""),"",IF(AND(F3005="",G3005=""),"✗ 没填金额",IF(AND(N(F3005)&lt;&gt;0,N(G3005)&lt;&gt;0),"✗ 收入、支出只能填一边",IF(NOT(ISNUMBER(B3005)),"✗ 日期不是真日期（要像 2026/9/25 这样填）",IF(OR(B3005&lt;年初日,B3005&gt;年末日),"✗ 日期不在本会计年度",IF(C3005="","✗ 没选账户",IF(COUNTIF(基础资料!$W$5:$W$24,C3005)=0,"✗ 账户不在基础资料里",IF(O3005="","✗ 没选收支项目",IF(P3005="未知","✗ 收支项目不在基础资料里",IF(AND(P3005="应收",J3005=""),"✗ 这笔要选客户",IF(AND(P3005="应收",COUNTIF(总览汇总!$B$5:$B$304,J3005)=0),"✗ 客户不在总览汇总名单里",IF(AND(P3005="应付",K3005=""),"✗ 这笔要选供应商",IF(AND(P3005="应付",COUNTIF(基础资料!$Q$5:$Q$54,K3005)=0),"✗ 供应商不在基础资料里",IF(AND(P3005="费用",L3005=""),"✗ 费用支出要选费用项目",IF(AND(L3005&lt;&gt;"",COUNTIF(基础资料!$AI$5:$AI$54,L3005)=0),"✗ 费用项目不在基础资料里",IF(AND(IFERROR(INDEX(基础资料!$AD$5:$AD$34,MATCH(O3005,基础资料!$AC$5:$AC$34,0)),"")="收",N(G3005)&lt;&gt;0),"✗ 这类是收款，金额填到收入列",IF(AND(IFERROR(INDEX(基础资料!$AD$5:$AD$34,MATCH(O3005,基础资料!$AC$5:$AC$34,0)),"")="支",N(F3005)&lt;&gt;0),"✗ 这类是付款，金额填到支出列",IF(N(H3005)&lt;0,"⚠ 账户余额成负数了，核对一下","√"))))))))))))))))))</f>
      </c>
      <c r="O3005" s="78">
        <f>IF(D3005&lt;&gt;"",D3005,IF(AND(F3005="",G3005=""),"",IF(J3005&lt;&gt;"",IF(N(F3005)&gt;0,"客户回款","客户退款"),IF(K3005&lt;&gt;"",IF(N(G3005)&gt;0,"供应商付款","供应商退款"),IF(L3005&lt;&gt;"","费用支出","")))))</f>
      </c>
      <c r="P3005" s="78">
        <f>IF(O3005="","",IFERROR(INDEX(基础资料!$AE$5:$AE$34,MATCH(O3005,基础资料!$AC$5:$AC$34,0)),"未知"))</f>
      </c>
      <c r="Q3005" s="78">
        <f>IF(P3005="应收",COUNTIF(P$7:P3005,"应收"),"")</f>
      </c>
      <c r="R3005" s="78">
        <f>IF(P3005="应付",COUNTIF(P$7:P3005,"应付"),"")</f>
      </c>
      <c r="S3005" s="78">
        <f>N(F3005)-N(G3005)</f>
        <v>0</v>
      </c>
    </row>
    <row r="3006">
      <c r="A3006" s="109">
        <f>IF(AND(F3006="",G3006=""),"",ROW()-6)</f>
      </c>
      <c r="B3006" s="140" t="n"/>
      <c r="C3006" s="141" t="n"/>
      <c r="D3006" s="141" t="n"/>
      <c r="E3006" s="142" t="n"/>
      <c r="F3006" s="143" t="n"/>
      <c r="G3006" s="144" t="n"/>
      <c r="H3006" s="145">
        <f>IF(OR(C3006="",AND(F3006="",G3006="")),"",SUMIF(基础资料!$W$5:$W$24,C3006,基础资料!$X$5:$X$24)+SUMIF(C$7:C3006,C3006,F$7:F3006)-SUMIF(C$7:C3006,C3006,G$7:G3006))</f>
      </c>
      <c r="I3006" s="145">
        <f>IF(AND(F3006="",G3006=""),"",SUM(基础资料!$X$5:$X$24)+SUM(F$7:F3006)-SUM(G$7:G3006))</f>
      </c>
      <c r="J3006" s="141" t="n"/>
      <c r="K3006" s="141" t="n"/>
      <c r="L3006" s="141" t="n"/>
      <c r="M3006" s="142" t="n"/>
      <c r="N3006" s="146">
        <f>IF(AND(AND(F3006="",G3006=""),B3006="",C3006="",D3006="",J3006="",K3006="",L3006=""),"",IF(AND(F3006="",G3006=""),"✗ 没填金额",IF(AND(N(F3006)&lt;&gt;0,N(G3006)&lt;&gt;0),"✗ 收入、支出只能填一边",IF(NOT(ISNUMBER(B3006)),"✗ 日期不是真日期（要像 2026/9/25 这样填）",IF(OR(B3006&lt;年初日,B3006&gt;年末日),"✗ 日期不在本会计年度",IF(C3006="","✗ 没选账户",IF(COUNTIF(基础资料!$W$5:$W$24,C3006)=0,"✗ 账户不在基础资料里",IF(O3006="","✗ 没选收支项目",IF(P3006="未知","✗ 收支项目不在基础资料里",IF(AND(P3006="应收",J3006=""),"✗ 这笔要选客户",IF(AND(P3006="应收",COUNTIF(总览汇总!$B$5:$B$304,J3006)=0),"✗ 客户不在总览汇总名单里",IF(AND(P3006="应付",K3006=""),"✗ 这笔要选供应商",IF(AND(P3006="应付",COUNTIF(基础资料!$Q$5:$Q$54,K3006)=0),"✗ 供应商不在基础资料里",IF(AND(P3006="费用",L3006=""),"✗ 费用支出要选费用项目",IF(AND(L3006&lt;&gt;"",COUNTIF(基础资料!$AI$5:$AI$54,L3006)=0),"✗ 费用项目不在基础资料里",IF(AND(IFERROR(INDEX(基础资料!$AD$5:$AD$34,MATCH(O3006,基础资料!$AC$5:$AC$34,0)),"")="收",N(G3006)&lt;&gt;0),"✗ 这类是收款，金额填到收入列",IF(AND(IFERROR(INDEX(基础资料!$AD$5:$AD$34,MATCH(O3006,基础资料!$AC$5:$AC$34,0)),"")="支",N(F3006)&lt;&gt;0),"✗ 这类是付款，金额填到支出列",IF(N(H3006)&lt;0,"⚠ 账户余额成负数了，核对一下","√"))))))))))))))))))</f>
      </c>
      <c r="O3006" s="78">
        <f>IF(D3006&lt;&gt;"",D3006,IF(AND(F3006="",G3006=""),"",IF(J3006&lt;&gt;"",IF(N(F3006)&gt;0,"客户回款","客户退款"),IF(K3006&lt;&gt;"",IF(N(G3006)&gt;0,"供应商付款","供应商退款"),IF(L3006&lt;&gt;"","费用支出","")))))</f>
      </c>
      <c r="P3006" s="78">
        <f>IF(O3006="","",IFERROR(INDEX(基础资料!$AE$5:$AE$34,MATCH(O3006,基础资料!$AC$5:$AC$34,0)),"未知"))</f>
      </c>
      <c r="Q3006" s="78">
        <f>IF(P3006="应收",COUNTIF(P$7:P3006,"应收"),"")</f>
      </c>
      <c r="R3006" s="78">
        <f>IF(P3006="应付",COUNTIF(P$7:P3006,"应付"),"")</f>
      </c>
      <c r="S3006" s="78">
        <f>N(F3006)-N(G3006)</f>
        <v>0</v>
      </c>
    </row>
  </sheetData>
  <autoFilter ref="A6:N3006"/>
  <mergeCells count="7">
    <mergeCell ref="J5:L5"/>
    <mergeCell ref="A2:N2"/>
    <mergeCell ref="H5:I5"/>
    <mergeCell ref="A5:E5"/>
    <mergeCell ref="M5:N5"/>
    <mergeCell ref="M3:N3"/>
    <mergeCell ref="A1:N1"/>
  </mergeCells>
  <conditionalFormatting sqref="N7:N3006">
    <cfRule type="expression" priority="1" dxfId="1">
      <formula>LEFT($N7,1)="✗"</formula>
    </cfRule>
    <cfRule type="expression" priority="2" dxfId="2">
      <formula>LEFT($N7,1)="⚠"</formula>
    </cfRule>
    <cfRule type="expression" priority="3" dxfId="3">
      <formula>$N7="√"</formula>
    </cfRule>
  </conditionalFormatting>
  <dataValidations count="6">
    <dataValidation sqref="B3" showDropDown="0" showInputMessage="1" showErrorMessage="1" allowBlank="1" errorTitle="不在清单里" error="请从下拉里选；清单里没有的，先到【基础资料】/【总览汇总】里登记" promptTitle="提示" prompt="选月份，看这个月的收支" type="list" errorStyle="stop">
      <formula1>"1,2,3,4,5,6,7,8,9,10,11,12"</formula1>
    </dataValidation>
    <dataValidation sqref="C7:C3006" showDropDown="0" showInputMessage="1" showErrorMessage="1" allowBlank="1" errorTitle="不在清单里" error="请从下拉里选；清单里没有的，先到【基础资料】/【总览汇总】里登记" promptTitle="提示" prompt="收/付款走的是哪个账户" type="list" errorStyle="stop">
      <formula1>=账户列表</formula1>
    </dataValidation>
    <dataValidation sqref="D7:D3006" showDropDown="0" showInputMessage="1" showErrorMessage="1" allowBlank="1" errorTitle="不在清单里" error="请从下拉里选；清单里没有的，先到【基础资料】/【总览汇总】里登记" promptTitle="提示" prompt="选了客户/供应商/费用项目的可以不选，会自动认" type="list" errorStyle="stop">
      <formula1>=收支项目列表</formula1>
    </dataValidation>
    <dataValidation sqref="J7:J3006" showDropDown="0" showInputMessage="1" showErrorMessage="1" allowBlank="1" errorTitle="不在清单里" error="请从下拉里选；清单里没有的，先到【基础资料】/【总览汇总】里登记" promptTitle="提示" prompt="收客户的钱选客户——自动冲减他的未付货款" type="list" errorStyle="stop">
      <formula1>=客户列表</formula1>
    </dataValidation>
    <dataValidation sqref="K7:K3006" showDropDown="0" showInputMessage="1" showErrorMessage="1" allowBlank="1" errorTitle="不在清单里" error="请从下拉里选；清单里没有的，先到【基础资料】/【总览汇总】里登记" promptTitle="提示" prompt="付厂家货款选供应商——自动冲减应付" type="list" errorStyle="stop">
      <formula1>=供应商列表</formula1>
    </dataValidation>
    <dataValidation sqref="L7:L3006" showDropDown="0" showInputMessage="1" showErrorMessage="1" allowBlank="1" errorTitle="不在清单里" error="请从下拉里选；清单里没有的，先到【基础资料】/【总览汇总】里登记" promptTitle="提示" prompt="花钱的选费用项目——自动进利润表" type="list" errorStyle="stop">
      <formula1>=费用项目列表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1503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style="71" min="1" max="1"/>
    <col width="13" customWidth="1" style="71" min="2" max="2"/>
    <col width="15" customWidth="1" style="71" min="3" max="3"/>
    <col width="15" customWidth="1" style="71" min="4" max="4"/>
    <col width="11" customWidth="1" style="71" min="5" max="5"/>
    <col width="12" customWidth="1" style="71" min="6" max="6"/>
    <col width="15" customWidth="1" style="71" min="7" max="7"/>
    <col width="12" customWidth="1" style="71" min="8" max="8"/>
    <col width="22" customWidth="1" style="71" min="9" max="9"/>
    <col width="22" customWidth="1" style="71" min="10" max="10"/>
  </cols>
  <sheetData>
    <row r="1" ht="33" customHeight="1" s="71">
      <c r="A1" s="147" t="inlineStr">
        <is>
          <t>采购进货明细台账</t>
        </is>
      </c>
    </row>
    <row r="2" ht="24" customHeight="1" s="71">
      <c r="A2" s="73" t="inlineStr">
        <is>
          <t>💡 从厂家/供应商进货在这里登记，一个商品一行：数量×进价自动出金额；厂家搭赠的货填「赠品数量」，只加库存不加货款；退货数量填负数。付货款去【资金台帐】记一笔并选供应商。公司库存、成本、利润表、供应商对账单都从这里取数。</t>
        </is>
      </c>
    </row>
    <row r="3" ht="37" customHeight="1" s="71">
      <c r="A3" s="102" t="inlineStr">
        <is>
          <t>序号</t>
        </is>
      </c>
      <c r="B3" s="102" t="inlineStr">
        <is>
          <t>日期</t>
        </is>
      </c>
      <c r="C3" s="102" t="inlineStr">
        <is>
          <t>供应商</t>
        </is>
      </c>
      <c r="D3" s="102" t="inlineStr">
        <is>
          <t>商品品类</t>
        </is>
      </c>
      <c r="E3" s="102" t="inlineStr">
        <is>
          <t>数量(件)</t>
        </is>
      </c>
      <c r="F3" s="102" t="inlineStr">
        <is>
          <t>进价(元/件)</t>
        </is>
      </c>
      <c r="G3" s="102" t="inlineStr">
        <is>
          <t>金额(元)</t>
        </is>
      </c>
      <c r="H3" s="102" t="inlineStr">
        <is>
          <t>赠品数量(件)</t>
        </is>
      </c>
      <c r="I3" s="102" t="inlineStr">
        <is>
          <t>备注</t>
        </is>
      </c>
      <c r="J3" s="102" t="inlineStr">
        <is>
          <t>校验</t>
        </is>
      </c>
    </row>
    <row r="4">
      <c r="A4" s="109">
        <f>IF(AND(C4="",D4=""),"",ROW()-3)</f>
      </c>
      <c r="B4" s="140" t="n"/>
      <c r="C4" s="141" t="n"/>
      <c r="D4" s="141" t="n"/>
      <c r="E4" s="148" t="n"/>
      <c r="F4" s="149" t="n"/>
      <c r="G4" s="150">
        <f>IF(AND(E4&lt;&gt;"",F4&lt;&gt;""),E4*F4,"")</f>
      </c>
      <c r="H4" s="148" t="n"/>
      <c r="I4" s="142" t="n"/>
      <c r="J4" s="146">
        <f>IF(AND(B4="",C4="",D4="",E4="",F4="",H4=""),"",IF(NOT(ISNUMBER(B4)),"✗ 日期不是真日期",IF(OR(B4&lt;年初日,B4&gt;年末日),"✗ 日期不在本年度",IF(C4="","✗ 没选供应商",IF(COUNTIF(基础资料!$Q$5:$Q$54,C4)=0,"✗ 供应商不在基础资料里",IF(D4="","✗ 没选商品",IF(COUNTIF(基础资料!$E$5:$E$104,D4)=0,"✗ 商品不在商品档案里",IF(AND(E4="",H4=""),"✗ 没填数量",IF(AND(N(E4)&lt;&gt;0,F4=""),"✗ 没填进价","√")))))))))</f>
      </c>
    </row>
    <row r="5">
      <c r="A5" s="109">
        <f>IF(AND(C5="",D5=""),"",ROW()-3)</f>
      </c>
      <c r="B5" s="140" t="n"/>
      <c r="C5" s="141" t="n"/>
      <c r="D5" s="141" t="n"/>
      <c r="E5" s="148" t="n"/>
      <c r="F5" s="149" t="n"/>
      <c r="G5" s="150">
        <f>IF(AND(E5&lt;&gt;"",F5&lt;&gt;""),E5*F5,"")</f>
      </c>
      <c r="H5" s="148" t="n"/>
      <c r="I5" s="142" t="n"/>
      <c r="J5" s="146">
        <f>IF(AND(B5="",C5="",D5="",E5="",F5="",H5=""),"",IF(NOT(ISNUMBER(B5)),"✗ 日期不是真日期",IF(OR(B5&lt;年初日,B5&gt;年末日),"✗ 日期不在本年度",IF(C5="","✗ 没选供应商",IF(COUNTIF(基础资料!$Q$5:$Q$54,C5)=0,"✗ 供应商不在基础资料里",IF(D5="","✗ 没选商品",IF(COUNTIF(基础资料!$E$5:$E$104,D5)=0,"✗ 商品不在商品档案里",IF(AND(E5="",H5=""),"✗ 没填数量",IF(AND(N(E5)&lt;&gt;0,F5=""),"✗ 没填进价","√")))))))))</f>
      </c>
    </row>
    <row r="6">
      <c r="A6" s="109">
        <f>IF(AND(C6="",D6=""),"",ROW()-3)</f>
      </c>
      <c r="B6" s="140" t="n"/>
      <c r="C6" s="141" t="n"/>
      <c r="D6" s="141" t="n"/>
      <c r="E6" s="148" t="n"/>
      <c r="F6" s="149" t="n"/>
      <c r="G6" s="150">
        <f>IF(AND(E6&lt;&gt;"",F6&lt;&gt;""),E6*F6,"")</f>
      </c>
      <c r="H6" s="148" t="n"/>
      <c r="I6" s="142" t="n"/>
      <c r="J6" s="146">
        <f>IF(AND(B6="",C6="",D6="",E6="",F6="",H6=""),"",IF(NOT(ISNUMBER(B6)),"✗ 日期不是真日期",IF(OR(B6&lt;年初日,B6&gt;年末日),"✗ 日期不在本年度",IF(C6="","✗ 没选供应商",IF(COUNTIF(基础资料!$Q$5:$Q$54,C6)=0,"✗ 供应商不在基础资料里",IF(D6="","✗ 没选商品",IF(COUNTIF(基础资料!$E$5:$E$104,D6)=0,"✗ 商品不在商品档案里",IF(AND(E6="",H6=""),"✗ 没填数量",IF(AND(N(E6)&lt;&gt;0,F6=""),"✗ 没填进价","√")))))))))</f>
      </c>
    </row>
    <row r="7">
      <c r="A7" s="109">
        <f>IF(AND(C7="",D7=""),"",ROW()-3)</f>
      </c>
      <c r="B7" s="140" t="n"/>
      <c r="C7" s="141" t="n"/>
      <c r="D7" s="141" t="n"/>
      <c r="E7" s="148" t="n"/>
      <c r="F7" s="149" t="n"/>
      <c r="G7" s="150">
        <f>IF(AND(E7&lt;&gt;"",F7&lt;&gt;""),E7*F7,"")</f>
      </c>
      <c r="H7" s="148" t="n"/>
      <c r="I7" s="142" t="n"/>
      <c r="J7" s="146">
        <f>IF(AND(B7="",C7="",D7="",E7="",F7="",H7=""),"",IF(NOT(ISNUMBER(B7)),"✗ 日期不是真日期",IF(OR(B7&lt;年初日,B7&gt;年末日),"✗ 日期不在本年度",IF(C7="","✗ 没选供应商",IF(COUNTIF(基础资料!$Q$5:$Q$54,C7)=0,"✗ 供应商不在基础资料里",IF(D7="","✗ 没选商品",IF(COUNTIF(基础资料!$E$5:$E$104,D7)=0,"✗ 商品不在商品档案里",IF(AND(E7="",H7=""),"✗ 没填数量",IF(AND(N(E7)&lt;&gt;0,F7=""),"✗ 没填进价","√")))))))))</f>
      </c>
    </row>
    <row r="8">
      <c r="A8" s="109">
        <f>IF(AND(C8="",D8=""),"",ROW()-3)</f>
      </c>
      <c r="B8" s="140" t="n"/>
      <c r="C8" s="141" t="n"/>
      <c r="D8" s="141" t="n"/>
      <c r="E8" s="148" t="n"/>
      <c r="F8" s="149" t="n"/>
      <c r="G8" s="150">
        <f>IF(AND(E8&lt;&gt;"",F8&lt;&gt;""),E8*F8,"")</f>
      </c>
      <c r="H8" s="148" t="n"/>
      <c r="I8" s="142" t="n"/>
      <c r="J8" s="146">
        <f>IF(AND(B8="",C8="",D8="",E8="",F8="",H8=""),"",IF(NOT(ISNUMBER(B8)),"✗ 日期不是真日期",IF(OR(B8&lt;年初日,B8&gt;年末日),"✗ 日期不在本年度",IF(C8="","✗ 没选供应商",IF(COUNTIF(基础资料!$Q$5:$Q$54,C8)=0,"✗ 供应商不在基础资料里",IF(D8="","✗ 没选商品",IF(COUNTIF(基础资料!$E$5:$E$104,D8)=0,"✗ 商品不在商品档案里",IF(AND(E8="",H8=""),"✗ 没填数量",IF(AND(N(E8)&lt;&gt;0,F8=""),"✗ 没填进价","√")))))))))</f>
      </c>
    </row>
    <row r="9">
      <c r="A9" s="109">
        <f>IF(AND(C9="",D9=""),"",ROW()-3)</f>
      </c>
      <c r="B9" s="140" t="n"/>
      <c r="C9" s="141" t="n"/>
      <c r="D9" s="141" t="n"/>
      <c r="E9" s="148" t="n"/>
      <c r="F9" s="149" t="n"/>
      <c r="G9" s="150">
        <f>IF(AND(E9&lt;&gt;"",F9&lt;&gt;""),E9*F9,"")</f>
      </c>
      <c r="H9" s="148" t="n"/>
      <c r="I9" s="142" t="n"/>
      <c r="J9" s="146">
        <f>IF(AND(B9="",C9="",D9="",E9="",F9="",H9=""),"",IF(NOT(ISNUMBER(B9)),"✗ 日期不是真日期",IF(OR(B9&lt;年初日,B9&gt;年末日),"✗ 日期不在本年度",IF(C9="","✗ 没选供应商",IF(COUNTIF(基础资料!$Q$5:$Q$54,C9)=0,"✗ 供应商不在基础资料里",IF(D9="","✗ 没选商品",IF(COUNTIF(基础资料!$E$5:$E$104,D9)=0,"✗ 商品不在商品档案里",IF(AND(E9="",H9=""),"✗ 没填数量",IF(AND(N(E9)&lt;&gt;0,F9=""),"✗ 没填进价","√")))))))))</f>
      </c>
    </row>
    <row r="10">
      <c r="A10" s="109">
        <f>IF(AND(C10="",D10=""),"",ROW()-3)</f>
      </c>
      <c r="B10" s="140" t="n"/>
      <c r="C10" s="141" t="n"/>
      <c r="D10" s="141" t="n"/>
      <c r="E10" s="148" t="n"/>
      <c r="F10" s="149" t="n"/>
      <c r="G10" s="150">
        <f>IF(AND(E10&lt;&gt;"",F10&lt;&gt;""),E10*F10,"")</f>
      </c>
      <c r="H10" s="148" t="n"/>
      <c r="I10" s="142" t="n"/>
      <c r="J10" s="146">
        <f>IF(AND(B10="",C10="",D10="",E10="",F10="",H10=""),"",IF(NOT(ISNUMBER(B10)),"✗ 日期不是真日期",IF(OR(B10&lt;年初日,B10&gt;年末日),"✗ 日期不在本年度",IF(C10="","✗ 没选供应商",IF(COUNTIF(基础资料!$Q$5:$Q$54,C10)=0,"✗ 供应商不在基础资料里",IF(D10="","✗ 没选商品",IF(COUNTIF(基础资料!$E$5:$E$104,D10)=0,"✗ 商品不在商品档案里",IF(AND(E10="",H10=""),"✗ 没填数量",IF(AND(N(E10)&lt;&gt;0,F10=""),"✗ 没填进价","√")))))))))</f>
      </c>
    </row>
    <row r="11">
      <c r="A11" s="109">
        <f>IF(AND(C11="",D11=""),"",ROW()-3)</f>
      </c>
      <c r="B11" s="140" t="n"/>
      <c r="C11" s="141" t="n"/>
      <c r="D11" s="141" t="n"/>
      <c r="E11" s="148" t="n"/>
      <c r="F11" s="149" t="n"/>
      <c r="G11" s="150">
        <f>IF(AND(E11&lt;&gt;"",F11&lt;&gt;""),E11*F11,"")</f>
      </c>
      <c r="H11" s="148" t="n"/>
      <c r="I11" s="142" t="n"/>
      <c r="J11" s="146">
        <f>IF(AND(B11="",C11="",D11="",E11="",F11="",H11=""),"",IF(NOT(ISNUMBER(B11)),"✗ 日期不是真日期",IF(OR(B11&lt;年初日,B11&gt;年末日),"✗ 日期不在本年度",IF(C11="","✗ 没选供应商",IF(COUNTIF(基础资料!$Q$5:$Q$54,C11)=0,"✗ 供应商不在基础资料里",IF(D11="","✗ 没选商品",IF(COUNTIF(基础资料!$E$5:$E$104,D11)=0,"✗ 商品不在商品档案里",IF(AND(E11="",H11=""),"✗ 没填数量",IF(AND(N(E11)&lt;&gt;0,F11=""),"✗ 没填进价","√")))))))))</f>
      </c>
    </row>
    <row r="12">
      <c r="A12" s="109">
        <f>IF(AND(C12="",D12=""),"",ROW()-3)</f>
      </c>
      <c r="B12" s="140" t="n"/>
      <c r="C12" s="141" t="n"/>
      <c r="D12" s="141" t="n"/>
      <c r="E12" s="148" t="n"/>
      <c r="F12" s="149" t="n"/>
      <c r="G12" s="150">
        <f>IF(AND(E12&lt;&gt;"",F12&lt;&gt;""),E12*F12,"")</f>
      </c>
      <c r="H12" s="148" t="n"/>
      <c r="I12" s="142" t="n"/>
      <c r="J12" s="146">
        <f>IF(AND(B12="",C12="",D12="",E12="",F12="",H12=""),"",IF(NOT(ISNUMBER(B12)),"✗ 日期不是真日期",IF(OR(B12&lt;年初日,B12&gt;年末日),"✗ 日期不在本年度",IF(C12="","✗ 没选供应商",IF(COUNTIF(基础资料!$Q$5:$Q$54,C12)=0,"✗ 供应商不在基础资料里",IF(D12="","✗ 没选商品",IF(COUNTIF(基础资料!$E$5:$E$104,D12)=0,"✗ 商品不在商品档案里",IF(AND(E12="",H12=""),"✗ 没填数量",IF(AND(N(E12)&lt;&gt;0,F12=""),"✗ 没填进价","√")))))))))</f>
      </c>
    </row>
    <row r="13">
      <c r="A13" s="109">
        <f>IF(AND(C13="",D13=""),"",ROW()-3)</f>
      </c>
      <c r="B13" s="140" t="n"/>
      <c r="C13" s="141" t="n"/>
      <c r="D13" s="141" t="n"/>
      <c r="E13" s="148" t="n"/>
      <c r="F13" s="149" t="n"/>
      <c r="G13" s="150">
        <f>IF(AND(E13&lt;&gt;"",F13&lt;&gt;""),E13*F13,"")</f>
      </c>
      <c r="H13" s="148" t="n"/>
      <c r="I13" s="142" t="n"/>
      <c r="J13" s="146">
        <f>IF(AND(B13="",C13="",D13="",E13="",F13="",H13=""),"",IF(NOT(ISNUMBER(B13)),"✗ 日期不是真日期",IF(OR(B13&lt;年初日,B13&gt;年末日),"✗ 日期不在本年度",IF(C13="","✗ 没选供应商",IF(COUNTIF(基础资料!$Q$5:$Q$54,C13)=0,"✗ 供应商不在基础资料里",IF(D13="","✗ 没选商品",IF(COUNTIF(基础资料!$E$5:$E$104,D13)=0,"✗ 商品不在商品档案里",IF(AND(E13="",H13=""),"✗ 没填数量",IF(AND(N(E13)&lt;&gt;0,F13=""),"✗ 没填进价","√")))))))))</f>
      </c>
    </row>
    <row r="14">
      <c r="A14" s="109">
        <f>IF(AND(C14="",D14=""),"",ROW()-3)</f>
      </c>
      <c r="B14" s="140" t="n"/>
      <c r="C14" s="141" t="n"/>
      <c r="D14" s="141" t="n"/>
      <c r="E14" s="148" t="n"/>
      <c r="F14" s="149" t="n"/>
      <c r="G14" s="150">
        <f>IF(AND(E14&lt;&gt;"",F14&lt;&gt;""),E14*F14,"")</f>
      </c>
      <c r="H14" s="148" t="n"/>
      <c r="I14" s="142" t="n"/>
      <c r="J14" s="146">
        <f>IF(AND(B14="",C14="",D14="",E14="",F14="",H14=""),"",IF(NOT(ISNUMBER(B14)),"✗ 日期不是真日期",IF(OR(B14&lt;年初日,B14&gt;年末日),"✗ 日期不在本年度",IF(C14="","✗ 没选供应商",IF(COUNTIF(基础资料!$Q$5:$Q$54,C14)=0,"✗ 供应商不在基础资料里",IF(D14="","✗ 没选商品",IF(COUNTIF(基础资料!$E$5:$E$104,D14)=0,"✗ 商品不在商品档案里",IF(AND(E14="",H14=""),"✗ 没填数量",IF(AND(N(E14)&lt;&gt;0,F14=""),"✗ 没填进价","√")))))))))</f>
      </c>
    </row>
    <row r="15">
      <c r="A15" s="109">
        <f>IF(AND(C15="",D15=""),"",ROW()-3)</f>
      </c>
      <c r="B15" s="140" t="n"/>
      <c r="C15" s="141" t="n"/>
      <c r="D15" s="141" t="n"/>
      <c r="E15" s="148" t="n"/>
      <c r="F15" s="149" t="n"/>
      <c r="G15" s="150">
        <f>IF(AND(E15&lt;&gt;"",F15&lt;&gt;""),E15*F15,"")</f>
      </c>
      <c r="H15" s="148" t="n"/>
      <c r="I15" s="142" t="n"/>
      <c r="J15" s="146">
        <f>IF(AND(B15="",C15="",D15="",E15="",F15="",H15=""),"",IF(NOT(ISNUMBER(B15)),"✗ 日期不是真日期",IF(OR(B15&lt;年初日,B15&gt;年末日),"✗ 日期不在本年度",IF(C15="","✗ 没选供应商",IF(COUNTIF(基础资料!$Q$5:$Q$54,C15)=0,"✗ 供应商不在基础资料里",IF(D15="","✗ 没选商品",IF(COUNTIF(基础资料!$E$5:$E$104,D15)=0,"✗ 商品不在商品档案里",IF(AND(E15="",H15=""),"✗ 没填数量",IF(AND(N(E15)&lt;&gt;0,F15=""),"✗ 没填进价","√")))))))))</f>
      </c>
    </row>
    <row r="16">
      <c r="A16" s="109">
        <f>IF(AND(C16="",D16=""),"",ROW()-3)</f>
      </c>
      <c r="B16" s="140" t="n"/>
      <c r="C16" s="141" t="n"/>
      <c r="D16" s="141" t="n"/>
      <c r="E16" s="148" t="n"/>
      <c r="F16" s="149" t="n"/>
      <c r="G16" s="150">
        <f>IF(AND(E16&lt;&gt;"",F16&lt;&gt;""),E16*F16,"")</f>
      </c>
      <c r="H16" s="148" t="n"/>
      <c r="I16" s="142" t="n"/>
      <c r="J16" s="146">
        <f>IF(AND(B16="",C16="",D16="",E16="",F16="",H16=""),"",IF(NOT(ISNUMBER(B16)),"✗ 日期不是真日期",IF(OR(B16&lt;年初日,B16&gt;年末日),"✗ 日期不在本年度",IF(C16="","✗ 没选供应商",IF(COUNTIF(基础资料!$Q$5:$Q$54,C16)=0,"✗ 供应商不在基础资料里",IF(D16="","✗ 没选商品",IF(COUNTIF(基础资料!$E$5:$E$104,D16)=0,"✗ 商品不在商品档案里",IF(AND(E16="",H16=""),"✗ 没填数量",IF(AND(N(E16)&lt;&gt;0,F16=""),"✗ 没填进价","√")))))))))</f>
      </c>
    </row>
    <row r="17">
      <c r="A17" s="109">
        <f>IF(AND(C17="",D17=""),"",ROW()-3)</f>
      </c>
      <c r="B17" s="140" t="n"/>
      <c r="C17" s="141" t="n"/>
      <c r="D17" s="141" t="n"/>
      <c r="E17" s="148" t="n"/>
      <c r="F17" s="149" t="n"/>
      <c r="G17" s="150">
        <f>IF(AND(E17&lt;&gt;"",F17&lt;&gt;""),E17*F17,"")</f>
      </c>
      <c r="H17" s="148" t="n"/>
      <c r="I17" s="142" t="n"/>
      <c r="J17" s="146">
        <f>IF(AND(B17="",C17="",D17="",E17="",F17="",H17=""),"",IF(NOT(ISNUMBER(B17)),"✗ 日期不是真日期",IF(OR(B17&lt;年初日,B17&gt;年末日),"✗ 日期不在本年度",IF(C17="","✗ 没选供应商",IF(COUNTIF(基础资料!$Q$5:$Q$54,C17)=0,"✗ 供应商不在基础资料里",IF(D17="","✗ 没选商品",IF(COUNTIF(基础资料!$E$5:$E$104,D17)=0,"✗ 商品不在商品档案里",IF(AND(E17="",H17=""),"✗ 没填数量",IF(AND(N(E17)&lt;&gt;0,F17=""),"✗ 没填进价","√")))))))))</f>
      </c>
    </row>
    <row r="18">
      <c r="A18" s="109">
        <f>IF(AND(C18="",D18=""),"",ROW()-3)</f>
      </c>
      <c r="B18" s="140" t="n"/>
      <c r="C18" s="141" t="n"/>
      <c r="D18" s="141" t="n"/>
      <c r="E18" s="148" t="n"/>
      <c r="F18" s="149" t="n"/>
      <c r="G18" s="150">
        <f>IF(AND(E18&lt;&gt;"",F18&lt;&gt;""),E18*F18,"")</f>
      </c>
      <c r="H18" s="148" t="n"/>
      <c r="I18" s="142" t="n"/>
      <c r="J18" s="146">
        <f>IF(AND(B18="",C18="",D18="",E18="",F18="",H18=""),"",IF(NOT(ISNUMBER(B18)),"✗ 日期不是真日期",IF(OR(B18&lt;年初日,B18&gt;年末日),"✗ 日期不在本年度",IF(C18="","✗ 没选供应商",IF(COUNTIF(基础资料!$Q$5:$Q$54,C18)=0,"✗ 供应商不在基础资料里",IF(D18="","✗ 没选商品",IF(COUNTIF(基础资料!$E$5:$E$104,D18)=0,"✗ 商品不在商品档案里",IF(AND(E18="",H18=""),"✗ 没填数量",IF(AND(N(E18)&lt;&gt;0,F18=""),"✗ 没填进价","√")))))))))</f>
      </c>
    </row>
    <row r="19">
      <c r="A19" s="109">
        <f>IF(AND(C19="",D19=""),"",ROW()-3)</f>
      </c>
      <c r="B19" s="140" t="n"/>
      <c r="C19" s="141" t="n"/>
      <c r="D19" s="141" t="n"/>
      <c r="E19" s="148" t="n"/>
      <c r="F19" s="149" t="n"/>
      <c r="G19" s="150">
        <f>IF(AND(E19&lt;&gt;"",F19&lt;&gt;""),E19*F19,"")</f>
      </c>
      <c r="H19" s="148" t="n"/>
      <c r="I19" s="142" t="n"/>
      <c r="J19" s="146">
        <f>IF(AND(B19="",C19="",D19="",E19="",F19="",H19=""),"",IF(NOT(ISNUMBER(B19)),"✗ 日期不是真日期",IF(OR(B19&lt;年初日,B19&gt;年末日),"✗ 日期不在本年度",IF(C19="","✗ 没选供应商",IF(COUNTIF(基础资料!$Q$5:$Q$54,C19)=0,"✗ 供应商不在基础资料里",IF(D19="","✗ 没选商品",IF(COUNTIF(基础资料!$E$5:$E$104,D19)=0,"✗ 商品不在商品档案里",IF(AND(E19="",H19=""),"✗ 没填数量",IF(AND(N(E19)&lt;&gt;0,F19=""),"✗ 没填进价","√")))))))))</f>
      </c>
    </row>
    <row r="20">
      <c r="A20" s="109">
        <f>IF(AND(C20="",D20=""),"",ROW()-3)</f>
      </c>
      <c r="B20" s="140" t="n"/>
      <c r="C20" s="141" t="n"/>
      <c r="D20" s="141" t="n"/>
      <c r="E20" s="148" t="n"/>
      <c r="F20" s="149" t="n"/>
      <c r="G20" s="150">
        <f>IF(AND(E20&lt;&gt;"",F20&lt;&gt;""),E20*F20,"")</f>
      </c>
      <c r="H20" s="148" t="n"/>
      <c r="I20" s="142" t="n"/>
      <c r="J20" s="146">
        <f>IF(AND(B20="",C20="",D20="",E20="",F20="",H20=""),"",IF(NOT(ISNUMBER(B20)),"✗ 日期不是真日期",IF(OR(B20&lt;年初日,B20&gt;年末日),"✗ 日期不在本年度",IF(C20="","✗ 没选供应商",IF(COUNTIF(基础资料!$Q$5:$Q$54,C20)=0,"✗ 供应商不在基础资料里",IF(D20="","✗ 没选商品",IF(COUNTIF(基础资料!$E$5:$E$104,D20)=0,"✗ 商品不在商品档案里",IF(AND(E20="",H20=""),"✗ 没填数量",IF(AND(N(E20)&lt;&gt;0,F20=""),"✗ 没填进价","√")))))))))</f>
      </c>
    </row>
    <row r="21">
      <c r="A21" s="109">
        <f>IF(AND(C21="",D21=""),"",ROW()-3)</f>
      </c>
      <c r="B21" s="140" t="n"/>
      <c r="C21" s="141" t="n"/>
      <c r="D21" s="141" t="n"/>
      <c r="E21" s="148" t="n"/>
      <c r="F21" s="149" t="n"/>
      <c r="G21" s="150">
        <f>IF(AND(E21&lt;&gt;"",F21&lt;&gt;""),E21*F21,"")</f>
      </c>
      <c r="H21" s="148" t="n"/>
      <c r="I21" s="142" t="n"/>
      <c r="J21" s="146">
        <f>IF(AND(B21="",C21="",D21="",E21="",F21="",H21=""),"",IF(NOT(ISNUMBER(B21)),"✗ 日期不是真日期",IF(OR(B21&lt;年初日,B21&gt;年末日),"✗ 日期不在本年度",IF(C21="","✗ 没选供应商",IF(COUNTIF(基础资料!$Q$5:$Q$54,C21)=0,"✗ 供应商不在基础资料里",IF(D21="","✗ 没选商品",IF(COUNTIF(基础资料!$E$5:$E$104,D21)=0,"✗ 商品不在商品档案里",IF(AND(E21="",H21=""),"✗ 没填数量",IF(AND(N(E21)&lt;&gt;0,F21=""),"✗ 没填进价","√")))))))))</f>
      </c>
    </row>
    <row r="22">
      <c r="A22" s="109">
        <f>IF(AND(C22="",D22=""),"",ROW()-3)</f>
      </c>
      <c r="B22" s="140" t="n"/>
      <c r="C22" s="141" t="n"/>
      <c r="D22" s="141" t="n"/>
      <c r="E22" s="148" t="n"/>
      <c r="F22" s="149" t="n"/>
      <c r="G22" s="150">
        <f>IF(AND(E22&lt;&gt;"",F22&lt;&gt;""),E22*F22,"")</f>
      </c>
      <c r="H22" s="148" t="n"/>
      <c r="I22" s="142" t="n"/>
      <c r="J22" s="146">
        <f>IF(AND(B22="",C22="",D22="",E22="",F22="",H22=""),"",IF(NOT(ISNUMBER(B22)),"✗ 日期不是真日期",IF(OR(B22&lt;年初日,B22&gt;年末日),"✗ 日期不在本年度",IF(C22="","✗ 没选供应商",IF(COUNTIF(基础资料!$Q$5:$Q$54,C22)=0,"✗ 供应商不在基础资料里",IF(D22="","✗ 没选商品",IF(COUNTIF(基础资料!$E$5:$E$104,D22)=0,"✗ 商品不在商品档案里",IF(AND(E22="",H22=""),"✗ 没填数量",IF(AND(N(E22)&lt;&gt;0,F22=""),"✗ 没填进价","√")))))))))</f>
      </c>
    </row>
    <row r="23">
      <c r="A23" s="109">
        <f>IF(AND(C23="",D23=""),"",ROW()-3)</f>
      </c>
      <c r="B23" s="140" t="n"/>
      <c r="C23" s="141" t="n"/>
      <c r="D23" s="141" t="n"/>
      <c r="E23" s="148" t="n"/>
      <c r="F23" s="149" t="n"/>
      <c r="G23" s="150">
        <f>IF(AND(E23&lt;&gt;"",F23&lt;&gt;""),E23*F23,"")</f>
      </c>
      <c r="H23" s="148" t="n"/>
      <c r="I23" s="142" t="n"/>
      <c r="J23" s="146">
        <f>IF(AND(B23="",C23="",D23="",E23="",F23="",H23=""),"",IF(NOT(ISNUMBER(B23)),"✗ 日期不是真日期",IF(OR(B23&lt;年初日,B23&gt;年末日),"✗ 日期不在本年度",IF(C23="","✗ 没选供应商",IF(COUNTIF(基础资料!$Q$5:$Q$54,C23)=0,"✗ 供应商不在基础资料里",IF(D23="","✗ 没选商品",IF(COUNTIF(基础资料!$E$5:$E$104,D23)=0,"✗ 商品不在商品档案里",IF(AND(E23="",H23=""),"✗ 没填数量",IF(AND(N(E23)&lt;&gt;0,F23=""),"✗ 没填进价","√")))))))))</f>
      </c>
    </row>
    <row r="24">
      <c r="A24" s="109">
        <f>IF(AND(C24="",D24=""),"",ROW()-3)</f>
      </c>
      <c r="B24" s="140" t="n"/>
      <c r="C24" s="141" t="n"/>
      <c r="D24" s="141" t="n"/>
      <c r="E24" s="148" t="n"/>
      <c r="F24" s="149" t="n"/>
      <c r="G24" s="150">
        <f>IF(AND(E24&lt;&gt;"",F24&lt;&gt;""),E24*F24,"")</f>
      </c>
      <c r="H24" s="148" t="n"/>
      <c r="I24" s="142" t="n"/>
      <c r="J24" s="146">
        <f>IF(AND(B24="",C24="",D24="",E24="",F24="",H24=""),"",IF(NOT(ISNUMBER(B24)),"✗ 日期不是真日期",IF(OR(B24&lt;年初日,B24&gt;年末日),"✗ 日期不在本年度",IF(C24="","✗ 没选供应商",IF(COUNTIF(基础资料!$Q$5:$Q$54,C24)=0,"✗ 供应商不在基础资料里",IF(D24="","✗ 没选商品",IF(COUNTIF(基础资料!$E$5:$E$104,D24)=0,"✗ 商品不在商品档案里",IF(AND(E24="",H24=""),"✗ 没填数量",IF(AND(N(E24)&lt;&gt;0,F24=""),"✗ 没填进价","√")))))))))</f>
      </c>
    </row>
    <row r="25">
      <c r="A25" s="109">
        <f>IF(AND(C25="",D25=""),"",ROW()-3)</f>
      </c>
      <c r="B25" s="140" t="n"/>
      <c r="C25" s="141" t="n"/>
      <c r="D25" s="141" t="n"/>
      <c r="E25" s="148" t="n"/>
      <c r="F25" s="149" t="n"/>
      <c r="G25" s="150">
        <f>IF(AND(E25&lt;&gt;"",F25&lt;&gt;""),E25*F25,"")</f>
      </c>
      <c r="H25" s="148" t="n"/>
      <c r="I25" s="142" t="n"/>
      <c r="J25" s="146">
        <f>IF(AND(B25="",C25="",D25="",E25="",F25="",H25=""),"",IF(NOT(ISNUMBER(B25)),"✗ 日期不是真日期",IF(OR(B25&lt;年初日,B25&gt;年末日),"✗ 日期不在本年度",IF(C25="","✗ 没选供应商",IF(COUNTIF(基础资料!$Q$5:$Q$54,C25)=0,"✗ 供应商不在基础资料里",IF(D25="","✗ 没选商品",IF(COUNTIF(基础资料!$E$5:$E$104,D25)=0,"✗ 商品不在商品档案里",IF(AND(E25="",H25=""),"✗ 没填数量",IF(AND(N(E25)&lt;&gt;0,F25=""),"✗ 没填进价","√")))))))))</f>
      </c>
    </row>
    <row r="26">
      <c r="A26" s="109">
        <f>IF(AND(C26="",D26=""),"",ROW()-3)</f>
      </c>
      <c r="B26" s="140" t="n"/>
      <c r="C26" s="141" t="n"/>
      <c r="D26" s="141" t="n"/>
      <c r="E26" s="148" t="n"/>
      <c r="F26" s="149" t="n"/>
      <c r="G26" s="150">
        <f>IF(AND(E26&lt;&gt;"",F26&lt;&gt;""),E26*F26,"")</f>
      </c>
      <c r="H26" s="148" t="n"/>
      <c r="I26" s="142" t="n"/>
      <c r="J26" s="146">
        <f>IF(AND(B26="",C26="",D26="",E26="",F26="",H26=""),"",IF(NOT(ISNUMBER(B26)),"✗ 日期不是真日期",IF(OR(B26&lt;年初日,B26&gt;年末日),"✗ 日期不在本年度",IF(C26="","✗ 没选供应商",IF(COUNTIF(基础资料!$Q$5:$Q$54,C26)=0,"✗ 供应商不在基础资料里",IF(D26="","✗ 没选商品",IF(COUNTIF(基础资料!$E$5:$E$104,D26)=0,"✗ 商品不在商品档案里",IF(AND(E26="",H26=""),"✗ 没填数量",IF(AND(N(E26)&lt;&gt;0,F26=""),"✗ 没填进价","√")))))))))</f>
      </c>
    </row>
    <row r="27">
      <c r="A27" s="109">
        <f>IF(AND(C27="",D27=""),"",ROW()-3)</f>
      </c>
      <c r="B27" s="140" t="n"/>
      <c r="C27" s="141" t="n"/>
      <c r="D27" s="141" t="n"/>
      <c r="E27" s="148" t="n"/>
      <c r="F27" s="149" t="n"/>
      <c r="G27" s="150">
        <f>IF(AND(E27&lt;&gt;"",F27&lt;&gt;""),E27*F27,"")</f>
      </c>
      <c r="H27" s="148" t="n"/>
      <c r="I27" s="142" t="n"/>
      <c r="J27" s="146">
        <f>IF(AND(B27="",C27="",D27="",E27="",F27="",H27=""),"",IF(NOT(ISNUMBER(B27)),"✗ 日期不是真日期",IF(OR(B27&lt;年初日,B27&gt;年末日),"✗ 日期不在本年度",IF(C27="","✗ 没选供应商",IF(COUNTIF(基础资料!$Q$5:$Q$54,C27)=0,"✗ 供应商不在基础资料里",IF(D27="","✗ 没选商品",IF(COUNTIF(基础资料!$E$5:$E$104,D27)=0,"✗ 商品不在商品档案里",IF(AND(E27="",H27=""),"✗ 没填数量",IF(AND(N(E27)&lt;&gt;0,F27=""),"✗ 没填进价","√")))))))))</f>
      </c>
    </row>
    <row r="28">
      <c r="A28" s="109">
        <f>IF(AND(C28="",D28=""),"",ROW()-3)</f>
      </c>
      <c r="B28" s="140" t="n"/>
      <c r="C28" s="141" t="n"/>
      <c r="D28" s="141" t="n"/>
      <c r="E28" s="148" t="n"/>
      <c r="F28" s="149" t="n"/>
      <c r="G28" s="150">
        <f>IF(AND(E28&lt;&gt;"",F28&lt;&gt;""),E28*F28,"")</f>
      </c>
      <c r="H28" s="148" t="n"/>
      <c r="I28" s="142" t="n"/>
      <c r="J28" s="146">
        <f>IF(AND(B28="",C28="",D28="",E28="",F28="",H28=""),"",IF(NOT(ISNUMBER(B28)),"✗ 日期不是真日期",IF(OR(B28&lt;年初日,B28&gt;年末日),"✗ 日期不在本年度",IF(C28="","✗ 没选供应商",IF(COUNTIF(基础资料!$Q$5:$Q$54,C28)=0,"✗ 供应商不在基础资料里",IF(D28="","✗ 没选商品",IF(COUNTIF(基础资料!$E$5:$E$104,D28)=0,"✗ 商品不在商品档案里",IF(AND(E28="",H28=""),"✗ 没填数量",IF(AND(N(E28)&lt;&gt;0,F28=""),"✗ 没填进价","√")))))))))</f>
      </c>
    </row>
    <row r="29">
      <c r="A29" s="109">
        <f>IF(AND(C29="",D29=""),"",ROW()-3)</f>
      </c>
      <c r="B29" s="140" t="n"/>
      <c r="C29" s="141" t="n"/>
      <c r="D29" s="141" t="n"/>
      <c r="E29" s="148" t="n"/>
      <c r="F29" s="149" t="n"/>
      <c r="G29" s="150">
        <f>IF(AND(E29&lt;&gt;"",F29&lt;&gt;""),E29*F29,"")</f>
      </c>
      <c r="H29" s="148" t="n"/>
      <c r="I29" s="142" t="n"/>
      <c r="J29" s="146">
        <f>IF(AND(B29="",C29="",D29="",E29="",F29="",H29=""),"",IF(NOT(ISNUMBER(B29)),"✗ 日期不是真日期",IF(OR(B29&lt;年初日,B29&gt;年末日),"✗ 日期不在本年度",IF(C29="","✗ 没选供应商",IF(COUNTIF(基础资料!$Q$5:$Q$54,C29)=0,"✗ 供应商不在基础资料里",IF(D29="","✗ 没选商品",IF(COUNTIF(基础资料!$E$5:$E$104,D29)=0,"✗ 商品不在商品档案里",IF(AND(E29="",H29=""),"✗ 没填数量",IF(AND(N(E29)&lt;&gt;0,F29=""),"✗ 没填进价","√")))))))))</f>
      </c>
    </row>
    <row r="30">
      <c r="A30" s="109">
        <f>IF(AND(C30="",D30=""),"",ROW()-3)</f>
      </c>
      <c r="B30" s="140" t="n"/>
      <c r="C30" s="141" t="n"/>
      <c r="D30" s="141" t="n"/>
      <c r="E30" s="148" t="n"/>
      <c r="F30" s="149" t="n"/>
      <c r="G30" s="150">
        <f>IF(AND(E30&lt;&gt;"",F30&lt;&gt;""),E30*F30,"")</f>
      </c>
      <c r="H30" s="148" t="n"/>
      <c r="I30" s="142" t="n"/>
      <c r="J30" s="146">
        <f>IF(AND(B30="",C30="",D30="",E30="",F30="",H30=""),"",IF(NOT(ISNUMBER(B30)),"✗ 日期不是真日期",IF(OR(B30&lt;年初日,B30&gt;年末日),"✗ 日期不在本年度",IF(C30="","✗ 没选供应商",IF(COUNTIF(基础资料!$Q$5:$Q$54,C30)=0,"✗ 供应商不在基础资料里",IF(D30="","✗ 没选商品",IF(COUNTIF(基础资料!$E$5:$E$104,D30)=0,"✗ 商品不在商品档案里",IF(AND(E30="",H30=""),"✗ 没填数量",IF(AND(N(E30)&lt;&gt;0,F30=""),"✗ 没填进价","√")))))))))</f>
      </c>
    </row>
    <row r="31">
      <c r="A31" s="109">
        <f>IF(AND(C31="",D31=""),"",ROW()-3)</f>
      </c>
      <c r="B31" s="140" t="n"/>
      <c r="C31" s="141" t="n"/>
      <c r="D31" s="141" t="n"/>
      <c r="E31" s="148" t="n"/>
      <c r="F31" s="149" t="n"/>
      <c r="G31" s="150">
        <f>IF(AND(E31&lt;&gt;"",F31&lt;&gt;""),E31*F31,"")</f>
      </c>
      <c r="H31" s="148" t="n"/>
      <c r="I31" s="142" t="n"/>
      <c r="J31" s="146">
        <f>IF(AND(B31="",C31="",D31="",E31="",F31="",H31=""),"",IF(NOT(ISNUMBER(B31)),"✗ 日期不是真日期",IF(OR(B31&lt;年初日,B31&gt;年末日),"✗ 日期不在本年度",IF(C31="","✗ 没选供应商",IF(COUNTIF(基础资料!$Q$5:$Q$54,C31)=0,"✗ 供应商不在基础资料里",IF(D31="","✗ 没选商品",IF(COUNTIF(基础资料!$E$5:$E$104,D31)=0,"✗ 商品不在商品档案里",IF(AND(E31="",H31=""),"✗ 没填数量",IF(AND(N(E31)&lt;&gt;0,F31=""),"✗ 没填进价","√")))))))))</f>
      </c>
    </row>
    <row r="32">
      <c r="A32" s="109">
        <f>IF(AND(C32="",D32=""),"",ROW()-3)</f>
      </c>
      <c r="B32" s="140" t="n"/>
      <c r="C32" s="141" t="n"/>
      <c r="D32" s="141" t="n"/>
      <c r="E32" s="148" t="n"/>
      <c r="F32" s="149" t="n"/>
      <c r="G32" s="150">
        <f>IF(AND(E32&lt;&gt;"",F32&lt;&gt;""),E32*F32,"")</f>
      </c>
      <c r="H32" s="148" t="n"/>
      <c r="I32" s="142" t="n"/>
      <c r="J32" s="146">
        <f>IF(AND(B32="",C32="",D32="",E32="",F32="",H32=""),"",IF(NOT(ISNUMBER(B32)),"✗ 日期不是真日期",IF(OR(B32&lt;年初日,B32&gt;年末日),"✗ 日期不在本年度",IF(C32="","✗ 没选供应商",IF(COUNTIF(基础资料!$Q$5:$Q$54,C32)=0,"✗ 供应商不在基础资料里",IF(D32="","✗ 没选商品",IF(COUNTIF(基础资料!$E$5:$E$104,D32)=0,"✗ 商品不在商品档案里",IF(AND(E32="",H32=""),"✗ 没填数量",IF(AND(N(E32)&lt;&gt;0,F32=""),"✗ 没填进价","√")))))))))</f>
      </c>
    </row>
    <row r="33">
      <c r="A33" s="109">
        <f>IF(AND(C33="",D33=""),"",ROW()-3)</f>
      </c>
      <c r="B33" s="140" t="n"/>
      <c r="C33" s="141" t="n"/>
      <c r="D33" s="141" t="n"/>
      <c r="E33" s="148" t="n"/>
      <c r="F33" s="149" t="n"/>
      <c r="G33" s="150">
        <f>IF(AND(E33&lt;&gt;"",F33&lt;&gt;""),E33*F33,"")</f>
      </c>
      <c r="H33" s="148" t="n"/>
      <c r="I33" s="142" t="n"/>
      <c r="J33" s="146">
        <f>IF(AND(B33="",C33="",D33="",E33="",F33="",H33=""),"",IF(NOT(ISNUMBER(B33)),"✗ 日期不是真日期",IF(OR(B33&lt;年初日,B33&gt;年末日),"✗ 日期不在本年度",IF(C33="","✗ 没选供应商",IF(COUNTIF(基础资料!$Q$5:$Q$54,C33)=0,"✗ 供应商不在基础资料里",IF(D33="","✗ 没选商品",IF(COUNTIF(基础资料!$E$5:$E$104,D33)=0,"✗ 商品不在商品档案里",IF(AND(E33="",H33=""),"✗ 没填数量",IF(AND(N(E33)&lt;&gt;0,F33=""),"✗ 没填进价","√")))))))))</f>
      </c>
    </row>
    <row r="34">
      <c r="A34" s="109">
        <f>IF(AND(C34="",D34=""),"",ROW()-3)</f>
      </c>
      <c r="B34" s="140" t="n"/>
      <c r="C34" s="141" t="n"/>
      <c r="D34" s="141" t="n"/>
      <c r="E34" s="148" t="n"/>
      <c r="F34" s="149" t="n"/>
      <c r="G34" s="150">
        <f>IF(AND(E34&lt;&gt;"",F34&lt;&gt;""),E34*F34,"")</f>
      </c>
      <c r="H34" s="148" t="n"/>
      <c r="I34" s="142" t="n"/>
      <c r="J34" s="146">
        <f>IF(AND(B34="",C34="",D34="",E34="",F34="",H34=""),"",IF(NOT(ISNUMBER(B34)),"✗ 日期不是真日期",IF(OR(B34&lt;年初日,B34&gt;年末日),"✗ 日期不在本年度",IF(C34="","✗ 没选供应商",IF(COUNTIF(基础资料!$Q$5:$Q$54,C34)=0,"✗ 供应商不在基础资料里",IF(D34="","✗ 没选商品",IF(COUNTIF(基础资料!$E$5:$E$104,D34)=0,"✗ 商品不在商品档案里",IF(AND(E34="",H34=""),"✗ 没填数量",IF(AND(N(E34)&lt;&gt;0,F34=""),"✗ 没填进价","√")))))))))</f>
      </c>
    </row>
    <row r="35">
      <c r="A35" s="109">
        <f>IF(AND(C35="",D35=""),"",ROW()-3)</f>
      </c>
      <c r="B35" s="140" t="n"/>
      <c r="C35" s="141" t="n"/>
      <c r="D35" s="141" t="n"/>
      <c r="E35" s="148" t="n"/>
      <c r="F35" s="149" t="n"/>
      <c r="G35" s="150">
        <f>IF(AND(E35&lt;&gt;"",F35&lt;&gt;""),E35*F35,"")</f>
      </c>
      <c r="H35" s="148" t="n"/>
      <c r="I35" s="142" t="n"/>
      <c r="J35" s="146">
        <f>IF(AND(B35="",C35="",D35="",E35="",F35="",H35=""),"",IF(NOT(ISNUMBER(B35)),"✗ 日期不是真日期",IF(OR(B35&lt;年初日,B35&gt;年末日),"✗ 日期不在本年度",IF(C35="","✗ 没选供应商",IF(COUNTIF(基础资料!$Q$5:$Q$54,C35)=0,"✗ 供应商不在基础资料里",IF(D35="","✗ 没选商品",IF(COUNTIF(基础资料!$E$5:$E$104,D35)=0,"✗ 商品不在商品档案里",IF(AND(E35="",H35=""),"✗ 没填数量",IF(AND(N(E35)&lt;&gt;0,F35=""),"✗ 没填进价","√")))))))))</f>
      </c>
    </row>
    <row r="36">
      <c r="A36" s="109">
        <f>IF(AND(C36="",D36=""),"",ROW()-3)</f>
      </c>
      <c r="B36" s="140" t="n"/>
      <c r="C36" s="141" t="n"/>
      <c r="D36" s="141" t="n"/>
      <c r="E36" s="148" t="n"/>
      <c r="F36" s="149" t="n"/>
      <c r="G36" s="150">
        <f>IF(AND(E36&lt;&gt;"",F36&lt;&gt;""),E36*F36,"")</f>
      </c>
      <c r="H36" s="148" t="n"/>
      <c r="I36" s="142" t="n"/>
      <c r="J36" s="146">
        <f>IF(AND(B36="",C36="",D36="",E36="",F36="",H36=""),"",IF(NOT(ISNUMBER(B36)),"✗ 日期不是真日期",IF(OR(B36&lt;年初日,B36&gt;年末日),"✗ 日期不在本年度",IF(C36="","✗ 没选供应商",IF(COUNTIF(基础资料!$Q$5:$Q$54,C36)=0,"✗ 供应商不在基础资料里",IF(D36="","✗ 没选商品",IF(COUNTIF(基础资料!$E$5:$E$104,D36)=0,"✗ 商品不在商品档案里",IF(AND(E36="",H36=""),"✗ 没填数量",IF(AND(N(E36)&lt;&gt;0,F36=""),"✗ 没填进价","√")))))))))</f>
      </c>
    </row>
    <row r="37">
      <c r="A37" s="109">
        <f>IF(AND(C37="",D37=""),"",ROW()-3)</f>
      </c>
      <c r="B37" s="140" t="n"/>
      <c r="C37" s="141" t="n"/>
      <c r="D37" s="141" t="n"/>
      <c r="E37" s="148" t="n"/>
      <c r="F37" s="149" t="n"/>
      <c r="G37" s="150">
        <f>IF(AND(E37&lt;&gt;"",F37&lt;&gt;""),E37*F37,"")</f>
      </c>
      <c r="H37" s="148" t="n"/>
      <c r="I37" s="142" t="n"/>
      <c r="J37" s="146">
        <f>IF(AND(B37="",C37="",D37="",E37="",F37="",H37=""),"",IF(NOT(ISNUMBER(B37)),"✗ 日期不是真日期",IF(OR(B37&lt;年初日,B37&gt;年末日),"✗ 日期不在本年度",IF(C37="","✗ 没选供应商",IF(COUNTIF(基础资料!$Q$5:$Q$54,C37)=0,"✗ 供应商不在基础资料里",IF(D37="","✗ 没选商品",IF(COUNTIF(基础资料!$E$5:$E$104,D37)=0,"✗ 商品不在商品档案里",IF(AND(E37="",H37=""),"✗ 没填数量",IF(AND(N(E37)&lt;&gt;0,F37=""),"✗ 没填进价","√")))))))))</f>
      </c>
    </row>
    <row r="38">
      <c r="A38" s="109">
        <f>IF(AND(C38="",D38=""),"",ROW()-3)</f>
      </c>
      <c r="B38" s="140" t="n"/>
      <c r="C38" s="141" t="n"/>
      <c r="D38" s="141" t="n"/>
      <c r="E38" s="148" t="n"/>
      <c r="F38" s="149" t="n"/>
      <c r="G38" s="150">
        <f>IF(AND(E38&lt;&gt;"",F38&lt;&gt;""),E38*F38,"")</f>
      </c>
      <c r="H38" s="148" t="n"/>
      <c r="I38" s="142" t="n"/>
      <c r="J38" s="146">
        <f>IF(AND(B38="",C38="",D38="",E38="",F38="",H38=""),"",IF(NOT(ISNUMBER(B38)),"✗ 日期不是真日期",IF(OR(B38&lt;年初日,B38&gt;年末日),"✗ 日期不在本年度",IF(C38="","✗ 没选供应商",IF(COUNTIF(基础资料!$Q$5:$Q$54,C38)=0,"✗ 供应商不在基础资料里",IF(D38="","✗ 没选商品",IF(COUNTIF(基础资料!$E$5:$E$104,D38)=0,"✗ 商品不在商品档案里",IF(AND(E38="",H38=""),"✗ 没填数量",IF(AND(N(E38)&lt;&gt;0,F38=""),"✗ 没填进价","√")))))))))</f>
      </c>
    </row>
    <row r="39">
      <c r="A39" s="109">
        <f>IF(AND(C39="",D39=""),"",ROW()-3)</f>
      </c>
      <c r="B39" s="140" t="n"/>
      <c r="C39" s="141" t="n"/>
      <c r="D39" s="141" t="n"/>
      <c r="E39" s="148" t="n"/>
      <c r="F39" s="149" t="n"/>
      <c r="G39" s="150">
        <f>IF(AND(E39&lt;&gt;"",F39&lt;&gt;""),E39*F39,"")</f>
      </c>
      <c r="H39" s="148" t="n"/>
      <c r="I39" s="142" t="n"/>
      <c r="J39" s="146">
        <f>IF(AND(B39="",C39="",D39="",E39="",F39="",H39=""),"",IF(NOT(ISNUMBER(B39)),"✗ 日期不是真日期",IF(OR(B39&lt;年初日,B39&gt;年末日),"✗ 日期不在本年度",IF(C39="","✗ 没选供应商",IF(COUNTIF(基础资料!$Q$5:$Q$54,C39)=0,"✗ 供应商不在基础资料里",IF(D39="","✗ 没选商品",IF(COUNTIF(基础资料!$E$5:$E$104,D39)=0,"✗ 商品不在商品档案里",IF(AND(E39="",H39=""),"✗ 没填数量",IF(AND(N(E39)&lt;&gt;0,F39=""),"✗ 没填进价","√")))))))))</f>
      </c>
    </row>
    <row r="40">
      <c r="A40" s="109">
        <f>IF(AND(C40="",D40=""),"",ROW()-3)</f>
      </c>
      <c r="B40" s="140" t="n"/>
      <c r="C40" s="141" t="n"/>
      <c r="D40" s="141" t="n"/>
      <c r="E40" s="148" t="n"/>
      <c r="F40" s="149" t="n"/>
      <c r="G40" s="150">
        <f>IF(AND(E40&lt;&gt;"",F40&lt;&gt;""),E40*F40,"")</f>
      </c>
      <c r="H40" s="148" t="n"/>
      <c r="I40" s="142" t="n"/>
      <c r="J40" s="146">
        <f>IF(AND(B40="",C40="",D40="",E40="",F40="",H40=""),"",IF(NOT(ISNUMBER(B40)),"✗ 日期不是真日期",IF(OR(B40&lt;年初日,B40&gt;年末日),"✗ 日期不在本年度",IF(C40="","✗ 没选供应商",IF(COUNTIF(基础资料!$Q$5:$Q$54,C40)=0,"✗ 供应商不在基础资料里",IF(D40="","✗ 没选商品",IF(COUNTIF(基础资料!$E$5:$E$104,D40)=0,"✗ 商品不在商品档案里",IF(AND(E40="",H40=""),"✗ 没填数量",IF(AND(N(E40)&lt;&gt;0,F40=""),"✗ 没填进价","√")))))))))</f>
      </c>
    </row>
    <row r="41">
      <c r="A41" s="109">
        <f>IF(AND(C41="",D41=""),"",ROW()-3)</f>
      </c>
      <c r="B41" s="140" t="n"/>
      <c r="C41" s="141" t="n"/>
      <c r="D41" s="141" t="n"/>
      <c r="E41" s="148" t="n"/>
      <c r="F41" s="149" t="n"/>
      <c r="G41" s="150">
        <f>IF(AND(E41&lt;&gt;"",F41&lt;&gt;""),E41*F41,"")</f>
      </c>
      <c r="H41" s="148" t="n"/>
      <c r="I41" s="142" t="n"/>
      <c r="J41" s="146">
        <f>IF(AND(B41="",C41="",D41="",E41="",F41="",H41=""),"",IF(NOT(ISNUMBER(B41)),"✗ 日期不是真日期",IF(OR(B41&lt;年初日,B41&gt;年末日),"✗ 日期不在本年度",IF(C41="","✗ 没选供应商",IF(COUNTIF(基础资料!$Q$5:$Q$54,C41)=0,"✗ 供应商不在基础资料里",IF(D41="","✗ 没选商品",IF(COUNTIF(基础资料!$E$5:$E$104,D41)=0,"✗ 商品不在商品档案里",IF(AND(E41="",H41=""),"✗ 没填数量",IF(AND(N(E41)&lt;&gt;0,F41=""),"✗ 没填进价","√")))))))))</f>
      </c>
    </row>
    <row r="42">
      <c r="A42" s="109">
        <f>IF(AND(C42="",D42=""),"",ROW()-3)</f>
      </c>
      <c r="B42" s="140" t="n"/>
      <c r="C42" s="141" t="n"/>
      <c r="D42" s="141" t="n"/>
      <c r="E42" s="148" t="n"/>
      <c r="F42" s="149" t="n"/>
      <c r="G42" s="150">
        <f>IF(AND(E42&lt;&gt;"",F42&lt;&gt;""),E42*F42,"")</f>
      </c>
      <c r="H42" s="148" t="n"/>
      <c r="I42" s="142" t="n"/>
      <c r="J42" s="146">
        <f>IF(AND(B42="",C42="",D42="",E42="",F42="",H42=""),"",IF(NOT(ISNUMBER(B42)),"✗ 日期不是真日期",IF(OR(B42&lt;年初日,B42&gt;年末日),"✗ 日期不在本年度",IF(C42="","✗ 没选供应商",IF(COUNTIF(基础资料!$Q$5:$Q$54,C42)=0,"✗ 供应商不在基础资料里",IF(D42="","✗ 没选商品",IF(COUNTIF(基础资料!$E$5:$E$104,D42)=0,"✗ 商品不在商品档案里",IF(AND(E42="",H42=""),"✗ 没填数量",IF(AND(N(E42)&lt;&gt;0,F42=""),"✗ 没填进价","√")))))))))</f>
      </c>
    </row>
    <row r="43">
      <c r="A43" s="109">
        <f>IF(AND(C43="",D43=""),"",ROW()-3)</f>
      </c>
      <c r="B43" s="140" t="n"/>
      <c r="C43" s="141" t="n"/>
      <c r="D43" s="141" t="n"/>
      <c r="E43" s="148" t="n"/>
      <c r="F43" s="149" t="n"/>
      <c r="G43" s="150">
        <f>IF(AND(E43&lt;&gt;"",F43&lt;&gt;""),E43*F43,"")</f>
      </c>
      <c r="H43" s="148" t="n"/>
      <c r="I43" s="142" t="n"/>
      <c r="J43" s="146">
        <f>IF(AND(B43="",C43="",D43="",E43="",F43="",H43=""),"",IF(NOT(ISNUMBER(B43)),"✗ 日期不是真日期",IF(OR(B43&lt;年初日,B43&gt;年末日),"✗ 日期不在本年度",IF(C43="","✗ 没选供应商",IF(COUNTIF(基础资料!$Q$5:$Q$54,C43)=0,"✗ 供应商不在基础资料里",IF(D43="","✗ 没选商品",IF(COUNTIF(基础资料!$E$5:$E$104,D43)=0,"✗ 商品不在商品档案里",IF(AND(E43="",H43=""),"✗ 没填数量",IF(AND(N(E43)&lt;&gt;0,F43=""),"✗ 没填进价","√")))))))))</f>
      </c>
    </row>
    <row r="44">
      <c r="A44" s="109">
        <f>IF(AND(C44="",D44=""),"",ROW()-3)</f>
      </c>
      <c r="B44" s="140" t="n"/>
      <c r="C44" s="141" t="n"/>
      <c r="D44" s="141" t="n"/>
      <c r="E44" s="148" t="n"/>
      <c r="F44" s="149" t="n"/>
      <c r="G44" s="150">
        <f>IF(AND(E44&lt;&gt;"",F44&lt;&gt;""),E44*F44,"")</f>
      </c>
      <c r="H44" s="148" t="n"/>
      <c r="I44" s="142" t="n"/>
      <c r="J44" s="146">
        <f>IF(AND(B44="",C44="",D44="",E44="",F44="",H44=""),"",IF(NOT(ISNUMBER(B44)),"✗ 日期不是真日期",IF(OR(B44&lt;年初日,B44&gt;年末日),"✗ 日期不在本年度",IF(C44="","✗ 没选供应商",IF(COUNTIF(基础资料!$Q$5:$Q$54,C44)=0,"✗ 供应商不在基础资料里",IF(D44="","✗ 没选商品",IF(COUNTIF(基础资料!$E$5:$E$104,D44)=0,"✗ 商品不在商品档案里",IF(AND(E44="",H44=""),"✗ 没填数量",IF(AND(N(E44)&lt;&gt;0,F44=""),"✗ 没填进价","√")))))))))</f>
      </c>
    </row>
    <row r="45">
      <c r="A45" s="109">
        <f>IF(AND(C45="",D45=""),"",ROW()-3)</f>
      </c>
      <c r="B45" s="140" t="n"/>
      <c r="C45" s="141" t="n"/>
      <c r="D45" s="141" t="n"/>
      <c r="E45" s="148" t="n"/>
      <c r="F45" s="149" t="n"/>
      <c r="G45" s="150">
        <f>IF(AND(E45&lt;&gt;"",F45&lt;&gt;""),E45*F45,"")</f>
      </c>
      <c r="H45" s="148" t="n"/>
      <c r="I45" s="142" t="n"/>
      <c r="J45" s="146">
        <f>IF(AND(B45="",C45="",D45="",E45="",F45="",H45=""),"",IF(NOT(ISNUMBER(B45)),"✗ 日期不是真日期",IF(OR(B45&lt;年初日,B45&gt;年末日),"✗ 日期不在本年度",IF(C45="","✗ 没选供应商",IF(COUNTIF(基础资料!$Q$5:$Q$54,C45)=0,"✗ 供应商不在基础资料里",IF(D45="","✗ 没选商品",IF(COUNTIF(基础资料!$E$5:$E$104,D45)=0,"✗ 商品不在商品档案里",IF(AND(E45="",H45=""),"✗ 没填数量",IF(AND(N(E45)&lt;&gt;0,F45=""),"✗ 没填进价","√")))))))))</f>
      </c>
    </row>
    <row r="46">
      <c r="A46" s="109">
        <f>IF(AND(C46="",D46=""),"",ROW()-3)</f>
      </c>
      <c r="B46" s="140" t="n"/>
      <c r="C46" s="141" t="n"/>
      <c r="D46" s="141" t="n"/>
      <c r="E46" s="148" t="n"/>
      <c r="F46" s="149" t="n"/>
      <c r="G46" s="150">
        <f>IF(AND(E46&lt;&gt;"",F46&lt;&gt;""),E46*F46,"")</f>
      </c>
      <c r="H46" s="148" t="n"/>
      <c r="I46" s="142" t="n"/>
      <c r="J46" s="146">
        <f>IF(AND(B46="",C46="",D46="",E46="",F46="",H46=""),"",IF(NOT(ISNUMBER(B46)),"✗ 日期不是真日期",IF(OR(B46&lt;年初日,B46&gt;年末日),"✗ 日期不在本年度",IF(C46="","✗ 没选供应商",IF(COUNTIF(基础资料!$Q$5:$Q$54,C46)=0,"✗ 供应商不在基础资料里",IF(D46="","✗ 没选商品",IF(COUNTIF(基础资料!$E$5:$E$104,D46)=0,"✗ 商品不在商品档案里",IF(AND(E46="",H46=""),"✗ 没填数量",IF(AND(N(E46)&lt;&gt;0,F46=""),"✗ 没填进价","√")))))))))</f>
      </c>
    </row>
    <row r="47">
      <c r="A47" s="109">
        <f>IF(AND(C47="",D47=""),"",ROW()-3)</f>
      </c>
      <c r="B47" s="140" t="n"/>
      <c r="C47" s="141" t="n"/>
      <c r="D47" s="141" t="n"/>
      <c r="E47" s="148" t="n"/>
      <c r="F47" s="149" t="n"/>
      <c r="G47" s="150">
        <f>IF(AND(E47&lt;&gt;"",F47&lt;&gt;""),E47*F47,"")</f>
      </c>
      <c r="H47" s="148" t="n"/>
      <c r="I47" s="142" t="n"/>
      <c r="J47" s="146">
        <f>IF(AND(B47="",C47="",D47="",E47="",F47="",H47=""),"",IF(NOT(ISNUMBER(B47)),"✗ 日期不是真日期",IF(OR(B47&lt;年初日,B47&gt;年末日),"✗ 日期不在本年度",IF(C47="","✗ 没选供应商",IF(COUNTIF(基础资料!$Q$5:$Q$54,C47)=0,"✗ 供应商不在基础资料里",IF(D47="","✗ 没选商品",IF(COUNTIF(基础资料!$E$5:$E$104,D47)=0,"✗ 商品不在商品档案里",IF(AND(E47="",H47=""),"✗ 没填数量",IF(AND(N(E47)&lt;&gt;0,F47=""),"✗ 没填进价","√")))))))))</f>
      </c>
    </row>
    <row r="48">
      <c r="A48" s="109">
        <f>IF(AND(C48="",D48=""),"",ROW()-3)</f>
      </c>
      <c r="B48" s="140" t="n"/>
      <c r="C48" s="141" t="n"/>
      <c r="D48" s="141" t="n"/>
      <c r="E48" s="148" t="n"/>
      <c r="F48" s="149" t="n"/>
      <c r="G48" s="150">
        <f>IF(AND(E48&lt;&gt;"",F48&lt;&gt;""),E48*F48,"")</f>
      </c>
      <c r="H48" s="148" t="n"/>
      <c r="I48" s="142" t="n"/>
      <c r="J48" s="146">
        <f>IF(AND(B48="",C48="",D48="",E48="",F48="",H48=""),"",IF(NOT(ISNUMBER(B48)),"✗ 日期不是真日期",IF(OR(B48&lt;年初日,B48&gt;年末日),"✗ 日期不在本年度",IF(C48="","✗ 没选供应商",IF(COUNTIF(基础资料!$Q$5:$Q$54,C48)=0,"✗ 供应商不在基础资料里",IF(D48="","✗ 没选商品",IF(COUNTIF(基础资料!$E$5:$E$104,D48)=0,"✗ 商品不在商品档案里",IF(AND(E48="",H48=""),"✗ 没填数量",IF(AND(N(E48)&lt;&gt;0,F48=""),"✗ 没填进价","√")))))))))</f>
      </c>
    </row>
    <row r="49">
      <c r="A49" s="109">
        <f>IF(AND(C49="",D49=""),"",ROW()-3)</f>
      </c>
      <c r="B49" s="140" t="n"/>
      <c r="C49" s="141" t="n"/>
      <c r="D49" s="141" t="n"/>
      <c r="E49" s="148" t="n"/>
      <c r="F49" s="149" t="n"/>
      <c r="G49" s="150">
        <f>IF(AND(E49&lt;&gt;"",F49&lt;&gt;""),E49*F49,"")</f>
      </c>
      <c r="H49" s="148" t="n"/>
      <c r="I49" s="142" t="n"/>
      <c r="J49" s="146">
        <f>IF(AND(B49="",C49="",D49="",E49="",F49="",H49=""),"",IF(NOT(ISNUMBER(B49)),"✗ 日期不是真日期",IF(OR(B49&lt;年初日,B49&gt;年末日),"✗ 日期不在本年度",IF(C49="","✗ 没选供应商",IF(COUNTIF(基础资料!$Q$5:$Q$54,C49)=0,"✗ 供应商不在基础资料里",IF(D49="","✗ 没选商品",IF(COUNTIF(基础资料!$E$5:$E$104,D49)=0,"✗ 商品不在商品档案里",IF(AND(E49="",H49=""),"✗ 没填数量",IF(AND(N(E49)&lt;&gt;0,F49=""),"✗ 没填进价","√")))))))))</f>
      </c>
    </row>
    <row r="50">
      <c r="A50" s="109">
        <f>IF(AND(C50="",D50=""),"",ROW()-3)</f>
      </c>
      <c r="B50" s="140" t="n"/>
      <c r="C50" s="141" t="n"/>
      <c r="D50" s="141" t="n"/>
      <c r="E50" s="148" t="n"/>
      <c r="F50" s="149" t="n"/>
      <c r="G50" s="150">
        <f>IF(AND(E50&lt;&gt;"",F50&lt;&gt;""),E50*F50,"")</f>
      </c>
      <c r="H50" s="148" t="n"/>
      <c r="I50" s="142" t="n"/>
      <c r="J50" s="146">
        <f>IF(AND(B50="",C50="",D50="",E50="",F50="",H50=""),"",IF(NOT(ISNUMBER(B50)),"✗ 日期不是真日期",IF(OR(B50&lt;年初日,B50&gt;年末日),"✗ 日期不在本年度",IF(C50="","✗ 没选供应商",IF(COUNTIF(基础资料!$Q$5:$Q$54,C50)=0,"✗ 供应商不在基础资料里",IF(D50="","✗ 没选商品",IF(COUNTIF(基础资料!$E$5:$E$104,D50)=0,"✗ 商品不在商品档案里",IF(AND(E50="",H50=""),"✗ 没填数量",IF(AND(N(E50)&lt;&gt;0,F50=""),"✗ 没填进价","√")))))))))</f>
      </c>
    </row>
    <row r="51">
      <c r="A51" s="109">
        <f>IF(AND(C51="",D51=""),"",ROW()-3)</f>
      </c>
      <c r="B51" s="140" t="n"/>
      <c r="C51" s="141" t="n"/>
      <c r="D51" s="141" t="n"/>
      <c r="E51" s="148" t="n"/>
      <c r="F51" s="149" t="n"/>
      <c r="G51" s="150">
        <f>IF(AND(E51&lt;&gt;"",F51&lt;&gt;""),E51*F51,"")</f>
      </c>
      <c r="H51" s="148" t="n"/>
      <c r="I51" s="142" t="n"/>
      <c r="J51" s="146">
        <f>IF(AND(B51="",C51="",D51="",E51="",F51="",H51=""),"",IF(NOT(ISNUMBER(B51)),"✗ 日期不是真日期",IF(OR(B51&lt;年初日,B51&gt;年末日),"✗ 日期不在本年度",IF(C51="","✗ 没选供应商",IF(COUNTIF(基础资料!$Q$5:$Q$54,C51)=0,"✗ 供应商不在基础资料里",IF(D51="","✗ 没选商品",IF(COUNTIF(基础资料!$E$5:$E$104,D51)=0,"✗ 商品不在商品档案里",IF(AND(E51="",H51=""),"✗ 没填数量",IF(AND(N(E51)&lt;&gt;0,F51=""),"✗ 没填进价","√")))))))))</f>
      </c>
    </row>
    <row r="52">
      <c r="A52" s="109">
        <f>IF(AND(C52="",D52=""),"",ROW()-3)</f>
      </c>
      <c r="B52" s="140" t="n"/>
      <c r="C52" s="141" t="n"/>
      <c r="D52" s="141" t="n"/>
      <c r="E52" s="148" t="n"/>
      <c r="F52" s="149" t="n"/>
      <c r="G52" s="150">
        <f>IF(AND(E52&lt;&gt;"",F52&lt;&gt;""),E52*F52,"")</f>
      </c>
      <c r="H52" s="148" t="n"/>
      <c r="I52" s="142" t="n"/>
      <c r="J52" s="146">
        <f>IF(AND(B52="",C52="",D52="",E52="",F52="",H52=""),"",IF(NOT(ISNUMBER(B52)),"✗ 日期不是真日期",IF(OR(B52&lt;年初日,B52&gt;年末日),"✗ 日期不在本年度",IF(C52="","✗ 没选供应商",IF(COUNTIF(基础资料!$Q$5:$Q$54,C52)=0,"✗ 供应商不在基础资料里",IF(D52="","✗ 没选商品",IF(COUNTIF(基础资料!$E$5:$E$104,D52)=0,"✗ 商品不在商品档案里",IF(AND(E52="",H52=""),"✗ 没填数量",IF(AND(N(E52)&lt;&gt;0,F52=""),"✗ 没填进价","√")))))))))</f>
      </c>
    </row>
    <row r="53">
      <c r="A53" s="109">
        <f>IF(AND(C53="",D53=""),"",ROW()-3)</f>
      </c>
      <c r="B53" s="140" t="n"/>
      <c r="C53" s="141" t="n"/>
      <c r="D53" s="141" t="n"/>
      <c r="E53" s="148" t="n"/>
      <c r="F53" s="149" t="n"/>
      <c r="G53" s="150">
        <f>IF(AND(E53&lt;&gt;"",F53&lt;&gt;""),E53*F53,"")</f>
      </c>
      <c r="H53" s="148" t="n"/>
      <c r="I53" s="142" t="n"/>
      <c r="J53" s="146">
        <f>IF(AND(B53="",C53="",D53="",E53="",F53="",H53=""),"",IF(NOT(ISNUMBER(B53)),"✗ 日期不是真日期",IF(OR(B53&lt;年初日,B53&gt;年末日),"✗ 日期不在本年度",IF(C53="","✗ 没选供应商",IF(COUNTIF(基础资料!$Q$5:$Q$54,C53)=0,"✗ 供应商不在基础资料里",IF(D53="","✗ 没选商品",IF(COUNTIF(基础资料!$E$5:$E$104,D53)=0,"✗ 商品不在商品档案里",IF(AND(E53="",H53=""),"✗ 没填数量",IF(AND(N(E53)&lt;&gt;0,F53=""),"✗ 没填进价","√")))))))))</f>
      </c>
    </row>
    <row r="54">
      <c r="A54" s="109">
        <f>IF(AND(C54="",D54=""),"",ROW()-3)</f>
      </c>
      <c r="B54" s="140" t="n"/>
      <c r="C54" s="141" t="n"/>
      <c r="D54" s="141" t="n"/>
      <c r="E54" s="148" t="n"/>
      <c r="F54" s="149" t="n"/>
      <c r="G54" s="150">
        <f>IF(AND(E54&lt;&gt;"",F54&lt;&gt;""),E54*F54,"")</f>
      </c>
      <c r="H54" s="148" t="n"/>
      <c r="I54" s="142" t="n"/>
      <c r="J54" s="146">
        <f>IF(AND(B54="",C54="",D54="",E54="",F54="",H54=""),"",IF(NOT(ISNUMBER(B54)),"✗ 日期不是真日期",IF(OR(B54&lt;年初日,B54&gt;年末日),"✗ 日期不在本年度",IF(C54="","✗ 没选供应商",IF(COUNTIF(基础资料!$Q$5:$Q$54,C54)=0,"✗ 供应商不在基础资料里",IF(D54="","✗ 没选商品",IF(COUNTIF(基础资料!$E$5:$E$104,D54)=0,"✗ 商品不在商品档案里",IF(AND(E54="",H54=""),"✗ 没填数量",IF(AND(N(E54)&lt;&gt;0,F54=""),"✗ 没填进价","√")))))))))</f>
      </c>
    </row>
    <row r="55">
      <c r="A55" s="109">
        <f>IF(AND(C55="",D55=""),"",ROW()-3)</f>
      </c>
      <c r="B55" s="140" t="n"/>
      <c r="C55" s="141" t="n"/>
      <c r="D55" s="141" t="n"/>
      <c r="E55" s="148" t="n"/>
      <c r="F55" s="149" t="n"/>
      <c r="G55" s="150">
        <f>IF(AND(E55&lt;&gt;"",F55&lt;&gt;""),E55*F55,"")</f>
      </c>
      <c r="H55" s="148" t="n"/>
      <c r="I55" s="142" t="n"/>
      <c r="J55" s="146">
        <f>IF(AND(B55="",C55="",D55="",E55="",F55="",H55=""),"",IF(NOT(ISNUMBER(B55)),"✗ 日期不是真日期",IF(OR(B55&lt;年初日,B55&gt;年末日),"✗ 日期不在本年度",IF(C55="","✗ 没选供应商",IF(COUNTIF(基础资料!$Q$5:$Q$54,C55)=0,"✗ 供应商不在基础资料里",IF(D55="","✗ 没选商品",IF(COUNTIF(基础资料!$E$5:$E$104,D55)=0,"✗ 商品不在商品档案里",IF(AND(E55="",H55=""),"✗ 没填数量",IF(AND(N(E55)&lt;&gt;0,F55=""),"✗ 没填进价","√")))))))))</f>
      </c>
    </row>
    <row r="56">
      <c r="A56" s="109">
        <f>IF(AND(C56="",D56=""),"",ROW()-3)</f>
      </c>
      <c r="B56" s="140" t="n"/>
      <c r="C56" s="141" t="n"/>
      <c r="D56" s="141" t="n"/>
      <c r="E56" s="148" t="n"/>
      <c r="F56" s="149" t="n"/>
      <c r="G56" s="150">
        <f>IF(AND(E56&lt;&gt;"",F56&lt;&gt;""),E56*F56,"")</f>
      </c>
      <c r="H56" s="148" t="n"/>
      <c r="I56" s="142" t="n"/>
      <c r="J56" s="146">
        <f>IF(AND(B56="",C56="",D56="",E56="",F56="",H56=""),"",IF(NOT(ISNUMBER(B56)),"✗ 日期不是真日期",IF(OR(B56&lt;年初日,B56&gt;年末日),"✗ 日期不在本年度",IF(C56="","✗ 没选供应商",IF(COUNTIF(基础资料!$Q$5:$Q$54,C56)=0,"✗ 供应商不在基础资料里",IF(D56="","✗ 没选商品",IF(COUNTIF(基础资料!$E$5:$E$104,D56)=0,"✗ 商品不在商品档案里",IF(AND(E56="",H56=""),"✗ 没填数量",IF(AND(N(E56)&lt;&gt;0,F56=""),"✗ 没填进价","√")))))))))</f>
      </c>
    </row>
    <row r="57">
      <c r="A57" s="109">
        <f>IF(AND(C57="",D57=""),"",ROW()-3)</f>
      </c>
      <c r="B57" s="140" t="n"/>
      <c r="C57" s="141" t="n"/>
      <c r="D57" s="141" t="n"/>
      <c r="E57" s="148" t="n"/>
      <c r="F57" s="149" t="n"/>
      <c r="G57" s="150">
        <f>IF(AND(E57&lt;&gt;"",F57&lt;&gt;""),E57*F57,"")</f>
      </c>
      <c r="H57" s="148" t="n"/>
      <c r="I57" s="142" t="n"/>
      <c r="J57" s="146">
        <f>IF(AND(B57="",C57="",D57="",E57="",F57="",H57=""),"",IF(NOT(ISNUMBER(B57)),"✗ 日期不是真日期",IF(OR(B57&lt;年初日,B57&gt;年末日),"✗ 日期不在本年度",IF(C57="","✗ 没选供应商",IF(COUNTIF(基础资料!$Q$5:$Q$54,C57)=0,"✗ 供应商不在基础资料里",IF(D57="","✗ 没选商品",IF(COUNTIF(基础资料!$E$5:$E$104,D57)=0,"✗ 商品不在商品档案里",IF(AND(E57="",H57=""),"✗ 没填数量",IF(AND(N(E57)&lt;&gt;0,F57=""),"✗ 没填进价","√")))))))))</f>
      </c>
    </row>
    <row r="58">
      <c r="A58" s="109">
        <f>IF(AND(C58="",D58=""),"",ROW()-3)</f>
      </c>
      <c r="B58" s="140" t="n"/>
      <c r="C58" s="141" t="n"/>
      <c r="D58" s="141" t="n"/>
      <c r="E58" s="148" t="n"/>
      <c r="F58" s="149" t="n"/>
      <c r="G58" s="150">
        <f>IF(AND(E58&lt;&gt;"",F58&lt;&gt;""),E58*F58,"")</f>
      </c>
      <c r="H58" s="148" t="n"/>
      <c r="I58" s="142" t="n"/>
      <c r="J58" s="146">
        <f>IF(AND(B58="",C58="",D58="",E58="",F58="",H58=""),"",IF(NOT(ISNUMBER(B58)),"✗ 日期不是真日期",IF(OR(B58&lt;年初日,B58&gt;年末日),"✗ 日期不在本年度",IF(C58="","✗ 没选供应商",IF(COUNTIF(基础资料!$Q$5:$Q$54,C58)=0,"✗ 供应商不在基础资料里",IF(D58="","✗ 没选商品",IF(COUNTIF(基础资料!$E$5:$E$104,D58)=0,"✗ 商品不在商品档案里",IF(AND(E58="",H58=""),"✗ 没填数量",IF(AND(N(E58)&lt;&gt;0,F58=""),"✗ 没填进价","√")))))))))</f>
      </c>
    </row>
    <row r="59">
      <c r="A59" s="109">
        <f>IF(AND(C59="",D59=""),"",ROW()-3)</f>
      </c>
      <c r="B59" s="140" t="n"/>
      <c r="C59" s="141" t="n"/>
      <c r="D59" s="141" t="n"/>
      <c r="E59" s="148" t="n"/>
      <c r="F59" s="149" t="n"/>
      <c r="G59" s="150">
        <f>IF(AND(E59&lt;&gt;"",F59&lt;&gt;""),E59*F59,"")</f>
      </c>
      <c r="H59" s="148" t="n"/>
      <c r="I59" s="142" t="n"/>
      <c r="J59" s="146">
        <f>IF(AND(B59="",C59="",D59="",E59="",F59="",H59=""),"",IF(NOT(ISNUMBER(B59)),"✗ 日期不是真日期",IF(OR(B59&lt;年初日,B59&gt;年末日),"✗ 日期不在本年度",IF(C59="","✗ 没选供应商",IF(COUNTIF(基础资料!$Q$5:$Q$54,C59)=0,"✗ 供应商不在基础资料里",IF(D59="","✗ 没选商品",IF(COUNTIF(基础资料!$E$5:$E$104,D59)=0,"✗ 商品不在商品档案里",IF(AND(E59="",H59=""),"✗ 没填数量",IF(AND(N(E59)&lt;&gt;0,F59=""),"✗ 没填进价","√")))))))))</f>
      </c>
    </row>
    <row r="60">
      <c r="A60" s="109">
        <f>IF(AND(C60="",D60=""),"",ROW()-3)</f>
      </c>
      <c r="B60" s="140" t="n"/>
      <c r="C60" s="141" t="n"/>
      <c r="D60" s="141" t="n"/>
      <c r="E60" s="148" t="n"/>
      <c r="F60" s="149" t="n"/>
      <c r="G60" s="150">
        <f>IF(AND(E60&lt;&gt;"",F60&lt;&gt;""),E60*F60,"")</f>
      </c>
      <c r="H60" s="148" t="n"/>
      <c r="I60" s="142" t="n"/>
      <c r="J60" s="146">
        <f>IF(AND(B60="",C60="",D60="",E60="",F60="",H60=""),"",IF(NOT(ISNUMBER(B60)),"✗ 日期不是真日期",IF(OR(B60&lt;年初日,B60&gt;年末日),"✗ 日期不在本年度",IF(C60="","✗ 没选供应商",IF(COUNTIF(基础资料!$Q$5:$Q$54,C60)=0,"✗ 供应商不在基础资料里",IF(D60="","✗ 没选商品",IF(COUNTIF(基础资料!$E$5:$E$104,D60)=0,"✗ 商品不在商品档案里",IF(AND(E60="",H60=""),"✗ 没填数量",IF(AND(N(E60)&lt;&gt;0,F60=""),"✗ 没填进价","√")))))))))</f>
      </c>
    </row>
    <row r="61">
      <c r="A61" s="109">
        <f>IF(AND(C61="",D61=""),"",ROW()-3)</f>
      </c>
      <c r="B61" s="140" t="n"/>
      <c r="C61" s="141" t="n"/>
      <c r="D61" s="141" t="n"/>
      <c r="E61" s="148" t="n"/>
      <c r="F61" s="149" t="n"/>
      <c r="G61" s="150">
        <f>IF(AND(E61&lt;&gt;"",F61&lt;&gt;""),E61*F61,"")</f>
      </c>
      <c r="H61" s="148" t="n"/>
      <c r="I61" s="142" t="n"/>
      <c r="J61" s="146">
        <f>IF(AND(B61="",C61="",D61="",E61="",F61="",H61=""),"",IF(NOT(ISNUMBER(B61)),"✗ 日期不是真日期",IF(OR(B61&lt;年初日,B61&gt;年末日),"✗ 日期不在本年度",IF(C61="","✗ 没选供应商",IF(COUNTIF(基础资料!$Q$5:$Q$54,C61)=0,"✗ 供应商不在基础资料里",IF(D61="","✗ 没选商品",IF(COUNTIF(基础资料!$E$5:$E$104,D61)=0,"✗ 商品不在商品档案里",IF(AND(E61="",H61=""),"✗ 没填数量",IF(AND(N(E61)&lt;&gt;0,F61=""),"✗ 没填进价","√")))))))))</f>
      </c>
    </row>
    <row r="62">
      <c r="A62" s="109">
        <f>IF(AND(C62="",D62=""),"",ROW()-3)</f>
      </c>
      <c r="B62" s="140" t="n"/>
      <c r="C62" s="141" t="n"/>
      <c r="D62" s="141" t="n"/>
      <c r="E62" s="148" t="n"/>
      <c r="F62" s="149" t="n"/>
      <c r="G62" s="150">
        <f>IF(AND(E62&lt;&gt;"",F62&lt;&gt;""),E62*F62,"")</f>
      </c>
      <c r="H62" s="148" t="n"/>
      <c r="I62" s="142" t="n"/>
      <c r="J62" s="146">
        <f>IF(AND(B62="",C62="",D62="",E62="",F62="",H62=""),"",IF(NOT(ISNUMBER(B62)),"✗ 日期不是真日期",IF(OR(B62&lt;年初日,B62&gt;年末日),"✗ 日期不在本年度",IF(C62="","✗ 没选供应商",IF(COUNTIF(基础资料!$Q$5:$Q$54,C62)=0,"✗ 供应商不在基础资料里",IF(D62="","✗ 没选商品",IF(COUNTIF(基础资料!$E$5:$E$104,D62)=0,"✗ 商品不在商品档案里",IF(AND(E62="",H62=""),"✗ 没填数量",IF(AND(N(E62)&lt;&gt;0,F62=""),"✗ 没填进价","√")))))))))</f>
      </c>
    </row>
    <row r="63">
      <c r="A63" s="109">
        <f>IF(AND(C63="",D63=""),"",ROW()-3)</f>
      </c>
      <c r="B63" s="140" t="n"/>
      <c r="C63" s="141" t="n"/>
      <c r="D63" s="141" t="n"/>
      <c r="E63" s="148" t="n"/>
      <c r="F63" s="149" t="n"/>
      <c r="G63" s="150">
        <f>IF(AND(E63&lt;&gt;"",F63&lt;&gt;""),E63*F63,"")</f>
      </c>
      <c r="H63" s="148" t="n"/>
      <c r="I63" s="142" t="n"/>
      <c r="J63" s="146">
        <f>IF(AND(B63="",C63="",D63="",E63="",F63="",H63=""),"",IF(NOT(ISNUMBER(B63)),"✗ 日期不是真日期",IF(OR(B63&lt;年初日,B63&gt;年末日),"✗ 日期不在本年度",IF(C63="","✗ 没选供应商",IF(COUNTIF(基础资料!$Q$5:$Q$54,C63)=0,"✗ 供应商不在基础资料里",IF(D63="","✗ 没选商品",IF(COUNTIF(基础资料!$E$5:$E$104,D63)=0,"✗ 商品不在商品档案里",IF(AND(E63="",H63=""),"✗ 没填数量",IF(AND(N(E63)&lt;&gt;0,F63=""),"✗ 没填进价","√")))))))))</f>
      </c>
    </row>
    <row r="64">
      <c r="A64" s="109">
        <f>IF(AND(C64="",D64=""),"",ROW()-3)</f>
      </c>
      <c r="B64" s="140" t="n"/>
      <c r="C64" s="141" t="n"/>
      <c r="D64" s="141" t="n"/>
      <c r="E64" s="148" t="n"/>
      <c r="F64" s="149" t="n"/>
      <c r="G64" s="150">
        <f>IF(AND(E64&lt;&gt;"",F64&lt;&gt;""),E64*F64,"")</f>
      </c>
      <c r="H64" s="148" t="n"/>
      <c r="I64" s="142" t="n"/>
      <c r="J64" s="146">
        <f>IF(AND(B64="",C64="",D64="",E64="",F64="",H64=""),"",IF(NOT(ISNUMBER(B64)),"✗ 日期不是真日期",IF(OR(B64&lt;年初日,B64&gt;年末日),"✗ 日期不在本年度",IF(C64="","✗ 没选供应商",IF(COUNTIF(基础资料!$Q$5:$Q$54,C64)=0,"✗ 供应商不在基础资料里",IF(D64="","✗ 没选商品",IF(COUNTIF(基础资料!$E$5:$E$104,D64)=0,"✗ 商品不在商品档案里",IF(AND(E64="",H64=""),"✗ 没填数量",IF(AND(N(E64)&lt;&gt;0,F64=""),"✗ 没填进价","√")))))))))</f>
      </c>
    </row>
    <row r="65">
      <c r="A65" s="109">
        <f>IF(AND(C65="",D65=""),"",ROW()-3)</f>
      </c>
      <c r="B65" s="140" t="n"/>
      <c r="C65" s="141" t="n"/>
      <c r="D65" s="141" t="n"/>
      <c r="E65" s="148" t="n"/>
      <c r="F65" s="149" t="n"/>
      <c r="G65" s="150">
        <f>IF(AND(E65&lt;&gt;"",F65&lt;&gt;""),E65*F65,"")</f>
      </c>
      <c r="H65" s="148" t="n"/>
      <c r="I65" s="142" t="n"/>
      <c r="J65" s="146">
        <f>IF(AND(B65="",C65="",D65="",E65="",F65="",H65=""),"",IF(NOT(ISNUMBER(B65)),"✗ 日期不是真日期",IF(OR(B65&lt;年初日,B65&gt;年末日),"✗ 日期不在本年度",IF(C65="","✗ 没选供应商",IF(COUNTIF(基础资料!$Q$5:$Q$54,C65)=0,"✗ 供应商不在基础资料里",IF(D65="","✗ 没选商品",IF(COUNTIF(基础资料!$E$5:$E$104,D65)=0,"✗ 商品不在商品档案里",IF(AND(E65="",H65=""),"✗ 没填数量",IF(AND(N(E65)&lt;&gt;0,F65=""),"✗ 没填进价","√")))))))))</f>
      </c>
    </row>
    <row r="66">
      <c r="A66" s="109">
        <f>IF(AND(C66="",D66=""),"",ROW()-3)</f>
      </c>
      <c r="B66" s="140" t="n"/>
      <c r="C66" s="141" t="n"/>
      <c r="D66" s="141" t="n"/>
      <c r="E66" s="148" t="n"/>
      <c r="F66" s="149" t="n"/>
      <c r="G66" s="150">
        <f>IF(AND(E66&lt;&gt;"",F66&lt;&gt;""),E66*F66,"")</f>
      </c>
      <c r="H66" s="148" t="n"/>
      <c r="I66" s="142" t="n"/>
      <c r="J66" s="146">
        <f>IF(AND(B66="",C66="",D66="",E66="",F66="",H66=""),"",IF(NOT(ISNUMBER(B66)),"✗ 日期不是真日期",IF(OR(B66&lt;年初日,B66&gt;年末日),"✗ 日期不在本年度",IF(C66="","✗ 没选供应商",IF(COUNTIF(基础资料!$Q$5:$Q$54,C66)=0,"✗ 供应商不在基础资料里",IF(D66="","✗ 没选商品",IF(COUNTIF(基础资料!$E$5:$E$104,D66)=0,"✗ 商品不在商品档案里",IF(AND(E66="",H66=""),"✗ 没填数量",IF(AND(N(E66)&lt;&gt;0,F66=""),"✗ 没填进价","√")))))))))</f>
      </c>
    </row>
    <row r="67">
      <c r="A67" s="109">
        <f>IF(AND(C67="",D67=""),"",ROW()-3)</f>
      </c>
      <c r="B67" s="140" t="n"/>
      <c r="C67" s="141" t="n"/>
      <c r="D67" s="141" t="n"/>
      <c r="E67" s="148" t="n"/>
      <c r="F67" s="149" t="n"/>
      <c r="G67" s="150">
        <f>IF(AND(E67&lt;&gt;"",F67&lt;&gt;""),E67*F67,"")</f>
      </c>
      <c r="H67" s="148" t="n"/>
      <c r="I67" s="142" t="n"/>
      <c r="J67" s="146">
        <f>IF(AND(B67="",C67="",D67="",E67="",F67="",H67=""),"",IF(NOT(ISNUMBER(B67)),"✗ 日期不是真日期",IF(OR(B67&lt;年初日,B67&gt;年末日),"✗ 日期不在本年度",IF(C67="","✗ 没选供应商",IF(COUNTIF(基础资料!$Q$5:$Q$54,C67)=0,"✗ 供应商不在基础资料里",IF(D67="","✗ 没选商品",IF(COUNTIF(基础资料!$E$5:$E$104,D67)=0,"✗ 商品不在商品档案里",IF(AND(E67="",H67=""),"✗ 没填数量",IF(AND(N(E67)&lt;&gt;0,F67=""),"✗ 没填进价","√")))))))))</f>
      </c>
    </row>
    <row r="68">
      <c r="A68" s="109">
        <f>IF(AND(C68="",D68=""),"",ROW()-3)</f>
      </c>
      <c r="B68" s="140" t="n"/>
      <c r="C68" s="141" t="n"/>
      <c r="D68" s="141" t="n"/>
      <c r="E68" s="148" t="n"/>
      <c r="F68" s="149" t="n"/>
      <c r="G68" s="150">
        <f>IF(AND(E68&lt;&gt;"",F68&lt;&gt;""),E68*F68,"")</f>
      </c>
      <c r="H68" s="148" t="n"/>
      <c r="I68" s="142" t="n"/>
      <c r="J68" s="146">
        <f>IF(AND(B68="",C68="",D68="",E68="",F68="",H68=""),"",IF(NOT(ISNUMBER(B68)),"✗ 日期不是真日期",IF(OR(B68&lt;年初日,B68&gt;年末日),"✗ 日期不在本年度",IF(C68="","✗ 没选供应商",IF(COUNTIF(基础资料!$Q$5:$Q$54,C68)=0,"✗ 供应商不在基础资料里",IF(D68="","✗ 没选商品",IF(COUNTIF(基础资料!$E$5:$E$104,D68)=0,"✗ 商品不在商品档案里",IF(AND(E68="",H68=""),"✗ 没填数量",IF(AND(N(E68)&lt;&gt;0,F68=""),"✗ 没填进价","√")))))))))</f>
      </c>
    </row>
    <row r="69">
      <c r="A69" s="109">
        <f>IF(AND(C69="",D69=""),"",ROW()-3)</f>
      </c>
      <c r="B69" s="140" t="n"/>
      <c r="C69" s="141" t="n"/>
      <c r="D69" s="141" t="n"/>
      <c r="E69" s="148" t="n"/>
      <c r="F69" s="149" t="n"/>
      <c r="G69" s="150">
        <f>IF(AND(E69&lt;&gt;"",F69&lt;&gt;""),E69*F69,"")</f>
      </c>
      <c r="H69" s="148" t="n"/>
      <c r="I69" s="142" t="n"/>
      <c r="J69" s="146">
        <f>IF(AND(B69="",C69="",D69="",E69="",F69="",H69=""),"",IF(NOT(ISNUMBER(B69)),"✗ 日期不是真日期",IF(OR(B69&lt;年初日,B69&gt;年末日),"✗ 日期不在本年度",IF(C69="","✗ 没选供应商",IF(COUNTIF(基础资料!$Q$5:$Q$54,C69)=0,"✗ 供应商不在基础资料里",IF(D69="","✗ 没选商品",IF(COUNTIF(基础资料!$E$5:$E$104,D69)=0,"✗ 商品不在商品档案里",IF(AND(E69="",H69=""),"✗ 没填数量",IF(AND(N(E69)&lt;&gt;0,F69=""),"✗ 没填进价","√")))))))))</f>
      </c>
    </row>
    <row r="70">
      <c r="A70" s="109">
        <f>IF(AND(C70="",D70=""),"",ROW()-3)</f>
      </c>
      <c r="B70" s="140" t="n"/>
      <c r="C70" s="141" t="n"/>
      <c r="D70" s="141" t="n"/>
      <c r="E70" s="148" t="n"/>
      <c r="F70" s="149" t="n"/>
      <c r="G70" s="150">
        <f>IF(AND(E70&lt;&gt;"",F70&lt;&gt;""),E70*F70,"")</f>
      </c>
      <c r="H70" s="148" t="n"/>
      <c r="I70" s="142" t="n"/>
      <c r="J70" s="146">
        <f>IF(AND(B70="",C70="",D70="",E70="",F70="",H70=""),"",IF(NOT(ISNUMBER(B70)),"✗ 日期不是真日期",IF(OR(B70&lt;年初日,B70&gt;年末日),"✗ 日期不在本年度",IF(C70="","✗ 没选供应商",IF(COUNTIF(基础资料!$Q$5:$Q$54,C70)=0,"✗ 供应商不在基础资料里",IF(D70="","✗ 没选商品",IF(COUNTIF(基础资料!$E$5:$E$104,D70)=0,"✗ 商品不在商品档案里",IF(AND(E70="",H70=""),"✗ 没填数量",IF(AND(N(E70)&lt;&gt;0,F70=""),"✗ 没填进价","√")))))))))</f>
      </c>
    </row>
    <row r="71">
      <c r="A71" s="109">
        <f>IF(AND(C71="",D71=""),"",ROW()-3)</f>
      </c>
      <c r="B71" s="140" t="n"/>
      <c r="C71" s="141" t="n"/>
      <c r="D71" s="141" t="n"/>
      <c r="E71" s="148" t="n"/>
      <c r="F71" s="149" t="n"/>
      <c r="G71" s="150">
        <f>IF(AND(E71&lt;&gt;"",F71&lt;&gt;""),E71*F71,"")</f>
      </c>
      <c r="H71" s="148" t="n"/>
      <c r="I71" s="142" t="n"/>
      <c r="J71" s="146">
        <f>IF(AND(B71="",C71="",D71="",E71="",F71="",H71=""),"",IF(NOT(ISNUMBER(B71)),"✗ 日期不是真日期",IF(OR(B71&lt;年初日,B71&gt;年末日),"✗ 日期不在本年度",IF(C71="","✗ 没选供应商",IF(COUNTIF(基础资料!$Q$5:$Q$54,C71)=0,"✗ 供应商不在基础资料里",IF(D71="","✗ 没选商品",IF(COUNTIF(基础资料!$E$5:$E$104,D71)=0,"✗ 商品不在商品档案里",IF(AND(E71="",H71=""),"✗ 没填数量",IF(AND(N(E71)&lt;&gt;0,F71=""),"✗ 没填进价","√")))))))))</f>
      </c>
    </row>
    <row r="72">
      <c r="A72" s="109">
        <f>IF(AND(C72="",D72=""),"",ROW()-3)</f>
      </c>
      <c r="B72" s="140" t="n"/>
      <c r="C72" s="141" t="n"/>
      <c r="D72" s="141" t="n"/>
      <c r="E72" s="148" t="n"/>
      <c r="F72" s="149" t="n"/>
      <c r="G72" s="150">
        <f>IF(AND(E72&lt;&gt;"",F72&lt;&gt;""),E72*F72,"")</f>
      </c>
      <c r="H72" s="148" t="n"/>
      <c r="I72" s="142" t="n"/>
      <c r="J72" s="146">
        <f>IF(AND(B72="",C72="",D72="",E72="",F72="",H72=""),"",IF(NOT(ISNUMBER(B72)),"✗ 日期不是真日期",IF(OR(B72&lt;年初日,B72&gt;年末日),"✗ 日期不在本年度",IF(C72="","✗ 没选供应商",IF(COUNTIF(基础资料!$Q$5:$Q$54,C72)=0,"✗ 供应商不在基础资料里",IF(D72="","✗ 没选商品",IF(COUNTIF(基础资料!$E$5:$E$104,D72)=0,"✗ 商品不在商品档案里",IF(AND(E72="",H72=""),"✗ 没填数量",IF(AND(N(E72)&lt;&gt;0,F72=""),"✗ 没填进价","√")))))))))</f>
      </c>
    </row>
    <row r="73">
      <c r="A73" s="109">
        <f>IF(AND(C73="",D73=""),"",ROW()-3)</f>
      </c>
      <c r="B73" s="140" t="n"/>
      <c r="C73" s="141" t="n"/>
      <c r="D73" s="141" t="n"/>
      <c r="E73" s="148" t="n"/>
      <c r="F73" s="149" t="n"/>
      <c r="G73" s="150">
        <f>IF(AND(E73&lt;&gt;"",F73&lt;&gt;""),E73*F73,"")</f>
      </c>
      <c r="H73" s="148" t="n"/>
      <c r="I73" s="142" t="n"/>
      <c r="J73" s="146">
        <f>IF(AND(B73="",C73="",D73="",E73="",F73="",H73=""),"",IF(NOT(ISNUMBER(B73)),"✗ 日期不是真日期",IF(OR(B73&lt;年初日,B73&gt;年末日),"✗ 日期不在本年度",IF(C73="","✗ 没选供应商",IF(COUNTIF(基础资料!$Q$5:$Q$54,C73)=0,"✗ 供应商不在基础资料里",IF(D73="","✗ 没选商品",IF(COUNTIF(基础资料!$E$5:$E$104,D73)=0,"✗ 商品不在商品档案里",IF(AND(E73="",H73=""),"✗ 没填数量",IF(AND(N(E73)&lt;&gt;0,F73=""),"✗ 没填进价","√")))))))))</f>
      </c>
    </row>
    <row r="74">
      <c r="A74" s="109">
        <f>IF(AND(C74="",D74=""),"",ROW()-3)</f>
      </c>
      <c r="B74" s="140" t="n"/>
      <c r="C74" s="141" t="n"/>
      <c r="D74" s="141" t="n"/>
      <c r="E74" s="148" t="n"/>
      <c r="F74" s="149" t="n"/>
      <c r="G74" s="150">
        <f>IF(AND(E74&lt;&gt;"",F74&lt;&gt;""),E74*F74,"")</f>
      </c>
      <c r="H74" s="148" t="n"/>
      <c r="I74" s="142" t="n"/>
      <c r="J74" s="146">
        <f>IF(AND(B74="",C74="",D74="",E74="",F74="",H74=""),"",IF(NOT(ISNUMBER(B74)),"✗ 日期不是真日期",IF(OR(B74&lt;年初日,B74&gt;年末日),"✗ 日期不在本年度",IF(C74="","✗ 没选供应商",IF(COUNTIF(基础资料!$Q$5:$Q$54,C74)=0,"✗ 供应商不在基础资料里",IF(D74="","✗ 没选商品",IF(COUNTIF(基础资料!$E$5:$E$104,D74)=0,"✗ 商品不在商品档案里",IF(AND(E74="",H74=""),"✗ 没填数量",IF(AND(N(E74)&lt;&gt;0,F74=""),"✗ 没填进价","√")))))))))</f>
      </c>
    </row>
    <row r="75">
      <c r="A75" s="109">
        <f>IF(AND(C75="",D75=""),"",ROW()-3)</f>
      </c>
      <c r="B75" s="140" t="n"/>
      <c r="C75" s="141" t="n"/>
      <c r="D75" s="141" t="n"/>
      <c r="E75" s="148" t="n"/>
      <c r="F75" s="149" t="n"/>
      <c r="G75" s="150">
        <f>IF(AND(E75&lt;&gt;"",F75&lt;&gt;""),E75*F75,"")</f>
      </c>
      <c r="H75" s="148" t="n"/>
      <c r="I75" s="142" t="n"/>
      <c r="J75" s="146">
        <f>IF(AND(B75="",C75="",D75="",E75="",F75="",H75=""),"",IF(NOT(ISNUMBER(B75)),"✗ 日期不是真日期",IF(OR(B75&lt;年初日,B75&gt;年末日),"✗ 日期不在本年度",IF(C75="","✗ 没选供应商",IF(COUNTIF(基础资料!$Q$5:$Q$54,C75)=0,"✗ 供应商不在基础资料里",IF(D75="","✗ 没选商品",IF(COUNTIF(基础资料!$E$5:$E$104,D75)=0,"✗ 商品不在商品档案里",IF(AND(E75="",H75=""),"✗ 没填数量",IF(AND(N(E75)&lt;&gt;0,F75=""),"✗ 没填进价","√")))))))))</f>
      </c>
    </row>
    <row r="76">
      <c r="A76" s="109">
        <f>IF(AND(C76="",D76=""),"",ROW()-3)</f>
      </c>
      <c r="B76" s="140" t="n"/>
      <c r="C76" s="141" t="n"/>
      <c r="D76" s="141" t="n"/>
      <c r="E76" s="148" t="n"/>
      <c r="F76" s="149" t="n"/>
      <c r="G76" s="150">
        <f>IF(AND(E76&lt;&gt;"",F76&lt;&gt;""),E76*F76,"")</f>
      </c>
      <c r="H76" s="148" t="n"/>
      <c r="I76" s="142" t="n"/>
      <c r="J76" s="146">
        <f>IF(AND(B76="",C76="",D76="",E76="",F76="",H76=""),"",IF(NOT(ISNUMBER(B76)),"✗ 日期不是真日期",IF(OR(B76&lt;年初日,B76&gt;年末日),"✗ 日期不在本年度",IF(C76="","✗ 没选供应商",IF(COUNTIF(基础资料!$Q$5:$Q$54,C76)=0,"✗ 供应商不在基础资料里",IF(D76="","✗ 没选商品",IF(COUNTIF(基础资料!$E$5:$E$104,D76)=0,"✗ 商品不在商品档案里",IF(AND(E76="",H76=""),"✗ 没填数量",IF(AND(N(E76)&lt;&gt;0,F76=""),"✗ 没填进价","√")))))))))</f>
      </c>
    </row>
    <row r="77">
      <c r="A77" s="109">
        <f>IF(AND(C77="",D77=""),"",ROW()-3)</f>
      </c>
      <c r="B77" s="140" t="n"/>
      <c r="C77" s="141" t="n"/>
      <c r="D77" s="141" t="n"/>
      <c r="E77" s="148" t="n"/>
      <c r="F77" s="149" t="n"/>
      <c r="G77" s="150">
        <f>IF(AND(E77&lt;&gt;"",F77&lt;&gt;""),E77*F77,"")</f>
      </c>
      <c r="H77" s="148" t="n"/>
      <c r="I77" s="142" t="n"/>
      <c r="J77" s="146">
        <f>IF(AND(B77="",C77="",D77="",E77="",F77="",H77=""),"",IF(NOT(ISNUMBER(B77)),"✗ 日期不是真日期",IF(OR(B77&lt;年初日,B77&gt;年末日),"✗ 日期不在本年度",IF(C77="","✗ 没选供应商",IF(COUNTIF(基础资料!$Q$5:$Q$54,C77)=0,"✗ 供应商不在基础资料里",IF(D77="","✗ 没选商品",IF(COUNTIF(基础资料!$E$5:$E$104,D77)=0,"✗ 商品不在商品档案里",IF(AND(E77="",H77=""),"✗ 没填数量",IF(AND(N(E77)&lt;&gt;0,F77=""),"✗ 没填进价","√")))))))))</f>
      </c>
    </row>
    <row r="78">
      <c r="A78" s="109">
        <f>IF(AND(C78="",D78=""),"",ROW()-3)</f>
      </c>
      <c r="B78" s="140" t="n"/>
      <c r="C78" s="141" t="n"/>
      <c r="D78" s="141" t="n"/>
      <c r="E78" s="148" t="n"/>
      <c r="F78" s="149" t="n"/>
      <c r="G78" s="150">
        <f>IF(AND(E78&lt;&gt;"",F78&lt;&gt;""),E78*F78,"")</f>
      </c>
      <c r="H78" s="148" t="n"/>
      <c r="I78" s="142" t="n"/>
      <c r="J78" s="146">
        <f>IF(AND(B78="",C78="",D78="",E78="",F78="",H78=""),"",IF(NOT(ISNUMBER(B78)),"✗ 日期不是真日期",IF(OR(B78&lt;年初日,B78&gt;年末日),"✗ 日期不在本年度",IF(C78="","✗ 没选供应商",IF(COUNTIF(基础资料!$Q$5:$Q$54,C78)=0,"✗ 供应商不在基础资料里",IF(D78="","✗ 没选商品",IF(COUNTIF(基础资料!$E$5:$E$104,D78)=0,"✗ 商品不在商品档案里",IF(AND(E78="",H78=""),"✗ 没填数量",IF(AND(N(E78)&lt;&gt;0,F78=""),"✗ 没填进价","√")))))))))</f>
      </c>
    </row>
    <row r="79">
      <c r="A79" s="109">
        <f>IF(AND(C79="",D79=""),"",ROW()-3)</f>
      </c>
      <c r="B79" s="140" t="n"/>
      <c r="C79" s="141" t="n"/>
      <c r="D79" s="141" t="n"/>
      <c r="E79" s="148" t="n"/>
      <c r="F79" s="149" t="n"/>
      <c r="G79" s="150">
        <f>IF(AND(E79&lt;&gt;"",F79&lt;&gt;""),E79*F79,"")</f>
      </c>
      <c r="H79" s="148" t="n"/>
      <c r="I79" s="142" t="n"/>
      <c r="J79" s="146">
        <f>IF(AND(B79="",C79="",D79="",E79="",F79="",H79=""),"",IF(NOT(ISNUMBER(B79)),"✗ 日期不是真日期",IF(OR(B79&lt;年初日,B79&gt;年末日),"✗ 日期不在本年度",IF(C79="","✗ 没选供应商",IF(COUNTIF(基础资料!$Q$5:$Q$54,C79)=0,"✗ 供应商不在基础资料里",IF(D79="","✗ 没选商品",IF(COUNTIF(基础资料!$E$5:$E$104,D79)=0,"✗ 商品不在商品档案里",IF(AND(E79="",H79=""),"✗ 没填数量",IF(AND(N(E79)&lt;&gt;0,F79=""),"✗ 没填进价","√")))))))))</f>
      </c>
    </row>
    <row r="80">
      <c r="A80" s="109">
        <f>IF(AND(C80="",D80=""),"",ROW()-3)</f>
      </c>
      <c r="B80" s="140" t="n"/>
      <c r="C80" s="141" t="n"/>
      <c r="D80" s="141" t="n"/>
      <c r="E80" s="148" t="n"/>
      <c r="F80" s="149" t="n"/>
      <c r="G80" s="150">
        <f>IF(AND(E80&lt;&gt;"",F80&lt;&gt;""),E80*F80,"")</f>
      </c>
      <c r="H80" s="148" t="n"/>
      <c r="I80" s="142" t="n"/>
      <c r="J80" s="146">
        <f>IF(AND(B80="",C80="",D80="",E80="",F80="",H80=""),"",IF(NOT(ISNUMBER(B80)),"✗ 日期不是真日期",IF(OR(B80&lt;年初日,B80&gt;年末日),"✗ 日期不在本年度",IF(C80="","✗ 没选供应商",IF(COUNTIF(基础资料!$Q$5:$Q$54,C80)=0,"✗ 供应商不在基础资料里",IF(D80="","✗ 没选商品",IF(COUNTIF(基础资料!$E$5:$E$104,D80)=0,"✗ 商品不在商品档案里",IF(AND(E80="",H80=""),"✗ 没填数量",IF(AND(N(E80)&lt;&gt;0,F80=""),"✗ 没填进价","√")))))))))</f>
      </c>
    </row>
    <row r="81">
      <c r="A81" s="109">
        <f>IF(AND(C81="",D81=""),"",ROW()-3)</f>
      </c>
      <c r="B81" s="140" t="n"/>
      <c r="C81" s="141" t="n"/>
      <c r="D81" s="141" t="n"/>
      <c r="E81" s="148" t="n"/>
      <c r="F81" s="149" t="n"/>
      <c r="G81" s="150">
        <f>IF(AND(E81&lt;&gt;"",F81&lt;&gt;""),E81*F81,"")</f>
      </c>
      <c r="H81" s="148" t="n"/>
      <c r="I81" s="142" t="n"/>
      <c r="J81" s="146">
        <f>IF(AND(B81="",C81="",D81="",E81="",F81="",H81=""),"",IF(NOT(ISNUMBER(B81)),"✗ 日期不是真日期",IF(OR(B81&lt;年初日,B81&gt;年末日),"✗ 日期不在本年度",IF(C81="","✗ 没选供应商",IF(COUNTIF(基础资料!$Q$5:$Q$54,C81)=0,"✗ 供应商不在基础资料里",IF(D81="","✗ 没选商品",IF(COUNTIF(基础资料!$E$5:$E$104,D81)=0,"✗ 商品不在商品档案里",IF(AND(E81="",H81=""),"✗ 没填数量",IF(AND(N(E81)&lt;&gt;0,F81=""),"✗ 没填进价","√")))))))))</f>
      </c>
    </row>
    <row r="82">
      <c r="A82" s="109">
        <f>IF(AND(C82="",D82=""),"",ROW()-3)</f>
      </c>
      <c r="B82" s="140" t="n"/>
      <c r="C82" s="141" t="n"/>
      <c r="D82" s="141" t="n"/>
      <c r="E82" s="148" t="n"/>
      <c r="F82" s="149" t="n"/>
      <c r="G82" s="150">
        <f>IF(AND(E82&lt;&gt;"",F82&lt;&gt;""),E82*F82,"")</f>
      </c>
      <c r="H82" s="148" t="n"/>
      <c r="I82" s="142" t="n"/>
      <c r="J82" s="146">
        <f>IF(AND(B82="",C82="",D82="",E82="",F82="",H82=""),"",IF(NOT(ISNUMBER(B82)),"✗ 日期不是真日期",IF(OR(B82&lt;年初日,B82&gt;年末日),"✗ 日期不在本年度",IF(C82="","✗ 没选供应商",IF(COUNTIF(基础资料!$Q$5:$Q$54,C82)=0,"✗ 供应商不在基础资料里",IF(D82="","✗ 没选商品",IF(COUNTIF(基础资料!$E$5:$E$104,D82)=0,"✗ 商品不在商品档案里",IF(AND(E82="",H82=""),"✗ 没填数量",IF(AND(N(E82)&lt;&gt;0,F82=""),"✗ 没填进价","√")))))))))</f>
      </c>
    </row>
    <row r="83">
      <c r="A83" s="109">
        <f>IF(AND(C83="",D83=""),"",ROW()-3)</f>
      </c>
      <c r="B83" s="140" t="n"/>
      <c r="C83" s="141" t="n"/>
      <c r="D83" s="141" t="n"/>
      <c r="E83" s="148" t="n"/>
      <c r="F83" s="149" t="n"/>
      <c r="G83" s="150">
        <f>IF(AND(E83&lt;&gt;"",F83&lt;&gt;""),E83*F83,"")</f>
      </c>
      <c r="H83" s="148" t="n"/>
      <c r="I83" s="142" t="n"/>
      <c r="J83" s="146">
        <f>IF(AND(B83="",C83="",D83="",E83="",F83="",H83=""),"",IF(NOT(ISNUMBER(B83)),"✗ 日期不是真日期",IF(OR(B83&lt;年初日,B83&gt;年末日),"✗ 日期不在本年度",IF(C83="","✗ 没选供应商",IF(COUNTIF(基础资料!$Q$5:$Q$54,C83)=0,"✗ 供应商不在基础资料里",IF(D83="","✗ 没选商品",IF(COUNTIF(基础资料!$E$5:$E$104,D83)=0,"✗ 商品不在商品档案里",IF(AND(E83="",H83=""),"✗ 没填数量",IF(AND(N(E83)&lt;&gt;0,F83=""),"✗ 没填进价","√")))))))))</f>
      </c>
    </row>
    <row r="84">
      <c r="A84" s="109">
        <f>IF(AND(C84="",D84=""),"",ROW()-3)</f>
      </c>
      <c r="B84" s="140" t="n"/>
      <c r="C84" s="141" t="n"/>
      <c r="D84" s="141" t="n"/>
      <c r="E84" s="148" t="n"/>
      <c r="F84" s="149" t="n"/>
      <c r="G84" s="150">
        <f>IF(AND(E84&lt;&gt;"",F84&lt;&gt;""),E84*F84,"")</f>
      </c>
      <c r="H84" s="148" t="n"/>
      <c r="I84" s="142" t="n"/>
      <c r="J84" s="146">
        <f>IF(AND(B84="",C84="",D84="",E84="",F84="",H84=""),"",IF(NOT(ISNUMBER(B84)),"✗ 日期不是真日期",IF(OR(B84&lt;年初日,B84&gt;年末日),"✗ 日期不在本年度",IF(C84="","✗ 没选供应商",IF(COUNTIF(基础资料!$Q$5:$Q$54,C84)=0,"✗ 供应商不在基础资料里",IF(D84="","✗ 没选商品",IF(COUNTIF(基础资料!$E$5:$E$104,D84)=0,"✗ 商品不在商品档案里",IF(AND(E84="",H84=""),"✗ 没填数量",IF(AND(N(E84)&lt;&gt;0,F84=""),"✗ 没填进价","√")))))))))</f>
      </c>
    </row>
    <row r="85">
      <c r="A85" s="109">
        <f>IF(AND(C85="",D85=""),"",ROW()-3)</f>
      </c>
      <c r="B85" s="140" t="n"/>
      <c r="C85" s="141" t="n"/>
      <c r="D85" s="141" t="n"/>
      <c r="E85" s="148" t="n"/>
      <c r="F85" s="149" t="n"/>
      <c r="G85" s="150">
        <f>IF(AND(E85&lt;&gt;"",F85&lt;&gt;""),E85*F85,"")</f>
      </c>
      <c r="H85" s="148" t="n"/>
      <c r="I85" s="142" t="n"/>
      <c r="J85" s="146">
        <f>IF(AND(B85="",C85="",D85="",E85="",F85="",H85=""),"",IF(NOT(ISNUMBER(B85)),"✗ 日期不是真日期",IF(OR(B85&lt;年初日,B85&gt;年末日),"✗ 日期不在本年度",IF(C85="","✗ 没选供应商",IF(COUNTIF(基础资料!$Q$5:$Q$54,C85)=0,"✗ 供应商不在基础资料里",IF(D85="","✗ 没选商品",IF(COUNTIF(基础资料!$E$5:$E$104,D85)=0,"✗ 商品不在商品档案里",IF(AND(E85="",H85=""),"✗ 没填数量",IF(AND(N(E85)&lt;&gt;0,F85=""),"✗ 没填进价","√")))))))))</f>
      </c>
    </row>
    <row r="86">
      <c r="A86" s="109">
        <f>IF(AND(C86="",D86=""),"",ROW()-3)</f>
      </c>
      <c r="B86" s="140" t="n"/>
      <c r="C86" s="141" t="n"/>
      <c r="D86" s="141" t="n"/>
      <c r="E86" s="148" t="n"/>
      <c r="F86" s="149" t="n"/>
      <c r="G86" s="150">
        <f>IF(AND(E86&lt;&gt;"",F86&lt;&gt;""),E86*F86,"")</f>
      </c>
      <c r="H86" s="148" t="n"/>
      <c r="I86" s="142" t="n"/>
      <c r="J86" s="146">
        <f>IF(AND(B86="",C86="",D86="",E86="",F86="",H86=""),"",IF(NOT(ISNUMBER(B86)),"✗ 日期不是真日期",IF(OR(B86&lt;年初日,B86&gt;年末日),"✗ 日期不在本年度",IF(C86="","✗ 没选供应商",IF(COUNTIF(基础资料!$Q$5:$Q$54,C86)=0,"✗ 供应商不在基础资料里",IF(D86="","✗ 没选商品",IF(COUNTIF(基础资料!$E$5:$E$104,D86)=0,"✗ 商品不在商品档案里",IF(AND(E86="",H86=""),"✗ 没填数量",IF(AND(N(E86)&lt;&gt;0,F86=""),"✗ 没填进价","√")))))))))</f>
      </c>
    </row>
    <row r="87">
      <c r="A87" s="109">
        <f>IF(AND(C87="",D87=""),"",ROW()-3)</f>
      </c>
      <c r="B87" s="140" t="n"/>
      <c r="C87" s="141" t="n"/>
      <c r="D87" s="141" t="n"/>
      <c r="E87" s="148" t="n"/>
      <c r="F87" s="149" t="n"/>
      <c r="G87" s="150">
        <f>IF(AND(E87&lt;&gt;"",F87&lt;&gt;""),E87*F87,"")</f>
      </c>
      <c r="H87" s="148" t="n"/>
      <c r="I87" s="142" t="n"/>
      <c r="J87" s="146">
        <f>IF(AND(B87="",C87="",D87="",E87="",F87="",H87=""),"",IF(NOT(ISNUMBER(B87)),"✗ 日期不是真日期",IF(OR(B87&lt;年初日,B87&gt;年末日),"✗ 日期不在本年度",IF(C87="","✗ 没选供应商",IF(COUNTIF(基础资料!$Q$5:$Q$54,C87)=0,"✗ 供应商不在基础资料里",IF(D87="","✗ 没选商品",IF(COUNTIF(基础资料!$E$5:$E$104,D87)=0,"✗ 商品不在商品档案里",IF(AND(E87="",H87=""),"✗ 没填数量",IF(AND(N(E87)&lt;&gt;0,F87=""),"✗ 没填进价","√")))))))))</f>
      </c>
    </row>
    <row r="88">
      <c r="A88" s="109">
        <f>IF(AND(C88="",D88=""),"",ROW()-3)</f>
      </c>
      <c r="B88" s="140" t="n"/>
      <c r="C88" s="141" t="n"/>
      <c r="D88" s="141" t="n"/>
      <c r="E88" s="148" t="n"/>
      <c r="F88" s="149" t="n"/>
      <c r="G88" s="150">
        <f>IF(AND(E88&lt;&gt;"",F88&lt;&gt;""),E88*F88,"")</f>
      </c>
      <c r="H88" s="148" t="n"/>
      <c r="I88" s="142" t="n"/>
      <c r="J88" s="146">
        <f>IF(AND(B88="",C88="",D88="",E88="",F88="",H88=""),"",IF(NOT(ISNUMBER(B88)),"✗ 日期不是真日期",IF(OR(B88&lt;年初日,B88&gt;年末日),"✗ 日期不在本年度",IF(C88="","✗ 没选供应商",IF(COUNTIF(基础资料!$Q$5:$Q$54,C88)=0,"✗ 供应商不在基础资料里",IF(D88="","✗ 没选商品",IF(COUNTIF(基础资料!$E$5:$E$104,D88)=0,"✗ 商品不在商品档案里",IF(AND(E88="",H88=""),"✗ 没填数量",IF(AND(N(E88)&lt;&gt;0,F88=""),"✗ 没填进价","√")))))))))</f>
      </c>
    </row>
    <row r="89">
      <c r="A89" s="109">
        <f>IF(AND(C89="",D89=""),"",ROW()-3)</f>
      </c>
      <c r="B89" s="140" t="n"/>
      <c r="C89" s="141" t="n"/>
      <c r="D89" s="141" t="n"/>
      <c r="E89" s="148" t="n"/>
      <c r="F89" s="149" t="n"/>
      <c r="G89" s="150">
        <f>IF(AND(E89&lt;&gt;"",F89&lt;&gt;""),E89*F89,"")</f>
      </c>
      <c r="H89" s="148" t="n"/>
      <c r="I89" s="142" t="n"/>
      <c r="J89" s="146">
        <f>IF(AND(B89="",C89="",D89="",E89="",F89="",H89=""),"",IF(NOT(ISNUMBER(B89)),"✗ 日期不是真日期",IF(OR(B89&lt;年初日,B89&gt;年末日),"✗ 日期不在本年度",IF(C89="","✗ 没选供应商",IF(COUNTIF(基础资料!$Q$5:$Q$54,C89)=0,"✗ 供应商不在基础资料里",IF(D89="","✗ 没选商品",IF(COUNTIF(基础资料!$E$5:$E$104,D89)=0,"✗ 商品不在商品档案里",IF(AND(E89="",H89=""),"✗ 没填数量",IF(AND(N(E89)&lt;&gt;0,F89=""),"✗ 没填进价","√")))))))))</f>
      </c>
    </row>
    <row r="90">
      <c r="A90" s="109">
        <f>IF(AND(C90="",D90=""),"",ROW()-3)</f>
      </c>
      <c r="B90" s="140" t="n"/>
      <c r="C90" s="141" t="n"/>
      <c r="D90" s="141" t="n"/>
      <c r="E90" s="148" t="n"/>
      <c r="F90" s="149" t="n"/>
      <c r="G90" s="150">
        <f>IF(AND(E90&lt;&gt;"",F90&lt;&gt;""),E90*F90,"")</f>
      </c>
      <c r="H90" s="148" t="n"/>
      <c r="I90" s="142" t="n"/>
      <c r="J90" s="146">
        <f>IF(AND(B90="",C90="",D90="",E90="",F90="",H90=""),"",IF(NOT(ISNUMBER(B90)),"✗ 日期不是真日期",IF(OR(B90&lt;年初日,B90&gt;年末日),"✗ 日期不在本年度",IF(C90="","✗ 没选供应商",IF(COUNTIF(基础资料!$Q$5:$Q$54,C90)=0,"✗ 供应商不在基础资料里",IF(D90="","✗ 没选商品",IF(COUNTIF(基础资料!$E$5:$E$104,D90)=0,"✗ 商品不在商品档案里",IF(AND(E90="",H90=""),"✗ 没填数量",IF(AND(N(E90)&lt;&gt;0,F90=""),"✗ 没填进价","√")))))))))</f>
      </c>
    </row>
    <row r="91">
      <c r="A91" s="109">
        <f>IF(AND(C91="",D91=""),"",ROW()-3)</f>
      </c>
      <c r="B91" s="140" t="n"/>
      <c r="C91" s="141" t="n"/>
      <c r="D91" s="141" t="n"/>
      <c r="E91" s="148" t="n"/>
      <c r="F91" s="149" t="n"/>
      <c r="G91" s="150">
        <f>IF(AND(E91&lt;&gt;"",F91&lt;&gt;""),E91*F91,"")</f>
      </c>
      <c r="H91" s="148" t="n"/>
      <c r="I91" s="142" t="n"/>
      <c r="J91" s="146">
        <f>IF(AND(B91="",C91="",D91="",E91="",F91="",H91=""),"",IF(NOT(ISNUMBER(B91)),"✗ 日期不是真日期",IF(OR(B91&lt;年初日,B91&gt;年末日),"✗ 日期不在本年度",IF(C91="","✗ 没选供应商",IF(COUNTIF(基础资料!$Q$5:$Q$54,C91)=0,"✗ 供应商不在基础资料里",IF(D91="","✗ 没选商品",IF(COUNTIF(基础资料!$E$5:$E$104,D91)=0,"✗ 商品不在商品档案里",IF(AND(E91="",H91=""),"✗ 没填数量",IF(AND(N(E91)&lt;&gt;0,F91=""),"✗ 没填进价","√")))))))))</f>
      </c>
    </row>
    <row r="92">
      <c r="A92" s="109">
        <f>IF(AND(C92="",D92=""),"",ROW()-3)</f>
      </c>
      <c r="B92" s="140" t="n"/>
      <c r="C92" s="141" t="n"/>
      <c r="D92" s="141" t="n"/>
      <c r="E92" s="148" t="n"/>
      <c r="F92" s="149" t="n"/>
      <c r="G92" s="150">
        <f>IF(AND(E92&lt;&gt;"",F92&lt;&gt;""),E92*F92,"")</f>
      </c>
      <c r="H92" s="148" t="n"/>
      <c r="I92" s="142" t="n"/>
      <c r="J92" s="146">
        <f>IF(AND(B92="",C92="",D92="",E92="",F92="",H92=""),"",IF(NOT(ISNUMBER(B92)),"✗ 日期不是真日期",IF(OR(B92&lt;年初日,B92&gt;年末日),"✗ 日期不在本年度",IF(C92="","✗ 没选供应商",IF(COUNTIF(基础资料!$Q$5:$Q$54,C92)=0,"✗ 供应商不在基础资料里",IF(D92="","✗ 没选商品",IF(COUNTIF(基础资料!$E$5:$E$104,D92)=0,"✗ 商品不在商品档案里",IF(AND(E92="",H92=""),"✗ 没填数量",IF(AND(N(E92)&lt;&gt;0,F92=""),"✗ 没填进价","√")))))))))</f>
      </c>
    </row>
    <row r="93">
      <c r="A93" s="109">
        <f>IF(AND(C93="",D93=""),"",ROW()-3)</f>
      </c>
      <c r="B93" s="140" t="n"/>
      <c r="C93" s="141" t="n"/>
      <c r="D93" s="141" t="n"/>
      <c r="E93" s="148" t="n"/>
      <c r="F93" s="149" t="n"/>
      <c r="G93" s="150">
        <f>IF(AND(E93&lt;&gt;"",F93&lt;&gt;""),E93*F93,"")</f>
      </c>
      <c r="H93" s="148" t="n"/>
      <c r="I93" s="142" t="n"/>
      <c r="J93" s="146">
        <f>IF(AND(B93="",C93="",D93="",E93="",F93="",H93=""),"",IF(NOT(ISNUMBER(B93)),"✗ 日期不是真日期",IF(OR(B93&lt;年初日,B93&gt;年末日),"✗ 日期不在本年度",IF(C93="","✗ 没选供应商",IF(COUNTIF(基础资料!$Q$5:$Q$54,C93)=0,"✗ 供应商不在基础资料里",IF(D93="","✗ 没选商品",IF(COUNTIF(基础资料!$E$5:$E$104,D93)=0,"✗ 商品不在商品档案里",IF(AND(E93="",H93=""),"✗ 没填数量",IF(AND(N(E93)&lt;&gt;0,F93=""),"✗ 没填进价","√")))))))))</f>
      </c>
    </row>
    <row r="94">
      <c r="A94" s="109">
        <f>IF(AND(C94="",D94=""),"",ROW()-3)</f>
      </c>
      <c r="B94" s="140" t="n"/>
      <c r="C94" s="141" t="n"/>
      <c r="D94" s="141" t="n"/>
      <c r="E94" s="148" t="n"/>
      <c r="F94" s="149" t="n"/>
      <c r="G94" s="150">
        <f>IF(AND(E94&lt;&gt;"",F94&lt;&gt;""),E94*F94,"")</f>
      </c>
      <c r="H94" s="148" t="n"/>
      <c r="I94" s="142" t="n"/>
      <c r="J94" s="146">
        <f>IF(AND(B94="",C94="",D94="",E94="",F94="",H94=""),"",IF(NOT(ISNUMBER(B94)),"✗ 日期不是真日期",IF(OR(B94&lt;年初日,B94&gt;年末日),"✗ 日期不在本年度",IF(C94="","✗ 没选供应商",IF(COUNTIF(基础资料!$Q$5:$Q$54,C94)=0,"✗ 供应商不在基础资料里",IF(D94="","✗ 没选商品",IF(COUNTIF(基础资料!$E$5:$E$104,D94)=0,"✗ 商品不在商品档案里",IF(AND(E94="",H94=""),"✗ 没填数量",IF(AND(N(E94)&lt;&gt;0,F94=""),"✗ 没填进价","√")))))))))</f>
      </c>
    </row>
    <row r="95">
      <c r="A95" s="109">
        <f>IF(AND(C95="",D95=""),"",ROW()-3)</f>
      </c>
      <c r="B95" s="140" t="n"/>
      <c r="C95" s="141" t="n"/>
      <c r="D95" s="141" t="n"/>
      <c r="E95" s="148" t="n"/>
      <c r="F95" s="149" t="n"/>
      <c r="G95" s="150">
        <f>IF(AND(E95&lt;&gt;"",F95&lt;&gt;""),E95*F95,"")</f>
      </c>
      <c r="H95" s="148" t="n"/>
      <c r="I95" s="142" t="n"/>
      <c r="J95" s="146">
        <f>IF(AND(B95="",C95="",D95="",E95="",F95="",H95=""),"",IF(NOT(ISNUMBER(B95)),"✗ 日期不是真日期",IF(OR(B95&lt;年初日,B95&gt;年末日),"✗ 日期不在本年度",IF(C95="","✗ 没选供应商",IF(COUNTIF(基础资料!$Q$5:$Q$54,C95)=0,"✗ 供应商不在基础资料里",IF(D95="","✗ 没选商品",IF(COUNTIF(基础资料!$E$5:$E$104,D95)=0,"✗ 商品不在商品档案里",IF(AND(E95="",H95=""),"✗ 没填数量",IF(AND(N(E95)&lt;&gt;0,F95=""),"✗ 没填进价","√")))))))))</f>
      </c>
    </row>
    <row r="96">
      <c r="A96" s="109">
        <f>IF(AND(C96="",D96=""),"",ROW()-3)</f>
      </c>
      <c r="B96" s="140" t="n"/>
      <c r="C96" s="141" t="n"/>
      <c r="D96" s="141" t="n"/>
      <c r="E96" s="148" t="n"/>
      <c r="F96" s="149" t="n"/>
      <c r="G96" s="150">
        <f>IF(AND(E96&lt;&gt;"",F96&lt;&gt;""),E96*F96,"")</f>
      </c>
      <c r="H96" s="148" t="n"/>
      <c r="I96" s="142" t="n"/>
      <c r="J96" s="146">
        <f>IF(AND(B96="",C96="",D96="",E96="",F96="",H96=""),"",IF(NOT(ISNUMBER(B96)),"✗ 日期不是真日期",IF(OR(B96&lt;年初日,B96&gt;年末日),"✗ 日期不在本年度",IF(C96="","✗ 没选供应商",IF(COUNTIF(基础资料!$Q$5:$Q$54,C96)=0,"✗ 供应商不在基础资料里",IF(D96="","✗ 没选商品",IF(COUNTIF(基础资料!$E$5:$E$104,D96)=0,"✗ 商品不在商品档案里",IF(AND(E96="",H96=""),"✗ 没填数量",IF(AND(N(E96)&lt;&gt;0,F96=""),"✗ 没填进价","√")))))))))</f>
      </c>
    </row>
    <row r="97">
      <c r="A97" s="109">
        <f>IF(AND(C97="",D97=""),"",ROW()-3)</f>
      </c>
      <c r="B97" s="140" t="n"/>
      <c r="C97" s="141" t="n"/>
      <c r="D97" s="141" t="n"/>
      <c r="E97" s="148" t="n"/>
      <c r="F97" s="149" t="n"/>
      <c r="G97" s="150">
        <f>IF(AND(E97&lt;&gt;"",F97&lt;&gt;""),E97*F97,"")</f>
      </c>
      <c r="H97" s="148" t="n"/>
      <c r="I97" s="142" t="n"/>
      <c r="J97" s="146">
        <f>IF(AND(B97="",C97="",D97="",E97="",F97="",H97=""),"",IF(NOT(ISNUMBER(B97)),"✗ 日期不是真日期",IF(OR(B97&lt;年初日,B97&gt;年末日),"✗ 日期不在本年度",IF(C97="","✗ 没选供应商",IF(COUNTIF(基础资料!$Q$5:$Q$54,C97)=0,"✗ 供应商不在基础资料里",IF(D97="","✗ 没选商品",IF(COUNTIF(基础资料!$E$5:$E$104,D97)=0,"✗ 商品不在商品档案里",IF(AND(E97="",H97=""),"✗ 没填数量",IF(AND(N(E97)&lt;&gt;0,F97=""),"✗ 没填进价","√")))))))))</f>
      </c>
    </row>
    <row r="98">
      <c r="A98" s="109">
        <f>IF(AND(C98="",D98=""),"",ROW()-3)</f>
      </c>
      <c r="B98" s="140" t="n"/>
      <c r="C98" s="141" t="n"/>
      <c r="D98" s="141" t="n"/>
      <c r="E98" s="148" t="n"/>
      <c r="F98" s="149" t="n"/>
      <c r="G98" s="150">
        <f>IF(AND(E98&lt;&gt;"",F98&lt;&gt;""),E98*F98,"")</f>
      </c>
      <c r="H98" s="148" t="n"/>
      <c r="I98" s="142" t="n"/>
      <c r="J98" s="146">
        <f>IF(AND(B98="",C98="",D98="",E98="",F98="",H98=""),"",IF(NOT(ISNUMBER(B98)),"✗ 日期不是真日期",IF(OR(B98&lt;年初日,B98&gt;年末日),"✗ 日期不在本年度",IF(C98="","✗ 没选供应商",IF(COUNTIF(基础资料!$Q$5:$Q$54,C98)=0,"✗ 供应商不在基础资料里",IF(D98="","✗ 没选商品",IF(COUNTIF(基础资料!$E$5:$E$104,D98)=0,"✗ 商品不在商品档案里",IF(AND(E98="",H98=""),"✗ 没填数量",IF(AND(N(E98)&lt;&gt;0,F98=""),"✗ 没填进价","√")))))))))</f>
      </c>
    </row>
    <row r="99">
      <c r="A99" s="109">
        <f>IF(AND(C99="",D99=""),"",ROW()-3)</f>
      </c>
      <c r="B99" s="140" t="n"/>
      <c r="C99" s="141" t="n"/>
      <c r="D99" s="141" t="n"/>
      <c r="E99" s="148" t="n"/>
      <c r="F99" s="149" t="n"/>
      <c r="G99" s="150">
        <f>IF(AND(E99&lt;&gt;"",F99&lt;&gt;""),E99*F99,"")</f>
      </c>
      <c r="H99" s="148" t="n"/>
      <c r="I99" s="142" t="n"/>
      <c r="J99" s="146">
        <f>IF(AND(B99="",C99="",D99="",E99="",F99="",H99=""),"",IF(NOT(ISNUMBER(B99)),"✗ 日期不是真日期",IF(OR(B99&lt;年初日,B99&gt;年末日),"✗ 日期不在本年度",IF(C99="","✗ 没选供应商",IF(COUNTIF(基础资料!$Q$5:$Q$54,C99)=0,"✗ 供应商不在基础资料里",IF(D99="","✗ 没选商品",IF(COUNTIF(基础资料!$E$5:$E$104,D99)=0,"✗ 商品不在商品档案里",IF(AND(E99="",H99=""),"✗ 没填数量",IF(AND(N(E99)&lt;&gt;0,F99=""),"✗ 没填进价","√")))))))))</f>
      </c>
    </row>
    <row r="100">
      <c r="A100" s="109">
        <f>IF(AND(C100="",D100=""),"",ROW()-3)</f>
      </c>
      <c r="B100" s="140" t="n"/>
      <c r="C100" s="141" t="n"/>
      <c r="D100" s="141" t="n"/>
      <c r="E100" s="148" t="n"/>
      <c r="F100" s="149" t="n"/>
      <c r="G100" s="150">
        <f>IF(AND(E100&lt;&gt;"",F100&lt;&gt;""),E100*F100,"")</f>
      </c>
      <c r="H100" s="148" t="n"/>
      <c r="I100" s="142" t="n"/>
      <c r="J100" s="146">
        <f>IF(AND(B100="",C100="",D100="",E100="",F100="",H100=""),"",IF(NOT(ISNUMBER(B100)),"✗ 日期不是真日期",IF(OR(B100&lt;年初日,B100&gt;年末日),"✗ 日期不在本年度",IF(C100="","✗ 没选供应商",IF(COUNTIF(基础资料!$Q$5:$Q$54,C100)=0,"✗ 供应商不在基础资料里",IF(D100="","✗ 没选商品",IF(COUNTIF(基础资料!$E$5:$E$104,D100)=0,"✗ 商品不在商品档案里",IF(AND(E100="",H100=""),"✗ 没填数量",IF(AND(N(E100)&lt;&gt;0,F100=""),"✗ 没填进价","√")))))))))</f>
      </c>
    </row>
    <row r="101">
      <c r="A101" s="109">
        <f>IF(AND(C101="",D101=""),"",ROW()-3)</f>
      </c>
      <c r="B101" s="140" t="n"/>
      <c r="C101" s="141" t="n"/>
      <c r="D101" s="141" t="n"/>
      <c r="E101" s="148" t="n"/>
      <c r="F101" s="149" t="n"/>
      <c r="G101" s="150">
        <f>IF(AND(E101&lt;&gt;"",F101&lt;&gt;""),E101*F101,"")</f>
      </c>
      <c r="H101" s="148" t="n"/>
      <c r="I101" s="142" t="n"/>
      <c r="J101" s="146">
        <f>IF(AND(B101="",C101="",D101="",E101="",F101="",H101=""),"",IF(NOT(ISNUMBER(B101)),"✗ 日期不是真日期",IF(OR(B101&lt;年初日,B101&gt;年末日),"✗ 日期不在本年度",IF(C101="","✗ 没选供应商",IF(COUNTIF(基础资料!$Q$5:$Q$54,C101)=0,"✗ 供应商不在基础资料里",IF(D101="","✗ 没选商品",IF(COUNTIF(基础资料!$E$5:$E$104,D101)=0,"✗ 商品不在商品档案里",IF(AND(E101="",H101=""),"✗ 没填数量",IF(AND(N(E101)&lt;&gt;0,F101=""),"✗ 没填进价","√")))))))))</f>
      </c>
    </row>
    <row r="102">
      <c r="A102" s="109">
        <f>IF(AND(C102="",D102=""),"",ROW()-3)</f>
      </c>
      <c r="B102" s="140" t="n"/>
      <c r="C102" s="141" t="n"/>
      <c r="D102" s="141" t="n"/>
      <c r="E102" s="148" t="n"/>
      <c r="F102" s="149" t="n"/>
      <c r="G102" s="150">
        <f>IF(AND(E102&lt;&gt;"",F102&lt;&gt;""),E102*F102,"")</f>
      </c>
      <c r="H102" s="148" t="n"/>
      <c r="I102" s="142" t="n"/>
      <c r="J102" s="146">
        <f>IF(AND(B102="",C102="",D102="",E102="",F102="",H102=""),"",IF(NOT(ISNUMBER(B102)),"✗ 日期不是真日期",IF(OR(B102&lt;年初日,B102&gt;年末日),"✗ 日期不在本年度",IF(C102="","✗ 没选供应商",IF(COUNTIF(基础资料!$Q$5:$Q$54,C102)=0,"✗ 供应商不在基础资料里",IF(D102="","✗ 没选商品",IF(COUNTIF(基础资料!$E$5:$E$104,D102)=0,"✗ 商品不在商品档案里",IF(AND(E102="",H102=""),"✗ 没填数量",IF(AND(N(E102)&lt;&gt;0,F102=""),"✗ 没填进价","√")))))))))</f>
      </c>
    </row>
    <row r="103">
      <c r="A103" s="109">
        <f>IF(AND(C103="",D103=""),"",ROW()-3)</f>
      </c>
      <c r="B103" s="140" t="n"/>
      <c r="C103" s="141" t="n"/>
      <c r="D103" s="141" t="n"/>
      <c r="E103" s="148" t="n"/>
      <c r="F103" s="149" t="n"/>
      <c r="G103" s="150">
        <f>IF(AND(E103&lt;&gt;"",F103&lt;&gt;""),E103*F103,"")</f>
      </c>
      <c r="H103" s="148" t="n"/>
      <c r="I103" s="142" t="n"/>
      <c r="J103" s="146">
        <f>IF(AND(B103="",C103="",D103="",E103="",F103="",H103=""),"",IF(NOT(ISNUMBER(B103)),"✗ 日期不是真日期",IF(OR(B103&lt;年初日,B103&gt;年末日),"✗ 日期不在本年度",IF(C103="","✗ 没选供应商",IF(COUNTIF(基础资料!$Q$5:$Q$54,C103)=0,"✗ 供应商不在基础资料里",IF(D103="","✗ 没选商品",IF(COUNTIF(基础资料!$E$5:$E$104,D103)=0,"✗ 商品不在商品档案里",IF(AND(E103="",H103=""),"✗ 没填数量",IF(AND(N(E103)&lt;&gt;0,F103=""),"✗ 没填进价","√")))))))))</f>
      </c>
    </row>
    <row r="104">
      <c r="A104" s="109">
        <f>IF(AND(C104="",D104=""),"",ROW()-3)</f>
      </c>
      <c r="B104" s="140" t="n"/>
      <c r="C104" s="141" t="n"/>
      <c r="D104" s="141" t="n"/>
      <c r="E104" s="148" t="n"/>
      <c r="F104" s="149" t="n"/>
      <c r="G104" s="150">
        <f>IF(AND(E104&lt;&gt;"",F104&lt;&gt;""),E104*F104,"")</f>
      </c>
      <c r="H104" s="148" t="n"/>
      <c r="I104" s="142" t="n"/>
      <c r="J104" s="146">
        <f>IF(AND(B104="",C104="",D104="",E104="",F104="",H104=""),"",IF(NOT(ISNUMBER(B104)),"✗ 日期不是真日期",IF(OR(B104&lt;年初日,B104&gt;年末日),"✗ 日期不在本年度",IF(C104="","✗ 没选供应商",IF(COUNTIF(基础资料!$Q$5:$Q$54,C104)=0,"✗ 供应商不在基础资料里",IF(D104="","✗ 没选商品",IF(COUNTIF(基础资料!$E$5:$E$104,D104)=0,"✗ 商品不在商品档案里",IF(AND(E104="",H104=""),"✗ 没填数量",IF(AND(N(E104)&lt;&gt;0,F104=""),"✗ 没填进价","√")))))))))</f>
      </c>
    </row>
    <row r="105">
      <c r="A105" s="109">
        <f>IF(AND(C105="",D105=""),"",ROW()-3)</f>
      </c>
      <c r="B105" s="140" t="n"/>
      <c r="C105" s="141" t="n"/>
      <c r="D105" s="141" t="n"/>
      <c r="E105" s="148" t="n"/>
      <c r="F105" s="149" t="n"/>
      <c r="G105" s="150">
        <f>IF(AND(E105&lt;&gt;"",F105&lt;&gt;""),E105*F105,"")</f>
      </c>
      <c r="H105" s="148" t="n"/>
      <c r="I105" s="142" t="n"/>
      <c r="J105" s="146">
        <f>IF(AND(B105="",C105="",D105="",E105="",F105="",H105=""),"",IF(NOT(ISNUMBER(B105)),"✗ 日期不是真日期",IF(OR(B105&lt;年初日,B105&gt;年末日),"✗ 日期不在本年度",IF(C105="","✗ 没选供应商",IF(COUNTIF(基础资料!$Q$5:$Q$54,C105)=0,"✗ 供应商不在基础资料里",IF(D105="","✗ 没选商品",IF(COUNTIF(基础资料!$E$5:$E$104,D105)=0,"✗ 商品不在商品档案里",IF(AND(E105="",H105=""),"✗ 没填数量",IF(AND(N(E105)&lt;&gt;0,F105=""),"✗ 没填进价","√")))))))))</f>
      </c>
    </row>
    <row r="106">
      <c r="A106" s="109">
        <f>IF(AND(C106="",D106=""),"",ROW()-3)</f>
      </c>
      <c r="B106" s="140" t="n"/>
      <c r="C106" s="141" t="n"/>
      <c r="D106" s="141" t="n"/>
      <c r="E106" s="148" t="n"/>
      <c r="F106" s="149" t="n"/>
      <c r="G106" s="150">
        <f>IF(AND(E106&lt;&gt;"",F106&lt;&gt;""),E106*F106,"")</f>
      </c>
      <c r="H106" s="148" t="n"/>
      <c r="I106" s="142" t="n"/>
      <c r="J106" s="146">
        <f>IF(AND(B106="",C106="",D106="",E106="",F106="",H106=""),"",IF(NOT(ISNUMBER(B106)),"✗ 日期不是真日期",IF(OR(B106&lt;年初日,B106&gt;年末日),"✗ 日期不在本年度",IF(C106="","✗ 没选供应商",IF(COUNTIF(基础资料!$Q$5:$Q$54,C106)=0,"✗ 供应商不在基础资料里",IF(D106="","✗ 没选商品",IF(COUNTIF(基础资料!$E$5:$E$104,D106)=0,"✗ 商品不在商品档案里",IF(AND(E106="",H106=""),"✗ 没填数量",IF(AND(N(E106)&lt;&gt;0,F106=""),"✗ 没填进价","√")))))))))</f>
      </c>
    </row>
    <row r="107">
      <c r="A107" s="109">
        <f>IF(AND(C107="",D107=""),"",ROW()-3)</f>
      </c>
      <c r="B107" s="140" t="n"/>
      <c r="C107" s="141" t="n"/>
      <c r="D107" s="141" t="n"/>
      <c r="E107" s="148" t="n"/>
      <c r="F107" s="149" t="n"/>
      <c r="G107" s="150">
        <f>IF(AND(E107&lt;&gt;"",F107&lt;&gt;""),E107*F107,"")</f>
      </c>
      <c r="H107" s="148" t="n"/>
      <c r="I107" s="142" t="n"/>
      <c r="J107" s="146">
        <f>IF(AND(B107="",C107="",D107="",E107="",F107="",H107=""),"",IF(NOT(ISNUMBER(B107)),"✗ 日期不是真日期",IF(OR(B107&lt;年初日,B107&gt;年末日),"✗ 日期不在本年度",IF(C107="","✗ 没选供应商",IF(COUNTIF(基础资料!$Q$5:$Q$54,C107)=0,"✗ 供应商不在基础资料里",IF(D107="","✗ 没选商品",IF(COUNTIF(基础资料!$E$5:$E$104,D107)=0,"✗ 商品不在商品档案里",IF(AND(E107="",H107=""),"✗ 没填数量",IF(AND(N(E107)&lt;&gt;0,F107=""),"✗ 没填进价","√")))))))))</f>
      </c>
    </row>
    <row r="108">
      <c r="A108" s="109">
        <f>IF(AND(C108="",D108=""),"",ROW()-3)</f>
      </c>
      <c r="B108" s="140" t="n"/>
      <c r="C108" s="141" t="n"/>
      <c r="D108" s="141" t="n"/>
      <c r="E108" s="148" t="n"/>
      <c r="F108" s="149" t="n"/>
      <c r="G108" s="150">
        <f>IF(AND(E108&lt;&gt;"",F108&lt;&gt;""),E108*F108,"")</f>
      </c>
      <c r="H108" s="148" t="n"/>
      <c r="I108" s="142" t="n"/>
      <c r="J108" s="146">
        <f>IF(AND(B108="",C108="",D108="",E108="",F108="",H108=""),"",IF(NOT(ISNUMBER(B108)),"✗ 日期不是真日期",IF(OR(B108&lt;年初日,B108&gt;年末日),"✗ 日期不在本年度",IF(C108="","✗ 没选供应商",IF(COUNTIF(基础资料!$Q$5:$Q$54,C108)=0,"✗ 供应商不在基础资料里",IF(D108="","✗ 没选商品",IF(COUNTIF(基础资料!$E$5:$E$104,D108)=0,"✗ 商品不在商品档案里",IF(AND(E108="",H108=""),"✗ 没填数量",IF(AND(N(E108)&lt;&gt;0,F108=""),"✗ 没填进价","√")))))))))</f>
      </c>
    </row>
    <row r="109">
      <c r="A109" s="109">
        <f>IF(AND(C109="",D109=""),"",ROW()-3)</f>
      </c>
      <c r="B109" s="140" t="n"/>
      <c r="C109" s="141" t="n"/>
      <c r="D109" s="141" t="n"/>
      <c r="E109" s="148" t="n"/>
      <c r="F109" s="149" t="n"/>
      <c r="G109" s="150">
        <f>IF(AND(E109&lt;&gt;"",F109&lt;&gt;""),E109*F109,"")</f>
      </c>
      <c r="H109" s="148" t="n"/>
      <c r="I109" s="142" t="n"/>
      <c r="J109" s="146">
        <f>IF(AND(B109="",C109="",D109="",E109="",F109="",H109=""),"",IF(NOT(ISNUMBER(B109)),"✗ 日期不是真日期",IF(OR(B109&lt;年初日,B109&gt;年末日),"✗ 日期不在本年度",IF(C109="","✗ 没选供应商",IF(COUNTIF(基础资料!$Q$5:$Q$54,C109)=0,"✗ 供应商不在基础资料里",IF(D109="","✗ 没选商品",IF(COUNTIF(基础资料!$E$5:$E$104,D109)=0,"✗ 商品不在商品档案里",IF(AND(E109="",H109=""),"✗ 没填数量",IF(AND(N(E109)&lt;&gt;0,F109=""),"✗ 没填进价","√")))))))))</f>
      </c>
    </row>
    <row r="110">
      <c r="A110" s="109">
        <f>IF(AND(C110="",D110=""),"",ROW()-3)</f>
      </c>
      <c r="B110" s="140" t="n"/>
      <c r="C110" s="141" t="n"/>
      <c r="D110" s="141" t="n"/>
      <c r="E110" s="148" t="n"/>
      <c r="F110" s="149" t="n"/>
      <c r="G110" s="150">
        <f>IF(AND(E110&lt;&gt;"",F110&lt;&gt;""),E110*F110,"")</f>
      </c>
      <c r="H110" s="148" t="n"/>
      <c r="I110" s="142" t="n"/>
      <c r="J110" s="146">
        <f>IF(AND(B110="",C110="",D110="",E110="",F110="",H110=""),"",IF(NOT(ISNUMBER(B110)),"✗ 日期不是真日期",IF(OR(B110&lt;年初日,B110&gt;年末日),"✗ 日期不在本年度",IF(C110="","✗ 没选供应商",IF(COUNTIF(基础资料!$Q$5:$Q$54,C110)=0,"✗ 供应商不在基础资料里",IF(D110="","✗ 没选商品",IF(COUNTIF(基础资料!$E$5:$E$104,D110)=0,"✗ 商品不在商品档案里",IF(AND(E110="",H110=""),"✗ 没填数量",IF(AND(N(E110)&lt;&gt;0,F110=""),"✗ 没填进价","√")))))))))</f>
      </c>
    </row>
    <row r="111">
      <c r="A111" s="109">
        <f>IF(AND(C111="",D111=""),"",ROW()-3)</f>
      </c>
      <c r="B111" s="140" t="n"/>
      <c r="C111" s="141" t="n"/>
      <c r="D111" s="141" t="n"/>
      <c r="E111" s="148" t="n"/>
      <c r="F111" s="149" t="n"/>
      <c r="G111" s="150">
        <f>IF(AND(E111&lt;&gt;"",F111&lt;&gt;""),E111*F111,"")</f>
      </c>
      <c r="H111" s="148" t="n"/>
      <c r="I111" s="142" t="n"/>
      <c r="J111" s="146">
        <f>IF(AND(B111="",C111="",D111="",E111="",F111="",H111=""),"",IF(NOT(ISNUMBER(B111)),"✗ 日期不是真日期",IF(OR(B111&lt;年初日,B111&gt;年末日),"✗ 日期不在本年度",IF(C111="","✗ 没选供应商",IF(COUNTIF(基础资料!$Q$5:$Q$54,C111)=0,"✗ 供应商不在基础资料里",IF(D111="","✗ 没选商品",IF(COUNTIF(基础资料!$E$5:$E$104,D111)=0,"✗ 商品不在商品档案里",IF(AND(E111="",H111=""),"✗ 没填数量",IF(AND(N(E111)&lt;&gt;0,F111=""),"✗ 没填进价","√")))))))))</f>
      </c>
    </row>
    <row r="112">
      <c r="A112" s="109">
        <f>IF(AND(C112="",D112=""),"",ROW()-3)</f>
      </c>
      <c r="B112" s="140" t="n"/>
      <c r="C112" s="141" t="n"/>
      <c r="D112" s="141" t="n"/>
      <c r="E112" s="148" t="n"/>
      <c r="F112" s="149" t="n"/>
      <c r="G112" s="150">
        <f>IF(AND(E112&lt;&gt;"",F112&lt;&gt;""),E112*F112,"")</f>
      </c>
      <c r="H112" s="148" t="n"/>
      <c r="I112" s="142" t="n"/>
      <c r="J112" s="146">
        <f>IF(AND(B112="",C112="",D112="",E112="",F112="",H112=""),"",IF(NOT(ISNUMBER(B112)),"✗ 日期不是真日期",IF(OR(B112&lt;年初日,B112&gt;年末日),"✗ 日期不在本年度",IF(C112="","✗ 没选供应商",IF(COUNTIF(基础资料!$Q$5:$Q$54,C112)=0,"✗ 供应商不在基础资料里",IF(D112="","✗ 没选商品",IF(COUNTIF(基础资料!$E$5:$E$104,D112)=0,"✗ 商品不在商品档案里",IF(AND(E112="",H112=""),"✗ 没填数量",IF(AND(N(E112)&lt;&gt;0,F112=""),"✗ 没填进价","√")))))))))</f>
      </c>
    </row>
    <row r="113">
      <c r="A113" s="109">
        <f>IF(AND(C113="",D113=""),"",ROW()-3)</f>
      </c>
      <c r="B113" s="140" t="n"/>
      <c r="C113" s="141" t="n"/>
      <c r="D113" s="141" t="n"/>
      <c r="E113" s="148" t="n"/>
      <c r="F113" s="149" t="n"/>
      <c r="G113" s="150">
        <f>IF(AND(E113&lt;&gt;"",F113&lt;&gt;""),E113*F113,"")</f>
      </c>
      <c r="H113" s="148" t="n"/>
      <c r="I113" s="142" t="n"/>
      <c r="J113" s="146">
        <f>IF(AND(B113="",C113="",D113="",E113="",F113="",H113=""),"",IF(NOT(ISNUMBER(B113)),"✗ 日期不是真日期",IF(OR(B113&lt;年初日,B113&gt;年末日),"✗ 日期不在本年度",IF(C113="","✗ 没选供应商",IF(COUNTIF(基础资料!$Q$5:$Q$54,C113)=0,"✗ 供应商不在基础资料里",IF(D113="","✗ 没选商品",IF(COUNTIF(基础资料!$E$5:$E$104,D113)=0,"✗ 商品不在商品档案里",IF(AND(E113="",H113=""),"✗ 没填数量",IF(AND(N(E113)&lt;&gt;0,F113=""),"✗ 没填进价","√")))))))))</f>
      </c>
    </row>
    <row r="114">
      <c r="A114" s="109">
        <f>IF(AND(C114="",D114=""),"",ROW()-3)</f>
      </c>
      <c r="B114" s="140" t="n"/>
      <c r="C114" s="141" t="n"/>
      <c r="D114" s="141" t="n"/>
      <c r="E114" s="148" t="n"/>
      <c r="F114" s="149" t="n"/>
      <c r="G114" s="150">
        <f>IF(AND(E114&lt;&gt;"",F114&lt;&gt;""),E114*F114,"")</f>
      </c>
      <c r="H114" s="148" t="n"/>
      <c r="I114" s="142" t="n"/>
      <c r="J114" s="146">
        <f>IF(AND(B114="",C114="",D114="",E114="",F114="",H114=""),"",IF(NOT(ISNUMBER(B114)),"✗ 日期不是真日期",IF(OR(B114&lt;年初日,B114&gt;年末日),"✗ 日期不在本年度",IF(C114="","✗ 没选供应商",IF(COUNTIF(基础资料!$Q$5:$Q$54,C114)=0,"✗ 供应商不在基础资料里",IF(D114="","✗ 没选商品",IF(COUNTIF(基础资料!$E$5:$E$104,D114)=0,"✗ 商品不在商品档案里",IF(AND(E114="",H114=""),"✗ 没填数量",IF(AND(N(E114)&lt;&gt;0,F114=""),"✗ 没填进价","√")))))))))</f>
      </c>
    </row>
    <row r="115">
      <c r="A115" s="109">
        <f>IF(AND(C115="",D115=""),"",ROW()-3)</f>
      </c>
      <c r="B115" s="140" t="n"/>
      <c r="C115" s="141" t="n"/>
      <c r="D115" s="141" t="n"/>
      <c r="E115" s="148" t="n"/>
      <c r="F115" s="149" t="n"/>
      <c r="G115" s="150">
        <f>IF(AND(E115&lt;&gt;"",F115&lt;&gt;""),E115*F115,"")</f>
      </c>
      <c r="H115" s="148" t="n"/>
      <c r="I115" s="142" t="n"/>
      <c r="J115" s="146">
        <f>IF(AND(B115="",C115="",D115="",E115="",F115="",H115=""),"",IF(NOT(ISNUMBER(B115)),"✗ 日期不是真日期",IF(OR(B115&lt;年初日,B115&gt;年末日),"✗ 日期不在本年度",IF(C115="","✗ 没选供应商",IF(COUNTIF(基础资料!$Q$5:$Q$54,C115)=0,"✗ 供应商不在基础资料里",IF(D115="","✗ 没选商品",IF(COUNTIF(基础资料!$E$5:$E$104,D115)=0,"✗ 商品不在商品档案里",IF(AND(E115="",H115=""),"✗ 没填数量",IF(AND(N(E115)&lt;&gt;0,F115=""),"✗ 没填进价","√")))))))))</f>
      </c>
    </row>
    <row r="116">
      <c r="A116" s="109">
        <f>IF(AND(C116="",D116=""),"",ROW()-3)</f>
      </c>
      <c r="B116" s="140" t="n"/>
      <c r="C116" s="141" t="n"/>
      <c r="D116" s="141" t="n"/>
      <c r="E116" s="148" t="n"/>
      <c r="F116" s="149" t="n"/>
      <c r="G116" s="150">
        <f>IF(AND(E116&lt;&gt;"",F116&lt;&gt;""),E116*F116,"")</f>
      </c>
      <c r="H116" s="148" t="n"/>
      <c r="I116" s="142" t="n"/>
      <c r="J116" s="146">
        <f>IF(AND(B116="",C116="",D116="",E116="",F116="",H116=""),"",IF(NOT(ISNUMBER(B116)),"✗ 日期不是真日期",IF(OR(B116&lt;年初日,B116&gt;年末日),"✗ 日期不在本年度",IF(C116="","✗ 没选供应商",IF(COUNTIF(基础资料!$Q$5:$Q$54,C116)=0,"✗ 供应商不在基础资料里",IF(D116="","✗ 没选商品",IF(COUNTIF(基础资料!$E$5:$E$104,D116)=0,"✗ 商品不在商品档案里",IF(AND(E116="",H116=""),"✗ 没填数量",IF(AND(N(E116)&lt;&gt;0,F116=""),"✗ 没填进价","√")))))))))</f>
      </c>
    </row>
    <row r="117">
      <c r="A117" s="109">
        <f>IF(AND(C117="",D117=""),"",ROW()-3)</f>
      </c>
      <c r="B117" s="140" t="n"/>
      <c r="C117" s="141" t="n"/>
      <c r="D117" s="141" t="n"/>
      <c r="E117" s="148" t="n"/>
      <c r="F117" s="149" t="n"/>
      <c r="G117" s="150">
        <f>IF(AND(E117&lt;&gt;"",F117&lt;&gt;""),E117*F117,"")</f>
      </c>
      <c r="H117" s="148" t="n"/>
      <c r="I117" s="142" t="n"/>
      <c r="J117" s="146">
        <f>IF(AND(B117="",C117="",D117="",E117="",F117="",H117=""),"",IF(NOT(ISNUMBER(B117)),"✗ 日期不是真日期",IF(OR(B117&lt;年初日,B117&gt;年末日),"✗ 日期不在本年度",IF(C117="","✗ 没选供应商",IF(COUNTIF(基础资料!$Q$5:$Q$54,C117)=0,"✗ 供应商不在基础资料里",IF(D117="","✗ 没选商品",IF(COUNTIF(基础资料!$E$5:$E$104,D117)=0,"✗ 商品不在商品档案里",IF(AND(E117="",H117=""),"✗ 没填数量",IF(AND(N(E117)&lt;&gt;0,F117=""),"✗ 没填进价","√")))))))))</f>
      </c>
    </row>
    <row r="118">
      <c r="A118" s="109">
        <f>IF(AND(C118="",D118=""),"",ROW()-3)</f>
      </c>
      <c r="B118" s="140" t="n"/>
      <c r="C118" s="141" t="n"/>
      <c r="D118" s="141" t="n"/>
      <c r="E118" s="148" t="n"/>
      <c r="F118" s="149" t="n"/>
      <c r="G118" s="150">
        <f>IF(AND(E118&lt;&gt;"",F118&lt;&gt;""),E118*F118,"")</f>
      </c>
      <c r="H118" s="148" t="n"/>
      <c r="I118" s="142" t="n"/>
      <c r="J118" s="146">
        <f>IF(AND(B118="",C118="",D118="",E118="",F118="",H118=""),"",IF(NOT(ISNUMBER(B118)),"✗ 日期不是真日期",IF(OR(B118&lt;年初日,B118&gt;年末日),"✗ 日期不在本年度",IF(C118="","✗ 没选供应商",IF(COUNTIF(基础资料!$Q$5:$Q$54,C118)=0,"✗ 供应商不在基础资料里",IF(D118="","✗ 没选商品",IF(COUNTIF(基础资料!$E$5:$E$104,D118)=0,"✗ 商品不在商品档案里",IF(AND(E118="",H118=""),"✗ 没填数量",IF(AND(N(E118)&lt;&gt;0,F118=""),"✗ 没填进价","√")))))))))</f>
      </c>
    </row>
    <row r="119">
      <c r="A119" s="109">
        <f>IF(AND(C119="",D119=""),"",ROW()-3)</f>
      </c>
      <c r="B119" s="140" t="n"/>
      <c r="C119" s="141" t="n"/>
      <c r="D119" s="141" t="n"/>
      <c r="E119" s="148" t="n"/>
      <c r="F119" s="149" t="n"/>
      <c r="G119" s="150">
        <f>IF(AND(E119&lt;&gt;"",F119&lt;&gt;""),E119*F119,"")</f>
      </c>
      <c r="H119" s="148" t="n"/>
      <c r="I119" s="142" t="n"/>
      <c r="J119" s="146">
        <f>IF(AND(B119="",C119="",D119="",E119="",F119="",H119=""),"",IF(NOT(ISNUMBER(B119)),"✗ 日期不是真日期",IF(OR(B119&lt;年初日,B119&gt;年末日),"✗ 日期不在本年度",IF(C119="","✗ 没选供应商",IF(COUNTIF(基础资料!$Q$5:$Q$54,C119)=0,"✗ 供应商不在基础资料里",IF(D119="","✗ 没选商品",IF(COUNTIF(基础资料!$E$5:$E$104,D119)=0,"✗ 商品不在商品档案里",IF(AND(E119="",H119=""),"✗ 没填数量",IF(AND(N(E119)&lt;&gt;0,F119=""),"✗ 没填进价","√")))))))))</f>
      </c>
    </row>
    <row r="120">
      <c r="A120" s="109">
        <f>IF(AND(C120="",D120=""),"",ROW()-3)</f>
      </c>
      <c r="B120" s="140" t="n"/>
      <c r="C120" s="141" t="n"/>
      <c r="D120" s="141" t="n"/>
      <c r="E120" s="148" t="n"/>
      <c r="F120" s="149" t="n"/>
      <c r="G120" s="150">
        <f>IF(AND(E120&lt;&gt;"",F120&lt;&gt;""),E120*F120,"")</f>
      </c>
      <c r="H120" s="148" t="n"/>
      <c r="I120" s="142" t="n"/>
      <c r="J120" s="146">
        <f>IF(AND(B120="",C120="",D120="",E120="",F120="",H120=""),"",IF(NOT(ISNUMBER(B120)),"✗ 日期不是真日期",IF(OR(B120&lt;年初日,B120&gt;年末日),"✗ 日期不在本年度",IF(C120="","✗ 没选供应商",IF(COUNTIF(基础资料!$Q$5:$Q$54,C120)=0,"✗ 供应商不在基础资料里",IF(D120="","✗ 没选商品",IF(COUNTIF(基础资料!$E$5:$E$104,D120)=0,"✗ 商品不在商品档案里",IF(AND(E120="",H120=""),"✗ 没填数量",IF(AND(N(E120)&lt;&gt;0,F120=""),"✗ 没填进价","√")))))))))</f>
      </c>
    </row>
    <row r="121">
      <c r="A121" s="109">
        <f>IF(AND(C121="",D121=""),"",ROW()-3)</f>
      </c>
      <c r="B121" s="140" t="n"/>
      <c r="C121" s="141" t="n"/>
      <c r="D121" s="141" t="n"/>
      <c r="E121" s="148" t="n"/>
      <c r="F121" s="149" t="n"/>
      <c r="G121" s="150">
        <f>IF(AND(E121&lt;&gt;"",F121&lt;&gt;""),E121*F121,"")</f>
      </c>
      <c r="H121" s="148" t="n"/>
      <c r="I121" s="142" t="n"/>
      <c r="J121" s="146">
        <f>IF(AND(B121="",C121="",D121="",E121="",F121="",H121=""),"",IF(NOT(ISNUMBER(B121)),"✗ 日期不是真日期",IF(OR(B121&lt;年初日,B121&gt;年末日),"✗ 日期不在本年度",IF(C121="","✗ 没选供应商",IF(COUNTIF(基础资料!$Q$5:$Q$54,C121)=0,"✗ 供应商不在基础资料里",IF(D121="","✗ 没选商品",IF(COUNTIF(基础资料!$E$5:$E$104,D121)=0,"✗ 商品不在商品档案里",IF(AND(E121="",H121=""),"✗ 没填数量",IF(AND(N(E121)&lt;&gt;0,F121=""),"✗ 没填进价","√")))))))))</f>
      </c>
    </row>
    <row r="122">
      <c r="A122" s="109">
        <f>IF(AND(C122="",D122=""),"",ROW()-3)</f>
      </c>
      <c r="B122" s="140" t="n"/>
      <c r="C122" s="141" t="n"/>
      <c r="D122" s="141" t="n"/>
      <c r="E122" s="148" t="n"/>
      <c r="F122" s="149" t="n"/>
      <c r="G122" s="150">
        <f>IF(AND(E122&lt;&gt;"",F122&lt;&gt;""),E122*F122,"")</f>
      </c>
      <c r="H122" s="148" t="n"/>
      <c r="I122" s="142" t="n"/>
      <c r="J122" s="146">
        <f>IF(AND(B122="",C122="",D122="",E122="",F122="",H122=""),"",IF(NOT(ISNUMBER(B122)),"✗ 日期不是真日期",IF(OR(B122&lt;年初日,B122&gt;年末日),"✗ 日期不在本年度",IF(C122="","✗ 没选供应商",IF(COUNTIF(基础资料!$Q$5:$Q$54,C122)=0,"✗ 供应商不在基础资料里",IF(D122="","✗ 没选商品",IF(COUNTIF(基础资料!$E$5:$E$104,D122)=0,"✗ 商品不在商品档案里",IF(AND(E122="",H122=""),"✗ 没填数量",IF(AND(N(E122)&lt;&gt;0,F122=""),"✗ 没填进价","√")))))))))</f>
      </c>
    </row>
    <row r="123">
      <c r="A123" s="109">
        <f>IF(AND(C123="",D123=""),"",ROW()-3)</f>
      </c>
      <c r="B123" s="140" t="n"/>
      <c r="C123" s="141" t="n"/>
      <c r="D123" s="141" t="n"/>
      <c r="E123" s="148" t="n"/>
      <c r="F123" s="149" t="n"/>
      <c r="G123" s="150">
        <f>IF(AND(E123&lt;&gt;"",F123&lt;&gt;""),E123*F123,"")</f>
      </c>
      <c r="H123" s="148" t="n"/>
      <c r="I123" s="142" t="n"/>
      <c r="J123" s="146">
        <f>IF(AND(B123="",C123="",D123="",E123="",F123="",H123=""),"",IF(NOT(ISNUMBER(B123)),"✗ 日期不是真日期",IF(OR(B123&lt;年初日,B123&gt;年末日),"✗ 日期不在本年度",IF(C123="","✗ 没选供应商",IF(COUNTIF(基础资料!$Q$5:$Q$54,C123)=0,"✗ 供应商不在基础资料里",IF(D123="","✗ 没选商品",IF(COUNTIF(基础资料!$E$5:$E$104,D123)=0,"✗ 商品不在商品档案里",IF(AND(E123="",H123=""),"✗ 没填数量",IF(AND(N(E123)&lt;&gt;0,F123=""),"✗ 没填进价","√")))))))))</f>
      </c>
    </row>
    <row r="124">
      <c r="A124" s="109">
        <f>IF(AND(C124="",D124=""),"",ROW()-3)</f>
      </c>
      <c r="B124" s="140" t="n"/>
      <c r="C124" s="141" t="n"/>
      <c r="D124" s="141" t="n"/>
      <c r="E124" s="148" t="n"/>
      <c r="F124" s="149" t="n"/>
      <c r="G124" s="150">
        <f>IF(AND(E124&lt;&gt;"",F124&lt;&gt;""),E124*F124,"")</f>
      </c>
      <c r="H124" s="148" t="n"/>
      <c r="I124" s="142" t="n"/>
      <c r="J124" s="146">
        <f>IF(AND(B124="",C124="",D124="",E124="",F124="",H124=""),"",IF(NOT(ISNUMBER(B124)),"✗ 日期不是真日期",IF(OR(B124&lt;年初日,B124&gt;年末日),"✗ 日期不在本年度",IF(C124="","✗ 没选供应商",IF(COUNTIF(基础资料!$Q$5:$Q$54,C124)=0,"✗ 供应商不在基础资料里",IF(D124="","✗ 没选商品",IF(COUNTIF(基础资料!$E$5:$E$104,D124)=0,"✗ 商品不在商品档案里",IF(AND(E124="",H124=""),"✗ 没填数量",IF(AND(N(E124)&lt;&gt;0,F124=""),"✗ 没填进价","√")))))))))</f>
      </c>
    </row>
    <row r="125">
      <c r="A125" s="109">
        <f>IF(AND(C125="",D125=""),"",ROW()-3)</f>
      </c>
      <c r="B125" s="140" t="n"/>
      <c r="C125" s="141" t="n"/>
      <c r="D125" s="141" t="n"/>
      <c r="E125" s="148" t="n"/>
      <c r="F125" s="149" t="n"/>
      <c r="G125" s="150">
        <f>IF(AND(E125&lt;&gt;"",F125&lt;&gt;""),E125*F125,"")</f>
      </c>
      <c r="H125" s="148" t="n"/>
      <c r="I125" s="142" t="n"/>
      <c r="J125" s="146">
        <f>IF(AND(B125="",C125="",D125="",E125="",F125="",H125=""),"",IF(NOT(ISNUMBER(B125)),"✗ 日期不是真日期",IF(OR(B125&lt;年初日,B125&gt;年末日),"✗ 日期不在本年度",IF(C125="","✗ 没选供应商",IF(COUNTIF(基础资料!$Q$5:$Q$54,C125)=0,"✗ 供应商不在基础资料里",IF(D125="","✗ 没选商品",IF(COUNTIF(基础资料!$E$5:$E$104,D125)=0,"✗ 商品不在商品档案里",IF(AND(E125="",H125=""),"✗ 没填数量",IF(AND(N(E125)&lt;&gt;0,F125=""),"✗ 没填进价","√")))))))))</f>
      </c>
    </row>
    <row r="126">
      <c r="A126" s="109">
        <f>IF(AND(C126="",D126=""),"",ROW()-3)</f>
      </c>
      <c r="B126" s="140" t="n"/>
      <c r="C126" s="141" t="n"/>
      <c r="D126" s="141" t="n"/>
      <c r="E126" s="148" t="n"/>
      <c r="F126" s="149" t="n"/>
      <c r="G126" s="150">
        <f>IF(AND(E126&lt;&gt;"",F126&lt;&gt;""),E126*F126,"")</f>
      </c>
      <c r="H126" s="148" t="n"/>
      <c r="I126" s="142" t="n"/>
      <c r="J126" s="146">
        <f>IF(AND(B126="",C126="",D126="",E126="",F126="",H126=""),"",IF(NOT(ISNUMBER(B126)),"✗ 日期不是真日期",IF(OR(B126&lt;年初日,B126&gt;年末日),"✗ 日期不在本年度",IF(C126="","✗ 没选供应商",IF(COUNTIF(基础资料!$Q$5:$Q$54,C126)=0,"✗ 供应商不在基础资料里",IF(D126="","✗ 没选商品",IF(COUNTIF(基础资料!$E$5:$E$104,D126)=0,"✗ 商品不在商品档案里",IF(AND(E126="",H126=""),"✗ 没填数量",IF(AND(N(E126)&lt;&gt;0,F126=""),"✗ 没填进价","√")))))))))</f>
      </c>
    </row>
    <row r="127">
      <c r="A127" s="109">
        <f>IF(AND(C127="",D127=""),"",ROW()-3)</f>
      </c>
      <c r="B127" s="140" t="n"/>
      <c r="C127" s="141" t="n"/>
      <c r="D127" s="141" t="n"/>
      <c r="E127" s="148" t="n"/>
      <c r="F127" s="149" t="n"/>
      <c r="G127" s="150">
        <f>IF(AND(E127&lt;&gt;"",F127&lt;&gt;""),E127*F127,"")</f>
      </c>
      <c r="H127" s="148" t="n"/>
      <c r="I127" s="142" t="n"/>
      <c r="J127" s="146">
        <f>IF(AND(B127="",C127="",D127="",E127="",F127="",H127=""),"",IF(NOT(ISNUMBER(B127)),"✗ 日期不是真日期",IF(OR(B127&lt;年初日,B127&gt;年末日),"✗ 日期不在本年度",IF(C127="","✗ 没选供应商",IF(COUNTIF(基础资料!$Q$5:$Q$54,C127)=0,"✗ 供应商不在基础资料里",IF(D127="","✗ 没选商品",IF(COUNTIF(基础资料!$E$5:$E$104,D127)=0,"✗ 商品不在商品档案里",IF(AND(E127="",H127=""),"✗ 没填数量",IF(AND(N(E127)&lt;&gt;0,F127=""),"✗ 没填进价","√")))))))))</f>
      </c>
    </row>
    <row r="128">
      <c r="A128" s="109">
        <f>IF(AND(C128="",D128=""),"",ROW()-3)</f>
      </c>
      <c r="B128" s="140" t="n"/>
      <c r="C128" s="141" t="n"/>
      <c r="D128" s="141" t="n"/>
      <c r="E128" s="148" t="n"/>
      <c r="F128" s="149" t="n"/>
      <c r="G128" s="150">
        <f>IF(AND(E128&lt;&gt;"",F128&lt;&gt;""),E128*F128,"")</f>
      </c>
      <c r="H128" s="148" t="n"/>
      <c r="I128" s="142" t="n"/>
      <c r="J128" s="146">
        <f>IF(AND(B128="",C128="",D128="",E128="",F128="",H128=""),"",IF(NOT(ISNUMBER(B128)),"✗ 日期不是真日期",IF(OR(B128&lt;年初日,B128&gt;年末日),"✗ 日期不在本年度",IF(C128="","✗ 没选供应商",IF(COUNTIF(基础资料!$Q$5:$Q$54,C128)=0,"✗ 供应商不在基础资料里",IF(D128="","✗ 没选商品",IF(COUNTIF(基础资料!$E$5:$E$104,D128)=0,"✗ 商品不在商品档案里",IF(AND(E128="",H128=""),"✗ 没填数量",IF(AND(N(E128)&lt;&gt;0,F128=""),"✗ 没填进价","√")))))))))</f>
      </c>
    </row>
    <row r="129">
      <c r="A129" s="109">
        <f>IF(AND(C129="",D129=""),"",ROW()-3)</f>
      </c>
      <c r="B129" s="140" t="n"/>
      <c r="C129" s="141" t="n"/>
      <c r="D129" s="141" t="n"/>
      <c r="E129" s="148" t="n"/>
      <c r="F129" s="149" t="n"/>
      <c r="G129" s="150">
        <f>IF(AND(E129&lt;&gt;"",F129&lt;&gt;""),E129*F129,"")</f>
      </c>
      <c r="H129" s="148" t="n"/>
      <c r="I129" s="142" t="n"/>
      <c r="J129" s="146">
        <f>IF(AND(B129="",C129="",D129="",E129="",F129="",H129=""),"",IF(NOT(ISNUMBER(B129)),"✗ 日期不是真日期",IF(OR(B129&lt;年初日,B129&gt;年末日),"✗ 日期不在本年度",IF(C129="","✗ 没选供应商",IF(COUNTIF(基础资料!$Q$5:$Q$54,C129)=0,"✗ 供应商不在基础资料里",IF(D129="","✗ 没选商品",IF(COUNTIF(基础资料!$E$5:$E$104,D129)=0,"✗ 商品不在商品档案里",IF(AND(E129="",H129=""),"✗ 没填数量",IF(AND(N(E129)&lt;&gt;0,F129=""),"✗ 没填进价","√")))))))))</f>
      </c>
    </row>
    <row r="130">
      <c r="A130" s="109">
        <f>IF(AND(C130="",D130=""),"",ROW()-3)</f>
      </c>
      <c r="B130" s="140" t="n"/>
      <c r="C130" s="141" t="n"/>
      <c r="D130" s="141" t="n"/>
      <c r="E130" s="148" t="n"/>
      <c r="F130" s="149" t="n"/>
      <c r="G130" s="150">
        <f>IF(AND(E130&lt;&gt;"",F130&lt;&gt;""),E130*F130,"")</f>
      </c>
      <c r="H130" s="148" t="n"/>
      <c r="I130" s="142" t="n"/>
      <c r="J130" s="146">
        <f>IF(AND(B130="",C130="",D130="",E130="",F130="",H130=""),"",IF(NOT(ISNUMBER(B130)),"✗ 日期不是真日期",IF(OR(B130&lt;年初日,B130&gt;年末日),"✗ 日期不在本年度",IF(C130="","✗ 没选供应商",IF(COUNTIF(基础资料!$Q$5:$Q$54,C130)=0,"✗ 供应商不在基础资料里",IF(D130="","✗ 没选商品",IF(COUNTIF(基础资料!$E$5:$E$104,D130)=0,"✗ 商品不在商品档案里",IF(AND(E130="",H130=""),"✗ 没填数量",IF(AND(N(E130)&lt;&gt;0,F130=""),"✗ 没填进价","√")))))))))</f>
      </c>
    </row>
    <row r="131">
      <c r="A131" s="109">
        <f>IF(AND(C131="",D131=""),"",ROW()-3)</f>
      </c>
      <c r="B131" s="140" t="n"/>
      <c r="C131" s="141" t="n"/>
      <c r="D131" s="141" t="n"/>
      <c r="E131" s="148" t="n"/>
      <c r="F131" s="149" t="n"/>
      <c r="G131" s="150">
        <f>IF(AND(E131&lt;&gt;"",F131&lt;&gt;""),E131*F131,"")</f>
      </c>
      <c r="H131" s="148" t="n"/>
      <c r="I131" s="142" t="n"/>
      <c r="J131" s="146">
        <f>IF(AND(B131="",C131="",D131="",E131="",F131="",H131=""),"",IF(NOT(ISNUMBER(B131)),"✗ 日期不是真日期",IF(OR(B131&lt;年初日,B131&gt;年末日),"✗ 日期不在本年度",IF(C131="","✗ 没选供应商",IF(COUNTIF(基础资料!$Q$5:$Q$54,C131)=0,"✗ 供应商不在基础资料里",IF(D131="","✗ 没选商品",IF(COUNTIF(基础资料!$E$5:$E$104,D131)=0,"✗ 商品不在商品档案里",IF(AND(E131="",H131=""),"✗ 没填数量",IF(AND(N(E131)&lt;&gt;0,F131=""),"✗ 没填进价","√")))))))))</f>
      </c>
    </row>
    <row r="132">
      <c r="A132" s="109">
        <f>IF(AND(C132="",D132=""),"",ROW()-3)</f>
      </c>
      <c r="B132" s="140" t="n"/>
      <c r="C132" s="141" t="n"/>
      <c r="D132" s="141" t="n"/>
      <c r="E132" s="148" t="n"/>
      <c r="F132" s="149" t="n"/>
      <c r="G132" s="150">
        <f>IF(AND(E132&lt;&gt;"",F132&lt;&gt;""),E132*F132,"")</f>
      </c>
      <c r="H132" s="148" t="n"/>
      <c r="I132" s="142" t="n"/>
      <c r="J132" s="146">
        <f>IF(AND(B132="",C132="",D132="",E132="",F132="",H132=""),"",IF(NOT(ISNUMBER(B132)),"✗ 日期不是真日期",IF(OR(B132&lt;年初日,B132&gt;年末日),"✗ 日期不在本年度",IF(C132="","✗ 没选供应商",IF(COUNTIF(基础资料!$Q$5:$Q$54,C132)=0,"✗ 供应商不在基础资料里",IF(D132="","✗ 没选商品",IF(COUNTIF(基础资料!$E$5:$E$104,D132)=0,"✗ 商品不在商品档案里",IF(AND(E132="",H132=""),"✗ 没填数量",IF(AND(N(E132)&lt;&gt;0,F132=""),"✗ 没填进价","√")))))))))</f>
      </c>
    </row>
    <row r="133">
      <c r="A133" s="109">
        <f>IF(AND(C133="",D133=""),"",ROW()-3)</f>
      </c>
      <c r="B133" s="140" t="n"/>
      <c r="C133" s="141" t="n"/>
      <c r="D133" s="141" t="n"/>
      <c r="E133" s="148" t="n"/>
      <c r="F133" s="149" t="n"/>
      <c r="G133" s="150">
        <f>IF(AND(E133&lt;&gt;"",F133&lt;&gt;""),E133*F133,"")</f>
      </c>
      <c r="H133" s="148" t="n"/>
      <c r="I133" s="142" t="n"/>
      <c r="J133" s="146">
        <f>IF(AND(B133="",C133="",D133="",E133="",F133="",H133=""),"",IF(NOT(ISNUMBER(B133)),"✗ 日期不是真日期",IF(OR(B133&lt;年初日,B133&gt;年末日),"✗ 日期不在本年度",IF(C133="","✗ 没选供应商",IF(COUNTIF(基础资料!$Q$5:$Q$54,C133)=0,"✗ 供应商不在基础资料里",IF(D133="","✗ 没选商品",IF(COUNTIF(基础资料!$E$5:$E$104,D133)=0,"✗ 商品不在商品档案里",IF(AND(E133="",H133=""),"✗ 没填数量",IF(AND(N(E133)&lt;&gt;0,F133=""),"✗ 没填进价","√")))))))))</f>
      </c>
    </row>
    <row r="134">
      <c r="A134" s="109">
        <f>IF(AND(C134="",D134=""),"",ROW()-3)</f>
      </c>
      <c r="B134" s="140" t="n"/>
      <c r="C134" s="141" t="n"/>
      <c r="D134" s="141" t="n"/>
      <c r="E134" s="148" t="n"/>
      <c r="F134" s="149" t="n"/>
      <c r="G134" s="150">
        <f>IF(AND(E134&lt;&gt;"",F134&lt;&gt;""),E134*F134,"")</f>
      </c>
      <c r="H134" s="148" t="n"/>
      <c r="I134" s="142" t="n"/>
      <c r="J134" s="146">
        <f>IF(AND(B134="",C134="",D134="",E134="",F134="",H134=""),"",IF(NOT(ISNUMBER(B134)),"✗ 日期不是真日期",IF(OR(B134&lt;年初日,B134&gt;年末日),"✗ 日期不在本年度",IF(C134="","✗ 没选供应商",IF(COUNTIF(基础资料!$Q$5:$Q$54,C134)=0,"✗ 供应商不在基础资料里",IF(D134="","✗ 没选商品",IF(COUNTIF(基础资料!$E$5:$E$104,D134)=0,"✗ 商品不在商品档案里",IF(AND(E134="",H134=""),"✗ 没填数量",IF(AND(N(E134)&lt;&gt;0,F134=""),"✗ 没填进价","√")))))))))</f>
      </c>
    </row>
    <row r="135">
      <c r="A135" s="109">
        <f>IF(AND(C135="",D135=""),"",ROW()-3)</f>
      </c>
      <c r="B135" s="140" t="n"/>
      <c r="C135" s="141" t="n"/>
      <c r="D135" s="141" t="n"/>
      <c r="E135" s="148" t="n"/>
      <c r="F135" s="149" t="n"/>
      <c r="G135" s="150">
        <f>IF(AND(E135&lt;&gt;"",F135&lt;&gt;""),E135*F135,"")</f>
      </c>
      <c r="H135" s="148" t="n"/>
      <c r="I135" s="142" t="n"/>
      <c r="J135" s="146">
        <f>IF(AND(B135="",C135="",D135="",E135="",F135="",H135=""),"",IF(NOT(ISNUMBER(B135)),"✗ 日期不是真日期",IF(OR(B135&lt;年初日,B135&gt;年末日),"✗ 日期不在本年度",IF(C135="","✗ 没选供应商",IF(COUNTIF(基础资料!$Q$5:$Q$54,C135)=0,"✗ 供应商不在基础资料里",IF(D135="","✗ 没选商品",IF(COUNTIF(基础资料!$E$5:$E$104,D135)=0,"✗ 商品不在商品档案里",IF(AND(E135="",H135=""),"✗ 没填数量",IF(AND(N(E135)&lt;&gt;0,F135=""),"✗ 没填进价","√")))))))))</f>
      </c>
    </row>
    <row r="136">
      <c r="A136" s="109">
        <f>IF(AND(C136="",D136=""),"",ROW()-3)</f>
      </c>
      <c r="B136" s="140" t="n"/>
      <c r="C136" s="141" t="n"/>
      <c r="D136" s="141" t="n"/>
      <c r="E136" s="148" t="n"/>
      <c r="F136" s="149" t="n"/>
      <c r="G136" s="150">
        <f>IF(AND(E136&lt;&gt;"",F136&lt;&gt;""),E136*F136,"")</f>
      </c>
      <c r="H136" s="148" t="n"/>
      <c r="I136" s="142" t="n"/>
      <c r="J136" s="146">
        <f>IF(AND(B136="",C136="",D136="",E136="",F136="",H136=""),"",IF(NOT(ISNUMBER(B136)),"✗ 日期不是真日期",IF(OR(B136&lt;年初日,B136&gt;年末日),"✗ 日期不在本年度",IF(C136="","✗ 没选供应商",IF(COUNTIF(基础资料!$Q$5:$Q$54,C136)=0,"✗ 供应商不在基础资料里",IF(D136="","✗ 没选商品",IF(COUNTIF(基础资料!$E$5:$E$104,D136)=0,"✗ 商品不在商品档案里",IF(AND(E136="",H136=""),"✗ 没填数量",IF(AND(N(E136)&lt;&gt;0,F136=""),"✗ 没填进价","√")))))))))</f>
      </c>
    </row>
    <row r="137">
      <c r="A137" s="109">
        <f>IF(AND(C137="",D137=""),"",ROW()-3)</f>
      </c>
      <c r="B137" s="140" t="n"/>
      <c r="C137" s="141" t="n"/>
      <c r="D137" s="141" t="n"/>
      <c r="E137" s="148" t="n"/>
      <c r="F137" s="149" t="n"/>
      <c r="G137" s="150">
        <f>IF(AND(E137&lt;&gt;"",F137&lt;&gt;""),E137*F137,"")</f>
      </c>
      <c r="H137" s="148" t="n"/>
      <c r="I137" s="142" t="n"/>
      <c r="J137" s="146">
        <f>IF(AND(B137="",C137="",D137="",E137="",F137="",H137=""),"",IF(NOT(ISNUMBER(B137)),"✗ 日期不是真日期",IF(OR(B137&lt;年初日,B137&gt;年末日),"✗ 日期不在本年度",IF(C137="","✗ 没选供应商",IF(COUNTIF(基础资料!$Q$5:$Q$54,C137)=0,"✗ 供应商不在基础资料里",IF(D137="","✗ 没选商品",IF(COUNTIF(基础资料!$E$5:$E$104,D137)=0,"✗ 商品不在商品档案里",IF(AND(E137="",H137=""),"✗ 没填数量",IF(AND(N(E137)&lt;&gt;0,F137=""),"✗ 没填进价","√")))))))))</f>
      </c>
    </row>
    <row r="138">
      <c r="A138" s="109">
        <f>IF(AND(C138="",D138=""),"",ROW()-3)</f>
      </c>
      <c r="B138" s="140" t="n"/>
      <c r="C138" s="141" t="n"/>
      <c r="D138" s="141" t="n"/>
      <c r="E138" s="148" t="n"/>
      <c r="F138" s="149" t="n"/>
      <c r="G138" s="150">
        <f>IF(AND(E138&lt;&gt;"",F138&lt;&gt;""),E138*F138,"")</f>
      </c>
      <c r="H138" s="148" t="n"/>
      <c r="I138" s="142" t="n"/>
      <c r="J138" s="146">
        <f>IF(AND(B138="",C138="",D138="",E138="",F138="",H138=""),"",IF(NOT(ISNUMBER(B138)),"✗ 日期不是真日期",IF(OR(B138&lt;年初日,B138&gt;年末日),"✗ 日期不在本年度",IF(C138="","✗ 没选供应商",IF(COUNTIF(基础资料!$Q$5:$Q$54,C138)=0,"✗ 供应商不在基础资料里",IF(D138="","✗ 没选商品",IF(COUNTIF(基础资料!$E$5:$E$104,D138)=0,"✗ 商品不在商品档案里",IF(AND(E138="",H138=""),"✗ 没填数量",IF(AND(N(E138)&lt;&gt;0,F138=""),"✗ 没填进价","√")))))))))</f>
      </c>
    </row>
    <row r="139">
      <c r="A139" s="109">
        <f>IF(AND(C139="",D139=""),"",ROW()-3)</f>
      </c>
      <c r="B139" s="140" t="n"/>
      <c r="C139" s="141" t="n"/>
      <c r="D139" s="141" t="n"/>
      <c r="E139" s="148" t="n"/>
      <c r="F139" s="149" t="n"/>
      <c r="G139" s="150">
        <f>IF(AND(E139&lt;&gt;"",F139&lt;&gt;""),E139*F139,"")</f>
      </c>
      <c r="H139" s="148" t="n"/>
      <c r="I139" s="142" t="n"/>
      <c r="J139" s="146">
        <f>IF(AND(B139="",C139="",D139="",E139="",F139="",H139=""),"",IF(NOT(ISNUMBER(B139)),"✗ 日期不是真日期",IF(OR(B139&lt;年初日,B139&gt;年末日),"✗ 日期不在本年度",IF(C139="","✗ 没选供应商",IF(COUNTIF(基础资料!$Q$5:$Q$54,C139)=0,"✗ 供应商不在基础资料里",IF(D139="","✗ 没选商品",IF(COUNTIF(基础资料!$E$5:$E$104,D139)=0,"✗ 商品不在商品档案里",IF(AND(E139="",H139=""),"✗ 没填数量",IF(AND(N(E139)&lt;&gt;0,F139=""),"✗ 没填进价","√")))))))))</f>
      </c>
    </row>
    <row r="140">
      <c r="A140" s="109">
        <f>IF(AND(C140="",D140=""),"",ROW()-3)</f>
      </c>
      <c r="B140" s="140" t="n"/>
      <c r="C140" s="141" t="n"/>
      <c r="D140" s="141" t="n"/>
      <c r="E140" s="148" t="n"/>
      <c r="F140" s="149" t="n"/>
      <c r="G140" s="150">
        <f>IF(AND(E140&lt;&gt;"",F140&lt;&gt;""),E140*F140,"")</f>
      </c>
      <c r="H140" s="148" t="n"/>
      <c r="I140" s="142" t="n"/>
      <c r="J140" s="146">
        <f>IF(AND(B140="",C140="",D140="",E140="",F140="",H140=""),"",IF(NOT(ISNUMBER(B140)),"✗ 日期不是真日期",IF(OR(B140&lt;年初日,B140&gt;年末日),"✗ 日期不在本年度",IF(C140="","✗ 没选供应商",IF(COUNTIF(基础资料!$Q$5:$Q$54,C140)=0,"✗ 供应商不在基础资料里",IF(D140="","✗ 没选商品",IF(COUNTIF(基础资料!$E$5:$E$104,D140)=0,"✗ 商品不在商品档案里",IF(AND(E140="",H140=""),"✗ 没填数量",IF(AND(N(E140)&lt;&gt;0,F140=""),"✗ 没填进价","√")))))))))</f>
      </c>
    </row>
    <row r="141">
      <c r="A141" s="109">
        <f>IF(AND(C141="",D141=""),"",ROW()-3)</f>
      </c>
      <c r="B141" s="140" t="n"/>
      <c r="C141" s="141" t="n"/>
      <c r="D141" s="141" t="n"/>
      <c r="E141" s="148" t="n"/>
      <c r="F141" s="149" t="n"/>
      <c r="G141" s="150">
        <f>IF(AND(E141&lt;&gt;"",F141&lt;&gt;""),E141*F141,"")</f>
      </c>
      <c r="H141" s="148" t="n"/>
      <c r="I141" s="142" t="n"/>
      <c r="J141" s="146">
        <f>IF(AND(B141="",C141="",D141="",E141="",F141="",H141=""),"",IF(NOT(ISNUMBER(B141)),"✗ 日期不是真日期",IF(OR(B141&lt;年初日,B141&gt;年末日),"✗ 日期不在本年度",IF(C141="","✗ 没选供应商",IF(COUNTIF(基础资料!$Q$5:$Q$54,C141)=0,"✗ 供应商不在基础资料里",IF(D141="","✗ 没选商品",IF(COUNTIF(基础资料!$E$5:$E$104,D141)=0,"✗ 商品不在商品档案里",IF(AND(E141="",H141=""),"✗ 没填数量",IF(AND(N(E141)&lt;&gt;0,F141=""),"✗ 没填进价","√")))))))))</f>
      </c>
    </row>
    <row r="142">
      <c r="A142" s="109">
        <f>IF(AND(C142="",D142=""),"",ROW()-3)</f>
      </c>
      <c r="B142" s="140" t="n"/>
      <c r="C142" s="141" t="n"/>
      <c r="D142" s="141" t="n"/>
      <c r="E142" s="148" t="n"/>
      <c r="F142" s="149" t="n"/>
      <c r="G142" s="150">
        <f>IF(AND(E142&lt;&gt;"",F142&lt;&gt;""),E142*F142,"")</f>
      </c>
      <c r="H142" s="148" t="n"/>
      <c r="I142" s="142" t="n"/>
      <c r="J142" s="146">
        <f>IF(AND(B142="",C142="",D142="",E142="",F142="",H142=""),"",IF(NOT(ISNUMBER(B142)),"✗ 日期不是真日期",IF(OR(B142&lt;年初日,B142&gt;年末日),"✗ 日期不在本年度",IF(C142="","✗ 没选供应商",IF(COUNTIF(基础资料!$Q$5:$Q$54,C142)=0,"✗ 供应商不在基础资料里",IF(D142="","✗ 没选商品",IF(COUNTIF(基础资料!$E$5:$E$104,D142)=0,"✗ 商品不在商品档案里",IF(AND(E142="",H142=""),"✗ 没填数量",IF(AND(N(E142)&lt;&gt;0,F142=""),"✗ 没填进价","√")))))))))</f>
      </c>
    </row>
    <row r="143">
      <c r="A143" s="109">
        <f>IF(AND(C143="",D143=""),"",ROW()-3)</f>
      </c>
      <c r="B143" s="140" t="n"/>
      <c r="C143" s="141" t="n"/>
      <c r="D143" s="141" t="n"/>
      <c r="E143" s="148" t="n"/>
      <c r="F143" s="149" t="n"/>
      <c r="G143" s="150">
        <f>IF(AND(E143&lt;&gt;"",F143&lt;&gt;""),E143*F143,"")</f>
      </c>
      <c r="H143" s="148" t="n"/>
      <c r="I143" s="142" t="n"/>
      <c r="J143" s="146">
        <f>IF(AND(B143="",C143="",D143="",E143="",F143="",H143=""),"",IF(NOT(ISNUMBER(B143)),"✗ 日期不是真日期",IF(OR(B143&lt;年初日,B143&gt;年末日),"✗ 日期不在本年度",IF(C143="","✗ 没选供应商",IF(COUNTIF(基础资料!$Q$5:$Q$54,C143)=0,"✗ 供应商不在基础资料里",IF(D143="","✗ 没选商品",IF(COUNTIF(基础资料!$E$5:$E$104,D143)=0,"✗ 商品不在商品档案里",IF(AND(E143="",H143=""),"✗ 没填数量",IF(AND(N(E143)&lt;&gt;0,F143=""),"✗ 没填进价","√")))))))))</f>
      </c>
    </row>
    <row r="144">
      <c r="A144" s="109">
        <f>IF(AND(C144="",D144=""),"",ROW()-3)</f>
      </c>
      <c r="B144" s="140" t="n"/>
      <c r="C144" s="141" t="n"/>
      <c r="D144" s="141" t="n"/>
      <c r="E144" s="148" t="n"/>
      <c r="F144" s="149" t="n"/>
      <c r="G144" s="150">
        <f>IF(AND(E144&lt;&gt;"",F144&lt;&gt;""),E144*F144,"")</f>
      </c>
      <c r="H144" s="148" t="n"/>
      <c r="I144" s="142" t="n"/>
      <c r="J144" s="146">
        <f>IF(AND(B144="",C144="",D144="",E144="",F144="",H144=""),"",IF(NOT(ISNUMBER(B144)),"✗ 日期不是真日期",IF(OR(B144&lt;年初日,B144&gt;年末日),"✗ 日期不在本年度",IF(C144="","✗ 没选供应商",IF(COUNTIF(基础资料!$Q$5:$Q$54,C144)=0,"✗ 供应商不在基础资料里",IF(D144="","✗ 没选商品",IF(COUNTIF(基础资料!$E$5:$E$104,D144)=0,"✗ 商品不在商品档案里",IF(AND(E144="",H144=""),"✗ 没填数量",IF(AND(N(E144)&lt;&gt;0,F144=""),"✗ 没填进价","√")))))))))</f>
      </c>
    </row>
    <row r="145">
      <c r="A145" s="109">
        <f>IF(AND(C145="",D145=""),"",ROW()-3)</f>
      </c>
      <c r="B145" s="140" t="n"/>
      <c r="C145" s="141" t="n"/>
      <c r="D145" s="141" t="n"/>
      <c r="E145" s="148" t="n"/>
      <c r="F145" s="149" t="n"/>
      <c r="G145" s="150">
        <f>IF(AND(E145&lt;&gt;"",F145&lt;&gt;""),E145*F145,"")</f>
      </c>
      <c r="H145" s="148" t="n"/>
      <c r="I145" s="142" t="n"/>
      <c r="J145" s="146">
        <f>IF(AND(B145="",C145="",D145="",E145="",F145="",H145=""),"",IF(NOT(ISNUMBER(B145)),"✗ 日期不是真日期",IF(OR(B145&lt;年初日,B145&gt;年末日),"✗ 日期不在本年度",IF(C145="","✗ 没选供应商",IF(COUNTIF(基础资料!$Q$5:$Q$54,C145)=0,"✗ 供应商不在基础资料里",IF(D145="","✗ 没选商品",IF(COUNTIF(基础资料!$E$5:$E$104,D145)=0,"✗ 商品不在商品档案里",IF(AND(E145="",H145=""),"✗ 没填数量",IF(AND(N(E145)&lt;&gt;0,F145=""),"✗ 没填进价","√")))))))))</f>
      </c>
    </row>
    <row r="146">
      <c r="A146" s="109">
        <f>IF(AND(C146="",D146=""),"",ROW()-3)</f>
      </c>
      <c r="B146" s="140" t="n"/>
      <c r="C146" s="141" t="n"/>
      <c r="D146" s="141" t="n"/>
      <c r="E146" s="148" t="n"/>
      <c r="F146" s="149" t="n"/>
      <c r="G146" s="150">
        <f>IF(AND(E146&lt;&gt;"",F146&lt;&gt;""),E146*F146,"")</f>
      </c>
      <c r="H146" s="148" t="n"/>
      <c r="I146" s="142" t="n"/>
      <c r="J146" s="146">
        <f>IF(AND(B146="",C146="",D146="",E146="",F146="",H146=""),"",IF(NOT(ISNUMBER(B146)),"✗ 日期不是真日期",IF(OR(B146&lt;年初日,B146&gt;年末日),"✗ 日期不在本年度",IF(C146="","✗ 没选供应商",IF(COUNTIF(基础资料!$Q$5:$Q$54,C146)=0,"✗ 供应商不在基础资料里",IF(D146="","✗ 没选商品",IF(COUNTIF(基础资料!$E$5:$E$104,D146)=0,"✗ 商品不在商品档案里",IF(AND(E146="",H146=""),"✗ 没填数量",IF(AND(N(E146)&lt;&gt;0,F146=""),"✗ 没填进价","√")))))))))</f>
      </c>
    </row>
    <row r="147">
      <c r="A147" s="109">
        <f>IF(AND(C147="",D147=""),"",ROW()-3)</f>
      </c>
      <c r="B147" s="140" t="n"/>
      <c r="C147" s="141" t="n"/>
      <c r="D147" s="141" t="n"/>
      <c r="E147" s="148" t="n"/>
      <c r="F147" s="149" t="n"/>
      <c r="G147" s="150">
        <f>IF(AND(E147&lt;&gt;"",F147&lt;&gt;""),E147*F147,"")</f>
      </c>
      <c r="H147" s="148" t="n"/>
      <c r="I147" s="142" t="n"/>
      <c r="J147" s="146">
        <f>IF(AND(B147="",C147="",D147="",E147="",F147="",H147=""),"",IF(NOT(ISNUMBER(B147)),"✗ 日期不是真日期",IF(OR(B147&lt;年初日,B147&gt;年末日),"✗ 日期不在本年度",IF(C147="","✗ 没选供应商",IF(COUNTIF(基础资料!$Q$5:$Q$54,C147)=0,"✗ 供应商不在基础资料里",IF(D147="","✗ 没选商品",IF(COUNTIF(基础资料!$E$5:$E$104,D147)=0,"✗ 商品不在商品档案里",IF(AND(E147="",H147=""),"✗ 没填数量",IF(AND(N(E147)&lt;&gt;0,F147=""),"✗ 没填进价","√")))))))))</f>
      </c>
    </row>
    <row r="148">
      <c r="A148" s="109">
        <f>IF(AND(C148="",D148=""),"",ROW()-3)</f>
      </c>
      <c r="B148" s="140" t="n"/>
      <c r="C148" s="141" t="n"/>
      <c r="D148" s="141" t="n"/>
      <c r="E148" s="148" t="n"/>
      <c r="F148" s="149" t="n"/>
      <c r="G148" s="150">
        <f>IF(AND(E148&lt;&gt;"",F148&lt;&gt;""),E148*F148,"")</f>
      </c>
      <c r="H148" s="148" t="n"/>
      <c r="I148" s="142" t="n"/>
      <c r="J148" s="146">
        <f>IF(AND(B148="",C148="",D148="",E148="",F148="",H148=""),"",IF(NOT(ISNUMBER(B148)),"✗ 日期不是真日期",IF(OR(B148&lt;年初日,B148&gt;年末日),"✗ 日期不在本年度",IF(C148="","✗ 没选供应商",IF(COUNTIF(基础资料!$Q$5:$Q$54,C148)=0,"✗ 供应商不在基础资料里",IF(D148="","✗ 没选商品",IF(COUNTIF(基础资料!$E$5:$E$104,D148)=0,"✗ 商品不在商品档案里",IF(AND(E148="",H148=""),"✗ 没填数量",IF(AND(N(E148)&lt;&gt;0,F148=""),"✗ 没填进价","√")))))))))</f>
      </c>
    </row>
    <row r="149">
      <c r="A149" s="109">
        <f>IF(AND(C149="",D149=""),"",ROW()-3)</f>
      </c>
      <c r="B149" s="140" t="n"/>
      <c r="C149" s="141" t="n"/>
      <c r="D149" s="141" t="n"/>
      <c r="E149" s="148" t="n"/>
      <c r="F149" s="149" t="n"/>
      <c r="G149" s="150">
        <f>IF(AND(E149&lt;&gt;"",F149&lt;&gt;""),E149*F149,"")</f>
      </c>
      <c r="H149" s="148" t="n"/>
      <c r="I149" s="142" t="n"/>
      <c r="J149" s="146">
        <f>IF(AND(B149="",C149="",D149="",E149="",F149="",H149=""),"",IF(NOT(ISNUMBER(B149)),"✗ 日期不是真日期",IF(OR(B149&lt;年初日,B149&gt;年末日),"✗ 日期不在本年度",IF(C149="","✗ 没选供应商",IF(COUNTIF(基础资料!$Q$5:$Q$54,C149)=0,"✗ 供应商不在基础资料里",IF(D149="","✗ 没选商品",IF(COUNTIF(基础资料!$E$5:$E$104,D149)=0,"✗ 商品不在商品档案里",IF(AND(E149="",H149=""),"✗ 没填数量",IF(AND(N(E149)&lt;&gt;0,F149=""),"✗ 没填进价","√")))))))))</f>
      </c>
    </row>
    <row r="150">
      <c r="A150" s="109">
        <f>IF(AND(C150="",D150=""),"",ROW()-3)</f>
      </c>
      <c r="B150" s="140" t="n"/>
      <c r="C150" s="141" t="n"/>
      <c r="D150" s="141" t="n"/>
      <c r="E150" s="148" t="n"/>
      <c r="F150" s="149" t="n"/>
      <c r="G150" s="150">
        <f>IF(AND(E150&lt;&gt;"",F150&lt;&gt;""),E150*F150,"")</f>
      </c>
      <c r="H150" s="148" t="n"/>
      <c r="I150" s="142" t="n"/>
      <c r="J150" s="146">
        <f>IF(AND(B150="",C150="",D150="",E150="",F150="",H150=""),"",IF(NOT(ISNUMBER(B150)),"✗ 日期不是真日期",IF(OR(B150&lt;年初日,B150&gt;年末日),"✗ 日期不在本年度",IF(C150="","✗ 没选供应商",IF(COUNTIF(基础资料!$Q$5:$Q$54,C150)=0,"✗ 供应商不在基础资料里",IF(D150="","✗ 没选商品",IF(COUNTIF(基础资料!$E$5:$E$104,D150)=0,"✗ 商品不在商品档案里",IF(AND(E150="",H150=""),"✗ 没填数量",IF(AND(N(E150)&lt;&gt;0,F150=""),"✗ 没填进价","√")))))))))</f>
      </c>
    </row>
    <row r="151">
      <c r="A151" s="109">
        <f>IF(AND(C151="",D151=""),"",ROW()-3)</f>
      </c>
      <c r="B151" s="140" t="n"/>
      <c r="C151" s="141" t="n"/>
      <c r="D151" s="141" t="n"/>
      <c r="E151" s="148" t="n"/>
      <c r="F151" s="149" t="n"/>
      <c r="G151" s="150">
        <f>IF(AND(E151&lt;&gt;"",F151&lt;&gt;""),E151*F151,"")</f>
      </c>
      <c r="H151" s="148" t="n"/>
      <c r="I151" s="142" t="n"/>
      <c r="J151" s="146">
        <f>IF(AND(B151="",C151="",D151="",E151="",F151="",H151=""),"",IF(NOT(ISNUMBER(B151)),"✗ 日期不是真日期",IF(OR(B151&lt;年初日,B151&gt;年末日),"✗ 日期不在本年度",IF(C151="","✗ 没选供应商",IF(COUNTIF(基础资料!$Q$5:$Q$54,C151)=0,"✗ 供应商不在基础资料里",IF(D151="","✗ 没选商品",IF(COUNTIF(基础资料!$E$5:$E$104,D151)=0,"✗ 商品不在商品档案里",IF(AND(E151="",H151=""),"✗ 没填数量",IF(AND(N(E151)&lt;&gt;0,F151=""),"✗ 没填进价","√")))))))))</f>
      </c>
    </row>
    <row r="152">
      <c r="A152" s="109">
        <f>IF(AND(C152="",D152=""),"",ROW()-3)</f>
      </c>
      <c r="B152" s="140" t="n"/>
      <c r="C152" s="141" t="n"/>
      <c r="D152" s="141" t="n"/>
      <c r="E152" s="148" t="n"/>
      <c r="F152" s="149" t="n"/>
      <c r="G152" s="150">
        <f>IF(AND(E152&lt;&gt;"",F152&lt;&gt;""),E152*F152,"")</f>
      </c>
      <c r="H152" s="148" t="n"/>
      <c r="I152" s="142" t="n"/>
      <c r="J152" s="146">
        <f>IF(AND(B152="",C152="",D152="",E152="",F152="",H152=""),"",IF(NOT(ISNUMBER(B152)),"✗ 日期不是真日期",IF(OR(B152&lt;年初日,B152&gt;年末日),"✗ 日期不在本年度",IF(C152="","✗ 没选供应商",IF(COUNTIF(基础资料!$Q$5:$Q$54,C152)=0,"✗ 供应商不在基础资料里",IF(D152="","✗ 没选商品",IF(COUNTIF(基础资料!$E$5:$E$104,D152)=0,"✗ 商品不在商品档案里",IF(AND(E152="",H152=""),"✗ 没填数量",IF(AND(N(E152)&lt;&gt;0,F152=""),"✗ 没填进价","√")))))))))</f>
      </c>
    </row>
    <row r="153">
      <c r="A153" s="109">
        <f>IF(AND(C153="",D153=""),"",ROW()-3)</f>
      </c>
      <c r="B153" s="140" t="n"/>
      <c r="C153" s="141" t="n"/>
      <c r="D153" s="141" t="n"/>
      <c r="E153" s="148" t="n"/>
      <c r="F153" s="149" t="n"/>
      <c r="G153" s="150">
        <f>IF(AND(E153&lt;&gt;"",F153&lt;&gt;""),E153*F153,"")</f>
      </c>
      <c r="H153" s="148" t="n"/>
      <c r="I153" s="142" t="n"/>
      <c r="J153" s="146">
        <f>IF(AND(B153="",C153="",D153="",E153="",F153="",H153=""),"",IF(NOT(ISNUMBER(B153)),"✗ 日期不是真日期",IF(OR(B153&lt;年初日,B153&gt;年末日),"✗ 日期不在本年度",IF(C153="","✗ 没选供应商",IF(COUNTIF(基础资料!$Q$5:$Q$54,C153)=0,"✗ 供应商不在基础资料里",IF(D153="","✗ 没选商品",IF(COUNTIF(基础资料!$E$5:$E$104,D153)=0,"✗ 商品不在商品档案里",IF(AND(E153="",H153=""),"✗ 没填数量",IF(AND(N(E153)&lt;&gt;0,F153=""),"✗ 没填进价","√")))))))))</f>
      </c>
    </row>
    <row r="154">
      <c r="A154" s="109">
        <f>IF(AND(C154="",D154=""),"",ROW()-3)</f>
      </c>
      <c r="B154" s="140" t="n"/>
      <c r="C154" s="141" t="n"/>
      <c r="D154" s="141" t="n"/>
      <c r="E154" s="148" t="n"/>
      <c r="F154" s="149" t="n"/>
      <c r="G154" s="150">
        <f>IF(AND(E154&lt;&gt;"",F154&lt;&gt;""),E154*F154,"")</f>
      </c>
      <c r="H154" s="148" t="n"/>
      <c r="I154" s="142" t="n"/>
      <c r="J154" s="146">
        <f>IF(AND(B154="",C154="",D154="",E154="",F154="",H154=""),"",IF(NOT(ISNUMBER(B154)),"✗ 日期不是真日期",IF(OR(B154&lt;年初日,B154&gt;年末日),"✗ 日期不在本年度",IF(C154="","✗ 没选供应商",IF(COUNTIF(基础资料!$Q$5:$Q$54,C154)=0,"✗ 供应商不在基础资料里",IF(D154="","✗ 没选商品",IF(COUNTIF(基础资料!$E$5:$E$104,D154)=0,"✗ 商品不在商品档案里",IF(AND(E154="",H154=""),"✗ 没填数量",IF(AND(N(E154)&lt;&gt;0,F154=""),"✗ 没填进价","√")))))))))</f>
      </c>
    </row>
    <row r="155">
      <c r="A155" s="109">
        <f>IF(AND(C155="",D155=""),"",ROW()-3)</f>
      </c>
      <c r="B155" s="140" t="n"/>
      <c r="C155" s="141" t="n"/>
      <c r="D155" s="141" t="n"/>
      <c r="E155" s="148" t="n"/>
      <c r="F155" s="149" t="n"/>
      <c r="G155" s="150">
        <f>IF(AND(E155&lt;&gt;"",F155&lt;&gt;""),E155*F155,"")</f>
      </c>
      <c r="H155" s="148" t="n"/>
      <c r="I155" s="142" t="n"/>
      <c r="J155" s="146">
        <f>IF(AND(B155="",C155="",D155="",E155="",F155="",H155=""),"",IF(NOT(ISNUMBER(B155)),"✗ 日期不是真日期",IF(OR(B155&lt;年初日,B155&gt;年末日),"✗ 日期不在本年度",IF(C155="","✗ 没选供应商",IF(COUNTIF(基础资料!$Q$5:$Q$54,C155)=0,"✗ 供应商不在基础资料里",IF(D155="","✗ 没选商品",IF(COUNTIF(基础资料!$E$5:$E$104,D155)=0,"✗ 商品不在商品档案里",IF(AND(E155="",H155=""),"✗ 没填数量",IF(AND(N(E155)&lt;&gt;0,F155=""),"✗ 没填进价","√")))))))))</f>
      </c>
    </row>
    <row r="156">
      <c r="A156" s="109">
        <f>IF(AND(C156="",D156=""),"",ROW()-3)</f>
      </c>
      <c r="B156" s="140" t="n"/>
      <c r="C156" s="141" t="n"/>
      <c r="D156" s="141" t="n"/>
      <c r="E156" s="148" t="n"/>
      <c r="F156" s="149" t="n"/>
      <c r="G156" s="150">
        <f>IF(AND(E156&lt;&gt;"",F156&lt;&gt;""),E156*F156,"")</f>
      </c>
      <c r="H156" s="148" t="n"/>
      <c r="I156" s="142" t="n"/>
      <c r="J156" s="146">
        <f>IF(AND(B156="",C156="",D156="",E156="",F156="",H156=""),"",IF(NOT(ISNUMBER(B156)),"✗ 日期不是真日期",IF(OR(B156&lt;年初日,B156&gt;年末日),"✗ 日期不在本年度",IF(C156="","✗ 没选供应商",IF(COUNTIF(基础资料!$Q$5:$Q$54,C156)=0,"✗ 供应商不在基础资料里",IF(D156="","✗ 没选商品",IF(COUNTIF(基础资料!$E$5:$E$104,D156)=0,"✗ 商品不在商品档案里",IF(AND(E156="",H156=""),"✗ 没填数量",IF(AND(N(E156)&lt;&gt;0,F156=""),"✗ 没填进价","√")))))))))</f>
      </c>
    </row>
    <row r="157">
      <c r="A157" s="109">
        <f>IF(AND(C157="",D157=""),"",ROW()-3)</f>
      </c>
      <c r="B157" s="140" t="n"/>
      <c r="C157" s="141" t="n"/>
      <c r="D157" s="141" t="n"/>
      <c r="E157" s="148" t="n"/>
      <c r="F157" s="149" t="n"/>
      <c r="G157" s="150">
        <f>IF(AND(E157&lt;&gt;"",F157&lt;&gt;""),E157*F157,"")</f>
      </c>
      <c r="H157" s="148" t="n"/>
      <c r="I157" s="142" t="n"/>
      <c r="J157" s="146">
        <f>IF(AND(B157="",C157="",D157="",E157="",F157="",H157=""),"",IF(NOT(ISNUMBER(B157)),"✗ 日期不是真日期",IF(OR(B157&lt;年初日,B157&gt;年末日),"✗ 日期不在本年度",IF(C157="","✗ 没选供应商",IF(COUNTIF(基础资料!$Q$5:$Q$54,C157)=0,"✗ 供应商不在基础资料里",IF(D157="","✗ 没选商品",IF(COUNTIF(基础资料!$E$5:$E$104,D157)=0,"✗ 商品不在商品档案里",IF(AND(E157="",H157=""),"✗ 没填数量",IF(AND(N(E157)&lt;&gt;0,F157=""),"✗ 没填进价","√")))))))))</f>
      </c>
    </row>
    <row r="158">
      <c r="A158" s="109">
        <f>IF(AND(C158="",D158=""),"",ROW()-3)</f>
      </c>
      <c r="B158" s="140" t="n"/>
      <c r="C158" s="141" t="n"/>
      <c r="D158" s="141" t="n"/>
      <c r="E158" s="148" t="n"/>
      <c r="F158" s="149" t="n"/>
      <c r="G158" s="150">
        <f>IF(AND(E158&lt;&gt;"",F158&lt;&gt;""),E158*F158,"")</f>
      </c>
      <c r="H158" s="148" t="n"/>
      <c r="I158" s="142" t="n"/>
      <c r="J158" s="146">
        <f>IF(AND(B158="",C158="",D158="",E158="",F158="",H158=""),"",IF(NOT(ISNUMBER(B158)),"✗ 日期不是真日期",IF(OR(B158&lt;年初日,B158&gt;年末日),"✗ 日期不在本年度",IF(C158="","✗ 没选供应商",IF(COUNTIF(基础资料!$Q$5:$Q$54,C158)=0,"✗ 供应商不在基础资料里",IF(D158="","✗ 没选商品",IF(COUNTIF(基础资料!$E$5:$E$104,D158)=0,"✗ 商品不在商品档案里",IF(AND(E158="",H158=""),"✗ 没填数量",IF(AND(N(E158)&lt;&gt;0,F158=""),"✗ 没填进价","√")))))))))</f>
      </c>
    </row>
    <row r="159">
      <c r="A159" s="109">
        <f>IF(AND(C159="",D159=""),"",ROW()-3)</f>
      </c>
      <c r="B159" s="140" t="n"/>
      <c r="C159" s="141" t="n"/>
      <c r="D159" s="141" t="n"/>
      <c r="E159" s="148" t="n"/>
      <c r="F159" s="149" t="n"/>
      <c r="G159" s="150">
        <f>IF(AND(E159&lt;&gt;"",F159&lt;&gt;""),E159*F159,"")</f>
      </c>
      <c r="H159" s="148" t="n"/>
      <c r="I159" s="142" t="n"/>
      <c r="J159" s="146">
        <f>IF(AND(B159="",C159="",D159="",E159="",F159="",H159=""),"",IF(NOT(ISNUMBER(B159)),"✗ 日期不是真日期",IF(OR(B159&lt;年初日,B159&gt;年末日),"✗ 日期不在本年度",IF(C159="","✗ 没选供应商",IF(COUNTIF(基础资料!$Q$5:$Q$54,C159)=0,"✗ 供应商不在基础资料里",IF(D159="","✗ 没选商品",IF(COUNTIF(基础资料!$E$5:$E$104,D159)=0,"✗ 商品不在商品档案里",IF(AND(E159="",H159=""),"✗ 没填数量",IF(AND(N(E159)&lt;&gt;0,F159=""),"✗ 没填进价","√")))))))))</f>
      </c>
    </row>
    <row r="160">
      <c r="A160" s="109">
        <f>IF(AND(C160="",D160=""),"",ROW()-3)</f>
      </c>
      <c r="B160" s="140" t="n"/>
      <c r="C160" s="141" t="n"/>
      <c r="D160" s="141" t="n"/>
      <c r="E160" s="148" t="n"/>
      <c r="F160" s="149" t="n"/>
      <c r="G160" s="150">
        <f>IF(AND(E160&lt;&gt;"",F160&lt;&gt;""),E160*F160,"")</f>
      </c>
      <c r="H160" s="148" t="n"/>
      <c r="I160" s="142" t="n"/>
      <c r="J160" s="146">
        <f>IF(AND(B160="",C160="",D160="",E160="",F160="",H160=""),"",IF(NOT(ISNUMBER(B160)),"✗ 日期不是真日期",IF(OR(B160&lt;年初日,B160&gt;年末日),"✗ 日期不在本年度",IF(C160="","✗ 没选供应商",IF(COUNTIF(基础资料!$Q$5:$Q$54,C160)=0,"✗ 供应商不在基础资料里",IF(D160="","✗ 没选商品",IF(COUNTIF(基础资料!$E$5:$E$104,D160)=0,"✗ 商品不在商品档案里",IF(AND(E160="",H160=""),"✗ 没填数量",IF(AND(N(E160)&lt;&gt;0,F160=""),"✗ 没填进价","√")))))))))</f>
      </c>
    </row>
    <row r="161">
      <c r="A161" s="109">
        <f>IF(AND(C161="",D161=""),"",ROW()-3)</f>
      </c>
      <c r="B161" s="140" t="n"/>
      <c r="C161" s="141" t="n"/>
      <c r="D161" s="141" t="n"/>
      <c r="E161" s="148" t="n"/>
      <c r="F161" s="149" t="n"/>
      <c r="G161" s="150">
        <f>IF(AND(E161&lt;&gt;"",F161&lt;&gt;""),E161*F161,"")</f>
      </c>
      <c r="H161" s="148" t="n"/>
      <c r="I161" s="142" t="n"/>
      <c r="J161" s="146">
        <f>IF(AND(B161="",C161="",D161="",E161="",F161="",H161=""),"",IF(NOT(ISNUMBER(B161)),"✗ 日期不是真日期",IF(OR(B161&lt;年初日,B161&gt;年末日),"✗ 日期不在本年度",IF(C161="","✗ 没选供应商",IF(COUNTIF(基础资料!$Q$5:$Q$54,C161)=0,"✗ 供应商不在基础资料里",IF(D161="","✗ 没选商品",IF(COUNTIF(基础资料!$E$5:$E$104,D161)=0,"✗ 商品不在商品档案里",IF(AND(E161="",H161=""),"✗ 没填数量",IF(AND(N(E161)&lt;&gt;0,F161=""),"✗ 没填进价","√")))))))))</f>
      </c>
    </row>
    <row r="162">
      <c r="A162" s="109">
        <f>IF(AND(C162="",D162=""),"",ROW()-3)</f>
      </c>
      <c r="B162" s="140" t="n"/>
      <c r="C162" s="141" t="n"/>
      <c r="D162" s="141" t="n"/>
      <c r="E162" s="148" t="n"/>
      <c r="F162" s="149" t="n"/>
      <c r="G162" s="150">
        <f>IF(AND(E162&lt;&gt;"",F162&lt;&gt;""),E162*F162,"")</f>
      </c>
      <c r="H162" s="148" t="n"/>
      <c r="I162" s="142" t="n"/>
      <c r="J162" s="146">
        <f>IF(AND(B162="",C162="",D162="",E162="",F162="",H162=""),"",IF(NOT(ISNUMBER(B162)),"✗ 日期不是真日期",IF(OR(B162&lt;年初日,B162&gt;年末日),"✗ 日期不在本年度",IF(C162="","✗ 没选供应商",IF(COUNTIF(基础资料!$Q$5:$Q$54,C162)=0,"✗ 供应商不在基础资料里",IF(D162="","✗ 没选商品",IF(COUNTIF(基础资料!$E$5:$E$104,D162)=0,"✗ 商品不在商品档案里",IF(AND(E162="",H162=""),"✗ 没填数量",IF(AND(N(E162)&lt;&gt;0,F162=""),"✗ 没填进价","√")))))))))</f>
      </c>
    </row>
    <row r="163">
      <c r="A163" s="109">
        <f>IF(AND(C163="",D163=""),"",ROW()-3)</f>
      </c>
      <c r="B163" s="140" t="n"/>
      <c r="C163" s="141" t="n"/>
      <c r="D163" s="141" t="n"/>
      <c r="E163" s="148" t="n"/>
      <c r="F163" s="149" t="n"/>
      <c r="G163" s="150">
        <f>IF(AND(E163&lt;&gt;"",F163&lt;&gt;""),E163*F163,"")</f>
      </c>
      <c r="H163" s="148" t="n"/>
      <c r="I163" s="142" t="n"/>
      <c r="J163" s="146">
        <f>IF(AND(B163="",C163="",D163="",E163="",F163="",H163=""),"",IF(NOT(ISNUMBER(B163)),"✗ 日期不是真日期",IF(OR(B163&lt;年初日,B163&gt;年末日),"✗ 日期不在本年度",IF(C163="","✗ 没选供应商",IF(COUNTIF(基础资料!$Q$5:$Q$54,C163)=0,"✗ 供应商不在基础资料里",IF(D163="","✗ 没选商品",IF(COUNTIF(基础资料!$E$5:$E$104,D163)=0,"✗ 商品不在商品档案里",IF(AND(E163="",H163=""),"✗ 没填数量",IF(AND(N(E163)&lt;&gt;0,F163=""),"✗ 没填进价","√")))))))))</f>
      </c>
    </row>
    <row r="164">
      <c r="A164" s="109">
        <f>IF(AND(C164="",D164=""),"",ROW()-3)</f>
      </c>
      <c r="B164" s="140" t="n"/>
      <c r="C164" s="141" t="n"/>
      <c r="D164" s="141" t="n"/>
      <c r="E164" s="148" t="n"/>
      <c r="F164" s="149" t="n"/>
      <c r="G164" s="150">
        <f>IF(AND(E164&lt;&gt;"",F164&lt;&gt;""),E164*F164,"")</f>
      </c>
      <c r="H164" s="148" t="n"/>
      <c r="I164" s="142" t="n"/>
      <c r="J164" s="146">
        <f>IF(AND(B164="",C164="",D164="",E164="",F164="",H164=""),"",IF(NOT(ISNUMBER(B164)),"✗ 日期不是真日期",IF(OR(B164&lt;年初日,B164&gt;年末日),"✗ 日期不在本年度",IF(C164="","✗ 没选供应商",IF(COUNTIF(基础资料!$Q$5:$Q$54,C164)=0,"✗ 供应商不在基础资料里",IF(D164="","✗ 没选商品",IF(COUNTIF(基础资料!$E$5:$E$104,D164)=0,"✗ 商品不在商品档案里",IF(AND(E164="",H164=""),"✗ 没填数量",IF(AND(N(E164)&lt;&gt;0,F164=""),"✗ 没填进价","√")))))))))</f>
      </c>
    </row>
    <row r="165">
      <c r="A165" s="109">
        <f>IF(AND(C165="",D165=""),"",ROW()-3)</f>
      </c>
      <c r="B165" s="140" t="n"/>
      <c r="C165" s="141" t="n"/>
      <c r="D165" s="141" t="n"/>
      <c r="E165" s="148" t="n"/>
      <c r="F165" s="149" t="n"/>
      <c r="G165" s="150">
        <f>IF(AND(E165&lt;&gt;"",F165&lt;&gt;""),E165*F165,"")</f>
      </c>
      <c r="H165" s="148" t="n"/>
      <c r="I165" s="142" t="n"/>
      <c r="J165" s="146">
        <f>IF(AND(B165="",C165="",D165="",E165="",F165="",H165=""),"",IF(NOT(ISNUMBER(B165)),"✗ 日期不是真日期",IF(OR(B165&lt;年初日,B165&gt;年末日),"✗ 日期不在本年度",IF(C165="","✗ 没选供应商",IF(COUNTIF(基础资料!$Q$5:$Q$54,C165)=0,"✗ 供应商不在基础资料里",IF(D165="","✗ 没选商品",IF(COUNTIF(基础资料!$E$5:$E$104,D165)=0,"✗ 商品不在商品档案里",IF(AND(E165="",H165=""),"✗ 没填数量",IF(AND(N(E165)&lt;&gt;0,F165=""),"✗ 没填进价","√")))))))))</f>
      </c>
    </row>
    <row r="166">
      <c r="A166" s="109">
        <f>IF(AND(C166="",D166=""),"",ROW()-3)</f>
      </c>
      <c r="B166" s="140" t="n"/>
      <c r="C166" s="141" t="n"/>
      <c r="D166" s="141" t="n"/>
      <c r="E166" s="148" t="n"/>
      <c r="F166" s="149" t="n"/>
      <c r="G166" s="150">
        <f>IF(AND(E166&lt;&gt;"",F166&lt;&gt;""),E166*F166,"")</f>
      </c>
      <c r="H166" s="148" t="n"/>
      <c r="I166" s="142" t="n"/>
      <c r="J166" s="146">
        <f>IF(AND(B166="",C166="",D166="",E166="",F166="",H166=""),"",IF(NOT(ISNUMBER(B166)),"✗ 日期不是真日期",IF(OR(B166&lt;年初日,B166&gt;年末日),"✗ 日期不在本年度",IF(C166="","✗ 没选供应商",IF(COUNTIF(基础资料!$Q$5:$Q$54,C166)=0,"✗ 供应商不在基础资料里",IF(D166="","✗ 没选商品",IF(COUNTIF(基础资料!$E$5:$E$104,D166)=0,"✗ 商品不在商品档案里",IF(AND(E166="",H166=""),"✗ 没填数量",IF(AND(N(E166)&lt;&gt;0,F166=""),"✗ 没填进价","√")))))))))</f>
      </c>
    </row>
    <row r="167">
      <c r="A167" s="109">
        <f>IF(AND(C167="",D167=""),"",ROW()-3)</f>
      </c>
      <c r="B167" s="140" t="n"/>
      <c r="C167" s="141" t="n"/>
      <c r="D167" s="141" t="n"/>
      <c r="E167" s="148" t="n"/>
      <c r="F167" s="149" t="n"/>
      <c r="G167" s="150">
        <f>IF(AND(E167&lt;&gt;"",F167&lt;&gt;""),E167*F167,"")</f>
      </c>
      <c r="H167" s="148" t="n"/>
      <c r="I167" s="142" t="n"/>
      <c r="J167" s="146">
        <f>IF(AND(B167="",C167="",D167="",E167="",F167="",H167=""),"",IF(NOT(ISNUMBER(B167)),"✗ 日期不是真日期",IF(OR(B167&lt;年初日,B167&gt;年末日),"✗ 日期不在本年度",IF(C167="","✗ 没选供应商",IF(COUNTIF(基础资料!$Q$5:$Q$54,C167)=0,"✗ 供应商不在基础资料里",IF(D167="","✗ 没选商品",IF(COUNTIF(基础资料!$E$5:$E$104,D167)=0,"✗ 商品不在商品档案里",IF(AND(E167="",H167=""),"✗ 没填数量",IF(AND(N(E167)&lt;&gt;0,F167=""),"✗ 没填进价","√")))))))))</f>
      </c>
    </row>
    <row r="168">
      <c r="A168" s="109">
        <f>IF(AND(C168="",D168=""),"",ROW()-3)</f>
      </c>
      <c r="B168" s="140" t="n"/>
      <c r="C168" s="141" t="n"/>
      <c r="D168" s="141" t="n"/>
      <c r="E168" s="148" t="n"/>
      <c r="F168" s="149" t="n"/>
      <c r="G168" s="150">
        <f>IF(AND(E168&lt;&gt;"",F168&lt;&gt;""),E168*F168,"")</f>
      </c>
      <c r="H168" s="148" t="n"/>
      <c r="I168" s="142" t="n"/>
      <c r="J168" s="146">
        <f>IF(AND(B168="",C168="",D168="",E168="",F168="",H168=""),"",IF(NOT(ISNUMBER(B168)),"✗ 日期不是真日期",IF(OR(B168&lt;年初日,B168&gt;年末日),"✗ 日期不在本年度",IF(C168="","✗ 没选供应商",IF(COUNTIF(基础资料!$Q$5:$Q$54,C168)=0,"✗ 供应商不在基础资料里",IF(D168="","✗ 没选商品",IF(COUNTIF(基础资料!$E$5:$E$104,D168)=0,"✗ 商品不在商品档案里",IF(AND(E168="",H168=""),"✗ 没填数量",IF(AND(N(E168)&lt;&gt;0,F168=""),"✗ 没填进价","√")))))))))</f>
      </c>
    </row>
    <row r="169">
      <c r="A169" s="109">
        <f>IF(AND(C169="",D169=""),"",ROW()-3)</f>
      </c>
      <c r="B169" s="140" t="n"/>
      <c r="C169" s="141" t="n"/>
      <c r="D169" s="141" t="n"/>
      <c r="E169" s="148" t="n"/>
      <c r="F169" s="149" t="n"/>
      <c r="G169" s="150">
        <f>IF(AND(E169&lt;&gt;"",F169&lt;&gt;""),E169*F169,"")</f>
      </c>
      <c r="H169" s="148" t="n"/>
      <c r="I169" s="142" t="n"/>
      <c r="J169" s="146">
        <f>IF(AND(B169="",C169="",D169="",E169="",F169="",H169=""),"",IF(NOT(ISNUMBER(B169)),"✗ 日期不是真日期",IF(OR(B169&lt;年初日,B169&gt;年末日),"✗ 日期不在本年度",IF(C169="","✗ 没选供应商",IF(COUNTIF(基础资料!$Q$5:$Q$54,C169)=0,"✗ 供应商不在基础资料里",IF(D169="","✗ 没选商品",IF(COUNTIF(基础资料!$E$5:$E$104,D169)=0,"✗ 商品不在商品档案里",IF(AND(E169="",H169=""),"✗ 没填数量",IF(AND(N(E169)&lt;&gt;0,F169=""),"✗ 没填进价","√")))))))))</f>
      </c>
    </row>
    <row r="170">
      <c r="A170" s="109">
        <f>IF(AND(C170="",D170=""),"",ROW()-3)</f>
      </c>
      <c r="B170" s="140" t="n"/>
      <c r="C170" s="141" t="n"/>
      <c r="D170" s="141" t="n"/>
      <c r="E170" s="148" t="n"/>
      <c r="F170" s="149" t="n"/>
      <c r="G170" s="150">
        <f>IF(AND(E170&lt;&gt;"",F170&lt;&gt;""),E170*F170,"")</f>
      </c>
      <c r="H170" s="148" t="n"/>
      <c r="I170" s="142" t="n"/>
      <c r="J170" s="146">
        <f>IF(AND(B170="",C170="",D170="",E170="",F170="",H170=""),"",IF(NOT(ISNUMBER(B170)),"✗ 日期不是真日期",IF(OR(B170&lt;年初日,B170&gt;年末日),"✗ 日期不在本年度",IF(C170="","✗ 没选供应商",IF(COUNTIF(基础资料!$Q$5:$Q$54,C170)=0,"✗ 供应商不在基础资料里",IF(D170="","✗ 没选商品",IF(COUNTIF(基础资料!$E$5:$E$104,D170)=0,"✗ 商品不在商品档案里",IF(AND(E170="",H170=""),"✗ 没填数量",IF(AND(N(E170)&lt;&gt;0,F170=""),"✗ 没填进价","√")))))))))</f>
      </c>
    </row>
    <row r="171">
      <c r="A171" s="109">
        <f>IF(AND(C171="",D171=""),"",ROW()-3)</f>
      </c>
      <c r="B171" s="140" t="n"/>
      <c r="C171" s="141" t="n"/>
      <c r="D171" s="141" t="n"/>
      <c r="E171" s="148" t="n"/>
      <c r="F171" s="149" t="n"/>
      <c r="G171" s="150">
        <f>IF(AND(E171&lt;&gt;"",F171&lt;&gt;""),E171*F171,"")</f>
      </c>
      <c r="H171" s="148" t="n"/>
      <c r="I171" s="142" t="n"/>
      <c r="J171" s="146">
        <f>IF(AND(B171="",C171="",D171="",E171="",F171="",H171=""),"",IF(NOT(ISNUMBER(B171)),"✗ 日期不是真日期",IF(OR(B171&lt;年初日,B171&gt;年末日),"✗ 日期不在本年度",IF(C171="","✗ 没选供应商",IF(COUNTIF(基础资料!$Q$5:$Q$54,C171)=0,"✗ 供应商不在基础资料里",IF(D171="","✗ 没选商品",IF(COUNTIF(基础资料!$E$5:$E$104,D171)=0,"✗ 商品不在商品档案里",IF(AND(E171="",H171=""),"✗ 没填数量",IF(AND(N(E171)&lt;&gt;0,F171=""),"✗ 没填进价","√")))))))))</f>
      </c>
    </row>
    <row r="172">
      <c r="A172" s="109">
        <f>IF(AND(C172="",D172=""),"",ROW()-3)</f>
      </c>
      <c r="B172" s="140" t="n"/>
      <c r="C172" s="141" t="n"/>
      <c r="D172" s="141" t="n"/>
      <c r="E172" s="148" t="n"/>
      <c r="F172" s="149" t="n"/>
      <c r="G172" s="150">
        <f>IF(AND(E172&lt;&gt;"",F172&lt;&gt;""),E172*F172,"")</f>
      </c>
      <c r="H172" s="148" t="n"/>
      <c r="I172" s="142" t="n"/>
      <c r="J172" s="146">
        <f>IF(AND(B172="",C172="",D172="",E172="",F172="",H172=""),"",IF(NOT(ISNUMBER(B172)),"✗ 日期不是真日期",IF(OR(B172&lt;年初日,B172&gt;年末日),"✗ 日期不在本年度",IF(C172="","✗ 没选供应商",IF(COUNTIF(基础资料!$Q$5:$Q$54,C172)=0,"✗ 供应商不在基础资料里",IF(D172="","✗ 没选商品",IF(COUNTIF(基础资料!$E$5:$E$104,D172)=0,"✗ 商品不在商品档案里",IF(AND(E172="",H172=""),"✗ 没填数量",IF(AND(N(E172)&lt;&gt;0,F172=""),"✗ 没填进价","√")))))))))</f>
      </c>
    </row>
    <row r="173">
      <c r="A173" s="109">
        <f>IF(AND(C173="",D173=""),"",ROW()-3)</f>
      </c>
      <c r="B173" s="140" t="n"/>
      <c r="C173" s="141" t="n"/>
      <c r="D173" s="141" t="n"/>
      <c r="E173" s="148" t="n"/>
      <c r="F173" s="149" t="n"/>
      <c r="G173" s="150">
        <f>IF(AND(E173&lt;&gt;"",F173&lt;&gt;""),E173*F173,"")</f>
      </c>
      <c r="H173" s="148" t="n"/>
      <c r="I173" s="142" t="n"/>
      <c r="J173" s="146">
        <f>IF(AND(B173="",C173="",D173="",E173="",F173="",H173=""),"",IF(NOT(ISNUMBER(B173)),"✗ 日期不是真日期",IF(OR(B173&lt;年初日,B173&gt;年末日),"✗ 日期不在本年度",IF(C173="","✗ 没选供应商",IF(COUNTIF(基础资料!$Q$5:$Q$54,C173)=0,"✗ 供应商不在基础资料里",IF(D173="","✗ 没选商品",IF(COUNTIF(基础资料!$E$5:$E$104,D173)=0,"✗ 商品不在商品档案里",IF(AND(E173="",H173=""),"✗ 没填数量",IF(AND(N(E173)&lt;&gt;0,F173=""),"✗ 没填进价","√")))))))))</f>
      </c>
    </row>
    <row r="174">
      <c r="A174" s="109">
        <f>IF(AND(C174="",D174=""),"",ROW()-3)</f>
      </c>
      <c r="B174" s="140" t="n"/>
      <c r="C174" s="141" t="n"/>
      <c r="D174" s="141" t="n"/>
      <c r="E174" s="148" t="n"/>
      <c r="F174" s="149" t="n"/>
      <c r="G174" s="150">
        <f>IF(AND(E174&lt;&gt;"",F174&lt;&gt;""),E174*F174,"")</f>
      </c>
      <c r="H174" s="148" t="n"/>
      <c r="I174" s="142" t="n"/>
      <c r="J174" s="146">
        <f>IF(AND(B174="",C174="",D174="",E174="",F174="",H174=""),"",IF(NOT(ISNUMBER(B174)),"✗ 日期不是真日期",IF(OR(B174&lt;年初日,B174&gt;年末日),"✗ 日期不在本年度",IF(C174="","✗ 没选供应商",IF(COUNTIF(基础资料!$Q$5:$Q$54,C174)=0,"✗ 供应商不在基础资料里",IF(D174="","✗ 没选商品",IF(COUNTIF(基础资料!$E$5:$E$104,D174)=0,"✗ 商品不在商品档案里",IF(AND(E174="",H174=""),"✗ 没填数量",IF(AND(N(E174)&lt;&gt;0,F174=""),"✗ 没填进价","√")))))))))</f>
      </c>
    </row>
    <row r="175">
      <c r="A175" s="109">
        <f>IF(AND(C175="",D175=""),"",ROW()-3)</f>
      </c>
      <c r="B175" s="140" t="n"/>
      <c r="C175" s="141" t="n"/>
      <c r="D175" s="141" t="n"/>
      <c r="E175" s="148" t="n"/>
      <c r="F175" s="149" t="n"/>
      <c r="G175" s="150">
        <f>IF(AND(E175&lt;&gt;"",F175&lt;&gt;""),E175*F175,"")</f>
      </c>
      <c r="H175" s="148" t="n"/>
      <c r="I175" s="142" t="n"/>
      <c r="J175" s="146">
        <f>IF(AND(B175="",C175="",D175="",E175="",F175="",H175=""),"",IF(NOT(ISNUMBER(B175)),"✗ 日期不是真日期",IF(OR(B175&lt;年初日,B175&gt;年末日),"✗ 日期不在本年度",IF(C175="","✗ 没选供应商",IF(COUNTIF(基础资料!$Q$5:$Q$54,C175)=0,"✗ 供应商不在基础资料里",IF(D175="","✗ 没选商品",IF(COUNTIF(基础资料!$E$5:$E$104,D175)=0,"✗ 商品不在商品档案里",IF(AND(E175="",H175=""),"✗ 没填数量",IF(AND(N(E175)&lt;&gt;0,F175=""),"✗ 没填进价","√")))))))))</f>
      </c>
    </row>
    <row r="176">
      <c r="A176" s="109">
        <f>IF(AND(C176="",D176=""),"",ROW()-3)</f>
      </c>
      <c r="B176" s="140" t="n"/>
      <c r="C176" s="141" t="n"/>
      <c r="D176" s="141" t="n"/>
      <c r="E176" s="148" t="n"/>
      <c r="F176" s="149" t="n"/>
      <c r="G176" s="150">
        <f>IF(AND(E176&lt;&gt;"",F176&lt;&gt;""),E176*F176,"")</f>
      </c>
      <c r="H176" s="148" t="n"/>
      <c r="I176" s="142" t="n"/>
      <c r="J176" s="146">
        <f>IF(AND(B176="",C176="",D176="",E176="",F176="",H176=""),"",IF(NOT(ISNUMBER(B176)),"✗ 日期不是真日期",IF(OR(B176&lt;年初日,B176&gt;年末日),"✗ 日期不在本年度",IF(C176="","✗ 没选供应商",IF(COUNTIF(基础资料!$Q$5:$Q$54,C176)=0,"✗ 供应商不在基础资料里",IF(D176="","✗ 没选商品",IF(COUNTIF(基础资料!$E$5:$E$104,D176)=0,"✗ 商品不在商品档案里",IF(AND(E176="",H176=""),"✗ 没填数量",IF(AND(N(E176)&lt;&gt;0,F176=""),"✗ 没填进价","√")))))))))</f>
      </c>
    </row>
    <row r="177">
      <c r="A177" s="109">
        <f>IF(AND(C177="",D177=""),"",ROW()-3)</f>
      </c>
      <c r="B177" s="140" t="n"/>
      <c r="C177" s="141" t="n"/>
      <c r="D177" s="141" t="n"/>
      <c r="E177" s="148" t="n"/>
      <c r="F177" s="149" t="n"/>
      <c r="G177" s="150">
        <f>IF(AND(E177&lt;&gt;"",F177&lt;&gt;""),E177*F177,"")</f>
      </c>
      <c r="H177" s="148" t="n"/>
      <c r="I177" s="142" t="n"/>
      <c r="J177" s="146">
        <f>IF(AND(B177="",C177="",D177="",E177="",F177="",H177=""),"",IF(NOT(ISNUMBER(B177)),"✗ 日期不是真日期",IF(OR(B177&lt;年初日,B177&gt;年末日),"✗ 日期不在本年度",IF(C177="","✗ 没选供应商",IF(COUNTIF(基础资料!$Q$5:$Q$54,C177)=0,"✗ 供应商不在基础资料里",IF(D177="","✗ 没选商品",IF(COUNTIF(基础资料!$E$5:$E$104,D177)=0,"✗ 商品不在商品档案里",IF(AND(E177="",H177=""),"✗ 没填数量",IF(AND(N(E177)&lt;&gt;0,F177=""),"✗ 没填进价","√")))))))))</f>
      </c>
    </row>
    <row r="178">
      <c r="A178" s="109">
        <f>IF(AND(C178="",D178=""),"",ROW()-3)</f>
      </c>
      <c r="B178" s="140" t="n"/>
      <c r="C178" s="141" t="n"/>
      <c r="D178" s="141" t="n"/>
      <c r="E178" s="148" t="n"/>
      <c r="F178" s="149" t="n"/>
      <c r="G178" s="150">
        <f>IF(AND(E178&lt;&gt;"",F178&lt;&gt;""),E178*F178,"")</f>
      </c>
      <c r="H178" s="148" t="n"/>
      <c r="I178" s="142" t="n"/>
      <c r="J178" s="146">
        <f>IF(AND(B178="",C178="",D178="",E178="",F178="",H178=""),"",IF(NOT(ISNUMBER(B178)),"✗ 日期不是真日期",IF(OR(B178&lt;年初日,B178&gt;年末日),"✗ 日期不在本年度",IF(C178="","✗ 没选供应商",IF(COUNTIF(基础资料!$Q$5:$Q$54,C178)=0,"✗ 供应商不在基础资料里",IF(D178="","✗ 没选商品",IF(COUNTIF(基础资料!$E$5:$E$104,D178)=0,"✗ 商品不在商品档案里",IF(AND(E178="",H178=""),"✗ 没填数量",IF(AND(N(E178)&lt;&gt;0,F178=""),"✗ 没填进价","√")))))))))</f>
      </c>
    </row>
    <row r="179">
      <c r="A179" s="109">
        <f>IF(AND(C179="",D179=""),"",ROW()-3)</f>
      </c>
      <c r="B179" s="140" t="n"/>
      <c r="C179" s="141" t="n"/>
      <c r="D179" s="141" t="n"/>
      <c r="E179" s="148" t="n"/>
      <c r="F179" s="149" t="n"/>
      <c r="G179" s="150">
        <f>IF(AND(E179&lt;&gt;"",F179&lt;&gt;""),E179*F179,"")</f>
      </c>
      <c r="H179" s="148" t="n"/>
      <c r="I179" s="142" t="n"/>
      <c r="J179" s="146">
        <f>IF(AND(B179="",C179="",D179="",E179="",F179="",H179=""),"",IF(NOT(ISNUMBER(B179)),"✗ 日期不是真日期",IF(OR(B179&lt;年初日,B179&gt;年末日),"✗ 日期不在本年度",IF(C179="","✗ 没选供应商",IF(COUNTIF(基础资料!$Q$5:$Q$54,C179)=0,"✗ 供应商不在基础资料里",IF(D179="","✗ 没选商品",IF(COUNTIF(基础资料!$E$5:$E$104,D179)=0,"✗ 商品不在商品档案里",IF(AND(E179="",H179=""),"✗ 没填数量",IF(AND(N(E179)&lt;&gt;0,F179=""),"✗ 没填进价","√")))))))))</f>
      </c>
    </row>
    <row r="180">
      <c r="A180" s="109">
        <f>IF(AND(C180="",D180=""),"",ROW()-3)</f>
      </c>
      <c r="B180" s="140" t="n"/>
      <c r="C180" s="141" t="n"/>
      <c r="D180" s="141" t="n"/>
      <c r="E180" s="148" t="n"/>
      <c r="F180" s="149" t="n"/>
      <c r="G180" s="150">
        <f>IF(AND(E180&lt;&gt;"",F180&lt;&gt;""),E180*F180,"")</f>
      </c>
      <c r="H180" s="148" t="n"/>
      <c r="I180" s="142" t="n"/>
      <c r="J180" s="146">
        <f>IF(AND(B180="",C180="",D180="",E180="",F180="",H180=""),"",IF(NOT(ISNUMBER(B180)),"✗ 日期不是真日期",IF(OR(B180&lt;年初日,B180&gt;年末日),"✗ 日期不在本年度",IF(C180="","✗ 没选供应商",IF(COUNTIF(基础资料!$Q$5:$Q$54,C180)=0,"✗ 供应商不在基础资料里",IF(D180="","✗ 没选商品",IF(COUNTIF(基础资料!$E$5:$E$104,D180)=0,"✗ 商品不在商品档案里",IF(AND(E180="",H180=""),"✗ 没填数量",IF(AND(N(E180)&lt;&gt;0,F180=""),"✗ 没填进价","√")))))))))</f>
      </c>
    </row>
    <row r="181">
      <c r="A181" s="109">
        <f>IF(AND(C181="",D181=""),"",ROW()-3)</f>
      </c>
      <c r="B181" s="140" t="n"/>
      <c r="C181" s="141" t="n"/>
      <c r="D181" s="141" t="n"/>
      <c r="E181" s="148" t="n"/>
      <c r="F181" s="149" t="n"/>
      <c r="G181" s="150">
        <f>IF(AND(E181&lt;&gt;"",F181&lt;&gt;""),E181*F181,"")</f>
      </c>
      <c r="H181" s="148" t="n"/>
      <c r="I181" s="142" t="n"/>
      <c r="J181" s="146">
        <f>IF(AND(B181="",C181="",D181="",E181="",F181="",H181=""),"",IF(NOT(ISNUMBER(B181)),"✗ 日期不是真日期",IF(OR(B181&lt;年初日,B181&gt;年末日),"✗ 日期不在本年度",IF(C181="","✗ 没选供应商",IF(COUNTIF(基础资料!$Q$5:$Q$54,C181)=0,"✗ 供应商不在基础资料里",IF(D181="","✗ 没选商品",IF(COUNTIF(基础资料!$E$5:$E$104,D181)=0,"✗ 商品不在商品档案里",IF(AND(E181="",H181=""),"✗ 没填数量",IF(AND(N(E181)&lt;&gt;0,F181=""),"✗ 没填进价","√")))))))))</f>
      </c>
    </row>
    <row r="182">
      <c r="A182" s="109">
        <f>IF(AND(C182="",D182=""),"",ROW()-3)</f>
      </c>
      <c r="B182" s="140" t="n"/>
      <c r="C182" s="141" t="n"/>
      <c r="D182" s="141" t="n"/>
      <c r="E182" s="148" t="n"/>
      <c r="F182" s="149" t="n"/>
      <c r="G182" s="150">
        <f>IF(AND(E182&lt;&gt;"",F182&lt;&gt;""),E182*F182,"")</f>
      </c>
      <c r="H182" s="148" t="n"/>
      <c r="I182" s="142" t="n"/>
      <c r="J182" s="146">
        <f>IF(AND(B182="",C182="",D182="",E182="",F182="",H182=""),"",IF(NOT(ISNUMBER(B182)),"✗ 日期不是真日期",IF(OR(B182&lt;年初日,B182&gt;年末日),"✗ 日期不在本年度",IF(C182="","✗ 没选供应商",IF(COUNTIF(基础资料!$Q$5:$Q$54,C182)=0,"✗ 供应商不在基础资料里",IF(D182="","✗ 没选商品",IF(COUNTIF(基础资料!$E$5:$E$104,D182)=0,"✗ 商品不在商品档案里",IF(AND(E182="",H182=""),"✗ 没填数量",IF(AND(N(E182)&lt;&gt;0,F182=""),"✗ 没填进价","√")))))))))</f>
      </c>
    </row>
    <row r="183">
      <c r="A183" s="109">
        <f>IF(AND(C183="",D183=""),"",ROW()-3)</f>
      </c>
      <c r="B183" s="140" t="n"/>
      <c r="C183" s="141" t="n"/>
      <c r="D183" s="141" t="n"/>
      <c r="E183" s="148" t="n"/>
      <c r="F183" s="149" t="n"/>
      <c r="G183" s="150">
        <f>IF(AND(E183&lt;&gt;"",F183&lt;&gt;""),E183*F183,"")</f>
      </c>
      <c r="H183" s="148" t="n"/>
      <c r="I183" s="142" t="n"/>
      <c r="J183" s="146">
        <f>IF(AND(B183="",C183="",D183="",E183="",F183="",H183=""),"",IF(NOT(ISNUMBER(B183)),"✗ 日期不是真日期",IF(OR(B183&lt;年初日,B183&gt;年末日),"✗ 日期不在本年度",IF(C183="","✗ 没选供应商",IF(COUNTIF(基础资料!$Q$5:$Q$54,C183)=0,"✗ 供应商不在基础资料里",IF(D183="","✗ 没选商品",IF(COUNTIF(基础资料!$E$5:$E$104,D183)=0,"✗ 商品不在商品档案里",IF(AND(E183="",H183=""),"✗ 没填数量",IF(AND(N(E183)&lt;&gt;0,F183=""),"✗ 没填进价","√")))))))))</f>
      </c>
    </row>
    <row r="184">
      <c r="A184" s="109">
        <f>IF(AND(C184="",D184=""),"",ROW()-3)</f>
      </c>
      <c r="B184" s="140" t="n"/>
      <c r="C184" s="141" t="n"/>
      <c r="D184" s="141" t="n"/>
      <c r="E184" s="148" t="n"/>
      <c r="F184" s="149" t="n"/>
      <c r="G184" s="150">
        <f>IF(AND(E184&lt;&gt;"",F184&lt;&gt;""),E184*F184,"")</f>
      </c>
      <c r="H184" s="148" t="n"/>
      <c r="I184" s="142" t="n"/>
      <c r="J184" s="146">
        <f>IF(AND(B184="",C184="",D184="",E184="",F184="",H184=""),"",IF(NOT(ISNUMBER(B184)),"✗ 日期不是真日期",IF(OR(B184&lt;年初日,B184&gt;年末日),"✗ 日期不在本年度",IF(C184="","✗ 没选供应商",IF(COUNTIF(基础资料!$Q$5:$Q$54,C184)=0,"✗ 供应商不在基础资料里",IF(D184="","✗ 没选商品",IF(COUNTIF(基础资料!$E$5:$E$104,D184)=0,"✗ 商品不在商品档案里",IF(AND(E184="",H184=""),"✗ 没填数量",IF(AND(N(E184)&lt;&gt;0,F184=""),"✗ 没填进价","√")))))))))</f>
      </c>
    </row>
    <row r="185">
      <c r="A185" s="109">
        <f>IF(AND(C185="",D185=""),"",ROW()-3)</f>
      </c>
      <c r="B185" s="140" t="n"/>
      <c r="C185" s="141" t="n"/>
      <c r="D185" s="141" t="n"/>
      <c r="E185" s="148" t="n"/>
      <c r="F185" s="149" t="n"/>
      <c r="G185" s="150">
        <f>IF(AND(E185&lt;&gt;"",F185&lt;&gt;""),E185*F185,"")</f>
      </c>
      <c r="H185" s="148" t="n"/>
      <c r="I185" s="142" t="n"/>
      <c r="J185" s="146">
        <f>IF(AND(B185="",C185="",D185="",E185="",F185="",H185=""),"",IF(NOT(ISNUMBER(B185)),"✗ 日期不是真日期",IF(OR(B185&lt;年初日,B185&gt;年末日),"✗ 日期不在本年度",IF(C185="","✗ 没选供应商",IF(COUNTIF(基础资料!$Q$5:$Q$54,C185)=0,"✗ 供应商不在基础资料里",IF(D185="","✗ 没选商品",IF(COUNTIF(基础资料!$E$5:$E$104,D185)=0,"✗ 商品不在商品档案里",IF(AND(E185="",H185=""),"✗ 没填数量",IF(AND(N(E185)&lt;&gt;0,F185=""),"✗ 没填进价","√")))))))))</f>
      </c>
    </row>
    <row r="186">
      <c r="A186" s="109">
        <f>IF(AND(C186="",D186=""),"",ROW()-3)</f>
      </c>
      <c r="B186" s="140" t="n"/>
      <c r="C186" s="141" t="n"/>
      <c r="D186" s="141" t="n"/>
      <c r="E186" s="148" t="n"/>
      <c r="F186" s="149" t="n"/>
      <c r="G186" s="150">
        <f>IF(AND(E186&lt;&gt;"",F186&lt;&gt;""),E186*F186,"")</f>
      </c>
      <c r="H186" s="148" t="n"/>
      <c r="I186" s="142" t="n"/>
      <c r="J186" s="146">
        <f>IF(AND(B186="",C186="",D186="",E186="",F186="",H186=""),"",IF(NOT(ISNUMBER(B186)),"✗ 日期不是真日期",IF(OR(B186&lt;年初日,B186&gt;年末日),"✗ 日期不在本年度",IF(C186="","✗ 没选供应商",IF(COUNTIF(基础资料!$Q$5:$Q$54,C186)=0,"✗ 供应商不在基础资料里",IF(D186="","✗ 没选商品",IF(COUNTIF(基础资料!$E$5:$E$104,D186)=0,"✗ 商品不在商品档案里",IF(AND(E186="",H186=""),"✗ 没填数量",IF(AND(N(E186)&lt;&gt;0,F186=""),"✗ 没填进价","√")))))))))</f>
      </c>
    </row>
    <row r="187">
      <c r="A187" s="109">
        <f>IF(AND(C187="",D187=""),"",ROW()-3)</f>
      </c>
      <c r="B187" s="140" t="n"/>
      <c r="C187" s="141" t="n"/>
      <c r="D187" s="141" t="n"/>
      <c r="E187" s="148" t="n"/>
      <c r="F187" s="149" t="n"/>
      <c r="G187" s="150">
        <f>IF(AND(E187&lt;&gt;"",F187&lt;&gt;""),E187*F187,"")</f>
      </c>
      <c r="H187" s="148" t="n"/>
      <c r="I187" s="142" t="n"/>
      <c r="J187" s="146">
        <f>IF(AND(B187="",C187="",D187="",E187="",F187="",H187=""),"",IF(NOT(ISNUMBER(B187)),"✗ 日期不是真日期",IF(OR(B187&lt;年初日,B187&gt;年末日),"✗ 日期不在本年度",IF(C187="","✗ 没选供应商",IF(COUNTIF(基础资料!$Q$5:$Q$54,C187)=0,"✗ 供应商不在基础资料里",IF(D187="","✗ 没选商品",IF(COUNTIF(基础资料!$E$5:$E$104,D187)=0,"✗ 商品不在商品档案里",IF(AND(E187="",H187=""),"✗ 没填数量",IF(AND(N(E187)&lt;&gt;0,F187=""),"✗ 没填进价","√")))))))))</f>
      </c>
    </row>
    <row r="188">
      <c r="A188" s="109">
        <f>IF(AND(C188="",D188=""),"",ROW()-3)</f>
      </c>
      <c r="B188" s="140" t="n"/>
      <c r="C188" s="141" t="n"/>
      <c r="D188" s="141" t="n"/>
      <c r="E188" s="148" t="n"/>
      <c r="F188" s="149" t="n"/>
      <c r="G188" s="150">
        <f>IF(AND(E188&lt;&gt;"",F188&lt;&gt;""),E188*F188,"")</f>
      </c>
      <c r="H188" s="148" t="n"/>
      <c r="I188" s="142" t="n"/>
      <c r="J188" s="146">
        <f>IF(AND(B188="",C188="",D188="",E188="",F188="",H188=""),"",IF(NOT(ISNUMBER(B188)),"✗ 日期不是真日期",IF(OR(B188&lt;年初日,B188&gt;年末日),"✗ 日期不在本年度",IF(C188="","✗ 没选供应商",IF(COUNTIF(基础资料!$Q$5:$Q$54,C188)=0,"✗ 供应商不在基础资料里",IF(D188="","✗ 没选商品",IF(COUNTIF(基础资料!$E$5:$E$104,D188)=0,"✗ 商品不在商品档案里",IF(AND(E188="",H188=""),"✗ 没填数量",IF(AND(N(E188)&lt;&gt;0,F188=""),"✗ 没填进价","√")))))))))</f>
      </c>
    </row>
    <row r="189">
      <c r="A189" s="109">
        <f>IF(AND(C189="",D189=""),"",ROW()-3)</f>
      </c>
      <c r="B189" s="140" t="n"/>
      <c r="C189" s="141" t="n"/>
      <c r="D189" s="141" t="n"/>
      <c r="E189" s="148" t="n"/>
      <c r="F189" s="149" t="n"/>
      <c r="G189" s="150">
        <f>IF(AND(E189&lt;&gt;"",F189&lt;&gt;""),E189*F189,"")</f>
      </c>
      <c r="H189" s="148" t="n"/>
      <c r="I189" s="142" t="n"/>
      <c r="J189" s="146">
        <f>IF(AND(B189="",C189="",D189="",E189="",F189="",H189=""),"",IF(NOT(ISNUMBER(B189)),"✗ 日期不是真日期",IF(OR(B189&lt;年初日,B189&gt;年末日),"✗ 日期不在本年度",IF(C189="","✗ 没选供应商",IF(COUNTIF(基础资料!$Q$5:$Q$54,C189)=0,"✗ 供应商不在基础资料里",IF(D189="","✗ 没选商品",IF(COUNTIF(基础资料!$E$5:$E$104,D189)=0,"✗ 商品不在商品档案里",IF(AND(E189="",H189=""),"✗ 没填数量",IF(AND(N(E189)&lt;&gt;0,F189=""),"✗ 没填进价","√")))))))))</f>
      </c>
    </row>
    <row r="190">
      <c r="A190" s="109">
        <f>IF(AND(C190="",D190=""),"",ROW()-3)</f>
      </c>
      <c r="B190" s="140" t="n"/>
      <c r="C190" s="141" t="n"/>
      <c r="D190" s="141" t="n"/>
      <c r="E190" s="148" t="n"/>
      <c r="F190" s="149" t="n"/>
      <c r="G190" s="150">
        <f>IF(AND(E190&lt;&gt;"",F190&lt;&gt;""),E190*F190,"")</f>
      </c>
      <c r="H190" s="148" t="n"/>
      <c r="I190" s="142" t="n"/>
      <c r="J190" s="146">
        <f>IF(AND(B190="",C190="",D190="",E190="",F190="",H190=""),"",IF(NOT(ISNUMBER(B190)),"✗ 日期不是真日期",IF(OR(B190&lt;年初日,B190&gt;年末日),"✗ 日期不在本年度",IF(C190="","✗ 没选供应商",IF(COUNTIF(基础资料!$Q$5:$Q$54,C190)=0,"✗ 供应商不在基础资料里",IF(D190="","✗ 没选商品",IF(COUNTIF(基础资料!$E$5:$E$104,D190)=0,"✗ 商品不在商品档案里",IF(AND(E190="",H190=""),"✗ 没填数量",IF(AND(N(E190)&lt;&gt;0,F190=""),"✗ 没填进价","√")))))))))</f>
      </c>
    </row>
    <row r="191">
      <c r="A191" s="109">
        <f>IF(AND(C191="",D191=""),"",ROW()-3)</f>
      </c>
      <c r="B191" s="140" t="n"/>
      <c r="C191" s="141" t="n"/>
      <c r="D191" s="141" t="n"/>
      <c r="E191" s="148" t="n"/>
      <c r="F191" s="149" t="n"/>
      <c r="G191" s="150">
        <f>IF(AND(E191&lt;&gt;"",F191&lt;&gt;""),E191*F191,"")</f>
      </c>
      <c r="H191" s="148" t="n"/>
      <c r="I191" s="142" t="n"/>
      <c r="J191" s="146">
        <f>IF(AND(B191="",C191="",D191="",E191="",F191="",H191=""),"",IF(NOT(ISNUMBER(B191)),"✗ 日期不是真日期",IF(OR(B191&lt;年初日,B191&gt;年末日),"✗ 日期不在本年度",IF(C191="","✗ 没选供应商",IF(COUNTIF(基础资料!$Q$5:$Q$54,C191)=0,"✗ 供应商不在基础资料里",IF(D191="","✗ 没选商品",IF(COUNTIF(基础资料!$E$5:$E$104,D191)=0,"✗ 商品不在商品档案里",IF(AND(E191="",H191=""),"✗ 没填数量",IF(AND(N(E191)&lt;&gt;0,F191=""),"✗ 没填进价","√")))))))))</f>
      </c>
    </row>
    <row r="192">
      <c r="A192" s="109">
        <f>IF(AND(C192="",D192=""),"",ROW()-3)</f>
      </c>
      <c r="B192" s="140" t="n"/>
      <c r="C192" s="141" t="n"/>
      <c r="D192" s="141" t="n"/>
      <c r="E192" s="148" t="n"/>
      <c r="F192" s="149" t="n"/>
      <c r="G192" s="150">
        <f>IF(AND(E192&lt;&gt;"",F192&lt;&gt;""),E192*F192,"")</f>
      </c>
      <c r="H192" s="148" t="n"/>
      <c r="I192" s="142" t="n"/>
      <c r="J192" s="146">
        <f>IF(AND(B192="",C192="",D192="",E192="",F192="",H192=""),"",IF(NOT(ISNUMBER(B192)),"✗ 日期不是真日期",IF(OR(B192&lt;年初日,B192&gt;年末日),"✗ 日期不在本年度",IF(C192="","✗ 没选供应商",IF(COUNTIF(基础资料!$Q$5:$Q$54,C192)=0,"✗ 供应商不在基础资料里",IF(D192="","✗ 没选商品",IF(COUNTIF(基础资料!$E$5:$E$104,D192)=0,"✗ 商品不在商品档案里",IF(AND(E192="",H192=""),"✗ 没填数量",IF(AND(N(E192)&lt;&gt;0,F192=""),"✗ 没填进价","√")))))))))</f>
      </c>
    </row>
    <row r="193">
      <c r="A193" s="109">
        <f>IF(AND(C193="",D193=""),"",ROW()-3)</f>
      </c>
      <c r="B193" s="140" t="n"/>
      <c r="C193" s="141" t="n"/>
      <c r="D193" s="141" t="n"/>
      <c r="E193" s="148" t="n"/>
      <c r="F193" s="149" t="n"/>
      <c r="G193" s="150">
        <f>IF(AND(E193&lt;&gt;"",F193&lt;&gt;""),E193*F193,"")</f>
      </c>
      <c r="H193" s="148" t="n"/>
      <c r="I193" s="142" t="n"/>
      <c r="J193" s="146">
        <f>IF(AND(B193="",C193="",D193="",E193="",F193="",H193=""),"",IF(NOT(ISNUMBER(B193)),"✗ 日期不是真日期",IF(OR(B193&lt;年初日,B193&gt;年末日),"✗ 日期不在本年度",IF(C193="","✗ 没选供应商",IF(COUNTIF(基础资料!$Q$5:$Q$54,C193)=0,"✗ 供应商不在基础资料里",IF(D193="","✗ 没选商品",IF(COUNTIF(基础资料!$E$5:$E$104,D193)=0,"✗ 商品不在商品档案里",IF(AND(E193="",H193=""),"✗ 没填数量",IF(AND(N(E193)&lt;&gt;0,F193=""),"✗ 没填进价","√")))))))))</f>
      </c>
    </row>
    <row r="194">
      <c r="A194" s="109">
        <f>IF(AND(C194="",D194=""),"",ROW()-3)</f>
      </c>
      <c r="B194" s="140" t="n"/>
      <c r="C194" s="141" t="n"/>
      <c r="D194" s="141" t="n"/>
      <c r="E194" s="148" t="n"/>
      <c r="F194" s="149" t="n"/>
      <c r="G194" s="150">
        <f>IF(AND(E194&lt;&gt;"",F194&lt;&gt;""),E194*F194,"")</f>
      </c>
      <c r="H194" s="148" t="n"/>
      <c r="I194" s="142" t="n"/>
      <c r="J194" s="146">
        <f>IF(AND(B194="",C194="",D194="",E194="",F194="",H194=""),"",IF(NOT(ISNUMBER(B194)),"✗ 日期不是真日期",IF(OR(B194&lt;年初日,B194&gt;年末日),"✗ 日期不在本年度",IF(C194="","✗ 没选供应商",IF(COUNTIF(基础资料!$Q$5:$Q$54,C194)=0,"✗ 供应商不在基础资料里",IF(D194="","✗ 没选商品",IF(COUNTIF(基础资料!$E$5:$E$104,D194)=0,"✗ 商品不在商品档案里",IF(AND(E194="",H194=""),"✗ 没填数量",IF(AND(N(E194)&lt;&gt;0,F194=""),"✗ 没填进价","√")))))))))</f>
      </c>
    </row>
    <row r="195">
      <c r="A195" s="109">
        <f>IF(AND(C195="",D195=""),"",ROW()-3)</f>
      </c>
      <c r="B195" s="140" t="n"/>
      <c r="C195" s="141" t="n"/>
      <c r="D195" s="141" t="n"/>
      <c r="E195" s="148" t="n"/>
      <c r="F195" s="149" t="n"/>
      <c r="G195" s="150">
        <f>IF(AND(E195&lt;&gt;"",F195&lt;&gt;""),E195*F195,"")</f>
      </c>
      <c r="H195" s="148" t="n"/>
      <c r="I195" s="142" t="n"/>
      <c r="J195" s="146">
        <f>IF(AND(B195="",C195="",D195="",E195="",F195="",H195=""),"",IF(NOT(ISNUMBER(B195)),"✗ 日期不是真日期",IF(OR(B195&lt;年初日,B195&gt;年末日),"✗ 日期不在本年度",IF(C195="","✗ 没选供应商",IF(COUNTIF(基础资料!$Q$5:$Q$54,C195)=0,"✗ 供应商不在基础资料里",IF(D195="","✗ 没选商品",IF(COUNTIF(基础资料!$E$5:$E$104,D195)=0,"✗ 商品不在商品档案里",IF(AND(E195="",H195=""),"✗ 没填数量",IF(AND(N(E195)&lt;&gt;0,F195=""),"✗ 没填进价","√")))))))))</f>
      </c>
    </row>
    <row r="196">
      <c r="A196" s="109">
        <f>IF(AND(C196="",D196=""),"",ROW()-3)</f>
      </c>
      <c r="B196" s="140" t="n"/>
      <c r="C196" s="141" t="n"/>
      <c r="D196" s="141" t="n"/>
      <c r="E196" s="148" t="n"/>
      <c r="F196" s="149" t="n"/>
      <c r="G196" s="150">
        <f>IF(AND(E196&lt;&gt;"",F196&lt;&gt;""),E196*F196,"")</f>
      </c>
      <c r="H196" s="148" t="n"/>
      <c r="I196" s="142" t="n"/>
      <c r="J196" s="146">
        <f>IF(AND(B196="",C196="",D196="",E196="",F196="",H196=""),"",IF(NOT(ISNUMBER(B196)),"✗ 日期不是真日期",IF(OR(B196&lt;年初日,B196&gt;年末日),"✗ 日期不在本年度",IF(C196="","✗ 没选供应商",IF(COUNTIF(基础资料!$Q$5:$Q$54,C196)=0,"✗ 供应商不在基础资料里",IF(D196="","✗ 没选商品",IF(COUNTIF(基础资料!$E$5:$E$104,D196)=0,"✗ 商品不在商品档案里",IF(AND(E196="",H196=""),"✗ 没填数量",IF(AND(N(E196)&lt;&gt;0,F196=""),"✗ 没填进价","√")))))))))</f>
      </c>
    </row>
    <row r="197">
      <c r="A197" s="109">
        <f>IF(AND(C197="",D197=""),"",ROW()-3)</f>
      </c>
      <c r="B197" s="140" t="n"/>
      <c r="C197" s="141" t="n"/>
      <c r="D197" s="141" t="n"/>
      <c r="E197" s="148" t="n"/>
      <c r="F197" s="149" t="n"/>
      <c r="G197" s="150">
        <f>IF(AND(E197&lt;&gt;"",F197&lt;&gt;""),E197*F197,"")</f>
      </c>
      <c r="H197" s="148" t="n"/>
      <c r="I197" s="142" t="n"/>
      <c r="J197" s="146">
        <f>IF(AND(B197="",C197="",D197="",E197="",F197="",H197=""),"",IF(NOT(ISNUMBER(B197)),"✗ 日期不是真日期",IF(OR(B197&lt;年初日,B197&gt;年末日),"✗ 日期不在本年度",IF(C197="","✗ 没选供应商",IF(COUNTIF(基础资料!$Q$5:$Q$54,C197)=0,"✗ 供应商不在基础资料里",IF(D197="","✗ 没选商品",IF(COUNTIF(基础资料!$E$5:$E$104,D197)=0,"✗ 商品不在商品档案里",IF(AND(E197="",H197=""),"✗ 没填数量",IF(AND(N(E197)&lt;&gt;0,F197=""),"✗ 没填进价","√")))))))))</f>
      </c>
    </row>
    <row r="198">
      <c r="A198" s="109">
        <f>IF(AND(C198="",D198=""),"",ROW()-3)</f>
      </c>
      <c r="B198" s="140" t="n"/>
      <c r="C198" s="141" t="n"/>
      <c r="D198" s="141" t="n"/>
      <c r="E198" s="148" t="n"/>
      <c r="F198" s="149" t="n"/>
      <c r="G198" s="150">
        <f>IF(AND(E198&lt;&gt;"",F198&lt;&gt;""),E198*F198,"")</f>
      </c>
      <c r="H198" s="148" t="n"/>
      <c r="I198" s="142" t="n"/>
      <c r="J198" s="146">
        <f>IF(AND(B198="",C198="",D198="",E198="",F198="",H198=""),"",IF(NOT(ISNUMBER(B198)),"✗ 日期不是真日期",IF(OR(B198&lt;年初日,B198&gt;年末日),"✗ 日期不在本年度",IF(C198="","✗ 没选供应商",IF(COUNTIF(基础资料!$Q$5:$Q$54,C198)=0,"✗ 供应商不在基础资料里",IF(D198="","✗ 没选商品",IF(COUNTIF(基础资料!$E$5:$E$104,D198)=0,"✗ 商品不在商品档案里",IF(AND(E198="",H198=""),"✗ 没填数量",IF(AND(N(E198)&lt;&gt;0,F198=""),"✗ 没填进价","√")))))))))</f>
      </c>
    </row>
    <row r="199">
      <c r="A199" s="109">
        <f>IF(AND(C199="",D199=""),"",ROW()-3)</f>
      </c>
      <c r="B199" s="140" t="n"/>
      <c r="C199" s="141" t="n"/>
      <c r="D199" s="141" t="n"/>
      <c r="E199" s="148" t="n"/>
      <c r="F199" s="149" t="n"/>
      <c r="G199" s="150">
        <f>IF(AND(E199&lt;&gt;"",F199&lt;&gt;""),E199*F199,"")</f>
      </c>
      <c r="H199" s="148" t="n"/>
      <c r="I199" s="142" t="n"/>
      <c r="J199" s="146">
        <f>IF(AND(B199="",C199="",D199="",E199="",F199="",H199=""),"",IF(NOT(ISNUMBER(B199)),"✗ 日期不是真日期",IF(OR(B199&lt;年初日,B199&gt;年末日),"✗ 日期不在本年度",IF(C199="","✗ 没选供应商",IF(COUNTIF(基础资料!$Q$5:$Q$54,C199)=0,"✗ 供应商不在基础资料里",IF(D199="","✗ 没选商品",IF(COUNTIF(基础资料!$E$5:$E$104,D199)=0,"✗ 商品不在商品档案里",IF(AND(E199="",H199=""),"✗ 没填数量",IF(AND(N(E199)&lt;&gt;0,F199=""),"✗ 没填进价","√")))))))))</f>
      </c>
    </row>
    <row r="200">
      <c r="A200" s="109">
        <f>IF(AND(C200="",D200=""),"",ROW()-3)</f>
      </c>
      <c r="B200" s="140" t="n"/>
      <c r="C200" s="141" t="n"/>
      <c r="D200" s="141" t="n"/>
      <c r="E200" s="148" t="n"/>
      <c r="F200" s="149" t="n"/>
      <c r="G200" s="150">
        <f>IF(AND(E200&lt;&gt;"",F200&lt;&gt;""),E200*F200,"")</f>
      </c>
      <c r="H200" s="148" t="n"/>
      <c r="I200" s="142" t="n"/>
      <c r="J200" s="146">
        <f>IF(AND(B200="",C200="",D200="",E200="",F200="",H200=""),"",IF(NOT(ISNUMBER(B200)),"✗ 日期不是真日期",IF(OR(B200&lt;年初日,B200&gt;年末日),"✗ 日期不在本年度",IF(C200="","✗ 没选供应商",IF(COUNTIF(基础资料!$Q$5:$Q$54,C200)=0,"✗ 供应商不在基础资料里",IF(D200="","✗ 没选商品",IF(COUNTIF(基础资料!$E$5:$E$104,D200)=0,"✗ 商品不在商品档案里",IF(AND(E200="",H200=""),"✗ 没填数量",IF(AND(N(E200)&lt;&gt;0,F200=""),"✗ 没填进价","√")))))))))</f>
      </c>
    </row>
    <row r="201">
      <c r="A201" s="109">
        <f>IF(AND(C201="",D201=""),"",ROW()-3)</f>
      </c>
      <c r="B201" s="140" t="n"/>
      <c r="C201" s="141" t="n"/>
      <c r="D201" s="141" t="n"/>
      <c r="E201" s="148" t="n"/>
      <c r="F201" s="149" t="n"/>
      <c r="G201" s="150">
        <f>IF(AND(E201&lt;&gt;"",F201&lt;&gt;""),E201*F201,"")</f>
      </c>
      <c r="H201" s="148" t="n"/>
      <c r="I201" s="142" t="n"/>
      <c r="J201" s="146">
        <f>IF(AND(B201="",C201="",D201="",E201="",F201="",H201=""),"",IF(NOT(ISNUMBER(B201)),"✗ 日期不是真日期",IF(OR(B201&lt;年初日,B201&gt;年末日),"✗ 日期不在本年度",IF(C201="","✗ 没选供应商",IF(COUNTIF(基础资料!$Q$5:$Q$54,C201)=0,"✗ 供应商不在基础资料里",IF(D201="","✗ 没选商品",IF(COUNTIF(基础资料!$E$5:$E$104,D201)=0,"✗ 商品不在商品档案里",IF(AND(E201="",H201=""),"✗ 没填数量",IF(AND(N(E201)&lt;&gt;0,F201=""),"✗ 没填进价","√")))))))))</f>
      </c>
    </row>
    <row r="202">
      <c r="A202" s="109">
        <f>IF(AND(C202="",D202=""),"",ROW()-3)</f>
      </c>
      <c r="B202" s="140" t="n"/>
      <c r="C202" s="141" t="n"/>
      <c r="D202" s="141" t="n"/>
      <c r="E202" s="148" t="n"/>
      <c r="F202" s="149" t="n"/>
      <c r="G202" s="150">
        <f>IF(AND(E202&lt;&gt;"",F202&lt;&gt;""),E202*F202,"")</f>
      </c>
      <c r="H202" s="148" t="n"/>
      <c r="I202" s="142" t="n"/>
      <c r="J202" s="146">
        <f>IF(AND(B202="",C202="",D202="",E202="",F202="",H202=""),"",IF(NOT(ISNUMBER(B202)),"✗ 日期不是真日期",IF(OR(B202&lt;年初日,B202&gt;年末日),"✗ 日期不在本年度",IF(C202="","✗ 没选供应商",IF(COUNTIF(基础资料!$Q$5:$Q$54,C202)=0,"✗ 供应商不在基础资料里",IF(D202="","✗ 没选商品",IF(COUNTIF(基础资料!$E$5:$E$104,D202)=0,"✗ 商品不在商品档案里",IF(AND(E202="",H202=""),"✗ 没填数量",IF(AND(N(E202)&lt;&gt;0,F202=""),"✗ 没填进价","√")))))))))</f>
      </c>
    </row>
    <row r="203">
      <c r="A203" s="109">
        <f>IF(AND(C203="",D203=""),"",ROW()-3)</f>
      </c>
      <c r="B203" s="140" t="n"/>
      <c r="C203" s="141" t="n"/>
      <c r="D203" s="141" t="n"/>
      <c r="E203" s="148" t="n"/>
      <c r="F203" s="149" t="n"/>
      <c r="G203" s="150">
        <f>IF(AND(E203&lt;&gt;"",F203&lt;&gt;""),E203*F203,"")</f>
      </c>
      <c r="H203" s="148" t="n"/>
      <c r="I203" s="142" t="n"/>
      <c r="J203" s="146">
        <f>IF(AND(B203="",C203="",D203="",E203="",F203="",H203=""),"",IF(NOT(ISNUMBER(B203)),"✗ 日期不是真日期",IF(OR(B203&lt;年初日,B203&gt;年末日),"✗ 日期不在本年度",IF(C203="","✗ 没选供应商",IF(COUNTIF(基础资料!$Q$5:$Q$54,C203)=0,"✗ 供应商不在基础资料里",IF(D203="","✗ 没选商品",IF(COUNTIF(基础资料!$E$5:$E$104,D203)=0,"✗ 商品不在商品档案里",IF(AND(E203="",H203=""),"✗ 没填数量",IF(AND(N(E203)&lt;&gt;0,F203=""),"✗ 没填进价","√")))))))))</f>
      </c>
    </row>
    <row r="204">
      <c r="A204" s="109">
        <f>IF(AND(C204="",D204=""),"",ROW()-3)</f>
      </c>
      <c r="B204" s="140" t="n"/>
      <c r="C204" s="141" t="n"/>
      <c r="D204" s="141" t="n"/>
      <c r="E204" s="148" t="n"/>
      <c r="F204" s="149" t="n"/>
      <c r="G204" s="150">
        <f>IF(AND(E204&lt;&gt;"",F204&lt;&gt;""),E204*F204,"")</f>
      </c>
      <c r="H204" s="148" t="n"/>
      <c r="I204" s="142" t="n"/>
      <c r="J204" s="146">
        <f>IF(AND(B204="",C204="",D204="",E204="",F204="",H204=""),"",IF(NOT(ISNUMBER(B204)),"✗ 日期不是真日期",IF(OR(B204&lt;年初日,B204&gt;年末日),"✗ 日期不在本年度",IF(C204="","✗ 没选供应商",IF(COUNTIF(基础资料!$Q$5:$Q$54,C204)=0,"✗ 供应商不在基础资料里",IF(D204="","✗ 没选商品",IF(COUNTIF(基础资料!$E$5:$E$104,D204)=0,"✗ 商品不在商品档案里",IF(AND(E204="",H204=""),"✗ 没填数量",IF(AND(N(E204)&lt;&gt;0,F204=""),"✗ 没填进价","√")))))))))</f>
      </c>
    </row>
    <row r="205">
      <c r="A205" s="109">
        <f>IF(AND(C205="",D205=""),"",ROW()-3)</f>
      </c>
      <c r="B205" s="140" t="n"/>
      <c r="C205" s="141" t="n"/>
      <c r="D205" s="141" t="n"/>
      <c r="E205" s="148" t="n"/>
      <c r="F205" s="149" t="n"/>
      <c r="G205" s="150">
        <f>IF(AND(E205&lt;&gt;"",F205&lt;&gt;""),E205*F205,"")</f>
      </c>
      <c r="H205" s="148" t="n"/>
      <c r="I205" s="142" t="n"/>
      <c r="J205" s="146">
        <f>IF(AND(B205="",C205="",D205="",E205="",F205="",H205=""),"",IF(NOT(ISNUMBER(B205)),"✗ 日期不是真日期",IF(OR(B205&lt;年初日,B205&gt;年末日),"✗ 日期不在本年度",IF(C205="","✗ 没选供应商",IF(COUNTIF(基础资料!$Q$5:$Q$54,C205)=0,"✗ 供应商不在基础资料里",IF(D205="","✗ 没选商品",IF(COUNTIF(基础资料!$E$5:$E$104,D205)=0,"✗ 商品不在商品档案里",IF(AND(E205="",H205=""),"✗ 没填数量",IF(AND(N(E205)&lt;&gt;0,F205=""),"✗ 没填进价","√")))))))))</f>
      </c>
    </row>
    <row r="206">
      <c r="A206" s="109">
        <f>IF(AND(C206="",D206=""),"",ROW()-3)</f>
      </c>
      <c r="B206" s="140" t="n"/>
      <c r="C206" s="141" t="n"/>
      <c r="D206" s="141" t="n"/>
      <c r="E206" s="148" t="n"/>
      <c r="F206" s="149" t="n"/>
      <c r="G206" s="150">
        <f>IF(AND(E206&lt;&gt;"",F206&lt;&gt;""),E206*F206,"")</f>
      </c>
      <c r="H206" s="148" t="n"/>
      <c r="I206" s="142" t="n"/>
      <c r="J206" s="146">
        <f>IF(AND(B206="",C206="",D206="",E206="",F206="",H206=""),"",IF(NOT(ISNUMBER(B206)),"✗ 日期不是真日期",IF(OR(B206&lt;年初日,B206&gt;年末日),"✗ 日期不在本年度",IF(C206="","✗ 没选供应商",IF(COUNTIF(基础资料!$Q$5:$Q$54,C206)=0,"✗ 供应商不在基础资料里",IF(D206="","✗ 没选商品",IF(COUNTIF(基础资料!$E$5:$E$104,D206)=0,"✗ 商品不在商品档案里",IF(AND(E206="",H206=""),"✗ 没填数量",IF(AND(N(E206)&lt;&gt;0,F206=""),"✗ 没填进价","√")))))))))</f>
      </c>
    </row>
    <row r="207">
      <c r="A207" s="109">
        <f>IF(AND(C207="",D207=""),"",ROW()-3)</f>
      </c>
      <c r="B207" s="140" t="n"/>
      <c r="C207" s="141" t="n"/>
      <c r="D207" s="141" t="n"/>
      <c r="E207" s="148" t="n"/>
      <c r="F207" s="149" t="n"/>
      <c r="G207" s="150">
        <f>IF(AND(E207&lt;&gt;"",F207&lt;&gt;""),E207*F207,"")</f>
      </c>
      <c r="H207" s="148" t="n"/>
      <c r="I207" s="142" t="n"/>
      <c r="J207" s="146">
        <f>IF(AND(B207="",C207="",D207="",E207="",F207="",H207=""),"",IF(NOT(ISNUMBER(B207)),"✗ 日期不是真日期",IF(OR(B207&lt;年初日,B207&gt;年末日),"✗ 日期不在本年度",IF(C207="","✗ 没选供应商",IF(COUNTIF(基础资料!$Q$5:$Q$54,C207)=0,"✗ 供应商不在基础资料里",IF(D207="","✗ 没选商品",IF(COUNTIF(基础资料!$E$5:$E$104,D207)=0,"✗ 商品不在商品档案里",IF(AND(E207="",H207=""),"✗ 没填数量",IF(AND(N(E207)&lt;&gt;0,F207=""),"✗ 没填进价","√")))))))))</f>
      </c>
    </row>
    <row r="208">
      <c r="A208" s="109">
        <f>IF(AND(C208="",D208=""),"",ROW()-3)</f>
      </c>
      <c r="B208" s="140" t="n"/>
      <c r="C208" s="141" t="n"/>
      <c r="D208" s="141" t="n"/>
      <c r="E208" s="148" t="n"/>
      <c r="F208" s="149" t="n"/>
      <c r="G208" s="150">
        <f>IF(AND(E208&lt;&gt;"",F208&lt;&gt;""),E208*F208,"")</f>
      </c>
      <c r="H208" s="148" t="n"/>
      <c r="I208" s="142" t="n"/>
      <c r="J208" s="146">
        <f>IF(AND(B208="",C208="",D208="",E208="",F208="",H208=""),"",IF(NOT(ISNUMBER(B208)),"✗ 日期不是真日期",IF(OR(B208&lt;年初日,B208&gt;年末日),"✗ 日期不在本年度",IF(C208="","✗ 没选供应商",IF(COUNTIF(基础资料!$Q$5:$Q$54,C208)=0,"✗ 供应商不在基础资料里",IF(D208="","✗ 没选商品",IF(COUNTIF(基础资料!$E$5:$E$104,D208)=0,"✗ 商品不在商品档案里",IF(AND(E208="",H208=""),"✗ 没填数量",IF(AND(N(E208)&lt;&gt;0,F208=""),"✗ 没填进价","√")))))))))</f>
      </c>
    </row>
    <row r="209">
      <c r="A209" s="109">
        <f>IF(AND(C209="",D209=""),"",ROW()-3)</f>
      </c>
      <c r="B209" s="140" t="n"/>
      <c r="C209" s="141" t="n"/>
      <c r="D209" s="141" t="n"/>
      <c r="E209" s="148" t="n"/>
      <c r="F209" s="149" t="n"/>
      <c r="G209" s="150">
        <f>IF(AND(E209&lt;&gt;"",F209&lt;&gt;""),E209*F209,"")</f>
      </c>
      <c r="H209" s="148" t="n"/>
      <c r="I209" s="142" t="n"/>
      <c r="J209" s="146">
        <f>IF(AND(B209="",C209="",D209="",E209="",F209="",H209=""),"",IF(NOT(ISNUMBER(B209)),"✗ 日期不是真日期",IF(OR(B209&lt;年初日,B209&gt;年末日),"✗ 日期不在本年度",IF(C209="","✗ 没选供应商",IF(COUNTIF(基础资料!$Q$5:$Q$54,C209)=0,"✗ 供应商不在基础资料里",IF(D209="","✗ 没选商品",IF(COUNTIF(基础资料!$E$5:$E$104,D209)=0,"✗ 商品不在商品档案里",IF(AND(E209="",H209=""),"✗ 没填数量",IF(AND(N(E209)&lt;&gt;0,F209=""),"✗ 没填进价","√")))))))))</f>
      </c>
    </row>
    <row r="210">
      <c r="A210" s="109">
        <f>IF(AND(C210="",D210=""),"",ROW()-3)</f>
      </c>
      <c r="B210" s="140" t="n"/>
      <c r="C210" s="141" t="n"/>
      <c r="D210" s="141" t="n"/>
      <c r="E210" s="148" t="n"/>
      <c r="F210" s="149" t="n"/>
      <c r="G210" s="150">
        <f>IF(AND(E210&lt;&gt;"",F210&lt;&gt;""),E210*F210,"")</f>
      </c>
      <c r="H210" s="148" t="n"/>
      <c r="I210" s="142" t="n"/>
      <c r="J210" s="146">
        <f>IF(AND(B210="",C210="",D210="",E210="",F210="",H210=""),"",IF(NOT(ISNUMBER(B210)),"✗ 日期不是真日期",IF(OR(B210&lt;年初日,B210&gt;年末日),"✗ 日期不在本年度",IF(C210="","✗ 没选供应商",IF(COUNTIF(基础资料!$Q$5:$Q$54,C210)=0,"✗ 供应商不在基础资料里",IF(D210="","✗ 没选商品",IF(COUNTIF(基础资料!$E$5:$E$104,D210)=0,"✗ 商品不在商品档案里",IF(AND(E210="",H210=""),"✗ 没填数量",IF(AND(N(E210)&lt;&gt;0,F210=""),"✗ 没填进价","√")))))))))</f>
      </c>
    </row>
    <row r="211">
      <c r="A211" s="109">
        <f>IF(AND(C211="",D211=""),"",ROW()-3)</f>
      </c>
      <c r="B211" s="140" t="n"/>
      <c r="C211" s="141" t="n"/>
      <c r="D211" s="141" t="n"/>
      <c r="E211" s="148" t="n"/>
      <c r="F211" s="149" t="n"/>
      <c r="G211" s="150">
        <f>IF(AND(E211&lt;&gt;"",F211&lt;&gt;""),E211*F211,"")</f>
      </c>
      <c r="H211" s="148" t="n"/>
      <c r="I211" s="142" t="n"/>
      <c r="J211" s="146">
        <f>IF(AND(B211="",C211="",D211="",E211="",F211="",H211=""),"",IF(NOT(ISNUMBER(B211)),"✗ 日期不是真日期",IF(OR(B211&lt;年初日,B211&gt;年末日),"✗ 日期不在本年度",IF(C211="","✗ 没选供应商",IF(COUNTIF(基础资料!$Q$5:$Q$54,C211)=0,"✗ 供应商不在基础资料里",IF(D211="","✗ 没选商品",IF(COUNTIF(基础资料!$E$5:$E$104,D211)=0,"✗ 商品不在商品档案里",IF(AND(E211="",H211=""),"✗ 没填数量",IF(AND(N(E211)&lt;&gt;0,F211=""),"✗ 没填进价","√")))))))))</f>
      </c>
    </row>
    <row r="212">
      <c r="A212" s="109">
        <f>IF(AND(C212="",D212=""),"",ROW()-3)</f>
      </c>
      <c r="B212" s="140" t="n"/>
      <c r="C212" s="141" t="n"/>
      <c r="D212" s="141" t="n"/>
      <c r="E212" s="148" t="n"/>
      <c r="F212" s="149" t="n"/>
      <c r="G212" s="150">
        <f>IF(AND(E212&lt;&gt;"",F212&lt;&gt;""),E212*F212,"")</f>
      </c>
      <c r="H212" s="148" t="n"/>
      <c r="I212" s="142" t="n"/>
      <c r="J212" s="146">
        <f>IF(AND(B212="",C212="",D212="",E212="",F212="",H212=""),"",IF(NOT(ISNUMBER(B212)),"✗ 日期不是真日期",IF(OR(B212&lt;年初日,B212&gt;年末日),"✗ 日期不在本年度",IF(C212="","✗ 没选供应商",IF(COUNTIF(基础资料!$Q$5:$Q$54,C212)=0,"✗ 供应商不在基础资料里",IF(D212="","✗ 没选商品",IF(COUNTIF(基础资料!$E$5:$E$104,D212)=0,"✗ 商品不在商品档案里",IF(AND(E212="",H212=""),"✗ 没填数量",IF(AND(N(E212)&lt;&gt;0,F212=""),"✗ 没填进价","√")))))))))</f>
      </c>
    </row>
    <row r="213">
      <c r="A213" s="109">
        <f>IF(AND(C213="",D213=""),"",ROW()-3)</f>
      </c>
      <c r="B213" s="140" t="n"/>
      <c r="C213" s="141" t="n"/>
      <c r="D213" s="141" t="n"/>
      <c r="E213" s="148" t="n"/>
      <c r="F213" s="149" t="n"/>
      <c r="G213" s="150">
        <f>IF(AND(E213&lt;&gt;"",F213&lt;&gt;""),E213*F213,"")</f>
      </c>
      <c r="H213" s="148" t="n"/>
      <c r="I213" s="142" t="n"/>
      <c r="J213" s="146">
        <f>IF(AND(B213="",C213="",D213="",E213="",F213="",H213=""),"",IF(NOT(ISNUMBER(B213)),"✗ 日期不是真日期",IF(OR(B213&lt;年初日,B213&gt;年末日),"✗ 日期不在本年度",IF(C213="","✗ 没选供应商",IF(COUNTIF(基础资料!$Q$5:$Q$54,C213)=0,"✗ 供应商不在基础资料里",IF(D213="","✗ 没选商品",IF(COUNTIF(基础资料!$E$5:$E$104,D213)=0,"✗ 商品不在商品档案里",IF(AND(E213="",H213=""),"✗ 没填数量",IF(AND(N(E213)&lt;&gt;0,F213=""),"✗ 没填进价","√")))))))))</f>
      </c>
    </row>
    <row r="214">
      <c r="A214" s="109">
        <f>IF(AND(C214="",D214=""),"",ROW()-3)</f>
      </c>
      <c r="B214" s="140" t="n"/>
      <c r="C214" s="141" t="n"/>
      <c r="D214" s="141" t="n"/>
      <c r="E214" s="148" t="n"/>
      <c r="F214" s="149" t="n"/>
      <c r="G214" s="150">
        <f>IF(AND(E214&lt;&gt;"",F214&lt;&gt;""),E214*F214,"")</f>
      </c>
      <c r="H214" s="148" t="n"/>
      <c r="I214" s="142" t="n"/>
      <c r="J214" s="146">
        <f>IF(AND(B214="",C214="",D214="",E214="",F214="",H214=""),"",IF(NOT(ISNUMBER(B214)),"✗ 日期不是真日期",IF(OR(B214&lt;年初日,B214&gt;年末日),"✗ 日期不在本年度",IF(C214="","✗ 没选供应商",IF(COUNTIF(基础资料!$Q$5:$Q$54,C214)=0,"✗ 供应商不在基础资料里",IF(D214="","✗ 没选商品",IF(COUNTIF(基础资料!$E$5:$E$104,D214)=0,"✗ 商品不在商品档案里",IF(AND(E214="",H214=""),"✗ 没填数量",IF(AND(N(E214)&lt;&gt;0,F214=""),"✗ 没填进价","√")))))))))</f>
      </c>
    </row>
    <row r="215">
      <c r="A215" s="109">
        <f>IF(AND(C215="",D215=""),"",ROW()-3)</f>
      </c>
      <c r="B215" s="140" t="n"/>
      <c r="C215" s="141" t="n"/>
      <c r="D215" s="141" t="n"/>
      <c r="E215" s="148" t="n"/>
      <c r="F215" s="149" t="n"/>
      <c r="G215" s="150">
        <f>IF(AND(E215&lt;&gt;"",F215&lt;&gt;""),E215*F215,"")</f>
      </c>
      <c r="H215" s="148" t="n"/>
      <c r="I215" s="142" t="n"/>
      <c r="J215" s="146">
        <f>IF(AND(B215="",C215="",D215="",E215="",F215="",H215=""),"",IF(NOT(ISNUMBER(B215)),"✗ 日期不是真日期",IF(OR(B215&lt;年初日,B215&gt;年末日),"✗ 日期不在本年度",IF(C215="","✗ 没选供应商",IF(COUNTIF(基础资料!$Q$5:$Q$54,C215)=0,"✗ 供应商不在基础资料里",IF(D215="","✗ 没选商品",IF(COUNTIF(基础资料!$E$5:$E$104,D215)=0,"✗ 商品不在商品档案里",IF(AND(E215="",H215=""),"✗ 没填数量",IF(AND(N(E215)&lt;&gt;0,F215=""),"✗ 没填进价","√")))))))))</f>
      </c>
    </row>
    <row r="216">
      <c r="A216" s="109">
        <f>IF(AND(C216="",D216=""),"",ROW()-3)</f>
      </c>
      <c r="B216" s="140" t="n"/>
      <c r="C216" s="141" t="n"/>
      <c r="D216" s="141" t="n"/>
      <c r="E216" s="148" t="n"/>
      <c r="F216" s="149" t="n"/>
      <c r="G216" s="150">
        <f>IF(AND(E216&lt;&gt;"",F216&lt;&gt;""),E216*F216,"")</f>
      </c>
      <c r="H216" s="148" t="n"/>
      <c r="I216" s="142" t="n"/>
      <c r="J216" s="146">
        <f>IF(AND(B216="",C216="",D216="",E216="",F216="",H216=""),"",IF(NOT(ISNUMBER(B216)),"✗ 日期不是真日期",IF(OR(B216&lt;年初日,B216&gt;年末日),"✗ 日期不在本年度",IF(C216="","✗ 没选供应商",IF(COUNTIF(基础资料!$Q$5:$Q$54,C216)=0,"✗ 供应商不在基础资料里",IF(D216="","✗ 没选商品",IF(COUNTIF(基础资料!$E$5:$E$104,D216)=0,"✗ 商品不在商品档案里",IF(AND(E216="",H216=""),"✗ 没填数量",IF(AND(N(E216)&lt;&gt;0,F216=""),"✗ 没填进价","√")))))))))</f>
      </c>
    </row>
    <row r="217">
      <c r="A217" s="109">
        <f>IF(AND(C217="",D217=""),"",ROW()-3)</f>
      </c>
      <c r="B217" s="140" t="n"/>
      <c r="C217" s="141" t="n"/>
      <c r="D217" s="141" t="n"/>
      <c r="E217" s="148" t="n"/>
      <c r="F217" s="149" t="n"/>
      <c r="G217" s="150">
        <f>IF(AND(E217&lt;&gt;"",F217&lt;&gt;""),E217*F217,"")</f>
      </c>
      <c r="H217" s="148" t="n"/>
      <c r="I217" s="142" t="n"/>
      <c r="J217" s="146">
        <f>IF(AND(B217="",C217="",D217="",E217="",F217="",H217=""),"",IF(NOT(ISNUMBER(B217)),"✗ 日期不是真日期",IF(OR(B217&lt;年初日,B217&gt;年末日),"✗ 日期不在本年度",IF(C217="","✗ 没选供应商",IF(COUNTIF(基础资料!$Q$5:$Q$54,C217)=0,"✗ 供应商不在基础资料里",IF(D217="","✗ 没选商品",IF(COUNTIF(基础资料!$E$5:$E$104,D217)=0,"✗ 商品不在商品档案里",IF(AND(E217="",H217=""),"✗ 没填数量",IF(AND(N(E217)&lt;&gt;0,F217=""),"✗ 没填进价","√")))))))))</f>
      </c>
    </row>
    <row r="218">
      <c r="A218" s="109">
        <f>IF(AND(C218="",D218=""),"",ROW()-3)</f>
      </c>
      <c r="B218" s="140" t="n"/>
      <c r="C218" s="141" t="n"/>
      <c r="D218" s="141" t="n"/>
      <c r="E218" s="148" t="n"/>
      <c r="F218" s="149" t="n"/>
      <c r="G218" s="150">
        <f>IF(AND(E218&lt;&gt;"",F218&lt;&gt;""),E218*F218,"")</f>
      </c>
      <c r="H218" s="148" t="n"/>
      <c r="I218" s="142" t="n"/>
      <c r="J218" s="146">
        <f>IF(AND(B218="",C218="",D218="",E218="",F218="",H218=""),"",IF(NOT(ISNUMBER(B218)),"✗ 日期不是真日期",IF(OR(B218&lt;年初日,B218&gt;年末日),"✗ 日期不在本年度",IF(C218="","✗ 没选供应商",IF(COUNTIF(基础资料!$Q$5:$Q$54,C218)=0,"✗ 供应商不在基础资料里",IF(D218="","✗ 没选商品",IF(COUNTIF(基础资料!$E$5:$E$104,D218)=0,"✗ 商品不在商品档案里",IF(AND(E218="",H218=""),"✗ 没填数量",IF(AND(N(E218)&lt;&gt;0,F218=""),"✗ 没填进价","√")))))))))</f>
      </c>
    </row>
    <row r="219">
      <c r="A219" s="109">
        <f>IF(AND(C219="",D219=""),"",ROW()-3)</f>
      </c>
      <c r="B219" s="140" t="n"/>
      <c r="C219" s="141" t="n"/>
      <c r="D219" s="141" t="n"/>
      <c r="E219" s="148" t="n"/>
      <c r="F219" s="149" t="n"/>
      <c r="G219" s="150">
        <f>IF(AND(E219&lt;&gt;"",F219&lt;&gt;""),E219*F219,"")</f>
      </c>
      <c r="H219" s="148" t="n"/>
      <c r="I219" s="142" t="n"/>
      <c r="J219" s="146">
        <f>IF(AND(B219="",C219="",D219="",E219="",F219="",H219=""),"",IF(NOT(ISNUMBER(B219)),"✗ 日期不是真日期",IF(OR(B219&lt;年初日,B219&gt;年末日),"✗ 日期不在本年度",IF(C219="","✗ 没选供应商",IF(COUNTIF(基础资料!$Q$5:$Q$54,C219)=0,"✗ 供应商不在基础资料里",IF(D219="","✗ 没选商品",IF(COUNTIF(基础资料!$E$5:$E$104,D219)=0,"✗ 商品不在商品档案里",IF(AND(E219="",H219=""),"✗ 没填数量",IF(AND(N(E219)&lt;&gt;0,F219=""),"✗ 没填进价","√")))))))))</f>
      </c>
    </row>
    <row r="220">
      <c r="A220" s="109">
        <f>IF(AND(C220="",D220=""),"",ROW()-3)</f>
      </c>
      <c r="B220" s="140" t="n"/>
      <c r="C220" s="141" t="n"/>
      <c r="D220" s="141" t="n"/>
      <c r="E220" s="148" t="n"/>
      <c r="F220" s="149" t="n"/>
      <c r="G220" s="150">
        <f>IF(AND(E220&lt;&gt;"",F220&lt;&gt;""),E220*F220,"")</f>
      </c>
      <c r="H220" s="148" t="n"/>
      <c r="I220" s="142" t="n"/>
      <c r="J220" s="146">
        <f>IF(AND(B220="",C220="",D220="",E220="",F220="",H220=""),"",IF(NOT(ISNUMBER(B220)),"✗ 日期不是真日期",IF(OR(B220&lt;年初日,B220&gt;年末日),"✗ 日期不在本年度",IF(C220="","✗ 没选供应商",IF(COUNTIF(基础资料!$Q$5:$Q$54,C220)=0,"✗ 供应商不在基础资料里",IF(D220="","✗ 没选商品",IF(COUNTIF(基础资料!$E$5:$E$104,D220)=0,"✗ 商品不在商品档案里",IF(AND(E220="",H220=""),"✗ 没填数量",IF(AND(N(E220)&lt;&gt;0,F220=""),"✗ 没填进价","√")))))))))</f>
      </c>
    </row>
    <row r="221">
      <c r="A221" s="109">
        <f>IF(AND(C221="",D221=""),"",ROW()-3)</f>
      </c>
      <c r="B221" s="140" t="n"/>
      <c r="C221" s="141" t="n"/>
      <c r="D221" s="141" t="n"/>
      <c r="E221" s="148" t="n"/>
      <c r="F221" s="149" t="n"/>
      <c r="G221" s="150">
        <f>IF(AND(E221&lt;&gt;"",F221&lt;&gt;""),E221*F221,"")</f>
      </c>
      <c r="H221" s="148" t="n"/>
      <c r="I221" s="142" t="n"/>
      <c r="J221" s="146">
        <f>IF(AND(B221="",C221="",D221="",E221="",F221="",H221=""),"",IF(NOT(ISNUMBER(B221)),"✗ 日期不是真日期",IF(OR(B221&lt;年初日,B221&gt;年末日),"✗ 日期不在本年度",IF(C221="","✗ 没选供应商",IF(COUNTIF(基础资料!$Q$5:$Q$54,C221)=0,"✗ 供应商不在基础资料里",IF(D221="","✗ 没选商品",IF(COUNTIF(基础资料!$E$5:$E$104,D221)=0,"✗ 商品不在商品档案里",IF(AND(E221="",H221=""),"✗ 没填数量",IF(AND(N(E221)&lt;&gt;0,F221=""),"✗ 没填进价","√")))))))))</f>
      </c>
    </row>
    <row r="222">
      <c r="A222" s="109">
        <f>IF(AND(C222="",D222=""),"",ROW()-3)</f>
      </c>
      <c r="B222" s="140" t="n"/>
      <c r="C222" s="141" t="n"/>
      <c r="D222" s="141" t="n"/>
      <c r="E222" s="148" t="n"/>
      <c r="F222" s="149" t="n"/>
      <c r="G222" s="150">
        <f>IF(AND(E222&lt;&gt;"",F222&lt;&gt;""),E222*F222,"")</f>
      </c>
      <c r="H222" s="148" t="n"/>
      <c r="I222" s="142" t="n"/>
      <c r="J222" s="146">
        <f>IF(AND(B222="",C222="",D222="",E222="",F222="",H222=""),"",IF(NOT(ISNUMBER(B222)),"✗ 日期不是真日期",IF(OR(B222&lt;年初日,B222&gt;年末日),"✗ 日期不在本年度",IF(C222="","✗ 没选供应商",IF(COUNTIF(基础资料!$Q$5:$Q$54,C222)=0,"✗ 供应商不在基础资料里",IF(D222="","✗ 没选商品",IF(COUNTIF(基础资料!$E$5:$E$104,D222)=0,"✗ 商品不在商品档案里",IF(AND(E222="",H222=""),"✗ 没填数量",IF(AND(N(E222)&lt;&gt;0,F222=""),"✗ 没填进价","√")))))))))</f>
      </c>
    </row>
    <row r="223">
      <c r="A223" s="109">
        <f>IF(AND(C223="",D223=""),"",ROW()-3)</f>
      </c>
      <c r="B223" s="140" t="n"/>
      <c r="C223" s="141" t="n"/>
      <c r="D223" s="141" t="n"/>
      <c r="E223" s="148" t="n"/>
      <c r="F223" s="149" t="n"/>
      <c r="G223" s="150">
        <f>IF(AND(E223&lt;&gt;"",F223&lt;&gt;""),E223*F223,"")</f>
      </c>
      <c r="H223" s="148" t="n"/>
      <c r="I223" s="142" t="n"/>
      <c r="J223" s="146">
        <f>IF(AND(B223="",C223="",D223="",E223="",F223="",H223=""),"",IF(NOT(ISNUMBER(B223)),"✗ 日期不是真日期",IF(OR(B223&lt;年初日,B223&gt;年末日),"✗ 日期不在本年度",IF(C223="","✗ 没选供应商",IF(COUNTIF(基础资料!$Q$5:$Q$54,C223)=0,"✗ 供应商不在基础资料里",IF(D223="","✗ 没选商品",IF(COUNTIF(基础资料!$E$5:$E$104,D223)=0,"✗ 商品不在商品档案里",IF(AND(E223="",H223=""),"✗ 没填数量",IF(AND(N(E223)&lt;&gt;0,F223=""),"✗ 没填进价","√")))))))))</f>
      </c>
    </row>
    <row r="224">
      <c r="A224" s="109">
        <f>IF(AND(C224="",D224=""),"",ROW()-3)</f>
      </c>
      <c r="B224" s="140" t="n"/>
      <c r="C224" s="141" t="n"/>
      <c r="D224" s="141" t="n"/>
      <c r="E224" s="148" t="n"/>
      <c r="F224" s="149" t="n"/>
      <c r="G224" s="150">
        <f>IF(AND(E224&lt;&gt;"",F224&lt;&gt;""),E224*F224,"")</f>
      </c>
      <c r="H224" s="148" t="n"/>
      <c r="I224" s="142" t="n"/>
      <c r="J224" s="146">
        <f>IF(AND(B224="",C224="",D224="",E224="",F224="",H224=""),"",IF(NOT(ISNUMBER(B224)),"✗ 日期不是真日期",IF(OR(B224&lt;年初日,B224&gt;年末日),"✗ 日期不在本年度",IF(C224="","✗ 没选供应商",IF(COUNTIF(基础资料!$Q$5:$Q$54,C224)=0,"✗ 供应商不在基础资料里",IF(D224="","✗ 没选商品",IF(COUNTIF(基础资料!$E$5:$E$104,D224)=0,"✗ 商品不在商品档案里",IF(AND(E224="",H224=""),"✗ 没填数量",IF(AND(N(E224)&lt;&gt;0,F224=""),"✗ 没填进价","√")))))))))</f>
      </c>
    </row>
    <row r="225">
      <c r="A225" s="109">
        <f>IF(AND(C225="",D225=""),"",ROW()-3)</f>
      </c>
      <c r="B225" s="140" t="n"/>
      <c r="C225" s="141" t="n"/>
      <c r="D225" s="141" t="n"/>
      <c r="E225" s="148" t="n"/>
      <c r="F225" s="149" t="n"/>
      <c r="G225" s="150">
        <f>IF(AND(E225&lt;&gt;"",F225&lt;&gt;""),E225*F225,"")</f>
      </c>
      <c r="H225" s="148" t="n"/>
      <c r="I225" s="142" t="n"/>
      <c r="J225" s="146">
        <f>IF(AND(B225="",C225="",D225="",E225="",F225="",H225=""),"",IF(NOT(ISNUMBER(B225)),"✗ 日期不是真日期",IF(OR(B225&lt;年初日,B225&gt;年末日),"✗ 日期不在本年度",IF(C225="","✗ 没选供应商",IF(COUNTIF(基础资料!$Q$5:$Q$54,C225)=0,"✗ 供应商不在基础资料里",IF(D225="","✗ 没选商品",IF(COUNTIF(基础资料!$E$5:$E$104,D225)=0,"✗ 商品不在商品档案里",IF(AND(E225="",H225=""),"✗ 没填数量",IF(AND(N(E225)&lt;&gt;0,F225=""),"✗ 没填进价","√")))))))))</f>
      </c>
    </row>
    <row r="226">
      <c r="A226" s="109">
        <f>IF(AND(C226="",D226=""),"",ROW()-3)</f>
      </c>
      <c r="B226" s="140" t="n"/>
      <c r="C226" s="141" t="n"/>
      <c r="D226" s="141" t="n"/>
      <c r="E226" s="148" t="n"/>
      <c r="F226" s="149" t="n"/>
      <c r="G226" s="150">
        <f>IF(AND(E226&lt;&gt;"",F226&lt;&gt;""),E226*F226,"")</f>
      </c>
      <c r="H226" s="148" t="n"/>
      <c r="I226" s="142" t="n"/>
      <c r="J226" s="146">
        <f>IF(AND(B226="",C226="",D226="",E226="",F226="",H226=""),"",IF(NOT(ISNUMBER(B226)),"✗ 日期不是真日期",IF(OR(B226&lt;年初日,B226&gt;年末日),"✗ 日期不在本年度",IF(C226="","✗ 没选供应商",IF(COUNTIF(基础资料!$Q$5:$Q$54,C226)=0,"✗ 供应商不在基础资料里",IF(D226="","✗ 没选商品",IF(COUNTIF(基础资料!$E$5:$E$104,D226)=0,"✗ 商品不在商品档案里",IF(AND(E226="",H226=""),"✗ 没填数量",IF(AND(N(E226)&lt;&gt;0,F226=""),"✗ 没填进价","√")))))))))</f>
      </c>
    </row>
    <row r="227">
      <c r="A227" s="109">
        <f>IF(AND(C227="",D227=""),"",ROW()-3)</f>
      </c>
      <c r="B227" s="140" t="n"/>
      <c r="C227" s="141" t="n"/>
      <c r="D227" s="141" t="n"/>
      <c r="E227" s="148" t="n"/>
      <c r="F227" s="149" t="n"/>
      <c r="G227" s="150">
        <f>IF(AND(E227&lt;&gt;"",F227&lt;&gt;""),E227*F227,"")</f>
      </c>
      <c r="H227" s="148" t="n"/>
      <c r="I227" s="142" t="n"/>
      <c r="J227" s="146">
        <f>IF(AND(B227="",C227="",D227="",E227="",F227="",H227=""),"",IF(NOT(ISNUMBER(B227)),"✗ 日期不是真日期",IF(OR(B227&lt;年初日,B227&gt;年末日),"✗ 日期不在本年度",IF(C227="","✗ 没选供应商",IF(COUNTIF(基础资料!$Q$5:$Q$54,C227)=0,"✗ 供应商不在基础资料里",IF(D227="","✗ 没选商品",IF(COUNTIF(基础资料!$E$5:$E$104,D227)=0,"✗ 商品不在商品档案里",IF(AND(E227="",H227=""),"✗ 没填数量",IF(AND(N(E227)&lt;&gt;0,F227=""),"✗ 没填进价","√")))))))))</f>
      </c>
    </row>
    <row r="228">
      <c r="A228" s="109">
        <f>IF(AND(C228="",D228=""),"",ROW()-3)</f>
      </c>
      <c r="B228" s="140" t="n"/>
      <c r="C228" s="141" t="n"/>
      <c r="D228" s="141" t="n"/>
      <c r="E228" s="148" t="n"/>
      <c r="F228" s="149" t="n"/>
      <c r="G228" s="150">
        <f>IF(AND(E228&lt;&gt;"",F228&lt;&gt;""),E228*F228,"")</f>
      </c>
      <c r="H228" s="148" t="n"/>
      <c r="I228" s="142" t="n"/>
      <c r="J228" s="146">
        <f>IF(AND(B228="",C228="",D228="",E228="",F228="",H228=""),"",IF(NOT(ISNUMBER(B228)),"✗ 日期不是真日期",IF(OR(B228&lt;年初日,B228&gt;年末日),"✗ 日期不在本年度",IF(C228="","✗ 没选供应商",IF(COUNTIF(基础资料!$Q$5:$Q$54,C228)=0,"✗ 供应商不在基础资料里",IF(D228="","✗ 没选商品",IF(COUNTIF(基础资料!$E$5:$E$104,D228)=0,"✗ 商品不在商品档案里",IF(AND(E228="",H228=""),"✗ 没填数量",IF(AND(N(E228)&lt;&gt;0,F228=""),"✗ 没填进价","√")))))))))</f>
      </c>
    </row>
    <row r="229">
      <c r="A229" s="109">
        <f>IF(AND(C229="",D229=""),"",ROW()-3)</f>
      </c>
      <c r="B229" s="140" t="n"/>
      <c r="C229" s="141" t="n"/>
      <c r="D229" s="141" t="n"/>
      <c r="E229" s="148" t="n"/>
      <c r="F229" s="149" t="n"/>
      <c r="G229" s="150">
        <f>IF(AND(E229&lt;&gt;"",F229&lt;&gt;""),E229*F229,"")</f>
      </c>
      <c r="H229" s="148" t="n"/>
      <c r="I229" s="142" t="n"/>
      <c r="J229" s="146">
        <f>IF(AND(B229="",C229="",D229="",E229="",F229="",H229=""),"",IF(NOT(ISNUMBER(B229)),"✗ 日期不是真日期",IF(OR(B229&lt;年初日,B229&gt;年末日),"✗ 日期不在本年度",IF(C229="","✗ 没选供应商",IF(COUNTIF(基础资料!$Q$5:$Q$54,C229)=0,"✗ 供应商不在基础资料里",IF(D229="","✗ 没选商品",IF(COUNTIF(基础资料!$E$5:$E$104,D229)=0,"✗ 商品不在商品档案里",IF(AND(E229="",H229=""),"✗ 没填数量",IF(AND(N(E229)&lt;&gt;0,F229=""),"✗ 没填进价","√")))))))))</f>
      </c>
    </row>
    <row r="230">
      <c r="A230" s="109">
        <f>IF(AND(C230="",D230=""),"",ROW()-3)</f>
      </c>
      <c r="B230" s="140" t="n"/>
      <c r="C230" s="141" t="n"/>
      <c r="D230" s="141" t="n"/>
      <c r="E230" s="148" t="n"/>
      <c r="F230" s="149" t="n"/>
      <c r="G230" s="150">
        <f>IF(AND(E230&lt;&gt;"",F230&lt;&gt;""),E230*F230,"")</f>
      </c>
      <c r="H230" s="148" t="n"/>
      <c r="I230" s="142" t="n"/>
      <c r="J230" s="146">
        <f>IF(AND(B230="",C230="",D230="",E230="",F230="",H230=""),"",IF(NOT(ISNUMBER(B230)),"✗ 日期不是真日期",IF(OR(B230&lt;年初日,B230&gt;年末日),"✗ 日期不在本年度",IF(C230="","✗ 没选供应商",IF(COUNTIF(基础资料!$Q$5:$Q$54,C230)=0,"✗ 供应商不在基础资料里",IF(D230="","✗ 没选商品",IF(COUNTIF(基础资料!$E$5:$E$104,D230)=0,"✗ 商品不在商品档案里",IF(AND(E230="",H230=""),"✗ 没填数量",IF(AND(N(E230)&lt;&gt;0,F230=""),"✗ 没填进价","√")))))))))</f>
      </c>
    </row>
    <row r="231">
      <c r="A231" s="109">
        <f>IF(AND(C231="",D231=""),"",ROW()-3)</f>
      </c>
      <c r="B231" s="140" t="n"/>
      <c r="C231" s="141" t="n"/>
      <c r="D231" s="141" t="n"/>
      <c r="E231" s="148" t="n"/>
      <c r="F231" s="149" t="n"/>
      <c r="G231" s="150">
        <f>IF(AND(E231&lt;&gt;"",F231&lt;&gt;""),E231*F231,"")</f>
      </c>
      <c r="H231" s="148" t="n"/>
      <c r="I231" s="142" t="n"/>
      <c r="J231" s="146">
        <f>IF(AND(B231="",C231="",D231="",E231="",F231="",H231=""),"",IF(NOT(ISNUMBER(B231)),"✗ 日期不是真日期",IF(OR(B231&lt;年初日,B231&gt;年末日),"✗ 日期不在本年度",IF(C231="","✗ 没选供应商",IF(COUNTIF(基础资料!$Q$5:$Q$54,C231)=0,"✗ 供应商不在基础资料里",IF(D231="","✗ 没选商品",IF(COUNTIF(基础资料!$E$5:$E$104,D231)=0,"✗ 商品不在商品档案里",IF(AND(E231="",H231=""),"✗ 没填数量",IF(AND(N(E231)&lt;&gt;0,F231=""),"✗ 没填进价","√")))))))))</f>
      </c>
    </row>
    <row r="232">
      <c r="A232" s="109">
        <f>IF(AND(C232="",D232=""),"",ROW()-3)</f>
      </c>
      <c r="B232" s="140" t="n"/>
      <c r="C232" s="141" t="n"/>
      <c r="D232" s="141" t="n"/>
      <c r="E232" s="148" t="n"/>
      <c r="F232" s="149" t="n"/>
      <c r="G232" s="150">
        <f>IF(AND(E232&lt;&gt;"",F232&lt;&gt;""),E232*F232,"")</f>
      </c>
      <c r="H232" s="148" t="n"/>
      <c r="I232" s="142" t="n"/>
      <c r="J232" s="146">
        <f>IF(AND(B232="",C232="",D232="",E232="",F232="",H232=""),"",IF(NOT(ISNUMBER(B232)),"✗ 日期不是真日期",IF(OR(B232&lt;年初日,B232&gt;年末日),"✗ 日期不在本年度",IF(C232="","✗ 没选供应商",IF(COUNTIF(基础资料!$Q$5:$Q$54,C232)=0,"✗ 供应商不在基础资料里",IF(D232="","✗ 没选商品",IF(COUNTIF(基础资料!$E$5:$E$104,D232)=0,"✗ 商品不在商品档案里",IF(AND(E232="",H232=""),"✗ 没填数量",IF(AND(N(E232)&lt;&gt;0,F232=""),"✗ 没填进价","√")))))))))</f>
      </c>
    </row>
    <row r="233">
      <c r="A233" s="109">
        <f>IF(AND(C233="",D233=""),"",ROW()-3)</f>
      </c>
      <c r="B233" s="140" t="n"/>
      <c r="C233" s="141" t="n"/>
      <c r="D233" s="141" t="n"/>
      <c r="E233" s="148" t="n"/>
      <c r="F233" s="149" t="n"/>
      <c r="G233" s="150">
        <f>IF(AND(E233&lt;&gt;"",F233&lt;&gt;""),E233*F233,"")</f>
      </c>
      <c r="H233" s="148" t="n"/>
      <c r="I233" s="142" t="n"/>
      <c r="J233" s="146">
        <f>IF(AND(B233="",C233="",D233="",E233="",F233="",H233=""),"",IF(NOT(ISNUMBER(B233)),"✗ 日期不是真日期",IF(OR(B233&lt;年初日,B233&gt;年末日),"✗ 日期不在本年度",IF(C233="","✗ 没选供应商",IF(COUNTIF(基础资料!$Q$5:$Q$54,C233)=0,"✗ 供应商不在基础资料里",IF(D233="","✗ 没选商品",IF(COUNTIF(基础资料!$E$5:$E$104,D233)=0,"✗ 商品不在商品档案里",IF(AND(E233="",H233=""),"✗ 没填数量",IF(AND(N(E233)&lt;&gt;0,F233=""),"✗ 没填进价","√")))))))))</f>
      </c>
    </row>
    <row r="234">
      <c r="A234" s="109">
        <f>IF(AND(C234="",D234=""),"",ROW()-3)</f>
      </c>
      <c r="B234" s="140" t="n"/>
      <c r="C234" s="141" t="n"/>
      <c r="D234" s="141" t="n"/>
      <c r="E234" s="148" t="n"/>
      <c r="F234" s="149" t="n"/>
      <c r="G234" s="150">
        <f>IF(AND(E234&lt;&gt;"",F234&lt;&gt;""),E234*F234,"")</f>
      </c>
      <c r="H234" s="148" t="n"/>
      <c r="I234" s="142" t="n"/>
      <c r="J234" s="146">
        <f>IF(AND(B234="",C234="",D234="",E234="",F234="",H234=""),"",IF(NOT(ISNUMBER(B234)),"✗ 日期不是真日期",IF(OR(B234&lt;年初日,B234&gt;年末日),"✗ 日期不在本年度",IF(C234="","✗ 没选供应商",IF(COUNTIF(基础资料!$Q$5:$Q$54,C234)=0,"✗ 供应商不在基础资料里",IF(D234="","✗ 没选商品",IF(COUNTIF(基础资料!$E$5:$E$104,D234)=0,"✗ 商品不在商品档案里",IF(AND(E234="",H234=""),"✗ 没填数量",IF(AND(N(E234)&lt;&gt;0,F234=""),"✗ 没填进价","√")))))))))</f>
      </c>
    </row>
    <row r="235">
      <c r="A235" s="109">
        <f>IF(AND(C235="",D235=""),"",ROW()-3)</f>
      </c>
      <c r="B235" s="140" t="n"/>
      <c r="C235" s="141" t="n"/>
      <c r="D235" s="141" t="n"/>
      <c r="E235" s="148" t="n"/>
      <c r="F235" s="149" t="n"/>
      <c r="G235" s="150">
        <f>IF(AND(E235&lt;&gt;"",F235&lt;&gt;""),E235*F235,"")</f>
      </c>
      <c r="H235" s="148" t="n"/>
      <c r="I235" s="142" t="n"/>
      <c r="J235" s="146">
        <f>IF(AND(B235="",C235="",D235="",E235="",F235="",H235=""),"",IF(NOT(ISNUMBER(B235)),"✗ 日期不是真日期",IF(OR(B235&lt;年初日,B235&gt;年末日),"✗ 日期不在本年度",IF(C235="","✗ 没选供应商",IF(COUNTIF(基础资料!$Q$5:$Q$54,C235)=0,"✗ 供应商不在基础资料里",IF(D235="","✗ 没选商品",IF(COUNTIF(基础资料!$E$5:$E$104,D235)=0,"✗ 商品不在商品档案里",IF(AND(E235="",H235=""),"✗ 没填数量",IF(AND(N(E235)&lt;&gt;0,F235=""),"✗ 没填进价","√")))))))))</f>
      </c>
    </row>
    <row r="236">
      <c r="A236" s="109">
        <f>IF(AND(C236="",D236=""),"",ROW()-3)</f>
      </c>
      <c r="B236" s="140" t="n"/>
      <c r="C236" s="141" t="n"/>
      <c r="D236" s="141" t="n"/>
      <c r="E236" s="148" t="n"/>
      <c r="F236" s="149" t="n"/>
      <c r="G236" s="150">
        <f>IF(AND(E236&lt;&gt;"",F236&lt;&gt;""),E236*F236,"")</f>
      </c>
      <c r="H236" s="148" t="n"/>
      <c r="I236" s="142" t="n"/>
      <c r="J236" s="146">
        <f>IF(AND(B236="",C236="",D236="",E236="",F236="",H236=""),"",IF(NOT(ISNUMBER(B236)),"✗ 日期不是真日期",IF(OR(B236&lt;年初日,B236&gt;年末日),"✗ 日期不在本年度",IF(C236="","✗ 没选供应商",IF(COUNTIF(基础资料!$Q$5:$Q$54,C236)=0,"✗ 供应商不在基础资料里",IF(D236="","✗ 没选商品",IF(COUNTIF(基础资料!$E$5:$E$104,D236)=0,"✗ 商品不在商品档案里",IF(AND(E236="",H236=""),"✗ 没填数量",IF(AND(N(E236)&lt;&gt;0,F236=""),"✗ 没填进价","√")))))))))</f>
      </c>
    </row>
    <row r="237">
      <c r="A237" s="109">
        <f>IF(AND(C237="",D237=""),"",ROW()-3)</f>
      </c>
      <c r="B237" s="140" t="n"/>
      <c r="C237" s="141" t="n"/>
      <c r="D237" s="141" t="n"/>
      <c r="E237" s="148" t="n"/>
      <c r="F237" s="149" t="n"/>
      <c r="G237" s="150">
        <f>IF(AND(E237&lt;&gt;"",F237&lt;&gt;""),E237*F237,"")</f>
      </c>
      <c r="H237" s="148" t="n"/>
      <c r="I237" s="142" t="n"/>
      <c r="J237" s="146">
        <f>IF(AND(B237="",C237="",D237="",E237="",F237="",H237=""),"",IF(NOT(ISNUMBER(B237)),"✗ 日期不是真日期",IF(OR(B237&lt;年初日,B237&gt;年末日),"✗ 日期不在本年度",IF(C237="","✗ 没选供应商",IF(COUNTIF(基础资料!$Q$5:$Q$54,C237)=0,"✗ 供应商不在基础资料里",IF(D237="","✗ 没选商品",IF(COUNTIF(基础资料!$E$5:$E$104,D237)=0,"✗ 商品不在商品档案里",IF(AND(E237="",H237=""),"✗ 没填数量",IF(AND(N(E237)&lt;&gt;0,F237=""),"✗ 没填进价","√")))))))))</f>
      </c>
    </row>
    <row r="238">
      <c r="A238" s="109">
        <f>IF(AND(C238="",D238=""),"",ROW()-3)</f>
      </c>
      <c r="B238" s="140" t="n"/>
      <c r="C238" s="141" t="n"/>
      <c r="D238" s="141" t="n"/>
      <c r="E238" s="148" t="n"/>
      <c r="F238" s="149" t="n"/>
      <c r="G238" s="150">
        <f>IF(AND(E238&lt;&gt;"",F238&lt;&gt;""),E238*F238,"")</f>
      </c>
      <c r="H238" s="148" t="n"/>
      <c r="I238" s="142" t="n"/>
      <c r="J238" s="146">
        <f>IF(AND(B238="",C238="",D238="",E238="",F238="",H238=""),"",IF(NOT(ISNUMBER(B238)),"✗ 日期不是真日期",IF(OR(B238&lt;年初日,B238&gt;年末日),"✗ 日期不在本年度",IF(C238="","✗ 没选供应商",IF(COUNTIF(基础资料!$Q$5:$Q$54,C238)=0,"✗ 供应商不在基础资料里",IF(D238="","✗ 没选商品",IF(COUNTIF(基础资料!$E$5:$E$104,D238)=0,"✗ 商品不在商品档案里",IF(AND(E238="",H238=""),"✗ 没填数量",IF(AND(N(E238)&lt;&gt;0,F238=""),"✗ 没填进价","√")))))))))</f>
      </c>
    </row>
    <row r="239">
      <c r="A239" s="109">
        <f>IF(AND(C239="",D239=""),"",ROW()-3)</f>
      </c>
      <c r="B239" s="140" t="n"/>
      <c r="C239" s="141" t="n"/>
      <c r="D239" s="141" t="n"/>
      <c r="E239" s="148" t="n"/>
      <c r="F239" s="149" t="n"/>
      <c r="G239" s="150">
        <f>IF(AND(E239&lt;&gt;"",F239&lt;&gt;""),E239*F239,"")</f>
      </c>
      <c r="H239" s="148" t="n"/>
      <c r="I239" s="142" t="n"/>
      <c r="J239" s="146">
        <f>IF(AND(B239="",C239="",D239="",E239="",F239="",H239=""),"",IF(NOT(ISNUMBER(B239)),"✗ 日期不是真日期",IF(OR(B239&lt;年初日,B239&gt;年末日),"✗ 日期不在本年度",IF(C239="","✗ 没选供应商",IF(COUNTIF(基础资料!$Q$5:$Q$54,C239)=0,"✗ 供应商不在基础资料里",IF(D239="","✗ 没选商品",IF(COUNTIF(基础资料!$E$5:$E$104,D239)=0,"✗ 商品不在商品档案里",IF(AND(E239="",H239=""),"✗ 没填数量",IF(AND(N(E239)&lt;&gt;0,F239=""),"✗ 没填进价","√")))))))))</f>
      </c>
    </row>
    <row r="240">
      <c r="A240" s="109">
        <f>IF(AND(C240="",D240=""),"",ROW()-3)</f>
      </c>
      <c r="B240" s="140" t="n"/>
      <c r="C240" s="141" t="n"/>
      <c r="D240" s="141" t="n"/>
      <c r="E240" s="148" t="n"/>
      <c r="F240" s="149" t="n"/>
      <c r="G240" s="150">
        <f>IF(AND(E240&lt;&gt;"",F240&lt;&gt;""),E240*F240,"")</f>
      </c>
      <c r="H240" s="148" t="n"/>
      <c r="I240" s="142" t="n"/>
      <c r="J240" s="146">
        <f>IF(AND(B240="",C240="",D240="",E240="",F240="",H240=""),"",IF(NOT(ISNUMBER(B240)),"✗ 日期不是真日期",IF(OR(B240&lt;年初日,B240&gt;年末日),"✗ 日期不在本年度",IF(C240="","✗ 没选供应商",IF(COUNTIF(基础资料!$Q$5:$Q$54,C240)=0,"✗ 供应商不在基础资料里",IF(D240="","✗ 没选商品",IF(COUNTIF(基础资料!$E$5:$E$104,D240)=0,"✗ 商品不在商品档案里",IF(AND(E240="",H240=""),"✗ 没填数量",IF(AND(N(E240)&lt;&gt;0,F240=""),"✗ 没填进价","√")))))))))</f>
      </c>
    </row>
    <row r="241">
      <c r="A241" s="109">
        <f>IF(AND(C241="",D241=""),"",ROW()-3)</f>
      </c>
      <c r="B241" s="140" t="n"/>
      <c r="C241" s="141" t="n"/>
      <c r="D241" s="141" t="n"/>
      <c r="E241" s="148" t="n"/>
      <c r="F241" s="149" t="n"/>
      <c r="G241" s="150">
        <f>IF(AND(E241&lt;&gt;"",F241&lt;&gt;""),E241*F241,"")</f>
      </c>
      <c r="H241" s="148" t="n"/>
      <c r="I241" s="142" t="n"/>
      <c r="J241" s="146">
        <f>IF(AND(B241="",C241="",D241="",E241="",F241="",H241=""),"",IF(NOT(ISNUMBER(B241)),"✗ 日期不是真日期",IF(OR(B241&lt;年初日,B241&gt;年末日),"✗ 日期不在本年度",IF(C241="","✗ 没选供应商",IF(COUNTIF(基础资料!$Q$5:$Q$54,C241)=0,"✗ 供应商不在基础资料里",IF(D241="","✗ 没选商品",IF(COUNTIF(基础资料!$E$5:$E$104,D241)=0,"✗ 商品不在商品档案里",IF(AND(E241="",H241=""),"✗ 没填数量",IF(AND(N(E241)&lt;&gt;0,F241=""),"✗ 没填进价","√")))))))))</f>
      </c>
    </row>
    <row r="242">
      <c r="A242" s="109">
        <f>IF(AND(C242="",D242=""),"",ROW()-3)</f>
      </c>
      <c r="B242" s="140" t="n"/>
      <c r="C242" s="141" t="n"/>
      <c r="D242" s="141" t="n"/>
      <c r="E242" s="148" t="n"/>
      <c r="F242" s="149" t="n"/>
      <c r="G242" s="150">
        <f>IF(AND(E242&lt;&gt;"",F242&lt;&gt;""),E242*F242,"")</f>
      </c>
      <c r="H242" s="148" t="n"/>
      <c r="I242" s="142" t="n"/>
      <c r="J242" s="146">
        <f>IF(AND(B242="",C242="",D242="",E242="",F242="",H242=""),"",IF(NOT(ISNUMBER(B242)),"✗ 日期不是真日期",IF(OR(B242&lt;年初日,B242&gt;年末日),"✗ 日期不在本年度",IF(C242="","✗ 没选供应商",IF(COUNTIF(基础资料!$Q$5:$Q$54,C242)=0,"✗ 供应商不在基础资料里",IF(D242="","✗ 没选商品",IF(COUNTIF(基础资料!$E$5:$E$104,D242)=0,"✗ 商品不在商品档案里",IF(AND(E242="",H242=""),"✗ 没填数量",IF(AND(N(E242)&lt;&gt;0,F242=""),"✗ 没填进价","√")))))))))</f>
      </c>
    </row>
    <row r="243">
      <c r="A243" s="109">
        <f>IF(AND(C243="",D243=""),"",ROW()-3)</f>
      </c>
      <c r="B243" s="140" t="n"/>
      <c r="C243" s="141" t="n"/>
      <c r="D243" s="141" t="n"/>
      <c r="E243" s="148" t="n"/>
      <c r="F243" s="149" t="n"/>
      <c r="G243" s="150">
        <f>IF(AND(E243&lt;&gt;"",F243&lt;&gt;""),E243*F243,"")</f>
      </c>
      <c r="H243" s="148" t="n"/>
      <c r="I243" s="142" t="n"/>
      <c r="J243" s="146">
        <f>IF(AND(B243="",C243="",D243="",E243="",F243="",H243=""),"",IF(NOT(ISNUMBER(B243)),"✗ 日期不是真日期",IF(OR(B243&lt;年初日,B243&gt;年末日),"✗ 日期不在本年度",IF(C243="","✗ 没选供应商",IF(COUNTIF(基础资料!$Q$5:$Q$54,C243)=0,"✗ 供应商不在基础资料里",IF(D243="","✗ 没选商品",IF(COUNTIF(基础资料!$E$5:$E$104,D243)=0,"✗ 商品不在商品档案里",IF(AND(E243="",H243=""),"✗ 没填数量",IF(AND(N(E243)&lt;&gt;0,F243=""),"✗ 没填进价","√")))))))))</f>
      </c>
    </row>
    <row r="244">
      <c r="A244" s="109">
        <f>IF(AND(C244="",D244=""),"",ROW()-3)</f>
      </c>
      <c r="B244" s="140" t="n"/>
      <c r="C244" s="141" t="n"/>
      <c r="D244" s="141" t="n"/>
      <c r="E244" s="148" t="n"/>
      <c r="F244" s="149" t="n"/>
      <c r="G244" s="150">
        <f>IF(AND(E244&lt;&gt;"",F244&lt;&gt;""),E244*F244,"")</f>
      </c>
      <c r="H244" s="148" t="n"/>
      <c r="I244" s="142" t="n"/>
      <c r="J244" s="146">
        <f>IF(AND(B244="",C244="",D244="",E244="",F244="",H244=""),"",IF(NOT(ISNUMBER(B244)),"✗ 日期不是真日期",IF(OR(B244&lt;年初日,B244&gt;年末日),"✗ 日期不在本年度",IF(C244="","✗ 没选供应商",IF(COUNTIF(基础资料!$Q$5:$Q$54,C244)=0,"✗ 供应商不在基础资料里",IF(D244="","✗ 没选商品",IF(COUNTIF(基础资料!$E$5:$E$104,D244)=0,"✗ 商品不在商品档案里",IF(AND(E244="",H244=""),"✗ 没填数量",IF(AND(N(E244)&lt;&gt;0,F244=""),"✗ 没填进价","√")))))))))</f>
      </c>
    </row>
    <row r="245">
      <c r="A245" s="109">
        <f>IF(AND(C245="",D245=""),"",ROW()-3)</f>
      </c>
      <c r="B245" s="140" t="n"/>
      <c r="C245" s="141" t="n"/>
      <c r="D245" s="141" t="n"/>
      <c r="E245" s="148" t="n"/>
      <c r="F245" s="149" t="n"/>
      <c r="G245" s="150">
        <f>IF(AND(E245&lt;&gt;"",F245&lt;&gt;""),E245*F245,"")</f>
      </c>
      <c r="H245" s="148" t="n"/>
      <c r="I245" s="142" t="n"/>
      <c r="J245" s="146">
        <f>IF(AND(B245="",C245="",D245="",E245="",F245="",H245=""),"",IF(NOT(ISNUMBER(B245)),"✗ 日期不是真日期",IF(OR(B245&lt;年初日,B245&gt;年末日),"✗ 日期不在本年度",IF(C245="","✗ 没选供应商",IF(COUNTIF(基础资料!$Q$5:$Q$54,C245)=0,"✗ 供应商不在基础资料里",IF(D245="","✗ 没选商品",IF(COUNTIF(基础资料!$E$5:$E$104,D245)=0,"✗ 商品不在商品档案里",IF(AND(E245="",H245=""),"✗ 没填数量",IF(AND(N(E245)&lt;&gt;0,F245=""),"✗ 没填进价","√")))))))))</f>
      </c>
    </row>
    <row r="246">
      <c r="A246" s="109">
        <f>IF(AND(C246="",D246=""),"",ROW()-3)</f>
      </c>
      <c r="B246" s="140" t="n"/>
      <c r="C246" s="141" t="n"/>
      <c r="D246" s="141" t="n"/>
      <c r="E246" s="148" t="n"/>
      <c r="F246" s="149" t="n"/>
      <c r="G246" s="150">
        <f>IF(AND(E246&lt;&gt;"",F246&lt;&gt;""),E246*F246,"")</f>
      </c>
      <c r="H246" s="148" t="n"/>
      <c r="I246" s="142" t="n"/>
      <c r="J246" s="146">
        <f>IF(AND(B246="",C246="",D246="",E246="",F246="",H246=""),"",IF(NOT(ISNUMBER(B246)),"✗ 日期不是真日期",IF(OR(B246&lt;年初日,B246&gt;年末日),"✗ 日期不在本年度",IF(C246="","✗ 没选供应商",IF(COUNTIF(基础资料!$Q$5:$Q$54,C246)=0,"✗ 供应商不在基础资料里",IF(D246="","✗ 没选商品",IF(COUNTIF(基础资料!$E$5:$E$104,D246)=0,"✗ 商品不在商品档案里",IF(AND(E246="",H246=""),"✗ 没填数量",IF(AND(N(E246)&lt;&gt;0,F246=""),"✗ 没填进价","√")))))))))</f>
      </c>
    </row>
    <row r="247">
      <c r="A247" s="109">
        <f>IF(AND(C247="",D247=""),"",ROW()-3)</f>
      </c>
      <c r="B247" s="140" t="n"/>
      <c r="C247" s="141" t="n"/>
      <c r="D247" s="141" t="n"/>
      <c r="E247" s="148" t="n"/>
      <c r="F247" s="149" t="n"/>
      <c r="G247" s="150">
        <f>IF(AND(E247&lt;&gt;"",F247&lt;&gt;""),E247*F247,"")</f>
      </c>
      <c r="H247" s="148" t="n"/>
      <c r="I247" s="142" t="n"/>
      <c r="J247" s="146">
        <f>IF(AND(B247="",C247="",D247="",E247="",F247="",H247=""),"",IF(NOT(ISNUMBER(B247)),"✗ 日期不是真日期",IF(OR(B247&lt;年初日,B247&gt;年末日),"✗ 日期不在本年度",IF(C247="","✗ 没选供应商",IF(COUNTIF(基础资料!$Q$5:$Q$54,C247)=0,"✗ 供应商不在基础资料里",IF(D247="","✗ 没选商品",IF(COUNTIF(基础资料!$E$5:$E$104,D247)=0,"✗ 商品不在商品档案里",IF(AND(E247="",H247=""),"✗ 没填数量",IF(AND(N(E247)&lt;&gt;0,F247=""),"✗ 没填进价","√")))))))))</f>
      </c>
    </row>
    <row r="248">
      <c r="A248" s="109">
        <f>IF(AND(C248="",D248=""),"",ROW()-3)</f>
      </c>
      <c r="B248" s="140" t="n"/>
      <c r="C248" s="141" t="n"/>
      <c r="D248" s="141" t="n"/>
      <c r="E248" s="148" t="n"/>
      <c r="F248" s="149" t="n"/>
      <c r="G248" s="150">
        <f>IF(AND(E248&lt;&gt;"",F248&lt;&gt;""),E248*F248,"")</f>
      </c>
      <c r="H248" s="148" t="n"/>
      <c r="I248" s="142" t="n"/>
      <c r="J248" s="146">
        <f>IF(AND(B248="",C248="",D248="",E248="",F248="",H248=""),"",IF(NOT(ISNUMBER(B248)),"✗ 日期不是真日期",IF(OR(B248&lt;年初日,B248&gt;年末日),"✗ 日期不在本年度",IF(C248="","✗ 没选供应商",IF(COUNTIF(基础资料!$Q$5:$Q$54,C248)=0,"✗ 供应商不在基础资料里",IF(D248="","✗ 没选商品",IF(COUNTIF(基础资料!$E$5:$E$104,D248)=0,"✗ 商品不在商品档案里",IF(AND(E248="",H248=""),"✗ 没填数量",IF(AND(N(E248)&lt;&gt;0,F248=""),"✗ 没填进价","√")))))))))</f>
      </c>
    </row>
    <row r="249">
      <c r="A249" s="109">
        <f>IF(AND(C249="",D249=""),"",ROW()-3)</f>
      </c>
      <c r="B249" s="140" t="n"/>
      <c r="C249" s="141" t="n"/>
      <c r="D249" s="141" t="n"/>
      <c r="E249" s="148" t="n"/>
      <c r="F249" s="149" t="n"/>
      <c r="G249" s="150">
        <f>IF(AND(E249&lt;&gt;"",F249&lt;&gt;""),E249*F249,"")</f>
      </c>
      <c r="H249" s="148" t="n"/>
      <c r="I249" s="142" t="n"/>
      <c r="J249" s="146">
        <f>IF(AND(B249="",C249="",D249="",E249="",F249="",H249=""),"",IF(NOT(ISNUMBER(B249)),"✗ 日期不是真日期",IF(OR(B249&lt;年初日,B249&gt;年末日),"✗ 日期不在本年度",IF(C249="","✗ 没选供应商",IF(COUNTIF(基础资料!$Q$5:$Q$54,C249)=0,"✗ 供应商不在基础资料里",IF(D249="","✗ 没选商品",IF(COUNTIF(基础资料!$E$5:$E$104,D249)=0,"✗ 商品不在商品档案里",IF(AND(E249="",H249=""),"✗ 没填数量",IF(AND(N(E249)&lt;&gt;0,F249=""),"✗ 没填进价","√")))))))))</f>
      </c>
    </row>
    <row r="250">
      <c r="A250" s="109">
        <f>IF(AND(C250="",D250=""),"",ROW()-3)</f>
      </c>
      <c r="B250" s="140" t="n"/>
      <c r="C250" s="141" t="n"/>
      <c r="D250" s="141" t="n"/>
      <c r="E250" s="148" t="n"/>
      <c r="F250" s="149" t="n"/>
      <c r="G250" s="150">
        <f>IF(AND(E250&lt;&gt;"",F250&lt;&gt;""),E250*F250,"")</f>
      </c>
      <c r="H250" s="148" t="n"/>
      <c r="I250" s="142" t="n"/>
      <c r="J250" s="146">
        <f>IF(AND(B250="",C250="",D250="",E250="",F250="",H250=""),"",IF(NOT(ISNUMBER(B250)),"✗ 日期不是真日期",IF(OR(B250&lt;年初日,B250&gt;年末日),"✗ 日期不在本年度",IF(C250="","✗ 没选供应商",IF(COUNTIF(基础资料!$Q$5:$Q$54,C250)=0,"✗ 供应商不在基础资料里",IF(D250="","✗ 没选商品",IF(COUNTIF(基础资料!$E$5:$E$104,D250)=0,"✗ 商品不在商品档案里",IF(AND(E250="",H250=""),"✗ 没填数量",IF(AND(N(E250)&lt;&gt;0,F250=""),"✗ 没填进价","√")))))))))</f>
      </c>
    </row>
    <row r="251">
      <c r="A251" s="109">
        <f>IF(AND(C251="",D251=""),"",ROW()-3)</f>
      </c>
      <c r="B251" s="140" t="n"/>
      <c r="C251" s="141" t="n"/>
      <c r="D251" s="141" t="n"/>
      <c r="E251" s="148" t="n"/>
      <c r="F251" s="149" t="n"/>
      <c r="G251" s="150">
        <f>IF(AND(E251&lt;&gt;"",F251&lt;&gt;""),E251*F251,"")</f>
      </c>
      <c r="H251" s="148" t="n"/>
      <c r="I251" s="142" t="n"/>
      <c r="J251" s="146">
        <f>IF(AND(B251="",C251="",D251="",E251="",F251="",H251=""),"",IF(NOT(ISNUMBER(B251)),"✗ 日期不是真日期",IF(OR(B251&lt;年初日,B251&gt;年末日),"✗ 日期不在本年度",IF(C251="","✗ 没选供应商",IF(COUNTIF(基础资料!$Q$5:$Q$54,C251)=0,"✗ 供应商不在基础资料里",IF(D251="","✗ 没选商品",IF(COUNTIF(基础资料!$E$5:$E$104,D251)=0,"✗ 商品不在商品档案里",IF(AND(E251="",H251=""),"✗ 没填数量",IF(AND(N(E251)&lt;&gt;0,F251=""),"✗ 没填进价","√")))))))))</f>
      </c>
    </row>
    <row r="252">
      <c r="A252" s="109">
        <f>IF(AND(C252="",D252=""),"",ROW()-3)</f>
      </c>
      <c r="B252" s="140" t="n"/>
      <c r="C252" s="141" t="n"/>
      <c r="D252" s="141" t="n"/>
      <c r="E252" s="148" t="n"/>
      <c r="F252" s="149" t="n"/>
      <c r="G252" s="150">
        <f>IF(AND(E252&lt;&gt;"",F252&lt;&gt;""),E252*F252,"")</f>
      </c>
      <c r="H252" s="148" t="n"/>
      <c r="I252" s="142" t="n"/>
      <c r="J252" s="146">
        <f>IF(AND(B252="",C252="",D252="",E252="",F252="",H252=""),"",IF(NOT(ISNUMBER(B252)),"✗ 日期不是真日期",IF(OR(B252&lt;年初日,B252&gt;年末日),"✗ 日期不在本年度",IF(C252="","✗ 没选供应商",IF(COUNTIF(基础资料!$Q$5:$Q$54,C252)=0,"✗ 供应商不在基础资料里",IF(D252="","✗ 没选商品",IF(COUNTIF(基础资料!$E$5:$E$104,D252)=0,"✗ 商品不在商品档案里",IF(AND(E252="",H252=""),"✗ 没填数量",IF(AND(N(E252)&lt;&gt;0,F252=""),"✗ 没填进价","√")))))))))</f>
      </c>
    </row>
    <row r="253">
      <c r="A253" s="109">
        <f>IF(AND(C253="",D253=""),"",ROW()-3)</f>
      </c>
      <c r="B253" s="140" t="n"/>
      <c r="C253" s="141" t="n"/>
      <c r="D253" s="141" t="n"/>
      <c r="E253" s="148" t="n"/>
      <c r="F253" s="149" t="n"/>
      <c r="G253" s="150">
        <f>IF(AND(E253&lt;&gt;"",F253&lt;&gt;""),E253*F253,"")</f>
      </c>
      <c r="H253" s="148" t="n"/>
      <c r="I253" s="142" t="n"/>
      <c r="J253" s="146">
        <f>IF(AND(B253="",C253="",D253="",E253="",F253="",H253=""),"",IF(NOT(ISNUMBER(B253)),"✗ 日期不是真日期",IF(OR(B253&lt;年初日,B253&gt;年末日),"✗ 日期不在本年度",IF(C253="","✗ 没选供应商",IF(COUNTIF(基础资料!$Q$5:$Q$54,C253)=0,"✗ 供应商不在基础资料里",IF(D253="","✗ 没选商品",IF(COUNTIF(基础资料!$E$5:$E$104,D253)=0,"✗ 商品不在商品档案里",IF(AND(E253="",H253=""),"✗ 没填数量",IF(AND(N(E253)&lt;&gt;0,F253=""),"✗ 没填进价","√")))))))))</f>
      </c>
    </row>
    <row r="254">
      <c r="A254" s="109">
        <f>IF(AND(C254="",D254=""),"",ROW()-3)</f>
      </c>
      <c r="B254" s="140" t="n"/>
      <c r="C254" s="141" t="n"/>
      <c r="D254" s="141" t="n"/>
      <c r="E254" s="148" t="n"/>
      <c r="F254" s="149" t="n"/>
      <c r="G254" s="150">
        <f>IF(AND(E254&lt;&gt;"",F254&lt;&gt;""),E254*F254,"")</f>
      </c>
      <c r="H254" s="148" t="n"/>
      <c r="I254" s="142" t="n"/>
      <c r="J254" s="146">
        <f>IF(AND(B254="",C254="",D254="",E254="",F254="",H254=""),"",IF(NOT(ISNUMBER(B254)),"✗ 日期不是真日期",IF(OR(B254&lt;年初日,B254&gt;年末日),"✗ 日期不在本年度",IF(C254="","✗ 没选供应商",IF(COUNTIF(基础资料!$Q$5:$Q$54,C254)=0,"✗ 供应商不在基础资料里",IF(D254="","✗ 没选商品",IF(COUNTIF(基础资料!$E$5:$E$104,D254)=0,"✗ 商品不在商品档案里",IF(AND(E254="",H254=""),"✗ 没填数量",IF(AND(N(E254)&lt;&gt;0,F254=""),"✗ 没填进价","√")))))))))</f>
      </c>
    </row>
    <row r="255">
      <c r="A255" s="109">
        <f>IF(AND(C255="",D255=""),"",ROW()-3)</f>
      </c>
      <c r="B255" s="140" t="n"/>
      <c r="C255" s="141" t="n"/>
      <c r="D255" s="141" t="n"/>
      <c r="E255" s="148" t="n"/>
      <c r="F255" s="149" t="n"/>
      <c r="G255" s="150">
        <f>IF(AND(E255&lt;&gt;"",F255&lt;&gt;""),E255*F255,"")</f>
      </c>
      <c r="H255" s="148" t="n"/>
      <c r="I255" s="142" t="n"/>
      <c r="J255" s="146">
        <f>IF(AND(B255="",C255="",D255="",E255="",F255="",H255=""),"",IF(NOT(ISNUMBER(B255)),"✗ 日期不是真日期",IF(OR(B255&lt;年初日,B255&gt;年末日),"✗ 日期不在本年度",IF(C255="","✗ 没选供应商",IF(COUNTIF(基础资料!$Q$5:$Q$54,C255)=0,"✗ 供应商不在基础资料里",IF(D255="","✗ 没选商品",IF(COUNTIF(基础资料!$E$5:$E$104,D255)=0,"✗ 商品不在商品档案里",IF(AND(E255="",H255=""),"✗ 没填数量",IF(AND(N(E255)&lt;&gt;0,F255=""),"✗ 没填进价","√")))))))))</f>
      </c>
    </row>
    <row r="256">
      <c r="A256" s="109">
        <f>IF(AND(C256="",D256=""),"",ROW()-3)</f>
      </c>
      <c r="B256" s="140" t="n"/>
      <c r="C256" s="141" t="n"/>
      <c r="D256" s="141" t="n"/>
      <c r="E256" s="148" t="n"/>
      <c r="F256" s="149" t="n"/>
      <c r="G256" s="150">
        <f>IF(AND(E256&lt;&gt;"",F256&lt;&gt;""),E256*F256,"")</f>
      </c>
      <c r="H256" s="148" t="n"/>
      <c r="I256" s="142" t="n"/>
      <c r="J256" s="146">
        <f>IF(AND(B256="",C256="",D256="",E256="",F256="",H256=""),"",IF(NOT(ISNUMBER(B256)),"✗ 日期不是真日期",IF(OR(B256&lt;年初日,B256&gt;年末日),"✗ 日期不在本年度",IF(C256="","✗ 没选供应商",IF(COUNTIF(基础资料!$Q$5:$Q$54,C256)=0,"✗ 供应商不在基础资料里",IF(D256="","✗ 没选商品",IF(COUNTIF(基础资料!$E$5:$E$104,D256)=0,"✗ 商品不在商品档案里",IF(AND(E256="",H256=""),"✗ 没填数量",IF(AND(N(E256)&lt;&gt;0,F256=""),"✗ 没填进价","√")))))))))</f>
      </c>
    </row>
    <row r="257">
      <c r="A257" s="109">
        <f>IF(AND(C257="",D257=""),"",ROW()-3)</f>
      </c>
      <c r="B257" s="140" t="n"/>
      <c r="C257" s="141" t="n"/>
      <c r="D257" s="141" t="n"/>
      <c r="E257" s="148" t="n"/>
      <c r="F257" s="149" t="n"/>
      <c r="G257" s="150">
        <f>IF(AND(E257&lt;&gt;"",F257&lt;&gt;""),E257*F257,"")</f>
      </c>
      <c r="H257" s="148" t="n"/>
      <c r="I257" s="142" t="n"/>
      <c r="J257" s="146">
        <f>IF(AND(B257="",C257="",D257="",E257="",F257="",H257=""),"",IF(NOT(ISNUMBER(B257)),"✗ 日期不是真日期",IF(OR(B257&lt;年初日,B257&gt;年末日),"✗ 日期不在本年度",IF(C257="","✗ 没选供应商",IF(COUNTIF(基础资料!$Q$5:$Q$54,C257)=0,"✗ 供应商不在基础资料里",IF(D257="","✗ 没选商品",IF(COUNTIF(基础资料!$E$5:$E$104,D257)=0,"✗ 商品不在商品档案里",IF(AND(E257="",H257=""),"✗ 没填数量",IF(AND(N(E257)&lt;&gt;0,F257=""),"✗ 没填进价","√")))))))))</f>
      </c>
    </row>
    <row r="258">
      <c r="A258" s="109">
        <f>IF(AND(C258="",D258=""),"",ROW()-3)</f>
      </c>
      <c r="B258" s="140" t="n"/>
      <c r="C258" s="141" t="n"/>
      <c r="D258" s="141" t="n"/>
      <c r="E258" s="148" t="n"/>
      <c r="F258" s="149" t="n"/>
      <c r="G258" s="150">
        <f>IF(AND(E258&lt;&gt;"",F258&lt;&gt;""),E258*F258,"")</f>
      </c>
      <c r="H258" s="148" t="n"/>
      <c r="I258" s="142" t="n"/>
      <c r="J258" s="146">
        <f>IF(AND(B258="",C258="",D258="",E258="",F258="",H258=""),"",IF(NOT(ISNUMBER(B258)),"✗ 日期不是真日期",IF(OR(B258&lt;年初日,B258&gt;年末日),"✗ 日期不在本年度",IF(C258="","✗ 没选供应商",IF(COUNTIF(基础资料!$Q$5:$Q$54,C258)=0,"✗ 供应商不在基础资料里",IF(D258="","✗ 没选商品",IF(COUNTIF(基础资料!$E$5:$E$104,D258)=0,"✗ 商品不在商品档案里",IF(AND(E258="",H258=""),"✗ 没填数量",IF(AND(N(E258)&lt;&gt;0,F258=""),"✗ 没填进价","√")))))))))</f>
      </c>
    </row>
    <row r="259">
      <c r="A259" s="109">
        <f>IF(AND(C259="",D259=""),"",ROW()-3)</f>
      </c>
      <c r="B259" s="140" t="n"/>
      <c r="C259" s="141" t="n"/>
      <c r="D259" s="141" t="n"/>
      <c r="E259" s="148" t="n"/>
      <c r="F259" s="149" t="n"/>
      <c r="G259" s="150">
        <f>IF(AND(E259&lt;&gt;"",F259&lt;&gt;""),E259*F259,"")</f>
      </c>
      <c r="H259" s="148" t="n"/>
      <c r="I259" s="142" t="n"/>
      <c r="J259" s="146">
        <f>IF(AND(B259="",C259="",D259="",E259="",F259="",H259=""),"",IF(NOT(ISNUMBER(B259)),"✗ 日期不是真日期",IF(OR(B259&lt;年初日,B259&gt;年末日),"✗ 日期不在本年度",IF(C259="","✗ 没选供应商",IF(COUNTIF(基础资料!$Q$5:$Q$54,C259)=0,"✗ 供应商不在基础资料里",IF(D259="","✗ 没选商品",IF(COUNTIF(基础资料!$E$5:$E$104,D259)=0,"✗ 商品不在商品档案里",IF(AND(E259="",H259=""),"✗ 没填数量",IF(AND(N(E259)&lt;&gt;0,F259=""),"✗ 没填进价","√")))))))))</f>
      </c>
    </row>
    <row r="260">
      <c r="A260" s="109">
        <f>IF(AND(C260="",D260=""),"",ROW()-3)</f>
      </c>
      <c r="B260" s="140" t="n"/>
      <c r="C260" s="141" t="n"/>
      <c r="D260" s="141" t="n"/>
      <c r="E260" s="148" t="n"/>
      <c r="F260" s="149" t="n"/>
      <c r="G260" s="150">
        <f>IF(AND(E260&lt;&gt;"",F260&lt;&gt;""),E260*F260,"")</f>
      </c>
      <c r="H260" s="148" t="n"/>
      <c r="I260" s="142" t="n"/>
      <c r="J260" s="146">
        <f>IF(AND(B260="",C260="",D260="",E260="",F260="",H260=""),"",IF(NOT(ISNUMBER(B260)),"✗ 日期不是真日期",IF(OR(B260&lt;年初日,B260&gt;年末日),"✗ 日期不在本年度",IF(C260="","✗ 没选供应商",IF(COUNTIF(基础资料!$Q$5:$Q$54,C260)=0,"✗ 供应商不在基础资料里",IF(D260="","✗ 没选商品",IF(COUNTIF(基础资料!$E$5:$E$104,D260)=0,"✗ 商品不在商品档案里",IF(AND(E260="",H260=""),"✗ 没填数量",IF(AND(N(E260)&lt;&gt;0,F260=""),"✗ 没填进价","√")))))))))</f>
      </c>
    </row>
    <row r="261">
      <c r="A261" s="109">
        <f>IF(AND(C261="",D261=""),"",ROW()-3)</f>
      </c>
      <c r="B261" s="140" t="n"/>
      <c r="C261" s="141" t="n"/>
      <c r="D261" s="141" t="n"/>
      <c r="E261" s="148" t="n"/>
      <c r="F261" s="149" t="n"/>
      <c r="G261" s="150">
        <f>IF(AND(E261&lt;&gt;"",F261&lt;&gt;""),E261*F261,"")</f>
      </c>
      <c r="H261" s="148" t="n"/>
      <c r="I261" s="142" t="n"/>
      <c r="J261" s="146">
        <f>IF(AND(B261="",C261="",D261="",E261="",F261="",H261=""),"",IF(NOT(ISNUMBER(B261)),"✗ 日期不是真日期",IF(OR(B261&lt;年初日,B261&gt;年末日),"✗ 日期不在本年度",IF(C261="","✗ 没选供应商",IF(COUNTIF(基础资料!$Q$5:$Q$54,C261)=0,"✗ 供应商不在基础资料里",IF(D261="","✗ 没选商品",IF(COUNTIF(基础资料!$E$5:$E$104,D261)=0,"✗ 商品不在商品档案里",IF(AND(E261="",H261=""),"✗ 没填数量",IF(AND(N(E261)&lt;&gt;0,F261=""),"✗ 没填进价","√")))))))))</f>
      </c>
    </row>
    <row r="262">
      <c r="A262" s="109">
        <f>IF(AND(C262="",D262=""),"",ROW()-3)</f>
      </c>
      <c r="B262" s="140" t="n"/>
      <c r="C262" s="141" t="n"/>
      <c r="D262" s="141" t="n"/>
      <c r="E262" s="148" t="n"/>
      <c r="F262" s="149" t="n"/>
      <c r="G262" s="150">
        <f>IF(AND(E262&lt;&gt;"",F262&lt;&gt;""),E262*F262,"")</f>
      </c>
      <c r="H262" s="148" t="n"/>
      <c r="I262" s="142" t="n"/>
      <c r="J262" s="146">
        <f>IF(AND(B262="",C262="",D262="",E262="",F262="",H262=""),"",IF(NOT(ISNUMBER(B262)),"✗ 日期不是真日期",IF(OR(B262&lt;年初日,B262&gt;年末日),"✗ 日期不在本年度",IF(C262="","✗ 没选供应商",IF(COUNTIF(基础资料!$Q$5:$Q$54,C262)=0,"✗ 供应商不在基础资料里",IF(D262="","✗ 没选商品",IF(COUNTIF(基础资料!$E$5:$E$104,D262)=0,"✗ 商品不在商品档案里",IF(AND(E262="",H262=""),"✗ 没填数量",IF(AND(N(E262)&lt;&gt;0,F262=""),"✗ 没填进价","√")))))))))</f>
      </c>
    </row>
    <row r="263">
      <c r="A263" s="109">
        <f>IF(AND(C263="",D263=""),"",ROW()-3)</f>
      </c>
      <c r="B263" s="140" t="n"/>
      <c r="C263" s="141" t="n"/>
      <c r="D263" s="141" t="n"/>
      <c r="E263" s="148" t="n"/>
      <c r="F263" s="149" t="n"/>
      <c r="G263" s="150">
        <f>IF(AND(E263&lt;&gt;"",F263&lt;&gt;""),E263*F263,"")</f>
      </c>
      <c r="H263" s="148" t="n"/>
      <c r="I263" s="142" t="n"/>
      <c r="J263" s="146">
        <f>IF(AND(B263="",C263="",D263="",E263="",F263="",H263=""),"",IF(NOT(ISNUMBER(B263)),"✗ 日期不是真日期",IF(OR(B263&lt;年初日,B263&gt;年末日),"✗ 日期不在本年度",IF(C263="","✗ 没选供应商",IF(COUNTIF(基础资料!$Q$5:$Q$54,C263)=0,"✗ 供应商不在基础资料里",IF(D263="","✗ 没选商品",IF(COUNTIF(基础资料!$E$5:$E$104,D263)=0,"✗ 商品不在商品档案里",IF(AND(E263="",H263=""),"✗ 没填数量",IF(AND(N(E263)&lt;&gt;0,F263=""),"✗ 没填进价","√")))))))))</f>
      </c>
    </row>
    <row r="264">
      <c r="A264" s="109">
        <f>IF(AND(C264="",D264=""),"",ROW()-3)</f>
      </c>
      <c r="B264" s="140" t="n"/>
      <c r="C264" s="141" t="n"/>
      <c r="D264" s="141" t="n"/>
      <c r="E264" s="148" t="n"/>
      <c r="F264" s="149" t="n"/>
      <c r="G264" s="150">
        <f>IF(AND(E264&lt;&gt;"",F264&lt;&gt;""),E264*F264,"")</f>
      </c>
      <c r="H264" s="148" t="n"/>
      <c r="I264" s="142" t="n"/>
      <c r="J264" s="146">
        <f>IF(AND(B264="",C264="",D264="",E264="",F264="",H264=""),"",IF(NOT(ISNUMBER(B264)),"✗ 日期不是真日期",IF(OR(B264&lt;年初日,B264&gt;年末日),"✗ 日期不在本年度",IF(C264="","✗ 没选供应商",IF(COUNTIF(基础资料!$Q$5:$Q$54,C264)=0,"✗ 供应商不在基础资料里",IF(D264="","✗ 没选商品",IF(COUNTIF(基础资料!$E$5:$E$104,D264)=0,"✗ 商品不在商品档案里",IF(AND(E264="",H264=""),"✗ 没填数量",IF(AND(N(E264)&lt;&gt;0,F264=""),"✗ 没填进价","√")))))))))</f>
      </c>
    </row>
    <row r="265">
      <c r="A265" s="109">
        <f>IF(AND(C265="",D265=""),"",ROW()-3)</f>
      </c>
      <c r="B265" s="140" t="n"/>
      <c r="C265" s="141" t="n"/>
      <c r="D265" s="141" t="n"/>
      <c r="E265" s="148" t="n"/>
      <c r="F265" s="149" t="n"/>
      <c r="G265" s="150">
        <f>IF(AND(E265&lt;&gt;"",F265&lt;&gt;""),E265*F265,"")</f>
      </c>
      <c r="H265" s="148" t="n"/>
      <c r="I265" s="142" t="n"/>
      <c r="J265" s="146">
        <f>IF(AND(B265="",C265="",D265="",E265="",F265="",H265=""),"",IF(NOT(ISNUMBER(B265)),"✗ 日期不是真日期",IF(OR(B265&lt;年初日,B265&gt;年末日),"✗ 日期不在本年度",IF(C265="","✗ 没选供应商",IF(COUNTIF(基础资料!$Q$5:$Q$54,C265)=0,"✗ 供应商不在基础资料里",IF(D265="","✗ 没选商品",IF(COUNTIF(基础资料!$E$5:$E$104,D265)=0,"✗ 商品不在商品档案里",IF(AND(E265="",H265=""),"✗ 没填数量",IF(AND(N(E265)&lt;&gt;0,F265=""),"✗ 没填进价","√")))))))))</f>
      </c>
    </row>
    <row r="266">
      <c r="A266" s="109">
        <f>IF(AND(C266="",D266=""),"",ROW()-3)</f>
      </c>
      <c r="B266" s="140" t="n"/>
      <c r="C266" s="141" t="n"/>
      <c r="D266" s="141" t="n"/>
      <c r="E266" s="148" t="n"/>
      <c r="F266" s="149" t="n"/>
      <c r="G266" s="150">
        <f>IF(AND(E266&lt;&gt;"",F266&lt;&gt;""),E266*F266,"")</f>
      </c>
      <c r="H266" s="148" t="n"/>
      <c r="I266" s="142" t="n"/>
      <c r="J266" s="146">
        <f>IF(AND(B266="",C266="",D266="",E266="",F266="",H266=""),"",IF(NOT(ISNUMBER(B266)),"✗ 日期不是真日期",IF(OR(B266&lt;年初日,B266&gt;年末日),"✗ 日期不在本年度",IF(C266="","✗ 没选供应商",IF(COUNTIF(基础资料!$Q$5:$Q$54,C266)=0,"✗ 供应商不在基础资料里",IF(D266="","✗ 没选商品",IF(COUNTIF(基础资料!$E$5:$E$104,D266)=0,"✗ 商品不在商品档案里",IF(AND(E266="",H266=""),"✗ 没填数量",IF(AND(N(E266)&lt;&gt;0,F266=""),"✗ 没填进价","√")))))))))</f>
      </c>
    </row>
    <row r="267">
      <c r="A267" s="109">
        <f>IF(AND(C267="",D267=""),"",ROW()-3)</f>
      </c>
      <c r="B267" s="140" t="n"/>
      <c r="C267" s="141" t="n"/>
      <c r="D267" s="141" t="n"/>
      <c r="E267" s="148" t="n"/>
      <c r="F267" s="149" t="n"/>
      <c r="G267" s="150">
        <f>IF(AND(E267&lt;&gt;"",F267&lt;&gt;""),E267*F267,"")</f>
      </c>
      <c r="H267" s="148" t="n"/>
      <c r="I267" s="142" t="n"/>
      <c r="J267" s="146">
        <f>IF(AND(B267="",C267="",D267="",E267="",F267="",H267=""),"",IF(NOT(ISNUMBER(B267)),"✗ 日期不是真日期",IF(OR(B267&lt;年初日,B267&gt;年末日),"✗ 日期不在本年度",IF(C267="","✗ 没选供应商",IF(COUNTIF(基础资料!$Q$5:$Q$54,C267)=0,"✗ 供应商不在基础资料里",IF(D267="","✗ 没选商品",IF(COUNTIF(基础资料!$E$5:$E$104,D267)=0,"✗ 商品不在商品档案里",IF(AND(E267="",H267=""),"✗ 没填数量",IF(AND(N(E267)&lt;&gt;0,F267=""),"✗ 没填进价","√")))))))))</f>
      </c>
    </row>
    <row r="268">
      <c r="A268" s="109">
        <f>IF(AND(C268="",D268=""),"",ROW()-3)</f>
      </c>
      <c r="B268" s="140" t="n"/>
      <c r="C268" s="141" t="n"/>
      <c r="D268" s="141" t="n"/>
      <c r="E268" s="148" t="n"/>
      <c r="F268" s="149" t="n"/>
      <c r="G268" s="150">
        <f>IF(AND(E268&lt;&gt;"",F268&lt;&gt;""),E268*F268,"")</f>
      </c>
      <c r="H268" s="148" t="n"/>
      <c r="I268" s="142" t="n"/>
      <c r="J268" s="146">
        <f>IF(AND(B268="",C268="",D268="",E268="",F268="",H268=""),"",IF(NOT(ISNUMBER(B268)),"✗ 日期不是真日期",IF(OR(B268&lt;年初日,B268&gt;年末日),"✗ 日期不在本年度",IF(C268="","✗ 没选供应商",IF(COUNTIF(基础资料!$Q$5:$Q$54,C268)=0,"✗ 供应商不在基础资料里",IF(D268="","✗ 没选商品",IF(COUNTIF(基础资料!$E$5:$E$104,D268)=0,"✗ 商品不在商品档案里",IF(AND(E268="",H268=""),"✗ 没填数量",IF(AND(N(E268)&lt;&gt;0,F268=""),"✗ 没填进价","√")))))))))</f>
      </c>
    </row>
    <row r="269">
      <c r="A269" s="109">
        <f>IF(AND(C269="",D269=""),"",ROW()-3)</f>
      </c>
      <c r="B269" s="140" t="n"/>
      <c r="C269" s="141" t="n"/>
      <c r="D269" s="141" t="n"/>
      <c r="E269" s="148" t="n"/>
      <c r="F269" s="149" t="n"/>
      <c r="G269" s="150">
        <f>IF(AND(E269&lt;&gt;"",F269&lt;&gt;""),E269*F269,"")</f>
      </c>
      <c r="H269" s="148" t="n"/>
      <c r="I269" s="142" t="n"/>
      <c r="J269" s="146">
        <f>IF(AND(B269="",C269="",D269="",E269="",F269="",H269=""),"",IF(NOT(ISNUMBER(B269)),"✗ 日期不是真日期",IF(OR(B269&lt;年初日,B269&gt;年末日),"✗ 日期不在本年度",IF(C269="","✗ 没选供应商",IF(COUNTIF(基础资料!$Q$5:$Q$54,C269)=0,"✗ 供应商不在基础资料里",IF(D269="","✗ 没选商品",IF(COUNTIF(基础资料!$E$5:$E$104,D269)=0,"✗ 商品不在商品档案里",IF(AND(E269="",H269=""),"✗ 没填数量",IF(AND(N(E269)&lt;&gt;0,F269=""),"✗ 没填进价","√")))))))))</f>
      </c>
    </row>
    <row r="270">
      <c r="A270" s="109">
        <f>IF(AND(C270="",D270=""),"",ROW()-3)</f>
      </c>
      <c r="B270" s="140" t="n"/>
      <c r="C270" s="141" t="n"/>
      <c r="D270" s="141" t="n"/>
      <c r="E270" s="148" t="n"/>
      <c r="F270" s="149" t="n"/>
      <c r="G270" s="150">
        <f>IF(AND(E270&lt;&gt;"",F270&lt;&gt;""),E270*F270,"")</f>
      </c>
      <c r="H270" s="148" t="n"/>
      <c r="I270" s="142" t="n"/>
      <c r="J270" s="146">
        <f>IF(AND(B270="",C270="",D270="",E270="",F270="",H270=""),"",IF(NOT(ISNUMBER(B270)),"✗ 日期不是真日期",IF(OR(B270&lt;年初日,B270&gt;年末日),"✗ 日期不在本年度",IF(C270="","✗ 没选供应商",IF(COUNTIF(基础资料!$Q$5:$Q$54,C270)=0,"✗ 供应商不在基础资料里",IF(D270="","✗ 没选商品",IF(COUNTIF(基础资料!$E$5:$E$104,D270)=0,"✗ 商品不在商品档案里",IF(AND(E270="",H270=""),"✗ 没填数量",IF(AND(N(E270)&lt;&gt;0,F270=""),"✗ 没填进价","√")))))))))</f>
      </c>
    </row>
    <row r="271">
      <c r="A271" s="109">
        <f>IF(AND(C271="",D271=""),"",ROW()-3)</f>
      </c>
      <c r="B271" s="140" t="n"/>
      <c r="C271" s="141" t="n"/>
      <c r="D271" s="141" t="n"/>
      <c r="E271" s="148" t="n"/>
      <c r="F271" s="149" t="n"/>
      <c r="G271" s="150">
        <f>IF(AND(E271&lt;&gt;"",F271&lt;&gt;""),E271*F271,"")</f>
      </c>
      <c r="H271" s="148" t="n"/>
      <c r="I271" s="142" t="n"/>
      <c r="J271" s="146">
        <f>IF(AND(B271="",C271="",D271="",E271="",F271="",H271=""),"",IF(NOT(ISNUMBER(B271)),"✗ 日期不是真日期",IF(OR(B271&lt;年初日,B271&gt;年末日),"✗ 日期不在本年度",IF(C271="","✗ 没选供应商",IF(COUNTIF(基础资料!$Q$5:$Q$54,C271)=0,"✗ 供应商不在基础资料里",IF(D271="","✗ 没选商品",IF(COUNTIF(基础资料!$E$5:$E$104,D271)=0,"✗ 商品不在商品档案里",IF(AND(E271="",H271=""),"✗ 没填数量",IF(AND(N(E271)&lt;&gt;0,F271=""),"✗ 没填进价","√")))))))))</f>
      </c>
    </row>
    <row r="272">
      <c r="A272" s="109">
        <f>IF(AND(C272="",D272=""),"",ROW()-3)</f>
      </c>
      <c r="B272" s="140" t="n"/>
      <c r="C272" s="141" t="n"/>
      <c r="D272" s="141" t="n"/>
      <c r="E272" s="148" t="n"/>
      <c r="F272" s="149" t="n"/>
      <c r="G272" s="150">
        <f>IF(AND(E272&lt;&gt;"",F272&lt;&gt;""),E272*F272,"")</f>
      </c>
      <c r="H272" s="148" t="n"/>
      <c r="I272" s="142" t="n"/>
      <c r="J272" s="146">
        <f>IF(AND(B272="",C272="",D272="",E272="",F272="",H272=""),"",IF(NOT(ISNUMBER(B272)),"✗ 日期不是真日期",IF(OR(B272&lt;年初日,B272&gt;年末日),"✗ 日期不在本年度",IF(C272="","✗ 没选供应商",IF(COUNTIF(基础资料!$Q$5:$Q$54,C272)=0,"✗ 供应商不在基础资料里",IF(D272="","✗ 没选商品",IF(COUNTIF(基础资料!$E$5:$E$104,D272)=0,"✗ 商品不在商品档案里",IF(AND(E272="",H272=""),"✗ 没填数量",IF(AND(N(E272)&lt;&gt;0,F272=""),"✗ 没填进价","√")))))))))</f>
      </c>
    </row>
    <row r="273">
      <c r="A273" s="109">
        <f>IF(AND(C273="",D273=""),"",ROW()-3)</f>
      </c>
      <c r="B273" s="140" t="n"/>
      <c r="C273" s="141" t="n"/>
      <c r="D273" s="141" t="n"/>
      <c r="E273" s="148" t="n"/>
      <c r="F273" s="149" t="n"/>
      <c r="G273" s="150">
        <f>IF(AND(E273&lt;&gt;"",F273&lt;&gt;""),E273*F273,"")</f>
      </c>
      <c r="H273" s="148" t="n"/>
      <c r="I273" s="142" t="n"/>
      <c r="J273" s="146">
        <f>IF(AND(B273="",C273="",D273="",E273="",F273="",H273=""),"",IF(NOT(ISNUMBER(B273)),"✗ 日期不是真日期",IF(OR(B273&lt;年初日,B273&gt;年末日),"✗ 日期不在本年度",IF(C273="","✗ 没选供应商",IF(COUNTIF(基础资料!$Q$5:$Q$54,C273)=0,"✗ 供应商不在基础资料里",IF(D273="","✗ 没选商品",IF(COUNTIF(基础资料!$E$5:$E$104,D273)=0,"✗ 商品不在商品档案里",IF(AND(E273="",H273=""),"✗ 没填数量",IF(AND(N(E273)&lt;&gt;0,F273=""),"✗ 没填进价","√")))))))))</f>
      </c>
    </row>
    <row r="274">
      <c r="A274" s="109">
        <f>IF(AND(C274="",D274=""),"",ROW()-3)</f>
      </c>
      <c r="B274" s="140" t="n"/>
      <c r="C274" s="141" t="n"/>
      <c r="D274" s="141" t="n"/>
      <c r="E274" s="148" t="n"/>
      <c r="F274" s="149" t="n"/>
      <c r="G274" s="150">
        <f>IF(AND(E274&lt;&gt;"",F274&lt;&gt;""),E274*F274,"")</f>
      </c>
      <c r="H274" s="148" t="n"/>
      <c r="I274" s="142" t="n"/>
      <c r="J274" s="146">
        <f>IF(AND(B274="",C274="",D274="",E274="",F274="",H274=""),"",IF(NOT(ISNUMBER(B274)),"✗ 日期不是真日期",IF(OR(B274&lt;年初日,B274&gt;年末日),"✗ 日期不在本年度",IF(C274="","✗ 没选供应商",IF(COUNTIF(基础资料!$Q$5:$Q$54,C274)=0,"✗ 供应商不在基础资料里",IF(D274="","✗ 没选商品",IF(COUNTIF(基础资料!$E$5:$E$104,D274)=0,"✗ 商品不在商品档案里",IF(AND(E274="",H274=""),"✗ 没填数量",IF(AND(N(E274)&lt;&gt;0,F274=""),"✗ 没填进价","√")))))))))</f>
      </c>
    </row>
    <row r="275">
      <c r="A275" s="109">
        <f>IF(AND(C275="",D275=""),"",ROW()-3)</f>
      </c>
      <c r="B275" s="140" t="n"/>
      <c r="C275" s="141" t="n"/>
      <c r="D275" s="141" t="n"/>
      <c r="E275" s="148" t="n"/>
      <c r="F275" s="149" t="n"/>
      <c r="G275" s="150">
        <f>IF(AND(E275&lt;&gt;"",F275&lt;&gt;""),E275*F275,"")</f>
      </c>
      <c r="H275" s="148" t="n"/>
      <c r="I275" s="142" t="n"/>
      <c r="J275" s="146">
        <f>IF(AND(B275="",C275="",D275="",E275="",F275="",H275=""),"",IF(NOT(ISNUMBER(B275)),"✗ 日期不是真日期",IF(OR(B275&lt;年初日,B275&gt;年末日),"✗ 日期不在本年度",IF(C275="","✗ 没选供应商",IF(COUNTIF(基础资料!$Q$5:$Q$54,C275)=0,"✗ 供应商不在基础资料里",IF(D275="","✗ 没选商品",IF(COUNTIF(基础资料!$E$5:$E$104,D275)=0,"✗ 商品不在商品档案里",IF(AND(E275="",H275=""),"✗ 没填数量",IF(AND(N(E275)&lt;&gt;0,F275=""),"✗ 没填进价","√")))))))))</f>
      </c>
    </row>
    <row r="276">
      <c r="A276" s="109">
        <f>IF(AND(C276="",D276=""),"",ROW()-3)</f>
      </c>
      <c r="B276" s="140" t="n"/>
      <c r="C276" s="141" t="n"/>
      <c r="D276" s="141" t="n"/>
      <c r="E276" s="148" t="n"/>
      <c r="F276" s="149" t="n"/>
      <c r="G276" s="150">
        <f>IF(AND(E276&lt;&gt;"",F276&lt;&gt;""),E276*F276,"")</f>
      </c>
      <c r="H276" s="148" t="n"/>
      <c r="I276" s="142" t="n"/>
      <c r="J276" s="146">
        <f>IF(AND(B276="",C276="",D276="",E276="",F276="",H276=""),"",IF(NOT(ISNUMBER(B276)),"✗ 日期不是真日期",IF(OR(B276&lt;年初日,B276&gt;年末日),"✗ 日期不在本年度",IF(C276="","✗ 没选供应商",IF(COUNTIF(基础资料!$Q$5:$Q$54,C276)=0,"✗ 供应商不在基础资料里",IF(D276="","✗ 没选商品",IF(COUNTIF(基础资料!$E$5:$E$104,D276)=0,"✗ 商品不在商品档案里",IF(AND(E276="",H276=""),"✗ 没填数量",IF(AND(N(E276)&lt;&gt;0,F276=""),"✗ 没填进价","√")))))))))</f>
      </c>
    </row>
    <row r="277">
      <c r="A277" s="109">
        <f>IF(AND(C277="",D277=""),"",ROW()-3)</f>
      </c>
      <c r="B277" s="140" t="n"/>
      <c r="C277" s="141" t="n"/>
      <c r="D277" s="141" t="n"/>
      <c r="E277" s="148" t="n"/>
      <c r="F277" s="149" t="n"/>
      <c r="G277" s="150">
        <f>IF(AND(E277&lt;&gt;"",F277&lt;&gt;""),E277*F277,"")</f>
      </c>
      <c r="H277" s="148" t="n"/>
      <c r="I277" s="142" t="n"/>
      <c r="J277" s="146">
        <f>IF(AND(B277="",C277="",D277="",E277="",F277="",H277=""),"",IF(NOT(ISNUMBER(B277)),"✗ 日期不是真日期",IF(OR(B277&lt;年初日,B277&gt;年末日),"✗ 日期不在本年度",IF(C277="","✗ 没选供应商",IF(COUNTIF(基础资料!$Q$5:$Q$54,C277)=0,"✗ 供应商不在基础资料里",IF(D277="","✗ 没选商品",IF(COUNTIF(基础资料!$E$5:$E$104,D277)=0,"✗ 商品不在商品档案里",IF(AND(E277="",H277=""),"✗ 没填数量",IF(AND(N(E277)&lt;&gt;0,F277=""),"✗ 没填进价","√")))))))))</f>
      </c>
    </row>
    <row r="278">
      <c r="A278" s="109">
        <f>IF(AND(C278="",D278=""),"",ROW()-3)</f>
      </c>
      <c r="B278" s="140" t="n"/>
      <c r="C278" s="141" t="n"/>
      <c r="D278" s="141" t="n"/>
      <c r="E278" s="148" t="n"/>
      <c r="F278" s="149" t="n"/>
      <c r="G278" s="150">
        <f>IF(AND(E278&lt;&gt;"",F278&lt;&gt;""),E278*F278,"")</f>
      </c>
      <c r="H278" s="148" t="n"/>
      <c r="I278" s="142" t="n"/>
      <c r="J278" s="146">
        <f>IF(AND(B278="",C278="",D278="",E278="",F278="",H278=""),"",IF(NOT(ISNUMBER(B278)),"✗ 日期不是真日期",IF(OR(B278&lt;年初日,B278&gt;年末日),"✗ 日期不在本年度",IF(C278="","✗ 没选供应商",IF(COUNTIF(基础资料!$Q$5:$Q$54,C278)=0,"✗ 供应商不在基础资料里",IF(D278="","✗ 没选商品",IF(COUNTIF(基础资料!$E$5:$E$104,D278)=0,"✗ 商品不在商品档案里",IF(AND(E278="",H278=""),"✗ 没填数量",IF(AND(N(E278)&lt;&gt;0,F278=""),"✗ 没填进价","√")))))))))</f>
      </c>
    </row>
    <row r="279">
      <c r="A279" s="109">
        <f>IF(AND(C279="",D279=""),"",ROW()-3)</f>
      </c>
      <c r="B279" s="140" t="n"/>
      <c r="C279" s="141" t="n"/>
      <c r="D279" s="141" t="n"/>
      <c r="E279" s="148" t="n"/>
      <c r="F279" s="149" t="n"/>
      <c r="G279" s="150">
        <f>IF(AND(E279&lt;&gt;"",F279&lt;&gt;""),E279*F279,"")</f>
      </c>
      <c r="H279" s="148" t="n"/>
      <c r="I279" s="142" t="n"/>
      <c r="J279" s="146">
        <f>IF(AND(B279="",C279="",D279="",E279="",F279="",H279=""),"",IF(NOT(ISNUMBER(B279)),"✗ 日期不是真日期",IF(OR(B279&lt;年初日,B279&gt;年末日),"✗ 日期不在本年度",IF(C279="","✗ 没选供应商",IF(COUNTIF(基础资料!$Q$5:$Q$54,C279)=0,"✗ 供应商不在基础资料里",IF(D279="","✗ 没选商品",IF(COUNTIF(基础资料!$E$5:$E$104,D279)=0,"✗ 商品不在商品档案里",IF(AND(E279="",H279=""),"✗ 没填数量",IF(AND(N(E279)&lt;&gt;0,F279=""),"✗ 没填进价","√")))))))))</f>
      </c>
    </row>
    <row r="280">
      <c r="A280" s="109">
        <f>IF(AND(C280="",D280=""),"",ROW()-3)</f>
      </c>
      <c r="B280" s="140" t="n"/>
      <c r="C280" s="141" t="n"/>
      <c r="D280" s="141" t="n"/>
      <c r="E280" s="148" t="n"/>
      <c r="F280" s="149" t="n"/>
      <c r="G280" s="150">
        <f>IF(AND(E280&lt;&gt;"",F280&lt;&gt;""),E280*F280,"")</f>
      </c>
      <c r="H280" s="148" t="n"/>
      <c r="I280" s="142" t="n"/>
      <c r="J280" s="146">
        <f>IF(AND(B280="",C280="",D280="",E280="",F280="",H280=""),"",IF(NOT(ISNUMBER(B280)),"✗ 日期不是真日期",IF(OR(B280&lt;年初日,B280&gt;年末日),"✗ 日期不在本年度",IF(C280="","✗ 没选供应商",IF(COUNTIF(基础资料!$Q$5:$Q$54,C280)=0,"✗ 供应商不在基础资料里",IF(D280="","✗ 没选商品",IF(COUNTIF(基础资料!$E$5:$E$104,D280)=0,"✗ 商品不在商品档案里",IF(AND(E280="",H280=""),"✗ 没填数量",IF(AND(N(E280)&lt;&gt;0,F280=""),"✗ 没填进价","√")))))))))</f>
      </c>
    </row>
    <row r="281">
      <c r="A281" s="109">
        <f>IF(AND(C281="",D281=""),"",ROW()-3)</f>
      </c>
      <c r="B281" s="140" t="n"/>
      <c r="C281" s="141" t="n"/>
      <c r="D281" s="141" t="n"/>
      <c r="E281" s="148" t="n"/>
      <c r="F281" s="149" t="n"/>
      <c r="G281" s="150">
        <f>IF(AND(E281&lt;&gt;"",F281&lt;&gt;""),E281*F281,"")</f>
      </c>
      <c r="H281" s="148" t="n"/>
      <c r="I281" s="142" t="n"/>
      <c r="J281" s="146">
        <f>IF(AND(B281="",C281="",D281="",E281="",F281="",H281=""),"",IF(NOT(ISNUMBER(B281)),"✗ 日期不是真日期",IF(OR(B281&lt;年初日,B281&gt;年末日),"✗ 日期不在本年度",IF(C281="","✗ 没选供应商",IF(COUNTIF(基础资料!$Q$5:$Q$54,C281)=0,"✗ 供应商不在基础资料里",IF(D281="","✗ 没选商品",IF(COUNTIF(基础资料!$E$5:$E$104,D281)=0,"✗ 商品不在商品档案里",IF(AND(E281="",H281=""),"✗ 没填数量",IF(AND(N(E281)&lt;&gt;0,F281=""),"✗ 没填进价","√")))))))))</f>
      </c>
    </row>
    <row r="282">
      <c r="A282" s="109">
        <f>IF(AND(C282="",D282=""),"",ROW()-3)</f>
      </c>
      <c r="B282" s="140" t="n"/>
      <c r="C282" s="141" t="n"/>
      <c r="D282" s="141" t="n"/>
      <c r="E282" s="148" t="n"/>
      <c r="F282" s="149" t="n"/>
      <c r="G282" s="150">
        <f>IF(AND(E282&lt;&gt;"",F282&lt;&gt;""),E282*F282,"")</f>
      </c>
      <c r="H282" s="148" t="n"/>
      <c r="I282" s="142" t="n"/>
      <c r="J282" s="146">
        <f>IF(AND(B282="",C282="",D282="",E282="",F282="",H282=""),"",IF(NOT(ISNUMBER(B282)),"✗ 日期不是真日期",IF(OR(B282&lt;年初日,B282&gt;年末日),"✗ 日期不在本年度",IF(C282="","✗ 没选供应商",IF(COUNTIF(基础资料!$Q$5:$Q$54,C282)=0,"✗ 供应商不在基础资料里",IF(D282="","✗ 没选商品",IF(COUNTIF(基础资料!$E$5:$E$104,D282)=0,"✗ 商品不在商品档案里",IF(AND(E282="",H282=""),"✗ 没填数量",IF(AND(N(E282)&lt;&gt;0,F282=""),"✗ 没填进价","√")))))))))</f>
      </c>
    </row>
    <row r="283">
      <c r="A283" s="109">
        <f>IF(AND(C283="",D283=""),"",ROW()-3)</f>
      </c>
      <c r="B283" s="140" t="n"/>
      <c r="C283" s="141" t="n"/>
      <c r="D283" s="141" t="n"/>
      <c r="E283" s="148" t="n"/>
      <c r="F283" s="149" t="n"/>
      <c r="G283" s="150">
        <f>IF(AND(E283&lt;&gt;"",F283&lt;&gt;""),E283*F283,"")</f>
      </c>
      <c r="H283" s="148" t="n"/>
      <c r="I283" s="142" t="n"/>
      <c r="J283" s="146">
        <f>IF(AND(B283="",C283="",D283="",E283="",F283="",H283=""),"",IF(NOT(ISNUMBER(B283)),"✗ 日期不是真日期",IF(OR(B283&lt;年初日,B283&gt;年末日),"✗ 日期不在本年度",IF(C283="","✗ 没选供应商",IF(COUNTIF(基础资料!$Q$5:$Q$54,C283)=0,"✗ 供应商不在基础资料里",IF(D283="","✗ 没选商品",IF(COUNTIF(基础资料!$E$5:$E$104,D283)=0,"✗ 商品不在商品档案里",IF(AND(E283="",H283=""),"✗ 没填数量",IF(AND(N(E283)&lt;&gt;0,F283=""),"✗ 没填进价","√")))))))))</f>
      </c>
    </row>
    <row r="284">
      <c r="A284" s="109">
        <f>IF(AND(C284="",D284=""),"",ROW()-3)</f>
      </c>
      <c r="B284" s="140" t="n"/>
      <c r="C284" s="141" t="n"/>
      <c r="D284" s="141" t="n"/>
      <c r="E284" s="148" t="n"/>
      <c r="F284" s="149" t="n"/>
      <c r="G284" s="150">
        <f>IF(AND(E284&lt;&gt;"",F284&lt;&gt;""),E284*F284,"")</f>
      </c>
      <c r="H284" s="148" t="n"/>
      <c r="I284" s="142" t="n"/>
      <c r="J284" s="146">
        <f>IF(AND(B284="",C284="",D284="",E284="",F284="",H284=""),"",IF(NOT(ISNUMBER(B284)),"✗ 日期不是真日期",IF(OR(B284&lt;年初日,B284&gt;年末日),"✗ 日期不在本年度",IF(C284="","✗ 没选供应商",IF(COUNTIF(基础资料!$Q$5:$Q$54,C284)=0,"✗ 供应商不在基础资料里",IF(D284="","✗ 没选商品",IF(COUNTIF(基础资料!$E$5:$E$104,D284)=0,"✗ 商品不在商品档案里",IF(AND(E284="",H284=""),"✗ 没填数量",IF(AND(N(E284)&lt;&gt;0,F284=""),"✗ 没填进价","√")))))))))</f>
      </c>
    </row>
    <row r="285">
      <c r="A285" s="109">
        <f>IF(AND(C285="",D285=""),"",ROW()-3)</f>
      </c>
      <c r="B285" s="140" t="n"/>
      <c r="C285" s="141" t="n"/>
      <c r="D285" s="141" t="n"/>
      <c r="E285" s="148" t="n"/>
      <c r="F285" s="149" t="n"/>
      <c r="G285" s="150">
        <f>IF(AND(E285&lt;&gt;"",F285&lt;&gt;""),E285*F285,"")</f>
      </c>
      <c r="H285" s="148" t="n"/>
      <c r="I285" s="142" t="n"/>
      <c r="J285" s="146">
        <f>IF(AND(B285="",C285="",D285="",E285="",F285="",H285=""),"",IF(NOT(ISNUMBER(B285)),"✗ 日期不是真日期",IF(OR(B285&lt;年初日,B285&gt;年末日),"✗ 日期不在本年度",IF(C285="","✗ 没选供应商",IF(COUNTIF(基础资料!$Q$5:$Q$54,C285)=0,"✗ 供应商不在基础资料里",IF(D285="","✗ 没选商品",IF(COUNTIF(基础资料!$E$5:$E$104,D285)=0,"✗ 商品不在商品档案里",IF(AND(E285="",H285=""),"✗ 没填数量",IF(AND(N(E285)&lt;&gt;0,F285=""),"✗ 没填进价","√")))))))))</f>
      </c>
    </row>
    <row r="286">
      <c r="A286" s="109">
        <f>IF(AND(C286="",D286=""),"",ROW()-3)</f>
      </c>
      <c r="B286" s="140" t="n"/>
      <c r="C286" s="141" t="n"/>
      <c r="D286" s="141" t="n"/>
      <c r="E286" s="148" t="n"/>
      <c r="F286" s="149" t="n"/>
      <c r="G286" s="150">
        <f>IF(AND(E286&lt;&gt;"",F286&lt;&gt;""),E286*F286,"")</f>
      </c>
      <c r="H286" s="148" t="n"/>
      <c r="I286" s="142" t="n"/>
      <c r="J286" s="146">
        <f>IF(AND(B286="",C286="",D286="",E286="",F286="",H286=""),"",IF(NOT(ISNUMBER(B286)),"✗ 日期不是真日期",IF(OR(B286&lt;年初日,B286&gt;年末日),"✗ 日期不在本年度",IF(C286="","✗ 没选供应商",IF(COUNTIF(基础资料!$Q$5:$Q$54,C286)=0,"✗ 供应商不在基础资料里",IF(D286="","✗ 没选商品",IF(COUNTIF(基础资料!$E$5:$E$104,D286)=0,"✗ 商品不在商品档案里",IF(AND(E286="",H286=""),"✗ 没填数量",IF(AND(N(E286)&lt;&gt;0,F286=""),"✗ 没填进价","√")))))))))</f>
      </c>
    </row>
    <row r="287">
      <c r="A287" s="109">
        <f>IF(AND(C287="",D287=""),"",ROW()-3)</f>
      </c>
      <c r="B287" s="140" t="n"/>
      <c r="C287" s="141" t="n"/>
      <c r="D287" s="141" t="n"/>
      <c r="E287" s="148" t="n"/>
      <c r="F287" s="149" t="n"/>
      <c r="G287" s="150">
        <f>IF(AND(E287&lt;&gt;"",F287&lt;&gt;""),E287*F287,"")</f>
      </c>
      <c r="H287" s="148" t="n"/>
      <c r="I287" s="142" t="n"/>
      <c r="J287" s="146">
        <f>IF(AND(B287="",C287="",D287="",E287="",F287="",H287=""),"",IF(NOT(ISNUMBER(B287)),"✗ 日期不是真日期",IF(OR(B287&lt;年初日,B287&gt;年末日),"✗ 日期不在本年度",IF(C287="","✗ 没选供应商",IF(COUNTIF(基础资料!$Q$5:$Q$54,C287)=0,"✗ 供应商不在基础资料里",IF(D287="","✗ 没选商品",IF(COUNTIF(基础资料!$E$5:$E$104,D287)=0,"✗ 商品不在商品档案里",IF(AND(E287="",H287=""),"✗ 没填数量",IF(AND(N(E287)&lt;&gt;0,F287=""),"✗ 没填进价","√")))))))))</f>
      </c>
    </row>
    <row r="288">
      <c r="A288" s="109">
        <f>IF(AND(C288="",D288=""),"",ROW()-3)</f>
      </c>
      <c r="B288" s="140" t="n"/>
      <c r="C288" s="141" t="n"/>
      <c r="D288" s="141" t="n"/>
      <c r="E288" s="148" t="n"/>
      <c r="F288" s="149" t="n"/>
      <c r="G288" s="150">
        <f>IF(AND(E288&lt;&gt;"",F288&lt;&gt;""),E288*F288,"")</f>
      </c>
      <c r="H288" s="148" t="n"/>
      <c r="I288" s="142" t="n"/>
      <c r="J288" s="146">
        <f>IF(AND(B288="",C288="",D288="",E288="",F288="",H288=""),"",IF(NOT(ISNUMBER(B288)),"✗ 日期不是真日期",IF(OR(B288&lt;年初日,B288&gt;年末日),"✗ 日期不在本年度",IF(C288="","✗ 没选供应商",IF(COUNTIF(基础资料!$Q$5:$Q$54,C288)=0,"✗ 供应商不在基础资料里",IF(D288="","✗ 没选商品",IF(COUNTIF(基础资料!$E$5:$E$104,D288)=0,"✗ 商品不在商品档案里",IF(AND(E288="",H288=""),"✗ 没填数量",IF(AND(N(E288)&lt;&gt;0,F288=""),"✗ 没填进价","√")))))))))</f>
      </c>
    </row>
    <row r="289">
      <c r="A289" s="109">
        <f>IF(AND(C289="",D289=""),"",ROW()-3)</f>
      </c>
      <c r="B289" s="140" t="n"/>
      <c r="C289" s="141" t="n"/>
      <c r="D289" s="141" t="n"/>
      <c r="E289" s="148" t="n"/>
      <c r="F289" s="149" t="n"/>
      <c r="G289" s="150">
        <f>IF(AND(E289&lt;&gt;"",F289&lt;&gt;""),E289*F289,"")</f>
      </c>
      <c r="H289" s="148" t="n"/>
      <c r="I289" s="142" t="n"/>
      <c r="J289" s="146">
        <f>IF(AND(B289="",C289="",D289="",E289="",F289="",H289=""),"",IF(NOT(ISNUMBER(B289)),"✗ 日期不是真日期",IF(OR(B289&lt;年初日,B289&gt;年末日),"✗ 日期不在本年度",IF(C289="","✗ 没选供应商",IF(COUNTIF(基础资料!$Q$5:$Q$54,C289)=0,"✗ 供应商不在基础资料里",IF(D289="","✗ 没选商品",IF(COUNTIF(基础资料!$E$5:$E$104,D289)=0,"✗ 商品不在商品档案里",IF(AND(E289="",H289=""),"✗ 没填数量",IF(AND(N(E289)&lt;&gt;0,F289=""),"✗ 没填进价","√")))))))))</f>
      </c>
    </row>
    <row r="290">
      <c r="A290" s="109">
        <f>IF(AND(C290="",D290=""),"",ROW()-3)</f>
      </c>
      <c r="B290" s="140" t="n"/>
      <c r="C290" s="141" t="n"/>
      <c r="D290" s="141" t="n"/>
      <c r="E290" s="148" t="n"/>
      <c r="F290" s="149" t="n"/>
      <c r="G290" s="150">
        <f>IF(AND(E290&lt;&gt;"",F290&lt;&gt;""),E290*F290,"")</f>
      </c>
      <c r="H290" s="148" t="n"/>
      <c r="I290" s="142" t="n"/>
      <c r="J290" s="146">
        <f>IF(AND(B290="",C290="",D290="",E290="",F290="",H290=""),"",IF(NOT(ISNUMBER(B290)),"✗ 日期不是真日期",IF(OR(B290&lt;年初日,B290&gt;年末日),"✗ 日期不在本年度",IF(C290="","✗ 没选供应商",IF(COUNTIF(基础资料!$Q$5:$Q$54,C290)=0,"✗ 供应商不在基础资料里",IF(D290="","✗ 没选商品",IF(COUNTIF(基础资料!$E$5:$E$104,D290)=0,"✗ 商品不在商品档案里",IF(AND(E290="",H290=""),"✗ 没填数量",IF(AND(N(E290)&lt;&gt;0,F290=""),"✗ 没填进价","√")))))))))</f>
      </c>
    </row>
    <row r="291">
      <c r="A291" s="109">
        <f>IF(AND(C291="",D291=""),"",ROW()-3)</f>
      </c>
      <c r="B291" s="140" t="n"/>
      <c r="C291" s="141" t="n"/>
      <c r="D291" s="141" t="n"/>
      <c r="E291" s="148" t="n"/>
      <c r="F291" s="149" t="n"/>
      <c r="G291" s="150">
        <f>IF(AND(E291&lt;&gt;"",F291&lt;&gt;""),E291*F291,"")</f>
      </c>
      <c r="H291" s="148" t="n"/>
      <c r="I291" s="142" t="n"/>
      <c r="J291" s="146">
        <f>IF(AND(B291="",C291="",D291="",E291="",F291="",H291=""),"",IF(NOT(ISNUMBER(B291)),"✗ 日期不是真日期",IF(OR(B291&lt;年初日,B291&gt;年末日),"✗ 日期不在本年度",IF(C291="","✗ 没选供应商",IF(COUNTIF(基础资料!$Q$5:$Q$54,C291)=0,"✗ 供应商不在基础资料里",IF(D291="","✗ 没选商品",IF(COUNTIF(基础资料!$E$5:$E$104,D291)=0,"✗ 商品不在商品档案里",IF(AND(E291="",H291=""),"✗ 没填数量",IF(AND(N(E291)&lt;&gt;0,F291=""),"✗ 没填进价","√")))))))))</f>
      </c>
    </row>
    <row r="292">
      <c r="A292" s="109">
        <f>IF(AND(C292="",D292=""),"",ROW()-3)</f>
      </c>
      <c r="B292" s="140" t="n"/>
      <c r="C292" s="141" t="n"/>
      <c r="D292" s="141" t="n"/>
      <c r="E292" s="148" t="n"/>
      <c r="F292" s="149" t="n"/>
      <c r="G292" s="150">
        <f>IF(AND(E292&lt;&gt;"",F292&lt;&gt;""),E292*F292,"")</f>
      </c>
      <c r="H292" s="148" t="n"/>
      <c r="I292" s="142" t="n"/>
      <c r="J292" s="146">
        <f>IF(AND(B292="",C292="",D292="",E292="",F292="",H292=""),"",IF(NOT(ISNUMBER(B292)),"✗ 日期不是真日期",IF(OR(B292&lt;年初日,B292&gt;年末日),"✗ 日期不在本年度",IF(C292="","✗ 没选供应商",IF(COUNTIF(基础资料!$Q$5:$Q$54,C292)=0,"✗ 供应商不在基础资料里",IF(D292="","✗ 没选商品",IF(COUNTIF(基础资料!$E$5:$E$104,D292)=0,"✗ 商品不在商品档案里",IF(AND(E292="",H292=""),"✗ 没填数量",IF(AND(N(E292)&lt;&gt;0,F292=""),"✗ 没填进价","√")))))))))</f>
      </c>
    </row>
    <row r="293">
      <c r="A293" s="109">
        <f>IF(AND(C293="",D293=""),"",ROW()-3)</f>
      </c>
      <c r="B293" s="140" t="n"/>
      <c r="C293" s="141" t="n"/>
      <c r="D293" s="141" t="n"/>
      <c r="E293" s="148" t="n"/>
      <c r="F293" s="149" t="n"/>
      <c r="G293" s="150">
        <f>IF(AND(E293&lt;&gt;"",F293&lt;&gt;""),E293*F293,"")</f>
      </c>
      <c r="H293" s="148" t="n"/>
      <c r="I293" s="142" t="n"/>
      <c r="J293" s="146">
        <f>IF(AND(B293="",C293="",D293="",E293="",F293="",H293=""),"",IF(NOT(ISNUMBER(B293)),"✗ 日期不是真日期",IF(OR(B293&lt;年初日,B293&gt;年末日),"✗ 日期不在本年度",IF(C293="","✗ 没选供应商",IF(COUNTIF(基础资料!$Q$5:$Q$54,C293)=0,"✗ 供应商不在基础资料里",IF(D293="","✗ 没选商品",IF(COUNTIF(基础资料!$E$5:$E$104,D293)=0,"✗ 商品不在商品档案里",IF(AND(E293="",H293=""),"✗ 没填数量",IF(AND(N(E293)&lt;&gt;0,F293=""),"✗ 没填进价","√")))))))))</f>
      </c>
    </row>
    <row r="294">
      <c r="A294" s="109">
        <f>IF(AND(C294="",D294=""),"",ROW()-3)</f>
      </c>
      <c r="B294" s="140" t="n"/>
      <c r="C294" s="141" t="n"/>
      <c r="D294" s="141" t="n"/>
      <c r="E294" s="148" t="n"/>
      <c r="F294" s="149" t="n"/>
      <c r="G294" s="150">
        <f>IF(AND(E294&lt;&gt;"",F294&lt;&gt;""),E294*F294,"")</f>
      </c>
      <c r="H294" s="148" t="n"/>
      <c r="I294" s="142" t="n"/>
      <c r="J294" s="146">
        <f>IF(AND(B294="",C294="",D294="",E294="",F294="",H294=""),"",IF(NOT(ISNUMBER(B294)),"✗ 日期不是真日期",IF(OR(B294&lt;年初日,B294&gt;年末日),"✗ 日期不在本年度",IF(C294="","✗ 没选供应商",IF(COUNTIF(基础资料!$Q$5:$Q$54,C294)=0,"✗ 供应商不在基础资料里",IF(D294="","✗ 没选商品",IF(COUNTIF(基础资料!$E$5:$E$104,D294)=0,"✗ 商品不在商品档案里",IF(AND(E294="",H294=""),"✗ 没填数量",IF(AND(N(E294)&lt;&gt;0,F294=""),"✗ 没填进价","√")))))))))</f>
      </c>
    </row>
    <row r="295">
      <c r="A295" s="109">
        <f>IF(AND(C295="",D295=""),"",ROW()-3)</f>
      </c>
      <c r="B295" s="140" t="n"/>
      <c r="C295" s="141" t="n"/>
      <c r="D295" s="141" t="n"/>
      <c r="E295" s="148" t="n"/>
      <c r="F295" s="149" t="n"/>
      <c r="G295" s="150">
        <f>IF(AND(E295&lt;&gt;"",F295&lt;&gt;""),E295*F295,"")</f>
      </c>
      <c r="H295" s="148" t="n"/>
      <c r="I295" s="142" t="n"/>
      <c r="J295" s="146">
        <f>IF(AND(B295="",C295="",D295="",E295="",F295="",H295=""),"",IF(NOT(ISNUMBER(B295)),"✗ 日期不是真日期",IF(OR(B295&lt;年初日,B295&gt;年末日),"✗ 日期不在本年度",IF(C295="","✗ 没选供应商",IF(COUNTIF(基础资料!$Q$5:$Q$54,C295)=0,"✗ 供应商不在基础资料里",IF(D295="","✗ 没选商品",IF(COUNTIF(基础资料!$E$5:$E$104,D295)=0,"✗ 商品不在商品档案里",IF(AND(E295="",H295=""),"✗ 没填数量",IF(AND(N(E295)&lt;&gt;0,F295=""),"✗ 没填进价","√")))))))))</f>
      </c>
    </row>
    <row r="296">
      <c r="A296" s="109">
        <f>IF(AND(C296="",D296=""),"",ROW()-3)</f>
      </c>
      <c r="B296" s="140" t="n"/>
      <c r="C296" s="141" t="n"/>
      <c r="D296" s="141" t="n"/>
      <c r="E296" s="148" t="n"/>
      <c r="F296" s="149" t="n"/>
      <c r="G296" s="150">
        <f>IF(AND(E296&lt;&gt;"",F296&lt;&gt;""),E296*F296,"")</f>
      </c>
      <c r="H296" s="148" t="n"/>
      <c r="I296" s="142" t="n"/>
      <c r="J296" s="146">
        <f>IF(AND(B296="",C296="",D296="",E296="",F296="",H296=""),"",IF(NOT(ISNUMBER(B296)),"✗ 日期不是真日期",IF(OR(B296&lt;年初日,B296&gt;年末日),"✗ 日期不在本年度",IF(C296="","✗ 没选供应商",IF(COUNTIF(基础资料!$Q$5:$Q$54,C296)=0,"✗ 供应商不在基础资料里",IF(D296="","✗ 没选商品",IF(COUNTIF(基础资料!$E$5:$E$104,D296)=0,"✗ 商品不在商品档案里",IF(AND(E296="",H296=""),"✗ 没填数量",IF(AND(N(E296)&lt;&gt;0,F296=""),"✗ 没填进价","√")))))))))</f>
      </c>
    </row>
    <row r="297">
      <c r="A297" s="109">
        <f>IF(AND(C297="",D297=""),"",ROW()-3)</f>
      </c>
      <c r="B297" s="140" t="n"/>
      <c r="C297" s="141" t="n"/>
      <c r="D297" s="141" t="n"/>
      <c r="E297" s="148" t="n"/>
      <c r="F297" s="149" t="n"/>
      <c r="G297" s="150">
        <f>IF(AND(E297&lt;&gt;"",F297&lt;&gt;""),E297*F297,"")</f>
      </c>
      <c r="H297" s="148" t="n"/>
      <c r="I297" s="142" t="n"/>
      <c r="J297" s="146">
        <f>IF(AND(B297="",C297="",D297="",E297="",F297="",H297=""),"",IF(NOT(ISNUMBER(B297)),"✗ 日期不是真日期",IF(OR(B297&lt;年初日,B297&gt;年末日),"✗ 日期不在本年度",IF(C297="","✗ 没选供应商",IF(COUNTIF(基础资料!$Q$5:$Q$54,C297)=0,"✗ 供应商不在基础资料里",IF(D297="","✗ 没选商品",IF(COUNTIF(基础资料!$E$5:$E$104,D297)=0,"✗ 商品不在商品档案里",IF(AND(E297="",H297=""),"✗ 没填数量",IF(AND(N(E297)&lt;&gt;0,F297=""),"✗ 没填进价","√")))))))))</f>
      </c>
    </row>
    <row r="298">
      <c r="A298" s="109">
        <f>IF(AND(C298="",D298=""),"",ROW()-3)</f>
      </c>
      <c r="B298" s="140" t="n"/>
      <c r="C298" s="141" t="n"/>
      <c r="D298" s="141" t="n"/>
      <c r="E298" s="148" t="n"/>
      <c r="F298" s="149" t="n"/>
      <c r="G298" s="150">
        <f>IF(AND(E298&lt;&gt;"",F298&lt;&gt;""),E298*F298,"")</f>
      </c>
      <c r="H298" s="148" t="n"/>
      <c r="I298" s="142" t="n"/>
      <c r="J298" s="146">
        <f>IF(AND(B298="",C298="",D298="",E298="",F298="",H298=""),"",IF(NOT(ISNUMBER(B298)),"✗ 日期不是真日期",IF(OR(B298&lt;年初日,B298&gt;年末日),"✗ 日期不在本年度",IF(C298="","✗ 没选供应商",IF(COUNTIF(基础资料!$Q$5:$Q$54,C298)=0,"✗ 供应商不在基础资料里",IF(D298="","✗ 没选商品",IF(COUNTIF(基础资料!$E$5:$E$104,D298)=0,"✗ 商品不在商品档案里",IF(AND(E298="",H298=""),"✗ 没填数量",IF(AND(N(E298)&lt;&gt;0,F298=""),"✗ 没填进价","√")))))))))</f>
      </c>
    </row>
    <row r="299">
      <c r="A299" s="109">
        <f>IF(AND(C299="",D299=""),"",ROW()-3)</f>
      </c>
      <c r="B299" s="140" t="n"/>
      <c r="C299" s="141" t="n"/>
      <c r="D299" s="141" t="n"/>
      <c r="E299" s="148" t="n"/>
      <c r="F299" s="149" t="n"/>
      <c r="G299" s="150">
        <f>IF(AND(E299&lt;&gt;"",F299&lt;&gt;""),E299*F299,"")</f>
      </c>
      <c r="H299" s="148" t="n"/>
      <c r="I299" s="142" t="n"/>
      <c r="J299" s="146">
        <f>IF(AND(B299="",C299="",D299="",E299="",F299="",H299=""),"",IF(NOT(ISNUMBER(B299)),"✗ 日期不是真日期",IF(OR(B299&lt;年初日,B299&gt;年末日),"✗ 日期不在本年度",IF(C299="","✗ 没选供应商",IF(COUNTIF(基础资料!$Q$5:$Q$54,C299)=0,"✗ 供应商不在基础资料里",IF(D299="","✗ 没选商品",IF(COUNTIF(基础资料!$E$5:$E$104,D299)=0,"✗ 商品不在商品档案里",IF(AND(E299="",H299=""),"✗ 没填数量",IF(AND(N(E299)&lt;&gt;0,F299=""),"✗ 没填进价","√")))))))))</f>
      </c>
    </row>
    <row r="300">
      <c r="A300" s="109">
        <f>IF(AND(C300="",D300=""),"",ROW()-3)</f>
      </c>
      <c r="B300" s="140" t="n"/>
      <c r="C300" s="141" t="n"/>
      <c r="D300" s="141" t="n"/>
      <c r="E300" s="148" t="n"/>
      <c r="F300" s="149" t="n"/>
      <c r="G300" s="150">
        <f>IF(AND(E300&lt;&gt;"",F300&lt;&gt;""),E300*F300,"")</f>
      </c>
      <c r="H300" s="148" t="n"/>
      <c r="I300" s="142" t="n"/>
      <c r="J300" s="146">
        <f>IF(AND(B300="",C300="",D300="",E300="",F300="",H300=""),"",IF(NOT(ISNUMBER(B300)),"✗ 日期不是真日期",IF(OR(B300&lt;年初日,B300&gt;年末日),"✗ 日期不在本年度",IF(C300="","✗ 没选供应商",IF(COUNTIF(基础资料!$Q$5:$Q$54,C300)=0,"✗ 供应商不在基础资料里",IF(D300="","✗ 没选商品",IF(COUNTIF(基础资料!$E$5:$E$104,D300)=0,"✗ 商品不在商品档案里",IF(AND(E300="",H300=""),"✗ 没填数量",IF(AND(N(E300)&lt;&gt;0,F300=""),"✗ 没填进价","√")))))))))</f>
      </c>
    </row>
    <row r="301">
      <c r="A301" s="109">
        <f>IF(AND(C301="",D301=""),"",ROW()-3)</f>
      </c>
      <c r="B301" s="140" t="n"/>
      <c r="C301" s="141" t="n"/>
      <c r="D301" s="141" t="n"/>
      <c r="E301" s="148" t="n"/>
      <c r="F301" s="149" t="n"/>
      <c r="G301" s="150">
        <f>IF(AND(E301&lt;&gt;"",F301&lt;&gt;""),E301*F301,"")</f>
      </c>
      <c r="H301" s="148" t="n"/>
      <c r="I301" s="142" t="n"/>
      <c r="J301" s="146">
        <f>IF(AND(B301="",C301="",D301="",E301="",F301="",H301=""),"",IF(NOT(ISNUMBER(B301)),"✗ 日期不是真日期",IF(OR(B301&lt;年初日,B301&gt;年末日),"✗ 日期不在本年度",IF(C301="","✗ 没选供应商",IF(COUNTIF(基础资料!$Q$5:$Q$54,C301)=0,"✗ 供应商不在基础资料里",IF(D301="","✗ 没选商品",IF(COUNTIF(基础资料!$E$5:$E$104,D301)=0,"✗ 商品不在商品档案里",IF(AND(E301="",H301=""),"✗ 没填数量",IF(AND(N(E301)&lt;&gt;0,F301=""),"✗ 没填进价","√")))))))))</f>
      </c>
    </row>
    <row r="302">
      <c r="A302" s="109">
        <f>IF(AND(C302="",D302=""),"",ROW()-3)</f>
      </c>
      <c r="B302" s="140" t="n"/>
      <c r="C302" s="141" t="n"/>
      <c r="D302" s="141" t="n"/>
      <c r="E302" s="148" t="n"/>
      <c r="F302" s="149" t="n"/>
      <c r="G302" s="150">
        <f>IF(AND(E302&lt;&gt;"",F302&lt;&gt;""),E302*F302,"")</f>
      </c>
      <c r="H302" s="148" t="n"/>
      <c r="I302" s="142" t="n"/>
      <c r="J302" s="146">
        <f>IF(AND(B302="",C302="",D302="",E302="",F302="",H302=""),"",IF(NOT(ISNUMBER(B302)),"✗ 日期不是真日期",IF(OR(B302&lt;年初日,B302&gt;年末日),"✗ 日期不在本年度",IF(C302="","✗ 没选供应商",IF(COUNTIF(基础资料!$Q$5:$Q$54,C302)=0,"✗ 供应商不在基础资料里",IF(D302="","✗ 没选商品",IF(COUNTIF(基础资料!$E$5:$E$104,D302)=0,"✗ 商品不在商品档案里",IF(AND(E302="",H302=""),"✗ 没填数量",IF(AND(N(E302)&lt;&gt;0,F302=""),"✗ 没填进价","√")))))))))</f>
      </c>
    </row>
    <row r="303">
      <c r="A303" s="109">
        <f>IF(AND(C303="",D303=""),"",ROW()-3)</f>
      </c>
      <c r="B303" s="140" t="n"/>
      <c r="C303" s="141" t="n"/>
      <c r="D303" s="141" t="n"/>
      <c r="E303" s="148" t="n"/>
      <c r="F303" s="149" t="n"/>
      <c r="G303" s="150">
        <f>IF(AND(E303&lt;&gt;"",F303&lt;&gt;""),E303*F303,"")</f>
      </c>
      <c r="H303" s="148" t="n"/>
      <c r="I303" s="142" t="n"/>
      <c r="J303" s="146">
        <f>IF(AND(B303="",C303="",D303="",E303="",F303="",H303=""),"",IF(NOT(ISNUMBER(B303)),"✗ 日期不是真日期",IF(OR(B303&lt;年初日,B303&gt;年末日),"✗ 日期不在本年度",IF(C303="","✗ 没选供应商",IF(COUNTIF(基础资料!$Q$5:$Q$54,C303)=0,"✗ 供应商不在基础资料里",IF(D303="","✗ 没选商品",IF(COUNTIF(基础资料!$E$5:$E$104,D303)=0,"✗ 商品不在商品档案里",IF(AND(E303="",H303=""),"✗ 没填数量",IF(AND(N(E303)&lt;&gt;0,F303=""),"✗ 没填进价","√")))))))))</f>
      </c>
    </row>
    <row r="304">
      <c r="A304" s="109">
        <f>IF(AND(C304="",D304=""),"",ROW()-3)</f>
      </c>
      <c r="B304" s="140" t="n"/>
      <c r="C304" s="141" t="n"/>
      <c r="D304" s="141" t="n"/>
      <c r="E304" s="148" t="n"/>
      <c r="F304" s="149" t="n"/>
      <c r="G304" s="150">
        <f>IF(AND(E304&lt;&gt;"",F304&lt;&gt;""),E304*F304,"")</f>
      </c>
      <c r="H304" s="148" t="n"/>
      <c r="I304" s="142" t="n"/>
      <c r="J304" s="146">
        <f>IF(AND(B304="",C304="",D304="",E304="",F304="",H304=""),"",IF(NOT(ISNUMBER(B304)),"✗ 日期不是真日期",IF(OR(B304&lt;年初日,B304&gt;年末日),"✗ 日期不在本年度",IF(C304="","✗ 没选供应商",IF(COUNTIF(基础资料!$Q$5:$Q$54,C304)=0,"✗ 供应商不在基础资料里",IF(D304="","✗ 没选商品",IF(COUNTIF(基础资料!$E$5:$E$104,D304)=0,"✗ 商品不在商品档案里",IF(AND(E304="",H304=""),"✗ 没填数量",IF(AND(N(E304)&lt;&gt;0,F304=""),"✗ 没填进价","√")))))))))</f>
      </c>
    </row>
    <row r="305">
      <c r="A305" s="109">
        <f>IF(AND(C305="",D305=""),"",ROW()-3)</f>
      </c>
      <c r="B305" s="140" t="n"/>
      <c r="C305" s="141" t="n"/>
      <c r="D305" s="141" t="n"/>
      <c r="E305" s="148" t="n"/>
      <c r="F305" s="149" t="n"/>
      <c r="G305" s="150">
        <f>IF(AND(E305&lt;&gt;"",F305&lt;&gt;""),E305*F305,"")</f>
      </c>
      <c r="H305" s="148" t="n"/>
      <c r="I305" s="142" t="n"/>
      <c r="J305" s="146">
        <f>IF(AND(B305="",C305="",D305="",E305="",F305="",H305=""),"",IF(NOT(ISNUMBER(B305)),"✗ 日期不是真日期",IF(OR(B305&lt;年初日,B305&gt;年末日),"✗ 日期不在本年度",IF(C305="","✗ 没选供应商",IF(COUNTIF(基础资料!$Q$5:$Q$54,C305)=0,"✗ 供应商不在基础资料里",IF(D305="","✗ 没选商品",IF(COUNTIF(基础资料!$E$5:$E$104,D305)=0,"✗ 商品不在商品档案里",IF(AND(E305="",H305=""),"✗ 没填数量",IF(AND(N(E305)&lt;&gt;0,F305=""),"✗ 没填进价","√")))))))))</f>
      </c>
    </row>
    <row r="306">
      <c r="A306" s="109">
        <f>IF(AND(C306="",D306=""),"",ROW()-3)</f>
      </c>
      <c r="B306" s="140" t="n"/>
      <c r="C306" s="141" t="n"/>
      <c r="D306" s="141" t="n"/>
      <c r="E306" s="148" t="n"/>
      <c r="F306" s="149" t="n"/>
      <c r="G306" s="150">
        <f>IF(AND(E306&lt;&gt;"",F306&lt;&gt;""),E306*F306,"")</f>
      </c>
      <c r="H306" s="148" t="n"/>
      <c r="I306" s="142" t="n"/>
      <c r="J306" s="146">
        <f>IF(AND(B306="",C306="",D306="",E306="",F306="",H306=""),"",IF(NOT(ISNUMBER(B306)),"✗ 日期不是真日期",IF(OR(B306&lt;年初日,B306&gt;年末日),"✗ 日期不在本年度",IF(C306="","✗ 没选供应商",IF(COUNTIF(基础资料!$Q$5:$Q$54,C306)=0,"✗ 供应商不在基础资料里",IF(D306="","✗ 没选商品",IF(COUNTIF(基础资料!$E$5:$E$104,D306)=0,"✗ 商品不在商品档案里",IF(AND(E306="",H306=""),"✗ 没填数量",IF(AND(N(E306)&lt;&gt;0,F306=""),"✗ 没填进价","√")))))))))</f>
      </c>
    </row>
    <row r="307">
      <c r="A307" s="109">
        <f>IF(AND(C307="",D307=""),"",ROW()-3)</f>
      </c>
      <c r="B307" s="140" t="n"/>
      <c r="C307" s="141" t="n"/>
      <c r="D307" s="141" t="n"/>
      <c r="E307" s="148" t="n"/>
      <c r="F307" s="149" t="n"/>
      <c r="G307" s="150">
        <f>IF(AND(E307&lt;&gt;"",F307&lt;&gt;""),E307*F307,"")</f>
      </c>
      <c r="H307" s="148" t="n"/>
      <c r="I307" s="142" t="n"/>
      <c r="J307" s="146">
        <f>IF(AND(B307="",C307="",D307="",E307="",F307="",H307=""),"",IF(NOT(ISNUMBER(B307)),"✗ 日期不是真日期",IF(OR(B307&lt;年初日,B307&gt;年末日),"✗ 日期不在本年度",IF(C307="","✗ 没选供应商",IF(COUNTIF(基础资料!$Q$5:$Q$54,C307)=0,"✗ 供应商不在基础资料里",IF(D307="","✗ 没选商品",IF(COUNTIF(基础资料!$E$5:$E$104,D307)=0,"✗ 商品不在商品档案里",IF(AND(E307="",H307=""),"✗ 没填数量",IF(AND(N(E307)&lt;&gt;0,F307=""),"✗ 没填进价","√")))))))))</f>
      </c>
    </row>
    <row r="308">
      <c r="A308" s="109">
        <f>IF(AND(C308="",D308=""),"",ROW()-3)</f>
      </c>
      <c r="B308" s="140" t="n"/>
      <c r="C308" s="141" t="n"/>
      <c r="D308" s="141" t="n"/>
      <c r="E308" s="148" t="n"/>
      <c r="F308" s="149" t="n"/>
      <c r="G308" s="150">
        <f>IF(AND(E308&lt;&gt;"",F308&lt;&gt;""),E308*F308,"")</f>
      </c>
      <c r="H308" s="148" t="n"/>
      <c r="I308" s="142" t="n"/>
      <c r="J308" s="146">
        <f>IF(AND(B308="",C308="",D308="",E308="",F308="",H308=""),"",IF(NOT(ISNUMBER(B308)),"✗ 日期不是真日期",IF(OR(B308&lt;年初日,B308&gt;年末日),"✗ 日期不在本年度",IF(C308="","✗ 没选供应商",IF(COUNTIF(基础资料!$Q$5:$Q$54,C308)=0,"✗ 供应商不在基础资料里",IF(D308="","✗ 没选商品",IF(COUNTIF(基础资料!$E$5:$E$104,D308)=0,"✗ 商品不在商品档案里",IF(AND(E308="",H308=""),"✗ 没填数量",IF(AND(N(E308)&lt;&gt;0,F308=""),"✗ 没填进价","√")))))))))</f>
      </c>
    </row>
    <row r="309">
      <c r="A309" s="109">
        <f>IF(AND(C309="",D309=""),"",ROW()-3)</f>
      </c>
      <c r="B309" s="140" t="n"/>
      <c r="C309" s="141" t="n"/>
      <c r="D309" s="141" t="n"/>
      <c r="E309" s="148" t="n"/>
      <c r="F309" s="149" t="n"/>
      <c r="G309" s="150">
        <f>IF(AND(E309&lt;&gt;"",F309&lt;&gt;""),E309*F309,"")</f>
      </c>
      <c r="H309" s="148" t="n"/>
      <c r="I309" s="142" t="n"/>
      <c r="J309" s="146">
        <f>IF(AND(B309="",C309="",D309="",E309="",F309="",H309=""),"",IF(NOT(ISNUMBER(B309)),"✗ 日期不是真日期",IF(OR(B309&lt;年初日,B309&gt;年末日),"✗ 日期不在本年度",IF(C309="","✗ 没选供应商",IF(COUNTIF(基础资料!$Q$5:$Q$54,C309)=0,"✗ 供应商不在基础资料里",IF(D309="","✗ 没选商品",IF(COUNTIF(基础资料!$E$5:$E$104,D309)=0,"✗ 商品不在商品档案里",IF(AND(E309="",H309=""),"✗ 没填数量",IF(AND(N(E309)&lt;&gt;0,F309=""),"✗ 没填进价","√")))))))))</f>
      </c>
    </row>
    <row r="310">
      <c r="A310" s="109">
        <f>IF(AND(C310="",D310=""),"",ROW()-3)</f>
      </c>
      <c r="B310" s="140" t="n"/>
      <c r="C310" s="141" t="n"/>
      <c r="D310" s="141" t="n"/>
      <c r="E310" s="148" t="n"/>
      <c r="F310" s="149" t="n"/>
      <c r="G310" s="150">
        <f>IF(AND(E310&lt;&gt;"",F310&lt;&gt;""),E310*F310,"")</f>
      </c>
      <c r="H310" s="148" t="n"/>
      <c r="I310" s="142" t="n"/>
      <c r="J310" s="146">
        <f>IF(AND(B310="",C310="",D310="",E310="",F310="",H310=""),"",IF(NOT(ISNUMBER(B310)),"✗ 日期不是真日期",IF(OR(B310&lt;年初日,B310&gt;年末日),"✗ 日期不在本年度",IF(C310="","✗ 没选供应商",IF(COUNTIF(基础资料!$Q$5:$Q$54,C310)=0,"✗ 供应商不在基础资料里",IF(D310="","✗ 没选商品",IF(COUNTIF(基础资料!$E$5:$E$104,D310)=0,"✗ 商品不在商品档案里",IF(AND(E310="",H310=""),"✗ 没填数量",IF(AND(N(E310)&lt;&gt;0,F310=""),"✗ 没填进价","√")))))))))</f>
      </c>
    </row>
    <row r="311">
      <c r="A311" s="109">
        <f>IF(AND(C311="",D311=""),"",ROW()-3)</f>
      </c>
      <c r="B311" s="140" t="n"/>
      <c r="C311" s="141" t="n"/>
      <c r="D311" s="141" t="n"/>
      <c r="E311" s="148" t="n"/>
      <c r="F311" s="149" t="n"/>
      <c r="G311" s="150">
        <f>IF(AND(E311&lt;&gt;"",F311&lt;&gt;""),E311*F311,"")</f>
      </c>
      <c r="H311" s="148" t="n"/>
      <c r="I311" s="142" t="n"/>
      <c r="J311" s="146">
        <f>IF(AND(B311="",C311="",D311="",E311="",F311="",H311=""),"",IF(NOT(ISNUMBER(B311)),"✗ 日期不是真日期",IF(OR(B311&lt;年初日,B311&gt;年末日),"✗ 日期不在本年度",IF(C311="","✗ 没选供应商",IF(COUNTIF(基础资料!$Q$5:$Q$54,C311)=0,"✗ 供应商不在基础资料里",IF(D311="","✗ 没选商品",IF(COUNTIF(基础资料!$E$5:$E$104,D311)=0,"✗ 商品不在商品档案里",IF(AND(E311="",H311=""),"✗ 没填数量",IF(AND(N(E311)&lt;&gt;0,F311=""),"✗ 没填进价","√")))))))))</f>
      </c>
    </row>
    <row r="312">
      <c r="A312" s="109">
        <f>IF(AND(C312="",D312=""),"",ROW()-3)</f>
      </c>
      <c r="B312" s="140" t="n"/>
      <c r="C312" s="141" t="n"/>
      <c r="D312" s="141" t="n"/>
      <c r="E312" s="148" t="n"/>
      <c r="F312" s="149" t="n"/>
      <c r="G312" s="150">
        <f>IF(AND(E312&lt;&gt;"",F312&lt;&gt;""),E312*F312,"")</f>
      </c>
      <c r="H312" s="148" t="n"/>
      <c r="I312" s="142" t="n"/>
      <c r="J312" s="146">
        <f>IF(AND(B312="",C312="",D312="",E312="",F312="",H312=""),"",IF(NOT(ISNUMBER(B312)),"✗ 日期不是真日期",IF(OR(B312&lt;年初日,B312&gt;年末日),"✗ 日期不在本年度",IF(C312="","✗ 没选供应商",IF(COUNTIF(基础资料!$Q$5:$Q$54,C312)=0,"✗ 供应商不在基础资料里",IF(D312="","✗ 没选商品",IF(COUNTIF(基础资料!$E$5:$E$104,D312)=0,"✗ 商品不在商品档案里",IF(AND(E312="",H312=""),"✗ 没填数量",IF(AND(N(E312)&lt;&gt;0,F312=""),"✗ 没填进价","√")))))))))</f>
      </c>
    </row>
    <row r="313">
      <c r="A313" s="109">
        <f>IF(AND(C313="",D313=""),"",ROW()-3)</f>
      </c>
      <c r="B313" s="140" t="n"/>
      <c r="C313" s="141" t="n"/>
      <c r="D313" s="141" t="n"/>
      <c r="E313" s="148" t="n"/>
      <c r="F313" s="149" t="n"/>
      <c r="G313" s="150">
        <f>IF(AND(E313&lt;&gt;"",F313&lt;&gt;""),E313*F313,"")</f>
      </c>
      <c r="H313" s="148" t="n"/>
      <c r="I313" s="142" t="n"/>
      <c r="J313" s="146">
        <f>IF(AND(B313="",C313="",D313="",E313="",F313="",H313=""),"",IF(NOT(ISNUMBER(B313)),"✗ 日期不是真日期",IF(OR(B313&lt;年初日,B313&gt;年末日),"✗ 日期不在本年度",IF(C313="","✗ 没选供应商",IF(COUNTIF(基础资料!$Q$5:$Q$54,C313)=0,"✗ 供应商不在基础资料里",IF(D313="","✗ 没选商品",IF(COUNTIF(基础资料!$E$5:$E$104,D313)=0,"✗ 商品不在商品档案里",IF(AND(E313="",H313=""),"✗ 没填数量",IF(AND(N(E313)&lt;&gt;0,F313=""),"✗ 没填进价","√")))))))))</f>
      </c>
    </row>
    <row r="314">
      <c r="A314" s="109">
        <f>IF(AND(C314="",D314=""),"",ROW()-3)</f>
      </c>
      <c r="B314" s="140" t="n"/>
      <c r="C314" s="141" t="n"/>
      <c r="D314" s="141" t="n"/>
      <c r="E314" s="148" t="n"/>
      <c r="F314" s="149" t="n"/>
      <c r="G314" s="150">
        <f>IF(AND(E314&lt;&gt;"",F314&lt;&gt;""),E314*F314,"")</f>
      </c>
      <c r="H314" s="148" t="n"/>
      <c r="I314" s="142" t="n"/>
      <c r="J314" s="146">
        <f>IF(AND(B314="",C314="",D314="",E314="",F314="",H314=""),"",IF(NOT(ISNUMBER(B314)),"✗ 日期不是真日期",IF(OR(B314&lt;年初日,B314&gt;年末日),"✗ 日期不在本年度",IF(C314="","✗ 没选供应商",IF(COUNTIF(基础资料!$Q$5:$Q$54,C314)=0,"✗ 供应商不在基础资料里",IF(D314="","✗ 没选商品",IF(COUNTIF(基础资料!$E$5:$E$104,D314)=0,"✗ 商品不在商品档案里",IF(AND(E314="",H314=""),"✗ 没填数量",IF(AND(N(E314)&lt;&gt;0,F314=""),"✗ 没填进价","√")))))))))</f>
      </c>
    </row>
    <row r="315">
      <c r="A315" s="109">
        <f>IF(AND(C315="",D315=""),"",ROW()-3)</f>
      </c>
      <c r="B315" s="140" t="n"/>
      <c r="C315" s="141" t="n"/>
      <c r="D315" s="141" t="n"/>
      <c r="E315" s="148" t="n"/>
      <c r="F315" s="149" t="n"/>
      <c r="G315" s="150">
        <f>IF(AND(E315&lt;&gt;"",F315&lt;&gt;""),E315*F315,"")</f>
      </c>
      <c r="H315" s="148" t="n"/>
      <c r="I315" s="142" t="n"/>
      <c r="J315" s="146">
        <f>IF(AND(B315="",C315="",D315="",E315="",F315="",H315=""),"",IF(NOT(ISNUMBER(B315)),"✗ 日期不是真日期",IF(OR(B315&lt;年初日,B315&gt;年末日),"✗ 日期不在本年度",IF(C315="","✗ 没选供应商",IF(COUNTIF(基础资料!$Q$5:$Q$54,C315)=0,"✗ 供应商不在基础资料里",IF(D315="","✗ 没选商品",IF(COUNTIF(基础资料!$E$5:$E$104,D315)=0,"✗ 商品不在商品档案里",IF(AND(E315="",H315=""),"✗ 没填数量",IF(AND(N(E315)&lt;&gt;0,F315=""),"✗ 没填进价","√")))))))))</f>
      </c>
    </row>
    <row r="316">
      <c r="A316" s="109">
        <f>IF(AND(C316="",D316=""),"",ROW()-3)</f>
      </c>
      <c r="B316" s="140" t="n"/>
      <c r="C316" s="141" t="n"/>
      <c r="D316" s="141" t="n"/>
      <c r="E316" s="148" t="n"/>
      <c r="F316" s="149" t="n"/>
      <c r="G316" s="150">
        <f>IF(AND(E316&lt;&gt;"",F316&lt;&gt;""),E316*F316,"")</f>
      </c>
      <c r="H316" s="148" t="n"/>
      <c r="I316" s="142" t="n"/>
      <c r="J316" s="146">
        <f>IF(AND(B316="",C316="",D316="",E316="",F316="",H316=""),"",IF(NOT(ISNUMBER(B316)),"✗ 日期不是真日期",IF(OR(B316&lt;年初日,B316&gt;年末日),"✗ 日期不在本年度",IF(C316="","✗ 没选供应商",IF(COUNTIF(基础资料!$Q$5:$Q$54,C316)=0,"✗ 供应商不在基础资料里",IF(D316="","✗ 没选商品",IF(COUNTIF(基础资料!$E$5:$E$104,D316)=0,"✗ 商品不在商品档案里",IF(AND(E316="",H316=""),"✗ 没填数量",IF(AND(N(E316)&lt;&gt;0,F316=""),"✗ 没填进价","√")))))))))</f>
      </c>
    </row>
    <row r="317">
      <c r="A317" s="109">
        <f>IF(AND(C317="",D317=""),"",ROW()-3)</f>
      </c>
      <c r="B317" s="140" t="n"/>
      <c r="C317" s="141" t="n"/>
      <c r="D317" s="141" t="n"/>
      <c r="E317" s="148" t="n"/>
      <c r="F317" s="149" t="n"/>
      <c r="G317" s="150">
        <f>IF(AND(E317&lt;&gt;"",F317&lt;&gt;""),E317*F317,"")</f>
      </c>
      <c r="H317" s="148" t="n"/>
      <c r="I317" s="142" t="n"/>
      <c r="J317" s="146">
        <f>IF(AND(B317="",C317="",D317="",E317="",F317="",H317=""),"",IF(NOT(ISNUMBER(B317)),"✗ 日期不是真日期",IF(OR(B317&lt;年初日,B317&gt;年末日),"✗ 日期不在本年度",IF(C317="","✗ 没选供应商",IF(COUNTIF(基础资料!$Q$5:$Q$54,C317)=0,"✗ 供应商不在基础资料里",IF(D317="","✗ 没选商品",IF(COUNTIF(基础资料!$E$5:$E$104,D317)=0,"✗ 商品不在商品档案里",IF(AND(E317="",H317=""),"✗ 没填数量",IF(AND(N(E317)&lt;&gt;0,F317=""),"✗ 没填进价","√")))))))))</f>
      </c>
    </row>
    <row r="318">
      <c r="A318" s="109">
        <f>IF(AND(C318="",D318=""),"",ROW()-3)</f>
      </c>
      <c r="B318" s="140" t="n"/>
      <c r="C318" s="141" t="n"/>
      <c r="D318" s="141" t="n"/>
      <c r="E318" s="148" t="n"/>
      <c r="F318" s="149" t="n"/>
      <c r="G318" s="150">
        <f>IF(AND(E318&lt;&gt;"",F318&lt;&gt;""),E318*F318,"")</f>
      </c>
      <c r="H318" s="148" t="n"/>
      <c r="I318" s="142" t="n"/>
      <c r="J318" s="146">
        <f>IF(AND(B318="",C318="",D318="",E318="",F318="",H318=""),"",IF(NOT(ISNUMBER(B318)),"✗ 日期不是真日期",IF(OR(B318&lt;年初日,B318&gt;年末日),"✗ 日期不在本年度",IF(C318="","✗ 没选供应商",IF(COUNTIF(基础资料!$Q$5:$Q$54,C318)=0,"✗ 供应商不在基础资料里",IF(D318="","✗ 没选商品",IF(COUNTIF(基础资料!$E$5:$E$104,D318)=0,"✗ 商品不在商品档案里",IF(AND(E318="",H318=""),"✗ 没填数量",IF(AND(N(E318)&lt;&gt;0,F318=""),"✗ 没填进价","√")))))))))</f>
      </c>
    </row>
    <row r="319">
      <c r="A319" s="109">
        <f>IF(AND(C319="",D319=""),"",ROW()-3)</f>
      </c>
      <c r="B319" s="140" t="n"/>
      <c r="C319" s="141" t="n"/>
      <c r="D319" s="141" t="n"/>
      <c r="E319" s="148" t="n"/>
      <c r="F319" s="149" t="n"/>
      <c r="G319" s="150">
        <f>IF(AND(E319&lt;&gt;"",F319&lt;&gt;""),E319*F319,"")</f>
      </c>
      <c r="H319" s="148" t="n"/>
      <c r="I319" s="142" t="n"/>
      <c r="J319" s="146">
        <f>IF(AND(B319="",C319="",D319="",E319="",F319="",H319=""),"",IF(NOT(ISNUMBER(B319)),"✗ 日期不是真日期",IF(OR(B319&lt;年初日,B319&gt;年末日),"✗ 日期不在本年度",IF(C319="","✗ 没选供应商",IF(COUNTIF(基础资料!$Q$5:$Q$54,C319)=0,"✗ 供应商不在基础资料里",IF(D319="","✗ 没选商品",IF(COUNTIF(基础资料!$E$5:$E$104,D319)=0,"✗ 商品不在商品档案里",IF(AND(E319="",H319=""),"✗ 没填数量",IF(AND(N(E319)&lt;&gt;0,F319=""),"✗ 没填进价","√")))))))))</f>
      </c>
    </row>
    <row r="320">
      <c r="A320" s="109">
        <f>IF(AND(C320="",D320=""),"",ROW()-3)</f>
      </c>
      <c r="B320" s="140" t="n"/>
      <c r="C320" s="141" t="n"/>
      <c r="D320" s="141" t="n"/>
      <c r="E320" s="148" t="n"/>
      <c r="F320" s="149" t="n"/>
      <c r="G320" s="150">
        <f>IF(AND(E320&lt;&gt;"",F320&lt;&gt;""),E320*F320,"")</f>
      </c>
      <c r="H320" s="148" t="n"/>
      <c r="I320" s="142" t="n"/>
      <c r="J320" s="146">
        <f>IF(AND(B320="",C320="",D320="",E320="",F320="",H320=""),"",IF(NOT(ISNUMBER(B320)),"✗ 日期不是真日期",IF(OR(B320&lt;年初日,B320&gt;年末日),"✗ 日期不在本年度",IF(C320="","✗ 没选供应商",IF(COUNTIF(基础资料!$Q$5:$Q$54,C320)=0,"✗ 供应商不在基础资料里",IF(D320="","✗ 没选商品",IF(COUNTIF(基础资料!$E$5:$E$104,D320)=0,"✗ 商品不在商品档案里",IF(AND(E320="",H320=""),"✗ 没填数量",IF(AND(N(E320)&lt;&gt;0,F320=""),"✗ 没填进价","√")))))))))</f>
      </c>
    </row>
    <row r="321">
      <c r="A321" s="109">
        <f>IF(AND(C321="",D321=""),"",ROW()-3)</f>
      </c>
      <c r="B321" s="140" t="n"/>
      <c r="C321" s="141" t="n"/>
      <c r="D321" s="141" t="n"/>
      <c r="E321" s="148" t="n"/>
      <c r="F321" s="149" t="n"/>
      <c r="G321" s="150">
        <f>IF(AND(E321&lt;&gt;"",F321&lt;&gt;""),E321*F321,"")</f>
      </c>
      <c r="H321" s="148" t="n"/>
      <c r="I321" s="142" t="n"/>
      <c r="J321" s="146">
        <f>IF(AND(B321="",C321="",D321="",E321="",F321="",H321=""),"",IF(NOT(ISNUMBER(B321)),"✗ 日期不是真日期",IF(OR(B321&lt;年初日,B321&gt;年末日),"✗ 日期不在本年度",IF(C321="","✗ 没选供应商",IF(COUNTIF(基础资料!$Q$5:$Q$54,C321)=0,"✗ 供应商不在基础资料里",IF(D321="","✗ 没选商品",IF(COUNTIF(基础资料!$E$5:$E$104,D321)=0,"✗ 商品不在商品档案里",IF(AND(E321="",H321=""),"✗ 没填数量",IF(AND(N(E321)&lt;&gt;0,F321=""),"✗ 没填进价","√")))))))))</f>
      </c>
    </row>
    <row r="322">
      <c r="A322" s="109">
        <f>IF(AND(C322="",D322=""),"",ROW()-3)</f>
      </c>
      <c r="B322" s="140" t="n"/>
      <c r="C322" s="141" t="n"/>
      <c r="D322" s="141" t="n"/>
      <c r="E322" s="148" t="n"/>
      <c r="F322" s="149" t="n"/>
      <c r="G322" s="150">
        <f>IF(AND(E322&lt;&gt;"",F322&lt;&gt;""),E322*F322,"")</f>
      </c>
      <c r="H322" s="148" t="n"/>
      <c r="I322" s="142" t="n"/>
      <c r="J322" s="146">
        <f>IF(AND(B322="",C322="",D322="",E322="",F322="",H322=""),"",IF(NOT(ISNUMBER(B322)),"✗ 日期不是真日期",IF(OR(B322&lt;年初日,B322&gt;年末日),"✗ 日期不在本年度",IF(C322="","✗ 没选供应商",IF(COUNTIF(基础资料!$Q$5:$Q$54,C322)=0,"✗ 供应商不在基础资料里",IF(D322="","✗ 没选商品",IF(COUNTIF(基础资料!$E$5:$E$104,D322)=0,"✗ 商品不在商品档案里",IF(AND(E322="",H322=""),"✗ 没填数量",IF(AND(N(E322)&lt;&gt;0,F322=""),"✗ 没填进价","√")))))))))</f>
      </c>
    </row>
    <row r="323">
      <c r="A323" s="109">
        <f>IF(AND(C323="",D323=""),"",ROW()-3)</f>
      </c>
      <c r="B323" s="140" t="n"/>
      <c r="C323" s="141" t="n"/>
      <c r="D323" s="141" t="n"/>
      <c r="E323" s="148" t="n"/>
      <c r="F323" s="149" t="n"/>
      <c r="G323" s="150">
        <f>IF(AND(E323&lt;&gt;"",F323&lt;&gt;""),E323*F323,"")</f>
      </c>
      <c r="H323" s="148" t="n"/>
      <c r="I323" s="142" t="n"/>
      <c r="J323" s="146">
        <f>IF(AND(B323="",C323="",D323="",E323="",F323="",H323=""),"",IF(NOT(ISNUMBER(B323)),"✗ 日期不是真日期",IF(OR(B323&lt;年初日,B323&gt;年末日),"✗ 日期不在本年度",IF(C323="","✗ 没选供应商",IF(COUNTIF(基础资料!$Q$5:$Q$54,C323)=0,"✗ 供应商不在基础资料里",IF(D323="","✗ 没选商品",IF(COUNTIF(基础资料!$E$5:$E$104,D323)=0,"✗ 商品不在商品档案里",IF(AND(E323="",H323=""),"✗ 没填数量",IF(AND(N(E323)&lt;&gt;0,F323=""),"✗ 没填进价","√")))))))))</f>
      </c>
    </row>
    <row r="324">
      <c r="A324" s="109">
        <f>IF(AND(C324="",D324=""),"",ROW()-3)</f>
      </c>
      <c r="B324" s="140" t="n"/>
      <c r="C324" s="141" t="n"/>
      <c r="D324" s="141" t="n"/>
      <c r="E324" s="148" t="n"/>
      <c r="F324" s="149" t="n"/>
      <c r="G324" s="150">
        <f>IF(AND(E324&lt;&gt;"",F324&lt;&gt;""),E324*F324,"")</f>
      </c>
      <c r="H324" s="148" t="n"/>
      <c r="I324" s="142" t="n"/>
      <c r="J324" s="146">
        <f>IF(AND(B324="",C324="",D324="",E324="",F324="",H324=""),"",IF(NOT(ISNUMBER(B324)),"✗ 日期不是真日期",IF(OR(B324&lt;年初日,B324&gt;年末日),"✗ 日期不在本年度",IF(C324="","✗ 没选供应商",IF(COUNTIF(基础资料!$Q$5:$Q$54,C324)=0,"✗ 供应商不在基础资料里",IF(D324="","✗ 没选商品",IF(COUNTIF(基础资料!$E$5:$E$104,D324)=0,"✗ 商品不在商品档案里",IF(AND(E324="",H324=""),"✗ 没填数量",IF(AND(N(E324)&lt;&gt;0,F324=""),"✗ 没填进价","√")))))))))</f>
      </c>
    </row>
    <row r="325">
      <c r="A325" s="109">
        <f>IF(AND(C325="",D325=""),"",ROW()-3)</f>
      </c>
      <c r="B325" s="140" t="n"/>
      <c r="C325" s="141" t="n"/>
      <c r="D325" s="141" t="n"/>
      <c r="E325" s="148" t="n"/>
      <c r="F325" s="149" t="n"/>
      <c r="G325" s="150">
        <f>IF(AND(E325&lt;&gt;"",F325&lt;&gt;""),E325*F325,"")</f>
      </c>
      <c r="H325" s="148" t="n"/>
      <c r="I325" s="142" t="n"/>
      <c r="J325" s="146">
        <f>IF(AND(B325="",C325="",D325="",E325="",F325="",H325=""),"",IF(NOT(ISNUMBER(B325)),"✗ 日期不是真日期",IF(OR(B325&lt;年初日,B325&gt;年末日),"✗ 日期不在本年度",IF(C325="","✗ 没选供应商",IF(COUNTIF(基础资料!$Q$5:$Q$54,C325)=0,"✗ 供应商不在基础资料里",IF(D325="","✗ 没选商品",IF(COUNTIF(基础资料!$E$5:$E$104,D325)=0,"✗ 商品不在商品档案里",IF(AND(E325="",H325=""),"✗ 没填数量",IF(AND(N(E325)&lt;&gt;0,F325=""),"✗ 没填进价","√")))))))))</f>
      </c>
    </row>
    <row r="326">
      <c r="A326" s="109">
        <f>IF(AND(C326="",D326=""),"",ROW()-3)</f>
      </c>
      <c r="B326" s="140" t="n"/>
      <c r="C326" s="141" t="n"/>
      <c r="D326" s="141" t="n"/>
      <c r="E326" s="148" t="n"/>
      <c r="F326" s="149" t="n"/>
      <c r="G326" s="150">
        <f>IF(AND(E326&lt;&gt;"",F326&lt;&gt;""),E326*F326,"")</f>
      </c>
      <c r="H326" s="148" t="n"/>
      <c r="I326" s="142" t="n"/>
      <c r="J326" s="146">
        <f>IF(AND(B326="",C326="",D326="",E326="",F326="",H326=""),"",IF(NOT(ISNUMBER(B326)),"✗ 日期不是真日期",IF(OR(B326&lt;年初日,B326&gt;年末日),"✗ 日期不在本年度",IF(C326="","✗ 没选供应商",IF(COUNTIF(基础资料!$Q$5:$Q$54,C326)=0,"✗ 供应商不在基础资料里",IF(D326="","✗ 没选商品",IF(COUNTIF(基础资料!$E$5:$E$104,D326)=0,"✗ 商品不在商品档案里",IF(AND(E326="",H326=""),"✗ 没填数量",IF(AND(N(E326)&lt;&gt;0,F326=""),"✗ 没填进价","√")))))))))</f>
      </c>
    </row>
    <row r="327">
      <c r="A327" s="109">
        <f>IF(AND(C327="",D327=""),"",ROW()-3)</f>
      </c>
      <c r="B327" s="140" t="n"/>
      <c r="C327" s="141" t="n"/>
      <c r="D327" s="141" t="n"/>
      <c r="E327" s="148" t="n"/>
      <c r="F327" s="149" t="n"/>
      <c r="G327" s="150">
        <f>IF(AND(E327&lt;&gt;"",F327&lt;&gt;""),E327*F327,"")</f>
      </c>
      <c r="H327" s="148" t="n"/>
      <c r="I327" s="142" t="n"/>
      <c r="J327" s="146">
        <f>IF(AND(B327="",C327="",D327="",E327="",F327="",H327=""),"",IF(NOT(ISNUMBER(B327)),"✗ 日期不是真日期",IF(OR(B327&lt;年初日,B327&gt;年末日),"✗ 日期不在本年度",IF(C327="","✗ 没选供应商",IF(COUNTIF(基础资料!$Q$5:$Q$54,C327)=0,"✗ 供应商不在基础资料里",IF(D327="","✗ 没选商品",IF(COUNTIF(基础资料!$E$5:$E$104,D327)=0,"✗ 商品不在商品档案里",IF(AND(E327="",H327=""),"✗ 没填数量",IF(AND(N(E327)&lt;&gt;0,F327=""),"✗ 没填进价","√")))))))))</f>
      </c>
    </row>
    <row r="328">
      <c r="A328" s="109">
        <f>IF(AND(C328="",D328=""),"",ROW()-3)</f>
      </c>
      <c r="B328" s="140" t="n"/>
      <c r="C328" s="141" t="n"/>
      <c r="D328" s="141" t="n"/>
      <c r="E328" s="148" t="n"/>
      <c r="F328" s="149" t="n"/>
      <c r="G328" s="150">
        <f>IF(AND(E328&lt;&gt;"",F328&lt;&gt;""),E328*F328,"")</f>
      </c>
      <c r="H328" s="148" t="n"/>
      <c r="I328" s="142" t="n"/>
      <c r="J328" s="146">
        <f>IF(AND(B328="",C328="",D328="",E328="",F328="",H328=""),"",IF(NOT(ISNUMBER(B328)),"✗ 日期不是真日期",IF(OR(B328&lt;年初日,B328&gt;年末日),"✗ 日期不在本年度",IF(C328="","✗ 没选供应商",IF(COUNTIF(基础资料!$Q$5:$Q$54,C328)=0,"✗ 供应商不在基础资料里",IF(D328="","✗ 没选商品",IF(COUNTIF(基础资料!$E$5:$E$104,D328)=0,"✗ 商品不在商品档案里",IF(AND(E328="",H328=""),"✗ 没填数量",IF(AND(N(E328)&lt;&gt;0,F328=""),"✗ 没填进价","√")))))))))</f>
      </c>
    </row>
    <row r="329">
      <c r="A329" s="109">
        <f>IF(AND(C329="",D329=""),"",ROW()-3)</f>
      </c>
      <c r="B329" s="140" t="n"/>
      <c r="C329" s="141" t="n"/>
      <c r="D329" s="141" t="n"/>
      <c r="E329" s="148" t="n"/>
      <c r="F329" s="149" t="n"/>
      <c r="G329" s="150">
        <f>IF(AND(E329&lt;&gt;"",F329&lt;&gt;""),E329*F329,"")</f>
      </c>
      <c r="H329" s="148" t="n"/>
      <c r="I329" s="142" t="n"/>
      <c r="J329" s="146">
        <f>IF(AND(B329="",C329="",D329="",E329="",F329="",H329=""),"",IF(NOT(ISNUMBER(B329)),"✗ 日期不是真日期",IF(OR(B329&lt;年初日,B329&gt;年末日),"✗ 日期不在本年度",IF(C329="","✗ 没选供应商",IF(COUNTIF(基础资料!$Q$5:$Q$54,C329)=0,"✗ 供应商不在基础资料里",IF(D329="","✗ 没选商品",IF(COUNTIF(基础资料!$E$5:$E$104,D329)=0,"✗ 商品不在商品档案里",IF(AND(E329="",H329=""),"✗ 没填数量",IF(AND(N(E329)&lt;&gt;0,F329=""),"✗ 没填进价","√")))))))))</f>
      </c>
    </row>
    <row r="330">
      <c r="A330" s="109">
        <f>IF(AND(C330="",D330=""),"",ROW()-3)</f>
      </c>
      <c r="B330" s="140" t="n"/>
      <c r="C330" s="141" t="n"/>
      <c r="D330" s="141" t="n"/>
      <c r="E330" s="148" t="n"/>
      <c r="F330" s="149" t="n"/>
      <c r="G330" s="150">
        <f>IF(AND(E330&lt;&gt;"",F330&lt;&gt;""),E330*F330,"")</f>
      </c>
      <c r="H330" s="148" t="n"/>
      <c r="I330" s="142" t="n"/>
      <c r="J330" s="146">
        <f>IF(AND(B330="",C330="",D330="",E330="",F330="",H330=""),"",IF(NOT(ISNUMBER(B330)),"✗ 日期不是真日期",IF(OR(B330&lt;年初日,B330&gt;年末日),"✗ 日期不在本年度",IF(C330="","✗ 没选供应商",IF(COUNTIF(基础资料!$Q$5:$Q$54,C330)=0,"✗ 供应商不在基础资料里",IF(D330="","✗ 没选商品",IF(COUNTIF(基础资料!$E$5:$E$104,D330)=0,"✗ 商品不在商品档案里",IF(AND(E330="",H330=""),"✗ 没填数量",IF(AND(N(E330)&lt;&gt;0,F330=""),"✗ 没填进价","√")))))))))</f>
      </c>
    </row>
    <row r="331">
      <c r="A331" s="109">
        <f>IF(AND(C331="",D331=""),"",ROW()-3)</f>
      </c>
      <c r="B331" s="140" t="n"/>
      <c r="C331" s="141" t="n"/>
      <c r="D331" s="141" t="n"/>
      <c r="E331" s="148" t="n"/>
      <c r="F331" s="149" t="n"/>
      <c r="G331" s="150">
        <f>IF(AND(E331&lt;&gt;"",F331&lt;&gt;""),E331*F331,"")</f>
      </c>
      <c r="H331" s="148" t="n"/>
      <c r="I331" s="142" t="n"/>
      <c r="J331" s="146">
        <f>IF(AND(B331="",C331="",D331="",E331="",F331="",H331=""),"",IF(NOT(ISNUMBER(B331)),"✗ 日期不是真日期",IF(OR(B331&lt;年初日,B331&gt;年末日),"✗ 日期不在本年度",IF(C331="","✗ 没选供应商",IF(COUNTIF(基础资料!$Q$5:$Q$54,C331)=0,"✗ 供应商不在基础资料里",IF(D331="","✗ 没选商品",IF(COUNTIF(基础资料!$E$5:$E$104,D331)=0,"✗ 商品不在商品档案里",IF(AND(E331="",H331=""),"✗ 没填数量",IF(AND(N(E331)&lt;&gt;0,F331=""),"✗ 没填进价","√")))))))))</f>
      </c>
    </row>
    <row r="332">
      <c r="A332" s="109">
        <f>IF(AND(C332="",D332=""),"",ROW()-3)</f>
      </c>
      <c r="B332" s="140" t="n"/>
      <c r="C332" s="141" t="n"/>
      <c r="D332" s="141" t="n"/>
      <c r="E332" s="148" t="n"/>
      <c r="F332" s="149" t="n"/>
      <c r="G332" s="150">
        <f>IF(AND(E332&lt;&gt;"",F332&lt;&gt;""),E332*F332,"")</f>
      </c>
      <c r="H332" s="148" t="n"/>
      <c r="I332" s="142" t="n"/>
      <c r="J332" s="146">
        <f>IF(AND(B332="",C332="",D332="",E332="",F332="",H332=""),"",IF(NOT(ISNUMBER(B332)),"✗ 日期不是真日期",IF(OR(B332&lt;年初日,B332&gt;年末日),"✗ 日期不在本年度",IF(C332="","✗ 没选供应商",IF(COUNTIF(基础资料!$Q$5:$Q$54,C332)=0,"✗ 供应商不在基础资料里",IF(D332="","✗ 没选商品",IF(COUNTIF(基础资料!$E$5:$E$104,D332)=0,"✗ 商品不在商品档案里",IF(AND(E332="",H332=""),"✗ 没填数量",IF(AND(N(E332)&lt;&gt;0,F332=""),"✗ 没填进价","√")))))))))</f>
      </c>
    </row>
    <row r="333">
      <c r="A333" s="109">
        <f>IF(AND(C333="",D333=""),"",ROW()-3)</f>
      </c>
      <c r="B333" s="140" t="n"/>
      <c r="C333" s="141" t="n"/>
      <c r="D333" s="141" t="n"/>
      <c r="E333" s="148" t="n"/>
      <c r="F333" s="149" t="n"/>
      <c r="G333" s="150">
        <f>IF(AND(E333&lt;&gt;"",F333&lt;&gt;""),E333*F333,"")</f>
      </c>
      <c r="H333" s="148" t="n"/>
      <c r="I333" s="142" t="n"/>
      <c r="J333" s="146">
        <f>IF(AND(B333="",C333="",D333="",E333="",F333="",H333=""),"",IF(NOT(ISNUMBER(B333)),"✗ 日期不是真日期",IF(OR(B333&lt;年初日,B333&gt;年末日),"✗ 日期不在本年度",IF(C333="","✗ 没选供应商",IF(COUNTIF(基础资料!$Q$5:$Q$54,C333)=0,"✗ 供应商不在基础资料里",IF(D333="","✗ 没选商品",IF(COUNTIF(基础资料!$E$5:$E$104,D333)=0,"✗ 商品不在商品档案里",IF(AND(E333="",H333=""),"✗ 没填数量",IF(AND(N(E333)&lt;&gt;0,F333=""),"✗ 没填进价","√")))))))))</f>
      </c>
    </row>
    <row r="334">
      <c r="A334" s="109">
        <f>IF(AND(C334="",D334=""),"",ROW()-3)</f>
      </c>
      <c r="B334" s="140" t="n"/>
      <c r="C334" s="141" t="n"/>
      <c r="D334" s="141" t="n"/>
      <c r="E334" s="148" t="n"/>
      <c r="F334" s="149" t="n"/>
      <c r="G334" s="150">
        <f>IF(AND(E334&lt;&gt;"",F334&lt;&gt;""),E334*F334,"")</f>
      </c>
      <c r="H334" s="148" t="n"/>
      <c r="I334" s="142" t="n"/>
      <c r="J334" s="146">
        <f>IF(AND(B334="",C334="",D334="",E334="",F334="",H334=""),"",IF(NOT(ISNUMBER(B334)),"✗ 日期不是真日期",IF(OR(B334&lt;年初日,B334&gt;年末日),"✗ 日期不在本年度",IF(C334="","✗ 没选供应商",IF(COUNTIF(基础资料!$Q$5:$Q$54,C334)=0,"✗ 供应商不在基础资料里",IF(D334="","✗ 没选商品",IF(COUNTIF(基础资料!$E$5:$E$104,D334)=0,"✗ 商品不在商品档案里",IF(AND(E334="",H334=""),"✗ 没填数量",IF(AND(N(E334)&lt;&gt;0,F334=""),"✗ 没填进价","√")))))))))</f>
      </c>
    </row>
    <row r="335">
      <c r="A335" s="109">
        <f>IF(AND(C335="",D335=""),"",ROW()-3)</f>
      </c>
      <c r="B335" s="140" t="n"/>
      <c r="C335" s="141" t="n"/>
      <c r="D335" s="141" t="n"/>
      <c r="E335" s="148" t="n"/>
      <c r="F335" s="149" t="n"/>
      <c r="G335" s="150">
        <f>IF(AND(E335&lt;&gt;"",F335&lt;&gt;""),E335*F335,"")</f>
      </c>
      <c r="H335" s="148" t="n"/>
      <c r="I335" s="142" t="n"/>
      <c r="J335" s="146">
        <f>IF(AND(B335="",C335="",D335="",E335="",F335="",H335=""),"",IF(NOT(ISNUMBER(B335)),"✗ 日期不是真日期",IF(OR(B335&lt;年初日,B335&gt;年末日),"✗ 日期不在本年度",IF(C335="","✗ 没选供应商",IF(COUNTIF(基础资料!$Q$5:$Q$54,C335)=0,"✗ 供应商不在基础资料里",IF(D335="","✗ 没选商品",IF(COUNTIF(基础资料!$E$5:$E$104,D335)=0,"✗ 商品不在商品档案里",IF(AND(E335="",H335=""),"✗ 没填数量",IF(AND(N(E335)&lt;&gt;0,F335=""),"✗ 没填进价","√")))))))))</f>
      </c>
    </row>
    <row r="336">
      <c r="A336" s="109">
        <f>IF(AND(C336="",D336=""),"",ROW()-3)</f>
      </c>
      <c r="B336" s="140" t="n"/>
      <c r="C336" s="141" t="n"/>
      <c r="D336" s="141" t="n"/>
      <c r="E336" s="148" t="n"/>
      <c r="F336" s="149" t="n"/>
      <c r="G336" s="150">
        <f>IF(AND(E336&lt;&gt;"",F336&lt;&gt;""),E336*F336,"")</f>
      </c>
      <c r="H336" s="148" t="n"/>
      <c r="I336" s="142" t="n"/>
      <c r="J336" s="146">
        <f>IF(AND(B336="",C336="",D336="",E336="",F336="",H336=""),"",IF(NOT(ISNUMBER(B336)),"✗ 日期不是真日期",IF(OR(B336&lt;年初日,B336&gt;年末日),"✗ 日期不在本年度",IF(C336="","✗ 没选供应商",IF(COUNTIF(基础资料!$Q$5:$Q$54,C336)=0,"✗ 供应商不在基础资料里",IF(D336="","✗ 没选商品",IF(COUNTIF(基础资料!$E$5:$E$104,D336)=0,"✗ 商品不在商品档案里",IF(AND(E336="",H336=""),"✗ 没填数量",IF(AND(N(E336)&lt;&gt;0,F336=""),"✗ 没填进价","√")))))))))</f>
      </c>
    </row>
    <row r="337">
      <c r="A337" s="109">
        <f>IF(AND(C337="",D337=""),"",ROW()-3)</f>
      </c>
      <c r="B337" s="140" t="n"/>
      <c r="C337" s="141" t="n"/>
      <c r="D337" s="141" t="n"/>
      <c r="E337" s="148" t="n"/>
      <c r="F337" s="149" t="n"/>
      <c r="G337" s="150">
        <f>IF(AND(E337&lt;&gt;"",F337&lt;&gt;""),E337*F337,"")</f>
      </c>
      <c r="H337" s="148" t="n"/>
      <c r="I337" s="142" t="n"/>
      <c r="J337" s="146">
        <f>IF(AND(B337="",C337="",D337="",E337="",F337="",H337=""),"",IF(NOT(ISNUMBER(B337)),"✗ 日期不是真日期",IF(OR(B337&lt;年初日,B337&gt;年末日),"✗ 日期不在本年度",IF(C337="","✗ 没选供应商",IF(COUNTIF(基础资料!$Q$5:$Q$54,C337)=0,"✗ 供应商不在基础资料里",IF(D337="","✗ 没选商品",IF(COUNTIF(基础资料!$E$5:$E$104,D337)=0,"✗ 商品不在商品档案里",IF(AND(E337="",H337=""),"✗ 没填数量",IF(AND(N(E337)&lt;&gt;0,F337=""),"✗ 没填进价","√")))))))))</f>
      </c>
    </row>
    <row r="338">
      <c r="A338" s="109">
        <f>IF(AND(C338="",D338=""),"",ROW()-3)</f>
      </c>
      <c r="B338" s="140" t="n"/>
      <c r="C338" s="141" t="n"/>
      <c r="D338" s="141" t="n"/>
      <c r="E338" s="148" t="n"/>
      <c r="F338" s="149" t="n"/>
      <c r="G338" s="150">
        <f>IF(AND(E338&lt;&gt;"",F338&lt;&gt;""),E338*F338,"")</f>
      </c>
      <c r="H338" s="148" t="n"/>
      <c r="I338" s="142" t="n"/>
      <c r="J338" s="146">
        <f>IF(AND(B338="",C338="",D338="",E338="",F338="",H338=""),"",IF(NOT(ISNUMBER(B338)),"✗ 日期不是真日期",IF(OR(B338&lt;年初日,B338&gt;年末日),"✗ 日期不在本年度",IF(C338="","✗ 没选供应商",IF(COUNTIF(基础资料!$Q$5:$Q$54,C338)=0,"✗ 供应商不在基础资料里",IF(D338="","✗ 没选商品",IF(COUNTIF(基础资料!$E$5:$E$104,D338)=0,"✗ 商品不在商品档案里",IF(AND(E338="",H338=""),"✗ 没填数量",IF(AND(N(E338)&lt;&gt;0,F338=""),"✗ 没填进价","√")))))))))</f>
      </c>
    </row>
    <row r="339">
      <c r="A339" s="109">
        <f>IF(AND(C339="",D339=""),"",ROW()-3)</f>
      </c>
      <c r="B339" s="140" t="n"/>
      <c r="C339" s="141" t="n"/>
      <c r="D339" s="141" t="n"/>
      <c r="E339" s="148" t="n"/>
      <c r="F339" s="149" t="n"/>
      <c r="G339" s="150">
        <f>IF(AND(E339&lt;&gt;"",F339&lt;&gt;""),E339*F339,"")</f>
      </c>
      <c r="H339" s="148" t="n"/>
      <c r="I339" s="142" t="n"/>
      <c r="J339" s="146">
        <f>IF(AND(B339="",C339="",D339="",E339="",F339="",H339=""),"",IF(NOT(ISNUMBER(B339)),"✗ 日期不是真日期",IF(OR(B339&lt;年初日,B339&gt;年末日),"✗ 日期不在本年度",IF(C339="","✗ 没选供应商",IF(COUNTIF(基础资料!$Q$5:$Q$54,C339)=0,"✗ 供应商不在基础资料里",IF(D339="","✗ 没选商品",IF(COUNTIF(基础资料!$E$5:$E$104,D339)=0,"✗ 商品不在商品档案里",IF(AND(E339="",H339=""),"✗ 没填数量",IF(AND(N(E339)&lt;&gt;0,F339=""),"✗ 没填进价","√")))))))))</f>
      </c>
    </row>
    <row r="340">
      <c r="A340" s="109">
        <f>IF(AND(C340="",D340=""),"",ROW()-3)</f>
      </c>
      <c r="B340" s="140" t="n"/>
      <c r="C340" s="141" t="n"/>
      <c r="D340" s="141" t="n"/>
      <c r="E340" s="148" t="n"/>
      <c r="F340" s="149" t="n"/>
      <c r="G340" s="150">
        <f>IF(AND(E340&lt;&gt;"",F340&lt;&gt;""),E340*F340,"")</f>
      </c>
      <c r="H340" s="148" t="n"/>
      <c r="I340" s="142" t="n"/>
      <c r="J340" s="146">
        <f>IF(AND(B340="",C340="",D340="",E340="",F340="",H340=""),"",IF(NOT(ISNUMBER(B340)),"✗ 日期不是真日期",IF(OR(B340&lt;年初日,B340&gt;年末日),"✗ 日期不在本年度",IF(C340="","✗ 没选供应商",IF(COUNTIF(基础资料!$Q$5:$Q$54,C340)=0,"✗ 供应商不在基础资料里",IF(D340="","✗ 没选商品",IF(COUNTIF(基础资料!$E$5:$E$104,D340)=0,"✗ 商品不在商品档案里",IF(AND(E340="",H340=""),"✗ 没填数量",IF(AND(N(E340)&lt;&gt;0,F340=""),"✗ 没填进价","√")))))))))</f>
      </c>
    </row>
    <row r="341">
      <c r="A341" s="109">
        <f>IF(AND(C341="",D341=""),"",ROW()-3)</f>
      </c>
      <c r="B341" s="140" t="n"/>
      <c r="C341" s="141" t="n"/>
      <c r="D341" s="141" t="n"/>
      <c r="E341" s="148" t="n"/>
      <c r="F341" s="149" t="n"/>
      <c r="G341" s="150">
        <f>IF(AND(E341&lt;&gt;"",F341&lt;&gt;""),E341*F341,"")</f>
      </c>
      <c r="H341" s="148" t="n"/>
      <c r="I341" s="142" t="n"/>
      <c r="J341" s="146">
        <f>IF(AND(B341="",C341="",D341="",E341="",F341="",H341=""),"",IF(NOT(ISNUMBER(B341)),"✗ 日期不是真日期",IF(OR(B341&lt;年初日,B341&gt;年末日),"✗ 日期不在本年度",IF(C341="","✗ 没选供应商",IF(COUNTIF(基础资料!$Q$5:$Q$54,C341)=0,"✗ 供应商不在基础资料里",IF(D341="","✗ 没选商品",IF(COUNTIF(基础资料!$E$5:$E$104,D341)=0,"✗ 商品不在商品档案里",IF(AND(E341="",H341=""),"✗ 没填数量",IF(AND(N(E341)&lt;&gt;0,F341=""),"✗ 没填进价","√")))))))))</f>
      </c>
    </row>
    <row r="342">
      <c r="A342" s="109">
        <f>IF(AND(C342="",D342=""),"",ROW()-3)</f>
      </c>
      <c r="B342" s="140" t="n"/>
      <c r="C342" s="141" t="n"/>
      <c r="D342" s="141" t="n"/>
      <c r="E342" s="148" t="n"/>
      <c r="F342" s="149" t="n"/>
      <c r="G342" s="150">
        <f>IF(AND(E342&lt;&gt;"",F342&lt;&gt;""),E342*F342,"")</f>
      </c>
      <c r="H342" s="148" t="n"/>
      <c r="I342" s="142" t="n"/>
      <c r="J342" s="146">
        <f>IF(AND(B342="",C342="",D342="",E342="",F342="",H342=""),"",IF(NOT(ISNUMBER(B342)),"✗ 日期不是真日期",IF(OR(B342&lt;年初日,B342&gt;年末日),"✗ 日期不在本年度",IF(C342="","✗ 没选供应商",IF(COUNTIF(基础资料!$Q$5:$Q$54,C342)=0,"✗ 供应商不在基础资料里",IF(D342="","✗ 没选商品",IF(COUNTIF(基础资料!$E$5:$E$104,D342)=0,"✗ 商品不在商品档案里",IF(AND(E342="",H342=""),"✗ 没填数量",IF(AND(N(E342)&lt;&gt;0,F342=""),"✗ 没填进价","√")))))))))</f>
      </c>
    </row>
    <row r="343">
      <c r="A343" s="109">
        <f>IF(AND(C343="",D343=""),"",ROW()-3)</f>
      </c>
      <c r="B343" s="140" t="n"/>
      <c r="C343" s="141" t="n"/>
      <c r="D343" s="141" t="n"/>
      <c r="E343" s="148" t="n"/>
      <c r="F343" s="149" t="n"/>
      <c r="G343" s="150">
        <f>IF(AND(E343&lt;&gt;"",F343&lt;&gt;""),E343*F343,"")</f>
      </c>
      <c r="H343" s="148" t="n"/>
      <c r="I343" s="142" t="n"/>
      <c r="J343" s="146">
        <f>IF(AND(B343="",C343="",D343="",E343="",F343="",H343=""),"",IF(NOT(ISNUMBER(B343)),"✗ 日期不是真日期",IF(OR(B343&lt;年初日,B343&gt;年末日),"✗ 日期不在本年度",IF(C343="","✗ 没选供应商",IF(COUNTIF(基础资料!$Q$5:$Q$54,C343)=0,"✗ 供应商不在基础资料里",IF(D343="","✗ 没选商品",IF(COUNTIF(基础资料!$E$5:$E$104,D343)=0,"✗ 商品不在商品档案里",IF(AND(E343="",H343=""),"✗ 没填数量",IF(AND(N(E343)&lt;&gt;0,F343=""),"✗ 没填进价","√")))))))))</f>
      </c>
    </row>
    <row r="344">
      <c r="A344" s="109">
        <f>IF(AND(C344="",D344=""),"",ROW()-3)</f>
      </c>
      <c r="B344" s="140" t="n"/>
      <c r="C344" s="141" t="n"/>
      <c r="D344" s="141" t="n"/>
      <c r="E344" s="148" t="n"/>
      <c r="F344" s="149" t="n"/>
      <c r="G344" s="150">
        <f>IF(AND(E344&lt;&gt;"",F344&lt;&gt;""),E344*F344,"")</f>
      </c>
      <c r="H344" s="148" t="n"/>
      <c r="I344" s="142" t="n"/>
      <c r="J344" s="146">
        <f>IF(AND(B344="",C344="",D344="",E344="",F344="",H344=""),"",IF(NOT(ISNUMBER(B344)),"✗ 日期不是真日期",IF(OR(B344&lt;年初日,B344&gt;年末日),"✗ 日期不在本年度",IF(C344="","✗ 没选供应商",IF(COUNTIF(基础资料!$Q$5:$Q$54,C344)=0,"✗ 供应商不在基础资料里",IF(D344="","✗ 没选商品",IF(COUNTIF(基础资料!$E$5:$E$104,D344)=0,"✗ 商品不在商品档案里",IF(AND(E344="",H344=""),"✗ 没填数量",IF(AND(N(E344)&lt;&gt;0,F344=""),"✗ 没填进价","√")))))))))</f>
      </c>
    </row>
    <row r="345">
      <c r="A345" s="109">
        <f>IF(AND(C345="",D345=""),"",ROW()-3)</f>
      </c>
      <c r="B345" s="140" t="n"/>
      <c r="C345" s="141" t="n"/>
      <c r="D345" s="141" t="n"/>
      <c r="E345" s="148" t="n"/>
      <c r="F345" s="149" t="n"/>
      <c r="G345" s="150">
        <f>IF(AND(E345&lt;&gt;"",F345&lt;&gt;""),E345*F345,"")</f>
      </c>
      <c r="H345" s="148" t="n"/>
      <c r="I345" s="142" t="n"/>
      <c r="J345" s="146">
        <f>IF(AND(B345="",C345="",D345="",E345="",F345="",H345=""),"",IF(NOT(ISNUMBER(B345)),"✗ 日期不是真日期",IF(OR(B345&lt;年初日,B345&gt;年末日),"✗ 日期不在本年度",IF(C345="","✗ 没选供应商",IF(COUNTIF(基础资料!$Q$5:$Q$54,C345)=0,"✗ 供应商不在基础资料里",IF(D345="","✗ 没选商品",IF(COUNTIF(基础资料!$E$5:$E$104,D345)=0,"✗ 商品不在商品档案里",IF(AND(E345="",H345=""),"✗ 没填数量",IF(AND(N(E345)&lt;&gt;0,F345=""),"✗ 没填进价","√")))))))))</f>
      </c>
    </row>
    <row r="346">
      <c r="A346" s="109">
        <f>IF(AND(C346="",D346=""),"",ROW()-3)</f>
      </c>
      <c r="B346" s="140" t="n"/>
      <c r="C346" s="141" t="n"/>
      <c r="D346" s="141" t="n"/>
      <c r="E346" s="148" t="n"/>
      <c r="F346" s="149" t="n"/>
      <c r="G346" s="150">
        <f>IF(AND(E346&lt;&gt;"",F346&lt;&gt;""),E346*F346,"")</f>
      </c>
      <c r="H346" s="148" t="n"/>
      <c r="I346" s="142" t="n"/>
      <c r="J346" s="146">
        <f>IF(AND(B346="",C346="",D346="",E346="",F346="",H346=""),"",IF(NOT(ISNUMBER(B346)),"✗ 日期不是真日期",IF(OR(B346&lt;年初日,B346&gt;年末日),"✗ 日期不在本年度",IF(C346="","✗ 没选供应商",IF(COUNTIF(基础资料!$Q$5:$Q$54,C346)=0,"✗ 供应商不在基础资料里",IF(D346="","✗ 没选商品",IF(COUNTIF(基础资料!$E$5:$E$104,D346)=0,"✗ 商品不在商品档案里",IF(AND(E346="",H346=""),"✗ 没填数量",IF(AND(N(E346)&lt;&gt;0,F346=""),"✗ 没填进价","√")))))))))</f>
      </c>
    </row>
    <row r="347">
      <c r="A347" s="109">
        <f>IF(AND(C347="",D347=""),"",ROW()-3)</f>
      </c>
      <c r="B347" s="140" t="n"/>
      <c r="C347" s="141" t="n"/>
      <c r="D347" s="141" t="n"/>
      <c r="E347" s="148" t="n"/>
      <c r="F347" s="149" t="n"/>
      <c r="G347" s="150">
        <f>IF(AND(E347&lt;&gt;"",F347&lt;&gt;""),E347*F347,"")</f>
      </c>
      <c r="H347" s="148" t="n"/>
      <c r="I347" s="142" t="n"/>
      <c r="J347" s="146">
        <f>IF(AND(B347="",C347="",D347="",E347="",F347="",H347=""),"",IF(NOT(ISNUMBER(B347)),"✗ 日期不是真日期",IF(OR(B347&lt;年初日,B347&gt;年末日),"✗ 日期不在本年度",IF(C347="","✗ 没选供应商",IF(COUNTIF(基础资料!$Q$5:$Q$54,C347)=0,"✗ 供应商不在基础资料里",IF(D347="","✗ 没选商品",IF(COUNTIF(基础资料!$E$5:$E$104,D347)=0,"✗ 商品不在商品档案里",IF(AND(E347="",H347=""),"✗ 没填数量",IF(AND(N(E347)&lt;&gt;0,F347=""),"✗ 没填进价","√")))))))))</f>
      </c>
    </row>
    <row r="348">
      <c r="A348" s="109">
        <f>IF(AND(C348="",D348=""),"",ROW()-3)</f>
      </c>
      <c r="B348" s="140" t="n"/>
      <c r="C348" s="141" t="n"/>
      <c r="D348" s="141" t="n"/>
      <c r="E348" s="148" t="n"/>
      <c r="F348" s="149" t="n"/>
      <c r="G348" s="150">
        <f>IF(AND(E348&lt;&gt;"",F348&lt;&gt;""),E348*F348,"")</f>
      </c>
      <c r="H348" s="148" t="n"/>
      <c r="I348" s="142" t="n"/>
      <c r="J348" s="146">
        <f>IF(AND(B348="",C348="",D348="",E348="",F348="",H348=""),"",IF(NOT(ISNUMBER(B348)),"✗ 日期不是真日期",IF(OR(B348&lt;年初日,B348&gt;年末日),"✗ 日期不在本年度",IF(C348="","✗ 没选供应商",IF(COUNTIF(基础资料!$Q$5:$Q$54,C348)=0,"✗ 供应商不在基础资料里",IF(D348="","✗ 没选商品",IF(COUNTIF(基础资料!$E$5:$E$104,D348)=0,"✗ 商品不在商品档案里",IF(AND(E348="",H348=""),"✗ 没填数量",IF(AND(N(E348)&lt;&gt;0,F348=""),"✗ 没填进价","√")))))))))</f>
      </c>
    </row>
    <row r="349">
      <c r="A349" s="109">
        <f>IF(AND(C349="",D349=""),"",ROW()-3)</f>
      </c>
      <c r="B349" s="140" t="n"/>
      <c r="C349" s="141" t="n"/>
      <c r="D349" s="141" t="n"/>
      <c r="E349" s="148" t="n"/>
      <c r="F349" s="149" t="n"/>
      <c r="G349" s="150">
        <f>IF(AND(E349&lt;&gt;"",F349&lt;&gt;""),E349*F349,"")</f>
      </c>
      <c r="H349" s="148" t="n"/>
      <c r="I349" s="142" t="n"/>
      <c r="J349" s="146">
        <f>IF(AND(B349="",C349="",D349="",E349="",F349="",H349=""),"",IF(NOT(ISNUMBER(B349)),"✗ 日期不是真日期",IF(OR(B349&lt;年初日,B349&gt;年末日),"✗ 日期不在本年度",IF(C349="","✗ 没选供应商",IF(COUNTIF(基础资料!$Q$5:$Q$54,C349)=0,"✗ 供应商不在基础资料里",IF(D349="","✗ 没选商品",IF(COUNTIF(基础资料!$E$5:$E$104,D349)=0,"✗ 商品不在商品档案里",IF(AND(E349="",H349=""),"✗ 没填数量",IF(AND(N(E349)&lt;&gt;0,F349=""),"✗ 没填进价","√")))))))))</f>
      </c>
    </row>
    <row r="350">
      <c r="A350" s="109">
        <f>IF(AND(C350="",D350=""),"",ROW()-3)</f>
      </c>
      <c r="B350" s="140" t="n"/>
      <c r="C350" s="141" t="n"/>
      <c r="D350" s="141" t="n"/>
      <c r="E350" s="148" t="n"/>
      <c r="F350" s="149" t="n"/>
      <c r="G350" s="150">
        <f>IF(AND(E350&lt;&gt;"",F350&lt;&gt;""),E350*F350,"")</f>
      </c>
      <c r="H350" s="148" t="n"/>
      <c r="I350" s="142" t="n"/>
      <c r="J350" s="146">
        <f>IF(AND(B350="",C350="",D350="",E350="",F350="",H350=""),"",IF(NOT(ISNUMBER(B350)),"✗ 日期不是真日期",IF(OR(B350&lt;年初日,B350&gt;年末日),"✗ 日期不在本年度",IF(C350="","✗ 没选供应商",IF(COUNTIF(基础资料!$Q$5:$Q$54,C350)=0,"✗ 供应商不在基础资料里",IF(D350="","✗ 没选商品",IF(COUNTIF(基础资料!$E$5:$E$104,D350)=0,"✗ 商品不在商品档案里",IF(AND(E350="",H350=""),"✗ 没填数量",IF(AND(N(E350)&lt;&gt;0,F350=""),"✗ 没填进价","√")))))))))</f>
      </c>
    </row>
    <row r="351">
      <c r="A351" s="109">
        <f>IF(AND(C351="",D351=""),"",ROW()-3)</f>
      </c>
      <c r="B351" s="140" t="n"/>
      <c r="C351" s="141" t="n"/>
      <c r="D351" s="141" t="n"/>
      <c r="E351" s="148" t="n"/>
      <c r="F351" s="149" t="n"/>
      <c r="G351" s="150">
        <f>IF(AND(E351&lt;&gt;"",F351&lt;&gt;""),E351*F351,"")</f>
      </c>
      <c r="H351" s="148" t="n"/>
      <c r="I351" s="142" t="n"/>
      <c r="J351" s="146">
        <f>IF(AND(B351="",C351="",D351="",E351="",F351="",H351=""),"",IF(NOT(ISNUMBER(B351)),"✗ 日期不是真日期",IF(OR(B351&lt;年初日,B351&gt;年末日),"✗ 日期不在本年度",IF(C351="","✗ 没选供应商",IF(COUNTIF(基础资料!$Q$5:$Q$54,C351)=0,"✗ 供应商不在基础资料里",IF(D351="","✗ 没选商品",IF(COUNTIF(基础资料!$E$5:$E$104,D351)=0,"✗ 商品不在商品档案里",IF(AND(E351="",H351=""),"✗ 没填数量",IF(AND(N(E351)&lt;&gt;0,F351=""),"✗ 没填进价","√")))))))))</f>
      </c>
    </row>
    <row r="352">
      <c r="A352" s="109">
        <f>IF(AND(C352="",D352=""),"",ROW()-3)</f>
      </c>
      <c r="B352" s="140" t="n"/>
      <c r="C352" s="141" t="n"/>
      <c r="D352" s="141" t="n"/>
      <c r="E352" s="148" t="n"/>
      <c r="F352" s="149" t="n"/>
      <c r="G352" s="150">
        <f>IF(AND(E352&lt;&gt;"",F352&lt;&gt;""),E352*F352,"")</f>
      </c>
      <c r="H352" s="148" t="n"/>
      <c r="I352" s="142" t="n"/>
      <c r="J352" s="146">
        <f>IF(AND(B352="",C352="",D352="",E352="",F352="",H352=""),"",IF(NOT(ISNUMBER(B352)),"✗ 日期不是真日期",IF(OR(B352&lt;年初日,B352&gt;年末日),"✗ 日期不在本年度",IF(C352="","✗ 没选供应商",IF(COUNTIF(基础资料!$Q$5:$Q$54,C352)=0,"✗ 供应商不在基础资料里",IF(D352="","✗ 没选商品",IF(COUNTIF(基础资料!$E$5:$E$104,D352)=0,"✗ 商品不在商品档案里",IF(AND(E352="",H352=""),"✗ 没填数量",IF(AND(N(E352)&lt;&gt;0,F352=""),"✗ 没填进价","√")))))))))</f>
      </c>
    </row>
    <row r="353">
      <c r="A353" s="109">
        <f>IF(AND(C353="",D353=""),"",ROW()-3)</f>
      </c>
      <c r="B353" s="140" t="n"/>
      <c r="C353" s="141" t="n"/>
      <c r="D353" s="141" t="n"/>
      <c r="E353" s="148" t="n"/>
      <c r="F353" s="149" t="n"/>
      <c r="G353" s="150">
        <f>IF(AND(E353&lt;&gt;"",F353&lt;&gt;""),E353*F353,"")</f>
      </c>
      <c r="H353" s="148" t="n"/>
      <c r="I353" s="142" t="n"/>
      <c r="J353" s="146">
        <f>IF(AND(B353="",C353="",D353="",E353="",F353="",H353=""),"",IF(NOT(ISNUMBER(B353)),"✗ 日期不是真日期",IF(OR(B353&lt;年初日,B353&gt;年末日),"✗ 日期不在本年度",IF(C353="","✗ 没选供应商",IF(COUNTIF(基础资料!$Q$5:$Q$54,C353)=0,"✗ 供应商不在基础资料里",IF(D353="","✗ 没选商品",IF(COUNTIF(基础资料!$E$5:$E$104,D353)=0,"✗ 商品不在商品档案里",IF(AND(E353="",H353=""),"✗ 没填数量",IF(AND(N(E353)&lt;&gt;0,F353=""),"✗ 没填进价","√")))))))))</f>
      </c>
    </row>
    <row r="354">
      <c r="A354" s="109">
        <f>IF(AND(C354="",D354=""),"",ROW()-3)</f>
      </c>
      <c r="B354" s="140" t="n"/>
      <c r="C354" s="141" t="n"/>
      <c r="D354" s="141" t="n"/>
      <c r="E354" s="148" t="n"/>
      <c r="F354" s="149" t="n"/>
      <c r="G354" s="150">
        <f>IF(AND(E354&lt;&gt;"",F354&lt;&gt;""),E354*F354,"")</f>
      </c>
      <c r="H354" s="148" t="n"/>
      <c r="I354" s="142" t="n"/>
      <c r="J354" s="146">
        <f>IF(AND(B354="",C354="",D354="",E354="",F354="",H354=""),"",IF(NOT(ISNUMBER(B354)),"✗ 日期不是真日期",IF(OR(B354&lt;年初日,B354&gt;年末日),"✗ 日期不在本年度",IF(C354="","✗ 没选供应商",IF(COUNTIF(基础资料!$Q$5:$Q$54,C354)=0,"✗ 供应商不在基础资料里",IF(D354="","✗ 没选商品",IF(COUNTIF(基础资料!$E$5:$E$104,D354)=0,"✗ 商品不在商品档案里",IF(AND(E354="",H354=""),"✗ 没填数量",IF(AND(N(E354)&lt;&gt;0,F354=""),"✗ 没填进价","√")))))))))</f>
      </c>
    </row>
    <row r="355">
      <c r="A355" s="109">
        <f>IF(AND(C355="",D355=""),"",ROW()-3)</f>
      </c>
      <c r="B355" s="140" t="n"/>
      <c r="C355" s="141" t="n"/>
      <c r="D355" s="141" t="n"/>
      <c r="E355" s="148" t="n"/>
      <c r="F355" s="149" t="n"/>
      <c r="G355" s="150">
        <f>IF(AND(E355&lt;&gt;"",F355&lt;&gt;""),E355*F355,"")</f>
      </c>
      <c r="H355" s="148" t="n"/>
      <c r="I355" s="142" t="n"/>
      <c r="J355" s="146">
        <f>IF(AND(B355="",C355="",D355="",E355="",F355="",H355=""),"",IF(NOT(ISNUMBER(B355)),"✗ 日期不是真日期",IF(OR(B355&lt;年初日,B355&gt;年末日),"✗ 日期不在本年度",IF(C355="","✗ 没选供应商",IF(COUNTIF(基础资料!$Q$5:$Q$54,C355)=0,"✗ 供应商不在基础资料里",IF(D355="","✗ 没选商品",IF(COUNTIF(基础资料!$E$5:$E$104,D355)=0,"✗ 商品不在商品档案里",IF(AND(E355="",H355=""),"✗ 没填数量",IF(AND(N(E355)&lt;&gt;0,F355=""),"✗ 没填进价","√")))))))))</f>
      </c>
    </row>
    <row r="356">
      <c r="A356" s="109">
        <f>IF(AND(C356="",D356=""),"",ROW()-3)</f>
      </c>
      <c r="B356" s="140" t="n"/>
      <c r="C356" s="141" t="n"/>
      <c r="D356" s="141" t="n"/>
      <c r="E356" s="148" t="n"/>
      <c r="F356" s="149" t="n"/>
      <c r="G356" s="150">
        <f>IF(AND(E356&lt;&gt;"",F356&lt;&gt;""),E356*F356,"")</f>
      </c>
      <c r="H356" s="148" t="n"/>
      <c r="I356" s="142" t="n"/>
      <c r="J356" s="146">
        <f>IF(AND(B356="",C356="",D356="",E356="",F356="",H356=""),"",IF(NOT(ISNUMBER(B356)),"✗ 日期不是真日期",IF(OR(B356&lt;年初日,B356&gt;年末日),"✗ 日期不在本年度",IF(C356="","✗ 没选供应商",IF(COUNTIF(基础资料!$Q$5:$Q$54,C356)=0,"✗ 供应商不在基础资料里",IF(D356="","✗ 没选商品",IF(COUNTIF(基础资料!$E$5:$E$104,D356)=0,"✗ 商品不在商品档案里",IF(AND(E356="",H356=""),"✗ 没填数量",IF(AND(N(E356)&lt;&gt;0,F356=""),"✗ 没填进价","√")))))))))</f>
      </c>
    </row>
    <row r="357">
      <c r="A357" s="109">
        <f>IF(AND(C357="",D357=""),"",ROW()-3)</f>
      </c>
      <c r="B357" s="140" t="n"/>
      <c r="C357" s="141" t="n"/>
      <c r="D357" s="141" t="n"/>
      <c r="E357" s="148" t="n"/>
      <c r="F357" s="149" t="n"/>
      <c r="G357" s="150">
        <f>IF(AND(E357&lt;&gt;"",F357&lt;&gt;""),E357*F357,"")</f>
      </c>
      <c r="H357" s="148" t="n"/>
      <c r="I357" s="142" t="n"/>
      <c r="J357" s="146">
        <f>IF(AND(B357="",C357="",D357="",E357="",F357="",H357=""),"",IF(NOT(ISNUMBER(B357)),"✗ 日期不是真日期",IF(OR(B357&lt;年初日,B357&gt;年末日),"✗ 日期不在本年度",IF(C357="","✗ 没选供应商",IF(COUNTIF(基础资料!$Q$5:$Q$54,C357)=0,"✗ 供应商不在基础资料里",IF(D357="","✗ 没选商品",IF(COUNTIF(基础资料!$E$5:$E$104,D357)=0,"✗ 商品不在商品档案里",IF(AND(E357="",H357=""),"✗ 没填数量",IF(AND(N(E357)&lt;&gt;0,F357=""),"✗ 没填进价","√")))))))))</f>
      </c>
    </row>
    <row r="358">
      <c r="A358" s="109">
        <f>IF(AND(C358="",D358=""),"",ROW()-3)</f>
      </c>
      <c r="B358" s="140" t="n"/>
      <c r="C358" s="141" t="n"/>
      <c r="D358" s="141" t="n"/>
      <c r="E358" s="148" t="n"/>
      <c r="F358" s="149" t="n"/>
      <c r="G358" s="150">
        <f>IF(AND(E358&lt;&gt;"",F358&lt;&gt;""),E358*F358,"")</f>
      </c>
      <c r="H358" s="148" t="n"/>
      <c r="I358" s="142" t="n"/>
      <c r="J358" s="146">
        <f>IF(AND(B358="",C358="",D358="",E358="",F358="",H358=""),"",IF(NOT(ISNUMBER(B358)),"✗ 日期不是真日期",IF(OR(B358&lt;年初日,B358&gt;年末日),"✗ 日期不在本年度",IF(C358="","✗ 没选供应商",IF(COUNTIF(基础资料!$Q$5:$Q$54,C358)=0,"✗ 供应商不在基础资料里",IF(D358="","✗ 没选商品",IF(COUNTIF(基础资料!$E$5:$E$104,D358)=0,"✗ 商品不在商品档案里",IF(AND(E358="",H358=""),"✗ 没填数量",IF(AND(N(E358)&lt;&gt;0,F358=""),"✗ 没填进价","√")))))))))</f>
      </c>
    </row>
    <row r="359">
      <c r="A359" s="109">
        <f>IF(AND(C359="",D359=""),"",ROW()-3)</f>
      </c>
      <c r="B359" s="140" t="n"/>
      <c r="C359" s="141" t="n"/>
      <c r="D359" s="141" t="n"/>
      <c r="E359" s="148" t="n"/>
      <c r="F359" s="149" t="n"/>
      <c r="G359" s="150">
        <f>IF(AND(E359&lt;&gt;"",F359&lt;&gt;""),E359*F359,"")</f>
      </c>
      <c r="H359" s="148" t="n"/>
      <c r="I359" s="142" t="n"/>
      <c r="J359" s="146">
        <f>IF(AND(B359="",C359="",D359="",E359="",F359="",H359=""),"",IF(NOT(ISNUMBER(B359)),"✗ 日期不是真日期",IF(OR(B359&lt;年初日,B359&gt;年末日),"✗ 日期不在本年度",IF(C359="","✗ 没选供应商",IF(COUNTIF(基础资料!$Q$5:$Q$54,C359)=0,"✗ 供应商不在基础资料里",IF(D359="","✗ 没选商品",IF(COUNTIF(基础资料!$E$5:$E$104,D359)=0,"✗ 商品不在商品档案里",IF(AND(E359="",H359=""),"✗ 没填数量",IF(AND(N(E359)&lt;&gt;0,F359=""),"✗ 没填进价","√")))))))))</f>
      </c>
    </row>
    <row r="360">
      <c r="A360" s="109">
        <f>IF(AND(C360="",D360=""),"",ROW()-3)</f>
      </c>
      <c r="B360" s="140" t="n"/>
      <c r="C360" s="141" t="n"/>
      <c r="D360" s="141" t="n"/>
      <c r="E360" s="148" t="n"/>
      <c r="F360" s="149" t="n"/>
      <c r="G360" s="150">
        <f>IF(AND(E360&lt;&gt;"",F360&lt;&gt;""),E360*F360,"")</f>
      </c>
      <c r="H360" s="148" t="n"/>
      <c r="I360" s="142" t="n"/>
      <c r="J360" s="146">
        <f>IF(AND(B360="",C360="",D360="",E360="",F360="",H360=""),"",IF(NOT(ISNUMBER(B360)),"✗ 日期不是真日期",IF(OR(B360&lt;年初日,B360&gt;年末日),"✗ 日期不在本年度",IF(C360="","✗ 没选供应商",IF(COUNTIF(基础资料!$Q$5:$Q$54,C360)=0,"✗ 供应商不在基础资料里",IF(D360="","✗ 没选商品",IF(COUNTIF(基础资料!$E$5:$E$104,D360)=0,"✗ 商品不在商品档案里",IF(AND(E360="",H360=""),"✗ 没填数量",IF(AND(N(E360)&lt;&gt;0,F360=""),"✗ 没填进价","√")))))))))</f>
      </c>
    </row>
    <row r="361">
      <c r="A361" s="109">
        <f>IF(AND(C361="",D361=""),"",ROW()-3)</f>
      </c>
      <c r="B361" s="140" t="n"/>
      <c r="C361" s="141" t="n"/>
      <c r="D361" s="141" t="n"/>
      <c r="E361" s="148" t="n"/>
      <c r="F361" s="149" t="n"/>
      <c r="G361" s="150">
        <f>IF(AND(E361&lt;&gt;"",F361&lt;&gt;""),E361*F361,"")</f>
      </c>
      <c r="H361" s="148" t="n"/>
      <c r="I361" s="142" t="n"/>
      <c r="J361" s="146">
        <f>IF(AND(B361="",C361="",D361="",E361="",F361="",H361=""),"",IF(NOT(ISNUMBER(B361)),"✗ 日期不是真日期",IF(OR(B361&lt;年初日,B361&gt;年末日),"✗ 日期不在本年度",IF(C361="","✗ 没选供应商",IF(COUNTIF(基础资料!$Q$5:$Q$54,C361)=0,"✗ 供应商不在基础资料里",IF(D361="","✗ 没选商品",IF(COUNTIF(基础资料!$E$5:$E$104,D361)=0,"✗ 商品不在商品档案里",IF(AND(E361="",H361=""),"✗ 没填数量",IF(AND(N(E361)&lt;&gt;0,F361=""),"✗ 没填进价","√")))))))))</f>
      </c>
    </row>
    <row r="362">
      <c r="A362" s="109">
        <f>IF(AND(C362="",D362=""),"",ROW()-3)</f>
      </c>
      <c r="B362" s="140" t="n"/>
      <c r="C362" s="141" t="n"/>
      <c r="D362" s="141" t="n"/>
      <c r="E362" s="148" t="n"/>
      <c r="F362" s="149" t="n"/>
      <c r="G362" s="150">
        <f>IF(AND(E362&lt;&gt;"",F362&lt;&gt;""),E362*F362,"")</f>
      </c>
      <c r="H362" s="148" t="n"/>
      <c r="I362" s="142" t="n"/>
      <c r="J362" s="146">
        <f>IF(AND(B362="",C362="",D362="",E362="",F362="",H362=""),"",IF(NOT(ISNUMBER(B362)),"✗ 日期不是真日期",IF(OR(B362&lt;年初日,B362&gt;年末日),"✗ 日期不在本年度",IF(C362="","✗ 没选供应商",IF(COUNTIF(基础资料!$Q$5:$Q$54,C362)=0,"✗ 供应商不在基础资料里",IF(D362="","✗ 没选商品",IF(COUNTIF(基础资料!$E$5:$E$104,D362)=0,"✗ 商品不在商品档案里",IF(AND(E362="",H362=""),"✗ 没填数量",IF(AND(N(E362)&lt;&gt;0,F362=""),"✗ 没填进价","√")))))))))</f>
      </c>
    </row>
    <row r="363">
      <c r="A363" s="109">
        <f>IF(AND(C363="",D363=""),"",ROW()-3)</f>
      </c>
      <c r="B363" s="140" t="n"/>
      <c r="C363" s="141" t="n"/>
      <c r="D363" s="141" t="n"/>
      <c r="E363" s="148" t="n"/>
      <c r="F363" s="149" t="n"/>
      <c r="G363" s="150">
        <f>IF(AND(E363&lt;&gt;"",F363&lt;&gt;""),E363*F363,"")</f>
      </c>
      <c r="H363" s="148" t="n"/>
      <c r="I363" s="142" t="n"/>
      <c r="J363" s="146">
        <f>IF(AND(B363="",C363="",D363="",E363="",F363="",H363=""),"",IF(NOT(ISNUMBER(B363)),"✗ 日期不是真日期",IF(OR(B363&lt;年初日,B363&gt;年末日),"✗ 日期不在本年度",IF(C363="","✗ 没选供应商",IF(COUNTIF(基础资料!$Q$5:$Q$54,C363)=0,"✗ 供应商不在基础资料里",IF(D363="","✗ 没选商品",IF(COUNTIF(基础资料!$E$5:$E$104,D363)=0,"✗ 商品不在商品档案里",IF(AND(E363="",H363=""),"✗ 没填数量",IF(AND(N(E363)&lt;&gt;0,F363=""),"✗ 没填进价","√")))))))))</f>
      </c>
    </row>
    <row r="364">
      <c r="A364" s="109">
        <f>IF(AND(C364="",D364=""),"",ROW()-3)</f>
      </c>
      <c r="B364" s="140" t="n"/>
      <c r="C364" s="141" t="n"/>
      <c r="D364" s="141" t="n"/>
      <c r="E364" s="148" t="n"/>
      <c r="F364" s="149" t="n"/>
      <c r="G364" s="150">
        <f>IF(AND(E364&lt;&gt;"",F364&lt;&gt;""),E364*F364,"")</f>
      </c>
      <c r="H364" s="148" t="n"/>
      <c r="I364" s="142" t="n"/>
      <c r="J364" s="146">
        <f>IF(AND(B364="",C364="",D364="",E364="",F364="",H364=""),"",IF(NOT(ISNUMBER(B364)),"✗ 日期不是真日期",IF(OR(B364&lt;年初日,B364&gt;年末日),"✗ 日期不在本年度",IF(C364="","✗ 没选供应商",IF(COUNTIF(基础资料!$Q$5:$Q$54,C364)=0,"✗ 供应商不在基础资料里",IF(D364="","✗ 没选商品",IF(COUNTIF(基础资料!$E$5:$E$104,D364)=0,"✗ 商品不在商品档案里",IF(AND(E364="",H364=""),"✗ 没填数量",IF(AND(N(E364)&lt;&gt;0,F364=""),"✗ 没填进价","√")))))))))</f>
      </c>
    </row>
    <row r="365">
      <c r="A365" s="109">
        <f>IF(AND(C365="",D365=""),"",ROW()-3)</f>
      </c>
      <c r="B365" s="140" t="n"/>
      <c r="C365" s="141" t="n"/>
      <c r="D365" s="141" t="n"/>
      <c r="E365" s="148" t="n"/>
      <c r="F365" s="149" t="n"/>
      <c r="G365" s="150">
        <f>IF(AND(E365&lt;&gt;"",F365&lt;&gt;""),E365*F365,"")</f>
      </c>
      <c r="H365" s="148" t="n"/>
      <c r="I365" s="142" t="n"/>
      <c r="J365" s="146">
        <f>IF(AND(B365="",C365="",D365="",E365="",F365="",H365=""),"",IF(NOT(ISNUMBER(B365)),"✗ 日期不是真日期",IF(OR(B365&lt;年初日,B365&gt;年末日),"✗ 日期不在本年度",IF(C365="","✗ 没选供应商",IF(COUNTIF(基础资料!$Q$5:$Q$54,C365)=0,"✗ 供应商不在基础资料里",IF(D365="","✗ 没选商品",IF(COUNTIF(基础资料!$E$5:$E$104,D365)=0,"✗ 商品不在商品档案里",IF(AND(E365="",H365=""),"✗ 没填数量",IF(AND(N(E365)&lt;&gt;0,F365=""),"✗ 没填进价","√")))))))))</f>
      </c>
    </row>
    <row r="366">
      <c r="A366" s="109">
        <f>IF(AND(C366="",D366=""),"",ROW()-3)</f>
      </c>
      <c r="B366" s="140" t="n"/>
      <c r="C366" s="141" t="n"/>
      <c r="D366" s="141" t="n"/>
      <c r="E366" s="148" t="n"/>
      <c r="F366" s="149" t="n"/>
      <c r="G366" s="150">
        <f>IF(AND(E366&lt;&gt;"",F366&lt;&gt;""),E366*F366,"")</f>
      </c>
      <c r="H366" s="148" t="n"/>
      <c r="I366" s="142" t="n"/>
      <c r="J366" s="146">
        <f>IF(AND(B366="",C366="",D366="",E366="",F366="",H366=""),"",IF(NOT(ISNUMBER(B366)),"✗ 日期不是真日期",IF(OR(B366&lt;年初日,B366&gt;年末日),"✗ 日期不在本年度",IF(C366="","✗ 没选供应商",IF(COUNTIF(基础资料!$Q$5:$Q$54,C366)=0,"✗ 供应商不在基础资料里",IF(D366="","✗ 没选商品",IF(COUNTIF(基础资料!$E$5:$E$104,D366)=0,"✗ 商品不在商品档案里",IF(AND(E366="",H366=""),"✗ 没填数量",IF(AND(N(E366)&lt;&gt;0,F366=""),"✗ 没填进价","√")))))))))</f>
      </c>
    </row>
    <row r="367">
      <c r="A367" s="109">
        <f>IF(AND(C367="",D367=""),"",ROW()-3)</f>
      </c>
      <c r="B367" s="140" t="n"/>
      <c r="C367" s="141" t="n"/>
      <c r="D367" s="141" t="n"/>
      <c r="E367" s="148" t="n"/>
      <c r="F367" s="149" t="n"/>
      <c r="G367" s="150">
        <f>IF(AND(E367&lt;&gt;"",F367&lt;&gt;""),E367*F367,"")</f>
      </c>
      <c r="H367" s="148" t="n"/>
      <c r="I367" s="142" t="n"/>
      <c r="J367" s="146">
        <f>IF(AND(B367="",C367="",D367="",E367="",F367="",H367=""),"",IF(NOT(ISNUMBER(B367)),"✗ 日期不是真日期",IF(OR(B367&lt;年初日,B367&gt;年末日),"✗ 日期不在本年度",IF(C367="","✗ 没选供应商",IF(COUNTIF(基础资料!$Q$5:$Q$54,C367)=0,"✗ 供应商不在基础资料里",IF(D367="","✗ 没选商品",IF(COUNTIF(基础资料!$E$5:$E$104,D367)=0,"✗ 商品不在商品档案里",IF(AND(E367="",H367=""),"✗ 没填数量",IF(AND(N(E367)&lt;&gt;0,F367=""),"✗ 没填进价","√")))))))))</f>
      </c>
    </row>
    <row r="368">
      <c r="A368" s="109">
        <f>IF(AND(C368="",D368=""),"",ROW()-3)</f>
      </c>
      <c r="B368" s="140" t="n"/>
      <c r="C368" s="141" t="n"/>
      <c r="D368" s="141" t="n"/>
      <c r="E368" s="148" t="n"/>
      <c r="F368" s="149" t="n"/>
      <c r="G368" s="150">
        <f>IF(AND(E368&lt;&gt;"",F368&lt;&gt;""),E368*F368,"")</f>
      </c>
      <c r="H368" s="148" t="n"/>
      <c r="I368" s="142" t="n"/>
      <c r="J368" s="146">
        <f>IF(AND(B368="",C368="",D368="",E368="",F368="",H368=""),"",IF(NOT(ISNUMBER(B368)),"✗ 日期不是真日期",IF(OR(B368&lt;年初日,B368&gt;年末日),"✗ 日期不在本年度",IF(C368="","✗ 没选供应商",IF(COUNTIF(基础资料!$Q$5:$Q$54,C368)=0,"✗ 供应商不在基础资料里",IF(D368="","✗ 没选商品",IF(COUNTIF(基础资料!$E$5:$E$104,D368)=0,"✗ 商品不在商品档案里",IF(AND(E368="",H368=""),"✗ 没填数量",IF(AND(N(E368)&lt;&gt;0,F368=""),"✗ 没填进价","√")))))))))</f>
      </c>
    </row>
    <row r="369">
      <c r="A369" s="109">
        <f>IF(AND(C369="",D369=""),"",ROW()-3)</f>
      </c>
      <c r="B369" s="140" t="n"/>
      <c r="C369" s="141" t="n"/>
      <c r="D369" s="141" t="n"/>
      <c r="E369" s="148" t="n"/>
      <c r="F369" s="149" t="n"/>
      <c r="G369" s="150">
        <f>IF(AND(E369&lt;&gt;"",F369&lt;&gt;""),E369*F369,"")</f>
      </c>
      <c r="H369" s="148" t="n"/>
      <c r="I369" s="142" t="n"/>
      <c r="J369" s="146">
        <f>IF(AND(B369="",C369="",D369="",E369="",F369="",H369=""),"",IF(NOT(ISNUMBER(B369)),"✗ 日期不是真日期",IF(OR(B369&lt;年初日,B369&gt;年末日),"✗ 日期不在本年度",IF(C369="","✗ 没选供应商",IF(COUNTIF(基础资料!$Q$5:$Q$54,C369)=0,"✗ 供应商不在基础资料里",IF(D369="","✗ 没选商品",IF(COUNTIF(基础资料!$E$5:$E$104,D369)=0,"✗ 商品不在商品档案里",IF(AND(E369="",H369=""),"✗ 没填数量",IF(AND(N(E369)&lt;&gt;0,F369=""),"✗ 没填进价","√")))))))))</f>
      </c>
    </row>
    <row r="370">
      <c r="A370" s="109">
        <f>IF(AND(C370="",D370=""),"",ROW()-3)</f>
      </c>
      <c r="B370" s="140" t="n"/>
      <c r="C370" s="141" t="n"/>
      <c r="D370" s="141" t="n"/>
      <c r="E370" s="148" t="n"/>
      <c r="F370" s="149" t="n"/>
      <c r="G370" s="150">
        <f>IF(AND(E370&lt;&gt;"",F370&lt;&gt;""),E370*F370,"")</f>
      </c>
      <c r="H370" s="148" t="n"/>
      <c r="I370" s="142" t="n"/>
      <c r="J370" s="146">
        <f>IF(AND(B370="",C370="",D370="",E370="",F370="",H370=""),"",IF(NOT(ISNUMBER(B370)),"✗ 日期不是真日期",IF(OR(B370&lt;年初日,B370&gt;年末日),"✗ 日期不在本年度",IF(C370="","✗ 没选供应商",IF(COUNTIF(基础资料!$Q$5:$Q$54,C370)=0,"✗ 供应商不在基础资料里",IF(D370="","✗ 没选商品",IF(COUNTIF(基础资料!$E$5:$E$104,D370)=0,"✗ 商品不在商品档案里",IF(AND(E370="",H370=""),"✗ 没填数量",IF(AND(N(E370)&lt;&gt;0,F370=""),"✗ 没填进价","√")))))))))</f>
      </c>
    </row>
    <row r="371">
      <c r="A371" s="109">
        <f>IF(AND(C371="",D371=""),"",ROW()-3)</f>
      </c>
      <c r="B371" s="140" t="n"/>
      <c r="C371" s="141" t="n"/>
      <c r="D371" s="141" t="n"/>
      <c r="E371" s="148" t="n"/>
      <c r="F371" s="149" t="n"/>
      <c r="G371" s="150">
        <f>IF(AND(E371&lt;&gt;"",F371&lt;&gt;""),E371*F371,"")</f>
      </c>
      <c r="H371" s="148" t="n"/>
      <c r="I371" s="142" t="n"/>
      <c r="J371" s="146">
        <f>IF(AND(B371="",C371="",D371="",E371="",F371="",H371=""),"",IF(NOT(ISNUMBER(B371)),"✗ 日期不是真日期",IF(OR(B371&lt;年初日,B371&gt;年末日),"✗ 日期不在本年度",IF(C371="","✗ 没选供应商",IF(COUNTIF(基础资料!$Q$5:$Q$54,C371)=0,"✗ 供应商不在基础资料里",IF(D371="","✗ 没选商品",IF(COUNTIF(基础资料!$E$5:$E$104,D371)=0,"✗ 商品不在商品档案里",IF(AND(E371="",H371=""),"✗ 没填数量",IF(AND(N(E371)&lt;&gt;0,F371=""),"✗ 没填进价","√")))))))))</f>
      </c>
    </row>
    <row r="372">
      <c r="A372" s="109">
        <f>IF(AND(C372="",D372=""),"",ROW()-3)</f>
      </c>
      <c r="B372" s="140" t="n"/>
      <c r="C372" s="141" t="n"/>
      <c r="D372" s="141" t="n"/>
      <c r="E372" s="148" t="n"/>
      <c r="F372" s="149" t="n"/>
      <c r="G372" s="150">
        <f>IF(AND(E372&lt;&gt;"",F372&lt;&gt;""),E372*F372,"")</f>
      </c>
      <c r="H372" s="148" t="n"/>
      <c r="I372" s="142" t="n"/>
      <c r="J372" s="146">
        <f>IF(AND(B372="",C372="",D372="",E372="",F372="",H372=""),"",IF(NOT(ISNUMBER(B372)),"✗ 日期不是真日期",IF(OR(B372&lt;年初日,B372&gt;年末日),"✗ 日期不在本年度",IF(C372="","✗ 没选供应商",IF(COUNTIF(基础资料!$Q$5:$Q$54,C372)=0,"✗ 供应商不在基础资料里",IF(D372="","✗ 没选商品",IF(COUNTIF(基础资料!$E$5:$E$104,D372)=0,"✗ 商品不在商品档案里",IF(AND(E372="",H372=""),"✗ 没填数量",IF(AND(N(E372)&lt;&gt;0,F372=""),"✗ 没填进价","√")))))))))</f>
      </c>
    </row>
    <row r="373">
      <c r="A373" s="109">
        <f>IF(AND(C373="",D373=""),"",ROW()-3)</f>
      </c>
      <c r="B373" s="140" t="n"/>
      <c r="C373" s="141" t="n"/>
      <c r="D373" s="141" t="n"/>
      <c r="E373" s="148" t="n"/>
      <c r="F373" s="149" t="n"/>
      <c r="G373" s="150">
        <f>IF(AND(E373&lt;&gt;"",F373&lt;&gt;""),E373*F373,"")</f>
      </c>
      <c r="H373" s="148" t="n"/>
      <c r="I373" s="142" t="n"/>
      <c r="J373" s="146">
        <f>IF(AND(B373="",C373="",D373="",E373="",F373="",H373=""),"",IF(NOT(ISNUMBER(B373)),"✗ 日期不是真日期",IF(OR(B373&lt;年初日,B373&gt;年末日),"✗ 日期不在本年度",IF(C373="","✗ 没选供应商",IF(COUNTIF(基础资料!$Q$5:$Q$54,C373)=0,"✗ 供应商不在基础资料里",IF(D373="","✗ 没选商品",IF(COUNTIF(基础资料!$E$5:$E$104,D373)=0,"✗ 商品不在商品档案里",IF(AND(E373="",H373=""),"✗ 没填数量",IF(AND(N(E373)&lt;&gt;0,F373=""),"✗ 没填进价","√")))))))))</f>
      </c>
    </row>
    <row r="374">
      <c r="A374" s="109">
        <f>IF(AND(C374="",D374=""),"",ROW()-3)</f>
      </c>
      <c r="B374" s="140" t="n"/>
      <c r="C374" s="141" t="n"/>
      <c r="D374" s="141" t="n"/>
      <c r="E374" s="148" t="n"/>
      <c r="F374" s="149" t="n"/>
      <c r="G374" s="150">
        <f>IF(AND(E374&lt;&gt;"",F374&lt;&gt;""),E374*F374,"")</f>
      </c>
      <c r="H374" s="148" t="n"/>
      <c r="I374" s="142" t="n"/>
      <c r="J374" s="146">
        <f>IF(AND(B374="",C374="",D374="",E374="",F374="",H374=""),"",IF(NOT(ISNUMBER(B374)),"✗ 日期不是真日期",IF(OR(B374&lt;年初日,B374&gt;年末日),"✗ 日期不在本年度",IF(C374="","✗ 没选供应商",IF(COUNTIF(基础资料!$Q$5:$Q$54,C374)=0,"✗ 供应商不在基础资料里",IF(D374="","✗ 没选商品",IF(COUNTIF(基础资料!$E$5:$E$104,D374)=0,"✗ 商品不在商品档案里",IF(AND(E374="",H374=""),"✗ 没填数量",IF(AND(N(E374)&lt;&gt;0,F374=""),"✗ 没填进价","√")))))))))</f>
      </c>
    </row>
    <row r="375">
      <c r="A375" s="109">
        <f>IF(AND(C375="",D375=""),"",ROW()-3)</f>
      </c>
      <c r="B375" s="140" t="n"/>
      <c r="C375" s="141" t="n"/>
      <c r="D375" s="141" t="n"/>
      <c r="E375" s="148" t="n"/>
      <c r="F375" s="149" t="n"/>
      <c r="G375" s="150">
        <f>IF(AND(E375&lt;&gt;"",F375&lt;&gt;""),E375*F375,"")</f>
      </c>
      <c r="H375" s="148" t="n"/>
      <c r="I375" s="142" t="n"/>
      <c r="J375" s="146">
        <f>IF(AND(B375="",C375="",D375="",E375="",F375="",H375=""),"",IF(NOT(ISNUMBER(B375)),"✗ 日期不是真日期",IF(OR(B375&lt;年初日,B375&gt;年末日),"✗ 日期不在本年度",IF(C375="","✗ 没选供应商",IF(COUNTIF(基础资料!$Q$5:$Q$54,C375)=0,"✗ 供应商不在基础资料里",IF(D375="","✗ 没选商品",IF(COUNTIF(基础资料!$E$5:$E$104,D375)=0,"✗ 商品不在商品档案里",IF(AND(E375="",H375=""),"✗ 没填数量",IF(AND(N(E375)&lt;&gt;0,F375=""),"✗ 没填进价","√")))))))))</f>
      </c>
    </row>
    <row r="376">
      <c r="A376" s="109">
        <f>IF(AND(C376="",D376=""),"",ROW()-3)</f>
      </c>
      <c r="B376" s="140" t="n"/>
      <c r="C376" s="141" t="n"/>
      <c r="D376" s="141" t="n"/>
      <c r="E376" s="148" t="n"/>
      <c r="F376" s="149" t="n"/>
      <c r="G376" s="150">
        <f>IF(AND(E376&lt;&gt;"",F376&lt;&gt;""),E376*F376,"")</f>
      </c>
      <c r="H376" s="148" t="n"/>
      <c r="I376" s="142" t="n"/>
      <c r="J376" s="146">
        <f>IF(AND(B376="",C376="",D376="",E376="",F376="",H376=""),"",IF(NOT(ISNUMBER(B376)),"✗ 日期不是真日期",IF(OR(B376&lt;年初日,B376&gt;年末日),"✗ 日期不在本年度",IF(C376="","✗ 没选供应商",IF(COUNTIF(基础资料!$Q$5:$Q$54,C376)=0,"✗ 供应商不在基础资料里",IF(D376="","✗ 没选商品",IF(COUNTIF(基础资料!$E$5:$E$104,D376)=0,"✗ 商品不在商品档案里",IF(AND(E376="",H376=""),"✗ 没填数量",IF(AND(N(E376)&lt;&gt;0,F376=""),"✗ 没填进价","√")))))))))</f>
      </c>
    </row>
    <row r="377">
      <c r="A377" s="109">
        <f>IF(AND(C377="",D377=""),"",ROW()-3)</f>
      </c>
      <c r="B377" s="140" t="n"/>
      <c r="C377" s="141" t="n"/>
      <c r="D377" s="141" t="n"/>
      <c r="E377" s="148" t="n"/>
      <c r="F377" s="149" t="n"/>
      <c r="G377" s="150">
        <f>IF(AND(E377&lt;&gt;"",F377&lt;&gt;""),E377*F377,"")</f>
      </c>
      <c r="H377" s="148" t="n"/>
      <c r="I377" s="142" t="n"/>
      <c r="J377" s="146">
        <f>IF(AND(B377="",C377="",D377="",E377="",F377="",H377=""),"",IF(NOT(ISNUMBER(B377)),"✗ 日期不是真日期",IF(OR(B377&lt;年初日,B377&gt;年末日),"✗ 日期不在本年度",IF(C377="","✗ 没选供应商",IF(COUNTIF(基础资料!$Q$5:$Q$54,C377)=0,"✗ 供应商不在基础资料里",IF(D377="","✗ 没选商品",IF(COUNTIF(基础资料!$E$5:$E$104,D377)=0,"✗ 商品不在商品档案里",IF(AND(E377="",H377=""),"✗ 没填数量",IF(AND(N(E377)&lt;&gt;0,F377=""),"✗ 没填进价","√")))))))))</f>
      </c>
    </row>
    <row r="378">
      <c r="A378" s="109">
        <f>IF(AND(C378="",D378=""),"",ROW()-3)</f>
      </c>
      <c r="B378" s="140" t="n"/>
      <c r="C378" s="141" t="n"/>
      <c r="D378" s="141" t="n"/>
      <c r="E378" s="148" t="n"/>
      <c r="F378" s="149" t="n"/>
      <c r="G378" s="150">
        <f>IF(AND(E378&lt;&gt;"",F378&lt;&gt;""),E378*F378,"")</f>
      </c>
      <c r="H378" s="148" t="n"/>
      <c r="I378" s="142" t="n"/>
      <c r="J378" s="146">
        <f>IF(AND(B378="",C378="",D378="",E378="",F378="",H378=""),"",IF(NOT(ISNUMBER(B378)),"✗ 日期不是真日期",IF(OR(B378&lt;年初日,B378&gt;年末日),"✗ 日期不在本年度",IF(C378="","✗ 没选供应商",IF(COUNTIF(基础资料!$Q$5:$Q$54,C378)=0,"✗ 供应商不在基础资料里",IF(D378="","✗ 没选商品",IF(COUNTIF(基础资料!$E$5:$E$104,D378)=0,"✗ 商品不在商品档案里",IF(AND(E378="",H378=""),"✗ 没填数量",IF(AND(N(E378)&lt;&gt;0,F378=""),"✗ 没填进价","√")))))))))</f>
      </c>
    </row>
    <row r="379">
      <c r="A379" s="109">
        <f>IF(AND(C379="",D379=""),"",ROW()-3)</f>
      </c>
      <c r="B379" s="140" t="n"/>
      <c r="C379" s="141" t="n"/>
      <c r="D379" s="141" t="n"/>
      <c r="E379" s="148" t="n"/>
      <c r="F379" s="149" t="n"/>
      <c r="G379" s="150">
        <f>IF(AND(E379&lt;&gt;"",F379&lt;&gt;""),E379*F379,"")</f>
      </c>
      <c r="H379" s="148" t="n"/>
      <c r="I379" s="142" t="n"/>
      <c r="J379" s="146">
        <f>IF(AND(B379="",C379="",D379="",E379="",F379="",H379=""),"",IF(NOT(ISNUMBER(B379)),"✗ 日期不是真日期",IF(OR(B379&lt;年初日,B379&gt;年末日),"✗ 日期不在本年度",IF(C379="","✗ 没选供应商",IF(COUNTIF(基础资料!$Q$5:$Q$54,C379)=0,"✗ 供应商不在基础资料里",IF(D379="","✗ 没选商品",IF(COUNTIF(基础资料!$E$5:$E$104,D379)=0,"✗ 商品不在商品档案里",IF(AND(E379="",H379=""),"✗ 没填数量",IF(AND(N(E379)&lt;&gt;0,F379=""),"✗ 没填进价","√")))))))))</f>
      </c>
    </row>
    <row r="380">
      <c r="A380" s="109">
        <f>IF(AND(C380="",D380=""),"",ROW()-3)</f>
      </c>
      <c r="B380" s="140" t="n"/>
      <c r="C380" s="141" t="n"/>
      <c r="D380" s="141" t="n"/>
      <c r="E380" s="148" t="n"/>
      <c r="F380" s="149" t="n"/>
      <c r="G380" s="150">
        <f>IF(AND(E380&lt;&gt;"",F380&lt;&gt;""),E380*F380,"")</f>
      </c>
      <c r="H380" s="148" t="n"/>
      <c r="I380" s="142" t="n"/>
      <c r="J380" s="146">
        <f>IF(AND(B380="",C380="",D380="",E380="",F380="",H380=""),"",IF(NOT(ISNUMBER(B380)),"✗ 日期不是真日期",IF(OR(B380&lt;年初日,B380&gt;年末日),"✗ 日期不在本年度",IF(C380="","✗ 没选供应商",IF(COUNTIF(基础资料!$Q$5:$Q$54,C380)=0,"✗ 供应商不在基础资料里",IF(D380="","✗ 没选商品",IF(COUNTIF(基础资料!$E$5:$E$104,D380)=0,"✗ 商品不在商品档案里",IF(AND(E380="",H380=""),"✗ 没填数量",IF(AND(N(E380)&lt;&gt;0,F380=""),"✗ 没填进价","√")))))))))</f>
      </c>
    </row>
    <row r="381">
      <c r="A381" s="109">
        <f>IF(AND(C381="",D381=""),"",ROW()-3)</f>
      </c>
      <c r="B381" s="140" t="n"/>
      <c r="C381" s="141" t="n"/>
      <c r="D381" s="141" t="n"/>
      <c r="E381" s="148" t="n"/>
      <c r="F381" s="149" t="n"/>
      <c r="G381" s="150">
        <f>IF(AND(E381&lt;&gt;"",F381&lt;&gt;""),E381*F381,"")</f>
      </c>
      <c r="H381" s="148" t="n"/>
      <c r="I381" s="142" t="n"/>
      <c r="J381" s="146">
        <f>IF(AND(B381="",C381="",D381="",E381="",F381="",H381=""),"",IF(NOT(ISNUMBER(B381)),"✗ 日期不是真日期",IF(OR(B381&lt;年初日,B381&gt;年末日),"✗ 日期不在本年度",IF(C381="","✗ 没选供应商",IF(COUNTIF(基础资料!$Q$5:$Q$54,C381)=0,"✗ 供应商不在基础资料里",IF(D381="","✗ 没选商品",IF(COUNTIF(基础资料!$E$5:$E$104,D381)=0,"✗ 商品不在商品档案里",IF(AND(E381="",H381=""),"✗ 没填数量",IF(AND(N(E381)&lt;&gt;0,F381=""),"✗ 没填进价","√")))))))))</f>
      </c>
    </row>
    <row r="382">
      <c r="A382" s="109">
        <f>IF(AND(C382="",D382=""),"",ROW()-3)</f>
      </c>
      <c r="B382" s="140" t="n"/>
      <c r="C382" s="141" t="n"/>
      <c r="D382" s="141" t="n"/>
      <c r="E382" s="148" t="n"/>
      <c r="F382" s="149" t="n"/>
      <c r="G382" s="150">
        <f>IF(AND(E382&lt;&gt;"",F382&lt;&gt;""),E382*F382,"")</f>
      </c>
      <c r="H382" s="148" t="n"/>
      <c r="I382" s="142" t="n"/>
      <c r="J382" s="146">
        <f>IF(AND(B382="",C382="",D382="",E382="",F382="",H382=""),"",IF(NOT(ISNUMBER(B382)),"✗ 日期不是真日期",IF(OR(B382&lt;年初日,B382&gt;年末日),"✗ 日期不在本年度",IF(C382="","✗ 没选供应商",IF(COUNTIF(基础资料!$Q$5:$Q$54,C382)=0,"✗ 供应商不在基础资料里",IF(D382="","✗ 没选商品",IF(COUNTIF(基础资料!$E$5:$E$104,D382)=0,"✗ 商品不在商品档案里",IF(AND(E382="",H382=""),"✗ 没填数量",IF(AND(N(E382)&lt;&gt;0,F382=""),"✗ 没填进价","√")))))))))</f>
      </c>
    </row>
    <row r="383">
      <c r="A383" s="109">
        <f>IF(AND(C383="",D383=""),"",ROW()-3)</f>
      </c>
      <c r="B383" s="140" t="n"/>
      <c r="C383" s="141" t="n"/>
      <c r="D383" s="141" t="n"/>
      <c r="E383" s="148" t="n"/>
      <c r="F383" s="149" t="n"/>
      <c r="G383" s="150">
        <f>IF(AND(E383&lt;&gt;"",F383&lt;&gt;""),E383*F383,"")</f>
      </c>
      <c r="H383" s="148" t="n"/>
      <c r="I383" s="142" t="n"/>
      <c r="J383" s="146">
        <f>IF(AND(B383="",C383="",D383="",E383="",F383="",H383=""),"",IF(NOT(ISNUMBER(B383)),"✗ 日期不是真日期",IF(OR(B383&lt;年初日,B383&gt;年末日),"✗ 日期不在本年度",IF(C383="","✗ 没选供应商",IF(COUNTIF(基础资料!$Q$5:$Q$54,C383)=0,"✗ 供应商不在基础资料里",IF(D383="","✗ 没选商品",IF(COUNTIF(基础资料!$E$5:$E$104,D383)=0,"✗ 商品不在商品档案里",IF(AND(E383="",H383=""),"✗ 没填数量",IF(AND(N(E383)&lt;&gt;0,F383=""),"✗ 没填进价","√")))))))))</f>
      </c>
    </row>
    <row r="384">
      <c r="A384" s="109">
        <f>IF(AND(C384="",D384=""),"",ROW()-3)</f>
      </c>
      <c r="B384" s="140" t="n"/>
      <c r="C384" s="141" t="n"/>
      <c r="D384" s="141" t="n"/>
      <c r="E384" s="148" t="n"/>
      <c r="F384" s="149" t="n"/>
      <c r="G384" s="150">
        <f>IF(AND(E384&lt;&gt;"",F384&lt;&gt;""),E384*F384,"")</f>
      </c>
      <c r="H384" s="148" t="n"/>
      <c r="I384" s="142" t="n"/>
      <c r="J384" s="146">
        <f>IF(AND(B384="",C384="",D384="",E384="",F384="",H384=""),"",IF(NOT(ISNUMBER(B384)),"✗ 日期不是真日期",IF(OR(B384&lt;年初日,B384&gt;年末日),"✗ 日期不在本年度",IF(C384="","✗ 没选供应商",IF(COUNTIF(基础资料!$Q$5:$Q$54,C384)=0,"✗ 供应商不在基础资料里",IF(D384="","✗ 没选商品",IF(COUNTIF(基础资料!$E$5:$E$104,D384)=0,"✗ 商品不在商品档案里",IF(AND(E384="",H384=""),"✗ 没填数量",IF(AND(N(E384)&lt;&gt;0,F384=""),"✗ 没填进价","√")))))))))</f>
      </c>
    </row>
    <row r="385">
      <c r="A385" s="109">
        <f>IF(AND(C385="",D385=""),"",ROW()-3)</f>
      </c>
      <c r="B385" s="140" t="n"/>
      <c r="C385" s="141" t="n"/>
      <c r="D385" s="141" t="n"/>
      <c r="E385" s="148" t="n"/>
      <c r="F385" s="149" t="n"/>
      <c r="G385" s="150">
        <f>IF(AND(E385&lt;&gt;"",F385&lt;&gt;""),E385*F385,"")</f>
      </c>
      <c r="H385" s="148" t="n"/>
      <c r="I385" s="142" t="n"/>
      <c r="J385" s="146">
        <f>IF(AND(B385="",C385="",D385="",E385="",F385="",H385=""),"",IF(NOT(ISNUMBER(B385)),"✗ 日期不是真日期",IF(OR(B385&lt;年初日,B385&gt;年末日),"✗ 日期不在本年度",IF(C385="","✗ 没选供应商",IF(COUNTIF(基础资料!$Q$5:$Q$54,C385)=0,"✗ 供应商不在基础资料里",IF(D385="","✗ 没选商品",IF(COUNTIF(基础资料!$E$5:$E$104,D385)=0,"✗ 商品不在商品档案里",IF(AND(E385="",H385=""),"✗ 没填数量",IF(AND(N(E385)&lt;&gt;0,F385=""),"✗ 没填进价","√")))))))))</f>
      </c>
    </row>
    <row r="386">
      <c r="A386" s="109">
        <f>IF(AND(C386="",D386=""),"",ROW()-3)</f>
      </c>
      <c r="B386" s="140" t="n"/>
      <c r="C386" s="141" t="n"/>
      <c r="D386" s="141" t="n"/>
      <c r="E386" s="148" t="n"/>
      <c r="F386" s="149" t="n"/>
      <c r="G386" s="150">
        <f>IF(AND(E386&lt;&gt;"",F386&lt;&gt;""),E386*F386,"")</f>
      </c>
      <c r="H386" s="148" t="n"/>
      <c r="I386" s="142" t="n"/>
      <c r="J386" s="146">
        <f>IF(AND(B386="",C386="",D386="",E386="",F386="",H386=""),"",IF(NOT(ISNUMBER(B386)),"✗ 日期不是真日期",IF(OR(B386&lt;年初日,B386&gt;年末日),"✗ 日期不在本年度",IF(C386="","✗ 没选供应商",IF(COUNTIF(基础资料!$Q$5:$Q$54,C386)=0,"✗ 供应商不在基础资料里",IF(D386="","✗ 没选商品",IF(COUNTIF(基础资料!$E$5:$E$104,D386)=0,"✗ 商品不在商品档案里",IF(AND(E386="",H386=""),"✗ 没填数量",IF(AND(N(E386)&lt;&gt;0,F386=""),"✗ 没填进价","√")))))))))</f>
      </c>
    </row>
    <row r="387">
      <c r="A387" s="109">
        <f>IF(AND(C387="",D387=""),"",ROW()-3)</f>
      </c>
      <c r="B387" s="140" t="n"/>
      <c r="C387" s="141" t="n"/>
      <c r="D387" s="141" t="n"/>
      <c r="E387" s="148" t="n"/>
      <c r="F387" s="149" t="n"/>
      <c r="G387" s="150">
        <f>IF(AND(E387&lt;&gt;"",F387&lt;&gt;""),E387*F387,"")</f>
      </c>
      <c r="H387" s="148" t="n"/>
      <c r="I387" s="142" t="n"/>
      <c r="J387" s="146">
        <f>IF(AND(B387="",C387="",D387="",E387="",F387="",H387=""),"",IF(NOT(ISNUMBER(B387)),"✗ 日期不是真日期",IF(OR(B387&lt;年初日,B387&gt;年末日),"✗ 日期不在本年度",IF(C387="","✗ 没选供应商",IF(COUNTIF(基础资料!$Q$5:$Q$54,C387)=0,"✗ 供应商不在基础资料里",IF(D387="","✗ 没选商品",IF(COUNTIF(基础资料!$E$5:$E$104,D387)=0,"✗ 商品不在商品档案里",IF(AND(E387="",H387=""),"✗ 没填数量",IF(AND(N(E387)&lt;&gt;0,F387=""),"✗ 没填进价","√")))))))))</f>
      </c>
    </row>
    <row r="388">
      <c r="A388" s="109">
        <f>IF(AND(C388="",D388=""),"",ROW()-3)</f>
      </c>
      <c r="B388" s="140" t="n"/>
      <c r="C388" s="141" t="n"/>
      <c r="D388" s="141" t="n"/>
      <c r="E388" s="148" t="n"/>
      <c r="F388" s="149" t="n"/>
      <c r="G388" s="150">
        <f>IF(AND(E388&lt;&gt;"",F388&lt;&gt;""),E388*F388,"")</f>
      </c>
      <c r="H388" s="148" t="n"/>
      <c r="I388" s="142" t="n"/>
      <c r="J388" s="146">
        <f>IF(AND(B388="",C388="",D388="",E388="",F388="",H388=""),"",IF(NOT(ISNUMBER(B388)),"✗ 日期不是真日期",IF(OR(B388&lt;年初日,B388&gt;年末日),"✗ 日期不在本年度",IF(C388="","✗ 没选供应商",IF(COUNTIF(基础资料!$Q$5:$Q$54,C388)=0,"✗ 供应商不在基础资料里",IF(D388="","✗ 没选商品",IF(COUNTIF(基础资料!$E$5:$E$104,D388)=0,"✗ 商品不在商品档案里",IF(AND(E388="",H388=""),"✗ 没填数量",IF(AND(N(E388)&lt;&gt;0,F388=""),"✗ 没填进价","√")))))))))</f>
      </c>
    </row>
    <row r="389">
      <c r="A389" s="109">
        <f>IF(AND(C389="",D389=""),"",ROW()-3)</f>
      </c>
      <c r="B389" s="140" t="n"/>
      <c r="C389" s="141" t="n"/>
      <c r="D389" s="141" t="n"/>
      <c r="E389" s="148" t="n"/>
      <c r="F389" s="149" t="n"/>
      <c r="G389" s="150">
        <f>IF(AND(E389&lt;&gt;"",F389&lt;&gt;""),E389*F389,"")</f>
      </c>
      <c r="H389" s="148" t="n"/>
      <c r="I389" s="142" t="n"/>
      <c r="J389" s="146">
        <f>IF(AND(B389="",C389="",D389="",E389="",F389="",H389=""),"",IF(NOT(ISNUMBER(B389)),"✗ 日期不是真日期",IF(OR(B389&lt;年初日,B389&gt;年末日),"✗ 日期不在本年度",IF(C389="","✗ 没选供应商",IF(COUNTIF(基础资料!$Q$5:$Q$54,C389)=0,"✗ 供应商不在基础资料里",IF(D389="","✗ 没选商品",IF(COUNTIF(基础资料!$E$5:$E$104,D389)=0,"✗ 商品不在商品档案里",IF(AND(E389="",H389=""),"✗ 没填数量",IF(AND(N(E389)&lt;&gt;0,F389=""),"✗ 没填进价","√")))))))))</f>
      </c>
    </row>
    <row r="390">
      <c r="A390" s="109">
        <f>IF(AND(C390="",D390=""),"",ROW()-3)</f>
      </c>
      <c r="B390" s="140" t="n"/>
      <c r="C390" s="141" t="n"/>
      <c r="D390" s="141" t="n"/>
      <c r="E390" s="148" t="n"/>
      <c r="F390" s="149" t="n"/>
      <c r="G390" s="150">
        <f>IF(AND(E390&lt;&gt;"",F390&lt;&gt;""),E390*F390,"")</f>
      </c>
      <c r="H390" s="148" t="n"/>
      <c r="I390" s="142" t="n"/>
      <c r="J390" s="146">
        <f>IF(AND(B390="",C390="",D390="",E390="",F390="",H390=""),"",IF(NOT(ISNUMBER(B390)),"✗ 日期不是真日期",IF(OR(B390&lt;年初日,B390&gt;年末日),"✗ 日期不在本年度",IF(C390="","✗ 没选供应商",IF(COUNTIF(基础资料!$Q$5:$Q$54,C390)=0,"✗ 供应商不在基础资料里",IF(D390="","✗ 没选商品",IF(COUNTIF(基础资料!$E$5:$E$104,D390)=0,"✗ 商品不在商品档案里",IF(AND(E390="",H390=""),"✗ 没填数量",IF(AND(N(E390)&lt;&gt;0,F390=""),"✗ 没填进价","√")))))))))</f>
      </c>
    </row>
    <row r="391">
      <c r="A391" s="109">
        <f>IF(AND(C391="",D391=""),"",ROW()-3)</f>
      </c>
      <c r="B391" s="140" t="n"/>
      <c r="C391" s="141" t="n"/>
      <c r="D391" s="141" t="n"/>
      <c r="E391" s="148" t="n"/>
      <c r="F391" s="149" t="n"/>
      <c r="G391" s="150">
        <f>IF(AND(E391&lt;&gt;"",F391&lt;&gt;""),E391*F391,"")</f>
      </c>
      <c r="H391" s="148" t="n"/>
      <c r="I391" s="142" t="n"/>
      <c r="J391" s="146">
        <f>IF(AND(B391="",C391="",D391="",E391="",F391="",H391=""),"",IF(NOT(ISNUMBER(B391)),"✗ 日期不是真日期",IF(OR(B391&lt;年初日,B391&gt;年末日),"✗ 日期不在本年度",IF(C391="","✗ 没选供应商",IF(COUNTIF(基础资料!$Q$5:$Q$54,C391)=0,"✗ 供应商不在基础资料里",IF(D391="","✗ 没选商品",IF(COUNTIF(基础资料!$E$5:$E$104,D391)=0,"✗ 商品不在商品档案里",IF(AND(E391="",H391=""),"✗ 没填数量",IF(AND(N(E391)&lt;&gt;0,F391=""),"✗ 没填进价","√")))))))))</f>
      </c>
    </row>
    <row r="392">
      <c r="A392" s="109">
        <f>IF(AND(C392="",D392=""),"",ROW()-3)</f>
      </c>
      <c r="B392" s="140" t="n"/>
      <c r="C392" s="141" t="n"/>
      <c r="D392" s="141" t="n"/>
      <c r="E392" s="148" t="n"/>
      <c r="F392" s="149" t="n"/>
      <c r="G392" s="150">
        <f>IF(AND(E392&lt;&gt;"",F392&lt;&gt;""),E392*F392,"")</f>
      </c>
      <c r="H392" s="148" t="n"/>
      <c r="I392" s="142" t="n"/>
      <c r="J392" s="146">
        <f>IF(AND(B392="",C392="",D392="",E392="",F392="",H392=""),"",IF(NOT(ISNUMBER(B392)),"✗ 日期不是真日期",IF(OR(B392&lt;年初日,B392&gt;年末日),"✗ 日期不在本年度",IF(C392="","✗ 没选供应商",IF(COUNTIF(基础资料!$Q$5:$Q$54,C392)=0,"✗ 供应商不在基础资料里",IF(D392="","✗ 没选商品",IF(COUNTIF(基础资料!$E$5:$E$104,D392)=0,"✗ 商品不在商品档案里",IF(AND(E392="",H392=""),"✗ 没填数量",IF(AND(N(E392)&lt;&gt;0,F392=""),"✗ 没填进价","√")))))))))</f>
      </c>
    </row>
    <row r="393">
      <c r="A393" s="109">
        <f>IF(AND(C393="",D393=""),"",ROW()-3)</f>
      </c>
      <c r="B393" s="140" t="n"/>
      <c r="C393" s="141" t="n"/>
      <c r="D393" s="141" t="n"/>
      <c r="E393" s="148" t="n"/>
      <c r="F393" s="149" t="n"/>
      <c r="G393" s="150">
        <f>IF(AND(E393&lt;&gt;"",F393&lt;&gt;""),E393*F393,"")</f>
      </c>
      <c r="H393" s="148" t="n"/>
      <c r="I393" s="142" t="n"/>
      <c r="J393" s="146">
        <f>IF(AND(B393="",C393="",D393="",E393="",F393="",H393=""),"",IF(NOT(ISNUMBER(B393)),"✗ 日期不是真日期",IF(OR(B393&lt;年初日,B393&gt;年末日),"✗ 日期不在本年度",IF(C393="","✗ 没选供应商",IF(COUNTIF(基础资料!$Q$5:$Q$54,C393)=0,"✗ 供应商不在基础资料里",IF(D393="","✗ 没选商品",IF(COUNTIF(基础资料!$E$5:$E$104,D393)=0,"✗ 商品不在商品档案里",IF(AND(E393="",H393=""),"✗ 没填数量",IF(AND(N(E393)&lt;&gt;0,F393=""),"✗ 没填进价","√")))))))))</f>
      </c>
    </row>
    <row r="394">
      <c r="A394" s="109">
        <f>IF(AND(C394="",D394=""),"",ROW()-3)</f>
      </c>
      <c r="B394" s="140" t="n"/>
      <c r="C394" s="141" t="n"/>
      <c r="D394" s="141" t="n"/>
      <c r="E394" s="148" t="n"/>
      <c r="F394" s="149" t="n"/>
      <c r="G394" s="150">
        <f>IF(AND(E394&lt;&gt;"",F394&lt;&gt;""),E394*F394,"")</f>
      </c>
      <c r="H394" s="148" t="n"/>
      <c r="I394" s="142" t="n"/>
      <c r="J394" s="146">
        <f>IF(AND(B394="",C394="",D394="",E394="",F394="",H394=""),"",IF(NOT(ISNUMBER(B394)),"✗ 日期不是真日期",IF(OR(B394&lt;年初日,B394&gt;年末日),"✗ 日期不在本年度",IF(C394="","✗ 没选供应商",IF(COUNTIF(基础资料!$Q$5:$Q$54,C394)=0,"✗ 供应商不在基础资料里",IF(D394="","✗ 没选商品",IF(COUNTIF(基础资料!$E$5:$E$104,D394)=0,"✗ 商品不在商品档案里",IF(AND(E394="",H394=""),"✗ 没填数量",IF(AND(N(E394)&lt;&gt;0,F394=""),"✗ 没填进价","√")))))))))</f>
      </c>
    </row>
    <row r="395">
      <c r="A395" s="109">
        <f>IF(AND(C395="",D395=""),"",ROW()-3)</f>
      </c>
      <c r="B395" s="140" t="n"/>
      <c r="C395" s="141" t="n"/>
      <c r="D395" s="141" t="n"/>
      <c r="E395" s="148" t="n"/>
      <c r="F395" s="149" t="n"/>
      <c r="G395" s="150">
        <f>IF(AND(E395&lt;&gt;"",F395&lt;&gt;""),E395*F395,"")</f>
      </c>
      <c r="H395" s="148" t="n"/>
      <c r="I395" s="142" t="n"/>
      <c r="J395" s="146">
        <f>IF(AND(B395="",C395="",D395="",E395="",F395="",H395=""),"",IF(NOT(ISNUMBER(B395)),"✗ 日期不是真日期",IF(OR(B395&lt;年初日,B395&gt;年末日),"✗ 日期不在本年度",IF(C395="","✗ 没选供应商",IF(COUNTIF(基础资料!$Q$5:$Q$54,C395)=0,"✗ 供应商不在基础资料里",IF(D395="","✗ 没选商品",IF(COUNTIF(基础资料!$E$5:$E$104,D395)=0,"✗ 商品不在商品档案里",IF(AND(E395="",H395=""),"✗ 没填数量",IF(AND(N(E395)&lt;&gt;0,F395=""),"✗ 没填进价","√")))))))))</f>
      </c>
    </row>
    <row r="396">
      <c r="A396" s="109">
        <f>IF(AND(C396="",D396=""),"",ROW()-3)</f>
      </c>
      <c r="B396" s="140" t="n"/>
      <c r="C396" s="141" t="n"/>
      <c r="D396" s="141" t="n"/>
      <c r="E396" s="148" t="n"/>
      <c r="F396" s="149" t="n"/>
      <c r="G396" s="150">
        <f>IF(AND(E396&lt;&gt;"",F396&lt;&gt;""),E396*F396,"")</f>
      </c>
      <c r="H396" s="148" t="n"/>
      <c r="I396" s="142" t="n"/>
      <c r="J396" s="146">
        <f>IF(AND(B396="",C396="",D396="",E396="",F396="",H396=""),"",IF(NOT(ISNUMBER(B396)),"✗ 日期不是真日期",IF(OR(B396&lt;年初日,B396&gt;年末日),"✗ 日期不在本年度",IF(C396="","✗ 没选供应商",IF(COUNTIF(基础资料!$Q$5:$Q$54,C396)=0,"✗ 供应商不在基础资料里",IF(D396="","✗ 没选商品",IF(COUNTIF(基础资料!$E$5:$E$104,D396)=0,"✗ 商品不在商品档案里",IF(AND(E396="",H396=""),"✗ 没填数量",IF(AND(N(E396)&lt;&gt;0,F396=""),"✗ 没填进价","√")))))))))</f>
      </c>
    </row>
    <row r="397">
      <c r="A397" s="109">
        <f>IF(AND(C397="",D397=""),"",ROW()-3)</f>
      </c>
      <c r="B397" s="140" t="n"/>
      <c r="C397" s="141" t="n"/>
      <c r="D397" s="141" t="n"/>
      <c r="E397" s="148" t="n"/>
      <c r="F397" s="149" t="n"/>
      <c r="G397" s="150">
        <f>IF(AND(E397&lt;&gt;"",F397&lt;&gt;""),E397*F397,"")</f>
      </c>
      <c r="H397" s="148" t="n"/>
      <c r="I397" s="142" t="n"/>
      <c r="J397" s="146">
        <f>IF(AND(B397="",C397="",D397="",E397="",F397="",H397=""),"",IF(NOT(ISNUMBER(B397)),"✗ 日期不是真日期",IF(OR(B397&lt;年初日,B397&gt;年末日),"✗ 日期不在本年度",IF(C397="","✗ 没选供应商",IF(COUNTIF(基础资料!$Q$5:$Q$54,C397)=0,"✗ 供应商不在基础资料里",IF(D397="","✗ 没选商品",IF(COUNTIF(基础资料!$E$5:$E$104,D397)=0,"✗ 商品不在商品档案里",IF(AND(E397="",H397=""),"✗ 没填数量",IF(AND(N(E397)&lt;&gt;0,F397=""),"✗ 没填进价","√")))))))))</f>
      </c>
    </row>
    <row r="398">
      <c r="A398" s="109">
        <f>IF(AND(C398="",D398=""),"",ROW()-3)</f>
      </c>
      <c r="B398" s="140" t="n"/>
      <c r="C398" s="141" t="n"/>
      <c r="D398" s="141" t="n"/>
      <c r="E398" s="148" t="n"/>
      <c r="F398" s="149" t="n"/>
      <c r="G398" s="150">
        <f>IF(AND(E398&lt;&gt;"",F398&lt;&gt;""),E398*F398,"")</f>
      </c>
      <c r="H398" s="148" t="n"/>
      <c r="I398" s="142" t="n"/>
      <c r="J398" s="146">
        <f>IF(AND(B398="",C398="",D398="",E398="",F398="",H398=""),"",IF(NOT(ISNUMBER(B398)),"✗ 日期不是真日期",IF(OR(B398&lt;年初日,B398&gt;年末日),"✗ 日期不在本年度",IF(C398="","✗ 没选供应商",IF(COUNTIF(基础资料!$Q$5:$Q$54,C398)=0,"✗ 供应商不在基础资料里",IF(D398="","✗ 没选商品",IF(COUNTIF(基础资料!$E$5:$E$104,D398)=0,"✗ 商品不在商品档案里",IF(AND(E398="",H398=""),"✗ 没填数量",IF(AND(N(E398)&lt;&gt;0,F398=""),"✗ 没填进价","√")))))))))</f>
      </c>
    </row>
    <row r="399">
      <c r="A399" s="109">
        <f>IF(AND(C399="",D399=""),"",ROW()-3)</f>
      </c>
      <c r="B399" s="140" t="n"/>
      <c r="C399" s="141" t="n"/>
      <c r="D399" s="141" t="n"/>
      <c r="E399" s="148" t="n"/>
      <c r="F399" s="149" t="n"/>
      <c r="G399" s="150">
        <f>IF(AND(E399&lt;&gt;"",F399&lt;&gt;""),E399*F399,"")</f>
      </c>
      <c r="H399" s="148" t="n"/>
      <c r="I399" s="142" t="n"/>
      <c r="J399" s="146">
        <f>IF(AND(B399="",C399="",D399="",E399="",F399="",H399=""),"",IF(NOT(ISNUMBER(B399)),"✗ 日期不是真日期",IF(OR(B399&lt;年初日,B399&gt;年末日),"✗ 日期不在本年度",IF(C399="","✗ 没选供应商",IF(COUNTIF(基础资料!$Q$5:$Q$54,C399)=0,"✗ 供应商不在基础资料里",IF(D399="","✗ 没选商品",IF(COUNTIF(基础资料!$E$5:$E$104,D399)=0,"✗ 商品不在商品档案里",IF(AND(E399="",H399=""),"✗ 没填数量",IF(AND(N(E399)&lt;&gt;0,F399=""),"✗ 没填进价","√")))))))))</f>
      </c>
    </row>
    <row r="400">
      <c r="A400" s="109">
        <f>IF(AND(C400="",D400=""),"",ROW()-3)</f>
      </c>
      <c r="B400" s="140" t="n"/>
      <c r="C400" s="141" t="n"/>
      <c r="D400" s="141" t="n"/>
      <c r="E400" s="148" t="n"/>
      <c r="F400" s="149" t="n"/>
      <c r="G400" s="150">
        <f>IF(AND(E400&lt;&gt;"",F400&lt;&gt;""),E400*F400,"")</f>
      </c>
      <c r="H400" s="148" t="n"/>
      <c r="I400" s="142" t="n"/>
      <c r="J400" s="146">
        <f>IF(AND(B400="",C400="",D400="",E400="",F400="",H400=""),"",IF(NOT(ISNUMBER(B400)),"✗ 日期不是真日期",IF(OR(B400&lt;年初日,B400&gt;年末日),"✗ 日期不在本年度",IF(C400="","✗ 没选供应商",IF(COUNTIF(基础资料!$Q$5:$Q$54,C400)=0,"✗ 供应商不在基础资料里",IF(D400="","✗ 没选商品",IF(COUNTIF(基础资料!$E$5:$E$104,D400)=0,"✗ 商品不在商品档案里",IF(AND(E400="",H400=""),"✗ 没填数量",IF(AND(N(E400)&lt;&gt;0,F400=""),"✗ 没填进价","√")))))))))</f>
      </c>
    </row>
    <row r="401">
      <c r="A401" s="109">
        <f>IF(AND(C401="",D401=""),"",ROW()-3)</f>
      </c>
      <c r="B401" s="140" t="n"/>
      <c r="C401" s="141" t="n"/>
      <c r="D401" s="141" t="n"/>
      <c r="E401" s="148" t="n"/>
      <c r="F401" s="149" t="n"/>
      <c r="G401" s="150">
        <f>IF(AND(E401&lt;&gt;"",F401&lt;&gt;""),E401*F401,"")</f>
      </c>
      <c r="H401" s="148" t="n"/>
      <c r="I401" s="142" t="n"/>
      <c r="J401" s="146">
        <f>IF(AND(B401="",C401="",D401="",E401="",F401="",H401=""),"",IF(NOT(ISNUMBER(B401)),"✗ 日期不是真日期",IF(OR(B401&lt;年初日,B401&gt;年末日),"✗ 日期不在本年度",IF(C401="","✗ 没选供应商",IF(COUNTIF(基础资料!$Q$5:$Q$54,C401)=0,"✗ 供应商不在基础资料里",IF(D401="","✗ 没选商品",IF(COUNTIF(基础资料!$E$5:$E$104,D401)=0,"✗ 商品不在商品档案里",IF(AND(E401="",H401=""),"✗ 没填数量",IF(AND(N(E401)&lt;&gt;0,F401=""),"✗ 没填进价","√")))))))))</f>
      </c>
    </row>
    <row r="402">
      <c r="A402" s="109">
        <f>IF(AND(C402="",D402=""),"",ROW()-3)</f>
      </c>
      <c r="B402" s="140" t="n"/>
      <c r="C402" s="141" t="n"/>
      <c r="D402" s="141" t="n"/>
      <c r="E402" s="148" t="n"/>
      <c r="F402" s="149" t="n"/>
      <c r="G402" s="150">
        <f>IF(AND(E402&lt;&gt;"",F402&lt;&gt;""),E402*F402,"")</f>
      </c>
      <c r="H402" s="148" t="n"/>
      <c r="I402" s="142" t="n"/>
      <c r="J402" s="146">
        <f>IF(AND(B402="",C402="",D402="",E402="",F402="",H402=""),"",IF(NOT(ISNUMBER(B402)),"✗ 日期不是真日期",IF(OR(B402&lt;年初日,B402&gt;年末日),"✗ 日期不在本年度",IF(C402="","✗ 没选供应商",IF(COUNTIF(基础资料!$Q$5:$Q$54,C402)=0,"✗ 供应商不在基础资料里",IF(D402="","✗ 没选商品",IF(COUNTIF(基础资料!$E$5:$E$104,D402)=0,"✗ 商品不在商品档案里",IF(AND(E402="",H402=""),"✗ 没填数量",IF(AND(N(E402)&lt;&gt;0,F402=""),"✗ 没填进价","√")))))))))</f>
      </c>
    </row>
    <row r="403">
      <c r="A403" s="109">
        <f>IF(AND(C403="",D403=""),"",ROW()-3)</f>
      </c>
      <c r="B403" s="140" t="n"/>
      <c r="C403" s="141" t="n"/>
      <c r="D403" s="141" t="n"/>
      <c r="E403" s="148" t="n"/>
      <c r="F403" s="149" t="n"/>
      <c r="G403" s="150">
        <f>IF(AND(E403&lt;&gt;"",F403&lt;&gt;""),E403*F403,"")</f>
      </c>
      <c r="H403" s="148" t="n"/>
      <c r="I403" s="142" t="n"/>
      <c r="J403" s="146">
        <f>IF(AND(B403="",C403="",D403="",E403="",F403="",H403=""),"",IF(NOT(ISNUMBER(B403)),"✗ 日期不是真日期",IF(OR(B403&lt;年初日,B403&gt;年末日),"✗ 日期不在本年度",IF(C403="","✗ 没选供应商",IF(COUNTIF(基础资料!$Q$5:$Q$54,C403)=0,"✗ 供应商不在基础资料里",IF(D403="","✗ 没选商品",IF(COUNTIF(基础资料!$E$5:$E$104,D403)=0,"✗ 商品不在商品档案里",IF(AND(E403="",H403=""),"✗ 没填数量",IF(AND(N(E403)&lt;&gt;0,F403=""),"✗ 没填进价","√")))))))))</f>
      </c>
    </row>
    <row r="404">
      <c r="A404" s="109">
        <f>IF(AND(C404="",D404=""),"",ROW()-3)</f>
      </c>
      <c r="B404" s="140" t="n"/>
      <c r="C404" s="141" t="n"/>
      <c r="D404" s="141" t="n"/>
      <c r="E404" s="148" t="n"/>
      <c r="F404" s="149" t="n"/>
      <c r="G404" s="150">
        <f>IF(AND(E404&lt;&gt;"",F404&lt;&gt;""),E404*F404,"")</f>
      </c>
      <c r="H404" s="148" t="n"/>
      <c r="I404" s="142" t="n"/>
      <c r="J404" s="146">
        <f>IF(AND(B404="",C404="",D404="",E404="",F404="",H404=""),"",IF(NOT(ISNUMBER(B404)),"✗ 日期不是真日期",IF(OR(B404&lt;年初日,B404&gt;年末日),"✗ 日期不在本年度",IF(C404="","✗ 没选供应商",IF(COUNTIF(基础资料!$Q$5:$Q$54,C404)=0,"✗ 供应商不在基础资料里",IF(D404="","✗ 没选商品",IF(COUNTIF(基础资料!$E$5:$E$104,D404)=0,"✗ 商品不在商品档案里",IF(AND(E404="",H404=""),"✗ 没填数量",IF(AND(N(E404)&lt;&gt;0,F404=""),"✗ 没填进价","√")))))))))</f>
      </c>
    </row>
    <row r="405">
      <c r="A405" s="109">
        <f>IF(AND(C405="",D405=""),"",ROW()-3)</f>
      </c>
      <c r="B405" s="140" t="n"/>
      <c r="C405" s="141" t="n"/>
      <c r="D405" s="141" t="n"/>
      <c r="E405" s="148" t="n"/>
      <c r="F405" s="149" t="n"/>
      <c r="G405" s="150">
        <f>IF(AND(E405&lt;&gt;"",F405&lt;&gt;""),E405*F405,"")</f>
      </c>
      <c r="H405" s="148" t="n"/>
      <c r="I405" s="142" t="n"/>
      <c r="J405" s="146">
        <f>IF(AND(B405="",C405="",D405="",E405="",F405="",H405=""),"",IF(NOT(ISNUMBER(B405)),"✗ 日期不是真日期",IF(OR(B405&lt;年初日,B405&gt;年末日),"✗ 日期不在本年度",IF(C405="","✗ 没选供应商",IF(COUNTIF(基础资料!$Q$5:$Q$54,C405)=0,"✗ 供应商不在基础资料里",IF(D405="","✗ 没选商品",IF(COUNTIF(基础资料!$E$5:$E$104,D405)=0,"✗ 商品不在商品档案里",IF(AND(E405="",H405=""),"✗ 没填数量",IF(AND(N(E405)&lt;&gt;0,F405=""),"✗ 没填进价","√")))))))))</f>
      </c>
    </row>
    <row r="406">
      <c r="A406" s="109">
        <f>IF(AND(C406="",D406=""),"",ROW()-3)</f>
      </c>
      <c r="B406" s="140" t="n"/>
      <c r="C406" s="141" t="n"/>
      <c r="D406" s="141" t="n"/>
      <c r="E406" s="148" t="n"/>
      <c r="F406" s="149" t="n"/>
      <c r="G406" s="150">
        <f>IF(AND(E406&lt;&gt;"",F406&lt;&gt;""),E406*F406,"")</f>
      </c>
      <c r="H406" s="148" t="n"/>
      <c r="I406" s="142" t="n"/>
      <c r="J406" s="146">
        <f>IF(AND(B406="",C406="",D406="",E406="",F406="",H406=""),"",IF(NOT(ISNUMBER(B406)),"✗ 日期不是真日期",IF(OR(B406&lt;年初日,B406&gt;年末日),"✗ 日期不在本年度",IF(C406="","✗ 没选供应商",IF(COUNTIF(基础资料!$Q$5:$Q$54,C406)=0,"✗ 供应商不在基础资料里",IF(D406="","✗ 没选商品",IF(COUNTIF(基础资料!$E$5:$E$104,D406)=0,"✗ 商品不在商品档案里",IF(AND(E406="",H406=""),"✗ 没填数量",IF(AND(N(E406)&lt;&gt;0,F406=""),"✗ 没填进价","√")))))))))</f>
      </c>
    </row>
    <row r="407">
      <c r="A407" s="109">
        <f>IF(AND(C407="",D407=""),"",ROW()-3)</f>
      </c>
      <c r="B407" s="140" t="n"/>
      <c r="C407" s="141" t="n"/>
      <c r="D407" s="141" t="n"/>
      <c r="E407" s="148" t="n"/>
      <c r="F407" s="149" t="n"/>
      <c r="G407" s="150">
        <f>IF(AND(E407&lt;&gt;"",F407&lt;&gt;""),E407*F407,"")</f>
      </c>
      <c r="H407" s="148" t="n"/>
      <c r="I407" s="142" t="n"/>
      <c r="J407" s="146">
        <f>IF(AND(B407="",C407="",D407="",E407="",F407="",H407=""),"",IF(NOT(ISNUMBER(B407)),"✗ 日期不是真日期",IF(OR(B407&lt;年初日,B407&gt;年末日),"✗ 日期不在本年度",IF(C407="","✗ 没选供应商",IF(COUNTIF(基础资料!$Q$5:$Q$54,C407)=0,"✗ 供应商不在基础资料里",IF(D407="","✗ 没选商品",IF(COUNTIF(基础资料!$E$5:$E$104,D407)=0,"✗ 商品不在商品档案里",IF(AND(E407="",H407=""),"✗ 没填数量",IF(AND(N(E407)&lt;&gt;0,F407=""),"✗ 没填进价","√")))))))))</f>
      </c>
    </row>
    <row r="408">
      <c r="A408" s="109">
        <f>IF(AND(C408="",D408=""),"",ROW()-3)</f>
      </c>
      <c r="B408" s="140" t="n"/>
      <c r="C408" s="141" t="n"/>
      <c r="D408" s="141" t="n"/>
      <c r="E408" s="148" t="n"/>
      <c r="F408" s="149" t="n"/>
      <c r="G408" s="150">
        <f>IF(AND(E408&lt;&gt;"",F408&lt;&gt;""),E408*F408,"")</f>
      </c>
      <c r="H408" s="148" t="n"/>
      <c r="I408" s="142" t="n"/>
      <c r="J408" s="146">
        <f>IF(AND(B408="",C408="",D408="",E408="",F408="",H408=""),"",IF(NOT(ISNUMBER(B408)),"✗ 日期不是真日期",IF(OR(B408&lt;年初日,B408&gt;年末日),"✗ 日期不在本年度",IF(C408="","✗ 没选供应商",IF(COUNTIF(基础资料!$Q$5:$Q$54,C408)=0,"✗ 供应商不在基础资料里",IF(D408="","✗ 没选商品",IF(COUNTIF(基础资料!$E$5:$E$104,D408)=0,"✗ 商品不在商品档案里",IF(AND(E408="",H408=""),"✗ 没填数量",IF(AND(N(E408)&lt;&gt;0,F408=""),"✗ 没填进价","√")))))))))</f>
      </c>
    </row>
    <row r="409">
      <c r="A409" s="109">
        <f>IF(AND(C409="",D409=""),"",ROW()-3)</f>
      </c>
      <c r="B409" s="140" t="n"/>
      <c r="C409" s="141" t="n"/>
      <c r="D409" s="141" t="n"/>
      <c r="E409" s="148" t="n"/>
      <c r="F409" s="149" t="n"/>
      <c r="G409" s="150">
        <f>IF(AND(E409&lt;&gt;"",F409&lt;&gt;""),E409*F409,"")</f>
      </c>
      <c r="H409" s="148" t="n"/>
      <c r="I409" s="142" t="n"/>
      <c r="J409" s="146">
        <f>IF(AND(B409="",C409="",D409="",E409="",F409="",H409=""),"",IF(NOT(ISNUMBER(B409)),"✗ 日期不是真日期",IF(OR(B409&lt;年初日,B409&gt;年末日),"✗ 日期不在本年度",IF(C409="","✗ 没选供应商",IF(COUNTIF(基础资料!$Q$5:$Q$54,C409)=0,"✗ 供应商不在基础资料里",IF(D409="","✗ 没选商品",IF(COUNTIF(基础资料!$E$5:$E$104,D409)=0,"✗ 商品不在商品档案里",IF(AND(E409="",H409=""),"✗ 没填数量",IF(AND(N(E409)&lt;&gt;0,F409=""),"✗ 没填进价","√")))))))))</f>
      </c>
    </row>
    <row r="410">
      <c r="A410" s="109">
        <f>IF(AND(C410="",D410=""),"",ROW()-3)</f>
      </c>
      <c r="B410" s="140" t="n"/>
      <c r="C410" s="141" t="n"/>
      <c r="D410" s="141" t="n"/>
      <c r="E410" s="148" t="n"/>
      <c r="F410" s="149" t="n"/>
      <c r="G410" s="150">
        <f>IF(AND(E410&lt;&gt;"",F410&lt;&gt;""),E410*F410,"")</f>
      </c>
      <c r="H410" s="148" t="n"/>
      <c r="I410" s="142" t="n"/>
      <c r="J410" s="146">
        <f>IF(AND(B410="",C410="",D410="",E410="",F410="",H410=""),"",IF(NOT(ISNUMBER(B410)),"✗ 日期不是真日期",IF(OR(B410&lt;年初日,B410&gt;年末日),"✗ 日期不在本年度",IF(C410="","✗ 没选供应商",IF(COUNTIF(基础资料!$Q$5:$Q$54,C410)=0,"✗ 供应商不在基础资料里",IF(D410="","✗ 没选商品",IF(COUNTIF(基础资料!$E$5:$E$104,D410)=0,"✗ 商品不在商品档案里",IF(AND(E410="",H410=""),"✗ 没填数量",IF(AND(N(E410)&lt;&gt;0,F410=""),"✗ 没填进价","√")))))))))</f>
      </c>
    </row>
    <row r="411">
      <c r="A411" s="109">
        <f>IF(AND(C411="",D411=""),"",ROW()-3)</f>
      </c>
      <c r="B411" s="140" t="n"/>
      <c r="C411" s="141" t="n"/>
      <c r="D411" s="141" t="n"/>
      <c r="E411" s="148" t="n"/>
      <c r="F411" s="149" t="n"/>
      <c r="G411" s="150">
        <f>IF(AND(E411&lt;&gt;"",F411&lt;&gt;""),E411*F411,"")</f>
      </c>
      <c r="H411" s="148" t="n"/>
      <c r="I411" s="142" t="n"/>
      <c r="J411" s="146">
        <f>IF(AND(B411="",C411="",D411="",E411="",F411="",H411=""),"",IF(NOT(ISNUMBER(B411)),"✗ 日期不是真日期",IF(OR(B411&lt;年初日,B411&gt;年末日),"✗ 日期不在本年度",IF(C411="","✗ 没选供应商",IF(COUNTIF(基础资料!$Q$5:$Q$54,C411)=0,"✗ 供应商不在基础资料里",IF(D411="","✗ 没选商品",IF(COUNTIF(基础资料!$E$5:$E$104,D411)=0,"✗ 商品不在商品档案里",IF(AND(E411="",H411=""),"✗ 没填数量",IF(AND(N(E411)&lt;&gt;0,F411=""),"✗ 没填进价","√")))))))))</f>
      </c>
    </row>
    <row r="412">
      <c r="A412" s="109">
        <f>IF(AND(C412="",D412=""),"",ROW()-3)</f>
      </c>
      <c r="B412" s="140" t="n"/>
      <c r="C412" s="141" t="n"/>
      <c r="D412" s="141" t="n"/>
      <c r="E412" s="148" t="n"/>
      <c r="F412" s="149" t="n"/>
      <c r="G412" s="150">
        <f>IF(AND(E412&lt;&gt;"",F412&lt;&gt;""),E412*F412,"")</f>
      </c>
      <c r="H412" s="148" t="n"/>
      <c r="I412" s="142" t="n"/>
      <c r="J412" s="146">
        <f>IF(AND(B412="",C412="",D412="",E412="",F412="",H412=""),"",IF(NOT(ISNUMBER(B412)),"✗ 日期不是真日期",IF(OR(B412&lt;年初日,B412&gt;年末日),"✗ 日期不在本年度",IF(C412="","✗ 没选供应商",IF(COUNTIF(基础资料!$Q$5:$Q$54,C412)=0,"✗ 供应商不在基础资料里",IF(D412="","✗ 没选商品",IF(COUNTIF(基础资料!$E$5:$E$104,D412)=0,"✗ 商品不在商品档案里",IF(AND(E412="",H412=""),"✗ 没填数量",IF(AND(N(E412)&lt;&gt;0,F412=""),"✗ 没填进价","√")))))))))</f>
      </c>
    </row>
    <row r="413">
      <c r="A413" s="109">
        <f>IF(AND(C413="",D413=""),"",ROW()-3)</f>
      </c>
      <c r="B413" s="140" t="n"/>
      <c r="C413" s="141" t="n"/>
      <c r="D413" s="141" t="n"/>
      <c r="E413" s="148" t="n"/>
      <c r="F413" s="149" t="n"/>
      <c r="G413" s="150">
        <f>IF(AND(E413&lt;&gt;"",F413&lt;&gt;""),E413*F413,"")</f>
      </c>
      <c r="H413" s="148" t="n"/>
      <c r="I413" s="142" t="n"/>
      <c r="J413" s="146">
        <f>IF(AND(B413="",C413="",D413="",E413="",F413="",H413=""),"",IF(NOT(ISNUMBER(B413)),"✗ 日期不是真日期",IF(OR(B413&lt;年初日,B413&gt;年末日),"✗ 日期不在本年度",IF(C413="","✗ 没选供应商",IF(COUNTIF(基础资料!$Q$5:$Q$54,C413)=0,"✗ 供应商不在基础资料里",IF(D413="","✗ 没选商品",IF(COUNTIF(基础资料!$E$5:$E$104,D413)=0,"✗ 商品不在商品档案里",IF(AND(E413="",H413=""),"✗ 没填数量",IF(AND(N(E413)&lt;&gt;0,F413=""),"✗ 没填进价","√")))))))))</f>
      </c>
    </row>
    <row r="414">
      <c r="A414" s="109">
        <f>IF(AND(C414="",D414=""),"",ROW()-3)</f>
      </c>
      <c r="B414" s="140" t="n"/>
      <c r="C414" s="141" t="n"/>
      <c r="D414" s="141" t="n"/>
      <c r="E414" s="148" t="n"/>
      <c r="F414" s="149" t="n"/>
      <c r="G414" s="150">
        <f>IF(AND(E414&lt;&gt;"",F414&lt;&gt;""),E414*F414,"")</f>
      </c>
      <c r="H414" s="148" t="n"/>
      <c r="I414" s="142" t="n"/>
      <c r="J414" s="146">
        <f>IF(AND(B414="",C414="",D414="",E414="",F414="",H414=""),"",IF(NOT(ISNUMBER(B414)),"✗ 日期不是真日期",IF(OR(B414&lt;年初日,B414&gt;年末日),"✗ 日期不在本年度",IF(C414="","✗ 没选供应商",IF(COUNTIF(基础资料!$Q$5:$Q$54,C414)=0,"✗ 供应商不在基础资料里",IF(D414="","✗ 没选商品",IF(COUNTIF(基础资料!$E$5:$E$104,D414)=0,"✗ 商品不在商品档案里",IF(AND(E414="",H414=""),"✗ 没填数量",IF(AND(N(E414)&lt;&gt;0,F414=""),"✗ 没填进价","√")))))))))</f>
      </c>
    </row>
    <row r="415">
      <c r="A415" s="109">
        <f>IF(AND(C415="",D415=""),"",ROW()-3)</f>
      </c>
      <c r="B415" s="140" t="n"/>
      <c r="C415" s="141" t="n"/>
      <c r="D415" s="141" t="n"/>
      <c r="E415" s="148" t="n"/>
      <c r="F415" s="149" t="n"/>
      <c r="G415" s="150">
        <f>IF(AND(E415&lt;&gt;"",F415&lt;&gt;""),E415*F415,"")</f>
      </c>
      <c r="H415" s="148" t="n"/>
      <c r="I415" s="142" t="n"/>
      <c r="J415" s="146">
        <f>IF(AND(B415="",C415="",D415="",E415="",F415="",H415=""),"",IF(NOT(ISNUMBER(B415)),"✗ 日期不是真日期",IF(OR(B415&lt;年初日,B415&gt;年末日),"✗ 日期不在本年度",IF(C415="","✗ 没选供应商",IF(COUNTIF(基础资料!$Q$5:$Q$54,C415)=0,"✗ 供应商不在基础资料里",IF(D415="","✗ 没选商品",IF(COUNTIF(基础资料!$E$5:$E$104,D415)=0,"✗ 商品不在商品档案里",IF(AND(E415="",H415=""),"✗ 没填数量",IF(AND(N(E415)&lt;&gt;0,F415=""),"✗ 没填进价","√")))))))))</f>
      </c>
    </row>
    <row r="416">
      <c r="A416" s="109">
        <f>IF(AND(C416="",D416=""),"",ROW()-3)</f>
      </c>
      <c r="B416" s="140" t="n"/>
      <c r="C416" s="141" t="n"/>
      <c r="D416" s="141" t="n"/>
      <c r="E416" s="148" t="n"/>
      <c r="F416" s="149" t="n"/>
      <c r="G416" s="150">
        <f>IF(AND(E416&lt;&gt;"",F416&lt;&gt;""),E416*F416,"")</f>
      </c>
      <c r="H416" s="148" t="n"/>
      <c r="I416" s="142" t="n"/>
      <c r="J416" s="146">
        <f>IF(AND(B416="",C416="",D416="",E416="",F416="",H416=""),"",IF(NOT(ISNUMBER(B416)),"✗ 日期不是真日期",IF(OR(B416&lt;年初日,B416&gt;年末日),"✗ 日期不在本年度",IF(C416="","✗ 没选供应商",IF(COUNTIF(基础资料!$Q$5:$Q$54,C416)=0,"✗ 供应商不在基础资料里",IF(D416="","✗ 没选商品",IF(COUNTIF(基础资料!$E$5:$E$104,D416)=0,"✗ 商品不在商品档案里",IF(AND(E416="",H416=""),"✗ 没填数量",IF(AND(N(E416)&lt;&gt;0,F416=""),"✗ 没填进价","√")))))))))</f>
      </c>
    </row>
    <row r="417">
      <c r="A417" s="109">
        <f>IF(AND(C417="",D417=""),"",ROW()-3)</f>
      </c>
      <c r="B417" s="140" t="n"/>
      <c r="C417" s="141" t="n"/>
      <c r="D417" s="141" t="n"/>
      <c r="E417" s="148" t="n"/>
      <c r="F417" s="149" t="n"/>
      <c r="G417" s="150">
        <f>IF(AND(E417&lt;&gt;"",F417&lt;&gt;""),E417*F417,"")</f>
      </c>
      <c r="H417" s="148" t="n"/>
      <c r="I417" s="142" t="n"/>
      <c r="J417" s="146">
        <f>IF(AND(B417="",C417="",D417="",E417="",F417="",H417=""),"",IF(NOT(ISNUMBER(B417)),"✗ 日期不是真日期",IF(OR(B417&lt;年初日,B417&gt;年末日),"✗ 日期不在本年度",IF(C417="","✗ 没选供应商",IF(COUNTIF(基础资料!$Q$5:$Q$54,C417)=0,"✗ 供应商不在基础资料里",IF(D417="","✗ 没选商品",IF(COUNTIF(基础资料!$E$5:$E$104,D417)=0,"✗ 商品不在商品档案里",IF(AND(E417="",H417=""),"✗ 没填数量",IF(AND(N(E417)&lt;&gt;0,F417=""),"✗ 没填进价","√")))))))))</f>
      </c>
    </row>
    <row r="418">
      <c r="A418" s="109">
        <f>IF(AND(C418="",D418=""),"",ROW()-3)</f>
      </c>
      <c r="B418" s="140" t="n"/>
      <c r="C418" s="141" t="n"/>
      <c r="D418" s="141" t="n"/>
      <c r="E418" s="148" t="n"/>
      <c r="F418" s="149" t="n"/>
      <c r="G418" s="150">
        <f>IF(AND(E418&lt;&gt;"",F418&lt;&gt;""),E418*F418,"")</f>
      </c>
      <c r="H418" s="148" t="n"/>
      <c r="I418" s="142" t="n"/>
      <c r="J418" s="146">
        <f>IF(AND(B418="",C418="",D418="",E418="",F418="",H418=""),"",IF(NOT(ISNUMBER(B418)),"✗ 日期不是真日期",IF(OR(B418&lt;年初日,B418&gt;年末日),"✗ 日期不在本年度",IF(C418="","✗ 没选供应商",IF(COUNTIF(基础资料!$Q$5:$Q$54,C418)=0,"✗ 供应商不在基础资料里",IF(D418="","✗ 没选商品",IF(COUNTIF(基础资料!$E$5:$E$104,D418)=0,"✗ 商品不在商品档案里",IF(AND(E418="",H418=""),"✗ 没填数量",IF(AND(N(E418)&lt;&gt;0,F418=""),"✗ 没填进价","√")))))))))</f>
      </c>
    </row>
    <row r="419">
      <c r="A419" s="109">
        <f>IF(AND(C419="",D419=""),"",ROW()-3)</f>
      </c>
      <c r="B419" s="140" t="n"/>
      <c r="C419" s="141" t="n"/>
      <c r="D419" s="141" t="n"/>
      <c r="E419" s="148" t="n"/>
      <c r="F419" s="149" t="n"/>
      <c r="G419" s="150">
        <f>IF(AND(E419&lt;&gt;"",F419&lt;&gt;""),E419*F419,"")</f>
      </c>
      <c r="H419" s="148" t="n"/>
      <c r="I419" s="142" t="n"/>
      <c r="J419" s="146">
        <f>IF(AND(B419="",C419="",D419="",E419="",F419="",H419=""),"",IF(NOT(ISNUMBER(B419)),"✗ 日期不是真日期",IF(OR(B419&lt;年初日,B419&gt;年末日),"✗ 日期不在本年度",IF(C419="","✗ 没选供应商",IF(COUNTIF(基础资料!$Q$5:$Q$54,C419)=0,"✗ 供应商不在基础资料里",IF(D419="","✗ 没选商品",IF(COUNTIF(基础资料!$E$5:$E$104,D419)=0,"✗ 商品不在商品档案里",IF(AND(E419="",H419=""),"✗ 没填数量",IF(AND(N(E419)&lt;&gt;0,F419=""),"✗ 没填进价","√")))))))))</f>
      </c>
    </row>
    <row r="420">
      <c r="A420" s="109">
        <f>IF(AND(C420="",D420=""),"",ROW()-3)</f>
      </c>
      <c r="B420" s="140" t="n"/>
      <c r="C420" s="141" t="n"/>
      <c r="D420" s="141" t="n"/>
      <c r="E420" s="148" t="n"/>
      <c r="F420" s="149" t="n"/>
      <c r="G420" s="150">
        <f>IF(AND(E420&lt;&gt;"",F420&lt;&gt;""),E420*F420,"")</f>
      </c>
      <c r="H420" s="148" t="n"/>
      <c r="I420" s="142" t="n"/>
      <c r="J420" s="146">
        <f>IF(AND(B420="",C420="",D420="",E420="",F420="",H420=""),"",IF(NOT(ISNUMBER(B420)),"✗ 日期不是真日期",IF(OR(B420&lt;年初日,B420&gt;年末日),"✗ 日期不在本年度",IF(C420="","✗ 没选供应商",IF(COUNTIF(基础资料!$Q$5:$Q$54,C420)=0,"✗ 供应商不在基础资料里",IF(D420="","✗ 没选商品",IF(COUNTIF(基础资料!$E$5:$E$104,D420)=0,"✗ 商品不在商品档案里",IF(AND(E420="",H420=""),"✗ 没填数量",IF(AND(N(E420)&lt;&gt;0,F420=""),"✗ 没填进价","√")))))))))</f>
      </c>
    </row>
    <row r="421">
      <c r="A421" s="109">
        <f>IF(AND(C421="",D421=""),"",ROW()-3)</f>
      </c>
      <c r="B421" s="140" t="n"/>
      <c r="C421" s="141" t="n"/>
      <c r="D421" s="141" t="n"/>
      <c r="E421" s="148" t="n"/>
      <c r="F421" s="149" t="n"/>
      <c r="G421" s="150">
        <f>IF(AND(E421&lt;&gt;"",F421&lt;&gt;""),E421*F421,"")</f>
      </c>
      <c r="H421" s="148" t="n"/>
      <c r="I421" s="142" t="n"/>
      <c r="J421" s="146">
        <f>IF(AND(B421="",C421="",D421="",E421="",F421="",H421=""),"",IF(NOT(ISNUMBER(B421)),"✗ 日期不是真日期",IF(OR(B421&lt;年初日,B421&gt;年末日),"✗ 日期不在本年度",IF(C421="","✗ 没选供应商",IF(COUNTIF(基础资料!$Q$5:$Q$54,C421)=0,"✗ 供应商不在基础资料里",IF(D421="","✗ 没选商品",IF(COUNTIF(基础资料!$E$5:$E$104,D421)=0,"✗ 商品不在商品档案里",IF(AND(E421="",H421=""),"✗ 没填数量",IF(AND(N(E421)&lt;&gt;0,F421=""),"✗ 没填进价","√")))))))))</f>
      </c>
    </row>
    <row r="422">
      <c r="A422" s="109">
        <f>IF(AND(C422="",D422=""),"",ROW()-3)</f>
      </c>
      <c r="B422" s="140" t="n"/>
      <c r="C422" s="141" t="n"/>
      <c r="D422" s="141" t="n"/>
      <c r="E422" s="148" t="n"/>
      <c r="F422" s="149" t="n"/>
      <c r="G422" s="150">
        <f>IF(AND(E422&lt;&gt;"",F422&lt;&gt;""),E422*F422,"")</f>
      </c>
      <c r="H422" s="148" t="n"/>
      <c r="I422" s="142" t="n"/>
      <c r="J422" s="146">
        <f>IF(AND(B422="",C422="",D422="",E422="",F422="",H422=""),"",IF(NOT(ISNUMBER(B422)),"✗ 日期不是真日期",IF(OR(B422&lt;年初日,B422&gt;年末日),"✗ 日期不在本年度",IF(C422="","✗ 没选供应商",IF(COUNTIF(基础资料!$Q$5:$Q$54,C422)=0,"✗ 供应商不在基础资料里",IF(D422="","✗ 没选商品",IF(COUNTIF(基础资料!$E$5:$E$104,D422)=0,"✗ 商品不在商品档案里",IF(AND(E422="",H422=""),"✗ 没填数量",IF(AND(N(E422)&lt;&gt;0,F422=""),"✗ 没填进价","√")))))))))</f>
      </c>
    </row>
    <row r="423">
      <c r="A423" s="109">
        <f>IF(AND(C423="",D423=""),"",ROW()-3)</f>
      </c>
      <c r="B423" s="140" t="n"/>
      <c r="C423" s="141" t="n"/>
      <c r="D423" s="141" t="n"/>
      <c r="E423" s="148" t="n"/>
      <c r="F423" s="149" t="n"/>
      <c r="G423" s="150">
        <f>IF(AND(E423&lt;&gt;"",F423&lt;&gt;""),E423*F423,"")</f>
      </c>
      <c r="H423" s="148" t="n"/>
      <c r="I423" s="142" t="n"/>
      <c r="J423" s="146">
        <f>IF(AND(B423="",C423="",D423="",E423="",F423="",H423=""),"",IF(NOT(ISNUMBER(B423)),"✗ 日期不是真日期",IF(OR(B423&lt;年初日,B423&gt;年末日),"✗ 日期不在本年度",IF(C423="","✗ 没选供应商",IF(COUNTIF(基础资料!$Q$5:$Q$54,C423)=0,"✗ 供应商不在基础资料里",IF(D423="","✗ 没选商品",IF(COUNTIF(基础资料!$E$5:$E$104,D423)=0,"✗ 商品不在商品档案里",IF(AND(E423="",H423=""),"✗ 没填数量",IF(AND(N(E423)&lt;&gt;0,F423=""),"✗ 没填进价","√")))))))))</f>
      </c>
    </row>
    <row r="424">
      <c r="A424" s="109">
        <f>IF(AND(C424="",D424=""),"",ROW()-3)</f>
      </c>
      <c r="B424" s="140" t="n"/>
      <c r="C424" s="141" t="n"/>
      <c r="D424" s="141" t="n"/>
      <c r="E424" s="148" t="n"/>
      <c r="F424" s="149" t="n"/>
      <c r="G424" s="150">
        <f>IF(AND(E424&lt;&gt;"",F424&lt;&gt;""),E424*F424,"")</f>
      </c>
      <c r="H424" s="148" t="n"/>
      <c r="I424" s="142" t="n"/>
      <c r="J424" s="146">
        <f>IF(AND(B424="",C424="",D424="",E424="",F424="",H424=""),"",IF(NOT(ISNUMBER(B424)),"✗ 日期不是真日期",IF(OR(B424&lt;年初日,B424&gt;年末日),"✗ 日期不在本年度",IF(C424="","✗ 没选供应商",IF(COUNTIF(基础资料!$Q$5:$Q$54,C424)=0,"✗ 供应商不在基础资料里",IF(D424="","✗ 没选商品",IF(COUNTIF(基础资料!$E$5:$E$104,D424)=0,"✗ 商品不在商品档案里",IF(AND(E424="",H424=""),"✗ 没填数量",IF(AND(N(E424)&lt;&gt;0,F424=""),"✗ 没填进价","√")))))))))</f>
      </c>
    </row>
    <row r="425">
      <c r="A425" s="109">
        <f>IF(AND(C425="",D425=""),"",ROW()-3)</f>
      </c>
      <c r="B425" s="140" t="n"/>
      <c r="C425" s="141" t="n"/>
      <c r="D425" s="141" t="n"/>
      <c r="E425" s="148" t="n"/>
      <c r="F425" s="149" t="n"/>
      <c r="G425" s="150">
        <f>IF(AND(E425&lt;&gt;"",F425&lt;&gt;""),E425*F425,"")</f>
      </c>
      <c r="H425" s="148" t="n"/>
      <c r="I425" s="142" t="n"/>
      <c r="J425" s="146">
        <f>IF(AND(B425="",C425="",D425="",E425="",F425="",H425=""),"",IF(NOT(ISNUMBER(B425)),"✗ 日期不是真日期",IF(OR(B425&lt;年初日,B425&gt;年末日),"✗ 日期不在本年度",IF(C425="","✗ 没选供应商",IF(COUNTIF(基础资料!$Q$5:$Q$54,C425)=0,"✗ 供应商不在基础资料里",IF(D425="","✗ 没选商品",IF(COUNTIF(基础资料!$E$5:$E$104,D425)=0,"✗ 商品不在商品档案里",IF(AND(E425="",H425=""),"✗ 没填数量",IF(AND(N(E425)&lt;&gt;0,F425=""),"✗ 没填进价","√")))))))))</f>
      </c>
    </row>
    <row r="426">
      <c r="A426" s="109">
        <f>IF(AND(C426="",D426=""),"",ROW()-3)</f>
      </c>
      <c r="B426" s="140" t="n"/>
      <c r="C426" s="141" t="n"/>
      <c r="D426" s="141" t="n"/>
      <c r="E426" s="148" t="n"/>
      <c r="F426" s="149" t="n"/>
      <c r="G426" s="150">
        <f>IF(AND(E426&lt;&gt;"",F426&lt;&gt;""),E426*F426,"")</f>
      </c>
      <c r="H426" s="148" t="n"/>
      <c r="I426" s="142" t="n"/>
      <c r="J426" s="146">
        <f>IF(AND(B426="",C426="",D426="",E426="",F426="",H426=""),"",IF(NOT(ISNUMBER(B426)),"✗ 日期不是真日期",IF(OR(B426&lt;年初日,B426&gt;年末日),"✗ 日期不在本年度",IF(C426="","✗ 没选供应商",IF(COUNTIF(基础资料!$Q$5:$Q$54,C426)=0,"✗ 供应商不在基础资料里",IF(D426="","✗ 没选商品",IF(COUNTIF(基础资料!$E$5:$E$104,D426)=0,"✗ 商品不在商品档案里",IF(AND(E426="",H426=""),"✗ 没填数量",IF(AND(N(E426)&lt;&gt;0,F426=""),"✗ 没填进价","√")))))))))</f>
      </c>
    </row>
    <row r="427">
      <c r="A427" s="109">
        <f>IF(AND(C427="",D427=""),"",ROW()-3)</f>
      </c>
      <c r="B427" s="140" t="n"/>
      <c r="C427" s="141" t="n"/>
      <c r="D427" s="141" t="n"/>
      <c r="E427" s="148" t="n"/>
      <c r="F427" s="149" t="n"/>
      <c r="G427" s="150">
        <f>IF(AND(E427&lt;&gt;"",F427&lt;&gt;""),E427*F427,"")</f>
      </c>
      <c r="H427" s="148" t="n"/>
      <c r="I427" s="142" t="n"/>
      <c r="J427" s="146">
        <f>IF(AND(B427="",C427="",D427="",E427="",F427="",H427=""),"",IF(NOT(ISNUMBER(B427)),"✗ 日期不是真日期",IF(OR(B427&lt;年初日,B427&gt;年末日),"✗ 日期不在本年度",IF(C427="","✗ 没选供应商",IF(COUNTIF(基础资料!$Q$5:$Q$54,C427)=0,"✗ 供应商不在基础资料里",IF(D427="","✗ 没选商品",IF(COUNTIF(基础资料!$E$5:$E$104,D427)=0,"✗ 商品不在商品档案里",IF(AND(E427="",H427=""),"✗ 没填数量",IF(AND(N(E427)&lt;&gt;0,F427=""),"✗ 没填进价","√")))))))))</f>
      </c>
    </row>
    <row r="428">
      <c r="A428" s="109">
        <f>IF(AND(C428="",D428=""),"",ROW()-3)</f>
      </c>
      <c r="B428" s="140" t="n"/>
      <c r="C428" s="141" t="n"/>
      <c r="D428" s="141" t="n"/>
      <c r="E428" s="148" t="n"/>
      <c r="F428" s="149" t="n"/>
      <c r="G428" s="150">
        <f>IF(AND(E428&lt;&gt;"",F428&lt;&gt;""),E428*F428,"")</f>
      </c>
      <c r="H428" s="148" t="n"/>
      <c r="I428" s="142" t="n"/>
      <c r="J428" s="146">
        <f>IF(AND(B428="",C428="",D428="",E428="",F428="",H428=""),"",IF(NOT(ISNUMBER(B428)),"✗ 日期不是真日期",IF(OR(B428&lt;年初日,B428&gt;年末日),"✗ 日期不在本年度",IF(C428="","✗ 没选供应商",IF(COUNTIF(基础资料!$Q$5:$Q$54,C428)=0,"✗ 供应商不在基础资料里",IF(D428="","✗ 没选商品",IF(COUNTIF(基础资料!$E$5:$E$104,D428)=0,"✗ 商品不在商品档案里",IF(AND(E428="",H428=""),"✗ 没填数量",IF(AND(N(E428)&lt;&gt;0,F428=""),"✗ 没填进价","√")))))))))</f>
      </c>
    </row>
    <row r="429">
      <c r="A429" s="109">
        <f>IF(AND(C429="",D429=""),"",ROW()-3)</f>
      </c>
      <c r="B429" s="140" t="n"/>
      <c r="C429" s="141" t="n"/>
      <c r="D429" s="141" t="n"/>
      <c r="E429" s="148" t="n"/>
      <c r="F429" s="149" t="n"/>
      <c r="G429" s="150">
        <f>IF(AND(E429&lt;&gt;"",F429&lt;&gt;""),E429*F429,"")</f>
      </c>
      <c r="H429" s="148" t="n"/>
      <c r="I429" s="142" t="n"/>
      <c r="J429" s="146">
        <f>IF(AND(B429="",C429="",D429="",E429="",F429="",H429=""),"",IF(NOT(ISNUMBER(B429)),"✗ 日期不是真日期",IF(OR(B429&lt;年初日,B429&gt;年末日),"✗ 日期不在本年度",IF(C429="","✗ 没选供应商",IF(COUNTIF(基础资料!$Q$5:$Q$54,C429)=0,"✗ 供应商不在基础资料里",IF(D429="","✗ 没选商品",IF(COUNTIF(基础资料!$E$5:$E$104,D429)=0,"✗ 商品不在商品档案里",IF(AND(E429="",H429=""),"✗ 没填数量",IF(AND(N(E429)&lt;&gt;0,F429=""),"✗ 没填进价","√")))))))))</f>
      </c>
    </row>
    <row r="430">
      <c r="A430" s="109">
        <f>IF(AND(C430="",D430=""),"",ROW()-3)</f>
      </c>
      <c r="B430" s="140" t="n"/>
      <c r="C430" s="141" t="n"/>
      <c r="D430" s="141" t="n"/>
      <c r="E430" s="148" t="n"/>
      <c r="F430" s="149" t="n"/>
      <c r="G430" s="150">
        <f>IF(AND(E430&lt;&gt;"",F430&lt;&gt;""),E430*F430,"")</f>
      </c>
      <c r="H430" s="148" t="n"/>
      <c r="I430" s="142" t="n"/>
      <c r="J430" s="146">
        <f>IF(AND(B430="",C430="",D430="",E430="",F430="",H430=""),"",IF(NOT(ISNUMBER(B430)),"✗ 日期不是真日期",IF(OR(B430&lt;年初日,B430&gt;年末日),"✗ 日期不在本年度",IF(C430="","✗ 没选供应商",IF(COUNTIF(基础资料!$Q$5:$Q$54,C430)=0,"✗ 供应商不在基础资料里",IF(D430="","✗ 没选商品",IF(COUNTIF(基础资料!$E$5:$E$104,D430)=0,"✗ 商品不在商品档案里",IF(AND(E430="",H430=""),"✗ 没填数量",IF(AND(N(E430)&lt;&gt;0,F430=""),"✗ 没填进价","√")))))))))</f>
      </c>
    </row>
    <row r="431">
      <c r="A431" s="109">
        <f>IF(AND(C431="",D431=""),"",ROW()-3)</f>
      </c>
      <c r="B431" s="140" t="n"/>
      <c r="C431" s="141" t="n"/>
      <c r="D431" s="141" t="n"/>
      <c r="E431" s="148" t="n"/>
      <c r="F431" s="149" t="n"/>
      <c r="G431" s="150">
        <f>IF(AND(E431&lt;&gt;"",F431&lt;&gt;""),E431*F431,"")</f>
      </c>
      <c r="H431" s="148" t="n"/>
      <c r="I431" s="142" t="n"/>
      <c r="J431" s="146">
        <f>IF(AND(B431="",C431="",D431="",E431="",F431="",H431=""),"",IF(NOT(ISNUMBER(B431)),"✗ 日期不是真日期",IF(OR(B431&lt;年初日,B431&gt;年末日),"✗ 日期不在本年度",IF(C431="","✗ 没选供应商",IF(COUNTIF(基础资料!$Q$5:$Q$54,C431)=0,"✗ 供应商不在基础资料里",IF(D431="","✗ 没选商品",IF(COUNTIF(基础资料!$E$5:$E$104,D431)=0,"✗ 商品不在商品档案里",IF(AND(E431="",H431=""),"✗ 没填数量",IF(AND(N(E431)&lt;&gt;0,F431=""),"✗ 没填进价","√")))))))))</f>
      </c>
    </row>
    <row r="432">
      <c r="A432" s="109">
        <f>IF(AND(C432="",D432=""),"",ROW()-3)</f>
      </c>
      <c r="B432" s="140" t="n"/>
      <c r="C432" s="141" t="n"/>
      <c r="D432" s="141" t="n"/>
      <c r="E432" s="148" t="n"/>
      <c r="F432" s="149" t="n"/>
      <c r="G432" s="150">
        <f>IF(AND(E432&lt;&gt;"",F432&lt;&gt;""),E432*F432,"")</f>
      </c>
      <c r="H432" s="148" t="n"/>
      <c r="I432" s="142" t="n"/>
      <c r="J432" s="146">
        <f>IF(AND(B432="",C432="",D432="",E432="",F432="",H432=""),"",IF(NOT(ISNUMBER(B432)),"✗ 日期不是真日期",IF(OR(B432&lt;年初日,B432&gt;年末日),"✗ 日期不在本年度",IF(C432="","✗ 没选供应商",IF(COUNTIF(基础资料!$Q$5:$Q$54,C432)=0,"✗ 供应商不在基础资料里",IF(D432="","✗ 没选商品",IF(COUNTIF(基础资料!$E$5:$E$104,D432)=0,"✗ 商品不在商品档案里",IF(AND(E432="",H432=""),"✗ 没填数量",IF(AND(N(E432)&lt;&gt;0,F432=""),"✗ 没填进价","√")))))))))</f>
      </c>
    </row>
    <row r="433">
      <c r="A433" s="109">
        <f>IF(AND(C433="",D433=""),"",ROW()-3)</f>
      </c>
      <c r="B433" s="140" t="n"/>
      <c r="C433" s="141" t="n"/>
      <c r="D433" s="141" t="n"/>
      <c r="E433" s="148" t="n"/>
      <c r="F433" s="149" t="n"/>
      <c r="G433" s="150">
        <f>IF(AND(E433&lt;&gt;"",F433&lt;&gt;""),E433*F433,"")</f>
      </c>
      <c r="H433" s="148" t="n"/>
      <c r="I433" s="142" t="n"/>
      <c r="J433" s="146">
        <f>IF(AND(B433="",C433="",D433="",E433="",F433="",H433=""),"",IF(NOT(ISNUMBER(B433)),"✗ 日期不是真日期",IF(OR(B433&lt;年初日,B433&gt;年末日),"✗ 日期不在本年度",IF(C433="","✗ 没选供应商",IF(COUNTIF(基础资料!$Q$5:$Q$54,C433)=0,"✗ 供应商不在基础资料里",IF(D433="","✗ 没选商品",IF(COUNTIF(基础资料!$E$5:$E$104,D433)=0,"✗ 商品不在商品档案里",IF(AND(E433="",H433=""),"✗ 没填数量",IF(AND(N(E433)&lt;&gt;0,F433=""),"✗ 没填进价","√")))))))))</f>
      </c>
    </row>
    <row r="434">
      <c r="A434" s="109">
        <f>IF(AND(C434="",D434=""),"",ROW()-3)</f>
      </c>
      <c r="B434" s="140" t="n"/>
      <c r="C434" s="141" t="n"/>
      <c r="D434" s="141" t="n"/>
      <c r="E434" s="148" t="n"/>
      <c r="F434" s="149" t="n"/>
      <c r="G434" s="150">
        <f>IF(AND(E434&lt;&gt;"",F434&lt;&gt;""),E434*F434,"")</f>
      </c>
      <c r="H434" s="148" t="n"/>
      <c r="I434" s="142" t="n"/>
      <c r="J434" s="146">
        <f>IF(AND(B434="",C434="",D434="",E434="",F434="",H434=""),"",IF(NOT(ISNUMBER(B434)),"✗ 日期不是真日期",IF(OR(B434&lt;年初日,B434&gt;年末日),"✗ 日期不在本年度",IF(C434="","✗ 没选供应商",IF(COUNTIF(基础资料!$Q$5:$Q$54,C434)=0,"✗ 供应商不在基础资料里",IF(D434="","✗ 没选商品",IF(COUNTIF(基础资料!$E$5:$E$104,D434)=0,"✗ 商品不在商品档案里",IF(AND(E434="",H434=""),"✗ 没填数量",IF(AND(N(E434)&lt;&gt;0,F434=""),"✗ 没填进价","√")))))))))</f>
      </c>
    </row>
    <row r="435">
      <c r="A435" s="109">
        <f>IF(AND(C435="",D435=""),"",ROW()-3)</f>
      </c>
      <c r="B435" s="140" t="n"/>
      <c r="C435" s="141" t="n"/>
      <c r="D435" s="141" t="n"/>
      <c r="E435" s="148" t="n"/>
      <c r="F435" s="149" t="n"/>
      <c r="G435" s="150">
        <f>IF(AND(E435&lt;&gt;"",F435&lt;&gt;""),E435*F435,"")</f>
      </c>
      <c r="H435" s="148" t="n"/>
      <c r="I435" s="142" t="n"/>
      <c r="J435" s="146">
        <f>IF(AND(B435="",C435="",D435="",E435="",F435="",H435=""),"",IF(NOT(ISNUMBER(B435)),"✗ 日期不是真日期",IF(OR(B435&lt;年初日,B435&gt;年末日),"✗ 日期不在本年度",IF(C435="","✗ 没选供应商",IF(COUNTIF(基础资料!$Q$5:$Q$54,C435)=0,"✗ 供应商不在基础资料里",IF(D435="","✗ 没选商品",IF(COUNTIF(基础资料!$E$5:$E$104,D435)=0,"✗ 商品不在商品档案里",IF(AND(E435="",H435=""),"✗ 没填数量",IF(AND(N(E435)&lt;&gt;0,F435=""),"✗ 没填进价","√")))))))))</f>
      </c>
    </row>
    <row r="436">
      <c r="A436" s="109">
        <f>IF(AND(C436="",D436=""),"",ROW()-3)</f>
      </c>
      <c r="B436" s="140" t="n"/>
      <c r="C436" s="141" t="n"/>
      <c r="D436" s="141" t="n"/>
      <c r="E436" s="148" t="n"/>
      <c r="F436" s="149" t="n"/>
      <c r="G436" s="150">
        <f>IF(AND(E436&lt;&gt;"",F436&lt;&gt;""),E436*F436,"")</f>
      </c>
      <c r="H436" s="148" t="n"/>
      <c r="I436" s="142" t="n"/>
      <c r="J436" s="146">
        <f>IF(AND(B436="",C436="",D436="",E436="",F436="",H436=""),"",IF(NOT(ISNUMBER(B436)),"✗ 日期不是真日期",IF(OR(B436&lt;年初日,B436&gt;年末日),"✗ 日期不在本年度",IF(C436="","✗ 没选供应商",IF(COUNTIF(基础资料!$Q$5:$Q$54,C436)=0,"✗ 供应商不在基础资料里",IF(D436="","✗ 没选商品",IF(COUNTIF(基础资料!$E$5:$E$104,D436)=0,"✗ 商品不在商品档案里",IF(AND(E436="",H436=""),"✗ 没填数量",IF(AND(N(E436)&lt;&gt;0,F436=""),"✗ 没填进价","√")))))))))</f>
      </c>
    </row>
    <row r="437">
      <c r="A437" s="109">
        <f>IF(AND(C437="",D437=""),"",ROW()-3)</f>
      </c>
      <c r="B437" s="140" t="n"/>
      <c r="C437" s="141" t="n"/>
      <c r="D437" s="141" t="n"/>
      <c r="E437" s="148" t="n"/>
      <c r="F437" s="149" t="n"/>
      <c r="G437" s="150">
        <f>IF(AND(E437&lt;&gt;"",F437&lt;&gt;""),E437*F437,"")</f>
      </c>
      <c r="H437" s="148" t="n"/>
      <c r="I437" s="142" t="n"/>
      <c r="J437" s="146">
        <f>IF(AND(B437="",C437="",D437="",E437="",F437="",H437=""),"",IF(NOT(ISNUMBER(B437)),"✗ 日期不是真日期",IF(OR(B437&lt;年初日,B437&gt;年末日),"✗ 日期不在本年度",IF(C437="","✗ 没选供应商",IF(COUNTIF(基础资料!$Q$5:$Q$54,C437)=0,"✗ 供应商不在基础资料里",IF(D437="","✗ 没选商品",IF(COUNTIF(基础资料!$E$5:$E$104,D437)=0,"✗ 商品不在商品档案里",IF(AND(E437="",H437=""),"✗ 没填数量",IF(AND(N(E437)&lt;&gt;0,F437=""),"✗ 没填进价","√")))))))))</f>
      </c>
    </row>
    <row r="438">
      <c r="A438" s="109">
        <f>IF(AND(C438="",D438=""),"",ROW()-3)</f>
      </c>
      <c r="B438" s="140" t="n"/>
      <c r="C438" s="141" t="n"/>
      <c r="D438" s="141" t="n"/>
      <c r="E438" s="148" t="n"/>
      <c r="F438" s="149" t="n"/>
      <c r="G438" s="150">
        <f>IF(AND(E438&lt;&gt;"",F438&lt;&gt;""),E438*F438,"")</f>
      </c>
      <c r="H438" s="148" t="n"/>
      <c r="I438" s="142" t="n"/>
      <c r="J438" s="146">
        <f>IF(AND(B438="",C438="",D438="",E438="",F438="",H438=""),"",IF(NOT(ISNUMBER(B438)),"✗ 日期不是真日期",IF(OR(B438&lt;年初日,B438&gt;年末日),"✗ 日期不在本年度",IF(C438="","✗ 没选供应商",IF(COUNTIF(基础资料!$Q$5:$Q$54,C438)=0,"✗ 供应商不在基础资料里",IF(D438="","✗ 没选商品",IF(COUNTIF(基础资料!$E$5:$E$104,D438)=0,"✗ 商品不在商品档案里",IF(AND(E438="",H438=""),"✗ 没填数量",IF(AND(N(E438)&lt;&gt;0,F438=""),"✗ 没填进价","√")))))))))</f>
      </c>
    </row>
    <row r="439">
      <c r="A439" s="109">
        <f>IF(AND(C439="",D439=""),"",ROW()-3)</f>
      </c>
      <c r="B439" s="140" t="n"/>
      <c r="C439" s="141" t="n"/>
      <c r="D439" s="141" t="n"/>
      <c r="E439" s="148" t="n"/>
      <c r="F439" s="149" t="n"/>
      <c r="G439" s="150">
        <f>IF(AND(E439&lt;&gt;"",F439&lt;&gt;""),E439*F439,"")</f>
      </c>
      <c r="H439" s="148" t="n"/>
      <c r="I439" s="142" t="n"/>
      <c r="J439" s="146">
        <f>IF(AND(B439="",C439="",D439="",E439="",F439="",H439=""),"",IF(NOT(ISNUMBER(B439)),"✗ 日期不是真日期",IF(OR(B439&lt;年初日,B439&gt;年末日),"✗ 日期不在本年度",IF(C439="","✗ 没选供应商",IF(COUNTIF(基础资料!$Q$5:$Q$54,C439)=0,"✗ 供应商不在基础资料里",IF(D439="","✗ 没选商品",IF(COUNTIF(基础资料!$E$5:$E$104,D439)=0,"✗ 商品不在商品档案里",IF(AND(E439="",H439=""),"✗ 没填数量",IF(AND(N(E439)&lt;&gt;0,F439=""),"✗ 没填进价","√")))))))))</f>
      </c>
    </row>
    <row r="440">
      <c r="A440" s="109">
        <f>IF(AND(C440="",D440=""),"",ROW()-3)</f>
      </c>
      <c r="B440" s="140" t="n"/>
      <c r="C440" s="141" t="n"/>
      <c r="D440" s="141" t="n"/>
      <c r="E440" s="148" t="n"/>
      <c r="F440" s="149" t="n"/>
      <c r="G440" s="150">
        <f>IF(AND(E440&lt;&gt;"",F440&lt;&gt;""),E440*F440,"")</f>
      </c>
      <c r="H440" s="148" t="n"/>
      <c r="I440" s="142" t="n"/>
      <c r="J440" s="146">
        <f>IF(AND(B440="",C440="",D440="",E440="",F440="",H440=""),"",IF(NOT(ISNUMBER(B440)),"✗ 日期不是真日期",IF(OR(B440&lt;年初日,B440&gt;年末日),"✗ 日期不在本年度",IF(C440="","✗ 没选供应商",IF(COUNTIF(基础资料!$Q$5:$Q$54,C440)=0,"✗ 供应商不在基础资料里",IF(D440="","✗ 没选商品",IF(COUNTIF(基础资料!$E$5:$E$104,D440)=0,"✗ 商品不在商品档案里",IF(AND(E440="",H440=""),"✗ 没填数量",IF(AND(N(E440)&lt;&gt;0,F440=""),"✗ 没填进价","√")))))))))</f>
      </c>
    </row>
    <row r="441">
      <c r="A441" s="109">
        <f>IF(AND(C441="",D441=""),"",ROW()-3)</f>
      </c>
      <c r="B441" s="140" t="n"/>
      <c r="C441" s="141" t="n"/>
      <c r="D441" s="141" t="n"/>
      <c r="E441" s="148" t="n"/>
      <c r="F441" s="149" t="n"/>
      <c r="G441" s="150">
        <f>IF(AND(E441&lt;&gt;"",F441&lt;&gt;""),E441*F441,"")</f>
      </c>
      <c r="H441" s="148" t="n"/>
      <c r="I441" s="142" t="n"/>
      <c r="J441" s="146">
        <f>IF(AND(B441="",C441="",D441="",E441="",F441="",H441=""),"",IF(NOT(ISNUMBER(B441)),"✗ 日期不是真日期",IF(OR(B441&lt;年初日,B441&gt;年末日),"✗ 日期不在本年度",IF(C441="","✗ 没选供应商",IF(COUNTIF(基础资料!$Q$5:$Q$54,C441)=0,"✗ 供应商不在基础资料里",IF(D441="","✗ 没选商品",IF(COUNTIF(基础资料!$E$5:$E$104,D441)=0,"✗ 商品不在商品档案里",IF(AND(E441="",H441=""),"✗ 没填数量",IF(AND(N(E441)&lt;&gt;0,F441=""),"✗ 没填进价","√")))))))))</f>
      </c>
    </row>
    <row r="442">
      <c r="A442" s="109">
        <f>IF(AND(C442="",D442=""),"",ROW()-3)</f>
      </c>
      <c r="B442" s="140" t="n"/>
      <c r="C442" s="141" t="n"/>
      <c r="D442" s="141" t="n"/>
      <c r="E442" s="148" t="n"/>
      <c r="F442" s="149" t="n"/>
      <c r="G442" s="150">
        <f>IF(AND(E442&lt;&gt;"",F442&lt;&gt;""),E442*F442,"")</f>
      </c>
      <c r="H442" s="148" t="n"/>
      <c r="I442" s="142" t="n"/>
      <c r="J442" s="146">
        <f>IF(AND(B442="",C442="",D442="",E442="",F442="",H442=""),"",IF(NOT(ISNUMBER(B442)),"✗ 日期不是真日期",IF(OR(B442&lt;年初日,B442&gt;年末日),"✗ 日期不在本年度",IF(C442="","✗ 没选供应商",IF(COUNTIF(基础资料!$Q$5:$Q$54,C442)=0,"✗ 供应商不在基础资料里",IF(D442="","✗ 没选商品",IF(COUNTIF(基础资料!$E$5:$E$104,D442)=0,"✗ 商品不在商品档案里",IF(AND(E442="",H442=""),"✗ 没填数量",IF(AND(N(E442)&lt;&gt;0,F442=""),"✗ 没填进价","√")))))))))</f>
      </c>
    </row>
    <row r="443">
      <c r="A443" s="109">
        <f>IF(AND(C443="",D443=""),"",ROW()-3)</f>
      </c>
      <c r="B443" s="140" t="n"/>
      <c r="C443" s="141" t="n"/>
      <c r="D443" s="141" t="n"/>
      <c r="E443" s="148" t="n"/>
      <c r="F443" s="149" t="n"/>
      <c r="G443" s="150">
        <f>IF(AND(E443&lt;&gt;"",F443&lt;&gt;""),E443*F443,"")</f>
      </c>
      <c r="H443" s="148" t="n"/>
      <c r="I443" s="142" t="n"/>
      <c r="J443" s="146">
        <f>IF(AND(B443="",C443="",D443="",E443="",F443="",H443=""),"",IF(NOT(ISNUMBER(B443)),"✗ 日期不是真日期",IF(OR(B443&lt;年初日,B443&gt;年末日),"✗ 日期不在本年度",IF(C443="","✗ 没选供应商",IF(COUNTIF(基础资料!$Q$5:$Q$54,C443)=0,"✗ 供应商不在基础资料里",IF(D443="","✗ 没选商品",IF(COUNTIF(基础资料!$E$5:$E$104,D443)=0,"✗ 商品不在商品档案里",IF(AND(E443="",H443=""),"✗ 没填数量",IF(AND(N(E443)&lt;&gt;0,F443=""),"✗ 没填进价","√")))))))))</f>
      </c>
    </row>
    <row r="444">
      <c r="A444" s="109">
        <f>IF(AND(C444="",D444=""),"",ROW()-3)</f>
      </c>
      <c r="B444" s="140" t="n"/>
      <c r="C444" s="141" t="n"/>
      <c r="D444" s="141" t="n"/>
      <c r="E444" s="148" t="n"/>
      <c r="F444" s="149" t="n"/>
      <c r="G444" s="150">
        <f>IF(AND(E444&lt;&gt;"",F444&lt;&gt;""),E444*F444,"")</f>
      </c>
      <c r="H444" s="148" t="n"/>
      <c r="I444" s="142" t="n"/>
      <c r="J444" s="146">
        <f>IF(AND(B444="",C444="",D444="",E444="",F444="",H444=""),"",IF(NOT(ISNUMBER(B444)),"✗ 日期不是真日期",IF(OR(B444&lt;年初日,B444&gt;年末日),"✗ 日期不在本年度",IF(C444="","✗ 没选供应商",IF(COUNTIF(基础资料!$Q$5:$Q$54,C444)=0,"✗ 供应商不在基础资料里",IF(D444="","✗ 没选商品",IF(COUNTIF(基础资料!$E$5:$E$104,D444)=0,"✗ 商品不在商品档案里",IF(AND(E444="",H444=""),"✗ 没填数量",IF(AND(N(E444)&lt;&gt;0,F444=""),"✗ 没填进价","√")))))))))</f>
      </c>
    </row>
    <row r="445">
      <c r="A445" s="109">
        <f>IF(AND(C445="",D445=""),"",ROW()-3)</f>
      </c>
      <c r="B445" s="140" t="n"/>
      <c r="C445" s="141" t="n"/>
      <c r="D445" s="141" t="n"/>
      <c r="E445" s="148" t="n"/>
      <c r="F445" s="149" t="n"/>
      <c r="G445" s="150">
        <f>IF(AND(E445&lt;&gt;"",F445&lt;&gt;""),E445*F445,"")</f>
      </c>
      <c r="H445" s="148" t="n"/>
      <c r="I445" s="142" t="n"/>
      <c r="J445" s="146">
        <f>IF(AND(B445="",C445="",D445="",E445="",F445="",H445=""),"",IF(NOT(ISNUMBER(B445)),"✗ 日期不是真日期",IF(OR(B445&lt;年初日,B445&gt;年末日),"✗ 日期不在本年度",IF(C445="","✗ 没选供应商",IF(COUNTIF(基础资料!$Q$5:$Q$54,C445)=0,"✗ 供应商不在基础资料里",IF(D445="","✗ 没选商品",IF(COUNTIF(基础资料!$E$5:$E$104,D445)=0,"✗ 商品不在商品档案里",IF(AND(E445="",H445=""),"✗ 没填数量",IF(AND(N(E445)&lt;&gt;0,F445=""),"✗ 没填进价","√")))))))))</f>
      </c>
    </row>
    <row r="446">
      <c r="A446" s="109">
        <f>IF(AND(C446="",D446=""),"",ROW()-3)</f>
      </c>
      <c r="B446" s="140" t="n"/>
      <c r="C446" s="141" t="n"/>
      <c r="D446" s="141" t="n"/>
      <c r="E446" s="148" t="n"/>
      <c r="F446" s="149" t="n"/>
      <c r="G446" s="150">
        <f>IF(AND(E446&lt;&gt;"",F446&lt;&gt;""),E446*F446,"")</f>
      </c>
      <c r="H446" s="148" t="n"/>
      <c r="I446" s="142" t="n"/>
      <c r="J446" s="146">
        <f>IF(AND(B446="",C446="",D446="",E446="",F446="",H446=""),"",IF(NOT(ISNUMBER(B446)),"✗ 日期不是真日期",IF(OR(B446&lt;年初日,B446&gt;年末日),"✗ 日期不在本年度",IF(C446="","✗ 没选供应商",IF(COUNTIF(基础资料!$Q$5:$Q$54,C446)=0,"✗ 供应商不在基础资料里",IF(D446="","✗ 没选商品",IF(COUNTIF(基础资料!$E$5:$E$104,D446)=0,"✗ 商品不在商品档案里",IF(AND(E446="",H446=""),"✗ 没填数量",IF(AND(N(E446)&lt;&gt;0,F446=""),"✗ 没填进价","√")))))))))</f>
      </c>
    </row>
    <row r="447">
      <c r="A447" s="109">
        <f>IF(AND(C447="",D447=""),"",ROW()-3)</f>
      </c>
      <c r="B447" s="140" t="n"/>
      <c r="C447" s="141" t="n"/>
      <c r="D447" s="141" t="n"/>
      <c r="E447" s="148" t="n"/>
      <c r="F447" s="149" t="n"/>
      <c r="G447" s="150">
        <f>IF(AND(E447&lt;&gt;"",F447&lt;&gt;""),E447*F447,"")</f>
      </c>
      <c r="H447" s="148" t="n"/>
      <c r="I447" s="142" t="n"/>
      <c r="J447" s="146">
        <f>IF(AND(B447="",C447="",D447="",E447="",F447="",H447=""),"",IF(NOT(ISNUMBER(B447)),"✗ 日期不是真日期",IF(OR(B447&lt;年初日,B447&gt;年末日),"✗ 日期不在本年度",IF(C447="","✗ 没选供应商",IF(COUNTIF(基础资料!$Q$5:$Q$54,C447)=0,"✗ 供应商不在基础资料里",IF(D447="","✗ 没选商品",IF(COUNTIF(基础资料!$E$5:$E$104,D447)=0,"✗ 商品不在商品档案里",IF(AND(E447="",H447=""),"✗ 没填数量",IF(AND(N(E447)&lt;&gt;0,F447=""),"✗ 没填进价","√")))))))))</f>
      </c>
    </row>
    <row r="448">
      <c r="A448" s="109">
        <f>IF(AND(C448="",D448=""),"",ROW()-3)</f>
      </c>
      <c r="B448" s="140" t="n"/>
      <c r="C448" s="141" t="n"/>
      <c r="D448" s="141" t="n"/>
      <c r="E448" s="148" t="n"/>
      <c r="F448" s="149" t="n"/>
      <c r="G448" s="150">
        <f>IF(AND(E448&lt;&gt;"",F448&lt;&gt;""),E448*F448,"")</f>
      </c>
      <c r="H448" s="148" t="n"/>
      <c r="I448" s="142" t="n"/>
      <c r="J448" s="146">
        <f>IF(AND(B448="",C448="",D448="",E448="",F448="",H448=""),"",IF(NOT(ISNUMBER(B448)),"✗ 日期不是真日期",IF(OR(B448&lt;年初日,B448&gt;年末日),"✗ 日期不在本年度",IF(C448="","✗ 没选供应商",IF(COUNTIF(基础资料!$Q$5:$Q$54,C448)=0,"✗ 供应商不在基础资料里",IF(D448="","✗ 没选商品",IF(COUNTIF(基础资料!$E$5:$E$104,D448)=0,"✗ 商品不在商品档案里",IF(AND(E448="",H448=""),"✗ 没填数量",IF(AND(N(E448)&lt;&gt;0,F448=""),"✗ 没填进价","√")))))))))</f>
      </c>
    </row>
    <row r="449">
      <c r="A449" s="109">
        <f>IF(AND(C449="",D449=""),"",ROW()-3)</f>
      </c>
      <c r="B449" s="140" t="n"/>
      <c r="C449" s="141" t="n"/>
      <c r="D449" s="141" t="n"/>
      <c r="E449" s="148" t="n"/>
      <c r="F449" s="149" t="n"/>
      <c r="G449" s="150">
        <f>IF(AND(E449&lt;&gt;"",F449&lt;&gt;""),E449*F449,"")</f>
      </c>
      <c r="H449" s="148" t="n"/>
      <c r="I449" s="142" t="n"/>
      <c r="J449" s="146">
        <f>IF(AND(B449="",C449="",D449="",E449="",F449="",H449=""),"",IF(NOT(ISNUMBER(B449)),"✗ 日期不是真日期",IF(OR(B449&lt;年初日,B449&gt;年末日),"✗ 日期不在本年度",IF(C449="","✗ 没选供应商",IF(COUNTIF(基础资料!$Q$5:$Q$54,C449)=0,"✗ 供应商不在基础资料里",IF(D449="","✗ 没选商品",IF(COUNTIF(基础资料!$E$5:$E$104,D449)=0,"✗ 商品不在商品档案里",IF(AND(E449="",H449=""),"✗ 没填数量",IF(AND(N(E449)&lt;&gt;0,F449=""),"✗ 没填进价","√")))))))))</f>
      </c>
    </row>
    <row r="450">
      <c r="A450" s="109">
        <f>IF(AND(C450="",D450=""),"",ROW()-3)</f>
      </c>
      <c r="B450" s="140" t="n"/>
      <c r="C450" s="141" t="n"/>
      <c r="D450" s="141" t="n"/>
      <c r="E450" s="148" t="n"/>
      <c r="F450" s="149" t="n"/>
      <c r="G450" s="150">
        <f>IF(AND(E450&lt;&gt;"",F450&lt;&gt;""),E450*F450,"")</f>
      </c>
      <c r="H450" s="148" t="n"/>
      <c r="I450" s="142" t="n"/>
      <c r="J450" s="146">
        <f>IF(AND(B450="",C450="",D450="",E450="",F450="",H450=""),"",IF(NOT(ISNUMBER(B450)),"✗ 日期不是真日期",IF(OR(B450&lt;年初日,B450&gt;年末日),"✗ 日期不在本年度",IF(C450="","✗ 没选供应商",IF(COUNTIF(基础资料!$Q$5:$Q$54,C450)=0,"✗ 供应商不在基础资料里",IF(D450="","✗ 没选商品",IF(COUNTIF(基础资料!$E$5:$E$104,D450)=0,"✗ 商品不在商品档案里",IF(AND(E450="",H450=""),"✗ 没填数量",IF(AND(N(E450)&lt;&gt;0,F450=""),"✗ 没填进价","√")))))))))</f>
      </c>
    </row>
    <row r="451">
      <c r="A451" s="109">
        <f>IF(AND(C451="",D451=""),"",ROW()-3)</f>
      </c>
      <c r="B451" s="140" t="n"/>
      <c r="C451" s="141" t="n"/>
      <c r="D451" s="141" t="n"/>
      <c r="E451" s="148" t="n"/>
      <c r="F451" s="149" t="n"/>
      <c r="G451" s="150">
        <f>IF(AND(E451&lt;&gt;"",F451&lt;&gt;""),E451*F451,"")</f>
      </c>
      <c r="H451" s="148" t="n"/>
      <c r="I451" s="142" t="n"/>
      <c r="J451" s="146">
        <f>IF(AND(B451="",C451="",D451="",E451="",F451="",H451=""),"",IF(NOT(ISNUMBER(B451)),"✗ 日期不是真日期",IF(OR(B451&lt;年初日,B451&gt;年末日),"✗ 日期不在本年度",IF(C451="","✗ 没选供应商",IF(COUNTIF(基础资料!$Q$5:$Q$54,C451)=0,"✗ 供应商不在基础资料里",IF(D451="","✗ 没选商品",IF(COUNTIF(基础资料!$E$5:$E$104,D451)=0,"✗ 商品不在商品档案里",IF(AND(E451="",H451=""),"✗ 没填数量",IF(AND(N(E451)&lt;&gt;0,F451=""),"✗ 没填进价","√")))))))))</f>
      </c>
    </row>
    <row r="452">
      <c r="A452" s="109">
        <f>IF(AND(C452="",D452=""),"",ROW()-3)</f>
      </c>
      <c r="B452" s="140" t="n"/>
      <c r="C452" s="141" t="n"/>
      <c r="D452" s="141" t="n"/>
      <c r="E452" s="148" t="n"/>
      <c r="F452" s="149" t="n"/>
      <c r="G452" s="150">
        <f>IF(AND(E452&lt;&gt;"",F452&lt;&gt;""),E452*F452,"")</f>
      </c>
      <c r="H452" s="148" t="n"/>
      <c r="I452" s="142" t="n"/>
      <c r="J452" s="146">
        <f>IF(AND(B452="",C452="",D452="",E452="",F452="",H452=""),"",IF(NOT(ISNUMBER(B452)),"✗ 日期不是真日期",IF(OR(B452&lt;年初日,B452&gt;年末日),"✗ 日期不在本年度",IF(C452="","✗ 没选供应商",IF(COUNTIF(基础资料!$Q$5:$Q$54,C452)=0,"✗ 供应商不在基础资料里",IF(D452="","✗ 没选商品",IF(COUNTIF(基础资料!$E$5:$E$104,D452)=0,"✗ 商品不在商品档案里",IF(AND(E452="",H452=""),"✗ 没填数量",IF(AND(N(E452)&lt;&gt;0,F452=""),"✗ 没填进价","√")))))))))</f>
      </c>
    </row>
    <row r="453">
      <c r="A453" s="109">
        <f>IF(AND(C453="",D453=""),"",ROW()-3)</f>
      </c>
      <c r="B453" s="140" t="n"/>
      <c r="C453" s="141" t="n"/>
      <c r="D453" s="141" t="n"/>
      <c r="E453" s="148" t="n"/>
      <c r="F453" s="149" t="n"/>
      <c r="G453" s="150">
        <f>IF(AND(E453&lt;&gt;"",F453&lt;&gt;""),E453*F453,"")</f>
      </c>
      <c r="H453" s="148" t="n"/>
      <c r="I453" s="142" t="n"/>
      <c r="J453" s="146">
        <f>IF(AND(B453="",C453="",D453="",E453="",F453="",H453=""),"",IF(NOT(ISNUMBER(B453)),"✗ 日期不是真日期",IF(OR(B453&lt;年初日,B453&gt;年末日),"✗ 日期不在本年度",IF(C453="","✗ 没选供应商",IF(COUNTIF(基础资料!$Q$5:$Q$54,C453)=0,"✗ 供应商不在基础资料里",IF(D453="","✗ 没选商品",IF(COUNTIF(基础资料!$E$5:$E$104,D453)=0,"✗ 商品不在商品档案里",IF(AND(E453="",H453=""),"✗ 没填数量",IF(AND(N(E453)&lt;&gt;0,F453=""),"✗ 没填进价","√")))))))))</f>
      </c>
    </row>
    <row r="454">
      <c r="A454" s="109">
        <f>IF(AND(C454="",D454=""),"",ROW()-3)</f>
      </c>
      <c r="B454" s="140" t="n"/>
      <c r="C454" s="141" t="n"/>
      <c r="D454" s="141" t="n"/>
      <c r="E454" s="148" t="n"/>
      <c r="F454" s="149" t="n"/>
      <c r="G454" s="150">
        <f>IF(AND(E454&lt;&gt;"",F454&lt;&gt;""),E454*F454,"")</f>
      </c>
      <c r="H454" s="148" t="n"/>
      <c r="I454" s="142" t="n"/>
      <c r="J454" s="146">
        <f>IF(AND(B454="",C454="",D454="",E454="",F454="",H454=""),"",IF(NOT(ISNUMBER(B454)),"✗ 日期不是真日期",IF(OR(B454&lt;年初日,B454&gt;年末日),"✗ 日期不在本年度",IF(C454="","✗ 没选供应商",IF(COUNTIF(基础资料!$Q$5:$Q$54,C454)=0,"✗ 供应商不在基础资料里",IF(D454="","✗ 没选商品",IF(COUNTIF(基础资料!$E$5:$E$104,D454)=0,"✗ 商品不在商品档案里",IF(AND(E454="",H454=""),"✗ 没填数量",IF(AND(N(E454)&lt;&gt;0,F454=""),"✗ 没填进价","√")))))))))</f>
      </c>
    </row>
    <row r="455">
      <c r="A455" s="109">
        <f>IF(AND(C455="",D455=""),"",ROW()-3)</f>
      </c>
      <c r="B455" s="140" t="n"/>
      <c r="C455" s="141" t="n"/>
      <c r="D455" s="141" t="n"/>
      <c r="E455" s="148" t="n"/>
      <c r="F455" s="149" t="n"/>
      <c r="G455" s="150">
        <f>IF(AND(E455&lt;&gt;"",F455&lt;&gt;""),E455*F455,"")</f>
      </c>
      <c r="H455" s="148" t="n"/>
      <c r="I455" s="142" t="n"/>
      <c r="J455" s="146">
        <f>IF(AND(B455="",C455="",D455="",E455="",F455="",H455=""),"",IF(NOT(ISNUMBER(B455)),"✗ 日期不是真日期",IF(OR(B455&lt;年初日,B455&gt;年末日),"✗ 日期不在本年度",IF(C455="","✗ 没选供应商",IF(COUNTIF(基础资料!$Q$5:$Q$54,C455)=0,"✗ 供应商不在基础资料里",IF(D455="","✗ 没选商品",IF(COUNTIF(基础资料!$E$5:$E$104,D455)=0,"✗ 商品不在商品档案里",IF(AND(E455="",H455=""),"✗ 没填数量",IF(AND(N(E455)&lt;&gt;0,F455=""),"✗ 没填进价","√")))))))))</f>
      </c>
    </row>
    <row r="456">
      <c r="A456" s="109">
        <f>IF(AND(C456="",D456=""),"",ROW()-3)</f>
      </c>
      <c r="B456" s="140" t="n"/>
      <c r="C456" s="141" t="n"/>
      <c r="D456" s="141" t="n"/>
      <c r="E456" s="148" t="n"/>
      <c r="F456" s="149" t="n"/>
      <c r="G456" s="150">
        <f>IF(AND(E456&lt;&gt;"",F456&lt;&gt;""),E456*F456,"")</f>
      </c>
      <c r="H456" s="148" t="n"/>
      <c r="I456" s="142" t="n"/>
      <c r="J456" s="146">
        <f>IF(AND(B456="",C456="",D456="",E456="",F456="",H456=""),"",IF(NOT(ISNUMBER(B456)),"✗ 日期不是真日期",IF(OR(B456&lt;年初日,B456&gt;年末日),"✗ 日期不在本年度",IF(C456="","✗ 没选供应商",IF(COUNTIF(基础资料!$Q$5:$Q$54,C456)=0,"✗ 供应商不在基础资料里",IF(D456="","✗ 没选商品",IF(COUNTIF(基础资料!$E$5:$E$104,D456)=0,"✗ 商品不在商品档案里",IF(AND(E456="",H456=""),"✗ 没填数量",IF(AND(N(E456)&lt;&gt;0,F456=""),"✗ 没填进价","√")))))))))</f>
      </c>
    </row>
    <row r="457">
      <c r="A457" s="109">
        <f>IF(AND(C457="",D457=""),"",ROW()-3)</f>
      </c>
      <c r="B457" s="140" t="n"/>
      <c r="C457" s="141" t="n"/>
      <c r="D457" s="141" t="n"/>
      <c r="E457" s="148" t="n"/>
      <c r="F457" s="149" t="n"/>
      <c r="G457" s="150">
        <f>IF(AND(E457&lt;&gt;"",F457&lt;&gt;""),E457*F457,"")</f>
      </c>
      <c r="H457" s="148" t="n"/>
      <c r="I457" s="142" t="n"/>
      <c r="J457" s="146">
        <f>IF(AND(B457="",C457="",D457="",E457="",F457="",H457=""),"",IF(NOT(ISNUMBER(B457)),"✗ 日期不是真日期",IF(OR(B457&lt;年初日,B457&gt;年末日),"✗ 日期不在本年度",IF(C457="","✗ 没选供应商",IF(COUNTIF(基础资料!$Q$5:$Q$54,C457)=0,"✗ 供应商不在基础资料里",IF(D457="","✗ 没选商品",IF(COUNTIF(基础资料!$E$5:$E$104,D457)=0,"✗ 商品不在商品档案里",IF(AND(E457="",H457=""),"✗ 没填数量",IF(AND(N(E457)&lt;&gt;0,F457=""),"✗ 没填进价","√")))))))))</f>
      </c>
    </row>
    <row r="458">
      <c r="A458" s="109">
        <f>IF(AND(C458="",D458=""),"",ROW()-3)</f>
      </c>
      <c r="B458" s="140" t="n"/>
      <c r="C458" s="141" t="n"/>
      <c r="D458" s="141" t="n"/>
      <c r="E458" s="148" t="n"/>
      <c r="F458" s="149" t="n"/>
      <c r="G458" s="150">
        <f>IF(AND(E458&lt;&gt;"",F458&lt;&gt;""),E458*F458,"")</f>
      </c>
      <c r="H458" s="148" t="n"/>
      <c r="I458" s="142" t="n"/>
      <c r="J458" s="146">
        <f>IF(AND(B458="",C458="",D458="",E458="",F458="",H458=""),"",IF(NOT(ISNUMBER(B458)),"✗ 日期不是真日期",IF(OR(B458&lt;年初日,B458&gt;年末日),"✗ 日期不在本年度",IF(C458="","✗ 没选供应商",IF(COUNTIF(基础资料!$Q$5:$Q$54,C458)=0,"✗ 供应商不在基础资料里",IF(D458="","✗ 没选商品",IF(COUNTIF(基础资料!$E$5:$E$104,D458)=0,"✗ 商品不在商品档案里",IF(AND(E458="",H458=""),"✗ 没填数量",IF(AND(N(E458)&lt;&gt;0,F458=""),"✗ 没填进价","√")))))))))</f>
      </c>
    </row>
    <row r="459">
      <c r="A459" s="109">
        <f>IF(AND(C459="",D459=""),"",ROW()-3)</f>
      </c>
      <c r="B459" s="140" t="n"/>
      <c r="C459" s="141" t="n"/>
      <c r="D459" s="141" t="n"/>
      <c r="E459" s="148" t="n"/>
      <c r="F459" s="149" t="n"/>
      <c r="G459" s="150">
        <f>IF(AND(E459&lt;&gt;"",F459&lt;&gt;""),E459*F459,"")</f>
      </c>
      <c r="H459" s="148" t="n"/>
      <c r="I459" s="142" t="n"/>
      <c r="J459" s="146">
        <f>IF(AND(B459="",C459="",D459="",E459="",F459="",H459=""),"",IF(NOT(ISNUMBER(B459)),"✗ 日期不是真日期",IF(OR(B459&lt;年初日,B459&gt;年末日),"✗ 日期不在本年度",IF(C459="","✗ 没选供应商",IF(COUNTIF(基础资料!$Q$5:$Q$54,C459)=0,"✗ 供应商不在基础资料里",IF(D459="","✗ 没选商品",IF(COUNTIF(基础资料!$E$5:$E$104,D459)=0,"✗ 商品不在商品档案里",IF(AND(E459="",H459=""),"✗ 没填数量",IF(AND(N(E459)&lt;&gt;0,F459=""),"✗ 没填进价","√")))))))))</f>
      </c>
    </row>
    <row r="460">
      <c r="A460" s="109">
        <f>IF(AND(C460="",D460=""),"",ROW()-3)</f>
      </c>
      <c r="B460" s="140" t="n"/>
      <c r="C460" s="141" t="n"/>
      <c r="D460" s="141" t="n"/>
      <c r="E460" s="148" t="n"/>
      <c r="F460" s="149" t="n"/>
      <c r="G460" s="150">
        <f>IF(AND(E460&lt;&gt;"",F460&lt;&gt;""),E460*F460,"")</f>
      </c>
      <c r="H460" s="148" t="n"/>
      <c r="I460" s="142" t="n"/>
      <c r="J460" s="146">
        <f>IF(AND(B460="",C460="",D460="",E460="",F460="",H460=""),"",IF(NOT(ISNUMBER(B460)),"✗ 日期不是真日期",IF(OR(B460&lt;年初日,B460&gt;年末日),"✗ 日期不在本年度",IF(C460="","✗ 没选供应商",IF(COUNTIF(基础资料!$Q$5:$Q$54,C460)=0,"✗ 供应商不在基础资料里",IF(D460="","✗ 没选商品",IF(COUNTIF(基础资料!$E$5:$E$104,D460)=0,"✗ 商品不在商品档案里",IF(AND(E460="",H460=""),"✗ 没填数量",IF(AND(N(E460)&lt;&gt;0,F460=""),"✗ 没填进价","√")))))))))</f>
      </c>
    </row>
    <row r="461">
      <c r="A461" s="109">
        <f>IF(AND(C461="",D461=""),"",ROW()-3)</f>
      </c>
      <c r="B461" s="140" t="n"/>
      <c r="C461" s="141" t="n"/>
      <c r="D461" s="141" t="n"/>
      <c r="E461" s="148" t="n"/>
      <c r="F461" s="149" t="n"/>
      <c r="G461" s="150">
        <f>IF(AND(E461&lt;&gt;"",F461&lt;&gt;""),E461*F461,"")</f>
      </c>
      <c r="H461" s="148" t="n"/>
      <c r="I461" s="142" t="n"/>
      <c r="J461" s="146">
        <f>IF(AND(B461="",C461="",D461="",E461="",F461="",H461=""),"",IF(NOT(ISNUMBER(B461)),"✗ 日期不是真日期",IF(OR(B461&lt;年初日,B461&gt;年末日),"✗ 日期不在本年度",IF(C461="","✗ 没选供应商",IF(COUNTIF(基础资料!$Q$5:$Q$54,C461)=0,"✗ 供应商不在基础资料里",IF(D461="","✗ 没选商品",IF(COUNTIF(基础资料!$E$5:$E$104,D461)=0,"✗ 商品不在商品档案里",IF(AND(E461="",H461=""),"✗ 没填数量",IF(AND(N(E461)&lt;&gt;0,F461=""),"✗ 没填进价","√")))))))))</f>
      </c>
    </row>
    <row r="462">
      <c r="A462" s="109">
        <f>IF(AND(C462="",D462=""),"",ROW()-3)</f>
      </c>
      <c r="B462" s="140" t="n"/>
      <c r="C462" s="141" t="n"/>
      <c r="D462" s="141" t="n"/>
      <c r="E462" s="148" t="n"/>
      <c r="F462" s="149" t="n"/>
      <c r="G462" s="150">
        <f>IF(AND(E462&lt;&gt;"",F462&lt;&gt;""),E462*F462,"")</f>
      </c>
      <c r="H462" s="148" t="n"/>
      <c r="I462" s="142" t="n"/>
      <c r="J462" s="146">
        <f>IF(AND(B462="",C462="",D462="",E462="",F462="",H462=""),"",IF(NOT(ISNUMBER(B462)),"✗ 日期不是真日期",IF(OR(B462&lt;年初日,B462&gt;年末日),"✗ 日期不在本年度",IF(C462="","✗ 没选供应商",IF(COUNTIF(基础资料!$Q$5:$Q$54,C462)=0,"✗ 供应商不在基础资料里",IF(D462="","✗ 没选商品",IF(COUNTIF(基础资料!$E$5:$E$104,D462)=0,"✗ 商品不在商品档案里",IF(AND(E462="",H462=""),"✗ 没填数量",IF(AND(N(E462)&lt;&gt;0,F462=""),"✗ 没填进价","√")))))))))</f>
      </c>
    </row>
    <row r="463">
      <c r="A463" s="109">
        <f>IF(AND(C463="",D463=""),"",ROW()-3)</f>
      </c>
      <c r="B463" s="140" t="n"/>
      <c r="C463" s="141" t="n"/>
      <c r="D463" s="141" t="n"/>
      <c r="E463" s="148" t="n"/>
      <c r="F463" s="149" t="n"/>
      <c r="G463" s="150">
        <f>IF(AND(E463&lt;&gt;"",F463&lt;&gt;""),E463*F463,"")</f>
      </c>
      <c r="H463" s="148" t="n"/>
      <c r="I463" s="142" t="n"/>
      <c r="J463" s="146">
        <f>IF(AND(B463="",C463="",D463="",E463="",F463="",H463=""),"",IF(NOT(ISNUMBER(B463)),"✗ 日期不是真日期",IF(OR(B463&lt;年初日,B463&gt;年末日),"✗ 日期不在本年度",IF(C463="","✗ 没选供应商",IF(COUNTIF(基础资料!$Q$5:$Q$54,C463)=0,"✗ 供应商不在基础资料里",IF(D463="","✗ 没选商品",IF(COUNTIF(基础资料!$E$5:$E$104,D463)=0,"✗ 商品不在商品档案里",IF(AND(E463="",H463=""),"✗ 没填数量",IF(AND(N(E463)&lt;&gt;0,F463=""),"✗ 没填进价","√")))))))))</f>
      </c>
    </row>
    <row r="464">
      <c r="A464" s="109">
        <f>IF(AND(C464="",D464=""),"",ROW()-3)</f>
      </c>
      <c r="B464" s="140" t="n"/>
      <c r="C464" s="141" t="n"/>
      <c r="D464" s="141" t="n"/>
      <c r="E464" s="148" t="n"/>
      <c r="F464" s="149" t="n"/>
      <c r="G464" s="150">
        <f>IF(AND(E464&lt;&gt;"",F464&lt;&gt;""),E464*F464,"")</f>
      </c>
      <c r="H464" s="148" t="n"/>
      <c r="I464" s="142" t="n"/>
      <c r="J464" s="146">
        <f>IF(AND(B464="",C464="",D464="",E464="",F464="",H464=""),"",IF(NOT(ISNUMBER(B464)),"✗ 日期不是真日期",IF(OR(B464&lt;年初日,B464&gt;年末日),"✗ 日期不在本年度",IF(C464="","✗ 没选供应商",IF(COUNTIF(基础资料!$Q$5:$Q$54,C464)=0,"✗ 供应商不在基础资料里",IF(D464="","✗ 没选商品",IF(COUNTIF(基础资料!$E$5:$E$104,D464)=0,"✗ 商品不在商品档案里",IF(AND(E464="",H464=""),"✗ 没填数量",IF(AND(N(E464)&lt;&gt;0,F464=""),"✗ 没填进价","√")))))))))</f>
      </c>
    </row>
    <row r="465">
      <c r="A465" s="109">
        <f>IF(AND(C465="",D465=""),"",ROW()-3)</f>
      </c>
      <c r="B465" s="140" t="n"/>
      <c r="C465" s="141" t="n"/>
      <c r="D465" s="141" t="n"/>
      <c r="E465" s="148" t="n"/>
      <c r="F465" s="149" t="n"/>
      <c r="G465" s="150">
        <f>IF(AND(E465&lt;&gt;"",F465&lt;&gt;""),E465*F465,"")</f>
      </c>
      <c r="H465" s="148" t="n"/>
      <c r="I465" s="142" t="n"/>
      <c r="J465" s="146">
        <f>IF(AND(B465="",C465="",D465="",E465="",F465="",H465=""),"",IF(NOT(ISNUMBER(B465)),"✗ 日期不是真日期",IF(OR(B465&lt;年初日,B465&gt;年末日),"✗ 日期不在本年度",IF(C465="","✗ 没选供应商",IF(COUNTIF(基础资料!$Q$5:$Q$54,C465)=0,"✗ 供应商不在基础资料里",IF(D465="","✗ 没选商品",IF(COUNTIF(基础资料!$E$5:$E$104,D465)=0,"✗ 商品不在商品档案里",IF(AND(E465="",H465=""),"✗ 没填数量",IF(AND(N(E465)&lt;&gt;0,F465=""),"✗ 没填进价","√")))))))))</f>
      </c>
    </row>
    <row r="466">
      <c r="A466" s="109">
        <f>IF(AND(C466="",D466=""),"",ROW()-3)</f>
      </c>
      <c r="B466" s="140" t="n"/>
      <c r="C466" s="141" t="n"/>
      <c r="D466" s="141" t="n"/>
      <c r="E466" s="148" t="n"/>
      <c r="F466" s="149" t="n"/>
      <c r="G466" s="150">
        <f>IF(AND(E466&lt;&gt;"",F466&lt;&gt;""),E466*F466,"")</f>
      </c>
      <c r="H466" s="148" t="n"/>
      <c r="I466" s="142" t="n"/>
      <c r="J466" s="146">
        <f>IF(AND(B466="",C466="",D466="",E466="",F466="",H466=""),"",IF(NOT(ISNUMBER(B466)),"✗ 日期不是真日期",IF(OR(B466&lt;年初日,B466&gt;年末日),"✗ 日期不在本年度",IF(C466="","✗ 没选供应商",IF(COUNTIF(基础资料!$Q$5:$Q$54,C466)=0,"✗ 供应商不在基础资料里",IF(D466="","✗ 没选商品",IF(COUNTIF(基础资料!$E$5:$E$104,D466)=0,"✗ 商品不在商品档案里",IF(AND(E466="",H466=""),"✗ 没填数量",IF(AND(N(E466)&lt;&gt;0,F466=""),"✗ 没填进价","√")))))))))</f>
      </c>
    </row>
    <row r="467">
      <c r="A467" s="109">
        <f>IF(AND(C467="",D467=""),"",ROW()-3)</f>
      </c>
      <c r="B467" s="140" t="n"/>
      <c r="C467" s="141" t="n"/>
      <c r="D467" s="141" t="n"/>
      <c r="E467" s="148" t="n"/>
      <c r="F467" s="149" t="n"/>
      <c r="G467" s="150">
        <f>IF(AND(E467&lt;&gt;"",F467&lt;&gt;""),E467*F467,"")</f>
      </c>
      <c r="H467" s="148" t="n"/>
      <c r="I467" s="142" t="n"/>
      <c r="J467" s="146">
        <f>IF(AND(B467="",C467="",D467="",E467="",F467="",H467=""),"",IF(NOT(ISNUMBER(B467)),"✗ 日期不是真日期",IF(OR(B467&lt;年初日,B467&gt;年末日),"✗ 日期不在本年度",IF(C467="","✗ 没选供应商",IF(COUNTIF(基础资料!$Q$5:$Q$54,C467)=0,"✗ 供应商不在基础资料里",IF(D467="","✗ 没选商品",IF(COUNTIF(基础资料!$E$5:$E$104,D467)=0,"✗ 商品不在商品档案里",IF(AND(E467="",H467=""),"✗ 没填数量",IF(AND(N(E467)&lt;&gt;0,F467=""),"✗ 没填进价","√")))))))))</f>
      </c>
    </row>
    <row r="468">
      <c r="A468" s="109">
        <f>IF(AND(C468="",D468=""),"",ROW()-3)</f>
      </c>
      <c r="B468" s="140" t="n"/>
      <c r="C468" s="141" t="n"/>
      <c r="D468" s="141" t="n"/>
      <c r="E468" s="148" t="n"/>
      <c r="F468" s="149" t="n"/>
      <c r="G468" s="150">
        <f>IF(AND(E468&lt;&gt;"",F468&lt;&gt;""),E468*F468,"")</f>
      </c>
      <c r="H468" s="148" t="n"/>
      <c r="I468" s="142" t="n"/>
      <c r="J468" s="146">
        <f>IF(AND(B468="",C468="",D468="",E468="",F468="",H468=""),"",IF(NOT(ISNUMBER(B468)),"✗ 日期不是真日期",IF(OR(B468&lt;年初日,B468&gt;年末日),"✗ 日期不在本年度",IF(C468="","✗ 没选供应商",IF(COUNTIF(基础资料!$Q$5:$Q$54,C468)=0,"✗ 供应商不在基础资料里",IF(D468="","✗ 没选商品",IF(COUNTIF(基础资料!$E$5:$E$104,D468)=0,"✗ 商品不在商品档案里",IF(AND(E468="",H468=""),"✗ 没填数量",IF(AND(N(E468)&lt;&gt;0,F468=""),"✗ 没填进价","√")))))))))</f>
      </c>
    </row>
    <row r="469">
      <c r="A469" s="109">
        <f>IF(AND(C469="",D469=""),"",ROW()-3)</f>
      </c>
      <c r="B469" s="140" t="n"/>
      <c r="C469" s="141" t="n"/>
      <c r="D469" s="141" t="n"/>
      <c r="E469" s="148" t="n"/>
      <c r="F469" s="149" t="n"/>
      <c r="G469" s="150">
        <f>IF(AND(E469&lt;&gt;"",F469&lt;&gt;""),E469*F469,"")</f>
      </c>
      <c r="H469" s="148" t="n"/>
      <c r="I469" s="142" t="n"/>
      <c r="J469" s="146">
        <f>IF(AND(B469="",C469="",D469="",E469="",F469="",H469=""),"",IF(NOT(ISNUMBER(B469)),"✗ 日期不是真日期",IF(OR(B469&lt;年初日,B469&gt;年末日),"✗ 日期不在本年度",IF(C469="","✗ 没选供应商",IF(COUNTIF(基础资料!$Q$5:$Q$54,C469)=0,"✗ 供应商不在基础资料里",IF(D469="","✗ 没选商品",IF(COUNTIF(基础资料!$E$5:$E$104,D469)=0,"✗ 商品不在商品档案里",IF(AND(E469="",H469=""),"✗ 没填数量",IF(AND(N(E469)&lt;&gt;0,F469=""),"✗ 没填进价","√")))))))))</f>
      </c>
    </row>
    <row r="470">
      <c r="A470" s="109">
        <f>IF(AND(C470="",D470=""),"",ROW()-3)</f>
      </c>
      <c r="B470" s="140" t="n"/>
      <c r="C470" s="141" t="n"/>
      <c r="D470" s="141" t="n"/>
      <c r="E470" s="148" t="n"/>
      <c r="F470" s="149" t="n"/>
      <c r="G470" s="150">
        <f>IF(AND(E470&lt;&gt;"",F470&lt;&gt;""),E470*F470,"")</f>
      </c>
      <c r="H470" s="148" t="n"/>
      <c r="I470" s="142" t="n"/>
      <c r="J470" s="146">
        <f>IF(AND(B470="",C470="",D470="",E470="",F470="",H470=""),"",IF(NOT(ISNUMBER(B470)),"✗ 日期不是真日期",IF(OR(B470&lt;年初日,B470&gt;年末日),"✗ 日期不在本年度",IF(C470="","✗ 没选供应商",IF(COUNTIF(基础资料!$Q$5:$Q$54,C470)=0,"✗ 供应商不在基础资料里",IF(D470="","✗ 没选商品",IF(COUNTIF(基础资料!$E$5:$E$104,D470)=0,"✗ 商品不在商品档案里",IF(AND(E470="",H470=""),"✗ 没填数量",IF(AND(N(E470)&lt;&gt;0,F470=""),"✗ 没填进价","√")))))))))</f>
      </c>
    </row>
    <row r="471">
      <c r="A471" s="109">
        <f>IF(AND(C471="",D471=""),"",ROW()-3)</f>
      </c>
      <c r="B471" s="140" t="n"/>
      <c r="C471" s="141" t="n"/>
      <c r="D471" s="141" t="n"/>
      <c r="E471" s="148" t="n"/>
      <c r="F471" s="149" t="n"/>
      <c r="G471" s="150">
        <f>IF(AND(E471&lt;&gt;"",F471&lt;&gt;""),E471*F471,"")</f>
      </c>
      <c r="H471" s="148" t="n"/>
      <c r="I471" s="142" t="n"/>
      <c r="J471" s="146">
        <f>IF(AND(B471="",C471="",D471="",E471="",F471="",H471=""),"",IF(NOT(ISNUMBER(B471)),"✗ 日期不是真日期",IF(OR(B471&lt;年初日,B471&gt;年末日),"✗ 日期不在本年度",IF(C471="","✗ 没选供应商",IF(COUNTIF(基础资料!$Q$5:$Q$54,C471)=0,"✗ 供应商不在基础资料里",IF(D471="","✗ 没选商品",IF(COUNTIF(基础资料!$E$5:$E$104,D471)=0,"✗ 商品不在商品档案里",IF(AND(E471="",H471=""),"✗ 没填数量",IF(AND(N(E471)&lt;&gt;0,F471=""),"✗ 没填进价","√")))))))))</f>
      </c>
    </row>
    <row r="472">
      <c r="A472" s="109">
        <f>IF(AND(C472="",D472=""),"",ROW()-3)</f>
      </c>
      <c r="B472" s="140" t="n"/>
      <c r="C472" s="141" t="n"/>
      <c r="D472" s="141" t="n"/>
      <c r="E472" s="148" t="n"/>
      <c r="F472" s="149" t="n"/>
      <c r="G472" s="150">
        <f>IF(AND(E472&lt;&gt;"",F472&lt;&gt;""),E472*F472,"")</f>
      </c>
      <c r="H472" s="148" t="n"/>
      <c r="I472" s="142" t="n"/>
      <c r="J472" s="146">
        <f>IF(AND(B472="",C472="",D472="",E472="",F472="",H472=""),"",IF(NOT(ISNUMBER(B472)),"✗ 日期不是真日期",IF(OR(B472&lt;年初日,B472&gt;年末日),"✗ 日期不在本年度",IF(C472="","✗ 没选供应商",IF(COUNTIF(基础资料!$Q$5:$Q$54,C472)=0,"✗ 供应商不在基础资料里",IF(D472="","✗ 没选商品",IF(COUNTIF(基础资料!$E$5:$E$104,D472)=0,"✗ 商品不在商品档案里",IF(AND(E472="",H472=""),"✗ 没填数量",IF(AND(N(E472)&lt;&gt;0,F472=""),"✗ 没填进价","√")))))))))</f>
      </c>
    </row>
    <row r="473">
      <c r="A473" s="109">
        <f>IF(AND(C473="",D473=""),"",ROW()-3)</f>
      </c>
      <c r="B473" s="140" t="n"/>
      <c r="C473" s="141" t="n"/>
      <c r="D473" s="141" t="n"/>
      <c r="E473" s="148" t="n"/>
      <c r="F473" s="149" t="n"/>
      <c r="G473" s="150">
        <f>IF(AND(E473&lt;&gt;"",F473&lt;&gt;""),E473*F473,"")</f>
      </c>
      <c r="H473" s="148" t="n"/>
      <c r="I473" s="142" t="n"/>
      <c r="J473" s="146">
        <f>IF(AND(B473="",C473="",D473="",E473="",F473="",H473=""),"",IF(NOT(ISNUMBER(B473)),"✗ 日期不是真日期",IF(OR(B473&lt;年初日,B473&gt;年末日),"✗ 日期不在本年度",IF(C473="","✗ 没选供应商",IF(COUNTIF(基础资料!$Q$5:$Q$54,C473)=0,"✗ 供应商不在基础资料里",IF(D473="","✗ 没选商品",IF(COUNTIF(基础资料!$E$5:$E$104,D473)=0,"✗ 商品不在商品档案里",IF(AND(E473="",H473=""),"✗ 没填数量",IF(AND(N(E473)&lt;&gt;0,F473=""),"✗ 没填进价","√")))))))))</f>
      </c>
    </row>
    <row r="474">
      <c r="A474" s="109">
        <f>IF(AND(C474="",D474=""),"",ROW()-3)</f>
      </c>
      <c r="B474" s="140" t="n"/>
      <c r="C474" s="141" t="n"/>
      <c r="D474" s="141" t="n"/>
      <c r="E474" s="148" t="n"/>
      <c r="F474" s="149" t="n"/>
      <c r="G474" s="150">
        <f>IF(AND(E474&lt;&gt;"",F474&lt;&gt;""),E474*F474,"")</f>
      </c>
      <c r="H474" s="148" t="n"/>
      <c r="I474" s="142" t="n"/>
      <c r="J474" s="146">
        <f>IF(AND(B474="",C474="",D474="",E474="",F474="",H474=""),"",IF(NOT(ISNUMBER(B474)),"✗ 日期不是真日期",IF(OR(B474&lt;年初日,B474&gt;年末日),"✗ 日期不在本年度",IF(C474="","✗ 没选供应商",IF(COUNTIF(基础资料!$Q$5:$Q$54,C474)=0,"✗ 供应商不在基础资料里",IF(D474="","✗ 没选商品",IF(COUNTIF(基础资料!$E$5:$E$104,D474)=0,"✗ 商品不在商品档案里",IF(AND(E474="",H474=""),"✗ 没填数量",IF(AND(N(E474)&lt;&gt;0,F474=""),"✗ 没填进价","√")))))))))</f>
      </c>
    </row>
    <row r="475">
      <c r="A475" s="109">
        <f>IF(AND(C475="",D475=""),"",ROW()-3)</f>
      </c>
      <c r="B475" s="140" t="n"/>
      <c r="C475" s="141" t="n"/>
      <c r="D475" s="141" t="n"/>
      <c r="E475" s="148" t="n"/>
      <c r="F475" s="149" t="n"/>
      <c r="G475" s="150">
        <f>IF(AND(E475&lt;&gt;"",F475&lt;&gt;""),E475*F475,"")</f>
      </c>
      <c r="H475" s="148" t="n"/>
      <c r="I475" s="142" t="n"/>
      <c r="J475" s="146">
        <f>IF(AND(B475="",C475="",D475="",E475="",F475="",H475=""),"",IF(NOT(ISNUMBER(B475)),"✗ 日期不是真日期",IF(OR(B475&lt;年初日,B475&gt;年末日),"✗ 日期不在本年度",IF(C475="","✗ 没选供应商",IF(COUNTIF(基础资料!$Q$5:$Q$54,C475)=0,"✗ 供应商不在基础资料里",IF(D475="","✗ 没选商品",IF(COUNTIF(基础资料!$E$5:$E$104,D475)=0,"✗ 商品不在商品档案里",IF(AND(E475="",H475=""),"✗ 没填数量",IF(AND(N(E475)&lt;&gt;0,F475=""),"✗ 没填进价","√")))))))))</f>
      </c>
    </row>
    <row r="476">
      <c r="A476" s="109">
        <f>IF(AND(C476="",D476=""),"",ROW()-3)</f>
      </c>
      <c r="B476" s="140" t="n"/>
      <c r="C476" s="141" t="n"/>
      <c r="D476" s="141" t="n"/>
      <c r="E476" s="148" t="n"/>
      <c r="F476" s="149" t="n"/>
      <c r="G476" s="150">
        <f>IF(AND(E476&lt;&gt;"",F476&lt;&gt;""),E476*F476,"")</f>
      </c>
      <c r="H476" s="148" t="n"/>
      <c r="I476" s="142" t="n"/>
      <c r="J476" s="146">
        <f>IF(AND(B476="",C476="",D476="",E476="",F476="",H476=""),"",IF(NOT(ISNUMBER(B476)),"✗ 日期不是真日期",IF(OR(B476&lt;年初日,B476&gt;年末日),"✗ 日期不在本年度",IF(C476="","✗ 没选供应商",IF(COUNTIF(基础资料!$Q$5:$Q$54,C476)=0,"✗ 供应商不在基础资料里",IF(D476="","✗ 没选商品",IF(COUNTIF(基础资料!$E$5:$E$104,D476)=0,"✗ 商品不在商品档案里",IF(AND(E476="",H476=""),"✗ 没填数量",IF(AND(N(E476)&lt;&gt;0,F476=""),"✗ 没填进价","√")))))))))</f>
      </c>
    </row>
    <row r="477">
      <c r="A477" s="109">
        <f>IF(AND(C477="",D477=""),"",ROW()-3)</f>
      </c>
      <c r="B477" s="140" t="n"/>
      <c r="C477" s="141" t="n"/>
      <c r="D477" s="141" t="n"/>
      <c r="E477" s="148" t="n"/>
      <c r="F477" s="149" t="n"/>
      <c r="G477" s="150">
        <f>IF(AND(E477&lt;&gt;"",F477&lt;&gt;""),E477*F477,"")</f>
      </c>
      <c r="H477" s="148" t="n"/>
      <c r="I477" s="142" t="n"/>
      <c r="J477" s="146">
        <f>IF(AND(B477="",C477="",D477="",E477="",F477="",H477=""),"",IF(NOT(ISNUMBER(B477)),"✗ 日期不是真日期",IF(OR(B477&lt;年初日,B477&gt;年末日),"✗ 日期不在本年度",IF(C477="","✗ 没选供应商",IF(COUNTIF(基础资料!$Q$5:$Q$54,C477)=0,"✗ 供应商不在基础资料里",IF(D477="","✗ 没选商品",IF(COUNTIF(基础资料!$E$5:$E$104,D477)=0,"✗ 商品不在商品档案里",IF(AND(E477="",H477=""),"✗ 没填数量",IF(AND(N(E477)&lt;&gt;0,F477=""),"✗ 没填进价","√")))))))))</f>
      </c>
    </row>
    <row r="478">
      <c r="A478" s="109">
        <f>IF(AND(C478="",D478=""),"",ROW()-3)</f>
      </c>
      <c r="B478" s="140" t="n"/>
      <c r="C478" s="141" t="n"/>
      <c r="D478" s="141" t="n"/>
      <c r="E478" s="148" t="n"/>
      <c r="F478" s="149" t="n"/>
      <c r="G478" s="150">
        <f>IF(AND(E478&lt;&gt;"",F478&lt;&gt;""),E478*F478,"")</f>
      </c>
      <c r="H478" s="148" t="n"/>
      <c r="I478" s="142" t="n"/>
      <c r="J478" s="146">
        <f>IF(AND(B478="",C478="",D478="",E478="",F478="",H478=""),"",IF(NOT(ISNUMBER(B478)),"✗ 日期不是真日期",IF(OR(B478&lt;年初日,B478&gt;年末日),"✗ 日期不在本年度",IF(C478="","✗ 没选供应商",IF(COUNTIF(基础资料!$Q$5:$Q$54,C478)=0,"✗ 供应商不在基础资料里",IF(D478="","✗ 没选商品",IF(COUNTIF(基础资料!$E$5:$E$104,D478)=0,"✗ 商品不在商品档案里",IF(AND(E478="",H478=""),"✗ 没填数量",IF(AND(N(E478)&lt;&gt;0,F478=""),"✗ 没填进价","√")))))))))</f>
      </c>
    </row>
    <row r="479">
      <c r="A479" s="109">
        <f>IF(AND(C479="",D479=""),"",ROW()-3)</f>
      </c>
      <c r="B479" s="140" t="n"/>
      <c r="C479" s="141" t="n"/>
      <c r="D479" s="141" t="n"/>
      <c r="E479" s="148" t="n"/>
      <c r="F479" s="149" t="n"/>
      <c r="G479" s="150">
        <f>IF(AND(E479&lt;&gt;"",F479&lt;&gt;""),E479*F479,"")</f>
      </c>
      <c r="H479" s="148" t="n"/>
      <c r="I479" s="142" t="n"/>
      <c r="J479" s="146">
        <f>IF(AND(B479="",C479="",D479="",E479="",F479="",H479=""),"",IF(NOT(ISNUMBER(B479)),"✗ 日期不是真日期",IF(OR(B479&lt;年初日,B479&gt;年末日),"✗ 日期不在本年度",IF(C479="","✗ 没选供应商",IF(COUNTIF(基础资料!$Q$5:$Q$54,C479)=0,"✗ 供应商不在基础资料里",IF(D479="","✗ 没选商品",IF(COUNTIF(基础资料!$E$5:$E$104,D479)=0,"✗ 商品不在商品档案里",IF(AND(E479="",H479=""),"✗ 没填数量",IF(AND(N(E479)&lt;&gt;0,F479=""),"✗ 没填进价","√")))))))))</f>
      </c>
    </row>
    <row r="480">
      <c r="A480" s="109">
        <f>IF(AND(C480="",D480=""),"",ROW()-3)</f>
      </c>
      <c r="B480" s="140" t="n"/>
      <c r="C480" s="141" t="n"/>
      <c r="D480" s="141" t="n"/>
      <c r="E480" s="148" t="n"/>
      <c r="F480" s="149" t="n"/>
      <c r="G480" s="150">
        <f>IF(AND(E480&lt;&gt;"",F480&lt;&gt;""),E480*F480,"")</f>
      </c>
      <c r="H480" s="148" t="n"/>
      <c r="I480" s="142" t="n"/>
      <c r="J480" s="146">
        <f>IF(AND(B480="",C480="",D480="",E480="",F480="",H480=""),"",IF(NOT(ISNUMBER(B480)),"✗ 日期不是真日期",IF(OR(B480&lt;年初日,B480&gt;年末日),"✗ 日期不在本年度",IF(C480="","✗ 没选供应商",IF(COUNTIF(基础资料!$Q$5:$Q$54,C480)=0,"✗ 供应商不在基础资料里",IF(D480="","✗ 没选商品",IF(COUNTIF(基础资料!$E$5:$E$104,D480)=0,"✗ 商品不在商品档案里",IF(AND(E480="",H480=""),"✗ 没填数量",IF(AND(N(E480)&lt;&gt;0,F480=""),"✗ 没填进价","√")))))))))</f>
      </c>
    </row>
    <row r="481">
      <c r="A481" s="109">
        <f>IF(AND(C481="",D481=""),"",ROW()-3)</f>
      </c>
      <c r="B481" s="140" t="n"/>
      <c r="C481" s="141" t="n"/>
      <c r="D481" s="141" t="n"/>
      <c r="E481" s="148" t="n"/>
      <c r="F481" s="149" t="n"/>
      <c r="G481" s="150">
        <f>IF(AND(E481&lt;&gt;"",F481&lt;&gt;""),E481*F481,"")</f>
      </c>
      <c r="H481" s="148" t="n"/>
      <c r="I481" s="142" t="n"/>
      <c r="J481" s="146">
        <f>IF(AND(B481="",C481="",D481="",E481="",F481="",H481=""),"",IF(NOT(ISNUMBER(B481)),"✗ 日期不是真日期",IF(OR(B481&lt;年初日,B481&gt;年末日),"✗ 日期不在本年度",IF(C481="","✗ 没选供应商",IF(COUNTIF(基础资料!$Q$5:$Q$54,C481)=0,"✗ 供应商不在基础资料里",IF(D481="","✗ 没选商品",IF(COUNTIF(基础资料!$E$5:$E$104,D481)=0,"✗ 商品不在商品档案里",IF(AND(E481="",H481=""),"✗ 没填数量",IF(AND(N(E481)&lt;&gt;0,F481=""),"✗ 没填进价","√")))))))))</f>
      </c>
    </row>
    <row r="482">
      <c r="A482" s="109">
        <f>IF(AND(C482="",D482=""),"",ROW()-3)</f>
      </c>
      <c r="B482" s="140" t="n"/>
      <c r="C482" s="141" t="n"/>
      <c r="D482" s="141" t="n"/>
      <c r="E482" s="148" t="n"/>
      <c r="F482" s="149" t="n"/>
      <c r="G482" s="150">
        <f>IF(AND(E482&lt;&gt;"",F482&lt;&gt;""),E482*F482,"")</f>
      </c>
      <c r="H482" s="148" t="n"/>
      <c r="I482" s="142" t="n"/>
      <c r="J482" s="146">
        <f>IF(AND(B482="",C482="",D482="",E482="",F482="",H482=""),"",IF(NOT(ISNUMBER(B482)),"✗ 日期不是真日期",IF(OR(B482&lt;年初日,B482&gt;年末日),"✗ 日期不在本年度",IF(C482="","✗ 没选供应商",IF(COUNTIF(基础资料!$Q$5:$Q$54,C482)=0,"✗ 供应商不在基础资料里",IF(D482="","✗ 没选商品",IF(COUNTIF(基础资料!$E$5:$E$104,D482)=0,"✗ 商品不在商品档案里",IF(AND(E482="",H482=""),"✗ 没填数量",IF(AND(N(E482)&lt;&gt;0,F482=""),"✗ 没填进价","√")))))))))</f>
      </c>
    </row>
    <row r="483">
      <c r="A483" s="109">
        <f>IF(AND(C483="",D483=""),"",ROW()-3)</f>
      </c>
      <c r="B483" s="140" t="n"/>
      <c r="C483" s="141" t="n"/>
      <c r="D483" s="141" t="n"/>
      <c r="E483" s="148" t="n"/>
      <c r="F483" s="149" t="n"/>
      <c r="G483" s="150">
        <f>IF(AND(E483&lt;&gt;"",F483&lt;&gt;""),E483*F483,"")</f>
      </c>
      <c r="H483" s="148" t="n"/>
      <c r="I483" s="142" t="n"/>
      <c r="J483" s="146">
        <f>IF(AND(B483="",C483="",D483="",E483="",F483="",H483=""),"",IF(NOT(ISNUMBER(B483)),"✗ 日期不是真日期",IF(OR(B483&lt;年初日,B483&gt;年末日),"✗ 日期不在本年度",IF(C483="","✗ 没选供应商",IF(COUNTIF(基础资料!$Q$5:$Q$54,C483)=0,"✗ 供应商不在基础资料里",IF(D483="","✗ 没选商品",IF(COUNTIF(基础资料!$E$5:$E$104,D483)=0,"✗ 商品不在商品档案里",IF(AND(E483="",H483=""),"✗ 没填数量",IF(AND(N(E483)&lt;&gt;0,F483=""),"✗ 没填进价","√")))))))))</f>
      </c>
    </row>
    <row r="484">
      <c r="A484" s="109">
        <f>IF(AND(C484="",D484=""),"",ROW()-3)</f>
      </c>
      <c r="B484" s="140" t="n"/>
      <c r="C484" s="141" t="n"/>
      <c r="D484" s="141" t="n"/>
      <c r="E484" s="148" t="n"/>
      <c r="F484" s="149" t="n"/>
      <c r="G484" s="150">
        <f>IF(AND(E484&lt;&gt;"",F484&lt;&gt;""),E484*F484,"")</f>
      </c>
      <c r="H484" s="148" t="n"/>
      <c r="I484" s="142" t="n"/>
      <c r="J484" s="146">
        <f>IF(AND(B484="",C484="",D484="",E484="",F484="",H484=""),"",IF(NOT(ISNUMBER(B484)),"✗ 日期不是真日期",IF(OR(B484&lt;年初日,B484&gt;年末日),"✗ 日期不在本年度",IF(C484="","✗ 没选供应商",IF(COUNTIF(基础资料!$Q$5:$Q$54,C484)=0,"✗ 供应商不在基础资料里",IF(D484="","✗ 没选商品",IF(COUNTIF(基础资料!$E$5:$E$104,D484)=0,"✗ 商品不在商品档案里",IF(AND(E484="",H484=""),"✗ 没填数量",IF(AND(N(E484)&lt;&gt;0,F484=""),"✗ 没填进价","√")))))))))</f>
      </c>
    </row>
    <row r="485">
      <c r="A485" s="109">
        <f>IF(AND(C485="",D485=""),"",ROW()-3)</f>
      </c>
      <c r="B485" s="140" t="n"/>
      <c r="C485" s="141" t="n"/>
      <c r="D485" s="141" t="n"/>
      <c r="E485" s="148" t="n"/>
      <c r="F485" s="149" t="n"/>
      <c r="G485" s="150">
        <f>IF(AND(E485&lt;&gt;"",F485&lt;&gt;""),E485*F485,"")</f>
      </c>
      <c r="H485" s="148" t="n"/>
      <c r="I485" s="142" t="n"/>
      <c r="J485" s="146">
        <f>IF(AND(B485="",C485="",D485="",E485="",F485="",H485=""),"",IF(NOT(ISNUMBER(B485)),"✗ 日期不是真日期",IF(OR(B485&lt;年初日,B485&gt;年末日),"✗ 日期不在本年度",IF(C485="","✗ 没选供应商",IF(COUNTIF(基础资料!$Q$5:$Q$54,C485)=0,"✗ 供应商不在基础资料里",IF(D485="","✗ 没选商品",IF(COUNTIF(基础资料!$E$5:$E$104,D485)=0,"✗ 商品不在商品档案里",IF(AND(E485="",H485=""),"✗ 没填数量",IF(AND(N(E485)&lt;&gt;0,F485=""),"✗ 没填进价","√")))))))))</f>
      </c>
    </row>
    <row r="486">
      <c r="A486" s="109">
        <f>IF(AND(C486="",D486=""),"",ROW()-3)</f>
      </c>
      <c r="B486" s="140" t="n"/>
      <c r="C486" s="141" t="n"/>
      <c r="D486" s="141" t="n"/>
      <c r="E486" s="148" t="n"/>
      <c r="F486" s="149" t="n"/>
      <c r="G486" s="150">
        <f>IF(AND(E486&lt;&gt;"",F486&lt;&gt;""),E486*F486,"")</f>
      </c>
      <c r="H486" s="148" t="n"/>
      <c r="I486" s="142" t="n"/>
      <c r="J486" s="146">
        <f>IF(AND(B486="",C486="",D486="",E486="",F486="",H486=""),"",IF(NOT(ISNUMBER(B486)),"✗ 日期不是真日期",IF(OR(B486&lt;年初日,B486&gt;年末日),"✗ 日期不在本年度",IF(C486="","✗ 没选供应商",IF(COUNTIF(基础资料!$Q$5:$Q$54,C486)=0,"✗ 供应商不在基础资料里",IF(D486="","✗ 没选商品",IF(COUNTIF(基础资料!$E$5:$E$104,D486)=0,"✗ 商品不在商品档案里",IF(AND(E486="",H486=""),"✗ 没填数量",IF(AND(N(E486)&lt;&gt;0,F486=""),"✗ 没填进价","√")))))))))</f>
      </c>
    </row>
    <row r="487">
      <c r="A487" s="109">
        <f>IF(AND(C487="",D487=""),"",ROW()-3)</f>
      </c>
      <c r="B487" s="140" t="n"/>
      <c r="C487" s="141" t="n"/>
      <c r="D487" s="141" t="n"/>
      <c r="E487" s="148" t="n"/>
      <c r="F487" s="149" t="n"/>
      <c r="G487" s="150">
        <f>IF(AND(E487&lt;&gt;"",F487&lt;&gt;""),E487*F487,"")</f>
      </c>
      <c r="H487" s="148" t="n"/>
      <c r="I487" s="142" t="n"/>
      <c r="J487" s="146">
        <f>IF(AND(B487="",C487="",D487="",E487="",F487="",H487=""),"",IF(NOT(ISNUMBER(B487)),"✗ 日期不是真日期",IF(OR(B487&lt;年初日,B487&gt;年末日),"✗ 日期不在本年度",IF(C487="","✗ 没选供应商",IF(COUNTIF(基础资料!$Q$5:$Q$54,C487)=0,"✗ 供应商不在基础资料里",IF(D487="","✗ 没选商品",IF(COUNTIF(基础资料!$E$5:$E$104,D487)=0,"✗ 商品不在商品档案里",IF(AND(E487="",H487=""),"✗ 没填数量",IF(AND(N(E487)&lt;&gt;0,F487=""),"✗ 没填进价","√")))))))))</f>
      </c>
    </row>
    <row r="488">
      <c r="A488" s="109">
        <f>IF(AND(C488="",D488=""),"",ROW()-3)</f>
      </c>
      <c r="B488" s="140" t="n"/>
      <c r="C488" s="141" t="n"/>
      <c r="D488" s="141" t="n"/>
      <c r="E488" s="148" t="n"/>
      <c r="F488" s="149" t="n"/>
      <c r="G488" s="150">
        <f>IF(AND(E488&lt;&gt;"",F488&lt;&gt;""),E488*F488,"")</f>
      </c>
      <c r="H488" s="148" t="n"/>
      <c r="I488" s="142" t="n"/>
      <c r="J488" s="146">
        <f>IF(AND(B488="",C488="",D488="",E488="",F488="",H488=""),"",IF(NOT(ISNUMBER(B488)),"✗ 日期不是真日期",IF(OR(B488&lt;年初日,B488&gt;年末日),"✗ 日期不在本年度",IF(C488="","✗ 没选供应商",IF(COUNTIF(基础资料!$Q$5:$Q$54,C488)=0,"✗ 供应商不在基础资料里",IF(D488="","✗ 没选商品",IF(COUNTIF(基础资料!$E$5:$E$104,D488)=0,"✗ 商品不在商品档案里",IF(AND(E488="",H488=""),"✗ 没填数量",IF(AND(N(E488)&lt;&gt;0,F488=""),"✗ 没填进价","√")))))))))</f>
      </c>
    </row>
    <row r="489">
      <c r="A489" s="109">
        <f>IF(AND(C489="",D489=""),"",ROW()-3)</f>
      </c>
      <c r="B489" s="140" t="n"/>
      <c r="C489" s="141" t="n"/>
      <c r="D489" s="141" t="n"/>
      <c r="E489" s="148" t="n"/>
      <c r="F489" s="149" t="n"/>
      <c r="G489" s="150">
        <f>IF(AND(E489&lt;&gt;"",F489&lt;&gt;""),E489*F489,"")</f>
      </c>
      <c r="H489" s="148" t="n"/>
      <c r="I489" s="142" t="n"/>
      <c r="J489" s="146">
        <f>IF(AND(B489="",C489="",D489="",E489="",F489="",H489=""),"",IF(NOT(ISNUMBER(B489)),"✗ 日期不是真日期",IF(OR(B489&lt;年初日,B489&gt;年末日),"✗ 日期不在本年度",IF(C489="","✗ 没选供应商",IF(COUNTIF(基础资料!$Q$5:$Q$54,C489)=0,"✗ 供应商不在基础资料里",IF(D489="","✗ 没选商品",IF(COUNTIF(基础资料!$E$5:$E$104,D489)=0,"✗ 商品不在商品档案里",IF(AND(E489="",H489=""),"✗ 没填数量",IF(AND(N(E489)&lt;&gt;0,F489=""),"✗ 没填进价","√")))))))))</f>
      </c>
    </row>
    <row r="490">
      <c r="A490" s="109">
        <f>IF(AND(C490="",D490=""),"",ROW()-3)</f>
      </c>
      <c r="B490" s="140" t="n"/>
      <c r="C490" s="141" t="n"/>
      <c r="D490" s="141" t="n"/>
      <c r="E490" s="148" t="n"/>
      <c r="F490" s="149" t="n"/>
      <c r="G490" s="150">
        <f>IF(AND(E490&lt;&gt;"",F490&lt;&gt;""),E490*F490,"")</f>
      </c>
      <c r="H490" s="148" t="n"/>
      <c r="I490" s="142" t="n"/>
      <c r="J490" s="146">
        <f>IF(AND(B490="",C490="",D490="",E490="",F490="",H490=""),"",IF(NOT(ISNUMBER(B490)),"✗ 日期不是真日期",IF(OR(B490&lt;年初日,B490&gt;年末日),"✗ 日期不在本年度",IF(C490="","✗ 没选供应商",IF(COUNTIF(基础资料!$Q$5:$Q$54,C490)=0,"✗ 供应商不在基础资料里",IF(D490="","✗ 没选商品",IF(COUNTIF(基础资料!$E$5:$E$104,D490)=0,"✗ 商品不在商品档案里",IF(AND(E490="",H490=""),"✗ 没填数量",IF(AND(N(E490)&lt;&gt;0,F490=""),"✗ 没填进价","√")))))))))</f>
      </c>
    </row>
    <row r="491">
      <c r="A491" s="109">
        <f>IF(AND(C491="",D491=""),"",ROW()-3)</f>
      </c>
      <c r="B491" s="140" t="n"/>
      <c r="C491" s="141" t="n"/>
      <c r="D491" s="141" t="n"/>
      <c r="E491" s="148" t="n"/>
      <c r="F491" s="149" t="n"/>
      <c r="G491" s="150">
        <f>IF(AND(E491&lt;&gt;"",F491&lt;&gt;""),E491*F491,"")</f>
      </c>
      <c r="H491" s="148" t="n"/>
      <c r="I491" s="142" t="n"/>
      <c r="J491" s="146">
        <f>IF(AND(B491="",C491="",D491="",E491="",F491="",H491=""),"",IF(NOT(ISNUMBER(B491)),"✗ 日期不是真日期",IF(OR(B491&lt;年初日,B491&gt;年末日),"✗ 日期不在本年度",IF(C491="","✗ 没选供应商",IF(COUNTIF(基础资料!$Q$5:$Q$54,C491)=0,"✗ 供应商不在基础资料里",IF(D491="","✗ 没选商品",IF(COUNTIF(基础资料!$E$5:$E$104,D491)=0,"✗ 商品不在商品档案里",IF(AND(E491="",H491=""),"✗ 没填数量",IF(AND(N(E491)&lt;&gt;0,F491=""),"✗ 没填进价","√")))))))))</f>
      </c>
    </row>
    <row r="492">
      <c r="A492" s="109">
        <f>IF(AND(C492="",D492=""),"",ROW()-3)</f>
      </c>
      <c r="B492" s="140" t="n"/>
      <c r="C492" s="141" t="n"/>
      <c r="D492" s="141" t="n"/>
      <c r="E492" s="148" t="n"/>
      <c r="F492" s="149" t="n"/>
      <c r="G492" s="150">
        <f>IF(AND(E492&lt;&gt;"",F492&lt;&gt;""),E492*F492,"")</f>
      </c>
      <c r="H492" s="148" t="n"/>
      <c r="I492" s="142" t="n"/>
      <c r="J492" s="146">
        <f>IF(AND(B492="",C492="",D492="",E492="",F492="",H492=""),"",IF(NOT(ISNUMBER(B492)),"✗ 日期不是真日期",IF(OR(B492&lt;年初日,B492&gt;年末日),"✗ 日期不在本年度",IF(C492="","✗ 没选供应商",IF(COUNTIF(基础资料!$Q$5:$Q$54,C492)=0,"✗ 供应商不在基础资料里",IF(D492="","✗ 没选商品",IF(COUNTIF(基础资料!$E$5:$E$104,D492)=0,"✗ 商品不在商品档案里",IF(AND(E492="",H492=""),"✗ 没填数量",IF(AND(N(E492)&lt;&gt;0,F492=""),"✗ 没填进价","√")))))))))</f>
      </c>
    </row>
    <row r="493">
      <c r="A493" s="109">
        <f>IF(AND(C493="",D493=""),"",ROW()-3)</f>
      </c>
      <c r="B493" s="140" t="n"/>
      <c r="C493" s="141" t="n"/>
      <c r="D493" s="141" t="n"/>
      <c r="E493" s="148" t="n"/>
      <c r="F493" s="149" t="n"/>
      <c r="G493" s="150">
        <f>IF(AND(E493&lt;&gt;"",F493&lt;&gt;""),E493*F493,"")</f>
      </c>
      <c r="H493" s="148" t="n"/>
      <c r="I493" s="142" t="n"/>
      <c r="J493" s="146">
        <f>IF(AND(B493="",C493="",D493="",E493="",F493="",H493=""),"",IF(NOT(ISNUMBER(B493)),"✗ 日期不是真日期",IF(OR(B493&lt;年初日,B493&gt;年末日),"✗ 日期不在本年度",IF(C493="","✗ 没选供应商",IF(COUNTIF(基础资料!$Q$5:$Q$54,C493)=0,"✗ 供应商不在基础资料里",IF(D493="","✗ 没选商品",IF(COUNTIF(基础资料!$E$5:$E$104,D493)=0,"✗ 商品不在商品档案里",IF(AND(E493="",H493=""),"✗ 没填数量",IF(AND(N(E493)&lt;&gt;0,F493=""),"✗ 没填进价","√")))))))))</f>
      </c>
    </row>
    <row r="494">
      <c r="A494" s="109">
        <f>IF(AND(C494="",D494=""),"",ROW()-3)</f>
      </c>
      <c r="B494" s="140" t="n"/>
      <c r="C494" s="141" t="n"/>
      <c r="D494" s="141" t="n"/>
      <c r="E494" s="148" t="n"/>
      <c r="F494" s="149" t="n"/>
      <c r="G494" s="150">
        <f>IF(AND(E494&lt;&gt;"",F494&lt;&gt;""),E494*F494,"")</f>
      </c>
      <c r="H494" s="148" t="n"/>
      <c r="I494" s="142" t="n"/>
      <c r="J494" s="146">
        <f>IF(AND(B494="",C494="",D494="",E494="",F494="",H494=""),"",IF(NOT(ISNUMBER(B494)),"✗ 日期不是真日期",IF(OR(B494&lt;年初日,B494&gt;年末日),"✗ 日期不在本年度",IF(C494="","✗ 没选供应商",IF(COUNTIF(基础资料!$Q$5:$Q$54,C494)=0,"✗ 供应商不在基础资料里",IF(D494="","✗ 没选商品",IF(COUNTIF(基础资料!$E$5:$E$104,D494)=0,"✗ 商品不在商品档案里",IF(AND(E494="",H494=""),"✗ 没填数量",IF(AND(N(E494)&lt;&gt;0,F494=""),"✗ 没填进价","√")))))))))</f>
      </c>
    </row>
    <row r="495">
      <c r="A495" s="109">
        <f>IF(AND(C495="",D495=""),"",ROW()-3)</f>
      </c>
      <c r="B495" s="140" t="n"/>
      <c r="C495" s="141" t="n"/>
      <c r="D495" s="141" t="n"/>
      <c r="E495" s="148" t="n"/>
      <c r="F495" s="149" t="n"/>
      <c r="G495" s="150">
        <f>IF(AND(E495&lt;&gt;"",F495&lt;&gt;""),E495*F495,"")</f>
      </c>
      <c r="H495" s="148" t="n"/>
      <c r="I495" s="142" t="n"/>
      <c r="J495" s="146">
        <f>IF(AND(B495="",C495="",D495="",E495="",F495="",H495=""),"",IF(NOT(ISNUMBER(B495)),"✗ 日期不是真日期",IF(OR(B495&lt;年初日,B495&gt;年末日),"✗ 日期不在本年度",IF(C495="","✗ 没选供应商",IF(COUNTIF(基础资料!$Q$5:$Q$54,C495)=0,"✗ 供应商不在基础资料里",IF(D495="","✗ 没选商品",IF(COUNTIF(基础资料!$E$5:$E$104,D495)=0,"✗ 商品不在商品档案里",IF(AND(E495="",H495=""),"✗ 没填数量",IF(AND(N(E495)&lt;&gt;0,F495=""),"✗ 没填进价","√")))))))))</f>
      </c>
    </row>
    <row r="496">
      <c r="A496" s="109">
        <f>IF(AND(C496="",D496=""),"",ROW()-3)</f>
      </c>
      <c r="B496" s="140" t="n"/>
      <c r="C496" s="141" t="n"/>
      <c r="D496" s="141" t="n"/>
      <c r="E496" s="148" t="n"/>
      <c r="F496" s="149" t="n"/>
      <c r="G496" s="150">
        <f>IF(AND(E496&lt;&gt;"",F496&lt;&gt;""),E496*F496,"")</f>
      </c>
      <c r="H496" s="148" t="n"/>
      <c r="I496" s="142" t="n"/>
      <c r="J496" s="146">
        <f>IF(AND(B496="",C496="",D496="",E496="",F496="",H496=""),"",IF(NOT(ISNUMBER(B496)),"✗ 日期不是真日期",IF(OR(B496&lt;年初日,B496&gt;年末日),"✗ 日期不在本年度",IF(C496="","✗ 没选供应商",IF(COUNTIF(基础资料!$Q$5:$Q$54,C496)=0,"✗ 供应商不在基础资料里",IF(D496="","✗ 没选商品",IF(COUNTIF(基础资料!$E$5:$E$104,D496)=0,"✗ 商品不在商品档案里",IF(AND(E496="",H496=""),"✗ 没填数量",IF(AND(N(E496)&lt;&gt;0,F496=""),"✗ 没填进价","√")))))))))</f>
      </c>
    </row>
    <row r="497">
      <c r="A497" s="109">
        <f>IF(AND(C497="",D497=""),"",ROW()-3)</f>
      </c>
      <c r="B497" s="140" t="n"/>
      <c r="C497" s="141" t="n"/>
      <c r="D497" s="141" t="n"/>
      <c r="E497" s="148" t="n"/>
      <c r="F497" s="149" t="n"/>
      <c r="G497" s="150">
        <f>IF(AND(E497&lt;&gt;"",F497&lt;&gt;""),E497*F497,"")</f>
      </c>
      <c r="H497" s="148" t="n"/>
      <c r="I497" s="142" t="n"/>
      <c r="J497" s="146">
        <f>IF(AND(B497="",C497="",D497="",E497="",F497="",H497=""),"",IF(NOT(ISNUMBER(B497)),"✗ 日期不是真日期",IF(OR(B497&lt;年初日,B497&gt;年末日),"✗ 日期不在本年度",IF(C497="","✗ 没选供应商",IF(COUNTIF(基础资料!$Q$5:$Q$54,C497)=0,"✗ 供应商不在基础资料里",IF(D497="","✗ 没选商品",IF(COUNTIF(基础资料!$E$5:$E$104,D497)=0,"✗ 商品不在商品档案里",IF(AND(E497="",H497=""),"✗ 没填数量",IF(AND(N(E497)&lt;&gt;0,F497=""),"✗ 没填进价","√")))))))))</f>
      </c>
    </row>
    <row r="498">
      <c r="A498" s="109">
        <f>IF(AND(C498="",D498=""),"",ROW()-3)</f>
      </c>
      <c r="B498" s="140" t="n"/>
      <c r="C498" s="141" t="n"/>
      <c r="D498" s="141" t="n"/>
      <c r="E498" s="148" t="n"/>
      <c r="F498" s="149" t="n"/>
      <c r="G498" s="150">
        <f>IF(AND(E498&lt;&gt;"",F498&lt;&gt;""),E498*F498,"")</f>
      </c>
      <c r="H498" s="148" t="n"/>
      <c r="I498" s="142" t="n"/>
      <c r="J498" s="146">
        <f>IF(AND(B498="",C498="",D498="",E498="",F498="",H498=""),"",IF(NOT(ISNUMBER(B498)),"✗ 日期不是真日期",IF(OR(B498&lt;年初日,B498&gt;年末日),"✗ 日期不在本年度",IF(C498="","✗ 没选供应商",IF(COUNTIF(基础资料!$Q$5:$Q$54,C498)=0,"✗ 供应商不在基础资料里",IF(D498="","✗ 没选商品",IF(COUNTIF(基础资料!$E$5:$E$104,D498)=0,"✗ 商品不在商品档案里",IF(AND(E498="",H498=""),"✗ 没填数量",IF(AND(N(E498)&lt;&gt;0,F498=""),"✗ 没填进价","√")))))))))</f>
      </c>
    </row>
    <row r="499">
      <c r="A499" s="109">
        <f>IF(AND(C499="",D499=""),"",ROW()-3)</f>
      </c>
      <c r="B499" s="140" t="n"/>
      <c r="C499" s="141" t="n"/>
      <c r="D499" s="141" t="n"/>
      <c r="E499" s="148" t="n"/>
      <c r="F499" s="149" t="n"/>
      <c r="G499" s="150">
        <f>IF(AND(E499&lt;&gt;"",F499&lt;&gt;""),E499*F499,"")</f>
      </c>
      <c r="H499" s="148" t="n"/>
      <c r="I499" s="142" t="n"/>
      <c r="J499" s="146">
        <f>IF(AND(B499="",C499="",D499="",E499="",F499="",H499=""),"",IF(NOT(ISNUMBER(B499)),"✗ 日期不是真日期",IF(OR(B499&lt;年初日,B499&gt;年末日),"✗ 日期不在本年度",IF(C499="","✗ 没选供应商",IF(COUNTIF(基础资料!$Q$5:$Q$54,C499)=0,"✗ 供应商不在基础资料里",IF(D499="","✗ 没选商品",IF(COUNTIF(基础资料!$E$5:$E$104,D499)=0,"✗ 商品不在商品档案里",IF(AND(E499="",H499=""),"✗ 没填数量",IF(AND(N(E499)&lt;&gt;0,F499=""),"✗ 没填进价","√")))))))))</f>
      </c>
    </row>
    <row r="500">
      <c r="A500" s="109">
        <f>IF(AND(C500="",D500=""),"",ROW()-3)</f>
      </c>
      <c r="B500" s="140" t="n"/>
      <c r="C500" s="141" t="n"/>
      <c r="D500" s="141" t="n"/>
      <c r="E500" s="148" t="n"/>
      <c r="F500" s="149" t="n"/>
      <c r="G500" s="150">
        <f>IF(AND(E500&lt;&gt;"",F500&lt;&gt;""),E500*F500,"")</f>
      </c>
      <c r="H500" s="148" t="n"/>
      <c r="I500" s="142" t="n"/>
      <c r="J500" s="146">
        <f>IF(AND(B500="",C500="",D500="",E500="",F500="",H500=""),"",IF(NOT(ISNUMBER(B500)),"✗ 日期不是真日期",IF(OR(B500&lt;年初日,B500&gt;年末日),"✗ 日期不在本年度",IF(C500="","✗ 没选供应商",IF(COUNTIF(基础资料!$Q$5:$Q$54,C500)=0,"✗ 供应商不在基础资料里",IF(D500="","✗ 没选商品",IF(COUNTIF(基础资料!$E$5:$E$104,D500)=0,"✗ 商品不在商品档案里",IF(AND(E500="",H500=""),"✗ 没填数量",IF(AND(N(E500)&lt;&gt;0,F500=""),"✗ 没填进价","√")))))))))</f>
      </c>
    </row>
    <row r="501">
      <c r="A501" s="109">
        <f>IF(AND(C501="",D501=""),"",ROW()-3)</f>
      </c>
      <c r="B501" s="140" t="n"/>
      <c r="C501" s="141" t="n"/>
      <c r="D501" s="141" t="n"/>
      <c r="E501" s="148" t="n"/>
      <c r="F501" s="149" t="n"/>
      <c r="G501" s="150">
        <f>IF(AND(E501&lt;&gt;"",F501&lt;&gt;""),E501*F501,"")</f>
      </c>
      <c r="H501" s="148" t="n"/>
      <c r="I501" s="142" t="n"/>
      <c r="J501" s="146">
        <f>IF(AND(B501="",C501="",D501="",E501="",F501="",H501=""),"",IF(NOT(ISNUMBER(B501)),"✗ 日期不是真日期",IF(OR(B501&lt;年初日,B501&gt;年末日),"✗ 日期不在本年度",IF(C501="","✗ 没选供应商",IF(COUNTIF(基础资料!$Q$5:$Q$54,C501)=0,"✗ 供应商不在基础资料里",IF(D501="","✗ 没选商品",IF(COUNTIF(基础资料!$E$5:$E$104,D501)=0,"✗ 商品不在商品档案里",IF(AND(E501="",H501=""),"✗ 没填数量",IF(AND(N(E501)&lt;&gt;0,F501=""),"✗ 没填进价","√")))))))))</f>
      </c>
    </row>
    <row r="502">
      <c r="A502" s="109">
        <f>IF(AND(C502="",D502=""),"",ROW()-3)</f>
      </c>
      <c r="B502" s="140" t="n"/>
      <c r="C502" s="141" t="n"/>
      <c r="D502" s="141" t="n"/>
      <c r="E502" s="148" t="n"/>
      <c r="F502" s="149" t="n"/>
      <c r="G502" s="150">
        <f>IF(AND(E502&lt;&gt;"",F502&lt;&gt;""),E502*F502,"")</f>
      </c>
      <c r="H502" s="148" t="n"/>
      <c r="I502" s="142" t="n"/>
      <c r="J502" s="146">
        <f>IF(AND(B502="",C502="",D502="",E502="",F502="",H502=""),"",IF(NOT(ISNUMBER(B502)),"✗ 日期不是真日期",IF(OR(B502&lt;年初日,B502&gt;年末日),"✗ 日期不在本年度",IF(C502="","✗ 没选供应商",IF(COUNTIF(基础资料!$Q$5:$Q$54,C502)=0,"✗ 供应商不在基础资料里",IF(D502="","✗ 没选商品",IF(COUNTIF(基础资料!$E$5:$E$104,D502)=0,"✗ 商品不在商品档案里",IF(AND(E502="",H502=""),"✗ 没填数量",IF(AND(N(E502)&lt;&gt;0,F502=""),"✗ 没填进价","√")))))))))</f>
      </c>
    </row>
    <row r="503">
      <c r="A503" s="109">
        <f>IF(AND(C503="",D503=""),"",ROW()-3)</f>
      </c>
      <c r="B503" s="140" t="n"/>
      <c r="C503" s="141" t="n"/>
      <c r="D503" s="141" t="n"/>
      <c r="E503" s="148" t="n"/>
      <c r="F503" s="149" t="n"/>
      <c r="G503" s="150">
        <f>IF(AND(E503&lt;&gt;"",F503&lt;&gt;""),E503*F503,"")</f>
      </c>
      <c r="H503" s="148" t="n"/>
      <c r="I503" s="142" t="n"/>
      <c r="J503" s="146">
        <f>IF(AND(B503="",C503="",D503="",E503="",F503="",H503=""),"",IF(NOT(ISNUMBER(B503)),"✗ 日期不是真日期",IF(OR(B503&lt;年初日,B503&gt;年末日),"✗ 日期不在本年度",IF(C503="","✗ 没选供应商",IF(COUNTIF(基础资料!$Q$5:$Q$54,C503)=0,"✗ 供应商不在基础资料里",IF(D503="","✗ 没选商品",IF(COUNTIF(基础资料!$E$5:$E$104,D503)=0,"✗ 商品不在商品档案里",IF(AND(E503="",H503=""),"✗ 没填数量",IF(AND(N(E503)&lt;&gt;0,F503=""),"✗ 没填进价","√")))))))))</f>
      </c>
    </row>
    <row r="504">
      <c r="A504" s="109">
        <f>IF(AND(C504="",D504=""),"",ROW()-3)</f>
      </c>
      <c r="B504" s="140" t="n"/>
      <c r="C504" s="141" t="n"/>
      <c r="D504" s="141" t="n"/>
      <c r="E504" s="148" t="n"/>
      <c r="F504" s="149" t="n"/>
      <c r="G504" s="150">
        <f>IF(AND(E504&lt;&gt;"",F504&lt;&gt;""),E504*F504,"")</f>
      </c>
      <c r="H504" s="148" t="n"/>
      <c r="I504" s="142" t="n"/>
      <c r="J504" s="146">
        <f>IF(AND(B504="",C504="",D504="",E504="",F504="",H504=""),"",IF(NOT(ISNUMBER(B504)),"✗ 日期不是真日期",IF(OR(B504&lt;年初日,B504&gt;年末日),"✗ 日期不在本年度",IF(C504="","✗ 没选供应商",IF(COUNTIF(基础资料!$Q$5:$Q$54,C504)=0,"✗ 供应商不在基础资料里",IF(D504="","✗ 没选商品",IF(COUNTIF(基础资料!$E$5:$E$104,D504)=0,"✗ 商品不在商品档案里",IF(AND(E504="",H504=""),"✗ 没填数量",IF(AND(N(E504)&lt;&gt;0,F504=""),"✗ 没填进价","√")))))))))</f>
      </c>
    </row>
    <row r="505">
      <c r="A505" s="109">
        <f>IF(AND(C505="",D505=""),"",ROW()-3)</f>
      </c>
      <c r="B505" s="140" t="n"/>
      <c r="C505" s="141" t="n"/>
      <c r="D505" s="141" t="n"/>
      <c r="E505" s="148" t="n"/>
      <c r="F505" s="149" t="n"/>
      <c r="G505" s="150">
        <f>IF(AND(E505&lt;&gt;"",F505&lt;&gt;""),E505*F505,"")</f>
      </c>
      <c r="H505" s="148" t="n"/>
      <c r="I505" s="142" t="n"/>
      <c r="J505" s="146">
        <f>IF(AND(B505="",C505="",D505="",E505="",F505="",H505=""),"",IF(NOT(ISNUMBER(B505)),"✗ 日期不是真日期",IF(OR(B505&lt;年初日,B505&gt;年末日),"✗ 日期不在本年度",IF(C505="","✗ 没选供应商",IF(COUNTIF(基础资料!$Q$5:$Q$54,C505)=0,"✗ 供应商不在基础资料里",IF(D505="","✗ 没选商品",IF(COUNTIF(基础资料!$E$5:$E$104,D505)=0,"✗ 商品不在商品档案里",IF(AND(E505="",H505=""),"✗ 没填数量",IF(AND(N(E505)&lt;&gt;0,F505=""),"✗ 没填进价","√")))))))))</f>
      </c>
    </row>
    <row r="506">
      <c r="A506" s="109">
        <f>IF(AND(C506="",D506=""),"",ROW()-3)</f>
      </c>
      <c r="B506" s="140" t="n"/>
      <c r="C506" s="141" t="n"/>
      <c r="D506" s="141" t="n"/>
      <c r="E506" s="148" t="n"/>
      <c r="F506" s="149" t="n"/>
      <c r="G506" s="150">
        <f>IF(AND(E506&lt;&gt;"",F506&lt;&gt;""),E506*F506,"")</f>
      </c>
      <c r="H506" s="148" t="n"/>
      <c r="I506" s="142" t="n"/>
      <c r="J506" s="146">
        <f>IF(AND(B506="",C506="",D506="",E506="",F506="",H506=""),"",IF(NOT(ISNUMBER(B506)),"✗ 日期不是真日期",IF(OR(B506&lt;年初日,B506&gt;年末日),"✗ 日期不在本年度",IF(C506="","✗ 没选供应商",IF(COUNTIF(基础资料!$Q$5:$Q$54,C506)=0,"✗ 供应商不在基础资料里",IF(D506="","✗ 没选商品",IF(COUNTIF(基础资料!$E$5:$E$104,D506)=0,"✗ 商品不在商品档案里",IF(AND(E506="",H506=""),"✗ 没填数量",IF(AND(N(E506)&lt;&gt;0,F506=""),"✗ 没填进价","√")))))))))</f>
      </c>
    </row>
    <row r="507">
      <c r="A507" s="109">
        <f>IF(AND(C507="",D507=""),"",ROW()-3)</f>
      </c>
      <c r="B507" s="140" t="n"/>
      <c r="C507" s="141" t="n"/>
      <c r="D507" s="141" t="n"/>
      <c r="E507" s="148" t="n"/>
      <c r="F507" s="149" t="n"/>
      <c r="G507" s="150">
        <f>IF(AND(E507&lt;&gt;"",F507&lt;&gt;""),E507*F507,"")</f>
      </c>
      <c r="H507" s="148" t="n"/>
      <c r="I507" s="142" t="n"/>
      <c r="J507" s="146">
        <f>IF(AND(B507="",C507="",D507="",E507="",F507="",H507=""),"",IF(NOT(ISNUMBER(B507)),"✗ 日期不是真日期",IF(OR(B507&lt;年初日,B507&gt;年末日),"✗ 日期不在本年度",IF(C507="","✗ 没选供应商",IF(COUNTIF(基础资料!$Q$5:$Q$54,C507)=0,"✗ 供应商不在基础资料里",IF(D507="","✗ 没选商品",IF(COUNTIF(基础资料!$E$5:$E$104,D507)=0,"✗ 商品不在商品档案里",IF(AND(E507="",H507=""),"✗ 没填数量",IF(AND(N(E507)&lt;&gt;0,F507=""),"✗ 没填进价","√")))))))))</f>
      </c>
    </row>
    <row r="508">
      <c r="A508" s="109">
        <f>IF(AND(C508="",D508=""),"",ROW()-3)</f>
      </c>
      <c r="B508" s="140" t="n"/>
      <c r="C508" s="141" t="n"/>
      <c r="D508" s="141" t="n"/>
      <c r="E508" s="148" t="n"/>
      <c r="F508" s="149" t="n"/>
      <c r="G508" s="150">
        <f>IF(AND(E508&lt;&gt;"",F508&lt;&gt;""),E508*F508,"")</f>
      </c>
      <c r="H508" s="148" t="n"/>
      <c r="I508" s="142" t="n"/>
      <c r="J508" s="146">
        <f>IF(AND(B508="",C508="",D508="",E508="",F508="",H508=""),"",IF(NOT(ISNUMBER(B508)),"✗ 日期不是真日期",IF(OR(B508&lt;年初日,B508&gt;年末日),"✗ 日期不在本年度",IF(C508="","✗ 没选供应商",IF(COUNTIF(基础资料!$Q$5:$Q$54,C508)=0,"✗ 供应商不在基础资料里",IF(D508="","✗ 没选商品",IF(COUNTIF(基础资料!$E$5:$E$104,D508)=0,"✗ 商品不在商品档案里",IF(AND(E508="",H508=""),"✗ 没填数量",IF(AND(N(E508)&lt;&gt;0,F508=""),"✗ 没填进价","√")))))))))</f>
      </c>
    </row>
    <row r="509">
      <c r="A509" s="109">
        <f>IF(AND(C509="",D509=""),"",ROW()-3)</f>
      </c>
      <c r="B509" s="140" t="n"/>
      <c r="C509" s="141" t="n"/>
      <c r="D509" s="141" t="n"/>
      <c r="E509" s="148" t="n"/>
      <c r="F509" s="149" t="n"/>
      <c r="G509" s="150">
        <f>IF(AND(E509&lt;&gt;"",F509&lt;&gt;""),E509*F509,"")</f>
      </c>
      <c r="H509" s="148" t="n"/>
      <c r="I509" s="142" t="n"/>
      <c r="J509" s="146">
        <f>IF(AND(B509="",C509="",D509="",E509="",F509="",H509=""),"",IF(NOT(ISNUMBER(B509)),"✗ 日期不是真日期",IF(OR(B509&lt;年初日,B509&gt;年末日),"✗ 日期不在本年度",IF(C509="","✗ 没选供应商",IF(COUNTIF(基础资料!$Q$5:$Q$54,C509)=0,"✗ 供应商不在基础资料里",IF(D509="","✗ 没选商品",IF(COUNTIF(基础资料!$E$5:$E$104,D509)=0,"✗ 商品不在商品档案里",IF(AND(E509="",H509=""),"✗ 没填数量",IF(AND(N(E509)&lt;&gt;0,F509=""),"✗ 没填进价","√")))))))))</f>
      </c>
    </row>
    <row r="510">
      <c r="A510" s="109">
        <f>IF(AND(C510="",D510=""),"",ROW()-3)</f>
      </c>
      <c r="B510" s="140" t="n"/>
      <c r="C510" s="141" t="n"/>
      <c r="D510" s="141" t="n"/>
      <c r="E510" s="148" t="n"/>
      <c r="F510" s="149" t="n"/>
      <c r="G510" s="150">
        <f>IF(AND(E510&lt;&gt;"",F510&lt;&gt;""),E510*F510,"")</f>
      </c>
      <c r="H510" s="148" t="n"/>
      <c r="I510" s="142" t="n"/>
      <c r="J510" s="146">
        <f>IF(AND(B510="",C510="",D510="",E510="",F510="",H510=""),"",IF(NOT(ISNUMBER(B510)),"✗ 日期不是真日期",IF(OR(B510&lt;年初日,B510&gt;年末日),"✗ 日期不在本年度",IF(C510="","✗ 没选供应商",IF(COUNTIF(基础资料!$Q$5:$Q$54,C510)=0,"✗ 供应商不在基础资料里",IF(D510="","✗ 没选商品",IF(COUNTIF(基础资料!$E$5:$E$104,D510)=0,"✗ 商品不在商品档案里",IF(AND(E510="",H510=""),"✗ 没填数量",IF(AND(N(E510)&lt;&gt;0,F510=""),"✗ 没填进价","√")))))))))</f>
      </c>
    </row>
    <row r="511">
      <c r="A511" s="109">
        <f>IF(AND(C511="",D511=""),"",ROW()-3)</f>
      </c>
      <c r="B511" s="140" t="n"/>
      <c r="C511" s="141" t="n"/>
      <c r="D511" s="141" t="n"/>
      <c r="E511" s="148" t="n"/>
      <c r="F511" s="149" t="n"/>
      <c r="G511" s="150">
        <f>IF(AND(E511&lt;&gt;"",F511&lt;&gt;""),E511*F511,"")</f>
      </c>
      <c r="H511" s="148" t="n"/>
      <c r="I511" s="142" t="n"/>
      <c r="J511" s="146">
        <f>IF(AND(B511="",C511="",D511="",E511="",F511="",H511=""),"",IF(NOT(ISNUMBER(B511)),"✗ 日期不是真日期",IF(OR(B511&lt;年初日,B511&gt;年末日),"✗ 日期不在本年度",IF(C511="","✗ 没选供应商",IF(COUNTIF(基础资料!$Q$5:$Q$54,C511)=0,"✗ 供应商不在基础资料里",IF(D511="","✗ 没选商品",IF(COUNTIF(基础资料!$E$5:$E$104,D511)=0,"✗ 商品不在商品档案里",IF(AND(E511="",H511=""),"✗ 没填数量",IF(AND(N(E511)&lt;&gt;0,F511=""),"✗ 没填进价","√")))))))))</f>
      </c>
    </row>
    <row r="512">
      <c r="A512" s="109">
        <f>IF(AND(C512="",D512=""),"",ROW()-3)</f>
      </c>
      <c r="B512" s="140" t="n"/>
      <c r="C512" s="141" t="n"/>
      <c r="D512" s="141" t="n"/>
      <c r="E512" s="148" t="n"/>
      <c r="F512" s="149" t="n"/>
      <c r="G512" s="150">
        <f>IF(AND(E512&lt;&gt;"",F512&lt;&gt;""),E512*F512,"")</f>
      </c>
      <c r="H512" s="148" t="n"/>
      <c r="I512" s="142" t="n"/>
      <c r="J512" s="146">
        <f>IF(AND(B512="",C512="",D512="",E512="",F512="",H512=""),"",IF(NOT(ISNUMBER(B512)),"✗ 日期不是真日期",IF(OR(B512&lt;年初日,B512&gt;年末日),"✗ 日期不在本年度",IF(C512="","✗ 没选供应商",IF(COUNTIF(基础资料!$Q$5:$Q$54,C512)=0,"✗ 供应商不在基础资料里",IF(D512="","✗ 没选商品",IF(COUNTIF(基础资料!$E$5:$E$104,D512)=0,"✗ 商品不在商品档案里",IF(AND(E512="",H512=""),"✗ 没填数量",IF(AND(N(E512)&lt;&gt;0,F512=""),"✗ 没填进价","√")))))))))</f>
      </c>
    </row>
    <row r="513">
      <c r="A513" s="109">
        <f>IF(AND(C513="",D513=""),"",ROW()-3)</f>
      </c>
      <c r="B513" s="140" t="n"/>
      <c r="C513" s="141" t="n"/>
      <c r="D513" s="141" t="n"/>
      <c r="E513" s="148" t="n"/>
      <c r="F513" s="149" t="n"/>
      <c r="G513" s="150">
        <f>IF(AND(E513&lt;&gt;"",F513&lt;&gt;""),E513*F513,"")</f>
      </c>
      <c r="H513" s="148" t="n"/>
      <c r="I513" s="142" t="n"/>
      <c r="J513" s="146">
        <f>IF(AND(B513="",C513="",D513="",E513="",F513="",H513=""),"",IF(NOT(ISNUMBER(B513)),"✗ 日期不是真日期",IF(OR(B513&lt;年初日,B513&gt;年末日),"✗ 日期不在本年度",IF(C513="","✗ 没选供应商",IF(COUNTIF(基础资料!$Q$5:$Q$54,C513)=0,"✗ 供应商不在基础资料里",IF(D513="","✗ 没选商品",IF(COUNTIF(基础资料!$E$5:$E$104,D513)=0,"✗ 商品不在商品档案里",IF(AND(E513="",H513=""),"✗ 没填数量",IF(AND(N(E513)&lt;&gt;0,F513=""),"✗ 没填进价","√")))))))))</f>
      </c>
    </row>
    <row r="514">
      <c r="A514" s="109">
        <f>IF(AND(C514="",D514=""),"",ROW()-3)</f>
      </c>
      <c r="B514" s="140" t="n"/>
      <c r="C514" s="141" t="n"/>
      <c r="D514" s="141" t="n"/>
      <c r="E514" s="148" t="n"/>
      <c r="F514" s="149" t="n"/>
      <c r="G514" s="150">
        <f>IF(AND(E514&lt;&gt;"",F514&lt;&gt;""),E514*F514,"")</f>
      </c>
      <c r="H514" s="148" t="n"/>
      <c r="I514" s="142" t="n"/>
      <c r="J514" s="146">
        <f>IF(AND(B514="",C514="",D514="",E514="",F514="",H514=""),"",IF(NOT(ISNUMBER(B514)),"✗ 日期不是真日期",IF(OR(B514&lt;年初日,B514&gt;年末日),"✗ 日期不在本年度",IF(C514="","✗ 没选供应商",IF(COUNTIF(基础资料!$Q$5:$Q$54,C514)=0,"✗ 供应商不在基础资料里",IF(D514="","✗ 没选商品",IF(COUNTIF(基础资料!$E$5:$E$104,D514)=0,"✗ 商品不在商品档案里",IF(AND(E514="",H514=""),"✗ 没填数量",IF(AND(N(E514)&lt;&gt;0,F514=""),"✗ 没填进价","√")))))))))</f>
      </c>
    </row>
    <row r="515">
      <c r="A515" s="109">
        <f>IF(AND(C515="",D515=""),"",ROW()-3)</f>
      </c>
      <c r="B515" s="140" t="n"/>
      <c r="C515" s="141" t="n"/>
      <c r="D515" s="141" t="n"/>
      <c r="E515" s="148" t="n"/>
      <c r="F515" s="149" t="n"/>
      <c r="G515" s="150">
        <f>IF(AND(E515&lt;&gt;"",F515&lt;&gt;""),E515*F515,"")</f>
      </c>
      <c r="H515" s="148" t="n"/>
      <c r="I515" s="142" t="n"/>
      <c r="J515" s="146">
        <f>IF(AND(B515="",C515="",D515="",E515="",F515="",H515=""),"",IF(NOT(ISNUMBER(B515)),"✗ 日期不是真日期",IF(OR(B515&lt;年初日,B515&gt;年末日),"✗ 日期不在本年度",IF(C515="","✗ 没选供应商",IF(COUNTIF(基础资料!$Q$5:$Q$54,C515)=0,"✗ 供应商不在基础资料里",IF(D515="","✗ 没选商品",IF(COUNTIF(基础资料!$E$5:$E$104,D515)=0,"✗ 商品不在商品档案里",IF(AND(E515="",H515=""),"✗ 没填数量",IF(AND(N(E515)&lt;&gt;0,F515=""),"✗ 没填进价","√")))))))))</f>
      </c>
    </row>
    <row r="516">
      <c r="A516" s="109">
        <f>IF(AND(C516="",D516=""),"",ROW()-3)</f>
      </c>
      <c r="B516" s="140" t="n"/>
      <c r="C516" s="141" t="n"/>
      <c r="D516" s="141" t="n"/>
      <c r="E516" s="148" t="n"/>
      <c r="F516" s="149" t="n"/>
      <c r="G516" s="150">
        <f>IF(AND(E516&lt;&gt;"",F516&lt;&gt;""),E516*F516,"")</f>
      </c>
      <c r="H516" s="148" t="n"/>
      <c r="I516" s="142" t="n"/>
      <c r="J516" s="146">
        <f>IF(AND(B516="",C516="",D516="",E516="",F516="",H516=""),"",IF(NOT(ISNUMBER(B516)),"✗ 日期不是真日期",IF(OR(B516&lt;年初日,B516&gt;年末日),"✗ 日期不在本年度",IF(C516="","✗ 没选供应商",IF(COUNTIF(基础资料!$Q$5:$Q$54,C516)=0,"✗ 供应商不在基础资料里",IF(D516="","✗ 没选商品",IF(COUNTIF(基础资料!$E$5:$E$104,D516)=0,"✗ 商品不在商品档案里",IF(AND(E516="",H516=""),"✗ 没填数量",IF(AND(N(E516)&lt;&gt;0,F516=""),"✗ 没填进价","√")))))))))</f>
      </c>
    </row>
    <row r="517">
      <c r="A517" s="109">
        <f>IF(AND(C517="",D517=""),"",ROW()-3)</f>
      </c>
      <c r="B517" s="140" t="n"/>
      <c r="C517" s="141" t="n"/>
      <c r="D517" s="141" t="n"/>
      <c r="E517" s="148" t="n"/>
      <c r="F517" s="149" t="n"/>
      <c r="G517" s="150">
        <f>IF(AND(E517&lt;&gt;"",F517&lt;&gt;""),E517*F517,"")</f>
      </c>
      <c r="H517" s="148" t="n"/>
      <c r="I517" s="142" t="n"/>
      <c r="J517" s="146">
        <f>IF(AND(B517="",C517="",D517="",E517="",F517="",H517=""),"",IF(NOT(ISNUMBER(B517)),"✗ 日期不是真日期",IF(OR(B517&lt;年初日,B517&gt;年末日),"✗ 日期不在本年度",IF(C517="","✗ 没选供应商",IF(COUNTIF(基础资料!$Q$5:$Q$54,C517)=0,"✗ 供应商不在基础资料里",IF(D517="","✗ 没选商品",IF(COUNTIF(基础资料!$E$5:$E$104,D517)=0,"✗ 商品不在商品档案里",IF(AND(E517="",H517=""),"✗ 没填数量",IF(AND(N(E517)&lt;&gt;0,F517=""),"✗ 没填进价","√")))))))))</f>
      </c>
    </row>
    <row r="518">
      <c r="A518" s="109">
        <f>IF(AND(C518="",D518=""),"",ROW()-3)</f>
      </c>
      <c r="B518" s="140" t="n"/>
      <c r="C518" s="141" t="n"/>
      <c r="D518" s="141" t="n"/>
      <c r="E518" s="148" t="n"/>
      <c r="F518" s="149" t="n"/>
      <c r="G518" s="150">
        <f>IF(AND(E518&lt;&gt;"",F518&lt;&gt;""),E518*F518,"")</f>
      </c>
      <c r="H518" s="148" t="n"/>
      <c r="I518" s="142" t="n"/>
      <c r="J518" s="146">
        <f>IF(AND(B518="",C518="",D518="",E518="",F518="",H518=""),"",IF(NOT(ISNUMBER(B518)),"✗ 日期不是真日期",IF(OR(B518&lt;年初日,B518&gt;年末日),"✗ 日期不在本年度",IF(C518="","✗ 没选供应商",IF(COUNTIF(基础资料!$Q$5:$Q$54,C518)=0,"✗ 供应商不在基础资料里",IF(D518="","✗ 没选商品",IF(COUNTIF(基础资料!$E$5:$E$104,D518)=0,"✗ 商品不在商品档案里",IF(AND(E518="",H518=""),"✗ 没填数量",IF(AND(N(E518)&lt;&gt;0,F518=""),"✗ 没填进价","√")))))))))</f>
      </c>
    </row>
    <row r="519">
      <c r="A519" s="109">
        <f>IF(AND(C519="",D519=""),"",ROW()-3)</f>
      </c>
      <c r="B519" s="140" t="n"/>
      <c r="C519" s="141" t="n"/>
      <c r="D519" s="141" t="n"/>
      <c r="E519" s="148" t="n"/>
      <c r="F519" s="149" t="n"/>
      <c r="G519" s="150">
        <f>IF(AND(E519&lt;&gt;"",F519&lt;&gt;""),E519*F519,"")</f>
      </c>
      <c r="H519" s="148" t="n"/>
      <c r="I519" s="142" t="n"/>
      <c r="J519" s="146">
        <f>IF(AND(B519="",C519="",D519="",E519="",F519="",H519=""),"",IF(NOT(ISNUMBER(B519)),"✗ 日期不是真日期",IF(OR(B519&lt;年初日,B519&gt;年末日),"✗ 日期不在本年度",IF(C519="","✗ 没选供应商",IF(COUNTIF(基础资料!$Q$5:$Q$54,C519)=0,"✗ 供应商不在基础资料里",IF(D519="","✗ 没选商品",IF(COUNTIF(基础资料!$E$5:$E$104,D519)=0,"✗ 商品不在商品档案里",IF(AND(E519="",H519=""),"✗ 没填数量",IF(AND(N(E519)&lt;&gt;0,F519=""),"✗ 没填进价","√")))))))))</f>
      </c>
    </row>
    <row r="520">
      <c r="A520" s="109">
        <f>IF(AND(C520="",D520=""),"",ROW()-3)</f>
      </c>
      <c r="B520" s="140" t="n"/>
      <c r="C520" s="141" t="n"/>
      <c r="D520" s="141" t="n"/>
      <c r="E520" s="148" t="n"/>
      <c r="F520" s="149" t="n"/>
      <c r="G520" s="150">
        <f>IF(AND(E520&lt;&gt;"",F520&lt;&gt;""),E520*F520,"")</f>
      </c>
      <c r="H520" s="148" t="n"/>
      <c r="I520" s="142" t="n"/>
      <c r="J520" s="146">
        <f>IF(AND(B520="",C520="",D520="",E520="",F520="",H520=""),"",IF(NOT(ISNUMBER(B520)),"✗ 日期不是真日期",IF(OR(B520&lt;年初日,B520&gt;年末日),"✗ 日期不在本年度",IF(C520="","✗ 没选供应商",IF(COUNTIF(基础资料!$Q$5:$Q$54,C520)=0,"✗ 供应商不在基础资料里",IF(D520="","✗ 没选商品",IF(COUNTIF(基础资料!$E$5:$E$104,D520)=0,"✗ 商品不在商品档案里",IF(AND(E520="",H520=""),"✗ 没填数量",IF(AND(N(E520)&lt;&gt;0,F520=""),"✗ 没填进价","√")))))))))</f>
      </c>
    </row>
    <row r="521">
      <c r="A521" s="109">
        <f>IF(AND(C521="",D521=""),"",ROW()-3)</f>
      </c>
      <c r="B521" s="140" t="n"/>
      <c r="C521" s="141" t="n"/>
      <c r="D521" s="141" t="n"/>
      <c r="E521" s="148" t="n"/>
      <c r="F521" s="149" t="n"/>
      <c r="G521" s="150">
        <f>IF(AND(E521&lt;&gt;"",F521&lt;&gt;""),E521*F521,"")</f>
      </c>
      <c r="H521" s="148" t="n"/>
      <c r="I521" s="142" t="n"/>
      <c r="J521" s="146">
        <f>IF(AND(B521="",C521="",D521="",E521="",F521="",H521=""),"",IF(NOT(ISNUMBER(B521)),"✗ 日期不是真日期",IF(OR(B521&lt;年初日,B521&gt;年末日),"✗ 日期不在本年度",IF(C521="","✗ 没选供应商",IF(COUNTIF(基础资料!$Q$5:$Q$54,C521)=0,"✗ 供应商不在基础资料里",IF(D521="","✗ 没选商品",IF(COUNTIF(基础资料!$E$5:$E$104,D521)=0,"✗ 商品不在商品档案里",IF(AND(E521="",H521=""),"✗ 没填数量",IF(AND(N(E521)&lt;&gt;0,F521=""),"✗ 没填进价","√")))))))))</f>
      </c>
    </row>
    <row r="522">
      <c r="A522" s="109">
        <f>IF(AND(C522="",D522=""),"",ROW()-3)</f>
      </c>
      <c r="B522" s="140" t="n"/>
      <c r="C522" s="141" t="n"/>
      <c r="D522" s="141" t="n"/>
      <c r="E522" s="148" t="n"/>
      <c r="F522" s="149" t="n"/>
      <c r="G522" s="150">
        <f>IF(AND(E522&lt;&gt;"",F522&lt;&gt;""),E522*F522,"")</f>
      </c>
      <c r="H522" s="148" t="n"/>
      <c r="I522" s="142" t="n"/>
      <c r="J522" s="146">
        <f>IF(AND(B522="",C522="",D522="",E522="",F522="",H522=""),"",IF(NOT(ISNUMBER(B522)),"✗ 日期不是真日期",IF(OR(B522&lt;年初日,B522&gt;年末日),"✗ 日期不在本年度",IF(C522="","✗ 没选供应商",IF(COUNTIF(基础资料!$Q$5:$Q$54,C522)=0,"✗ 供应商不在基础资料里",IF(D522="","✗ 没选商品",IF(COUNTIF(基础资料!$E$5:$E$104,D522)=0,"✗ 商品不在商品档案里",IF(AND(E522="",H522=""),"✗ 没填数量",IF(AND(N(E522)&lt;&gt;0,F522=""),"✗ 没填进价","√")))))))))</f>
      </c>
    </row>
    <row r="523">
      <c r="A523" s="109">
        <f>IF(AND(C523="",D523=""),"",ROW()-3)</f>
      </c>
      <c r="B523" s="140" t="n"/>
      <c r="C523" s="141" t="n"/>
      <c r="D523" s="141" t="n"/>
      <c r="E523" s="148" t="n"/>
      <c r="F523" s="149" t="n"/>
      <c r="G523" s="150">
        <f>IF(AND(E523&lt;&gt;"",F523&lt;&gt;""),E523*F523,"")</f>
      </c>
      <c r="H523" s="148" t="n"/>
      <c r="I523" s="142" t="n"/>
      <c r="J523" s="146">
        <f>IF(AND(B523="",C523="",D523="",E523="",F523="",H523=""),"",IF(NOT(ISNUMBER(B523)),"✗ 日期不是真日期",IF(OR(B523&lt;年初日,B523&gt;年末日),"✗ 日期不在本年度",IF(C523="","✗ 没选供应商",IF(COUNTIF(基础资料!$Q$5:$Q$54,C523)=0,"✗ 供应商不在基础资料里",IF(D523="","✗ 没选商品",IF(COUNTIF(基础资料!$E$5:$E$104,D523)=0,"✗ 商品不在商品档案里",IF(AND(E523="",H523=""),"✗ 没填数量",IF(AND(N(E523)&lt;&gt;0,F523=""),"✗ 没填进价","√")))))))))</f>
      </c>
    </row>
    <row r="524">
      <c r="A524" s="109">
        <f>IF(AND(C524="",D524=""),"",ROW()-3)</f>
      </c>
      <c r="B524" s="140" t="n"/>
      <c r="C524" s="141" t="n"/>
      <c r="D524" s="141" t="n"/>
      <c r="E524" s="148" t="n"/>
      <c r="F524" s="149" t="n"/>
      <c r="G524" s="150">
        <f>IF(AND(E524&lt;&gt;"",F524&lt;&gt;""),E524*F524,"")</f>
      </c>
      <c r="H524" s="148" t="n"/>
      <c r="I524" s="142" t="n"/>
      <c r="J524" s="146">
        <f>IF(AND(B524="",C524="",D524="",E524="",F524="",H524=""),"",IF(NOT(ISNUMBER(B524)),"✗ 日期不是真日期",IF(OR(B524&lt;年初日,B524&gt;年末日),"✗ 日期不在本年度",IF(C524="","✗ 没选供应商",IF(COUNTIF(基础资料!$Q$5:$Q$54,C524)=0,"✗ 供应商不在基础资料里",IF(D524="","✗ 没选商品",IF(COUNTIF(基础资料!$E$5:$E$104,D524)=0,"✗ 商品不在商品档案里",IF(AND(E524="",H524=""),"✗ 没填数量",IF(AND(N(E524)&lt;&gt;0,F524=""),"✗ 没填进价","√")))))))))</f>
      </c>
    </row>
    <row r="525">
      <c r="A525" s="109">
        <f>IF(AND(C525="",D525=""),"",ROW()-3)</f>
      </c>
      <c r="B525" s="140" t="n"/>
      <c r="C525" s="141" t="n"/>
      <c r="D525" s="141" t="n"/>
      <c r="E525" s="148" t="n"/>
      <c r="F525" s="149" t="n"/>
      <c r="G525" s="150">
        <f>IF(AND(E525&lt;&gt;"",F525&lt;&gt;""),E525*F525,"")</f>
      </c>
      <c r="H525" s="148" t="n"/>
      <c r="I525" s="142" t="n"/>
      <c r="J525" s="146">
        <f>IF(AND(B525="",C525="",D525="",E525="",F525="",H525=""),"",IF(NOT(ISNUMBER(B525)),"✗ 日期不是真日期",IF(OR(B525&lt;年初日,B525&gt;年末日),"✗ 日期不在本年度",IF(C525="","✗ 没选供应商",IF(COUNTIF(基础资料!$Q$5:$Q$54,C525)=0,"✗ 供应商不在基础资料里",IF(D525="","✗ 没选商品",IF(COUNTIF(基础资料!$E$5:$E$104,D525)=0,"✗ 商品不在商品档案里",IF(AND(E525="",H525=""),"✗ 没填数量",IF(AND(N(E525)&lt;&gt;0,F525=""),"✗ 没填进价","√")))))))))</f>
      </c>
    </row>
    <row r="526">
      <c r="A526" s="109">
        <f>IF(AND(C526="",D526=""),"",ROW()-3)</f>
      </c>
      <c r="B526" s="140" t="n"/>
      <c r="C526" s="141" t="n"/>
      <c r="D526" s="141" t="n"/>
      <c r="E526" s="148" t="n"/>
      <c r="F526" s="149" t="n"/>
      <c r="G526" s="150">
        <f>IF(AND(E526&lt;&gt;"",F526&lt;&gt;""),E526*F526,"")</f>
      </c>
      <c r="H526" s="148" t="n"/>
      <c r="I526" s="142" t="n"/>
      <c r="J526" s="146">
        <f>IF(AND(B526="",C526="",D526="",E526="",F526="",H526=""),"",IF(NOT(ISNUMBER(B526)),"✗ 日期不是真日期",IF(OR(B526&lt;年初日,B526&gt;年末日),"✗ 日期不在本年度",IF(C526="","✗ 没选供应商",IF(COUNTIF(基础资料!$Q$5:$Q$54,C526)=0,"✗ 供应商不在基础资料里",IF(D526="","✗ 没选商品",IF(COUNTIF(基础资料!$E$5:$E$104,D526)=0,"✗ 商品不在商品档案里",IF(AND(E526="",H526=""),"✗ 没填数量",IF(AND(N(E526)&lt;&gt;0,F526=""),"✗ 没填进价","√")))))))))</f>
      </c>
    </row>
    <row r="527">
      <c r="A527" s="109">
        <f>IF(AND(C527="",D527=""),"",ROW()-3)</f>
      </c>
      <c r="B527" s="140" t="n"/>
      <c r="C527" s="141" t="n"/>
      <c r="D527" s="141" t="n"/>
      <c r="E527" s="148" t="n"/>
      <c r="F527" s="149" t="n"/>
      <c r="G527" s="150">
        <f>IF(AND(E527&lt;&gt;"",F527&lt;&gt;""),E527*F527,"")</f>
      </c>
      <c r="H527" s="148" t="n"/>
      <c r="I527" s="142" t="n"/>
      <c r="J527" s="146">
        <f>IF(AND(B527="",C527="",D527="",E527="",F527="",H527=""),"",IF(NOT(ISNUMBER(B527)),"✗ 日期不是真日期",IF(OR(B527&lt;年初日,B527&gt;年末日),"✗ 日期不在本年度",IF(C527="","✗ 没选供应商",IF(COUNTIF(基础资料!$Q$5:$Q$54,C527)=0,"✗ 供应商不在基础资料里",IF(D527="","✗ 没选商品",IF(COUNTIF(基础资料!$E$5:$E$104,D527)=0,"✗ 商品不在商品档案里",IF(AND(E527="",H527=""),"✗ 没填数量",IF(AND(N(E527)&lt;&gt;0,F527=""),"✗ 没填进价","√")))))))))</f>
      </c>
    </row>
    <row r="528">
      <c r="A528" s="109">
        <f>IF(AND(C528="",D528=""),"",ROW()-3)</f>
      </c>
      <c r="B528" s="140" t="n"/>
      <c r="C528" s="141" t="n"/>
      <c r="D528" s="141" t="n"/>
      <c r="E528" s="148" t="n"/>
      <c r="F528" s="149" t="n"/>
      <c r="G528" s="150">
        <f>IF(AND(E528&lt;&gt;"",F528&lt;&gt;""),E528*F528,"")</f>
      </c>
      <c r="H528" s="148" t="n"/>
      <c r="I528" s="142" t="n"/>
      <c r="J528" s="146">
        <f>IF(AND(B528="",C528="",D528="",E528="",F528="",H528=""),"",IF(NOT(ISNUMBER(B528)),"✗ 日期不是真日期",IF(OR(B528&lt;年初日,B528&gt;年末日),"✗ 日期不在本年度",IF(C528="","✗ 没选供应商",IF(COUNTIF(基础资料!$Q$5:$Q$54,C528)=0,"✗ 供应商不在基础资料里",IF(D528="","✗ 没选商品",IF(COUNTIF(基础资料!$E$5:$E$104,D528)=0,"✗ 商品不在商品档案里",IF(AND(E528="",H528=""),"✗ 没填数量",IF(AND(N(E528)&lt;&gt;0,F528=""),"✗ 没填进价","√")))))))))</f>
      </c>
    </row>
    <row r="529">
      <c r="A529" s="109">
        <f>IF(AND(C529="",D529=""),"",ROW()-3)</f>
      </c>
      <c r="B529" s="140" t="n"/>
      <c r="C529" s="141" t="n"/>
      <c r="D529" s="141" t="n"/>
      <c r="E529" s="148" t="n"/>
      <c r="F529" s="149" t="n"/>
      <c r="G529" s="150">
        <f>IF(AND(E529&lt;&gt;"",F529&lt;&gt;""),E529*F529,"")</f>
      </c>
      <c r="H529" s="148" t="n"/>
      <c r="I529" s="142" t="n"/>
      <c r="J529" s="146">
        <f>IF(AND(B529="",C529="",D529="",E529="",F529="",H529=""),"",IF(NOT(ISNUMBER(B529)),"✗ 日期不是真日期",IF(OR(B529&lt;年初日,B529&gt;年末日),"✗ 日期不在本年度",IF(C529="","✗ 没选供应商",IF(COUNTIF(基础资料!$Q$5:$Q$54,C529)=0,"✗ 供应商不在基础资料里",IF(D529="","✗ 没选商品",IF(COUNTIF(基础资料!$E$5:$E$104,D529)=0,"✗ 商品不在商品档案里",IF(AND(E529="",H529=""),"✗ 没填数量",IF(AND(N(E529)&lt;&gt;0,F529=""),"✗ 没填进价","√")))))))))</f>
      </c>
    </row>
    <row r="530">
      <c r="A530" s="109">
        <f>IF(AND(C530="",D530=""),"",ROW()-3)</f>
      </c>
      <c r="B530" s="140" t="n"/>
      <c r="C530" s="141" t="n"/>
      <c r="D530" s="141" t="n"/>
      <c r="E530" s="148" t="n"/>
      <c r="F530" s="149" t="n"/>
      <c r="G530" s="150">
        <f>IF(AND(E530&lt;&gt;"",F530&lt;&gt;""),E530*F530,"")</f>
      </c>
      <c r="H530" s="148" t="n"/>
      <c r="I530" s="142" t="n"/>
      <c r="J530" s="146">
        <f>IF(AND(B530="",C530="",D530="",E530="",F530="",H530=""),"",IF(NOT(ISNUMBER(B530)),"✗ 日期不是真日期",IF(OR(B530&lt;年初日,B530&gt;年末日),"✗ 日期不在本年度",IF(C530="","✗ 没选供应商",IF(COUNTIF(基础资料!$Q$5:$Q$54,C530)=0,"✗ 供应商不在基础资料里",IF(D530="","✗ 没选商品",IF(COUNTIF(基础资料!$E$5:$E$104,D530)=0,"✗ 商品不在商品档案里",IF(AND(E530="",H530=""),"✗ 没填数量",IF(AND(N(E530)&lt;&gt;0,F530=""),"✗ 没填进价","√")))))))))</f>
      </c>
    </row>
    <row r="531">
      <c r="A531" s="109">
        <f>IF(AND(C531="",D531=""),"",ROW()-3)</f>
      </c>
      <c r="B531" s="140" t="n"/>
      <c r="C531" s="141" t="n"/>
      <c r="D531" s="141" t="n"/>
      <c r="E531" s="148" t="n"/>
      <c r="F531" s="149" t="n"/>
      <c r="G531" s="150">
        <f>IF(AND(E531&lt;&gt;"",F531&lt;&gt;""),E531*F531,"")</f>
      </c>
      <c r="H531" s="148" t="n"/>
      <c r="I531" s="142" t="n"/>
      <c r="J531" s="146">
        <f>IF(AND(B531="",C531="",D531="",E531="",F531="",H531=""),"",IF(NOT(ISNUMBER(B531)),"✗ 日期不是真日期",IF(OR(B531&lt;年初日,B531&gt;年末日),"✗ 日期不在本年度",IF(C531="","✗ 没选供应商",IF(COUNTIF(基础资料!$Q$5:$Q$54,C531)=0,"✗ 供应商不在基础资料里",IF(D531="","✗ 没选商品",IF(COUNTIF(基础资料!$E$5:$E$104,D531)=0,"✗ 商品不在商品档案里",IF(AND(E531="",H531=""),"✗ 没填数量",IF(AND(N(E531)&lt;&gt;0,F531=""),"✗ 没填进价","√")))))))))</f>
      </c>
    </row>
    <row r="532">
      <c r="A532" s="109">
        <f>IF(AND(C532="",D532=""),"",ROW()-3)</f>
      </c>
      <c r="B532" s="140" t="n"/>
      <c r="C532" s="141" t="n"/>
      <c r="D532" s="141" t="n"/>
      <c r="E532" s="148" t="n"/>
      <c r="F532" s="149" t="n"/>
      <c r="G532" s="150">
        <f>IF(AND(E532&lt;&gt;"",F532&lt;&gt;""),E532*F532,"")</f>
      </c>
      <c r="H532" s="148" t="n"/>
      <c r="I532" s="142" t="n"/>
      <c r="J532" s="146">
        <f>IF(AND(B532="",C532="",D532="",E532="",F532="",H532=""),"",IF(NOT(ISNUMBER(B532)),"✗ 日期不是真日期",IF(OR(B532&lt;年初日,B532&gt;年末日),"✗ 日期不在本年度",IF(C532="","✗ 没选供应商",IF(COUNTIF(基础资料!$Q$5:$Q$54,C532)=0,"✗ 供应商不在基础资料里",IF(D532="","✗ 没选商品",IF(COUNTIF(基础资料!$E$5:$E$104,D532)=0,"✗ 商品不在商品档案里",IF(AND(E532="",H532=""),"✗ 没填数量",IF(AND(N(E532)&lt;&gt;0,F532=""),"✗ 没填进价","√")))))))))</f>
      </c>
    </row>
    <row r="533">
      <c r="A533" s="109">
        <f>IF(AND(C533="",D533=""),"",ROW()-3)</f>
      </c>
      <c r="B533" s="140" t="n"/>
      <c r="C533" s="141" t="n"/>
      <c r="D533" s="141" t="n"/>
      <c r="E533" s="148" t="n"/>
      <c r="F533" s="149" t="n"/>
      <c r="G533" s="150">
        <f>IF(AND(E533&lt;&gt;"",F533&lt;&gt;""),E533*F533,"")</f>
      </c>
      <c r="H533" s="148" t="n"/>
      <c r="I533" s="142" t="n"/>
      <c r="J533" s="146">
        <f>IF(AND(B533="",C533="",D533="",E533="",F533="",H533=""),"",IF(NOT(ISNUMBER(B533)),"✗ 日期不是真日期",IF(OR(B533&lt;年初日,B533&gt;年末日),"✗ 日期不在本年度",IF(C533="","✗ 没选供应商",IF(COUNTIF(基础资料!$Q$5:$Q$54,C533)=0,"✗ 供应商不在基础资料里",IF(D533="","✗ 没选商品",IF(COUNTIF(基础资料!$E$5:$E$104,D533)=0,"✗ 商品不在商品档案里",IF(AND(E533="",H533=""),"✗ 没填数量",IF(AND(N(E533)&lt;&gt;0,F533=""),"✗ 没填进价","√")))))))))</f>
      </c>
    </row>
    <row r="534">
      <c r="A534" s="109">
        <f>IF(AND(C534="",D534=""),"",ROW()-3)</f>
      </c>
      <c r="B534" s="140" t="n"/>
      <c r="C534" s="141" t="n"/>
      <c r="D534" s="141" t="n"/>
      <c r="E534" s="148" t="n"/>
      <c r="F534" s="149" t="n"/>
      <c r="G534" s="150">
        <f>IF(AND(E534&lt;&gt;"",F534&lt;&gt;""),E534*F534,"")</f>
      </c>
      <c r="H534" s="148" t="n"/>
      <c r="I534" s="142" t="n"/>
      <c r="J534" s="146">
        <f>IF(AND(B534="",C534="",D534="",E534="",F534="",H534=""),"",IF(NOT(ISNUMBER(B534)),"✗ 日期不是真日期",IF(OR(B534&lt;年初日,B534&gt;年末日),"✗ 日期不在本年度",IF(C534="","✗ 没选供应商",IF(COUNTIF(基础资料!$Q$5:$Q$54,C534)=0,"✗ 供应商不在基础资料里",IF(D534="","✗ 没选商品",IF(COUNTIF(基础资料!$E$5:$E$104,D534)=0,"✗ 商品不在商品档案里",IF(AND(E534="",H534=""),"✗ 没填数量",IF(AND(N(E534)&lt;&gt;0,F534=""),"✗ 没填进价","√")))))))))</f>
      </c>
    </row>
    <row r="535">
      <c r="A535" s="109">
        <f>IF(AND(C535="",D535=""),"",ROW()-3)</f>
      </c>
      <c r="B535" s="140" t="n"/>
      <c r="C535" s="141" t="n"/>
      <c r="D535" s="141" t="n"/>
      <c r="E535" s="148" t="n"/>
      <c r="F535" s="149" t="n"/>
      <c r="G535" s="150">
        <f>IF(AND(E535&lt;&gt;"",F535&lt;&gt;""),E535*F535,"")</f>
      </c>
      <c r="H535" s="148" t="n"/>
      <c r="I535" s="142" t="n"/>
      <c r="J535" s="146">
        <f>IF(AND(B535="",C535="",D535="",E535="",F535="",H535=""),"",IF(NOT(ISNUMBER(B535)),"✗ 日期不是真日期",IF(OR(B535&lt;年初日,B535&gt;年末日),"✗ 日期不在本年度",IF(C535="","✗ 没选供应商",IF(COUNTIF(基础资料!$Q$5:$Q$54,C535)=0,"✗ 供应商不在基础资料里",IF(D535="","✗ 没选商品",IF(COUNTIF(基础资料!$E$5:$E$104,D535)=0,"✗ 商品不在商品档案里",IF(AND(E535="",H535=""),"✗ 没填数量",IF(AND(N(E535)&lt;&gt;0,F535=""),"✗ 没填进价","√")))))))))</f>
      </c>
    </row>
    <row r="536">
      <c r="A536" s="109">
        <f>IF(AND(C536="",D536=""),"",ROW()-3)</f>
      </c>
      <c r="B536" s="140" t="n"/>
      <c r="C536" s="141" t="n"/>
      <c r="D536" s="141" t="n"/>
      <c r="E536" s="148" t="n"/>
      <c r="F536" s="149" t="n"/>
      <c r="G536" s="150">
        <f>IF(AND(E536&lt;&gt;"",F536&lt;&gt;""),E536*F536,"")</f>
      </c>
      <c r="H536" s="148" t="n"/>
      <c r="I536" s="142" t="n"/>
      <c r="J536" s="146">
        <f>IF(AND(B536="",C536="",D536="",E536="",F536="",H536=""),"",IF(NOT(ISNUMBER(B536)),"✗ 日期不是真日期",IF(OR(B536&lt;年初日,B536&gt;年末日),"✗ 日期不在本年度",IF(C536="","✗ 没选供应商",IF(COUNTIF(基础资料!$Q$5:$Q$54,C536)=0,"✗ 供应商不在基础资料里",IF(D536="","✗ 没选商品",IF(COUNTIF(基础资料!$E$5:$E$104,D536)=0,"✗ 商品不在商品档案里",IF(AND(E536="",H536=""),"✗ 没填数量",IF(AND(N(E536)&lt;&gt;0,F536=""),"✗ 没填进价","√")))))))))</f>
      </c>
    </row>
    <row r="537">
      <c r="A537" s="109">
        <f>IF(AND(C537="",D537=""),"",ROW()-3)</f>
      </c>
      <c r="B537" s="140" t="n"/>
      <c r="C537" s="141" t="n"/>
      <c r="D537" s="141" t="n"/>
      <c r="E537" s="148" t="n"/>
      <c r="F537" s="149" t="n"/>
      <c r="G537" s="150">
        <f>IF(AND(E537&lt;&gt;"",F537&lt;&gt;""),E537*F537,"")</f>
      </c>
      <c r="H537" s="148" t="n"/>
      <c r="I537" s="142" t="n"/>
      <c r="J537" s="146">
        <f>IF(AND(B537="",C537="",D537="",E537="",F537="",H537=""),"",IF(NOT(ISNUMBER(B537)),"✗ 日期不是真日期",IF(OR(B537&lt;年初日,B537&gt;年末日),"✗ 日期不在本年度",IF(C537="","✗ 没选供应商",IF(COUNTIF(基础资料!$Q$5:$Q$54,C537)=0,"✗ 供应商不在基础资料里",IF(D537="","✗ 没选商品",IF(COUNTIF(基础资料!$E$5:$E$104,D537)=0,"✗ 商品不在商品档案里",IF(AND(E537="",H537=""),"✗ 没填数量",IF(AND(N(E537)&lt;&gt;0,F537=""),"✗ 没填进价","√")))))))))</f>
      </c>
    </row>
    <row r="538">
      <c r="A538" s="109">
        <f>IF(AND(C538="",D538=""),"",ROW()-3)</f>
      </c>
      <c r="B538" s="140" t="n"/>
      <c r="C538" s="141" t="n"/>
      <c r="D538" s="141" t="n"/>
      <c r="E538" s="148" t="n"/>
      <c r="F538" s="149" t="n"/>
      <c r="G538" s="150">
        <f>IF(AND(E538&lt;&gt;"",F538&lt;&gt;""),E538*F538,"")</f>
      </c>
      <c r="H538" s="148" t="n"/>
      <c r="I538" s="142" t="n"/>
      <c r="J538" s="146">
        <f>IF(AND(B538="",C538="",D538="",E538="",F538="",H538=""),"",IF(NOT(ISNUMBER(B538)),"✗ 日期不是真日期",IF(OR(B538&lt;年初日,B538&gt;年末日),"✗ 日期不在本年度",IF(C538="","✗ 没选供应商",IF(COUNTIF(基础资料!$Q$5:$Q$54,C538)=0,"✗ 供应商不在基础资料里",IF(D538="","✗ 没选商品",IF(COUNTIF(基础资料!$E$5:$E$104,D538)=0,"✗ 商品不在商品档案里",IF(AND(E538="",H538=""),"✗ 没填数量",IF(AND(N(E538)&lt;&gt;0,F538=""),"✗ 没填进价","√")))))))))</f>
      </c>
    </row>
    <row r="539">
      <c r="A539" s="109">
        <f>IF(AND(C539="",D539=""),"",ROW()-3)</f>
      </c>
      <c r="B539" s="140" t="n"/>
      <c r="C539" s="141" t="n"/>
      <c r="D539" s="141" t="n"/>
      <c r="E539" s="148" t="n"/>
      <c r="F539" s="149" t="n"/>
      <c r="G539" s="150">
        <f>IF(AND(E539&lt;&gt;"",F539&lt;&gt;""),E539*F539,"")</f>
      </c>
      <c r="H539" s="148" t="n"/>
      <c r="I539" s="142" t="n"/>
      <c r="J539" s="146">
        <f>IF(AND(B539="",C539="",D539="",E539="",F539="",H539=""),"",IF(NOT(ISNUMBER(B539)),"✗ 日期不是真日期",IF(OR(B539&lt;年初日,B539&gt;年末日),"✗ 日期不在本年度",IF(C539="","✗ 没选供应商",IF(COUNTIF(基础资料!$Q$5:$Q$54,C539)=0,"✗ 供应商不在基础资料里",IF(D539="","✗ 没选商品",IF(COUNTIF(基础资料!$E$5:$E$104,D539)=0,"✗ 商品不在商品档案里",IF(AND(E539="",H539=""),"✗ 没填数量",IF(AND(N(E539)&lt;&gt;0,F539=""),"✗ 没填进价","√")))))))))</f>
      </c>
    </row>
    <row r="540">
      <c r="A540" s="109">
        <f>IF(AND(C540="",D540=""),"",ROW()-3)</f>
      </c>
      <c r="B540" s="140" t="n"/>
      <c r="C540" s="141" t="n"/>
      <c r="D540" s="141" t="n"/>
      <c r="E540" s="148" t="n"/>
      <c r="F540" s="149" t="n"/>
      <c r="G540" s="150">
        <f>IF(AND(E540&lt;&gt;"",F540&lt;&gt;""),E540*F540,"")</f>
      </c>
      <c r="H540" s="148" t="n"/>
      <c r="I540" s="142" t="n"/>
      <c r="J540" s="146">
        <f>IF(AND(B540="",C540="",D540="",E540="",F540="",H540=""),"",IF(NOT(ISNUMBER(B540)),"✗ 日期不是真日期",IF(OR(B540&lt;年初日,B540&gt;年末日),"✗ 日期不在本年度",IF(C540="","✗ 没选供应商",IF(COUNTIF(基础资料!$Q$5:$Q$54,C540)=0,"✗ 供应商不在基础资料里",IF(D540="","✗ 没选商品",IF(COUNTIF(基础资料!$E$5:$E$104,D540)=0,"✗ 商品不在商品档案里",IF(AND(E540="",H540=""),"✗ 没填数量",IF(AND(N(E540)&lt;&gt;0,F540=""),"✗ 没填进价","√")))))))))</f>
      </c>
    </row>
    <row r="541">
      <c r="A541" s="109">
        <f>IF(AND(C541="",D541=""),"",ROW()-3)</f>
      </c>
      <c r="B541" s="140" t="n"/>
      <c r="C541" s="141" t="n"/>
      <c r="D541" s="141" t="n"/>
      <c r="E541" s="148" t="n"/>
      <c r="F541" s="149" t="n"/>
      <c r="G541" s="150">
        <f>IF(AND(E541&lt;&gt;"",F541&lt;&gt;""),E541*F541,"")</f>
      </c>
      <c r="H541" s="148" t="n"/>
      <c r="I541" s="142" t="n"/>
      <c r="J541" s="146">
        <f>IF(AND(B541="",C541="",D541="",E541="",F541="",H541=""),"",IF(NOT(ISNUMBER(B541)),"✗ 日期不是真日期",IF(OR(B541&lt;年初日,B541&gt;年末日),"✗ 日期不在本年度",IF(C541="","✗ 没选供应商",IF(COUNTIF(基础资料!$Q$5:$Q$54,C541)=0,"✗ 供应商不在基础资料里",IF(D541="","✗ 没选商品",IF(COUNTIF(基础资料!$E$5:$E$104,D541)=0,"✗ 商品不在商品档案里",IF(AND(E541="",H541=""),"✗ 没填数量",IF(AND(N(E541)&lt;&gt;0,F541=""),"✗ 没填进价","√")))))))))</f>
      </c>
    </row>
    <row r="542">
      <c r="A542" s="109">
        <f>IF(AND(C542="",D542=""),"",ROW()-3)</f>
      </c>
      <c r="B542" s="140" t="n"/>
      <c r="C542" s="141" t="n"/>
      <c r="D542" s="141" t="n"/>
      <c r="E542" s="148" t="n"/>
      <c r="F542" s="149" t="n"/>
      <c r="G542" s="150">
        <f>IF(AND(E542&lt;&gt;"",F542&lt;&gt;""),E542*F542,"")</f>
      </c>
      <c r="H542" s="148" t="n"/>
      <c r="I542" s="142" t="n"/>
      <c r="J542" s="146">
        <f>IF(AND(B542="",C542="",D542="",E542="",F542="",H542=""),"",IF(NOT(ISNUMBER(B542)),"✗ 日期不是真日期",IF(OR(B542&lt;年初日,B542&gt;年末日),"✗ 日期不在本年度",IF(C542="","✗ 没选供应商",IF(COUNTIF(基础资料!$Q$5:$Q$54,C542)=0,"✗ 供应商不在基础资料里",IF(D542="","✗ 没选商品",IF(COUNTIF(基础资料!$E$5:$E$104,D542)=0,"✗ 商品不在商品档案里",IF(AND(E542="",H542=""),"✗ 没填数量",IF(AND(N(E542)&lt;&gt;0,F542=""),"✗ 没填进价","√")))))))))</f>
      </c>
    </row>
    <row r="543">
      <c r="A543" s="109">
        <f>IF(AND(C543="",D543=""),"",ROW()-3)</f>
      </c>
      <c r="B543" s="140" t="n"/>
      <c r="C543" s="141" t="n"/>
      <c r="D543" s="141" t="n"/>
      <c r="E543" s="148" t="n"/>
      <c r="F543" s="149" t="n"/>
      <c r="G543" s="150">
        <f>IF(AND(E543&lt;&gt;"",F543&lt;&gt;""),E543*F543,"")</f>
      </c>
      <c r="H543" s="148" t="n"/>
      <c r="I543" s="142" t="n"/>
      <c r="J543" s="146">
        <f>IF(AND(B543="",C543="",D543="",E543="",F543="",H543=""),"",IF(NOT(ISNUMBER(B543)),"✗ 日期不是真日期",IF(OR(B543&lt;年初日,B543&gt;年末日),"✗ 日期不在本年度",IF(C543="","✗ 没选供应商",IF(COUNTIF(基础资料!$Q$5:$Q$54,C543)=0,"✗ 供应商不在基础资料里",IF(D543="","✗ 没选商品",IF(COUNTIF(基础资料!$E$5:$E$104,D543)=0,"✗ 商品不在商品档案里",IF(AND(E543="",H543=""),"✗ 没填数量",IF(AND(N(E543)&lt;&gt;0,F543=""),"✗ 没填进价","√")))))))))</f>
      </c>
    </row>
    <row r="544">
      <c r="A544" s="109">
        <f>IF(AND(C544="",D544=""),"",ROW()-3)</f>
      </c>
      <c r="B544" s="140" t="n"/>
      <c r="C544" s="141" t="n"/>
      <c r="D544" s="141" t="n"/>
      <c r="E544" s="148" t="n"/>
      <c r="F544" s="149" t="n"/>
      <c r="G544" s="150">
        <f>IF(AND(E544&lt;&gt;"",F544&lt;&gt;""),E544*F544,"")</f>
      </c>
      <c r="H544" s="148" t="n"/>
      <c r="I544" s="142" t="n"/>
      <c r="J544" s="146">
        <f>IF(AND(B544="",C544="",D544="",E544="",F544="",H544=""),"",IF(NOT(ISNUMBER(B544)),"✗ 日期不是真日期",IF(OR(B544&lt;年初日,B544&gt;年末日),"✗ 日期不在本年度",IF(C544="","✗ 没选供应商",IF(COUNTIF(基础资料!$Q$5:$Q$54,C544)=0,"✗ 供应商不在基础资料里",IF(D544="","✗ 没选商品",IF(COUNTIF(基础资料!$E$5:$E$104,D544)=0,"✗ 商品不在商品档案里",IF(AND(E544="",H544=""),"✗ 没填数量",IF(AND(N(E544)&lt;&gt;0,F544=""),"✗ 没填进价","√")))))))))</f>
      </c>
    </row>
    <row r="545">
      <c r="A545" s="109">
        <f>IF(AND(C545="",D545=""),"",ROW()-3)</f>
      </c>
      <c r="B545" s="140" t="n"/>
      <c r="C545" s="141" t="n"/>
      <c r="D545" s="141" t="n"/>
      <c r="E545" s="148" t="n"/>
      <c r="F545" s="149" t="n"/>
      <c r="G545" s="150">
        <f>IF(AND(E545&lt;&gt;"",F545&lt;&gt;""),E545*F545,"")</f>
      </c>
      <c r="H545" s="148" t="n"/>
      <c r="I545" s="142" t="n"/>
      <c r="J545" s="146">
        <f>IF(AND(B545="",C545="",D545="",E545="",F545="",H545=""),"",IF(NOT(ISNUMBER(B545)),"✗ 日期不是真日期",IF(OR(B545&lt;年初日,B545&gt;年末日),"✗ 日期不在本年度",IF(C545="","✗ 没选供应商",IF(COUNTIF(基础资料!$Q$5:$Q$54,C545)=0,"✗ 供应商不在基础资料里",IF(D545="","✗ 没选商品",IF(COUNTIF(基础资料!$E$5:$E$104,D545)=0,"✗ 商品不在商品档案里",IF(AND(E545="",H545=""),"✗ 没填数量",IF(AND(N(E545)&lt;&gt;0,F545=""),"✗ 没填进价","√")))))))))</f>
      </c>
    </row>
    <row r="546">
      <c r="A546" s="109">
        <f>IF(AND(C546="",D546=""),"",ROW()-3)</f>
      </c>
      <c r="B546" s="140" t="n"/>
      <c r="C546" s="141" t="n"/>
      <c r="D546" s="141" t="n"/>
      <c r="E546" s="148" t="n"/>
      <c r="F546" s="149" t="n"/>
      <c r="G546" s="150">
        <f>IF(AND(E546&lt;&gt;"",F546&lt;&gt;""),E546*F546,"")</f>
      </c>
      <c r="H546" s="148" t="n"/>
      <c r="I546" s="142" t="n"/>
      <c r="J546" s="146">
        <f>IF(AND(B546="",C546="",D546="",E546="",F546="",H546=""),"",IF(NOT(ISNUMBER(B546)),"✗ 日期不是真日期",IF(OR(B546&lt;年初日,B546&gt;年末日),"✗ 日期不在本年度",IF(C546="","✗ 没选供应商",IF(COUNTIF(基础资料!$Q$5:$Q$54,C546)=0,"✗ 供应商不在基础资料里",IF(D546="","✗ 没选商品",IF(COUNTIF(基础资料!$E$5:$E$104,D546)=0,"✗ 商品不在商品档案里",IF(AND(E546="",H546=""),"✗ 没填数量",IF(AND(N(E546)&lt;&gt;0,F546=""),"✗ 没填进价","√")))))))))</f>
      </c>
    </row>
    <row r="547">
      <c r="A547" s="109">
        <f>IF(AND(C547="",D547=""),"",ROW()-3)</f>
      </c>
      <c r="B547" s="140" t="n"/>
      <c r="C547" s="141" t="n"/>
      <c r="D547" s="141" t="n"/>
      <c r="E547" s="148" t="n"/>
      <c r="F547" s="149" t="n"/>
      <c r="G547" s="150">
        <f>IF(AND(E547&lt;&gt;"",F547&lt;&gt;""),E547*F547,"")</f>
      </c>
      <c r="H547" s="148" t="n"/>
      <c r="I547" s="142" t="n"/>
      <c r="J547" s="146">
        <f>IF(AND(B547="",C547="",D547="",E547="",F547="",H547=""),"",IF(NOT(ISNUMBER(B547)),"✗ 日期不是真日期",IF(OR(B547&lt;年初日,B547&gt;年末日),"✗ 日期不在本年度",IF(C547="","✗ 没选供应商",IF(COUNTIF(基础资料!$Q$5:$Q$54,C547)=0,"✗ 供应商不在基础资料里",IF(D547="","✗ 没选商品",IF(COUNTIF(基础资料!$E$5:$E$104,D547)=0,"✗ 商品不在商品档案里",IF(AND(E547="",H547=""),"✗ 没填数量",IF(AND(N(E547)&lt;&gt;0,F547=""),"✗ 没填进价","√")))))))))</f>
      </c>
    </row>
    <row r="548">
      <c r="A548" s="109">
        <f>IF(AND(C548="",D548=""),"",ROW()-3)</f>
      </c>
      <c r="B548" s="140" t="n"/>
      <c r="C548" s="141" t="n"/>
      <c r="D548" s="141" t="n"/>
      <c r="E548" s="148" t="n"/>
      <c r="F548" s="149" t="n"/>
      <c r="G548" s="150">
        <f>IF(AND(E548&lt;&gt;"",F548&lt;&gt;""),E548*F548,"")</f>
      </c>
      <c r="H548" s="148" t="n"/>
      <c r="I548" s="142" t="n"/>
      <c r="J548" s="146">
        <f>IF(AND(B548="",C548="",D548="",E548="",F548="",H548=""),"",IF(NOT(ISNUMBER(B548)),"✗ 日期不是真日期",IF(OR(B548&lt;年初日,B548&gt;年末日),"✗ 日期不在本年度",IF(C548="","✗ 没选供应商",IF(COUNTIF(基础资料!$Q$5:$Q$54,C548)=0,"✗ 供应商不在基础资料里",IF(D548="","✗ 没选商品",IF(COUNTIF(基础资料!$E$5:$E$104,D548)=0,"✗ 商品不在商品档案里",IF(AND(E548="",H548=""),"✗ 没填数量",IF(AND(N(E548)&lt;&gt;0,F548=""),"✗ 没填进价","√")))))))))</f>
      </c>
    </row>
    <row r="549">
      <c r="A549" s="109">
        <f>IF(AND(C549="",D549=""),"",ROW()-3)</f>
      </c>
      <c r="B549" s="140" t="n"/>
      <c r="C549" s="141" t="n"/>
      <c r="D549" s="141" t="n"/>
      <c r="E549" s="148" t="n"/>
      <c r="F549" s="149" t="n"/>
      <c r="G549" s="150">
        <f>IF(AND(E549&lt;&gt;"",F549&lt;&gt;""),E549*F549,"")</f>
      </c>
      <c r="H549" s="148" t="n"/>
      <c r="I549" s="142" t="n"/>
      <c r="J549" s="146">
        <f>IF(AND(B549="",C549="",D549="",E549="",F549="",H549=""),"",IF(NOT(ISNUMBER(B549)),"✗ 日期不是真日期",IF(OR(B549&lt;年初日,B549&gt;年末日),"✗ 日期不在本年度",IF(C549="","✗ 没选供应商",IF(COUNTIF(基础资料!$Q$5:$Q$54,C549)=0,"✗ 供应商不在基础资料里",IF(D549="","✗ 没选商品",IF(COUNTIF(基础资料!$E$5:$E$104,D549)=0,"✗ 商品不在商品档案里",IF(AND(E549="",H549=""),"✗ 没填数量",IF(AND(N(E549)&lt;&gt;0,F549=""),"✗ 没填进价","√")))))))))</f>
      </c>
    </row>
    <row r="550">
      <c r="A550" s="109">
        <f>IF(AND(C550="",D550=""),"",ROW()-3)</f>
      </c>
      <c r="B550" s="140" t="n"/>
      <c r="C550" s="141" t="n"/>
      <c r="D550" s="141" t="n"/>
      <c r="E550" s="148" t="n"/>
      <c r="F550" s="149" t="n"/>
      <c r="G550" s="150">
        <f>IF(AND(E550&lt;&gt;"",F550&lt;&gt;""),E550*F550,"")</f>
      </c>
      <c r="H550" s="148" t="n"/>
      <c r="I550" s="142" t="n"/>
      <c r="J550" s="146">
        <f>IF(AND(B550="",C550="",D550="",E550="",F550="",H550=""),"",IF(NOT(ISNUMBER(B550)),"✗ 日期不是真日期",IF(OR(B550&lt;年初日,B550&gt;年末日),"✗ 日期不在本年度",IF(C550="","✗ 没选供应商",IF(COUNTIF(基础资料!$Q$5:$Q$54,C550)=0,"✗ 供应商不在基础资料里",IF(D550="","✗ 没选商品",IF(COUNTIF(基础资料!$E$5:$E$104,D550)=0,"✗ 商品不在商品档案里",IF(AND(E550="",H550=""),"✗ 没填数量",IF(AND(N(E550)&lt;&gt;0,F550=""),"✗ 没填进价","√")))))))))</f>
      </c>
    </row>
    <row r="551">
      <c r="A551" s="109">
        <f>IF(AND(C551="",D551=""),"",ROW()-3)</f>
      </c>
      <c r="B551" s="140" t="n"/>
      <c r="C551" s="141" t="n"/>
      <c r="D551" s="141" t="n"/>
      <c r="E551" s="148" t="n"/>
      <c r="F551" s="149" t="n"/>
      <c r="G551" s="150">
        <f>IF(AND(E551&lt;&gt;"",F551&lt;&gt;""),E551*F551,"")</f>
      </c>
      <c r="H551" s="148" t="n"/>
      <c r="I551" s="142" t="n"/>
      <c r="J551" s="146">
        <f>IF(AND(B551="",C551="",D551="",E551="",F551="",H551=""),"",IF(NOT(ISNUMBER(B551)),"✗ 日期不是真日期",IF(OR(B551&lt;年初日,B551&gt;年末日),"✗ 日期不在本年度",IF(C551="","✗ 没选供应商",IF(COUNTIF(基础资料!$Q$5:$Q$54,C551)=0,"✗ 供应商不在基础资料里",IF(D551="","✗ 没选商品",IF(COUNTIF(基础资料!$E$5:$E$104,D551)=0,"✗ 商品不在商品档案里",IF(AND(E551="",H551=""),"✗ 没填数量",IF(AND(N(E551)&lt;&gt;0,F551=""),"✗ 没填进价","√")))))))))</f>
      </c>
    </row>
    <row r="552">
      <c r="A552" s="109">
        <f>IF(AND(C552="",D552=""),"",ROW()-3)</f>
      </c>
      <c r="B552" s="140" t="n"/>
      <c r="C552" s="141" t="n"/>
      <c r="D552" s="141" t="n"/>
      <c r="E552" s="148" t="n"/>
      <c r="F552" s="149" t="n"/>
      <c r="G552" s="150">
        <f>IF(AND(E552&lt;&gt;"",F552&lt;&gt;""),E552*F552,"")</f>
      </c>
      <c r="H552" s="148" t="n"/>
      <c r="I552" s="142" t="n"/>
      <c r="J552" s="146">
        <f>IF(AND(B552="",C552="",D552="",E552="",F552="",H552=""),"",IF(NOT(ISNUMBER(B552)),"✗ 日期不是真日期",IF(OR(B552&lt;年初日,B552&gt;年末日),"✗ 日期不在本年度",IF(C552="","✗ 没选供应商",IF(COUNTIF(基础资料!$Q$5:$Q$54,C552)=0,"✗ 供应商不在基础资料里",IF(D552="","✗ 没选商品",IF(COUNTIF(基础资料!$E$5:$E$104,D552)=0,"✗ 商品不在商品档案里",IF(AND(E552="",H552=""),"✗ 没填数量",IF(AND(N(E552)&lt;&gt;0,F552=""),"✗ 没填进价","√")))))))))</f>
      </c>
    </row>
    <row r="553">
      <c r="A553" s="109">
        <f>IF(AND(C553="",D553=""),"",ROW()-3)</f>
      </c>
      <c r="B553" s="140" t="n"/>
      <c r="C553" s="141" t="n"/>
      <c r="D553" s="141" t="n"/>
      <c r="E553" s="148" t="n"/>
      <c r="F553" s="149" t="n"/>
      <c r="G553" s="150">
        <f>IF(AND(E553&lt;&gt;"",F553&lt;&gt;""),E553*F553,"")</f>
      </c>
      <c r="H553" s="148" t="n"/>
      <c r="I553" s="142" t="n"/>
      <c r="J553" s="146">
        <f>IF(AND(B553="",C553="",D553="",E553="",F553="",H553=""),"",IF(NOT(ISNUMBER(B553)),"✗ 日期不是真日期",IF(OR(B553&lt;年初日,B553&gt;年末日),"✗ 日期不在本年度",IF(C553="","✗ 没选供应商",IF(COUNTIF(基础资料!$Q$5:$Q$54,C553)=0,"✗ 供应商不在基础资料里",IF(D553="","✗ 没选商品",IF(COUNTIF(基础资料!$E$5:$E$104,D553)=0,"✗ 商品不在商品档案里",IF(AND(E553="",H553=""),"✗ 没填数量",IF(AND(N(E553)&lt;&gt;0,F553=""),"✗ 没填进价","√")))))))))</f>
      </c>
    </row>
    <row r="554">
      <c r="A554" s="109">
        <f>IF(AND(C554="",D554=""),"",ROW()-3)</f>
      </c>
      <c r="B554" s="140" t="n"/>
      <c r="C554" s="141" t="n"/>
      <c r="D554" s="141" t="n"/>
      <c r="E554" s="148" t="n"/>
      <c r="F554" s="149" t="n"/>
      <c r="G554" s="150">
        <f>IF(AND(E554&lt;&gt;"",F554&lt;&gt;""),E554*F554,"")</f>
      </c>
      <c r="H554" s="148" t="n"/>
      <c r="I554" s="142" t="n"/>
      <c r="J554" s="146">
        <f>IF(AND(B554="",C554="",D554="",E554="",F554="",H554=""),"",IF(NOT(ISNUMBER(B554)),"✗ 日期不是真日期",IF(OR(B554&lt;年初日,B554&gt;年末日),"✗ 日期不在本年度",IF(C554="","✗ 没选供应商",IF(COUNTIF(基础资料!$Q$5:$Q$54,C554)=0,"✗ 供应商不在基础资料里",IF(D554="","✗ 没选商品",IF(COUNTIF(基础资料!$E$5:$E$104,D554)=0,"✗ 商品不在商品档案里",IF(AND(E554="",H554=""),"✗ 没填数量",IF(AND(N(E554)&lt;&gt;0,F554=""),"✗ 没填进价","√")))))))))</f>
      </c>
    </row>
    <row r="555">
      <c r="A555" s="109">
        <f>IF(AND(C555="",D555=""),"",ROW()-3)</f>
      </c>
      <c r="B555" s="140" t="n"/>
      <c r="C555" s="141" t="n"/>
      <c r="D555" s="141" t="n"/>
      <c r="E555" s="148" t="n"/>
      <c r="F555" s="149" t="n"/>
      <c r="G555" s="150">
        <f>IF(AND(E555&lt;&gt;"",F555&lt;&gt;""),E555*F555,"")</f>
      </c>
      <c r="H555" s="148" t="n"/>
      <c r="I555" s="142" t="n"/>
      <c r="J555" s="146">
        <f>IF(AND(B555="",C555="",D555="",E555="",F555="",H555=""),"",IF(NOT(ISNUMBER(B555)),"✗ 日期不是真日期",IF(OR(B555&lt;年初日,B555&gt;年末日),"✗ 日期不在本年度",IF(C555="","✗ 没选供应商",IF(COUNTIF(基础资料!$Q$5:$Q$54,C555)=0,"✗ 供应商不在基础资料里",IF(D555="","✗ 没选商品",IF(COUNTIF(基础资料!$E$5:$E$104,D555)=0,"✗ 商品不在商品档案里",IF(AND(E555="",H555=""),"✗ 没填数量",IF(AND(N(E555)&lt;&gt;0,F555=""),"✗ 没填进价","√")))))))))</f>
      </c>
    </row>
    <row r="556">
      <c r="A556" s="109">
        <f>IF(AND(C556="",D556=""),"",ROW()-3)</f>
      </c>
      <c r="B556" s="140" t="n"/>
      <c r="C556" s="141" t="n"/>
      <c r="D556" s="141" t="n"/>
      <c r="E556" s="148" t="n"/>
      <c r="F556" s="149" t="n"/>
      <c r="G556" s="150">
        <f>IF(AND(E556&lt;&gt;"",F556&lt;&gt;""),E556*F556,"")</f>
      </c>
      <c r="H556" s="148" t="n"/>
      <c r="I556" s="142" t="n"/>
      <c r="J556" s="146">
        <f>IF(AND(B556="",C556="",D556="",E556="",F556="",H556=""),"",IF(NOT(ISNUMBER(B556)),"✗ 日期不是真日期",IF(OR(B556&lt;年初日,B556&gt;年末日),"✗ 日期不在本年度",IF(C556="","✗ 没选供应商",IF(COUNTIF(基础资料!$Q$5:$Q$54,C556)=0,"✗ 供应商不在基础资料里",IF(D556="","✗ 没选商品",IF(COUNTIF(基础资料!$E$5:$E$104,D556)=0,"✗ 商品不在商品档案里",IF(AND(E556="",H556=""),"✗ 没填数量",IF(AND(N(E556)&lt;&gt;0,F556=""),"✗ 没填进价","√")))))))))</f>
      </c>
    </row>
    <row r="557">
      <c r="A557" s="109">
        <f>IF(AND(C557="",D557=""),"",ROW()-3)</f>
      </c>
      <c r="B557" s="140" t="n"/>
      <c r="C557" s="141" t="n"/>
      <c r="D557" s="141" t="n"/>
      <c r="E557" s="148" t="n"/>
      <c r="F557" s="149" t="n"/>
      <c r="G557" s="150">
        <f>IF(AND(E557&lt;&gt;"",F557&lt;&gt;""),E557*F557,"")</f>
      </c>
      <c r="H557" s="148" t="n"/>
      <c r="I557" s="142" t="n"/>
      <c r="J557" s="146">
        <f>IF(AND(B557="",C557="",D557="",E557="",F557="",H557=""),"",IF(NOT(ISNUMBER(B557)),"✗ 日期不是真日期",IF(OR(B557&lt;年初日,B557&gt;年末日),"✗ 日期不在本年度",IF(C557="","✗ 没选供应商",IF(COUNTIF(基础资料!$Q$5:$Q$54,C557)=0,"✗ 供应商不在基础资料里",IF(D557="","✗ 没选商品",IF(COUNTIF(基础资料!$E$5:$E$104,D557)=0,"✗ 商品不在商品档案里",IF(AND(E557="",H557=""),"✗ 没填数量",IF(AND(N(E557)&lt;&gt;0,F557=""),"✗ 没填进价","√")))))))))</f>
      </c>
    </row>
    <row r="558">
      <c r="A558" s="109">
        <f>IF(AND(C558="",D558=""),"",ROW()-3)</f>
      </c>
      <c r="B558" s="140" t="n"/>
      <c r="C558" s="141" t="n"/>
      <c r="D558" s="141" t="n"/>
      <c r="E558" s="148" t="n"/>
      <c r="F558" s="149" t="n"/>
      <c r="G558" s="150">
        <f>IF(AND(E558&lt;&gt;"",F558&lt;&gt;""),E558*F558,"")</f>
      </c>
      <c r="H558" s="148" t="n"/>
      <c r="I558" s="142" t="n"/>
      <c r="J558" s="146">
        <f>IF(AND(B558="",C558="",D558="",E558="",F558="",H558=""),"",IF(NOT(ISNUMBER(B558)),"✗ 日期不是真日期",IF(OR(B558&lt;年初日,B558&gt;年末日),"✗ 日期不在本年度",IF(C558="","✗ 没选供应商",IF(COUNTIF(基础资料!$Q$5:$Q$54,C558)=0,"✗ 供应商不在基础资料里",IF(D558="","✗ 没选商品",IF(COUNTIF(基础资料!$E$5:$E$104,D558)=0,"✗ 商品不在商品档案里",IF(AND(E558="",H558=""),"✗ 没填数量",IF(AND(N(E558)&lt;&gt;0,F558=""),"✗ 没填进价","√")))))))))</f>
      </c>
    </row>
    <row r="559">
      <c r="A559" s="109">
        <f>IF(AND(C559="",D559=""),"",ROW()-3)</f>
      </c>
      <c r="B559" s="140" t="n"/>
      <c r="C559" s="141" t="n"/>
      <c r="D559" s="141" t="n"/>
      <c r="E559" s="148" t="n"/>
      <c r="F559" s="149" t="n"/>
      <c r="G559" s="150">
        <f>IF(AND(E559&lt;&gt;"",F559&lt;&gt;""),E559*F559,"")</f>
      </c>
      <c r="H559" s="148" t="n"/>
      <c r="I559" s="142" t="n"/>
      <c r="J559" s="146">
        <f>IF(AND(B559="",C559="",D559="",E559="",F559="",H559=""),"",IF(NOT(ISNUMBER(B559)),"✗ 日期不是真日期",IF(OR(B559&lt;年初日,B559&gt;年末日),"✗ 日期不在本年度",IF(C559="","✗ 没选供应商",IF(COUNTIF(基础资料!$Q$5:$Q$54,C559)=0,"✗ 供应商不在基础资料里",IF(D559="","✗ 没选商品",IF(COUNTIF(基础资料!$E$5:$E$104,D559)=0,"✗ 商品不在商品档案里",IF(AND(E559="",H559=""),"✗ 没填数量",IF(AND(N(E559)&lt;&gt;0,F559=""),"✗ 没填进价","√")))))))))</f>
      </c>
    </row>
    <row r="560">
      <c r="A560" s="109">
        <f>IF(AND(C560="",D560=""),"",ROW()-3)</f>
      </c>
      <c r="B560" s="140" t="n"/>
      <c r="C560" s="141" t="n"/>
      <c r="D560" s="141" t="n"/>
      <c r="E560" s="148" t="n"/>
      <c r="F560" s="149" t="n"/>
      <c r="G560" s="150">
        <f>IF(AND(E560&lt;&gt;"",F560&lt;&gt;""),E560*F560,"")</f>
      </c>
      <c r="H560" s="148" t="n"/>
      <c r="I560" s="142" t="n"/>
      <c r="J560" s="146">
        <f>IF(AND(B560="",C560="",D560="",E560="",F560="",H560=""),"",IF(NOT(ISNUMBER(B560)),"✗ 日期不是真日期",IF(OR(B560&lt;年初日,B560&gt;年末日),"✗ 日期不在本年度",IF(C560="","✗ 没选供应商",IF(COUNTIF(基础资料!$Q$5:$Q$54,C560)=0,"✗ 供应商不在基础资料里",IF(D560="","✗ 没选商品",IF(COUNTIF(基础资料!$E$5:$E$104,D560)=0,"✗ 商品不在商品档案里",IF(AND(E560="",H560=""),"✗ 没填数量",IF(AND(N(E560)&lt;&gt;0,F560=""),"✗ 没填进价","√")))))))))</f>
      </c>
    </row>
    <row r="561">
      <c r="A561" s="109">
        <f>IF(AND(C561="",D561=""),"",ROW()-3)</f>
      </c>
      <c r="B561" s="140" t="n"/>
      <c r="C561" s="141" t="n"/>
      <c r="D561" s="141" t="n"/>
      <c r="E561" s="148" t="n"/>
      <c r="F561" s="149" t="n"/>
      <c r="G561" s="150">
        <f>IF(AND(E561&lt;&gt;"",F561&lt;&gt;""),E561*F561,"")</f>
      </c>
      <c r="H561" s="148" t="n"/>
      <c r="I561" s="142" t="n"/>
      <c r="J561" s="146">
        <f>IF(AND(B561="",C561="",D561="",E561="",F561="",H561=""),"",IF(NOT(ISNUMBER(B561)),"✗ 日期不是真日期",IF(OR(B561&lt;年初日,B561&gt;年末日),"✗ 日期不在本年度",IF(C561="","✗ 没选供应商",IF(COUNTIF(基础资料!$Q$5:$Q$54,C561)=0,"✗ 供应商不在基础资料里",IF(D561="","✗ 没选商品",IF(COUNTIF(基础资料!$E$5:$E$104,D561)=0,"✗ 商品不在商品档案里",IF(AND(E561="",H561=""),"✗ 没填数量",IF(AND(N(E561)&lt;&gt;0,F561=""),"✗ 没填进价","√")))))))))</f>
      </c>
    </row>
    <row r="562">
      <c r="A562" s="109">
        <f>IF(AND(C562="",D562=""),"",ROW()-3)</f>
      </c>
      <c r="B562" s="140" t="n"/>
      <c r="C562" s="141" t="n"/>
      <c r="D562" s="141" t="n"/>
      <c r="E562" s="148" t="n"/>
      <c r="F562" s="149" t="n"/>
      <c r="G562" s="150">
        <f>IF(AND(E562&lt;&gt;"",F562&lt;&gt;""),E562*F562,"")</f>
      </c>
      <c r="H562" s="148" t="n"/>
      <c r="I562" s="142" t="n"/>
      <c r="J562" s="146">
        <f>IF(AND(B562="",C562="",D562="",E562="",F562="",H562=""),"",IF(NOT(ISNUMBER(B562)),"✗ 日期不是真日期",IF(OR(B562&lt;年初日,B562&gt;年末日),"✗ 日期不在本年度",IF(C562="","✗ 没选供应商",IF(COUNTIF(基础资料!$Q$5:$Q$54,C562)=0,"✗ 供应商不在基础资料里",IF(D562="","✗ 没选商品",IF(COUNTIF(基础资料!$E$5:$E$104,D562)=0,"✗ 商品不在商品档案里",IF(AND(E562="",H562=""),"✗ 没填数量",IF(AND(N(E562)&lt;&gt;0,F562=""),"✗ 没填进价","√")))))))))</f>
      </c>
    </row>
    <row r="563">
      <c r="A563" s="109">
        <f>IF(AND(C563="",D563=""),"",ROW()-3)</f>
      </c>
      <c r="B563" s="140" t="n"/>
      <c r="C563" s="141" t="n"/>
      <c r="D563" s="141" t="n"/>
      <c r="E563" s="148" t="n"/>
      <c r="F563" s="149" t="n"/>
      <c r="G563" s="150">
        <f>IF(AND(E563&lt;&gt;"",F563&lt;&gt;""),E563*F563,"")</f>
      </c>
      <c r="H563" s="148" t="n"/>
      <c r="I563" s="142" t="n"/>
      <c r="J563" s="146">
        <f>IF(AND(B563="",C563="",D563="",E563="",F563="",H563=""),"",IF(NOT(ISNUMBER(B563)),"✗ 日期不是真日期",IF(OR(B563&lt;年初日,B563&gt;年末日),"✗ 日期不在本年度",IF(C563="","✗ 没选供应商",IF(COUNTIF(基础资料!$Q$5:$Q$54,C563)=0,"✗ 供应商不在基础资料里",IF(D563="","✗ 没选商品",IF(COUNTIF(基础资料!$E$5:$E$104,D563)=0,"✗ 商品不在商品档案里",IF(AND(E563="",H563=""),"✗ 没填数量",IF(AND(N(E563)&lt;&gt;0,F563=""),"✗ 没填进价","√")))))))))</f>
      </c>
    </row>
    <row r="564">
      <c r="A564" s="109">
        <f>IF(AND(C564="",D564=""),"",ROW()-3)</f>
      </c>
      <c r="B564" s="140" t="n"/>
      <c r="C564" s="141" t="n"/>
      <c r="D564" s="141" t="n"/>
      <c r="E564" s="148" t="n"/>
      <c r="F564" s="149" t="n"/>
      <c r="G564" s="150">
        <f>IF(AND(E564&lt;&gt;"",F564&lt;&gt;""),E564*F564,"")</f>
      </c>
      <c r="H564" s="148" t="n"/>
      <c r="I564" s="142" t="n"/>
      <c r="J564" s="146">
        <f>IF(AND(B564="",C564="",D564="",E564="",F564="",H564=""),"",IF(NOT(ISNUMBER(B564)),"✗ 日期不是真日期",IF(OR(B564&lt;年初日,B564&gt;年末日),"✗ 日期不在本年度",IF(C564="","✗ 没选供应商",IF(COUNTIF(基础资料!$Q$5:$Q$54,C564)=0,"✗ 供应商不在基础资料里",IF(D564="","✗ 没选商品",IF(COUNTIF(基础资料!$E$5:$E$104,D564)=0,"✗ 商品不在商品档案里",IF(AND(E564="",H564=""),"✗ 没填数量",IF(AND(N(E564)&lt;&gt;0,F564=""),"✗ 没填进价","√")))))))))</f>
      </c>
    </row>
    <row r="565">
      <c r="A565" s="109">
        <f>IF(AND(C565="",D565=""),"",ROW()-3)</f>
      </c>
      <c r="B565" s="140" t="n"/>
      <c r="C565" s="141" t="n"/>
      <c r="D565" s="141" t="n"/>
      <c r="E565" s="148" t="n"/>
      <c r="F565" s="149" t="n"/>
      <c r="G565" s="150">
        <f>IF(AND(E565&lt;&gt;"",F565&lt;&gt;""),E565*F565,"")</f>
      </c>
      <c r="H565" s="148" t="n"/>
      <c r="I565" s="142" t="n"/>
      <c r="J565" s="146">
        <f>IF(AND(B565="",C565="",D565="",E565="",F565="",H565=""),"",IF(NOT(ISNUMBER(B565)),"✗ 日期不是真日期",IF(OR(B565&lt;年初日,B565&gt;年末日),"✗ 日期不在本年度",IF(C565="","✗ 没选供应商",IF(COUNTIF(基础资料!$Q$5:$Q$54,C565)=0,"✗ 供应商不在基础资料里",IF(D565="","✗ 没选商品",IF(COUNTIF(基础资料!$E$5:$E$104,D565)=0,"✗ 商品不在商品档案里",IF(AND(E565="",H565=""),"✗ 没填数量",IF(AND(N(E565)&lt;&gt;0,F565=""),"✗ 没填进价","√")))))))))</f>
      </c>
    </row>
    <row r="566">
      <c r="A566" s="109">
        <f>IF(AND(C566="",D566=""),"",ROW()-3)</f>
      </c>
      <c r="B566" s="140" t="n"/>
      <c r="C566" s="141" t="n"/>
      <c r="D566" s="141" t="n"/>
      <c r="E566" s="148" t="n"/>
      <c r="F566" s="149" t="n"/>
      <c r="G566" s="150">
        <f>IF(AND(E566&lt;&gt;"",F566&lt;&gt;""),E566*F566,"")</f>
      </c>
      <c r="H566" s="148" t="n"/>
      <c r="I566" s="142" t="n"/>
      <c r="J566" s="146">
        <f>IF(AND(B566="",C566="",D566="",E566="",F566="",H566=""),"",IF(NOT(ISNUMBER(B566)),"✗ 日期不是真日期",IF(OR(B566&lt;年初日,B566&gt;年末日),"✗ 日期不在本年度",IF(C566="","✗ 没选供应商",IF(COUNTIF(基础资料!$Q$5:$Q$54,C566)=0,"✗ 供应商不在基础资料里",IF(D566="","✗ 没选商品",IF(COUNTIF(基础资料!$E$5:$E$104,D566)=0,"✗ 商品不在商品档案里",IF(AND(E566="",H566=""),"✗ 没填数量",IF(AND(N(E566)&lt;&gt;0,F566=""),"✗ 没填进价","√")))))))))</f>
      </c>
    </row>
    <row r="567">
      <c r="A567" s="109">
        <f>IF(AND(C567="",D567=""),"",ROW()-3)</f>
      </c>
      <c r="B567" s="140" t="n"/>
      <c r="C567" s="141" t="n"/>
      <c r="D567" s="141" t="n"/>
      <c r="E567" s="148" t="n"/>
      <c r="F567" s="149" t="n"/>
      <c r="G567" s="150">
        <f>IF(AND(E567&lt;&gt;"",F567&lt;&gt;""),E567*F567,"")</f>
      </c>
      <c r="H567" s="148" t="n"/>
      <c r="I567" s="142" t="n"/>
      <c r="J567" s="146">
        <f>IF(AND(B567="",C567="",D567="",E567="",F567="",H567=""),"",IF(NOT(ISNUMBER(B567)),"✗ 日期不是真日期",IF(OR(B567&lt;年初日,B567&gt;年末日),"✗ 日期不在本年度",IF(C567="","✗ 没选供应商",IF(COUNTIF(基础资料!$Q$5:$Q$54,C567)=0,"✗ 供应商不在基础资料里",IF(D567="","✗ 没选商品",IF(COUNTIF(基础资料!$E$5:$E$104,D567)=0,"✗ 商品不在商品档案里",IF(AND(E567="",H567=""),"✗ 没填数量",IF(AND(N(E567)&lt;&gt;0,F567=""),"✗ 没填进价","√")))))))))</f>
      </c>
    </row>
    <row r="568">
      <c r="A568" s="109">
        <f>IF(AND(C568="",D568=""),"",ROW()-3)</f>
      </c>
      <c r="B568" s="140" t="n"/>
      <c r="C568" s="141" t="n"/>
      <c r="D568" s="141" t="n"/>
      <c r="E568" s="148" t="n"/>
      <c r="F568" s="149" t="n"/>
      <c r="G568" s="150">
        <f>IF(AND(E568&lt;&gt;"",F568&lt;&gt;""),E568*F568,"")</f>
      </c>
      <c r="H568" s="148" t="n"/>
      <c r="I568" s="142" t="n"/>
      <c r="J568" s="146">
        <f>IF(AND(B568="",C568="",D568="",E568="",F568="",H568=""),"",IF(NOT(ISNUMBER(B568)),"✗ 日期不是真日期",IF(OR(B568&lt;年初日,B568&gt;年末日),"✗ 日期不在本年度",IF(C568="","✗ 没选供应商",IF(COUNTIF(基础资料!$Q$5:$Q$54,C568)=0,"✗ 供应商不在基础资料里",IF(D568="","✗ 没选商品",IF(COUNTIF(基础资料!$E$5:$E$104,D568)=0,"✗ 商品不在商品档案里",IF(AND(E568="",H568=""),"✗ 没填数量",IF(AND(N(E568)&lt;&gt;0,F568=""),"✗ 没填进价","√")))))))))</f>
      </c>
    </row>
    <row r="569">
      <c r="A569" s="109">
        <f>IF(AND(C569="",D569=""),"",ROW()-3)</f>
      </c>
      <c r="B569" s="140" t="n"/>
      <c r="C569" s="141" t="n"/>
      <c r="D569" s="141" t="n"/>
      <c r="E569" s="148" t="n"/>
      <c r="F569" s="149" t="n"/>
      <c r="G569" s="150">
        <f>IF(AND(E569&lt;&gt;"",F569&lt;&gt;""),E569*F569,"")</f>
      </c>
      <c r="H569" s="148" t="n"/>
      <c r="I569" s="142" t="n"/>
      <c r="J569" s="146">
        <f>IF(AND(B569="",C569="",D569="",E569="",F569="",H569=""),"",IF(NOT(ISNUMBER(B569)),"✗ 日期不是真日期",IF(OR(B569&lt;年初日,B569&gt;年末日),"✗ 日期不在本年度",IF(C569="","✗ 没选供应商",IF(COUNTIF(基础资料!$Q$5:$Q$54,C569)=0,"✗ 供应商不在基础资料里",IF(D569="","✗ 没选商品",IF(COUNTIF(基础资料!$E$5:$E$104,D569)=0,"✗ 商品不在商品档案里",IF(AND(E569="",H569=""),"✗ 没填数量",IF(AND(N(E569)&lt;&gt;0,F569=""),"✗ 没填进价","√")))))))))</f>
      </c>
    </row>
    <row r="570">
      <c r="A570" s="109">
        <f>IF(AND(C570="",D570=""),"",ROW()-3)</f>
      </c>
      <c r="B570" s="140" t="n"/>
      <c r="C570" s="141" t="n"/>
      <c r="D570" s="141" t="n"/>
      <c r="E570" s="148" t="n"/>
      <c r="F570" s="149" t="n"/>
      <c r="G570" s="150">
        <f>IF(AND(E570&lt;&gt;"",F570&lt;&gt;""),E570*F570,"")</f>
      </c>
      <c r="H570" s="148" t="n"/>
      <c r="I570" s="142" t="n"/>
      <c r="J570" s="146">
        <f>IF(AND(B570="",C570="",D570="",E570="",F570="",H570=""),"",IF(NOT(ISNUMBER(B570)),"✗ 日期不是真日期",IF(OR(B570&lt;年初日,B570&gt;年末日),"✗ 日期不在本年度",IF(C570="","✗ 没选供应商",IF(COUNTIF(基础资料!$Q$5:$Q$54,C570)=0,"✗ 供应商不在基础资料里",IF(D570="","✗ 没选商品",IF(COUNTIF(基础资料!$E$5:$E$104,D570)=0,"✗ 商品不在商品档案里",IF(AND(E570="",H570=""),"✗ 没填数量",IF(AND(N(E570)&lt;&gt;0,F570=""),"✗ 没填进价","√")))))))))</f>
      </c>
    </row>
    <row r="571">
      <c r="A571" s="109">
        <f>IF(AND(C571="",D571=""),"",ROW()-3)</f>
      </c>
      <c r="B571" s="140" t="n"/>
      <c r="C571" s="141" t="n"/>
      <c r="D571" s="141" t="n"/>
      <c r="E571" s="148" t="n"/>
      <c r="F571" s="149" t="n"/>
      <c r="G571" s="150">
        <f>IF(AND(E571&lt;&gt;"",F571&lt;&gt;""),E571*F571,"")</f>
      </c>
      <c r="H571" s="148" t="n"/>
      <c r="I571" s="142" t="n"/>
      <c r="J571" s="146">
        <f>IF(AND(B571="",C571="",D571="",E571="",F571="",H571=""),"",IF(NOT(ISNUMBER(B571)),"✗ 日期不是真日期",IF(OR(B571&lt;年初日,B571&gt;年末日),"✗ 日期不在本年度",IF(C571="","✗ 没选供应商",IF(COUNTIF(基础资料!$Q$5:$Q$54,C571)=0,"✗ 供应商不在基础资料里",IF(D571="","✗ 没选商品",IF(COUNTIF(基础资料!$E$5:$E$104,D571)=0,"✗ 商品不在商品档案里",IF(AND(E571="",H571=""),"✗ 没填数量",IF(AND(N(E571)&lt;&gt;0,F571=""),"✗ 没填进价","√")))))))))</f>
      </c>
    </row>
    <row r="572">
      <c r="A572" s="109">
        <f>IF(AND(C572="",D572=""),"",ROW()-3)</f>
      </c>
      <c r="B572" s="140" t="n"/>
      <c r="C572" s="141" t="n"/>
      <c r="D572" s="141" t="n"/>
      <c r="E572" s="148" t="n"/>
      <c r="F572" s="149" t="n"/>
      <c r="G572" s="150">
        <f>IF(AND(E572&lt;&gt;"",F572&lt;&gt;""),E572*F572,"")</f>
      </c>
      <c r="H572" s="148" t="n"/>
      <c r="I572" s="142" t="n"/>
      <c r="J572" s="146">
        <f>IF(AND(B572="",C572="",D572="",E572="",F572="",H572=""),"",IF(NOT(ISNUMBER(B572)),"✗ 日期不是真日期",IF(OR(B572&lt;年初日,B572&gt;年末日),"✗ 日期不在本年度",IF(C572="","✗ 没选供应商",IF(COUNTIF(基础资料!$Q$5:$Q$54,C572)=0,"✗ 供应商不在基础资料里",IF(D572="","✗ 没选商品",IF(COUNTIF(基础资料!$E$5:$E$104,D572)=0,"✗ 商品不在商品档案里",IF(AND(E572="",H572=""),"✗ 没填数量",IF(AND(N(E572)&lt;&gt;0,F572=""),"✗ 没填进价","√")))))))))</f>
      </c>
    </row>
    <row r="573">
      <c r="A573" s="109">
        <f>IF(AND(C573="",D573=""),"",ROW()-3)</f>
      </c>
      <c r="B573" s="140" t="n"/>
      <c r="C573" s="141" t="n"/>
      <c r="D573" s="141" t="n"/>
      <c r="E573" s="148" t="n"/>
      <c r="F573" s="149" t="n"/>
      <c r="G573" s="150">
        <f>IF(AND(E573&lt;&gt;"",F573&lt;&gt;""),E573*F573,"")</f>
      </c>
      <c r="H573" s="148" t="n"/>
      <c r="I573" s="142" t="n"/>
      <c r="J573" s="146">
        <f>IF(AND(B573="",C573="",D573="",E573="",F573="",H573=""),"",IF(NOT(ISNUMBER(B573)),"✗ 日期不是真日期",IF(OR(B573&lt;年初日,B573&gt;年末日),"✗ 日期不在本年度",IF(C573="","✗ 没选供应商",IF(COUNTIF(基础资料!$Q$5:$Q$54,C573)=0,"✗ 供应商不在基础资料里",IF(D573="","✗ 没选商品",IF(COUNTIF(基础资料!$E$5:$E$104,D573)=0,"✗ 商品不在商品档案里",IF(AND(E573="",H573=""),"✗ 没填数量",IF(AND(N(E573)&lt;&gt;0,F573=""),"✗ 没填进价","√")))))))))</f>
      </c>
    </row>
    <row r="574">
      <c r="A574" s="109">
        <f>IF(AND(C574="",D574=""),"",ROW()-3)</f>
      </c>
      <c r="B574" s="140" t="n"/>
      <c r="C574" s="141" t="n"/>
      <c r="D574" s="141" t="n"/>
      <c r="E574" s="148" t="n"/>
      <c r="F574" s="149" t="n"/>
      <c r="G574" s="150">
        <f>IF(AND(E574&lt;&gt;"",F574&lt;&gt;""),E574*F574,"")</f>
      </c>
      <c r="H574" s="148" t="n"/>
      <c r="I574" s="142" t="n"/>
      <c r="J574" s="146">
        <f>IF(AND(B574="",C574="",D574="",E574="",F574="",H574=""),"",IF(NOT(ISNUMBER(B574)),"✗ 日期不是真日期",IF(OR(B574&lt;年初日,B574&gt;年末日),"✗ 日期不在本年度",IF(C574="","✗ 没选供应商",IF(COUNTIF(基础资料!$Q$5:$Q$54,C574)=0,"✗ 供应商不在基础资料里",IF(D574="","✗ 没选商品",IF(COUNTIF(基础资料!$E$5:$E$104,D574)=0,"✗ 商品不在商品档案里",IF(AND(E574="",H574=""),"✗ 没填数量",IF(AND(N(E574)&lt;&gt;0,F574=""),"✗ 没填进价","√")))))))))</f>
      </c>
    </row>
    <row r="575">
      <c r="A575" s="109">
        <f>IF(AND(C575="",D575=""),"",ROW()-3)</f>
      </c>
      <c r="B575" s="140" t="n"/>
      <c r="C575" s="141" t="n"/>
      <c r="D575" s="141" t="n"/>
      <c r="E575" s="148" t="n"/>
      <c r="F575" s="149" t="n"/>
      <c r="G575" s="150">
        <f>IF(AND(E575&lt;&gt;"",F575&lt;&gt;""),E575*F575,"")</f>
      </c>
      <c r="H575" s="148" t="n"/>
      <c r="I575" s="142" t="n"/>
      <c r="J575" s="146">
        <f>IF(AND(B575="",C575="",D575="",E575="",F575="",H575=""),"",IF(NOT(ISNUMBER(B575)),"✗ 日期不是真日期",IF(OR(B575&lt;年初日,B575&gt;年末日),"✗ 日期不在本年度",IF(C575="","✗ 没选供应商",IF(COUNTIF(基础资料!$Q$5:$Q$54,C575)=0,"✗ 供应商不在基础资料里",IF(D575="","✗ 没选商品",IF(COUNTIF(基础资料!$E$5:$E$104,D575)=0,"✗ 商品不在商品档案里",IF(AND(E575="",H575=""),"✗ 没填数量",IF(AND(N(E575)&lt;&gt;0,F575=""),"✗ 没填进价","√")))))))))</f>
      </c>
    </row>
    <row r="576">
      <c r="A576" s="109">
        <f>IF(AND(C576="",D576=""),"",ROW()-3)</f>
      </c>
      <c r="B576" s="140" t="n"/>
      <c r="C576" s="141" t="n"/>
      <c r="D576" s="141" t="n"/>
      <c r="E576" s="148" t="n"/>
      <c r="F576" s="149" t="n"/>
      <c r="G576" s="150">
        <f>IF(AND(E576&lt;&gt;"",F576&lt;&gt;""),E576*F576,"")</f>
      </c>
      <c r="H576" s="148" t="n"/>
      <c r="I576" s="142" t="n"/>
      <c r="J576" s="146">
        <f>IF(AND(B576="",C576="",D576="",E576="",F576="",H576=""),"",IF(NOT(ISNUMBER(B576)),"✗ 日期不是真日期",IF(OR(B576&lt;年初日,B576&gt;年末日),"✗ 日期不在本年度",IF(C576="","✗ 没选供应商",IF(COUNTIF(基础资料!$Q$5:$Q$54,C576)=0,"✗ 供应商不在基础资料里",IF(D576="","✗ 没选商品",IF(COUNTIF(基础资料!$E$5:$E$104,D576)=0,"✗ 商品不在商品档案里",IF(AND(E576="",H576=""),"✗ 没填数量",IF(AND(N(E576)&lt;&gt;0,F576=""),"✗ 没填进价","√")))))))))</f>
      </c>
    </row>
    <row r="577">
      <c r="A577" s="109">
        <f>IF(AND(C577="",D577=""),"",ROW()-3)</f>
      </c>
      <c r="B577" s="140" t="n"/>
      <c r="C577" s="141" t="n"/>
      <c r="D577" s="141" t="n"/>
      <c r="E577" s="148" t="n"/>
      <c r="F577" s="149" t="n"/>
      <c r="G577" s="150">
        <f>IF(AND(E577&lt;&gt;"",F577&lt;&gt;""),E577*F577,"")</f>
      </c>
      <c r="H577" s="148" t="n"/>
      <c r="I577" s="142" t="n"/>
      <c r="J577" s="146">
        <f>IF(AND(B577="",C577="",D577="",E577="",F577="",H577=""),"",IF(NOT(ISNUMBER(B577)),"✗ 日期不是真日期",IF(OR(B577&lt;年初日,B577&gt;年末日),"✗ 日期不在本年度",IF(C577="","✗ 没选供应商",IF(COUNTIF(基础资料!$Q$5:$Q$54,C577)=0,"✗ 供应商不在基础资料里",IF(D577="","✗ 没选商品",IF(COUNTIF(基础资料!$E$5:$E$104,D577)=0,"✗ 商品不在商品档案里",IF(AND(E577="",H577=""),"✗ 没填数量",IF(AND(N(E577)&lt;&gt;0,F577=""),"✗ 没填进价","√")))))))))</f>
      </c>
    </row>
    <row r="578">
      <c r="A578" s="109">
        <f>IF(AND(C578="",D578=""),"",ROW()-3)</f>
      </c>
      <c r="B578" s="140" t="n"/>
      <c r="C578" s="141" t="n"/>
      <c r="D578" s="141" t="n"/>
      <c r="E578" s="148" t="n"/>
      <c r="F578" s="149" t="n"/>
      <c r="G578" s="150">
        <f>IF(AND(E578&lt;&gt;"",F578&lt;&gt;""),E578*F578,"")</f>
      </c>
      <c r="H578" s="148" t="n"/>
      <c r="I578" s="142" t="n"/>
      <c r="J578" s="146">
        <f>IF(AND(B578="",C578="",D578="",E578="",F578="",H578=""),"",IF(NOT(ISNUMBER(B578)),"✗ 日期不是真日期",IF(OR(B578&lt;年初日,B578&gt;年末日),"✗ 日期不在本年度",IF(C578="","✗ 没选供应商",IF(COUNTIF(基础资料!$Q$5:$Q$54,C578)=0,"✗ 供应商不在基础资料里",IF(D578="","✗ 没选商品",IF(COUNTIF(基础资料!$E$5:$E$104,D578)=0,"✗ 商品不在商品档案里",IF(AND(E578="",H578=""),"✗ 没填数量",IF(AND(N(E578)&lt;&gt;0,F578=""),"✗ 没填进价","√")))))))))</f>
      </c>
    </row>
    <row r="579">
      <c r="A579" s="109">
        <f>IF(AND(C579="",D579=""),"",ROW()-3)</f>
      </c>
      <c r="B579" s="140" t="n"/>
      <c r="C579" s="141" t="n"/>
      <c r="D579" s="141" t="n"/>
      <c r="E579" s="148" t="n"/>
      <c r="F579" s="149" t="n"/>
      <c r="G579" s="150">
        <f>IF(AND(E579&lt;&gt;"",F579&lt;&gt;""),E579*F579,"")</f>
      </c>
      <c r="H579" s="148" t="n"/>
      <c r="I579" s="142" t="n"/>
      <c r="J579" s="146">
        <f>IF(AND(B579="",C579="",D579="",E579="",F579="",H579=""),"",IF(NOT(ISNUMBER(B579)),"✗ 日期不是真日期",IF(OR(B579&lt;年初日,B579&gt;年末日),"✗ 日期不在本年度",IF(C579="","✗ 没选供应商",IF(COUNTIF(基础资料!$Q$5:$Q$54,C579)=0,"✗ 供应商不在基础资料里",IF(D579="","✗ 没选商品",IF(COUNTIF(基础资料!$E$5:$E$104,D579)=0,"✗ 商品不在商品档案里",IF(AND(E579="",H579=""),"✗ 没填数量",IF(AND(N(E579)&lt;&gt;0,F579=""),"✗ 没填进价","√")))))))))</f>
      </c>
    </row>
    <row r="580">
      <c r="A580" s="109">
        <f>IF(AND(C580="",D580=""),"",ROW()-3)</f>
      </c>
      <c r="B580" s="140" t="n"/>
      <c r="C580" s="141" t="n"/>
      <c r="D580" s="141" t="n"/>
      <c r="E580" s="148" t="n"/>
      <c r="F580" s="149" t="n"/>
      <c r="G580" s="150">
        <f>IF(AND(E580&lt;&gt;"",F580&lt;&gt;""),E580*F580,"")</f>
      </c>
      <c r="H580" s="148" t="n"/>
      <c r="I580" s="142" t="n"/>
      <c r="J580" s="146">
        <f>IF(AND(B580="",C580="",D580="",E580="",F580="",H580=""),"",IF(NOT(ISNUMBER(B580)),"✗ 日期不是真日期",IF(OR(B580&lt;年初日,B580&gt;年末日),"✗ 日期不在本年度",IF(C580="","✗ 没选供应商",IF(COUNTIF(基础资料!$Q$5:$Q$54,C580)=0,"✗ 供应商不在基础资料里",IF(D580="","✗ 没选商品",IF(COUNTIF(基础资料!$E$5:$E$104,D580)=0,"✗ 商品不在商品档案里",IF(AND(E580="",H580=""),"✗ 没填数量",IF(AND(N(E580)&lt;&gt;0,F580=""),"✗ 没填进价","√")))))))))</f>
      </c>
    </row>
    <row r="581">
      <c r="A581" s="109">
        <f>IF(AND(C581="",D581=""),"",ROW()-3)</f>
      </c>
      <c r="B581" s="140" t="n"/>
      <c r="C581" s="141" t="n"/>
      <c r="D581" s="141" t="n"/>
      <c r="E581" s="148" t="n"/>
      <c r="F581" s="149" t="n"/>
      <c r="G581" s="150">
        <f>IF(AND(E581&lt;&gt;"",F581&lt;&gt;""),E581*F581,"")</f>
      </c>
      <c r="H581" s="148" t="n"/>
      <c r="I581" s="142" t="n"/>
      <c r="J581" s="146">
        <f>IF(AND(B581="",C581="",D581="",E581="",F581="",H581=""),"",IF(NOT(ISNUMBER(B581)),"✗ 日期不是真日期",IF(OR(B581&lt;年初日,B581&gt;年末日),"✗ 日期不在本年度",IF(C581="","✗ 没选供应商",IF(COUNTIF(基础资料!$Q$5:$Q$54,C581)=0,"✗ 供应商不在基础资料里",IF(D581="","✗ 没选商品",IF(COUNTIF(基础资料!$E$5:$E$104,D581)=0,"✗ 商品不在商品档案里",IF(AND(E581="",H581=""),"✗ 没填数量",IF(AND(N(E581)&lt;&gt;0,F581=""),"✗ 没填进价","√")))))))))</f>
      </c>
    </row>
    <row r="582">
      <c r="A582" s="109">
        <f>IF(AND(C582="",D582=""),"",ROW()-3)</f>
      </c>
      <c r="B582" s="140" t="n"/>
      <c r="C582" s="141" t="n"/>
      <c r="D582" s="141" t="n"/>
      <c r="E582" s="148" t="n"/>
      <c r="F582" s="149" t="n"/>
      <c r="G582" s="150">
        <f>IF(AND(E582&lt;&gt;"",F582&lt;&gt;""),E582*F582,"")</f>
      </c>
      <c r="H582" s="148" t="n"/>
      <c r="I582" s="142" t="n"/>
      <c r="J582" s="146">
        <f>IF(AND(B582="",C582="",D582="",E582="",F582="",H582=""),"",IF(NOT(ISNUMBER(B582)),"✗ 日期不是真日期",IF(OR(B582&lt;年初日,B582&gt;年末日),"✗ 日期不在本年度",IF(C582="","✗ 没选供应商",IF(COUNTIF(基础资料!$Q$5:$Q$54,C582)=0,"✗ 供应商不在基础资料里",IF(D582="","✗ 没选商品",IF(COUNTIF(基础资料!$E$5:$E$104,D582)=0,"✗ 商品不在商品档案里",IF(AND(E582="",H582=""),"✗ 没填数量",IF(AND(N(E582)&lt;&gt;0,F582=""),"✗ 没填进价","√")))))))))</f>
      </c>
    </row>
    <row r="583">
      <c r="A583" s="109">
        <f>IF(AND(C583="",D583=""),"",ROW()-3)</f>
      </c>
      <c r="B583" s="140" t="n"/>
      <c r="C583" s="141" t="n"/>
      <c r="D583" s="141" t="n"/>
      <c r="E583" s="148" t="n"/>
      <c r="F583" s="149" t="n"/>
      <c r="G583" s="150">
        <f>IF(AND(E583&lt;&gt;"",F583&lt;&gt;""),E583*F583,"")</f>
      </c>
      <c r="H583" s="148" t="n"/>
      <c r="I583" s="142" t="n"/>
      <c r="J583" s="146">
        <f>IF(AND(B583="",C583="",D583="",E583="",F583="",H583=""),"",IF(NOT(ISNUMBER(B583)),"✗ 日期不是真日期",IF(OR(B583&lt;年初日,B583&gt;年末日),"✗ 日期不在本年度",IF(C583="","✗ 没选供应商",IF(COUNTIF(基础资料!$Q$5:$Q$54,C583)=0,"✗ 供应商不在基础资料里",IF(D583="","✗ 没选商品",IF(COUNTIF(基础资料!$E$5:$E$104,D583)=0,"✗ 商品不在商品档案里",IF(AND(E583="",H583=""),"✗ 没填数量",IF(AND(N(E583)&lt;&gt;0,F583=""),"✗ 没填进价","√")))))))))</f>
      </c>
    </row>
    <row r="584">
      <c r="A584" s="109">
        <f>IF(AND(C584="",D584=""),"",ROW()-3)</f>
      </c>
      <c r="B584" s="140" t="n"/>
      <c r="C584" s="141" t="n"/>
      <c r="D584" s="141" t="n"/>
      <c r="E584" s="148" t="n"/>
      <c r="F584" s="149" t="n"/>
      <c r="G584" s="150">
        <f>IF(AND(E584&lt;&gt;"",F584&lt;&gt;""),E584*F584,"")</f>
      </c>
      <c r="H584" s="148" t="n"/>
      <c r="I584" s="142" t="n"/>
      <c r="J584" s="146">
        <f>IF(AND(B584="",C584="",D584="",E584="",F584="",H584=""),"",IF(NOT(ISNUMBER(B584)),"✗ 日期不是真日期",IF(OR(B584&lt;年初日,B584&gt;年末日),"✗ 日期不在本年度",IF(C584="","✗ 没选供应商",IF(COUNTIF(基础资料!$Q$5:$Q$54,C584)=0,"✗ 供应商不在基础资料里",IF(D584="","✗ 没选商品",IF(COUNTIF(基础资料!$E$5:$E$104,D584)=0,"✗ 商品不在商品档案里",IF(AND(E584="",H584=""),"✗ 没填数量",IF(AND(N(E584)&lt;&gt;0,F584=""),"✗ 没填进价","√")))))))))</f>
      </c>
    </row>
    <row r="585">
      <c r="A585" s="109">
        <f>IF(AND(C585="",D585=""),"",ROW()-3)</f>
      </c>
      <c r="B585" s="140" t="n"/>
      <c r="C585" s="141" t="n"/>
      <c r="D585" s="141" t="n"/>
      <c r="E585" s="148" t="n"/>
      <c r="F585" s="149" t="n"/>
      <c r="G585" s="150">
        <f>IF(AND(E585&lt;&gt;"",F585&lt;&gt;""),E585*F585,"")</f>
      </c>
      <c r="H585" s="148" t="n"/>
      <c r="I585" s="142" t="n"/>
      <c r="J585" s="146">
        <f>IF(AND(B585="",C585="",D585="",E585="",F585="",H585=""),"",IF(NOT(ISNUMBER(B585)),"✗ 日期不是真日期",IF(OR(B585&lt;年初日,B585&gt;年末日),"✗ 日期不在本年度",IF(C585="","✗ 没选供应商",IF(COUNTIF(基础资料!$Q$5:$Q$54,C585)=0,"✗ 供应商不在基础资料里",IF(D585="","✗ 没选商品",IF(COUNTIF(基础资料!$E$5:$E$104,D585)=0,"✗ 商品不在商品档案里",IF(AND(E585="",H585=""),"✗ 没填数量",IF(AND(N(E585)&lt;&gt;0,F585=""),"✗ 没填进价","√")))))))))</f>
      </c>
    </row>
    <row r="586">
      <c r="A586" s="109">
        <f>IF(AND(C586="",D586=""),"",ROW()-3)</f>
      </c>
      <c r="B586" s="140" t="n"/>
      <c r="C586" s="141" t="n"/>
      <c r="D586" s="141" t="n"/>
      <c r="E586" s="148" t="n"/>
      <c r="F586" s="149" t="n"/>
      <c r="G586" s="150">
        <f>IF(AND(E586&lt;&gt;"",F586&lt;&gt;""),E586*F586,"")</f>
      </c>
      <c r="H586" s="148" t="n"/>
      <c r="I586" s="142" t="n"/>
      <c r="J586" s="146">
        <f>IF(AND(B586="",C586="",D586="",E586="",F586="",H586=""),"",IF(NOT(ISNUMBER(B586)),"✗ 日期不是真日期",IF(OR(B586&lt;年初日,B586&gt;年末日),"✗ 日期不在本年度",IF(C586="","✗ 没选供应商",IF(COUNTIF(基础资料!$Q$5:$Q$54,C586)=0,"✗ 供应商不在基础资料里",IF(D586="","✗ 没选商品",IF(COUNTIF(基础资料!$E$5:$E$104,D586)=0,"✗ 商品不在商品档案里",IF(AND(E586="",H586=""),"✗ 没填数量",IF(AND(N(E586)&lt;&gt;0,F586=""),"✗ 没填进价","√")))))))))</f>
      </c>
    </row>
    <row r="587">
      <c r="A587" s="109">
        <f>IF(AND(C587="",D587=""),"",ROW()-3)</f>
      </c>
      <c r="B587" s="140" t="n"/>
      <c r="C587" s="141" t="n"/>
      <c r="D587" s="141" t="n"/>
      <c r="E587" s="148" t="n"/>
      <c r="F587" s="149" t="n"/>
      <c r="G587" s="150">
        <f>IF(AND(E587&lt;&gt;"",F587&lt;&gt;""),E587*F587,"")</f>
      </c>
      <c r="H587" s="148" t="n"/>
      <c r="I587" s="142" t="n"/>
      <c r="J587" s="146">
        <f>IF(AND(B587="",C587="",D587="",E587="",F587="",H587=""),"",IF(NOT(ISNUMBER(B587)),"✗ 日期不是真日期",IF(OR(B587&lt;年初日,B587&gt;年末日),"✗ 日期不在本年度",IF(C587="","✗ 没选供应商",IF(COUNTIF(基础资料!$Q$5:$Q$54,C587)=0,"✗ 供应商不在基础资料里",IF(D587="","✗ 没选商品",IF(COUNTIF(基础资料!$E$5:$E$104,D587)=0,"✗ 商品不在商品档案里",IF(AND(E587="",H587=""),"✗ 没填数量",IF(AND(N(E587)&lt;&gt;0,F587=""),"✗ 没填进价","√")))))))))</f>
      </c>
    </row>
    <row r="588">
      <c r="A588" s="109">
        <f>IF(AND(C588="",D588=""),"",ROW()-3)</f>
      </c>
      <c r="B588" s="140" t="n"/>
      <c r="C588" s="141" t="n"/>
      <c r="D588" s="141" t="n"/>
      <c r="E588" s="148" t="n"/>
      <c r="F588" s="149" t="n"/>
      <c r="G588" s="150">
        <f>IF(AND(E588&lt;&gt;"",F588&lt;&gt;""),E588*F588,"")</f>
      </c>
      <c r="H588" s="148" t="n"/>
      <c r="I588" s="142" t="n"/>
      <c r="J588" s="146">
        <f>IF(AND(B588="",C588="",D588="",E588="",F588="",H588=""),"",IF(NOT(ISNUMBER(B588)),"✗ 日期不是真日期",IF(OR(B588&lt;年初日,B588&gt;年末日),"✗ 日期不在本年度",IF(C588="","✗ 没选供应商",IF(COUNTIF(基础资料!$Q$5:$Q$54,C588)=0,"✗ 供应商不在基础资料里",IF(D588="","✗ 没选商品",IF(COUNTIF(基础资料!$E$5:$E$104,D588)=0,"✗ 商品不在商品档案里",IF(AND(E588="",H588=""),"✗ 没填数量",IF(AND(N(E588)&lt;&gt;0,F588=""),"✗ 没填进价","√")))))))))</f>
      </c>
    </row>
    <row r="589">
      <c r="A589" s="109">
        <f>IF(AND(C589="",D589=""),"",ROW()-3)</f>
      </c>
      <c r="B589" s="140" t="n"/>
      <c r="C589" s="141" t="n"/>
      <c r="D589" s="141" t="n"/>
      <c r="E589" s="148" t="n"/>
      <c r="F589" s="149" t="n"/>
      <c r="G589" s="150">
        <f>IF(AND(E589&lt;&gt;"",F589&lt;&gt;""),E589*F589,"")</f>
      </c>
      <c r="H589" s="148" t="n"/>
      <c r="I589" s="142" t="n"/>
      <c r="J589" s="146">
        <f>IF(AND(B589="",C589="",D589="",E589="",F589="",H589=""),"",IF(NOT(ISNUMBER(B589)),"✗ 日期不是真日期",IF(OR(B589&lt;年初日,B589&gt;年末日),"✗ 日期不在本年度",IF(C589="","✗ 没选供应商",IF(COUNTIF(基础资料!$Q$5:$Q$54,C589)=0,"✗ 供应商不在基础资料里",IF(D589="","✗ 没选商品",IF(COUNTIF(基础资料!$E$5:$E$104,D589)=0,"✗ 商品不在商品档案里",IF(AND(E589="",H589=""),"✗ 没填数量",IF(AND(N(E589)&lt;&gt;0,F589=""),"✗ 没填进价","√")))))))))</f>
      </c>
    </row>
    <row r="590">
      <c r="A590" s="109">
        <f>IF(AND(C590="",D590=""),"",ROW()-3)</f>
      </c>
      <c r="B590" s="140" t="n"/>
      <c r="C590" s="141" t="n"/>
      <c r="D590" s="141" t="n"/>
      <c r="E590" s="148" t="n"/>
      <c r="F590" s="149" t="n"/>
      <c r="G590" s="150">
        <f>IF(AND(E590&lt;&gt;"",F590&lt;&gt;""),E590*F590,"")</f>
      </c>
      <c r="H590" s="148" t="n"/>
      <c r="I590" s="142" t="n"/>
      <c r="J590" s="146">
        <f>IF(AND(B590="",C590="",D590="",E590="",F590="",H590=""),"",IF(NOT(ISNUMBER(B590)),"✗ 日期不是真日期",IF(OR(B590&lt;年初日,B590&gt;年末日),"✗ 日期不在本年度",IF(C590="","✗ 没选供应商",IF(COUNTIF(基础资料!$Q$5:$Q$54,C590)=0,"✗ 供应商不在基础资料里",IF(D590="","✗ 没选商品",IF(COUNTIF(基础资料!$E$5:$E$104,D590)=0,"✗ 商品不在商品档案里",IF(AND(E590="",H590=""),"✗ 没填数量",IF(AND(N(E590)&lt;&gt;0,F590=""),"✗ 没填进价","√")))))))))</f>
      </c>
    </row>
    <row r="591">
      <c r="A591" s="109">
        <f>IF(AND(C591="",D591=""),"",ROW()-3)</f>
      </c>
      <c r="B591" s="140" t="n"/>
      <c r="C591" s="141" t="n"/>
      <c r="D591" s="141" t="n"/>
      <c r="E591" s="148" t="n"/>
      <c r="F591" s="149" t="n"/>
      <c r="G591" s="150">
        <f>IF(AND(E591&lt;&gt;"",F591&lt;&gt;""),E591*F591,"")</f>
      </c>
      <c r="H591" s="148" t="n"/>
      <c r="I591" s="142" t="n"/>
      <c r="J591" s="146">
        <f>IF(AND(B591="",C591="",D591="",E591="",F591="",H591=""),"",IF(NOT(ISNUMBER(B591)),"✗ 日期不是真日期",IF(OR(B591&lt;年初日,B591&gt;年末日),"✗ 日期不在本年度",IF(C591="","✗ 没选供应商",IF(COUNTIF(基础资料!$Q$5:$Q$54,C591)=0,"✗ 供应商不在基础资料里",IF(D591="","✗ 没选商品",IF(COUNTIF(基础资料!$E$5:$E$104,D591)=0,"✗ 商品不在商品档案里",IF(AND(E591="",H591=""),"✗ 没填数量",IF(AND(N(E591)&lt;&gt;0,F591=""),"✗ 没填进价","√")))))))))</f>
      </c>
    </row>
    <row r="592">
      <c r="A592" s="109">
        <f>IF(AND(C592="",D592=""),"",ROW()-3)</f>
      </c>
      <c r="B592" s="140" t="n"/>
      <c r="C592" s="141" t="n"/>
      <c r="D592" s="141" t="n"/>
      <c r="E592" s="148" t="n"/>
      <c r="F592" s="149" t="n"/>
      <c r="G592" s="150">
        <f>IF(AND(E592&lt;&gt;"",F592&lt;&gt;""),E592*F592,"")</f>
      </c>
      <c r="H592" s="148" t="n"/>
      <c r="I592" s="142" t="n"/>
      <c r="J592" s="146">
        <f>IF(AND(B592="",C592="",D592="",E592="",F592="",H592=""),"",IF(NOT(ISNUMBER(B592)),"✗ 日期不是真日期",IF(OR(B592&lt;年初日,B592&gt;年末日),"✗ 日期不在本年度",IF(C592="","✗ 没选供应商",IF(COUNTIF(基础资料!$Q$5:$Q$54,C592)=0,"✗ 供应商不在基础资料里",IF(D592="","✗ 没选商品",IF(COUNTIF(基础资料!$E$5:$E$104,D592)=0,"✗ 商品不在商品档案里",IF(AND(E592="",H592=""),"✗ 没填数量",IF(AND(N(E592)&lt;&gt;0,F592=""),"✗ 没填进价","√")))))))))</f>
      </c>
    </row>
    <row r="593">
      <c r="A593" s="109">
        <f>IF(AND(C593="",D593=""),"",ROW()-3)</f>
      </c>
      <c r="B593" s="140" t="n"/>
      <c r="C593" s="141" t="n"/>
      <c r="D593" s="141" t="n"/>
      <c r="E593" s="148" t="n"/>
      <c r="F593" s="149" t="n"/>
      <c r="G593" s="150">
        <f>IF(AND(E593&lt;&gt;"",F593&lt;&gt;""),E593*F593,"")</f>
      </c>
      <c r="H593" s="148" t="n"/>
      <c r="I593" s="142" t="n"/>
      <c r="J593" s="146">
        <f>IF(AND(B593="",C593="",D593="",E593="",F593="",H593=""),"",IF(NOT(ISNUMBER(B593)),"✗ 日期不是真日期",IF(OR(B593&lt;年初日,B593&gt;年末日),"✗ 日期不在本年度",IF(C593="","✗ 没选供应商",IF(COUNTIF(基础资料!$Q$5:$Q$54,C593)=0,"✗ 供应商不在基础资料里",IF(D593="","✗ 没选商品",IF(COUNTIF(基础资料!$E$5:$E$104,D593)=0,"✗ 商品不在商品档案里",IF(AND(E593="",H593=""),"✗ 没填数量",IF(AND(N(E593)&lt;&gt;0,F593=""),"✗ 没填进价","√")))))))))</f>
      </c>
    </row>
    <row r="594">
      <c r="A594" s="109">
        <f>IF(AND(C594="",D594=""),"",ROW()-3)</f>
      </c>
      <c r="B594" s="140" t="n"/>
      <c r="C594" s="141" t="n"/>
      <c r="D594" s="141" t="n"/>
      <c r="E594" s="148" t="n"/>
      <c r="F594" s="149" t="n"/>
      <c r="G594" s="150">
        <f>IF(AND(E594&lt;&gt;"",F594&lt;&gt;""),E594*F594,"")</f>
      </c>
      <c r="H594" s="148" t="n"/>
      <c r="I594" s="142" t="n"/>
      <c r="J594" s="146">
        <f>IF(AND(B594="",C594="",D594="",E594="",F594="",H594=""),"",IF(NOT(ISNUMBER(B594)),"✗ 日期不是真日期",IF(OR(B594&lt;年初日,B594&gt;年末日),"✗ 日期不在本年度",IF(C594="","✗ 没选供应商",IF(COUNTIF(基础资料!$Q$5:$Q$54,C594)=0,"✗ 供应商不在基础资料里",IF(D594="","✗ 没选商品",IF(COUNTIF(基础资料!$E$5:$E$104,D594)=0,"✗ 商品不在商品档案里",IF(AND(E594="",H594=""),"✗ 没填数量",IF(AND(N(E594)&lt;&gt;0,F594=""),"✗ 没填进价","√")))))))))</f>
      </c>
    </row>
    <row r="595">
      <c r="A595" s="109">
        <f>IF(AND(C595="",D595=""),"",ROW()-3)</f>
      </c>
      <c r="B595" s="140" t="n"/>
      <c r="C595" s="141" t="n"/>
      <c r="D595" s="141" t="n"/>
      <c r="E595" s="148" t="n"/>
      <c r="F595" s="149" t="n"/>
      <c r="G595" s="150">
        <f>IF(AND(E595&lt;&gt;"",F595&lt;&gt;""),E595*F595,"")</f>
      </c>
      <c r="H595" s="148" t="n"/>
      <c r="I595" s="142" t="n"/>
      <c r="J595" s="146">
        <f>IF(AND(B595="",C595="",D595="",E595="",F595="",H595=""),"",IF(NOT(ISNUMBER(B595)),"✗ 日期不是真日期",IF(OR(B595&lt;年初日,B595&gt;年末日),"✗ 日期不在本年度",IF(C595="","✗ 没选供应商",IF(COUNTIF(基础资料!$Q$5:$Q$54,C595)=0,"✗ 供应商不在基础资料里",IF(D595="","✗ 没选商品",IF(COUNTIF(基础资料!$E$5:$E$104,D595)=0,"✗ 商品不在商品档案里",IF(AND(E595="",H595=""),"✗ 没填数量",IF(AND(N(E595)&lt;&gt;0,F595=""),"✗ 没填进价","√")))))))))</f>
      </c>
    </row>
    <row r="596">
      <c r="A596" s="109">
        <f>IF(AND(C596="",D596=""),"",ROW()-3)</f>
      </c>
      <c r="B596" s="140" t="n"/>
      <c r="C596" s="141" t="n"/>
      <c r="D596" s="141" t="n"/>
      <c r="E596" s="148" t="n"/>
      <c r="F596" s="149" t="n"/>
      <c r="G596" s="150">
        <f>IF(AND(E596&lt;&gt;"",F596&lt;&gt;""),E596*F596,"")</f>
      </c>
      <c r="H596" s="148" t="n"/>
      <c r="I596" s="142" t="n"/>
      <c r="J596" s="146">
        <f>IF(AND(B596="",C596="",D596="",E596="",F596="",H596=""),"",IF(NOT(ISNUMBER(B596)),"✗ 日期不是真日期",IF(OR(B596&lt;年初日,B596&gt;年末日),"✗ 日期不在本年度",IF(C596="","✗ 没选供应商",IF(COUNTIF(基础资料!$Q$5:$Q$54,C596)=0,"✗ 供应商不在基础资料里",IF(D596="","✗ 没选商品",IF(COUNTIF(基础资料!$E$5:$E$104,D596)=0,"✗ 商品不在商品档案里",IF(AND(E596="",H596=""),"✗ 没填数量",IF(AND(N(E596)&lt;&gt;0,F596=""),"✗ 没填进价","√")))))))))</f>
      </c>
    </row>
    <row r="597">
      <c r="A597" s="109">
        <f>IF(AND(C597="",D597=""),"",ROW()-3)</f>
      </c>
      <c r="B597" s="140" t="n"/>
      <c r="C597" s="141" t="n"/>
      <c r="D597" s="141" t="n"/>
      <c r="E597" s="148" t="n"/>
      <c r="F597" s="149" t="n"/>
      <c r="G597" s="150">
        <f>IF(AND(E597&lt;&gt;"",F597&lt;&gt;""),E597*F597,"")</f>
      </c>
      <c r="H597" s="148" t="n"/>
      <c r="I597" s="142" t="n"/>
      <c r="J597" s="146">
        <f>IF(AND(B597="",C597="",D597="",E597="",F597="",H597=""),"",IF(NOT(ISNUMBER(B597)),"✗ 日期不是真日期",IF(OR(B597&lt;年初日,B597&gt;年末日),"✗ 日期不在本年度",IF(C597="","✗ 没选供应商",IF(COUNTIF(基础资料!$Q$5:$Q$54,C597)=0,"✗ 供应商不在基础资料里",IF(D597="","✗ 没选商品",IF(COUNTIF(基础资料!$E$5:$E$104,D597)=0,"✗ 商品不在商品档案里",IF(AND(E597="",H597=""),"✗ 没填数量",IF(AND(N(E597)&lt;&gt;0,F597=""),"✗ 没填进价","√")))))))))</f>
      </c>
    </row>
    <row r="598">
      <c r="A598" s="109">
        <f>IF(AND(C598="",D598=""),"",ROW()-3)</f>
      </c>
      <c r="B598" s="140" t="n"/>
      <c r="C598" s="141" t="n"/>
      <c r="D598" s="141" t="n"/>
      <c r="E598" s="148" t="n"/>
      <c r="F598" s="149" t="n"/>
      <c r="G598" s="150">
        <f>IF(AND(E598&lt;&gt;"",F598&lt;&gt;""),E598*F598,"")</f>
      </c>
      <c r="H598" s="148" t="n"/>
      <c r="I598" s="142" t="n"/>
      <c r="J598" s="146">
        <f>IF(AND(B598="",C598="",D598="",E598="",F598="",H598=""),"",IF(NOT(ISNUMBER(B598)),"✗ 日期不是真日期",IF(OR(B598&lt;年初日,B598&gt;年末日),"✗ 日期不在本年度",IF(C598="","✗ 没选供应商",IF(COUNTIF(基础资料!$Q$5:$Q$54,C598)=0,"✗ 供应商不在基础资料里",IF(D598="","✗ 没选商品",IF(COUNTIF(基础资料!$E$5:$E$104,D598)=0,"✗ 商品不在商品档案里",IF(AND(E598="",H598=""),"✗ 没填数量",IF(AND(N(E598)&lt;&gt;0,F598=""),"✗ 没填进价","√")))))))))</f>
      </c>
    </row>
    <row r="599">
      <c r="A599" s="109">
        <f>IF(AND(C599="",D599=""),"",ROW()-3)</f>
      </c>
      <c r="B599" s="140" t="n"/>
      <c r="C599" s="141" t="n"/>
      <c r="D599" s="141" t="n"/>
      <c r="E599" s="148" t="n"/>
      <c r="F599" s="149" t="n"/>
      <c r="G599" s="150">
        <f>IF(AND(E599&lt;&gt;"",F599&lt;&gt;""),E599*F599,"")</f>
      </c>
      <c r="H599" s="148" t="n"/>
      <c r="I599" s="142" t="n"/>
      <c r="J599" s="146">
        <f>IF(AND(B599="",C599="",D599="",E599="",F599="",H599=""),"",IF(NOT(ISNUMBER(B599)),"✗ 日期不是真日期",IF(OR(B599&lt;年初日,B599&gt;年末日),"✗ 日期不在本年度",IF(C599="","✗ 没选供应商",IF(COUNTIF(基础资料!$Q$5:$Q$54,C599)=0,"✗ 供应商不在基础资料里",IF(D599="","✗ 没选商品",IF(COUNTIF(基础资料!$E$5:$E$104,D599)=0,"✗ 商品不在商品档案里",IF(AND(E599="",H599=""),"✗ 没填数量",IF(AND(N(E599)&lt;&gt;0,F599=""),"✗ 没填进价","√")))))))))</f>
      </c>
    </row>
    <row r="600">
      <c r="A600" s="109">
        <f>IF(AND(C600="",D600=""),"",ROW()-3)</f>
      </c>
      <c r="B600" s="140" t="n"/>
      <c r="C600" s="141" t="n"/>
      <c r="D600" s="141" t="n"/>
      <c r="E600" s="148" t="n"/>
      <c r="F600" s="149" t="n"/>
      <c r="G600" s="150">
        <f>IF(AND(E600&lt;&gt;"",F600&lt;&gt;""),E600*F600,"")</f>
      </c>
      <c r="H600" s="148" t="n"/>
      <c r="I600" s="142" t="n"/>
      <c r="J600" s="146">
        <f>IF(AND(B600="",C600="",D600="",E600="",F600="",H600=""),"",IF(NOT(ISNUMBER(B600)),"✗ 日期不是真日期",IF(OR(B600&lt;年初日,B600&gt;年末日),"✗ 日期不在本年度",IF(C600="","✗ 没选供应商",IF(COUNTIF(基础资料!$Q$5:$Q$54,C600)=0,"✗ 供应商不在基础资料里",IF(D600="","✗ 没选商品",IF(COUNTIF(基础资料!$E$5:$E$104,D600)=0,"✗ 商品不在商品档案里",IF(AND(E600="",H600=""),"✗ 没填数量",IF(AND(N(E600)&lt;&gt;0,F600=""),"✗ 没填进价","√")))))))))</f>
      </c>
    </row>
    <row r="601">
      <c r="A601" s="109">
        <f>IF(AND(C601="",D601=""),"",ROW()-3)</f>
      </c>
      <c r="B601" s="140" t="n"/>
      <c r="C601" s="141" t="n"/>
      <c r="D601" s="141" t="n"/>
      <c r="E601" s="148" t="n"/>
      <c r="F601" s="149" t="n"/>
      <c r="G601" s="150">
        <f>IF(AND(E601&lt;&gt;"",F601&lt;&gt;""),E601*F601,"")</f>
      </c>
      <c r="H601" s="148" t="n"/>
      <c r="I601" s="142" t="n"/>
      <c r="J601" s="146">
        <f>IF(AND(B601="",C601="",D601="",E601="",F601="",H601=""),"",IF(NOT(ISNUMBER(B601)),"✗ 日期不是真日期",IF(OR(B601&lt;年初日,B601&gt;年末日),"✗ 日期不在本年度",IF(C601="","✗ 没选供应商",IF(COUNTIF(基础资料!$Q$5:$Q$54,C601)=0,"✗ 供应商不在基础资料里",IF(D601="","✗ 没选商品",IF(COUNTIF(基础资料!$E$5:$E$104,D601)=0,"✗ 商品不在商品档案里",IF(AND(E601="",H601=""),"✗ 没填数量",IF(AND(N(E601)&lt;&gt;0,F601=""),"✗ 没填进价","√")))))))))</f>
      </c>
    </row>
    <row r="602">
      <c r="A602" s="109">
        <f>IF(AND(C602="",D602=""),"",ROW()-3)</f>
      </c>
      <c r="B602" s="140" t="n"/>
      <c r="C602" s="141" t="n"/>
      <c r="D602" s="141" t="n"/>
      <c r="E602" s="148" t="n"/>
      <c r="F602" s="149" t="n"/>
      <c r="G602" s="150">
        <f>IF(AND(E602&lt;&gt;"",F602&lt;&gt;""),E602*F602,"")</f>
      </c>
      <c r="H602" s="148" t="n"/>
      <c r="I602" s="142" t="n"/>
      <c r="J602" s="146">
        <f>IF(AND(B602="",C602="",D602="",E602="",F602="",H602=""),"",IF(NOT(ISNUMBER(B602)),"✗ 日期不是真日期",IF(OR(B602&lt;年初日,B602&gt;年末日),"✗ 日期不在本年度",IF(C602="","✗ 没选供应商",IF(COUNTIF(基础资料!$Q$5:$Q$54,C602)=0,"✗ 供应商不在基础资料里",IF(D602="","✗ 没选商品",IF(COUNTIF(基础资料!$E$5:$E$104,D602)=0,"✗ 商品不在商品档案里",IF(AND(E602="",H602=""),"✗ 没填数量",IF(AND(N(E602)&lt;&gt;0,F602=""),"✗ 没填进价","√")))))))))</f>
      </c>
    </row>
    <row r="603">
      <c r="A603" s="109">
        <f>IF(AND(C603="",D603=""),"",ROW()-3)</f>
      </c>
      <c r="B603" s="140" t="n"/>
      <c r="C603" s="141" t="n"/>
      <c r="D603" s="141" t="n"/>
      <c r="E603" s="148" t="n"/>
      <c r="F603" s="149" t="n"/>
      <c r="G603" s="150">
        <f>IF(AND(E603&lt;&gt;"",F603&lt;&gt;""),E603*F603,"")</f>
      </c>
      <c r="H603" s="148" t="n"/>
      <c r="I603" s="142" t="n"/>
      <c r="J603" s="146">
        <f>IF(AND(B603="",C603="",D603="",E603="",F603="",H603=""),"",IF(NOT(ISNUMBER(B603)),"✗ 日期不是真日期",IF(OR(B603&lt;年初日,B603&gt;年末日),"✗ 日期不在本年度",IF(C603="","✗ 没选供应商",IF(COUNTIF(基础资料!$Q$5:$Q$54,C603)=0,"✗ 供应商不在基础资料里",IF(D603="","✗ 没选商品",IF(COUNTIF(基础资料!$E$5:$E$104,D603)=0,"✗ 商品不在商品档案里",IF(AND(E603="",H603=""),"✗ 没填数量",IF(AND(N(E603)&lt;&gt;0,F603=""),"✗ 没填进价","√")))))))))</f>
      </c>
    </row>
    <row r="604">
      <c r="A604" s="109">
        <f>IF(AND(C604="",D604=""),"",ROW()-3)</f>
      </c>
      <c r="B604" s="140" t="n"/>
      <c r="C604" s="141" t="n"/>
      <c r="D604" s="141" t="n"/>
      <c r="E604" s="148" t="n"/>
      <c r="F604" s="149" t="n"/>
      <c r="G604" s="150">
        <f>IF(AND(E604&lt;&gt;"",F604&lt;&gt;""),E604*F604,"")</f>
      </c>
      <c r="H604" s="148" t="n"/>
      <c r="I604" s="142" t="n"/>
      <c r="J604" s="146">
        <f>IF(AND(B604="",C604="",D604="",E604="",F604="",H604=""),"",IF(NOT(ISNUMBER(B604)),"✗ 日期不是真日期",IF(OR(B604&lt;年初日,B604&gt;年末日),"✗ 日期不在本年度",IF(C604="","✗ 没选供应商",IF(COUNTIF(基础资料!$Q$5:$Q$54,C604)=0,"✗ 供应商不在基础资料里",IF(D604="","✗ 没选商品",IF(COUNTIF(基础资料!$E$5:$E$104,D604)=0,"✗ 商品不在商品档案里",IF(AND(E604="",H604=""),"✗ 没填数量",IF(AND(N(E604)&lt;&gt;0,F604=""),"✗ 没填进价","√")))))))))</f>
      </c>
    </row>
    <row r="605">
      <c r="A605" s="109">
        <f>IF(AND(C605="",D605=""),"",ROW()-3)</f>
      </c>
      <c r="B605" s="140" t="n"/>
      <c r="C605" s="141" t="n"/>
      <c r="D605" s="141" t="n"/>
      <c r="E605" s="148" t="n"/>
      <c r="F605" s="149" t="n"/>
      <c r="G605" s="150">
        <f>IF(AND(E605&lt;&gt;"",F605&lt;&gt;""),E605*F605,"")</f>
      </c>
      <c r="H605" s="148" t="n"/>
      <c r="I605" s="142" t="n"/>
      <c r="J605" s="146">
        <f>IF(AND(B605="",C605="",D605="",E605="",F605="",H605=""),"",IF(NOT(ISNUMBER(B605)),"✗ 日期不是真日期",IF(OR(B605&lt;年初日,B605&gt;年末日),"✗ 日期不在本年度",IF(C605="","✗ 没选供应商",IF(COUNTIF(基础资料!$Q$5:$Q$54,C605)=0,"✗ 供应商不在基础资料里",IF(D605="","✗ 没选商品",IF(COUNTIF(基础资料!$E$5:$E$104,D605)=0,"✗ 商品不在商品档案里",IF(AND(E605="",H605=""),"✗ 没填数量",IF(AND(N(E605)&lt;&gt;0,F605=""),"✗ 没填进价","√")))))))))</f>
      </c>
    </row>
    <row r="606">
      <c r="A606" s="109">
        <f>IF(AND(C606="",D606=""),"",ROW()-3)</f>
      </c>
      <c r="B606" s="140" t="n"/>
      <c r="C606" s="141" t="n"/>
      <c r="D606" s="141" t="n"/>
      <c r="E606" s="148" t="n"/>
      <c r="F606" s="149" t="n"/>
      <c r="G606" s="150">
        <f>IF(AND(E606&lt;&gt;"",F606&lt;&gt;""),E606*F606,"")</f>
      </c>
      <c r="H606" s="148" t="n"/>
      <c r="I606" s="142" t="n"/>
      <c r="J606" s="146">
        <f>IF(AND(B606="",C606="",D606="",E606="",F606="",H606=""),"",IF(NOT(ISNUMBER(B606)),"✗ 日期不是真日期",IF(OR(B606&lt;年初日,B606&gt;年末日),"✗ 日期不在本年度",IF(C606="","✗ 没选供应商",IF(COUNTIF(基础资料!$Q$5:$Q$54,C606)=0,"✗ 供应商不在基础资料里",IF(D606="","✗ 没选商品",IF(COUNTIF(基础资料!$E$5:$E$104,D606)=0,"✗ 商品不在商品档案里",IF(AND(E606="",H606=""),"✗ 没填数量",IF(AND(N(E606)&lt;&gt;0,F606=""),"✗ 没填进价","√")))))))))</f>
      </c>
    </row>
    <row r="607">
      <c r="A607" s="109">
        <f>IF(AND(C607="",D607=""),"",ROW()-3)</f>
      </c>
      <c r="B607" s="140" t="n"/>
      <c r="C607" s="141" t="n"/>
      <c r="D607" s="141" t="n"/>
      <c r="E607" s="148" t="n"/>
      <c r="F607" s="149" t="n"/>
      <c r="G607" s="150">
        <f>IF(AND(E607&lt;&gt;"",F607&lt;&gt;""),E607*F607,"")</f>
      </c>
      <c r="H607" s="148" t="n"/>
      <c r="I607" s="142" t="n"/>
      <c r="J607" s="146">
        <f>IF(AND(B607="",C607="",D607="",E607="",F607="",H607=""),"",IF(NOT(ISNUMBER(B607)),"✗ 日期不是真日期",IF(OR(B607&lt;年初日,B607&gt;年末日),"✗ 日期不在本年度",IF(C607="","✗ 没选供应商",IF(COUNTIF(基础资料!$Q$5:$Q$54,C607)=0,"✗ 供应商不在基础资料里",IF(D607="","✗ 没选商品",IF(COUNTIF(基础资料!$E$5:$E$104,D607)=0,"✗ 商品不在商品档案里",IF(AND(E607="",H607=""),"✗ 没填数量",IF(AND(N(E607)&lt;&gt;0,F607=""),"✗ 没填进价","√")))))))))</f>
      </c>
    </row>
    <row r="608">
      <c r="A608" s="109">
        <f>IF(AND(C608="",D608=""),"",ROW()-3)</f>
      </c>
      <c r="B608" s="140" t="n"/>
      <c r="C608" s="141" t="n"/>
      <c r="D608" s="141" t="n"/>
      <c r="E608" s="148" t="n"/>
      <c r="F608" s="149" t="n"/>
      <c r="G608" s="150">
        <f>IF(AND(E608&lt;&gt;"",F608&lt;&gt;""),E608*F608,"")</f>
      </c>
      <c r="H608" s="148" t="n"/>
      <c r="I608" s="142" t="n"/>
      <c r="J608" s="146">
        <f>IF(AND(B608="",C608="",D608="",E608="",F608="",H608=""),"",IF(NOT(ISNUMBER(B608)),"✗ 日期不是真日期",IF(OR(B608&lt;年初日,B608&gt;年末日),"✗ 日期不在本年度",IF(C608="","✗ 没选供应商",IF(COUNTIF(基础资料!$Q$5:$Q$54,C608)=0,"✗ 供应商不在基础资料里",IF(D608="","✗ 没选商品",IF(COUNTIF(基础资料!$E$5:$E$104,D608)=0,"✗ 商品不在商品档案里",IF(AND(E608="",H608=""),"✗ 没填数量",IF(AND(N(E608)&lt;&gt;0,F608=""),"✗ 没填进价","√")))))))))</f>
      </c>
    </row>
    <row r="609">
      <c r="A609" s="109">
        <f>IF(AND(C609="",D609=""),"",ROW()-3)</f>
      </c>
      <c r="B609" s="140" t="n"/>
      <c r="C609" s="141" t="n"/>
      <c r="D609" s="141" t="n"/>
      <c r="E609" s="148" t="n"/>
      <c r="F609" s="149" t="n"/>
      <c r="G609" s="150">
        <f>IF(AND(E609&lt;&gt;"",F609&lt;&gt;""),E609*F609,"")</f>
      </c>
      <c r="H609" s="148" t="n"/>
      <c r="I609" s="142" t="n"/>
      <c r="J609" s="146">
        <f>IF(AND(B609="",C609="",D609="",E609="",F609="",H609=""),"",IF(NOT(ISNUMBER(B609)),"✗ 日期不是真日期",IF(OR(B609&lt;年初日,B609&gt;年末日),"✗ 日期不在本年度",IF(C609="","✗ 没选供应商",IF(COUNTIF(基础资料!$Q$5:$Q$54,C609)=0,"✗ 供应商不在基础资料里",IF(D609="","✗ 没选商品",IF(COUNTIF(基础资料!$E$5:$E$104,D609)=0,"✗ 商品不在商品档案里",IF(AND(E609="",H609=""),"✗ 没填数量",IF(AND(N(E609)&lt;&gt;0,F609=""),"✗ 没填进价","√")))))))))</f>
      </c>
    </row>
    <row r="610">
      <c r="A610" s="109">
        <f>IF(AND(C610="",D610=""),"",ROW()-3)</f>
      </c>
      <c r="B610" s="140" t="n"/>
      <c r="C610" s="141" t="n"/>
      <c r="D610" s="141" t="n"/>
      <c r="E610" s="148" t="n"/>
      <c r="F610" s="149" t="n"/>
      <c r="G610" s="150">
        <f>IF(AND(E610&lt;&gt;"",F610&lt;&gt;""),E610*F610,"")</f>
      </c>
      <c r="H610" s="148" t="n"/>
      <c r="I610" s="142" t="n"/>
      <c r="J610" s="146">
        <f>IF(AND(B610="",C610="",D610="",E610="",F610="",H610=""),"",IF(NOT(ISNUMBER(B610)),"✗ 日期不是真日期",IF(OR(B610&lt;年初日,B610&gt;年末日),"✗ 日期不在本年度",IF(C610="","✗ 没选供应商",IF(COUNTIF(基础资料!$Q$5:$Q$54,C610)=0,"✗ 供应商不在基础资料里",IF(D610="","✗ 没选商品",IF(COUNTIF(基础资料!$E$5:$E$104,D610)=0,"✗ 商品不在商品档案里",IF(AND(E610="",H610=""),"✗ 没填数量",IF(AND(N(E610)&lt;&gt;0,F610=""),"✗ 没填进价","√")))))))))</f>
      </c>
    </row>
    <row r="611">
      <c r="A611" s="109">
        <f>IF(AND(C611="",D611=""),"",ROW()-3)</f>
      </c>
      <c r="B611" s="140" t="n"/>
      <c r="C611" s="141" t="n"/>
      <c r="D611" s="141" t="n"/>
      <c r="E611" s="148" t="n"/>
      <c r="F611" s="149" t="n"/>
      <c r="G611" s="150">
        <f>IF(AND(E611&lt;&gt;"",F611&lt;&gt;""),E611*F611,"")</f>
      </c>
      <c r="H611" s="148" t="n"/>
      <c r="I611" s="142" t="n"/>
      <c r="J611" s="146">
        <f>IF(AND(B611="",C611="",D611="",E611="",F611="",H611=""),"",IF(NOT(ISNUMBER(B611)),"✗ 日期不是真日期",IF(OR(B611&lt;年初日,B611&gt;年末日),"✗ 日期不在本年度",IF(C611="","✗ 没选供应商",IF(COUNTIF(基础资料!$Q$5:$Q$54,C611)=0,"✗ 供应商不在基础资料里",IF(D611="","✗ 没选商品",IF(COUNTIF(基础资料!$E$5:$E$104,D611)=0,"✗ 商品不在商品档案里",IF(AND(E611="",H611=""),"✗ 没填数量",IF(AND(N(E611)&lt;&gt;0,F611=""),"✗ 没填进价","√")))))))))</f>
      </c>
    </row>
    <row r="612">
      <c r="A612" s="109">
        <f>IF(AND(C612="",D612=""),"",ROW()-3)</f>
      </c>
      <c r="B612" s="140" t="n"/>
      <c r="C612" s="141" t="n"/>
      <c r="D612" s="141" t="n"/>
      <c r="E612" s="148" t="n"/>
      <c r="F612" s="149" t="n"/>
      <c r="G612" s="150">
        <f>IF(AND(E612&lt;&gt;"",F612&lt;&gt;""),E612*F612,"")</f>
      </c>
      <c r="H612" s="148" t="n"/>
      <c r="I612" s="142" t="n"/>
      <c r="J612" s="146">
        <f>IF(AND(B612="",C612="",D612="",E612="",F612="",H612=""),"",IF(NOT(ISNUMBER(B612)),"✗ 日期不是真日期",IF(OR(B612&lt;年初日,B612&gt;年末日),"✗ 日期不在本年度",IF(C612="","✗ 没选供应商",IF(COUNTIF(基础资料!$Q$5:$Q$54,C612)=0,"✗ 供应商不在基础资料里",IF(D612="","✗ 没选商品",IF(COUNTIF(基础资料!$E$5:$E$104,D612)=0,"✗ 商品不在商品档案里",IF(AND(E612="",H612=""),"✗ 没填数量",IF(AND(N(E612)&lt;&gt;0,F612=""),"✗ 没填进价","√")))))))))</f>
      </c>
    </row>
    <row r="613">
      <c r="A613" s="109">
        <f>IF(AND(C613="",D613=""),"",ROW()-3)</f>
      </c>
      <c r="B613" s="140" t="n"/>
      <c r="C613" s="141" t="n"/>
      <c r="D613" s="141" t="n"/>
      <c r="E613" s="148" t="n"/>
      <c r="F613" s="149" t="n"/>
      <c r="G613" s="150">
        <f>IF(AND(E613&lt;&gt;"",F613&lt;&gt;""),E613*F613,"")</f>
      </c>
      <c r="H613" s="148" t="n"/>
      <c r="I613" s="142" t="n"/>
      <c r="J613" s="146">
        <f>IF(AND(B613="",C613="",D613="",E613="",F613="",H613=""),"",IF(NOT(ISNUMBER(B613)),"✗ 日期不是真日期",IF(OR(B613&lt;年初日,B613&gt;年末日),"✗ 日期不在本年度",IF(C613="","✗ 没选供应商",IF(COUNTIF(基础资料!$Q$5:$Q$54,C613)=0,"✗ 供应商不在基础资料里",IF(D613="","✗ 没选商品",IF(COUNTIF(基础资料!$E$5:$E$104,D613)=0,"✗ 商品不在商品档案里",IF(AND(E613="",H613=""),"✗ 没填数量",IF(AND(N(E613)&lt;&gt;0,F613=""),"✗ 没填进价","√")))))))))</f>
      </c>
    </row>
    <row r="614">
      <c r="A614" s="109">
        <f>IF(AND(C614="",D614=""),"",ROW()-3)</f>
      </c>
      <c r="B614" s="140" t="n"/>
      <c r="C614" s="141" t="n"/>
      <c r="D614" s="141" t="n"/>
      <c r="E614" s="148" t="n"/>
      <c r="F614" s="149" t="n"/>
      <c r="G614" s="150">
        <f>IF(AND(E614&lt;&gt;"",F614&lt;&gt;""),E614*F614,"")</f>
      </c>
      <c r="H614" s="148" t="n"/>
      <c r="I614" s="142" t="n"/>
      <c r="J614" s="146">
        <f>IF(AND(B614="",C614="",D614="",E614="",F614="",H614=""),"",IF(NOT(ISNUMBER(B614)),"✗ 日期不是真日期",IF(OR(B614&lt;年初日,B614&gt;年末日),"✗ 日期不在本年度",IF(C614="","✗ 没选供应商",IF(COUNTIF(基础资料!$Q$5:$Q$54,C614)=0,"✗ 供应商不在基础资料里",IF(D614="","✗ 没选商品",IF(COUNTIF(基础资料!$E$5:$E$104,D614)=0,"✗ 商品不在商品档案里",IF(AND(E614="",H614=""),"✗ 没填数量",IF(AND(N(E614)&lt;&gt;0,F614=""),"✗ 没填进价","√")))))))))</f>
      </c>
    </row>
    <row r="615">
      <c r="A615" s="109">
        <f>IF(AND(C615="",D615=""),"",ROW()-3)</f>
      </c>
      <c r="B615" s="140" t="n"/>
      <c r="C615" s="141" t="n"/>
      <c r="D615" s="141" t="n"/>
      <c r="E615" s="148" t="n"/>
      <c r="F615" s="149" t="n"/>
      <c r="G615" s="150">
        <f>IF(AND(E615&lt;&gt;"",F615&lt;&gt;""),E615*F615,"")</f>
      </c>
      <c r="H615" s="148" t="n"/>
      <c r="I615" s="142" t="n"/>
      <c r="J615" s="146">
        <f>IF(AND(B615="",C615="",D615="",E615="",F615="",H615=""),"",IF(NOT(ISNUMBER(B615)),"✗ 日期不是真日期",IF(OR(B615&lt;年初日,B615&gt;年末日),"✗ 日期不在本年度",IF(C615="","✗ 没选供应商",IF(COUNTIF(基础资料!$Q$5:$Q$54,C615)=0,"✗ 供应商不在基础资料里",IF(D615="","✗ 没选商品",IF(COUNTIF(基础资料!$E$5:$E$104,D615)=0,"✗ 商品不在商品档案里",IF(AND(E615="",H615=""),"✗ 没填数量",IF(AND(N(E615)&lt;&gt;0,F615=""),"✗ 没填进价","√")))))))))</f>
      </c>
    </row>
    <row r="616">
      <c r="A616" s="109">
        <f>IF(AND(C616="",D616=""),"",ROW()-3)</f>
      </c>
      <c r="B616" s="140" t="n"/>
      <c r="C616" s="141" t="n"/>
      <c r="D616" s="141" t="n"/>
      <c r="E616" s="148" t="n"/>
      <c r="F616" s="149" t="n"/>
      <c r="G616" s="150">
        <f>IF(AND(E616&lt;&gt;"",F616&lt;&gt;""),E616*F616,"")</f>
      </c>
      <c r="H616" s="148" t="n"/>
      <c r="I616" s="142" t="n"/>
      <c r="J616" s="146">
        <f>IF(AND(B616="",C616="",D616="",E616="",F616="",H616=""),"",IF(NOT(ISNUMBER(B616)),"✗ 日期不是真日期",IF(OR(B616&lt;年初日,B616&gt;年末日),"✗ 日期不在本年度",IF(C616="","✗ 没选供应商",IF(COUNTIF(基础资料!$Q$5:$Q$54,C616)=0,"✗ 供应商不在基础资料里",IF(D616="","✗ 没选商品",IF(COUNTIF(基础资料!$E$5:$E$104,D616)=0,"✗ 商品不在商品档案里",IF(AND(E616="",H616=""),"✗ 没填数量",IF(AND(N(E616)&lt;&gt;0,F616=""),"✗ 没填进价","√")))))))))</f>
      </c>
    </row>
    <row r="617">
      <c r="A617" s="109">
        <f>IF(AND(C617="",D617=""),"",ROW()-3)</f>
      </c>
      <c r="B617" s="140" t="n"/>
      <c r="C617" s="141" t="n"/>
      <c r="D617" s="141" t="n"/>
      <c r="E617" s="148" t="n"/>
      <c r="F617" s="149" t="n"/>
      <c r="G617" s="150">
        <f>IF(AND(E617&lt;&gt;"",F617&lt;&gt;""),E617*F617,"")</f>
      </c>
      <c r="H617" s="148" t="n"/>
      <c r="I617" s="142" t="n"/>
      <c r="J617" s="146">
        <f>IF(AND(B617="",C617="",D617="",E617="",F617="",H617=""),"",IF(NOT(ISNUMBER(B617)),"✗ 日期不是真日期",IF(OR(B617&lt;年初日,B617&gt;年末日),"✗ 日期不在本年度",IF(C617="","✗ 没选供应商",IF(COUNTIF(基础资料!$Q$5:$Q$54,C617)=0,"✗ 供应商不在基础资料里",IF(D617="","✗ 没选商品",IF(COUNTIF(基础资料!$E$5:$E$104,D617)=0,"✗ 商品不在商品档案里",IF(AND(E617="",H617=""),"✗ 没填数量",IF(AND(N(E617)&lt;&gt;0,F617=""),"✗ 没填进价","√")))))))))</f>
      </c>
    </row>
    <row r="618">
      <c r="A618" s="109">
        <f>IF(AND(C618="",D618=""),"",ROW()-3)</f>
      </c>
      <c r="B618" s="140" t="n"/>
      <c r="C618" s="141" t="n"/>
      <c r="D618" s="141" t="n"/>
      <c r="E618" s="148" t="n"/>
      <c r="F618" s="149" t="n"/>
      <c r="G618" s="150">
        <f>IF(AND(E618&lt;&gt;"",F618&lt;&gt;""),E618*F618,"")</f>
      </c>
      <c r="H618" s="148" t="n"/>
      <c r="I618" s="142" t="n"/>
      <c r="J618" s="146">
        <f>IF(AND(B618="",C618="",D618="",E618="",F618="",H618=""),"",IF(NOT(ISNUMBER(B618)),"✗ 日期不是真日期",IF(OR(B618&lt;年初日,B618&gt;年末日),"✗ 日期不在本年度",IF(C618="","✗ 没选供应商",IF(COUNTIF(基础资料!$Q$5:$Q$54,C618)=0,"✗ 供应商不在基础资料里",IF(D618="","✗ 没选商品",IF(COUNTIF(基础资料!$E$5:$E$104,D618)=0,"✗ 商品不在商品档案里",IF(AND(E618="",H618=""),"✗ 没填数量",IF(AND(N(E618)&lt;&gt;0,F618=""),"✗ 没填进价","√")))))))))</f>
      </c>
    </row>
    <row r="619">
      <c r="A619" s="109">
        <f>IF(AND(C619="",D619=""),"",ROW()-3)</f>
      </c>
      <c r="B619" s="140" t="n"/>
      <c r="C619" s="141" t="n"/>
      <c r="D619" s="141" t="n"/>
      <c r="E619" s="148" t="n"/>
      <c r="F619" s="149" t="n"/>
      <c r="G619" s="150">
        <f>IF(AND(E619&lt;&gt;"",F619&lt;&gt;""),E619*F619,"")</f>
      </c>
      <c r="H619" s="148" t="n"/>
      <c r="I619" s="142" t="n"/>
      <c r="J619" s="146">
        <f>IF(AND(B619="",C619="",D619="",E619="",F619="",H619=""),"",IF(NOT(ISNUMBER(B619)),"✗ 日期不是真日期",IF(OR(B619&lt;年初日,B619&gt;年末日),"✗ 日期不在本年度",IF(C619="","✗ 没选供应商",IF(COUNTIF(基础资料!$Q$5:$Q$54,C619)=0,"✗ 供应商不在基础资料里",IF(D619="","✗ 没选商品",IF(COUNTIF(基础资料!$E$5:$E$104,D619)=0,"✗ 商品不在商品档案里",IF(AND(E619="",H619=""),"✗ 没填数量",IF(AND(N(E619)&lt;&gt;0,F619=""),"✗ 没填进价","√")))))))))</f>
      </c>
    </row>
    <row r="620">
      <c r="A620" s="109">
        <f>IF(AND(C620="",D620=""),"",ROW()-3)</f>
      </c>
      <c r="B620" s="140" t="n"/>
      <c r="C620" s="141" t="n"/>
      <c r="D620" s="141" t="n"/>
      <c r="E620" s="148" t="n"/>
      <c r="F620" s="149" t="n"/>
      <c r="G620" s="150">
        <f>IF(AND(E620&lt;&gt;"",F620&lt;&gt;""),E620*F620,"")</f>
      </c>
      <c r="H620" s="148" t="n"/>
      <c r="I620" s="142" t="n"/>
      <c r="J620" s="146">
        <f>IF(AND(B620="",C620="",D620="",E620="",F620="",H620=""),"",IF(NOT(ISNUMBER(B620)),"✗ 日期不是真日期",IF(OR(B620&lt;年初日,B620&gt;年末日),"✗ 日期不在本年度",IF(C620="","✗ 没选供应商",IF(COUNTIF(基础资料!$Q$5:$Q$54,C620)=0,"✗ 供应商不在基础资料里",IF(D620="","✗ 没选商品",IF(COUNTIF(基础资料!$E$5:$E$104,D620)=0,"✗ 商品不在商品档案里",IF(AND(E620="",H620=""),"✗ 没填数量",IF(AND(N(E620)&lt;&gt;0,F620=""),"✗ 没填进价","√")))))))))</f>
      </c>
    </row>
    <row r="621">
      <c r="A621" s="109">
        <f>IF(AND(C621="",D621=""),"",ROW()-3)</f>
      </c>
      <c r="B621" s="140" t="n"/>
      <c r="C621" s="141" t="n"/>
      <c r="D621" s="141" t="n"/>
      <c r="E621" s="148" t="n"/>
      <c r="F621" s="149" t="n"/>
      <c r="G621" s="150">
        <f>IF(AND(E621&lt;&gt;"",F621&lt;&gt;""),E621*F621,"")</f>
      </c>
      <c r="H621" s="148" t="n"/>
      <c r="I621" s="142" t="n"/>
      <c r="J621" s="146">
        <f>IF(AND(B621="",C621="",D621="",E621="",F621="",H621=""),"",IF(NOT(ISNUMBER(B621)),"✗ 日期不是真日期",IF(OR(B621&lt;年初日,B621&gt;年末日),"✗ 日期不在本年度",IF(C621="","✗ 没选供应商",IF(COUNTIF(基础资料!$Q$5:$Q$54,C621)=0,"✗ 供应商不在基础资料里",IF(D621="","✗ 没选商品",IF(COUNTIF(基础资料!$E$5:$E$104,D621)=0,"✗ 商品不在商品档案里",IF(AND(E621="",H621=""),"✗ 没填数量",IF(AND(N(E621)&lt;&gt;0,F621=""),"✗ 没填进价","√")))))))))</f>
      </c>
    </row>
    <row r="622">
      <c r="A622" s="109">
        <f>IF(AND(C622="",D622=""),"",ROW()-3)</f>
      </c>
      <c r="B622" s="140" t="n"/>
      <c r="C622" s="141" t="n"/>
      <c r="D622" s="141" t="n"/>
      <c r="E622" s="148" t="n"/>
      <c r="F622" s="149" t="n"/>
      <c r="G622" s="150">
        <f>IF(AND(E622&lt;&gt;"",F622&lt;&gt;""),E622*F622,"")</f>
      </c>
      <c r="H622" s="148" t="n"/>
      <c r="I622" s="142" t="n"/>
      <c r="J622" s="146">
        <f>IF(AND(B622="",C622="",D622="",E622="",F622="",H622=""),"",IF(NOT(ISNUMBER(B622)),"✗ 日期不是真日期",IF(OR(B622&lt;年初日,B622&gt;年末日),"✗ 日期不在本年度",IF(C622="","✗ 没选供应商",IF(COUNTIF(基础资料!$Q$5:$Q$54,C622)=0,"✗ 供应商不在基础资料里",IF(D622="","✗ 没选商品",IF(COUNTIF(基础资料!$E$5:$E$104,D622)=0,"✗ 商品不在商品档案里",IF(AND(E622="",H622=""),"✗ 没填数量",IF(AND(N(E622)&lt;&gt;0,F622=""),"✗ 没填进价","√")))))))))</f>
      </c>
    </row>
    <row r="623">
      <c r="A623" s="109">
        <f>IF(AND(C623="",D623=""),"",ROW()-3)</f>
      </c>
      <c r="B623" s="140" t="n"/>
      <c r="C623" s="141" t="n"/>
      <c r="D623" s="141" t="n"/>
      <c r="E623" s="148" t="n"/>
      <c r="F623" s="149" t="n"/>
      <c r="G623" s="150">
        <f>IF(AND(E623&lt;&gt;"",F623&lt;&gt;""),E623*F623,"")</f>
      </c>
      <c r="H623" s="148" t="n"/>
      <c r="I623" s="142" t="n"/>
      <c r="J623" s="146">
        <f>IF(AND(B623="",C623="",D623="",E623="",F623="",H623=""),"",IF(NOT(ISNUMBER(B623)),"✗ 日期不是真日期",IF(OR(B623&lt;年初日,B623&gt;年末日),"✗ 日期不在本年度",IF(C623="","✗ 没选供应商",IF(COUNTIF(基础资料!$Q$5:$Q$54,C623)=0,"✗ 供应商不在基础资料里",IF(D623="","✗ 没选商品",IF(COUNTIF(基础资料!$E$5:$E$104,D623)=0,"✗ 商品不在商品档案里",IF(AND(E623="",H623=""),"✗ 没填数量",IF(AND(N(E623)&lt;&gt;0,F623=""),"✗ 没填进价","√")))))))))</f>
      </c>
    </row>
    <row r="624">
      <c r="A624" s="109">
        <f>IF(AND(C624="",D624=""),"",ROW()-3)</f>
      </c>
      <c r="B624" s="140" t="n"/>
      <c r="C624" s="141" t="n"/>
      <c r="D624" s="141" t="n"/>
      <c r="E624" s="148" t="n"/>
      <c r="F624" s="149" t="n"/>
      <c r="G624" s="150">
        <f>IF(AND(E624&lt;&gt;"",F624&lt;&gt;""),E624*F624,"")</f>
      </c>
      <c r="H624" s="148" t="n"/>
      <c r="I624" s="142" t="n"/>
      <c r="J624" s="146">
        <f>IF(AND(B624="",C624="",D624="",E624="",F624="",H624=""),"",IF(NOT(ISNUMBER(B624)),"✗ 日期不是真日期",IF(OR(B624&lt;年初日,B624&gt;年末日),"✗ 日期不在本年度",IF(C624="","✗ 没选供应商",IF(COUNTIF(基础资料!$Q$5:$Q$54,C624)=0,"✗ 供应商不在基础资料里",IF(D624="","✗ 没选商品",IF(COUNTIF(基础资料!$E$5:$E$104,D624)=0,"✗ 商品不在商品档案里",IF(AND(E624="",H624=""),"✗ 没填数量",IF(AND(N(E624)&lt;&gt;0,F624=""),"✗ 没填进价","√")))))))))</f>
      </c>
    </row>
    <row r="625">
      <c r="A625" s="109">
        <f>IF(AND(C625="",D625=""),"",ROW()-3)</f>
      </c>
      <c r="B625" s="140" t="n"/>
      <c r="C625" s="141" t="n"/>
      <c r="D625" s="141" t="n"/>
      <c r="E625" s="148" t="n"/>
      <c r="F625" s="149" t="n"/>
      <c r="G625" s="150">
        <f>IF(AND(E625&lt;&gt;"",F625&lt;&gt;""),E625*F625,"")</f>
      </c>
      <c r="H625" s="148" t="n"/>
      <c r="I625" s="142" t="n"/>
      <c r="J625" s="146">
        <f>IF(AND(B625="",C625="",D625="",E625="",F625="",H625=""),"",IF(NOT(ISNUMBER(B625)),"✗ 日期不是真日期",IF(OR(B625&lt;年初日,B625&gt;年末日),"✗ 日期不在本年度",IF(C625="","✗ 没选供应商",IF(COUNTIF(基础资料!$Q$5:$Q$54,C625)=0,"✗ 供应商不在基础资料里",IF(D625="","✗ 没选商品",IF(COUNTIF(基础资料!$E$5:$E$104,D625)=0,"✗ 商品不在商品档案里",IF(AND(E625="",H625=""),"✗ 没填数量",IF(AND(N(E625)&lt;&gt;0,F625=""),"✗ 没填进价","√")))))))))</f>
      </c>
    </row>
    <row r="626">
      <c r="A626" s="109">
        <f>IF(AND(C626="",D626=""),"",ROW()-3)</f>
      </c>
      <c r="B626" s="140" t="n"/>
      <c r="C626" s="141" t="n"/>
      <c r="D626" s="141" t="n"/>
      <c r="E626" s="148" t="n"/>
      <c r="F626" s="149" t="n"/>
      <c r="G626" s="150">
        <f>IF(AND(E626&lt;&gt;"",F626&lt;&gt;""),E626*F626,"")</f>
      </c>
      <c r="H626" s="148" t="n"/>
      <c r="I626" s="142" t="n"/>
      <c r="J626" s="146">
        <f>IF(AND(B626="",C626="",D626="",E626="",F626="",H626=""),"",IF(NOT(ISNUMBER(B626)),"✗ 日期不是真日期",IF(OR(B626&lt;年初日,B626&gt;年末日),"✗ 日期不在本年度",IF(C626="","✗ 没选供应商",IF(COUNTIF(基础资料!$Q$5:$Q$54,C626)=0,"✗ 供应商不在基础资料里",IF(D626="","✗ 没选商品",IF(COUNTIF(基础资料!$E$5:$E$104,D626)=0,"✗ 商品不在商品档案里",IF(AND(E626="",H626=""),"✗ 没填数量",IF(AND(N(E626)&lt;&gt;0,F626=""),"✗ 没填进价","√")))))))))</f>
      </c>
    </row>
    <row r="627">
      <c r="A627" s="109">
        <f>IF(AND(C627="",D627=""),"",ROW()-3)</f>
      </c>
      <c r="B627" s="140" t="n"/>
      <c r="C627" s="141" t="n"/>
      <c r="D627" s="141" t="n"/>
      <c r="E627" s="148" t="n"/>
      <c r="F627" s="149" t="n"/>
      <c r="G627" s="150">
        <f>IF(AND(E627&lt;&gt;"",F627&lt;&gt;""),E627*F627,"")</f>
      </c>
      <c r="H627" s="148" t="n"/>
      <c r="I627" s="142" t="n"/>
      <c r="J627" s="146">
        <f>IF(AND(B627="",C627="",D627="",E627="",F627="",H627=""),"",IF(NOT(ISNUMBER(B627)),"✗ 日期不是真日期",IF(OR(B627&lt;年初日,B627&gt;年末日),"✗ 日期不在本年度",IF(C627="","✗ 没选供应商",IF(COUNTIF(基础资料!$Q$5:$Q$54,C627)=0,"✗ 供应商不在基础资料里",IF(D627="","✗ 没选商品",IF(COUNTIF(基础资料!$E$5:$E$104,D627)=0,"✗ 商品不在商品档案里",IF(AND(E627="",H627=""),"✗ 没填数量",IF(AND(N(E627)&lt;&gt;0,F627=""),"✗ 没填进价","√")))))))))</f>
      </c>
    </row>
    <row r="628">
      <c r="A628" s="109">
        <f>IF(AND(C628="",D628=""),"",ROW()-3)</f>
      </c>
      <c r="B628" s="140" t="n"/>
      <c r="C628" s="141" t="n"/>
      <c r="D628" s="141" t="n"/>
      <c r="E628" s="148" t="n"/>
      <c r="F628" s="149" t="n"/>
      <c r="G628" s="150">
        <f>IF(AND(E628&lt;&gt;"",F628&lt;&gt;""),E628*F628,"")</f>
      </c>
      <c r="H628" s="148" t="n"/>
      <c r="I628" s="142" t="n"/>
      <c r="J628" s="146">
        <f>IF(AND(B628="",C628="",D628="",E628="",F628="",H628=""),"",IF(NOT(ISNUMBER(B628)),"✗ 日期不是真日期",IF(OR(B628&lt;年初日,B628&gt;年末日),"✗ 日期不在本年度",IF(C628="","✗ 没选供应商",IF(COUNTIF(基础资料!$Q$5:$Q$54,C628)=0,"✗ 供应商不在基础资料里",IF(D628="","✗ 没选商品",IF(COUNTIF(基础资料!$E$5:$E$104,D628)=0,"✗ 商品不在商品档案里",IF(AND(E628="",H628=""),"✗ 没填数量",IF(AND(N(E628)&lt;&gt;0,F628=""),"✗ 没填进价","√")))))))))</f>
      </c>
    </row>
    <row r="629">
      <c r="A629" s="109">
        <f>IF(AND(C629="",D629=""),"",ROW()-3)</f>
      </c>
      <c r="B629" s="140" t="n"/>
      <c r="C629" s="141" t="n"/>
      <c r="D629" s="141" t="n"/>
      <c r="E629" s="148" t="n"/>
      <c r="F629" s="149" t="n"/>
      <c r="G629" s="150">
        <f>IF(AND(E629&lt;&gt;"",F629&lt;&gt;""),E629*F629,"")</f>
      </c>
      <c r="H629" s="148" t="n"/>
      <c r="I629" s="142" t="n"/>
      <c r="J629" s="146">
        <f>IF(AND(B629="",C629="",D629="",E629="",F629="",H629=""),"",IF(NOT(ISNUMBER(B629)),"✗ 日期不是真日期",IF(OR(B629&lt;年初日,B629&gt;年末日),"✗ 日期不在本年度",IF(C629="","✗ 没选供应商",IF(COUNTIF(基础资料!$Q$5:$Q$54,C629)=0,"✗ 供应商不在基础资料里",IF(D629="","✗ 没选商品",IF(COUNTIF(基础资料!$E$5:$E$104,D629)=0,"✗ 商品不在商品档案里",IF(AND(E629="",H629=""),"✗ 没填数量",IF(AND(N(E629)&lt;&gt;0,F629=""),"✗ 没填进价","√")))))))))</f>
      </c>
    </row>
    <row r="630">
      <c r="A630" s="109">
        <f>IF(AND(C630="",D630=""),"",ROW()-3)</f>
      </c>
      <c r="B630" s="140" t="n"/>
      <c r="C630" s="141" t="n"/>
      <c r="D630" s="141" t="n"/>
      <c r="E630" s="148" t="n"/>
      <c r="F630" s="149" t="n"/>
      <c r="G630" s="150">
        <f>IF(AND(E630&lt;&gt;"",F630&lt;&gt;""),E630*F630,"")</f>
      </c>
      <c r="H630" s="148" t="n"/>
      <c r="I630" s="142" t="n"/>
      <c r="J630" s="146">
        <f>IF(AND(B630="",C630="",D630="",E630="",F630="",H630=""),"",IF(NOT(ISNUMBER(B630)),"✗ 日期不是真日期",IF(OR(B630&lt;年初日,B630&gt;年末日),"✗ 日期不在本年度",IF(C630="","✗ 没选供应商",IF(COUNTIF(基础资料!$Q$5:$Q$54,C630)=0,"✗ 供应商不在基础资料里",IF(D630="","✗ 没选商品",IF(COUNTIF(基础资料!$E$5:$E$104,D630)=0,"✗ 商品不在商品档案里",IF(AND(E630="",H630=""),"✗ 没填数量",IF(AND(N(E630)&lt;&gt;0,F630=""),"✗ 没填进价","√")))))))))</f>
      </c>
    </row>
    <row r="631">
      <c r="A631" s="109">
        <f>IF(AND(C631="",D631=""),"",ROW()-3)</f>
      </c>
      <c r="B631" s="140" t="n"/>
      <c r="C631" s="141" t="n"/>
      <c r="D631" s="141" t="n"/>
      <c r="E631" s="148" t="n"/>
      <c r="F631" s="149" t="n"/>
      <c r="G631" s="150">
        <f>IF(AND(E631&lt;&gt;"",F631&lt;&gt;""),E631*F631,"")</f>
      </c>
      <c r="H631" s="148" t="n"/>
      <c r="I631" s="142" t="n"/>
      <c r="J631" s="146">
        <f>IF(AND(B631="",C631="",D631="",E631="",F631="",H631=""),"",IF(NOT(ISNUMBER(B631)),"✗ 日期不是真日期",IF(OR(B631&lt;年初日,B631&gt;年末日),"✗ 日期不在本年度",IF(C631="","✗ 没选供应商",IF(COUNTIF(基础资料!$Q$5:$Q$54,C631)=0,"✗ 供应商不在基础资料里",IF(D631="","✗ 没选商品",IF(COUNTIF(基础资料!$E$5:$E$104,D631)=0,"✗ 商品不在商品档案里",IF(AND(E631="",H631=""),"✗ 没填数量",IF(AND(N(E631)&lt;&gt;0,F631=""),"✗ 没填进价","√")))))))))</f>
      </c>
    </row>
    <row r="632">
      <c r="A632" s="109">
        <f>IF(AND(C632="",D632=""),"",ROW()-3)</f>
      </c>
      <c r="B632" s="140" t="n"/>
      <c r="C632" s="141" t="n"/>
      <c r="D632" s="141" t="n"/>
      <c r="E632" s="148" t="n"/>
      <c r="F632" s="149" t="n"/>
      <c r="G632" s="150">
        <f>IF(AND(E632&lt;&gt;"",F632&lt;&gt;""),E632*F632,"")</f>
      </c>
      <c r="H632" s="148" t="n"/>
      <c r="I632" s="142" t="n"/>
      <c r="J632" s="146">
        <f>IF(AND(B632="",C632="",D632="",E632="",F632="",H632=""),"",IF(NOT(ISNUMBER(B632)),"✗ 日期不是真日期",IF(OR(B632&lt;年初日,B632&gt;年末日),"✗ 日期不在本年度",IF(C632="","✗ 没选供应商",IF(COUNTIF(基础资料!$Q$5:$Q$54,C632)=0,"✗ 供应商不在基础资料里",IF(D632="","✗ 没选商品",IF(COUNTIF(基础资料!$E$5:$E$104,D632)=0,"✗ 商品不在商品档案里",IF(AND(E632="",H632=""),"✗ 没填数量",IF(AND(N(E632)&lt;&gt;0,F632=""),"✗ 没填进价","√")))))))))</f>
      </c>
    </row>
    <row r="633">
      <c r="A633" s="109">
        <f>IF(AND(C633="",D633=""),"",ROW()-3)</f>
      </c>
      <c r="B633" s="140" t="n"/>
      <c r="C633" s="141" t="n"/>
      <c r="D633" s="141" t="n"/>
      <c r="E633" s="148" t="n"/>
      <c r="F633" s="149" t="n"/>
      <c r="G633" s="150">
        <f>IF(AND(E633&lt;&gt;"",F633&lt;&gt;""),E633*F633,"")</f>
      </c>
      <c r="H633" s="148" t="n"/>
      <c r="I633" s="142" t="n"/>
      <c r="J633" s="146">
        <f>IF(AND(B633="",C633="",D633="",E633="",F633="",H633=""),"",IF(NOT(ISNUMBER(B633)),"✗ 日期不是真日期",IF(OR(B633&lt;年初日,B633&gt;年末日),"✗ 日期不在本年度",IF(C633="","✗ 没选供应商",IF(COUNTIF(基础资料!$Q$5:$Q$54,C633)=0,"✗ 供应商不在基础资料里",IF(D633="","✗ 没选商品",IF(COUNTIF(基础资料!$E$5:$E$104,D633)=0,"✗ 商品不在商品档案里",IF(AND(E633="",H633=""),"✗ 没填数量",IF(AND(N(E633)&lt;&gt;0,F633=""),"✗ 没填进价","√")))))))))</f>
      </c>
    </row>
    <row r="634">
      <c r="A634" s="109">
        <f>IF(AND(C634="",D634=""),"",ROW()-3)</f>
      </c>
      <c r="B634" s="140" t="n"/>
      <c r="C634" s="141" t="n"/>
      <c r="D634" s="141" t="n"/>
      <c r="E634" s="148" t="n"/>
      <c r="F634" s="149" t="n"/>
      <c r="G634" s="150">
        <f>IF(AND(E634&lt;&gt;"",F634&lt;&gt;""),E634*F634,"")</f>
      </c>
      <c r="H634" s="148" t="n"/>
      <c r="I634" s="142" t="n"/>
      <c r="J634" s="146">
        <f>IF(AND(B634="",C634="",D634="",E634="",F634="",H634=""),"",IF(NOT(ISNUMBER(B634)),"✗ 日期不是真日期",IF(OR(B634&lt;年初日,B634&gt;年末日),"✗ 日期不在本年度",IF(C634="","✗ 没选供应商",IF(COUNTIF(基础资料!$Q$5:$Q$54,C634)=0,"✗ 供应商不在基础资料里",IF(D634="","✗ 没选商品",IF(COUNTIF(基础资料!$E$5:$E$104,D634)=0,"✗ 商品不在商品档案里",IF(AND(E634="",H634=""),"✗ 没填数量",IF(AND(N(E634)&lt;&gt;0,F634=""),"✗ 没填进价","√")))))))))</f>
      </c>
    </row>
    <row r="635">
      <c r="A635" s="109">
        <f>IF(AND(C635="",D635=""),"",ROW()-3)</f>
      </c>
      <c r="B635" s="140" t="n"/>
      <c r="C635" s="141" t="n"/>
      <c r="D635" s="141" t="n"/>
      <c r="E635" s="148" t="n"/>
      <c r="F635" s="149" t="n"/>
      <c r="G635" s="150">
        <f>IF(AND(E635&lt;&gt;"",F635&lt;&gt;""),E635*F635,"")</f>
      </c>
      <c r="H635" s="148" t="n"/>
      <c r="I635" s="142" t="n"/>
      <c r="J635" s="146">
        <f>IF(AND(B635="",C635="",D635="",E635="",F635="",H635=""),"",IF(NOT(ISNUMBER(B635)),"✗ 日期不是真日期",IF(OR(B635&lt;年初日,B635&gt;年末日),"✗ 日期不在本年度",IF(C635="","✗ 没选供应商",IF(COUNTIF(基础资料!$Q$5:$Q$54,C635)=0,"✗ 供应商不在基础资料里",IF(D635="","✗ 没选商品",IF(COUNTIF(基础资料!$E$5:$E$104,D635)=0,"✗ 商品不在商品档案里",IF(AND(E635="",H635=""),"✗ 没填数量",IF(AND(N(E635)&lt;&gt;0,F635=""),"✗ 没填进价","√")))))))))</f>
      </c>
    </row>
    <row r="636">
      <c r="A636" s="109">
        <f>IF(AND(C636="",D636=""),"",ROW()-3)</f>
      </c>
      <c r="B636" s="140" t="n"/>
      <c r="C636" s="141" t="n"/>
      <c r="D636" s="141" t="n"/>
      <c r="E636" s="148" t="n"/>
      <c r="F636" s="149" t="n"/>
      <c r="G636" s="150">
        <f>IF(AND(E636&lt;&gt;"",F636&lt;&gt;""),E636*F636,"")</f>
      </c>
      <c r="H636" s="148" t="n"/>
      <c r="I636" s="142" t="n"/>
      <c r="J636" s="146">
        <f>IF(AND(B636="",C636="",D636="",E636="",F636="",H636=""),"",IF(NOT(ISNUMBER(B636)),"✗ 日期不是真日期",IF(OR(B636&lt;年初日,B636&gt;年末日),"✗ 日期不在本年度",IF(C636="","✗ 没选供应商",IF(COUNTIF(基础资料!$Q$5:$Q$54,C636)=0,"✗ 供应商不在基础资料里",IF(D636="","✗ 没选商品",IF(COUNTIF(基础资料!$E$5:$E$104,D636)=0,"✗ 商品不在商品档案里",IF(AND(E636="",H636=""),"✗ 没填数量",IF(AND(N(E636)&lt;&gt;0,F636=""),"✗ 没填进价","√")))))))))</f>
      </c>
    </row>
    <row r="637">
      <c r="A637" s="109">
        <f>IF(AND(C637="",D637=""),"",ROW()-3)</f>
      </c>
      <c r="B637" s="140" t="n"/>
      <c r="C637" s="141" t="n"/>
      <c r="D637" s="141" t="n"/>
      <c r="E637" s="148" t="n"/>
      <c r="F637" s="149" t="n"/>
      <c r="G637" s="150">
        <f>IF(AND(E637&lt;&gt;"",F637&lt;&gt;""),E637*F637,"")</f>
      </c>
      <c r="H637" s="148" t="n"/>
      <c r="I637" s="142" t="n"/>
      <c r="J637" s="146">
        <f>IF(AND(B637="",C637="",D637="",E637="",F637="",H637=""),"",IF(NOT(ISNUMBER(B637)),"✗ 日期不是真日期",IF(OR(B637&lt;年初日,B637&gt;年末日),"✗ 日期不在本年度",IF(C637="","✗ 没选供应商",IF(COUNTIF(基础资料!$Q$5:$Q$54,C637)=0,"✗ 供应商不在基础资料里",IF(D637="","✗ 没选商品",IF(COUNTIF(基础资料!$E$5:$E$104,D637)=0,"✗ 商品不在商品档案里",IF(AND(E637="",H637=""),"✗ 没填数量",IF(AND(N(E637)&lt;&gt;0,F637=""),"✗ 没填进价","√")))))))))</f>
      </c>
    </row>
    <row r="638">
      <c r="A638" s="109">
        <f>IF(AND(C638="",D638=""),"",ROW()-3)</f>
      </c>
      <c r="B638" s="140" t="n"/>
      <c r="C638" s="141" t="n"/>
      <c r="D638" s="141" t="n"/>
      <c r="E638" s="148" t="n"/>
      <c r="F638" s="149" t="n"/>
      <c r="G638" s="150">
        <f>IF(AND(E638&lt;&gt;"",F638&lt;&gt;""),E638*F638,"")</f>
      </c>
      <c r="H638" s="148" t="n"/>
      <c r="I638" s="142" t="n"/>
      <c r="J638" s="146">
        <f>IF(AND(B638="",C638="",D638="",E638="",F638="",H638=""),"",IF(NOT(ISNUMBER(B638)),"✗ 日期不是真日期",IF(OR(B638&lt;年初日,B638&gt;年末日),"✗ 日期不在本年度",IF(C638="","✗ 没选供应商",IF(COUNTIF(基础资料!$Q$5:$Q$54,C638)=0,"✗ 供应商不在基础资料里",IF(D638="","✗ 没选商品",IF(COUNTIF(基础资料!$E$5:$E$104,D638)=0,"✗ 商品不在商品档案里",IF(AND(E638="",H638=""),"✗ 没填数量",IF(AND(N(E638)&lt;&gt;0,F638=""),"✗ 没填进价","√")))))))))</f>
      </c>
    </row>
    <row r="639">
      <c r="A639" s="109">
        <f>IF(AND(C639="",D639=""),"",ROW()-3)</f>
      </c>
      <c r="B639" s="140" t="n"/>
      <c r="C639" s="141" t="n"/>
      <c r="D639" s="141" t="n"/>
      <c r="E639" s="148" t="n"/>
      <c r="F639" s="149" t="n"/>
      <c r="G639" s="150">
        <f>IF(AND(E639&lt;&gt;"",F639&lt;&gt;""),E639*F639,"")</f>
      </c>
      <c r="H639" s="148" t="n"/>
      <c r="I639" s="142" t="n"/>
      <c r="J639" s="146">
        <f>IF(AND(B639="",C639="",D639="",E639="",F639="",H639=""),"",IF(NOT(ISNUMBER(B639)),"✗ 日期不是真日期",IF(OR(B639&lt;年初日,B639&gt;年末日),"✗ 日期不在本年度",IF(C639="","✗ 没选供应商",IF(COUNTIF(基础资料!$Q$5:$Q$54,C639)=0,"✗ 供应商不在基础资料里",IF(D639="","✗ 没选商品",IF(COUNTIF(基础资料!$E$5:$E$104,D639)=0,"✗ 商品不在商品档案里",IF(AND(E639="",H639=""),"✗ 没填数量",IF(AND(N(E639)&lt;&gt;0,F639=""),"✗ 没填进价","√")))))))))</f>
      </c>
    </row>
    <row r="640">
      <c r="A640" s="109">
        <f>IF(AND(C640="",D640=""),"",ROW()-3)</f>
      </c>
      <c r="B640" s="140" t="n"/>
      <c r="C640" s="141" t="n"/>
      <c r="D640" s="141" t="n"/>
      <c r="E640" s="148" t="n"/>
      <c r="F640" s="149" t="n"/>
      <c r="G640" s="150">
        <f>IF(AND(E640&lt;&gt;"",F640&lt;&gt;""),E640*F640,"")</f>
      </c>
      <c r="H640" s="148" t="n"/>
      <c r="I640" s="142" t="n"/>
      <c r="J640" s="146">
        <f>IF(AND(B640="",C640="",D640="",E640="",F640="",H640=""),"",IF(NOT(ISNUMBER(B640)),"✗ 日期不是真日期",IF(OR(B640&lt;年初日,B640&gt;年末日),"✗ 日期不在本年度",IF(C640="","✗ 没选供应商",IF(COUNTIF(基础资料!$Q$5:$Q$54,C640)=0,"✗ 供应商不在基础资料里",IF(D640="","✗ 没选商品",IF(COUNTIF(基础资料!$E$5:$E$104,D640)=0,"✗ 商品不在商品档案里",IF(AND(E640="",H640=""),"✗ 没填数量",IF(AND(N(E640)&lt;&gt;0,F640=""),"✗ 没填进价","√")))))))))</f>
      </c>
    </row>
    <row r="641">
      <c r="A641" s="109">
        <f>IF(AND(C641="",D641=""),"",ROW()-3)</f>
      </c>
      <c r="B641" s="140" t="n"/>
      <c r="C641" s="141" t="n"/>
      <c r="D641" s="141" t="n"/>
      <c r="E641" s="148" t="n"/>
      <c r="F641" s="149" t="n"/>
      <c r="G641" s="150">
        <f>IF(AND(E641&lt;&gt;"",F641&lt;&gt;""),E641*F641,"")</f>
      </c>
      <c r="H641" s="148" t="n"/>
      <c r="I641" s="142" t="n"/>
      <c r="J641" s="146">
        <f>IF(AND(B641="",C641="",D641="",E641="",F641="",H641=""),"",IF(NOT(ISNUMBER(B641)),"✗ 日期不是真日期",IF(OR(B641&lt;年初日,B641&gt;年末日),"✗ 日期不在本年度",IF(C641="","✗ 没选供应商",IF(COUNTIF(基础资料!$Q$5:$Q$54,C641)=0,"✗ 供应商不在基础资料里",IF(D641="","✗ 没选商品",IF(COUNTIF(基础资料!$E$5:$E$104,D641)=0,"✗ 商品不在商品档案里",IF(AND(E641="",H641=""),"✗ 没填数量",IF(AND(N(E641)&lt;&gt;0,F641=""),"✗ 没填进价","√")))))))))</f>
      </c>
    </row>
    <row r="642">
      <c r="A642" s="109">
        <f>IF(AND(C642="",D642=""),"",ROW()-3)</f>
      </c>
      <c r="B642" s="140" t="n"/>
      <c r="C642" s="141" t="n"/>
      <c r="D642" s="141" t="n"/>
      <c r="E642" s="148" t="n"/>
      <c r="F642" s="149" t="n"/>
      <c r="G642" s="150">
        <f>IF(AND(E642&lt;&gt;"",F642&lt;&gt;""),E642*F642,"")</f>
      </c>
      <c r="H642" s="148" t="n"/>
      <c r="I642" s="142" t="n"/>
      <c r="J642" s="146">
        <f>IF(AND(B642="",C642="",D642="",E642="",F642="",H642=""),"",IF(NOT(ISNUMBER(B642)),"✗ 日期不是真日期",IF(OR(B642&lt;年初日,B642&gt;年末日),"✗ 日期不在本年度",IF(C642="","✗ 没选供应商",IF(COUNTIF(基础资料!$Q$5:$Q$54,C642)=0,"✗ 供应商不在基础资料里",IF(D642="","✗ 没选商品",IF(COUNTIF(基础资料!$E$5:$E$104,D642)=0,"✗ 商品不在商品档案里",IF(AND(E642="",H642=""),"✗ 没填数量",IF(AND(N(E642)&lt;&gt;0,F642=""),"✗ 没填进价","√")))))))))</f>
      </c>
    </row>
    <row r="643">
      <c r="A643" s="109">
        <f>IF(AND(C643="",D643=""),"",ROW()-3)</f>
      </c>
      <c r="B643" s="140" t="n"/>
      <c r="C643" s="141" t="n"/>
      <c r="D643" s="141" t="n"/>
      <c r="E643" s="148" t="n"/>
      <c r="F643" s="149" t="n"/>
      <c r="G643" s="150">
        <f>IF(AND(E643&lt;&gt;"",F643&lt;&gt;""),E643*F643,"")</f>
      </c>
      <c r="H643" s="148" t="n"/>
      <c r="I643" s="142" t="n"/>
      <c r="J643" s="146">
        <f>IF(AND(B643="",C643="",D643="",E643="",F643="",H643=""),"",IF(NOT(ISNUMBER(B643)),"✗ 日期不是真日期",IF(OR(B643&lt;年初日,B643&gt;年末日),"✗ 日期不在本年度",IF(C643="","✗ 没选供应商",IF(COUNTIF(基础资料!$Q$5:$Q$54,C643)=0,"✗ 供应商不在基础资料里",IF(D643="","✗ 没选商品",IF(COUNTIF(基础资料!$E$5:$E$104,D643)=0,"✗ 商品不在商品档案里",IF(AND(E643="",H643=""),"✗ 没填数量",IF(AND(N(E643)&lt;&gt;0,F643=""),"✗ 没填进价","√")))))))))</f>
      </c>
    </row>
    <row r="644">
      <c r="A644" s="109">
        <f>IF(AND(C644="",D644=""),"",ROW()-3)</f>
      </c>
      <c r="B644" s="140" t="n"/>
      <c r="C644" s="141" t="n"/>
      <c r="D644" s="141" t="n"/>
      <c r="E644" s="148" t="n"/>
      <c r="F644" s="149" t="n"/>
      <c r="G644" s="150">
        <f>IF(AND(E644&lt;&gt;"",F644&lt;&gt;""),E644*F644,"")</f>
      </c>
      <c r="H644" s="148" t="n"/>
      <c r="I644" s="142" t="n"/>
      <c r="J644" s="146">
        <f>IF(AND(B644="",C644="",D644="",E644="",F644="",H644=""),"",IF(NOT(ISNUMBER(B644)),"✗ 日期不是真日期",IF(OR(B644&lt;年初日,B644&gt;年末日),"✗ 日期不在本年度",IF(C644="","✗ 没选供应商",IF(COUNTIF(基础资料!$Q$5:$Q$54,C644)=0,"✗ 供应商不在基础资料里",IF(D644="","✗ 没选商品",IF(COUNTIF(基础资料!$E$5:$E$104,D644)=0,"✗ 商品不在商品档案里",IF(AND(E644="",H644=""),"✗ 没填数量",IF(AND(N(E644)&lt;&gt;0,F644=""),"✗ 没填进价","√")))))))))</f>
      </c>
    </row>
    <row r="645">
      <c r="A645" s="109">
        <f>IF(AND(C645="",D645=""),"",ROW()-3)</f>
      </c>
      <c r="B645" s="140" t="n"/>
      <c r="C645" s="141" t="n"/>
      <c r="D645" s="141" t="n"/>
      <c r="E645" s="148" t="n"/>
      <c r="F645" s="149" t="n"/>
      <c r="G645" s="150">
        <f>IF(AND(E645&lt;&gt;"",F645&lt;&gt;""),E645*F645,"")</f>
      </c>
      <c r="H645" s="148" t="n"/>
      <c r="I645" s="142" t="n"/>
      <c r="J645" s="146">
        <f>IF(AND(B645="",C645="",D645="",E645="",F645="",H645=""),"",IF(NOT(ISNUMBER(B645)),"✗ 日期不是真日期",IF(OR(B645&lt;年初日,B645&gt;年末日),"✗ 日期不在本年度",IF(C645="","✗ 没选供应商",IF(COUNTIF(基础资料!$Q$5:$Q$54,C645)=0,"✗ 供应商不在基础资料里",IF(D645="","✗ 没选商品",IF(COUNTIF(基础资料!$E$5:$E$104,D645)=0,"✗ 商品不在商品档案里",IF(AND(E645="",H645=""),"✗ 没填数量",IF(AND(N(E645)&lt;&gt;0,F645=""),"✗ 没填进价","√")))))))))</f>
      </c>
    </row>
    <row r="646">
      <c r="A646" s="109">
        <f>IF(AND(C646="",D646=""),"",ROW()-3)</f>
      </c>
      <c r="B646" s="140" t="n"/>
      <c r="C646" s="141" t="n"/>
      <c r="D646" s="141" t="n"/>
      <c r="E646" s="148" t="n"/>
      <c r="F646" s="149" t="n"/>
      <c r="G646" s="150">
        <f>IF(AND(E646&lt;&gt;"",F646&lt;&gt;""),E646*F646,"")</f>
      </c>
      <c r="H646" s="148" t="n"/>
      <c r="I646" s="142" t="n"/>
      <c r="J646" s="146">
        <f>IF(AND(B646="",C646="",D646="",E646="",F646="",H646=""),"",IF(NOT(ISNUMBER(B646)),"✗ 日期不是真日期",IF(OR(B646&lt;年初日,B646&gt;年末日),"✗ 日期不在本年度",IF(C646="","✗ 没选供应商",IF(COUNTIF(基础资料!$Q$5:$Q$54,C646)=0,"✗ 供应商不在基础资料里",IF(D646="","✗ 没选商品",IF(COUNTIF(基础资料!$E$5:$E$104,D646)=0,"✗ 商品不在商品档案里",IF(AND(E646="",H646=""),"✗ 没填数量",IF(AND(N(E646)&lt;&gt;0,F646=""),"✗ 没填进价","√")))))))))</f>
      </c>
    </row>
    <row r="647">
      <c r="A647" s="109">
        <f>IF(AND(C647="",D647=""),"",ROW()-3)</f>
      </c>
      <c r="B647" s="140" t="n"/>
      <c r="C647" s="141" t="n"/>
      <c r="D647" s="141" t="n"/>
      <c r="E647" s="148" t="n"/>
      <c r="F647" s="149" t="n"/>
      <c r="G647" s="150">
        <f>IF(AND(E647&lt;&gt;"",F647&lt;&gt;""),E647*F647,"")</f>
      </c>
      <c r="H647" s="148" t="n"/>
      <c r="I647" s="142" t="n"/>
      <c r="J647" s="146">
        <f>IF(AND(B647="",C647="",D647="",E647="",F647="",H647=""),"",IF(NOT(ISNUMBER(B647)),"✗ 日期不是真日期",IF(OR(B647&lt;年初日,B647&gt;年末日),"✗ 日期不在本年度",IF(C647="","✗ 没选供应商",IF(COUNTIF(基础资料!$Q$5:$Q$54,C647)=0,"✗ 供应商不在基础资料里",IF(D647="","✗ 没选商品",IF(COUNTIF(基础资料!$E$5:$E$104,D647)=0,"✗ 商品不在商品档案里",IF(AND(E647="",H647=""),"✗ 没填数量",IF(AND(N(E647)&lt;&gt;0,F647=""),"✗ 没填进价","√")))))))))</f>
      </c>
    </row>
    <row r="648">
      <c r="A648" s="109">
        <f>IF(AND(C648="",D648=""),"",ROW()-3)</f>
      </c>
      <c r="B648" s="140" t="n"/>
      <c r="C648" s="141" t="n"/>
      <c r="D648" s="141" t="n"/>
      <c r="E648" s="148" t="n"/>
      <c r="F648" s="149" t="n"/>
      <c r="G648" s="150">
        <f>IF(AND(E648&lt;&gt;"",F648&lt;&gt;""),E648*F648,"")</f>
      </c>
      <c r="H648" s="148" t="n"/>
      <c r="I648" s="142" t="n"/>
      <c r="J648" s="146">
        <f>IF(AND(B648="",C648="",D648="",E648="",F648="",H648=""),"",IF(NOT(ISNUMBER(B648)),"✗ 日期不是真日期",IF(OR(B648&lt;年初日,B648&gt;年末日),"✗ 日期不在本年度",IF(C648="","✗ 没选供应商",IF(COUNTIF(基础资料!$Q$5:$Q$54,C648)=0,"✗ 供应商不在基础资料里",IF(D648="","✗ 没选商品",IF(COUNTIF(基础资料!$E$5:$E$104,D648)=0,"✗ 商品不在商品档案里",IF(AND(E648="",H648=""),"✗ 没填数量",IF(AND(N(E648)&lt;&gt;0,F648=""),"✗ 没填进价","√")))))))))</f>
      </c>
    </row>
    <row r="649">
      <c r="A649" s="109">
        <f>IF(AND(C649="",D649=""),"",ROW()-3)</f>
      </c>
      <c r="B649" s="140" t="n"/>
      <c r="C649" s="141" t="n"/>
      <c r="D649" s="141" t="n"/>
      <c r="E649" s="148" t="n"/>
      <c r="F649" s="149" t="n"/>
      <c r="G649" s="150">
        <f>IF(AND(E649&lt;&gt;"",F649&lt;&gt;""),E649*F649,"")</f>
      </c>
      <c r="H649" s="148" t="n"/>
      <c r="I649" s="142" t="n"/>
      <c r="J649" s="146">
        <f>IF(AND(B649="",C649="",D649="",E649="",F649="",H649=""),"",IF(NOT(ISNUMBER(B649)),"✗ 日期不是真日期",IF(OR(B649&lt;年初日,B649&gt;年末日),"✗ 日期不在本年度",IF(C649="","✗ 没选供应商",IF(COUNTIF(基础资料!$Q$5:$Q$54,C649)=0,"✗ 供应商不在基础资料里",IF(D649="","✗ 没选商品",IF(COUNTIF(基础资料!$E$5:$E$104,D649)=0,"✗ 商品不在商品档案里",IF(AND(E649="",H649=""),"✗ 没填数量",IF(AND(N(E649)&lt;&gt;0,F649=""),"✗ 没填进价","√")))))))))</f>
      </c>
    </row>
    <row r="650">
      <c r="A650" s="109">
        <f>IF(AND(C650="",D650=""),"",ROW()-3)</f>
      </c>
      <c r="B650" s="140" t="n"/>
      <c r="C650" s="141" t="n"/>
      <c r="D650" s="141" t="n"/>
      <c r="E650" s="148" t="n"/>
      <c r="F650" s="149" t="n"/>
      <c r="G650" s="150">
        <f>IF(AND(E650&lt;&gt;"",F650&lt;&gt;""),E650*F650,"")</f>
      </c>
      <c r="H650" s="148" t="n"/>
      <c r="I650" s="142" t="n"/>
      <c r="J650" s="146">
        <f>IF(AND(B650="",C650="",D650="",E650="",F650="",H650=""),"",IF(NOT(ISNUMBER(B650)),"✗ 日期不是真日期",IF(OR(B650&lt;年初日,B650&gt;年末日),"✗ 日期不在本年度",IF(C650="","✗ 没选供应商",IF(COUNTIF(基础资料!$Q$5:$Q$54,C650)=0,"✗ 供应商不在基础资料里",IF(D650="","✗ 没选商品",IF(COUNTIF(基础资料!$E$5:$E$104,D650)=0,"✗ 商品不在商品档案里",IF(AND(E650="",H650=""),"✗ 没填数量",IF(AND(N(E650)&lt;&gt;0,F650=""),"✗ 没填进价","√")))))))))</f>
      </c>
    </row>
    <row r="651">
      <c r="A651" s="109">
        <f>IF(AND(C651="",D651=""),"",ROW()-3)</f>
      </c>
      <c r="B651" s="140" t="n"/>
      <c r="C651" s="141" t="n"/>
      <c r="D651" s="141" t="n"/>
      <c r="E651" s="148" t="n"/>
      <c r="F651" s="149" t="n"/>
      <c r="G651" s="150">
        <f>IF(AND(E651&lt;&gt;"",F651&lt;&gt;""),E651*F651,"")</f>
      </c>
      <c r="H651" s="148" t="n"/>
      <c r="I651" s="142" t="n"/>
      <c r="J651" s="146">
        <f>IF(AND(B651="",C651="",D651="",E651="",F651="",H651=""),"",IF(NOT(ISNUMBER(B651)),"✗ 日期不是真日期",IF(OR(B651&lt;年初日,B651&gt;年末日),"✗ 日期不在本年度",IF(C651="","✗ 没选供应商",IF(COUNTIF(基础资料!$Q$5:$Q$54,C651)=0,"✗ 供应商不在基础资料里",IF(D651="","✗ 没选商品",IF(COUNTIF(基础资料!$E$5:$E$104,D651)=0,"✗ 商品不在商品档案里",IF(AND(E651="",H651=""),"✗ 没填数量",IF(AND(N(E651)&lt;&gt;0,F651=""),"✗ 没填进价","√")))))))))</f>
      </c>
    </row>
    <row r="652">
      <c r="A652" s="109">
        <f>IF(AND(C652="",D652=""),"",ROW()-3)</f>
      </c>
      <c r="B652" s="140" t="n"/>
      <c r="C652" s="141" t="n"/>
      <c r="D652" s="141" t="n"/>
      <c r="E652" s="148" t="n"/>
      <c r="F652" s="149" t="n"/>
      <c r="G652" s="150">
        <f>IF(AND(E652&lt;&gt;"",F652&lt;&gt;""),E652*F652,"")</f>
      </c>
      <c r="H652" s="148" t="n"/>
      <c r="I652" s="142" t="n"/>
      <c r="J652" s="146">
        <f>IF(AND(B652="",C652="",D652="",E652="",F652="",H652=""),"",IF(NOT(ISNUMBER(B652)),"✗ 日期不是真日期",IF(OR(B652&lt;年初日,B652&gt;年末日),"✗ 日期不在本年度",IF(C652="","✗ 没选供应商",IF(COUNTIF(基础资料!$Q$5:$Q$54,C652)=0,"✗ 供应商不在基础资料里",IF(D652="","✗ 没选商品",IF(COUNTIF(基础资料!$E$5:$E$104,D652)=0,"✗ 商品不在商品档案里",IF(AND(E652="",H652=""),"✗ 没填数量",IF(AND(N(E652)&lt;&gt;0,F652=""),"✗ 没填进价","√")))))))))</f>
      </c>
    </row>
    <row r="653">
      <c r="A653" s="109">
        <f>IF(AND(C653="",D653=""),"",ROW()-3)</f>
      </c>
      <c r="B653" s="140" t="n"/>
      <c r="C653" s="141" t="n"/>
      <c r="D653" s="141" t="n"/>
      <c r="E653" s="148" t="n"/>
      <c r="F653" s="149" t="n"/>
      <c r="G653" s="150">
        <f>IF(AND(E653&lt;&gt;"",F653&lt;&gt;""),E653*F653,"")</f>
      </c>
      <c r="H653" s="148" t="n"/>
      <c r="I653" s="142" t="n"/>
      <c r="J653" s="146">
        <f>IF(AND(B653="",C653="",D653="",E653="",F653="",H653=""),"",IF(NOT(ISNUMBER(B653)),"✗ 日期不是真日期",IF(OR(B653&lt;年初日,B653&gt;年末日),"✗ 日期不在本年度",IF(C653="","✗ 没选供应商",IF(COUNTIF(基础资料!$Q$5:$Q$54,C653)=0,"✗ 供应商不在基础资料里",IF(D653="","✗ 没选商品",IF(COUNTIF(基础资料!$E$5:$E$104,D653)=0,"✗ 商品不在商品档案里",IF(AND(E653="",H653=""),"✗ 没填数量",IF(AND(N(E653)&lt;&gt;0,F653=""),"✗ 没填进价","√")))))))))</f>
      </c>
    </row>
    <row r="654">
      <c r="A654" s="109">
        <f>IF(AND(C654="",D654=""),"",ROW()-3)</f>
      </c>
      <c r="B654" s="140" t="n"/>
      <c r="C654" s="141" t="n"/>
      <c r="D654" s="141" t="n"/>
      <c r="E654" s="148" t="n"/>
      <c r="F654" s="149" t="n"/>
      <c r="G654" s="150">
        <f>IF(AND(E654&lt;&gt;"",F654&lt;&gt;""),E654*F654,"")</f>
      </c>
      <c r="H654" s="148" t="n"/>
      <c r="I654" s="142" t="n"/>
      <c r="J654" s="146">
        <f>IF(AND(B654="",C654="",D654="",E654="",F654="",H654=""),"",IF(NOT(ISNUMBER(B654)),"✗ 日期不是真日期",IF(OR(B654&lt;年初日,B654&gt;年末日),"✗ 日期不在本年度",IF(C654="","✗ 没选供应商",IF(COUNTIF(基础资料!$Q$5:$Q$54,C654)=0,"✗ 供应商不在基础资料里",IF(D654="","✗ 没选商品",IF(COUNTIF(基础资料!$E$5:$E$104,D654)=0,"✗ 商品不在商品档案里",IF(AND(E654="",H654=""),"✗ 没填数量",IF(AND(N(E654)&lt;&gt;0,F654=""),"✗ 没填进价","√")))))))))</f>
      </c>
    </row>
    <row r="655">
      <c r="A655" s="109">
        <f>IF(AND(C655="",D655=""),"",ROW()-3)</f>
      </c>
      <c r="B655" s="140" t="n"/>
      <c r="C655" s="141" t="n"/>
      <c r="D655" s="141" t="n"/>
      <c r="E655" s="148" t="n"/>
      <c r="F655" s="149" t="n"/>
      <c r="G655" s="150">
        <f>IF(AND(E655&lt;&gt;"",F655&lt;&gt;""),E655*F655,"")</f>
      </c>
      <c r="H655" s="148" t="n"/>
      <c r="I655" s="142" t="n"/>
      <c r="J655" s="146">
        <f>IF(AND(B655="",C655="",D655="",E655="",F655="",H655=""),"",IF(NOT(ISNUMBER(B655)),"✗ 日期不是真日期",IF(OR(B655&lt;年初日,B655&gt;年末日),"✗ 日期不在本年度",IF(C655="","✗ 没选供应商",IF(COUNTIF(基础资料!$Q$5:$Q$54,C655)=0,"✗ 供应商不在基础资料里",IF(D655="","✗ 没选商品",IF(COUNTIF(基础资料!$E$5:$E$104,D655)=0,"✗ 商品不在商品档案里",IF(AND(E655="",H655=""),"✗ 没填数量",IF(AND(N(E655)&lt;&gt;0,F655=""),"✗ 没填进价","√")))))))))</f>
      </c>
    </row>
    <row r="656">
      <c r="A656" s="109">
        <f>IF(AND(C656="",D656=""),"",ROW()-3)</f>
      </c>
      <c r="B656" s="140" t="n"/>
      <c r="C656" s="141" t="n"/>
      <c r="D656" s="141" t="n"/>
      <c r="E656" s="148" t="n"/>
      <c r="F656" s="149" t="n"/>
      <c r="G656" s="150">
        <f>IF(AND(E656&lt;&gt;"",F656&lt;&gt;""),E656*F656,"")</f>
      </c>
      <c r="H656" s="148" t="n"/>
      <c r="I656" s="142" t="n"/>
      <c r="J656" s="146">
        <f>IF(AND(B656="",C656="",D656="",E656="",F656="",H656=""),"",IF(NOT(ISNUMBER(B656)),"✗ 日期不是真日期",IF(OR(B656&lt;年初日,B656&gt;年末日),"✗ 日期不在本年度",IF(C656="","✗ 没选供应商",IF(COUNTIF(基础资料!$Q$5:$Q$54,C656)=0,"✗ 供应商不在基础资料里",IF(D656="","✗ 没选商品",IF(COUNTIF(基础资料!$E$5:$E$104,D656)=0,"✗ 商品不在商品档案里",IF(AND(E656="",H656=""),"✗ 没填数量",IF(AND(N(E656)&lt;&gt;0,F656=""),"✗ 没填进价","√")))))))))</f>
      </c>
    </row>
    <row r="657">
      <c r="A657" s="109">
        <f>IF(AND(C657="",D657=""),"",ROW()-3)</f>
      </c>
      <c r="B657" s="140" t="n"/>
      <c r="C657" s="141" t="n"/>
      <c r="D657" s="141" t="n"/>
      <c r="E657" s="148" t="n"/>
      <c r="F657" s="149" t="n"/>
      <c r="G657" s="150">
        <f>IF(AND(E657&lt;&gt;"",F657&lt;&gt;""),E657*F657,"")</f>
      </c>
      <c r="H657" s="148" t="n"/>
      <c r="I657" s="142" t="n"/>
      <c r="J657" s="146">
        <f>IF(AND(B657="",C657="",D657="",E657="",F657="",H657=""),"",IF(NOT(ISNUMBER(B657)),"✗ 日期不是真日期",IF(OR(B657&lt;年初日,B657&gt;年末日),"✗ 日期不在本年度",IF(C657="","✗ 没选供应商",IF(COUNTIF(基础资料!$Q$5:$Q$54,C657)=0,"✗ 供应商不在基础资料里",IF(D657="","✗ 没选商品",IF(COUNTIF(基础资料!$E$5:$E$104,D657)=0,"✗ 商品不在商品档案里",IF(AND(E657="",H657=""),"✗ 没填数量",IF(AND(N(E657)&lt;&gt;0,F657=""),"✗ 没填进价","√")))))))))</f>
      </c>
    </row>
    <row r="658">
      <c r="A658" s="109">
        <f>IF(AND(C658="",D658=""),"",ROW()-3)</f>
      </c>
      <c r="B658" s="140" t="n"/>
      <c r="C658" s="141" t="n"/>
      <c r="D658" s="141" t="n"/>
      <c r="E658" s="148" t="n"/>
      <c r="F658" s="149" t="n"/>
      <c r="G658" s="150">
        <f>IF(AND(E658&lt;&gt;"",F658&lt;&gt;""),E658*F658,"")</f>
      </c>
      <c r="H658" s="148" t="n"/>
      <c r="I658" s="142" t="n"/>
      <c r="J658" s="146">
        <f>IF(AND(B658="",C658="",D658="",E658="",F658="",H658=""),"",IF(NOT(ISNUMBER(B658)),"✗ 日期不是真日期",IF(OR(B658&lt;年初日,B658&gt;年末日),"✗ 日期不在本年度",IF(C658="","✗ 没选供应商",IF(COUNTIF(基础资料!$Q$5:$Q$54,C658)=0,"✗ 供应商不在基础资料里",IF(D658="","✗ 没选商品",IF(COUNTIF(基础资料!$E$5:$E$104,D658)=0,"✗ 商品不在商品档案里",IF(AND(E658="",H658=""),"✗ 没填数量",IF(AND(N(E658)&lt;&gt;0,F658=""),"✗ 没填进价","√")))))))))</f>
      </c>
    </row>
    <row r="659">
      <c r="A659" s="109">
        <f>IF(AND(C659="",D659=""),"",ROW()-3)</f>
      </c>
      <c r="B659" s="140" t="n"/>
      <c r="C659" s="141" t="n"/>
      <c r="D659" s="141" t="n"/>
      <c r="E659" s="148" t="n"/>
      <c r="F659" s="149" t="n"/>
      <c r="G659" s="150">
        <f>IF(AND(E659&lt;&gt;"",F659&lt;&gt;""),E659*F659,"")</f>
      </c>
      <c r="H659" s="148" t="n"/>
      <c r="I659" s="142" t="n"/>
      <c r="J659" s="146">
        <f>IF(AND(B659="",C659="",D659="",E659="",F659="",H659=""),"",IF(NOT(ISNUMBER(B659)),"✗ 日期不是真日期",IF(OR(B659&lt;年初日,B659&gt;年末日),"✗ 日期不在本年度",IF(C659="","✗ 没选供应商",IF(COUNTIF(基础资料!$Q$5:$Q$54,C659)=0,"✗ 供应商不在基础资料里",IF(D659="","✗ 没选商品",IF(COUNTIF(基础资料!$E$5:$E$104,D659)=0,"✗ 商品不在商品档案里",IF(AND(E659="",H659=""),"✗ 没填数量",IF(AND(N(E659)&lt;&gt;0,F659=""),"✗ 没填进价","√")))))))))</f>
      </c>
    </row>
    <row r="660">
      <c r="A660" s="109">
        <f>IF(AND(C660="",D660=""),"",ROW()-3)</f>
      </c>
      <c r="B660" s="140" t="n"/>
      <c r="C660" s="141" t="n"/>
      <c r="D660" s="141" t="n"/>
      <c r="E660" s="148" t="n"/>
      <c r="F660" s="149" t="n"/>
      <c r="G660" s="150">
        <f>IF(AND(E660&lt;&gt;"",F660&lt;&gt;""),E660*F660,"")</f>
      </c>
      <c r="H660" s="148" t="n"/>
      <c r="I660" s="142" t="n"/>
      <c r="J660" s="146">
        <f>IF(AND(B660="",C660="",D660="",E660="",F660="",H660=""),"",IF(NOT(ISNUMBER(B660)),"✗ 日期不是真日期",IF(OR(B660&lt;年初日,B660&gt;年末日),"✗ 日期不在本年度",IF(C660="","✗ 没选供应商",IF(COUNTIF(基础资料!$Q$5:$Q$54,C660)=0,"✗ 供应商不在基础资料里",IF(D660="","✗ 没选商品",IF(COUNTIF(基础资料!$E$5:$E$104,D660)=0,"✗ 商品不在商品档案里",IF(AND(E660="",H660=""),"✗ 没填数量",IF(AND(N(E660)&lt;&gt;0,F660=""),"✗ 没填进价","√")))))))))</f>
      </c>
    </row>
    <row r="661">
      <c r="A661" s="109">
        <f>IF(AND(C661="",D661=""),"",ROW()-3)</f>
      </c>
      <c r="B661" s="140" t="n"/>
      <c r="C661" s="141" t="n"/>
      <c r="D661" s="141" t="n"/>
      <c r="E661" s="148" t="n"/>
      <c r="F661" s="149" t="n"/>
      <c r="G661" s="150">
        <f>IF(AND(E661&lt;&gt;"",F661&lt;&gt;""),E661*F661,"")</f>
      </c>
      <c r="H661" s="148" t="n"/>
      <c r="I661" s="142" t="n"/>
      <c r="J661" s="146">
        <f>IF(AND(B661="",C661="",D661="",E661="",F661="",H661=""),"",IF(NOT(ISNUMBER(B661)),"✗ 日期不是真日期",IF(OR(B661&lt;年初日,B661&gt;年末日),"✗ 日期不在本年度",IF(C661="","✗ 没选供应商",IF(COUNTIF(基础资料!$Q$5:$Q$54,C661)=0,"✗ 供应商不在基础资料里",IF(D661="","✗ 没选商品",IF(COUNTIF(基础资料!$E$5:$E$104,D661)=0,"✗ 商品不在商品档案里",IF(AND(E661="",H661=""),"✗ 没填数量",IF(AND(N(E661)&lt;&gt;0,F661=""),"✗ 没填进价","√")))))))))</f>
      </c>
    </row>
    <row r="662">
      <c r="A662" s="109">
        <f>IF(AND(C662="",D662=""),"",ROW()-3)</f>
      </c>
      <c r="B662" s="140" t="n"/>
      <c r="C662" s="141" t="n"/>
      <c r="D662" s="141" t="n"/>
      <c r="E662" s="148" t="n"/>
      <c r="F662" s="149" t="n"/>
      <c r="G662" s="150">
        <f>IF(AND(E662&lt;&gt;"",F662&lt;&gt;""),E662*F662,"")</f>
      </c>
      <c r="H662" s="148" t="n"/>
      <c r="I662" s="142" t="n"/>
      <c r="J662" s="146">
        <f>IF(AND(B662="",C662="",D662="",E662="",F662="",H662=""),"",IF(NOT(ISNUMBER(B662)),"✗ 日期不是真日期",IF(OR(B662&lt;年初日,B662&gt;年末日),"✗ 日期不在本年度",IF(C662="","✗ 没选供应商",IF(COUNTIF(基础资料!$Q$5:$Q$54,C662)=0,"✗ 供应商不在基础资料里",IF(D662="","✗ 没选商品",IF(COUNTIF(基础资料!$E$5:$E$104,D662)=0,"✗ 商品不在商品档案里",IF(AND(E662="",H662=""),"✗ 没填数量",IF(AND(N(E662)&lt;&gt;0,F662=""),"✗ 没填进价","√")))))))))</f>
      </c>
    </row>
    <row r="663">
      <c r="A663" s="109">
        <f>IF(AND(C663="",D663=""),"",ROW()-3)</f>
      </c>
      <c r="B663" s="140" t="n"/>
      <c r="C663" s="141" t="n"/>
      <c r="D663" s="141" t="n"/>
      <c r="E663" s="148" t="n"/>
      <c r="F663" s="149" t="n"/>
      <c r="G663" s="150">
        <f>IF(AND(E663&lt;&gt;"",F663&lt;&gt;""),E663*F663,"")</f>
      </c>
      <c r="H663" s="148" t="n"/>
      <c r="I663" s="142" t="n"/>
      <c r="J663" s="146">
        <f>IF(AND(B663="",C663="",D663="",E663="",F663="",H663=""),"",IF(NOT(ISNUMBER(B663)),"✗ 日期不是真日期",IF(OR(B663&lt;年初日,B663&gt;年末日),"✗ 日期不在本年度",IF(C663="","✗ 没选供应商",IF(COUNTIF(基础资料!$Q$5:$Q$54,C663)=0,"✗ 供应商不在基础资料里",IF(D663="","✗ 没选商品",IF(COUNTIF(基础资料!$E$5:$E$104,D663)=0,"✗ 商品不在商品档案里",IF(AND(E663="",H663=""),"✗ 没填数量",IF(AND(N(E663)&lt;&gt;0,F663=""),"✗ 没填进价","√")))))))))</f>
      </c>
    </row>
    <row r="664">
      <c r="A664" s="109">
        <f>IF(AND(C664="",D664=""),"",ROW()-3)</f>
      </c>
      <c r="B664" s="140" t="n"/>
      <c r="C664" s="141" t="n"/>
      <c r="D664" s="141" t="n"/>
      <c r="E664" s="148" t="n"/>
      <c r="F664" s="149" t="n"/>
      <c r="G664" s="150">
        <f>IF(AND(E664&lt;&gt;"",F664&lt;&gt;""),E664*F664,"")</f>
      </c>
      <c r="H664" s="148" t="n"/>
      <c r="I664" s="142" t="n"/>
      <c r="J664" s="146">
        <f>IF(AND(B664="",C664="",D664="",E664="",F664="",H664=""),"",IF(NOT(ISNUMBER(B664)),"✗ 日期不是真日期",IF(OR(B664&lt;年初日,B664&gt;年末日),"✗ 日期不在本年度",IF(C664="","✗ 没选供应商",IF(COUNTIF(基础资料!$Q$5:$Q$54,C664)=0,"✗ 供应商不在基础资料里",IF(D664="","✗ 没选商品",IF(COUNTIF(基础资料!$E$5:$E$104,D664)=0,"✗ 商品不在商品档案里",IF(AND(E664="",H664=""),"✗ 没填数量",IF(AND(N(E664)&lt;&gt;0,F664=""),"✗ 没填进价","√")))))))))</f>
      </c>
    </row>
    <row r="665">
      <c r="A665" s="109">
        <f>IF(AND(C665="",D665=""),"",ROW()-3)</f>
      </c>
      <c r="B665" s="140" t="n"/>
      <c r="C665" s="141" t="n"/>
      <c r="D665" s="141" t="n"/>
      <c r="E665" s="148" t="n"/>
      <c r="F665" s="149" t="n"/>
      <c r="G665" s="150">
        <f>IF(AND(E665&lt;&gt;"",F665&lt;&gt;""),E665*F665,"")</f>
      </c>
      <c r="H665" s="148" t="n"/>
      <c r="I665" s="142" t="n"/>
      <c r="J665" s="146">
        <f>IF(AND(B665="",C665="",D665="",E665="",F665="",H665=""),"",IF(NOT(ISNUMBER(B665)),"✗ 日期不是真日期",IF(OR(B665&lt;年初日,B665&gt;年末日),"✗ 日期不在本年度",IF(C665="","✗ 没选供应商",IF(COUNTIF(基础资料!$Q$5:$Q$54,C665)=0,"✗ 供应商不在基础资料里",IF(D665="","✗ 没选商品",IF(COUNTIF(基础资料!$E$5:$E$104,D665)=0,"✗ 商品不在商品档案里",IF(AND(E665="",H665=""),"✗ 没填数量",IF(AND(N(E665)&lt;&gt;0,F665=""),"✗ 没填进价","√")))))))))</f>
      </c>
    </row>
    <row r="666">
      <c r="A666" s="109">
        <f>IF(AND(C666="",D666=""),"",ROW()-3)</f>
      </c>
      <c r="B666" s="140" t="n"/>
      <c r="C666" s="141" t="n"/>
      <c r="D666" s="141" t="n"/>
      <c r="E666" s="148" t="n"/>
      <c r="F666" s="149" t="n"/>
      <c r="G666" s="150">
        <f>IF(AND(E666&lt;&gt;"",F666&lt;&gt;""),E666*F666,"")</f>
      </c>
      <c r="H666" s="148" t="n"/>
      <c r="I666" s="142" t="n"/>
      <c r="J666" s="146">
        <f>IF(AND(B666="",C666="",D666="",E666="",F666="",H666=""),"",IF(NOT(ISNUMBER(B666)),"✗ 日期不是真日期",IF(OR(B666&lt;年初日,B666&gt;年末日),"✗ 日期不在本年度",IF(C666="","✗ 没选供应商",IF(COUNTIF(基础资料!$Q$5:$Q$54,C666)=0,"✗ 供应商不在基础资料里",IF(D666="","✗ 没选商品",IF(COUNTIF(基础资料!$E$5:$E$104,D666)=0,"✗ 商品不在商品档案里",IF(AND(E666="",H666=""),"✗ 没填数量",IF(AND(N(E666)&lt;&gt;0,F666=""),"✗ 没填进价","√")))))))))</f>
      </c>
    </row>
    <row r="667">
      <c r="A667" s="109">
        <f>IF(AND(C667="",D667=""),"",ROW()-3)</f>
      </c>
      <c r="B667" s="140" t="n"/>
      <c r="C667" s="141" t="n"/>
      <c r="D667" s="141" t="n"/>
      <c r="E667" s="148" t="n"/>
      <c r="F667" s="149" t="n"/>
      <c r="G667" s="150">
        <f>IF(AND(E667&lt;&gt;"",F667&lt;&gt;""),E667*F667,"")</f>
      </c>
      <c r="H667" s="148" t="n"/>
      <c r="I667" s="142" t="n"/>
      <c r="J667" s="146">
        <f>IF(AND(B667="",C667="",D667="",E667="",F667="",H667=""),"",IF(NOT(ISNUMBER(B667)),"✗ 日期不是真日期",IF(OR(B667&lt;年初日,B667&gt;年末日),"✗ 日期不在本年度",IF(C667="","✗ 没选供应商",IF(COUNTIF(基础资料!$Q$5:$Q$54,C667)=0,"✗ 供应商不在基础资料里",IF(D667="","✗ 没选商品",IF(COUNTIF(基础资料!$E$5:$E$104,D667)=0,"✗ 商品不在商品档案里",IF(AND(E667="",H667=""),"✗ 没填数量",IF(AND(N(E667)&lt;&gt;0,F667=""),"✗ 没填进价","√")))))))))</f>
      </c>
    </row>
    <row r="668">
      <c r="A668" s="109">
        <f>IF(AND(C668="",D668=""),"",ROW()-3)</f>
      </c>
      <c r="B668" s="140" t="n"/>
      <c r="C668" s="141" t="n"/>
      <c r="D668" s="141" t="n"/>
      <c r="E668" s="148" t="n"/>
      <c r="F668" s="149" t="n"/>
      <c r="G668" s="150">
        <f>IF(AND(E668&lt;&gt;"",F668&lt;&gt;""),E668*F668,"")</f>
      </c>
      <c r="H668" s="148" t="n"/>
      <c r="I668" s="142" t="n"/>
      <c r="J668" s="146">
        <f>IF(AND(B668="",C668="",D668="",E668="",F668="",H668=""),"",IF(NOT(ISNUMBER(B668)),"✗ 日期不是真日期",IF(OR(B668&lt;年初日,B668&gt;年末日),"✗ 日期不在本年度",IF(C668="","✗ 没选供应商",IF(COUNTIF(基础资料!$Q$5:$Q$54,C668)=0,"✗ 供应商不在基础资料里",IF(D668="","✗ 没选商品",IF(COUNTIF(基础资料!$E$5:$E$104,D668)=0,"✗ 商品不在商品档案里",IF(AND(E668="",H668=""),"✗ 没填数量",IF(AND(N(E668)&lt;&gt;0,F668=""),"✗ 没填进价","√")))))))))</f>
      </c>
    </row>
    <row r="669">
      <c r="A669" s="109">
        <f>IF(AND(C669="",D669=""),"",ROW()-3)</f>
      </c>
      <c r="B669" s="140" t="n"/>
      <c r="C669" s="141" t="n"/>
      <c r="D669" s="141" t="n"/>
      <c r="E669" s="148" t="n"/>
      <c r="F669" s="149" t="n"/>
      <c r="G669" s="150">
        <f>IF(AND(E669&lt;&gt;"",F669&lt;&gt;""),E669*F669,"")</f>
      </c>
      <c r="H669" s="148" t="n"/>
      <c r="I669" s="142" t="n"/>
      <c r="J669" s="146">
        <f>IF(AND(B669="",C669="",D669="",E669="",F669="",H669=""),"",IF(NOT(ISNUMBER(B669)),"✗ 日期不是真日期",IF(OR(B669&lt;年初日,B669&gt;年末日),"✗ 日期不在本年度",IF(C669="","✗ 没选供应商",IF(COUNTIF(基础资料!$Q$5:$Q$54,C669)=0,"✗ 供应商不在基础资料里",IF(D669="","✗ 没选商品",IF(COUNTIF(基础资料!$E$5:$E$104,D669)=0,"✗ 商品不在商品档案里",IF(AND(E669="",H669=""),"✗ 没填数量",IF(AND(N(E669)&lt;&gt;0,F669=""),"✗ 没填进价","√")))))))))</f>
      </c>
    </row>
    <row r="670">
      <c r="A670" s="109">
        <f>IF(AND(C670="",D670=""),"",ROW()-3)</f>
      </c>
      <c r="B670" s="140" t="n"/>
      <c r="C670" s="141" t="n"/>
      <c r="D670" s="141" t="n"/>
      <c r="E670" s="148" t="n"/>
      <c r="F670" s="149" t="n"/>
      <c r="G670" s="150">
        <f>IF(AND(E670&lt;&gt;"",F670&lt;&gt;""),E670*F670,"")</f>
      </c>
      <c r="H670" s="148" t="n"/>
      <c r="I670" s="142" t="n"/>
      <c r="J670" s="146">
        <f>IF(AND(B670="",C670="",D670="",E670="",F670="",H670=""),"",IF(NOT(ISNUMBER(B670)),"✗ 日期不是真日期",IF(OR(B670&lt;年初日,B670&gt;年末日),"✗ 日期不在本年度",IF(C670="","✗ 没选供应商",IF(COUNTIF(基础资料!$Q$5:$Q$54,C670)=0,"✗ 供应商不在基础资料里",IF(D670="","✗ 没选商品",IF(COUNTIF(基础资料!$E$5:$E$104,D670)=0,"✗ 商品不在商品档案里",IF(AND(E670="",H670=""),"✗ 没填数量",IF(AND(N(E670)&lt;&gt;0,F670=""),"✗ 没填进价","√")))))))))</f>
      </c>
    </row>
    <row r="671">
      <c r="A671" s="109">
        <f>IF(AND(C671="",D671=""),"",ROW()-3)</f>
      </c>
      <c r="B671" s="140" t="n"/>
      <c r="C671" s="141" t="n"/>
      <c r="D671" s="141" t="n"/>
      <c r="E671" s="148" t="n"/>
      <c r="F671" s="149" t="n"/>
      <c r="G671" s="150">
        <f>IF(AND(E671&lt;&gt;"",F671&lt;&gt;""),E671*F671,"")</f>
      </c>
      <c r="H671" s="148" t="n"/>
      <c r="I671" s="142" t="n"/>
      <c r="J671" s="146">
        <f>IF(AND(B671="",C671="",D671="",E671="",F671="",H671=""),"",IF(NOT(ISNUMBER(B671)),"✗ 日期不是真日期",IF(OR(B671&lt;年初日,B671&gt;年末日),"✗ 日期不在本年度",IF(C671="","✗ 没选供应商",IF(COUNTIF(基础资料!$Q$5:$Q$54,C671)=0,"✗ 供应商不在基础资料里",IF(D671="","✗ 没选商品",IF(COUNTIF(基础资料!$E$5:$E$104,D671)=0,"✗ 商品不在商品档案里",IF(AND(E671="",H671=""),"✗ 没填数量",IF(AND(N(E671)&lt;&gt;0,F671=""),"✗ 没填进价","√")))))))))</f>
      </c>
    </row>
    <row r="672">
      <c r="A672" s="109">
        <f>IF(AND(C672="",D672=""),"",ROW()-3)</f>
      </c>
      <c r="B672" s="140" t="n"/>
      <c r="C672" s="141" t="n"/>
      <c r="D672" s="141" t="n"/>
      <c r="E672" s="148" t="n"/>
      <c r="F672" s="149" t="n"/>
      <c r="G672" s="150">
        <f>IF(AND(E672&lt;&gt;"",F672&lt;&gt;""),E672*F672,"")</f>
      </c>
      <c r="H672" s="148" t="n"/>
      <c r="I672" s="142" t="n"/>
      <c r="J672" s="146">
        <f>IF(AND(B672="",C672="",D672="",E672="",F672="",H672=""),"",IF(NOT(ISNUMBER(B672)),"✗ 日期不是真日期",IF(OR(B672&lt;年初日,B672&gt;年末日),"✗ 日期不在本年度",IF(C672="","✗ 没选供应商",IF(COUNTIF(基础资料!$Q$5:$Q$54,C672)=0,"✗ 供应商不在基础资料里",IF(D672="","✗ 没选商品",IF(COUNTIF(基础资料!$E$5:$E$104,D672)=0,"✗ 商品不在商品档案里",IF(AND(E672="",H672=""),"✗ 没填数量",IF(AND(N(E672)&lt;&gt;0,F672=""),"✗ 没填进价","√")))))))))</f>
      </c>
    </row>
    <row r="673">
      <c r="A673" s="109">
        <f>IF(AND(C673="",D673=""),"",ROW()-3)</f>
      </c>
      <c r="B673" s="140" t="n"/>
      <c r="C673" s="141" t="n"/>
      <c r="D673" s="141" t="n"/>
      <c r="E673" s="148" t="n"/>
      <c r="F673" s="149" t="n"/>
      <c r="G673" s="150">
        <f>IF(AND(E673&lt;&gt;"",F673&lt;&gt;""),E673*F673,"")</f>
      </c>
      <c r="H673" s="148" t="n"/>
      <c r="I673" s="142" t="n"/>
      <c r="J673" s="146">
        <f>IF(AND(B673="",C673="",D673="",E673="",F673="",H673=""),"",IF(NOT(ISNUMBER(B673)),"✗ 日期不是真日期",IF(OR(B673&lt;年初日,B673&gt;年末日),"✗ 日期不在本年度",IF(C673="","✗ 没选供应商",IF(COUNTIF(基础资料!$Q$5:$Q$54,C673)=0,"✗ 供应商不在基础资料里",IF(D673="","✗ 没选商品",IF(COUNTIF(基础资料!$E$5:$E$104,D673)=0,"✗ 商品不在商品档案里",IF(AND(E673="",H673=""),"✗ 没填数量",IF(AND(N(E673)&lt;&gt;0,F673=""),"✗ 没填进价","√")))))))))</f>
      </c>
    </row>
    <row r="674">
      <c r="A674" s="109">
        <f>IF(AND(C674="",D674=""),"",ROW()-3)</f>
      </c>
      <c r="B674" s="140" t="n"/>
      <c r="C674" s="141" t="n"/>
      <c r="D674" s="141" t="n"/>
      <c r="E674" s="148" t="n"/>
      <c r="F674" s="149" t="n"/>
      <c r="G674" s="150">
        <f>IF(AND(E674&lt;&gt;"",F674&lt;&gt;""),E674*F674,"")</f>
      </c>
      <c r="H674" s="148" t="n"/>
      <c r="I674" s="142" t="n"/>
      <c r="J674" s="146">
        <f>IF(AND(B674="",C674="",D674="",E674="",F674="",H674=""),"",IF(NOT(ISNUMBER(B674)),"✗ 日期不是真日期",IF(OR(B674&lt;年初日,B674&gt;年末日),"✗ 日期不在本年度",IF(C674="","✗ 没选供应商",IF(COUNTIF(基础资料!$Q$5:$Q$54,C674)=0,"✗ 供应商不在基础资料里",IF(D674="","✗ 没选商品",IF(COUNTIF(基础资料!$E$5:$E$104,D674)=0,"✗ 商品不在商品档案里",IF(AND(E674="",H674=""),"✗ 没填数量",IF(AND(N(E674)&lt;&gt;0,F674=""),"✗ 没填进价","√")))))))))</f>
      </c>
    </row>
    <row r="675">
      <c r="A675" s="109">
        <f>IF(AND(C675="",D675=""),"",ROW()-3)</f>
      </c>
      <c r="B675" s="140" t="n"/>
      <c r="C675" s="141" t="n"/>
      <c r="D675" s="141" t="n"/>
      <c r="E675" s="148" t="n"/>
      <c r="F675" s="149" t="n"/>
      <c r="G675" s="150">
        <f>IF(AND(E675&lt;&gt;"",F675&lt;&gt;""),E675*F675,"")</f>
      </c>
      <c r="H675" s="148" t="n"/>
      <c r="I675" s="142" t="n"/>
      <c r="J675" s="146">
        <f>IF(AND(B675="",C675="",D675="",E675="",F675="",H675=""),"",IF(NOT(ISNUMBER(B675)),"✗ 日期不是真日期",IF(OR(B675&lt;年初日,B675&gt;年末日),"✗ 日期不在本年度",IF(C675="","✗ 没选供应商",IF(COUNTIF(基础资料!$Q$5:$Q$54,C675)=0,"✗ 供应商不在基础资料里",IF(D675="","✗ 没选商品",IF(COUNTIF(基础资料!$E$5:$E$104,D675)=0,"✗ 商品不在商品档案里",IF(AND(E675="",H675=""),"✗ 没填数量",IF(AND(N(E675)&lt;&gt;0,F675=""),"✗ 没填进价","√")))))))))</f>
      </c>
    </row>
    <row r="676">
      <c r="A676" s="109">
        <f>IF(AND(C676="",D676=""),"",ROW()-3)</f>
      </c>
      <c r="B676" s="140" t="n"/>
      <c r="C676" s="141" t="n"/>
      <c r="D676" s="141" t="n"/>
      <c r="E676" s="148" t="n"/>
      <c r="F676" s="149" t="n"/>
      <c r="G676" s="150">
        <f>IF(AND(E676&lt;&gt;"",F676&lt;&gt;""),E676*F676,"")</f>
      </c>
      <c r="H676" s="148" t="n"/>
      <c r="I676" s="142" t="n"/>
      <c r="J676" s="146">
        <f>IF(AND(B676="",C676="",D676="",E676="",F676="",H676=""),"",IF(NOT(ISNUMBER(B676)),"✗ 日期不是真日期",IF(OR(B676&lt;年初日,B676&gt;年末日),"✗ 日期不在本年度",IF(C676="","✗ 没选供应商",IF(COUNTIF(基础资料!$Q$5:$Q$54,C676)=0,"✗ 供应商不在基础资料里",IF(D676="","✗ 没选商品",IF(COUNTIF(基础资料!$E$5:$E$104,D676)=0,"✗ 商品不在商品档案里",IF(AND(E676="",H676=""),"✗ 没填数量",IF(AND(N(E676)&lt;&gt;0,F676=""),"✗ 没填进价","√")))))))))</f>
      </c>
    </row>
    <row r="677">
      <c r="A677" s="109">
        <f>IF(AND(C677="",D677=""),"",ROW()-3)</f>
      </c>
      <c r="B677" s="140" t="n"/>
      <c r="C677" s="141" t="n"/>
      <c r="D677" s="141" t="n"/>
      <c r="E677" s="148" t="n"/>
      <c r="F677" s="149" t="n"/>
      <c r="G677" s="150">
        <f>IF(AND(E677&lt;&gt;"",F677&lt;&gt;""),E677*F677,"")</f>
      </c>
      <c r="H677" s="148" t="n"/>
      <c r="I677" s="142" t="n"/>
      <c r="J677" s="146">
        <f>IF(AND(B677="",C677="",D677="",E677="",F677="",H677=""),"",IF(NOT(ISNUMBER(B677)),"✗ 日期不是真日期",IF(OR(B677&lt;年初日,B677&gt;年末日),"✗ 日期不在本年度",IF(C677="","✗ 没选供应商",IF(COUNTIF(基础资料!$Q$5:$Q$54,C677)=0,"✗ 供应商不在基础资料里",IF(D677="","✗ 没选商品",IF(COUNTIF(基础资料!$E$5:$E$104,D677)=0,"✗ 商品不在商品档案里",IF(AND(E677="",H677=""),"✗ 没填数量",IF(AND(N(E677)&lt;&gt;0,F677=""),"✗ 没填进价","√")))))))))</f>
      </c>
    </row>
    <row r="678">
      <c r="A678" s="109">
        <f>IF(AND(C678="",D678=""),"",ROW()-3)</f>
      </c>
      <c r="B678" s="140" t="n"/>
      <c r="C678" s="141" t="n"/>
      <c r="D678" s="141" t="n"/>
      <c r="E678" s="148" t="n"/>
      <c r="F678" s="149" t="n"/>
      <c r="G678" s="150">
        <f>IF(AND(E678&lt;&gt;"",F678&lt;&gt;""),E678*F678,"")</f>
      </c>
      <c r="H678" s="148" t="n"/>
      <c r="I678" s="142" t="n"/>
      <c r="J678" s="146">
        <f>IF(AND(B678="",C678="",D678="",E678="",F678="",H678=""),"",IF(NOT(ISNUMBER(B678)),"✗ 日期不是真日期",IF(OR(B678&lt;年初日,B678&gt;年末日),"✗ 日期不在本年度",IF(C678="","✗ 没选供应商",IF(COUNTIF(基础资料!$Q$5:$Q$54,C678)=0,"✗ 供应商不在基础资料里",IF(D678="","✗ 没选商品",IF(COUNTIF(基础资料!$E$5:$E$104,D678)=0,"✗ 商品不在商品档案里",IF(AND(E678="",H678=""),"✗ 没填数量",IF(AND(N(E678)&lt;&gt;0,F678=""),"✗ 没填进价","√")))))))))</f>
      </c>
    </row>
    <row r="679">
      <c r="A679" s="109">
        <f>IF(AND(C679="",D679=""),"",ROW()-3)</f>
      </c>
      <c r="B679" s="140" t="n"/>
      <c r="C679" s="141" t="n"/>
      <c r="D679" s="141" t="n"/>
      <c r="E679" s="148" t="n"/>
      <c r="F679" s="149" t="n"/>
      <c r="G679" s="150">
        <f>IF(AND(E679&lt;&gt;"",F679&lt;&gt;""),E679*F679,"")</f>
      </c>
      <c r="H679" s="148" t="n"/>
      <c r="I679" s="142" t="n"/>
      <c r="J679" s="146">
        <f>IF(AND(B679="",C679="",D679="",E679="",F679="",H679=""),"",IF(NOT(ISNUMBER(B679)),"✗ 日期不是真日期",IF(OR(B679&lt;年初日,B679&gt;年末日),"✗ 日期不在本年度",IF(C679="","✗ 没选供应商",IF(COUNTIF(基础资料!$Q$5:$Q$54,C679)=0,"✗ 供应商不在基础资料里",IF(D679="","✗ 没选商品",IF(COUNTIF(基础资料!$E$5:$E$104,D679)=0,"✗ 商品不在商品档案里",IF(AND(E679="",H679=""),"✗ 没填数量",IF(AND(N(E679)&lt;&gt;0,F679=""),"✗ 没填进价","√")))))))))</f>
      </c>
    </row>
    <row r="680">
      <c r="A680" s="109">
        <f>IF(AND(C680="",D680=""),"",ROW()-3)</f>
      </c>
      <c r="B680" s="140" t="n"/>
      <c r="C680" s="141" t="n"/>
      <c r="D680" s="141" t="n"/>
      <c r="E680" s="148" t="n"/>
      <c r="F680" s="149" t="n"/>
      <c r="G680" s="150">
        <f>IF(AND(E680&lt;&gt;"",F680&lt;&gt;""),E680*F680,"")</f>
      </c>
      <c r="H680" s="148" t="n"/>
      <c r="I680" s="142" t="n"/>
      <c r="J680" s="146">
        <f>IF(AND(B680="",C680="",D680="",E680="",F680="",H680=""),"",IF(NOT(ISNUMBER(B680)),"✗ 日期不是真日期",IF(OR(B680&lt;年初日,B680&gt;年末日),"✗ 日期不在本年度",IF(C680="","✗ 没选供应商",IF(COUNTIF(基础资料!$Q$5:$Q$54,C680)=0,"✗ 供应商不在基础资料里",IF(D680="","✗ 没选商品",IF(COUNTIF(基础资料!$E$5:$E$104,D680)=0,"✗ 商品不在商品档案里",IF(AND(E680="",H680=""),"✗ 没填数量",IF(AND(N(E680)&lt;&gt;0,F680=""),"✗ 没填进价","√")))))))))</f>
      </c>
    </row>
    <row r="681">
      <c r="A681" s="109">
        <f>IF(AND(C681="",D681=""),"",ROW()-3)</f>
      </c>
      <c r="B681" s="140" t="n"/>
      <c r="C681" s="141" t="n"/>
      <c r="D681" s="141" t="n"/>
      <c r="E681" s="148" t="n"/>
      <c r="F681" s="149" t="n"/>
      <c r="G681" s="150">
        <f>IF(AND(E681&lt;&gt;"",F681&lt;&gt;""),E681*F681,"")</f>
      </c>
      <c r="H681" s="148" t="n"/>
      <c r="I681" s="142" t="n"/>
      <c r="J681" s="146">
        <f>IF(AND(B681="",C681="",D681="",E681="",F681="",H681=""),"",IF(NOT(ISNUMBER(B681)),"✗ 日期不是真日期",IF(OR(B681&lt;年初日,B681&gt;年末日),"✗ 日期不在本年度",IF(C681="","✗ 没选供应商",IF(COUNTIF(基础资料!$Q$5:$Q$54,C681)=0,"✗ 供应商不在基础资料里",IF(D681="","✗ 没选商品",IF(COUNTIF(基础资料!$E$5:$E$104,D681)=0,"✗ 商品不在商品档案里",IF(AND(E681="",H681=""),"✗ 没填数量",IF(AND(N(E681)&lt;&gt;0,F681=""),"✗ 没填进价","√")))))))))</f>
      </c>
    </row>
    <row r="682">
      <c r="A682" s="109">
        <f>IF(AND(C682="",D682=""),"",ROW()-3)</f>
      </c>
      <c r="B682" s="140" t="n"/>
      <c r="C682" s="141" t="n"/>
      <c r="D682" s="141" t="n"/>
      <c r="E682" s="148" t="n"/>
      <c r="F682" s="149" t="n"/>
      <c r="G682" s="150">
        <f>IF(AND(E682&lt;&gt;"",F682&lt;&gt;""),E682*F682,"")</f>
      </c>
      <c r="H682" s="148" t="n"/>
      <c r="I682" s="142" t="n"/>
      <c r="J682" s="146">
        <f>IF(AND(B682="",C682="",D682="",E682="",F682="",H682=""),"",IF(NOT(ISNUMBER(B682)),"✗ 日期不是真日期",IF(OR(B682&lt;年初日,B682&gt;年末日),"✗ 日期不在本年度",IF(C682="","✗ 没选供应商",IF(COUNTIF(基础资料!$Q$5:$Q$54,C682)=0,"✗ 供应商不在基础资料里",IF(D682="","✗ 没选商品",IF(COUNTIF(基础资料!$E$5:$E$104,D682)=0,"✗ 商品不在商品档案里",IF(AND(E682="",H682=""),"✗ 没填数量",IF(AND(N(E682)&lt;&gt;0,F682=""),"✗ 没填进价","√")))))))))</f>
      </c>
    </row>
    <row r="683">
      <c r="A683" s="109">
        <f>IF(AND(C683="",D683=""),"",ROW()-3)</f>
      </c>
      <c r="B683" s="140" t="n"/>
      <c r="C683" s="141" t="n"/>
      <c r="D683" s="141" t="n"/>
      <c r="E683" s="148" t="n"/>
      <c r="F683" s="149" t="n"/>
      <c r="G683" s="150">
        <f>IF(AND(E683&lt;&gt;"",F683&lt;&gt;""),E683*F683,"")</f>
      </c>
      <c r="H683" s="148" t="n"/>
      <c r="I683" s="142" t="n"/>
      <c r="J683" s="146">
        <f>IF(AND(B683="",C683="",D683="",E683="",F683="",H683=""),"",IF(NOT(ISNUMBER(B683)),"✗ 日期不是真日期",IF(OR(B683&lt;年初日,B683&gt;年末日),"✗ 日期不在本年度",IF(C683="","✗ 没选供应商",IF(COUNTIF(基础资料!$Q$5:$Q$54,C683)=0,"✗ 供应商不在基础资料里",IF(D683="","✗ 没选商品",IF(COUNTIF(基础资料!$E$5:$E$104,D683)=0,"✗ 商品不在商品档案里",IF(AND(E683="",H683=""),"✗ 没填数量",IF(AND(N(E683)&lt;&gt;0,F683=""),"✗ 没填进价","√")))))))))</f>
      </c>
    </row>
    <row r="684">
      <c r="A684" s="109">
        <f>IF(AND(C684="",D684=""),"",ROW()-3)</f>
      </c>
      <c r="B684" s="140" t="n"/>
      <c r="C684" s="141" t="n"/>
      <c r="D684" s="141" t="n"/>
      <c r="E684" s="148" t="n"/>
      <c r="F684" s="149" t="n"/>
      <c r="G684" s="150">
        <f>IF(AND(E684&lt;&gt;"",F684&lt;&gt;""),E684*F684,"")</f>
      </c>
      <c r="H684" s="148" t="n"/>
      <c r="I684" s="142" t="n"/>
      <c r="J684" s="146">
        <f>IF(AND(B684="",C684="",D684="",E684="",F684="",H684=""),"",IF(NOT(ISNUMBER(B684)),"✗ 日期不是真日期",IF(OR(B684&lt;年初日,B684&gt;年末日),"✗ 日期不在本年度",IF(C684="","✗ 没选供应商",IF(COUNTIF(基础资料!$Q$5:$Q$54,C684)=0,"✗ 供应商不在基础资料里",IF(D684="","✗ 没选商品",IF(COUNTIF(基础资料!$E$5:$E$104,D684)=0,"✗ 商品不在商品档案里",IF(AND(E684="",H684=""),"✗ 没填数量",IF(AND(N(E684)&lt;&gt;0,F684=""),"✗ 没填进价","√")))))))))</f>
      </c>
    </row>
    <row r="685">
      <c r="A685" s="109">
        <f>IF(AND(C685="",D685=""),"",ROW()-3)</f>
      </c>
      <c r="B685" s="140" t="n"/>
      <c r="C685" s="141" t="n"/>
      <c r="D685" s="141" t="n"/>
      <c r="E685" s="148" t="n"/>
      <c r="F685" s="149" t="n"/>
      <c r="G685" s="150">
        <f>IF(AND(E685&lt;&gt;"",F685&lt;&gt;""),E685*F685,"")</f>
      </c>
      <c r="H685" s="148" t="n"/>
      <c r="I685" s="142" t="n"/>
      <c r="J685" s="146">
        <f>IF(AND(B685="",C685="",D685="",E685="",F685="",H685=""),"",IF(NOT(ISNUMBER(B685)),"✗ 日期不是真日期",IF(OR(B685&lt;年初日,B685&gt;年末日),"✗ 日期不在本年度",IF(C685="","✗ 没选供应商",IF(COUNTIF(基础资料!$Q$5:$Q$54,C685)=0,"✗ 供应商不在基础资料里",IF(D685="","✗ 没选商品",IF(COUNTIF(基础资料!$E$5:$E$104,D685)=0,"✗ 商品不在商品档案里",IF(AND(E685="",H685=""),"✗ 没填数量",IF(AND(N(E685)&lt;&gt;0,F685=""),"✗ 没填进价","√")))))))))</f>
      </c>
    </row>
    <row r="686">
      <c r="A686" s="109">
        <f>IF(AND(C686="",D686=""),"",ROW()-3)</f>
      </c>
      <c r="B686" s="140" t="n"/>
      <c r="C686" s="141" t="n"/>
      <c r="D686" s="141" t="n"/>
      <c r="E686" s="148" t="n"/>
      <c r="F686" s="149" t="n"/>
      <c r="G686" s="150">
        <f>IF(AND(E686&lt;&gt;"",F686&lt;&gt;""),E686*F686,"")</f>
      </c>
      <c r="H686" s="148" t="n"/>
      <c r="I686" s="142" t="n"/>
      <c r="J686" s="146">
        <f>IF(AND(B686="",C686="",D686="",E686="",F686="",H686=""),"",IF(NOT(ISNUMBER(B686)),"✗ 日期不是真日期",IF(OR(B686&lt;年初日,B686&gt;年末日),"✗ 日期不在本年度",IF(C686="","✗ 没选供应商",IF(COUNTIF(基础资料!$Q$5:$Q$54,C686)=0,"✗ 供应商不在基础资料里",IF(D686="","✗ 没选商品",IF(COUNTIF(基础资料!$E$5:$E$104,D686)=0,"✗ 商品不在商品档案里",IF(AND(E686="",H686=""),"✗ 没填数量",IF(AND(N(E686)&lt;&gt;0,F686=""),"✗ 没填进价","√")))))))))</f>
      </c>
    </row>
    <row r="687">
      <c r="A687" s="109">
        <f>IF(AND(C687="",D687=""),"",ROW()-3)</f>
      </c>
      <c r="B687" s="140" t="n"/>
      <c r="C687" s="141" t="n"/>
      <c r="D687" s="141" t="n"/>
      <c r="E687" s="148" t="n"/>
      <c r="F687" s="149" t="n"/>
      <c r="G687" s="150">
        <f>IF(AND(E687&lt;&gt;"",F687&lt;&gt;""),E687*F687,"")</f>
      </c>
      <c r="H687" s="148" t="n"/>
      <c r="I687" s="142" t="n"/>
      <c r="J687" s="146">
        <f>IF(AND(B687="",C687="",D687="",E687="",F687="",H687=""),"",IF(NOT(ISNUMBER(B687)),"✗ 日期不是真日期",IF(OR(B687&lt;年初日,B687&gt;年末日),"✗ 日期不在本年度",IF(C687="","✗ 没选供应商",IF(COUNTIF(基础资料!$Q$5:$Q$54,C687)=0,"✗ 供应商不在基础资料里",IF(D687="","✗ 没选商品",IF(COUNTIF(基础资料!$E$5:$E$104,D687)=0,"✗ 商品不在商品档案里",IF(AND(E687="",H687=""),"✗ 没填数量",IF(AND(N(E687)&lt;&gt;0,F687=""),"✗ 没填进价","√")))))))))</f>
      </c>
    </row>
    <row r="688">
      <c r="A688" s="109">
        <f>IF(AND(C688="",D688=""),"",ROW()-3)</f>
      </c>
      <c r="B688" s="140" t="n"/>
      <c r="C688" s="141" t="n"/>
      <c r="D688" s="141" t="n"/>
      <c r="E688" s="148" t="n"/>
      <c r="F688" s="149" t="n"/>
      <c r="G688" s="150">
        <f>IF(AND(E688&lt;&gt;"",F688&lt;&gt;""),E688*F688,"")</f>
      </c>
      <c r="H688" s="148" t="n"/>
      <c r="I688" s="142" t="n"/>
      <c r="J688" s="146">
        <f>IF(AND(B688="",C688="",D688="",E688="",F688="",H688=""),"",IF(NOT(ISNUMBER(B688)),"✗ 日期不是真日期",IF(OR(B688&lt;年初日,B688&gt;年末日),"✗ 日期不在本年度",IF(C688="","✗ 没选供应商",IF(COUNTIF(基础资料!$Q$5:$Q$54,C688)=0,"✗ 供应商不在基础资料里",IF(D688="","✗ 没选商品",IF(COUNTIF(基础资料!$E$5:$E$104,D688)=0,"✗ 商品不在商品档案里",IF(AND(E688="",H688=""),"✗ 没填数量",IF(AND(N(E688)&lt;&gt;0,F688=""),"✗ 没填进价","√")))))))))</f>
      </c>
    </row>
    <row r="689">
      <c r="A689" s="109">
        <f>IF(AND(C689="",D689=""),"",ROW()-3)</f>
      </c>
      <c r="B689" s="140" t="n"/>
      <c r="C689" s="141" t="n"/>
      <c r="D689" s="141" t="n"/>
      <c r="E689" s="148" t="n"/>
      <c r="F689" s="149" t="n"/>
      <c r="G689" s="150">
        <f>IF(AND(E689&lt;&gt;"",F689&lt;&gt;""),E689*F689,"")</f>
      </c>
      <c r="H689" s="148" t="n"/>
      <c r="I689" s="142" t="n"/>
      <c r="J689" s="146">
        <f>IF(AND(B689="",C689="",D689="",E689="",F689="",H689=""),"",IF(NOT(ISNUMBER(B689)),"✗ 日期不是真日期",IF(OR(B689&lt;年初日,B689&gt;年末日),"✗ 日期不在本年度",IF(C689="","✗ 没选供应商",IF(COUNTIF(基础资料!$Q$5:$Q$54,C689)=0,"✗ 供应商不在基础资料里",IF(D689="","✗ 没选商品",IF(COUNTIF(基础资料!$E$5:$E$104,D689)=0,"✗ 商品不在商品档案里",IF(AND(E689="",H689=""),"✗ 没填数量",IF(AND(N(E689)&lt;&gt;0,F689=""),"✗ 没填进价","√")))))))))</f>
      </c>
    </row>
    <row r="690">
      <c r="A690" s="109">
        <f>IF(AND(C690="",D690=""),"",ROW()-3)</f>
      </c>
      <c r="B690" s="140" t="n"/>
      <c r="C690" s="141" t="n"/>
      <c r="D690" s="141" t="n"/>
      <c r="E690" s="148" t="n"/>
      <c r="F690" s="149" t="n"/>
      <c r="G690" s="150">
        <f>IF(AND(E690&lt;&gt;"",F690&lt;&gt;""),E690*F690,"")</f>
      </c>
      <c r="H690" s="148" t="n"/>
      <c r="I690" s="142" t="n"/>
      <c r="J690" s="146">
        <f>IF(AND(B690="",C690="",D690="",E690="",F690="",H690=""),"",IF(NOT(ISNUMBER(B690)),"✗ 日期不是真日期",IF(OR(B690&lt;年初日,B690&gt;年末日),"✗ 日期不在本年度",IF(C690="","✗ 没选供应商",IF(COUNTIF(基础资料!$Q$5:$Q$54,C690)=0,"✗ 供应商不在基础资料里",IF(D690="","✗ 没选商品",IF(COUNTIF(基础资料!$E$5:$E$104,D690)=0,"✗ 商品不在商品档案里",IF(AND(E690="",H690=""),"✗ 没填数量",IF(AND(N(E690)&lt;&gt;0,F690=""),"✗ 没填进价","√")))))))))</f>
      </c>
    </row>
    <row r="691">
      <c r="A691" s="109">
        <f>IF(AND(C691="",D691=""),"",ROW()-3)</f>
      </c>
      <c r="B691" s="140" t="n"/>
      <c r="C691" s="141" t="n"/>
      <c r="D691" s="141" t="n"/>
      <c r="E691" s="148" t="n"/>
      <c r="F691" s="149" t="n"/>
      <c r="G691" s="150">
        <f>IF(AND(E691&lt;&gt;"",F691&lt;&gt;""),E691*F691,"")</f>
      </c>
      <c r="H691" s="148" t="n"/>
      <c r="I691" s="142" t="n"/>
      <c r="J691" s="146">
        <f>IF(AND(B691="",C691="",D691="",E691="",F691="",H691=""),"",IF(NOT(ISNUMBER(B691)),"✗ 日期不是真日期",IF(OR(B691&lt;年初日,B691&gt;年末日),"✗ 日期不在本年度",IF(C691="","✗ 没选供应商",IF(COUNTIF(基础资料!$Q$5:$Q$54,C691)=0,"✗ 供应商不在基础资料里",IF(D691="","✗ 没选商品",IF(COUNTIF(基础资料!$E$5:$E$104,D691)=0,"✗ 商品不在商品档案里",IF(AND(E691="",H691=""),"✗ 没填数量",IF(AND(N(E691)&lt;&gt;0,F691=""),"✗ 没填进价","√")))))))))</f>
      </c>
    </row>
    <row r="692">
      <c r="A692" s="109">
        <f>IF(AND(C692="",D692=""),"",ROW()-3)</f>
      </c>
      <c r="B692" s="140" t="n"/>
      <c r="C692" s="141" t="n"/>
      <c r="D692" s="141" t="n"/>
      <c r="E692" s="148" t="n"/>
      <c r="F692" s="149" t="n"/>
      <c r="G692" s="150">
        <f>IF(AND(E692&lt;&gt;"",F692&lt;&gt;""),E692*F692,"")</f>
      </c>
      <c r="H692" s="148" t="n"/>
      <c r="I692" s="142" t="n"/>
      <c r="J692" s="146">
        <f>IF(AND(B692="",C692="",D692="",E692="",F692="",H692=""),"",IF(NOT(ISNUMBER(B692)),"✗ 日期不是真日期",IF(OR(B692&lt;年初日,B692&gt;年末日),"✗ 日期不在本年度",IF(C692="","✗ 没选供应商",IF(COUNTIF(基础资料!$Q$5:$Q$54,C692)=0,"✗ 供应商不在基础资料里",IF(D692="","✗ 没选商品",IF(COUNTIF(基础资料!$E$5:$E$104,D692)=0,"✗ 商品不在商品档案里",IF(AND(E692="",H692=""),"✗ 没填数量",IF(AND(N(E692)&lt;&gt;0,F692=""),"✗ 没填进价","√")))))))))</f>
      </c>
    </row>
    <row r="693">
      <c r="A693" s="109">
        <f>IF(AND(C693="",D693=""),"",ROW()-3)</f>
      </c>
      <c r="B693" s="140" t="n"/>
      <c r="C693" s="141" t="n"/>
      <c r="D693" s="141" t="n"/>
      <c r="E693" s="148" t="n"/>
      <c r="F693" s="149" t="n"/>
      <c r="G693" s="150">
        <f>IF(AND(E693&lt;&gt;"",F693&lt;&gt;""),E693*F693,"")</f>
      </c>
      <c r="H693" s="148" t="n"/>
      <c r="I693" s="142" t="n"/>
      <c r="J693" s="146">
        <f>IF(AND(B693="",C693="",D693="",E693="",F693="",H693=""),"",IF(NOT(ISNUMBER(B693)),"✗ 日期不是真日期",IF(OR(B693&lt;年初日,B693&gt;年末日),"✗ 日期不在本年度",IF(C693="","✗ 没选供应商",IF(COUNTIF(基础资料!$Q$5:$Q$54,C693)=0,"✗ 供应商不在基础资料里",IF(D693="","✗ 没选商品",IF(COUNTIF(基础资料!$E$5:$E$104,D693)=0,"✗ 商品不在商品档案里",IF(AND(E693="",H693=""),"✗ 没填数量",IF(AND(N(E693)&lt;&gt;0,F693=""),"✗ 没填进价","√")))))))))</f>
      </c>
    </row>
    <row r="694">
      <c r="A694" s="109">
        <f>IF(AND(C694="",D694=""),"",ROW()-3)</f>
      </c>
      <c r="B694" s="140" t="n"/>
      <c r="C694" s="141" t="n"/>
      <c r="D694" s="141" t="n"/>
      <c r="E694" s="148" t="n"/>
      <c r="F694" s="149" t="n"/>
      <c r="G694" s="150">
        <f>IF(AND(E694&lt;&gt;"",F694&lt;&gt;""),E694*F694,"")</f>
      </c>
      <c r="H694" s="148" t="n"/>
      <c r="I694" s="142" t="n"/>
      <c r="J694" s="146">
        <f>IF(AND(B694="",C694="",D694="",E694="",F694="",H694=""),"",IF(NOT(ISNUMBER(B694)),"✗ 日期不是真日期",IF(OR(B694&lt;年初日,B694&gt;年末日),"✗ 日期不在本年度",IF(C694="","✗ 没选供应商",IF(COUNTIF(基础资料!$Q$5:$Q$54,C694)=0,"✗ 供应商不在基础资料里",IF(D694="","✗ 没选商品",IF(COUNTIF(基础资料!$E$5:$E$104,D694)=0,"✗ 商品不在商品档案里",IF(AND(E694="",H694=""),"✗ 没填数量",IF(AND(N(E694)&lt;&gt;0,F694=""),"✗ 没填进价","√")))))))))</f>
      </c>
    </row>
    <row r="695">
      <c r="A695" s="109">
        <f>IF(AND(C695="",D695=""),"",ROW()-3)</f>
      </c>
      <c r="B695" s="140" t="n"/>
      <c r="C695" s="141" t="n"/>
      <c r="D695" s="141" t="n"/>
      <c r="E695" s="148" t="n"/>
      <c r="F695" s="149" t="n"/>
      <c r="G695" s="150">
        <f>IF(AND(E695&lt;&gt;"",F695&lt;&gt;""),E695*F695,"")</f>
      </c>
      <c r="H695" s="148" t="n"/>
      <c r="I695" s="142" t="n"/>
      <c r="J695" s="146">
        <f>IF(AND(B695="",C695="",D695="",E695="",F695="",H695=""),"",IF(NOT(ISNUMBER(B695)),"✗ 日期不是真日期",IF(OR(B695&lt;年初日,B695&gt;年末日),"✗ 日期不在本年度",IF(C695="","✗ 没选供应商",IF(COUNTIF(基础资料!$Q$5:$Q$54,C695)=0,"✗ 供应商不在基础资料里",IF(D695="","✗ 没选商品",IF(COUNTIF(基础资料!$E$5:$E$104,D695)=0,"✗ 商品不在商品档案里",IF(AND(E695="",H695=""),"✗ 没填数量",IF(AND(N(E695)&lt;&gt;0,F695=""),"✗ 没填进价","√")))))))))</f>
      </c>
    </row>
    <row r="696">
      <c r="A696" s="109">
        <f>IF(AND(C696="",D696=""),"",ROW()-3)</f>
      </c>
      <c r="B696" s="140" t="n"/>
      <c r="C696" s="141" t="n"/>
      <c r="D696" s="141" t="n"/>
      <c r="E696" s="148" t="n"/>
      <c r="F696" s="149" t="n"/>
      <c r="G696" s="150">
        <f>IF(AND(E696&lt;&gt;"",F696&lt;&gt;""),E696*F696,"")</f>
      </c>
      <c r="H696" s="148" t="n"/>
      <c r="I696" s="142" t="n"/>
      <c r="J696" s="146">
        <f>IF(AND(B696="",C696="",D696="",E696="",F696="",H696=""),"",IF(NOT(ISNUMBER(B696)),"✗ 日期不是真日期",IF(OR(B696&lt;年初日,B696&gt;年末日),"✗ 日期不在本年度",IF(C696="","✗ 没选供应商",IF(COUNTIF(基础资料!$Q$5:$Q$54,C696)=0,"✗ 供应商不在基础资料里",IF(D696="","✗ 没选商品",IF(COUNTIF(基础资料!$E$5:$E$104,D696)=0,"✗ 商品不在商品档案里",IF(AND(E696="",H696=""),"✗ 没填数量",IF(AND(N(E696)&lt;&gt;0,F696=""),"✗ 没填进价","√")))))))))</f>
      </c>
    </row>
    <row r="697">
      <c r="A697" s="109">
        <f>IF(AND(C697="",D697=""),"",ROW()-3)</f>
      </c>
      <c r="B697" s="140" t="n"/>
      <c r="C697" s="141" t="n"/>
      <c r="D697" s="141" t="n"/>
      <c r="E697" s="148" t="n"/>
      <c r="F697" s="149" t="n"/>
      <c r="G697" s="150">
        <f>IF(AND(E697&lt;&gt;"",F697&lt;&gt;""),E697*F697,"")</f>
      </c>
      <c r="H697" s="148" t="n"/>
      <c r="I697" s="142" t="n"/>
      <c r="J697" s="146">
        <f>IF(AND(B697="",C697="",D697="",E697="",F697="",H697=""),"",IF(NOT(ISNUMBER(B697)),"✗ 日期不是真日期",IF(OR(B697&lt;年初日,B697&gt;年末日),"✗ 日期不在本年度",IF(C697="","✗ 没选供应商",IF(COUNTIF(基础资料!$Q$5:$Q$54,C697)=0,"✗ 供应商不在基础资料里",IF(D697="","✗ 没选商品",IF(COUNTIF(基础资料!$E$5:$E$104,D697)=0,"✗ 商品不在商品档案里",IF(AND(E697="",H697=""),"✗ 没填数量",IF(AND(N(E697)&lt;&gt;0,F697=""),"✗ 没填进价","√")))))))))</f>
      </c>
    </row>
    <row r="698">
      <c r="A698" s="109">
        <f>IF(AND(C698="",D698=""),"",ROW()-3)</f>
      </c>
      <c r="B698" s="140" t="n"/>
      <c r="C698" s="141" t="n"/>
      <c r="D698" s="141" t="n"/>
      <c r="E698" s="148" t="n"/>
      <c r="F698" s="149" t="n"/>
      <c r="G698" s="150">
        <f>IF(AND(E698&lt;&gt;"",F698&lt;&gt;""),E698*F698,"")</f>
      </c>
      <c r="H698" s="148" t="n"/>
      <c r="I698" s="142" t="n"/>
      <c r="J698" s="146">
        <f>IF(AND(B698="",C698="",D698="",E698="",F698="",H698=""),"",IF(NOT(ISNUMBER(B698)),"✗ 日期不是真日期",IF(OR(B698&lt;年初日,B698&gt;年末日),"✗ 日期不在本年度",IF(C698="","✗ 没选供应商",IF(COUNTIF(基础资料!$Q$5:$Q$54,C698)=0,"✗ 供应商不在基础资料里",IF(D698="","✗ 没选商品",IF(COUNTIF(基础资料!$E$5:$E$104,D698)=0,"✗ 商品不在商品档案里",IF(AND(E698="",H698=""),"✗ 没填数量",IF(AND(N(E698)&lt;&gt;0,F698=""),"✗ 没填进价","√")))))))))</f>
      </c>
    </row>
    <row r="699">
      <c r="A699" s="109">
        <f>IF(AND(C699="",D699=""),"",ROW()-3)</f>
      </c>
      <c r="B699" s="140" t="n"/>
      <c r="C699" s="141" t="n"/>
      <c r="D699" s="141" t="n"/>
      <c r="E699" s="148" t="n"/>
      <c r="F699" s="149" t="n"/>
      <c r="G699" s="150">
        <f>IF(AND(E699&lt;&gt;"",F699&lt;&gt;""),E699*F699,"")</f>
      </c>
      <c r="H699" s="148" t="n"/>
      <c r="I699" s="142" t="n"/>
      <c r="J699" s="146">
        <f>IF(AND(B699="",C699="",D699="",E699="",F699="",H699=""),"",IF(NOT(ISNUMBER(B699)),"✗ 日期不是真日期",IF(OR(B699&lt;年初日,B699&gt;年末日),"✗ 日期不在本年度",IF(C699="","✗ 没选供应商",IF(COUNTIF(基础资料!$Q$5:$Q$54,C699)=0,"✗ 供应商不在基础资料里",IF(D699="","✗ 没选商品",IF(COUNTIF(基础资料!$E$5:$E$104,D699)=0,"✗ 商品不在商品档案里",IF(AND(E699="",H699=""),"✗ 没填数量",IF(AND(N(E699)&lt;&gt;0,F699=""),"✗ 没填进价","√")))))))))</f>
      </c>
    </row>
    <row r="700">
      <c r="A700" s="109">
        <f>IF(AND(C700="",D700=""),"",ROW()-3)</f>
      </c>
      <c r="B700" s="140" t="n"/>
      <c r="C700" s="141" t="n"/>
      <c r="D700" s="141" t="n"/>
      <c r="E700" s="148" t="n"/>
      <c r="F700" s="149" t="n"/>
      <c r="G700" s="150">
        <f>IF(AND(E700&lt;&gt;"",F700&lt;&gt;""),E700*F700,"")</f>
      </c>
      <c r="H700" s="148" t="n"/>
      <c r="I700" s="142" t="n"/>
      <c r="J700" s="146">
        <f>IF(AND(B700="",C700="",D700="",E700="",F700="",H700=""),"",IF(NOT(ISNUMBER(B700)),"✗ 日期不是真日期",IF(OR(B700&lt;年初日,B700&gt;年末日),"✗ 日期不在本年度",IF(C700="","✗ 没选供应商",IF(COUNTIF(基础资料!$Q$5:$Q$54,C700)=0,"✗ 供应商不在基础资料里",IF(D700="","✗ 没选商品",IF(COUNTIF(基础资料!$E$5:$E$104,D700)=0,"✗ 商品不在商品档案里",IF(AND(E700="",H700=""),"✗ 没填数量",IF(AND(N(E700)&lt;&gt;0,F700=""),"✗ 没填进价","√")))))))))</f>
      </c>
    </row>
    <row r="701">
      <c r="A701" s="109">
        <f>IF(AND(C701="",D701=""),"",ROW()-3)</f>
      </c>
      <c r="B701" s="140" t="n"/>
      <c r="C701" s="141" t="n"/>
      <c r="D701" s="141" t="n"/>
      <c r="E701" s="148" t="n"/>
      <c r="F701" s="149" t="n"/>
      <c r="G701" s="150">
        <f>IF(AND(E701&lt;&gt;"",F701&lt;&gt;""),E701*F701,"")</f>
      </c>
      <c r="H701" s="148" t="n"/>
      <c r="I701" s="142" t="n"/>
      <c r="J701" s="146">
        <f>IF(AND(B701="",C701="",D701="",E701="",F701="",H701=""),"",IF(NOT(ISNUMBER(B701)),"✗ 日期不是真日期",IF(OR(B701&lt;年初日,B701&gt;年末日),"✗ 日期不在本年度",IF(C701="","✗ 没选供应商",IF(COUNTIF(基础资料!$Q$5:$Q$54,C701)=0,"✗ 供应商不在基础资料里",IF(D701="","✗ 没选商品",IF(COUNTIF(基础资料!$E$5:$E$104,D701)=0,"✗ 商品不在商品档案里",IF(AND(E701="",H701=""),"✗ 没填数量",IF(AND(N(E701)&lt;&gt;0,F701=""),"✗ 没填进价","√")))))))))</f>
      </c>
    </row>
    <row r="702">
      <c r="A702" s="109">
        <f>IF(AND(C702="",D702=""),"",ROW()-3)</f>
      </c>
      <c r="B702" s="140" t="n"/>
      <c r="C702" s="141" t="n"/>
      <c r="D702" s="141" t="n"/>
      <c r="E702" s="148" t="n"/>
      <c r="F702" s="149" t="n"/>
      <c r="G702" s="150">
        <f>IF(AND(E702&lt;&gt;"",F702&lt;&gt;""),E702*F702,"")</f>
      </c>
      <c r="H702" s="148" t="n"/>
      <c r="I702" s="142" t="n"/>
      <c r="J702" s="146">
        <f>IF(AND(B702="",C702="",D702="",E702="",F702="",H702=""),"",IF(NOT(ISNUMBER(B702)),"✗ 日期不是真日期",IF(OR(B702&lt;年初日,B702&gt;年末日),"✗ 日期不在本年度",IF(C702="","✗ 没选供应商",IF(COUNTIF(基础资料!$Q$5:$Q$54,C702)=0,"✗ 供应商不在基础资料里",IF(D702="","✗ 没选商品",IF(COUNTIF(基础资料!$E$5:$E$104,D702)=0,"✗ 商品不在商品档案里",IF(AND(E702="",H702=""),"✗ 没填数量",IF(AND(N(E702)&lt;&gt;0,F702=""),"✗ 没填进价","√")))))))))</f>
      </c>
    </row>
    <row r="703">
      <c r="A703" s="109">
        <f>IF(AND(C703="",D703=""),"",ROW()-3)</f>
      </c>
      <c r="B703" s="140" t="n"/>
      <c r="C703" s="141" t="n"/>
      <c r="D703" s="141" t="n"/>
      <c r="E703" s="148" t="n"/>
      <c r="F703" s="149" t="n"/>
      <c r="G703" s="150">
        <f>IF(AND(E703&lt;&gt;"",F703&lt;&gt;""),E703*F703,"")</f>
      </c>
      <c r="H703" s="148" t="n"/>
      <c r="I703" s="142" t="n"/>
      <c r="J703" s="146">
        <f>IF(AND(B703="",C703="",D703="",E703="",F703="",H703=""),"",IF(NOT(ISNUMBER(B703)),"✗ 日期不是真日期",IF(OR(B703&lt;年初日,B703&gt;年末日),"✗ 日期不在本年度",IF(C703="","✗ 没选供应商",IF(COUNTIF(基础资料!$Q$5:$Q$54,C703)=0,"✗ 供应商不在基础资料里",IF(D703="","✗ 没选商品",IF(COUNTIF(基础资料!$E$5:$E$104,D703)=0,"✗ 商品不在商品档案里",IF(AND(E703="",H703=""),"✗ 没填数量",IF(AND(N(E703)&lt;&gt;0,F703=""),"✗ 没填进价","√")))))))))</f>
      </c>
    </row>
    <row r="704">
      <c r="A704" s="109">
        <f>IF(AND(C704="",D704=""),"",ROW()-3)</f>
      </c>
      <c r="B704" s="140" t="n"/>
      <c r="C704" s="141" t="n"/>
      <c r="D704" s="141" t="n"/>
      <c r="E704" s="148" t="n"/>
      <c r="F704" s="149" t="n"/>
      <c r="G704" s="150">
        <f>IF(AND(E704&lt;&gt;"",F704&lt;&gt;""),E704*F704,"")</f>
      </c>
      <c r="H704" s="148" t="n"/>
      <c r="I704" s="142" t="n"/>
      <c r="J704" s="146">
        <f>IF(AND(B704="",C704="",D704="",E704="",F704="",H704=""),"",IF(NOT(ISNUMBER(B704)),"✗ 日期不是真日期",IF(OR(B704&lt;年初日,B704&gt;年末日),"✗ 日期不在本年度",IF(C704="","✗ 没选供应商",IF(COUNTIF(基础资料!$Q$5:$Q$54,C704)=0,"✗ 供应商不在基础资料里",IF(D704="","✗ 没选商品",IF(COUNTIF(基础资料!$E$5:$E$104,D704)=0,"✗ 商品不在商品档案里",IF(AND(E704="",H704=""),"✗ 没填数量",IF(AND(N(E704)&lt;&gt;0,F704=""),"✗ 没填进价","√")))))))))</f>
      </c>
    </row>
    <row r="705">
      <c r="A705" s="109">
        <f>IF(AND(C705="",D705=""),"",ROW()-3)</f>
      </c>
      <c r="B705" s="140" t="n"/>
      <c r="C705" s="141" t="n"/>
      <c r="D705" s="141" t="n"/>
      <c r="E705" s="148" t="n"/>
      <c r="F705" s="149" t="n"/>
      <c r="G705" s="150">
        <f>IF(AND(E705&lt;&gt;"",F705&lt;&gt;""),E705*F705,"")</f>
      </c>
      <c r="H705" s="148" t="n"/>
      <c r="I705" s="142" t="n"/>
      <c r="J705" s="146">
        <f>IF(AND(B705="",C705="",D705="",E705="",F705="",H705=""),"",IF(NOT(ISNUMBER(B705)),"✗ 日期不是真日期",IF(OR(B705&lt;年初日,B705&gt;年末日),"✗ 日期不在本年度",IF(C705="","✗ 没选供应商",IF(COUNTIF(基础资料!$Q$5:$Q$54,C705)=0,"✗ 供应商不在基础资料里",IF(D705="","✗ 没选商品",IF(COUNTIF(基础资料!$E$5:$E$104,D705)=0,"✗ 商品不在商品档案里",IF(AND(E705="",H705=""),"✗ 没填数量",IF(AND(N(E705)&lt;&gt;0,F705=""),"✗ 没填进价","√")))))))))</f>
      </c>
    </row>
    <row r="706">
      <c r="A706" s="109">
        <f>IF(AND(C706="",D706=""),"",ROW()-3)</f>
      </c>
      <c r="B706" s="140" t="n"/>
      <c r="C706" s="141" t="n"/>
      <c r="D706" s="141" t="n"/>
      <c r="E706" s="148" t="n"/>
      <c r="F706" s="149" t="n"/>
      <c r="G706" s="150">
        <f>IF(AND(E706&lt;&gt;"",F706&lt;&gt;""),E706*F706,"")</f>
      </c>
      <c r="H706" s="148" t="n"/>
      <c r="I706" s="142" t="n"/>
      <c r="J706" s="146">
        <f>IF(AND(B706="",C706="",D706="",E706="",F706="",H706=""),"",IF(NOT(ISNUMBER(B706)),"✗ 日期不是真日期",IF(OR(B706&lt;年初日,B706&gt;年末日),"✗ 日期不在本年度",IF(C706="","✗ 没选供应商",IF(COUNTIF(基础资料!$Q$5:$Q$54,C706)=0,"✗ 供应商不在基础资料里",IF(D706="","✗ 没选商品",IF(COUNTIF(基础资料!$E$5:$E$104,D706)=0,"✗ 商品不在商品档案里",IF(AND(E706="",H706=""),"✗ 没填数量",IF(AND(N(E706)&lt;&gt;0,F706=""),"✗ 没填进价","√")))))))))</f>
      </c>
    </row>
    <row r="707">
      <c r="A707" s="109">
        <f>IF(AND(C707="",D707=""),"",ROW()-3)</f>
      </c>
      <c r="B707" s="140" t="n"/>
      <c r="C707" s="141" t="n"/>
      <c r="D707" s="141" t="n"/>
      <c r="E707" s="148" t="n"/>
      <c r="F707" s="149" t="n"/>
      <c r="G707" s="150">
        <f>IF(AND(E707&lt;&gt;"",F707&lt;&gt;""),E707*F707,"")</f>
      </c>
      <c r="H707" s="148" t="n"/>
      <c r="I707" s="142" t="n"/>
      <c r="J707" s="146">
        <f>IF(AND(B707="",C707="",D707="",E707="",F707="",H707=""),"",IF(NOT(ISNUMBER(B707)),"✗ 日期不是真日期",IF(OR(B707&lt;年初日,B707&gt;年末日),"✗ 日期不在本年度",IF(C707="","✗ 没选供应商",IF(COUNTIF(基础资料!$Q$5:$Q$54,C707)=0,"✗ 供应商不在基础资料里",IF(D707="","✗ 没选商品",IF(COUNTIF(基础资料!$E$5:$E$104,D707)=0,"✗ 商品不在商品档案里",IF(AND(E707="",H707=""),"✗ 没填数量",IF(AND(N(E707)&lt;&gt;0,F707=""),"✗ 没填进价","√")))))))))</f>
      </c>
    </row>
    <row r="708">
      <c r="A708" s="109">
        <f>IF(AND(C708="",D708=""),"",ROW()-3)</f>
      </c>
      <c r="B708" s="140" t="n"/>
      <c r="C708" s="141" t="n"/>
      <c r="D708" s="141" t="n"/>
      <c r="E708" s="148" t="n"/>
      <c r="F708" s="149" t="n"/>
      <c r="G708" s="150">
        <f>IF(AND(E708&lt;&gt;"",F708&lt;&gt;""),E708*F708,"")</f>
      </c>
      <c r="H708" s="148" t="n"/>
      <c r="I708" s="142" t="n"/>
      <c r="J708" s="146">
        <f>IF(AND(B708="",C708="",D708="",E708="",F708="",H708=""),"",IF(NOT(ISNUMBER(B708)),"✗ 日期不是真日期",IF(OR(B708&lt;年初日,B708&gt;年末日),"✗ 日期不在本年度",IF(C708="","✗ 没选供应商",IF(COUNTIF(基础资料!$Q$5:$Q$54,C708)=0,"✗ 供应商不在基础资料里",IF(D708="","✗ 没选商品",IF(COUNTIF(基础资料!$E$5:$E$104,D708)=0,"✗ 商品不在商品档案里",IF(AND(E708="",H708=""),"✗ 没填数量",IF(AND(N(E708)&lt;&gt;0,F708=""),"✗ 没填进价","√")))))))))</f>
      </c>
    </row>
    <row r="709">
      <c r="A709" s="109">
        <f>IF(AND(C709="",D709=""),"",ROW()-3)</f>
      </c>
      <c r="B709" s="140" t="n"/>
      <c r="C709" s="141" t="n"/>
      <c r="D709" s="141" t="n"/>
      <c r="E709" s="148" t="n"/>
      <c r="F709" s="149" t="n"/>
      <c r="G709" s="150">
        <f>IF(AND(E709&lt;&gt;"",F709&lt;&gt;""),E709*F709,"")</f>
      </c>
      <c r="H709" s="148" t="n"/>
      <c r="I709" s="142" t="n"/>
      <c r="J709" s="146">
        <f>IF(AND(B709="",C709="",D709="",E709="",F709="",H709=""),"",IF(NOT(ISNUMBER(B709)),"✗ 日期不是真日期",IF(OR(B709&lt;年初日,B709&gt;年末日),"✗ 日期不在本年度",IF(C709="","✗ 没选供应商",IF(COUNTIF(基础资料!$Q$5:$Q$54,C709)=0,"✗ 供应商不在基础资料里",IF(D709="","✗ 没选商品",IF(COUNTIF(基础资料!$E$5:$E$104,D709)=0,"✗ 商品不在商品档案里",IF(AND(E709="",H709=""),"✗ 没填数量",IF(AND(N(E709)&lt;&gt;0,F709=""),"✗ 没填进价","√")))))))))</f>
      </c>
    </row>
    <row r="710">
      <c r="A710" s="109">
        <f>IF(AND(C710="",D710=""),"",ROW()-3)</f>
      </c>
      <c r="B710" s="140" t="n"/>
      <c r="C710" s="141" t="n"/>
      <c r="D710" s="141" t="n"/>
      <c r="E710" s="148" t="n"/>
      <c r="F710" s="149" t="n"/>
      <c r="G710" s="150">
        <f>IF(AND(E710&lt;&gt;"",F710&lt;&gt;""),E710*F710,"")</f>
      </c>
      <c r="H710" s="148" t="n"/>
      <c r="I710" s="142" t="n"/>
      <c r="J710" s="146">
        <f>IF(AND(B710="",C710="",D710="",E710="",F710="",H710=""),"",IF(NOT(ISNUMBER(B710)),"✗ 日期不是真日期",IF(OR(B710&lt;年初日,B710&gt;年末日),"✗ 日期不在本年度",IF(C710="","✗ 没选供应商",IF(COUNTIF(基础资料!$Q$5:$Q$54,C710)=0,"✗ 供应商不在基础资料里",IF(D710="","✗ 没选商品",IF(COUNTIF(基础资料!$E$5:$E$104,D710)=0,"✗ 商品不在商品档案里",IF(AND(E710="",H710=""),"✗ 没填数量",IF(AND(N(E710)&lt;&gt;0,F710=""),"✗ 没填进价","√")))))))))</f>
      </c>
    </row>
    <row r="711">
      <c r="A711" s="109">
        <f>IF(AND(C711="",D711=""),"",ROW()-3)</f>
      </c>
      <c r="B711" s="140" t="n"/>
      <c r="C711" s="141" t="n"/>
      <c r="D711" s="141" t="n"/>
      <c r="E711" s="148" t="n"/>
      <c r="F711" s="149" t="n"/>
      <c r="G711" s="150">
        <f>IF(AND(E711&lt;&gt;"",F711&lt;&gt;""),E711*F711,"")</f>
      </c>
      <c r="H711" s="148" t="n"/>
      <c r="I711" s="142" t="n"/>
      <c r="J711" s="146">
        <f>IF(AND(B711="",C711="",D711="",E711="",F711="",H711=""),"",IF(NOT(ISNUMBER(B711)),"✗ 日期不是真日期",IF(OR(B711&lt;年初日,B711&gt;年末日),"✗ 日期不在本年度",IF(C711="","✗ 没选供应商",IF(COUNTIF(基础资料!$Q$5:$Q$54,C711)=0,"✗ 供应商不在基础资料里",IF(D711="","✗ 没选商品",IF(COUNTIF(基础资料!$E$5:$E$104,D711)=0,"✗ 商品不在商品档案里",IF(AND(E711="",H711=""),"✗ 没填数量",IF(AND(N(E711)&lt;&gt;0,F711=""),"✗ 没填进价","√")))))))))</f>
      </c>
    </row>
    <row r="712">
      <c r="A712" s="109">
        <f>IF(AND(C712="",D712=""),"",ROW()-3)</f>
      </c>
      <c r="B712" s="140" t="n"/>
      <c r="C712" s="141" t="n"/>
      <c r="D712" s="141" t="n"/>
      <c r="E712" s="148" t="n"/>
      <c r="F712" s="149" t="n"/>
      <c r="G712" s="150">
        <f>IF(AND(E712&lt;&gt;"",F712&lt;&gt;""),E712*F712,"")</f>
      </c>
      <c r="H712" s="148" t="n"/>
      <c r="I712" s="142" t="n"/>
      <c r="J712" s="146">
        <f>IF(AND(B712="",C712="",D712="",E712="",F712="",H712=""),"",IF(NOT(ISNUMBER(B712)),"✗ 日期不是真日期",IF(OR(B712&lt;年初日,B712&gt;年末日),"✗ 日期不在本年度",IF(C712="","✗ 没选供应商",IF(COUNTIF(基础资料!$Q$5:$Q$54,C712)=0,"✗ 供应商不在基础资料里",IF(D712="","✗ 没选商品",IF(COUNTIF(基础资料!$E$5:$E$104,D712)=0,"✗ 商品不在商品档案里",IF(AND(E712="",H712=""),"✗ 没填数量",IF(AND(N(E712)&lt;&gt;0,F712=""),"✗ 没填进价","√")))))))))</f>
      </c>
    </row>
    <row r="713">
      <c r="A713" s="109">
        <f>IF(AND(C713="",D713=""),"",ROW()-3)</f>
      </c>
      <c r="B713" s="140" t="n"/>
      <c r="C713" s="141" t="n"/>
      <c r="D713" s="141" t="n"/>
      <c r="E713" s="148" t="n"/>
      <c r="F713" s="149" t="n"/>
      <c r="G713" s="150">
        <f>IF(AND(E713&lt;&gt;"",F713&lt;&gt;""),E713*F713,"")</f>
      </c>
      <c r="H713" s="148" t="n"/>
      <c r="I713" s="142" t="n"/>
      <c r="J713" s="146">
        <f>IF(AND(B713="",C713="",D713="",E713="",F713="",H713=""),"",IF(NOT(ISNUMBER(B713)),"✗ 日期不是真日期",IF(OR(B713&lt;年初日,B713&gt;年末日),"✗ 日期不在本年度",IF(C713="","✗ 没选供应商",IF(COUNTIF(基础资料!$Q$5:$Q$54,C713)=0,"✗ 供应商不在基础资料里",IF(D713="","✗ 没选商品",IF(COUNTIF(基础资料!$E$5:$E$104,D713)=0,"✗ 商品不在商品档案里",IF(AND(E713="",H713=""),"✗ 没填数量",IF(AND(N(E713)&lt;&gt;0,F713=""),"✗ 没填进价","√")))))))))</f>
      </c>
    </row>
    <row r="714">
      <c r="A714" s="109">
        <f>IF(AND(C714="",D714=""),"",ROW()-3)</f>
      </c>
      <c r="B714" s="140" t="n"/>
      <c r="C714" s="141" t="n"/>
      <c r="D714" s="141" t="n"/>
      <c r="E714" s="148" t="n"/>
      <c r="F714" s="149" t="n"/>
      <c r="G714" s="150">
        <f>IF(AND(E714&lt;&gt;"",F714&lt;&gt;""),E714*F714,"")</f>
      </c>
      <c r="H714" s="148" t="n"/>
      <c r="I714" s="142" t="n"/>
      <c r="J714" s="146">
        <f>IF(AND(B714="",C714="",D714="",E714="",F714="",H714=""),"",IF(NOT(ISNUMBER(B714)),"✗ 日期不是真日期",IF(OR(B714&lt;年初日,B714&gt;年末日),"✗ 日期不在本年度",IF(C714="","✗ 没选供应商",IF(COUNTIF(基础资料!$Q$5:$Q$54,C714)=0,"✗ 供应商不在基础资料里",IF(D714="","✗ 没选商品",IF(COUNTIF(基础资料!$E$5:$E$104,D714)=0,"✗ 商品不在商品档案里",IF(AND(E714="",H714=""),"✗ 没填数量",IF(AND(N(E714)&lt;&gt;0,F714=""),"✗ 没填进价","√")))))))))</f>
      </c>
    </row>
    <row r="715">
      <c r="A715" s="109">
        <f>IF(AND(C715="",D715=""),"",ROW()-3)</f>
      </c>
      <c r="B715" s="140" t="n"/>
      <c r="C715" s="141" t="n"/>
      <c r="D715" s="141" t="n"/>
      <c r="E715" s="148" t="n"/>
      <c r="F715" s="149" t="n"/>
      <c r="G715" s="150">
        <f>IF(AND(E715&lt;&gt;"",F715&lt;&gt;""),E715*F715,"")</f>
      </c>
      <c r="H715" s="148" t="n"/>
      <c r="I715" s="142" t="n"/>
      <c r="J715" s="146">
        <f>IF(AND(B715="",C715="",D715="",E715="",F715="",H715=""),"",IF(NOT(ISNUMBER(B715)),"✗ 日期不是真日期",IF(OR(B715&lt;年初日,B715&gt;年末日),"✗ 日期不在本年度",IF(C715="","✗ 没选供应商",IF(COUNTIF(基础资料!$Q$5:$Q$54,C715)=0,"✗ 供应商不在基础资料里",IF(D715="","✗ 没选商品",IF(COUNTIF(基础资料!$E$5:$E$104,D715)=0,"✗ 商品不在商品档案里",IF(AND(E715="",H715=""),"✗ 没填数量",IF(AND(N(E715)&lt;&gt;0,F715=""),"✗ 没填进价","√")))))))))</f>
      </c>
    </row>
    <row r="716">
      <c r="A716" s="109">
        <f>IF(AND(C716="",D716=""),"",ROW()-3)</f>
      </c>
      <c r="B716" s="140" t="n"/>
      <c r="C716" s="141" t="n"/>
      <c r="D716" s="141" t="n"/>
      <c r="E716" s="148" t="n"/>
      <c r="F716" s="149" t="n"/>
      <c r="G716" s="150">
        <f>IF(AND(E716&lt;&gt;"",F716&lt;&gt;""),E716*F716,"")</f>
      </c>
      <c r="H716" s="148" t="n"/>
      <c r="I716" s="142" t="n"/>
      <c r="J716" s="146">
        <f>IF(AND(B716="",C716="",D716="",E716="",F716="",H716=""),"",IF(NOT(ISNUMBER(B716)),"✗ 日期不是真日期",IF(OR(B716&lt;年初日,B716&gt;年末日),"✗ 日期不在本年度",IF(C716="","✗ 没选供应商",IF(COUNTIF(基础资料!$Q$5:$Q$54,C716)=0,"✗ 供应商不在基础资料里",IF(D716="","✗ 没选商品",IF(COUNTIF(基础资料!$E$5:$E$104,D716)=0,"✗ 商品不在商品档案里",IF(AND(E716="",H716=""),"✗ 没填数量",IF(AND(N(E716)&lt;&gt;0,F716=""),"✗ 没填进价","√")))))))))</f>
      </c>
    </row>
    <row r="717">
      <c r="A717" s="109">
        <f>IF(AND(C717="",D717=""),"",ROW()-3)</f>
      </c>
      <c r="B717" s="140" t="n"/>
      <c r="C717" s="141" t="n"/>
      <c r="D717" s="141" t="n"/>
      <c r="E717" s="148" t="n"/>
      <c r="F717" s="149" t="n"/>
      <c r="G717" s="150">
        <f>IF(AND(E717&lt;&gt;"",F717&lt;&gt;""),E717*F717,"")</f>
      </c>
      <c r="H717" s="148" t="n"/>
      <c r="I717" s="142" t="n"/>
      <c r="J717" s="146">
        <f>IF(AND(B717="",C717="",D717="",E717="",F717="",H717=""),"",IF(NOT(ISNUMBER(B717)),"✗ 日期不是真日期",IF(OR(B717&lt;年初日,B717&gt;年末日),"✗ 日期不在本年度",IF(C717="","✗ 没选供应商",IF(COUNTIF(基础资料!$Q$5:$Q$54,C717)=0,"✗ 供应商不在基础资料里",IF(D717="","✗ 没选商品",IF(COUNTIF(基础资料!$E$5:$E$104,D717)=0,"✗ 商品不在商品档案里",IF(AND(E717="",H717=""),"✗ 没填数量",IF(AND(N(E717)&lt;&gt;0,F717=""),"✗ 没填进价","√")))))))))</f>
      </c>
    </row>
    <row r="718">
      <c r="A718" s="109">
        <f>IF(AND(C718="",D718=""),"",ROW()-3)</f>
      </c>
      <c r="B718" s="140" t="n"/>
      <c r="C718" s="141" t="n"/>
      <c r="D718" s="141" t="n"/>
      <c r="E718" s="148" t="n"/>
      <c r="F718" s="149" t="n"/>
      <c r="G718" s="150">
        <f>IF(AND(E718&lt;&gt;"",F718&lt;&gt;""),E718*F718,"")</f>
      </c>
      <c r="H718" s="148" t="n"/>
      <c r="I718" s="142" t="n"/>
      <c r="J718" s="146">
        <f>IF(AND(B718="",C718="",D718="",E718="",F718="",H718=""),"",IF(NOT(ISNUMBER(B718)),"✗ 日期不是真日期",IF(OR(B718&lt;年初日,B718&gt;年末日),"✗ 日期不在本年度",IF(C718="","✗ 没选供应商",IF(COUNTIF(基础资料!$Q$5:$Q$54,C718)=0,"✗ 供应商不在基础资料里",IF(D718="","✗ 没选商品",IF(COUNTIF(基础资料!$E$5:$E$104,D718)=0,"✗ 商品不在商品档案里",IF(AND(E718="",H718=""),"✗ 没填数量",IF(AND(N(E718)&lt;&gt;0,F718=""),"✗ 没填进价","√")))))))))</f>
      </c>
    </row>
    <row r="719">
      <c r="A719" s="109">
        <f>IF(AND(C719="",D719=""),"",ROW()-3)</f>
      </c>
      <c r="B719" s="140" t="n"/>
      <c r="C719" s="141" t="n"/>
      <c r="D719" s="141" t="n"/>
      <c r="E719" s="148" t="n"/>
      <c r="F719" s="149" t="n"/>
      <c r="G719" s="150">
        <f>IF(AND(E719&lt;&gt;"",F719&lt;&gt;""),E719*F719,"")</f>
      </c>
      <c r="H719" s="148" t="n"/>
      <c r="I719" s="142" t="n"/>
      <c r="J719" s="146">
        <f>IF(AND(B719="",C719="",D719="",E719="",F719="",H719=""),"",IF(NOT(ISNUMBER(B719)),"✗ 日期不是真日期",IF(OR(B719&lt;年初日,B719&gt;年末日),"✗ 日期不在本年度",IF(C719="","✗ 没选供应商",IF(COUNTIF(基础资料!$Q$5:$Q$54,C719)=0,"✗ 供应商不在基础资料里",IF(D719="","✗ 没选商品",IF(COUNTIF(基础资料!$E$5:$E$104,D719)=0,"✗ 商品不在商品档案里",IF(AND(E719="",H719=""),"✗ 没填数量",IF(AND(N(E719)&lt;&gt;0,F719=""),"✗ 没填进价","√")))))))))</f>
      </c>
    </row>
    <row r="720">
      <c r="A720" s="109">
        <f>IF(AND(C720="",D720=""),"",ROW()-3)</f>
      </c>
      <c r="B720" s="140" t="n"/>
      <c r="C720" s="141" t="n"/>
      <c r="D720" s="141" t="n"/>
      <c r="E720" s="148" t="n"/>
      <c r="F720" s="149" t="n"/>
      <c r="G720" s="150">
        <f>IF(AND(E720&lt;&gt;"",F720&lt;&gt;""),E720*F720,"")</f>
      </c>
      <c r="H720" s="148" t="n"/>
      <c r="I720" s="142" t="n"/>
      <c r="J720" s="146">
        <f>IF(AND(B720="",C720="",D720="",E720="",F720="",H720=""),"",IF(NOT(ISNUMBER(B720)),"✗ 日期不是真日期",IF(OR(B720&lt;年初日,B720&gt;年末日),"✗ 日期不在本年度",IF(C720="","✗ 没选供应商",IF(COUNTIF(基础资料!$Q$5:$Q$54,C720)=0,"✗ 供应商不在基础资料里",IF(D720="","✗ 没选商品",IF(COUNTIF(基础资料!$E$5:$E$104,D720)=0,"✗ 商品不在商品档案里",IF(AND(E720="",H720=""),"✗ 没填数量",IF(AND(N(E720)&lt;&gt;0,F720=""),"✗ 没填进价","√")))))))))</f>
      </c>
    </row>
    <row r="721">
      <c r="A721" s="109">
        <f>IF(AND(C721="",D721=""),"",ROW()-3)</f>
      </c>
      <c r="B721" s="140" t="n"/>
      <c r="C721" s="141" t="n"/>
      <c r="D721" s="141" t="n"/>
      <c r="E721" s="148" t="n"/>
      <c r="F721" s="149" t="n"/>
      <c r="G721" s="150">
        <f>IF(AND(E721&lt;&gt;"",F721&lt;&gt;""),E721*F721,"")</f>
      </c>
      <c r="H721" s="148" t="n"/>
      <c r="I721" s="142" t="n"/>
      <c r="J721" s="146">
        <f>IF(AND(B721="",C721="",D721="",E721="",F721="",H721=""),"",IF(NOT(ISNUMBER(B721)),"✗ 日期不是真日期",IF(OR(B721&lt;年初日,B721&gt;年末日),"✗ 日期不在本年度",IF(C721="","✗ 没选供应商",IF(COUNTIF(基础资料!$Q$5:$Q$54,C721)=0,"✗ 供应商不在基础资料里",IF(D721="","✗ 没选商品",IF(COUNTIF(基础资料!$E$5:$E$104,D721)=0,"✗ 商品不在商品档案里",IF(AND(E721="",H721=""),"✗ 没填数量",IF(AND(N(E721)&lt;&gt;0,F721=""),"✗ 没填进价","√")))))))))</f>
      </c>
    </row>
    <row r="722">
      <c r="A722" s="109">
        <f>IF(AND(C722="",D722=""),"",ROW()-3)</f>
      </c>
      <c r="B722" s="140" t="n"/>
      <c r="C722" s="141" t="n"/>
      <c r="D722" s="141" t="n"/>
      <c r="E722" s="148" t="n"/>
      <c r="F722" s="149" t="n"/>
      <c r="G722" s="150">
        <f>IF(AND(E722&lt;&gt;"",F722&lt;&gt;""),E722*F722,"")</f>
      </c>
      <c r="H722" s="148" t="n"/>
      <c r="I722" s="142" t="n"/>
      <c r="J722" s="146">
        <f>IF(AND(B722="",C722="",D722="",E722="",F722="",H722=""),"",IF(NOT(ISNUMBER(B722)),"✗ 日期不是真日期",IF(OR(B722&lt;年初日,B722&gt;年末日),"✗ 日期不在本年度",IF(C722="","✗ 没选供应商",IF(COUNTIF(基础资料!$Q$5:$Q$54,C722)=0,"✗ 供应商不在基础资料里",IF(D722="","✗ 没选商品",IF(COUNTIF(基础资料!$E$5:$E$104,D722)=0,"✗ 商品不在商品档案里",IF(AND(E722="",H722=""),"✗ 没填数量",IF(AND(N(E722)&lt;&gt;0,F722=""),"✗ 没填进价","√")))))))))</f>
      </c>
    </row>
    <row r="723">
      <c r="A723" s="109">
        <f>IF(AND(C723="",D723=""),"",ROW()-3)</f>
      </c>
      <c r="B723" s="140" t="n"/>
      <c r="C723" s="141" t="n"/>
      <c r="D723" s="141" t="n"/>
      <c r="E723" s="148" t="n"/>
      <c r="F723" s="149" t="n"/>
      <c r="G723" s="150">
        <f>IF(AND(E723&lt;&gt;"",F723&lt;&gt;""),E723*F723,"")</f>
      </c>
      <c r="H723" s="148" t="n"/>
      <c r="I723" s="142" t="n"/>
      <c r="J723" s="146">
        <f>IF(AND(B723="",C723="",D723="",E723="",F723="",H723=""),"",IF(NOT(ISNUMBER(B723)),"✗ 日期不是真日期",IF(OR(B723&lt;年初日,B723&gt;年末日),"✗ 日期不在本年度",IF(C723="","✗ 没选供应商",IF(COUNTIF(基础资料!$Q$5:$Q$54,C723)=0,"✗ 供应商不在基础资料里",IF(D723="","✗ 没选商品",IF(COUNTIF(基础资料!$E$5:$E$104,D723)=0,"✗ 商品不在商品档案里",IF(AND(E723="",H723=""),"✗ 没填数量",IF(AND(N(E723)&lt;&gt;0,F723=""),"✗ 没填进价","√")))))))))</f>
      </c>
    </row>
    <row r="724">
      <c r="A724" s="109">
        <f>IF(AND(C724="",D724=""),"",ROW()-3)</f>
      </c>
      <c r="B724" s="140" t="n"/>
      <c r="C724" s="141" t="n"/>
      <c r="D724" s="141" t="n"/>
      <c r="E724" s="148" t="n"/>
      <c r="F724" s="149" t="n"/>
      <c r="G724" s="150">
        <f>IF(AND(E724&lt;&gt;"",F724&lt;&gt;""),E724*F724,"")</f>
      </c>
      <c r="H724" s="148" t="n"/>
      <c r="I724" s="142" t="n"/>
      <c r="J724" s="146">
        <f>IF(AND(B724="",C724="",D724="",E724="",F724="",H724=""),"",IF(NOT(ISNUMBER(B724)),"✗ 日期不是真日期",IF(OR(B724&lt;年初日,B724&gt;年末日),"✗ 日期不在本年度",IF(C724="","✗ 没选供应商",IF(COUNTIF(基础资料!$Q$5:$Q$54,C724)=0,"✗ 供应商不在基础资料里",IF(D724="","✗ 没选商品",IF(COUNTIF(基础资料!$E$5:$E$104,D724)=0,"✗ 商品不在商品档案里",IF(AND(E724="",H724=""),"✗ 没填数量",IF(AND(N(E724)&lt;&gt;0,F724=""),"✗ 没填进价","√")))))))))</f>
      </c>
    </row>
    <row r="725">
      <c r="A725" s="109">
        <f>IF(AND(C725="",D725=""),"",ROW()-3)</f>
      </c>
      <c r="B725" s="140" t="n"/>
      <c r="C725" s="141" t="n"/>
      <c r="D725" s="141" t="n"/>
      <c r="E725" s="148" t="n"/>
      <c r="F725" s="149" t="n"/>
      <c r="G725" s="150">
        <f>IF(AND(E725&lt;&gt;"",F725&lt;&gt;""),E725*F725,"")</f>
      </c>
      <c r="H725" s="148" t="n"/>
      <c r="I725" s="142" t="n"/>
      <c r="J725" s="146">
        <f>IF(AND(B725="",C725="",D725="",E725="",F725="",H725=""),"",IF(NOT(ISNUMBER(B725)),"✗ 日期不是真日期",IF(OR(B725&lt;年初日,B725&gt;年末日),"✗ 日期不在本年度",IF(C725="","✗ 没选供应商",IF(COUNTIF(基础资料!$Q$5:$Q$54,C725)=0,"✗ 供应商不在基础资料里",IF(D725="","✗ 没选商品",IF(COUNTIF(基础资料!$E$5:$E$104,D725)=0,"✗ 商品不在商品档案里",IF(AND(E725="",H725=""),"✗ 没填数量",IF(AND(N(E725)&lt;&gt;0,F725=""),"✗ 没填进价","√")))))))))</f>
      </c>
    </row>
    <row r="726">
      <c r="A726" s="109">
        <f>IF(AND(C726="",D726=""),"",ROW()-3)</f>
      </c>
      <c r="B726" s="140" t="n"/>
      <c r="C726" s="141" t="n"/>
      <c r="D726" s="141" t="n"/>
      <c r="E726" s="148" t="n"/>
      <c r="F726" s="149" t="n"/>
      <c r="G726" s="150">
        <f>IF(AND(E726&lt;&gt;"",F726&lt;&gt;""),E726*F726,"")</f>
      </c>
      <c r="H726" s="148" t="n"/>
      <c r="I726" s="142" t="n"/>
      <c r="J726" s="146">
        <f>IF(AND(B726="",C726="",D726="",E726="",F726="",H726=""),"",IF(NOT(ISNUMBER(B726)),"✗ 日期不是真日期",IF(OR(B726&lt;年初日,B726&gt;年末日),"✗ 日期不在本年度",IF(C726="","✗ 没选供应商",IF(COUNTIF(基础资料!$Q$5:$Q$54,C726)=0,"✗ 供应商不在基础资料里",IF(D726="","✗ 没选商品",IF(COUNTIF(基础资料!$E$5:$E$104,D726)=0,"✗ 商品不在商品档案里",IF(AND(E726="",H726=""),"✗ 没填数量",IF(AND(N(E726)&lt;&gt;0,F726=""),"✗ 没填进价","√")))))))))</f>
      </c>
    </row>
    <row r="727">
      <c r="A727" s="109">
        <f>IF(AND(C727="",D727=""),"",ROW()-3)</f>
      </c>
      <c r="B727" s="140" t="n"/>
      <c r="C727" s="141" t="n"/>
      <c r="D727" s="141" t="n"/>
      <c r="E727" s="148" t="n"/>
      <c r="F727" s="149" t="n"/>
      <c r="G727" s="150">
        <f>IF(AND(E727&lt;&gt;"",F727&lt;&gt;""),E727*F727,"")</f>
      </c>
      <c r="H727" s="148" t="n"/>
      <c r="I727" s="142" t="n"/>
      <c r="J727" s="146">
        <f>IF(AND(B727="",C727="",D727="",E727="",F727="",H727=""),"",IF(NOT(ISNUMBER(B727)),"✗ 日期不是真日期",IF(OR(B727&lt;年初日,B727&gt;年末日),"✗ 日期不在本年度",IF(C727="","✗ 没选供应商",IF(COUNTIF(基础资料!$Q$5:$Q$54,C727)=0,"✗ 供应商不在基础资料里",IF(D727="","✗ 没选商品",IF(COUNTIF(基础资料!$E$5:$E$104,D727)=0,"✗ 商品不在商品档案里",IF(AND(E727="",H727=""),"✗ 没填数量",IF(AND(N(E727)&lt;&gt;0,F727=""),"✗ 没填进价","√")))))))))</f>
      </c>
    </row>
    <row r="728">
      <c r="A728" s="109">
        <f>IF(AND(C728="",D728=""),"",ROW()-3)</f>
      </c>
      <c r="B728" s="140" t="n"/>
      <c r="C728" s="141" t="n"/>
      <c r="D728" s="141" t="n"/>
      <c r="E728" s="148" t="n"/>
      <c r="F728" s="149" t="n"/>
      <c r="G728" s="150">
        <f>IF(AND(E728&lt;&gt;"",F728&lt;&gt;""),E728*F728,"")</f>
      </c>
      <c r="H728" s="148" t="n"/>
      <c r="I728" s="142" t="n"/>
      <c r="J728" s="146">
        <f>IF(AND(B728="",C728="",D728="",E728="",F728="",H728=""),"",IF(NOT(ISNUMBER(B728)),"✗ 日期不是真日期",IF(OR(B728&lt;年初日,B728&gt;年末日),"✗ 日期不在本年度",IF(C728="","✗ 没选供应商",IF(COUNTIF(基础资料!$Q$5:$Q$54,C728)=0,"✗ 供应商不在基础资料里",IF(D728="","✗ 没选商品",IF(COUNTIF(基础资料!$E$5:$E$104,D728)=0,"✗ 商品不在商品档案里",IF(AND(E728="",H728=""),"✗ 没填数量",IF(AND(N(E728)&lt;&gt;0,F728=""),"✗ 没填进价","√")))))))))</f>
      </c>
    </row>
    <row r="729">
      <c r="A729" s="109">
        <f>IF(AND(C729="",D729=""),"",ROW()-3)</f>
      </c>
      <c r="B729" s="140" t="n"/>
      <c r="C729" s="141" t="n"/>
      <c r="D729" s="141" t="n"/>
      <c r="E729" s="148" t="n"/>
      <c r="F729" s="149" t="n"/>
      <c r="G729" s="150">
        <f>IF(AND(E729&lt;&gt;"",F729&lt;&gt;""),E729*F729,"")</f>
      </c>
      <c r="H729" s="148" t="n"/>
      <c r="I729" s="142" t="n"/>
      <c r="J729" s="146">
        <f>IF(AND(B729="",C729="",D729="",E729="",F729="",H729=""),"",IF(NOT(ISNUMBER(B729)),"✗ 日期不是真日期",IF(OR(B729&lt;年初日,B729&gt;年末日),"✗ 日期不在本年度",IF(C729="","✗ 没选供应商",IF(COUNTIF(基础资料!$Q$5:$Q$54,C729)=0,"✗ 供应商不在基础资料里",IF(D729="","✗ 没选商品",IF(COUNTIF(基础资料!$E$5:$E$104,D729)=0,"✗ 商品不在商品档案里",IF(AND(E729="",H729=""),"✗ 没填数量",IF(AND(N(E729)&lt;&gt;0,F729=""),"✗ 没填进价","√")))))))))</f>
      </c>
    </row>
    <row r="730">
      <c r="A730" s="109">
        <f>IF(AND(C730="",D730=""),"",ROW()-3)</f>
      </c>
      <c r="B730" s="140" t="n"/>
      <c r="C730" s="141" t="n"/>
      <c r="D730" s="141" t="n"/>
      <c r="E730" s="148" t="n"/>
      <c r="F730" s="149" t="n"/>
      <c r="G730" s="150">
        <f>IF(AND(E730&lt;&gt;"",F730&lt;&gt;""),E730*F730,"")</f>
      </c>
      <c r="H730" s="148" t="n"/>
      <c r="I730" s="142" t="n"/>
      <c r="J730" s="146">
        <f>IF(AND(B730="",C730="",D730="",E730="",F730="",H730=""),"",IF(NOT(ISNUMBER(B730)),"✗ 日期不是真日期",IF(OR(B730&lt;年初日,B730&gt;年末日),"✗ 日期不在本年度",IF(C730="","✗ 没选供应商",IF(COUNTIF(基础资料!$Q$5:$Q$54,C730)=0,"✗ 供应商不在基础资料里",IF(D730="","✗ 没选商品",IF(COUNTIF(基础资料!$E$5:$E$104,D730)=0,"✗ 商品不在商品档案里",IF(AND(E730="",H730=""),"✗ 没填数量",IF(AND(N(E730)&lt;&gt;0,F730=""),"✗ 没填进价","√")))))))))</f>
      </c>
    </row>
    <row r="731">
      <c r="A731" s="109">
        <f>IF(AND(C731="",D731=""),"",ROW()-3)</f>
      </c>
      <c r="B731" s="140" t="n"/>
      <c r="C731" s="141" t="n"/>
      <c r="D731" s="141" t="n"/>
      <c r="E731" s="148" t="n"/>
      <c r="F731" s="149" t="n"/>
      <c r="G731" s="150">
        <f>IF(AND(E731&lt;&gt;"",F731&lt;&gt;""),E731*F731,"")</f>
      </c>
      <c r="H731" s="148" t="n"/>
      <c r="I731" s="142" t="n"/>
      <c r="J731" s="146">
        <f>IF(AND(B731="",C731="",D731="",E731="",F731="",H731=""),"",IF(NOT(ISNUMBER(B731)),"✗ 日期不是真日期",IF(OR(B731&lt;年初日,B731&gt;年末日),"✗ 日期不在本年度",IF(C731="","✗ 没选供应商",IF(COUNTIF(基础资料!$Q$5:$Q$54,C731)=0,"✗ 供应商不在基础资料里",IF(D731="","✗ 没选商品",IF(COUNTIF(基础资料!$E$5:$E$104,D731)=0,"✗ 商品不在商品档案里",IF(AND(E731="",H731=""),"✗ 没填数量",IF(AND(N(E731)&lt;&gt;0,F731=""),"✗ 没填进价","√")))))))))</f>
      </c>
    </row>
    <row r="732">
      <c r="A732" s="109">
        <f>IF(AND(C732="",D732=""),"",ROW()-3)</f>
      </c>
      <c r="B732" s="140" t="n"/>
      <c r="C732" s="141" t="n"/>
      <c r="D732" s="141" t="n"/>
      <c r="E732" s="148" t="n"/>
      <c r="F732" s="149" t="n"/>
      <c r="G732" s="150">
        <f>IF(AND(E732&lt;&gt;"",F732&lt;&gt;""),E732*F732,"")</f>
      </c>
      <c r="H732" s="148" t="n"/>
      <c r="I732" s="142" t="n"/>
      <c r="J732" s="146">
        <f>IF(AND(B732="",C732="",D732="",E732="",F732="",H732=""),"",IF(NOT(ISNUMBER(B732)),"✗ 日期不是真日期",IF(OR(B732&lt;年初日,B732&gt;年末日),"✗ 日期不在本年度",IF(C732="","✗ 没选供应商",IF(COUNTIF(基础资料!$Q$5:$Q$54,C732)=0,"✗ 供应商不在基础资料里",IF(D732="","✗ 没选商品",IF(COUNTIF(基础资料!$E$5:$E$104,D732)=0,"✗ 商品不在商品档案里",IF(AND(E732="",H732=""),"✗ 没填数量",IF(AND(N(E732)&lt;&gt;0,F732=""),"✗ 没填进价","√")))))))))</f>
      </c>
    </row>
    <row r="733">
      <c r="A733" s="109">
        <f>IF(AND(C733="",D733=""),"",ROW()-3)</f>
      </c>
      <c r="B733" s="140" t="n"/>
      <c r="C733" s="141" t="n"/>
      <c r="D733" s="141" t="n"/>
      <c r="E733" s="148" t="n"/>
      <c r="F733" s="149" t="n"/>
      <c r="G733" s="150">
        <f>IF(AND(E733&lt;&gt;"",F733&lt;&gt;""),E733*F733,"")</f>
      </c>
      <c r="H733" s="148" t="n"/>
      <c r="I733" s="142" t="n"/>
      <c r="J733" s="146">
        <f>IF(AND(B733="",C733="",D733="",E733="",F733="",H733=""),"",IF(NOT(ISNUMBER(B733)),"✗ 日期不是真日期",IF(OR(B733&lt;年初日,B733&gt;年末日),"✗ 日期不在本年度",IF(C733="","✗ 没选供应商",IF(COUNTIF(基础资料!$Q$5:$Q$54,C733)=0,"✗ 供应商不在基础资料里",IF(D733="","✗ 没选商品",IF(COUNTIF(基础资料!$E$5:$E$104,D733)=0,"✗ 商品不在商品档案里",IF(AND(E733="",H733=""),"✗ 没填数量",IF(AND(N(E733)&lt;&gt;0,F733=""),"✗ 没填进价","√")))))))))</f>
      </c>
    </row>
    <row r="734">
      <c r="A734" s="109">
        <f>IF(AND(C734="",D734=""),"",ROW()-3)</f>
      </c>
      <c r="B734" s="140" t="n"/>
      <c r="C734" s="141" t="n"/>
      <c r="D734" s="141" t="n"/>
      <c r="E734" s="148" t="n"/>
      <c r="F734" s="149" t="n"/>
      <c r="G734" s="150">
        <f>IF(AND(E734&lt;&gt;"",F734&lt;&gt;""),E734*F734,"")</f>
      </c>
      <c r="H734" s="148" t="n"/>
      <c r="I734" s="142" t="n"/>
      <c r="J734" s="146">
        <f>IF(AND(B734="",C734="",D734="",E734="",F734="",H734=""),"",IF(NOT(ISNUMBER(B734)),"✗ 日期不是真日期",IF(OR(B734&lt;年初日,B734&gt;年末日),"✗ 日期不在本年度",IF(C734="","✗ 没选供应商",IF(COUNTIF(基础资料!$Q$5:$Q$54,C734)=0,"✗ 供应商不在基础资料里",IF(D734="","✗ 没选商品",IF(COUNTIF(基础资料!$E$5:$E$104,D734)=0,"✗ 商品不在商品档案里",IF(AND(E734="",H734=""),"✗ 没填数量",IF(AND(N(E734)&lt;&gt;0,F734=""),"✗ 没填进价","√")))))))))</f>
      </c>
    </row>
    <row r="735">
      <c r="A735" s="109">
        <f>IF(AND(C735="",D735=""),"",ROW()-3)</f>
      </c>
      <c r="B735" s="140" t="n"/>
      <c r="C735" s="141" t="n"/>
      <c r="D735" s="141" t="n"/>
      <c r="E735" s="148" t="n"/>
      <c r="F735" s="149" t="n"/>
      <c r="G735" s="150">
        <f>IF(AND(E735&lt;&gt;"",F735&lt;&gt;""),E735*F735,"")</f>
      </c>
      <c r="H735" s="148" t="n"/>
      <c r="I735" s="142" t="n"/>
      <c r="J735" s="146">
        <f>IF(AND(B735="",C735="",D735="",E735="",F735="",H735=""),"",IF(NOT(ISNUMBER(B735)),"✗ 日期不是真日期",IF(OR(B735&lt;年初日,B735&gt;年末日),"✗ 日期不在本年度",IF(C735="","✗ 没选供应商",IF(COUNTIF(基础资料!$Q$5:$Q$54,C735)=0,"✗ 供应商不在基础资料里",IF(D735="","✗ 没选商品",IF(COUNTIF(基础资料!$E$5:$E$104,D735)=0,"✗ 商品不在商品档案里",IF(AND(E735="",H735=""),"✗ 没填数量",IF(AND(N(E735)&lt;&gt;0,F735=""),"✗ 没填进价","√")))))))))</f>
      </c>
    </row>
    <row r="736">
      <c r="A736" s="109">
        <f>IF(AND(C736="",D736=""),"",ROW()-3)</f>
      </c>
      <c r="B736" s="140" t="n"/>
      <c r="C736" s="141" t="n"/>
      <c r="D736" s="141" t="n"/>
      <c r="E736" s="148" t="n"/>
      <c r="F736" s="149" t="n"/>
      <c r="G736" s="150">
        <f>IF(AND(E736&lt;&gt;"",F736&lt;&gt;""),E736*F736,"")</f>
      </c>
      <c r="H736" s="148" t="n"/>
      <c r="I736" s="142" t="n"/>
      <c r="J736" s="146">
        <f>IF(AND(B736="",C736="",D736="",E736="",F736="",H736=""),"",IF(NOT(ISNUMBER(B736)),"✗ 日期不是真日期",IF(OR(B736&lt;年初日,B736&gt;年末日),"✗ 日期不在本年度",IF(C736="","✗ 没选供应商",IF(COUNTIF(基础资料!$Q$5:$Q$54,C736)=0,"✗ 供应商不在基础资料里",IF(D736="","✗ 没选商品",IF(COUNTIF(基础资料!$E$5:$E$104,D736)=0,"✗ 商品不在商品档案里",IF(AND(E736="",H736=""),"✗ 没填数量",IF(AND(N(E736)&lt;&gt;0,F736=""),"✗ 没填进价","√")))))))))</f>
      </c>
    </row>
    <row r="737">
      <c r="A737" s="109">
        <f>IF(AND(C737="",D737=""),"",ROW()-3)</f>
      </c>
      <c r="B737" s="140" t="n"/>
      <c r="C737" s="141" t="n"/>
      <c r="D737" s="141" t="n"/>
      <c r="E737" s="148" t="n"/>
      <c r="F737" s="149" t="n"/>
      <c r="G737" s="150">
        <f>IF(AND(E737&lt;&gt;"",F737&lt;&gt;""),E737*F737,"")</f>
      </c>
      <c r="H737" s="148" t="n"/>
      <c r="I737" s="142" t="n"/>
      <c r="J737" s="146">
        <f>IF(AND(B737="",C737="",D737="",E737="",F737="",H737=""),"",IF(NOT(ISNUMBER(B737)),"✗ 日期不是真日期",IF(OR(B737&lt;年初日,B737&gt;年末日),"✗ 日期不在本年度",IF(C737="","✗ 没选供应商",IF(COUNTIF(基础资料!$Q$5:$Q$54,C737)=0,"✗ 供应商不在基础资料里",IF(D737="","✗ 没选商品",IF(COUNTIF(基础资料!$E$5:$E$104,D737)=0,"✗ 商品不在商品档案里",IF(AND(E737="",H737=""),"✗ 没填数量",IF(AND(N(E737)&lt;&gt;0,F737=""),"✗ 没填进价","√")))))))))</f>
      </c>
    </row>
    <row r="738">
      <c r="A738" s="109">
        <f>IF(AND(C738="",D738=""),"",ROW()-3)</f>
      </c>
      <c r="B738" s="140" t="n"/>
      <c r="C738" s="141" t="n"/>
      <c r="D738" s="141" t="n"/>
      <c r="E738" s="148" t="n"/>
      <c r="F738" s="149" t="n"/>
      <c r="G738" s="150">
        <f>IF(AND(E738&lt;&gt;"",F738&lt;&gt;""),E738*F738,"")</f>
      </c>
      <c r="H738" s="148" t="n"/>
      <c r="I738" s="142" t="n"/>
      <c r="J738" s="146">
        <f>IF(AND(B738="",C738="",D738="",E738="",F738="",H738=""),"",IF(NOT(ISNUMBER(B738)),"✗ 日期不是真日期",IF(OR(B738&lt;年初日,B738&gt;年末日),"✗ 日期不在本年度",IF(C738="","✗ 没选供应商",IF(COUNTIF(基础资料!$Q$5:$Q$54,C738)=0,"✗ 供应商不在基础资料里",IF(D738="","✗ 没选商品",IF(COUNTIF(基础资料!$E$5:$E$104,D738)=0,"✗ 商品不在商品档案里",IF(AND(E738="",H738=""),"✗ 没填数量",IF(AND(N(E738)&lt;&gt;0,F738=""),"✗ 没填进价","√")))))))))</f>
      </c>
    </row>
    <row r="739">
      <c r="A739" s="109">
        <f>IF(AND(C739="",D739=""),"",ROW()-3)</f>
      </c>
      <c r="B739" s="140" t="n"/>
      <c r="C739" s="141" t="n"/>
      <c r="D739" s="141" t="n"/>
      <c r="E739" s="148" t="n"/>
      <c r="F739" s="149" t="n"/>
      <c r="G739" s="150">
        <f>IF(AND(E739&lt;&gt;"",F739&lt;&gt;""),E739*F739,"")</f>
      </c>
      <c r="H739" s="148" t="n"/>
      <c r="I739" s="142" t="n"/>
      <c r="J739" s="146">
        <f>IF(AND(B739="",C739="",D739="",E739="",F739="",H739=""),"",IF(NOT(ISNUMBER(B739)),"✗ 日期不是真日期",IF(OR(B739&lt;年初日,B739&gt;年末日),"✗ 日期不在本年度",IF(C739="","✗ 没选供应商",IF(COUNTIF(基础资料!$Q$5:$Q$54,C739)=0,"✗ 供应商不在基础资料里",IF(D739="","✗ 没选商品",IF(COUNTIF(基础资料!$E$5:$E$104,D739)=0,"✗ 商品不在商品档案里",IF(AND(E739="",H739=""),"✗ 没填数量",IF(AND(N(E739)&lt;&gt;0,F739=""),"✗ 没填进价","√")))))))))</f>
      </c>
    </row>
    <row r="740">
      <c r="A740" s="109">
        <f>IF(AND(C740="",D740=""),"",ROW()-3)</f>
      </c>
      <c r="B740" s="140" t="n"/>
      <c r="C740" s="141" t="n"/>
      <c r="D740" s="141" t="n"/>
      <c r="E740" s="148" t="n"/>
      <c r="F740" s="149" t="n"/>
      <c r="G740" s="150">
        <f>IF(AND(E740&lt;&gt;"",F740&lt;&gt;""),E740*F740,"")</f>
      </c>
      <c r="H740" s="148" t="n"/>
      <c r="I740" s="142" t="n"/>
      <c r="J740" s="146">
        <f>IF(AND(B740="",C740="",D740="",E740="",F740="",H740=""),"",IF(NOT(ISNUMBER(B740)),"✗ 日期不是真日期",IF(OR(B740&lt;年初日,B740&gt;年末日),"✗ 日期不在本年度",IF(C740="","✗ 没选供应商",IF(COUNTIF(基础资料!$Q$5:$Q$54,C740)=0,"✗ 供应商不在基础资料里",IF(D740="","✗ 没选商品",IF(COUNTIF(基础资料!$E$5:$E$104,D740)=0,"✗ 商品不在商品档案里",IF(AND(E740="",H740=""),"✗ 没填数量",IF(AND(N(E740)&lt;&gt;0,F740=""),"✗ 没填进价","√")))))))))</f>
      </c>
    </row>
    <row r="741">
      <c r="A741" s="109">
        <f>IF(AND(C741="",D741=""),"",ROW()-3)</f>
      </c>
      <c r="B741" s="140" t="n"/>
      <c r="C741" s="141" t="n"/>
      <c r="D741" s="141" t="n"/>
      <c r="E741" s="148" t="n"/>
      <c r="F741" s="149" t="n"/>
      <c r="G741" s="150">
        <f>IF(AND(E741&lt;&gt;"",F741&lt;&gt;""),E741*F741,"")</f>
      </c>
      <c r="H741" s="148" t="n"/>
      <c r="I741" s="142" t="n"/>
      <c r="J741" s="146">
        <f>IF(AND(B741="",C741="",D741="",E741="",F741="",H741=""),"",IF(NOT(ISNUMBER(B741)),"✗ 日期不是真日期",IF(OR(B741&lt;年初日,B741&gt;年末日),"✗ 日期不在本年度",IF(C741="","✗ 没选供应商",IF(COUNTIF(基础资料!$Q$5:$Q$54,C741)=0,"✗ 供应商不在基础资料里",IF(D741="","✗ 没选商品",IF(COUNTIF(基础资料!$E$5:$E$104,D741)=0,"✗ 商品不在商品档案里",IF(AND(E741="",H741=""),"✗ 没填数量",IF(AND(N(E741)&lt;&gt;0,F741=""),"✗ 没填进价","√")))))))))</f>
      </c>
    </row>
    <row r="742">
      <c r="A742" s="109">
        <f>IF(AND(C742="",D742=""),"",ROW()-3)</f>
      </c>
      <c r="B742" s="140" t="n"/>
      <c r="C742" s="141" t="n"/>
      <c r="D742" s="141" t="n"/>
      <c r="E742" s="148" t="n"/>
      <c r="F742" s="149" t="n"/>
      <c r="G742" s="150">
        <f>IF(AND(E742&lt;&gt;"",F742&lt;&gt;""),E742*F742,"")</f>
      </c>
      <c r="H742" s="148" t="n"/>
      <c r="I742" s="142" t="n"/>
      <c r="J742" s="146">
        <f>IF(AND(B742="",C742="",D742="",E742="",F742="",H742=""),"",IF(NOT(ISNUMBER(B742)),"✗ 日期不是真日期",IF(OR(B742&lt;年初日,B742&gt;年末日),"✗ 日期不在本年度",IF(C742="","✗ 没选供应商",IF(COUNTIF(基础资料!$Q$5:$Q$54,C742)=0,"✗ 供应商不在基础资料里",IF(D742="","✗ 没选商品",IF(COUNTIF(基础资料!$E$5:$E$104,D742)=0,"✗ 商品不在商品档案里",IF(AND(E742="",H742=""),"✗ 没填数量",IF(AND(N(E742)&lt;&gt;0,F742=""),"✗ 没填进价","√")))))))))</f>
      </c>
    </row>
    <row r="743">
      <c r="A743" s="109">
        <f>IF(AND(C743="",D743=""),"",ROW()-3)</f>
      </c>
      <c r="B743" s="140" t="n"/>
      <c r="C743" s="141" t="n"/>
      <c r="D743" s="141" t="n"/>
      <c r="E743" s="148" t="n"/>
      <c r="F743" s="149" t="n"/>
      <c r="G743" s="150">
        <f>IF(AND(E743&lt;&gt;"",F743&lt;&gt;""),E743*F743,"")</f>
      </c>
      <c r="H743" s="148" t="n"/>
      <c r="I743" s="142" t="n"/>
      <c r="J743" s="146">
        <f>IF(AND(B743="",C743="",D743="",E743="",F743="",H743=""),"",IF(NOT(ISNUMBER(B743)),"✗ 日期不是真日期",IF(OR(B743&lt;年初日,B743&gt;年末日),"✗ 日期不在本年度",IF(C743="","✗ 没选供应商",IF(COUNTIF(基础资料!$Q$5:$Q$54,C743)=0,"✗ 供应商不在基础资料里",IF(D743="","✗ 没选商品",IF(COUNTIF(基础资料!$E$5:$E$104,D743)=0,"✗ 商品不在商品档案里",IF(AND(E743="",H743=""),"✗ 没填数量",IF(AND(N(E743)&lt;&gt;0,F743=""),"✗ 没填进价","√")))))))))</f>
      </c>
    </row>
    <row r="744">
      <c r="A744" s="109">
        <f>IF(AND(C744="",D744=""),"",ROW()-3)</f>
      </c>
      <c r="B744" s="140" t="n"/>
      <c r="C744" s="141" t="n"/>
      <c r="D744" s="141" t="n"/>
      <c r="E744" s="148" t="n"/>
      <c r="F744" s="149" t="n"/>
      <c r="G744" s="150">
        <f>IF(AND(E744&lt;&gt;"",F744&lt;&gt;""),E744*F744,"")</f>
      </c>
      <c r="H744" s="148" t="n"/>
      <c r="I744" s="142" t="n"/>
      <c r="J744" s="146">
        <f>IF(AND(B744="",C744="",D744="",E744="",F744="",H744=""),"",IF(NOT(ISNUMBER(B744)),"✗ 日期不是真日期",IF(OR(B744&lt;年初日,B744&gt;年末日),"✗ 日期不在本年度",IF(C744="","✗ 没选供应商",IF(COUNTIF(基础资料!$Q$5:$Q$54,C744)=0,"✗ 供应商不在基础资料里",IF(D744="","✗ 没选商品",IF(COUNTIF(基础资料!$E$5:$E$104,D744)=0,"✗ 商品不在商品档案里",IF(AND(E744="",H744=""),"✗ 没填数量",IF(AND(N(E744)&lt;&gt;0,F744=""),"✗ 没填进价","√")))))))))</f>
      </c>
    </row>
    <row r="745">
      <c r="A745" s="109">
        <f>IF(AND(C745="",D745=""),"",ROW()-3)</f>
      </c>
      <c r="B745" s="140" t="n"/>
      <c r="C745" s="141" t="n"/>
      <c r="D745" s="141" t="n"/>
      <c r="E745" s="148" t="n"/>
      <c r="F745" s="149" t="n"/>
      <c r="G745" s="150">
        <f>IF(AND(E745&lt;&gt;"",F745&lt;&gt;""),E745*F745,"")</f>
      </c>
      <c r="H745" s="148" t="n"/>
      <c r="I745" s="142" t="n"/>
      <c r="J745" s="146">
        <f>IF(AND(B745="",C745="",D745="",E745="",F745="",H745=""),"",IF(NOT(ISNUMBER(B745)),"✗ 日期不是真日期",IF(OR(B745&lt;年初日,B745&gt;年末日),"✗ 日期不在本年度",IF(C745="","✗ 没选供应商",IF(COUNTIF(基础资料!$Q$5:$Q$54,C745)=0,"✗ 供应商不在基础资料里",IF(D745="","✗ 没选商品",IF(COUNTIF(基础资料!$E$5:$E$104,D745)=0,"✗ 商品不在商品档案里",IF(AND(E745="",H745=""),"✗ 没填数量",IF(AND(N(E745)&lt;&gt;0,F745=""),"✗ 没填进价","√")))))))))</f>
      </c>
    </row>
    <row r="746">
      <c r="A746" s="109">
        <f>IF(AND(C746="",D746=""),"",ROW()-3)</f>
      </c>
      <c r="B746" s="140" t="n"/>
      <c r="C746" s="141" t="n"/>
      <c r="D746" s="141" t="n"/>
      <c r="E746" s="148" t="n"/>
      <c r="F746" s="149" t="n"/>
      <c r="G746" s="150">
        <f>IF(AND(E746&lt;&gt;"",F746&lt;&gt;""),E746*F746,"")</f>
      </c>
      <c r="H746" s="148" t="n"/>
      <c r="I746" s="142" t="n"/>
      <c r="J746" s="146">
        <f>IF(AND(B746="",C746="",D746="",E746="",F746="",H746=""),"",IF(NOT(ISNUMBER(B746)),"✗ 日期不是真日期",IF(OR(B746&lt;年初日,B746&gt;年末日),"✗ 日期不在本年度",IF(C746="","✗ 没选供应商",IF(COUNTIF(基础资料!$Q$5:$Q$54,C746)=0,"✗ 供应商不在基础资料里",IF(D746="","✗ 没选商品",IF(COUNTIF(基础资料!$E$5:$E$104,D746)=0,"✗ 商品不在商品档案里",IF(AND(E746="",H746=""),"✗ 没填数量",IF(AND(N(E746)&lt;&gt;0,F746=""),"✗ 没填进价","√")))))))))</f>
      </c>
    </row>
    <row r="747">
      <c r="A747" s="109">
        <f>IF(AND(C747="",D747=""),"",ROW()-3)</f>
      </c>
      <c r="B747" s="140" t="n"/>
      <c r="C747" s="141" t="n"/>
      <c r="D747" s="141" t="n"/>
      <c r="E747" s="148" t="n"/>
      <c r="F747" s="149" t="n"/>
      <c r="G747" s="150">
        <f>IF(AND(E747&lt;&gt;"",F747&lt;&gt;""),E747*F747,"")</f>
      </c>
      <c r="H747" s="148" t="n"/>
      <c r="I747" s="142" t="n"/>
      <c r="J747" s="146">
        <f>IF(AND(B747="",C747="",D747="",E747="",F747="",H747=""),"",IF(NOT(ISNUMBER(B747)),"✗ 日期不是真日期",IF(OR(B747&lt;年初日,B747&gt;年末日),"✗ 日期不在本年度",IF(C747="","✗ 没选供应商",IF(COUNTIF(基础资料!$Q$5:$Q$54,C747)=0,"✗ 供应商不在基础资料里",IF(D747="","✗ 没选商品",IF(COUNTIF(基础资料!$E$5:$E$104,D747)=0,"✗ 商品不在商品档案里",IF(AND(E747="",H747=""),"✗ 没填数量",IF(AND(N(E747)&lt;&gt;0,F747=""),"✗ 没填进价","√")))))))))</f>
      </c>
    </row>
    <row r="748">
      <c r="A748" s="109">
        <f>IF(AND(C748="",D748=""),"",ROW()-3)</f>
      </c>
      <c r="B748" s="140" t="n"/>
      <c r="C748" s="141" t="n"/>
      <c r="D748" s="141" t="n"/>
      <c r="E748" s="148" t="n"/>
      <c r="F748" s="149" t="n"/>
      <c r="G748" s="150">
        <f>IF(AND(E748&lt;&gt;"",F748&lt;&gt;""),E748*F748,"")</f>
      </c>
      <c r="H748" s="148" t="n"/>
      <c r="I748" s="142" t="n"/>
      <c r="J748" s="146">
        <f>IF(AND(B748="",C748="",D748="",E748="",F748="",H748=""),"",IF(NOT(ISNUMBER(B748)),"✗ 日期不是真日期",IF(OR(B748&lt;年初日,B748&gt;年末日),"✗ 日期不在本年度",IF(C748="","✗ 没选供应商",IF(COUNTIF(基础资料!$Q$5:$Q$54,C748)=0,"✗ 供应商不在基础资料里",IF(D748="","✗ 没选商品",IF(COUNTIF(基础资料!$E$5:$E$104,D748)=0,"✗ 商品不在商品档案里",IF(AND(E748="",H748=""),"✗ 没填数量",IF(AND(N(E748)&lt;&gt;0,F748=""),"✗ 没填进价","√")))))))))</f>
      </c>
    </row>
    <row r="749">
      <c r="A749" s="109">
        <f>IF(AND(C749="",D749=""),"",ROW()-3)</f>
      </c>
      <c r="B749" s="140" t="n"/>
      <c r="C749" s="141" t="n"/>
      <c r="D749" s="141" t="n"/>
      <c r="E749" s="148" t="n"/>
      <c r="F749" s="149" t="n"/>
      <c r="G749" s="150">
        <f>IF(AND(E749&lt;&gt;"",F749&lt;&gt;""),E749*F749,"")</f>
      </c>
      <c r="H749" s="148" t="n"/>
      <c r="I749" s="142" t="n"/>
      <c r="J749" s="146">
        <f>IF(AND(B749="",C749="",D749="",E749="",F749="",H749=""),"",IF(NOT(ISNUMBER(B749)),"✗ 日期不是真日期",IF(OR(B749&lt;年初日,B749&gt;年末日),"✗ 日期不在本年度",IF(C749="","✗ 没选供应商",IF(COUNTIF(基础资料!$Q$5:$Q$54,C749)=0,"✗ 供应商不在基础资料里",IF(D749="","✗ 没选商品",IF(COUNTIF(基础资料!$E$5:$E$104,D749)=0,"✗ 商品不在商品档案里",IF(AND(E749="",H749=""),"✗ 没填数量",IF(AND(N(E749)&lt;&gt;0,F749=""),"✗ 没填进价","√")))))))))</f>
      </c>
    </row>
    <row r="750">
      <c r="A750" s="109">
        <f>IF(AND(C750="",D750=""),"",ROW()-3)</f>
      </c>
      <c r="B750" s="140" t="n"/>
      <c r="C750" s="141" t="n"/>
      <c r="D750" s="141" t="n"/>
      <c r="E750" s="148" t="n"/>
      <c r="F750" s="149" t="n"/>
      <c r="G750" s="150">
        <f>IF(AND(E750&lt;&gt;"",F750&lt;&gt;""),E750*F750,"")</f>
      </c>
      <c r="H750" s="148" t="n"/>
      <c r="I750" s="142" t="n"/>
      <c r="J750" s="146">
        <f>IF(AND(B750="",C750="",D750="",E750="",F750="",H750=""),"",IF(NOT(ISNUMBER(B750)),"✗ 日期不是真日期",IF(OR(B750&lt;年初日,B750&gt;年末日),"✗ 日期不在本年度",IF(C750="","✗ 没选供应商",IF(COUNTIF(基础资料!$Q$5:$Q$54,C750)=0,"✗ 供应商不在基础资料里",IF(D750="","✗ 没选商品",IF(COUNTIF(基础资料!$E$5:$E$104,D750)=0,"✗ 商品不在商品档案里",IF(AND(E750="",H750=""),"✗ 没填数量",IF(AND(N(E750)&lt;&gt;0,F750=""),"✗ 没填进价","√")))))))))</f>
      </c>
    </row>
    <row r="751">
      <c r="A751" s="109">
        <f>IF(AND(C751="",D751=""),"",ROW()-3)</f>
      </c>
      <c r="B751" s="140" t="n"/>
      <c r="C751" s="141" t="n"/>
      <c r="D751" s="141" t="n"/>
      <c r="E751" s="148" t="n"/>
      <c r="F751" s="149" t="n"/>
      <c r="G751" s="150">
        <f>IF(AND(E751&lt;&gt;"",F751&lt;&gt;""),E751*F751,"")</f>
      </c>
      <c r="H751" s="148" t="n"/>
      <c r="I751" s="142" t="n"/>
      <c r="J751" s="146">
        <f>IF(AND(B751="",C751="",D751="",E751="",F751="",H751=""),"",IF(NOT(ISNUMBER(B751)),"✗ 日期不是真日期",IF(OR(B751&lt;年初日,B751&gt;年末日),"✗ 日期不在本年度",IF(C751="","✗ 没选供应商",IF(COUNTIF(基础资料!$Q$5:$Q$54,C751)=0,"✗ 供应商不在基础资料里",IF(D751="","✗ 没选商品",IF(COUNTIF(基础资料!$E$5:$E$104,D751)=0,"✗ 商品不在商品档案里",IF(AND(E751="",H751=""),"✗ 没填数量",IF(AND(N(E751)&lt;&gt;0,F751=""),"✗ 没填进价","√")))))))))</f>
      </c>
    </row>
    <row r="752">
      <c r="A752" s="109">
        <f>IF(AND(C752="",D752=""),"",ROW()-3)</f>
      </c>
      <c r="B752" s="140" t="n"/>
      <c r="C752" s="141" t="n"/>
      <c r="D752" s="141" t="n"/>
      <c r="E752" s="148" t="n"/>
      <c r="F752" s="149" t="n"/>
      <c r="G752" s="150">
        <f>IF(AND(E752&lt;&gt;"",F752&lt;&gt;""),E752*F752,"")</f>
      </c>
      <c r="H752" s="148" t="n"/>
      <c r="I752" s="142" t="n"/>
      <c r="J752" s="146">
        <f>IF(AND(B752="",C752="",D752="",E752="",F752="",H752=""),"",IF(NOT(ISNUMBER(B752)),"✗ 日期不是真日期",IF(OR(B752&lt;年初日,B752&gt;年末日),"✗ 日期不在本年度",IF(C752="","✗ 没选供应商",IF(COUNTIF(基础资料!$Q$5:$Q$54,C752)=0,"✗ 供应商不在基础资料里",IF(D752="","✗ 没选商品",IF(COUNTIF(基础资料!$E$5:$E$104,D752)=0,"✗ 商品不在商品档案里",IF(AND(E752="",H752=""),"✗ 没填数量",IF(AND(N(E752)&lt;&gt;0,F752=""),"✗ 没填进价","√")))))))))</f>
      </c>
    </row>
    <row r="753">
      <c r="A753" s="109">
        <f>IF(AND(C753="",D753=""),"",ROW()-3)</f>
      </c>
      <c r="B753" s="140" t="n"/>
      <c r="C753" s="141" t="n"/>
      <c r="D753" s="141" t="n"/>
      <c r="E753" s="148" t="n"/>
      <c r="F753" s="149" t="n"/>
      <c r="G753" s="150">
        <f>IF(AND(E753&lt;&gt;"",F753&lt;&gt;""),E753*F753,"")</f>
      </c>
      <c r="H753" s="148" t="n"/>
      <c r="I753" s="142" t="n"/>
      <c r="J753" s="146">
        <f>IF(AND(B753="",C753="",D753="",E753="",F753="",H753=""),"",IF(NOT(ISNUMBER(B753)),"✗ 日期不是真日期",IF(OR(B753&lt;年初日,B753&gt;年末日),"✗ 日期不在本年度",IF(C753="","✗ 没选供应商",IF(COUNTIF(基础资料!$Q$5:$Q$54,C753)=0,"✗ 供应商不在基础资料里",IF(D753="","✗ 没选商品",IF(COUNTIF(基础资料!$E$5:$E$104,D753)=0,"✗ 商品不在商品档案里",IF(AND(E753="",H753=""),"✗ 没填数量",IF(AND(N(E753)&lt;&gt;0,F753=""),"✗ 没填进价","√")))))))))</f>
      </c>
    </row>
    <row r="754">
      <c r="A754" s="109">
        <f>IF(AND(C754="",D754=""),"",ROW()-3)</f>
      </c>
      <c r="B754" s="140" t="n"/>
      <c r="C754" s="141" t="n"/>
      <c r="D754" s="141" t="n"/>
      <c r="E754" s="148" t="n"/>
      <c r="F754" s="149" t="n"/>
      <c r="G754" s="150">
        <f>IF(AND(E754&lt;&gt;"",F754&lt;&gt;""),E754*F754,"")</f>
      </c>
      <c r="H754" s="148" t="n"/>
      <c r="I754" s="142" t="n"/>
      <c r="J754" s="146">
        <f>IF(AND(B754="",C754="",D754="",E754="",F754="",H754=""),"",IF(NOT(ISNUMBER(B754)),"✗ 日期不是真日期",IF(OR(B754&lt;年初日,B754&gt;年末日),"✗ 日期不在本年度",IF(C754="","✗ 没选供应商",IF(COUNTIF(基础资料!$Q$5:$Q$54,C754)=0,"✗ 供应商不在基础资料里",IF(D754="","✗ 没选商品",IF(COUNTIF(基础资料!$E$5:$E$104,D754)=0,"✗ 商品不在商品档案里",IF(AND(E754="",H754=""),"✗ 没填数量",IF(AND(N(E754)&lt;&gt;0,F754=""),"✗ 没填进价","√")))))))))</f>
      </c>
    </row>
    <row r="755">
      <c r="A755" s="109">
        <f>IF(AND(C755="",D755=""),"",ROW()-3)</f>
      </c>
      <c r="B755" s="140" t="n"/>
      <c r="C755" s="141" t="n"/>
      <c r="D755" s="141" t="n"/>
      <c r="E755" s="148" t="n"/>
      <c r="F755" s="149" t="n"/>
      <c r="G755" s="150">
        <f>IF(AND(E755&lt;&gt;"",F755&lt;&gt;""),E755*F755,"")</f>
      </c>
      <c r="H755" s="148" t="n"/>
      <c r="I755" s="142" t="n"/>
      <c r="J755" s="146">
        <f>IF(AND(B755="",C755="",D755="",E755="",F755="",H755=""),"",IF(NOT(ISNUMBER(B755)),"✗ 日期不是真日期",IF(OR(B755&lt;年初日,B755&gt;年末日),"✗ 日期不在本年度",IF(C755="","✗ 没选供应商",IF(COUNTIF(基础资料!$Q$5:$Q$54,C755)=0,"✗ 供应商不在基础资料里",IF(D755="","✗ 没选商品",IF(COUNTIF(基础资料!$E$5:$E$104,D755)=0,"✗ 商品不在商品档案里",IF(AND(E755="",H755=""),"✗ 没填数量",IF(AND(N(E755)&lt;&gt;0,F755=""),"✗ 没填进价","√")))))))))</f>
      </c>
    </row>
    <row r="756">
      <c r="A756" s="109">
        <f>IF(AND(C756="",D756=""),"",ROW()-3)</f>
      </c>
      <c r="B756" s="140" t="n"/>
      <c r="C756" s="141" t="n"/>
      <c r="D756" s="141" t="n"/>
      <c r="E756" s="148" t="n"/>
      <c r="F756" s="149" t="n"/>
      <c r="G756" s="150">
        <f>IF(AND(E756&lt;&gt;"",F756&lt;&gt;""),E756*F756,"")</f>
      </c>
      <c r="H756" s="148" t="n"/>
      <c r="I756" s="142" t="n"/>
      <c r="J756" s="146">
        <f>IF(AND(B756="",C756="",D756="",E756="",F756="",H756=""),"",IF(NOT(ISNUMBER(B756)),"✗ 日期不是真日期",IF(OR(B756&lt;年初日,B756&gt;年末日),"✗ 日期不在本年度",IF(C756="","✗ 没选供应商",IF(COUNTIF(基础资料!$Q$5:$Q$54,C756)=0,"✗ 供应商不在基础资料里",IF(D756="","✗ 没选商品",IF(COUNTIF(基础资料!$E$5:$E$104,D756)=0,"✗ 商品不在商品档案里",IF(AND(E756="",H756=""),"✗ 没填数量",IF(AND(N(E756)&lt;&gt;0,F756=""),"✗ 没填进价","√")))))))))</f>
      </c>
    </row>
    <row r="757">
      <c r="A757" s="109">
        <f>IF(AND(C757="",D757=""),"",ROW()-3)</f>
      </c>
      <c r="B757" s="140" t="n"/>
      <c r="C757" s="141" t="n"/>
      <c r="D757" s="141" t="n"/>
      <c r="E757" s="148" t="n"/>
      <c r="F757" s="149" t="n"/>
      <c r="G757" s="150">
        <f>IF(AND(E757&lt;&gt;"",F757&lt;&gt;""),E757*F757,"")</f>
      </c>
      <c r="H757" s="148" t="n"/>
      <c r="I757" s="142" t="n"/>
      <c r="J757" s="146">
        <f>IF(AND(B757="",C757="",D757="",E757="",F757="",H757=""),"",IF(NOT(ISNUMBER(B757)),"✗ 日期不是真日期",IF(OR(B757&lt;年初日,B757&gt;年末日),"✗ 日期不在本年度",IF(C757="","✗ 没选供应商",IF(COUNTIF(基础资料!$Q$5:$Q$54,C757)=0,"✗ 供应商不在基础资料里",IF(D757="","✗ 没选商品",IF(COUNTIF(基础资料!$E$5:$E$104,D757)=0,"✗ 商品不在商品档案里",IF(AND(E757="",H757=""),"✗ 没填数量",IF(AND(N(E757)&lt;&gt;0,F757=""),"✗ 没填进价","√")))))))))</f>
      </c>
    </row>
    <row r="758">
      <c r="A758" s="109">
        <f>IF(AND(C758="",D758=""),"",ROW()-3)</f>
      </c>
      <c r="B758" s="140" t="n"/>
      <c r="C758" s="141" t="n"/>
      <c r="D758" s="141" t="n"/>
      <c r="E758" s="148" t="n"/>
      <c r="F758" s="149" t="n"/>
      <c r="G758" s="150">
        <f>IF(AND(E758&lt;&gt;"",F758&lt;&gt;""),E758*F758,"")</f>
      </c>
      <c r="H758" s="148" t="n"/>
      <c r="I758" s="142" t="n"/>
      <c r="J758" s="146">
        <f>IF(AND(B758="",C758="",D758="",E758="",F758="",H758=""),"",IF(NOT(ISNUMBER(B758)),"✗ 日期不是真日期",IF(OR(B758&lt;年初日,B758&gt;年末日),"✗ 日期不在本年度",IF(C758="","✗ 没选供应商",IF(COUNTIF(基础资料!$Q$5:$Q$54,C758)=0,"✗ 供应商不在基础资料里",IF(D758="","✗ 没选商品",IF(COUNTIF(基础资料!$E$5:$E$104,D758)=0,"✗ 商品不在商品档案里",IF(AND(E758="",H758=""),"✗ 没填数量",IF(AND(N(E758)&lt;&gt;0,F758=""),"✗ 没填进价","√")))))))))</f>
      </c>
    </row>
    <row r="759">
      <c r="A759" s="109">
        <f>IF(AND(C759="",D759=""),"",ROW()-3)</f>
      </c>
      <c r="B759" s="140" t="n"/>
      <c r="C759" s="141" t="n"/>
      <c r="D759" s="141" t="n"/>
      <c r="E759" s="148" t="n"/>
      <c r="F759" s="149" t="n"/>
      <c r="G759" s="150">
        <f>IF(AND(E759&lt;&gt;"",F759&lt;&gt;""),E759*F759,"")</f>
      </c>
      <c r="H759" s="148" t="n"/>
      <c r="I759" s="142" t="n"/>
      <c r="J759" s="146">
        <f>IF(AND(B759="",C759="",D759="",E759="",F759="",H759=""),"",IF(NOT(ISNUMBER(B759)),"✗ 日期不是真日期",IF(OR(B759&lt;年初日,B759&gt;年末日),"✗ 日期不在本年度",IF(C759="","✗ 没选供应商",IF(COUNTIF(基础资料!$Q$5:$Q$54,C759)=0,"✗ 供应商不在基础资料里",IF(D759="","✗ 没选商品",IF(COUNTIF(基础资料!$E$5:$E$104,D759)=0,"✗ 商品不在商品档案里",IF(AND(E759="",H759=""),"✗ 没填数量",IF(AND(N(E759)&lt;&gt;0,F759=""),"✗ 没填进价","√")))))))))</f>
      </c>
    </row>
    <row r="760">
      <c r="A760" s="109">
        <f>IF(AND(C760="",D760=""),"",ROW()-3)</f>
      </c>
      <c r="B760" s="140" t="n"/>
      <c r="C760" s="141" t="n"/>
      <c r="D760" s="141" t="n"/>
      <c r="E760" s="148" t="n"/>
      <c r="F760" s="149" t="n"/>
      <c r="G760" s="150">
        <f>IF(AND(E760&lt;&gt;"",F760&lt;&gt;""),E760*F760,"")</f>
      </c>
      <c r="H760" s="148" t="n"/>
      <c r="I760" s="142" t="n"/>
      <c r="J760" s="146">
        <f>IF(AND(B760="",C760="",D760="",E760="",F760="",H760=""),"",IF(NOT(ISNUMBER(B760)),"✗ 日期不是真日期",IF(OR(B760&lt;年初日,B760&gt;年末日),"✗ 日期不在本年度",IF(C760="","✗ 没选供应商",IF(COUNTIF(基础资料!$Q$5:$Q$54,C760)=0,"✗ 供应商不在基础资料里",IF(D760="","✗ 没选商品",IF(COUNTIF(基础资料!$E$5:$E$104,D760)=0,"✗ 商品不在商品档案里",IF(AND(E760="",H760=""),"✗ 没填数量",IF(AND(N(E760)&lt;&gt;0,F760=""),"✗ 没填进价","√")))))))))</f>
      </c>
    </row>
    <row r="761">
      <c r="A761" s="109">
        <f>IF(AND(C761="",D761=""),"",ROW()-3)</f>
      </c>
      <c r="B761" s="140" t="n"/>
      <c r="C761" s="141" t="n"/>
      <c r="D761" s="141" t="n"/>
      <c r="E761" s="148" t="n"/>
      <c r="F761" s="149" t="n"/>
      <c r="G761" s="150">
        <f>IF(AND(E761&lt;&gt;"",F761&lt;&gt;""),E761*F761,"")</f>
      </c>
      <c r="H761" s="148" t="n"/>
      <c r="I761" s="142" t="n"/>
      <c r="J761" s="146">
        <f>IF(AND(B761="",C761="",D761="",E761="",F761="",H761=""),"",IF(NOT(ISNUMBER(B761)),"✗ 日期不是真日期",IF(OR(B761&lt;年初日,B761&gt;年末日),"✗ 日期不在本年度",IF(C761="","✗ 没选供应商",IF(COUNTIF(基础资料!$Q$5:$Q$54,C761)=0,"✗ 供应商不在基础资料里",IF(D761="","✗ 没选商品",IF(COUNTIF(基础资料!$E$5:$E$104,D761)=0,"✗ 商品不在商品档案里",IF(AND(E761="",H761=""),"✗ 没填数量",IF(AND(N(E761)&lt;&gt;0,F761=""),"✗ 没填进价","√")))))))))</f>
      </c>
    </row>
    <row r="762">
      <c r="A762" s="109">
        <f>IF(AND(C762="",D762=""),"",ROW()-3)</f>
      </c>
      <c r="B762" s="140" t="n"/>
      <c r="C762" s="141" t="n"/>
      <c r="D762" s="141" t="n"/>
      <c r="E762" s="148" t="n"/>
      <c r="F762" s="149" t="n"/>
      <c r="G762" s="150">
        <f>IF(AND(E762&lt;&gt;"",F762&lt;&gt;""),E762*F762,"")</f>
      </c>
      <c r="H762" s="148" t="n"/>
      <c r="I762" s="142" t="n"/>
      <c r="J762" s="146">
        <f>IF(AND(B762="",C762="",D762="",E762="",F762="",H762=""),"",IF(NOT(ISNUMBER(B762)),"✗ 日期不是真日期",IF(OR(B762&lt;年初日,B762&gt;年末日),"✗ 日期不在本年度",IF(C762="","✗ 没选供应商",IF(COUNTIF(基础资料!$Q$5:$Q$54,C762)=0,"✗ 供应商不在基础资料里",IF(D762="","✗ 没选商品",IF(COUNTIF(基础资料!$E$5:$E$104,D762)=0,"✗ 商品不在商品档案里",IF(AND(E762="",H762=""),"✗ 没填数量",IF(AND(N(E762)&lt;&gt;0,F762=""),"✗ 没填进价","√")))))))))</f>
      </c>
    </row>
    <row r="763">
      <c r="A763" s="109">
        <f>IF(AND(C763="",D763=""),"",ROW()-3)</f>
      </c>
      <c r="B763" s="140" t="n"/>
      <c r="C763" s="141" t="n"/>
      <c r="D763" s="141" t="n"/>
      <c r="E763" s="148" t="n"/>
      <c r="F763" s="149" t="n"/>
      <c r="G763" s="150">
        <f>IF(AND(E763&lt;&gt;"",F763&lt;&gt;""),E763*F763,"")</f>
      </c>
      <c r="H763" s="148" t="n"/>
      <c r="I763" s="142" t="n"/>
      <c r="J763" s="146">
        <f>IF(AND(B763="",C763="",D763="",E763="",F763="",H763=""),"",IF(NOT(ISNUMBER(B763)),"✗ 日期不是真日期",IF(OR(B763&lt;年初日,B763&gt;年末日),"✗ 日期不在本年度",IF(C763="","✗ 没选供应商",IF(COUNTIF(基础资料!$Q$5:$Q$54,C763)=0,"✗ 供应商不在基础资料里",IF(D763="","✗ 没选商品",IF(COUNTIF(基础资料!$E$5:$E$104,D763)=0,"✗ 商品不在商品档案里",IF(AND(E763="",H763=""),"✗ 没填数量",IF(AND(N(E763)&lt;&gt;0,F763=""),"✗ 没填进价","√")))))))))</f>
      </c>
    </row>
    <row r="764">
      <c r="A764" s="109">
        <f>IF(AND(C764="",D764=""),"",ROW()-3)</f>
      </c>
      <c r="B764" s="140" t="n"/>
      <c r="C764" s="141" t="n"/>
      <c r="D764" s="141" t="n"/>
      <c r="E764" s="148" t="n"/>
      <c r="F764" s="149" t="n"/>
      <c r="G764" s="150">
        <f>IF(AND(E764&lt;&gt;"",F764&lt;&gt;""),E764*F764,"")</f>
      </c>
      <c r="H764" s="148" t="n"/>
      <c r="I764" s="142" t="n"/>
      <c r="J764" s="146">
        <f>IF(AND(B764="",C764="",D764="",E764="",F764="",H764=""),"",IF(NOT(ISNUMBER(B764)),"✗ 日期不是真日期",IF(OR(B764&lt;年初日,B764&gt;年末日),"✗ 日期不在本年度",IF(C764="","✗ 没选供应商",IF(COUNTIF(基础资料!$Q$5:$Q$54,C764)=0,"✗ 供应商不在基础资料里",IF(D764="","✗ 没选商品",IF(COUNTIF(基础资料!$E$5:$E$104,D764)=0,"✗ 商品不在商品档案里",IF(AND(E764="",H764=""),"✗ 没填数量",IF(AND(N(E764)&lt;&gt;0,F764=""),"✗ 没填进价","√")))))))))</f>
      </c>
    </row>
    <row r="765">
      <c r="A765" s="109">
        <f>IF(AND(C765="",D765=""),"",ROW()-3)</f>
      </c>
      <c r="B765" s="140" t="n"/>
      <c r="C765" s="141" t="n"/>
      <c r="D765" s="141" t="n"/>
      <c r="E765" s="148" t="n"/>
      <c r="F765" s="149" t="n"/>
      <c r="G765" s="150">
        <f>IF(AND(E765&lt;&gt;"",F765&lt;&gt;""),E765*F765,"")</f>
      </c>
      <c r="H765" s="148" t="n"/>
      <c r="I765" s="142" t="n"/>
      <c r="J765" s="146">
        <f>IF(AND(B765="",C765="",D765="",E765="",F765="",H765=""),"",IF(NOT(ISNUMBER(B765)),"✗ 日期不是真日期",IF(OR(B765&lt;年初日,B765&gt;年末日),"✗ 日期不在本年度",IF(C765="","✗ 没选供应商",IF(COUNTIF(基础资料!$Q$5:$Q$54,C765)=0,"✗ 供应商不在基础资料里",IF(D765="","✗ 没选商品",IF(COUNTIF(基础资料!$E$5:$E$104,D765)=0,"✗ 商品不在商品档案里",IF(AND(E765="",H765=""),"✗ 没填数量",IF(AND(N(E765)&lt;&gt;0,F765=""),"✗ 没填进价","√")))))))))</f>
      </c>
    </row>
    <row r="766">
      <c r="A766" s="109">
        <f>IF(AND(C766="",D766=""),"",ROW()-3)</f>
      </c>
      <c r="B766" s="140" t="n"/>
      <c r="C766" s="141" t="n"/>
      <c r="D766" s="141" t="n"/>
      <c r="E766" s="148" t="n"/>
      <c r="F766" s="149" t="n"/>
      <c r="G766" s="150">
        <f>IF(AND(E766&lt;&gt;"",F766&lt;&gt;""),E766*F766,"")</f>
      </c>
      <c r="H766" s="148" t="n"/>
      <c r="I766" s="142" t="n"/>
      <c r="J766" s="146">
        <f>IF(AND(B766="",C766="",D766="",E766="",F766="",H766=""),"",IF(NOT(ISNUMBER(B766)),"✗ 日期不是真日期",IF(OR(B766&lt;年初日,B766&gt;年末日),"✗ 日期不在本年度",IF(C766="","✗ 没选供应商",IF(COUNTIF(基础资料!$Q$5:$Q$54,C766)=0,"✗ 供应商不在基础资料里",IF(D766="","✗ 没选商品",IF(COUNTIF(基础资料!$E$5:$E$104,D766)=0,"✗ 商品不在商品档案里",IF(AND(E766="",H766=""),"✗ 没填数量",IF(AND(N(E766)&lt;&gt;0,F766=""),"✗ 没填进价","√")))))))))</f>
      </c>
    </row>
    <row r="767">
      <c r="A767" s="109">
        <f>IF(AND(C767="",D767=""),"",ROW()-3)</f>
      </c>
      <c r="B767" s="140" t="n"/>
      <c r="C767" s="141" t="n"/>
      <c r="D767" s="141" t="n"/>
      <c r="E767" s="148" t="n"/>
      <c r="F767" s="149" t="n"/>
      <c r="G767" s="150">
        <f>IF(AND(E767&lt;&gt;"",F767&lt;&gt;""),E767*F767,"")</f>
      </c>
      <c r="H767" s="148" t="n"/>
      <c r="I767" s="142" t="n"/>
      <c r="J767" s="146">
        <f>IF(AND(B767="",C767="",D767="",E767="",F767="",H767=""),"",IF(NOT(ISNUMBER(B767)),"✗ 日期不是真日期",IF(OR(B767&lt;年初日,B767&gt;年末日),"✗ 日期不在本年度",IF(C767="","✗ 没选供应商",IF(COUNTIF(基础资料!$Q$5:$Q$54,C767)=0,"✗ 供应商不在基础资料里",IF(D767="","✗ 没选商品",IF(COUNTIF(基础资料!$E$5:$E$104,D767)=0,"✗ 商品不在商品档案里",IF(AND(E767="",H767=""),"✗ 没填数量",IF(AND(N(E767)&lt;&gt;0,F767=""),"✗ 没填进价","√")))))))))</f>
      </c>
    </row>
    <row r="768">
      <c r="A768" s="109">
        <f>IF(AND(C768="",D768=""),"",ROW()-3)</f>
      </c>
      <c r="B768" s="140" t="n"/>
      <c r="C768" s="141" t="n"/>
      <c r="D768" s="141" t="n"/>
      <c r="E768" s="148" t="n"/>
      <c r="F768" s="149" t="n"/>
      <c r="G768" s="150">
        <f>IF(AND(E768&lt;&gt;"",F768&lt;&gt;""),E768*F768,"")</f>
      </c>
      <c r="H768" s="148" t="n"/>
      <c r="I768" s="142" t="n"/>
      <c r="J768" s="146">
        <f>IF(AND(B768="",C768="",D768="",E768="",F768="",H768=""),"",IF(NOT(ISNUMBER(B768)),"✗ 日期不是真日期",IF(OR(B768&lt;年初日,B768&gt;年末日),"✗ 日期不在本年度",IF(C768="","✗ 没选供应商",IF(COUNTIF(基础资料!$Q$5:$Q$54,C768)=0,"✗ 供应商不在基础资料里",IF(D768="","✗ 没选商品",IF(COUNTIF(基础资料!$E$5:$E$104,D768)=0,"✗ 商品不在商品档案里",IF(AND(E768="",H768=""),"✗ 没填数量",IF(AND(N(E768)&lt;&gt;0,F768=""),"✗ 没填进价","√")))))))))</f>
      </c>
    </row>
    <row r="769">
      <c r="A769" s="109">
        <f>IF(AND(C769="",D769=""),"",ROW()-3)</f>
      </c>
      <c r="B769" s="140" t="n"/>
      <c r="C769" s="141" t="n"/>
      <c r="D769" s="141" t="n"/>
      <c r="E769" s="148" t="n"/>
      <c r="F769" s="149" t="n"/>
      <c r="G769" s="150">
        <f>IF(AND(E769&lt;&gt;"",F769&lt;&gt;""),E769*F769,"")</f>
      </c>
      <c r="H769" s="148" t="n"/>
      <c r="I769" s="142" t="n"/>
      <c r="J769" s="146">
        <f>IF(AND(B769="",C769="",D769="",E769="",F769="",H769=""),"",IF(NOT(ISNUMBER(B769)),"✗ 日期不是真日期",IF(OR(B769&lt;年初日,B769&gt;年末日),"✗ 日期不在本年度",IF(C769="","✗ 没选供应商",IF(COUNTIF(基础资料!$Q$5:$Q$54,C769)=0,"✗ 供应商不在基础资料里",IF(D769="","✗ 没选商品",IF(COUNTIF(基础资料!$E$5:$E$104,D769)=0,"✗ 商品不在商品档案里",IF(AND(E769="",H769=""),"✗ 没填数量",IF(AND(N(E769)&lt;&gt;0,F769=""),"✗ 没填进价","√")))))))))</f>
      </c>
    </row>
    <row r="770">
      <c r="A770" s="109">
        <f>IF(AND(C770="",D770=""),"",ROW()-3)</f>
      </c>
      <c r="B770" s="140" t="n"/>
      <c r="C770" s="141" t="n"/>
      <c r="D770" s="141" t="n"/>
      <c r="E770" s="148" t="n"/>
      <c r="F770" s="149" t="n"/>
      <c r="G770" s="150">
        <f>IF(AND(E770&lt;&gt;"",F770&lt;&gt;""),E770*F770,"")</f>
      </c>
      <c r="H770" s="148" t="n"/>
      <c r="I770" s="142" t="n"/>
      <c r="J770" s="146">
        <f>IF(AND(B770="",C770="",D770="",E770="",F770="",H770=""),"",IF(NOT(ISNUMBER(B770)),"✗ 日期不是真日期",IF(OR(B770&lt;年初日,B770&gt;年末日),"✗ 日期不在本年度",IF(C770="","✗ 没选供应商",IF(COUNTIF(基础资料!$Q$5:$Q$54,C770)=0,"✗ 供应商不在基础资料里",IF(D770="","✗ 没选商品",IF(COUNTIF(基础资料!$E$5:$E$104,D770)=0,"✗ 商品不在商品档案里",IF(AND(E770="",H770=""),"✗ 没填数量",IF(AND(N(E770)&lt;&gt;0,F770=""),"✗ 没填进价","√")))))))))</f>
      </c>
    </row>
    <row r="771">
      <c r="A771" s="109">
        <f>IF(AND(C771="",D771=""),"",ROW()-3)</f>
      </c>
      <c r="B771" s="140" t="n"/>
      <c r="C771" s="141" t="n"/>
      <c r="D771" s="141" t="n"/>
      <c r="E771" s="148" t="n"/>
      <c r="F771" s="149" t="n"/>
      <c r="G771" s="150">
        <f>IF(AND(E771&lt;&gt;"",F771&lt;&gt;""),E771*F771,"")</f>
      </c>
      <c r="H771" s="148" t="n"/>
      <c r="I771" s="142" t="n"/>
      <c r="J771" s="146">
        <f>IF(AND(B771="",C771="",D771="",E771="",F771="",H771=""),"",IF(NOT(ISNUMBER(B771)),"✗ 日期不是真日期",IF(OR(B771&lt;年初日,B771&gt;年末日),"✗ 日期不在本年度",IF(C771="","✗ 没选供应商",IF(COUNTIF(基础资料!$Q$5:$Q$54,C771)=0,"✗ 供应商不在基础资料里",IF(D771="","✗ 没选商品",IF(COUNTIF(基础资料!$E$5:$E$104,D771)=0,"✗ 商品不在商品档案里",IF(AND(E771="",H771=""),"✗ 没填数量",IF(AND(N(E771)&lt;&gt;0,F771=""),"✗ 没填进价","√")))))))))</f>
      </c>
    </row>
    <row r="772">
      <c r="A772" s="109">
        <f>IF(AND(C772="",D772=""),"",ROW()-3)</f>
      </c>
      <c r="B772" s="140" t="n"/>
      <c r="C772" s="141" t="n"/>
      <c r="D772" s="141" t="n"/>
      <c r="E772" s="148" t="n"/>
      <c r="F772" s="149" t="n"/>
      <c r="G772" s="150">
        <f>IF(AND(E772&lt;&gt;"",F772&lt;&gt;""),E772*F772,"")</f>
      </c>
      <c r="H772" s="148" t="n"/>
      <c r="I772" s="142" t="n"/>
      <c r="J772" s="146">
        <f>IF(AND(B772="",C772="",D772="",E772="",F772="",H772=""),"",IF(NOT(ISNUMBER(B772)),"✗ 日期不是真日期",IF(OR(B772&lt;年初日,B772&gt;年末日),"✗ 日期不在本年度",IF(C772="","✗ 没选供应商",IF(COUNTIF(基础资料!$Q$5:$Q$54,C772)=0,"✗ 供应商不在基础资料里",IF(D772="","✗ 没选商品",IF(COUNTIF(基础资料!$E$5:$E$104,D772)=0,"✗ 商品不在商品档案里",IF(AND(E772="",H772=""),"✗ 没填数量",IF(AND(N(E772)&lt;&gt;0,F772=""),"✗ 没填进价","√")))))))))</f>
      </c>
    </row>
    <row r="773">
      <c r="A773" s="109">
        <f>IF(AND(C773="",D773=""),"",ROW()-3)</f>
      </c>
      <c r="B773" s="140" t="n"/>
      <c r="C773" s="141" t="n"/>
      <c r="D773" s="141" t="n"/>
      <c r="E773" s="148" t="n"/>
      <c r="F773" s="149" t="n"/>
      <c r="G773" s="150">
        <f>IF(AND(E773&lt;&gt;"",F773&lt;&gt;""),E773*F773,"")</f>
      </c>
      <c r="H773" s="148" t="n"/>
      <c r="I773" s="142" t="n"/>
      <c r="J773" s="146">
        <f>IF(AND(B773="",C773="",D773="",E773="",F773="",H773=""),"",IF(NOT(ISNUMBER(B773)),"✗ 日期不是真日期",IF(OR(B773&lt;年初日,B773&gt;年末日),"✗ 日期不在本年度",IF(C773="","✗ 没选供应商",IF(COUNTIF(基础资料!$Q$5:$Q$54,C773)=0,"✗ 供应商不在基础资料里",IF(D773="","✗ 没选商品",IF(COUNTIF(基础资料!$E$5:$E$104,D773)=0,"✗ 商品不在商品档案里",IF(AND(E773="",H773=""),"✗ 没填数量",IF(AND(N(E773)&lt;&gt;0,F773=""),"✗ 没填进价","√")))))))))</f>
      </c>
    </row>
    <row r="774">
      <c r="A774" s="109">
        <f>IF(AND(C774="",D774=""),"",ROW()-3)</f>
      </c>
      <c r="B774" s="140" t="n"/>
      <c r="C774" s="141" t="n"/>
      <c r="D774" s="141" t="n"/>
      <c r="E774" s="148" t="n"/>
      <c r="F774" s="149" t="n"/>
      <c r="G774" s="150">
        <f>IF(AND(E774&lt;&gt;"",F774&lt;&gt;""),E774*F774,"")</f>
      </c>
      <c r="H774" s="148" t="n"/>
      <c r="I774" s="142" t="n"/>
      <c r="J774" s="146">
        <f>IF(AND(B774="",C774="",D774="",E774="",F774="",H774=""),"",IF(NOT(ISNUMBER(B774)),"✗ 日期不是真日期",IF(OR(B774&lt;年初日,B774&gt;年末日),"✗ 日期不在本年度",IF(C774="","✗ 没选供应商",IF(COUNTIF(基础资料!$Q$5:$Q$54,C774)=0,"✗ 供应商不在基础资料里",IF(D774="","✗ 没选商品",IF(COUNTIF(基础资料!$E$5:$E$104,D774)=0,"✗ 商品不在商品档案里",IF(AND(E774="",H774=""),"✗ 没填数量",IF(AND(N(E774)&lt;&gt;0,F774=""),"✗ 没填进价","√")))))))))</f>
      </c>
    </row>
    <row r="775">
      <c r="A775" s="109">
        <f>IF(AND(C775="",D775=""),"",ROW()-3)</f>
      </c>
      <c r="B775" s="140" t="n"/>
      <c r="C775" s="141" t="n"/>
      <c r="D775" s="141" t="n"/>
      <c r="E775" s="148" t="n"/>
      <c r="F775" s="149" t="n"/>
      <c r="G775" s="150">
        <f>IF(AND(E775&lt;&gt;"",F775&lt;&gt;""),E775*F775,"")</f>
      </c>
      <c r="H775" s="148" t="n"/>
      <c r="I775" s="142" t="n"/>
      <c r="J775" s="146">
        <f>IF(AND(B775="",C775="",D775="",E775="",F775="",H775=""),"",IF(NOT(ISNUMBER(B775)),"✗ 日期不是真日期",IF(OR(B775&lt;年初日,B775&gt;年末日),"✗ 日期不在本年度",IF(C775="","✗ 没选供应商",IF(COUNTIF(基础资料!$Q$5:$Q$54,C775)=0,"✗ 供应商不在基础资料里",IF(D775="","✗ 没选商品",IF(COUNTIF(基础资料!$E$5:$E$104,D775)=0,"✗ 商品不在商品档案里",IF(AND(E775="",H775=""),"✗ 没填数量",IF(AND(N(E775)&lt;&gt;0,F775=""),"✗ 没填进价","√")))))))))</f>
      </c>
    </row>
    <row r="776">
      <c r="A776" s="109">
        <f>IF(AND(C776="",D776=""),"",ROW()-3)</f>
      </c>
      <c r="B776" s="140" t="n"/>
      <c r="C776" s="141" t="n"/>
      <c r="D776" s="141" t="n"/>
      <c r="E776" s="148" t="n"/>
      <c r="F776" s="149" t="n"/>
      <c r="G776" s="150">
        <f>IF(AND(E776&lt;&gt;"",F776&lt;&gt;""),E776*F776,"")</f>
      </c>
      <c r="H776" s="148" t="n"/>
      <c r="I776" s="142" t="n"/>
      <c r="J776" s="146">
        <f>IF(AND(B776="",C776="",D776="",E776="",F776="",H776=""),"",IF(NOT(ISNUMBER(B776)),"✗ 日期不是真日期",IF(OR(B776&lt;年初日,B776&gt;年末日),"✗ 日期不在本年度",IF(C776="","✗ 没选供应商",IF(COUNTIF(基础资料!$Q$5:$Q$54,C776)=0,"✗ 供应商不在基础资料里",IF(D776="","✗ 没选商品",IF(COUNTIF(基础资料!$E$5:$E$104,D776)=0,"✗ 商品不在商品档案里",IF(AND(E776="",H776=""),"✗ 没填数量",IF(AND(N(E776)&lt;&gt;0,F776=""),"✗ 没填进价","√")))))))))</f>
      </c>
    </row>
    <row r="777">
      <c r="A777" s="109">
        <f>IF(AND(C777="",D777=""),"",ROW()-3)</f>
      </c>
      <c r="B777" s="140" t="n"/>
      <c r="C777" s="141" t="n"/>
      <c r="D777" s="141" t="n"/>
      <c r="E777" s="148" t="n"/>
      <c r="F777" s="149" t="n"/>
      <c r="G777" s="150">
        <f>IF(AND(E777&lt;&gt;"",F777&lt;&gt;""),E777*F777,"")</f>
      </c>
      <c r="H777" s="148" t="n"/>
      <c r="I777" s="142" t="n"/>
      <c r="J777" s="146">
        <f>IF(AND(B777="",C777="",D777="",E777="",F777="",H777=""),"",IF(NOT(ISNUMBER(B777)),"✗ 日期不是真日期",IF(OR(B777&lt;年初日,B777&gt;年末日),"✗ 日期不在本年度",IF(C777="","✗ 没选供应商",IF(COUNTIF(基础资料!$Q$5:$Q$54,C777)=0,"✗ 供应商不在基础资料里",IF(D777="","✗ 没选商品",IF(COUNTIF(基础资料!$E$5:$E$104,D777)=0,"✗ 商品不在商品档案里",IF(AND(E777="",H777=""),"✗ 没填数量",IF(AND(N(E777)&lt;&gt;0,F777=""),"✗ 没填进价","√")))))))))</f>
      </c>
    </row>
    <row r="778">
      <c r="A778" s="109">
        <f>IF(AND(C778="",D778=""),"",ROW()-3)</f>
      </c>
      <c r="B778" s="140" t="n"/>
      <c r="C778" s="141" t="n"/>
      <c r="D778" s="141" t="n"/>
      <c r="E778" s="148" t="n"/>
      <c r="F778" s="149" t="n"/>
      <c r="G778" s="150">
        <f>IF(AND(E778&lt;&gt;"",F778&lt;&gt;""),E778*F778,"")</f>
      </c>
      <c r="H778" s="148" t="n"/>
      <c r="I778" s="142" t="n"/>
      <c r="J778" s="146">
        <f>IF(AND(B778="",C778="",D778="",E778="",F778="",H778=""),"",IF(NOT(ISNUMBER(B778)),"✗ 日期不是真日期",IF(OR(B778&lt;年初日,B778&gt;年末日),"✗ 日期不在本年度",IF(C778="","✗ 没选供应商",IF(COUNTIF(基础资料!$Q$5:$Q$54,C778)=0,"✗ 供应商不在基础资料里",IF(D778="","✗ 没选商品",IF(COUNTIF(基础资料!$E$5:$E$104,D778)=0,"✗ 商品不在商品档案里",IF(AND(E778="",H778=""),"✗ 没填数量",IF(AND(N(E778)&lt;&gt;0,F778=""),"✗ 没填进价","√")))))))))</f>
      </c>
    </row>
    <row r="779">
      <c r="A779" s="109">
        <f>IF(AND(C779="",D779=""),"",ROW()-3)</f>
      </c>
      <c r="B779" s="140" t="n"/>
      <c r="C779" s="141" t="n"/>
      <c r="D779" s="141" t="n"/>
      <c r="E779" s="148" t="n"/>
      <c r="F779" s="149" t="n"/>
      <c r="G779" s="150">
        <f>IF(AND(E779&lt;&gt;"",F779&lt;&gt;""),E779*F779,"")</f>
      </c>
      <c r="H779" s="148" t="n"/>
      <c r="I779" s="142" t="n"/>
      <c r="J779" s="146">
        <f>IF(AND(B779="",C779="",D779="",E779="",F779="",H779=""),"",IF(NOT(ISNUMBER(B779)),"✗ 日期不是真日期",IF(OR(B779&lt;年初日,B779&gt;年末日),"✗ 日期不在本年度",IF(C779="","✗ 没选供应商",IF(COUNTIF(基础资料!$Q$5:$Q$54,C779)=0,"✗ 供应商不在基础资料里",IF(D779="","✗ 没选商品",IF(COUNTIF(基础资料!$E$5:$E$104,D779)=0,"✗ 商品不在商品档案里",IF(AND(E779="",H779=""),"✗ 没填数量",IF(AND(N(E779)&lt;&gt;0,F779=""),"✗ 没填进价","√")))))))))</f>
      </c>
    </row>
    <row r="780">
      <c r="A780" s="109">
        <f>IF(AND(C780="",D780=""),"",ROW()-3)</f>
      </c>
      <c r="B780" s="140" t="n"/>
      <c r="C780" s="141" t="n"/>
      <c r="D780" s="141" t="n"/>
      <c r="E780" s="148" t="n"/>
      <c r="F780" s="149" t="n"/>
      <c r="G780" s="150">
        <f>IF(AND(E780&lt;&gt;"",F780&lt;&gt;""),E780*F780,"")</f>
      </c>
      <c r="H780" s="148" t="n"/>
      <c r="I780" s="142" t="n"/>
      <c r="J780" s="146">
        <f>IF(AND(B780="",C780="",D780="",E780="",F780="",H780=""),"",IF(NOT(ISNUMBER(B780)),"✗ 日期不是真日期",IF(OR(B780&lt;年初日,B780&gt;年末日),"✗ 日期不在本年度",IF(C780="","✗ 没选供应商",IF(COUNTIF(基础资料!$Q$5:$Q$54,C780)=0,"✗ 供应商不在基础资料里",IF(D780="","✗ 没选商品",IF(COUNTIF(基础资料!$E$5:$E$104,D780)=0,"✗ 商品不在商品档案里",IF(AND(E780="",H780=""),"✗ 没填数量",IF(AND(N(E780)&lt;&gt;0,F780=""),"✗ 没填进价","√")))))))))</f>
      </c>
    </row>
    <row r="781">
      <c r="A781" s="109">
        <f>IF(AND(C781="",D781=""),"",ROW()-3)</f>
      </c>
      <c r="B781" s="140" t="n"/>
      <c r="C781" s="141" t="n"/>
      <c r="D781" s="141" t="n"/>
      <c r="E781" s="148" t="n"/>
      <c r="F781" s="149" t="n"/>
      <c r="G781" s="150">
        <f>IF(AND(E781&lt;&gt;"",F781&lt;&gt;""),E781*F781,"")</f>
      </c>
      <c r="H781" s="148" t="n"/>
      <c r="I781" s="142" t="n"/>
      <c r="J781" s="146">
        <f>IF(AND(B781="",C781="",D781="",E781="",F781="",H781=""),"",IF(NOT(ISNUMBER(B781)),"✗ 日期不是真日期",IF(OR(B781&lt;年初日,B781&gt;年末日),"✗ 日期不在本年度",IF(C781="","✗ 没选供应商",IF(COUNTIF(基础资料!$Q$5:$Q$54,C781)=0,"✗ 供应商不在基础资料里",IF(D781="","✗ 没选商品",IF(COUNTIF(基础资料!$E$5:$E$104,D781)=0,"✗ 商品不在商品档案里",IF(AND(E781="",H781=""),"✗ 没填数量",IF(AND(N(E781)&lt;&gt;0,F781=""),"✗ 没填进价","√")))))))))</f>
      </c>
    </row>
    <row r="782">
      <c r="A782" s="109">
        <f>IF(AND(C782="",D782=""),"",ROW()-3)</f>
      </c>
      <c r="B782" s="140" t="n"/>
      <c r="C782" s="141" t="n"/>
      <c r="D782" s="141" t="n"/>
      <c r="E782" s="148" t="n"/>
      <c r="F782" s="149" t="n"/>
      <c r="G782" s="150">
        <f>IF(AND(E782&lt;&gt;"",F782&lt;&gt;""),E782*F782,"")</f>
      </c>
      <c r="H782" s="148" t="n"/>
      <c r="I782" s="142" t="n"/>
      <c r="J782" s="146">
        <f>IF(AND(B782="",C782="",D782="",E782="",F782="",H782=""),"",IF(NOT(ISNUMBER(B782)),"✗ 日期不是真日期",IF(OR(B782&lt;年初日,B782&gt;年末日),"✗ 日期不在本年度",IF(C782="","✗ 没选供应商",IF(COUNTIF(基础资料!$Q$5:$Q$54,C782)=0,"✗ 供应商不在基础资料里",IF(D782="","✗ 没选商品",IF(COUNTIF(基础资料!$E$5:$E$104,D782)=0,"✗ 商品不在商品档案里",IF(AND(E782="",H782=""),"✗ 没填数量",IF(AND(N(E782)&lt;&gt;0,F782=""),"✗ 没填进价","√")))))))))</f>
      </c>
    </row>
    <row r="783">
      <c r="A783" s="109">
        <f>IF(AND(C783="",D783=""),"",ROW()-3)</f>
      </c>
      <c r="B783" s="140" t="n"/>
      <c r="C783" s="141" t="n"/>
      <c r="D783" s="141" t="n"/>
      <c r="E783" s="148" t="n"/>
      <c r="F783" s="149" t="n"/>
      <c r="G783" s="150">
        <f>IF(AND(E783&lt;&gt;"",F783&lt;&gt;""),E783*F783,"")</f>
      </c>
      <c r="H783" s="148" t="n"/>
      <c r="I783" s="142" t="n"/>
      <c r="J783" s="146">
        <f>IF(AND(B783="",C783="",D783="",E783="",F783="",H783=""),"",IF(NOT(ISNUMBER(B783)),"✗ 日期不是真日期",IF(OR(B783&lt;年初日,B783&gt;年末日),"✗ 日期不在本年度",IF(C783="","✗ 没选供应商",IF(COUNTIF(基础资料!$Q$5:$Q$54,C783)=0,"✗ 供应商不在基础资料里",IF(D783="","✗ 没选商品",IF(COUNTIF(基础资料!$E$5:$E$104,D783)=0,"✗ 商品不在商品档案里",IF(AND(E783="",H783=""),"✗ 没填数量",IF(AND(N(E783)&lt;&gt;0,F783=""),"✗ 没填进价","√")))))))))</f>
      </c>
    </row>
    <row r="784">
      <c r="A784" s="109">
        <f>IF(AND(C784="",D784=""),"",ROW()-3)</f>
      </c>
      <c r="B784" s="140" t="n"/>
      <c r="C784" s="141" t="n"/>
      <c r="D784" s="141" t="n"/>
      <c r="E784" s="148" t="n"/>
      <c r="F784" s="149" t="n"/>
      <c r="G784" s="150">
        <f>IF(AND(E784&lt;&gt;"",F784&lt;&gt;""),E784*F784,"")</f>
      </c>
      <c r="H784" s="148" t="n"/>
      <c r="I784" s="142" t="n"/>
      <c r="J784" s="146">
        <f>IF(AND(B784="",C784="",D784="",E784="",F784="",H784=""),"",IF(NOT(ISNUMBER(B784)),"✗ 日期不是真日期",IF(OR(B784&lt;年初日,B784&gt;年末日),"✗ 日期不在本年度",IF(C784="","✗ 没选供应商",IF(COUNTIF(基础资料!$Q$5:$Q$54,C784)=0,"✗ 供应商不在基础资料里",IF(D784="","✗ 没选商品",IF(COUNTIF(基础资料!$E$5:$E$104,D784)=0,"✗ 商品不在商品档案里",IF(AND(E784="",H784=""),"✗ 没填数量",IF(AND(N(E784)&lt;&gt;0,F784=""),"✗ 没填进价","√")))))))))</f>
      </c>
    </row>
    <row r="785">
      <c r="A785" s="109">
        <f>IF(AND(C785="",D785=""),"",ROW()-3)</f>
      </c>
      <c r="B785" s="140" t="n"/>
      <c r="C785" s="141" t="n"/>
      <c r="D785" s="141" t="n"/>
      <c r="E785" s="148" t="n"/>
      <c r="F785" s="149" t="n"/>
      <c r="G785" s="150">
        <f>IF(AND(E785&lt;&gt;"",F785&lt;&gt;""),E785*F785,"")</f>
      </c>
      <c r="H785" s="148" t="n"/>
      <c r="I785" s="142" t="n"/>
      <c r="J785" s="146">
        <f>IF(AND(B785="",C785="",D785="",E785="",F785="",H785=""),"",IF(NOT(ISNUMBER(B785)),"✗ 日期不是真日期",IF(OR(B785&lt;年初日,B785&gt;年末日),"✗ 日期不在本年度",IF(C785="","✗ 没选供应商",IF(COUNTIF(基础资料!$Q$5:$Q$54,C785)=0,"✗ 供应商不在基础资料里",IF(D785="","✗ 没选商品",IF(COUNTIF(基础资料!$E$5:$E$104,D785)=0,"✗ 商品不在商品档案里",IF(AND(E785="",H785=""),"✗ 没填数量",IF(AND(N(E785)&lt;&gt;0,F785=""),"✗ 没填进价","√")))))))))</f>
      </c>
    </row>
    <row r="786">
      <c r="A786" s="109">
        <f>IF(AND(C786="",D786=""),"",ROW()-3)</f>
      </c>
      <c r="B786" s="140" t="n"/>
      <c r="C786" s="141" t="n"/>
      <c r="D786" s="141" t="n"/>
      <c r="E786" s="148" t="n"/>
      <c r="F786" s="149" t="n"/>
      <c r="G786" s="150">
        <f>IF(AND(E786&lt;&gt;"",F786&lt;&gt;""),E786*F786,"")</f>
      </c>
      <c r="H786" s="148" t="n"/>
      <c r="I786" s="142" t="n"/>
      <c r="J786" s="146">
        <f>IF(AND(B786="",C786="",D786="",E786="",F786="",H786=""),"",IF(NOT(ISNUMBER(B786)),"✗ 日期不是真日期",IF(OR(B786&lt;年初日,B786&gt;年末日),"✗ 日期不在本年度",IF(C786="","✗ 没选供应商",IF(COUNTIF(基础资料!$Q$5:$Q$54,C786)=0,"✗ 供应商不在基础资料里",IF(D786="","✗ 没选商品",IF(COUNTIF(基础资料!$E$5:$E$104,D786)=0,"✗ 商品不在商品档案里",IF(AND(E786="",H786=""),"✗ 没填数量",IF(AND(N(E786)&lt;&gt;0,F786=""),"✗ 没填进价","√")))))))))</f>
      </c>
    </row>
    <row r="787">
      <c r="A787" s="109">
        <f>IF(AND(C787="",D787=""),"",ROW()-3)</f>
      </c>
      <c r="B787" s="140" t="n"/>
      <c r="C787" s="141" t="n"/>
      <c r="D787" s="141" t="n"/>
      <c r="E787" s="148" t="n"/>
      <c r="F787" s="149" t="n"/>
      <c r="G787" s="150">
        <f>IF(AND(E787&lt;&gt;"",F787&lt;&gt;""),E787*F787,"")</f>
      </c>
      <c r="H787" s="148" t="n"/>
      <c r="I787" s="142" t="n"/>
      <c r="J787" s="146">
        <f>IF(AND(B787="",C787="",D787="",E787="",F787="",H787=""),"",IF(NOT(ISNUMBER(B787)),"✗ 日期不是真日期",IF(OR(B787&lt;年初日,B787&gt;年末日),"✗ 日期不在本年度",IF(C787="","✗ 没选供应商",IF(COUNTIF(基础资料!$Q$5:$Q$54,C787)=0,"✗ 供应商不在基础资料里",IF(D787="","✗ 没选商品",IF(COUNTIF(基础资料!$E$5:$E$104,D787)=0,"✗ 商品不在商品档案里",IF(AND(E787="",H787=""),"✗ 没填数量",IF(AND(N(E787)&lt;&gt;0,F787=""),"✗ 没填进价","√")))))))))</f>
      </c>
    </row>
    <row r="788">
      <c r="A788" s="109">
        <f>IF(AND(C788="",D788=""),"",ROW()-3)</f>
      </c>
      <c r="B788" s="140" t="n"/>
      <c r="C788" s="141" t="n"/>
      <c r="D788" s="141" t="n"/>
      <c r="E788" s="148" t="n"/>
      <c r="F788" s="149" t="n"/>
      <c r="G788" s="150">
        <f>IF(AND(E788&lt;&gt;"",F788&lt;&gt;""),E788*F788,"")</f>
      </c>
      <c r="H788" s="148" t="n"/>
      <c r="I788" s="142" t="n"/>
      <c r="J788" s="146">
        <f>IF(AND(B788="",C788="",D788="",E788="",F788="",H788=""),"",IF(NOT(ISNUMBER(B788)),"✗ 日期不是真日期",IF(OR(B788&lt;年初日,B788&gt;年末日),"✗ 日期不在本年度",IF(C788="","✗ 没选供应商",IF(COUNTIF(基础资料!$Q$5:$Q$54,C788)=0,"✗ 供应商不在基础资料里",IF(D788="","✗ 没选商品",IF(COUNTIF(基础资料!$E$5:$E$104,D788)=0,"✗ 商品不在商品档案里",IF(AND(E788="",H788=""),"✗ 没填数量",IF(AND(N(E788)&lt;&gt;0,F788=""),"✗ 没填进价","√")))))))))</f>
      </c>
    </row>
    <row r="789">
      <c r="A789" s="109">
        <f>IF(AND(C789="",D789=""),"",ROW()-3)</f>
      </c>
      <c r="B789" s="140" t="n"/>
      <c r="C789" s="141" t="n"/>
      <c r="D789" s="141" t="n"/>
      <c r="E789" s="148" t="n"/>
      <c r="F789" s="149" t="n"/>
      <c r="G789" s="150">
        <f>IF(AND(E789&lt;&gt;"",F789&lt;&gt;""),E789*F789,"")</f>
      </c>
      <c r="H789" s="148" t="n"/>
      <c r="I789" s="142" t="n"/>
      <c r="J789" s="146">
        <f>IF(AND(B789="",C789="",D789="",E789="",F789="",H789=""),"",IF(NOT(ISNUMBER(B789)),"✗ 日期不是真日期",IF(OR(B789&lt;年初日,B789&gt;年末日),"✗ 日期不在本年度",IF(C789="","✗ 没选供应商",IF(COUNTIF(基础资料!$Q$5:$Q$54,C789)=0,"✗ 供应商不在基础资料里",IF(D789="","✗ 没选商品",IF(COUNTIF(基础资料!$E$5:$E$104,D789)=0,"✗ 商品不在商品档案里",IF(AND(E789="",H789=""),"✗ 没填数量",IF(AND(N(E789)&lt;&gt;0,F789=""),"✗ 没填进价","√")))))))))</f>
      </c>
    </row>
    <row r="790">
      <c r="A790" s="109">
        <f>IF(AND(C790="",D790=""),"",ROW()-3)</f>
      </c>
      <c r="B790" s="140" t="n"/>
      <c r="C790" s="141" t="n"/>
      <c r="D790" s="141" t="n"/>
      <c r="E790" s="148" t="n"/>
      <c r="F790" s="149" t="n"/>
      <c r="G790" s="150">
        <f>IF(AND(E790&lt;&gt;"",F790&lt;&gt;""),E790*F790,"")</f>
      </c>
      <c r="H790" s="148" t="n"/>
      <c r="I790" s="142" t="n"/>
      <c r="J790" s="146">
        <f>IF(AND(B790="",C790="",D790="",E790="",F790="",H790=""),"",IF(NOT(ISNUMBER(B790)),"✗ 日期不是真日期",IF(OR(B790&lt;年初日,B790&gt;年末日),"✗ 日期不在本年度",IF(C790="","✗ 没选供应商",IF(COUNTIF(基础资料!$Q$5:$Q$54,C790)=0,"✗ 供应商不在基础资料里",IF(D790="","✗ 没选商品",IF(COUNTIF(基础资料!$E$5:$E$104,D790)=0,"✗ 商品不在商品档案里",IF(AND(E790="",H790=""),"✗ 没填数量",IF(AND(N(E790)&lt;&gt;0,F790=""),"✗ 没填进价","√")))))))))</f>
      </c>
    </row>
    <row r="791">
      <c r="A791" s="109">
        <f>IF(AND(C791="",D791=""),"",ROW()-3)</f>
      </c>
      <c r="B791" s="140" t="n"/>
      <c r="C791" s="141" t="n"/>
      <c r="D791" s="141" t="n"/>
      <c r="E791" s="148" t="n"/>
      <c r="F791" s="149" t="n"/>
      <c r="G791" s="150">
        <f>IF(AND(E791&lt;&gt;"",F791&lt;&gt;""),E791*F791,"")</f>
      </c>
      <c r="H791" s="148" t="n"/>
      <c r="I791" s="142" t="n"/>
      <c r="J791" s="146">
        <f>IF(AND(B791="",C791="",D791="",E791="",F791="",H791=""),"",IF(NOT(ISNUMBER(B791)),"✗ 日期不是真日期",IF(OR(B791&lt;年初日,B791&gt;年末日),"✗ 日期不在本年度",IF(C791="","✗ 没选供应商",IF(COUNTIF(基础资料!$Q$5:$Q$54,C791)=0,"✗ 供应商不在基础资料里",IF(D791="","✗ 没选商品",IF(COUNTIF(基础资料!$E$5:$E$104,D791)=0,"✗ 商品不在商品档案里",IF(AND(E791="",H791=""),"✗ 没填数量",IF(AND(N(E791)&lt;&gt;0,F791=""),"✗ 没填进价","√")))))))))</f>
      </c>
    </row>
    <row r="792">
      <c r="A792" s="109">
        <f>IF(AND(C792="",D792=""),"",ROW()-3)</f>
      </c>
      <c r="B792" s="140" t="n"/>
      <c r="C792" s="141" t="n"/>
      <c r="D792" s="141" t="n"/>
      <c r="E792" s="148" t="n"/>
      <c r="F792" s="149" t="n"/>
      <c r="G792" s="150">
        <f>IF(AND(E792&lt;&gt;"",F792&lt;&gt;""),E792*F792,"")</f>
      </c>
      <c r="H792" s="148" t="n"/>
      <c r="I792" s="142" t="n"/>
      <c r="J792" s="146">
        <f>IF(AND(B792="",C792="",D792="",E792="",F792="",H792=""),"",IF(NOT(ISNUMBER(B792)),"✗ 日期不是真日期",IF(OR(B792&lt;年初日,B792&gt;年末日),"✗ 日期不在本年度",IF(C792="","✗ 没选供应商",IF(COUNTIF(基础资料!$Q$5:$Q$54,C792)=0,"✗ 供应商不在基础资料里",IF(D792="","✗ 没选商品",IF(COUNTIF(基础资料!$E$5:$E$104,D792)=0,"✗ 商品不在商品档案里",IF(AND(E792="",H792=""),"✗ 没填数量",IF(AND(N(E792)&lt;&gt;0,F792=""),"✗ 没填进价","√")))))))))</f>
      </c>
    </row>
    <row r="793">
      <c r="A793" s="109">
        <f>IF(AND(C793="",D793=""),"",ROW()-3)</f>
      </c>
      <c r="B793" s="140" t="n"/>
      <c r="C793" s="141" t="n"/>
      <c r="D793" s="141" t="n"/>
      <c r="E793" s="148" t="n"/>
      <c r="F793" s="149" t="n"/>
      <c r="G793" s="150">
        <f>IF(AND(E793&lt;&gt;"",F793&lt;&gt;""),E793*F793,"")</f>
      </c>
      <c r="H793" s="148" t="n"/>
      <c r="I793" s="142" t="n"/>
      <c r="J793" s="146">
        <f>IF(AND(B793="",C793="",D793="",E793="",F793="",H793=""),"",IF(NOT(ISNUMBER(B793)),"✗ 日期不是真日期",IF(OR(B793&lt;年初日,B793&gt;年末日),"✗ 日期不在本年度",IF(C793="","✗ 没选供应商",IF(COUNTIF(基础资料!$Q$5:$Q$54,C793)=0,"✗ 供应商不在基础资料里",IF(D793="","✗ 没选商品",IF(COUNTIF(基础资料!$E$5:$E$104,D793)=0,"✗ 商品不在商品档案里",IF(AND(E793="",H793=""),"✗ 没填数量",IF(AND(N(E793)&lt;&gt;0,F793=""),"✗ 没填进价","√")))))))))</f>
      </c>
    </row>
    <row r="794">
      <c r="A794" s="109">
        <f>IF(AND(C794="",D794=""),"",ROW()-3)</f>
      </c>
      <c r="B794" s="140" t="n"/>
      <c r="C794" s="141" t="n"/>
      <c r="D794" s="141" t="n"/>
      <c r="E794" s="148" t="n"/>
      <c r="F794" s="149" t="n"/>
      <c r="G794" s="150">
        <f>IF(AND(E794&lt;&gt;"",F794&lt;&gt;""),E794*F794,"")</f>
      </c>
      <c r="H794" s="148" t="n"/>
      <c r="I794" s="142" t="n"/>
      <c r="J794" s="146">
        <f>IF(AND(B794="",C794="",D794="",E794="",F794="",H794=""),"",IF(NOT(ISNUMBER(B794)),"✗ 日期不是真日期",IF(OR(B794&lt;年初日,B794&gt;年末日),"✗ 日期不在本年度",IF(C794="","✗ 没选供应商",IF(COUNTIF(基础资料!$Q$5:$Q$54,C794)=0,"✗ 供应商不在基础资料里",IF(D794="","✗ 没选商品",IF(COUNTIF(基础资料!$E$5:$E$104,D794)=0,"✗ 商品不在商品档案里",IF(AND(E794="",H794=""),"✗ 没填数量",IF(AND(N(E794)&lt;&gt;0,F794=""),"✗ 没填进价","√")))))))))</f>
      </c>
    </row>
    <row r="795">
      <c r="A795" s="109">
        <f>IF(AND(C795="",D795=""),"",ROW()-3)</f>
      </c>
      <c r="B795" s="140" t="n"/>
      <c r="C795" s="141" t="n"/>
      <c r="D795" s="141" t="n"/>
      <c r="E795" s="148" t="n"/>
      <c r="F795" s="149" t="n"/>
      <c r="G795" s="150">
        <f>IF(AND(E795&lt;&gt;"",F795&lt;&gt;""),E795*F795,"")</f>
      </c>
      <c r="H795" s="148" t="n"/>
      <c r="I795" s="142" t="n"/>
      <c r="J795" s="146">
        <f>IF(AND(B795="",C795="",D795="",E795="",F795="",H795=""),"",IF(NOT(ISNUMBER(B795)),"✗ 日期不是真日期",IF(OR(B795&lt;年初日,B795&gt;年末日),"✗ 日期不在本年度",IF(C795="","✗ 没选供应商",IF(COUNTIF(基础资料!$Q$5:$Q$54,C795)=0,"✗ 供应商不在基础资料里",IF(D795="","✗ 没选商品",IF(COUNTIF(基础资料!$E$5:$E$104,D795)=0,"✗ 商品不在商品档案里",IF(AND(E795="",H795=""),"✗ 没填数量",IF(AND(N(E795)&lt;&gt;0,F795=""),"✗ 没填进价","√")))))))))</f>
      </c>
    </row>
    <row r="796">
      <c r="A796" s="109">
        <f>IF(AND(C796="",D796=""),"",ROW()-3)</f>
      </c>
      <c r="B796" s="140" t="n"/>
      <c r="C796" s="141" t="n"/>
      <c r="D796" s="141" t="n"/>
      <c r="E796" s="148" t="n"/>
      <c r="F796" s="149" t="n"/>
      <c r="G796" s="150">
        <f>IF(AND(E796&lt;&gt;"",F796&lt;&gt;""),E796*F796,"")</f>
      </c>
      <c r="H796" s="148" t="n"/>
      <c r="I796" s="142" t="n"/>
      <c r="J796" s="146">
        <f>IF(AND(B796="",C796="",D796="",E796="",F796="",H796=""),"",IF(NOT(ISNUMBER(B796)),"✗ 日期不是真日期",IF(OR(B796&lt;年初日,B796&gt;年末日),"✗ 日期不在本年度",IF(C796="","✗ 没选供应商",IF(COUNTIF(基础资料!$Q$5:$Q$54,C796)=0,"✗ 供应商不在基础资料里",IF(D796="","✗ 没选商品",IF(COUNTIF(基础资料!$E$5:$E$104,D796)=0,"✗ 商品不在商品档案里",IF(AND(E796="",H796=""),"✗ 没填数量",IF(AND(N(E796)&lt;&gt;0,F796=""),"✗ 没填进价","√")))))))))</f>
      </c>
    </row>
    <row r="797">
      <c r="A797" s="109">
        <f>IF(AND(C797="",D797=""),"",ROW()-3)</f>
      </c>
      <c r="B797" s="140" t="n"/>
      <c r="C797" s="141" t="n"/>
      <c r="D797" s="141" t="n"/>
      <c r="E797" s="148" t="n"/>
      <c r="F797" s="149" t="n"/>
      <c r="G797" s="150">
        <f>IF(AND(E797&lt;&gt;"",F797&lt;&gt;""),E797*F797,"")</f>
      </c>
      <c r="H797" s="148" t="n"/>
      <c r="I797" s="142" t="n"/>
      <c r="J797" s="146">
        <f>IF(AND(B797="",C797="",D797="",E797="",F797="",H797=""),"",IF(NOT(ISNUMBER(B797)),"✗ 日期不是真日期",IF(OR(B797&lt;年初日,B797&gt;年末日),"✗ 日期不在本年度",IF(C797="","✗ 没选供应商",IF(COUNTIF(基础资料!$Q$5:$Q$54,C797)=0,"✗ 供应商不在基础资料里",IF(D797="","✗ 没选商品",IF(COUNTIF(基础资料!$E$5:$E$104,D797)=0,"✗ 商品不在商品档案里",IF(AND(E797="",H797=""),"✗ 没填数量",IF(AND(N(E797)&lt;&gt;0,F797=""),"✗ 没填进价","√")))))))))</f>
      </c>
    </row>
    <row r="798">
      <c r="A798" s="109">
        <f>IF(AND(C798="",D798=""),"",ROW()-3)</f>
      </c>
      <c r="B798" s="140" t="n"/>
      <c r="C798" s="141" t="n"/>
      <c r="D798" s="141" t="n"/>
      <c r="E798" s="148" t="n"/>
      <c r="F798" s="149" t="n"/>
      <c r="G798" s="150">
        <f>IF(AND(E798&lt;&gt;"",F798&lt;&gt;""),E798*F798,"")</f>
      </c>
      <c r="H798" s="148" t="n"/>
      <c r="I798" s="142" t="n"/>
      <c r="J798" s="146">
        <f>IF(AND(B798="",C798="",D798="",E798="",F798="",H798=""),"",IF(NOT(ISNUMBER(B798)),"✗ 日期不是真日期",IF(OR(B798&lt;年初日,B798&gt;年末日),"✗ 日期不在本年度",IF(C798="","✗ 没选供应商",IF(COUNTIF(基础资料!$Q$5:$Q$54,C798)=0,"✗ 供应商不在基础资料里",IF(D798="","✗ 没选商品",IF(COUNTIF(基础资料!$E$5:$E$104,D798)=0,"✗ 商品不在商品档案里",IF(AND(E798="",H798=""),"✗ 没填数量",IF(AND(N(E798)&lt;&gt;0,F798=""),"✗ 没填进价","√")))))))))</f>
      </c>
    </row>
    <row r="799">
      <c r="A799" s="109">
        <f>IF(AND(C799="",D799=""),"",ROW()-3)</f>
      </c>
      <c r="B799" s="140" t="n"/>
      <c r="C799" s="141" t="n"/>
      <c r="D799" s="141" t="n"/>
      <c r="E799" s="148" t="n"/>
      <c r="F799" s="149" t="n"/>
      <c r="G799" s="150">
        <f>IF(AND(E799&lt;&gt;"",F799&lt;&gt;""),E799*F799,"")</f>
      </c>
      <c r="H799" s="148" t="n"/>
      <c r="I799" s="142" t="n"/>
      <c r="J799" s="146">
        <f>IF(AND(B799="",C799="",D799="",E799="",F799="",H799=""),"",IF(NOT(ISNUMBER(B799)),"✗ 日期不是真日期",IF(OR(B799&lt;年初日,B799&gt;年末日),"✗ 日期不在本年度",IF(C799="","✗ 没选供应商",IF(COUNTIF(基础资料!$Q$5:$Q$54,C799)=0,"✗ 供应商不在基础资料里",IF(D799="","✗ 没选商品",IF(COUNTIF(基础资料!$E$5:$E$104,D799)=0,"✗ 商品不在商品档案里",IF(AND(E799="",H799=""),"✗ 没填数量",IF(AND(N(E799)&lt;&gt;0,F799=""),"✗ 没填进价","√")))))))))</f>
      </c>
    </row>
    <row r="800">
      <c r="A800" s="109">
        <f>IF(AND(C800="",D800=""),"",ROW()-3)</f>
      </c>
      <c r="B800" s="140" t="n"/>
      <c r="C800" s="141" t="n"/>
      <c r="D800" s="141" t="n"/>
      <c r="E800" s="148" t="n"/>
      <c r="F800" s="149" t="n"/>
      <c r="G800" s="150">
        <f>IF(AND(E800&lt;&gt;"",F800&lt;&gt;""),E800*F800,"")</f>
      </c>
      <c r="H800" s="148" t="n"/>
      <c r="I800" s="142" t="n"/>
      <c r="J800" s="146">
        <f>IF(AND(B800="",C800="",D800="",E800="",F800="",H800=""),"",IF(NOT(ISNUMBER(B800)),"✗ 日期不是真日期",IF(OR(B800&lt;年初日,B800&gt;年末日),"✗ 日期不在本年度",IF(C800="","✗ 没选供应商",IF(COUNTIF(基础资料!$Q$5:$Q$54,C800)=0,"✗ 供应商不在基础资料里",IF(D800="","✗ 没选商品",IF(COUNTIF(基础资料!$E$5:$E$104,D800)=0,"✗ 商品不在商品档案里",IF(AND(E800="",H800=""),"✗ 没填数量",IF(AND(N(E800)&lt;&gt;0,F800=""),"✗ 没填进价","√")))))))))</f>
      </c>
    </row>
    <row r="801">
      <c r="A801" s="109">
        <f>IF(AND(C801="",D801=""),"",ROW()-3)</f>
      </c>
      <c r="B801" s="140" t="n"/>
      <c r="C801" s="141" t="n"/>
      <c r="D801" s="141" t="n"/>
      <c r="E801" s="148" t="n"/>
      <c r="F801" s="149" t="n"/>
      <c r="G801" s="150">
        <f>IF(AND(E801&lt;&gt;"",F801&lt;&gt;""),E801*F801,"")</f>
      </c>
      <c r="H801" s="148" t="n"/>
      <c r="I801" s="142" t="n"/>
      <c r="J801" s="146">
        <f>IF(AND(B801="",C801="",D801="",E801="",F801="",H801=""),"",IF(NOT(ISNUMBER(B801)),"✗ 日期不是真日期",IF(OR(B801&lt;年初日,B801&gt;年末日),"✗ 日期不在本年度",IF(C801="","✗ 没选供应商",IF(COUNTIF(基础资料!$Q$5:$Q$54,C801)=0,"✗ 供应商不在基础资料里",IF(D801="","✗ 没选商品",IF(COUNTIF(基础资料!$E$5:$E$104,D801)=0,"✗ 商品不在商品档案里",IF(AND(E801="",H801=""),"✗ 没填数量",IF(AND(N(E801)&lt;&gt;0,F801=""),"✗ 没填进价","√")))))))))</f>
      </c>
    </row>
    <row r="802">
      <c r="A802" s="109">
        <f>IF(AND(C802="",D802=""),"",ROW()-3)</f>
      </c>
      <c r="B802" s="140" t="n"/>
      <c r="C802" s="141" t="n"/>
      <c r="D802" s="141" t="n"/>
      <c r="E802" s="148" t="n"/>
      <c r="F802" s="149" t="n"/>
      <c r="G802" s="150">
        <f>IF(AND(E802&lt;&gt;"",F802&lt;&gt;""),E802*F802,"")</f>
      </c>
      <c r="H802" s="148" t="n"/>
      <c r="I802" s="142" t="n"/>
      <c r="J802" s="146">
        <f>IF(AND(B802="",C802="",D802="",E802="",F802="",H802=""),"",IF(NOT(ISNUMBER(B802)),"✗ 日期不是真日期",IF(OR(B802&lt;年初日,B802&gt;年末日),"✗ 日期不在本年度",IF(C802="","✗ 没选供应商",IF(COUNTIF(基础资料!$Q$5:$Q$54,C802)=0,"✗ 供应商不在基础资料里",IF(D802="","✗ 没选商品",IF(COUNTIF(基础资料!$E$5:$E$104,D802)=0,"✗ 商品不在商品档案里",IF(AND(E802="",H802=""),"✗ 没填数量",IF(AND(N(E802)&lt;&gt;0,F802=""),"✗ 没填进价","√")))))))))</f>
      </c>
    </row>
    <row r="803">
      <c r="A803" s="109">
        <f>IF(AND(C803="",D803=""),"",ROW()-3)</f>
      </c>
      <c r="B803" s="140" t="n"/>
      <c r="C803" s="141" t="n"/>
      <c r="D803" s="141" t="n"/>
      <c r="E803" s="148" t="n"/>
      <c r="F803" s="149" t="n"/>
      <c r="G803" s="150">
        <f>IF(AND(E803&lt;&gt;"",F803&lt;&gt;""),E803*F803,"")</f>
      </c>
      <c r="H803" s="148" t="n"/>
      <c r="I803" s="142" t="n"/>
      <c r="J803" s="146">
        <f>IF(AND(B803="",C803="",D803="",E803="",F803="",H803=""),"",IF(NOT(ISNUMBER(B803)),"✗ 日期不是真日期",IF(OR(B803&lt;年初日,B803&gt;年末日),"✗ 日期不在本年度",IF(C803="","✗ 没选供应商",IF(COUNTIF(基础资料!$Q$5:$Q$54,C803)=0,"✗ 供应商不在基础资料里",IF(D803="","✗ 没选商品",IF(COUNTIF(基础资料!$E$5:$E$104,D803)=0,"✗ 商品不在商品档案里",IF(AND(E803="",H803=""),"✗ 没填数量",IF(AND(N(E803)&lt;&gt;0,F803=""),"✗ 没填进价","√")))))))))</f>
      </c>
    </row>
    <row r="804">
      <c r="A804" s="109">
        <f>IF(AND(C804="",D804=""),"",ROW()-3)</f>
      </c>
      <c r="B804" s="140" t="n"/>
      <c r="C804" s="141" t="n"/>
      <c r="D804" s="141" t="n"/>
      <c r="E804" s="148" t="n"/>
      <c r="F804" s="149" t="n"/>
      <c r="G804" s="150">
        <f>IF(AND(E804&lt;&gt;"",F804&lt;&gt;""),E804*F804,"")</f>
      </c>
      <c r="H804" s="148" t="n"/>
      <c r="I804" s="142" t="n"/>
      <c r="J804" s="146">
        <f>IF(AND(B804="",C804="",D804="",E804="",F804="",H804=""),"",IF(NOT(ISNUMBER(B804)),"✗ 日期不是真日期",IF(OR(B804&lt;年初日,B804&gt;年末日),"✗ 日期不在本年度",IF(C804="","✗ 没选供应商",IF(COUNTIF(基础资料!$Q$5:$Q$54,C804)=0,"✗ 供应商不在基础资料里",IF(D804="","✗ 没选商品",IF(COUNTIF(基础资料!$E$5:$E$104,D804)=0,"✗ 商品不在商品档案里",IF(AND(E804="",H804=""),"✗ 没填数量",IF(AND(N(E804)&lt;&gt;0,F804=""),"✗ 没填进价","√")))))))))</f>
      </c>
    </row>
    <row r="805">
      <c r="A805" s="109">
        <f>IF(AND(C805="",D805=""),"",ROW()-3)</f>
      </c>
      <c r="B805" s="140" t="n"/>
      <c r="C805" s="141" t="n"/>
      <c r="D805" s="141" t="n"/>
      <c r="E805" s="148" t="n"/>
      <c r="F805" s="149" t="n"/>
      <c r="G805" s="150">
        <f>IF(AND(E805&lt;&gt;"",F805&lt;&gt;""),E805*F805,"")</f>
      </c>
      <c r="H805" s="148" t="n"/>
      <c r="I805" s="142" t="n"/>
      <c r="J805" s="146">
        <f>IF(AND(B805="",C805="",D805="",E805="",F805="",H805=""),"",IF(NOT(ISNUMBER(B805)),"✗ 日期不是真日期",IF(OR(B805&lt;年初日,B805&gt;年末日),"✗ 日期不在本年度",IF(C805="","✗ 没选供应商",IF(COUNTIF(基础资料!$Q$5:$Q$54,C805)=0,"✗ 供应商不在基础资料里",IF(D805="","✗ 没选商品",IF(COUNTIF(基础资料!$E$5:$E$104,D805)=0,"✗ 商品不在商品档案里",IF(AND(E805="",H805=""),"✗ 没填数量",IF(AND(N(E805)&lt;&gt;0,F805=""),"✗ 没填进价","√")))))))))</f>
      </c>
    </row>
    <row r="806">
      <c r="A806" s="109">
        <f>IF(AND(C806="",D806=""),"",ROW()-3)</f>
      </c>
      <c r="B806" s="140" t="n"/>
      <c r="C806" s="141" t="n"/>
      <c r="D806" s="141" t="n"/>
      <c r="E806" s="148" t="n"/>
      <c r="F806" s="149" t="n"/>
      <c r="G806" s="150">
        <f>IF(AND(E806&lt;&gt;"",F806&lt;&gt;""),E806*F806,"")</f>
      </c>
      <c r="H806" s="148" t="n"/>
      <c r="I806" s="142" t="n"/>
      <c r="J806" s="146">
        <f>IF(AND(B806="",C806="",D806="",E806="",F806="",H806=""),"",IF(NOT(ISNUMBER(B806)),"✗ 日期不是真日期",IF(OR(B806&lt;年初日,B806&gt;年末日),"✗ 日期不在本年度",IF(C806="","✗ 没选供应商",IF(COUNTIF(基础资料!$Q$5:$Q$54,C806)=0,"✗ 供应商不在基础资料里",IF(D806="","✗ 没选商品",IF(COUNTIF(基础资料!$E$5:$E$104,D806)=0,"✗ 商品不在商品档案里",IF(AND(E806="",H806=""),"✗ 没填数量",IF(AND(N(E806)&lt;&gt;0,F806=""),"✗ 没填进价","√")))))))))</f>
      </c>
    </row>
    <row r="807">
      <c r="A807" s="109">
        <f>IF(AND(C807="",D807=""),"",ROW()-3)</f>
      </c>
      <c r="B807" s="140" t="n"/>
      <c r="C807" s="141" t="n"/>
      <c r="D807" s="141" t="n"/>
      <c r="E807" s="148" t="n"/>
      <c r="F807" s="149" t="n"/>
      <c r="G807" s="150">
        <f>IF(AND(E807&lt;&gt;"",F807&lt;&gt;""),E807*F807,"")</f>
      </c>
      <c r="H807" s="148" t="n"/>
      <c r="I807" s="142" t="n"/>
      <c r="J807" s="146">
        <f>IF(AND(B807="",C807="",D807="",E807="",F807="",H807=""),"",IF(NOT(ISNUMBER(B807)),"✗ 日期不是真日期",IF(OR(B807&lt;年初日,B807&gt;年末日),"✗ 日期不在本年度",IF(C807="","✗ 没选供应商",IF(COUNTIF(基础资料!$Q$5:$Q$54,C807)=0,"✗ 供应商不在基础资料里",IF(D807="","✗ 没选商品",IF(COUNTIF(基础资料!$E$5:$E$104,D807)=0,"✗ 商品不在商品档案里",IF(AND(E807="",H807=""),"✗ 没填数量",IF(AND(N(E807)&lt;&gt;0,F807=""),"✗ 没填进价","√")))))))))</f>
      </c>
    </row>
    <row r="808">
      <c r="A808" s="109">
        <f>IF(AND(C808="",D808=""),"",ROW()-3)</f>
      </c>
      <c r="B808" s="140" t="n"/>
      <c r="C808" s="141" t="n"/>
      <c r="D808" s="141" t="n"/>
      <c r="E808" s="148" t="n"/>
      <c r="F808" s="149" t="n"/>
      <c r="G808" s="150">
        <f>IF(AND(E808&lt;&gt;"",F808&lt;&gt;""),E808*F808,"")</f>
      </c>
      <c r="H808" s="148" t="n"/>
      <c r="I808" s="142" t="n"/>
      <c r="J808" s="146">
        <f>IF(AND(B808="",C808="",D808="",E808="",F808="",H808=""),"",IF(NOT(ISNUMBER(B808)),"✗ 日期不是真日期",IF(OR(B808&lt;年初日,B808&gt;年末日),"✗ 日期不在本年度",IF(C808="","✗ 没选供应商",IF(COUNTIF(基础资料!$Q$5:$Q$54,C808)=0,"✗ 供应商不在基础资料里",IF(D808="","✗ 没选商品",IF(COUNTIF(基础资料!$E$5:$E$104,D808)=0,"✗ 商品不在商品档案里",IF(AND(E808="",H808=""),"✗ 没填数量",IF(AND(N(E808)&lt;&gt;0,F808=""),"✗ 没填进价","√")))))))))</f>
      </c>
    </row>
    <row r="809">
      <c r="A809" s="109">
        <f>IF(AND(C809="",D809=""),"",ROW()-3)</f>
      </c>
      <c r="B809" s="140" t="n"/>
      <c r="C809" s="141" t="n"/>
      <c r="D809" s="141" t="n"/>
      <c r="E809" s="148" t="n"/>
      <c r="F809" s="149" t="n"/>
      <c r="G809" s="150">
        <f>IF(AND(E809&lt;&gt;"",F809&lt;&gt;""),E809*F809,"")</f>
      </c>
      <c r="H809" s="148" t="n"/>
      <c r="I809" s="142" t="n"/>
      <c r="J809" s="146">
        <f>IF(AND(B809="",C809="",D809="",E809="",F809="",H809=""),"",IF(NOT(ISNUMBER(B809)),"✗ 日期不是真日期",IF(OR(B809&lt;年初日,B809&gt;年末日),"✗ 日期不在本年度",IF(C809="","✗ 没选供应商",IF(COUNTIF(基础资料!$Q$5:$Q$54,C809)=0,"✗ 供应商不在基础资料里",IF(D809="","✗ 没选商品",IF(COUNTIF(基础资料!$E$5:$E$104,D809)=0,"✗ 商品不在商品档案里",IF(AND(E809="",H809=""),"✗ 没填数量",IF(AND(N(E809)&lt;&gt;0,F809=""),"✗ 没填进价","√")))))))))</f>
      </c>
    </row>
    <row r="810">
      <c r="A810" s="109">
        <f>IF(AND(C810="",D810=""),"",ROW()-3)</f>
      </c>
      <c r="B810" s="140" t="n"/>
      <c r="C810" s="141" t="n"/>
      <c r="D810" s="141" t="n"/>
      <c r="E810" s="148" t="n"/>
      <c r="F810" s="149" t="n"/>
      <c r="G810" s="150">
        <f>IF(AND(E810&lt;&gt;"",F810&lt;&gt;""),E810*F810,"")</f>
      </c>
      <c r="H810" s="148" t="n"/>
      <c r="I810" s="142" t="n"/>
      <c r="J810" s="146">
        <f>IF(AND(B810="",C810="",D810="",E810="",F810="",H810=""),"",IF(NOT(ISNUMBER(B810)),"✗ 日期不是真日期",IF(OR(B810&lt;年初日,B810&gt;年末日),"✗ 日期不在本年度",IF(C810="","✗ 没选供应商",IF(COUNTIF(基础资料!$Q$5:$Q$54,C810)=0,"✗ 供应商不在基础资料里",IF(D810="","✗ 没选商品",IF(COUNTIF(基础资料!$E$5:$E$104,D810)=0,"✗ 商品不在商品档案里",IF(AND(E810="",H810=""),"✗ 没填数量",IF(AND(N(E810)&lt;&gt;0,F810=""),"✗ 没填进价","√")))))))))</f>
      </c>
    </row>
    <row r="811">
      <c r="A811" s="109">
        <f>IF(AND(C811="",D811=""),"",ROW()-3)</f>
      </c>
      <c r="B811" s="140" t="n"/>
      <c r="C811" s="141" t="n"/>
      <c r="D811" s="141" t="n"/>
      <c r="E811" s="148" t="n"/>
      <c r="F811" s="149" t="n"/>
      <c r="G811" s="150">
        <f>IF(AND(E811&lt;&gt;"",F811&lt;&gt;""),E811*F811,"")</f>
      </c>
      <c r="H811" s="148" t="n"/>
      <c r="I811" s="142" t="n"/>
      <c r="J811" s="146">
        <f>IF(AND(B811="",C811="",D811="",E811="",F811="",H811=""),"",IF(NOT(ISNUMBER(B811)),"✗ 日期不是真日期",IF(OR(B811&lt;年初日,B811&gt;年末日),"✗ 日期不在本年度",IF(C811="","✗ 没选供应商",IF(COUNTIF(基础资料!$Q$5:$Q$54,C811)=0,"✗ 供应商不在基础资料里",IF(D811="","✗ 没选商品",IF(COUNTIF(基础资料!$E$5:$E$104,D811)=0,"✗ 商品不在商品档案里",IF(AND(E811="",H811=""),"✗ 没填数量",IF(AND(N(E811)&lt;&gt;0,F811=""),"✗ 没填进价","√")))))))))</f>
      </c>
    </row>
    <row r="812">
      <c r="A812" s="109">
        <f>IF(AND(C812="",D812=""),"",ROW()-3)</f>
      </c>
      <c r="B812" s="140" t="n"/>
      <c r="C812" s="141" t="n"/>
      <c r="D812" s="141" t="n"/>
      <c r="E812" s="148" t="n"/>
      <c r="F812" s="149" t="n"/>
      <c r="G812" s="150">
        <f>IF(AND(E812&lt;&gt;"",F812&lt;&gt;""),E812*F812,"")</f>
      </c>
      <c r="H812" s="148" t="n"/>
      <c r="I812" s="142" t="n"/>
      <c r="J812" s="146">
        <f>IF(AND(B812="",C812="",D812="",E812="",F812="",H812=""),"",IF(NOT(ISNUMBER(B812)),"✗ 日期不是真日期",IF(OR(B812&lt;年初日,B812&gt;年末日),"✗ 日期不在本年度",IF(C812="","✗ 没选供应商",IF(COUNTIF(基础资料!$Q$5:$Q$54,C812)=0,"✗ 供应商不在基础资料里",IF(D812="","✗ 没选商品",IF(COUNTIF(基础资料!$E$5:$E$104,D812)=0,"✗ 商品不在商品档案里",IF(AND(E812="",H812=""),"✗ 没填数量",IF(AND(N(E812)&lt;&gt;0,F812=""),"✗ 没填进价","√")))))))))</f>
      </c>
    </row>
    <row r="813">
      <c r="A813" s="109">
        <f>IF(AND(C813="",D813=""),"",ROW()-3)</f>
      </c>
      <c r="B813" s="140" t="n"/>
      <c r="C813" s="141" t="n"/>
      <c r="D813" s="141" t="n"/>
      <c r="E813" s="148" t="n"/>
      <c r="F813" s="149" t="n"/>
      <c r="G813" s="150">
        <f>IF(AND(E813&lt;&gt;"",F813&lt;&gt;""),E813*F813,"")</f>
      </c>
      <c r="H813" s="148" t="n"/>
      <c r="I813" s="142" t="n"/>
      <c r="J813" s="146">
        <f>IF(AND(B813="",C813="",D813="",E813="",F813="",H813=""),"",IF(NOT(ISNUMBER(B813)),"✗ 日期不是真日期",IF(OR(B813&lt;年初日,B813&gt;年末日),"✗ 日期不在本年度",IF(C813="","✗ 没选供应商",IF(COUNTIF(基础资料!$Q$5:$Q$54,C813)=0,"✗ 供应商不在基础资料里",IF(D813="","✗ 没选商品",IF(COUNTIF(基础资料!$E$5:$E$104,D813)=0,"✗ 商品不在商品档案里",IF(AND(E813="",H813=""),"✗ 没填数量",IF(AND(N(E813)&lt;&gt;0,F813=""),"✗ 没填进价","√")))))))))</f>
      </c>
    </row>
    <row r="814">
      <c r="A814" s="109">
        <f>IF(AND(C814="",D814=""),"",ROW()-3)</f>
      </c>
      <c r="B814" s="140" t="n"/>
      <c r="C814" s="141" t="n"/>
      <c r="D814" s="141" t="n"/>
      <c r="E814" s="148" t="n"/>
      <c r="F814" s="149" t="n"/>
      <c r="G814" s="150">
        <f>IF(AND(E814&lt;&gt;"",F814&lt;&gt;""),E814*F814,"")</f>
      </c>
      <c r="H814" s="148" t="n"/>
      <c r="I814" s="142" t="n"/>
      <c r="J814" s="146">
        <f>IF(AND(B814="",C814="",D814="",E814="",F814="",H814=""),"",IF(NOT(ISNUMBER(B814)),"✗ 日期不是真日期",IF(OR(B814&lt;年初日,B814&gt;年末日),"✗ 日期不在本年度",IF(C814="","✗ 没选供应商",IF(COUNTIF(基础资料!$Q$5:$Q$54,C814)=0,"✗ 供应商不在基础资料里",IF(D814="","✗ 没选商品",IF(COUNTIF(基础资料!$E$5:$E$104,D814)=0,"✗ 商品不在商品档案里",IF(AND(E814="",H814=""),"✗ 没填数量",IF(AND(N(E814)&lt;&gt;0,F814=""),"✗ 没填进价","√")))))))))</f>
      </c>
    </row>
    <row r="815">
      <c r="A815" s="109">
        <f>IF(AND(C815="",D815=""),"",ROW()-3)</f>
      </c>
      <c r="B815" s="140" t="n"/>
      <c r="C815" s="141" t="n"/>
      <c r="D815" s="141" t="n"/>
      <c r="E815" s="148" t="n"/>
      <c r="F815" s="149" t="n"/>
      <c r="G815" s="150">
        <f>IF(AND(E815&lt;&gt;"",F815&lt;&gt;""),E815*F815,"")</f>
      </c>
      <c r="H815" s="148" t="n"/>
      <c r="I815" s="142" t="n"/>
      <c r="J815" s="146">
        <f>IF(AND(B815="",C815="",D815="",E815="",F815="",H815=""),"",IF(NOT(ISNUMBER(B815)),"✗ 日期不是真日期",IF(OR(B815&lt;年初日,B815&gt;年末日),"✗ 日期不在本年度",IF(C815="","✗ 没选供应商",IF(COUNTIF(基础资料!$Q$5:$Q$54,C815)=0,"✗ 供应商不在基础资料里",IF(D815="","✗ 没选商品",IF(COUNTIF(基础资料!$E$5:$E$104,D815)=0,"✗ 商品不在商品档案里",IF(AND(E815="",H815=""),"✗ 没填数量",IF(AND(N(E815)&lt;&gt;0,F815=""),"✗ 没填进价","√")))))))))</f>
      </c>
    </row>
    <row r="816">
      <c r="A816" s="109">
        <f>IF(AND(C816="",D816=""),"",ROW()-3)</f>
      </c>
      <c r="B816" s="140" t="n"/>
      <c r="C816" s="141" t="n"/>
      <c r="D816" s="141" t="n"/>
      <c r="E816" s="148" t="n"/>
      <c r="F816" s="149" t="n"/>
      <c r="G816" s="150">
        <f>IF(AND(E816&lt;&gt;"",F816&lt;&gt;""),E816*F816,"")</f>
      </c>
      <c r="H816" s="148" t="n"/>
      <c r="I816" s="142" t="n"/>
      <c r="J816" s="146">
        <f>IF(AND(B816="",C816="",D816="",E816="",F816="",H816=""),"",IF(NOT(ISNUMBER(B816)),"✗ 日期不是真日期",IF(OR(B816&lt;年初日,B816&gt;年末日),"✗ 日期不在本年度",IF(C816="","✗ 没选供应商",IF(COUNTIF(基础资料!$Q$5:$Q$54,C816)=0,"✗ 供应商不在基础资料里",IF(D816="","✗ 没选商品",IF(COUNTIF(基础资料!$E$5:$E$104,D816)=0,"✗ 商品不在商品档案里",IF(AND(E816="",H816=""),"✗ 没填数量",IF(AND(N(E816)&lt;&gt;0,F816=""),"✗ 没填进价","√")))))))))</f>
      </c>
    </row>
    <row r="817">
      <c r="A817" s="109">
        <f>IF(AND(C817="",D817=""),"",ROW()-3)</f>
      </c>
      <c r="B817" s="140" t="n"/>
      <c r="C817" s="141" t="n"/>
      <c r="D817" s="141" t="n"/>
      <c r="E817" s="148" t="n"/>
      <c r="F817" s="149" t="n"/>
      <c r="G817" s="150">
        <f>IF(AND(E817&lt;&gt;"",F817&lt;&gt;""),E817*F817,"")</f>
      </c>
      <c r="H817" s="148" t="n"/>
      <c r="I817" s="142" t="n"/>
      <c r="J817" s="146">
        <f>IF(AND(B817="",C817="",D817="",E817="",F817="",H817=""),"",IF(NOT(ISNUMBER(B817)),"✗ 日期不是真日期",IF(OR(B817&lt;年初日,B817&gt;年末日),"✗ 日期不在本年度",IF(C817="","✗ 没选供应商",IF(COUNTIF(基础资料!$Q$5:$Q$54,C817)=0,"✗ 供应商不在基础资料里",IF(D817="","✗ 没选商品",IF(COUNTIF(基础资料!$E$5:$E$104,D817)=0,"✗ 商品不在商品档案里",IF(AND(E817="",H817=""),"✗ 没填数量",IF(AND(N(E817)&lt;&gt;0,F817=""),"✗ 没填进价","√")))))))))</f>
      </c>
    </row>
    <row r="818">
      <c r="A818" s="109">
        <f>IF(AND(C818="",D818=""),"",ROW()-3)</f>
      </c>
      <c r="B818" s="140" t="n"/>
      <c r="C818" s="141" t="n"/>
      <c r="D818" s="141" t="n"/>
      <c r="E818" s="148" t="n"/>
      <c r="F818" s="149" t="n"/>
      <c r="G818" s="150">
        <f>IF(AND(E818&lt;&gt;"",F818&lt;&gt;""),E818*F818,"")</f>
      </c>
      <c r="H818" s="148" t="n"/>
      <c r="I818" s="142" t="n"/>
      <c r="J818" s="146">
        <f>IF(AND(B818="",C818="",D818="",E818="",F818="",H818=""),"",IF(NOT(ISNUMBER(B818)),"✗ 日期不是真日期",IF(OR(B818&lt;年初日,B818&gt;年末日),"✗ 日期不在本年度",IF(C818="","✗ 没选供应商",IF(COUNTIF(基础资料!$Q$5:$Q$54,C818)=0,"✗ 供应商不在基础资料里",IF(D818="","✗ 没选商品",IF(COUNTIF(基础资料!$E$5:$E$104,D818)=0,"✗ 商品不在商品档案里",IF(AND(E818="",H818=""),"✗ 没填数量",IF(AND(N(E818)&lt;&gt;0,F818=""),"✗ 没填进价","√")))))))))</f>
      </c>
    </row>
    <row r="819">
      <c r="A819" s="109">
        <f>IF(AND(C819="",D819=""),"",ROW()-3)</f>
      </c>
      <c r="B819" s="140" t="n"/>
      <c r="C819" s="141" t="n"/>
      <c r="D819" s="141" t="n"/>
      <c r="E819" s="148" t="n"/>
      <c r="F819" s="149" t="n"/>
      <c r="G819" s="150">
        <f>IF(AND(E819&lt;&gt;"",F819&lt;&gt;""),E819*F819,"")</f>
      </c>
      <c r="H819" s="148" t="n"/>
      <c r="I819" s="142" t="n"/>
      <c r="J819" s="146">
        <f>IF(AND(B819="",C819="",D819="",E819="",F819="",H819=""),"",IF(NOT(ISNUMBER(B819)),"✗ 日期不是真日期",IF(OR(B819&lt;年初日,B819&gt;年末日),"✗ 日期不在本年度",IF(C819="","✗ 没选供应商",IF(COUNTIF(基础资料!$Q$5:$Q$54,C819)=0,"✗ 供应商不在基础资料里",IF(D819="","✗ 没选商品",IF(COUNTIF(基础资料!$E$5:$E$104,D819)=0,"✗ 商品不在商品档案里",IF(AND(E819="",H819=""),"✗ 没填数量",IF(AND(N(E819)&lt;&gt;0,F819=""),"✗ 没填进价","√")))))))))</f>
      </c>
    </row>
    <row r="820">
      <c r="A820" s="109">
        <f>IF(AND(C820="",D820=""),"",ROW()-3)</f>
      </c>
      <c r="B820" s="140" t="n"/>
      <c r="C820" s="141" t="n"/>
      <c r="D820" s="141" t="n"/>
      <c r="E820" s="148" t="n"/>
      <c r="F820" s="149" t="n"/>
      <c r="G820" s="150">
        <f>IF(AND(E820&lt;&gt;"",F820&lt;&gt;""),E820*F820,"")</f>
      </c>
      <c r="H820" s="148" t="n"/>
      <c r="I820" s="142" t="n"/>
      <c r="J820" s="146">
        <f>IF(AND(B820="",C820="",D820="",E820="",F820="",H820=""),"",IF(NOT(ISNUMBER(B820)),"✗ 日期不是真日期",IF(OR(B820&lt;年初日,B820&gt;年末日),"✗ 日期不在本年度",IF(C820="","✗ 没选供应商",IF(COUNTIF(基础资料!$Q$5:$Q$54,C820)=0,"✗ 供应商不在基础资料里",IF(D820="","✗ 没选商品",IF(COUNTIF(基础资料!$E$5:$E$104,D820)=0,"✗ 商品不在商品档案里",IF(AND(E820="",H820=""),"✗ 没填数量",IF(AND(N(E820)&lt;&gt;0,F820=""),"✗ 没填进价","√")))))))))</f>
      </c>
    </row>
    <row r="821">
      <c r="A821" s="109">
        <f>IF(AND(C821="",D821=""),"",ROW()-3)</f>
      </c>
      <c r="B821" s="140" t="n"/>
      <c r="C821" s="141" t="n"/>
      <c r="D821" s="141" t="n"/>
      <c r="E821" s="148" t="n"/>
      <c r="F821" s="149" t="n"/>
      <c r="G821" s="150">
        <f>IF(AND(E821&lt;&gt;"",F821&lt;&gt;""),E821*F821,"")</f>
      </c>
      <c r="H821" s="148" t="n"/>
      <c r="I821" s="142" t="n"/>
      <c r="J821" s="146">
        <f>IF(AND(B821="",C821="",D821="",E821="",F821="",H821=""),"",IF(NOT(ISNUMBER(B821)),"✗ 日期不是真日期",IF(OR(B821&lt;年初日,B821&gt;年末日),"✗ 日期不在本年度",IF(C821="","✗ 没选供应商",IF(COUNTIF(基础资料!$Q$5:$Q$54,C821)=0,"✗ 供应商不在基础资料里",IF(D821="","✗ 没选商品",IF(COUNTIF(基础资料!$E$5:$E$104,D821)=0,"✗ 商品不在商品档案里",IF(AND(E821="",H821=""),"✗ 没填数量",IF(AND(N(E821)&lt;&gt;0,F821=""),"✗ 没填进价","√")))))))))</f>
      </c>
    </row>
    <row r="822">
      <c r="A822" s="109">
        <f>IF(AND(C822="",D822=""),"",ROW()-3)</f>
      </c>
      <c r="B822" s="140" t="n"/>
      <c r="C822" s="141" t="n"/>
      <c r="D822" s="141" t="n"/>
      <c r="E822" s="148" t="n"/>
      <c r="F822" s="149" t="n"/>
      <c r="G822" s="150">
        <f>IF(AND(E822&lt;&gt;"",F822&lt;&gt;""),E822*F822,"")</f>
      </c>
      <c r="H822" s="148" t="n"/>
      <c r="I822" s="142" t="n"/>
      <c r="J822" s="146">
        <f>IF(AND(B822="",C822="",D822="",E822="",F822="",H822=""),"",IF(NOT(ISNUMBER(B822)),"✗ 日期不是真日期",IF(OR(B822&lt;年初日,B822&gt;年末日),"✗ 日期不在本年度",IF(C822="","✗ 没选供应商",IF(COUNTIF(基础资料!$Q$5:$Q$54,C822)=0,"✗ 供应商不在基础资料里",IF(D822="","✗ 没选商品",IF(COUNTIF(基础资料!$E$5:$E$104,D822)=0,"✗ 商品不在商品档案里",IF(AND(E822="",H822=""),"✗ 没填数量",IF(AND(N(E822)&lt;&gt;0,F822=""),"✗ 没填进价","√")))))))))</f>
      </c>
    </row>
    <row r="823">
      <c r="A823" s="109">
        <f>IF(AND(C823="",D823=""),"",ROW()-3)</f>
      </c>
      <c r="B823" s="140" t="n"/>
      <c r="C823" s="141" t="n"/>
      <c r="D823" s="141" t="n"/>
      <c r="E823" s="148" t="n"/>
      <c r="F823" s="149" t="n"/>
      <c r="G823" s="150">
        <f>IF(AND(E823&lt;&gt;"",F823&lt;&gt;""),E823*F823,"")</f>
      </c>
      <c r="H823" s="148" t="n"/>
      <c r="I823" s="142" t="n"/>
      <c r="J823" s="146">
        <f>IF(AND(B823="",C823="",D823="",E823="",F823="",H823=""),"",IF(NOT(ISNUMBER(B823)),"✗ 日期不是真日期",IF(OR(B823&lt;年初日,B823&gt;年末日),"✗ 日期不在本年度",IF(C823="","✗ 没选供应商",IF(COUNTIF(基础资料!$Q$5:$Q$54,C823)=0,"✗ 供应商不在基础资料里",IF(D823="","✗ 没选商品",IF(COUNTIF(基础资料!$E$5:$E$104,D823)=0,"✗ 商品不在商品档案里",IF(AND(E823="",H823=""),"✗ 没填数量",IF(AND(N(E823)&lt;&gt;0,F823=""),"✗ 没填进价","√")))))))))</f>
      </c>
    </row>
    <row r="824">
      <c r="A824" s="109">
        <f>IF(AND(C824="",D824=""),"",ROW()-3)</f>
      </c>
      <c r="B824" s="140" t="n"/>
      <c r="C824" s="141" t="n"/>
      <c r="D824" s="141" t="n"/>
      <c r="E824" s="148" t="n"/>
      <c r="F824" s="149" t="n"/>
      <c r="G824" s="150">
        <f>IF(AND(E824&lt;&gt;"",F824&lt;&gt;""),E824*F824,"")</f>
      </c>
      <c r="H824" s="148" t="n"/>
      <c r="I824" s="142" t="n"/>
      <c r="J824" s="146">
        <f>IF(AND(B824="",C824="",D824="",E824="",F824="",H824=""),"",IF(NOT(ISNUMBER(B824)),"✗ 日期不是真日期",IF(OR(B824&lt;年初日,B824&gt;年末日),"✗ 日期不在本年度",IF(C824="","✗ 没选供应商",IF(COUNTIF(基础资料!$Q$5:$Q$54,C824)=0,"✗ 供应商不在基础资料里",IF(D824="","✗ 没选商品",IF(COUNTIF(基础资料!$E$5:$E$104,D824)=0,"✗ 商品不在商品档案里",IF(AND(E824="",H824=""),"✗ 没填数量",IF(AND(N(E824)&lt;&gt;0,F824=""),"✗ 没填进价","√")))))))))</f>
      </c>
    </row>
    <row r="825">
      <c r="A825" s="109">
        <f>IF(AND(C825="",D825=""),"",ROW()-3)</f>
      </c>
      <c r="B825" s="140" t="n"/>
      <c r="C825" s="141" t="n"/>
      <c r="D825" s="141" t="n"/>
      <c r="E825" s="148" t="n"/>
      <c r="F825" s="149" t="n"/>
      <c r="G825" s="150">
        <f>IF(AND(E825&lt;&gt;"",F825&lt;&gt;""),E825*F825,"")</f>
      </c>
      <c r="H825" s="148" t="n"/>
      <c r="I825" s="142" t="n"/>
      <c r="J825" s="146">
        <f>IF(AND(B825="",C825="",D825="",E825="",F825="",H825=""),"",IF(NOT(ISNUMBER(B825)),"✗ 日期不是真日期",IF(OR(B825&lt;年初日,B825&gt;年末日),"✗ 日期不在本年度",IF(C825="","✗ 没选供应商",IF(COUNTIF(基础资料!$Q$5:$Q$54,C825)=0,"✗ 供应商不在基础资料里",IF(D825="","✗ 没选商品",IF(COUNTIF(基础资料!$E$5:$E$104,D825)=0,"✗ 商品不在商品档案里",IF(AND(E825="",H825=""),"✗ 没填数量",IF(AND(N(E825)&lt;&gt;0,F825=""),"✗ 没填进价","√")))))))))</f>
      </c>
    </row>
    <row r="826">
      <c r="A826" s="109">
        <f>IF(AND(C826="",D826=""),"",ROW()-3)</f>
      </c>
      <c r="B826" s="140" t="n"/>
      <c r="C826" s="141" t="n"/>
      <c r="D826" s="141" t="n"/>
      <c r="E826" s="148" t="n"/>
      <c r="F826" s="149" t="n"/>
      <c r="G826" s="150">
        <f>IF(AND(E826&lt;&gt;"",F826&lt;&gt;""),E826*F826,"")</f>
      </c>
      <c r="H826" s="148" t="n"/>
      <c r="I826" s="142" t="n"/>
      <c r="J826" s="146">
        <f>IF(AND(B826="",C826="",D826="",E826="",F826="",H826=""),"",IF(NOT(ISNUMBER(B826)),"✗ 日期不是真日期",IF(OR(B826&lt;年初日,B826&gt;年末日),"✗ 日期不在本年度",IF(C826="","✗ 没选供应商",IF(COUNTIF(基础资料!$Q$5:$Q$54,C826)=0,"✗ 供应商不在基础资料里",IF(D826="","✗ 没选商品",IF(COUNTIF(基础资料!$E$5:$E$104,D826)=0,"✗ 商品不在商品档案里",IF(AND(E826="",H826=""),"✗ 没填数量",IF(AND(N(E826)&lt;&gt;0,F826=""),"✗ 没填进价","√")))))))))</f>
      </c>
    </row>
    <row r="827">
      <c r="A827" s="109">
        <f>IF(AND(C827="",D827=""),"",ROW()-3)</f>
      </c>
      <c r="B827" s="140" t="n"/>
      <c r="C827" s="141" t="n"/>
      <c r="D827" s="141" t="n"/>
      <c r="E827" s="148" t="n"/>
      <c r="F827" s="149" t="n"/>
      <c r="G827" s="150">
        <f>IF(AND(E827&lt;&gt;"",F827&lt;&gt;""),E827*F827,"")</f>
      </c>
      <c r="H827" s="148" t="n"/>
      <c r="I827" s="142" t="n"/>
      <c r="J827" s="146">
        <f>IF(AND(B827="",C827="",D827="",E827="",F827="",H827=""),"",IF(NOT(ISNUMBER(B827)),"✗ 日期不是真日期",IF(OR(B827&lt;年初日,B827&gt;年末日),"✗ 日期不在本年度",IF(C827="","✗ 没选供应商",IF(COUNTIF(基础资料!$Q$5:$Q$54,C827)=0,"✗ 供应商不在基础资料里",IF(D827="","✗ 没选商品",IF(COUNTIF(基础资料!$E$5:$E$104,D827)=0,"✗ 商品不在商品档案里",IF(AND(E827="",H827=""),"✗ 没填数量",IF(AND(N(E827)&lt;&gt;0,F827=""),"✗ 没填进价","√")))))))))</f>
      </c>
    </row>
    <row r="828">
      <c r="A828" s="109">
        <f>IF(AND(C828="",D828=""),"",ROW()-3)</f>
      </c>
      <c r="B828" s="140" t="n"/>
      <c r="C828" s="141" t="n"/>
      <c r="D828" s="141" t="n"/>
      <c r="E828" s="148" t="n"/>
      <c r="F828" s="149" t="n"/>
      <c r="G828" s="150">
        <f>IF(AND(E828&lt;&gt;"",F828&lt;&gt;""),E828*F828,"")</f>
      </c>
      <c r="H828" s="148" t="n"/>
      <c r="I828" s="142" t="n"/>
      <c r="J828" s="146">
        <f>IF(AND(B828="",C828="",D828="",E828="",F828="",H828=""),"",IF(NOT(ISNUMBER(B828)),"✗ 日期不是真日期",IF(OR(B828&lt;年初日,B828&gt;年末日),"✗ 日期不在本年度",IF(C828="","✗ 没选供应商",IF(COUNTIF(基础资料!$Q$5:$Q$54,C828)=0,"✗ 供应商不在基础资料里",IF(D828="","✗ 没选商品",IF(COUNTIF(基础资料!$E$5:$E$104,D828)=0,"✗ 商品不在商品档案里",IF(AND(E828="",H828=""),"✗ 没填数量",IF(AND(N(E828)&lt;&gt;0,F828=""),"✗ 没填进价","√")))))))))</f>
      </c>
    </row>
    <row r="829">
      <c r="A829" s="109">
        <f>IF(AND(C829="",D829=""),"",ROW()-3)</f>
      </c>
      <c r="B829" s="140" t="n"/>
      <c r="C829" s="141" t="n"/>
      <c r="D829" s="141" t="n"/>
      <c r="E829" s="148" t="n"/>
      <c r="F829" s="149" t="n"/>
      <c r="G829" s="150">
        <f>IF(AND(E829&lt;&gt;"",F829&lt;&gt;""),E829*F829,"")</f>
      </c>
      <c r="H829" s="148" t="n"/>
      <c r="I829" s="142" t="n"/>
      <c r="J829" s="146">
        <f>IF(AND(B829="",C829="",D829="",E829="",F829="",H829=""),"",IF(NOT(ISNUMBER(B829)),"✗ 日期不是真日期",IF(OR(B829&lt;年初日,B829&gt;年末日),"✗ 日期不在本年度",IF(C829="","✗ 没选供应商",IF(COUNTIF(基础资料!$Q$5:$Q$54,C829)=0,"✗ 供应商不在基础资料里",IF(D829="","✗ 没选商品",IF(COUNTIF(基础资料!$E$5:$E$104,D829)=0,"✗ 商品不在商品档案里",IF(AND(E829="",H829=""),"✗ 没填数量",IF(AND(N(E829)&lt;&gt;0,F829=""),"✗ 没填进价","√")))))))))</f>
      </c>
    </row>
    <row r="830">
      <c r="A830" s="109">
        <f>IF(AND(C830="",D830=""),"",ROW()-3)</f>
      </c>
      <c r="B830" s="140" t="n"/>
      <c r="C830" s="141" t="n"/>
      <c r="D830" s="141" t="n"/>
      <c r="E830" s="148" t="n"/>
      <c r="F830" s="149" t="n"/>
      <c r="G830" s="150">
        <f>IF(AND(E830&lt;&gt;"",F830&lt;&gt;""),E830*F830,"")</f>
      </c>
      <c r="H830" s="148" t="n"/>
      <c r="I830" s="142" t="n"/>
      <c r="J830" s="146">
        <f>IF(AND(B830="",C830="",D830="",E830="",F830="",H830=""),"",IF(NOT(ISNUMBER(B830)),"✗ 日期不是真日期",IF(OR(B830&lt;年初日,B830&gt;年末日),"✗ 日期不在本年度",IF(C830="","✗ 没选供应商",IF(COUNTIF(基础资料!$Q$5:$Q$54,C830)=0,"✗ 供应商不在基础资料里",IF(D830="","✗ 没选商品",IF(COUNTIF(基础资料!$E$5:$E$104,D830)=0,"✗ 商品不在商品档案里",IF(AND(E830="",H830=""),"✗ 没填数量",IF(AND(N(E830)&lt;&gt;0,F830=""),"✗ 没填进价","√")))))))))</f>
      </c>
    </row>
    <row r="831">
      <c r="A831" s="109">
        <f>IF(AND(C831="",D831=""),"",ROW()-3)</f>
      </c>
      <c r="B831" s="140" t="n"/>
      <c r="C831" s="141" t="n"/>
      <c r="D831" s="141" t="n"/>
      <c r="E831" s="148" t="n"/>
      <c r="F831" s="149" t="n"/>
      <c r="G831" s="150">
        <f>IF(AND(E831&lt;&gt;"",F831&lt;&gt;""),E831*F831,"")</f>
      </c>
      <c r="H831" s="148" t="n"/>
      <c r="I831" s="142" t="n"/>
      <c r="J831" s="146">
        <f>IF(AND(B831="",C831="",D831="",E831="",F831="",H831=""),"",IF(NOT(ISNUMBER(B831)),"✗ 日期不是真日期",IF(OR(B831&lt;年初日,B831&gt;年末日),"✗ 日期不在本年度",IF(C831="","✗ 没选供应商",IF(COUNTIF(基础资料!$Q$5:$Q$54,C831)=0,"✗ 供应商不在基础资料里",IF(D831="","✗ 没选商品",IF(COUNTIF(基础资料!$E$5:$E$104,D831)=0,"✗ 商品不在商品档案里",IF(AND(E831="",H831=""),"✗ 没填数量",IF(AND(N(E831)&lt;&gt;0,F831=""),"✗ 没填进价","√")))))))))</f>
      </c>
    </row>
    <row r="832">
      <c r="A832" s="109">
        <f>IF(AND(C832="",D832=""),"",ROW()-3)</f>
      </c>
      <c r="B832" s="140" t="n"/>
      <c r="C832" s="141" t="n"/>
      <c r="D832" s="141" t="n"/>
      <c r="E832" s="148" t="n"/>
      <c r="F832" s="149" t="n"/>
      <c r="G832" s="150">
        <f>IF(AND(E832&lt;&gt;"",F832&lt;&gt;""),E832*F832,"")</f>
      </c>
      <c r="H832" s="148" t="n"/>
      <c r="I832" s="142" t="n"/>
      <c r="J832" s="146">
        <f>IF(AND(B832="",C832="",D832="",E832="",F832="",H832=""),"",IF(NOT(ISNUMBER(B832)),"✗ 日期不是真日期",IF(OR(B832&lt;年初日,B832&gt;年末日),"✗ 日期不在本年度",IF(C832="","✗ 没选供应商",IF(COUNTIF(基础资料!$Q$5:$Q$54,C832)=0,"✗ 供应商不在基础资料里",IF(D832="","✗ 没选商品",IF(COUNTIF(基础资料!$E$5:$E$104,D832)=0,"✗ 商品不在商品档案里",IF(AND(E832="",H832=""),"✗ 没填数量",IF(AND(N(E832)&lt;&gt;0,F832=""),"✗ 没填进价","√")))))))))</f>
      </c>
    </row>
    <row r="833">
      <c r="A833" s="109">
        <f>IF(AND(C833="",D833=""),"",ROW()-3)</f>
      </c>
      <c r="B833" s="140" t="n"/>
      <c r="C833" s="141" t="n"/>
      <c r="D833" s="141" t="n"/>
      <c r="E833" s="148" t="n"/>
      <c r="F833" s="149" t="n"/>
      <c r="G833" s="150">
        <f>IF(AND(E833&lt;&gt;"",F833&lt;&gt;""),E833*F833,"")</f>
      </c>
      <c r="H833" s="148" t="n"/>
      <c r="I833" s="142" t="n"/>
      <c r="J833" s="146">
        <f>IF(AND(B833="",C833="",D833="",E833="",F833="",H833=""),"",IF(NOT(ISNUMBER(B833)),"✗ 日期不是真日期",IF(OR(B833&lt;年初日,B833&gt;年末日),"✗ 日期不在本年度",IF(C833="","✗ 没选供应商",IF(COUNTIF(基础资料!$Q$5:$Q$54,C833)=0,"✗ 供应商不在基础资料里",IF(D833="","✗ 没选商品",IF(COUNTIF(基础资料!$E$5:$E$104,D833)=0,"✗ 商品不在商品档案里",IF(AND(E833="",H833=""),"✗ 没填数量",IF(AND(N(E833)&lt;&gt;0,F833=""),"✗ 没填进价","√")))))))))</f>
      </c>
    </row>
    <row r="834">
      <c r="A834" s="109">
        <f>IF(AND(C834="",D834=""),"",ROW()-3)</f>
      </c>
      <c r="B834" s="140" t="n"/>
      <c r="C834" s="141" t="n"/>
      <c r="D834" s="141" t="n"/>
      <c r="E834" s="148" t="n"/>
      <c r="F834" s="149" t="n"/>
      <c r="G834" s="150">
        <f>IF(AND(E834&lt;&gt;"",F834&lt;&gt;""),E834*F834,"")</f>
      </c>
      <c r="H834" s="148" t="n"/>
      <c r="I834" s="142" t="n"/>
      <c r="J834" s="146">
        <f>IF(AND(B834="",C834="",D834="",E834="",F834="",H834=""),"",IF(NOT(ISNUMBER(B834)),"✗ 日期不是真日期",IF(OR(B834&lt;年初日,B834&gt;年末日),"✗ 日期不在本年度",IF(C834="","✗ 没选供应商",IF(COUNTIF(基础资料!$Q$5:$Q$54,C834)=0,"✗ 供应商不在基础资料里",IF(D834="","✗ 没选商品",IF(COUNTIF(基础资料!$E$5:$E$104,D834)=0,"✗ 商品不在商品档案里",IF(AND(E834="",H834=""),"✗ 没填数量",IF(AND(N(E834)&lt;&gt;0,F834=""),"✗ 没填进价","√")))))))))</f>
      </c>
    </row>
    <row r="835">
      <c r="A835" s="109">
        <f>IF(AND(C835="",D835=""),"",ROW()-3)</f>
      </c>
      <c r="B835" s="140" t="n"/>
      <c r="C835" s="141" t="n"/>
      <c r="D835" s="141" t="n"/>
      <c r="E835" s="148" t="n"/>
      <c r="F835" s="149" t="n"/>
      <c r="G835" s="150">
        <f>IF(AND(E835&lt;&gt;"",F835&lt;&gt;""),E835*F835,"")</f>
      </c>
      <c r="H835" s="148" t="n"/>
      <c r="I835" s="142" t="n"/>
      <c r="J835" s="146">
        <f>IF(AND(B835="",C835="",D835="",E835="",F835="",H835=""),"",IF(NOT(ISNUMBER(B835)),"✗ 日期不是真日期",IF(OR(B835&lt;年初日,B835&gt;年末日),"✗ 日期不在本年度",IF(C835="","✗ 没选供应商",IF(COUNTIF(基础资料!$Q$5:$Q$54,C835)=0,"✗ 供应商不在基础资料里",IF(D835="","✗ 没选商品",IF(COUNTIF(基础资料!$E$5:$E$104,D835)=0,"✗ 商品不在商品档案里",IF(AND(E835="",H835=""),"✗ 没填数量",IF(AND(N(E835)&lt;&gt;0,F835=""),"✗ 没填进价","√")))))))))</f>
      </c>
    </row>
    <row r="836">
      <c r="A836" s="109">
        <f>IF(AND(C836="",D836=""),"",ROW()-3)</f>
      </c>
      <c r="B836" s="140" t="n"/>
      <c r="C836" s="141" t="n"/>
      <c r="D836" s="141" t="n"/>
      <c r="E836" s="148" t="n"/>
      <c r="F836" s="149" t="n"/>
      <c r="G836" s="150">
        <f>IF(AND(E836&lt;&gt;"",F836&lt;&gt;""),E836*F836,"")</f>
      </c>
      <c r="H836" s="148" t="n"/>
      <c r="I836" s="142" t="n"/>
      <c r="J836" s="146">
        <f>IF(AND(B836="",C836="",D836="",E836="",F836="",H836=""),"",IF(NOT(ISNUMBER(B836)),"✗ 日期不是真日期",IF(OR(B836&lt;年初日,B836&gt;年末日),"✗ 日期不在本年度",IF(C836="","✗ 没选供应商",IF(COUNTIF(基础资料!$Q$5:$Q$54,C836)=0,"✗ 供应商不在基础资料里",IF(D836="","✗ 没选商品",IF(COUNTIF(基础资料!$E$5:$E$104,D836)=0,"✗ 商品不在商品档案里",IF(AND(E836="",H836=""),"✗ 没填数量",IF(AND(N(E836)&lt;&gt;0,F836=""),"✗ 没填进价","√")))))))))</f>
      </c>
    </row>
    <row r="837">
      <c r="A837" s="109">
        <f>IF(AND(C837="",D837=""),"",ROW()-3)</f>
      </c>
      <c r="B837" s="140" t="n"/>
      <c r="C837" s="141" t="n"/>
      <c r="D837" s="141" t="n"/>
      <c r="E837" s="148" t="n"/>
      <c r="F837" s="149" t="n"/>
      <c r="G837" s="150">
        <f>IF(AND(E837&lt;&gt;"",F837&lt;&gt;""),E837*F837,"")</f>
      </c>
      <c r="H837" s="148" t="n"/>
      <c r="I837" s="142" t="n"/>
      <c r="J837" s="146">
        <f>IF(AND(B837="",C837="",D837="",E837="",F837="",H837=""),"",IF(NOT(ISNUMBER(B837)),"✗ 日期不是真日期",IF(OR(B837&lt;年初日,B837&gt;年末日),"✗ 日期不在本年度",IF(C837="","✗ 没选供应商",IF(COUNTIF(基础资料!$Q$5:$Q$54,C837)=0,"✗ 供应商不在基础资料里",IF(D837="","✗ 没选商品",IF(COUNTIF(基础资料!$E$5:$E$104,D837)=0,"✗ 商品不在商品档案里",IF(AND(E837="",H837=""),"✗ 没填数量",IF(AND(N(E837)&lt;&gt;0,F837=""),"✗ 没填进价","√")))))))))</f>
      </c>
    </row>
    <row r="838">
      <c r="A838" s="109">
        <f>IF(AND(C838="",D838=""),"",ROW()-3)</f>
      </c>
      <c r="B838" s="140" t="n"/>
      <c r="C838" s="141" t="n"/>
      <c r="D838" s="141" t="n"/>
      <c r="E838" s="148" t="n"/>
      <c r="F838" s="149" t="n"/>
      <c r="G838" s="150">
        <f>IF(AND(E838&lt;&gt;"",F838&lt;&gt;""),E838*F838,"")</f>
      </c>
      <c r="H838" s="148" t="n"/>
      <c r="I838" s="142" t="n"/>
      <c r="J838" s="146">
        <f>IF(AND(B838="",C838="",D838="",E838="",F838="",H838=""),"",IF(NOT(ISNUMBER(B838)),"✗ 日期不是真日期",IF(OR(B838&lt;年初日,B838&gt;年末日),"✗ 日期不在本年度",IF(C838="","✗ 没选供应商",IF(COUNTIF(基础资料!$Q$5:$Q$54,C838)=0,"✗ 供应商不在基础资料里",IF(D838="","✗ 没选商品",IF(COUNTIF(基础资料!$E$5:$E$104,D838)=0,"✗ 商品不在商品档案里",IF(AND(E838="",H838=""),"✗ 没填数量",IF(AND(N(E838)&lt;&gt;0,F838=""),"✗ 没填进价","√")))))))))</f>
      </c>
    </row>
    <row r="839">
      <c r="A839" s="109">
        <f>IF(AND(C839="",D839=""),"",ROW()-3)</f>
      </c>
      <c r="B839" s="140" t="n"/>
      <c r="C839" s="141" t="n"/>
      <c r="D839" s="141" t="n"/>
      <c r="E839" s="148" t="n"/>
      <c r="F839" s="149" t="n"/>
      <c r="G839" s="150">
        <f>IF(AND(E839&lt;&gt;"",F839&lt;&gt;""),E839*F839,"")</f>
      </c>
      <c r="H839" s="148" t="n"/>
      <c r="I839" s="142" t="n"/>
      <c r="J839" s="146">
        <f>IF(AND(B839="",C839="",D839="",E839="",F839="",H839=""),"",IF(NOT(ISNUMBER(B839)),"✗ 日期不是真日期",IF(OR(B839&lt;年初日,B839&gt;年末日),"✗ 日期不在本年度",IF(C839="","✗ 没选供应商",IF(COUNTIF(基础资料!$Q$5:$Q$54,C839)=0,"✗ 供应商不在基础资料里",IF(D839="","✗ 没选商品",IF(COUNTIF(基础资料!$E$5:$E$104,D839)=0,"✗ 商品不在商品档案里",IF(AND(E839="",H839=""),"✗ 没填数量",IF(AND(N(E839)&lt;&gt;0,F839=""),"✗ 没填进价","√")))))))))</f>
      </c>
    </row>
    <row r="840">
      <c r="A840" s="109">
        <f>IF(AND(C840="",D840=""),"",ROW()-3)</f>
      </c>
      <c r="B840" s="140" t="n"/>
      <c r="C840" s="141" t="n"/>
      <c r="D840" s="141" t="n"/>
      <c r="E840" s="148" t="n"/>
      <c r="F840" s="149" t="n"/>
      <c r="G840" s="150">
        <f>IF(AND(E840&lt;&gt;"",F840&lt;&gt;""),E840*F840,"")</f>
      </c>
      <c r="H840" s="148" t="n"/>
      <c r="I840" s="142" t="n"/>
      <c r="J840" s="146">
        <f>IF(AND(B840="",C840="",D840="",E840="",F840="",H840=""),"",IF(NOT(ISNUMBER(B840)),"✗ 日期不是真日期",IF(OR(B840&lt;年初日,B840&gt;年末日),"✗ 日期不在本年度",IF(C840="","✗ 没选供应商",IF(COUNTIF(基础资料!$Q$5:$Q$54,C840)=0,"✗ 供应商不在基础资料里",IF(D840="","✗ 没选商品",IF(COUNTIF(基础资料!$E$5:$E$104,D840)=0,"✗ 商品不在商品档案里",IF(AND(E840="",H840=""),"✗ 没填数量",IF(AND(N(E840)&lt;&gt;0,F840=""),"✗ 没填进价","√")))))))))</f>
      </c>
    </row>
    <row r="841">
      <c r="A841" s="109">
        <f>IF(AND(C841="",D841=""),"",ROW()-3)</f>
      </c>
      <c r="B841" s="140" t="n"/>
      <c r="C841" s="141" t="n"/>
      <c r="D841" s="141" t="n"/>
      <c r="E841" s="148" t="n"/>
      <c r="F841" s="149" t="n"/>
      <c r="G841" s="150">
        <f>IF(AND(E841&lt;&gt;"",F841&lt;&gt;""),E841*F841,"")</f>
      </c>
      <c r="H841" s="148" t="n"/>
      <c r="I841" s="142" t="n"/>
      <c r="J841" s="146">
        <f>IF(AND(B841="",C841="",D841="",E841="",F841="",H841=""),"",IF(NOT(ISNUMBER(B841)),"✗ 日期不是真日期",IF(OR(B841&lt;年初日,B841&gt;年末日),"✗ 日期不在本年度",IF(C841="","✗ 没选供应商",IF(COUNTIF(基础资料!$Q$5:$Q$54,C841)=0,"✗ 供应商不在基础资料里",IF(D841="","✗ 没选商品",IF(COUNTIF(基础资料!$E$5:$E$104,D841)=0,"✗ 商品不在商品档案里",IF(AND(E841="",H841=""),"✗ 没填数量",IF(AND(N(E841)&lt;&gt;0,F841=""),"✗ 没填进价","√")))))))))</f>
      </c>
    </row>
    <row r="842">
      <c r="A842" s="109">
        <f>IF(AND(C842="",D842=""),"",ROW()-3)</f>
      </c>
      <c r="B842" s="140" t="n"/>
      <c r="C842" s="141" t="n"/>
      <c r="D842" s="141" t="n"/>
      <c r="E842" s="148" t="n"/>
      <c r="F842" s="149" t="n"/>
      <c r="G842" s="150">
        <f>IF(AND(E842&lt;&gt;"",F842&lt;&gt;""),E842*F842,"")</f>
      </c>
      <c r="H842" s="148" t="n"/>
      <c r="I842" s="142" t="n"/>
      <c r="J842" s="146">
        <f>IF(AND(B842="",C842="",D842="",E842="",F842="",H842=""),"",IF(NOT(ISNUMBER(B842)),"✗ 日期不是真日期",IF(OR(B842&lt;年初日,B842&gt;年末日),"✗ 日期不在本年度",IF(C842="","✗ 没选供应商",IF(COUNTIF(基础资料!$Q$5:$Q$54,C842)=0,"✗ 供应商不在基础资料里",IF(D842="","✗ 没选商品",IF(COUNTIF(基础资料!$E$5:$E$104,D842)=0,"✗ 商品不在商品档案里",IF(AND(E842="",H842=""),"✗ 没填数量",IF(AND(N(E842)&lt;&gt;0,F842=""),"✗ 没填进价","√")))))))))</f>
      </c>
    </row>
    <row r="843">
      <c r="A843" s="109">
        <f>IF(AND(C843="",D843=""),"",ROW()-3)</f>
      </c>
      <c r="B843" s="140" t="n"/>
      <c r="C843" s="141" t="n"/>
      <c r="D843" s="141" t="n"/>
      <c r="E843" s="148" t="n"/>
      <c r="F843" s="149" t="n"/>
      <c r="G843" s="150">
        <f>IF(AND(E843&lt;&gt;"",F843&lt;&gt;""),E843*F843,"")</f>
      </c>
      <c r="H843" s="148" t="n"/>
      <c r="I843" s="142" t="n"/>
      <c r="J843" s="146">
        <f>IF(AND(B843="",C843="",D843="",E843="",F843="",H843=""),"",IF(NOT(ISNUMBER(B843)),"✗ 日期不是真日期",IF(OR(B843&lt;年初日,B843&gt;年末日),"✗ 日期不在本年度",IF(C843="","✗ 没选供应商",IF(COUNTIF(基础资料!$Q$5:$Q$54,C843)=0,"✗ 供应商不在基础资料里",IF(D843="","✗ 没选商品",IF(COUNTIF(基础资料!$E$5:$E$104,D843)=0,"✗ 商品不在商品档案里",IF(AND(E843="",H843=""),"✗ 没填数量",IF(AND(N(E843)&lt;&gt;0,F843=""),"✗ 没填进价","√")))))))))</f>
      </c>
    </row>
    <row r="844">
      <c r="A844" s="109">
        <f>IF(AND(C844="",D844=""),"",ROW()-3)</f>
      </c>
      <c r="B844" s="140" t="n"/>
      <c r="C844" s="141" t="n"/>
      <c r="D844" s="141" t="n"/>
      <c r="E844" s="148" t="n"/>
      <c r="F844" s="149" t="n"/>
      <c r="G844" s="150">
        <f>IF(AND(E844&lt;&gt;"",F844&lt;&gt;""),E844*F844,"")</f>
      </c>
      <c r="H844" s="148" t="n"/>
      <c r="I844" s="142" t="n"/>
      <c r="J844" s="146">
        <f>IF(AND(B844="",C844="",D844="",E844="",F844="",H844=""),"",IF(NOT(ISNUMBER(B844)),"✗ 日期不是真日期",IF(OR(B844&lt;年初日,B844&gt;年末日),"✗ 日期不在本年度",IF(C844="","✗ 没选供应商",IF(COUNTIF(基础资料!$Q$5:$Q$54,C844)=0,"✗ 供应商不在基础资料里",IF(D844="","✗ 没选商品",IF(COUNTIF(基础资料!$E$5:$E$104,D844)=0,"✗ 商品不在商品档案里",IF(AND(E844="",H844=""),"✗ 没填数量",IF(AND(N(E844)&lt;&gt;0,F844=""),"✗ 没填进价","√")))))))))</f>
      </c>
    </row>
    <row r="845">
      <c r="A845" s="109">
        <f>IF(AND(C845="",D845=""),"",ROW()-3)</f>
      </c>
      <c r="B845" s="140" t="n"/>
      <c r="C845" s="141" t="n"/>
      <c r="D845" s="141" t="n"/>
      <c r="E845" s="148" t="n"/>
      <c r="F845" s="149" t="n"/>
      <c r="G845" s="150">
        <f>IF(AND(E845&lt;&gt;"",F845&lt;&gt;""),E845*F845,"")</f>
      </c>
      <c r="H845" s="148" t="n"/>
      <c r="I845" s="142" t="n"/>
      <c r="J845" s="146">
        <f>IF(AND(B845="",C845="",D845="",E845="",F845="",H845=""),"",IF(NOT(ISNUMBER(B845)),"✗ 日期不是真日期",IF(OR(B845&lt;年初日,B845&gt;年末日),"✗ 日期不在本年度",IF(C845="","✗ 没选供应商",IF(COUNTIF(基础资料!$Q$5:$Q$54,C845)=0,"✗ 供应商不在基础资料里",IF(D845="","✗ 没选商品",IF(COUNTIF(基础资料!$E$5:$E$104,D845)=0,"✗ 商品不在商品档案里",IF(AND(E845="",H845=""),"✗ 没填数量",IF(AND(N(E845)&lt;&gt;0,F845=""),"✗ 没填进价","√")))))))))</f>
      </c>
    </row>
    <row r="846">
      <c r="A846" s="109">
        <f>IF(AND(C846="",D846=""),"",ROW()-3)</f>
      </c>
      <c r="B846" s="140" t="n"/>
      <c r="C846" s="141" t="n"/>
      <c r="D846" s="141" t="n"/>
      <c r="E846" s="148" t="n"/>
      <c r="F846" s="149" t="n"/>
      <c r="G846" s="150">
        <f>IF(AND(E846&lt;&gt;"",F846&lt;&gt;""),E846*F846,"")</f>
      </c>
      <c r="H846" s="148" t="n"/>
      <c r="I846" s="142" t="n"/>
      <c r="J846" s="146">
        <f>IF(AND(B846="",C846="",D846="",E846="",F846="",H846=""),"",IF(NOT(ISNUMBER(B846)),"✗ 日期不是真日期",IF(OR(B846&lt;年初日,B846&gt;年末日),"✗ 日期不在本年度",IF(C846="","✗ 没选供应商",IF(COUNTIF(基础资料!$Q$5:$Q$54,C846)=0,"✗ 供应商不在基础资料里",IF(D846="","✗ 没选商品",IF(COUNTIF(基础资料!$E$5:$E$104,D846)=0,"✗ 商品不在商品档案里",IF(AND(E846="",H846=""),"✗ 没填数量",IF(AND(N(E846)&lt;&gt;0,F846=""),"✗ 没填进价","√")))))))))</f>
      </c>
    </row>
    <row r="847">
      <c r="A847" s="109">
        <f>IF(AND(C847="",D847=""),"",ROW()-3)</f>
      </c>
      <c r="B847" s="140" t="n"/>
      <c r="C847" s="141" t="n"/>
      <c r="D847" s="141" t="n"/>
      <c r="E847" s="148" t="n"/>
      <c r="F847" s="149" t="n"/>
      <c r="G847" s="150">
        <f>IF(AND(E847&lt;&gt;"",F847&lt;&gt;""),E847*F847,"")</f>
      </c>
      <c r="H847" s="148" t="n"/>
      <c r="I847" s="142" t="n"/>
      <c r="J847" s="146">
        <f>IF(AND(B847="",C847="",D847="",E847="",F847="",H847=""),"",IF(NOT(ISNUMBER(B847)),"✗ 日期不是真日期",IF(OR(B847&lt;年初日,B847&gt;年末日),"✗ 日期不在本年度",IF(C847="","✗ 没选供应商",IF(COUNTIF(基础资料!$Q$5:$Q$54,C847)=0,"✗ 供应商不在基础资料里",IF(D847="","✗ 没选商品",IF(COUNTIF(基础资料!$E$5:$E$104,D847)=0,"✗ 商品不在商品档案里",IF(AND(E847="",H847=""),"✗ 没填数量",IF(AND(N(E847)&lt;&gt;0,F847=""),"✗ 没填进价","√")))))))))</f>
      </c>
    </row>
    <row r="848">
      <c r="A848" s="109">
        <f>IF(AND(C848="",D848=""),"",ROW()-3)</f>
      </c>
      <c r="B848" s="140" t="n"/>
      <c r="C848" s="141" t="n"/>
      <c r="D848" s="141" t="n"/>
      <c r="E848" s="148" t="n"/>
      <c r="F848" s="149" t="n"/>
      <c r="G848" s="150">
        <f>IF(AND(E848&lt;&gt;"",F848&lt;&gt;""),E848*F848,"")</f>
      </c>
      <c r="H848" s="148" t="n"/>
      <c r="I848" s="142" t="n"/>
      <c r="J848" s="146">
        <f>IF(AND(B848="",C848="",D848="",E848="",F848="",H848=""),"",IF(NOT(ISNUMBER(B848)),"✗ 日期不是真日期",IF(OR(B848&lt;年初日,B848&gt;年末日),"✗ 日期不在本年度",IF(C848="","✗ 没选供应商",IF(COUNTIF(基础资料!$Q$5:$Q$54,C848)=0,"✗ 供应商不在基础资料里",IF(D848="","✗ 没选商品",IF(COUNTIF(基础资料!$E$5:$E$104,D848)=0,"✗ 商品不在商品档案里",IF(AND(E848="",H848=""),"✗ 没填数量",IF(AND(N(E848)&lt;&gt;0,F848=""),"✗ 没填进价","√")))))))))</f>
      </c>
    </row>
    <row r="849">
      <c r="A849" s="109">
        <f>IF(AND(C849="",D849=""),"",ROW()-3)</f>
      </c>
      <c r="B849" s="140" t="n"/>
      <c r="C849" s="141" t="n"/>
      <c r="D849" s="141" t="n"/>
      <c r="E849" s="148" t="n"/>
      <c r="F849" s="149" t="n"/>
      <c r="G849" s="150">
        <f>IF(AND(E849&lt;&gt;"",F849&lt;&gt;""),E849*F849,"")</f>
      </c>
      <c r="H849" s="148" t="n"/>
      <c r="I849" s="142" t="n"/>
      <c r="J849" s="146">
        <f>IF(AND(B849="",C849="",D849="",E849="",F849="",H849=""),"",IF(NOT(ISNUMBER(B849)),"✗ 日期不是真日期",IF(OR(B849&lt;年初日,B849&gt;年末日),"✗ 日期不在本年度",IF(C849="","✗ 没选供应商",IF(COUNTIF(基础资料!$Q$5:$Q$54,C849)=0,"✗ 供应商不在基础资料里",IF(D849="","✗ 没选商品",IF(COUNTIF(基础资料!$E$5:$E$104,D849)=0,"✗ 商品不在商品档案里",IF(AND(E849="",H849=""),"✗ 没填数量",IF(AND(N(E849)&lt;&gt;0,F849=""),"✗ 没填进价","√")))))))))</f>
      </c>
    </row>
    <row r="850">
      <c r="A850" s="109">
        <f>IF(AND(C850="",D850=""),"",ROW()-3)</f>
      </c>
      <c r="B850" s="140" t="n"/>
      <c r="C850" s="141" t="n"/>
      <c r="D850" s="141" t="n"/>
      <c r="E850" s="148" t="n"/>
      <c r="F850" s="149" t="n"/>
      <c r="G850" s="150">
        <f>IF(AND(E850&lt;&gt;"",F850&lt;&gt;""),E850*F850,"")</f>
      </c>
      <c r="H850" s="148" t="n"/>
      <c r="I850" s="142" t="n"/>
      <c r="J850" s="146">
        <f>IF(AND(B850="",C850="",D850="",E850="",F850="",H850=""),"",IF(NOT(ISNUMBER(B850)),"✗ 日期不是真日期",IF(OR(B850&lt;年初日,B850&gt;年末日),"✗ 日期不在本年度",IF(C850="","✗ 没选供应商",IF(COUNTIF(基础资料!$Q$5:$Q$54,C850)=0,"✗ 供应商不在基础资料里",IF(D850="","✗ 没选商品",IF(COUNTIF(基础资料!$E$5:$E$104,D850)=0,"✗ 商品不在商品档案里",IF(AND(E850="",H850=""),"✗ 没填数量",IF(AND(N(E850)&lt;&gt;0,F850=""),"✗ 没填进价","√")))))))))</f>
      </c>
    </row>
    <row r="851">
      <c r="A851" s="109">
        <f>IF(AND(C851="",D851=""),"",ROW()-3)</f>
      </c>
      <c r="B851" s="140" t="n"/>
      <c r="C851" s="141" t="n"/>
      <c r="D851" s="141" t="n"/>
      <c r="E851" s="148" t="n"/>
      <c r="F851" s="149" t="n"/>
      <c r="G851" s="150">
        <f>IF(AND(E851&lt;&gt;"",F851&lt;&gt;""),E851*F851,"")</f>
      </c>
      <c r="H851" s="148" t="n"/>
      <c r="I851" s="142" t="n"/>
      <c r="J851" s="146">
        <f>IF(AND(B851="",C851="",D851="",E851="",F851="",H851=""),"",IF(NOT(ISNUMBER(B851)),"✗ 日期不是真日期",IF(OR(B851&lt;年初日,B851&gt;年末日),"✗ 日期不在本年度",IF(C851="","✗ 没选供应商",IF(COUNTIF(基础资料!$Q$5:$Q$54,C851)=0,"✗ 供应商不在基础资料里",IF(D851="","✗ 没选商品",IF(COUNTIF(基础资料!$E$5:$E$104,D851)=0,"✗ 商品不在商品档案里",IF(AND(E851="",H851=""),"✗ 没填数量",IF(AND(N(E851)&lt;&gt;0,F851=""),"✗ 没填进价","√")))))))))</f>
      </c>
    </row>
    <row r="852">
      <c r="A852" s="109">
        <f>IF(AND(C852="",D852=""),"",ROW()-3)</f>
      </c>
      <c r="B852" s="140" t="n"/>
      <c r="C852" s="141" t="n"/>
      <c r="D852" s="141" t="n"/>
      <c r="E852" s="148" t="n"/>
      <c r="F852" s="149" t="n"/>
      <c r="G852" s="150">
        <f>IF(AND(E852&lt;&gt;"",F852&lt;&gt;""),E852*F852,"")</f>
      </c>
      <c r="H852" s="148" t="n"/>
      <c r="I852" s="142" t="n"/>
      <c r="J852" s="146">
        <f>IF(AND(B852="",C852="",D852="",E852="",F852="",H852=""),"",IF(NOT(ISNUMBER(B852)),"✗ 日期不是真日期",IF(OR(B852&lt;年初日,B852&gt;年末日),"✗ 日期不在本年度",IF(C852="","✗ 没选供应商",IF(COUNTIF(基础资料!$Q$5:$Q$54,C852)=0,"✗ 供应商不在基础资料里",IF(D852="","✗ 没选商品",IF(COUNTIF(基础资料!$E$5:$E$104,D852)=0,"✗ 商品不在商品档案里",IF(AND(E852="",H852=""),"✗ 没填数量",IF(AND(N(E852)&lt;&gt;0,F852=""),"✗ 没填进价","√")))))))))</f>
      </c>
    </row>
    <row r="853">
      <c r="A853" s="109">
        <f>IF(AND(C853="",D853=""),"",ROW()-3)</f>
      </c>
      <c r="B853" s="140" t="n"/>
      <c r="C853" s="141" t="n"/>
      <c r="D853" s="141" t="n"/>
      <c r="E853" s="148" t="n"/>
      <c r="F853" s="149" t="n"/>
      <c r="G853" s="150">
        <f>IF(AND(E853&lt;&gt;"",F853&lt;&gt;""),E853*F853,"")</f>
      </c>
      <c r="H853" s="148" t="n"/>
      <c r="I853" s="142" t="n"/>
      <c r="J853" s="146">
        <f>IF(AND(B853="",C853="",D853="",E853="",F853="",H853=""),"",IF(NOT(ISNUMBER(B853)),"✗ 日期不是真日期",IF(OR(B853&lt;年初日,B853&gt;年末日),"✗ 日期不在本年度",IF(C853="","✗ 没选供应商",IF(COUNTIF(基础资料!$Q$5:$Q$54,C853)=0,"✗ 供应商不在基础资料里",IF(D853="","✗ 没选商品",IF(COUNTIF(基础资料!$E$5:$E$104,D853)=0,"✗ 商品不在商品档案里",IF(AND(E853="",H853=""),"✗ 没填数量",IF(AND(N(E853)&lt;&gt;0,F853=""),"✗ 没填进价","√")))))))))</f>
      </c>
    </row>
    <row r="854">
      <c r="A854" s="109">
        <f>IF(AND(C854="",D854=""),"",ROW()-3)</f>
      </c>
      <c r="B854" s="140" t="n"/>
      <c r="C854" s="141" t="n"/>
      <c r="D854" s="141" t="n"/>
      <c r="E854" s="148" t="n"/>
      <c r="F854" s="149" t="n"/>
      <c r="G854" s="150">
        <f>IF(AND(E854&lt;&gt;"",F854&lt;&gt;""),E854*F854,"")</f>
      </c>
      <c r="H854" s="148" t="n"/>
      <c r="I854" s="142" t="n"/>
      <c r="J854" s="146">
        <f>IF(AND(B854="",C854="",D854="",E854="",F854="",H854=""),"",IF(NOT(ISNUMBER(B854)),"✗ 日期不是真日期",IF(OR(B854&lt;年初日,B854&gt;年末日),"✗ 日期不在本年度",IF(C854="","✗ 没选供应商",IF(COUNTIF(基础资料!$Q$5:$Q$54,C854)=0,"✗ 供应商不在基础资料里",IF(D854="","✗ 没选商品",IF(COUNTIF(基础资料!$E$5:$E$104,D854)=0,"✗ 商品不在商品档案里",IF(AND(E854="",H854=""),"✗ 没填数量",IF(AND(N(E854)&lt;&gt;0,F854=""),"✗ 没填进价","√")))))))))</f>
      </c>
    </row>
    <row r="855">
      <c r="A855" s="109">
        <f>IF(AND(C855="",D855=""),"",ROW()-3)</f>
      </c>
      <c r="B855" s="140" t="n"/>
      <c r="C855" s="141" t="n"/>
      <c r="D855" s="141" t="n"/>
      <c r="E855" s="148" t="n"/>
      <c r="F855" s="149" t="n"/>
      <c r="G855" s="150">
        <f>IF(AND(E855&lt;&gt;"",F855&lt;&gt;""),E855*F855,"")</f>
      </c>
      <c r="H855" s="148" t="n"/>
      <c r="I855" s="142" t="n"/>
      <c r="J855" s="146">
        <f>IF(AND(B855="",C855="",D855="",E855="",F855="",H855=""),"",IF(NOT(ISNUMBER(B855)),"✗ 日期不是真日期",IF(OR(B855&lt;年初日,B855&gt;年末日),"✗ 日期不在本年度",IF(C855="","✗ 没选供应商",IF(COUNTIF(基础资料!$Q$5:$Q$54,C855)=0,"✗ 供应商不在基础资料里",IF(D855="","✗ 没选商品",IF(COUNTIF(基础资料!$E$5:$E$104,D855)=0,"✗ 商品不在商品档案里",IF(AND(E855="",H855=""),"✗ 没填数量",IF(AND(N(E855)&lt;&gt;0,F855=""),"✗ 没填进价","√")))))))))</f>
      </c>
    </row>
    <row r="856">
      <c r="A856" s="109">
        <f>IF(AND(C856="",D856=""),"",ROW()-3)</f>
      </c>
      <c r="B856" s="140" t="n"/>
      <c r="C856" s="141" t="n"/>
      <c r="D856" s="141" t="n"/>
      <c r="E856" s="148" t="n"/>
      <c r="F856" s="149" t="n"/>
      <c r="G856" s="150">
        <f>IF(AND(E856&lt;&gt;"",F856&lt;&gt;""),E856*F856,"")</f>
      </c>
      <c r="H856" s="148" t="n"/>
      <c r="I856" s="142" t="n"/>
      <c r="J856" s="146">
        <f>IF(AND(B856="",C856="",D856="",E856="",F856="",H856=""),"",IF(NOT(ISNUMBER(B856)),"✗ 日期不是真日期",IF(OR(B856&lt;年初日,B856&gt;年末日),"✗ 日期不在本年度",IF(C856="","✗ 没选供应商",IF(COUNTIF(基础资料!$Q$5:$Q$54,C856)=0,"✗ 供应商不在基础资料里",IF(D856="","✗ 没选商品",IF(COUNTIF(基础资料!$E$5:$E$104,D856)=0,"✗ 商品不在商品档案里",IF(AND(E856="",H856=""),"✗ 没填数量",IF(AND(N(E856)&lt;&gt;0,F856=""),"✗ 没填进价","√")))))))))</f>
      </c>
    </row>
    <row r="857">
      <c r="A857" s="109">
        <f>IF(AND(C857="",D857=""),"",ROW()-3)</f>
      </c>
      <c r="B857" s="140" t="n"/>
      <c r="C857" s="141" t="n"/>
      <c r="D857" s="141" t="n"/>
      <c r="E857" s="148" t="n"/>
      <c r="F857" s="149" t="n"/>
      <c r="G857" s="150">
        <f>IF(AND(E857&lt;&gt;"",F857&lt;&gt;""),E857*F857,"")</f>
      </c>
      <c r="H857" s="148" t="n"/>
      <c r="I857" s="142" t="n"/>
      <c r="J857" s="146">
        <f>IF(AND(B857="",C857="",D857="",E857="",F857="",H857=""),"",IF(NOT(ISNUMBER(B857)),"✗ 日期不是真日期",IF(OR(B857&lt;年初日,B857&gt;年末日),"✗ 日期不在本年度",IF(C857="","✗ 没选供应商",IF(COUNTIF(基础资料!$Q$5:$Q$54,C857)=0,"✗ 供应商不在基础资料里",IF(D857="","✗ 没选商品",IF(COUNTIF(基础资料!$E$5:$E$104,D857)=0,"✗ 商品不在商品档案里",IF(AND(E857="",H857=""),"✗ 没填数量",IF(AND(N(E857)&lt;&gt;0,F857=""),"✗ 没填进价","√")))))))))</f>
      </c>
    </row>
    <row r="858">
      <c r="A858" s="109">
        <f>IF(AND(C858="",D858=""),"",ROW()-3)</f>
      </c>
      <c r="B858" s="140" t="n"/>
      <c r="C858" s="141" t="n"/>
      <c r="D858" s="141" t="n"/>
      <c r="E858" s="148" t="n"/>
      <c r="F858" s="149" t="n"/>
      <c r="G858" s="150">
        <f>IF(AND(E858&lt;&gt;"",F858&lt;&gt;""),E858*F858,"")</f>
      </c>
      <c r="H858" s="148" t="n"/>
      <c r="I858" s="142" t="n"/>
      <c r="J858" s="146">
        <f>IF(AND(B858="",C858="",D858="",E858="",F858="",H858=""),"",IF(NOT(ISNUMBER(B858)),"✗ 日期不是真日期",IF(OR(B858&lt;年初日,B858&gt;年末日),"✗ 日期不在本年度",IF(C858="","✗ 没选供应商",IF(COUNTIF(基础资料!$Q$5:$Q$54,C858)=0,"✗ 供应商不在基础资料里",IF(D858="","✗ 没选商品",IF(COUNTIF(基础资料!$E$5:$E$104,D858)=0,"✗ 商品不在商品档案里",IF(AND(E858="",H858=""),"✗ 没填数量",IF(AND(N(E858)&lt;&gt;0,F858=""),"✗ 没填进价","√")))))))))</f>
      </c>
    </row>
    <row r="859">
      <c r="A859" s="109">
        <f>IF(AND(C859="",D859=""),"",ROW()-3)</f>
      </c>
      <c r="B859" s="140" t="n"/>
      <c r="C859" s="141" t="n"/>
      <c r="D859" s="141" t="n"/>
      <c r="E859" s="148" t="n"/>
      <c r="F859" s="149" t="n"/>
      <c r="G859" s="150">
        <f>IF(AND(E859&lt;&gt;"",F859&lt;&gt;""),E859*F859,"")</f>
      </c>
      <c r="H859" s="148" t="n"/>
      <c r="I859" s="142" t="n"/>
      <c r="J859" s="146">
        <f>IF(AND(B859="",C859="",D859="",E859="",F859="",H859=""),"",IF(NOT(ISNUMBER(B859)),"✗ 日期不是真日期",IF(OR(B859&lt;年初日,B859&gt;年末日),"✗ 日期不在本年度",IF(C859="","✗ 没选供应商",IF(COUNTIF(基础资料!$Q$5:$Q$54,C859)=0,"✗ 供应商不在基础资料里",IF(D859="","✗ 没选商品",IF(COUNTIF(基础资料!$E$5:$E$104,D859)=0,"✗ 商品不在商品档案里",IF(AND(E859="",H859=""),"✗ 没填数量",IF(AND(N(E859)&lt;&gt;0,F859=""),"✗ 没填进价","√")))))))))</f>
      </c>
    </row>
    <row r="860">
      <c r="A860" s="109">
        <f>IF(AND(C860="",D860=""),"",ROW()-3)</f>
      </c>
      <c r="B860" s="140" t="n"/>
      <c r="C860" s="141" t="n"/>
      <c r="D860" s="141" t="n"/>
      <c r="E860" s="148" t="n"/>
      <c r="F860" s="149" t="n"/>
      <c r="G860" s="150">
        <f>IF(AND(E860&lt;&gt;"",F860&lt;&gt;""),E860*F860,"")</f>
      </c>
      <c r="H860" s="148" t="n"/>
      <c r="I860" s="142" t="n"/>
      <c r="J860" s="146">
        <f>IF(AND(B860="",C860="",D860="",E860="",F860="",H860=""),"",IF(NOT(ISNUMBER(B860)),"✗ 日期不是真日期",IF(OR(B860&lt;年初日,B860&gt;年末日),"✗ 日期不在本年度",IF(C860="","✗ 没选供应商",IF(COUNTIF(基础资料!$Q$5:$Q$54,C860)=0,"✗ 供应商不在基础资料里",IF(D860="","✗ 没选商品",IF(COUNTIF(基础资料!$E$5:$E$104,D860)=0,"✗ 商品不在商品档案里",IF(AND(E860="",H860=""),"✗ 没填数量",IF(AND(N(E860)&lt;&gt;0,F860=""),"✗ 没填进价","√")))))))))</f>
      </c>
    </row>
    <row r="861">
      <c r="A861" s="109">
        <f>IF(AND(C861="",D861=""),"",ROW()-3)</f>
      </c>
      <c r="B861" s="140" t="n"/>
      <c r="C861" s="141" t="n"/>
      <c r="D861" s="141" t="n"/>
      <c r="E861" s="148" t="n"/>
      <c r="F861" s="149" t="n"/>
      <c r="G861" s="150">
        <f>IF(AND(E861&lt;&gt;"",F861&lt;&gt;""),E861*F861,"")</f>
      </c>
      <c r="H861" s="148" t="n"/>
      <c r="I861" s="142" t="n"/>
      <c r="J861" s="146">
        <f>IF(AND(B861="",C861="",D861="",E861="",F861="",H861=""),"",IF(NOT(ISNUMBER(B861)),"✗ 日期不是真日期",IF(OR(B861&lt;年初日,B861&gt;年末日),"✗ 日期不在本年度",IF(C861="","✗ 没选供应商",IF(COUNTIF(基础资料!$Q$5:$Q$54,C861)=0,"✗ 供应商不在基础资料里",IF(D861="","✗ 没选商品",IF(COUNTIF(基础资料!$E$5:$E$104,D861)=0,"✗ 商品不在商品档案里",IF(AND(E861="",H861=""),"✗ 没填数量",IF(AND(N(E861)&lt;&gt;0,F861=""),"✗ 没填进价","√")))))))))</f>
      </c>
    </row>
    <row r="862">
      <c r="A862" s="109">
        <f>IF(AND(C862="",D862=""),"",ROW()-3)</f>
      </c>
      <c r="B862" s="140" t="n"/>
      <c r="C862" s="141" t="n"/>
      <c r="D862" s="141" t="n"/>
      <c r="E862" s="148" t="n"/>
      <c r="F862" s="149" t="n"/>
      <c r="G862" s="150">
        <f>IF(AND(E862&lt;&gt;"",F862&lt;&gt;""),E862*F862,"")</f>
      </c>
      <c r="H862" s="148" t="n"/>
      <c r="I862" s="142" t="n"/>
      <c r="J862" s="146">
        <f>IF(AND(B862="",C862="",D862="",E862="",F862="",H862=""),"",IF(NOT(ISNUMBER(B862)),"✗ 日期不是真日期",IF(OR(B862&lt;年初日,B862&gt;年末日),"✗ 日期不在本年度",IF(C862="","✗ 没选供应商",IF(COUNTIF(基础资料!$Q$5:$Q$54,C862)=0,"✗ 供应商不在基础资料里",IF(D862="","✗ 没选商品",IF(COUNTIF(基础资料!$E$5:$E$104,D862)=0,"✗ 商品不在商品档案里",IF(AND(E862="",H862=""),"✗ 没填数量",IF(AND(N(E862)&lt;&gt;0,F862=""),"✗ 没填进价","√")))))))))</f>
      </c>
    </row>
    <row r="863">
      <c r="A863" s="109">
        <f>IF(AND(C863="",D863=""),"",ROW()-3)</f>
      </c>
      <c r="B863" s="140" t="n"/>
      <c r="C863" s="141" t="n"/>
      <c r="D863" s="141" t="n"/>
      <c r="E863" s="148" t="n"/>
      <c r="F863" s="149" t="n"/>
      <c r="G863" s="150">
        <f>IF(AND(E863&lt;&gt;"",F863&lt;&gt;""),E863*F863,"")</f>
      </c>
      <c r="H863" s="148" t="n"/>
      <c r="I863" s="142" t="n"/>
      <c r="J863" s="146">
        <f>IF(AND(B863="",C863="",D863="",E863="",F863="",H863=""),"",IF(NOT(ISNUMBER(B863)),"✗ 日期不是真日期",IF(OR(B863&lt;年初日,B863&gt;年末日),"✗ 日期不在本年度",IF(C863="","✗ 没选供应商",IF(COUNTIF(基础资料!$Q$5:$Q$54,C863)=0,"✗ 供应商不在基础资料里",IF(D863="","✗ 没选商品",IF(COUNTIF(基础资料!$E$5:$E$104,D863)=0,"✗ 商品不在商品档案里",IF(AND(E863="",H863=""),"✗ 没填数量",IF(AND(N(E863)&lt;&gt;0,F863=""),"✗ 没填进价","√")))))))))</f>
      </c>
    </row>
    <row r="864">
      <c r="A864" s="109">
        <f>IF(AND(C864="",D864=""),"",ROW()-3)</f>
      </c>
      <c r="B864" s="140" t="n"/>
      <c r="C864" s="141" t="n"/>
      <c r="D864" s="141" t="n"/>
      <c r="E864" s="148" t="n"/>
      <c r="F864" s="149" t="n"/>
      <c r="G864" s="150">
        <f>IF(AND(E864&lt;&gt;"",F864&lt;&gt;""),E864*F864,"")</f>
      </c>
      <c r="H864" s="148" t="n"/>
      <c r="I864" s="142" t="n"/>
      <c r="J864" s="146">
        <f>IF(AND(B864="",C864="",D864="",E864="",F864="",H864=""),"",IF(NOT(ISNUMBER(B864)),"✗ 日期不是真日期",IF(OR(B864&lt;年初日,B864&gt;年末日),"✗ 日期不在本年度",IF(C864="","✗ 没选供应商",IF(COUNTIF(基础资料!$Q$5:$Q$54,C864)=0,"✗ 供应商不在基础资料里",IF(D864="","✗ 没选商品",IF(COUNTIF(基础资料!$E$5:$E$104,D864)=0,"✗ 商品不在商品档案里",IF(AND(E864="",H864=""),"✗ 没填数量",IF(AND(N(E864)&lt;&gt;0,F864=""),"✗ 没填进价","√")))))))))</f>
      </c>
    </row>
    <row r="865">
      <c r="A865" s="109">
        <f>IF(AND(C865="",D865=""),"",ROW()-3)</f>
      </c>
      <c r="B865" s="140" t="n"/>
      <c r="C865" s="141" t="n"/>
      <c r="D865" s="141" t="n"/>
      <c r="E865" s="148" t="n"/>
      <c r="F865" s="149" t="n"/>
      <c r="G865" s="150">
        <f>IF(AND(E865&lt;&gt;"",F865&lt;&gt;""),E865*F865,"")</f>
      </c>
      <c r="H865" s="148" t="n"/>
      <c r="I865" s="142" t="n"/>
      <c r="J865" s="146">
        <f>IF(AND(B865="",C865="",D865="",E865="",F865="",H865=""),"",IF(NOT(ISNUMBER(B865)),"✗ 日期不是真日期",IF(OR(B865&lt;年初日,B865&gt;年末日),"✗ 日期不在本年度",IF(C865="","✗ 没选供应商",IF(COUNTIF(基础资料!$Q$5:$Q$54,C865)=0,"✗ 供应商不在基础资料里",IF(D865="","✗ 没选商品",IF(COUNTIF(基础资料!$E$5:$E$104,D865)=0,"✗ 商品不在商品档案里",IF(AND(E865="",H865=""),"✗ 没填数量",IF(AND(N(E865)&lt;&gt;0,F865=""),"✗ 没填进价","√")))))))))</f>
      </c>
    </row>
    <row r="866">
      <c r="A866" s="109">
        <f>IF(AND(C866="",D866=""),"",ROW()-3)</f>
      </c>
      <c r="B866" s="140" t="n"/>
      <c r="C866" s="141" t="n"/>
      <c r="D866" s="141" t="n"/>
      <c r="E866" s="148" t="n"/>
      <c r="F866" s="149" t="n"/>
      <c r="G866" s="150">
        <f>IF(AND(E866&lt;&gt;"",F866&lt;&gt;""),E866*F866,"")</f>
      </c>
      <c r="H866" s="148" t="n"/>
      <c r="I866" s="142" t="n"/>
      <c r="J866" s="146">
        <f>IF(AND(B866="",C866="",D866="",E866="",F866="",H866=""),"",IF(NOT(ISNUMBER(B866)),"✗ 日期不是真日期",IF(OR(B866&lt;年初日,B866&gt;年末日),"✗ 日期不在本年度",IF(C866="","✗ 没选供应商",IF(COUNTIF(基础资料!$Q$5:$Q$54,C866)=0,"✗ 供应商不在基础资料里",IF(D866="","✗ 没选商品",IF(COUNTIF(基础资料!$E$5:$E$104,D866)=0,"✗ 商品不在商品档案里",IF(AND(E866="",H866=""),"✗ 没填数量",IF(AND(N(E866)&lt;&gt;0,F866=""),"✗ 没填进价","√")))))))))</f>
      </c>
    </row>
    <row r="867">
      <c r="A867" s="109">
        <f>IF(AND(C867="",D867=""),"",ROW()-3)</f>
      </c>
      <c r="B867" s="140" t="n"/>
      <c r="C867" s="141" t="n"/>
      <c r="D867" s="141" t="n"/>
      <c r="E867" s="148" t="n"/>
      <c r="F867" s="149" t="n"/>
      <c r="G867" s="150">
        <f>IF(AND(E867&lt;&gt;"",F867&lt;&gt;""),E867*F867,"")</f>
      </c>
      <c r="H867" s="148" t="n"/>
      <c r="I867" s="142" t="n"/>
      <c r="J867" s="146">
        <f>IF(AND(B867="",C867="",D867="",E867="",F867="",H867=""),"",IF(NOT(ISNUMBER(B867)),"✗ 日期不是真日期",IF(OR(B867&lt;年初日,B867&gt;年末日),"✗ 日期不在本年度",IF(C867="","✗ 没选供应商",IF(COUNTIF(基础资料!$Q$5:$Q$54,C867)=0,"✗ 供应商不在基础资料里",IF(D867="","✗ 没选商品",IF(COUNTIF(基础资料!$E$5:$E$104,D867)=0,"✗ 商品不在商品档案里",IF(AND(E867="",H867=""),"✗ 没填数量",IF(AND(N(E867)&lt;&gt;0,F867=""),"✗ 没填进价","√")))))))))</f>
      </c>
    </row>
    <row r="868">
      <c r="A868" s="109">
        <f>IF(AND(C868="",D868=""),"",ROW()-3)</f>
      </c>
      <c r="B868" s="140" t="n"/>
      <c r="C868" s="141" t="n"/>
      <c r="D868" s="141" t="n"/>
      <c r="E868" s="148" t="n"/>
      <c r="F868" s="149" t="n"/>
      <c r="G868" s="150">
        <f>IF(AND(E868&lt;&gt;"",F868&lt;&gt;""),E868*F868,"")</f>
      </c>
      <c r="H868" s="148" t="n"/>
      <c r="I868" s="142" t="n"/>
      <c r="J868" s="146">
        <f>IF(AND(B868="",C868="",D868="",E868="",F868="",H868=""),"",IF(NOT(ISNUMBER(B868)),"✗ 日期不是真日期",IF(OR(B868&lt;年初日,B868&gt;年末日),"✗ 日期不在本年度",IF(C868="","✗ 没选供应商",IF(COUNTIF(基础资料!$Q$5:$Q$54,C868)=0,"✗ 供应商不在基础资料里",IF(D868="","✗ 没选商品",IF(COUNTIF(基础资料!$E$5:$E$104,D868)=0,"✗ 商品不在商品档案里",IF(AND(E868="",H868=""),"✗ 没填数量",IF(AND(N(E868)&lt;&gt;0,F868=""),"✗ 没填进价","√")))))))))</f>
      </c>
    </row>
    <row r="869">
      <c r="A869" s="109">
        <f>IF(AND(C869="",D869=""),"",ROW()-3)</f>
      </c>
      <c r="B869" s="140" t="n"/>
      <c r="C869" s="141" t="n"/>
      <c r="D869" s="141" t="n"/>
      <c r="E869" s="148" t="n"/>
      <c r="F869" s="149" t="n"/>
      <c r="G869" s="150">
        <f>IF(AND(E869&lt;&gt;"",F869&lt;&gt;""),E869*F869,"")</f>
      </c>
      <c r="H869" s="148" t="n"/>
      <c r="I869" s="142" t="n"/>
      <c r="J869" s="146">
        <f>IF(AND(B869="",C869="",D869="",E869="",F869="",H869=""),"",IF(NOT(ISNUMBER(B869)),"✗ 日期不是真日期",IF(OR(B869&lt;年初日,B869&gt;年末日),"✗ 日期不在本年度",IF(C869="","✗ 没选供应商",IF(COUNTIF(基础资料!$Q$5:$Q$54,C869)=0,"✗ 供应商不在基础资料里",IF(D869="","✗ 没选商品",IF(COUNTIF(基础资料!$E$5:$E$104,D869)=0,"✗ 商品不在商品档案里",IF(AND(E869="",H869=""),"✗ 没填数量",IF(AND(N(E869)&lt;&gt;0,F869=""),"✗ 没填进价","√")))))))))</f>
      </c>
    </row>
    <row r="870">
      <c r="A870" s="109">
        <f>IF(AND(C870="",D870=""),"",ROW()-3)</f>
      </c>
      <c r="B870" s="140" t="n"/>
      <c r="C870" s="141" t="n"/>
      <c r="D870" s="141" t="n"/>
      <c r="E870" s="148" t="n"/>
      <c r="F870" s="149" t="n"/>
      <c r="G870" s="150">
        <f>IF(AND(E870&lt;&gt;"",F870&lt;&gt;""),E870*F870,"")</f>
      </c>
      <c r="H870" s="148" t="n"/>
      <c r="I870" s="142" t="n"/>
      <c r="J870" s="146">
        <f>IF(AND(B870="",C870="",D870="",E870="",F870="",H870=""),"",IF(NOT(ISNUMBER(B870)),"✗ 日期不是真日期",IF(OR(B870&lt;年初日,B870&gt;年末日),"✗ 日期不在本年度",IF(C870="","✗ 没选供应商",IF(COUNTIF(基础资料!$Q$5:$Q$54,C870)=0,"✗ 供应商不在基础资料里",IF(D870="","✗ 没选商品",IF(COUNTIF(基础资料!$E$5:$E$104,D870)=0,"✗ 商品不在商品档案里",IF(AND(E870="",H870=""),"✗ 没填数量",IF(AND(N(E870)&lt;&gt;0,F870=""),"✗ 没填进价","√")))))))))</f>
      </c>
    </row>
    <row r="871">
      <c r="A871" s="109">
        <f>IF(AND(C871="",D871=""),"",ROW()-3)</f>
      </c>
      <c r="B871" s="140" t="n"/>
      <c r="C871" s="141" t="n"/>
      <c r="D871" s="141" t="n"/>
      <c r="E871" s="148" t="n"/>
      <c r="F871" s="149" t="n"/>
      <c r="G871" s="150">
        <f>IF(AND(E871&lt;&gt;"",F871&lt;&gt;""),E871*F871,"")</f>
      </c>
      <c r="H871" s="148" t="n"/>
      <c r="I871" s="142" t="n"/>
      <c r="J871" s="146">
        <f>IF(AND(B871="",C871="",D871="",E871="",F871="",H871=""),"",IF(NOT(ISNUMBER(B871)),"✗ 日期不是真日期",IF(OR(B871&lt;年初日,B871&gt;年末日),"✗ 日期不在本年度",IF(C871="","✗ 没选供应商",IF(COUNTIF(基础资料!$Q$5:$Q$54,C871)=0,"✗ 供应商不在基础资料里",IF(D871="","✗ 没选商品",IF(COUNTIF(基础资料!$E$5:$E$104,D871)=0,"✗ 商品不在商品档案里",IF(AND(E871="",H871=""),"✗ 没填数量",IF(AND(N(E871)&lt;&gt;0,F871=""),"✗ 没填进价","√")))))))))</f>
      </c>
    </row>
    <row r="872">
      <c r="A872" s="109">
        <f>IF(AND(C872="",D872=""),"",ROW()-3)</f>
      </c>
      <c r="B872" s="140" t="n"/>
      <c r="C872" s="141" t="n"/>
      <c r="D872" s="141" t="n"/>
      <c r="E872" s="148" t="n"/>
      <c r="F872" s="149" t="n"/>
      <c r="G872" s="150">
        <f>IF(AND(E872&lt;&gt;"",F872&lt;&gt;""),E872*F872,"")</f>
      </c>
      <c r="H872" s="148" t="n"/>
      <c r="I872" s="142" t="n"/>
      <c r="J872" s="146">
        <f>IF(AND(B872="",C872="",D872="",E872="",F872="",H872=""),"",IF(NOT(ISNUMBER(B872)),"✗ 日期不是真日期",IF(OR(B872&lt;年初日,B872&gt;年末日),"✗ 日期不在本年度",IF(C872="","✗ 没选供应商",IF(COUNTIF(基础资料!$Q$5:$Q$54,C872)=0,"✗ 供应商不在基础资料里",IF(D872="","✗ 没选商品",IF(COUNTIF(基础资料!$E$5:$E$104,D872)=0,"✗ 商品不在商品档案里",IF(AND(E872="",H872=""),"✗ 没填数量",IF(AND(N(E872)&lt;&gt;0,F872=""),"✗ 没填进价","√")))))))))</f>
      </c>
    </row>
    <row r="873">
      <c r="A873" s="109">
        <f>IF(AND(C873="",D873=""),"",ROW()-3)</f>
      </c>
      <c r="B873" s="140" t="n"/>
      <c r="C873" s="141" t="n"/>
      <c r="D873" s="141" t="n"/>
      <c r="E873" s="148" t="n"/>
      <c r="F873" s="149" t="n"/>
      <c r="G873" s="150">
        <f>IF(AND(E873&lt;&gt;"",F873&lt;&gt;""),E873*F873,"")</f>
      </c>
      <c r="H873" s="148" t="n"/>
      <c r="I873" s="142" t="n"/>
      <c r="J873" s="146">
        <f>IF(AND(B873="",C873="",D873="",E873="",F873="",H873=""),"",IF(NOT(ISNUMBER(B873)),"✗ 日期不是真日期",IF(OR(B873&lt;年初日,B873&gt;年末日),"✗ 日期不在本年度",IF(C873="","✗ 没选供应商",IF(COUNTIF(基础资料!$Q$5:$Q$54,C873)=0,"✗ 供应商不在基础资料里",IF(D873="","✗ 没选商品",IF(COUNTIF(基础资料!$E$5:$E$104,D873)=0,"✗ 商品不在商品档案里",IF(AND(E873="",H873=""),"✗ 没填数量",IF(AND(N(E873)&lt;&gt;0,F873=""),"✗ 没填进价","√")))))))))</f>
      </c>
    </row>
    <row r="874">
      <c r="A874" s="109">
        <f>IF(AND(C874="",D874=""),"",ROW()-3)</f>
      </c>
      <c r="B874" s="140" t="n"/>
      <c r="C874" s="141" t="n"/>
      <c r="D874" s="141" t="n"/>
      <c r="E874" s="148" t="n"/>
      <c r="F874" s="149" t="n"/>
      <c r="G874" s="150">
        <f>IF(AND(E874&lt;&gt;"",F874&lt;&gt;""),E874*F874,"")</f>
      </c>
      <c r="H874" s="148" t="n"/>
      <c r="I874" s="142" t="n"/>
      <c r="J874" s="146">
        <f>IF(AND(B874="",C874="",D874="",E874="",F874="",H874=""),"",IF(NOT(ISNUMBER(B874)),"✗ 日期不是真日期",IF(OR(B874&lt;年初日,B874&gt;年末日),"✗ 日期不在本年度",IF(C874="","✗ 没选供应商",IF(COUNTIF(基础资料!$Q$5:$Q$54,C874)=0,"✗ 供应商不在基础资料里",IF(D874="","✗ 没选商品",IF(COUNTIF(基础资料!$E$5:$E$104,D874)=0,"✗ 商品不在商品档案里",IF(AND(E874="",H874=""),"✗ 没填数量",IF(AND(N(E874)&lt;&gt;0,F874=""),"✗ 没填进价","√")))))))))</f>
      </c>
    </row>
    <row r="875">
      <c r="A875" s="109">
        <f>IF(AND(C875="",D875=""),"",ROW()-3)</f>
      </c>
      <c r="B875" s="140" t="n"/>
      <c r="C875" s="141" t="n"/>
      <c r="D875" s="141" t="n"/>
      <c r="E875" s="148" t="n"/>
      <c r="F875" s="149" t="n"/>
      <c r="G875" s="150">
        <f>IF(AND(E875&lt;&gt;"",F875&lt;&gt;""),E875*F875,"")</f>
      </c>
      <c r="H875" s="148" t="n"/>
      <c r="I875" s="142" t="n"/>
      <c r="J875" s="146">
        <f>IF(AND(B875="",C875="",D875="",E875="",F875="",H875=""),"",IF(NOT(ISNUMBER(B875)),"✗ 日期不是真日期",IF(OR(B875&lt;年初日,B875&gt;年末日),"✗ 日期不在本年度",IF(C875="","✗ 没选供应商",IF(COUNTIF(基础资料!$Q$5:$Q$54,C875)=0,"✗ 供应商不在基础资料里",IF(D875="","✗ 没选商品",IF(COUNTIF(基础资料!$E$5:$E$104,D875)=0,"✗ 商品不在商品档案里",IF(AND(E875="",H875=""),"✗ 没填数量",IF(AND(N(E875)&lt;&gt;0,F875=""),"✗ 没填进价","√")))))))))</f>
      </c>
    </row>
    <row r="876">
      <c r="A876" s="109">
        <f>IF(AND(C876="",D876=""),"",ROW()-3)</f>
      </c>
      <c r="B876" s="140" t="n"/>
      <c r="C876" s="141" t="n"/>
      <c r="D876" s="141" t="n"/>
      <c r="E876" s="148" t="n"/>
      <c r="F876" s="149" t="n"/>
      <c r="G876" s="150">
        <f>IF(AND(E876&lt;&gt;"",F876&lt;&gt;""),E876*F876,"")</f>
      </c>
      <c r="H876" s="148" t="n"/>
      <c r="I876" s="142" t="n"/>
      <c r="J876" s="146">
        <f>IF(AND(B876="",C876="",D876="",E876="",F876="",H876=""),"",IF(NOT(ISNUMBER(B876)),"✗ 日期不是真日期",IF(OR(B876&lt;年初日,B876&gt;年末日),"✗ 日期不在本年度",IF(C876="","✗ 没选供应商",IF(COUNTIF(基础资料!$Q$5:$Q$54,C876)=0,"✗ 供应商不在基础资料里",IF(D876="","✗ 没选商品",IF(COUNTIF(基础资料!$E$5:$E$104,D876)=0,"✗ 商品不在商品档案里",IF(AND(E876="",H876=""),"✗ 没填数量",IF(AND(N(E876)&lt;&gt;0,F876=""),"✗ 没填进价","√")))))))))</f>
      </c>
    </row>
    <row r="877">
      <c r="A877" s="109">
        <f>IF(AND(C877="",D877=""),"",ROW()-3)</f>
      </c>
      <c r="B877" s="140" t="n"/>
      <c r="C877" s="141" t="n"/>
      <c r="D877" s="141" t="n"/>
      <c r="E877" s="148" t="n"/>
      <c r="F877" s="149" t="n"/>
      <c r="G877" s="150">
        <f>IF(AND(E877&lt;&gt;"",F877&lt;&gt;""),E877*F877,"")</f>
      </c>
      <c r="H877" s="148" t="n"/>
      <c r="I877" s="142" t="n"/>
      <c r="J877" s="146">
        <f>IF(AND(B877="",C877="",D877="",E877="",F877="",H877=""),"",IF(NOT(ISNUMBER(B877)),"✗ 日期不是真日期",IF(OR(B877&lt;年初日,B877&gt;年末日),"✗ 日期不在本年度",IF(C877="","✗ 没选供应商",IF(COUNTIF(基础资料!$Q$5:$Q$54,C877)=0,"✗ 供应商不在基础资料里",IF(D877="","✗ 没选商品",IF(COUNTIF(基础资料!$E$5:$E$104,D877)=0,"✗ 商品不在商品档案里",IF(AND(E877="",H877=""),"✗ 没填数量",IF(AND(N(E877)&lt;&gt;0,F877=""),"✗ 没填进价","√")))))))))</f>
      </c>
    </row>
    <row r="878">
      <c r="A878" s="109">
        <f>IF(AND(C878="",D878=""),"",ROW()-3)</f>
      </c>
      <c r="B878" s="140" t="n"/>
      <c r="C878" s="141" t="n"/>
      <c r="D878" s="141" t="n"/>
      <c r="E878" s="148" t="n"/>
      <c r="F878" s="149" t="n"/>
      <c r="G878" s="150">
        <f>IF(AND(E878&lt;&gt;"",F878&lt;&gt;""),E878*F878,"")</f>
      </c>
      <c r="H878" s="148" t="n"/>
      <c r="I878" s="142" t="n"/>
      <c r="J878" s="146">
        <f>IF(AND(B878="",C878="",D878="",E878="",F878="",H878=""),"",IF(NOT(ISNUMBER(B878)),"✗ 日期不是真日期",IF(OR(B878&lt;年初日,B878&gt;年末日),"✗ 日期不在本年度",IF(C878="","✗ 没选供应商",IF(COUNTIF(基础资料!$Q$5:$Q$54,C878)=0,"✗ 供应商不在基础资料里",IF(D878="","✗ 没选商品",IF(COUNTIF(基础资料!$E$5:$E$104,D878)=0,"✗ 商品不在商品档案里",IF(AND(E878="",H878=""),"✗ 没填数量",IF(AND(N(E878)&lt;&gt;0,F878=""),"✗ 没填进价","√")))))))))</f>
      </c>
    </row>
    <row r="879">
      <c r="A879" s="109">
        <f>IF(AND(C879="",D879=""),"",ROW()-3)</f>
      </c>
      <c r="B879" s="140" t="n"/>
      <c r="C879" s="141" t="n"/>
      <c r="D879" s="141" t="n"/>
      <c r="E879" s="148" t="n"/>
      <c r="F879" s="149" t="n"/>
      <c r="G879" s="150">
        <f>IF(AND(E879&lt;&gt;"",F879&lt;&gt;""),E879*F879,"")</f>
      </c>
      <c r="H879" s="148" t="n"/>
      <c r="I879" s="142" t="n"/>
      <c r="J879" s="146">
        <f>IF(AND(B879="",C879="",D879="",E879="",F879="",H879=""),"",IF(NOT(ISNUMBER(B879)),"✗ 日期不是真日期",IF(OR(B879&lt;年初日,B879&gt;年末日),"✗ 日期不在本年度",IF(C879="","✗ 没选供应商",IF(COUNTIF(基础资料!$Q$5:$Q$54,C879)=0,"✗ 供应商不在基础资料里",IF(D879="","✗ 没选商品",IF(COUNTIF(基础资料!$E$5:$E$104,D879)=0,"✗ 商品不在商品档案里",IF(AND(E879="",H879=""),"✗ 没填数量",IF(AND(N(E879)&lt;&gt;0,F879=""),"✗ 没填进价","√")))))))))</f>
      </c>
    </row>
    <row r="880">
      <c r="A880" s="109">
        <f>IF(AND(C880="",D880=""),"",ROW()-3)</f>
      </c>
      <c r="B880" s="140" t="n"/>
      <c r="C880" s="141" t="n"/>
      <c r="D880" s="141" t="n"/>
      <c r="E880" s="148" t="n"/>
      <c r="F880" s="149" t="n"/>
      <c r="G880" s="150">
        <f>IF(AND(E880&lt;&gt;"",F880&lt;&gt;""),E880*F880,"")</f>
      </c>
      <c r="H880" s="148" t="n"/>
      <c r="I880" s="142" t="n"/>
      <c r="J880" s="146">
        <f>IF(AND(B880="",C880="",D880="",E880="",F880="",H880=""),"",IF(NOT(ISNUMBER(B880)),"✗ 日期不是真日期",IF(OR(B880&lt;年初日,B880&gt;年末日),"✗ 日期不在本年度",IF(C880="","✗ 没选供应商",IF(COUNTIF(基础资料!$Q$5:$Q$54,C880)=0,"✗ 供应商不在基础资料里",IF(D880="","✗ 没选商品",IF(COUNTIF(基础资料!$E$5:$E$104,D880)=0,"✗ 商品不在商品档案里",IF(AND(E880="",H880=""),"✗ 没填数量",IF(AND(N(E880)&lt;&gt;0,F880=""),"✗ 没填进价","√")))))))))</f>
      </c>
    </row>
    <row r="881">
      <c r="A881" s="109">
        <f>IF(AND(C881="",D881=""),"",ROW()-3)</f>
      </c>
      <c r="B881" s="140" t="n"/>
      <c r="C881" s="141" t="n"/>
      <c r="D881" s="141" t="n"/>
      <c r="E881" s="148" t="n"/>
      <c r="F881" s="149" t="n"/>
      <c r="G881" s="150">
        <f>IF(AND(E881&lt;&gt;"",F881&lt;&gt;""),E881*F881,"")</f>
      </c>
      <c r="H881" s="148" t="n"/>
      <c r="I881" s="142" t="n"/>
      <c r="J881" s="146">
        <f>IF(AND(B881="",C881="",D881="",E881="",F881="",H881=""),"",IF(NOT(ISNUMBER(B881)),"✗ 日期不是真日期",IF(OR(B881&lt;年初日,B881&gt;年末日),"✗ 日期不在本年度",IF(C881="","✗ 没选供应商",IF(COUNTIF(基础资料!$Q$5:$Q$54,C881)=0,"✗ 供应商不在基础资料里",IF(D881="","✗ 没选商品",IF(COUNTIF(基础资料!$E$5:$E$104,D881)=0,"✗ 商品不在商品档案里",IF(AND(E881="",H881=""),"✗ 没填数量",IF(AND(N(E881)&lt;&gt;0,F881=""),"✗ 没填进价","√")))))))))</f>
      </c>
    </row>
    <row r="882">
      <c r="A882" s="109">
        <f>IF(AND(C882="",D882=""),"",ROW()-3)</f>
      </c>
      <c r="B882" s="140" t="n"/>
      <c r="C882" s="141" t="n"/>
      <c r="D882" s="141" t="n"/>
      <c r="E882" s="148" t="n"/>
      <c r="F882" s="149" t="n"/>
      <c r="G882" s="150">
        <f>IF(AND(E882&lt;&gt;"",F882&lt;&gt;""),E882*F882,"")</f>
      </c>
      <c r="H882" s="148" t="n"/>
      <c r="I882" s="142" t="n"/>
      <c r="J882" s="146">
        <f>IF(AND(B882="",C882="",D882="",E882="",F882="",H882=""),"",IF(NOT(ISNUMBER(B882)),"✗ 日期不是真日期",IF(OR(B882&lt;年初日,B882&gt;年末日),"✗ 日期不在本年度",IF(C882="","✗ 没选供应商",IF(COUNTIF(基础资料!$Q$5:$Q$54,C882)=0,"✗ 供应商不在基础资料里",IF(D882="","✗ 没选商品",IF(COUNTIF(基础资料!$E$5:$E$104,D882)=0,"✗ 商品不在商品档案里",IF(AND(E882="",H882=""),"✗ 没填数量",IF(AND(N(E882)&lt;&gt;0,F882=""),"✗ 没填进价","√")))))))))</f>
      </c>
    </row>
    <row r="883">
      <c r="A883" s="109">
        <f>IF(AND(C883="",D883=""),"",ROW()-3)</f>
      </c>
      <c r="B883" s="140" t="n"/>
      <c r="C883" s="141" t="n"/>
      <c r="D883" s="141" t="n"/>
      <c r="E883" s="148" t="n"/>
      <c r="F883" s="149" t="n"/>
      <c r="G883" s="150">
        <f>IF(AND(E883&lt;&gt;"",F883&lt;&gt;""),E883*F883,"")</f>
      </c>
      <c r="H883" s="148" t="n"/>
      <c r="I883" s="142" t="n"/>
      <c r="J883" s="146">
        <f>IF(AND(B883="",C883="",D883="",E883="",F883="",H883=""),"",IF(NOT(ISNUMBER(B883)),"✗ 日期不是真日期",IF(OR(B883&lt;年初日,B883&gt;年末日),"✗ 日期不在本年度",IF(C883="","✗ 没选供应商",IF(COUNTIF(基础资料!$Q$5:$Q$54,C883)=0,"✗ 供应商不在基础资料里",IF(D883="","✗ 没选商品",IF(COUNTIF(基础资料!$E$5:$E$104,D883)=0,"✗ 商品不在商品档案里",IF(AND(E883="",H883=""),"✗ 没填数量",IF(AND(N(E883)&lt;&gt;0,F883=""),"✗ 没填进价","√")))))))))</f>
      </c>
    </row>
    <row r="884">
      <c r="A884" s="109">
        <f>IF(AND(C884="",D884=""),"",ROW()-3)</f>
      </c>
      <c r="B884" s="140" t="n"/>
      <c r="C884" s="141" t="n"/>
      <c r="D884" s="141" t="n"/>
      <c r="E884" s="148" t="n"/>
      <c r="F884" s="149" t="n"/>
      <c r="G884" s="150">
        <f>IF(AND(E884&lt;&gt;"",F884&lt;&gt;""),E884*F884,"")</f>
      </c>
      <c r="H884" s="148" t="n"/>
      <c r="I884" s="142" t="n"/>
      <c r="J884" s="146">
        <f>IF(AND(B884="",C884="",D884="",E884="",F884="",H884=""),"",IF(NOT(ISNUMBER(B884)),"✗ 日期不是真日期",IF(OR(B884&lt;年初日,B884&gt;年末日),"✗ 日期不在本年度",IF(C884="","✗ 没选供应商",IF(COUNTIF(基础资料!$Q$5:$Q$54,C884)=0,"✗ 供应商不在基础资料里",IF(D884="","✗ 没选商品",IF(COUNTIF(基础资料!$E$5:$E$104,D884)=0,"✗ 商品不在商品档案里",IF(AND(E884="",H884=""),"✗ 没填数量",IF(AND(N(E884)&lt;&gt;0,F884=""),"✗ 没填进价","√")))))))))</f>
      </c>
    </row>
    <row r="885">
      <c r="A885" s="109">
        <f>IF(AND(C885="",D885=""),"",ROW()-3)</f>
      </c>
      <c r="B885" s="140" t="n"/>
      <c r="C885" s="141" t="n"/>
      <c r="D885" s="141" t="n"/>
      <c r="E885" s="148" t="n"/>
      <c r="F885" s="149" t="n"/>
      <c r="G885" s="150">
        <f>IF(AND(E885&lt;&gt;"",F885&lt;&gt;""),E885*F885,"")</f>
      </c>
      <c r="H885" s="148" t="n"/>
      <c r="I885" s="142" t="n"/>
      <c r="J885" s="146">
        <f>IF(AND(B885="",C885="",D885="",E885="",F885="",H885=""),"",IF(NOT(ISNUMBER(B885)),"✗ 日期不是真日期",IF(OR(B885&lt;年初日,B885&gt;年末日),"✗ 日期不在本年度",IF(C885="","✗ 没选供应商",IF(COUNTIF(基础资料!$Q$5:$Q$54,C885)=0,"✗ 供应商不在基础资料里",IF(D885="","✗ 没选商品",IF(COUNTIF(基础资料!$E$5:$E$104,D885)=0,"✗ 商品不在商品档案里",IF(AND(E885="",H885=""),"✗ 没填数量",IF(AND(N(E885)&lt;&gt;0,F885=""),"✗ 没填进价","√")))))))))</f>
      </c>
    </row>
    <row r="886">
      <c r="A886" s="109">
        <f>IF(AND(C886="",D886=""),"",ROW()-3)</f>
      </c>
      <c r="B886" s="140" t="n"/>
      <c r="C886" s="141" t="n"/>
      <c r="D886" s="141" t="n"/>
      <c r="E886" s="148" t="n"/>
      <c r="F886" s="149" t="n"/>
      <c r="G886" s="150">
        <f>IF(AND(E886&lt;&gt;"",F886&lt;&gt;""),E886*F886,"")</f>
      </c>
      <c r="H886" s="148" t="n"/>
      <c r="I886" s="142" t="n"/>
      <c r="J886" s="146">
        <f>IF(AND(B886="",C886="",D886="",E886="",F886="",H886=""),"",IF(NOT(ISNUMBER(B886)),"✗ 日期不是真日期",IF(OR(B886&lt;年初日,B886&gt;年末日),"✗ 日期不在本年度",IF(C886="","✗ 没选供应商",IF(COUNTIF(基础资料!$Q$5:$Q$54,C886)=0,"✗ 供应商不在基础资料里",IF(D886="","✗ 没选商品",IF(COUNTIF(基础资料!$E$5:$E$104,D886)=0,"✗ 商品不在商品档案里",IF(AND(E886="",H886=""),"✗ 没填数量",IF(AND(N(E886)&lt;&gt;0,F886=""),"✗ 没填进价","√")))))))))</f>
      </c>
    </row>
    <row r="887">
      <c r="A887" s="109">
        <f>IF(AND(C887="",D887=""),"",ROW()-3)</f>
      </c>
      <c r="B887" s="140" t="n"/>
      <c r="C887" s="141" t="n"/>
      <c r="D887" s="141" t="n"/>
      <c r="E887" s="148" t="n"/>
      <c r="F887" s="149" t="n"/>
      <c r="G887" s="150">
        <f>IF(AND(E887&lt;&gt;"",F887&lt;&gt;""),E887*F887,"")</f>
      </c>
      <c r="H887" s="148" t="n"/>
      <c r="I887" s="142" t="n"/>
      <c r="J887" s="146">
        <f>IF(AND(B887="",C887="",D887="",E887="",F887="",H887=""),"",IF(NOT(ISNUMBER(B887)),"✗ 日期不是真日期",IF(OR(B887&lt;年初日,B887&gt;年末日),"✗ 日期不在本年度",IF(C887="","✗ 没选供应商",IF(COUNTIF(基础资料!$Q$5:$Q$54,C887)=0,"✗ 供应商不在基础资料里",IF(D887="","✗ 没选商品",IF(COUNTIF(基础资料!$E$5:$E$104,D887)=0,"✗ 商品不在商品档案里",IF(AND(E887="",H887=""),"✗ 没填数量",IF(AND(N(E887)&lt;&gt;0,F887=""),"✗ 没填进价","√")))))))))</f>
      </c>
    </row>
    <row r="888">
      <c r="A888" s="109">
        <f>IF(AND(C888="",D888=""),"",ROW()-3)</f>
      </c>
      <c r="B888" s="140" t="n"/>
      <c r="C888" s="141" t="n"/>
      <c r="D888" s="141" t="n"/>
      <c r="E888" s="148" t="n"/>
      <c r="F888" s="149" t="n"/>
      <c r="G888" s="150">
        <f>IF(AND(E888&lt;&gt;"",F888&lt;&gt;""),E888*F888,"")</f>
      </c>
      <c r="H888" s="148" t="n"/>
      <c r="I888" s="142" t="n"/>
      <c r="J888" s="146">
        <f>IF(AND(B888="",C888="",D888="",E888="",F888="",H888=""),"",IF(NOT(ISNUMBER(B888)),"✗ 日期不是真日期",IF(OR(B888&lt;年初日,B888&gt;年末日),"✗ 日期不在本年度",IF(C888="","✗ 没选供应商",IF(COUNTIF(基础资料!$Q$5:$Q$54,C888)=0,"✗ 供应商不在基础资料里",IF(D888="","✗ 没选商品",IF(COUNTIF(基础资料!$E$5:$E$104,D888)=0,"✗ 商品不在商品档案里",IF(AND(E888="",H888=""),"✗ 没填数量",IF(AND(N(E888)&lt;&gt;0,F888=""),"✗ 没填进价","√")))))))))</f>
      </c>
    </row>
    <row r="889">
      <c r="A889" s="109">
        <f>IF(AND(C889="",D889=""),"",ROW()-3)</f>
      </c>
      <c r="B889" s="140" t="n"/>
      <c r="C889" s="141" t="n"/>
      <c r="D889" s="141" t="n"/>
      <c r="E889" s="148" t="n"/>
      <c r="F889" s="149" t="n"/>
      <c r="G889" s="150">
        <f>IF(AND(E889&lt;&gt;"",F889&lt;&gt;""),E889*F889,"")</f>
      </c>
      <c r="H889" s="148" t="n"/>
      <c r="I889" s="142" t="n"/>
      <c r="J889" s="146">
        <f>IF(AND(B889="",C889="",D889="",E889="",F889="",H889=""),"",IF(NOT(ISNUMBER(B889)),"✗ 日期不是真日期",IF(OR(B889&lt;年初日,B889&gt;年末日),"✗ 日期不在本年度",IF(C889="","✗ 没选供应商",IF(COUNTIF(基础资料!$Q$5:$Q$54,C889)=0,"✗ 供应商不在基础资料里",IF(D889="","✗ 没选商品",IF(COUNTIF(基础资料!$E$5:$E$104,D889)=0,"✗ 商品不在商品档案里",IF(AND(E889="",H889=""),"✗ 没填数量",IF(AND(N(E889)&lt;&gt;0,F889=""),"✗ 没填进价","√")))))))))</f>
      </c>
    </row>
    <row r="890">
      <c r="A890" s="109">
        <f>IF(AND(C890="",D890=""),"",ROW()-3)</f>
      </c>
      <c r="B890" s="140" t="n"/>
      <c r="C890" s="141" t="n"/>
      <c r="D890" s="141" t="n"/>
      <c r="E890" s="148" t="n"/>
      <c r="F890" s="149" t="n"/>
      <c r="G890" s="150">
        <f>IF(AND(E890&lt;&gt;"",F890&lt;&gt;""),E890*F890,"")</f>
      </c>
      <c r="H890" s="148" t="n"/>
      <c r="I890" s="142" t="n"/>
      <c r="J890" s="146">
        <f>IF(AND(B890="",C890="",D890="",E890="",F890="",H890=""),"",IF(NOT(ISNUMBER(B890)),"✗ 日期不是真日期",IF(OR(B890&lt;年初日,B890&gt;年末日),"✗ 日期不在本年度",IF(C890="","✗ 没选供应商",IF(COUNTIF(基础资料!$Q$5:$Q$54,C890)=0,"✗ 供应商不在基础资料里",IF(D890="","✗ 没选商品",IF(COUNTIF(基础资料!$E$5:$E$104,D890)=0,"✗ 商品不在商品档案里",IF(AND(E890="",H890=""),"✗ 没填数量",IF(AND(N(E890)&lt;&gt;0,F890=""),"✗ 没填进价","√")))))))))</f>
      </c>
    </row>
    <row r="891">
      <c r="A891" s="109">
        <f>IF(AND(C891="",D891=""),"",ROW()-3)</f>
      </c>
      <c r="B891" s="140" t="n"/>
      <c r="C891" s="141" t="n"/>
      <c r="D891" s="141" t="n"/>
      <c r="E891" s="148" t="n"/>
      <c r="F891" s="149" t="n"/>
      <c r="G891" s="150">
        <f>IF(AND(E891&lt;&gt;"",F891&lt;&gt;""),E891*F891,"")</f>
      </c>
      <c r="H891" s="148" t="n"/>
      <c r="I891" s="142" t="n"/>
      <c r="J891" s="146">
        <f>IF(AND(B891="",C891="",D891="",E891="",F891="",H891=""),"",IF(NOT(ISNUMBER(B891)),"✗ 日期不是真日期",IF(OR(B891&lt;年初日,B891&gt;年末日),"✗ 日期不在本年度",IF(C891="","✗ 没选供应商",IF(COUNTIF(基础资料!$Q$5:$Q$54,C891)=0,"✗ 供应商不在基础资料里",IF(D891="","✗ 没选商品",IF(COUNTIF(基础资料!$E$5:$E$104,D891)=0,"✗ 商品不在商品档案里",IF(AND(E891="",H891=""),"✗ 没填数量",IF(AND(N(E891)&lt;&gt;0,F891=""),"✗ 没填进价","√")))))))))</f>
      </c>
    </row>
    <row r="892">
      <c r="A892" s="109">
        <f>IF(AND(C892="",D892=""),"",ROW()-3)</f>
      </c>
      <c r="B892" s="140" t="n"/>
      <c r="C892" s="141" t="n"/>
      <c r="D892" s="141" t="n"/>
      <c r="E892" s="148" t="n"/>
      <c r="F892" s="149" t="n"/>
      <c r="G892" s="150">
        <f>IF(AND(E892&lt;&gt;"",F892&lt;&gt;""),E892*F892,"")</f>
      </c>
      <c r="H892" s="148" t="n"/>
      <c r="I892" s="142" t="n"/>
      <c r="J892" s="146">
        <f>IF(AND(B892="",C892="",D892="",E892="",F892="",H892=""),"",IF(NOT(ISNUMBER(B892)),"✗ 日期不是真日期",IF(OR(B892&lt;年初日,B892&gt;年末日),"✗ 日期不在本年度",IF(C892="","✗ 没选供应商",IF(COUNTIF(基础资料!$Q$5:$Q$54,C892)=0,"✗ 供应商不在基础资料里",IF(D892="","✗ 没选商品",IF(COUNTIF(基础资料!$E$5:$E$104,D892)=0,"✗ 商品不在商品档案里",IF(AND(E892="",H892=""),"✗ 没填数量",IF(AND(N(E892)&lt;&gt;0,F892=""),"✗ 没填进价","√")))))))))</f>
      </c>
    </row>
    <row r="893">
      <c r="A893" s="109">
        <f>IF(AND(C893="",D893=""),"",ROW()-3)</f>
      </c>
      <c r="B893" s="140" t="n"/>
      <c r="C893" s="141" t="n"/>
      <c r="D893" s="141" t="n"/>
      <c r="E893" s="148" t="n"/>
      <c r="F893" s="149" t="n"/>
      <c r="G893" s="150">
        <f>IF(AND(E893&lt;&gt;"",F893&lt;&gt;""),E893*F893,"")</f>
      </c>
      <c r="H893" s="148" t="n"/>
      <c r="I893" s="142" t="n"/>
      <c r="J893" s="146">
        <f>IF(AND(B893="",C893="",D893="",E893="",F893="",H893=""),"",IF(NOT(ISNUMBER(B893)),"✗ 日期不是真日期",IF(OR(B893&lt;年初日,B893&gt;年末日),"✗ 日期不在本年度",IF(C893="","✗ 没选供应商",IF(COUNTIF(基础资料!$Q$5:$Q$54,C893)=0,"✗ 供应商不在基础资料里",IF(D893="","✗ 没选商品",IF(COUNTIF(基础资料!$E$5:$E$104,D893)=0,"✗ 商品不在商品档案里",IF(AND(E893="",H893=""),"✗ 没填数量",IF(AND(N(E893)&lt;&gt;0,F893=""),"✗ 没填进价","√")))))))))</f>
      </c>
    </row>
    <row r="894">
      <c r="A894" s="109">
        <f>IF(AND(C894="",D894=""),"",ROW()-3)</f>
      </c>
      <c r="B894" s="140" t="n"/>
      <c r="C894" s="141" t="n"/>
      <c r="D894" s="141" t="n"/>
      <c r="E894" s="148" t="n"/>
      <c r="F894" s="149" t="n"/>
      <c r="G894" s="150">
        <f>IF(AND(E894&lt;&gt;"",F894&lt;&gt;""),E894*F894,"")</f>
      </c>
      <c r="H894" s="148" t="n"/>
      <c r="I894" s="142" t="n"/>
      <c r="J894" s="146">
        <f>IF(AND(B894="",C894="",D894="",E894="",F894="",H894=""),"",IF(NOT(ISNUMBER(B894)),"✗ 日期不是真日期",IF(OR(B894&lt;年初日,B894&gt;年末日),"✗ 日期不在本年度",IF(C894="","✗ 没选供应商",IF(COUNTIF(基础资料!$Q$5:$Q$54,C894)=0,"✗ 供应商不在基础资料里",IF(D894="","✗ 没选商品",IF(COUNTIF(基础资料!$E$5:$E$104,D894)=0,"✗ 商品不在商品档案里",IF(AND(E894="",H894=""),"✗ 没填数量",IF(AND(N(E894)&lt;&gt;0,F894=""),"✗ 没填进价","√")))))))))</f>
      </c>
    </row>
    <row r="895">
      <c r="A895" s="109">
        <f>IF(AND(C895="",D895=""),"",ROW()-3)</f>
      </c>
      <c r="B895" s="140" t="n"/>
      <c r="C895" s="141" t="n"/>
      <c r="D895" s="141" t="n"/>
      <c r="E895" s="148" t="n"/>
      <c r="F895" s="149" t="n"/>
      <c r="G895" s="150">
        <f>IF(AND(E895&lt;&gt;"",F895&lt;&gt;""),E895*F895,"")</f>
      </c>
      <c r="H895" s="148" t="n"/>
      <c r="I895" s="142" t="n"/>
      <c r="J895" s="146">
        <f>IF(AND(B895="",C895="",D895="",E895="",F895="",H895=""),"",IF(NOT(ISNUMBER(B895)),"✗ 日期不是真日期",IF(OR(B895&lt;年初日,B895&gt;年末日),"✗ 日期不在本年度",IF(C895="","✗ 没选供应商",IF(COUNTIF(基础资料!$Q$5:$Q$54,C895)=0,"✗ 供应商不在基础资料里",IF(D895="","✗ 没选商品",IF(COUNTIF(基础资料!$E$5:$E$104,D895)=0,"✗ 商品不在商品档案里",IF(AND(E895="",H895=""),"✗ 没填数量",IF(AND(N(E895)&lt;&gt;0,F895=""),"✗ 没填进价","√")))))))))</f>
      </c>
    </row>
    <row r="896">
      <c r="A896" s="109">
        <f>IF(AND(C896="",D896=""),"",ROW()-3)</f>
      </c>
      <c r="B896" s="140" t="n"/>
      <c r="C896" s="141" t="n"/>
      <c r="D896" s="141" t="n"/>
      <c r="E896" s="148" t="n"/>
      <c r="F896" s="149" t="n"/>
      <c r="G896" s="150">
        <f>IF(AND(E896&lt;&gt;"",F896&lt;&gt;""),E896*F896,"")</f>
      </c>
      <c r="H896" s="148" t="n"/>
      <c r="I896" s="142" t="n"/>
      <c r="J896" s="146">
        <f>IF(AND(B896="",C896="",D896="",E896="",F896="",H896=""),"",IF(NOT(ISNUMBER(B896)),"✗ 日期不是真日期",IF(OR(B896&lt;年初日,B896&gt;年末日),"✗ 日期不在本年度",IF(C896="","✗ 没选供应商",IF(COUNTIF(基础资料!$Q$5:$Q$54,C896)=0,"✗ 供应商不在基础资料里",IF(D896="","✗ 没选商品",IF(COUNTIF(基础资料!$E$5:$E$104,D896)=0,"✗ 商品不在商品档案里",IF(AND(E896="",H896=""),"✗ 没填数量",IF(AND(N(E896)&lt;&gt;0,F896=""),"✗ 没填进价","√")))))))))</f>
      </c>
    </row>
    <row r="897">
      <c r="A897" s="109">
        <f>IF(AND(C897="",D897=""),"",ROW()-3)</f>
      </c>
      <c r="B897" s="140" t="n"/>
      <c r="C897" s="141" t="n"/>
      <c r="D897" s="141" t="n"/>
      <c r="E897" s="148" t="n"/>
      <c r="F897" s="149" t="n"/>
      <c r="G897" s="150">
        <f>IF(AND(E897&lt;&gt;"",F897&lt;&gt;""),E897*F897,"")</f>
      </c>
      <c r="H897" s="148" t="n"/>
      <c r="I897" s="142" t="n"/>
      <c r="J897" s="146">
        <f>IF(AND(B897="",C897="",D897="",E897="",F897="",H897=""),"",IF(NOT(ISNUMBER(B897)),"✗ 日期不是真日期",IF(OR(B897&lt;年初日,B897&gt;年末日),"✗ 日期不在本年度",IF(C897="","✗ 没选供应商",IF(COUNTIF(基础资料!$Q$5:$Q$54,C897)=0,"✗ 供应商不在基础资料里",IF(D897="","✗ 没选商品",IF(COUNTIF(基础资料!$E$5:$E$104,D897)=0,"✗ 商品不在商品档案里",IF(AND(E897="",H897=""),"✗ 没填数量",IF(AND(N(E897)&lt;&gt;0,F897=""),"✗ 没填进价","√")))))))))</f>
      </c>
    </row>
    <row r="898">
      <c r="A898" s="109">
        <f>IF(AND(C898="",D898=""),"",ROW()-3)</f>
      </c>
      <c r="B898" s="140" t="n"/>
      <c r="C898" s="141" t="n"/>
      <c r="D898" s="141" t="n"/>
      <c r="E898" s="148" t="n"/>
      <c r="F898" s="149" t="n"/>
      <c r="G898" s="150">
        <f>IF(AND(E898&lt;&gt;"",F898&lt;&gt;""),E898*F898,"")</f>
      </c>
      <c r="H898" s="148" t="n"/>
      <c r="I898" s="142" t="n"/>
      <c r="J898" s="146">
        <f>IF(AND(B898="",C898="",D898="",E898="",F898="",H898=""),"",IF(NOT(ISNUMBER(B898)),"✗ 日期不是真日期",IF(OR(B898&lt;年初日,B898&gt;年末日),"✗ 日期不在本年度",IF(C898="","✗ 没选供应商",IF(COUNTIF(基础资料!$Q$5:$Q$54,C898)=0,"✗ 供应商不在基础资料里",IF(D898="","✗ 没选商品",IF(COUNTIF(基础资料!$E$5:$E$104,D898)=0,"✗ 商品不在商品档案里",IF(AND(E898="",H898=""),"✗ 没填数量",IF(AND(N(E898)&lt;&gt;0,F898=""),"✗ 没填进价","√")))))))))</f>
      </c>
    </row>
    <row r="899">
      <c r="A899" s="109">
        <f>IF(AND(C899="",D899=""),"",ROW()-3)</f>
      </c>
      <c r="B899" s="140" t="n"/>
      <c r="C899" s="141" t="n"/>
      <c r="D899" s="141" t="n"/>
      <c r="E899" s="148" t="n"/>
      <c r="F899" s="149" t="n"/>
      <c r="G899" s="150">
        <f>IF(AND(E899&lt;&gt;"",F899&lt;&gt;""),E899*F899,"")</f>
      </c>
      <c r="H899" s="148" t="n"/>
      <c r="I899" s="142" t="n"/>
      <c r="J899" s="146">
        <f>IF(AND(B899="",C899="",D899="",E899="",F899="",H899=""),"",IF(NOT(ISNUMBER(B899)),"✗ 日期不是真日期",IF(OR(B899&lt;年初日,B899&gt;年末日),"✗ 日期不在本年度",IF(C899="","✗ 没选供应商",IF(COUNTIF(基础资料!$Q$5:$Q$54,C899)=0,"✗ 供应商不在基础资料里",IF(D899="","✗ 没选商品",IF(COUNTIF(基础资料!$E$5:$E$104,D899)=0,"✗ 商品不在商品档案里",IF(AND(E899="",H899=""),"✗ 没填数量",IF(AND(N(E899)&lt;&gt;0,F899=""),"✗ 没填进价","√")))))))))</f>
      </c>
    </row>
    <row r="900">
      <c r="A900" s="109">
        <f>IF(AND(C900="",D900=""),"",ROW()-3)</f>
      </c>
      <c r="B900" s="140" t="n"/>
      <c r="C900" s="141" t="n"/>
      <c r="D900" s="141" t="n"/>
      <c r="E900" s="148" t="n"/>
      <c r="F900" s="149" t="n"/>
      <c r="G900" s="150">
        <f>IF(AND(E900&lt;&gt;"",F900&lt;&gt;""),E900*F900,"")</f>
      </c>
      <c r="H900" s="148" t="n"/>
      <c r="I900" s="142" t="n"/>
      <c r="J900" s="146">
        <f>IF(AND(B900="",C900="",D900="",E900="",F900="",H900=""),"",IF(NOT(ISNUMBER(B900)),"✗ 日期不是真日期",IF(OR(B900&lt;年初日,B900&gt;年末日),"✗ 日期不在本年度",IF(C900="","✗ 没选供应商",IF(COUNTIF(基础资料!$Q$5:$Q$54,C900)=0,"✗ 供应商不在基础资料里",IF(D900="","✗ 没选商品",IF(COUNTIF(基础资料!$E$5:$E$104,D900)=0,"✗ 商品不在商品档案里",IF(AND(E900="",H900=""),"✗ 没填数量",IF(AND(N(E900)&lt;&gt;0,F900=""),"✗ 没填进价","√")))))))))</f>
      </c>
    </row>
    <row r="901">
      <c r="A901" s="109">
        <f>IF(AND(C901="",D901=""),"",ROW()-3)</f>
      </c>
      <c r="B901" s="140" t="n"/>
      <c r="C901" s="141" t="n"/>
      <c r="D901" s="141" t="n"/>
      <c r="E901" s="148" t="n"/>
      <c r="F901" s="149" t="n"/>
      <c r="G901" s="150">
        <f>IF(AND(E901&lt;&gt;"",F901&lt;&gt;""),E901*F901,"")</f>
      </c>
      <c r="H901" s="148" t="n"/>
      <c r="I901" s="142" t="n"/>
      <c r="J901" s="146">
        <f>IF(AND(B901="",C901="",D901="",E901="",F901="",H901=""),"",IF(NOT(ISNUMBER(B901)),"✗ 日期不是真日期",IF(OR(B901&lt;年初日,B901&gt;年末日),"✗ 日期不在本年度",IF(C901="","✗ 没选供应商",IF(COUNTIF(基础资料!$Q$5:$Q$54,C901)=0,"✗ 供应商不在基础资料里",IF(D901="","✗ 没选商品",IF(COUNTIF(基础资料!$E$5:$E$104,D901)=0,"✗ 商品不在商品档案里",IF(AND(E901="",H901=""),"✗ 没填数量",IF(AND(N(E901)&lt;&gt;0,F901=""),"✗ 没填进价","√")))))))))</f>
      </c>
    </row>
    <row r="902">
      <c r="A902" s="109">
        <f>IF(AND(C902="",D902=""),"",ROW()-3)</f>
      </c>
      <c r="B902" s="140" t="n"/>
      <c r="C902" s="141" t="n"/>
      <c r="D902" s="141" t="n"/>
      <c r="E902" s="148" t="n"/>
      <c r="F902" s="149" t="n"/>
      <c r="G902" s="150">
        <f>IF(AND(E902&lt;&gt;"",F902&lt;&gt;""),E902*F902,"")</f>
      </c>
      <c r="H902" s="148" t="n"/>
      <c r="I902" s="142" t="n"/>
      <c r="J902" s="146">
        <f>IF(AND(B902="",C902="",D902="",E902="",F902="",H902=""),"",IF(NOT(ISNUMBER(B902)),"✗ 日期不是真日期",IF(OR(B902&lt;年初日,B902&gt;年末日),"✗ 日期不在本年度",IF(C902="","✗ 没选供应商",IF(COUNTIF(基础资料!$Q$5:$Q$54,C902)=0,"✗ 供应商不在基础资料里",IF(D902="","✗ 没选商品",IF(COUNTIF(基础资料!$E$5:$E$104,D902)=0,"✗ 商品不在商品档案里",IF(AND(E902="",H902=""),"✗ 没填数量",IF(AND(N(E902)&lt;&gt;0,F902=""),"✗ 没填进价","√")))))))))</f>
      </c>
    </row>
    <row r="903">
      <c r="A903" s="109">
        <f>IF(AND(C903="",D903=""),"",ROW()-3)</f>
      </c>
      <c r="B903" s="140" t="n"/>
      <c r="C903" s="141" t="n"/>
      <c r="D903" s="141" t="n"/>
      <c r="E903" s="148" t="n"/>
      <c r="F903" s="149" t="n"/>
      <c r="G903" s="150">
        <f>IF(AND(E903&lt;&gt;"",F903&lt;&gt;""),E903*F903,"")</f>
      </c>
      <c r="H903" s="148" t="n"/>
      <c r="I903" s="142" t="n"/>
      <c r="J903" s="146">
        <f>IF(AND(B903="",C903="",D903="",E903="",F903="",H903=""),"",IF(NOT(ISNUMBER(B903)),"✗ 日期不是真日期",IF(OR(B903&lt;年初日,B903&gt;年末日),"✗ 日期不在本年度",IF(C903="","✗ 没选供应商",IF(COUNTIF(基础资料!$Q$5:$Q$54,C903)=0,"✗ 供应商不在基础资料里",IF(D903="","✗ 没选商品",IF(COUNTIF(基础资料!$E$5:$E$104,D903)=0,"✗ 商品不在商品档案里",IF(AND(E903="",H903=""),"✗ 没填数量",IF(AND(N(E903)&lt;&gt;0,F903=""),"✗ 没填进价","√")))))))))</f>
      </c>
    </row>
    <row r="904">
      <c r="A904" s="109">
        <f>IF(AND(C904="",D904=""),"",ROW()-3)</f>
      </c>
      <c r="B904" s="140" t="n"/>
      <c r="C904" s="141" t="n"/>
      <c r="D904" s="141" t="n"/>
      <c r="E904" s="148" t="n"/>
      <c r="F904" s="149" t="n"/>
      <c r="G904" s="150">
        <f>IF(AND(E904&lt;&gt;"",F904&lt;&gt;""),E904*F904,"")</f>
      </c>
      <c r="H904" s="148" t="n"/>
      <c r="I904" s="142" t="n"/>
      <c r="J904" s="146">
        <f>IF(AND(B904="",C904="",D904="",E904="",F904="",H904=""),"",IF(NOT(ISNUMBER(B904)),"✗ 日期不是真日期",IF(OR(B904&lt;年初日,B904&gt;年末日),"✗ 日期不在本年度",IF(C904="","✗ 没选供应商",IF(COUNTIF(基础资料!$Q$5:$Q$54,C904)=0,"✗ 供应商不在基础资料里",IF(D904="","✗ 没选商品",IF(COUNTIF(基础资料!$E$5:$E$104,D904)=0,"✗ 商品不在商品档案里",IF(AND(E904="",H904=""),"✗ 没填数量",IF(AND(N(E904)&lt;&gt;0,F904=""),"✗ 没填进价","√")))))))))</f>
      </c>
    </row>
    <row r="905">
      <c r="A905" s="109">
        <f>IF(AND(C905="",D905=""),"",ROW()-3)</f>
      </c>
      <c r="B905" s="140" t="n"/>
      <c r="C905" s="141" t="n"/>
      <c r="D905" s="141" t="n"/>
      <c r="E905" s="148" t="n"/>
      <c r="F905" s="149" t="n"/>
      <c r="G905" s="150">
        <f>IF(AND(E905&lt;&gt;"",F905&lt;&gt;""),E905*F905,"")</f>
      </c>
      <c r="H905" s="148" t="n"/>
      <c r="I905" s="142" t="n"/>
      <c r="J905" s="146">
        <f>IF(AND(B905="",C905="",D905="",E905="",F905="",H905=""),"",IF(NOT(ISNUMBER(B905)),"✗ 日期不是真日期",IF(OR(B905&lt;年初日,B905&gt;年末日),"✗ 日期不在本年度",IF(C905="","✗ 没选供应商",IF(COUNTIF(基础资料!$Q$5:$Q$54,C905)=0,"✗ 供应商不在基础资料里",IF(D905="","✗ 没选商品",IF(COUNTIF(基础资料!$E$5:$E$104,D905)=0,"✗ 商品不在商品档案里",IF(AND(E905="",H905=""),"✗ 没填数量",IF(AND(N(E905)&lt;&gt;0,F905=""),"✗ 没填进价","√")))))))))</f>
      </c>
    </row>
    <row r="906">
      <c r="A906" s="109">
        <f>IF(AND(C906="",D906=""),"",ROW()-3)</f>
      </c>
      <c r="B906" s="140" t="n"/>
      <c r="C906" s="141" t="n"/>
      <c r="D906" s="141" t="n"/>
      <c r="E906" s="148" t="n"/>
      <c r="F906" s="149" t="n"/>
      <c r="G906" s="150">
        <f>IF(AND(E906&lt;&gt;"",F906&lt;&gt;""),E906*F906,"")</f>
      </c>
      <c r="H906" s="148" t="n"/>
      <c r="I906" s="142" t="n"/>
      <c r="J906" s="146">
        <f>IF(AND(B906="",C906="",D906="",E906="",F906="",H906=""),"",IF(NOT(ISNUMBER(B906)),"✗ 日期不是真日期",IF(OR(B906&lt;年初日,B906&gt;年末日),"✗ 日期不在本年度",IF(C906="","✗ 没选供应商",IF(COUNTIF(基础资料!$Q$5:$Q$54,C906)=0,"✗ 供应商不在基础资料里",IF(D906="","✗ 没选商品",IF(COUNTIF(基础资料!$E$5:$E$104,D906)=0,"✗ 商品不在商品档案里",IF(AND(E906="",H906=""),"✗ 没填数量",IF(AND(N(E906)&lt;&gt;0,F906=""),"✗ 没填进价","√")))))))))</f>
      </c>
    </row>
    <row r="907">
      <c r="A907" s="109">
        <f>IF(AND(C907="",D907=""),"",ROW()-3)</f>
      </c>
      <c r="B907" s="140" t="n"/>
      <c r="C907" s="141" t="n"/>
      <c r="D907" s="141" t="n"/>
      <c r="E907" s="148" t="n"/>
      <c r="F907" s="149" t="n"/>
      <c r="G907" s="150">
        <f>IF(AND(E907&lt;&gt;"",F907&lt;&gt;""),E907*F907,"")</f>
      </c>
      <c r="H907" s="148" t="n"/>
      <c r="I907" s="142" t="n"/>
      <c r="J907" s="146">
        <f>IF(AND(B907="",C907="",D907="",E907="",F907="",H907=""),"",IF(NOT(ISNUMBER(B907)),"✗ 日期不是真日期",IF(OR(B907&lt;年初日,B907&gt;年末日),"✗ 日期不在本年度",IF(C907="","✗ 没选供应商",IF(COUNTIF(基础资料!$Q$5:$Q$54,C907)=0,"✗ 供应商不在基础资料里",IF(D907="","✗ 没选商品",IF(COUNTIF(基础资料!$E$5:$E$104,D907)=0,"✗ 商品不在商品档案里",IF(AND(E907="",H907=""),"✗ 没填数量",IF(AND(N(E907)&lt;&gt;0,F907=""),"✗ 没填进价","√")))))))))</f>
      </c>
    </row>
    <row r="908">
      <c r="A908" s="109">
        <f>IF(AND(C908="",D908=""),"",ROW()-3)</f>
      </c>
      <c r="B908" s="140" t="n"/>
      <c r="C908" s="141" t="n"/>
      <c r="D908" s="141" t="n"/>
      <c r="E908" s="148" t="n"/>
      <c r="F908" s="149" t="n"/>
      <c r="G908" s="150">
        <f>IF(AND(E908&lt;&gt;"",F908&lt;&gt;""),E908*F908,"")</f>
      </c>
      <c r="H908" s="148" t="n"/>
      <c r="I908" s="142" t="n"/>
      <c r="J908" s="146">
        <f>IF(AND(B908="",C908="",D908="",E908="",F908="",H908=""),"",IF(NOT(ISNUMBER(B908)),"✗ 日期不是真日期",IF(OR(B908&lt;年初日,B908&gt;年末日),"✗ 日期不在本年度",IF(C908="","✗ 没选供应商",IF(COUNTIF(基础资料!$Q$5:$Q$54,C908)=0,"✗ 供应商不在基础资料里",IF(D908="","✗ 没选商品",IF(COUNTIF(基础资料!$E$5:$E$104,D908)=0,"✗ 商品不在商品档案里",IF(AND(E908="",H908=""),"✗ 没填数量",IF(AND(N(E908)&lt;&gt;0,F908=""),"✗ 没填进价","√")))))))))</f>
      </c>
    </row>
    <row r="909">
      <c r="A909" s="109">
        <f>IF(AND(C909="",D909=""),"",ROW()-3)</f>
      </c>
      <c r="B909" s="140" t="n"/>
      <c r="C909" s="141" t="n"/>
      <c r="D909" s="141" t="n"/>
      <c r="E909" s="148" t="n"/>
      <c r="F909" s="149" t="n"/>
      <c r="G909" s="150">
        <f>IF(AND(E909&lt;&gt;"",F909&lt;&gt;""),E909*F909,"")</f>
      </c>
      <c r="H909" s="148" t="n"/>
      <c r="I909" s="142" t="n"/>
      <c r="J909" s="146">
        <f>IF(AND(B909="",C909="",D909="",E909="",F909="",H909=""),"",IF(NOT(ISNUMBER(B909)),"✗ 日期不是真日期",IF(OR(B909&lt;年初日,B909&gt;年末日),"✗ 日期不在本年度",IF(C909="","✗ 没选供应商",IF(COUNTIF(基础资料!$Q$5:$Q$54,C909)=0,"✗ 供应商不在基础资料里",IF(D909="","✗ 没选商品",IF(COUNTIF(基础资料!$E$5:$E$104,D909)=0,"✗ 商品不在商品档案里",IF(AND(E909="",H909=""),"✗ 没填数量",IF(AND(N(E909)&lt;&gt;0,F909=""),"✗ 没填进价","√")))))))))</f>
      </c>
    </row>
    <row r="910">
      <c r="A910" s="109">
        <f>IF(AND(C910="",D910=""),"",ROW()-3)</f>
      </c>
      <c r="B910" s="140" t="n"/>
      <c r="C910" s="141" t="n"/>
      <c r="D910" s="141" t="n"/>
      <c r="E910" s="148" t="n"/>
      <c r="F910" s="149" t="n"/>
      <c r="G910" s="150">
        <f>IF(AND(E910&lt;&gt;"",F910&lt;&gt;""),E910*F910,"")</f>
      </c>
      <c r="H910" s="148" t="n"/>
      <c r="I910" s="142" t="n"/>
      <c r="J910" s="146">
        <f>IF(AND(B910="",C910="",D910="",E910="",F910="",H910=""),"",IF(NOT(ISNUMBER(B910)),"✗ 日期不是真日期",IF(OR(B910&lt;年初日,B910&gt;年末日),"✗ 日期不在本年度",IF(C910="","✗ 没选供应商",IF(COUNTIF(基础资料!$Q$5:$Q$54,C910)=0,"✗ 供应商不在基础资料里",IF(D910="","✗ 没选商品",IF(COUNTIF(基础资料!$E$5:$E$104,D910)=0,"✗ 商品不在商品档案里",IF(AND(E910="",H910=""),"✗ 没填数量",IF(AND(N(E910)&lt;&gt;0,F910=""),"✗ 没填进价","√")))))))))</f>
      </c>
    </row>
    <row r="911">
      <c r="A911" s="109">
        <f>IF(AND(C911="",D911=""),"",ROW()-3)</f>
      </c>
      <c r="B911" s="140" t="n"/>
      <c r="C911" s="141" t="n"/>
      <c r="D911" s="141" t="n"/>
      <c r="E911" s="148" t="n"/>
      <c r="F911" s="149" t="n"/>
      <c r="G911" s="150">
        <f>IF(AND(E911&lt;&gt;"",F911&lt;&gt;""),E911*F911,"")</f>
      </c>
      <c r="H911" s="148" t="n"/>
      <c r="I911" s="142" t="n"/>
      <c r="J911" s="146">
        <f>IF(AND(B911="",C911="",D911="",E911="",F911="",H911=""),"",IF(NOT(ISNUMBER(B911)),"✗ 日期不是真日期",IF(OR(B911&lt;年初日,B911&gt;年末日),"✗ 日期不在本年度",IF(C911="","✗ 没选供应商",IF(COUNTIF(基础资料!$Q$5:$Q$54,C911)=0,"✗ 供应商不在基础资料里",IF(D911="","✗ 没选商品",IF(COUNTIF(基础资料!$E$5:$E$104,D911)=0,"✗ 商品不在商品档案里",IF(AND(E911="",H911=""),"✗ 没填数量",IF(AND(N(E911)&lt;&gt;0,F911=""),"✗ 没填进价","√")))))))))</f>
      </c>
    </row>
    <row r="912">
      <c r="A912" s="109">
        <f>IF(AND(C912="",D912=""),"",ROW()-3)</f>
      </c>
      <c r="B912" s="140" t="n"/>
      <c r="C912" s="141" t="n"/>
      <c r="D912" s="141" t="n"/>
      <c r="E912" s="148" t="n"/>
      <c r="F912" s="149" t="n"/>
      <c r="G912" s="150">
        <f>IF(AND(E912&lt;&gt;"",F912&lt;&gt;""),E912*F912,"")</f>
      </c>
      <c r="H912" s="148" t="n"/>
      <c r="I912" s="142" t="n"/>
      <c r="J912" s="146">
        <f>IF(AND(B912="",C912="",D912="",E912="",F912="",H912=""),"",IF(NOT(ISNUMBER(B912)),"✗ 日期不是真日期",IF(OR(B912&lt;年初日,B912&gt;年末日),"✗ 日期不在本年度",IF(C912="","✗ 没选供应商",IF(COUNTIF(基础资料!$Q$5:$Q$54,C912)=0,"✗ 供应商不在基础资料里",IF(D912="","✗ 没选商品",IF(COUNTIF(基础资料!$E$5:$E$104,D912)=0,"✗ 商品不在商品档案里",IF(AND(E912="",H912=""),"✗ 没填数量",IF(AND(N(E912)&lt;&gt;0,F912=""),"✗ 没填进价","√")))))))))</f>
      </c>
    </row>
    <row r="913">
      <c r="A913" s="109">
        <f>IF(AND(C913="",D913=""),"",ROW()-3)</f>
      </c>
      <c r="B913" s="140" t="n"/>
      <c r="C913" s="141" t="n"/>
      <c r="D913" s="141" t="n"/>
      <c r="E913" s="148" t="n"/>
      <c r="F913" s="149" t="n"/>
      <c r="G913" s="150">
        <f>IF(AND(E913&lt;&gt;"",F913&lt;&gt;""),E913*F913,"")</f>
      </c>
      <c r="H913" s="148" t="n"/>
      <c r="I913" s="142" t="n"/>
      <c r="J913" s="146">
        <f>IF(AND(B913="",C913="",D913="",E913="",F913="",H913=""),"",IF(NOT(ISNUMBER(B913)),"✗ 日期不是真日期",IF(OR(B913&lt;年初日,B913&gt;年末日),"✗ 日期不在本年度",IF(C913="","✗ 没选供应商",IF(COUNTIF(基础资料!$Q$5:$Q$54,C913)=0,"✗ 供应商不在基础资料里",IF(D913="","✗ 没选商品",IF(COUNTIF(基础资料!$E$5:$E$104,D913)=0,"✗ 商品不在商品档案里",IF(AND(E913="",H913=""),"✗ 没填数量",IF(AND(N(E913)&lt;&gt;0,F913=""),"✗ 没填进价","√")))))))))</f>
      </c>
    </row>
    <row r="914">
      <c r="A914" s="109">
        <f>IF(AND(C914="",D914=""),"",ROW()-3)</f>
      </c>
      <c r="B914" s="140" t="n"/>
      <c r="C914" s="141" t="n"/>
      <c r="D914" s="141" t="n"/>
      <c r="E914" s="148" t="n"/>
      <c r="F914" s="149" t="n"/>
      <c r="G914" s="150">
        <f>IF(AND(E914&lt;&gt;"",F914&lt;&gt;""),E914*F914,"")</f>
      </c>
      <c r="H914" s="148" t="n"/>
      <c r="I914" s="142" t="n"/>
      <c r="J914" s="146">
        <f>IF(AND(B914="",C914="",D914="",E914="",F914="",H914=""),"",IF(NOT(ISNUMBER(B914)),"✗ 日期不是真日期",IF(OR(B914&lt;年初日,B914&gt;年末日),"✗ 日期不在本年度",IF(C914="","✗ 没选供应商",IF(COUNTIF(基础资料!$Q$5:$Q$54,C914)=0,"✗ 供应商不在基础资料里",IF(D914="","✗ 没选商品",IF(COUNTIF(基础资料!$E$5:$E$104,D914)=0,"✗ 商品不在商品档案里",IF(AND(E914="",H914=""),"✗ 没填数量",IF(AND(N(E914)&lt;&gt;0,F914=""),"✗ 没填进价","√")))))))))</f>
      </c>
    </row>
    <row r="915">
      <c r="A915" s="109">
        <f>IF(AND(C915="",D915=""),"",ROW()-3)</f>
      </c>
      <c r="B915" s="140" t="n"/>
      <c r="C915" s="141" t="n"/>
      <c r="D915" s="141" t="n"/>
      <c r="E915" s="148" t="n"/>
      <c r="F915" s="149" t="n"/>
      <c r="G915" s="150">
        <f>IF(AND(E915&lt;&gt;"",F915&lt;&gt;""),E915*F915,"")</f>
      </c>
      <c r="H915" s="148" t="n"/>
      <c r="I915" s="142" t="n"/>
      <c r="J915" s="146">
        <f>IF(AND(B915="",C915="",D915="",E915="",F915="",H915=""),"",IF(NOT(ISNUMBER(B915)),"✗ 日期不是真日期",IF(OR(B915&lt;年初日,B915&gt;年末日),"✗ 日期不在本年度",IF(C915="","✗ 没选供应商",IF(COUNTIF(基础资料!$Q$5:$Q$54,C915)=0,"✗ 供应商不在基础资料里",IF(D915="","✗ 没选商品",IF(COUNTIF(基础资料!$E$5:$E$104,D915)=0,"✗ 商品不在商品档案里",IF(AND(E915="",H915=""),"✗ 没填数量",IF(AND(N(E915)&lt;&gt;0,F915=""),"✗ 没填进价","√")))))))))</f>
      </c>
    </row>
    <row r="916">
      <c r="A916" s="109">
        <f>IF(AND(C916="",D916=""),"",ROW()-3)</f>
      </c>
      <c r="B916" s="140" t="n"/>
      <c r="C916" s="141" t="n"/>
      <c r="D916" s="141" t="n"/>
      <c r="E916" s="148" t="n"/>
      <c r="F916" s="149" t="n"/>
      <c r="G916" s="150">
        <f>IF(AND(E916&lt;&gt;"",F916&lt;&gt;""),E916*F916,"")</f>
      </c>
      <c r="H916" s="148" t="n"/>
      <c r="I916" s="142" t="n"/>
      <c r="J916" s="146">
        <f>IF(AND(B916="",C916="",D916="",E916="",F916="",H916=""),"",IF(NOT(ISNUMBER(B916)),"✗ 日期不是真日期",IF(OR(B916&lt;年初日,B916&gt;年末日),"✗ 日期不在本年度",IF(C916="","✗ 没选供应商",IF(COUNTIF(基础资料!$Q$5:$Q$54,C916)=0,"✗ 供应商不在基础资料里",IF(D916="","✗ 没选商品",IF(COUNTIF(基础资料!$E$5:$E$104,D916)=0,"✗ 商品不在商品档案里",IF(AND(E916="",H916=""),"✗ 没填数量",IF(AND(N(E916)&lt;&gt;0,F916=""),"✗ 没填进价","√")))))))))</f>
      </c>
    </row>
    <row r="917">
      <c r="A917" s="109">
        <f>IF(AND(C917="",D917=""),"",ROW()-3)</f>
      </c>
      <c r="B917" s="140" t="n"/>
      <c r="C917" s="141" t="n"/>
      <c r="D917" s="141" t="n"/>
      <c r="E917" s="148" t="n"/>
      <c r="F917" s="149" t="n"/>
      <c r="G917" s="150">
        <f>IF(AND(E917&lt;&gt;"",F917&lt;&gt;""),E917*F917,"")</f>
      </c>
      <c r="H917" s="148" t="n"/>
      <c r="I917" s="142" t="n"/>
      <c r="J917" s="146">
        <f>IF(AND(B917="",C917="",D917="",E917="",F917="",H917=""),"",IF(NOT(ISNUMBER(B917)),"✗ 日期不是真日期",IF(OR(B917&lt;年初日,B917&gt;年末日),"✗ 日期不在本年度",IF(C917="","✗ 没选供应商",IF(COUNTIF(基础资料!$Q$5:$Q$54,C917)=0,"✗ 供应商不在基础资料里",IF(D917="","✗ 没选商品",IF(COUNTIF(基础资料!$E$5:$E$104,D917)=0,"✗ 商品不在商品档案里",IF(AND(E917="",H917=""),"✗ 没填数量",IF(AND(N(E917)&lt;&gt;0,F917=""),"✗ 没填进价","√")))))))))</f>
      </c>
    </row>
    <row r="918">
      <c r="A918" s="109">
        <f>IF(AND(C918="",D918=""),"",ROW()-3)</f>
      </c>
      <c r="B918" s="140" t="n"/>
      <c r="C918" s="141" t="n"/>
      <c r="D918" s="141" t="n"/>
      <c r="E918" s="148" t="n"/>
      <c r="F918" s="149" t="n"/>
      <c r="G918" s="150">
        <f>IF(AND(E918&lt;&gt;"",F918&lt;&gt;""),E918*F918,"")</f>
      </c>
      <c r="H918" s="148" t="n"/>
      <c r="I918" s="142" t="n"/>
      <c r="J918" s="146">
        <f>IF(AND(B918="",C918="",D918="",E918="",F918="",H918=""),"",IF(NOT(ISNUMBER(B918)),"✗ 日期不是真日期",IF(OR(B918&lt;年初日,B918&gt;年末日),"✗ 日期不在本年度",IF(C918="","✗ 没选供应商",IF(COUNTIF(基础资料!$Q$5:$Q$54,C918)=0,"✗ 供应商不在基础资料里",IF(D918="","✗ 没选商品",IF(COUNTIF(基础资料!$E$5:$E$104,D918)=0,"✗ 商品不在商品档案里",IF(AND(E918="",H918=""),"✗ 没填数量",IF(AND(N(E918)&lt;&gt;0,F918=""),"✗ 没填进价","√")))))))))</f>
      </c>
    </row>
    <row r="919">
      <c r="A919" s="109">
        <f>IF(AND(C919="",D919=""),"",ROW()-3)</f>
      </c>
      <c r="B919" s="140" t="n"/>
      <c r="C919" s="141" t="n"/>
      <c r="D919" s="141" t="n"/>
      <c r="E919" s="148" t="n"/>
      <c r="F919" s="149" t="n"/>
      <c r="G919" s="150">
        <f>IF(AND(E919&lt;&gt;"",F919&lt;&gt;""),E919*F919,"")</f>
      </c>
      <c r="H919" s="148" t="n"/>
      <c r="I919" s="142" t="n"/>
      <c r="J919" s="146">
        <f>IF(AND(B919="",C919="",D919="",E919="",F919="",H919=""),"",IF(NOT(ISNUMBER(B919)),"✗ 日期不是真日期",IF(OR(B919&lt;年初日,B919&gt;年末日),"✗ 日期不在本年度",IF(C919="","✗ 没选供应商",IF(COUNTIF(基础资料!$Q$5:$Q$54,C919)=0,"✗ 供应商不在基础资料里",IF(D919="","✗ 没选商品",IF(COUNTIF(基础资料!$E$5:$E$104,D919)=0,"✗ 商品不在商品档案里",IF(AND(E919="",H919=""),"✗ 没填数量",IF(AND(N(E919)&lt;&gt;0,F919=""),"✗ 没填进价","√")))))))))</f>
      </c>
    </row>
    <row r="920">
      <c r="A920" s="109">
        <f>IF(AND(C920="",D920=""),"",ROW()-3)</f>
      </c>
      <c r="B920" s="140" t="n"/>
      <c r="C920" s="141" t="n"/>
      <c r="D920" s="141" t="n"/>
      <c r="E920" s="148" t="n"/>
      <c r="F920" s="149" t="n"/>
      <c r="G920" s="150">
        <f>IF(AND(E920&lt;&gt;"",F920&lt;&gt;""),E920*F920,"")</f>
      </c>
      <c r="H920" s="148" t="n"/>
      <c r="I920" s="142" t="n"/>
      <c r="J920" s="146">
        <f>IF(AND(B920="",C920="",D920="",E920="",F920="",H920=""),"",IF(NOT(ISNUMBER(B920)),"✗ 日期不是真日期",IF(OR(B920&lt;年初日,B920&gt;年末日),"✗ 日期不在本年度",IF(C920="","✗ 没选供应商",IF(COUNTIF(基础资料!$Q$5:$Q$54,C920)=0,"✗ 供应商不在基础资料里",IF(D920="","✗ 没选商品",IF(COUNTIF(基础资料!$E$5:$E$104,D920)=0,"✗ 商品不在商品档案里",IF(AND(E920="",H920=""),"✗ 没填数量",IF(AND(N(E920)&lt;&gt;0,F920=""),"✗ 没填进价","√")))))))))</f>
      </c>
    </row>
    <row r="921">
      <c r="A921" s="109">
        <f>IF(AND(C921="",D921=""),"",ROW()-3)</f>
      </c>
      <c r="B921" s="140" t="n"/>
      <c r="C921" s="141" t="n"/>
      <c r="D921" s="141" t="n"/>
      <c r="E921" s="148" t="n"/>
      <c r="F921" s="149" t="n"/>
      <c r="G921" s="150">
        <f>IF(AND(E921&lt;&gt;"",F921&lt;&gt;""),E921*F921,"")</f>
      </c>
      <c r="H921" s="148" t="n"/>
      <c r="I921" s="142" t="n"/>
      <c r="J921" s="146">
        <f>IF(AND(B921="",C921="",D921="",E921="",F921="",H921=""),"",IF(NOT(ISNUMBER(B921)),"✗ 日期不是真日期",IF(OR(B921&lt;年初日,B921&gt;年末日),"✗ 日期不在本年度",IF(C921="","✗ 没选供应商",IF(COUNTIF(基础资料!$Q$5:$Q$54,C921)=0,"✗ 供应商不在基础资料里",IF(D921="","✗ 没选商品",IF(COUNTIF(基础资料!$E$5:$E$104,D921)=0,"✗ 商品不在商品档案里",IF(AND(E921="",H921=""),"✗ 没填数量",IF(AND(N(E921)&lt;&gt;0,F921=""),"✗ 没填进价","√")))))))))</f>
      </c>
    </row>
    <row r="922">
      <c r="A922" s="109">
        <f>IF(AND(C922="",D922=""),"",ROW()-3)</f>
      </c>
      <c r="B922" s="140" t="n"/>
      <c r="C922" s="141" t="n"/>
      <c r="D922" s="141" t="n"/>
      <c r="E922" s="148" t="n"/>
      <c r="F922" s="149" t="n"/>
      <c r="G922" s="150">
        <f>IF(AND(E922&lt;&gt;"",F922&lt;&gt;""),E922*F922,"")</f>
      </c>
      <c r="H922" s="148" t="n"/>
      <c r="I922" s="142" t="n"/>
      <c r="J922" s="146">
        <f>IF(AND(B922="",C922="",D922="",E922="",F922="",H922=""),"",IF(NOT(ISNUMBER(B922)),"✗ 日期不是真日期",IF(OR(B922&lt;年初日,B922&gt;年末日),"✗ 日期不在本年度",IF(C922="","✗ 没选供应商",IF(COUNTIF(基础资料!$Q$5:$Q$54,C922)=0,"✗ 供应商不在基础资料里",IF(D922="","✗ 没选商品",IF(COUNTIF(基础资料!$E$5:$E$104,D922)=0,"✗ 商品不在商品档案里",IF(AND(E922="",H922=""),"✗ 没填数量",IF(AND(N(E922)&lt;&gt;0,F922=""),"✗ 没填进价","√")))))))))</f>
      </c>
    </row>
    <row r="923">
      <c r="A923" s="109">
        <f>IF(AND(C923="",D923=""),"",ROW()-3)</f>
      </c>
      <c r="B923" s="140" t="n"/>
      <c r="C923" s="141" t="n"/>
      <c r="D923" s="141" t="n"/>
      <c r="E923" s="148" t="n"/>
      <c r="F923" s="149" t="n"/>
      <c r="G923" s="150">
        <f>IF(AND(E923&lt;&gt;"",F923&lt;&gt;""),E923*F923,"")</f>
      </c>
      <c r="H923" s="148" t="n"/>
      <c r="I923" s="142" t="n"/>
      <c r="J923" s="146">
        <f>IF(AND(B923="",C923="",D923="",E923="",F923="",H923=""),"",IF(NOT(ISNUMBER(B923)),"✗ 日期不是真日期",IF(OR(B923&lt;年初日,B923&gt;年末日),"✗ 日期不在本年度",IF(C923="","✗ 没选供应商",IF(COUNTIF(基础资料!$Q$5:$Q$54,C923)=0,"✗ 供应商不在基础资料里",IF(D923="","✗ 没选商品",IF(COUNTIF(基础资料!$E$5:$E$104,D923)=0,"✗ 商品不在商品档案里",IF(AND(E923="",H923=""),"✗ 没填数量",IF(AND(N(E923)&lt;&gt;0,F923=""),"✗ 没填进价","√")))))))))</f>
      </c>
    </row>
    <row r="924">
      <c r="A924" s="109">
        <f>IF(AND(C924="",D924=""),"",ROW()-3)</f>
      </c>
      <c r="B924" s="140" t="n"/>
      <c r="C924" s="141" t="n"/>
      <c r="D924" s="141" t="n"/>
      <c r="E924" s="148" t="n"/>
      <c r="F924" s="149" t="n"/>
      <c r="G924" s="150">
        <f>IF(AND(E924&lt;&gt;"",F924&lt;&gt;""),E924*F924,"")</f>
      </c>
      <c r="H924" s="148" t="n"/>
      <c r="I924" s="142" t="n"/>
      <c r="J924" s="146">
        <f>IF(AND(B924="",C924="",D924="",E924="",F924="",H924=""),"",IF(NOT(ISNUMBER(B924)),"✗ 日期不是真日期",IF(OR(B924&lt;年初日,B924&gt;年末日),"✗ 日期不在本年度",IF(C924="","✗ 没选供应商",IF(COUNTIF(基础资料!$Q$5:$Q$54,C924)=0,"✗ 供应商不在基础资料里",IF(D924="","✗ 没选商品",IF(COUNTIF(基础资料!$E$5:$E$104,D924)=0,"✗ 商品不在商品档案里",IF(AND(E924="",H924=""),"✗ 没填数量",IF(AND(N(E924)&lt;&gt;0,F924=""),"✗ 没填进价","√")))))))))</f>
      </c>
    </row>
    <row r="925">
      <c r="A925" s="109">
        <f>IF(AND(C925="",D925=""),"",ROW()-3)</f>
      </c>
      <c r="B925" s="140" t="n"/>
      <c r="C925" s="141" t="n"/>
      <c r="D925" s="141" t="n"/>
      <c r="E925" s="148" t="n"/>
      <c r="F925" s="149" t="n"/>
      <c r="G925" s="150">
        <f>IF(AND(E925&lt;&gt;"",F925&lt;&gt;""),E925*F925,"")</f>
      </c>
      <c r="H925" s="148" t="n"/>
      <c r="I925" s="142" t="n"/>
      <c r="J925" s="146">
        <f>IF(AND(B925="",C925="",D925="",E925="",F925="",H925=""),"",IF(NOT(ISNUMBER(B925)),"✗ 日期不是真日期",IF(OR(B925&lt;年初日,B925&gt;年末日),"✗ 日期不在本年度",IF(C925="","✗ 没选供应商",IF(COUNTIF(基础资料!$Q$5:$Q$54,C925)=0,"✗ 供应商不在基础资料里",IF(D925="","✗ 没选商品",IF(COUNTIF(基础资料!$E$5:$E$104,D925)=0,"✗ 商品不在商品档案里",IF(AND(E925="",H925=""),"✗ 没填数量",IF(AND(N(E925)&lt;&gt;0,F925=""),"✗ 没填进价","√")))))))))</f>
      </c>
    </row>
    <row r="926">
      <c r="A926" s="109">
        <f>IF(AND(C926="",D926=""),"",ROW()-3)</f>
      </c>
      <c r="B926" s="140" t="n"/>
      <c r="C926" s="141" t="n"/>
      <c r="D926" s="141" t="n"/>
      <c r="E926" s="148" t="n"/>
      <c r="F926" s="149" t="n"/>
      <c r="G926" s="150">
        <f>IF(AND(E926&lt;&gt;"",F926&lt;&gt;""),E926*F926,"")</f>
      </c>
      <c r="H926" s="148" t="n"/>
      <c r="I926" s="142" t="n"/>
      <c r="J926" s="146">
        <f>IF(AND(B926="",C926="",D926="",E926="",F926="",H926=""),"",IF(NOT(ISNUMBER(B926)),"✗ 日期不是真日期",IF(OR(B926&lt;年初日,B926&gt;年末日),"✗ 日期不在本年度",IF(C926="","✗ 没选供应商",IF(COUNTIF(基础资料!$Q$5:$Q$54,C926)=0,"✗ 供应商不在基础资料里",IF(D926="","✗ 没选商品",IF(COUNTIF(基础资料!$E$5:$E$104,D926)=0,"✗ 商品不在商品档案里",IF(AND(E926="",H926=""),"✗ 没填数量",IF(AND(N(E926)&lt;&gt;0,F926=""),"✗ 没填进价","√")))))))))</f>
      </c>
    </row>
    <row r="927">
      <c r="A927" s="109">
        <f>IF(AND(C927="",D927=""),"",ROW()-3)</f>
      </c>
      <c r="B927" s="140" t="n"/>
      <c r="C927" s="141" t="n"/>
      <c r="D927" s="141" t="n"/>
      <c r="E927" s="148" t="n"/>
      <c r="F927" s="149" t="n"/>
      <c r="G927" s="150">
        <f>IF(AND(E927&lt;&gt;"",F927&lt;&gt;""),E927*F927,"")</f>
      </c>
      <c r="H927" s="148" t="n"/>
      <c r="I927" s="142" t="n"/>
      <c r="J927" s="146">
        <f>IF(AND(B927="",C927="",D927="",E927="",F927="",H927=""),"",IF(NOT(ISNUMBER(B927)),"✗ 日期不是真日期",IF(OR(B927&lt;年初日,B927&gt;年末日),"✗ 日期不在本年度",IF(C927="","✗ 没选供应商",IF(COUNTIF(基础资料!$Q$5:$Q$54,C927)=0,"✗ 供应商不在基础资料里",IF(D927="","✗ 没选商品",IF(COUNTIF(基础资料!$E$5:$E$104,D927)=0,"✗ 商品不在商品档案里",IF(AND(E927="",H927=""),"✗ 没填数量",IF(AND(N(E927)&lt;&gt;0,F927=""),"✗ 没填进价","√")))))))))</f>
      </c>
    </row>
    <row r="928">
      <c r="A928" s="109">
        <f>IF(AND(C928="",D928=""),"",ROW()-3)</f>
      </c>
      <c r="B928" s="140" t="n"/>
      <c r="C928" s="141" t="n"/>
      <c r="D928" s="141" t="n"/>
      <c r="E928" s="148" t="n"/>
      <c r="F928" s="149" t="n"/>
      <c r="G928" s="150">
        <f>IF(AND(E928&lt;&gt;"",F928&lt;&gt;""),E928*F928,"")</f>
      </c>
      <c r="H928" s="148" t="n"/>
      <c r="I928" s="142" t="n"/>
      <c r="J928" s="146">
        <f>IF(AND(B928="",C928="",D928="",E928="",F928="",H928=""),"",IF(NOT(ISNUMBER(B928)),"✗ 日期不是真日期",IF(OR(B928&lt;年初日,B928&gt;年末日),"✗ 日期不在本年度",IF(C928="","✗ 没选供应商",IF(COUNTIF(基础资料!$Q$5:$Q$54,C928)=0,"✗ 供应商不在基础资料里",IF(D928="","✗ 没选商品",IF(COUNTIF(基础资料!$E$5:$E$104,D928)=0,"✗ 商品不在商品档案里",IF(AND(E928="",H928=""),"✗ 没填数量",IF(AND(N(E928)&lt;&gt;0,F928=""),"✗ 没填进价","√")))))))))</f>
      </c>
    </row>
    <row r="929">
      <c r="A929" s="109">
        <f>IF(AND(C929="",D929=""),"",ROW()-3)</f>
      </c>
      <c r="B929" s="140" t="n"/>
      <c r="C929" s="141" t="n"/>
      <c r="D929" s="141" t="n"/>
      <c r="E929" s="148" t="n"/>
      <c r="F929" s="149" t="n"/>
      <c r="G929" s="150">
        <f>IF(AND(E929&lt;&gt;"",F929&lt;&gt;""),E929*F929,"")</f>
      </c>
      <c r="H929" s="148" t="n"/>
      <c r="I929" s="142" t="n"/>
      <c r="J929" s="146">
        <f>IF(AND(B929="",C929="",D929="",E929="",F929="",H929=""),"",IF(NOT(ISNUMBER(B929)),"✗ 日期不是真日期",IF(OR(B929&lt;年初日,B929&gt;年末日),"✗ 日期不在本年度",IF(C929="","✗ 没选供应商",IF(COUNTIF(基础资料!$Q$5:$Q$54,C929)=0,"✗ 供应商不在基础资料里",IF(D929="","✗ 没选商品",IF(COUNTIF(基础资料!$E$5:$E$104,D929)=0,"✗ 商品不在商品档案里",IF(AND(E929="",H929=""),"✗ 没填数量",IF(AND(N(E929)&lt;&gt;0,F929=""),"✗ 没填进价","√")))))))))</f>
      </c>
    </row>
    <row r="930">
      <c r="A930" s="109">
        <f>IF(AND(C930="",D930=""),"",ROW()-3)</f>
      </c>
      <c r="B930" s="140" t="n"/>
      <c r="C930" s="141" t="n"/>
      <c r="D930" s="141" t="n"/>
      <c r="E930" s="148" t="n"/>
      <c r="F930" s="149" t="n"/>
      <c r="G930" s="150">
        <f>IF(AND(E930&lt;&gt;"",F930&lt;&gt;""),E930*F930,"")</f>
      </c>
      <c r="H930" s="148" t="n"/>
      <c r="I930" s="142" t="n"/>
      <c r="J930" s="146">
        <f>IF(AND(B930="",C930="",D930="",E930="",F930="",H930=""),"",IF(NOT(ISNUMBER(B930)),"✗ 日期不是真日期",IF(OR(B930&lt;年初日,B930&gt;年末日),"✗ 日期不在本年度",IF(C930="","✗ 没选供应商",IF(COUNTIF(基础资料!$Q$5:$Q$54,C930)=0,"✗ 供应商不在基础资料里",IF(D930="","✗ 没选商品",IF(COUNTIF(基础资料!$E$5:$E$104,D930)=0,"✗ 商品不在商品档案里",IF(AND(E930="",H930=""),"✗ 没填数量",IF(AND(N(E930)&lt;&gt;0,F930=""),"✗ 没填进价","√")))))))))</f>
      </c>
    </row>
    <row r="931">
      <c r="A931" s="109">
        <f>IF(AND(C931="",D931=""),"",ROW()-3)</f>
      </c>
      <c r="B931" s="140" t="n"/>
      <c r="C931" s="141" t="n"/>
      <c r="D931" s="141" t="n"/>
      <c r="E931" s="148" t="n"/>
      <c r="F931" s="149" t="n"/>
      <c r="G931" s="150">
        <f>IF(AND(E931&lt;&gt;"",F931&lt;&gt;""),E931*F931,"")</f>
      </c>
      <c r="H931" s="148" t="n"/>
      <c r="I931" s="142" t="n"/>
      <c r="J931" s="146">
        <f>IF(AND(B931="",C931="",D931="",E931="",F931="",H931=""),"",IF(NOT(ISNUMBER(B931)),"✗ 日期不是真日期",IF(OR(B931&lt;年初日,B931&gt;年末日),"✗ 日期不在本年度",IF(C931="","✗ 没选供应商",IF(COUNTIF(基础资料!$Q$5:$Q$54,C931)=0,"✗ 供应商不在基础资料里",IF(D931="","✗ 没选商品",IF(COUNTIF(基础资料!$E$5:$E$104,D931)=0,"✗ 商品不在商品档案里",IF(AND(E931="",H931=""),"✗ 没填数量",IF(AND(N(E931)&lt;&gt;0,F931=""),"✗ 没填进价","√")))))))))</f>
      </c>
    </row>
    <row r="932">
      <c r="A932" s="109">
        <f>IF(AND(C932="",D932=""),"",ROW()-3)</f>
      </c>
      <c r="B932" s="140" t="n"/>
      <c r="C932" s="141" t="n"/>
      <c r="D932" s="141" t="n"/>
      <c r="E932" s="148" t="n"/>
      <c r="F932" s="149" t="n"/>
      <c r="G932" s="150">
        <f>IF(AND(E932&lt;&gt;"",F932&lt;&gt;""),E932*F932,"")</f>
      </c>
      <c r="H932" s="148" t="n"/>
      <c r="I932" s="142" t="n"/>
      <c r="J932" s="146">
        <f>IF(AND(B932="",C932="",D932="",E932="",F932="",H932=""),"",IF(NOT(ISNUMBER(B932)),"✗ 日期不是真日期",IF(OR(B932&lt;年初日,B932&gt;年末日),"✗ 日期不在本年度",IF(C932="","✗ 没选供应商",IF(COUNTIF(基础资料!$Q$5:$Q$54,C932)=0,"✗ 供应商不在基础资料里",IF(D932="","✗ 没选商品",IF(COUNTIF(基础资料!$E$5:$E$104,D932)=0,"✗ 商品不在商品档案里",IF(AND(E932="",H932=""),"✗ 没填数量",IF(AND(N(E932)&lt;&gt;0,F932=""),"✗ 没填进价","√")))))))))</f>
      </c>
    </row>
    <row r="933">
      <c r="A933" s="109">
        <f>IF(AND(C933="",D933=""),"",ROW()-3)</f>
      </c>
      <c r="B933" s="140" t="n"/>
      <c r="C933" s="141" t="n"/>
      <c r="D933" s="141" t="n"/>
      <c r="E933" s="148" t="n"/>
      <c r="F933" s="149" t="n"/>
      <c r="G933" s="150">
        <f>IF(AND(E933&lt;&gt;"",F933&lt;&gt;""),E933*F933,"")</f>
      </c>
      <c r="H933" s="148" t="n"/>
      <c r="I933" s="142" t="n"/>
      <c r="J933" s="146">
        <f>IF(AND(B933="",C933="",D933="",E933="",F933="",H933=""),"",IF(NOT(ISNUMBER(B933)),"✗ 日期不是真日期",IF(OR(B933&lt;年初日,B933&gt;年末日),"✗ 日期不在本年度",IF(C933="","✗ 没选供应商",IF(COUNTIF(基础资料!$Q$5:$Q$54,C933)=0,"✗ 供应商不在基础资料里",IF(D933="","✗ 没选商品",IF(COUNTIF(基础资料!$E$5:$E$104,D933)=0,"✗ 商品不在商品档案里",IF(AND(E933="",H933=""),"✗ 没填数量",IF(AND(N(E933)&lt;&gt;0,F933=""),"✗ 没填进价","√")))))))))</f>
      </c>
    </row>
    <row r="934">
      <c r="A934" s="109">
        <f>IF(AND(C934="",D934=""),"",ROW()-3)</f>
      </c>
      <c r="B934" s="140" t="n"/>
      <c r="C934" s="141" t="n"/>
      <c r="D934" s="141" t="n"/>
      <c r="E934" s="148" t="n"/>
      <c r="F934" s="149" t="n"/>
      <c r="G934" s="150">
        <f>IF(AND(E934&lt;&gt;"",F934&lt;&gt;""),E934*F934,"")</f>
      </c>
      <c r="H934" s="148" t="n"/>
      <c r="I934" s="142" t="n"/>
      <c r="J934" s="146">
        <f>IF(AND(B934="",C934="",D934="",E934="",F934="",H934=""),"",IF(NOT(ISNUMBER(B934)),"✗ 日期不是真日期",IF(OR(B934&lt;年初日,B934&gt;年末日),"✗ 日期不在本年度",IF(C934="","✗ 没选供应商",IF(COUNTIF(基础资料!$Q$5:$Q$54,C934)=0,"✗ 供应商不在基础资料里",IF(D934="","✗ 没选商品",IF(COUNTIF(基础资料!$E$5:$E$104,D934)=0,"✗ 商品不在商品档案里",IF(AND(E934="",H934=""),"✗ 没填数量",IF(AND(N(E934)&lt;&gt;0,F934=""),"✗ 没填进价","√")))))))))</f>
      </c>
    </row>
    <row r="935">
      <c r="A935" s="109">
        <f>IF(AND(C935="",D935=""),"",ROW()-3)</f>
      </c>
      <c r="B935" s="140" t="n"/>
      <c r="C935" s="141" t="n"/>
      <c r="D935" s="141" t="n"/>
      <c r="E935" s="148" t="n"/>
      <c r="F935" s="149" t="n"/>
      <c r="G935" s="150">
        <f>IF(AND(E935&lt;&gt;"",F935&lt;&gt;""),E935*F935,"")</f>
      </c>
      <c r="H935" s="148" t="n"/>
      <c r="I935" s="142" t="n"/>
      <c r="J935" s="146">
        <f>IF(AND(B935="",C935="",D935="",E935="",F935="",H935=""),"",IF(NOT(ISNUMBER(B935)),"✗ 日期不是真日期",IF(OR(B935&lt;年初日,B935&gt;年末日),"✗ 日期不在本年度",IF(C935="","✗ 没选供应商",IF(COUNTIF(基础资料!$Q$5:$Q$54,C935)=0,"✗ 供应商不在基础资料里",IF(D935="","✗ 没选商品",IF(COUNTIF(基础资料!$E$5:$E$104,D935)=0,"✗ 商品不在商品档案里",IF(AND(E935="",H935=""),"✗ 没填数量",IF(AND(N(E935)&lt;&gt;0,F935=""),"✗ 没填进价","√")))))))))</f>
      </c>
    </row>
    <row r="936">
      <c r="A936" s="109">
        <f>IF(AND(C936="",D936=""),"",ROW()-3)</f>
      </c>
      <c r="B936" s="140" t="n"/>
      <c r="C936" s="141" t="n"/>
      <c r="D936" s="141" t="n"/>
      <c r="E936" s="148" t="n"/>
      <c r="F936" s="149" t="n"/>
      <c r="G936" s="150">
        <f>IF(AND(E936&lt;&gt;"",F936&lt;&gt;""),E936*F936,"")</f>
      </c>
      <c r="H936" s="148" t="n"/>
      <c r="I936" s="142" t="n"/>
      <c r="J936" s="146">
        <f>IF(AND(B936="",C936="",D936="",E936="",F936="",H936=""),"",IF(NOT(ISNUMBER(B936)),"✗ 日期不是真日期",IF(OR(B936&lt;年初日,B936&gt;年末日),"✗ 日期不在本年度",IF(C936="","✗ 没选供应商",IF(COUNTIF(基础资料!$Q$5:$Q$54,C936)=0,"✗ 供应商不在基础资料里",IF(D936="","✗ 没选商品",IF(COUNTIF(基础资料!$E$5:$E$104,D936)=0,"✗ 商品不在商品档案里",IF(AND(E936="",H936=""),"✗ 没填数量",IF(AND(N(E936)&lt;&gt;0,F936=""),"✗ 没填进价","√")))))))))</f>
      </c>
    </row>
    <row r="937">
      <c r="A937" s="109">
        <f>IF(AND(C937="",D937=""),"",ROW()-3)</f>
      </c>
      <c r="B937" s="140" t="n"/>
      <c r="C937" s="141" t="n"/>
      <c r="D937" s="141" t="n"/>
      <c r="E937" s="148" t="n"/>
      <c r="F937" s="149" t="n"/>
      <c r="G937" s="150">
        <f>IF(AND(E937&lt;&gt;"",F937&lt;&gt;""),E937*F937,"")</f>
      </c>
      <c r="H937" s="148" t="n"/>
      <c r="I937" s="142" t="n"/>
      <c r="J937" s="146">
        <f>IF(AND(B937="",C937="",D937="",E937="",F937="",H937=""),"",IF(NOT(ISNUMBER(B937)),"✗ 日期不是真日期",IF(OR(B937&lt;年初日,B937&gt;年末日),"✗ 日期不在本年度",IF(C937="","✗ 没选供应商",IF(COUNTIF(基础资料!$Q$5:$Q$54,C937)=0,"✗ 供应商不在基础资料里",IF(D937="","✗ 没选商品",IF(COUNTIF(基础资料!$E$5:$E$104,D937)=0,"✗ 商品不在商品档案里",IF(AND(E937="",H937=""),"✗ 没填数量",IF(AND(N(E937)&lt;&gt;0,F937=""),"✗ 没填进价","√")))))))))</f>
      </c>
    </row>
    <row r="938">
      <c r="A938" s="109">
        <f>IF(AND(C938="",D938=""),"",ROW()-3)</f>
      </c>
      <c r="B938" s="140" t="n"/>
      <c r="C938" s="141" t="n"/>
      <c r="D938" s="141" t="n"/>
      <c r="E938" s="148" t="n"/>
      <c r="F938" s="149" t="n"/>
      <c r="G938" s="150">
        <f>IF(AND(E938&lt;&gt;"",F938&lt;&gt;""),E938*F938,"")</f>
      </c>
      <c r="H938" s="148" t="n"/>
      <c r="I938" s="142" t="n"/>
      <c r="J938" s="146">
        <f>IF(AND(B938="",C938="",D938="",E938="",F938="",H938=""),"",IF(NOT(ISNUMBER(B938)),"✗ 日期不是真日期",IF(OR(B938&lt;年初日,B938&gt;年末日),"✗ 日期不在本年度",IF(C938="","✗ 没选供应商",IF(COUNTIF(基础资料!$Q$5:$Q$54,C938)=0,"✗ 供应商不在基础资料里",IF(D938="","✗ 没选商品",IF(COUNTIF(基础资料!$E$5:$E$104,D938)=0,"✗ 商品不在商品档案里",IF(AND(E938="",H938=""),"✗ 没填数量",IF(AND(N(E938)&lt;&gt;0,F938=""),"✗ 没填进价","√")))))))))</f>
      </c>
    </row>
    <row r="939">
      <c r="A939" s="109">
        <f>IF(AND(C939="",D939=""),"",ROW()-3)</f>
      </c>
      <c r="B939" s="140" t="n"/>
      <c r="C939" s="141" t="n"/>
      <c r="D939" s="141" t="n"/>
      <c r="E939" s="148" t="n"/>
      <c r="F939" s="149" t="n"/>
      <c r="G939" s="150">
        <f>IF(AND(E939&lt;&gt;"",F939&lt;&gt;""),E939*F939,"")</f>
      </c>
      <c r="H939" s="148" t="n"/>
      <c r="I939" s="142" t="n"/>
      <c r="J939" s="146">
        <f>IF(AND(B939="",C939="",D939="",E939="",F939="",H939=""),"",IF(NOT(ISNUMBER(B939)),"✗ 日期不是真日期",IF(OR(B939&lt;年初日,B939&gt;年末日),"✗ 日期不在本年度",IF(C939="","✗ 没选供应商",IF(COUNTIF(基础资料!$Q$5:$Q$54,C939)=0,"✗ 供应商不在基础资料里",IF(D939="","✗ 没选商品",IF(COUNTIF(基础资料!$E$5:$E$104,D939)=0,"✗ 商品不在商品档案里",IF(AND(E939="",H939=""),"✗ 没填数量",IF(AND(N(E939)&lt;&gt;0,F939=""),"✗ 没填进价","√")))))))))</f>
      </c>
    </row>
    <row r="940">
      <c r="A940" s="109">
        <f>IF(AND(C940="",D940=""),"",ROW()-3)</f>
      </c>
      <c r="B940" s="140" t="n"/>
      <c r="C940" s="141" t="n"/>
      <c r="D940" s="141" t="n"/>
      <c r="E940" s="148" t="n"/>
      <c r="F940" s="149" t="n"/>
      <c r="G940" s="150">
        <f>IF(AND(E940&lt;&gt;"",F940&lt;&gt;""),E940*F940,"")</f>
      </c>
      <c r="H940" s="148" t="n"/>
      <c r="I940" s="142" t="n"/>
      <c r="J940" s="146">
        <f>IF(AND(B940="",C940="",D940="",E940="",F940="",H940=""),"",IF(NOT(ISNUMBER(B940)),"✗ 日期不是真日期",IF(OR(B940&lt;年初日,B940&gt;年末日),"✗ 日期不在本年度",IF(C940="","✗ 没选供应商",IF(COUNTIF(基础资料!$Q$5:$Q$54,C940)=0,"✗ 供应商不在基础资料里",IF(D940="","✗ 没选商品",IF(COUNTIF(基础资料!$E$5:$E$104,D940)=0,"✗ 商品不在商品档案里",IF(AND(E940="",H940=""),"✗ 没填数量",IF(AND(N(E940)&lt;&gt;0,F940=""),"✗ 没填进价","√")))))))))</f>
      </c>
    </row>
    <row r="941">
      <c r="A941" s="109">
        <f>IF(AND(C941="",D941=""),"",ROW()-3)</f>
      </c>
      <c r="B941" s="140" t="n"/>
      <c r="C941" s="141" t="n"/>
      <c r="D941" s="141" t="n"/>
      <c r="E941" s="148" t="n"/>
      <c r="F941" s="149" t="n"/>
      <c r="G941" s="150">
        <f>IF(AND(E941&lt;&gt;"",F941&lt;&gt;""),E941*F941,"")</f>
      </c>
      <c r="H941" s="148" t="n"/>
      <c r="I941" s="142" t="n"/>
      <c r="J941" s="146">
        <f>IF(AND(B941="",C941="",D941="",E941="",F941="",H941=""),"",IF(NOT(ISNUMBER(B941)),"✗ 日期不是真日期",IF(OR(B941&lt;年初日,B941&gt;年末日),"✗ 日期不在本年度",IF(C941="","✗ 没选供应商",IF(COUNTIF(基础资料!$Q$5:$Q$54,C941)=0,"✗ 供应商不在基础资料里",IF(D941="","✗ 没选商品",IF(COUNTIF(基础资料!$E$5:$E$104,D941)=0,"✗ 商品不在商品档案里",IF(AND(E941="",H941=""),"✗ 没填数量",IF(AND(N(E941)&lt;&gt;0,F941=""),"✗ 没填进价","√")))))))))</f>
      </c>
    </row>
    <row r="942">
      <c r="A942" s="109">
        <f>IF(AND(C942="",D942=""),"",ROW()-3)</f>
      </c>
      <c r="B942" s="140" t="n"/>
      <c r="C942" s="141" t="n"/>
      <c r="D942" s="141" t="n"/>
      <c r="E942" s="148" t="n"/>
      <c r="F942" s="149" t="n"/>
      <c r="G942" s="150">
        <f>IF(AND(E942&lt;&gt;"",F942&lt;&gt;""),E942*F942,"")</f>
      </c>
      <c r="H942" s="148" t="n"/>
      <c r="I942" s="142" t="n"/>
      <c r="J942" s="146">
        <f>IF(AND(B942="",C942="",D942="",E942="",F942="",H942=""),"",IF(NOT(ISNUMBER(B942)),"✗ 日期不是真日期",IF(OR(B942&lt;年初日,B942&gt;年末日),"✗ 日期不在本年度",IF(C942="","✗ 没选供应商",IF(COUNTIF(基础资料!$Q$5:$Q$54,C942)=0,"✗ 供应商不在基础资料里",IF(D942="","✗ 没选商品",IF(COUNTIF(基础资料!$E$5:$E$104,D942)=0,"✗ 商品不在商品档案里",IF(AND(E942="",H942=""),"✗ 没填数量",IF(AND(N(E942)&lt;&gt;0,F942=""),"✗ 没填进价","√")))))))))</f>
      </c>
    </row>
    <row r="943">
      <c r="A943" s="109">
        <f>IF(AND(C943="",D943=""),"",ROW()-3)</f>
      </c>
      <c r="B943" s="140" t="n"/>
      <c r="C943" s="141" t="n"/>
      <c r="D943" s="141" t="n"/>
      <c r="E943" s="148" t="n"/>
      <c r="F943" s="149" t="n"/>
      <c r="G943" s="150">
        <f>IF(AND(E943&lt;&gt;"",F943&lt;&gt;""),E943*F943,"")</f>
      </c>
      <c r="H943" s="148" t="n"/>
      <c r="I943" s="142" t="n"/>
      <c r="J943" s="146">
        <f>IF(AND(B943="",C943="",D943="",E943="",F943="",H943=""),"",IF(NOT(ISNUMBER(B943)),"✗ 日期不是真日期",IF(OR(B943&lt;年初日,B943&gt;年末日),"✗ 日期不在本年度",IF(C943="","✗ 没选供应商",IF(COUNTIF(基础资料!$Q$5:$Q$54,C943)=0,"✗ 供应商不在基础资料里",IF(D943="","✗ 没选商品",IF(COUNTIF(基础资料!$E$5:$E$104,D943)=0,"✗ 商品不在商品档案里",IF(AND(E943="",H943=""),"✗ 没填数量",IF(AND(N(E943)&lt;&gt;0,F943=""),"✗ 没填进价","√")))))))))</f>
      </c>
    </row>
    <row r="944">
      <c r="A944" s="109">
        <f>IF(AND(C944="",D944=""),"",ROW()-3)</f>
      </c>
      <c r="B944" s="140" t="n"/>
      <c r="C944" s="141" t="n"/>
      <c r="D944" s="141" t="n"/>
      <c r="E944" s="148" t="n"/>
      <c r="F944" s="149" t="n"/>
      <c r="G944" s="150">
        <f>IF(AND(E944&lt;&gt;"",F944&lt;&gt;""),E944*F944,"")</f>
      </c>
      <c r="H944" s="148" t="n"/>
      <c r="I944" s="142" t="n"/>
      <c r="J944" s="146">
        <f>IF(AND(B944="",C944="",D944="",E944="",F944="",H944=""),"",IF(NOT(ISNUMBER(B944)),"✗ 日期不是真日期",IF(OR(B944&lt;年初日,B944&gt;年末日),"✗ 日期不在本年度",IF(C944="","✗ 没选供应商",IF(COUNTIF(基础资料!$Q$5:$Q$54,C944)=0,"✗ 供应商不在基础资料里",IF(D944="","✗ 没选商品",IF(COUNTIF(基础资料!$E$5:$E$104,D944)=0,"✗ 商品不在商品档案里",IF(AND(E944="",H944=""),"✗ 没填数量",IF(AND(N(E944)&lt;&gt;0,F944=""),"✗ 没填进价","√")))))))))</f>
      </c>
    </row>
    <row r="945">
      <c r="A945" s="109">
        <f>IF(AND(C945="",D945=""),"",ROW()-3)</f>
      </c>
      <c r="B945" s="140" t="n"/>
      <c r="C945" s="141" t="n"/>
      <c r="D945" s="141" t="n"/>
      <c r="E945" s="148" t="n"/>
      <c r="F945" s="149" t="n"/>
      <c r="G945" s="150">
        <f>IF(AND(E945&lt;&gt;"",F945&lt;&gt;""),E945*F945,"")</f>
      </c>
      <c r="H945" s="148" t="n"/>
      <c r="I945" s="142" t="n"/>
      <c r="J945" s="146">
        <f>IF(AND(B945="",C945="",D945="",E945="",F945="",H945=""),"",IF(NOT(ISNUMBER(B945)),"✗ 日期不是真日期",IF(OR(B945&lt;年初日,B945&gt;年末日),"✗ 日期不在本年度",IF(C945="","✗ 没选供应商",IF(COUNTIF(基础资料!$Q$5:$Q$54,C945)=0,"✗ 供应商不在基础资料里",IF(D945="","✗ 没选商品",IF(COUNTIF(基础资料!$E$5:$E$104,D945)=0,"✗ 商品不在商品档案里",IF(AND(E945="",H945=""),"✗ 没填数量",IF(AND(N(E945)&lt;&gt;0,F945=""),"✗ 没填进价","√")))))))))</f>
      </c>
    </row>
    <row r="946">
      <c r="A946" s="109">
        <f>IF(AND(C946="",D946=""),"",ROW()-3)</f>
      </c>
      <c r="B946" s="140" t="n"/>
      <c r="C946" s="141" t="n"/>
      <c r="D946" s="141" t="n"/>
      <c r="E946" s="148" t="n"/>
      <c r="F946" s="149" t="n"/>
      <c r="G946" s="150">
        <f>IF(AND(E946&lt;&gt;"",F946&lt;&gt;""),E946*F946,"")</f>
      </c>
      <c r="H946" s="148" t="n"/>
      <c r="I946" s="142" t="n"/>
      <c r="J946" s="146">
        <f>IF(AND(B946="",C946="",D946="",E946="",F946="",H946=""),"",IF(NOT(ISNUMBER(B946)),"✗ 日期不是真日期",IF(OR(B946&lt;年初日,B946&gt;年末日),"✗ 日期不在本年度",IF(C946="","✗ 没选供应商",IF(COUNTIF(基础资料!$Q$5:$Q$54,C946)=0,"✗ 供应商不在基础资料里",IF(D946="","✗ 没选商品",IF(COUNTIF(基础资料!$E$5:$E$104,D946)=0,"✗ 商品不在商品档案里",IF(AND(E946="",H946=""),"✗ 没填数量",IF(AND(N(E946)&lt;&gt;0,F946=""),"✗ 没填进价","√")))))))))</f>
      </c>
    </row>
    <row r="947">
      <c r="A947" s="109">
        <f>IF(AND(C947="",D947=""),"",ROW()-3)</f>
      </c>
      <c r="B947" s="140" t="n"/>
      <c r="C947" s="141" t="n"/>
      <c r="D947" s="141" t="n"/>
      <c r="E947" s="148" t="n"/>
      <c r="F947" s="149" t="n"/>
      <c r="G947" s="150">
        <f>IF(AND(E947&lt;&gt;"",F947&lt;&gt;""),E947*F947,"")</f>
      </c>
      <c r="H947" s="148" t="n"/>
      <c r="I947" s="142" t="n"/>
      <c r="J947" s="146">
        <f>IF(AND(B947="",C947="",D947="",E947="",F947="",H947=""),"",IF(NOT(ISNUMBER(B947)),"✗ 日期不是真日期",IF(OR(B947&lt;年初日,B947&gt;年末日),"✗ 日期不在本年度",IF(C947="","✗ 没选供应商",IF(COUNTIF(基础资料!$Q$5:$Q$54,C947)=0,"✗ 供应商不在基础资料里",IF(D947="","✗ 没选商品",IF(COUNTIF(基础资料!$E$5:$E$104,D947)=0,"✗ 商品不在商品档案里",IF(AND(E947="",H947=""),"✗ 没填数量",IF(AND(N(E947)&lt;&gt;0,F947=""),"✗ 没填进价","√")))))))))</f>
      </c>
    </row>
    <row r="948">
      <c r="A948" s="109">
        <f>IF(AND(C948="",D948=""),"",ROW()-3)</f>
      </c>
      <c r="B948" s="140" t="n"/>
      <c r="C948" s="141" t="n"/>
      <c r="D948" s="141" t="n"/>
      <c r="E948" s="148" t="n"/>
      <c r="F948" s="149" t="n"/>
      <c r="G948" s="150">
        <f>IF(AND(E948&lt;&gt;"",F948&lt;&gt;""),E948*F948,"")</f>
      </c>
      <c r="H948" s="148" t="n"/>
      <c r="I948" s="142" t="n"/>
      <c r="J948" s="146">
        <f>IF(AND(B948="",C948="",D948="",E948="",F948="",H948=""),"",IF(NOT(ISNUMBER(B948)),"✗ 日期不是真日期",IF(OR(B948&lt;年初日,B948&gt;年末日),"✗ 日期不在本年度",IF(C948="","✗ 没选供应商",IF(COUNTIF(基础资料!$Q$5:$Q$54,C948)=0,"✗ 供应商不在基础资料里",IF(D948="","✗ 没选商品",IF(COUNTIF(基础资料!$E$5:$E$104,D948)=0,"✗ 商品不在商品档案里",IF(AND(E948="",H948=""),"✗ 没填数量",IF(AND(N(E948)&lt;&gt;0,F948=""),"✗ 没填进价","√")))))))))</f>
      </c>
    </row>
    <row r="949">
      <c r="A949" s="109">
        <f>IF(AND(C949="",D949=""),"",ROW()-3)</f>
      </c>
      <c r="B949" s="140" t="n"/>
      <c r="C949" s="141" t="n"/>
      <c r="D949" s="141" t="n"/>
      <c r="E949" s="148" t="n"/>
      <c r="F949" s="149" t="n"/>
      <c r="G949" s="150">
        <f>IF(AND(E949&lt;&gt;"",F949&lt;&gt;""),E949*F949,"")</f>
      </c>
      <c r="H949" s="148" t="n"/>
      <c r="I949" s="142" t="n"/>
      <c r="J949" s="146">
        <f>IF(AND(B949="",C949="",D949="",E949="",F949="",H949=""),"",IF(NOT(ISNUMBER(B949)),"✗ 日期不是真日期",IF(OR(B949&lt;年初日,B949&gt;年末日),"✗ 日期不在本年度",IF(C949="","✗ 没选供应商",IF(COUNTIF(基础资料!$Q$5:$Q$54,C949)=0,"✗ 供应商不在基础资料里",IF(D949="","✗ 没选商品",IF(COUNTIF(基础资料!$E$5:$E$104,D949)=0,"✗ 商品不在商品档案里",IF(AND(E949="",H949=""),"✗ 没填数量",IF(AND(N(E949)&lt;&gt;0,F949=""),"✗ 没填进价","√")))))))))</f>
      </c>
    </row>
    <row r="950">
      <c r="A950" s="109">
        <f>IF(AND(C950="",D950=""),"",ROW()-3)</f>
      </c>
      <c r="B950" s="140" t="n"/>
      <c r="C950" s="141" t="n"/>
      <c r="D950" s="141" t="n"/>
      <c r="E950" s="148" t="n"/>
      <c r="F950" s="149" t="n"/>
      <c r="G950" s="150">
        <f>IF(AND(E950&lt;&gt;"",F950&lt;&gt;""),E950*F950,"")</f>
      </c>
      <c r="H950" s="148" t="n"/>
      <c r="I950" s="142" t="n"/>
      <c r="J950" s="146">
        <f>IF(AND(B950="",C950="",D950="",E950="",F950="",H950=""),"",IF(NOT(ISNUMBER(B950)),"✗ 日期不是真日期",IF(OR(B950&lt;年初日,B950&gt;年末日),"✗ 日期不在本年度",IF(C950="","✗ 没选供应商",IF(COUNTIF(基础资料!$Q$5:$Q$54,C950)=0,"✗ 供应商不在基础资料里",IF(D950="","✗ 没选商品",IF(COUNTIF(基础资料!$E$5:$E$104,D950)=0,"✗ 商品不在商品档案里",IF(AND(E950="",H950=""),"✗ 没填数量",IF(AND(N(E950)&lt;&gt;0,F950=""),"✗ 没填进价","√")))))))))</f>
      </c>
    </row>
    <row r="951">
      <c r="A951" s="109">
        <f>IF(AND(C951="",D951=""),"",ROW()-3)</f>
      </c>
      <c r="B951" s="140" t="n"/>
      <c r="C951" s="141" t="n"/>
      <c r="D951" s="141" t="n"/>
      <c r="E951" s="148" t="n"/>
      <c r="F951" s="149" t="n"/>
      <c r="G951" s="150">
        <f>IF(AND(E951&lt;&gt;"",F951&lt;&gt;""),E951*F951,"")</f>
      </c>
      <c r="H951" s="148" t="n"/>
      <c r="I951" s="142" t="n"/>
      <c r="J951" s="146">
        <f>IF(AND(B951="",C951="",D951="",E951="",F951="",H951=""),"",IF(NOT(ISNUMBER(B951)),"✗ 日期不是真日期",IF(OR(B951&lt;年初日,B951&gt;年末日),"✗ 日期不在本年度",IF(C951="","✗ 没选供应商",IF(COUNTIF(基础资料!$Q$5:$Q$54,C951)=0,"✗ 供应商不在基础资料里",IF(D951="","✗ 没选商品",IF(COUNTIF(基础资料!$E$5:$E$104,D951)=0,"✗ 商品不在商品档案里",IF(AND(E951="",H951=""),"✗ 没填数量",IF(AND(N(E951)&lt;&gt;0,F951=""),"✗ 没填进价","√")))))))))</f>
      </c>
    </row>
    <row r="952">
      <c r="A952" s="109">
        <f>IF(AND(C952="",D952=""),"",ROW()-3)</f>
      </c>
      <c r="B952" s="140" t="n"/>
      <c r="C952" s="141" t="n"/>
      <c r="D952" s="141" t="n"/>
      <c r="E952" s="148" t="n"/>
      <c r="F952" s="149" t="n"/>
      <c r="G952" s="150">
        <f>IF(AND(E952&lt;&gt;"",F952&lt;&gt;""),E952*F952,"")</f>
      </c>
      <c r="H952" s="148" t="n"/>
      <c r="I952" s="142" t="n"/>
      <c r="J952" s="146">
        <f>IF(AND(B952="",C952="",D952="",E952="",F952="",H952=""),"",IF(NOT(ISNUMBER(B952)),"✗ 日期不是真日期",IF(OR(B952&lt;年初日,B952&gt;年末日),"✗ 日期不在本年度",IF(C952="","✗ 没选供应商",IF(COUNTIF(基础资料!$Q$5:$Q$54,C952)=0,"✗ 供应商不在基础资料里",IF(D952="","✗ 没选商品",IF(COUNTIF(基础资料!$E$5:$E$104,D952)=0,"✗ 商品不在商品档案里",IF(AND(E952="",H952=""),"✗ 没填数量",IF(AND(N(E952)&lt;&gt;0,F952=""),"✗ 没填进价","√")))))))))</f>
      </c>
    </row>
    <row r="953">
      <c r="A953" s="109">
        <f>IF(AND(C953="",D953=""),"",ROW()-3)</f>
      </c>
      <c r="B953" s="140" t="n"/>
      <c r="C953" s="141" t="n"/>
      <c r="D953" s="141" t="n"/>
      <c r="E953" s="148" t="n"/>
      <c r="F953" s="149" t="n"/>
      <c r="G953" s="150">
        <f>IF(AND(E953&lt;&gt;"",F953&lt;&gt;""),E953*F953,"")</f>
      </c>
      <c r="H953" s="148" t="n"/>
      <c r="I953" s="142" t="n"/>
      <c r="J953" s="146">
        <f>IF(AND(B953="",C953="",D953="",E953="",F953="",H953=""),"",IF(NOT(ISNUMBER(B953)),"✗ 日期不是真日期",IF(OR(B953&lt;年初日,B953&gt;年末日),"✗ 日期不在本年度",IF(C953="","✗ 没选供应商",IF(COUNTIF(基础资料!$Q$5:$Q$54,C953)=0,"✗ 供应商不在基础资料里",IF(D953="","✗ 没选商品",IF(COUNTIF(基础资料!$E$5:$E$104,D953)=0,"✗ 商品不在商品档案里",IF(AND(E953="",H953=""),"✗ 没填数量",IF(AND(N(E953)&lt;&gt;0,F953=""),"✗ 没填进价","√")))))))))</f>
      </c>
    </row>
    <row r="954">
      <c r="A954" s="109">
        <f>IF(AND(C954="",D954=""),"",ROW()-3)</f>
      </c>
      <c r="B954" s="140" t="n"/>
      <c r="C954" s="141" t="n"/>
      <c r="D954" s="141" t="n"/>
      <c r="E954" s="148" t="n"/>
      <c r="F954" s="149" t="n"/>
      <c r="G954" s="150">
        <f>IF(AND(E954&lt;&gt;"",F954&lt;&gt;""),E954*F954,"")</f>
      </c>
      <c r="H954" s="148" t="n"/>
      <c r="I954" s="142" t="n"/>
      <c r="J954" s="146">
        <f>IF(AND(B954="",C954="",D954="",E954="",F954="",H954=""),"",IF(NOT(ISNUMBER(B954)),"✗ 日期不是真日期",IF(OR(B954&lt;年初日,B954&gt;年末日),"✗ 日期不在本年度",IF(C954="","✗ 没选供应商",IF(COUNTIF(基础资料!$Q$5:$Q$54,C954)=0,"✗ 供应商不在基础资料里",IF(D954="","✗ 没选商品",IF(COUNTIF(基础资料!$E$5:$E$104,D954)=0,"✗ 商品不在商品档案里",IF(AND(E954="",H954=""),"✗ 没填数量",IF(AND(N(E954)&lt;&gt;0,F954=""),"✗ 没填进价","√")))))))))</f>
      </c>
    </row>
    <row r="955">
      <c r="A955" s="109">
        <f>IF(AND(C955="",D955=""),"",ROW()-3)</f>
      </c>
      <c r="B955" s="140" t="n"/>
      <c r="C955" s="141" t="n"/>
      <c r="D955" s="141" t="n"/>
      <c r="E955" s="148" t="n"/>
      <c r="F955" s="149" t="n"/>
      <c r="G955" s="150">
        <f>IF(AND(E955&lt;&gt;"",F955&lt;&gt;""),E955*F955,"")</f>
      </c>
      <c r="H955" s="148" t="n"/>
      <c r="I955" s="142" t="n"/>
      <c r="J955" s="146">
        <f>IF(AND(B955="",C955="",D955="",E955="",F955="",H955=""),"",IF(NOT(ISNUMBER(B955)),"✗ 日期不是真日期",IF(OR(B955&lt;年初日,B955&gt;年末日),"✗ 日期不在本年度",IF(C955="","✗ 没选供应商",IF(COUNTIF(基础资料!$Q$5:$Q$54,C955)=0,"✗ 供应商不在基础资料里",IF(D955="","✗ 没选商品",IF(COUNTIF(基础资料!$E$5:$E$104,D955)=0,"✗ 商品不在商品档案里",IF(AND(E955="",H955=""),"✗ 没填数量",IF(AND(N(E955)&lt;&gt;0,F955=""),"✗ 没填进价","√")))))))))</f>
      </c>
    </row>
    <row r="956">
      <c r="A956" s="109">
        <f>IF(AND(C956="",D956=""),"",ROW()-3)</f>
      </c>
      <c r="B956" s="140" t="n"/>
      <c r="C956" s="141" t="n"/>
      <c r="D956" s="141" t="n"/>
      <c r="E956" s="148" t="n"/>
      <c r="F956" s="149" t="n"/>
      <c r="G956" s="150">
        <f>IF(AND(E956&lt;&gt;"",F956&lt;&gt;""),E956*F956,"")</f>
      </c>
      <c r="H956" s="148" t="n"/>
      <c r="I956" s="142" t="n"/>
      <c r="J956" s="146">
        <f>IF(AND(B956="",C956="",D956="",E956="",F956="",H956=""),"",IF(NOT(ISNUMBER(B956)),"✗ 日期不是真日期",IF(OR(B956&lt;年初日,B956&gt;年末日),"✗ 日期不在本年度",IF(C956="","✗ 没选供应商",IF(COUNTIF(基础资料!$Q$5:$Q$54,C956)=0,"✗ 供应商不在基础资料里",IF(D956="","✗ 没选商品",IF(COUNTIF(基础资料!$E$5:$E$104,D956)=0,"✗ 商品不在商品档案里",IF(AND(E956="",H956=""),"✗ 没填数量",IF(AND(N(E956)&lt;&gt;0,F956=""),"✗ 没填进价","√")))))))))</f>
      </c>
    </row>
    <row r="957">
      <c r="A957" s="109">
        <f>IF(AND(C957="",D957=""),"",ROW()-3)</f>
      </c>
      <c r="B957" s="140" t="n"/>
      <c r="C957" s="141" t="n"/>
      <c r="D957" s="141" t="n"/>
      <c r="E957" s="148" t="n"/>
      <c r="F957" s="149" t="n"/>
      <c r="G957" s="150">
        <f>IF(AND(E957&lt;&gt;"",F957&lt;&gt;""),E957*F957,"")</f>
      </c>
      <c r="H957" s="148" t="n"/>
      <c r="I957" s="142" t="n"/>
      <c r="J957" s="146">
        <f>IF(AND(B957="",C957="",D957="",E957="",F957="",H957=""),"",IF(NOT(ISNUMBER(B957)),"✗ 日期不是真日期",IF(OR(B957&lt;年初日,B957&gt;年末日),"✗ 日期不在本年度",IF(C957="","✗ 没选供应商",IF(COUNTIF(基础资料!$Q$5:$Q$54,C957)=0,"✗ 供应商不在基础资料里",IF(D957="","✗ 没选商品",IF(COUNTIF(基础资料!$E$5:$E$104,D957)=0,"✗ 商品不在商品档案里",IF(AND(E957="",H957=""),"✗ 没填数量",IF(AND(N(E957)&lt;&gt;0,F957=""),"✗ 没填进价","√")))))))))</f>
      </c>
    </row>
    <row r="958">
      <c r="A958" s="109">
        <f>IF(AND(C958="",D958=""),"",ROW()-3)</f>
      </c>
      <c r="B958" s="140" t="n"/>
      <c r="C958" s="141" t="n"/>
      <c r="D958" s="141" t="n"/>
      <c r="E958" s="148" t="n"/>
      <c r="F958" s="149" t="n"/>
      <c r="G958" s="150">
        <f>IF(AND(E958&lt;&gt;"",F958&lt;&gt;""),E958*F958,"")</f>
      </c>
      <c r="H958" s="148" t="n"/>
      <c r="I958" s="142" t="n"/>
      <c r="J958" s="146">
        <f>IF(AND(B958="",C958="",D958="",E958="",F958="",H958=""),"",IF(NOT(ISNUMBER(B958)),"✗ 日期不是真日期",IF(OR(B958&lt;年初日,B958&gt;年末日),"✗ 日期不在本年度",IF(C958="","✗ 没选供应商",IF(COUNTIF(基础资料!$Q$5:$Q$54,C958)=0,"✗ 供应商不在基础资料里",IF(D958="","✗ 没选商品",IF(COUNTIF(基础资料!$E$5:$E$104,D958)=0,"✗ 商品不在商品档案里",IF(AND(E958="",H958=""),"✗ 没填数量",IF(AND(N(E958)&lt;&gt;0,F958=""),"✗ 没填进价","√")))))))))</f>
      </c>
    </row>
    <row r="959">
      <c r="A959" s="109">
        <f>IF(AND(C959="",D959=""),"",ROW()-3)</f>
      </c>
      <c r="B959" s="140" t="n"/>
      <c r="C959" s="141" t="n"/>
      <c r="D959" s="141" t="n"/>
      <c r="E959" s="148" t="n"/>
      <c r="F959" s="149" t="n"/>
      <c r="G959" s="150">
        <f>IF(AND(E959&lt;&gt;"",F959&lt;&gt;""),E959*F959,"")</f>
      </c>
      <c r="H959" s="148" t="n"/>
      <c r="I959" s="142" t="n"/>
      <c r="J959" s="146">
        <f>IF(AND(B959="",C959="",D959="",E959="",F959="",H959=""),"",IF(NOT(ISNUMBER(B959)),"✗ 日期不是真日期",IF(OR(B959&lt;年初日,B959&gt;年末日),"✗ 日期不在本年度",IF(C959="","✗ 没选供应商",IF(COUNTIF(基础资料!$Q$5:$Q$54,C959)=0,"✗ 供应商不在基础资料里",IF(D959="","✗ 没选商品",IF(COUNTIF(基础资料!$E$5:$E$104,D959)=0,"✗ 商品不在商品档案里",IF(AND(E959="",H959=""),"✗ 没填数量",IF(AND(N(E959)&lt;&gt;0,F959=""),"✗ 没填进价","√")))))))))</f>
      </c>
    </row>
    <row r="960">
      <c r="A960" s="109">
        <f>IF(AND(C960="",D960=""),"",ROW()-3)</f>
      </c>
      <c r="B960" s="140" t="n"/>
      <c r="C960" s="141" t="n"/>
      <c r="D960" s="141" t="n"/>
      <c r="E960" s="148" t="n"/>
      <c r="F960" s="149" t="n"/>
      <c r="G960" s="150">
        <f>IF(AND(E960&lt;&gt;"",F960&lt;&gt;""),E960*F960,"")</f>
      </c>
      <c r="H960" s="148" t="n"/>
      <c r="I960" s="142" t="n"/>
      <c r="J960" s="146">
        <f>IF(AND(B960="",C960="",D960="",E960="",F960="",H960=""),"",IF(NOT(ISNUMBER(B960)),"✗ 日期不是真日期",IF(OR(B960&lt;年初日,B960&gt;年末日),"✗ 日期不在本年度",IF(C960="","✗ 没选供应商",IF(COUNTIF(基础资料!$Q$5:$Q$54,C960)=0,"✗ 供应商不在基础资料里",IF(D960="","✗ 没选商品",IF(COUNTIF(基础资料!$E$5:$E$104,D960)=0,"✗ 商品不在商品档案里",IF(AND(E960="",H960=""),"✗ 没填数量",IF(AND(N(E960)&lt;&gt;0,F960=""),"✗ 没填进价","√")))))))))</f>
      </c>
    </row>
    <row r="961">
      <c r="A961" s="109">
        <f>IF(AND(C961="",D961=""),"",ROW()-3)</f>
      </c>
      <c r="B961" s="140" t="n"/>
      <c r="C961" s="141" t="n"/>
      <c r="D961" s="141" t="n"/>
      <c r="E961" s="148" t="n"/>
      <c r="F961" s="149" t="n"/>
      <c r="G961" s="150">
        <f>IF(AND(E961&lt;&gt;"",F961&lt;&gt;""),E961*F961,"")</f>
      </c>
      <c r="H961" s="148" t="n"/>
      <c r="I961" s="142" t="n"/>
      <c r="J961" s="146">
        <f>IF(AND(B961="",C961="",D961="",E961="",F961="",H961=""),"",IF(NOT(ISNUMBER(B961)),"✗ 日期不是真日期",IF(OR(B961&lt;年初日,B961&gt;年末日),"✗ 日期不在本年度",IF(C961="","✗ 没选供应商",IF(COUNTIF(基础资料!$Q$5:$Q$54,C961)=0,"✗ 供应商不在基础资料里",IF(D961="","✗ 没选商品",IF(COUNTIF(基础资料!$E$5:$E$104,D961)=0,"✗ 商品不在商品档案里",IF(AND(E961="",H961=""),"✗ 没填数量",IF(AND(N(E961)&lt;&gt;0,F961=""),"✗ 没填进价","√")))))))))</f>
      </c>
    </row>
    <row r="962">
      <c r="A962" s="109">
        <f>IF(AND(C962="",D962=""),"",ROW()-3)</f>
      </c>
      <c r="B962" s="140" t="n"/>
      <c r="C962" s="141" t="n"/>
      <c r="D962" s="141" t="n"/>
      <c r="E962" s="148" t="n"/>
      <c r="F962" s="149" t="n"/>
      <c r="G962" s="150">
        <f>IF(AND(E962&lt;&gt;"",F962&lt;&gt;""),E962*F962,"")</f>
      </c>
      <c r="H962" s="148" t="n"/>
      <c r="I962" s="142" t="n"/>
      <c r="J962" s="146">
        <f>IF(AND(B962="",C962="",D962="",E962="",F962="",H962=""),"",IF(NOT(ISNUMBER(B962)),"✗ 日期不是真日期",IF(OR(B962&lt;年初日,B962&gt;年末日),"✗ 日期不在本年度",IF(C962="","✗ 没选供应商",IF(COUNTIF(基础资料!$Q$5:$Q$54,C962)=0,"✗ 供应商不在基础资料里",IF(D962="","✗ 没选商品",IF(COUNTIF(基础资料!$E$5:$E$104,D962)=0,"✗ 商品不在商品档案里",IF(AND(E962="",H962=""),"✗ 没填数量",IF(AND(N(E962)&lt;&gt;0,F962=""),"✗ 没填进价","√")))))))))</f>
      </c>
    </row>
    <row r="963">
      <c r="A963" s="109">
        <f>IF(AND(C963="",D963=""),"",ROW()-3)</f>
      </c>
      <c r="B963" s="140" t="n"/>
      <c r="C963" s="141" t="n"/>
      <c r="D963" s="141" t="n"/>
      <c r="E963" s="148" t="n"/>
      <c r="F963" s="149" t="n"/>
      <c r="G963" s="150">
        <f>IF(AND(E963&lt;&gt;"",F963&lt;&gt;""),E963*F963,"")</f>
      </c>
      <c r="H963" s="148" t="n"/>
      <c r="I963" s="142" t="n"/>
      <c r="J963" s="146">
        <f>IF(AND(B963="",C963="",D963="",E963="",F963="",H963=""),"",IF(NOT(ISNUMBER(B963)),"✗ 日期不是真日期",IF(OR(B963&lt;年初日,B963&gt;年末日),"✗ 日期不在本年度",IF(C963="","✗ 没选供应商",IF(COUNTIF(基础资料!$Q$5:$Q$54,C963)=0,"✗ 供应商不在基础资料里",IF(D963="","✗ 没选商品",IF(COUNTIF(基础资料!$E$5:$E$104,D963)=0,"✗ 商品不在商品档案里",IF(AND(E963="",H963=""),"✗ 没填数量",IF(AND(N(E963)&lt;&gt;0,F963=""),"✗ 没填进价","√")))))))))</f>
      </c>
    </row>
    <row r="964">
      <c r="A964" s="109">
        <f>IF(AND(C964="",D964=""),"",ROW()-3)</f>
      </c>
      <c r="B964" s="140" t="n"/>
      <c r="C964" s="141" t="n"/>
      <c r="D964" s="141" t="n"/>
      <c r="E964" s="148" t="n"/>
      <c r="F964" s="149" t="n"/>
      <c r="G964" s="150">
        <f>IF(AND(E964&lt;&gt;"",F964&lt;&gt;""),E964*F964,"")</f>
      </c>
      <c r="H964" s="148" t="n"/>
      <c r="I964" s="142" t="n"/>
      <c r="J964" s="146">
        <f>IF(AND(B964="",C964="",D964="",E964="",F964="",H964=""),"",IF(NOT(ISNUMBER(B964)),"✗ 日期不是真日期",IF(OR(B964&lt;年初日,B964&gt;年末日),"✗ 日期不在本年度",IF(C964="","✗ 没选供应商",IF(COUNTIF(基础资料!$Q$5:$Q$54,C964)=0,"✗ 供应商不在基础资料里",IF(D964="","✗ 没选商品",IF(COUNTIF(基础资料!$E$5:$E$104,D964)=0,"✗ 商品不在商品档案里",IF(AND(E964="",H964=""),"✗ 没填数量",IF(AND(N(E964)&lt;&gt;0,F964=""),"✗ 没填进价","√")))))))))</f>
      </c>
    </row>
    <row r="965">
      <c r="A965" s="109">
        <f>IF(AND(C965="",D965=""),"",ROW()-3)</f>
      </c>
      <c r="B965" s="140" t="n"/>
      <c r="C965" s="141" t="n"/>
      <c r="D965" s="141" t="n"/>
      <c r="E965" s="148" t="n"/>
      <c r="F965" s="149" t="n"/>
      <c r="G965" s="150">
        <f>IF(AND(E965&lt;&gt;"",F965&lt;&gt;""),E965*F965,"")</f>
      </c>
      <c r="H965" s="148" t="n"/>
      <c r="I965" s="142" t="n"/>
      <c r="J965" s="146">
        <f>IF(AND(B965="",C965="",D965="",E965="",F965="",H965=""),"",IF(NOT(ISNUMBER(B965)),"✗ 日期不是真日期",IF(OR(B965&lt;年初日,B965&gt;年末日),"✗ 日期不在本年度",IF(C965="","✗ 没选供应商",IF(COUNTIF(基础资料!$Q$5:$Q$54,C965)=0,"✗ 供应商不在基础资料里",IF(D965="","✗ 没选商品",IF(COUNTIF(基础资料!$E$5:$E$104,D965)=0,"✗ 商品不在商品档案里",IF(AND(E965="",H965=""),"✗ 没填数量",IF(AND(N(E965)&lt;&gt;0,F965=""),"✗ 没填进价","√")))))))))</f>
      </c>
    </row>
    <row r="966">
      <c r="A966" s="109">
        <f>IF(AND(C966="",D966=""),"",ROW()-3)</f>
      </c>
      <c r="B966" s="140" t="n"/>
      <c r="C966" s="141" t="n"/>
      <c r="D966" s="141" t="n"/>
      <c r="E966" s="148" t="n"/>
      <c r="F966" s="149" t="n"/>
      <c r="G966" s="150">
        <f>IF(AND(E966&lt;&gt;"",F966&lt;&gt;""),E966*F966,"")</f>
      </c>
      <c r="H966" s="148" t="n"/>
      <c r="I966" s="142" t="n"/>
      <c r="J966" s="146">
        <f>IF(AND(B966="",C966="",D966="",E966="",F966="",H966=""),"",IF(NOT(ISNUMBER(B966)),"✗ 日期不是真日期",IF(OR(B966&lt;年初日,B966&gt;年末日),"✗ 日期不在本年度",IF(C966="","✗ 没选供应商",IF(COUNTIF(基础资料!$Q$5:$Q$54,C966)=0,"✗ 供应商不在基础资料里",IF(D966="","✗ 没选商品",IF(COUNTIF(基础资料!$E$5:$E$104,D966)=0,"✗ 商品不在商品档案里",IF(AND(E966="",H966=""),"✗ 没填数量",IF(AND(N(E966)&lt;&gt;0,F966=""),"✗ 没填进价","√")))))))))</f>
      </c>
    </row>
    <row r="967">
      <c r="A967" s="109">
        <f>IF(AND(C967="",D967=""),"",ROW()-3)</f>
      </c>
      <c r="B967" s="140" t="n"/>
      <c r="C967" s="141" t="n"/>
      <c r="D967" s="141" t="n"/>
      <c r="E967" s="148" t="n"/>
      <c r="F967" s="149" t="n"/>
      <c r="G967" s="150">
        <f>IF(AND(E967&lt;&gt;"",F967&lt;&gt;""),E967*F967,"")</f>
      </c>
      <c r="H967" s="148" t="n"/>
      <c r="I967" s="142" t="n"/>
      <c r="J967" s="146">
        <f>IF(AND(B967="",C967="",D967="",E967="",F967="",H967=""),"",IF(NOT(ISNUMBER(B967)),"✗ 日期不是真日期",IF(OR(B967&lt;年初日,B967&gt;年末日),"✗ 日期不在本年度",IF(C967="","✗ 没选供应商",IF(COUNTIF(基础资料!$Q$5:$Q$54,C967)=0,"✗ 供应商不在基础资料里",IF(D967="","✗ 没选商品",IF(COUNTIF(基础资料!$E$5:$E$104,D967)=0,"✗ 商品不在商品档案里",IF(AND(E967="",H967=""),"✗ 没填数量",IF(AND(N(E967)&lt;&gt;0,F967=""),"✗ 没填进价","√")))))))))</f>
      </c>
    </row>
    <row r="968">
      <c r="A968" s="109">
        <f>IF(AND(C968="",D968=""),"",ROW()-3)</f>
      </c>
      <c r="B968" s="140" t="n"/>
      <c r="C968" s="141" t="n"/>
      <c r="D968" s="141" t="n"/>
      <c r="E968" s="148" t="n"/>
      <c r="F968" s="149" t="n"/>
      <c r="G968" s="150">
        <f>IF(AND(E968&lt;&gt;"",F968&lt;&gt;""),E968*F968,"")</f>
      </c>
      <c r="H968" s="148" t="n"/>
      <c r="I968" s="142" t="n"/>
      <c r="J968" s="146">
        <f>IF(AND(B968="",C968="",D968="",E968="",F968="",H968=""),"",IF(NOT(ISNUMBER(B968)),"✗ 日期不是真日期",IF(OR(B968&lt;年初日,B968&gt;年末日),"✗ 日期不在本年度",IF(C968="","✗ 没选供应商",IF(COUNTIF(基础资料!$Q$5:$Q$54,C968)=0,"✗ 供应商不在基础资料里",IF(D968="","✗ 没选商品",IF(COUNTIF(基础资料!$E$5:$E$104,D968)=0,"✗ 商品不在商品档案里",IF(AND(E968="",H968=""),"✗ 没填数量",IF(AND(N(E968)&lt;&gt;0,F968=""),"✗ 没填进价","√")))))))))</f>
      </c>
    </row>
    <row r="969">
      <c r="A969" s="109">
        <f>IF(AND(C969="",D969=""),"",ROW()-3)</f>
      </c>
      <c r="B969" s="140" t="n"/>
      <c r="C969" s="141" t="n"/>
      <c r="D969" s="141" t="n"/>
      <c r="E969" s="148" t="n"/>
      <c r="F969" s="149" t="n"/>
      <c r="G969" s="150">
        <f>IF(AND(E969&lt;&gt;"",F969&lt;&gt;""),E969*F969,"")</f>
      </c>
      <c r="H969" s="148" t="n"/>
      <c r="I969" s="142" t="n"/>
      <c r="J969" s="146">
        <f>IF(AND(B969="",C969="",D969="",E969="",F969="",H969=""),"",IF(NOT(ISNUMBER(B969)),"✗ 日期不是真日期",IF(OR(B969&lt;年初日,B969&gt;年末日),"✗ 日期不在本年度",IF(C969="","✗ 没选供应商",IF(COUNTIF(基础资料!$Q$5:$Q$54,C969)=0,"✗ 供应商不在基础资料里",IF(D969="","✗ 没选商品",IF(COUNTIF(基础资料!$E$5:$E$104,D969)=0,"✗ 商品不在商品档案里",IF(AND(E969="",H969=""),"✗ 没填数量",IF(AND(N(E969)&lt;&gt;0,F969=""),"✗ 没填进价","√")))))))))</f>
      </c>
    </row>
    <row r="970">
      <c r="A970" s="109">
        <f>IF(AND(C970="",D970=""),"",ROW()-3)</f>
      </c>
      <c r="B970" s="140" t="n"/>
      <c r="C970" s="141" t="n"/>
      <c r="D970" s="141" t="n"/>
      <c r="E970" s="148" t="n"/>
      <c r="F970" s="149" t="n"/>
      <c r="G970" s="150">
        <f>IF(AND(E970&lt;&gt;"",F970&lt;&gt;""),E970*F970,"")</f>
      </c>
      <c r="H970" s="148" t="n"/>
      <c r="I970" s="142" t="n"/>
      <c r="J970" s="146">
        <f>IF(AND(B970="",C970="",D970="",E970="",F970="",H970=""),"",IF(NOT(ISNUMBER(B970)),"✗ 日期不是真日期",IF(OR(B970&lt;年初日,B970&gt;年末日),"✗ 日期不在本年度",IF(C970="","✗ 没选供应商",IF(COUNTIF(基础资料!$Q$5:$Q$54,C970)=0,"✗ 供应商不在基础资料里",IF(D970="","✗ 没选商品",IF(COUNTIF(基础资料!$E$5:$E$104,D970)=0,"✗ 商品不在商品档案里",IF(AND(E970="",H970=""),"✗ 没填数量",IF(AND(N(E970)&lt;&gt;0,F970=""),"✗ 没填进价","√")))))))))</f>
      </c>
    </row>
    <row r="971">
      <c r="A971" s="109">
        <f>IF(AND(C971="",D971=""),"",ROW()-3)</f>
      </c>
      <c r="B971" s="140" t="n"/>
      <c r="C971" s="141" t="n"/>
      <c r="D971" s="141" t="n"/>
      <c r="E971" s="148" t="n"/>
      <c r="F971" s="149" t="n"/>
      <c r="G971" s="150">
        <f>IF(AND(E971&lt;&gt;"",F971&lt;&gt;""),E971*F971,"")</f>
      </c>
      <c r="H971" s="148" t="n"/>
      <c r="I971" s="142" t="n"/>
      <c r="J971" s="146">
        <f>IF(AND(B971="",C971="",D971="",E971="",F971="",H971=""),"",IF(NOT(ISNUMBER(B971)),"✗ 日期不是真日期",IF(OR(B971&lt;年初日,B971&gt;年末日),"✗ 日期不在本年度",IF(C971="","✗ 没选供应商",IF(COUNTIF(基础资料!$Q$5:$Q$54,C971)=0,"✗ 供应商不在基础资料里",IF(D971="","✗ 没选商品",IF(COUNTIF(基础资料!$E$5:$E$104,D971)=0,"✗ 商品不在商品档案里",IF(AND(E971="",H971=""),"✗ 没填数量",IF(AND(N(E971)&lt;&gt;0,F971=""),"✗ 没填进价","√")))))))))</f>
      </c>
    </row>
    <row r="972">
      <c r="A972" s="109">
        <f>IF(AND(C972="",D972=""),"",ROW()-3)</f>
      </c>
      <c r="B972" s="140" t="n"/>
      <c r="C972" s="141" t="n"/>
      <c r="D972" s="141" t="n"/>
      <c r="E972" s="148" t="n"/>
      <c r="F972" s="149" t="n"/>
      <c r="G972" s="150">
        <f>IF(AND(E972&lt;&gt;"",F972&lt;&gt;""),E972*F972,"")</f>
      </c>
      <c r="H972" s="148" t="n"/>
      <c r="I972" s="142" t="n"/>
      <c r="J972" s="146">
        <f>IF(AND(B972="",C972="",D972="",E972="",F972="",H972=""),"",IF(NOT(ISNUMBER(B972)),"✗ 日期不是真日期",IF(OR(B972&lt;年初日,B972&gt;年末日),"✗ 日期不在本年度",IF(C972="","✗ 没选供应商",IF(COUNTIF(基础资料!$Q$5:$Q$54,C972)=0,"✗ 供应商不在基础资料里",IF(D972="","✗ 没选商品",IF(COUNTIF(基础资料!$E$5:$E$104,D972)=0,"✗ 商品不在商品档案里",IF(AND(E972="",H972=""),"✗ 没填数量",IF(AND(N(E972)&lt;&gt;0,F972=""),"✗ 没填进价","√")))))))))</f>
      </c>
    </row>
    <row r="973">
      <c r="A973" s="109">
        <f>IF(AND(C973="",D973=""),"",ROW()-3)</f>
      </c>
      <c r="B973" s="140" t="n"/>
      <c r="C973" s="141" t="n"/>
      <c r="D973" s="141" t="n"/>
      <c r="E973" s="148" t="n"/>
      <c r="F973" s="149" t="n"/>
      <c r="G973" s="150">
        <f>IF(AND(E973&lt;&gt;"",F973&lt;&gt;""),E973*F973,"")</f>
      </c>
      <c r="H973" s="148" t="n"/>
      <c r="I973" s="142" t="n"/>
      <c r="J973" s="146">
        <f>IF(AND(B973="",C973="",D973="",E973="",F973="",H973=""),"",IF(NOT(ISNUMBER(B973)),"✗ 日期不是真日期",IF(OR(B973&lt;年初日,B973&gt;年末日),"✗ 日期不在本年度",IF(C973="","✗ 没选供应商",IF(COUNTIF(基础资料!$Q$5:$Q$54,C973)=0,"✗ 供应商不在基础资料里",IF(D973="","✗ 没选商品",IF(COUNTIF(基础资料!$E$5:$E$104,D973)=0,"✗ 商品不在商品档案里",IF(AND(E973="",H973=""),"✗ 没填数量",IF(AND(N(E973)&lt;&gt;0,F973=""),"✗ 没填进价","√")))))))))</f>
      </c>
    </row>
    <row r="974">
      <c r="A974" s="109">
        <f>IF(AND(C974="",D974=""),"",ROW()-3)</f>
      </c>
      <c r="B974" s="140" t="n"/>
      <c r="C974" s="141" t="n"/>
      <c r="D974" s="141" t="n"/>
      <c r="E974" s="148" t="n"/>
      <c r="F974" s="149" t="n"/>
      <c r="G974" s="150">
        <f>IF(AND(E974&lt;&gt;"",F974&lt;&gt;""),E974*F974,"")</f>
      </c>
      <c r="H974" s="148" t="n"/>
      <c r="I974" s="142" t="n"/>
      <c r="J974" s="146">
        <f>IF(AND(B974="",C974="",D974="",E974="",F974="",H974=""),"",IF(NOT(ISNUMBER(B974)),"✗ 日期不是真日期",IF(OR(B974&lt;年初日,B974&gt;年末日),"✗ 日期不在本年度",IF(C974="","✗ 没选供应商",IF(COUNTIF(基础资料!$Q$5:$Q$54,C974)=0,"✗ 供应商不在基础资料里",IF(D974="","✗ 没选商品",IF(COUNTIF(基础资料!$E$5:$E$104,D974)=0,"✗ 商品不在商品档案里",IF(AND(E974="",H974=""),"✗ 没填数量",IF(AND(N(E974)&lt;&gt;0,F974=""),"✗ 没填进价","√")))))))))</f>
      </c>
    </row>
    <row r="975">
      <c r="A975" s="109">
        <f>IF(AND(C975="",D975=""),"",ROW()-3)</f>
      </c>
      <c r="B975" s="140" t="n"/>
      <c r="C975" s="141" t="n"/>
      <c r="D975" s="141" t="n"/>
      <c r="E975" s="148" t="n"/>
      <c r="F975" s="149" t="n"/>
      <c r="G975" s="150">
        <f>IF(AND(E975&lt;&gt;"",F975&lt;&gt;""),E975*F975,"")</f>
      </c>
      <c r="H975" s="148" t="n"/>
      <c r="I975" s="142" t="n"/>
      <c r="J975" s="146">
        <f>IF(AND(B975="",C975="",D975="",E975="",F975="",H975=""),"",IF(NOT(ISNUMBER(B975)),"✗ 日期不是真日期",IF(OR(B975&lt;年初日,B975&gt;年末日),"✗ 日期不在本年度",IF(C975="","✗ 没选供应商",IF(COUNTIF(基础资料!$Q$5:$Q$54,C975)=0,"✗ 供应商不在基础资料里",IF(D975="","✗ 没选商品",IF(COUNTIF(基础资料!$E$5:$E$104,D975)=0,"✗ 商品不在商品档案里",IF(AND(E975="",H975=""),"✗ 没填数量",IF(AND(N(E975)&lt;&gt;0,F975=""),"✗ 没填进价","√")))))))))</f>
      </c>
    </row>
    <row r="976">
      <c r="A976" s="109">
        <f>IF(AND(C976="",D976=""),"",ROW()-3)</f>
      </c>
      <c r="B976" s="140" t="n"/>
      <c r="C976" s="141" t="n"/>
      <c r="D976" s="141" t="n"/>
      <c r="E976" s="148" t="n"/>
      <c r="F976" s="149" t="n"/>
      <c r="G976" s="150">
        <f>IF(AND(E976&lt;&gt;"",F976&lt;&gt;""),E976*F976,"")</f>
      </c>
      <c r="H976" s="148" t="n"/>
      <c r="I976" s="142" t="n"/>
      <c r="J976" s="146">
        <f>IF(AND(B976="",C976="",D976="",E976="",F976="",H976=""),"",IF(NOT(ISNUMBER(B976)),"✗ 日期不是真日期",IF(OR(B976&lt;年初日,B976&gt;年末日),"✗ 日期不在本年度",IF(C976="","✗ 没选供应商",IF(COUNTIF(基础资料!$Q$5:$Q$54,C976)=0,"✗ 供应商不在基础资料里",IF(D976="","✗ 没选商品",IF(COUNTIF(基础资料!$E$5:$E$104,D976)=0,"✗ 商品不在商品档案里",IF(AND(E976="",H976=""),"✗ 没填数量",IF(AND(N(E976)&lt;&gt;0,F976=""),"✗ 没填进价","√")))))))))</f>
      </c>
    </row>
    <row r="977">
      <c r="A977" s="109">
        <f>IF(AND(C977="",D977=""),"",ROW()-3)</f>
      </c>
      <c r="B977" s="140" t="n"/>
      <c r="C977" s="141" t="n"/>
      <c r="D977" s="141" t="n"/>
      <c r="E977" s="148" t="n"/>
      <c r="F977" s="149" t="n"/>
      <c r="G977" s="150">
        <f>IF(AND(E977&lt;&gt;"",F977&lt;&gt;""),E977*F977,"")</f>
      </c>
      <c r="H977" s="148" t="n"/>
      <c r="I977" s="142" t="n"/>
      <c r="J977" s="146">
        <f>IF(AND(B977="",C977="",D977="",E977="",F977="",H977=""),"",IF(NOT(ISNUMBER(B977)),"✗ 日期不是真日期",IF(OR(B977&lt;年初日,B977&gt;年末日),"✗ 日期不在本年度",IF(C977="","✗ 没选供应商",IF(COUNTIF(基础资料!$Q$5:$Q$54,C977)=0,"✗ 供应商不在基础资料里",IF(D977="","✗ 没选商品",IF(COUNTIF(基础资料!$E$5:$E$104,D977)=0,"✗ 商品不在商品档案里",IF(AND(E977="",H977=""),"✗ 没填数量",IF(AND(N(E977)&lt;&gt;0,F977=""),"✗ 没填进价","√")))))))))</f>
      </c>
    </row>
    <row r="978">
      <c r="A978" s="109">
        <f>IF(AND(C978="",D978=""),"",ROW()-3)</f>
      </c>
      <c r="B978" s="140" t="n"/>
      <c r="C978" s="141" t="n"/>
      <c r="D978" s="141" t="n"/>
      <c r="E978" s="148" t="n"/>
      <c r="F978" s="149" t="n"/>
      <c r="G978" s="150">
        <f>IF(AND(E978&lt;&gt;"",F978&lt;&gt;""),E978*F978,"")</f>
      </c>
      <c r="H978" s="148" t="n"/>
      <c r="I978" s="142" t="n"/>
      <c r="J978" s="146">
        <f>IF(AND(B978="",C978="",D978="",E978="",F978="",H978=""),"",IF(NOT(ISNUMBER(B978)),"✗ 日期不是真日期",IF(OR(B978&lt;年初日,B978&gt;年末日),"✗ 日期不在本年度",IF(C978="","✗ 没选供应商",IF(COUNTIF(基础资料!$Q$5:$Q$54,C978)=0,"✗ 供应商不在基础资料里",IF(D978="","✗ 没选商品",IF(COUNTIF(基础资料!$E$5:$E$104,D978)=0,"✗ 商品不在商品档案里",IF(AND(E978="",H978=""),"✗ 没填数量",IF(AND(N(E978)&lt;&gt;0,F978=""),"✗ 没填进价","√")))))))))</f>
      </c>
    </row>
    <row r="979">
      <c r="A979" s="109">
        <f>IF(AND(C979="",D979=""),"",ROW()-3)</f>
      </c>
      <c r="B979" s="140" t="n"/>
      <c r="C979" s="141" t="n"/>
      <c r="D979" s="141" t="n"/>
      <c r="E979" s="148" t="n"/>
      <c r="F979" s="149" t="n"/>
      <c r="G979" s="150">
        <f>IF(AND(E979&lt;&gt;"",F979&lt;&gt;""),E979*F979,"")</f>
      </c>
      <c r="H979" s="148" t="n"/>
      <c r="I979" s="142" t="n"/>
      <c r="J979" s="146">
        <f>IF(AND(B979="",C979="",D979="",E979="",F979="",H979=""),"",IF(NOT(ISNUMBER(B979)),"✗ 日期不是真日期",IF(OR(B979&lt;年初日,B979&gt;年末日),"✗ 日期不在本年度",IF(C979="","✗ 没选供应商",IF(COUNTIF(基础资料!$Q$5:$Q$54,C979)=0,"✗ 供应商不在基础资料里",IF(D979="","✗ 没选商品",IF(COUNTIF(基础资料!$E$5:$E$104,D979)=0,"✗ 商品不在商品档案里",IF(AND(E979="",H979=""),"✗ 没填数量",IF(AND(N(E979)&lt;&gt;0,F979=""),"✗ 没填进价","√")))))))))</f>
      </c>
    </row>
    <row r="980">
      <c r="A980" s="109">
        <f>IF(AND(C980="",D980=""),"",ROW()-3)</f>
      </c>
      <c r="B980" s="140" t="n"/>
      <c r="C980" s="141" t="n"/>
      <c r="D980" s="141" t="n"/>
      <c r="E980" s="148" t="n"/>
      <c r="F980" s="149" t="n"/>
      <c r="G980" s="150">
        <f>IF(AND(E980&lt;&gt;"",F980&lt;&gt;""),E980*F980,"")</f>
      </c>
      <c r="H980" s="148" t="n"/>
      <c r="I980" s="142" t="n"/>
      <c r="J980" s="146">
        <f>IF(AND(B980="",C980="",D980="",E980="",F980="",H980=""),"",IF(NOT(ISNUMBER(B980)),"✗ 日期不是真日期",IF(OR(B980&lt;年初日,B980&gt;年末日),"✗ 日期不在本年度",IF(C980="","✗ 没选供应商",IF(COUNTIF(基础资料!$Q$5:$Q$54,C980)=0,"✗ 供应商不在基础资料里",IF(D980="","✗ 没选商品",IF(COUNTIF(基础资料!$E$5:$E$104,D980)=0,"✗ 商品不在商品档案里",IF(AND(E980="",H980=""),"✗ 没填数量",IF(AND(N(E980)&lt;&gt;0,F980=""),"✗ 没填进价","√")))))))))</f>
      </c>
    </row>
    <row r="981">
      <c r="A981" s="109">
        <f>IF(AND(C981="",D981=""),"",ROW()-3)</f>
      </c>
      <c r="B981" s="140" t="n"/>
      <c r="C981" s="141" t="n"/>
      <c r="D981" s="141" t="n"/>
      <c r="E981" s="148" t="n"/>
      <c r="F981" s="149" t="n"/>
      <c r="G981" s="150">
        <f>IF(AND(E981&lt;&gt;"",F981&lt;&gt;""),E981*F981,"")</f>
      </c>
      <c r="H981" s="148" t="n"/>
      <c r="I981" s="142" t="n"/>
      <c r="J981" s="146">
        <f>IF(AND(B981="",C981="",D981="",E981="",F981="",H981=""),"",IF(NOT(ISNUMBER(B981)),"✗ 日期不是真日期",IF(OR(B981&lt;年初日,B981&gt;年末日),"✗ 日期不在本年度",IF(C981="","✗ 没选供应商",IF(COUNTIF(基础资料!$Q$5:$Q$54,C981)=0,"✗ 供应商不在基础资料里",IF(D981="","✗ 没选商品",IF(COUNTIF(基础资料!$E$5:$E$104,D981)=0,"✗ 商品不在商品档案里",IF(AND(E981="",H981=""),"✗ 没填数量",IF(AND(N(E981)&lt;&gt;0,F981=""),"✗ 没填进价","√")))))))))</f>
      </c>
    </row>
    <row r="982">
      <c r="A982" s="109">
        <f>IF(AND(C982="",D982=""),"",ROW()-3)</f>
      </c>
      <c r="B982" s="140" t="n"/>
      <c r="C982" s="141" t="n"/>
      <c r="D982" s="141" t="n"/>
      <c r="E982" s="148" t="n"/>
      <c r="F982" s="149" t="n"/>
      <c r="G982" s="150">
        <f>IF(AND(E982&lt;&gt;"",F982&lt;&gt;""),E982*F982,"")</f>
      </c>
      <c r="H982" s="148" t="n"/>
      <c r="I982" s="142" t="n"/>
      <c r="J982" s="146">
        <f>IF(AND(B982="",C982="",D982="",E982="",F982="",H982=""),"",IF(NOT(ISNUMBER(B982)),"✗ 日期不是真日期",IF(OR(B982&lt;年初日,B982&gt;年末日),"✗ 日期不在本年度",IF(C982="","✗ 没选供应商",IF(COUNTIF(基础资料!$Q$5:$Q$54,C982)=0,"✗ 供应商不在基础资料里",IF(D982="","✗ 没选商品",IF(COUNTIF(基础资料!$E$5:$E$104,D982)=0,"✗ 商品不在商品档案里",IF(AND(E982="",H982=""),"✗ 没填数量",IF(AND(N(E982)&lt;&gt;0,F982=""),"✗ 没填进价","√")))))))))</f>
      </c>
    </row>
    <row r="983">
      <c r="A983" s="109">
        <f>IF(AND(C983="",D983=""),"",ROW()-3)</f>
      </c>
      <c r="B983" s="140" t="n"/>
      <c r="C983" s="141" t="n"/>
      <c r="D983" s="141" t="n"/>
      <c r="E983" s="148" t="n"/>
      <c r="F983" s="149" t="n"/>
      <c r="G983" s="150">
        <f>IF(AND(E983&lt;&gt;"",F983&lt;&gt;""),E983*F983,"")</f>
      </c>
      <c r="H983" s="148" t="n"/>
      <c r="I983" s="142" t="n"/>
      <c r="J983" s="146">
        <f>IF(AND(B983="",C983="",D983="",E983="",F983="",H983=""),"",IF(NOT(ISNUMBER(B983)),"✗ 日期不是真日期",IF(OR(B983&lt;年初日,B983&gt;年末日),"✗ 日期不在本年度",IF(C983="","✗ 没选供应商",IF(COUNTIF(基础资料!$Q$5:$Q$54,C983)=0,"✗ 供应商不在基础资料里",IF(D983="","✗ 没选商品",IF(COUNTIF(基础资料!$E$5:$E$104,D983)=0,"✗ 商品不在商品档案里",IF(AND(E983="",H983=""),"✗ 没填数量",IF(AND(N(E983)&lt;&gt;0,F983=""),"✗ 没填进价","√")))))))))</f>
      </c>
    </row>
    <row r="984">
      <c r="A984" s="109">
        <f>IF(AND(C984="",D984=""),"",ROW()-3)</f>
      </c>
      <c r="B984" s="140" t="n"/>
      <c r="C984" s="141" t="n"/>
      <c r="D984" s="141" t="n"/>
      <c r="E984" s="148" t="n"/>
      <c r="F984" s="149" t="n"/>
      <c r="G984" s="150">
        <f>IF(AND(E984&lt;&gt;"",F984&lt;&gt;""),E984*F984,"")</f>
      </c>
      <c r="H984" s="148" t="n"/>
      <c r="I984" s="142" t="n"/>
      <c r="J984" s="146">
        <f>IF(AND(B984="",C984="",D984="",E984="",F984="",H984=""),"",IF(NOT(ISNUMBER(B984)),"✗ 日期不是真日期",IF(OR(B984&lt;年初日,B984&gt;年末日),"✗ 日期不在本年度",IF(C984="","✗ 没选供应商",IF(COUNTIF(基础资料!$Q$5:$Q$54,C984)=0,"✗ 供应商不在基础资料里",IF(D984="","✗ 没选商品",IF(COUNTIF(基础资料!$E$5:$E$104,D984)=0,"✗ 商品不在商品档案里",IF(AND(E984="",H984=""),"✗ 没填数量",IF(AND(N(E984)&lt;&gt;0,F984=""),"✗ 没填进价","√")))))))))</f>
      </c>
    </row>
    <row r="985">
      <c r="A985" s="109">
        <f>IF(AND(C985="",D985=""),"",ROW()-3)</f>
      </c>
      <c r="B985" s="140" t="n"/>
      <c r="C985" s="141" t="n"/>
      <c r="D985" s="141" t="n"/>
      <c r="E985" s="148" t="n"/>
      <c r="F985" s="149" t="n"/>
      <c r="G985" s="150">
        <f>IF(AND(E985&lt;&gt;"",F985&lt;&gt;""),E985*F985,"")</f>
      </c>
      <c r="H985" s="148" t="n"/>
      <c r="I985" s="142" t="n"/>
      <c r="J985" s="146">
        <f>IF(AND(B985="",C985="",D985="",E985="",F985="",H985=""),"",IF(NOT(ISNUMBER(B985)),"✗ 日期不是真日期",IF(OR(B985&lt;年初日,B985&gt;年末日),"✗ 日期不在本年度",IF(C985="","✗ 没选供应商",IF(COUNTIF(基础资料!$Q$5:$Q$54,C985)=0,"✗ 供应商不在基础资料里",IF(D985="","✗ 没选商品",IF(COUNTIF(基础资料!$E$5:$E$104,D985)=0,"✗ 商品不在商品档案里",IF(AND(E985="",H985=""),"✗ 没填数量",IF(AND(N(E985)&lt;&gt;0,F985=""),"✗ 没填进价","√")))))))))</f>
      </c>
    </row>
    <row r="986">
      <c r="A986" s="109">
        <f>IF(AND(C986="",D986=""),"",ROW()-3)</f>
      </c>
      <c r="B986" s="140" t="n"/>
      <c r="C986" s="141" t="n"/>
      <c r="D986" s="141" t="n"/>
      <c r="E986" s="148" t="n"/>
      <c r="F986" s="149" t="n"/>
      <c r="G986" s="150">
        <f>IF(AND(E986&lt;&gt;"",F986&lt;&gt;""),E986*F986,"")</f>
      </c>
      <c r="H986" s="148" t="n"/>
      <c r="I986" s="142" t="n"/>
      <c r="J986" s="146">
        <f>IF(AND(B986="",C986="",D986="",E986="",F986="",H986=""),"",IF(NOT(ISNUMBER(B986)),"✗ 日期不是真日期",IF(OR(B986&lt;年初日,B986&gt;年末日),"✗ 日期不在本年度",IF(C986="","✗ 没选供应商",IF(COUNTIF(基础资料!$Q$5:$Q$54,C986)=0,"✗ 供应商不在基础资料里",IF(D986="","✗ 没选商品",IF(COUNTIF(基础资料!$E$5:$E$104,D986)=0,"✗ 商品不在商品档案里",IF(AND(E986="",H986=""),"✗ 没填数量",IF(AND(N(E986)&lt;&gt;0,F986=""),"✗ 没填进价","√")))))))))</f>
      </c>
    </row>
    <row r="987">
      <c r="A987" s="109">
        <f>IF(AND(C987="",D987=""),"",ROW()-3)</f>
      </c>
      <c r="B987" s="140" t="n"/>
      <c r="C987" s="141" t="n"/>
      <c r="D987" s="141" t="n"/>
      <c r="E987" s="148" t="n"/>
      <c r="F987" s="149" t="n"/>
      <c r="G987" s="150">
        <f>IF(AND(E987&lt;&gt;"",F987&lt;&gt;""),E987*F987,"")</f>
      </c>
      <c r="H987" s="148" t="n"/>
      <c r="I987" s="142" t="n"/>
      <c r="J987" s="146">
        <f>IF(AND(B987="",C987="",D987="",E987="",F987="",H987=""),"",IF(NOT(ISNUMBER(B987)),"✗ 日期不是真日期",IF(OR(B987&lt;年初日,B987&gt;年末日),"✗ 日期不在本年度",IF(C987="","✗ 没选供应商",IF(COUNTIF(基础资料!$Q$5:$Q$54,C987)=0,"✗ 供应商不在基础资料里",IF(D987="","✗ 没选商品",IF(COUNTIF(基础资料!$E$5:$E$104,D987)=0,"✗ 商品不在商品档案里",IF(AND(E987="",H987=""),"✗ 没填数量",IF(AND(N(E987)&lt;&gt;0,F987=""),"✗ 没填进价","√")))))))))</f>
      </c>
    </row>
    <row r="988">
      <c r="A988" s="109">
        <f>IF(AND(C988="",D988=""),"",ROW()-3)</f>
      </c>
      <c r="B988" s="140" t="n"/>
      <c r="C988" s="141" t="n"/>
      <c r="D988" s="141" t="n"/>
      <c r="E988" s="148" t="n"/>
      <c r="F988" s="149" t="n"/>
      <c r="G988" s="150">
        <f>IF(AND(E988&lt;&gt;"",F988&lt;&gt;""),E988*F988,"")</f>
      </c>
      <c r="H988" s="148" t="n"/>
      <c r="I988" s="142" t="n"/>
      <c r="J988" s="146">
        <f>IF(AND(B988="",C988="",D988="",E988="",F988="",H988=""),"",IF(NOT(ISNUMBER(B988)),"✗ 日期不是真日期",IF(OR(B988&lt;年初日,B988&gt;年末日),"✗ 日期不在本年度",IF(C988="","✗ 没选供应商",IF(COUNTIF(基础资料!$Q$5:$Q$54,C988)=0,"✗ 供应商不在基础资料里",IF(D988="","✗ 没选商品",IF(COUNTIF(基础资料!$E$5:$E$104,D988)=0,"✗ 商品不在商品档案里",IF(AND(E988="",H988=""),"✗ 没填数量",IF(AND(N(E988)&lt;&gt;0,F988=""),"✗ 没填进价","√")))))))))</f>
      </c>
    </row>
    <row r="989">
      <c r="A989" s="109">
        <f>IF(AND(C989="",D989=""),"",ROW()-3)</f>
      </c>
      <c r="B989" s="140" t="n"/>
      <c r="C989" s="141" t="n"/>
      <c r="D989" s="141" t="n"/>
      <c r="E989" s="148" t="n"/>
      <c r="F989" s="149" t="n"/>
      <c r="G989" s="150">
        <f>IF(AND(E989&lt;&gt;"",F989&lt;&gt;""),E989*F989,"")</f>
      </c>
      <c r="H989" s="148" t="n"/>
      <c r="I989" s="142" t="n"/>
      <c r="J989" s="146">
        <f>IF(AND(B989="",C989="",D989="",E989="",F989="",H989=""),"",IF(NOT(ISNUMBER(B989)),"✗ 日期不是真日期",IF(OR(B989&lt;年初日,B989&gt;年末日),"✗ 日期不在本年度",IF(C989="","✗ 没选供应商",IF(COUNTIF(基础资料!$Q$5:$Q$54,C989)=0,"✗ 供应商不在基础资料里",IF(D989="","✗ 没选商品",IF(COUNTIF(基础资料!$E$5:$E$104,D989)=0,"✗ 商品不在商品档案里",IF(AND(E989="",H989=""),"✗ 没填数量",IF(AND(N(E989)&lt;&gt;0,F989=""),"✗ 没填进价","√")))))))))</f>
      </c>
    </row>
    <row r="990">
      <c r="A990" s="109">
        <f>IF(AND(C990="",D990=""),"",ROW()-3)</f>
      </c>
      <c r="B990" s="140" t="n"/>
      <c r="C990" s="141" t="n"/>
      <c r="D990" s="141" t="n"/>
      <c r="E990" s="148" t="n"/>
      <c r="F990" s="149" t="n"/>
      <c r="G990" s="150">
        <f>IF(AND(E990&lt;&gt;"",F990&lt;&gt;""),E990*F990,"")</f>
      </c>
      <c r="H990" s="148" t="n"/>
      <c r="I990" s="142" t="n"/>
      <c r="J990" s="146">
        <f>IF(AND(B990="",C990="",D990="",E990="",F990="",H990=""),"",IF(NOT(ISNUMBER(B990)),"✗ 日期不是真日期",IF(OR(B990&lt;年初日,B990&gt;年末日),"✗ 日期不在本年度",IF(C990="","✗ 没选供应商",IF(COUNTIF(基础资料!$Q$5:$Q$54,C990)=0,"✗ 供应商不在基础资料里",IF(D990="","✗ 没选商品",IF(COUNTIF(基础资料!$E$5:$E$104,D990)=0,"✗ 商品不在商品档案里",IF(AND(E990="",H990=""),"✗ 没填数量",IF(AND(N(E990)&lt;&gt;0,F990=""),"✗ 没填进价","√")))))))))</f>
      </c>
    </row>
    <row r="991">
      <c r="A991" s="109">
        <f>IF(AND(C991="",D991=""),"",ROW()-3)</f>
      </c>
      <c r="B991" s="140" t="n"/>
      <c r="C991" s="141" t="n"/>
      <c r="D991" s="141" t="n"/>
      <c r="E991" s="148" t="n"/>
      <c r="F991" s="149" t="n"/>
      <c r="G991" s="150">
        <f>IF(AND(E991&lt;&gt;"",F991&lt;&gt;""),E991*F991,"")</f>
      </c>
      <c r="H991" s="148" t="n"/>
      <c r="I991" s="142" t="n"/>
      <c r="J991" s="146">
        <f>IF(AND(B991="",C991="",D991="",E991="",F991="",H991=""),"",IF(NOT(ISNUMBER(B991)),"✗ 日期不是真日期",IF(OR(B991&lt;年初日,B991&gt;年末日),"✗ 日期不在本年度",IF(C991="","✗ 没选供应商",IF(COUNTIF(基础资料!$Q$5:$Q$54,C991)=0,"✗ 供应商不在基础资料里",IF(D991="","✗ 没选商品",IF(COUNTIF(基础资料!$E$5:$E$104,D991)=0,"✗ 商品不在商品档案里",IF(AND(E991="",H991=""),"✗ 没填数量",IF(AND(N(E991)&lt;&gt;0,F991=""),"✗ 没填进价","√")))))))))</f>
      </c>
    </row>
    <row r="992">
      <c r="A992" s="109">
        <f>IF(AND(C992="",D992=""),"",ROW()-3)</f>
      </c>
      <c r="B992" s="140" t="n"/>
      <c r="C992" s="141" t="n"/>
      <c r="D992" s="141" t="n"/>
      <c r="E992" s="148" t="n"/>
      <c r="F992" s="149" t="n"/>
      <c r="G992" s="150">
        <f>IF(AND(E992&lt;&gt;"",F992&lt;&gt;""),E992*F992,"")</f>
      </c>
      <c r="H992" s="148" t="n"/>
      <c r="I992" s="142" t="n"/>
      <c r="J992" s="146">
        <f>IF(AND(B992="",C992="",D992="",E992="",F992="",H992=""),"",IF(NOT(ISNUMBER(B992)),"✗ 日期不是真日期",IF(OR(B992&lt;年初日,B992&gt;年末日),"✗ 日期不在本年度",IF(C992="","✗ 没选供应商",IF(COUNTIF(基础资料!$Q$5:$Q$54,C992)=0,"✗ 供应商不在基础资料里",IF(D992="","✗ 没选商品",IF(COUNTIF(基础资料!$E$5:$E$104,D992)=0,"✗ 商品不在商品档案里",IF(AND(E992="",H992=""),"✗ 没填数量",IF(AND(N(E992)&lt;&gt;0,F992=""),"✗ 没填进价","√")))))))))</f>
      </c>
    </row>
    <row r="993">
      <c r="A993" s="109">
        <f>IF(AND(C993="",D993=""),"",ROW()-3)</f>
      </c>
      <c r="B993" s="140" t="n"/>
      <c r="C993" s="141" t="n"/>
      <c r="D993" s="141" t="n"/>
      <c r="E993" s="148" t="n"/>
      <c r="F993" s="149" t="n"/>
      <c r="G993" s="150">
        <f>IF(AND(E993&lt;&gt;"",F993&lt;&gt;""),E993*F993,"")</f>
      </c>
      <c r="H993" s="148" t="n"/>
      <c r="I993" s="142" t="n"/>
      <c r="J993" s="146">
        <f>IF(AND(B993="",C993="",D993="",E993="",F993="",H993=""),"",IF(NOT(ISNUMBER(B993)),"✗ 日期不是真日期",IF(OR(B993&lt;年初日,B993&gt;年末日),"✗ 日期不在本年度",IF(C993="","✗ 没选供应商",IF(COUNTIF(基础资料!$Q$5:$Q$54,C993)=0,"✗ 供应商不在基础资料里",IF(D993="","✗ 没选商品",IF(COUNTIF(基础资料!$E$5:$E$104,D993)=0,"✗ 商品不在商品档案里",IF(AND(E993="",H993=""),"✗ 没填数量",IF(AND(N(E993)&lt;&gt;0,F993=""),"✗ 没填进价","√")))))))))</f>
      </c>
    </row>
    <row r="994">
      <c r="A994" s="109">
        <f>IF(AND(C994="",D994=""),"",ROW()-3)</f>
      </c>
      <c r="B994" s="140" t="n"/>
      <c r="C994" s="141" t="n"/>
      <c r="D994" s="141" t="n"/>
      <c r="E994" s="148" t="n"/>
      <c r="F994" s="149" t="n"/>
      <c r="G994" s="150">
        <f>IF(AND(E994&lt;&gt;"",F994&lt;&gt;""),E994*F994,"")</f>
      </c>
      <c r="H994" s="148" t="n"/>
      <c r="I994" s="142" t="n"/>
      <c r="J994" s="146">
        <f>IF(AND(B994="",C994="",D994="",E994="",F994="",H994=""),"",IF(NOT(ISNUMBER(B994)),"✗ 日期不是真日期",IF(OR(B994&lt;年初日,B994&gt;年末日),"✗ 日期不在本年度",IF(C994="","✗ 没选供应商",IF(COUNTIF(基础资料!$Q$5:$Q$54,C994)=0,"✗ 供应商不在基础资料里",IF(D994="","✗ 没选商品",IF(COUNTIF(基础资料!$E$5:$E$104,D994)=0,"✗ 商品不在商品档案里",IF(AND(E994="",H994=""),"✗ 没填数量",IF(AND(N(E994)&lt;&gt;0,F994=""),"✗ 没填进价","√")))))))))</f>
      </c>
    </row>
    <row r="995">
      <c r="A995" s="109">
        <f>IF(AND(C995="",D995=""),"",ROW()-3)</f>
      </c>
      <c r="B995" s="140" t="n"/>
      <c r="C995" s="141" t="n"/>
      <c r="D995" s="141" t="n"/>
      <c r="E995" s="148" t="n"/>
      <c r="F995" s="149" t="n"/>
      <c r="G995" s="150">
        <f>IF(AND(E995&lt;&gt;"",F995&lt;&gt;""),E995*F995,"")</f>
      </c>
      <c r="H995" s="148" t="n"/>
      <c r="I995" s="142" t="n"/>
      <c r="J995" s="146">
        <f>IF(AND(B995="",C995="",D995="",E995="",F995="",H995=""),"",IF(NOT(ISNUMBER(B995)),"✗ 日期不是真日期",IF(OR(B995&lt;年初日,B995&gt;年末日),"✗ 日期不在本年度",IF(C995="","✗ 没选供应商",IF(COUNTIF(基础资料!$Q$5:$Q$54,C995)=0,"✗ 供应商不在基础资料里",IF(D995="","✗ 没选商品",IF(COUNTIF(基础资料!$E$5:$E$104,D995)=0,"✗ 商品不在商品档案里",IF(AND(E995="",H995=""),"✗ 没填数量",IF(AND(N(E995)&lt;&gt;0,F995=""),"✗ 没填进价","√")))))))))</f>
      </c>
    </row>
    <row r="996">
      <c r="A996" s="109">
        <f>IF(AND(C996="",D996=""),"",ROW()-3)</f>
      </c>
      <c r="B996" s="140" t="n"/>
      <c r="C996" s="141" t="n"/>
      <c r="D996" s="141" t="n"/>
      <c r="E996" s="148" t="n"/>
      <c r="F996" s="149" t="n"/>
      <c r="G996" s="150">
        <f>IF(AND(E996&lt;&gt;"",F996&lt;&gt;""),E996*F996,"")</f>
      </c>
      <c r="H996" s="148" t="n"/>
      <c r="I996" s="142" t="n"/>
      <c r="J996" s="146">
        <f>IF(AND(B996="",C996="",D996="",E996="",F996="",H996=""),"",IF(NOT(ISNUMBER(B996)),"✗ 日期不是真日期",IF(OR(B996&lt;年初日,B996&gt;年末日),"✗ 日期不在本年度",IF(C996="","✗ 没选供应商",IF(COUNTIF(基础资料!$Q$5:$Q$54,C996)=0,"✗ 供应商不在基础资料里",IF(D996="","✗ 没选商品",IF(COUNTIF(基础资料!$E$5:$E$104,D996)=0,"✗ 商品不在商品档案里",IF(AND(E996="",H996=""),"✗ 没填数量",IF(AND(N(E996)&lt;&gt;0,F996=""),"✗ 没填进价","√")))))))))</f>
      </c>
    </row>
    <row r="997">
      <c r="A997" s="109">
        <f>IF(AND(C997="",D997=""),"",ROW()-3)</f>
      </c>
      <c r="B997" s="140" t="n"/>
      <c r="C997" s="141" t="n"/>
      <c r="D997" s="141" t="n"/>
      <c r="E997" s="148" t="n"/>
      <c r="F997" s="149" t="n"/>
      <c r="G997" s="150">
        <f>IF(AND(E997&lt;&gt;"",F997&lt;&gt;""),E997*F997,"")</f>
      </c>
      <c r="H997" s="148" t="n"/>
      <c r="I997" s="142" t="n"/>
      <c r="J997" s="146">
        <f>IF(AND(B997="",C997="",D997="",E997="",F997="",H997=""),"",IF(NOT(ISNUMBER(B997)),"✗ 日期不是真日期",IF(OR(B997&lt;年初日,B997&gt;年末日),"✗ 日期不在本年度",IF(C997="","✗ 没选供应商",IF(COUNTIF(基础资料!$Q$5:$Q$54,C997)=0,"✗ 供应商不在基础资料里",IF(D997="","✗ 没选商品",IF(COUNTIF(基础资料!$E$5:$E$104,D997)=0,"✗ 商品不在商品档案里",IF(AND(E997="",H997=""),"✗ 没填数量",IF(AND(N(E997)&lt;&gt;0,F997=""),"✗ 没填进价","√")))))))))</f>
      </c>
    </row>
    <row r="998">
      <c r="A998" s="109">
        <f>IF(AND(C998="",D998=""),"",ROW()-3)</f>
      </c>
      <c r="B998" s="140" t="n"/>
      <c r="C998" s="141" t="n"/>
      <c r="D998" s="141" t="n"/>
      <c r="E998" s="148" t="n"/>
      <c r="F998" s="149" t="n"/>
      <c r="G998" s="150">
        <f>IF(AND(E998&lt;&gt;"",F998&lt;&gt;""),E998*F998,"")</f>
      </c>
      <c r="H998" s="148" t="n"/>
      <c r="I998" s="142" t="n"/>
      <c r="J998" s="146">
        <f>IF(AND(B998="",C998="",D998="",E998="",F998="",H998=""),"",IF(NOT(ISNUMBER(B998)),"✗ 日期不是真日期",IF(OR(B998&lt;年初日,B998&gt;年末日),"✗ 日期不在本年度",IF(C998="","✗ 没选供应商",IF(COUNTIF(基础资料!$Q$5:$Q$54,C998)=0,"✗ 供应商不在基础资料里",IF(D998="","✗ 没选商品",IF(COUNTIF(基础资料!$E$5:$E$104,D998)=0,"✗ 商品不在商品档案里",IF(AND(E998="",H998=""),"✗ 没填数量",IF(AND(N(E998)&lt;&gt;0,F998=""),"✗ 没填进价","√")))))))))</f>
      </c>
    </row>
    <row r="999">
      <c r="A999" s="109">
        <f>IF(AND(C999="",D999=""),"",ROW()-3)</f>
      </c>
      <c r="B999" s="140" t="n"/>
      <c r="C999" s="141" t="n"/>
      <c r="D999" s="141" t="n"/>
      <c r="E999" s="148" t="n"/>
      <c r="F999" s="149" t="n"/>
      <c r="G999" s="150">
        <f>IF(AND(E999&lt;&gt;"",F999&lt;&gt;""),E999*F999,"")</f>
      </c>
      <c r="H999" s="148" t="n"/>
      <c r="I999" s="142" t="n"/>
      <c r="J999" s="146">
        <f>IF(AND(B999="",C999="",D999="",E999="",F999="",H999=""),"",IF(NOT(ISNUMBER(B999)),"✗ 日期不是真日期",IF(OR(B999&lt;年初日,B999&gt;年末日),"✗ 日期不在本年度",IF(C999="","✗ 没选供应商",IF(COUNTIF(基础资料!$Q$5:$Q$54,C999)=0,"✗ 供应商不在基础资料里",IF(D999="","✗ 没选商品",IF(COUNTIF(基础资料!$E$5:$E$104,D999)=0,"✗ 商品不在商品档案里",IF(AND(E999="",H999=""),"✗ 没填数量",IF(AND(N(E999)&lt;&gt;0,F999=""),"✗ 没填进价","√")))))))))</f>
      </c>
    </row>
    <row r="1000">
      <c r="A1000" s="109">
        <f>IF(AND(C1000="",D1000=""),"",ROW()-3)</f>
      </c>
      <c r="B1000" s="140" t="n"/>
      <c r="C1000" s="141" t="n"/>
      <c r="D1000" s="141" t="n"/>
      <c r="E1000" s="148" t="n"/>
      <c r="F1000" s="149" t="n"/>
      <c r="G1000" s="150">
        <f>IF(AND(E1000&lt;&gt;"",F1000&lt;&gt;""),E1000*F1000,"")</f>
      </c>
      <c r="H1000" s="148" t="n"/>
      <c r="I1000" s="142" t="n"/>
      <c r="J1000" s="146">
        <f>IF(AND(B1000="",C1000="",D1000="",E1000="",F1000="",H1000=""),"",IF(NOT(ISNUMBER(B1000)),"✗ 日期不是真日期",IF(OR(B1000&lt;年初日,B1000&gt;年末日),"✗ 日期不在本年度",IF(C1000="","✗ 没选供应商",IF(COUNTIF(基础资料!$Q$5:$Q$54,C1000)=0,"✗ 供应商不在基础资料里",IF(D1000="","✗ 没选商品",IF(COUNTIF(基础资料!$E$5:$E$104,D1000)=0,"✗ 商品不在商品档案里",IF(AND(E1000="",H1000=""),"✗ 没填数量",IF(AND(N(E1000)&lt;&gt;0,F1000=""),"✗ 没填进价","√")))))))))</f>
      </c>
    </row>
    <row r="1001">
      <c r="A1001" s="109">
        <f>IF(AND(C1001="",D1001=""),"",ROW()-3)</f>
      </c>
      <c r="B1001" s="140" t="n"/>
      <c r="C1001" s="141" t="n"/>
      <c r="D1001" s="141" t="n"/>
      <c r="E1001" s="148" t="n"/>
      <c r="F1001" s="149" t="n"/>
      <c r="G1001" s="150">
        <f>IF(AND(E1001&lt;&gt;"",F1001&lt;&gt;""),E1001*F1001,"")</f>
      </c>
      <c r="H1001" s="148" t="n"/>
      <c r="I1001" s="142" t="n"/>
      <c r="J1001" s="146">
        <f>IF(AND(B1001="",C1001="",D1001="",E1001="",F1001="",H1001=""),"",IF(NOT(ISNUMBER(B1001)),"✗ 日期不是真日期",IF(OR(B1001&lt;年初日,B1001&gt;年末日),"✗ 日期不在本年度",IF(C1001="","✗ 没选供应商",IF(COUNTIF(基础资料!$Q$5:$Q$54,C1001)=0,"✗ 供应商不在基础资料里",IF(D1001="","✗ 没选商品",IF(COUNTIF(基础资料!$E$5:$E$104,D1001)=0,"✗ 商品不在商品档案里",IF(AND(E1001="",H1001=""),"✗ 没填数量",IF(AND(N(E1001)&lt;&gt;0,F1001=""),"✗ 没填进价","√")))))))))</f>
      </c>
    </row>
    <row r="1002">
      <c r="A1002" s="109">
        <f>IF(AND(C1002="",D1002=""),"",ROW()-3)</f>
      </c>
      <c r="B1002" s="140" t="n"/>
      <c r="C1002" s="141" t="n"/>
      <c r="D1002" s="141" t="n"/>
      <c r="E1002" s="148" t="n"/>
      <c r="F1002" s="149" t="n"/>
      <c r="G1002" s="150">
        <f>IF(AND(E1002&lt;&gt;"",F1002&lt;&gt;""),E1002*F1002,"")</f>
      </c>
      <c r="H1002" s="148" t="n"/>
      <c r="I1002" s="142" t="n"/>
      <c r="J1002" s="146">
        <f>IF(AND(B1002="",C1002="",D1002="",E1002="",F1002="",H1002=""),"",IF(NOT(ISNUMBER(B1002)),"✗ 日期不是真日期",IF(OR(B1002&lt;年初日,B1002&gt;年末日),"✗ 日期不在本年度",IF(C1002="","✗ 没选供应商",IF(COUNTIF(基础资料!$Q$5:$Q$54,C1002)=0,"✗ 供应商不在基础资料里",IF(D1002="","✗ 没选商品",IF(COUNTIF(基础资料!$E$5:$E$104,D1002)=0,"✗ 商品不在商品档案里",IF(AND(E1002="",H1002=""),"✗ 没填数量",IF(AND(N(E1002)&lt;&gt;0,F1002=""),"✗ 没填进价","√")))))))))</f>
      </c>
    </row>
    <row r="1003">
      <c r="A1003" s="109">
        <f>IF(AND(C1003="",D1003=""),"",ROW()-3)</f>
      </c>
      <c r="B1003" s="140" t="n"/>
      <c r="C1003" s="141" t="n"/>
      <c r="D1003" s="141" t="n"/>
      <c r="E1003" s="148" t="n"/>
      <c r="F1003" s="149" t="n"/>
      <c r="G1003" s="150">
        <f>IF(AND(E1003&lt;&gt;"",F1003&lt;&gt;""),E1003*F1003,"")</f>
      </c>
      <c r="H1003" s="148" t="n"/>
      <c r="I1003" s="142" t="n"/>
      <c r="J1003" s="146">
        <f>IF(AND(B1003="",C1003="",D1003="",E1003="",F1003="",H1003=""),"",IF(NOT(ISNUMBER(B1003)),"✗ 日期不是真日期",IF(OR(B1003&lt;年初日,B1003&gt;年末日),"✗ 日期不在本年度",IF(C1003="","✗ 没选供应商",IF(COUNTIF(基础资料!$Q$5:$Q$54,C1003)=0,"✗ 供应商不在基础资料里",IF(D1003="","✗ 没选商品",IF(COUNTIF(基础资料!$E$5:$E$104,D1003)=0,"✗ 商品不在商品档案里",IF(AND(E1003="",H1003=""),"✗ 没填数量",IF(AND(N(E1003)&lt;&gt;0,F1003=""),"✗ 没填进价","√")))))))))</f>
      </c>
    </row>
    <row r="1004">
      <c r="A1004" s="109">
        <f>IF(AND(C1004="",D1004=""),"",ROW()-3)</f>
      </c>
      <c r="B1004" s="140" t="n"/>
      <c r="C1004" s="141" t="n"/>
      <c r="D1004" s="141" t="n"/>
      <c r="E1004" s="148" t="n"/>
      <c r="F1004" s="149" t="n"/>
      <c r="G1004" s="150">
        <f>IF(AND(E1004&lt;&gt;"",F1004&lt;&gt;""),E1004*F1004,"")</f>
      </c>
      <c r="H1004" s="148" t="n"/>
      <c r="I1004" s="142" t="n"/>
      <c r="J1004" s="146">
        <f>IF(AND(B1004="",C1004="",D1004="",E1004="",F1004="",H1004=""),"",IF(NOT(ISNUMBER(B1004)),"✗ 日期不是真日期",IF(OR(B1004&lt;年初日,B1004&gt;年末日),"✗ 日期不在本年度",IF(C1004="","✗ 没选供应商",IF(COUNTIF(基础资料!$Q$5:$Q$54,C1004)=0,"✗ 供应商不在基础资料里",IF(D1004="","✗ 没选商品",IF(COUNTIF(基础资料!$E$5:$E$104,D1004)=0,"✗ 商品不在商品档案里",IF(AND(E1004="",H1004=""),"✗ 没填数量",IF(AND(N(E1004)&lt;&gt;0,F1004=""),"✗ 没填进价","√")))))))))</f>
      </c>
    </row>
    <row r="1005">
      <c r="A1005" s="109">
        <f>IF(AND(C1005="",D1005=""),"",ROW()-3)</f>
      </c>
      <c r="B1005" s="140" t="n"/>
      <c r="C1005" s="141" t="n"/>
      <c r="D1005" s="141" t="n"/>
      <c r="E1005" s="148" t="n"/>
      <c r="F1005" s="149" t="n"/>
      <c r="G1005" s="150">
        <f>IF(AND(E1005&lt;&gt;"",F1005&lt;&gt;""),E1005*F1005,"")</f>
      </c>
      <c r="H1005" s="148" t="n"/>
      <c r="I1005" s="142" t="n"/>
      <c r="J1005" s="146">
        <f>IF(AND(B1005="",C1005="",D1005="",E1005="",F1005="",H1005=""),"",IF(NOT(ISNUMBER(B1005)),"✗ 日期不是真日期",IF(OR(B1005&lt;年初日,B1005&gt;年末日),"✗ 日期不在本年度",IF(C1005="","✗ 没选供应商",IF(COUNTIF(基础资料!$Q$5:$Q$54,C1005)=0,"✗ 供应商不在基础资料里",IF(D1005="","✗ 没选商品",IF(COUNTIF(基础资料!$E$5:$E$104,D1005)=0,"✗ 商品不在商品档案里",IF(AND(E1005="",H1005=""),"✗ 没填数量",IF(AND(N(E1005)&lt;&gt;0,F1005=""),"✗ 没填进价","√")))))))))</f>
      </c>
    </row>
    <row r="1006">
      <c r="A1006" s="109">
        <f>IF(AND(C1006="",D1006=""),"",ROW()-3)</f>
      </c>
      <c r="B1006" s="140" t="n"/>
      <c r="C1006" s="141" t="n"/>
      <c r="D1006" s="141" t="n"/>
      <c r="E1006" s="148" t="n"/>
      <c r="F1006" s="149" t="n"/>
      <c r="G1006" s="150">
        <f>IF(AND(E1006&lt;&gt;"",F1006&lt;&gt;""),E1006*F1006,"")</f>
      </c>
      <c r="H1006" s="148" t="n"/>
      <c r="I1006" s="142" t="n"/>
      <c r="J1006" s="146">
        <f>IF(AND(B1006="",C1006="",D1006="",E1006="",F1006="",H1006=""),"",IF(NOT(ISNUMBER(B1006)),"✗ 日期不是真日期",IF(OR(B1006&lt;年初日,B1006&gt;年末日),"✗ 日期不在本年度",IF(C1006="","✗ 没选供应商",IF(COUNTIF(基础资料!$Q$5:$Q$54,C1006)=0,"✗ 供应商不在基础资料里",IF(D1006="","✗ 没选商品",IF(COUNTIF(基础资料!$E$5:$E$104,D1006)=0,"✗ 商品不在商品档案里",IF(AND(E1006="",H1006=""),"✗ 没填数量",IF(AND(N(E1006)&lt;&gt;0,F1006=""),"✗ 没填进价","√")))))))))</f>
      </c>
    </row>
    <row r="1007">
      <c r="A1007" s="109">
        <f>IF(AND(C1007="",D1007=""),"",ROW()-3)</f>
      </c>
      <c r="B1007" s="140" t="n"/>
      <c r="C1007" s="141" t="n"/>
      <c r="D1007" s="141" t="n"/>
      <c r="E1007" s="148" t="n"/>
      <c r="F1007" s="149" t="n"/>
      <c r="G1007" s="150">
        <f>IF(AND(E1007&lt;&gt;"",F1007&lt;&gt;""),E1007*F1007,"")</f>
      </c>
      <c r="H1007" s="148" t="n"/>
      <c r="I1007" s="142" t="n"/>
      <c r="J1007" s="146">
        <f>IF(AND(B1007="",C1007="",D1007="",E1007="",F1007="",H1007=""),"",IF(NOT(ISNUMBER(B1007)),"✗ 日期不是真日期",IF(OR(B1007&lt;年初日,B1007&gt;年末日),"✗ 日期不在本年度",IF(C1007="","✗ 没选供应商",IF(COUNTIF(基础资料!$Q$5:$Q$54,C1007)=0,"✗ 供应商不在基础资料里",IF(D1007="","✗ 没选商品",IF(COUNTIF(基础资料!$E$5:$E$104,D1007)=0,"✗ 商品不在商品档案里",IF(AND(E1007="",H1007=""),"✗ 没填数量",IF(AND(N(E1007)&lt;&gt;0,F1007=""),"✗ 没填进价","√")))))))))</f>
      </c>
    </row>
    <row r="1008">
      <c r="A1008" s="109">
        <f>IF(AND(C1008="",D1008=""),"",ROW()-3)</f>
      </c>
      <c r="B1008" s="140" t="n"/>
      <c r="C1008" s="141" t="n"/>
      <c r="D1008" s="141" t="n"/>
      <c r="E1008" s="148" t="n"/>
      <c r="F1008" s="149" t="n"/>
      <c r="G1008" s="150">
        <f>IF(AND(E1008&lt;&gt;"",F1008&lt;&gt;""),E1008*F1008,"")</f>
      </c>
      <c r="H1008" s="148" t="n"/>
      <c r="I1008" s="142" t="n"/>
      <c r="J1008" s="146">
        <f>IF(AND(B1008="",C1008="",D1008="",E1008="",F1008="",H1008=""),"",IF(NOT(ISNUMBER(B1008)),"✗ 日期不是真日期",IF(OR(B1008&lt;年初日,B1008&gt;年末日),"✗ 日期不在本年度",IF(C1008="","✗ 没选供应商",IF(COUNTIF(基础资料!$Q$5:$Q$54,C1008)=0,"✗ 供应商不在基础资料里",IF(D1008="","✗ 没选商品",IF(COUNTIF(基础资料!$E$5:$E$104,D1008)=0,"✗ 商品不在商品档案里",IF(AND(E1008="",H1008=""),"✗ 没填数量",IF(AND(N(E1008)&lt;&gt;0,F1008=""),"✗ 没填进价","√")))))))))</f>
      </c>
    </row>
    <row r="1009">
      <c r="A1009" s="109">
        <f>IF(AND(C1009="",D1009=""),"",ROW()-3)</f>
      </c>
      <c r="B1009" s="140" t="n"/>
      <c r="C1009" s="141" t="n"/>
      <c r="D1009" s="141" t="n"/>
      <c r="E1009" s="148" t="n"/>
      <c r="F1009" s="149" t="n"/>
      <c r="G1009" s="150">
        <f>IF(AND(E1009&lt;&gt;"",F1009&lt;&gt;""),E1009*F1009,"")</f>
      </c>
      <c r="H1009" s="148" t="n"/>
      <c r="I1009" s="142" t="n"/>
      <c r="J1009" s="146">
        <f>IF(AND(B1009="",C1009="",D1009="",E1009="",F1009="",H1009=""),"",IF(NOT(ISNUMBER(B1009)),"✗ 日期不是真日期",IF(OR(B1009&lt;年初日,B1009&gt;年末日),"✗ 日期不在本年度",IF(C1009="","✗ 没选供应商",IF(COUNTIF(基础资料!$Q$5:$Q$54,C1009)=0,"✗ 供应商不在基础资料里",IF(D1009="","✗ 没选商品",IF(COUNTIF(基础资料!$E$5:$E$104,D1009)=0,"✗ 商品不在商品档案里",IF(AND(E1009="",H1009=""),"✗ 没填数量",IF(AND(N(E1009)&lt;&gt;0,F1009=""),"✗ 没填进价","√")))))))))</f>
      </c>
    </row>
    <row r="1010">
      <c r="A1010" s="109">
        <f>IF(AND(C1010="",D1010=""),"",ROW()-3)</f>
      </c>
      <c r="B1010" s="140" t="n"/>
      <c r="C1010" s="141" t="n"/>
      <c r="D1010" s="141" t="n"/>
      <c r="E1010" s="148" t="n"/>
      <c r="F1010" s="149" t="n"/>
      <c r="G1010" s="150">
        <f>IF(AND(E1010&lt;&gt;"",F1010&lt;&gt;""),E1010*F1010,"")</f>
      </c>
      <c r="H1010" s="148" t="n"/>
      <c r="I1010" s="142" t="n"/>
      <c r="J1010" s="146">
        <f>IF(AND(B1010="",C1010="",D1010="",E1010="",F1010="",H1010=""),"",IF(NOT(ISNUMBER(B1010)),"✗ 日期不是真日期",IF(OR(B1010&lt;年初日,B1010&gt;年末日),"✗ 日期不在本年度",IF(C1010="","✗ 没选供应商",IF(COUNTIF(基础资料!$Q$5:$Q$54,C1010)=0,"✗ 供应商不在基础资料里",IF(D1010="","✗ 没选商品",IF(COUNTIF(基础资料!$E$5:$E$104,D1010)=0,"✗ 商品不在商品档案里",IF(AND(E1010="",H1010=""),"✗ 没填数量",IF(AND(N(E1010)&lt;&gt;0,F1010=""),"✗ 没填进价","√")))))))))</f>
      </c>
    </row>
    <row r="1011">
      <c r="A1011" s="109">
        <f>IF(AND(C1011="",D1011=""),"",ROW()-3)</f>
      </c>
      <c r="B1011" s="140" t="n"/>
      <c r="C1011" s="141" t="n"/>
      <c r="D1011" s="141" t="n"/>
      <c r="E1011" s="148" t="n"/>
      <c r="F1011" s="149" t="n"/>
      <c r="G1011" s="150">
        <f>IF(AND(E1011&lt;&gt;"",F1011&lt;&gt;""),E1011*F1011,"")</f>
      </c>
      <c r="H1011" s="148" t="n"/>
      <c r="I1011" s="142" t="n"/>
      <c r="J1011" s="146">
        <f>IF(AND(B1011="",C1011="",D1011="",E1011="",F1011="",H1011=""),"",IF(NOT(ISNUMBER(B1011)),"✗ 日期不是真日期",IF(OR(B1011&lt;年初日,B1011&gt;年末日),"✗ 日期不在本年度",IF(C1011="","✗ 没选供应商",IF(COUNTIF(基础资料!$Q$5:$Q$54,C1011)=0,"✗ 供应商不在基础资料里",IF(D1011="","✗ 没选商品",IF(COUNTIF(基础资料!$E$5:$E$104,D1011)=0,"✗ 商品不在商品档案里",IF(AND(E1011="",H1011=""),"✗ 没填数量",IF(AND(N(E1011)&lt;&gt;0,F1011=""),"✗ 没填进价","√")))))))))</f>
      </c>
    </row>
    <row r="1012">
      <c r="A1012" s="109">
        <f>IF(AND(C1012="",D1012=""),"",ROW()-3)</f>
      </c>
      <c r="B1012" s="140" t="n"/>
      <c r="C1012" s="141" t="n"/>
      <c r="D1012" s="141" t="n"/>
      <c r="E1012" s="148" t="n"/>
      <c r="F1012" s="149" t="n"/>
      <c r="G1012" s="150">
        <f>IF(AND(E1012&lt;&gt;"",F1012&lt;&gt;""),E1012*F1012,"")</f>
      </c>
      <c r="H1012" s="148" t="n"/>
      <c r="I1012" s="142" t="n"/>
      <c r="J1012" s="146">
        <f>IF(AND(B1012="",C1012="",D1012="",E1012="",F1012="",H1012=""),"",IF(NOT(ISNUMBER(B1012)),"✗ 日期不是真日期",IF(OR(B1012&lt;年初日,B1012&gt;年末日),"✗ 日期不在本年度",IF(C1012="","✗ 没选供应商",IF(COUNTIF(基础资料!$Q$5:$Q$54,C1012)=0,"✗ 供应商不在基础资料里",IF(D1012="","✗ 没选商品",IF(COUNTIF(基础资料!$E$5:$E$104,D1012)=0,"✗ 商品不在商品档案里",IF(AND(E1012="",H1012=""),"✗ 没填数量",IF(AND(N(E1012)&lt;&gt;0,F1012=""),"✗ 没填进价","√")))))))))</f>
      </c>
    </row>
    <row r="1013">
      <c r="A1013" s="109">
        <f>IF(AND(C1013="",D1013=""),"",ROW()-3)</f>
      </c>
      <c r="B1013" s="140" t="n"/>
      <c r="C1013" s="141" t="n"/>
      <c r="D1013" s="141" t="n"/>
      <c r="E1013" s="148" t="n"/>
      <c r="F1013" s="149" t="n"/>
      <c r="G1013" s="150">
        <f>IF(AND(E1013&lt;&gt;"",F1013&lt;&gt;""),E1013*F1013,"")</f>
      </c>
      <c r="H1013" s="148" t="n"/>
      <c r="I1013" s="142" t="n"/>
      <c r="J1013" s="146">
        <f>IF(AND(B1013="",C1013="",D1013="",E1013="",F1013="",H1013=""),"",IF(NOT(ISNUMBER(B1013)),"✗ 日期不是真日期",IF(OR(B1013&lt;年初日,B1013&gt;年末日),"✗ 日期不在本年度",IF(C1013="","✗ 没选供应商",IF(COUNTIF(基础资料!$Q$5:$Q$54,C1013)=0,"✗ 供应商不在基础资料里",IF(D1013="","✗ 没选商品",IF(COUNTIF(基础资料!$E$5:$E$104,D1013)=0,"✗ 商品不在商品档案里",IF(AND(E1013="",H1013=""),"✗ 没填数量",IF(AND(N(E1013)&lt;&gt;0,F1013=""),"✗ 没填进价","√")))))))))</f>
      </c>
    </row>
    <row r="1014">
      <c r="A1014" s="109">
        <f>IF(AND(C1014="",D1014=""),"",ROW()-3)</f>
      </c>
      <c r="B1014" s="140" t="n"/>
      <c r="C1014" s="141" t="n"/>
      <c r="D1014" s="141" t="n"/>
      <c r="E1014" s="148" t="n"/>
      <c r="F1014" s="149" t="n"/>
      <c r="G1014" s="150">
        <f>IF(AND(E1014&lt;&gt;"",F1014&lt;&gt;""),E1014*F1014,"")</f>
      </c>
      <c r="H1014" s="148" t="n"/>
      <c r="I1014" s="142" t="n"/>
      <c r="J1014" s="146">
        <f>IF(AND(B1014="",C1014="",D1014="",E1014="",F1014="",H1014=""),"",IF(NOT(ISNUMBER(B1014)),"✗ 日期不是真日期",IF(OR(B1014&lt;年初日,B1014&gt;年末日),"✗ 日期不在本年度",IF(C1014="","✗ 没选供应商",IF(COUNTIF(基础资料!$Q$5:$Q$54,C1014)=0,"✗ 供应商不在基础资料里",IF(D1014="","✗ 没选商品",IF(COUNTIF(基础资料!$E$5:$E$104,D1014)=0,"✗ 商品不在商品档案里",IF(AND(E1014="",H1014=""),"✗ 没填数量",IF(AND(N(E1014)&lt;&gt;0,F1014=""),"✗ 没填进价","√")))))))))</f>
      </c>
    </row>
    <row r="1015">
      <c r="A1015" s="109">
        <f>IF(AND(C1015="",D1015=""),"",ROW()-3)</f>
      </c>
      <c r="B1015" s="140" t="n"/>
      <c r="C1015" s="141" t="n"/>
      <c r="D1015" s="141" t="n"/>
      <c r="E1015" s="148" t="n"/>
      <c r="F1015" s="149" t="n"/>
      <c r="G1015" s="150">
        <f>IF(AND(E1015&lt;&gt;"",F1015&lt;&gt;""),E1015*F1015,"")</f>
      </c>
      <c r="H1015" s="148" t="n"/>
      <c r="I1015" s="142" t="n"/>
      <c r="J1015" s="146">
        <f>IF(AND(B1015="",C1015="",D1015="",E1015="",F1015="",H1015=""),"",IF(NOT(ISNUMBER(B1015)),"✗ 日期不是真日期",IF(OR(B1015&lt;年初日,B1015&gt;年末日),"✗ 日期不在本年度",IF(C1015="","✗ 没选供应商",IF(COUNTIF(基础资料!$Q$5:$Q$54,C1015)=0,"✗ 供应商不在基础资料里",IF(D1015="","✗ 没选商品",IF(COUNTIF(基础资料!$E$5:$E$104,D1015)=0,"✗ 商品不在商品档案里",IF(AND(E1015="",H1015=""),"✗ 没填数量",IF(AND(N(E1015)&lt;&gt;0,F1015=""),"✗ 没填进价","√")))))))))</f>
      </c>
    </row>
    <row r="1016">
      <c r="A1016" s="109">
        <f>IF(AND(C1016="",D1016=""),"",ROW()-3)</f>
      </c>
      <c r="B1016" s="140" t="n"/>
      <c r="C1016" s="141" t="n"/>
      <c r="D1016" s="141" t="n"/>
      <c r="E1016" s="148" t="n"/>
      <c r="F1016" s="149" t="n"/>
      <c r="G1016" s="150">
        <f>IF(AND(E1016&lt;&gt;"",F1016&lt;&gt;""),E1016*F1016,"")</f>
      </c>
      <c r="H1016" s="148" t="n"/>
      <c r="I1016" s="142" t="n"/>
      <c r="J1016" s="146">
        <f>IF(AND(B1016="",C1016="",D1016="",E1016="",F1016="",H1016=""),"",IF(NOT(ISNUMBER(B1016)),"✗ 日期不是真日期",IF(OR(B1016&lt;年初日,B1016&gt;年末日),"✗ 日期不在本年度",IF(C1016="","✗ 没选供应商",IF(COUNTIF(基础资料!$Q$5:$Q$54,C1016)=0,"✗ 供应商不在基础资料里",IF(D1016="","✗ 没选商品",IF(COUNTIF(基础资料!$E$5:$E$104,D1016)=0,"✗ 商品不在商品档案里",IF(AND(E1016="",H1016=""),"✗ 没填数量",IF(AND(N(E1016)&lt;&gt;0,F1016=""),"✗ 没填进价","√")))))))))</f>
      </c>
    </row>
    <row r="1017">
      <c r="A1017" s="109">
        <f>IF(AND(C1017="",D1017=""),"",ROW()-3)</f>
      </c>
      <c r="B1017" s="140" t="n"/>
      <c r="C1017" s="141" t="n"/>
      <c r="D1017" s="141" t="n"/>
      <c r="E1017" s="148" t="n"/>
      <c r="F1017" s="149" t="n"/>
      <c r="G1017" s="150">
        <f>IF(AND(E1017&lt;&gt;"",F1017&lt;&gt;""),E1017*F1017,"")</f>
      </c>
      <c r="H1017" s="148" t="n"/>
      <c r="I1017" s="142" t="n"/>
      <c r="J1017" s="146">
        <f>IF(AND(B1017="",C1017="",D1017="",E1017="",F1017="",H1017=""),"",IF(NOT(ISNUMBER(B1017)),"✗ 日期不是真日期",IF(OR(B1017&lt;年初日,B1017&gt;年末日),"✗ 日期不在本年度",IF(C1017="","✗ 没选供应商",IF(COUNTIF(基础资料!$Q$5:$Q$54,C1017)=0,"✗ 供应商不在基础资料里",IF(D1017="","✗ 没选商品",IF(COUNTIF(基础资料!$E$5:$E$104,D1017)=0,"✗ 商品不在商品档案里",IF(AND(E1017="",H1017=""),"✗ 没填数量",IF(AND(N(E1017)&lt;&gt;0,F1017=""),"✗ 没填进价","√")))))))))</f>
      </c>
    </row>
    <row r="1018">
      <c r="A1018" s="109">
        <f>IF(AND(C1018="",D1018=""),"",ROW()-3)</f>
      </c>
      <c r="B1018" s="140" t="n"/>
      <c r="C1018" s="141" t="n"/>
      <c r="D1018" s="141" t="n"/>
      <c r="E1018" s="148" t="n"/>
      <c r="F1018" s="149" t="n"/>
      <c r="G1018" s="150">
        <f>IF(AND(E1018&lt;&gt;"",F1018&lt;&gt;""),E1018*F1018,"")</f>
      </c>
      <c r="H1018" s="148" t="n"/>
      <c r="I1018" s="142" t="n"/>
      <c r="J1018" s="146">
        <f>IF(AND(B1018="",C1018="",D1018="",E1018="",F1018="",H1018=""),"",IF(NOT(ISNUMBER(B1018)),"✗ 日期不是真日期",IF(OR(B1018&lt;年初日,B1018&gt;年末日),"✗ 日期不在本年度",IF(C1018="","✗ 没选供应商",IF(COUNTIF(基础资料!$Q$5:$Q$54,C1018)=0,"✗ 供应商不在基础资料里",IF(D1018="","✗ 没选商品",IF(COUNTIF(基础资料!$E$5:$E$104,D1018)=0,"✗ 商品不在商品档案里",IF(AND(E1018="",H1018=""),"✗ 没填数量",IF(AND(N(E1018)&lt;&gt;0,F1018=""),"✗ 没填进价","√")))))))))</f>
      </c>
    </row>
    <row r="1019">
      <c r="A1019" s="109">
        <f>IF(AND(C1019="",D1019=""),"",ROW()-3)</f>
      </c>
      <c r="B1019" s="140" t="n"/>
      <c r="C1019" s="141" t="n"/>
      <c r="D1019" s="141" t="n"/>
      <c r="E1019" s="148" t="n"/>
      <c r="F1019" s="149" t="n"/>
      <c r="G1019" s="150">
        <f>IF(AND(E1019&lt;&gt;"",F1019&lt;&gt;""),E1019*F1019,"")</f>
      </c>
      <c r="H1019" s="148" t="n"/>
      <c r="I1019" s="142" t="n"/>
      <c r="J1019" s="146">
        <f>IF(AND(B1019="",C1019="",D1019="",E1019="",F1019="",H1019=""),"",IF(NOT(ISNUMBER(B1019)),"✗ 日期不是真日期",IF(OR(B1019&lt;年初日,B1019&gt;年末日),"✗ 日期不在本年度",IF(C1019="","✗ 没选供应商",IF(COUNTIF(基础资料!$Q$5:$Q$54,C1019)=0,"✗ 供应商不在基础资料里",IF(D1019="","✗ 没选商品",IF(COUNTIF(基础资料!$E$5:$E$104,D1019)=0,"✗ 商品不在商品档案里",IF(AND(E1019="",H1019=""),"✗ 没填数量",IF(AND(N(E1019)&lt;&gt;0,F1019=""),"✗ 没填进价","√")))))))))</f>
      </c>
    </row>
    <row r="1020">
      <c r="A1020" s="109">
        <f>IF(AND(C1020="",D1020=""),"",ROW()-3)</f>
      </c>
      <c r="B1020" s="140" t="n"/>
      <c r="C1020" s="141" t="n"/>
      <c r="D1020" s="141" t="n"/>
      <c r="E1020" s="148" t="n"/>
      <c r="F1020" s="149" t="n"/>
      <c r="G1020" s="150">
        <f>IF(AND(E1020&lt;&gt;"",F1020&lt;&gt;""),E1020*F1020,"")</f>
      </c>
      <c r="H1020" s="148" t="n"/>
      <c r="I1020" s="142" t="n"/>
      <c r="J1020" s="146">
        <f>IF(AND(B1020="",C1020="",D1020="",E1020="",F1020="",H1020=""),"",IF(NOT(ISNUMBER(B1020)),"✗ 日期不是真日期",IF(OR(B1020&lt;年初日,B1020&gt;年末日),"✗ 日期不在本年度",IF(C1020="","✗ 没选供应商",IF(COUNTIF(基础资料!$Q$5:$Q$54,C1020)=0,"✗ 供应商不在基础资料里",IF(D1020="","✗ 没选商品",IF(COUNTIF(基础资料!$E$5:$E$104,D1020)=0,"✗ 商品不在商品档案里",IF(AND(E1020="",H1020=""),"✗ 没填数量",IF(AND(N(E1020)&lt;&gt;0,F1020=""),"✗ 没填进价","√")))))))))</f>
      </c>
    </row>
    <row r="1021">
      <c r="A1021" s="109">
        <f>IF(AND(C1021="",D1021=""),"",ROW()-3)</f>
      </c>
      <c r="B1021" s="140" t="n"/>
      <c r="C1021" s="141" t="n"/>
      <c r="D1021" s="141" t="n"/>
      <c r="E1021" s="148" t="n"/>
      <c r="F1021" s="149" t="n"/>
      <c r="G1021" s="150">
        <f>IF(AND(E1021&lt;&gt;"",F1021&lt;&gt;""),E1021*F1021,"")</f>
      </c>
      <c r="H1021" s="148" t="n"/>
      <c r="I1021" s="142" t="n"/>
      <c r="J1021" s="146">
        <f>IF(AND(B1021="",C1021="",D1021="",E1021="",F1021="",H1021=""),"",IF(NOT(ISNUMBER(B1021)),"✗ 日期不是真日期",IF(OR(B1021&lt;年初日,B1021&gt;年末日),"✗ 日期不在本年度",IF(C1021="","✗ 没选供应商",IF(COUNTIF(基础资料!$Q$5:$Q$54,C1021)=0,"✗ 供应商不在基础资料里",IF(D1021="","✗ 没选商品",IF(COUNTIF(基础资料!$E$5:$E$104,D1021)=0,"✗ 商品不在商品档案里",IF(AND(E1021="",H1021=""),"✗ 没填数量",IF(AND(N(E1021)&lt;&gt;0,F1021=""),"✗ 没填进价","√")))))))))</f>
      </c>
    </row>
    <row r="1022">
      <c r="A1022" s="109">
        <f>IF(AND(C1022="",D1022=""),"",ROW()-3)</f>
      </c>
      <c r="B1022" s="140" t="n"/>
      <c r="C1022" s="141" t="n"/>
      <c r="D1022" s="141" t="n"/>
      <c r="E1022" s="148" t="n"/>
      <c r="F1022" s="149" t="n"/>
      <c r="G1022" s="150">
        <f>IF(AND(E1022&lt;&gt;"",F1022&lt;&gt;""),E1022*F1022,"")</f>
      </c>
      <c r="H1022" s="148" t="n"/>
      <c r="I1022" s="142" t="n"/>
      <c r="J1022" s="146">
        <f>IF(AND(B1022="",C1022="",D1022="",E1022="",F1022="",H1022=""),"",IF(NOT(ISNUMBER(B1022)),"✗ 日期不是真日期",IF(OR(B1022&lt;年初日,B1022&gt;年末日),"✗ 日期不在本年度",IF(C1022="","✗ 没选供应商",IF(COUNTIF(基础资料!$Q$5:$Q$54,C1022)=0,"✗ 供应商不在基础资料里",IF(D1022="","✗ 没选商品",IF(COUNTIF(基础资料!$E$5:$E$104,D1022)=0,"✗ 商品不在商品档案里",IF(AND(E1022="",H1022=""),"✗ 没填数量",IF(AND(N(E1022)&lt;&gt;0,F1022=""),"✗ 没填进价","√")))))))))</f>
      </c>
    </row>
    <row r="1023">
      <c r="A1023" s="109">
        <f>IF(AND(C1023="",D1023=""),"",ROW()-3)</f>
      </c>
      <c r="B1023" s="140" t="n"/>
      <c r="C1023" s="141" t="n"/>
      <c r="D1023" s="141" t="n"/>
      <c r="E1023" s="148" t="n"/>
      <c r="F1023" s="149" t="n"/>
      <c r="G1023" s="150">
        <f>IF(AND(E1023&lt;&gt;"",F1023&lt;&gt;""),E1023*F1023,"")</f>
      </c>
      <c r="H1023" s="148" t="n"/>
      <c r="I1023" s="142" t="n"/>
      <c r="J1023" s="146">
        <f>IF(AND(B1023="",C1023="",D1023="",E1023="",F1023="",H1023=""),"",IF(NOT(ISNUMBER(B1023)),"✗ 日期不是真日期",IF(OR(B1023&lt;年初日,B1023&gt;年末日),"✗ 日期不在本年度",IF(C1023="","✗ 没选供应商",IF(COUNTIF(基础资料!$Q$5:$Q$54,C1023)=0,"✗ 供应商不在基础资料里",IF(D1023="","✗ 没选商品",IF(COUNTIF(基础资料!$E$5:$E$104,D1023)=0,"✗ 商品不在商品档案里",IF(AND(E1023="",H1023=""),"✗ 没填数量",IF(AND(N(E1023)&lt;&gt;0,F1023=""),"✗ 没填进价","√")))))))))</f>
      </c>
    </row>
    <row r="1024">
      <c r="A1024" s="109">
        <f>IF(AND(C1024="",D1024=""),"",ROW()-3)</f>
      </c>
      <c r="B1024" s="140" t="n"/>
      <c r="C1024" s="141" t="n"/>
      <c r="D1024" s="141" t="n"/>
      <c r="E1024" s="148" t="n"/>
      <c r="F1024" s="149" t="n"/>
      <c r="G1024" s="150">
        <f>IF(AND(E1024&lt;&gt;"",F1024&lt;&gt;""),E1024*F1024,"")</f>
      </c>
      <c r="H1024" s="148" t="n"/>
      <c r="I1024" s="142" t="n"/>
      <c r="J1024" s="146">
        <f>IF(AND(B1024="",C1024="",D1024="",E1024="",F1024="",H1024=""),"",IF(NOT(ISNUMBER(B1024)),"✗ 日期不是真日期",IF(OR(B1024&lt;年初日,B1024&gt;年末日),"✗ 日期不在本年度",IF(C1024="","✗ 没选供应商",IF(COUNTIF(基础资料!$Q$5:$Q$54,C1024)=0,"✗ 供应商不在基础资料里",IF(D1024="","✗ 没选商品",IF(COUNTIF(基础资料!$E$5:$E$104,D1024)=0,"✗ 商品不在商品档案里",IF(AND(E1024="",H1024=""),"✗ 没填数量",IF(AND(N(E1024)&lt;&gt;0,F1024=""),"✗ 没填进价","√")))))))))</f>
      </c>
    </row>
    <row r="1025">
      <c r="A1025" s="109">
        <f>IF(AND(C1025="",D1025=""),"",ROW()-3)</f>
      </c>
      <c r="B1025" s="140" t="n"/>
      <c r="C1025" s="141" t="n"/>
      <c r="D1025" s="141" t="n"/>
      <c r="E1025" s="148" t="n"/>
      <c r="F1025" s="149" t="n"/>
      <c r="G1025" s="150">
        <f>IF(AND(E1025&lt;&gt;"",F1025&lt;&gt;""),E1025*F1025,"")</f>
      </c>
      <c r="H1025" s="148" t="n"/>
      <c r="I1025" s="142" t="n"/>
      <c r="J1025" s="146">
        <f>IF(AND(B1025="",C1025="",D1025="",E1025="",F1025="",H1025=""),"",IF(NOT(ISNUMBER(B1025)),"✗ 日期不是真日期",IF(OR(B1025&lt;年初日,B1025&gt;年末日),"✗ 日期不在本年度",IF(C1025="","✗ 没选供应商",IF(COUNTIF(基础资料!$Q$5:$Q$54,C1025)=0,"✗ 供应商不在基础资料里",IF(D1025="","✗ 没选商品",IF(COUNTIF(基础资料!$E$5:$E$104,D1025)=0,"✗ 商品不在商品档案里",IF(AND(E1025="",H1025=""),"✗ 没填数量",IF(AND(N(E1025)&lt;&gt;0,F1025=""),"✗ 没填进价","√")))))))))</f>
      </c>
    </row>
    <row r="1026">
      <c r="A1026" s="109">
        <f>IF(AND(C1026="",D1026=""),"",ROW()-3)</f>
      </c>
      <c r="B1026" s="140" t="n"/>
      <c r="C1026" s="141" t="n"/>
      <c r="D1026" s="141" t="n"/>
      <c r="E1026" s="148" t="n"/>
      <c r="F1026" s="149" t="n"/>
      <c r="G1026" s="150">
        <f>IF(AND(E1026&lt;&gt;"",F1026&lt;&gt;""),E1026*F1026,"")</f>
      </c>
      <c r="H1026" s="148" t="n"/>
      <c r="I1026" s="142" t="n"/>
      <c r="J1026" s="146">
        <f>IF(AND(B1026="",C1026="",D1026="",E1026="",F1026="",H1026=""),"",IF(NOT(ISNUMBER(B1026)),"✗ 日期不是真日期",IF(OR(B1026&lt;年初日,B1026&gt;年末日),"✗ 日期不在本年度",IF(C1026="","✗ 没选供应商",IF(COUNTIF(基础资料!$Q$5:$Q$54,C1026)=0,"✗ 供应商不在基础资料里",IF(D1026="","✗ 没选商品",IF(COUNTIF(基础资料!$E$5:$E$104,D1026)=0,"✗ 商品不在商品档案里",IF(AND(E1026="",H1026=""),"✗ 没填数量",IF(AND(N(E1026)&lt;&gt;0,F1026=""),"✗ 没填进价","√")))))))))</f>
      </c>
    </row>
    <row r="1027">
      <c r="A1027" s="109">
        <f>IF(AND(C1027="",D1027=""),"",ROW()-3)</f>
      </c>
      <c r="B1027" s="140" t="n"/>
      <c r="C1027" s="141" t="n"/>
      <c r="D1027" s="141" t="n"/>
      <c r="E1027" s="148" t="n"/>
      <c r="F1027" s="149" t="n"/>
      <c r="G1027" s="150">
        <f>IF(AND(E1027&lt;&gt;"",F1027&lt;&gt;""),E1027*F1027,"")</f>
      </c>
      <c r="H1027" s="148" t="n"/>
      <c r="I1027" s="142" t="n"/>
      <c r="J1027" s="146">
        <f>IF(AND(B1027="",C1027="",D1027="",E1027="",F1027="",H1027=""),"",IF(NOT(ISNUMBER(B1027)),"✗ 日期不是真日期",IF(OR(B1027&lt;年初日,B1027&gt;年末日),"✗ 日期不在本年度",IF(C1027="","✗ 没选供应商",IF(COUNTIF(基础资料!$Q$5:$Q$54,C1027)=0,"✗ 供应商不在基础资料里",IF(D1027="","✗ 没选商品",IF(COUNTIF(基础资料!$E$5:$E$104,D1027)=0,"✗ 商品不在商品档案里",IF(AND(E1027="",H1027=""),"✗ 没填数量",IF(AND(N(E1027)&lt;&gt;0,F1027=""),"✗ 没填进价","√")))))))))</f>
      </c>
    </row>
    <row r="1028">
      <c r="A1028" s="109">
        <f>IF(AND(C1028="",D1028=""),"",ROW()-3)</f>
      </c>
      <c r="B1028" s="140" t="n"/>
      <c r="C1028" s="141" t="n"/>
      <c r="D1028" s="141" t="n"/>
      <c r="E1028" s="148" t="n"/>
      <c r="F1028" s="149" t="n"/>
      <c r="G1028" s="150">
        <f>IF(AND(E1028&lt;&gt;"",F1028&lt;&gt;""),E1028*F1028,"")</f>
      </c>
      <c r="H1028" s="148" t="n"/>
      <c r="I1028" s="142" t="n"/>
      <c r="J1028" s="146">
        <f>IF(AND(B1028="",C1028="",D1028="",E1028="",F1028="",H1028=""),"",IF(NOT(ISNUMBER(B1028)),"✗ 日期不是真日期",IF(OR(B1028&lt;年初日,B1028&gt;年末日),"✗ 日期不在本年度",IF(C1028="","✗ 没选供应商",IF(COUNTIF(基础资料!$Q$5:$Q$54,C1028)=0,"✗ 供应商不在基础资料里",IF(D1028="","✗ 没选商品",IF(COUNTIF(基础资料!$E$5:$E$104,D1028)=0,"✗ 商品不在商品档案里",IF(AND(E1028="",H1028=""),"✗ 没填数量",IF(AND(N(E1028)&lt;&gt;0,F1028=""),"✗ 没填进价","√")))))))))</f>
      </c>
    </row>
    <row r="1029">
      <c r="A1029" s="109">
        <f>IF(AND(C1029="",D1029=""),"",ROW()-3)</f>
      </c>
      <c r="B1029" s="140" t="n"/>
      <c r="C1029" s="141" t="n"/>
      <c r="D1029" s="141" t="n"/>
      <c r="E1029" s="148" t="n"/>
      <c r="F1029" s="149" t="n"/>
      <c r="G1029" s="150">
        <f>IF(AND(E1029&lt;&gt;"",F1029&lt;&gt;""),E1029*F1029,"")</f>
      </c>
      <c r="H1029" s="148" t="n"/>
      <c r="I1029" s="142" t="n"/>
      <c r="J1029" s="146">
        <f>IF(AND(B1029="",C1029="",D1029="",E1029="",F1029="",H1029=""),"",IF(NOT(ISNUMBER(B1029)),"✗ 日期不是真日期",IF(OR(B1029&lt;年初日,B1029&gt;年末日),"✗ 日期不在本年度",IF(C1029="","✗ 没选供应商",IF(COUNTIF(基础资料!$Q$5:$Q$54,C1029)=0,"✗ 供应商不在基础资料里",IF(D1029="","✗ 没选商品",IF(COUNTIF(基础资料!$E$5:$E$104,D1029)=0,"✗ 商品不在商品档案里",IF(AND(E1029="",H1029=""),"✗ 没填数量",IF(AND(N(E1029)&lt;&gt;0,F1029=""),"✗ 没填进价","√")))))))))</f>
      </c>
    </row>
    <row r="1030">
      <c r="A1030" s="109">
        <f>IF(AND(C1030="",D1030=""),"",ROW()-3)</f>
      </c>
      <c r="B1030" s="140" t="n"/>
      <c r="C1030" s="141" t="n"/>
      <c r="D1030" s="141" t="n"/>
      <c r="E1030" s="148" t="n"/>
      <c r="F1030" s="149" t="n"/>
      <c r="G1030" s="150">
        <f>IF(AND(E1030&lt;&gt;"",F1030&lt;&gt;""),E1030*F1030,"")</f>
      </c>
      <c r="H1030" s="148" t="n"/>
      <c r="I1030" s="142" t="n"/>
      <c r="J1030" s="146">
        <f>IF(AND(B1030="",C1030="",D1030="",E1030="",F1030="",H1030=""),"",IF(NOT(ISNUMBER(B1030)),"✗ 日期不是真日期",IF(OR(B1030&lt;年初日,B1030&gt;年末日),"✗ 日期不在本年度",IF(C1030="","✗ 没选供应商",IF(COUNTIF(基础资料!$Q$5:$Q$54,C1030)=0,"✗ 供应商不在基础资料里",IF(D1030="","✗ 没选商品",IF(COUNTIF(基础资料!$E$5:$E$104,D1030)=0,"✗ 商品不在商品档案里",IF(AND(E1030="",H1030=""),"✗ 没填数量",IF(AND(N(E1030)&lt;&gt;0,F1030=""),"✗ 没填进价","√")))))))))</f>
      </c>
    </row>
    <row r="1031">
      <c r="A1031" s="109">
        <f>IF(AND(C1031="",D1031=""),"",ROW()-3)</f>
      </c>
      <c r="B1031" s="140" t="n"/>
      <c r="C1031" s="141" t="n"/>
      <c r="D1031" s="141" t="n"/>
      <c r="E1031" s="148" t="n"/>
      <c r="F1031" s="149" t="n"/>
      <c r="G1031" s="150">
        <f>IF(AND(E1031&lt;&gt;"",F1031&lt;&gt;""),E1031*F1031,"")</f>
      </c>
      <c r="H1031" s="148" t="n"/>
      <c r="I1031" s="142" t="n"/>
      <c r="J1031" s="146">
        <f>IF(AND(B1031="",C1031="",D1031="",E1031="",F1031="",H1031=""),"",IF(NOT(ISNUMBER(B1031)),"✗ 日期不是真日期",IF(OR(B1031&lt;年初日,B1031&gt;年末日),"✗ 日期不在本年度",IF(C1031="","✗ 没选供应商",IF(COUNTIF(基础资料!$Q$5:$Q$54,C1031)=0,"✗ 供应商不在基础资料里",IF(D1031="","✗ 没选商品",IF(COUNTIF(基础资料!$E$5:$E$104,D1031)=0,"✗ 商品不在商品档案里",IF(AND(E1031="",H1031=""),"✗ 没填数量",IF(AND(N(E1031)&lt;&gt;0,F1031=""),"✗ 没填进价","√")))))))))</f>
      </c>
    </row>
    <row r="1032">
      <c r="A1032" s="109">
        <f>IF(AND(C1032="",D1032=""),"",ROW()-3)</f>
      </c>
      <c r="B1032" s="140" t="n"/>
      <c r="C1032" s="141" t="n"/>
      <c r="D1032" s="141" t="n"/>
      <c r="E1032" s="148" t="n"/>
      <c r="F1032" s="149" t="n"/>
      <c r="G1032" s="150">
        <f>IF(AND(E1032&lt;&gt;"",F1032&lt;&gt;""),E1032*F1032,"")</f>
      </c>
      <c r="H1032" s="148" t="n"/>
      <c r="I1032" s="142" t="n"/>
      <c r="J1032" s="146">
        <f>IF(AND(B1032="",C1032="",D1032="",E1032="",F1032="",H1032=""),"",IF(NOT(ISNUMBER(B1032)),"✗ 日期不是真日期",IF(OR(B1032&lt;年初日,B1032&gt;年末日),"✗ 日期不在本年度",IF(C1032="","✗ 没选供应商",IF(COUNTIF(基础资料!$Q$5:$Q$54,C1032)=0,"✗ 供应商不在基础资料里",IF(D1032="","✗ 没选商品",IF(COUNTIF(基础资料!$E$5:$E$104,D1032)=0,"✗ 商品不在商品档案里",IF(AND(E1032="",H1032=""),"✗ 没填数量",IF(AND(N(E1032)&lt;&gt;0,F1032=""),"✗ 没填进价","√")))))))))</f>
      </c>
    </row>
    <row r="1033">
      <c r="A1033" s="109">
        <f>IF(AND(C1033="",D1033=""),"",ROW()-3)</f>
      </c>
      <c r="B1033" s="140" t="n"/>
      <c r="C1033" s="141" t="n"/>
      <c r="D1033" s="141" t="n"/>
      <c r="E1033" s="148" t="n"/>
      <c r="F1033" s="149" t="n"/>
      <c r="G1033" s="150">
        <f>IF(AND(E1033&lt;&gt;"",F1033&lt;&gt;""),E1033*F1033,"")</f>
      </c>
      <c r="H1033" s="148" t="n"/>
      <c r="I1033" s="142" t="n"/>
      <c r="J1033" s="146">
        <f>IF(AND(B1033="",C1033="",D1033="",E1033="",F1033="",H1033=""),"",IF(NOT(ISNUMBER(B1033)),"✗ 日期不是真日期",IF(OR(B1033&lt;年初日,B1033&gt;年末日),"✗ 日期不在本年度",IF(C1033="","✗ 没选供应商",IF(COUNTIF(基础资料!$Q$5:$Q$54,C1033)=0,"✗ 供应商不在基础资料里",IF(D1033="","✗ 没选商品",IF(COUNTIF(基础资料!$E$5:$E$104,D1033)=0,"✗ 商品不在商品档案里",IF(AND(E1033="",H1033=""),"✗ 没填数量",IF(AND(N(E1033)&lt;&gt;0,F1033=""),"✗ 没填进价","√")))))))))</f>
      </c>
    </row>
    <row r="1034">
      <c r="A1034" s="109">
        <f>IF(AND(C1034="",D1034=""),"",ROW()-3)</f>
      </c>
      <c r="B1034" s="140" t="n"/>
      <c r="C1034" s="141" t="n"/>
      <c r="D1034" s="141" t="n"/>
      <c r="E1034" s="148" t="n"/>
      <c r="F1034" s="149" t="n"/>
      <c r="G1034" s="150">
        <f>IF(AND(E1034&lt;&gt;"",F1034&lt;&gt;""),E1034*F1034,"")</f>
      </c>
      <c r="H1034" s="148" t="n"/>
      <c r="I1034" s="142" t="n"/>
      <c r="J1034" s="146">
        <f>IF(AND(B1034="",C1034="",D1034="",E1034="",F1034="",H1034=""),"",IF(NOT(ISNUMBER(B1034)),"✗ 日期不是真日期",IF(OR(B1034&lt;年初日,B1034&gt;年末日),"✗ 日期不在本年度",IF(C1034="","✗ 没选供应商",IF(COUNTIF(基础资料!$Q$5:$Q$54,C1034)=0,"✗ 供应商不在基础资料里",IF(D1034="","✗ 没选商品",IF(COUNTIF(基础资料!$E$5:$E$104,D1034)=0,"✗ 商品不在商品档案里",IF(AND(E1034="",H1034=""),"✗ 没填数量",IF(AND(N(E1034)&lt;&gt;0,F1034=""),"✗ 没填进价","√")))))))))</f>
      </c>
    </row>
    <row r="1035">
      <c r="A1035" s="109">
        <f>IF(AND(C1035="",D1035=""),"",ROW()-3)</f>
      </c>
      <c r="B1035" s="140" t="n"/>
      <c r="C1035" s="141" t="n"/>
      <c r="D1035" s="141" t="n"/>
      <c r="E1035" s="148" t="n"/>
      <c r="F1035" s="149" t="n"/>
      <c r="G1035" s="150">
        <f>IF(AND(E1035&lt;&gt;"",F1035&lt;&gt;""),E1035*F1035,"")</f>
      </c>
      <c r="H1035" s="148" t="n"/>
      <c r="I1035" s="142" t="n"/>
      <c r="J1035" s="146">
        <f>IF(AND(B1035="",C1035="",D1035="",E1035="",F1035="",H1035=""),"",IF(NOT(ISNUMBER(B1035)),"✗ 日期不是真日期",IF(OR(B1035&lt;年初日,B1035&gt;年末日),"✗ 日期不在本年度",IF(C1035="","✗ 没选供应商",IF(COUNTIF(基础资料!$Q$5:$Q$54,C1035)=0,"✗ 供应商不在基础资料里",IF(D1035="","✗ 没选商品",IF(COUNTIF(基础资料!$E$5:$E$104,D1035)=0,"✗ 商品不在商品档案里",IF(AND(E1035="",H1035=""),"✗ 没填数量",IF(AND(N(E1035)&lt;&gt;0,F1035=""),"✗ 没填进价","√")))))))))</f>
      </c>
    </row>
    <row r="1036">
      <c r="A1036" s="109">
        <f>IF(AND(C1036="",D1036=""),"",ROW()-3)</f>
      </c>
      <c r="B1036" s="140" t="n"/>
      <c r="C1036" s="141" t="n"/>
      <c r="D1036" s="141" t="n"/>
      <c r="E1036" s="148" t="n"/>
      <c r="F1036" s="149" t="n"/>
      <c r="G1036" s="150">
        <f>IF(AND(E1036&lt;&gt;"",F1036&lt;&gt;""),E1036*F1036,"")</f>
      </c>
      <c r="H1036" s="148" t="n"/>
      <c r="I1036" s="142" t="n"/>
      <c r="J1036" s="146">
        <f>IF(AND(B1036="",C1036="",D1036="",E1036="",F1036="",H1036=""),"",IF(NOT(ISNUMBER(B1036)),"✗ 日期不是真日期",IF(OR(B1036&lt;年初日,B1036&gt;年末日),"✗ 日期不在本年度",IF(C1036="","✗ 没选供应商",IF(COUNTIF(基础资料!$Q$5:$Q$54,C1036)=0,"✗ 供应商不在基础资料里",IF(D1036="","✗ 没选商品",IF(COUNTIF(基础资料!$E$5:$E$104,D1036)=0,"✗ 商品不在商品档案里",IF(AND(E1036="",H1036=""),"✗ 没填数量",IF(AND(N(E1036)&lt;&gt;0,F1036=""),"✗ 没填进价","√")))))))))</f>
      </c>
    </row>
    <row r="1037">
      <c r="A1037" s="109">
        <f>IF(AND(C1037="",D1037=""),"",ROW()-3)</f>
      </c>
      <c r="B1037" s="140" t="n"/>
      <c r="C1037" s="141" t="n"/>
      <c r="D1037" s="141" t="n"/>
      <c r="E1037" s="148" t="n"/>
      <c r="F1037" s="149" t="n"/>
      <c r="G1037" s="150">
        <f>IF(AND(E1037&lt;&gt;"",F1037&lt;&gt;""),E1037*F1037,"")</f>
      </c>
      <c r="H1037" s="148" t="n"/>
      <c r="I1037" s="142" t="n"/>
      <c r="J1037" s="146">
        <f>IF(AND(B1037="",C1037="",D1037="",E1037="",F1037="",H1037=""),"",IF(NOT(ISNUMBER(B1037)),"✗ 日期不是真日期",IF(OR(B1037&lt;年初日,B1037&gt;年末日),"✗ 日期不在本年度",IF(C1037="","✗ 没选供应商",IF(COUNTIF(基础资料!$Q$5:$Q$54,C1037)=0,"✗ 供应商不在基础资料里",IF(D1037="","✗ 没选商品",IF(COUNTIF(基础资料!$E$5:$E$104,D1037)=0,"✗ 商品不在商品档案里",IF(AND(E1037="",H1037=""),"✗ 没填数量",IF(AND(N(E1037)&lt;&gt;0,F1037=""),"✗ 没填进价","√")))))))))</f>
      </c>
    </row>
    <row r="1038">
      <c r="A1038" s="109">
        <f>IF(AND(C1038="",D1038=""),"",ROW()-3)</f>
      </c>
      <c r="B1038" s="140" t="n"/>
      <c r="C1038" s="141" t="n"/>
      <c r="D1038" s="141" t="n"/>
      <c r="E1038" s="148" t="n"/>
      <c r="F1038" s="149" t="n"/>
      <c r="G1038" s="150">
        <f>IF(AND(E1038&lt;&gt;"",F1038&lt;&gt;""),E1038*F1038,"")</f>
      </c>
      <c r="H1038" s="148" t="n"/>
      <c r="I1038" s="142" t="n"/>
      <c r="J1038" s="146">
        <f>IF(AND(B1038="",C1038="",D1038="",E1038="",F1038="",H1038=""),"",IF(NOT(ISNUMBER(B1038)),"✗ 日期不是真日期",IF(OR(B1038&lt;年初日,B1038&gt;年末日),"✗ 日期不在本年度",IF(C1038="","✗ 没选供应商",IF(COUNTIF(基础资料!$Q$5:$Q$54,C1038)=0,"✗ 供应商不在基础资料里",IF(D1038="","✗ 没选商品",IF(COUNTIF(基础资料!$E$5:$E$104,D1038)=0,"✗ 商品不在商品档案里",IF(AND(E1038="",H1038=""),"✗ 没填数量",IF(AND(N(E1038)&lt;&gt;0,F1038=""),"✗ 没填进价","√")))))))))</f>
      </c>
    </row>
    <row r="1039">
      <c r="A1039" s="109">
        <f>IF(AND(C1039="",D1039=""),"",ROW()-3)</f>
      </c>
      <c r="B1039" s="140" t="n"/>
      <c r="C1039" s="141" t="n"/>
      <c r="D1039" s="141" t="n"/>
      <c r="E1039" s="148" t="n"/>
      <c r="F1039" s="149" t="n"/>
      <c r="G1039" s="150">
        <f>IF(AND(E1039&lt;&gt;"",F1039&lt;&gt;""),E1039*F1039,"")</f>
      </c>
      <c r="H1039" s="148" t="n"/>
      <c r="I1039" s="142" t="n"/>
      <c r="J1039" s="146">
        <f>IF(AND(B1039="",C1039="",D1039="",E1039="",F1039="",H1039=""),"",IF(NOT(ISNUMBER(B1039)),"✗ 日期不是真日期",IF(OR(B1039&lt;年初日,B1039&gt;年末日),"✗ 日期不在本年度",IF(C1039="","✗ 没选供应商",IF(COUNTIF(基础资料!$Q$5:$Q$54,C1039)=0,"✗ 供应商不在基础资料里",IF(D1039="","✗ 没选商品",IF(COUNTIF(基础资料!$E$5:$E$104,D1039)=0,"✗ 商品不在商品档案里",IF(AND(E1039="",H1039=""),"✗ 没填数量",IF(AND(N(E1039)&lt;&gt;0,F1039=""),"✗ 没填进价","√")))))))))</f>
      </c>
    </row>
    <row r="1040">
      <c r="A1040" s="109">
        <f>IF(AND(C1040="",D1040=""),"",ROW()-3)</f>
      </c>
      <c r="B1040" s="140" t="n"/>
      <c r="C1040" s="141" t="n"/>
      <c r="D1040" s="141" t="n"/>
      <c r="E1040" s="148" t="n"/>
      <c r="F1040" s="149" t="n"/>
      <c r="G1040" s="150">
        <f>IF(AND(E1040&lt;&gt;"",F1040&lt;&gt;""),E1040*F1040,"")</f>
      </c>
      <c r="H1040" s="148" t="n"/>
      <c r="I1040" s="142" t="n"/>
      <c r="J1040" s="146">
        <f>IF(AND(B1040="",C1040="",D1040="",E1040="",F1040="",H1040=""),"",IF(NOT(ISNUMBER(B1040)),"✗ 日期不是真日期",IF(OR(B1040&lt;年初日,B1040&gt;年末日),"✗ 日期不在本年度",IF(C1040="","✗ 没选供应商",IF(COUNTIF(基础资料!$Q$5:$Q$54,C1040)=0,"✗ 供应商不在基础资料里",IF(D1040="","✗ 没选商品",IF(COUNTIF(基础资料!$E$5:$E$104,D1040)=0,"✗ 商品不在商品档案里",IF(AND(E1040="",H1040=""),"✗ 没填数量",IF(AND(N(E1040)&lt;&gt;0,F1040=""),"✗ 没填进价","√")))))))))</f>
      </c>
    </row>
    <row r="1041">
      <c r="A1041" s="109">
        <f>IF(AND(C1041="",D1041=""),"",ROW()-3)</f>
      </c>
      <c r="B1041" s="140" t="n"/>
      <c r="C1041" s="141" t="n"/>
      <c r="D1041" s="141" t="n"/>
      <c r="E1041" s="148" t="n"/>
      <c r="F1041" s="149" t="n"/>
      <c r="G1041" s="150">
        <f>IF(AND(E1041&lt;&gt;"",F1041&lt;&gt;""),E1041*F1041,"")</f>
      </c>
      <c r="H1041" s="148" t="n"/>
      <c r="I1041" s="142" t="n"/>
      <c r="J1041" s="146">
        <f>IF(AND(B1041="",C1041="",D1041="",E1041="",F1041="",H1041=""),"",IF(NOT(ISNUMBER(B1041)),"✗ 日期不是真日期",IF(OR(B1041&lt;年初日,B1041&gt;年末日),"✗ 日期不在本年度",IF(C1041="","✗ 没选供应商",IF(COUNTIF(基础资料!$Q$5:$Q$54,C1041)=0,"✗ 供应商不在基础资料里",IF(D1041="","✗ 没选商品",IF(COUNTIF(基础资料!$E$5:$E$104,D1041)=0,"✗ 商品不在商品档案里",IF(AND(E1041="",H1041=""),"✗ 没填数量",IF(AND(N(E1041)&lt;&gt;0,F1041=""),"✗ 没填进价","√")))))))))</f>
      </c>
    </row>
    <row r="1042">
      <c r="A1042" s="109">
        <f>IF(AND(C1042="",D1042=""),"",ROW()-3)</f>
      </c>
      <c r="B1042" s="140" t="n"/>
      <c r="C1042" s="141" t="n"/>
      <c r="D1042" s="141" t="n"/>
      <c r="E1042" s="148" t="n"/>
      <c r="F1042" s="149" t="n"/>
      <c r="G1042" s="150">
        <f>IF(AND(E1042&lt;&gt;"",F1042&lt;&gt;""),E1042*F1042,"")</f>
      </c>
      <c r="H1042" s="148" t="n"/>
      <c r="I1042" s="142" t="n"/>
      <c r="J1042" s="146">
        <f>IF(AND(B1042="",C1042="",D1042="",E1042="",F1042="",H1042=""),"",IF(NOT(ISNUMBER(B1042)),"✗ 日期不是真日期",IF(OR(B1042&lt;年初日,B1042&gt;年末日),"✗ 日期不在本年度",IF(C1042="","✗ 没选供应商",IF(COUNTIF(基础资料!$Q$5:$Q$54,C1042)=0,"✗ 供应商不在基础资料里",IF(D1042="","✗ 没选商品",IF(COUNTIF(基础资料!$E$5:$E$104,D1042)=0,"✗ 商品不在商品档案里",IF(AND(E1042="",H1042=""),"✗ 没填数量",IF(AND(N(E1042)&lt;&gt;0,F1042=""),"✗ 没填进价","√")))))))))</f>
      </c>
    </row>
    <row r="1043">
      <c r="A1043" s="109">
        <f>IF(AND(C1043="",D1043=""),"",ROW()-3)</f>
      </c>
      <c r="B1043" s="140" t="n"/>
      <c r="C1043" s="141" t="n"/>
      <c r="D1043" s="141" t="n"/>
      <c r="E1043" s="148" t="n"/>
      <c r="F1043" s="149" t="n"/>
      <c r="G1043" s="150">
        <f>IF(AND(E1043&lt;&gt;"",F1043&lt;&gt;""),E1043*F1043,"")</f>
      </c>
      <c r="H1043" s="148" t="n"/>
      <c r="I1043" s="142" t="n"/>
      <c r="J1043" s="146">
        <f>IF(AND(B1043="",C1043="",D1043="",E1043="",F1043="",H1043=""),"",IF(NOT(ISNUMBER(B1043)),"✗ 日期不是真日期",IF(OR(B1043&lt;年初日,B1043&gt;年末日),"✗ 日期不在本年度",IF(C1043="","✗ 没选供应商",IF(COUNTIF(基础资料!$Q$5:$Q$54,C1043)=0,"✗ 供应商不在基础资料里",IF(D1043="","✗ 没选商品",IF(COUNTIF(基础资料!$E$5:$E$104,D1043)=0,"✗ 商品不在商品档案里",IF(AND(E1043="",H1043=""),"✗ 没填数量",IF(AND(N(E1043)&lt;&gt;0,F1043=""),"✗ 没填进价","√")))))))))</f>
      </c>
    </row>
    <row r="1044">
      <c r="A1044" s="109">
        <f>IF(AND(C1044="",D1044=""),"",ROW()-3)</f>
      </c>
      <c r="B1044" s="140" t="n"/>
      <c r="C1044" s="141" t="n"/>
      <c r="D1044" s="141" t="n"/>
      <c r="E1044" s="148" t="n"/>
      <c r="F1044" s="149" t="n"/>
      <c r="G1044" s="150">
        <f>IF(AND(E1044&lt;&gt;"",F1044&lt;&gt;""),E1044*F1044,"")</f>
      </c>
      <c r="H1044" s="148" t="n"/>
      <c r="I1044" s="142" t="n"/>
      <c r="J1044" s="146">
        <f>IF(AND(B1044="",C1044="",D1044="",E1044="",F1044="",H1044=""),"",IF(NOT(ISNUMBER(B1044)),"✗ 日期不是真日期",IF(OR(B1044&lt;年初日,B1044&gt;年末日),"✗ 日期不在本年度",IF(C1044="","✗ 没选供应商",IF(COUNTIF(基础资料!$Q$5:$Q$54,C1044)=0,"✗ 供应商不在基础资料里",IF(D1044="","✗ 没选商品",IF(COUNTIF(基础资料!$E$5:$E$104,D1044)=0,"✗ 商品不在商品档案里",IF(AND(E1044="",H1044=""),"✗ 没填数量",IF(AND(N(E1044)&lt;&gt;0,F1044=""),"✗ 没填进价","√")))))))))</f>
      </c>
    </row>
    <row r="1045">
      <c r="A1045" s="109">
        <f>IF(AND(C1045="",D1045=""),"",ROW()-3)</f>
      </c>
      <c r="B1045" s="140" t="n"/>
      <c r="C1045" s="141" t="n"/>
      <c r="D1045" s="141" t="n"/>
      <c r="E1045" s="148" t="n"/>
      <c r="F1045" s="149" t="n"/>
      <c r="G1045" s="150">
        <f>IF(AND(E1045&lt;&gt;"",F1045&lt;&gt;""),E1045*F1045,"")</f>
      </c>
      <c r="H1045" s="148" t="n"/>
      <c r="I1045" s="142" t="n"/>
      <c r="J1045" s="146">
        <f>IF(AND(B1045="",C1045="",D1045="",E1045="",F1045="",H1045=""),"",IF(NOT(ISNUMBER(B1045)),"✗ 日期不是真日期",IF(OR(B1045&lt;年初日,B1045&gt;年末日),"✗ 日期不在本年度",IF(C1045="","✗ 没选供应商",IF(COUNTIF(基础资料!$Q$5:$Q$54,C1045)=0,"✗ 供应商不在基础资料里",IF(D1045="","✗ 没选商品",IF(COUNTIF(基础资料!$E$5:$E$104,D1045)=0,"✗ 商品不在商品档案里",IF(AND(E1045="",H1045=""),"✗ 没填数量",IF(AND(N(E1045)&lt;&gt;0,F1045=""),"✗ 没填进价","√")))))))))</f>
      </c>
    </row>
    <row r="1046">
      <c r="A1046" s="109">
        <f>IF(AND(C1046="",D1046=""),"",ROW()-3)</f>
      </c>
      <c r="B1046" s="140" t="n"/>
      <c r="C1046" s="141" t="n"/>
      <c r="D1046" s="141" t="n"/>
      <c r="E1046" s="148" t="n"/>
      <c r="F1046" s="149" t="n"/>
      <c r="G1046" s="150">
        <f>IF(AND(E1046&lt;&gt;"",F1046&lt;&gt;""),E1046*F1046,"")</f>
      </c>
      <c r="H1046" s="148" t="n"/>
      <c r="I1046" s="142" t="n"/>
      <c r="J1046" s="146">
        <f>IF(AND(B1046="",C1046="",D1046="",E1046="",F1046="",H1046=""),"",IF(NOT(ISNUMBER(B1046)),"✗ 日期不是真日期",IF(OR(B1046&lt;年初日,B1046&gt;年末日),"✗ 日期不在本年度",IF(C1046="","✗ 没选供应商",IF(COUNTIF(基础资料!$Q$5:$Q$54,C1046)=0,"✗ 供应商不在基础资料里",IF(D1046="","✗ 没选商品",IF(COUNTIF(基础资料!$E$5:$E$104,D1046)=0,"✗ 商品不在商品档案里",IF(AND(E1046="",H1046=""),"✗ 没填数量",IF(AND(N(E1046)&lt;&gt;0,F1046=""),"✗ 没填进价","√")))))))))</f>
      </c>
    </row>
    <row r="1047">
      <c r="A1047" s="109">
        <f>IF(AND(C1047="",D1047=""),"",ROW()-3)</f>
      </c>
      <c r="B1047" s="140" t="n"/>
      <c r="C1047" s="141" t="n"/>
      <c r="D1047" s="141" t="n"/>
      <c r="E1047" s="148" t="n"/>
      <c r="F1047" s="149" t="n"/>
      <c r="G1047" s="150">
        <f>IF(AND(E1047&lt;&gt;"",F1047&lt;&gt;""),E1047*F1047,"")</f>
      </c>
      <c r="H1047" s="148" t="n"/>
      <c r="I1047" s="142" t="n"/>
      <c r="J1047" s="146">
        <f>IF(AND(B1047="",C1047="",D1047="",E1047="",F1047="",H1047=""),"",IF(NOT(ISNUMBER(B1047)),"✗ 日期不是真日期",IF(OR(B1047&lt;年初日,B1047&gt;年末日),"✗ 日期不在本年度",IF(C1047="","✗ 没选供应商",IF(COUNTIF(基础资料!$Q$5:$Q$54,C1047)=0,"✗ 供应商不在基础资料里",IF(D1047="","✗ 没选商品",IF(COUNTIF(基础资料!$E$5:$E$104,D1047)=0,"✗ 商品不在商品档案里",IF(AND(E1047="",H1047=""),"✗ 没填数量",IF(AND(N(E1047)&lt;&gt;0,F1047=""),"✗ 没填进价","√")))))))))</f>
      </c>
    </row>
    <row r="1048">
      <c r="A1048" s="109">
        <f>IF(AND(C1048="",D1048=""),"",ROW()-3)</f>
      </c>
      <c r="B1048" s="140" t="n"/>
      <c r="C1048" s="141" t="n"/>
      <c r="D1048" s="141" t="n"/>
      <c r="E1048" s="148" t="n"/>
      <c r="F1048" s="149" t="n"/>
      <c r="G1048" s="150">
        <f>IF(AND(E1048&lt;&gt;"",F1048&lt;&gt;""),E1048*F1048,"")</f>
      </c>
      <c r="H1048" s="148" t="n"/>
      <c r="I1048" s="142" t="n"/>
      <c r="J1048" s="146">
        <f>IF(AND(B1048="",C1048="",D1048="",E1048="",F1048="",H1048=""),"",IF(NOT(ISNUMBER(B1048)),"✗ 日期不是真日期",IF(OR(B1048&lt;年初日,B1048&gt;年末日),"✗ 日期不在本年度",IF(C1048="","✗ 没选供应商",IF(COUNTIF(基础资料!$Q$5:$Q$54,C1048)=0,"✗ 供应商不在基础资料里",IF(D1048="","✗ 没选商品",IF(COUNTIF(基础资料!$E$5:$E$104,D1048)=0,"✗ 商品不在商品档案里",IF(AND(E1048="",H1048=""),"✗ 没填数量",IF(AND(N(E1048)&lt;&gt;0,F1048=""),"✗ 没填进价","√")))))))))</f>
      </c>
    </row>
    <row r="1049">
      <c r="A1049" s="109">
        <f>IF(AND(C1049="",D1049=""),"",ROW()-3)</f>
      </c>
      <c r="B1049" s="140" t="n"/>
      <c r="C1049" s="141" t="n"/>
      <c r="D1049" s="141" t="n"/>
      <c r="E1049" s="148" t="n"/>
      <c r="F1049" s="149" t="n"/>
      <c r="G1049" s="150">
        <f>IF(AND(E1049&lt;&gt;"",F1049&lt;&gt;""),E1049*F1049,"")</f>
      </c>
      <c r="H1049" s="148" t="n"/>
      <c r="I1049" s="142" t="n"/>
      <c r="J1049" s="146">
        <f>IF(AND(B1049="",C1049="",D1049="",E1049="",F1049="",H1049=""),"",IF(NOT(ISNUMBER(B1049)),"✗ 日期不是真日期",IF(OR(B1049&lt;年初日,B1049&gt;年末日),"✗ 日期不在本年度",IF(C1049="","✗ 没选供应商",IF(COUNTIF(基础资料!$Q$5:$Q$54,C1049)=0,"✗ 供应商不在基础资料里",IF(D1049="","✗ 没选商品",IF(COUNTIF(基础资料!$E$5:$E$104,D1049)=0,"✗ 商品不在商品档案里",IF(AND(E1049="",H1049=""),"✗ 没填数量",IF(AND(N(E1049)&lt;&gt;0,F1049=""),"✗ 没填进价","√")))))))))</f>
      </c>
    </row>
    <row r="1050">
      <c r="A1050" s="109">
        <f>IF(AND(C1050="",D1050=""),"",ROW()-3)</f>
      </c>
      <c r="B1050" s="140" t="n"/>
      <c r="C1050" s="141" t="n"/>
      <c r="D1050" s="141" t="n"/>
      <c r="E1050" s="148" t="n"/>
      <c r="F1050" s="149" t="n"/>
      <c r="G1050" s="150">
        <f>IF(AND(E1050&lt;&gt;"",F1050&lt;&gt;""),E1050*F1050,"")</f>
      </c>
      <c r="H1050" s="148" t="n"/>
      <c r="I1050" s="142" t="n"/>
      <c r="J1050" s="146">
        <f>IF(AND(B1050="",C1050="",D1050="",E1050="",F1050="",H1050=""),"",IF(NOT(ISNUMBER(B1050)),"✗ 日期不是真日期",IF(OR(B1050&lt;年初日,B1050&gt;年末日),"✗ 日期不在本年度",IF(C1050="","✗ 没选供应商",IF(COUNTIF(基础资料!$Q$5:$Q$54,C1050)=0,"✗ 供应商不在基础资料里",IF(D1050="","✗ 没选商品",IF(COUNTIF(基础资料!$E$5:$E$104,D1050)=0,"✗ 商品不在商品档案里",IF(AND(E1050="",H1050=""),"✗ 没填数量",IF(AND(N(E1050)&lt;&gt;0,F1050=""),"✗ 没填进价","√")))))))))</f>
      </c>
    </row>
    <row r="1051">
      <c r="A1051" s="109">
        <f>IF(AND(C1051="",D1051=""),"",ROW()-3)</f>
      </c>
      <c r="B1051" s="140" t="n"/>
      <c r="C1051" s="141" t="n"/>
      <c r="D1051" s="141" t="n"/>
      <c r="E1051" s="148" t="n"/>
      <c r="F1051" s="149" t="n"/>
      <c r="G1051" s="150">
        <f>IF(AND(E1051&lt;&gt;"",F1051&lt;&gt;""),E1051*F1051,"")</f>
      </c>
      <c r="H1051" s="148" t="n"/>
      <c r="I1051" s="142" t="n"/>
      <c r="J1051" s="146">
        <f>IF(AND(B1051="",C1051="",D1051="",E1051="",F1051="",H1051=""),"",IF(NOT(ISNUMBER(B1051)),"✗ 日期不是真日期",IF(OR(B1051&lt;年初日,B1051&gt;年末日),"✗ 日期不在本年度",IF(C1051="","✗ 没选供应商",IF(COUNTIF(基础资料!$Q$5:$Q$54,C1051)=0,"✗ 供应商不在基础资料里",IF(D1051="","✗ 没选商品",IF(COUNTIF(基础资料!$E$5:$E$104,D1051)=0,"✗ 商品不在商品档案里",IF(AND(E1051="",H1051=""),"✗ 没填数量",IF(AND(N(E1051)&lt;&gt;0,F1051=""),"✗ 没填进价","√")))))))))</f>
      </c>
    </row>
    <row r="1052">
      <c r="A1052" s="109">
        <f>IF(AND(C1052="",D1052=""),"",ROW()-3)</f>
      </c>
      <c r="B1052" s="140" t="n"/>
      <c r="C1052" s="141" t="n"/>
      <c r="D1052" s="141" t="n"/>
      <c r="E1052" s="148" t="n"/>
      <c r="F1052" s="149" t="n"/>
      <c r="G1052" s="150">
        <f>IF(AND(E1052&lt;&gt;"",F1052&lt;&gt;""),E1052*F1052,"")</f>
      </c>
      <c r="H1052" s="148" t="n"/>
      <c r="I1052" s="142" t="n"/>
      <c r="J1052" s="146">
        <f>IF(AND(B1052="",C1052="",D1052="",E1052="",F1052="",H1052=""),"",IF(NOT(ISNUMBER(B1052)),"✗ 日期不是真日期",IF(OR(B1052&lt;年初日,B1052&gt;年末日),"✗ 日期不在本年度",IF(C1052="","✗ 没选供应商",IF(COUNTIF(基础资料!$Q$5:$Q$54,C1052)=0,"✗ 供应商不在基础资料里",IF(D1052="","✗ 没选商品",IF(COUNTIF(基础资料!$E$5:$E$104,D1052)=0,"✗ 商品不在商品档案里",IF(AND(E1052="",H1052=""),"✗ 没填数量",IF(AND(N(E1052)&lt;&gt;0,F1052=""),"✗ 没填进价","√")))))))))</f>
      </c>
    </row>
    <row r="1053">
      <c r="A1053" s="109">
        <f>IF(AND(C1053="",D1053=""),"",ROW()-3)</f>
      </c>
      <c r="B1053" s="140" t="n"/>
      <c r="C1053" s="141" t="n"/>
      <c r="D1053" s="141" t="n"/>
      <c r="E1053" s="148" t="n"/>
      <c r="F1053" s="149" t="n"/>
      <c r="G1053" s="150">
        <f>IF(AND(E1053&lt;&gt;"",F1053&lt;&gt;""),E1053*F1053,"")</f>
      </c>
      <c r="H1053" s="148" t="n"/>
      <c r="I1053" s="142" t="n"/>
      <c r="J1053" s="146">
        <f>IF(AND(B1053="",C1053="",D1053="",E1053="",F1053="",H1053=""),"",IF(NOT(ISNUMBER(B1053)),"✗ 日期不是真日期",IF(OR(B1053&lt;年初日,B1053&gt;年末日),"✗ 日期不在本年度",IF(C1053="","✗ 没选供应商",IF(COUNTIF(基础资料!$Q$5:$Q$54,C1053)=0,"✗ 供应商不在基础资料里",IF(D1053="","✗ 没选商品",IF(COUNTIF(基础资料!$E$5:$E$104,D1053)=0,"✗ 商品不在商品档案里",IF(AND(E1053="",H1053=""),"✗ 没填数量",IF(AND(N(E1053)&lt;&gt;0,F1053=""),"✗ 没填进价","√")))))))))</f>
      </c>
    </row>
    <row r="1054">
      <c r="A1054" s="109">
        <f>IF(AND(C1054="",D1054=""),"",ROW()-3)</f>
      </c>
      <c r="B1054" s="140" t="n"/>
      <c r="C1054" s="141" t="n"/>
      <c r="D1054" s="141" t="n"/>
      <c r="E1054" s="148" t="n"/>
      <c r="F1054" s="149" t="n"/>
      <c r="G1054" s="150">
        <f>IF(AND(E1054&lt;&gt;"",F1054&lt;&gt;""),E1054*F1054,"")</f>
      </c>
      <c r="H1054" s="148" t="n"/>
      <c r="I1054" s="142" t="n"/>
      <c r="J1054" s="146">
        <f>IF(AND(B1054="",C1054="",D1054="",E1054="",F1054="",H1054=""),"",IF(NOT(ISNUMBER(B1054)),"✗ 日期不是真日期",IF(OR(B1054&lt;年初日,B1054&gt;年末日),"✗ 日期不在本年度",IF(C1054="","✗ 没选供应商",IF(COUNTIF(基础资料!$Q$5:$Q$54,C1054)=0,"✗ 供应商不在基础资料里",IF(D1054="","✗ 没选商品",IF(COUNTIF(基础资料!$E$5:$E$104,D1054)=0,"✗ 商品不在商品档案里",IF(AND(E1054="",H1054=""),"✗ 没填数量",IF(AND(N(E1054)&lt;&gt;0,F1054=""),"✗ 没填进价","√")))))))))</f>
      </c>
    </row>
    <row r="1055">
      <c r="A1055" s="109">
        <f>IF(AND(C1055="",D1055=""),"",ROW()-3)</f>
      </c>
      <c r="B1055" s="140" t="n"/>
      <c r="C1055" s="141" t="n"/>
      <c r="D1055" s="141" t="n"/>
      <c r="E1055" s="148" t="n"/>
      <c r="F1055" s="149" t="n"/>
      <c r="G1055" s="150">
        <f>IF(AND(E1055&lt;&gt;"",F1055&lt;&gt;""),E1055*F1055,"")</f>
      </c>
      <c r="H1055" s="148" t="n"/>
      <c r="I1055" s="142" t="n"/>
      <c r="J1055" s="146">
        <f>IF(AND(B1055="",C1055="",D1055="",E1055="",F1055="",H1055=""),"",IF(NOT(ISNUMBER(B1055)),"✗ 日期不是真日期",IF(OR(B1055&lt;年初日,B1055&gt;年末日),"✗ 日期不在本年度",IF(C1055="","✗ 没选供应商",IF(COUNTIF(基础资料!$Q$5:$Q$54,C1055)=0,"✗ 供应商不在基础资料里",IF(D1055="","✗ 没选商品",IF(COUNTIF(基础资料!$E$5:$E$104,D1055)=0,"✗ 商品不在商品档案里",IF(AND(E1055="",H1055=""),"✗ 没填数量",IF(AND(N(E1055)&lt;&gt;0,F1055=""),"✗ 没填进价","√")))))))))</f>
      </c>
    </row>
    <row r="1056">
      <c r="A1056" s="109">
        <f>IF(AND(C1056="",D1056=""),"",ROW()-3)</f>
      </c>
      <c r="B1056" s="140" t="n"/>
      <c r="C1056" s="141" t="n"/>
      <c r="D1056" s="141" t="n"/>
      <c r="E1056" s="148" t="n"/>
      <c r="F1056" s="149" t="n"/>
      <c r="G1056" s="150">
        <f>IF(AND(E1056&lt;&gt;"",F1056&lt;&gt;""),E1056*F1056,"")</f>
      </c>
      <c r="H1056" s="148" t="n"/>
      <c r="I1056" s="142" t="n"/>
      <c r="J1056" s="146">
        <f>IF(AND(B1056="",C1056="",D1056="",E1056="",F1056="",H1056=""),"",IF(NOT(ISNUMBER(B1056)),"✗ 日期不是真日期",IF(OR(B1056&lt;年初日,B1056&gt;年末日),"✗ 日期不在本年度",IF(C1056="","✗ 没选供应商",IF(COUNTIF(基础资料!$Q$5:$Q$54,C1056)=0,"✗ 供应商不在基础资料里",IF(D1056="","✗ 没选商品",IF(COUNTIF(基础资料!$E$5:$E$104,D1056)=0,"✗ 商品不在商品档案里",IF(AND(E1056="",H1056=""),"✗ 没填数量",IF(AND(N(E1056)&lt;&gt;0,F1056=""),"✗ 没填进价","√")))))))))</f>
      </c>
    </row>
    <row r="1057">
      <c r="A1057" s="109">
        <f>IF(AND(C1057="",D1057=""),"",ROW()-3)</f>
      </c>
      <c r="B1057" s="140" t="n"/>
      <c r="C1057" s="141" t="n"/>
      <c r="D1057" s="141" t="n"/>
      <c r="E1057" s="148" t="n"/>
      <c r="F1057" s="149" t="n"/>
      <c r="G1057" s="150">
        <f>IF(AND(E1057&lt;&gt;"",F1057&lt;&gt;""),E1057*F1057,"")</f>
      </c>
      <c r="H1057" s="148" t="n"/>
      <c r="I1057" s="142" t="n"/>
      <c r="J1057" s="146">
        <f>IF(AND(B1057="",C1057="",D1057="",E1057="",F1057="",H1057=""),"",IF(NOT(ISNUMBER(B1057)),"✗ 日期不是真日期",IF(OR(B1057&lt;年初日,B1057&gt;年末日),"✗ 日期不在本年度",IF(C1057="","✗ 没选供应商",IF(COUNTIF(基础资料!$Q$5:$Q$54,C1057)=0,"✗ 供应商不在基础资料里",IF(D1057="","✗ 没选商品",IF(COUNTIF(基础资料!$E$5:$E$104,D1057)=0,"✗ 商品不在商品档案里",IF(AND(E1057="",H1057=""),"✗ 没填数量",IF(AND(N(E1057)&lt;&gt;0,F1057=""),"✗ 没填进价","√")))))))))</f>
      </c>
    </row>
    <row r="1058">
      <c r="A1058" s="109">
        <f>IF(AND(C1058="",D1058=""),"",ROW()-3)</f>
      </c>
      <c r="B1058" s="140" t="n"/>
      <c r="C1058" s="141" t="n"/>
      <c r="D1058" s="141" t="n"/>
      <c r="E1058" s="148" t="n"/>
      <c r="F1058" s="149" t="n"/>
      <c r="G1058" s="150">
        <f>IF(AND(E1058&lt;&gt;"",F1058&lt;&gt;""),E1058*F1058,"")</f>
      </c>
      <c r="H1058" s="148" t="n"/>
      <c r="I1058" s="142" t="n"/>
      <c r="J1058" s="146">
        <f>IF(AND(B1058="",C1058="",D1058="",E1058="",F1058="",H1058=""),"",IF(NOT(ISNUMBER(B1058)),"✗ 日期不是真日期",IF(OR(B1058&lt;年初日,B1058&gt;年末日),"✗ 日期不在本年度",IF(C1058="","✗ 没选供应商",IF(COUNTIF(基础资料!$Q$5:$Q$54,C1058)=0,"✗ 供应商不在基础资料里",IF(D1058="","✗ 没选商品",IF(COUNTIF(基础资料!$E$5:$E$104,D1058)=0,"✗ 商品不在商品档案里",IF(AND(E1058="",H1058=""),"✗ 没填数量",IF(AND(N(E1058)&lt;&gt;0,F1058=""),"✗ 没填进价","√")))))))))</f>
      </c>
    </row>
    <row r="1059">
      <c r="A1059" s="109">
        <f>IF(AND(C1059="",D1059=""),"",ROW()-3)</f>
      </c>
      <c r="B1059" s="140" t="n"/>
      <c r="C1059" s="141" t="n"/>
      <c r="D1059" s="141" t="n"/>
      <c r="E1059" s="148" t="n"/>
      <c r="F1059" s="149" t="n"/>
      <c r="G1059" s="150">
        <f>IF(AND(E1059&lt;&gt;"",F1059&lt;&gt;""),E1059*F1059,"")</f>
      </c>
      <c r="H1059" s="148" t="n"/>
      <c r="I1059" s="142" t="n"/>
      <c r="J1059" s="146">
        <f>IF(AND(B1059="",C1059="",D1059="",E1059="",F1059="",H1059=""),"",IF(NOT(ISNUMBER(B1059)),"✗ 日期不是真日期",IF(OR(B1059&lt;年初日,B1059&gt;年末日),"✗ 日期不在本年度",IF(C1059="","✗ 没选供应商",IF(COUNTIF(基础资料!$Q$5:$Q$54,C1059)=0,"✗ 供应商不在基础资料里",IF(D1059="","✗ 没选商品",IF(COUNTIF(基础资料!$E$5:$E$104,D1059)=0,"✗ 商品不在商品档案里",IF(AND(E1059="",H1059=""),"✗ 没填数量",IF(AND(N(E1059)&lt;&gt;0,F1059=""),"✗ 没填进价","√")))))))))</f>
      </c>
    </row>
    <row r="1060">
      <c r="A1060" s="109">
        <f>IF(AND(C1060="",D1060=""),"",ROW()-3)</f>
      </c>
      <c r="B1060" s="140" t="n"/>
      <c r="C1060" s="141" t="n"/>
      <c r="D1060" s="141" t="n"/>
      <c r="E1060" s="148" t="n"/>
      <c r="F1060" s="149" t="n"/>
      <c r="G1060" s="150">
        <f>IF(AND(E1060&lt;&gt;"",F1060&lt;&gt;""),E1060*F1060,"")</f>
      </c>
      <c r="H1060" s="148" t="n"/>
      <c r="I1060" s="142" t="n"/>
      <c r="J1060" s="146">
        <f>IF(AND(B1060="",C1060="",D1060="",E1060="",F1060="",H1060=""),"",IF(NOT(ISNUMBER(B1060)),"✗ 日期不是真日期",IF(OR(B1060&lt;年初日,B1060&gt;年末日),"✗ 日期不在本年度",IF(C1060="","✗ 没选供应商",IF(COUNTIF(基础资料!$Q$5:$Q$54,C1060)=0,"✗ 供应商不在基础资料里",IF(D1060="","✗ 没选商品",IF(COUNTIF(基础资料!$E$5:$E$104,D1060)=0,"✗ 商品不在商品档案里",IF(AND(E1060="",H1060=""),"✗ 没填数量",IF(AND(N(E1060)&lt;&gt;0,F1060=""),"✗ 没填进价","√")))))))))</f>
      </c>
    </row>
    <row r="1061">
      <c r="A1061" s="109">
        <f>IF(AND(C1061="",D1061=""),"",ROW()-3)</f>
      </c>
      <c r="B1061" s="140" t="n"/>
      <c r="C1061" s="141" t="n"/>
      <c r="D1061" s="141" t="n"/>
      <c r="E1061" s="148" t="n"/>
      <c r="F1061" s="149" t="n"/>
      <c r="G1061" s="150">
        <f>IF(AND(E1061&lt;&gt;"",F1061&lt;&gt;""),E1061*F1061,"")</f>
      </c>
      <c r="H1061" s="148" t="n"/>
      <c r="I1061" s="142" t="n"/>
      <c r="J1061" s="146">
        <f>IF(AND(B1061="",C1061="",D1061="",E1061="",F1061="",H1061=""),"",IF(NOT(ISNUMBER(B1061)),"✗ 日期不是真日期",IF(OR(B1061&lt;年初日,B1061&gt;年末日),"✗ 日期不在本年度",IF(C1061="","✗ 没选供应商",IF(COUNTIF(基础资料!$Q$5:$Q$54,C1061)=0,"✗ 供应商不在基础资料里",IF(D1061="","✗ 没选商品",IF(COUNTIF(基础资料!$E$5:$E$104,D1061)=0,"✗ 商品不在商品档案里",IF(AND(E1061="",H1061=""),"✗ 没填数量",IF(AND(N(E1061)&lt;&gt;0,F1061=""),"✗ 没填进价","√")))))))))</f>
      </c>
    </row>
    <row r="1062">
      <c r="A1062" s="109">
        <f>IF(AND(C1062="",D1062=""),"",ROW()-3)</f>
      </c>
      <c r="B1062" s="140" t="n"/>
      <c r="C1062" s="141" t="n"/>
      <c r="D1062" s="141" t="n"/>
      <c r="E1062" s="148" t="n"/>
      <c r="F1062" s="149" t="n"/>
      <c r="G1062" s="150">
        <f>IF(AND(E1062&lt;&gt;"",F1062&lt;&gt;""),E1062*F1062,"")</f>
      </c>
      <c r="H1062" s="148" t="n"/>
      <c r="I1062" s="142" t="n"/>
      <c r="J1062" s="146">
        <f>IF(AND(B1062="",C1062="",D1062="",E1062="",F1062="",H1062=""),"",IF(NOT(ISNUMBER(B1062)),"✗ 日期不是真日期",IF(OR(B1062&lt;年初日,B1062&gt;年末日),"✗ 日期不在本年度",IF(C1062="","✗ 没选供应商",IF(COUNTIF(基础资料!$Q$5:$Q$54,C1062)=0,"✗ 供应商不在基础资料里",IF(D1062="","✗ 没选商品",IF(COUNTIF(基础资料!$E$5:$E$104,D1062)=0,"✗ 商品不在商品档案里",IF(AND(E1062="",H1062=""),"✗ 没填数量",IF(AND(N(E1062)&lt;&gt;0,F1062=""),"✗ 没填进价","√")))))))))</f>
      </c>
    </row>
    <row r="1063">
      <c r="A1063" s="109">
        <f>IF(AND(C1063="",D1063=""),"",ROW()-3)</f>
      </c>
      <c r="B1063" s="140" t="n"/>
      <c r="C1063" s="141" t="n"/>
      <c r="D1063" s="141" t="n"/>
      <c r="E1063" s="148" t="n"/>
      <c r="F1063" s="149" t="n"/>
      <c r="G1063" s="150">
        <f>IF(AND(E1063&lt;&gt;"",F1063&lt;&gt;""),E1063*F1063,"")</f>
      </c>
      <c r="H1063" s="148" t="n"/>
      <c r="I1063" s="142" t="n"/>
      <c r="J1063" s="146">
        <f>IF(AND(B1063="",C1063="",D1063="",E1063="",F1063="",H1063=""),"",IF(NOT(ISNUMBER(B1063)),"✗ 日期不是真日期",IF(OR(B1063&lt;年初日,B1063&gt;年末日),"✗ 日期不在本年度",IF(C1063="","✗ 没选供应商",IF(COUNTIF(基础资料!$Q$5:$Q$54,C1063)=0,"✗ 供应商不在基础资料里",IF(D1063="","✗ 没选商品",IF(COUNTIF(基础资料!$E$5:$E$104,D1063)=0,"✗ 商品不在商品档案里",IF(AND(E1063="",H1063=""),"✗ 没填数量",IF(AND(N(E1063)&lt;&gt;0,F1063=""),"✗ 没填进价","√")))))))))</f>
      </c>
    </row>
    <row r="1064">
      <c r="A1064" s="109">
        <f>IF(AND(C1064="",D1064=""),"",ROW()-3)</f>
      </c>
      <c r="B1064" s="140" t="n"/>
      <c r="C1064" s="141" t="n"/>
      <c r="D1064" s="141" t="n"/>
      <c r="E1064" s="148" t="n"/>
      <c r="F1064" s="149" t="n"/>
      <c r="G1064" s="150">
        <f>IF(AND(E1064&lt;&gt;"",F1064&lt;&gt;""),E1064*F1064,"")</f>
      </c>
      <c r="H1064" s="148" t="n"/>
      <c r="I1064" s="142" t="n"/>
      <c r="J1064" s="146">
        <f>IF(AND(B1064="",C1064="",D1064="",E1064="",F1064="",H1064=""),"",IF(NOT(ISNUMBER(B1064)),"✗ 日期不是真日期",IF(OR(B1064&lt;年初日,B1064&gt;年末日),"✗ 日期不在本年度",IF(C1064="","✗ 没选供应商",IF(COUNTIF(基础资料!$Q$5:$Q$54,C1064)=0,"✗ 供应商不在基础资料里",IF(D1064="","✗ 没选商品",IF(COUNTIF(基础资料!$E$5:$E$104,D1064)=0,"✗ 商品不在商品档案里",IF(AND(E1064="",H1064=""),"✗ 没填数量",IF(AND(N(E1064)&lt;&gt;0,F1064=""),"✗ 没填进价","√")))))))))</f>
      </c>
    </row>
    <row r="1065">
      <c r="A1065" s="109">
        <f>IF(AND(C1065="",D1065=""),"",ROW()-3)</f>
      </c>
      <c r="B1065" s="140" t="n"/>
      <c r="C1065" s="141" t="n"/>
      <c r="D1065" s="141" t="n"/>
      <c r="E1065" s="148" t="n"/>
      <c r="F1065" s="149" t="n"/>
      <c r="G1065" s="150">
        <f>IF(AND(E1065&lt;&gt;"",F1065&lt;&gt;""),E1065*F1065,"")</f>
      </c>
      <c r="H1065" s="148" t="n"/>
      <c r="I1065" s="142" t="n"/>
      <c r="J1065" s="146">
        <f>IF(AND(B1065="",C1065="",D1065="",E1065="",F1065="",H1065=""),"",IF(NOT(ISNUMBER(B1065)),"✗ 日期不是真日期",IF(OR(B1065&lt;年初日,B1065&gt;年末日),"✗ 日期不在本年度",IF(C1065="","✗ 没选供应商",IF(COUNTIF(基础资料!$Q$5:$Q$54,C1065)=0,"✗ 供应商不在基础资料里",IF(D1065="","✗ 没选商品",IF(COUNTIF(基础资料!$E$5:$E$104,D1065)=0,"✗ 商品不在商品档案里",IF(AND(E1065="",H1065=""),"✗ 没填数量",IF(AND(N(E1065)&lt;&gt;0,F1065=""),"✗ 没填进价","√")))))))))</f>
      </c>
    </row>
    <row r="1066">
      <c r="A1066" s="109">
        <f>IF(AND(C1066="",D1066=""),"",ROW()-3)</f>
      </c>
      <c r="B1066" s="140" t="n"/>
      <c r="C1066" s="141" t="n"/>
      <c r="D1066" s="141" t="n"/>
      <c r="E1066" s="148" t="n"/>
      <c r="F1066" s="149" t="n"/>
      <c r="G1066" s="150">
        <f>IF(AND(E1066&lt;&gt;"",F1066&lt;&gt;""),E1066*F1066,"")</f>
      </c>
      <c r="H1066" s="148" t="n"/>
      <c r="I1066" s="142" t="n"/>
      <c r="J1066" s="146">
        <f>IF(AND(B1066="",C1066="",D1066="",E1066="",F1066="",H1066=""),"",IF(NOT(ISNUMBER(B1066)),"✗ 日期不是真日期",IF(OR(B1066&lt;年初日,B1066&gt;年末日),"✗ 日期不在本年度",IF(C1066="","✗ 没选供应商",IF(COUNTIF(基础资料!$Q$5:$Q$54,C1066)=0,"✗ 供应商不在基础资料里",IF(D1066="","✗ 没选商品",IF(COUNTIF(基础资料!$E$5:$E$104,D1066)=0,"✗ 商品不在商品档案里",IF(AND(E1066="",H1066=""),"✗ 没填数量",IF(AND(N(E1066)&lt;&gt;0,F1066=""),"✗ 没填进价","√")))))))))</f>
      </c>
    </row>
    <row r="1067">
      <c r="A1067" s="109">
        <f>IF(AND(C1067="",D1067=""),"",ROW()-3)</f>
      </c>
      <c r="B1067" s="140" t="n"/>
      <c r="C1067" s="141" t="n"/>
      <c r="D1067" s="141" t="n"/>
      <c r="E1067" s="148" t="n"/>
      <c r="F1067" s="149" t="n"/>
      <c r="G1067" s="150">
        <f>IF(AND(E1067&lt;&gt;"",F1067&lt;&gt;""),E1067*F1067,"")</f>
      </c>
      <c r="H1067" s="148" t="n"/>
      <c r="I1067" s="142" t="n"/>
      <c r="J1067" s="146">
        <f>IF(AND(B1067="",C1067="",D1067="",E1067="",F1067="",H1067=""),"",IF(NOT(ISNUMBER(B1067)),"✗ 日期不是真日期",IF(OR(B1067&lt;年初日,B1067&gt;年末日),"✗ 日期不在本年度",IF(C1067="","✗ 没选供应商",IF(COUNTIF(基础资料!$Q$5:$Q$54,C1067)=0,"✗ 供应商不在基础资料里",IF(D1067="","✗ 没选商品",IF(COUNTIF(基础资料!$E$5:$E$104,D1067)=0,"✗ 商品不在商品档案里",IF(AND(E1067="",H1067=""),"✗ 没填数量",IF(AND(N(E1067)&lt;&gt;0,F1067=""),"✗ 没填进价","√")))))))))</f>
      </c>
    </row>
    <row r="1068">
      <c r="A1068" s="109">
        <f>IF(AND(C1068="",D1068=""),"",ROW()-3)</f>
      </c>
      <c r="B1068" s="140" t="n"/>
      <c r="C1068" s="141" t="n"/>
      <c r="D1068" s="141" t="n"/>
      <c r="E1068" s="148" t="n"/>
      <c r="F1068" s="149" t="n"/>
      <c r="G1068" s="150">
        <f>IF(AND(E1068&lt;&gt;"",F1068&lt;&gt;""),E1068*F1068,"")</f>
      </c>
      <c r="H1068" s="148" t="n"/>
      <c r="I1068" s="142" t="n"/>
      <c r="J1068" s="146">
        <f>IF(AND(B1068="",C1068="",D1068="",E1068="",F1068="",H1068=""),"",IF(NOT(ISNUMBER(B1068)),"✗ 日期不是真日期",IF(OR(B1068&lt;年初日,B1068&gt;年末日),"✗ 日期不在本年度",IF(C1068="","✗ 没选供应商",IF(COUNTIF(基础资料!$Q$5:$Q$54,C1068)=0,"✗ 供应商不在基础资料里",IF(D1068="","✗ 没选商品",IF(COUNTIF(基础资料!$E$5:$E$104,D1068)=0,"✗ 商品不在商品档案里",IF(AND(E1068="",H1068=""),"✗ 没填数量",IF(AND(N(E1068)&lt;&gt;0,F1068=""),"✗ 没填进价","√")))))))))</f>
      </c>
    </row>
    <row r="1069">
      <c r="A1069" s="109">
        <f>IF(AND(C1069="",D1069=""),"",ROW()-3)</f>
      </c>
      <c r="B1069" s="140" t="n"/>
      <c r="C1069" s="141" t="n"/>
      <c r="D1069" s="141" t="n"/>
      <c r="E1069" s="148" t="n"/>
      <c r="F1069" s="149" t="n"/>
      <c r="G1069" s="150">
        <f>IF(AND(E1069&lt;&gt;"",F1069&lt;&gt;""),E1069*F1069,"")</f>
      </c>
      <c r="H1069" s="148" t="n"/>
      <c r="I1069" s="142" t="n"/>
      <c r="J1069" s="146">
        <f>IF(AND(B1069="",C1069="",D1069="",E1069="",F1069="",H1069=""),"",IF(NOT(ISNUMBER(B1069)),"✗ 日期不是真日期",IF(OR(B1069&lt;年初日,B1069&gt;年末日),"✗ 日期不在本年度",IF(C1069="","✗ 没选供应商",IF(COUNTIF(基础资料!$Q$5:$Q$54,C1069)=0,"✗ 供应商不在基础资料里",IF(D1069="","✗ 没选商品",IF(COUNTIF(基础资料!$E$5:$E$104,D1069)=0,"✗ 商品不在商品档案里",IF(AND(E1069="",H1069=""),"✗ 没填数量",IF(AND(N(E1069)&lt;&gt;0,F1069=""),"✗ 没填进价","√")))))))))</f>
      </c>
    </row>
    <row r="1070">
      <c r="A1070" s="109">
        <f>IF(AND(C1070="",D1070=""),"",ROW()-3)</f>
      </c>
      <c r="B1070" s="140" t="n"/>
      <c r="C1070" s="141" t="n"/>
      <c r="D1070" s="141" t="n"/>
      <c r="E1070" s="148" t="n"/>
      <c r="F1070" s="149" t="n"/>
      <c r="G1070" s="150">
        <f>IF(AND(E1070&lt;&gt;"",F1070&lt;&gt;""),E1070*F1070,"")</f>
      </c>
      <c r="H1070" s="148" t="n"/>
      <c r="I1070" s="142" t="n"/>
      <c r="J1070" s="146">
        <f>IF(AND(B1070="",C1070="",D1070="",E1070="",F1070="",H1070=""),"",IF(NOT(ISNUMBER(B1070)),"✗ 日期不是真日期",IF(OR(B1070&lt;年初日,B1070&gt;年末日),"✗ 日期不在本年度",IF(C1070="","✗ 没选供应商",IF(COUNTIF(基础资料!$Q$5:$Q$54,C1070)=0,"✗ 供应商不在基础资料里",IF(D1070="","✗ 没选商品",IF(COUNTIF(基础资料!$E$5:$E$104,D1070)=0,"✗ 商品不在商品档案里",IF(AND(E1070="",H1070=""),"✗ 没填数量",IF(AND(N(E1070)&lt;&gt;0,F1070=""),"✗ 没填进价","√")))))))))</f>
      </c>
    </row>
    <row r="1071">
      <c r="A1071" s="109">
        <f>IF(AND(C1071="",D1071=""),"",ROW()-3)</f>
      </c>
      <c r="B1071" s="140" t="n"/>
      <c r="C1071" s="141" t="n"/>
      <c r="D1071" s="141" t="n"/>
      <c r="E1071" s="148" t="n"/>
      <c r="F1071" s="149" t="n"/>
      <c r="G1071" s="150">
        <f>IF(AND(E1071&lt;&gt;"",F1071&lt;&gt;""),E1071*F1071,"")</f>
      </c>
      <c r="H1071" s="148" t="n"/>
      <c r="I1071" s="142" t="n"/>
      <c r="J1071" s="146">
        <f>IF(AND(B1071="",C1071="",D1071="",E1071="",F1071="",H1071=""),"",IF(NOT(ISNUMBER(B1071)),"✗ 日期不是真日期",IF(OR(B1071&lt;年初日,B1071&gt;年末日),"✗ 日期不在本年度",IF(C1071="","✗ 没选供应商",IF(COUNTIF(基础资料!$Q$5:$Q$54,C1071)=0,"✗ 供应商不在基础资料里",IF(D1071="","✗ 没选商品",IF(COUNTIF(基础资料!$E$5:$E$104,D1071)=0,"✗ 商品不在商品档案里",IF(AND(E1071="",H1071=""),"✗ 没填数量",IF(AND(N(E1071)&lt;&gt;0,F1071=""),"✗ 没填进价","√")))))))))</f>
      </c>
    </row>
    <row r="1072">
      <c r="A1072" s="109">
        <f>IF(AND(C1072="",D1072=""),"",ROW()-3)</f>
      </c>
      <c r="B1072" s="140" t="n"/>
      <c r="C1072" s="141" t="n"/>
      <c r="D1072" s="141" t="n"/>
      <c r="E1072" s="148" t="n"/>
      <c r="F1072" s="149" t="n"/>
      <c r="G1072" s="150">
        <f>IF(AND(E1072&lt;&gt;"",F1072&lt;&gt;""),E1072*F1072,"")</f>
      </c>
      <c r="H1072" s="148" t="n"/>
      <c r="I1072" s="142" t="n"/>
      <c r="J1072" s="146">
        <f>IF(AND(B1072="",C1072="",D1072="",E1072="",F1072="",H1072=""),"",IF(NOT(ISNUMBER(B1072)),"✗ 日期不是真日期",IF(OR(B1072&lt;年初日,B1072&gt;年末日),"✗ 日期不在本年度",IF(C1072="","✗ 没选供应商",IF(COUNTIF(基础资料!$Q$5:$Q$54,C1072)=0,"✗ 供应商不在基础资料里",IF(D1072="","✗ 没选商品",IF(COUNTIF(基础资料!$E$5:$E$104,D1072)=0,"✗ 商品不在商品档案里",IF(AND(E1072="",H1072=""),"✗ 没填数量",IF(AND(N(E1072)&lt;&gt;0,F1072=""),"✗ 没填进价","√")))))))))</f>
      </c>
    </row>
    <row r="1073">
      <c r="A1073" s="109">
        <f>IF(AND(C1073="",D1073=""),"",ROW()-3)</f>
      </c>
      <c r="B1073" s="140" t="n"/>
      <c r="C1073" s="141" t="n"/>
      <c r="D1073" s="141" t="n"/>
      <c r="E1073" s="148" t="n"/>
      <c r="F1073" s="149" t="n"/>
      <c r="G1073" s="150">
        <f>IF(AND(E1073&lt;&gt;"",F1073&lt;&gt;""),E1073*F1073,"")</f>
      </c>
      <c r="H1073" s="148" t="n"/>
      <c r="I1073" s="142" t="n"/>
      <c r="J1073" s="146">
        <f>IF(AND(B1073="",C1073="",D1073="",E1073="",F1073="",H1073=""),"",IF(NOT(ISNUMBER(B1073)),"✗ 日期不是真日期",IF(OR(B1073&lt;年初日,B1073&gt;年末日),"✗ 日期不在本年度",IF(C1073="","✗ 没选供应商",IF(COUNTIF(基础资料!$Q$5:$Q$54,C1073)=0,"✗ 供应商不在基础资料里",IF(D1073="","✗ 没选商品",IF(COUNTIF(基础资料!$E$5:$E$104,D1073)=0,"✗ 商品不在商品档案里",IF(AND(E1073="",H1073=""),"✗ 没填数量",IF(AND(N(E1073)&lt;&gt;0,F1073=""),"✗ 没填进价","√")))))))))</f>
      </c>
    </row>
    <row r="1074">
      <c r="A1074" s="109">
        <f>IF(AND(C1074="",D1074=""),"",ROW()-3)</f>
      </c>
      <c r="B1074" s="140" t="n"/>
      <c r="C1074" s="141" t="n"/>
      <c r="D1074" s="141" t="n"/>
      <c r="E1074" s="148" t="n"/>
      <c r="F1074" s="149" t="n"/>
      <c r="G1074" s="150">
        <f>IF(AND(E1074&lt;&gt;"",F1074&lt;&gt;""),E1074*F1074,"")</f>
      </c>
      <c r="H1074" s="148" t="n"/>
      <c r="I1074" s="142" t="n"/>
      <c r="J1074" s="146">
        <f>IF(AND(B1074="",C1074="",D1074="",E1074="",F1074="",H1074=""),"",IF(NOT(ISNUMBER(B1074)),"✗ 日期不是真日期",IF(OR(B1074&lt;年初日,B1074&gt;年末日),"✗ 日期不在本年度",IF(C1074="","✗ 没选供应商",IF(COUNTIF(基础资料!$Q$5:$Q$54,C1074)=0,"✗ 供应商不在基础资料里",IF(D1074="","✗ 没选商品",IF(COUNTIF(基础资料!$E$5:$E$104,D1074)=0,"✗ 商品不在商品档案里",IF(AND(E1074="",H1074=""),"✗ 没填数量",IF(AND(N(E1074)&lt;&gt;0,F1074=""),"✗ 没填进价","√")))))))))</f>
      </c>
    </row>
    <row r="1075">
      <c r="A1075" s="109">
        <f>IF(AND(C1075="",D1075=""),"",ROW()-3)</f>
      </c>
      <c r="B1075" s="140" t="n"/>
      <c r="C1075" s="141" t="n"/>
      <c r="D1075" s="141" t="n"/>
      <c r="E1075" s="148" t="n"/>
      <c r="F1075" s="149" t="n"/>
      <c r="G1075" s="150">
        <f>IF(AND(E1075&lt;&gt;"",F1075&lt;&gt;""),E1075*F1075,"")</f>
      </c>
      <c r="H1075" s="148" t="n"/>
      <c r="I1075" s="142" t="n"/>
      <c r="J1075" s="146">
        <f>IF(AND(B1075="",C1075="",D1075="",E1075="",F1075="",H1075=""),"",IF(NOT(ISNUMBER(B1075)),"✗ 日期不是真日期",IF(OR(B1075&lt;年初日,B1075&gt;年末日),"✗ 日期不在本年度",IF(C1075="","✗ 没选供应商",IF(COUNTIF(基础资料!$Q$5:$Q$54,C1075)=0,"✗ 供应商不在基础资料里",IF(D1075="","✗ 没选商品",IF(COUNTIF(基础资料!$E$5:$E$104,D1075)=0,"✗ 商品不在商品档案里",IF(AND(E1075="",H1075=""),"✗ 没填数量",IF(AND(N(E1075)&lt;&gt;0,F1075=""),"✗ 没填进价","√")))))))))</f>
      </c>
    </row>
    <row r="1076">
      <c r="A1076" s="109">
        <f>IF(AND(C1076="",D1076=""),"",ROW()-3)</f>
      </c>
      <c r="B1076" s="140" t="n"/>
      <c r="C1076" s="141" t="n"/>
      <c r="D1076" s="141" t="n"/>
      <c r="E1076" s="148" t="n"/>
      <c r="F1076" s="149" t="n"/>
      <c r="G1076" s="150">
        <f>IF(AND(E1076&lt;&gt;"",F1076&lt;&gt;""),E1076*F1076,"")</f>
      </c>
      <c r="H1076" s="148" t="n"/>
      <c r="I1076" s="142" t="n"/>
      <c r="J1076" s="146">
        <f>IF(AND(B1076="",C1076="",D1076="",E1076="",F1076="",H1076=""),"",IF(NOT(ISNUMBER(B1076)),"✗ 日期不是真日期",IF(OR(B1076&lt;年初日,B1076&gt;年末日),"✗ 日期不在本年度",IF(C1076="","✗ 没选供应商",IF(COUNTIF(基础资料!$Q$5:$Q$54,C1076)=0,"✗ 供应商不在基础资料里",IF(D1076="","✗ 没选商品",IF(COUNTIF(基础资料!$E$5:$E$104,D1076)=0,"✗ 商品不在商品档案里",IF(AND(E1076="",H1076=""),"✗ 没填数量",IF(AND(N(E1076)&lt;&gt;0,F1076=""),"✗ 没填进价","√")))))))))</f>
      </c>
    </row>
    <row r="1077">
      <c r="A1077" s="109">
        <f>IF(AND(C1077="",D1077=""),"",ROW()-3)</f>
      </c>
      <c r="B1077" s="140" t="n"/>
      <c r="C1077" s="141" t="n"/>
      <c r="D1077" s="141" t="n"/>
      <c r="E1077" s="148" t="n"/>
      <c r="F1077" s="149" t="n"/>
      <c r="G1077" s="150">
        <f>IF(AND(E1077&lt;&gt;"",F1077&lt;&gt;""),E1077*F1077,"")</f>
      </c>
      <c r="H1077" s="148" t="n"/>
      <c r="I1077" s="142" t="n"/>
      <c r="J1077" s="146">
        <f>IF(AND(B1077="",C1077="",D1077="",E1077="",F1077="",H1077=""),"",IF(NOT(ISNUMBER(B1077)),"✗ 日期不是真日期",IF(OR(B1077&lt;年初日,B1077&gt;年末日),"✗ 日期不在本年度",IF(C1077="","✗ 没选供应商",IF(COUNTIF(基础资料!$Q$5:$Q$54,C1077)=0,"✗ 供应商不在基础资料里",IF(D1077="","✗ 没选商品",IF(COUNTIF(基础资料!$E$5:$E$104,D1077)=0,"✗ 商品不在商品档案里",IF(AND(E1077="",H1077=""),"✗ 没填数量",IF(AND(N(E1077)&lt;&gt;0,F1077=""),"✗ 没填进价","√")))))))))</f>
      </c>
    </row>
    <row r="1078">
      <c r="A1078" s="109">
        <f>IF(AND(C1078="",D1078=""),"",ROW()-3)</f>
      </c>
      <c r="B1078" s="140" t="n"/>
      <c r="C1078" s="141" t="n"/>
      <c r="D1078" s="141" t="n"/>
      <c r="E1078" s="148" t="n"/>
      <c r="F1078" s="149" t="n"/>
      <c r="G1078" s="150">
        <f>IF(AND(E1078&lt;&gt;"",F1078&lt;&gt;""),E1078*F1078,"")</f>
      </c>
      <c r="H1078" s="148" t="n"/>
      <c r="I1078" s="142" t="n"/>
      <c r="J1078" s="146">
        <f>IF(AND(B1078="",C1078="",D1078="",E1078="",F1078="",H1078=""),"",IF(NOT(ISNUMBER(B1078)),"✗ 日期不是真日期",IF(OR(B1078&lt;年初日,B1078&gt;年末日),"✗ 日期不在本年度",IF(C1078="","✗ 没选供应商",IF(COUNTIF(基础资料!$Q$5:$Q$54,C1078)=0,"✗ 供应商不在基础资料里",IF(D1078="","✗ 没选商品",IF(COUNTIF(基础资料!$E$5:$E$104,D1078)=0,"✗ 商品不在商品档案里",IF(AND(E1078="",H1078=""),"✗ 没填数量",IF(AND(N(E1078)&lt;&gt;0,F1078=""),"✗ 没填进价","√")))))))))</f>
      </c>
    </row>
    <row r="1079">
      <c r="A1079" s="109">
        <f>IF(AND(C1079="",D1079=""),"",ROW()-3)</f>
      </c>
      <c r="B1079" s="140" t="n"/>
      <c r="C1079" s="141" t="n"/>
      <c r="D1079" s="141" t="n"/>
      <c r="E1079" s="148" t="n"/>
      <c r="F1079" s="149" t="n"/>
      <c r="G1079" s="150">
        <f>IF(AND(E1079&lt;&gt;"",F1079&lt;&gt;""),E1079*F1079,"")</f>
      </c>
      <c r="H1079" s="148" t="n"/>
      <c r="I1079" s="142" t="n"/>
      <c r="J1079" s="146">
        <f>IF(AND(B1079="",C1079="",D1079="",E1079="",F1079="",H1079=""),"",IF(NOT(ISNUMBER(B1079)),"✗ 日期不是真日期",IF(OR(B1079&lt;年初日,B1079&gt;年末日),"✗ 日期不在本年度",IF(C1079="","✗ 没选供应商",IF(COUNTIF(基础资料!$Q$5:$Q$54,C1079)=0,"✗ 供应商不在基础资料里",IF(D1079="","✗ 没选商品",IF(COUNTIF(基础资料!$E$5:$E$104,D1079)=0,"✗ 商品不在商品档案里",IF(AND(E1079="",H1079=""),"✗ 没填数量",IF(AND(N(E1079)&lt;&gt;0,F1079=""),"✗ 没填进价","√")))))))))</f>
      </c>
    </row>
    <row r="1080">
      <c r="A1080" s="109">
        <f>IF(AND(C1080="",D1080=""),"",ROW()-3)</f>
      </c>
      <c r="B1080" s="140" t="n"/>
      <c r="C1080" s="141" t="n"/>
      <c r="D1080" s="141" t="n"/>
      <c r="E1080" s="148" t="n"/>
      <c r="F1080" s="149" t="n"/>
      <c r="G1080" s="150">
        <f>IF(AND(E1080&lt;&gt;"",F1080&lt;&gt;""),E1080*F1080,"")</f>
      </c>
      <c r="H1080" s="148" t="n"/>
      <c r="I1080" s="142" t="n"/>
      <c r="J1080" s="146">
        <f>IF(AND(B1080="",C1080="",D1080="",E1080="",F1080="",H1080=""),"",IF(NOT(ISNUMBER(B1080)),"✗ 日期不是真日期",IF(OR(B1080&lt;年初日,B1080&gt;年末日),"✗ 日期不在本年度",IF(C1080="","✗ 没选供应商",IF(COUNTIF(基础资料!$Q$5:$Q$54,C1080)=0,"✗ 供应商不在基础资料里",IF(D1080="","✗ 没选商品",IF(COUNTIF(基础资料!$E$5:$E$104,D1080)=0,"✗ 商品不在商品档案里",IF(AND(E1080="",H1080=""),"✗ 没填数量",IF(AND(N(E1080)&lt;&gt;0,F1080=""),"✗ 没填进价","√")))))))))</f>
      </c>
    </row>
    <row r="1081">
      <c r="A1081" s="109">
        <f>IF(AND(C1081="",D1081=""),"",ROW()-3)</f>
      </c>
      <c r="B1081" s="140" t="n"/>
      <c r="C1081" s="141" t="n"/>
      <c r="D1081" s="141" t="n"/>
      <c r="E1081" s="148" t="n"/>
      <c r="F1081" s="149" t="n"/>
      <c r="G1081" s="150">
        <f>IF(AND(E1081&lt;&gt;"",F1081&lt;&gt;""),E1081*F1081,"")</f>
      </c>
      <c r="H1081" s="148" t="n"/>
      <c r="I1081" s="142" t="n"/>
      <c r="J1081" s="146">
        <f>IF(AND(B1081="",C1081="",D1081="",E1081="",F1081="",H1081=""),"",IF(NOT(ISNUMBER(B1081)),"✗ 日期不是真日期",IF(OR(B1081&lt;年初日,B1081&gt;年末日),"✗ 日期不在本年度",IF(C1081="","✗ 没选供应商",IF(COUNTIF(基础资料!$Q$5:$Q$54,C1081)=0,"✗ 供应商不在基础资料里",IF(D1081="","✗ 没选商品",IF(COUNTIF(基础资料!$E$5:$E$104,D1081)=0,"✗ 商品不在商品档案里",IF(AND(E1081="",H1081=""),"✗ 没填数量",IF(AND(N(E1081)&lt;&gt;0,F1081=""),"✗ 没填进价","√")))))))))</f>
      </c>
    </row>
    <row r="1082">
      <c r="A1082" s="109">
        <f>IF(AND(C1082="",D1082=""),"",ROW()-3)</f>
      </c>
      <c r="B1082" s="140" t="n"/>
      <c r="C1082" s="141" t="n"/>
      <c r="D1082" s="141" t="n"/>
      <c r="E1082" s="148" t="n"/>
      <c r="F1082" s="149" t="n"/>
      <c r="G1082" s="150">
        <f>IF(AND(E1082&lt;&gt;"",F1082&lt;&gt;""),E1082*F1082,"")</f>
      </c>
      <c r="H1082" s="148" t="n"/>
      <c r="I1082" s="142" t="n"/>
      <c r="J1082" s="146">
        <f>IF(AND(B1082="",C1082="",D1082="",E1082="",F1082="",H1082=""),"",IF(NOT(ISNUMBER(B1082)),"✗ 日期不是真日期",IF(OR(B1082&lt;年初日,B1082&gt;年末日),"✗ 日期不在本年度",IF(C1082="","✗ 没选供应商",IF(COUNTIF(基础资料!$Q$5:$Q$54,C1082)=0,"✗ 供应商不在基础资料里",IF(D1082="","✗ 没选商品",IF(COUNTIF(基础资料!$E$5:$E$104,D1082)=0,"✗ 商品不在商品档案里",IF(AND(E1082="",H1082=""),"✗ 没填数量",IF(AND(N(E1082)&lt;&gt;0,F1082=""),"✗ 没填进价","√")))))))))</f>
      </c>
    </row>
    <row r="1083">
      <c r="A1083" s="109">
        <f>IF(AND(C1083="",D1083=""),"",ROW()-3)</f>
      </c>
      <c r="B1083" s="140" t="n"/>
      <c r="C1083" s="141" t="n"/>
      <c r="D1083" s="141" t="n"/>
      <c r="E1083" s="148" t="n"/>
      <c r="F1083" s="149" t="n"/>
      <c r="G1083" s="150">
        <f>IF(AND(E1083&lt;&gt;"",F1083&lt;&gt;""),E1083*F1083,"")</f>
      </c>
      <c r="H1083" s="148" t="n"/>
      <c r="I1083" s="142" t="n"/>
      <c r="J1083" s="146">
        <f>IF(AND(B1083="",C1083="",D1083="",E1083="",F1083="",H1083=""),"",IF(NOT(ISNUMBER(B1083)),"✗ 日期不是真日期",IF(OR(B1083&lt;年初日,B1083&gt;年末日),"✗ 日期不在本年度",IF(C1083="","✗ 没选供应商",IF(COUNTIF(基础资料!$Q$5:$Q$54,C1083)=0,"✗ 供应商不在基础资料里",IF(D1083="","✗ 没选商品",IF(COUNTIF(基础资料!$E$5:$E$104,D1083)=0,"✗ 商品不在商品档案里",IF(AND(E1083="",H1083=""),"✗ 没填数量",IF(AND(N(E1083)&lt;&gt;0,F1083=""),"✗ 没填进价","√")))))))))</f>
      </c>
    </row>
    <row r="1084">
      <c r="A1084" s="109">
        <f>IF(AND(C1084="",D1084=""),"",ROW()-3)</f>
      </c>
      <c r="B1084" s="140" t="n"/>
      <c r="C1084" s="141" t="n"/>
      <c r="D1084" s="141" t="n"/>
      <c r="E1084" s="148" t="n"/>
      <c r="F1084" s="149" t="n"/>
      <c r="G1084" s="150">
        <f>IF(AND(E1084&lt;&gt;"",F1084&lt;&gt;""),E1084*F1084,"")</f>
      </c>
      <c r="H1084" s="148" t="n"/>
      <c r="I1084" s="142" t="n"/>
      <c r="J1084" s="146">
        <f>IF(AND(B1084="",C1084="",D1084="",E1084="",F1084="",H1084=""),"",IF(NOT(ISNUMBER(B1084)),"✗ 日期不是真日期",IF(OR(B1084&lt;年初日,B1084&gt;年末日),"✗ 日期不在本年度",IF(C1084="","✗ 没选供应商",IF(COUNTIF(基础资料!$Q$5:$Q$54,C1084)=0,"✗ 供应商不在基础资料里",IF(D1084="","✗ 没选商品",IF(COUNTIF(基础资料!$E$5:$E$104,D1084)=0,"✗ 商品不在商品档案里",IF(AND(E1084="",H1084=""),"✗ 没填数量",IF(AND(N(E1084)&lt;&gt;0,F1084=""),"✗ 没填进价","√")))))))))</f>
      </c>
    </row>
    <row r="1085">
      <c r="A1085" s="109">
        <f>IF(AND(C1085="",D1085=""),"",ROW()-3)</f>
      </c>
      <c r="B1085" s="140" t="n"/>
      <c r="C1085" s="141" t="n"/>
      <c r="D1085" s="141" t="n"/>
      <c r="E1085" s="148" t="n"/>
      <c r="F1085" s="149" t="n"/>
      <c r="G1085" s="150">
        <f>IF(AND(E1085&lt;&gt;"",F1085&lt;&gt;""),E1085*F1085,"")</f>
      </c>
      <c r="H1085" s="148" t="n"/>
      <c r="I1085" s="142" t="n"/>
      <c r="J1085" s="146">
        <f>IF(AND(B1085="",C1085="",D1085="",E1085="",F1085="",H1085=""),"",IF(NOT(ISNUMBER(B1085)),"✗ 日期不是真日期",IF(OR(B1085&lt;年初日,B1085&gt;年末日),"✗ 日期不在本年度",IF(C1085="","✗ 没选供应商",IF(COUNTIF(基础资料!$Q$5:$Q$54,C1085)=0,"✗ 供应商不在基础资料里",IF(D1085="","✗ 没选商品",IF(COUNTIF(基础资料!$E$5:$E$104,D1085)=0,"✗ 商品不在商品档案里",IF(AND(E1085="",H1085=""),"✗ 没填数量",IF(AND(N(E1085)&lt;&gt;0,F1085=""),"✗ 没填进价","√")))))))))</f>
      </c>
    </row>
    <row r="1086">
      <c r="A1086" s="109">
        <f>IF(AND(C1086="",D1086=""),"",ROW()-3)</f>
      </c>
      <c r="B1086" s="140" t="n"/>
      <c r="C1086" s="141" t="n"/>
      <c r="D1086" s="141" t="n"/>
      <c r="E1086" s="148" t="n"/>
      <c r="F1086" s="149" t="n"/>
      <c r="G1086" s="150">
        <f>IF(AND(E1086&lt;&gt;"",F1086&lt;&gt;""),E1086*F1086,"")</f>
      </c>
      <c r="H1086" s="148" t="n"/>
      <c r="I1086" s="142" t="n"/>
      <c r="J1086" s="146">
        <f>IF(AND(B1086="",C1086="",D1086="",E1086="",F1086="",H1086=""),"",IF(NOT(ISNUMBER(B1086)),"✗ 日期不是真日期",IF(OR(B1086&lt;年初日,B1086&gt;年末日),"✗ 日期不在本年度",IF(C1086="","✗ 没选供应商",IF(COUNTIF(基础资料!$Q$5:$Q$54,C1086)=0,"✗ 供应商不在基础资料里",IF(D1086="","✗ 没选商品",IF(COUNTIF(基础资料!$E$5:$E$104,D1086)=0,"✗ 商品不在商品档案里",IF(AND(E1086="",H1086=""),"✗ 没填数量",IF(AND(N(E1086)&lt;&gt;0,F1086=""),"✗ 没填进价","√")))))))))</f>
      </c>
    </row>
    <row r="1087">
      <c r="A1087" s="109">
        <f>IF(AND(C1087="",D1087=""),"",ROW()-3)</f>
      </c>
      <c r="B1087" s="140" t="n"/>
      <c r="C1087" s="141" t="n"/>
      <c r="D1087" s="141" t="n"/>
      <c r="E1087" s="148" t="n"/>
      <c r="F1087" s="149" t="n"/>
      <c r="G1087" s="150">
        <f>IF(AND(E1087&lt;&gt;"",F1087&lt;&gt;""),E1087*F1087,"")</f>
      </c>
      <c r="H1087" s="148" t="n"/>
      <c r="I1087" s="142" t="n"/>
      <c r="J1087" s="146">
        <f>IF(AND(B1087="",C1087="",D1087="",E1087="",F1087="",H1087=""),"",IF(NOT(ISNUMBER(B1087)),"✗ 日期不是真日期",IF(OR(B1087&lt;年初日,B1087&gt;年末日),"✗ 日期不在本年度",IF(C1087="","✗ 没选供应商",IF(COUNTIF(基础资料!$Q$5:$Q$54,C1087)=0,"✗ 供应商不在基础资料里",IF(D1087="","✗ 没选商品",IF(COUNTIF(基础资料!$E$5:$E$104,D1087)=0,"✗ 商品不在商品档案里",IF(AND(E1087="",H1087=""),"✗ 没填数量",IF(AND(N(E1087)&lt;&gt;0,F1087=""),"✗ 没填进价","√")))))))))</f>
      </c>
    </row>
    <row r="1088">
      <c r="A1088" s="109">
        <f>IF(AND(C1088="",D1088=""),"",ROW()-3)</f>
      </c>
      <c r="B1088" s="140" t="n"/>
      <c r="C1088" s="141" t="n"/>
      <c r="D1088" s="141" t="n"/>
      <c r="E1088" s="148" t="n"/>
      <c r="F1088" s="149" t="n"/>
      <c r="G1088" s="150">
        <f>IF(AND(E1088&lt;&gt;"",F1088&lt;&gt;""),E1088*F1088,"")</f>
      </c>
      <c r="H1088" s="148" t="n"/>
      <c r="I1088" s="142" t="n"/>
      <c r="J1088" s="146">
        <f>IF(AND(B1088="",C1088="",D1088="",E1088="",F1088="",H1088=""),"",IF(NOT(ISNUMBER(B1088)),"✗ 日期不是真日期",IF(OR(B1088&lt;年初日,B1088&gt;年末日),"✗ 日期不在本年度",IF(C1088="","✗ 没选供应商",IF(COUNTIF(基础资料!$Q$5:$Q$54,C1088)=0,"✗ 供应商不在基础资料里",IF(D1088="","✗ 没选商品",IF(COUNTIF(基础资料!$E$5:$E$104,D1088)=0,"✗ 商品不在商品档案里",IF(AND(E1088="",H1088=""),"✗ 没填数量",IF(AND(N(E1088)&lt;&gt;0,F1088=""),"✗ 没填进价","√")))))))))</f>
      </c>
    </row>
    <row r="1089">
      <c r="A1089" s="109">
        <f>IF(AND(C1089="",D1089=""),"",ROW()-3)</f>
      </c>
      <c r="B1089" s="140" t="n"/>
      <c r="C1089" s="141" t="n"/>
      <c r="D1089" s="141" t="n"/>
      <c r="E1089" s="148" t="n"/>
      <c r="F1089" s="149" t="n"/>
      <c r="G1089" s="150">
        <f>IF(AND(E1089&lt;&gt;"",F1089&lt;&gt;""),E1089*F1089,"")</f>
      </c>
      <c r="H1089" s="148" t="n"/>
      <c r="I1089" s="142" t="n"/>
      <c r="J1089" s="146">
        <f>IF(AND(B1089="",C1089="",D1089="",E1089="",F1089="",H1089=""),"",IF(NOT(ISNUMBER(B1089)),"✗ 日期不是真日期",IF(OR(B1089&lt;年初日,B1089&gt;年末日),"✗ 日期不在本年度",IF(C1089="","✗ 没选供应商",IF(COUNTIF(基础资料!$Q$5:$Q$54,C1089)=0,"✗ 供应商不在基础资料里",IF(D1089="","✗ 没选商品",IF(COUNTIF(基础资料!$E$5:$E$104,D1089)=0,"✗ 商品不在商品档案里",IF(AND(E1089="",H1089=""),"✗ 没填数量",IF(AND(N(E1089)&lt;&gt;0,F1089=""),"✗ 没填进价","√")))))))))</f>
      </c>
    </row>
    <row r="1090">
      <c r="A1090" s="109">
        <f>IF(AND(C1090="",D1090=""),"",ROW()-3)</f>
      </c>
      <c r="B1090" s="140" t="n"/>
      <c r="C1090" s="141" t="n"/>
      <c r="D1090" s="141" t="n"/>
      <c r="E1090" s="148" t="n"/>
      <c r="F1090" s="149" t="n"/>
      <c r="G1090" s="150">
        <f>IF(AND(E1090&lt;&gt;"",F1090&lt;&gt;""),E1090*F1090,"")</f>
      </c>
      <c r="H1090" s="148" t="n"/>
      <c r="I1090" s="142" t="n"/>
      <c r="J1090" s="146">
        <f>IF(AND(B1090="",C1090="",D1090="",E1090="",F1090="",H1090=""),"",IF(NOT(ISNUMBER(B1090)),"✗ 日期不是真日期",IF(OR(B1090&lt;年初日,B1090&gt;年末日),"✗ 日期不在本年度",IF(C1090="","✗ 没选供应商",IF(COUNTIF(基础资料!$Q$5:$Q$54,C1090)=0,"✗ 供应商不在基础资料里",IF(D1090="","✗ 没选商品",IF(COUNTIF(基础资料!$E$5:$E$104,D1090)=0,"✗ 商品不在商品档案里",IF(AND(E1090="",H1090=""),"✗ 没填数量",IF(AND(N(E1090)&lt;&gt;0,F1090=""),"✗ 没填进价","√")))))))))</f>
      </c>
    </row>
    <row r="1091">
      <c r="A1091" s="109">
        <f>IF(AND(C1091="",D1091=""),"",ROW()-3)</f>
      </c>
      <c r="B1091" s="140" t="n"/>
      <c r="C1091" s="141" t="n"/>
      <c r="D1091" s="141" t="n"/>
      <c r="E1091" s="148" t="n"/>
      <c r="F1091" s="149" t="n"/>
      <c r="G1091" s="150">
        <f>IF(AND(E1091&lt;&gt;"",F1091&lt;&gt;""),E1091*F1091,"")</f>
      </c>
      <c r="H1091" s="148" t="n"/>
      <c r="I1091" s="142" t="n"/>
      <c r="J1091" s="146">
        <f>IF(AND(B1091="",C1091="",D1091="",E1091="",F1091="",H1091=""),"",IF(NOT(ISNUMBER(B1091)),"✗ 日期不是真日期",IF(OR(B1091&lt;年初日,B1091&gt;年末日),"✗ 日期不在本年度",IF(C1091="","✗ 没选供应商",IF(COUNTIF(基础资料!$Q$5:$Q$54,C1091)=0,"✗ 供应商不在基础资料里",IF(D1091="","✗ 没选商品",IF(COUNTIF(基础资料!$E$5:$E$104,D1091)=0,"✗ 商品不在商品档案里",IF(AND(E1091="",H1091=""),"✗ 没填数量",IF(AND(N(E1091)&lt;&gt;0,F1091=""),"✗ 没填进价","√")))))))))</f>
      </c>
    </row>
    <row r="1092">
      <c r="A1092" s="109">
        <f>IF(AND(C1092="",D1092=""),"",ROW()-3)</f>
      </c>
      <c r="B1092" s="140" t="n"/>
      <c r="C1092" s="141" t="n"/>
      <c r="D1092" s="141" t="n"/>
      <c r="E1092" s="148" t="n"/>
      <c r="F1092" s="149" t="n"/>
      <c r="G1092" s="150">
        <f>IF(AND(E1092&lt;&gt;"",F1092&lt;&gt;""),E1092*F1092,"")</f>
      </c>
      <c r="H1092" s="148" t="n"/>
      <c r="I1092" s="142" t="n"/>
      <c r="J1092" s="146">
        <f>IF(AND(B1092="",C1092="",D1092="",E1092="",F1092="",H1092=""),"",IF(NOT(ISNUMBER(B1092)),"✗ 日期不是真日期",IF(OR(B1092&lt;年初日,B1092&gt;年末日),"✗ 日期不在本年度",IF(C1092="","✗ 没选供应商",IF(COUNTIF(基础资料!$Q$5:$Q$54,C1092)=0,"✗ 供应商不在基础资料里",IF(D1092="","✗ 没选商品",IF(COUNTIF(基础资料!$E$5:$E$104,D1092)=0,"✗ 商品不在商品档案里",IF(AND(E1092="",H1092=""),"✗ 没填数量",IF(AND(N(E1092)&lt;&gt;0,F1092=""),"✗ 没填进价","√")))))))))</f>
      </c>
    </row>
    <row r="1093">
      <c r="A1093" s="109">
        <f>IF(AND(C1093="",D1093=""),"",ROW()-3)</f>
      </c>
      <c r="B1093" s="140" t="n"/>
      <c r="C1093" s="141" t="n"/>
      <c r="D1093" s="141" t="n"/>
      <c r="E1093" s="148" t="n"/>
      <c r="F1093" s="149" t="n"/>
      <c r="G1093" s="150">
        <f>IF(AND(E1093&lt;&gt;"",F1093&lt;&gt;""),E1093*F1093,"")</f>
      </c>
      <c r="H1093" s="148" t="n"/>
      <c r="I1093" s="142" t="n"/>
      <c r="J1093" s="146">
        <f>IF(AND(B1093="",C1093="",D1093="",E1093="",F1093="",H1093=""),"",IF(NOT(ISNUMBER(B1093)),"✗ 日期不是真日期",IF(OR(B1093&lt;年初日,B1093&gt;年末日),"✗ 日期不在本年度",IF(C1093="","✗ 没选供应商",IF(COUNTIF(基础资料!$Q$5:$Q$54,C1093)=0,"✗ 供应商不在基础资料里",IF(D1093="","✗ 没选商品",IF(COUNTIF(基础资料!$E$5:$E$104,D1093)=0,"✗ 商品不在商品档案里",IF(AND(E1093="",H1093=""),"✗ 没填数量",IF(AND(N(E1093)&lt;&gt;0,F1093=""),"✗ 没填进价","√")))))))))</f>
      </c>
    </row>
    <row r="1094">
      <c r="A1094" s="109">
        <f>IF(AND(C1094="",D1094=""),"",ROW()-3)</f>
      </c>
      <c r="B1094" s="140" t="n"/>
      <c r="C1094" s="141" t="n"/>
      <c r="D1094" s="141" t="n"/>
      <c r="E1094" s="148" t="n"/>
      <c r="F1094" s="149" t="n"/>
      <c r="G1094" s="150">
        <f>IF(AND(E1094&lt;&gt;"",F1094&lt;&gt;""),E1094*F1094,"")</f>
      </c>
      <c r="H1094" s="148" t="n"/>
      <c r="I1094" s="142" t="n"/>
      <c r="J1094" s="146">
        <f>IF(AND(B1094="",C1094="",D1094="",E1094="",F1094="",H1094=""),"",IF(NOT(ISNUMBER(B1094)),"✗ 日期不是真日期",IF(OR(B1094&lt;年初日,B1094&gt;年末日),"✗ 日期不在本年度",IF(C1094="","✗ 没选供应商",IF(COUNTIF(基础资料!$Q$5:$Q$54,C1094)=0,"✗ 供应商不在基础资料里",IF(D1094="","✗ 没选商品",IF(COUNTIF(基础资料!$E$5:$E$104,D1094)=0,"✗ 商品不在商品档案里",IF(AND(E1094="",H1094=""),"✗ 没填数量",IF(AND(N(E1094)&lt;&gt;0,F1094=""),"✗ 没填进价","√")))))))))</f>
      </c>
    </row>
    <row r="1095">
      <c r="A1095" s="109">
        <f>IF(AND(C1095="",D1095=""),"",ROW()-3)</f>
      </c>
      <c r="B1095" s="140" t="n"/>
      <c r="C1095" s="141" t="n"/>
      <c r="D1095" s="141" t="n"/>
      <c r="E1095" s="148" t="n"/>
      <c r="F1095" s="149" t="n"/>
      <c r="G1095" s="150">
        <f>IF(AND(E1095&lt;&gt;"",F1095&lt;&gt;""),E1095*F1095,"")</f>
      </c>
      <c r="H1095" s="148" t="n"/>
      <c r="I1095" s="142" t="n"/>
      <c r="J1095" s="146">
        <f>IF(AND(B1095="",C1095="",D1095="",E1095="",F1095="",H1095=""),"",IF(NOT(ISNUMBER(B1095)),"✗ 日期不是真日期",IF(OR(B1095&lt;年初日,B1095&gt;年末日),"✗ 日期不在本年度",IF(C1095="","✗ 没选供应商",IF(COUNTIF(基础资料!$Q$5:$Q$54,C1095)=0,"✗ 供应商不在基础资料里",IF(D1095="","✗ 没选商品",IF(COUNTIF(基础资料!$E$5:$E$104,D1095)=0,"✗ 商品不在商品档案里",IF(AND(E1095="",H1095=""),"✗ 没填数量",IF(AND(N(E1095)&lt;&gt;0,F1095=""),"✗ 没填进价","√")))))))))</f>
      </c>
    </row>
    <row r="1096">
      <c r="A1096" s="109">
        <f>IF(AND(C1096="",D1096=""),"",ROW()-3)</f>
      </c>
      <c r="B1096" s="140" t="n"/>
      <c r="C1096" s="141" t="n"/>
      <c r="D1096" s="141" t="n"/>
      <c r="E1096" s="148" t="n"/>
      <c r="F1096" s="149" t="n"/>
      <c r="G1096" s="150">
        <f>IF(AND(E1096&lt;&gt;"",F1096&lt;&gt;""),E1096*F1096,"")</f>
      </c>
      <c r="H1096" s="148" t="n"/>
      <c r="I1096" s="142" t="n"/>
      <c r="J1096" s="146">
        <f>IF(AND(B1096="",C1096="",D1096="",E1096="",F1096="",H1096=""),"",IF(NOT(ISNUMBER(B1096)),"✗ 日期不是真日期",IF(OR(B1096&lt;年初日,B1096&gt;年末日),"✗ 日期不在本年度",IF(C1096="","✗ 没选供应商",IF(COUNTIF(基础资料!$Q$5:$Q$54,C1096)=0,"✗ 供应商不在基础资料里",IF(D1096="","✗ 没选商品",IF(COUNTIF(基础资料!$E$5:$E$104,D1096)=0,"✗ 商品不在商品档案里",IF(AND(E1096="",H1096=""),"✗ 没填数量",IF(AND(N(E1096)&lt;&gt;0,F1096=""),"✗ 没填进价","√")))))))))</f>
      </c>
    </row>
    <row r="1097">
      <c r="A1097" s="109">
        <f>IF(AND(C1097="",D1097=""),"",ROW()-3)</f>
      </c>
      <c r="B1097" s="140" t="n"/>
      <c r="C1097" s="141" t="n"/>
      <c r="D1097" s="141" t="n"/>
      <c r="E1097" s="148" t="n"/>
      <c r="F1097" s="149" t="n"/>
      <c r="G1097" s="150">
        <f>IF(AND(E1097&lt;&gt;"",F1097&lt;&gt;""),E1097*F1097,"")</f>
      </c>
      <c r="H1097" s="148" t="n"/>
      <c r="I1097" s="142" t="n"/>
      <c r="J1097" s="146">
        <f>IF(AND(B1097="",C1097="",D1097="",E1097="",F1097="",H1097=""),"",IF(NOT(ISNUMBER(B1097)),"✗ 日期不是真日期",IF(OR(B1097&lt;年初日,B1097&gt;年末日),"✗ 日期不在本年度",IF(C1097="","✗ 没选供应商",IF(COUNTIF(基础资料!$Q$5:$Q$54,C1097)=0,"✗ 供应商不在基础资料里",IF(D1097="","✗ 没选商品",IF(COUNTIF(基础资料!$E$5:$E$104,D1097)=0,"✗ 商品不在商品档案里",IF(AND(E1097="",H1097=""),"✗ 没填数量",IF(AND(N(E1097)&lt;&gt;0,F1097=""),"✗ 没填进价","√")))))))))</f>
      </c>
    </row>
    <row r="1098">
      <c r="A1098" s="109">
        <f>IF(AND(C1098="",D1098=""),"",ROW()-3)</f>
      </c>
      <c r="B1098" s="140" t="n"/>
      <c r="C1098" s="141" t="n"/>
      <c r="D1098" s="141" t="n"/>
      <c r="E1098" s="148" t="n"/>
      <c r="F1098" s="149" t="n"/>
      <c r="G1098" s="150">
        <f>IF(AND(E1098&lt;&gt;"",F1098&lt;&gt;""),E1098*F1098,"")</f>
      </c>
      <c r="H1098" s="148" t="n"/>
      <c r="I1098" s="142" t="n"/>
      <c r="J1098" s="146">
        <f>IF(AND(B1098="",C1098="",D1098="",E1098="",F1098="",H1098=""),"",IF(NOT(ISNUMBER(B1098)),"✗ 日期不是真日期",IF(OR(B1098&lt;年初日,B1098&gt;年末日),"✗ 日期不在本年度",IF(C1098="","✗ 没选供应商",IF(COUNTIF(基础资料!$Q$5:$Q$54,C1098)=0,"✗ 供应商不在基础资料里",IF(D1098="","✗ 没选商品",IF(COUNTIF(基础资料!$E$5:$E$104,D1098)=0,"✗ 商品不在商品档案里",IF(AND(E1098="",H1098=""),"✗ 没填数量",IF(AND(N(E1098)&lt;&gt;0,F1098=""),"✗ 没填进价","√")))))))))</f>
      </c>
    </row>
    <row r="1099">
      <c r="A1099" s="109">
        <f>IF(AND(C1099="",D1099=""),"",ROW()-3)</f>
      </c>
      <c r="B1099" s="140" t="n"/>
      <c r="C1099" s="141" t="n"/>
      <c r="D1099" s="141" t="n"/>
      <c r="E1099" s="148" t="n"/>
      <c r="F1099" s="149" t="n"/>
      <c r="G1099" s="150">
        <f>IF(AND(E1099&lt;&gt;"",F1099&lt;&gt;""),E1099*F1099,"")</f>
      </c>
      <c r="H1099" s="148" t="n"/>
      <c r="I1099" s="142" t="n"/>
      <c r="J1099" s="146">
        <f>IF(AND(B1099="",C1099="",D1099="",E1099="",F1099="",H1099=""),"",IF(NOT(ISNUMBER(B1099)),"✗ 日期不是真日期",IF(OR(B1099&lt;年初日,B1099&gt;年末日),"✗ 日期不在本年度",IF(C1099="","✗ 没选供应商",IF(COUNTIF(基础资料!$Q$5:$Q$54,C1099)=0,"✗ 供应商不在基础资料里",IF(D1099="","✗ 没选商品",IF(COUNTIF(基础资料!$E$5:$E$104,D1099)=0,"✗ 商品不在商品档案里",IF(AND(E1099="",H1099=""),"✗ 没填数量",IF(AND(N(E1099)&lt;&gt;0,F1099=""),"✗ 没填进价","√")))))))))</f>
      </c>
    </row>
    <row r="1100">
      <c r="A1100" s="109">
        <f>IF(AND(C1100="",D1100=""),"",ROW()-3)</f>
      </c>
      <c r="B1100" s="140" t="n"/>
      <c r="C1100" s="141" t="n"/>
      <c r="D1100" s="141" t="n"/>
      <c r="E1100" s="148" t="n"/>
      <c r="F1100" s="149" t="n"/>
      <c r="G1100" s="150">
        <f>IF(AND(E1100&lt;&gt;"",F1100&lt;&gt;""),E1100*F1100,"")</f>
      </c>
      <c r="H1100" s="148" t="n"/>
      <c r="I1100" s="142" t="n"/>
      <c r="J1100" s="146">
        <f>IF(AND(B1100="",C1100="",D1100="",E1100="",F1100="",H1100=""),"",IF(NOT(ISNUMBER(B1100)),"✗ 日期不是真日期",IF(OR(B1100&lt;年初日,B1100&gt;年末日),"✗ 日期不在本年度",IF(C1100="","✗ 没选供应商",IF(COUNTIF(基础资料!$Q$5:$Q$54,C1100)=0,"✗ 供应商不在基础资料里",IF(D1100="","✗ 没选商品",IF(COUNTIF(基础资料!$E$5:$E$104,D1100)=0,"✗ 商品不在商品档案里",IF(AND(E1100="",H1100=""),"✗ 没填数量",IF(AND(N(E1100)&lt;&gt;0,F1100=""),"✗ 没填进价","√")))))))))</f>
      </c>
    </row>
    <row r="1101">
      <c r="A1101" s="109">
        <f>IF(AND(C1101="",D1101=""),"",ROW()-3)</f>
      </c>
      <c r="B1101" s="140" t="n"/>
      <c r="C1101" s="141" t="n"/>
      <c r="D1101" s="141" t="n"/>
      <c r="E1101" s="148" t="n"/>
      <c r="F1101" s="149" t="n"/>
      <c r="G1101" s="150">
        <f>IF(AND(E1101&lt;&gt;"",F1101&lt;&gt;""),E1101*F1101,"")</f>
      </c>
      <c r="H1101" s="148" t="n"/>
      <c r="I1101" s="142" t="n"/>
      <c r="J1101" s="146">
        <f>IF(AND(B1101="",C1101="",D1101="",E1101="",F1101="",H1101=""),"",IF(NOT(ISNUMBER(B1101)),"✗ 日期不是真日期",IF(OR(B1101&lt;年初日,B1101&gt;年末日),"✗ 日期不在本年度",IF(C1101="","✗ 没选供应商",IF(COUNTIF(基础资料!$Q$5:$Q$54,C1101)=0,"✗ 供应商不在基础资料里",IF(D1101="","✗ 没选商品",IF(COUNTIF(基础资料!$E$5:$E$104,D1101)=0,"✗ 商品不在商品档案里",IF(AND(E1101="",H1101=""),"✗ 没填数量",IF(AND(N(E1101)&lt;&gt;0,F1101=""),"✗ 没填进价","√")))))))))</f>
      </c>
    </row>
    <row r="1102">
      <c r="A1102" s="109">
        <f>IF(AND(C1102="",D1102=""),"",ROW()-3)</f>
      </c>
      <c r="B1102" s="140" t="n"/>
      <c r="C1102" s="141" t="n"/>
      <c r="D1102" s="141" t="n"/>
      <c r="E1102" s="148" t="n"/>
      <c r="F1102" s="149" t="n"/>
      <c r="G1102" s="150">
        <f>IF(AND(E1102&lt;&gt;"",F1102&lt;&gt;""),E1102*F1102,"")</f>
      </c>
      <c r="H1102" s="148" t="n"/>
      <c r="I1102" s="142" t="n"/>
      <c r="J1102" s="146">
        <f>IF(AND(B1102="",C1102="",D1102="",E1102="",F1102="",H1102=""),"",IF(NOT(ISNUMBER(B1102)),"✗ 日期不是真日期",IF(OR(B1102&lt;年初日,B1102&gt;年末日),"✗ 日期不在本年度",IF(C1102="","✗ 没选供应商",IF(COUNTIF(基础资料!$Q$5:$Q$54,C1102)=0,"✗ 供应商不在基础资料里",IF(D1102="","✗ 没选商品",IF(COUNTIF(基础资料!$E$5:$E$104,D1102)=0,"✗ 商品不在商品档案里",IF(AND(E1102="",H1102=""),"✗ 没填数量",IF(AND(N(E1102)&lt;&gt;0,F1102=""),"✗ 没填进价","√")))))))))</f>
      </c>
    </row>
    <row r="1103">
      <c r="A1103" s="109">
        <f>IF(AND(C1103="",D1103=""),"",ROW()-3)</f>
      </c>
      <c r="B1103" s="140" t="n"/>
      <c r="C1103" s="141" t="n"/>
      <c r="D1103" s="141" t="n"/>
      <c r="E1103" s="148" t="n"/>
      <c r="F1103" s="149" t="n"/>
      <c r="G1103" s="150">
        <f>IF(AND(E1103&lt;&gt;"",F1103&lt;&gt;""),E1103*F1103,"")</f>
      </c>
      <c r="H1103" s="148" t="n"/>
      <c r="I1103" s="142" t="n"/>
      <c r="J1103" s="146">
        <f>IF(AND(B1103="",C1103="",D1103="",E1103="",F1103="",H1103=""),"",IF(NOT(ISNUMBER(B1103)),"✗ 日期不是真日期",IF(OR(B1103&lt;年初日,B1103&gt;年末日),"✗ 日期不在本年度",IF(C1103="","✗ 没选供应商",IF(COUNTIF(基础资料!$Q$5:$Q$54,C1103)=0,"✗ 供应商不在基础资料里",IF(D1103="","✗ 没选商品",IF(COUNTIF(基础资料!$E$5:$E$104,D1103)=0,"✗ 商品不在商品档案里",IF(AND(E1103="",H1103=""),"✗ 没填数量",IF(AND(N(E1103)&lt;&gt;0,F1103=""),"✗ 没填进价","√")))))))))</f>
      </c>
    </row>
    <row r="1104">
      <c r="A1104" s="109">
        <f>IF(AND(C1104="",D1104=""),"",ROW()-3)</f>
      </c>
      <c r="B1104" s="140" t="n"/>
      <c r="C1104" s="141" t="n"/>
      <c r="D1104" s="141" t="n"/>
      <c r="E1104" s="148" t="n"/>
      <c r="F1104" s="149" t="n"/>
      <c r="G1104" s="150">
        <f>IF(AND(E1104&lt;&gt;"",F1104&lt;&gt;""),E1104*F1104,"")</f>
      </c>
      <c r="H1104" s="148" t="n"/>
      <c r="I1104" s="142" t="n"/>
      <c r="J1104" s="146">
        <f>IF(AND(B1104="",C1104="",D1104="",E1104="",F1104="",H1104=""),"",IF(NOT(ISNUMBER(B1104)),"✗ 日期不是真日期",IF(OR(B1104&lt;年初日,B1104&gt;年末日),"✗ 日期不在本年度",IF(C1104="","✗ 没选供应商",IF(COUNTIF(基础资料!$Q$5:$Q$54,C1104)=0,"✗ 供应商不在基础资料里",IF(D1104="","✗ 没选商品",IF(COUNTIF(基础资料!$E$5:$E$104,D1104)=0,"✗ 商品不在商品档案里",IF(AND(E1104="",H1104=""),"✗ 没填数量",IF(AND(N(E1104)&lt;&gt;0,F1104=""),"✗ 没填进价","√")))))))))</f>
      </c>
    </row>
    <row r="1105">
      <c r="A1105" s="109">
        <f>IF(AND(C1105="",D1105=""),"",ROW()-3)</f>
      </c>
      <c r="B1105" s="140" t="n"/>
      <c r="C1105" s="141" t="n"/>
      <c r="D1105" s="141" t="n"/>
      <c r="E1105" s="148" t="n"/>
      <c r="F1105" s="149" t="n"/>
      <c r="G1105" s="150">
        <f>IF(AND(E1105&lt;&gt;"",F1105&lt;&gt;""),E1105*F1105,"")</f>
      </c>
      <c r="H1105" s="148" t="n"/>
      <c r="I1105" s="142" t="n"/>
      <c r="J1105" s="146">
        <f>IF(AND(B1105="",C1105="",D1105="",E1105="",F1105="",H1105=""),"",IF(NOT(ISNUMBER(B1105)),"✗ 日期不是真日期",IF(OR(B1105&lt;年初日,B1105&gt;年末日),"✗ 日期不在本年度",IF(C1105="","✗ 没选供应商",IF(COUNTIF(基础资料!$Q$5:$Q$54,C1105)=0,"✗ 供应商不在基础资料里",IF(D1105="","✗ 没选商品",IF(COUNTIF(基础资料!$E$5:$E$104,D1105)=0,"✗ 商品不在商品档案里",IF(AND(E1105="",H1105=""),"✗ 没填数量",IF(AND(N(E1105)&lt;&gt;0,F1105=""),"✗ 没填进价","√")))))))))</f>
      </c>
    </row>
    <row r="1106">
      <c r="A1106" s="109">
        <f>IF(AND(C1106="",D1106=""),"",ROW()-3)</f>
      </c>
      <c r="B1106" s="140" t="n"/>
      <c r="C1106" s="141" t="n"/>
      <c r="D1106" s="141" t="n"/>
      <c r="E1106" s="148" t="n"/>
      <c r="F1106" s="149" t="n"/>
      <c r="G1106" s="150">
        <f>IF(AND(E1106&lt;&gt;"",F1106&lt;&gt;""),E1106*F1106,"")</f>
      </c>
      <c r="H1106" s="148" t="n"/>
      <c r="I1106" s="142" t="n"/>
      <c r="J1106" s="146">
        <f>IF(AND(B1106="",C1106="",D1106="",E1106="",F1106="",H1106=""),"",IF(NOT(ISNUMBER(B1106)),"✗ 日期不是真日期",IF(OR(B1106&lt;年初日,B1106&gt;年末日),"✗ 日期不在本年度",IF(C1106="","✗ 没选供应商",IF(COUNTIF(基础资料!$Q$5:$Q$54,C1106)=0,"✗ 供应商不在基础资料里",IF(D1106="","✗ 没选商品",IF(COUNTIF(基础资料!$E$5:$E$104,D1106)=0,"✗ 商品不在商品档案里",IF(AND(E1106="",H1106=""),"✗ 没填数量",IF(AND(N(E1106)&lt;&gt;0,F1106=""),"✗ 没填进价","√")))))))))</f>
      </c>
    </row>
    <row r="1107">
      <c r="A1107" s="109">
        <f>IF(AND(C1107="",D1107=""),"",ROW()-3)</f>
      </c>
      <c r="B1107" s="140" t="n"/>
      <c r="C1107" s="141" t="n"/>
      <c r="D1107" s="141" t="n"/>
      <c r="E1107" s="148" t="n"/>
      <c r="F1107" s="149" t="n"/>
      <c r="G1107" s="150">
        <f>IF(AND(E1107&lt;&gt;"",F1107&lt;&gt;""),E1107*F1107,"")</f>
      </c>
      <c r="H1107" s="148" t="n"/>
      <c r="I1107" s="142" t="n"/>
      <c r="J1107" s="146">
        <f>IF(AND(B1107="",C1107="",D1107="",E1107="",F1107="",H1107=""),"",IF(NOT(ISNUMBER(B1107)),"✗ 日期不是真日期",IF(OR(B1107&lt;年初日,B1107&gt;年末日),"✗ 日期不在本年度",IF(C1107="","✗ 没选供应商",IF(COUNTIF(基础资料!$Q$5:$Q$54,C1107)=0,"✗ 供应商不在基础资料里",IF(D1107="","✗ 没选商品",IF(COUNTIF(基础资料!$E$5:$E$104,D1107)=0,"✗ 商品不在商品档案里",IF(AND(E1107="",H1107=""),"✗ 没填数量",IF(AND(N(E1107)&lt;&gt;0,F1107=""),"✗ 没填进价","√")))))))))</f>
      </c>
    </row>
    <row r="1108">
      <c r="A1108" s="109">
        <f>IF(AND(C1108="",D1108=""),"",ROW()-3)</f>
      </c>
      <c r="B1108" s="140" t="n"/>
      <c r="C1108" s="141" t="n"/>
      <c r="D1108" s="141" t="n"/>
      <c r="E1108" s="148" t="n"/>
      <c r="F1108" s="149" t="n"/>
      <c r="G1108" s="150">
        <f>IF(AND(E1108&lt;&gt;"",F1108&lt;&gt;""),E1108*F1108,"")</f>
      </c>
      <c r="H1108" s="148" t="n"/>
      <c r="I1108" s="142" t="n"/>
      <c r="J1108" s="146">
        <f>IF(AND(B1108="",C1108="",D1108="",E1108="",F1108="",H1108=""),"",IF(NOT(ISNUMBER(B1108)),"✗ 日期不是真日期",IF(OR(B1108&lt;年初日,B1108&gt;年末日),"✗ 日期不在本年度",IF(C1108="","✗ 没选供应商",IF(COUNTIF(基础资料!$Q$5:$Q$54,C1108)=0,"✗ 供应商不在基础资料里",IF(D1108="","✗ 没选商品",IF(COUNTIF(基础资料!$E$5:$E$104,D1108)=0,"✗ 商品不在商品档案里",IF(AND(E1108="",H1108=""),"✗ 没填数量",IF(AND(N(E1108)&lt;&gt;0,F1108=""),"✗ 没填进价","√")))))))))</f>
      </c>
    </row>
    <row r="1109">
      <c r="A1109" s="109">
        <f>IF(AND(C1109="",D1109=""),"",ROW()-3)</f>
      </c>
      <c r="B1109" s="140" t="n"/>
      <c r="C1109" s="141" t="n"/>
      <c r="D1109" s="141" t="n"/>
      <c r="E1109" s="148" t="n"/>
      <c r="F1109" s="149" t="n"/>
      <c r="G1109" s="150">
        <f>IF(AND(E1109&lt;&gt;"",F1109&lt;&gt;""),E1109*F1109,"")</f>
      </c>
      <c r="H1109" s="148" t="n"/>
      <c r="I1109" s="142" t="n"/>
      <c r="J1109" s="146">
        <f>IF(AND(B1109="",C1109="",D1109="",E1109="",F1109="",H1109=""),"",IF(NOT(ISNUMBER(B1109)),"✗ 日期不是真日期",IF(OR(B1109&lt;年初日,B1109&gt;年末日),"✗ 日期不在本年度",IF(C1109="","✗ 没选供应商",IF(COUNTIF(基础资料!$Q$5:$Q$54,C1109)=0,"✗ 供应商不在基础资料里",IF(D1109="","✗ 没选商品",IF(COUNTIF(基础资料!$E$5:$E$104,D1109)=0,"✗ 商品不在商品档案里",IF(AND(E1109="",H1109=""),"✗ 没填数量",IF(AND(N(E1109)&lt;&gt;0,F1109=""),"✗ 没填进价","√")))))))))</f>
      </c>
    </row>
    <row r="1110">
      <c r="A1110" s="109">
        <f>IF(AND(C1110="",D1110=""),"",ROW()-3)</f>
      </c>
      <c r="B1110" s="140" t="n"/>
      <c r="C1110" s="141" t="n"/>
      <c r="D1110" s="141" t="n"/>
      <c r="E1110" s="148" t="n"/>
      <c r="F1110" s="149" t="n"/>
      <c r="G1110" s="150">
        <f>IF(AND(E1110&lt;&gt;"",F1110&lt;&gt;""),E1110*F1110,"")</f>
      </c>
      <c r="H1110" s="148" t="n"/>
      <c r="I1110" s="142" t="n"/>
      <c r="J1110" s="146">
        <f>IF(AND(B1110="",C1110="",D1110="",E1110="",F1110="",H1110=""),"",IF(NOT(ISNUMBER(B1110)),"✗ 日期不是真日期",IF(OR(B1110&lt;年初日,B1110&gt;年末日),"✗ 日期不在本年度",IF(C1110="","✗ 没选供应商",IF(COUNTIF(基础资料!$Q$5:$Q$54,C1110)=0,"✗ 供应商不在基础资料里",IF(D1110="","✗ 没选商品",IF(COUNTIF(基础资料!$E$5:$E$104,D1110)=0,"✗ 商品不在商品档案里",IF(AND(E1110="",H1110=""),"✗ 没填数量",IF(AND(N(E1110)&lt;&gt;0,F1110=""),"✗ 没填进价","√")))))))))</f>
      </c>
    </row>
    <row r="1111">
      <c r="A1111" s="109">
        <f>IF(AND(C1111="",D1111=""),"",ROW()-3)</f>
      </c>
      <c r="B1111" s="140" t="n"/>
      <c r="C1111" s="141" t="n"/>
      <c r="D1111" s="141" t="n"/>
      <c r="E1111" s="148" t="n"/>
      <c r="F1111" s="149" t="n"/>
      <c r="G1111" s="150">
        <f>IF(AND(E1111&lt;&gt;"",F1111&lt;&gt;""),E1111*F1111,"")</f>
      </c>
      <c r="H1111" s="148" t="n"/>
      <c r="I1111" s="142" t="n"/>
      <c r="J1111" s="146">
        <f>IF(AND(B1111="",C1111="",D1111="",E1111="",F1111="",H1111=""),"",IF(NOT(ISNUMBER(B1111)),"✗ 日期不是真日期",IF(OR(B1111&lt;年初日,B1111&gt;年末日),"✗ 日期不在本年度",IF(C1111="","✗ 没选供应商",IF(COUNTIF(基础资料!$Q$5:$Q$54,C1111)=0,"✗ 供应商不在基础资料里",IF(D1111="","✗ 没选商品",IF(COUNTIF(基础资料!$E$5:$E$104,D1111)=0,"✗ 商品不在商品档案里",IF(AND(E1111="",H1111=""),"✗ 没填数量",IF(AND(N(E1111)&lt;&gt;0,F1111=""),"✗ 没填进价","√")))))))))</f>
      </c>
    </row>
    <row r="1112">
      <c r="A1112" s="109">
        <f>IF(AND(C1112="",D1112=""),"",ROW()-3)</f>
      </c>
      <c r="B1112" s="140" t="n"/>
      <c r="C1112" s="141" t="n"/>
      <c r="D1112" s="141" t="n"/>
      <c r="E1112" s="148" t="n"/>
      <c r="F1112" s="149" t="n"/>
      <c r="G1112" s="150">
        <f>IF(AND(E1112&lt;&gt;"",F1112&lt;&gt;""),E1112*F1112,"")</f>
      </c>
      <c r="H1112" s="148" t="n"/>
      <c r="I1112" s="142" t="n"/>
      <c r="J1112" s="146">
        <f>IF(AND(B1112="",C1112="",D1112="",E1112="",F1112="",H1112=""),"",IF(NOT(ISNUMBER(B1112)),"✗ 日期不是真日期",IF(OR(B1112&lt;年初日,B1112&gt;年末日),"✗ 日期不在本年度",IF(C1112="","✗ 没选供应商",IF(COUNTIF(基础资料!$Q$5:$Q$54,C1112)=0,"✗ 供应商不在基础资料里",IF(D1112="","✗ 没选商品",IF(COUNTIF(基础资料!$E$5:$E$104,D1112)=0,"✗ 商品不在商品档案里",IF(AND(E1112="",H1112=""),"✗ 没填数量",IF(AND(N(E1112)&lt;&gt;0,F1112=""),"✗ 没填进价","√")))))))))</f>
      </c>
    </row>
    <row r="1113">
      <c r="A1113" s="109">
        <f>IF(AND(C1113="",D1113=""),"",ROW()-3)</f>
      </c>
      <c r="B1113" s="140" t="n"/>
      <c r="C1113" s="141" t="n"/>
      <c r="D1113" s="141" t="n"/>
      <c r="E1113" s="148" t="n"/>
      <c r="F1113" s="149" t="n"/>
      <c r="G1113" s="150">
        <f>IF(AND(E1113&lt;&gt;"",F1113&lt;&gt;""),E1113*F1113,"")</f>
      </c>
      <c r="H1113" s="148" t="n"/>
      <c r="I1113" s="142" t="n"/>
      <c r="J1113" s="146">
        <f>IF(AND(B1113="",C1113="",D1113="",E1113="",F1113="",H1113=""),"",IF(NOT(ISNUMBER(B1113)),"✗ 日期不是真日期",IF(OR(B1113&lt;年初日,B1113&gt;年末日),"✗ 日期不在本年度",IF(C1113="","✗ 没选供应商",IF(COUNTIF(基础资料!$Q$5:$Q$54,C1113)=0,"✗ 供应商不在基础资料里",IF(D1113="","✗ 没选商品",IF(COUNTIF(基础资料!$E$5:$E$104,D1113)=0,"✗ 商品不在商品档案里",IF(AND(E1113="",H1113=""),"✗ 没填数量",IF(AND(N(E1113)&lt;&gt;0,F1113=""),"✗ 没填进价","√")))))))))</f>
      </c>
    </row>
    <row r="1114">
      <c r="A1114" s="109">
        <f>IF(AND(C1114="",D1114=""),"",ROW()-3)</f>
      </c>
      <c r="B1114" s="140" t="n"/>
      <c r="C1114" s="141" t="n"/>
      <c r="D1114" s="141" t="n"/>
      <c r="E1114" s="148" t="n"/>
      <c r="F1114" s="149" t="n"/>
      <c r="G1114" s="150">
        <f>IF(AND(E1114&lt;&gt;"",F1114&lt;&gt;""),E1114*F1114,"")</f>
      </c>
      <c r="H1114" s="148" t="n"/>
      <c r="I1114" s="142" t="n"/>
      <c r="J1114" s="146">
        <f>IF(AND(B1114="",C1114="",D1114="",E1114="",F1114="",H1114=""),"",IF(NOT(ISNUMBER(B1114)),"✗ 日期不是真日期",IF(OR(B1114&lt;年初日,B1114&gt;年末日),"✗ 日期不在本年度",IF(C1114="","✗ 没选供应商",IF(COUNTIF(基础资料!$Q$5:$Q$54,C1114)=0,"✗ 供应商不在基础资料里",IF(D1114="","✗ 没选商品",IF(COUNTIF(基础资料!$E$5:$E$104,D1114)=0,"✗ 商品不在商品档案里",IF(AND(E1114="",H1114=""),"✗ 没填数量",IF(AND(N(E1114)&lt;&gt;0,F1114=""),"✗ 没填进价","√")))))))))</f>
      </c>
    </row>
    <row r="1115">
      <c r="A1115" s="109">
        <f>IF(AND(C1115="",D1115=""),"",ROW()-3)</f>
      </c>
      <c r="B1115" s="140" t="n"/>
      <c r="C1115" s="141" t="n"/>
      <c r="D1115" s="141" t="n"/>
      <c r="E1115" s="148" t="n"/>
      <c r="F1115" s="149" t="n"/>
      <c r="G1115" s="150">
        <f>IF(AND(E1115&lt;&gt;"",F1115&lt;&gt;""),E1115*F1115,"")</f>
      </c>
      <c r="H1115" s="148" t="n"/>
      <c r="I1115" s="142" t="n"/>
      <c r="J1115" s="146">
        <f>IF(AND(B1115="",C1115="",D1115="",E1115="",F1115="",H1115=""),"",IF(NOT(ISNUMBER(B1115)),"✗ 日期不是真日期",IF(OR(B1115&lt;年初日,B1115&gt;年末日),"✗ 日期不在本年度",IF(C1115="","✗ 没选供应商",IF(COUNTIF(基础资料!$Q$5:$Q$54,C1115)=0,"✗ 供应商不在基础资料里",IF(D1115="","✗ 没选商品",IF(COUNTIF(基础资料!$E$5:$E$104,D1115)=0,"✗ 商品不在商品档案里",IF(AND(E1115="",H1115=""),"✗ 没填数量",IF(AND(N(E1115)&lt;&gt;0,F1115=""),"✗ 没填进价","√")))))))))</f>
      </c>
    </row>
    <row r="1116">
      <c r="A1116" s="109">
        <f>IF(AND(C1116="",D1116=""),"",ROW()-3)</f>
      </c>
      <c r="B1116" s="140" t="n"/>
      <c r="C1116" s="141" t="n"/>
      <c r="D1116" s="141" t="n"/>
      <c r="E1116" s="148" t="n"/>
      <c r="F1116" s="149" t="n"/>
      <c r="G1116" s="150">
        <f>IF(AND(E1116&lt;&gt;"",F1116&lt;&gt;""),E1116*F1116,"")</f>
      </c>
      <c r="H1116" s="148" t="n"/>
      <c r="I1116" s="142" t="n"/>
      <c r="J1116" s="146">
        <f>IF(AND(B1116="",C1116="",D1116="",E1116="",F1116="",H1116=""),"",IF(NOT(ISNUMBER(B1116)),"✗ 日期不是真日期",IF(OR(B1116&lt;年初日,B1116&gt;年末日),"✗ 日期不在本年度",IF(C1116="","✗ 没选供应商",IF(COUNTIF(基础资料!$Q$5:$Q$54,C1116)=0,"✗ 供应商不在基础资料里",IF(D1116="","✗ 没选商品",IF(COUNTIF(基础资料!$E$5:$E$104,D1116)=0,"✗ 商品不在商品档案里",IF(AND(E1116="",H1116=""),"✗ 没填数量",IF(AND(N(E1116)&lt;&gt;0,F1116=""),"✗ 没填进价","√")))))))))</f>
      </c>
    </row>
    <row r="1117">
      <c r="A1117" s="109">
        <f>IF(AND(C1117="",D1117=""),"",ROW()-3)</f>
      </c>
      <c r="B1117" s="140" t="n"/>
      <c r="C1117" s="141" t="n"/>
      <c r="D1117" s="141" t="n"/>
      <c r="E1117" s="148" t="n"/>
      <c r="F1117" s="149" t="n"/>
      <c r="G1117" s="150">
        <f>IF(AND(E1117&lt;&gt;"",F1117&lt;&gt;""),E1117*F1117,"")</f>
      </c>
      <c r="H1117" s="148" t="n"/>
      <c r="I1117" s="142" t="n"/>
      <c r="J1117" s="146">
        <f>IF(AND(B1117="",C1117="",D1117="",E1117="",F1117="",H1117=""),"",IF(NOT(ISNUMBER(B1117)),"✗ 日期不是真日期",IF(OR(B1117&lt;年初日,B1117&gt;年末日),"✗ 日期不在本年度",IF(C1117="","✗ 没选供应商",IF(COUNTIF(基础资料!$Q$5:$Q$54,C1117)=0,"✗ 供应商不在基础资料里",IF(D1117="","✗ 没选商品",IF(COUNTIF(基础资料!$E$5:$E$104,D1117)=0,"✗ 商品不在商品档案里",IF(AND(E1117="",H1117=""),"✗ 没填数量",IF(AND(N(E1117)&lt;&gt;0,F1117=""),"✗ 没填进价","√")))))))))</f>
      </c>
    </row>
    <row r="1118">
      <c r="A1118" s="109">
        <f>IF(AND(C1118="",D1118=""),"",ROW()-3)</f>
      </c>
      <c r="B1118" s="140" t="n"/>
      <c r="C1118" s="141" t="n"/>
      <c r="D1118" s="141" t="n"/>
      <c r="E1118" s="148" t="n"/>
      <c r="F1118" s="149" t="n"/>
      <c r="G1118" s="150">
        <f>IF(AND(E1118&lt;&gt;"",F1118&lt;&gt;""),E1118*F1118,"")</f>
      </c>
      <c r="H1118" s="148" t="n"/>
      <c r="I1118" s="142" t="n"/>
      <c r="J1118" s="146">
        <f>IF(AND(B1118="",C1118="",D1118="",E1118="",F1118="",H1118=""),"",IF(NOT(ISNUMBER(B1118)),"✗ 日期不是真日期",IF(OR(B1118&lt;年初日,B1118&gt;年末日),"✗ 日期不在本年度",IF(C1118="","✗ 没选供应商",IF(COUNTIF(基础资料!$Q$5:$Q$54,C1118)=0,"✗ 供应商不在基础资料里",IF(D1118="","✗ 没选商品",IF(COUNTIF(基础资料!$E$5:$E$104,D1118)=0,"✗ 商品不在商品档案里",IF(AND(E1118="",H1118=""),"✗ 没填数量",IF(AND(N(E1118)&lt;&gt;0,F1118=""),"✗ 没填进价","√")))))))))</f>
      </c>
    </row>
    <row r="1119">
      <c r="A1119" s="109">
        <f>IF(AND(C1119="",D1119=""),"",ROW()-3)</f>
      </c>
      <c r="B1119" s="140" t="n"/>
      <c r="C1119" s="141" t="n"/>
      <c r="D1119" s="141" t="n"/>
      <c r="E1119" s="148" t="n"/>
      <c r="F1119" s="149" t="n"/>
      <c r="G1119" s="150">
        <f>IF(AND(E1119&lt;&gt;"",F1119&lt;&gt;""),E1119*F1119,"")</f>
      </c>
      <c r="H1119" s="148" t="n"/>
      <c r="I1119" s="142" t="n"/>
      <c r="J1119" s="146">
        <f>IF(AND(B1119="",C1119="",D1119="",E1119="",F1119="",H1119=""),"",IF(NOT(ISNUMBER(B1119)),"✗ 日期不是真日期",IF(OR(B1119&lt;年初日,B1119&gt;年末日),"✗ 日期不在本年度",IF(C1119="","✗ 没选供应商",IF(COUNTIF(基础资料!$Q$5:$Q$54,C1119)=0,"✗ 供应商不在基础资料里",IF(D1119="","✗ 没选商品",IF(COUNTIF(基础资料!$E$5:$E$104,D1119)=0,"✗ 商品不在商品档案里",IF(AND(E1119="",H1119=""),"✗ 没填数量",IF(AND(N(E1119)&lt;&gt;0,F1119=""),"✗ 没填进价","√")))))))))</f>
      </c>
    </row>
    <row r="1120">
      <c r="A1120" s="109">
        <f>IF(AND(C1120="",D1120=""),"",ROW()-3)</f>
      </c>
      <c r="B1120" s="140" t="n"/>
      <c r="C1120" s="141" t="n"/>
      <c r="D1120" s="141" t="n"/>
      <c r="E1120" s="148" t="n"/>
      <c r="F1120" s="149" t="n"/>
      <c r="G1120" s="150">
        <f>IF(AND(E1120&lt;&gt;"",F1120&lt;&gt;""),E1120*F1120,"")</f>
      </c>
      <c r="H1120" s="148" t="n"/>
      <c r="I1120" s="142" t="n"/>
      <c r="J1120" s="146">
        <f>IF(AND(B1120="",C1120="",D1120="",E1120="",F1120="",H1120=""),"",IF(NOT(ISNUMBER(B1120)),"✗ 日期不是真日期",IF(OR(B1120&lt;年初日,B1120&gt;年末日),"✗ 日期不在本年度",IF(C1120="","✗ 没选供应商",IF(COUNTIF(基础资料!$Q$5:$Q$54,C1120)=0,"✗ 供应商不在基础资料里",IF(D1120="","✗ 没选商品",IF(COUNTIF(基础资料!$E$5:$E$104,D1120)=0,"✗ 商品不在商品档案里",IF(AND(E1120="",H1120=""),"✗ 没填数量",IF(AND(N(E1120)&lt;&gt;0,F1120=""),"✗ 没填进价","√")))))))))</f>
      </c>
    </row>
    <row r="1121">
      <c r="A1121" s="109">
        <f>IF(AND(C1121="",D1121=""),"",ROW()-3)</f>
      </c>
      <c r="B1121" s="140" t="n"/>
      <c r="C1121" s="141" t="n"/>
      <c r="D1121" s="141" t="n"/>
      <c r="E1121" s="148" t="n"/>
      <c r="F1121" s="149" t="n"/>
      <c r="G1121" s="150">
        <f>IF(AND(E1121&lt;&gt;"",F1121&lt;&gt;""),E1121*F1121,"")</f>
      </c>
      <c r="H1121" s="148" t="n"/>
      <c r="I1121" s="142" t="n"/>
      <c r="J1121" s="146">
        <f>IF(AND(B1121="",C1121="",D1121="",E1121="",F1121="",H1121=""),"",IF(NOT(ISNUMBER(B1121)),"✗ 日期不是真日期",IF(OR(B1121&lt;年初日,B1121&gt;年末日),"✗ 日期不在本年度",IF(C1121="","✗ 没选供应商",IF(COUNTIF(基础资料!$Q$5:$Q$54,C1121)=0,"✗ 供应商不在基础资料里",IF(D1121="","✗ 没选商品",IF(COUNTIF(基础资料!$E$5:$E$104,D1121)=0,"✗ 商品不在商品档案里",IF(AND(E1121="",H1121=""),"✗ 没填数量",IF(AND(N(E1121)&lt;&gt;0,F1121=""),"✗ 没填进价","√")))))))))</f>
      </c>
    </row>
    <row r="1122">
      <c r="A1122" s="109">
        <f>IF(AND(C1122="",D1122=""),"",ROW()-3)</f>
      </c>
      <c r="B1122" s="140" t="n"/>
      <c r="C1122" s="141" t="n"/>
      <c r="D1122" s="141" t="n"/>
      <c r="E1122" s="148" t="n"/>
      <c r="F1122" s="149" t="n"/>
      <c r="G1122" s="150">
        <f>IF(AND(E1122&lt;&gt;"",F1122&lt;&gt;""),E1122*F1122,"")</f>
      </c>
      <c r="H1122" s="148" t="n"/>
      <c r="I1122" s="142" t="n"/>
      <c r="J1122" s="146">
        <f>IF(AND(B1122="",C1122="",D1122="",E1122="",F1122="",H1122=""),"",IF(NOT(ISNUMBER(B1122)),"✗ 日期不是真日期",IF(OR(B1122&lt;年初日,B1122&gt;年末日),"✗ 日期不在本年度",IF(C1122="","✗ 没选供应商",IF(COUNTIF(基础资料!$Q$5:$Q$54,C1122)=0,"✗ 供应商不在基础资料里",IF(D1122="","✗ 没选商品",IF(COUNTIF(基础资料!$E$5:$E$104,D1122)=0,"✗ 商品不在商品档案里",IF(AND(E1122="",H1122=""),"✗ 没填数量",IF(AND(N(E1122)&lt;&gt;0,F1122=""),"✗ 没填进价","√")))))))))</f>
      </c>
    </row>
    <row r="1123">
      <c r="A1123" s="109">
        <f>IF(AND(C1123="",D1123=""),"",ROW()-3)</f>
      </c>
      <c r="B1123" s="140" t="n"/>
      <c r="C1123" s="141" t="n"/>
      <c r="D1123" s="141" t="n"/>
      <c r="E1123" s="148" t="n"/>
      <c r="F1123" s="149" t="n"/>
      <c r="G1123" s="150">
        <f>IF(AND(E1123&lt;&gt;"",F1123&lt;&gt;""),E1123*F1123,"")</f>
      </c>
      <c r="H1123" s="148" t="n"/>
      <c r="I1123" s="142" t="n"/>
      <c r="J1123" s="146">
        <f>IF(AND(B1123="",C1123="",D1123="",E1123="",F1123="",H1123=""),"",IF(NOT(ISNUMBER(B1123)),"✗ 日期不是真日期",IF(OR(B1123&lt;年初日,B1123&gt;年末日),"✗ 日期不在本年度",IF(C1123="","✗ 没选供应商",IF(COUNTIF(基础资料!$Q$5:$Q$54,C1123)=0,"✗ 供应商不在基础资料里",IF(D1123="","✗ 没选商品",IF(COUNTIF(基础资料!$E$5:$E$104,D1123)=0,"✗ 商品不在商品档案里",IF(AND(E1123="",H1123=""),"✗ 没填数量",IF(AND(N(E1123)&lt;&gt;0,F1123=""),"✗ 没填进价","√")))))))))</f>
      </c>
    </row>
    <row r="1124">
      <c r="A1124" s="109">
        <f>IF(AND(C1124="",D1124=""),"",ROW()-3)</f>
      </c>
      <c r="B1124" s="140" t="n"/>
      <c r="C1124" s="141" t="n"/>
      <c r="D1124" s="141" t="n"/>
      <c r="E1124" s="148" t="n"/>
      <c r="F1124" s="149" t="n"/>
      <c r="G1124" s="150">
        <f>IF(AND(E1124&lt;&gt;"",F1124&lt;&gt;""),E1124*F1124,"")</f>
      </c>
      <c r="H1124" s="148" t="n"/>
      <c r="I1124" s="142" t="n"/>
      <c r="J1124" s="146">
        <f>IF(AND(B1124="",C1124="",D1124="",E1124="",F1124="",H1124=""),"",IF(NOT(ISNUMBER(B1124)),"✗ 日期不是真日期",IF(OR(B1124&lt;年初日,B1124&gt;年末日),"✗ 日期不在本年度",IF(C1124="","✗ 没选供应商",IF(COUNTIF(基础资料!$Q$5:$Q$54,C1124)=0,"✗ 供应商不在基础资料里",IF(D1124="","✗ 没选商品",IF(COUNTIF(基础资料!$E$5:$E$104,D1124)=0,"✗ 商品不在商品档案里",IF(AND(E1124="",H1124=""),"✗ 没填数量",IF(AND(N(E1124)&lt;&gt;0,F1124=""),"✗ 没填进价","√")))))))))</f>
      </c>
    </row>
    <row r="1125">
      <c r="A1125" s="109">
        <f>IF(AND(C1125="",D1125=""),"",ROW()-3)</f>
      </c>
      <c r="B1125" s="140" t="n"/>
      <c r="C1125" s="141" t="n"/>
      <c r="D1125" s="141" t="n"/>
      <c r="E1125" s="148" t="n"/>
      <c r="F1125" s="149" t="n"/>
      <c r="G1125" s="150">
        <f>IF(AND(E1125&lt;&gt;"",F1125&lt;&gt;""),E1125*F1125,"")</f>
      </c>
      <c r="H1125" s="148" t="n"/>
      <c r="I1125" s="142" t="n"/>
      <c r="J1125" s="146">
        <f>IF(AND(B1125="",C1125="",D1125="",E1125="",F1125="",H1125=""),"",IF(NOT(ISNUMBER(B1125)),"✗ 日期不是真日期",IF(OR(B1125&lt;年初日,B1125&gt;年末日),"✗ 日期不在本年度",IF(C1125="","✗ 没选供应商",IF(COUNTIF(基础资料!$Q$5:$Q$54,C1125)=0,"✗ 供应商不在基础资料里",IF(D1125="","✗ 没选商品",IF(COUNTIF(基础资料!$E$5:$E$104,D1125)=0,"✗ 商品不在商品档案里",IF(AND(E1125="",H1125=""),"✗ 没填数量",IF(AND(N(E1125)&lt;&gt;0,F1125=""),"✗ 没填进价","√")))))))))</f>
      </c>
    </row>
    <row r="1126">
      <c r="A1126" s="109">
        <f>IF(AND(C1126="",D1126=""),"",ROW()-3)</f>
      </c>
      <c r="B1126" s="140" t="n"/>
      <c r="C1126" s="141" t="n"/>
      <c r="D1126" s="141" t="n"/>
      <c r="E1126" s="148" t="n"/>
      <c r="F1126" s="149" t="n"/>
      <c r="G1126" s="150">
        <f>IF(AND(E1126&lt;&gt;"",F1126&lt;&gt;""),E1126*F1126,"")</f>
      </c>
      <c r="H1126" s="148" t="n"/>
      <c r="I1126" s="142" t="n"/>
      <c r="J1126" s="146">
        <f>IF(AND(B1126="",C1126="",D1126="",E1126="",F1126="",H1126=""),"",IF(NOT(ISNUMBER(B1126)),"✗ 日期不是真日期",IF(OR(B1126&lt;年初日,B1126&gt;年末日),"✗ 日期不在本年度",IF(C1126="","✗ 没选供应商",IF(COUNTIF(基础资料!$Q$5:$Q$54,C1126)=0,"✗ 供应商不在基础资料里",IF(D1126="","✗ 没选商品",IF(COUNTIF(基础资料!$E$5:$E$104,D1126)=0,"✗ 商品不在商品档案里",IF(AND(E1126="",H1126=""),"✗ 没填数量",IF(AND(N(E1126)&lt;&gt;0,F1126=""),"✗ 没填进价","√")))))))))</f>
      </c>
    </row>
    <row r="1127">
      <c r="A1127" s="109">
        <f>IF(AND(C1127="",D1127=""),"",ROW()-3)</f>
      </c>
      <c r="B1127" s="140" t="n"/>
      <c r="C1127" s="141" t="n"/>
      <c r="D1127" s="141" t="n"/>
      <c r="E1127" s="148" t="n"/>
      <c r="F1127" s="149" t="n"/>
      <c r="G1127" s="150">
        <f>IF(AND(E1127&lt;&gt;"",F1127&lt;&gt;""),E1127*F1127,"")</f>
      </c>
      <c r="H1127" s="148" t="n"/>
      <c r="I1127" s="142" t="n"/>
      <c r="J1127" s="146">
        <f>IF(AND(B1127="",C1127="",D1127="",E1127="",F1127="",H1127=""),"",IF(NOT(ISNUMBER(B1127)),"✗ 日期不是真日期",IF(OR(B1127&lt;年初日,B1127&gt;年末日),"✗ 日期不在本年度",IF(C1127="","✗ 没选供应商",IF(COUNTIF(基础资料!$Q$5:$Q$54,C1127)=0,"✗ 供应商不在基础资料里",IF(D1127="","✗ 没选商品",IF(COUNTIF(基础资料!$E$5:$E$104,D1127)=0,"✗ 商品不在商品档案里",IF(AND(E1127="",H1127=""),"✗ 没填数量",IF(AND(N(E1127)&lt;&gt;0,F1127=""),"✗ 没填进价","√")))))))))</f>
      </c>
    </row>
    <row r="1128">
      <c r="A1128" s="109">
        <f>IF(AND(C1128="",D1128=""),"",ROW()-3)</f>
      </c>
      <c r="B1128" s="140" t="n"/>
      <c r="C1128" s="141" t="n"/>
      <c r="D1128" s="141" t="n"/>
      <c r="E1128" s="148" t="n"/>
      <c r="F1128" s="149" t="n"/>
      <c r="G1128" s="150">
        <f>IF(AND(E1128&lt;&gt;"",F1128&lt;&gt;""),E1128*F1128,"")</f>
      </c>
      <c r="H1128" s="148" t="n"/>
      <c r="I1128" s="142" t="n"/>
      <c r="J1128" s="146">
        <f>IF(AND(B1128="",C1128="",D1128="",E1128="",F1128="",H1128=""),"",IF(NOT(ISNUMBER(B1128)),"✗ 日期不是真日期",IF(OR(B1128&lt;年初日,B1128&gt;年末日),"✗ 日期不在本年度",IF(C1128="","✗ 没选供应商",IF(COUNTIF(基础资料!$Q$5:$Q$54,C1128)=0,"✗ 供应商不在基础资料里",IF(D1128="","✗ 没选商品",IF(COUNTIF(基础资料!$E$5:$E$104,D1128)=0,"✗ 商品不在商品档案里",IF(AND(E1128="",H1128=""),"✗ 没填数量",IF(AND(N(E1128)&lt;&gt;0,F1128=""),"✗ 没填进价","√")))))))))</f>
      </c>
    </row>
    <row r="1129">
      <c r="A1129" s="109">
        <f>IF(AND(C1129="",D1129=""),"",ROW()-3)</f>
      </c>
      <c r="B1129" s="140" t="n"/>
      <c r="C1129" s="141" t="n"/>
      <c r="D1129" s="141" t="n"/>
      <c r="E1129" s="148" t="n"/>
      <c r="F1129" s="149" t="n"/>
      <c r="G1129" s="150">
        <f>IF(AND(E1129&lt;&gt;"",F1129&lt;&gt;""),E1129*F1129,"")</f>
      </c>
      <c r="H1129" s="148" t="n"/>
      <c r="I1129" s="142" t="n"/>
      <c r="J1129" s="146">
        <f>IF(AND(B1129="",C1129="",D1129="",E1129="",F1129="",H1129=""),"",IF(NOT(ISNUMBER(B1129)),"✗ 日期不是真日期",IF(OR(B1129&lt;年初日,B1129&gt;年末日),"✗ 日期不在本年度",IF(C1129="","✗ 没选供应商",IF(COUNTIF(基础资料!$Q$5:$Q$54,C1129)=0,"✗ 供应商不在基础资料里",IF(D1129="","✗ 没选商品",IF(COUNTIF(基础资料!$E$5:$E$104,D1129)=0,"✗ 商品不在商品档案里",IF(AND(E1129="",H1129=""),"✗ 没填数量",IF(AND(N(E1129)&lt;&gt;0,F1129=""),"✗ 没填进价","√")))))))))</f>
      </c>
    </row>
    <row r="1130">
      <c r="A1130" s="109">
        <f>IF(AND(C1130="",D1130=""),"",ROW()-3)</f>
      </c>
      <c r="B1130" s="140" t="n"/>
      <c r="C1130" s="141" t="n"/>
      <c r="D1130" s="141" t="n"/>
      <c r="E1130" s="148" t="n"/>
      <c r="F1130" s="149" t="n"/>
      <c r="G1130" s="150">
        <f>IF(AND(E1130&lt;&gt;"",F1130&lt;&gt;""),E1130*F1130,"")</f>
      </c>
      <c r="H1130" s="148" t="n"/>
      <c r="I1130" s="142" t="n"/>
      <c r="J1130" s="146">
        <f>IF(AND(B1130="",C1130="",D1130="",E1130="",F1130="",H1130=""),"",IF(NOT(ISNUMBER(B1130)),"✗ 日期不是真日期",IF(OR(B1130&lt;年初日,B1130&gt;年末日),"✗ 日期不在本年度",IF(C1130="","✗ 没选供应商",IF(COUNTIF(基础资料!$Q$5:$Q$54,C1130)=0,"✗ 供应商不在基础资料里",IF(D1130="","✗ 没选商品",IF(COUNTIF(基础资料!$E$5:$E$104,D1130)=0,"✗ 商品不在商品档案里",IF(AND(E1130="",H1130=""),"✗ 没填数量",IF(AND(N(E1130)&lt;&gt;0,F1130=""),"✗ 没填进价","√")))))))))</f>
      </c>
    </row>
    <row r="1131">
      <c r="A1131" s="109">
        <f>IF(AND(C1131="",D1131=""),"",ROW()-3)</f>
      </c>
      <c r="B1131" s="140" t="n"/>
      <c r="C1131" s="141" t="n"/>
      <c r="D1131" s="141" t="n"/>
      <c r="E1131" s="148" t="n"/>
      <c r="F1131" s="149" t="n"/>
      <c r="G1131" s="150">
        <f>IF(AND(E1131&lt;&gt;"",F1131&lt;&gt;""),E1131*F1131,"")</f>
      </c>
      <c r="H1131" s="148" t="n"/>
      <c r="I1131" s="142" t="n"/>
      <c r="J1131" s="146">
        <f>IF(AND(B1131="",C1131="",D1131="",E1131="",F1131="",H1131=""),"",IF(NOT(ISNUMBER(B1131)),"✗ 日期不是真日期",IF(OR(B1131&lt;年初日,B1131&gt;年末日),"✗ 日期不在本年度",IF(C1131="","✗ 没选供应商",IF(COUNTIF(基础资料!$Q$5:$Q$54,C1131)=0,"✗ 供应商不在基础资料里",IF(D1131="","✗ 没选商品",IF(COUNTIF(基础资料!$E$5:$E$104,D1131)=0,"✗ 商品不在商品档案里",IF(AND(E1131="",H1131=""),"✗ 没填数量",IF(AND(N(E1131)&lt;&gt;0,F1131=""),"✗ 没填进价","√")))))))))</f>
      </c>
    </row>
    <row r="1132">
      <c r="A1132" s="109">
        <f>IF(AND(C1132="",D1132=""),"",ROW()-3)</f>
      </c>
      <c r="B1132" s="140" t="n"/>
      <c r="C1132" s="141" t="n"/>
      <c r="D1132" s="141" t="n"/>
      <c r="E1132" s="148" t="n"/>
      <c r="F1132" s="149" t="n"/>
      <c r="G1132" s="150">
        <f>IF(AND(E1132&lt;&gt;"",F1132&lt;&gt;""),E1132*F1132,"")</f>
      </c>
      <c r="H1132" s="148" t="n"/>
      <c r="I1132" s="142" t="n"/>
      <c r="J1132" s="146">
        <f>IF(AND(B1132="",C1132="",D1132="",E1132="",F1132="",H1132=""),"",IF(NOT(ISNUMBER(B1132)),"✗ 日期不是真日期",IF(OR(B1132&lt;年初日,B1132&gt;年末日),"✗ 日期不在本年度",IF(C1132="","✗ 没选供应商",IF(COUNTIF(基础资料!$Q$5:$Q$54,C1132)=0,"✗ 供应商不在基础资料里",IF(D1132="","✗ 没选商品",IF(COUNTIF(基础资料!$E$5:$E$104,D1132)=0,"✗ 商品不在商品档案里",IF(AND(E1132="",H1132=""),"✗ 没填数量",IF(AND(N(E1132)&lt;&gt;0,F1132=""),"✗ 没填进价","√")))))))))</f>
      </c>
    </row>
    <row r="1133">
      <c r="A1133" s="109">
        <f>IF(AND(C1133="",D1133=""),"",ROW()-3)</f>
      </c>
      <c r="B1133" s="140" t="n"/>
      <c r="C1133" s="141" t="n"/>
      <c r="D1133" s="141" t="n"/>
      <c r="E1133" s="148" t="n"/>
      <c r="F1133" s="149" t="n"/>
      <c r="G1133" s="150">
        <f>IF(AND(E1133&lt;&gt;"",F1133&lt;&gt;""),E1133*F1133,"")</f>
      </c>
      <c r="H1133" s="148" t="n"/>
      <c r="I1133" s="142" t="n"/>
      <c r="J1133" s="146">
        <f>IF(AND(B1133="",C1133="",D1133="",E1133="",F1133="",H1133=""),"",IF(NOT(ISNUMBER(B1133)),"✗ 日期不是真日期",IF(OR(B1133&lt;年初日,B1133&gt;年末日),"✗ 日期不在本年度",IF(C1133="","✗ 没选供应商",IF(COUNTIF(基础资料!$Q$5:$Q$54,C1133)=0,"✗ 供应商不在基础资料里",IF(D1133="","✗ 没选商品",IF(COUNTIF(基础资料!$E$5:$E$104,D1133)=0,"✗ 商品不在商品档案里",IF(AND(E1133="",H1133=""),"✗ 没填数量",IF(AND(N(E1133)&lt;&gt;0,F1133=""),"✗ 没填进价","√")))))))))</f>
      </c>
    </row>
    <row r="1134">
      <c r="A1134" s="109">
        <f>IF(AND(C1134="",D1134=""),"",ROW()-3)</f>
      </c>
      <c r="B1134" s="140" t="n"/>
      <c r="C1134" s="141" t="n"/>
      <c r="D1134" s="141" t="n"/>
      <c r="E1134" s="148" t="n"/>
      <c r="F1134" s="149" t="n"/>
      <c r="G1134" s="150">
        <f>IF(AND(E1134&lt;&gt;"",F1134&lt;&gt;""),E1134*F1134,"")</f>
      </c>
      <c r="H1134" s="148" t="n"/>
      <c r="I1134" s="142" t="n"/>
      <c r="J1134" s="146">
        <f>IF(AND(B1134="",C1134="",D1134="",E1134="",F1134="",H1134=""),"",IF(NOT(ISNUMBER(B1134)),"✗ 日期不是真日期",IF(OR(B1134&lt;年初日,B1134&gt;年末日),"✗ 日期不在本年度",IF(C1134="","✗ 没选供应商",IF(COUNTIF(基础资料!$Q$5:$Q$54,C1134)=0,"✗ 供应商不在基础资料里",IF(D1134="","✗ 没选商品",IF(COUNTIF(基础资料!$E$5:$E$104,D1134)=0,"✗ 商品不在商品档案里",IF(AND(E1134="",H1134=""),"✗ 没填数量",IF(AND(N(E1134)&lt;&gt;0,F1134=""),"✗ 没填进价","√")))))))))</f>
      </c>
    </row>
    <row r="1135">
      <c r="A1135" s="109">
        <f>IF(AND(C1135="",D1135=""),"",ROW()-3)</f>
      </c>
      <c r="B1135" s="140" t="n"/>
      <c r="C1135" s="141" t="n"/>
      <c r="D1135" s="141" t="n"/>
      <c r="E1135" s="148" t="n"/>
      <c r="F1135" s="149" t="n"/>
      <c r="G1135" s="150">
        <f>IF(AND(E1135&lt;&gt;"",F1135&lt;&gt;""),E1135*F1135,"")</f>
      </c>
      <c r="H1135" s="148" t="n"/>
      <c r="I1135" s="142" t="n"/>
      <c r="J1135" s="146">
        <f>IF(AND(B1135="",C1135="",D1135="",E1135="",F1135="",H1135=""),"",IF(NOT(ISNUMBER(B1135)),"✗ 日期不是真日期",IF(OR(B1135&lt;年初日,B1135&gt;年末日),"✗ 日期不在本年度",IF(C1135="","✗ 没选供应商",IF(COUNTIF(基础资料!$Q$5:$Q$54,C1135)=0,"✗ 供应商不在基础资料里",IF(D1135="","✗ 没选商品",IF(COUNTIF(基础资料!$E$5:$E$104,D1135)=0,"✗ 商品不在商品档案里",IF(AND(E1135="",H1135=""),"✗ 没填数量",IF(AND(N(E1135)&lt;&gt;0,F1135=""),"✗ 没填进价","√")))))))))</f>
      </c>
    </row>
    <row r="1136">
      <c r="A1136" s="109">
        <f>IF(AND(C1136="",D1136=""),"",ROW()-3)</f>
      </c>
      <c r="B1136" s="140" t="n"/>
      <c r="C1136" s="141" t="n"/>
      <c r="D1136" s="141" t="n"/>
      <c r="E1136" s="148" t="n"/>
      <c r="F1136" s="149" t="n"/>
      <c r="G1136" s="150">
        <f>IF(AND(E1136&lt;&gt;"",F1136&lt;&gt;""),E1136*F1136,"")</f>
      </c>
      <c r="H1136" s="148" t="n"/>
      <c r="I1136" s="142" t="n"/>
      <c r="J1136" s="146">
        <f>IF(AND(B1136="",C1136="",D1136="",E1136="",F1136="",H1136=""),"",IF(NOT(ISNUMBER(B1136)),"✗ 日期不是真日期",IF(OR(B1136&lt;年初日,B1136&gt;年末日),"✗ 日期不在本年度",IF(C1136="","✗ 没选供应商",IF(COUNTIF(基础资料!$Q$5:$Q$54,C1136)=0,"✗ 供应商不在基础资料里",IF(D1136="","✗ 没选商品",IF(COUNTIF(基础资料!$E$5:$E$104,D1136)=0,"✗ 商品不在商品档案里",IF(AND(E1136="",H1136=""),"✗ 没填数量",IF(AND(N(E1136)&lt;&gt;0,F1136=""),"✗ 没填进价","√")))))))))</f>
      </c>
    </row>
    <row r="1137">
      <c r="A1137" s="109">
        <f>IF(AND(C1137="",D1137=""),"",ROW()-3)</f>
      </c>
      <c r="B1137" s="140" t="n"/>
      <c r="C1137" s="141" t="n"/>
      <c r="D1137" s="141" t="n"/>
      <c r="E1137" s="148" t="n"/>
      <c r="F1137" s="149" t="n"/>
      <c r="G1137" s="150">
        <f>IF(AND(E1137&lt;&gt;"",F1137&lt;&gt;""),E1137*F1137,"")</f>
      </c>
      <c r="H1137" s="148" t="n"/>
      <c r="I1137" s="142" t="n"/>
      <c r="J1137" s="146">
        <f>IF(AND(B1137="",C1137="",D1137="",E1137="",F1137="",H1137=""),"",IF(NOT(ISNUMBER(B1137)),"✗ 日期不是真日期",IF(OR(B1137&lt;年初日,B1137&gt;年末日),"✗ 日期不在本年度",IF(C1137="","✗ 没选供应商",IF(COUNTIF(基础资料!$Q$5:$Q$54,C1137)=0,"✗ 供应商不在基础资料里",IF(D1137="","✗ 没选商品",IF(COUNTIF(基础资料!$E$5:$E$104,D1137)=0,"✗ 商品不在商品档案里",IF(AND(E1137="",H1137=""),"✗ 没填数量",IF(AND(N(E1137)&lt;&gt;0,F1137=""),"✗ 没填进价","√")))))))))</f>
      </c>
    </row>
    <row r="1138">
      <c r="A1138" s="109">
        <f>IF(AND(C1138="",D1138=""),"",ROW()-3)</f>
      </c>
      <c r="B1138" s="140" t="n"/>
      <c r="C1138" s="141" t="n"/>
      <c r="D1138" s="141" t="n"/>
      <c r="E1138" s="148" t="n"/>
      <c r="F1138" s="149" t="n"/>
      <c r="G1138" s="150">
        <f>IF(AND(E1138&lt;&gt;"",F1138&lt;&gt;""),E1138*F1138,"")</f>
      </c>
      <c r="H1138" s="148" t="n"/>
      <c r="I1138" s="142" t="n"/>
      <c r="J1138" s="146">
        <f>IF(AND(B1138="",C1138="",D1138="",E1138="",F1138="",H1138=""),"",IF(NOT(ISNUMBER(B1138)),"✗ 日期不是真日期",IF(OR(B1138&lt;年初日,B1138&gt;年末日),"✗ 日期不在本年度",IF(C1138="","✗ 没选供应商",IF(COUNTIF(基础资料!$Q$5:$Q$54,C1138)=0,"✗ 供应商不在基础资料里",IF(D1138="","✗ 没选商品",IF(COUNTIF(基础资料!$E$5:$E$104,D1138)=0,"✗ 商品不在商品档案里",IF(AND(E1138="",H1138=""),"✗ 没填数量",IF(AND(N(E1138)&lt;&gt;0,F1138=""),"✗ 没填进价","√")))))))))</f>
      </c>
    </row>
    <row r="1139">
      <c r="A1139" s="109">
        <f>IF(AND(C1139="",D1139=""),"",ROW()-3)</f>
      </c>
      <c r="B1139" s="140" t="n"/>
      <c r="C1139" s="141" t="n"/>
      <c r="D1139" s="141" t="n"/>
      <c r="E1139" s="148" t="n"/>
      <c r="F1139" s="149" t="n"/>
      <c r="G1139" s="150">
        <f>IF(AND(E1139&lt;&gt;"",F1139&lt;&gt;""),E1139*F1139,"")</f>
      </c>
      <c r="H1139" s="148" t="n"/>
      <c r="I1139" s="142" t="n"/>
      <c r="J1139" s="146">
        <f>IF(AND(B1139="",C1139="",D1139="",E1139="",F1139="",H1139=""),"",IF(NOT(ISNUMBER(B1139)),"✗ 日期不是真日期",IF(OR(B1139&lt;年初日,B1139&gt;年末日),"✗ 日期不在本年度",IF(C1139="","✗ 没选供应商",IF(COUNTIF(基础资料!$Q$5:$Q$54,C1139)=0,"✗ 供应商不在基础资料里",IF(D1139="","✗ 没选商品",IF(COUNTIF(基础资料!$E$5:$E$104,D1139)=0,"✗ 商品不在商品档案里",IF(AND(E1139="",H1139=""),"✗ 没填数量",IF(AND(N(E1139)&lt;&gt;0,F1139=""),"✗ 没填进价","√")))))))))</f>
      </c>
    </row>
    <row r="1140">
      <c r="A1140" s="109">
        <f>IF(AND(C1140="",D1140=""),"",ROW()-3)</f>
      </c>
      <c r="B1140" s="140" t="n"/>
      <c r="C1140" s="141" t="n"/>
      <c r="D1140" s="141" t="n"/>
      <c r="E1140" s="148" t="n"/>
      <c r="F1140" s="149" t="n"/>
      <c r="G1140" s="150">
        <f>IF(AND(E1140&lt;&gt;"",F1140&lt;&gt;""),E1140*F1140,"")</f>
      </c>
      <c r="H1140" s="148" t="n"/>
      <c r="I1140" s="142" t="n"/>
      <c r="J1140" s="146">
        <f>IF(AND(B1140="",C1140="",D1140="",E1140="",F1140="",H1140=""),"",IF(NOT(ISNUMBER(B1140)),"✗ 日期不是真日期",IF(OR(B1140&lt;年初日,B1140&gt;年末日),"✗ 日期不在本年度",IF(C1140="","✗ 没选供应商",IF(COUNTIF(基础资料!$Q$5:$Q$54,C1140)=0,"✗ 供应商不在基础资料里",IF(D1140="","✗ 没选商品",IF(COUNTIF(基础资料!$E$5:$E$104,D1140)=0,"✗ 商品不在商品档案里",IF(AND(E1140="",H1140=""),"✗ 没填数量",IF(AND(N(E1140)&lt;&gt;0,F1140=""),"✗ 没填进价","√")))))))))</f>
      </c>
    </row>
    <row r="1141">
      <c r="A1141" s="109">
        <f>IF(AND(C1141="",D1141=""),"",ROW()-3)</f>
      </c>
      <c r="B1141" s="140" t="n"/>
      <c r="C1141" s="141" t="n"/>
      <c r="D1141" s="141" t="n"/>
      <c r="E1141" s="148" t="n"/>
      <c r="F1141" s="149" t="n"/>
      <c r="G1141" s="150">
        <f>IF(AND(E1141&lt;&gt;"",F1141&lt;&gt;""),E1141*F1141,"")</f>
      </c>
      <c r="H1141" s="148" t="n"/>
      <c r="I1141" s="142" t="n"/>
      <c r="J1141" s="146">
        <f>IF(AND(B1141="",C1141="",D1141="",E1141="",F1141="",H1141=""),"",IF(NOT(ISNUMBER(B1141)),"✗ 日期不是真日期",IF(OR(B1141&lt;年初日,B1141&gt;年末日),"✗ 日期不在本年度",IF(C1141="","✗ 没选供应商",IF(COUNTIF(基础资料!$Q$5:$Q$54,C1141)=0,"✗ 供应商不在基础资料里",IF(D1141="","✗ 没选商品",IF(COUNTIF(基础资料!$E$5:$E$104,D1141)=0,"✗ 商品不在商品档案里",IF(AND(E1141="",H1141=""),"✗ 没填数量",IF(AND(N(E1141)&lt;&gt;0,F1141=""),"✗ 没填进价","√")))))))))</f>
      </c>
    </row>
    <row r="1142">
      <c r="A1142" s="109">
        <f>IF(AND(C1142="",D1142=""),"",ROW()-3)</f>
      </c>
      <c r="B1142" s="140" t="n"/>
      <c r="C1142" s="141" t="n"/>
      <c r="D1142" s="141" t="n"/>
      <c r="E1142" s="148" t="n"/>
      <c r="F1142" s="149" t="n"/>
      <c r="G1142" s="150">
        <f>IF(AND(E1142&lt;&gt;"",F1142&lt;&gt;""),E1142*F1142,"")</f>
      </c>
      <c r="H1142" s="148" t="n"/>
      <c r="I1142" s="142" t="n"/>
      <c r="J1142" s="146">
        <f>IF(AND(B1142="",C1142="",D1142="",E1142="",F1142="",H1142=""),"",IF(NOT(ISNUMBER(B1142)),"✗ 日期不是真日期",IF(OR(B1142&lt;年初日,B1142&gt;年末日),"✗ 日期不在本年度",IF(C1142="","✗ 没选供应商",IF(COUNTIF(基础资料!$Q$5:$Q$54,C1142)=0,"✗ 供应商不在基础资料里",IF(D1142="","✗ 没选商品",IF(COUNTIF(基础资料!$E$5:$E$104,D1142)=0,"✗ 商品不在商品档案里",IF(AND(E1142="",H1142=""),"✗ 没填数量",IF(AND(N(E1142)&lt;&gt;0,F1142=""),"✗ 没填进价","√")))))))))</f>
      </c>
    </row>
    <row r="1143">
      <c r="A1143" s="109">
        <f>IF(AND(C1143="",D1143=""),"",ROW()-3)</f>
      </c>
      <c r="B1143" s="140" t="n"/>
      <c r="C1143" s="141" t="n"/>
      <c r="D1143" s="141" t="n"/>
      <c r="E1143" s="148" t="n"/>
      <c r="F1143" s="149" t="n"/>
      <c r="G1143" s="150">
        <f>IF(AND(E1143&lt;&gt;"",F1143&lt;&gt;""),E1143*F1143,"")</f>
      </c>
      <c r="H1143" s="148" t="n"/>
      <c r="I1143" s="142" t="n"/>
      <c r="J1143" s="146">
        <f>IF(AND(B1143="",C1143="",D1143="",E1143="",F1143="",H1143=""),"",IF(NOT(ISNUMBER(B1143)),"✗ 日期不是真日期",IF(OR(B1143&lt;年初日,B1143&gt;年末日),"✗ 日期不在本年度",IF(C1143="","✗ 没选供应商",IF(COUNTIF(基础资料!$Q$5:$Q$54,C1143)=0,"✗ 供应商不在基础资料里",IF(D1143="","✗ 没选商品",IF(COUNTIF(基础资料!$E$5:$E$104,D1143)=0,"✗ 商品不在商品档案里",IF(AND(E1143="",H1143=""),"✗ 没填数量",IF(AND(N(E1143)&lt;&gt;0,F1143=""),"✗ 没填进价","√")))))))))</f>
      </c>
    </row>
    <row r="1144">
      <c r="A1144" s="109">
        <f>IF(AND(C1144="",D1144=""),"",ROW()-3)</f>
      </c>
      <c r="B1144" s="140" t="n"/>
      <c r="C1144" s="141" t="n"/>
      <c r="D1144" s="141" t="n"/>
      <c r="E1144" s="148" t="n"/>
      <c r="F1144" s="149" t="n"/>
      <c r="G1144" s="150">
        <f>IF(AND(E1144&lt;&gt;"",F1144&lt;&gt;""),E1144*F1144,"")</f>
      </c>
      <c r="H1144" s="148" t="n"/>
      <c r="I1144" s="142" t="n"/>
      <c r="J1144" s="146">
        <f>IF(AND(B1144="",C1144="",D1144="",E1144="",F1144="",H1144=""),"",IF(NOT(ISNUMBER(B1144)),"✗ 日期不是真日期",IF(OR(B1144&lt;年初日,B1144&gt;年末日),"✗ 日期不在本年度",IF(C1144="","✗ 没选供应商",IF(COUNTIF(基础资料!$Q$5:$Q$54,C1144)=0,"✗ 供应商不在基础资料里",IF(D1144="","✗ 没选商品",IF(COUNTIF(基础资料!$E$5:$E$104,D1144)=0,"✗ 商品不在商品档案里",IF(AND(E1144="",H1144=""),"✗ 没填数量",IF(AND(N(E1144)&lt;&gt;0,F1144=""),"✗ 没填进价","√")))))))))</f>
      </c>
    </row>
    <row r="1145">
      <c r="A1145" s="109">
        <f>IF(AND(C1145="",D1145=""),"",ROW()-3)</f>
      </c>
      <c r="B1145" s="140" t="n"/>
      <c r="C1145" s="141" t="n"/>
      <c r="D1145" s="141" t="n"/>
      <c r="E1145" s="148" t="n"/>
      <c r="F1145" s="149" t="n"/>
      <c r="G1145" s="150">
        <f>IF(AND(E1145&lt;&gt;"",F1145&lt;&gt;""),E1145*F1145,"")</f>
      </c>
      <c r="H1145" s="148" t="n"/>
      <c r="I1145" s="142" t="n"/>
      <c r="J1145" s="146">
        <f>IF(AND(B1145="",C1145="",D1145="",E1145="",F1145="",H1145=""),"",IF(NOT(ISNUMBER(B1145)),"✗ 日期不是真日期",IF(OR(B1145&lt;年初日,B1145&gt;年末日),"✗ 日期不在本年度",IF(C1145="","✗ 没选供应商",IF(COUNTIF(基础资料!$Q$5:$Q$54,C1145)=0,"✗ 供应商不在基础资料里",IF(D1145="","✗ 没选商品",IF(COUNTIF(基础资料!$E$5:$E$104,D1145)=0,"✗ 商品不在商品档案里",IF(AND(E1145="",H1145=""),"✗ 没填数量",IF(AND(N(E1145)&lt;&gt;0,F1145=""),"✗ 没填进价","√")))))))))</f>
      </c>
    </row>
    <row r="1146">
      <c r="A1146" s="109">
        <f>IF(AND(C1146="",D1146=""),"",ROW()-3)</f>
      </c>
      <c r="B1146" s="140" t="n"/>
      <c r="C1146" s="141" t="n"/>
      <c r="D1146" s="141" t="n"/>
      <c r="E1146" s="148" t="n"/>
      <c r="F1146" s="149" t="n"/>
      <c r="G1146" s="150">
        <f>IF(AND(E1146&lt;&gt;"",F1146&lt;&gt;""),E1146*F1146,"")</f>
      </c>
      <c r="H1146" s="148" t="n"/>
      <c r="I1146" s="142" t="n"/>
      <c r="J1146" s="146">
        <f>IF(AND(B1146="",C1146="",D1146="",E1146="",F1146="",H1146=""),"",IF(NOT(ISNUMBER(B1146)),"✗ 日期不是真日期",IF(OR(B1146&lt;年初日,B1146&gt;年末日),"✗ 日期不在本年度",IF(C1146="","✗ 没选供应商",IF(COUNTIF(基础资料!$Q$5:$Q$54,C1146)=0,"✗ 供应商不在基础资料里",IF(D1146="","✗ 没选商品",IF(COUNTIF(基础资料!$E$5:$E$104,D1146)=0,"✗ 商品不在商品档案里",IF(AND(E1146="",H1146=""),"✗ 没填数量",IF(AND(N(E1146)&lt;&gt;0,F1146=""),"✗ 没填进价","√")))))))))</f>
      </c>
    </row>
    <row r="1147">
      <c r="A1147" s="109">
        <f>IF(AND(C1147="",D1147=""),"",ROW()-3)</f>
      </c>
      <c r="B1147" s="140" t="n"/>
      <c r="C1147" s="141" t="n"/>
      <c r="D1147" s="141" t="n"/>
      <c r="E1147" s="148" t="n"/>
      <c r="F1147" s="149" t="n"/>
      <c r="G1147" s="150">
        <f>IF(AND(E1147&lt;&gt;"",F1147&lt;&gt;""),E1147*F1147,"")</f>
      </c>
      <c r="H1147" s="148" t="n"/>
      <c r="I1147" s="142" t="n"/>
      <c r="J1147" s="146">
        <f>IF(AND(B1147="",C1147="",D1147="",E1147="",F1147="",H1147=""),"",IF(NOT(ISNUMBER(B1147)),"✗ 日期不是真日期",IF(OR(B1147&lt;年初日,B1147&gt;年末日),"✗ 日期不在本年度",IF(C1147="","✗ 没选供应商",IF(COUNTIF(基础资料!$Q$5:$Q$54,C1147)=0,"✗ 供应商不在基础资料里",IF(D1147="","✗ 没选商品",IF(COUNTIF(基础资料!$E$5:$E$104,D1147)=0,"✗ 商品不在商品档案里",IF(AND(E1147="",H1147=""),"✗ 没填数量",IF(AND(N(E1147)&lt;&gt;0,F1147=""),"✗ 没填进价","√")))))))))</f>
      </c>
    </row>
    <row r="1148">
      <c r="A1148" s="109">
        <f>IF(AND(C1148="",D1148=""),"",ROW()-3)</f>
      </c>
      <c r="B1148" s="140" t="n"/>
      <c r="C1148" s="141" t="n"/>
      <c r="D1148" s="141" t="n"/>
      <c r="E1148" s="148" t="n"/>
      <c r="F1148" s="149" t="n"/>
      <c r="G1148" s="150">
        <f>IF(AND(E1148&lt;&gt;"",F1148&lt;&gt;""),E1148*F1148,"")</f>
      </c>
      <c r="H1148" s="148" t="n"/>
      <c r="I1148" s="142" t="n"/>
      <c r="J1148" s="146">
        <f>IF(AND(B1148="",C1148="",D1148="",E1148="",F1148="",H1148=""),"",IF(NOT(ISNUMBER(B1148)),"✗ 日期不是真日期",IF(OR(B1148&lt;年初日,B1148&gt;年末日),"✗ 日期不在本年度",IF(C1148="","✗ 没选供应商",IF(COUNTIF(基础资料!$Q$5:$Q$54,C1148)=0,"✗ 供应商不在基础资料里",IF(D1148="","✗ 没选商品",IF(COUNTIF(基础资料!$E$5:$E$104,D1148)=0,"✗ 商品不在商品档案里",IF(AND(E1148="",H1148=""),"✗ 没填数量",IF(AND(N(E1148)&lt;&gt;0,F1148=""),"✗ 没填进价","√")))))))))</f>
      </c>
    </row>
    <row r="1149">
      <c r="A1149" s="109">
        <f>IF(AND(C1149="",D1149=""),"",ROW()-3)</f>
      </c>
      <c r="B1149" s="140" t="n"/>
      <c r="C1149" s="141" t="n"/>
      <c r="D1149" s="141" t="n"/>
      <c r="E1149" s="148" t="n"/>
      <c r="F1149" s="149" t="n"/>
      <c r="G1149" s="150">
        <f>IF(AND(E1149&lt;&gt;"",F1149&lt;&gt;""),E1149*F1149,"")</f>
      </c>
      <c r="H1149" s="148" t="n"/>
      <c r="I1149" s="142" t="n"/>
      <c r="J1149" s="146">
        <f>IF(AND(B1149="",C1149="",D1149="",E1149="",F1149="",H1149=""),"",IF(NOT(ISNUMBER(B1149)),"✗ 日期不是真日期",IF(OR(B1149&lt;年初日,B1149&gt;年末日),"✗ 日期不在本年度",IF(C1149="","✗ 没选供应商",IF(COUNTIF(基础资料!$Q$5:$Q$54,C1149)=0,"✗ 供应商不在基础资料里",IF(D1149="","✗ 没选商品",IF(COUNTIF(基础资料!$E$5:$E$104,D1149)=0,"✗ 商品不在商品档案里",IF(AND(E1149="",H1149=""),"✗ 没填数量",IF(AND(N(E1149)&lt;&gt;0,F1149=""),"✗ 没填进价","√")))))))))</f>
      </c>
    </row>
    <row r="1150">
      <c r="A1150" s="109">
        <f>IF(AND(C1150="",D1150=""),"",ROW()-3)</f>
      </c>
      <c r="B1150" s="140" t="n"/>
      <c r="C1150" s="141" t="n"/>
      <c r="D1150" s="141" t="n"/>
      <c r="E1150" s="148" t="n"/>
      <c r="F1150" s="149" t="n"/>
      <c r="G1150" s="150">
        <f>IF(AND(E1150&lt;&gt;"",F1150&lt;&gt;""),E1150*F1150,"")</f>
      </c>
      <c r="H1150" s="148" t="n"/>
      <c r="I1150" s="142" t="n"/>
      <c r="J1150" s="146">
        <f>IF(AND(B1150="",C1150="",D1150="",E1150="",F1150="",H1150=""),"",IF(NOT(ISNUMBER(B1150)),"✗ 日期不是真日期",IF(OR(B1150&lt;年初日,B1150&gt;年末日),"✗ 日期不在本年度",IF(C1150="","✗ 没选供应商",IF(COUNTIF(基础资料!$Q$5:$Q$54,C1150)=0,"✗ 供应商不在基础资料里",IF(D1150="","✗ 没选商品",IF(COUNTIF(基础资料!$E$5:$E$104,D1150)=0,"✗ 商品不在商品档案里",IF(AND(E1150="",H1150=""),"✗ 没填数量",IF(AND(N(E1150)&lt;&gt;0,F1150=""),"✗ 没填进价","√")))))))))</f>
      </c>
    </row>
    <row r="1151">
      <c r="A1151" s="109">
        <f>IF(AND(C1151="",D1151=""),"",ROW()-3)</f>
      </c>
      <c r="B1151" s="140" t="n"/>
      <c r="C1151" s="141" t="n"/>
      <c r="D1151" s="141" t="n"/>
      <c r="E1151" s="148" t="n"/>
      <c r="F1151" s="149" t="n"/>
      <c r="G1151" s="150">
        <f>IF(AND(E1151&lt;&gt;"",F1151&lt;&gt;""),E1151*F1151,"")</f>
      </c>
      <c r="H1151" s="148" t="n"/>
      <c r="I1151" s="142" t="n"/>
      <c r="J1151" s="146">
        <f>IF(AND(B1151="",C1151="",D1151="",E1151="",F1151="",H1151=""),"",IF(NOT(ISNUMBER(B1151)),"✗ 日期不是真日期",IF(OR(B1151&lt;年初日,B1151&gt;年末日),"✗ 日期不在本年度",IF(C1151="","✗ 没选供应商",IF(COUNTIF(基础资料!$Q$5:$Q$54,C1151)=0,"✗ 供应商不在基础资料里",IF(D1151="","✗ 没选商品",IF(COUNTIF(基础资料!$E$5:$E$104,D1151)=0,"✗ 商品不在商品档案里",IF(AND(E1151="",H1151=""),"✗ 没填数量",IF(AND(N(E1151)&lt;&gt;0,F1151=""),"✗ 没填进价","√")))))))))</f>
      </c>
    </row>
    <row r="1152">
      <c r="A1152" s="109">
        <f>IF(AND(C1152="",D1152=""),"",ROW()-3)</f>
      </c>
      <c r="B1152" s="140" t="n"/>
      <c r="C1152" s="141" t="n"/>
      <c r="D1152" s="141" t="n"/>
      <c r="E1152" s="148" t="n"/>
      <c r="F1152" s="149" t="n"/>
      <c r="G1152" s="150">
        <f>IF(AND(E1152&lt;&gt;"",F1152&lt;&gt;""),E1152*F1152,"")</f>
      </c>
      <c r="H1152" s="148" t="n"/>
      <c r="I1152" s="142" t="n"/>
      <c r="J1152" s="146">
        <f>IF(AND(B1152="",C1152="",D1152="",E1152="",F1152="",H1152=""),"",IF(NOT(ISNUMBER(B1152)),"✗ 日期不是真日期",IF(OR(B1152&lt;年初日,B1152&gt;年末日),"✗ 日期不在本年度",IF(C1152="","✗ 没选供应商",IF(COUNTIF(基础资料!$Q$5:$Q$54,C1152)=0,"✗ 供应商不在基础资料里",IF(D1152="","✗ 没选商品",IF(COUNTIF(基础资料!$E$5:$E$104,D1152)=0,"✗ 商品不在商品档案里",IF(AND(E1152="",H1152=""),"✗ 没填数量",IF(AND(N(E1152)&lt;&gt;0,F1152=""),"✗ 没填进价","√")))))))))</f>
      </c>
    </row>
    <row r="1153">
      <c r="A1153" s="109">
        <f>IF(AND(C1153="",D1153=""),"",ROW()-3)</f>
      </c>
      <c r="B1153" s="140" t="n"/>
      <c r="C1153" s="141" t="n"/>
      <c r="D1153" s="141" t="n"/>
      <c r="E1153" s="148" t="n"/>
      <c r="F1153" s="149" t="n"/>
      <c r="G1153" s="150">
        <f>IF(AND(E1153&lt;&gt;"",F1153&lt;&gt;""),E1153*F1153,"")</f>
      </c>
      <c r="H1153" s="148" t="n"/>
      <c r="I1153" s="142" t="n"/>
      <c r="J1153" s="146">
        <f>IF(AND(B1153="",C1153="",D1153="",E1153="",F1153="",H1153=""),"",IF(NOT(ISNUMBER(B1153)),"✗ 日期不是真日期",IF(OR(B1153&lt;年初日,B1153&gt;年末日),"✗ 日期不在本年度",IF(C1153="","✗ 没选供应商",IF(COUNTIF(基础资料!$Q$5:$Q$54,C1153)=0,"✗ 供应商不在基础资料里",IF(D1153="","✗ 没选商品",IF(COUNTIF(基础资料!$E$5:$E$104,D1153)=0,"✗ 商品不在商品档案里",IF(AND(E1153="",H1153=""),"✗ 没填数量",IF(AND(N(E1153)&lt;&gt;0,F1153=""),"✗ 没填进价","√")))))))))</f>
      </c>
    </row>
    <row r="1154">
      <c r="A1154" s="109">
        <f>IF(AND(C1154="",D1154=""),"",ROW()-3)</f>
      </c>
      <c r="B1154" s="140" t="n"/>
      <c r="C1154" s="141" t="n"/>
      <c r="D1154" s="141" t="n"/>
      <c r="E1154" s="148" t="n"/>
      <c r="F1154" s="149" t="n"/>
      <c r="G1154" s="150">
        <f>IF(AND(E1154&lt;&gt;"",F1154&lt;&gt;""),E1154*F1154,"")</f>
      </c>
      <c r="H1154" s="148" t="n"/>
      <c r="I1154" s="142" t="n"/>
      <c r="J1154" s="146">
        <f>IF(AND(B1154="",C1154="",D1154="",E1154="",F1154="",H1154=""),"",IF(NOT(ISNUMBER(B1154)),"✗ 日期不是真日期",IF(OR(B1154&lt;年初日,B1154&gt;年末日),"✗ 日期不在本年度",IF(C1154="","✗ 没选供应商",IF(COUNTIF(基础资料!$Q$5:$Q$54,C1154)=0,"✗ 供应商不在基础资料里",IF(D1154="","✗ 没选商品",IF(COUNTIF(基础资料!$E$5:$E$104,D1154)=0,"✗ 商品不在商品档案里",IF(AND(E1154="",H1154=""),"✗ 没填数量",IF(AND(N(E1154)&lt;&gt;0,F1154=""),"✗ 没填进价","√")))))))))</f>
      </c>
    </row>
    <row r="1155">
      <c r="A1155" s="109">
        <f>IF(AND(C1155="",D1155=""),"",ROW()-3)</f>
      </c>
      <c r="B1155" s="140" t="n"/>
      <c r="C1155" s="141" t="n"/>
      <c r="D1155" s="141" t="n"/>
      <c r="E1155" s="148" t="n"/>
      <c r="F1155" s="149" t="n"/>
      <c r="G1155" s="150">
        <f>IF(AND(E1155&lt;&gt;"",F1155&lt;&gt;""),E1155*F1155,"")</f>
      </c>
      <c r="H1155" s="148" t="n"/>
      <c r="I1155" s="142" t="n"/>
      <c r="J1155" s="146">
        <f>IF(AND(B1155="",C1155="",D1155="",E1155="",F1155="",H1155=""),"",IF(NOT(ISNUMBER(B1155)),"✗ 日期不是真日期",IF(OR(B1155&lt;年初日,B1155&gt;年末日),"✗ 日期不在本年度",IF(C1155="","✗ 没选供应商",IF(COUNTIF(基础资料!$Q$5:$Q$54,C1155)=0,"✗ 供应商不在基础资料里",IF(D1155="","✗ 没选商品",IF(COUNTIF(基础资料!$E$5:$E$104,D1155)=0,"✗ 商品不在商品档案里",IF(AND(E1155="",H1155=""),"✗ 没填数量",IF(AND(N(E1155)&lt;&gt;0,F1155=""),"✗ 没填进价","√")))))))))</f>
      </c>
    </row>
    <row r="1156">
      <c r="A1156" s="109">
        <f>IF(AND(C1156="",D1156=""),"",ROW()-3)</f>
      </c>
      <c r="B1156" s="140" t="n"/>
      <c r="C1156" s="141" t="n"/>
      <c r="D1156" s="141" t="n"/>
      <c r="E1156" s="148" t="n"/>
      <c r="F1156" s="149" t="n"/>
      <c r="G1156" s="150">
        <f>IF(AND(E1156&lt;&gt;"",F1156&lt;&gt;""),E1156*F1156,"")</f>
      </c>
      <c r="H1156" s="148" t="n"/>
      <c r="I1156" s="142" t="n"/>
      <c r="J1156" s="146">
        <f>IF(AND(B1156="",C1156="",D1156="",E1156="",F1156="",H1156=""),"",IF(NOT(ISNUMBER(B1156)),"✗ 日期不是真日期",IF(OR(B1156&lt;年初日,B1156&gt;年末日),"✗ 日期不在本年度",IF(C1156="","✗ 没选供应商",IF(COUNTIF(基础资料!$Q$5:$Q$54,C1156)=0,"✗ 供应商不在基础资料里",IF(D1156="","✗ 没选商品",IF(COUNTIF(基础资料!$E$5:$E$104,D1156)=0,"✗ 商品不在商品档案里",IF(AND(E1156="",H1156=""),"✗ 没填数量",IF(AND(N(E1156)&lt;&gt;0,F1156=""),"✗ 没填进价","√")))))))))</f>
      </c>
    </row>
    <row r="1157">
      <c r="A1157" s="109">
        <f>IF(AND(C1157="",D1157=""),"",ROW()-3)</f>
      </c>
      <c r="B1157" s="140" t="n"/>
      <c r="C1157" s="141" t="n"/>
      <c r="D1157" s="141" t="n"/>
      <c r="E1157" s="148" t="n"/>
      <c r="F1157" s="149" t="n"/>
      <c r="G1157" s="150">
        <f>IF(AND(E1157&lt;&gt;"",F1157&lt;&gt;""),E1157*F1157,"")</f>
      </c>
      <c r="H1157" s="148" t="n"/>
      <c r="I1157" s="142" t="n"/>
      <c r="J1157" s="146">
        <f>IF(AND(B1157="",C1157="",D1157="",E1157="",F1157="",H1157=""),"",IF(NOT(ISNUMBER(B1157)),"✗ 日期不是真日期",IF(OR(B1157&lt;年初日,B1157&gt;年末日),"✗ 日期不在本年度",IF(C1157="","✗ 没选供应商",IF(COUNTIF(基础资料!$Q$5:$Q$54,C1157)=0,"✗ 供应商不在基础资料里",IF(D1157="","✗ 没选商品",IF(COUNTIF(基础资料!$E$5:$E$104,D1157)=0,"✗ 商品不在商品档案里",IF(AND(E1157="",H1157=""),"✗ 没填数量",IF(AND(N(E1157)&lt;&gt;0,F1157=""),"✗ 没填进价","√")))))))))</f>
      </c>
    </row>
    <row r="1158">
      <c r="A1158" s="109">
        <f>IF(AND(C1158="",D1158=""),"",ROW()-3)</f>
      </c>
      <c r="B1158" s="140" t="n"/>
      <c r="C1158" s="141" t="n"/>
      <c r="D1158" s="141" t="n"/>
      <c r="E1158" s="148" t="n"/>
      <c r="F1158" s="149" t="n"/>
      <c r="G1158" s="150">
        <f>IF(AND(E1158&lt;&gt;"",F1158&lt;&gt;""),E1158*F1158,"")</f>
      </c>
      <c r="H1158" s="148" t="n"/>
      <c r="I1158" s="142" t="n"/>
      <c r="J1158" s="146">
        <f>IF(AND(B1158="",C1158="",D1158="",E1158="",F1158="",H1158=""),"",IF(NOT(ISNUMBER(B1158)),"✗ 日期不是真日期",IF(OR(B1158&lt;年初日,B1158&gt;年末日),"✗ 日期不在本年度",IF(C1158="","✗ 没选供应商",IF(COUNTIF(基础资料!$Q$5:$Q$54,C1158)=0,"✗ 供应商不在基础资料里",IF(D1158="","✗ 没选商品",IF(COUNTIF(基础资料!$E$5:$E$104,D1158)=0,"✗ 商品不在商品档案里",IF(AND(E1158="",H1158=""),"✗ 没填数量",IF(AND(N(E1158)&lt;&gt;0,F1158=""),"✗ 没填进价","√")))))))))</f>
      </c>
    </row>
    <row r="1159">
      <c r="A1159" s="109">
        <f>IF(AND(C1159="",D1159=""),"",ROW()-3)</f>
      </c>
      <c r="B1159" s="140" t="n"/>
      <c r="C1159" s="141" t="n"/>
      <c r="D1159" s="141" t="n"/>
      <c r="E1159" s="148" t="n"/>
      <c r="F1159" s="149" t="n"/>
      <c r="G1159" s="150">
        <f>IF(AND(E1159&lt;&gt;"",F1159&lt;&gt;""),E1159*F1159,"")</f>
      </c>
      <c r="H1159" s="148" t="n"/>
      <c r="I1159" s="142" t="n"/>
      <c r="J1159" s="146">
        <f>IF(AND(B1159="",C1159="",D1159="",E1159="",F1159="",H1159=""),"",IF(NOT(ISNUMBER(B1159)),"✗ 日期不是真日期",IF(OR(B1159&lt;年初日,B1159&gt;年末日),"✗ 日期不在本年度",IF(C1159="","✗ 没选供应商",IF(COUNTIF(基础资料!$Q$5:$Q$54,C1159)=0,"✗ 供应商不在基础资料里",IF(D1159="","✗ 没选商品",IF(COUNTIF(基础资料!$E$5:$E$104,D1159)=0,"✗ 商品不在商品档案里",IF(AND(E1159="",H1159=""),"✗ 没填数量",IF(AND(N(E1159)&lt;&gt;0,F1159=""),"✗ 没填进价","√")))))))))</f>
      </c>
    </row>
    <row r="1160">
      <c r="A1160" s="109">
        <f>IF(AND(C1160="",D1160=""),"",ROW()-3)</f>
      </c>
      <c r="B1160" s="140" t="n"/>
      <c r="C1160" s="141" t="n"/>
      <c r="D1160" s="141" t="n"/>
      <c r="E1160" s="148" t="n"/>
      <c r="F1160" s="149" t="n"/>
      <c r="G1160" s="150">
        <f>IF(AND(E1160&lt;&gt;"",F1160&lt;&gt;""),E1160*F1160,"")</f>
      </c>
      <c r="H1160" s="148" t="n"/>
      <c r="I1160" s="142" t="n"/>
      <c r="J1160" s="146">
        <f>IF(AND(B1160="",C1160="",D1160="",E1160="",F1160="",H1160=""),"",IF(NOT(ISNUMBER(B1160)),"✗ 日期不是真日期",IF(OR(B1160&lt;年初日,B1160&gt;年末日),"✗ 日期不在本年度",IF(C1160="","✗ 没选供应商",IF(COUNTIF(基础资料!$Q$5:$Q$54,C1160)=0,"✗ 供应商不在基础资料里",IF(D1160="","✗ 没选商品",IF(COUNTIF(基础资料!$E$5:$E$104,D1160)=0,"✗ 商品不在商品档案里",IF(AND(E1160="",H1160=""),"✗ 没填数量",IF(AND(N(E1160)&lt;&gt;0,F1160=""),"✗ 没填进价","√")))))))))</f>
      </c>
    </row>
    <row r="1161">
      <c r="A1161" s="109">
        <f>IF(AND(C1161="",D1161=""),"",ROW()-3)</f>
      </c>
      <c r="B1161" s="140" t="n"/>
      <c r="C1161" s="141" t="n"/>
      <c r="D1161" s="141" t="n"/>
      <c r="E1161" s="148" t="n"/>
      <c r="F1161" s="149" t="n"/>
      <c r="G1161" s="150">
        <f>IF(AND(E1161&lt;&gt;"",F1161&lt;&gt;""),E1161*F1161,"")</f>
      </c>
      <c r="H1161" s="148" t="n"/>
      <c r="I1161" s="142" t="n"/>
      <c r="J1161" s="146">
        <f>IF(AND(B1161="",C1161="",D1161="",E1161="",F1161="",H1161=""),"",IF(NOT(ISNUMBER(B1161)),"✗ 日期不是真日期",IF(OR(B1161&lt;年初日,B1161&gt;年末日),"✗ 日期不在本年度",IF(C1161="","✗ 没选供应商",IF(COUNTIF(基础资料!$Q$5:$Q$54,C1161)=0,"✗ 供应商不在基础资料里",IF(D1161="","✗ 没选商品",IF(COUNTIF(基础资料!$E$5:$E$104,D1161)=0,"✗ 商品不在商品档案里",IF(AND(E1161="",H1161=""),"✗ 没填数量",IF(AND(N(E1161)&lt;&gt;0,F1161=""),"✗ 没填进价","√")))))))))</f>
      </c>
    </row>
    <row r="1162">
      <c r="A1162" s="109">
        <f>IF(AND(C1162="",D1162=""),"",ROW()-3)</f>
      </c>
      <c r="B1162" s="140" t="n"/>
      <c r="C1162" s="141" t="n"/>
      <c r="D1162" s="141" t="n"/>
      <c r="E1162" s="148" t="n"/>
      <c r="F1162" s="149" t="n"/>
      <c r="G1162" s="150">
        <f>IF(AND(E1162&lt;&gt;"",F1162&lt;&gt;""),E1162*F1162,"")</f>
      </c>
      <c r="H1162" s="148" t="n"/>
      <c r="I1162" s="142" t="n"/>
      <c r="J1162" s="146">
        <f>IF(AND(B1162="",C1162="",D1162="",E1162="",F1162="",H1162=""),"",IF(NOT(ISNUMBER(B1162)),"✗ 日期不是真日期",IF(OR(B1162&lt;年初日,B1162&gt;年末日),"✗ 日期不在本年度",IF(C1162="","✗ 没选供应商",IF(COUNTIF(基础资料!$Q$5:$Q$54,C1162)=0,"✗ 供应商不在基础资料里",IF(D1162="","✗ 没选商品",IF(COUNTIF(基础资料!$E$5:$E$104,D1162)=0,"✗ 商品不在商品档案里",IF(AND(E1162="",H1162=""),"✗ 没填数量",IF(AND(N(E1162)&lt;&gt;0,F1162=""),"✗ 没填进价","√")))))))))</f>
      </c>
    </row>
    <row r="1163">
      <c r="A1163" s="109">
        <f>IF(AND(C1163="",D1163=""),"",ROW()-3)</f>
      </c>
      <c r="B1163" s="140" t="n"/>
      <c r="C1163" s="141" t="n"/>
      <c r="D1163" s="141" t="n"/>
      <c r="E1163" s="148" t="n"/>
      <c r="F1163" s="149" t="n"/>
      <c r="G1163" s="150">
        <f>IF(AND(E1163&lt;&gt;"",F1163&lt;&gt;""),E1163*F1163,"")</f>
      </c>
      <c r="H1163" s="148" t="n"/>
      <c r="I1163" s="142" t="n"/>
      <c r="J1163" s="146">
        <f>IF(AND(B1163="",C1163="",D1163="",E1163="",F1163="",H1163=""),"",IF(NOT(ISNUMBER(B1163)),"✗ 日期不是真日期",IF(OR(B1163&lt;年初日,B1163&gt;年末日),"✗ 日期不在本年度",IF(C1163="","✗ 没选供应商",IF(COUNTIF(基础资料!$Q$5:$Q$54,C1163)=0,"✗ 供应商不在基础资料里",IF(D1163="","✗ 没选商品",IF(COUNTIF(基础资料!$E$5:$E$104,D1163)=0,"✗ 商品不在商品档案里",IF(AND(E1163="",H1163=""),"✗ 没填数量",IF(AND(N(E1163)&lt;&gt;0,F1163=""),"✗ 没填进价","√")))))))))</f>
      </c>
    </row>
    <row r="1164">
      <c r="A1164" s="109">
        <f>IF(AND(C1164="",D1164=""),"",ROW()-3)</f>
      </c>
      <c r="B1164" s="140" t="n"/>
      <c r="C1164" s="141" t="n"/>
      <c r="D1164" s="141" t="n"/>
      <c r="E1164" s="148" t="n"/>
      <c r="F1164" s="149" t="n"/>
      <c r="G1164" s="150">
        <f>IF(AND(E1164&lt;&gt;"",F1164&lt;&gt;""),E1164*F1164,"")</f>
      </c>
      <c r="H1164" s="148" t="n"/>
      <c r="I1164" s="142" t="n"/>
      <c r="J1164" s="146">
        <f>IF(AND(B1164="",C1164="",D1164="",E1164="",F1164="",H1164=""),"",IF(NOT(ISNUMBER(B1164)),"✗ 日期不是真日期",IF(OR(B1164&lt;年初日,B1164&gt;年末日),"✗ 日期不在本年度",IF(C1164="","✗ 没选供应商",IF(COUNTIF(基础资料!$Q$5:$Q$54,C1164)=0,"✗ 供应商不在基础资料里",IF(D1164="","✗ 没选商品",IF(COUNTIF(基础资料!$E$5:$E$104,D1164)=0,"✗ 商品不在商品档案里",IF(AND(E1164="",H1164=""),"✗ 没填数量",IF(AND(N(E1164)&lt;&gt;0,F1164=""),"✗ 没填进价","√")))))))))</f>
      </c>
    </row>
    <row r="1165">
      <c r="A1165" s="109">
        <f>IF(AND(C1165="",D1165=""),"",ROW()-3)</f>
      </c>
      <c r="B1165" s="140" t="n"/>
      <c r="C1165" s="141" t="n"/>
      <c r="D1165" s="141" t="n"/>
      <c r="E1165" s="148" t="n"/>
      <c r="F1165" s="149" t="n"/>
      <c r="G1165" s="150">
        <f>IF(AND(E1165&lt;&gt;"",F1165&lt;&gt;""),E1165*F1165,"")</f>
      </c>
      <c r="H1165" s="148" t="n"/>
      <c r="I1165" s="142" t="n"/>
      <c r="J1165" s="146">
        <f>IF(AND(B1165="",C1165="",D1165="",E1165="",F1165="",H1165=""),"",IF(NOT(ISNUMBER(B1165)),"✗ 日期不是真日期",IF(OR(B1165&lt;年初日,B1165&gt;年末日),"✗ 日期不在本年度",IF(C1165="","✗ 没选供应商",IF(COUNTIF(基础资料!$Q$5:$Q$54,C1165)=0,"✗ 供应商不在基础资料里",IF(D1165="","✗ 没选商品",IF(COUNTIF(基础资料!$E$5:$E$104,D1165)=0,"✗ 商品不在商品档案里",IF(AND(E1165="",H1165=""),"✗ 没填数量",IF(AND(N(E1165)&lt;&gt;0,F1165=""),"✗ 没填进价","√")))))))))</f>
      </c>
    </row>
    <row r="1166">
      <c r="A1166" s="109">
        <f>IF(AND(C1166="",D1166=""),"",ROW()-3)</f>
      </c>
      <c r="B1166" s="140" t="n"/>
      <c r="C1166" s="141" t="n"/>
      <c r="D1166" s="141" t="n"/>
      <c r="E1166" s="148" t="n"/>
      <c r="F1166" s="149" t="n"/>
      <c r="G1166" s="150">
        <f>IF(AND(E1166&lt;&gt;"",F1166&lt;&gt;""),E1166*F1166,"")</f>
      </c>
      <c r="H1166" s="148" t="n"/>
      <c r="I1166" s="142" t="n"/>
      <c r="J1166" s="146">
        <f>IF(AND(B1166="",C1166="",D1166="",E1166="",F1166="",H1166=""),"",IF(NOT(ISNUMBER(B1166)),"✗ 日期不是真日期",IF(OR(B1166&lt;年初日,B1166&gt;年末日),"✗ 日期不在本年度",IF(C1166="","✗ 没选供应商",IF(COUNTIF(基础资料!$Q$5:$Q$54,C1166)=0,"✗ 供应商不在基础资料里",IF(D1166="","✗ 没选商品",IF(COUNTIF(基础资料!$E$5:$E$104,D1166)=0,"✗ 商品不在商品档案里",IF(AND(E1166="",H1166=""),"✗ 没填数量",IF(AND(N(E1166)&lt;&gt;0,F1166=""),"✗ 没填进价","√")))))))))</f>
      </c>
    </row>
    <row r="1167">
      <c r="A1167" s="109">
        <f>IF(AND(C1167="",D1167=""),"",ROW()-3)</f>
      </c>
      <c r="B1167" s="140" t="n"/>
      <c r="C1167" s="141" t="n"/>
      <c r="D1167" s="141" t="n"/>
      <c r="E1167" s="148" t="n"/>
      <c r="F1167" s="149" t="n"/>
      <c r="G1167" s="150">
        <f>IF(AND(E1167&lt;&gt;"",F1167&lt;&gt;""),E1167*F1167,"")</f>
      </c>
      <c r="H1167" s="148" t="n"/>
      <c r="I1167" s="142" t="n"/>
      <c r="J1167" s="146">
        <f>IF(AND(B1167="",C1167="",D1167="",E1167="",F1167="",H1167=""),"",IF(NOT(ISNUMBER(B1167)),"✗ 日期不是真日期",IF(OR(B1167&lt;年初日,B1167&gt;年末日),"✗ 日期不在本年度",IF(C1167="","✗ 没选供应商",IF(COUNTIF(基础资料!$Q$5:$Q$54,C1167)=0,"✗ 供应商不在基础资料里",IF(D1167="","✗ 没选商品",IF(COUNTIF(基础资料!$E$5:$E$104,D1167)=0,"✗ 商品不在商品档案里",IF(AND(E1167="",H1167=""),"✗ 没填数量",IF(AND(N(E1167)&lt;&gt;0,F1167=""),"✗ 没填进价","√")))))))))</f>
      </c>
    </row>
    <row r="1168">
      <c r="A1168" s="109">
        <f>IF(AND(C1168="",D1168=""),"",ROW()-3)</f>
      </c>
      <c r="B1168" s="140" t="n"/>
      <c r="C1168" s="141" t="n"/>
      <c r="D1168" s="141" t="n"/>
      <c r="E1168" s="148" t="n"/>
      <c r="F1168" s="149" t="n"/>
      <c r="G1168" s="150">
        <f>IF(AND(E1168&lt;&gt;"",F1168&lt;&gt;""),E1168*F1168,"")</f>
      </c>
      <c r="H1168" s="148" t="n"/>
      <c r="I1168" s="142" t="n"/>
      <c r="J1168" s="146">
        <f>IF(AND(B1168="",C1168="",D1168="",E1168="",F1168="",H1168=""),"",IF(NOT(ISNUMBER(B1168)),"✗ 日期不是真日期",IF(OR(B1168&lt;年初日,B1168&gt;年末日),"✗ 日期不在本年度",IF(C1168="","✗ 没选供应商",IF(COUNTIF(基础资料!$Q$5:$Q$54,C1168)=0,"✗ 供应商不在基础资料里",IF(D1168="","✗ 没选商品",IF(COUNTIF(基础资料!$E$5:$E$104,D1168)=0,"✗ 商品不在商品档案里",IF(AND(E1168="",H1168=""),"✗ 没填数量",IF(AND(N(E1168)&lt;&gt;0,F1168=""),"✗ 没填进价","√")))))))))</f>
      </c>
    </row>
    <row r="1169">
      <c r="A1169" s="109">
        <f>IF(AND(C1169="",D1169=""),"",ROW()-3)</f>
      </c>
      <c r="B1169" s="140" t="n"/>
      <c r="C1169" s="141" t="n"/>
      <c r="D1169" s="141" t="n"/>
      <c r="E1169" s="148" t="n"/>
      <c r="F1169" s="149" t="n"/>
      <c r="G1169" s="150">
        <f>IF(AND(E1169&lt;&gt;"",F1169&lt;&gt;""),E1169*F1169,"")</f>
      </c>
      <c r="H1169" s="148" t="n"/>
      <c r="I1169" s="142" t="n"/>
      <c r="J1169" s="146">
        <f>IF(AND(B1169="",C1169="",D1169="",E1169="",F1169="",H1169=""),"",IF(NOT(ISNUMBER(B1169)),"✗ 日期不是真日期",IF(OR(B1169&lt;年初日,B1169&gt;年末日),"✗ 日期不在本年度",IF(C1169="","✗ 没选供应商",IF(COUNTIF(基础资料!$Q$5:$Q$54,C1169)=0,"✗ 供应商不在基础资料里",IF(D1169="","✗ 没选商品",IF(COUNTIF(基础资料!$E$5:$E$104,D1169)=0,"✗ 商品不在商品档案里",IF(AND(E1169="",H1169=""),"✗ 没填数量",IF(AND(N(E1169)&lt;&gt;0,F1169=""),"✗ 没填进价","√")))))))))</f>
      </c>
    </row>
    <row r="1170">
      <c r="A1170" s="109">
        <f>IF(AND(C1170="",D1170=""),"",ROW()-3)</f>
      </c>
      <c r="B1170" s="140" t="n"/>
      <c r="C1170" s="141" t="n"/>
      <c r="D1170" s="141" t="n"/>
      <c r="E1170" s="148" t="n"/>
      <c r="F1170" s="149" t="n"/>
      <c r="G1170" s="150">
        <f>IF(AND(E1170&lt;&gt;"",F1170&lt;&gt;""),E1170*F1170,"")</f>
      </c>
      <c r="H1170" s="148" t="n"/>
      <c r="I1170" s="142" t="n"/>
      <c r="J1170" s="146">
        <f>IF(AND(B1170="",C1170="",D1170="",E1170="",F1170="",H1170=""),"",IF(NOT(ISNUMBER(B1170)),"✗ 日期不是真日期",IF(OR(B1170&lt;年初日,B1170&gt;年末日),"✗ 日期不在本年度",IF(C1170="","✗ 没选供应商",IF(COUNTIF(基础资料!$Q$5:$Q$54,C1170)=0,"✗ 供应商不在基础资料里",IF(D1170="","✗ 没选商品",IF(COUNTIF(基础资料!$E$5:$E$104,D1170)=0,"✗ 商品不在商品档案里",IF(AND(E1170="",H1170=""),"✗ 没填数量",IF(AND(N(E1170)&lt;&gt;0,F1170=""),"✗ 没填进价","√")))))))))</f>
      </c>
    </row>
    <row r="1171">
      <c r="A1171" s="109">
        <f>IF(AND(C1171="",D1171=""),"",ROW()-3)</f>
      </c>
      <c r="B1171" s="140" t="n"/>
      <c r="C1171" s="141" t="n"/>
      <c r="D1171" s="141" t="n"/>
      <c r="E1171" s="148" t="n"/>
      <c r="F1171" s="149" t="n"/>
      <c r="G1171" s="150">
        <f>IF(AND(E1171&lt;&gt;"",F1171&lt;&gt;""),E1171*F1171,"")</f>
      </c>
      <c r="H1171" s="148" t="n"/>
      <c r="I1171" s="142" t="n"/>
      <c r="J1171" s="146">
        <f>IF(AND(B1171="",C1171="",D1171="",E1171="",F1171="",H1171=""),"",IF(NOT(ISNUMBER(B1171)),"✗ 日期不是真日期",IF(OR(B1171&lt;年初日,B1171&gt;年末日),"✗ 日期不在本年度",IF(C1171="","✗ 没选供应商",IF(COUNTIF(基础资料!$Q$5:$Q$54,C1171)=0,"✗ 供应商不在基础资料里",IF(D1171="","✗ 没选商品",IF(COUNTIF(基础资料!$E$5:$E$104,D1171)=0,"✗ 商品不在商品档案里",IF(AND(E1171="",H1171=""),"✗ 没填数量",IF(AND(N(E1171)&lt;&gt;0,F1171=""),"✗ 没填进价","√")))))))))</f>
      </c>
    </row>
    <row r="1172">
      <c r="A1172" s="109">
        <f>IF(AND(C1172="",D1172=""),"",ROW()-3)</f>
      </c>
      <c r="B1172" s="140" t="n"/>
      <c r="C1172" s="141" t="n"/>
      <c r="D1172" s="141" t="n"/>
      <c r="E1172" s="148" t="n"/>
      <c r="F1172" s="149" t="n"/>
      <c r="G1172" s="150">
        <f>IF(AND(E1172&lt;&gt;"",F1172&lt;&gt;""),E1172*F1172,"")</f>
      </c>
      <c r="H1172" s="148" t="n"/>
      <c r="I1172" s="142" t="n"/>
      <c r="J1172" s="146">
        <f>IF(AND(B1172="",C1172="",D1172="",E1172="",F1172="",H1172=""),"",IF(NOT(ISNUMBER(B1172)),"✗ 日期不是真日期",IF(OR(B1172&lt;年初日,B1172&gt;年末日),"✗ 日期不在本年度",IF(C1172="","✗ 没选供应商",IF(COUNTIF(基础资料!$Q$5:$Q$54,C1172)=0,"✗ 供应商不在基础资料里",IF(D1172="","✗ 没选商品",IF(COUNTIF(基础资料!$E$5:$E$104,D1172)=0,"✗ 商品不在商品档案里",IF(AND(E1172="",H1172=""),"✗ 没填数量",IF(AND(N(E1172)&lt;&gt;0,F1172=""),"✗ 没填进价","√")))))))))</f>
      </c>
    </row>
    <row r="1173">
      <c r="A1173" s="109">
        <f>IF(AND(C1173="",D1173=""),"",ROW()-3)</f>
      </c>
      <c r="B1173" s="140" t="n"/>
      <c r="C1173" s="141" t="n"/>
      <c r="D1173" s="141" t="n"/>
      <c r="E1173" s="148" t="n"/>
      <c r="F1173" s="149" t="n"/>
      <c r="G1173" s="150">
        <f>IF(AND(E1173&lt;&gt;"",F1173&lt;&gt;""),E1173*F1173,"")</f>
      </c>
      <c r="H1173" s="148" t="n"/>
      <c r="I1173" s="142" t="n"/>
      <c r="J1173" s="146">
        <f>IF(AND(B1173="",C1173="",D1173="",E1173="",F1173="",H1173=""),"",IF(NOT(ISNUMBER(B1173)),"✗ 日期不是真日期",IF(OR(B1173&lt;年初日,B1173&gt;年末日),"✗ 日期不在本年度",IF(C1173="","✗ 没选供应商",IF(COUNTIF(基础资料!$Q$5:$Q$54,C1173)=0,"✗ 供应商不在基础资料里",IF(D1173="","✗ 没选商品",IF(COUNTIF(基础资料!$E$5:$E$104,D1173)=0,"✗ 商品不在商品档案里",IF(AND(E1173="",H1173=""),"✗ 没填数量",IF(AND(N(E1173)&lt;&gt;0,F1173=""),"✗ 没填进价","√")))))))))</f>
      </c>
    </row>
    <row r="1174">
      <c r="A1174" s="109">
        <f>IF(AND(C1174="",D1174=""),"",ROW()-3)</f>
      </c>
      <c r="B1174" s="140" t="n"/>
      <c r="C1174" s="141" t="n"/>
      <c r="D1174" s="141" t="n"/>
      <c r="E1174" s="148" t="n"/>
      <c r="F1174" s="149" t="n"/>
      <c r="G1174" s="150">
        <f>IF(AND(E1174&lt;&gt;"",F1174&lt;&gt;""),E1174*F1174,"")</f>
      </c>
      <c r="H1174" s="148" t="n"/>
      <c r="I1174" s="142" t="n"/>
      <c r="J1174" s="146">
        <f>IF(AND(B1174="",C1174="",D1174="",E1174="",F1174="",H1174=""),"",IF(NOT(ISNUMBER(B1174)),"✗ 日期不是真日期",IF(OR(B1174&lt;年初日,B1174&gt;年末日),"✗ 日期不在本年度",IF(C1174="","✗ 没选供应商",IF(COUNTIF(基础资料!$Q$5:$Q$54,C1174)=0,"✗ 供应商不在基础资料里",IF(D1174="","✗ 没选商品",IF(COUNTIF(基础资料!$E$5:$E$104,D1174)=0,"✗ 商品不在商品档案里",IF(AND(E1174="",H1174=""),"✗ 没填数量",IF(AND(N(E1174)&lt;&gt;0,F1174=""),"✗ 没填进价","√")))))))))</f>
      </c>
    </row>
    <row r="1175">
      <c r="A1175" s="109">
        <f>IF(AND(C1175="",D1175=""),"",ROW()-3)</f>
      </c>
      <c r="B1175" s="140" t="n"/>
      <c r="C1175" s="141" t="n"/>
      <c r="D1175" s="141" t="n"/>
      <c r="E1175" s="148" t="n"/>
      <c r="F1175" s="149" t="n"/>
      <c r="G1175" s="150">
        <f>IF(AND(E1175&lt;&gt;"",F1175&lt;&gt;""),E1175*F1175,"")</f>
      </c>
      <c r="H1175" s="148" t="n"/>
      <c r="I1175" s="142" t="n"/>
      <c r="J1175" s="146">
        <f>IF(AND(B1175="",C1175="",D1175="",E1175="",F1175="",H1175=""),"",IF(NOT(ISNUMBER(B1175)),"✗ 日期不是真日期",IF(OR(B1175&lt;年初日,B1175&gt;年末日),"✗ 日期不在本年度",IF(C1175="","✗ 没选供应商",IF(COUNTIF(基础资料!$Q$5:$Q$54,C1175)=0,"✗ 供应商不在基础资料里",IF(D1175="","✗ 没选商品",IF(COUNTIF(基础资料!$E$5:$E$104,D1175)=0,"✗ 商品不在商品档案里",IF(AND(E1175="",H1175=""),"✗ 没填数量",IF(AND(N(E1175)&lt;&gt;0,F1175=""),"✗ 没填进价","√")))))))))</f>
      </c>
    </row>
    <row r="1176">
      <c r="A1176" s="109">
        <f>IF(AND(C1176="",D1176=""),"",ROW()-3)</f>
      </c>
      <c r="B1176" s="140" t="n"/>
      <c r="C1176" s="141" t="n"/>
      <c r="D1176" s="141" t="n"/>
      <c r="E1176" s="148" t="n"/>
      <c r="F1176" s="149" t="n"/>
      <c r="G1176" s="150">
        <f>IF(AND(E1176&lt;&gt;"",F1176&lt;&gt;""),E1176*F1176,"")</f>
      </c>
      <c r="H1176" s="148" t="n"/>
      <c r="I1176" s="142" t="n"/>
      <c r="J1176" s="146">
        <f>IF(AND(B1176="",C1176="",D1176="",E1176="",F1176="",H1176=""),"",IF(NOT(ISNUMBER(B1176)),"✗ 日期不是真日期",IF(OR(B1176&lt;年初日,B1176&gt;年末日),"✗ 日期不在本年度",IF(C1176="","✗ 没选供应商",IF(COUNTIF(基础资料!$Q$5:$Q$54,C1176)=0,"✗ 供应商不在基础资料里",IF(D1176="","✗ 没选商品",IF(COUNTIF(基础资料!$E$5:$E$104,D1176)=0,"✗ 商品不在商品档案里",IF(AND(E1176="",H1176=""),"✗ 没填数量",IF(AND(N(E1176)&lt;&gt;0,F1176=""),"✗ 没填进价","√")))))))))</f>
      </c>
    </row>
    <row r="1177">
      <c r="A1177" s="109">
        <f>IF(AND(C1177="",D1177=""),"",ROW()-3)</f>
      </c>
      <c r="B1177" s="140" t="n"/>
      <c r="C1177" s="141" t="n"/>
      <c r="D1177" s="141" t="n"/>
      <c r="E1177" s="148" t="n"/>
      <c r="F1177" s="149" t="n"/>
      <c r="G1177" s="150">
        <f>IF(AND(E1177&lt;&gt;"",F1177&lt;&gt;""),E1177*F1177,"")</f>
      </c>
      <c r="H1177" s="148" t="n"/>
      <c r="I1177" s="142" t="n"/>
      <c r="J1177" s="146">
        <f>IF(AND(B1177="",C1177="",D1177="",E1177="",F1177="",H1177=""),"",IF(NOT(ISNUMBER(B1177)),"✗ 日期不是真日期",IF(OR(B1177&lt;年初日,B1177&gt;年末日),"✗ 日期不在本年度",IF(C1177="","✗ 没选供应商",IF(COUNTIF(基础资料!$Q$5:$Q$54,C1177)=0,"✗ 供应商不在基础资料里",IF(D1177="","✗ 没选商品",IF(COUNTIF(基础资料!$E$5:$E$104,D1177)=0,"✗ 商品不在商品档案里",IF(AND(E1177="",H1177=""),"✗ 没填数量",IF(AND(N(E1177)&lt;&gt;0,F1177=""),"✗ 没填进价","√")))))))))</f>
      </c>
    </row>
    <row r="1178">
      <c r="A1178" s="109">
        <f>IF(AND(C1178="",D1178=""),"",ROW()-3)</f>
      </c>
      <c r="B1178" s="140" t="n"/>
      <c r="C1178" s="141" t="n"/>
      <c r="D1178" s="141" t="n"/>
      <c r="E1178" s="148" t="n"/>
      <c r="F1178" s="149" t="n"/>
      <c r="G1178" s="150">
        <f>IF(AND(E1178&lt;&gt;"",F1178&lt;&gt;""),E1178*F1178,"")</f>
      </c>
      <c r="H1178" s="148" t="n"/>
      <c r="I1178" s="142" t="n"/>
      <c r="J1178" s="146">
        <f>IF(AND(B1178="",C1178="",D1178="",E1178="",F1178="",H1178=""),"",IF(NOT(ISNUMBER(B1178)),"✗ 日期不是真日期",IF(OR(B1178&lt;年初日,B1178&gt;年末日),"✗ 日期不在本年度",IF(C1178="","✗ 没选供应商",IF(COUNTIF(基础资料!$Q$5:$Q$54,C1178)=0,"✗ 供应商不在基础资料里",IF(D1178="","✗ 没选商品",IF(COUNTIF(基础资料!$E$5:$E$104,D1178)=0,"✗ 商品不在商品档案里",IF(AND(E1178="",H1178=""),"✗ 没填数量",IF(AND(N(E1178)&lt;&gt;0,F1178=""),"✗ 没填进价","√")))))))))</f>
      </c>
    </row>
    <row r="1179">
      <c r="A1179" s="109">
        <f>IF(AND(C1179="",D1179=""),"",ROW()-3)</f>
      </c>
      <c r="B1179" s="140" t="n"/>
      <c r="C1179" s="141" t="n"/>
      <c r="D1179" s="141" t="n"/>
      <c r="E1179" s="148" t="n"/>
      <c r="F1179" s="149" t="n"/>
      <c r="G1179" s="150">
        <f>IF(AND(E1179&lt;&gt;"",F1179&lt;&gt;""),E1179*F1179,"")</f>
      </c>
      <c r="H1179" s="148" t="n"/>
      <c r="I1179" s="142" t="n"/>
      <c r="J1179" s="146">
        <f>IF(AND(B1179="",C1179="",D1179="",E1179="",F1179="",H1179=""),"",IF(NOT(ISNUMBER(B1179)),"✗ 日期不是真日期",IF(OR(B1179&lt;年初日,B1179&gt;年末日),"✗ 日期不在本年度",IF(C1179="","✗ 没选供应商",IF(COUNTIF(基础资料!$Q$5:$Q$54,C1179)=0,"✗ 供应商不在基础资料里",IF(D1179="","✗ 没选商品",IF(COUNTIF(基础资料!$E$5:$E$104,D1179)=0,"✗ 商品不在商品档案里",IF(AND(E1179="",H1179=""),"✗ 没填数量",IF(AND(N(E1179)&lt;&gt;0,F1179=""),"✗ 没填进价","√")))))))))</f>
      </c>
    </row>
    <row r="1180">
      <c r="A1180" s="109">
        <f>IF(AND(C1180="",D1180=""),"",ROW()-3)</f>
      </c>
      <c r="B1180" s="140" t="n"/>
      <c r="C1180" s="141" t="n"/>
      <c r="D1180" s="141" t="n"/>
      <c r="E1180" s="148" t="n"/>
      <c r="F1180" s="149" t="n"/>
      <c r="G1180" s="150">
        <f>IF(AND(E1180&lt;&gt;"",F1180&lt;&gt;""),E1180*F1180,"")</f>
      </c>
      <c r="H1180" s="148" t="n"/>
      <c r="I1180" s="142" t="n"/>
      <c r="J1180" s="146">
        <f>IF(AND(B1180="",C1180="",D1180="",E1180="",F1180="",H1180=""),"",IF(NOT(ISNUMBER(B1180)),"✗ 日期不是真日期",IF(OR(B1180&lt;年初日,B1180&gt;年末日),"✗ 日期不在本年度",IF(C1180="","✗ 没选供应商",IF(COUNTIF(基础资料!$Q$5:$Q$54,C1180)=0,"✗ 供应商不在基础资料里",IF(D1180="","✗ 没选商品",IF(COUNTIF(基础资料!$E$5:$E$104,D1180)=0,"✗ 商品不在商品档案里",IF(AND(E1180="",H1180=""),"✗ 没填数量",IF(AND(N(E1180)&lt;&gt;0,F1180=""),"✗ 没填进价","√")))))))))</f>
      </c>
    </row>
    <row r="1181">
      <c r="A1181" s="109">
        <f>IF(AND(C1181="",D1181=""),"",ROW()-3)</f>
      </c>
      <c r="B1181" s="140" t="n"/>
      <c r="C1181" s="141" t="n"/>
      <c r="D1181" s="141" t="n"/>
      <c r="E1181" s="148" t="n"/>
      <c r="F1181" s="149" t="n"/>
      <c r="G1181" s="150">
        <f>IF(AND(E1181&lt;&gt;"",F1181&lt;&gt;""),E1181*F1181,"")</f>
      </c>
      <c r="H1181" s="148" t="n"/>
      <c r="I1181" s="142" t="n"/>
      <c r="J1181" s="146">
        <f>IF(AND(B1181="",C1181="",D1181="",E1181="",F1181="",H1181=""),"",IF(NOT(ISNUMBER(B1181)),"✗ 日期不是真日期",IF(OR(B1181&lt;年初日,B1181&gt;年末日),"✗ 日期不在本年度",IF(C1181="","✗ 没选供应商",IF(COUNTIF(基础资料!$Q$5:$Q$54,C1181)=0,"✗ 供应商不在基础资料里",IF(D1181="","✗ 没选商品",IF(COUNTIF(基础资料!$E$5:$E$104,D1181)=0,"✗ 商品不在商品档案里",IF(AND(E1181="",H1181=""),"✗ 没填数量",IF(AND(N(E1181)&lt;&gt;0,F1181=""),"✗ 没填进价","√")))))))))</f>
      </c>
    </row>
    <row r="1182">
      <c r="A1182" s="109">
        <f>IF(AND(C1182="",D1182=""),"",ROW()-3)</f>
      </c>
      <c r="B1182" s="140" t="n"/>
      <c r="C1182" s="141" t="n"/>
      <c r="D1182" s="141" t="n"/>
      <c r="E1182" s="148" t="n"/>
      <c r="F1182" s="149" t="n"/>
      <c r="G1182" s="150">
        <f>IF(AND(E1182&lt;&gt;"",F1182&lt;&gt;""),E1182*F1182,"")</f>
      </c>
      <c r="H1182" s="148" t="n"/>
      <c r="I1182" s="142" t="n"/>
      <c r="J1182" s="146">
        <f>IF(AND(B1182="",C1182="",D1182="",E1182="",F1182="",H1182=""),"",IF(NOT(ISNUMBER(B1182)),"✗ 日期不是真日期",IF(OR(B1182&lt;年初日,B1182&gt;年末日),"✗ 日期不在本年度",IF(C1182="","✗ 没选供应商",IF(COUNTIF(基础资料!$Q$5:$Q$54,C1182)=0,"✗ 供应商不在基础资料里",IF(D1182="","✗ 没选商品",IF(COUNTIF(基础资料!$E$5:$E$104,D1182)=0,"✗ 商品不在商品档案里",IF(AND(E1182="",H1182=""),"✗ 没填数量",IF(AND(N(E1182)&lt;&gt;0,F1182=""),"✗ 没填进价","√")))))))))</f>
      </c>
    </row>
    <row r="1183">
      <c r="A1183" s="109">
        <f>IF(AND(C1183="",D1183=""),"",ROW()-3)</f>
      </c>
      <c r="B1183" s="140" t="n"/>
      <c r="C1183" s="141" t="n"/>
      <c r="D1183" s="141" t="n"/>
      <c r="E1183" s="148" t="n"/>
      <c r="F1183" s="149" t="n"/>
      <c r="G1183" s="150">
        <f>IF(AND(E1183&lt;&gt;"",F1183&lt;&gt;""),E1183*F1183,"")</f>
      </c>
      <c r="H1183" s="148" t="n"/>
      <c r="I1183" s="142" t="n"/>
      <c r="J1183" s="146">
        <f>IF(AND(B1183="",C1183="",D1183="",E1183="",F1183="",H1183=""),"",IF(NOT(ISNUMBER(B1183)),"✗ 日期不是真日期",IF(OR(B1183&lt;年初日,B1183&gt;年末日),"✗ 日期不在本年度",IF(C1183="","✗ 没选供应商",IF(COUNTIF(基础资料!$Q$5:$Q$54,C1183)=0,"✗ 供应商不在基础资料里",IF(D1183="","✗ 没选商品",IF(COUNTIF(基础资料!$E$5:$E$104,D1183)=0,"✗ 商品不在商品档案里",IF(AND(E1183="",H1183=""),"✗ 没填数量",IF(AND(N(E1183)&lt;&gt;0,F1183=""),"✗ 没填进价","√")))))))))</f>
      </c>
    </row>
    <row r="1184">
      <c r="A1184" s="109">
        <f>IF(AND(C1184="",D1184=""),"",ROW()-3)</f>
      </c>
      <c r="B1184" s="140" t="n"/>
      <c r="C1184" s="141" t="n"/>
      <c r="D1184" s="141" t="n"/>
      <c r="E1184" s="148" t="n"/>
      <c r="F1184" s="149" t="n"/>
      <c r="G1184" s="150">
        <f>IF(AND(E1184&lt;&gt;"",F1184&lt;&gt;""),E1184*F1184,"")</f>
      </c>
      <c r="H1184" s="148" t="n"/>
      <c r="I1184" s="142" t="n"/>
      <c r="J1184" s="146">
        <f>IF(AND(B1184="",C1184="",D1184="",E1184="",F1184="",H1184=""),"",IF(NOT(ISNUMBER(B1184)),"✗ 日期不是真日期",IF(OR(B1184&lt;年初日,B1184&gt;年末日),"✗ 日期不在本年度",IF(C1184="","✗ 没选供应商",IF(COUNTIF(基础资料!$Q$5:$Q$54,C1184)=0,"✗ 供应商不在基础资料里",IF(D1184="","✗ 没选商品",IF(COUNTIF(基础资料!$E$5:$E$104,D1184)=0,"✗ 商品不在商品档案里",IF(AND(E1184="",H1184=""),"✗ 没填数量",IF(AND(N(E1184)&lt;&gt;0,F1184=""),"✗ 没填进价","√")))))))))</f>
      </c>
    </row>
    <row r="1185">
      <c r="A1185" s="109">
        <f>IF(AND(C1185="",D1185=""),"",ROW()-3)</f>
      </c>
      <c r="B1185" s="140" t="n"/>
      <c r="C1185" s="141" t="n"/>
      <c r="D1185" s="141" t="n"/>
      <c r="E1185" s="148" t="n"/>
      <c r="F1185" s="149" t="n"/>
      <c r="G1185" s="150">
        <f>IF(AND(E1185&lt;&gt;"",F1185&lt;&gt;""),E1185*F1185,"")</f>
      </c>
      <c r="H1185" s="148" t="n"/>
      <c r="I1185" s="142" t="n"/>
      <c r="J1185" s="146">
        <f>IF(AND(B1185="",C1185="",D1185="",E1185="",F1185="",H1185=""),"",IF(NOT(ISNUMBER(B1185)),"✗ 日期不是真日期",IF(OR(B1185&lt;年初日,B1185&gt;年末日),"✗ 日期不在本年度",IF(C1185="","✗ 没选供应商",IF(COUNTIF(基础资料!$Q$5:$Q$54,C1185)=0,"✗ 供应商不在基础资料里",IF(D1185="","✗ 没选商品",IF(COUNTIF(基础资料!$E$5:$E$104,D1185)=0,"✗ 商品不在商品档案里",IF(AND(E1185="",H1185=""),"✗ 没填数量",IF(AND(N(E1185)&lt;&gt;0,F1185=""),"✗ 没填进价","√")))))))))</f>
      </c>
    </row>
    <row r="1186">
      <c r="A1186" s="109">
        <f>IF(AND(C1186="",D1186=""),"",ROW()-3)</f>
      </c>
      <c r="B1186" s="140" t="n"/>
      <c r="C1186" s="141" t="n"/>
      <c r="D1186" s="141" t="n"/>
      <c r="E1186" s="148" t="n"/>
      <c r="F1186" s="149" t="n"/>
      <c r="G1186" s="150">
        <f>IF(AND(E1186&lt;&gt;"",F1186&lt;&gt;""),E1186*F1186,"")</f>
      </c>
      <c r="H1186" s="148" t="n"/>
      <c r="I1186" s="142" t="n"/>
      <c r="J1186" s="146">
        <f>IF(AND(B1186="",C1186="",D1186="",E1186="",F1186="",H1186=""),"",IF(NOT(ISNUMBER(B1186)),"✗ 日期不是真日期",IF(OR(B1186&lt;年初日,B1186&gt;年末日),"✗ 日期不在本年度",IF(C1186="","✗ 没选供应商",IF(COUNTIF(基础资料!$Q$5:$Q$54,C1186)=0,"✗ 供应商不在基础资料里",IF(D1186="","✗ 没选商品",IF(COUNTIF(基础资料!$E$5:$E$104,D1186)=0,"✗ 商品不在商品档案里",IF(AND(E1186="",H1186=""),"✗ 没填数量",IF(AND(N(E1186)&lt;&gt;0,F1186=""),"✗ 没填进价","√")))))))))</f>
      </c>
    </row>
    <row r="1187">
      <c r="A1187" s="109">
        <f>IF(AND(C1187="",D1187=""),"",ROW()-3)</f>
      </c>
      <c r="B1187" s="140" t="n"/>
      <c r="C1187" s="141" t="n"/>
      <c r="D1187" s="141" t="n"/>
      <c r="E1187" s="148" t="n"/>
      <c r="F1187" s="149" t="n"/>
      <c r="G1187" s="150">
        <f>IF(AND(E1187&lt;&gt;"",F1187&lt;&gt;""),E1187*F1187,"")</f>
      </c>
      <c r="H1187" s="148" t="n"/>
      <c r="I1187" s="142" t="n"/>
      <c r="J1187" s="146">
        <f>IF(AND(B1187="",C1187="",D1187="",E1187="",F1187="",H1187=""),"",IF(NOT(ISNUMBER(B1187)),"✗ 日期不是真日期",IF(OR(B1187&lt;年初日,B1187&gt;年末日),"✗ 日期不在本年度",IF(C1187="","✗ 没选供应商",IF(COUNTIF(基础资料!$Q$5:$Q$54,C1187)=0,"✗ 供应商不在基础资料里",IF(D1187="","✗ 没选商品",IF(COUNTIF(基础资料!$E$5:$E$104,D1187)=0,"✗ 商品不在商品档案里",IF(AND(E1187="",H1187=""),"✗ 没填数量",IF(AND(N(E1187)&lt;&gt;0,F1187=""),"✗ 没填进价","√")))))))))</f>
      </c>
    </row>
    <row r="1188">
      <c r="A1188" s="109">
        <f>IF(AND(C1188="",D1188=""),"",ROW()-3)</f>
      </c>
      <c r="B1188" s="140" t="n"/>
      <c r="C1188" s="141" t="n"/>
      <c r="D1188" s="141" t="n"/>
      <c r="E1188" s="148" t="n"/>
      <c r="F1188" s="149" t="n"/>
      <c r="G1188" s="150">
        <f>IF(AND(E1188&lt;&gt;"",F1188&lt;&gt;""),E1188*F1188,"")</f>
      </c>
      <c r="H1188" s="148" t="n"/>
      <c r="I1188" s="142" t="n"/>
      <c r="J1188" s="146">
        <f>IF(AND(B1188="",C1188="",D1188="",E1188="",F1188="",H1188=""),"",IF(NOT(ISNUMBER(B1188)),"✗ 日期不是真日期",IF(OR(B1188&lt;年初日,B1188&gt;年末日),"✗ 日期不在本年度",IF(C1188="","✗ 没选供应商",IF(COUNTIF(基础资料!$Q$5:$Q$54,C1188)=0,"✗ 供应商不在基础资料里",IF(D1188="","✗ 没选商品",IF(COUNTIF(基础资料!$E$5:$E$104,D1188)=0,"✗ 商品不在商品档案里",IF(AND(E1188="",H1188=""),"✗ 没填数量",IF(AND(N(E1188)&lt;&gt;0,F1188=""),"✗ 没填进价","√")))))))))</f>
      </c>
    </row>
    <row r="1189">
      <c r="A1189" s="109">
        <f>IF(AND(C1189="",D1189=""),"",ROW()-3)</f>
      </c>
      <c r="B1189" s="140" t="n"/>
      <c r="C1189" s="141" t="n"/>
      <c r="D1189" s="141" t="n"/>
      <c r="E1189" s="148" t="n"/>
      <c r="F1189" s="149" t="n"/>
      <c r="G1189" s="150">
        <f>IF(AND(E1189&lt;&gt;"",F1189&lt;&gt;""),E1189*F1189,"")</f>
      </c>
      <c r="H1189" s="148" t="n"/>
      <c r="I1189" s="142" t="n"/>
      <c r="J1189" s="146">
        <f>IF(AND(B1189="",C1189="",D1189="",E1189="",F1189="",H1189=""),"",IF(NOT(ISNUMBER(B1189)),"✗ 日期不是真日期",IF(OR(B1189&lt;年初日,B1189&gt;年末日),"✗ 日期不在本年度",IF(C1189="","✗ 没选供应商",IF(COUNTIF(基础资料!$Q$5:$Q$54,C1189)=0,"✗ 供应商不在基础资料里",IF(D1189="","✗ 没选商品",IF(COUNTIF(基础资料!$E$5:$E$104,D1189)=0,"✗ 商品不在商品档案里",IF(AND(E1189="",H1189=""),"✗ 没填数量",IF(AND(N(E1189)&lt;&gt;0,F1189=""),"✗ 没填进价","√")))))))))</f>
      </c>
    </row>
    <row r="1190">
      <c r="A1190" s="109">
        <f>IF(AND(C1190="",D1190=""),"",ROW()-3)</f>
      </c>
      <c r="B1190" s="140" t="n"/>
      <c r="C1190" s="141" t="n"/>
      <c r="D1190" s="141" t="n"/>
      <c r="E1190" s="148" t="n"/>
      <c r="F1190" s="149" t="n"/>
      <c r="G1190" s="150">
        <f>IF(AND(E1190&lt;&gt;"",F1190&lt;&gt;""),E1190*F1190,"")</f>
      </c>
      <c r="H1190" s="148" t="n"/>
      <c r="I1190" s="142" t="n"/>
      <c r="J1190" s="146">
        <f>IF(AND(B1190="",C1190="",D1190="",E1190="",F1190="",H1190=""),"",IF(NOT(ISNUMBER(B1190)),"✗ 日期不是真日期",IF(OR(B1190&lt;年初日,B1190&gt;年末日),"✗ 日期不在本年度",IF(C1190="","✗ 没选供应商",IF(COUNTIF(基础资料!$Q$5:$Q$54,C1190)=0,"✗ 供应商不在基础资料里",IF(D1190="","✗ 没选商品",IF(COUNTIF(基础资料!$E$5:$E$104,D1190)=0,"✗ 商品不在商品档案里",IF(AND(E1190="",H1190=""),"✗ 没填数量",IF(AND(N(E1190)&lt;&gt;0,F1190=""),"✗ 没填进价","√")))))))))</f>
      </c>
    </row>
    <row r="1191">
      <c r="A1191" s="109">
        <f>IF(AND(C1191="",D1191=""),"",ROW()-3)</f>
      </c>
      <c r="B1191" s="140" t="n"/>
      <c r="C1191" s="141" t="n"/>
      <c r="D1191" s="141" t="n"/>
      <c r="E1191" s="148" t="n"/>
      <c r="F1191" s="149" t="n"/>
      <c r="G1191" s="150">
        <f>IF(AND(E1191&lt;&gt;"",F1191&lt;&gt;""),E1191*F1191,"")</f>
      </c>
      <c r="H1191" s="148" t="n"/>
      <c r="I1191" s="142" t="n"/>
      <c r="J1191" s="146">
        <f>IF(AND(B1191="",C1191="",D1191="",E1191="",F1191="",H1191=""),"",IF(NOT(ISNUMBER(B1191)),"✗ 日期不是真日期",IF(OR(B1191&lt;年初日,B1191&gt;年末日),"✗ 日期不在本年度",IF(C1191="","✗ 没选供应商",IF(COUNTIF(基础资料!$Q$5:$Q$54,C1191)=0,"✗ 供应商不在基础资料里",IF(D1191="","✗ 没选商品",IF(COUNTIF(基础资料!$E$5:$E$104,D1191)=0,"✗ 商品不在商品档案里",IF(AND(E1191="",H1191=""),"✗ 没填数量",IF(AND(N(E1191)&lt;&gt;0,F1191=""),"✗ 没填进价","√")))))))))</f>
      </c>
    </row>
    <row r="1192">
      <c r="A1192" s="109">
        <f>IF(AND(C1192="",D1192=""),"",ROW()-3)</f>
      </c>
      <c r="B1192" s="140" t="n"/>
      <c r="C1192" s="141" t="n"/>
      <c r="D1192" s="141" t="n"/>
      <c r="E1192" s="148" t="n"/>
      <c r="F1192" s="149" t="n"/>
      <c r="G1192" s="150">
        <f>IF(AND(E1192&lt;&gt;"",F1192&lt;&gt;""),E1192*F1192,"")</f>
      </c>
      <c r="H1192" s="148" t="n"/>
      <c r="I1192" s="142" t="n"/>
      <c r="J1192" s="146">
        <f>IF(AND(B1192="",C1192="",D1192="",E1192="",F1192="",H1192=""),"",IF(NOT(ISNUMBER(B1192)),"✗ 日期不是真日期",IF(OR(B1192&lt;年初日,B1192&gt;年末日),"✗ 日期不在本年度",IF(C1192="","✗ 没选供应商",IF(COUNTIF(基础资料!$Q$5:$Q$54,C1192)=0,"✗ 供应商不在基础资料里",IF(D1192="","✗ 没选商品",IF(COUNTIF(基础资料!$E$5:$E$104,D1192)=0,"✗ 商品不在商品档案里",IF(AND(E1192="",H1192=""),"✗ 没填数量",IF(AND(N(E1192)&lt;&gt;0,F1192=""),"✗ 没填进价","√")))))))))</f>
      </c>
    </row>
    <row r="1193">
      <c r="A1193" s="109">
        <f>IF(AND(C1193="",D1193=""),"",ROW()-3)</f>
      </c>
      <c r="B1193" s="140" t="n"/>
      <c r="C1193" s="141" t="n"/>
      <c r="D1193" s="141" t="n"/>
      <c r="E1193" s="148" t="n"/>
      <c r="F1193" s="149" t="n"/>
      <c r="G1193" s="150">
        <f>IF(AND(E1193&lt;&gt;"",F1193&lt;&gt;""),E1193*F1193,"")</f>
      </c>
      <c r="H1193" s="148" t="n"/>
      <c r="I1193" s="142" t="n"/>
      <c r="J1193" s="146">
        <f>IF(AND(B1193="",C1193="",D1193="",E1193="",F1193="",H1193=""),"",IF(NOT(ISNUMBER(B1193)),"✗ 日期不是真日期",IF(OR(B1193&lt;年初日,B1193&gt;年末日),"✗ 日期不在本年度",IF(C1193="","✗ 没选供应商",IF(COUNTIF(基础资料!$Q$5:$Q$54,C1193)=0,"✗ 供应商不在基础资料里",IF(D1193="","✗ 没选商品",IF(COUNTIF(基础资料!$E$5:$E$104,D1193)=0,"✗ 商品不在商品档案里",IF(AND(E1193="",H1193=""),"✗ 没填数量",IF(AND(N(E1193)&lt;&gt;0,F1193=""),"✗ 没填进价","√")))))))))</f>
      </c>
    </row>
    <row r="1194">
      <c r="A1194" s="109">
        <f>IF(AND(C1194="",D1194=""),"",ROW()-3)</f>
      </c>
      <c r="B1194" s="140" t="n"/>
      <c r="C1194" s="141" t="n"/>
      <c r="D1194" s="141" t="n"/>
      <c r="E1194" s="148" t="n"/>
      <c r="F1194" s="149" t="n"/>
      <c r="G1194" s="150">
        <f>IF(AND(E1194&lt;&gt;"",F1194&lt;&gt;""),E1194*F1194,"")</f>
      </c>
      <c r="H1194" s="148" t="n"/>
      <c r="I1194" s="142" t="n"/>
      <c r="J1194" s="146">
        <f>IF(AND(B1194="",C1194="",D1194="",E1194="",F1194="",H1194=""),"",IF(NOT(ISNUMBER(B1194)),"✗ 日期不是真日期",IF(OR(B1194&lt;年初日,B1194&gt;年末日),"✗ 日期不在本年度",IF(C1194="","✗ 没选供应商",IF(COUNTIF(基础资料!$Q$5:$Q$54,C1194)=0,"✗ 供应商不在基础资料里",IF(D1194="","✗ 没选商品",IF(COUNTIF(基础资料!$E$5:$E$104,D1194)=0,"✗ 商品不在商品档案里",IF(AND(E1194="",H1194=""),"✗ 没填数量",IF(AND(N(E1194)&lt;&gt;0,F1194=""),"✗ 没填进价","√")))))))))</f>
      </c>
    </row>
    <row r="1195">
      <c r="A1195" s="109">
        <f>IF(AND(C1195="",D1195=""),"",ROW()-3)</f>
      </c>
      <c r="B1195" s="140" t="n"/>
      <c r="C1195" s="141" t="n"/>
      <c r="D1195" s="141" t="n"/>
      <c r="E1195" s="148" t="n"/>
      <c r="F1195" s="149" t="n"/>
      <c r="G1195" s="150">
        <f>IF(AND(E1195&lt;&gt;"",F1195&lt;&gt;""),E1195*F1195,"")</f>
      </c>
      <c r="H1195" s="148" t="n"/>
      <c r="I1195" s="142" t="n"/>
      <c r="J1195" s="146">
        <f>IF(AND(B1195="",C1195="",D1195="",E1195="",F1195="",H1195=""),"",IF(NOT(ISNUMBER(B1195)),"✗ 日期不是真日期",IF(OR(B1195&lt;年初日,B1195&gt;年末日),"✗ 日期不在本年度",IF(C1195="","✗ 没选供应商",IF(COUNTIF(基础资料!$Q$5:$Q$54,C1195)=0,"✗ 供应商不在基础资料里",IF(D1195="","✗ 没选商品",IF(COUNTIF(基础资料!$E$5:$E$104,D1195)=0,"✗ 商品不在商品档案里",IF(AND(E1195="",H1195=""),"✗ 没填数量",IF(AND(N(E1195)&lt;&gt;0,F1195=""),"✗ 没填进价","√")))))))))</f>
      </c>
    </row>
    <row r="1196">
      <c r="A1196" s="109">
        <f>IF(AND(C1196="",D1196=""),"",ROW()-3)</f>
      </c>
      <c r="B1196" s="140" t="n"/>
      <c r="C1196" s="141" t="n"/>
      <c r="D1196" s="141" t="n"/>
      <c r="E1196" s="148" t="n"/>
      <c r="F1196" s="149" t="n"/>
      <c r="G1196" s="150">
        <f>IF(AND(E1196&lt;&gt;"",F1196&lt;&gt;""),E1196*F1196,"")</f>
      </c>
      <c r="H1196" s="148" t="n"/>
      <c r="I1196" s="142" t="n"/>
      <c r="J1196" s="146">
        <f>IF(AND(B1196="",C1196="",D1196="",E1196="",F1196="",H1196=""),"",IF(NOT(ISNUMBER(B1196)),"✗ 日期不是真日期",IF(OR(B1196&lt;年初日,B1196&gt;年末日),"✗ 日期不在本年度",IF(C1196="","✗ 没选供应商",IF(COUNTIF(基础资料!$Q$5:$Q$54,C1196)=0,"✗ 供应商不在基础资料里",IF(D1196="","✗ 没选商品",IF(COUNTIF(基础资料!$E$5:$E$104,D1196)=0,"✗ 商品不在商品档案里",IF(AND(E1196="",H1196=""),"✗ 没填数量",IF(AND(N(E1196)&lt;&gt;0,F1196=""),"✗ 没填进价","√")))))))))</f>
      </c>
    </row>
    <row r="1197">
      <c r="A1197" s="109">
        <f>IF(AND(C1197="",D1197=""),"",ROW()-3)</f>
      </c>
      <c r="B1197" s="140" t="n"/>
      <c r="C1197" s="141" t="n"/>
      <c r="D1197" s="141" t="n"/>
      <c r="E1197" s="148" t="n"/>
      <c r="F1197" s="149" t="n"/>
      <c r="G1197" s="150">
        <f>IF(AND(E1197&lt;&gt;"",F1197&lt;&gt;""),E1197*F1197,"")</f>
      </c>
      <c r="H1197" s="148" t="n"/>
      <c r="I1197" s="142" t="n"/>
      <c r="J1197" s="146">
        <f>IF(AND(B1197="",C1197="",D1197="",E1197="",F1197="",H1197=""),"",IF(NOT(ISNUMBER(B1197)),"✗ 日期不是真日期",IF(OR(B1197&lt;年初日,B1197&gt;年末日),"✗ 日期不在本年度",IF(C1197="","✗ 没选供应商",IF(COUNTIF(基础资料!$Q$5:$Q$54,C1197)=0,"✗ 供应商不在基础资料里",IF(D1197="","✗ 没选商品",IF(COUNTIF(基础资料!$E$5:$E$104,D1197)=0,"✗ 商品不在商品档案里",IF(AND(E1197="",H1197=""),"✗ 没填数量",IF(AND(N(E1197)&lt;&gt;0,F1197=""),"✗ 没填进价","√")))))))))</f>
      </c>
    </row>
    <row r="1198">
      <c r="A1198" s="109">
        <f>IF(AND(C1198="",D1198=""),"",ROW()-3)</f>
      </c>
      <c r="B1198" s="140" t="n"/>
      <c r="C1198" s="141" t="n"/>
      <c r="D1198" s="141" t="n"/>
      <c r="E1198" s="148" t="n"/>
      <c r="F1198" s="149" t="n"/>
      <c r="G1198" s="150">
        <f>IF(AND(E1198&lt;&gt;"",F1198&lt;&gt;""),E1198*F1198,"")</f>
      </c>
      <c r="H1198" s="148" t="n"/>
      <c r="I1198" s="142" t="n"/>
      <c r="J1198" s="146">
        <f>IF(AND(B1198="",C1198="",D1198="",E1198="",F1198="",H1198=""),"",IF(NOT(ISNUMBER(B1198)),"✗ 日期不是真日期",IF(OR(B1198&lt;年初日,B1198&gt;年末日),"✗ 日期不在本年度",IF(C1198="","✗ 没选供应商",IF(COUNTIF(基础资料!$Q$5:$Q$54,C1198)=0,"✗ 供应商不在基础资料里",IF(D1198="","✗ 没选商品",IF(COUNTIF(基础资料!$E$5:$E$104,D1198)=0,"✗ 商品不在商品档案里",IF(AND(E1198="",H1198=""),"✗ 没填数量",IF(AND(N(E1198)&lt;&gt;0,F1198=""),"✗ 没填进价","√")))))))))</f>
      </c>
    </row>
    <row r="1199">
      <c r="A1199" s="109">
        <f>IF(AND(C1199="",D1199=""),"",ROW()-3)</f>
      </c>
      <c r="B1199" s="140" t="n"/>
      <c r="C1199" s="141" t="n"/>
      <c r="D1199" s="141" t="n"/>
      <c r="E1199" s="148" t="n"/>
      <c r="F1199" s="149" t="n"/>
      <c r="G1199" s="150">
        <f>IF(AND(E1199&lt;&gt;"",F1199&lt;&gt;""),E1199*F1199,"")</f>
      </c>
      <c r="H1199" s="148" t="n"/>
      <c r="I1199" s="142" t="n"/>
      <c r="J1199" s="146">
        <f>IF(AND(B1199="",C1199="",D1199="",E1199="",F1199="",H1199=""),"",IF(NOT(ISNUMBER(B1199)),"✗ 日期不是真日期",IF(OR(B1199&lt;年初日,B1199&gt;年末日),"✗ 日期不在本年度",IF(C1199="","✗ 没选供应商",IF(COUNTIF(基础资料!$Q$5:$Q$54,C1199)=0,"✗ 供应商不在基础资料里",IF(D1199="","✗ 没选商品",IF(COUNTIF(基础资料!$E$5:$E$104,D1199)=0,"✗ 商品不在商品档案里",IF(AND(E1199="",H1199=""),"✗ 没填数量",IF(AND(N(E1199)&lt;&gt;0,F1199=""),"✗ 没填进价","√")))))))))</f>
      </c>
    </row>
    <row r="1200">
      <c r="A1200" s="109">
        <f>IF(AND(C1200="",D1200=""),"",ROW()-3)</f>
      </c>
      <c r="B1200" s="140" t="n"/>
      <c r="C1200" s="141" t="n"/>
      <c r="D1200" s="141" t="n"/>
      <c r="E1200" s="148" t="n"/>
      <c r="F1200" s="149" t="n"/>
      <c r="G1200" s="150">
        <f>IF(AND(E1200&lt;&gt;"",F1200&lt;&gt;""),E1200*F1200,"")</f>
      </c>
      <c r="H1200" s="148" t="n"/>
      <c r="I1200" s="142" t="n"/>
      <c r="J1200" s="146">
        <f>IF(AND(B1200="",C1200="",D1200="",E1200="",F1200="",H1200=""),"",IF(NOT(ISNUMBER(B1200)),"✗ 日期不是真日期",IF(OR(B1200&lt;年初日,B1200&gt;年末日),"✗ 日期不在本年度",IF(C1200="","✗ 没选供应商",IF(COUNTIF(基础资料!$Q$5:$Q$54,C1200)=0,"✗ 供应商不在基础资料里",IF(D1200="","✗ 没选商品",IF(COUNTIF(基础资料!$E$5:$E$104,D1200)=0,"✗ 商品不在商品档案里",IF(AND(E1200="",H1200=""),"✗ 没填数量",IF(AND(N(E1200)&lt;&gt;0,F1200=""),"✗ 没填进价","√")))))))))</f>
      </c>
    </row>
    <row r="1201">
      <c r="A1201" s="109">
        <f>IF(AND(C1201="",D1201=""),"",ROW()-3)</f>
      </c>
      <c r="B1201" s="140" t="n"/>
      <c r="C1201" s="141" t="n"/>
      <c r="D1201" s="141" t="n"/>
      <c r="E1201" s="148" t="n"/>
      <c r="F1201" s="149" t="n"/>
      <c r="G1201" s="150">
        <f>IF(AND(E1201&lt;&gt;"",F1201&lt;&gt;""),E1201*F1201,"")</f>
      </c>
      <c r="H1201" s="148" t="n"/>
      <c r="I1201" s="142" t="n"/>
      <c r="J1201" s="146">
        <f>IF(AND(B1201="",C1201="",D1201="",E1201="",F1201="",H1201=""),"",IF(NOT(ISNUMBER(B1201)),"✗ 日期不是真日期",IF(OR(B1201&lt;年初日,B1201&gt;年末日),"✗ 日期不在本年度",IF(C1201="","✗ 没选供应商",IF(COUNTIF(基础资料!$Q$5:$Q$54,C1201)=0,"✗ 供应商不在基础资料里",IF(D1201="","✗ 没选商品",IF(COUNTIF(基础资料!$E$5:$E$104,D1201)=0,"✗ 商品不在商品档案里",IF(AND(E1201="",H1201=""),"✗ 没填数量",IF(AND(N(E1201)&lt;&gt;0,F1201=""),"✗ 没填进价","√")))))))))</f>
      </c>
    </row>
    <row r="1202">
      <c r="A1202" s="109">
        <f>IF(AND(C1202="",D1202=""),"",ROW()-3)</f>
      </c>
      <c r="B1202" s="140" t="n"/>
      <c r="C1202" s="141" t="n"/>
      <c r="D1202" s="141" t="n"/>
      <c r="E1202" s="148" t="n"/>
      <c r="F1202" s="149" t="n"/>
      <c r="G1202" s="150">
        <f>IF(AND(E1202&lt;&gt;"",F1202&lt;&gt;""),E1202*F1202,"")</f>
      </c>
      <c r="H1202" s="148" t="n"/>
      <c r="I1202" s="142" t="n"/>
      <c r="J1202" s="146">
        <f>IF(AND(B1202="",C1202="",D1202="",E1202="",F1202="",H1202=""),"",IF(NOT(ISNUMBER(B1202)),"✗ 日期不是真日期",IF(OR(B1202&lt;年初日,B1202&gt;年末日),"✗ 日期不在本年度",IF(C1202="","✗ 没选供应商",IF(COUNTIF(基础资料!$Q$5:$Q$54,C1202)=0,"✗ 供应商不在基础资料里",IF(D1202="","✗ 没选商品",IF(COUNTIF(基础资料!$E$5:$E$104,D1202)=0,"✗ 商品不在商品档案里",IF(AND(E1202="",H1202=""),"✗ 没填数量",IF(AND(N(E1202)&lt;&gt;0,F1202=""),"✗ 没填进价","√")))))))))</f>
      </c>
    </row>
    <row r="1203">
      <c r="A1203" s="109">
        <f>IF(AND(C1203="",D1203=""),"",ROW()-3)</f>
      </c>
      <c r="B1203" s="140" t="n"/>
      <c r="C1203" s="141" t="n"/>
      <c r="D1203" s="141" t="n"/>
      <c r="E1203" s="148" t="n"/>
      <c r="F1203" s="149" t="n"/>
      <c r="G1203" s="150">
        <f>IF(AND(E1203&lt;&gt;"",F1203&lt;&gt;""),E1203*F1203,"")</f>
      </c>
      <c r="H1203" s="148" t="n"/>
      <c r="I1203" s="142" t="n"/>
      <c r="J1203" s="146">
        <f>IF(AND(B1203="",C1203="",D1203="",E1203="",F1203="",H1203=""),"",IF(NOT(ISNUMBER(B1203)),"✗ 日期不是真日期",IF(OR(B1203&lt;年初日,B1203&gt;年末日),"✗ 日期不在本年度",IF(C1203="","✗ 没选供应商",IF(COUNTIF(基础资料!$Q$5:$Q$54,C1203)=0,"✗ 供应商不在基础资料里",IF(D1203="","✗ 没选商品",IF(COUNTIF(基础资料!$E$5:$E$104,D1203)=0,"✗ 商品不在商品档案里",IF(AND(E1203="",H1203=""),"✗ 没填数量",IF(AND(N(E1203)&lt;&gt;0,F1203=""),"✗ 没填进价","√")))))))))</f>
      </c>
    </row>
    <row r="1204">
      <c r="A1204" s="109">
        <f>IF(AND(C1204="",D1204=""),"",ROW()-3)</f>
      </c>
      <c r="B1204" s="140" t="n"/>
      <c r="C1204" s="141" t="n"/>
      <c r="D1204" s="141" t="n"/>
      <c r="E1204" s="148" t="n"/>
      <c r="F1204" s="149" t="n"/>
      <c r="G1204" s="150">
        <f>IF(AND(E1204&lt;&gt;"",F1204&lt;&gt;""),E1204*F1204,"")</f>
      </c>
      <c r="H1204" s="148" t="n"/>
      <c r="I1204" s="142" t="n"/>
      <c r="J1204" s="146">
        <f>IF(AND(B1204="",C1204="",D1204="",E1204="",F1204="",H1204=""),"",IF(NOT(ISNUMBER(B1204)),"✗ 日期不是真日期",IF(OR(B1204&lt;年初日,B1204&gt;年末日),"✗ 日期不在本年度",IF(C1204="","✗ 没选供应商",IF(COUNTIF(基础资料!$Q$5:$Q$54,C1204)=0,"✗ 供应商不在基础资料里",IF(D1204="","✗ 没选商品",IF(COUNTIF(基础资料!$E$5:$E$104,D1204)=0,"✗ 商品不在商品档案里",IF(AND(E1204="",H1204=""),"✗ 没填数量",IF(AND(N(E1204)&lt;&gt;0,F1204=""),"✗ 没填进价","√")))))))))</f>
      </c>
    </row>
    <row r="1205">
      <c r="A1205" s="109">
        <f>IF(AND(C1205="",D1205=""),"",ROW()-3)</f>
      </c>
      <c r="B1205" s="140" t="n"/>
      <c r="C1205" s="141" t="n"/>
      <c r="D1205" s="141" t="n"/>
      <c r="E1205" s="148" t="n"/>
      <c r="F1205" s="149" t="n"/>
      <c r="G1205" s="150">
        <f>IF(AND(E1205&lt;&gt;"",F1205&lt;&gt;""),E1205*F1205,"")</f>
      </c>
      <c r="H1205" s="148" t="n"/>
      <c r="I1205" s="142" t="n"/>
      <c r="J1205" s="146">
        <f>IF(AND(B1205="",C1205="",D1205="",E1205="",F1205="",H1205=""),"",IF(NOT(ISNUMBER(B1205)),"✗ 日期不是真日期",IF(OR(B1205&lt;年初日,B1205&gt;年末日),"✗ 日期不在本年度",IF(C1205="","✗ 没选供应商",IF(COUNTIF(基础资料!$Q$5:$Q$54,C1205)=0,"✗ 供应商不在基础资料里",IF(D1205="","✗ 没选商品",IF(COUNTIF(基础资料!$E$5:$E$104,D1205)=0,"✗ 商品不在商品档案里",IF(AND(E1205="",H1205=""),"✗ 没填数量",IF(AND(N(E1205)&lt;&gt;0,F1205=""),"✗ 没填进价","√")))))))))</f>
      </c>
    </row>
    <row r="1206">
      <c r="A1206" s="109">
        <f>IF(AND(C1206="",D1206=""),"",ROW()-3)</f>
      </c>
      <c r="B1206" s="140" t="n"/>
      <c r="C1206" s="141" t="n"/>
      <c r="D1206" s="141" t="n"/>
      <c r="E1206" s="148" t="n"/>
      <c r="F1206" s="149" t="n"/>
      <c r="G1206" s="150">
        <f>IF(AND(E1206&lt;&gt;"",F1206&lt;&gt;""),E1206*F1206,"")</f>
      </c>
      <c r="H1206" s="148" t="n"/>
      <c r="I1206" s="142" t="n"/>
      <c r="J1206" s="146">
        <f>IF(AND(B1206="",C1206="",D1206="",E1206="",F1206="",H1206=""),"",IF(NOT(ISNUMBER(B1206)),"✗ 日期不是真日期",IF(OR(B1206&lt;年初日,B1206&gt;年末日),"✗ 日期不在本年度",IF(C1206="","✗ 没选供应商",IF(COUNTIF(基础资料!$Q$5:$Q$54,C1206)=0,"✗ 供应商不在基础资料里",IF(D1206="","✗ 没选商品",IF(COUNTIF(基础资料!$E$5:$E$104,D1206)=0,"✗ 商品不在商品档案里",IF(AND(E1206="",H1206=""),"✗ 没填数量",IF(AND(N(E1206)&lt;&gt;0,F1206=""),"✗ 没填进价","√")))))))))</f>
      </c>
    </row>
    <row r="1207">
      <c r="A1207" s="109">
        <f>IF(AND(C1207="",D1207=""),"",ROW()-3)</f>
      </c>
      <c r="B1207" s="140" t="n"/>
      <c r="C1207" s="141" t="n"/>
      <c r="D1207" s="141" t="n"/>
      <c r="E1207" s="148" t="n"/>
      <c r="F1207" s="149" t="n"/>
      <c r="G1207" s="150">
        <f>IF(AND(E1207&lt;&gt;"",F1207&lt;&gt;""),E1207*F1207,"")</f>
      </c>
      <c r="H1207" s="148" t="n"/>
      <c r="I1207" s="142" t="n"/>
      <c r="J1207" s="146">
        <f>IF(AND(B1207="",C1207="",D1207="",E1207="",F1207="",H1207=""),"",IF(NOT(ISNUMBER(B1207)),"✗ 日期不是真日期",IF(OR(B1207&lt;年初日,B1207&gt;年末日),"✗ 日期不在本年度",IF(C1207="","✗ 没选供应商",IF(COUNTIF(基础资料!$Q$5:$Q$54,C1207)=0,"✗ 供应商不在基础资料里",IF(D1207="","✗ 没选商品",IF(COUNTIF(基础资料!$E$5:$E$104,D1207)=0,"✗ 商品不在商品档案里",IF(AND(E1207="",H1207=""),"✗ 没填数量",IF(AND(N(E1207)&lt;&gt;0,F1207=""),"✗ 没填进价","√")))))))))</f>
      </c>
    </row>
    <row r="1208">
      <c r="A1208" s="109">
        <f>IF(AND(C1208="",D1208=""),"",ROW()-3)</f>
      </c>
      <c r="B1208" s="140" t="n"/>
      <c r="C1208" s="141" t="n"/>
      <c r="D1208" s="141" t="n"/>
      <c r="E1208" s="148" t="n"/>
      <c r="F1208" s="149" t="n"/>
      <c r="G1208" s="150">
        <f>IF(AND(E1208&lt;&gt;"",F1208&lt;&gt;""),E1208*F1208,"")</f>
      </c>
      <c r="H1208" s="148" t="n"/>
      <c r="I1208" s="142" t="n"/>
      <c r="J1208" s="146">
        <f>IF(AND(B1208="",C1208="",D1208="",E1208="",F1208="",H1208=""),"",IF(NOT(ISNUMBER(B1208)),"✗ 日期不是真日期",IF(OR(B1208&lt;年初日,B1208&gt;年末日),"✗ 日期不在本年度",IF(C1208="","✗ 没选供应商",IF(COUNTIF(基础资料!$Q$5:$Q$54,C1208)=0,"✗ 供应商不在基础资料里",IF(D1208="","✗ 没选商品",IF(COUNTIF(基础资料!$E$5:$E$104,D1208)=0,"✗ 商品不在商品档案里",IF(AND(E1208="",H1208=""),"✗ 没填数量",IF(AND(N(E1208)&lt;&gt;0,F1208=""),"✗ 没填进价","√")))))))))</f>
      </c>
    </row>
    <row r="1209">
      <c r="A1209" s="109">
        <f>IF(AND(C1209="",D1209=""),"",ROW()-3)</f>
      </c>
      <c r="B1209" s="140" t="n"/>
      <c r="C1209" s="141" t="n"/>
      <c r="D1209" s="141" t="n"/>
      <c r="E1209" s="148" t="n"/>
      <c r="F1209" s="149" t="n"/>
      <c r="G1209" s="150">
        <f>IF(AND(E1209&lt;&gt;"",F1209&lt;&gt;""),E1209*F1209,"")</f>
      </c>
      <c r="H1209" s="148" t="n"/>
      <c r="I1209" s="142" t="n"/>
      <c r="J1209" s="146">
        <f>IF(AND(B1209="",C1209="",D1209="",E1209="",F1209="",H1209=""),"",IF(NOT(ISNUMBER(B1209)),"✗ 日期不是真日期",IF(OR(B1209&lt;年初日,B1209&gt;年末日),"✗ 日期不在本年度",IF(C1209="","✗ 没选供应商",IF(COUNTIF(基础资料!$Q$5:$Q$54,C1209)=0,"✗ 供应商不在基础资料里",IF(D1209="","✗ 没选商品",IF(COUNTIF(基础资料!$E$5:$E$104,D1209)=0,"✗ 商品不在商品档案里",IF(AND(E1209="",H1209=""),"✗ 没填数量",IF(AND(N(E1209)&lt;&gt;0,F1209=""),"✗ 没填进价","√")))))))))</f>
      </c>
    </row>
    <row r="1210">
      <c r="A1210" s="109">
        <f>IF(AND(C1210="",D1210=""),"",ROW()-3)</f>
      </c>
      <c r="B1210" s="140" t="n"/>
      <c r="C1210" s="141" t="n"/>
      <c r="D1210" s="141" t="n"/>
      <c r="E1210" s="148" t="n"/>
      <c r="F1210" s="149" t="n"/>
      <c r="G1210" s="150">
        <f>IF(AND(E1210&lt;&gt;"",F1210&lt;&gt;""),E1210*F1210,"")</f>
      </c>
      <c r="H1210" s="148" t="n"/>
      <c r="I1210" s="142" t="n"/>
      <c r="J1210" s="146">
        <f>IF(AND(B1210="",C1210="",D1210="",E1210="",F1210="",H1210=""),"",IF(NOT(ISNUMBER(B1210)),"✗ 日期不是真日期",IF(OR(B1210&lt;年初日,B1210&gt;年末日),"✗ 日期不在本年度",IF(C1210="","✗ 没选供应商",IF(COUNTIF(基础资料!$Q$5:$Q$54,C1210)=0,"✗ 供应商不在基础资料里",IF(D1210="","✗ 没选商品",IF(COUNTIF(基础资料!$E$5:$E$104,D1210)=0,"✗ 商品不在商品档案里",IF(AND(E1210="",H1210=""),"✗ 没填数量",IF(AND(N(E1210)&lt;&gt;0,F1210=""),"✗ 没填进价","√")))))))))</f>
      </c>
    </row>
    <row r="1211">
      <c r="A1211" s="109">
        <f>IF(AND(C1211="",D1211=""),"",ROW()-3)</f>
      </c>
      <c r="B1211" s="140" t="n"/>
      <c r="C1211" s="141" t="n"/>
      <c r="D1211" s="141" t="n"/>
      <c r="E1211" s="148" t="n"/>
      <c r="F1211" s="149" t="n"/>
      <c r="G1211" s="150">
        <f>IF(AND(E1211&lt;&gt;"",F1211&lt;&gt;""),E1211*F1211,"")</f>
      </c>
      <c r="H1211" s="148" t="n"/>
      <c r="I1211" s="142" t="n"/>
      <c r="J1211" s="146">
        <f>IF(AND(B1211="",C1211="",D1211="",E1211="",F1211="",H1211=""),"",IF(NOT(ISNUMBER(B1211)),"✗ 日期不是真日期",IF(OR(B1211&lt;年初日,B1211&gt;年末日),"✗ 日期不在本年度",IF(C1211="","✗ 没选供应商",IF(COUNTIF(基础资料!$Q$5:$Q$54,C1211)=0,"✗ 供应商不在基础资料里",IF(D1211="","✗ 没选商品",IF(COUNTIF(基础资料!$E$5:$E$104,D1211)=0,"✗ 商品不在商品档案里",IF(AND(E1211="",H1211=""),"✗ 没填数量",IF(AND(N(E1211)&lt;&gt;0,F1211=""),"✗ 没填进价","√")))))))))</f>
      </c>
    </row>
    <row r="1212">
      <c r="A1212" s="109">
        <f>IF(AND(C1212="",D1212=""),"",ROW()-3)</f>
      </c>
      <c r="B1212" s="140" t="n"/>
      <c r="C1212" s="141" t="n"/>
      <c r="D1212" s="141" t="n"/>
      <c r="E1212" s="148" t="n"/>
      <c r="F1212" s="149" t="n"/>
      <c r="G1212" s="150">
        <f>IF(AND(E1212&lt;&gt;"",F1212&lt;&gt;""),E1212*F1212,"")</f>
      </c>
      <c r="H1212" s="148" t="n"/>
      <c r="I1212" s="142" t="n"/>
      <c r="J1212" s="146">
        <f>IF(AND(B1212="",C1212="",D1212="",E1212="",F1212="",H1212=""),"",IF(NOT(ISNUMBER(B1212)),"✗ 日期不是真日期",IF(OR(B1212&lt;年初日,B1212&gt;年末日),"✗ 日期不在本年度",IF(C1212="","✗ 没选供应商",IF(COUNTIF(基础资料!$Q$5:$Q$54,C1212)=0,"✗ 供应商不在基础资料里",IF(D1212="","✗ 没选商品",IF(COUNTIF(基础资料!$E$5:$E$104,D1212)=0,"✗ 商品不在商品档案里",IF(AND(E1212="",H1212=""),"✗ 没填数量",IF(AND(N(E1212)&lt;&gt;0,F1212=""),"✗ 没填进价","√")))))))))</f>
      </c>
    </row>
    <row r="1213">
      <c r="A1213" s="109">
        <f>IF(AND(C1213="",D1213=""),"",ROW()-3)</f>
      </c>
      <c r="B1213" s="140" t="n"/>
      <c r="C1213" s="141" t="n"/>
      <c r="D1213" s="141" t="n"/>
      <c r="E1213" s="148" t="n"/>
      <c r="F1213" s="149" t="n"/>
      <c r="G1213" s="150">
        <f>IF(AND(E1213&lt;&gt;"",F1213&lt;&gt;""),E1213*F1213,"")</f>
      </c>
      <c r="H1213" s="148" t="n"/>
      <c r="I1213" s="142" t="n"/>
      <c r="J1213" s="146">
        <f>IF(AND(B1213="",C1213="",D1213="",E1213="",F1213="",H1213=""),"",IF(NOT(ISNUMBER(B1213)),"✗ 日期不是真日期",IF(OR(B1213&lt;年初日,B1213&gt;年末日),"✗ 日期不在本年度",IF(C1213="","✗ 没选供应商",IF(COUNTIF(基础资料!$Q$5:$Q$54,C1213)=0,"✗ 供应商不在基础资料里",IF(D1213="","✗ 没选商品",IF(COUNTIF(基础资料!$E$5:$E$104,D1213)=0,"✗ 商品不在商品档案里",IF(AND(E1213="",H1213=""),"✗ 没填数量",IF(AND(N(E1213)&lt;&gt;0,F1213=""),"✗ 没填进价","√")))))))))</f>
      </c>
    </row>
    <row r="1214">
      <c r="A1214" s="109">
        <f>IF(AND(C1214="",D1214=""),"",ROW()-3)</f>
      </c>
      <c r="B1214" s="140" t="n"/>
      <c r="C1214" s="141" t="n"/>
      <c r="D1214" s="141" t="n"/>
      <c r="E1214" s="148" t="n"/>
      <c r="F1214" s="149" t="n"/>
      <c r="G1214" s="150">
        <f>IF(AND(E1214&lt;&gt;"",F1214&lt;&gt;""),E1214*F1214,"")</f>
      </c>
      <c r="H1214" s="148" t="n"/>
      <c r="I1214" s="142" t="n"/>
      <c r="J1214" s="146">
        <f>IF(AND(B1214="",C1214="",D1214="",E1214="",F1214="",H1214=""),"",IF(NOT(ISNUMBER(B1214)),"✗ 日期不是真日期",IF(OR(B1214&lt;年初日,B1214&gt;年末日),"✗ 日期不在本年度",IF(C1214="","✗ 没选供应商",IF(COUNTIF(基础资料!$Q$5:$Q$54,C1214)=0,"✗ 供应商不在基础资料里",IF(D1214="","✗ 没选商品",IF(COUNTIF(基础资料!$E$5:$E$104,D1214)=0,"✗ 商品不在商品档案里",IF(AND(E1214="",H1214=""),"✗ 没填数量",IF(AND(N(E1214)&lt;&gt;0,F1214=""),"✗ 没填进价","√")))))))))</f>
      </c>
    </row>
    <row r="1215">
      <c r="A1215" s="109">
        <f>IF(AND(C1215="",D1215=""),"",ROW()-3)</f>
      </c>
      <c r="B1215" s="140" t="n"/>
      <c r="C1215" s="141" t="n"/>
      <c r="D1215" s="141" t="n"/>
      <c r="E1215" s="148" t="n"/>
      <c r="F1215" s="149" t="n"/>
      <c r="G1215" s="150">
        <f>IF(AND(E1215&lt;&gt;"",F1215&lt;&gt;""),E1215*F1215,"")</f>
      </c>
      <c r="H1215" s="148" t="n"/>
      <c r="I1215" s="142" t="n"/>
      <c r="J1215" s="146">
        <f>IF(AND(B1215="",C1215="",D1215="",E1215="",F1215="",H1215=""),"",IF(NOT(ISNUMBER(B1215)),"✗ 日期不是真日期",IF(OR(B1215&lt;年初日,B1215&gt;年末日),"✗ 日期不在本年度",IF(C1215="","✗ 没选供应商",IF(COUNTIF(基础资料!$Q$5:$Q$54,C1215)=0,"✗ 供应商不在基础资料里",IF(D1215="","✗ 没选商品",IF(COUNTIF(基础资料!$E$5:$E$104,D1215)=0,"✗ 商品不在商品档案里",IF(AND(E1215="",H1215=""),"✗ 没填数量",IF(AND(N(E1215)&lt;&gt;0,F1215=""),"✗ 没填进价","√")))))))))</f>
      </c>
    </row>
    <row r="1216">
      <c r="A1216" s="109">
        <f>IF(AND(C1216="",D1216=""),"",ROW()-3)</f>
      </c>
      <c r="B1216" s="140" t="n"/>
      <c r="C1216" s="141" t="n"/>
      <c r="D1216" s="141" t="n"/>
      <c r="E1216" s="148" t="n"/>
      <c r="F1216" s="149" t="n"/>
      <c r="G1216" s="150">
        <f>IF(AND(E1216&lt;&gt;"",F1216&lt;&gt;""),E1216*F1216,"")</f>
      </c>
      <c r="H1216" s="148" t="n"/>
      <c r="I1216" s="142" t="n"/>
      <c r="J1216" s="146">
        <f>IF(AND(B1216="",C1216="",D1216="",E1216="",F1216="",H1216=""),"",IF(NOT(ISNUMBER(B1216)),"✗ 日期不是真日期",IF(OR(B1216&lt;年初日,B1216&gt;年末日),"✗ 日期不在本年度",IF(C1216="","✗ 没选供应商",IF(COUNTIF(基础资料!$Q$5:$Q$54,C1216)=0,"✗ 供应商不在基础资料里",IF(D1216="","✗ 没选商品",IF(COUNTIF(基础资料!$E$5:$E$104,D1216)=0,"✗ 商品不在商品档案里",IF(AND(E1216="",H1216=""),"✗ 没填数量",IF(AND(N(E1216)&lt;&gt;0,F1216=""),"✗ 没填进价","√")))))))))</f>
      </c>
    </row>
    <row r="1217">
      <c r="A1217" s="109">
        <f>IF(AND(C1217="",D1217=""),"",ROW()-3)</f>
      </c>
      <c r="B1217" s="140" t="n"/>
      <c r="C1217" s="141" t="n"/>
      <c r="D1217" s="141" t="n"/>
      <c r="E1217" s="148" t="n"/>
      <c r="F1217" s="149" t="n"/>
      <c r="G1217" s="150">
        <f>IF(AND(E1217&lt;&gt;"",F1217&lt;&gt;""),E1217*F1217,"")</f>
      </c>
      <c r="H1217" s="148" t="n"/>
      <c r="I1217" s="142" t="n"/>
      <c r="J1217" s="146">
        <f>IF(AND(B1217="",C1217="",D1217="",E1217="",F1217="",H1217=""),"",IF(NOT(ISNUMBER(B1217)),"✗ 日期不是真日期",IF(OR(B1217&lt;年初日,B1217&gt;年末日),"✗ 日期不在本年度",IF(C1217="","✗ 没选供应商",IF(COUNTIF(基础资料!$Q$5:$Q$54,C1217)=0,"✗ 供应商不在基础资料里",IF(D1217="","✗ 没选商品",IF(COUNTIF(基础资料!$E$5:$E$104,D1217)=0,"✗ 商品不在商品档案里",IF(AND(E1217="",H1217=""),"✗ 没填数量",IF(AND(N(E1217)&lt;&gt;0,F1217=""),"✗ 没填进价","√")))))))))</f>
      </c>
    </row>
    <row r="1218">
      <c r="A1218" s="109">
        <f>IF(AND(C1218="",D1218=""),"",ROW()-3)</f>
      </c>
      <c r="B1218" s="140" t="n"/>
      <c r="C1218" s="141" t="n"/>
      <c r="D1218" s="141" t="n"/>
      <c r="E1218" s="148" t="n"/>
      <c r="F1218" s="149" t="n"/>
      <c r="G1218" s="150">
        <f>IF(AND(E1218&lt;&gt;"",F1218&lt;&gt;""),E1218*F1218,"")</f>
      </c>
      <c r="H1218" s="148" t="n"/>
      <c r="I1218" s="142" t="n"/>
      <c r="J1218" s="146">
        <f>IF(AND(B1218="",C1218="",D1218="",E1218="",F1218="",H1218=""),"",IF(NOT(ISNUMBER(B1218)),"✗ 日期不是真日期",IF(OR(B1218&lt;年初日,B1218&gt;年末日),"✗ 日期不在本年度",IF(C1218="","✗ 没选供应商",IF(COUNTIF(基础资料!$Q$5:$Q$54,C1218)=0,"✗ 供应商不在基础资料里",IF(D1218="","✗ 没选商品",IF(COUNTIF(基础资料!$E$5:$E$104,D1218)=0,"✗ 商品不在商品档案里",IF(AND(E1218="",H1218=""),"✗ 没填数量",IF(AND(N(E1218)&lt;&gt;0,F1218=""),"✗ 没填进价","√")))))))))</f>
      </c>
    </row>
    <row r="1219">
      <c r="A1219" s="109">
        <f>IF(AND(C1219="",D1219=""),"",ROW()-3)</f>
      </c>
      <c r="B1219" s="140" t="n"/>
      <c r="C1219" s="141" t="n"/>
      <c r="D1219" s="141" t="n"/>
      <c r="E1219" s="148" t="n"/>
      <c r="F1219" s="149" t="n"/>
      <c r="G1219" s="150">
        <f>IF(AND(E1219&lt;&gt;"",F1219&lt;&gt;""),E1219*F1219,"")</f>
      </c>
      <c r="H1219" s="148" t="n"/>
      <c r="I1219" s="142" t="n"/>
      <c r="J1219" s="146">
        <f>IF(AND(B1219="",C1219="",D1219="",E1219="",F1219="",H1219=""),"",IF(NOT(ISNUMBER(B1219)),"✗ 日期不是真日期",IF(OR(B1219&lt;年初日,B1219&gt;年末日),"✗ 日期不在本年度",IF(C1219="","✗ 没选供应商",IF(COUNTIF(基础资料!$Q$5:$Q$54,C1219)=0,"✗ 供应商不在基础资料里",IF(D1219="","✗ 没选商品",IF(COUNTIF(基础资料!$E$5:$E$104,D1219)=0,"✗ 商品不在商品档案里",IF(AND(E1219="",H1219=""),"✗ 没填数量",IF(AND(N(E1219)&lt;&gt;0,F1219=""),"✗ 没填进价","√")))))))))</f>
      </c>
    </row>
    <row r="1220">
      <c r="A1220" s="109">
        <f>IF(AND(C1220="",D1220=""),"",ROW()-3)</f>
      </c>
      <c r="B1220" s="140" t="n"/>
      <c r="C1220" s="141" t="n"/>
      <c r="D1220" s="141" t="n"/>
      <c r="E1220" s="148" t="n"/>
      <c r="F1220" s="149" t="n"/>
      <c r="G1220" s="150">
        <f>IF(AND(E1220&lt;&gt;"",F1220&lt;&gt;""),E1220*F1220,"")</f>
      </c>
      <c r="H1220" s="148" t="n"/>
      <c r="I1220" s="142" t="n"/>
      <c r="J1220" s="146">
        <f>IF(AND(B1220="",C1220="",D1220="",E1220="",F1220="",H1220=""),"",IF(NOT(ISNUMBER(B1220)),"✗ 日期不是真日期",IF(OR(B1220&lt;年初日,B1220&gt;年末日),"✗ 日期不在本年度",IF(C1220="","✗ 没选供应商",IF(COUNTIF(基础资料!$Q$5:$Q$54,C1220)=0,"✗ 供应商不在基础资料里",IF(D1220="","✗ 没选商品",IF(COUNTIF(基础资料!$E$5:$E$104,D1220)=0,"✗ 商品不在商品档案里",IF(AND(E1220="",H1220=""),"✗ 没填数量",IF(AND(N(E1220)&lt;&gt;0,F1220=""),"✗ 没填进价","√")))))))))</f>
      </c>
    </row>
    <row r="1221">
      <c r="A1221" s="109">
        <f>IF(AND(C1221="",D1221=""),"",ROW()-3)</f>
      </c>
      <c r="B1221" s="140" t="n"/>
      <c r="C1221" s="141" t="n"/>
      <c r="D1221" s="141" t="n"/>
      <c r="E1221" s="148" t="n"/>
      <c r="F1221" s="149" t="n"/>
      <c r="G1221" s="150">
        <f>IF(AND(E1221&lt;&gt;"",F1221&lt;&gt;""),E1221*F1221,"")</f>
      </c>
      <c r="H1221" s="148" t="n"/>
      <c r="I1221" s="142" t="n"/>
      <c r="J1221" s="146">
        <f>IF(AND(B1221="",C1221="",D1221="",E1221="",F1221="",H1221=""),"",IF(NOT(ISNUMBER(B1221)),"✗ 日期不是真日期",IF(OR(B1221&lt;年初日,B1221&gt;年末日),"✗ 日期不在本年度",IF(C1221="","✗ 没选供应商",IF(COUNTIF(基础资料!$Q$5:$Q$54,C1221)=0,"✗ 供应商不在基础资料里",IF(D1221="","✗ 没选商品",IF(COUNTIF(基础资料!$E$5:$E$104,D1221)=0,"✗ 商品不在商品档案里",IF(AND(E1221="",H1221=""),"✗ 没填数量",IF(AND(N(E1221)&lt;&gt;0,F1221=""),"✗ 没填进价","√")))))))))</f>
      </c>
    </row>
    <row r="1222">
      <c r="A1222" s="109">
        <f>IF(AND(C1222="",D1222=""),"",ROW()-3)</f>
      </c>
      <c r="B1222" s="140" t="n"/>
      <c r="C1222" s="141" t="n"/>
      <c r="D1222" s="141" t="n"/>
      <c r="E1222" s="148" t="n"/>
      <c r="F1222" s="149" t="n"/>
      <c r="G1222" s="150">
        <f>IF(AND(E1222&lt;&gt;"",F1222&lt;&gt;""),E1222*F1222,"")</f>
      </c>
      <c r="H1222" s="148" t="n"/>
      <c r="I1222" s="142" t="n"/>
      <c r="J1222" s="146">
        <f>IF(AND(B1222="",C1222="",D1222="",E1222="",F1222="",H1222=""),"",IF(NOT(ISNUMBER(B1222)),"✗ 日期不是真日期",IF(OR(B1222&lt;年初日,B1222&gt;年末日),"✗ 日期不在本年度",IF(C1222="","✗ 没选供应商",IF(COUNTIF(基础资料!$Q$5:$Q$54,C1222)=0,"✗ 供应商不在基础资料里",IF(D1222="","✗ 没选商品",IF(COUNTIF(基础资料!$E$5:$E$104,D1222)=0,"✗ 商品不在商品档案里",IF(AND(E1222="",H1222=""),"✗ 没填数量",IF(AND(N(E1222)&lt;&gt;0,F1222=""),"✗ 没填进价","√")))))))))</f>
      </c>
    </row>
    <row r="1223">
      <c r="A1223" s="109">
        <f>IF(AND(C1223="",D1223=""),"",ROW()-3)</f>
      </c>
      <c r="B1223" s="140" t="n"/>
      <c r="C1223" s="141" t="n"/>
      <c r="D1223" s="141" t="n"/>
      <c r="E1223" s="148" t="n"/>
      <c r="F1223" s="149" t="n"/>
      <c r="G1223" s="150">
        <f>IF(AND(E1223&lt;&gt;"",F1223&lt;&gt;""),E1223*F1223,"")</f>
      </c>
      <c r="H1223" s="148" t="n"/>
      <c r="I1223" s="142" t="n"/>
      <c r="J1223" s="146">
        <f>IF(AND(B1223="",C1223="",D1223="",E1223="",F1223="",H1223=""),"",IF(NOT(ISNUMBER(B1223)),"✗ 日期不是真日期",IF(OR(B1223&lt;年初日,B1223&gt;年末日),"✗ 日期不在本年度",IF(C1223="","✗ 没选供应商",IF(COUNTIF(基础资料!$Q$5:$Q$54,C1223)=0,"✗ 供应商不在基础资料里",IF(D1223="","✗ 没选商品",IF(COUNTIF(基础资料!$E$5:$E$104,D1223)=0,"✗ 商品不在商品档案里",IF(AND(E1223="",H1223=""),"✗ 没填数量",IF(AND(N(E1223)&lt;&gt;0,F1223=""),"✗ 没填进价","√")))))))))</f>
      </c>
    </row>
    <row r="1224">
      <c r="A1224" s="109">
        <f>IF(AND(C1224="",D1224=""),"",ROW()-3)</f>
      </c>
      <c r="B1224" s="140" t="n"/>
      <c r="C1224" s="141" t="n"/>
      <c r="D1224" s="141" t="n"/>
      <c r="E1224" s="148" t="n"/>
      <c r="F1224" s="149" t="n"/>
      <c r="G1224" s="150">
        <f>IF(AND(E1224&lt;&gt;"",F1224&lt;&gt;""),E1224*F1224,"")</f>
      </c>
      <c r="H1224" s="148" t="n"/>
      <c r="I1224" s="142" t="n"/>
      <c r="J1224" s="146">
        <f>IF(AND(B1224="",C1224="",D1224="",E1224="",F1224="",H1224=""),"",IF(NOT(ISNUMBER(B1224)),"✗ 日期不是真日期",IF(OR(B1224&lt;年初日,B1224&gt;年末日),"✗ 日期不在本年度",IF(C1224="","✗ 没选供应商",IF(COUNTIF(基础资料!$Q$5:$Q$54,C1224)=0,"✗ 供应商不在基础资料里",IF(D1224="","✗ 没选商品",IF(COUNTIF(基础资料!$E$5:$E$104,D1224)=0,"✗ 商品不在商品档案里",IF(AND(E1224="",H1224=""),"✗ 没填数量",IF(AND(N(E1224)&lt;&gt;0,F1224=""),"✗ 没填进价","√")))))))))</f>
      </c>
    </row>
    <row r="1225">
      <c r="A1225" s="109">
        <f>IF(AND(C1225="",D1225=""),"",ROW()-3)</f>
      </c>
      <c r="B1225" s="140" t="n"/>
      <c r="C1225" s="141" t="n"/>
      <c r="D1225" s="141" t="n"/>
      <c r="E1225" s="148" t="n"/>
      <c r="F1225" s="149" t="n"/>
      <c r="G1225" s="150">
        <f>IF(AND(E1225&lt;&gt;"",F1225&lt;&gt;""),E1225*F1225,"")</f>
      </c>
      <c r="H1225" s="148" t="n"/>
      <c r="I1225" s="142" t="n"/>
      <c r="J1225" s="146">
        <f>IF(AND(B1225="",C1225="",D1225="",E1225="",F1225="",H1225=""),"",IF(NOT(ISNUMBER(B1225)),"✗ 日期不是真日期",IF(OR(B1225&lt;年初日,B1225&gt;年末日),"✗ 日期不在本年度",IF(C1225="","✗ 没选供应商",IF(COUNTIF(基础资料!$Q$5:$Q$54,C1225)=0,"✗ 供应商不在基础资料里",IF(D1225="","✗ 没选商品",IF(COUNTIF(基础资料!$E$5:$E$104,D1225)=0,"✗ 商品不在商品档案里",IF(AND(E1225="",H1225=""),"✗ 没填数量",IF(AND(N(E1225)&lt;&gt;0,F1225=""),"✗ 没填进价","√")))))))))</f>
      </c>
    </row>
    <row r="1226">
      <c r="A1226" s="109">
        <f>IF(AND(C1226="",D1226=""),"",ROW()-3)</f>
      </c>
      <c r="B1226" s="140" t="n"/>
      <c r="C1226" s="141" t="n"/>
      <c r="D1226" s="141" t="n"/>
      <c r="E1226" s="148" t="n"/>
      <c r="F1226" s="149" t="n"/>
      <c r="G1226" s="150">
        <f>IF(AND(E1226&lt;&gt;"",F1226&lt;&gt;""),E1226*F1226,"")</f>
      </c>
      <c r="H1226" s="148" t="n"/>
      <c r="I1226" s="142" t="n"/>
      <c r="J1226" s="146">
        <f>IF(AND(B1226="",C1226="",D1226="",E1226="",F1226="",H1226=""),"",IF(NOT(ISNUMBER(B1226)),"✗ 日期不是真日期",IF(OR(B1226&lt;年初日,B1226&gt;年末日),"✗ 日期不在本年度",IF(C1226="","✗ 没选供应商",IF(COUNTIF(基础资料!$Q$5:$Q$54,C1226)=0,"✗ 供应商不在基础资料里",IF(D1226="","✗ 没选商品",IF(COUNTIF(基础资料!$E$5:$E$104,D1226)=0,"✗ 商品不在商品档案里",IF(AND(E1226="",H1226=""),"✗ 没填数量",IF(AND(N(E1226)&lt;&gt;0,F1226=""),"✗ 没填进价","√")))))))))</f>
      </c>
    </row>
    <row r="1227">
      <c r="A1227" s="109">
        <f>IF(AND(C1227="",D1227=""),"",ROW()-3)</f>
      </c>
      <c r="B1227" s="140" t="n"/>
      <c r="C1227" s="141" t="n"/>
      <c r="D1227" s="141" t="n"/>
      <c r="E1227" s="148" t="n"/>
      <c r="F1227" s="149" t="n"/>
      <c r="G1227" s="150">
        <f>IF(AND(E1227&lt;&gt;"",F1227&lt;&gt;""),E1227*F1227,"")</f>
      </c>
      <c r="H1227" s="148" t="n"/>
      <c r="I1227" s="142" t="n"/>
      <c r="J1227" s="146">
        <f>IF(AND(B1227="",C1227="",D1227="",E1227="",F1227="",H1227=""),"",IF(NOT(ISNUMBER(B1227)),"✗ 日期不是真日期",IF(OR(B1227&lt;年初日,B1227&gt;年末日),"✗ 日期不在本年度",IF(C1227="","✗ 没选供应商",IF(COUNTIF(基础资料!$Q$5:$Q$54,C1227)=0,"✗ 供应商不在基础资料里",IF(D1227="","✗ 没选商品",IF(COUNTIF(基础资料!$E$5:$E$104,D1227)=0,"✗ 商品不在商品档案里",IF(AND(E1227="",H1227=""),"✗ 没填数量",IF(AND(N(E1227)&lt;&gt;0,F1227=""),"✗ 没填进价","√")))))))))</f>
      </c>
    </row>
    <row r="1228">
      <c r="A1228" s="109">
        <f>IF(AND(C1228="",D1228=""),"",ROW()-3)</f>
      </c>
      <c r="B1228" s="140" t="n"/>
      <c r="C1228" s="141" t="n"/>
      <c r="D1228" s="141" t="n"/>
      <c r="E1228" s="148" t="n"/>
      <c r="F1228" s="149" t="n"/>
      <c r="G1228" s="150">
        <f>IF(AND(E1228&lt;&gt;"",F1228&lt;&gt;""),E1228*F1228,"")</f>
      </c>
      <c r="H1228" s="148" t="n"/>
      <c r="I1228" s="142" t="n"/>
      <c r="J1228" s="146">
        <f>IF(AND(B1228="",C1228="",D1228="",E1228="",F1228="",H1228=""),"",IF(NOT(ISNUMBER(B1228)),"✗ 日期不是真日期",IF(OR(B1228&lt;年初日,B1228&gt;年末日),"✗ 日期不在本年度",IF(C1228="","✗ 没选供应商",IF(COUNTIF(基础资料!$Q$5:$Q$54,C1228)=0,"✗ 供应商不在基础资料里",IF(D1228="","✗ 没选商品",IF(COUNTIF(基础资料!$E$5:$E$104,D1228)=0,"✗ 商品不在商品档案里",IF(AND(E1228="",H1228=""),"✗ 没填数量",IF(AND(N(E1228)&lt;&gt;0,F1228=""),"✗ 没填进价","√")))))))))</f>
      </c>
    </row>
    <row r="1229">
      <c r="A1229" s="109">
        <f>IF(AND(C1229="",D1229=""),"",ROW()-3)</f>
      </c>
      <c r="B1229" s="140" t="n"/>
      <c r="C1229" s="141" t="n"/>
      <c r="D1229" s="141" t="n"/>
      <c r="E1229" s="148" t="n"/>
      <c r="F1229" s="149" t="n"/>
      <c r="G1229" s="150">
        <f>IF(AND(E1229&lt;&gt;"",F1229&lt;&gt;""),E1229*F1229,"")</f>
      </c>
      <c r="H1229" s="148" t="n"/>
      <c r="I1229" s="142" t="n"/>
      <c r="J1229" s="146">
        <f>IF(AND(B1229="",C1229="",D1229="",E1229="",F1229="",H1229=""),"",IF(NOT(ISNUMBER(B1229)),"✗ 日期不是真日期",IF(OR(B1229&lt;年初日,B1229&gt;年末日),"✗ 日期不在本年度",IF(C1229="","✗ 没选供应商",IF(COUNTIF(基础资料!$Q$5:$Q$54,C1229)=0,"✗ 供应商不在基础资料里",IF(D1229="","✗ 没选商品",IF(COUNTIF(基础资料!$E$5:$E$104,D1229)=0,"✗ 商品不在商品档案里",IF(AND(E1229="",H1229=""),"✗ 没填数量",IF(AND(N(E1229)&lt;&gt;0,F1229=""),"✗ 没填进价","√")))))))))</f>
      </c>
    </row>
    <row r="1230">
      <c r="A1230" s="109">
        <f>IF(AND(C1230="",D1230=""),"",ROW()-3)</f>
      </c>
      <c r="B1230" s="140" t="n"/>
      <c r="C1230" s="141" t="n"/>
      <c r="D1230" s="141" t="n"/>
      <c r="E1230" s="148" t="n"/>
      <c r="F1230" s="149" t="n"/>
      <c r="G1230" s="150">
        <f>IF(AND(E1230&lt;&gt;"",F1230&lt;&gt;""),E1230*F1230,"")</f>
      </c>
      <c r="H1230" s="148" t="n"/>
      <c r="I1230" s="142" t="n"/>
      <c r="J1230" s="146">
        <f>IF(AND(B1230="",C1230="",D1230="",E1230="",F1230="",H1230=""),"",IF(NOT(ISNUMBER(B1230)),"✗ 日期不是真日期",IF(OR(B1230&lt;年初日,B1230&gt;年末日),"✗ 日期不在本年度",IF(C1230="","✗ 没选供应商",IF(COUNTIF(基础资料!$Q$5:$Q$54,C1230)=0,"✗ 供应商不在基础资料里",IF(D1230="","✗ 没选商品",IF(COUNTIF(基础资料!$E$5:$E$104,D1230)=0,"✗ 商品不在商品档案里",IF(AND(E1230="",H1230=""),"✗ 没填数量",IF(AND(N(E1230)&lt;&gt;0,F1230=""),"✗ 没填进价","√")))))))))</f>
      </c>
    </row>
    <row r="1231">
      <c r="A1231" s="109">
        <f>IF(AND(C1231="",D1231=""),"",ROW()-3)</f>
      </c>
      <c r="B1231" s="140" t="n"/>
      <c r="C1231" s="141" t="n"/>
      <c r="D1231" s="141" t="n"/>
      <c r="E1231" s="148" t="n"/>
      <c r="F1231" s="149" t="n"/>
      <c r="G1231" s="150">
        <f>IF(AND(E1231&lt;&gt;"",F1231&lt;&gt;""),E1231*F1231,"")</f>
      </c>
      <c r="H1231" s="148" t="n"/>
      <c r="I1231" s="142" t="n"/>
      <c r="J1231" s="146">
        <f>IF(AND(B1231="",C1231="",D1231="",E1231="",F1231="",H1231=""),"",IF(NOT(ISNUMBER(B1231)),"✗ 日期不是真日期",IF(OR(B1231&lt;年初日,B1231&gt;年末日),"✗ 日期不在本年度",IF(C1231="","✗ 没选供应商",IF(COUNTIF(基础资料!$Q$5:$Q$54,C1231)=0,"✗ 供应商不在基础资料里",IF(D1231="","✗ 没选商品",IF(COUNTIF(基础资料!$E$5:$E$104,D1231)=0,"✗ 商品不在商品档案里",IF(AND(E1231="",H1231=""),"✗ 没填数量",IF(AND(N(E1231)&lt;&gt;0,F1231=""),"✗ 没填进价","√")))))))))</f>
      </c>
    </row>
    <row r="1232">
      <c r="A1232" s="109">
        <f>IF(AND(C1232="",D1232=""),"",ROW()-3)</f>
      </c>
      <c r="B1232" s="140" t="n"/>
      <c r="C1232" s="141" t="n"/>
      <c r="D1232" s="141" t="n"/>
      <c r="E1232" s="148" t="n"/>
      <c r="F1232" s="149" t="n"/>
      <c r="G1232" s="150">
        <f>IF(AND(E1232&lt;&gt;"",F1232&lt;&gt;""),E1232*F1232,"")</f>
      </c>
      <c r="H1232" s="148" t="n"/>
      <c r="I1232" s="142" t="n"/>
      <c r="J1232" s="146">
        <f>IF(AND(B1232="",C1232="",D1232="",E1232="",F1232="",H1232=""),"",IF(NOT(ISNUMBER(B1232)),"✗ 日期不是真日期",IF(OR(B1232&lt;年初日,B1232&gt;年末日),"✗ 日期不在本年度",IF(C1232="","✗ 没选供应商",IF(COUNTIF(基础资料!$Q$5:$Q$54,C1232)=0,"✗ 供应商不在基础资料里",IF(D1232="","✗ 没选商品",IF(COUNTIF(基础资料!$E$5:$E$104,D1232)=0,"✗ 商品不在商品档案里",IF(AND(E1232="",H1232=""),"✗ 没填数量",IF(AND(N(E1232)&lt;&gt;0,F1232=""),"✗ 没填进价","√")))))))))</f>
      </c>
    </row>
    <row r="1233">
      <c r="A1233" s="109">
        <f>IF(AND(C1233="",D1233=""),"",ROW()-3)</f>
      </c>
      <c r="B1233" s="140" t="n"/>
      <c r="C1233" s="141" t="n"/>
      <c r="D1233" s="141" t="n"/>
      <c r="E1233" s="148" t="n"/>
      <c r="F1233" s="149" t="n"/>
      <c r="G1233" s="150">
        <f>IF(AND(E1233&lt;&gt;"",F1233&lt;&gt;""),E1233*F1233,"")</f>
      </c>
      <c r="H1233" s="148" t="n"/>
      <c r="I1233" s="142" t="n"/>
      <c r="J1233" s="146">
        <f>IF(AND(B1233="",C1233="",D1233="",E1233="",F1233="",H1233=""),"",IF(NOT(ISNUMBER(B1233)),"✗ 日期不是真日期",IF(OR(B1233&lt;年初日,B1233&gt;年末日),"✗ 日期不在本年度",IF(C1233="","✗ 没选供应商",IF(COUNTIF(基础资料!$Q$5:$Q$54,C1233)=0,"✗ 供应商不在基础资料里",IF(D1233="","✗ 没选商品",IF(COUNTIF(基础资料!$E$5:$E$104,D1233)=0,"✗ 商品不在商品档案里",IF(AND(E1233="",H1233=""),"✗ 没填数量",IF(AND(N(E1233)&lt;&gt;0,F1233=""),"✗ 没填进价","√")))))))))</f>
      </c>
    </row>
    <row r="1234">
      <c r="A1234" s="109">
        <f>IF(AND(C1234="",D1234=""),"",ROW()-3)</f>
      </c>
      <c r="B1234" s="140" t="n"/>
      <c r="C1234" s="141" t="n"/>
      <c r="D1234" s="141" t="n"/>
      <c r="E1234" s="148" t="n"/>
      <c r="F1234" s="149" t="n"/>
      <c r="G1234" s="150">
        <f>IF(AND(E1234&lt;&gt;"",F1234&lt;&gt;""),E1234*F1234,"")</f>
      </c>
      <c r="H1234" s="148" t="n"/>
      <c r="I1234" s="142" t="n"/>
      <c r="J1234" s="146">
        <f>IF(AND(B1234="",C1234="",D1234="",E1234="",F1234="",H1234=""),"",IF(NOT(ISNUMBER(B1234)),"✗ 日期不是真日期",IF(OR(B1234&lt;年初日,B1234&gt;年末日),"✗ 日期不在本年度",IF(C1234="","✗ 没选供应商",IF(COUNTIF(基础资料!$Q$5:$Q$54,C1234)=0,"✗ 供应商不在基础资料里",IF(D1234="","✗ 没选商品",IF(COUNTIF(基础资料!$E$5:$E$104,D1234)=0,"✗ 商品不在商品档案里",IF(AND(E1234="",H1234=""),"✗ 没填数量",IF(AND(N(E1234)&lt;&gt;0,F1234=""),"✗ 没填进价","√")))))))))</f>
      </c>
    </row>
    <row r="1235">
      <c r="A1235" s="109">
        <f>IF(AND(C1235="",D1235=""),"",ROW()-3)</f>
      </c>
      <c r="B1235" s="140" t="n"/>
      <c r="C1235" s="141" t="n"/>
      <c r="D1235" s="141" t="n"/>
      <c r="E1235" s="148" t="n"/>
      <c r="F1235" s="149" t="n"/>
      <c r="G1235" s="150">
        <f>IF(AND(E1235&lt;&gt;"",F1235&lt;&gt;""),E1235*F1235,"")</f>
      </c>
      <c r="H1235" s="148" t="n"/>
      <c r="I1235" s="142" t="n"/>
      <c r="J1235" s="146">
        <f>IF(AND(B1235="",C1235="",D1235="",E1235="",F1235="",H1235=""),"",IF(NOT(ISNUMBER(B1235)),"✗ 日期不是真日期",IF(OR(B1235&lt;年初日,B1235&gt;年末日),"✗ 日期不在本年度",IF(C1235="","✗ 没选供应商",IF(COUNTIF(基础资料!$Q$5:$Q$54,C1235)=0,"✗ 供应商不在基础资料里",IF(D1235="","✗ 没选商品",IF(COUNTIF(基础资料!$E$5:$E$104,D1235)=0,"✗ 商品不在商品档案里",IF(AND(E1235="",H1235=""),"✗ 没填数量",IF(AND(N(E1235)&lt;&gt;0,F1235=""),"✗ 没填进价","√")))))))))</f>
      </c>
    </row>
    <row r="1236">
      <c r="A1236" s="109">
        <f>IF(AND(C1236="",D1236=""),"",ROW()-3)</f>
      </c>
      <c r="B1236" s="140" t="n"/>
      <c r="C1236" s="141" t="n"/>
      <c r="D1236" s="141" t="n"/>
      <c r="E1236" s="148" t="n"/>
      <c r="F1236" s="149" t="n"/>
      <c r="G1236" s="150">
        <f>IF(AND(E1236&lt;&gt;"",F1236&lt;&gt;""),E1236*F1236,"")</f>
      </c>
      <c r="H1236" s="148" t="n"/>
      <c r="I1236" s="142" t="n"/>
      <c r="J1236" s="146">
        <f>IF(AND(B1236="",C1236="",D1236="",E1236="",F1236="",H1236=""),"",IF(NOT(ISNUMBER(B1236)),"✗ 日期不是真日期",IF(OR(B1236&lt;年初日,B1236&gt;年末日),"✗ 日期不在本年度",IF(C1236="","✗ 没选供应商",IF(COUNTIF(基础资料!$Q$5:$Q$54,C1236)=0,"✗ 供应商不在基础资料里",IF(D1236="","✗ 没选商品",IF(COUNTIF(基础资料!$E$5:$E$104,D1236)=0,"✗ 商品不在商品档案里",IF(AND(E1236="",H1236=""),"✗ 没填数量",IF(AND(N(E1236)&lt;&gt;0,F1236=""),"✗ 没填进价","√")))))))))</f>
      </c>
    </row>
    <row r="1237">
      <c r="A1237" s="109">
        <f>IF(AND(C1237="",D1237=""),"",ROW()-3)</f>
      </c>
      <c r="B1237" s="140" t="n"/>
      <c r="C1237" s="141" t="n"/>
      <c r="D1237" s="141" t="n"/>
      <c r="E1237" s="148" t="n"/>
      <c r="F1237" s="149" t="n"/>
      <c r="G1237" s="150">
        <f>IF(AND(E1237&lt;&gt;"",F1237&lt;&gt;""),E1237*F1237,"")</f>
      </c>
      <c r="H1237" s="148" t="n"/>
      <c r="I1237" s="142" t="n"/>
      <c r="J1237" s="146">
        <f>IF(AND(B1237="",C1237="",D1237="",E1237="",F1237="",H1237=""),"",IF(NOT(ISNUMBER(B1237)),"✗ 日期不是真日期",IF(OR(B1237&lt;年初日,B1237&gt;年末日),"✗ 日期不在本年度",IF(C1237="","✗ 没选供应商",IF(COUNTIF(基础资料!$Q$5:$Q$54,C1237)=0,"✗ 供应商不在基础资料里",IF(D1237="","✗ 没选商品",IF(COUNTIF(基础资料!$E$5:$E$104,D1237)=0,"✗ 商品不在商品档案里",IF(AND(E1237="",H1237=""),"✗ 没填数量",IF(AND(N(E1237)&lt;&gt;0,F1237=""),"✗ 没填进价","√")))))))))</f>
      </c>
    </row>
    <row r="1238">
      <c r="A1238" s="109">
        <f>IF(AND(C1238="",D1238=""),"",ROW()-3)</f>
      </c>
      <c r="B1238" s="140" t="n"/>
      <c r="C1238" s="141" t="n"/>
      <c r="D1238" s="141" t="n"/>
      <c r="E1238" s="148" t="n"/>
      <c r="F1238" s="149" t="n"/>
      <c r="G1238" s="150">
        <f>IF(AND(E1238&lt;&gt;"",F1238&lt;&gt;""),E1238*F1238,"")</f>
      </c>
      <c r="H1238" s="148" t="n"/>
      <c r="I1238" s="142" t="n"/>
      <c r="J1238" s="146">
        <f>IF(AND(B1238="",C1238="",D1238="",E1238="",F1238="",H1238=""),"",IF(NOT(ISNUMBER(B1238)),"✗ 日期不是真日期",IF(OR(B1238&lt;年初日,B1238&gt;年末日),"✗ 日期不在本年度",IF(C1238="","✗ 没选供应商",IF(COUNTIF(基础资料!$Q$5:$Q$54,C1238)=0,"✗ 供应商不在基础资料里",IF(D1238="","✗ 没选商品",IF(COUNTIF(基础资料!$E$5:$E$104,D1238)=0,"✗ 商品不在商品档案里",IF(AND(E1238="",H1238=""),"✗ 没填数量",IF(AND(N(E1238)&lt;&gt;0,F1238=""),"✗ 没填进价","√")))))))))</f>
      </c>
    </row>
    <row r="1239">
      <c r="A1239" s="109">
        <f>IF(AND(C1239="",D1239=""),"",ROW()-3)</f>
      </c>
      <c r="B1239" s="140" t="n"/>
      <c r="C1239" s="141" t="n"/>
      <c r="D1239" s="141" t="n"/>
      <c r="E1239" s="148" t="n"/>
      <c r="F1239" s="149" t="n"/>
      <c r="G1239" s="150">
        <f>IF(AND(E1239&lt;&gt;"",F1239&lt;&gt;""),E1239*F1239,"")</f>
      </c>
      <c r="H1239" s="148" t="n"/>
      <c r="I1239" s="142" t="n"/>
      <c r="J1239" s="146">
        <f>IF(AND(B1239="",C1239="",D1239="",E1239="",F1239="",H1239=""),"",IF(NOT(ISNUMBER(B1239)),"✗ 日期不是真日期",IF(OR(B1239&lt;年初日,B1239&gt;年末日),"✗ 日期不在本年度",IF(C1239="","✗ 没选供应商",IF(COUNTIF(基础资料!$Q$5:$Q$54,C1239)=0,"✗ 供应商不在基础资料里",IF(D1239="","✗ 没选商品",IF(COUNTIF(基础资料!$E$5:$E$104,D1239)=0,"✗ 商品不在商品档案里",IF(AND(E1239="",H1239=""),"✗ 没填数量",IF(AND(N(E1239)&lt;&gt;0,F1239=""),"✗ 没填进价","√")))))))))</f>
      </c>
    </row>
    <row r="1240">
      <c r="A1240" s="109">
        <f>IF(AND(C1240="",D1240=""),"",ROW()-3)</f>
      </c>
      <c r="B1240" s="140" t="n"/>
      <c r="C1240" s="141" t="n"/>
      <c r="D1240" s="141" t="n"/>
      <c r="E1240" s="148" t="n"/>
      <c r="F1240" s="149" t="n"/>
      <c r="G1240" s="150">
        <f>IF(AND(E1240&lt;&gt;"",F1240&lt;&gt;""),E1240*F1240,"")</f>
      </c>
      <c r="H1240" s="148" t="n"/>
      <c r="I1240" s="142" t="n"/>
      <c r="J1240" s="146">
        <f>IF(AND(B1240="",C1240="",D1240="",E1240="",F1240="",H1240=""),"",IF(NOT(ISNUMBER(B1240)),"✗ 日期不是真日期",IF(OR(B1240&lt;年初日,B1240&gt;年末日),"✗ 日期不在本年度",IF(C1240="","✗ 没选供应商",IF(COUNTIF(基础资料!$Q$5:$Q$54,C1240)=0,"✗ 供应商不在基础资料里",IF(D1240="","✗ 没选商品",IF(COUNTIF(基础资料!$E$5:$E$104,D1240)=0,"✗ 商品不在商品档案里",IF(AND(E1240="",H1240=""),"✗ 没填数量",IF(AND(N(E1240)&lt;&gt;0,F1240=""),"✗ 没填进价","√")))))))))</f>
      </c>
    </row>
    <row r="1241">
      <c r="A1241" s="109">
        <f>IF(AND(C1241="",D1241=""),"",ROW()-3)</f>
      </c>
      <c r="B1241" s="140" t="n"/>
      <c r="C1241" s="141" t="n"/>
      <c r="D1241" s="141" t="n"/>
      <c r="E1241" s="148" t="n"/>
      <c r="F1241" s="149" t="n"/>
      <c r="G1241" s="150">
        <f>IF(AND(E1241&lt;&gt;"",F1241&lt;&gt;""),E1241*F1241,"")</f>
      </c>
      <c r="H1241" s="148" t="n"/>
      <c r="I1241" s="142" t="n"/>
      <c r="J1241" s="146">
        <f>IF(AND(B1241="",C1241="",D1241="",E1241="",F1241="",H1241=""),"",IF(NOT(ISNUMBER(B1241)),"✗ 日期不是真日期",IF(OR(B1241&lt;年初日,B1241&gt;年末日),"✗ 日期不在本年度",IF(C1241="","✗ 没选供应商",IF(COUNTIF(基础资料!$Q$5:$Q$54,C1241)=0,"✗ 供应商不在基础资料里",IF(D1241="","✗ 没选商品",IF(COUNTIF(基础资料!$E$5:$E$104,D1241)=0,"✗ 商品不在商品档案里",IF(AND(E1241="",H1241=""),"✗ 没填数量",IF(AND(N(E1241)&lt;&gt;0,F1241=""),"✗ 没填进价","√")))))))))</f>
      </c>
    </row>
    <row r="1242">
      <c r="A1242" s="109">
        <f>IF(AND(C1242="",D1242=""),"",ROW()-3)</f>
      </c>
      <c r="B1242" s="140" t="n"/>
      <c r="C1242" s="141" t="n"/>
      <c r="D1242" s="141" t="n"/>
      <c r="E1242" s="148" t="n"/>
      <c r="F1242" s="149" t="n"/>
      <c r="G1242" s="150">
        <f>IF(AND(E1242&lt;&gt;"",F1242&lt;&gt;""),E1242*F1242,"")</f>
      </c>
      <c r="H1242" s="148" t="n"/>
      <c r="I1242" s="142" t="n"/>
      <c r="J1242" s="146">
        <f>IF(AND(B1242="",C1242="",D1242="",E1242="",F1242="",H1242=""),"",IF(NOT(ISNUMBER(B1242)),"✗ 日期不是真日期",IF(OR(B1242&lt;年初日,B1242&gt;年末日),"✗ 日期不在本年度",IF(C1242="","✗ 没选供应商",IF(COUNTIF(基础资料!$Q$5:$Q$54,C1242)=0,"✗ 供应商不在基础资料里",IF(D1242="","✗ 没选商品",IF(COUNTIF(基础资料!$E$5:$E$104,D1242)=0,"✗ 商品不在商品档案里",IF(AND(E1242="",H1242=""),"✗ 没填数量",IF(AND(N(E1242)&lt;&gt;0,F1242=""),"✗ 没填进价","√")))))))))</f>
      </c>
    </row>
    <row r="1243">
      <c r="A1243" s="109">
        <f>IF(AND(C1243="",D1243=""),"",ROW()-3)</f>
      </c>
      <c r="B1243" s="140" t="n"/>
      <c r="C1243" s="141" t="n"/>
      <c r="D1243" s="141" t="n"/>
      <c r="E1243" s="148" t="n"/>
      <c r="F1243" s="149" t="n"/>
      <c r="G1243" s="150">
        <f>IF(AND(E1243&lt;&gt;"",F1243&lt;&gt;""),E1243*F1243,"")</f>
      </c>
      <c r="H1243" s="148" t="n"/>
      <c r="I1243" s="142" t="n"/>
      <c r="J1243" s="146">
        <f>IF(AND(B1243="",C1243="",D1243="",E1243="",F1243="",H1243=""),"",IF(NOT(ISNUMBER(B1243)),"✗ 日期不是真日期",IF(OR(B1243&lt;年初日,B1243&gt;年末日),"✗ 日期不在本年度",IF(C1243="","✗ 没选供应商",IF(COUNTIF(基础资料!$Q$5:$Q$54,C1243)=0,"✗ 供应商不在基础资料里",IF(D1243="","✗ 没选商品",IF(COUNTIF(基础资料!$E$5:$E$104,D1243)=0,"✗ 商品不在商品档案里",IF(AND(E1243="",H1243=""),"✗ 没填数量",IF(AND(N(E1243)&lt;&gt;0,F1243=""),"✗ 没填进价","√")))))))))</f>
      </c>
    </row>
    <row r="1244">
      <c r="A1244" s="109">
        <f>IF(AND(C1244="",D1244=""),"",ROW()-3)</f>
      </c>
      <c r="B1244" s="140" t="n"/>
      <c r="C1244" s="141" t="n"/>
      <c r="D1244" s="141" t="n"/>
      <c r="E1244" s="148" t="n"/>
      <c r="F1244" s="149" t="n"/>
      <c r="G1244" s="150">
        <f>IF(AND(E1244&lt;&gt;"",F1244&lt;&gt;""),E1244*F1244,"")</f>
      </c>
      <c r="H1244" s="148" t="n"/>
      <c r="I1244" s="142" t="n"/>
      <c r="J1244" s="146">
        <f>IF(AND(B1244="",C1244="",D1244="",E1244="",F1244="",H1244=""),"",IF(NOT(ISNUMBER(B1244)),"✗ 日期不是真日期",IF(OR(B1244&lt;年初日,B1244&gt;年末日),"✗ 日期不在本年度",IF(C1244="","✗ 没选供应商",IF(COUNTIF(基础资料!$Q$5:$Q$54,C1244)=0,"✗ 供应商不在基础资料里",IF(D1244="","✗ 没选商品",IF(COUNTIF(基础资料!$E$5:$E$104,D1244)=0,"✗ 商品不在商品档案里",IF(AND(E1244="",H1244=""),"✗ 没填数量",IF(AND(N(E1244)&lt;&gt;0,F1244=""),"✗ 没填进价","√")))))))))</f>
      </c>
    </row>
    <row r="1245">
      <c r="A1245" s="109">
        <f>IF(AND(C1245="",D1245=""),"",ROW()-3)</f>
      </c>
      <c r="B1245" s="140" t="n"/>
      <c r="C1245" s="141" t="n"/>
      <c r="D1245" s="141" t="n"/>
      <c r="E1245" s="148" t="n"/>
      <c r="F1245" s="149" t="n"/>
      <c r="G1245" s="150">
        <f>IF(AND(E1245&lt;&gt;"",F1245&lt;&gt;""),E1245*F1245,"")</f>
      </c>
      <c r="H1245" s="148" t="n"/>
      <c r="I1245" s="142" t="n"/>
      <c r="J1245" s="146">
        <f>IF(AND(B1245="",C1245="",D1245="",E1245="",F1245="",H1245=""),"",IF(NOT(ISNUMBER(B1245)),"✗ 日期不是真日期",IF(OR(B1245&lt;年初日,B1245&gt;年末日),"✗ 日期不在本年度",IF(C1245="","✗ 没选供应商",IF(COUNTIF(基础资料!$Q$5:$Q$54,C1245)=0,"✗ 供应商不在基础资料里",IF(D1245="","✗ 没选商品",IF(COUNTIF(基础资料!$E$5:$E$104,D1245)=0,"✗ 商品不在商品档案里",IF(AND(E1245="",H1245=""),"✗ 没填数量",IF(AND(N(E1245)&lt;&gt;0,F1245=""),"✗ 没填进价","√")))))))))</f>
      </c>
    </row>
    <row r="1246">
      <c r="A1246" s="109">
        <f>IF(AND(C1246="",D1246=""),"",ROW()-3)</f>
      </c>
      <c r="B1246" s="140" t="n"/>
      <c r="C1246" s="141" t="n"/>
      <c r="D1246" s="141" t="n"/>
      <c r="E1246" s="148" t="n"/>
      <c r="F1246" s="149" t="n"/>
      <c r="G1246" s="150">
        <f>IF(AND(E1246&lt;&gt;"",F1246&lt;&gt;""),E1246*F1246,"")</f>
      </c>
      <c r="H1246" s="148" t="n"/>
      <c r="I1246" s="142" t="n"/>
      <c r="J1246" s="146">
        <f>IF(AND(B1246="",C1246="",D1246="",E1246="",F1246="",H1246=""),"",IF(NOT(ISNUMBER(B1246)),"✗ 日期不是真日期",IF(OR(B1246&lt;年初日,B1246&gt;年末日),"✗ 日期不在本年度",IF(C1246="","✗ 没选供应商",IF(COUNTIF(基础资料!$Q$5:$Q$54,C1246)=0,"✗ 供应商不在基础资料里",IF(D1246="","✗ 没选商品",IF(COUNTIF(基础资料!$E$5:$E$104,D1246)=0,"✗ 商品不在商品档案里",IF(AND(E1246="",H1246=""),"✗ 没填数量",IF(AND(N(E1246)&lt;&gt;0,F1246=""),"✗ 没填进价","√")))))))))</f>
      </c>
    </row>
    <row r="1247">
      <c r="A1247" s="109">
        <f>IF(AND(C1247="",D1247=""),"",ROW()-3)</f>
      </c>
      <c r="B1247" s="140" t="n"/>
      <c r="C1247" s="141" t="n"/>
      <c r="D1247" s="141" t="n"/>
      <c r="E1247" s="148" t="n"/>
      <c r="F1247" s="149" t="n"/>
      <c r="G1247" s="150">
        <f>IF(AND(E1247&lt;&gt;"",F1247&lt;&gt;""),E1247*F1247,"")</f>
      </c>
      <c r="H1247" s="148" t="n"/>
      <c r="I1247" s="142" t="n"/>
      <c r="J1247" s="146">
        <f>IF(AND(B1247="",C1247="",D1247="",E1247="",F1247="",H1247=""),"",IF(NOT(ISNUMBER(B1247)),"✗ 日期不是真日期",IF(OR(B1247&lt;年初日,B1247&gt;年末日),"✗ 日期不在本年度",IF(C1247="","✗ 没选供应商",IF(COUNTIF(基础资料!$Q$5:$Q$54,C1247)=0,"✗ 供应商不在基础资料里",IF(D1247="","✗ 没选商品",IF(COUNTIF(基础资料!$E$5:$E$104,D1247)=0,"✗ 商品不在商品档案里",IF(AND(E1247="",H1247=""),"✗ 没填数量",IF(AND(N(E1247)&lt;&gt;0,F1247=""),"✗ 没填进价","√")))))))))</f>
      </c>
    </row>
    <row r="1248">
      <c r="A1248" s="109">
        <f>IF(AND(C1248="",D1248=""),"",ROW()-3)</f>
      </c>
      <c r="B1248" s="140" t="n"/>
      <c r="C1248" s="141" t="n"/>
      <c r="D1248" s="141" t="n"/>
      <c r="E1248" s="148" t="n"/>
      <c r="F1248" s="149" t="n"/>
      <c r="G1248" s="150">
        <f>IF(AND(E1248&lt;&gt;"",F1248&lt;&gt;""),E1248*F1248,"")</f>
      </c>
      <c r="H1248" s="148" t="n"/>
      <c r="I1248" s="142" t="n"/>
      <c r="J1248" s="146">
        <f>IF(AND(B1248="",C1248="",D1248="",E1248="",F1248="",H1248=""),"",IF(NOT(ISNUMBER(B1248)),"✗ 日期不是真日期",IF(OR(B1248&lt;年初日,B1248&gt;年末日),"✗ 日期不在本年度",IF(C1248="","✗ 没选供应商",IF(COUNTIF(基础资料!$Q$5:$Q$54,C1248)=0,"✗ 供应商不在基础资料里",IF(D1248="","✗ 没选商品",IF(COUNTIF(基础资料!$E$5:$E$104,D1248)=0,"✗ 商品不在商品档案里",IF(AND(E1248="",H1248=""),"✗ 没填数量",IF(AND(N(E1248)&lt;&gt;0,F1248=""),"✗ 没填进价","√")))))))))</f>
      </c>
    </row>
    <row r="1249">
      <c r="A1249" s="109">
        <f>IF(AND(C1249="",D1249=""),"",ROW()-3)</f>
      </c>
      <c r="B1249" s="140" t="n"/>
      <c r="C1249" s="141" t="n"/>
      <c r="D1249" s="141" t="n"/>
      <c r="E1249" s="148" t="n"/>
      <c r="F1249" s="149" t="n"/>
      <c r="G1249" s="150">
        <f>IF(AND(E1249&lt;&gt;"",F1249&lt;&gt;""),E1249*F1249,"")</f>
      </c>
      <c r="H1249" s="148" t="n"/>
      <c r="I1249" s="142" t="n"/>
      <c r="J1249" s="146">
        <f>IF(AND(B1249="",C1249="",D1249="",E1249="",F1249="",H1249=""),"",IF(NOT(ISNUMBER(B1249)),"✗ 日期不是真日期",IF(OR(B1249&lt;年初日,B1249&gt;年末日),"✗ 日期不在本年度",IF(C1249="","✗ 没选供应商",IF(COUNTIF(基础资料!$Q$5:$Q$54,C1249)=0,"✗ 供应商不在基础资料里",IF(D1249="","✗ 没选商品",IF(COUNTIF(基础资料!$E$5:$E$104,D1249)=0,"✗ 商品不在商品档案里",IF(AND(E1249="",H1249=""),"✗ 没填数量",IF(AND(N(E1249)&lt;&gt;0,F1249=""),"✗ 没填进价","√")))))))))</f>
      </c>
    </row>
    <row r="1250">
      <c r="A1250" s="109">
        <f>IF(AND(C1250="",D1250=""),"",ROW()-3)</f>
      </c>
      <c r="B1250" s="140" t="n"/>
      <c r="C1250" s="141" t="n"/>
      <c r="D1250" s="141" t="n"/>
      <c r="E1250" s="148" t="n"/>
      <c r="F1250" s="149" t="n"/>
      <c r="G1250" s="150">
        <f>IF(AND(E1250&lt;&gt;"",F1250&lt;&gt;""),E1250*F1250,"")</f>
      </c>
      <c r="H1250" s="148" t="n"/>
      <c r="I1250" s="142" t="n"/>
      <c r="J1250" s="146">
        <f>IF(AND(B1250="",C1250="",D1250="",E1250="",F1250="",H1250=""),"",IF(NOT(ISNUMBER(B1250)),"✗ 日期不是真日期",IF(OR(B1250&lt;年初日,B1250&gt;年末日),"✗ 日期不在本年度",IF(C1250="","✗ 没选供应商",IF(COUNTIF(基础资料!$Q$5:$Q$54,C1250)=0,"✗ 供应商不在基础资料里",IF(D1250="","✗ 没选商品",IF(COUNTIF(基础资料!$E$5:$E$104,D1250)=0,"✗ 商品不在商品档案里",IF(AND(E1250="",H1250=""),"✗ 没填数量",IF(AND(N(E1250)&lt;&gt;0,F1250=""),"✗ 没填进价","√")))))))))</f>
      </c>
    </row>
    <row r="1251">
      <c r="A1251" s="109">
        <f>IF(AND(C1251="",D1251=""),"",ROW()-3)</f>
      </c>
      <c r="B1251" s="140" t="n"/>
      <c r="C1251" s="141" t="n"/>
      <c r="D1251" s="141" t="n"/>
      <c r="E1251" s="148" t="n"/>
      <c r="F1251" s="149" t="n"/>
      <c r="G1251" s="150">
        <f>IF(AND(E1251&lt;&gt;"",F1251&lt;&gt;""),E1251*F1251,"")</f>
      </c>
      <c r="H1251" s="148" t="n"/>
      <c r="I1251" s="142" t="n"/>
      <c r="J1251" s="146">
        <f>IF(AND(B1251="",C1251="",D1251="",E1251="",F1251="",H1251=""),"",IF(NOT(ISNUMBER(B1251)),"✗ 日期不是真日期",IF(OR(B1251&lt;年初日,B1251&gt;年末日),"✗ 日期不在本年度",IF(C1251="","✗ 没选供应商",IF(COUNTIF(基础资料!$Q$5:$Q$54,C1251)=0,"✗ 供应商不在基础资料里",IF(D1251="","✗ 没选商品",IF(COUNTIF(基础资料!$E$5:$E$104,D1251)=0,"✗ 商品不在商品档案里",IF(AND(E1251="",H1251=""),"✗ 没填数量",IF(AND(N(E1251)&lt;&gt;0,F1251=""),"✗ 没填进价","√")))))))))</f>
      </c>
    </row>
    <row r="1252">
      <c r="A1252" s="109">
        <f>IF(AND(C1252="",D1252=""),"",ROW()-3)</f>
      </c>
      <c r="B1252" s="140" t="n"/>
      <c r="C1252" s="141" t="n"/>
      <c r="D1252" s="141" t="n"/>
      <c r="E1252" s="148" t="n"/>
      <c r="F1252" s="149" t="n"/>
      <c r="G1252" s="150">
        <f>IF(AND(E1252&lt;&gt;"",F1252&lt;&gt;""),E1252*F1252,"")</f>
      </c>
      <c r="H1252" s="148" t="n"/>
      <c r="I1252" s="142" t="n"/>
      <c r="J1252" s="146">
        <f>IF(AND(B1252="",C1252="",D1252="",E1252="",F1252="",H1252=""),"",IF(NOT(ISNUMBER(B1252)),"✗ 日期不是真日期",IF(OR(B1252&lt;年初日,B1252&gt;年末日),"✗ 日期不在本年度",IF(C1252="","✗ 没选供应商",IF(COUNTIF(基础资料!$Q$5:$Q$54,C1252)=0,"✗ 供应商不在基础资料里",IF(D1252="","✗ 没选商品",IF(COUNTIF(基础资料!$E$5:$E$104,D1252)=0,"✗ 商品不在商品档案里",IF(AND(E1252="",H1252=""),"✗ 没填数量",IF(AND(N(E1252)&lt;&gt;0,F1252=""),"✗ 没填进价","√")))))))))</f>
      </c>
    </row>
    <row r="1253">
      <c r="A1253" s="109">
        <f>IF(AND(C1253="",D1253=""),"",ROW()-3)</f>
      </c>
      <c r="B1253" s="140" t="n"/>
      <c r="C1253" s="141" t="n"/>
      <c r="D1253" s="141" t="n"/>
      <c r="E1253" s="148" t="n"/>
      <c r="F1253" s="149" t="n"/>
      <c r="G1253" s="150">
        <f>IF(AND(E1253&lt;&gt;"",F1253&lt;&gt;""),E1253*F1253,"")</f>
      </c>
      <c r="H1253" s="148" t="n"/>
      <c r="I1253" s="142" t="n"/>
      <c r="J1253" s="146">
        <f>IF(AND(B1253="",C1253="",D1253="",E1253="",F1253="",H1253=""),"",IF(NOT(ISNUMBER(B1253)),"✗ 日期不是真日期",IF(OR(B1253&lt;年初日,B1253&gt;年末日),"✗ 日期不在本年度",IF(C1253="","✗ 没选供应商",IF(COUNTIF(基础资料!$Q$5:$Q$54,C1253)=0,"✗ 供应商不在基础资料里",IF(D1253="","✗ 没选商品",IF(COUNTIF(基础资料!$E$5:$E$104,D1253)=0,"✗ 商品不在商品档案里",IF(AND(E1253="",H1253=""),"✗ 没填数量",IF(AND(N(E1253)&lt;&gt;0,F1253=""),"✗ 没填进价","√")))))))))</f>
      </c>
    </row>
    <row r="1254">
      <c r="A1254" s="109">
        <f>IF(AND(C1254="",D1254=""),"",ROW()-3)</f>
      </c>
      <c r="B1254" s="140" t="n"/>
      <c r="C1254" s="141" t="n"/>
      <c r="D1254" s="141" t="n"/>
      <c r="E1254" s="148" t="n"/>
      <c r="F1254" s="149" t="n"/>
      <c r="G1254" s="150">
        <f>IF(AND(E1254&lt;&gt;"",F1254&lt;&gt;""),E1254*F1254,"")</f>
      </c>
      <c r="H1254" s="148" t="n"/>
      <c r="I1254" s="142" t="n"/>
      <c r="J1254" s="146">
        <f>IF(AND(B1254="",C1254="",D1254="",E1254="",F1254="",H1254=""),"",IF(NOT(ISNUMBER(B1254)),"✗ 日期不是真日期",IF(OR(B1254&lt;年初日,B1254&gt;年末日),"✗ 日期不在本年度",IF(C1254="","✗ 没选供应商",IF(COUNTIF(基础资料!$Q$5:$Q$54,C1254)=0,"✗ 供应商不在基础资料里",IF(D1254="","✗ 没选商品",IF(COUNTIF(基础资料!$E$5:$E$104,D1254)=0,"✗ 商品不在商品档案里",IF(AND(E1254="",H1254=""),"✗ 没填数量",IF(AND(N(E1254)&lt;&gt;0,F1254=""),"✗ 没填进价","√")))))))))</f>
      </c>
    </row>
    <row r="1255">
      <c r="A1255" s="109">
        <f>IF(AND(C1255="",D1255=""),"",ROW()-3)</f>
      </c>
      <c r="B1255" s="140" t="n"/>
      <c r="C1255" s="141" t="n"/>
      <c r="D1255" s="141" t="n"/>
      <c r="E1255" s="148" t="n"/>
      <c r="F1255" s="149" t="n"/>
      <c r="G1255" s="150">
        <f>IF(AND(E1255&lt;&gt;"",F1255&lt;&gt;""),E1255*F1255,"")</f>
      </c>
      <c r="H1255" s="148" t="n"/>
      <c r="I1255" s="142" t="n"/>
      <c r="J1255" s="146">
        <f>IF(AND(B1255="",C1255="",D1255="",E1255="",F1255="",H1255=""),"",IF(NOT(ISNUMBER(B1255)),"✗ 日期不是真日期",IF(OR(B1255&lt;年初日,B1255&gt;年末日),"✗ 日期不在本年度",IF(C1255="","✗ 没选供应商",IF(COUNTIF(基础资料!$Q$5:$Q$54,C1255)=0,"✗ 供应商不在基础资料里",IF(D1255="","✗ 没选商品",IF(COUNTIF(基础资料!$E$5:$E$104,D1255)=0,"✗ 商品不在商品档案里",IF(AND(E1255="",H1255=""),"✗ 没填数量",IF(AND(N(E1255)&lt;&gt;0,F1255=""),"✗ 没填进价","√")))))))))</f>
      </c>
    </row>
    <row r="1256">
      <c r="A1256" s="109">
        <f>IF(AND(C1256="",D1256=""),"",ROW()-3)</f>
      </c>
      <c r="B1256" s="140" t="n"/>
      <c r="C1256" s="141" t="n"/>
      <c r="D1256" s="141" t="n"/>
      <c r="E1256" s="148" t="n"/>
      <c r="F1256" s="149" t="n"/>
      <c r="G1256" s="150">
        <f>IF(AND(E1256&lt;&gt;"",F1256&lt;&gt;""),E1256*F1256,"")</f>
      </c>
      <c r="H1256" s="148" t="n"/>
      <c r="I1256" s="142" t="n"/>
      <c r="J1256" s="146">
        <f>IF(AND(B1256="",C1256="",D1256="",E1256="",F1256="",H1256=""),"",IF(NOT(ISNUMBER(B1256)),"✗ 日期不是真日期",IF(OR(B1256&lt;年初日,B1256&gt;年末日),"✗ 日期不在本年度",IF(C1256="","✗ 没选供应商",IF(COUNTIF(基础资料!$Q$5:$Q$54,C1256)=0,"✗ 供应商不在基础资料里",IF(D1256="","✗ 没选商品",IF(COUNTIF(基础资料!$E$5:$E$104,D1256)=0,"✗ 商品不在商品档案里",IF(AND(E1256="",H1256=""),"✗ 没填数量",IF(AND(N(E1256)&lt;&gt;0,F1256=""),"✗ 没填进价","√")))))))))</f>
      </c>
    </row>
    <row r="1257">
      <c r="A1257" s="109">
        <f>IF(AND(C1257="",D1257=""),"",ROW()-3)</f>
      </c>
      <c r="B1257" s="140" t="n"/>
      <c r="C1257" s="141" t="n"/>
      <c r="D1257" s="141" t="n"/>
      <c r="E1257" s="148" t="n"/>
      <c r="F1257" s="149" t="n"/>
      <c r="G1257" s="150">
        <f>IF(AND(E1257&lt;&gt;"",F1257&lt;&gt;""),E1257*F1257,"")</f>
      </c>
      <c r="H1257" s="148" t="n"/>
      <c r="I1257" s="142" t="n"/>
      <c r="J1257" s="146">
        <f>IF(AND(B1257="",C1257="",D1257="",E1257="",F1257="",H1257=""),"",IF(NOT(ISNUMBER(B1257)),"✗ 日期不是真日期",IF(OR(B1257&lt;年初日,B1257&gt;年末日),"✗ 日期不在本年度",IF(C1257="","✗ 没选供应商",IF(COUNTIF(基础资料!$Q$5:$Q$54,C1257)=0,"✗ 供应商不在基础资料里",IF(D1257="","✗ 没选商品",IF(COUNTIF(基础资料!$E$5:$E$104,D1257)=0,"✗ 商品不在商品档案里",IF(AND(E1257="",H1257=""),"✗ 没填数量",IF(AND(N(E1257)&lt;&gt;0,F1257=""),"✗ 没填进价","√")))))))))</f>
      </c>
    </row>
    <row r="1258">
      <c r="A1258" s="109">
        <f>IF(AND(C1258="",D1258=""),"",ROW()-3)</f>
      </c>
      <c r="B1258" s="140" t="n"/>
      <c r="C1258" s="141" t="n"/>
      <c r="D1258" s="141" t="n"/>
      <c r="E1258" s="148" t="n"/>
      <c r="F1258" s="149" t="n"/>
      <c r="G1258" s="150">
        <f>IF(AND(E1258&lt;&gt;"",F1258&lt;&gt;""),E1258*F1258,"")</f>
      </c>
      <c r="H1258" s="148" t="n"/>
      <c r="I1258" s="142" t="n"/>
      <c r="J1258" s="146">
        <f>IF(AND(B1258="",C1258="",D1258="",E1258="",F1258="",H1258=""),"",IF(NOT(ISNUMBER(B1258)),"✗ 日期不是真日期",IF(OR(B1258&lt;年初日,B1258&gt;年末日),"✗ 日期不在本年度",IF(C1258="","✗ 没选供应商",IF(COUNTIF(基础资料!$Q$5:$Q$54,C1258)=0,"✗ 供应商不在基础资料里",IF(D1258="","✗ 没选商品",IF(COUNTIF(基础资料!$E$5:$E$104,D1258)=0,"✗ 商品不在商品档案里",IF(AND(E1258="",H1258=""),"✗ 没填数量",IF(AND(N(E1258)&lt;&gt;0,F1258=""),"✗ 没填进价","√")))))))))</f>
      </c>
    </row>
    <row r="1259">
      <c r="A1259" s="109">
        <f>IF(AND(C1259="",D1259=""),"",ROW()-3)</f>
      </c>
      <c r="B1259" s="140" t="n"/>
      <c r="C1259" s="141" t="n"/>
      <c r="D1259" s="141" t="n"/>
      <c r="E1259" s="148" t="n"/>
      <c r="F1259" s="149" t="n"/>
      <c r="G1259" s="150">
        <f>IF(AND(E1259&lt;&gt;"",F1259&lt;&gt;""),E1259*F1259,"")</f>
      </c>
      <c r="H1259" s="148" t="n"/>
      <c r="I1259" s="142" t="n"/>
      <c r="J1259" s="146">
        <f>IF(AND(B1259="",C1259="",D1259="",E1259="",F1259="",H1259=""),"",IF(NOT(ISNUMBER(B1259)),"✗ 日期不是真日期",IF(OR(B1259&lt;年初日,B1259&gt;年末日),"✗ 日期不在本年度",IF(C1259="","✗ 没选供应商",IF(COUNTIF(基础资料!$Q$5:$Q$54,C1259)=0,"✗ 供应商不在基础资料里",IF(D1259="","✗ 没选商品",IF(COUNTIF(基础资料!$E$5:$E$104,D1259)=0,"✗ 商品不在商品档案里",IF(AND(E1259="",H1259=""),"✗ 没填数量",IF(AND(N(E1259)&lt;&gt;0,F1259=""),"✗ 没填进价","√")))))))))</f>
      </c>
    </row>
    <row r="1260">
      <c r="A1260" s="109">
        <f>IF(AND(C1260="",D1260=""),"",ROW()-3)</f>
      </c>
      <c r="B1260" s="140" t="n"/>
      <c r="C1260" s="141" t="n"/>
      <c r="D1260" s="141" t="n"/>
      <c r="E1260" s="148" t="n"/>
      <c r="F1260" s="149" t="n"/>
      <c r="G1260" s="150">
        <f>IF(AND(E1260&lt;&gt;"",F1260&lt;&gt;""),E1260*F1260,"")</f>
      </c>
      <c r="H1260" s="148" t="n"/>
      <c r="I1260" s="142" t="n"/>
      <c r="J1260" s="146">
        <f>IF(AND(B1260="",C1260="",D1260="",E1260="",F1260="",H1260=""),"",IF(NOT(ISNUMBER(B1260)),"✗ 日期不是真日期",IF(OR(B1260&lt;年初日,B1260&gt;年末日),"✗ 日期不在本年度",IF(C1260="","✗ 没选供应商",IF(COUNTIF(基础资料!$Q$5:$Q$54,C1260)=0,"✗ 供应商不在基础资料里",IF(D1260="","✗ 没选商品",IF(COUNTIF(基础资料!$E$5:$E$104,D1260)=0,"✗ 商品不在商品档案里",IF(AND(E1260="",H1260=""),"✗ 没填数量",IF(AND(N(E1260)&lt;&gt;0,F1260=""),"✗ 没填进价","√")))))))))</f>
      </c>
    </row>
    <row r="1261">
      <c r="A1261" s="109">
        <f>IF(AND(C1261="",D1261=""),"",ROW()-3)</f>
      </c>
      <c r="B1261" s="140" t="n"/>
      <c r="C1261" s="141" t="n"/>
      <c r="D1261" s="141" t="n"/>
      <c r="E1261" s="148" t="n"/>
      <c r="F1261" s="149" t="n"/>
      <c r="G1261" s="150">
        <f>IF(AND(E1261&lt;&gt;"",F1261&lt;&gt;""),E1261*F1261,"")</f>
      </c>
      <c r="H1261" s="148" t="n"/>
      <c r="I1261" s="142" t="n"/>
      <c r="J1261" s="146">
        <f>IF(AND(B1261="",C1261="",D1261="",E1261="",F1261="",H1261=""),"",IF(NOT(ISNUMBER(B1261)),"✗ 日期不是真日期",IF(OR(B1261&lt;年初日,B1261&gt;年末日),"✗ 日期不在本年度",IF(C1261="","✗ 没选供应商",IF(COUNTIF(基础资料!$Q$5:$Q$54,C1261)=0,"✗ 供应商不在基础资料里",IF(D1261="","✗ 没选商品",IF(COUNTIF(基础资料!$E$5:$E$104,D1261)=0,"✗ 商品不在商品档案里",IF(AND(E1261="",H1261=""),"✗ 没填数量",IF(AND(N(E1261)&lt;&gt;0,F1261=""),"✗ 没填进价","√")))))))))</f>
      </c>
    </row>
    <row r="1262">
      <c r="A1262" s="109">
        <f>IF(AND(C1262="",D1262=""),"",ROW()-3)</f>
      </c>
      <c r="B1262" s="140" t="n"/>
      <c r="C1262" s="141" t="n"/>
      <c r="D1262" s="141" t="n"/>
      <c r="E1262" s="148" t="n"/>
      <c r="F1262" s="149" t="n"/>
      <c r="G1262" s="150">
        <f>IF(AND(E1262&lt;&gt;"",F1262&lt;&gt;""),E1262*F1262,"")</f>
      </c>
      <c r="H1262" s="148" t="n"/>
      <c r="I1262" s="142" t="n"/>
      <c r="J1262" s="146">
        <f>IF(AND(B1262="",C1262="",D1262="",E1262="",F1262="",H1262=""),"",IF(NOT(ISNUMBER(B1262)),"✗ 日期不是真日期",IF(OR(B1262&lt;年初日,B1262&gt;年末日),"✗ 日期不在本年度",IF(C1262="","✗ 没选供应商",IF(COUNTIF(基础资料!$Q$5:$Q$54,C1262)=0,"✗ 供应商不在基础资料里",IF(D1262="","✗ 没选商品",IF(COUNTIF(基础资料!$E$5:$E$104,D1262)=0,"✗ 商品不在商品档案里",IF(AND(E1262="",H1262=""),"✗ 没填数量",IF(AND(N(E1262)&lt;&gt;0,F1262=""),"✗ 没填进价","√")))))))))</f>
      </c>
    </row>
    <row r="1263">
      <c r="A1263" s="109">
        <f>IF(AND(C1263="",D1263=""),"",ROW()-3)</f>
      </c>
      <c r="B1263" s="140" t="n"/>
      <c r="C1263" s="141" t="n"/>
      <c r="D1263" s="141" t="n"/>
      <c r="E1263" s="148" t="n"/>
      <c r="F1263" s="149" t="n"/>
      <c r="G1263" s="150">
        <f>IF(AND(E1263&lt;&gt;"",F1263&lt;&gt;""),E1263*F1263,"")</f>
      </c>
      <c r="H1263" s="148" t="n"/>
      <c r="I1263" s="142" t="n"/>
      <c r="J1263" s="146">
        <f>IF(AND(B1263="",C1263="",D1263="",E1263="",F1263="",H1263=""),"",IF(NOT(ISNUMBER(B1263)),"✗ 日期不是真日期",IF(OR(B1263&lt;年初日,B1263&gt;年末日),"✗ 日期不在本年度",IF(C1263="","✗ 没选供应商",IF(COUNTIF(基础资料!$Q$5:$Q$54,C1263)=0,"✗ 供应商不在基础资料里",IF(D1263="","✗ 没选商品",IF(COUNTIF(基础资料!$E$5:$E$104,D1263)=0,"✗ 商品不在商品档案里",IF(AND(E1263="",H1263=""),"✗ 没填数量",IF(AND(N(E1263)&lt;&gt;0,F1263=""),"✗ 没填进价","√")))))))))</f>
      </c>
    </row>
    <row r="1264">
      <c r="A1264" s="109">
        <f>IF(AND(C1264="",D1264=""),"",ROW()-3)</f>
      </c>
      <c r="B1264" s="140" t="n"/>
      <c r="C1264" s="141" t="n"/>
      <c r="D1264" s="141" t="n"/>
      <c r="E1264" s="148" t="n"/>
      <c r="F1264" s="149" t="n"/>
      <c r="G1264" s="150">
        <f>IF(AND(E1264&lt;&gt;"",F1264&lt;&gt;""),E1264*F1264,"")</f>
      </c>
      <c r="H1264" s="148" t="n"/>
      <c r="I1264" s="142" t="n"/>
      <c r="J1264" s="146">
        <f>IF(AND(B1264="",C1264="",D1264="",E1264="",F1264="",H1264=""),"",IF(NOT(ISNUMBER(B1264)),"✗ 日期不是真日期",IF(OR(B1264&lt;年初日,B1264&gt;年末日),"✗ 日期不在本年度",IF(C1264="","✗ 没选供应商",IF(COUNTIF(基础资料!$Q$5:$Q$54,C1264)=0,"✗ 供应商不在基础资料里",IF(D1264="","✗ 没选商品",IF(COUNTIF(基础资料!$E$5:$E$104,D1264)=0,"✗ 商品不在商品档案里",IF(AND(E1264="",H1264=""),"✗ 没填数量",IF(AND(N(E1264)&lt;&gt;0,F1264=""),"✗ 没填进价","√")))))))))</f>
      </c>
    </row>
    <row r="1265">
      <c r="A1265" s="109">
        <f>IF(AND(C1265="",D1265=""),"",ROW()-3)</f>
      </c>
      <c r="B1265" s="140" t="n"/>
      <c r="C1265" s="141" t="n"/>
      <c r="D1265" s="141" t="n"/>
      <c r="E1265" s="148" t="n"/>
      <c r="F1265" s="149" t="n"/>
      <c r="G1265" s="150">
        <f>IF(AND(E1265&lt;&gt;"",F1265&lt;&gt;""),E1265*F1265,"")</f>
      </c>
      <c r="H1265" s="148" t="n"/>
      <c r="I1265" s="142" t="n"/>
      <c r="J1265" s="146">
        <f>IF(AND(B1265="",C1265="",D1265="",E1265="",F1265="",H1265=""),"",IF(NOT(ISNUMBER(B1265)),"✗ 日期不是真日期",IF(OR(B1265&lt;年初日,B1265&gt;年末日),"✗ 日期不在本年度",IF(C1265="","✗ 没选供应商",IF(COUNTIF(基础资料!$Q$5:$Q$54,C1265)=0,"✗ 供应商不在基础资料里",IF(D1265="","✗ 没选商品",IF(COUNTIF(基础资料!$E$5:$E$104,D1265)=0,"✗ 商品不在商品档案里",IF(AND(E1265="",H1265=""),"✗ 没填数量",IF(AND(N(E1265)&lt;&gt;0,F1265=""),"✗ 没填进价","√")))))))))</f>
      </c>
    </row>
    <row r="1266">
      <c r="A1266" s="109">
        <f>IF(AND(C1266="",D1266=""),"",ROW()-3)</f>
      </c>
      <c r="B1266" s="140" t="n"/>
      <c r="C1266" s="141" t="n"/>
      <c r="D1266" s="141" t="n"/>
      <c r="E1266" s="148" t="n"/>
      <c r="F1266" s="149" t="n"/>
      <c r="G1266" s="150">
        <f>IF(AND(E1266&lt;&gt;"",F1266&lt;&gt;""),E1266*F1266,"")</f>
      </c>
      <c r="H1266" s="148" t="n"/>
      <c r="I1266" s="142" t="n"/>
      <c r="J1266" s="146">
        <f>IF(AND(B1266="",C1266="",D1266="",E1266="",F1266="",H1266=""),"",IF(NOT(ISNUMBER(B1266)),"✗ 日期不是真日期",IF(OR(B1266&lt;年初日,B1266&gt;年末日),"✗ 日期不在本年度",IF(C1266="","✗ 没选供应商",IF(COUNTIF(基础资料!$Q$5:$Q$54,C1266)=0,"✗ 供应商不在基础资料里",IF(D1266="","✗ 没选商品",IF(COUNTIF(基础资料!$E$5:$E$104,D1266)=0,"✗ 商品不在商品档案里",IF(AND(E1266="",H1266=""),"✗ 没填数量",IF(AND(N(E1266)&lt;&gt;0,F1266=""),"✗ 没填进价","√")))))))))</f>
      </c>
    </row>
    <row r="1267">
      <c r="A1267" s="109">
        <f>IF(AND(C1267="",D1267=""),"",ROW()-3)</f>
      </c>
      <c r="B1267" s="140" t="n"/>
      <c r="C1267" s="141" t="n"/>
      <c r="D1267" s="141" t="n"/>
      <c r="E1267" s="148" t="n"/>
      <c r="F1267" s="149" t="n"/>
      <c r="G1267" s="150">
        <f>IF(AND(E1267&lt;&gt;"",F1267&lt;&gt;""),E1267*F1267,"")</f>
      </c>
      <c r="H1267" s="148" t="n"/>
      <c r="I1267" s="142" t="n"/>
      <c r="J1267" s="146">
        <f>IF(AND(B1267="",C1267="",D1267="",E1267="",F1267="",H1267=""),"",IF(NOT(ISNUMBER(B1267)),"✗ 日期不是真日期",IF(OR(B1267&lt;年初日,B1267&gt;年末日),"✗ 日期不在本年度",IF(C1267="","✗ 没选供应商",IF(COUNTIF(基础资料!$Q$5:$Q$54,C1267)=0,"✗ 供应商不在基础资料里",IF(D1267="","✗ 没选商品",IF(COUNTIF(基础资料!$E$5:$E$104,D1267)=0,"✗ 商品不在商品档案里",IF(AND(E1267="",H1267=""),"✗ 没填数量",IF(AND(N(E1267)&lt;&gt;0,F1267=""),"✗ 没填进价","√")))))))))</f>
      </c>
    </row>
    <row r="1268">
      <c r="A1268" s="109">
        <f>IF(AND(C1268="",D1268=""),"",ROW()-3)</f>
      </c>
      <c r="B1268" s="140" t="n"/>
      <c r="C1268" s="141" t="n"/>
      <c r="D1268" s="141" t="n"/>
      <c r="E1268" s="148" t="n"/>
      <c r="F1268" s="149" t="n"/>
      <c r="G1268" s="150">
        <f>IF(AND(E1268&lt;&gt;"",F1268&lt;&gt;""),E1268*F1268,"")</f>
      </c>
      <c r="H1268" s="148" t="n"/>
      <c r="I1268" s="142" t="n"/>
      <c r="J1268" s="146">
        <f>IF(AND(B1268="",C1268="",D1268="",E1268="",F1268="",H1268=""),"",IF(NOT(ISNUMBER(B1268)),"✗ 日期不是真日期",IF(OR(B1268&lt;年初日,B1268&gt;年末日),"✗ 日期不在本年度",IF(C1268="","✗ 没选供应商",IF(COUNTIF(基础资料!$Q$5:$Q$54,C1268)=0,"✗ 供应商不在基础资料里",IF(D1268="","✗ 没选商品",IF(COUNTIF(基础资料!$E$5:$E$104,D1268)=0,"✗ 商品不在商品档案里",IF(AND(E1268="",H1268=""),"✗ 没填数量",IF(AND(N(E1268)&lt;&gt;0,F1268=""),"✗ 没填进价","√")))))))))</f>
      </c>
    </row>
    <row r="1269">
      <c r="A1269" s="109">
        <f>IF(AND(C1269="",D1269=""),"",ROW()-3)</f>
      </c>
      <c r="B1269" s="140" t="n"/>
      <c r="C1269" s="141" t="n"/>
      <c r="D1269" s="141" t="n"/>
      <c r="E1269" s="148" t="n"/>
      <c r="F1269" s="149" t="n"/>
      <c r="G1269" s="150">
        <f>IF(AND(E1269&lt;&gt;"",F1269&lt;&gt;""),E1269*F1269,"")</f>
      </c>
      <c r="H1269" s="148" t="n"/>
      <c r="I1269" s="142" t="n"/>
      <c r="J1269" s="146">
        <f>IF(AND(B1269="",C1269="",D1269="",E1269="",F1269="",H1269=""),"",IF(NOT(ISNUMBER(B1269)),"✗ 日期不是真日期",IF(OR(B1269&lt;年初日,B1269&gt;年末日),"✗ 日期不在本年度",IF(C1269="","✗ 没选供应商",IF(COUNTIF(基础资料!$Q$5:$Q$54,C1269)=0,"✗ 供应商不在基础资料里",IF(D1269="","✗ 没选商品",IF(COUNTIF(基础资料!$E$5:$E$104,D1269)=0,"✗ 商品不在商品档案里",IF(AND(E1269="",H1269=""),"✗ 没填数量",IF(AND(N(E1269)&lt;&gt;0,F1269=""),"✗ 没填进价","√")))))))))</f>
      </c>
    </row>
    <row r="1270">
      <c r="A1270" s="109">
        <f>IF(AND(C1270="",D1270=""),"",ROW()-3)</f>
      </c>
      <c r="B1270" s="140" t="n"/>
      <c r="C1270" s="141" t="n"/>
      <c r="D1270" s="141" t="n"/>
      <c r="E1270" s="148" t="n"/>
      <c r="F1270" s="149" t="n"/>
      <c r="G1270" s="150">
        <f>IF(AND(E1270&lt;&gt;"",F1270&lt;&gt;""),E1270*F1270,"")</f>
      </c>
      <c r="H1270" s="148" t="n"/>
      <c r="I1270" s="142" t="n"/>
      <c r="J1270" s="146">
        <f>IF(AND(B1270="",C1270="",D1270="",E1270="",F1270="",H1270=""),"",IF(NOT(ISNUMBER(B1270)),"✗ 日期不是真日期",IF(OR(B1270&lt;年初日,B1270&gt;年末日),"✗ 日期不在本年度",IF(C1270="","✗ 没选供应商",IF(COUNTIF(基础资料!$Q$5:$Q$54,C1270)=0,"✗ 供应商不在基础资料里",IF(D1270="","✗ 没选商品",IF(COUNTIF(基础资料!$E$5:$E$104,D1270)=0,"✗ 商品不在商品档案里",IF(AND(E1270="",H1270=""),"✗ 没填数量",IF(AND(N(E1270)&lt;&gt;0,F1270=""),"✗ 没填进价","√")))))))))</f>
      </c>
    </row>
    <row r="1271">
      <c r="A1271" s="109">
        <f>IF(AND(C1271="",D1271=""),"",ROW()-3)</f>
      </c>
      <c r="B1271" s="140" t="n"/>
      <c r="C1271" s="141" t="n"/>
      <c r="D1271" s="141" t="n"/>
      <c r="E1271" s="148" t="n"/>
      <c r="F1271" s="149" t="n"/>
      <c r="G1271" s="150">
        <f>IF(AND(E1271&lt;&gt;"",F1271&lt;&gt;""),E1271*F1271,"")</f>
      </c>
      <c r="H1271" s="148" t="n"/>
      <c r="I1271" s="142" t="n"/>
      <c r="J1271" s="146">
        <f>IF(AND(B1271="",C1271="",D1271="",E1271="",F1271="",H1271=""),"",IF(NOT(ISNUMBER(B1271)),"✗ 日期不是真日期",IF(OR(B1271&lt;年初日,B1271&gt;年末日),"✗ 日期不在本年度",IF(C1271="","✗ 没选供应商",IF(COUNTIF(基础资料!$Q$5:$Q$54,C1271)=0,"✗ 供应商不在基础资料里",IF(D1271="","✗ 没选商品",IF(COUNTIF(基础资料!$E$5:$E$104,D1271)=0,"✗ 商品不在商品档案里",IF(AND(E1271="",H1271=""),"✗ 没填数量",IF(AND(N(E1271)&lt;&gt;0,F1271=""),"✗ 没填进价","√")))))))))</f>
      </c>
    </row>
    <row r="1272">
      <c r="A1272" s="109">
        <f>IF(AND(C1272="",D1272=""),"",ROW()-3)</f>
      </c>
      <c r="B1272" s="140" t="n"/>
      <c r="C1272" s="141" t="n"/>
      <c r="D1272" s="141" t="n"/>
      <c r="E1272" s="148" t="n"/>
      <c r="F1272" s="149" t="n"/>
      <c r="G1272" s="150">
        <f>IF(AND(E1272&lt;&gt;"",F1272&lt;&gt;""),E1272*F1272,"")</f>
      </c>
      <c r="H1272" s="148" t="n"/>
      <c r="I1272" s="142" t="n"/>
      <c r="J1272" s="146">
        <f>IF(AND(B1272="",C1272="",D1272="",E1272="",F1272="",H1272=""),"",IF(NOT(ISNUMBER(B1272)),"✗ 日期不是真日期",IF(OR(B1272&lt;年初日,B1272&gt;年末日),"✗ 日期不在本年度",IF(C1272="","✗ 没选供应商",IF(COUNTIF(基础资料!$Q$5:$Q$54,C1272)=0,"✗ 供应商不在基础资料里",IF(D1272="","✗ 没选商品",IF(COUNTIF(基础资料!$E$5:$E$104,D1272)=0,"✗ 商品不在商品档案里",IF(AND(E1272="",H1272=""),"✗ 没填数量",IF(AND(N(E1272)&lt;&gt;0,F1272=""),"✗ 没填进价","√")))))))))</f>
      </c>
    </row>
    <row r="1273">
      <c r="A1273" s="109">
        <f>IF(AND(C1273="",D1273=""),"",ROW()-3)</f>
      </c>
      <c r="B1273" s="140" t="n"/>
      <c r="C1273" s="141" t="n"/>
      <c r="D1273" s="141" t="n"/>
      <c r="E1273" s="148" t="n"/>
      <c r="F1273" s="149" t="n"/>
      <c r="G1273" s="150">
        <f>IF(AND(E1273&lt;&gt;"",F1273&lt;&gt;""),E1273*F1273,"")</f>
      </c>
      <c r="H1273" s="148" t="n"/>
      <c r="I1273" s="142" t="n"/>
      <c r="J1273" s="146">
        <f>IF(AND(B1273="",C1273="",D1273="",E1273="",F1273="",H1273=""),"",IF(NOT(ISNUMBER(B1273)),"✗ 日期不是真日期",IF(OR(B1273&lt;年初日,B1273&gt;年末日),"✗ 日期不在本年度",IF(C1273="","✗ 没选供应商",IF(COUNTIF(基础资料!$Q$5:$Q$54,C1273)=0,"✗ 供应商不在基础资料里",IF(D1273="","✗ 没选商品",IF(COUNTIF(基础资料!$E$5:$E$104,D1273)=0,"✗ 商品不在商品档案里",IF(AND(E1273="",H1273=""),"✗ 没填数量",IF(AND(N(E1273)&lt;&gt;0,F1273=""),"✗ 没填进价","√")))))))))</f>
      </c>
    </row>
    <row r="1274">
      <c r="A1274" s="109">
        <f>IF(AND(C1274="",D1274=""),"",ROW()-3)</f>
      </c>
      <c r="B1274" s="140" t="n"/>
      <c r="C1274" s="141" t="n"/>
      <c r="D1274" s="141" t="n"/>
      <c r="E1274" s="148" t="n"/>
      <c r="F1274" s="149" t="n"/>
      <c r="G1274" s="150">
        <f>IF(AND(E1274&lt;&gt;"",F1274&lt;&gt;""),E1274*F1274,"")</f>
      </c>
      <c r="H1274" s="148" t="n"/>
      <c r="I1274" s="142" t="n"/>
      <c r="J1274" s="146">
        <f>IF(AND(B1274="",C1274="",D1274="",E1274="",F1274="",H1274=""),"",IF(NOT(ISNUMBER(B1274)),"✗ 日期不是真日期",IF(OR(B1274&lt;年初日,B1274&gt;年末日),"✗ 日期不在本年度",IF(C1274="","✗ 没选供应商",IF(COUNTIF(基础资料!$Q$5:$Q$54,C1274)=0,"✗ 供应商不在基础资料里",IF(D1274="","✗ 没选商品",IF(COUNTIF(基础资料!$E$5:$E$104,D1274)=0,"✗ 商品不在商品档案里",IF(AND(E1274="",H1274=""),"✗ 没填数量",IF(AND(N(E1274)&lt;&gt;0,F1274=""),"✗ 没填进价","√")))))))))</f>
      </c>
    </row>
    <row r="1275">
      <c r="A1275" s="109">
        <f>IF(AND(C1275="",D1275=""),"",ROW()-3)</f>
      </c>
      <c r="B1275" s="140" t="n"/>
      <c r="C1275" s="141" t="n"/>
      <c r="D1275" s="141" t="n"/>
      <c r="E1275" s="148" t="n"/>
      <c r="F1275" s="149" t="n"/>
      <c r="G1275" s="150">
        <f>IF(AND(E1275&lt;&gt;"",F1275&lt;&gt;""),E1275*F1275,"")</f>
      </c>
      <c r="H1275" s="148" t="n"/>
      <c r="I1275" s="142" t="n"/>
      <c r="J1275" s="146">
        <f>IF(AND(B1275="",C1275="",D1275="",E1275="",F1275="",H1275=""),"",IF(NOT(ISNUMBER(B1275)),"✗ 日期不是真日期",IF(OR(B1275&lt;年初日,B1275&gt;年末日),"✗ 日期不在本年度",IF(C1275="","✗ 没选供应商",IF(COUNTIF(基础资料!$Q$5:$Q$54,C1275)=0,"✗ 供应商不在基础资料里",IF(D1275="","✗ 没选商品",IF(COUNTIF(基础资料!$E$5:$E$104,D1275)=0,"✗ 商品不在商品档案里",IF(AND(E1275="",H1275=""),"✗ 没填数量",IF(AND(N(E1275)&lt;&gt;0,F1275=""),"✗ 没填进价","√")))))))))</f>
      </c>
    </row>
    <row r="1276">
      <c r="A1276" s="109">
        <f>IF(AND(C1276="",D1276=""),"",ROW()-3)</f>
      </c>
      <c r="B1276" s="140" t="n"/>
      <c r="C1276" s="141" t="n"/>
      <c r="D1276" s="141" t="n"/>
      <c r="E1276" s="148" t="n"/>
      <c r="F1276" s="149" t="n"/>
      <c r="G1276" s="150">
        <f>IF(AND(E1276&lt;&gt;"",F1276&lt;&gt;""),E1276*F1276,"")</f>
      </c>
      <c r="H1276" s="148" t="n"/>
      <c r="I1276" s="142" t="n"/>
      <c r="J1276" s="146">
        <f>IF(AND(B1276="",C1276="",D1276="",E1276="",F1276="",H1276=""),"",IF(NOT(ISNUMBER(B1276)),"✗ 日期不是真日期",IF(OR(B1276&lt;年初日,B1276&gt;年末日),"✗ 日期不在本年度",IF(C1276="","✗ 没选供应商",IF(COUNTIF(基础资料!$Q$5:$Q$54,C1276)=0,"✗ 供应商不在基础资料里",IF(D1276="","✗ 没选商品",IF(COUNTIF(基础资料!$E$5:$E$104,D1276)=0,"✗ 商品不在商品档案里",IF(AND(E1276="",H1276=""),"✗ 没填数量",IF(AND(N(E1276)&lt;&gt;0,F1276=""),"✗ 没填进价","√")))))))))</f>
      </c>
    </row>
    <row r="1277">
      <c r="A1277" s="109">
        <f>IF(AND(C1277="",D1277=""),"",ROW()-3)</f>
      </c>
      <c r="B1277" s="140" t="n"/>
      <c r="C1277" s="141" t="n"/>
      <c r="D1277" s="141" t="n"/>
      <c r="E1277" s="148" t="n"/>
      <c r="F1277" s="149" t="n"/>
      <c r="G1277" s="150">
        <f>IF(AND(E1277&lt;&gt;"",F1277&lt;&gt;""),E1277*F1277,"")</f>
      </c>
      <c r="H1277" s="148" t="n"/>
      <c r="I1277" s="142" t="n"/>
      <c r="J1277" s="146">
        <f>IF(AND(B1277="",C1277="",D1277="",E1277="",F1277="",H1277=""),"",IF(NOT(ISNUMBER(B1277)),"✗ 日期不是真日期",IF(OR(B1277&lt;年初日,B1277&gt;年末日),"✗ 日期不在本年度",IF(C1277="","✗ 没选供应商",IF(COUNTIF(基础资料!$Q$5:$Q$54,C1277)=0,"✗ 供应商不在基础资料里",IF(D1277="","✗ 没选商品",IF(COUNTIF(基础资料!$E$5:$E$104,D1277)=0,"✗ 商品不在商品档案里",IF(AND(E1277="",H1277=""),"✗ 没填数量",IF(AND(N(E1277)&lt;&gt;0,F1277=""),"✗ 没填进价","√")))))))))</f>
      </c>
    </row>
    <row r="1278">
      <c r="A1278" s="109">
        <f>IF(AND(C1278="",D1278=""),"",ROW()-3)</f>
      </c>
      <c r="B1278" s="140" t="n"/>
      <c r="C1278" s="141" t="n"/>
      <c r="D1278" s="141" t="n"/>
      <c r="E1278" s="148" t="n"/>
      <c r="F1278" s="149" t="n"/>
      <c r="G1278" s="150">
        <f>IF(AND(E1278&lt;&gt;"",F1278&lt;&gt;""),E1278*F1278,"")</f>
      </c>
      <c r="H1278" s="148" t="n"/>
      <c r="I1278" s="142" t="n"/>
      <c r="J1278" s="146">
        <f>IF(AND(B1278="",C1278="",D1278="",E1278="",F1278="",H1278=""),"",IF(NOT(ISNUMBER(B1278)),"✗ 日期不是真日期",IF(OR(B1278&lt;年初日,B1278&gt;年末日),"✗ 日期不在本年度",IF(C1278="","✗ 没选供应商",IF(COUNTIF(基础资料!$Q$5:$Q$54,C1278)=0,"✗ 供应商不在基础资料里",IF(D1278="","✗ 没选商品",IF(COUNTIF(基础资料!$E$5:$E$104,D1278)=0,"✗ 商品不在商品档案里",IF(AND(E1278="",H1278=""),"✗ 没填数量",IF(AND(N(E1278)&lt;&gt;0,F1278=""),"✗ 没填进价","√")))))))))</f>
      </c>
    </row>
    <row r="1279">
      <c r="A1279" s="109">
        <f>IF(AND(C1279="",D1279=""),"",ROW()-3)</f>
      </c>
      <c r="B1279" s="140" t="n"/>
      <c r="C1279" s="141" t="n"/>
      <c r="D1279" s="141" t="n"/>
      <c r="E1279" s="148" t="n"/>
      <c r="F1279" s="149" t="n"/>
      <c r="G1279" s="150">
        <f>IF(AND(E1279&lt;&gt;"",F1279&lt;&gt;""),E1279*F1279,"")</f>
      </c>
      <c r="H1279" s="148" t="n"/>
      <c r="I1279" s="142" t="n"/>
      <c r="J1279" s="146">
        <f>IF(AND(B1279="",C1279="",D1279="",E1279="",F1279="",H1279=""),"",IF(NOT(ISNUMBER(B1279)),"✗ 日期不是真日期",IF(OR(B1279&lt;年初日,B1279&gt;年末日),"✗ 日期不在本年度",IF(C1279="","✗ 没选供应商",IF(COUNTIF(基础资料!$Q$5:$Q$54,C1279)=0,"✗ 供应商不在基础资料里",IF(D1279="","✗ 没选商品",IF(COUNTIF(基础资料!$E$5:$E$104,D1279)=0,"✗ 商品不在商品档案里",IF(AND(E1279="",H1279=""),"✗ 没填数量",IF(AND(N(E1279)&lt;&gt;0,F1279=""),"✗ 没填进价","√")))))))))</f>
      </c>
    </row>
    <row r="1280">
      <c r="A1280" s="109">
        <f>IF(AND(C1280="",D1280=""),"",ROW()-3)</f>
      </c>
      <c r="B1280" s="140" t="n"/>
      <c r="C1280" s="141" t="n"/>
      <c r="D1280" s="141" t="n"/>
      <c r="E1280" s="148" t="n"/>
      <c r="F1280" s="149" t="n"/>
      <c r="G1280" s="150">
        <f>IF(AND(E1280&lt;&gt;"",F1280&lt;&gt;""),E1280*F1280,"")</f>
      </c>
      <c r="H1280" s="148" t="n"/>
      <c r="I1280" s="142" t="n"/>
      <c r="J1280" s="146">
        <f>IF(AND(B1280="",C1280="",D1280="",E1280="",F1280="",H1280=""),"",IF(NOT(ISNUMBER(B1280)),"✗ 日期不是真日期",IF(OR(B1280&lt;年初日,B1280&gt;年末日),"✗ 日期不在本年度",IF(C1280="","✗ 没选供应商",IF(COUNTIF(基础资料!$Q$5:$Q$54,C1280)=0,"✗ 供应商不在基础资料里",IF(D1280="","✗ 没选商品",IF(COUNTIF(基础资料!$E$5:$E$104,D1280)=0,"✗ 商品不在商品档案里",IF(AND(E1280="",H1280=""),"✗ 没填数量",IF(AND(N(E1280)&lt;&gt;0,F1280=""),"✗ 没填进价","√")))))))))</f>
      </c>
    </row>
    <row r="1281">
      <c r="A1281" s="109">
        <f>IF(AND(C1281="",D1281=""),"",ROW()-3)</f>
      </c>
      <c r="B1281" s="140" t="n"/>
      <c r="C1281" s="141" t="n"/>
      <c r="D1281" s="141" t="n"/>
      <c r="E1281" s="148" t="n"/>
      <c r="F1281" s="149" t="n"/>
      <c r="G1281" s="150">
        <f>IF(AND(E1281&lt;&gt;"",F1281&lt;&gt;""),E1281*F1281,"")</f>
      </c>
      <c r="H1281" s="148" t="n"/>
      <c r="I1281" s="142" t="n"/>
      <c r="J1281" s="146">
        <f>IF(AND(B1281="",C1281="",D1281="",E1281="",F1281="",H1281=""),"",IF(NOT(ISNUMBER(B1281)),"✗ 日期不是真日期",IF(OR(B1281&lt;年初日,B1281&gt;年末日),"✗ 日期不在本年度",IF(C1281="","✗ 没选供应商",IF(COUNTIF(基础资料!$Q$5:$Q$54,C1281)=0,"✗ 供应商不在基础资料里",IF(D1281="","✗ 没选商品",IF(COUNTIF(基础资料!$E$5:$E$104,D1281)=0,"✗ 商品不在商品档案里",IF(AND(E1281="",H1281=""),"✗ 没填数量",IF(AND(N(E1281)&lt;&gt;0,F1281=""),"✗ 没填进价","√")))))))))</f>
      </c>
    </row>
    <row r="1282">
      <c r="A1282" s="109">
        <f>IF(AND(C1282="",D1282=""),"",ROW()-3)</f>
      </c>
      <c r="B1282" s="140" t="n"/>
      <c r="C1282" s="141" t="n"/>
      <c r="D1282" s="141" t="n"/>
      <c r="E1282" s="148" t="n"/>
      <c r="F1282" s="149" t="n"/>
      <c r="G1282" s="150">
        <f>IF(AND(E1282&lt;&gt;"",F1282&lt;&gt;""),E1282*F1282,"")</f>
      </c>
      <c r="H1282" s="148" t="n"/>
      <c r="I1282" s="142" t="n"/>
      <c r="J1282" s="146">
        <f>IF(AND(B1282="",C1282="",D1282="",E1282="",F1282="",H1282=""),"",IF(NOT(ISNUMBER(B1282)),"✗ 日期不是真日期",IF(OR(B1282&lt;年初日,B1282&gt;年末日),"✗ 日期不在本年度",IF(C1282="","✗ 没选供应商",IF(COUNTIF(基础资料!$Q$5:$Q$54,C1282)=0,"✗ 供应商不在基础资料里",IF(D1282="","✗ 没选商品",IF(COUNTIF(基础资料!$E$5:$E$104,D1282)=0,"✗ 商品不在商品档案里",IF(AND(E1282="",H1282=""),"✗ 没填数量",IF(AND(N(E1282)&lt;&gt;0,F1282=""),"✗ 没填进价","√")))))))))</f>
      </c>
    </row>
    <row r="1283">
      <c r="A1283" s="109">
        <f>IF(AND(C1283="",D1283=""),"",ROW()-3)</f>
      </c>
      <c r="B1283" s="140" t="n"/>
      <c r="C1283" s="141" t="n"/>
      <c r="D1283" s="141" t="n"/>
      <c r="E1283" s="148" t="n"/>
      <c r="F1283" s="149" t="n"/>
      <c r="G1283" s="150">
        <f>IF(AND(E1283&lt;&gt;"",F1283&lt;&gt;""),E1283*F1283,"")</f>
      </c>
      <c r="H1283" s="148" t="n"/>
      <c r="I1283" s="142" t="n"/>
      <c r="J1283" s="146">
        <f>IF(AND(B1283="",C1283="",D1283="",E1283="",F1283="",H1283=""),"",IF(NOT(ISNUMBER(B1283)),"✗ 日期不是真日期",IF(OR(B1283&lt;年初日,B1283&gt;年末日),"✗ 日期不在本年度",IF(C1283="","✗ 没选供应商",IF(COUNTIF(基础资料!$Q$5:$Q$54,C1283)=0,"✗ 供应商不在基础资料里",IF(D1283="","✗ 没选商品",IF(COUNTIF(基础资料!$E$5:$E$104,D1283)=0,"✗ 商品不在商品档案里",IF(AND(E1283="",H1283=""),"✗ 没填数量",IF(AND(N(E1283)&lt;&gt;0,F1283=""),"✗ 没填进价","√")))))))))</f>
      </c>
    </row>
    <row r="1284">
      <c r="A1284" s="109">
        <f>IF(AND(C1284="",D1284=""),"",ROW()-3)</f>
      </c>
      <c r="B1284" s="140" t="n"/>
      <c r="C1284" s="141" t="n"/>
      <c r="D1284" s="141" t="n"/>
      <c r="E1284" s="148" t="n"/>
      <c r="F1284" s="149" t="n"/>
      <c r="G1284" s="150">
        <f>IF(AND(E1284&lt;&gt;"",F1284&lt;&gt;""),E1284*F1284,"")</f>
      </c>
      <c r="H1284" s="148" t="n"/>
      <c r="I1284" s="142" t="n"/>
      <c r="J1284" s="146">
        <f>IF(AND(B1284="",C1284="",D1284="",E1284="",F1284="",H1284=""),"",IF(NOT(ISNUMBER(B1284)),"✗ 日期不是真日期",IF(OR(B1284&lt;年初日,B1284&gt;年末日),"✗ 日期不在本年度",IF(C1284="","✗ 没选供应商",IF(COUNTIF(基础资料!$Q$5:$Q$54,C1284)=0,"✗ 供应商不在基础资料里",IF(D1284="","✗ 没选商品",IF(COUNTIF(基础资料!$E$5:$E$104,D1284)=0,"✗ 商品不在商品档案里",IF(AND(E1284="",H1284=""),"✗ 没填数量",IF(AND(N(E1284)&lt;&gt;0,F1284=""),"✗ 没填进价","√")))))))))</f>
      </c>
    </row>
    <row r="1285">
      <c r="A1285" s="109">
        <f>IF(AND(C1285="",D1285=""),"",ROW()-3)</f>
      </c>
      <c r="B1285" s="140" t="n"/>
      <c r="C1285" s="141" t="n"/>
      <c r="D1285" s="141" t="n"/>
      <c r="E1285" s="148" t="n"/>
      <c r="F1285" s="149" t="n"/>
      <c r="G1285" s="150">
        <f>IF(AND(E1285&lt;&gt;"",F1285&lt;&gt;""),E1285*F1285,"")</f>
      </c>
      <c r="H1285" s="148" t="n"/>
      <c r="I1285" s="142" t="n"/>
      <c r="J1285" s="146">
        <f>IF(AND(B1285="",C1285="",D1285="",E1285="",F1285="",H1285=""),"",IF(NOT(ISNUMBER(B1285)),"✗ 日期不是真日期",IF(OR(B1285&lt;年初日,B1285&gt;年末日),"✗ 日期不在本年度",IF(C1285="","✗ 没选供应商",IF(COUNTIF(基础资料!$Q$5:$Q$54,C1285)=0,"✗ 供应商不在基础资料里",IF(D1285="","✗ 没选商品",IF(COUNTIF(基础资料!$E$5:$E$104,D1285)=0,"✗ 商品不在商品档案里",IF(AND(E1285="",H1285=""),"✗ 没填数量",IF(AND(N(E1285)&lt;&gt;0,F1285=""),"✗ 没填进价","√")))))))))</f>
      </c>
    </row>
    <row r="1286">
      <c r="A1286" s="109">
        <f>IF(AND(C1286="",D1286=""),"",ROW()-3)</f>
      </c>
      <c r="B1286" s="140" t="n"/>
      <c r="C1286" s="141" t="n"/>
      <c r="D1286" s="141" t="n"/>
      <c r="E1286" s="148" t="n"/>
      <c r="F1286" s="149" t="n"/>
      <c r="G1286" s="150">
        <f>IF(AND(E1286&lt;&gt;"",F1286&lt;&gt;""),E1286*F1286,"")</f>
      </c>
      <c r="H1286" s="148" t="n"/>
      <c r="I1286" s="142" t="n"/>
      <c r="J1286" s="146">
        <f>IF(AND(B1286="",C1286="",D1286="",E1286="",F1286="",H1286=""),"",IF(NOT(ISNUMBER(B1286)),"✗ 日期不是真日期",IF(OR(B1286&lt;年初日,B1286&gt;年末日),"✗ 日期不在本年度",IF(C1286="","✗ 没选供应商",IF(COUNTIF(基础资料!$Q$5:$Q$54,C1286)=0,"✗ 供应商不在基础资料里",IF(D1286="","✗ 没选商品",IF(COUNTIF(基础资料!$E$5:$E$104,D1286)=0,"✗ 商品不在商品档案里",IF(AND(E1286="",H1286=""),"✗ 没填数量",IF(AND(N(E1286)&lt;&gt;0,F1286=""),"✗ 没填进价","√")))))))))</f>
      </c>
    </row>
    <row r="1287">
      <c r="A1287" s="109">
        <f>IF(AND(C1287="",D1287=""),"",ROW()-3)</f>
      </c>
      <c r="B1287" s="140" t="n"/>
      <c r="C1287" s="141" t="n"/>
      <c r="D1287" s="141" t="n"/>
      <c r="E1287" s="148" t="n"/>
      <c r="F1287" s="149" t="n"/>
      <c r="G1287" s="150">
        <f>IF(AND(E1287&lt;&gt;"",F1287&lt;&gt;""),E1287*F1287,"")</f>
      </c>
      <c r="H1287" s="148" t="n"/>
      <c r="I1287" s="142" t="n"/>
      <c r="J1287" s="146">
        <f>IF(AND(B1287="",C1287="",D1287="",E1287="",F1287="",H1287=""),"",IF(NOT(ISNUMBER(B1287)),"✗ 日期不是真日期",IF(OR(B1287&lt;年初日,B1287&gt;年末日),"✗ 日期不在本年度",IF(C1287="","✗ 没选供应商",IF(COUNTIF(基础资料!$Q$5:$Q$54,C1287)=0,"✗ 供应商不在基础资料里",IF(D1287="","✗ 没选商品",IF(COUNTIF(基础资料!$E$5:$E$104,D1287)=0,"✗ 商品不在商品档案里",IF(AND(E1287="",H1287=""),"✗ 没填数量",IF(AND(N(E1287)&lt;&gt;0,F1287=""),"✗ 没填进价","√")))))))))</f>
      </c>
    </row>
    <row r="1288">
      <c r="A1288" s="109">
        <f>IF(AND(C1288="",D1288=""),"",ROW()-3)</f>
      </c>
      <c r="B1288" s="140" t="n"/>
      <c r="C1288" s="141" t="n"/>
      <c r="D1288" s="141" t="n"/>
      <c r="E1288" s="148" t="n"/>
      <c r="F1288" s="149" t="n"/>
      <c r="G1288" s="150">
        <f>IF(AND(E1288&lt;&gt;"",F1288&lt;&gt;""),E1288*F1288,"")</f>
      </c>
      <c r="H1288" s="148" t="n"/>
      <c r="I1288" s="142" t="n"/>
      <c r="J1288" s="146">
        <f>IF(AND(B1288="",C1288="",D1288="",E1288="",F1288="",H1288=""),"",IF(NOT(ISNUMBER(B1288)),"✗ 日期不是真日期",IF(OR(B1288&lt;年初日,B1288&gt;年末日),"✗ 日期不在本年度",IF(C1288="","✗ 没选供应商",IF(COUNTIF(基础资料!$Q$5:$Q$54,C1288)=0,"✗ 供应商不在基础资料里",IF(D1288="","✗ 没选商品",IF(COUNTIF(基础资料!$E$5:$E$104,D1288)=0,"✗ 商品不在商品档案里",IF(AND(E1288="",H1288=""),"✗ 没填数量",IF(AND(N(E1288)&lt;&gt;0,F1288=""),"✗ 没填进价","√")))))))))</f>
      </c>
    </row>
    <row r="1289">
      <c r="A1289" s="109">
        <f>IF(AND(C1289="",D1289=""),"",ROW()-3)</f>
      </c>
      <c r="B1289" s="140" t="n"/>
      <c r="C1289" s="141" t="n"/>
      <c r="D1289" s="141" t="n"/>
      <c r="E1289" s="148" t="n"/>
      <c r="F1289" s="149" t="n"/>
      <c r="G1289" s="150">
        <f>IF(AND(E1289&lt;&gt;"",F1289&lt;&gt;""),E1289*F1289,"")</f>
      </c>
      <c r="H1289" s="148" t="n"/>
      <c r="I1289" s="142" t="n"/>
      <c r="J1289" s="146">
        <f>IF(AND(B1289="",C1289="",D1289="",E1289="",F1289="",H1289=""),"",IF(NOT(ISNUMBER(B1289)),"✗ 日期不是真日期",IF(OR(B1289&lt;年初日,B1289&gt;年末日),"✗ 日期不在本年度",IF(C1289="","✗ 没选供应商",IF(COUNTIF(基础资料!$Q$5:$Q$54,C1289)=0,"✗ 供应商不在基础资料里",IF(D1289="","✗ 没选商品",IF(COUNTIF(基础资料!$E$5:$E$104,D1289)=0,"✗ 商品不在商品档案里",IF(AND(E1289="",H1289=""),"✗ 没填数量",IF(AND(N(E1289)&lt;&gt;0,F1289=""),"✗ 没填进价","√")))))))))</f>
      </c>
    </row>
    <row r="1290">
      <c r="A1290" s="109">
        <f>IF(AND(C1290="",D1290=""),"",ROW()-3)</f>
      </c>
      <c r="B1290" s="140" t="n"/>
      <c r="C1290" s="141" t="n"/>
      <c r="D1290" s="141" t="n"/>
      <c r="E1290" s="148" t="n"/>
      <c r="F1290" s="149" t="n"/>
      <c r="G1290" s="150">
        <f>IF(AND(E1290&lt;&gt;"",F1290&lt;&gt;""),E1290*F1290,"")</f>
      </c>
      <c r="H1290" s="148" t="n"/>
      <c r="I1290" s="142" t="n"/>
      <c r="J1290" s="146">
        <f>IF(AND(B1290="",C1290="",D1290="",E1290="",F1290="",H1290=""),"",IF(NOT(ISNUMBER(B1290)),"✗ 日期不是真日期",IF(OR(B1290&lt;年初日,B1290&gt;年末日),"✗ 日期不在本年度",IF(C1290="","✗ 没选供应商",IF(COUNTIF(基础资料!$Q$5:$Q$54,C1290)=0,"✗ 供应商不在基础资料里",IF(D1290="","✗ 没选商品",IF(COUNTIF(基础资料!$E$5:$E$104,D1290)=0,"✗ 商品不在商品档案里",IF(AND(E1290="",H1290=""),"✗ 没填数量",IF(AND(N(E1290)&lt;&gt;0,F1290=""),"✗ 没填进价","√")))))))))</f>
      </c>
    </row>
    <row r="1291">
      <c r="A1291" s="109">
        <f>IF(AND(C1291="",D1291=""),"",ROW()-3)</f>
      </c>
      <c r="B1291" s="140" t="n"/>
      <c r="C1291" s="141" t="n"/>
      <c r="D1291" s="141" t="n"/>
      <c r="E1291" s="148" t="n"/>
      <c r="F1291" s="149" t="n"/>
      <c r="G1291" s="150">
        <f>IF(AND(E1291&lt;&gt;"",F1291&lt;&gt;""),E1291*F1291,"")</f>
      </c>
      <c r="H1291" s="148" t="n"/>
      <c r="I1291" s="142" t="n"/>
      <c r="J1291" s="146">
        <f>IF(AND(B1291="",C1291="",D1291="",E1291="",F1291="",H1291=""),"",IF(NOT(ISNUMBER(B1291)),"✗ 日期不是真日期",IF(OR(B1291&lt;年初日,B1291&gt;年末日),"✗ 日期不在本年度",IF(C1291="","✗ 没选供应商",IF(COUNTIF(基础资料!$Q$5:$Q$54,C1291)=0,"✗ 供应商不在基础资料里",IF(D1291="","✗ 没选商品",IF(COUNTIF(基础资料!$E$5:$E$104,D1291)=0,"✗ 商品不在商品档案里",IF(AND(E1291="",H1291=""),"✗ 没填数量",IF(AND(N(E1291)&lt;&gt;0,F1291=""),"✗ 没填进价","√")))))))))</f>
      </c>
    </row>
    <row r="1292">
      <c r="A1292" s="109">
        <f>IF(AND(C1292="",D1292=""),"",ROW()-3)</f>
      </c>
      <c r="B1292" s="140" t="n"/>
      <c r="C1292" s="141" t="n"/>
      <c r="D1292" s="141" t="n"/>
      <c r="E1292" s="148" t="n"/>
      <c r="F1292" s="149" t="n"/>
      <c r="G1292" s="150">
        <f>IF(AND(E1292&lt;&gt;"",F1292&lt;&gt;""),E1292*F1292,"")</f>
      </c>
      <c r="H1292" s="148" t="n"/>
      <c r="I1292" s="142" t="n"/>
      <c r="J1292" s="146">
        <f>IF(AND(B1292="",C1292="",D1292="",E1292="",F1292="",H1292=""),"",IF(NOT(ISNUMBER(B1292)),"✗ 日期不是真日期",IF(OR(B1292&lt;年初日,B1292&gt;年末日),"✗ 日期不在本年度",IF(C1292="","✗ 没选供应商",IF(COUNTIF(基础资料!$Q$5:$Q$54,C1292)=0,"✗ 供应商不在基础资料里",IF(D1292="","✗ 没选商品",IF(COUNTIF(基础资料!$E$5:$E$104,D1292)=0,"✗ 商品不在商品档案里",IF(AND(E1292="",H1292=""),"✗ 没填数量",IF(AND(N(E1292)&lt;&gt;0,F1292=""),"✗ 没填进价","√")))))))))</f>
      </c>
    </row>
    <row r="1293">
      <c r="A1293" s="109">
        <f>IF(AND(C1293="",D1293=""),"",ROW()-3)</f>
      </c>
      <c r="B1293" s="140" t="n"/>
      <c r="C1293" s="141" t="n"/>
      <c r="D1293" s="141" t="n"/>
      <c r="E1293" s="148" t="n"/>
      <c r="F1293" s="149" t="n"/>
      <c r="G1293" s="150">
        <f>IF(AND(E1293&lt;&gt;"",F1293&lt;&gt;""),E1293*F1293,"")</f>
      </c>
      <c r="H1293" s="148" t="n"/>
      <c r="I1293" s="142" t="n"/>
      <c r="J1293" s="146">
        <f>IF(AND(B1293="",C1293="",D1293="",E1293="",F1293="",H1293=""),"",IF(NOT(ISNUMBER(B1293)),"✗ 日期不是真日期",IF(OR(B1293&lt;年初日,B1293&gt;年末日),"✗ 日期不在本年度",IF(C1293="","✗ 没选供应商",IF(COUNTIF(基础资料!$Q$5:$Q$54,C1293)=0,"✗ 供应商不在基础资料里",IF(D1293="","✗ 没选商品",IF(COUNTIF(基础资料!$E$5:$E$104,D1293)=0,"✗ 商品不在商品档案里",IF(AND(E1293="",H1293=""),"✗ 没填数量",IF(AND(N(E1293)&lt;&gt;0,F1293=""),"✗ 没填进价","√")))))))))</f>
      </c>
    </row>
    <row r="1294">
      <c r="A1294" s="109">
        <f>IF(AND(C1294="",D1294=""),"",ROW()-3)</f>
      </c>
      <c r="B1294" s="140" t="n"/>
      <c r="C1294" s="141" t="n"/>
      <c r="D1294" s="141" t="n"/>
      <c r="E1294" s="148" t="n"/>
      <c r="F1294" s="149" t="n"/>
      <c r="G1294" s="150">
        <f>IF(AND(E1294&lt;&gt;"",F1294&lt;&gt;""),E1294*F1294,"")</f>
      </c>
      <c r="H1294" s="148" t="n"/>
      <c r="I1294" s="142" t="n"/>
      <c r="J1294" s="146">
        <f>IF(AND(B1294="",C1294="",D1294="",E1294="",F1294="",H1294=""),"",IF(NOT(ISNUMBER(B1294)),"✗ 日期不是真日期",IF(OR(B1294&lt;年初日,B1294&gt;年末日),"✗ 日期不在本年度",IF(C1294="","✗ 没选供应商",IF(COUNTIF(基础资料!$Q$5:$Q$54,C1294)=0,"✗ 供应商不在基础资料里",IF(D1294="","✗ 没选商品",IF(COUNTIF(基础资料!$E$5:$E$104,D1294)=0,"✗ 商品不在商品档案里",IF(AND(E1294="",H1294=""),"✗ 没填数量",IF(AND(N(E1294)&lt;&gt;0,F1294=""),"✗ 没填进价","√")))))))))</f>
      </c>
    </row>
    <row r="1295">
      <c r="A1295" s="109">
        <f>IF(AND(C1295="",D1295=""),"",ROW()-3)</f>
      </c>
      <c r="B1295" s="140" t="n"/>
      <c r="C1295" s="141" t="n"/>
      <c r="D1295" s="141" t="n"/>
      <c r="E1295" s="148" t="n"/>
      <c r="F1295" s="149" t="n"/>
      <c r="G1295" s="150">
        <f>IF(AND(E1295&lt;&gt;"",F1295&lt;&gt;""),E1295*F1295,"")</f>
      </c>
      <c r="H1295" s="148" t="n"/>
      <c r="I1295" s="142" t="n"/>
      <c r="J1295" s="146">
        <f>IF(AND(B1295="",C1295="",D1295="",E1295="",F1295="",H1295=""),"",IF(NOT(ISNUMBER(B1295)),"✗ 日期不是真日期",IF(OR(B1295&lt;年初日,B1295&gt;年末日),"✗ 日期不在本年度",IF(C1295="","✗ 没选供应商",IF(COUNTIF(基础资料!$Q$5:$Q$54,C1295)=0,"✗ 供应商不在基础资料里",IF(D1295="","✗ 没选商品",IF(COUNTIF(基础资料!$E$5:$E$104,D1295)=0,"✗ 商品不在商品档案里",IF(AND(E1295="",H1295=""),"✗ 没填数量",IF(AND(N(E1295)&lt;&gt;0,F1295=""),"✗ 没填进价","√")))))))))</f>
      </c>
    </row>
    <row r="1296">
      <c r="A1296" s="109">
        <f>IF(AND(C1296="",D1296=""),"",ROW()-3)</f>
      </c>
      <c r="B1296" s="140" t="n"/>
      <c r="C1296" s="141" t="n"/>
      <c r="D1296" s="141" t="n"/>
      <c r="E1296" s="148" t="n"/>
      <c r="F1296" s="149" t="n"/>
      <c r="G1296" s="150">
        <f>IF(AND(E1296&lt;&gt;"",F1296&lt;&gt;""),E1296*F1296,"")</f>
      </c>
      <c r="H1296" s="148" t="n"/>
      <c r="I1296" s="142" t="n"/>
      <c r="J1296" s="146">
        <f>IF(AND(B1296="",C1296="",D1296="",E1296="",F1296="",H1296=""),"",IF(NOT(ISNUMBER(B1296)),"✗ 日期不是真日期",IF(OR(B1296&lt;年初日,B1296&gt;年末日),"✗ 日期不在本年度",IF(C1296="","✗ 没选供应商",IF(COUNTIF(基础资料!$Q$5:$Q$54,C1296)=0,"✗ 供应商不在基础资料里",IF(D1296="","✗ 没选商品",IF(COUNTIF(基础资料!$E$5:$E$104,D1296)=0,"✗ 商品不在商品档案里",IF(AND(E1296="",H1296=""),"✗ 没填数量",IF(AND(N(E1296)&lt;&gt;0,F1296=""),"✗ 没填进价","√")))))))))</f>
      </c>
    </row>
    <row r="1297">
      <c r="A1297" s="109">
        <f>IF(AND(C1297="",D1297=""),"",ROW()-3)</f>
      </c>
      <c r="B1297" s="140" t="n"/>
      <c r="C1297" s="141" t="n"/>
      <c r="D1297" s="141" t="n"/>
      <c r="E1297" s="148" t="n"/>
      <c r="F1297" s="149" t="n"/>
      <c r="G1297" s="150">
        <f>IF(AND(E1297&lt;&gt;"",F1297&lt;&gt;""),E1297*F1297,"")</f>
      </c>
      <c r="H1297" s="148" t="n"/>
      <c r="I1297" s="142" t="n"/>
      <c r="J1297" s="146">
        <f>IF(AND(B1297="",C1297="",D1297="",E1297="",F1297="",H1297=""),"",IF(NOT(ISNUMBER(B1297)),"✗ 日期不是真日期",IF(OR(B1297&lt;年初日,B1297&gt;年末日),"✗ 日期不在本年度",IF(C1297="","✗ 没选供应商",IF(COUNTIF(基础资料!$Q$5:$Q$54,C1297)=0,"✗ 供应商不在基础资料里",IF(D1297="","✗ 没选商品",IF(COUNTIF(基础资料!$E$5:$E$104,D1297)=0,"✗ 商品不在商品档案里",IF(AND(E1297="",H1297=""),"✗ 没填数量",IF(AND(N(E1297)&lt;&gt;0,F1297=""),"✗ 没填进价","√")))))))))</f>
      </c>
    </row>
    <row r="1298">
      <c r="A1298" s="109">
        <f>IF(AND(C1298="",D1298=""),"",ROW()-3)</f>
      </c>
      <c r="B1298" s="140" t="n"/>
      <c r="C1298" s="141" t="n"/>
      <c r="D1298" s="141" t="n"/>
      <c r="E1298" s="148" t="n"/>
      <c r="F1298" s="149" t="n"/>
      <c r="G1298" s="150">
        <f>IF(AND(E1298&lt;&gt;"",F1298&lt;&gt;""),E1298*F1298,"")</f>
      </c>
      <c r="H1298" s="148" t="n"/>
      <c r="I1298" s="142" t="n"/>
      <c r="J1298" s="146">
        <f>IF(AND(B1298="",C1298="",D1298="",E1298="",F1298="",H1298=""),"",IF(NOT(ISNUMBER(B1298)),"✗ 日期不是真日期",IF(OR(B1298&lt;年初日,B1298&gt;年末日),"✗ 日期不在本年度",IF(C1298="","✗ 没选供应商",IF(COUNTIF(基础资料!$Q$5:$Q$54,C1298)=0,"✗ 供应商不在基础资料里",IF(D1298="","✗ 没选商品",IF(COUNTIF(基础资料!$E$5:$E$104,D1298)=0,"✗ 商品不在商品档案里",IF(AND(E1298="",H1298=""),"✗ 没填数量",IF(AND(N(E1298)&lt;&gt;0,F1298=""),"✗ 没填进价","√")))))))))</f>
      </c>
    </row>
    <row r="1299">
      <c r="A1299" s="109">
        <f>IF(AND(C1299="",D1299=""),"",ROW()-3)</f>
      </c>
      <c r="B1299" s="140" t="n"/>
      <c r="C1299" s="141" t="n"/>
      <c r="D1299" s="141" t="n"/>
      <c r="E1299" s="148" t="n"/>
      <c r="F1299" s="149" t="n"/>
      <c r="G1299" s="150">
        <f>IF(AND(E1299&lt;&gt;"",F1299&lt;&gt;""),E1299*F1299,"")</f>
      </c>
      <c r="H1299" s="148" t="n"/>
      <c r="I1299" s="142" t="n"/>
      <c r="J1299" s="146">
        <f>IF(AND(B1299="",C1299="",D1299="",E1299="",F1299="",H1299=""),"",IF(NOT(ISNUMBER(B1299)),"✗ 日期不是真日期",IF(OR(B1299&lt;年初日,B1299&gt;年末日),"✗ 日期不在本年度",IF(C1299="","✗ 没选供应商",IF(COUNTIF(基础资料!$Q$5:$Q$54,C1299)=0,"✗ 供应商不在基础资料里",IF(D1299="","✗ 没选商品",IF(COUNTIF(基础资料!$E$5:$E$104,D1299)=0,"✗ 商品不在商品档案里",IF(AND(E1299="",H1299=""),"✗ 没填数量",IF(AND(N(E1299)&lt;&gt;0,F1299=""),"✗ 没填进价","√")))))))))</f>
      </c>
    </row>
    <row r="1300">
      <c r="A1300" s="109">
        <f>IF(AND(C1300="",D1300=""),"",ROW()-3)</f>
      </c>
      <c r="B1300" s="140" t="n"/>
      <c r="C1300" s="141" t="n"/>
      <c r="D1300" s="141" t="n"/>
      <c r="E1300" s="148" t="n"/>
      <c r="F1300" s="149" t="n"/>
      <c r="G1300" s="150">
        <f>IF(AND(E1300&lt;&gt;"",F1300&lt;&gt;""),E1300*F1300,"")</f>
      </c>
      <c r="H1300" s="148" t="n"/>
      <c r="I1300" s="142" t="n"/>
      <c r="J1300" s="146">
        <f>IF(AND(B1300="",C1300="",D1300="",E1300="",F1300="",H1300=""),"",IF(NOT(ISNUMBER(B1300)),"✗ 日期不是真日期",IF(OR(B1300&lt;年初日,B1300&gt;年末日),"✗ 日期不在本年度",IF(C1300="","✗ 没选供应商",IF(COUNTIF(基础资料!$Q$5:$Q$54,C1300)=0,"✗ 供应商不在基础资料里",IF(D1300="","✗ 没选商品",IF(COUNTIF(基础资料!$E$5:$E$104,D1300)=0,"✗ 商品不在商品档案里",IF(AND(E1300="",H1300=""),"✗ 没填数量",IF(AND(N(E1300)&lt;&gt;0,F1300=""),"✗ 没填进价","√")))))))))</f>
      </c>
    </row>
    <row r="1301">
      <c r="A1301" s="109">
        <f>IF(AND(C1301="",D1301=""),"",ROW()-3)</f>
      </c>
      <c r="B1301" s="140" t="n"/>
      <c r="C1301" s="141" t="n"/>
      <c r="D1301" s="141" t="n"/>
      <c r="E1301" s="148" t="n"/>
      <c r="F1301" s="149" t="n"/>
      <c r="G1301" s="150">
        <f>IF(AND(E1301&lt;&gt;"",F1301&lt;&gt;""),E1301*F1301,"")</f>
      </c>
      <c r="H1301" s="148" t="n"/>
      <c r="I1301" s="142" t="n"/>
      <c r="J1301" s="146">
        <f>IF(AND(B1301="",C1301="",D1301="",E1301="",F1301="",H1301=""),"",IF(NOT(ISNUMBER(B1301)),"✗ 日期不是真日期",IF(OR(B1301&lt;年初日,B1301&gt;年末日),"✗ 日期不在本年度",IF(C1301="","✗ 没选供应商",IF(COUNTIF(基础资料!$Q$5:$Q$54,C1301)=0,"✗ 供应商不在基础资料里",IF(D1301="","✗ 没选商品",IF(COUNTIF(基础资料!$E$5:$E$104,D1301)=0,"✗ 商品不在商品档案里",IF(AND(E1301="",H1301=""),"✗ 没填数量",IF(AND(N(E1301)&lt;&gt;0,F1301=""),"✗ 没填进价","√")))))))))</f>
      </c>
    </row>
    <row r="1302">
      <c r="A1302" s="109">
        <f>IF(AND(C1302="",D1302=""),"",ROW()-3)</f>
      </c>
      <c r="B1302" s="140" t="n"/>
      <c r="C1302" s="141" t="n"/>
      <c r="D1302" s="141" t="n"/>
      <c r="E1302" s="148" t="n"/>
      <c r="F1302" s="149" t="n"/>
      <c r="G1302" s="150">
        <f>IF(AND(E1302&lt;&gt;"",F1302&lt;&gt;""),E1302*F1302,"")</f>
      </c>
      <c r="H1302" s="148" t="n"/>
      <c r="I1302" s="142" t="n"/>
      <c r="J1302" s="146">
        <f>IF(AND(B1302="",C1302="",D1302="",E1302="",F1302="",H1302=""),"",IF(NOT(ISNUMBER(B1302)),"✗ 日期不是真日期",IF(OR(B1302&lt;年初日,B1302&gt;年末日),"✗ 日期不在本年度",IF(C1302="","✗ 没选供应商",IF(COUNTIF(基础资料!$Q$5:$Q$54,C1302)=0,"✗ 供应商不在基础资料里",IF(D1302="","✗ 没选商品",IF(COUNTIF(基础资料!$E$5:$E$104,D1302)=0,"✗ 商品不在商品档案里",IF(AND(E1302="",H1302=""),"✗ 没填数量",IF(AND(N(E1302)&lt;&gt;0,F1302=""),"✗ 没填进价","√")))))))))</f>
      </c>
    </row>
    <row r="1303">
      <c r="A1303" s="109">
        <f>IF(AND(C1303="",D1303=""),"",ROW()-3)</f>
      </c>
      <c r="B1303" s="140" t="n"/>
      <c r="C1303" s="141" t="n"/>
      <c r="D1303" s="141" t="n"/>
      <c r="E1303" s="148" t="n"/>
      <c r="F1303" s="149" t="n"/>
      <c r="G1303" s="150">
        <f>IF(AND(E1303&lt;&gt;"",F1303&lt;&gt;""),E1303*F1303,"")</f>
      </c>
      <c r="H1303" s="148" t="n"/>
      <c r="I1303" s="142" t="n"/>
      <c r="J1303" s="146">
        <f>IF(AND(B1303="",C1303="",D1303="",E1303="",F1303="",H1303=""),"",IF(NOT(ISNUMBER(B1303)),"✗ 日期不是真日期",IF(OR(B1303&lt;年初日,B1303&gt;年末日),"✗ 日期不在本年度",IF(C1303="","✗ 没选供应商",IF(COUNTIF(基础资料!$Q$5:$Q$54,C1303)=0,"✗ 供应商不在基础资料里",IF(D1303="","✗ 没选商品",IF(COUNTIF(基础资料!$E$5:$E$104,D1303)=0,"✗ 商品不在商品档案里",IF(AND(E1303="",H1303=""),"✗ 没填数量",IF(AND(N(E1303)&lt;&gt;0,F1303=""),"✗ 没填进价","√")))))))))</f>
      </c>
    </row>
    <row r="1304">
      <c r="A1304" s="109">
        <f>IF(AND(C1304="",D1304=""),"",ROW()-3)</f>
      </c>
      <c r="B1304" s="140" t="n"/>
      <c r="C1304" s="141" t="n"/>
      <c r="D1304" s="141" t="n"/>
      <c r="E1304" s="148" t="n"/>
      <c r="F1304" s="149" t="n"/>
      <c r="G1304" s="150">
        <f>IF(AND(E1304&lt;&gt;"",F1304&lt;&gt;""),E1304*F1304,"")</f>
      </c>
      <c r="H1304" s="148" t="n"/>
      <c r="I1304" s="142" t="n"/>
      <c r="J1304" s="146">
        <f>IF(AND(B1304="",C1304="",D1304="",E1304="",F1304="",H1304=""),"",IF(NOT(ISNUMBER(B1304)),"✗ 日期不是真日期",IF(OR(B1304&lt;年初日,B1304&gt;年末日),"✗ 日期不在本年度",IF(C1304="","✗ 没选供应商",IF(COUNTIF(基础资料!$Q$5:$Q$54,C1304)=0,"✗ 供应商不在基础资料里",IF(D1304="","✗ 没选商品",IF(COUNTIF(基础资料!$E$5:$E$104,D1304)=0,"✗ 商品不在商品档案里",IF(AND(E1304="",H1304=""),"✗ 没填数量",IF(AND(N(E1304)&lt;&gt;0,F1304=""),"✗ 没填进价","√")))))))))</f>
      </c>
    </row>
    <row r="1305">
      <c r="A1305" s="109">
        <f>IF(AND(C1305="",D1305=""),"",ROW()-3)</f>
      </c>
      <c r="B1305" s="140" t="n"/>
      <c r="C1305" s="141" t="n"/>
      <c r="D1305" s="141" t="n"/>
      <c r="E1305" s="148" t="n"/>
      <c r="F1305" s="149" t="n"/>
      <c r="G1305" s="150">
        <f>IF(AND(E1305&lt;&gt;"",F1305&lt;&gt;""),E1305*F1305,"")</f>
      </c>
      <c r="H1305" s="148" t="n"/>
      <c r="I1305" s="142" t="n"/>
      <c r="J1305" s="146">
        <f>IF(AND(B1305="",C1305="",D1305="",E1305="",F1305="",H1305=""),"",IF(NOT(ISNUMBER(B1305)),"✗ 日期不是真日期",IF(OR(B1305&lt;年初日,B1305&gt;年末日),"✗ 日期不在本年度",IF(C1305="","✗ 没选供应商",IF(COUNTIF(基础资料!$Q$5:$Q$54,C1305)=0,"✗ 供应商不在基础资料里",IF(D1305="","✗ 没选商品",IF(COUNTIF(基础资料!$E$5:$E$104,D1305)=0,"✗ 商品不在商品档案里",IF(AND(E1305="",H1305=""),"✗ 没填数量",IF(AND(N(E1305)&lt;&gt;0,F1305=""),"✗ 没填进价","√")))))))))</f>
      </c>
    </row>
    <row r="1306">
      <c r="A1306" s="109">
        <f>IF(AND(C1306="",D1306=""),"",ROW()-3)</f>
      </c>
      <c r="B1306" s="140" t="n"/>
      <c r="C1306" s="141" t="n"/>
      <c r="D1306" s="141" t="n"/>
      <c r="E1306" s="148" t="n"/>
      <c r="F1306" s="149" t="n"/>
      <c r="G1306" s="150">
        <f>IF(AND(E1306&lt;&gt;"",F1306&lt;&gt;""),E1306*F1306,"")</f>
      </c>
      <c r="H1306" s="148" t="n"/>
      <c r="I1306" s="142" t="n"/>
      <c r="J1306" s="146">
        <f>IF(AND(B1306="",C1306="",D1306="",E1306="",F1306="",H1306=""),"",IF(NOT(ISNUMBER(B1306)),"✗ 日期不是真日期",IF(OR(B1306&lt;年初日,B1306&gt;年末日),"✗ 日期不在本年度",IF(C1306="","✗ 没选供应商",IF(COUNTIF(基础资料!$Q$5:$Q$54,C1306)=0,"✗ 供应商不在基础资料里",IF(D1306="","✗ 没选商品",IF(COUNTIF(基础资料!$E$5:$E$104,D1306)=0,"✗ 商品不在商品档案里",IF(AND(E1306="",H1306=""),"✗ 没填数量",IF(AND(N(E1306)&lt;&gt;0,F1306=""),"✗ 没填进价","√")))))))))</f>
      </c>
    </row>
    <row r="1307">
      <c r="A1307" s="109">
        <f>IF(AND(C1307="",D1307=""),"",ROW()-3)</f>
      </c>
      <c r="B1307" s="140" t="n"/>
      <c r="C1307" s="141" t="n"/>
      <c r="D1307" s="141" t="n"/>
      <c r="E1307" s="148" t="n"/>
      <c r="F1307" s="149" t="n"/>
      <c r="G1307" s="150">
        <f>IF(AND(E1307&lt;&gt;"",F1307&lt;&gt;""),E1307*F1307,"")</f>
      </c>
      <c r="H1307" s="148" t="n"/>
      <c r="I1307" s="142" t="n"/>
      <c r="J1307" s="146">
        <f>IF(AND(B1307="",C1307="",D1307="",E1307="",F1307="",H1307=""),"",IF(NOT(ISNUMBER(B1307)),"✗ 日期不是真日期",IF(OR(B1307&lt;年初日,B1307&gt;年末日),"✗ 日期不在本年度",IF(C1307="","✗ 没选供应商",IF(COUNTIF(基础资料!$Q$5:$Q$54,C1307)=0,"✗ 供应商不在基础资料里",IF(D1307="","✗ 没选商品",IF(COUNTIF(基础资料!$E$5:$E$104,D1307)=0,"✗ 商品不在商品档案里",IF(AND(E1307="",H1307=""),"✗ 没填数量",IF(AND(N(E1307)&lt;&gt;0,F1307=""),"✗ 没填进价","√")))))))))</f>
      </c>
    </row>
    <row r="1308">
      <c r="A1308" s="109">
        <f>IF(AND(C1308="",D1308=""),"",ROW()-3)</f>
      </c>
      <c r="B1308" s="140" t="n"/>
      <c r="C1308" s="141" t="n"/>
      <c r="D1308" s="141" t="n"/>
      <c r="E1308" s="148" t="n"/>
      <c r="F1308" s="149" t="n"/>
      <c r="G1308" s="150">
        <f>IF(AND(E1308&lt;&gt;"",F1308&lt;&gt;""),E1308*F1308,"")</f>
      </c>
      <c r="H1308" s="148" t="n"/>
      <c r="I1308" s="142" t="n"/>
      <c r="J1308" s="146">
        <f>IF(AND(B1308="",C1308="",D1308="",E1308="",F1308="",H1308=""),"",IF(NOT(ISNUMBER(B1308)),"✗ 日期不是真日期",IF(OR(B1308&lt;年初日,B1308&gt;年末日),"✗ 日期不在本年度",IF(C1308="","✗ 没选供应商",IF(COUNTIF(基础资料!$Q$5:$Q$54,C1308)=0,"✗ 供应商不在基础资料里",IF(D1308="","✗ 没选商品",IF(COUNTIF(基础资料!$E$5:$E$104,D1308)=0,"✗ 商品不在商品档案里",IF(AND(E1308="",H1308=""),"✗ 没填数量",IF(AND(N(E1308)&lt;&gt;0,F1308=""),"✗ 没填进价","√")))))))))</f>
      </c>
    </row>
    <row r="1309">
      <c r="A1309" s="109">
        <f>IF(AND(C1309="",D1309=""),"",ROW()-3)</f>
      </c>
      <c r="B1309" s="140" t="n"/>
      <c r="C1309" s="141" t="n"/>
      <c r="D1309" s="141" t="n"/>
      <c r="E1309" s="148" t="n"/>
      <c r="F1309" s="149" t="n"/>
      <c r="G1309" s="150">
        <f>IF(AND(E1309&lt;&gt;"",F1309&lt;&gt;""),E1309*F1309,"")</f>
      </c>
      <c r="H1309" s="148" t="n"/>
      <c r="I1309" s="142" t="n"/>
      <c r="J1309" s="146">
        <f>IF(AND(B1309="",C1309="",D1309="",E1309="",F1309="",H1309=""),"",IF(NOT(ISNUMBER(B1309)),"✗ 日期不是真日期",IF(OR(B1309&lt;年初日,B1309&gt;年末日),"✗ 日期不在本年度",IF(C1309="","✗ 没选供应商",IF(COUNTIF(基础资料!$Q$5:$Q$54,C1309)=0,"✗ 供应商不在基础资料里",IF(D1309="","✗ 没选商品",IF(COUNTIF(基础资料!$E$5:$E$104,D1309)=0,"✗ 商品不在商品档案里",IF(AND(E1309="",H1309=""),"✗ 没填数量",IF(AND(N(E1309)&lt;&gt;0,F1309=""),"✗ 没填进价","√")))))))))</f>
      </c>
    </row>
    <row r="1310">
      <c r="A1310" s="109">
        <f>IF(AND(C1310="",D1310=""),"",ROW()-3)</f>
      </c>
      <c r="B1310" s="140" t="n"/>
      <c r="C1310" s="141" t="n"/>
      <c r="D1310" s="141" t="n"/>
      <c r="E1310" s="148" t="n"/>
      <c r="F1310" s="149" t="n"/>
      <c r="G1310" s="150">
        <f>IF(AND(E1310&lt;&gt;"",F1310&lt;&gt;""),E1310*F1310,"")</f>
      </c>
      <c r="H1310" s="148" t="n"/>
      <c r="I1310" s="142" t="n"/>
      <c r="J1310" s="146">
        <f>IF(AND(B1310="",C1310="",D1310="",E1310="",F1310="",H1310=""),"",IF(NOT(ISNUMBER(B1310)),"✗ 日期不是真日期",IF(OR(B1310&lt;年初日,B1310&gt;年末日),"✗ 日期不在本年度",IF(C1310="","✗ 没选供应商",IF(COUNTIF(基础资料!$Q$5:$Q$54,C1310)=0,"✗ 供应商不在基础资料里",IF(D1310="","✗ 没选商品",IF(COUNTIF(基础资料!$E$5:$E$104,D1310)=0,"✗ 商品不在商品档案里",IF(AND(E1310="",H1310=""),"✗ 没填数量",IF(AND(N(E1310)&lt;&gt;0,F1310=""),"✗ 没填进价","√")))))))))</f>
      </c>
    </row>
    <row r="1311">
      <c r="A1311" s="109">
        <f>IF(AND(C1311="",D1311=""),"",ROW()-3)</f>
      </c>
      <c r="B1311" s="140" t="n"/>
      <c r="C1311" s="141" t="n"/>
      <c r="D1311" s="141" t="n"/>
      <c r="E1311" s="148" t="n"/>
      <c r="F1311" s="149" t="n"/>
      <c r="G1311" s="150">
        <f>IF(AND(E1311&lt;&gt;"",F1311&lt;&gt;""),E1311*F1311,"")</f>
      </c>
      <c r="H1311" s="148" t="n"/>
      <c r="I1311" s="142" t="n"/>
      <c r="J1311" s="146">
        <f>IF(AND(B1311="",C1311="",D1311="",E1311="",F1311="",H1311=""),"",IF(NOT(ISNUMBER(B1311)),"✗ 日期不是真日期",IF(OR(B1311&lt;年初日,B1311&gt;年末日),"✗ 日期不在本年度",IF(C1311="","✗ 没选供应商",IF(COUNTIF(基础资料!$Q$5:$Q$54,C1311)=0,"✗ 供应商不在基础资料里",IF(D1311="","✗ 没选商品",IF(COUNTIF(基础资料!$E$5:$E$104,D1311)=0,"✗ 商品不在商品档案里",IF(AND(E1311="",H1311=""),"✗ 没填数量",IF(AND(N(E1311)&lt;&gt;0,F1311=""),"✗ 没填进价","√")))))))))</f>
      </c>
    </row>
    <row r="1312">
      <c r="A1312" s="109">
        <f>IF(AND(C1312="",D1312=""),"",ROW()-3)</f>
      </c>
      <c r="B1312" s="140" t="n"/>
      <c r="C1312" s="141" t="n"/>
      <c r="D1312" s="141" t="n"/>
      <c r="E1312" s="148" t="n"/>
      <c r="F1312" s="149" t="n"/>
      <c r="G1312" s="150">
        <f>IF(AND(E1312&lt;&gt;"",F1312&lt;&gt;""),E1312*F1312,"")</f>
      </c>
      <c r="H1312" s="148" t="n"/>
      <c r="I1312" s="142" t="n"/>
      <c r="J1312" s="146">
        <f>IF(AND(B1312="",C1312="",D1312="",E1312="",F1312="",H1312=""),"",IF(NOT(ISNUMBER(B1312)),"✗ 日期不是真日期",IF(OR(B1312&lt;年初日,B1312&gt;年末日),"✗ 日期不在本年度",IF(C1312="","✗ 没选供应商",IF(COUNTIF(基础资料!$Q$5:$Q$54,C1312)=0,"✗ 供应商不在基础资料里",IF(D1312="","✗ 没选商品",IF(COUNTIF(基础资料!$E$5:$E$104,D1312)=0,"✗ 商品不在商品档案里",IF(AND(E1312="",H1312=""),"✗ 没填数量",IF(AND(N(E1312)&lt;&gt;0,F1312=""),"✗ 没填进价","√")))))))))</f>
      </c>
    </row>
    <row r="1313">
      <c r="A1313" s="109">
        <f>IF(AND(C1313="",D1313=""),"",ROW()-3)</f>
      </c>
      <c r="B1313" s="140" t="n"/>
      <c r="C1313" s="141" t="n"/>
      <c r="D1313" s="141" t="n"/>
      <c r="E1313" s="148" t="n"/>
      <c r="F1313" s="149" t="n"/>
      <c r="G1313" s="150">
        <f>IF(AND(E1313&lt;&gt;"",F1313&lt;&gt;""),E1313*F1313,"")</f>
      </c>
      <c r="H1313" s="148" t="n"/>
      <c r="I1313" s="142" t="n"/>
      <c r="J1313" s="146">
        <f>IF(AND(B1313="",C1313="",D1313="",E1313="",F1313="",H1313=""),"",IF(NOT(ISNUMBER(B1313)),"✗ 日期不是真日期",IF(OR(B1313&lt;年初日,B1313&gt;年末日),"✗ 日期不在本年度",IF(C1313="","✗ 没选供应商",IF(COUNTIF(基础资料!$Q$5:$Q$54,C1313)=0,"✗ 供应商不在基础资料里",IF(D1313="","✗ 没选商品",IF(COUNTIF(基础资料!$E$5:$E$104,D1313)=0,"✗ 商品不在商品档案里",IF(AND(E1313="",H1313=""),"✗ 没填数量",IF(AND(N(E1313)&lt;&gt;0,F1313=""),"✗ 没填进价","√")))))))))</f>
      </c>
    </row>
    <row r="1314">
      <c r="A1314" s="109">
        <f>IF(AND(C1314="",D1314=""),"",ROW()-3)</f>
      </c>
      <c r="B1314" s="140" t="n"/>
      <c r="C1314" s="141" t="n"/>
      <c r="D1314" s="141" t="n"/>
      <c r="E1314" s="148" t="n"/>
      <c r="F1314" s="149" t="n"/>
      <c r="G1314" s="150">
        <f>IF(AND(E1314&lt;&gt;"",F1314&lt;&gt;""),E1314*F1314,"")</f>
      </c>
      <c r="H1314" s="148" t="n"/>
      <c r="I1314" s="142" t="n"/>
      <c r="J1314" s="146">
        <f>IF(AND(B1314="",C1314="",D1314="",E1314="",F1314="",H1314=""),"",IF(NOT(ISNUMBER(B1314)),"✗ 日期不是真日期",IF(OR(B1314&lt;年初日,B1314&gt;年末日),"✗ 日期不在本年度",IF(C1314="","✗ 没选供应商",IF(COUNTIF(基础资料!$Q$5:$Q$54,C1314)=0,"✗ 供应商不在基础资料里",IF(D1314="","✗ 没选商品",IF(COUNTIF(基础资料!$E$5:$E$104,D1314)=0,"✗ 商品不在商品档案里",IF(AND(E1314="",H1314=""),"✗ 没填数量",IF(AND(N(E1314)&lt;&gt;0,F1314=""),"✗ 没填进价","√")))))))))</f>
      </c>
    </row>
    <row r="1315">
      <c r="A1315" s="109">
        <f>IF(AND(C1315="",D1315=""),"",ROW()-3)</f>
      </c>
      <c r="B1315" s="140" t="n"/>
      <c r="C1315" s="141" t="n"/>
      <c r="D1315" s="141" t="n"/>
      <c r="E1315" s="148" t="n"/>
      <c r="F1315" s="149" t="n"/>
      <c r="G1315" s="150">
        <f>IF(AND(E1315&lt;&gt;"",F1315&lt;&gt;""),E1315*F1315,"")</f>
      </c>
      <c r="H1315" s="148" t="n"/>
      <c r="I1315" s="142" t="n"/>
      <c r="J1315" s="146">
        <f>IF(AND(B1315="",C1315="",D1315="",E1315="",F1315="",H1315=""),"",IF(NOT(ISNUMBER(B1315)),"✗ 日期不是真日期",IF(OR(B1315&lt;年初日,B1315&gt;年末日),"✗ 日期不在本年度",IF(C1315="","✗ 没选供应商",IF(COUNTIF(基础资料!$Q$5:$Q$54,C1315)=0,"✗ 供应商不在基础资料里",IF(D1315="","✗ 没选商品",IF(COUNTIF(基础资料!$E$5:$E$104,D1315)=0,"✗ 商品不在商品档案里",IF(AND(E1315="",H1315=""),"✗ 没填数量",IF(AND(N(E1315)&lt;&gt;0,F1315=""),"✗ 没填进价","√")))))))))</f>
      </c>
    </row>
    <row r="1316">
      <c r="A1316" s="109">
        <f>IF(AND(C1316="",D1316=""),"",ROW()-3)</f>
      </c>
      <c r="B1316" s="140" t="n"/>
      <c r="C1316" s="141" t="n"/>
      <c r="D1316" s="141" t="n"/>
      <c r="E1316" s="148" t="n"/>
      <c r="F1316" s="149" t="n"/>
      <c r="G1316" s="150">
        <f>IF(AND(E1316&lt;&gt;"",F1316&lt;&gt;""),E1316*F1316,"")</f>
      </c>
      <c r="H1316" s="148" t="n"/>
      <c r="I1316" s="142" t="n"/>
      <c r="J1316" s="146">
        <f>IF(AND(B1316="",C1316="",D1316="",E1316="",F1316="",H1316=""),"",IF(NOT(ISNUMBER(B1316)),"✗ 日期不是真日期",IF(OR(B1316&lt;年初日,B1316&gt;年末日),"✗ 日期不在本年度",IF(C1316="","✗ 没选供应商",IF(COUNTIF(基础资料!$Q$5:$Q$54,C1316)=0,"✗ 供应商不在基础资料里",IF(D1316="","✗ 没选商品",IF(COUNTIF(基础资料!$E$5:$E$104,D1316)=0,"✗ 商品不在商品档案里",IF(AND(E1316="",H1316=""),"✗ 没填数量",IF(AND(N(E1316)&lt;&gt;0,F1316=""),"✗ 没填进价","√")))))))))</f>
      </c>
    </row>
    <row r="1317">
      <c r="A1317" s="109">
        <f>IF(AND(C1317="",D1317=""),"",ROW()-3)</f>
      </c>
      <c r="B1317" s="140" t="n"/>
      <c r="C1317" s="141" t="n"/>
      <c r="D1317" s="141" t="n"/>
      <c r="E1317" s="148" t="n"/>
      <c r="F1317" s="149" t="n"/>
      <c r="G1317" s="150">
        <f>IF(AND(E1317&lt;&gt;"",F1317&lt;&gt;""),E1317*F1317,"")</f>
      </c>
      <c r="H1317" s="148" t="n"/>
      <c r="I1317" s="142" t="n"/>
      <c r="J1317" s="146">
        <f>IF(AND(B1317="",C1317="",D1317="",E1317="",F1317="",H1317=""),"",IF(NOT(ISNUMBER(B1317)),"✗ 日期不是真日期",IF(OR(B1317&lt;年初日,B1317&gt;年末日),"✗ 日期不在本年度",IF(C1317="","✗ 没选供应商",IF(COUNTIF(基础资料!$Q$5:$Q$54,C1317)=0,"✗ 供应商不在基础资料里",IF(D1317="","✗ 没选商品",IF(COUNTIF(基础资料!$E$5:$E$104,D1317)=0,"✗ 商品不在商品档案里",IF(AND(E1317="",H1317=""),"✗ 没填数量",IF(AND(N(E1317)&lt;&gt;0,F1317=""),"✗ 没填进价","√")))))))))</f>
      </c>
    </row>
    <row r="1318">
      <c r="A1318" s="109">
        <f>IF(AND(C1318="",D1318=""),"",ROW()-3)</f>
      </c>
      <c r="B1318" s="140" t="n"/>
      <c r="C1318" s="141" t="n"/>
      <c r="D1318" s="141" t="n"/>
      <c r="E1318" s="148" t="n"/>
      <c r="F1318" s="149" t="n"/>
      <c r="G1318" s="150">
        <f>IF(AND(E1318&lt;&gt;"",F1318&lt;&gt;""),E1318*F1318,"")</f>
      </c>
      <c r="H1318" s="148" t="n"/>
      <c r="I1318" s="142" t="n"/>
      <c r="J1318" s="146">
        <f>IF(AND(B1318="",C1318="",D1318="",E1318="",F1318="",H1318=""),"",IF(NOT(ISNUMBER(B1318)),"✗ 日期不是真日期",IF(OR(B1318&lt;年初日,B1318&gt;年末日),"✗ 日期不在本年度",IF(C1318="","✗ 没选供应商",IF(COUNTIF(基础资料!$Q$5:$Q$54,C1318)=0,"✗ 供应商不在基础资料里",IF(D1318="","✗ 没选商品",IF(COUNTIF(基础资料!$E$5:$E$104,D1318)=0,"✗ 商品不在商品档案里",IF(AND(E1318="",H1318=""),"✗ 没填数量",IF(AND(N(E1318)&lt;&gt;0,F1318=""),"✗ 没填进价","√")))))))))</f>
      </c>
    </row>
    <row r="1319">
      <c r="A1319" s="109">
        <f>IF(AND(C1319="",D1319=""),"",ROW()-3)</f>
      </c>
      <c r="B1319" s="140" t="n"/>
      <c r="C1319" s="141" t="n"/>
      <c r="D1319" s="141" t="n"/>
      <c r="E1319" s="148" t="n"/>
      <c r="F1319" s="149" t="n"/>
      <c r="G1319" s="150">
        <f>IF(AND(E1319&lt;&gt;"",F1319&lt;&gt;""),E1319*F1319,"")</f>
      </c>
      <c r="H1319" s="148" t="n"/>
      <c r="I1319" s="142" t="n"/>
      <c r="J1319" s="146">
        <f>IF(AND(B1319="",C1319="",D1319="",E1319="",F1319="",H1319=""),"",IF(NOT(ISNUMBER(B1319)),"✗ 日期不是真日期",IF(OR(B1319&lt;年初日,B1319&gt;年末日),"✗ 日期不在本年度",IF(C1319="","✗ 没选供应商",IF(COUNTIF(基础资料!$Q$5:$Q$54,C1319)=0,"✗ 供应商不在基础资料里",IF(D1319="","✗ 没选商品",IF(COUNTIF(基础资料!$E$5:$E$104,D1319)=0,"✗ 商品不在商品档案里",IF(AND(E1319="",H1319=""),"✗ 没填数量",IF(AND(N(E1319)&lt;&gt;0,F1319=""),"✗ 没填进价","√")))))))))</f>
      </c>
    </row>
    <row r="1320">
      <c r="A1320" s="109">
        <f>IF(AND(C1320="",D1320=""),"",ROW()-3)</f>
      </c>
      <c r="B1320" s="140" t="n"/>
      <c r="C1320" s="141" t="n"/>
      <c r="D1320" s="141" t="n"/>
      <c r="E1320" s="148" t="n"/>
      <c r="F1320" s="149" t="n"/>
      <c r="G1320" s="150">
        <f>IF(AND(E1320&lt;&gt;"",F1320&lt;&gt;""),E1320*F1320,"")</f>
      </c>
      <c r="H1320" s="148" t="n"/>
      <c r="I1320" s="142" t="n"/>
      <c r="J1320" s="146">
        <f>IF(AND(B1320="",C1320="",D1320="",E1320="",F1320="",H1320=""),"",IF(NOT(ISNUMBER(B1320)),"✗ 日期不是真日期",IF(OR(B1320&lt;年初日,B1320&gt;年末日),"✗ 日期不在本年度",IF(C1320="","✗ 没选供应商",IF(COUNTIF(基础资料!$Q$5:$Q$54,C1320)=0,"✗ 供应商不在基础资料里",IF(D1320="","✗ 没选商品",IF(COUNTIF(基础资料!$E$5:$E$104,D1320)=0,"✗ 商品不在商品档案里",IF(AND(E1320="",H1320=""),"✗ 没填数量",IF(AND(N(E1320)&lt;&gt;0,F1320=""),"✗ 没填进价","√")))))))))</f>
      </c>
    </row>
    <row r="1321">
      <c r="A1321" s="109">
        <f>IF(AND(C1321="",D1321=""),"",ROW()-3)</f>
      </c>
      <c r="B1321" s="140" t="n"/>
      <c r="C1321" s="141" t="n"/>
      <c r="D1321" s="141" t="n"/>
      <c r="E1321" s="148" t="n"/>
      <c r="F1321" s="149" t="n"/>
      <c r="G1321" s="150">
        <f>IF(AND(E1321&lt;&gt;"",F1321&lt;&gt;""),E1321*F1321,"")</f>
      </c>
      <c r="H1321" s="148" t="n"/>
      <c r="I1321" s="142" t="n"/>
      <c r="J1321" s="146">
        <f>IF(AND(B1321="",C1321="",D1321="",E1321="",F1321="",H1321=""),"",IF(NOT(ISNUMBER(B1321)),"✗ 日期不是真日期",IF(OR(B1321&lt;年初日,B1321&gt;年末日),"✗ 日期不在本年度",IF(C1321="","✗ 没选供应商",IF(COUNTIF(基础资料!$Q$5:$Q$54,C1321)=0,"✗ 供应商不在基础资料里",IF(D1321="","✗ 没选商品",IF(COUNTIF(基础资料!$E$5:$E$104,D1321)=0,"✗ 商品不在商品档案里",IF(AND(E1321="",H1321=""),"✗ 没填数量",IF(AND(N(E1321)&lt;&gt;0,F1321=""),"✗ 没填进价","√")))))))))</f>
      </c>
    </row>
    <row r="1322">
      <c r="A1322" s="109">
        <f>IF(AND(C1322="",D1322=""),"",ROW()-3)</f>
      </c>
      <c r="B1322" s="140" t="n"/>
      <c r="C1322" s="141" t="n"/>
      <c r="D1322" s="141" t="n"/>
      <c r="E1322" s="148" t="n"/>
      <c r="F1322" s="149" t="n"/>
      <c r="G1322" s="150">
        <f>IF(AND(E1322&lt;&gt;"",F1322&lt;&gt;""),E1322*F1322,"")</f>
      </c>
      <c r="H1322" s="148" t="n"/>
      <c r="I1322" s="142" t="n"/>
      <c r="J1322" s="146">
        <f>IF(AND(B1322="",C1322="",D1322="",E1322="",F1322="",H1322=""),"",IF(NOT(ISNUMBER(B1322)),"✗ 日期不是真日期",IF(OR(B1322&lt;年初日,B1322&gt;年末日),"✗ 日期不在本年度",IF(C1322="","✗ 没选供应商",IF(COUNTIF(基础资料!$Q$5:$Q$54,C1322)=0,"✗ 供应商不在基础资料里",IF(D1322="","✗ 没选商品",IF(COUNTIF(基础资料!$E$5:$E$104,D1322)=0,"✗ 商品不在商品档案里",IF(AND(E1322="",H1322=""),"✗ 没填数量",IF(AND(N(E1322)&lt;&gt;0,F1322=""),"✗ 没填进价","√")))))))))</f>
      </c>
    </row>
    <row r="1323">
      <c r="A1323" s="109">
        <f>IF(AND(C1323="",D1323=""),"",ROW()-3)</f>
      </c>
      <c r="B1323" s="140" t="n"/>
      <c r="C1323" s="141" t="n"/>
      <c r="D1323" s="141" t="n"/>
      <c r="E1323" s="148" t="n"/>
      <c r="F1323" s="149" t="n"/>
      <c r="G1323" s="150">
        <f>IF(AND(E1323&lt;&gt;"",F1323&lt;&gt;""),E1323*F1323,"")</f>
      </c>
      <c r="H1323" s="148" t="n"/>
      <c r="I1323" s="142" t="n"/>
      <c r="J1323" s="146">
        <f>IF(AND(B1323="",C1323="",D1323="",E1323="",F1323="",H1323=""),"",IF(NOT(ISNUMBER(B1323)),"✗ 日期不是真日期",IF(OR(B1323&lt;年初日,B1323&gt;年末日),"✗ 日期不在本年度",IF(C1323="","✗ 没选供应商",IF(COUNTIF(基础资料!$Q$5:$Q$54,C1323)=0,"✗ 供应商不在基础资料里",IF(D1323="","✗ 没选商品",IF(COUNTIF(基础资料!$E$5:$E$104,D1323)=0,"✗ 商品不在商品档案里",IF(AND(E1323="",H1323=""),"✗ 没填数量",IF(AND(N(E1323)&lt;&gt;0,F1323=""),"✗ 没填进价","√")))))))))</f>
      </c>
    </row>
    <row r="1324">
      <c r="A1324" s="109">
        <f>IF(AND(C1324="",D1324=""),"",ROW()-3)</f>
      </c>
      <c r="B1324" s="140" t="n"/>
      <c r="C1324" s="141" t="n"/>
      <c r="D1324" s="141" t="n"/>
      <c r="E1324" s="148" t="n"/>
      <c r="F1324" s="149" t="n"/>
      <c r="G1324" s="150">
        <f>IF(AND(E1324&lt;&gt;"",F1324&lt;&gt;""),E1324*F1324,"")</f>
      </c>
      <c r="H1324" s="148" t="n"/>
      <c r="I1324" s="142" t="n"/>
      <c r="J1324" s="146">
        <f>IF(AND(B1324="",C1324="",D1324="",E1324="",F1324="",H1324=""),"",IF(NOT(ISNUMBER(B1324)),"✗ 日期不是真日期",IF(OR(B1324&lt;年初日,B1324&gt;年末日),"✗ 日期不在本年度",IF(C1324="","✗ 没选供应商",IF(COUNTIF(基础资料!$Q$5:$Q$54,C1324)=0,"✗ 供应商不在基础资料里",IF(D1324="","✗ 没选商品",IF(COUNTIF(基础资料!$E$5:$E$104,D1324)=0,"✗ 商品不在商品档案里",IF(AND(E1324="",H1324=""),"✗ 没填数量",IF(AND(N(E1324)&lt;&gt;0,F1324=""),"✗ 没填进价","√")))))))))</f>
      </c>
    </row>
    <row r="1325">
      <c r="A1325" s="109">
        <f>IF(AND(C1325="",D1325=""),"",ROW()-3)</f>
      </c>
      <c r="B1325" s="140" t="n"/>
      <c r="C1325" s="141" t="n"/>
      <c r="D1325" s="141" t="n"/>
      <c r="E1325" s="148" t="n"/>
      <c r="F1325" s="149" t="n"/>
      <c r="G1325" s="150">
        <f>IF(AND(E1325&lt;&gt;"",F1325&lt;&gt;""),E1325*F1325,"")</f>
      </c>
      <c r="H1325" s="148" t="n"/>
      <c r="I1325" s="142" t="n"/>
      <c r="J1325" s="146">
        <f>IF(AND(B1325="",C1325="",D1325="",E1325="",F1325="",H1325=""),"",IF(NOT(ISNUMBER(B1325)),"✗ 日期不是真日期",IF(OR(B1325&lt;年初日,B1325&gt;年末日),"✗ 日期不在本年度",IF(C1325="","✗ 没选供应商",IF(COUNTIF(基础资料!$Q$5:$Q$54,C1325)=0,"✗ 供应商不在基础资料里",IF(D1325="","✗ 没选商品",IF(COUNTIF(基础资料!$E$5:$E$104,D1325)=0,"✗ 商品不在商品档案里",IF(AND(E1325="",H1325=""),"✗ 没填数量",IF(AND(N(E1325)&lt;&gt;0,F1325=""),"✗ 没填进价","√")))))))))</f>
      </c>
    </row>
    <row r="1326">
      <c r="A1326" s="109">
        <f>IF(AND(C1326="",D1326=""),"",ROW()-3)</f>
      </c>
      <c r="B1326" s="140" t="n"/>
      <c r="C1326" s="141" t="n"/>
      <c r="D1326" s="141" t="n"/>
      <c r="E1326" s="148" t="n"/>
      <c r="F1326" s="149" t="n"/>
      <c r="G1326" s="150">
        <f>IF(AND(E1326&lt;&gt;"",F1326&lt;&gt;""),E1326*F1326,"")</f>
      </c>
      <c r="H1326" s="148" t="n"/>
      <c r="I1326" s="142" t="n"/>
      <c r="J1326" s="146">
        <f>IF(AND(B1326="",C1326="",D1326="",E1326="",F1326="",H1326=""),"",IF(NOT(ISNUMBER(B1326)),"✗ 日期不是真日期",IF(OR(B1326&lt;年初日,B1326&gt;年末日),"✗ 日期不在本年度",IF(C1326="","✗ 没选供应商",IF(COUNTIF(基础资料!$Q$5:$Q$54,C1326)=0,"✗ 供应商不在基础资料里",IF(D1326="","✗ 没选商品",IF(COUNTIF(基础资料!$E$5:$E$104,D1326)=0,"✗ 商品不在商品档案里",IF(AND(E1326="",H1326=""),"✗ 没填数量",IF(AND(N(E1326)&lt;&gt;0,F1326=""),"✗ 没填进价","√")))))))))</f>
      </c>
    </row>
    <row r="1327">
      <c r="A1327" s="109">
        <f>IF(AND(C1327="",D1327=""),"",ROW()-3)</f>
      </c>
      <c r="B1327" s="140" t="n"/>
      <c r="C1327" s="141" t="n"/>
      <c r="D1327" s="141" t="n"/>
      <c r="E1327" s="148" t="n"/>
      <c r="F1327" s="149" t="n"/>
      <c r="G1327" s="150">
        <f>IF(AND(E1327&lt;&gt;"",F1327&lt;&gt;""),E1327*F1327,"")</f>
      </c>
      <c r="H1327" s="148" t="n"/>
      <c r="I1327" s="142" t="n"/>
      <c r="J1327" s="146">
        <f>IF(AND(B1327="",C1327="",D1327="",E1327="",F1327="",H1327=""),"",IF(NOT(ISNUMBER(B1327)),"✗ 日期不是真日期",IF(OR(B1327&lt;年初日,B1327&gt;年末日),"✗ 日期不在本年度",IF(C1327="","✗ 没选供应商",IF(COUNTIF(基础资料!$Q$5:$Q$54,C1327)=0,"✗ 供应商不在基础资料里",IF(D1327="","✗ 没选商品",IF(COUNTIF(基础资料!$E$5:$E$104,D1327)=0,"✗ 商品不在商品档案里",IF(AND(E1327="",H1327=""),"✗ 没填数量",IF(AND(N(E1327)&lt;&gt;0,F1327=""),"✗ 没填进价","√")))))))))</f>
      </c>
    </row>
    <row r="1328">
      <c r="A1328" s="109">
        <f>IF(AND(C1328="",D1328=""),"",ROW()-3)</f>
      </c>
      <c r="B1328" s="140" t="n"/>
      <c r="C1328" s="141" t="n"/>
      <c r="D1328" s="141" t="n"/>
      <c r="E1328" s="148" t="n"/>
      <c r="F1328" s="149" t="n"/>
      <c r="G1328" s="150">
        <f>IF(AND(E1328&lt;&gt;"",F1328&lt;&gt;""),E1328*F1328,"")</f>
      </c>
      <c r="H1328" s="148" t="n"/>
      <c r="I1328" s="142" t="n"/>
      <c r="J1328" s="146">
        <f>IF(AND(B1328="",C1328="",D1328="",E1328="",F1328="",H1328=""),"",IF(NOT(ISNUMBER(B1328)),"✗ 日期不是真日期",IF(OR(B1328&lt;年初日,B1328&gt;年末日),"✗ 日期不在本年度",IF(C1328="","✗ 没选供应商",IF(COUNTIF(基础资料!$Q$5:$Q$54,C1328)=0,"✗ 供应商不在基础资料里",IF(D1328="","✗ 没选商品",IF(COUNTIF(基础资料!$E$5:$E$104,D1328)=0,"✗ 商品不在商品档案里",IF(AND(E1328="",H1328=""),"✗ 没填数量",IF(AND(N(E1328)&lt;&gt;0,F1328=""),"✗ 没填进价","√")))))))))</f>
      </c>
    </row>
    <row r="1329">
      <c r="A1329" s="109">
        <f>IF(AND(C1329="",D1329=""),"",ROW()-3)</f>
      </c>
      <c r="B1329" s="140" t="n"/>
      <c r="C1329" s="141" t="n"/>
      <c r="D1329" s="141" t="n"/>
      <c r="E1329" s="148" t="n"/>
      <c r="F1329" s="149" t="n"/>
      <c r="G1329" s="150">
        <f>IF(AND(E1329&lt;&gt;"",F1329&lt;&gt;""),E1329*F1329,"")</f>
      </c>
      <c r="H1329" s="148" t="n"/>
      <c r="I1329" s="142" t="n"/>
      <c r="J1329" s="146">
        <f>IF(AND(B1329="",C1329="",D1329="",E1329="",F1329="",H1329=""),"",IF(NOT(ISNUMBER(B1329)),"✗ 日期不是真日期",IF(OR(B1329&lt;年初日,B1329&gt;年末日),"✗ 日期不在本年度",IF(C1329="","✗ 没选供应商",IF(COUNTIF(基础资料!$Q$5:$Q$54,C1329)=0,"✗ 供应商不在基础资料里",IF(D1329="","✗ 没选商品",IF(COUNTIF(基础资料!$E$5:$E$104,D1329)=0,"✗ 商品不在商品档案里",IF(AND(E1329="",H1329=""),"✗ 没填数量",IF(AND(N(E1329)&lt;&gt;0,F1329=""),"✗ 没填进价","√")))))))))</f>
      </c>
    </row>
    <row r="1330">
      <c r="A1330" s="109">
        <f>IF(AND(C1330="",D1330=""),"",ROW()-3)</f>
      </c>
      <c r="B1330" s="140" t="n"/>
      <c r="C1330" s="141" t="n"/>
      <c r="D1330" s="141" t="n"/>
      <c r="E1330" s="148" t="n"/>
      <c r="F1330" s="149" t="n"/>
      <c r="G1330" s="150">
        <f>IF(AND(E1330&lt;&gt;"",F1330&lt;&gt;""),E1330*F1330,"")</f>
      </c>
      <c r="H1330" s="148" t="n"/>
      <c r="I1330" s="142" t="n"/>
      <c r="J1330" s="146">
        <f>IF(AND(B1330="",C1330="",D1330="",E1330="",F1330="",H1330=""),"",IF(NOT(ISNUMBER(B1330)),"✗ 日期不是真日期",IF(OR(B1330&lt;年初日,B1330&gt;年末日),"✗ 日期不在本年度",IF(C1330="","✗ 没选供应商",IF(COUNTIF(基础资料!$Q$5:$Q$54,C1330)=0,"✗ 供应商不在基础资料里",IF(D1330="","✗ 没选商品",IF(COUNTIF(基础资料!$E$5:$E$104,D1330)=0,"✗ 商品不在商品档案里",IF(AND(E1330="",H1330=""),"✗ 没填数量",IF(AND(N(E1330)&lt;&gt;0,F1330=""),"✗ 没填进价","√")))))))))</f>
      </c>
    </row>
    <row r="1331">
      <c r="A1331" s="109">
        <f>IF(AND(C1331="",D1331=""),"",ROW()-3)</f>
      </c>
      <c r="B1331" s="140" t="n"/>
      <c r="C1331" s="141" t="n"/>
      <c r="D1331" s="141" t="n"/>
      <c r="E1331" s="148" t="n"/>
      <c r="F1331" s="149" t="n"/>
      <c r="G1331" s="150">
        <f>IF(AND(E1331&lt;&gt;"",F1331&lt;&gt;""),E1331*F1331,"")</f>
      </c>
      <c r="H1331" s="148" t="n"/>
      <c r="I1331" s="142" t="n"/>
      <c r="J1331" s="146">
        <f>IF(AND(B1331="",C1331="",D1331="",E1331="",F1331="",H1331=""),"",IF(NOT(ISNUMBER(B1331)),"✗ 日期不是真日期",IF(OR(B1331&lt;年初日,B1331&gt;年末日),"✗ 日期不在本年度",IF(C1331="","✗ 没选供应商",IF(COUNTIF(基础资料!$Q$5:$Q$54,C1331)=0,"✗ 供应商不在基础资料里",IF(D1331="","✗ 没选商品",IF(COUNTIF(基础资料!$E$5:$E$104,D1331)=0,"✗ 商品不在商品档案里",IF(AND(E1331="",H1331=""),"✗ 没填数量",IF(AND(N(E1331)&lt;&gt;0,F1331=""),"✗ 没填进价","√")))))))))</f>
      </c>
    </row>
    <row r="1332">
      <c r="A1332" s="109">
        <f>IF(AND(C1332="",D1332=""),"",ROW()-3)</f>
      </c>
      <c r="B1332" s="140" t="n"/>
      <c r="C1332" s="141" t="n"/>
      <c r="D1332" s="141" t="n"/>
      <c r="E1332" s="148" t="n"/>
      <c r="F1332" s="149" t="n"/>
      <c r="G1332" s="150">
        <f>IF(AND(E1332&lt;&gt;"",F1332&lt;&gt;""),E1332*F1332,"")</f>
      </c>
      <c r="H1332" s="148" t="n"/>
      <c r="I1332" s="142" t="n"/>
      <c r="J1332" s="146">
        <f>IF(AND(B1332="",C1332="",D1332="",E1332="",F1332="",H1332=""),"",IF(NOT(ISNUMBER(B1332)),"✗ 日期不是真日期",IF(OR(B1332&lt;年初日,B1332&gt;年末日),"✗ 日期不在本年度",IF(C1332="","✗ 没选供应商",IF(COUNTIF(基础资料!$Q$5:$Q$54,C1332)=0,"✗ 供应商不在基础资料里",IF(D1332="","✗ 没选商品",IF(COUNTIF(基础资料!$E$5:$E$104,D1332)=0,"✗ 商品不在商品档案里",IF(AND(E1332="",H1332=""),"✗ 没填数量",IF(AND(N(E1332)&lt;&gt;0,F1332=""),"✗ 没填进价","√")))))))))</f>
      </c>
    </row>
    <row r="1333">
      <c r="A1333" s="109">
        <f>IF(AND(C1333="",D1333=""),"",ROW()-3)</f>
      </c>
      <c r="B1333" s="140" t="n"/>
      <c r="C1333" s="141" t="n"/>
      <c r="D1333" s="141" t="n"/>
      <c r="E1333" s="148" t="n"/>
      <c r="F1333" s="149" t="n"/>
      <c r="G1333" s="150">
        <f>IF(AND(E1333&lt;&gt;"",F1333&lt;&gt;""),E1333*F1333,"")</f>
      </c>
      <c r="H1333" s="148" t="n"/>
      <c r="I1333" s="142" t="n"/>
      <c r="J1333" s="146">
        <f>IF(AND(B1333="",C1333="",D1333="",E1333="",F1333="",H1333=""),"",IF(NOT(ISNUMBER(B1333)),"✗ 日期不是真日期",IF(OR(B1333&lt;年初日,B1333&gt;年末日),"✗ 日期不在本年度",IF(C1333="","✗ 没选供应商",IF(COUNTIF(基础资料!$Q$5:$Q$54,C1333)=0,"✗ 供应商不在基础资料里",IF(D1333="","✗ 没选商品",IF(COUNTIF(基础资料!$E$5:$E$104,D1333)=0,"✗ 商品不在商品档案里",IF(AND(E1333="",H1333=""),"✗ 没填数量",IF(AND(N(E1333)&lt;&gt;0,F1333=""),"✗ 没填进价","√")))))))))</f>
      </c>
    </row>
    <row r="1334">
      <c r="A1334" s="109">
        <f>IF(AND(C1334="",D1334=""),"",ROW()-3)</f>
      </c>
      <c r="B1334" s="140" t="n"/>
      <c r="C1334" s="141" t="n"/>
      <c r="D1334" s="141" t="n"/>
      <c r="E1334" s="148" t="n"/>
      <c r="F1334" s="149" t="n"/>
      <c r="G1334" s="150">
        <f>IF(AND(E1334&lt;&gt;"",F1334&lt;&gt;""),E1334*F1334,"")</f>
      </c>
      <c r="H1334" s="148" t="n"/>
      <c r="I1334" s="142" t="n"/>
      <c r="J1334" s="146">
        <f>IF(AND(B1334="",C1334="",D1334="",E1334="",F1334="",H1334=""),"",IF(NOT(ISNUMBER(B1334)),"✗ 日期不是真日期",IF(OR(B1334&lt;年初日,B1334&gt;年末日),"✗ 日期不在本年度",IF(C1334="","✗ 没选供应商",IF(COUNTIF(基础资料!$Q$5:$Q$54,C1334)=0,"✗ 供应商不在基础资料里",IF(D1334="","✗ 没选商品",IF(COUNTIF(基础资料!$E$5:$E$104,D1334)=0,"✗ 商品不在商品档案里",IF(AND(E1334="",H1334=""),"✗ 没填数量",IF(AND(N(E1334)&lt;&gt;0,F1334=""),"✗ 没填进价","√")))))))))</f>
      </c>
    </row>
    <row r="1335">
      <c r="A1335" s="109">
        <f>IF(AND(C1335="",D1335=""),"",ROW()-3)</f>
      </c>
      <c r="B1335" s="140" t="n"/>
      <c r="C1335" s="141" t="n"/>
      <c r="D1335" s="141" t="n"/>
      <c r="E1335" s="148" t="n"/>
      <c r="F1335" s="149" t="n"/>
      <c r="G1335" s="150">
        <f>IF(AND(E1335&lt;&gt;"",F1335&lt;&gt;""),E1335*F1335,"")</f>
      </c>
      <c r="H1335" s="148" t="n"/>
      <c r="I1335" s="142" t="n"/>
      <c r="J1335" s="146">
        <f>IF(AND(B1335="",C1335="",D1335="",E1335="",F1335="",H1335=""),"",IF(NOT(ISNUMBER(B1335)),"✗ 日期不是真日期",IF(OR(B1335&lt;年初日,B1335&gt;年末日),"✗ 日期不在本年度",IF(C1335="","✗ 没选供应商",IF(COUNTIF(基础资料!$Q$5:$Q$54,C1335)=0,"✗ 供应商不在基础资料里",IF(D1335="","✗ 没选商品",IF(COUNTIF(基础资料!$E$5:$E$104,D1335)=0,"✗ 商品不在商品档案里",IF(AND(E1335="",H1335=""),"✗ 没填数量",IF(AND(N(E1335)&lt;&gt;0,F1335=""),"✗ 没填进价","√")))))))))</f>
      </c>
    </row>
    <row r="1336">
      <c r="A1336" s="109">
        <f>IF(AND(C1336="",D1336=""),"",ROW()-3)</f>
      </c>
      <c r="B1336" s="140" t="n"/>
      <c r="C1336" s="141" t="n"/>
      <c r="D1336" s="141" t="n"/>
      <c r="E1336" s="148" t="n"/>
      <c r="F1336" s="149" t="n"/>
      <c r="G1336" s="150">
        <f>IF(AND(E1336&lt;&gt;"",F1336&lt;&gt;""),E1336*F1336,"")</f>
      </c>
      <c r="H1336" s="148" t="n"/>
      <c r="I1336" s="142" t="n"/>
      <c r="J1336" s="146">
        <f>IF(AND(B1336="",C1336="",D1336="",E1336="",F1336="",H1336=""),"",IF(NOT(ISNUMBER(B1336)),"✗ 日期不是真日期",IF(OR(B1336&lt;年初日,B1336&gt;年末日),"✗ 日期不在本年度",IF(C1336="","✗ 没选供应商",IF(COUNTIF(基础资料!$Q$5:$Q$54,C1336)=0,"✗ 供应商不在基础资料里",IF(D1336="","✗ 没选商品",IF(COUNTIF(基础资料!$E$5:$E$104,D1336)=0,"✗ 商品不在商品档案里",IF(AND(E1336="",H1336=""),"✗ 没填数量",IF(AND(N(E1336)&lt;&gt;0,F1336=""),"✗ 没填进价","√")))))))))</f>
      </c>
    </row>
    <row r="1337">
      <c r="A1337" s="109">
        <f>IF(AND(C1337="",D1337=""),"",ROW()-3)</f>
      </c>
      <c r="B1337" s="140" t="n"/>
      <c r="C1337" s="141" t="n"/>
      <c r="D1337" s="141" t="n"/>
      <c r="E1337" s="148" t="n"/>
      <c r="F1337" s="149" t="n"/>
      <c r="G1337" s="150">
        <f>IF(AND(E1337&lt;&gt;"",F1337&lt;&gt;""),E1337*F1337,"")</f>
      </c>
      <c r="H1337" s="148" t="n"/>
      <c r="I1337" s="142" t="n"/>
      <c r="J1337" s="146">
        <f>IF(AND(B1337="",C1337="",D1337="",E1337="",F1337="",H1337=""),"",IF(NOT(ISNUMBER(B1337)),"✗ 日期不是真日期",IF(OR(B1337&lt;年初日,B1337&gt;年末日),"✗ 日期不在本年度",IF(C1337="","✗ 没选供应商",IF(COUNTIF(基础资料!$Q$5:$Q$54,C1337)=0,"✗ 供应商不在基础资料里",IF(D1337="","✗ 没选商品",IF(COUNTIF(基础资料!$E$5:$E$104,D1337)=0,"✗ 商品不在商品档案里",IF(AND(E1337="",H1337=""),"✗ 没填数量",IF(AND(N(E1337)&lt;&gt;0,F1337=""),"✗ 没填进价","√")))))))))</f>
      </c>
    </row>
    <row r="1338">
      <c r="A1338" s="109">
        <f>IF(AND(C1338="",D1338=""),"",ROW()-3)</f>
      </c>
      <c r="B1338" s="140" t="n"/>
      <c r="C1338" s="141" t="n"/>
      <c r="D1338" s="141" t="n"/>
      <c r="E1338" s="148" t="n"/>
      <c r="F1338" s="149" t="n"/>
      <c r="G1338" s="150">
        <f>IF(AND(E1338&lt;&gt;"",F1338&lt;&gt;""),E1338*F1338,"")</f>
      </c>
      <c r="H1338" s="148" t="n"/>
      <c r="I1338" s="142" t="n"/>
      <c r="J1338" s="146">
        <f>IF(AND(B1338="",C1338="",D1338="",E1338="",F1338="",H1338=""),"",IF(NOT(ISNUMBER(B1338)),"✗ 日期不是真日期",IF(OR(B1338&lt;年初日,B1338&gt;年末日),"✗ 日期不在本年度",IF(C1338="","✗ 没选供应商",IF(COUNTIF(基础资料!$Q$5:$Q$54,C1338)=0,"✗ 供应商不在基础资料里",IF(D1338="","✗ 没选商品",IF(COUNTIF(基础资料!$E$5:$E$104,D1338)=0,"✗ 商品不在商品档案里",IF(AND(E1338="",H1338=""),"✗ 没填数量",IF(AND(N(E1338)&lt;&gt;0,F1338=""),"✗ 没填进价","√")))))))))</f>
      </c>
    </row>
    <row r="1339">
      <c r="A1339" s="109">
        <f>IF(AND(C1339="",D1339=""),"",ROW()-3)</f>
      </c>
      <c r="B1339" s="140" t="n"/>
      <c r="C1339" s="141" t="n"/>
      <c r="D1339" s="141" t="n"/>
      <c r="E1339" s="148" t="n"/>
      <c r="F1339" s="149" t="n"/>
      <c r="G1339" s="150">
        <f>IF(AND(E1339&lt;&gt;"",F1339&lt;&gt;""),E1339*F1339,"")</f>
      </c>
      <c r="H1339" s="148" t="n"/>
      <c r="I1339" s="142" t="n"/>
      <c r="J1339" s="146">
        <f>IF(AND(B1339="",C1339="",D1339="",E1339="",F1339="",H1339=""),"",IF(NOT(ISNUMBER(B1339)),"✗ 日期不是真日期",IF(OR(B1339&lt;年初日,B1339&gt;年末日),"✗ 日期不在本年度",IF(C1339="","✗ 没选供应商",IF(COUNTIF(基础资料!$Q$5:$Q$54,C1339)=0,"✗ 供应商不在基础资料里",IF(D1339="","✗ 没选商品",IF(COUNTIF(基础资料!$E$5:$E$104,D1339)=0,"✗ 商品不在商品档案里",IF(AND(E1339="",H1339=""),"✗ 没填数量",IF(AND(N(E1339)&lt;&gt;0,F1339=""),"✗ 没填进价","√")))))))))</f>
      </c>
    </row>
    <row r="1340">
      <c r="A1340" s="109">
        <f>IF(AND(C1340="",D1340=""),"",ROW()-3)</f>
      </c>
      <c r="B1340" s="140" t="n"/>
      <c r="C1340" s="141" t="n"/>
      <c r="D1340" s="141" t="n"/>
      <c r="E1340" s="148" t="n"/>
      <c r="F1340" s="149" t="n"/>
      <c r="G1340" s="150">
        <f>IF(AND(E1340&lt;&gt;"",F1340&lt;&gt;""),E1340*F1340,"")</f>
      </c>
      <c r="H1340" s="148" t="n"/>
      <c r="I1340" s="142" t="n"/>
      <c r="J1340" s="146">
        <f>IF(AND(B1340="",C1340="",D1340="",E1340="",F1340="",H1340=""),"",IF(NOT(ISNUMBER(B1340)),"✗ 日期不是真日期",IF(OR(B1340&lt;年初日,B1340&gt;年末日),"✗ 日期不在本年度",IF(C1340="","✗ 没选供应商",IF(COUNTIF(基础资料!$Q$5:$Q$54,C1340)=0,"✗ 供应商不在基础资料里",IF(D1340="","✗ 没选商品",IF(COUNTIF(基础资料!$E$5:$E$104,D1340)=0,"✗ 商品不在商品档案里",IF(AND(E1340="",H1340=""),"✗ 没填数量",IF(AND(N(E1340)&lt;&gt;0,F1340=""),"✗ 没填进价","√")))))))))</f>
      </c>
    </row>
    <row r="1341">
      <c r="A1341" s="109">
        <f>IF(AND(C1341="",D1341=""),"",ROW()-3)</f>
      </c>
      <c r="B1341" s="140" t="n"/>
      <c r="C1341" s="141" t="n"/>
      <c r="D1341" s="141" t="n"/>
      <c r="E1341" s="148" t="n"/>
      <c r="F1341" s="149" t="n"/>
      <c r="G1341" s="150">
        <f>IF(AND(E1341&lt;&gt;"",F1341&lt;&gt;""),E1341*F1341,"")</f>
      </c>
      <c r="H1341" s="148" t="n"/>
      <c r="I1341" s="142" t="n"/>
      <c r="J1341" s="146">
        <f>IF(AND(B1341="",C1341="",D1341="",E1341="",F1341="",H1341=""),"",IF(NOT(ISNUMBER(B1341)),"✗ 日期不是真日期",IF(OR(B1341&lt;年初日,B1341&gt;年末日),"✗ 日期不在本年度",IF(C1341="","✗ 没选供应商",IF(COUNTIF(基础资料!$Q$5:$Q$54,C1341)=0,"✗ 供应商不在基础资料里",IF(D1341="","✗ 没选商品",IF(COUNTIF(基础资料!$E$5:$E$104,D1341)=0,"✗ 商品不在商品档案里",IF(AND(E1341="",H1341=""),"✗ 没填数量",IF(AND(N(E1341)&lt;&gt;0,F1341=""),"✗ 没填进价","√")))))))))</f>
      </c>
    </row>
    <row r="1342">
      <c r="A1342" s="109">
        <f>IF(AND(C1342="",D1342=""),"",ROW()-3)</f>
      </c>
      <c r="B1342" s="140" t="n"/>
      <c r="C1342" s="141" t="n"/>
      <c r="D1342" s="141" t="n"/>
      <c r="E1342" s="148" t="n"/>
      <c r="F1342" s="149" t="n"/>
      <c r="G1342" s="150">
        <f>IF(AND(E1342&lt;&gt;"",F1342&lt;&gt;""),E1342*F1342,"")</f>
      </c>
      <c r="H1342" s="148" t="n"/>
      <c r="I1342" s="142" t="n"/>
      <c r="J1342" s="146">
        <f>IF(AND(B1342="",C1342="",D1342="",E1342="",F1342="",H1342=""),"",IF(NOT(ISNUMBER(B1342)),"✗ 日期不是真日期",IF(OR(B1342&lt;年初日,B1342&gt;年末日),"✗ 日期不在本年度",IF(C1342="","✗ 没选供应商",IF(COUNTIF(基础资料!$Q$5:$Q$54,C1342)=0,"✗ 供应商不在基础资料里",IF(D1342="","✗ 没选商品",IF(COUNTIF(基础资料!$E$5:$E$104,D1342)=0,"✗ 商品不在商品档案里",IF(AND(E1342="",H1342=""),"✗ 没填数量",IF(AND(N(E1342)&lt;&gt;0,F1342=""),"✗ 没填进价","√")))))))))</f>
      </c>
    </row>
    <row r="1343">
      <c r="A1343" s="109">
        <f>IF(AND(C1343="",D1343=""),"",ROW()-3)</f>
      </c>
      <c r="B1343" s="140" t="n"/>
      <c r="C1343" s="141" t="n"/>
      <c r="D1343" s="141" t="n"/>
      <c r="E1343" s="148" t="n"/>
      <c r="F1343" s="149" t="n"/>
      <c r="G1343" s="150">
        <f>IF(AND(E1343&lt;&gt;"",F1343&lt;&gt;""),E1343*F1343,"")</f>
      </c>
      <c r="H1343" s="148" t="n"/>
      <c r="I1343" s="142" t="n"/>
      <c r="J1343" s="146">
        <f>IF(AND(B1343="",C1343="",D1343="",E1343="",F1343="",H1343=""),"",IF(NOT(ISNUMBER(B1343)),"✗ 日期不是真日期",IF(OR(B1343&lt;年初日,B1343&gt;年末日),"✗ 日期不在本年度",IF(C1343="","✗ 没选供应商",IF(COUNTIF(基础资料!$Q$5:$Q$54,C1343)=0,"✗ 供应商不在基础资料里",IF(D1343="","✗ 没选商品",IF(COUNTIF(基础资料!$E$5:$E$104,D1343)=0,"✗ 商品不在商品档案里",IF(AND(E1343="",H1343=""),"✗ 没填数量",IF(AND(N(E1343)&lt;&gt;0,F1343=""),"✗ 没填进价","√")))))))))</f>
      </c>
    </row>
    <row r="1344">
      <c r="A1344" s="109">
        <f>IF(AND(C1344="",D1344=""),"",ROW()-3)</f>
      </c>
      <c r="B1344" s="140" t="n"/>
      <c r="C1344" s="141" t="n"/>
      <c r="D1344" s="141" t="n"/>
      <c r="E1344" s="148" t="n"/>
      <c r="F1344" s="149" t="n"/>
      <c r="G1344" s="150">
        <f>IF(AND(E1344&lt;&gt;"",F1344&lt;&gt;""),E1344*F1344,"")</f>
      </c>
      <c r="H1344" s="148" t="n"/>
      <c r="I1344" s="142" t="n"/>
      <c r="J1344" s="146">
        <f>IF(AND(B1344="",C1344="",D1344="",E1344="",F1344="",H1344=""),"",IF(NOT(ISNUMBER(B1344)),"✗ 日期不是真日期",IF(OR(B1344&lt;年初日,B1344&gt;年末日),"✗ 日期不在本年度",IF(C1344="","✗ 没选供应商",IF(COUNTIF(基础资料!$Q$5:$Q$54,C1344)=0,"✗ 供应商不在基础资料里",IF(D1344="","✗ 没选商品",IF(COUNTIF(基础资料!$E$5:$E$104,D1344)=0,"✗ 商品不在商品档案里",IF(AND(E1344="",H1344=""),"✗ 没填数量",IF(AND(N(E1344)&lt;&gt;0,F1344=""),"✗ 没填进价","√")))))))))</f>
      </c>
    </row>
    <row r="1345">
      <c r="A1345" s="109">
        <f>IF(AND(C1345="",D1345=""),"",ROW()-3)</f>
      </c>
      <c r="B1345" s="140" t="n"/>
      <c r="C1345" s="141" t="n"/>
      <c r="D1345" s="141" t="n"/>
      <c r="E1345" s="148" t="n"/>
      <c r="F1345" s="149" t="n"/>
      <c r="G1345" s="150">
        <f>IF(AND(E1345&lt;&gt;"",F1345&lt;&gt;""),E1345*F1345,"")</f>
      </c>
      <c r="H1345" s="148" t="n"/>
      <c r="I1345" s="142" t="n"/>
      <c r="J1345" s="146">
        <f>IF(AND(B1345="",C1345="",D1345="",E1345="",F1345="",H1345=""),"",IF(NOT(ISNUMBER(B1345)),"✗ 日期不是真日期",IF(OR(B1345&lt;年初日,B1345&gt;年末日),"✗ 日期不在本年度",IF(C1345="","✗ 没选供应商",IF(COUNTIF(基础资料!$Q$5:$Q$54,C1345)=0,"✗ 供应商不在基础资料里",IF(D1345="","✗ 没选商品",IF(COUNTIF(基础资料!$E$5:$E$104,D1345)=0,"✗ 商品不在商品档案里",IF(AND(E1345="",H1345=""),"✗ 没填数量",IF(AND(N(E1345)&lt;&gt;0,F1345=""),"✗ 没填进价","√")))))))))</f>
      </c>
    </row>
    <row r="1346">
      <c r="A1346" s="109">
        <f>IF(AND(C1346="",D1346=""),"",ROW()-3)</f>
      </c>
      <c r="B1346" s="140" t="n"/>
      <c r="C1346" s="141" t="n"/>
      <c r="D1346" s="141" t="n"/>
      <c r="E1346" s="148" t="n"/>
      <c r="F1346" s="149" t="n"/>
      <c r="G1346" s="150">
        <f>IF(AND(E1346&lt;&gt;"",F1346&lt;&gt;""),E1346*F1346,"")</f>
      </c>
      <c r="H1346" s="148" t="n"/>
      <c r="I1346" s="142" t="n"/>
      <c r="J1346" s="146">
        <f>IF(AND(B1346="",C1346="",D1346="",E1346="",F1346="",H1346=""),"",IF(NOT(ISNUMBER(B1346)),"✗ 日期不是真日期",IF(OR(B1346&lt;年初日,B1346&gt;年末日),"✗ 日期不在本年度",IF(C1346="","✗ 没选供应商",IF(COUNTIF(基础资料!$Q$5:$Q$54,C1346)=0,"✗ 供应商不在基础资料里",IF(D1346="","✗ 没选商品",IF(COUNTIF(基础资料!$E$5:$E$104,D1346)=0,"✗ 商品不在商品档案里",IF(AND(E1346="",H1346=""),"✗ 没填数量",IF(AND(N(E1346)&lt;&gt;0,F1346=""),"✗ 没填进价","√")))))))))</f>
      </c>
    </row>
    <row r="1347">
      <c r="A1347" s="109">
        <f>IF(AND(C1347="",D1347=""),"",ROW()-3)</f>
      </c>
      <c r="B1347" s="140" t="n"/>
      <c r="C1347" s="141" t="n"/>
      <c r="D1347" s="141" t="n"/>
      <c r="E1347" s="148" t="n"/>
      <c r="F1347" s="149" t="n"/>
      <c r="G1347" s="150">
        <f>IF(AND(E1347&lt;&gt;"",F1347&lt;&gt;""),E1347*F1347,"")</f>
      </c>
      <c r="H1347" s="148" t="n"/>
      <c r="I1347" s="142" t="n"/>
      <c r="J1347" s="146">
        <f>IF(AND(B1347="",C1347="",D1347="",E1347="",F1347="",H1347=""),"",IF(NOT(ISNUMBER(B1347)),"✗ 日期不是真日期",IF(OR(B1347&lt;年初日,B1347&gt;年末日),"✗ 日期不在本年度",IF(C1347="","✗ 没选供应商",IF(COUNTIF(基础资料!$Q$5:$Q$54,C1347)=0,"✗ 供应商不在基础资料里",IF(D1347="","✗ 没选商品",IF(COUNTIF(基础资料!$E$5:$E$104,D1347)=0,"✗ 商品不在商品档案里",IF(AND(E1347="",H1347=""),"✗ 没填数量",IF(AND(N(E1347)&lt;&gt;0,F1347=""),"✗ 没填进价","√")))))))))</f>
      </c>
    </row>
    <row r="1348">
      <c r="A1348" s="109">
        <f>IF(AND(C1348="",D1348=""),"",ROW()-3)</f>
      </c>
      <c r="B1348" s="140" t="n"/>
      <c r="C1348" s="141" t="n"/>
      <c r="D1348" s="141" t="n"/>
      <c r="E1348" s="148" t="n"/>
      <c r="F1348" s="149" t="n"/>
      <c r="G1348" s="150">
        <f>IF(AND(E1348&lt;&gt;"",F1348&lt;&gt;""),E1348*F1348,"")</f>
      </c>
      <c r="H1348" s="148" t="n"/>
      <c r="I1348" s="142" t="n"/>
      <c r="J1348" s="146">
        <f>IF(AND(B1348="",C1348="",D1348="",E1348="",F1348="",H1348=""),"",IF(NOT(ISNUMBER(B1348)),"✗ 日期不是真日期",IF(OR(B1348&lt;年初日,B1348&gt;年末日),"✗ 日期不在本年度",IF(C1348="","✗ 没选供应商",IF(COUNTIF(基础资料!$Q$5:$Q$54,C1348)=0,"✗ 供应商不在基础资料里",IF(D1348="","✗ 没选商品",IF(COUNTIF(基础资料!$E$5:$E$104,D1348)=0,"✗ 商品不在商品档案里",IF(AND(E1348="",H1348=""),"✗ 没填数量",IF(AND(N(E1348)&lt;&gt;0,F1348=""),"✗ 没填进价","√")))))))))</f>
      </c>
    </row>
    <row r="1349">
      <c r="A1349" s="109">
        <f>IF(AND(C1349="",D1349=""),"",ROW()-3)</f>
      </c>
      <c r="B1349" s="140" t="n"/>
      <c r="C1349" s="141" t="n"/>
      <c r="D1349" s="141" t="n"/>
      <c r="E1349" s="148" t="n"/>
      <c r="F1349" s="149" t="n"/>
      <c r="G1349" s="150">
        <f>IF(AND(E1349&lt;&gt;"",F1349&lt;&gt;""),E1349*F1349,"")</f>
      </c>
      <c r="H1349" s="148" t="n"/>
      <c r="I1349" s="142" t="n"/>
      <c r="J1349" s="146">
        <f>IF(AND(B1349="",C1349="",D1349="",E1349="",F1349="",H1349=""),"",IF(NOT(ISNUMBER(B1349)),"✗ 日期不是真日期",IF(OR(B1349&lt;年初日,B1349&gt;年末日),"✗ 日期不在本年度",IF(C1349="","✗ 没选供应商",IF(COUNTIF(基础资料!$Q$5:$Q$54,C1349)=0,"✗ 供应商不在基础资料里",IF(D1349="","✗ 没选商品",IF(COUNTIF(基础资料!$E$5:$E$104,D1349)=0,"✗ 商品不在商品档案里",IF(AND(E1349="",H1349=""),"✗ 没填数量",IF(AND(N(E1349)&lt;&gt;0,F1349=""),"✗ 没填进价","√")))))))))</f>
      </c>
    </row>
    <row r="1350">
      <c r="A1350" s="109">
        <f>IF(AND(C1350="",D1350=""),"",ROW()-3)</f>
      </c>
      <c r="B1350" s="140" t="n"/>
      <c r="C1350" s="141" t="n"/>
      <c r="D1350" s="141" t="n"/>
      <c r="E1350" s="148" t="n"/>
      <c r="F1350" s="149" t="n"/>
      <c r="G1350" s="150">
        <f>IF(AND(E1350&lt;&gt;"",F1350&lt;&gt;""),E1350*F1350,"")</f>
      </c>
      <c r="H1350" s="148" t="n"/>
      <c r="I1350" s="142" t="n"/>
      <c r="J1350" s="146">
        <f>IF(AND(B1350="",C1350="",D1350="",E1350="",F1350="",H1350=""),"",IF(NOT(ISNUMBER(B1350)),"✗ 日期不是真日期",IF(OR(B1350&lt;年初日,B1350&gt;年末日),"✗ 日期不在本年度",IF(C1350="","✗ 没选供应商",IF(COUNTIF(基础资料!$Q$5:$Q$54,C1350)=0,"✗ 供应商不在基础资料里",IF(D1350="","✗ 没选商品",IF(COUNTIF(基础资料!$E$5:$E$104,D1350)=0,"✗ 商品不在商品档案里",IF(AND(E1350="",H1350=""),"✗ 没填数量",IF(AND(N(E1350)&lt;&gt;0,F1350=""),"✗ 没填进价","√")))))))))</f>
      </c>
    </row>
    <row r="1351">
      <c r="A1351" s="109">
        <f>IF(AND(C1351="",D1351=""),"",ROW()-3)</f>
      </c>
      <c r="B1351" s="140" t="n"/>
      <c r="C1351" s="141" t="n"/>
      <c r="D1351" s="141" t="n"/>
      <c r="E1351" s="148" t="n"/>
      <c r="F1351" s="149" t="n"/>
      <c r="G1351" s="150">
        <f>IF(AND(E1351&lt;&gt;"",F1351&lt;&gt;""),E1351*F1351,"")</f>
      </c>
      <c r="H1351" s="148" t="n"/>
      <c r="I1351" s="142" t="n"/>
      <c r="J1351" s="146">
        <f>IF(AND(B1351="",C1351="",D1351="",E1351="",F1351="",H1351=""),"",IF(NOT(ISNUMBER(B1351)),"✗ 日期不是真日期",IF(OR(B1351&lt;年初日,B1351&gt;年末日),"✗ 日期不在本年度",IF(C1351="","✗ 没选供应商",IF(COUNTIF(基础资料!$Q$5:$Q$54,C1351)=0,"✗ 供应商不在基础资料里",IF(D1351="","✗ 没选商品",IF(COUNTIF(基础资料!$E$5:$E$104,D1351)=0,"✗ 商品不在商品档案里",IF(AND(E1351="",H1351=""),"✗ 没填数量",IF(AND(N(E1351)&lt;&gt;0,F1351=""),"✗ 没填进价","√")))))))))</f>
      </c>
    </row>
    <row r="1352">
      <c r="A1352" s="109">
        <f>IF(AND(C1352="",D1352=""),"",ROW()-3)</f>
      </c>
      <c r="B1352" s="140" t="n"/>
      <c r="C1352" s="141" t="n"/>
      <c r="D1352" s="141" t="n"/>
      <c r="E1352" s="148" t="n"/>
      <c r="F1352" s="149" t="n"/>
      <c r="G1352" s="150">
        <f>IF(AND(E1352&lt;&gt;"",F1352&lt;&gt;""),E1352*F1352,"")</f>
      </c>
      <c r="H1352" s="148" t="n"/>
      <c r="I1352" s="142" t="n"/>
      <c r="J1352" s="146">
        <f>IF(AND(B1352="",C1352="",D1352="",E1352="",F1352="",H1352=""),"",IF(NOT(ISNUMBER(B1352)),"✗ 日期不是真日期",IF(OR(B1352&lt;年初日,B1352&gt;年末日),"✗ 日期不在本年度",IF(C1352="","✗ 没选供应商",IF(COUNTIF(基础资料!$Q$5:$Q$54,C1352)=0,"✗ 供应商不在基础资料里",IF(D1352="","✗ 没选商品",IF(COUNTIF(基础资料!$E$5:$E$104,D1352)=0,"✗ 商品不在商品档案里",IF(AND(E1352="",H1352=""),"✗ 没填数量",IF(AND(N(E1352)&lt;&gt;0,F1352=""),"✗ 没填进价","√")))))))))</f>
      </c>
    </row>
    <row r="1353">
      <c r="A1353" s="109">
        <f>IF(AND(C1353="",D1353=""),"",ROW()-3)</f>
      </c>
      <c r="B1353" s="140" t="n"/>
      <c r="C1353" s="141" t="n"/>
      <c r="D1353" s="141" t="n"/>
      <c r="E1353" s="148" t="n"/>
      <c r="F1353" s="149" t="n"/>
      <c r="G1353" s="150">
        <f>IF(AND(E1353&lt;&gt;"",F1353&lt;&gt;""),E1353*F1353,"")</f>
      </c>
      <c r="H1353" s="148" t="n"/>
      <c r="I1353" s="142" t="n"/>
      <c r="J1353" s="146">
        <f>IF(AND(B1353="",C1353="",D1353="",E1353="",F1353="",H1353=""),"",IF(NOT(ISNUMBER(B1353)),"✗ 日期不是真日期",IF(OR(B1353&lt;年初日,B1353&gt;年末日),"✗ 日期不在本年度",IF(C1353="","✗ 没选供应商",IF(COUNTIF(基础资料!$Q$5:$Q$54,C1353)=0,"✗ 供应商不在基础资料里",IF(D1353="","✗ 没选商品",IF(COUNTIF(基础资料!$E$5:$E$104,D1353)=0,"✗ 商品不在商品档案里",IF(AND(E1353="",H1353=""),"✗ 没填数量",IF(AND(N(E1353)&lt;&gt;0,F1353=""),"✗ 没填进价","√")))))))))</f>
      </c>
    </row>
    <row r="1354">
      <c r="A1354" s="109">
        <f>IF(AND(C1354="",D1354=""),"",ROW()-3)</f>
      </c>
      <c r="B1354" s="140" t="n"/>
      <c r="C1354" s="141" t="n"/>
      <c r="D1354" s="141" t="n"/>
      <c r="E1354" s="148" t="n"/>
      <c r="F1354" s="149" t="n"/>
      <c r="G1354" s="150">
        <f>IF(AND(E1354&lt;&gt;"",F1354&lt;&gt;""),E1354*F1354,"")</f>
      </c>
      <c r="H1354" s="148" t="n"/>
      <c r="I1354" s="142" t="n"/>
      <c r="J1354" s="146">
        <f>IF(AND(B1354="",C1354="",D1354="",E1354="",F1354="",H1354=""),"",IF(NOT(ISNUMBER(B1354)),"✗ 日期不是真日期",IF(OR(B1354&lt;年初日,B1354&gt;年末日),"✗ 日期不在本年度",IF(C1354="","✗ 没选供应商",IF(COUNTIF(基础资料!$Q$5:$Q$54,C1354)=0,"✗ 供应商不在基础资料里",IF(D1354="","✗ 没选商品",IF(COUNTIF(基础资料!$E$5:$E$104,D1354)=0,"✗ 商品不在商品档案里",IF(AND(E1354="",H1354=""),"✗ 没填数量",IF(AND(N(E1354)&lt;&gt;0,F1354=""),"✗ 没填进价","√")))))))))</f>
      </c>
    </row>
    <row r="1355">
      <c r="A1355" s="109">
        <f>IF(AND(C1355="",D1355=""),"",ROW()-3)</f>
      </c>
      <c r="B1355" s="140" t="n"/>
      <c r="C1355" s="141" t="n"/>
      <c r="D1355" s="141" t="n"/>
      <c r="E1355" s="148" t="n"/>
      <c r="F1355" s="149" t="n"/>
      <c r="G1355" s="150">
        <f>IF(AND(E1355&lt;&gt;"",F1355&lt;&gt;""),E1355*F1355,"")</f>
      </c>
      <c r="H1355" s="148" t="n"/>
      <c r="I1355" s="142" t="n"/>
      <c r="J1355" s="146">
        <f>IF(AND(B1355="",C1355="",D1355="",E1355="",F1355="",H1355=""),"",IF(NOT(ISNUMBER(B1355)),"✗ 日期不是真日期",IF(OR(B1355&lt;年初日,B1355&gt;年末日),"✗ 日期不在本年度",IF(C1355="","✗ 没选供应商",IF(COUNTIF(基础资料!$Q$5:$Q$54,C1355)=0,"✗ 供应商不在基础资料里",IF(D1355="","✗ 没选商品",IF(COUNTIF(基础资料!$E$5:$E$104,D1355)=0,"✗ 商品不在商品档案里",IF(AND(E1355="",H1355=""),"✗ 没填数量",IF(AND(N(E1355)&lt;&gt;0,F1355=""),"✗ 没填进价","√")))))))))</f>
      </c>
    </row>
    <row r="1356">
      <c r="A1356" s="109">
        <f>IF(AND(C1356="",D1356=""),"",ROW()-3)</f>
      </c>
      <c r="B1356" s="140" t="n"/>
      <c r="C1356" s="141" t="n"/>
      <c r="D1356" s="141" t="n"/>
      <c r="E1356" s="148" t="n"/>
      <c r="F1356" s="149" t="n"/>
      <c r="G1356" s="150">
        <f>IF(AND(E1356&lt;&gt;"",F1356&lt;&gt;""),E1356*F1356,"")</f>
      </c>
      <c r="H1356" s="148" t="n"/>
      <c r="I1356" s="142" t="n"/>
      <c r="J1356" s="146">
        <f>IF(AND(B1356="",C1356="",D1356="",E1356="",F1356="",H1356=""),"",IF(NOT(ISNUMBER(B1356)),"✗ 日期不是真日期",IF(OR(B1356&lt;年初日,B1356&gt;年末日),"✗ 日期不在本年度",IF(C1356="","✗ 没选供应商",IF(COUNTIF(基础资料!$Q$5:$Q$54,C1356)=0,"✗ 供应商不在基础资料里",IF(D1356="","✗ 没选商品",IF(COUNTIF(基础资料!$E$5:$E$104,D1356)=0,"✗ 商品不在商品档案里",IF(AND(E1356="",H1356=""),"✗ 没填数量",IF(AND(N(E1356)&lt;&gt;0,F1356=""),"✗ 没填进价","√")))))))))</f>
      </c>
    </row>
    <row r="1357">
      <c r="A1357" s="109">
        <f>IF(AND(C1357="",D1357=""),"",ROW()-3)</f>
      </c>
      <c r="B1357" s="140" t="n"/>
      <c r="C1357" s="141" t="n"/>
      <c r="D1357" s="141" t="n"/>
      <c r="E1357" s="148" t="n"/>
      <c r="F1357" s="149" t="n"/>
      <c r="G1357" s="150">
        <f>IF(AND(E1357&lt;&gt;"",F1357&lt;&gt;""),E1357*F1357,"")</f>
      </c>
      <c r="H1357" s="148" t="n"/>
      <c r="I1357" s="142" t="n"/>
      <c r="J1357" s="146">
        <f>IF(AND(B1357="",C1357="",D1357="",E1357="",F1357="",H1357=""),"",IF(NOT(ISNUMBER(B1357)),"✗ 日期不是真日期",IF(OR(B1357&lt;年初日,B1357&gt;年末日),"✗ 日期不在本年度",IF(C1357="","✗ 没选供应商",IF(COUNTIF(基础资料!$Q$5:$Q$54,C1357)=0,"✗ 供应商不在基础资料里",IF(D1357="","✗ 没选商品",IF(COUNTIF(基础资料!$E$5:$E$104,D1357)=0,"✗ 商品不在商品档案里",IF(AND(E1357="",H1357=""),"✗ 没填数量",IF(AND(N(E1357)&lt;&gt;0,F1357=""),"✗ 没填进价","√")))))))))</f>
      </c>
    </row>
    <row r="1358">
      <c r="A1358" s="109">
        <f>IF(AND(C1358="",D1358=""),"",ROW()-3)</f>
      </c>
      <c r="B1358" s="140" t="n"/>
      <c r="C1358" s="141" t="n"/>
      <c r="D1358" s="141" t="n"/>
      <c r="E1358" s="148" t="n"/>
      <c r="F1358" s="149" t="n"/>
      <c r="G1358" s="150">
        <f>IF(AND(E1358&lt;&gt;"",F1358&lt;&gt;""),E1358*F1358,"")</f>
      </c>
      <c r="H1358" s="148" t="n"/>
      <c r="I1358" s="142" t="n"/>
      <c r="J1358" s="146">
        <f>IF(AND(B1358="",C1358="",D1358="",E1358="",F1358="",H1358=""),"",IF(NOT(ISNUMBER(B1358)),"✗ 日期不是真日期",IF(OR(B1358&lt;年初日,B1358&gt;年末日),"✗ 日期不在本年度",IF(C1358="","✗ 没选供应商",IF(COUNTIF(基础资料!$Q$5:$Q$54,C1358)=0,"✗ 供应商不在基础资料里",IF(D1358="","✗ 没选商品",IF(COUNTIF(基础资料!$E$5:$E$104,D1358)=0,"✗ 商品不在商品档案里",IF(AND(E1358="",H1358=""),"✗ 没填数量",IF(AND(N(E1358)&lt;&gt;0,F1358=""),"✗ 没填进价","√")))))))))</f>
      </c>
    </row>
    <row r="1359">
      <c r="A1359" s="109">
        <f>IF(AND(C1359="",D1359=""),"",ROW()-3)</f>
      </c>
      <c r="B1359" s="140" t="n"/>
      <c r="C1359" s="141" t="n"/>
      <c r="D1359" s="141" t="n"/>
      <c r="E1359" s="148" t="n"/>
      <c r="F1359" s="149" t="n"/>
      <c r="G1359" s="150">
        <f>IF(AND(E1359&lt;&gt;"",F1359&lt;&gt;""),E1359*F1359,"")</f>
      </c>
      <c r="H1359" s="148" t="n"/>
      <c r="I1359" s="142" t="n"/>
      <c r="J1359" s="146">
        <f>IF(AND(B1359="",C1359="",D1359="",E1359="",F1359="",H1359=""),"",IF(NOT(ISNUMBER(B1359)),"✗ 日期不是真日期",IF(OR(B1359&lt;年初日,B1359&gt;年末日),"✗ 日期不在本年度",IF(C1359="","✗ 没选供应商",IF(COUNTIF(基础资料!$Q$5:$Q$54,C1359)=0,"✗ 供应商不在基础资料里",IF(D1359="","✗ 没选商品",IF(COUNTIF(基础资料!$E$5:$E$104,D1359)=0,"✗ 商品不在商品档案里",IF(AND(E1359="",H1359=""),"✗ 没填数量",IF(AND(N(E1359)&lt;&gt;0,F1359=""),"✗ 没填进价","√")))))))))</f>
      </c>
    </row>
    <row r="1360">
      <c r="A1360" s="109">
        <f>IF(AND(C1360="",D1360=""),"",ROW()-3)</f>
      </c>
      <c r="B1360" s="140" t="n"/>
      <c r="C1360" s="141" t="n"/>
      <c r="D1360" s="141" t="n"/>
      <c r="E1360" s="148" t="n"/>
      <c r="F1360" s="149" t="n"/>
      <c r="G1360" s="150">
        <f>IF(AND(E1360&lt;&gt;"",F1360&lt;&gt;""),E1360*F1360,"")</f>
      </c>
      <c r="H1360" s="148" t="n"/>
      <c r="I1360" s="142" t="n"/>
      <c r="J1360" s="146">
        <f>IF(AND(B1360="",C1360="",D1360="",E1360="",F1360="",H1360=""),"",IF(NOT(ISNUMBER(B1360)),"✗ 日期不是真日期",IF(OR(B1360&lt;年初日,B1360&gt;年末日),"✗ 日期不在本年度",IF(C1360="","✗ 没选供应商",IF(COUNTIF(基础资料!$Q$5:$Q$54,C1360)=0,"✗ 供应商不在基础资料里",IF(D1360="","✗ 没选商品",IF(COUNTIF(基础资料!$E$5:$E$104,D1360)=0,"✗ 商品不在商品档案里",IF(AND(E1360="",H1360=""),"✗ 没填数量",IF(AND(N(E1360)&lt;&gt;0,F1360=""),"✗ 没填进价","√")))))))))</f>
      </c>
    </row>
    <row r="1361">
      <c r="A1361" s="109">
        <f>IF(AND(C1361="",D1361=""),"",ROW()-3)</f>
      </c>
      <c r="B1361" s="140" t="n"/>
      <c r="C1361" s="141" t="n"/>
      <c r="D1361" s="141" t="n"/>
      <c r="E1361" s="148" t="n"/>
      <c r="F1361" s="149" t="n"/>
      <c r="G1361" s="150">
        <f>IF(AND(E1361&lt;&gt;"",F1361&lt;&gt;""),E1361*F1361,"")</f>
      </c>
      <c r="H1361" s="148" t="n"/>
      <c r="I1361" s="142" t="n"/>
      <c r="J1361" s="146">
        <f>IF(AND(B1361="",C1361="",D1361="",E1361="",F1361="",H1361=""),"",IF(NOT(ISNUMBER(B1361)),"✗ 日期不是真日期",IF(OR(B1361&lt;年初日,B1361&gt;年末日),"✗ 日期不在本年度",IF(C1361="","✗ 没选供应商",IF(COUNTIF(基础资料!$Q$5:$Q$54,C1361)=0,"✗ 供应商不在基础资料里",IF(D1361="","✗ 没选商品",IF(COUNTIF(基础资料!$E$5:$E$104,D1361)=0,"✗ 商品不在商品档案里",IF(AND(E1361="",H1361=""),"✗ 没填数量",IF(AND(N(E1361)&lt;&gt;0,F1361=""),"✗ 没填进价","√")))))))))</f>
      </c>
    </row>
    <row r="1362">
      <c r="A1362" s="109">
        <f>IF(AND(C1362="",D1362=""),"",ROW()-3)</f>
      </c>
      <c r="B1362" s="140" t="n"/>
      <c r="C1362" s="141" t="n"/>
      <c r="D1362" s="141" t="n"/>
      <c r="E1362" s="148" t="n"/>
      <c r="F1362" s="149" t="n"/>
      <c r="G1362" s="150">
        <f>IF(AND(E1362&lt;&gt;"",F1362&lt;&gt;""),E1362*F1362,"")</f>
      </c>
      <c r="H1362" s="148" t="n"/>
      <c r="I1362" s="142" t="n"/>
      <c r="J1362" s="146">
        <f>IF(AND(B1362="",C1362="",D1362="",E1362="",F1362="",H1362=""),"",IF(NOT(ISNUMBER(B1362)),"✗ 日期不是真日期",IF(OR(B1362&lt;年初日,B1362&gt;年末日),"✗ 日期不在本年度",IF(C1362="","✗ 没选供应商",IF(COUNTIF(基础资料!$Q$5:$Q$54,C1362)=0,"✗ 供应商不在基础资料里",IF(D1362="","✗ 没选商品",IF(COUNTIF(基础资料!$E$5:$E$104,D1362)=0,"✗ 商品不在商品档案里",IF(AND(E1362="",H1362=""),"✗ 没填数量",IF(AND(N(E1362)&lt;&gt;0,F1362=""),"✗ 没填进价","√")))))))))</f>
      </c>
    </row>
    <row r="1363">
      <c r="A1363" s="109">
        <f>IF(AND(C1363="",D1363=""),"",ROW()-3)</f>
      </c>
      <c r="B1363" s="140" t="n"/>
      <c r="C1363" s="141" t="n"/>
      <c r="D1363" s="141" t="n"/>
      <c r="E1363" s="148" t="n"/>
      <c r="F1363" s="149" t="n"/>
      <c r="G1363" s="150">
        <f>IF(AND(E1363&lt;&gt;"",F1363&lt;&gt;""),E1363*F1363,"")</f>
      </c>
      <c r="H1363" s="148" t="n"/>
      <c r="I1363" s="142" t="n"/>
      <c r="J1363" s="146">
        <f>IF(AND(B1363="",C1363="",D1363="",E1363="",F1363="",H1363=""),"",IF(NOT(ISNUMBER(B1363)),"✗ 日期不是真日期",IF(OR(B1363&lt;年初日,B1363&gt;年末日),"✗ 日期不在本年度",IF(C1363="","✗ 没选供应商",IF(COUNTIF(基础资料!$Q$5:$Q$54,C1363)=0,"✗ 供应商不在基础资料里",IF(D1363="","✗ 没选商品",IF(COUNTIF(基础资料!$E$5:$E$104,D1363)=0,"✗ 商品不在商品档案里",IF(AND(E1363="",H1363=""),"✗ 没填数量",IF(AND(N(E1363)&lt;&gt;0,F1363=""),"✗ 没填进价","√")))))))))</f>
      </c>
    </row>
    <row r="1364">
      <c r="A1364" s="109">
        <f>IF(AND(C1364="",D1364=""),"",ROW()-3)</f>
      </c>
      <c r="B1364" s="140" t="n"/>
      <c r="C1364" s="141" t="n"/>
      <c r="D1364" s="141" t="n"/>
      <c r="E1364" s="148" t="n"/>
      <c r="F1364" s="149" t="n"/>
      <c r="G1364" s="150">
        <f>IF(AND(E1364&lt;&gt;"",F1364&lt;&gt;""),E1364*F1364,"")</f>
      </c>
      <c r="H1364" s="148" t="n"/>
      <c r="I1364" s="142" t="n"/>
      <c r="J1364" s="146">
        <f>IF(AND(B1364="",C1364="",D1364="",E1364="",F1364="",H1364=""),"",IF(NOT(ISNUMBER(B1364)),"✗ 日期不是真日期",IF(OR(B1364&lt;年初日,B1364&gt;年末日),"✗ 日期不在本年度",IF(C1364="","✗ 没选供应商",IF(COUNTIF(基础资料!$Q$5:$Q$54,C1364)=0,"✗ 供应商不在基础资料里",IF(D1364="","✗ 没选商品",IF(COUNTIF(基础资料!$E$5:$E$104,D1364)=0,"✗ 商品不在商品档案里",IF(AND(E1364="",H1364=""),"✗ 没填数量",IF(AND(N(E1364)&lt;&gt;0,F1364=""),"✗ 没填进价","√")))))))))</f>
      </c>
    </row>
    <row r="1365">
      <c r="A1365" s="109">
        <f>IF(AND(C1365="",D1365=""),"",ROW()-3)</f>
      </c>
      <c r="B1365" s="140" t="n"/>
      <c r="C1365" s="141" t="n"/>
      <c r="D1365" s="141" t="n"/>
      <c r="E1365" s="148" t="n"/>
      <c r="F1365" s="149" t="n"/>
      <c r="G1365" s="150">
        <f>IF(AND(E1365&lt;&gt;"",F1365&lt;&gt;""),E1365*F1365,"")</f>
      </c>
      <c r="H1365" s="148" t="n"/>
      <c r="I1365" s="142" t="n"/>
      <c r="J1365" s="146">
        <f>IF(AND(B1365="",C1365="",D1365="",E1365="",F1365="",H1365=""),"",IF(NOT(ISNUMBER(B1365)),"✗ 日期不是真日期",IF(OR(B1365&lt;年初日,B1365&gt;年末日),"✗ 日期不在本年度",IF(C1365="","✗ 没选供应商",IF(COUNTIF(基础资料!$Q$5:$Q$54,C1365)=0,"✗ 供应商不在基础资料里",IF(D1365="","✗ 没选商品",IF(COUNTIF(基础资料!$E$5:$E$104,D1365)=0,"✗ 商品不在商品档案里",IF(AND(E1365="",H1365=""),"✗ 没填数量",IF(AND(N(E1365)&lt;&gt;0,F1365=""),"✗ 没填进价","√")))))))))</f>
      </c>
    </row>
    <row r="1366">
      <c r="A1366" s="109">
        <f>IF(AND(C1366="",D1366=""),"",ROW()-3)</f>
      </c>
      <c r="B1366" s="140" t="n"/>
      <c r="C1366" s="141" t="n"/>
      <c r="D1366" s="141" t="n"/>
      <c r="E1366" s="148" t="n"/>
      <c r="F1366" s="149" t="n"/>
      <c r="G1366" s="150">
        <f>IF(AND(E1366&lt;&gt;"",F1366&lt;&gt;""),E1366*F1366,"")</f>
      </c>
      <c r="H1366" s="148" t="n"/>
      <c r="I1366" s="142" t="n"/>
      <c r="J1366" s="146">
        <f>IF(AND(B1366="",C1366="",D1366="",E1366="",F1366="",H1366=""),"",IF(NOT(ISNUMBER(B1366)),"✗ 日期不是真日期",IF(OR(B1366&lt;年初日,B1366&gt;年末日),"✗ 日期不在本年度",IF(C1366="","✗ 没选供应商",IF(COUNTIF(基础资料!$Q$5:$Q$54,C1366)=0,"✗ 供应商不在基础资料里",IF(D1366="","✗ 没选商品",IF(COUNTIF(基础资料!$E$5:$E$104,D1366)=0,"✗ 商品不在商品档案里",IF(AND(E1366="",H1366=""),"✗ 没填数量",IF(AND(N(E1366)&lt;&gt;0,F1366=""),"✗ 没填进价","√")))))))))</f>
      </c>
    </row>
    <row r="1367">
      <c r="A1367" s="109">
        <f>IF(AND(C1367="",D1367=""),"",ROW()-3)</f>
      </c>
      <c r="B1367" s="140" t="n"/>
      <c r="C1367" s="141" t="n"/>
      <c r="D1367" s="141" t="n"/>
      <c r="E1367" s="148" t="n"/>
      <c r="F1367" s="149" t="n"/>
      <c r="G1367" s="150">
        <f>IF(AND(E1367&lt;&gt;"",F1367&lt;&gt;""),E1367*F1367,"")</f>
      </c>
      <c r="H1367" s="148" t="n"/>
      <c r="I1367" s="142" t="n"/>
      <c r="J1367" s="146">
        <f>IF(AND(B1367="",C1367="",D1367="",E1367="",F1367="",H1367=""),"",IF(NOT(ISNUMBER(B1367)),"✗ 日期不是真日期",IF(OR(B1367&lt;年初日,B1367&gt;年末日),"✗ 日期不在本年度",IF(C1367="","✗ 没选供应商",IF(COUNTIF(基础资料!$Q$5:$Q$54,C1367)=0,"✗ 供应商不在基础资料里",IF(D1367="","✗ 没选商品",IF(COUNTIF(基础资料!$E$5:$E$104,D1367)=0,"✗ 商品不在商品档案里",IF(AND(E1367="",H1367=""),"✗ 没填数量",IF(AND(N(E1367)&lt;&gt;0,F1367=""),"✗ 没填进价","√")))))))))</f>
      </c>
    </row>
    <row r="1368">
      <c r="A1368" s="109">
        <f>IF(AND(C1368="",D1368=""),"",ROW()-3)</f>
      </c>
      <c r="B1368" s="140" t="n"/>
      <c r="C1368" s="141" t="n"/>
      <c r="D1368" s="141" t="n"/>
      <c r="E1368" s="148" t="n"/>
      <c r="F1368" s="149" t="n"/>
      <c r="G1368" s="150">
        <f>IF(AND(E1368&lt;&gt;"",F1368&lt;&gt;""),E1368*F1368,"")</f>
      </c>
      <c r="H1368" s="148" t="n"/>
      <c r="I1368" s="142" t="n"/>
      <c r="J1368" s="146">
        <f>IF(AND(B1368="",C1368="",D1368="",E1368="",F1368="",H1368=""),"",IF(NOT(ISNUMBER(B1368)),"✗ 日期不是真日期",IF(OR(B1368&lt;年初日,B1368&gt;年末日),"✗ 日期不在本年度",IF(C1368="","✗ 没选供应商",IF(COUNTIF(基础资料!$Q$5:$Q$54,C1368)=0,"✗ 供应商不在基础资料里",IF(D1368="","✗ 没选商品",IF(COUNTIF(基础资料!$E$5:$E$104,D1368)=0,"✗ 商品不在商品档案里",IF(AND(E1368="",H1368=""),"✗ 没填数量",IF(AND(N(E1368)&lt;&gt;0,F1368=""),"✗ 没填进价","√")))))))))</f>
      </c>
    </row>
    <row r="1369">
      <c r="A1369" s="109">
        <f>IF(AND(C1369="",D1369=""),"",ROW()-3)</f>
      </c>
      <c r="B1369" s="140" t="n"/>
      <c r="C1369" s="141" t="n"/>
      <c r="D1369" s="141" t="n"/>
      <c r="E1369" s="148" t="n"/>
      <c r="F1369" s="149" t="n"/>
      <c r="G1369" s="150">
        <f>IF(AND(E1369&lt;&gt;"",F1369&lt;&gt;""),E1369*F1369,"")</f>
      </c>
      <c r="H1369" s="148" t="n"/>
      <c r="I1369" s="142" t="n"/>
      <c r="J1369" s="146">
        <f>IF(AND(B1369="",C1369="",D1369="",E1369="",F1369="",H1369=""),"",IF(NOT(ISNUMBER(B1369)),"✗ 日期不是真日期",IF(OR(B1369&lt;年初日,B1369&gt;年末日),"✗ 日期不在本年度",IF(C1369="","✗ 没选供应商",IF(COUNTIF(基础资料!$Q$5:$Q$54,C1369)=0,"✗ 供应商不在基础资料里",IF(D1369="","✗ 没选商品",IF(COUNTIF(基础资料!$E$5:$E$104,D1369)=0,"✗ 商品不在商品档案里",IF(AND(E1369="",H1369=""),"✗ 没填数量",IF(AND(N(E1369)&lt;&gt;0,F1369=""),"✗ 没填进价","√")))))))))</f>
      </c>
    </row>
    <row r="1370">
      <c r="A1370" s="109">
        <f>IF(AND(C1370="",D1370=""),"",ROW()-3)</f>
      </c>
      <c r="B1370" s="140" t="n"/>
      <c r="C1370" s="141" t="n"/>
      <c r="D1370" s="141" t="n"/>
      <c r="E1370" s="148" t="n"/>
      <c r="F1370" s="149" t="n"/>
      <c r="G1370" s="150">
        <f>IF(AND(E1370&lt;&gt;"",F1370&lt;&gt;""),E1370*F1370,"")</f>
      </c>
      <c r="H1370" s="148" t="n"/>
      <c r="I1370" s="142" t="n"/>
      <c r="J1370" s="146">
        <f>IF(AND(B1370="",C1370="",D1370="",E1370="",F1370="",H1370=""),"",IF(NOT(ISNUMBER(B1370)),"✗ 日期不是真日期",IF(OR(B1370&lt;年初日,B1370&gt;年末日),"✗ 日期不在本年度",IF(C1370="","✗ 没选供应商",IF(COUNTIF(基础资料!$Q$5:$Q$54,C1370)=0,"✗ 供应商不在基础资料里",IF(D1370="","✗ 没选商品",IF(COUNTIF(基础资料!$E$5:$E$104,D1370)=0,"✗ 商品不在商品档案里",IF(AND(E1370="",H1370=""),"✗ 没填数量",IF(AND(N(E1370)&lt;&gt;0,F1370=""),"✗ 没填进价","√")))))))))</f>
      </c>
    </row>
    <row r="1371">
      <c r="A1371" s="109">
        <f>IF(AND(C1371="",D1371=""),"",ROW()-3)</f>
      </c>
      <c r="B1371" s="140" t="n"/>
      <c r="C1371" s="141" t="n"/>
      <c r="D1371" s="141" t="n"/>
      <c r="E1371" s="148" t="n"/>
      <c r="F1371" s="149" t="n"/>
      <c r="G1371" s="150">
        <f>IF(AND(E1371&lt;&gt;"",F1371&lt;&gt;""),E1371*F1371,"")</f>
      </c>
      <c r="H1371" s="148" t="n"/>
      <c r="I1371" s="142" t="n"/>
      <c r="J1371" s="146">
        <f>IF(AND(B1371="",C1371="",D1371="",E1371="",F1371="",H1371=""),"",IF(NOT(ISNUMBER(B1371)),"✗ 日期不是真日期",IF(OR(B1371&lt;年初日,B1371&gt;年末日),"✗ 日期不在本年度",IF(C1371="","✗ 没选供应商",IF(COUNTIF(基础资料!$Q$5:$Q$54,C1371)=0,"✗ 供应商不在基础资料里",IF(D1371="","✗ 没选商品",IF(COUNTIF(基础资料!$E$5:$E$104,D1371)=0,"✗ 商品不在商品档案里",IF(AND(E1371="",H1371=""),"✗ 没填数量",IF(AND(N(E1371)&lt;&gt;0,F1371=""),"✗ 没填进价","√")))))))))</f>
      </c>
    </row>
    <row r="1372">
      <c r="A1372" s="109">
        <f>IF(AND(C1372="",D1372=""),"",ROW()-3)</f>
      </c>
      <c r="B1372" s="140" t="n"/>
      <c r="C1372" s="141" t="n"/>
      <c r="D1372" s="141" t="n"/>
      <c r="E1372" s="148" t="n"/>
      <c r="F1372" s="149" t="n"/>
      <c r="G1372" s="150">
        <f>IF(AND(E1372&lt;&gt;"",F1372&lt;&gt;""),E1372*F1372,"")</f>
      </c>
      <c r="H1372" s="148" t="n"/>
      <c r="I1372" s="142" t="n"/>
      <c r="J1372" s="146">
        <f>IF(AND(B1372="",C1372="",D1372="",E1372="",F1372="",H1372=""),"",IF(NOT(ISNUMBER(B1372)),"✗ 日期不是真日期",IF(OR(B1372&lt;年初日,B1372&gt;年末日),"✗ 日期不在本年度",IF(C1372="","✗ 没选供应商",IF(COUNTIF(基础资料!$Q$5:$Q$54,C1372)=0,"✗ 供应商不在基础资料里",IF(D1372="","✗ 没选商品",IF(COUNTIF(基础资料!$E$5:$E$104,D1372)=0,"✗ 商品不在商品档案里",IF(AND(E1372="",H1372=""),"✗ 没填数量",IF(AND(N(E1372)&lt;&gt;0,F1372=""),"✗ 没填进价","√")))))))))</f>
      </c>
    </row>
    <row r="1373">
      <c r="A1373" s="109">
        <f>IF(AND(C1373="",D1373=""),"",ROW()-3)</f>
      </c>
      <c r="B1373" s="140" t="n"/>
      <c r="C1373" s="141" t="n"/>
      <c r="D1373" s="141" t="n"/>
      <c r="E1373" s="148" t="n"/>
      <c r="F1373" s="149" t="n"/>
      <c r="G1373" s="150">
        <f>IF(AND(E1373&lt;&gt;"",F1373&lt;&gt;""),E1373*F1373,"")</f>
      </c>
      <c r="H1373" s="148" t="n"/>
      <c r="I1373" s="142" t="n"/>
      <c r="J1373" s="146">
        <f>IF(AND(B1373="",C1373="",D1373="",E1373="",F1373="",H1373=""),"",IF(NOT(ISNUMBER(B1373)),"✗ 日期不是真日期",IF(OR(B1373&lt;年初日,B1373&gt;年末日),"✗ 日期不在本年度",IF(C1373="","✗ 没选供应商",IF(COUNTIF(基础资料!$Q$5:$Q$54,C1373)=0,"✗ 供应商不在基础资料里",IF(D1373="","✗ 没选商品",IF(COUNTIF(基础资料!$E$5:$E$104,D1373)=0,"✗ 商品不在商品档案里",IF(AND(E1373="",H1373=""),"✗ 没填数量",IF(AND(N(E1373)&lt;&gt;0,F1373=""),"✗ 没填进价","√")))))))))</f>
      </c>
    </row>
    <row r="1374">
      <c r="A1374" s="109">
        <f>IF(AND(C1374="",D1374=""),"",ROW()-3)</f>
      </c>
      <c r="B1374" s="140" t="n"/>
      <c r="C1374" s="141" t="n"/>
      <c r="D1374" s="141" t="n"/>
      <c r="E1374" s="148" t="n"/>
      <c r="F1374" s="149" t="n"/>
      <c r="G1374" s="150">
        <f>IF(AND(E1374&lt;&gt;"",F1374&lt;&gt;""),E1374*F1374,"")</f>
      </c>
      <c r="H1374" s="148" t="n"/>
      <c r="I1374" s="142" t="n"/>
      <c r="J1374" s="146">
        <f>IF(AND(B1374="",C1374="",D1374="",E1374="",F1374="",H1374=""),"",IF(NOT(ISNUMBER(B1374)),"✗ 日期不是真日期",IF(OR(B1374&lt;年初日,B1374&gt;年末日),"✗ 日期不在本年度",IF(C1374="","✗ 没选供应商",IF(COUNTIF(基础资料!$Q$5:$Q$54,C1374)=0,"✗ 供应商不在基础资料里",IF(D1374="","✗ 没选商品",IF(COUNTIF(基础资料!$E$5:$E$104,D1374)=0,"✗ 商品不在商品档案里",IF(AND(E1374="",H1374=""),"✗ 没填数量",IF(AND(N(E1374)&lt;&gt;0,F1374=""),"✗ 没填进价","√")))))))))</f>
      </c>
    </row>
    <row r="1375">
      <c r="A1375" s="109">
        <f>IF(AND(C1375="",D1375=""),"",ROW()-3)</f>
      </c>
      <c r="B1375" s="140" t="n"/>
      <c r="C1375" s="141" t="n"/>
      <c r="D1375" s="141" t="n"/>
      <c r="E1375" s="148" t="n"/>
      <c r="F1375" s="149" t="n"/>
      <c r="G1375" s="150">
        <f>IF(AND(E1375&lt;&gt;"",F1375&lt;&gt;""),E1375*F1375,"")</f>
      </c>
      <c r="H1375" s="148" t="n"/>
      <c r="I1375" s="142" t="n"/>
      <c r="J1375" s="146">
        <f>IF(AND(B1375="",C1375="",D1375="",E1375="",F1375="",H1375=""),"",IF(NOT(ISNUMBER(B1375)),"✗ 日期不是真日期",IF(OR(B1375&lt;年初日,B1375&gt;年末日),"✗ 日期不在本年度",IF(C1375="","✗ 没选供应商",IF(COUNTIF(基础资料!$Q$5:$Q$54,C1375)=0,"✗ 供应商不在基础资料里",IF(D1375="","✗ 没选商品",IF(COUNTIF(基础资料!$E$5:$E$104,D1375)=0,"✗ 商品不在商品档案里",IF(AND(E1375="",H1375=""),"✗ 没填数量",IF(AND(N(E1375)&lt;&gt;0,F1375=""),"✗ 没填进价","√")))))))))</f>
      </c>
    </row>
    <row r="1376">
      <c r="A1376" s="109">
        <f>IF(AND(C1376="",D1376=""),"",ROW()-3)</f>
      </c>
      <c r="B1376" s="140" t="n"/>
      <c r="C1376" s="141" t="n"/>
      <c r="D1376" s="141" t="n"/>
      <c r="E1376" s="148" t="n"/>
      <c r="F1376" s="149" t="n"/>
      <c r="G1376" s="150">
        <f>IF(AND(E1376&lt;&gt;"",F1376&lt;&gt;""),E1376*F1376,"")</f>
      </c>
      <c r="H1376" s="148" t="n"/>
      <c r="I1376" s="142" t="n"/>
      <c r="J1376" s="146">
        <f>IF(AND(B1376="",C1376="",D1376="",E1376="",F1376="",H1376=""),"",IF(NOT(ISNUMBER(B1376)),"✗ 日期不是真日期",IF(OR(B1376&lt;年初日,B1376&gt;年末日),"✗ 日期不在本年度",IF(C1376="","✗ 没选供应商",IF(COUNTIF(基础资料!$Q$5:$Q$54,C1376)=0,"✗ 供应商不在基础资料里",IF(D1376="","✗ 没选商品",IF(COUNTIF(基础资料!$E$5:$E$104,D1376)=0,"✗ 商品不在商品档案里",IF(AND(E1376="",H1376=""),"✗ 没填数量",IF(AND(N(E1376)&lt;&gt;0,F1376=""),"✗ 没填进价","√")))))))))</f>
      </c>
    </row>
    <row r="1377">
      <c r="A1377" s="109">
        <f>IF(AND(C1377="",D1377=""),"",ROW()-3)</f>
      </c>
      <c r="B1377" s="140" t="n"/>
      <c r="C1377" s="141" t="n"/>
      <c r="D1377" s="141" t="n"/>
      <c r="E1377" s="148" t="n"/>
      <c r="F1377" s="149" t="n"/>
      <c r="G1377" s="150">
        <f>IF(AND(E1377&lt;&gt;"",F1377&lt;&gt;""),E1377*F1377,"")</f>
      </c>
      <c r="H1377" s="148" t="n"/>
      <c r="I1377" s="142" t="n"/>
      <c r="J1377" s="146">
        <f>IF(AND(B1377="",C1377="",D1377="",E1377="",F1377="",H1377=""),"",IF(NOT(ISNUMBER(B1377)),"✗ 日期不是真日期",IF(OR(B1377&lt;年初日,B1377&gt;年末日),"✗ 日期不在本年度",IF(C1377="","✗ 没选供应商",IF(COUNTIF(基础资料!$Q$5:$Q$54,C1377)=0,"✗ 供应商不在基础资料里",IF(D1377="","✗ 没选商品",IF(COUNTIF(基础资料!$E$5:$E$104,D1377)=0,"✗ 商品不在商品档案里",IF(AND(E1377="",H1377=""),"✗ 没填数量",IF(AND(N(E1377)&lt;&gt;0,F1377=""),"✗ 没填进价","√")))))))))</f>
      </c>
    </row>
    <row r="1378">
      <c r="A1378" s="109">
        <f>IF(AND(C1378="",D1378=""),"",ROW()-3)</f>
      </c>
      <c r="B1378" s="140" t="n"/>
      <c r="C1378" s="141" t="n"/>
      <c r="D1378" s="141" t="n"/>
      <c r="E1378" s="148" t="n"/>
      <c r="F1378" s="149" t="n"/>
      <c r="G1378" s="150">
        <f>IF(AND(E1378&lt;&gt;"",F1378&lt;&gt;""),E1378*F1378,"")</f>
      </c>
      <c r="H1378" s="148" t="n"/>
      <c r="I1378" s="142" t="n"/>
      <c r="J1378" s="146">
        <f>IF(AND(B1378="",C1378="",D1378="",E1378="",F1378="",H1378=""),"",IF(NOT(ISNUMBER(B1378)),"✗ 日期不是真日期",IF(OR(B1378&lt;年初日,B1378&gt;年末日),"✗ 日期不在本年度",IF(C1378="","✗ 没选供应商",IF(COUNTIF(基础资料!$Q$5:$Q$54,C1378)=0,"✗ 供应商不在基础资料里",IF(D1378="","✗ 没选商品",IF(COUNTIF(基础资料!$E$5:$E$104,D1378)=0,"✗ 商品不在商品档案里",IF(AND(E1378="",H1378=""),"✗ 没填数量",IF(AND(N(E1378)&lt;&gt;0,F1378=""),"✗ 没填进价","√")))))))))</f>
      </c>
    </row>
    <row r="1379">
      <c r="A1379" s="109">
        <f>IF(AND(C1379="",D1379=""),"",ROW()-3)</f>
      </c>
      <c r="B1379" s="140" t="n"/>
      <c r="C1379" s="141" t="n"/>
      <c r="D1379" s="141" t="n"/>
      <c r="E1379" s="148" t="n"/>
      <c r="F1379" s="149" t="n"/>
      <c r="G1379" s="150">
        <f>IF(AND(E1379&lt;&gt;"",F1379&lt;&gt;""),E1379*F1379,"")</f>
      </c>
      <c r="H1379" s="148" t="n"/>
      <c r="I1379" s="142" t="n"/>
      <c r="J1379" s="146">
        <f>IF(AND(B1379="",C1379="",D1379="",E1379="",F1379="",H1379=""),"",IF(NOT(ISNUMBER(B1379)),"✗ 日期不是真日期",IF(OR(B1379&lt;年初日,B1379&gt;年末日),"✗ 日期不在本年度",IF(C1379="","✗ 没选供应商",IF(COUNTIF(基础资料!$Q$5:$Q$54,C1379)=0,"✗ 供应商不在基础资料里",IF(D1379="","✗ 没选商品",IF(COUNTIF(基础资料!$E$5:$E$104,D1379)=0,"✗ 商品不在商品档案里",IF(AND(E1379="",H1379=""),"✗ 没填数量",IF(AND(N(E1379)&lt;&gt;0,F1379=""),"✗ 没填进价","√")))))))))</f>
      </c>
    </row>
    <row r="1380">
      <c r="A1380" s="109">
        <f>IF(AND(C1380="",D1380=""),"",ROW()-3)</f>
      </c>
      <c r="B1380" s="140" t="n"/>
      <c r="C1380" s="141" t="n"/>
      <c r="D1380" s="141" t="n"/>
      <c r="E1380" s="148" t="n"/>
      <c r="F1380" s="149" t="n"/>
      <c r="G1380" s="150">
        <f>IF(AND(E1380&lt;&gt;"",F1380&lt;&gt;""),E1380*F1380,"")</f>
      </c>
      <c r="H1380" s="148" t="n"/>
      <c r="I1380" s="142" t="n"/>
      <c r="J1380" s="146">
        <f>IF(AND(B1380="",C1380="",D1380="",E1380="",F1380="",H1380=""),"",IF(NOT(ISNUMBER(B1380)),"✗ 日期不是真日期",IF(OR(B1380&lt;年初日,B1380&gt;年末日),"✗ 日期不在本年度",IF(C1380="","✗ 没选供应商",IF(COUNTIF(基础资料!$Q$5:$Q$54,C1380)=0,"✗ 供应商不在基础资料里",IF(D1380="","✗ 没选商品",IF(COUNTIF(基础资料!$E$5:$E$104,D1380)=0,"✗ 商品不在商品档案里",IF(AND(E1380="",H1380=""),"✗ 没填数量",IF(AND(N(E1380)&lt;&gt;0,F1380=""),"✗ 没填进价","√")))))))))</f>
      </c>
    </row>
    <row r="1381">
      <c r="A1381" s="109">
        <f>IF(AND(C1381="",D1381=""),"",ROW()-3)</f>
      </c>
      <c r="B1381" s="140" t="n"/>
      <c r="C1381" s="141" t="n"/>
      <c r="D1381" s="141" t="n"/>
      <c r="E1381" s="148" t="n"/>
      <c r="F1381" s="149" t="n"/>
      <c r="G1381" s="150">
        <f>IF(AND(E1381&lt;&gt;"",F1381&lt;&gt;""),E1381*F1381,"")</f>
      </c>
      <c r="H1381" s="148" t="n"/>
      <c r="I1381" s="142" t="n"/>
      <c r="J1381" s="146">
        <f>IF(AND(B1381="",C1381="",D1381="",E1381="",F1381="",H1381=""),"",IF(NOT(ISNUMBER(B1381)),"✗ 日期不是真日期",IF(OR(B1381&lt;年初日,B1381&gt;年末日),"✗ 日期不在本年度",IF(C1381="","✗ 没选供应商",IF(COUNTIF(基础资料!$Q$5:$Q$54,C1381)=0,"✗ 供应商不在基础资料里",IF(D1381="","✗ 没选商品",IF(COUNTIF(基础资料!$E$5:$E$104,D1381)=0,"✗ 商品不在商品档案里",IF(AND(E1381="",H1381=""),"✗ 没填数量",IF(AND(N(E1381)&lt;&gt;0,F1381=""),"✗ 没填进价","√")))))))))</f>
      </c>
    </row>
    <row r="1382">
      <c r="A1382" s="109">
        <f>IF(AND(C1382="",D1382=""),"",ROW()-3)</f>
      </c>
      <c r="B1382" s="140" t="n"/>
      <c r="C1382" s="141" t="n"/>
      <c r="D1382" s="141" t="n"/>
      <c r="E1382" s="148" t="n"/>
      <c r="F1382" s="149" t="n"/>
      <c r="G1382" s="150">
        <f>IF(AND(E1382&lt;&gt;"",F1382&lt;&gt;""),E1382*F1382,"")</f>
      </c>
      <c r="H1382" s="148" t="n"/>
      <c r="I1382" s="142" t="n"/>
      <c r="J1382" s="146">
        <f>IF(AND(B1382="",C1382="",D1382="",E1382="",F1382="",H1382=""),"",IF(NOT(ISNUMBER(B1382)),"✗ 日期不是真日期",IF(OR(B1382&lt;年初日,B1382&gt;年末日),"✗ 日期不在本年度",IF(C1382="","✗ 没选供应商",IF(COUNTIF(基础资料!$Q$5:$Q$54,C1382)=0,"✗ 供应商不在基础资料里",IF(D1382="","✗ 没选商品",IF(COUNTIF(基础资料!$E$5:$E$104,D1382)=0,"✗ 商品不在商品档案里",IF(AND(E1382="",H1382=""),"✗ 没填数量",IF(AND(N(E1382)&lt;&gt;0,F1382=""),"✗ 没填进价","√")))))))))</f>
      </c>
    </row>
    <row r="1383">
      <c r="A1383" s="109">
        <f>IF(AND(C1383="",D1383=""),"",ROW()-3)</f>
      </c>
      <c r="B1383" s="140" t="n"/>
      <c r="C1383" s="141" t="n"/>
      <c r="D1383" s="141" t="n"/>
      <c r="E1383" s="148" t="n"/>
      <c r="F1383" s="149" t="n"/>
      <c r="G1383" s="150">
        <f>IF(AND(E1383&lt;&gt;"",F1383&lt;&gt;""),E1383*F1383,"")</f>
      </c>
      <c r="H1383" s="148" t="n"/>
      <c r="I1383" s="142" t="n"/>
      <c r="J1383" s="146">
        <f>IF(AND(B1383="",C1383="",D1383="",E1383="",F1383="",H1383=""),"",IF(NOT(ISNUMBER(B1383)),"✗ 日期不是真日期",IF(OR(B1383&lt;年初日,B1383&gt;年末日),"✗ 日期不在本年度",IF(C1383="","✗ 没选供应商",IF(COUNTIF(基础资料!$Q$5:$Q$54,C1383)=0,"✗ 供应商不在基础资料里",IF(D1383="","✗ 没选商品",IF(COUNTIF(基础资料!$E$5:$E$104,D1383)=0,"✗ 商品不在商品档案里",IF(AND(E1383="",H1383=""),"✗ 没填数量",IF(AND(N(E1383)&lt;&gt;0,F1383=""),"✗ 没填进价","√")))))))))</f>
      </c>
    </row>
    <row r="1384">
      <c r="A1384" s="109">
        <f>IF(AND(C1384="",D1384=""),"",ROW()-3)</f>
      </c>
      <c r="B1384" s="140" t="n"/>
      <c r="C1384" s="141" t="n"/>
      <c r="D1384" s="141" t="n"/>
      <c r="E1384" s="148" t="n"/>
      <c r="F1384" s="149" t="n"/>
      <c r="G1384" s="150">
        <f>IF(AND(E1384&lt;&gt;"",F1384&lt;&gt;""),E1384*F1384,"")</f>
      </c>
      <c r="H1384" s="148" t="n"/>
      <c r="I1384" s="142" t="n"/>
      <c r="J1384" s="146">
        <f>IF(AND(B1384="",C1384="",D1384="",E1384="",F1384="",H1384=""),"",IF(NOT(ISNUMBER(B1384)),"✗ 日期不是真日期",IF(OR(B1384&lt;年初日,B1384&gt;年末日),"✗ 日期不在本年度",IF(C1384="","✗ 没选供应商",IF(COUNTIF(基础资料!$Q$5:$Q$54,C1384)=0,"✗ 供应商不在基础资料里",IF(D1384="","✗ 没选商品",IF(COUNTIF(基础资料!$E$5:$E$104,D1384)=0,"✗ 商品不在商品档案里",IF(AND(E1384="",H1384=""),"✗ 没填数量",IF(AND(N(E1384)&lt;&gt;0,F1384=""),"✗ 没填进价","√")))))))))</f>
      </c>
    </row>
    <row r="1385">
      <c r="A1385" s="109">
        <f>IF(AND(C1385="",D1385=""),"",ROW()-3)</f>
      </c>
      <c r="B1385" s="140" t="n"/>
      <c r="C1385" s="141" t="n"/>
      <c r="D1385" s="141" t="n"/>
      <c r="E1385" s="148" t="n"/>
      <c r="F1385" s="149" t="n"/>
      <c r="G1385" s="150">
        <f>IF(AND(E1385&lt;&gt;"",F1385&lt;&gt;""),E1385*F1385,"")</f>
      </c>
      <c r="H1385" s="148" t="n"/>
      <c r="I1385" s="142" t="n"/>
      <c r="J1385" s="146">
        <f>IF(AND(B1385="",C1385="",D1385="",E1385="",F1385="",H1385=""),"",IF(NOT(ISNUMBER(B1385)),"✗ 日期不是真日期",IF(OR(B1385&lt;年初日,B1385&gt;年末日),"✗ 日期不在本年度",IF(C1385="","✗ 没选供应商",IF(COUNTIF(基础资料!$Q$5:$Q$54,C1385)=0,"✗ 供应商不在基础资料里",IF(D1385="","✗ 没选商品",IF(COUNTIF(基础资料!$E$5:$E$104,D1385)=0,"✗ 商品不在商品档案里",IF(AND(E1385="",H1385=""),"✗ 没填数量",IF(AND(N(E1385)&lt;&gt;0,F1385=""),"✗ 没填进价","√")))))))))</f>
      </c>
    </row>
    <row r="1386">
      <c r="A1386" s="109">
        <f>IF(AND(C1386="",D1386=""),"",ROW()-3)</f>
      </c>
      <c r="B1386" s="140" t="n"/>
      <c r="C1386" s="141" t="n"/>
      <c r="D1386" s="141" t="n"/>
      <c r="E1386" s="148" t="n"/>
      <c r="F1386" s="149" t="n"/>
      <c r="G1386" s="150">
        <f>IF(AND(E1386&lt;&gt;"",F1386&lt;&gt;""),E1386*F1386,"")</f>
      </c>
      <c r="H1386" s="148" t="n"/>
      <c r="I1386" s="142" t="n"/>
      <c r="J1386" s="146">
        <f>IF(AND(B1386="",C1386="",D1386="",E1386="",F1386="",H1386=""),"",IF(NOT(ISNUMBER(B1386)),"✗ 日期不是真日期",IF(OR(B1386&lt;年初日,B1386&gt;年末日),"✗ 日期不在本年度",IF(C1386="","✗ 没选供应商",IF(COUNTIF(基础资料!$Q$5:$Q$54,C1386)=0,"✗ 供应商不在基础资料里",IF(D1386="","✗ 没选商品",IF(COUNTIF(基础资料!$E$5:$E$104,D1386)=0,"✗ 商品不在商品档案里",IF(AND(E1386="",H1386=""),"✗ 没填数量",IF(AND(N(E1386)&lt;&gt;0,F1386=""),"✗ 没填进价","√")))))))))</f>
      </c>
    </row>
    <row r="1387">
      <c r="A1387" s="109">
        <f>IF(AND(C1387="",D1387=""),"",ROW()-3)</f>
      </c>
      <c r="B1387" s="140" t="n"/>
      <c r="C1387" s="141" t="n"/>
      <c r="D1387" s="141" t="n"/>
      <c r="E1387" s="148" t="n"/>
      <c r="F1387" s="149" t="n"/>
      <c r="G1387" s="150">
        <f>IF(AND(E1387&lt;&gt;"",F1387&lt;&gt;""),E1387*F1387,"")</f>
      </c>
      <c r="H1387" s="148" t="n"/>
      <c r="I1387" s="142" t="n"/>
      <c r="J1387" s="146">
        <f>IF(AND(B1387="",C1387="",D1387="",E1387="",F1387="",H1387=""),"",IF(NOT(ISNUMBER(B1387)),"✗ 日期不是真日期",IF(OR(B1387&lt;年初日,B1387&gt;年末日),"✗ 日期不在本年度",IF(C1387="","✗ 没选供应商",IF(COUNTIF(基础资料!$Q$5:$Q$54,C1387)=0,"✗ 供应商不在基础资料里",IF(D1387="","✗ 没选商品",IF(COUNTIF(基础资料!$E$5:$E$104,D1387)=0,"✗ 商品不在商品档案里",IF(AND(E1387="",H1387=""),"✗ 没填数量",IF(AND(N(E1387)&lt;&gt;0,F1387=""),"✗ 没填进价","√")))))))))</f>
      </c>
    </row>
    <row r="1388">
      <c r="A1388" s="109">
        <f>IF(AND(C1388="",D1388=""),"",ROW()-3)</f>
      </c>
      <c r="B1388" s="140" t="n"/>
      <c r="C1388" s="141" t="n"/>
      <c r="D1388" s="141" t="n"/>
      <c r="E1388" s="148" t="n"/>
      <c r="F1388" s="149" t="n"/>
      <c r="G1388" s="150">
        <f>IF(AND(E1388&lt;&gt;"",F1388&lt;&gt;""),E1388*F1388,"")</f>
      </c>
      <c r="H1388" s="148" t="n"/>
      <c r="I1388" s="142" t="n"/>
      <c r="J1388" s="146">
        <f>IF(AND(B1388="",C1388="",D1388="",E1388="",F1388="",H1388=""),"",IF(NOT(ISNUMBER(B1388)),"✗ 日期不是真日期",IF(OR(B1388&lt;年初日,B1388&gt;年末日),"✗ 日期不在本年度",IF(C1388="","✗ 没选供应商",IF(COUNTIF(基础资料!$Q$5:$Q$54,C1388)=0,"✗ 供应商不在基础资料里",IF(D1388="","✗ 没选商品",IF(COUNTIF(基础资料!$E$5:$E$104,D1388)=0,"✗ 商品不在商品档案里",IF(AND(E1388="",H1388=""),"✗ 没填数量",IF(AND(N(E1388)&lt;&gt;0,F1388=""),"✗ 没填进价","√")))))))))</f>
      </c>
    </row>
    <row r="1389">
      <c r="A1389" s="109">
        <f>IF(AND(C1389="",D1389=""),"",ROW()-3)</f>
      </c>
      <c r="B1389" s="140" t="n"/>
      <c r="C1389" s="141" t="n"/>
      <c r="D1389" s="141" t="n"/>
      <c r="E1389" s="148" t="n"/>
      <c r="F1389" s="149" t="n"/>
      <c r="G1389" s="150">
        <f>IF(AND(E1389&lt;&gt;"",F1389&lt;&gt;""),E1389*F1389,"")</f>
      </c>
      <c r="H1389" s="148" t="n"/>
      <c r="I1389" s="142" t="n"/>
      <c r="J1389" s="146">
        <f>IF(AND(B1389="",C1389="",D1389="",E1389="",F1389="",H1389=""),"",IF(NOT(ISNUMBER(B1389)),"✗ 日期不是真日期",IF(OR(B1389&lt;年初日,B1389&gt;年末日),"✗ 日期不在本年度",IF(C1389="","✗ 没选供应商",IF(COUNTIF(基础资料!$Q$5:$Q$54,C1389)=0,"✗ 供应商不在基础资料里",IF(D1389="","✗ 没选商品",IF(COUNTIF(基础资料!$E$5:$E$104,D1389)=0,"✗ 商品不在商品档案里",IF(AND(E1389="",H1389=""),"✗ 没填数量",IF(AND(N(E1389)&lt;&gt;0,F1389=""),"✗ 没填进价","√")))))))))</f>
      </c>
    </row>
    <row r="1390">
      <c r="A1390" s="109">
        <f>IF(AND(C1390="",D1390=""),"",ROW()-3)</f>
      </c>
      <c r="B1390" s="140" t="n"/>
      <c r="C1390" s="141" t="n"/>
      <c r="D1390" s="141" t="n"/>
      <c r="E1390" s="148" t="n"/>
      <c r="F1390" s="149" t="n"/>
      <c r="G1390" s="150">
        <f>IF(AND(E1390&lt;&gt;"",F1390&lt;&gt;""),E1390*F1390,"")</f>
      </c>
      <c r="H1390" s="148" t="n"/>
      <c r="I1390" s="142" t="n"/>
      <c r="J1390" s="146">
        <f>IF(AND(B1390="",C1390="",D1390="",E1390="",F1390="",H1390=""),"",IF(NOT(ISNUMBER(B1390)),"✗ 日期不是真日期",IF(OR(B1390&lt;年初日,B1390&gt;年末日),"✗ 日期不在本年度",IF(C1390="","✗ 没选供应商",IF(COUNTIF(基础资料!$Q$5:$Q$54,C1390)=0,"✗ 供应商不在基础资料里",IF(D1390="","✗ 没选商品",IF(COUNTIF(基础资料!$E$5:$E$104,D1390)=0,"✗ 商品不在商品档案里",IF(AND(E1390="",H1390=""),"✗ 没填数量",IF(AND(N(E1390)&lt;&gt;0,F1390=""),"✗ 没填进价","√")))))))))</f>
      </c>
    </row>
    <row r="1391">
      <c r="A1391" s="109">
        <f>IF(AND(C1391="",D1391=""),"",ROW()-3)</f>
      </c>
      <c r="B1391" s="140" t="n"/>
      <c r="C1391" s="141" t="n"/>
      <c r="D1391" s="141" t="n"/>
      <c r="E1391" s="148" t="n"/>
      <c r="F1391" s="149" t="n"/>
      <c r="G1391" s="150">
        <f>IF(AND(E1391&lt;&gt;"",F1391&lt;&gt;""),E1391*F1391,"")</f>
      </c>
      <c r="H1391" s="148" t="n"/>
      <c r="I1391" s="142" t="n"/>
      <c r="J1391" s="146">
        <f>IF(AND(B1391="",C1391="",D1391="",E1391="",F1391="",H1391=""),"",IF(NOT(ISNUMBER(B1391)),"✗ 日期不是真日期",IF(OR(B1391&lt;年初日,B1391&gt;年末日),"✗ 日期不在本年度",IF(C1391="","✗ 没选供应商",IF(COUNTIF(基础资料!$Q$5:$Q$54,C1391)=0,"✗ 供应商不在基础资料里",IF(D1391="","✗ 没选商品",IF(COUNTIF(基础资料!$E$5:$E$104,D1391)=0,"✗ 商品不在商品档案里",IF(AND(E1391="",H1391=""),"✗ 没填数量",IF(AND(N(E1391)&lt;&gt;0,F1391=""),"✗ 没填进价","√")))))))))</f>
      </c>
    </row>
    <row r="1392">
      <c r="A1392" s="109">
        <f>IF(AND(C1392="",D1392=""),"",ROW()-3)</f>
      </c>
      <c r="B1392" s="140" t="n"/>
      <c r="C1392" s="141" t="n"/>
      <c r="D1392" s="141" t="n"/>
      <c r="E1392" s="148" t="n"/>
      <c r="F1392" s="149" t="n"/>
      <c r="G1392" s="150">
        <f>IF(AND(E1392&lt;&gt;"",F1392&lt;&gt;""),E1392*F1392,"")</f>
      </c>
      <c r="H1392" s="148" t="n"/>
      <c r="I1392" s="142" t="n"/>
      <c r="J1392" s="146">
        <f>IF(AND(B1392="",C1392="",D1392="",E1392="",F1392="",H1392=""),"",IF(NOT(ISNUMBER(B1392)),"✗ 日期不是真日期",IF(OR(B1392&lt;年初日,B1392&gt;年末日),"✗ 日期不在本年度",IF(C1392="","✗ 没选供应商",IF(COUNTIF(基础资料!$Q$5:$Q$54,C1392)=0,"✗ 供应商不在基础资料里",IF(D1392="","✗ 没选商品",IF(COUNTIF(基础资料!$E$5:$E$104,D1392)=0,"✗ 商品不在商品档案里",IF(AND(E1392="",H1392=""),"✗ 没填数量",IF(AND(N(E1392)&lt;&gt;0,F1392=""),"✗ 没填进价","√")))))))))</f>
      </c>
    </row>
    <row r="1393">
      <c r="A1393" s="109">
        <f>IF(AND(C1393="",D1393=""),"",ROW()-3)</f>
      </c>
      <c r="B1393" s="140" t="n"/>
      <c r="C1393" s="141" t="n"/>
      <c r="D1393" s="141" t="n"/>
      <c r="E1393" s="148" t="n"/>
      <c r="F1393" s="149" t="n"/>
      <c r="G1393" s="150">
        <f>IF(AND(E1393&lt;&gt;"",F1393&lt;&gt;""),E1393*F1393,"")</f>
      </c>
      <c r="H1393" s="148" t="n"/>
      <c r="I1393" s="142" t="n"/>
      <c r="J1393" s="146">
        <f>IF(AND(B1393="",C1393="",D1393="",E1393="",F1393="",H1393=""),"",IF(NOT(ISNUMBER(B1393)),"✗ 日期不是真日期",IF(OR(B1393&lt;年初日,B1393&gt;年末日),"✗ 日期不在本年度",IF(C1393="","✗ 没选供应商",IF(COUNTIF(基础资料!$Q$5:$Q$54,C1393)=0,"✗ 供应商不在基础资料里",IF(D1393="","✗ 没选商品",IF(COUNTIF(基础资料!$E$5:$E$104,D1393)=0,"✗ 商品不在商品档案里",IF(AND(E1393="",H1393=""),"✗ 没填数量",IF(AND(N(E1393)&lt;&gt;0,F1393=""),"✗ 没填进价","√")))))))))</f>
      </c>
    </row>
    <row r="1394">
      <c r="A1394" s="109">
        <f>IF(AND(C1394="",D1394=""),"",ROW()-3)</f>
      </c>
      <c r="B1394" s="140" t="n"/>
      <c r="C1394" s="141" t="n"/>
      <c r="D1394" s="141" t="n"/>
      <c r="E1394" s="148" t="n"/>
      <c r="F1394" s="149" t="n"/>
      <c r="G1394" s="150">
        <f>IF(AND(E1394&lt;&gt;"",F1394&lt;&gt;""),E1394*F1394,"")</f>
      </c>
      <c r="H1394" s="148" t="n"/>
      <c r="I1394" s="142" t="n"/>
      <c r="J1394" s="146">
        <f>IF(AND(B1394="",C1394="",D1394="",E1394="",F1394="",H1394=""),"",IF(NOT(ISNUMBER(B1394)),"✗ 日期不是真日期",IF(OR(B1394&lt;年初日,B1394&gt;年末日),"✗ 日期不在本年度",IF(C1394="","✗ 没选供应商",IF(COUNTIF(基础资料!$Q$5:$Q$54,C1394)=0,"✗ 供应商不在基础资料里",IF(D1394="","✗ 没选商品",IF(COUNTIF(基础资料!$E$5:$E$104,D1394)=0,"✗ 商品不在商品档案里",IF(AND(E1394="",H1394=""),"✗ 没填数量",IF(AND(N(E1394)&lt;&gt;0,F1394=""),"✗ 没填进价","√")))))))))</f>
      </c>
    </row>
    <row r="1395">
      <c r="A1395" s="109">
        <f>IF(AND(C1395="",D1395=""),"",ROW()-3)</f>
      </c>
      <c r="B1395" s="140" t="n"/>
      <c r="C1395" s="141" t="n"/>
      <c r="D1395" s="141" t="n"/>
      <c r="E1395" s="148" t="n"/>
      <c r="F1395" s="149" t="n"/>
      <c r="G1395" s="150">
        <f>IF(AND(E1395&lt;&gt;"",F1395&lt;&gt;""),E1395*F1395,"")</f>
      </c>
      <c r="H1395" s="148" t="n"/>
      <c r="I1395" s="142" t="n"/>
      <c r="J1395" s="146">
        <f>IF(AND(B1395="",C1395="",D1395="",E1395="",F1395="",H1395=""),"",IF(NOT(ISNUMBER(B1395)),"✗ 日期不是真日期",IF(OR(B1395&lt;年初日,B1395&gt;年末日),"✗ 日期不在本年度",IF(C1395="","✗ 没选供应商",IF(COUNTIF(基础资料!$Q$5:$Q$54,C1395)=0,"✗ 供应商不在基础资料里",IF(D1395="","✗ 没选商品",IF(COUNTIF(基础资料!$E$5:$E$104,D1395)=0,"✗ 商品不在商品档案里",IF(AND(E1395="",H1395=""),"✗ 没填数量",IF(AND(N(E1395)&lt;&gt;0,F1395=""),"✗ 没填进价","√")))))))))</f>
      </c>
    </row>
    <row r="1396">
      <c r="A1396" s="109">
        <f>IF(AND(C1396="",D1396=""),"",ROW()-3)</f>
      </c>
      <c r="B1396" s="140" t="n"/>
      <c r="C1396" s="141" t="n"/>
      <c r="D1396" s="141" t="n"/>
      <c r="E1396" s="148" t="n"/>
      <c r="F1396" s="149" t="n"/>
      <c r="G1396" s="150">
        <f>IF(AND(E1396&lt;&gt;"",F1396&lt;&gt;""),E1396*F1396,"")</f>
      </c>
      <c r="H1396" s="148" t="n"/>
      <c r="I1396" s="142" t="n"/>
      <c r="J1396" s="146">
        <f>IF(AND(B1396="",C1396="",D1396="",E1396="",F1396="",H1396=""),"",IF(NOT(ISNUMBER(B1396)),"✗ 日期不是真日期",IF(OR(B1396&lt;年初日,B1396&gt;年末日),"✗ 日期不在本年度",IF(C1396="","✗ 没选供应商",IF(COUNTIF(基础资料!$Q$5:$Q$54,C1396)=0,"✗ 供应商不在基础资料里",IF(D1396="","✗ 没选商品",IF(COUNTIF(基础资料!$E$5:$E$104,D1396)=0,"✗ 商品不在商品档案里",IF(AND(E1396="",H1396=""),"✗ 没填数量",IF(AND(N(E1396)&lt;&gt;0,F1396=""),"✗ 没填进价","√")))))))))</f>
      </c>
    </row>
    <row r="1397">
      <c r="A1397" s="109">
        <f>IF(AND(C1397="",D1397=""),"",ROW()-3)</f>
      </c>
      <c r="B1397" s="140" t="n"/>
      <c r="C1397" s="141" t="n"/>
      <c r="D1397" s="141" t="n"/>
      <c r="E1397" s="148" t="n"/>
      <c r="F1397" s="149" t="n"/>
      <c r="G1397" s="150">
        <f>IF(AND(E1397&lt;&gt;"",F1397&lt;&gt;""),E1397*F1397,"")</f>
      </c>
      <c r="H1397" s="148" t="n"/>
      <c r="I1397" s="142" t="n"/>
      <c r="J1397" s="146">
        <f>IF(AND(B1397="",C1397="",D1397="",E1397="",F1397="",H1397=""),"",IF(NOT(ISNUMBER(B1397)),"✗ 日期不是真日期",IF(OR(B1397&lt;年初日,B1397&gt;年末日),"✗ 日期不在本年度",IF(C1397="","✗ 没选供应商",IF(COUNTIF(基础资料!$Q$5:$Q$54,C1397)=0,"✗ 供应商不在基础资料里",IF(D1397="","✗ 没选商品",IF(COUNTIF(基础资料!$E$5:$E$104,D1397)=0,"✗ 商品不在商品档案里",IF(AND(E1397="",H1397=""),"✗ 没填数量",IF(AND(N(E1397)&lt;&gt;0,F1397=""),"✗ 没填进价","√")))))))))</f>
      </c>
    </row>
    <row r="1398">
      <c r="A1398" s="109">
        <f>IF(AND(C1398="",D1398=""),"",ROW()-3)</f>
      </c>
      <c r="B1398" s="140" t="n"/>
      <c r="C1398" s="141" t="n"/>
      <c r="D1398" s="141" t="n"/>
      <c r="E1398" s="148" t="n"/>
      <c r="F1398" s="149" t="n"/>
      <c r="G1398" s="150">
        <f>IF(AND(E1398&lt;&gt;"",F1398&lt;&gt;""),E1398*F1398,"")</f>
      </c>
      <c r="H1398" s="148" t="n"/>
      <c r="I1398" s="142" t="n"/>
      <c r="J1398" s="146">
        <f>IF(AND(B1398="",C1398="",D1398="",E1398="",F1398="",H1398=""),"",IF(NOT(ISNUMBER(B1398)),"✗ 日期不是真日期",IF(OR(B1398&lt;年初日,B1398&gt;年末日),"✗ 日期不在本年度",IF(C1398="","✗ 没选供应商",IF(COUNTIF(基础资料!$Q$5:$Q$54,C1398)=0,"✗ 供应商不在基础资料里",IF(D1398="","✗ 没选商品",IF(COUNTIF(基础资料!$E$5:$E$104,D1398)=0,"✗ 商品不在商品档案里",IF(AND(E1398="",H1398=""),"✗ 没填数量",IF(AND(N(E1398)&lt;&gt;0,F1398=""),"✗ 没填进价","√")))))))))</f>
      </c>
    </row>
    <row r="1399">
      <c r="A1399" s="109">
        <f>IF(AND(C1399="",D1399=""),"",ROW()-3)</f>
      </c>
      <c r="B1399" s="140" t="n"/>
      <c r="C1399" s="141" t="n"/>
      <c r="D1399" s="141" t="n"/>
      <c r="E1399" s="148" t="n"/>
      <c r="F1399" s="149" t="n"/>
      <c r="G1399" s="150">
        <f>IF(AND(E1399&lt;&gt;"",F1399&lt;&gt;""),E1399*F1399,"")</f>
      </c>
      <c r="H1399" s="148" t="n"/>
      <c r="I1399" s="142" t="n"/>
      <c r="J1399" s="146">
        <f>IF(AND(B1399="",C1399="",D1399="",E1399="",F1399="",H1399=""),"",IF(NOT(ISNUMBER(B1399)),"✗ 日期不是真日期",IF(OR(B1399&lt;年初日,B1399&gt;年末日),"✗ 日期不在本年度",IF(C1399="","✗ 没选供应商",IF(COUNTIF(基础资料!$Q$5:$Q$54,C1399)=0,"✗ 供应商不在基础资料里",IF(D1399="","✗ 没选商品",IF(COUNTIF(基础资料!$E$5:$E$104,D1399)=0,"✗ 商品不在商品档案里",IF(AND(E1399="",H1399=""),"✗ 没填数量",IF(AND(N(E1399)&lt;&gt;0,F1399=""),"✗ 没填进价","√")))))))))</f>
      </c>
    </row>
    <row r="1400">
      <c r="A1400" s="109">
        <f>IF(AND(C1400="",D1400=""),"",ROW()-3)</f>
      </c>
      <c r="B1400" s="140" t="n"/>
      <c r="C1400" s="141" t="n"/>
      <c r="D1400" s="141" t="n"/>
      <c r="E1400" s="148" t="n"/>
      <c r="F1400" s="149" t="n"/>
      <c r="G1400" s="150">
        <f>IF(AND(E1400&lt;&gt;"",F1400&lt;&gt;""),E1400*F1400,"")</f>
      </c>
      <c r="H1400" s="148" t="n"/>
      <c r="I1400" s="142" t="n"/>
      <c r="J1400" s="146">
        <f>IF(AND(B1400="",C1400="",D1400="",E1400="",F1400="",H1400=""),"",IF(NOT(ISNUMBER(B1400)),"✗ 日期不是真日期",IF(OR(B1400&lt;年初日,B1400&gt;年末日),"✗ 日期不在本年度",IF(C1400="","✗ 没选供应商",IF(COUNTIF(基础资料!$Q$5:$Q$54,C1400)=0,"✗ 供应商不在基础资料里",IF(D1400="","✗ 没选商品",IF(COUNTIF(基础资料!$E$5:$E$104,D1400)=0,"✗ 商品不在商品档案里",IF(AND(E1400="",H1400=""),"✗ 没填数量",IF(AND(N(E1400)&lt;&gt;0,F1400=""),"✗ 没填进价","√")))))))))</f>
      </c>
    </row>
    <row r="1401">
      <c r="A1401" s="109">
        <f>IF(AND(C1401="",D1401=""),"",ROW()-3)</f>
      </c>
      <c r="B1401" s="140" t="n"/>
      <c r="C1401" s="141" t="n"/>
      <c r="D1401" s="141" t="n"/>
      <c r="E1401" s="148" t="n"/>
      <c r="F1401" s="149" t="n"/>
      <c r="G1401" s="150">
        <f>IF(AND(E1401&lt;&gt;"",F1401&lt;&gt;""),E1401*F1401,"")</f>
      </c>
      <c r="H1401" s="148" t="n"/>
      <c r="I1401" s="142" t="n"/>
      <c r="J1401" s="146">
        <f>IF(AND(B1401="",C1401="",D1401="",E1401="",F1401="",H1401=""),"",IF(NOT(ISNUMBER(B1401)),"✗ 日期不是真日期",IF(OR(B1401&lt;年初日,B1401&gt;年末日),"✗ 日期不在本年度",IF(C1401="","✗ 没选供应商",IF(COUNTIF(基础资料!$Q$5:$Q$54,C1401)=0,"✗ 供应商不在基础资料里",IF(D1401="","✗ 没选商品",IF(COUNTIF(基础资料!$E$5:$E$104,D1401)=0,"✗ 商品不在商品档案里",IF(AND(E1401="",H1401=""),"✗ 没填数量",IF(AND(N(E1401)&lt;&gt;0,F1401=""),"✗ 没填进价","√")))))))))</f>
      </c>
    </row>
    <row r="1402">
      <c r="A1402" s="109">
        <f>IF(AND(C1402="",D1402=""),"",ROW()-3)</f>
      </c>
      <c r="B1402" s="140" t="n"/>
      <c r="C1402" s="141" t="n"/>
      <c r="D1402" s="141" t="n"/>
      <c r="E1402" s="148" t="n"/>
      <c r="F1402" s="149" t="n"/>
      <c r="G1402" s="150">
        <f>IF(AND(E1402&lt;&gt;"",F1402&lt;&gt;""),E1402*F1402,"")</f>
      </c>
      <c r="H1402" s="148" t="n"/>
      <c r="I1402" s="142" t="n"/>
      <c r="J1402" s="146">
        <f>IF(AND(B1402="",C1402="",D1402="",E1402="",F1402="",H1402=""),"",IF(NOT(ISNUMBER(B1402)),"✗ 日期不是真日期",IF(OR(B1402&lt;年初日,B1402&gt;年末日),"✗ 日期不在本年度",IF(C1402="","✗ 没选供应商",IF(COUNTIF(基础资料!$Q$5:$Q$54,C1402)=0,"✗ 供应商不在基础资料里",IF(D1402="","✗ 没选商品",IF(COUNTIF(基础资料!$E$5:$E$104,D1402)=0,"✗ 商品不在商品档案里",IF(AND(E1402="",H1402=""),"✗ 没填数量",IF(AND(N(E1402)&lt;&gt;0,F1402=""),"✗ 没填进价","√")))))))))</f>
      </c>
    </row>
    <row r="1403">
      <c r="A1403" s="109">
        <f>IF(AND(C1403="",D1403=""),"",ROW()-3)</f>
      </c>
      <c r="B1403" s="140" t="n"/>
      <c r="C1403" s="141" t="n"/>
      <c r="D1403" s="141" t="n"/>
      <c r="E1403" s="148" t="n"/>
      <c r="F1403" s="149" t="n"/>
      <c r="G1403" s="150">
        <f>IF(AND(E1403&lt;&gt;"",F1403&lt;&gt;""),E1403*F1403,"")</f>
      </c>
      <c r="H1403" s="148" t="n"/>
      <c r="I1403" s="142" t="n"/>
      <c r="J1403" s="146">
        <f>IF(AND(B1403="",C1403="",D1403="",E1403="",F1403="",H1403=""),"",IF(NOT(ISNUMBER(B1403)),"✗ 日期不是真日期",IF(OR(B1403&lt;年初日,B1403&gt;年末日),"✗ 日期不在本年度",IF(C1403="","✗ 没选供应商",IF(COUNTIF(基础资料!$Q$5:$Q$54,C1403)=0,"✗ 供应商不在基础资料里",IF(D1403="","✗ 没选商品",IF(COUNTIF(基础资料!$E$5:$E$104,D1403)=0,"✗ 商品不在商品档案里",IF(AND(E1403="",H1403=""),"✗ 没填数量",IF(AND(N(E1403)&lt;&gt;0,F1403=""),"✗ 没填进价","√")))))))))</f>
      </c>
    </row>
    <row r="1404">
      <c r="A1404" s="109">
        <f>IF(AND(C1404="",D1404=""),"",ROW()-3)</f>
      </c>
      <c r="B1404" s="140" t="n"/>
      <c r="C1404" s="141" t="n"/>
      <c r="D1404" s="141" t="n"/>
      <c r="E1404" s="148" t="n"/>
      <c r="F1404" s="149" t="n"/>
      <c r="G1404" s="150">
        <f>IF(AND(E1404&lt;&gt;"",F1404&lt;&gt;""),E1404*F1404,"")</f>
      </c>
      <c r="H1404" s="148" t="n"/>
      <c r="I1404" s="142" t="n"/>
      <c r="J1404" s="146">
        <f>IF(AND(B1404="",C1404="",D1404="",E1404="",F1404="",H1404=""),"",IF(NOT(ISNUMBER(B1404)),"✗ 日期不是真日期",IF(OR(B1404&lt;年初日,B1404&gt;年末日),"✗ 日期不在本年度",IF(C1404="","✗ 没选供应商",IF(COUNTIF(基础资料!$Q$5:$Q$54,C1404)=0,"✗ 供应商不在基础资料里",IF(D1404="","✗ 没选商品",IF(COUNTIF(基础资料!$E$5:$E$104,D1404)=0,"✗ 商品不在商品档案里",IF(AND(E1404="",H1404=""),"✗ 没填数量",IF(AND(N(E1404)&lt;&gt;0,F1404=""),"✗ 没填进价","√")))))))))</f>
      </c>
    </row>
    <row r="1405">
      <c r="A1405" s="109">
        <f>IF(AND(C1405="",D1405=""),"",ROW()-3)</f>
      </c>
      <c r="B1405" s="140" t="n"/>
      <c r="C1405" s="141" t="n"/>
      <c r="D1405" s="141" t="n"/>
      <c r="E1405" s="148" t="n"/>
      <c r="F1405" s="149" t="n"/>
      <c r="G1405" s="150">
        <f>IF(AND(E1405&lt;&gt;"",F1405&lt;&gt;""),E1405*F1405,"")</f>
      </c>
      <c r="H1405" s="148" t="n"/>
      <c r="I1405" s="142" t="n"/>
      <c r="J1405" s="146">
        <f>IF(AND(B1405="",C1405="",D1405="",E1405="",F1405="",H1405=""),"",IF(NOT(ISNUMBER(B1405)),"✗ 日期不是真日期",IF(OR(B1405&lt;年初日,B1405&gt;年末日),"✗ 日期不在本年度",IF(C1405="","✗ 没选供应商",IF(COUNTIF(基础资料!$Q$5:$Q$54,C1405)=0,"✗ 供应商不在基础资料里",IF(D1405="","✗ 没选商品",IF(COUNTIF(基础资料!$E$5:$E$104,D1405)=0,"✗ 商品不在商品档案里",IF(AND(E1405="",H1405=""),"✗ 没填数量",IF(AND(N(E1405)&lt;&gt;0,F1405=""),"✗ 没填进价","√")))))))))</f>
      </c>
    </row>
    <row r="1406">
      <c r="A1406" s="109">
        <f>IF(AND(C1406="",D1406=""),"",ROW()-3)</f>
      </c>
      <c r="B1406" s="140" t="n"/>
      <c r="C1406" s="141" t="n"/>
      <c r="D1406" s="141" t="n"/>
      <c r="E1406" s="148" t="n"/>
      <c r="F1406" s="149" t="n"/>
      <c r="G1406" s="150">
        <f>IF(AND(E1406&lt;&gt;"",F1406&lt;&gt;""),E1406*F1406,"")</f>
      </c>
      <c r="H1406" s="148" t="n"/>
      <c r="I1406" s="142" t="n"/>
      <c r="J1406" s="146">
        <f>IF(AND(B1406="",C1406="",D1406="",E1406="",F1406="",H1406=""),"",IF(NOT(ISNUMBER(B1406)),"✗ 日期不是真日期",IF(OR(B1406&lt;年初日,B1406&gt;年末日),"✗ 日期不在本年度",IF(C1406="","✗ 没选供应商",IF(COUNTIF(基础资料!$Q$5:$Q$54,C1406)=0,"✗ 供应商不在基础资料里",IF(D1406="","✗ 没选商品",IF(COUNTIF(基础资料!$E$5:$E$104,D1406)=0,"✗ 商品不在商品档案里",IF(AND(E1406="",H1406=""),"✗ 没填数量",IF(AND(N(E1406)&lt;&gt;0,F1406=""),"✗ 没填进价","√")))))))))</f>
      </c>
    </row>
    <row r="1407">
      <c r="A1407" s="109">
        <f>IF(AND(C1407="",D1407=""),"",ROW()-3)</f>
      </c>
      <c r="B1407" s="140" t="n"/>
      <c r="C1407" s="141" t="n"/>
      <c r="D1407" s="141" t="n"/>
      <c r="E1407" s="148" t="n"/>
      <c r="F1407" s="149" t="n"/>
      <c r="G1407" s="150">
        <f>IF(AND(E1407&lt;&gt;"",F1407&lt;&gt;""),E1407*F1407,"")</f>
      </c>
      <c r="H1407" s="148" t="n"/>
      <c r="I1407" s="142" t="n"/>
      <c r="J1407" s="146">
        <f>IF(AND(B1407="",C1407="",D1407="",E1407="",F1407="",H1407=""),"",IF(NOT(ISNUMBER(B1407)),"✗ 日期不是真日期",IF(OR(B1407&lt;年初日,B1407&gt;年末日),"✗ 日期不在本年度",IF(C1407="","✗ 没选供应商",IF(COUNTIF(基础资料!$Q$5:$Q$54,C1407)=0,"✗ 供应商不在基础资料里",IF(D1407="","✗ 没选商品",IF(COUNTIF(基础资料!$E$5:$E$104,D1407)=0,"✗ 商品不在商品档案里",IF(AND(E1407="",H1407=""),"✗ 没填数量",IF(AND(N(E1407)&lt;&gt;0,F1407=""),"✗ 没填进价","√")))))))))</f>
      </c>
    </row>
    <row r="1408">
      <c r="A1408" s="109">
        <f>IF(AND(C1408="",D1408=""),"",ROW()-3)</f>
      </c>
      <c r="B1408" s="140" t="n"/>
      <c r="C1408" s="141" t="n"/>
      <c r="D1408" s="141" t="n"/>
      <c r="E1408" s="148" t="n"/>
      <c r="F1408" s="149" t="n"/>
      <c r="G1408" s="150">
        <f>IF(AND(E1408&lt;&gt;"",F1408&lt;&gt;""),E1408*F1408,"")</f>
      </c>
      <c r="H1408" s="148" t="n"/>
      <c r="I1408" s="142" t="n"/>
      <c r="J1408" s="146">
        <f>IF(AND(B1408="",C1408="",D1408="",E1408="",F1408="",H1408=""),"",IF(NOT(ISNUMBER(B1408)),"✗ 日期不是真日期",IF(OR(B1408&lt;年初日,B1408&gt;年末日),"✗ 日期不在本年度",IF(C1408="","✗ 没选供应商",IF(COUNTIF(基础资料!$Q$5:$Q$54,C1408)=0,"✗ 供应商不在基础资料里",IF(D1408="","✗ 没选商品",IF(COUNTIF(基础资料!$E$5:$E$104,D1408)=0,"✗ 商品不在商品档案里",IF(AND(E1408="",H1408=""),"✗ 没填数量",IF(AND(N(E1408)&lt;&gt;0,F1408=""),"✗ 没填进价","√")))))))))</f>
      </c>
    </row>
    <row r="1409">
      <c r="A1409" s="109">
        <f>IF(AND(C1409="",D1409=""),"",ROW()-3)</f>
      </c>
      <c r="B1409" s="140" t="n"/>
      <c r="C1409" s="141" t="n"/>
      <c r="D1409" s="141" t="n"/>
      <c r="E1409" s="148" t="n"/>
      <c r="F1409" s="149" t="n"/>
      <c r="G1409" s="150">
        <f>IF(AND(E1409&lt;&gt;"",F1409&lt;&gt;""),E1409*F1409,"")</f>
      </c>
      <c r="H1409" s="148" t="n"/>
      <c r="I1409" s="142" t="n"/>
      <c r="J1409" s="146">
        <f>IF(AND(B1409="",C1409="",D1409="",E1409="",F1409="",H1409=""),"",IF(NOT(ISNUMBER(B1409)),"✗ 日期不是真日期",IF(OR(B1409&lt;年初日,B1409&gt;年末日),"✗ 日期不在本年度",IF(C1409="","✗ 没选供应商",IF(COUNTIF(基础资料!$Q$5:$Q$54,C1409)=0,"✗ 供应商不在基础资料里",IF(D1409="","✗ 没选商品",IF(COUNTIF(基础资料!$E$5:$E$104,D1409)=0,"✗ 商品不在商品档案里",IF(AND(E1409="",H1409=""),"✗ 没填数量",IF(AND(N(E1409)&lt;&gt;0,F1409=""),"✗ 没填进价","√")))))))))</f>
      </c>
    </row>
    <row r="1410">
      <c r="A1410" s="109">
        <f>IF(AND(C1410="",D1410=""),"",ROW()-3)</f>
      </c>
      <c r="B1410" s="140" t="n"/>
      <c r="C1410" s="141" t="n"/>
      <c r="D1410" s="141" t="n"/>
      <c r="E1410" s="148" t="n"/>
      <c r="F1410" s="149" t="n"/>
      <c r="G1410" s="150">
        <f>IF(AND(E1410&lt;&gt;"",F1410&lt;&gt;""),E1410*F1410,"")</f>
      </c>
      <c r="H1410" s="148" t="n"/>
      <c r="I1410" s="142" t="n"/>
      <c r="J1410" s="146">
        <f>IF(AND(B1410="",C1410="",D1410="",E1410="",F1410="",H1410=""),"",IF(NOT(ISNUMBER(B1410)),"✗ 日期不是真日期",IF(OR(B1410&lt;年初日,B1410&gt;年末日),"✗ 日期不在本年度",IF(C1410="","✗ 没选供应商",IF(COUNTIF(基础资料!$Q$5:$Q$54,C1410)=0,"✗ 供应商不在基础资料里",IF(D1410="","✗ 没选商品",IF(COUNTIF(基础资料!$E$5:$E$104,D1410)=0,"✗ 商品不在商品档案里",IF(AND(E1410="",H1410=""),"✗ 没填数量",IF(AND(N(E1410)&lt;&gt;0,F1410=""),"✗ 没填进价","√")))))))))</f>
      </c>
    </row>
    <row r="1411">
      <c r="A1411" s="109">
        <f>IF(AND(C1411="",D1411=""),"",ROW()-3)</f>
      </c>
      <c r="B1411" s="140" t="n"/>
      <c r="C1411" s="141" t="n"/>
      <c r="D1411" s="141" t="n"/>
      <c r="E1411" s="148" t="n"/>
      <c r="F1411" s="149" t="n"/>
      <c r="G1411" s="150">
        <f>IF(AND(E1411&lt;&gt;"",F1411&lt;&gt;""),E1411*F1411,"")</f>
      </c>
      <c r="H1411" s="148" t="n"/>
      <c r="I1411" s="142" t="n"/>
      <c r="J1411" s="146">
        <f>IF(AND(B1411="",C1411="",D1411="",E1411="",F1411="",H1411=""),"",IF(NOT(ISNUMBER(B1411)),"✗ 日期不是真日期",IF(OR(B1411&lt;年初日,B1411&gt;年末日),"✗ 日期不在本年度",IF(C1411="","✗ 没选供应商",IF(COUNTIF(基础资料!$Q$5:$Q$54,C1411)=0,"✗ 供应商不在基础资料里",IF(D1411="","✗ 没选商品",IF(COUNTIF(基础资料!$E$5:$E$104,D1411)=0,"✗ 商品不在商品档案里",IF(AND(E1411="",H1411=""),"✗ 没填数量",IF(AND(N(E1411)&lt;&gt;0,F1411=""),"✗ 没填进价","√")))))))))</f>
      </c>
    </row>
    <row r="1412">
      <c r="A1412" s="109">
        <f>IF(AND(C1412="",D1412=""),"",ROW()-3)</f>
      </c>
      <c r="B1412" s="140" t="n"/>
      <c r="C1412" s="141" t="n"/>
      <c r="D1412" s="141" t="n"/>
      <c r="E1412" s="148" t="n"/>
      <c r="F1412" s="149" t="n"/>
      <c r="G1412" s="150">
        <f>IF(AND(E1412&lt;&gt;"",F1412&lt;&gt;""),E1412*F1412,"")</f>
      </c>
      <c r="H1412" s="148" t="n"/>
      <c r="I1412" s="142" t="n"/>
      <c r="J1412" s="146">
        <f>IF(AND(B1412="",C1412="",D1412="",E1412="",F1412="",H1412=""),"",IF(NOT(ISNUMBER(B1412)),"✗ 日期不是真日期",IF(OR(B1412&lt;年初日,B1412&gt;年末日),"✗ 日期不在本年度",IF(C1412="","✗ 没选供应商",IF(COUNTIF(基础资料!$Q$5:$Q$54,C1412)=0,"✗ 供应商不在基础资料里",IF(D1412="","✗ 没选商品",IF(COUNTIF(基础资料!$E$5:$E$104,D1412)=0,"✗ 商品不在商品档案里",IF(AND(E1412="",H1412=""),"✗ 没填数量",IF(AND(N(E1412)&lt;&gt;0,F1412=""),"✗ 没填进价","√")))))))))</f>
      </c>
    </row>
    <row r="1413">
      <c r="A1413" s="109">
        <f>IF(AND(C1413="",D1413=""),"",ROW()-3)</f>
      </c>
      <c r="B1413" s="140" t="n"/>
      <c r="C1413" s="141" t="n"/>
      <c r="D1413" s="141" t="n"/>
      <c r="E1413" s="148" t="n"/>
      <c r="F1413" s="149" t="n"/>
      <c r="G1413" s="150">
        <f>IF(AND(E1413&lt;&gt;"",F1413&lt;&gt;""),E1413*F1413,"")</f>
      </c>
      <c r="H1413" s="148" t="n"/>
      <c r="I1413" s="142" t="n"/>
      <c r="J1413" s="146">
        <f>IF(AND(B1413="",C1413="",D1413="",E1413="",F1413="",H1413=""),"",IF(NOT(ISNUMBER(B1413)),"✗ 日期不是真日期",IF(OR(B1413&lt;年初日,B1413&gt;年末日),"✗ 日期不在本年度",IF(C1413="","✗ 没选供应商",IF(COUNTIF(基础资料!$Q$5:$Q$54,C1413)=0,"✗ 供应商不在基础资料里",IF(D1413="","✗ 没选商品",IF(COUNTIF(基础资料!$E$5:$E$104,D1413)=0,"✗ 商品不在商品档案里",IF(AND(E1413="",H1413=""),"✗ 没填数量",IF(AND(N(E1413)&lt;&gt;0,F1413=""),"✗ 没填进价","√")))))))))</f>
      </c>
    </row>
    <row r="1414">
      <c r="A1414" s="109">
        <f>IF(AND(C1414="",D1414=""),"",ROW()-3)</f>
      </c>
      <c r="B1414" s="140" t="n"/>
      <c r="C1414" s="141" t="n"/>
      <c r="D1414" s="141" t="n"/>
      <c r="E1414" s="148" t="n"/>
      <c r="F1414" s="149" t="n"/>
      <c r="G1414" s="150">
        <f>IF(AND(E1414&lt;&gt;"",F1414&lt;&gt;""),E1414*F1414,"")</f>
      </c>
      <c r="H1414" s="148" t="n"/>
      <c r="I1414" s="142" t="n"/>
      <c r="J1414" s="146">
        <f>IF(AND(B1414="",C1414="",D1414="",E1414="",F1414="",H1414=""),"",IF(NOT(ISNUMBER(B1414)),"✗ 日期不是真日期",IF(OR(B1414&lt;年初日,B1414&gt;年末日),"✗ 日期不在本年度",IF(C1414="","✗ 没选供应商",IF(COUNTIF(基础资料!$Q$5:$Q$54,C1414)=0,"✗ 供应商不在基础资料里",IF(D1414="","✗ 没选商品",IF(COUNTIF(基础资料!$E$5:$E$104,D1414)=0,"✗ 商品不在商品档案里",IF(AND(E1414="",H1414=""),"✗ 没填数量",IF(AND(N(E1414)&lt;&gt;0,F1414=""),"✗ 没填进价","√")))))))))</f>
      </c>
    </row>
    <row r="1415">
      <c r="A1415" s="109">
        <f>IF(AND(C1415="",D1415=""),"",ROW()-3)</f>
      </c>
      <c r="B1415" s="140" t="n"/>
      <c r="C1415" s="141" t="n"/>
      <c r="D1415" s="141" t="n"/>
      <c r="E1415" s="148" t="n"/>
      <c r="F1415" s="149" t="n"/>
      <c r="G1415" s="150">
        <f>IF(AND(E1415&lt;&gt;"",F1415&lt;&gt;""),E1415*F1415,"")</f>
      </c>
      <c r="H1415" s="148" t="n"/>
      <c r="I1415" s="142" t="n"/>
      <c r="J1415" s="146">
        <f>IF(AND(B1415="",C1415="",D1415="",E1415="",F1415="",H1415=""),"",IF(NOT(ISNUMBER(B1415)),"✗ 日期不是真日期",IF(OR(B1415&lt;年初日,B1415&gt;年末日),"✗ 日期不在本年度",IF(C1415="","✗ 没选供应商",IF(COUNTIF(基础资料!$Q$5:$Q$54,C1415)=0,"✗ 供应商不在基础资料里",IF(D1415="","✗ 没选商品",IF(COUNTIF(基础资料!$E$5:$E$104,D1415)=0,"✗ 商品不在商品档案里",IF(AND(E1415="",H1415=""),"✗ 没填数量",IF(AND(N(E1415)&lt;&gt;0,F1415=""),"✗ 没填进价","√")))))))))</f>
      </c>
    </row>
    <row r="1416">
      <c r="A1416" s="109">
        <f>IF(AND(C1416="",D1416=""),"",ROW()-3)</f>
      </c>
      <c r="B1416" s="140" t="n"/>
      <c r="C1416" s="141" t="n"/>
      <c r="D1416" s="141" t="n"/>
      <c r="E1416" s="148" t="n"/>
      <c r="F1416" s="149" t="n"/>
      <c r="G1416" s="150">
        <f>IF(AND(E1416&lt;&gt;"",F1416&lt;&gt;""),E1416*F1416,"")</f>
      </c>
      <c r="H1416" s="148" t="n"/>
      <c r="I1416" s="142" t="n"/>
      <c r="J1416" s="146">
        <f>IF(AND(B1416="",C1416="",D1416="",E1416="",F1416="",H1416=""),"",IF(NOT(ISNUMBER(B1416)),"✗ 日期不是真日期",IF(OR(B1416&lt;年初日,B1416&gt;年末日),"✗ 日期不在本年度",IF(C1416="","✗ 没选供应商",IF(COUNTIF(基础资料!$Q$5:$Q$54,C1416)=0,"✗ 供应商不在基础资料里",IF(D1416="","✗ 没选商品",IF(COUNTIF(基础资料!$E$5:$E$104,D1416)=0,"✗ 商品不在商品档案里",IF(AND(E1416="",H1416=""),"✗ 没填数量",IF(AND(N(E1416)&lt;&gt;0,F1416=""),"✗ 没填进价","√")))))))))</f>
      </c>
    </row>
    <row r="1417">
      <c r="A1417" s="109">
        <f>IF(AND(C1417="",D1417=""),"",ROW()-3)</f>
      </c>
      <c r="B1417" s="140" t="n"/>
      <c r="C1417" s="141" t="n"/>
      <c r="D1417" s="141" t="n"/>
      <c r="E1417" s="148" t="n"/>
      <c r="F1417" s="149" t="n"/>
      <c r="G1417" s="150">
        <f>IF(AND(E1417&lt;&gt;"",F1417&lt;&gt;""),E1417*F1417,"")</f>
      </c>
      <c r="H1417" s="148" t="n"/>
      <c r="I1417" s="142" t="n"/>
      <c r="J1417" s="146">
        <f>IF(AND(B1417="",C1417="",D1417="",E1417="",F1417="",H1417=""),"",IF(NOT(ISNUMBER(B1417)),"✗ 日期不是真日期",IF(OR(B1417&lt;年初日,B1417&gt;年末日),"✗ 日期不在本年度",IF(C1417="","✗ 没选供应商",IF(COUNTIF(基础资料!$Q$5:$Q$54,C1417)=0,"✗ 供应商不在基础资料里",IF(D1417="","✗ 没选商品",IF(COUNTIF(基础资料!$E$5:$E$104,D1417)=0,"✗ 商品不在商品档案里",IF(AND(E1417="",H1417=""),"✗ 没填数量",IF(AND(N(E1417)&lt;&gt;0,F1417=""),"✗ 没填进价","√")))))))))</f>
      </c>
    </row>
    <row r="1418">
      <c r="A1418" s="109">
        <f>IF(AND(C1418="",D1418=""),"",ROW()-3)</f>
      </c>
      <c r="B1418" s="140" t="n"/>
      <c r="C1418" s="141" t="n"/>
      <c r="D1418" s="141" t="n"/>
      <c r="E1418" s="148" t="n"/>
      <c r="F1418" s="149" t="n"/>
      <c r="G1418" s="150">
        <f>IF(AND(E1418&lt;&gt;"",F1418&lt;&gt;""),E1418*F1418,"")</f>
      </c>
      <c r="H1418" s="148" t="n"/>
      <c r="I1418" s="142" t="n"/>
      <c r="J1418" s="146">
        <f>IF(AND(B1418="",C1418="",D1418="",E1418="",F1418="",H1418=""),"",IF(NOT(ISNUMBER(B1418)),"✗ 日期不是真日期",IF(OR(B1418&lt;年初日,B1418&gt;年末日),"✗ 日期不在本年度",IF(C1418="","✗ 没选供应商",IF(COUNTIF(基础资料!$Q$5:$Q$54,C1418)=0,"✗ 供应商不在基础资料里",IF(D1418="","✗ 没选商品",IF(COUNTIF(基础资料!$E$5:$E$104,D1418)=0,"✗ 商品不在商品档案里",IF(AND(E1418="",H1418=""),"✗ 没填数量",IF(AND(N(E1418)&lt;&gt;0,F1418=""),"✗ 没填进价","√")))))))))</f>
      </c>
    </row>
    <row r="1419">
      <c r="A1419" s="109">
        <f>IF(AND(C1419="",D1419=""),"",ROW()-3)</f>
      </c>
      <c r="B1419" s="140" t="n"/>
      <c r="C1419" s="141" t="n"/>
      <c r="D1419" s="141" t="n"/>
      <c r="E1419" s="148" t="n"/>
      <c r="F1419" s="149" t="n"/>
      <c r="G1419" s="150">
        <f>IF(AND(E1419&lt;&gt;"",F1419&lt;&gt;""),E1419*F1419,"")</f>
      </c>
      <c r="H1419" s="148" t="n"/>
      <c r="I1419" s="142" t="n"/>
      <c r="J1419" s="146">
        <f>IF(AND(B1419="",C1419="",D1419="",E1419="",F1419="",H1419=""),"",IF(NOT(ISNUMBER(B1419)),"✗ 日期不是真日期",IF(OR(B1419&lt;年初日,B1419&gt;年末日),"✗ 日期不在本年度",IF(C1419="","✗ 没选供应商",IF(COUNTIF(基础资料!$Q$5:$Q$54,C1419)=0,"✗ 供应商不在基础资料里",IF(D1419="","✗ 没选商品",IF(COUNTIF(基础资料!$E$5:$E$104,D1419)=0,"✗ 商品不在商品档案里",IF(AND(E1419="",H1419=""),"✗ 没填数量",IF(AND(N(E1419)&lt;&gt;0,F1419=""),"✗ 没填进价","√")))))))))</f>
      </c>
    </row>
    <row r="1420">
      <c r="A1420" s="109">
        <f>IF(AND(C1420="",D1420=""),"",ROW()-3)</f>
      </c>
      <c r="B1420" s="140" t="n"/>
      <c r="C1420" s="141" t="n"/>
      <c r="D1420" s="141" t="n"/>
      <c r="E1420" s="148" t="n"/>
      <c r="F1420" s="149" t="n"/>
      <c r="G1420" s="150">
        <f>IF(AND(E1420&lt;&gt;"",F1420&lt;&gt;""),E1420*F1420,"")</f>
      </c>
      <c r="H1420" s="148" t="n"/>
      <c r="I1420" s="142" t="n"/>
      <c r="J1420" s="146">
        <f>IF(AND(B1420="",C1420="",D1420="",E1420="",F1420="",H1420=""),"",IF(NOT(ISNUMBER(B1420)),"✗ 日期不是真日期",IF(OR(B1420&lt;年初日,B1420&gt;年末日),"✗ 日期不在本年度",IF(C1420="","✗ 没选供应商",IF(COUNTIF(基础资料!$Q$5:$Q$54,C1420)=0,"✗ 供应商不在基础资料里",IF(D1420="","✗ 没选商品",IF(COUNTIF(基础资料!$E$5:$E$104,D1420)=0,"✗ 商品不在商品档案里",IF(AND(E1420="",H1420=""),"✗ 没填数量",IF(AND(N(E1420)&lt;&gt;0,F1420=""),"✗ 没填进价","√")))))))))</f>
      </c>
    </row>
    <row r="1421">
      <c r="A1421" s="109">
        <f>IF(AND(C1421="",D1421=""),"",ROW()-3)</f>
      </c>
      <c r="B1421" s="140" t="n"/>
      <c r="C1421" s="141" t="n"/>
      <c r="D1421" s="141" t="n"/>
      <c r="E1421" s="148" t="n"/>
      <c r="F1421" s="149" t="n"/>
      <c r="G1421" s="150">
        <f>IF(AND(E1421&lt;&gt;"",F1421&lt;&gt;""),E1421*F1421,"")</f>
      </c>
      <c r="H1421" s="148" t="n"/>
      <c r="I1421" s="142" t="n"/>
      <c r="J1421" s="146">
        <f>IF(AND(B1421="",C1421="",D1421="",E1421="",F1421="",H1421=""),"",IF(NOT(ISNUMBER(B1421)),"✗ 日期不是真日期",IF(OR(B1421&lt;年初日,B1421&gt;年末日),"✗ 日期不在本年度",IF(C1421="","✗ 没选供应商",IF(COUNTIF(基础资料!$Q$5:$Q$54,C1421)=0,"✗ 供应商不在基础资料里",IF(D1421="","✗ 没选商品",IF(COUNTIF(基础资料!$E$5:$E$104,D1421)=0,"✗ 商品不在商品档案里",IF(AND(E1421="",H1421=""),"✗ 没填数量",IF(AND(N(E1421)&lt;&gt;0,F1421=""),"✗ 没填进价","√")))))))))</f>
      </c>
    </row>
    <row r="1422">
      <c r="A1422" s="109">
        <f>IF(AND(C1422="",D1422=""),"",ROW()-3)</f>
      </c>
      <c r="B1422" s="140" t="n"/>
      <c r="C1422" s="141" t="n"/>
      <c r="D1422" s="141" t="n"/>
      <c r="E1422" s="148" t="n"/>
      <c r="F1422" s="149" t="n"/>
      <c r="G1422" s="150">
        <f>IF(AND(E1422&lt;&gt;"",F1422&lt;&gt;""),E1422*F1422,"")</f>
      </c>
      <c r="H1422" s="148" t="n"/>
      <c r="I1422" s="142" t="n"/>
      <c r="J1422" s="146">
        <f>IF(AND(B1422="",C1422="",D1422="",E1422="",F1422="",H1422=""),"",IF(NOT(ISNUMBER(B1422)),"✗ 日期不是真日期",IF(OR(B1422&lt;年初日,B1422&gt;年末日),"✗ 日期不在本年度",IF(C1422="","✗ 没选供应商",IF(COUNTIF(基础资料!$Q$5:$Q$54,C1422)=0,"✗ 供应商不在基础资料里",IF(D1422="","✗ 没选商品",IF(COUNTIF(基础资料!$E$5:$E$104,D1422)=0,"✗ 商品不在商品档案里",IF(AND(E1422="",H1422=""),"✗ 没填数量",IF(AND(N(E1422)&lt;&gt;0,F1422=""),"✗ 没填进价","√")))))))))</f>
      </c>
    </row>
    <row r="1423">
      <c r="A1423" s="109">
        <f>IF(AND(C1423="",D1423=""),"",ROW()-3)</f>
      </c>
      <c r="B1423" s="140" t="n"/>
      <c r="C1423" s="141" t="n"/>
      <c r="D1423" s="141" t="n"/>
      <c r="E1423" s="148" t="n"/>
      <c r="F1423" s="149" t="n"/>
      <c r="G1423" s="150">
        <f>IF(AND(E1423&lt;&gt;"",F1423&lt;&gt;""),E1423*F1423,"")</f>
      </c>
      <c r="H1423" s="148" t="n"/>
      <c r="I1423" s="142" t="n"/>
      <c r="J1423" s="146">
        <f>IF(AND(B1423="",C1423="",D1423="",E1423="",F1423="",H1423=""),"",IF(NOT(ISNUMBER(B1423)),"✗ 日期不是真日期",IF(OR(B1423&lt;年初日,B1423&gt;年末日),"✗ 日期不在本年度",IF(C1423="","✗ 没选供应商",IF(COUNTIF(基础资料!$Q$5:$Q$54,C1423)=0,"✗ 供应商不在基础资料里",IF(D1423="","✗ 没选商品",IF(COUNTIF(基础资料!$E$5:$E$104,D1423)=0,"✗ 商品不在商品档案里",IF(AND(E1423="",H1423=""),"✗ 没填数量",IF(AND(N(E1423)&lt;&gt;0,F1423=""),"✗ 没填进价","√")))))))))</f>
      </c>
    </row>
    <row r="1424">
      <c r="A1424" s="109">
        <f>IF(AND(C1424="",D1424=""),"",ROW()-3)</f>
      </c>
      <c r="B1424" s="140" t="n"/>
      <c r="C1424" s="141" t="n"/>
      <c r="D1424" s="141" t="n"/>
      <c r="E1424" s="148" t="n"/>
      <c r="F1424" s="149" t="n"/>
      <c r="G1424" s="150">
        <f>IF(AND(E1424&lt;&gt;"",F1424&lt;&gt;""),E1424*F1424,"")</f>
      </c>
      <c r="H1424" s="148" t="n"/>
      <c r="I1424" s="142" t="n"/>
      <c r="J1424" s="146">
        <f>IF(AND(B1424="",C1424="",D1424="",E1424="",F1424="",H1424=""),"",IF(NOT(ISNUMBER(B1424)),"✗ 日期不是真日期",IF(OR(B1424&lt;年初日,B1424&gt;年末日),"✗ 日期不在本年度",IF(C1424="","✗ 没选供应商",IF(COUNTIF(基础资料!$Q$5:$Q$54,C1424)=0,"✗ 供应商不在基础资料里",IF(D1424="","✗ 没选商品",IF(COUNTIF(基础资料!$E$5:$E$104,D1424)=0,"✗ 商品不在商品档案里",IF(AND(E1424="",H1424=""),"✗ 没填数量",IF(AND(N(E1424)&lt;&gt;0,F1424=""),"✗ 没填进价","√")))))))))</f>
      </c>
    </row>
    <row r="1425">
      <c r="A1425" s="109">
        <f>IF(AND(C1425="",D1425=""),"",ROW()-3)</f>
      </c>
      <c r="B1425" s="140" t="n"/>
      <c r="C1425" s="141" t="n"/>
      <c r="D1425" s="141" t="n"/>
      <c r="E1425" s="148" t="n"/>
      <c r="F1425" s="149" t="n"/>
      <c r="G1425" s="150">
        <f>IF(AND(E1425&lt;&gt;"",F1425&lt;&gt;""),E1425*F1425,"")</f>
      </c>
      <c r="H1425" s="148" t="n"/>
      <c r="I1425" s="142" t="n"/>
      <c r="J1425" s="146">
        <f>IF(AND(B1425="",C1425="",D1425="",E1425="",F1425="",H1425=""),"",IF(NOT(ISNUMBER(B1425)),"✗ 日期不是真日期",IF(OR(B1425&lt;年初日,B1425&gt;年末日),"✗ 日期不在本年度",IF(C1425="","✗ 没选供应商",IF(COUNTIF(基础资料!$Q$5:$Q$54,C1425)=0,"✗ 供应商不在基础资料里",IF(D1425="","✗ 没选商品",IF(COUNTIF(基础资料!$E$5:$E$104,D1425)=0,"✗ 商品不在商品档案里",IF(AND(E1425="",H1425=""),"✗ 没填数量",IF(AND(N(E1425)&lt;&gt;0,F1425=""),"✗ 没填进价","√")))))))))</f>
      </c>
    </row>
    <row r="1426">
      <c r="A1426" s="109">
        <f>IF(AND(C1426="",D1426=""),"",ROW()-3)</f>
      </c>
      <c r="B1426" s="140" t="n"/>
      <c r="C1426" s="141" t="n"/>
      <c r="D1426" s="141" t="n"/>
      <c r="E1426" s="148" t="n"/>
      <c r="F1426" s="149" t="n"/>
      <c r="G1426" s="150">
        <f>IF(AND(E1426&lt;&gt;"",F1426&lt;&gt;""),E1426*F1426,"")</f>
      </c>
      <c r="H1426" s="148" t="n"/>
      <c r="I1426" s="142" t="n"/>
      <c r="J1426" s="146">
        <f>IF(AND(B1426="",C1426="",D1426="",E1426="",F1426="",H1426=""),"",IF(NOT(ISNUMBER(B1426)),"✗ 日期不是真日期",IF(OR(B1426&lt;年初日,B1426&gt;年末日),"✗ 日期不在本年度",IF(C1426="","✗ 没选供应商",IF(COUNTIF(基础资料!$Q$5:$Q$54,C1426)=0,"✗ 供应商不在基础资料里",IF(D1426="","✗ 没选商品",IF(COUNTIF(基础资料!$E$5:$E$104,D1426)=0,"✗ 商品不在商品档案里",IF(AND(E1426="",H1426=""),"✗ 没填数量",IF(AND(N(E1426)&lt;&gt;0,F1426=""),"✗ 没填进价","√")))))))))</f>
      </c>
    </row>
    <row r="1427">
      <c r="A1427" s="109">
        <f>IF(AND(C1427="",D1427=""),"",ROW()-3)</f>
      </c>
      <c r="B1427" s="140" t="n"/>
      <c r="C1427" s="141" t="n"/>
      <c r="D1427" s="141" t="n"/>
      <c r="E1427" s="148" t="n"/>
      <c r="F1427" s="149" t="n"/>
      <c r="G1427" s="150">
        <f>IF(AND(E1427&lt;&gt;"",F1427&lt;&gt;""),E1427*F1427,"")</f>
      </c>
      <c r="H1427" s="148" t="n"/>
      <c r="I1427" s="142" t="n"/>
      <c r="J1427" s="146">
        <f>IF(AND(B1427="",C1427="",D1427="",E1427="",F1427="",H1427=""),"",IF(NOT(ISNUMBER(B1427)),"✗ 日期不是真日期",IF(OR(B1427&lt;年初日,B1427&gt;年末日),"✗ 日期不在本年度",IF(C1427="","✗ 没选供应商",IF(COUNTIF(基础资料!$Q$5:$Q$54,C1427)=0,"✗ 供应商不在基础资料里",IF(D1427="","✗ 没选商品",IF(COUNTIF(基础资料!$E$5:$E$104,D1427)=0,"✗ 商品不在商品档案里",IF(AND(E1427="",H1427=""),"✗ 没填数量",IF(AND(N(E1427)&lt;&gt;0,F1427=""),"✗ 没填进价","√")))))))))</f>
      </c>
    </row>
    <row r="1428">
      <c r="A1428" s="109">
        <f>IF(AND(C1428="",D1428=""),"",ROW()-3)</f>
      </c>
      <c r="B1428" s="140" t="n"/>
      <c r="C1428" s="141" t="n"/>
      <c r="D1428" s="141" t="n"/>
      <c r="E1428" s="148" t="n"/>
      <c r="F1428" s="149" t="n"/>
      <c r="G1428" s="150">
        <f>IF(AND(E1428&lt;&gt;"",F1428&lt;&gt;""),E1428*F1428,"")</f>
      </c>
      <c r="H1428" s="148" t="n"/>
      <c r="I1428" s="142" t="n"/>
      <c r="J1428" s="146">
        <f>IF(AND(B1428="",C1428="",D1428="",E1428="",F1428="",H1428=""),"",IF(NOT(ISNUMBER(B1428)),"✗ 日期不是真日期",IF(OR(B1428&lt;年初日,B1428&gt;年末日),"✗ 日期不在本年度",IF(C1428="","✗ 没选供应商",IF(COUNTIF(基础资料!$Q$5:$Q$54,C1428)=0,"✗ 供应商不在基础资料里",IF(D1428="","✗ 没选商品",IF(COUNTIF(基础资料!$E$5:$E$104,D1428)=0,"✗ 商品不在商品档案里",IF(AND(E1428="",H1428=""),"✗ 没填数量",IF(AND(N(E1428)&lt;&gt;0,F1428=""),"✗ 没填进价","√")))))))))</f>
      </c>
    </row>
    <row r="1429">
      <c r="A1429" s="109">
        <f>IF(AND(C1429="",D1429=""),"",ROW()-3)</f>
      </c>
      <c r="B1429" s="140" t="n"/>
      <c r="C1429" s="141" t="n"/>
      <c r="D1429" s="141" t="n"/>
      <c r="E1429" s="148" t="n"/>
      <c r="F1429" s="149" t="n"/>
      <c r="G1429" s="150">
        <f>IF(AND(E1429&lt;&gt;"",F1429&lt;&gt;""),E1429*F1429,"")</f>
      </c>
      <c r="H1429" s="148" t="n"/>
      <c r="I1429" s="142" t="n"/>
      <c r="J1429" s="146">
        <f>IF(AND(B1429="",C1429="",D1429="",E1429="",F1429="",H1429=""),"",IF(NOT(ISNUMBER(B1429)),"✗ 日期不是真日期",IF(OR(B1429&lt;年初日,B1429&gt;年末日),"✗ 日期不在本年度",IF(C1429="","✗ 没选供应商",IF(COUNTIF(基础资料!$Q$5:$Q$54,C1429)=0,"✗ 供应商不在基础资料里",IF(D1429="","✗ 没选商品",IF(COUNTIF(基础资料!$E$5:$E$104,D1429)=0,"✗ 商品不在商品档案里",IF(AND(E1429="",H1429=""),"✗ 没填数量",IF(AND(N(E1429)&lt;&gt;0,F1429=""),"✗ 没填进价","√")))))))))</f>
      </c>
    </row>
    <row r="1430">
      <c r="A1430" s="109">
        <f>IF(AND(C1430="",D1430=""),"",ROW()-3)</f>
      </c>
      <c r="B1430" s="140" t="n"/>
      <c r="C1430" s="141" t="n"/>
      <c r="D1430" s="141" t="n"/>
      <c r="E1430" s="148" t="n"/>
      <c r="F1430" s="149" t="n"/>
      <c r="G1430" s="150">
        <f>IF(AND(E1430&lt;&gt;"",F1430&lt;&gt;""),E1430*F1430,"")</f>
      </c>
      <c r="H1430" s="148" t="n"/>
      <c r="I1430" s="142" t="n"/>
      <c r="J1430" s="146">
        <f>IF(AND(B1430="",C1430="",D1430="",E1430="",F1430="",H1430=""),"",IF(NOT(ISNUMBER(B1430)),"✗ 日期不是真日期",IF(OR(B1430&lt;年初日,B1430&gt;年末日),"✗ 日期不在本年度",IF(C1430="","✗ 没选供应商",IF(COUNTIF(基础资料!$Q$5:$Q$54,C1430)=0,"✗ 供应商不在基础资料里",IF(D1430="","✗ 没选商品",IF(COUNTIF(基础资料!$E$5:$E$104,D1430)=0,"✗ 商品不在商品档案里",IF(AND(E1430="",H1430=""),"✗ 没填数量",IF(AND(N(E1430)&lt;&gt;0,F1430=""),"✗ 没填进价","√")))))))))</f>
      </c>
    </row>
    <row r="1431">
      <c r="A1431" s="109">
        <f>IF(AND(C1431="",D1431=""),"",ROW()-3)</f>
      </c>
      <c r="B1431" s="140" t="n"/>
      <c r="C1431" s="141" t="n"/>
      <c r="D1431" s="141" t="n"/>
      <c r="E1431" s="148" t="n"/>
      <c r="F1431" s="149" t="n"/>
      <c r="G1431" s="150">
        <f>IF(AND(E1431&lt;&gt;"",F1431&lt;&gt;""),E1431*F1431,"")</f>
      </c>
      <c r="H1431" s="148" t="n"/>
      <c r="I1431" s="142" t="n"/>
      <c r="J1431" s="146">
        <f>IF(AND(B1431="",C1431="",D1431="",E1431="",F1431="",H1431=""),"",IF(NOT(ISNUMBER(B1431)),"✗ 日期不是真日期",IF(OR(B1431&lt;年初日,B1431&gt;年末日),"✗ 日期不在本年度",IF(C1431="","✗ 没选供应商",IF(COUNTIF(基础资料!$Q$5:$Q$54,C1431)=0,"✗ 供应商不在基础资料里",IF(D1431="","✗ 没选商品",IF(COUNTIF(基础资料!$E$5:$E$104,D1431)=0,"✗ 商品不在商品档案里",IF(AND(E1431="",H1431=""),"✗ 没填数量",IF(AND(N(E1431)&lt;&gt;0,F1431=""),"✗ 没填进价","√")))))))))</f>
      </c>
    </row>
    <row r="1432">
      <c r="A1432" s="109">
        <f>IF(AND(C1432="",D1432=""),"",ROW()-3)</f>
      </c>
      <c r="B1432" s="140" t="n"/>
      <c r="C1432" s="141" t="n"/>
      <c r="D1432" s="141" t="n"/>
      <c r="E1432" s="148" t="n"/>
      <c r="F1432" s="149" t="n"/>
      <c r="G1432" s="150">
        <f>IF(AND(E1432&lt;&gt;"",F1432&lt;&gt;""),E1432*F1432,"")</f>
      </c>
      <c r="H1432" s="148" t="n"/>
      <c r="I1432" s="142" t="n"/>
      <c r="J1432" s="146">
        <f>IF(AND(B1432="",C1432="",D1432="",E1432="",F1432="",H1432=""),"",IF(NOT(ISNUMBER(B1432)),"✗ 日期不是真日期",IF(OR(B1432&lt;年初日,B1432&gt;年末日),"✗ 日期不在本年度",IF(C1432="","✗ 没选供应商",IF(COUNTIF(基础资料!$Q$5:$Q$54,C1432)=0,"✗ 供应商不在基础资料里",IF(D1432="","✗ 没选商品",IF(COUNTIF(基础资料!$E$5:$E$104,D1432)=0,"✗ 商品不在商品档案里",IF(AND(E1432="",H1432=""),"✗ 没填数量",IF(AND(N(E1432)&lt;&gt;0,F1432=""),"✗ 没填进价","√")))))))))</f>
      </c>
    </row>
    <row r="1433">
      <c r="A1433" s="109">
        <f>IF(AND(C1433="",D1433=""),"",ROW()-3)</f>
      </c>
      <c r="B1433" s="140" t="n"/>
      <c r="C1433" s="141" t="n"/>
      <c r="D1433" s="141" t="n"/>
      <c r="E1433" s="148" t="n"/>
      <c r="F1433" s="149" t="n"/>
      <c r="G1433" s="150">
        <f>IF(AND(E1433&lt;&gt;"",F1433&lt;&gt;""),E1433*F1433,"")</f>
      </c>
      <c r="H1433" s="148" t="n"/>
      <c r="I1433" s="142" t="n"/>
      <c r="J1433" s="146">
        <f>IF(AND(B1433="",C1433="",D1433="",E1433="",F1433="",H1433=""),"",IF(NOT(ISNUMBER(B1433)),"✗ 日期不是真日期",IF(OR(B1433&lt;年初日,B1433&gt;年末日),"✗ 日期不在本年度",IF(C1433="","✗ 没选供应商",IF(COUNTIF(基础资料!$Q$5:$Q$54,C1433)=0,"✗ 供应商不在基础资料里",IF(D1433="","✗ 没选商品",IF(COUNTIF(基础资料!$E$5:$E$104,D1433)=0,"✗ 商品不在商品档案里",IF(AND(E1433="",H1433=""),"✗ 没填数量",IF(AND(N(E1433)&lt;&gt;0,F1433=""),"✗ 没填进价","√")))))))))</f>
      </c>
    </row>
    <row r="1434">
      <c r="A1434" s="109">
        <f>IF(AND(C1434="",D1434=""),"",ROW()-3)</f>
      </c>
      <c r="B1434" s="140" t="n"/>
      <c r="C1434" s="141" t="n"/>
      <c r="D1434" s="141" t="n"/>
      <c r="E1434" s="148" t="n"/>
      <c r="F1434" s="149" t="n"/>
      <c r="G1434" s="150">
        <f>IF(AND(E1434&lt;&gt;"",F1434&lt;&gt;""),E1434*F1434,"")</f>
      </c>
      <c r="H1434" s="148" t="n"/>
      <c r="I1434" s="142" t="n"/>
      <c r="J1434" s="146">
        <f>IF(AND(B1434="",C1434="",D1434="",E1434="",F1434="",H1434=""),"",IF(NOT(ISNUMBER(B1434)),"✗ 日期不是真日期",IF(OR(B1434&lt;年初日,B1434&gt;年末日),"✗ 日期不在本年度",IF(C1434="","✗ 没选供应商",IF(COUNTIF(基础资料!$Q$5:$Q$54,C1434)=0,"✗ 供应商不在基础资料里",IF(D1434="","✗ 没选商品",IF(COUNTIF(基础资料!$E$5:$E$104,D1434)=0,"✗ 商品不在商品档案里",IF(AND(E1434="",H1434=""),"✗ 没填数量",IF(AND(N(E1434)&lt;&gt;0,F1434=""),"✗ 没填进价","√")))))))))</f>
      </c>
    </row>
    <row r="1435">
      <c r="A1435" s="109">
        <f>IF(AND(C1435="",D1435=""),"",ROW()-3)</f>
      </c>
      <c r="B1435" s="140" t="n"/>
      <c r="C1435" s="141" t="n"/>
      <c r="D1435" s="141" t="n"/>
      <c r="E1435" s="148" t="n"/>
      <c r="F1435" s="149" t="n"/>
      <c r="G1435" s="150">
        <f>IF(AND(E1435&lt;&gt;"",F1435&lt;&gt;""),E1435*F1435,"")</f>
      </c>
      <c r="H1435" s="148" t="n"/>
      <c r="I1435" s="142" t="n"/>
      <c r="J1435" s="146">
        <f>IF(AND(B1435="",C1435="",D1435="",E1435="",F1435="",H1435=""),"",IF(NOT(ISNUMBER(B1435)),"✗ 日期不是真日期",IF(OR(B1435&lt;年初日,B1435&gt;年末日),"✗ 日期不在本年度",IF(C1435="","✗ 没选供应商",IF(COUNTIF(基础资料!$Q$5:$Q$54,C1435)=0,"✗ 供应商不在基础资料里",IF(D1435="","✗ 没选商品",IF(COUNTIF(基础资料!$E$5:$E$104,D1435)=0,"✗ 商品不在商品档案里",IF(AND(E1435="",H1435=""),"✗ 没填数量",IF(AND(N(E1435)&lt;&gt;0,F1435=""),"✗ 没填进价","√")))))))))</f>
      </c>
    </row>
    <row r="1436">
      <c r="A1436" s="109">
        <f>IF(AND(C1436="",D1436=""),"",ROW()-3)</f>
      </c>
      <c r="B1436" s="140" t="n"/>
      <c r="C1436" s="141" t="n"/>
      <c r="D1436" s="141" t="n"/>
      <c r="E1436" s="148" t="n"/>
      <c r="F1436" s="149" t="n"/>
      <c r="G1436" s="150">
        <f>IF(AND(E1436&lt;&gt;"",F1436&lt;&gt;""),E1436*F1436,"")</f>
      </c>
      <c r="H1436" s="148" t="n"/>
      <c r="I1436" s="142" t="n"/>
      <c r="J1436" s="146">
        <f>IF(AND(B1436="",C1436="",D1436="",E1436="",F1436="",H1436=""),"",IF(NOT(ISNUMBER(B1436)),"✗ 日期不是真日期",IF(OR(B1436&lt;年初日,B1436&gt;年末日),"✗ 日期不在本年度",IF(C1436="","✗ 没选供应商",IF(COUNTIF(基础资料!$Q$5:$Q$54,C1436)=0,"✗ 供应商不在基础资料里",IF(D1436="","✗ 没选商品",IF(COUNTIF(基础资料!$E$5:$E$104,D1436)=0,"✗ 商品不在商品档案里",IF(AND(E1436="",H1436=""),"✗ 没填数量",IF(AND(N(E1436)&lt;&gt;0,F1436=""),"✗ 没填进价","√")))))))))</f>
      </c>
    </row>
    <row r="1437">
      <c r="A1437" s="109">
        <f>IF(AND(C1437="",D1437=""),"",ROW()-3)</f>
      </c>
      <c r="B1437" s="140" t="n"/>
      <c r="C1437" s="141" t="n"/>
      <c r="D1437" s="141" t="n"/>
      <c r="E1437" s="148" t="n"/>
      <c r="F1437" s="149" t="n"/>
      <c r="G1437" s="150">
        <f>IF(AND(E1437&lt;&gt;"",F1437&lt;&gt;""),E1437*F1437,"")</f>
      </c>
      <c r="H1437" s="148" t="n"/>
      <c r="I1437" s="142" t="n"/>
      <c r="J1437" s="146">
        <f>IF(AND(B1437="",C1437="",D1437="",E1437="",F1437="",H1437=""),"",IF(NOT(ISNUMBER(B1437)),"✗ 日期不是真日期",IF(OR(B1437&lt;年初日,B1437&gt;年末日),"✗ 日期不在本年度",IF(C1437="","✗ 没选供应商",IF(COUNTIF(基础资料!$Q$5:$Q$54,C1437)=0,"✗ 供应商不在基础资料里",IF(D1437="","✗ 没选商品",IF(COUNTIF(基础资料!$E$5:$E$104,D1437)=0,"✗ 商品不在商品档案里",IF(AND(E1437="",H1437=""),"✗ 没填数量",IF(AND(N(E1437)&lt;&gt;0,F1437=""),"✗ 没填进价","√")))))))))</f>
      </c>
    </row>
    <row r="1438">
      <c r="A1438" s="109">
        <f>IF(AND(C1438="",D1438=""),"",ROW()-3)</f>
      </c>
      <c r="B1438" s="140" t="n"/>
      <c r="C1438" s="141" t="n"/>
      <c r="D1438" s="141" t="n"/>
      <c r="E1438" s="148" t="n"/>
      <c r="F1438" s="149" t="n"/>
      <c r="G1438" s="150">
        <f>IF(AND(E1438&lt;&gt;"",F1438&lt;&gt;""),E1438*F1438,"")</f>
      </c>
      <c r="H1438" s="148" t="n"/>
      <c r="I1438" s="142" t="n"/>
      <c r="J1438" s="146">
        <f>IF(AND(B1438="",C1438="",D1438="",E1438="",F1438="",H1438=""),"",IF(NOT(ISNUMBER(B1438)),"✗ 日期不是真日期",IF(OR(B1438&lt;年初日,B1438&gt;年末日),"✗ 日期不在本年度",IF(C1438="","✗ 没选供应商",IF(COUNTIF(基础资料!$Q$5:$Q$54,C1438)=0,"✗ 供应商不在基础资料里",IF(D1438="","✗ 没选商品",IF(COUNTIF(基础资料!$E$5:$E$104,D1438)=0,"✗ 商品不在商品档案里",IF(AND(E1438="",H1438=""),"✗ 没填数量",IF(AND(N(E1438)&lt;&gt;0,F1438=""),"✗ 没填进价","√")))))))))</f>
      </c>
    </row>
    <row r="1439">
      <c r="A1439" s="109">
        <f>IF(AND(C1439="",D1439=""),"",ROW()-3)</f>
      </c>
      <c r="B1439" s="140" t="n"/>
      <c r="C1439" s="141" t="n"/>
      <c r="D1439" s="141" t="n"/>
      <c r="E1439" s="148" t="n"/>
      <c r="F1439" s="149" t="n"/>
      <c r="G1439" s="150">
        <f>IF(AND(E1439&lt;&gt;"",F1439&lt;&gt;""),E1439*F1439,"")</f>
      </c>
      <c r="H1439" s="148" t="n"/>
      <c r="I1439" s="142" t="n"/>
      <c r="J1439" s="146">
        <f>IF(AND(B1439="",C1439="",D1439="",E1439="",F1439="",H1439=""),"",IF(NOT(ISNUMBER(B1439)),"✗ 日期不是真日期",IF(OR(B1439&lt;年初日,B1439&gt;年末日),"✗ 日期不在本年度",IF(C1439="","✗ 没选供应商",IF(COUNTIF(基础资料!$Q$5:$Q$54,C1439)=0,"✗ 供应商不在基础资料里",IF(D1439="","✗ 没选商品",IF(COUNTIF(基础资料!$E$5:$E$104,D1439)=0,"✗ 商品不在商品档案里",IF(AND(E1439="",H1439=""),"✗ 没填数量",IF(AND(N(E1439)&lt;&gt;0,F1439=""),"✗ 没填进价","√")))))))))</f>
      </c>
    </row>
    <row r="1440">
      <c r="A1440" s="109">
        <f>IF(AND(C1440="",D1440=""),"",ROW()-3)</f>
      </c>
      <c r="B1440" s="140" t="n"/>
      <c r="C1440" s="141" t="n"/>
      <c r="D1440" s="141" t="n"/>
      <c r="E1440" s="148" t="n"/>
      <c r="F1440" s="149" t="n"/>
      <c r="G1440" s="150">
        <f>IF(AND(E1440&lt;&gt;"",F1440&lt;&gt;""),E1440*F1440,"")</f>
      </c>
      <c r="H1440" s="148" t="n"/>
      <c r="I1440" s="142" t="n"/>
      <c r="J1440" s="146">
        <f>IF(AND(B1440="",C1440="",D1440="",E1440="",F1440="",H1440=""),"",IF(NOT(ISNUMBER(B1440)),"✗ 日期不是真日期",IF(OR(B1440&lt;年初日,B1440&gt;年末日),"✗ 日期不在本年度",IF(C1440="","✗ 没选供应商",IF(COUNTIF(基础资料!$Q$5:$Q$54,C1440)=0,"✗ 供应商不在基础资料里",IF(D1440="","✗ 没选商品",IF(COUNTIF(基础资料!$E$5:$E$104,D1440)=0,"✗ 商品不在商品档案里",IF(AND(E1440="",H1440=""),"✗ 没填数量",IF(AND(N(E1440)&lt;&gt;0,F1440=""),"✗ 没填进价","√")))))))))</f>
      </c>
    </row>
    <row r="1441">
      <c r="A1441" s="109">
        <f>IF(AND(C1441="",D1441=""),"",ROW()-3)</f>
      </c>
      <c r="B1441" s="140" t="n"/>
      <c r="C1441" s="141" t="n"/>
      <c r="D1441" s="141" t="n"/>
      <c r="E1441" s="148" t="n"/>
      <c r="F1441" s="149" t="n"/>
      <c r="G1441" s="150">
        <f>IF(AND(E1441&lt;&gt;"",F1441&lt;&gt;""),E1441*F1441,"")</f>
      </c>
      <c r="H1441" s="148" t="n"/>
      <c r="I1441" s="142" t="n"/>
      <c r="J1441" s="146">
        <f>IF(AND(B1441="",C1441="",D1441="",E1441="",F1441="",H1441=""),"",IF(NOT(ISNUMBER(B1441)),"✗ 日期不是真日期",IF(OR(B1441&lt;年初日,B1441&gt;年末日),"✗ 日期不在本年度",IF(C1441="","✗ 没选供应商",IF(COUNTIF(基础资料!$Q$5:$Q$54,C1441)=0,"✗ 供应商不在基础资料里",IF(D1441="","✗ 没选商品",IF(COUNTIF(基础资料!$E$5:$E$104,D1441)=0,"✗ 商品不在商品档案里",IF(AND(E1441="",H1441=""),"✗ 没填数量",IF(AND(N(E1441)&lt;&gt;0,F1441=""),"✗ 没填进价","√")))))))))</f>
      </c>
    </row>
    <row r="1442">
      <c r="A1442" s="109">
        <f>IF(AND(C1442="",D1442=""),"",ROW()-3)</f>
      </c>
      <c r="B1442" s="140" t="n"/>
      <c r="C1442" s="141" t="n"/>
      <c r="D1442" s="141" t="n"/>
      <c r="E1442" s="148" t="n"/>
      <c r="F1442" s="149" t="n"/>
      <c r="G1442" s="150">
        <f>IF(AND(E1442&lt;&gt;"",F1442&lt;&gt;""),E1442*F1442,"")</f>
      </c>
      <c r="H1442" s="148" t="n"/>
      <c r="I1442" s="142" t="n"/>
      <c r="J1442" s="146">
        <f>IF(AND(B1442="",C1442="",D1442="",E1442="",F1442="",H1442=""),"",IF(NOT(ISNUMBER(B1442)),"✗ 日期不是真日期",IF(OR(B1442&lt;年初日,B1442&gt;年末日),"✗ 日期不在本年度",IF(C1442="","✗ 没选供应商",IF(COUNTIF(基础资料!$Q$5:$Q$54,C1442)=0,"✗ 供应商不在基础资料里",IF(D1442="","✗ 没选商品",IF(COUNTIF(基础资料!$E$5:$E$104,D1442)=0,"✗ 商品不在商品档案里",IF(AND(E1442="",H1442=""),"✗ 没填数量",IF(AND(N(E1442)&lt;&gt;0,F1442=""),"✗ 没填进价","√")))))))))</f>
      </c>
    </row>
    <row r="1443">
      <c r="A1443" s="109">
        <f>IF(AND(C1443="",D1443=""),"",ROW()-3)</f>
      </c>
      <c r="B1443" s="140" t="n"/>
      <c r="C1443" s="141" t="n"/>
      <c r="D1443" s="141" t="n"/>
      <c r="E1443" s="148" t="n"/>
      <c r="F1443" s="149" t="n"/>
      <c r="G1443" s="150">
        <f>IF(AND(E1443&lt;&gt;"",F1443&lt;&gt;""),E1443*F1443,"")</f>
      </c>
      <c r="H1443" s="148" t="n"/>
      <c r="I1443" s="142" t="n"/>
      <c r="J1443" s="146">
        <f>IF(AND(B1443="",C1443="",D1443="",E1443="",F1443="",H1443=""),"",IF(NOT(ISNUMBER(B1443)),"✗ 日期不是真日期",IF(OR(B1443&lt;年初日,B1443&gt;年末日),"✗ 日期不在本年度",IF(C1443="","✗ 没选供应商",IF(COUNTIF(基础资料!$Q$5:$Q$54,C1443)=0,"✗ 供应商不在基础资料里",IF(D1443="","✗ 没选商品",IF(COUNTIF(基础资料!$E$5:$E$104,D1443)=0,"✗ 商品不在商品档案里",IF(AND(E1443="",H1443=""),"✗ 没填数量",IF(AND(N(E1443)&lt;&gt;0,F1443=""),"✗ 没填进价","√")))))))))</f>
      </c>
    </row>
    <row r="1444">
      <c r="A1444" s="109">
        <f>IF(AND(C1444="",D1444=""),"",ROW()-3)</f>
      </c>
      <c r="B1444" s="140" t="n"/>
      <c r="C1444" s="141" t="n"/>
      <c r="D1444" s="141" t="n"/>
      <c r="E1444" s="148" t="n"/>
      <c r="F1444" s="149" t="n"/>
      <c r="G1444" s="150">
        <f>IF(AND(E1444&lt;&gt;"",F1444&lt;&gt;""),E1444*F1444,"")</f>
      </c>
      <c r="H1444" s="148" t="n"/>
      <c r="I1444" s="142" t="n"/>
      <c r="J1444" s="146">
        <f>IF(AND(B1444="",C1444="",D1444="",E1444="",F1444="",H1444=""),"",IF(NOT(ISNUMBER(B1444)),"✗ 日期不是真日期",IF(OR(B1444&lt;年初日,B1444&gt;年末日),"✗ 日期不在本年度",IF(C1444="","✗ 没选供应商",IF(COUNTIF(基础资料!$Q$5:$Q$54,C1444)=0,"✗ 供应商不在基础资料里",IF(D1444="","✗ 没选商品",IF(COUNTIF(基础资料!$E$5:$E$104,D1444)=0,"✗ 商品不在商品档案里",IF(AND(E1444="",H1444=""),"✗ 没填数量",IF(AND(N(E1444)&lt;&gt;0,F1444=""),"✗ 没填进价","√")))))))))</f>
      </c>
    </row>
    <row r="1445">
      <c r="A1445" s="109">
        <f>IF(AND(C1445="",D1445=""),"",ROW()-3)</f>
      </c>
      <c r="B1445" s="140" t="n"/>
      <c r="C1445" s="141" t="n"/>
      <c r="D1445" s="141" t="n"/>
      <c r="E1445" s="148" t="n"/>
      <c r="F1445" s="149" t="n"/>
      <c r="G1445" s="150">
        <f>IF(AND(E1445&lt;&gt;"",F1445&lt;&gt;""),E1445*F1445,"")</f>
      </c>
      <c r="H1445" s="148" t="n"/>
      <c r="I1445" s="142" t="n"/>
      <c r="J1445" s="146">
        <f>IF(AND(B1445="",C1445="",D1445="",E1445="",F1445="",H1445=""),"",IF(NOT(ISNUMBER(B1445)),"✗ 日期不是真日期",IF(OR(B1445&lt;年初日,B1445&gt;年末日),"✗ 日期不在本年度",IF(C1445="","✗ 没选供应商",IF(COUNTIF(基础资料!$Q$5:$Q$54,C1445)=0,"✗ 供应商不在基础资料里",IF(D1445="","✗ 没选商品",IF(COUNTIF(基础资料!$E$5:$E$104,D1445)=0,"✗ 商品不在商品档案里",IF(AND(E1445="",H1445=""),"✗ 没填数量",IF(AND(N(E1445)&lt;&gt;0,F1445=""),"✗ 没填进价","√")))))))))</f>
      </c>
    </row>
    <row r="1446">
      <c r="A1446" s="109">
        <f>IF(AND(C1446="",D1446=""),"",ROW()-3)</f>
      </c>
      <c r="B1446" s="140" t="n"/>
      <c r="C1446" s="141" t="n"/>
      <c r="D1446" s="141" t="n"/>
      <c r="E1446" s="148" t="n"/>
      <c r="F1446" s="149" t="n"/>
      <c r="G1446" s="150">
        <f>IF(AND(E1446&lt;&gt;"",F1446&lt;&gt;""),E1446*F1446,"")</f>
      </c>
      <c r="H1446" s="148" t="n"/>
      <c r="I1446" s="142" t="n"/>
      <c r="J1446" s="146">
        <f>IF(AND(B1446="",C1446="",D1446="",E1446="",F1446="",H1446=""),"",IF(NOT(ISNUMBER(B1446)),"✗ 日期不是真日期",IF(OR(B1446&lt;年初日,B1446&gt;年末日),"✗ 日期不在本年度",IF(C1446="","✗ 没选供应商",IF(COUNTIF(基础资料!$Q$5:$Q$54,C1446)=0,"✗ 供应商不在基础资料里",IF(D1446="","✗ 没选商品",IF(COUNTIF(基础资料!$E$5:$E$104,D1446)=0,"✗ 商品不在商品档案里",IF(AND(E1446="",H1446=""),"✗ 没填数量",IF(AND(N(E1446)&lt;&gt;0,F1446=""),"✗ 没填进价","√")))))))))</f>
      </c>
    </row>
    <row r="1447">
      <c r="A1447" s="109">
        <f>IF(AND(C1447="",D1447=""),"",ROW()-3)</f>
      </c>
      <c r="B1447" s="140" t="n"/>
      <c r="C1447" s="141" t="n"/>
      <c r="D1447" s="141" t="n"/>
      <c r="E1447" s="148" t="n"/>
      <c r="F1447" s="149" t="n"/>
      <c r="G1447" s="150">
        <f>IF(AND(E1447&lt;&gt;"",F1447&lt;&gt;""),E1447*F1447,"")</f>
      </c>
      <c r="H1447" s="148" t="n"/>
      <c r="I1447" s="142" t="n"/>
      <c r="J1447" s="146">
        <f>IF(AND(B1447="",C1447="",D1447="",E1447="",F1447="",H1447=""),"",IF(NOT(ISNUMBER(B1447)),"✗ 日期不是真日期",IF(OR(B1447&lt;年初日,B1447&gt;年末日),"✗ 日期不在本年度",IF(C1447="","✗ 没选供应商",IF(COUNTIF(基础资料!$Q$5:$Q$54,C1447)=0,"✗ 供应商不在基础资料里",IF(D1447="","✗ 没选商品",IF(COUNTIF(基础资料!$E$5:$E$104,D1447)=0,"✗ 商品不在商品档案里",IF(AND(E1447="",H1447=""),"✗ 没填数量",IF(AND(N(E1447)&lt;&gt;0,F1447=""),"✗ 没填进价","√")))))))))</f>
      </c>
    </row>
    <row r="1448">
      <c r="A1448" s="109">
        <f>IF(AND(C1448="",D1448=""),"",ROW()-3)</f>
      </c>
      <c r="B1448" s="140" t="n"/>
      <c r="C1448" s="141" t="n"/>
      <c r="D1448" s="141" t="n"/>
      <c r="E1448" s="148" t="n"/>
      <c r="F1448" s="149" t="n"/>
      <c r="G1448" s="150">
        <f>IF(AND(E1448&lt;&gt;"",F1448&lt;&gt;""),E1448*F1448,"")</f>
      </c>
      <c r="H1448" s="148" t="n"/>
      <c r="I1448" s="142" t="n"/>
      <c r="J1448" s="146">
        <f>IF(AND(B1448="",C1448="",D1448="",E1448="",F1448="",H1448=""),"",IF(NOT(ISNUMBER(B1448)),"✗ 日期不是真日期",IF(OR(B1448&lt;年初日,B1448&gt;年末日),"✗ 日期不在本年度",IF(C1448="","✗ 没选供应商",IF(COUNTIF(基础资料!$Q$5:$Q$54,C1448)=0,"✗ 供应商不在基础资料里",IF(D1448="","✗ 没选商品",IF(COUNTIF(基础资料!$E$5:$E$104,D1448)=0,"✗ 商品不在商品档案里",IF(AND(E1448="",H1448=""),"✗ 没填数量",IF(AND(N(E1448)&lt;&gt;0,F1448=""),"✗ 没填进价","√")))))))))</f>
      </c>
    </row>
    <row r="1449">
      <c r="A1449" s="109">
        <f>IF(AND(C1449="",D1449=""),"",ROW()-3)</f>
      </c>
      <c r="B1449" s="140" t="n"/>
      <c r="C1449" s="141" t="n"/>
      <c r="D1449" s="141" t="n"/>
      <c r="E1449" s="148" t="n"/>
      <c r="F1449" s="149" t="n"/>
      <c r="G1449" s="150">
        <f>IF(AND(E1449&lt;&gt;"",F1449&lt;&gt;""),E1449*F1449,"")</f>
      </c>
      <c r="H1449" s="148" t="n"/>
      <c r="I1449" s="142" t="n"/>
      <c r="J1449" s="146">
        <f>IF(AND(B1449="",C1449="",D1449="",E1449="",F1449="",H1449=""),"",IF(NOT(ISNUMBER(B1449)),"✗ 日期不是真日期",IF(OR(B1449&lt;年初日,B1449&gt;年末日),"✗ 日期不在本年度",IF(C1449="","✗ 没选供应商",IF(COUNTIF(基础资料!$Q$5:$Q$54,C1449)=0,"✗ 供应商不在基础资料里",IF(D1449="","✗ 没选商品",IF(COUNTIF(基础资料!$E$5:$E$104,D1449)=0,"✗ 商品不在商品档案里",IF(AND(E1449="",H1449=""),"✗ 没填数量",IF(AND(N(E1449)&lt;&gt;0,F1449=""),"✗ 没填进价","√")))))))))</f>
      </c>
    </row>
    <row r="1450">
      <c r="A1450" s="109">
        <f>IF(AND(C1450="",D1450=""),"",ROW()-3)</f>
      </c>
      <c r="B1450" s="140" t="n"/>
      <c r="C1450" s="141" t="n"/>
      <c r="D1450" s="141" t="n"/>
      <c r="E1450" s="148" t="n"/>
      <c r="F1450" s="149" t="n"/>
      <c r="G1450" s="150">
        <f>IF(AND(E1450&lt;&gt;"",F1450&lt;&gt;""),E1450*F1450,"")</f>
      </c>
      <c r="H1450" s="148" t="n"/>
      <c r="I1450" s="142" t="n"/>
      <c r="J1450" s="146">
        <f>IF(AND(B1450="",C1450="",D1450="",E1450="",F1450="",H1450=""),"",IF(NOT(ISNUMBER(B1450)),"✗ 日期不是真日期",IF(OR(B1450&lt;年初日,B1450&gt;年末日),"✗ 日期不在本年度",IF(C1450="","✗ 没选供应商",IF(COUNTIF(基础资料!$Q$5:$Q$54,C1450)=0,"✗ 供应商不在基础资料里",IF(D1450="","✗ 没选商品",IF(COUNTIF(基础资料!$E$5:$E$104,D1450)=0,"✗ 商品不在商品档案里",IF(AND(E1450="",H1450=""),"✗ 没填数量",IF(AND(N(E1450)&lt;&gt;0,F1450=""),"✗ 没填进价","√")))))))))</f>
      </c>
    </row>
    <row r="1451">
      <c r="A1451" s="109">
        <f>IF(AND(C1451="",D1451=""),"",ROW()-3)</f>
      </c>
      <c r="B1451" s="140" t="n"/>
      <c r="C1451" s="141" t="n"/>
      <c r="D1451" s="141" t="n"/>
      <c r="E1451" s="148" t="n"/>
      <c r="F1451" s="149" t="n"/>
      <c r="G1451" s="150">
        <f>IF(AND(E1451&lt;&gt;"",F1451&lt;&gt;""),E1451*F1451,"")</f>
      </c>
      <c r="H1451" s="148" t="n"/>
      <c r="I1451" s="142" t="n"/>
      <c r="J1451" s="146">
        <f>IF(AND(B1451="",C1451="",D1451="",E1451="",F1451="",H1451=""),"",IF(NOT(ISNUMBER(B1451)),"✗ 日期不是真日期",IF(OR(B1451&lt;年初日,B1451&gt;年末日),"✗ 日期不在本年度",IF(C1451="","✗ 没选供应商",IF(COUNTIF(基础资料!$Q$5:$Q$54,C1451)=0,"✗ 供应商不在基础资料里",IF(D1451="","✗ 没选商品",IF(COUNTIF(基础资料!$E$5:$E$104,D1451)=0,"✗ 商品不在商品档案里",IF(AND(E1451="",H1451=""),"✗ 没填数量",IF(AND(N(E1451)&lt;&gt;0,F1451=""),"✗ 没填进价","√")))))))))</f>
      </c>
    </row>
    <row r="1452">
      <c r="A1452" s="109">
        <f>IF(AND(C1452="",D1452=""),"",ROW()-3)</f>
      </c>
      <c r="B1452" s="140" t="n"/>
      <c r="C1452" s="141" t="n"/>
      <c r="D1452" s="141" t="n"/>
      <c r="E1452" s="148" t="n"/>
      <c r="F1452" s="149" t="n"/>
      <c r="G1452" s="150">
        <f>IF(AND(E1452&lt;&gt;"",F1452&lt;&gt;""),E1452*F1452,"")</f>
      </c>
      <c r="H1452" s="148" t="n"/>
      <c r="I1452" s="142" t="n"/>
      <c r="J1452" s="146">
        <f>IF(AND(B1452="",C1452="",D1452="",E1452="",F1452="",H1452=""),"",IF(NOT(ISNUMBER(B1452)),"✗ 日期不是真日期",IF(OR(B1452&lt;年初日,B1452&gt;年末日),"✗ 日期不在本年度",IF(C1452="","✗ 没选供应商",IF(COUNTIF(基础资料!$Q$5:$Q$54,C1452)=0,"✗ 供应商不在基础资料里",IF(D1452="","✗ 没选商品",IF(COUNTIF(基础资料!$E$5:$E$104,D1452)=0,"✗ 商品不在商品档案里",IF(AND(E1452="",H1452=""),"✗ 没填数量",IF(AND(N(E1452)&lt;&gt;0,F1452=""),"✗ 没填进价","√")))))))))</f>
      </c>
    </row>
    <row r="1453">
      <c r="A1453" s="109">
        <f>IF(AND(C1453="",D1453=""),"",ROW()-3)</f>
      </c>
      <c r="B1453" s="140" t="n"/>
      <c r="C1453" s="141" t="n"/>
      <c r="D1453" s="141" t="n"/>
      <c r="E1453" s="148" t="n"/>
      <c r="F1453" s="149" t="n"/>
      <c r="G1453" s="150">
        <f>IF(AND(E1453&lt;&gt;"",F1453&lt;&gt;""),E1453*F1453,"")</f>
      </c>
      <c r="H1453" s="148" t="n"/>
      <c r="I1453" s="142" t="n"/>
      <c r="J1453" s="146">
        <f>IF(AND(B1453="",C1453="",D1453="",E1453="",F1453="",H1453=""),"",IF(NOT(ISNUMBER(B1453)),"✗ 日期不是真日期",IF(OR(B1453&lt;年初日,B1453&gt;年末日),"✗ 日期不在本年度",IF(C1453="","✗ 没选供应商",IF(COUNTIF(基础资料!$Q$5:$Q$54,C1453)=0,"✗ 供应商不在基础资料里",IF(D1453="","✗ 没选商品",IF(COUNTIF(基础资料!$E$5:$E$104,D1453)=0,"✗ 商品不在商品档案里",IF(AND(E1453="",H1453=""),"✗ 没填数量",IF(AND(N(E1453)&lt;&gt;0,F1453=""),"✗ 没填进价","√")))))))))</f>
      </c>
    </row>
    <row r="1454">
      <c r="A1454" s="109">
        <f>IF(AND(C1454="",D1454=""),"",ROW()-3)</f>
      </c>
      <c r="B1454" s="140" t="n"/>
      <c r="C1454" s="141" t="n"/>
      <c r="D1454" s="141" t="n"/>
      <c r="E1454" s="148" t="n"/>
      <c r="F1454" s="149" t="n"/>
      <c r="G1454" s="150">
        <f>IF(AND(E1454&lt;&gt;"",F1454&lt;&gt;""),E1454*F1454,"")</f>
      </c>
      <c r="H1454" s="148" t="n"/>
      <c r="I1454" s="142" t="n"/>
      <c r="J1454" s="146">
        <f>IF(AND(B1454="",C1454="",D1454="",E1454="",F1454="",H1454=""),"",IF(NOT(ISNUMBER(B1454)),"✗ 日期不是真日期",IF(OR(B1454&lt;年初日,B1454&gt;年末日),"✗ 日期不在本年度",IF(C1454="","✗ 没选供应商",IF(COUNTIF(基础资料!$Q$5:$Q$54,C1454)=0,"✗ 供应商不在基础资料里",IF(D1454="","✗ 没选商品",IF(COUNTIF(基础资料!$E$5:$E$104,D1454)=0,"✗ 商品不在商品档案里",IF(AND(E1454="",H1454=""),"✗ 没填数量",IF(AND(N(E1454)&lt;&gt;0,F1454=""),"✗ 没填进价","√")))))))))</f>
      </c>
    </row>
    <row r="1455">
      <c r="A1455" s="109">
        <f>IF(AND(C1455="",D1455=""),"",ROW()-3)</f>
      </c>
      <c r="B1455" s="140" t="n"/>
      <c r="C1455" s="141" t="n"/>
      <c r="D1455" s="141" t="n"/>
      <c r="E1455" s="148" t="n"/>
      <c r="F1455" s="149" t="n"/>
      <c r="G1455" s="150">
        <f>IF(AND(E1455&lt;&gt;"",F1455&lt;&gt;""),E1455*F1455,"")</f>
      </c>
      <c r="H1455" s="148" t="n"/>
      <c r="I1455" s="142" t="n"/>
      <c r="J1455" s="146">
        <f>IF(AND(B1455="",C1455="",D1455="",E1455="",F1455="",H1455=""),"",IF(NOT(ISNUMBER(B1455)),"✗ 日期不是真日期",IF(OR(B1455&lt;年初日,B1455&gt;年末日),"✗ 日期不在本年度",IF(C1455="","✗ 没选供应商",IF(COUNTIF(基础资料!$Q$5:$Q$54,C1455)=0,"✗ 供应商不在基础资料里",IF(D1455="","✗ 没选商品",IF(COUNTIF(基础资料!$E$5:$E$104,D1455)=0,"✗ 商品不在商品档案里",IF(AND(E1455="",H1455=""),"✗ 没填数量",IF(AND(N(E1455)&lt;&gt;0,F1455=""),"✗ 没填进价","√")))))))))</f>
      </c>
    </row>
    <row r="1456">
      <c r="A1456" s="109">
        <f>IF(AND(C1456="",D1456=""),"",ROW()-3)</f>
      </c>
      <c r="B1456" s="140" t="n"/>
      <c r="C1456" s="141" t="n"/>
      <c r="D1456" s="141" t="n"/>
      <c r="E1456" s="148" t="n"/>
      <c r="F1456" s="149" t="n"/>
      <c r="G1456" s="150">
        <f>IF(AND(E1456&lt;&gt;"",F1456&lt;&gt;""),E1456*F1456,"")</f>
      </c>
      <c r="H1456" s="148" t="n"/>
      <c r="I1456" s="142" t="n"/>
      <c r="J1456" s="146">
        <f>IF(AND(B1456="",C1456="",D1456="",E1456="",F1456="",H1456=""),"",IF(NOT(ISNUMBER(B1456)),"✗ 日期不是真日期",IF(OR(B1456&lt;年初日,B1456&gt;年末日),"✗ 日期不在本年度",IF(C1456="","✗ 没选供应商",IF(COUNTIF(基础资料!$Q$5:$Q$54,C1456)=0,"✗ 供应商不在基础资料里",IF(D1456="","✗ 没选商品",IF(COUNTIF(基础资料!$E$5:$E$104,D1456)=0,"✗ 商品不在商品档案里",IF(AND(E1456="",H1456=""),"✗ 没填数量",IF(AND(N(E1456)&lt;&gt;0,F1456=""),"✗ 没填进价","√")))))))))</f>
      </c>
    </row>
    <row r="1457">
      <c r="A1457" s="109">
        <f>IF(AND(C1457="",D1457=""),"",ROW()-3)</f>
      </c>
      <c r="B1457" s="140" t="n"/>
      <c r="C1457" s="141" t="n"/>
      <c r="D1457" s="141" t="n"/>
      <c r="E1457" s="148" t="n"/>
      <c r="F1457" s="149" t="n"/>
      <c r="G1457" s="150">
        <f>IF(AND(E1457&lt;&gt;"",F1457&lt;&gt;""),E1457*F1457,"")</f>
      </c>
      <c r="H1457" s="148" t="n"/>
      <c r="I1457" s="142" t="n"/>
      <c r="J1457" s="146">
        <f>IF(AND(B1457="",C1457="",D1457="",E1457="",F1457="",H1457=""),"",IF(NOT(ISNUMBER(B1457)),"✗ 日期不是真日期",IF(OR(B1457&lt;年初日,B1457&gt;年末日),"✗ 日期不在本年度",IF(C1457="","✗ 没选供应商",IF(COUNTIF(基础资料!$Q$5:$Q$54,C1457)=0,"✗ 供应商不在基础资料里",IF(D1457="","✗ 没选商品",IF(COUNTIF(基础资料!$E$5:$E$104,D1457)=0,"✗ 商品不在商品档案里",IF(AND(E1457="",H1457=""),"✗ 没填数量",IF(AND(N(E1457)&lt;&gt;0,F1457=""),"✗ 没填进价","√")))))))))</f>
      </c>
    </row>
    <row r="1458">
      <c r="A1458" s="109">
        <f>IF(AND(C1458="",D1458=""),"",ROW()-3)</f>
      </c>
      <c r="B1458" s="140" t="n"/>
      <c r="C1458" s="141" t="n"/>
      <c r="D1458" s="141" t="n"/>
      <c r="E1458" s="148" t="n"/>
      <c r="F1458" s="149" t="n"/>
      <c r="G1458" s="150">
        <f>IF(AND(E1458&lt;&gt;"",F1458&lt;&gt;""),E1458*F1458,"")</f>
      </c>
      <c r="H1458" s="148" t="n"/>
      <c r="I1458" s="142" t="n"/>
      <c r="J1458" s="146">
        <f>IF(AND(B1458="",C1458="",D1458="",E1458="",F1458="",H1458=""),"",IF(NOT(ISNUMBER(B1458)),"✗ 日期不是真日期",IF(OR(B1458&lt;年初日,B1458&gt;年末日),"✗ 日期不在本年度",IF(C1458="","✗ 没选供应商",IF(COUNTIF(基础资料!$Q$5:$Q$54,C1458)=0,"✗ 供应商不在基础资料里",IF(D1458="","✗ 没选商品",IF(COUNTIF(基础资料!$E$5:$E$104,D1458)=0,"✗ 商品不在商品档案里",IF(AND(E1458="",H1458=""),"✗ 没填数量",IF(AND(N(E1458)&lt;&gt;0,F1458=""),"✗ 没填进价","√")))))))))</f>
      </c>
    </row>
    <row r="1459">
      <c r="A1459" s="109">
        <f>IF(AND(C1459="",D1459=""),"",ROW()-3)</f>
      </c>
      <c r="B1459" s="140" t="n"/>
      <c r="C1459" s="141" t="n"/>
      <c r="D1459" s="141" t="n"/>
      <c r="E1459" s="148" t="n"/>
      <c r="F1459" s="149" t="n"/>
      <c r="G1459" s="150">
        <f>IF(AND(E1459&lt;&gt;"",F1459&lt;&gt;""),E1459*F1459,"")</f>
      </c>
      <c r="H1459" s="148" t="n"/>
      <c r="I1459" s="142" t="n"/>
      <c r="J1459" s="146">
        <f>IF(AND(B1459="",C1459="",D1459="",E1459="",F1459="",H1459=""),"",IF(NOT(ISNUMBER(B1459)),"✗ 日期不是真日期",IF(OR(B1459&lt;年初日,B1459&gt;年末日),"✗ 日期不在本年度",IF(C1459="","✗ 没选供应商",IF(COUNTIF(基础资料!$Q$5:$Q$54,C1459)=0,"✗ 供应商不在基础资料里",IF(D1459="","✗ 没选商品",IF(COUNTIF(基础资料!$E$5:$E$104,D1459)=0,"✗ 商品不在商品档案里",IF(AND(E1459="",H1459=""),"✗ 没填数量",IF(AND(N(E1459)&lt;&gt;0,F1459=""),"✗ 没填进价","√")))))))))</f>
      </c>
    </row>
    <row r="1460">
      <c r="A1460" s="109">
        <f>IF(AND(C1460="",D1460=""),"",ROW()-3)</f>
      </c>
      <c r="B1460" s="140" t="n"/>
      <c r="C1460" s="141" t="n"/>
      <c r="D1460" s="141" t="n"/>
      <c r="E1460" s="148" t="n"/>
      <c r="F1460" s="149" t="n"/>
      <c r="G1460" s="150">
        <f>IF(AND(E1460&lt;&gt;"",F1460&lt;&gt;""),E1460*F1460,"")</f>
      </c>
      <c r="H1460" s="148" t="n"/>
      <c r="I1460" s="142" t="n"/>
      <c r="J1460" s="146">
        <f>IF(AND(B1460="",C1460="",D1460="",E1460="",F1460="",H1460=""),"",IF(NOT(ISNUMBER(B1460)),"✗ 日期不是真日期",IF(OR(B1460&lt;年初日,B1460&gt;年末日),"✗ 日期不在本年度",IF(C1460="","✗ 没选供应商",IF(COUNTIF(基础资料!$Q$5:$Q$54,C1460)=0,"✗ 供应商不在基础资料里",IF(D1460="","✗ 没选商品",IF(COUNTIF(基础资料!$E$5:$E$104,D1460)=0,"✗ 商品不在商品档案里",IF(AND(E1460="",H1460=""),"✗ 没填数量",IF(AND(N(E1460)&lt;&gt;0,F1460=""),"✗ 没填进价","√")))))))))</f>
      </c>
    </row>
    <row r="1461">
      <c r="A1461" s="109">
        <f>IF(AND(C1461="",D1461=""),"",ROW()-3)</f>
      </c>
      <c r="B1461" s="140" t="n"/>
      <c r="C1461" s="141" t="n"/>
      <c r="D1461" s="141" t="n"/>
      <c r="E1461" s="148" t="n"/>
      <c r="F1461" s="149" t="n"/>
      <c r="G1461" s="150">
        <f>IF(AND(E1461&lt;&gt;"",F1461&lt;&gt;""),E1461*F1461,"")</f>
      </c>
      <c r="H1461" s="148" t="n"/>
      <c r="I1461" s="142" t="n"/>
      <c r="J1461" s="146">
        <f>IF(AND(B1461="",C1461="",D1461="",E1461="",F1461="",H1461=""),"",IF(NOT(ISNUMBER(B1461)),"✗ 日期不是真日期",IF(OR(B1461&lt;年初日,B1461&gt;年末日),"✗ 日期不在本年度",IF(C1461="","✗ 没选供应商",IF(COUNTIF(基础资料!$Q$5:$Q$54,C1461)=0,"✗ 供应商不在基础资料里",IF(D1461="","✗ 没选商品",IF(COUNTIF(基础资料!$E$5:$E$104,D1461)=0,"✗ 商品不在商品档案里",IF(AND(E1461="",H1461=""),"✗ 没填数量",IF(AND(N(E1461)&lt;&gt;0,F1461=""),"✗ 没填进价","√")))))))))</f>
      </c>
    </row>
    <row r="1462">
      <c r="A1462" s="109">
        <f>IF(AND(C1462="",D1462=""),"",ROW()-3)</f>
      </c>
      <c r="B1462" s="140" t="n"/>
      <c r="C1462" s="141" t="n"/>
      <c r="D1462" s="141" t="n"/>
      <c r="E1462" s="148" t="n"/>
      <c r="F1462" s="149" t="n"/>
      <c r="G1462" s="150">
        <f>IF(AND(E1462&lt;&gt;"",F1462&lt;&gt;""),E1462*F1462,"")</f>
      </c>
      <c r="H1462" s="148" t="n"/>
      <c r="I1462" s="142" t="n"/>
      <c r="J1462" s="146">
        <f>IF(AND(B1462="",C1462="",D1462="",E1462="",F1462="",H1462=""),"",IF(NOT(ISNUMBER(B1462)),"✗ 日期不是真日期",IF(OR(B1462&lt;年初日,B1462&gt;年末日),"✗ 日期不在本年度",IF(C1462="","✗ 没选供应商",IF(COUNTIF(基础资料!$Q$5:$Q$54,C1462)=0,"✗ 供应商不在基础资料里",IF(D1462="","✗ 没选商品",IF(COUNTIF(基础资料!$E$5:$E$104,D1462)=0,"✗ 商品不在商品档案里",IF(AND(E1462="",H1462=""),"✗ 没填数量",IF(AND(N(E1462)&lt;&gt;0,F1462=""),"✗ 没填进价","√")))))))))</f>
      </c>
    </row>
    <row r="1463">
      <c r="A1463" s="109">
        <f>IF(AND(C1463="",D1463=""),"",ROW()-3)</f>
      </c>
      <c r="B1463" s="140" t="n"/>
      <c r="C1463" s="141" t="n"/>
      <c r="D1463" s="141" t="n"/>
      <c r="E1463" s="148" t="n"/>
      <c r="F1463" s="149" t="n"/>
      <c r="G1463" s="150">
        <f>IF(AND(E1463&lt;&gt;"",F1463&lt;&gt;""),E1463*F1463,"")</f>
      </c>
      <c r="H1463" s="148" t="n"/>
      <c r="I1463" s="142" t="n"/>
      <c r="J1463" s="146">
        <f>IF(AND(B1463="",C1463="",D1463="",E1463="",F1463="",H1463=""),"",IF(NOT(ISNUMBER(B1463)),"✗ 日期不是真日期",IF(OR(B1463&lt;年初日,B1463&gt;年末日),"✗ 日期不在本年度",IF(C1463="","✗ 没选供应商",IF(COUNTIF(基础资料!$Q$5:$Q$54,C1463)=0,"✗ 供应商不在基础资料里",IF(D1463="","✗ 没选商品",IF(COUNTIF(基础资料!$E$5:$E$104,D1463)=0,"✗ 商品不在商品档案里",IF(AND(E1463="",H1463=""),"✗ 没填数量",IF(AND(N(E1463)&lt;&gt;0,F1463=""),"✗ 没填进价","√")))))))))</f>
      </c>
    </row>
    <row r="1464">
      <c r="A1464" s="109">
        <f>IF(AND(C1464="",D1464=""),"",ROW()-3)</f>
      </c>
      <c r="B1464" s="140" t="n"/>
      <c r="C1464" s="141" t="n"/>
      <c r="D1464" s="141" t="n"/>
      <c r="E1464" s="148" t="n"/>
      <c r="F1464" s="149" t="n"/>
      <c r="G1464" s="150">
        <f>IF(AND(E1464&lt;&gt;"",F1464&lt;&gt;""),E1464*F1464,"")</f>
      </c>
      <c r="H1464" s="148" t="n"/>
      <c r="I1464" s="142" t="n"/>
      <c r="J1464" s="146">
        <f>IF(AND(B1464="",C1464="",D1464="",E1464="",F1464="",H1464=""),"",IF(NOT(ISNUMBER(B1464)),"✗ 日期不是真日期",IF(OR(B1464&lt;年初日,B1464&gt;年末日),"✗ 日期不在本年度",IF(C1464="","✗ 没选供应商",IF(COUNTIF(基础资料!$Q$5:$Q$54,C1464)=0,"✗ 供应商不在基础资料里",IF(D1464="","✗ 没选商品",IF(COUNTIF(基础资料!$E$5:$E$104,D1464)=0,"✗ 商品不在商品档案里",IF(AND(E1464="",H1464=""),"✗ 没填数量",IF(AND(N(E1464)&lt;&gt;0,F1464=""),"✗ 没填进价","√")))))))))</f>
      </c>
    </row>
    <row r="1465">
      <c r="A1465" s="109">
        <f>IF(AND(C1465="",D1465=""),"",ROW()-3)</f>
      </c>
      <c r="B1465" s="140" t="n"/>
      <c r="C1465" s="141" t="n"/>
      <c r="D1465" s="141" t="n"/>
      <c r="E1465" s="148" t="n"/>
      <c r="F1465" s="149" t="n"/>
      <c r="G1465" s="150">
        <f>IF(AND(E1465&lt;&gt;"",F1465&lt;&gt;""),E1465*F1465,"")</f>
      </c>
      <c r="H1465" s="148" t="n"/>
      <c r="I1465" s="142" t="n"/>
      <c r="J1465" s="146">
        <f>IF(AND(B1465="",C1465="",D1465="",E1465="",F1465="",H1465=""),"",IF(NOT(ISNUMBER(B1465)),"✗ 日期不是真日期",IF(OR(B1465&lt;年初日,B1465&gt;年末日),"✗ 日期不在本年度",IF(C1465="","✗ 没选供应商",IF(COUNTIF(基础资料!$Q$5:$Q$54,C1465)=0,"✗ 供应商不在基础资料里",IF(D1465="","✗ 没选商品",IF(COUNTIF(基础资料!$E$5:$E$104,D1465)=0,"✗ 商品不在商品档案里",IF(AND(E1465="",H1465=""),"✗ 没填数量",IF(AND(N(E1465)&lt;&gt;0,F1465=""),"✗ 没填进价","√")))))))))</f>
      </c>
    </row>
    <row r="1466">
      <c r="A1466" s="109">
        <f>IF(AND(C1466="",D1466=""),"",ROW()-3)</f>
      </c>
      <c r="B1466" s="140" t="n"/>
      <c r="C1466" s="141" t="n"/>
      <c r="D1466" s="141" t="n"/>
      <c r="E1466" s="148" t="n"/>
      <c r="F1466" s="149" t="n"/>
      <c r="G1466" s="150">
        <f>IF(AND(E1466&lt;&gt;"",F1466&lt;&gt;""),E1466*F1466,"")</f>
      </c>
      <c r="H1466" s="148" t="n"/>
      <c r="I1466" s="142" t="n"/>
      <c r="J1466" s="146">
        <f>IF(AND(B1466="",C1466="",D1466="",E1466="",F1466="",H1466=""),"",IF(NOT(ISNUMBER(B1466)),"✗ 日期不是真日期",IF(OR(B1466&lt;年初日,B1466&gt;年末日),"✗ 日期不在本年度",IF(C1466="","✗ 没选供应商",IF(COUNTIF(基础资料!$Q$5:$Q$54,C1466)=0,"✗ 供应商不在基础资料里",IF(D1466="","✗ 没选商品",IF(COUNTIF(基础资料!$E$5:$E$104,D1466)=0,"✗ 商品不在商品档案里",IF(AND(E1466="",H1466=""),"✗ 没填数量",IF(AND(N(E1466)&lt;&gt;0,F1466=""),"✗ 没填进价","√")))))))))</f>
      </c>
    </row>
    <row r="1467">
      <c r="A1467" s="109">
        <f>IF(AND(C1467="",D1467=""),"",ROW()-3)</f>
      </c>
      <c r="B1467" s="140" t="n"/>
      <c r="C1467" s="141" t="n"/>
      <c r="D1467" s="141" t="n"/>
      <c r="E1467" s="148" t="n"/>
      <c r="F1467" s="149" t="n"/>
      <c r="G1467" s="150">
        <f>IF(AND(E1467&lt;&gt;"",F1467&lt;&gt;""),E1467*F1467,"")</f>
      </c>
      <c r="H1467" s="148" t="n"/>
      <c r="I1467" s="142" t="n"/>
      <c r="J1467" s="146">
        <f>IF(AND(B1467="",C1467="",D1467="",E1467="",F1467="",H1467=""),"",IF(NOT(ISNUMBER(B1467)),"✗ 日期不是真日期",IF(OR(B1467&lt;年初日,B1467&gt;年末日),"✗ 日期不在本年度",IF(C1467="","✗ 没选供应商",IF(COUNTIF(基础资料!$Q$5:$Q$54,C1467)=0,"✗ 供应商不在基础资料里",IF(D1467="","✗ 没选商品",IF(COUNTIF(基础资料!$E$5:$E$104,D1467)=0,"✗ 商品不在商品档案里",IF(AND(E1467="",H1467=""),"✗ 没填数量",IF(AND(N(E1467)&lt;&gt;0,F1467=""),"✗ 没填进价","√")))))))))</f>
      </c>
    </row>
    <row r="1468">
      <c r="A1468" s="109">
        <f>IF(AND(C1468="",D1468=""),"",ROW()-3)</f>
      </c>
      <c r="B1468" s="140" t="n"/>
      <c r="C1468" s="141" t="n"/>
      <c r="D1468" s="141" t="n"/>
      <c r="E1468" s="148" t="n"/>
      <c r="F1468" s="149" t="n"/>
      <c r="G1468" s="150">
        <f>IF(AND(E1468&lt;&gt;"",F1468&lt;&gt;""),E1468*F1468,"")</f>
      </c>
      <c r="H1468" s="148" t="n"/>
      <c r="I1468" s="142" t="n"/>
      <c r="J1468" s="146">
        <f>IF(AND(B1468="",C1468="",D1468="",E1468="",F1468="",H1468=""),"",IF(NOT(ISNUMBER(B1468)),"✗ 日期不是真日期",IF(OR(B1468&lt;年初日,B1468&gt;年末日),"✗ 日期不在本年度",IF(C1468="","✗ 没选供应商",IF(COUNTIF(基础资料!$Q$5:$Q$54,C1468)=0,"✗ 供应商不在基础资料里",IF(D1468="","✗ 没选商品",IF(COUNTIF(基础资料!$E$5:$E$104,D1468)=0,"✗ 商品不在商品档案里",IF(AND(E1468="",H1468=""),"✗ 没填数量",IF(AND(N(E1468)&lt;&gt;0,F1468=""),"✗ 没填进价","√")))))))))</f>
      </c>
    </row>
    <row r="1469">
      <c r="A1469" s="109">
        <f>IF(AND(C1469="",D1469=""),"",ROW()-3)</f>
      </c>
      <c r="B1469" s="140" t="n"/>
      <c r="C1469" s="141" t="n"/>
      <c r="D1469" s="141" t="n"/>
      <c r="E1469" s="148" t="n"/>
      <c r="F1469" s="149" t="n"/>
      <c r="G1469" s="150">
        <f>IF(AND(E1469&lt;&gt;"",F1469&lt;&gt;""),E1469*F1469,"")</f>
      </c>
      <c r="H1469" s="148" t="n"/>
      <c r="I1469" s="142" t="n"/>
      <c r="J1469" s="146">
        <f>IF(AND(B1469="",C1469="",D1469="",E1469="",F1469="",H1469=""),"",IF(NOT(ISNUMBER(B1469)),"✗ 日期不是真日期",IF(OR(B1469&lt;年初日,B1469&gt;年末日),"✗ 日期不在本年度",IF(C1469="","✗ 没选供应商",IF(COUNTIF(基础资料!$Q$5:$Q$54,C1469)=0,"✗ 供应商不在基础资料里",IF(D1469="","✗ 没选商品",IF(COUNTIF(基础资料!$E$5:$E$104,D1469)=0,"✗ 商品不在商品档案里",IF(AND(E1469="",H1469=""),"✗ 没填数量",IF(AND(N(E1469)&lt;&gt;0,F1469=""),"✗ 没填进价","√")))))))))</f>
      </c>
    </row>
    <row r="1470">
      <c r="A1470" s="109">
        <f>IF(AND(C1470="",D1470=""),"",ROW()-3)</f>
      </c>
      <c r="B1470" s="140" t="n"/>
      <c r="C1470" s="141" t="n"/>
      <c r="D1470" s="141" t="n"/>
      <c r="E1470" s="148" t="n"/>
      <c r="F1470" s="149" t="n"/>
      <c r="G1470" s="150">
        <f>IF(AND(E1470&lt;&gt;"",F1470&lt;&gt;""),E1470*F1470,"")</f>
      </c>
      <c r="H1470" s="148" t="n"/>
      <c r="I1470" s="142" t="n"/>
      <c r="J1470" s="146">
        <f>IF(AND(B1470="",C1470="",D1470="",E1470="",F1470="",H1470=""),"",IF(NOT(ISNUMBER(B1470)),"✗ 日期不是真日期",IF(OR(B1470&lt;年初日,B1470&gt;年末日),"✗ 日期不在本年度",IF(C1470="","✗ 没选供应商",IF(COUNTIF(基础资料!$Q$5:$Q$54,C1470)=0,"✗ 供应商不在基础资料里",IF(D1470="","✗ 没选商品",IF(COUNTIF(基础资料!$E$5:$E$104,D1470)=0,"✗ 商品不在商品档案里",IF(AND(E1470="",H1470=""),"✗ 没填数量",IF(AND(N(E1470)&lt;&gt;0,F1470=""),"✗ 没填进价","√")))))))))</f>
      </c>
    </row>
    <row r="1471">
      <c r="A1471" s="109">
        <f>IF(AND(C1471="",D1471=""),"",ROW()-3)</f>
      </c>
      <c r="B1471" s="140" t="n"/>
      <c r="C1471" s="141" t="n"/>
      <c r="D1471" s="141" t="n"/>
      <c r="E1471" s="148" t="n"/>
      <c r="F1471" s="149" t="n"/>
      <c r="G1471" s="150">
        <f>IF(AND(E1471&lt;&gt;"",F1471&lt;&gt;""),E1471*F1471,"")</f>
      </c>
      <c r="H1471" s="148" t="n"/>
      <c r="I1471" s="142" t="n"/>
      <c r="J1471" s="146">
        <f>IF(AND(B1471="",C1471="",D1471="",E1471="",F1471="",H1471=""),"",IF(NOT(ISNUMBER(B1471)),"✗ 日期不是真日期",IF(OR(B1471&lt;年初日,B1471&gt;年末日),"✗ 日期不在本年度",IF(C1471="","✗ 没选供应商",IF(COUNTIF(基础资料!$Q$5:$Q$54,C1471)=0,"✗ 供应商不在基础资料里",IF(D1471="","✗ 没选商品",IF(COUNTIF(基础资料!$E$5:$E$104,D1471)=0,"✗ 商品不在商品档案里",IF(AND(E1471="",H1471=""),"✗ 没填数量",IF(AND(N(E1471)&lt;&gt;0,F1471=""),"✗ 没填进价","√")))))))))</f>
      </c>
    </row>
    <row r="1472">
      <c r="A1472" s="109">
        <f>IF(AND(C1472="",D1472=""),"",ROW()-3)</f>
      </c>
      <c r="B1472" s="140" t="n"/>
      <c r="C1472" s="141" t="n"/>
      <c r="D1472" s="141" t="n"/>
      <c r="E1472" s="148" t="n"/>
      <c r="F1472" s="149" t="n"/>
      <c r="G1472" s="150">
        <f>IF(AND(E1472&lt;&gt;"",F1472&lt;&gt;""),E1472*F1472,"")</f>
      </c>
      <c r="H1472" s="148" t="n"/>
      <c r="I1472" s="142" t="n"/>
      <c r="J1472" s="146">
        <f>IF(AND(B1472="",C1472="",D1472="",E1472="",F1472="",H1472=""),"",IF(NOT(ISNUMBER(B1472)),"✗ 日期不是真日期",IF(OR(B1472&lt;年初日,B1472&gt;年末日),"✗ 日期不在本年度",IF(C1472="","✗ 没选供应商",IF(COUNTIF(基础资料!$Q$5:$Q$54,C1472)=0,"✗ 供应商不在基础资料里",IF(D1472="","✗ 没选商品",IF(COUNTIF(基础资料!$E$5:$E$104,D1472)=0,"✗ 商品不在商品档案里",IF(AND(E1472="",H1472=""),"✗ 没填数量",IF(AND(N(E1472)&lt;&gt;0,F1472=""),"✗ 没填进价","√")))))))))</f>
      </c>
    </row>
    <row r="1473">
      <c r="A1473" s="109">
        <f>IF(AND(C1473="",D1473=""),"",ROW()-3)</f>
      </c>
      <c r="B1473" s="140" t="n"/>
      <c r="C1473" s="141" t="n"/>
      <c r="D1473" s="141" t="n"/>
      <c r="E1473" s="148" t="n"/>
      <c r="F1473" s="149" t="n"/>
      <c r="G1473" s="150">
        <f>IF(AND(E1473&lt;&gt;"",F1473&lt;&gt;""),E1473*F1473,"")</f>
      </c>
      <c r="H1473" s="148" t="n"/>
      <c r="I1473" s="142" t="n"/>
      <c r="J1473" s="146">
        <f>IF(AND(B1473="",C1473="",D1473="",E1473="",F1473="",H1473=""),"",IF(NOT(ISNUMBER(B1473)),"✗ 日期不是真日期",IF(OR(B1473&lt;年初日,B1473&gt;年末日),"✗ 日期不在本年度",IF(C1473="","✗ 没选供应商",IF(COUNTIF(基础资料!$Q$5:$Q$54,C1473)=0,"✗ 供应商不在基础资料里",IF(D1473="","✗ 没选商品",IF(COUNTIF(基础资料!$E$5:$E$104,D1473)=0,"✗ 商品不在商品档案里",IF(AND(E1473="",H1473=""),"✗ 没填数量",IF(AND(N(E1473)&lt;&gt;0,F1473=""),"✗ 没填进价","√")))))))))</f>
      </c>
    </row>
    <row r="1474">
      <c r="A1474" s="109">
        <f>IF(AND(C1474="",D1474=""),"",ROW()-3)</f>
      </c>
      <c r="B1474" s="140" t="n"/>
      <c r="C1474" s="141" t="n"/>
      <c r="D1474" s="141" t="n"/>
      <c r="E1474" s="148" t="n"/>
      <c r="F1474" s="149" t="n"/>
      <c r="G1474" s="150">
        <f>IF(AND(E1474&lt;&gt;"",F1474&lt;&gt;""),E1474*F1474,"")</f>
      </c>
      <c r="H1474" s="148" t="n"/>
      <c r="I1474" s="142" t="n"/>
      <c r="J1474" s="146">
        <f>IF(AND(B1474="",C1474="",D1474="",E1474="",F1474="",H1474=""),"",IF(NOT(ISNUMBER(B1474)),"✗ 日期不是真日期",IF(OR(B1474&lt;年初日,B1474&gt;年末日),"✗ 日期不在本年度",IF(C1474="","✗ 没选供应商",IF(COUNTIF(基础资料!$Q$5:$Q$54,C1474)=0,"✗ 供应商不在基础资料里",IF(D1474="","✗ 没选商品",IF(COUNTIF(基础资料!$E$5:$E$104,D1474)=0,"✗ 商品不在商品档案里",IF(AND(E1474="",H1474=""),"✗ 没填数量",IF(AND(N(E1474)&lt;&gt;0,F1474=""),"✗ 没填进价","√")))))))))</f>
      </c>
    </row>
    <row r="1475">
      <c r="A1475" s="109">
        <f>IF(AND(C1475="",D1475=""),"",ROW()-3)</f>
      </c>
      <c r="B1475" s="140" t="n"/>
      <c r="C1475" s="141" t="n"/>
      <c r="D1475" s="141" t="n"/>
      <c r="E1475" s="148" t="n"/>
      <c r="F1475" s="149" t="n"/>
      <c r="G1475" s="150">
        <f>IF(AND(E1475&lt;&gt;"",F1475&lt;&gt;""),E1475*F1475,"")</f>
      </c>
      <c r="H1475" s="148" t="n"/>
      <c r="I1475" s="142" t="n"/>
      <c r="J1475" s="146">
        <f>IF(AND(B1475="",C1475="",D1475="",E1475="",F1475="",H1475=""),"",IF(NOT(ISNUMBER(B1475)),"✗ 日期不是真日期",IF(OR(B1475&lt;年初日,B1475&gt;年末日),"✗ 日期不在本年度",IF(C1475="","✗ 没选供应商",IF(COUNTIF(基础资料!$Q$5:$Q$54,C1475)=0,"✗ 供应商不在基础资料里",IF(D1475="","✗ 没选商品",IF(COUNTIF(基础资料!$E$5:$E$104,D1475)=0,"✗ 商品不在商品档案里",IF(AND(E1475="",H1475=""),"✗ 没填数量",IF(AND(N(E1475)&lt;&gt;0,F1475=""),"✗ 没填进价","√")))))))))</f>
      </c>
    </row>
    <row r="1476">
      <c r="A1476" s="109">
        <f>IF(AND(C1476="",D1476=""),"",ROW()-3)</f>
      </c>
      <c r="B1476" s="140" t="n"/>
      <c r="C1476" s="141" t="n"/>
      <c r="D1476" s="141" t="n"/>
      <c r="E1476" s="148" t="n"/>
      <c r="F1476" s="149" t="n"/>
      <c r="G1476" s="150">
        <f>IF(AND(E1476&lt;&gt;"",F1476&lt;&gt;""),E1476*F1476,"")</f>
      </c>
      <c r="H1476" s="148" t="n"/>
      <c r="I1476" s="142" t="n"/>
      <c r="J1476" s="146">
        <f>IF(AND(B1476="",C1476="",D1476="",E1476="",F1476="",H1476=""),"",IF(NOT(ISNUMBER(B1476)),"✗ 日期不是真日期",IF(OR(B1476&lt;年初日,B1476&gt;年末日),"✗ 日期不在本年度",IF(C1476="","✗ 没选供应商",IF(COUNTIF(基础资料!$Q$5:$Q$54,C1476)=0,"✗ 供应商不在基础资料里",IF(D1476="","✗ 没选商品",IF(COUNTIF(基础资料!$E$5:$E$104,D1476)=0,"✗ 商品不在商品档案里",IF(AND(E1476="",H1476=""),"✗ 没填数量",IF(AND(N(E1476)&lt;&gt;0,F1476=""),"✗ 没填进价","√")))))))))</f>
      </c>
    </row>
    <row r="1477">
      <c r="A1477" s="109">
        <f>IF(AND(C1477="",D1477=""),"",ROW()-3)</f>
      </c>
      <c r="B1477" s="140" t="n"/>
      <c r="C1477" s="141" t="n"/>
      <c r="D1477" s="141" t="n"/>
      <c r="E1477" s="148" t="n"/>
      <c r="F1477" s="149" t="n"/>
      <c r="G1477" s="150">
        <f>IF(AND(E1477&lt;&gt;"",F1477&lt;&gt;""),E1477*F1477,"")</f>
      </c>
      <c r="H1477" s="148" t="n"/>
      <c r="I1477" s="142" t="n"/>
      <c r="J1477" s="146">
        <f>IF(AND(B1477="",C1477="",D1477="",E1477="",F1477="",H1477=""),"",IF(NOT(ISNUMBER(B1477)),"✗ 日期不是真日期",IF(OR(B1477&lt;年初日,B1477&gt;年末日),"✗ 日期不在本年度",IF(C1477="","✗ 没选供应商",IF(COUNTIF(基础资料!$Q$5:$Q$54,C1477)=0,"✗ 供应商不在基础资料里",IF(D1477="","✗ 没选商品",IF(COUNTIF(基础资料!$E$5:$E$104,D1477)=0,"✗ 商品不在商品档案里",IF(AND(E1477="",H1477=""),"✗ 没填数量",IF(AND(N(E1477)&lt;&gt;0,F1477=""),"✗ 没填进价","√")))))))))</f>
      </c>
    </row>
    <row r="1478">
      <c r="A1478" s="109">
        <f>IF(AND(C1478="",D1478=""),"",ROW()-3)</f>
      </c>
      <c r="B1478" s="140" t="n"/>
      <c r="C1478" s="141" t="n"/>
      <c r="D1478" s="141" t="n"/>
      <c r="E1478" s="148" t="n"/>
      <c r="F1478" s="149" t="n"/>
      <c r="G1478" s="150">
        <f>IF(AND(E1478&lt;&gt;"",F1478&lt;&gt;""),E1478*F1478,"")</f>
      </c>
      <c r="H1478" s="148" t="n"/>
      <c r="I1478" s="142" t="n"/>
      <c r="J1478" s="146">
        <f>IF(AND(B1478="",C1478="",D1478="",E1478="",F1478="",H1478=""),"",IF(NOT(ISNUMBER(B1478)),"✗ 日期不是真日期",IF(OR(B1478&lt;年初日,B1478&gt;年末日),"✗ 日期不在本年度",IF(C1478="","✗ 没选供应商",IF(COUNTIF(基础资料!$Q$5:$Q$54,C1478)=0,"✗ 供应商不在基础资料里",IF(D1478="","✗ 没选商品",IF(COUNTIF(基础资料!$E$5:$E$104,D1478)=0,"✗ 商品不在商品档案里",IF(AND(E1478="",H1478=""),"✗ 没填数量",IF(AND(N(E1478)&lt;&gt;0,F1478=""),"✗ 没填进价","√")))))))))</f>
      </c>
    </row>
    <row r="1479">
      <c r="A1479" s="109">
        <f>IF(AND(C1479="",D1479=""),"",ROW()-3)</f>
      </c>
      <c r="B1479" s="140" t="n"/>
      <c r="C1479" s="141" t="n"/>
      <c r="D1479" s="141" t="n"/>
      <c r="E1479" s="148" t="n"/>
      <c r="F1479" s="149" t="n"/>
      <c r="G1479" s="150">
        <f>IF(AND(E1479&lt;&gt;"",F1479&lt;&gt;""),E1479*F1479,"")</f>
      </c>
      <c r="H1479" s="148" t="n"/>
      <c r="I1479" s="142" t="n"/>
      <c r="J1479" s="146">
        <f>IF(AND(B1479="",C1479="",D1479="",E1479="",F1479="",H1479=""),"",IF(NOT(ISNUMBER(B1479)),"✗ 日期不是真日期",IF(OR(B1479&lt;年初日,B1479&gt;年末日),"✗ 日期不在本年度",IF(C1479="","✗ 没选供应商",IF(COUNTIF(基础资料!$Q$5:$Q$54,C1479)=0,"✗ 供应商不在基础资料里",IF(D1479="","✗ 没选商品",IF(COUNTIF(基础资料!$E$5:$E$104,D1479)=0,"✗ 商品不在商品档案里",IF(AND(E1479="",H1479=""),"✗ 没填数量",IF(AND(N(E1479)&lt;&gt;0,F1479=""),"✗ 没填进价","√")))))))))</f>
      </c>
    </row>
    <row r="1480">
      <c r="A1480" s="109">
        <f>IF(AND(C1480="",D1480=""),"",ROW()-3)</f>
      </c>
      <c r="B1480" s="140" t="n"/>
      <c r="C1480" s="141" t="n"/>
      <c r="D1480" s="141" t="n"/>
      <c r="E1480" s="148" t="n"/>
      <c r="F1480" s="149" t="n"/>
      <c r="G1480" s="150">
        <f>IF(AND(E1480&lt;&gt;"",F1480&lt;&gt;""),E1480*F1480,"")</f>
      </c>
      <c r="H1480" s="148" t="n"/>
      <c r="I1480" s="142" t="n"/>
      <c r="J1480" s="146">
        <f>IF(AND(B1480="",C1480="",D1480="",E1480="",F1480="",H1480=""),"",IF(NOT(ISNUMBER(B1480)),"✗ 日期不是真日期",IF(OR(B1480&lt;年初日,B1480&gt;年末日),"✗ 日期不在本年度",IF(C1480="","✗ 没选供应商",IF(COUNTIF(基础资料!$Q$5:$Q$54,C1480)=0,"✗ 供应商不在基础资料里",IF(D1480="","✗ 没选商品",IF(COUNTIF(基础资料!$E$5:$E$104,D1480)=0,"✗ 商品不在商品档案里",IF(AND(E1480="",H1480=""),"✗ 没填数量",IF(AND(N(E1480)&lt;&gt;0,F1480=""),"✗ 没填进价","√")))))))))</f>
      </c>
    </row>
    <row r="1481">
      <c r="A1481" s="109">
        <f>IF(AND(C1481="",D1481=""),"",ROW()-3)</f>
      </c>
      <c r="B1481" s="140" t="n"/>
      <c r="C1481" s="141" t="n"/>
      <c r="D1481" s="141" t="n"/>
      <c r="E1481" s="148" t="n"/>
      <c r="F1481" s="149" t="n"/>
      <c r="G1481" s="150">
        <f>IF(AND(E1481&lt;&gt;"",F1481&lt;&gt;""),E1481*F1481,"")</f>
      </c>
      <c r="H1481" s="148" t="n"/>
      <c r="I1481" s="142" t="n"/>
      <c r="J1481" s="146">
        <f>IF(AND(B1481="",C1481="",D1481="",E1481="",F1481="",H1481=""),"",IF(NOT(ISNUMBER(B1481)),"✗ 日期不是真日期",IF(OR(B1481&lt;年初日,B1481&gt;年末日),"✗ 日期不在本年度",IF(C1481="","✗ 没选供应商",IF(COUNTIF(基础资料!$Q$5:$Q$54,C1481)=0,"✗ 供应商不在基础资料里",IF(D1481="","✗ 没选商品",IF(COUNTIF(基础资料!$E$5:$E$104,D1481)=0,"✗ 商品不在商品档案里",IF(AND(E1481="",H1481=""),"✗ 没填数量",IF(AND(N(E1481)&lt;&gt;0,F1481=""),"✗ 没填进价","√")))))))))</f>
      </c>
    </row>
    <row r="1482">
      <c r="A1482" s="109">
        <f>IF(AND(C1482="",D1482=""),"",ROW()-3)</f>
      </c>
      <c r="B1482" s="140" t="n"/>
      <c r="C1482" s="141" t="n"/>
      <c r="D1482" s="141" t="n"/>
      <c r="E1482" s="148" t="n"/>
      <c r="F1482" s="149" t="n"/>
      <c r="G1482" s="150">
        <f>IF(AND(E1482&lt;&gt;"",F1482&lt;&gt;""),E1482*F1482,"")</f>
      </c>
      <c r="H1482" s="148" t="n"/>
      <c r="I1482" s="142" t="n"/>
      <c r="J1482" s="146">
        <f>IF(AND(B1482="",C1482="",D1482="",E1482="",F1482="",H1482=""),"",IF(NOT(ISNUMBER(B1482)),"✗ 日期不是真日期",IF(OR(B1482&lt;年初日,B1482&gt;年末日),"✗ 日期不在本年度",IF(C1482="","✗ 没选供应商",IF(COUNTIF(基础资料!$Q$5:$Q$54,C1482)=0,"✗ 供应商不在基础资料里",IF(D1482="","✗ 没选商品",IF(COUNTIF(基础资料!$E$5:$E$104,D1482)=0,"✗ 商品不在商品档案里",IF(AND(E1482="",H1482=""),"✗ 没填数量",IF(AND(N(E1482)&lt;&gt;0,F1482=""),"✗ 没填进价","√")))))))))</f>
      </c>
    </row>
    <row r="1483">
      <c r="A1483" s="109">
        <f>IF(AND(C1483="",D1483=""),"",ROW()-3)</f>
      </c>
      <c r="B1483" s="140" t="n"/>
      <c r="C1483" s="141" t="n"/>
      <c r="D1483" s="141" t="n"/>
      <c r="E1483" s="148" t="n"/>
      <c r="F1483" s="149" t="n"/>
      <c r="G1483" s="150">
        <f>IF(AND(E1483&lt;&gt;"",F1483&lt;&gt;""),E1483*F1483,"")</f>
      </c>
      <c r="H1483" s="148" t="n"/>
      <c r="I1483" s="142" t="n"/>
      <c r="J1483" s="146">
        <f>IF(AND(B1483="",C1483="",D1483="",E1483="",F1483="",H1483=""),"",IF(NOT(ISNUMBER(B1483)),"✗ 日期不是真日期",IF(OR(B1483&lt;年初日,B1483&gt;年末日),"✗ 日期不在本年度",IF(C1483="","✗ 没选供应商",IF(COUNTIF(基础资料!$Q$5:$Q$54,C1483)=0,"✗ 供应商不在基础资料里",IF(D1483="","✗ 没选商品",IF(COUNTIF(基础资料!$E$5:$E$104,D1483)=0,"✗ 商品不在商品档案里",IF(AND(E1483="",H1483=""),"✗ 没填数量",IF(AND(N(E1483)&lt;&gt;0,F1483=""),"✗ 没填进价","√")))))))))</f>
      </c>
    </row>
    <row r="1484">
      <c r="A1484" s="109">
        <f>IF(AND(C1484="",D1484=""),"",ROW()-3)</f>
      </c>
      <c r="B1484" s="140" t="n"/>
      <c r="C1484" s="141" t="n"/>
      <c r="D1484" s="141" t="n"/>
      <c r="E1484" s="148" t="n"/>
      <c r="F1484" s="149" t="n"/>
      <c r="G1484" s="150">
        <f>IF(AND(E1484&lt;&gt;"",F1484&lt;&gt;""),E1484*F1484,"")</f>
      </c>
      <c r="H1484" s="148" t="n"/>
      <c r="I1484" s="142" t="n"/>
      <c r="J1484" s="146">
        <f>IF(AND(B1484="",C1484="",D1484="",E1484="",F1484="",H1484=""),"",IF(NOT(ISNUMBER(B1484)),"✗ 日期不是真日期",IF(OR(B1484&lt;年初日,B1484&gt;年末日),"✗ 日期不在本年度",IF(C1484="","✗ 没选供应商",IF(COUNTIF(基础资料!$Q$5:$Q$54,C1484)=0,"✗ 供应商不在基础资料里",IF(D1484="","✗ 没选商品",IF(COUNTIF(基础资料!$E$5:$E$104,D1484)=0,"✗ 商品不在商品档案里",IF(AND(E1484="",H1484=""),"✗ 没填数量",IF(AND(N(E1484)&lt;&gt;0,F1484=""),"✗ 没填进价","√")))))))))</f>
      </c>
    </row>
    <row r="1485">
      <c r="A1485" s="109">
        <f>IF(AND(C1485="",D1485=""),"",ROW()-3)</f>
      </c>
      <c r="B1485" s="140" t="n"/>
      <c r="C1485" s="141" t="n"/>
      <c r="D1485" s="141" t="n"/>
      <c r="E1485" s="148" t="n"/>
      <c r="F1485" s="149" t="n"/>
      <c r="G1485" s="150">
        <f>IF(AND(E1485&lt;&gt;"",F1485&lt;&gt;""),E1485*F1485,"")</f>
      </c>
      <c r="H1485" s="148" t="n"/>
      <c r="I1485" s="142" t="n"/>
      <c r="J1485" s="146">
        <f>IF(AND(B1485="",C1485="",D1485="",E1485="",F1485="",H1485=""),"",IF(NOT(ISNUMBER(B1485)),"✗ 日期不是真日期",IF(OR(B1485&lt;年初日,B1485&gt;年末日),"✗ 日期不在本年度",IF(C1485="","✗ 没选供应商",IF(COUNTIF(基础资料!$Q$5:$Q$54,C1485)=0,"✗ 供应商不在基础资料里",IF(D1485="","✗ 没选商品",IF(COUNTIF(基础资料!$E$5:$E$104,D1485)=0,"✗ 商品不在商品档案里",IF(AND(E1485="",H1485=""),"✗ 没填数量",IF(AND(N(E1485)&lt;&gt;0,F1485=""),"✗ 没填进价","√")))))))))</f>
      </c>
    </row>
    <row r="1486">
      <c r="A1486" s="109">
        <f>IF(AND(C1486="",D1486=""),"",ROW()-3)</f>
      </c>
      <c r="B1486" s="140" t="n"/>
      <c r="C1486" s="141" t="n"/>
      <c r="D1486" s="141" t="n"/>
      <c r="E1486" s="148" t="n"/>
      <c r="F1486" s="149" t="n"/>
      <c r="G1486" s="150">
        <f>IF(AND(E1486&lt;&gt;"",F1486&lt;&gt;""),E1486*F1486,"")</f>
      </c>
      <c r="H1486" s="148" t="n"/>
      <c r="I1486" s="142" t="n"/>
      <c r="J1486" s="146">
        <f>IF(AND(B1486="",C1486="",D1486="",E1486="",F1486="",H1486=""),"",IF(NOT(ISNUMBER(B1486)),"✗ 日期不是真日期",IF(OR(B1486&lt;年初日,B1486&gt;年末日),"✗ 日期不在本年度",IF(C1486="","✗ 没选供应商",IF(COUNTIF(基础资料!$Q$5:$Q$54,C1486)=0,"✗ 供应商不在基础资料里",IF(D1486="","✗ 没选商品",IF(COUNTIF(基础资料!$E$5:$E$104,D1486)=0,"✗ 商品不在商品档案里",IF(AND(E1486="",H1486=""),"✗ 没填数量",IF(AND(N(E1486)&lt;&gt;0,F1486=""),"✗ 没填进价","√")))))))))</f>
      </c>
    </row>
    <row r="1487">
      <c r="A1487" s="109">
        <f>IF(AND(C1487="",D1487=""),"",ROW()-3)</f>
      </c>
      <c r="B1487" s="140" t="n"/>
      <c r="C1487" s="141" t="n"/>
      <c r="D1487" s="141" t="n"/>
      <c r="E1487" s="148" t="n"/>
      <c r="F1487" s="149" t="n"/>
      <c r="G1487" s="150">
        <f>IF(AND(E1487&lt;&gt;"",F1487&lt;&gt;""),E1487*F1487,"")</f>
      </c>
      <c r="H1487" s="148" t="n"/>
      <c r="I1487" s="142" t="n"/>
      <c r="J1487" s="146">
        <f>IF(AND(B1487="",C1487="",D1487="",E1487="",F1487="",H1487=""),"",IF(NOT(ISNUMBER(B1487)),"✗ 日期不是真日期",IF(OR(B1487&lt;年初日,B1487&gt;年末日),"✗ 日期不在本年度",IF(C1487="","✗ 没选供应商",IF(COUNTIF(基础资料!$Q$5:$Q$54,C1487)=0,"✗ 供应商不在基础资料里",IF(D1487="","✗ 没选商品",IF(COUNTIF(基础资料!$E$5:$E$104,D1487)=0,"✗ 商品不在商品档案里",IF(AND(E1487="",H1487=""),"✗ 没填数量",IF(AND(N(E1487)&lt;&gt;0,F1487=""),"✗ 没填进价","√")))))))))</f>
      </c>
    </row>
    <row r="1488">
      <c r="A1488" s="109">
        <f>IF(AND(C1488="",D1488=""),"",ROW()-3)</f>
      </c>
      <c r="B1488" s="140" t="n"/>
      <c r="C1488" s="141" t="n"/>
      <c r="D1488" s="141" t="n"/>
      <c r="E1488" s="148" t="n"/>
      <c r="F1488" s="149" t="n"/>
      <c r="G1488" s="150">
        <f>IF(AND(E1488&lt;&gt;"",F1488&lt;&gt;""),E1488*F1488,"")</f>
      </c>
      <c r="H1488" s="148" t="n"/>
      <c r="I1488" s="142" t="n"/>
      <c r="J1488" s="146">
        <f>IF(AND(B1488="",C1488="",D1488="",E1488="",F1488="",H1488=""),"",IF(NOT(ISNUMBER(B1488)),"✗ 日期不是真日期",IF(OR(B1488&lt;年初日,B1488&gt;年末日),"✗ 日期不在本年度",IF(C1488="","✗ 没选供应商",IF(COUNTIF(基础资料!$Q$5:$Q$54,C1488)=0,"✗ 供应商不在基础资料里",IF(D1488="","✗ 没选商品",IF(COUNTIF(基础资料!$E$5:$E$104,D1488)=0,"✗ 商品不在商品档案里",IF(AND(E1488="",H1488=""),"✗ 没填数量",IF(AND(N(E1488)&lt;&gt;0,F1488=""),"✗ 没填进价","√")))))))))</f>
      </c>
    </row>
    <row r="1489">
      <c r="A1489" s="109">
        <f>IF(AND(C1489="",D1489=""),"",ROW()-3)</f>
      </c>
      <c r="B1489" s="140" t="n"/>
      <c r="C1489" s="141" t="n"/>
      <c r="D1489" s="141" t="n"/>
      <c r="E1489" s="148" t="n"/>
      <c r="F1489" s="149" t="n"/>
      <c r="G1489" s="150">
        <f>IF(AND(E1489&lt;&gt;"",F1489&lt;&gt;""),E1489*F1489,"")</f>
      </c>
      <c r="H1489" s="148" t="n"/>
      <c r="I1489" s="142" t="n"/>
      <c r="J1489" s="146">
        <f>IF(AND(B1489="",C1489="",D1489="",E1489="",F1489="",H1489=""),"",IF(NOT(ISNUMBER(B1489)),"✗ 日期不是真日期",IF(OR(B1489&lt;年初日,B1489&gt;年末日),"✗ 日期不在本年度",IF(C1489="","✗ 没选供应商",IF(COUNTIF(基础资料!$Q$5:$Q$54,C1489)=0,"✗ 供应商不在基础资料里",IF(D1489="","✗ 没选商品",IF(COUNTIF(基础资料!$E$5:$E$104,D1489)=0,"✗ 商品不在商品档案里",IF(AND(E1489="",H1489=""),"✗ 没填数量",IF(AND(N(E1489)&lt;&gt;0,F1489=""),"✗ 没填进价","√")))))))))</f>
      </c>
    </row>
    <row r="1490">
      <c r="A1490" s="109">
        <f>IF(AND(C1490="",D1490=""),"",ROW()-3)</f>
      </c>
      <c r="B1490" s="140" t="n"/>
      <c r="C1490" s="141" t="n"/>
      <c r="D1490" s="141" t="n"/>
      <c r="E1490" s="148" t="n"/>
      <c r="F1490" s="149" t="n"/>
      <c r="G1490" s="150">
        <f>IF(AND(E1490&lt;&gt;"",F1490&lt;&gt;""),E1490*F1490,"")</f>
      </c>
      <c r="H1490" s="148" t="n"/>
      <c r="I1490" s="142" t="n"/>
      <c r="J1490" s="146">
        <f>IF(AND(B1490="",C1490="",D1490="",E1490="",F1490="",H1490=""),"",IF(NOT(ISNUMBER(B1490)),"✗ 日期不是真日期",IF(OR(B1490&lt;年初日,B1490&gt;年末日),"✗ 日期不在本年度",IF(C1490="","✗ 没选供应商",IF(COUNTIF(基础资料!$Q$5:$Q$54,C1490)=0,"✗ 供应商不在基础资料里",IF(D1490="","✗ 没选商品",IF(COUNTIF(基础资料!$E$5:$E$104,D1490)=0,"✗ 商品不在商品档案里",IF(AND(E1490="",H1490=""),"✗ 没填数量",IF(AND(N(E1490)&lt;&gt;0,F1490=""),"✗ 没填进价","√")))))))))</f>
      </c>
    </row>
    <row r="1491">
      <c r="A1491" s="109">
        <f>IF(AND(C1491="",D1491=""),"",ROW()-3)</f>
      </c>
      <c r="B1491" s="140" t="n"/>
      <c r="C1491" s="141" t="n"/>
      <c r="D1491" s="141" t="n"/>
      <c r="E1491" s="148" t="n"/>
      <c r="F1491" s="149" t="n"/>
      <c r="G1491" s="150">
        <f>IF(AND(E1491&lt;&gt;"",F1491&lt;&gt;""),E1491*F1491,"")</f>
      </c>
      <c r="H1491" s="148" t="n"/>
      <c r="I1491" s="142" t="n"/>
      <c r="J1491" s="146">
        <f>IF(AND(B1491="",C1491="",D1491="",E1491="",F1491="",H1491=""),"",IF(NOT(ISNUMBER(B1491)),"✗ 日期不是真日期",IF(OR(B1491&lt;年初日,B1491&gt;年末日),"✗ 日期不在本年度",IF(C1491="","✗ 没选供应商",IF(COUNTIF(基础资料!$Q$5:$Q$54,C1491)=0,"✗ 供应商不在基础资料里",IF(D1491="","✗ 没选商品",IF(COUNTIF(基础资料!$E$5:$E$104,D1491)=0,"✗ 商品不在商品档案里",IF(AND(E1491="",H1491=""),"✗ 没填数量",IF(AND(N(E1491)&lt;&gt;0,F1491=""),"✗ 没填进价","√")))))))))</f>
      </c>
    </row>
    <row r="1492">
      <c r="A1492" s="109">
        <f>IF(AND(C1492="",D1492=""),"",ROW()-3)</f>
      </c>
      <c r="B1492" s="140" t="n"/>
      <c r="C1492" s="141" t="n"/>
      <c r="D1492" s="141" t="n"/>
      <c r="E1492" s="148" t="n"/>
      <c r="F1492" s="149" t="n"/>
      <c r="G1492" s="150">
        <f>IF(AND(E1492&lt;&gt;"",F1492&lt;&gt;""),E1492*F1492,"")</f>
      </c>
      <c r="H1492" s="148" t="n"/>
      <c r="I1492" s="142" t="n"/>
      <c r="J1492" s="146">
        <f>IF(AND(B1492="",C1492="",D1492="",E1492="",F1492="",H1492=""),"",IF(NOT(ISNUMBER(B1492)),"✗ 日期不是真日期",IF(OR(B1492&lt;年初日,B1492&gt;年末日),"✗ 日期不在本年度",IF(C1492="","✗ 没选供应商",IF(COUNTIF(基础资料!$Q$5:$Q$54,C1492)=0,"✗ 供应商不在基础资料里",IF(D1492="","✗ 没选商品",IF(COUNTIF(基础资料!$E$5:$E$104,D1492)=0,"✗ 商品不在商品档案里",IF(AND(E1492="",H1492=""),"✗ 没填数量",IF(AND(N(E1492)&lt;&gt;0,F1492=""),"✗ 没填进价","√")))))))))</f>
      </c>
    </row>
    <row r="1493">
      <c r="A1493" s="109">
        <f>IF(AND(C1493="",D1493=""),"",ROW()-3)</f>
      </c>
      <c r="B1493" s="140" t="n"/>
      <c r="C1493" s="141" t="n"/>
      <c r="D1493" s="141" t="n"/>
      <c r="E1493" s="148" t="n"/>
      <c r="F1493" s="149" t="n"/>
      <c r="G1493" s="150">
        <f>IF(AND(E1493&lt;&gt;"",F1493&lt;&gt;""),E1493*F1493,"")</f>
      </c>
      <c r="H1493" s="148" t="n"/>
      <c r="I1493" s="142" t="n"/>
      <c r="J1493" s="146">
        <f>IF(AND(B1493="",C1493="",D1493="",E1493="",F1493="",H1493=""),"",IF(NOT(ISNUMBER(B1493)),"✗ 日期不是真日期",IF(OR(B1493&lt;年初日,B1493&gt;年末日),"✗ 日期不在本年度",IF(C1493="","✗ 没选供应商",IF(COUNTIF(基础资料!$Q$5:$Q$54,C1493)=0,"✗ 供应商不在基础资料里",IF(D1493="","✗ 没选商品",IF(COUNTIF(基础资料!$E$5:$E$104,D1493)=0,"✗ 商品不在商品档案里",IF(AND(E1493="",H1493=""),"✗ 没填数量",IF(AND(N(E1493)&lt;&gt;0,F1493=""),"✗ 没填进价","√")))))))))</f>
      </c>
    </row>
    <row r="1494">
      <c r="A1494" s="109">
        <f>IF(AND(C1494="",D1494=""),"",ROW()-3)</f>
      </c>
      <c r="B1494" s="140" t="n"/>
      <c r="C1494" s="141" t="n"/>
      <c r="D1494" s="141" t="n"/>
      <c r="E1494" s="148" t="n"/>
      <c r="F1494" s="149" t="n"/>
      <c r="G1494" s="150">
        <f>IF(AND(E1494&lt;&gt;"",F1494&lt;&gt;""),E1494*F1494,"")</f>
      </c>
      <c r="H1494" s="148" t="n"/>
      <c r="I1494" s="142" t="n"/>
      <c r="J1494" s="146">
        <f>IF(AND(B1494="",C1494="",D1494="",E1494="",F1494="",H1494=""),"",IF(NOT(ISNUMBER(B1494)),"✗ 日期不是真日期",IF(OR(B1494&lt;年初日,B1494&gt;年末日),"✗ 日期不在本年度",IF(C1494="","✗ 没选供应商",IF(COUNTIF(基础资料!$Q$5:$Q$54,C1494)=0,"✗ 供应商不在基础资料里",IF(D1494="","✗ 没选商品",IF(COUNTIF(基础资料!$E$5:$E$104,D1494)=0,"✗ 商品不在商品档案里",IF(AND(E1494="",H1494=""),"✗ 没填数量",IF(AND(N(E1494)&lt;&gt;0,F1494=""),"✗ 没填进价","√")))))))))</f>
      </c>
    </row>
    <row r="1495">
      <c r="A1495" s="109">
        <f>IF(AND(C1495="",D1495=""),"",ROW()-3)</f>
      </c>
      <c r="B1495" s="140" t="n"/>
      <c r="C1495" s="141" t="n"/>
      <c r="D1495" s="141" t="n"/>
      <c r="E1495" s="148" t="n"/>
      <c r="F1495" s="149" t="n"/>
      <c r="G1495" s="150">
        <f>IF(AND(E1495&lt;&gt;"",F1495&lt;&gt;""),E1495*F1495,"")</f>
      </c>
      <c r="H1495" s="148" t="n"/>
      <c r="I1495" s="142" t="n"/>
      <c r="J1495" s="146">
        <f>IF(AND(B1495="",C1495="",D1495="",E1495="",F1495="",H1495=""),"",IF(NOT(ISNUMBER(B1495)),"✗ 日期不是真日期",IF(OR(B1495&lt;年初日,B1495&gt;年末日),"✗ 日期不在本年度",IF(C1495="","✗ 没选供应商",IF(COUNTIF(基础资料!$Q$5:$Q$54,C1495)=0,"✗ 供应商不在基础资料里",IF(D1495="","✗ 没选商品",IF(COUNTIF(基础资料!$E$5:$E$104,D1495)=0,"✗ 商品不在商品档案里",IF(AND(E1495="",H1495=""),"✗ 没填数量",IF(AND(N(E1495)&lt;&gt;0,F1495=""),"✗ 没填进价","√")))))))))</f>
      </c>
    </row>
    <row r="1496">
      <c r="A1496" s="109">
        <f>IF(AND(C1496="",D1496=""),"",ROW()-3)</f>
      </c>
      <c r="B1496" s="140" t="n"/>
      <c r="C1496" s="141" t="n"/>
      <c r="D1496" s="141" t="n"/>
      <c r="E1496" s="148" t="n"/>
      <c r="F1496" s="149" t="n"/>
      <c r="G1496" s="150">
        <f>IF(AND(E1496&lt;&gt;"",F1496&lt;&gt;""),E1496*F1496,"")</f>
      </c>
      <c r="H1496" s="148" t="n"/>
      <c r="I1496" s="142" t="n"/>
      <c r="J1496" s="146">
        <f>IF(AND(B1496="",C1496="",D1496="",E1496="",F1496="",H1496=""),"",IF(NOT(ISNUMBER(B1496)),"✗ 日期不是真日期",IF(OR(B1496&lt;年初日,B1496&gt;年末日),"✗ 日期不在本年度",IF(C1496="","✗ 没选供应商",IF(COUNTIF(基础资料!$Q$5:$Q$54,C1496)=0,"✗ 供应商不在基础资料里",IF(D1496="","✗ 没选商品",IF(COUNTIF(基础资料!$E$5:$E$104,D1496)=0,"✗ 商品不在商品档案里",IF(AND(E1496="",H1496=""),"✗ 没填数量",IF(AND(N(E1496)&lt;&gt;0,F1496=""),"✗ 没填进价","√")))))))))</f>
      </c>
    </row>
    <row r="1497">
      <c r="A1497" s="109">
        <f>IF(AND(C1497="",D1497=""),"",ROW()-3)</f>
      </c>
      <c r="B1497" s="140" t="n"/>
      <c r="C1497" s="141" t="n"/>
      <c r="D1497" s="141" t="n"/>
      <c r="E1497" s="148" t="n"/>
      <c r="F1497" s="149" t="n"/>
      <c r="G1497" s="150">
        <f>IF(AND(E1497&lt;&gt;"",F1497&lt;&gt;""),E1497*F1497,"")</f>
      </c>
      <c r="H1497" s="148" t="n"/>
      <c r="I1497" s="142" t="n"/>
      <c r="J1497" s="146">
        <f>IF(AND(B1497="",C1497="",D1497="",E1497="",F1497="",H1497=""),"",IF(NOT(ISNUMBER(B1497)),"✗ 日期不是真日期",IF(OR(B1497&lt;年初日,B1497&gt;年末日),"✗ 日期不在本年度",IF(C1497="","✗ 没选供应商",IF(COUNTIF(基础资料!$Q$5:$Q$54,C1497)=0,"✗ 供应商不在基础资料里",IF(D1497="","✗ 没选商品",IF(COUNTIF(基础资料!$E$5:$E$104,D1497)=0,"✗ 商品不在商品档案里",IF(AND(E1497="",H1497=""),"✗ 没填数量",IF(AND(N(E1497)&lt;&gt;0,F1497=""),"✗ 没填进价","√")))))))))</f>
      </c>
    </row>
    <row r="1498">
      <c r="A1498" s="109">
        <f>IF(AND(C1498="",D1498=""),"",ROW()-3)</f>
      </c>
      <c r="B1498" s="140" t="n"/>
      <c r="C1498" s="141" t="n"/>
      <c r="D1498" s="141" t="n"/>
      <c r="E1498" s="148" t="n"/>
      <c r="F1498" s="149" t="n"/>
      <c r="G1498" s="150">
        <f>IF(AND(E1498&lt;&gt;"",F1498&lt;&gt;""),E1498*F1498,"")</f>
      </c>
      <c r="H1498" s="148" t="n"/>
      <c r="I1498" s="142" t="n"/>
      <c r="J1498" s="146">
        <f>IF(AND(B1498="",C1498="",D1498="",E1498="",F1498="",H1498=""),"",IF(NOT(ISNUMBER(B1498)),"✗ 日期不是真日期",IF(OR(B1498&lt;年初日,B1498&gt;年末日),"✗ 日期不在本年度",IF(C1498="","✗ 没选供应商",IF(COUNTIF(基础资料!$Q$5:$Q$54,C1498)=0,"✗ 供应商不在基础资料里",IF(D1498="","✗ 没选商品",IF(COUNTIF(基础资料!$E$5:$E$104,D1498)=0,"✗ 商品不在商品档案里",IF(AND(E1498="",H1498=""),"✗ 没填数量",IF(AND(N(E1498)&lt;&gt;0,F1498=""),"✗ 没填进价","√")))))))))</f>
      </c>
    </row>
    <row r="1499">
      <c r="A1499" s="109">
        <f>IF(AND(C1499="",D1499=""),"",ROW()-3)</f>
      </c>
      <c r="B1499" s="140" t="n"/>
      <c r="C1499" s="141" t="n"/>
      <c r="D1499" s="141" t="n"/>
      <c r="E1499" s="148" t="n"/>
      <c r="F1499" s="149" t="n"/>
      <c r="G1499" s="150">
        <f>IF(AND(E1499&lt;&gt;"",F1499&lt;&gt;""),E1499*F1499,"")</f>
      </c>
      <c r="H1499" s="148" t="n"/>
      <c r="I1499" s="142" t="n"/>
      <c r="J1499" s="146">
        <f>IF(AND(B1499="",C1499="",D1499="",E1499="",F1499="",H1499=""),"",IF(NOT(ISNUMBER(B1499)),"✗ 日期不是真日期",IF(OR(B1499&lt;年初日,B1499&gt;年末日),"✗ 日期不在本年度",IF(C1499="","✗ 没选供应商",IF(COUNTIF(基础资料!$Q$5:$Q$54,C1499)=0,"✗ 供应商不在基础资料里",IF(D1499="","✗ 没选商品",IF(COUNTIF(基础资料!$E$5:$E$104,D1499)=0,"✗ 商品不在商品档案里",IF(AND(E1499="",H1499=""),"✗ 没填数量",IF(AND(N(E1499)&lt;&gt;0,F1499=""),"✗ 没填进价","√")))))))))</f>
      </c>
    </row>
    <row r="1500">
      <c r="A1500" s="109">
        <f>IF(AND(C1500="",D1500=""),"",ROW()-3)</f>
      </c>
      <c r="B1500" s="140" t="n"/>
      <c r="C1500" s="141" t="n"/>
      <c r="D1500" s="141" t="n"/>
      <c r="E1500" s="148" t="n"/>
      <c r="F1500" s="149" t="n"/>
      <c r="G1500" s="150">
        <f>IF(AND(E1500&lt;&gt;"",F1500&lt;&gt;""),E1500*F1500,"")</f>
      </c>
      <c r="H1500" s="148" t="n"/>
      <c r="I1500" s="142" t="n"/>
      <c r="J1500" s="146">
        <f>IF(AND(B1500="",C1500="",D1500="",E1500="",F1500="",H1500=""),"",IF(NOT(ISNUMBER(B1500)),"✗ 日期不是真日期",IF(OR(B1500&lt;年初日,B1500&gt;年末日),"✗ 日期不在本年度",IF(C1500="","✗ 没选供应商",IF(COUNTIF(基础资料!$Q$5:$Q$54,C1500)=0,"✗ 供应商不在基础资料里",IF(D1500="","✗ 没选商品",IF(COUNTIF(基础资料!$E$5:$E$104,D1500)=0,"✗ 商品不在商品档案里",IF(AND(E1500="",H1500=""),"✗ 没填数量",IF(AND(N(E1500)&lt;&gt;0,F1500=""),"✗ 没填进价","√")))))))))</f>
      </c>
    </row>
    <row r="1501">
      <c r="A1501" s="109">
        <f>IF(AND(C1501="",D1501=""),"",ROW()-3)</f>
      </c>
      <c r="B1501" s="140" t="n"/>
      <c r="C1501" s="141" t="n"/>
      <c r="D1501" s="141" t="n"/>
      <c r="E1501" s="148" t="n"/>
      <c r="F1501" s="149" t="n"/>
      <c r="G1501" s="150">
        <f>IF(AND(E1501&lt;&gt;"",F1501&lt;&gt;""),E1501*F1501,"")</f>
      </c>
      <c r="H1501" s="148" t="n"/>
      <c r="I1501" s="142" t="n"/>
      <c r="J1501" s="146">
        <f>IF(AND(B1501="",C1501="",D1501="",E1501="",F1501="",H1501=""),"",IF(NOT(ISNUMBER(B1501)),"✗ 日期不是真日期",IF(OR(B1501&lt;年初日,B1501&gt;年末日),"✗ 日期不在本年度",IF(C1501="","✗ 没选供应商",IF(COUNTIF(基础资料!$Q$5:$Q$54,C1501)=0,"✗ 供应商不在基础资料里",IF(D1501="","✗ 没选商品",IF(COUNTIF(基础资料!$E$5:$E$104,D1501)=0,"✗ 商品不在商品档案里",IF(AND(E1501="",H1501=""),"✗ 没填数量",IF(AND(N(E1501)&lt;&gt;0,F1501=""),"✗ 没填进价","√")))))))))</f>
      </c>
    </row>
    <row r="1502">
      <c r="A1502" s="109">
        <f>IF(AND(C1502="",D1502=""),"",ROW()-3)</f>
      </c>
      <c r="B1502" s="140" t="n"/>
      <c r="C1502" s="141" t="n"/>
      <c r="D1502" s="141" t="n"/>
      <c r="E1502" s="148" t="n"/>
      <c r="F1502" s="149" t="n"/>
      <c r="G1502" s="150">
        <f>IF(AND(E1502&lt;&gt;"",F1502&lt;&gt;""),E1502*F1502,"")</f>
      </c>
      <c r="H1502" s="148" t="n"/>
      <c r="I1502" s="142" t="n"/>
      <c r="J1502" s="146">
        <f>IF(AND(B1502="",C1502="",D1502="",E1502="",F1502="",H1502=""),"",IF(NOT(ISNUMBER(B1502)),"✗ 日期不是真日期",IF(OR(B1502&lt;年初日,B1502&gt;年末日),"✗ 日期不在本年度",IF(C1502="","✗ 没选供应商",IF(COUNTIF(基础资料!$Q$5:$Q$54,C1502)=0,"✗ 供应商不在基础资料里",IF(D1502="","✗ 没选商品",IF(COUNTIF(基础资料!$E$5:$E$104,D1502)=0,"✗ 商品不在商品档案里",IF(AND(E1502="",H1502=""),"✗ 没填数量",IF(AND(N(E1502)&lt;&gt;0,F1502=""),"✗ 没填进价","√")))))))))</f>
      </c>
    </row>
    <row r="1503">
      <c r="A1503" s="109">
        <f>IF(AND(C1503="",D1503=""),"",ROW()-3)</f>
      </c>
      <c r="B1503" s="140" t="n"/>
      <c r="C1503" s="141" t="n"/>
      <c r="D1503" s="141" t="n"/>
      <c r="E1503" s="148" t="n"/>
      <c r="F1503" s="149" t="n"/>
      <c r="G1503" s="150">
        <f>IF(AND(E1503&lt;&gt;"",F1503&lt;&gt;""),E1503*F1503,"")</f>
      </c>
      <c r="H1503" s="148" t="n"/>
      <c r="I1503" s="142" t="n"/>
      <c r="J1503" s="146">
        <f>IF(AND(B1503="",C1503="",D1503="",E1503="",F1503="",H1503=""),"",IF(NOT(ISNUMBER(B1503)),"✗ 日期不是真日期",IF(OR(B1503&lt;年初日,B1503&gt;年末日),"✗ 日期不在本年度",IF(C1503="","✗ 没选供应商",IF(COUNTIF(基础资料!$Q$5:$Q$54,C1503)=0,"✗ 供应商不在基础资料里",IF(D1503="","✗ 没选商品",IF(COUNTIF(基础资料!$E$5:$E$104,D1503)=0,"✗ 商品不在商品档案里",IF(AND(E1503="",H1503=""),"✗ 没填数量",IF(AND(N(E1503)&lt;&gt;0,F1503=""),"✗ 没填进价","√")))))))))</f>
      </c>
    </row>
  </sheetData>
  <autoFilter ref="A3:J1503"/>
  <mergeCells count="2">
    <mergeCell ref="A1:J1"/>
    <mergeCell ref="A2:J2"/>
  </mergeCells>
  <conditionalFormatting sqref="J4:J1503">
    <cfRule type="expression" priority="1" dxfId="0">
      <formula>LEFT($J4,1)="✗"</formula>
    </cfRule>
  </conditionalFormatting>
  <dataValidations count="2">
    <dataValidation sqref="C4:C1503" showDropDown="0" showInputMessage="1" showErrorMessage="1" allowBlank="1" errorTitle="不在清单里" error="请从下拉里选；清单里没有的，先到【基础资料】/【总览汇总】里登记" promptTitle="提示" prompt="从下拉选供应商" type="list" errorStyle="stop">
      <formula1>=供应商列表</formula1>
    </dataValidation>
    <dataValidation sqref="D4:D1503" showDropDown="0" showInputMessage="1" showErrorMessage="1" allowBlank="1" errorTitle="不在清单里" error="请从下拉里选；清单里没有的，先到【基础资料】/【总览汇总】里登记" promptTitle="提示" prompt="从下拉选商品" type="list" errorStyle="stop">
      <formula1>=商品列表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0" summaryRight="0"/>
    <pageSetUpPr/>
  </sheetPr>
  <dimension ref="A1:T322"/>
  <sheetViews>
    <sheetView tabSelected="0" workbookViewId="0">
      <pane ySplit="4" topLeftCell="A5" activePane="bottomLeft" state="frozen"/>
      <selection pane="bottomLeft" activeCell="A1" sqref="A1"/>
      <selection pane="bottomLeft" activeCell="F17" sqref="F17"/>
    </sheetView>
  </sheetViews>
  <sheetFormatPr baseColWidth="8" defaultColWidth="14" defaultRowHeight="12"/>
  <cols>
    <col width="7" customWidth="1" style="71" min="1" max="1"/>
    <col width="19" customWidth="1" style="71" min="2" max="2"/>
    <col width="17" customWidth="1" style="71" min="3" max="3"/>
    <col width="15" customWidth="1" style="71" min="4" max="4"/>
    <col width="17" customWidth="1" style="71" min="5" max="5"/>
    <col width="15" customWidth="1" style="71" min="6" max="6"/>
    <col width="19.1428571428571" customWidth="1" style="71" min="7" max="7"/>
    <col width="13" customWidth="1" style="71" min="8" max="8"/>
    <col width="19" customWidth="1" style="71" min="9" max="10"/>
    <col width="19" customWidth="1" style="71" min="10" max="10"/>
    <col width="15" customWidth="1" style="71" min="11" max="11"/>
  </cols>
  <sheetData>
    <row r="1" ht="37" customHeight="1" s="71">
      <c r="A1" s="67" t="inlineStr">
        <is>
          <t>客户存条&amp;货款总览汇总表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 s="71">
      <c r="A2" s="3" t="inlineStr">
        <is>
          <t>💡 一篮子查看所有客户情况：新增客户在 B 列往下接着填（C 列填初始存条金额，K 列填上年结转过来的欠款）；领用记【出库明细】、收款记【资金台帐】并选客户，数据自动更新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42" customHeight="1" s="71">
      <c r="A3" s="68" t="inlineStr">
        <is>
          <t>序号</t>
        </is>
      </c>
      <c r="B3" s="68" t="inlineStr">
        <is>
          <t>客户名称</t>
        </is>
      </c>
      <c r="C3" s="68" t="inlineStr">
        <is>
          <t>初始存条金额(元)</t>
        </is>
      </c>
      <c r="D3" s="68" t="inlineStr">
        <is>
          <t>已领用金额(元)</t>
        </is>
      </c>
      <c r="E3" s="68" t="inlineStr">
        <is>
          <t>剩余存条金额(元)</t>
        </is>
      </c>
      <c r="F3" s="68" t="inlineStr">
        <is>
          <t>已付款金额(元)</t>
        </is>
      </c>
      <c r="G3" s="68" t="inlineStr">
        <is>
          <t>未付货款(元)</t>
        </is>
      </c>
      <c r="H3" s="68" t="inlineStr">
        <is>
          <t>状态</t>
        </is>
      </c>
      <c r="I3" s="68" t="inlineStr">
        <is>
          <t>库存总结余数量(件)</t>
        </is>
      </c>
      <c r="J3" s="68" t="inlineStr">
        <is>
          <t>库存总结余金额(元)</t>
        </is>
      </c>
      <c r="K3" s="68" t="inlineStr">
        <is>
          <t>期初欠款(元)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42" customHeight="1" s="71">
      <c r="A4" s="68" t="n"/>
      <c r="B4" s="68" t="inlineStr">
        <is>
          <t>合计</t>
        </is>
      </c>
      <c r="C4" s="68">
        <f>C305</f>
        <v>3138507.19</v>
      </c>
      <c r="D4" s="68">
        <f>D305</f>
        <v>1707307.7</v>
      </c>
      <c r="E4" s="68">
        <f>E305</f>
        <v>1446535.99</v>
      </c>
      <c r="F4" s="68">
        <f>F305</f>
        <v>3869309.69</v>
      </c>
      <c r="G4" s="68">
        <f>G305</f>
        <v>-2162001.99</v>
      </c>
      <c r="H4" s="68" t="n"/>
      <c r="I4" s="151">
        <f>I305</f>
        <v>25340</v>
      </c>
      <c r="J4" s="68">
        <f>J305</f>
        <v>1993075.8</v>
      </c>
      <c r="K4" s="68">
        <f>K305</f>
        <v>0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5" customHeight="1" s="71">
      <c r="A5" s="47">
        <f>IF(B5="","",COUNTA($B$5:B5))</f>
        <v>1</v>
      </c>
      <c r="B5" s="47" t="inlineStr">
        <is>
          <t>星海超市</t>
        </is>
      </c>
      <c r="C5" s="152" t="n">
        <v>39547</v>
      </c>
      <c r="D5" s="152">
        <f>IF(B5&lt;&gt;"",SUMIF(出库明细!C:C,B5,出库明细!G:G),"")</f>
        <v>77322</v>
      </c>
      <c r="E5" s="152">
        <f>IF(AND(C5&lt;&gt;"",D5&lt;&gt;""),C5-D5,"")</f>
        <v>-37775</v>
      </c>
      <c r="F5" s="153">
        <f>IF(B5&lt;&gt;"",SUMIFS(资金台帐!$S:$S,资金台帐!$J:$J,B5,资金台帐!$P:$P,"应收"),"")</f>
        <v>148067</v>
      </c>
      <c r="G5" s="153">
        <f>IF(B5="","",N(K5)+N(D5)-N(F5))</f>
        <v>-70745</v>
      </c>
      <c r="H5" s="70" t="str">
        <f>IF(B5="","",IF(G5=0,"已结清",IF(G5&gt;0,"有欠款","预存款")))</f>
        <v>预存款</v>
      </c>
      <c r="I5" s="154">
        <f>IFERROR(SUMIF(商品库存!B:B,B5,商品库存!I:I),0)</f>
        <v>1167</v>
      </c>
      <c r="J5" s="155">
        <f>IFERROR(SUMIF(商品库存!B:B,B5,商品库存!J:J),0)</f>
        <v>73781</v>
      </c>
      <c r="K5" s="15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5" customHeight="1" s="71">
      <c r="A6" s="14">
        <f>IF(B6="","",COUNTA($B$5:B6))</f>
        <v>2</v>
      </c>
      <c r="B6" s="14" t="inlineStr">
        <is>
          <t>王玉琴</t>
        </is>
      </c>
      <c r="C6" s="156" t="n">
        <v>99000</v>
      </c>
      <c r="D6" s="156">
        <f>IF(B6&lt;&gt;"",SUMIF(出库明细!C:C,B6,出库明细!G:G),"")</f>
        <v>54172.5</v>
      </c>
      <c r="E6" s="156">
        <f>IF(AND(C6&lt;&gt;"",D6&lt;&gt;""),C6-D6,"")</f>
        <v>44827.5</v>
      </c>
      <c r="F6" s="156">
        <f>IF(B6&lt;&gt;"",SUMIFS(资金台帐!$S:$S,资金台帐!$J:$J,B6,资金台帐!$P:$P,"应收"),"")</f>
        <v>106697</v>
      </c>
      <c r="G6" s="156">
        <f>IF(B6="","",N(K6)+N(D6)-N(F6))</f>
        <v>-52524.5</v>
      </c>
      <c r="H6" s="14" t="str">
        <f>IF(B6="","",IF(G6=0,"已结清",IF(G6&gt;0,"有欠款","预存款")))</f>
        <v>预存款</v>
      </c>
      <c r="I6" s="157">
        <f>IFERROR(SUMIF(商品库存!B:B,B6,商品库存!I:I),0)</f>
        <v>462.5</v>
      </c>
      <c r="J6" s="156">
        <f>IFERROR(SUMIF(商品库存!B:B,B6,商品库存!J:J),0)</f>
        <v>44827.5</v>
      </c>
      <c r="K6" s="156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5" customHeight="1" s="71">
      <c r="A7" s="47">
        <f>IF(B7="","",COUNTA($B$5:B7))</f>
        <v>3</v>
      </c>
      <c r="B7" s="47" t="inlineStr">
        <is>
          <t>桐心源</t>
        </is>
      </c>
      <c r="C7" s="152" t="n">
        <v>700231.47</v>
      </c>
      <c r="D7" s="152">
        <f>IF(B7&lt;&gt;"",SUMIF(出库明细!C:C,B7,出库明细!G:G),"")</f>
        <v>416695</v>
      </c>
      <c r="E7" s="152">
        <f>IF(AND(C7&lt;&gt;"",D7&lt;&gt;""),C7-D7,"")</f>
        <v>283536.47</v>
      </c>
      <c r="F7" s="153">
        <f>IF(B7&lt;&gt;"",SUMIFS(资金台帐!$S:$S,资金台帐!$J:$J,B7,资金台帐!$P:$P,"应收"),"")</f>
        <v>868551.47</v>
      </c>
      <c r="G7" s="153">
        <f>IF(B7="","",N(K7)+N(D7)-N(F7))</f>
        <v>-451856.47</v>
      </c>
      <c r="H7" s="70" t="str">
        <f>IF(B7="","",IF(G7=0,"已结清",IF(G7&gt;0,"有欠款","预存款")))</f>
        <v>预存款</v>
      </c>
      <c r="I7" s="154">
        <f>IFERROR(SUMIF(商品库存!B:B,B7,商品库存!I:I),0)</f>
        <v>5560</v>
      </c>
      <c r="J7" s="155">
        <f>IFERROR(SUMIF(商品库存!B:B,B7,商品库存!J:J),0)</f>
        <v>469317</v>
      </c>
      <c r="K7" s="15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15" customHeight="1" s="71">
      <c r="A8" s="47">
        <f>IF(B8="","",COUNTA($B$5:B8))</f>
        <v>4</v>
      </c>
      <c r="B8" s="47" t="inlineStr">
        <is>
          <t>阿东副食</t>
        </is>
      </c>
      <c r="C8" s="152" t="n">
        <v>570147.22</v>
      </c>
      <c r="D8" s="152">
        <f>IF(B8&lt;&gt;"",SUMIF(出库明细!C:C,B8,出库明细!G:G),"")</f>
        <v>184072</v>
      </c>
      <c r="E8" s="152">
        <f>IF(AND(C8&lt;&gt;"",D8&lt;&gt;""),C8-D8,"")</f>
        <v>386075.22</v>
      </c>
      <c r="F8" s="152">
        <f>IF(B8&lt;&gt;"",SUMIFS(资金台帐!$S:$S,资金台帐!$J:$J,B8,资金台帐!$P:$P,"应收"),"")</f>
        <v>649147.22</v>
      </c>
      <c r="G8" s="152">
        <f>IF(B8="","",N(K8)+N(D8)-N(F8))</f>
        <v>-465075.22</v>
      </c>
      <c r="H8" s="47" t="str">
        <f>IF(B8="","",IF(G8=0,"已结清",IF(G8&gt;0,"有欠款","预存款")))</f>
        <v>预存款</v>
      </c>
      <c r="I8" s="157">
        <f>IFERROR(SUMIF(商品库存!B:B,B8,商品库存!I:I),0)</f>
        <v>6575</v>
      </c>
      <c r="J8" s="156">
        <f>IFERROR(SUMIF(商品库存!B:B,B8,商品库存!J:J),0)</f>
        <v>511410</v>
      </c>
      <c r="K8" s="15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5" customHeight="1" s="71">
      <c r="A9" s="14">
        <f>IF(B9="","",COUNTA($B$5:B9))</f>
        <v>5</v>
      </c>
      <c r="B9" s="14" t="inlineStr">
        <is>
          <t>金凤副食</t>
        </is>
      </c>
      <c r="C9" s="156" t="n">
        <v>8950</v>
      </c>
      <c r="D9" s="156">
        <f>IF(B9&lt;&gt;"",SUMIF(出库明细!C:C,B9,出库明细!G:G),"")</f>
        <v>47079.2</v>
      </c>
      <c r="E9" s="156">
        <f>IF(AND(C9&lt;&gt;"",D9&lt;&gt;""),C9-D9,"")</f>
        <v>-38129.2</v>
      </c>
      <c r="F9" s="156">
        <f>IF(B9&lt;&gt;"",SUMIFS(资金台帐!$S:$S,资金台帐!$J:$J,B9,资金台帐!$P:$P,"应收"),"")</f>
        <v>56950</v>
      </c>
      <c r="G9" s="156">
        <f>IF(B9="","",N(K9)+N(D9)-N(F9))</f>
        <v>-9870.8</v>
      </c>
      <c r="H9" s="14" t="str">
        <f>IF(B9="","",IF(G9=0,"已结清",IF(G9&gt;0,"有欠款","预存款")))</f>
        <v>预存款</v>
      </c>
      <c r="I9" s="157">
        <f>IFERROR(SUMIF(商品库存!B:B,B9,商品库存!I:I),0)</f>
        <v>-690</v>
      </c>
      <c r="J9" s="156">
        <f>IFERROR(SUMIF(商品库存!B:B,B9,商品库存!J:J),0)</f>
        <v>-38129.2</v>
      </c>
      <c r="K9" s="156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15" customHeight="1" s="71">
      <c r="A10" s="14">
        <f>IF(B10="","",COUNTA($B$5:B10))</f>
        <v>6</v>
      </c>
      <c r="B10" s="14" t="inlineStr">
        <is>
          <t>致发商行</t>
        </is>
      </c>
      <c r="C10" s="156" t="n">
        <v>437965</v>
      </c>
      <c r="D10" s="156">
        <f>IF(B10&lt;&gt;"",SUMIF(出库明细!C:C,B10,出库明细!G:G),"")</f>
        <v>164100</v>
      </c>
      <c r="E10" s="152">
        <f>IF(AND(C10&lt;&gt;"",D10&lt;&gt;""),C10-D10,"")</f>
        <v>273865</v>
      </c>
      <c r="F10" s="156">
        <f>IF(B10&lt;&gt;"",SUMIFS(资金台帐!$S:$S,资金台帐!$J:$J,B10,资金台帐!$P:$P,"应收"),"")</f>
        <v>437965</v>
      </c>
      <c r="G10" s="156">
        <f>IF(B10="","",N(K10)+N(D10)-N(F10))</f>
        <v>-273865</v>
      </c>
      <c r="H10" s="14" t="str">
        <f>IF(B10="","",IF(G10=0,"已结清",IF(G10&gt;0,"有欠款","预存款")))</f>
        <v>预存款</v>
      </c>
      <c r="I10" s="157">
        <f>IFERROR(SUMIF(商品库存!B:B,B10,商品库存!I:I),0)</f>
        <v>3165</v>
      </c>
      <c r="J10" s="156">
        <f>IFERROR(SUMIF(商品库存!B:B,B10,商品库存!J:J),0)</f>
        <v>273865</v>
      </c>
      <c r="K10" s="156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15" customHeight="1" s="71">
      <c r="A11" s="47">
        <f>IF(B11="","",COUNTA($B$5:B11))</f>
        <v>7</v>
      </c>
      <c r="B11" s="47" t="inlineStr">
        <is>
          <t>家家兴超市</t>
        </is>
      </c>
      <c r="C11" s="152" t="n"/>
      <c r="D11" s="152">
        <f>IF(B11&lt;&gt;"",SUMIF(出库明细!C:C,B11,出库明细!G:G),"")</f>
        <v>14616.5</v>
      </c>
      <c r="E11" s="152">
        <f>IF(AND(C11&lt;&gt;"",D11&lt;&gt;""),C11-D11,"")</f>
      </c>
      <c r="F11" s="152">
        <f>IF(B11&lt;&gt;"",SUMIFS(资金台帐!$S:$S,资金台帐!$J:$J,B11,资金台帐!$P:$P,"应收"),"")</f>
        <v>12579</v>
      </c>
      <c r="G11" s="152">
        <f>IF(B11="","",N(K11)+N(D11)-N(F11))</f>
        <v>2037.5</v>
      </c>
      <c r="H11" s="47" t="str">
        <f>IF(B11="","",IF(G11=0,"已结清",IF(G11&gt;0,"有欠款","预存款")))</f>
        <v>有欠款</v>
      </c>
      <c r="I11" s="157">
        <f>IFERROR(SUMIF(商品库存!B:B,B11,商品库存!I:I),0)</f>
        <v>-233</v>
      </c>
      <c r="J11" s="156">
        <f>IFERROR(SUMIF(商品库存!B:B,B11,商品库存!J:J),0)</f>
        <v>-14616.5</v>
      </c>
      <c r="K11" s="15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" customHeight="1" s="71">
      <c r="A12" s="14">
        <f>IF(B12="","",COUNTA($B$5:B12))</f>
        <v>8</v>
      </c>
      <c r="B12" s="14" t="inlineStr">
        <is>
          <t>通达商行</t>
        </is>
      </c>
      <c r="C12" s="156" t="n">
        <v>18000</v>
      </c>
      <c r="D12" s="156">
        <f>IF(B12&lt;&gt;"",SUMIF(出库明细!C:C,B12,出库明细!G:G),"")</f>
        <v>18000</v>
      </c>
      <c r="E12" s="156">
        <f>IF(AND(C12&lt;&gt;"",D12&lt;&gt;""),C12-D12,"")</f>
        <v>0</v>
      </c>
      <c r="F12" s="156">
        <f>IF(B12&lt;&gt;"",SUMIFS(资金台帐!$S:$S,资金台帐!$J:$J,B12,资金台帐!$P:$P,"应收"),"")</f>
        <v>18000</v>
      </c>
      <c r="G12" s="156">
        <f>IF(B12="","",N(K12)+N(D12)-N(F12))</f>
        <v>0</v>
      </c>
      <c r="H12" s="14" t="str">
        <f>IF(B12="","",IF(G12=0,"已结清",IF(G12&gt;0,"有欠款","预存款")))</f>
        <v>已结清</v>
      </c>
      <c r="I12" s="157">
        <f>IFERROR(SUMIF(商品库存!B:B,B12,商品库存!I:I),0)</f>
        <v>0</v>
      </c>
      <c r="J12" s="156">
        <f>IFERROR(SUMIF(商品库存!B:B,B12,商品库存!J:J),0)</f>
        <v>0</v>
      </c>
      <c r="K12" s="156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15" customHeight="1" s="71">
      <c r="A13" s="47">
        <f>IF(B13="","",COUNTA($B$5:B13))</f>
        <v>9</v>
      </c>
      <c r="B13" s="47" t="inlineStr">
        <is>
          <t>宜兴粮油</t>
        </is>
      </c>
      <c r="C13" s="152" t="n">
        <v>54000</v>
      </c>
      <c r="D13" s="152">
        <f>IF(B13&lt;&gt;"",SUMIF(出库明细!C:C,B13,出库明细!G:G),"")</f>
        <v>64943.5</v>
      </c>
      <c r="E13" s="152">
        <f>IF(AND(C13&lt;&gt;"",D13&lt;&gt;""),C13-D13,"")</f>
        <v>-10943.5</v>
      </c>
      <c r="F13" s="152">
        <f>IF(B13&lt;&gt;"",SUMIFS(资金台帐!$S:$S,资金台帐!$J:$J,B13,资金台帐!$P:$P,"应收"),"")</f>
        <v>66416.5</v>
      </c>
      <c r="G13" s="152">
        <f>IF(B13="","",N(K13)+N(D13)-N(F13))</f>
        <v>-1473</v>
      </c>
      <c r="H13" s="47" t="str">
        <f>IF(B13="","",IF(G13=0,"已结清",IF(G13&gt;0,"有欠款","预存款")))</f>
        <v>预存款</v>
      </c>
      <c r="I13" s="157">
        <f>IFERROR(SUMIF(商品库存!B:B,B13,商品库存!I:I),0)</f>
        <v>45</v>
      </c>
      <c r="J13" s="156">
        <f>IFERROR(SUMIF(商品库存!B:B,B13,商品库存!J:J),0)</f>
        <v>1473</v>
      </c>
      <c r="K13" s="15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15" customHeight="1" s="71">
      <c r="A14" s="14">
        <f>IF(B14="","",COUNTA($B$5:B14))</f>
        <v>10</v>
      </c>
      <c r="B14" s="14" t="inlineStr">
        <is>
          <t>马路下小卖部</t>
        </is>
      </c>
      <c r="C14" s="156" t="n">
        <v>19440</v>
      </c>
      <c r="D14" s="156">
        <f>IF(B14&lt;&gt;"",SUMIF(出库明细!C:C,B14,出库明细!G:G),"")</f>
        <v>4986</v>
      </c>
      <c r="E14" s="156">
        <f>IF(AND(C14&lt;&gt;"",D14&lt;&gt;""),C14-D14,"")</f>
        <v>14454</v>
      </c>
      <c r="F14" s="156">
        <f>IF(B14&lt;&gt;"",SUMIFS(资金台帐!$S:$S,资金台帐!$J:$J,B14,资金台帐!$P:$P,"应收"),"")</f>
        <v>19440</v>
      </c>
      <c r="G14" s="156">
        <f>IF(B14="","",N(K14)+N(D14)-N(F14))</f>
        <v>-14454</v>
      </c>
      <c r="H14" s="14" t="str">
        <f>IF(B14="","",IF(G14=0,"已结清",IF(G14&gt;0,"有欠款","预存款")))</f>
        <v>预存款</v>
      </c>
      <c r="I14" s="157">
        <f>IFERROR(SUMIF(商品库存!B:B,B14,商品库存!I:I),0)</f>
        <v>144</v>
      </c>
      <c r="J14" s="156">
        <f>IFERROR(SUMIF(商品库存!B:B,B14,商品库存!J:J),0)</f>
        <v>13614</v>
      </c>
      <c r="K14" s="156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15" customHeight="1" s="71">
      <c r="A15" s="47">
        <f>IF(B15="","",COUNTA($B$5:B15))</f>
        <v>11</v>
      </c>
      <c r="B15" s="47" t="inlineStr">
        <is>
          <t>兴莲隆兴商行</t>
        </is>
      </c>
      <c r="C15" s="152" t="n">
        <v>30043</v>
      </c>
      <c r="D15" s="152">
        <f>IF(B15&lt;&gt;"",SUMIF(出库明细!C:C,B15,出库明细!G:G),"")</f>
        <v>27050</v>
      </c>
      <c r="E15" s="152">
        <f>IF(AND(C15&lt;&gt;"",D15&lt;&gt;""),C15-D15,"")</f>
        <v>2993</v>
      </c>
      <c r="F15" s="152">
        <f>IF(B15&lt;&gt;"",SUMIFS(资金台帐!$S:$S,资金台帐!$J:$J,B15,资金台帐!$P:$P,"应收"),"")</f>
        <v>39043</v>
      </c>
      <c r="G15" s="152">
        <f>IF(B15="","",N(K15)+N(D15)-N(F15))</f>
        <v>-11993</v>
      </c>
      <c r="H15" s="47" t="str">
        <f>IF(B15="","",IF(G15=0,"已结清",IF(G15&gt;0,"有欠款","预存款")))</f>
        <v>预存款</v>
      </c>
      <c r="I15" s="157">
        <f>IFERROR(SUMIF(商品库存!B:B,B15,商品库存!I:I),0)</f>
        <v>-106</v>
      </c>
      <c r="J15" s="156">
        <f>IFERROR(SUMIF(商品库存!B:B,B15,商品库存!J:J),0)</f>
        <v>-3307</v>
      </c>
      <c r="K15" s="15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15" customHeight="1" s="71">
      <c r="A16" s="14">
        <f>IF(B16="","",COUNTA($B$5:B16))</f>
        <v>12</v>
      </c>
      <c r="B16" s="14" t="inlineStr">
        <is>
          <t>诚信粮油</t>
        </is>
      </c>
      <c r="C16" s="156" t="n">
        <v>29565</v>
      </c>
      <c r="D16" s="156">
        <f>IF(B16&lt;&gt;"",SUMIF(出库明细!C:C,B16,出库明细!G:G),"")</f>
        <v>29900</v>
      </c>
      <c r="E16" s="156">
        <f>IF(AND(C16&lt;&gt;"",D16&lt;&gt;""),C16-D16,"")</f>
        <v>-335</v>
      </c>
      <c r="F16" s="156">
        <f>IF(B16&lt;&gt;"",SUMIFS(资金台帐!$S:$S,资金台帐!$J:$J,B16,资金台帐!$P:$P,"应收"),"")</f>
        <v>79565</v>
      </c>
      <c r="G16" s="156">
        <f>IF(B16="","",N(K16)+N(D16)-N(F16))</f>
        <v>-49665</v>
      </c>
      <c r="H16" s="14" t="str">
        <f>IF(B16="","",IF(G16=0,"已结清",IF(G16&gt;0,"有欠款","预存款")))</f>
        <v>预存款</v>
      </c>
      <c r="I16" s="157">
        <f>IFERROR(SUMIF(商品库存!B:B,B16,商品库存!I:I),0)</f>
        <v>-50</v>
      </c>
      <c r="J16" s="156">
        <f>IFERROR(SUMIF(商品库存!B:B,B16,商品库存!J:J),0)</f>
        <v>-2900</v>
      </c>
      <c r="K16" s="156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15" customHeight="1" s="71">
      <c r="A17" s="47">
        <f>IF(B17="","",COUNTA($B$5:B17))</f>
        <v>13</v>
      </c>
      <c r="B17" s="47" t="inlineStr">
        <is>
          <t>李记副食</t>
        </is>
      </c>
      <c r="C17" s="152" t="n">
        <v>6930</v>
      </c>
      <c r="D17" s="152">
        <f>IF(B17&lt;&gt;"",SUMIF(出库明细!C:C,B17,出库明细!G:G),"")</f>
        <v>6562.5</v>
      </c>
      <c r="E17" s="152">
        <f>IF(AND(C17&lt;&gt;"",D17&lt;&gt;""),C17-D17,"")</f>
        <v>367.5</v>
      </c>
      <c r="F17" s="152">
        <f>IF(B17&lt;&gt;"",SUMIFS(资金台帐!$S:$S,资金台帐!$J:$J,B17,资金台帐!$P:$P,"应收"),"")</f>
        <v>6930</v>
      </c>
      <c r="G17" s="152">
        <f>IF(B17="","",N(K17)+N(D17)-N(F17))</f>
        <v>-367.5</v>
      </c>
      <c r="H17" s="47" t="str">
        <f>IF(B17="","",IF(G17=0,"已结清",IF(G17&gt;0,"有欠款","预存款")))</f>
        <v>预存款</v>
      </c>
      <c r="I17" s="157">
        <f>IFERROR(SUMIF(商品库存!B:B,B17,商品库存!I:I),0)</f>
        <v>-80.5</v>
      </c>
      <c r="J17" s="156">
        <f>IFERROR(SUMIF(商品库存!B:B,B17,商品库存!J:J),0)</f>
        <v>-6562.5</v>
      </c>
      <c r="K17" s="15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15" customHeight="1" s="71">
      <c r="A18" s="14">
        <f>IF(B18="","",COUNTA($B$5:B18))</f>
        <v>14</v>
      </c>
      <c r="B18" s="14" t="inlineStr">
        <is>
          <t>吕维春</t>
        </is>
      </c>
      <c r="C18" s="156" t="n">
        <v>32440</v>
      </c>
      <c r="D18" s="156">
        <f>IF(B18&lt;&gt;"",SUMIF(出库明细!C:C,B18,出库明细!G:G),"")</f>
        <v>16400</v>
      </c>
      <c r="E18" s="156">
        <f>IF(AND(C18&lt;&gt;"",D18&lt;&gt;""),C18-D18,"")</f>
        <v>16040</v>
      </c>
      <c r="F18" s="156">
        <f>IF(B18&lt;&gt;"",SUMIFS(资金台帐!$S:$S,资金台帐!$J:$J,B18,资金台帐!$P:$P,"应收"),"")</f>
        <v>62440</v>
      </c>
      <c r="G18" s="156">
        <f>IF(B18="","",N(K18)+N(D18)-N(F18))</f>
        <v>-46040</v>
      </c>
      <c r="H18" s="14" t="str">
        <f>IF(B18="","",IF(G18=0,"已结清",IF(G18&gt;0,"有欠款","预存款")))</f>
        <v>预存款</v>
      </c>
      <c r="I18" s="157">
        <f>IFERROR(SUMIF(商品库存!B:B,B18,商品库存!I:I),0)</f>
        <v>200</v>
      </c>
      <c r="J18" s="156">
        <f>IFERROR(SUMIF(商品库存!B:B,B18,商品库存!J:J),0)</f>
        <v>16040</v>
      </c>
      <c r="K18" s="156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15" customHeight="1" s="71">
      <c r="A19" s="47">
        <f>IF(B19="","",COUNTA($B$5:B19))</f>
        <v>15</v>
      </c>
      <c r="B19" s="47" t="inlineStr">
        <is>
          <t>兴发商行</t>
        </is>
      </c>
      <c r="C19" s="152" t="n">
        <v>15300</v>
      </c>
      <c r="D19" s="152">
        <f>IF(B19&lt;&gt;"",SUMIF(出库明细!C:C,B19,出库明细!G:G),"")</f>
        <v>9270</v>
      </c>
      <c r="E19" s="152">
        <f>IF(AND(C19&lt;&gt;"",D19&lt;&gt;""),C19-D19,"")</f>
        <v>6030</v>
      </c>
      <c r="F19" s="152">
        <f>IF(B19&lt;&gt;"",SUMIFS(资金台帐!$S:$S,资金台帐!$J:$J,B19,资金台帐!$P:$P,"应收"),"")</f>
        <v>16437.5</v>
      </c>
      <c r="G19" s="152">
        <f>IF(B19="","",N(K19)+N(D19)-N(F19))</f>
        <v>-7167.5</v>
      </c>
      <c r="H19" s="47" t="str">
        <f>IF(B19="","",IF(G19=0,"已结清",IF(G19&gt;0,"有欠款","预存款")))</f>
        <v>预存款</v>
      </c>
      <c r="I19" s="157">
        <f>IFERROR(SUMIF(商品库存!B:B,B19,商品库存!I:I),0)</f>
        <v>80</v>
      </c>
      <c r="J19" s="156">
        <f>IFERROR(SUMIF(商品库存!B:B,B19,商品库存!J:J),0)</f>
        <v>7167.5</v>
      </c>
      <c r="K19" s="15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15" customHeight="1" s="71">
      <c r="A20" s="14">
        <f>IF(B20="","",COUNTA($B$5:B20))</f>
        <v>16</v>
      </c>
      <c r="B20" s="27" t="inlineStr">
        <is>
          <t>城岗日日升超市</t>
        </is>
      </c>
      <c r="C20" s="156" t="n">
        <v>36895</v>
      </c>
      <c r="D20" s="156">
        <f>IF(B20&lt;&gt;"",SUMIF(出库明细!C:C,B20,出库明细!G:G),"")</f>
        <v>38496.5</v>
      </c>
      <c r="E20" s="156">
        <f>IF(AND(C20&lt;&gt;"",D20&lt;&gt;""),C20-D20,"")</f>
        <v>-1601.5</v>
      </c>
      <c r="F20" s="156">
        <f>IF(B20&lt;&gt;"",SUMIFS(资金台帐!$S:$S,资金台帐!$J:$J,B20,资金台帐!$P:$P,"应收"),"")</f>
        <v>63895</v>
      </c>
      <c r="G20" s="156">
        <f>IF(B20="","",N(K20)+N(D20)-N(F20))</f>
        <v>-25398.5</v>
      </c>
      <c r="H20" s="14" t="str">
        <f>IF(B20="","",IF(G20=0,"已结清",IF(G20&gt;0,"有欠款","预存款")))</f>
        <v>预存款</v>
      </c>
      <c r="I20" s="157">
        <f>IFERROR(SUMIF(商品库存!B:B,B20,商品库存!I:I),0)</f>
        <v>545</v>
      </c>
      <c r="J20" s="156">
        <f>IFERROR(SUMIF(商品库存!B:B,B20,商品库存!J:J),0)</f>
        <v>25398.5</v>
      </c>
      <c r="K20" s="156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15" customHeight="1" s="71">
      <c r="A21" s="47">
        <f>IF(B21="","",COUNTA($B$5:B21))</f>
        <v>17</v>
      </c>
      <c r="B21" s="27" t="inlineStr">
        <is>
          <t>江背久明商行</t>
        </is>
      </c>
      <c r="C21" s="152" t="n">
        <v>21620</v>
      </c>
      <c r="D21" s="152">
        <f>IF(B21&lt;&gt;"",SUMIF(出库明细!C:C,B21,出库明细!G:G),"")</f>
        <v>56620</v>
      </c>
      <c r="E21" s="152">
        <f>IF(AND(C21&lt;&gt;"",D21&lt;&gt;""),C21-D21,"")</f>
        <v>-35000</v>
      </c>
      <c r="F21" s="152">
        <f>IF(B21&lt;&gt;"",SUMIFS(资金台帐!$S:$S,资金台帐!$J:$J,B21,资金台帐!$P:$P,"应收"),"")</f>
        <v>21620</v>
      </c>
      <c r="G21" s="152">
        <f>IF(B21="","",N(K21)+N(D21)-N(F21))</f>
        <v>35000</v>
      </c>
      <c r="H21" s="47" t="str">
        <f>IF(B21="","",IF(G21=0,"已结清",IF(G21&gt;0,"有欠款","预存款")))</f>
        <v>有欠款</v>
      </c>
      <c r="I21" s="157">
        <f>IFERROR(SUMIF(商品库存!B:B,B21,商品库存!I:I),0)</f>
        <v>0</v>
      </c>
      <c r="J21" s="156">
        <f>IFERROR(SUMIF(商品库存!B:B,B21,商品库存!J:J),0)</f>
        <v>0</v>
      </c>
      <c r="K21" s="15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15" customHeight="1" s="71">
      <c r="A22" s="14">
        <f>IF(B22="","",COUNTA($B$5:B22))</f>
        <v>18</v>
      </c>
      <c r="B22" s="27" t="inlineStr">
        <is>
          <t>社富丽华超市</t>
        </is>
      </c>
      <c r="C22" s="156" t="n">
        <v>8100</v>
      </c>
      <c r="D22" s="156">
        <f>IF(B22&lt;&gt;"",SUMIF(出库明细!C:C,B22,出库明细!G:G),"")</f>
        <v>0</v>
      </c>
      <c r="E22" s="156">
        <f>IF(AND(C22&lt;&gt;"",D22&lt;&gt;""),C22-D22,"")</f>
        <v>8100</v>
      </c>
      <c r="F22" s="156">
        <f>IF(B22&lt;&gt;"",SUMIFS(资金台帐!$S:$S,资金台帐!$J:$J,B22,资金台帐!$P:$P,"应收"),"")</f>
        <v>8100</v>
      </c>
      <c r="G22" s="156">
        <f>IF(B22="","",N(K22)+N(D22)-N(F22))</f>
        <v>-8100</v>
      </c>
      <c r="H22" s="14" t="str">
        <f>IF(B22="","",IF(G22=0,"已结清",IF(G22&gt;0,"有欠款","预存款")))</f>
        <v>预存款</v>
      </c>
      <c r="I22" s="157">
        <f>IFERROR(SUMIF(商品库存!B:B,B22,商品库存!I:I),0)</f>
        <v>90</v>
      </c>
      <c r="J22" s="156">
        <f>IFERROR(SUMIF(商品库存!B:B,B22,商品库存!J:J),0)</f>
        <v>8100</v>
      </c>
      <c r="K22" s="156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 ht="15" customHeight="1" s="71">
      <c r="A23" s="47">
        <f>IF(B23="","",COUNTA($B$5:B23))</f>
        <v>19</v>
      </c>
      <c r="B23" s="27" t="inlineStr">
        <is>
          <t>九鑫粮油</t>
        </is>
      </c>
      <c r="C23" s="152" t="n">
        <v>3150</v>
      </c>
      <c r="D23" s="152">
        <f>IF(B23&lt;&gt;"",SUMIF(出库明细!C:C,B23,出库明细!G:G),"")</f>
        <v>6030</v>
      </c>
      <c r="E23" s="152">
        <f>IF(AND(C23&lt;&gt;"",D23&lt;&gt;""),C23-D23,"")</f>
        <v>-2880</v>
      </c>
      <c r="F23" s="152">
        <f>IF(B23&lt;&gt;"",SUMIFS(资金台帐!$S:$S,资金台帐!$J:$J,B23,资金台帐!$P:$P,"应收"),"")</f>
        <v>13150</v>
      </c>
      <c r="G23" s="152">
        <f>IF(B23="","",N(K23)+N(D23)-N(F23))</f>
        <v>-7120</v>
      </c>
      <c r="H23" s="47" t="str">
        <f>IF(B23="","",IF(G23=0,"已结清",IF(G23&gt;0,"有欠款","预存款")))</f>
        <v>预存款</v>
      </c>
      <c r="I23" s="157">
        <f>IFERROR(SUMIF(商品库存!B:B,B23,商品库存!I:I),0)</f>
        <v>-32</v>
      </c>
      <c r="J23" s="156">
        <f>IFERROR(SUMIF(商品库存!B:B,B23,商品库存!J:J),0)</f>
        <v>-2880</v>
      </c>
      <c r="K23" s="15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 ht="15" customHeight="1" s="71">
      <c r="A24" s="14">
        <f>IF(B24="","",COUNTA($B$5:B24))</f>
        <v>20</v>
      </c>
      <c r="B24" s="27" t="inlineStr">
        <is>
          <t>鼎龙陈财超市</t>
        </is>
      </c>
      <c r="C24" s="156" t="n">
        <v>177682.5</v>
      </c>
      <c r="D24" s="156">
        <f>IF(B24&lt;&gt;"",SUMIF(出库明细!C:C,B24,出库明细!G:G),"")</f>
        <v>10660</v>
      </c>
      <c r="E24" s="156">
        <f>IF(AND(C24&lt;&gt;"",D24&lt;&gt;""),C24-D24,"")</f>
        <v>167022.5</v>
      </c>
      <c r="F24" s="156">
        <f>IF(B24&lt;&gt;"",SUMIFS(资金台帐!$S:$S,资金台帐!$J:$J,B24,资金台帐!$P:$P,"应收"),"")</f>
        <v>180682.5</v>
      </c>
      <c r="G24" s="156">
        <f>IF(B24="","",N(K24)+N(D24)-N(F24))</f>
        <v>-170022.5</v>
      </c>
      <c r="H24" s="14" t="str">
        <f>IF(B24="","",IF(G24=0,"已结清",IF(G24&gt;0,"有欠款","预存款")))</f>
        <v>预存款</v>
      </c>
      <c r="I24" s="157">
        <f>IFERROR(SUMIF(商品库存!B:B,B24,商品库存!I:I),0)</f>
        <v>2183.5</v>
      </c>
      <c r="J24" s="156">
        <f>IFERROR(SUMIF(商品库存!B:B,B24,商品库存!J:J),0)</f>
        <v>177422.5</v>
      </c>
      <c r="K24" s="156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 ht="15" customHeight="1" s="71">
      <c r="A25" s="47">
        <f>IF(B25="","",COUNTA($B$5:B25))</f>
        <v>21</v>
      </c>
      <c r="B25" s="27" t="inlineStr">
        <is>
          <t>洪门美群商行</t>
        </is>
      </c>
      <c r="C25" s="152" t="n">
        <v>4500</v>
      </c>
      <c r="D25" s="152">
        <f>IF(B25&lt;&gt;"",SUMIF(出库明细!C:C,B25,出库明细!G:G),"")</f>
        <v>0</v>
      </c>
      <c r="E25" s="152">
        <f>IF(AND(C25&lt;&gt;"",D25&lt;&gt;""),C25-D25,"")</f>
        <v>4500</v>
      </c>
      <c r="F25" s="152">
        <f>IF(B25&lt;&gt;"",SUMIFS(资金台帐!$S:$S,资金台帐!$J:$J,B25,资金台帐!$P:$P,"应收"),"")</f>
        <v>4500</v>
      </c>
      <c r="G25" s="152">
        <f>IF(B25="","",N(K25)+N(D25)-N(F25))</f>
        <v>-4500</v>
      </c>
      <c r="H25" s="47" t="str">
        <f>IF(B25="","",IF(G25=0,"已结清",IF(G25&gt;0,"有欠款","预存款")))</f>
        <v>预存款</v>
      </c>
      <c r="I25" s="157">
        <f>IFERROR(SUMIF(商品库存!B:B,B25,商品库存!I:I),0)</f>
        <v>50</v>
      </c>
      <c r="J25" s="156">
        <f>IFERROR(SUMIF(商品库存!B:B,B25,商品库存!J:J),0)</f>
        <v>4500</v>
      </c>
      <c r="K25" s="15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 ht="15" customHeight="1" s="71">
      <c r="A26" s="14">
        <f>IF(B26="","",COUNTA($B$5:B26))</f>
        <v>22</v>
      </c>
      <c r="B26" s="27" t="inlineStr">
        <is>
          <t>兴江家源超市</t>
        </is>
      </c>
      <c r="C26" s="156" t="n">
        <v>1800</v>
      </c>
      <c r="D26" s="156">
        <f>IF(B26&lt;&gt;"",SUMIF(出库明细!C:C,B26,出库明细!G:G),"")</f>
        <v>0</v>
      </c>
      <c r="E26" s="156">
        <f>IF(AND(C26&lt;&gt;"",D26&lt;&gt;""),C26-D26,"")</f>
        <v>1800</v>
      </c>
      <c r="F26" s="156">
        <f>IF(B26&lt;&gt;"",SUMIFS(资金台帐!$S:$S,资金台帐!$J:$J,B26,资金台帐!$P:$P,"应收"),"")</f>
        <v>1800</v>
      </c>
      <c r="G26" s="156">
        <f>IF(B26="","",N(K26)+N(D26)-N(F26))</f>
        <v>-1800</v>
      </c>
      <c r="H26" s="14" t="str">
        <f>IF(B26="","",IF(G26=0,"已结清",IF(G26&gt;0,"有欠款","预存款")))</f>
        <v>预存款</v>
      </c>
      <c r="I26" s="157">
        <f>IFERROR(SUMIF(商品库存!B:B,B26,商品库存!I:I),0)</f>
        <v>20</v>
      </c>
      <c r="J26" s="156">
        <f>IFERROR(SUMIF(商品库存!B:B,B26,商品库存!J:J),0)</f>
        <v>1800</v>
      </c>
      <c r="K26" s="156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 ht="15" customHeight="1" s="71">
      <c r="A27" s="47">
        <f>IF(B27="","",COUNTA($B$5:B27))</f>
        <v>23</v>
      </c>
      <c r="B27" s="36" t="inlineStr">
        <is>
          <t>永丰橙丰购物</t>
        </is>
      </c>
      <c r="C27" s="152" t="n">
        <v>1067</v>
      </c>
      <c r="D27" s="152">
        <f>IF(B27&lt;&gt;"",SUMIF(出库明细!C:C,B27,出库明细!G:G),"")</f>
        <v>0</v>
      </c>
      <c r="E27" s="152">
        <f>IF(AND(C27&lt;&gt;"",D27&lt;&gt;""),C27-D27,"")</f>
        <v>1067</v>
      </c>
      <c r="F27" s="152">
        <f>IF(B27&lt;&gt;"",SUMIFS(资金台帐!$S:$S,资金台帐!$J:$J,B27,资金台帐!$P:$P,"应收"),"")</f>
        <v>1067</v>
      </c>
      <c r="G27" s="152">
        <f>IF(B27="","",N(K27)+N(D27)-N(F27))</f>
        <v>-1067</v>
      </c>
      <c r="H27" s="47" t="str">
        <f>IF(B27="","",IF(G27=0,"已结清",IF(G27&gt;0,"有欠款","预存款")))</f>
        <v>预存款</v>
      </c>
      <c r="I27" s="157">
        <f>IFERROR(SUMIF(商品库存!B:B,B27,商品库存!I:I),0)</f>
        <v>0</v>
      </c>
      <c r="J27" s="156">
        <f>IFERROR(SUMIF(商品库存!B:B,B27,商品库存!J:J),0)</f>
        <v>0</v>
      </c>
      <c r="K27" s="15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 ht="15" customHeight="1" s="71">
      <c r="A28" s="14">
        <f>IF(B28="","",COUNTA($B$5:B28))</f>
        <v>24</v>
      </c>
      <c r="B28" s="27" t="inlineStr">
        <is>
          <t>枫边德华超市</t>
        </is>
      </c>
      <c r="C28" s="156" t="n">
        <v>38440</v>
      </c>
      <c r="D28" s="156">
        <f>IF(B28&lt;&gt;"",SUMIF(出库明细!C:C,B28,出库明细!G:G),"")</f>
        <v>27490</v>
      </c>
      <c r="E28" s="156">
        <f>IF(AND(C28&lt;&gt;"",D28&lt;&gt;""),C28-D28,"")</f>
        <v>10950</v>
      </c>
      <c r="F28" s="156">
        <f>IF(B28&lt;&gt;"",SUMIFS(资金台帐!$S:$S,资金台帐!$J:$J,B28,资金台帐!$P:$P,"应收"),"")</f>
        <v>38440</v>
      </c>
      <c r="G28" s="156">
        <f>IF(B28="","",N(K28)+N(D28)-N(F28))</f>
        <v>-10950</v>
      </c>
      <c r="H28" s="14" t="str">
        <f>IF(B28="","",IF(G28=0,"已结清",IF(G28&gt;0,"有欠款","预存款")))</f>
        <v>预存款</v>
      </c>
      <c r="I28" s="157">
        <f>IFERROR(SUMIF(商品库存!B:B,B28,商品库存!I:I),0)</f>
        <v>190</v>
      </c>
      <c r="J28" s="156">
        <f>IFERROR(SUMIF(商品库存!B:B,B28,商品库存!J:J),0)</f>
        <v>10950</v>
      </c>
      <c r="K28" s="156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 ht="15" customHeight="1" s="71">
      <c r="A29" s="47">
        <f>IF(B29="","",COUNTA($B$5:B29))</f>
        <v>25</v>
      </c>
      <c r="B29" s="27" t="inlineStr">
        <is>
          <t>梅窖建军批发</t>
        </is>
      </c>
      <c r="C29" s="152" t="n">
        <v>11740</v>
      </c>
      <c r="D29" s="152">
        <f>IF(B29&lt;&gt;"",SUMIF(出库明细!C:C,B29,出库明细!G:G),"")</f>
        <v>8500</v>
      </c>
      <c r="E29" s="152">
        <f>IF(AND(C29&lt;&gt;"",D29&lt;&gt;""),C29-D29,"")</f>
        <v>3240</v>
      </c>
      <c r="F29" s="152">
        <f>IF(B29&lt;&gt;"",SUMIFS(资金台帐!$S:$S,资金台帐!$J:$J,B29,资金台帐!$P:$P,"应收"),"")</f>
        <v>11740</v>
      </c>
      <c r="G29" s="152">
        <f>IF(B29="","",N(K29)+N(D29)-N(F29))</f>
        <v>-3240</v>
      </c>
      <c r="H29" s="47" t="str">
        <f>IF(B29="","",IF(G29=0,"已结清",IF(G29&gt;0,"有欠款","预存款")))</f>
        <v>预存款</v>
      </c>
      <c r="I29" s="157">
        <f>IFERROR(SUMIF(商品库存!B:B,B29,商品库存!I:I),0)</f>
        <v>60</v>
      </c>
      <c r="J29" s="156">
        <f>IFERROR(SUMIF(商品库存!B:B,B29,商品库存!J:J),0)</f>
        <v>3240</v>
      </c>
      <c r="K29" s="15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 ht="15" customHeight="1" s="71">
      <c r="A30" s="14">
        <f>IF(B30="","",COUNTA($B$5:B30))</f>
        <v>26</v>
      </c>
      <c r="B30" s="14" t="inlineStr">
        <is>
          <t>高兴美宜佳</t>
        </is>
      </c>
      <c r="C30" s="156" t="n">
        <v>9704</v>
      </c>
      <c r="D30" s="156">
        <f>IF(B30&lt;&gt;"",SUMIF(出库明细!C:C,B30,出库明细!G:G),"")</f>
        <v>9000</v>
      </c>
      <c r="E30" s="156">
        <f>IF(AND(C30&lt;&gt;"",D30&lt;&gt;""),C30-D30,"")</f>
        <v>704</v>
      </c>
      <c r="F30" s="156">
        <f>IF(B30&lt;&gt;"",SUMIFS(资金台帐!$S:$S,资金台帐!$J:$J,B30,资金台帐!$P:$P,"应收"),"")</f>
        <v>9704</v>
      </c>
      <c r="G30" s="156">
        <f>IF(B30="","",N(K30)+N(D30)-N(F30))</f>
        <v>-704</v>
      </c>
      <c r="H30" s="14" t="str">
        <f>IF(B30="","",IF(G30=0,"已结清",IF(G30&gt;0,"有欠款","预存款")))</f>
        <v>预存款</v>
      </c>
      <c r="I30" s="157">
        <f>IFERROR(SUMIF(商品库存!B:B,B30,商品库存!I:I),0)</f>
        <v>0</v>
      </c>
      <c r="J30" s="156">
        <f>IFERROR(SUMIF(商品库存!B:B,B30,商品库存!J:J),0)</f>
        <v>0</v>
      </c>
      <c r="K30" s="156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 ht="15" customHeight="1" s="71">
      <c r="A31" s="47">
        <f>IF(B31="","",COUNTA($B$5:B31))</f>
        <v>27</v>
      </c>
      <c r="B31" s="36" t="inlineStr">
        <is>
          <t>永丰焦溪兰兰副食</t>
        </is>
      </c>
      <c r="C31" s="152" t="n">
        <v>3244</v>
      </c>
      <c r="D31" s="152">
        <f>IF(B31&lt;&gt;"",SUMIF(出库明细!C:C,B31,出库明细!G:G),"")</f>
        <v>738</v>
      </c>
      <c r="E31" s="152">
        <f>IF(AND(C31&lt;&gt;"",D31&lt;&gt;""),C31-D31,"")</f>
        <v>2506</v>
      </c>
      <c r="F31" s="152">
        <f>IF(B31&lt;&gt;"",SUMIFS(资金台帐!$S:$S,资金台帐!$J:$J,B31,资金台帐!$P:$P,"应收"),"")</f>
        <v>3244</v>
      </c>
      <c r="G31" s="152">
        <f>IF(B31="","",N(K31)+N(D31)-N(F31))</f>
        <v>-2506</v>
      </c>
      <c r="H31" s="47" t="str">
        <f>IF(B31="","",IF(G31=0,"已结清",IF(G31&gt;0,"有欠款","预存款")))</f>
        <v>预存款</v>
      </c>
      <c r="I31" s="157">
        <f>IFERROR(SUMIF(商品库存!B:B,B31,商品库存!I:I),0)</f>
        <v>-13</v>
      </c>
      <c r="J31" s="156">
        <f>IFERROR(SUMIF(商品库存!B:B,B31,商品库存!J:J),0)</f>
        <v>-738</v>
      </c>
      <c r="K31" s="15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 ht="15" customHeight="1" s="71">
      <c r="A32" s="14">
        <f>IF(B32="","",COUNTA($B$5:B32))</f>
        <v>28</v>
      </c>
      <c r="B32" s="14" t="inlineStr">
        <is>
          <t>高兴枫树平价超市</t>
        </is>
      </c>
      <c r="C32" s="156" t="n">
        <v>1126</v>
      </c>
      <c r="D32" s="156">
        <f>IF(B32&lt;&gt;"",SUMIF(出库明细!C:C,B32,出库明细!G:G),"")</f>
        <v>1126</v>
      </c>
      <c r="E32" s="156">
        <f>IF(AND(C32&lt;&gt;"",D32&lt;&gt;""),C32-D32,"")</f>
        <v>0</v>
      </c>
      <c r="F32" s="156">
        <f>IF(B32&lt;&gt;"",SUMIFS(资金台帐!$S:$S,资金台帐!$J:$J,B32,资金台帐!$P:$P,"应收"),"")</f>
        <v>1126</v>
      </c>
      <c r="G32" s="156">
        <f>IF(B32="","",N(K32)+N(D32)-N(F32))</f>
        <v>0</v>
      </c>
      <c r="H32" s="14" t="str">
        <f>IF(B32="","",IF(G32=0,"已结清",IF(G32&gt;0,"有欠款","预存款")))</f>
        <v>已结清</v>
      </c>
      <c r="I32" s="157">
        <f>IFERROR(SUMIF(商品库存!B:B,B32,商品库存!I:I),0)</f>
        <v>-22</v>
      </c>
      <c r="J32" s="156">
        <f>IFERROR(SUMIF(商品库存!B:B,B32,商品库存!J:J),0)</f>
        <v>-1126</v>
      </c>
      <c r="K32" s="156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 ht="15" customHeight="1" s="71">
      <c r="A33" s="14">
        <f>IF(B33="","",COUNTA($B$5:B33))</f>
        <v>29</v>
      </c>
      <c r="B33" s="36" t="inlineStr">
        <is>
          <t>鼎龙众家乐超市</t>
        </is>
      </c>
      <c r="C33" s="156" t="n">
        <v>2182</v>
      </c>
      <c r="D33" s="156">
        <f>IF(B33&lt;&gt;"",SUMIF(出库明细!C:C,B33,出库明细!G:G),"")</f>
        <v>0</v>
      </c>
      <c r="E33" s="156">
        <f>IF(AND(C33&lt;&gt;"",D33&lt;&gt;""),C33-D33,"")</f>
        <v>2182</v>
      </c>
      <c r="F33" s="156">
        <f>IF(B33&lt;&gt;"",SUMIFS(资金台帐!$S:$S,资金台帐!$J:$J,B33,资金台帐!$P:$P,"应收"),"")</f>
        <v>2182</v>
      </c>
      <c r="G33" s="156">
        <f>IF(B33="","",N(K33)+N(D33)-N(F33))</f>
        <v>-2182</v>
      </c>
      <c r="H33" s="14" t="str">
        <f>IF(B33="","",IF(G33=0,"已结清",IF(G33&gt;0,"有欠款","预存款")))</f>
        <v>预存款</v>
      </c>
      <c r="I33" s="157">
        <f>IFERROR(SUMIF(商品库存!B:B,B33,商品库存!I:I),0)</f>
        <v>0</v>
      </c>
      <c r="J33" s="156">
        <f>IFERROR(SUMIF(商品库存!B:B,B33,商品库存!J:J),0)</f>
        <v>0</v>
      </c>
      <c r="K33" s="156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 ht="15" customHeight="1" s="71">
      <c r="A34" s="14">
        <f>IF(B34="","",COUNTA($B$5:B34))</f>
        <v>30</v>
      </c>
      <c r="B34" s="27" t="inlineStr">
        <is>
          <t>洪门兴诚超市</t>
        </is>
      </c>
      <c r="C34" s="156" t="n">
        <v>45000</v>
      </c>
      <c r="D34" s="156">
        <f>IF(B34&lt;&gt;"",SUMIF(出库明细!C:C,B34,出库明细!G:G),"")</f>
        <v>32186.5</v>
      </c>
      <c r="E34" s="156">
        <f>IF(AND(C34&lt;&gt;"",D34&lt;&gt;""),C34-D34,"")</f>
        <v>12813.5</v>
      </c>
      <c r="F34" s="156">
        <f>IF(B34&lt;&gt;"",SUMIFS(资金台帐!$S:$S,资金台帐!$J:$J,B34,资金台帐!$P:$P,"应收"),"")</f>
        <v>53100</v>
      </c>
      <c r="G34" s="156">
        <f>IF(B34="","",N(K34)+N(D34)-N(F34))</f>
        <v>-20913.5</v>
      </c>
      <c r="H34" s="14" t="str">
        <f>IF(B34="","",IF(G34=0,"已结清",IF(G34&gt;0,"有欠款","预存款")))</f>
        <v>预存款</v>
      </c>
      <c r="I34" s="157">
        <f>IFERROR(SUMIF(商品库存!B:B,B34,商品库存!I:I),0)</f>
        <v>148.5</v>
      </c>
      <c r="J34" s="156">
        <f>IFERROR(SUMIF(商品库存!B:B,B34,商品库存!J:J),0)</f>
        <v>14913.5</v>
      </c>
      <c r="K34" s="156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 ht="15" customHeight="1" s="71">
      <c r="A35" s="14">
        <f>IF(B35="","",COUNTA($B$5:B35))</f>
        <v>31</v>
      </c>
      <c r="B35" s="14" t="inlineStr">
        <is>
          <t>兴江吴辉明</t>
        </is>
      </c>
      <c r="C35" s="156" t="n">
        <v>21135</v>
      </c>
      <c r="D35" s="156">
        <f>IF(B35&lt;&gt;"",SUMIF(出库明细!C:C,B35,出库明细!G:G),"")</f>
        <v>0</v>
      </c>
      <c r="E35" s="156">
        <f>IF(AND(C35&lt;&gt;"",D35&lt;&gt;""),C35-D35,"")</f>
        <v>21135</v>
      </c>
      <c r="F35" s="156">
        <f>IF(B35&lt;&gt;"",SUMIFS(资金台帐!$S:$S,资金台帐!$J:$J,B35,资金台帐!$P:$P,"应收"),"")</f>
        <v>21135</v>
      </c>
      <c r="G35" s="156">
        <f>IF(B35="","",N(K35)+N(D35)-N(F35))</f>
        <v>-21135</v>
      </c>
      <c r="H35" s="14" t="str">
        <f>IF(B35="","",IF(G35=0,"已结清",IF(G35&gt;0,"有欠款","预存款")))</f>
        <v>预存款</v>
      </c>
      <c r="I35" s="157">
        <f>IFERROR(SUMIF(商品库存!B:B,B35,商品库存!I:I),0)</f>
        <v>0</v>
      </c>
      <c r="J35" s="156">
        <f>IFERROR(SUMIF(商品库存!B:B,B35,商品库存!J:J),0)</f>
        <v>0</v>
      </c>
      <c r="K35" s="156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 ht="15" customHeight="1" s="71">
      <c r="A36" s="14">
        <f>IF(B36="","",COUNTA($B$5:B36))</f>
        <v>32</v>
      </c>
      <c r="B36" s="14" t="inlineStr">
        <is>
          <t>和睦公园百顺</t>
        </is>
      </c>
      <c r="C36" s="156" t="n">
        <v>27000</v>
      </c>
      <c r="D36" s="156">
        <f>IF(B36&lt;&gt;"",SUMIF(出库明细!C:C,B36,出库明细!G:G),"")</f>
        <v>39049</v>
      </c>
      <c r="E36" s="156">
        <f>IF(AND(C36&lt;&gt;"",D36&lt;&gt;""),C36-D36,"")</f>
        <v>-12049</v>
      </c>
      <c r="F36" s="156">
        <f>IF(B36&lt;&gt;"",SUMIFS(资金台帐!$S:$S,资金台帐!$J:$J,B36,资金台帐!$P:$P,"应收"),"")</f>
        <v>38705</v>
      </c>
      <c r="G36" s="156">
        <f>IF(B36="","",N(K36)+N(D36)-N(F36))</f>
        <v>344</v>
      </c>
      <c r="H36" s="14" t="str">
        <f>IF(B36="","",IF(G36=0,"已结清",IF(G36&gt;0,"有欠款","预存款")))</f>
        <v>有欠款</v>
      </c>
      <c r="I36" s="157">
        <f>IFERROR(SUMIF(商品库存!B:B,B36,商品库存!I:I),0)</f>
        <v>-1</v>
      </c>
      <c r="J36" s="156">
        <f>IFERROR(SUMIF(商品库存!B:B,B36,商品库存!J:J),0)</f>
        <v>-344</v>
      </c>
      <c r="K36" s="156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 ht="15" customHeight="1" s="71">
      <c r="A37" s="14">
        <f>IF(B37="","",COUNTA($B$5:B37))</f>
        <v>33</v>
      </c>
      <c r="B37" s="14" t="inlineStr">
        <is>
          <t>福旺家优购</t>
        </is>
      </c>
      <c r="C37" s="156" t="n">
        <v>27220</v>
      </c>
      <c r="D37" s="156">
        <f>IF(B37&lt;&gt;"",SUMIF(出库明细!C:C,B37,出库明细!G:G),"")</f>
        <v>14037</v>
      </c>
      <c r="E37" s="156">
        <f>IF(AND(C37&lt;&gt;"",D37&lt;&gt;""),C37-D37,"")</f>
        <v>13183</v>
      </c>
      <c r="F37" s="156">
        <f>IF(B37&lt;&gt;"",SUMIFS(资金台帐!$S:$S,资金台帐!$J:$J,B37,资金台帐!$P:$P,"应收"),"")</f>
        <v>27220</v>
      </c>
      <c r="G37" s="156">
        <f>IF(B37="","",N(K37)+N(D37)-N(F37))</f>
        <v>-13183</v>
      </c>
      <c r="H37" s="14" t="str">
        <f>IF(B37="","",IF(G37=0,"已结清",IF(G37&gt;0,"有欠款","预存款")))</f>
        <v>预存款</v>
      </c>
      <c r="I37" s="157">
        <f>IFERROR(SUMIF(商品库存!B:B,B37,商品库存!I:I),0)</f>
        <v>153</v>
      </c>
      <c r="J37" s="156">
        <f>IFERROR(SUMIF(商品库存!B:B,B37,商品库存!J:J),0)</f>
        <v>12433</v>
      </c>
      <c r="K37" s="156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 ht="15" customHeight="1" s="71">
      <c r="A38" s="14">
        <f>IF(B38="","",COUNTA($B$5:B38))</f>
        <v>34</v>
      </c>
      <c r="B38" s="14" t="inlineStr">
        <is>
          <t>红军路怡品折扣店</t>
        </is>
      </c>
      <c r="C38" s="156" t="n">
        <v>5400</v>
      </c>
      <c r="D38" s="156">
        <f>IF(B38&lt;&gt;"",SUMIF(出库明细!C:C,B38,出库明细!G:G),"")</f>
        <v>5400</v>
      </c>
      <c r="E38" s="156">
        <f>IF(AND(C38&lt;&gt;"",D38&lt;&gt;""),C38-D38,"")</f>
        <v>0</v>
      </c>
      <c r="F38" s="156">
        <f>IF(B38&lt;&gt;"",SUMIFS(资金台帐!$S:$S,资金台帐!$J:$J,B38,资金台帐!$P:$P,"应收"),"")</f>
        <v>5400</v>
      </c>
      <c r="G38" s="156">
        <f>IF(B38="","",N(K38)+N(D38)-N(F38))</f>
        <v>0</v>
      </c>
      <c r="H38" s="14" t="str">
        <f>IF(B38="","",IF(G38=0,"已结清",IF(G38&gt;0,"有欠款","预存款")))</f>
        <v>已结清</v>
      </c>
      <c r="I38" s="157">
        <f>IFERROR(SUMIF(商品库存!B:B,B38,商品库存!I:I),0)</f>
        <v>0</v>
      </c>
      <c r="J38" s="156">
        <f>IFERROR(SUMIF(商品库存!B:B,B38,商品库存!J:J),0)</f>
        <v>0</v>
      </c>
      <c r="K38" s="156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 ht="15" customHeight="1" s="71">
      <c r="A39" s="14">
        <f>IF(B39="","",COUNTA($B$5:B39))</f>
        <v>35</v>
      </c>
      <c r="B39" s="27" t="inlineStr">
        <is>
          <t>贸易广场老吴副食</t>
        </is>
      </c>
      <c r="C39" s="156" t="n">
        <v>4500</v>
      </c>
      <c r="D39" s="156">
        <f>IF(B39&lt;&gt;"",SUMIF(出库明细!C:C,B39,出库明细!G:G),"")</f>
        <v>35527</v>
      </c>
      <c r="E39" s="156">
        <f>IF(AND(C39&lt;&gt;"",D39&lt;&gt;""),C39-D39,"")</f>
        <v>-31027</v>
      </c>
      <c r="F39" s="156">
        <f>IF(B39&lt;&gt;"",SUMIFS(资金台帐!$S:$S,资金台帐!$J:$J,B39,资金台帐!$P:$P,"应收"),"")</f>
        <v>34500</v>
      </c>
      <c r="G39" s="156">
        <f>IF(B39="","",N(K39)+N(D39)-N(F39))</f>
        <v>1027</v>
      </c>
      <c r="H39" s="14" t="str">
        <f>IF(B39="","",IF(G39=0,"已结清",IF(G39&gt;0,"有欠款","预存款")))</f>
        <v>有欠款</v>
      </c>
      <c r="I39" s="157">
        <f>IFERROR(SUMIF(商品库存!B:B,B39,商品库存!I:I),0)</f>
        <v>-536</v>
      </c>
      <c r="J39" s="156">
        <f>IFERROR(SUMIF(商品库存!B:B,B39,商品库存!J:J),0)</f>
        <v>-31027</v>
      </c>
      <c r="K39" s="156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 ht="15" customHeight="1" s="71">
      <c r="A40" s="14">
        <f>IF(B40="","",COUNTA($B$5:B40))</f>
        <v>36</v>
      </c>
      <c r="B40" s="27" t="inlineStr">
        <is>
          <t>均村桃姐水果店</t>
        </is>
      </c>
      <c r="C40" s="156" t="n">
        <v>2325</v>
      </c>
      <c r="D40" s="156">
        <f>IF(B40&lt;&gt;"",SUMIF(出库明细!C:C,B40,出库明细!G:G),"")</f>
        <v>1934</v>
      </c>
      <c r="E40" s="156">
        <f>IF(AND(C40&lt;&gt;"",D40&lt;&gt;""),C40-D40,"")</f>
        <v>391</v>
      </c>
      <c r="F40" s="156">
        <f>IF(B40&lt;&gt;"",SUMIFS(资金台帐!$S:$S,资金台帐!$J:$J,B40,资金台帐!$P:$P,"应收"),"")</f>
        <v>2325</v>
      </c>
      <c r="G40" s="156">
        <f>IF(B40="","",N(K40)+N(D40)-N(F40))</f>
        <v>-391</v>
      </c>
      <c r="H40" s="14" t="str">
        <f>IF(B40="","",IF(G40=0,"已结清",IF(G40&gt;0,"有欠款","预存款")))</f>
        <v>预存款</v>
      </c>
      <c r="I40" s="157">
        <f>IFERROR(SUMIF(商品库存!B:B,B40,商品库存!I:I),0)</f>
        <v>-39</v>
      </c>
      <c r="J40" s="156">
        <f>IFERROR(SUMIF(商品库存!B:B,B40,商品库存!J:J),0)</f>
        <v>-1934</v>
      </c>
      <c r="K40" s="156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15" customHeight="1" s="71">
      <c r="A41" s="14">
        <f>IF(B41="","",COUNTA($B$5:B41))</f>
        <v>37</v>
      </c>
      <c r="B41" s="14" t="inlineStr">
        <is>
          <t>小梅商行</t>
        </is>
      </c>
      <c r="C41" s="156" t="n">
        <v>360000</v>
      </c>
      <c r="D41" s="156">
        <f>IF(B41&lt;&gt;"",SUMIF(出库明细!C:C,B41,出库明细!G:G),"")</f>
        <v>157715</v>
      </c>
      <c r="E41" s="156">
        <f>IF(AND(C41&lt;&gt;"",D41&lt;&gt;""),C41-D41,"")</f>
        <v>202285</v>
      </c>
      <c r="F41" s="156">
        <f>IF(B41&lt;&gt;"",SUMIFS(资金台帐!$S:$S,资金台帐!$J:$J,B41,资金台帐!$P:$P,"应收"),"")</f>
        <v>440000</v>
      </c>
      <c r="G41" s="156">
        <f>IF(B41="","",N(K41)+N(D41)-N(F41))</f>
        <v>-282285</v>
      </c>
      <c r="H41" s="14" t="str">
        <f>IF(B41="","",IF(G41=0,"已结清",IF(G41&gt;0,"有欠款","预存款")))</f>
        <v>预存款</v>
      </c>
      <c r="I41" s="157">
        <f>IFERROR(SUMIF(商品库存!B:B,B41,商品库存!I:I),0)</f>
        <v>4189</v>
      </c>
      <c r="J41" s="156">
        <f>IFERROR(SUMIF(商品库存!B:B,B41,商品库存!J:J),0)</f>
        <v>306385</v>
      </c>
      <c r="K41" s="156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15" customHeight="1" s="71">
      <c r="A42" s="14">
        <f>IF(B42="","",COUNTA($B$5:B42))</f>
        <v>38</v>
      </c>
      <c r="B42" s="27" t="inlineStr">
        <is>
          <t>崇贤三角超市</t>
        </is>
      </c>
      <c r="C42" s="156" t="n">
        <v>2955</v>
      </c>
      <c r="D42" s="156">
        <f>IF(B42&lt;&gt;"",SUMIF(出库明细!C:C,B42,出库明细!G:G),"")</f>
        <v>2955</v>
      </c>
      <c r="E42" s="156">
        <f>IF(AND(C42&lt;&gt;"",D42&lt;&gt;""),C42-D42,"")</f>
        <v>0</v>
      </c>
      <c r="F42" s="156">
        <f>IF(B42&lt;&gt;"",SUMIFS(资金台帐!$S:$S,资金台帐!$J:$J,B42,资金台帐!$P:$P,"应收"),"")</f>
        <v>2955</v>
      </c>
      <c r="G42" s="156">
        <f>IF(B42="","",N(K42)+N(D42)-N(F42))</f>
        <v>0</v>
      </c>
      <c r="H42" s="14" t="str">
        <f>IF(B42="","",IF(G42=0,"已结清",IF(G42&gt;0,"有欠款","预存款")))</f>
        <v>已结清</v>
      </c>
      <c r="I42" s="157">
        <f>IFERROR(SUMIF(商品库存!B:B,B42,商品库存!I:I),0)</f>
        <v>0</v>
      </c>
      <c r="J42" s="156">
        <f>IFERROR(SUMIF(商品库存!B:B,B42,商品库存!J:J),0)</f>
        <v>0</v>
      </c>
      <c r="K42" s="156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15" customHeight="1" s="71">
      <c r="A43" s="14">
        <f>IF(B43="","",COUNTA($B$5:B43))</f>
        <v>39</v>
      </c>
      <c r="B43" s="27" t="inlineStr">
        <is>
          <t>财源批发</t>
        </is>
      </c>
      <c r="C43" s="156" t="n">
        <v>4500</v>
      </c>
      <c r="D43" s="156">
        <f>IF(B43&lt;&gt;"",SUMIF(出库明细!C:C,B43,出库明细!G:G),"")</f>
        <v>4500</v>
      </c>
      <c r="E43" s="156">
        <f>IF(AND(C43&lt;&gt;"",D43&lt;&gt;""),C43-D43,"")</f>
        <v>0</v>
      </c>
      <c r="F43" s="156">
        <f>IF(B43&lt;&gt;"",SUMIFS(资金台帐!$S:$S,资金台帐!$J:$J,B43,资金台帐!$P:$P,"应收"),"")</f>
        <v>4500</v>
      </c>
      <c r="G43" s="156">
        <f>IF(B43="","",N(K43)+N(D43)-N(F43))</f>
        <v>0</v>
      </c>
      <c r="H43" s="14" t="str">
        <f>IF(B43="","",IF(G43=0,"已结清",IF(G43&gt;0,"有欠款","预存款")))</f>
        <v>已结清</v>
      </c>
      <c r="I43" s="157">
        <f>IFERROR(SUMIF(商品库存!B:B,B43,商品库存!I:I),0)</f>
        <v>0</v>
      </c>
      <c r="J43" s="156">
        <f>IFERROR(SUMIF(商品库存!B:B,B43,商品库存!J:J),0)</f>
        <v>0</v>
      </c>
      <c r="K43" s="156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15" customHeight="1" s="71">
      <c r="A44" s="14">
        <f>IF(B44="","",COUNTA($B$5:B44))</f>
        <v>40</v>
      </c>
      <c r="B44" s="27" t="inlineStr">
        <is>
          <t>标哥副食</t>
        </is>
      </c>
      <c r="C44" s="156" t="n">
        <v>2526.5</v>
      </c>
      <c r="D44" s="156">
        <f>IF(B44&lt;&gt;"",SUMIF(出库明细!C:C,B44,出库明细!G:G),"")</f>
        <v>2526.5</v>
      </c>
      <c r="E44" s="156">
        <f>IF(AND(C44&lt;&gt;"",D44&lt;&gt;""),C44-D44,"")</f>
        <v>0</v>
      </c>
      <c r="F44" s="156">
        <f>IF(B44&lt;&gt;"",SUMIFS(资金台帐!$S:$S,资金台帐!$J:$J,B44,资金台帐!$P:$P,"应收"),"")</f>
        <v>2526.5</v>
      </c>
      <c r="G44" s="156">
        <f>IF(B44="","",N(K44)+N(D44)-N(F44))</f>
        <v>0</v>
      </c>
      <c r="H44" s="14" t="str">
        <f>IF(B44="","",IF(G44=0,"已结清",IF(G44&gt;0,"有欠款","预存款")))</f>
        <v>已结清</v>
      </c>
      <c r="I44" s="157">
        <f>IFERROR(SUMIF(商品库存!B:B,B44,商品库存!I:I),0)</f>
        <v>0</v>
      </c>
      <c r="J44" s="156">
        <f>IFERROR(SUMIF(商品库存!B:B,B44,商品库存!J:J),0)</f>
        <v>0</v>
      </c>
      <c r="K44" s="156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15" customHeight="1" s="71">
      <c r="A45" s="14">
        <f>IF(B45="","",COUNTA($B$5:B45))</f>
        <v>41</v>
      </c>
      <c r="B45" s="36" t="inlineStr">
        <is>
          <t>春萌副食</t>
        </is>
      </c>
      <c r="C45" s="156" t="n">
        <v>2325</v>
      </c>
      <c r="D45" s="156">
        <f>IF(B45&lt;&gt;"",SUMIF(出库明细!C:C,B45,出库明细!G:G),"")</f>
        <v>2325</v>
      </c>
      <c r="E45" s="156">
        <f>IF(AND(C45&lt;&gt;"",D45&lt;&gt;""),C45-D45,"")</f>
        <v>0</v>
      </c>
      <c r="F45" s="156">
        <f>IF(B45&lt;&gt;"",SUMIFS(资金台帐!$S:$S,资金台帐!$J:$J,B45,资金台帐!$P:$P,"应收"),"")</f>
        <v>2325</v>
      </c>
      <c r="G45" s="156">
        <f>IF(B45="","",N(K45)+N(D45)-N(F45))</f>
        <v>0</v>
      </c>
      <c r="H45" s="14" t="str">
        <f>IF(B45="","",IF(G45=0,"已结清",IF(G45&gt;0,"有欠款","预存款")))</f>
        <v>已结清</v>
      </c>
      <c r="I45" s="157">
        <f>IFERROR(SUMIF(商品库存!B:B,B45,商品库存!I:I),0)</f>
        <v>0</v>
      </c>
      <c r="J45" s="156">
        <f>IFERROR(SUMIF(商品库存!B:B,B45,商品库存!J:J),0)</f>
        <v>0</v>
      </c>
      <c r="K45" s="156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t="15" customHeight="1" s="71">
      <c r="A46" s="14">
        <f>IF(B46="","",COUNTA($B$5:B46))</f>
        <v>42</v>
      </c>
      <c r="B46" s="27" t="inlineStr">
        <is>
          <t>城西街福临门超市</t>
        </is>
      </c>
      <c r="C46" s="156" t="n">
        <v>2046</v>
      </c>
      <c r="D46" s="156">
        <f>IF(B46&lt;&gt;"",SUMIF(出库明细!C:C,B46,出库明细!G:G),"")</f>
        <v>465</v>
      </c>
      <c r="E46" s="156">
        <f>IF(AND(C46&lt;&gt;"",D46&lt;&gt;""),C46-D46,"")</f>
        <v>1581</v>
      </c>
      <c r="F46" s="156">
        <f>IF(B46&lt;&gt;"",SUMIFS(资金台帐!$S:$S,资金台帐!$J:$J,B46,资金台帐!$P:$P,"应收"),"")</f>
        <v>2046</v>
      </c>
      <c r="G46" s="156">
        <f>IF(B46="","",N(K46)+N(D46)-N(F46))</f>
        <v>-1581</v>
      </c>
      <c r="H46" s="14" t="str">
        <f>IF(B46="","",IF(G46=0,"已结清",IF(G46&gt;0,"有欠款","预存款")))</f>
        <v>预存款</v>
      </c>
      <c r="I46" s="157">
        <f>IFERROR(SUMIF(商品库存!B:B,B46,商品库存!I:I),0)</f>
        <v>17</v>
      </c>
      <c r="J46" s="156">
        <f>IFERROR(SUMIF(商品库存!B:B,B46,商品库存!J:J),0)</f>
        <v>1581</v>
      </c>
      <c r="K46" s="156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t="15" customHeight="1" s="71">
      <c r="A47" s="14">
        <f>IF(B47="","",COUNTA($B$5:B47))</f>
        <v>43</v>
      </c>
      <c r="B47" s="27" t="inlineStr">
        <is>
          <t>滨江路莲花便利店</t>
        </is>
      </c>
      <c r="C47" s="156" t="n">
        <v>1582</v>
      </c>
      <c r="D47" s="156">
        <f>IF(B47&lt;&gt;"",SUMIF(出库明细!C:C,B47,出库明细!G:G),"")</f>
        <v>2427</v>
      </c>
      <c r="E47" s="156">
        <f>IF(AND(C47&lt;&gt;"",D47&lt;&gt;""),C47-D47,"")</f>
        <v>-845</v>
      </c>
      <c r="F47" s="156">
        <f>IF(B47&lt;&gt;"",SUMIFS(资金台帐!$S:$S,资金台帐!$J:$J,B47,资金台帐!$P:$P,"应收"),"")</f>
        <v>1582</v>
      </c>
      <c r="G47" s="156">
        <f>IF(B47="","",N(K47)+N(D47)-N(F47))</f>
        <v>845</v>
      </c>
      <c r="H47" s="14" t="str">
        <f>IF(B47="","",IF(G47=0,"已结清",IF(G47&gt;0,"有欠款","预存款")))</f>
        <v>有欠款</v>
      </c>
      <c r="I47" s="157">
        <f>IFERROR(SUMIF(商品库存!B:B,B47,商品库存!I:I),0)</f>
        <v>-4</v>
      </c>
      <c r="J47" s="156">
        <f>IFERROR(SUMIF(商品库存!B:B,B47,商品库存!J:J),0)</f>
        <v>-845</v>
      </c>
      <c r="K47" s="156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t="15" customHeight="1" s="71">
      <c r="A48" s="14">
        <f>IF(B48="","",COUNTA($B$5:B48))</f>
        <v>44</v>
      </c>
      <c r="B48" s="14" t="inlineStr">
        <is>
          <t>好帮手</t>
        </is>
      </c>
      <c r="C48" s="156" t="n">
        <v>12000</v>
      </c>
      <c r="D48" s="156">
        <f>IF(B48&lt;&gt;"",SUMIF(出库明细!C:C,B48,出库明细!G:G),"")</f>
        <v>12327.5</v>
      </c>
      <c r="E48" s="156">
        <f>IF(AND(C48&lt;&gt;"",D48&lt;&gt;""),C48-D48,"")</f>
        <v>-327.5</v>
      </c>
      <c r="F48" s="156">
        <f>IF(B48&lt;&gt;"",SUMIFS(资金台帐!$S:$S,资金台帐!$J:$J,B48,资金台帐!$P:$P,"应收"),"")</f>
        <v>12327.5</v>
      </c>
      <c r="G48" s="156">
        <f>IF(B48="","",N(K48)+N(D48)-N(F48))</f>
        <v>0</v>
      </c>
      <c r="H48" s="14" t="str">
        <f>IF(B48="","",IF(G48=0,"已结清",IF(G48&gt;0,"有欠款","预存款")))</f>
        <v>已结清</v>
      </c>
      <c r="I48" s="157">
        <f>IFERROR(SUMIF(商品库存!B:B,B48,商品库存!I:I),0)</f>
        <v>-162.5</v>
      </c>
      <c r="J48" s="156">
        <f>IFERROR(SUMIF(商品库存!B:B,B48,商品库存!J:J),0)</f>
        <v>-12327.5</v>
      </c>
      <c r="K48" s="156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t="15" customHeight="1" s="71">
      <c r="A49" s="14">
        <f>IF(B49="","",COUNTA($B$5:B49))</f>
        <v>45</v>
      </c>
      <c r="B49" s="14" t="inlineStr">
        <is>
          <t>优生副食</t>
        </is>
      </c>
      <c r="C49" s="156" t="n"/>
      <c r="D49" s="156">
        <f>IF(B49&lt;&gt;"",SUMIF(出库明细!C:C,B49,出库明细!G:G),"")</f>
        <v>720</v>
      </c>
      <c r="E49" s="156">
        <f>IF(AND(C49&lt;&gt;"",D49&lt;&gt;""),C49-D49,"")</f>
      </c>
      <c r="F49" s="156">
        <f>IF(B49&lt;&gt;"",SUMIFS(资金台帐!$S:$S,资金台帐!$J:$J,B49,资金台帐!$P:$P,"应收"),"")</f>
        <v>0</v>
      </c>
      <c r="G49" s="156">
        <f>IF(B49="","",N(K49)+N(D49)-N(F49))</f>
        <v>720</v>
      </c>
      <c r="H49" s="14" t="str">
        <f>IF(B49="","",IF(G49=0,"已结清",IF(G49&gt;0,"有欠款","预存款")))</f>
        <v>有欠款</v>
      </c>
      <c r="I49" s="157">
        <f>IFERROR(SUMIF(商品库存!B:B,B49,商品库存!I:I),0)</f>
        <v>-12</v>
      </c>
      <c r="J49" s="156">
        <f>IFERROR(SUMIF(商品库存!B:B,B49,商品库存!J:J),0)</f>
        <v>-720</v>
      </c>
      <c r="K49" s="156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t="15" customHeight="1" s="71">
      <c r="A50" s="14">
        <f>IF(B50="","",COUNTA($B$5:B50))</f>
        <v>46</v>
      </c>
      <c r="B50" s="27" t="inlineStr">
        <is>
          <t>龙岗好又全超市</t>
        </is>
      </c>
      <c r="C50" s="158" t="n">
        <v>137732</v>
      </c>
      <c r="D50" s="156">
        <f>IF(B50&lt;&gt;"",SUMIF(出库明细!C:C,B50,出库明细!G:G),"")</f>
        <v>24252</v>
      </c>
      <c r="E50" s="156">
        <f>IF(AND(C50&lt;&gt;"",D50&lt;&gt;""),C50-D50,"")</f>
        <v>113480</v>
      </c>
      <c r="F50" s="156">
        <f>IF(B50&lt;&gt;"",SUMIFS(资金台帐!$S:$S,资金台帐!$J:$J,B50,资金台帐!$P:$P,"应收"),"")</f>
        <v>152732</v>
      </c>
      <c r="G50" s="156">
        <f>IF(B50="","",N(K50)+N(D50)-N(F50))</f>
        <v>-128480</v>
      </c>
      <c r="H50" s="14" t="str">
        <f>IF(B50="","",IF(G50=0,"已结清",IF(G50&gt;0,"有欠款","预存款")))</f>
        <v>预存款</v>
      </c>
      <c r="I50" s="157">
        <f>IFERROR(SUMIF(商品库存!B:B,B50,商品库存!I:I),0)</f>
        <v>1573</v>
      </c>
      <c r="J50" s="156">
        <f>IFERROR(SUMIF(商品库存!B:B,B50,商品库存!J:J),0)</f>
        <v>113480</v>
      </c>
      <c r="K50" s="158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t="15" customHeight="1" s="71">
      <c r="A51" s="14">
        <f>IF(B51="","",COUNTA($B$5:B51))</f>
        <v>47</v>
      </c>
      <c r="B51" s="27" t="inlineStr">
        <is>
          <t>友兰商行</t>
        </is>
      </c>
      <c r="C51" s="156" t="n">
        <v>602</v>
      </c>
      <c r="D51" s="156">
        <f>IF(B51&lt;&gt;"",SUMIF(出库明细!C:C,B51,出库明细!G:G),"")</f>
        <v>5252</v>
      </c>
      <c r="E51" s="156">
        <f>IF(AND(C51&lt;&gt;"",D51&lt;&gt;""),C51-D51,"")</f>
        <v>-4650</v>
      </c>
      <c r="F51" s="156">
        <f>IF(B51&lt;&gt;"",SUMIFS(资金台帐!$S:$S,资金台帐!$J:$J,B51,资金台帐!$P:$P,"应收"),"")</f>
        <v>5252</v>
      </c>
      <c r="G51" s="156">
        <f>IF(B51="","",N(K51)+N(D51)-N(F51))</f>
        <v>0</v>
      </c>
      <c r="H51" s="14" t="str">
        <f>IF(B51="","",IF(G51=0,"已结清",IF(G51&gt;0,"有欠款","预存款")))</f>
        <v>已结清</v>
      </c>
      <c r="I51" s="157">
        <f>IFERROR(SUMIF(商品库存!B:B,B51,商品库存!I:I),0)</f>
        <v>0</v>
      </c>
      <c r="J51" s="156">
        <f>IFERROR(SUMIF(商品库存!B:B,B51,商品库存!J:J),0)</f>
        <v>0</v>
      </c>
      <c r="K51" s="156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t="15" customHeight="1" s="71">
      <c r="A52" s="14">
        <f>IF(B52="","",COUNTA($B$5:B52))</f>
        <v>48</v>
      </c>
      <c r="B52" s="36" t="inlineStr">
        <is>
          <t>隆坪美林副食</t>
        </is>
      </c>
      <c r="C52" s="156" t="n">
        <v>5386</v>
      </c>
      <c r="D52" s="156">
        <f>IF(B52&lt;&gt;"",SUMIF(出库明细!C:C,B52,出库明细!G:G),"")</f>
        <v>2833</v>
      </c>
      <c r="E52" s="156">
        <f>IF(AND(C52&lt;&gt;"",D52&lt;&gt;""),C52-D52,"")</f>
        <v>2553</v>
      </c>
      <c r="F52" s="156">
        <f>IF(B52&lt;&gt;"",SUMIFS(资金台帐!$S:$S,资金台帐!$J:$J,B52,资金台帐!$P:$P,"应收"),"")</f>
        <v>5386</v>
      </c>
      <c r="G52" s="156">
        <f>IF(B52="","",N(K52)+N(D52)-N(F52))</f>
        <v>-2553</v>
      </c>
      <c r="H52" s="14" t="str">
        <f>IF(B52="","",IF(G52=0,"已结清",IF(G52&gt;0,"有欠款","预存款")))</f>
        <v>预存款</v>
      </c>
      <c r="I52" s="157">
        <f>IFERROR(SUMIF(商品库存!B:B,B52,商品库存!I:I),0)</f>
        <v>-50</v>
      </c>
      <c r="J52" s="156">
        <f>IFERROR(SUMIF(商品库存!B:B,B52,商品库存!J:J),0)</f>
        <v>-2833</v>
      </c>
      <c r="K52" s="156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5" customHeight="1" s="71">
      <c r="A53" s="14">
        <f>IF(B53="","",COUNTA($B$5:B53))</f>
        <v>49</v>
      </c>
      <c r="B53" s="27" t="inlineStr">
        <is>
          <t>高兴四季春副食</t>
        </is>
      </c>
      <c r="C53" s="156" t="n">
        <v>2697</v>
      </c>
      <c r="D53" s="156">
        <f>IF(B53&lt;&gt;"",SUMIF(出库明细!C:C,B53,出库明细!G:G),"")</f>
        <v>24180</v>
      </c>
      <c r="E53" s="156">
        <f>IF(AND(C53&lt;&gt;"",D53&lt;&gt;""),C53-D53,"")</f>
        <v>-21483</v>
      </c>
      <c r="F53" s="156">
        <f>IF(B53&lt;&gt;"",SUMIFS(资金台帐!$S:$S,资金台帐!$J:$J,B53,资金台帐!$P:$P,"应收"),"")</f>
        <v>2697</v>
      </c>
      <c r="G53" s="156">
        <f>IF(B53="","",N(K53)+N(D53)-N(F53))</f>
        <v>21483</v>
      </c>
      <c r="H53" s="14" t="str">
        <f>IF(B53="","",IF(G53=0,"已结清",IF(G53&gt;0,"有欠款","预存款")))</f>
        <v>有欠款</v>
      </c>
      <c r="I53" s="157">
        <f>IFERROR(SUMIF(商品库存!B:B,B53,商品库存!I:I),0)</f>
        <v>10</v>
      </c>
      <c r="J53" s="156">
        <f>IFERROR(SUMIF(商品库存!B:B,B53,商品库存!J:J),0)</f>
        <v>-21483</v>
      </c>
      <c r="K53" s="156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5" customHeight="1" s="71">
      <c r="A54" s="14">
        <f>IF(B54="","",COUNTA($B$5:B54))</f>
        <v>50</v>
      </c>
      <c r="B54" s="27" t="inlineStr">
        <is>
          <t>崇贤高平副食</t>
        </is>
      </c>
      <c r="C54" s="156" t="n">
        <v>2325</v>
      </c>
      <c r="D54" s="156">
        <f>IF(B54&lt;&gt;"",SUMIF(出库明细!C:C,B54,出库明细!G:G),"")</f>
        <v>1395</v>
      </c>
      <c r="E54" s="156">
        <f>IF(AND(C54&lt;&gt;"",D54&lt;&gt;""),C54-D54,"")</f>
        <v>930</v>
      </c>
      <c r="F54" s="156">
        <f>IF(B54&lt;&gt;"",SUMIFS(资金台帐!$S:$S,资金台帐!$J:$J,B54,资金台帐!$P:$P,"应收"),"")</f>
        <v>2325</v>
      </c>
      <c r="G54" s="156">
        <f>IF(B54="","",N(K54)+N(D54)-N(F54))</f>
        <v>-930</v>
      </c>
      <c r="H54" s="14" t="str">
        <f>IF(B54="","",IF(G54=0,"已结清",IF(G54&gt;0,"有欠款","预存款")))</f>
        <v>预存款</v>
      </c>
      <c r="I54" s="157">
        <f>IFERROR(SUMIF(商品库存!B:B,B54,商品库存!I:I),0)</f>
        <v>10</v>
      </c>
      <c r="J54" s="156">
        <f>IFERROR(SUMIF(商品库存!B:B,B54,商品库存!J:J),0)</f>
        <v>930</v>
      </c>
      <c r="K54" s="156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15" customHeight="1" s="71">
      <c r="A55" s="14">
        <f>IF(B55="","",COUNTA($B$5:B55))</f>
        <v>51</v>
      </c>
      <c r="B55" s="27" t="inlineStr">
        <is>
          <t>高兴张声英</t>
        </is>
      </c>
      <c r="C55" s="156" t="n">
        <v>2325</v>
      </c>
      <c r="D55" s="156">
        <f>IF(B55&lt;&gt;"",SUMIF(出库明细!C:C,B55,出库明细!G:G),"")</f>
        <v>0</v>
      </c>
      <c r="E55" s="156">
        <f>IF(AND(C55&lt;&gt;"",D55&lt;&gt;""),C55-D55,"")</f>
        <v>2325</v>
      </c>
      <c r="F55" s="156">
        <f>IF(B55&lt;&gt;"",SUMIFS(资金台帐!$S:$S,资金台帐!$J:$J,B55,资金台帐!$P:$P,"应收"),"")</f>
        <v>2325</v>
      </c>
      <c r="G55" s="156">
        <f>IF(B55="","",N(K55)+N(D55)-N(F55))</f>
        <v>-2325</v>
      </c>
      <c r="H55" s="14" t="str">
        <f>IF(B55="","",IF(G55=0,"已结清",IF(G55&gt;0,"有欠款","预存款")))</f>
        <v>预存款</v>
      </c>
      <c r="I55" s="157">
        <f>IFERROR(SUMIF(商品库存!B:B,B55,商品库存!I:I),0)</f>
        <v>25</v>
      </c>
      <c r="J55" s="156">
        <f>IFERROR(SUMIF(商品库存!B:B,B55,商品库存!J:J),0)</f>
        <v>2325</v>
      </c>
      <c r="K55" s="156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t="15" customHeight="1" s="71">
      <c r="A56" s="14">
        <f>IF(B56="","",COUNTA($B$5:B56))</f>
        <v>52</v>
      </c>
      <c r="B56" s="14" t="inlineStr">
        <is>
          <t>崇贤粤客隆</t>
        </is>
      </c>
      <c r="C56" s="156" t="n">
        <v>2325</v>
      </c>
      <c r="D56" s="156">
        <f>IF(B56&lt;&gt;"",SUMIF(出库明细!C:C,B56,出库明细!G:G),"")</f>
        <v>2325</v>
      </c>
      <c r="E56" s="156">
        <f>IF(AND(C56&lt;&gt;"",D56&lt;&gt;""),C56-D56,"")</f>
        <v>0</v>
      </c>
      <c r="F56" s="156">
        <f>IF(B56&lt;&gt;"",SUMIFS(资金台帐!$S:$S,资金台帐!$J:$J,B56,资金台帐!$P:$P,"应收"),"")</f>
        <v>2325</v>
      </c>
      <c r="G56" s="156">
        <f>IF(B56="","",N(K56)+N(D56)-N(F56))</f>
        <v>0</v>
      </c>
      <c r="H56" s="14" t="str">
        <f>IF(B56="","",IF(G56=0,"已结清",IF(G56&gt;0,"有欠款","预存款")))</f>
        <v>已结清</v>
      </c>
      <c r="I56" s="157">
        <f>IFERROR(SUMIF(商品库存!B:B,B56,商品库存!I:I),0)</f>
        <v>0</v>
      </c>
      <c r="J56" s="156">
        <f>IFERROR(SUMIF(商品库存!B:B,B56,商品库存!J:J),0)</f>
        <v>0</v>
      </c>
      <c r="K56" s="156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t="15" customHeight="1" s="71">
      <c r="A57" s="14">
        <f>IF(B57="","",COUNTA($B$5:B57))</f>
        <v>53</v>
      </c>
      <c r="B57" s="27" t="inlineStr">
        <is>
          <t>火车站关新平</t>
        </is>
      </c>
      <c r="C57" s="156" t="n">
        <v>5330</v>
      </c>
      <c r="D57" s="156">
        <f>IF(B57&lt;&gt;"",SUMIF(出库明细!C:C,B57,出库明细!G:G),"")</f>
        <v>3470</v>
      </c>
      <c r="E57" s="156">
        <f>IF(AND(C57&lt;&gt;"",D57&lt;&gt;""),C57-D57,"")</f>
        <v>1860</v>
      </c>
      <c r="F57" s="156">
        <f>IF(B57&lt;&gt;"",SUMIFS(资金台帐!$S:$S,资金台帐!$J:$J,B57,资金台帐!$P:$P,"应收"),"")</f>
        <v>5330</v>
      </c>
      <c r="G57" s="156">
        <f>IF(B57="","",N(K57)+N(D57)-N(F57))</f>
        <v>-1860</v>
      </c>
      <c r="H57" s="14" t="str">
        <f>IF(B57="","",IF(G57=0,"已结清",IF(G57&gt;0,"有欠款","预存款")))</f>
        <v>预存款</v>
      </c>
      <c r="I57" s="157">
        <f>IFERROR(SUMIF(商品库存!B:B,B57,商品库存!I:I),0)</f>
        <v>20</v>
      </c>
      <c r="J57" s="156">
        <f>IFERROR(SUMIF(商品库存!B:B,B57,商品库存!J:J),0)</f>
        <v>1860</v>
      </c>
      <c r="K57" s="156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 ht="15" customHeight="1" s="71">
      <c r="A58" s="14">
        <f>IF(B58="","",COUNTA($B$5:B58))</f>
        <v>54</v>
      </c>
      <c r="B58" s="27" t="inlineStr">
        <is>
          <t>洪门五香副食</t>
        </is>
      </c>
      <c r="C58" s="156" t="n">
        <v>930</v>
      </c>
      <c r="D58" s="156">
        <f>IF(B58&lt;&gt;"",SUMIF(出库明细!C:C,B58,出库明细!G:G),"")</f>
        <v>0</v>
      </c>
      <c r="E58" s="156">
        <f>IF(AND(C58&lt;&gt;"",D58&lt;&gt;""),C58-D58,"")</f>
        <v>930</v>
      </c>
      <c r="F58" s="156">
        <f>IF(B58&lt;&gt;"",SUMIFS(资金台帐!$S:$S,资金台帐!$J:$J,B58,资金台帐!$P:$P,"应收"),"")</f>
        <v>930</v>
      </c>
      <c r="G58" s="156">
        <f>IF(B58="","",N(K58)+N(D58)-N(F58))</f>
        <v>-930</v>
      </c>
      <c r="H58" s="14" t="str">
        <f>IF(B58="","",IF(G58=0,"已结清",IF(G58&gt;0,"有欠款","预存款")))</f>
        <v>预存款</v>
      </c>
      <c r="I58" s="157">
        <f>IFERROR(SUMIF(商品库存!B:B,B58,商品库存!I:I),0)</f>
        <v>10</v>
      </c>
      <c r="J58" s="156">
        <f>IFERROR(SUMIF(商品库存!B:B,B58,商品库存!J:J),0)</f>
        <v>930</v>
      </c>
      <c r="K58" s="156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15" customHeight="1" s="71">
      <c r="A59" s="14">
        <f>IF(B59="","",COUNTA($B$5:B59))</f>
        <v>55</v>
      </c>
      <c r="B59" s="27" t="inlineStr">
        <is>
          <t>良村万家欢超市</t>
        </is>
      </c>
      <c r="C59" s="156" t="n">
        <v>1395</v>
      </c>
      <c r="D59" s="156">
        <f>IF(B59&lt;&gt;"",SUMIF(出库明细!C:C,B59,出库明细!G:G),"")</f>
        <v>1395</v>
      </c>
      <c r="E59" s="156">
        <f>IF(AND(C59&lt;&gt;"",D59&lt;&gt;""),C59-D59,"")</f>
        <v>0</v>
      </c>
      <c r="F59" s="156">
        <f>IF(B59&lt;&gt;"",SUMIFS(资金台帐!$S:$S,资金台帐!$J:$J,B59,资金台帐!$P:$P,"应收"),"")</f>
        <v>1395</v>
      </c>
      <c r="G59" s="156">
        <f>IF(B59="","",N(K59)+N(D59)-N(F59))</f>
        <v>0</v>
      </c>
      <c r="H59" s="14" t="str">
        <f>IF(B59="","",IF(G59=0,"已结清",IF(G59&gt;0,"有欠款","预存款")))</f>
        <v>已结清</v>
      </c>
      <c r="I59" s="157">
        <f>IFERROR(SUMIF(商品库存!B:B,B59,商品库存!I:I),0)</f>
        <v>0</v>
      </c>
      <c r="J59" s="156">
        <f>IFERROR(SUMIF(商品库存!B:B,B59,商品库存!J:J),0)</f>
        <v>0</v>
      </c>
      <c r="K59" s="156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 ht="15" customHeight="1" s="71">
      <c r="A60" s="14">
        <f>IF(B60="","",COUNTA($B$5:B60))</f>
        <v>56</v>
      </c>
      <c r="B60" s="27" t="inlineStr">
        <is>
          <t>滨江路小红花便利店</t>
        </is>
      </c>
      <c r="C60" s="156" t="n">
        <v>3200</v>
      </c>
      <c r="D60" s="156">
        <f>IF(B60&lt;&gt;"",SUMIF(出库明细!C:C,B60,出库明细!G:G),"")</f>
        <v>2426</v>
      </c>
      <c r="E60" s="156">
        <f>IF(AND(C60&lt;&gt;"",D60&lt;&gt;""),C60-D60,"")</f>
        <v>774</v>
      </c>
      <c r="F60" s="156">
        <f>IF(B60&lt;&gt;"",SUMIFS(资金台帐!$S:$S,资金台帐!$J:$J,B60,资金台帐!$P:$P,"应收"),"")</f>
        <v>3200</v>
      </c>
      <c r="G60" s="156">
        <f>IF(B60="","",N(K60)+N(D60)-N(F60))</f>
        <v>-774</v>
      </c>
      <c r="H60" s="14" t="str">
        <f>IF(B60="","",IF(G60=0,"已结清",IF(G60&gt;0,"有欠款","预存款")))</f>
        <v>预存款</v>
      </c>
      <c r="I60" s="157">
        <f>IFERROR(SUMIF(商品库存!B:B,B60,商品库存!I:I),0)</f>
        <v>16</v>
      </c>
      <c r="J60" s="156">
        <f>IFERROR(SUMIF(商品库存!B:B,B60,商品库存!J:J),0)</f>
        <v>774</v>
      </c>
      <c r="K60" s="156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 ht="15" customHeight="1" s="71">
      <c r="A61" s="14">
        <f>IF(B61="","",COUNTA($B$5:B61))</f>
        <v>57</v>
      </c>
      <c r="B61" s="27" t="inlineStr">
        <is>
          <t>滨江荣香副食</t>
        </is>
      </c>
      <c r="C61" s="156" t="n">
        <v>3380</v>
      </c>
      <c r="D61" s="156">
        <f>IF(B61&lt;&gt;"",SUMIF(出库明细!C:C,B61,出库明细!G:G),"")</f>
        <v>1932</v>
      </c>
      <c r="E61" s="156">
        <f>IF(AND(C61&lt;&gt;"",D61&lt;&gt;""),C61-D61,"")</f>
        <v>1448</v>
      </c>
      <c r="F61" s="156">
        <f>IF(B61&lt;&gt;"",SUMIFS(资金台帐!$S:$S,资金台帐!$J:$J,B61,资金台帐!$P:$P,"应收"),"")</f>
        <v>3380</v>
      </c>
      <c r="G61" s="156">
        <f>IF(B61="","",N(K61)+N(D61)-N(F61))</f>
        <v>-1448</v>
      </c>
      <c r="H61" s="14" t="str">
        <f>IF(B61="","",IF(G61=0,"已结清",IF(G61&gt;0,"有欠款","预存款")))</f>
        <v>预存款</v>
      </c>
      <c r="I61" s="157">
        <f>IFERROR(SUMIF(商品库存!B:B,B61,商品库存!I:I),0)</f>
        <v>29</v>
      </c>
      <c r="J61" s="156">
        <f>IFERROR(SUMIF(商品库存!B:B,B61,商品库存!J:J),0)</f>
        <v>1448</v>
      </c>
      <c r="K61" s="156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 ht="15" customHeight="1" s="71">
      <c r="A62" s="14">
        <f>IF(B62="","",COUNTA($B$5:B62))</f>
        <v>58</v>
      </c>
      <c r="B62" s="14" t="inlineStr">
        <is>
          <t>埠头凤岗万家乐超市</t>
        </is>
      </c>
      <c r="C62" s="156" t="n">
        <v>930</v>
      </c>
      <c r="D62" s="156">
        <f>IF(B62&lt;&gt;"",SUMIF(出库明细!C:C,B62,出库明细!G:G),"")</f>
        <v>930</v>
      </c>
      <c r="E62" s="156">
        <f>IF(AND(C62&lt;&gt;"",D62&lt;&gt;""),C62-D62,"")</f>
        <v>0</v>
      </c>
      <c r="F62" s="156">
        <f>IF(B62&lt;&gt;"",SUMIFS(资金台帐!$S:$S,资金台帐!$J:$J,B62,资金台帐!$P:$P,"应收"),"")</f>
        <v>930</v>
      </c>
      <c r="G62" s="156">
        <f>IF(B62="","",N(K62)+N(D62)-N(F62))</f>
        <v>0</v>
      </c>
      <c r="H62" s="14" t="str">
        <f>IF(B62="","",IF(G62=0,"已结清",IF(G62&gt;0,"有欠款","预存款")))</f>
        <v>已结清</v>
      </c>
      <c r="I62" s="157">
        <f>IFERROR(SUMIF(商品库存!B:B,B62,商品库存!I:I),0)</f>
        <v>0</v>
      </c>
      <c r="J62" s="156">
        <f>IFERROR(SUMIF(商品库存!B:B,B62,商品库存!J:J),0)</f>
        <v>0</v>
      </c>
      <c r="K62" s="156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 ht="15" customHeight="1" s="71">
      <c r="A63" s="14">
        <f>IF(B63="","",COUNTA($B$5:B63))</f>
        <v>59</v>
      </c>
      <c r="B63" s="27" t="inlineStr">
        <is>
          <t>方太青华百货</t>
        </is>
      </c>
      <c r="C63" s="156" t="n">
        <v>1395</v>
      </c>
      <c r="D63" s="156">
        <f>IF(B63&lt;&gt;"",SUMIF(出库明细!C:C,B63,出库明细!G:G),"")</f>
        <v>0</v>
      </c>
      <c r="E63" s="156">
        <f>IF(AND(C63&lt;&gt;"",D63&lt;&gt;""),C63-D63,"")</f>
        <v>1395</v>
      </c>
      <c r="F63" s="156">
        <f>IF(B63&lt;&gt;"",SUMIFS(资金台帐!$S:$S,资金台帐!$J:$J,B63,资金台帐!$P:$P,"应收"),"")</f>
        <v>1395</v>
      </c>
      <c r="G63" s="156">
        <f>IF(B63="","",N(K63)+N(D63)-N(F63))</f>
        <v>-1395</v>
      </c>
      <c r="H63" s="14" t="str">
        <f>IF(B63="","",IF(G63=0,"已结清",IF(G63&gt;0,"有欠款","预存款")))</f>
        <v>预存款</v>
      </c>
      <c r="I63" s="157">
        <f>IFERROR(SUMIF(商品库存!B:B,B63,商品库存!I:I),0)</f>
        <v>15</v>
      </c>
      <c r="J63" s="156">
        <f>IFERROR(SUMIF(商品库存!B:B,B63,商品库存!J:J),0)</f>
        <v>1395</v>
      </c>
      <c r="K63" s="156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 ht="15" customHeight="1" s="71">
      <c r="A64" s="14">
        <f>IF(B64="","",COUNTA($B$5:B64))</f>
        <v>60</v>
      </c>
      <c r="B64" s="27" t="inlineStr">
        <is>
          <t>城北街隆兴商行</t>
        </is>
      </c>
      <c r="C64" s="156" t="n">
        <v>3005</v>
      </c>
      <c r="D64" s="156">
        <f>IF(B64&lt;&gt;"",SUMIF(出库明细!C:C,B64,出库明细!G:G),"")</f>
        <v>2801</v>
      </c>
      <c r="E64" s="156">
        <f>IF(AND(C64&lt;&gt;"",D64&lt;&gt;""),C64-D64,"")</f>
        <v>204</v>
      </c>
      <c r="F64" s="156">
        <f>IF(B64&lt;&gt;"",SUMIFS(资金台帐!$S:$S,资金台帐!$J:$J,B64,资金台帐!$P:$P,"应收"),"")</f>
        <v>3005</v>
      </c>
      <c r="G64" s="156">
        <f>IF(B64="","",N(K64)+N(D64)-N(F64))</f>
        <v>-204</v>
      </c>
      <c r="H64" s="14" t="str">
        <f>IF(B64="","",IF(G64=0,"已结清",IF(G64&gt;0,"有欠款","预存款")))</f>
        <v>预存款</v>
      </c>
      <c r="I64" s="157">
        <f>IFERROR(SUMIF(商品库存!B:B,B64,商品库存!I:I),0)</f>
        <v>3</v>
      </c>
      <c r="J64" s="156">
        <f>IFERROR(SUMIF(商品库存!B:B,B64,商品库存!J:J),0)</f>
        <v>204</v>
      </c>
      <c r="K64" s="156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 ht="15" customHeight="1" s="71">
      <c r="A65" s="14">
        <f>IF(B65="","",COUNTA($B$5:B65))</f>
        <v>61</v>
      </c>
      <c r="B65" s="27" t="inlineStr">
        <is>
          <t>均村好惠多超市</t>
        </is>
      </c>
      <c r="C65" s="156" t="n">
        <v>1395</v>
      </c>
      <c r="D65" s="156">
        <f>IF(B65&lt;&gt;"",SUMIF(出库明细!C:C,B65,出库明细!G:G),"")</f>
        <v>0</v>
      </c>
      <c r="E65" s="156">
        <f>IF(AND(C65&lt;&gt;"",D65&lt;&gt;""),C65-D65,"")</f>
        <v>1395</v>
      </c>
      <c r="F65" s="156">
        <f>IF(B65&lt;&gt;"",SUMIFS(资金台帐!$S:$S,资金台帐!$J:$J,B65,资金台帐!$P:$P,"应收"),"")</f>
        <v>1395</v>
      </c>
      <c r="G65" s="156">
        <f>IF(B65="","",N(K65)+N(D65)-N(F65))</f>
        <v>-1395</v>
      </c>
      <c r="H65" s="14" t="str">
        <f>IF(B65="","",IF(G65=0,"已结清",IF(G65&gt;0,"有欠款","预存款")))</f>
        <v>预存款</v>
      </c>
      <c r="I65" s="157">
        <f>IFERROR(SUMIF(商品库存!B:B,B65,商品库存!I:I),0)</f>
        <v>15</v>
      </c>
      <c r="J65" s="156">
        <f>IFERROR(SUMIF(商品库存!B:B,B65,商品库存!J:J),0)</f>
        <v>1395</v>
      </c>
      <c r="K65" s="156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 ht="15" customHeight="1" s="71">
      <c r="A66" s="14">
        <f>IF(B66="","",COUNTA($B$5:B66))</f>
        <v>62</v>
      </c>
      <c r="B66" s="27" t="inlineStr">
        <is>
          <t>龙口利客副食</t>
        </is>
      </c>
      <c r="C66" s="156" t="n">
        <v>2325</v>
      </c>
      <c r="D66" s="156">
        <f>IF(B66&lt;&gt;"",SUMIF(出库明细!C:C,B66,出库明细!G:G),"")</f>
        <v>2325</v>
      </c>
      <c r="E66" s="156">
        <f>IF(AND(C66&lt;&gt;"",D66&lt;&gt;""),C66-D66,"")</f>
        <v>0</v>
      </c>
      <c r="F66" s="156">
        <f>IF(B66&lt;&gt;"",SUMIFS(资金台帐!$S:$S,资金台帐!$J:$J,B66,资金台帐!$P:$P,"应收"),"")</f>
        <v>2325</v>
      </c>
      <c r="G66" s="156">
        <f>IF(B66="","",N(K66)+N(D66)-N(F66))</f>
        <v>0</v>
      </c>
      <c r="H66" s="14" t="str">
        <f>IF(B66="","",IF(G66=0,"已结清",IF(G66&gt;0,"有欠款","预存款")))</f>
        <v>已结清</v>
      </c>
      <c r="I66" s="157">
        <f>IFERROR(SUMIF(商品库存!B:B,B66,商品库存!I:I),0)</f>
        <v>0</v>
      </c>
      <c r="J66" s="156">
        <f>IFERROR(SUMIF(商品库存!B:B,B66,商品库存!J:J),0)</f>
        <v>0</v>
      </c>
      <c r="K66" s="156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 ht="15" customHeight="1" s="71">
      <c r="A67" s="14">
        <f>IF(B67="","",COUNTA($B$5:B67))</f>
        <v>63</v>
      </c>
      <c r="B67" s="27" t="inlineStr">
        <is>
          <t>长岗愉清副食</t>
        </is>
      </c>
      <c r="C67" s="156" t="n">
        <v>3035</v>
      </c>
      <c r="D67" s="156">
        <f>IF(B67&lt;&gt;"",SUMIF(出库明细!C:C,B67,出库明细!G:G),"")</f>
        <v>576</v>
      </c>
      <c r="E67" s="156">
        <f>IF(AND(C67&lt;&gt;"",D67&lt;&gt;""),C67-D67,"")</f>
        <v>2459</v>
      </c>
      <c r="F67" s="156">
        <f>IF(B67&lt;&gt;"",SUMIFS(资金台帐!$S:$S,资金台帐!$J:$J,B67,资金台帐!$P:$P,"应收"),"")</f>
        <v>3035</v>
      </c>
      <c r="G67" s="156">
        <f>IF(B67="","",N(K67)+N(D67)-N(F67))</f>
        <v>-2459</v>
      </c>
      <c r="H67" s="14" t="str">
        <f>IF(B67="","",IF(G67=0,"已结清",IF(G67&gt;0,"有欠款","预存款")))</f>
        <v>预存款</v>
      </c>
      <c r="I67" s="157">
        <f>IFERROR(SUMIF(商品库存!B:B,B67,商品库存!I:I),0)</f>
        <v>33</v>
      </c>
      <c r="J67" s="156">
        <f>IFERROR(SUMIF(商品库存!B:B,B67,商品库存!J:J),0)</f>
        <v>2459</v>
      </c>
      <c r="K67" s="156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 ht="15" customHeight="1" s="71">
      <c r="A68" s="14">
        <f>IF(B68="","",COUNTA($B$5:B68))</f>
        <v>64</v>
      </c>
      <c r="B68" s="35" t="inlineStr">
        <is>
          <t>高兴小春王均平</t>
        </is>
      </c>
      <c r="C68" s="156" t="n">
        <v>2907</v>
      </c>
      <c r="D68" s="156">
        <f>IF(B68&lt;&gt;"",SUMIF(出库明细!C:C,B68,出库明细!G:G),"")</f>
        <v>242</v>
      </c>
      <c r="E68" s="156">
        <f>IF(AND(C68&lt;&gt;"",D68&lt;&gt;""),C68-D68,"")</f>
        <v>2665</v>
      </c>
      <c r="F68" s="156">
        <f>IF(B68&lt;&gt;"",SUMIFS(资金台帐!$S:$S,资金台帐!$J:$J,B68,资金台帐!$P:$P,"应收"),"")</f>
        <v>2907</v>
      </c>
      <c r="G68" s="156">
        <f>IF(B68="","",N(K68)+N(D68)-N(F68))</f>
        <v>-2665</v>
      </c>
      <c r="H68" s="14" t="str">
        <f>IF(B68="","",IF(G68=0,"已结清",IF(G68&gt;0,"有欠款","预存款")))</f>
        <v>预存款</v>
      </c>
      <c r="I68" s="157">
        <f>IFERROR(SUMIF(商品库存!B:B,B68,商品库存!I:I),0)</f>
        <v>30</v>
      </c>
      <c r="J68" s="156">
        <f>IFERROR(SUMIF(商品库存!B:B,B68,商品库存!J:J),0)</f>
        <v>2665</v>
      </c>
      <c r="K68" s="156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 ht="15" customHeight="1" s="71">
      <c r="A69" s="14">
        <f>IF(B69="","",COUNTA($B$5:B69))</f>
        <v>65</v>
      </c>
      <c r="B69" s="27" t="inlineStr">
        <is>
          <t>高兴蒙山超市</t>
        </is>
      </c>
      <c r="C69" s="156" t="n">
        <v>1567</v>
      </c>
      <c r="D69" s="156">
        <f>IF(B69&lt;&gt;"",SUMIF(出库明细!C:C,B69,出库明细!G:G),"")</f>
        <v>1567</v>
      </c>
      <c r="E69" s="156">
        <f>IF(AND(C69&lt;&gt;"",D69&lt;&gt;""),C69-D69,"")</f>
        <v>0</v>
      </c>
      <c r="F69" s="156">
        <f>IF(B69&lt;&gt;"",SUMIFS(资金台帐!$S:$S,资金台帐!$J:$J,B69,资金台帐!$P:$P,"应收"),"")</f>
        <v>1567</v>
      </c>
      <c r="G69" s="156">
        <f>IF(B69="","",N(K69)+N(D69)-N(F69))</f>
        <v>0</v>
      </c>
      <c r="H69" s="14" t="str">
        <f>IF(B69="","",IF(G69=0,"已结清",IF(G69&gt;0,"有欠款","预存款")))</f>
        <v>已结清</v>
      </c>
      <c r="I69" s="157">
        <f>IFERROR(SUMIF(商品库存!B:B,B69,商品库存!I:I),0)</f>
        <v>0</v>
      </c>
      <c r="J69" s="156">
        <f>IFERROR(SUMIF(商品库存!B:B,B69,商品库存!J:J),0)</f>
        <v>0</v>
      </c>
      <c r="K69" s="156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 ht="15" customHeight="1" s="71">
      <c r="A70" s="14">
        <f>IF(B70="","",COUNTA($B$5:B70))</f>
        <v>66</v>
      </c>
      <c r="B70" s="35" t="inlineStr">
        <is>
          <t>良村小杜批发</t>
        </is>
      </c>
      <c r="C70" s="156" t="n">
        <v>4500</v>
      </c>
      <c r="D70" s="156">
        <f>IF(B70&lt;&gt;"",SUMIF(出库明细!C:C,B70,出库明细!G:G),"")</f>
        <v>0</v>
      </c>
      <c r="E70" s="156">
        <f>IF(AND(C70&lt;&gt;"",D70&lt;&gt;""),C70-D70,"")</f>
        <v>4500</v>
      </c>
      <c r="F70" s="156">
        <f>IF(B70&lt;&gt;"",SUMIFS(资金台帐!$S:$S,资金台帐!$J:$J,B70,资金台帐!$P:$P,"应收"),"")</f>
        <v>4500</v>
      </c>
      <c r="G70" s="156">
        <f>IF(B70="","",N(K70)+N(D70)-N(F70))</f>
        <v>-4500</v>
      </c>
      <c r="H70" s="14" t="str">
        <f>IF(B70="","",IF(G70=0,"已结清",IF(G70&gt;0,"有欠款","预存款")))</f>
        <v>预存款</v>
      </c>
      <c r="I70" s="157">
        <f>IFERROR(SUMIF(商品库存!B:B,B70,商品库存!I:I),0)</f>
        <v>50</v>
      </c>
      <c r="J70" s="156">
        <f>IFERROR(SUMIF(商品库存!B:B,B70,商品库存!J:J),0)</f>
        <v>4500</v>
      </c>
      <c r="K70" s="156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15" customHeight="1" s="71">
      <c r="A71" s="14">
        <f>IF(B71="","",COUNTA($B$5:B71))</f>
        <v>67</v>
      </c>
      <c r="B71" s="35" t="inlineStr">
        <is>
          <t>洪门C区李记商行</t>
        </is>
      </c>
      <c r="C71" s="156" t="n">
        <v>9000</v>
      </c>
      <c r="D71" s="156">
        <f>IF(B71&lt;&gt;"",SUMIF(出库明细!C:C,B71,出库明细!G:G),"")</f>
        <v>4500</v>
      </c>
      <c r="E71" s="156">
        <f>IF(AND(C71&lt;&gt;"",D71&lt;&gt;""),C71-D71,"")</f>
        <v>4500</v>
      </c>
      <c r="F71" s="156">
        <f>IF(B71&lt;&gt;"",SUMIFS(资金台帐!$S:$S,资金台帐!$J:$J,B71,资金台帐!$P:$P,"应收"),"")</f>
        <v>9000</v>
      </c>
      <c r="G71" s="156">
        <f>IF(B71="","",N(K71)+N(D71)-N(F71))</f>
        <v>-4500</v>
      </c>
      <c r="H71" s="14" t="str">
        <f>IF(B71="","",IF(G71=0,"已结清",IF(G71&gt;0,"有欠款","预存款")))</f>
        <v>预存款</v>
      </c>
      <c r="I71" s="157">
        <f>IFERROR(SUMIF(商品库存!B:B,B71,商品库存!I:I),0)</f>
        <v>50</v>
      </c>
      <c r="J71" s="156">
        <f>IFERROR(SUMIF(商品库存!B:B,B71,商品库存!J:J),0)</f>
        <v>4500</v>
      </c>
      <c r="K71" s="156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 ht="15" customHeight="1" s="71">
      <c r="A72" s="14">
        <f>IF(B72="","",COUNTA($B$5:B72))</f>
        <v>68</v>
      </c>
      <c r="B72" s="14" t="inlineStr">
        <is>
          <t>小陈副食</t>
        </is>
      </c>
      <c r="C72" s="156" t="n">
        <v>12000</v>
      </c>
      <c r="D72" s="156">
        <f>IF(B72&lt;&gt;"",SUMIF(出库明细!C:C,B72,出库明细!G:G),"")</f>
        <v>10472.5</v>
      </c>
      <c r="E72" s="156">
        <f>IF(AND(C72&lt;&gt;"",D72&lt;&gt;""),C72-D72,"")</f>
        <v>1527.5</v>
      </c>
      <c r="F72" s="156">
        <f>IF(B72&lt;&gt;"",SUMIFS(资金台帐!$S:$S,资金台帐!$J:$J,B72,资金台帐!$P:$P,"应收"),"")</f>
        <v>12000</v>
      </c>
      <c r="G72" s="156">
        <f>IF(B72="","",N(K72)+N(D72)-N(F72))</f>
        <v>-1527.5</v>
      </c>
      <c r="H72" s="14" t="str">
        <f>IF(B72="","",IF(G72=0,"已结清",IF(G72&gt;0,"有欠款","预存款")))</f>
        <v>预存款</v>
      </c>
      <c r="I72" s="157">
        <f>IFERROR(SUMIF(商品库存!B:B,B72,商品库存!I:I),0)</f>
        <v>-127.5</v>
      </c>
      <c r="J72" s="156">
        <f>IFERROR(SUMIF(商品库存!B:B,B72,商品库存!J:J),0)</f>
        <v>-10472.5</v>
      </c>
      <c r="K72" s="156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15" customHeight="1" s="71">
      <c r="A73" s="14">
        <f>IF(B73="","",COUNTA($B$5:B73))</f>
        <v>69</v>
      </c>
      <c r="B73" s="35" t="inlineStr">
        <is>
          <t>埠头鑫鑫文具</t>
        </is>
      </c>
      <c r="C73" s="156" t="n">
        <v>2325</v>
      </c>
      <c r="D73" s="156">
        <f>IF(B73&lt;&gt;"",SUMIF(出库明细!C:C,B73,出库明细!G:G),"")</f>
        <v>2325</v>
      </c>
      <c r="E73" s="156">
        <f>IF(AND(C73&lt;&gt;"",D73&lt;&gt;""),C73-D73,"")</f>
        <v>0</v>
      </c>
      <c r="F73" s="156">
        <f>IF(B73&lt;&gt;"",SUMIFS(资金台帐!$S:$S,资金台帐!$J:$J,B73,资金台帐!$P:$P,"应收"),"")</f>
        <v>2325</v>
      </c>
      <c r="G73" s="156">
        <f>IF(B73="","",N(K73)+N(D73)-N(F73))</f>
        <v>0</v>
      </c>
      <c r="H73" s="14" t="str">
        <f>IF(B73="","",IF(G73=0,"已结清",IF(G73&gt;0,"有欠款","预存款")))</f>
        <v>已结清</v>
      </c>
      <c r="I73" s="157">
        <f>IFERROR(SUMIF(商品库存!B:B,B73,商品库存!I:I),0)</f>
        <v>0</v>
      </c>
      <c r="J73" s="156">
        <f>IFERROR(SUMIF(商品库存!B:B,B73,商品库存!J:J),0)</f>
        <v>0</v>
      </c>
      <c r="K73" s="156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15" customHeight="1" s="71">
      <c r="A74" s="14">
        <f>IF(B74="","",COUNTA($B$5:B74))</f>
        <v>70</v>
      </c>
      <c r="B74" s="35" t="inlineStr">
        <is>
          <t>南区长裕商行</t>
        </is>
      </c>
      <c r="C74" s="156" t="n">
        <v>1860</v>
      </c>
      <c r="D74" s="156">
        <f>IF(B74&lt;&gt;"",SUMIF(出库明细!C:C,B74,出库明细!G:G),"")</f>
        <v>1860</v>
      </c>
      <c r="E74" s="156">
        <f>IF(AND(C74&lt;&gt;"",D74&lt;&gt;""),C74-D74,"")</f>
        <v>0</v>
      </c>
      <c r="F74" s="156">
        <f>IF(B74&lt;&gt;"",SUMIFS(资金台帐!$S:$S,资金台帐!$J:$J,B74,资金台帐!$P:$P,"应收"),"")</f>
        <v>1860</v>
      </c>
      <c r="G74" s="156">
        <f>IF(B74="","",N(K74)+N(D74)-N(F74))</f>
        <v>0</v>
      </c>
      <c r="H74" s="14" t="str">
        <f>IF(B74="","",IF(G74=0,"已结清",IF(G74&gt;0,"有欠款","预存款")))</f>
        <v>已结清</v>
      </c>
      <c r="I74" s="157">
        <f>IFERROR(SUMIF(商品库存!B:B,B74,商品库存!I:I),0)</f>
        <v>0</v>
      </c>
      <c r="J74" s="156">
        <f>IFERROR(SUMIF(商品库存!B:B,B74,商品库存!J:J),0)</f>
        <v>0</v>
      </c>
      <c r="K74" s="156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15" customHeight="1" s="71">
      <c r="A75" s="14">
        <f>IF(B75="","",COUNTA($B$5:B75))</f>
        <v>71</v>
      </c>
      <c r="B75" s="36" t="inlineStr">
        <is>
          <t>洪门永信商行</t>
        </is>
      </c>
      <c r="C75" s="156" t="n">
        <v>4500</v>
      </c>
      <c r="D75" s="156">
        <f>IF(B75&lt;&gt;"",SUMIF(出库明细!C:C,B75,出库明细!G:G),"")</f>
        <v>0</v>
      </c>
      <c r="E75" s="156">
        <f>IF(AND(C75&lt;&gt;"",D75&lt;&gt;""),C75-D75,"")</f>
        <v>4500</v>
      </c>
      <c r="F75" s="156">
        <f>IF(B75&lt;&gt;"",SUMIFS(资金台帐!$S:$S,资金台帐!$J:$J,B75,资金台帐!$P:$P,"应收"),"")</f>
        <v>4500</v>
      </c>
      <c r="G75" s="156">
        <f>IF(B75="","",N(K75)+N(D75)-N(F75))</f>
        <v>-4500</v>
      </c>
      <c r="H75" s="14" t="str">
        <f>IF(B75="","",IF(G75=0,"已结清",IF(G75&gt;0,"有欠款","预存款")))</f>
        <v>预存款</v>
      </c>
      <c r="I75" s="157">
        <f>IFERROR(SUMIF(商品库存!B:B,B75,商品库存!I:I),0)</f>
        <v>50</v>
      </c>
      <c r="J75" s="156">
        <f>IFERROR(SUMIF(商品库存!B:B,B75,商品库存!J:J),0)</f>
        <v>4500</v>
      </c>
      <c r="K75" s="156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 ht="15" customHeight="1" s="71">
      <c r="A76" s="14">
        <f>IF(B76="","",COUNTA($B$5:B76))</f>
        <v>72</v>
      </c>
      <c r="B76" s="35" t="inlineStr">
        <is>
          <t>均村喜乐多</t>
        </is>
      </c>
      <c r="C76" s="156" t="n">
        <v>1640</v>
      </c>
      <c r="D76" s="156">
        <f>IF(B76&lt;&gt;"",SUMIF(出库明细!C:C,B76,出库明细!G:G),"")</f>
        <v>0</v>
      </c>
      <c r="E76" s="156">
        <f>IF(AND(C76&lt;&gt;"",D76&lt;&gt;""),C76-D76,"")</f>
        <v>1640</v>
      </c>
      <c r="F76" s="156">
        <f>IF(B76&lt;&gt;"",SUMIFS(资金台帐!$S:$S,资金台帐!$J:$J,B76,资金台帐!$P:$P,"应收"),"")</f>
        <v>1640</v>
      </c>
      <c r="G76" s="156">
        <f>IF(B76="","",N(K76)+N(D76)-N(F76))</f>
        <v>-1640</v>
      </c>
      <c r="H76" s="14" t="str">
        <f>IF(B76="","",IF(G76=0,"已结清",IF(G76&gt;0,"有欠款","预存款")))</f>
        <v>预存款</v>
      </c>
      <c r="I76" s="157">
        <f>IFERROR(SUMIF(商品库存!B:B,B76,商品库存!I:I),0)</f>
        <v>30</v>
      </c>
      <c r="J76" s="156">
        <f>IFERROR(SUMIF(商品库存!B:B,B76,商品库存!J:J),0)</f>
        <v>1640</v>
      </c>
      <c r="K76" s="156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15" customHeight="1" s="71">
      <c r="A77" s="14">
        <f>IF(B77="","",COUNTA($B$5:B77))</f>
        <v>73</v>
      </c>
      <c r="B77" s="35" t="inlineStr">
        <is>
          <t>埠头如愿超市</t>
        </is>
      </c>
      <c r="C77" s="156" t="n">
        <v>2325</v>
      </c>
      <c r="D77" s="156">
        <f>IF(B77&lt;&gt;"",SUMIF(出库明细!C:C,B77,出库明细!G:G),"")</f>
        <v>2325</v>
      </c>
      <c r="E77" s="156">
        <f>IF(AND(C77&lt;&gt;"",D77&lt;&gt;""),C77-D77,"")</f>
        <v>0</v>
      </c>
      <c r="F77" s="156">
        <f>IF(B77&lt;&gt;"",SUMIFS(资金台帐!$S:$S,资金台帐!$J:$J,B77,资金台帐!$P:$P,"应收"),"")</f>
        <v>2325</v>
      </c>
      <c r="G77" s="156">
        <f>IF(B77="","",N(K77)+N(D77)-N(F77))</f>
        <v>0</v>
      </c>
      <c r="H77" s="14" t="str">
        <f>IF(B77="","",IF(G77=0,"已结清",IF(G77&gt;0,"有欠款","预存款")))</f>
        <v>已结清</v>
      </c>
      <c r="I77" s="157">
        <f>IFERROR(SUMIF(商品库存!B:B,B77,商品库存!I:I),0)</f>
        <v>0</v>
      </c>
      <c r="J77" s="156">
        <f>IFERROR(SUMIF(商品库存!B:B,B77,商品库存!J:J),0)</f>
        <v>0</v>
      </c>
      <c r="K77" s="156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 ht="15" customHeight="1" s="71">
      <c r="A78" s="14">
        <f>IF(B78="","",COUNTA($B$5:B78))</f>
        <v>74</v>
      </c>
      <c r="B78" s="35" t="inlineStr">
        <is>
          <t>七中阳光鲜奶</t>
        </is>
      </c>
      <c r="C78" s="156" t="n">
        <v>107.5</v>
      </c>
      <c r="D78" s="156">
        <f>IF(B78&lt;&gt;"",SUMIF(出库明细!C:C,B78,出库明细!G:G),"")</f>
        <v>0</v>
      </c>
      <c r="E78" s="156">
        <f>IF(AND(C78&lt;&gt;"",D78&lt;&gt;""),C78-D78,"")</f>
        <v>107.5</v>
      </c>
      <c r="F78" s="156">
        <f>IF(B78&lt;&gt;"",SUMIFS(资金台帐!$S:$S,资金台帐!$J:$J,B78,资金台帐!$P:$P,"应收"),"")</f>
        <v>107.5</v>
      </c>
      <c r="G78" s="156">
        <f>IF(B78="","",N(K78)+N(D78)-N(F78))</f>
        <v>-107.5</v>
      </c>
      <c r="H78" s="14" t="str">
        <f>IF(B78="","",IF(G78=0,"已结清",IF(G78&gt;0,"有欠款","预存款")))</f>
        <v>预存款</v>
      </c>
      <c r="I78" s="157">
        <f>IFERROR(SUMIF(商品库存!B:B,B78,商品库存!I:I),0)</f>
        <v>5</v>
      </c>
      <c r="J78" s="156">
        <f>IFERROR(SUMIF(商品库存!B:B,B78,商品库存!J:J),0)</f>
        <v>107.5</v>
      </c>
      <c r="K78" s="156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 ht="15" customHeight="1" s="71">
      <c r="A79" s="14">
        <f>IF(B79="","",COUNTA($B$5:B79))</f>
        <v>75</v>
      </c>
      <c r="B79" s="35" t="inlineStr">
        <is>
          <t>长岗岭万家乐超市</t>
        </is>
      </c>
      <c r="C79" s="156" t="n">
        <v>2790</v>
      </c>
      <c r="D79" s="156">
        <f>IF(B79&lt;&gt;"",SUMIF(出库明细!C:C,B79,出库明细!G:G),"")</f>
        <v>0</v>
      </c>
      <c r="E79" s="156">
        <f>IF(AND(C79&lt;&gt;"",D79&lt;&gt;""),C79-D79,"")</f>
        <v>2790</v>
      </c>
      <c r="F79" s="156">
        <f>IF(B79&lt;&gt;"",SUMIFS(资金台帐!$S:$S,资金台帐!$J:$J,B79,资金台帐!$P:$P,"应收"),"")</f>
        <v>2790</v>
      </c>
      <c r="G79" s="156">
        <f>IF(B79="","",N(K79)+N(D79)-N(F79))</f>
        <v>-2790</v>
      </c>
      <c r="H79" s="14" t="str">
        <f>IF(B79="","",IF(G79=0,"已结清",IF(G79&gt;0,"有欠款","预存款")))</f>
        <v>预存款</v>
      </c>
      <c r="I79" s="157">
        <f>IFERROR(SUMIF(商品库存!B:B,B79,商品库存!I:I),0)</f>
        <v>30</v>
      </c>
      <c r="J79" s="156">
        <f>IFERROR(SUMIF(商品库存!B:B,B79,商品库存!J:J),0)</f>
        <v>2790</v>
      </c>
      <c r="K79" s="156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 ht="15" customHeight="1" s="71">
      <c r="A80" s="14">
        <f>IF(B80="","",COUNTA($B$5:B80))</f>
        <v>76</v>
      </c>
      <c r="B80" s="35" t="inlineStr">
        <is>
          <t>龙岗荣鑫商行</t>
        </is>
      </c>
      <c r="C80" s="156" t="n">
        <v>4500</v>
      </c>
      <c r="D80" s="156">
        <f>IF(B80&lt;&gt;"",SUMIF(出库明细!C:C,B80,出库明细!G:G),"")</f>
        <v>0</v>
      </c>
      <c r="E80" s="156">
        <f>IF(AND(C80&lt;&gt;"",D80&lt;&gt;""),C80-D80,"")</f>
        <v>4500</v>
      </c>
      <c r="F80" s="156">
        <f>IF(B80&lt;&gt;"",SUMIFS(资金台帐!$S:$S,资金台帐!$J:$J,B80,资金台帐!$P:$P,"应收"),"")</f>
        <v>4500</v>
      </c>
      <c r="G80" s="156">
        <f>IF(B80="","",N(K80)+N(D80)-N(F80))</f>
        <v>-4500</v>
      </c>
      <c r="H80" s="14" t="str">
        <f>IF(B80="","",IF(G80=0,"已结清",IF(G80&gt;0,"有欠款","预存款")))</f>
        <v>预存款</v>
      </c>
      <c r="I80" s="157">
        <f>IFERROR(SUMIF(商品库存!B:B,B80,商品库存!I:I),0)</f>
        <v>50</v>
      </c>
      <c r="J80" s="156">
        <f>IFERROR(SUMIF(商品库存!B:B,B80,商品库存!J:J),0)</f>
        <v>4500</v>
      </c>
      <c r="K80" s="156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 ht="15" customHeight="1" s="71">
      <c r="A81" s="14">
        <f>IF(B81="","",COUNTA($B$5:B81))</f>
        <v>77</v>
      </c>
      <c r="B81" s="35" t="inlineStr">
        <is>
          <t>城岗老石商行</t>
        </is>
      </c>
      <c r="C81" s="156" t="n">
        <v>2700</v>
      </c>
      <c r="D81" s="156">
        <f>IF(B81&lt;&gt;"",SUMIF(出库明细!C:C,B81,出库明细!G:G),"")</f>
        <v>0</v>
      </c>
      <c r="E81" s="156">
        <f>IF(AND(C81&lt;&gt;"",D81&lt;&gt;""),C81-D81,"")</f>
        <v>2700</v>
      </c>
      <c r="F81" s="156">
        <f>IF(B81&lt;&gt;"",SUMIFS(资金台帐!$S:$S,资金台帐!$J:$J,B81,资金台帐!$P:$P,"应收"),"")</f>
        <v>2700</v>
      </c>
      <c r="G81" s="156">
        <f>IF(B81="","",N(K81)+N(D81)-N(F81))</f>
        <v>-2700</v>
      </c>
      <c r="H81" s="14" t="str">
        <f>IF(B81="","",IF(G81=0,"已结清",IF(G81&gt;0,"有欠款","预存款")))</f>
        <v>预存款</v>
      </c>
      <c r="I81" s="157">
        <f>IFERROR(SUMIF(商品库存!B:B,B81,商品库存!I:I),0)</f>
        <v>30</v>
      </c>
      <c r="J81" s="156">
        <f>IFERROR(SUMIF(商品库存!B:B,B81,商品库存!J:J),0)</f>
        <v>2700</v>
      </c>
      <c r="K81" s="156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 ht="15" customHeight="1" s="71">
      <c r="A82" s="14">
        <f>IF(B82="","",COUNTA($B$5:B82))</f>
        <v>78</v>
      </c>
      <c r="B82" s="35" t="inlineStr">
        <is>
          <t>埠头万客欢</t>
        </is>
      </c>
      <c r="C82" s="156" t="n">
        <v>2750</v>
      </c>
      <c r="D82" s="156">
        <f>IF(B82&lt;&gt;"",SUMIF(出库明细!C:C,B82,出库明细!G:G),"")</f>
        <v>0</v>
      </c>
      <c r="E82" s="156">
        <f>IF(AND(C82&lt;&gt;"",D82&lt;&gt;""),C82-D82,"")</f>
        <v>2750</v>
      </c>
      <c r="F82" s="156">
        <f>IF(B82&lt;&gt;"",SUMIFS(资金台帐!$S:$S,资金台帐!$J:$J,B82,资金台帐!$P:$P,"应收"),"")</f>
        <v>2750</v>
      </c>
      <c r="G82" s="156">
        <f>IF(B82="","",N(K82)+N(D82)-N(F82))</f>
        <v>-2750</v>
      </c>
      <c r="H82" s="14" t="str">
        <f>IF(B82="","",IF(G82=0,"已结清",IF(G82&gt;0,"有欠款","预存款")))</f>
        <v>预存款</v>
      </c>
      <c r="I82" s="157">
        <f>IFERROR(SUMIF(商品库存!B:B,B82,商品库存!I:I),0)</f>
        <v>250</v>
      </c>
      <c r="J82" s="156">
        <f>IFERROR(SUMIF(商品库存!B:B,B82,商品库存!J:J),0)</f>
        <v>1900</v>
      </c>
      <c r="K82" s="156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 ht="15" customHeight="1" s="71">
      <c r="A83" s="14">
        <f>IF(B83="","",COUNTA($B$5:B83))</f>
        <v>79</v>
      </c>
      <c r="B83" s="14" t="inlineStr">
        <is>
          <t>阳光超市</t>
        </is>
      </c>
      <c r="C83" s="156" t="n"/>
      <c r="D83" s="156">
        <f>IF(B83&lt;&gt;"",SUMIF(出库明细!C:C,B83,出库明细!G:G),"")</f>
        <v>0</v>
      </c>
      <c r="E83" s="156">
        <f>IF(AND(C83&lt;&gt;"",D83&lt;&gt;""),C83-D83,"")</f>
      </c>
      <c r="F83" s="156">
        <f>IF(B83&lt;&gt;"",SUMIFS(资金台帐!$S:$S,资金台帐!$J:$J,B83,资金台帐!$P:$P,"应收"),"")</f>
        <v>11350</v>
      </c>
      <c r="G83" s="156">
        <f>IF(B83="","",N(K83)+N(D83)-N(F83))</f>
        <v>-11350</v>
      </c>
      <c r="H83" s="14" t="str">
        <f>IF(B83="","",IF(G83=0,"已结清",IF(G83&gt;0,"有欠款","预存款")))</f>
        <v>预存款</v>
      </c>
      <c r="I83" s="157">
        <f>IFERROR(SUMIF(商品库存!B:B,B83,商品库存!I:I),0)</f>
        <v>0</v>
      </c>
      <c r="J83" s="156">
        <f>IFERROR(SUMIF(商品库存!B:B,B83,商品库存!J:J),0)</f>
        <v>0</v>
      </c>
      <c r="K83" s="156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 ht="15" customHeight="1" s="71">
      <c r="A84" s="14">
        <f>IF(B84="","",COUNTA($B$5:B84))</f>
        <v>80</v>
      </c>
      <c r="B84" s="14" t="inlineStr">
        <is>
          <t>竹坝鸿禄食品</t>
        </is>
      </c>
      <c r="C84" s="156" t="n"/>
      <c r="D84" s="156">
        <f>IF(B84&lt;&gt;"",SUMIF(出库明细!C:C,B84,出库明细!G:G),"")</f>
        <v>0</v>
      </c>
      <c r="E84" s="156">
        <f>IF(AND(C84&lt;&gt;"",D84&lt;&gt;""),C84-D84,"")</f>
      </c>
      <c r="F84" s="156">
        <f>IF(B84&lt;&gt;"",SUMIFS(资金台帐!$S:$S,资金台帐!$J:$J,B84,资金台帐!$P:$P,"应收"),"")</f>
        <v>0</v>
      </c>
      <c r="G84" s="156">
        <f>IF(B84="","",N(K84)+N(D84)-N(F84))</f>
        <v>0</v>
      </c>
      <c r="H84" s="14" t="str">
        <f>IF(B84="","",IF(G84=0,"已结清",IF(G84&gt;0,"有欠款","预存款")))</f>
        <v>已结清</v>
      </c>
      <c r="I84" s="157">
        <f>IFERROR(SUMIF(商品库存!B:B,B84,商品库存!I:I),0)</f>
        <v>120</v>
      </c>
      <c r="J84" s="156">
        <f>IFERROR(SUMIF(商品库存!B:B,B84,商品库存!J:J),0)</f>
        <v>10100</v>
      </c>
      <c r="K84" s="156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 ht="15" customHeight="1" s="71">
      <c r="A85" s="14">
        <f>IF(B85="","",COUNTA($B$5:B85))</f>
        <v>81</v>
      </c>
      <c r="B85" s="14" t="inlineStr">
        <is>
          <t>长岗万家欢</t>
        </is>
      </c>
      <c r="C85" s="156" t="n"/>
      <c r="D85" s="156">
        <f>IF(B85&lt;&gt;"",SUMIF(出库明细!C:C,B85,出库明细!G:G),"")</f>
        <v>0</v>
      </c>
      <c r="E85" s="156">
        <f>IF(AND(C85&lt;&gt;"",D85&lt;&gt;""),C85-D85,"")</f>
      </c>
      <c r="F85" s="156">
        <f>IF(B85&lt;&gt;"",SUMIFS(资金台帐!$S:$S,资金台帐!$J:$J,B85,资金台帐!$P:$P,"应收"),"")</f>
        <v>3000</v>
      </c>
      <c r="G85" s="156">
        <f>IF(B85="","",N(K85)+N(D85)-N(F85))</f>
        <v>-3000</v>
      </c>
      <c r="H85" s="14" t="str">
        <f>IF(B85="","",IF(G85=0,"已结清",IF(G85&gt;0,"有欠款","预存款")))</f>
        <v>预存款</v>
      </c>
      <c r="I85" s="157">
        <f>IFERROR(SUMIF(商品库存!B:B,B85,商品库存!I:I),0)</f>
        <v>0</v>
      </c>
      <c r="J85" s="156">
        <f>IFERROR(SUMIF(商品库存!B:B,B85,商品库存!J:J),0)</f>
        <v>0</v>
      </c>
      <c r="K85" s="156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 ht="15" customHeight="1" s="71">
      <c r="A86" s="14">
        <f>IF(B86="","",COUNTA($B$5:B86))</f>
      </c>
      <c r="B86" s="14" t="n"/>
      <c r="C86" s="156" t="n"/>
      <c r="D86" s="156">
        <f>IF(B86&lt;&gt;"",SUMIF(出库明细!C:C,B86,出库明细!G:G),"")</f>
      </c>
      <c r="E86" s="156">
        <f>IF(AND(C86&lt;&gt;"",D86&lt;&gt;""),C86-D86,"")</f>
      </c>
      <c r="F86" s="156">
        <f>IF(B86&lt;&gt;"",SUMIFS(资金台帐!$S:$S,资金台帐!$J:$J,B86,资金台帐!$P:$P,"应收"),"")</f>
      </c>
      <c r="G86" s="156">
        <f>IF(B86="","",N(K86)+N(D86)-N(F86))</f>
      </c>
      <c r="H86" s="14">
        <f>IF(B86="","",IF(G86=0,"已结清",IF(G86&gt;0,"有欠款","预存款")))</f>
      </c>
      <c r="I86" s="157">
        <f>IFERROR(SUMIF(商品库存!B:B,B86,商品库存!I:I),0)</f>
        <v>0</v>
      </c>
      <c r="J86" s="156">
        <f>IFERROR(SUMIF(商品库存!B:B,B86,商品库存!J:J),0)</f>
        <v>0</v>
      </c>
      <c r="K86" s="156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 ht="15" customHeight="1" s="71">
      <c r="A87" s="14">
        <f>IF(B87="","",COUNTA($B$5:B87))</f>
      </c>
      <c r="B87" s="14" t="n"/>
      <c r="C87" s="156" t="n"/>
      <c r="D87" s="156">
        <f>IF(B87&lt;&gt;"",SUMIF(出库明细!C:C,B87,出库明细!G:G),"")</f>
      </c>
      <c r="E87" s="156">
        <f>IF(AND(C87&lt;&gt;"",D87&lt;&gt;""),C87-D87,"")</f>
      </c>
      <c r="F87" s="156">
        <f>IF(B87&lt;&gt;"",SUMIFS(资金台帐!$S:$S,资金台帐!$J:$J,B87,资金台帐!$P:$P,"应收"),"")</f>
      </c>
      <c r="G87" s="156">
        <f>IF(B87="","",N(K87)+N(D87)-N(F87))</f>
      </c>
      <c r="H87" s="14">
        <f>IF(B87="","",IF(G87=0,"已结清",IF(G87&gt;0,"有欠款","预存款")))</f>
      </c>
      <c r="I87" s="157">
        <f>IFERROR(SUMIF(商品库存!B:B,B87,商品库存!I:I),0)</f>
        <v>0</v>
      </c>
      <c r="J87" s="156">
        <f>IFERROR(SUMIF(商品库存!B:B,B87,商品库存!J:J),0)</f>
        <v>0</v>
      </c>
      <c r="K87" s="156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15" customHeight="1" s="71">
      <c r="A88" s="14">
        <f>IF(B88="","",COUNTA($B$5:B88))</f>
      </c>
      <c r="B88" s="14" t="n"/>
      <c r="C88" s="156" t="n"/>
      <c r="D88" s="156">
        <f>IF(B88&lt;&gt;"",SUMIF(出库明细!C:C,B88,出库明细!G:G),"")</f>
      </c>
      <c r="E88" s="156">
        <f>IF(AND(C88&lt;&gt;"",D88&lt;&gt;""),C88-D88,"")</f>
      </c>
      <c r="F88" s="156">
        <f>IF(B88&lt;&gt;"",SUMIFS(资金台帐!$S:$S,资金台帐!$J:$J,B88,资金台帐!$P:$P,"应收"),"")</f>
      </c>
      <c r="G88" s="156">
        <f>IF(B88="","",N(K88)+N(D88)-N(F88))</f>
      </c>
      <c r="H88" s="14">
        <f>IF(B88="","",IF(G88=0,"已结清",IF(G88&gt;0,"有欠款","预存款")))</f>
      </c>
      <c r="I88" s="157">
        <f>IFERROR(SUMIF(商品库存!B:B,B88,商品库存!I:I),0)</f>
        <v>0</v>
      </c>
      <c r="J88" s="156">
        <f>IFERROR(SUMIF(商品库存!B:B,B88,商品库存!J:J),0)</f>
        <v>0</v>
      </c>
      <c r="K88" s="156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15" customHeight="1" s="71">
      <c r="A89" s="14">
        <f>IF(B89="","",COUNTA($B$5:B89))</f>
      </c>
      <c r="B89" s="14" t="n"/>
      <c r="C89" s="156" t="n"/>
      <c r="D89" s="156">
        <f>IF(B89&lt;&gt;"",SUMIF(出库明细!C:C,B89,出库明细!G:G),"")</f>
      </c>
      <c r="E89" s="156">
        <f>IF(AND(C89&lt;&gt;"",D89&lt;&gt;""),C89-D89,"")</f>
      </c>
      <c r="F89" s="156">
        <f>IF(B89&lt;&gt;"",SUMIFS(资金台帐!$S:$S,资金台帐!$J:$J,B89,资金台帐!$P:$P,"应收"),"")</f>
      </c>
      <c r="G89" s="156">
        <f>IF(B89="","",N(K89)+N(D89)-N(F89))</f>
      </c>
      <c r="H89" s="14">
        <f>IF(B89="","",IF(G89=0,"已结清",IF(G89&gt;0,"有欠款","预存款")))</f>
      </c>
      <c r="I89" s="157">
        <f>IFERROR(SUMIF(商品库存!B:B,B89,商品库存!I:I),0)</f>
        <v>0</v>
      </c>
      <c r="J89" s="156">
        <f>IFERROR(SUMIF(商品库存!B:B,B89,商品库存!J:J),0)</f>
        <v>0</v>
      </c>
      <c r="K89" s="156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15" customHeight="1" s="71">
      <c r="A90" s="14">
        <f>IF(B90="","",COUNTA($B$5:B90))</f>
      </c>
      <c r="B90" s="14" t="n"/>
      <c r="C90" s="156" t="n"/>
      <c r="D90" s="156">
        <f>IF(B90&lt;&gt;"",SUMIF(出库明细!C:C,B90,出库明细!G:G),"")</f>
      </c>
      <c r="E90" s="156">
        <f>IF(AND(C90&lt;&gt;"",D90&lt;&gt;""),C90-D90,"")</f>
      </c>
      <c r="F90" s="156">
        <f>IF(B90&lt;&gt;"",SUMIFS(资金台帐!$S:$S,资金台帐!$J:$J,B90,资金台帐!$P:$P,"应收"),"")</f>
      </c>
      <c r="G90" s="156">
        <f>IF(B90="","",N(K90)+N(D90)-N(F90))</f>
      </c>
      <c r="H90" s="14">
        <f>IF(B90="","",IF(G90=0,"已结清",IF(G90&gt;0,"有欠款","预存款")))</f>
      </c>
      <c r="I90" s="157">
        <f>IFERROR(SUMIF(商品库存!B:B,B90,商品库存!I:I),0)</f>
        <v>0</v>
      </c>
      <c r="J90" s="156">
        <f>IFERROR(SUMIF(商品库存!B:B,B90,商品库存!J:J),0)</f>
        <v>0</v>
      </c>
      <c r="K90" s="156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15" customHeight="1" s="71">
      <c r="A91" s="14">
        <f>IF(B91="","",COUNTA($B$5:B91))</f>
      </c>
      <c r="B91" s="14" t="n"/>
      <c r="C91" s="156" t="n"/>
      <c r="D91" s="156">
        <f>IF(B91&lt;&gt;"",SUMIF(出库明细!C:C,B91,出库明细!G:G),"")</f>
      </c>
      <c r="E91" s="156">
        <f>IF(AND(C91&lt;&gt;"",D91&lt;&gt;""),C91-D91,"")</f>
      </c>
      <c r="F91" s="156">
        <f>IF(B91&lt;&gt;"",SUMIFS(资金台帐!$S:$S,资金台帐!$J:$J,B91,资金台帐!$P:$P,"应收"),"")</f>
      </c>
      <c r="G91" s="156">
        <f>IF(B91="","",N(K91)+N(D91)-N(F91))</f>
      </c>
      <c r="H91" s="14">
        <f>IF(B91="","",IF(G91=0,"已结清",IF(G91&gt;0,"有欠款","预存款")))</f>
      </c>
      <c r="I91" s="157">
        <f>IFERROR(SUMIF(商品库存!B:B,B91,商品库存!I:I),0)</f>
        <v>0</v>
      </c>
      <c r="J91" s="156">
        <f>IFERROR(SUMIF(商品库存!B:B,B91,商品库存!J:J),0)</f>
        <v>0</v>
      </c>
      <c r="K91" s="156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15" customHeight="1" s="71">
      <c r="A92" s="14">
        <f>IF(B92="","",COUNTA($B$5:B92))</f>
      </c>
      <c r="B92" s="14" t="n"/>
      <c r="C92" s="156" t="n"/>
      <c r="D92" s="156">
        <f>IF(B92&lt;&gt;"",SUMIF(出库明细!C:C,B92,出库明细!G:G),"")</f>
      </c>
      <c r="E92" s="156">
        <f>IF(AND(C92&lt;&gt;"",D92&lt;&gt;""),C92-D92,"")</f>
      </c>
      <c r="F92" s="156">
        <f>IF(B92&lt;&gt;"",SUMIFS(资金台帐!$S:$S,资金台帐!$J:$J,B92,资金台帐!$P:$P,"应收"),"")</f>
      </c>
      <c r="G92" s="156">
        <f>IF(B92="","",N(K92)+N(D92)-N(F92))</f>
      </c>
      <c r="H92" s="14">
        <f>IF(B92="","",IF(G92=0,"已结清",IF(G92&gt;0,"有欠款","预存款")))</f>
      </c>
      <c r="I92" s="157">
        <f>IFERROR(SUMIF(商品库存!B:B,B92,商品库存!I:I),0)</f>
        <v>0</v>
      </c>
      <c r="J92" s="156">
        <f>IFERROR(SUMIF(商品库存!B:B,B92,商品库存!J:J),0)</f>
        <v>0</v>
      </c>
      <c r="K92" s="156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15" customHeight="1" s="71">
      <c r="A93" s="14">
        <f>IF(B93="","",COUNTA($B$5:B93))</f>
      </c>
      <c r="B93" s="14" t="n"/>
      <c r="C93" s="156" t="n"/>
      <c r="D93" s="156">
        <f>IF(B93&lt;&gt;"",SUMIF(出库明细!C:C,B93,出库明细!G:G),"")</f>
      </c>
      <c r="E93" s="156">
        <f>IF(AND(C93&lt;&gt;"",D93&lt;&gt;""),C93-D93,"")</f>
      </c>
      <c r="F93" s="156">
        <f>IF(B93&lt;&gt;"",SUMIFS(资金台帐!$S:$S,资金台帐!$J:$J,B93,资金台帐!$P:$P,"应收"),"")</f>
      </c>
      <c r="G93" s="156">
        <f>IF(B93="","",N(K93)+N(D93)-N(F93))</f>
      </c>
      <c r="H93" s="14">
        <f>IF(B93="","",IF(G93=0,"已结清",IF(G93&gt;0,"有欠款","预存款")))</f>
      </c>
      <c r="I93" s="157">
        <f>IFERROR(SUMIF(商品库存!B:B,B93,商品库存!I:I),0)</f>
        <v>0</v>
      </c>
      <c r="J93" s="156">
        <f>IFERROR(SUMIF(商品库存!B:B,B93,商品库存!J:J),0)</f>
        <v>0</v>
      </c>
      <c r="K93" s="156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15" customHeight="1" s="71">
      <c r="A94" s="14">
        <f>IF(B94="","",COUNTA($B$5:B94))</f>
      </c>
      <c r="B94" s="14" t="n"/>
      <c r="C94" s="156" t="n"/>
      <c r="D94" s="156">
        <f>IF(B94&lt;&gt;"",SUMIF(出库明细!C:C,B94,出库明细!G:G),"")</f>
      </c>
      <c r="E94" s="156">
        <f>IF(AND(C94&lt;&gt;"",D94&lt;&gt;""),C94-D94,"")</f>
      </c>
      <c r="F94" s="156">
        <f>IF(B94&lt;&gt;"",SUMIFS(资金台帐!$S:$S,资金台帐!$J:$J,B94,资金台帐!$P:$P,"应收"),"")</f>
      </c>
      <c r="G94" s="156">
        <f>IF(B94="","",N(K94)+N(D94)-N(F94))</f>
      </c>
      <c r="H94" s="14">
        <f>IF(B94="","",IF(G94=0,"已结清",IF(G94&gt;0,"有欠款","预存款")))</f>
      </c>
      <c r="I94" s="157">
        <f>IFERROR(SUMIF(商品库存!B:B,B94,商品库存!I:I),0)</f>
        <v>0</v>
      </c>
      <c r="J94" s="156">
        <f>IFERROR(SUMIF(商品库存!B:B,B94,商品库存!J:J),0)</f>
        <v>0</v>
      </c>
      <c r="K94" s="156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15" customHeight="1" s="71">
      <c r="A95" s="14">
        <f>IF(B95="","",COUNTA($B$5:B95))</f>
      </c>
      <c r="B95" s="14" t="n"/>
      <c r="C95" s="156" t="n"/>
      <c r="D95" s="156">
        <f>IF(B95&lt;&gt;"",SUMIF(出库明细!C:C,B95,出库明细!G:G),"")</f>
      </c>
      <c r="E95" s="156">
        <f>IF(AND(C95&lt;&gt;"",D95&lt;&gt;""),C95-D95,"")</f>
      </c>
      <c r="F95" s="156">
        <f>IF(B95&lt;&gt;"",SUMIFS(资金台帐!$S:$S,资金台帐!$J:$J,B95,资金台帐!$P:$P,"应收"),"")</f>
      </c>
      <c r="G95" s="156">
        <f>IF(B95="","",N(K95)+N(D95)-N(F95))</f>
      </c>
      <c r="H95" s="14">
        <f>IF(B95="","",IF(G95=0,"已结清",IF(G95&gt;0,"有欠款","预存款")))</f>
      </c>
      <c r="I95" s="157">
        <f>IFERROR(SUMIF(商品库存!B:B,B95,商品库存!I:I),0)</f>
        <v>0</v>
      </c>
      <c r="J95" s="156">
        <f>IFERROR(SUMIF(商品库存!B:B,B95,商品库存!J:J),0)</f>
        <v>0</v>
      </c>
      <c r="K95" s="156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15" customHeight="1" s="71">
      <c r="A96" s="14">
        <f>IF(B96="","",COUNTA($B$5:B96))</f>
      </c>
      <c r="B96" s="14" t="n"/>
      <c r="C96" s="156" t="n"/>
      <c r="D96" s="156">
        <f>IF(B96&lt;&gt;"",SUMIF(出库明细!C:C,B96,出库明细!G:G),"")</f>
      </c>
      <c r="E96" s="156">
        <f>IF(AND(C96&lt;&gt;"",D96&lt;&gt;""),C96-D96,"")</f>
      </c>
      <c r="F96" s="156">
        <f>IF(B96&lt;&gt;"",SUMIFS(资金台帐!$S:$S,资金台帐!$J:$J,B96,资金台帐!$P:$P,"应收"),"")</f>
      </c>
      <c r="G96" s="156">
        <f>IF(B96="","",N(K96)+N(D96)-N(F96))</f>
      </c>
      <c r="H96" s="14">
        <f>IF(B96="","",IF(G96=0,"已结清",IF(G96&gt;0,"有欠款","预存款")))</f>
      </c>
      <c r="I96" s="157">
        <f>IFERROR(SUMIF(商品库存!B:B,B96,商品库存!I:I),0)</f>
        <v>0</v>
      </c>
      <c r="J96" s="156">
        <f>IFERROR(SUMIF(商品库存!B:B,B96,商品库存!J:J),0)</f>
        <v>0</v>
      </c>
      <c r="K96" s="156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15" customHeight="1" s="71">
      <c r="A97" s="14">
        <f>IF(B97="","",COUNTA($B$5:B97))</f>
      </c>
      <c r="B97" s="14" t="n"/>
      <c r="C97" s="156" t="n"/>
      <c r="D97" s="156">
        <f>IF(B97&lt;&gt;"",SUMIF(出库明细!C:C,B97,出库明细!G:G),"")</f>
      </c>
      <c r="E97" s="156">
        <f>IF(AND(C97&lt;&gt;"",D97&lt;&gt;""),C97-D97,"")</f>
      </c>
      <c r="F97" s="156">
        <f>IF(B97&lt;&gt;"",SUMIFS(资金台帐!$S:$S,资金台帐!$J:$J,B97,资金台帐!$P:$P,"应收"),"")</f>
      </c>
      <c r="G97" s="156">
        <f>IF(B97="","",N(K97)+N(D97)-N(F97))</f>
      </c>
      <c r="H97" s="14">
        <f>IF(B97="","",IF(G97=0,"已结清",IF(G97&gt;0,"有欠款","预存款")))</f>
      </c>
      <c r="I97" s="157">
        <f>IFERROR(SUMIF(商品库存!B:B,B97,商品库存!I:I),0)</f>
        <v>0</v>
      </c>
      <c r="J97" s="156">
        <f>IFERROR(SUMIF(商品库存!B:B,B97,商品库存!J:J),0)</f>
        <v>0</v>
      </c>
      <c r="K97" s="156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15" customHeight="1" s="71">
      <c r="A98" s="14">
        <f>IF(B98="","",COUNTA($B$5:B98))</f>
      </c>
      <c r="B98" s="14" t="n"/>
      <c r="C98" s="156" t="n"/>
      <c r="D98" s="156">
        <f>IF(B98&lt;&gt;"",SUMIF(出库明细!C:C,B98,出库明细!G:G),"")</f>
      </c>
      <c r="E98" s="156">
        <f>IF(AND(C98&lt;&gt;"",D98&lt;&gt;""),C98-D98,"")</f>
      </c>
      <c r="F98" s="156">
        <f>IF(B98&lt;&gt;"",SUMIFS(资金台帐!$S:$S,资金台帐!$J:$J,B98,资金台帐!$P:$P,"应收"),"")</f>
      </c>
      <c r="G98" s="156">
        <f>IF(B98="","",N(K98)+N(D98)-N(F98))</f>
      </c>
      <c r="H98" s="14">
        <f>IF(B98="","",IF(G98=0,"已结清",IF(G98&gt;0,"有欠款","预存款")))</f>
      </c>
      <c r="I98" s="157">
        <f>IFERROR(SUMIF(商品库存!B:B,B98,商品库存!I:I),0)</f>
        <v>0</v>
      </c>
      <c r="J98" s="156">
        <f>IFERROR(SUMIF(商品库存!B:B,B98,商品库存!J:J),0)</f>
        <v>0</v>
      </c>
      <c r="K98" s="156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15" customHeight="1" s="71">
      <c r="A99" s="14">
        <f>IF(B99="","",COUNTA($B$5:B99))</f>
      </c>
      <c r="B99" s="14" t="n"/>
      <c r="C99" s="156" t="n"/>
      <c r="D99" s="156">
        <f>IF(B99&lt;&gt;"",SUMIF(出库明细!C:C,B99,出库明细!G:G),"")</f>
      </c>
      <c r="E99" s="156">
        <f>IF(AND(C99&lt;&gt;"",D99&lt;&gt;""),C99-D99,"")</f>
      </c>
      <c r="F99" s="156">
        <f>IF(B99&lt;&gt;"",SUMIFS(资金台帐!$S:$S,资金台帐!$J:$J,B99,资金台帐!$P:$P,"应收"),"")</f>
      </c>
      <c r="G99" s="156">
        <f>IF(B99="","",N(K99)+N(D99)-N(F99))</f>
      </c>
      <c r="H99" s="14">
        <f>IF(B99="","",IF(G99=0,"已结清",IF(G99&gt;0,"有欠款","预存款")))</f>
      </c>
      <c r="I99" s="157">
        <f>IFERROR(SUMIF(商品库存!B:B,B99,商品库存!I:I),0)</f>
        <v>0</v>
      </c>
      <c r="J99" s="156">
        <f>IFERROR(SUMIF(商品库存!B:B,B99,商品库存!J:J),0)</f>
        <v>0</v>
      </c>
      <c r="K99" s="156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15" customHeight="1" s="71">
      <c r="A100" s="14">
        <f>IF(B100="","",COUNTA($B$5:B100))</f>
      </c>
      <c r="B100" s="14" t="n"/>
      <c r="C100" s="156" t="n"/>
      <c r="D100" s="156">
        <f>IF(B100&lt;&gt;"",SUMIF(出库明细!C:C,B100,出库明细!G:G),"")</f>
      </c>
      <c r="E100" s="156">
        <f>IF(AND(C100&lt;&gt;"",D100&lt;&gt;""),C100-D100,"")</f>
      </c>
      <c r="F100" s="156">
        <f>IF(B100&lt;&gt;"",SUMIFS(资金台帐!$S:$S,资金台帐!$J:$J,B100,资金台帐!$P:$P,"应收"),"")</f>
      </c>
      <c r="G100" s="156">
        <f>IF(B100="","",N(K100)+N(D100)-N(F100))</f>
      </c>
      <c r="H100" s="14">
        <f>IF(B100="","",IF(G100=0,"已结清",IF(G100&gt;0,"有欠款","预存款")))</f>
      </c>
      <c r="I100" s="157">
        <f>IFERROR(SUMIF(商品库存!B:B,B100,商品库存!I:I),0)</f>
        <v>0</v>
      </c>
      <c r="J100" s="156">
        <f>IFERROR(SUMIF(商品库存!B:B,B100,商品库存!J:J),0)</f>
        <v>0</v>
      </c>
      <c r="K100" s="156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 ht="15" customHeight="1" s="71">
      <c r="A101" s="14">
        <f>IF(B101="","",COUNTA($B$5:B101))</f>
      </c>
      <c r="B101" s="14" t="n"/>
      <c r="C101" s="156" t="n"/>
      <c r="D101" s="156">
        <f>IF(B101&lt;&gt;"",SUMIF(出库明细!C:C,B101,出库明细!G:G),"")</f>
      </c>
      <c r="E101" s="156">
        <f>IF(AND(C101&lt;&gt;"",D101&lt;&gt;""),C101-D101,"")</f>
      </c>
      <c r="F101" s="156">
        <f>IF(B101&lt;&gt;"",SUMIFS(资金台帐!$S:$S,资金台帐!$J:$J,B101,资金台帐!$P:$P,"应收"),"")</f>
      </c>
      <c r="G101" s="156">
        <f>IF(B101="","",N(K101)+N(D101)-N(F101))</f>
      </c>
      <c r="H101" s="14">
        <f>IF(B101="","",IF(G101=0,"已结清",IF(G101&gt;0,"有欠款","预存款")))</f>
      </c>
      <c r="I101" s="157">
        <f>IFERROR(SUMIF(商品库存!B:B,B101,商品库存!I:I),0)</f>
        <v>0</v>
      </c>
      <c r="J101" s="156">
        <f>IFERROR(SUMIF(商品库存!B:B,B101,商品库存!J:J),0)</f>
        <v>0</v>
      </c>
      <c r="K101" s="156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 ht="15" customHeight="1" s="71">
      <c r="A102" s="14">
        <f>IF(B102="","",COUNTA($B$5:B102))</f>
      </c>
      <c r="B102" s="14" t="n"/>
      <c r="C102" s="156" t="n"/>
      <c r="D102" s="156">
        <f>IF(B102&lt;&gt;"",SUMIF(出库明细!C:C,B102,出库明细!G:G),"")</f>
      </c>
      <c r="E102" s="156">
        <f>IF(AND(C102&lt;&gt;"",D102&lt;&gt;""),C102-D102,"")</f>
      </c>
      <c r="F102" s="156">
        <f>IF(B102&lt;&gt;"",SUMIFS(资金台帐!$S:$S,资金台帐!$J:$J,B102,资金台帐!$P:$P,"应收"),"")</f>
      </c>
      <c r="G102" s="156">
        <f>IF(B102="","",N(K102)+N(D102)-N(F102))</f>
      </c>
      <c r="H102" s="14">
        <f>IF(B102="","",IF(G102=0,"已结清",IF(G102&gt;0,"有欠款","预存款")))</f>
      </c>
      <c r="I102" s="157">
        <f>IFERROR(SUMIF(商品库存!B:B,B102,商品库存!I:I),0)</f>
        <v>0</v>
      </c>
      <c r="J102" s="156">
        <f>IFERROR(SUMIF(商品库存!B:B,B102,商品库存!J:J),0)</f>
        <v>0</v>
      </c>
      <c r="K102" s="156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 ht="15" customHeight="1" s="71">
      <c r="A103" s="14">
        <f>IF(B103="","",COUNTA($B$5:B103))</f>
      </c>
      <c r="B103" s="14" t="n"/>
      <c r="C103" s="156" t="n"/>
      <c r="D103" s="156">
        <f>IF(B103&lt;&gt;"",SUMIF(出库明细!C:C,B103,出库明细!G:G),"")</f>
      </c>
      <c r="E103" s="156">
        <f>IF(AND(C103&lt;&gt;"",D103&lt;&gt;""),C103-D103,"")</f>
      </c>
      <c r="F103" s="156">
        <f>IF(B103&lt;&gt;"",SUMIFS(资金台帐!$S:$S,资金台帐!$J:$J,B103,资金台帐!$P:$P,"应收"),"")</f>
      </c>
      <c r="G103" s="156">
        <f>IF(B103="","",N(K103)+N(D103)-N(F103))</f>
      </c>
      <c r="H103" s="14">
        <f>IF(B103="","",IF(G103=0,"已结清",IF(G103&gt;0,"有欠款","预存款")))</f>
      </c>
      <c r="I103" s="157">
        <f>IFERROR(SUMIF(商品库存!B:B,B103,商品库存!I:I),0)</f>
        <v>0</v>
      </c>
      <c r="J103" s="156">
        <f>IFERROR(SUMIF(商品库存!B:B,B103,商品库存!J:J),0)</f>
        <v>0</v>
      </c>
      <c r="K103" s="156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 ht="15" customHeight="1" s="71">
      <c r="A104" s="14">
        <f>IF(B104="","",COUNTA($B$5:B104))</f>
      </c>
      <c r="B104" s="14" t="n"/>
      <c r="C104" s="156" t="n"/>
      <c r="D104" s="156">
        <f>IF(B104&lt;&gt;"",SUMIF(出库明细!C:C,B104,出库明细!G:G),"")</f>
      </c>
      <c r="E104" s="156">
        <f>IF(AND(C104&lt;&gt;"",D104&lt;&gt;""),C104-D104,"")</f>
      </c>
      <c r="F104" s="156">
        <f>IF(B104&lt;&gt;"",SUMIFS(资金台帐!$S:$S,资金台帐!$J:$J,B104,资金台帐!$P:$P,"应收"),"")</f>
      </c>
      <c r="G104" s="156">
        <f>IF(B104="","",N(K104)+N(D104)-N(F104))</f>
      </c>
      <c r="H104" s="14">
        <f>IF(B104="","",IF(G104=0,"已结清",IF(G104&gt;0,"有欠款","预存款")))</f>
      </c>
      <c r="I104" s="157">
        <f>IFERROR(SUMIF(商品库存!B:B,B104,商品库存!I:I),0)</f>
        <v>0</v>
      </c>
      <c r="J104" s="156">
        <f>IFERROR(SUMIF(商品库存!B:B,B104,商品库存!J:J),0)</f>
        <v>0</v>
      </c>
      <c r="K104" s="156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 ht="15" customHeight="1" s="71">
      <c r="A105" s="14">
        <f>IF(B105="","",COUNTA($B$5:B105))</f>
      </c>
      <c r="B105" s="14" t="n"/>
      <c r="C105" s="156" t="n"/>
      <c r="D105" s="156">
        <f>IF(B105&lt;&gt;"",SUMIF(出库明细!C:C,B105,出库明细!G:G),"")</f>
      </c>
      <c r="E105" s="156">
        <f>IF(AND(C105&lt;&gt;"",D105&lt;&gt;""),C105-D105,"")</f>
      </c>
      <c r="F105" s="156">
        <f>IF(B105&lt;&gt;"",SUMIFS(资金台帐!$S:$S,资金台帐!$J:$J,B105,资金台帐!$P:$P,"应收"),"")</f>
      </c>
      <c r="G105" s="156">
        <f>IF(B105="","",N(K105)+N(D105)-N(F105))</f>
      </c>
      <c r="H105" s="14">
        <f>IF(B105="","",IF(G105=0,"已结清",IF(G105&gt;0,"有欠款","预存款")))</f>
      </c>
      <c r="I105" s="157">
        <f>IFERROR(SUMIF(商品库存!B:B,B105,商品库存!I:I),0)</f>
        <v>0</v>
      </c>
      <c r="J105" s="156">
        <f>IFERROR(SUMIF(商品库存!B:B,B105,商品库存!J:J),0)</f>
        <v>0</v>
      </c>
      <c r="K105" s="156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 ht="15" customHeight="1" s="71">
      <c r="A106" s="14">
        <f>IF(B106="","",COUNTA($B$5:B106))</f>
      </c>
      <c r="B106" s="14" t="n"/>
      <c r="C106" s="156" t="n"/>
      <c r="D106" s="156">
        <f>IF(B106&lt;&gt;"",SUMIF(出库明细!C:C,B106,出库明细!G:G),"")</f>
      </c>
      <c r="E106" s="156">
        <f>IF(AND(C106&lt;&gt;"",D106&lt;&gt;""),C106-D106,"")</f>
      </c>
      <c r="F106" s="156">
        <f>IF(B106&lt;&gt;"",SUMIFS(资金台帐!$S:$S,资金台帐!$J:$J,B106,资金台帐!$P:$P,"应收"),"")</f>
      </c>
      <c r="G106" s="156">
        <f>IF(B106="","",N(K106)+N(D106)-N(F106))</f>
      </c>
      <c r="H106" s="14">
        <f>IF(B106="","",IF(G106=0,"已结清",IF(G106&gt;0,"有欠款","预存款")))</f>
      </c>
      <c r="I106" s="157">
        <f>IFERROR(SUMIF(商品库存!B:B,B106,商品库存!I:I),0)</f>
        <v>0</v>
      </c>
      <c r="J106" s="156">
        <f>IFERROR(SUMIF(商品库存!B:B,B106,商品库存!J:J),0)</f>
        <v>0</v>
      </c>
      <c r="K106" s="156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 ht="15" customHeight="1" s="71">
      <c r="A107" s="14">
        <f>IF(B107="","",COUNTA($B$5:B107))</f>
      </c>
      <c r="B107" s="14" t="n"/>
      <c r="C107" s="156" t="n"/>
      <c r="D107" s="156">
        <f>IF(B107&lt;&gt;"",SUMIF(出库明细!C:C,B107,出库明细!G:G),"")</f>
      </c>
      <c r="E107" s="156">
        <f>IF(AND(C107&lt;&gt;"",D107&lt;&gt;""),C107-D107,"")</f>
      </c>
      <c r="F107" s="156">
        <f>IF(B107&lt;&gt;"",SUMIFS(资金台帐!$S:$S,资金台帐!$J:$J,B107,资金台帐!$P:$P,"应收"),"")</f>
      </c>
      <c r="G107" s="156">
        <f>IF(B107="","",N(K107)+N(D107)-N(F107))</f>
      </c>
      <c r="H107" s="14">
        <f>IF(B107="","",IF(G107=0,"已结清",IF(G107&gt;0,"有欠款","预存款")))</f>
      </c>
      <c r="I107" s="157">
        <f>IFERROR(SUMIF(商品库存!B:B,B107,商品库存!I:I),0)</f>
        <v>0</v>
      </c>
      <c r="J107" s="156">
        <f>IFERROR(SUMIF(商品库存!B:B,B107,商品库存!J:J),0)</f>
        <v>0</v>
      </c>
      <c r="K107" s="156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 ht="15" customHeight="1" s="71">
      <c r="A108" s="14">
        <f>IF(B108="","",COUNTA($B$5:B108))</f>
      </c>
      <c r="B108" s="14" t="n"/>
      <c r="C108" s="156" t="n"/>
      <c r="D108" s="156">
        <f>IF(B108&lt;&gt;"",SUMIF(出库明细!C:C,B108,出库明细!G:G),"")</f>
      </c>
      <c r="E108" s="156">
        <f>IF(AND(C108&lt;&gt;"",D108&lt;&gt;""),C108-D108,"")</f>
      </c>
      <c r="F108" s="156">
        <f>IF(B108&lt;&gt;"",SUMIFS(资金台帐!$S:$S,资金台帐!$J:$J,B108,资金台帐!$P:$P,"应收"),"")</f>
      </c>
      <c r="G108" s="156">
        <f>IF(B108="","",N(K108)+N(D108)-N(F108))</f>
      </c>
      <c r="H108" s="14">
        <f>IF(B108="","",IF(G108=0,"已结清",IF(G108&gt;0,"有欠款","预存款")))</f>
      </c>
      <c r="I108" s="157">
        <f>IFERROR(SUMIF(商品库存!B:B,B108,商品库存!I:I),0)</f>
        <v>0</v>
      </c>
      <c r="J108" s="156">
        <f>IFERROR(SUMIF(商品库存!B:B,B108,商品库存!J:J),0)</f>
        <v>0</v>
      </c>
      <c r="K108" s="156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 ht="15" customHeight="1" s="71">
      <c r="A109" s="14">
        <f>IF(B109="","",COUNTA($B$5:B109))</f>
      </c>
      <c r="B109" s="14" t="n"/>
      <c r="C109" s="156" t="n"/>
      <c r="D109" s="156">
        <f>IF(B109&lt;&gt;"",SUMIF(出库明细!C:C,B109,出库明细!G:G),"")</f>
      </c>
      <c r="E109" s="156">
        <f>IF(AND(C109&lt;&gt;"",D109&lt;&gt;""),C109-D109,"")</f>
      </c>
      <c r="F109" s="156">
        <f>IF(B109&lt;&gt;"",SUMIFS(资金台帐!$S:$S,资金台帐!$J:$J,B109,资金台帐!$P:$P,"应收"),"")</f>
      </c>
      <c r="G109" s="156">
        <f>IF(B109="","",N(K109)+N(D109)-N(F109))</f>
      </c>
      <c r="H109" s="14">
        <f>IF(B109="","",IF(G109=0,"已结清",IF(G109&gt;0,"有欠款","预存款")))</f>
      </c>
      <c r="I109" s="157">
        <f>IFERROR(SUMIF(商品库存!B:B,B109,商品库存!I:I),0)</f>
        <v>0</v>
      </c>
      <c r="J109" s="156">
        <f>IFERROR(SUMIF(商品库存!B:B,B109,商品库存!J:J),0)</f>
        <v>0</v>
      </c>
      <c r="K109" s="156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 ht="15" customHeight="1" s="71">
      <c r="A110" s="14">
        <f>IF(B110="","",COUNTA($B$5:B110))</f>
      </c>
      <c r="B110" s="14" t="n"/>
      <c r="C110" s="156" t="n"/>
      <c r="D110" s="156">
        <f>IF(B110&lt;&gt;"",SUMIF(出库明细!C:C,B110,出库明细!G:G),"")</f>
      </c>
      <c r="E110" s="156">
        <f>IF(AND(C110&lt;&gt;"",D110&lt;&gt;""),C110-D110,"")</f>
      </c>
      <c r="F110" s="156">
        <f>IF(B110&lt;&gt;"",SUMIFS(资金台帐!$S:$S,资金台帐!$J:$J,B110,资金台帐!$P:$P,"应收"),"")</f>
      </c>
      <c r="G110" s="156">
        <f>IF(B110="","",N(K110)+N(D110)-N(F110))</f>
      </c>
      <c r="H110" s="14">
        <f>IF(B110="","",IF(G110=0,"已结清",IF(G110&gt;0,"有欠款","预存款")))</f>
      </c>
      <c r="I110" s="157">
        <f>IFERROR(SUMIF(商品库存!B:B,B110,商品库存!I:I),0)</f>
        <v>0</v>
      </c>
      <c r="J110" s="156">
        <f>IFERROR(SUMIF(商品库存!B:B,B110,商品库存!J:J),0)</f>
        <v>0</v>
      </c>
      <c r="K110" s="156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 ht="15" customHeight="1" s="71">
      <c r="A111" s="14">
        <f>IF(B111="","",COUNTA($B$5:B111))</f>
      </c>
      <c r="B111" s="14" t="n"/>
      <c r="C111" s="156" t="n"/>
      <c r="D111" s="156">
        <f>IF(B111&lt;&gt;"",SUMIF(出库明细!C:C,B111,出库明细!G:G),"")</f>
      </c>
      <c r="E111" s="156">
        <f>IF(AND(C111&lt;&gt;"",D111&lt;&gt;""),C111-D111,"")</f>
      </c>
      <c r="F111" s="156">
        <f>IF(B111&lt;&gt;"",SUMIFS(资金台帐!$S:$S,资金台帐!$J:$J,B111,资金台帐!$P:$P,"应收"),"")</f>
      </c>
      <c r="G111" s="156">
        <f>IF(B111="","",N(K111)+N(D111)-N(F111))</f>
      </c>
      <c r="H111" s="14">
        <f>IF(B111="","",IF(G111=0,"已结清",IF(G111&gt;0,"有欠款","预存款")))</f>
      </c>
      <c r="I111" s="157">
        <f>IFERROR(SUMIF(商品库存!B:B,B111,商品库存!I:I),0)</f>
        <v>0</v>
      </c>
      <c r="J111" s="156">
        <f>IFERROR(SUMIF(商品库存!B:B,B111,商品库存!J:J),0)</f>
        <v>0</v>
      </c>
      <c r="K111" s="156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 ht="15" customHeight="1" s="71">
      <c r="A112" s="14">
        <f>IF(B112="","",COUNTA($B$5:B112))</f>
      </c>
      <c r="B112" s="14" t="n"/>
      <c r="C112" s="156" t="n"/>
      <c r="D112" s="156">
        <f>IF(B112&lt;&gt;"",SUMIF(出库明细!C:C,B112,出库明细!G:G),"")</f>
      </c>
      <c r="E112" s="156">
        <f>IF(AND(C112&lt;&gt;"",D112&lt;&gt;""),C112-D112,"")</f>
      </c>
      <c r="F112" s="156">
        <f>IF(B112&lt;&gt;"",SUMIFS(资金台帐!$S:$S,资金台帐!$J:$J,B112,资金台帐!$P:$P,"应收"),"")</f>
      </c>
      <c r="G112" s="156">
        <f>IF(B112="","",N(K112)+N(D112)-N(F112))</f>
      </c>
      <c r="H112" s="14">
        <f>IF(B112="","",IF(G112=0,"已结清",IF(G112&gt;0,"有欠款","预存款")))</f>
      </c>
      <c r="I112" s="157">
        <f>IFERROR(SUMIF(商品库存!B:B,B112,商品库存!I:I),0)</f>
        <v>0</v>
      </c>
      <c r="J112" s="156">
        <f>IFERROR(SUMIF(商品库存!B:B,B112,商品库存!J:J),0)</f>
        <v>0</v>
      </c>
      <c r="K112" s="156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 ht="15" customHeight="1" s="71">
      <c r="A113" s="14">
        <f>IF(B113="","",COUNTA($B$5:B113))</f>
      </c>
      <c r="B113" s="14" t="n"/>
      <c r="C113" s="156" t="n"/>
      <c r="D113" s="156">
        <f>IF(B113&lt;&gt;"",SUMIF(出库明细!C:C,B113,出库明细!G:G),"")</f>
      </c>
      <c r="E113" s="156">
        <f>IF(AND(C113&lt;&gt;"",D113&lt;&gt;""),C113-D113,"")</f>
      </c>
      <c r="F113" s="156">
        <f>IF(B113&lt;&gt;"",SUMIFS(资金台帐!$S:$S,资金台帐!$J:$J,B113,资金台帐!$P:$P,"应收"),"")</f>
      </c>
      <c r="G113" s="156">
        <f>IF(B113="","",N(K113)+N(D113)-N(F113))</f>
      </c>
      <c r="H113" s="14">
        <f>IF(B113="","",IF(G113=0,"已结清",IF(G113&gt;0,"有欠款","预存款")))</f>
      </c>
      <c r="I113" s="157">
        <f>IFERROR(SUMIF(商品库存!B:B,B113,商品库存!I:I),0)</f>
        <v>0</v>
      </c>
      <c r="J113" s="156">
        <f>IFERROR(SUMIF(商品库存!B:B,B113,商品库存!J:J),0)</f>
        <v>0</v>
      </c>
      <c r="K113" s="156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 ht="15" customHeight="1" s="71">
      <c r="A114" s="14">
        <f>IF(B114="","",COUNTA($B$5:B114))</f>
      </c>
      <c r="B114" s="14" t="n"/>
      <c r="C114" s="156" t="n"/>
      <c r="D114" s="156">
        <f>IF(B114&lt;&gt;"",SUMIF(出库明细!C:C,B114,出库明细!G:G),"")</f>
      </c>
      <c r="E114" s="156">
        <f>IF(AND(C114&lt;&gt;"",D114&lt;&gt;""),C114-D114,"")</f>
      </c>
      <c r="F114" s="156">
        <f>IF(B114&lt;&gt;"",SUMIFS(资金台帐!$S:$S,资金台帐!$J:$J,B114,资金台帐!$P:$P,"应收"),"")</f>
      </c>
      <c r="G114" s="156">
        <f>IF(B114="","",N(K114)+N(D114)-N(F114))</f>
      </c>
      <c r="H114" s="14">
        <f>IF(B114="","",IF(G114=0,"已结清",IF(G114&gt;0,"有欠款","预存款")))</f>
      </c>
      <c r="I114" s="157">
        <f>IFERROR(SUMIF(商品库存!B:B,B114,商品库存!I:I),0)</f>
        <v>0</v>
      </c>
      <c r="J114" s="156">
        <f>IFERROR(SUMIF(商品库存!B:B,B114,商品库存!J:J),0)</f>
        <v>0</v>
      </c>
      <c r="K114" s="156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 ht="15" customHeight="1" s="71">
      <c r="A115" s="14">
        <f>IF(B115="","",COUNTA($B$5:B115))</f>
      </c>
      <c r="B115" s="14" t="n"/>
      <c r="C115" s="156" t="n"/>
      <c r="D115" s="156">
        <f>IF(B115&lt;&gt;"",SUMIF(出库明细!C:C,B115,出库明细!G:G),"")</f>
      </c>
      <c r="E115" s="156">
        <f>IF(AND(C115&lt;&gt;"",D115&lt;&gt;""),C115-D115,"")</f>
      </c>
      <c r="F115" s="156">
        <f>IF(B115&lt;&gt;"",SUMIFS(资金台帐!$S:$S,资金台帐!$J:$J,B115,资金台帐!$P:$P,"应收"),"")</f>
      </c>
      <c r="G115" s="156">
        <f>IF(B115="","",N(K115)+N(D115)-N(F115))</f>
      </c>
      <c r="H115" s="14">
        <f>IF(B115="","",IF(G115=0,"已结清",IF(G115&gt;0,"有欠款","预存款")))</f>
      </c>
      <c r="I115" s="157">
        <f>IFERROR(SUMIF(商品库存!B:B,B115,商品库存!I:I),0)</f>
        <v>0</v>
      </c>
      <c r="J115" s="156">
        <f>IFERROR(SUMIF(商品库存!B:B,B115,商品库存!J:J),0)</f>
        <v>0</v>
      </c>
      <c r="K115" s="156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 ht="15" customHeight="1" s="71">
      <c r="A116" s="14">
        <f>IF(B116="","",COUNTA($B$5:B116))</f>
      </c>
      <c r="B116" s="14" t="n"/>
      <c r="C116" s="156" t="n"/>
      <c r="D116" s="156">
        <f>IF(B116&lt;&gt;"",SUMIF(出库明细!C:C,B116,出库明细!G:G),"")</f>
      </c>
      <c r="E116" s="156">
        <f>IF(AND(C116&lt;&gt;"",D116&lt;&gt;""),C116-D116,"")</f>
      </c>
      <c r="F116" s="156">
        <f>IF(B116&lt;&gt;"",SUMIFS(资金台帐!$S:$S,资金台帐!$J:$J,B116,资金台帐!$P:$P,"应收"),"")</f>
      </c>
      <c r="G116" s="156">
        <f>IF(B116="","",N(K116)+N(D116)-N(F116))</f>
      </c>
      <c r="H116" s="14">
        <f>IF(B116="","",IF(G116=0,"已结清",IF(G116&gt;0,"有欠款","预存款")))</f>
      </c>
      <c r="I116" s="157">
        <f>IFERROR(SUMIF(商品库存!B:B,B116,商品库存!I:I),0)</f>
        <v>0</v>
      </c>
      <c r="J116" s="156">
        <f>IFERROR(SUMIF(商品库存!B:B,B116,商品库存!J:J),0)</f>
        <v>0</v>
      </c>
      <c r="K116" s="156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 ht="15" customHeight="1" s="71">
      <c r="A117" s="14">
        <f>IF(B117="","",COUNTA($B$5:B117))</f>
      </c>
      <c r="B117" s="14" t="n"/>
      <c r="C117" s="156" t="n"/>
      <c r="D117" s="156">
        <f>IF(B117&lt;&gt;"",SUMIF(出库明细!C:C,B117,出库明细!G:G),"")</f>
      </c>
      <c r="E117" s="156">
        <f>IF(AND(C117&lt;&gt;"",D117&lt;&gt;""),C117-D117,"")</f>
      </c>
      <c r="F117" s="156">
        <f>IF(B117&lt;&gt;"",SUMIFS(资金台帐!$S:$S,资金台帐!$J:$J,B117,资金台帐!$P:$P,"应收"),"")</f>
      </c>
      <c r="G117" s="156">
        <f>IF(B117="","",N(K117)+N(D117)-N(F117))</f>
      </c>
      <c r="H117" s="14">
        <f>IF(B117="","",IF(G117=0,"已结清",IF(G117&gt;0,"有欠款","预存款")))</f>
      </c>
      <c r="I117" s="157">
        <f>IFERROR(SUMIF(商品库存!B:B,B117,商品库存!I:I),0)</f>
        <v>0</v>
      </c>
      <c r="J117" s="156">
        <f>IFERROR(SUMIF(商品库存!B:B,B117,商品库存!J:J),0)</f>
        <v>0</v>
      </c>
      <c r="K117" s="156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 ht="15" customHeight="1" s="71">
      <c r="A118" s="14">
        <f>IF(B118="","",COUNTA($B$5:B118))</f>
      </c>
      <c r="B118" s="14" t="n"/>
      <c r="C118" s="156" t="n"/>
      <c r="D118" s="156">
        <f>IF(B118&lt;&gt;"",SUMIF(出库明细!C:C,B118,出库明细!G:G),"")</f>
      </c>
      <c r="E118" s="156">
        <f>IF(AND(C118&lt;&gt;"",D118&lt;&gt;""),C118-D118,"")</f>
      </c>
      <c r="F118" s="156">
        <f>IF(B118&lt;&gt;"",SUMIFS(资金台帐!$S:$S,资金台帐!$J:$J,B118,资金台帐!$P:$P,"应收"),"")</f>
      </c>
      <c r="G118" s="156">
        <f>IF(B118="","",N(K118)+N(D118)-N(F118))</f>
      </c>
      <c r="H118" s="14">
        <f>IF(B118="","",IF(G118=0,"已结清",IF(G118&gt;0,"有欠款","预存款")))</f>
      </c>
      <c r="I118" s="157">
        <f>IFERROR(SUMIF(商品库存!B:B,B118,商品库存!I:I),0)</f>
        <v>0</v>
      </c>
      <c r="J118" s="156">
        <f>IFERROR(SUMIF(商品库存!B:B,B118,商品库存!J:J),0)</f>
        <v>0</v>
      </c>
      <c r="K118" s="156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 ht="15" customHeight="1" s="71">
      <c r="A119" s="14">
        <f>IF(B119="","",COUNTA($B$5:B119))</f>
      </c>
      <c r="B119" s="14" t="n"/>
      <c r="C119" s="156" t="n"/>
      <c r="D119" s="156">
        <f>IF(B119&lt;&gt;"",SUMIF(出库明细!C:C,B119,出库明细!G:G),"")</f>
      </c>
      <c r="E119" s="156">
        <f>IF(AND(C119&lt;&gt;"",D119&lt;&gt;""),C119-D119,"")</f>
      </c>
      <c r="F119" s="156">
        <f>IF(B119&lt;&gt;"",SUMIFS(资金台帐!$S:$S,资金台帐!$J:$J,B119,资金台帐!$P:$P,"应收"),"")</f>
      </c>
      <c r="G119" s="156">
        <f>IF(B119="","",N(K119)+N(D119)-N(F119))</f>
      </c>
      <c r="H119" s="14">
        <f>IF(B119="","",IF(G119=0,"已结清",IF(G119&gt;0,"有欠款","预存款")))</f>
      </c>
      <c r="I119" s="157">
        <f>IFERROR(SUMIF(商品库存!B:B,B119,商品库存!I:I),0)</f>
        <v>0</v>
      </c>
      <c r="J119" s="156">
        <f>IFERROR(SUMIF(商品库存!B:B,B119,商品库存!J:J),0)</f>
        <v>0</v>
      </c>
      <c r="K119" s="156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 ht="15" customHeight="1" s="71">
      <c r="A120" s="14">
        <f>IF(B120="","",COUNTA($B$5:B120))</f>
      </c>
      <c r="B120" s="14" t="n"/>
      <c r="C120" s="156" t="n"/>
      <c r="D120" s="156">
        <f>IF(B120&lt;&gt;"",SUMIF(出库明细!C:C,B120,出库明细!G:G),"")</f>
      </c>
      <c r="E120" s="156">
        <f>IF(AND(C120&lt;&gt;"",D120&lt;&gt;""),C120-D120,"")</f>
      </c>
      <c r="F120" s="156">
        <f>IF(B120&lt;&gt;"",SUMIFS(资金台帐!$S:$S,资金台帐!$J:$J,B120,资金台帐!$P:$P,"应收"),"")</f>
      </c>
      <c r="G120" s="156">
        <f>IF(B120="","",N(K120)+N(D120)-N(F120))</f>
      </c>
      <c r="H120" s="14">
        <f>IF(B120="","",IF(G120=0,"已结清",IF(G120&gt;0,"有欠款","预存款")))</f>
      </c>
      <c r="I120" s="157">
        <f>IFERROR(SUMIF(商品库存!B:B,B120,商品库存!I:I),0)</f>
        <v>0</v>
      </c>
      <c r="J120" s="156">
        <f>IFERROR(SUMIF(商品库存!B:B,B120,商品库存!J:J),0)</f>
        <v>0</v>
      </c>
      <c r="K120" s="156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 ht="15" customHeight="1" s="71">
      <c r="A121" s="14">
        <f>IF(B121="","",COUNTA($B$5:B121))</f>
      </c>
      <c r="B121" s="14" t="n"/>
      <c r="C121" s="156" t="n"/>
      <c r="D121" s="156">
        <f>IF(B121&lt;&gt;"",SUMIF(出库明细!C:C,B121,出库明细!G:G),"")</f>
      </c>
      <c r="E121" s="156">
        <f>IF(AND(C121&lt;&gt;"",D121&lt;&gt;""),C121-D121,"")</f>
      </c>
      <c r="F121" s="156">
        <f>IF(B121&lt;&gt;"",SUMIFS(资金台帐!$S:$S,资金台帐!$J:$J,B121,资金台帐!$P:$P,"应收"),"")</f>
      </c>
      <c r="G121" s="156">
        <f>IF(B121="","",N(K121)+N(D121)-N(F121))</f>
      </c>
      <c r="H121" s="14">
        <f>IF(B121="","",IF(G121=0,"已结清",IF(G121&gt;0,"有欠款","预存款")))</f>
      </c>
      <c r="I121" s="157">
        <f>IFERROR(SUMIF(商品库存!B:B,B121,商品库存!I:I),0)</f>
        <v>0</v>
      </c>
      <c r="J121" s="156">
        <f>IFERROR(SUMIF(商品库存!B:B,B121,商品库存!J:J),0)</f>
        <v>0</v>
      </c>
      <c r="K121" s="156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 ht="15" customHeight="1" s="71">
      <c r="A122" s="14">
        <f>IF(B122="","",COUNTA($B$5:B122))</f>
      </c>
      <c r="B122" s="14" t="n"/>
      <c r="C122" s="156" t="n"/>
      <c r="D122" s="156">
        <f>IF(B122&lt;&gt;"",SUMIF(出库明细!C:C,B122,出库明细!G:G),"")</f>
      </c>
      <c r="E122" s="156">
        <f>IF(AND(C122&lt;&gt;"",D122&lt;&gt;""),C122-D122,"")</f>
      </c>
      <c r="F122" s="156">
        <f>IF(B122&lt;&gt;"",SUMIFS(资金台帐!$S:$S,资金台帐!$J:$J,B122,资金台帐!$P:$P,"应收"),"")</f>
      </c>
      <c r="G122" s="156">
        <f>IF(B122="","",N(K122)+N(D122)-N(F122))</f>
      </c>
      <c r="H122" s="14">
        <f>IF(B122="","",IF(G122=0,"已结清",IF(G122&gt;0,"有欠款","预存款")))</f>
      </c>
      <c r="I122" s="157">
        <f>IFERROR(SUMIF(商品库存!B:B,B122,商品库存!I:I),0)</f>
        <v>0</v>
      </c>
      <c r="J122" s="156">
        <f>IFERROR(SUMIF(商品库存!B:B,B122,商品库存!J:J),0)</f>
        <v>0</v>
      </c>
      <c r="K122" s="156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 ht="15" customHeight="1" s="71">
      <c r="A123" s="14">
        <f>IF(B123="","",COUNTA($B$5:B123))</f>
      </c>
      <c r="B123" s="14" t="n"/>
      <c r="C123" s="156" t="n"/>
      <c r="D123" s="156">
        <f>IF(B123&lt;&gt;"",SUMIF(出库明细!C:C,B123,出库明细!G:G),"")</f>
      </c>
      <c r="E123" s="156">
        <f>IF(AND(C123&lt;&gt;"",D123&lt;&gt;""),C123-D123,"")</f>
      </c>
      <c r="F123" s="156">
        <f>IF(B123&lt;&gt;"",SUMIFS(资金台帐!$S:$S,资金台帐!$J:$J,B123,资金台帐!$P:$P,"应收"),"")</f>
      </c>
      <c r="G123" s="156">
        <f>IF(B123="","",N(K123)+N(D123)-N(F123))</f>
      </c>
      <c r="H123" s="14">
        <f>IF(B123="","",IF(G123=0,"已结清",IF(G123&gt;0,"有欠款","预存款")))</f>
      </c>
      <c r="I123" s="157">
        <f>IFERROR(SUMIF(商品库存!B:B,B123,商品库存!I:I),0)</f>
        <v>0</v>
      </c>
      <c r="J123" s="156">
        <f>IFERROR(SUMIF(商品库存!B:B,B123,商品库存!J:J),0)</f>
        <v>0</v>
      </c>
      <c r="K123" s="156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 ht="15" customHeight="1" s="71">
      <c r="A124" s="14">
        <f>IF(B124="","",COUNTA($B$5:B124))</f>
      </c>
      <c r="B124" s="14" t="n"/>
      <c r="C124" s="156" t="n"/>
      <c r="D124" s="156">
        <f>IF(B124&lt;&gt;"",SUMIF(出库明细!C:C,B124,出库明细!G:G),"")</f>
      </c>
      <c r="E124" s="156">
        <f>IF(AND(C124&lt;&gt;"",D124&lt;&gt;""),C124-D124,"")</f>
      </c>
      <c r="F124" s="156">
        <f>IF(B124&lt;&gt;"",SUMIFS(资金台帐!$S:$S,资金台帐!$J:$J,B124,资金台帐!$P:$P,"应收"),"")</f>
      </c>
      <c r="G124" s="156">
        <f>IF(B124="","",N(K124)+N(D124)-N(F124))</f>
      </c>
      <c r="H124" s="14">
        <f>IF(B124="","",IF(G124=0,"已结清",IF(G124&gt;0,"有欠款","预存款")))</f>
      </c>
      <c r="I124" s="157">
        <f>IFERROR(SUMIF(商品库存!B:B,B124,商品库存!I:I),0)</f>
        <v>0</v>
      </c>
      <c r="J124" s="156">
        <f>IFERROR(SUMIF(商品库存!B:B,B124,商品库存!J:J),0)</f>
        <v>0</v>
      </c>
      <c r="K124" s="156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 ht="15" customHeight="1" s="71">
      <c r="A125" s="14">
        <f>IF(B125="","",COUNTA($B$5:B125))</f>
      </c>
      <c r="B125" s="14" t="n"/>
      <c r="C125" s="156" t="n"/>
      <c r="D125" s="156">
        <f>IF(B125&lt;&gt;"",SUMIF(出库明细!C:C,B125,出库明细!G:G),"")</f>
      </c>
      <c r="E125" s="156">
        <f>IF(AND(C125&lt;&gt;"",D125&lt;&gt;""),C125-D125,"")</f>
      </c>
      <c r="F125" s="156">
        <f>IF(B125&lt;&gt;"",SUMIFS(资金台帐!$S:$S,资金台帐!$J:$J,B125,资金台帐!$P:$P,"应收"),"")</f>
      </c>
      <c r="G125" s="156">
        <f>IF(B125="","",N(K125)+N(D125)-N(F125))</f>
      </c>
      <c r="H125" s="14">
        <f>IF(B125="","",IF(G125=0,"已结清",IF(G125&gt;0,"有欠款","预存款")))</f>
      </c>
      <c r="I125" s="157">
        <f>IFERROR(SUMIF(商品库存!B:B,B125,商品库存!I:I),0)</f>
        <v>0</v>
      </c>
      <c r="J125" s="156">
        <f>IFERROR(SUMIF(商品库存!B:B,B125,商品库存!J:J),0)</f>
        <v>0</v>
      </c>
      <c r="K125" s="156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 ht="15" customHeight="1" s="71">
      <c r="A126" s="14">
        <f>IF(B126="","",COUNTA($B$5:B126))</f>
      </c>
      <c r="B126" s="14" t="n"/>
      <c r="C126" s="156" t="n"/>
      <c r="D126" s="156">
        <f>IF(B126&lt;&gt;"",SUMIF(出库明细!C:C,B126,出库明细!G:G),"")</f>
      </c>
      <c r="E126" s="156">
        <f>IF(AND(C126&lt;&gt;"",D126&lt;&gt;""),C126-D126,"")</f>
      </c>
      <c r="F126" s="156">
        <f>IF(B126&lt;&gt;"",SUMIFS(资金台帐!$S:$S,资金台帐!$J:$J,B126,资金台帐!$P:$P,"应收"),"")</f>
      </c>
      <c r="G126" s="156">
        <f>IF(B126="","",N(K126)+N(D126)-N(F126))</f>
      </c>
      <c r="H126" s="14">
        <f>IF(B126="","",IF(G126=0,"已结清",IF(G126&gt;0,"有欠款","预存款")))</f>
      </c>
      <c r="I126" s="157">
        <f>IFERROR(SUMIF(商品库存!B:B,B126,商品库存!I:I),0)</f>
        <v>0</v>
      </c>
      <c r="J126" s="156">
        <f>IFERROR(SUMIF(商品库存!B:B,B126,商品库存!J:J),0)</f>
        <v>0</v>
      </c>
      <c r="K126" s="156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 ht="15" customHeight="1" s="71">
      <c r="A127" s="14">
        <f>IF(B127="","",COUNTA($B$5:B127))</f>
      </c>
      <c r="B127" s="14" t="n"/>
      <c r="C127" s="156" t="n"/>
      <c r="D127" s="156">
        <f>IF(B127&lt;&gt;"",SUMIF(出库明细!C:C,B127,出库明细!G:G),"")</f>
      </c>
      <c r="E127" s="156">
        <f>IF(AND(C127&lt;&gt;"",D127&lt;&gt;""),C127-D127,"")</f>
      </c>
      <c r="F127" s="156">
        <f>IF(B127&lt;&gt;"",SUMIFS(资金台帐!$S:$S,资金台帐!$J:$J,B127,资金台帐!$P:$P,"应收"),"")</f>
      </c>
      <c r="G127" s="156">
        <f>IF(B127="","",N(K127)+N(D127)-N(F127))</f>
      </c>
      <c r="H127" s="14">
        <f>IF(B127="","",IF(G127=0,"已结清",IF(G127&gt;0,"有欠款","预存款")))</f>
      </c>
      <c r="I127" s="157">
        <f>IFERROR(SUMIF(商品库存!B:B,B127,商品库存!I:I),0)</f>
        <v>0</v>
      </c>
      <c r="J127" s="156">
        <f>IFERROR(SUMIF(商品库存!B:B,B127,商品库存!J:J),0)</f>
        <v>0</v>
      </c>
      <c r="K127" s="156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 ht="15" customHeight="1" s="71">
      <c r="A128" s="14">
        <f>IF(B128="","",COUNTA($B$5:B128))</f>
      </c>
      <c r="B128" s="14" t="n"/>
      <c r="C128" s="156" t="n"/>
      <c r="D128" s="156">
        <f>IF(B128&lt;&gt;"",SUMIF(出库明细!C:C,B128,出库明细!G:G),"")</f>
      </c>
      <c r="E128" s="156">
        <f>IF(AND(C128&lt;&gt;"",D128&lt;&gt;""),C128-D128,"")</f>
      </c>
      <c r="F128" s="156">
        <f>IF(B128&lt;&gt;"",SUMIFS(资金台帐!$S:$S,资金台帐!$J:$J,B128,资金台帐!$P:$P,"应收"),"")</f>
      </c>
      <c r="G128" s="156">
        <f>IF(B128="","",N(K128)+N(D128)-N(F128))</f>
      </c>
      <c r="H128" s="14">
        <f>IF(B128="","",IF(G128=0,"已结清",IF(G128&gt;0,"有欠款","预存款")))</f>
      </c>
      <c r="I128" s="157">
        <f>IFERROR(SUMIF(商品库存!B:B,B128,商品库存!I:I),0)</f>
        <v>0</v>
      </c>
      <c r="J128" s="156">
        <f>IFERROR(SUMIF(商品库存!B:B,B128,商品库存!J:J),0)</f>
        <v>0</v>
      </c>
      <c r="K128" s="156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 ht="15" customHeight="1" s="71">
      <c r="A129" s="14">
        <f>IF(B129="","",COUNTA($B$5:B129))</f>
      </c>
      <c r="B129" s="14" t="n"/>
      <c r="C129" s="156" t="n"/>
      <c r="D129" s="156">
        <f>IF(B129&lt;&gt;"",SUMIF(出库明细!C:C,B129,出库明细!G:G),"")</f>
      </c>
      <c r="E129" s="156">
        <f>IF(AND(C129&lt;&gt;"",D129&lt;&gt;""),C129-D129,"")</f>
      </c>
      <c r="F129" s="156">
        <f>IF(B129&lt;&gt;"",SUMIFS(资金台帐!$S:$S,资金台帐!$J:$J,B129,资金台帐!$P:$P,"应收"),"")</f>
      </c>
      <c r="G129" s="156">
        <f>IF(B129="","",N(K129)+N(D129)-N(F129))</f>
      </c>
      <c r="H129" s="14">
        <f>IF(B129="","",IF(G129=0,"已结清",IF(G129&gt;0,"有欠款","预存款")))</f>
      </c>
      <c r="I129" s="157">
        <f>IFERROR(SUMIF(商品库存!B:B,B129,商品库存!I:I),0)</f>
        <v>0</v>
      </c>
      <c r="J129" s="156">
        <f>IFERROR(SUMIF(商品库存!B:B,B129,商品库存!J:J),0)</f>
        <v>0</v>
      </c>
      <c r="K129" s="156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 ht="15" customHeight="1" s="71">
      <c r="A130" s="14">
        <f>IF(B130="","",COUNTA($B$5:B130))</f>
      </c>
      <c r="B130" s="14" t="n"/>
      <c r="C130" s="156" t="n"/>
      <c r="D130" s="156">
        <f>IF(B130&lt;&gt;"",SUMIF(出库明细!C:C,B130,出库明细!G:G),"")</f>
      </c>
      <c r="E130" s="156">
        <f>IF(AND(C130&lt;&gt;"",D130&lt;&gt;""),C130-D130,"")</f>
      </c>
      <c r="F130" s="156">
        <f>IF(B130&lt;&gt;"",SUMIFS(资金台帐!$S:$S,资金台帐!$J:$J,B130,资金台帐!$P:$P,"应收"),"")</f>
      </c>
      <c r="G130" s="156">
        <f>IF(B130="","",N(K130)+N(D130)-N(F130))</f>
      </c>
      <c r="H130" s="14">
        <f>IF(B130="","",IF(G130=0,"已结清",IF(G130&gt;0,"有欠款","预存款")))</f>
      </c>
      <c r="I130" s="157">
        <f>IFERROR(SUMIF(商品库存!B:B,B130,商品库存!I:I),0)</f>
        <v>0</v>
      </c>
      <c r="J130" s="156">
        <f>IFERROR(SUMIF(商品库存!B:B,B130,商品库存!J:J),0)</f>
        <v>0</v>
      </c>
      <c r="K130" s="156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 ht="15" customHeight="1" s="71">
      <c r="A131" s="14">
        <f>IF(B131="","",COUNTA($B$5:B131))</f>
      </c>
      <c r="B131" s="14" t="n"/>
      <c r="C131" s="156" t="n"/>
      <c r="D131" s="156">
        <f>IF(B131&lt;&gt;"",SUMIF(出库明细!C:C,B131,出库明细!G:G),"")</f>
      </c>
      <c r="E131" s="156">
        <f>IF(AND(C131&lt;&gt;"",D131&lt;&gt;""),C131-D131,"")</f>
      </c>
      <c r="F131" s="156">
        <f>IF(B131&lt;&gt;"",SUMIFS(资金台帐!$S:$S,资金台帐!$J:$J,B131,资金台帐!$P:$P,"应收"),"")</f>
      </c>
      <c r="G131" s="156">
        <f>IF(B131="","",N(K131)+N(D131)-N(F131))</f>
      </c>
      <c r="H131" s="14">
        <f>IF(B131="","",IF(G131=0,"已结清",IF(G131&gt;0,"有欠款","预存款")))</f>
      </c>
      <c r="I131" s="157">
        <f>IFERROR(SUMIF(商品库存!B:B,B131,商品库存!I:I),0)</f>
        <v>0</v>
      </c>
      <c r="J131" s="156">
        <f>IFERROR(SUMIF(商品库存!B:B,B131,商品库存!J:J),0)</f>
        <v>0</v>
      </c>
      <c r="K131" s="156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 ht="15" customHeight="1" s="71">
      <c r="A132" s="14">
        <f>IF(B132="","",COUNTA($B$5:B132))</f>
      </c>
      <c r="B132" s="14" t="n"/>
      <c r="C132" s="156" t="n"/>
      <c r="D132" s="156">
        <f>IF(B132&lt;&gt;"",SUMIF(出库明细!C:C,B132,出库明细!G:G),"")</f>
      </c>
      <c r="E132" s="156">
        <f>IF(AND(C132&lt;&gt;"",D132&lt;&gt;""),C132-D132,"")</f>
      </c>
      <c r="F132" s="156">
        <f>IF(B132&lt;&gt;"",SUMIFS(资金台帐!$S:$S,资金台帐!$J:$J,B132,资金台帐!$P:$P,"应收"),"")</f>
      </c>
      <c r="G132" s="156">
        <f>IF(B132="","",N(K132)+N(D132)-N(F132))</f>
      </c>
      <c r="H132" s="14">
        <f>IF(B132="","",IF(G132=0,"已结清",IF(G132&gt;0,"有欠款","预存款")))</f>
      </c>
      <c r="I132" s="157">
        <f>IFERROR(SUMIF(商品库存!B:B,B132,商品库存!I:I),0)</f>
        <v>0</v>
      </c>
      <c r="J132" s="156">
        <f>IFERROR(SUMIF(商品库存!B:B,B132,商品库存!J:J),0)</f>
        <v>0</v>
      </c>
      <c r="K132" s="156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 ht="15" customHeight="1" s="71">
      <c r="A133" s="14">
        <f>IF(B133="","",COUNTA($B$5:B133))</f>
      </c>
      <c r="B133" s="14" t="n"/>
      <c r="C133" s="156" t="n"/>
      <c r="D133" s="156">
        <f>IF(B133&lt;&gt;"",SUMIF(出库明细!C:C,B133,出库明细!G:G),"")</f>
      </c>
      <c r="E133" s="156">
        <f>IF(AND(C133&lt;&gt;"",D133&lt;&gt;""),C133-D133,"")</f>
      </c>
      <c r="F133" s="156">
        <f>IF(B133&lt;&gt;"",SUMIFS(资金台帐!$S:$S,资金台帐!$J:$J,B133,资金台帐!$P:$P,"应收"),"")</f>
      </c>
      <c r="G133" s="156">
        <f>IF(B133="","",N(K133)+N(D133)-N(F133))</f>
      </c>
      <c r="H133" s="14">
        <f>IF(B133="","",IF(G133=0,"已结清",IF(G133&gt;0,"有欠款","预存款")))</f>
      </c>
      <c r="I133" s="157">
        <f>IFERROR(SUMIF(商品库存!B:B,B133,商品库存!I:I),0)</f>
        <v>0</v>
      </c>
      <c r="J133" s="156">
        <f>IFERROR(SUMIF(商品库存!B:B,B133,商品库存!J:J),0)</f>
        <v>0</v>
      </c>
      <c r="K133" s="156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 ht="15" customHeight="1" s="71">
      <c r="A134" s="14">
        <f>IF(B134="","",COUNTA($B$5:B134))</f>
      </c>
      <c r="B134" s="14" t="n"/>
      <c r="C134" s="156" t="n"/>
      <c r="D134" s="156">
        <f>IF(B134&lt;&gt;"",SUMIF(出库明细!C:C,B134,出库明细!G:G),"")</f>
      </c>
      <c r="E134" s="156">
        <f>IF(AND(C134&lt;&gt;"",D134&lt;&gt;""),C134-D134,"")</f>
      </c>
      <c r="F134" s="156">
        <f>IF(B134&lt;&gt;"",SUMIFS(资金台帐!$S:$S,资金台帐!$J:$J,B134,资金台帐!$P:$P,"应收"),"")</f>
      </c>
      <c r="G134" s="156">
        <f>IF(B134="","",N(K134)+N(D134)-N(F134))</f>
      </c>
      <c r="H134" s="14">
        <f>IF(B134="","",IF(G134=0,"已结清",IF(G134&gt;0,"有欠款","预存款")))</f>
      </c>
      <c r="I134" s="157">
        <f>IFERROR(SUMIF(商品库存!B:B,B134,商品库存!I:I),0)</f>
        <v>0</v>
      </c>
      <c r="J134" s="156">
        <f>IFERROR(SUMIF(商品库存!B:B,B134,商品库存!J:J),0)</f>
        <v>0</v>
      </c>
      <c r="K134" s="156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 ht="15" customHeight="1" s="71">
      <c r="A135" s="14">
        <f>IF(B135="","",COUNTA($B$5:B135))</f>
      </c>
      <c r="B135" s="14" t="n"/>
      <c r="C135" s="156" t="n"/>
      <c r="D135" s="156">
        <f>IF(B135&lt;&gt;"",SUMIF(出库明细!C:C,B135,出库明细!G:G),"")</f>
      </c>
      <c r="E135" s="156">
        <f>IF(AND(C135&lt;&gt;"",D135&lt;&gt;""),C135-D135,"")</f>
      </c>
      <c r="F135" s="156">
        <f>IF(B135&lt;&gt;"",SUMIFS(资金台帐!$S:$S,资金台帐!$J:$J,B135,资金台帐!$P:$P,"应收"),"")</f>
      </c>
      <c r="G135" s="156">
        <f>IF(B135="","",N(K135)+N(D135)-N(F135))</f>
      </c>
      <c r="H135" s="14">
        <f>IF(B135="","",IF(G135=0,"已结清",IF(G135&gt;0,"有欠款","预存款")))</f>
      </c>
      <c r="I135" s="157">
        <f>IFERROR(SUMIF(商品库存!B:B,B135,商品库存!I:I),0)</f>
        <v>0</v>
      </c>
      <c r="J135" s="156">
        <f>IFERROR(SUMIF(商品库存!B:B,B135,商品库存!J:J),0)</f>
        <v>0</v>
      </c>
      <c r="K135" s="156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 ht="15" customHeight="1" s="71">
      <c r="A136" s="14">
        <f>IF(B136="","",COUNTA($B$5:B136))</f>
      </c>
      <c r="B136" s="14" t="n"/>
      <c r="C136" s="156" t="n"/>
      <c r="D136" s="156">
        <f>IF(B136&lt;&gt;"",SUMIF(出库明细!C:C,B136,出库明细!G:G),"")</f>
      </c>
      <c r="E136" s="156">
        <f>IF(AND(C136&lt;&gt;"",D136&lt;&gt;""),C136-D136,"")</f>
      </c>
      <c r="F136" s="156">
        <f>IF(B136&lt;&gt;"",SUMIFS(资金台帐!$S:$S,资金台帐!$J:$J,B136,资金台帐!$P:$P,"应收"),"")</f>
      </c>
      <c r="G136" s="156">
        <f>IF(B136="","",N(K136)+N(D136)-N(F136))</f>
      </c>
      <c r="H136" s="14">
        <f>IF(B136="","",IF(G136=0,"已结清",IF(G136&gt;0,"有欠款","预存款")))</f>
      </c>
      <c r="I136" s="157">
        <f>IFERROR(SUMIF(商品库存!B:B,B136,商品库存!I:I),0)</f>
        <v>0</v>
      </c>
      <c r="J136" s="156">
        <f>IFERROR(SUMIF(商品库存!B:B,B136,商品库存!J:J),0)</f>
        <v>0</v>
      </c>
      <c r="K136" s="156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 ht="15" customHeight="1" s="71">
      <c r="A137" s="14">
        <f>IF(B137="","",COUNTA($B$5:B137))</f>
      </c>
      <c r="B137" s="14" t="n"/>
      <c r="C137" s="156" t="n"/>
      <c r="D137" s="156">
        <f>IF(B137&lt;&gt;"",SUMIF(出库明细!C:C,B137,出库明细!G:G),"")</f>
      </c>
      <c r="E137" s="156">
        <f>IF(AND(C137&lt;&gt;"",D137&lt;&gt;""),C137-D137,"")</f>
      </c>
      <c r="F137" s="156">
        <f>IF(B137&lt;&gt;"",SUMIFS(资金台帐!$S:$S,资金台帐!$J:$J,B137,资金台帐!$P:$P,"应收"),"")</f>
      </c>
      <c r="G137" s="156">
        <f>IF(B137="","",N(K137)+N(D137)-N(F137))</f>
      </c>
      <c r="H137" s="14">
        <f>IF(B137="","",IF(G137=0,"已结清",IF(G137&gt;0,"有欠款","预存款")))</f>
      </c>
      <c r="I137" s="157">
        <f>IFERROR(SUMIF(商品库存!B:B,B137,商品库存!I:I),0)</f>
        <v>0</v>
      </c>
      <c r="J137" s="156">
        <f>IFERROR(SUMIF(商品库存!B:B,B137,商品库存!J:J),0)</f>
        <v>0</v>
      </c>
      <c r="K137" s="156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 ht="15" customHeight="1" s="71">
      <c r="A138" s="14">
        <f>IF(B138="","",COUNTA($B$5:B138))</f>
      </c>
      <c r="B138" s="14" t="n"/>
      <c r="C138" s="156" t="n"/>
      <c r="D138" s="156">
        <f>IF(B138&lt;&gt;"",SUMIF(出库明细!C:C,B138,出库明细!G:G),"")</f>
      </c>
      <c r="E138" s="156">
        <f>IF(AND(C138&lt;&gt;"",D138&lt;&gt;""),C138-D138,"")</f>
      </c>
      <c r="F138" s="156">
        <f>IF(B138&lt;&gt;"",SUMIFS(资金台帐!$S:$S,资金台帐!$J:$J,B138,资金台帐!$P:$P,"应收"),"")</f>
      </c>
      <c r="G138" s="156">
        <f>IF(B138="","",N(K138)+N(D138)-N(F138))</f>
      </c>
      <c r="H138" s="14">
        <f>IF(B138="","",IF(G138=0,"已结清",IF(G138&gt;0,"有欠款","预存款")))</f>
      </c>
      <c r="I138" s="157">
        <f>IFERROR(SUMIF(商品库存!B:B,B138,商品库存!I:I),0)</f>
        <v>0</v>
      </c>
      <c r="J138" s="156">
        <f>IFERROR(SUMIF(商品库存!B:B,B138,商品库存!J:J),0)</f>
        <v>0</v>
      </c>
      <c r="K138" s="156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 ht="15" customHeight="1" s="71">
      <c r="A139" s="14">
        <f>IF(B139="","",COUNTA($B$5:B139))</f>
      </c>
      <c r="B139" s="14" t="n"/>
      <c r="C139" s="156" t="n"/>
      <c r="D139" s="156">
        <f>IF(B139&lt;&gt;"",SUMIF(出库明细!C:C,B139,出库明细!G:G),"")</f>
      </c>
      <c r="E139" s="156">
        <f>IF(AND(C139&lt;&gt;"",D139&lt;&gt;""),C139-D139,"")</f>
      </c>
      <c r="F139" s="156">
        <f>IF(B139&lt;&gt;"",SUMIFS(资金台帐!$S:$S,资金台帐!$J:$J,B139,资金台帐!$P:$P,"应收"),"")</f>
      </c>
      <c r="G139" s="156">
        <f>IF(B139="","",N(K139)+N(D139)-N(F139))</f>
      </c>
      <c r="H139" s="14">
        <f>IF(B139="","",IF(G139=0,"已结清",IF(G139&gt;0,"有欠款","预存款")))</f>
      </c>
      <c r="I139" s="157">
        <f>IFERROR(SUMIF(商品库存!B:B,B139,商品库存!I:I),0)</f>
        <v>0</v>
      </c>
      <c r="J139" s="156">
        <f>IFERROR(SUMIF(商品库存!B:B,B139,商品库存!J:J),0)</f>
        <v>0</v>
      </c>
      <c r="K139" s="156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 ht="15" customHeight="1" s="71">
      <c r="A140" s="14">
        <f>IF(B140="","",COUNTA($B$5:B140))</f>
      </c>
      <c r="B140" s="14" t="n"/>
      <c r="C140" s="156" t="n"/>
      <c r="D140" s="156">
        <f>IF(B140&lt;&gt;"",SUMIF(出库明细!C:C,B140,出库明细!G:G),"")</f>
      </c>
      <c r="E140" s="156">
        <f>IF(AND(C140&lt;&gt;"",D140&lt;&gt;""),C140-D140,"")</f>
      </c>
      <c r="F140" s="156">
        <f>IF(B140&lt;&gt;"",SUMIFS(资金台帐!$S:$S,资金台帐!$J:$J,B140,资金台帐!$P:$P,"应收"),"")</f>
      </c>
      <c r="G140" s="156">
        <f>IF(B140="","",N(K140)+N(D140)-N(F140))</f>
      </c>
      <c r="H140" s="14">
        <f>IF(B140="","",IF(G140=0,"已结清",IF(G140&gt;0,"有欠款","预存款")))</f>
      </c>
      <c r="I140" s="157">
        <f>IFERROR(SUMIF(商品库存!B:B,B140,商品库存!I:I),0)</f>
        <v>0</v>
      </c>
      <c r="J140" s="156">
        <f>IFERROR(SUMIF(商品库存!B:B,B140,商品库存!J:J),0)</f>
        <v>0</v>
      </c>
      <c r="K140" s="156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 ht="15" customHeight="1" s="71">
      <c r="A141" s="14">
        <f>IF(B141="","",COUNTA($B$5:B141))</f>
      </c>
      <c r="B141" s="14" t="n"/>
      <c r="C141" s="156" t="n"/>
      <c r="D141" s="156">
        <f>IF(B141&lt;&gt;"",SUMIF(出库明细!C:C,B141,出库明细!G:G),"")</f>
      </c>
      <c r="E141" s="156">
        <f>IF(AND(C141&lt;&gt;"",D141&lt;&gt;""),C141-D141,"")</f>
      </c>
      <c r="F141" s="156">
        <f>IF(B141&lt;&gt;"",SUMIFS(资金台帐!$S:$S,资金台帐!$J:$J,B141,资金台帐!$P:$P,"应收"),"")</f>
      </c>
      <c r="G141" s="156">
        <f>IF(B141="","",N(K141)+N(D141)-N(F141))</f>
      </c>
      <c r="H141" s="14">
        <f>IF(B141="","",IF(G141=0,"已结清",IF(G141&gt;0,"有欠款","预存款")))</f>
      </c>
      <c r="I141" s="157">
        <f>IFERROR(SUMIF(商品库存!B:B,B141,商品库存!I:I),0)</f>
        <v>0</v>
      </c>
      <c r="J141" s="156">
        <f>IFERROR(SUMIF(商品库存!B:B,B141,商品库存!J:J),0)</f>
        <v>0</v>
      </c>
      <c r="K141" s="156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 ht="15" customHeight="1" s="71">
      <c r="A142" s="14">
        <f>IF(B142="","",COUNTA($B$5:B142))</f>
      </c>
      <c r="B142" s="14" t="n"/>
      <c r="C142" s="156" t="n"/>
      <c r="D142" s="156">
        <f>IF(B142&lt;&gt;"",SUMIF(出库明细!C:C,B142,出库明细!G:G),"")</f>
      </c>
      <c r="E142" s="156">
        <f>IF(AND(C142&lt;&gt;"",D142&lt;&gt;""),C142-D142,"")</f>
      </c>
      <c r="F142" s="156">
        <f>IF(B142&lt;&gt;"",SUMIFS(资金台帐!$S:$S,资金台帐!$J:$J,B142,资金台帐!$P:$P,"应收"),"")</f>
      </c>
      <c r="G142" s="156">
        <f>IF(B142="","",N(K142)+N(D142)-N(F142))</f>
      </c>
      <c r="H142" s="14">
        <f>IF(B142="","",IF(G142=0,"已结清",IF(G142&gt;0,"有欠款","预存款")))</f>
      </c>
      <c r="I142" s="157">
        <f>IFERROR(SUMIF(商品库存!B:B,B142,商品库存!I:I),0)</f>
        <v>0</v>
      </c>
      <c r="J142" s="156">
        <f>IFERROR(SUMIF(商品库存!B:B,B142,商品库存!J:J),0)</f>
        <v>0</v>
      </c>
      <c r="K142" s="156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 ht="15" customHeight="1" s="71">
      <c r="A143" s="14">
        <f>IF(B143="","",COUNTA($B$5:B143))</f>
      </c>
      <c r="B143" s="14" t="n"/>
      <c r="C143" s="156" t="n"/>
      <c r="D143" s="156">
        <f>IF(B143&lt;&gt;"",SUMIF(出库明细!C:C,B143,出库明细!G:G),"")</f>
      </c>
      <c r="E143" s="156">
        <f>IF(AND(C143&lt;&gt;"",D143&lt;&gt;""),C143-D143,"")</f>
      </c>
      <c r="F143" s="156">
        <f>IF(B143&lt;&gt;"",SUMIFS(资金台帐!$S:$S,资金台帐!$J:$J,B143,资金台帐!$P:$P,"应收"),"")</f>
      </c>
      <c r="G143" s="156">
        <f>IF(B143="","",N(K143)+N(D143)-N(F143))</f>
      </c>
      <c r="H143" s="14">
        <f>IF(B143="","",IF(G143=0,"已结清",IF(G143&gt;0,"有欠款","预存款")))</f>
      </c>
      <c r="I143" s="157">
        <f>IFERROR(SUMIF(商品库存!B:B,B143,商品库存!I:I),0)</f>
        <v>0</v>
      </c>
      <c r="J143" s="156">
        <f>IFERROR(SUMIF(商品库存!B:B,B143,商品库存!J:J),0)</f>
        <v>0</v>
      </c>
      <c r="K143" s="156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 ht="15" customHeight="1" s="71">
      <c r="A144" s="14">
        <f>IF(B144="","",COUNTA($B$5:B144))</f>
      </c>
      <c r="B144" s="14" t="n"/>
      <c r="C144" s="156" t="n"/>
      <c r="D144" s="156">
        <f>IF(B144&lt;&gt;"",SUMIF(出库明细!C:C,B144,出库明细!G:G),"")</f>
      </c>
      <c r="E144" s="156">
        <f>IF(AND(C144&lt;&gt;"",D144&lt;&gt;""),C144-D144,"")</f>
      </c>
      <c r="F144" s="156">
        <f>IF(B144&lt;&gt;"",SUMIFS(资金台帐!$S:$S,资金台帐!$J:$J,B144,资金台帐!$P:$P,"应收"),"")</f>
      </c>
      <c r="G144" s="156">
        <f>IF(B144="","",N(K144)+N(D144)-N(F144))</f>
      </c>
      <c r="H144" s="14">
        <f>IF(B144="","",IF(G144=0,"已结清",IF(G144&gt;0,"有欠款","预存款")))</f>
      </c>
      <c r="I144" s="157">
        <f>IFERROR(SUMIF(商品库存!B:B,B144,商品库存!I:I),0)</f>
        <v>0</v>
      </c>
      <c r="J144" s="156">
        <f>IFERROR(SUMIF(商品库存!B:B,B144,商品库存!J:J),0)</f>
        <v>0</v>
      </c>
      <c r="K144" s="156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 ht="15" customHeight="1" s="71">
      <c r="A145" s="14">
        <f>IF(B145="","",COUNTA($B$5:B145))</f>
      </c>
      <c r="B145" s="14" t="n"/>
      <c r="C145" s="156" t="n"/>
      <c r="D145" s="156">
        <f>IF(B145&lt;&gt;"",SUMIF(出库明细!C:C,B145,出库明细!G:G),"")</f>
      </c>
      <c r="E145" s="156">
        <f>IF(AND(C145&lt;&gt;"",D145&lt;&gt;""),C145-D145,"")</f>
      </c>
      <c r="F145" s="156">
        <f>IF(B145&lt;&gt;"",SUMIFS(资金台帐!$S:$S,资金台帐!$J:$J,B145,资金台帐!$P:$P,"应收"),"")</f>
      </c>
      <c r="G145" s="156">
        <f>IF(B145="","",N(K145)+N(D145)-N(F145))</f>
      </c>
      <c r="H145" s="14">
        <f>IF(B145="","",IF(G145=0,"已结清",IF(G145&gt;0,"有欠款","预存款")))</f>
      </c>
      <c r="I145" s="157">
        <f>IFERROR(SUMIF(商品库存!B:B,B145,商品库存!I:I),0)</f>
        <v>0</v>
      </c>
      <c r="J145" s="156">
        <f>IFERROR(SUMIF(商品库存!B:B,B145,商品库存!J:J),0)</f>
        <v>0</v>
      </c>
      <c r="K145" s="156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 ht="15" customHeight="1" s="71">
      <c r="A146" s="14">
        <f>IF(B146="","",COUNTA($B$5:B146))</f>
      </c>
      <c r="B146" s="14" t="n"/>
      <c r="C146" s="156" t="n"/>
      <c r="D146" s="156">
        <f>IF(B146&lt;&gt;"",SUMIF(出库明细!C:C,B146,出库明细!G:G),"")</f>
      </c>
      <c r="E146" s="156">
        <f>IF(AND(C146&lt;&gt;"",D146&lt;&gt;""),C146-D146,"")</f>
      </c>
      <c r="F146" s="156">
        <f>IF(B146&lt;&gt;"",SUMIFS(资金台帐!$S:$S,资金台帐!$J:$J,B146,资金台帐!$P:$P,"应收"),"")</f>
      </c>
      <c r="G146" s="156">
        <f>IF(B146="","",N(K146)+N(D146)-N(F146))</f>
      </c>
      <c r="H146" s="14">
        <f>IF(B146="","",IF(G146=0,"已结清",IF(G146&gt;0,"有欠款","预存款")))</f>
      </c>
      <c r="I146" s="157">
        <f>IFERROR(SUMIF(商品库存!B:B,B146,商品库存!I:I),0)</f>
        <v>0</v>
      </c>
      <c r="J146" s="156">
        <f>IFERROR(SUMIF(商品库存!B:B,B146,商品库存!J:J),0)</f>
        <v>0</v>
      </c>
      <c r="K146" s="156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 ht="15" customHeight="1" s="71">
      <c r="A147" s="14">
        <f>IF(B147="","",COUNTA($B$5:B147))</f>
      </c>
      <c r="B147" s="14" t="n"/>
      <c r="C147" s="156" t="n"/>
      <c r="D147" s="156">
        <f>IF(B147&lt;&gt;"",SUMIF(出库明细!C:C,B147,出库明细!G:G),"")</f>
      </c>
      <c r="E147" s="156">
        <f>IF(AND(C147&lt;&gt;"",D147&lt;&gt;""),C147-D147,"")</f>
      </c>
      <c r="F147" s="156">
        <f>IF(B147&lt;&gt;"",SUMIFS(资金台帐!$S:$S,资金台帐!$J:$J,B147,资金台帐!$P:$P,"应收"),"")</f>
      </c>
      <c r="G147" s="156">
        <f>IF(B147="","",N(K147)+N(D147)-N(F147))</f>
      </c>
      <c r="H147" s="14">
        <f>IF(B147="","",IF(G147=0,"已结清",IF(G147&gt;0,"有欠款","预存款")))</f>
      </c>
      <c r="I147" s="157">
        <f>IFERROR(SUMIF(商品库存!B:B,B147,商品库存!I:I),0)</f>
        <v>0</v>
      </c>
      <c r="J147" s="156">
        <f>IFERROR(SUMIF(商品库存!B:B,B147,商品库存!J:J),0)</f>
        <v>0</v>
      </c>
      <c r="K147" s="156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 ht="15" customHeight="1" s="71">
      <c r="A148" s="14">
        <f>IF(B148="","",COUNTA($B$5:B148))</f>
      </c>
      <c r="B148" s="14" t="n"/>
      <c r="C148" s="156" t="n"/>
      <c r="D148" s="156">
        <f>IF(B148&lt;&gt;"",SUMIF(出库明细!C:C,B148,出库明细!G:G),"")</f>
      </c>
      <c r="E148" s="156">
        <f>IF(AND(C148&lt;&gt;"",D148&lt;&gt;""),C148-D148,"")</f>
      </c>
      <c r="F148" s="156">
        <f>IF(B148&lt;&gt;"",SUMIFS(资金台帐!$S:$S,资金台帐!$J:$J,B148,资金台帐!$P:$P,"应收"),"")</f>
      </c>
      <c r="G148" s="156">
        <f>IF(B148="","",N(K148)+N(D148)-N(F148))</f>
      </c>
      <c r="H148" s="14">
        <f>IF(B148="","",IF(G148=0,"已结清",IF(G148&gt;0,"有欠款","预存款")))</f>
      </c>
      <c r="I148" s="157">
        <f>IFERROR(SUMIF(商品库存!B:B,B148,商品库存!I:I),0)</f>
        <v>0</v>
      </c>
      <c r="J148" s="156">
        <f>IFERROR(SUMIF(商品库存!B:B,B148,商品库存!J:J),0)</f>
        <v>0</v>
      </c>
      <c r="K148" s="156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 ht="15" customHeight="1" s="71">
      <c r="A149" s="14">
        <f>IF(B149="","",COUNTA($B$5:B149))</f>
      </c>
      <c r="B149" s="14" t="n"/>
      <c r="C149" s="156" t="n"/>
      <c r="D149" s="156">
        <f>IF(B149&lt;&gt;"",SUMIF(出库明细!C:C,B149,出库明细!G:G),"")</f>
      </c>
      <c r="E149" s="156">
        <f>IF(AND(C149&lt;&gt;"",D149&lt;&gt;""),C149-D149,"")</f>
      </c>
      <c r="F149" s="156">
        <f>IF(B149&lt;&gt;"",SUMIFS(资金台帐!$S:$S,资金台帐!$J:$J,B149,资金台帐!$P:$P,"应收"),"")</f>
      </c>
      <c r="G149" s="156">
        <f>IF(B149="","",N(K149)+N(D149)-N(F149))</f>
      </c>
      <c r="H149" s="14">
        <f>IF(B149="","",IF(G149=0,"已结清",IF(G149&gt;0,"有欠款","预存款")))</f>
      </c>
      <c r="I149" s="157">
        <f>IFERROR(SUMIF(商品库存!B:B,B149,商品库存!I:I),0)</f>
        <v>0</v>
      </c>
      <c r="J149" s="156">
        <f>IFERROR(SUMIF(商品库存!B:B,B149,商品库存!J:J),0)</f>
        <v>0</v>
      </c>
      <c r="K149" s="156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 ht="15" customHeight="1" s="71">
      <c r="A150" s="14">
        <f>IF(B150="","",COUNTA($B$5:B150))</f>
      </c>
      <c r="B150" s="14" t="n"/>
      <c r="C150" s="156" t="n"/>
      <c r="D150" s="156">
        <f>IF(B150&lt;&gt;"",SUMIF(出库明细!C:C,B150,出库明细!G:G),"")</f>
      </c>
      <c r="E150" s="156">
        <f>IF(AND(C150&lt;&gt;"",D150&lt;&gt;""),C150-D150,"")</f>
      </c>
      <c r="F150" s="156">
        <f>IF(B150&lt;&gt;"",SUMIFS(资金台帐!$S:$S,资金台帐!$J:$J,B150,资金台帐!$P:$P,"应收"),"")</f>
      </c>
      <c r="G150" s="156">
        <f>IF(B150="","",N(K150)+N(D150)-N(F150))</f>
      </c>
      <c r="H150" s="14">
        <f>IF(B150="","",IF(G150=0,"已结清",IF(G150&gt;0,"有欠款","预存款")))</f>
      </c>
      <c r="I150" s="157">
        <f>IFERROR(SUMIF(商品库存!B:B,B150,商品库存!I:I),0)</f>
        <v>0</v>
      </c>
      <c r="J150" s="156">
        <f>IFERROR(SUMIF(商品库存!B:B,B150,商品库存!J:J),0)</f>
        <v>0</v>
      </c>
      <c r="K150" s="156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 ht="15" customHeight="1" s="71">
      <c r="A151" s="14">
        <f>IF(B151="","",COUNTA($B$5:B151))</f>
      </c>
      <c r="B151" s="14" t="n"/>
      <c r="C151" s="156" t="n"/>
      <c r="D151" s="156">
        <f>IF(B151&lt;&gt;"",SUMIF(出库明细!C:C,B151,出库明细!G:G),"")</f>
      </c>
      <c r="E151" s="156">
        <f>IF(AND(C151&lt;&gt;"",D151&lt;&gt;""),C151-D151,"")</f>
      </c>
      <c r="F151" s="156">
        <f>IF(B151&lt;&gt;"",SUMIFS(资金台帐!$S:$S,资金台帐!$J:$J,B151,资金台帐!$P:$P,"应收"),"")</f>
      </c>
      <c r="G151" s="156">
        <f>IF(B151="","",N(K151)+N(D151)-N(F151))</f>
      </c>
      <c r="H151" s="14">
        <f>IF(B151="","",IF(G151=0,"已结清",IF(G151&gt;0,"有欠款","预存款")))</f>
      </c>
      <c r="I151" s="157">
        <f>IFERROR(SUMIF(商品库存!B:B,B151,商品库存!I:I),0)</f>
        <v>0</v>
      </c>
      <c r="J151" s="156">
        <f>IFERROR(SUMIF(商品库存!B:B,B151,商品库存!J:J),0)</f>
        <v>0</v>
      </c>
      <c r="K151" s="156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 ht="15" customHeight="1" s="71">
      <c r="A152" s="14">
        <f>IF(B152="","",COUNTA($B$5:B152))</f>
      </c>
      <c r="B152" s="14" t="n"/>
      <c r="C152" s="156" t="n"/>
      <c r="D152" s="156">
        <f>IF(B152&lt;&gt;"",SUMIF(出库明细!C:C,B152,出库明细!G:G),"")</f>
      </c>
      <c r="E152" s="156">
        <f>IF(AND(C152&lt;&gt;"",D152&lt;&gt;""),C152-D152,"")</f>
      </c>
      <c r="F152" s="156">
        <f>IF(B152&lt;&gt;"",SUMIFS(资金台帐!$S:$S,资金台帐!$J:$J,B152,资金台帐!$P:$P,"应收"),"")</f>
      </c>
      <c r="G152" s="156">
        <f>IF(B152="","",N(K152)+N(D152)-N(F152))</f>
      </c>
      <c r="H152" s="14">
        <f>IF(B152="","",IF(G152=0,"已结清",IF(G152&gt;0,"有欠款","预存款")))</f>
      </c>
      <c r="I152" s="157">
        <f>IFERROR(SUMIF(商品库存!B:B,B152,商品库存!I:I),0)</f>
        <v>0</v>
      </c>
      <c r="J152" s="156">
        <f>IFERROR(SUMIF(商品库存!B:B,B152,商品库存!J:J),0)</f>
        <v>0</v>
      </c>
      <c r="K152" s="156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 ht="15" customHeight="1" s="71">
      <c r="A153" s="14">
        <f>IF(B153="","",COUNTA($B$5:B153))</f>
      </c>
      <c r="B153" s="14" t="n"/>
      <c r="C153" s="156" t="n"/>
      <c r="D153" s="156">
        <f>IF(B153&lt;&gt;"",SUMIF(出库明细!C:C,B153,出库明细!G:G),"")</f>
      </c>
      <c r="E153" s="156">
        <f>IF(AND(C153&lt;&gt;"",D153&lt;&gt;""),C153-D153,"")</f>
      </c>
      <c r="F153" s="156">
        <f>IF(B153&lt;&gt;"",SUMIFS(资金台帐!$S:$S,资金台帐!$J:$J,B153,资金台帐!$P:$P,"应收"),"")</f>
      </c>
      <c r="G153" s="156">
        <f>IF(B153="","",N(K153)+N(D153)-N(F153))</f>
      </c>
      <c r="H153" s="14">
        <f>IF(B153="","",IF(G153=0,"已结清",IF(G153&gt;0,"有欠款","预存款")))</f>
      </c>
      <c r="I153" s="157">
        <f>IFERROR(SUMIF(商品库存!B:B,B153,商品库存!I:I),0)</f>
        <v>0</v>
      </c>
      <c r="J153" s="156">
        <f>IFERROR(SUMIF(商品库存!B:B,B153,商品库存!J:J),0)</f>
        <v>0</v>
      </c>
      <c r="K153" s="156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 ht="15" customHeight="1" s="71">
      <c r="A154" s="14">
        <f>IF(B154="","",COUNTA($B$5:B154))</f>
      </c>
      <c r="B154" s="14" t="n"/>
      <c r="C154" s="156" t="n"/>
      <c r="D154" s="156">
        <f>IF(B154&lt;&gt;"",SUMIF(出库明细!C:C,B154,出库明细!G:G),"")</f>
      </c>
      <c r="E154" s="156">
        <f>IF(AND(C154&lt;&gt;"",D154&lt;&gt;""),C154-D154,"")</f>
      </c>
      <c r="F154" s="156">
        <f>IF(B154&lt;&gt;"",SUMIFS(资金台帐!$S:$S,资金台帐!$J:$J,B154,资金台帐!$P:$P,"应收"),"")</f>
      </c>
      <c r="G154" s="156">
        <f>IF(B154="","",N(K154)+N(D154)-N(F154))</f>
      </c>
      <c r="H154" s="14">
        <f>IF(B154="","",IF(G154=0,"已结清",IF(G154&gt;0,"有欠款","预存款")))</f>
      </c>
      <c r="I154" s="157">
        <f>IFERROR(SUMIF(商品库存!B:B,B154,商品库存!I:I),0)</f>
        <v>0</v>
      </c>
      <c r="J154" s="156">
        <f>IFERROR(SUMIF(商品库存!B:B,B154,商品库存!J:J),0)</f>
        <v>0</v>
      </c>
      <c r="K154" s="156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 ht="15" customHeight="1" s="71">
      <c r="A155" s="14">
        <f>IF(B155="","",COUNTA($B$5:B155))</f>
      </c>
      <c r="B155" s="14" t="n"/>
      <c r="C155" s="156" t="n"/>
      <c r="D155" s="156">
        <f>IF(B155&lt;&gt;"",SUMIF(出库明细!C:C,B155,出库明细!G:G),"")</f>
      </c>
      <c r="E155" s="156">
        <f>IF(AND(C155&lt;&gt;"",D155&lt;&gt;""),C155-D155,"")</f>
      </c>
      <c r="F155" s="156">
        <f>IF(B155&lt;&gt;"",SUMIFS(资金台帐!$S:$S,资金台帐!$J:$J,B155,资金台帐!$P:$P,"应收"),"")</f>
      </c>
      <c r="G155" s="156">
        <f>IF(B155="","",N(K155)+N(D155)-N(F155))</f>
      </c>
      <c r="H155" s="14">
        <f>IF(B155="","",IF(G155=0,"已结清",IF(G155&gt;0,"有欠款","预存款")))</f>
      </c>
      <c r="I155" s="157">
        <f>IFERROR(SUMIF(商品库存!B:B,B155,商品库存!I:I),0)</f>
        <v>0</v>
      </c>
      <c r="J155" s="156">
        <f>IFERROR(SUMIF(商品库存!B:B,B155,商品库存!J:J),0)</f>
        <v>0</v>
      </c>
      <c r="K155" s="156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 ht="15" customHeight="1" s="71">
      <c r="A156" s="14">
        <f>IF(B156="","",COUNTA($B$5:B156))</f>
      </c>
      <c r="B156" s="14" t="n"/>
      <c r="C156" s="156" t="n"/>
      <c r="D156" s="156">
        <f>IF(B156&lt;&gt;"",SUMIF(出库明细!C:C,B156,出库明细!G:G),"")</f>
      </c>
      <c r="E156" s="156">
        <f>IF(AND(C156&lt;&gt;"",D156&lt;&gt;""),C156-D156,"")</f>
      </c>
      <c r="F156" s="156">
        <f>IF(B156&lt;&gt;"",SUMIFS(资金台帐!$S:$S,资金台帐!$J:$J,B156,资金台帐!$P:$P,"应收"),"")</f>
      </c>
      <c r="G156" s="156">
        <f>IF(B156="","",N(K156)+N(D156)-N(F156))</f>
      </c>
      <c r="H156" s="14">
        <f>IF(B156="","",IF(G156=0,"已结清",IF(G156&gt;0,"有欠款","预存款")))</f>
      </c>
      <c r="I156" s="157">
        <f>IFERROR(SUMIF(商品库存!B:B,B156,商品库存!I:I),0)</f>
        <v>0</v>
      </c>
      <c r="J156" s="156">
        <f>IFERROR(SUMIF(商品库存!B:B,B156,商品库存!J:J),0)</f>
        <v>0</v>
      </c>
      <c r="K156" s="156" t="n"/>
    </row>
    <row r="157" ht="15" customHeight="1" s="71">
      <c r="A157" s="14">
        <f>IF(B157="","",COUNTA($B$5:B157))</f>
      </c>
      <c r="B157" s="14" t="n"/>
      <c r="C157" s="156" t="n"/>
      <c r="D157" s="156">
        <f>IF(B157&lt;&gt;"",SUMIF(出库明细!C:C,B157,出库明细!G:G),"")</f>
      </c>
      <c r="E157" s="156">
        <f>IF(AND(C157&lt;&gt;"",D157&lt;&gt;""),C157-D157,"")</f>
      </c>
      <c r="F157" s="156">
        <f>IF(B157&lt;&gt;"",SUMIFS(资金台帐!$S:$S,资金台帐!$J:$J,B157,资金台帐!$P:$P,"应收"),"")</f>
      </c>
      <c r="G157" s="156">
        <f>IF(B157="","",N(K157)+N(D157)-N(F157))</f>
      </c>
      <c r="H157" s="14">
        <f>IF(B157="","",IF(G157=0,"已结清",IF(G157&gt;0,"有欠款","预存款")))</f>
      </c>
      <c r="I157" s="157">
        <f>IFERROR(SUMIF(商品库存!B:B,B157,商品库存!I:I),0)</f>
        <v>0</v>
      </c>
      <c r="J157" s="156">
        <f>IFERROR(SUMIF(商品库存!B:B,B157,商品库存!J:J),0)</f>
        <v>0</v>
      </c>
      <c r="K157" s="156" t="n"/>
    </row>
    <row r="158" ht="15" customHeight="1" s="71">
      <c r="A158" s="14">
        <f>IF(B158="","",COUNTA($B$5:B158))</f>
      </c>
      <c r="B158" s="14" t="n"/>
      <c r="C158" s="156" t="n"/>
      <c r="D158" s="156">
        <f>IF(B158&lt;&gt;"",SUMIF(出库明细!C:C,B158,出库明细!G:G),"")</f>
      </c>
      <c r="E158" s="156">
        <f>IF(AND(C158&lt;&gt;"",D158&lt;&gt;""),C158-D158,"")</f>
      </c>
      <c r="F158" s="156">
        <f>IF(B158&lt;&gt;"",SUMIFS(资金台帐!$S:$S,资金台帐!$J:$J,B158,资金台帐!$P:$P,"应收"),"")</f>
      </c>
      <c r="G158" s="156">
        <f>IF(B158="","",N(K158)+N(D158)-N(F158))</f>
      </c>
      <c r="H158" s="14">
        <f>IF(B158="","",IF(G158=0,"已结清",IF(G158&gt;0,"有欠款","预存款")))</f>
      </c>
      <c r="I158" s="157">
        <f>IFERROR(SUMIF(商品库存!B:B,B158,商品库存!I:I),0)</f>
        <v>0</v>
      </c>
      <c r="J158" s="156">
        <f>IFERROR(SUMIF(商品库存!B:B,B158,商品库存!J:J),0)</f>
        <v>0</v>
      </c>
      <c r="K158" s="156" t="n"/>
    </row>
    <row r="159" ht="15" customHeight="1" s="71">
      <c r="A159" s="14">
        <f>IF(B159="","",COUNTA($B$5:B159))</f>
      </c>
      <c r="B159" s="14" t="n"/>
      <c r="C159" s="156" t="n"/>
      <c r="D159" s="156">
        <f>IF(B159&lt;&gt;"",SUMIF(出库明细!C:C,B159,出库明细!G:G),"")</f>
      </c>
      <c r="E159" s="156">
        <f>IF(AND(C159&lt;&gt;"",D159&lt;&gt;""),C159-D159,"")</f>
      </c>
      <c r="F159" s="156">
        <f>IF(B159&lt;&gt;"",SUMIFS(资金台帐!$S:$S,资金台帐!$J:$J,B159,资金台帐!$P:$P,"应收"),"")</f>
      </c>
      <c r="G159" s="156">
        <f>IF(B159="","",N(K159)+N(D159)-N(F159))</f>
      </c>
      <c r="H159" s="14">
        <f>IF(B159="","",IF(G159=0,"已结清",IF(G159&gt;0,"有欠款","预存款")))</f>
      </c>
      <c r="I159" s="157">
        <f>IFERROR(SUMIF(商品库存!B:B,B159,商品库存!I:I),0)</f>
        <v>0</v>
      </c>
      <c r="J159" s="156">
        <f>IFERROR(SUMIF(商品库存!B:B,B159,商品库存!J:J),0)</f>
        <v>0</v>
      </c>
      <c r="K159" s="156" t="n"/>
    </row>
    <row r="160" ht="15" customHeight="1" s="71">
      <c r="A160" s="14">
        <f>IF(B160="","",COUNTA($B$5:B160))</f>
      </c>
      <c r="B160" s="14" t="n"/>
      <c r="C160" s="156" t="n"/>
      <c r="D160" s="156">
        <f>IF(B160&lt;&gt;"",SUMIF(出库明细!C:C,B160,出库明细!G:G),"")</f>
      </c>
      <c r="E160" s="156">
        <f>IF(AND(C160&lt;&gt;"",D160&lt;&gt;""),C160-D160,"")</f>
      </c>
      <c r="F160" s="156">
        <f>IF(B160&lt;&gt;"",SUMIFS(资金台帐!$S:$S,资金台帐!$J:$J,B160,资金台帐!$P:$P,"应收"),"")</f>
      </c>
      <c r="G160" s="156">
        <f>IF(B160="","",N(K160)+N(D160)-N(F160))</f>
      </c>
      <c r="H160" s="14">
        <f>IF(B160="","",IF(G160=0,"已结清",IF(G160&gt;0,"有欠款","预存款")))</f>
      </c>
      <c r="I160" s="157">
        <f>IFERROR(SUMIF(商品库存!B:B,B160,商品库存!I:I),0)</f>
        <v>0</v>
      </c>
      <c r="J160" s="156">
        <f>IFERROR(SUMIF(商品库存!B:B,B160,商品库存!J:J),0)</f>
        <v>0</v>
      </c>
      <c r="K160" s="156" t="n"/>
    </row>
    <row r="161" ht="15" customHeight="1" s="71">
      <c r="A161" s="14">
        <f>IF(B161="","",COUNTA($B$5:B161))</f>
      </c>
      <c r="B161" s="14" t="n"/>
      <c r="C161" s="156" t="n"/>
      <c r="D161" s="156">
        <f>IF(B161&lt;&gt;"",SUMIF(出库明细!C:C,B161,出库明细!G:G),"")</f>
      </c>
      <c r="E161" s="156">
        <f>IF(AND(C161&lt;&gt;"",D161&lt;&gt;""),C161-D161,"")</f>
      </c>
      <c r="F161" s="156">
        <f>IF(B161&lt;&gt;"",SUMIFS(资金台帐!$S:$S,资金台帐!$J:$J,B161,资金台帐!$P:$P,"应收"),"")</f>
      </c>
      <c r="G161" s="156">
        <f>IF(B161="","",N(K161)+N(D161)-N(F161))</f>
      </c>
      <c r="H161" s="14">
        <f>IF(B161="","",IF(G161=0,"已结清",IF(G161&gt;0,"有欠款","预存款")))</f>
      </c>
      <c r="I161" s="157">
        <f>IFERROR(SUMIF(商品库存!B:B,B161,商品库存!I:I),0)</f>
        <v>0</v>
      </c>
      <c r="J161" s="156">
        <f>IFERROR(SUMIF(商品库存!B:B,B161,商品库存!J:J),0)</f>
        <v>0</v>
      </c>
      <c r="K161" s="156" t="n"/>
    </row>
    <row r="162" ht="15" customHeight="1" s="71">
      <c r="A162" s="14">
        <f>IF(B162="","",COUNTA($B$5:B162))</f>
      </c>
      <c r="B162" s="14" t="n"/>
      <c r="C162" s="156" t="n"/>
      <c r="D162" s="156">
        <f>IF(B162&lt;&gt;"",SUMIF(出库明细!C:C,B162,出库明细!G:G),"")</f>
      </c>
      <c r="E162" s="156">
        <f>IF(AND(C162&lt;&gt;"",D162&lt;&gt;""),C162-D162,"")</f>
      </c>
      <c r="F162" s="156">
        <f>IF(B162&lt;&gt;"",SUMIFS(资金台帐!$S:$S,资金台帐!$J:$J,B162,资金台帐!$P:$P,"应收"),"")</f>
      </c>
      <c r="G162" s="156">
        <f>IF(B162="","",N(K162)+N(D162)-N(F162))</f>
      </c>
      <c r="H162" s="14">
        <f>IF(B162="","",IF(G162=0,"已结清",IF(G162&gt;0,"有欠款","预存款")))</f>
      </c>
      <c r="I162" s="157">
        <f>IFERROR(SUMIF(商品库存!B:B,B162,商品库存!I:I),0)</f>
        <v>0</v>
      </c>
      <c r="J162" s="156">
        <f>IFERROR(SUMIF(商品库存!B:B,B162,商品库存!J:J),0)</f>
        <v>0</v>
      </c>
      <c r="K162" s="156" t="n"/>
    </row>
    <row r="163" ht="15" customHeight="1" s="71">
      <c r="A163" s="14">
        <f>IF(B163="","",COUNTA($B$5:B163))</f>
      </c>
      <c r="B163" s="14" t="n"/>
      <c r="C163" s="156" t="n"/>
      <c r="D163" s="156">
        <f>IF(B163&lt;&gt;"",SUMIF(出库明细!C:C,B163,出库明细!G:G),"")</f>
      </c>
      <c r="E163" s="156">
        <f>IF(AND(C163&lt;&gt;"",D163&lt;&gt;""),C163-D163,"")</f>
      </c>
      <c r="F163" s="156">
        <f>IF(B163&lt;&gt;"",SUMIFS(资金台帐!$S:$S,资金台帐!$J:$J,B163,资金台帐!$P:$P,"应收"),"")</f>
      </c>
      <c r="G163" s="156">
        <f>IF(B163="","",N(K163)+N(D163)-N(F163))</f>
      </c>
      <c r="H163" s="14">
        <f>IF(B163="","",IF(G163=0,"已结清",IF(G163&gt;0,"有欠款","预存款")))</f>
      </c>
      <c r="I163" s="157">
        <f>IFERROR(SUMIF(商品库存!B:B,B163,商品库存!I:I),0)</f>
        <v>0</v>
      </c>
      <c r="J163" s="156">
        <f>IFERROR(SUMIF(商品库存!B:B,B163,商品库存!J:J),0)</f>
        <v>0</v>
      </c>
      <c r="K163" s="156" t="n"/>
    </row>
    <row r="164" ht="15" customHeight="1" s="71">
      <c r="A164" s="14">
        <f>IF(B164="","",COUNTA($B$5:B164))</f>
      </c>
      <c r="B164" s="14" t="n"/>
      <c r="C164" s="156" t="n"/>
      <c r="D164" s="156">
        <f>IF(B164&lt;&gt;"",SUMIF(出库明细!C:C,B164,出库明细!G:G),"")</f>
      </c>
      <c r="E164" s="156">
        <f>IF(AND(C164&lt;&gt;"",D164&lt;&gt;""),C164-D164,"")</f>
      </c>
      <c r="F164" s="156">
        <f>IF(B164&lt;&gt;"",SUMIFS(资金台帐!$S:$S,资金台帐!$J:$J,B164,资金台帐!$P:$P,"应收"),"")</f>
      </c>
      <c r="G164" s="156">
        <f>IF(B164="","",N(K164)+N(D164)-N(F164))</f>
      </c>
      <c r="H164" s="14">
        <f>IF(B164="","",IF(G164=0,"已结清",IF(G164&gt;0,"有欠款","预存款")))</f>
      </c>
      <c r="I164" s="157">
        <f>IFERROR(SUMIF(商品库存!B:B,B164,商品库存!I:I),0)</f>
        <v>0</v>
      </c>
      <c r="J164" s="156">
        <f>IFERROR(SUMIF(商品库存!B:B,B164,商品库存!J:J),0)</f>
        <v>0</v>
      </c>
      <c r="K164" s="156" t="n"/>
    </row>
    <row r="165" ht="15" customHeight="1" s="71">
      <c r="A165" s="14">
        <f>IF(B165="","",COUNTA($B$5:B165))</f>
      </c>
      <c r="B165" s="14" t="n"/>
      <c r="C165" s="156" t="n"/>
      <c r="D165" s="156">
        <f>IF(B165&lt;&gt;"",SUMIF(出库明细!C:C,B165,出库明细!G:G),"")</f>
      </c>
      <c r="E165" s="156">
        <f>IF(AND(C165&lt;&gt;"",D165&lt;&gt;""),C165-D165,"")</f>
      </c>
      <c r="F165" s="156">
        <f>IF(B165&lt;&gt;"",SUMIFS(资金台帐!$S:$S,资金台帐!$J:$J,B165,资金台帐!$P:$P,"应收"),"")</f>
      </c>
      <c r="G165" s="156">
        <f>IF(B165="","",N(K165)+N(D165)-N(F165))</f>
      </c>
      <c r="H165" s="14">
        <f>IF(B165="","",IF(G165=0,"已结清",IF(G165&gt;0,"有欠款","预存款")))</f>
      </c>
      <c r="I165" s="157">
        <f>IFERROR(SUMIF(商品库存!B:B,B165,商品库存!I:I),0)</f>
        <v>0</v>
      </c>
      <c r="J165" s="156">
        <f>IFERROR(SUMIF(商品库存!B:B,B165,商品库存!J:J),0)</f>
        <v>0</v>
      </c>
      <c r="K165" s="156" t="n"/>
    </row>
    <row r="166" ht="15" customHeight="1" s="71">
      <c r="A166" s="14">
        <f>IF(B166="","",COUNTA($B$5:B166))</f>
      </c>
      <c r="B166" s="14" t="n"/>
      <c r="C166" s="156" t="n"/>
      <c r="D166" s="156">
        <f>IF(B166&lt;&gt;"",SUMIF(出库明细!C:C,B166,出库明细!G:G),"")</f>
      </c>
      <c r="E166" s="156">
        <f>IF(AND(C166&lt;&gt;"",D166&lt;&gt;""),C166-D166,"")</f>
      </c>
      <c r="F166" s="156">
        <f>IF(B166&lt;&gt;"",SUMIFS(资金台帐!$S:$S,资金台帐!$J:$J,B166,资金台帐!$P:$P,"应收"),"")</f>
      </c>
      <c r="G166" s="156">
        <f>IF(B166="","",N(K166)+N(D166)-N(F166))</f>
      </c>
      <c r="H166" s="14">
        <f>IF(B166="","",IF(G166=0,"已结清",IF(G166&gt;0,"有欠款","预存款")))</f>
      </c>
      <c r="I166" s="157">
        <f>IFERROR(SUMIF(商品库存!B:B,B166,商品库存!I:I),0)</f>
        <v>0</v>
      </c>
      <c r="J166" s="156">
        <f>IFERROR(SUMIF(商品库存!B:B,B166,商品库存!J:J),0)</f>
        <v>0</v>
      </c>
      <c r="K166" s="156" t="n"/>
    </row>
    <row r="167" ht="15" customHeight="1" s="71">
      <c r="A167" s="14">
        <f>IF(B167="","",COUNTA($B$5:B167))</f>
      </c>
      <c r="B167" s="14" t="n"/>
      <c r="C167" s="156" t="n"/>
      <c r="D167" s="156">
        <f>IF(B167&lt;&gt;"",SUMIF(出库明细!C:C,B167,出库明细!G:G),"")</f>
      </c>
      <c r="E167" s="156">
        <f>IF(AND(C167&lt;&gt;"",D167&lt;&gt;""),C167-D167,"")</f>
      </c>
      <c r="F167" s="156">
        <f>IF(B167&lt;&gt;"",SUMIFS(资金台帐!$S:$S,资金台帐!$J:$J,B167,资金台帐!$P:$P,"应收"),"")</f>
      </c>
      <c r="G167" s="156">
        <f>IF(B167="","",N(K167)+N(D167)-N(F167))</f>
      </c>
      <c r="H167" s="14">
        <f>IF(B167="","",IF(G167=0,"已结清",IF(G167&gt;0,"有欠款","预存款")))</f>
      </c>
      <c r="I167" s="157">
        <f>IFERROR(SUMIF(商品库存!B:B,B167,商品库存!I:I),0)</f>
        <v>0</v>
      </c>
      <c r="J167" s="156">
        <f>IFERROR(SUMIF(商品库存!B:B,B167,商品库存!J:J),0)</f>
        <v>0</v>
      </c>
      <c r="K167" s="156" t="n"/>
    </row>
    <row r="168" ht="15" customHeight="1" s="71">
      <c r="A168" s="14">
        <f>IF(B168="","",COUNTA($B$5:B168))</f>
      </c>
      <c r="B168" s="14" t="n"/>
      <c r="C168" s="156" t="n"/>
      <c r="D168" s="156">
        <f>IF(B168&lt;&gt;"",SUMIF(出库明细!C:C,B168,出库明细!G:G),"")</f>
      </c>
      <c r="E168" s="156">
        <f>IF(AND(C168&lt;&gt;"",D168&lt;&gt;""),C168-D168,"")</f>
      </c>
      <c r="F168" s="156">
        <f>IF(B168&lt;&gt;"",SUMIFS(资金台帐!$S:$S,资金台帐!$J:$J,B168,资金台帐!$P:$P,"应收"),"")</f>
      </c>
      <c r="G168" s="156">
        <f>IF(B168="","",N(K168)+N(D168)-N(F168))</f>
      </c>
      <c r="H168" s="14">
        <f>IF(B168="","",IF(G168=0,"已结清",IF(G168&gt;0,"有欠款","预存款")))</f>
      </c>
      <c r="I168" s="157">
        <f>IFERROR(SUMIF(商品库存!B:B,B168,商品库存!I:I),0)</f>
        <v>0</v>
      </c>
      <c r="J168" s="156">
        <f>IFERROR(SUMIF(商品库存!B:B,B168,商品库存!J:J),0)</f>
        <v>0</v>
      </c>
      <c r="K168" s="156" t="n"/>
    </row>
    <row r="169" ht="15" customHeight="1" s="71">
      <c r="A169" s="14">
        <f>IF(B169="","",COUNTA($B$5:B169))</f>
      </c>
      <c r="B169" s="14" t="n"/>
      <c r="C169" s="156" t="n"/>
      <c r="D169" s="156">
        <f>IF(B169&lt;&gt;"",SUMIF(出库明细!C:C,B169,出库明细!G:G),"")</f>
      </c>
      <c r="E169" s="156">
        <f>IF(AND(C169&lt;&gt;"",D169&lt;&gt;""),C169-D169,"")</f>
      </c>
      <c r="F169" s="156">
        <f>IF(B169&lt;&gt;"",SUMIFS(资金台帐!$S:$S,资金台帐!$J:$J,B169,资金台帐!$P:$P,"应收"),"")</f>
      </c>
      <c r="G169" s="156">
        <f>IF(B169="","",N(K169)+N(D169)-N(F169))</f>
      </c>
      <c r="H169" s="14">
        <f>IF(B169="","",IF(G169=0,"已结清",IF(G169&gt;0,"有欠款","预存款")))</f>
      </c>
      <c r="I169" s="157">
        <f>IFERROR(SUMIF(商品库存!B:B,B169,商品库存!I:I),0)</f>
        <v>0</v>
      </c>
      <c r="J169" s="156">
        <f>IFERROR(SUMIF(商品库存!B:B,B169,商品库存!J:J),0)</f>
        <v>0</v>
      </c>
      <c r="K169" s="156" t="n"/>
    </row>
    <row r="170" ht="15" customHeight="1" s="71">
      <c r="A170" s="14">
        <f>IF(B170="","",COUNTA($B$5:B170))</f>
      </c>
      <c r="B170" s="14" t="n"/>
      <c r="C170" s="156" t="n"/>
      <c r="D170" s="156">
        <f>IF(B170&lt;&gt;"",SUMIF(出库明细!C:C,B170,出库明细!G:G),"")</f>
      </c>
      <c r="E170" s="156">
        <f>IF(AND(C170&lt;&gt;"",D170&lt;&gt;""),C170-D170,"")</f>
      </c>
      <c r="F170" s="156">
        <f>IF(B170&lt;&gt;"",SUMIFS(资金台帐!$S:$S,资金台帐!$J:$J,B170,资金台帐!$P:$P,"应收"),"")</f>
      </c>
      <c r="G170" s="156">
        <f>IF(B170="","",N(K170)+N(D170)-N(F170))</f>
      </c>
      <c r="H170" s="14">
        <f>IF(B170="","",IF(G170=0,"已结清",IF(G170&gt;0,"有欠款","预存款")))</f>
      </c>
      <c r="I170" s="157">
        <f>IFERROR(SUMIF(商品库存!B:B,B170,商品库存!I:I),0)</f>
        <v>0</v>
      </c>
      <c r="J170" s="156">
        <f>IFERROR(SUMIF(商品库存!B:B,B170,商品库存!J:J),0)</f>
        <v>0</v>
      </c>
      <c r="K170" s="156" t="n"/>
    </row>
    <row r="171" ht="15" customHeight="1" s="71">
      <c r="A171" s="14">
        <f>IF(B171="","",COUNTA($B$5:B171))</f>
      </c>
      <c r="B171" s="14" t="n"/>
      <c r="C171" s="156" t="n"/>
      <c r="D171" s="156">
        <f>IF(B171&lt;&gt;"",SUMIF(出库明细!C:C,B171,出库明细!G:G),"")</f>
      </c>
      <c r="E171" s="156">
        <f>IF(AND(C171&lt;&gt;"",D171&lt;&gt;""),C171-D171,"")</f>
      </c>
      <c r="F171" s="156">
        <f>IF(B171&lt;&gt;"",SUMIFS(资金台帐!$S:$S,资金台帐!$J:$J,B171,资金台帐!$P:$P,"应收"),"")</f>
      </c>
      <c r="G171" s="156">
        <f>IF(B171="","",N(K171)+N(D171)-N(F171))</f>
      </c>
      <c r="H171" s="14">
        <f>IF(B171="","",IF(G171=0,"已结清",IF(G171&gt;0,"有欠款","预存款")))</f>
      </c>
      <c r="I171" s="157">
        <f>IFERROR(SUMIF(商品库存!B:B,B171,商品库存!I:I),0)</f>
        <v>0</v>
      </c>
      <c r="J171" s="156">
        <f>IFERROR(SUMIF(商品库存!B:B,B171,商品库存!J:J),0)</f>
        <v>0</v>
      </c>
      <c r="K171" s="156" t="n"/>
    </row>
    <row r="172" ht="15" customHeight="1" s="71">
      <c r="A172" s="14">
        <f>IF(B172="","",COUNTA($B$5:B172))</f>
      </c>
      <c r="B172" s="14" t="n"/>
      <c r="C172" s="156" t="n"/>
      <c r="D172" s="156">
        <f>IF(B172&lt;&gt;"",SUMIF(出库明细!C:C,B172,出库明细!G:G),"")</f>
      </c>
      <c r="E172" s="156">
        <f>IF(AND(C172&lt;&gt;"",D172&lt;&gt;""),C172-D172,"")</f>
      </c>
      <c r="F172" s="156">
        <f>IF(B172&lt;&gt;"",SUMIFS(资金台帐!$S:$S,资金台帐!$J:$J,B172,资金台帐!$P:$P,"应收"),"")</f>
      </c>
      <c r="G172" s="156">
        <f>IF(B172="","",N(K172)+N(D172)-N(F172))</f>
      </c>
      <c r="H172" s="14">
        <f>IF(B172="","",IF(G172=0,"已结清",IF(G172&gt;0,"有欠款","预存款")))</f>
      </c>
      <c r="I172" s="157">
        <f>IFERROR(SUMIF(商品库存!B:B,B172,商品库存!I:I),0)</f>
        <v>0</v>
      </c>
      <c r="J172" s="156">
        <f>IFERROR(SUMIF(商品库存!B:B,B172,商品库存!J:J),0)</f>
        <v>0</v>
      </c>
      <c r="K172" s="156" t="n"/>
    </row>
    <row r="173" ht="15" customHeight="1" s="71">
      <c r="A173" s="14">
        <f>IF(B173="","",COUNTA($B$5:B173))</f>
      </c>
      <c r="B173" s="14" t="n"/>
      <c r="C173" s="156" t="n"/>
      <c r="D173" s="156">
        <f>IF(B173&lt;&gt;"",SUMIF(出库明细!C:C,B173,出库明细!G:G),"")</f>
      </c>
      <c r="E173" s="156">
        <f>IF(AND(C173&lt;&gt;"",D173&lt;&gt;""),C173-D173,"")</f>
      </c>
      <c r="F173" s="156">
        <f>IF(B173&lt;&gt;"",SUMIFS(资金台帐!$S:$S,资金台帐!$J:$J,B173,资金台帐!$P:$P,"应收"),"")</f>
      </c>
      <c r="G173" s="156">
        <f>IF(B173="","",N(K173)+N(D173)-N(F173))</f>
      </c>
      <c r="H173" s="14">
        <f>IF(B173="","",IF(G173=0,"已结清",IF(G173&gt;0,"有欠款","预存款")))</f>
      </c>
      <c r="I173" s="157">
        <f>IFERROR(SUMIF(商品库存!B:B,B173,商品库存!I:I),0)</f>
        <v>0</v>
      </c>
      <c r="J173" s="156">
        <f>IFERROR(SUMIF(商品库存!B:B,B173,商品库存!J:J),0)</f>
        <v>0</v>
      </c>
      <c r="K173" s="156" t="n"/>
    </row>
    <row r="174" ht="15" customHeight="1" s="71">
      <c r="A174" s="14">
        <f>IF(B174="","",COUNTA($B$5:B174))</f>
      </c>
      <c r="B174" s="14" t="n"/>
      <c r="C174" s="156" t="n"/>
      <c r="D174" s="156">
        <f>IF(B174&lt;&gt;"",SUMIF(出库明细!C:C,B174,出库明细!G:G),"")</f>
      </c>
      <c r="E174" s="156">
        <f>IF(AND(C174&lt;&gt;"",D174&lt;&gt;""),C174-D174,"")</f>
      </c>
      <c r="F174" s="156">
        <f>IF(B174&lt;&gt;"",SUMIFS(资金台帐!$S:$S,资金台帐!$J:$J,B174,资金台帐!$P:$P,"应收"),"")</f>
      </c>
      <c r="G174" s="156">
        <f>IF(B174="","",N(K174)+N(D174)-N(F174))</f>
      </c>
      <c r="H174" s="14">
        <f>IF(B174="","",IF(G174=0,"已结清",IF(G174&gt;0,"有欠款","预存款")))</f>
      </c>
      <c r="I174" s="157">
        <f>IFERROR(SUMIF(商品库存!B:B,B174,商品库存!I:I),0)</f>
        <v>0</v>
      </c>
      <c r="J174" s="156">
        <f>IFERROR(SUMIF(商品库存!B:B,B174,商品库存!J:J),0)</f>
        <v>0</v>
      </c>
      <c r="K174" s="156" t="n"/>
    </row>
    <row r="175" ht="15" customHeight="1" s="71">
      <c r="A175" s="14">
        <f>IF(B175="","",COUNTA($B$5:B175))</f>
      </c>
      <c r="B175" s="14" t="n"/>
      <c r="C175" s="156" t="n"/>
      <c r="D175" s="156">
        <f>IF(B175&lt;&gt;"",SUMIF(出库明细!C:C,B175,出库明细!G:G),"")</f>
      </c>
      <c r="E175" s="156">
        <f>IF(AND(C175&lt;&gt;"",D175&lt;&gt;""),C175-D175,"")</f>
      </c>
      <c r="F175" s="156">
        <f>IF(B175&lt;&gt;"",SUMIFS(资金台帐!$S:$S,资金台帐!$J:$J,B175,资金台帐!$P:$P,"应收"),"")</f>
      </c>
      <c r="G175" s="156">
        <f>IF(B175="","",N(K175)+N(D175)-N(F175))</f>
      </c>
      <c r="H175" s="14">
        <f>IF(B175="","",IF(G175=0,"已结清",IF(G175&gt;0,"有欠款","预存款")))</f>
      </c>
      <c r="I175" s="157">
        <f>IFERROR(SUMIF(商品库存!B:B,B175,商品库存!I:I),0)</f>
        <v>0</v>
      </c>
      <c r="J175" s="156">
        <f>IFERROR(SUMIF(商品库存!B:B,B175,商品库存!J:J),0)</f>
        <v>0</v>
      </c>
      <c r="K175" s="156" t="n"/>
    </row>
    <row r="176" ht="15" customHeight="1" s="71">
      <c r="A176" s="14">
        <f>IF(B176="","",COUNTA($B$5:B176))</f>
      </c>
      <c r="B176" s="14" t="n"/>
      <c r="C176" s="156" t="n"/>
      <c r="D176" s="156">
        <f>IF(B176&lt;&gt;"",SUMIF(出库明细!C:C,B176,出库明细!G:G),"")</f>
      </c>
      <c r="E176" s="156">
        <f>IF(AND(C176&lt;&gt;"",D176&lt;&gt;""),C176-D176,"")</f>
      </c>
      <c r="F176" s="156">
        <f>IF(B176&lt;&gt;"",SUMIFS(资金台帐!$S:$S,资金台帐!$J:$J,B176,资金台帐!$P:$P,"应收"),"")</f>
      </c>
      <c r="G176" s="156">
        <f>IF(B176="","",N(K176)+N(D176)-N(F176))</f>
      </c>
      <c r="H176" s="14">
        <f>IF(B176="","",IF(G176=0,"已结清",IF(G176&gt;0,"有欠款","预存款")))</f>
      </c>
      <c r="I176" s="157">
        <f>IFERROR(SUMIF(商品库存!B:B,B176,商品库存!I:I),0)</f>
        <v>0</v>
      </c>
      <c r="J176" s="156">
        <f>IFERROR(SUMIF(商品库存!B:B,B176,商品库存!J:J),0)</f>
        <v>0</v>
      </c>
      <c r="K176" s="156" t="n"/>
    </row>
    <row r="177" ht="15" customHeight="1" s="71">
      <c r="A177" s="14">
        <f>IF(B177="","",COUNTA($B$5:B177))</f>
      </c>
      <c r="B177" s="14" t="n"/>
      <c r="C177" s="156" t="n"/>
      <c r="D177" s="156">
        <f>IF(B177&lt;&gt;"",SUMIF(出库明细!C:C,B177,出库明细!G:G),"")</f>
      </c>
      <c r="E177" s="156">
        <f>IF(AND(C177&lt;&gt;"",D177&lt;&gt;""),C177-D177,"")</f>
      </c>
      <c r="F177" s="156">
        <f>IF(B177&lt;&gt;"",SUMIFS(资金台帐!$S:$S,资金台帐!$J:$J,B177,资金台帐!$P:$P,"应收"),"")</f>
      </c>
      <c r="G177" s="156">
        <f>IF(B177="","",N(K177)+N(D177)-N(F177))</f>
      </c>
      <c r="H177" s="14">
        <f>IF(B177="","",IF(G177=0,"已结清",IF(G177&gt;0,"有欠款","预存款")))</f>
      </c>
      <c r="I177" s="157">
        <f>IFERROR(SUMIF(商品库存!B:B,B177,商品库存!I:I),0)</f>
        <v>0</v>
      </c>
      <c r="J177" s="156">
        <f>IFERROR(SUMIF(商品库存!B:B,B177,商品库存!J:J),0)</f>
        <v>0</v>
      </c>
      <c r="K177" s="156" t="n"/>
    </row>
    <row r="178" ht="15" customHeight="1" s="71">
      <c r="A178" s="14">
        <f>IF(B178="","",COUNTA($B$5:B178))</f>
      </c>
      <c r="B178" s="14" t="n"/>
      <c r="C178" s="156" t="n"/>
      <c r="D178" s="156">
        <f>IF(B178&lt;&gt;"",SUMIF(出库明细!C:C,B178,出库明细!G:G),"")</f>
      </c>
      <c r="E178" s="156">
        <f>IF(AND(C178&lt;&gt;"",D178&lt;&gt;""),C178-D178,"")</f>
      </c>
      <c r="F178" s="156">
        <f>IF(B178&lt;&gt;"",SUMIFS(资金台帐!$S:$S,资金台帐!$J:$J,B178,资金台帐!$P:$P,"应收"),"")</f>
      </c>
      <c r="G178" s="156">
        <f>IF(B178="","",N(K178)+N(D178)-N(F178))</f>
      </c>
      <c r="H178" s="14">
        <f>IF(B178="","",IF(G178=0,"已结清",IF(G178&gt;0,"有欠款","预存款")))</f>
      </c>
      <c r="I178" s="157">
        <f>IFERROR(SUMIF(商品库存!B:B,B178,商品库存!I:I),0)</f>
        <v>0</v>
      </c>
      <c r="J178" s="156">
        <f>IFERROR(SUMIF(商品库存!B:B,B178,商品库存!J:J),0)</f>
        <v>0</v>
      </c>
      <c r="K178" s="156" t="n"/>
    </row>
    <row r="179" ht="15" customHeight="1" s="71">
      <c r="A179" s="14">
        <f>IF(B179="","",COUNTA($B$5:B179))</f>
      </c>
      <c r="B179" s="14" t="n"/>
      <c r="C179" s="156" t="n"/>
      <c r="D179" s="156">
        <f>IF(B179&lt;&gt;"",SUMIF(出库明细!C:C,B179,出库明细!G:G),"")</f>
      </c>
      <c r="E179" s="156">
        <f>IF(AND(C179&lt;&gt;"",D179&lt;&gt;""),C179-D179,"")</f>
      </c>
      <c r="F179" s="156">
        <f>IF(B179&lt;&gt;"",SUMIFS(资金台帐!$S:$S,资金台帐!$J:$J,B179,资金台帐!$P:$P,"应收"),"")</f>
      </c>
      <c r="G179" s="156">
        <f>IF(B179="","",N(K179)+N(D179)-N(F179))</f>
      </c>
      <c r="H179" s="14">
        <f>IF(B179="","",IF(G179=0,"已结清",IF(G179&gt;0,"有欠款","预存款")))</f>
      </c>
      <c r="I179" s="157">
        <f>IFERROR(SUMIF(商品库存!B:B,B179,商品库存!I:I),0)</f>
        <v>0</v>
      </c>
      <c r="J179" s="156">
        <f>IFERROR(SUMIF(商品库存!B:B,B179,商品库存!J:J),0)</f>
        <v>0</v>
      </c>
      <c r="K179" s="156" t="n"/>
    </row>
    <row r="180" ht="15" customHeight="1" s="71">
      <c r="A180" s="14">
        <f>IF(B180="","",COUNTA($B$5:B180))</f>
      </c>
      <c r="B180" s="14" t="n"/>
      <c r="C180" s="156" t="n"/>
      <c r="D180" s="156">
        <f>IF(B180&lt;&gt;"",SUMIF(出库明细!C:C,B180,出库明细!G:G),"")</f>
      </c>
      <c r="E180" s="156">
        <f>IF(AND(C180&lt;&gt;"",D180&lt;&gt;""),C180-D180,"")</f>
      </c>
      <c r="F180" s="156">
        <f>IF(B180&lt;&gt;"",SUMIFS(资金台帐!$S:$S,资金台帐!$J:$J,B180,资金台帐!$P:$P,"应收"),"")</f>
      </c>
      <c r="G180" s="156">
        <f>IF(B180="","",N(K180)+N(D180)-N(F180))</f>
      </c>
      <c r="H180" s="14">
        <f>IF(B180="","",IF(G180=0,"已结清",IF(G180&gt;0,"有欠款","预存款")))</f>
      </c>
      <c r="I180" s="157">
        <f>IFERROR(SUMIF(商品库存!B:B,B180,商品库存!I:I),0)</f>
        <v>0</v>
      </c>
      <c r="J180" s="156">
        <f>IFERROR(SUMIF(商品库存!B:B,B180,商品库存!J:J),0)</f>
        <v>0</v>
      </c>
      <c r="K180" s="156" t="n"/>
    </row>
    <row r="181" ht="15" customHeight="1" s="71">
      <c r="A181" s="14">
        <f>IF(B181="","",COUNTA($B$5:B181))</f>
      </c>
      <c r="B181" s="14" t="n"/>
      <c r="C181" s="156" t="n"/>
      <c r="D181" s="156">
        <f>IF(B181&lt;&gt;"",SUMIF(出库明细!C:C,B181,出库明细!G:G),"")</f>
      </c>
      <c r="E181" s="156">
        <f>IF(AND(C181&lt;&gt;"",D181&lt;&gt;""),C181-D181,"")</f>
      </c>
      <c r="F181" s="156">
        <f>IF(B181&lt;&gt;"",SUMIFS(资金台帐!$S:$S,资金台帐!$J:$J,B181,资金台帐!$P:$P,"应收"),"")</f>
      </c>
      <c r="G181" s="156">
        <f>IF(B181="","",N(K181)+N(D181)-N(F181))</f>
      </c>
      <c r="H181" s="14">
        <f>IF(B181="","",IF(G181=0,"已结清",IF(G181&gt;0,"有欠款","预存款")))</f>
      </c>
      <c r="I181" s="157">
        <f>IFERROR(SUMIF(商品库存!B:B,B181,商品库存!I:I),0)</f>
        <v>0</v>
      </c>
      <c r="J181" s="156">
        <f>IFERROR(SUMIF(商品库存!B:B,B181,商品库存!J:J),0)</f>
        <v>0</v>
      </c>
      <c r="K181" s="156" t="n"/>
    </row>
    <row r="182" ht="15" customHeight="1" s="71">
      <c r="A182" s="14">
        <f>IF(B182="","",COUNTA($B$5:B182))</f>
      </c>
      <c r="B182" s="14" t="n"/>
      <c r="C182" s="156" t="n"/>
      <c r="D182" s="156">
        <f>IF(B182&lt;&gt;"",SUMIF(出库明细!C:C,B182,出库明细!G:G),"")</f>
      </c>
      <c r="E182" s="156">
        <f>IF(AND(C182&lt;&gt;"",D182&lt;&gt;""),C182-D182,"")</f>
      </c>
      <c r="F182" s="156">
        <f>IF(B182&lt;&gt;"",SUMIFS(资金台帐!$S:$S,资金台帐!$J:$J,B182,资金台帐!$P:$P,"应收"),"")</f>
      </c>
      <c r="G182" s="156">
        <f>IF(B182="","",N(K182)+N(D182)-N(F182))</f>
      </c>
      <c r="H182" s="14">
        <f>IF(B182="","",IF(G182=0,"已结清",IF(G182&gt;0,"有欠款","预存款")))</f>
      </c>
      <c r="I182" s="157">
        <f>IFERROR(SUMIF(商品库存!B:B,B182,商品库存!I:I),0)</f>
        <v>0</v>
      </c>
      <c r="J182" s="156">
        <f>IFERROR(SUMIF(商品库存!B:B,B182,商品库存!J:J),0)</f>
        <v>0</v>
      </c>
      <c r="K182" s="156" t="n"/>
    </row>
    <row r="183" ht="15" customHeight="1" s="71">
      <c r="A183" s="14">
        <f>IF(B183="","",COUNTA($B$5:B183))</f>
      </c>
      <c r="B183" s="14" t="n"/>
      <c r="C183" s="156" t="n"/>
      <c r="D183" s="156">
        <f>IF(B183&lt;&gt;"",SUMIF(出库明细!C:C,B183,出库明细!G:G),"")</f>
      </c>
      <c r="E183" s="156">
        <f>IF(AND(C183&lt;&gt;"",D183&lt;&gt;""),C183-D183,"")</f>
      </c>
      <c r="F183" s="156">
        <f>IF(B183&lt;&gt;"",SUMIFS(资金台帐!$S:$S,资金台帐!$J:$J,B183,资金台帐!$P:$P,"应收"),"")</f>
      </c>
      <c r="G183" s="156">
        <f>IF(B183="","",N(K183)+N(D183)-N(F183))</f>
      </c>
      <c r="H183" s="14">
        <f>IF(B183="","",IF(G183=0,"已结清",IF(G183&gt;0,"有欠款","预存款")))</f>
      </c>
      <c r="I183" s="157">
        <f>IFERROR(SUMIF(商品库存!B:B,B183,商品库存!I:I),0)</f>
        <v>0</v>
      </c>
      <c r="J183" s="156">
        <f>IFERROR(SUMIF(商品库存!B:B,B183,商品库存!J:J),0)</f>
        <v>0</v>
      </c>
      <c r="K183" s="156" t="n"/>
    </row>
    <row r="184" ht="15" customHeight="1" s="71">
      <c r="A184" s="14">
        <f>IF(B184="","",COUNTA($B$5:B184))</f>
      </c>
      <c r="B184" s="14" t="n"/>
      <c r="C184" s="156" t="n"/>
      <c r="D184" s="156">
        <f>IF(B184&lt;&gt;"",SUMIF(出库明细!C:C,B184,出库明细!G:G),"")</f>
      </c>
      <c r="E184" s="156">
        <f>IF(AND(C184&lt;&gt;"",D184&lt;&gt;""),C184-D184,"")</f>
      </c>
      <c r="F184" s="156">
        <f>IF(B184&lt;&gt;"",SUMIFS(资金台帐!$S:$S,资金台帐!$J:$J,B184,资金台帐!$P:$P,"应收"),"")</f>
      </c>
      <c r="G184" s="156">
        <f>IF(B184="","",N(K184)+N(D184)-N(F184))</f>
      </c>
      <c r="H184" s="14">
        <f>IF(B184="","",IF(G184=0,"已结清",IF(G184&gt;0,"有欠款","预存款")))</f>
      </c>
      <c r="I184" s="157">
        <f>IFERROR(SUMIF(商品库存!B:B,B184,商品库存!I:I),0)</f>
        <v>0</v>
      </c>
      <c r="J184" s="156">
        <f>IFERROR(SUMIF(商品库存!B:B,B184,商品库存!J:J),0)</f>
        <v>0</v>
      </c>
      <c r="K184" s="156" t="n"/>
    </row>
    <row r="185" ht="15" customHeight="1" s="71">
      <c r="A185" s="14">
        <f>IF(B185="","",COUNTA($B$5:B185))</f>
      </c>
      <c r="B185" s="14" t="n"/>
      <c r="C185" s="156" t="n"/>
      <c r="D185" s="156">
        <f>IF(B185&lt;&gt;"",SUMIF(出库明细!C:C,B185,出库明细!G:G),"")</f>
      </c>
      <c r="E185" s="156">
        <f>IF(AND(C185&lt;&gt;"",D185&lt;&gt;""),C185-D185,"")</f>
      </c>
      <c r="F185" s="156">
        <f>IF(B185&lt;&gt;"",SUMIFS(资金台帐!$S:$S,资金台帐!$J:$J,B185,资金台帐!$P:$P,"应收"),"")</f>
      </c>
      <c r="G185" s="156">
        <f>IF(B185="","",N(K185)+N(D185)-N(F185))</f>
      </c>
      <c r="H185" s="14">
        <f>IF(B185="","",IF(G185=0,"已结清",IF(G185&gt;0,"有欠款","预存款")))</f>
      </c>
      <c r="I185" s="157">
        <f>IFERROR(SUMIF(商品库存!B:B,B185,商品库存!I:I),0)</f>
        <v>0</v>
      </c>
      <c r="J185" s="156">
        <f>IFERROR(SUMIF(商品库存!B:B,B185,商品库存!J:J),0)</f>
        <v>0</v>
      </c>
      <c r="K185" s="156" t="n"/>
    </row>
    <row r="186" ht="15" customHeight="1" s="71">
      <c r="A186" s="14">
        <f>IF(B186="","",COUNTA($B$5:B186))</f>
      </c>
      <c r="B186" s="14" t="n"/>
      <c r="C186" s="156" t="n"/>
      <c r="D186" s="156">
        <f>IF(B186&lt;&gt;"",SUMIF(出库明细!C:C,B186,出库明细!G:G),"")</f>
      </c>
      <c r="E186" s="156">
        <f>IF(AND(C186&lt;&gt;"",D186&lt;&gt;""),C186-D186,"")</f>
      </c>
      <c r="F186" s="156">
        <f>IF(B186&lt;&gt;"",SUMIFS(资金台帐!$S:$S,资金台帐!$J:$J,B186,资金台帐!$P:$P,"应收"),"")</f>
      </c>
      <c r="G186" s="156">
        <f>IF(B186="","",N(K186)+N(D186)-N(F186))</f>
      </c>
      <c r="H186" s="14">
        <f>IF(B186="","",IF(G186=0,"已结清",IF(G186&gt;0,"有欠款","预存款")))</f>
      </c>
      <c r="I186" s="157">
        <f>IFERROR(SUMIF(商品库存!B:B,B186,商品库存!I:I),0)</f>
        <v>0</v>
      </c>
      <c r="J186" s="156">
        <f>IFERROR(SUMIF(商品库存!B:B,B186,商品库存!J:J),0)</f>
        <v>0</v>
      </c>
      <c r="K186" s="156" t="n"/>
    </row>
    <row r="187" ht="15" customHeight="1" s="71">
      <c r="A187" s="14">
        <f>IF(B187="","",COUNTA($B$5:B187))</f>
      </c>
      <c r="B187" s="14" t="n"/>
      <c r="C187" s="156" t="n"/>
      <c r="D187" s="156">
        <f>IF(B187&lt;&gt;"",SUMIF(出库明细!C:C,B187,出库明细!G:G),"")</f>
      </c>
      <c r="E187" s="156">
        <f>IF(AND(C187&lt;&gt;"",D187&lt;&gt;""),C187-D187,"")</f>
      </c>
      <c r="F187" s="156">
        <f>IF(B187&lt;&gt;"",SUMIFS(资金台帐!$S:$S,资金台帐!$J:$J,B187,资金台帐!$P:$P,"应收"),"")</f>
      </c>
      <c r="G187" s="156">
        <f>IF(B187="","",N(K187)+N(D187)-N(F187))</f>
      </c>
      <c r="H187" s="14">
        <f>IF(B187="","",IF(G187=0,"已结清",IF(G187&gt;0,"有欠款","预存款")))</f>
      </c>
      <c r="I187" s="157">
        <f>IFERROR(SUMIF(商品库存!B:B,B187,商品库存!I:I),0)</f>
        <v>0</v>
      </c>
      <c r="J187" s="156">
        <f>IFERROR(SUMIF(商品库存!B:B,B187,商品库存!J:J),0)</f>
        <v>0</v>
      </c>
      <c r="K187" s="156" t="n"/>
    </row>
    <row r="188" ht="15" customHeight="1" s="71">
      <c r="A188" s="14">
        <f>IF(B188="","",COUNTA($B$5:B188))</f>
      </c>
      <c r="B188" s="14" t="n"/>
      <c r="C188" s="156" t="n"/>
      <c r="D188" s="156">
        <f>IF(B188&lt;&gt;"",SUMIF(出库明细!C:C,B188,出库明细!G:G),"")</f>
      </c>
      <c r="E188" s="156">
        <f>IF(AND(C188&lt;&gt;"",D188&lt;&gt;""),C188-D188,"")</f>
      </c>
      <c r="F188" s="156">
        <f>IF(B188&lt;&gt;"",SUMIFS(资金台帐!$S:$S,资金台帐!$J:$J,B188,资金台帐!$P:$P,"应收"),"")</f>
      </c>
      <c r="G188" s="156">
        <f>IF(B188="","",N(K188)+N(D188)-N(F188))</f>
      </c>
      <c r="H188" s="14">
        <f>IF(B188="","",IF(G188=0,"已结清",IF(G188&gt;0,"有欠款","预存款")))</f>
      </c>
      <c r="I188" s="157">
        <f>IFERROR(SUMIF(商品库存!B:B,B188,商品库存!I:I),0)</f>
        <v>0</v>
      </c>
      <c r="J188" s="156">
        <f>IFERROR(SUMIF(商品库存!B:B,B188,商品库存!J:J),0)</f>
        <v>0</v>
      </c>
      <c r="K188" s="156" t="n"/>
    </row>
    <row r="189" ht="15" customHeight="1" s="71">
      <c r="A189" s="14">
        <f>IF(B189="","",COUNTA($B$5:B189))</f>
      </c>
      <c r="B189" s="14" t="n"/>
      <c r="C189" s="156" t="n"/>
      <c r="D189" s="156">
        <f>IF(B189&lt;&gt;"",SUMIF(出库明细!C:C,B189,出库明细!G:G),"")</f>
      </c>
      <c r="E189" s="156">
        <f>IF(AND(C189&lt;&gt;"",D189&lt;&gt;""),C189-D189,"")</f>
      </c>
      <c r="F189" s="156">
        <f>IF(B189&lt;&gt;"",SUMIFS(资金台帐!$S:$S,资金台帐!$J:$J,B189,资金台帐!$P:$P,"应收"),"")</f>
      </c>
      <c r="G189" s="156">
        <f>IF(B189="","",N(K189)+N(D189)-N(F189))</f>
      </c>
      <c r="H189" s="14">
        <f>IF(B189="","",IF(G189=0,"已结清",IF(G189&gt;0,"有欠款","预存款")))</f>
      </c>
      <c r="I189" s="157">
        <f>IFERROR(SUMIF(商品库存!B:B,B189,商品库存!I:I),0)</f>
        <v>0</v>
      </c>
      <c r="J189" s="156">
        <f>IFERROR(SUMIF(商品库存!B:B,B189,商品库存!J:J),0)</f>
        <v>0</v>
      </c>
      <c r="K189" s="156" t="n"/>
    </row>
    <row r="190" ht="15" customHeight="1" s="71">
      <c r="A190" s="14">
        <f>IF(B190="","",COUNTA($B$5:B190))</f>
      </c>
      <c r="B190" s="14" t="n"/>
      <c r="C190" s="156" t="n"/>
      <c r="D190" s="156">
        <f>IF(B190&lt;&gt;"",SUMIF(出库明细!C:C,B190,出库明细!G:G),"")</f>
      </c>
      <c r="E190" s="156">
        <f>IF(AND(C190&lt;&gt;"",D190&lt;&gt;""),C190-D190,"")</f>
      </c>
      <c r="F190" s="156">
        <f>IF(B190&lt;&gt;"",SUMIFS(资金台帐!$S:$S,资金台帐!$J:$J,B190,资金台帐!$P:$P,"应收"),"")</f>
      </c>
      <c r="G190" s="156">
        <f>IF(B190="","",N(K190)+N(D190)-N(F190))</f>
      </c>
      <c r="H190" s="14">
        <f>IF(B190="","",IF(G190=0,"已结清",IF(G190&gt;0,"有欠款","预存款")))</f>
      </c>
      <c r="I190" s="157">
        <f>IFERROR(SUMIF(商品库存!B:B,B190,商品库存!I:I),0)</f>
        <v>0</v>
      </c>
      <c r="J190" s="156">
        <f>IFERROR(SUMIF(商品库存!B:B,B190,商品库存!J:J),0)</f>
        <v>0</v>
      </c>
      <c r="K190" s="156" t="n"/>
    </row>
    <row r="191" ht="15" customHeight="1" s="71">
      <c r="A191" s="14">
        <f>IF(B191="","",COUNTA($B$5:B191))</f>
      </c>
      <c r="B191" s="14" t="n"/>
      <c r="C191" s="156" t="n"/>
      <c r="D191" s="156">
        <f>IF(B191&lt;&gt;"",SUMIF(出库明细!C:C,B191,出库明细!G:G),"")</f>
      </c>
      <c r="E191" s="156">
        <f>IF(AND(C191&lt;&gt;"",D191&lt;&gt;""),C191-D191,"")</f>
      </c>
      <c r="F191" s="156">
        <f>IF(B191&lt;&gt;"",SUMIFS(资金台帐!$S:$S,资金台帐!$J:$J,B191,资金台帐!$P:$P,"应收"),"")</f>
      </c>
      <c r="G191" s="156">
        <f>IF(B191="","",N(K191)+N(D191)-N(F191))</f>
      </c>
      <c r="H191" s="14">
        <f>IF(B191="","",IF(G191=0,"已结清",IF(G191&gt;0,"有欠款","预存款")))</f>
      </c>
      <c r="I191" s="157">
        <f>IFERROR(SUMIF(商品库存!B:B,B191,商品库存!I:I),0)</f>
        <v>0</v>
      </c>
      <c r="J191" s="156">
        <f>IFERROR(SUMIF(商品库存!B:B,B191,商品库存!J:J),0)</f>
        <v>0</v>
      </c>
      <c r="K191" s="156" t="n"/>
    </row>
    <row r="192" ht="15" customHeight="1" s="71">
      <c r="A192" s="14">
        <f>IF(B192="","",COUNTA($B$5:B192))</f>
      </c>
      <c r="B192" s="14" t="n"/>
      <c r="C192" s="156" t="n"/>
      <c r="D192" s="156">
        <f>IF(B192&lt;&gt;"",SUMIF(出库明细!C:C,B192,出库明细!G:G),"")</f>
      </c>
      <c r="E192" s="156">
        <f>IF(AND(C192&lt;&gt;"",D192&lt;&gt;""),C192-D192,"")</f>
      </c>
      <c r="F192" s="156">
        <f>IF(B192&lt;&gt;"",SUMIFS(资金台帐!$S:$S,资金台帐!$J:$J,B192,资金台帐!$P:$P,"应收"),"")</f>
      </c>
      <c r="G192" s="156">
        <f>IF(B192="","",N(K192)+N(D192)-N(F192))</f>
      </c>
      <c r="H192" s="14">
        <f>IF(B192="","",IF(G192=0,"已结清",IF(G192&gt;0,"有欠款","预存款")))</f>
      </c>
      <c r="I192" s="157">
        <f>IFERROR(SUMIF(商品库存!B:B,B192,商品库存!I:I),0)</f>
        <v>0</v>
      </c>
      <c r="J192" s="156">
        <f>IFERROR(SUMIF(商品库存!B:B,B192,商品库存!J:J),0)</f>
        <v>0</v>
      </c>
      <c r="K192" s="156" t="n"/>
    </row>
    <row r="193" ht="15" customHeight="1" s="71">
      <c r="A193" s="14">
        <f>IF(B193="","",COUNTA($B$5:B193))</f>
      </c>
      <c r="B193" s="14" t="n"/>
      <c r="C193" s="156" t="n"/>
      <c r="D193" s="156">
        <f>IF(B193&lt;&gt;"",SUMIF(出库明细!C:C,B193,出库明细!G:G),"")</f>
      </c>
      <c r="E193" s="156">
        <f>IF(AND(C193&lt;&gt;"",D193&lt;&gt;""),C193-D193,"")</f>
      </c>
      <c r="F193" s="156">
        <f>IF(B193&lt;&gt;"",SUMIFS(资金台帐!$S:$S,资金台帐!$J:$J,B193,资金台帐!$P:$P,"应收"),"")</f>
      </c>
      <c r="G193" s="156">
        <f>IF(B193="","",N(K193)+N(D193)-N(F193))</f>
      </c>
      <c r="H193" s="14">
        <f>IF(B193="","",IF(G193=0,"已结清",IF(G193&gt;0,"有欠款","预存款")))</f>
      </c>
      <c r="I193" s="157">
        <f>IFERROR(SUMIF(商品库存!B:B,B193,商品库存!I:I),0)</f>
        <v>0</v>
      </c>
      <c r="J193" s="156">
        <f>IFERROR(SUMIF(商品库存!B:B,B193,商品库存!J:J),0)</f>
        <v>0</v>
      </c>
      <c r="K193" s="156" t="n"/>
    </row>
    <row r="194" ht="15" customHeight="1" s="71">
      <c r="A194" s="14">
        <f>IF(B194="","",COUNTA($B$5:B194))</f>
      </c>
      <c r="B194" s="14" t="n"/>
      <c r="C194" s="156" t="n"/>
      <c r="D194" s="156">
        <f>IF(B194&lt;&gt;"",SUMIF(出库明细!C:C,B194,出库明细!G:G),"")</f>
      </c>
      <c r="E194" s="156">
        <f>IF(AND(C194&lt;&gt;"",D194&lt;&gt;""),C194-D194,"")</f>
      </c>
      <c r="F194" s="156">
        <f>IF(B194&lt;&gt;"",SUMIFS(资金台帐!$S:$S,资金台帐!$J:$J,B194,资金台帐!$P:$P,"应收"),"")</f>
      </c>
      <c r="G194" s="156">
        <f>IF(B194="","",N(K194)+N(D194)-N(F194))</f>
      </c>
      <c r="H194" s="14">
        <f>IF(B194="","",IF(G194=0,"已结清",IF(G194&gt;0,"有欠款","预存款")))</f>
      </c>
      <c r="I194" s="157">
        <f>IFERROR(SUMIF(商品库存!B:B,B194,商品库存!I:I),0)</f>
        <v>0</v>
      </c>
      <c r="J194" s="156">
        <f>IFERROR(SUMIF(商品库存!B:B,B194,商品库存!J:J),0)</f>
        <v>0</v>
      </c>
      <c r="K194" s="156" t="n"/>
    </row>
    <row r="195" ht="15" customHeight="1" s="71">
      <c r="A195" s="14">
        <f>IF(B195="","",COUNTA($B$5:B195))</f>
      </c>
      <c r="B195" s="14" t="n"/>
      <c r="C195" s="156" t="n"/>
      <c r="D195" s="156">
        <f>IF(B195&lt;&gt;"",SUMIF(出库明细!C:C,B195,出库明细!G:G),"")</f>
      </c>
      <c r="E195" s="156">
        <f>IF(AND(C195&lt;&gt;"",D195&lt;&gt;""),C195-D195,"")</f>
      </c>
      <c r="F195" s="156">
        <f>IF(B195&lt;&gt;"",SUMIFS(资金台帐!$S:$S,资金台帐!$J:$J,B195,资金台帐!$P:$P,"应收"),"")</f>
      </c>
      <c r="G195" s="156">
        <f>IF(B195="","",N(K195)+N(D195)-N(F195))</f>
      </c>
      <c r="H195" s="14">
        <f>IF(B195="","",IF(G195=0,"已结清",IF(G195&gt;0,"有欠款","预存款")))</f>
      </c>
      <c r="I195" s="157">
        <f>IFERROR(SUMIF(商品库存!B:B,B195,商品库存!I:I),0)</f>
        <v>0</v>
      </c>
      <c r="J195" s="156">
        <f>IFERROR(SUMIF(商品库存!B:B,B195,商品库存!J:J),0)</f>
        <v>0</v>
      </c>
      <c r="K195" s="156" t="n"/>
    </row>
    <row r="196" ht="15" customHeight="1" s="71">
      <c r="A196" s="14">
        <f>IF(B196="","",COUNTA($B$5:B196))</f>
      </c>
      <c r="B196" s="14" t="n"/>
      <c r="C196" s="156" t="n"/>
      <c r="D196" s="156">
        <f>IF(B196&lt;&gt;"",SUMIF(出库明细!C:C,B196,出库明细!G:G),"")</f>
      </c>
      <c r="E196" s="156">
        <f>IF(AND(C196&lt;&gt;"",D196&lt;&gt;""),C196-D196,"")</f>
      </c>
      <c r="F196" s="156">
        <f>IF(B196&lt;&gt;"",SUMIFS(资金台帐!$S:$S,资金台帐!$J:$J,B196,资金台帐!$P:$P,"应收"),"")</f>
      </c>
      <c r="G196" s="156">
        <f>IF(B196="","",N(K196)+N(D196)-N(F196))</f>
      </c>
      <c r="H196" s="14">
        <f>IF(B196="","",IF(G196=0,"已结清",IF(G196&gt;0,"有欠款","预存款")))</f>
      </c>
      <c r="I196" s="157">
        <f>IFERROR(SUMIF(商品库存!B:B,B196,商品库存!I:I),0)</f>
        <v>0</v>
      </c>
      <c r="J196" s="156">
        <f>IFERROR(SUMIF(商品库存!B:B,B196,商品库存!J:J),0)</f>
        <v>0</v>
      </c>
      <c r="K196" s="156" t="n"/>
    </row>
    <row r="197" ht="15" customHeight="1" s="71">
      <c r="A197" s="14">
        <f>IF(B197="","",COUNTA($B$5:B197))</f>
      </c>
      <c r="B197" s="14" t="n"/>
      <c r="C197" s="156" t="n"/>
      <c r="D197" s="156">
        <f>IF(B197&lt;&gt;"",SUMIF(出库明细!C:C,B197,出库明细!G:G),"")</f>
      </c>
      <c r="E197" s="156">
        <f>IF(AND(C197&lt;&gt;"",D197&lt;&gt;""),C197-D197,"")</f>
      </c>
      <c r="F197" s="156">
        <f>IF(B197&lt;&gt;"",SUMIFS(资金台帐!$S:$S,资金台帐!$J:$J,B197,资金台帐!$P:$P,"应收"),"")</f>
      </c>
      <c r="G197" s="156">
        <f>IF(B197="","",N(K197)+N(D197)-N(F197))</f>
      </c>
      <c r="H197" s="14">
        <f>IF(B197="","",IF(G197=0,"已结清",IF(G197&gt;0,"有欠款","预存款")))</f>
      </c>
      <c r="I197" s="157">
        <f>IFERROR(SUMIF(商品库存!B:B,B197,商品库存!I:I),0)</f>
        <v>0</v>
      </c>
      <c r="J197" s="156">
        <f>IFERROR(SUMIF(商品库存!B:B,B197,商品库存!J:J),0)</f>
        <v>0</v>
      </c>
      <c r="K197" s="156" t="n"/>
    </row>
    <row r="198" ht="15" customHeight="1" s="71">
      <c r="A198" s="14">
        <f>IF(B198="","",COUNTA($B$5:B198))</f>
      </c>
      <c r="B198" s="14" t="n"/>
      <c r="C198" s="156" t="n"/>
      <c r="D198" s="156">
        <f>IF(B198&lt;&gt;"",SUMIF(出库明细!C:C,B198,出库明细!G:G),"")</f>
      </c>
      <c r="E198" s="156">
        <f>IF(AND(C198&lt;&gt;"",D198&lt;&gt;""),C198-D198,"")</f>
      </c>
      <c r="F198" s="156">
        <f>IF(B198&lt;&gt;"",SUMIFS(资金台帐!$S:$S,资金台帐!$J:$J,B198,资金台帐!$P:$P,"应收"),"")</f>
      </c>
      <c r="G198" s="156">
        <f>IF(B198="","",N(K198)+N(D198)-N(F198))</f>
      </c>
      <c r="H198" s="14">
        <f>IF(B198="","",IF(G198=0,"已结清",IF(G198&gt;0,"有欠款","预存款")))</f>
      </c>
      <c r="I198" s="157">
        <f>IFERROR(SUMIF(商品库存!B:B,B198,商品库存!I:I),0)</f>
        <v>0</v>
      </c>
      <c r="J198" s="156">
        <f>IFERROR(SUMIF(商品库存!B:B,B198,商品库存!J:J),0)</f>
        <v>0</v>
      </c>
      <c r="K198" s="156" t="n"/>
    </row>
    <row r="199" ht="15" customHeight="1" s="71">
      <c r="A199" s="14">
        <f>IF(B199="","",COUNTA($B$5:B199))</f>
      </c>
      <c r="B199" s="14" t="n"/>
      <c r="C199" s="156" t="n"/>
      <c r="D199" s="156">
        <f>IF(B199&lt;&gt;"",SUMIF(出库明细!C:C,B199,出库明细!G:G),"")</f>
      </c>
      <c r="E199" s="156">
        <f>IF(AND(C199&lt;&gt;"",D199&lt;&gt;""),C199-D199,"")</f>
      </c>
      <c r="F199" s="156">
        <f>IF(B199&lt;&gt;"",SUMIFS(资金台帐!$S:$S,资金台帐!$J:$J,B199,资金台帐!$P:$P,"应收"),"")</f>
      </c>
      <c r="G199" s="156">
        <f>IF(B199="","",N(K199)+N(D199)-N(F199))</f>
      </c>
      <c r="H199" s="14">
        <f>IF(B199="","",IF(G199=0,"已结清",IF(G199&gt;0,"有欠款","预存款")))</f>
      </c>
      <c r="I199" s="157">
        <f>IFERROR(SUMIF(商品库存!B:B,B199,商品库存!I:I),0)</f>
        <v>0</v>
      </c>
      <c r="J199" s="156">
        <f>IFERROR(SUMIF(商品库存!B:B,B199,商品库存!J:J),0)</f>
        <v>0</v>
      </c>
      <c r="K199" s="156" t="n"/>
    </row>
    <row r="200" ht="15" customHeight="1" s="71">
      <c r="A200" s="14">
        <f>IF(B200="","",COUNTA($B$5:B200))</f>
      </c>
      <c r="B200" s="14" t="n"/>
      <c r="C200" s="156" t="n"/>
      <c r="D200" s="156">
        <f>IF(B200&lt;&gt;"",SUMIF(出库明细!C:C,B200,出库明细!G:G),"")</f>
      </c>
      <c r="E200" s="156">
        <f>IF(AND(C200&lt;&gt;"",D200&lt;&gt;""),C200-D200,"")</f>
      </c>
      <c r="F200" s="156">
        <f>IF(B200&lt;&gt;"",SUMIFS(资金台帐!$S:$S,资金台帐!$J:$J,B200,资金台帐!$P:$P,"应收"),"")</f>
      </c>
      <c r="G200" s="156">
        <f>IF(B200="","",N(K200)+N(D200)-N(F200))</f>
      </c>
      <c r="H200" s="14">
        <f>IF(B200="","",IF(G200=0,"已结清",IF(G200&gt;0,"有欠款","预存款")))</f>
      </c>
      <c r="I200" s="157">
        <f>IFERROR(SUMIF(商品库存!B:B,B200,商品库存!I:I),0)</f>
        <v>0</v>
      </c>
      <c r="J200" s="156">
        <f>IFERROR(SUMIF(商品库存!B:B,B200,商品库存!J:J),0)</f>
        <v>0</v>
      </c>
      <c r="K200" s="156" t="n"/>
    </row>
    <row r="201" ht="15" customHeight="1" s="71">
      <c r="A201" s="14">
        <f>IF(B201="","",COUNTA($B$5:B201))</f>
      </c>
      <c r="B201" s="14" t="n"/>
      <c r="C201" s="156" t="n"/>
      <c r="D201" s="156">
        <f>IF(B201&lt;&gt;"",SUMIF(出库明细!C:C,B201,出库明细!G:G),"")</f>
      </c>
      <c r="E201" s="156">
        <f>IF(AND(C201&lt;&gt;"",D201&lt;&gt;""),C201-D201,"")</f>
      </c>
      <c r="F201" s="156">
        <f>IF(B201&lt;&gt;"",SUMIFS(资金台帐!$S:$S,资金台帐!$J:$J,B201,资金台帐!$P:$P,"应收"),"")</f>
      </c>
      <c r="G201" s="156">
        <f>IF(B201="","",N(K201)+N(D201)-N(F201))</f>
      </c>
      <c r="H201" s="14">
        <f>IF(B201="","",IF(G201=0,"已结清",IF(G201&gt;0,"有欠款","预存款")))</f>
      </c>
      <c r="I201" s="157">
        <f>IFERROR(SUMIF(商品库存!B:B,B201,商品库存!I:I),0)</f>
        <v>0</v>
      </c>
      <c r="J201" s="156">
        <f>IFERROR(SUMIF(商品库存!B:B,B201,商品库存!J:J),0)</f>
        <v>0</v>
      </c>
      <c r="K201" s="156" t="n"/>
    </row>
    <row r="202" ht="15" customHeight="1" s="71">
      <c r="A202" s="14">
        <f>IF(B202="","",COUNTA($B$5:B202))</f>
      </c>
      <c r="B202" s="14" t="n"/>
      <c r="C202" s="156" t="n"/>
      <c r="D202" s="156">
        <f>IF(B202&lt;&gt;"",SUMIF(出库明细!C:C,B202,出库明细!G:G),"")</f>
      </c>
      <c r="E202" s="156">
        <f>IF(AND(C202&lt;&gt;"",D202&lt;&gt;""),C202-D202,"")</f>
      </c>
      <c r="F202" s="156">
        <f>IF(B202&lt;&gt;"",SUMIFS(资金台帐!$S:$S,资金台帐!$J:$J,B202,资金台帐!$P:$P,"应收"),"")</f>
      </c>
      <c r="G202" s="156">
        <f>IF(B202="","",N(K202)+N(D202)-N(F202))</f>
      </c>
      <c r="H202" s="14">
        <f>IF(B202="","",IF(G202=0,"已结清",IF(G202&gt;0,"有欠款","预存款")))</f>
      </c>
      <c r="I202" s="157">
        <f>IFERROR(SUMIF(商品库存!B:B,B202,商品库存!I:I),0)</f>
        <v>0</v>
      </c>
      <c r="J202" s="156">
        <f>IFERROR(SUMIF(商品库存!B:B,B202,商品库存!J:J),0)</f>
        <v>0</v>
      </c>
      <c r="K202" s="156" t="n"/>
    </row>
    <row r="203" ht="15" customHeight="1" s="71">
      <c r="A203" s="14">
        <f>IF(B203="","",COUNTA($B$5:B203))</f>
      </c>
      <c r="B203" s="14" t="n"/>
      <c r="C203" s="156" t="n"/>
      <c r="D203" s="156">
        <f>IF(B203&lt;&gt;"",SUMIF(出库明细!C:C,B203,出库明细!G:G),"")</f>
      </c>
      <c r="E203" s="156">
        <f>IF(AND(C203&lt;&gt;"",D203&lt;&gt;""),C203-D203,"")</f>
      </c>
      <c r="F203" s="156">
        <f>IF(B203&lt;&gt;"",SUMIFS(资金台帐!$S:$S,资金台帐!$J:$J,B203,资金台帐!$P:$P,"应收"),"")</f>
      </c>
      <c r="G203" s="156">
        <f>IF(B203="","",N(K203)+N(D203)-N(F203))</f>
      </c>
      <c r="H203" s="14">
        <f>IF(B203="","",IF(G203=0,"已结清",IF(G203&gt;0,"有欠款","预存款")))</f>
      </c>
      <c r="I203" s="157">
        <f>IFERROR(SUMIF(商品库存!B:B,B203,商品库存!I:I),0)</f>
        <v>0</v>
      </c>
      <c r="J203" s="156">
        <f>IFERROR(SUMIF(商品库存!B:B,B203,商品库存!J:J),0)</f>
        <v>0</v>
      </c>
      <c r="K203" s="156" t="n"/>
    </row>
    <row r="204" ht="15" customHeight="1" s="71">
      <c r="A204" s="14">
        <f>IF(B204="","",COUNTA($B$5:B204))</f>
      </c>
      <c r="B204" s="14" t="n"/>
      <c r="C204" s="156" t="n"/>
      <c r="D204" s="156">
        <f>IF(B204&lt;&gt;"",SUMIF(出库明细!C:C,B204,出库明细!G:G),"")</f>
      </c>
      <c r="E204" s="156">
        <f>IF(AND(C204&lt;&gt;"",D204&lt;&gt;""),C204-D204,"")</f>
      </c>
      <c r="F204" s="156">
        <f>IF(B204&lt;&gt;"",SUMIFS(资金台帐!$S:$S,资金台帐!$J:$J,B204,资金台帐!$P:$P,"应收"),"")</f>
      </c>
      <c r="G204" s="156">
        <f>IF(B204="","",N(K204)+N(D204)-N(F204))</f>
      </c>
      <c r="H204" s="14">
        <f>IF(B204="","",IF(G204=0,"已结清",IF(G204&gt;0,"有欠款","预存款")))</f>
      </c>
      <c r="I204" s="157">
        <f>IFERROR(SUMIF(商品库存!B:B,B204,商品库存!I:I),0)</f>
        <v>0</v>
      </c>
      <c r="J204" s="156">
        <f>IFERROR(SUMIF(商品库存!B:B,B204,商品库存!J:J),0)</f>
        <v>0</v>
      </c>
      <c r="K204" s="156" t="n"/>
    </row>
    <row r="205" ht="15" customHeight="1" s="71">
      <c r="A205" s="14">
        <f>IF(B205="","",COUNTA($B$5:B205))</f>
      </c>
      <c r="B205" s="14" t="n"/>
      <c r="C205" s="156" t="n"/>
      <c r="D205" s="156">
        <f>IF(B205&lt;&gt;"",SUMIF(出库明细!C:C,B205,出库明细!G:G),"")</f>
      </c>
      <c r="E205" s="156">
        <f>IF(AND(C205&lt;&gt;"",D205&lt;&gt;""),C205-D205,"")</f>
      </c>
      <c r="F205" s="156">
        <f>IF(B205&lt;&gt;"",SUMIFS(资金台帐!$S:$S,资金台帐!$J:$J,B205,资金台帐!$P:$P,"应收"),"")</f>
      </c>
      <c r="G205" s="156">
        <f>IF(B205="","",N(K205)+N(D205)-N(F205))</f>
      </c>
      <c r="H205" s="14">
        <f>IF(B205="","",IF(G205=0,"已结清",IF(G205&gt;0,"有欠款","预存款")))</f>
      </c>
      <c r="I205" s="157">
        <f>IFERROR(SUMIF(商品库存!B:B,B205,商品库存!I:I),0)</f>
        <v>0</v>
      </c>
      <c r="J205" s="156">
        <f>IFERROR(SUMIF(商品库存!B:B,B205,商品库存!J:J),0)</f>
        <v>0</v>
      </c>
      <c r="K205" s="156" t="n"/>
    </row>
    <row r="206" ht="15" customHeight="1" s="71">
      <c r="A206" s="14">
        <f>IF(B206="","",COUNTA($B$5:B206))</f>
      </c>
      <c r="B206" s="14" t="n"/>
      <c r="C206" s="156" t="n"/>
      <c r="D206" s="156">
        <f>IF(B206&lt;&gt;"",SUMIF(出库明细!C:C,B206,出库明细!G:G),"")</f>
      </c>
      <c r="E206" s="156">
        <f>IF(AND(C206&lt;&gt;"",D206&lt;&gt;""),C206-D206,"")</f>
      </c>
      <c r="F206" s="156">
        <f>IF(B206&lt;&gt;"",SUMIFS(资金台帐!$S:$S,资金台帐!$J:$J,B206,资金台帐!$P:$P,"应收"),"")</f>
      </c>
      <c r="G206" s="156">
        <f>IF(B206="","",N(K206)+N(D206)-N(F206))</f>
      </c>
      <c r="H206" s="14">
        <f>IF(B206="","",IF(G206=0,"已结清",IF(G206&gt;0,"有欠款","预存款")))</f>
      </c>
      <c r="I206" s="157">
        <f>IFERROR(SUMIF(商品库存!B:B,B206,商品库存!I:I),0)</f>
        <v>0</v>
      </c>
      <c r="J206" s="156">
        <f>IFERROR(SUMIF(商品库存!B:B,B206,商品库存!J:J),0)</f>
        <v>0</v>
      </c>
      <c r="K206" s="156" t="n"/>
    </row>
    <row r="207" ht="15" customHeight="1" s="71">
      <c r="A207" s="14">
        <f>IF(B207="","",COUNTA($B$5:B207))</f>
      </c>
      <c r="B207" s="14" t="n"/>
      <c r="C207" s="156" t="n"/>
      <c r="D207" s="156">
        <f>IF(B207&lt;&gt;"",SUMIF(出库明细!C:C,B207,出库明细!G:G),"")</f>
      </c>
      <c r="E207" s="156">
        <f>IF(AND(C207&lt;&gt;"",D207&lt;&gt;""),C207-D207,"")</f>
      </c>
      <c r="F207" s="156">
        <f>IF(B207&lt;&gt;"",SUMIFS(资金台帐!$S:$S,资金台帐!$J:$J,B207,资金台帐!$P:$P,"应收"),"")</f>
      </c>
      <c r="G207" s="156">
        <f>IF(B207="","",N(K207)+N(D207)-N(F207))</f>
      </c>
      <c r="H207" s="14">
        <f>IF(B207="","",IF(G207=0,"已结清",IF(G207&gt;0,"有欠款","预存款")))</f>
      </c>
      <c r="I207" s="157">
        <f>IFERROR(SUMIF(商品库存!B:B,B207,商品库存!I:I),0)</f>
        <v>0</v>
      </c>
      <c r="J207" s="156">
        <f>IFERROR(SUMIF(商品库存!B:B,B207,商品库存!J:J),0)</f>
        <v>0</v>
      </c>
      <c r="K207" s="156" t="n"/>
    </row>
    <row r="208" ht="15" customHeight="1" s="71">
      <c r="A208" s="14">
        <f>IF(B208="","",COUNTA($B$5:B208))</f>
      </c>
      <c r="B208" s="14" t="n"/>
      <c r="C208" s="156" t="n"/>
      <c r="D208" s="156">
        <f>IF(B208&lt;&gt;"",SUMIF(出库明细!C:C,B208,出库明细!G:G),"")</f>
      </c>
      <c r="E208" s="156">
        <f>IF(AND(C208&lt;&gt;"",D208&lt;&gt;""),C208-D208,"")</f>
      </c>
      <c r="F208" s="156">
        <f>IF(B208&lt;&gt;"",SUMIFS(资金台帐!$S:$S,资金台帐!$J:$J,B208,资金台帐!$P:$P,"应收"),"")</f>
      </c>
      <c r="G208" s="156">
        <f>IF(B208="","",N(K208)+N(D208)-N(F208))</f>
      </c>
      <c r="H208" s="14">
        <f>IF(B208="","",IF(G208=0,"已结清",IF(G208&gt;0,"有欠款","预存款")))</f>
      </c>
      <c r="I208" s="157">
        <f>IFERROR(SUMIF(商品库存!B:B,B208,商品库存!I:I),0)</f>
        <v>0</v>
      </c>
      <c r="J208" s="156">
        <f>IFERROR(SUMIF(商品库存!B:B,B208,商品库存!J:J),0)</f>
        <v>0</v>
      </c>
      <c r="K208" s="156" t="n"/>
    </row>
    <row r="209" ht="15" customHeight="1" s="71">
      <c r="A209" s="14">
        <f>IF(B209="","",COUNTA($B$5:B209))</f>
      </c>
      <c r="B209" s="14" t="n"/>
      <c r="C209" s="156" t="n"/>
      <c r="D209" s="156">
        <f>IF(B209&lt;&gt;"",SUMIF(出库明细!C:C,B209,出库明细!G:G),"")</f>
      </c>
      <c r="E209" s="156">
        <f>IF(AND(C209&lt;&gt;"",D209&lt;&gt;""),C209-D209,"")</f>
      </c>
      <c r="F209" s="156">
        <f>IF(B209&lt;&gt;"",SUMIFS(资金台帐!$S:$S,资金台帐!$J:$J,B209,资金台帐!$P:$P,"应收"),"")</f>
      </c>
      <c r="G209" s="156">
        <f>IF(B209="","",N(K209)+N(D209)-N(F209))</f>
      </c>
      <c r="H209" s="14">
        <f>IF(B209="","",IF(G209=0,"已结清",IF(G209&gt;0,"有欠款","预存款")))</f>
      </c>
      <c r="I209" s="157">
        <f>IFERROR(SUMIF(商品库存!B:B,B209,商品库存!I:I),0)</f>
        <v>0</v>
      </c>
      <c r="J209" s="156">
        <f>IFERROR(SUMIF(商品库存!B:B,B209,商品库存!J:J),0)</f>
        <v>0</v>
      </c>
      <c r="K209" s="156" t="n"/>
    </row>
    <row r="210" ht="15" customHeight="1" s="71">
      <c r="A210" s="14">
        <f>IF(B210="","",COUNTA($B$5:B210))</f>
      </c>
      <c r="B210" s="14" t="n"/>
      <c r="C210" s="156" t="n"/>
      <c r="D210" s="156">
        <f>IF(B210&lt;&gt;"",SUMIF(出库明细!C:C,B210,出库明细!G:G),"")</f>
      </c>
      <c r="E210" s="156">
        <f>IF(AND(C210&lt;&gt;"",D210&lt;&gt;""),C210-D210,"")</f>
      </c>
      <c r="F210" s="156">
        <f>IF(B210&lt;&gt;"",SUMIFS(资金台帐!$S:$S,资金台帐!$J:$J,B210,资金台帐!$P:$P,"应收"),"")</f>
      </c>
      <c r="G210" s="156">
        <f>IF(B210="","",N(K210)+N(D210)-N(F210))</f>
      </c>
      <c r="H210" s="14">
        <f>IF(B210="","",IF(G210=0,"已结清",IF(G210&gt;0,"有欠款","预存款")))</f>
      </c>
      <c r="I210" s="157">
        <f>IFERROR(SUMIF(商品库存!B:B,B210,商品库存!I:I),0)</f>
        <v>0</v>
      </c>
      <c r="J210" s="156">
        <f>IFERROR(SUMIF(商品库存!B:B,B210,商品库存!J:J),0)</f>
        <v>0</v>
      </c>
      <c r="K210" s="156" t="n"/>
    </row>
    <row r="211" ht="15" customHeight="1" s="71">
      <c r="A211" s="14">
        <f>IF(B211="","",COUNTA($B$5:B211))</f>
      </c>
      <c r="B211" s="14" t="n"/>
      <c r="C211" s="156" t="n"/>
      <c r="D211" s="156">
        <f>IF(B211&lt;&gt;"",SUMIF(出库明细!C:C,B211,出库明细!G:G),"")</f>
      </c>
      <c r="E211" s="156">
        <f>IF(AND(C211&lt;&gt;"",D211&lt;&gt;""),C211-D211,"")</f>
      </c>
      <c r="F211" s="156">
        <f>IF(B211&lt;&gt;"",SUMIFS(资金台帐!$S:$S,资金台帐!$J:$J,B211,资金台帐!$P:$P,"应收"),"")</f>
      </c>
      <c r="G211" s="156">
        <f>IF(B211="","",N(K211)+N(D211)-N(F211))</f>
      </c>
      <c r="H211" s="14">
        <f>IF(B211="","",IF(G211=0,"已结清",IF(G211&gt;0,"有欠款","预存款")))</f>
      </c>
      <c r="I211" s="157">
        <f>IFERROR(SUMIF(商品库存!B:B,B211,商品库存!I:I),0)</f>
        <v>0</v>
      </c>
      <c r="J211" s="156">
        <f>IFERROR(SUMIF(商品库存!B:B,B211,商品库存!J:J),0)</f>
        <v>0</v>
      </c>
      <c r="K211" s="156" t="n"/>
    </row>
    <row r="212" ht="15" customHeight="1" s="71">
      <c r="A212" s="14">
        <f>IF(B212="","",COUNTA($B$5:B212))</f>
      </c>
      <c r="B212" s="14" t="n"/>
      <c r="C212" s="156" t="n"/>
      <c r="D212" s="156">
        <f>IF(B212&lt;&gt;"",SUMIF(出库明细!C:C,B212,出库明细!G:G),"")</f>
      </c>
      <c r="E212" s="156">
        <f>IF(AND(C212&lt;&gt;"",D212&lt;&gt;""),C212-D212,"")</f>
      </c>
      <c r="F212" s="156">
        <f>IF(B212&lt;&gt;"",SUMIFS(资金台帐!$S:$S,资金台帐!$J:$J,B212,资金台帐!$P:$P,"应收"),"")</f>
      </c>
      <c r="G212" s="156">
        <f>IF(B212="","",N(K212)+N(D212)-N(F212))</f>
      </c>
      <c r="H212" s="14">
        <f>IF(B212="","",IF(G212=0,"已结清",IF(G212&gt;0,"有欠款","预存款")))</f>
      </c>
      <c r="I212" s="157">
        <f>IFERROR(SUMIF(商品库存!B:B,B212,商品库存!I:I),0)</f>
        <v>0</v>
      </c>
      <c r="J212" s="156">
        <f>IFERROR(SUMIF(商品库存!B:B,B212,商品库存!J:J),0)</f>
        <v>0</v>
      </c>
      <c r="K212" s="156" t="n"/>
    </row>
    <row r="213" ht="15" customHeight="1" s="71">
      <c r="A213" s="14">
        <f>IF(B213="","",COUNTA($B$5:B213))</f>
      </c>
      <c r="B213" s="14" t="n"/>
      <c r="C213" s="156" t="n"/>
      <c r="D213" s="156">
        <f>IF(B213&lt;&gt;"",SUMIF(出库明细!C:C,B213,出库明细!G:G),"")</f>
      </c>
      <c r="E213" s="156">
        <f>IF(AND(C213&lt;&gt;"",D213&lt;&gt;""),C213-D213,"")</f>
      </c>
      <c r="F213" s="156">
        <f>IF(B213&lt;&gt;"",SUMIFS(资金台帐!$S:$S,资金台帐!$J:$J,B213,资金台帐!$P:$P,"应收"),"")</f>
      </c>
      <c r="G213" s="156">
        <f>IF(B213="","",N(K213)+N(D213)-N(F213))</f>
      </c>
      <c r="H213" s="14">
        <f>IF(B213="","",IF(G213=0,"已结清",IF(G213&gt;0,"有欠款","预存款")))</f>
      </c>
      <c r="I213" s="157">
        <f>IFERROR(SUMIF(商品库存!B:B,B213,商品库存!I:I),0)</f>
        <v>0</v>
      </c>
      <c r="J213" s="156">
        <f>IFERROR(SUMIF(商品库存!B:B,B213,商品库存!J:J),0)</f>
        <v>0</v>
      </c>
      <c r="K213" s="156" t="n"/>
    </row>
    <row r="214" ht="15" customHeight="1" s="71">
      <c r="A214" s="14">
        <f>IF(B214="","",COUNTA($B$5:B214))</f>
      </c>
      <c r="B214" s="14" t="n"/>
      <c r="C214" s="156" t="n"/>
      <c r="D214" s="156">
        <f>IF(B214&lt;&gt;"",SUMIF(出库明细!C:C,B214,出库明细!G:G),"")</f>
      </c>
      <c r="E214" s="156">
        <f>IF(AND(C214&lt;&gt;"",D214&lt;&gt;""),C214-D214,"")</f>
      </c>
      <c r="F214" s="156">
        <f>IF(B214&lt;&gt;"",SUMIFS(资金台帐!$S:$S,资金台帐!$J:$J,B214,资金台帐!$P:$P,"应收"),"")</f>
      </c>
      <c r="G214" s="156">
        <f>IF(B214="","",N(K214)+N(D214)-N(F214))</f>
      </c>
      <c r="H214" s="14">
        <f>IF(B214="","",IF(G214=0,"已结清",IF(G214&gt;0,"有欠款","预存款")))</f>
      </c>
      <c r="I214" s="157">
        <f>IFERROR(SUMIF(商品库存!B:B,B214,商品库存!I:I),0)</f>
        <v>0</v>
      </c>
      <c r="J214" s="156">
        <f>IFERROR(SUMIF(商品库存!B:B,B214,商品库存!J:J),0)</f>
        <v>0</v>
      </c>
      <c r="K214" s="156" t="n"/>
    </row>
    <row r="215" ht="15" customHeight="1" s="71">
      <c r="A215" s="14">
        <f>IF(B215="","",COUNTA($B$5:B215))</f>
      </c>
      <c r="B215" s="14" t="n"/>
      <c r="C215" s="156" t="n"/>
      <c r="D215" s="156">
        <f>IF(B215&lt;&gt;"",SUMIF(出库明细!C:C,B215,出库明细!G:G),"")</f>
      </c>
      <c r="E215" s="156">
        <f>IF(AND(C215&lt;&gt;"",D215&lt;&gt;""),C215-D215,"")</f>
      </c>
      <c r="F215" s="156">
        <f>IF(B215&lt;&gt;"",SUMIFS(资金台帐!$S:$S,资金台帐!$J:$J,B215,资金台帐!$P:$P,"应收"),"")</f>
      </c>
      <c r="G215" s="156">
        <f>IF(B215="","",N(K215)+N(D215)-N(F215))</f>
      </c>
      <c r="H215" s="14">
        <f>IF(B215="","",IF(G215=0,"已结清",IF(G215&gt;0,"有欠款","预存款")))</f>
      </c>
      <c r="I215" s="157">
        <f>IFERROR(SUMIF(商品库存!B:B,B215,商品库存!I:I),0)</f>
        <v>0</v>
      </c>
      <c r="J215" s="156">
        <f>IFERROR(SUMIF(商品库存!B:B,B215,商品库存!J:J),0)</f>
        <v>0</v>
      </c>
      <c r="K215" s="156" t="n"/>
    </row>
    <row r="216" ht="15" customHeight="1" s="71">
      <c r="A216" s="14">
        <f>IF(B216="","",COUNTA($B$5:B216))</f>
      </c>
      <c r="B216" s="14" t="n"/>
      <c r="C216" s="156" t="n"/>
      <c r="D216" s="156">
        <f>IF(B216&lt;&gt;"",SUMIF(出库明细!C:C,B216,出库明细!G:G),"")</f>
      </c>
      <c r="E216" s="156">
        <f>IF(AND(C216&lt;&gt;"",D216&lt;&gt;""),C216-D216,"")</f>
      </c>
      <c r="F216" s="156">
        <f>IF(B216&lt;&gt;"",SUMIFS(资金台帐!$S:$S,资金台帐!$J:$J,B216,资金台帐!$P:$P,"应收"),"")</f>
      </c>
      <c r="G216" s="156">
        <f>IF(B216="","",N(K216)+N(D216)-N(F216))</f>
      </c>
      <c r="H216" s="14">
        <f>IF(B216="","",IF(G216=0,"已结清",IF(G216&gt;0,"有欠款","预存款")))</f>
      </c>
      <c r="I216" s="157">
        <f>IFERROR(SUMIF(商品库存!B:B,B216,商品库存!I:I),0)</f>
        <v>0</v>
      </c>
      <c r="J216" s="156">
        <f>IFERROR(SUMIF(商品库存!B:B,B216,商品库存!J:J),0)</f>
        <v>0</v>
      </c>
      <c r="K216" s="156" t="n"/>
    </row>
    <row r="217" ht="15" customHeight="1" s="71">
      <c r="A217" s="14">
        <f>IF(B217="","",COUNTA($B$5:B217))</f>
      </c>
      <c r="B217" s="14" t="n"/>
      <c r="C217" s="156" t="n"/>
      <c r="D217" s="156">
        <f>IF(B217&lt;&gt;"",SUMIF(出库明细!C:C,B217,出库明细!G:G),"")</f>
      </c>
      <c r="E217" s="156">
        <f>IF(AND(C217&lt;&gt;"",D217&lt;&gt;""),C217-D217,"")</f>
      </c>
      <c r="F217" s="156">
        <f>IF(B217&lt;&gt;"",SUMIFS(资金台帐!$S:$S,资金台帐!$J:$J,B217,资金台帐!$P:$P,"应收"),"")</f>
      </c>
      <c r="G217" s="156">
        <f>IF(B217="","",N(K217)+N(D217)-N(F217))</f>
      </c>
      <c r="H217" s="14">
        <f>IF(B217="","",IF(G217=0,"已结清",IF(G217&gt;0,"有欠款","预存款")))</f>
      </c>
      <c r="I217" s="157">
        <f>IFERROR(SUMIF(商品库存!B:B,B217,商品库存!I:I),0)</f>
        <v>0</v>
      </c>
      <c r="J217" s="156">
        <f>IFERROR(SUMIF(商品库存!B:B,B217,商品库存!J:J),0)</f>
        <v>0</v>
      </c>
      <c r="K217" s="156" t="n"/>
    </row>
    <row r="218" ht="15" customHeight="1" s="71">
      <c r="A218" s="14">
        <f>IF(B218="","",COUNTA($B$5:B218))</f>
      </c>
      <c r="B218" s="14" t="n"/>
      <c r="C218" s="156" t="n"/>
      <c r="D218" s="156">
        <f>IF(B218&lt;&gt;"",SUMIF(出库明细!C:C,B218,出库明细!G:G),"")</f>
      </c>
      <c r="E218" s="156">
        <f>IF(AND(C218&lt;&gt;"",D218&lt;&gt;""),C218-D218,"")</f>
      </c>
      <c r="F218" s="156">
        <f>IF(B218&lt;&gt;"",SUMIFS(资金台帐!$S:$S,资金台帐!$J:$J,B218,资金台帐!$P:$P,"应收"),"")</f>
      </c>
      <c r="G218" s="156">
        <f>IF(B218="","",N(K218)+N(D218)-N(F218))</f>
      </c>
      <c r="H218" s="14">
        <f>IF(B218="","",IF(G218=0,"已结清",IF(G218&gt;0,"有欠款","预存款")))</f>
      </c>
      <c r="I218" s="157">
        <f>IFERROR(SUMIF(商品库存!B:B,B218,商品库存!I:I),0)</f>
        <v>0</v>
      </c>
      <c r="J218" s="156">
        <f>IFERROR(SUMIF(商品库存!B:B,B218,商品库存!J:J),0)</f>
        <v>0</v>
      </c>
      <c r="K218" s="156" t="n"/>
    </row>
    <row r="219" ht="15" customHeight="1" s="71">
      <c r="A219" s="14">
        <f>IF(B219="","",COUNTA($B$5:B219))</f>
      </c>
      <c r="B219" s="14" t="n"/>
      <c r="C219" s="156" t="n"/>
      <c r="D219" s="156">
        <f>IF(B219&lt;&gt;"",SUMIF(出库明细!C:C,B219,出库明细!G:G),"")</f>
      </c>
      <c r="E219" s="156">
        <f>IF(AND(C219&lt;&gt;"",D219&lt;&gt;""),C219-D219,"")</f>
      </c>
      <c r="F219" s="156">
        <f>IF(B219&lt;&gt;"",SUMIFS(资金台帐!$S:$S,资金台帐!$J:$J,B219,资金台帐!$P:$P,"应收"),"")</f>
      </c>
      <c r="G219" s="156">
        <f>IF(B219="","",N(K219)+N(D219)-N(F219))</f>
      </c>
      <c r="H219" s="14">
        <f>IF(B219="","",IF(G219=0,"已结清",IF(G219&gt;0,"有欠款","预存款")))</f>
      </c>
      <c r="I219" s="157">
        <f>IFERROR(SUMIF(商品库存!B:B,B219,商品库存!I:I),0)</f>
        <v>0</v>
      </c>
      <c r="J219" s="156">
        <f>IFERROR(SUMIF(商品库存!B:B,B219,商品库存!J:J),0)</f>
        <v>0</v>
      </c>
      <c r="K219" s="156" t="n"/>
    </row>
    <row r="220" ht="15" customHeight="1" s="71">
      <c r="A220" s="14">
        <f>IF(B220="","",COUNTA($B$5:B220))</f>
      </c>
      <c r="B220" s="14" t="n"/>
      <c r="C220" s="156" t="n"/>
      <c r="D220" s="156">
        <f>IF(B220&lt;&gt;"",SUMIF(出库明细!C:C,B220,出库明细!G:G),"")</f>
      </c>
      <c r="E220" s="156">
        <f>IF(AND(C220&lt;&gt;"",D220&lt;&gt;""),C220-D220,"")</f>
      </c>
      <c r="F220" s="156">
        <f>IF(B220&lt;&gt;"",SUMIFS(资金台帐!$S:$S,资金台帐!$J:$J,B220,资金台帐!$P:$P,"应收"),"")</f>
      </c>
      <c r="G220" s="156">
        <f>IF(B220="","",N(K220)+N(D220)-N(F220))</f>
      </c>
      <c r="H220" s="14">
        <f>IF(B220="","",IF(G220=0,"已结清",IF(G220&gt;0,"有欠款","预存款")))</f>
      </c>
      <c r="I220" s="157">
        <f>IFERROR(SUMIF(商品库存!B:B,B220,商品库存!I:I),0)</f>
        <v>0</v>
      </c>
      <c r="J220" s="156">
        <f>IFERROR(SUMIF(商品库存!B:B,B220,商品库存!J:J),0)</f>
        <v>0</v>
      </c>
      <c r="K220" s="156" t="n"/>
    </row>
    <row r="221" ht="15" customHeight="1" s="71">
      <c r="A221" s="14">
        <f>IF(B221="","",COUNTA($B$5:B221))</f>
      </c>
      <c r="B221" s="14" t="n"/>
      <c r="C221" s="156" t="n"/>
      <c r="D221" s="156">
        <f>IF(B221&lt;&gt;"",SUMIF(出库明细!C:C,B221,出库明细!G:G),"")</f>
      </c>
      <c r="E221" s="156">
        <f>IF(AND(C221&lt;&gt;"",D221&lt;&gt;""),C221-D221,"")</f>
      </c>
      <c r="F221" s="156">
        <f>IF(B221&lt;&gt;"",SUMIFS(资金台帐!$S:$S,资金台帐!$J:$J,B221,资金台帐!$P:$P,"应收"),"")</f>
      </c>
      <c r="G221" s="156">
        <f>IF(B221="","",N(K221)+N(D221)-N(F221))</f>
      </c>
      <c r="H221" s="14">
        <f>IF(B221="","",IF(G221=0,"已结清",IF(G221&gt;0,"有欠款","预存款")))</f>
      </c>
      <c r="I221" s="157">
        <f>IFERROR(SUMIF(商品库存!B:B,B221,商品库存!I:I),0)</f>
        <v>0</v>
      </c>
      <c r="J221" s="156">
        <f>IFERROR(SUMIF(商品库存!B:B,B221,商品库存!J:J),0)</f>
        <v>0</v>
      </c>
      <c r="K221" s="156" t="n"/>
    </row>
    <row r="222" ht="15" customHeight="1" s="71">
      <c r="A222" s="14">
        <f>IF(B222="","",COUNTA($B$5:B222))</f>
      </c>
      <c r="B222" s="14" t="n"/>
      <c r="C222" s="156" t="n"/>
      <c r="D222" s="156">
        <f>IF(B222&lt;&gt;"",SUMIF(出库明细!C:C,B222,出库明细!G:G),"")</f>
      </c>
      <c r="E222" s="156">
        <f>IF(AND(C222&lt;&gt;"",D222&lt;&gt;""),C222-D222,"")</f>
      </c>
      <c r="F222" s="156">
        <f>IF(B222&lt;&gt;"",SUMIFS(资金台帐!$S:$S,资金台帐!$J:$J,B222,资金台帐!$P:$P,"应收"),"")</f>
      </c>
      <c r="G222" s="156">
        <f>IF(B222="","",N(K222)+N(D222)-N(F222))</f>
      </c>
      <c r="H222" s="14">
        <f>IF(B222="","",IF(G222=0,"已结清",IF(G222&gt;0,"有欠款","预存款")))</f>
      </c>
      <c r="I222" s="157">
        <f>IFERROR(SUMIF(商品库存!B:B,B222,商品库存!I:I),0)</f>
        <v>0</v>
      </c>
      <c r="J222" s="156">
        <f>IFERROR(SUMIF(商品库存!B:B,B222,商品库存!J:J),0)</f>
        <v>0</v>
      </c>
      <c r="K222" s="156" t="n"/>
    </row>
    <row r="223" ht="15" customHeight="1" s="71">
      <c r="A223" s="14">
        <f>IF(B223="","",COUNTA($B$5:B223))</f>
      </c>
      <c r="B223" s="14" t="n"/>
      <c r="C223" s="156" t="n"/>
      <c r="D223" s="156">
        <f>IF(B223&lt;&gt;"",SUMIF(出库明细!C:C,B223,出库明细!G:G),"")</f>
      </c>
      <c r="E223" s="156">
        <f>IF(AND(C223&lt;&gt;"",D223&lt;&gt;""),C223-D223,"")</f>
      </c>
      <c r="F223" s="156">
        <f>IF(B223&lt;&gt;"",SUMIFS(资金台帐!$S:$S,资金台帐!$J:$J,B223,资金台帐!$P:$P,"应收"),"")</f>
      </c>
      <c r="G223" s="156">
        <f>IF(B223="","",N(K223)+N(D223)-N(F223))</f>
      </c>
      <c r="H223" s="14">
        <f>IF(B223="","",IF(G223=0,"已结清",IF(G223&gt;0,"有欠款","预存款")))</f>
      </c>
      <c r="I223" s="157">
        <f>IFERROR(SUMIF(商品库存!B:B,B223,商品库存!I:I),0)</f>
        <v>0</v>
      </c>
      <c r="J223" s="156">
        <f>IFERROR(SUMIF(商品库存!B:B,B223,商品库存!J:J),0)</f>
        <v>0</v>
      </c>
      <c r="K223" s="156" t="n"/>
    </row>
    <row r="224" ht="15" customHeight="1" s="71">
      <c r="A224" s="14">
        <f>IF(B224="","",COUNTA($B$5:B224))</f>
      </c>
      <c r="B224" s="14" t="n"/>
      <c r="C224" s="156" t="n"/>
      <c r="D224" s="156">
        <f>IF(B224&lt;&gt;"",SUMIF(出库明细!C:C,B224,出库明细!G:G),"")</f>
      </c>
      <c r="E224" s="156">
        <f>IF(AND(C224&lt;&gt;"",D224&lt;&gt;""),C224-D224,"")</f>
      </c>
      <c r="F224" s="156">
        <f>IF(B224&lt;&gt;"",SUMIFS(资金台帐!$S:$S,资金台帐!$J:$J,B224,资金台帐!$P:$P,"应收"),"")</f>
      </c>
      <c r="G224" s="156">
        <f>IF(B224="","",N(K224)+N(D224)-N(F224))</f>
      </c>
      <c r="H224" s="14">
        <f>IF(B224="","",IF(G224=0,"已结清",IF(G224&gt;0,"有欠款","预存款")))</f>
      </c>
      <c r="I224" s="157">
        <f>IFERROR(SUMIF(商品库存!B:B,B224,商品库存!I:I),0)</f>
        <v>0</v>
      </c>
      <c r="J224" s="156">
        <f>IFERROR(SUMIF(商品库存!B:B,B224,商品库存!J:J),0)</f>
        <v>0</v>
      </c>
      <c r="K224" s="156" t="n"/>
    </row>
    <row r="225" ht="15" customHeight="1" s="71">
      <c r="A225" s="14">
        <f>IF(B225="","",COUNTA($B$5:B225))</f>
      </c>
      <c r="B225" s="14" t="n"/>
      <c r="C225" s="156" t="n"/>
      <c r="D225" s="156">
        <f>IF(B225&lt;&gt;"",SUMIF(出库明细!C:C,B225,出库明细!G:G),"")</f>
      </c>
      <c r="E225" s="156">
        <f>IF(AND(C225&lt;&gt;"",D225&lt;&gt;""),C225-D225,"")</f>
      </c>
      <c r="F225" s="156">
        <f>IF(B225&lt;&gt;"",SUMIFS(资金台帐!$S:$S,资金台帐!$J:$J,B225,资金台帐!$P:$P,"应收"),"")</f>
      </c>
      <c r="G225" s="156">
        <f>IF(B225="","",N(K225)+N(D225)-N(F225))</f>
      </c>
      <c r="H225" s="14">
        <f>IF(B225="","",IF(G225=0,"已结清",IF(G225&gt;0,"有欠款","预存款")))</f>
      </c>
      <c r="I225" s="157">
        <f>IFERROR(SUMIF(商品库存!B:B,B225,商品库存!I:I),0)</f>
        <v>0</v>
      </c>
      <c r="J225" s="156">
        <f>IFERROR(SUMIF(商品库存!B:B,B225,商品库存!J:J),0)</f>
        <v>0</v>
      </c>
      <c r="K225" s="156" t="n"/>
    </row>
    <row r="226" ht="15" customHeight="1" s="71">
      <c r="A226" s="14">
        <f>IF(B226="","",COUNTA($B$5:B226))</f>
      </c>
      <c r="B226" s="14" t="n"/>
      <c r="C226" s="156" t="n"/>
      <c r="D226" s="156">
        <f>IF(B226&lt;&gt;"",SUMIF(出库明细!C:C,B226,出库明细!G:G),"")</f>
      </c>
      <c r="E226" s="156">
        <f>IF(AND(C226&lt;&gt;"",D226&lt;&gt;""),C226-D226,"")</f>
      </c>
      <c r="F226" s="156">
        <f>IF(B226&lt;&gt;"",SUMIFS(资金台帐!$S:$S,资金台帐!$J:$J,B226,资金台帐!$P:$P,"应收"),"")</f>
      </c>
      <c r="G226" s="156">
        <f>IF(B226="","",N(K226)+N(D226)-N(F226))</f>
      </c>
      <c r="H226" s="14">
        <f>IF(B226="","",IF(G226=0,"已结清",IF(G226&gt;0,"有欠款","预存款")))</f>
      </c>
      <c r="I226" s="157">
        <f>IFERROR(SUMIF(商品库存!B:B,B226,商品库存!I:I),0)</f>
        <v>0</v>
      </c>
      <c r="J226" s="156">
        <f>IFERROR(SUMIF(商品库存!B:B,B226,商品库存!J:J),0)</f>
        <v>0</v>
      </c>
      <c r="K226" s="156" t="n"/>
    </row>
    <row r="227" ht="15" customHeight="1" s="71">
      <c r="A227" s="14">
        <f>IF(B227="","",COUNTA($B$5:B227))</f>
      </c>
      <c r="B227" s="14" t="n"/>
      <c r="C227" s="156" t="n"/>
      <c r="D227" s="156">
        <f>IF(B227&lt;&gt;"",SUMIF(出库明细!C:C,B227,出库明细!G:G),"")</f>
      </c>
      <c r="E227" s="156">
        <f>IF(AND(C227&lt;&gt;"",D227&lt;&gt;""),C227-D227,"")</f>
      </c>
      <c r="F227" s="156">
        <f>IF(B227&lt;&gt;"",SUMIFS(资金台帐!$S:$S,资金台帐!$J:$J,B227,资金台帐!$P:$P,"应收"),"")</f>
      </c>
      <c r="G227" s="156">
        <f>IF(B227="","",N(K227)+N(D227)-N(F227))</f>
      </c>
      <c r="H227" s="14">
        <f>IF(B227="","",IF(G227=0,"已结清",IF(G227&gt;0,"有欠款","预存款")))</f>
      </c>
      <c r="I227" s="157">
        <f>IFERROR(SUMIF(商品库存!B:B,B227,商品库存!I:I),0)</f>
        <v>0</v>
      </c>
      <c r="J227" s="156">
        <f>IFERROR(SUMIF(商品库存!B:B,B227,商品库存!J:J),0)</f>
        <v>0</v>
      </c>
      <c r="K227" s="156" t="n"/>
    </row>
    <row r="228" ht="15" customHeight="1" s="71">
      <c r="A228" s="14">
        <f>IF(B228="","",COUNTA($B$5:B228))</f>
      </c>
      <c r="B228" s="14" t="n"/>
      <c r="C228" s="156" t="n"/>
      <c r="D228" s="156">
        <f>IF(B228&lt;&gt;"",SUMIF(出库明细!C:C,B228,出库明细!G:G),"")</f>
      </c>
      <c r="E228" s="156">
        <f>IF(AND(C228&lt;&gt;"",D228&lt;&gt;""),C228-D228,"")</f>
      </c>
      <c r="F228" s="156">
        <f>IF(B228&lt;&gt;"",SUMIFS(资金台帐!$S:$S,资金台帐!$J:$J,B228,资金台帐!$P:$P,"应收"),"")</f>
      </c>
      <c r="G228" s="156">
        <f>IF(B228="","",N(K228)+N(D228)-N(F228))</f>
      </c>
      <c r="H228" s="14">
        <f>IF(B228="","",IF(G228=0,"已结清",IF(G228&gt;0,"有欠款","预存款")))</f>
      </c>
      <c r="I228" s="157">
        <f>IFERROR(SUMIF(商品库存!B:B,B228,商品库存!I:I),0)</f>
        <v>0</v>
      </c>
      <c r="J228" s="156">
        <f>IFERROR(SUMIF(商品库存!B:B,B228,商品库存!J:J),0)</f>
        <v>0</v>
      </c>
      <c r="K228" s="156" t="n"/>
    </row>
    <row r="229" ht="15" customHeight="1" s="71">
      <c r="A229" s="14">
        <f>IF(B229="","",COUNTA($B$5:B229))</f>
      </c>
      <c r="B229" s="14" t="n"/>
      <c r="C229" s="156" t="n"/>
      <c r="D229" s="156">
        <f>IF(B229&lt;&gt;"",SUMIF(出库明细!C:C,B229,出库明细!G:G),"")</f>
      </c>
      <c r="E229" s="156">
        <f>IF(AND(C229&lt;&gt;"",D229&lt;&gt;""),C229-D229,"")</f>
      </c>
      <c r="F229" s="156">
        <f>IF(B229&lt;&gt;"",SUMIFS(资金台帐!$S:$S,资金台帐!$J:$J,B229,资金台帐!$P:$P,"应收"),"")</f>
      </c>
      <c r="G229" s="156">
        <f>IF(B229="","",N(K229)+N(D229)-N(F229))</f>
      </c>
      <c r="H229" s="14">
        <f>IF(B229="","",IF(G229=0,"已结清",IF(G229&gt;0,"有欠款","预存款")))</f>
      </c>
      <c r="I229" s="157">
        <f>IFERROR(SUMIF(商品库存!B:B,B229,商品库存!I:I),0)</f>
        <v>0</v>
      </c>
      <c r="J229" s="156">
        <f>IFERROR(SUMIF(商品库存!B:B,B229,商品库存!J:J),0)</f>
        <v>0</v>
      </c>
      <c r="K229" s="156" t="n"/>
    </row>
    <row r="230" ht="15" customHeight="1" s="71">
      <c r="A230" s="14">
        <f>IF(B230="","",COUNTA($B$5:B230))</f>
      </c>
      <c r="B230" s="14" t="n"/>
      <c r="C230" s="156" t="n"/>
      <c r="D230" s="156">
        <f>IF(B230&lt;&gt;"",SUMIF(出库明细!C:C,B230,出库明细!G:G),"")</f>
      </c>
      <c r="E230" s="156">
        <f>IF(AND(C230&lt;&gt;"",D230&lt;&gt;""),C230-D230,"")</f>
      </c>
      <c r="F230" s="156">
        <f>IF(B230&lt;&gt;"",SUMIFS(资金台帐!$S:$S,资金台帐!$J:$J,B230,资金台帐!$P:$P,"应收"),"")</f>
      </c>
      <c r="G230" s="156">
        <f>IF(B230="","",N(K230)+N(D230)-N(F230))</f>
      </c>
      <c r="H230" s="14">
        <f>IF(B230="","",IF(G230=0,"已结清",IF(G230&gt;0,"有欠款","预存款")))</f>
      </c>
      <c r="I230" s="157">
        <f>IFERROR(SUMIF(商品库存!B:B,B230,商品库存!I:I),0)</f>
        <v>0</v>
      </c>
      <c r="J230" s="156">
        <f>IFERROR(SUMIF(商品库存!B:B,B230,商品库存!J:J),0)</f>
        <v>0</v>
      </c>
      <c r="K230" s="156" t="n"/>
    </row>
    <row r="231" ht="15" customHeight="1" s="71">
      <c r="A231" s="14">
        <f>IF(B231="","",COUNTA($B$5:B231))</f>
      </c>
      <c r="B231" s="14" t="n"/>
      <c r="C231" s="156" t="n"/>
      <c r="D231" s="156">
        <f>IF(B231&lt;&gt;"",SUMIF(出库明细!C:C,B231,出库明细!G:G),"")</f>
      </c>
      <c r="E231" s="156">
        <f>IF(AND(C231&lt;&gt;"",D231&lt;&gt;""),C231-D231,"")</f>
      </c>
      <c r="F231" s="156">
        <f>IF(B231&lt;&gt;"",SUMIFS(资金台帐!$S:$S,资金台帐!$J:$J,B231,资金台帐!$P:$P,"应收"),"")</f>
      </c>
      <c r="G231" s="156">
        <f>IF(B231="","",N(K231)+N(D231)-N(F231))</f>
      </c>
      <c r="H231" s="14">
        <f>IF(B231="","",IF(G231=0,"已结清",IF(G231&gt;0,"有欠款","预存款")))</f>
      </c>
      <c r="I231" s="157">
        <f>IFERROR(SUMIF(商品库存!B:B,B231,商品库存!I:I),0)</f>
        <v>0</v>
      </c>
      <c r="J231" s="156">
        <f>IFERROR(SUMIF(商品库存!B:B,B231,商品库存!J:J),0)</f>
        <v>0</v>
      </c>
      <c r="K231" s="156" t="n"/>
    </row>
    <row r="232" ht="15" customHeight="1" s="71">
      <c r="A232" s="14">
        <f>IF(B232="","",COUNTA($B$5:B232))</f>
      </c>
      <c r="B232" s="14" t="n"/>
      <c r="C232" s="156" t="n"/>
      <c r="D232" s="156">
        <f>IF(B232&lt;&gt;"",SUMIF(出库明细!C:C,B232,出库明细!G:G),"")</f>
      </c>
      <c r="E232" s="156">
        <f>IF(AND(C232&lt;&gt;"",D232&lt;&gt;""),C232-D232,"")</f>
      </c>
      <c r="F232" s="156">
        <f>IF(B232&lt;&gt;"",SUMIFS(资金台帐!$S:$S,资金台帐!$J:$J,B232,资金台帐!$P:$P,"应收"),"")</f>
      </c>
      <c r="G232" s="156">
        <f>IF(B232="","",N(K232)+N(D232)-N(F232))</f>
      </c>
      <c r="H232" s="14">
        <f>IF(B232="","",IF(G232=0,"已结清",IF(G232&gt;0,"有欠款","预存款")))</f>
      </c>
      <c r="I232" s="157">
        <f>IFERROR(SUMIF(商品库存!B:B,B232,商品库存!I:I),0)</f>
        <v>0</v>
      </c>
      <c r="J232" s="156">
        <f>IFERROR(SUMIF(商品库存!B:B,B232,商品库存!J:J),0)</f>
        <v>0</v>
      </c>
      <c r="K232" s="156" t="n"/>
    </row>
    <row r="233" ht="15" customHeight="1" s="71">
      <c r="A233" s="14">
        <f>IF(B233="","",COUNTA($B$5:B233))</f>
      </c>
      <c r="B233" s="14" t="n"/>
      <c r="C233" s="156" t="n"/>
      <c r="D233" s="156">
        <f>IF(B233&lt;&gt;"",SUMIF(出库明细!C:C,B233,出库明细!G:G),"")</f>
      </c>
      <c r="E233" s="156">
        <f>IF(AND(C233&lt;&gt;"",D233&lt;&gt;""),C233-D233,"")</f>
      </c>
      <c r="F233" s="156">
        <f>IF(B233&lt;&gt;"",SUMIFS(资金台帐!$S:$S,资金台帐!$J:$J,B233,资金台帐!$P:$P,"应收"),"")</f>
      </c>
      <c r="G233" s="156">
        <f>IF(B233="","",N(K233)+N(D233)-N(F233))</f>
      </c>
      <c r="H233" s="14">
        <f>IF(B233="","",IF(G233=0,"已结清",IF(G233&gt;0,"有欠款","预存款")))</f>
      </c>
      <c r="I233" s="157">
        <f>IFERROR(SUMIF(商品库存!B:B,B233,商品库存!I:I),0)</f>
        <v>0</v>
      </c>
      <c r="J233" s="156">
        <f>IFERROR(SUMIF(商品库存!B:B,B233,商品库存!J:J),0)</f>
        <v>0</v>
      </c>
      <c r="K233" s="156" t="n"/>
    </row>
    <row r="234" ht="15" customHeight="1" s="71">
      <c r="A234" s="14">
        <f>IF(B234="","",COUNTA($B$5:B234))</f>
      </c>
      <c r="B234" s="14" t="n"/>
      <c r="C234" s="156" t="n"/>
      <c r="D234" s="156">
        <f>IF(B234&lt;&gt;"",SUMIF(出库明细!C:C,B234,出库明细!G:G),"")</f>
      </c>
      <c r="E234" s="156">
        <f>IF(AND(C234&lt;&gt;"",D234&lt;&gt;""),C234-D234,"")</f>
      </c>
      <c r="F234" s="156">
        <f>IF(B234&lt;&gt;"",SUMIFS(资金台帐!$S:$S,资金台帐!$J:$J,B234,资金台帐!$P:$P,"应收"),"")</f>
      </c>
      <c r="G234" s="156">
        <f>IF(B234="","",N(K234)+N(D234)-N(F234))</f>
      </c>
      <c r="H234" s="14">
        <f>IF(B234="","",IF(G234=0,"已结清",IF(G234&gt;0,"有欠款","预存款")))</f>
      </c>
      <c r="I234" s="157">
        <f>IFERROR(SUMIF(商品库存!B:B,B234,商品库存!I:I),0)</f>
        <v>0</v>
      </c>
      <c r="J234" s="156">
        <f>IFERROR(SUMIF(商品库存!B:B,B234,商品库存!J:J),0)</f>
        <v>0</v>
      </c>
      <c r="K234" s="156" t="n"/>
    </row>
    <row r="235" ht="15" customHeight="1" s="71">
      <c r="A235" s="14">
        <f>IF(B235="","",COUNTA($B$5:B235))</f>
      </c>
      <c r="B235" s="14" t="n"/>
      <c r="C235" s="156" t="n"/>
      <c r="D235" s="156">
        <f>IF(B235&lt;&gt;"",SUMIF(出库明细!C:C,B235,出库明细!G:G),"")</f>
      </c>
      <c r="E235" s="156">
        <f>IF(AND(C235&lt;&gt;"",D235&lt;&gt;""),C235-D235,"")</f>
      </c>
      <c r="F235" s="156">
        <f>IF(B235&lt;&gt;"",SUMIFS(资金台帐!$S:$S,资金台帐!$J:$J,B235,资金台帐!$P:$P,"应收"),"")</f>
      </c>
      <c r="G235" s="156">
        <f>IF(B235="","",N(K235)+N(D235)-N(F235))</f>
      </c>
      <c r="H235" s="14">
        <f>IF(B235="","",IF(G235=0,"已结清",IF(G235&gt;0,"有欠款","预存款")))</f>
      </c>
      <c r="I235" s="157">
        <f>IFERROR(SUMIF(商品库存!B:B,B235,商品库存!I:I),0)</f>
        <v>0</v>
      </c>
      <c r="J235" s="156">
        <f>IFERROR(SUMIF(商品库存!B:B,B235,商品库存!J:J),0)</f>
        <v>0</v>
      </c>
      <c r="K235" s="156" t="n"/>
    </row>
    <row r="236" ht="15" customHeight="1" s="71">
      <c r="A236" s="14">
        <f>IF(B236="","",COUNTA($B$5:B236))</f>
      </c>
      <c r="B236" s="14" t="n"/>
      <c r="C236" s="156" t="n"/>
      <c r="D236" s="156">
        <f>IF(B236&lt;&gt;"",SUMIF(出库明细!C:C,B236,出库明细!G:G),"")</f>
      </c>
      <c r="E236" s="156">
        <f>IF(AND(C236&lt;&gt;"",D236&lt;&gt;""),C236-D236,"")</f>
      </c>
      <c r="F236" s="156">
        <f>IF(B236&lt;&gt;"",SUMIFS(资金台帐!$S:$S,资金台帐!$J:$J,B236,资金台帐!$P:$P,"应收"),"")</f>
      </c>
      <c r="G236" s="156">
        <f>IF(B236="","",N(K236)+N(D236)-N(F236))</f>
      </c>
      <c r="H236" s="14">
        <f>IF(B236="","",IF(G236=0,"已结清",IF(G236&gt;0,"有欠款","预存款")))</f>
      </c>
      <c r="I236" s="157">
        <f>IFERROR(SUMIF(商品库存!B:B,B236,商品库存!I:I),0)</f>
        <v>0</v>
      </c>
      <c r="J236" s="156">
        <f>IFERROR(SUMIF(商品库存!B:B,B236,商品库存!J:J),0)</f>
        <v>0</v>
      </c>
      <c r="K236" s="156" t="n"/>
    </row>
    <row r="237" ht="15" customHeight="1" s="71">
      <c r="A237" s="14">
        <f>IF(B237="","",COUNTA($B$5:B237))</f>
      </c>
      <c r="B237" s="14" t="n"/>
      <c r="C237" s="156" t="n"/>
      <c r="D237" s="156">
        <f>IF(B237&lt;&gt;"",SUMIF(出库明细!C:C,B237,出库明细!G:G),"")</f>
      </c>
      <c r="E237" s="156">
        <f>IF(AND(C237&lt;&gt;"",D237&lt;&gt;""),C237-D237,"")</f>
      </c>
      <c r="F237" s="156">
        <f>IF(B237&lt;&gt;"",SUMIFS(资金台帐!$S:$S,资金台帐!$J:$J,B237,资金台帐!$P:$P,"应收"),"")</f>
      </c>
      <c r="G237" s="156">
        <f>IF(B237="","",N(K237)+N(D237)-N(F237))</f>
      </c>
      <c r="H237" s="14">
        <f>IF(B237="","",IF(G237=0,"已结清",IF(G237&gt;0,"有欠款","预存款")))</f>
      </c>
      <c r="I237" s="157">
        <f>IFERROR(SUMIF(商品库存!B:B,B237,商品库存!I:I),0)</f>
        <v>0</v>
      </c>
      <c r="J237" s="156">
        <f>IFERROR(SUMIF(商品库存!B:B,B237,商品库存!J:J),0)</f>
        <v>0</v>
      </c>
      <c r="K237" s="156" t="n"/>
    </row>
    <row r="238" ht="15" customHeight="1" s="71">
      <c r="A238" s="14">
        <f>IF(B238="","",COUNTA($B$5:B238))</f>
      </c>
      <c r="B238" s="14" t="n"/>
      <c r="C238" s="156" t="n"/>
      <c r="D238" s="156">
        <f>IF(B238&lt;&gt;"",SUMIF(出库明细!C:C,B238,出库明细!G:G),"")</f>
      </c>
      <c r="E238" s="156">
        <f>IF(AND(C238&lt;&gt;"",D238&lt;&gt;""),C238-D238,"")</f>
      </c>
      <c r="F238" s="156">
        <f>IF(B238&lt;&gt;"",SUMIFS(资金台帐!$S:$S,资金台帐!$J:$J,B238,资金台帐!$P:$P,"应收"),"")</f>
      </c>
      <c r="G238" s="156">
        <f>IF(B238="","",N(K238)+N(D238)-N(F238))</f>
      </c>
      <c r="H238" s="14">
        <f>IF(B238="","",IF(G238=0,"已结清",IF(G238&gt;0,"有欠款","预存款")))</f>
      </c>
      <c r="I238" s="157">
        <f>IFERROR(SUMIF(商品库存!B:B,B238,商品库存!I:I),0)</f>
        <v>0</v>
      </c>
      <c r="J238" s="156">
        <f>IFERROR(SUMIF(商品库存!B:B,B238,商品库存!J:J),0)</f>
        <v>0</v>
      </c>
      <c r="K238" s="156" t="n"/>
    </row>
    <row r="239" ht="15" customHeight="1" s="71">
      <c r="A239" s="14">
        <f>IF(B239="","",COUNTA($B$5:B239))</f>
      </c>
      <c r="B239" s="14" t="n"/>
      <c r="C239" s="156" t="n"/>
      <c r="D239" s="156">
        <f>IF(B239&lt;&gt;"",SUMIF(出库明细!C:C,B239,出库明细!G:G),"")</f>
      </c>
      <c r="E239" s="156">
        <f>IF(AND(C239&lt;&gt;"",D239&lt;&gt;""),C239-D239,"")</f>
      </c>
      <c r="F239" s="156">
        <f>IF(B239&lt;&gt;"",SUMIFS(资金台帐!$S:$S,资金台帐!$J:$J,B239,资金台帐!$P:$P,"应收"),"")</f>
      </c>
      <c r="G239" s="156">
        <f>IF(B239="","",N(K239)+N(D239)-N(F239))</f>
      </c>
      <c r="H239" s="14">
        <f>IF(B239="","",IF(G239=0,"已结清",IF(G239&gt;0,"有欠款","预存款")))</f>
      </c>
      <c r="I239" s="157">
        <f>IFERROR(SUMIF(商品库存!B:B,B239,商品库存!I:I),0)</f>
        <v>0</v>
      </c>
      <c r="J239" s="156">
        <f>IFERROR(SUMIF(商品库存!B:B,B239,商品库存!J:J),0)</f>
        <v>0</v>
      </c>
      <c r="K239" s="156" t="n"/>
    </row>
    <row r="240" ht="15" customHeight="1" s="71">
      <c r="A240" s="14">
        <f>IF(B240="","",COUNTA($B$5:B240))</f>
      </c>
      <c r="B240" s="14" t="n"/>
      <c r="C240" s="156" t="n"/>
      <c r="D240" s="156">
        <f>IF(B240&lt;&gt;"",SUMIF(出库明细!C:C,B240,出库明细!G:G),"")</f>
      </c>
      <c r="E240" s="156">
        <f>IF(AND(C240&lt;&gt;"",D240&lt;&gt;""),C240-D240,"")</f>
      </c>
      <c r="F240" s="156">
        <f>IF(B240&lt;&gt;"",SUMIFS(资金台帐!$S:$S,资金台帐!$J:$J,B240,资金台帐!$P:$P,"应收"),"")</f>
      </c>
      <c r="G240" s="156">
        <f>IF(B240="","",N(K240)+N(D240)-N(F240))</f>
      </c>
      <c r="H240" s="14">
        <f>IF(B240="","",IF(G240=0,"已结清",IF(G240&gt;0,"有欠款","预存款")))</f>
      </c>
      <c r="I240" s="157">
        <f>IFERROR(SUMIF(商品库存!B:B,B240,商品库存!I:I),0)</f>
        <v>0</v>
      </c>
      <c r="J240" s="156">
        <f>IFERROR(SUMIF(商品库存!B:B,B240,商品库存!J:J),0)</f>
        <v>0</v>
      </c>
      <c r="K240" s="156" t="n"/>
    </row>
    <row r="241" ht="15" customHeight="1" s="71">
      <c r="A241" s="14">
        <f>IF(B241="","",COUNTA($B$5:B241))</f>
      </c>
      <c r="B241" s="14" t="n"/>
      <c r="C241" s="156" t="n"/>
      <c r="D241" s="156">
        <f>IF(B241&lt;&gt;"",SUMIF(出库明细!C:C,B241,出库明细!G:G),"")</f>
      </c>
      <c r="E241" s="156">
        <f>IF(AND(C241&lt;&gt;"",D241&lt;&gt;""),C241-D241,"")</f>
      </c>
      <c r="F241" s="156">
        <f>IF(B241&lt;&gt;"",SUMIFS(资金台帐!$S:$S,资金台帐!$J:$J,B241,资金台帐!$P:$P,"应收"),"")</f>
      </c>
      <c r="G241" s="156">
        <f>IF(B241="","",N(K241)+N(D241)-N(F241))</f>
      </c>
      <c r="H241" s="14">
        <f>IF(B241="","",IF(G241=0,"已结清",IF(G241&gt;0,"有欠款","预存款")))</f>
      </c>
      <c r="I241" s="157">
        <f>IFERROR(SUMIF(商品库存!B:B,B241,商品库存!I:I),0)</f>
        <v>0</v>
      </c>
      <c r="J241" s="156">
        <f>IFERROR(SUMIF(商品库存!B:B,B241,商品库存!J:J),0)</f>
        <v>0</v>
      </c>
      <c r="K241" s="156" t="n"/>
    </row>
    <row r="242" ht="15" customHeight="1" s="71">
      <c r="A242" s="14">
        <f>IF(B242="","",COUNTA($B$5:B242))</f>
      </c>
      <c r="B242" s="14" t="n"/>
      <c r="C242" s="156" t="n"/>
      <c r="D242" s="156">
        <f>IF(B242&lt;&gt;"",SUMIF(出库明细!C:C,B242,出库明细!G:G),"")</f>
      </c>
      <c r="E242" s="156">
        <f>IF(AND(C242&lt;&gt;"",D242&lt;&gt;""),C242-D242,"")</f>
      </c>
      <c r="F242" s="156">
        <f>IF(B242&lt;&gt;"",SUMIFS(资金台帐!$S:$S,资金台帐!$J:$J,B242,资金台帐!$P:$P,"应收"),"")</f>
      </c>
      <c r="G242" s="156">
        <f>IF(B242="","",N(K242)+N(D242)-N(F242))</f>
      </c>
      <c r="H242" s="14">
        <f>IF(B242="","",IF(G242=0,"已结清",IF(G242&gt;0,"有欠款","预存款")))</f>
      </c>
      <c r="I242" s="157">
        <f>IFERROR(SUMIF(商品库存!B:B,B242,商品库存!I:I),0)</f>
        <v>0</v>
      </c>
      <c r="J242" s="156">
        <f>IFERROR(SUMIF(商品库存!B:B,B242,商品库存!J:J),0)</f>
        <v>0</v>
      </c>
      <c r="K242" s="156" t="n"/>
    </row>
    <row r="243" ht="15" customHeight="1" s="71">
      <c r="A243" s="14">
        <f>IF(B243="","",COUNTA($B$5:B243))</f>
      </c>
      <c r="B243" s="14" t="n"/>
      <c r="C243" s="156" t="n"/>
      <c r="D243" s="156">
        <f>IF(B243&lt;&gt;"",SUMIF(出库明细!C:C,B243,出库明细!G:G),"")</f>
      </c>
      <c r="E243" s="156">
        <f>IF(AND(C243&lt;&gt;"",D243&lt;&gt;""),C243-D243,"")</f>
      </c>
      <c r="F243" s="156">
        <f>IF(B243&lt;&gt;"",SUMIFS(资金台帐!$S:$S,资金台帐!$J:$J,B243,资金台帐!$P:$P,"应收"),"")</f>
      </c>
      <c r="G243" s="156">
        <f>IF(B243="","",N(K243)+N(D243)-N(F243))</f>
      </c>
      <c r="H243" s="14">
        <f>IF(B243="","",IF(G243=0,"已结清",IF(G243&gt;0,"有欠款","预存款")))</f>
      </c>
      <c r="I243" s="157">
        <f>IFERROR(SUMIF(商品库存!B:B,B243,商品库存!I:I),0)</f>
        <v>0</v>
      </c>
      <c r="J243" s="156">
        <f>IFERROR(SUMIF(商品库存!B:B,B243,商品库存!J:J),0)</f>
        <v>0</v>
      </c>
      <c r="K243" s="156" t="n"/>
    </row>
    <row r="244" ht="15" customHeight="1" s="71">
      <c r="A244" s="14">
        <f>IF(B244="","",COUNTA($B$5:B244))</f>
      </c>
      <c r="B244" s="14" t="n"/>
      <c r="C244" s="156" t="n"/>
      <c r="D244" s="156">
        <f>IF(B244&lt;&gt;"",SUMIF(出库明细!C:C,B244,出库明细!G:G),"")</f>
      </c>
      <c r="E244" s="156">
        <f>IF(AND(C244&lt;&gt;"",D244&lt;&gt;""),C244-D244,"")</f>
      </c>
      <c r="F244" s="156">
        <f>IF(B244&lt;&gt;"",SUMIFS(资金台帐!$S:$S,资金台帐!$J:$J,B244,资金台帐!$P:$P,"应收"),"")</f>
      </c>
      <c r="G244" s="156">
        <f>IF(B244="","",N(K244)+N(D244)-N(F244))</f>
      </c>
      <c r="H244" s="14">
        <f>IF(B244="","",IF(G244=0,"已结清",IF(G244&gt;0,"有欠款","预存款")))</f>
      </c>
      <c r="I244" s="157">
        <f>IFERROR(SUMIF(商品库存!B:B,B244,商品库存!I:I),0)</f>
        <v>0</v>
      </c>
      <c r="J244" s="156">
        <f>IFERROR(SUMIF(商品库存!B:B,B244,商品库存!J:J),0)</f>
        <v>0</v>
      </c>
      <c r="K244" s="156" t="n"/>
    </row>
    <row r="245" ht="15" customHeight="1" s="71">
      <c r="A245" s="14">
        <f>IF(B245="","",COUNTA($B$5:B245))</f>
      </c>
      <c r="B245" s="14" t="n"/>
      <c r="C245" s="156" t="n"/>
      <c r="D245" s="156">
        <f>IF(B245&lt;&gt;"",SUMIF(出库明细!C:C,B245,出库明细!G:G),"")</f>
      </c>
      <c r="E245" s="156">
        <f>IF(AND(C245&lt;&gt;"",D245&lt;&gt;""),C245-D245,"")</f>
      </c>
      <c r="F245" s="156">
        <f>IF(B245&lt;&gt;"",SUMIFS(资金台帐!$S:$S,资金台帐!$J:$J,B245,资金台帐!$P:$P,"应收"),"")</f>
      </c>
      <c r="G245" s="156">
        <f>IF(B245="","",N(K245)+N(D245)-N(F245))</f>
      </c>
      <c r="H245" s="14">
        <f>IF(B245="","",IF(G245=0,"已结清",IF(G245&gt;0,"有欠款","预存款")))</f>
      </c>
      <c r="I245" s="157">
        <f>IFERROR(SUMIF(商品库存!B:B,B245,商品库存!I:I),0)</f>
        <v>0</v>
      </c>
      <c r="J245" s="156">
        <f>IFERROR(SUMIF(商品库存!B:B,B245,商品库存!J:J),0)</f>
        <v>0</v>
      </c>
      <c r="K245" s="156" t="n"/>
    </row>
    <row r="246" ht="15" customHeight="1" s="71">
      <c r="A246" s="14">
        <f>IF(B246="","",COUNTA($B$5:B246))</f>
      </c>
      <c r="B246" s="14" t="n"/>
      <c r="C246" s="156" t="n"/>
      <c r="D246" s="156">
        <f>IF(B246&lt;&gt;"",SUMIF(出库明细!C:C,B246,出库明细!G:G),"")</f>
      </c>
      <c r="E246" s="156">
        <f>IF(AND(C246&lt;&gt;"",D246&lt;&gt;""),C246-D246,"")</f>
      </c>
      <c r="F246" s="156">
        <f>IF(B246&lt;&gt;"",SUMIFS(资金台帐!$S:$S,资金台帐!$J:$J,B246,资金台帐!$P:$P,"应收"),"")</f>
      </c>
      <c r="G246" s="156">
        <f>IF(B246="","",N(K246)+N(D246)-N(F246))</f>
      </c>
      <c r="H246" s="14">
        <f>IF(B246="","",IF(G246=0,"已结清",IF(G246&gt;0,"有欠款","预存款")))</f>
      </c>
      <c r="I246" s="157">
        <f>IFERROR(SUMIF(商品库存!B:B,B246,商品库存!I:I),0)</f>
        <v>0</v>
      </c>
      <c r="J246" s="156">
        <f>IFERROR(SUMIF(商品库存!B:B,B246,商品库存!J:J),0)</f>
        <v>0</v>
      </c>
      <c r="K246" s="156" t="n"/>
    </row>
    <row r="247" ht="15" customHeight="1" s="71">
      <c r="A247" s="14">
        <f>IF(B247="","",COUNTA($B$5:B247))</f>
      </c>
      <c r="B247" s="14" t="n"/>
      <c r="C247" s="156" t="n"/>
      <c r="D247" s="156">
        <f>IF(B247&lt;&gt;"",SUMIF(出库明细!C:C,B247,出库明细!G:G),"")</f>
      </c>
      <c r="E247" s="156">
        <f>IF(AND(C247&lt;&gt;"",D247&lt;&gt;""),C247-D247,"")</f>
      </c>
      <c r="F247" s="156">
        <f>IF(B247&lt;&gt;"",SUMIFS(资金台帐!$S:$S,资金台帐!$J:$J,B247,资金台帐!$P:$P,"应收"),"")</f>
      </c>
      <c r="G247" s="156">
        <f>IF(B247="","",N(K247)+N(D247)-N(F247))</f>
      </c>
      <c r="H247" s="14">
        <f>IF(B247="","",IF(G247=0,"已结清",IF(G247&gt;0,"有欠款","预存款")))</f>
      </c>
      <c r="I247" s="157">
        <f>IFERROR(SUMIF(商品库存!B:B,B247,商品库存!I:I),0)</f>
        <v>0</v>
      </c>
      <c r="J247" s="156">
        <f>IFERROR(SUMIF(商品库存!B:B,B247,商品库存!J:J),0)</f>
        <v>0</v>
      </c>
      <c r="K247" s="156" t="n"/>
    </row>
    <row r="248" ht="15" customHeight="1" s="71">
      <c r="A248" s="14">
        <f>IF(B248="","",COUNTA($B$5:B248))</f>
      </c>
      <c r="B248" s="14" t="n"/>
      <c r="C248" s="156" t="n"/>
      <c r="D248" s="156">
        <f>IF(B248&lt;&gt;"",SUMIF(出库明细!C:C,B248,出库明细!G:G),"")</f>
      </c>
      <c r="E248" s="156">
        <f>IF(AND(C248&lt;&gt;"",D248&lt;&gt;""),C248-D248,"")</f>
      </c>
      <c r="F248" s="156">
        <f>IF(B248&lt;&gt;"",SUMIFS(资金台帐!$S:$S,资金台帐!$J:$J,B248,资金台帐!$P:$P,"应收"),"")</f>
      </c>
      <c r="G248" s="156">
        <f>IF(B248="","",N(K248)+N(D248)-N(F248))</f>
      </c>
      <c r="H248" s="14">
        <f>IF(B248="","",IF(G248=0,"已结清",IF(G248&gt;0,"有欠款","预存款")))</f>
      </c>
      <c r="I248" s="157">
        <f>IFERROR(SUMIF(商品库存!B:B,B248,商品库存!I:I),0)</f>
        <v>0</v>
      </c>
      <c r="J248" s="156">
        <f>IFERROR(SUMIF(商品库存!B:B,B248,商品库存!J:J),0)</f>
        <v>0</v>
      </c>
      <c r="K248" s="156" t="n"/>
    </row>
    <row r="249" ht="15" customHeight="1" s="71">
      <c r="A249" s="14">
        <f>IF(B249="","",COUNTA($B$5:B249))</f>
      </c>
      <c r="B249" s="14" t="n"/>
      <c r="C249" s="156" t="n"/>
      <c r="D249" s="156">
        <f>IF(B249&lt;&gt;"",SUMIF(出库明细!C:C,B249,出库明细!G:G),"")</f>
      </c>
      <c r="E249" s="156">
        <f>IF(AND(C249&lt;&gt;"",D249&lt;&gt;""),C249-D249,"")</f>
      </c>
      <c r="F249" s="156">
        <f>IF(B249&lt;&gt;"",SUMIFS(资金台帐!$S:$S,资金台帐!$J:$J,B249,资金台帐!$P:$P,"应收"),"")</f>
      </c>
      <c r="G249" s="156">
        <f>IF(B249="","",N(K249)+N(D249)-N(F249))</f>
      </c>
      <c r="H249" s="14">
        <f>IF(B249="","",IF(G249=0,"已结清",IF(G249&gt;0,"有欠款","预存款")))</f>
      </c>
      <c r="I249" s="157">
        <f>IFERROR(SUMIF(商品库存!B:B,B249,商品库存!I:I),0)</f>
        <v>0</v>
      </c>
      <c r="J249" s="156">
        <f>IFERROR(SUMIF(商品库存!B:B,B249,商品库存!J:J),0)</f>
        <v>0</v>
      </c>
      <c r="K249" s="156" t="n"/>
    </row>
    <row r="250" ht="15" customHeight="1" s="71">
      <c r="A250" s="14">
        <f>IF(B250="","",COUNTA($B$5:B250))</f>
      </c>
      <c r="B250" s="14" t="n"/>
      <c r="C250" s="156" t="n"/>
      <c r="D250" s="156">
        <f>IF(B250&lt;&gt;"",SUMIF(出库明细!C:C,B250,出库明细!G:G),"")</f>
      </c>
      <c r="E250" s="156">
        <f>IF(AND(C250&lt;&gt;"",D250&lt;&gt;""),C250-D250,"")</f>
      </c>
      <c r="F250" s="156">
        <f>IF(B250&lt;&gt;"",SUMIFS(资金台帐!$S:$S,资金台帐!$J:$J,B250,资金台帐!$P:$P,"应收"),"")</f>
      </c>
      <c r="G250" s="156">
        <f>IF(B250="","",N(K250)+N(D250)-N(F250))</f>
      </c>
      <c r="H250" s="14">
        <f>IF(B250="","",IF(G250=0,"已结清",IF(G250&gt;0,"有欠款","预存款")))</f>
      </c>
      <c r="I250" s="157">
        <f>IFERROR(SUMIF(商品库存!B:B,B250,商品库存!I:I),0)</f>
        <v>0</v>
      </c>
      <c r="J250" s="156">
        <f>IFERROR(SUMIF(商品库存!B:B,B250,商品库存!J:J),0)</f>
        <v>0</v>
      </c>
      <c r="K250" s="156" t="n"/>
    </row>
    <row r="251" ht="15" customHeight="1" s="71">
      <c r="A251" s="14">
        <f>IF(B251="","",COUNTA($B$5:B251))</f>
      </c>
      <c r="B251" s="14" t="n"/>
      <c r="C251" s="156" t="n"/>
      <c r="D251" s="156">
        <f>IF(B251&lt;&gt;"",SUMIF(出库明细!C:C,B251,出库明细!G:G),"")</f>
      </c>
      <c r="E251" s="156">
        <f>IF(AND(C251&lt;&gt;"",D251&lt;&gt;""),C251-D251,"")</f>
      </c>
      <c r="F251" s="156">
        <f>IF(B251&lt;&gt;"",SUMIFS(资金台帐!$S:$S,资金台帐!$J:$J,B251,资金台帐!$P:$P,"应收"),"")</f>
      </c>
      <c r="G251" s="156">
        <f>IF(B251="","",N(K251)+N(D251)-N(F251))</f>
      </c>
      <c r="H251" s="14">
        <f>IF(B251="","",IF(G251=0,"已结清",IF(G251&gt;0,"有欠款","预存款")))</f>
      </c>
      <c r="I251" s="157">
        <f>IFERROR(SUMIF(商品库存!B:B,B251,商品库存!I:I),0)</f>
        <v>0</v>
      </c>
      <c r="J251" s="156">
        <f>IFERROR(SUMIF(商品库存!B:B,B251,商品库存!J:J),0)</f>
        <v>0</v>
      </c>
      <c r="K251" s="156" t="n"/>
    </row>
    <row r="252" ht="15" customHeight="1" s="71">
      <c r="A252" s="14">
        <f>IF(B252="","",COUNTA($B$5:B252))</f>
      </c>
      <c r="B252" s="14" t="n"/>
      <c r="C252" s="156" t="n"/>
      <c r="D252" s="156">
        <f>IF(B252&lt;&gt;"",SUMIF(出库明细!C:C,B252,出库明细!G:G),"")</f>
      </c>
      <c r="E252" s="156">
        <f>IF(AND(C252&lt;&gt;"",D252&lt;&gt;""),C252-D252,"")</f>
      </c>
      <c r="F252" s="156">
        <f>IF(B252&lt;&gt;"",SUMIFS(资金台帐!$S:$S,资金台帐!$J:$J,B252,资金台帐!$P:$P,"应收"),"")</f>
      </c>
      <c r="G252" s="156">
        <f>IF(B252="","",N(K252)+N(D252)-N(F252))</f>
      </c>
      <c r="H252" s="14">
        <f>IF(B252="","",IF(G252=0,"已结清",IF(G252&gt;0,"有欠款","预存款")))</f>
      </c>
      <c r="I252" s="157">
        <f>IFERROR(SUMIF(商品库存!B:B,B252,商品库存!I:I),0)</f>
        <v>0</v>
      </c>
      <c r="J252" s="156">
        <f>IFERROR(SUMIF(商品库存!B:B,B252,商品库存!J:J),0)</f>
        <v>0</v>
      </c>
      <c r="K252" s="156" t="n"/>
    </row>
    <row r="253" ht="15" customHeight="1" s="71">
      <c r="A253" s="14">
        <f>IF(B253="","",COUNTA($B$5:B253))</f>
      </c>
      <c r="B253" s="14" t="n"/>
      <c r="C253" s="156" t="n"/>
      <c r="D253" s="156">
        <f>IF(B253&lt;&gt;"",SUMIF(出库明细!C:C,B253,出库明细!G:G),"")</f>
      </c>
      <c r="E253" s="156">
        <f>IF(AND(C253&lt;&gt;"",D253&lt;&gt;""),C253-D253,"")</f>
      </c>
      <c r="F253" s="156">
        <f>IF(B253&lt;&gt;"",SUMIFS(资金台帐!$S:$S,资金台帐!$J:$J,B253,资金台帐!$P:$P,"应收"),"")</f>
      </c>
      <c r="G253" s="156">
        <f>IF(B253="","",N(K253)+N(D253)-N(F253))</f>
      </c>
      <c r="H253" s="14">
        <f>IF(B253="","",IF(G253=0,"已结清",IF(G253&gt;0,"有欠款","预存款")))</f>
      </c>
      <c r="I253" s="157">
        <f>IFERROR(SUMIF(商品库存!B:B,B253,商品库存!I:I),0)</f>
        <v>0</v>
      </c>
      <c r="J253" s="156">
        <f>IFERROR(SUMIF(商品库存!B:B,B253,商品库存!J:J),0)</f>
        <v>0</v>
      </c>
      <c r="K253" s="156" t="n"/>
    </row>
    <row r="254" ht="15" customHeight="1" s="71">
      <c r="A254" s="14">
        <f>IF(B254="","",COUNTA($B$5:B254))</f>
      </c>
      <c r="B254" s="14" t="n"/>
      <c r="C254" s="156" t="n"/>
      <c r="D254" s="156">
        <f>IF(B254&lt;&gt;"",SUMIF(出库明细!C:C,B254,出库明细!G:G),"")</f>
      </c>
      <c r="E254" s="156">
        <f>IF(AND(C254&lt;&gt;"",D254&lt;&gt;""),C254-D254,"")</f>
      </c>
      <c r="F254" s="156">
        <f>IF(B254&lt;&gt;"",SUMIFS(资金台帐!$S:$S,资金台帐!$J:$J,B254,资金台帐!$P:$P,"应收"),"")</f>
      </c>
      <c r="G254" s="156">
        <f>IF(B254="","",N(K254)+N(D254)-N(F254))</f>
      </c>
      <c r="H254" s="14">
        <f>IF(B254="","",IF(G254=0,"已结清",IF(G254&gt;0,"有欠款","预存款")))</f>
      </c>
      <c r="I254" s="157">
        <f>IFERROR(SUMIF(商品库存!B:B,B254,商品库存!I:I),0)</f>
        <v>0</v>
      </c>
      <c r="J254" s="156">
        <f>IFERROR(SUMIF(商品库存!B:B,B254,商品库存!J:J),0)</f>
        <v>0</v>
      </c>
      <c r="K254" s="156" t="n"/>
    </row>
    <row r="255" ht="15" customHeight="1" s="71">
      <c r="A255" s="14">
        <f>IF(B255="","",COUNTA($B$5:B255))</f>
      </c>
      <c r="B255" s="14" t="n"/>
      <c r="C255" s="156" t="n"/>
      <c r="D255" s="156">
        <f>IF(B255&lt;&gt;"",SUMIF(出库明细!C:C,B255,出库明细!G:G),"")</f>
      </c>
      <c r="E255" s="156">
        <f>IF(AND(C255&lt;&gt;"",D255&lt;&gt;""),C255-D255,"")</f>
      </c>
      <c r="F255" s="156">
        <f>IF(B255&lt;&gt;"",SUMIFS(资金台帐!$S:$S,资金台帐!$J:$J,B255,资金台帐!$P:$P,"应收"),"")</f>
      </c>
      <c r="G255" s="156">
        <f>IF(B255="","",N(K255)+N(D255)-N(F255))</f>
      </c>
      <c r="H255" s="14">
        <f>IF(B255="","",IF(G255=0,"已结清",IF(G255&gt;0,"有欠款","预存款")))</f>
      </c>
      <c r="I255" s="157">
        <f>IFERROR(SUMIF(商品库存!B:B,B255,商品库存!I:I),0)</f>
        <v>0</v>
      </c>
      <c r="J255" s="156">
        <f>IFERROR(SUMIF(商品库存!B:B,B255,商品库存!J:J),0)</f>
        <v>0</v>
      </c>
      <c r="K255" s="156" t="n"/>
    </row>
    <row r="256" ht="15" customHeight="1" s="71">
      <c r="A256" s="14">
        <f>IF(B256="","",COUNTA($B$5:B256))</f>
      </c>
      <c r="B256" s="14" t="n"/>
      <c r="C256" s="156" t="n"/>
      <c r="D256" s="156">
        <f>IF(B256&lt;&gt;"",SUMIF(出库明细!C:C,B256,出库明细!G:G),"")</f>
      </c>
      <c r="E256" s="156">
        <f>IF(AND(C256&lt;&gt;"",D256&lt;&gt;""),C256-D256,"")</f>
      </c>
      <c r="F256" s="156">
        <f>IF(B256&lt;&gt;"",SUMIFS(资金台帐!$S:$S,资金台帐!$J:$J,B256,资金台帐!$P:$P,"应收"),"")</f>
      </c>
      <c r="G256" s="156">
        <f>IF(B256="","",N(K256)+N(D256)-N(F256))</f>
      </c>
      <c r="H256" s="14">
        <f>IF(B256="","",IF(G256=0,"已结清",IF(G256&gt;0,"有欠款","预存款")))</f>
      </c>
      <c r="I256" s="157">
        <f>IFERROR(SUMIF(商品库存!B:B,B256,商品库存!I:I),0)</f>
        <v>0</v>
      </c>
      <c r="J256" s="156">
        <f>IFERROR(SUMIF(商品库存!B:B,B256,商品库存!J:J),0)</f>
        <v>0</v>
      </c>
      <c r="K256" s="156" t="n"/>
    </row>
    <row r="257" ht="15" customHeight="1" s="71">
      <c r="A257" s="14">
        <f>IF(B257="","",COUNTA($B$5:B257))</f>
      </c>
      <c r="B257" s="14" t="n"/>
      <c r="C257" s="156" t="n"/>
      <c r="D257" s="156">
        <f>IF(B257&lt;&gt;"",SUMIF(出库明细!C:C,B257,出库明细!G:G),"")</f>
      </c>
      <c r="E257" s="156">
        <f>IF(AND(C257&lt;&gt;"",D257&lt;&gt;""),C257-D257,"")</f>
      </c>
      <c r="F257" s="156">
        <f>IF(B257&lt;&gt;"",SUMIFS(资金台帐!$S:$S,资金台帐!$J:$J,B257,资金台帐!$P:$P,"应收"),"")</f>
      </c>
      <c r="G257" s="156">
        <f>IF(B257="","",N(K257)+N(D257)-N(F257))</f>
      </c>
      <c r="H257" s="14">
        <f>IF(B257="","",IF(G257=0,"已结清",IF(G257&gt;0,"有欠款","预存款")))</f>
      </c>
      <c r="I257" s="157">
        <f>IFERROR(SUMIF(商品库存!B:B,B257,商品库存!I:I),0)</f>
        <v>0</v>
      </c>
      <c r="J257" s="156">
        <f>IFERROR(SUMIF(商品库存!B:B,B257,商品库存!J:J),0)</f>
        <v>0</v>
      </c>
      <c r="K257" s="156" t="n"/>
    </row>
    <row r="258" ht="15" customHeight="1" s="71">
      <c r="A258" s="14">
        <f>IF(B258="","",COUNTA($B$5:B258))</f>
      </c>
      <c r="B258" s="14" t="n"/>
      <c r="C258" s="156" t="n"/>
      <c r="D258" s="156">
        <f>IF(B258&lt;&gt;"",SUMIF(出库明细!C:C,B258,出库明细!G:G),"")</f>
      </c>
      <c r="E258" s="156">
        <f>IF(AND(C258&lt;&gt;"",D258&lt;&gt;""),C258-D258,"")</f>
      </c>
      <c r="F258" s="156">
        <f>IF(B258&lt;&gt;"",SUMIFS(资金台帐!$S:$S,资金台帐!$J:$J,B258,资金台帐!$P:$P,"应收"),"")</f>
      </c>
      <c r="G258" s="156">
        <f>IF(B258="","",N(K258)+N(D258)-N(F258))</f>
      </c>
      <c r="H258" s="14">
        <f>IF(B258="","",IF(G258=0,"已结清",IF(G258&gt;0,"有欠款","预存款")))</f>
      </c>
      <c r="I258" s="157">
        <f>IFERROR(SUMIF(商品库存!B:B,B258,商品库存!I:I),0)</f>
        <v>0</v>
      </c>
      <c r="J258" s="156">
        <f>IFERROR(SUMIF(商品库存!B:B,B258,商品库存!J:J),0)</f>
        <v>0</v>
      </c>
      <c r="K258" s="156" t="n"/>
    </row>
    <row r="259" ht="15" customHeight="1" s="71">
      <c r="A259" s="14">
        <f>IF(B259="","",COUNTA($B$5:B259))</f>
      </c>
      <c r="B259" s="14" t="n"/>
      <c r="C259" s="156" t="n"/>
      <c r="D259" s="156">
        <f>IF(B259&lt;&gt;"",SUMIF(出库明细!C:C,B259,出库明细!G:G),"")</f>
      </c>
      <c r="E259" s="156">
        <f>IF(AND(C259&lt;&gt;"",D259&lt;&gt;""),C259-D259,"")</f>
      </c>
      <c r="F259" s="156">
        <f>IF(B259&lt;&gt;"",SUMIFS(资金台帐!$S:$S,资金台帐!$J:$J,B259,资金台帐!$P:$P,"应收"),"")</f>
      </c>
      <c r="G259" s="156">
        <f>IF(B259="","",N(K259)+N(D259)-N(F259))</f>
      </c>
      <c r="H259" s="14">
        <f>IF(B259="","",IF(G259=0,"已结清",IF(G259&gt;0,"有欠款","预存款")))</f>
      </c>
      <c r="I259" s="157">
        <f>IFERROR(SUMIF(商品库存!B:B,B259,商品库存!I:I),0)</f>
        <v>0</v>
      </c>
      <c r="J259" s="156">
        <f>IFERROR(SUMIF(商品库存!B:B,B259,商品库存!J:J),0)</f>
        <v>0</v>
      </c>
      <c r="K259" s="156" t="n"/>
    </row>
    <row r="260" ht="15" customHeight="1" s="71">
      <c r="A260" s="14">
        <f>IF(B260="","",COUNTA($B$5:B260))</f>
      </c>
      <c r="B260" s="14" t="n"/>
      <c r="C260" s="156" t="n"/>
      <c r="D260" s="156">
        <f>IF(B260&lt;&gt;"",SUMIF(出库明细!C:C,B260,出库明细!G:G),"")</f>
      </c>
      <c r="E260" s="156">
        <f>IF(AND(C260&lt;&gt;"",D260&lt;&gt;""),C260-D260,"")</f>
      </c>
      <c r="F260" s="156">
        <f>IF(B260&lt;&gt;"",SUMIFS(资金台帐!$S:$S,资金台帐!$J:$J,B260,资金台帐!$P:$P,"应收"),"")</f>
      </c>
      <c r="G260" s="156">
        <f>IF(B260="","",N(K260)+N(D260)-N(F260))</f>
      </c>
      <c r="H260" s="14">
        <f>IF(B260="","",IF(G260=0,"已结清",IF(G260&gt;0,"有欠款","预存款")))</f>
      </c>
      <c r="I260" s="157">
        <f>IFERROR(SUMIF(商品库存!B:B,B260,商品库存!I:I),0)</f>
        <v>0</v>
      </c>
      <c r="J260" s="156">
        <f>IFERROR(SUMIF(商品库存!B:B,B260,商品库存!J:J),0)</f>
        <v>0</v>
      </c>
      <c r="K260" s="156" t="n"/>
    </row>
    <row r="261" ht="15" customHeight="1" s="71">
      <c r="A261" s="14">
        <f>IF(B261="","",COUNTA($B$5:B261))</f>
      </c>
      <c r="B261" s="14" t="n"/>
      <c r="C261" s="156" t="n"/>
      <c r="D261" s="156">
        <f>IF(B261&lt;&gt;"",SUMIF(出库明细!C:C,B261,出库明细!G:G),"")</f>
      </c>
      <c r="E261" s="156">
        <f>IF(AND(C261&lt;&gt;"",D261&lt;&gt;""),C261-D261,"")</f>
      </c>
      <c r="F261" s="156">
        <f>IF(B261&lt;&gt;"",SUMIFS(资金台帐!$S:$S,资金台帐!$J:$J,B261,资金台帐!$P:$P,"应收"),"")</f>
      </c>
      <c r="G261" s="156">
        <f>IF(B261="","",N(K261)+N(D261)-N(F261))</f>
      </c>
      <c r="H261" s="14">
        <f>IF(B261="","",IF(G261=0,"已结清",IF(G261&gt;0,"有欠款","预存款")))</f>
      </c>
      <c r="I261" s="157">
        <f>IFERROR(SUMIF(商品库存!B:B,B261,商品库存!I:I),0)</f>
        <v>0</v>
      </c>
      <c r="J261" s="156">
        <f>IFERROR(SUMIF(商品库存!B:B,B261,商品库存!J:J),0)</f>
        <v>0</v>
      </c>
      <c r="K261" s="156" t="n"/>
    </row>
    <row r="262" ht="15" customHeight="1" s="71">
      <c r="A262" s="14">
        <f>IF(B262="","",COUNTA($B$5:B262))</f>
      </c>
      <c r="B262" s="14" t="n"/>
      <c r="C262" s="156" t="n"/>
      <c r="D262" s="156">
        <f>IF(B262&lt;&gt;"",SUMIF(出库明细!C:C,B262,出库明细!G:G),"")</f>
      </c>
      <c r="E262" s="156">
        <f>IF(AND(C262&lt;&gt;"",D262&lt;&gt;""),C262-D262,"")</f>
      </c>
      <c r="F262" s="156">
        <f>IF(B262&lt;&gt;"",SUMIFS(资金台帐!$S:$S,资金台帐!$J:$J,B262,资金台帐!$P:$P,"应收"),"")</f>
      </c>
      <c r="G262" s="156">
        <f>IF(B262="","",N(K262)+N(D262)-N(F262))</f>
      </c>
      <c r="H262" s="14">
        <f>IF(B262="","",IF(G262=0,"已结清",IF(G262&gt;0,"有欠款","预存款")))</f>
      </c>
      <c r="I262" s="157">
        <f>IFERROR(SUMIF(商品库存!B:B,B262,商品库存!I:I),0)</f>
        <v>0</v>
      </c>
      <c r="J262" s="156">
        <f>IFERROR(SUMIF(商品库存!B:B,B262,商品库存!J:J),0)</f>
        <v>0</v>
      </c>
      <c r="K262" s="156" t="n"/>
    </row>
    <row r="263" ht="15" customHeight="1" s="71">
      <c r="A263" s="14">
        <f>IF(B263="","",COUNTA($B$5:B263))</f>
      </c>
      <c r="B263" s="14" t="n"/>
      <c r="C263" s="156" t="n"/>
      <c r="D263" s="156">
        <f>IF(B263&lt;&gt;"",SUMIF(出库明细!C:C,B263,出库明细!G:G),"")</f>
      </c>
      <c r="E263" s="156">
        <f>IF(AND(C263&lt;&gt;"",D263&lt;&gt;""),C263-D263,"")</f>
      </c>
      <c r="F263" s="156">
        <f>IF(B263&lt;&gt;"",SUMIFS(资金台帐!$S:$S,资金台帐!$J:$J,B263,资金台帐!$P:$P,"应收"),"")</f>
      </c>
      <c r="G263" s="156">
        <f>IF(B263="","",N(K263)+N(D263)-N(F263))</f>
      </c>
      <c r="H263" s="14">
        <f>IF(B263="","",IF(G263=0,"已结清",IF(G263&gt;0,"有欠款","预存款")))</f>
      </c>
      <c r="I263" s="157">
        <f>IFERROR(SUMIF(商品库存!B:B,B263,商品库存!I:I),0)</f>
        <v>0</v>
      </c>
      <c r="J263" s="156">
        <f>IFERROR(SUMIF(商品库存!B:B,B263,商品库存!J:J),0)</f>
        <v>0</v>
      </c>
      <c r="K263" s="156" t="n"/>
    </row>
    <row r="264" ht="15" customHeight="1" s="71">
      <c r="A264" s="14">
        <f>IF(B264="","",COUNTA($B$5:B264))</f>
      </c>
      <c r="B264" s="14" t="n"/>
      <c r="C264" s="156" t="n"/>
      <c r="D264" s="156">
        <f>IF(B264&lt;&gt;"",SUMIF(出库明细!C:C,B264,出库明细!G:G),"")</f>
      </c>
      <c r="E264" s="156">
        <f>IF(AND(C264&lt;&gt;"",D264&lt;&gt;""),C264-D264,"")</f>
      </c>
      <c r="F264" s="156">
        <f>IF(B264&lt;&gt;"",SUMIFS(资金台帐!$S:$S,资金台帐!$J:$J,B264,资金台帐!$P:$P,"应收"),"")</f>
      </c>
      <c r="G264" s="156">
        <f>IF(B264="","",N(K264)+N(D264)-N(F264))</f>
      </c>
      <c r="H264" s="14">
        <f>IF(B264="","",IF(G264=0,"已结清",IF(G264&gt;0,"有欠款","预存款")))</f>
      </c>
      <c r="I264" s="157">
        <f>IFERROR(SUMIF(商品库存!B:B,B264,商品库存!I:I),0)</f>
        <v>0</v>
      </c>
      <c r="J264" s="156">
        <f>IFERROR(SUMIF(商品库存!B:B,B264,商品库存!J:J),0)</f>
        <v>0</v>
      </c>
      <c r="K264" s="156" t="n"/>
    </row>
    <row r="265" ht="15" customHeight="1" s="71">
      <c r="A265" s="14">
        <f>IF(B265="","",COUNTA($B$5:B265))</f>
      </c>
      <c r="B265" s="14" t="n"/>
      <c r="C265" s="156" t="n"/>
      <c r="D265" s="156">
        <f>IF(B265&lt;&gt;"",SUMIF(出库明细!C:C,B265,出库明细!G:G),"")</f>
      </c>
      <c r="E265" s="156">
        <f>IF(AND(C265&lt;&gt;"",D265&lt;&gt;""),C265-D265,"")</f>
      </c>
      <c r="F265" s="156">
        <f>IF(B265&lt;&gt;"",SUMIFS(资金台帐!$S:$S,资金台帐!$J:$J,B265,资金台帐!$P:$P,"应收"),"")</f>
      </c>
      <c r="G265" s="156">
        <f>IF(B265="","",N(K265)+N(D265)-N(F265))</f>
      </c>
      <c r="H265" s="14">
        <f>IF(B265="","",IF(G265=0,"已结清",IF(G265&gt;0,"有欠款","预存款")))</f>
      </c>
      <c r="I265" s="157">
        <f>IFERROR(SUMIF(商品库存!B:B,B265,商品库存!I:I),0)</f>
        <v>0</v>
      </c>
      <c r="J265" s="156">
        <f>IFERROR(SUMIF(商品库存!B:B,B265,商品库存!J:J),0)</f>
        <v>0</v>
      </c>
      <c r="K265" s="156" t="n"/>
    </row>
    <row r="266" ht="15" customHeight="1" s="71">
      <c r="A266" s="14">
        <f>IF(B266="","",COUNTA($B$5:B266))</f>
      </c>
      <c r="B266" s="14" t="n"/>
      <c r="C266" s="156" t="n"/>
      <c r="D266" s="156">
        <f>IF(B266&lt;&gt;"",SUMIF(出库明细!C:C,B266,出库明细!G:G),"")</f>
      </c>
      <c r="E266" s="156">
        <f>IF(AND(C266&lt;&gt;"",D266&lt;&gt;""),C266-D266,"")</f>
      </c>
      <c r="F266" s="156">
        <f>IF(B266&lt;&gt;"",SUMIFS(资金台帐!$S:$S,资金台帐!$J:$J,B266,资金台帐!$P:$P,"应收"),"")</f>
      </c>
      <c r="G266" s="156">
        <f>IF(B266="","",N(K266)+N(D266)-N(F266))</f>
      </c>
      <c r="H266" s="14">
        <f>IF(B266="","",IF(G266=0,"已结清",IF(G266&gt;0,"有欠款","预存款")))</f>
      </c>
      <c r="I266" s="157">
        <f>IFERROR(SUMIF(商品库存!B:B,B266,商品库存!I:I),0)</f>
        <v>0</v>
      </c>
      <c r="J266" s="156">
        <f>IFERROR(SUMIF(商品库存!B:B,B266,商品库存!J:J),0)</f>
        <v>0</v>
      </c>
      <c r="K266" s="156" t="n"/>
    </row>
    <row r="267" ht="15" customHeight="1" s="71">
      <c r="A267" s="14">
        <f>IF(B267="","",COUNTA($B$5:B267))</f>
      </c>
      <c r="B267" s="14" t="n"/>
      <c r="C267" s="156" t="n"/>
      <c r="D267" s="156">
        <f>IF(B267&lt;&gt;"",SUMIF(出库明细!C:C,B267,出库明细!G:G),"")</f>
      </c>
      <c r="E267" s="156">
        <f>IF(AND(C267&lt;&gt;"",D267&lt;&gt;""),C267-D267,"")</f>
      </c>
      <c r="F267" s="156">
        <f>IF(B267&lt;&gt;"",SUMIFS(资金台帐!$S:$S,资金台帐!$J:$J,B267,资金台帐!$P:$P,"应收"),"")</f>
      </c>
      <c r="G267" s="156">
        <f>IF(B267="","",N(K267)+N(D267)-N(F267))</f>
      </c>
      <c r="H267" s="14">
        <f>IF(B267="","",IF(G267=0,"已结清",IF(G267&gt;0,"有欠款","预存款")))</f>
      </c>
      <c r="I267" s="157">
        <f>IFERROR(SUMIF(商品库存!B:B,B267,商品库存!I:I),0)</f>
        <v>0</v>
      </c>
      <c r="J267" s="156">
        <f>IFERROR(SUMIF(商品库存!B:B,B267,商品库存!J:J),0)</f>
        <v>0</v>
      </c>
      <c r="K267" s="156" t="n"/>
    </row>
    <row r="268" ht="15" customHeight="1" s="71">
      <c r="A268" s="14">
        <f>IF(B268="","",COUNTA($B$5:B268))</f>
      </c>
      <c r="B268" s="14" t="n"/>
      <c r="C268" s="156" t="n"/>
      <c r="D268" s="156">
        <f>IF(B268&lt;&gt;"",SUMIF(出库明细!C:C,B268,出库明细!G:G),"")</f>
      </c>
      <c r="E268" s="156">
        <f>IF(AND(C268&lt;&gt;"",D268&lt;&gt;""),C268-D268,"")</f>
      </c>
      <c r="F268" s="156">
        <f>IF(B268&lt;&gt;"",SUMIFS(资金台帐!$S:$S,资金台帐!$J:$J,B268,资金台帐!$P:$P,"应收"),"")</f>
      </c>
      <c r="G268" s="156">
        <f>IF(B268="","",N(K268)+N(D268)-N(F268))</f>
      </c>
      <c r="H268" s="14">
        <f>IF(B268="","",IF(G268=0,"已结清",IF(G268&gt;0,"有欠款","预存款")))</f>
      </c>
      <c r="I268" s="157">
        <f>IFERROR(SUMIF(商品库存!B:B,B268,商品库存!I:I),0)</f>
        <v>0</v>
      </c>
      <c r="J268" s="156">
        <f>IFERROR(SUMIF(商品库存!B:B,B268,商品库存!J:J),0)</f>
        <v>0</v>
      </c>
      <c r="K268" s="156" t="n"/>
    </row>
    <row r="269" ht="15" customHeight="1" s="71">
      <c r="A269" s="14">
        <f>IF(B269="","",COUNTA($B$5:B269))</f>
      </c>
      <c r="B269" s="14" t="n"/>
      <c r="C269" s="156" t="n"/>
      <c r="D269" s="156">
        <f>IF(B269&lt;&gt;"",SUMIF(出库明细!C:C,B269,出库明细!G:G),"")</f>
      </c>
      <c r="E269" s="156">
        <f>IF(AND(C269&lt;&gt;"",D269&lt;&gt;""),C269-D269,"")</f>
      </c>
      <c r="F269" s="156">
        <f>IF(B269&lt;&gt;"",SUMIFS(资金台帐!$S:$S,资金台帐!$J:$J,B269,资金台帐!$P:$P,"应收"),"")</f>
      </c>
      <c r="G269" s="156">
        <f>IF(B269="","",N(K269)+N(D269)-N(F269))</f>
      </c>
      <c r="H269" s="14">
        <f>IF(B269="","",IF(G269=0,"已结清",IF(G269&gt;0,"有欠款","预存款")))</f>
      </c>
      <c r="I269" s="157">
        <f>IFERROR(SUMIF(商品库存!B:B,B269,商品库存!I:I),0)</f>
        <v>0</v>
      </c>
      <c r="J269" s="156">
        <f>IFERROR(SUMIF(商品库存!B:B,B269,商品库存!J:J),0)</f>
        <v>0</v>
      </c>
      <c r="K269" s="156" t="n"/>
    </row>
    <row r="270" ht="15" customHeight="1" s="71">
      <c r="A270" s="14">
        <f>IF(B270="","",COUNTA($B$5:B270))</f>
      </c>
      <c r="B270" s="14" t="n"/>
      <c r="C270" s="156" t="n"/>
      <c r="D270" s="156">
        <f>IF(B270&lt;&gt;"",SUMIF(出库明细!C:C,B270,出库明细!G:G),"")</f>
      </c>
      <c r="E270" s="156">
        <f>IF(AND(C270&lt;&gt;"",D270&lt;&gt;""),C270-D270,"")</f>
      </c>
      <c r="F270" s="156">
        <f>IF(B270&lt;&gt;"",SUMIFS(资金台帐!$S:$S,资金台帐!$J:$J,B270,资金台帐!$P:$P,"应收"),"")</f>
      </c>
      <c r="G270" s="156">
        <f>IF(B270="","",N(K270)+N(D270)-N(F270))</f>
      </c>
      <c r="H270" s="14">
        <f>IF(B270="","",IF(G270=0,"已结清",IF(G270&gt;0,"有欠款","预存款")))</f>
      </c>
      <c r="I270" s="157">
        <f>IFERROR(SUMIF(商品库存!B:B,B270,商品库存!I:I),0)</f>
        <v>0</v>
      </c>
      <c r="J270" s="156">
        <f>IFERROR(SUMIF(商品库存!B:B,B270,商品库存!J:J),0)</f>
        <v>0</v>
      </c>
      <c r="K270" s="156" t="n"/>
    </row>
    <row r="271" ht="15" customHeight="1" s="71">
      <c r="A271" s="14">
        <f>IF(B271="","",COUNTA($B$5:B271))</f>
      </c>
      <c r="B271" s="14" t="n"/>
      <c r="C271" s="156" t="n"/>
      <c r="D271" s="156">
        <f>IF(B271&lt;&gt;"",SUMIF(出库明细!C:C,B271,出库明细!G:G),"")</f>
      </c>
      <c r="E271" s="156">
        <f>IF(AND(C271&lt;&gt;"",D271&lt;&gt;""),C271-D271,"")</f>
      </c>
      <c r="F271" s="156">
        <f>IF(B271&lt;&gt;"",SUMIFS(资金台帐!$S:$S,资金台帐!$J:$J,B271,资金台帐!$P:$P,"应收"),"")</f>
      </c>
      <c r="G271" s="156">
        <f>IF(B271="","",N(K271)+N(D271)-N(F271))</f>
      </c>
      <c r="H271" s="14">
        <f>IF(B271="","",IF(G271=0,"已结清",IF(G271&gt;0,"有欠款","预存款")))</f>
      </c>
      <c r="I271" s="157">
        <f>IFERROR(SUMIF(商品库存!B:B,B271,商品库存!I:I),0)</f>
        <v>0</v>
      </c>
      <c r="J271" s="156">
        <f>IFERROR(SUMIF(商品库存!B:B,B271,商品库存!J:J),0)</f>
        <v>0</v>
      </c>
      <c r="K271" s="156" t="n"/>
    </row>
    <row r="272" ht="15" customHeight="1" s="71">
      <c r="A272" s="14">
        <f>IF(B272="","",COUNTA($B$5:B272))</f>
      </c>
      <c r="B272" s="14" t="n"/>
      <c r="C272" s="156" t="n"/>
      <c r="D272" s="156">
        <f>IF(B272&lt;&gt;"",SUMIF(出库明细!C:C,B272,出库明细!G:G),"")</f>
      </c>
      <c r="E272" s="156">
        <f>IF(AND(C272&lt;&gt;"",D272&lt;&gt;""),C272-D272,"")</f>
      </c>
      <c r="F272" s="156">
        <f>IF(B272&lt;&gt;"",SUMIFS(资金台帐!$S:$S,资金台帐!$J:$J,B272,资金台帐!$P:$P,"应收"),"")</f>
      </c>
      <c r="G272" s="156">
        <f>IF(B272="","",N(K272)+N(D272)-N(F272))</f>
      </c>
      <c r="H272" s="14">
        <f>IF(B272="","",IF(G272=0,"已结清",IF(G272&gt;0,"有欠款","预存款")))</f>
      </c>
      <c r="I272" s="157">
        <f>IFERROR(SUMIF(商品库存!B:B,B272,商品库存!I:I),0)</f>
        <v>0</v>
      </c>
      <c r="J272" s="156">
        <f>IFERROR(SUMIF(商品库存!B:B,B272,商品库存!J:J),0)</f>
        <v>0</v>
      </c>
      <c r="K272" s="156" t="n"/>
    </row>
    <row r="273" ht="15" customHeight="1" s="71">
      <c r="A273" s="14">
        <f>IF(B273="","",COUNTA($B$5:B273))</f>
      </c>
      <c r="B273" s="14" t="n"/>
      <c r="C273" s="156" t="n"/>
      <c r="D273" s="156">
        <f>IF(B273&lt;&gt;"",SUMIF(出库明细!C:C,B273,出库明细!G:G),"")</f>
      </c>
      <c r="E273" s="156">
        <f>IF(AND(C273&lt;&gt;"",D273&lt;&gt;""),C273-D273,"")</f>
      </c>
      <c r="F273" s="156">
        <f>IF(B273&lt;&gt;"",SUMIFS(资金台帐!$S:$S,资金台帐!$J:$J,B273,资金台帐!$P:$P,"应收"),"")</f>
      </c>
      <c r="G273" s="156">
        <f>IF(B273="","",N(K273)+N(D273)-N(F273))</f>
      </c>
      <c r="H273" s="14">
        <f>IF(B273="","",IF(G273=0,"已结清",IF(G273&gt;0,"有欠款","预存款")))</f>
      </c>
      <c r="I273" s="157">
        <f>IFERROR(SUMIF(商品库存!B:B,B273,商品库存!I:I),0)</f>
        <v>0</v>
      </c>
      <c r="J273" s="156">
        <f>IFERROR(SUMIF(商品库存!B:B,B273,商品库存!J:J),0)</f>
        <v>0</v>
      </c>
      <c r="K273" s="156" t="n"/>
    </row>
    <row r="274" ht="15" customHeight="1" s="71">
      <c r="A274" s="14">
        <f>IF(B274="","",COUNTA($B$5:B274))</f>
      </c>
      <c r="B274" s="14" t="n"/>
      <c r="C274" s="156" t="n"/>
      <c r="D274" s="156">
        <f>IF(B274&lt;&gt;"",SUMIF(出库明细!C:C,B274,出库明细!G:G),"")</f>
      </c>
      <c r="E274" s="156">
        <f>IF(AND(C274&lt;&gt;"",D274&lt;&gt;""),C274-D274,"")</f>
      </c>
      <c r="F274" s="156">
        <f>IF(B274&lt;&gt;"",SUMIFS(资金台帐!$S:$S,资金台帐!$J:$J,B274,资金台帐!$P:$P,"应收"),"")</f>
      </c>
      <c r="G274" s="156">
        <f>IF(B274="","",N(K274)+N(D274)-N(F274))</f>
      </c>
      <c r="H274" s="14">
        <f>IF(B274="","",IF(G274=0,"已结清",IF(G274&gt;0,"有欠款","预存款")))</f>
      </c>
      <c r="I274" s="157">
        <f>IFERROR(SUMIF(商品库存!B:B,B274,商品库存!I:I),0)</f>
        <v>0</v>
      </c>
      <c r="J274" s="156">
        <f>IFERROR(SUMIF(商品库存!B:B,B274,商品库存!J:J),0)</f>
        <v>0</v>
      </c>
      <c r="K274" s="156" t="n"/>
    </row>
    <row r="275" ht="15" customHeight="1" s="71">
      <c r="A275" s="14">
        <f>IF(B275="","",COUNTA($B$5:B275))</f>
      </c>
      <c r="B275" s="14" t="n"/>
      <c r="C275" s="156" t="n"/>
      <c r="D275" s="156">
        <f>IF(B275&lt;&gt;"",SUMIF(出库明细!C:C,B275,出库明细!G:G),"")</f>
      </c>
      <c r="E275" s="156">
        <f>IF(AND(C275&lt;&gt;"",D275&lt;&gt;""),C275-D275,"")</f>
      </c>
      <c r="F275" s="156">
        <f>IF(B275&lt;&gt;"",SUMIFS(资金台帐!$S:$S,资金台帐!$J:$J,B275,资金台帐!$P:$P,"应收"),"")</f>
      </c>
      <c r="G275" s="156">
        <f>IF(B275="","",N(K275)+N(D275)-N(F275))</f>
      </c>
      <c r="H275" s="14">
        <f>IF(B275="","",IF(G275=0,"已结清",IF(G275&gt;0,"有欠款","预存款")))</f>
      </c>
      <c r="I275" s="157">
        <f>IFERROR(SUMIF(商品库存!B:B,B275,商品库存!I:I),0)</f>
        <v>0</v>
      </c>
      <c r="J275" s="156">
        <f>IFERROR(SUMIF(商品库存!B:B,B275,商品库存!J:J),0)</f>
        <v>0</v>
      </c>
      <c r="K275" s="156" t="n"/>
    </row>
    <row r="276" ht="15" customHeight="1" s="71">
      <c r="A276" s="14">
        <f>IF(B276="","",COUNTA($B$5:B276))</f>
      </c>
      <c r="B276" s="14" t="n"/>
      <c r="C276" s="156" t="n"/>
      <c r="D276" s="156">
        <f>IF(B276&lt;&gt;"",SUMIF(出库明细!C:C,B276,出库明细!G:G),"")</f>
      </c>
      <c r="E276" s="156">
        <f>IF(AND(C276&lt;&gt;"",D276&lt;&gt;""),C276-D276,"")</f>
      </c>
      <c r="F276" s="156">
        <f>IF(B276&lt;&gt;"",SUMIFS(资金台帐!$S:$S,资金台帐!$J:$J,B276,资金台帐!$P:$P,"应收"),"")</f>
      </c>
      <c r="G276" s="156">
        <f>IF(B276="","",N(K276)+N(D276)-N(F276))</f>
      </c>
      <c r="H276" s="14">
        <f>IF(B276="","",IF(G276=0,"已结清",IF(G276&gt;0,"有欠款","预存款")))</f>
      </c>
      <c r="I276" s="157">
        <f>IFERROR(SUMIF(商品库存!B:B,B276,商品库存!I:I),0)</f>
        <v>0</v>
      </c>
      <c r="J276" s="156">
        <f>IFERROR(SUMIF(商品库存!B:B,B276,商品库存!J:J),0)</f>
        <v>0</v>
      </c>
      <c r="K276" s="156" t="n"/>
    </row>
    <row r="277" ht="15" customHeight="1" s="71">
      <c r="A277" s="14">
        <f>IF(B277="","",COUNTA($B$5:B277))</f>
      </c>
      <c r="B277" s="14" t="n"/>
      <c r="C277" s="156" t="n"/>
      <c r="D277" s="156">
        <f>IF(B277&lt;&gt;"",SUMIF(出库明细!C:C,B277,出库明细!G:G),"")</f>
      </c>
      <c r="E277" s="156">
        <f>IF(AND(C277&lt;&gt;"",D277&lt;&gt;""),C277-D277,"")</f>
      </c>
      <c r="F277" s="156">
        <f>IF(B277&lt;&gt;"",SUMIFS(资金台帐!$S:$S,资金台帐!$J:$J,B277,资金台帐!$P:$P,"应收"),"")</f>
      </c>
      <c r="G277" s="156">
        <f>IF(B277="","",N(K277)+N(D277)-N(F277))</f>
      </c>
      <c r="H277" s="14">
        <f>IF(B277="","",IF(G277=0,"已结清",IF(G277&gt;0,"有欠款","预存款")))</f>
      </c>
      <c r="I277" s="157">
        <f>IFERROR(SUMIF(商品库存!B:B,B277,商品库存!I:I),0)</f>
        <v>0</v>
      </c>
      <c r="J277" s="156">
        <f>IFERROR(SUMIF(商品库存!B:B,B277,商品库存!J:J),0)</f>
        <v>0</v>
      </c>
      <c r="K277" s="156" t="n"/>
    </row>
    <row r="278" ht="15" customHeight="1" s="71">
      <c r="A278" s="14">
        <f>IF(B278="","",COUNTA($B$5:B278))</f>
      </c>
      <c r="B278" s="14" t="n"/>
      <c r="C278" s="156" t="n"/>
      <c r="D278" s="156">
        <f>IF(B278&lt;&gt;"",SUMIF(出库明细!C:C,B278,出库明细!G:G),"")</f>
      </c>
      <c r="E278" s="156">
        <f>IF(AND(C278&lt;&gt;"",D278&lt;&gt;""),C278-D278,"")</f>
      </c>
      <c r="F278" s="156">
        <f>IF(B278&lt;&gt;"",SUMIFS(资金台帐!$S:$S,资金台帐!$J:$J,B278,资金台帐!$P:$P,"应收"),"")</f>
      </c>
      <c r="G278" s="156">
        <f>IF(B278="","",N(K278)+N(D278)-N(F278))</f>
      </c>
      <c r="H278" s="14">
        <f>IF(B278="","",IF(G278=0,"已结清",IF(G278&gt;0,"有欠款","预存款")))</f>
      </c>
      <c r="I278" s="157">
        <f>IFERROR(SUMIF(商品库存!B:B,B278,商品库存!I:I),0)</f>
        <v>0</v>
      </c>
      <c r="J278" s="156">
        <f>IFERROR(SUMIF(商品库存!B:B,B278,商品库存!J:J),0)</f>
        <v>0</v>
      </c>
      <c r="K278" s="156" t="n"/>
    </row>
    <row r="279" ht="15" customHeight="1" s="71">
      <c r="A279" s="14">
        <f>IF(B279="","",COUNTA($B$5:B279))</f>
      </c>
      <c r="B279" s="14" t="n"/>
      <c r="C279" s="156" t="n"/>
      <c r="D279" s="156">
        <f>IF(B279&lt;&gt;"",SUMIF(出库明细!C:C,B279,出库明细!G:G),"")</f>
      </c>
      <c r="E279" s="156">
        <f>IF(AND(C279&lt;&gt;"",D279&lt;&gt;""),C279-D279,"")</f>
      </c>
      <c r="F279" s="156">
        <f>IF(B279&lt;&gt;"",SUMIFS(资金台帐!$S:$S,资金台帐!$J:$J,B279,资金台帐!$P:$P,"应收"),"")</f>
      </c>
      <c r="G279" s="156">
        <f>IF(B279="","",N(K279)+N(D279)-N(F279))</f>
      </c>
      <c r="H279" s="14">
        <f>IF(B279="","",IF(G279=0,"已结清",IF(G279&gt;0,"有欠款","预存款")))</f>
      </c>
      <c r="I279" s="157">
        <f>IFERROR(SUMIF(商品库存!B:B,B279,商品库存!I:I),0)</f>
        <v>0</v>
      </c>
      <c r="J279" s="156">
        <f>IFERROR(SUMIF(商品库存!B:B,B279,商品库存!J:J),0)</f>
        <v>0</v>
      </c>
      <c r="K279" s="156" t="n"/>
    </row>
    <row r="280" ht="15" customHeight="1" s="71">
      <c r="A280" s="14">
        <f>IF(B280="","",COUNTA($B$5:B280))</f>
      </c>
      <c r="B280" s="14" t="n"/>
      <c r="C280" s="156" t="n"/>
      <c r="D280" s="156">
        <f>IF(B280&lt;&gt;"",SUMIF(出库明细!C:C,B280,出库明细!G:G),"")</f>
      </c>
      <c r="E280" s="156">
        <f>IF(AND(C280&lt;&gt;"",D280&lt;&gt;""),C280-D280,"")</f>
      </c>
      <c r="F280" s="156">
        <f>IF(B280&lt;&gt;"",SUMIFS(资金台帐!$S:$S,资金台帐!$J:$J,B280,资金台帐!$P:$P,"应收"),"")</f>
      </c>
      <c r="G280" s="156">
        <f>IF(B280="","",N(K280)+N(D280)-N(F280))</f>
      </c>
      <c r="H280" s="14">
        <f>IF(B280="","",IF(G280=0,"已结清",IF(G280&gt;0,"有欠款","预存款")))</f>
      </c>
      <c r="I280" s="157">
        <f>IFERROR(SUMIF(商品库存!B:B,B280,商品库存!I:I),0)</f>
        <v>0</v>
      </c>
      <c r="J280" s="156">
        <f>IFERROR(SUMIF(商品库存!B:B,B280,商品库存!J:J),0)</f>
        <v>0</v>
      </c>
      <c r="K280" s="156" t="n"/>
    </row>
    <row r="281" ht="15" customHeight="1" s="71">
      <c r="A281" s="14">
        <f>IF(B281="","",COUNTA($B$5:B281))</f>
      </c>
      <c r="B281" s="14" t="n"/>
      <c r="C281" s="156" t="n"/>
      <c r="D281" s="156">
        <f>IF(B281&lt;&gt;"",SUMIF(出库明细!C:C,B281,出库明细!G:G),"")</f>
      </c>
      <c r="E281" s="156">
        <f>IF(AND(C281&lt;&gt;"",D281&lt;&gt;""),C281-D281,"")</f>
      </c>
      <c r="F281" s="156">
        <f>IF(B281&lt;&gt;"",SUMIFS(资金台帐!$S:$S,资金台帐!$J:$J,B281,资金台帐!$P:$P,"应收"),"")</f>
      </c>
      <c r="G281" s="156">
        <f>IF(B281="","",N(K281)+N(D281)-N(F281))</f>
      </c>
      <c r="H281" s="14">
        <f>IF(B281="","",IF(G281=0,"已结清",IF(G281&gt;0,"有欠款","预存款")))</f>
      </c>
      <c r="I281" s="157">
        <f>IFERROR(SUMIF(商品库存!B:B,B281,商品库存!I:I),0)</f>
        <v>0</v>
      </c>
      <c r="J281" s="156">
        <f>IFERROR(SUMIF(商品库存!B:B,B281,商品库存!J:J),0)</f>
        <v>0</v>
      </c>
      <c r="K281" s="156" t="n"/>
    </row>
    <row r="282" ht="15" customHeight="1" s="71">
      <c r="A282" s="14">
        <f>IF(B282="","",COUNTA($B$5:B282))</f>
      </c>
      <c r="B282" s="14" t="n"/>
      <c r="C282" s="156" t="n"/>
      <c r="D282" s="156">
        <f>IF(B282&lt;&gt;"",SUMIF(出库明细!C:C,B282,出库明细!G:G),"")</f>
      </c>
      <c r="E282" s="156">
        <f>IF(AND(C282&lt;&gt;"",D282&lt;&gt;""),C282-D282,"")</f>
      </c>
      <c r="F282" s="156">
        <f>IF(B282&lt;&gt;"",SUMIFS(资金台帐!$S:$S,资金台帐!$J:$J,B282,资金台帐!$P:$P,"应收"),"")</f>
      </c>
      <c r="G282" s="156">
        <f>IF(B282="","",N(K282)+N(D282)-N(F282))</f>
      </c>
      <c r="H282" s="14">
        <f>IF(B282="","",IF(G282=0,"已结清",IF(G282&gt;0,"有欠款","预存款")))</f>
      </c>
      <c r="I282" s="157">
        <f>IFERROR(SUMIF(商品库存!B:B,B282,商品库存!I:I),0)</f>
        <v>0</v>
      </c>
      <c r="J282" s="156">
        <f>IFERROR(SUMIF(商品库存!B:B,B282,商品库存!J:J),0)</f>
        <v>0</v>
      </c>
      <c r="K282" s="156" t="n"/>
    </row>
    <row r="283" ht="15" customHeight="1" s="71">
      <c r="A283" s="14">
        <f>IF(B283="","",COUNTA($B$5:B283))</f>
      </c>
      <c r="B283" s="14" t="n"/>
      <c r="C283" s="156" t="n"/>
      <c r="D283" s="156">
        <f>IF(B283&lt;&gt;"",SUMIF(出库明细!C:C,B283,出库明细!G:G),"")</f>
      </c>
      <c r="E283" s="156">
        <f>IF(AND(C283&lt;&gt;"",D283&lt;&gt;""),C283-D283,"")</f>
      </c>
      <c r="F283" s="156">
        <f>IF(B283&lt;&gt;"",SUMIFS(资金台帐!$S:$S,资金台帐!$J:$J,B283,资金台帐!$P:$P,"应收"),"")</f>
      </c>
      <c r="G283" s="156">
        <f>IF(B283="","",N(K283)+N(D283)-N(F283))</f>
      </c>
      <c r="H283" s="14">
        <f>IF(B283="","",IF(G283=0,"已结清",IF(G283&gt;0,"有欠款","预存款")))</f>
      </c>
      <c r="I283" s="157">
        <f>IFERROR(SUMIF(商品库存!B:B,B283,商品库存!I:I),0)</f>
        <v>0</v>
      </c>
      <c r="J283" s="156">
        <f>IFERROR(SUMIF(商品库存!B:B,B283,商品库存!J:J),0)</f>
        <v>0</v>
      </c>
      <c r="K283" s="156" t="n"/>
    </row>
    <row r="284" ht="15" customHeight="1" s="71">
      <c r="A284" s="14">
        <f>IF(B284="","",COUNTA($B$5:B284))</f>
      </c>
      <c r="B284" s="14" t="n"/>
      <c r="C284" s="156" t="n"/>
      <c r="D284" s="156">
        <f>IF(B284&lt;&gt;"",SUMIF(出库明细!C:C,B284,出库明细!G:G),"")</f>
      </c>
      <c r="E284" s="156">
        <f>IF(AND(C284&lt;&gt;"",D284&lt;&gt;""),C284-D284,"")</f>
      </c>
      <c r="F284" s="156">
        <f>IF(B284&lt;&gt;"",SUMIFS(资金台帐!$S:$S,资金台帐!$J:$J,B284,资金台帐!$P:$P,"应收"),"")</f>
      </c>
      <c r="G284" s="156">
        <f>IF(B284="","",N(K284)+N(D284)-N(F284))</f>
      </c>
      <c r="H284" s="14">
        <f>IF(B284="","",IF(G284=0,"已结清",IF(G284&gt;0,"有欠款","预存款")))</f>
      </c>
      <c r="I284" s="157">
        <f>IFERROR(SUMIF(商品库存!B:B,B284,商品库存!I:I),0)</f>
        <v>0</v>
      </c>
      <c r="J284" s="156">
        <f>IFERROR(SUMIF(商品库存!B:B,B284,商品库存!J:J),0)</f>
        <v>0</v>
      </c>
      <c r="K284" s="156" t="n"/>
    </row>
    <row r="285" ht="15" customHeight="1" s="71">
      <c r="A285" s="14">
        <f>IF(B285="","",COUNTA($B$5:B285))</f>
      </c>
      <c r="B285" s="14" t="n"/>
      <c r="C285" s="156" t="n"/>
      <c r="D285" s="156">
        <f>IF(B285&lt;&gt;"",SUMIF(出库明细!C:C,B285,出库明细!G:G),"")</f>
      </c>
      <c r="E285" s="156">
        <f>IF(AND(C285&lt;&gt;"",D285&lt;&gt;""),C285-D285,"")</f>
      </c>
      <c r="F285" s="156">
        <f>IF(B285&lt;&gt;"",SUMIFS(资金台帐!$S:$S,资金台帐!$J:$J,B285,资金台帐!$P:$P,"应收"),"")</f>
      </c>
      <c r="G285" s="156">
        <f>IF(B285="","",N(K285)+N(D285)-N(F285))</f>
      </c>
      <c r="H285" s="14">
        <f>IF(B285="","",IF(G285=0,"已结清",IF(G285&gt;0,"有欠款","预存款")))</f>
      </c>
      <c r="I285" s="157">
        <f>IFERROR(SUMIF(商品库存!B:B,B285,商品库存!I:I),0)</f>
        <v>0</v>
      </c>
      <c r="J285" s="156">
        <f>IFERROR(SUMIF(商品库存!B:B,B285,商品库存!J:J),0)</f>
        <v>0</v>
      </c>
      <c r="K285" s="156" t="n"/>
    </row>
    <row r="286" ht="15" customHeight="1" s="71">
      <c r="A286" s="14">
        <f>IF(B286="","",COUNTA($B$5:B286))</f>
      </c>
      <c r="B286" s="14" t="n"/>
      <c r="C286" s="156" t="n"/>
      <c r="D286" s="156">
        <f>IF(B286&lt;&gt;"",SUMIF(出库明细!C:C,B286,出库明细!G:G),"")</f>
      </c>
      <c r="E286" s="156">
        <f>IF(AND(C286&lt;&gt;"",D286&lt;&gt;""),C286-D286,"")</f>
      </c>
      <c r="F286" s="156">
        <f>IF(B286&lt;&gt;"",SUMIFS(资金台帐!$S:$S,资金台帐!$J:$J,B286,资金台帐!$P:$P,"应收"),"")</f>
      </c>
      <c r="G286" s="156">
        <f>IF(B286="","",N(K286)+N(D286)-N(F286))</f>
      </c>
      <c r="H286" s="14">
        <f>IF(B286="","",IF(G286=0,"已结清",IF(G286&gt;0,"有欠款","预存款")))</f>
      </c>
      <c r="I286" s="157">
        <f>IFERROR(SUMIF(商品库存!B:B,B286,商品库存!I:I),0)</f>
        <v>0</v>
      </c>
      <c r="J286" s="156">
        <f>IFERROR(SUMIF(商品库存!B:B,B286,商品库存!J:J),0)</f>
        <v>0</v>
      </c>
      <c r="K286" s="156" t="n"/>
    </row>
    <row r="287" ht="15" customHeight="1" s="71">
      <c r="A287" s="14">
        <f>IF(B287="","",COUNTA($B$5:B287))</f>
      </c>
      <c r="B287" s="14" t="n"/>
      <c r="C287" s="156" t="n"/>
      <c r="D287" s="156">
        <f>IF(B287&lt;&gt;"",SUMIF(出库明细!C:C,B287,出库明细!G:G),"")</f>
      </c>
      <c r="E287" s="156">
        <f>IF(AND(C287&lt;&gt;"",D287&lt;&gt;""),C287-D287,"")</f>
      </c>
      <c r="F287" s="156">
        <f>IF(B287&lt;&gt;"",SUMIFS(资金台帐!$S:$S,资金台帐!$J:$J,B287,资金台帐!$P:$P,"应收"),"")</f>
      </c>
      <c r="G287" s="156">
        <f>IF(B287="","",N(K287)+N(D287)-N(F287))</f>
      </c>
      <c r="H287" s="14">
        <f>IF(B287="","",IF(G287=0,"已结清",IF(G287&gt;0,"有欠款","预存款")))</f>
      </c>
      <c r="I287" s="157">
        <f>IFERROR(SUMIF(商品库存!B:B,B287,商品库存!I:I),0)</f>
        <v>0</v>
      </c>
      <c r="J287" s="156">
        <f>IFERROR(SUMIF(商品库存!B:B,B287,商品库存!J:J),0)</f>
        <v>0</v>
      </c>
      <c r="K287" s="156" t="n"/>
    </row>
    <row r="288" ht="15" customHeight="1" s="71">
      <c r="A288" s="14">
        <f>IF(B288="","",COUNTA($B$5:B288))</f>
      </c>
      <c r="B288" s="14" t="n"/>
      <c r="C288" s="156" t="n"/>
      <c r="D288" s="156">
        <f>IF(B288&lt;&gt;"",SUMIF(出库明细!C:C,B288,出库明细!G:G),"")</f>
      </c>
      <c r="E288" s="156">
        <f>IF(AND(C288&lt;&gt;"",D288&lt;&gt;""),C288-D288,"")</f>
      </c>
      <c r="F288" s="156">
        <f>IF(B288&lt;&gt;"",SUMIFS(资金台帐!$S:$S,资金台帐!$J:$J,B288,资金台帐!$P:$P,"应收"),"")</f>
      </c>
      <c r="G288" s="156">
        <f>IF(B288="","",N(K288)+N(D288)-N(F288))</f>
      </c>
      <c r="H288" s="14">
        <f>IF(B288="","",IF(G288=0,"已结清",IF(G288&gt;0,"有欠款","预存款")))</f>
      </c>
      <c r="I288" s="157">
        <f>IFERROR(SUMIF(商品库存!B:B,B288,商品库存!I:I),0)</f>
        <v>0</v>
      </c>
      <c r="J288" s="156">
        <f>IFERROR(SUMIF(商品库存!B:B,B288,商品库存!J:J),0)</f>
        <v>0</v>
      </c>
      <c r="K288" s="156" t="n"/>
    </row>
    <row r="289" ht="15" customHeight="1" s="71">
      <c r="A289" s="14">
        <f>IF(B289="","",COUNTA($B$5:B289))</f>
      </c>
      <c r="B289" s="14" t="n"/>
      <c r="C289" s="156" t="n"/>
      <c r="D289" s="156">
        <f>IF(B289&lt;&gt;"",SUMIF(出库明细!C:C,B289,出库明细!G:G),"")</f>
      </c>
      <c r="E289" s="156">
        <f>IF(AND(C289&lt;&gt;"",D289&lt;&gt;""),C289-D289,"")</f>
      </c>
      <c r="F289" s="156">
        <f>IF(B289&lt;&gt;"",SUMIFS(资金台帐!$S:$S,资金台帐!$J:$J,B289,资金台帐!$P:$P,"应收"),"")</f>
      </c>
      <c r="G289" s="156">
        <f>IF(B289="","",N(K289)+N(D289)-N(F289))</f>
      </c>
      <c r="H289" s="14">
        <f>IF(B289="","",IF(G289=0,"已结清",IF(G289&gt;0,"有欠款","预存款")))</f>
      </c>
      <c r="I289" s="157">
        <f>IFERROR(SUMIF(商品库存!B:B,B289,商品库存!I:I),0)</f>
        <v>0</v>
      </c>
      <c r="J289" s="156">
        <f>IFERROR(SUMIF(商品库存!B:B,B289,商品库存!J:J),0)</f>
        <v>0</v>
      </c>
      <c r="K289" s="156" t="n"/>
    </row>
    <row r="290" ht="15" customHeight="1" s="71">
      <c r="A290" s="14">
        <f>IF(B290="","",COUNTA($B$5:B290))</f>
      </c>
      <c r="B290" s="14" t="n"/>
      <c r="C290" s="156" t="n"/>
      <c r="D290" s="156">
        <f>IF(B290&lt;&gt;"",SUMIF(出库明细!C:C,B290,出库明细!G:G),"")</f>
      </c>
      <c r="E290" s="156">
        <f>IF(AND(C290&lt;&gt;"",D290&lt;&gt;""),C290-D290,"")</f>
      </c>
      <c r="F290" s="156">
        <f>IF(B290&lt;&gt;"",SUMIFS(资金台帐!$S:$S,资金台帐!$J:$J,B290,资金台帐!$P:$P,"应收"),"")</f>
      </c>
      <c r="G290" s="156">
        <f>IF(B290="","",N(K290)+N(D290)-N(F290))</f>
      </c>
      <c r="H290" s="14">
        <f>IF(B290="","",IF(G290=0,"已结清",IF(G290&gt;0,"有欠款","预存款")))</f>
      </c>
      <c r="I290" s="157">
        <f>IFERROR(SUMIF(商品库存!B:B,B290,商品库存!I:I),0)</f>
        <v>0</v>
      </c>
      <c r="J290" s="156">
        <f>IFERROR(SUMIF(商品库存!B:B,B290,商品库存!J:J),0)</f>
        <v>0</v>
      </c>
      <c r="K290" s="156" t="n"/>
    </row>
    <row r="291" ht="15" customHeight="1" s="71">
      <c r="A291" s="14">
        <f>IF(B291="","",COUNTA($B$5:B291))</f>
      </c>
      <c r="B291" s="14" t="n"/>
      <c r="C291" s="156" t="n"/>
      <c r="D291" s="156">
        <f>IF(B291&lt;&gt;"",SUMIF(出库明细!C:C,B291,出库明细!G:G),"")</f>
      </c>
      <c r="E291" s="156">
        <f>IF(AND(C291&lt;&gt;"",D291&lt;&gt;""),C291-D291,"")</f>
      </c>
      <c r="F291" s="156">
        <f>IF(B291&lt;&gt;"",SUMIFS(资金台帐!$S:$S,资金台帐!$J:$J,B291,资金台帐!$P:$P,"应收"),"")</f>
      </c>
      <c r="G291" s="156">
        <f>IF(B291="","",N(K291)+N(D291)-N(F291))</f>
      </c>
      <c r="H291" s="14">
        <f>IF(B291="","",IF(G291=0,"已结清",IF(G291&gt;0,"有欠款","预存款")))</f>
      </c>
      <c r="I291" s="157">
        <f>IFERROR(SUMIF(商品库存!B:B,B291,商品库存!I:I),0)</f>
        <v>0</v>
      </c>
      <c r="J291" s="156">
        <f>IFERROR(SUMIF(商品库存!B:B,B291,商品库存!J:J),0)</f>
        <v>0</v>
      </c>
      <c r="K291" s="156" t="n"/>
    </row>
    <row r="292" ht="15" customHeight="1" s="71">
      <c r="A292" s="14">
        <f>IF(B292="","",COUNTA($B$5:B292))</f>
      </c>
      <c r="B292" s="14" t="n"/>
      <c r="C292" s="156" t="n"/>
      <c r="D292" s="156">
        <f>IF(B292&lt;&gt;"",SUMIF(出库明细!C:C,B292,出库明细!G:G),"")</f>
      </c>
      <c r="E292" s="156">
        <f>IF(AND(C292&lt;&gt;"",D292&lt;&gt;""),C292-D292,"")</f>
      </c>
      <c r="F292" s="156">
        <f>IF(B292&lt;&gt;"",SUMIFS(资金台帐!$S:$S,资金台帐!$J:$J,B292,资金台帐!$P:$P,"应收"),"")</f>
      </c>
      <c r="G292" s="156">
        <f>IF(B292="","",N(K292)+N(D292)-N(F292))</f>
      </c>
      <c r="H292" s="14">
        <f>IF(B292="","",IF(G292=0,"已结清",IF(G292&gt;0,"有欠款","预存款")))</f>
      </c>
      <c r="I292" s="157">
        <f>IFERROR(SUMIF(商品库存!B:B,B292,商品库存!I:I),0)</f>
        <v>0</v>
      </c>
      <c r="J292" s="156">
        <f>IFERROR(SUMIF(商品库存!B:B,B292,商品库存!J:J),0)</f>
        <v>0</v>
      </c>
      <c r="K292" s="156" t="n"/>
    </row>
    <row r="293" ht="15" customHeight="1" s="71">
      <c r="A293" s="14">
        <f>IF(B293="","",COUNTA($B$5:B293))</f>
      </c>
      <c r="B293" s="14" t="n"/>
      <c r="C293" s="156" t="n"/>
      <c r="D293" s="156">
        <f>IF(B293&lt;&gt;"",SUMIF(出库明细!C:C,B293,出库明细!G:G),"")</f>
      </c>
      <c r="E293" s="156">
        <f>IF(AND(C293&lt;&gt;"",D293&lt;&gt;""),C293-D293,"")</f>
      </c>
      <c r="F293" s="156">
        <f>IF(B293&lt;&gt;"",SUMIFS(资金台帐!$S:$S,资金台帐!$J:$J,B293,资金台帐!$P:$P,"应收"),"")</f>
      </c>
      <c r="G293" s="156">
        <f>IF(B293="","",N(K293)+N(D293)-N(F293))</f>
      </c>
      <c r="H293" s="14">
        <f>IF(B293="","",IF(G293=0,"已结清",IF(G293&gt;0,"有欠款","预存款")))</f>
      </c>
      <c r="I293" s="157">
        <f>IFERROR(SUMIF(商品库存!B:B,B293,商品库存!I:I),0)</f>
        <v>0</v>
      </c>
      <c r="J293" s="156">
        <f>IFERROR(SUMIF(商品库存!B:B,B293,商品库存!J:J),0)</f>
        <v>0</v>
      </c>
      <c r="K293" s="156" t="n"/>
    </row>
    <row r="294" ht="15" customHeight="1" s="71">
      <c r="A294" s="14">
        <f>IF(B294="","",COUNTA($B$5:B294))</f>
      </c>
      <c r="B294" s="14" t="n"/>
      <c r="C294" s="156" t="n"/>
      <c r="D294" s="156">
        <f>IF(B294&lt;&gt;"",SUMIF(出库明细!C:C,B294,出库明细!G:G),"")</f>
      </c>
      <c r="E294" s="156">
        <f>IF(AND(C294&lt;&gt;"",D294&lt;&gt;""),C294-D294,"")</f>
      </c>
      <c r="F294" s="156">
        <f>IF(B294&lt;&gt;"",SUMIFS(资金台帐!$S:$S,资金台帐!$J:$J,B294,资金台帐!$P:$P,"应收"),"")</f>
      </c>
      <c r="G294" s="156">
        <f>IF(B294="","",N(K294)+N(D294)-N(F294))</f>
      </c>
      <c r="H294" s="14">
        <f>IF(B294="","",IF(G294=0,"已结清",IF(G294&gt;0,"有欠款","预存款")))</f>
      </c>
      <c r="I294" s="157">
        <f>IFERROR(SUMIF(商品库存!B:B,B294,商品库存!I:I),0)</f>
        <v>0</v>
      </c>
      <c r="J294" s="156">
        <f>IFERROR(SUMIF(商品库存!B:B,B294,商品库存!J:J),0)</f>
        <v>0</v>
      </c>
      <c r="K294" s="156" t="n"/>
    </row>
    <row r="295" ht="15" customHeight="1" s="71">
      <c r="A295" s="14">
        <f>IF(B295="","",COUNTA($B$5:B295))</f>
      </c>
      <c r="B295" s="14" t="n"/>
      <c r="C295" s="156" t="n"/>
      <c r="D295" s="156">
        <f>IF(B295&lt;&gt;"",SUMIF(出库明细!C:C,B295,出库明细!G:G),"")</f>
      </c>
      <c r="E295" s="156">
        <f>IF(AND(C295&lt;&gt;"",D295&lt;&gt;""),C295-D295,"")</f>
      </c>
      <c r="F295" s="156">
        <f>IF(B295&lt;&gt;"",SUMIFS(资金台帐!$S:$S,资金台帐!$J:$J,B295,资金台帐!$P:$P,"应收"),"")</f>
      </c>
      <c r="G295" s="156">
        <f>IF(B295="","",N(K295)+N(D295)-N(F295))</f>
      </c>
      <c r="H295" s="14">
        <f>IF(B295="","",IF(G295=0,"已结清",IF(G295&gt;0,"有欠款","预存款")))</f>
      </c>
      <c r="I295" s="157">
        <f>IFERROR(SUMIF(商品库存!B:B,B295,商品库存!I:I),0)</f>
        <v>0</v>
      </c>
      <c r="J295" s="156">
        <f>IFERROR(SUMIF(商品库存!B:B,B295,商品库存!J:J),0)</f>
        <v>0</v>
      </c>
      <c r="K295" s="156" t="n"/>
    </row>
    <row r="296" ht="15" customHeight="1" s="71">
      <c r="A296" s="14">
        <f>IF(B296="","",COUNTA($B$5:B296))</f>
      </c>
      <c r="B296" s="14" t="n"/>
      <c r="C296" s="156" t="n"/>
      <c r="D296" s="156">
        <f>IF(B296&lt;&gt;"",SUMIF(出库明细!C:C,B296,出库明细!G:G),"")</f>
      </c>
      <c r="E296" s="156">
        <f>IF(AND(C296&lt;&gt;"",D296&lt;&gt;""),C296-D296,"")</f>
      </c>
      <c r="F296" s="156">
        <f>IF(B296&lt;&gt;"",SUMIFS(资金台帐!$S:$S,资金台帐!$J:$J,B296,资金台帐!$P:$P,"应收"),"")</f>
      </c>
      <c r="G296" s="156">
        <f>IF(B296="","",N(K296)+N(D296)-N(F296))</f>
      </c>
      <c r="H296" s="14">
        <f>IF(B296="","",IF(G296=0,"已结清",IF(G296&gt;0,"有欠款","预存款")))</f>
      </c>
      <c r="I296" s="157">
        <f>IFERROR(SUMIF(商品库存!B:B,B296,商品库存!I:I),0)</f>
        <v>0</v>
      </c>
      <c r="J296" s="156">
        <f>IFERROR(SUMIF(商品库存!B:B,B296,商品库存!J:J),0)</f>
        <v>0</v>
      </c>
      <c r="K296" s="156" t="n"/>
    </row>
    <row r="297" ht="15" customHeight="1" s="71">
      <c r="A297" s="14">
        <f>IF(B297="","",COUNTA($B$5:B297))</f>
      </c>
      <c r="B297" s="14" t="n"/>
      <c r="C297" s="156" t="n"/>
      <c r="D297" s="156">
        <f>IF(B297&lt;&gt;"",SUMIF(出库明细!C:C,B297,出库明细!G:G),"")</f>
      </c>
      <c r="E297" s="156">
        <f>IF(AND(C297&lt;&gt;"",D297&lt;&gt;""),C297-D297,"")</f>
      </c>
      <c r="F297" s="156">
        <f>IF(B297&lt;&gt;"",SUMIFS(资金台帐!$S:$S,资金台帐!$J:$J,B297,资金台帐!$P:$P,"应收"),"")</f>
      </c>
      <c r="G297" s="156">
        <f>IF(B297="","",N(K297)+N(D297)-N(F297))</f>
      </c>
      <c r="H297" s="14">
        <f>IF(B297="","",IF(G297=0,"已结清",IF(G297&gt;0,"有欠款","预存款")))</f>
      </c>
      <c r="I297" s="157">
        <f>IFERROR(SUMIF(商品库存!B:B,B297,商品库存!I:I),0)</f>
        <v>0</v>
      </c>
      <c r="J297" s="156">
        <f>IFERROR(SUMIF(商品库存!B:B,B297,商品库存!J:J),0)</f>
        <v>0</v>
      </c>
      <c r="K297" s="156" t="n"/>
    </row>
    <row r="298" ht="15" customHeight="1" s="71">
      <c r="A298" s="14">
        <f>IF(B298="","",COUNTA($B$5:B298))</f>
      </c>
      <c r="B298" s="14" t="n"/>
      <c r="C298" s="156" t="n"/>
      <c r="D298" s="156">
        <f>IF(B298&lt;&gt;"",SUMIF(出库明细!C:C,B298,出库明细!G:G),"")</f>
      </c>
      <c r="E298" s="156">
        <f>IF(AND(C298&lt;&gt;"",D298&lt;&gt;""),C298-D298,"")</f>
      </c>
      <c r="F298" s="156">
        <f>IF(B298&lt;&gt;"",SUMIFS(资金台帐!$S:$S,资金台帐!$J:$J,B298,资金台帐!$P:$P,"应收"),"")</f>
      </c>
      <c r="G298" s="156">
        <f>IF(B298="","",N(K298)+N(D298)-N(F298))</f>
      </c>
      <c r="H298" s="14">
        <f>IF(B298="","",IF(G298=0,"已结清",IF(G298&gt;0,"有欠款","预存款")))</f>
      </c>
      <c r="I298" s="157">
        <f>IFERROR(SUMIF(商品库存!B:B,B298,商品库存!I:I),0)</f>
        <v>0</v>
      </c>
      <c r="J298" s="156">
        <f>IFERROR(SUMIF(商品库存!B:B,B298,商品库存!J:J),0)</f>
        <v>0</v>
      </c>
      <c r="K298" s="156" t="n"/>
    </row>
    <row r="299" ht="15" customHeight="1" s="71">
      <c r="A299" s="14">
        <f>IF(B299="","",COUNTA($B$5:B299))</f>
      </c>
      <c r="B299" s="14" t="n"/>
      <c r="C299" s="156" t="n"/>
      <c r="D299" s="156">
        <f>IF(B299&lt;&gt;"",SUMIF(出库明细!C:C,B299,出库明细!G:G),"")</f>
      </c>
      <c r="E299" s="156">
        <f>IF(AND(C299&lt;&gt;"",D299&lt;&gt;""),C299-D299,"")</f>
      </c>
      <c r="F299" s="156">
        <f>IF(B299&lt;&gt;"",SUMIFS(资金台帐!$S:$S,资金台帐!$J:$J,B299,资金台帐!$P:$P,"应收"),"")</f>
      </c>
      <c r="G299" s="156">
        <f>IF(B299="","",N(K299)+N(D299)-N(F299))</f>
      </c>
      <c r="H299" s="14">
        <f>IF(B299="","",IF(G299=0,"已结清",IF(G299&gt;0,"有欠款","预存款")))</f>
      </c>
      <c r="I299" s="157">
        <f>IFERROR(SUMIF(商品库存!B:B,B299,商品库存!I:I),0)</f>
        <v>0</v>
      </c>
      <c r="J299" s="156">
        <f>IFERROR(SUMIF(商品库存!B:B,B299,商品库存!J:J),0)</f>
        <v>0</v>
      </c>
      <c r="K299" s="156" t="n"/>
    </row>
    <row r="300" ht="15" customHeight="1" s="71">
      <c r="A300" s="14">
        <f>IF(B300="","",COUNTA($B$5:B300))</f>
      </c>
      <c r="B300" s="14" t="n"/>
      <c r="C300" s="156" t="n"/>
      <c r="D300" s="156">
        <f>IF(B300&lt;&gt;"",SUMIF(出库明细!C:C,B300,出库明细!G:G),"")</f>
      </c>
      <c r="E300" s="156">
        <f>IF(AND(C300&lt;&gt;"",D300&lt;&gt;""),C300-D300,"")</f>
      </c>
      <c r="F300" s="156">
        <f>IF(B300&lt;&gt;"",SUMIFS(资金台帐!$S:$S,资金台帐!$J:$J,B300,资金台帐!$P:$P,"应收"),"")</f>
      </c>
      <c r="G300" s="156">
        <f>IF(B300="","",N(K300)+N(D300)-N(F300))</f>
      </c>
      <c r="H300" s="14">
        <f>IF(B300="","",IF(G300=0,"已结清",IF(G300&gt;0,"有欠款","预存款")))</f>
      </c>
      <c r="I300" s="157">
        <f>IFERROR(SUMIF(商品库存!B:B,B300,商品库存!I:I),0)</f>
        <v>0</v>
      </c>
      <c r="J300" s="156">
        <f>IFERROR(SUMIF(商品库存!B:B,B300,商品库存!J:J),0)</f>
        <v>0</v>
      </c>
      <c r="K300" s="156" t="n"/>
    </row>
    <row r="301" ht="15" customHeight="1" s="71">
      <c r="A301" s="14">
        <f>IF(B301="","",COUNTA($B$5:B301))</f>
      </c>
      <c r="B301" s="14" t="n"/>
      <c r="C301" s="156" t="n"/>
      <c r="D301" s="156">
        <f>IF(B301&lt;&gt;"",SUMIF(出库明细!C:C,B301,出库明细!G:G),"")</f>
      </c>
      <c r="E301" s="156">
        <f>IF(AND(C301&lt;&gt;"",D301&lt;&gt;""),C301-D301,"")</f>
      </c>
      <c r="F301" s="156">
        <f>IF(B301&lt;&gt;"",SUMIFS(资金台帐!$S:$S,资金台帐!$J:$J,B301,资金台帐!$P:$P,"应收"),"")</f>
      </c>
      <c r="G301" s="156">
        <f>IF(B301="","",N(K301)+N(D301)-N(F301))</f>
      </c>
      <c r="H301" s="14">
        <f>IF(B301="","",IF(G301=0,"已结清",IF(G301&gt;0,"有欠款","预存款")))</f>
      </c>
      <c r="I301" s="157">
        <f>IFERROR(SUMIF(商品库存!B:B,B301,商品库存!I:I),0)</f>
        <v>0</v>
      </c>
      <c r="J301" s="156">
        <f>IFERROR(SUMIF(商品库存!B:B,B301,商品库存!J:J),0)</f>
        <v>0</v>
      </c>
      <c r="K301" s="156" t="n"/>
    </row>
    <row r="302" ht="15" customHeight="1" s="71">
      <c r="A302" s="14">
        <f>IF(B302="","",COUNTA($B$5:B302))</f>
      </c>
      <c r="B302" s="14" t="n"/>
      <c r="C302" s="156" t="n"/>
      <c r="D302" s="156">
        <f>IF(B302&lt;&gt;"",SUMIF(出库明细!C:C,B302,出库明细!G:G),"")</f>
      </c>
      <c r="E302" s="156">
        <f>IF(AND(C302&lt;&gt;"",D302&lt;&gt;""),C302-D302,"")</f>
      </c>
      <c r="F302" s="156">
        <f>IF(B302&lt;&gt;"",SUMIFS(资金台帐!$S:$S,资金台帐!$J:$J,B302,资金台帐!$P:$P,"应收"),"")</f>
      </c>
      <c r="G302" s="156">
        <f>IF(B302="","",N(K302)+N(D302)-N(F302))</f>
      </c>
      <c r="H302" s="14">
        <f>IF(B302="","",IF(G302=0,"已结清",IF(G302&gt;0,"有欠款","预存款")))</f>
      </c>
      <c r="I302" s="157">
        <f>IFERROR(SUMIF(商品库存!B:B,B302,商品库存!I:I),0)</f>
        <v>0</v>
      </c>
      <c r="J302" s="156">
        <f>IFERROR(SUMIF(商品库存!B:B,B302,商品库存!J:J),0)</f>
        <v>0</v>
      </c>
      <c r="K302" s="156" t="n"/>
    </row>
    <row r="303" ht="15" customHeight="1" s="71">
      <c r="A303" s="14">
        <f>IF(B303="","",COUNTA($B$5:B303))</f>
      </c>
      <c r="B303" s="14" t="n"/>
      <c r="C303" s="156" t="n"/>
      <c r="D303" s="156">
        <f>IF(B303&lt;&gt;"",SUMIF(出库明细!C:C,B303,出库明细!G:G),"")</f>
      </c>
      <c r="E303" s="156">
        <f>IF(AND(C303&lt;&gt;"",D303&lt;&gt;""),C303-D303,"")</f>
      </c>
      <c r="F303" s="156">
        <f>IF(B303&lt;&gt;"",SUMIFS(资金台帐!$S:$S,资金台帐!$J:$J,B303,资金台帐!$P:$P,"应收"),"")</f>
      </c>
      <c r="G303" s="156">
        <f>IF(B303="","",N(K303)+N(D303)-N(F303))</f>
      </c>
      <c r="H303" s="14">
        <f>IF(B303="","",IF(G303=0,"已结清",IF(G303&gt;0,"有欠款","预存款")))</f>
      </c>
      <c r="I303" s="157">
        <f>IFERROR(SUMIF(商品库存!B:B,B303,商品库存!I:I),0)</f>
        <v>0</v>
      </c>
      <c r="J303" s="156">
        <f>IFERROR(SUMIF(商品库存!B:B,B303,商品库存!J:J),0)</f>
        <v>0</v>
      </c>
      <c r="K303" s="156" t="n"/>
    </row>
    <row r="304" ht="15" customHeight="1" s="71">
      <c r="A304" s="14">
        <f>IF(B304="","",COUNTA($B$5:B304))</f>
      </c>
      <c r="B304" s="14" t="n"/>
      <c r="C304" s="156" t="n"/>
      <c r="D304" s="156">
        <f>IF(B304&lt;&gt;"",SUMIF(出库明细!C:C,B304,出库明细!G:G),"")</f>
      </c>
      <c r="E304" s="156">
        <f>IF(AND(C304&lt;&gt;"",D304&lt;&gt;""),C304-D304,"")</f>
      </c>
      <c r="F304" s="156">
        <f>IF(B304&lt;&gt;"",SUMIFS(资金台帐!$S:$S,资金台帐!$J:$J,B304,资金台帐!$P:$P,"应收"),"")</f>
      </c>
      <c r="G304" s="156">
        <f>IF(B304="","",N(K304)+N(D304)-N(F304))</f>
      </c>
      <c r="H304" s="14">
        <f>IF(B304="","",IF(G304=0,"已结清",IF(G304&gt;0,"有欠款","预存款")))</f>
      </c>
      <c r="I304" s="157">
        <f>IFERROR(SUMIF(商品库存!B:B,B304,商品库存!I:I),0)</f>
        <v>0</v>
      </c>
      <c r="J304" s="156">
        <f>IFERROR(SUMIF(商品库存!B:B,B304,商品库存!J:J),0)</f>
        <v>0</v>
      </c>
      <c r="K304" s="156" t="n"/>
    </row>
    <row r="305">
      <c r="A305" s="37" t="inlineStr">
        <is>
          <t>合计</t>
        </is>
      </c>
      <c r="C305" s="159">
        <f>SUM(C5:C304)</f>
        <v>3138507.19</v>
      </c>
      <c r="D305" s="159">
        <f>SUM(D5:D304)</f>
        <v>1707307.7</v>
      </c>
      <c r="E305" s="159">
        <f>SUM(E5:E304)</f>
        <v>1446535.99</v>
      </c>
      <c r="F305" s="159">
        <f>SUM(F5:F304)</f>
        <v>3869309.69</v>
      </c>
      <c r="G305" s="159">
        <f>SUM(G5:G304)</f>
        <v>-2162001.99</v>
      </c>
      <c r="H305" s="37" t="n"/>
      <c r="I305" s="160">
        <f>SUM(I5:I304)</f>
        <v>25340</v>
      </c>
      <c r="J305" s="159">
        <f>SUM(J5:J304)</f>
        <v>1993075.8</v>
      </c>
      <c r="K305" s="159">
        <f>SUM(K5:K304)</f>
        <v>0</v>
      </c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</sheetData>
  <autoFilter ref="A4:K304"/>
  <mergeCells count="3">
    <mergeCell ref="A1:H1"/>
    <mergeCell ref="A305:B305"/>
    <mergeCell ref="A2:H2"/>
  </mergeCells>
  <conditionalFormatting sqref="B5:B304">
    <cfRule type="expression" priority="1" dxfId="0">
      <formula>AND(B5&lt;&gt;"",COUNTIF($B$5:$B$304,B5)&gt;1)</formula>
    </cfRule>
  </conditionalFormatting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T3003"/>
  <sheetViews>
    <sheetView tabSelected="0" zoomScale="90" zoomScaleNormal="90" workbookViewId="0">
      <pane ySplit="3" topLeftCell="A4" activePane="bottomLeft" state="frozen"/>
      <selection pane="bottomLeft" activeCell="A1" sqref="A1"/>
      <selection pane="bottomLeft" activeCell="B487" sqref="B487:B489"/>
    </sheetView>
  </sheetViews>
  <sheetFormatPr baseColWidth="8" defaultColWidth="14" defaultRowHeight="12"/>
  <cols>
    <col width="7" customWidth="1" style="71" min="1" max="1"/>
    <col width="13" customWidth="1" style="71" min="2" max="2"/>
    <col width="17" customWidth="1" style="35" min="3" max="4"/>
    <col width="13" customWidth="1" style="71" min="4" max="4"/>
    <col width="13" customWidth="1" style="35" min="5" max="5"/>
    <col width="13" customWidth="1" style="71" min="6" max="6"/>
    <col width="17" customWidth="1" style="71" min="7" max="7"/>
    <col width="21" customWidth="1" style="71" min="8" max="8"/>
  </cols>
  <sheetData>
    <row r="1" ht="33" customHeight="1" s="71">
      <c r="A1" s="51" t="inlineStr">
        <is>
          <t>商品领用明细台账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 s="71">
      <c r="A2" s="3" t="inlineStr">
        <is>
          <t>💡 每次送货/拣货在此登记（客户、商品从下拉选），总览表、商品库存、利润表、对账单自动更新。金额＝数量×单价自动算；赠品没单价的照样登记数量，成本会算进去。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37" customHeight="1" s="71">
      <c r="A3" s="53" t="inlineStr">
        <is>
          <t>序号</t>
        </is>
      </c>
      <c r="B3" s="53" t="inlineStr">
        <is>
          <t>日期</t>
        </is>
      </c>
      <c r="C3" s="53" t="inlineStr">
        <is>
          <t>客户名称</t>
        </is>
      </c>
      <c r="D3" s="53" t="inlineStr">
        <is>
          <t>商品品类</t>
        </is>
      </c>
      <c r="E3" s="53" t="inlineStr">
        <is>
          <t>领用数量(件)</t>
        </is>
      </c>
      <c r="F3" s="53" t="inlineStr">
        <is>
          <t>单价(元/件)</t>
        </is>
      </c>
      <c r="G3" s="53" t="inlineStr">
        <is>
          <t>本次领用金额(元)</t>
        </is>
      </c>
      <c r="H3" s="53" t="inlineStr">
        <is>
          <t>备注</t>
        </is>
      </c>
      <c r="I3" s="2" t="n"/>
      <c r="J3" s="2" t="n"/>
      <c r="K3" s="2" t="n"/>
      <c r="L3" s="2" t="n"/>
      <c r="M3" s="2" t="n"/>
      <c r="N3" s="34" t="n"/>
      <c r="O3" s="2" t="n"/>
      <c r="P3" s="2" t="n"/>
      <c r="Q3" s="2" t="n"/>
      <c r="R3" s="2" t="n"/>
      <c r="S3" s="2" t="n"/>
      <c r="T3" s="2" t="n"/>
    </row>
    <row r="4" ht="15" customFormat="1" customHeight="1" s="16">
      <c r="A4" s="54" t="n">
        <v>1</v>
      </c>
      <c r="B4" s="161" t="n">
        <v>46202</v>
      </c>
      <c r="C4" s="29" t="inlineStr">
        <is>
          <t>阿东副食</t>
        </is>
      </c>
      <c r="D4" s="56" t="inlineStr">
        <is>
          <t>555补水</t>
        </is>
      </c>
      <c r="E4" s="54" t="n">
        <v>11</v>
      </c>
      <c r="F4" s="162" t="n">
        <v>65</v>
      </c>
      <c r="G4" s="155">
        <f>IF(AND(E4&lt;&gt;"",F4&lt;&gt;""),E4*F4,"")</f>
        <v>715</v>
      </c>
      <c r="H4" s="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5" customFormat="1" customHeight="1" s="16">
      <c r="A5" s="54" t="n">
        <v>2</v>
      </c>
      <c r="B5" s="163" t="n">
        <v>46202</v>
      </c>
      <c r="C5" s="29" t="inlineStr">
        <is>
          <t>阿东副食</t>
        </is>
      </c>
      <c r="D5" s="29" t="inlineStr">
        <is>
          <t>小焙好茶</t>
        </is>
      </c>
      <c r="E5" s="29" t="n">
        <v>20</v>
      </c>
      <c r="F5" s="155" t="n">
        <v>48</v>
      </c>
      <c r="G5" s="155">
        <f>IF(AND(E5&lt;&gt;"",F5&lt;&gt;""),E5*F5,"")</f>
        <v>960</v>
      </c>
      <c r="H5" s="14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5" customFormat="1" customHeight="1" s="16">
      <c r="A6" s="54" t="n">
        <v>3</v>
      </c>
      <c r="B6" s="163" t="n">
        <v>46203</v>
      </c>
      <c r="C6" s="29" t="inlineStr">
        <is>
          <t>阿东副食</t>
        </is>
      </c>
      <c r="D6" s="29" t="inlineStr">
        <is>
          <t>小果之茶</t>
        </is>
      </c>
      <c r="E6" s="29" t="n">
        <v>166</v>
      </c>
      <c r="F6" s="155" t="n">
        <v>47</v>
      </c>
      <c r="G6" s="155">
        <f>IF(AND(E6&lt;&gt;"",F6&lt;&gt;""),E6*F6,"")</f>
        <v>7802</v>
      </c>
      <c r="H6" s="29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</row>
    <row r="7" ht="15" customHeight="1" s="71">
      <c r="A7" s="54" t="n">
        <v>4</v>
      </c>
      <c r="B7" s="163" t="n">
        <v>46210</v>
      </c>
      <c r="C7" s="29" t="inlineStr">
        <is>
          <t>阿东副食</t>
        </is>
      </c>
      <c r="D7" s="29" t="inlineStr">
        <is>
          <t>555补水</t>
        </is>
      </c>
      <c r="E7" s="29" t="n">
        <v>80</v>
      </c>
      <c r="F7" s="155" t="n">
        <v>65</v>
      </c>
      <c r="G7" s="155">
        <f>IF(AND(E7&lt;&gt;"",F7&lt;&gt;""),E7*F7,"")</f>
        <v>5200</v>
      </c>
      <c r="H7" s="29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</row>
    <row r="8" ht="15" customHeight="1" s="71">
      <c r="A8" s="54" t="n">
        <v>5</v>
      </c>
      <c r="B8" s="163" t="n">
        <v>46210</v>
      </c>
      <c r="C8" s="29" t="inlineStr">
        <is>
          <t>阿东副食</t>
        </is>
      </c>
      <c r="D8" s="54" t="inlineStr">
        <is>
          <t>1L补水</t>
        </is>
      </c>
      <c r="E8" s="54" t="n">
        <v>50</v>
      </c>
      <c r="F8" s="162" t="n">
        <v>55</v>
      </c>
      <c r="G8" s="155">
        <f>IF(AND(E8&lt;&gt;"",F8&lt;&gt;""),E8*F8,"")</f>
        <v>2750</v>
      </c>
      <c r="H8" s="5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</row>
    <row r="9" ht="15" customHeight="1" s="71">
      <c r="A9" s="54" t="n">
        <v>6</v>
      </c>
      <c r="B9" s="163" t="n">
        <v>46220</v>
      </c>
      <c r="C9" s="29" t="inlineStr">
        <is>
          <t>阿东副食</t>
        </is>
      </c>
      <c r="D9" s="54" t="inlineStr">
        <is>
          <t>1L果之茶</t>
        </is>
      </c>
      <c r="E9" s="54" t="n">
        <v>90</v>
      </c>
      <c r="F9" s="162" t="n">
        <v>43</v>
      </c>
      <c r="G9" s="162">
        <f>IF(AND(E9&lt;&gt;"",F9&lt;&gt;""),E9*F9,"")</f>
        <v>3870</v>
      </c>
      <c r="H9" s="5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</row>
    <row r="10" ht="15" customHeight="1" s="71">
      <c r="A10" s="54" t="n">
        <v>7</v>
      </c>
      <c r="B10" s="163" t="n">
        <v>46220</v>
      </c>
      <c r="C10" s="29" t="inlineStr">
        <is>
          <t>阿东副食</t>
        </is>
      </c>
      <c r="D10" s="29" t="inlineStr">
        <is>
          <t>小焙好茶</t>
        </is>
      </c>
      <c r="E10" s="29" t="n">
        <v>20</v>
      </c>
      <c r="F10" s="155" t="n">
        <v>48</v>
      </c>
      <c r="G10" s="155">
        <f>IF(AND(E10&lt;&gt;"",F10&lt;&gt;""),E10*F10,"")</f>
        <v>960</v>
      </c>
      <c r="H10" s="29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</row>
    <row r="11" ht="15" customHeight="1" s="71">
      <c r="A11" s="54" t="n">
        <v>8</v>
      </c>
      <c r="B11" s="163" t="n">
        <v>46220</v>
      </c>
      <c r="C11" s="29" t="inlineStr">
        <is>
          <t>阿东副食</t>
        </is>
      </c>
      <c r="D11" s="54" t="inlineStr">
        <is>
          <t>555补水</t>
        </is>
      </c>
      <c r="E11" s="54" t="n">
        <v>25</v>
      </c>
      <c r="F11" s="162" t="n">
        <v>65</v>
      </c>
      <c r="G11" s="162">
        <f>IF(AND(E11&lt;&gt;"",F11&lt;&gt;""),E11*F11,"")</f>
        <v>1625</v>
      </c>
      <c r="H11" s="5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</row>
    <row r="12" ht="15" customHeight="1" s="71">
      <c r="A12" s="54" t="n">
        <v>9</v>
      </c>
      <c r="B12" s="163" t="n">
        <v>46220</v>
      </c>
      <c r="C12" s="29" t="inlineStr">
        <is>
          <t>阿东副食</t>
        </is>
      </c>
      <c r="D12" s="29" t="inlineStr">
        <is>
          <t>小果之茶</t>
        </is>
      </c>
      <c r="E12" s="29" t="n">
        <v>50</v>
      </c>
      <c r="F12" s="155" t="n">
        <v>47</v>
      </c>
      <c r="G12" s="155">
        <f>IF(AND(E12&lt;&gt;"",F12&lt;&gt;""),E12*F12,"")</f>
        <v>2350</v>
      </c>
      <c r="H12" s="29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</row>
    <row r="13" ht="15" customFormat="1" customHeight="1" s="16">
      <c r="A13" s="54" t="n">
        <v>10</v>
      </c>
      <c r="B13" s="161" t="n">
        <v>46227</v>
      </c>
      <c r="C13" s="54" t="inlineStr">
        <is>
          <t>阿东副食</t>
        </is>
      </c>
      <c r="D13" s="54" t="inlineStr">
        <is>
          <t>大咖</t>
        </is>
      </c>
      <c r="E13" s="54" t="n">
        <v>50</v>
      </c>
      <c r="F13" s="162" t="n">
        <v>83</v>
      </c>
      <c r="G13" s="162">
        <f>IF(AND(E13&lt;&gt;"",F13&lt;&gt;""),E13*F13,"")</f>
        <v>4150</v>
      </c>
      <c r="H13" s="5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</row>
    <row r="14" ht="15" customHeight="1" s="71">
      <c r="A14" s="54" t="n">
        <v>11</v>
      </c>
      <c r="B14" s="163" t="n">
        <v>46225</v>
      </c>
      <c r="C14" s="29" t="inlineStr">
        <is>
          <t>阿东副食</t>
        </is>
      </c>
      <c r="D14" s="29" t="inlineStr">
        <is>
          <t>330大咖</t>
        </is>
      </c>
      <c r="E14" s="29" t="n">
        <v>20</v>
      </c>
      <c r="F14" s="155" t="n">
        <v>90</v>
      </c>
      <c r="G14" s="155">
        <f>IF(AND(E14&lt;&gt;"",F14&lt;&gt;""),E14*F14,"")</f>
        <v>1800</v>
      </c>
      <c r="H14" s="29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</row>
    <row r="15" ht="15" customFormat="1" customHeight="1" s="16">
      <c r="A15" s="54" t="n">
        <v>12</v>
      </c>
      <c r="B15" s="163" t="n">
        <v>46225</v>
      </c>
      <c r="C15" s="29" t="inlineStr">
        <is>
          <t>阿东副食</t>
        </is>
      </c>
      <c r="D15" s="54" t="inlineStr">
        <is>
          <t>555补水</t>
        </is>
      </c>
      <c r="E15" s="54" t="n">
        <v>30</v>
      </c>
      <c r="F15" s="162" t="n">
        <v>65</v>
      </c>
      <c r="G15" s="162">
        <f>IF(AND(E15&lt;&gt;"",F15&lt;&gt;""),E15*F15,"")</f>
        <v>1950</v>
      </c>
      <c r="H15" s="5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</row>
    <row r="16" ht="15" customHeight="1" s="71">
      <c r="A16" s="54" t="n">
        <v>13</v>
      </c>
      <c r="B16" s="161" t="n">
        <v>46220</v>
      </c>
      <c r="C16" s="30" t="inlineStr">
        <is>
          <t>阿东副食</t>
        </is>
      </c>
      <c r="D16" s="30" t="inlineStr">
        <is>
          <t>东鹏椰子水</t>
        </is>
      </c>
      <c r="E16" s="54" t="n">
        <v>30</v>
      </c>
      <c r="F16" s="162" t="n">
        <v>90</v>
      </c>
      <c r="G16" s="162">
        <f>IF(AND(E16&lt;&gt;"",F16&lt;&gt;""),E16*F16,"")</f>
        <v>2700</v>
      </c>
      <c r="H16" s="5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</row>
    <row r="17" ht="15" customHeight="1" s="71">
      <c r="A17" s="54" t="n">
        <v>14</v>
      </c>
      <c r="B17" s="163" t="n">
        <v>46220</v>
      </c>
      <c r="C17" s="30" t="inlineStr">
        <is>
          <t>滨江路小红花便利店</t>
        </is>
      </c>
      <c r="D17" s="54" t="inlineStr">
        <is>
          <t>小果之茶</t>
        </is>
      </c>
      <c r="E17" s="54" t="n">
        <v>6</v>
      </c>
      <c r="F17" s="162" t="n">
        <v>50</v>
      </c>
      <c r="G17" s="162">
        <f>IF(AND(E17&lt;&gt;"",F17&lt;&gt;""),E17*F17,"")</f>
        <v>300</v>
      </c>
      <c r="H17" s="5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</row>
    <row r="18" ht="15" customHeight="1" s="71">
      <c r="A18" s="54" t="n">
        <v>15</v>
      </c>
      <c r="B18" s="163" t="n">
        <v>46220</v>
      </c>
      <c r="C18" s="30" t="inlineStr">
        <is>
          <t>滨江路小红花便利店</t>
        </is>
      </c>
      <c r="D18" s="29" t="inlineStr">
        <is>
          <t>1L果之茶</t>
        </is>
      </c>
      <c r="E18" s="29" t="n">
        <v>2</v>
      </c>
      <c r="F18" s="155" t="n">
        <v>46</v>
      </c>
      <c r="G18" s="155">
        <f>IF(AND(E18&lt;&gt;"",F18&lt;&gt;""),E18*F18,"")</f>
        <v>92</v>
      </c>
      <c r="H18" s="29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</row>
    <row r="19" ht="15" customHeight="1" s="71">
      <c r="A19" s="54" t="n">
        <v>16</v>
      </c>
      <c r="B19" s="161" t="n">
        <v>46218</v>
      </c>
      <c r="C19" s="30" t="inlineStr">
        <is>
          <t>滨江荣香副食</t>
        </is>
      </c>
      <c r="D19" s="54" t="inlineStr">
        <is>
          <t>小果之茶</t>
        </is>
      </c>
      <c r="E19" s="54" t="n">
        <v>15</v>
      </c>
      <c r="F19" s="162" t="n">
        <v>50</v>
      </c>
      <c r="G19" s="162">
        <f>IF(AND(E19&lt;&gt;"",F19&lt;&gt;""),E19*F19,"")</f>
        <v>750</v>
      </c>
      <c r="H19" s="5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</row>
    <row r="20" ht="15" customFormat="1" customHeight="1" s="16">
      <c r="A20" s="54" t="n">
        <v>17</v>
      </c>
      <c r="B20" s="161" t="n">
        <v>46218</v>
      </c>
      <c r="C20" s="30" t="inlineStr">
        <is>
          <t>滨江荣香副食</t>
        </is>
      </c>
      <c r="D20" s="29" t="inlineStr">
        <is>
          <t>555补水</t>
        </is>
      </c>
      <c r="E20" s="29" t="n">
        <v>6</v>
      </c>
      <c r="F20" s="155" t="n">
        <v>68</v>
      </c>
      <c r="G20" s="155">
        <f>IF(AND(E20&lt;&gt;"",F20&lt;&gt;""),E20*F20,"")</f>
        <v>408</v>
      </c>
      <c r="H20" s="29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</row>
    <row r="21" ht="15" customFormat="1" customHeight="1" s="16">
      <c r="A21" s="54" t="n">
        <v>18</v>
      </c>
      <c r="B21" s="161" t="n">
        <v>46218</v>
      </c>
      <c r="C21" s="30" t="inlineStr">
        <is>
          <t>滨江荣香副食</t>
        </is>
      </c>
      <c r="D21" s="54" t="inlineStr">
        <is>
          <t>1L补水</t>
        </is>
      </c>
      <c r="E21" s="54" t="n">
        <v>3</v>
      </c>
      <c r="F21" s="162" t="n">
        <v>58</v>
      </c>
      <c r="G21" s="162">
        <f>IF(AND(E21&lt;&gt;"",F21&lt;&gt;""),E21*F21,"")</f>
        <v>174</v>
      </c>
      <c r="H21" s="5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</row>
    <row r="22" ht="15" customFormat="1" customHeight="1" s="16">
      <c r="A22" s="54" t="n">
        <v>19</v>
      </c>
      <c r="B22" s="161" t="n">
        <v>46212</v>
      </c>
      <c r="C22" s="29" t="inlineStr">
        <is>
          <t>诚信粮油</t>
        </is>
      </c>
      <c r="D22" s="29" t="inlineStr">
        <is>
          <t>大东鹏</t>
        </is>
      </c>
      <c r="E22" s="29" t="n">
        <v>100</v>
      </c>
      <c r="F22" s="155" t="n">
        <v>90</v>
      </c>
      <c r="G22" s="155">
        <f>IF(AND(E22&lt;&gt;"",F22&lt;&gt;""),E22*F22,"")</f>
        <v>9000</v>
      </c>
      <c r="H22" s="29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</row>
    <row r="23" ht="15" customFormat="1" customHeight="1" s="16">
      <c r="A23" s="54" t="n">
        <v>20</v>
      </c>
      <c r="B23" s="163" t="n">
        <v>46212</v>
      </c>
      <c r="C23" s="29" t="inlineStr">
        <is>
          <t>诚信粮油</t>
        </is>
      </c>
      <c r="D23" s="29" t="inlineStr">
        <is>
          <t>1L补水</t>
        </is>
      </c>
      <c r="E23" s="29" t="n">
        <v>35</v>
      </c>
      <c r="F23" s="155" t="n">
        <v>55</v>
      </c>
      <c r="G23" s="155">
        <f>IF(AND(E23&lt;&gt;"",F23&lt;&gt;""),E23*F23,"")</f>
        <v>1925</v>
      </c>
      <c r="H23" s="29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</row>
    <row r="24" ht="15" customFormat="1" customHeight="1" s="16">
      <c r="A24" s="54" t="n">
        <v>21</v>
      </c>
      <c r="B24" s="163" t="n">
        <v>46212</v>
      </c>
      <c r="C24" s="29" t="inlineStr">
        <is>
          <t>诚信粮油</t>
        </is>
      </c>
      <c r="D24" s="54" t="inlineStr">
        <is>
          <t>555补水</t>
        </is>
      </c>
      <c r="E24" s="54" t="n">
        <v>15</v>
      </c>
      <c r="F24" s="162" t="n">
        <v>65</v>
      </c>
      <c r="G24" s="162">
        <f>IF(AND(E24&lt;&gt;"",F24&lt;&gt;""),E24*F24,"")</f>
        <v>975</v>
      </c>
      <c r="H24" s="5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</row>
    <row r="25" ht="15" customFormat="1" customHeight="1" s="16">
      <c r="A25" s="54" t="n">
        <v>22</v>
      </c>
      <c r="B25" s="161" t="n">
        <v>46230</v>
      </c>
      <c r="C25" s="29" t="inlineStr">
        <is>
          <t>诚信粮油</t>
        </is>
      </c>
      <c r="D25" s="54" t="inlineStr">
        <is>
          <t>大东鹏</t>
        </is>
      </c>
      <c r="E25" s="29" t="n">
        <v>100</v>
      </c>
      <c r="F25" s="155" t="n">
        <v>90</v>
      </c>
      <c r="G25" s="155">
        <f>IF(AND(E25&lt;&gt;"",F25&lt;&gt;""),E25*F25,"")</f>
        <v>9000</v>
      </c>
      <c r="H25" s="29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</row>
    <row r="26" ht="15" customFormat="1" customHeight="1" s="16">
      <c r="A26" s="54" t="n">
        <v>23</v>
      </c>
      <c r="B26" s="163" t="n">
        <v>46214</v>
      </c>
      <c r="C26" s="30" t="inlineStr">
        <is>
          <t>城北街隆兴商行</t>
        </is>
      </c>
      <c r="D26" s="29" t="inlineStr">
        <is>
          <t>大东鹏</t>
        </is>
      </c>
      <c r="E26" s="29" t="n">
        <v>1</v>
      </c>
      <c r="F26" s="155" t="n"/>
      <c r="G26" s="155">
        <f>IF(AND(E26&lt;&gt;"",F26&lt;&gt;""),E26*F26,"")</f>
      </c>
      <c r="H26" s="29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</row>
    <row r="27" ht="15" customFormat="1" customHeight="1" s="16">
      <c r="A27" s="54" t="n">
        <v>24</v>
      </c>
      <c r="B27" s="163" t="n">
        <v>46214</v>
      </c>
      <c r="C27" s="30" t="inlineStr">
        <is>
          <t>城北街隆兴商行</t>
        </is>
      </c>
      <c r="D27" s="54" t="inlineStr">
        <is>
          <t>555补水</t>
        </is>
      </c>
      <c r="E27" s="54" t="n">
        <v>3</v>
      </c>
      <c r="F27" s="162" t="n">
        <v>68</v>
      </c>
      <c r="G27" s="162">
        <f>IF(AND(E27&lt;&gt;"",F27&lt;&gt;""),E27*F27,"")</f>
        <v>204</v>
      </c>
      <c r="H27" s="5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</row>
    <row r="28" ht="15" customFormat="1" customHeight="1" s="16">
      <c r="A28" s="54" t="n">
        <v>25</v>
      </c>
      <c r="B28" s="163" t="n">
        <v>46214</v>
      </c>
      <c r="C28" s="30" t="inlineStr">
        <is>
          <t>城北街隆兴商行</t>
        </is>
      </c>
      <c r="D28" s="54" t="inlineStr">
        <is>
          <t>555补水</t>
        </is>
      </c>
      <c r="E28" s="29" t="n">
        <v>1</v>
      </c>
      <c r="F28" s="155" t="n"/>
      <c r="G28" s="155">
        <f>IF(AND(E28&lt;&gt;"",F28&lt;&gt;""),E28*F28,"")</f>
      </c>
      <c r="H28" s="29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</row>
    <row r="29" ht="15" customFormat="1" customHeight="1" s="16">
      <c r="A29" s="54" t="n">
        <v>26</v>
      </c>
      <c r="B29" s="161" t="n">
        <v>46221</v>
      </c>
      <c r="C29" s="30" t="inlineStr">
        <is>
          <t>崇贤三角超市</t>
        </is>
      </c>
      <c r="D29" s="54" t="inlineStr">
        <is>
          <t>1L补水</t>
        </is>
      </c>
      <c r="E29" s="54" t="n">
        <v>5</v>
      </c>
      <c r="F29" s="162" t="n">
        <v>58</v>
      </c>
      <c r="G29" s="162">
        <f>IF(AND(E29&lt;&gt;"",F29&lt;&gt;""),E29*F29,"")</f>
        <v>290</v>
      </c>
      <c r="H29" s="5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</row>
    <row r="30" ht="15" customFormat="1" customHeight="1" s="16">
      <c r="A30" s="54" t="n">
        <v>27</v>
      </c>
      <c r="B30" s="163" t="n">
        <v>46197</v>
      </c>
      <c r="C30" s="29" t="inlineStr">
        <is>
          <t>枫边德华超市</t>
        </is>
      </c>
      <c r="D30" s="29" t="inlineStr">
        <is>
          <t>555补水</t>
        </is>
      </c>
      <c r="E30" s="29" t="n">
        <v>30</v>
      </c>
      <c r="F30" s="155" t="n">
        <v>65</v>
      </c>
      <c r="G30" s="155">
        <f>IF(AND(E30&lt;&gt;"",F30&lt;&gt;""),E30*F30,"")</f>
        <v>1950</v>
      </c>
      <c r="H30" s="29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</row>
    <row r="31" ht="15" customFormat="1" customHeight="1" s="16">
      <c r="A31" s="54" t="n">
        <v>28</v>
      </c>
      <c r="B31" s="163" t="n">
        <v>46221</v>
      </c>
      <c r="C31" s="29" t="inlineStr">
        <is>
          <t>枫边德华超市</t>
        </is>
      </c>
      <c r="D31" s="29" t="inlineStr">
        <is>
          <t>大东鹏</t>
        </is>
      </c>
      <c r="E31" s="29" t="n">
        <v>100</v>
      </c>
      <c r="F31" s="155" t="n">
        <v>90</v>
      </c>
      <c r="G31" s="155">
        <f>IF(AND(E31&lt;&gt;"",F31&lt;&gt;""),E31*F31,"")</f>
        <v>9000</v>
      </c>
      <c r="H31" s="29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</row>
    <row r="32" ht="15" customFormat="1" customHeight="1" s="16">
      <c r="A32" s="54" t="n">
        <v>29</v>
      </c>
      <c r="B32" s="161" t="n">
        <v>46213</v>
      </c>
      <c r="C32" s="30" t="inlineStr">
        <is>
          <t>福旺家优购</t>
        </is>
      </c>
      <c r="D32" s="54" t="inlineStr">
        <is>
          <t>大东鹏</t>
        </is>
      </c>
      <c r="E32" s="54" t="n">
        <v>20</v>
      </c>
      <c r="F32" s="162" t="n">
        <v>93</v>
      </c>
      <c r="G32" s="162">
        <f>IF(AND(E32&lt;&gt;"",F32&lt;&gt;""),E32*F32,"")</f>
        <v>1860</v>
      </c>
      <c r="H32" s="5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</row>
    <row r="33" ht="15" customFormat="1" customHeight="1" s="16">
      <c r="A33" s="54" t="n">
        <v>30</v>
      </c>
      <c r="B33" s="161" t="n">
        <v>46213</v>
      </c>
      <c r="C33" s="30" t="inlineStr">
        <is>
          <t>福旺家优购</t>
        </is>
      </c>
      <c r="D33" s="29" t="inlineStr">
        <is>
          <t>小果之茶</t>
        </is>
      </c>
      <c r="E33" s="29" t="n">
        <v>5</v>
      </c>
      <c r="F33" s="155" t="n">
        <v>50</v>
      </c>
      <c r="G33" s="155">
        <f>IF(AND(E33&lt;&gt;"",F33&lt;&gt;""),E33*F33,"")</f>
        <v>250</v>
      </c>
      <c r="H33" s="29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</row>
    <row r="34" ht="15" customFormat="1" customHeight="1" s="16">
      <c r="A34" s="54" t="n">
        <v>31</v>
      </c>
      <c r="B34" s="161" t="n">
        <v>46213</v>
      </c>
      <c r="C34" s="30" t="inlineStr">
        <is>
          <t>福旺家优购</t>
        </is>
      </c>
      <c r="D34" s="54" t="inlineStr">
        <is>
          <t>555补水</t>
        </is>
      </c>
      <c r="E34" s="54" t="n">
        <v>3</v>
      </c>
      <c r="F34" s="162" t="n">
        <v>68</v>
      </c>
      <c r="G34" s="162">
        <f>IF(AND(E34&lt;&gt;"",F34&lt;&gt;""),E34*F34,"")</f>
        <v>204</v>
      </c>
      <c r="H34" s="5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</row>
    <row r="35" ht="15" customFormat="1" customHeight="1" s="16">
      <c r="A35" s="54" t="n">
        <v>32</v>
      </c>
      <c r="B35" s="161" t="n">
        <v>46213</v>
      </c>
      <c r="C35" s="30" t="inlineStr">
        <is>
          <t>福旺家优购</t>
        </is>
      </c>
      <c r="D35" s="29" t="inlineStr">
        <is>
          <t>1L补水</t>
        </is>
      </c>
      <c r="E35" s="29" t="n">
        <v>3</v>
      </c>
      <c r="F35" s="155" t="n">
        <v>58</v>
      </c>
      <c r="G35" s="155">
        <f>IF(AND(E35&lt;&gt;"",F35&lt;&gt;""),E35*F35,"")</f>
        <v>174</v>
      </c>
      <c r="H35" s="29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</row>
    <row r="36" ht="15" customFormat="1" customHeight="1" s="16">
      <c r="A36" s="54" t="n">
        <v>33</v>
      </c>
      <c r="B36" s="161" t="n">
        <v>46222</v>
      </c>
      <c r="C36" s="30" t="inlineStr">
        <is>
          <t>福旺家优购</t>
        </is>
      </c>
      <c r="D36" s="54" t="inlineStr">
        <is>
          <t>1L补水</t>
        </is>
      </c>
      <c r="E36" s="54" t="n">
        <v>12</v>
      </c>
      <c r="F36" s="162" t="n">
        <v>58</v>
      </c>
      <c r="G36" s="162">
        <f>IF(AND(E36&lt;&gt;"",F36&lt;&gt;""),E36*F36,"")</f>
        <v>696</v>
      </c>
      <c r="H36" s="5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</row>
    <row r="37" ht="15" customFormat="1" customHeight="1" s="16">
      <c r="A37" s="54" t="n">
        <v>34</v>
      </c>
      <c r="B37" s="161" t="n">
        <v>46222</v>
      </c>
      <c r="C37" s="30" t="inlineStr">
        <is>
          <t>福旺家优购</t>
        </is>
      </c>
      <c r="D37" s="29" t="inlineStr">
        <is>
          <t>1L果之茶</t>
        </is>
      </c>
      <c r="E37" s="29" t="n">
        <v>10</v>
      </c>
      <c r="F37" s="155" t="n">
        <v>46</v>
      </c>
      <c r="G37" s="155">
        <f>IF(AND(E37&lt;&gt;"",F37&lt;&gt;""),E37*F37,"")</f>
        <v>460</v>
      </c>
      <c r="H37" s="29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</row>
    <row r="38" ht="15" customFormat="1" customHeight="1" s="16">
      <c r="A38" s="54" t="n">
        <v>35</v>
      </c>
      <c r="B38" s="163" t="n">
        <v>46219</v>
      </c>
      <c r="C38" s="29" t="inlineStr">
        <is>
          <t>福旺家优购</t>
        </is>
      </c>
      <c r="D38" s="29" t="inlineStr">
        <is>
          <t>大东鹏</t>
        </is>
      </c>
      <c r="E38" s="29" t="n">
        <v>25</v>
      </c>
      <c r="F38" s="155" t="n">
        <v>93</v>
      </c>
      <c r="G38" s="155">
        <f>IF(AND(E38&lt;&gt;"",F38&lt;&gt;""),E38*F38,"")</f>
        <v>2325</v>
      </c>
      <c r="H38" s="29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</row>
    <row r="39" ht="15" customFormat="1" customHeight="1" s="16">
      <c r="A39" s="54" t="n">
        <v>36</v>
      </c>
      <c r="B39" s="163" t="n">
        <v>46219</v>
      </c>
      <c r="C39" s="29" t="inlineStr">
        <is>
          <t>福旺家优购</t>
        </is>
      </c>
      <c r="D39" s="54" t="inlineStr">
        <is>
          <t>555补水</t>
        </is>
      </c>
      <c r="E39" s="54" t="n">
        <v>11</v>
      </c>
      <c r="F39" s="162" t="n">
        <v>68</v>
      </c>
      <c r="G39" s="162">
        <f>IF(AND(E39&lt;&gt;"",F39&lt;&gt;""),E39*F39,"")</f>
        <v>748</v>
      </c>
      <c r="H39" s="5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</row>
    <row r="40" ht="15" customFormat="1" customHeight="1" s="16">
      <c r="A40" s="54" t="n">
        <v>37</v>
      </c>
      <c r="B40" s="163" t="n">
        <v>46219</v>
      </c>
      <c r="C40" s="29" t="inlineStr">
        <is>
          <t>福旺家优购</t>
        </is>
      </c>
      <c r="D40" s="29" t="inlineStr">
        <is>
          <t>港式奶茶</t>
        </is>
      </c>
      <c r="E40" s="29" t="n">
        <v>2</v>
      </c>
      <c r="F40" s="155" t="n">
        <v>72</v>
      </c>
      <c r="G40" s="155">
        <f>IF(AND(E40&lt;&gt;"",F40&lt;&gt;""),E40*F40,"")</f>
        <v>144</v>
      </c>
      <c r="H40" s="29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</row>
    <row r="41" ht="15" customFormat="1" customHeight="1" s="16">
      <c r="A41" s="54" t="n">
        <v>38</v>
      </c>
      <c r="B41" s="163" t="n">
        <v>46219</v>
      </c>
      <c r="C41" s="29" t="inlineStr">
        <is>
          <t>福旺家优购</t>
        </is>
      </c>
      <c r="D41" s="54" t="inlineStr">
        <is>
          <t>九制陈皮</t>
        </is>
      </c>
      <c r="E41" s="54" t="n">
        <v>2</v>
      </c>
      <c r="F41" s="162" t="n">
        <v>50</v>
      </c>
      <c r="G41" s="162">
        <f>IF(AND(E41&lt;&gt;"",F41&lt;&gt;""),E41*F41,"")</f>
        <v>100</v>
      </c>
      <c r="H41" s="5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</row>
    <row r="42" ht="15" customFormat="1" customHeight="1" s="16">
      <c r="A42" s="54" t="n">
        <v>39</v>
      </c>
      <c r="B42" s="163" t="n">
        <v>46219</v>
      </c>
      <c r="C42" s="29" t="inlineStr">
        <is>
          <t>福旺家优购</t>
        </is>
      </c>
      <c r="D42" s="29" t="inlineStr">
        <is>
          <t>小焙好茶</t>
        </is>
      </c>
      <c r="E42" s="29" t="n">
        <v>2</v>
      </c>
      <c r="F42" s="155" t="n">
        <v>51</v>
      </c>
      <c r="G42" s="155">
        <f>IF(AND(E42&lt;&gt;"",F42&lt;&gt;""),E42*F42,"")</f>
        <v>102</v>
      </c>
      <c r="H42" s="29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</row>
    <row r="43" ht="15" customFormat="1" customHeight="1" s="16">
      <c r="A43" s="54" t="n">
        <v>40</v>
      </c>
      <c r="B43" s="163" t="n">
        <v>46219</v>
      </c>
      <c r="C43" s="29" t="inlineStr">
        <is>
          <t>福旺家优购</t>
        </is>
      </c>
      <c r="D43" s="30" t="inlineStr">
        <is>
          <t>1L焙好茶</t>
        </is>
      </c>
      <c r="E43" s="54" t="n">
        <v>4</v>
      </c>
      <c r="F43" s="162" t="n">
        <v>46</v>
      </c>
      <c r="G43" s="162">
        <f>IF(AND(E43&lt;&gt;"",F43&lt;&gt;""),E43*F43,"")</f>
        <v>184</v>
      </c>
      <c r="H43" s="5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</row>
    <row r="44" ht="16" customFormat="1" customHeight="1" s="16">
      <c r="A44" s="54" t="n">
        <v>41</v>
      </c>
      <c r="B44" s="161" t="n">
        <v>46210</v>
      </c>
      <c r="C44" s="29" t="inlineStr">
        <is>
          <t>高兴枫树平价超市</t>
        </is>
      </c>
      <c r="D44" s="54" t="inlineStr">
        <is>
          <t>555补水</t>
        </is>
      </c>
      <c r="E44" s="54" t="n">
        <v>2</v>
      </c>
      <c r="F44" s="162" t="n">
        <v>68</v>
      </c>
      <c r="G44" s="162">
        <f>IF(AND(E44&lt;&gt;"",F44&lt;&gt;""),E44*F44,"")</f>
        <v>136</v>
      </c>
      <c r="H44" s="5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</row>
    <row r="45" ht="15" customFormat="1" customHeight="1" s="16">
      <c r="A45" s="54" t="n">
        <v>42</v>
      </c>
      <c r="B45" s="161" t="n">
        <v>46210</v>
      </c>
      <c r="C45" s="29" t="inlineStr">
        <is>
          <t>高兴枫树平价超市</t>
        </is>
      </c>
      <c r="D45" s="29" t="inlineStr">
        <is>
          <t>1L补水</t>
        </is>
      </c>
      <c r="E45" s="29" t="n">
        <v>2</v>
      </c>
      <c r="F45" s="155" t="n">
        <v>58</v>
      </c>
      <c r="G45" s="155">
        <f>IF(AND(E45&lt;&gt;"",F45&lt;&gt;""),E45*F45,"")</f>
        <v>116</v>
      </c>
      <c r="H45" s="29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</row>
    <row r="46" ht="15" customFormat="1" customHeight="1" s="16">
      <c r="A46" s="54" t="n">
        <v>43</v>
      </c>
      <c r="B46" s="161" t="n">
        <v>46210</v>
      </c>
      <c r="C46" s="29" t="inlineStr">
        <is>
          <t>高兴枫树平价超市</t>
        </is>
      </c>
      <c r="D46" s="54" t="inlineStr">
        <is>
          <t>小果之茶</t>
        </is>
      </c>
      <c r="E46" s="54" t="n">
        <v>3</v>
      </c>
      <c r="F46" s="162" t="n">
        <v>50</v>
      </c>
      <c r="G46" s="162">
        <f>IF(AND(E46&lt;&gt;"",F46&lt;&gt;""),E46*F46,"")</f>
        <v>150</v>
      </c>
      <c r="H46" s="5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</row>
    <row r="47" ht="15" customFormat="1" customHeight="1" s="16">
      <c r="A47" s="54" t="n">
        <v>44</v>
      </c>
      <c r="B47" s="161" t="n">
        <v>46210</v>
      </c>
      <c r="C47" s="29" t="inlineStr">
        <is>
          <t>高兴枫树平价超市</t>
        </is>
      </c>
      <c r="D47" s="29" t="inlineStr">
        <is>
          <t>1L果之茶</t>
        </is>
      </c>
      <c r="E47" s="29" t="n">
        <v>3</v>
      </c>
      <c r="F47" s="155" t="n">
        <v>46</v>
      </c>
      <c r="G47" s="155">
        <f>IF(AND(E47&lt;&gt;"",F47&lt;&gt;""),E47*F47,"")</f>
        <v>138</v>
      </c>
      <c r="H47" s="29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</row>
    <row r="48" ht="15" customHeight="1" s="71">
      <c r="A48" s="54" t="n">
        <v>45</v>
      </c>
      <c r="B48" s="163" t="n">
        <v>46220</v>
      </c>
      <c r="C48" s="30" t="inlineStr">
        <is>
          <t>高兴美宜佳</t>
        </is>
      </c>
      <c r="D48" s="29" t="inlineStr">
        <is>
          <t>大东鹏</t>
        </is>
      </c>
      <c r="E48" s="29" t="n">
        <v>60</v>
      </c>
      <c r="F48" s="155" t="n">
        <v>90</v>
      </c>
      <c r="G48" s="155">
        <f>IF(AND(E48&lt;&gt;"",F48&lt;&gt;""),E48*F48,"")</f>
        <v>5400</v>
      </c>
      <c r="H48" s="29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</row>
    <row r="49" ht="15" customHeight="1" s="71">
      <c r="A49" s="54" t="n">
        <v>46</v>
      </c>
      <c r="B49" s="161" t="n">
        <v>46212</v>
      </c>
      <c r="C49" s="60" t="inlineStr">
        <is>
          <t>高兴小春王均平</t>
        </is>
      </c>
      <c r="D49" s="60" t="inlineStr">
        <is>
          <t>小果之茶</t>
        </is>
      </c>
      <c r="E49" s="54" t="n">
        <v>3</v>
      </c>
      <c r="F49" s="162" t="n">
        <v>50</v>
      </c>
      <c r="G49" s="162">
        <f>IF(AND(E49&lt;&gt;"",F49&lt;&gt;""),E49*F49,"")</f>
        <v>150</v>
      </c>
      <c r="H49" s="5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</row>
    <row r="50" ht="15" customHeight="1" s="71">
      <c r="A50" s="54" t="n">
        <v>47</v>
      </c>
      <c r="B50" s="161" t="n">
        <v>46212</v>
      </c>
      <c r="C50" s="60" t="inlineStr">
        <is>
          <t>高兴小春王均平</t>
        </is>
      </c>
      <c r="D50" s="60" t="inlineStr">
        <is>
          <t>1L果之茶</t>
        </is>
      </c>
      <c r="E50" s="29" t="n">
        <v>2</v>
      </c>
      <c r="F50" s="155" t="n">
        <v>46</v>
      </c>
      <c r="G50" s="155">
        <f>IF(AND(E50&lt;&gt;"",F50&lt;&gt;""),E50*F50,"")</f>
        <v>92</v>
      </c>
      <c r="H50" s="29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</row>
    <row r="51" ht="15" customHeight="1" s="71">
      <c r="A51" s="54" t="n">
        <v>48</v>
      </c>
      <c r="B51" s="163" t="n">
        <v>46226</v>
      </c>
      <c r="C51" s="29" t="inlineStr">
        <is>
          <t>好帮手</t>
        </is>
      </c>
      <c r="D51" s="29" t="inlineStr">
        <is>
          <t>555补水</t>
        </is>
      </c>
      <c r="E51" s="29" t="n">
        <v>10</v>
      </c>
      <c r="F51" s="155" t="n">
        <v>65</v>
      </c>
      <c r="G51" s="155">
        <f>IF(AND(E51&lt;&gt;"",F51&lt;&gt;""),E51*F51,"")</f>
        <v>650</v>
      </c>
      <c r="H51" s="29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</row>
    <row r="52" ht="15" customHeight="1" s="71">
      <c r="A52" s="54" t="n">
        <v>49</v>
      </c>
      <c r="B52" s="161" t="n">
        <v>46226</v>
      </c>
      <c r="C52" s="54" t="inlineStr">
        <is>
          <t>好帮手</t>
        </is>
      </c>
      <c r="D52" s="54" t="inlineStr">
        <is>
          <t>小东鹏</t>
        </is>
      </c>
      <c r="E52" s="54" t="n">
        <v>35</v>
      </c>
      <c r="F52" s="162" t="n">
        <v>51</v>
      </c>
      <c r="G52" s="162">
        <f>IF(AND(E52&lt;&gt;"",F52&lt;&gt;""),E52*F52,"")</f>
        <v>1785</v>
      </c>
      <c r="H52" s="5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</row>
    <row r="53" ht="15" customHeight="1" s="71">
      <c r="A53" s="54" t="n">
        <v>50</v>
      </c>
      <c r="B53" s="161" t="n">
        <v>46209</v>
      </c>
      <c r="C53" s="29" t="inlineStr">
        <is>
          <t>和睦公园百顺</t>
        </is>
      </c>
      <c r="D53" s="54" t="inlineStr">
        <is>
          <t>大东鹏</t>
        </is>
      </c>
      <c r="E53" s="54" t="n">
        <v>200</v>
      </c>
      <c r="F53" s="162" t="n">
        <v>90</v>
      </c>
      <c r="G53" s="162">
        <f>IF(AND(E53&lt;&gt;"",F53&lt;&gt;""),E53*F53,"")</f>
        <v>18000</v>
      </c>
      <c r="H53" s="5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</row>
    <row r="54" ht="15" customHeight="1" s="71">
      <c r="A54" s="54" t="n">
        <v>51</v>
      </c>
      <c r="B54" s="161" t="n">
        <v>46201</v>
      </c>
      <c r="C54" s="30" t="inlineStr">
        <is>
          <t>洪门兴诚超市</t>
        </is>
      </c>
      <c r="D54" s="54" t="inlineStr">
        <is>
          <t>大东鹏</t>
        </is>
      </c>
      <c r="E54" s="54" t="n">
        <v>100</v>
      </c>
      <c r="F54" s="162" t="n">
        <v>90</v>
      </c>
      <c r="G54" s="155">
        <f>IF(AND(E54&lt;&gt;"",F54&lt;&gt;""),E54*F54,"")</f>
        <v>9000</v>
      </c>
      <c r="H54" s="58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15" customHeight="1" s="71">
      <c r="A55" s="54" t="n">
        <v>52</v>
      </c>
      <c r="B55" s="163" t="n">
        <v>46227</v>
      </c>
      <c r="C55" s="29" t="inlineStr">
        <is>
          <t>洪门兴诚超市</t>
        </is>
      </c>
      <c r="D55" s="29" t="inlineStr">
        <is>
          <t>小果之茶</t>
        </is>
      </c>
      <c r="E55" s="29" t="n">
        <v>17.5</v>
      </c>
      <c r="F55" s="155" t="n">
        <v>47</v>
      </c>
      <c r="G55" s="155">
        <f>IF(AND(E55&lt;&gt;"",F55&lt;&gt;""),E55*F55,"")</f>
        <v>822.5</v>
      </c>
      <c r="H55" s="29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</row>
    <row r="56" ht="15" customFormat="1" customHeight="1" s="16">
      <c r="A56" s="54" t="n">
        <v>53</v>
      </c>
      <c r="B56" s="163" t="n">
        <v>46227</v>
      </c>
      <c r="C56" s="29" t="inlineStr">
        <is>
          <t>洪门兴诚超市</t>
        </is>
      </c>
      <c r="D56" s="54" t="inlineStr">
        <is>
          <t>1L果之茶</t>
        </is>
      </c>
      <c r="E56" s="54" t="n">
        <v>5</v>
      </c>
      <c r="F56" s="162" t="n">
        <v>43</v>
      </c>
      <c r="G56" s="162">
        <f>IF(AND(E56&lt;&gt;"",F56&lt;&gt;""),E56*F56,"")</f>
        <v>215</v>
      </c>
      <c r="H56" s="5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</row>
    <row r="57" ht="15" customFormat="1" customHeight="1" s="16">
      <c r="A57" s="54" t="n">
        <v>54</v>
      </c>
      <c r="B57" s="163" t="n">
        <v>46225</v>
      </c>
      <c r="C57" s="29" t="inlineStr">
        <is>
          <t>洪门兴诚超市</t>
        </is>
      </c>
      <c r="D57" s="29" t="inlineStr">
        <is>
          <t>1L果之茶</t>
        </is>
      </c>
      <c r="E57" s="29" t="n">
        <v>2</v>
      </c>
      <c r="F57" s="155" t="n">
        <v>43</v>
      </c>
      <c r="G57" s="155">
        <f>IF(AND(E57&lt;&gt;"",F57&lt;&gt;""),E57*F57,"")</f>
        <v>86</v>
      </c>
      <c r="H57" s="29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</row>
    <row r="58" ht="15" customFormat="1" customHeight="1" s="16">
      <c r="A58" s="54" t="n">
        <v>55</v>
      </c>
      <c r="B58" s="163" t="n">
        <v>46225</v>
      </c>
      <c r="C58" s="29" t="inlineStr">
        <is>
          <t>洪门兴诚超市</t>
        </is>
      </c>
      <c r="D58" s="54" t="inlineStr">
        <is>
          <t>小果之茶</t>
        </is>
      </c>
      <c r="E58" s="54" t="n">
        <v>3</v>
      </c>
      <c r="F58" s="162" t="n">
        <v>47</v>
      </c>
      <c r="G58" s="162">
        <f>IF(AND(E58&lt;&gt;"",F58&lt;&gt;""),E58*F58,"")</f>
        <v>141</v>
      </c>
      <c r="H58" s="5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</row>
    <row r="59" ht="15" customFormat="1" customHeight="1" s="16">
      <c r="A59" s="54" t="n">
        <v>56</v>
      </c>
      <c r="B59" s="163" t="n">
        <v>46225</v>
      </c>
      <c r="C59" s="29" t="inlineStr">
        <is>
          <t>洪门兴诚超市</t>
        </is>
      </c>
      <c r="D59" s="29" t="inlineStr">
        <is>
          <t>1L补水</t>
        </is>
      </c>
      <c r="E59" s="29" t="n">
        <v>3</v>
      </c>
      <c r="F59" s="155" t="n">
        <v>55</v>
      </c>
      <c r="G59" s="155">
        <f>IF(AND(E59&lt;&gt;"",F59&lt;&gt;""),E59*F59,"")</f>
        <v>165</v>
      </c>
      <c r="H59" s="29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</row>
    <row r="60" ht="15" customFormat="1" customHeight="1" s="16">
      <c r="A60" s="54" t="n">
        <v>57</v>
      </c>
      <c r="B60" s="163" t="n">
        <v>46225</v>
      </c>
      <c r="C60" s="29" t="inlineStr">
        <is>
          <t>洪门兴诚超市</t>
        </is>
      </c>
      <c r="D60" s="54" t="inlineStr">
        <is>
          <t>九制陈皮</t>
        </is>
      </c>
      <c r="E60" s="54" t="n">
        <v>1</v>
      </c>
      <c r="F60" s="162" t="n">
        <v>47</v>
      </c>
      <c r="G60" s="162">
        <f>IF(AND(E60&lt;&gt;"",F60&lt;&gt;""),E60*F60,"")</f>
        <v>47</v>
      </c>
      <c r="H60" s="5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</row>
    <row r="61" ht="15" customFormat="1" customHeight="1" s="16">
      <c r="A61" s="54" t="n">
        <v>58</v>
      </c>
      <c r="B61" s="161" t="n">
        <v>46230</v>
      </c>
      <c r="C61" s="54" t="inlineStr">
        <is>
          <t>洪门兴诚超市</t>
        </is>
      </c>
      <c r="D61" s="54" t="inlineStr">
        <is>
          <t>大东鹏</t>
        </is>
      </c>
      <c r="E61" s="54" t="n">
        <v>100</v>
      </c>
      <c r="F61" s="162" t="n">
        <v>90</v>
      </c>
      <c r="G61" s="162">
        <f>IF(AND(E61&lt;&gt;"",F61&lt;&gt;""),E61*F61,"")</f>
        <v>9000</v>
      </c>
      <c r="H61" s="5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</row>
    <row r="62" ht="15" customFormat="1" customHeight="1" s="16">
      <c r="A62" s="54" t="n">
        <v>59</v>
      </c>
      <c r="B62" s="161" t="n">
        <v>46195</v>
      </c>
      <c r="C62" s="54" t="inlineStr">
        <is>
          <t>家家兴超市</t>
        </is>
      </c>
      <c r="D62" s="56" t="inlineStr">
        <is>
          <t>500农夫饮料</t>
        </is>
      </c>
      <c r="E62" s="54" t="n">
        <v>4</v>
      </c>
      <c r="F62" s="162" t="n">
        <v>54</v>
      </c>
      <c r="G62" s="162">
        <f>IF(AND(E62&lt;&gt;"",F62&lt;&gt;""),E62*F62,"")</f>
        <v>216</v>
      </c>
      <c r="H62" s="54" t="inlineStr">
        <is>
          <t>高兴店</t>
        </is>
      </c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</row>
    <row r="63" ht="15" customFormat="1" customHeight="1" s="16">
      <c r="A63" s="54" t="n">
        <v>60</v>
      </c>
      <c r="B63" s="163" t="n">
        <v>46195</v>
      </c>
      <c r="C63" s="29" t="inlineStr">
        <is>
          <t>家家兴超市</t>
        </is>
      </c>
      <c r="D63" s="56" t="inlineStr">
        <is>
          <t>500农夫饮料</t>
        </is>
      </c>
      <c r="E63" s="29" t="n">
        <v>5</v>
      </c>
      <c r="F63" s="155" t="n">
        <v>54</v>
      </c>
      <c r="G63" s="155">
        <f>IF(AND(E63&lt;&gt;"",F63&lt;&gt;""),E63*F63,"")</f>
        <v>270</v>
      </c>
      <c r="H63" s="29" t="inlineStr">
        <is>
          <t>城岗店</t>
        </is>
      </c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</row>
    <row r="64" ht="15" customFormat="1" customHeight="1" s="16">
      <c r="A64" s="54" t="n">
        <v>61</v>
      </c>
      <c r="B64" s="161" t="n">
        <v>46200</v>
      </c>
      <c r="C64" s="54" t="inlineStr">
        <is>
          <t>家家兴超市</t>
        </is>
      </c>
      <c r="D64" s="56" t="inlineStr">
        <is>
          <t>500农夫饮料</t>
        </is>
      </c>
      <c r="E64" s="54" t="n">
        <v>6</v>
      </c>
      <c r="F64" s="162" t="n">
        <v>54</v>
      </c>
      <c r="G64" s="155">
        <f>IF(AND(E64&lt;&gt;"",F64&lt;&gt;""),E64*F64,"")</f>
        <v>324</v>
      </c>
      <c r="H64" s="54" t="inlineStr">
        <is>
          <t>龙岗店</t>
        </is>
      </c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</row>
    <row r="65" ht="15" customFormat="1" customHeight="1" s="16">
      <c r="A65" s="54" t="n">
        <v>62</v>
      </c>
      <c r="B65" s="163" t="n">
        <v>46203</v>
      </c>
      <c r="C65" s="54" t="inlineStr">
        <is>
          <t>家家兴超市</t>
        </is>
      </c>
      <c r="D65" s="54" t="inlineStr">
        <is>
          <t>500农夫饮料</t>
        </is>
      </c>
      <c r="E65" s="54" t="n">
        <v>10</v>
      </c>
      <c r="F65" s="162" t="n">
        <v>54</v>
      </c>
      <c r="G65" s="155">
        <f>IF(AND(E65&lt;&gt;"",F65&lt;&gt;""),E65*F65,"")</f>
        <v>540</v>
      </c>
      <c r="H65" s="54" t="inlineStr">
        <is>
          <t>模范城</t>
        </is>
      </c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</row>
    <row r="66" ht="15" customFormat="1" customHeight="1" s="16">
      <c r="A66" s="54" t="n">
        <v>63</v>
      </c>
      <c r="B66" s="163" t="n">
        <v>46203</v>
      </c>
      <c r="C66" s="54" t="inlineStr">
        <is>
          <t>家家兴超市</t>
        </is>
      </c>
      <c r="D66" s="29" t="inlineStr">
        <is>
          <t>1.5L水</t>
        </is>
      </c>
      <c r="E66" s="29" t="n">
        <v>2</v>
      </c>
      <c r="F66" s="155" t="n">
        <v>25</v>
      </c>
      <c r="G66" s="155">
        <f>IF(AND(E66&lt;&gt;"",F66&lt;&gt;""),E66*F66,"")</f>
        <v>50</v>
      </c>
      <c r="H66" s="29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</row>
    <row r="67" ht="15" customFormat="1" customHeight="1" s="16">
      <c r="A67" s="54" t="n">
        <v>64</v>
      </c>
      <c r="B67" s="161" t="n">
        <v>46204</v>
      </c>
      <c r="C67" s="54" t="inlineStr">
        <is>
          <t>家家兴超市</t>
        </is>
      </c>
      <c r="D67" s="54" t="inlineStr">
        <is>
          <t>500农夫饮料</t>
        </is>
      </c>
      <c r="E67" s="54" t="n">
        <v>2</v>
      </c>
      <c r="F67" s="162" t="n">
        <v>54</v>
      </c>
      <c r="G67" s="155">
        <f>IF(AND(E67&lt;&gt;"",F67&lt;&gt;""),E67*F67,"")</f>
        <v>108</v>
      </c>
      <c r="H67" s="54" t="inlineStr">
        <is>
          <t>梅窖</t>
        </is>
      </c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</row>
    <row r="68" ht="15" customFormat="1" customHeight="1" s="16">
      <c r="A68" s="54" t="n">
        <v>65</v>
      </c>
      <c r="B68" s="163" t="n">
        <v>46204</v>
      </c>
      <c r="C68" s="29" t="inlineStr">
        <is>
          <t>家家兴超市</t>
        </is>
      </c>
      <c r="D68" s="29" t="inlineStr">
        <is>
          <t>550农夫纯净水</t>
        </is>
      </c>
      <c r="E68" s="29" t="n">
        <v>50</v>
      </c>
      <c r="F68" s="155" t="n">
        <v>14</v>
      </c>
      <c r="G68" s="155">
        <f>IF(AND(E68&lt;&gt;"",F68&lt;&gt;""),E68*F68,"")</f>
        <v>700</v>
      </c>
      <c r="H68" s="29" t="inlineStr">
        <is>
          <t>梅窖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 ht="15" customFormat="1" customHeight="1" s="16">
      <c r="A69" s="54" t="n">
        <v>66</v>
      </c>
      <c r="B69" s="161" t="n">
        <v>46204</v>
      </c>
      <c r="C69" s="29" t="inlineStr">
        <is>
          <t>家家兴超市</t>
        </is>
      </c>
      <c r="D69" s="54" t="inlineStr">
        <is>
          <t>550农夫纯净水</t>
        </is>
      </c>
      <c r="E69" s="54" t="n">
        <v>-6.5</v>
      </c>
      <c r="F69" s="162" t="n">
        <v>14</v>
      </c>
      <c r="G69" s="162">
        <f>IF(AND(E69&lt;&gt;"",F69&lt;&gt;""),E69*F69,"")</f>
        <v>-91</v>
      </c>
      <c r="H69" s="54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 ht="15" customFormat="1" customHeight="1" s="16">
      <c r="A70" s="54" t="n">
        <v>67</v>
      </c>
      <c r="B70" s="163" t="n">
        <v>46205</v>
      </c>
      <c r="C70" s="29" t="inlineStr">
        <is>
          <t>家家兴超市</t>
        </is>
      </c>
      <c r="D70" s="29" t="inlineStr">
        <is>
          <t>500农夫饮料</t>
        </is>
      </c>
      <c r="E70" s="29" t="n">
        <v>2</v>
      </c>
      <c r="F70" s="155" t="n">
        <v>54</v>
      </c>
      <c r="G70" s="155">
        <f>IF(AND(E70&lt;&gt;"",F70&lt;&gt;""),E70*F70,"")</f>
        <v>108</v>
      </c>
      <c r="H70" s="29" t="inlineStr">
        <is>
          <t>高兴店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15" customFormat="1" customHeight="1" s="16">
      <c r="A71" s="54" t="n">
        <v>68</v>
      </c>
      <c r="B71" s="161" t="n">
        <v>46206</v>
      </c>
      <c r="C71" s="29" t="inlineStr">
        <is>
          <t>家家兴超市</t>
        </is>
      </c>
      <c r="D71" s="54" t="inlineStr">
        <is>
          <t>500农夫饮料</t>
        </is>
      </c>
      <c r="E71" s="54" t="n">
        <v>7</v>
      </c>
      <c r="F71" s="162" t="n">
        <v>54</v>
      </c>
      <c r="G71" s="162">
        <f>IF(AND(E71&lt;&gt;"",F71&lt;&gt;""),E71*F71,"")</f>
        <v>378</v>
      </c>
      <c r="H71" s="54" t="inlineStr">
        <is>
          <t>龙岗爱客来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 ht="15" customFormat="1" customHeight="1" s="16">
      <c r="A72" s="54" t="n">
        <v>69</v>
      </c>
      <c r="B72" s="163" t="n">
        <v>46206</v>
      </c>
      <c r="C72" s="29" t="inlineStr">
        <is>
          <t>家家兴超市</t>
        </is>
      </c>
      <c r="D72" s="29" t="inlineStr">
        <is>
          <t>900农夫饮料</t>
        </is>
      </c>
      <c r="E72" s="29" t="n">
        <v>2</v>
      </c>
      <c r="F72" s="155" t="n">
        <v>65</v>
      </c>
      <c r="G72" s="155">
        <f>IF(AND(E72&lt;&gt;"",F72&lt;&gt;""),E72*F72,"")</f>
        <v>130</v>
      </c>
      <c r="H72" s="29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15" customFormat="1" customHeight="1" s="16">
      <c r="A73" s="54" t="n">
        <v>70</v>
      </c>
      <c r="B73" s="161" t="n">
        <v>46206</v>
      </c>
      <c r="C73" s="29" t="inlineStr">
        <is>
          <t>家家兴超市</t>
        </is>
      </c>
      <c r="D73" s="54" t="inlineStr">
        <is>
          <t>500农夫饮料</t>
        </is>
      </c>
      <c r="E73" s="54" t="n">
        <v>4</v>
      </c>
      <c r="F73" s="162" t="n">
        <v>54</v>
      </c>
      <c r="G73" s="162">
        <f>IF(AND(E73&lt;&gt;"",F73&lt;&gt;""),E73*F73,"")</f>
        <v>216</v>
      </c>
      <c r="H73" s="54" t="inlineStr">
        <is>
          <t>长岗爱客来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15" customFormat="1" customHeight="1" s="16">
      <c r="A74" s="54" t="n">
        <v>71</v>
      </c>
      <c r="B74" s="163" t="n">
        <v>46207</v>
      </c>
      <c r="C74" s="29" t="inlineStr">
        <is>
          <t>家家兴超市</t>
        </is>
      </c>
      <c r="D74" s="29" t="inlineStr">
        <is>
          <t>大东鹏</t>
        </is>
      </c>
      <c r="E74" s="29" t="n">
        <v>100</v>
      </c>
      <c r="F74" s="155" t="n">
        <v>95</v>
      </c>
      <c r="G74" s="155">
        <f>IF(AND(E74&lt;&gt;"",F74&lt;&gt;""),E74*F74,"")</f>
        <v>9500</v>
      </c>
      <c r="H74" s="29" t="inlineStr">
        <is>
          <t>火车站家家兴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15" customFormat="1" customHeight="1" s="16">
      <c r="A75" s="54" t="n">
        <v>72</v>
      </c>
      <c r="B75" s="161" t="n">
        <v>46210</v>
      </c>
      <c r="C75" s="29" t="inlineStr">
        <is>
          <t>家家兴超市</t>
        </is>
      </c>
      <c r="D75" s="54" t="inlineStr">
        <is>
          <t>900农夫饮料</t>
        </is>
      </c>
      <c r="E75" s="54" t="n">
        <v>2</v>
      </c>
      <c r="F75" s="162" t="n">
        <v>65</v>
      </c>
      <c r="G75" s="162">
        <f>IF(AND(E75&lt;&gt;"",F75&lt;&gt;""),E75*F75,"")</f>
        <v>130</v>
      </c>
      <c r="H75" s="54" t="inlineStr">
        <is>
          <t>梅窖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 ht="15" customFormat="1" customHeight="1" s="16">
      <c r="A76" s="54" t="n">
        <v>73</v>
      </c>
      <c r="B76" s="163" t="n">
        <v>46217</v>
      </c>
      <c r="C76" s="29" t="inlineStr">
        <is>
          <t>家家兴超市</t>
        </is>
      </c>
      <c r="D76" s="29" t="inlineStr">
        <is>
          <t>500农夫饮料</t>
        </is>
      </c>
      <c r="E76" s="29" t="n">
        <v>2</v>
      </c>
      <c r="F76" s="155" t="n">
        <v>54</v>
      </c>
      <c r="G76" s="155">
        <f>IF(AND(E76&lt;&gt;"",F76&lt;&gt;""),E76*F76,"")</f>
        <v>108</v>
      </c>
      <c r="H76" s="29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</row>
    <row r="77" ht="15" customFormat="1" customHeight="1" s="16">
      <c r="A77" s="54" t="n">
        <v>74</v>
      </c>
      <c r="B77" s="163" t="n">
        <v>46218</v>
      </c>
      <c r="C77" s="29" t="inlineStr">
        <is>
          <t>家家兴超市</t>
        </is>
      </c>
      <c r="D77" s="29" t="inlineStr">
        <is>
          <t>500农夫饮料</t>
        </is>
      </c>
      <c r="E77" s="29" t="n">
        <v>5</v>
      </c>
      <c r="F77" s="155" t="n">
        <v>54</v>
      </c>
      <c r="G77" s="155">
        <f>IF(AND(E77&lt;&gt;"",F77&lt;&gt;""),E77*F77,"")</f>
        <v>270</v>
      </c>
      <c r="H77" s="29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</row>
    <row r="78" ht="15" customFormat="1" customHeight="1" s="16">
      <c r="A78" s="54" t="n">
        <v>75</v>
      </c>
      <c r="B78" s="163" t="n">
        <v>46218</v>
      </c>
      <c r="C78" s="29" t="inlineStr">
        <is>
          <t>家家兴超市</t>
        </is>
      </c>
      <c r="D78" s="54" t="inlineStr">
        <is>
          <t>550农夫水</t>
        </is>
      </c>
      <c r="E78" s="54" t="n">
        <v>3.5</v>
      </c>
      <c r="F78" s="162" t="n">
        <v>25</v>
      </c>
      <c r="G78" s="162">
        <f>IF(AND(E78&lt;&gt;"",F78&lt;&gt;""),E78*F78,"")</f>
        <v>87.5</v>
      </c>
      <c r="H78" s="5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</row>
    <row r="79" ht="15" customFormat="1" customHeight="1" s="16">
      <c r="A79" s="54" t="n">
        <v>76</v>
      </c>
      <c r="B79" s="161" t="n">
        <v>46219</v>
      </c>
      <c r="C79" s="54" t="inlineStr">
        <is>
          <t>家家兴超市</t>
        </is>
      </c>
      <c r="D79" s="54" t="inlineStr">
        <is>
          <t>500农夫饮料</t>
        </is>
      </c>
      <c r="E79" s="54" t="n">
        <v>3</v>
      </c>
      <c r="F79" s="162" t="n">
        <v>54</v>
      </c>
      <c r="G79" s="162">
        <f>IF(AND(E79&lt;&gt;"",F79&lt;&gt;""),E79*F79,"")</f>
        <v>162</v>
      </c>
      <c r="H79" s="5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</row>
    <row r="80" ht="15" customFormat="1" customHeight="1" s="16">
      <c r="A80" s="54" t="n">
        <v>77</v>
      </c>
      <c r="B80" s="161" t="n">
        <v>46211</v>
      </c>
      <c r="C80" s="30" t="inlineStr">
        <is>
          <t>江背久明商行</t>
        </is>
      </c>
      <c r="D80" s="54" t="inlineStr">
        <is>
          <t>大东鹏</t>
        </is>
      </c>
      <c r="E80" s="54" t="n">
        <v>300</v>
      </c>
      <c r="F80" s="162" t="n">
        <v>90</v>
      </c>
      <c r="G80" s="162">
        <f>IF(AND(E80&lt;&gt;"",F80&lt;&gt;""),E80*F80,"")</f>
        <v>27000</v>
      </c>
      <c r="H80" s="5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</row>
    <row r="81" ht="15" customFormat="1" customHeight="1" s="16">
      <c r="A81" s="54" t="n">
        <v>78</v>
      </c>
      <c r="B81" s="163" t="n">
        <v>46211</v>
      </c>
      <c r="C81" s="29" t="inlineStr">
        <is>
          <t>江背久明商行</t>
        </is>
      </c>
      <c r="D81" s="29" t="inlineStr">
        <is>
          <t>小果之茶</t>
        </is>
      </c>
      <c r="E81" s="29" t="n">
        <v>30</v>
      </c>
      <c r="F81" s="155" t="n">
        <v>47</v>
      </c>
      <c r="G81" s="155">
        <f>IF(AND(E81&lt;&gt;"",F81&lt;&gt;""),E81*F81,"")</f>
        <v>1410</v>
      </c>
      <c r="H81" s="29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</row>
    <row r="82" ht="15" customFormat="1" customHeight="1" s="16">
      <c r="A82" s="54" t="n">
        <v>79</v>
      </c>
      <c r="B82" s="161" t="n">
        <v>46226</v>
      </c>
      <c r="C82" s="54" t="inlineStr">
        <is>
          <t>江背久明商行</t>
        </is>
      </c>
      <c r="D82" s="54" t="inlineStr">
        <is>
          <t>大咖</t>
        </is>
      </c>
      <c r="E82" s="54" t="n">
        <v>80</v>
      </c>
      <c r="F82" s="162" t="n">
        <v>83</v>
      </c>
      <c r="G82" s="162">
        <f>IF(AND(E82&lt;&gt;"",F82&lt;&gt;""),E82*F82,"")</f>
        <v>6640</v>
      </c>
      <c r="H82" s="5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</row>
    <row r="83" ht="15" customFormat="1" customHeight="1" s="16">
      <c r="A83" s="54" t="n">
        <v>80</v>
      </c>
      <c r="B83" s="161" t="n">
        <v>46219</v>
      </c>
      <c r="C83" s="54" t="inlineStr">
        <is>
          <t>金凤副食</t>
        </is>
      </c>
      <c r="D83" s="54" t="inlineStr">
        <is>
          <t>大东鹏</t>
        </is>
      </c>
      <c r="E83" s="54" t="n">
        <v>50</v>
      </c>
      <c r="F83" s="162" t="n">
        <v>90</v>
      </c>
      <c r="G83" s="162">
        <f>IF(AND(E83&lt;&gt;"",F83&lt;&gt;""),E83*F83,"")</f>
        <v>4500</v>
      </c>
      <c r="H83" s="5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</row>
    <row r="84" ht="15" customFormat="1" customHeight="1" s="16">
      <c r="A84" s="54" t="n">
        <v>81</v>
      </c>
      <c r="B84" s="161" t="n">
        <v>46221</v>
      </c>
      <c r="C84" s="30" t="inlineStr">
        <is>
          <t>九鑫粮油</t>
        </is>
      </c>
      <c r="D84" s="29" t="inlineStr">
        <is>
          <t>大东鹏</t>
        </is>
      </c>
      <c r="E84" s="29" t="n">
        <v>35</v>
      </c>
      <c r="F84" s="164" t="n">
        <v>90</v>
      </c>
      <c r="G84" s="162">
        <f>IF(AND(E84&lt;&gt;"",F84&lt;&gt;""),E84*F84,"")</f>
        <v>3150</v>
      </c>
      <c r="H84" s="54" t="inlineStr">
        <is>
          <t>存条已清</t>
        </is>
      </c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</row>
    <row r="85" ht="15" customFormat="1" customHeight="1" s="16">
      <c r="A85" s="54" t="n">
        <v>82</v>
      </c>
      <c r="B85" s="161" t="n">
        <v>46202</v>
      </c>
      <c r="C85" s="29" t="inlineStr">
        <is>
          <t>李记副食</t>
        </is>
      </c>
      <c r="D85" s="56" t="inlineStr">
        <is>
          <t>555补水</t>
        </is>
      </c>
      <c r="E85" s="54" t="n">
        <v>4</v>
      </c>
      <c r="F85" s="162" t="n">
        <v>65</v>
      </c>
      <c r="G85" s="155">
        <f>IF(AND(E85&lt;&gt;"",F85&lt;&gt;""),E85*F85,"")</f>
        <v>260</v>
      </c>
      <c r="H85" s="5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</row>
    <row r="86" ht="15" customFormat="1" customHeight="1" s="16">
      <c r="A86" s="54" t="n">
        <v>83</v>
      </c>
      <c r="B86" s="161" t="n">
        <v>46209</v>
      </c>
      <c r="C86" s="54" t="inlineStr">
        <is>
          <t>李记副食</t>
        </is>
      </c>
      <c r="D86" s="54" t="inlineStr">
        <is>
          <t>555补水</t>
        </is>
      </c>
      <c r="E86" s="54" t="n">
        <v>16.5</v>
      </c>
      <c r="F86" s="162" t="n">
        <v>65</v>
      </c>
      <c r="G86" s="155">
        <f>IF(AND(E86&lt;&gt;"",F86&lt;&gt;""),E86*F86,"")</f>
        <v>1072.5</v>
      </c>
      <c r="H86" s="5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</row>
    <row r="87" ht="15" customFormat="1" customHeight="1" s="16">
      <c r="A87" s="54" t="n">
        <v>84</v>
      </c>
      <c r="B87" s="161" t="n">
        <v>46226</v>
      </c>
      <c r="C87" s="54" t="inlineStr">
        <is>
          <t>李记副食</t>
        </is>
      </c>
      <c r="D87" s="54" t="inlineStr">
        <is>
          <t>小东鹏</t>
        </is>
      </c>
      <c r="E87" s="54" t="n">
        <v>5</v>
      </c>
      <c r="F87" s="162" t="n">
        <v>51</v>
      </c>
      <c r="G87" s="162">
        <f>IF(AND(E87&lt;&gt;"",F87&lt;&gt;""),E87*F87,"")</f>
        <v>255</v>
      </c>
      <c r="H87" s="5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</row>
    <row r="88" ht="15" customFormat="1" customHeight="1" s="16">
      <c r="A88" s="54" t="n">
        <v>85</v>
      </c>
      <c r="B88" s="161" t="n">
        <v>46227</v>
      </c>
      <c r="C88" s="30" t="inlineStr">
        <is>
          <t>龙岗好又全超市</t>
        </is>
      </c>
      <c r="D88" s="54" t="inlineStr">
        <is>
          <t>555补水</t>
        </is>
      </c>
      <c r="E88" s="54" t="n">
        <v>50</v>
      </c>
      <c r="F88" s="162" t="n">
        <v>65</v>
      </c>
      <c r="G88" s="162">
        <f>IF(AND(E88&lt;&gt;"",F88&lt;&gt;""),E88*F88,"")</f>
        <v>3250</v>
      </c>
      <c r="H88" s="58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15" customFormat="1" customHeight="1" s="16">
      <c r="A89" s="54" t="n">
        <v>86</v>
      </c>
      <c r="B89" s="161" t="n">
        <v>46227</v>
      </c>
      <c r="C89" s="30" t="inlineStr">
        <is>
          <t>龙岗好又全超市</t>
        </is>
      </c>
      <c r="D89" s="29" t="inlineStr">
        <is>
          <t>1L补水</t>
        </is>
      </c>
      <c r="E89" s="29" t="n">
        <v>50</v>
      </c>
      <c r="F89" s="155" t="n">
        <v>55</v>
      </c>
      <c r="G89" s="155">
        <f>IF(AND(E89&lt;&gt;"",F89&lt;&gt;""),E89*F89,"")</f>
        <v>2750</v>
      </c>
      <c r="H89" s="14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15" customFormat="1" customHeight="1" s="16">
      <c r="A90" s="54" t="n">
        <v>87</v>
      </c>
      <c r="B90" s="161" t="n">
        <v>46227</v>
      </c>
      <c r="C90" s="30" t="inlineStr">
        <is>
          <t>龙岗好又全超市</t>
        </is>
      </c>
      <c r="D90" s="54" t="inlineStr">
        <is>
          <t>1L果之茶</t>
        </is>
      </c>
      <c r="E90" s="54" t="n">
        <v>50</v>
      </c>
      <c r="F90" s="162" t="n">
        <v>43</v>
      </c>
      <c r="G90" s="162">
        <f>IF(AND(E90&lt;&gt;"",F90&lt;&gt;""),E90*F90,"")</f>
        <v>2150</v>
      </c>
      <c r="H90" s="58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15" customFormat="1" customHeight="1" s="16">
      <c r="A91" s="54" t="n">
        <v>88</v>
      </c>
      <c r="B91" s="161" t="n">
        <v>46227</v>
      </c>
      <c r="C91" s="30" t="inlineStr">
        <is>
          <t>龙岗好又全超市</t>
        </is>
      </c>
      <c r="D91" s="29" t="inlineStr">
        <is>
          <t>大咖</t>
        </is>
      </c>
      <c r="E91" s="29" t="n">
        <v>14</v>
      </c>
      <c r="F91" s="155" t="n">
        <v>83</v>
      </c>
      <c r="G91" s="155">
        <f>IF(AND(E91&lt;&gt;"",F91&lt;&gt;""),E91*F91,"")</f>
        <v>1162</v>
      </c>
      <c r="H91" s="14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15" customFormat="1" customHeight="1" s="16">
      <c r="A92" s="54" t="n">
        <v>89</v>
      </c>
      <c r="B92" s="163" t="n">
        <v>46227</v>
      </c>
      <c r="C92" s="29" t="inlineStr">
        <is>
          <t>隆坪美林副食</t>
        </is>
      </c>
      <c r="D92" s="29" t="inlineStr">
        <is>
          <t>小果之茶</t>
        </is>
      </c>
      <c r="E92" s="29" t="n">
        <v>6</v>
      </c>
      <c r="F92" s="155" t="n">
        <v>50</v>
      </c>
      <c r="G92" s="155">
        <f>IF(AND(E92&lt;&gt;"",F92&lt;&gt;""),E92*F92,"")</f>
        <v>300</v>
      </c>
      <c r="H92" s="29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</row>
    <row r="93" ht="15" customFormat="1" customHeight="1" s="16">
      <c r="A93" s="54" t="n">
        <v>90</v>
      </c>
      <c r="B93" s="163" t="n">
        <v>46227</v>
      </c>
      <c r="C93" s="29" t="inlineStr">
        <is>
          <t>隆坪美林副食</t>
        </is>
      </c>
      <c r="D93" s="30" t="inlineStr">
        <is>
          <t>1L焙好茶</t>
        </is>
      </c>
      <c r="E93" s="29" t="n">
        <v>1</v>
      </c>
      <c r="F93" s="155" t="n">
        <v>46</v>
      </c>
      <c r="G93" s="155">
        <f>IF(AND(E93&lt;&gt;"",F93&lt;&gt;""),E93*F93,"")</f>
        <v>46</v>
      </c>
      <c r="H93" s="29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</row>
    <row r="94" ht="15" customFormat="1" customHeight="1" s="16">
      <c r="A94" s="54" t="n">
        <v>91</v>
      </c>
      <c r="B94" s="161" t="n">
        <v>46219</v>
      </c>
      <c r="C94" s="29" t="inlineStr">
        <is>
          <t>隆坪美林副食</t>
        </is>
      </c>
      <c r="D94" s="54" t="inlineStr">
        <is>
          <t>1L补水</t>
        </is>
      </c>
      <c r="E94" s="54" t="n">
        <v>4</v>
      </c>
      <c r="F94" s="162" t="n">
        <v>58</v>
      </c>
      <c r="G94" s="162">
        <f>IF(AND(E94&lt;&gt;"",F94&lt;&gt;""),E94*F94,"")</f>
        <v>232</v>
      </c>
      <c r="H94" s="5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</row>
    <row r="95" ht="15" customFormat="1" customHeight="1" s="16">
      <c r="A95" s="54" t="n">
        <v>92</v>
      </c>
      <c r="B95" s="161" t="n">
        <v>46219</v>
      </c>
      <c r="C95" s="29" t="inlineStr">
        <is>
          <t>隆坪美林副食</t>
        </is>
      </c>
      <c r="D95" s="29" t="inlineStr">
        <is>
          <t>555补水</t>
        </is>
      </c>
      <c r="E95" s="29" t="n">
        <v>11</v>
      </c>
      <c r="F95" s="155" t="n">
        <v>68</v>
      </c>
      <c r="G95" s="155" t="n">
        <v>680</v>
      </c>
      <c r="H95" s="29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</row>
    <row r="96" ht="15" customFormat="1" customHeight="1" s="16">
      <c r="A96" s="54" t="n">
        <v>93</v>
      </c>
      <c r="B96" s="161" t="n">
        <v>46219</v>
      </c>
      <c r="C96" s="29" t="inlineStr">
        <is>
          <t>隆坪美林副食</t>
        </is>
      </c>
      <c r="D96" s="54" t="inlineStr">
        <is>
          <t>小果之茶</t>
        </is>
      </c>
      <c r="E96" s="54" t="n">
        <v>3</v>
      </c>
      <c r="F96" s="162" t="n">
        <v>50</v>
      </c>
      <c r="G96" s="162">
        <f>IF(AND(E96&lt;&gt;"",F96&lt;&gt;""),E96*F96,"")</f>
        <v>150</v>
      </c>
      <c r="H96" s="5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</row>
    <row r="97" ht="15" customFormat="1" customHeight="1" s="16">
      <c r="A97" s="54" t="n">
        <v>94</v>
      </c>
      <c r="B97" s="161" t="n">
        <v>46219</v>
      </c>
      <c r="C97" s="29" t="inlineStr">
        <is>
          <t>隆坪美林副食</t>
        </is>
      </c>
      <c r="D97" s="29" t="inlineStr">
        <is>
          <t>1L果之茶</t>
        </is>
      </c>
      <c r="E97" s="29" t="n">
        <v>6</v>
      </c>
      <c r="F97" s="155" t="n">
        <v>46</v>
      </c>
      <c r="G97" s="155">
        <f>IF(AND(E97&lt;&gt;"",F97&lt;&gt;""),E97*F97,"")</f>
        <v>276</v>
      </c>
      <c r="H97" s="29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</row>
    <row r="98" ht="15" customFormat="1" customHeight="1" s="16">
      <c r="A98" s="54" t="n">
        <v>95</v>
      </c>
      <c r="B98" s="161" t="n">
        <v>46213</v>
      </c>
      <c r="C98" s="54" t="inlineStr">
        <is>
          <t>吕维春</t>
        </is>
      </c>
      <c r="D98" s="54" t="inlineStr">
        <is>
          <t>大东鹏</t>
        </is>
      </c>
      <c r="E98" s="54" t="n">
        <v>50</v>
      </c>
      <c r="F98" s="162" t="n">
        <v>90</v>
      </c>
      <c r="G98" s="162">
        <f>IF(AND(E98&lt;&gt;"",F98&lt;&gt;""),E98*F98,"")</f>
        <v>4500</v>
      </c>
      <c r="H98" s="5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</row>
    <row r="99" ht="15" customFormat="1" customHeight="1" s="16">
      <c r="A99" s="54" t="n">
        <v>96</v>
      </c>
      <c r="B99" s="163" t="n">
        <v>46200</v>
      </c>
      <c r="C99" s="29" t="inlineStr">
        <is>
          <t>马路下小卖部</t>
        </is>
      </c>
      <c r="D99" s="29" t="inlineStr">
        <is>
          <t>小果之茶</t>
        </is>
      </c>
      <c r="E99" s="29" t="n">
        <v>2</v>
      </c>
      <c r="F99" s="155" t="n">
        <v>50</v>
      </c>
      <c r="G99" s="155">
        <f>IF(AND(E99&lt;&gt;"",F99&lt;&gt;""),E99*F99,"")</f>
        <v>100</v>
      </c>
      <c r="H99" s="14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15" customFormat="1" customHeight="1" s="16">
      <c r="A100" s="54" t="n">
        <v>97</v>
      </c>
      <c r="B100" s="163" t="n">
        <v>46210</v>
      </c>
      <c r="C100" s="29" t="inlineStr">
        <is>
          <t>马路下小卖部</t>
        </is>
      </c>
      <c r="D100" s="29" t="inlineStr">
        <is>
          <t>555补水</t>
        </is>
      </c>
      <c r="E100" s="29" t="n">
        <v>2</v>
      </c>
      <c r="F100" s="155" t="n">
        <v>68</v>
      </c>
      <c r="G100" s="155">
        <f>IF(AND(E100&lt;&gt;"",F100&lt;&gt;""),E100*F100,"")</f>
        <v>136</v>
      </c>
      <c r="H100" s="29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</row>
    <row r="101" ht="15" customFormat="1" customHeight="1" s="16">
      <c r="A101" s="54" t="n">
        <v>98</v>
      </c>
      <c r="B101" s="163" t="n">
        <v>46210</v>
      </c>
      <c r="C101" s="29" t="inlineStr">
        <is>
          <t>马路下小卖部</t>
        </is>
      </c>
      <c r="D101" s="54" t="inlineStr">
        <is>
          <t>小果之茶</t>
        </is>
      </c>
      <c r="E101" s="54" t="n">
        <v>2</v>
      </c>
      <c r="F101" s="162" t="n">
        <v>50</v>
      </c>
      <c r="G101" s="155">
        <f>IF(AND(E101&lt;&gt;"",F101&lt;&gt;""),E101*F101,"")</f>
        <v>100</v>
      </c>
      <c r="H101" s="5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</row>
    <row r="102" ht="15" customFormat="1" customHeight="1" s="16">
      <c r="A102" s="54" t="n">
        <v>99</v>
      </c>
      <c r="B102" s="161" t="n">
        <v>46204</v>
      </c>
      <c r="C102" s="30" t="inlineStr">
        <is>
          <t>梅窖建军批发</t>
        </is>
      </c>
      <c r="D102" s="30" t="inlineStr">
        <is>
          <t>555补水</t>
        </is>
      </c>
      <c r="E102" s="54" t="n">
        <v>10</v>
      </c>
      <c r="F102" s="162" t="n">
        <v>65</v>
      </c>
      <c r="G102" s="155">
        <f>IF(AND(E102&lt;&gt;"",F102&lt;&gt;""),E102*F102,"")</f>
        <v>650</v>
      </c>
      <c r="H102" s="5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</row>
    <row r="103" ht="15" customFormat="1" customHeight="1" s="16">
      <c r="A103" s="54" t="n">
        <v>100</v>
      </c>
      <c r="B103" s="161" t="n">
        <v>46213</v>
      </c>
      <c r="C103" s="54" t="inlineStr">
        <is>
          <t>梅窖建军批发</t>
        </is>
      </c>
      <c r="D103" s="54" t="inlineStr">
        <is>
          <t>555补水</t>
        </is>
      </c>
      <c r="E103" s="54" t="n">
        <v>20</v>
      </c>
      <c r="F103" s="162" t="n">
        <v>65</v>
      </c>
      <c r="G103" s="162">
        <f>IF(AND(E103&lt;&gt;"",F103&lt;&gt;""),E103*F103,"")</f>
        <v>1300</v>
      </c>
      <c r="H103" s="5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</row>
    <row r="104" ht="15" customFormat="1" customHeight="1" s="16">
      <c r="A104" s="54" t="n">
        <v>101</v>
      </c>
      <c r="B104" s="161" t="n">
        <v>46213</v>
      </c>
      <c r="C104" s="54" t="inlineStr">
        <is>
          <t>梅窖建军批发</t>
        </is>
      </c>
      <c r="D104" s="29" t="inlineStr">
        <is>
          <t>1L补水</t>
        </is>
      </c>
      <c r="E104" s="29" t="n">
        <v>20</v>
      </c>
      <c r="F104" s="155" t="n">
        <v>55</v>
      </c>
      <c r="G104" s="155">
        <f>IF(AND(E104&lt;&gt;"",F104&lt;&gt;""),E104*F104,"")</f>
        <v>1100</v>
      </c>
      <c r="H104" s="29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</row>
    <row r="105" ht="15" customFormat="1" customHeight="1" s="16">
      <c r="A105" s="54" t="n">
        <v>102</v>
      </c>
      <c r="B105" s="163" t="n">
        <v>46222</v>
      </c>
      <c r="C105" s="29" t="inlineStr">
        <is>
          <t>梅窖建军批发</t>
        </is>
      </c>
      <c r="D105" s="29" t="inlineStr">
        <is>
          <t>1L果之茶</t>
        </is>
      </c>
      <c r="E105" s="29" t="n">
        <v>20</v>
      </c>
      <c r="F105" s="155" t="n">
        <v>43</v>
      </c>
      <c r="G105" s="155">
        <f>IF(AND(E105&lt;&gt;"",F105&lt;&gt;""),E105*F105,"")</f>
        <v>860</v>
      </c>
      <c r="H105" s="29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</row>
    <row r="106" ht="15" customFormat="1" customHeight="1" s="16">
      <c r="A106" s="54" t="n">
        <v>103</v>
      </c>
      <c r="B106" s="163" t="n">
        <v>46216</v>
      </c>
      <c r="C106" s="29" t="inlineStr">
        <is>
          <t>通达商行</t>
        </is>
      </c>
      <c r="D106" s="54" t="inlineStr">
        <is>
          <t>大东鹏</t>
        </is>
      </c>
      <c r="E106" s="29" t="n">
        <v>100</v>
      </c>
      <c r="F106" s="155" t="n">
        <v>90</v>
      </c>
      <c r="G106" s="155">
        <f>IF(AND(E106&lt;&gt;"",F106&lt;&gt;""),E106*F106,"")</f>
        <v>9000</v>
      </c>
      <c r="H106" s="29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</row>
    <row r="107" ht="15" customFormat="1" customHeight="1" s="16">
      <c r="A107" s="54" t="n">
        <v>104</v>
      </c>
      <c r="B107" s="163" t="n">
        <v>46197</v>
      </c>
      <c r="C107" s="29" t="inlineStr">
        <is>
          <t>桐心源</t>
        </is>
      </c>
      <c r="D107" s="56" t="inlineStr">
        <is>
          <t>500农夫饮料</t>
        </is>
      </c>
      <c r="E107" s="29" t="n">
        <v>5</v>
      </c>
      <c r="F107" s="155" t="n">
        <v>52</v>
      </c>
      <c r="G107" s="155">
        <f>IF(AND(E107&lt;&gt;"",F107&lt;&gt;""),E107*F107,"")</f>
        <v>260</v>
      </c>
      <c r="H107" s="29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</row>
    <row r="108" ht="15" customFormat="1" customHeight="1" s="16">
      <c r="A108" s="54" t="n">
        <v>105</v>
      </c>
      <c r="B108" s="163" t="n">
        <v>46203</v>
      </c>
      <c r="C108" s="54" t="inlineStr">
        <is>
          <t>桐心源</t>
        </is>
      </c>
      <c r="D108" s="54" t="inlineStr">
        <is>
          <t>500农夫饮料</t>
        </is>
      </c>
      <c r="E108" s="54" t="n">
        <v>90</v>
      </c>
      <c r="F108" s="162" t="n">
        <v>52</v>
      </c>
      <c r="G108" s="155">
        <f>IF(AND(E108&lt;&gt;"",F108&lt;&gt;""),E108*F108,"")</f>
        <v>4680</v>
      </c>
      <c r="H108" s="5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</row>
    <row r="109" ht="15" customFormat="1" customHeight="1" s="16">
      <c r="A109" s="54" t="n">
        <v>106</v>
      </c>
      <c r="B109" s="163" t="n">
        <v>46203</v>
      </c>
      <c r="C109" s="54" t="inlineStr">
        <is>
          <t>桐心源</t>
        </is>
      </c>
      <c r="D109" s="29" t="inlineStr">
        <is>
          <t>900农夫饮料</t>
        </is>
      </c>
      <c r="E109" s="29" t="n">
        <v>20</v>
      </c>
      <c r="F109" s="155" t="n">
        <v>60</v>
      </c>
      <c r="G109" s="155">
        <f>IF(AND(E109&lt;&gt;"",F109&lt;&gt;""),E109*F109,"")</f>
        <v>1200</v>
      </c>
      <c r="H109" s="29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</row>
    <row r="110" ht="15" customFormat="1" customHeight="1" s="16">
      <c r="A110" s="54" t="n">
        <v>107</v>
      </c>
      <c r="B110" s="163" t="n">
        <v>46204</v>
      </c>
      <c r="C110" s="29" t="inlineStr">
        <is>
          <t>桐心源</t>
        </is>
      </c>
      <c r="D110" s="29" t="inlineStr">
        <is>
          <t>小果之茶</t>
        </is>
      </c>
      <c r="E110" s="29" t="n">
        <v>200</v>
      </c>
      <c r="F110" s="155" t="n">
        <v>47</v>
      </c>
      <c r="G110" s="155">
        <f>IF(AND(E110&lt;&gt;"",F110&lt;&gt;""),E110*F110,"")</f>
        <v>9400</v>
      </c>
      <c r="H110" s="29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</row>
    <row r="111" ht="15" customFormat="1" customHeight="1" s="16">
      <c r="A111" s="54" t="n">
        <v>108</v>
      </c>
      <c r="B111" s="161" t="n">
        <v>46205</v>
      </c>
      <c r="C111" s="54" t="inlineStr">
        <is>
          <t>桐心源</t>
        </is>
      </c>
      <c r="D111" s="54" t="inlineStr">
        <is>
          <t>500农夫饮料</t>
        </is>
      </c>
      <c r="E111" s="54" t="n">
        <v>10</v>
      </c>
      <c r="F111" s="162" t="n">
        <v>52</v>
      </c>
      <c r="G111" s="155">
        <f>IF(AND(E111&lt;&gt;"",F111&lt;&gt;""),E111*F111,"")</f>
        <v>520</v>
      </c>
      <c r="H111" s="5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</row>
    <row r="112" ht="15" customFormat="1" customHeight="1" s="16">
      <c r="A112" s="54" t="n">
        <v>109</v>
      </c>
      <c r="B112" s="161" t="n">
        <v>46205</v>
      </c>
      <c r="C112" s="54" t="inlineStr">
        <is>
          <t>桐心源</t>
        </is>
      </c>
      <c r="D112" s="54" t="inlineStr">
        <is>
          <t>500农夫饮料</t>
        </is>
      </c>
      <c r="E112" s="29" t="n">
        <v>23</v>
      </c>
      <c r="F112" s="155" t="n">
        <v>52</v>
      </c>
      <c r="G112" s="155">
        <f>IF(AND(E112&lt;&gt;"",F112&lt;&gt;""),E112*F112,"")</f>
        <v>1196</v>
      </c>
      <c r="H112" s="29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</row>
    <row r="113" ht="15" customFormat="1" customHeight="1" s="16">
      <c r="A113" s="54" t="n">
        <v>110</v>
      </c>
      <c r="B113" s="161" t="n">
        <v>46205</v>
      </c>
      <c r="C113" s="56" t="inlineStr">
        <is>
          <t>桐心源</t>
        </is>
      </c>
      <c r="D113" s="56" t="inlineStr">
        <is>
          <t>550农夫水</t>
        </is>
      </c>
      <c r="E113" s="56" t="n">
        <v>30</v>
      </c>
      <c r="F113" s="162" t="n">
        <v>20</v>
      </c>
      <c r="G113" s="155">
        <f>IF(AND(E113&lt;&gt;"",F113&lt;&gt;""),E113*F113,"")</f>
        <v>600</v>
      </c>
      <c r="H113" s="5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</row>
    <row r="114" ht="15" customFormat="1" customHeight="1" s="16">
      <c r="A114" s="54" t="n">
        <v>111</v>
      </c>
      <c r="B114" s="163" t="n">
        <v>46206</v>
      </c>
      <c r="C114" s="54" t="inlineStr">
        <is>
          <t>桐心源</t>
        </is>
      </c>
      <c r="D114" s="54" t="inlineStr">
        <is>
          <t>500农夫饮料</t>
        </is>
      </c>
      <c r="E114" s="29" t="n">
        <v>5</v>
      </c>
      <c r="F114" s="155" t="n">
        <v>52</v>
      </c>
      <c r="G114" s="155">
        <f>IF(AND(E114&lt;&gt;"",F114&lt;&gt;""),E114*F114,"")</f>
        <v>260</v>
      </c>
      <c r="H114" s="29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</row>
    <row r="115" ht="15" customFormat="1" customHeight="1" s="16">
      <c r="A115" s="54" t="n">
        <v>112</v>
      </c>
      <c r="B115" s="161" t="n">
        <v>46207</v>
      </c>
      <c r="C115" s="54" t="inlineStr">
        <is>
          <t>桐心源</t>
        </is>
      </c>
      <c r="D115" s="54" t="inlineStr">
        <is>
          <t>500农夫饮料</t>
        </is>
      </c>
      <c r="E115" s="54" t="n">
        <v>25</v>
      </c>
      <c r="F115" s="162" t="n">
        <v>52</v>
      </c>
      <c r="G115" s="155">
        <f>IF(AND(E115&lt;&gt;"",F115&lt;&gt;""),E115*F115,"")</f>
        <v>1300</v>
      </c>
      <c r="H115" s="5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</row>
    <row r="116" ht="15" customFormat="1" customHeight="1" s="16">
      <c r="A116" s="54" t="n">
        <v>113</v>
      </c>
      <c r="B116" s="163" t="n">
        <v>46207</v>
      </c>
      <c r="C116" s="54" t="inlineStr">
        <is>
          <t>桐心源</t>
        </is>
      </c>
      <c r="D116" s="54" t="inlineStr">
        <is>
          <t>900农夫饮料</t>
        </is>
      </c>
      <c r="E116" s="29" t="n">
        <v>5</v>
      </c>
      <c r="F116" s="155" t="n">
        <v>62</v>
      </c>
      <c r="G116" s="155">
        <f>IF(AND(E116&lt;&gt;"",F116&lt;&gt;""),E116*F116,"")</f>
        <v>310</v>
      </c>
      <c r="H116" s="29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</row>
    <row r="117" ht="15" customFormat="1" customHeight="1" s="16">
      <c r="A117" s="54" t="n">
        <v>114</v>
      </c>
      <c r="B117" s="163" t="n">
        <v>46209</v>
      </c>
      <c r="C117" s="29" t="inlineStr">
        <is>
          <t>桐心源</t>
        </is>
      </c>
      <c r="D117" s="54" t="inlineStr">
        <is>
          <t>500农夫饮料</t>
        </is>
      </c>
      <c r="E117" s="29" t="n">
        <v>55</v>
      </c>
      <c r="F117" s="155" t="n">
        <v>52</v>
      </c>
      <c r="G117" s="155">
        <f>IF(AND(E117&lt;&gt;"",F117&lt;&gt;""),E117*F117,"")</f>
        <v>2860</v>
      </c>
      <c r="H117" s="29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</row>
    <row r="118" ht="15" customFormat="1" customHeight="1" s="16">
      <c r="A118" s="54" t="n">
        <v>115</v>
      </c>
      <c r="B118" s="161" t="n">
        <v>46209</v>
      </c>
      <c r="C118" s="54" t="inlineStr">
        <is>
          <t>桐心源</t>
        </is>
      </c>
      <c r="D118" s="54" t="inlineStr">
        <is>
          <t>1L果之茶</t>
        </is>
      </c>
      <c r="E118" s="54" t="n">
        <v>65</v>
      </c>
      <c r="F118" s="162" t="n">
        <v>43</v>
      </c>
      <c r="G118" s="162">
        <f>IF(AND(E118&lt;&gt;"",F118&lt;&gt;""),E118*F118,"")</f>
        <v>2795</v>
      </c>
      <c r="H118" s="5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</row>
    <row r="119" ht="15" customFormat="1" customHeight="1" s="16">
      <c r="A119" s="54" t="n">
        <v>116</v>
      </c>
      <c r="B119" s="161" t="n">
        <v>46209</v>
      </c>
      <c r="C119" s="54" t="inlineStr">
        <is>
          <t>桐心源</t>
        </is>
      </c>
      <c r="D119" s="29" t="inlineStr">
        <is>
          <t>小果之茶</t>
        </is>
      </c>
      <c r="E119" s="29" t="n">
        <v>200</v>
      </c>
      <c r="F119" s="155" t="n">
        <v>47</v>
      </c>
      <c r="G119" s="155">
        <f>IF(AND(E119&lt;&gt;"",F119&lt;&gt;""),E119*F119,"")</f>
        <v>9400</v>
      </c>
      <c r="H119" s="29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</row>
    <row r="120" ht="15" customFormat="1" customHeight="1" s="16">
      <c r="A120" s="54" t="n">
        <v>117</v>
      </c>
      <c r="B120" s="161" t="n">
        <v>46212</v>
      </c>
      <c r="C120" s="29" t="inlineStr">
        <is>
          <t>桐心源</t>
        </is>
      </c>
      <c r="D120" s="54" t="inlineStr">
        <is>
          <t>500农夫饮料</t>
        </is>
      </c>
      <c r="E120" s="54" t="n">
        <v>55</v>
      </c>
      <c r="F120" s="162" t="n">
        <v>52</v>
      </c>
      <c r="G120" s="162">
        <f>IF(AND(E120&lt;&gt;"",F120&lt;&gt;""),E120*F120,"")</f>
        <v>2860</v>
      </c>
      <c r="H120" s="5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</row>
    <row r="121" ht="15" customFormat="1" customHeight="1" s="16">
      <c r="A121" s="54" t="n">
        <v>118</v>
      </c>
      <c r="B121" s="161" t="n">
        <v>46212</v>
      </c>
      <c r="C121" s="29" t="inlineStr">
        <is>
          <t>桐心源</t>
        </is>
      </c>
      <c r="D121" s="54" t="inlineStr">
        <is>
          <t>500农夫饮料</t>
        </is>
      </c>
      <c r="E121" s="54" t="n">
        <v>20</v>
      </c>
      <c r="F121" s="162" t="n">
        <v>52</v>
      </c>
      <c r="G121" s="162">
        <f>IF(AND(E121&lt;&gt;"",F121&lt;&gt;""),E121*F121,"")</f>
        <v>1040</v>
      </c>
      <c r="H121" s="5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</row>
    <row r="122" ht="15" customFormat="1" customHeight="1" s="16">
      <c r="A122" s="54" t="n">
        <v>119</v>
      </c>
      <c r="B122" s="161" t="n">
        <v>46214</v>
      </c>
      <c r="C122" s="29" t="inlineStr">
        <is>
          <t>桐心源</t>
        </is>
      </c>
      <c r="D122" s="54" t="inlineStr">
        <is>
          <t>550农夫水</t>
        </is>
      </c>
      <c r="E122" s="54" t="n">
        <v>30</v>
      </c>
      <c r="F122" s="162" t="n">
        <v>20</v>
      </c>
      <c r="G122" s="162">
        <f>IF(AND(E122&lt;&gt;"",F122&lt;&gt;""),E122*F122,"")</f>
        <v>600</v>
      </c>
      <c r="H122" s="5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</row>
    <row r="123" ht="15" customFormat="1" customHeight="1" s="16">
      <c r="A123" s="54" t="n">
        <v>120</v>
      </c>
      <c r="B123" s="163" t="n">
        <v>46219</v>
      </c>
      <c r="C123" s="29" t="inlineStr">
        <is>
          <t>桐心源</t>
        </is>
      </c>
      <c r="D123" s="29" t="inlineStr">
        <is>
          <t>小果之茶</t>
        </is>
      </c>
      <c r="E123" s="29" t="n">
        <v>100</v>
      </c>
      <c r="F123" s="155" t="n">
        <v>47</v>
      </c>
      <c r="G123" s="155">
        <f>IF(AND(E123&lt;&gt;"",F123&lt;&gt;""),E123*F123,"")</f>
        <v>4700</v>
      </c>
      <c r="H123" s="29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</row>
    <row r="124" ht="15" customFormat="1" customHeight="1" s="16">
      <c r="A124" s="54" t="n">
        <v>121</v>
      </c>
      <c r="B124" s="163" t="n">
        <v>46219</v>
      </c>
      <c r="C124" s="29" t="inlineStr">
        <is>
          <t>桐心源</t>
        </is>
      </c>
      <c r="D124" s="54" t="inlineStr">
        <is>
          <t>1L果之茶</t>
        </is>
      </c>
      <c r="E124" s="54" t="n">
        <v>30</v>
      </c>
      <c r="F124" s="162" t="n">
        <v>43</v>
      </c>
      <c r="G124" s="162">
        <f>IF(AND(E124&lt;&gt;"",F124&lt;&gt;""),E124*F124,"")</f>
        <v>1290</v>
      </c>
      <c r="H124" s="5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</row>
    <row r="125" ht="15" customFormat="1" customHeight="1" s="16">
      <c r="A125" s="54" t="n">
        <v>122</v>
      </c>
      <c r="B125" s="163" t="n">
        <v>46219</v>
      </c>
      <c r="C125" s="29" t="inlineStr">
        <is>
          <t>桐心源</t>
        </is>
      </c>
      <c r="D125" s="29" t="inlineStr">
        <is>
          <t>1L补水</t>
        </is>
      </c>
      <c r="E125" s="29" t="n">
        <v>30</v>
      </c>
      <c r="F125" s="155" t="n">
        <v>55</v>
      </c>
      <c r="G125" s="155">
        <f>IF(AND(E125&lt;&gt;"",F125&lt;&gt;""),E125*F125,"")</f>
        <v>1650</v>
      </c>
      <c r="H125" s="29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</row>
    <row r="126" ht="15" customFormat="1" customHeight="1" s="16">
      <c r="A126" s="54" t="n">
        <v>123</v>
      </c>
      <c r="B126" s="163" t="n">
        <v>46219</v>
      </c>
      <c r="C126" s="29" t="inlineStr">
        <is>
          <t>桐心源</t>
        </is>
      </c>
      <c r="D126" s="54" t="inlineStr">
        <is>
          <t>500农夫饮料</t>
        </is>
      </c>
      <c r="E126" s="54" t="n">
        <v>30</v>
      </c>
      <c r="F126" s="162" t="n">
        <v>52</v>
      </c>
      <c r="G126" s="162">
        <f>IF(AND(E126&lt;&gt;"",F126&lt;&gt;""),E126*F126,"")</f>
        <v>1560</v>
      </c>
      <c r="H126" s="5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</row>
    <row r="127" ht="15" customFormat="1" customHeight="1" s="16">
      <c r="A127" s="54" t="n">
        <v>124</v>
      </c>
      <c r="B127" s="163" t="n">
        <v>46219</v>
      </c>
      <c r="C127" s="29" t="inlineStr">
        <is>
          <t>桐心源</t>
        </is>
      </c>
      <c r="D127" s="29" t="inlineStr">
        <is>
          <t>900农夫饮料</t>
        </is>
      </c>
      <c r="E127" s="29" t="n">
        <v>10</v>
      </c>
      <c r="F127" s="155" t="n">
        <v>60</v>
      </c>
      <c r="G127" s="155">
        <f>IF(AND(E127&lt;&gt;"",F127&lt;&gt;""),E127*F127,"")</f>
        <v>600</v>
      </c>
      <c r="H127" s="29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</row>
    <row r="128" ht="15" customFormat="1" customHeight="1" s="16">
      <c r="A128" s="54" t="n">
        <v>125</v>
      </c>
      <c r="B128" s="163" t="n">
        <v>46219</v>
      </c>
      <c r="C128" s="29" t="inlineStr">
        <is>
          <t>桐心源</t>
        </is>
      </c>
      <c r="D128" s="29" t="inlineStr">
        <is>
          <t>港式奶茶</t>
        </is>
      </c>
      <c r="E128" s="54" t="n">
        <v>10</v>
      </c>
      <c r="F128" s="162" t="n">
        <v>69</v>
      </c>
      <c r="G128" s="162">
        <f>IF(AND(E128&lt;&gt;"",F128&lt;&gt;""),E128*F128,"")</f>
        <v>690</v>
      </c>
      <c r="H128" s="5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</row>
    <row r="129" ht="15" customFormat="1" customHeight="1" s="16">
      <c r="A129" s="54" t="n">
        <v>126</v>
      </c>
      <c r="B129" s="163" t="n">
        <v>46220</v>
      </c>
      <c r="C129" s="29" t="inlineStr">
        <is>
          <t>桐心源</t>
        </is>
      </c>
      <c r="D129" s="54" t="inlineStr">
        <is>
          <t>500农夫饮料</t>
        </is>
      </c>
      <c r="E129" s="29" t="n">
        <v>50</v>
      </c>
      <c r="F129" s="155" t="n">
        <v>52</v>
      </c>
      <c r="G129" s="155">
        <f>IF(AND(E129&lt;&gt;"",F129&lt;&gt;""),E129*F129,"")</f>
        <v>2600</v>
      </c>
      <c r="H129" s="29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</row>
    <row r="130" ht="15" customFormat="1" customHeight="1" s="16">
      <c r="A130" s="54" t="n">
        <v>127</v>
      </c>
      <c r="B130" s="163" t="n">
        <v>46211</v>
      </c>
      <c r="C130" s="29" t="inlineStr">
        <is>
          <t>桐心源</t>
        </is>
      </c>
      <c r="D130" s="29" t="inlineStr">
        <is>
          <t>555补水</t>
        </is>
      </c>
      <c r="E130" s="29" t="n">
        <v>140</v>
      </c>
      <c r="F130" s="155" t="n">
        <v>65</v>
      </c>
      <c r="G130" s="155">
        <f>IF(AND(E130&lt;&gt;"",F130&lt;&gt;""),E130*F130,"")</f>
        <v>9100</v>
      </c>
      <c r="H130" s="29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</row>
    <row r="131" ht="15" customFormat="1" customHeight="1" s="16">
      <c r="A131" s="54" t="n">
        <v>128</v>
      </c>
      <c r="B131" s="163" t="n">
        <v>46211</v>
      </c>
      <c r="C131" s="29" t="inlineStr">
        <is>
          <t>桐心源</t>
        </is>
      </c>
      <c r="D131" s="54" t="inlineStr">
        <is>
          <t>1L补水</t>
        </is>
      </c>
      <c r="E131" s="54" t="n">
        <v>30</v>
      </c>
      <c r="F131" s="162" t="n">
        <v>55</v>
      </c>
      <c r="G131" s="162">
        <f>IF(AND(E131&lt;&gt;"",F131&lt;&gt;""),E131*F131,"")</f>
        <v>1650</v>
      </c>
      <c r="H131" s="5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</row>
    <row r="132" ht="15" customFormat="1" customHeight="1" s="16">
      <c r="A132" s="54" t="n">
        <v>129</v>
      </c>
      <c r="B132" s="161" t="n">
        <v>46163</v>
      </c>
      <c r="C132" s="54" t="inlineStr">
        <is>
          <t>桐心源</t>
        </is>
      </c>
      <c r="D132" s="54" t="inlineStr">
        <is>
          <t>小果之茶</t>
        </is>
      </c>
      <c r="E132" s="54" t="n">
        <v>52</v>
      </c>
      <c r="F132" s="162" t="n">
        <v>47</v>
      </c>
      <c r="G132" s="162">
        <f>IF(AND(E132&lt;&gt;"",F132&lt;&gt;""),E132*F132,"")</f>
        <v>2444</v>
      </c>
      <c r="H132" s="5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</row>
    <row r="133" ht="15" customFormat="1" customHeight="1" s="16">
      <c r="A133" s="54" t="n">
        <v>130</v>
      </c>
      <c r="B133" s="163" t="n">
        <v>46225</v>
      </c>
      <c r="C133" s="29" t="inlineStr">
        <is>
          <t>桐心源</t>
        </is>
      </c>
      <c r="D133" s="29" t="inlineStr">
        <is>
          <t>500农夫饮料</t>
        </is>
      </c>
      <c r="E133" s="29" t="n">
        <v>35</v>
      </c>
      <c r="F133" s="155" t="n">
        <v>52</v>
      </c>
      <c r="G133" s="155">
        <f>IF(AND(E133&lt;&gt;"",F133&lt;&gt;""),E133*F133,"")</f>
        <v>1820</v>
      </c>
      <c r="H133" s="29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</row>
    <row r="134" ht="15" customFormat="1" customHeight="1" s="16">
      <c r="A134" s="54" t="n">
        <v>131</v>
      </c>
      <c r="B134" s="163" t="n">
        <v>46225</v>
      </c>
      <c r="C134" s="29" t="inlineStr">
        <is>
          <t>桐心源</t>
        </is>
      </c>
      <c r="D134" s="54" t="inlineStr">
        <is>
          <t>550农夫水</t>
        </is>
      </c>
      <c r="E134" s="54" t="n">
        <v>30</v>
      </c>
      <c r="F134" s="162" t="n">
        <v>20</v>
      </c>
      <c r="G134" s="162">
        <f>IF(AND(E134&lt;&gt;"",F134&lt;&gt;""),E134*F134,"")</f>
        <v>600</v>
      </c>
      <c r="H134" s="5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</row>
    <row r="135" ht="15" customFormat="1" customHeight="1" s="16">
      <c r="A135" s="54" t="n">
        <v>132</v>
      </c>
      <c r="B135" s="163" t="n">
        <v>46225</v>
      </c>
      <c r="C135" s="29" t="inlineStr">
        <is>
          <t>桐心源</t>
        </is>
      </c>
      <c r="D135" s="29" t="inlineStr">
        <is>
          <t>1L补水</t>
        </is>
      </c>
      <c r="E135" s="29" t="n">
        <v>100</v>
      </c>
      <c r="F135" s="155" t="n">
        <v>55</v>
      </c>
      <c r="G135" s="155">
        <f>IF(AND(E135&lt;&gt;"",F135&lt;&gt;""),E135*F135,"")</f>
        <v>5500</v>
      </c>
      <c r="H135" s="29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</row>
    <row r="136" ht="15" customFormat="1" customHeight="1" s="16">
      <c r="A136" s="54" t="n">
        <v>133</v>
      </c>
      <c r="B136" s="163" t="n">
        <v>46225</v>
      </c>
      <c r="C136" s="29" t="inlineStr">
        <is>
          <t>桐心源</t>
        </is>
      </c>
      <c r="D136" s="54" t="inlineStr">
        <is>
          <t>1L补水</t>
        </is>
      </c>
      <c r="E136" s="54" t="n">
        <v>80</v>
      </c>
      <c r="F136" s="162" t="n">
        <v>55</v>
      </c>
      <c r="G136" s="162">
        <f>IF(AND(E136&lt;&gt;"",F136&lt;&gt;""),E136*F136,"")</f>
        <v>4400</v>
      </c>
      <c r="H136" s="5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</row>
    <row r="137" ht="15" customFormat="1" customHeight="1" s="16">
      <c r="A137" s="54" t="n">
        <v>134</v>
      </c>
      <c r="B137" s="163" t="n">
        <v>46225</v>
      </c>
      <c r="C137" s="29" t="inlineStr">
        <is>
          <t>桐心源</t>
        </is>
      </c>
      <c r="D137" s="29" t="inlineStr">
        <is>
          <t>555补水</t>
        </is>
      </c>
      <c r="E137" s="29" t="n">
        <v>50</v>
      </c>
      <c r="F137" s="155" t="n">
        <v>65</v>
      </c>
      <c r="G137" s="155">
        <f>IF(AND(E137&lt;&gt;"",F137&lt;&gt;""),E137*F137,"")</f>
        <v>3250</v>
      </c>
      <c r="H137" s="29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</row>
    <row r="138" ht="15" customFormat="1" customHeight="1" s="16">
      <c r="A138" s="54" t="n">
        <v>135</v>
      </c>
      <c r="B138" s="163" t="n">
        <v>46225</v>
      </c>
      <c r="C138" s="29" t="inlineStr">
        <is>
          <t>桐心源</t>
        </is>
      </c>
      <c r="D138" s="54" t="inlineStr">
        <is>
          <t>大东鹏</t>
        </is>
      </c>
      <c r="E138" s="54" t="n">
        <v>500</v>
      </c>
      <c r="F138" s="162" t="n">
        <v>90</v>
      </c>
      <c r="G138" s="162">
        <f>IF(AND(E138&lt;&gt;"",F138&lt;&gt;""),E138*F138,"")</f>
        <v>45000</v>
      </c>
      <c r="H138" s="5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</row>
    <row r="139" ht="15" customFormat="1" customHeight="1" s="16">
      <c r="A139" s="54" t="n">
        <v>136</v>
      </c>
      <c r="B139" s="163" t="n">
        <v>46225</v>
      </c>
      <c r="C139" s="29" t="inlineStr">
        <is>
          <t>桐心源</t>
        </is>
      </c>
      <c r="D139" s="29" t="inlineStr">
        <is>
          <t>小果之茶</t>
        </is>
      </c>
      <c r="E139" s="29" t="n">
        <v>50</v>
      </c>
      <c r="F139" s="155" t="n">
        <v>47</v>
      </c>
      <c r="G139" s="155">
        <f>IF(AND(E139&lt;&gt;"",F139&lt;&gt;""),E139*F139,"")</f>
        <v>2350</v>
      </c>
      <c r="H139" s="29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</row>
    <row r="140" ht="15" customFormat="1" customHeight="1" s="16">
      <c r="A140" s="54" t="n">
        <v>137</v>
      </c>
      <c r="B140" s="161" t="n">
        <v>46226</v>
      </c>
      <c r="C140" s="54" t="inlineStr">
        <is>
          <t>桐心源</t>
        </is>
      </c>
      <c r="D140" s="54" t="inlineStr">
        <is>
          <t>330大咖</t>
        </is>
      </c>
      <c r="E140" s="54" t="n">
        <v>30</v>
      </c>
      <c r="F140" s="162" t="n">
        <v>90</v>
      </c>
      <c r="G140" s="162">
        <f>IF(AND(E140&lt;&gt;"",F140&lt;&gt;""),E140*F140,"")</f>
        <v>2700</v>
      </c>
      <c r="H140" s="5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</row>
    <row r="141" ht="15" customFormat="1" customHeight="1" s="16">
      <c r="A141" s="54" t="n">
        <v>138</v>
      </c>
      <c r="B141" s="161" t="n">
        <v>46226</v>
      </c>
      <c r="C141" s="54" t="inlineStr">
        <is>
          <t>桐心源</t>
        </is>
      </c>
      <c r="D141" s="54" t="inlineStr">
        <is>
          <t>大咖</t>
        </is>
      </c>
      <c r="E141" s="54" t="n">
        <v>50</v>
      </c>
      <c r="F141" s="162" t="n">
        <v>83</v>
      </c>
      <c r="G141" s="162">
        <f>IF(AND(E141&lt;&gt;"",F141&lt;&gt;""),E141*F141,"")</f>
        <v>4150</v>
      </c>
      <c r="H141" s="5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</row>
    <row r="142" ht="15" customFormat="1" customHeight="1" s="16">
      <c r="A142" s="54" t="n">
        <v>139</v>
      </c>
      <c r="B142" s="163" t="n">
        <v>46226</v>
      </c>
      <c r="C142" s="54" t="inlineStr">
        <is>
          <t>桐心源</t>
        </is>
      </c>
      <c r="D142" s="29" t="inlineStr">
        <is>
          <t>555补水</t>
        </is>
      </c>
      <c r="E142" s="29" t="n">
        <v>100</v>
      </c>
      <c r="F142" s="155" t="n">
        <v>65</v>
      </c>
      <c r="G142" s="155">
        <f>IF(AND(E142&lt;&gt;"",F142&lt;&gt;""),E142*F142,"")</f>
        <v>6500</v>
      </c>
      <c r="H142" s="29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</row>
    <row r="143" ht="15" customFormat="1" customHeight="1" s="16">
      <c r="A143" s="54" t="n">
        <v>140</v>
      </c>
      <c r="B143" s="161" t="n">
        <v>46227</v>
      </c>
      <c r="C143" s="54" t="inlineStr">
        <is>
          <t>桐心源</t>
        </is>
      </c>
      <c r="D143" s="54" t="inlineStr">
        <is>
          <t>500农夫饮料</t>
        </is>
      </c>
      <c r="E143" s="54" t="n">
        <v>80</v>
      </c>
      <c r="F143" s="162" t="n">
        <v>52</v>
      </c>
      <c r="G143" s="162">
        <f>IF(AND(E143&lt;&gt;"",F143&lt;&gt;""),E143*F143,"")</f>
        <v>4160</v>
      </c>
      <c r="H143" s="5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</row>
    <row r="144" ht="15" customFormat="1" customHeight="1" s="16">
      <c r="A144" s="54" t="n">
        <v>141</v>
      </c>
      <c r="B144" s="163" t="n">
        <v>46221</v>
      </c>
      <c r="C144" s="29" t="inlineStr">
        <is>
          <t>桐心源</t>
        </is>
      </c>
      <c r="D144" s="30" t="inlineStr">
        <is>
          <t>东鹏椰子水</t>
        </is>
      </c>
      <c r="E144" s="29" t="n">
        <v>50</v>
      </c>
      <c r="F144" s="155" t="n">
        <v>90</v>
      </c>
      <c r="G144" s="155">
        <f>IF(AND(E144&lt;&gt;"",F144&lt;&gt;""),E144*F144,"")</f>
        <v>4500</v>
      </c>
      <c r="H144" s="29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</row>
    <row r="145" ht="15" customFormat="1" customHeight="1" s="16">
      <c r="A145" s="54" t="n">
        <v>142</v>
      </c>
      <c r="B145" s="163" t="n">
        <v>46221</v>
      </c>
      <c r="C145" s="29" t="inlineStr">
        <is>
          <t>桐心源</t>
        </is>
      </c>
      <c r="D145" s="30" t="inlineStr">
        <is>
          <t>东鹏椰子水</t>
        </is>
      </c>
      <c r="E145" s="54" t="n">
        <v>4</v>
      </c>
      <c r="F145" s="162" t="n"/>
      <c r="G145" s="162">
        <f>IF(AND(E145&lt;&gt;"",F145&lt;&gt;""),E145*F145,"")</f>
      </c>
      <c r="H145" s="5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</row>
    <row r="146" ht="15" customFormat="1" customHeight="1" s="16">
      <c r="A146" s="54" t="n">
        <v>143</v>
      </c>
      <c r="B146" s="163" t="n">
        <v>46231</v>
      </c>
      <c r="C146" s="29" t="inlineStr">
        <is>
          <t>桐心源</t>
        </is>
      </c>
      <c r="D146" s="29" t="inlineStr">
        <is>
          <t>小果之茶</t>
        </is>
      </c>
      <c r="E146" s="29" t="n">
        <v>200</v>
      </c>
      <c r="F146" s="155" t="n">
        <v>47</v>
      </c>
      <c r="G146" s="155">
        <f>IF(AND(E146&lt;&gt;"",F146&lt;&gt;""),E146*F146,"")</f>
        <v>9400</v>
      </c>
      <c r="H146" s="29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</row>
    <row r="147" ht="15" customFormat="1" customHeight="1" s="16">
      <c r="A147" s="54" t="n">
        <v>144</v>
      </c>
      <c r="B147" s="163" t="n">
        <v>46231</v>
      </c>
      <c r="C147" s="29" t="inlineStr">
        <is>
          <t>桐心源</t>
        </is>
      </c>
      <c r="D147" s="54" t="inlineStr">
        <is>
          <t>555补水</t>
        </is>
      </c>
      <c r="E147" s="54" t="n">
        <v>100</v>
      </c>
      <c r="F147" s="162" t="n">
        <v>65</v>
      </c>
      <c r="G147" s="162">
        <f>IF(AND(E147&lt;&gt;"",F147&lt;&gt;""),E147*F147,"")</f>
        <v>6500</v>
      </c>
      <c r="H147" s="5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</row>
    <row r="148" ht="15" customHeight="1" s="71">
      <c r="A148" s="54" t="n">
        <v>145</v>
      </c>
      <c r="B148" s="163" t="n">
        <v>46201</v>
      </c>
      <c r="C148" s="163" t="inlineStr">
        <is>
          <t>王玉琴</t>
        </is>
      </c>
      <c r="D148" s="29" t="inlineStr">
        <is>
          <t>1L果之茶</t>
        </is>
      </c>
      <c r="E148" s="29" t="n">
        <v>17.5</v>
      </c>
      <c r="F148" s="155" t="n">
        <v>43</v>
      </c>
      <c r="G148" s="155">
        <f>IF(AND(E148&lt;&gt;"",F148&lt;&gt;""),E148*F148,"")</f>
        <v>752.5</v>
      </c>
      <c r="H148" s="58" t="inlineStr">
        <is>
          <t>送半件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 ht="15" customHeight="1" s="71">
      <c r="A149" s="54" t="n">
        <v>146</v>
      </c>
      <c r="B149" s="161" t="n">
        <v>46206</v>
      </c>
      <c r="C149" s="29" t="inlineStr">
        <is>
          <t>王玉琴</t>
        </is>
      </c>
      <c r="D149" s="29" t="inlineStr">
        <is>
          <t>大东鹏</t>
        </is>
      </c>
      <c r="E149" s="54" t="n">
        <v>95</v>
      </c>
      <c r="F149" s="162" t="n">
        <v>90</v>
      </c>
      <c r="G149" s="155">
        <f>IF(AND(E149&lt;&gt;"",F149&lt;&gt;""),E149*F149,"")</f>
        <v>8550</v>
      </c>
      <c r="H149" s="5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</row>
    <row r="150" ht="15" customHeight="1" s="71">
      <c r="A150" s="54" t="n">
        <v>147</v>
      </c>
      <c r="B150" s="161" t="n">
        <v>46208</v>
      </c>
      <c r="C150" s="54" t="inlineStr">
        <is>
          <t>王玉琴</t>
        </is>
      </c>
      <c r="D150" s="54" t="inlineStr">
        <is>
          <t>小果之茶</t>
        </is>
      </c>
      <c r="E150" s="54" t="n">
        <v>17.5</v>
      </c>
      <c r="F150" s="162" t="n">
        <v>47</v>
      </c>
      <c r="G150" s="155">
        <f>IF(AND(E150&lt;&gt;"",F150&lt;&gt;""),E150*F150,"")</f>
        <v>822.5</v>
      </c>
      <c r="H150" s="5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</row>
    <row r="151" ht="15" customHeight="1" s="71">
      <c r="A151" s="54" t="n">
        <v>148</v>
      </c>
      <c r="B151" s="161" t="n">
        <v>46213</v>
      </c>
      <c r="C151" s="29" t="inlineStr">
        <is>
          <t>王玉琴</t>
        </is>
      </c>
      <c r="D151" s="54" t="inlineStr">
        <is>
          <t>大东鹏</t>
        </is>
      </c>
      <c r="E151" s="54" t="n">
        <v>50</v>
      </c>
      <c r="F151" s="162" t="n">
        <v>90</v>
      </c>
      <c r="G151" s="162">
        <f>IF(AND(E151&lt;&gt;"",F151&lt;&gt;""),E151*F151,"")</f>
        <v>4500</v>
      </c>
      <c r="H151" s="5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</row>
    <row r="152" ht="15" customFormat="1" customHeight="1" s="16">
      <c r="A152" s="54" t="n">
        <v>149</v>
      </c>
      <c r="B152" s="163" t="n">
        <v>46221</v>
      </c>
      <c r="C152" s="29" t="inlineStr">
        <is>
          <t>王玉琴</t>
        </is>
      </c>
      <c r="D152" s="29" t="inlineStr">
        <is>
          <t>小果之茶</t>
        </is>
      </c>
      <c r="E152" s="29" t="n">
        <v>17.5</v>
      </c>
      <c r="F152" s="155" t="n">
        <v>47</v>
      </c>
      <c r="G152" s="155">
        <f>IF(AND(E152&lt;&gt;"",F152&lt;&gt;""),E152*F152,"")</f>
        <v>822.5</v>
      </c>
      <c r="H152" s="29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</row>
    <row r="153" ht="15" customFormat="1" customHeight="1" s="16">
      <c r="A153" s="54" t="n">
        <v>150</v>
      </c>
      <c r="B153" s="163" t="n">
        <v>46222</v>
      </c>
      <c r="C153" s="29" t="inlineStr">
        <is>
          <t>王玉琴</t>
        </is>
      </c>
      <c r="D153" s="29" t="inlineStr">
        <is>
          <t>555补水</t>
        </is>
      </c>
      <c r="E153" s="29" t="n">
        <v>17.5</v>
      </c>
      <c r="F153" s="155" t="n">
        <v>65</v>
      </c>
      <c r="G153" s="155">
        <f>IF(AND(E153&lt;&gt;"",F153&lt;&gt;""),E153*F153,"")</f>
        <v>1137.5</v>
      </c>
      <c r="H153" s="29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</row>
    <row r="154" ht="15" customFormat="1" customHeight="1" s="16">
      <c r="A154" s="54" t="n">
        <v>151</v>
      </c>
      <c r="B154" s="163" t="n">
        <v>46209</v>
      </c>
      <c r="C154" s="29" t="inlineStr">
        <is>
          <t>小梅商行</t>
        </is>
      </c>
      <c r="D154" s="29" t="inlineStr">
        <is>
          <t>大东鹏</t>
        </is>
      </c>
      <c r="E154" s="29" t="n">
        <v>300</v>
      </c>
      <c r="F154" s="155" t="n">
        <v>90</v>
      </c>
      <c r="G154" s="155">
        <f>IF(AND(E154&lt;&gt;"",F154&lt;&gt;""),E154*F154,"")</f>
        <v>27000</v>
      </c>
      <c r="H154" s="29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</row>
    <row r="155" ht="15" customFormat="1" customHeight="1" s="16">
      <c r="A155" s="54" t="n">
        <v>152</v>
      </c>
      <c r="B155" s="161" t="n">
        <v>46230</v>
      </c>
      <c r="C155" s="54" t="inlineStr">
        <is>
          <t>小梅商行</t>
        </is>
      </c>
      <c r="D155" s="54" t="inlineStr">
        <is>
          <t>大东鹏</t>
        </is>
      </c>
      <c r="E155" s="54" t="n">
        <v>100</v>
      </c>
      <c r="F155" s="162" t="n">
        <v>90</v>
      </c>
      <c r="G155" s="162">
        <f>IF(AND(E155&lt;&gt;"",F155&lt;&gt;""),E155*F155,"")</f>
        <v>9000</v>
      </c>
      <c r="H155" s="5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</row>
    <row r="156" ht="15" customFormat="1" customHeight="1" s="16">
      <c r="A156" s="54" t="n">
        <v>153</v>
      </c>
      <c r="B156" s="165" t="n">
        <v>46200</v>
      </c>
      <c r="C156" s="58" t="inlineStr">
        <is>
          <t>星海超市</t>
        </is>
      </c>
      <c r="D156" s="58" t="inlineStr">
        <is>
          <t>小焙好茶</t>
        </is>
      </c>
      <c r="E156" s="58" t="n">
        <v>20</v>
      </c>
      <c r="F156" s="166" t="n">
        <v>48</v>
      </c>
      <c r="G156" s="166">
        <f>IF(AND(E156&lt;&gt;"",F156&lt;&gt;""),E156*F156,"")</f>
        <v>960</v>
      </c>
      <c r="H156" s="58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 ht="15" customFormat="1" customHeight="1" s="16">
      <c r="A157" s="54" t="n">
        <v>154</v>
      </c>
      <c r="B157" s="165" t="n">
        <v>46200</v>
      </c>
      <c r="C157" s="58" t="inlineStr">
        <is>
          <t>星海超市</t>
        </is>
      </c>
      <c r="D157" s="14" t="inlineStr">
        <is>
          <t>大咖</t>
        </is>
      </c>
      <c r="E157" s="14" t="n">
        <v>10</v>
      </c>
      <c r="F157" s="156" t="n">
        <v>83</v>
      </c>
      <c r="G157" s="156">
        <f>IF(AND(E157&lt;&gt;"",F157&lt;&gt;""),E157*F157,"")</f>
        <v>830</v>
      </c>
      <c r="H157" s="14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 ht="15" customFormat="1" customHeight="1" s="16">
      <c r="A158" s="54" t="n">
        <v>155</v>
      </c>
      <c r="B158" s="163" t="n">
        <v>46225</v>
      </c>
      <c r="C158" s="29" t="inlineStr">
        <is>
          <t>星海超市</t>
        </is>
      </c>
      <c r="D158" s="29" t="inlineStr">
        <is>
          <t>1L补水</t>
        </is>
      </c>
      <c r="E158" s="29" t="n">
        <v>90</v>
      </c>
      <c r="F158" s="155" t="n">
        <v>55</v>
      </c>
      <c r="G158" s="155">
        <f>IF(AND(E158&lt;&gt;"",F158&lt;&gt;""),E158*F158,"")</f>
        <v>4950</v>
      </c>
      <c r="H158" s="29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</row>
    <row r="159" ht="15" customFormat="1" customHeight="1" s="16">
      <c r="A159" s="54" t="n">
        <v>156</v>
      </c>
      <c r="B159" s="163" t="n">
        <v>46225</v>
      </c>
      <c r="C159" s="29" t="inlineStr">
        <is>
          <t>星海超市</t>
        </is>
      </c>
      <c r="D159" s="54" t="inlineStr">
        <is>
          <t>555补水</t>
        </is>
      </c>
      <c r="E159" s="54" t="n">
        <v>100</v>
      </c>
      <c r="F159" s="162" t="n">
        <v>65</v>
      </c>
      <c r="G159" s="162">
        <f>IF(AND(E159&lt;&gt;"",F159&lt;&gt;""),E159*F159,"")</f>
        <v>6500</v>
      </c>
      <c r="H159" s="5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</row>
    <row r="160" ht="15" customFormat="1" customHeight="1" s="16">
      <c r="A160" s="54" t="n">
        <v>157</v>
      </c>
      <c r="B160" s="163" t="n">
        <v>46225</v>
      </c>
      <c r="C160" s="29" t="inlineStr">
        <is>
          <t>星海超市</t>
        </is>
      </c>
      <c r="D160" s="29" t="inlineStr">
        <is>
          <t>1L果之茶</t>
        </is>
      </c>
      <c r="E160" s="29" t="n">
        <v>50</v>
      </c>
      <c r="F160" s="155" t="n">
        <v>43</v>
      </c>
      <c r="G160" s="155">
        <f>IF(AND(E160&lt;&gt;"",F160&lt;&gt;""),E160*F160,"")</f>
        <v>2150</v>
      </c>
      <c r="H160" s="29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</row>
    <row r="161" ht="15" customFormat="1" customHeight="1" s="16">
      <c r="A161" s="54" t="n">
        <v>158</v>
      </c>
      <c r="B161" s="163" t="n">
        <v>46225</v>
      </c>
      <c r="C161" s="29" t="inlineStr">
        <is>
          <t>星海超市</t>
        </is>
      </c>
      <c r="D161" s="29" t="inlineStr">
        <is>
          <t>小果之茶</t>
        </is>
      </c>
      <c r="E161" s="29" t="n">
        <v>100</v>
      </c>
      <c r="F161" s="155" t="n">
        <v>47</v>
      </c>
      <c r="G161" s="155">
        <f>IF(AND(E161&lt;&gt;"",F161&lt;&gt;""),E161*F161,"")</f>
        <v>4700</v>
      </c>
      <c r="H161" s="29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</row>
    <row r="162" ht="15" customFormat="1" customHeight="1" s="16">
      <c r="A162" s="54" t="n">
        <v>159</v>
      </c>
      <c r="B162" s="163" t="n">
        <v>46225</v>
      </c>
      <c r="C162" s="29" t="inlineStr">
        <is>
          <t>星海超市</t>
        </is>
      </c>
      <c r="D162" s="54" t="inlineStr">
        <is>
          <t>大东鹏</t>
        </is>
      </c>
      <c r="E162" s="54" t="n">
        <v>200</v>
      </c>
      <c r="F162" s="162" t="n">
        <v>90</v>
      </c>
      <c r="G162" s="162">
        <f>IF(AND(E162&lt;&gt;"",F162&lt;&gt;""),E162*F162,"")</f>
        <v>18000</v>
      </c>
      <c r="H162" s="5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</row>
    <row r="163" ht="15" customFormat="1" customHeight="1" s="16">
      <c r="A163" s="54" t="n">
        <v>160</v>
      </c>
      <c r="B163" s="163" t="n">
        <v>46206</v>
      </c>
      <c r="C163" s="30" t="inlineStr">
        <is>
          <t>兴发商行</t>
        </is>
      </c>
      <c r="D163" s="30" t="inlineStr">
        <is>
          <t>大东鹏</t>
        </is>
      </c>
      <c r="E163" s="30" t="n">
        <v>30</v>
      </c>
      <c r="F163" s="155" t="n">
        <v>90</v>
      </c>
      <c r="G163" s="155">
        <f>IF(AND(E163&lt;&gt;"",F163&lt;&gt;""),E163*F163,"")</f>
        <v>2700</v>
      </c>
      <c r="H163" s="29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</row>
    <row r="164" ht="15" customFormat="1" customHeight="1" s="16">
      <c r="A164" s="54" t="n">
        <v>161</v>
      </c>
      <c r="B164" s="163" t="n">
        <v>46223</v>
      </c>
      <c r="C164" s="54" t="inlineStr">
        <is>
          <t>兴发商行</t>
        </is>
      </c>
      <c r="D164" s="54" t="inlineStr">
        <is>
          <t>大东鹏</t>
        </is>
      </c>
      <c r="E164" s="54" t="n">
        <v>30</v>
      </c>
      <c r="F164" s="162" t="n">
        <v>90</v>
      </c>
      <c r="G164" s="162">
        <f>IF(AND(E164&lt;&gt;"",F164&lt;&gt;""),E164*F164,"")</f>
        <v>2700</v>
      </c>
      <c r="H164" s="5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</row>
    <row r="165" ht="15" customFormat="1" customHeight="1" s="16">
      <c r="A165" s="54" t="n">
        <v>162</v>
      </c>
      <c r="B165" s="161" t="n">
        <v>46216</v>
      </c>
      <c r="C165" s="30" t="inlineStr">
        <is>
          <t>兴莲隆兴商行</t>
        </is>
      </c>
      <c r="D165" s="54" t="inlineStr">
        <is>
          <t>大东鹏</t>
        </is>
      </c>
      <c r="E165" s="54" t="n">
        <v>162</v>
      </c>
      <c r="F165" s="162" t="n">
        <v>90</v>
      </c>
      <c r="G165" s="162">
        <f>IF(AND(E165&lt;&gt;"",F165&lt;&gt;""),E165*F165,"")</f>
        <v>14580</v>
      </c>
      <c r="H165" s="5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</row>
    <row r="166" ht="15" customFormat="1" customHeight="1" s="16">
      <c r="A166" s="54" t="n">
        <v>163</v>
      </c>
      <c r="B166" s="163" t="n">
        <v>46223</v>
      </c>
      <c r="C166" s="29" t="inlineStr">
        <is>
          <t>兴莲隆兴商行</t>
        </is>
      </c>
      <c r="D166" s="29" t="inlineStr">
        <is>
          <t>555补水</t>
        </is>
      </c>
      <c r="E166" s="29" t="n">
        <v>23</v>
      </c>
      <c r="F166" s="155" t="n">
        <v>65</v>
      </c>
      <c r="G166" s="155">
        <f>IF(AND(E166&lt;&gt;"",F166&lt;&gt;""),E166*F166,"")</f>
        <v>1495</v>
      </c>
      <c r="H166" s="29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</row>
    <row r="167" ht="15" customFormat="1" customHeight="1" s="16">
      <c r="A167" s="54" t="n">
        <v>164</v>
      </c>
      <c r="B167" s="163" t="n">
        <v>46223</v>
      </c>
      <c r="C167" s="29" t="inlineStr">
        <is>
          <t>兴莲隆兴商行</t>
        </is>
      </c>
      <c r="D167" s="54" t="inlineStr">
        <is>
          <t>1L补水</t>
        </is>
      </c>
      <c r="E167" s="54" t="n">
        <v>23</v>
      </c>
      <c r="F167" s="162" t="n">
        <v>55</v>
      </c>
      <c r="G167" s="162">
        <f>IF(AND(E167&lt;&gt;"",F167&lt;&gt;""),E167*F167,"")</f>
        <v>1265</v>
      </c>
      <c r="H167" s="5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</row>
    <row r="168" ht="15" customFormat="1" customHeight="1" s="16">
      <c r="A168" s="54" t="n">
        <v>165</v>
      </c>
      <c r="B168" s="163" t="n">
        <v>46213</v>
      </c>
      <c r="C168" s="29" t="inlineStr">
        <is>
          <t>宜兴粮油</t>
        </is>
      </c>
      <c r="D168" s="29" t="inlineStr">
        <is>
          <t>大东鹏</t>
        </is>
      </c>
      <c r="E168" s="29" t="n">
        <v>100</v>
      </c>
      <c r="F168" s="155" t="n">
        <v>87.8</v>
      </c>
      <c r="G168" s="155">
        <f>IF(AND(E168&lt;&gt;"",F168&lt;&gt;""),E168*F168,"")</f>
        <v>8780</v>
      </c>
      <c r="H168" s="29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</row>
    <row r="169" ht="15" customFormat="1" customHeight="1" s="16">
      <c r="A169" s="54" t="n">
        <v>166</v>
      </c>
      <c r="B169" s="161" t="n">
        <v>46227</v>
      </c>
      <c r="C169" s="54" t="inlineStr">
        <is>
          <t>宜兴粮油</t>
        </is>
      </c>
      <c r="D169" s="54" t="inlineStr">
        <is>
          <t>大东鹏</t>
        </is>
      </c>
      <c r="E169" s="54" t="n">
        <v>115</v>
      </c>
      <c r="F169" s="162" t="n">
        <v>87.8</v>
      </c>
      <c r="G169" s="155">
        <f>IF(AND(E169&lt;&gt;"",F169&lt;&gt;""),E169*F169,"")</f>
        <v>10097</v>
      </c>
      <c r="H169" s="5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</row>
    <row r="170" ht="15" customFormat="1" customHeight="1" s="16">
      <c r="A170" s="54" t="n">
        <v>167</v>
      </c>
      <c r="B170" s="161" t="n">
        <v>46227</v>
      </c>
      <c r="C170" s="54" t="inlineStr">
        <is>
          <t>宜兴粮油</t>
        </is>
      </c>
      <c r="D170" s="29" t="inlineStr">
        <is>
          <t>555补水</t>
        </is>
      </c>
      <c r="E170" s="29" t="n">
        <v>10</v>
      </c>
      <c r="F170" s="155" t="n"/>
      <c r="G170" s="155">
        <f>IF(AND(E170&lt;&gt;"",F170&lt;&gt;""),E170*F170,"")</f>
      </c>
      <c r="H170" s="29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</row>
    <row r="171" ht="15" customFormat="1" customHeight="1" s="16">
      <c r="A171" s="54" t="n">
        <v>168</v>
      </c>
      <c r="B171" s="163" t="n">
        <v>46217</v>
      </c>
      <c r="C171" s="29" t="inlineStr">
        <is>
          <t>宜兴粮油</t>
        </is>
      </c>
      <c r="D171" s="29" t="inlineStr">
        <is>
          <t>555补水</t>
        </is>
      </c>
      <c r="E171" s="29" t="n">
        <v>60</v>
      </c>
      <c r="F171" s="155" t="n">
        <v>65</v>
      </c>
      <c r="G171" s="155">
        <f>IF(AND(E171&lt;&gt;"",F171&lt;&gt;""),E171*F171,"")</f>
        <v>3900</v>
      </c>
      <c r="H171" s="29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</row>
    <row r="172" ht="15" customFormat="1" customHeight="1" s="16">
      <c r="A172" s="54" t="n">
        <v>169</v>
      </c>
      <c r="B172" s="163" t="n">
        <v>46217</v>
      </c>
      <c r="C172" s="29" t="inlineStr">
        <is>
          <t>宜兴粮油</t>
        </is>
      </c>
      <c r="D172" s="54" t="inlineStr">
        <is>
          <t>555补水</t>
        </is>
      </c>
      <c r="E172" s="54" t="n">
        <v>6</v>
      </c>
      <c r="F172" s="162" t="n"/>
      <c r="G172" s="162">
        <f>IF(AND(E172&lt;&gt;"",F172&lt;&gt;""),E172*F172,"")</f>
      </c>
      <c r="H172" s="5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</row>
    <row r="173" ht="15" customFormat="1" customHeight="1" s="16">
      <c r="A173" s="54" t="n">
        <v>170</v>
      </c>
      <c r="B173" s="163" t="n">
        <v>46217</v>
      </c>
      <c r="C173" s="29" t="inlineStr">
        <is>
          <t>宜兴粮油</t>
        </is>
      </c>
      <c r="D173" s="29" t="inlineStr">
        <is>
          <t>小果之茶</t>
        </is>
      </c>
      <c r="E173" s="29" t="n">
        <v>35</v>
      </c>
      <c r="F173" s="155" t="n">
        <v>47</v>
      </c>
      <c r="G173" s="155">
        <f>IF(AND(E173&lt;&gt;"",F173&lt;&gt;""),E173*F173,"")</f>
        <v>1645</v>
      </c>
      <c r="H173" s="29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</row>
    <row r="174" ht="15" customFormat="1" customHeight="1" s="16">
      <c r="A174" s="54" t="n">
        <v>171</v>
      </c>
      <c r="B174" s="163" t="n">
        <v>46217</v>
      </c>
      <c r="C174" s="29" t="inlineStr">
        <is>
          <t>宜兴粮油</t>
        </is>
      </c>
      <c r="D174" s="29" t="inlineStr">
        <is>
          <t>小果之茶</t>
        </is>
      </c>
      <c r="E174" s="54" t="n">
        <v>4</v>
      </c>
      <c r="F174" s="162" t="n"/>
      <c r="G174" s="162">
        <f>IF(AND(E174&lt;&gt;"",F174&lt;&gt;""),E174*F174,"")</f>
      </c>
      <c r="H174" s="5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</row>
    <row r="175" ht="15" customFormat="1" customHeight="1" s="16">
      <c r="A175" s="54" t="n">
        <v>172</v>
      </c>
      <c r="B175" s="163" t="n">
        <v>46217</v>
      </c>
      <c r="C175" s="29" t="inlineStr">
        <is>
          <t>宜兴粮油</t>
        </is>
      </c>
      <c r="D175" s="29" t="inlineStr">
        <is>
          <t>1L果之茶</t>
        </is>
      </c>
      <c r="E175" s="29" t="n">
        <v>50.5</v>
      </c>
      <c r="F175" s="155" t="n">
        <v>43</v>
      </c>
      <c r="G175" s="155">
        <f>IF(AND(E175&lt;&gt;"",F175&lt;&gt;""),E175*F175,"")</f>
        <v>2171.5</v>
      </c>
      <c r="H175" s="29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</row>
    <row r="176" ht="15" customFormat="1" customHeight="1" s="16">
      <c r="A176" s="54" t="n">
        <v>173</v>
      </c>
      <c r="B176" s="163" t="n">
        <v>46217</v>
      </c>
      <c r="C176" s="29" t="inlineStr">
        <is>
          <t>宜兴粮油</t>
        </is>
      </c>
      <c r="D176" s="29" t="inlineStr">
        <is>
          <t>1L果之茶</t>
        </is>
      </c>
      <c r="E176" s="54" t="n">
        <v>1.5</v>
      </c>
      <c r="F176" s="162" t="n"/>
      <c r="G176" s="162">
        <f>IF(AND(E176&lt;&gt;"",F176&lt;&gt;""),E176*F176,"")</f>
      </c>
      <c r="H176" s="5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</row>
    <row r="177" ht="15" customFormat="1" customHeight="1" s="16">
      <c r="A177" s="54" t="n">
        <v>174</v>
      </c>
      <c r="B177" s="163" t="n">
        <v>46224</v>
      </c>
      <c r="C177" s="29" t="inlineStr">
        <is>
          <t>优生副食</t>
        </is>
      </c>
      <c r="D177" s="29" t="inlineStr">
        <is>
          <t>555补水</t>
        </is>
      </c>
      <c r="E177" s="29" t="n">
        <v>6</v>
      </c>
      <c r="F177" s="155" t="n">
        <v>65</v>
      </c>
      <c r="G177" s="155">
        <f>IF(AND(E177&lt;&gt;"",F177&lt;&gt;""),E177*F177,"")</f>
        <v>390</v>
      </c>
      <c r="H177" s="29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</row>
    <row r="178" ht="15" customFormat="1" customHeight="1" s="16">
      <c r="A178" s="54" t="n">
        <v>175</v>
      </c>
      <c r="B178" s="163" t="n">
        <v>46224</v>
      </c>
      <c r="C178" s="29" t="inlineStr">
        <is>
          <t>优生副食</t>
        </is>
      </c>
      <c r="D178" s="54" t="inlineStr">
        <is>
          <t>1L补水</t>
        </is>
      </c>
      <c r="E178" s="54" t="n">
        <v>6</v>
      </c>
      <c r="F178" s="162" t="n">
        <v>55</v>
      </c>
      <c r="G178" s="162">
        <f>IF(AND(E178&lt;&gt;"",F178&lt;&gt;""),E178*F178,"")</f>
        <v>330</v>
      </c>
      <c r="H178" s="5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</row>
    <row r="179" ht="15" customFormat="1" customHeight="1" s="16">
      <c r="A179" s="54" t="n">
        <v>176</v>
      </c>
      <c r="B179" s="161" t="n">
        <v>46212</v>
      </c>
      <c r="C179" s="30" t="inlineStr">
        <is>
          <t>长岗愉清副食</t>
        </is>
      </c>
      <c r="D179" s="30" t="inlineStr">
        <is>
          <t>小果之茶</t>
        </is>
      </c>
      <c r="E179" s="54" t="n">
        <v>6</v>
      </c>
      <c r="F179" s="162" t="n">
        <v>50</v>
      </c>
      <c r="G179" s="162">
        <f>IF(AND(E179&lt;&gt;"",F179&lt;&gt;""),E179*F179,"")</f>
        <v>300</v>
      </c>
      <c r="H179" s="5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</row>
    <row r="180" ht="15" customFormat="1" customHeight="1" s="16">
      <c r="A180" s="54" t="n">
        <v>177</v>
      </c>
      <c r="B180" s="161" t="n">
        <v>46212</v>
      </c>
      <c r="C180" s="30" t="inlineStr">
        <is>
          <t>长岗愉清副食</t>
        </is>
      </c>
      <c r="D180" s="30" t="inlineStr">
        <is>
          <t>1L果之茶</t>
        </is>
      </c>
      <c r="E180" s="29" t="n">
        <v>6</v>
      </c>
      <c r="F180" s="155" t="n">
        <v>46</v>
      </c>
      <c r="G180" s="155">
        <f>IF(AND(E180&lt;&gt;"",F180&lt;&gt;""),E180*F180,"")</f>
        <v>276</v>
      </c>
      <c r="H180" s="29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</row>
    <row r="181" ht="15" customFormat="1" customHeight="1" s="16">
      <c r="A181" s="54" t="n">
        <v>178</v>
      </c>
      <c r="B181" s="161" t="n">
        <v>46212</v>
      </c>
      <c r="C181" s="30" t="inlineStr">
        <is>
          <t>长岗愉清副食</t>
        </is>
      </c>
      <c r="D181" s="30" t="inlineStr">
        <is>
          <t>小果之茶</t>
        </is>
      </c>
      <c r="E181" s="54" t="n">
        <v>1</v>
      </c>
      <c r="F181" s="162" t="n"/>
      <c r="G181" s="162">
        <f>IF(AND(E181&lt;&gt;"",F181&lt;&gt;""),E181*F181,"")</f>
      </c>
      <c r="H181" s="5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</row>
    <row r="182" ht="15" customFormat="1" customHeight="1" s="16">
      <c r="A182" s="54" t="n">
        <v>179</v>
      </c>
      <c r="B182" s="161" t="n">
        <v>46212</v>
      </c>
      <c r="C182" s="30" t="inlineStr">
        <is>
          <t>长岗愉清副食</t>
        </is>
      </c>
      <c r="D182" s="30" t="inlineStr">
        <is>
          <t>555补水</t>
        </is>
      </c>
      <c r="E182" s="29" t="n">
        <v>1</v>
      </c>
      <c r="F182" s="155" t="n"/>
      <c r="G182" s="155">
        <f>IF(AND(E182&lt;&gt;"",F182&lt;&gt;""),E182*F182,"")</f>
      </c>
      <c r="H182" s="29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</row>
    <row r="183" ht="15" customFormat="1" customHeight="1" s="16">
      <c r="A183" s="54" t="n">
        <v>180</v>
      </c>
      <c r="B183" s="163" t="n">
        <v>46199</v>
      </c>
      <c r="C183" s="29" t="inlineStr">
        <is>
          <t>致发商行</t>
        </is>
      </c>
      <c r="D183" s="29" t="inlineStr">
        <is>
          <t>大东鹏</t>
        </is>
      </c>
      <c r="E183" s="29" t="n">
        <v>200</v>
      </c>
      <c r="F183" s="155" t="n">
        <v>90</v>
      </c>
      <c r="G183" s="155">
        <f>IF(AND(E183&lt;&gt;"",F183&lt;&gt;""),E183*F183,"")</f>
        <v>18000</v>
      </c>
      <c r="H183" s="14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 ht="15" customFormat="1" customHeight="1" s="16">
      <c r="A184" s="54" t="n">
        <v>181</v>
      </c>
      <c r="B184" s="163" t="n">
        <v>46199</v>
      </c>
      <c r="C184" s="29" t="inlineStr">
        <is>
          <t>致发商行</t>
        </is>
      </c>
      <c r="D184" s="54" t="inlineStr">
        <is>
          <t>小焙好茶</t>
        </is>
      </c>
      <c r="E184" s="54" t="n">
        <v>10</v>
      </c>
      <c r="F184" s="162" t="n">
        <v>48</v>
      </c>
      <c r="G184" s="155">
        <f>IF(AND(E184&lt;&gt;"",F184&lt;&gt;""),E184*F184,"")</f>
        <v>480</v>
      </c>
      <c r="H184" s="58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 ht="15" customFormat="1" customHeight="1" s="16">
      <c r="A185" s="54" t="n">
        <v>182</v>
      </c>
      <c r="B185" s="163" t="n">
        <v>46199</v>
      </c>
      <c r="C185" s="29" t="inlineStr">
        <is>
          <t>致发商行</t>
        </is>
      </c>
      <c r="D185" s="29" t="inlineStr">
        <is>
          <t>大咖</t>
        </is>
      </c>
      <c r="E185" s="29" t="n">
        <v>30</v>
      </c>
      <c r="F185" s="155" t="n">
        <v>83</v>
      </c>
      <c r="G185" s="155">
        <f>IF(AND(E185&lt;&gt;"",F185&lt;&gt;""),E185*F185,"")</f>
        <v>2490</v>
      </c>
      <c r="H185" s="14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 ht="15" customFormat="1" customHeight="1" s="16">
      <c r="A186" s="54" t="n">
        <v>183</v>
      </c>
      <c r="B186" s="163" t="n">
        <v>46199</v>
      </c>
      <c r="C186" s="29" t="inlineStr">
        <is>
          <t>致发商行</t>
        </is>
      </c>
      <c r="D186" s="54" t="inlineStr">
        <is>
          <t>555补水</t>
        </is>
      </c>
      <c r="E186" s="54" t="n">
        <v>20</v>
      </c>
      <c r="F186" s="162" t="n">
        <v>65</v>
      </c>
      <c r="G186" s="155">
        <f>IF(AND(E186&lt;&gt;"",F186&lt;&gt;""),E186*F186,"")</f>
        <v>1300</v>
      </c>
      <c r="H186" s="58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 ht="15" customFormat="1" customHeight="1" s="16">
      <c r="A187" s="54" t="n">
        <v>184</v>
      </c>
      <c r="B187" s="163" t="n">
        <v>46203</v>
      </c>
      <c r="C187" s="29" t="inlineStr">
        <is>
          <t>致发商行</t>
        </is>
      </c>
      <c r="D187" s="29" t="inlineStr">
        <is>
          <t>小果之茶</t>
        </is>
      </c>
      <c r="E187" s="29" t="n">
        <v>70</v>
      </c>
      <c r="F187" s="155" t="n">
        <v>47</v>
      </c>
      <c r="G187" s="155">
        <f>IF(AND(E187&lt;&gt;"",F187&lt;&gt;""),E187*F187,"")</f>
        <v>3290</v>
      </c>
      <c r="H187" s="29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</row>
    <row r="188" ht="15" customFormat="1" customHeight="1" s="16">
      <c r="A188" s="54" t="n">
        <v>185</v>
      </c>
      <c r="B188" s="163" t="n">
        <v>46203</v>
      </c>
      <c r="C188" s="29" t="inlineStr">
        <is>
          <t>致发商行</t>
        </is>
      </c>
      <c r="D188" s="54" t="inlineStr">
        <is>
          <t>1L补水</t>
        </is>
      </c>
      <c r="E188" s="54" t="n">
        <v>15</v>
      </c>
      <c r="F188" s="162" t="n">
        <v>55</v>
      </c>
      <c r="G188" s="155">
        <f>IF(AND(E188&lt;&gt;"",F188&lt;&gt;""),E188*F188,"")</f>
        <v>825</v>
      </c>
      <c r="H188" s="5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</row>
    <row r="189" ht="15" customFormat="1" customHeight="1" s="16">
      <c r="A189" s="54" t="n">
        <v>186</v>
      </c>
      <c r="B189" s="163" t="n">
        <v>46203</v>
      </c>
      <c r="C189" s="29" t="inlineStr">
        <is>
          <t>致发商行</t>
        </is>
      </c>
      <c r="D189" s="29" t="inlineStr">
        <is>
          <t>555补水</t>
        </is>
      </c>
      <c r="E189" s="29" t="n">
        <v>15</v>
      </c>
      <c r="F189" s="155" t="n">
        <v>65</v>
      </c>
      <c r="G189" s="155">
        <f>IF(AND(E189&lt;&gt;"",F189&lt;&gt;""),E189*F189,"")</f>
        <v>975</v>
      </c>
      <c r="H189" s="29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</row>
    <row r="190" ht="15" customFormat="1" customHeight="1" s="16">
      <c r="A190" s="54" t="n">
        <v>187</v>
      </c>
      <c r="B190" s="163" t="n">
        <v>46203</v>
      </c>
      <c r="C190" s="29" t="inlineStr">
        <is>
          <t>致发商行</t>
        </is>
      </c>
      <c r="D190" s="54" t="inlineStr">
        <is>
          <t>1L果之茶</t>
        </is>
      </c>
      <c r="E190" s="54" t="n">
        <v>30</v>
      </c>
      <c r="F190" s="162" t="n">
        <v>43</v>
      </c>
      <c r="G190" s="155">
        <f>IF(AND(E190&lt;&gt;"",F190&lt;&gt;""),E190*F190,"")</f>
        <v>1290</v>
      </c>
      <c r="H190" s="5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</row>
    <row r="191" ht="15" customFormat="1" customHeight="1" s="16">
      <c r="A191" s="54" t="n">
        <v>188</v>
      </c>
      <c r="B191" s="163" t="n">
        <v>46213</v>
      </c>
      <c r="C191" s="29" t="inlineStr">
        <is>
          <t>致发商行</t>
        </is>
      </c>
      <c r="D191" s="29" t="inlineStr">
        <is>
          <t>1L果之茶</t>
        </is>
      </c>
      <c r="E191" s="29" t="n">
        <v>18</v>
      </c>
      <c r="F191" s="155" t="n">
        <v>43</v>
      </c>
      <c r="G191" s="155">
        <f>IF(AND(E191&lt;&gt;"",F191&lt;&gt;""),E191*F191,"")</f>
        <v>774</v>
      </c>
      <c r="H191" s="29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</row>
    <row r="192" ht="15" customFormat="1" customHeight="1" s="16">
      <c r="A192" s="54" t="n">
        <v>189</v>
      </c>
      <c r="B192" s="161" t="n">
        <v>46218</v>
      </c>
      <c r="C192" s="54" t="inlineStr">
        <is>
          <t>致发商行</t>
        </is>
      </c>
      <c r="D192" s="54" t="inlineStr">
        <is>
          <t>小果之茶</t>
        </is>
      </c>
      <c r="E192" s="54" t="n">
        <v>20</v>
      </c>
      <c r="F192" s="162" t="n">
        <v>47</v>
      </c>
      <c r="G192" s="162">
        <f>IF(AND(E192&lt;&gt;"",F192&lt;&gt;""),E192*F192,"")</f>
        <v>940</v>
      </c>
      <c r="H192" s="5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</row>
    <row r="193" ht="15" customFormat="1" customHeight="1" s="16">
      <c r="A193" s="54" t="n">
        <v>190</v>
      </c>
      <c r="B193" s="163" t="n">
        <v>46219</v>
      </c>
      <c r="C193" s="54" t="inlineStr">
        <is>
          <t>致发商行</t>
        </is>
      </c>
      <c r="D193" s="29" t="inlineStr">
        <is>
          <t>1L果之茶</t>
        </is>
      </c>
      <c r="E193" s="29" t="n">
        <v>20</v>
      </c>
      <c r="F193" s="155" t="n">
        <v>43</v>
      </c>
      <c r="G193" s="155">
        <f>IF(AND(E193&lt;&gt;"",F193&lt;&gt;""),E193*F193,"")</f>
        <v>860</v>
      </c>
      <c r="H193" s="29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</row>
    <row r="194" ht="15" customFormat="1" customHeight="1" s="16">
      <c r="A194" s="54" t="n">
        <v>191</v>
      </c>
      <c r="B194" s="161" t="n">
        <v>46221</v>
      </c>
      <c r="C194" s="54" t="inlineStr">
        <is>
          <t>致发商行</t>
        </is>
      </c>
      <c r="D194" s="54" t="inlineStr">
        <is>
          <t>港式奶茶</t>
        </is>
      </c>
      <c r="E194" s="54" t="n">
        <v>10</v>
      </c>
      <c r="F194" s="162" t="n">
        <v>69</v>
      </c>
      <c r="G194" s="162">
        <f>IF(AND(E194&lt;&gt;"",F194&lt;&gt;""),E194*F194,"")</f>
        <v>690</v>
      </c>
      <c r="H194" s="5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</row>
    <row r="195" ht="15" customFormat="1" customHeight="1" s="16">
      <c r="A195" s="54" t="n">
        <v>192</v>
      </c>
      <c r="B195" s="161" t="n">
        <v>46221</v>
      </c>
      <c r="C195" s="54" t="inlineStr">
        <is>
          <t>致发商行</t>
        </is>
      </c>
      <c r="D195" s="29" t="inlineStr">
        <is>
          <t>1L果之茶</t>
        </is>
      </c>
      <c r="E195" s="29" t="n">
        <v>25</v>
      </c>
      <c r="F195" s="155" t="n">
        <v>43</v>
      </c>
      <c r="G195" s="155">
        <f>IF(AND(E195&lt;&gt;"",F195&lt;&gt;""),E195*F195,"")</f>
        <v>1075</v>
      </c>
      <c r="H195" s="29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</row>
    <row r="196" ht="15" customFormat="1" customHeight="1" s="16">
      <c r="A196" s="54" t="n">
        <v>193</v>
      </c>
      <c r="B196" s="161" t="n">
        <v>46221</v>
      </c>
      <c r="C196" s="54" t="inlineStr">
        <is>
          <t>致发商行</t>
        </is>
      </c>
      <c r="D196" s="54" t="inlineStr">
        <is>
          <t>小果之茶</t>
        </is>
      </c>
      <c r="E196" s="54" t="n">
        <v>20</v>
      </c>
      <c r="F196" s="162" t="n">
        <v>47</v>
      </c>
      <c r="G196" s="162">
        <f>IF(AND(E196&lt;&gt;"",F196&lt;&gt;""),E196*F196,"")</f>
        <v>940</v>
      </c>
      <c r="H196" s="5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</row>
    <row r="197" ht="15" customFormat="1" customHeight="1" s="16">
      <c r="A197" s="54" t="n">
        <v>194</v>
      </c>
      <c r="B197" s="163" t="n">
        <v>46225</v>
      </c>
      <c r="C197" s="29" t="inlineStr">
        <is>
          <t>致发商行</t>
        </is>
      </c>
      <c r="D197" s="29" t="inlineStr">
        <is>
          <t>1L果之茶</t>
        </is>
      </c>
      <c r="E197" s="29" t="n">
        <v>30</v>
      </c>
      <c r="F197" s="155" t="n">
        <v>43</v>
      </c>
      <c r="G197" s="155">
        <f>IF(AND(E197&lt;&gt;"",F197&lt;&gt;""),E197*F197,"")</f>
        <v>1290</v>
      </c>
      <c r="H197" s="29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</row>
    <row r="198" ht="15" customFormat="1" customHeight="1" s="16">
      <c r="A198" s="54" t="n">
        <v>195</v>
      </c>
      <c r="B198" s="163" t="n">
        <v>46226</v>
      </c>
      <c r="C198" s="29" t="inlineStr">
        <is>
          <t>致发商行</t>
        </is>
      </c>
      <c r="D198" s="29" t="inlineStr">
        <is>
          <t>大咖</t>
        </is>
      </c>
      <c r="E198" s="29" t="n">
        <v>50</v>
      </c>
      <c r="F198" s="155" t="n">
        <v>83</v>
      </c>
      <c r="G198" s="155">
        <f>IF(AND(E198&lt;&gt;"",F198&lt;&gt;""),E198*F198,"")</f>
        <v>4150</v>
      </c>
      <c r="H198" s="29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</row>
    <row r="199" ht="15" customFormat="1" customHeight="1" s="16">
      <c r="A199" s="54" t="n">
        <v>196</v>
      </c>
      <c r="B199" s="163" t="n">
        <v>46226</v>
      </c>
      <c r="C199" s="29" t="inlineStr">
        <is>
          <t>致发商行</t>
        </is>
      </c>
      <c r="D199" s="54" t="inlineStr">
        <is>
          <t>小果之茶</t>
        </is>
      </c>
      <c r="E199" s="54" t="n">
        <v>78</v>
      </c>
      <c r="F199" s="162" t="n">
        <v>47</v>
      </c>
      <c r="G199" s="162">
        <f>IF(AND(E199&lt;&gt;"",F199&lt;&gt;""),E199*F199,"")</f>
        <v>3666</v>
      </c>
      <c r="H199" s="5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</row>
    <row r="200" ht="15" customFormat="1" customHeight="1" s="16">
      <c r="A200" s="54" t="n">
        <v>197</v>
      </c>
      <c r="B200" s="163" t="n">
        <v>46226</v>
      </c>
      <c r="C200" s="29" t="inlineStr">
        <is>
          <t>致发商行</t>
        </is>
      </c>
      <c r="D200" s="29" t="inlineStr">
        <is>
          <t>大东鹏</t>
        </is>
      </c>
      <c r="E200" s="29" t="n">
        <v>100</v>
      </c>
      <c r="F200" s="155" t="n">
        <v>90</v>
      </c>
      <c r="G200" s="155">
        <f>IF(AND(E200&lt;&gt;"",F200&lt;&gt;""),E200*F200,"")</f>
        <v>9000</v>
      </c>
      <c r="H200" s="29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</row>
    <row r="201" ht="15" customFormat="1" customHeight="1" s="16">
      <c r="A201" s="54" t="n">
        <v>198</v>
      </c>
      <c r="B201" s="163" t="n">
        <v>46226</v>
      </c>
      <c r="C201" s="30" t="inlineStr">
        <is>
          <t>城岗日日升超市</t>
        </is>
      </c>
      <c r="D201" s="29" t="inlineStr">
        <is>
          <t>大东鹏</t>
        </is>
      </c>
      <c r="E201" s="29" t="n">
        <v>164</v>
      </c>
      <c r="F201" s="155" t="n">
        <v>90</v>
      </c>
      <c r="G201" s="155">
        <f>IF(AND(E201&lt;&gt;"",F201&lt;&gt;""),E201*F201,"")</f>
        <v>14760</v>
      </c>
      <c r="H201" s="29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</row>
    <row r="202" ht="15" customFormat="1" customHeight="1" s="16">
      <c r="A202" s="54" t="n">
        <v>199</v>
      </c>
      <c r="B202" s="163" t="n">
        <v>46226</v>
      </c>
      <c r="C202" s="30" t="inlineStr">
        <is>
          <t>城岗日日升超市</t>
        </is>
      </c>
      <c r="D202" s="30" t="inlineStr">
        <is>
          <t>555补水</t>
        </is>
      </c>
      <c r="E202" s="54" t="n">
        <v>20</v>
      </c>
      <c r="F202" s="162" t="n">
        <v>65</v>
      </c>
      <c r="G202" s="162">
        <f>IF(AND(E202&lt;&gt;"",F202&lt;&gt;""),E202*F202,"")</f>
        <v>1300</v>
      </c>
      <c r="H202" s="5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</row>
    <row r="203" ht="15" customFormat="1" customHeight="1" s="16">
      <c r="A203" s="54" t="n">
        <v>200</v>
      </c>
      <c r="B203" s="163" t="n">
        <v>46226</v>
      </c>
      <c r="C203" s="30" t="inlineStr">
        <is>
          <t>城岗日日升超市</t>
        </is>
      </c>
      <c r="D203" s="30" t="inlineStr">
        <is>
          <t>1L补水</t>
        </is>
      </c>
      <c r="E203" s="54" t="n">
        <v>50</v>
      </c>
      <c r="F203" s="155" t="n">
        <v>55</v>
      </c>
      <c r="G203" s="155">
        <f>IF(AND(E203&lt;&gt;"",F203&lt;&gt;""),E203*F203,"")</f>
        <v>2750</v>
      </c>
      <c r="H203" s="29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</row>
    <row r="204" ht="15" customFormat="1" customHeight="1" s="16">
      <c r="A204" s="54" t="n">
        <v>201</v>
      </c>
      <c r="B204" s="163" t="n">
        <v>46226</v>
      </c>
      <c r="C204" s="30" t="inlineStr">
        <is>
          <t>城岗日日升超市</t>
        </is>
      </c>
      <c r="D204" s="30" t="inlineStr">
        <is>
          <t>1L果之茶</t>
        </is>
      </c>
      <c r="E204" s="54" t="n">
        <v>15.5</v>
      </c>
      <c r="F204" s="162" t="n">
        <v>43</v>
      </c>
      <c r="G204" s="162">
        <f>IF(AND(E204&lt;&gt;"",F204&lt;&gt;""),E204*F204,"")</f>
        <v>666.5</v>
      </c>
      <c r="H204" s="5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</row>
    <row r="205" ht="15" customFormat="1" customHeight="1" s="16">
      <c r="A205" s="54" t="n">
        <v>202</v>
      </c>
      <c r="B205" s="163" t="n">
        <v>46226</v>
      </c>
      <c r="C205" s="30" t="inlineStr">
        <is>
          <t>城岗日日升超市</t>
        </is>
      </c>
      <c r="D205" s="30" t="inlineStr">
        <is>
          <t>小东鹏</t>
        </is>
      </c>
      <c r="E205" s="29" t="n">
        <v>20</v>
      </c>
      <c r="F205" s="155" t="n">
        <v>51</v>
      </c>
      <c r="G205" s="155">
        <f>IF(AND(E205&lt;&gt;"",F205&lt;&gt;""),E205*F205,"")</f>
        <v>1020</v>
      </c>
      <c r="H205" s="29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</row>
    <row r="206" ht="15" customHeight="1" s="71">
      <c r="A206" s="54" t="n">
        <v>203</v>
      </c>
      <c r="B206" s="165" t="n">
        <v>46234</v>
      </c>
      <c r="C206" s="58" t="inlineStr">
        <is>
          <t>城北街隆兴商行</t>
        </is>
      </c>
      <c r="D206" s="27" t="inlineStr">
        <is>
          <t>大东鹏</t>
        </is>
      </c>
      <c r="E206" s="58" t="n">
        <v>10</v>
      </c>
      <c r="F206" s="166" t="n">
        <v>93</v>
      </c>
      <c r="G206" s="166">
        <f>IF(AND(E206&lt;&gt;"",F206&lt;&gt;""),E206*F206,"")</f>
        <v>930</v>
      </c>
      <c r="H206" s="58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 ht="15" customHeight="1" s="71">
      <c r="A207" s="54" t="n">
        <v>204</v>
      </c>
      <c r="B207" s="167" t="n">
        <v>46235</v>
      </c>
      <c r="C207" s="14" t="inlineStr">
        <is>
          <t>阿东副食</t>
        </is>
      </c>
      <c r="D207" s="27" t="inlineStr">
        <is>
          <t>小果之茶</t>
        </is>
      </c>
      <c r="E207" s="14" t="n">
        <v>150</v>
      </c>
      <c r="F207" s="156" t="n">
        <v>47</v>
      </c>
      <c r="G207" s="156">
        <f>IF(AND(E207&lt;&gt;"",F207&lt;&gt;""),E207*F207,"")</f>
        <v>7050</v>
      </c>
      <c r="H207" s="14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 ht="15" customHeight="1" s="71">
      <c r="A208" s="54" t="n">
        <v>205</v>
      </c>
      <c r="B208" s="167" t="n">
        <v>46235</v>
      </c>
      <c r="C208" s="14" t="inlineStr">
        <is>
          <t>阿东副食</t>
        </is>
      </c>
      <c r="D208" s="27" t="inlineStr">
        <is>
          <t>1L补水</t>
        </is>
      </c>
      <c r="E208" s="58" t="n">
        <v>30</v>
      </c>
      <c r="F208" s="166" t="n">
        <v>55</v>
      </c>
      <c r="G208" s="166">
        <f>IF(AND(E208&lt;&gt;"",F208&lt;&gt;""),E208*F208,"")</f>
        <v>1650</v>
      </c>
      <c r="H208" s="58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 ht="15" customHeight="1" s="71">
      <c r="A209" s="54" t="n">
        <v>206</v>
      </c>
      <c r="B209" s="167" t="n">
        <v>46235</v>
      </c>
      <c r="C209" s="14" t="inlineStr">
        <is>
          <t>小陈副食</t>
        </is>
      </c>
      <c r="D209" s="14" t="inlineStr">
        <is>
          <t>大东鹏</t>
        </is>
      </c>
      <c r="E209" s="14" t="n">
        <v>100</v>
      </c>
      <c r="F209" s="156" t="n">
        <v>90</v>
      </c>
      <c r="G209" s="156">
        <f>IF(AND(E209&lt;&gt;"",F209&lt;&gt;""),E209*F209,"")</f>
        <v>9000</v>
      </c>
      <c r="H209" s="14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 ht="15" customHeight="1" s="71">
      <c r="A210" s="54" t="n">
        <v>207</v>
      </c>
      <c r="B210" s="167" t="n">
        <v>46235</v>
      </c>
      <c r="C210" s="14" t="inlineStr">
        <is>
          <t>小陈副食</t>
        </is>
      </c>
      <c r="D210" s="58" t="inlineStr">
        <is>
          <t>555补水</t>
        </is>
      </c>
      <c r="E210" s="58" t="n">
        <v>10</v>
      </c>
      <c r="F210" s="166" t="n">
        <v>65</v>
      </c>
      <c r="G210" s="166">
        <f>IF(AND(E210&lt;&gt;"",F210&lt;&gt;""),E210*F210,"")</f>
        <v>650</v>
      </c>
      <c r="H210" s="58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 ht="15" customHeight="1" s="71">
      <c r="A211" s="54" t="n">
        <v>208</v>
      </c>
      <c r="B211" s="167" t="n">
        <v>46235</v>
      </c>
      <c r="C211" s="14" t="inlineStr">
        <is>
          <t>小陈副食</t>
        </is>
      </c>
      <c r="D211" s="14" t="inlineStr">
        <is>
          <t>小果之茶</t>
        </is>
      </c>
      <c r="E211" s="14" t="n">
        <v>17.5</v>
      </c>
      <c r="F211" s="156" t="n">
        <v>47</v>
      </c>
      <c r="G211" s="156">
        <f>IF(AND(E211&lt;&gt;"",F211&lt;&gt;""),E211*F211,"")</f>
        <v>822.5</v>
      </c>
      <c r="H211" s="14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 ht="15" customHeight="1" s="71">
      <c r="A212" s="54" t="n">
        <v>209</v>
      </c>
      <c r="B212" s="165" t="n">
        <v>46235</v>
      </c>
      <c r="C212" s="58" t="inlineStr">
        <is>
          <t>宜兴粮油</t>
        </is>
      </c>
      <c r="D212" s="58" t="inlineStr">
        <is>
          <t>大东鹏</t>
        </is>
      </c>
      <c r="E212" s="58" t="n">
        <v>100</v>
      </c>
      <c r="F212" s="166" t="n">
        <v>90</v>
      </c>
      <c r="G212" s="166">
        <f>IF(AND(E212&lt;&gt;"",F212&lt;&gt;""),E212*F212,"")</f>
        <v>9000</v>
      </c>
      <c r="H212" s="58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 ht="15" customHeight="1" s="71">
      <c r="A213" s="54" t="n">
        <v>210</v>
      </c>
      <c r="B213" s="167" t="n">
        <v>46234</v>
      </c>
      <c r="C213" s="14" t="inlineStr">
        <is>
          <t>埠头凤岗万家乐超市</t>
        </is>
      </c>
      <c r="D213" s="14" t="inlineStr">
        <is>
          <t>大东鹏</t>
        </is>
      </c>
      <c r="E213" s="14" t="n">
        <v>10</v>
      </c>
      <c r="F213" s="156" t="n">
        <v>93</v>
      </c>
      <c r="G213" s="156">
        <f>IF(AND(E213&lt;&gt;"",F213&lt;&gt;""),E213*F213,"")</f>
        <v>930</v>
      </c>
      <c r="H213" s="14" t="inlineStr">
        <is>
          <t>2026-7-14存条已清未收回存条</t>
        </is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 ht="15" customHeight="1" s="71">
      <c r="A214" s="54" t="n">
        <v>211</v>
      </c>
      <c r="B214" s="165" t="n">
        <v>46236</v>
      </c>
      <c r="C214" s="58" t="inlineStr">
        <is>
          <t>致发商行</t>
        </is>
      </c>
      <c r="D214" s="58" t="inlineStr">
        <is>
          <t>555补水</t>
        </is>
      </c>
      <c r="E214" s="58" t="n">
        <v>50</v>
      </c>
      <c r="F214" s="166" t="n">
        <v>65</v>
      </c>
      <c r="G214" s="166">
        <f>IF(AND(E214&lt;&gt;"",F214&lt;&gt;""),E214*F214,"")</f>
        <v>3250</v>
      </c>
      <c r="H214" s="58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 ht="15" customHeight="1" s="71">
      <c r="A215" s="54" t="n">
        <v>212</v>
      </c>
      <c r="B215" s="165" t="n">
        <v>46236</v>
      </c>
      <c r="C215" s="58" t="inlineStr">
        <is>
          <t>致发商行</t>
        </is>
      </c>
      <c r="D215" s="14" t="inlineStr">
        <is>
          <t>1L补水</t>
        </is>
      </c>
      <c r="E215" s="14" t="n">
        <v>90</v>
      </c>
      <c r="F215" s="156" t="n">
        <v>55</v>
      </c>
      <c r="G215" s="156">
        <f>IF(AND(E215&lt;&gt;"",F215&lt;&gt;""),E215*F215,"")</f>
        <v>4950</v>
      </c>
      <c r="H215" s="14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 ht="15" customHeight="1" s="71">
      <c r="A216" s="54" t="n">
        <v>213</v>
      </c>
      <c r="B216" s="165" t="n">
        <v>46236</v>
      </c>
      <c r="C216" s="58" t="inlineStr">
        <is>
          <t>致发商行</t>
        </is>
      </c>
      <c r="D216" s="58" t="inlineStr">
        <is>
          <t>小果之茶</t>
        </is>
      </c>
      <c r="E216" s="58" t="n">
        <v>100</v>
      </c>
      <c r="F216" s="166" t="n">
        <v>47</v>
      </c>
      <c r="G216" s="166">
        <f>IF(AND(E216&lt;&gt;"",F216&lt;&gt;""),E216*F216,"")</f>
        <v>4700</v>
      </c>
      <c r="H216" s="58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 ht="15" customHeight="1" s="71">
      <c r="A217" s="54" t="n">
        <v>214</v>
      </c>
      <c r="B217" s="167" t="n">
        <v>46235</v>
      </c>
      <c r="C217" s="14" t="inlineStr">
        <is>
          <t>阿东副食</t>
        </is>
      </c>
      <c r="D217" s="14" t="inlineStr">
        <is>
          <t>555补水</t>
        </is>
      </c>
      <c r="E217" s="14" t="n">
        <v>100</v>
      </c>
      <c r="F217" s="156" t="n">
        <v>65</v>
      </c>
      <c r="G217" s="156">
        <f>IF(AND(E217&lt;&gt;"",F217&lt;&gt;""),E217*F217,"")</f>
        <v>6500</v>
      </c>
      <c r="H217" s="14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</row>
    <row r="218" ht="15" customHeight="1" s="71">
      <c r="A218" s="54" t="n">
        <v>215</v>
      </c>
      <c r="B218" s="167" t="n">
        <v>46235</v>
      </c>
      <c r="C218" s="14" t="inlineStr">
        <is>
          <t>阿东副食</t>
        </is>
      </c>
      <c r="D218" s="14" t="inlineStr">
        <is>
          <t>555补水</t>
        </is>
      </c>
      <c r="E218" s="58" t="n">
        <v>10</v>
      </c>
      <c r="F218" s="166" t="n"/>
      <c r="G218" s="166">
        <f>IF(AND(E218&lt;&gt;"",F218&lt;&gt;""),E218*F218,"")</f>
      </c>
      <c r="H218" s="58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 ht="15" customHeight="1" s="71">
      <c r="A219" s="54" t="n">
        <v>216</v>
      </c>
      <c r="B219" s="167" t="n">
        <v>46236</v>
      </c>
      <c r="C219" s="14" t="inlineStr">
        <is>
          <t>福旺家优购</t>
        </is>
      </c>
      <c r="D219" s="14" t="inlineStr">
        <is>
          <t>小果之茶</t>
        </is>
      </c>
      <c r="E219" s="14" t="n">
        <v>3</v>
      </c>
      <c r="F219" s="156" t="n">
        <v>50</v>
      </c>
      <c r="G219" s="156">
        <f>IF(AND(E219&lt;&gt;"",F219&lt;&gt;""),E219*F219,"")</f>
        <v>150</v>
      </c>
      <c r="H219" s="14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</row>
    <row r="220" ht="15" customHeight="1" s="71">
      <c r="A220" s="54" t="n">
        <v>217</v>
      </c>
      <c r="B220" s="165" t="n">
        <v>46232</v>
      </c>
      <c r="C220" s="58" t="inlineStr">
        <is>
          <t>桐心源</t>
        </is>
      </c>
      <c r="D220" s="58" t="inlineStr">
        <is>
          <t>900农夫饮料</t>
        </is>
      </c>
      <c r="E220" s="58" t="n">
        <v>21</v>
      </c>
      <c r="F220" s="166" t="n">
        <v>62</v>
      </c>
      <c r="G220" s="166">
        <f>IF(AND(E220&lt;&gt;"",F220&lt;&gt;""),E220*F220,"")</f>
        <v>1302</v>
      </c>
      <c r="H220" s="58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 ht="15" customHeight="1" s="71">
      <c r="A221" s="54" t="n">
        <v>218</v>
      </c>
      <c r="B221" s="165" t="n">
        <v>46232</v>
      </c>
      <c r="C221" s="58" t="inlineStr">
        <is>
          <t>桐心源</t>
        </is>
      </c>
      <c r="D221" s="14" t="inlineStr">
        <is>
          <t>500农夫饮料</t>
        </is>
      </c>
      <c r="E221" s="14" t="n">
        <v>15</v>
      </c>
      <c r="F221" s="156" t="n">
        <v>52</v>
      </c>
      <c r="G221" s="156">
        <f>IF(AND(E221&lt;&gt;"",F221&lt;&gt;""),E221*F221,"")</f>
        <v>780</v>
      </c>
      <c r="H221" s="14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</row>
    <row r="222" ht="15" customHeight="1" s="71">
      <c r="A222" s="54" t="n">
        <v>219</v>
      </c>
      <c r="B222" s="165" t="n">
        <v>46233</v>
      </c>
      <c r="C222" s="58" t="inlineStr">
        <is>
          <t>桐心源</t>
        </is>
      </c>
      <c r="D222" s="58" t="inlineStr">
        <is>
          <t>500农夫饮料</t>
        </is>
      </c>
      <c r="E222" s="58" t="n">
        <v>25</v>
      </c>
      <c r="F222" s="166" t="n">
        <v>52</v>
      </c>
      <c r="G222" s="166">
        <f>IF(AND(E222&lt;&gt;"",F222&lt;&gt;""),E222*F222,"")</f>
        <v>1300</v>
      </c>
      <c r="H222" s="58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 ht="15" customHeight="1" s="71">
      <c r="A223" s="54" t="n">
        <v>220</v>
      </c>
      <c r="B223" s="167" t="n">
        <v>46232</v>
      </c>
      <c r="C223" s="27" t="inlineStr">
        <is>
          <t>火车站关新平</t>
        </is>
      </c>
      <c r="D223" s="14" t="inlineStr">
        <is>
          <t>555补水</t>
        </is>
      </c>
      <c r="E223" s="14" t="n">
        <v>5</v>
      </c>
      <c r="F223" s="156" t="n">
        <v>68</v>
      </c>
      <c r="G223" s="156">
        <f>IF(AND(E223&lt;&gt;"",F223&lt;&gt;""),E223*F223,"")</f>
        <v>340</v>
      </c>
      <c r="H223" s="14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</row>
    <row r="224" ht="15" customHeight="1" s="71">
      <c r="A224" s="54" t="n">
        <v>221</v>
      </c>
      <c r="B224" s="165" t="n">
        <v>46231</v>
      </c>
      <c r="C224" s="58" t="inlineStr">
        <is>
          <t>小梅商行</t>
        </is>
      </c>
      <c r="D224" s="58" t="inlineStr">
        <is>
          <t>大东鹏</t>
        </is>
      </c>
      <c r="E224" s="58" t="n">
        <v>300</v>
      </c>
      <c r="F224" s="166" t="n">
        <v>90</v>
      </c>
      <c r="G224" s="166">
        <f>IF(AND(E224&lt;&gt;"",F224&lt;&gt;""),E224*F224,"")</f>
        <v>27000</v>
      </c>
      <c r="H224" s="58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 ht="15" customHeight="1" s="71">
      <c r="A225" s="14" t="n">
        <v>221</v>
      </c>
      <c r="B225" s="167" t="n">
        <v>46227</v>
      </c>
      <c r="C225" s="14" t="inlineStr">
        <is>
          <t>福旺家优购</t>
        </is>
      </c>
      <c r="D225" s="14" t="inlineStr">
        <is>
          <t>大咖</t>
        </is>
      </c>
      <c r="E225" s="14" t="n">
        <v>1</v>
      </c>
      <c r="F225" s="156" t="n">
        <v>86</v>
      </c>
      <c r="G225" s="156">
        <f>IF(AND(E225&lt;&gt;"",F225&lt;&gt;""),E225*F225,"")</f>
        <v>86</v>
      </c>
      <c r="H225" s="14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</row>
    <row r="226" ht="15" customHeight="1" s="71">
      <c r="A226" s="58" t="n">
        <v>222</v>
      </c>
      <c r="B226" s="165" t="n">
        <v>46230</v>
      </c>
      <c r="C226" s="58" t="inlineStr">
        <is>
          <t>王玉琴</t>
        </is>
      </c>
      <c r="D226" s="58" t="inlineStr">
        <is>
          <t>大东鹏</t>
        </is>
      </c>
      <c r="E226" s="58" t="n">
        <v>100</v>
      </c>
      <c r="F226" s="166" t="n">
        <v>90</v>
      </c>
      <c r="G226" s="166">
        <f>IF(AND(E226&lt;&gt;"",F226&lt;&gt;""),E226*F226,"")</f>
        <v>9000</v>
      </c>
      <c r="H226" s="58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 ht="15" customHeight="1" s="71">
      <c r="A227" s="14" t="n">
        <v>223</v>
      </c>
      <c r="B227" s="167" t="n">
        <v>46238</v>
      </c>
      <c r="C227" s="14" t="inlineStr">
        <is>
          <t>桐心源</t>
        </is>
      </c>
      <c r="D227" s="14" t="inlineStr">
        <is>
          <t>500农夫饮料</t>
        </is>
      </c>
      <c r="E227" s="14" t="n">
        <v>45</v>
      </c>
      <c r="F227" s="156" t="n">
        <v>52</v>
      </c>
      <c r="G227" s="156">
        <f>IF(AND(E227&lt;&gt;"",F227&lt;&gt;""),E227*F227,"")</f>
        <v>2340</v>
      </c>
      <c r="H227" s="14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</row>
    <row r="228" ht="15" customHeight="1" s="71">
      <c r="A228" s="58" t="n">
        <v>224</v>
      </c>
      <c r="B228" s="167" t="n">
        <v>46238</v>
      </c>
      <c r="C228" s="14" t="inlineStr">
        <is>
          <t>桐心源</t>
        </is>
      </c>
      <c r="D228" s="58" t="inlineStr">
        <is>
          <t>550农夫水</t>
        </is>
      </c>
      <c r="E228" s="58" t="n">
        <v>20</v>
      </c>
      <c r="F228" s="166" t="n">
        <v>20</v>
      </c>
      <c r="G228" s="166">
        <f>IF(AND(E228&lt;&gt;"",F228&lt;&gt;""),E228*F228,"")</f>
        <v>400</v>
      </c>
      <c r="H228" s="58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 ht="15" customHeight="1" s="71">
      <c r="A229" s="14" t="n">
        <v>225</v>
      </c>
      <c r="B229" s="167" t="n">
        <v>46237</v>
      </c>
      <c r="C229" s="14" t="inlineStr">
        <is>
          <t>桐心源</t>
        </is>
      </c>
      <c r="D229" s="14" t="inlineStr">
        <is>
          <t>500农夫饮料</t>
        </is>
      </c>
      <c r="E229" s="14" t="n">
        <v>50</v>
      </c>
      <c r="F229" s="156" t="n">
        <v>52</v>
      </c>
      <c r="G229" s="156">
        <f>IF(AND(E229&lt;&gt;"",F229&lt;&gt;""),E229*F229,"")</f>
        <v>2600</v>
      </c>
      <c r="H229" s="14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</row>
    <row r="230" ht="15" customHeight="1" s="71">
      <c r="A230" s="58" t="n">
        <v>226</v>
      </c>
      <c r="B230" s="165" t="n">
        <v>46237</v>
      </c>
      <c r="C230" s="58" t="inlineStr">
        <is>
          <t>梅窖建军批发</t>
        </is>
      </c>
      <c r="D230" s="58" t="inlineStr">
        <is>
          <t>555补水</t>
        </is>
      </c>
      <c r="E230" s="58" t="n">
        <v>20</v>
      </c>
      <c r="F230" s="166" t="n">
        <v>65</v>
      </c>
      <c r="G230" s="166">
        <f>IF(AND(E230&lt;&gt;"",F230&lt;&gt;""),E230*F230,"")</f>
        <v>1300</v>
      </c>
      <c r="H230" s="58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 ht="15" customHeight="1" s="71">
      <c r="A231" s="14" t="n">
        <v>227</v>
      </c>
      <c r="B231" s="165" t="n">
        <v>46237</v>
      </c>
      <c r="C231" s="58" t="inlineStr">
        <is>
          <t>梅窖建军批发</t>
        </is>
      </c>
      <c r="D231" s="14" t="inlineStr">
        <is>
          <t>1L补水</t>
        </is>
      </c>
      <c r="E231" s="14" t="n">
        <v>20</v>
      </c>
      <c r="F231" s="156" t="n">
        <v>55</v>
      </c>
      <c r="G231" s="156">
        <f>IF(AND(E231&lt;&gt;"",F231&lt;&gt;""),E231*F231,"")</f>
        <v>1100</v>
      </c>
      <c r="H231" s="14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</row>
    <row r="232" ht="15" customHeight="1" s="71">
      <c r="A232" s="58" t="n">
        <v>228</v>
      </c>
      <c r="B232" s="165" t="n">
        <v>46237</v>
      </c>
      <c r="C232" s="58" t="inlineStr">
        <is>
          <t>梅窖建军批发</t>
        </is>
      </c>
      <c r="D232" s="58" t="inlineStr">
        <is>
          <t>1L果之茶</t>
        </is>
      </c>
      <c r="E232" s="58" t="n">
        <v>20</v>
      </c>
      <c r="F232" s="166" t="n">
        <v>43</v>
      </c>
      <c r="G232" s="166">
        <f>IF(AND(E232&lt;&gt;"",F232&lt;&gt;""),E232*F232,"")</f>
        <v>860</v>
      </c>
      <c r="H232" s="58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 ht="15" customHeight="1" s="71">
      <c r="A233" s="14" t="n">
        <v>229</v>
      </c>
      <c r="B233" s="165" t="n">
        <v>46237</v>
      </c>
      <c r="C233" s="14" t="inlineStr">
        <is>
          <t>星海超市</t>
        </is>
      </c>
      <c r="D233" s="14" t="inlineStr">
        <is>
          <t>小东鹏</t>
        </is>
      </c>
      <c r="E233" s="14" t="n">
        <v>182</v>
      </c>
      <c r="F233" s="156" t="n">
        <v>51</v>
      </c>
      <c r="G233" s="156">
        <f>IF(AND(E233&lt;&gt;"",F233&lt;&gt;""),E233*F233,"")</f>
        <v>9282</v>
      </c>
      <c r="H233" s="14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</row>
    <row r="234" ht="15" customHeight="1" s="71">
      <c r="A234" s="58" t="n">
        <v>230</v>
      </c>
      <c r="B234" s="165" t="n">
        <v>46239</v>
      </c>
      <c r="C234" s="58" t="inlineStr">
        <is>
          <t>阿东副食</t>
        </is>
      </c>
      <c r="D234" s="58" t="inlineStr">
        <is>
          <t>大东鹏</t>
        </is>
      </c>
      <c r="E234" s="58" t="n">
        <v>100</v>
      </c>
      <c r="F234" s="166" t="n">
        <v>90</v>
      </c>
      <c r="G234" s="166">
        <f>IF(AND(E234&lt;&gt;"",F234&lt;&gt;""),E234*F234,"")</f>
        <v>9000</v>
      </c>
      <c r="H234" s="58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 ht="15" customHeight="1" s="71">
      <c r="A235" s="14" t="n">
        <v>231</v>
      </c>
      <c r="B235" s="167" t="n">
        <v>46238</v>
      </c>
      <c r="C235" s="14" t="inlineStr">
        <is>
          <t>诚信粮油</t>
        </is>
      </c>
      <c r="D235" s="14" t="inlineStr">
        <is>
          <t>大东鹏</t>
        </is>
      </c>
      <c r="E235" s="14" t="n">
        <v>100</v>
      </c>
      <c r="F235" s="156" t="n">
        <v>90</v>
      </c>
      <c r="G235" s="156">
        <f>IF(AND(E235&lt;&gt;"",F235&lt;&gt;""),E235*F235,"")</f>
        <v>9000</v>
      </c>
      <c r="H235" s="14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</row>
    <row r="236" ht="15" customHeight="1" s="71">
      <c r="A236" s="58" t="n">
        <v>232</v>
      </c>
      <c r="B236" s="165" t="n">
        <v>46237</v>
      </c>
      <c r="C236" s="58" t="inlineStr">
        <is>
          <t>吕维春</t>
        </is>
      </c>
      <c r="D236" s="58" t="inlineStr">
        <is>
          <t>大东鹏</t>
        </is>
      </c>
      <c r="E236" s="58" t="n">
        <v>30</v>
      </c>
      <c r="F236" s="166" t="n">
        <v>90</v>
      </c>
      <c r="G236" s="166">
        <f>IF(AND(E236&lt;&gt;"",F236&lt;&gt;""),E236*F236,"")</f>
        <v>2700</v>
      </c>
      <c r="H236" s="58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 ht="15" customHeight="1" s="71">
      <c r="A237" s="14" t="n">
        <v>233</v>
      </c>
      <c r="B237" s="167" t="n">
        <v>46237</v>
      </c>
      <c r="C237" s="14" t="inlineStr">
        <is>
          <t>桐心源</t>
        </is>
      </c>
      <c r="D237" s="14" t="inlineStr">
        <is>
          <t>大东鹏</t>
        </is>
      </c>
      <c r="E237" s="14" t="n">
        <v>500</v>
      </c>
      <c r="F237" s="156" t="n">
        <v>90</v>
      </c>
      <c r="G237" s="156">
        <f>IF(AND(E237&lt;&gt;"",F237&lt;&gt;""),E237*F237,"")</f>
        <v>45000</v>
      </c>
      <c r="H237" s="14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</row>
    <row r="238" ht="15" customHeight="1" s="71">
      <c r="A238" s="58" t="n">
        <v>234</v>
      </c>
      <c r="B238" s="165" t="n">
        <v>46237</v>
      </c>
      <c r="C238" s="58" t="inlineStr">
        <is>
          <t>桐心源</t>
        </is>
      </c>
      <c r="D238" s="58" t="inlineStr">
        <is>
          <t>港式奶茶</t>
        </is>
      </c>
      <c r="E238" s="58" t="n">
        <v>10</v>
      </c>
      <c r="F238" s="166" t="n">
        <v>69</v>
      </c>
      <c r="G238" s="166">
        <f>IF(AND(E238&lt;&gt;"",F238&lt;&gt;""),E238*F238,"")</f>
        <v>690</v>
      </c>
      <c r="H238" s="58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 ht="15" customHeight="1" s="71">
      <c r="A239" s="14" t="n">
        <v>235</v>
      </c>
      <c r="B239" s="165" t="n">
        <v>46237</v>
      </c>
      <c r="C239" s="58" t="inlineStr">
        <is>
          <t>桐心源</t>
        </is>
      </c>
      <c r="D239" s="12" t="inlineStr">
        <is>
          <t>小海岛椰</t>
        </is>
      </c>
      <c r="E239" s="14" t="n">
        <v>10</v>
      </c>
      <c r="F239" s="156" t="n">
        <v>32</v>
      </c>
      <c r="G239" s="156">
        <f>IF(AND(E239&lt;&gt;"",F239&lt;&gt;""),E239*F239,"")</f>
        <v>320</v>
      </c>
      <c r="H239" s="14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</row>
    <row r="240" ht="15" customHeight="1" s="71">
      <c r="A240" s="58" t="n">
        <v>236</v>
      </c>
      <c r="B240" s="165" t="n">
        <v>46240</v>
      </c>
      <c r="C240" s="35" t="inlineStr">
        <is>
          <t>南区长裕商行</t>
        </is>
      </c>
      <c r="D240" s="58" t="inlineStr">
        <is>
          <t>大东鹏</t>
        </is>
      </c>
      <c r="E240" s="58" t="n">
        <v>10</v>
      </c>
      <c r="F240" s="166" t="n">
        <v>93</v>
      </c>
      <c r="G240" s="166">
        <f>IF(AND(E240&lt;&gt;"",F240&lt;&gt;""),E240*F240,"")</f>
        <v>930</v>
      </c>
      <c r="H240" s="58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 ht="15" customHeight="1" s="71">
      <c r="A241" s="14" t="n">
        <v>237</v>
      </c>
      <c r="B241" s="167" t="n">
        <v>46240</v>
      </c>
      <c r="C241" s="14" t="inlineStr">
        <is>
          <t>小梅商行</t>
        </is>
      </c>
      <c r="D241" s="14" t="inlineStr">
        <is>
          <t>大东鹏</t>
        </is>
      </c>
      <c r="E241" s="14" t="n">
        <v>100</v>
      </c>
      <c r="F241" s="156" t="n">
        <v>90</v>
      </c>
      <c r="G241" s="156">
        <f>IF(AND(E241&lt;&gt;"",F241&lt;&gt;""),E241*F241,"")</f>
        <v>9000</v>
      </c>
      <c r="H241" s="14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</row>
    <row r="242" ht="15" customHeight="1" s="71">
      <c r="A242" s="58" t="n">
        <v>238</v>
      </c>
      <c r="B242" s="165" t="n">
        <v>46240</v>
      </c>
      <c r="C242" s="58" t="inlineStr">
        <is>
          <t>金凤副食</t>
        </is>
      </c>
      <c r="D242" s="58" t="inlineStr">
        <is>
          <t>小果之茶</t>
        </is>
      </c>
      <c r="E242" s="58" t="n">
        <v>100</v>
      </c>
      <c r="F242" s="166" t="n">
        <v>47</v>
      </c>
      <c r="G242" s="166">
        <f>IF(AND(E242&lt;&gt;"",F242&lt;&gt;""),E242*F242,"")</f>
        <v>4700</v>
      </c>
      <c r="H242" s="58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 ht="15" customHeight="1" s="71">
      <c r="A243" s="14" t="n">
        <v>239</v>
      </c>
      <c r="B243" s="165" t="n">
        <v>46240</v>
      </c>
      <c r="C243" s="58" t="inlineStr">
        <is>
          <t>金凤副食</t>
        </is>
      </c>
      <c r="D243" s="14" t="inlineStr">
        <is>
          <t>1L补水</t>
        </is>
      </c>
      <c r="E243" s="14" t="n">
        <v>50</v>
      </c>
      <c r="F243" s="156" t="n">
        <v>55</v>
      </c>
      <c r="G243" s="156">
        <f>IF(AND(E243&lt;&gt;"",F243&lt;&gt;""),E243*F243,"")</f>
        <v>2750</v>
      </c>
      <c r="H243" s="14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</row>
    <row r="244" ht="15" customHeight="1" s="71">
      <c r="A244" s="58" t="n">
        <v>240</v>
      </c>
      <c r="B244" s="165" t="n">
        <v>46240</v>
      </c>
      <c r="C244" s="58" t="inlineStr">
        <is>
          <t>金凤副食</t>
        </is>
      </c>
      <c r="D244" s="58" t="inlineStr">
        <is>
          <t>港式奶茶</t>
        </is>
      </c>
      <c r="E244" s="58" t="n">
        <v>-16</v>
      </c>
      <c r="F244" s="166" t="n">
        <v>66.3</v>
      </c>
      <c r="G244" s="166">
        <f>IF(AND(E244&lt;&gt;"",F244&lt;&gt;""),E244*F244,"")</f>
        <v>-1060.8</v>
      </c>
      <c r="H244" s="58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 ht="15" customHeight="1" s="71">
      <c r="A245" s="14" t="n">
        <v>241</v>
      </c>
      <c r="B245" s="167" t="n">
        <v>46238</v>
      </c>
      <c r="C245" s="14" t="inlineStr">
        <is>
          <t>阿东副食</t>
        </is>
      </c>
      <c r="D245" s="14" t="inlineStr">
        <is>
          <t>小果之茶</t>
        </is>
      </c>
      <c r="E245" s="14" t="n">
        <v>100</v>
      </c>
      <c r="F245" s="156" t="n">
        <v>47</v>
      </c>
      <c r="G245" s="156">
        <f>IF(AND(E245&lt;&gt;"",F245&lt;&gt;""),E245*F245,"")</f>
        <v>4700</v>
      </c>
      <c r="H245" s="14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</row>
    <row r="246" ht="15" customHeight="1" s="71">
      <c r="A246" s="58" t="n">
        <v>242</v>
      </c>
      <c r="B246" s="165" t="n">
        <v>46239</v>
      </c>
      <c r="C246" s="58" t="inlineStr">
        <is>
          <t>江背久明商行</t>
        </is>
      </c>
      <c r="D246" s="58" t="inlineStr">
        <is>
          <t>大东鹏</t>
        </is>
      </c>
      <c r="E246" s="58" t="n">
        <v>224</v>
      </c>
      <c r="F246" s="166" t="n">
        <v>90</v>
      </c>
      <c r="G246" s="166">
        <f>IF(AND(E246&lt;&gt;"",F246&lt;&gt;""),E246*F246,"")</f>
        <v>20160</v>
      </c>
      <c r="H246" s="58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 ht="15" customHeight="1" s="71">
      <c r="A247" s="14" t="n">
        <v>243</v>
      </c>
      <c r="B247" s="167" t="n">
        <v>46240</v>
      </c>
      <c r="C247" s="27" t="inlineStr">
        <is>
          <t>滨江路莲花便利店</t>
        </is>
      </c>
      <c r="D247" s="14" t="inlineStr">
        <is>
          <t>1L补水</t>
        </is>
      </c>
      <c r="E247" s="14" t="n">
        <v>3</v>
      </c>
      <c r="F247" s="156" t="n">
        <v>58</v>
      </c>
      <c r="G247" s="156">
        <f>IF(AND(E247&lt;&gt;"",F247&lt;&gt;""),E247*F247,"")</f>
        <v>174</v>
      </c>
      <c r="H247" s="14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</row>
    <row r="248" ht="15" customHeight="1" s="71">
      <c r="A248" s="58" t="n">
        <v>244</v>
      </c>
      <c r="B248" s="167" t="n">
        <v>46240</v>
      </c>
      <c r="C248" s="27" t="inlineStr">
        <is>
          <t>滨江路莲花便利店</t>
        </is>
      </c>
      <c r="D248" s="58" t="inlineStr">
        <is>
          <t>小果之茶</t>
        </is>
      </c>
      <c r="E248" s="58" t="n">
        <v>2</v>
      </c>
      <c r="F248" s="166" t="n">
        <v>50</v>
      </c>
      <c r="G248" s="166">
        <f>IF(AND(E248&lt;&gt;"",F248&lt;&gt;""),E248*F248,"")</f>
        <v>100</v>
      </c>
      <c r="H248" s="58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 ht="15" customHeight="1" s="71">
      <c r="A249" s="14" t="n">
        <v>245</v>
      </c>
      <c r="B249" s="167" t="n">
        <v>46241</v>
      </c>
      <c r="C249" s="27" t="inlineStr">
        <is>
          <t>贸易广场老吴副食</t>
        </is>
      </c>
      <c r="D249" s="14" t="inlineStr">
        <is>
          <t>大东鹏</t>
        </is>
      </c>
      <c r="E249" s="14" t="n">
        <v>50</v>
      </c>
      <c r="F249" s="156" t="n">
        <v>90</v>
      </c>
      <c r="G249" s="156">
        <f>IF(AND(E249&lt;&gt;"",F249&lt;&gt;""),E249*F249,"")</f>
        <v>4500</v>
      </c>
      <c r="H249" s="14" t="inlineStr">
        <is>
          <t>存条已清存条已收回</t>
        </is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</row>
    <row r="250" ht="15" customHeight="1" s="71">
      <c r="A250" s="58" t="n">
        <v>246</v>
      </c>
      <c r="B250" s="165" t="n">
        <v>46241</v>
      </c>
      <c r="C250" s="58" t="inlineStr">
        <is>
          <t>王玉琴</t>
        </is>
      </c>
      <c r="D250" s="58" t="inlineStr">
        <is>
          <t>大东鹏</t>
        </is>
      </c>
      <c r="E250" s="58" t="n">
        <v>55</v>
      </c>
      <c r="F250" s="166" t="n">
        <v>90</v>
      </c>
      <c r="G250" s="166">
        <f>IF(AND(E250&lt;&gt;"",F250&lt;&gt;""),E250*F250,"")</f>
        <v>4950</v>
      </c>
      <c r="H250" s="58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 ht="15" customHeight="1" s="71">
      <c r="A251" s="14" t="n">
        <v>247</v>
      </c>
      <c r="B251" s="167" t="n">
        <v>46241</v>
      </c>
      <c r="C251" s="14" t="inlineStr">
        <is>
          <t>桐心源</t>
        </is>
      </c>
      <c r="D251" s="14" t="inlineStr">
        <is>
          <t>900农夫饮料</t>
        </is>
      </c>
      <c r="E251" s="14" t="n">
        <v>2</v>
      </c>
      <c r="F251" s="156" t="n">
        <v>62</v>
      </c>
      <c r="G251" s="156">
        <f>IF(AND(E251&lt;&gt;"",F251&lt;&gt;""),E251*F251,"")</f>
        <v>124</v>
      </c>
      <c r="H251" s="14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</row>
    <row r="252" ht="15" customHeight="1" s="71">
      <c r="A252" s="58" t="n">
        <v>248</v>
      </c>
      <c r="B252" s="165" t="n">
        <v>46241</v>
      </c>
      <c r="C252" s="58" t="inlineStr">
        <is>
          <t>好帮手</t>
        </is>
      </c>
      <c r="D252" s="58" t="inlineStr">
        <is>
          <t>大东鹏</t>
        </is>
      </c>
      <c r="E252" s="58" t="n">
        <v>100</v>
      </c>
      <c r="F252" s="166" t="n">
        <v>90</v>
      </c>
      <c r="G252" s="166">
        <f>IF(AND(E252&lt;&gt;"",F252&lt;&gt;""),E252*F252,"")</f>
        <v>9000</v>
      </c>
      <c r="H252" s="58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 ht="15" customHeight="1" s="71">
      <c r="A253" s="14" t="n">
        <v>249</v>
      </c>
      <c r="B253" s="167" t="n">
        <v>46241</v>
      </c>
      <c r="C253" s="27" t="inlineStr">
        <is>
          <t>均村桃姐水果店</t>
        </is>
      </c>
      <c r="D253" s="14" t="inlineStr">
        <is>
          <t>小果之茶</t>
        </is>
      </c>
      <c r="E253" s="14" t="n">
        <v>9</v>
      </c>
      <c r="F253" s="156" t="n">
        <v>50</v>
      </c>
      <c r="G253" s="156">
        <f>IF(AND(E253&lt;&gt;"",F253&lt;&gt;""),E253*F253,"")</f>
        <v>450</v>
      </c>
      <c r="H253" s="14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</row>
    <row r="254" ht="15" customHeight="1" s="71">
      <c r="A254" s="58" t="n">
        <v>250</v>
      </c>
      <c r="B254" s="167" t="n">
        <v>46241</v>
      </c>
      <c r="C254" s="27" t="inlineStr">
        <is>
          <t>均村桃姐水果店</t>
        </is>
      </c>
      <c r="D254" s="58" t="inlineStr">
        <is>
          <t>1L果之茶</t>
        </is>
      </c>
      <c r="E254" s="58" t="n">
        <v>4</v>
      </c>
      <c r="F254" s="166" t="n">
        <v>46</v>
      </c>
      <c r="G254" s="166">
        <f>IF(AND(E254&lt;&gt;"",F254&lt;&gt;""),E254*F254,"")</f>
        <v>184</v>
      </c>
      <c r="H254" s="58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 ht="15" customFormat="1" customHeight="1" s="16">
      <c r="A255" s="29" t="n">
        <v>251</v>
      </c>
      <c r="B255" s="163" t="n">
        <v>46241</v>
      </c>
      <c r="C255" s="60" t="inlineStr">
        <is>
          <t>埠头鑫鑫文具</t>
        </is>
      </c>
      <c r="D255" s="29" t="inlineStr">
        <is>
          <t>大东鹏</t>
        </is>
      </c>
      <c r="E255" s="29" t="n">
        <v>25</v>
      </c>
      <c r="F255" s="155" t="n">
        <v>93</v>
      </c>
      <c r="G255" s="155">
        <f>IF(AND(E255&lt;&gt;"",F255&lt;&gt;""),E255*F255,"")</f>
        <v>2325</v>
      </c>
      <c r="H255" s="29" t="inlineStr">
        <is>
          <t>存条已清存条未收回</t>
        </is>
      </c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</row>
    <row r="256" ht="15" customHeight="1" s="71">
      <c r="A256" s="58" t="n">
        <v>252</v>
      </c>
      <c r="B256" s="167" t="n">
        <v>46241</v>
      </c>
      <c r="C256" s="58" t="inlineStr">
        <is>
          <t>和睦公园百顺</t>
        </is>
      </c>
      <c r="D256" s="58" t="inlineStr">
        <is>
          <t>大东鹏</t>
        </is>
      </c>
      <c r="E256" s="58" t="n">
        <v>100</v>
      </c>
      <c r="F256" s="166" t="n">
        <v>90</v>
      </c>
      <c r="G256" s="166">
        <f>IF(AND(E256&lt;&gt;"",F256&lt;&gt;""),E256*F256,"")</f>
        <v>9000</v>
      </c>
      <c r="H256" s="58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 ht="15" customHeight="1" s="71">
      <c r="A257" s="14" t="n">
        <v>253</v>
      </c>
      <c r="B257" s="167" t="n">
        <v>46241</v>
      </c>
      <c r="C257" s="58" t="inlineStr">
        <is>
          <t>和睦公园百顺</t>
        </is>
      </c>
      <c r="D257" s="14" t="inlineStr">
        <is>
          <t>1L补水</t>
        </is>
      </c>
      <c r="E257" s="14" t="n">
        <v>30</v>
      </c>
      <c r="F257" s="156" t="n">
        <v>55</v>
      </c>
      <c r="G257" s="156">
        <f>IF(AND(E257&lt;&gt;"",F257&lt;&gt;""),E257*F257,"")</f>
        <v>1650</v>
      </c>
      <c r="H257" s="14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</row>
    <row r="258" ht="15" customHeight="1" s="71">
      <c r="A258" s="58" t="n">
        <v>254</v>
      </c>
      <c r="B258" s="167" t="n">
        <v>46241</v>
      </c>
      <c r="C258" s="58" t="inlineStr">
        <is>
          <t>和睦公园百顺</t>
        </is>
      </c>
      <c r="D258" s="58" t="inlineStr">
        <is>
          <t>小果之茶</t>
        </is>
      </c>
      <c r="E258" s="58" t="n">
        <v>30</v>
      </c>
      <c r="F258" s="166" t="n">
        <v>47</v>
      </c>
      <c r="G258" s="166">
        <f>IF(AND(E258&lt;&gt;"",F258&lt;&gt;""),E258*F258,"")</f>
        <v>1410</v>
      </c>
      <c r="H258" s="58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 ht="15" customHeight="1" s="71">
      <c r="A259" s="14" t="n">
        <v>255</v>
      </c>
      <c r="B259" s="167" t="n">
        <v>46241</v>
      </c>
      <c r="C259" s="14" t="inlineStr">
        <is>
          <t>滨江路莲花便利店</t>
        </is>
      </c>
      <c r="D259" s="14" t="inlineStr">
        <is>
          <t>大咖</t>
        </is>
      </c>
      <c r="E259" s="14" t="n">
        <v>3</v>
      </c>
      <c r="F259" s="156" t="n">
        <v>86</v>
      </c>
      <c r="G259" s="156">
        <f>IF(AND(E259&lt;&gt;"",F259&lt;&gt;""),E259*F259,"")</f>
        <v>258</v>
      </c>
      <c r="H259" s="14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</row>
    <row r="260" ht="15" customHeight="1" s="71">
      <c r="A260" s="58" t="n">
        <v>256</v>
      </c>
      <c r="B260" s="167" t="n">
        <v>46241</v>
      </c>
      <c r="C260" s="58" t="inlineStr">
        <is>
          <t>滨江荣香副食</t>
        </is>
      </c>
      <c r="D260" s="58" t="inlineStr">
        <is>
          <t>1L果之茶</t>
        </is>
      </c>
      <c r="E260" s="58" t="n">
        <v>2</v>
      </c>
      <c r="F260" s="166" t="n">
        <v>46</v>
      </c>
      <c r="G260" s="166">
        <f>IF(AND(E260&lt;&gt;"",F260&lt;&gt;""),E260*F260,"")</f>
        <v>92</v>
      </c>
      <c r="H260" s="58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 ht="15" customHeight="1" s="71">
      <c r="A261" s="14" t="n">
        <v>257</v>
      </c>
      <c r="B261" s="167" t="n">
        <v>46242</v>
      </c>
      <c r="C261" s="14" t="inlineStr">
        <is>
          <t>宜兴粮油</t>
        </is>
      </c>
      <c r="D261" s="14" t="inlineStr">
        <is>
          <t>小果之茶</t>
        </is>
      </c>
      <c r="E261" s="14" t="n">
        <v>50</v>
      </c>
      <c r="F261" s="156" t="n">
        <v>47</v>
      </c>
      <c r="G261" s="156">
        <f>IF(AND(E261&lt;&gt;"",F261&lt;&gt;""),E261*F261,"")</f>
        <v>2350</v>
      </c>
      <c r="H261" s="14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</row>
    <row r="262" ht="15" customHeight="1" s="71">
      <c r="A262" s="58" t="n">
        <v>258</v>
      </c>
      <c r="B262" s="165" t="n">
        <v>46244</v>
      </c>
      <c r="C262" s="58" t="inlineStr">
        <is>
          <t>金凤副食</t>
        </is>
      </c>
      <c r="D262" s="58" t="inlineStr">
        <is>
          <t>555补水</t>
        </is>
      </c>
      <c r="E262" s="58" t="n">
        <v>100</v>
      </c>
      <c r="F262" s="166" t="n">
        <v>65</v>
      </c>
      <c r="G262" s="166">
        <f>IF(AND(E262&lt;&gt;"",F262&lt;&gt;""),E262*F262,"")</f>
        <v>6500</v>
      </c>
      <c r="H262" s="58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 ht="15" customHeight="1" s="71">
      <c r="A263" s="14" t="n">
        <v>259</v>
      </c>
      <c r="B263" s="167" t="n">
        <v>46244</v>
      </c>
      <c r="C263" s="14" t="inlineStr">
        <is>
          <t>鼎龙陈财超市</t>
        </is>
      </c>
      <c r="D263" s="14" t="inlineStr">
        <is>
          <t>大东鹏</t>
        </is>
      </c>
      <c r="E263" s="14" t="n">
        <v>100</v>
      </c>
      <c r="F263" s="156" t="n">
        <v>90</v>
      </c>
      <c r="G263" s="156">
        <f>IF(AND(E263&lt;&gt;"",F263&lt;&gt;""),E263*F263,"")</f>
        <v>9000</v>
      </c>
      <c r="H263" s="14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</row>
    <row r="264" ht="15" customHeight="1" s="71">
      <c r="A264" s="58" t="n">
        <v>260</v>
      </c>
      <c r="B264" s="167" t="n">
        <v>46244</v>
      </c>
      <c r="C264" s="58" t="inlineStr">
        <is>
          <t>城岗日日升超市</t>
        </is>
      </c>
      <c r="D264" s="58" t="inlineStr">
        <is>
          <t>大东鹏</t>
        </is>
      </c>
      <c r="E264" s="58" t="n">
        <v>100</v>
      </c>
      <c r="F264" s="166" t="n">
        <v>90</v>
      </c>
      <c r="G264" s="166">
        <f>IF(AND(E264&lt;&gt;"",F264&lt;&gt;""),E264*F264,"")</f>
        <v>9000</v>
      </c>
      <c r="H264" s="58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 ht="15" customHeight="1" s="71">
      <c r="A265" s="14" t="n">
        <v>261</v>
      </c>
      <c r="B265" s="167" t="n">
        <v>46244</v>
      </c>
      <c r="C265" s="14" t="inlineStr">
        <is>
          <t>桐心源</t>
        </is>
      </c>
      <c r="D265" s="14" t="inlineStr">
        <is>
          <t>小果之茶</t>
        </is>
      </c>
      <c r="E265" s="14" t="n">
        <v>50</v>
      </c>
      <c r="F265" s="156" t="n">
        <v>47</v>
      </c>
      <c r="G265" s="156">
        <f>IF(AND(E265&lt;&gt;"",F265&lt;&gt;""),E265*F265,"")</f>
        <v>2350</v>
      </c>
      <c r="H265" s="14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</row>
    <row r="266" ht="15" customHeight="1" s="71">
      <c r="A266" s="58" t="n">
        <v>262</v>
      </c>
      <c r="B266" s="167" t="n">
        <v>46244</v>
      </c>
      <c r="C266" s="14" t="inlineStr">
        <is>
          <t>桐心源</t>
        </is>
      </c>
      <c r="D266" s="58" t="inlineStr">
        <is>
          <t>1L补水</t>
        </is>
      </c>
      <c r="E266" s="58" t="n">
        <v>100</v>
      </c>
      <c r="F266" s="166" t="n">
        <v>55</v>
      </c>
      <c r="G266" s="166">
        <f>IF(AND(E266&lt;&gt;"",F266&lt;&gt;""),E266*F266,"")</f>
        <v>5500</v>
      </c>
      <c r="H266" s="58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</row>
    <row r="267" ht="15" customHeight="1" s="71">
      <c r="A267" s="14" t="n">
        <v>263</v>
      </c>
      <c r="B267" s="167" t="n">
        <v>46244</v>
      </c>
      <c r="C267" s="14" t="inlineStr">
        <is>
          <t>致发商行</t>
        </is>
      </c>
      <c r="D267" s="14" t="inlineStr">
        <is>
          <t>1L果之茶</t>
        </is>
      </c>
      <c r="E267" s="14" t="n">
        <v>35</v>
      </c>
      <c r="F267" s="156" t="n">
        <v>43</v>
      </c>
      <c r="G267" s="156">
        <f>IF(AND(E267&lt;&gt;"",F267&lt;&gt;""),E267*F267,"")</f>
        <v>1505</v>
      </c>
      <c r="H267" s="14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</row>
    <row r="268" ht="15" customHeight="1" s="71">
      <c r="A268" s="58" t="n">
        <v>264</v>
      </c>
      <c r="B268" s="167" t="n">
        <v>46244</v>
      </c>
      <c r="C268" s="14" t="inlineStr">
        <is>
          <t>致发商行</t>
        </is>
      </c>
      <c r="D268" s="58" t="inlineStr">
        <is>
          <t>1L补水</t>
        </is>
      </c>
      <c r="E268" s="58" t="n">
        <v>20</v>
      </c>
      <c r="F268" s="166" t="n">
        <v>55</v>
      </c>
      <c r="G268" s="166">
        <f>IF(AND(E268&lt;&gt;"",F268&lt;&gt;""),E268*F268,"")</f>
        <v>1100</v>
      </c>
      <c r="H268" s="58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 ht="15" customHeight="1" s="71">
      <c r="A269" s="14" t="n">
        <v>265</v>
      </c>
      <c r="B269" s="167" t="n">
        <v>46244</v>
      </c>
      <c r="C269" s="14" t="inlineStr">
        <is>
          <t>致发商行</t>
        </is>
      </c>
      <c r="D269" s="14" t="inlineStr">
        <is>
          <t>555补水</t>
        </is>
      </c>
      <c r="E269" s="14" t="n">
        <v>170</v>
      </c>
      <c r="F269" s="156" t="n">
        <v>65</v>
      </c>
      <c r="G269" s="156">
        <f>IF(AND(E269&lt;&gt;"",F269&lt;&gt;""),E269*F269,"")</f>
        <v>11050</v>
      </c>
      <c r="H269" s="14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</row>
    <row r="270" ht="15" customHeight="1" s="71">
      <c r="A270" s="58" t="n">
        <v>266</v>
      </c>
      <c r="B270" s="165" t="n">
        <v>46245</v>
      </c>
      <c r="C270" s="58" t="inlineStr">
        <is>
          <t>好帮手</t>
        </is>
      </c>
      <c r="D270" s="58" t="inlineStr">
        <is>
          <t>小东鹏</t>
        </is>
      </c>
      <c r="E270" s="58" t="n">
        <v>17.5</v>
      </c>
      <c r="F270" s="166" t="n">
        <v>51</v>
      </c>
      <c r="G270" s="166">
        <f>IF(AND(E270&lt;&gt;"",F270&lt;&gt;""),E270*F270,"")</f>
        <v>892.5</v>
      </c>
      <c r="H270" s="58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 ht="15" customHeight="1" s="71">
      <c r="A271" s="14" t="n">
        <v>267</v>
      </c>
      <c r="B271" s="167" t="n">
        <v>46246</v>
      </c>
      <c r="C271" s="14" t="inlineStr">
        <is>
          <t>宜兴粮油</t>
        </is>
      </c>
      <c r="D271" s="14" t="inlineStr">
        <is>
          <t>大东鹏</t>
        </is>
      </c>
      <c r="E271" s="14" t="n">
        <v>100</v>
      </c>
      <c r="F271" s="156" t="n">
        <v>90</v>
      </c>
      <c r="G271" s="156">
        <f>IF(AND(E271&lt;&gt;"",F271&lt;&gt;""),E271*F271,"")</f>
        <v>9000</v>
      </c>
      <c r="H271" s="14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</row>
    <row r="272" ht="15" customHeight="1" s="71">
      <c r="A272" s="58" t="n">
        <v>268</v>
      </c>
      <c r="B272" s="165" t="n">
        <v>46246</v>
      </c>
      <c r="C272" s="36" t="inlineStr">
        <is>
          <t>永丰焦溪兰兰副食</t>
        </is>
      </c>
      <c r="D272" s="58" t="inlineStr">
        <is>
          <t>小果之茶</t>
        </is>
      </c>
      <c r="E272" s="58" t="n">
        <v>6</v>
      </c>
      <c r="F272" s="166" t="n">
        <v>50</v>
      </c>
      <c r="G272" s="166">
        <f>IF(AND(E272&lt;&gt;"",F272&lt;&gt;""),E272*F272,"")</f>
        <v>300</v>
      </c>
      <c r="H272" s="58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 ht="15" customHeight="1" s="71">
      <c r="A273" s="14" t="n">
        <v>269</v>
      </c>
      <c r="B273" s="165" t="n">
        <v>46246</v>
      </c>
      <c r="C273" s="14" t="inlineStr">
        <is>
          <t>福旺家优购</t>
        </is>
      </c>
      <c r="D273" s="14" t="inlineStr">
        <is>
          <t>555补水</t>
        </is>
      </c>
      <c r="E273" s="14" t="n">
        <v>8</v>
      </c>
      <c r="F273" s="156" t="n">
        <v>68</v>
      </c>
      <c r="G273" s="156">
        <f>IF(AND(E273&lt;&gt;"",F273&lt;&gt;""),E273*F273,"")</f>
        <v>544</v>
      </c>
      <c r="H273" s="14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</row>
    <row r="274" ht="15" customHeight="1" s="71">
      <c r="A274" s="58" t="n">
        <v>270</v>
      </c>
      <c r="B274" s="165" t="n">
        <v>46246</v>
      </c>
      <c r="C274" s="58" t="inlineStr">
        <is>
          <t>桐心源</t>
        </is>
      </c>
      <c r="D274" s="58" t="inlineStr">
        <is>
          <t>550农夫水</t>
        </is>
      </c>
      <c r="E274" s="58" t="n">
        <v>20</v>
      </c>
      <c r="F274" s="166" t="n">
        <v>20</v>
      </c>
      <c r="G274" s="166">
        <f>IF(AND(E274&lt;&gt;"",F274&lt;&gt;""),E274*F274,"")</f>
        <v>400</v>
      </c>
      <c r="H274" s="58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 ht="15" customHeight="1" s="71">
      <c r="A275" s="14" t="n">
        <v>271</v>
      </c>
      <c r="B275" s="165" t="n">
        <v>46246</v>
      </c>
      <c r="C275" s="58" t="inlineStr">
        <is>
          <t>桐心源</t>
        </is>
      </c>
      <c r="D275" s="14" t="inlineStr">
        <is>
          <t>500农夫饮料</t>
        </is>
      </c>
      <c r="E275" s="14" t="n">
        <v>45</v>
      </c>
      <c r="F275" s="156" t="n">
        <v>52</v>
      </c>
      <c r="G275" s="156">
        <f>IF(AND(E275&lt;&gt;"",F275&lt;&gt;""),E275*F275,"")</f>
        <v>2340</v>
      </c>
      <c r="H275" s="14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</row>
    <row r="276" ht="15" customHeight="1" s="71">
      <c r="A276" s="58" t="n">
        <v>272</v>
      </c>
      <c r="B276" s="165" t="n">
        <v>46246</v>
      </c>
      <c r="C276" s="58" t="inlineStr">
        <is>
          <t>桐心源</t>
        </is>
      </c>
      <c r="D276" s="58" t="inlineStr">
        <is>
          <t>900农夫饮料</t>
        </is>
      </c>
      <c r="E276" s="58" t="n">
        <v>18</v>
      </c>
      <c r="F276" s="166" t="n">
        <v>62</v>
      </c>
      <c r="G276" s="166">
        <f>IF(AND(E276&lt;&gt;"",F276&lt;&gt;""),E276*F276,"")</f>
        <v>1116</v>
      </c>
      <c r="H276" s="58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 ht="15" customHeight="1" s="71">
      <c r="A277" s="14" t="n">
        <v>273</v>
      </c>
      <c r="B277" s="165" t="n">
        <v>46246</v>
      </c>
      <c r="C277" s="27" t="inlineStr">
        <is>
          <t>春萌副食</t>
        </is>
      </c>
      <c r="D277" s="14" t="inlineStr">
        <is>
          <t>大东鹏</t>
        </is>
      </c>
      <c r="E277" s="14" t="n">
        <v>25</v>
      </c>
      <c r="F277" s="156" t="n">
        <v>93</v>
      </c>
      <c r="G277" s="156">
        <f>IF(AND(E277&lt;&gt;"",F277&lt;&gt;""),E277*F277,"")</f>
        <v>2325</v>
      </c>
      <c r="H277" s="14" t="inlineStr">
        <is>
          <t>存条已清</t>
        </is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</row>
    <row r="278" ht="15" customHeight="1" s="71">
      <c r="A278" s="58" t="n">
        <v>274</v>
      </c>
      <c r="B278" s="165" t="n">
        <v>46246</v>
      </c>
      <c r="C278" s="27" t="inlineStr">
        <is>
          <t>友兰商行</t>
        </is>
      </c>
      <c r="D278" s="58" t="inlineStr">
        <is>
          <t>大东鹏</t>
        </is>
      </c>
      <c r="E278" s="58" t="n">
        <v>50</v>
      </c>
      <c r="F278" s="166" t="n">
        <v>93</v>
      </c>
      <c r="G278" s="166">
        <f>IF(AND(E278&lt;&gt;"",F278&lt;&gt;""),E278*F278,"")</f>
        <v>4650</v>
      </c>
      <c r="H278" s="42" t="inlineStr">
        <is>
          <t>7-8存条已清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 ht="15" customHeight="1" s="71">
      <c r="A279" s="14" t="n">
        <v>275</v>
      </c>
      <c r="B279" s="165" t="n">
        <v>46246</v>
      </c>
      <c r="C279" s="14" t="inlineStr">
        <is>
          <t>阿东副食</t>
        </is>
      </c>
      <c r="D279" s="14" t="inlineStr">
        <is>
          <t>555补水</t>
        </is>
      </c>
      <c r="E279" s="14" t="n">
        <v>100</v>
      </c>
      <c r="F279" s="156" t="n">
        <v>65</v>
      </c>
      <c r="G279" s="156">
        <f>IF(AND(E279&lt;&gt;"",F279&lt;&gt;""),E279*F279,"")</f>
        <v>6500</v>
      </c>
      <c r="H279" s="14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 ht="15" customHeight="1" s="71">
      <c r="A280" s="58" t="n">
        <v>276</v>
      </c>
      <c r="B280" s="165" t="n">
        <v>46246</v>
      </c>
      <c r="C280" s="14" t="inlineStr">
        <is>
          <t>阿东副食</t>
        </is>
      </c>
      <c r="D280" s="14" t="inlineStr">
        <is>
          <t>555补水</t>
        </is>
      </c>
      <c r="E280" s="58" t="n">
        <v>10</v>
      </c>
      <c r="F280" s="166" t="n"/>
      <c r="G280" s="166">
        <f>IF(AND(E280&lt;&gt;"",F280&lt;&gt;""),E280*F280,"")</f>
      </c>
      <c r="H280" s="58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 ht="15" customHeight="1" s="71">
      <c r="A281" s="14" t="n">
        <v>277</v>
      </c>
      <c r="B281" s="167" t="n">
        <v>46246</v>
      </c>
      <c r="C281" s="27" t="inlineStr">
        <is>
          <t>城西街福临门超市</t>
        </is>
      </c>
      <c r="D281" s="14" t="inlineStr">
        <is>
          <t>大东鹏</t>
        </is>
      </c>
      <c r="E281" s="14" t="n">
        <v>5</v>
      </c>
      <c r="F281" s="156" t="n">
        <v>93</v>
      </c>
      <c r="G281" s="156">
        <f>IF(AND(E281&lt;&gt;"",F281&lt;&gt;""),E281*F281,"")</f>
        <v>465</v>
      </c>
      <c r="H281" s="14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 ht="15" customHeight="1" s="71">
      <c r="A282" s="58" t="n">
        <v>278</v>
      </c>
      <c r="B282" s="165" t="n">
        <v>46246</v>
      </c>
      <c r="C282" s="27" t="inlineStr">
        <is>
          <t>龙口利客副食</t>
        </is>
      </c>
      <c r="D282" s="58" t="inlineStr">
        <is>
          <t>大东鹏</t>
        </is>
      </c>
      <c r="E282" s="58" t="n">
        <v>25</v>
      </c>
      <c r="F282" s="166" t="n">
        <v>93</v>
      </c>
      <c r="G282" s="166">
        <f>IF(AND(E282&lt;&gt;"",F282&lt;&gt;""),E282*F282,"")</f>
        <v>2325</v>
      </c>
      <c r="H282" s="58" t="inlineStr">
        <is>
          <t>存条已清存条未收回</t>
        </is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 ht="15" customHeight="1" s="71">
      <c r="A283" s="14" t="n">
        <v>279</v>
      </c>
      <c r="B283" s="167" t="n">
        <v>46246</v>
      </c>
      <c r="C283" s="14" t="inlineStr">
        <is>
          <t>阿东副食</t>
        </is>
      </c>
      <c r="D283" s="14" t="inlineStr">
        <is>
          <t>大东鹏</t>
        </is>
      </c>
      <c r="E283" s="14" t="n">
        <v>100</v>
      </c>
      <c r="F283" s="156" t="n">
        <v>90</v>
      </c>
      <c r="G283" s="156">
        <f>IF(AND(E283&lt;&gt;"",F283&lt;&gt;""),E283*F283,"")</f>
        <v>9000</v>
      </c>
      <c r="H283" s="14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 ht="15" customHeight="1" s="71">
      <c r="A284" s="58" t="n">
        <v>280</v>
      </c>
      <c r="B284" s="165" t="n">
        <v>46248</v>
      </c>
      <c r="C284" s="58" t="inlineStr">
        <is>
          <t>九鑫粮油</t>
        </is>
      </c>
      <c r="D284" s="58" t="inlineStr">
        <is>
          <t>大东鹏</t>
        </is>
      </c>
      <c r="E284" s="58" t="n">
        <v>32</v>
      </c>
      <c r="F284" s="166" t="n">
        <v>90</v>
      </c>
      <c r="G284" s="166">
        <f>IF(AND(E284&lt;&gt;"",F284&lt;&gt;""),E284*F284,"")</f>
        <v>2880</v>
      </c>
      <c r="H284" s="58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 ht="15" customHeight="1" s="71">
      <c r="A285" s="14" t="n">
        <v>281</v>
      </c>
      <c r="B285" s="167" t="n">
        <v>46247</v>
      </c>
      <c r="C285" s="14" t="inlineStr">
        <is>
          <t>兴发商行</t>
        </is>
      </c>
      <c r="D285" s="14" t="inlineStr">
        <is>
          <t>555补水</t>
        </is>
      </c>
      <c r="E285" s="14" t="n">
        <v>5</v>
      </c>
      <c r="F285" s="156" t="n">
        <v>65</v>
      </c>
      <c r="G285" s="156">
        <f>IF(AND(E285&lt;&gt;"",F285&lt;&gt;""),E285*F285,"")</f>
        <v>325</v>
      </c>
      <c r="H285" s="14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 ht="15" customHeight="1" s="71">
      <c r="A286" s="58" t="n">
        <v>282</v>
      </c>
      <c r="B286" s="165" t="n">
        <v>46247</v>
      </c>
      <c r="C286" s="27" t="inlineStr">
        <is>
          <t>财源批发</t>
        </is>
      </c>
      <c r="D286" s="58" t="inlineStr">
        <is>
          <t>大东鹏</t>
        </is>
      </c>
      <c r="E286" s="58" t="n">
        <v>50</v>
      </c>
      <c r="F286" s="166" t="n">
        <v>90</v>
      </c>
      <c r="G286" s="166">
        <f>IF(AND(E286&lt;&gt;"",F286&lt;&gt;""),E286*F286,"")</f>
        <v>4500</v>
      </c>
      <c r="H286" s="58" t="inlineStr">
        <is>
          <t>存条已清存条已收回</t>
        </is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 ht="15" customFormat="1" customHeight="1" s="16">
      <c r="A287" s="29" t="n">
        <v>283</v>
      </c>
      <c r="B287" s="161" t="n">
        <v>46247</v>
      </c>
      <c r="C287" s="30" t="inlineStr">
        <is>
          <t>红军路怡品折扣店</t>
        </is>
      </c>
      <c r="D287" s="29" t="inlineStr">
        <is>
          <t>大东鹏</t>
        </is>
      </c>
      <c r="E287" s="29" t="n">
        <v>60</v>
      </c>
      <c r="F287" s="155" t="n">
        <v>90</v>
      </c>
      <c r="G287" s="155">
        <f>IF(AND(E287&lt;&gt;"",F287&lt;&gt;""),E287*F287,"")</f>
        <v>5400</v>
      </c>
      <c r="H287" s="54" t="inlineStr">
        <is>
          <t>存条已清存条未收回</t>
        </is>
      </c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</row>
    <row r="288" ht="15" customHeight="1" s="71">
      <c r="A288" s="58" t="n">
        <v>284</v>
      </c>
      <c r="B288" s="165" t="n">
        <v>46248</v>
      </c>
      <c r="C288" s="58" t="inlineStr">
        <is>
          <t>洪门兴诚超市</t>
        </is>
      </c>
      <c r="D288" s="58" t="inlineStr">
        <is>
          <t>1L补水</t>
        </is>
      </c>
      <c r="E288" s="58" t="n">
        <v>17.5</v>
      </c>
      <c r="F288" s="166" t="n">
        <v>55</v>
      </c>
      <c r="G288" s="166">
        <f>IF(AND(E288&lt;&gt;"",F288&lt;&gt;""),E288*F288,"")</f>
        <v>962.5</v>
      </c>
      <c r="H288" s="58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 ht="15" customHeight="1" s="71">
      <c r="A289" s="14" t="n">
        <v>285</v>
      </c>
      <c r="B289" s="165" t="n">
        <v>46248</v>
      </c>
      <c r="C289" s="58" t="inlineStr">
        <is>
          <t>洪门兴诚超市</t>
        </is>
      </c>
      <c r="D289" s="14" t="inlineStr">
        <is>
          <t>1L果之茶</t>
        </is>
      </c>
      <c r="E289" s="14" t="n">
        <v>17.5</v>
      </c>
      <c r="F289" s="156" t="n">
        <v>45</v>
      </c>
      <c r="G289" s="156">
        <f>IF(AND(E289&lt;&gt;"",F289&lt;&gt;""),E289*F289,"")</f>
        <v>787.5</v>
      </c>
      <c r="H289" s="14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 ht="15" customHeight="1" s="71">
      <c r="A290" s="58" t="n">
        <v>286</v>
      </c>
      <c r="B290" s="165" t="n">
        <v>46249</v>
      </c>
      <c r="C290" s="58" t="inlineStr">
        <is>
          <t>桐心源</t>
        </is>
      </c>
      <c r="D290" s="58" t="inlineStr">
        <is>
          <t>500农夫饮料</t>
        </is>
      </c>
      <c r="E290" s="58" t="n">
        <v>57</v>
      </c>
      <c r="F290" s="166" t="n">
        <v>52</v>
      </c>
      <c r="G290" s="166">
        <f>IF(AND(E290&lt;&gt;"",F290&lt;&gt;""),E290*F290,"")</f>
        <v>2964</v>
      </c>
      <c r="H290" s="58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 ht="15" customFormat="1" customHeight="1" s="16">
      <c r="A291" s="29" t="n">
        <v>287</v>
      </c>
      <c r="B291" s="161" t="n">
        <v>46249</v>
      </c>
      <c r="C291" s="54" t="inlineStr">
        <is>
          <t>桐心源</t>
        </is>
      </c>
      <c r="D291" s="29" t="inlineStr">
        <is>
          <t>550农夫水</t>
        </is>
      </c>
      <c r="E291" s="29" t="n">
        <v>28</v>
      </c>
      <c r="F291" s="155" t="n">
        <v>20</v>
      </c>
      <c r="G291" s="155">
        <f>IF(AND(E291&lt;&gt;"",F291&lt;&gt;""),E291*F291,"")</f>
        <v>560</v>
      </c>
      <c r="H291" s="29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</row>
    <row r="292" ht="15" customFormat="1" customHeight="1" s="16">
      <c r="A292" s="54" t="n">
        <v>288</v>
      </c>
      <c r="B292" s="161" t="n">
        <v>46250</v>
      </c>
      <c r="C292" s="54" t="inlineStr">
        <is>
          <t>致发商行</t>
        </is>
      </c>
      <c r="D292" s="54" t="inlineStr">
        <is>
          <t>小果之茶</t>
        </is>
      </c>
      <c r="E292" s="54" t="n">
        <v>150</v>
      </c>
      <c r="F292" s="162" t="n">
        <v>47</v>
      </c>
      <c r="G292" s="162">
        <f>IF(AND(E292&lt;&gt;"",F292&lt;&gt;""),E292*F292,"")</f>
        <v>7050</v>
      </c>
      <c r="H292" s="5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</row>
    <row r="293" ht="15" customHeight="1" s="71">
      <c r="A293" s="14" t="n">
        <v>289</v>
      </c>
      <c r="B293" s="167" t="n">
        <v>46252</v>
      </c>
      <c r="C293" s="14" t="inlineStr">
        <is>
          <t>龙岗好又全超市</t>
        </is>
      </c>
      <c r="D293" s="14" t="inlineStr">
        <is>
          <t>555补水</t>
        </is>
      </c>
      <c r="E293" s="14" t="n">
        <v>100</v>
      </c>
      <c r="F293" s="156" t="n">
        <v>65</v>
      </c>
      <c r="G293" s="156">
        <f>IF(AND(E293&lt;&gt;"",F293&lt;&gt;""),E293*F293,"")</f>
        <v>6500</v>
      </c>
      <c r="H293" s="14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</row>
    <row r="294" ht="15" customHeight="1" s="71">
      <c r="A294" s="58" t="n">
        <v>290</v>
      </c>
      <c r="B294" s="167" t="n">
        <v>46252</v>
      </c>
      <c r="C294" s="14" t="inlineStr">
        <is>
          <t>龙岗好又全超市</t>
        </is>
      </c>
      <c r="D294" s="58" t="inlineStr">
        <is>
          <t>1L补水</t>
        </is>
      </c>
      <c r="E294" s="58" t="n">
        <v>100</v>
      </c>
      <c r="F294" s="166" t="n">
        <v>55</v>
      </c>
      <c r="G294" s="166">
        <f>IF(AND(E294&lt;&gt;"",F294&lt;&gt;""),E294*F294,"")</f>
        <v>5500</v>
      </c>
      <c r="H294" s="58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 ht="15" customFormat="1" customHeight="1" s="16">
      <c r="A295" s="29" t="n">
        <v>291</v>
      </c>
      <c r="B295" s="163" t="n">
        <v>46252</v>
      </c>
      <c r="C295" s="29" t="inlineStr">
        <is>
          <t>龙岗好又全超市</t>
        </is>
      </c>
      <c r="D295" s="29" t="inlineStr">
        <is>
          <t>330大咖</t>
        </is>
      </c>
      <c r="E295" s="29" t="n">
        <v>5</v>
      </c>
      <c r="F295" s="155" t="n">
        <v>90</v>
      </c>
      <c r="G295" s="162">
        <f>IF(AND(E295&lt;&gt;"",F295&lt;&gt;""),E295*F295,"")</f>
        <v>450</v>
      </c>
      <c r="H295" s="29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</row>
    <row r="296" ht="15" customFormat="1" customHeight="1" s="16">
      <c r="A296" s="54" t="n">
        <v>292</v>
      </c>
      <c r="B296" s="161" t="n">
        <v>46252</v>
      </c>
      <c r="C296" s="54" t="inlineStr">
        <is>
          <t>小梅商行</t>
        </is>
      </c>
      <c r="D296" s="54" t="inlineStr">
        <is>
          <t>大东鹏</t>
        </is>
      </c>
      <c r="E296" s="54" t="n">
        <v>100</v>
      </c>
      <c r="F296" s="162" t="n">
        <v>90</v>
      </c>
      <c r="G296" s="162">
        <f>IF(AND(E296&lt;&gt;"",F296&lt;&gt;""),E296*F296,"")</f>
        <v>9000</v>
      </c>
      <c r="H296" s="5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</row>
    <row r="297" ht="15" customHeight="1" s="71">
      <c r="A297" s="14" t="n">
        <v>293</v>
      </c>
      <c r="B297" s="167" t="n">
        <v>46252</v>
      </c>
      <c r="C297" s="14" t="inlineStr">
        <is>
          <t>火车站关新平</t>
        </is>
      </c>
      <c r="D297" s="14" t="inlineStr">
        <is>
          <t>大东鹏</t>
        </is>
      </c>
      <c r="E297" s="14" t="n">
        <v>20</v>
      </c>
      <c r="F297" s="156" t="n">
        <v>93</v>
      </c>
      <c r="G297" s="166">
        <f>IF(AND(E297&lt;&gt;"",F297&lt;&gt;""),E297*F297,"")</f>
        <v>1860</v>
      </c>
      <c r="H297" s="14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</row>
    <row r="298" ht="15" customFormat="1" customHeight="1" s="16">
      <c r="A298" s="54" t="n">
        <v>294</v>
      </c>
      <c r="B298" s="163" t="n">
        <v>46252</v>
      </c>
      <c r="C298" s="29" t="inlineStr">
        <is>
          <t>火车站关新平</t>
        </is>
      </c>
      <c r="D298" s="54" t="inlineStr">
        <is>
          <t>555补水</t>
        </is>
      </c>
      <c r="E298" s="54" t="n">
        <v>5</v>
      </c>
      <c r="F298" s="162" t="n">
        <v>68</v>
      </c>
      <c r="G298" s="162">
        <f>IF(AND(E298&lt;&gt;"",F298&lt;&gt;""),E298*F298,"")</f>
        <v>340</v>
      </c>
      <c r="H298" s="5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</row>
    <row r="299" ht="15" customHeight="1" s="71">
      <c r="A299" s="14" t="n">
        <v>295</v>
      </c>
      <c r="B299" s="167" t="n">
        <v>46254</v>
      </c>
      <c r="C299" s="27" t="inlineStr">
        <is>
          <t>标哥副食</t>
        </is>
      </c>
      <c r="D299" s="27" t="inlineStr">
        <is>
          <t>大东鹏</t>
        </is>
      </c>
      <c r="E299" s="27" t="n">
        <v>15.5</v>
      </c>
      <c r="F299" s="166" t="n">
        <v>93</v>
      </c>
      <c r="G299" s="166">
        <f>IF(AND(E299&lt;&gt;"",F299&lt;&gt;""),E299*F299,"")</f>
        <v>1441.5</v>
      </c>
      <c r="H299" s="2" t="n"/>
      <c r="I299" s="2" t="n"/>
      <c r="J299" s="2" t="n"/>
      <c r="K299" s="2" t="n"/>
      <c r="L299" s="2" t="n"/>
    </row>
    <row r="300" ht="15" customHeight="1" s="71">
      <c r="A300" s="58" t="n">
        <v>296</v>
      </c>
      <c r="B300" s="167" t="n">
        <v>46254</v>
      </c>
      <c r="C300" s="27" t="inlineStr">
        <is>
          <t>标哥副食</t>
        </is>
      </c>
      <c r="D300" s="27" t="inlineStr">
        <is>
          <t>555补水</t>
        </is>
      </c>
      <c r="E300" s="27" t="n">
        <v>2.5</v>
      </c>
      <c r="F300" s="166" t="n">
        <v>68</v>
      </c>
      <c r="G300" s="166">
        <f>IF(AND(E300&lt;&gt;"",F300&lt;&gt;""),E300*F300,"")</f>
        <v>170</v>
      </c>
      <c r="H300" s="2" t="n"/>
      <c r="I300" s="2" t="n"/>
      <c r="J300" s="2" t="n"/>
      <c r="K300" s="2" t="n"/>
      <c r="L300" s="2" t="n"/>
    </row>
    <row r="301" ht="15" customHeight="1" s="71">
      <c r="A301" s="14" t="n">
        <v>297</v>
      </c>
      <c r="B301" s="167" t="n">
        <v>46254</v>
      </c>
      <c r="C301" s="27" t="inlineStr">
        <is>
          <t>标哥副食</t>
        </is>
      </c>
      <c r="D301" s="27" t="inlineStr">
        <is>
          <t>1L果之茶</t>
        </is>
      </c>
      <c r="E301" s="27" t="n">
        <v>5</v>
      </c>
      <c r="F301" s="166" t="n">
        <v>46</v>
      </c>
      <c r="G301" s="166">
        <f>IF(AND(E301&lt;&gt;"",F301&lt;&gt;""),E301*F301,"")</f>
        <v>230</v>
      </c>
      <c r="H301" s="2" t="n"/>
      <c r="I301" s="2" t="n"/>
      <c r="J301" s="2" t="n"/>
      <c r="K301" s="2" t="n"/>
      <c r="L301" s="2" t="n"/>
    </row>
    <row r="302" ht="15" customHeight="1" s="71">
      <c r="A302" s="58" t="n">
        <v>298</v>
      </c>
      <c r="B302" s="167" t="n">
        <v>46254</v>
      </c>
      <c r="C302" s="27" t="inlineStr">
        <is>
          <t>标哥副食</t>
        </is>
      </c>
      <c r="D302" s="27" t="inlineStr">
        <is>
          <t>九制陈皮</t>
        </is>
      </c>
      <c r="E302" s="27" t="n">
        <v>2</v>
      </c>
      <c r="F302" s="166" t="n">
        <v>50</v>
      </c>
      <c r="G302" s="166">
        <f>IF(AND(E302&lt;&gt;"",F302&lt;&gt;""),E302*F302,"")</f>
        <v>100</v>
      </c>
      <c r="H302" s="2" t="n"/>
      <c r="I302" s="2" t="n"/>
      <c r="J302" s="2" t="n"/>
      <c r="K302" s="2" t="n"/>
      <c r="L302" s="2" t="n"/>
    </row>
    <row r="303" ht="15" customHeight="1" s="71">
      <c r="A303" s="14" t="n">
        <v>299</v>
      </c>
      <c r="B303" s="167" t="n">
        <v>46254</v>
      </c>
      <c r="C303" s="27" t="inlineStr">
        <is>
          <t>标哥副食</t>
        </is>
      </c>
      <c r="D303" s="27" t="inlineStr">
        <is>
          <t>大咖</t>
        </is>
      </c>
      <c r="E303" s="27" t="n">
        <v>1</v>
      </c>
      <c r="F303" s="166" t="n">
        <v>86</v>
      </c>
      <c r="G303" s="166">
        <f>IF(AND(E303&lt;&gt;"",F303&lt;&gt;""),E303*F303,"")</f>
        <v>86</v>
      </c>
      <c r="H303" s="2" t="n"/>
      <c r="I303" s="2" t="n"/>
      <c r="J303" s="2" t="n"/>
      <c r="K303" s="2" t="n"/>
      <c r="L303" s="2" t="n"/>
    </row>
    <row r="304" ht="15" customHeight="1" s="71">
      <c r="A304" s="58" t="n">
        <v>300</v>
      </c>
      <c r="B304" s="167" t="n">
        <v>46254</v>
      </c>
      <c r="C304" s="27" t="inlineStr">
        <is>
          <t>标哥副食</t>
        </is>
      </c>
      <c r="D304" s="27" t="inlineStr">
        <is>
          <t>1L焙好茶</t>
        </is>
      </c>
      <c r="E304" s="27" t="n">
        <v>1</v>
      </c>
      <c r="F304" s="166" t="n">
        <v>46</v>
      </c>
      <c r="G304" s="166">
        <f>IF(AND(E304&lt;&gt;"",F304&lt;&gt;""),E304*F304,"")</f>
        <v>46</v>
      </c>
      <c r="H304" s="2" t="n"/>
      <c r="I304" s="2" t="n"/>
      <c r="J304" s="2" t="n"/>
      <c r="K304" s="2" t="n"/>
      <c r="L304" s="2" t="n"/>
    </row>
    <row r="305" ht="16.5" customHeight="1" s="71">
      <c r="A305" s="58" t="n">
        <v>301</v>
      </c>
      <c r="B305" s="167" t="n">
        <v>46254</v>
      </c>
      <c r="C305" s="27" t="inlineStr">
        <is>
          <t>标哥副食</t>
        </is>
      </c>
      <c r="D305" s="27" t="inlineStr">
        <is>
          <t>555椰子水</t>
        </is>
      </c>
      <c r="E305" s="27" t="n">
        <v>1</v>
      </c>
      <c r="F305" s="166" t="n">
        <v>93</v>
      </c>
      <c r="G305" s="166">
        <f>IF(AND(E305&lt;&gt;"",F305&lt;&gt;""),E305*F305,"")</f>
        <v>93</v>
      </c>
    </row>
    <row r="306" ht="16.5" customHeight="1" s="71">
      <c r="A306" s="58" t="n">
        <v>302</v>
      </c>
      <c r="B306" s="167" t="n">
        <v>46254</v>
      </c>
      <c r="C306" s="27" t="inlineStr">
        <is>
          <t>标哥副食</t>
        </is>
      </c>
      <c r="D306" s="27" t="inlineStr">
        <is>
          <t>1L补水</t>
        </is>
      </c>
      <c r="E306" s="27" t="n">
        <v>1</v>
      </c>
      <c r="F306" s="166" t="n">
        <v>58</v>
      </c>
      <c r="G306" s="166">
        <f>IF(AND(E306&lt;&gt;"",F306&lt;&gt;""),E306*F306,"")</f>
        <v>58</v>
      </c>
    </row>
    <row r="307" ht="16.5" customHeight="1" s="71">
      <c r="A307" s="58" t="n">
        <v>303</v>
      </c>
      <c r="B307" s="167" t="n">
        <v>46254</v>
      </c>
      <c r="C307" s="27" t="inlineStr">
        <is>
          <t>标哥副食</t>
        </is>
      </c>
      <c r="D307" s="27" t="inlineStr">
        <is>
          <t>330海岛椰</t>
        </is>
      </c>
      <c r="E307" s="27" t="n">
        <v>5</v>
      </c>
      <c r="F307" s="166" t="n">
        <v>36</v>
      </c>
      <c r="G307" s="166">
        <f>IF(AND(E307&lt;&gt;"",F307&lt;&gt;""),E307*F307,"")</f>
        <v>180</v>
      </c>
    </row>
    <row r="308" ht="16.5" customHeight="1" s="71">
      <c r="A308" s="58" t="n">
        <v>304</v>
      </c>
      <c r="B308" s="167" t="n">
        <v>46254</v>
      </c>
      <c r="C308" s="27" t="inlineStr">
        <is>
          <t>标哥副食</t>
        </is>
      </c>
      <c r="D308" s="27" t="inlineStr">
        <is>
          <t>港式奶茶</t>
        </is>
      </c>
      <c r="E308" s="27" t="n">
        <v>1</v>
      </c>
      <c r="F308" s="166" t="n">
        <v>72</v>
      </c>
      <c r="G308" s="166">
        <f>IF(AND(E308&lt;&gt;"",F308&lt;&gt;""),E308*F308,"")</f>
        <v>72</v>
      </c>
    </row>
    <row r="309" ht="16.5" customFormat="1" customHeight="1" s="16">
      <c r="A309" s="54" t="n">
        <v>305</v>
      </c>
      <c r="B309" s="163" t="n">
        <v>46254</v>
      </c>
      <c r="C309" s="30" t="inlineStr">
        <is>
          <t>标哥副食</t>
        </is>
      </c>
      <c r="D309" s="30" t="inlineStr">
        <is>
          <t>小果之茶</t>
        </is>
      </c>
      <c r="E309" s="30" t="n">
        <v>1</v>
      </c>
      <c r="F309" s="162" t="n">
        <v>50</v>
      </c>
      <c r="G309" s="162">
        <f>IF(AND(E309&lt;&gt;"",F309&lt;&gt;""),E309*F309,"")</f>
        <v>50</v>
      </c>
      <c r="H309" s="16" t="inlineStr">
        <is>
          <t>存条已清</t>
        </is>
      </c>
    </row>
    <row r="310" ht="16.5" customFormat="1" customHeight="1" s="16">
      <c r="A310" s="54" t="n">
        <v>306</v>
      </c>
      <c r="B310" s="163" t="n">
        <v>46254</v>
      </c>
      <c r="C310" s="60" t="inlineStr">
        <is>
          <t>南区长裕商行</t>
        </is>
      </c>
      <c r="D310" s="30" t="inlineStr">
        <is>
          <t>大东鹏</t>
        </is>
      </c>
      <c r="E310" s="60" t="n">
        <v>10</v>
      </c>
      <c r="F310" s="162" t="n">
        <v>93</v>
      </c>
      <c r="G310" s="162">
        <f>IF(AND(E310&lt;&gt;"",F310&lt;&gt;""),E310*F310,"")</f>
        <v>930</v>
      </c>
      <c r="H310" s="16" t="inlineStr">
        <is>
          <t>存条已清</t>
        </is>
      </c>
    </row>
    <row r="311" ht="16.5" customFormat="1" customHeight="1" s="16">
      <c r="A311" s="54" t="n">
        <v>307</v>
      </c>
      <c r="B311" s="163" t="n">
        <v>46254</v>
      </c>
      <c r="C311" s="60" t="inlineStr">
        <is>
          <t>福旺家优购</t>
        </is>
      </c>
      <c r="D311" s="30" t="inlineStr">
        <is>
          <t>大东鹏</t>
        </is>
      </c>
      <c r="E311" s="60" t="n">
        <v>30</v>
      </c>
      <c r="F311" s="162" t="n">
        <v>93</v>
      </c>
      <c r="G311" s="162">
        <f>IF(AND(E311&lt;&gt;"",F311&lt;&gt;""),E311*F311,"")</f>
        <v>2790</v>
      </c>
    </row>
    <row r="312" ht="16.5" customFormat="1" customHeight="1" s="16">
      <c r="A312" s="54" t="n">
        <v>308</v>
      </c>
      <c r="B312" s="163" t="n">
        <v>46254</v>
      </c>
      <c r="C312" s="60" t="inlineStr">
        <is>
          <t>王玉琴</t>
        </is>
      </c>
      <c r="D312" s="60" t="inlineStr">
        <is>
          <t>大东鹏</t>
        </is>
      </c>
      <c r="E312" s="60" t="n">
        <v>100</v>
      </c>
      <c r="F312" s="162" t="n">
        <v>90</v>
      </c>
      <c r="G312" s="162">
        <f>IF(AND(E312&lt;&gt;"",F312&lt;&gt;""),E312*F312,"")</f>
        <v>9000</v>
      </c>
    </row>
    <row r="313" ht="16.5" customFormat="1" customHeight="1" s="16">
      <c r="A313" s="54" t="n">
        <v>309</v>
      </c>
      <c r="B313" s="163" t="n">
        <v>46254</v>
      </c>
      <c r="C313" s="60" t="inlineStr">
        <is>
          <t>兴发商行</t>
        </is>
      </c>
      <c r="D313" s="60" t="inlineStr">
        <is>
          <t>555补水</t>
        </is>
      </c>
      <c r="E313" s="60" t="n">
        <v>13</v>
      </c>
      <c r="F313" s="162" t="n">
        <v>65</v>
      </c>
      <c r="G313" s="162">
        <f>IF(AND(E313&lt;&gt;"",F313&lt;&gt;""),E313*F313,"")</f>
        <v>845</v>
      </c>
      <c r="H313" s="16" t="inlineStr">
        <is>
          <t>8月13日存条已清</t>
        </is>
      </c>
    </row>
    <row r="314" ht="16.5" customFormat="1" customHeight="1" s="16">
      <c r="A314" s="54" t="n">
        <v>310</v>
      </c>
      <c r="B314" s="163" t="n">
        <v>46254</v>
      </c>
      <c r="C314" s="60" t="inlineStr">
        <is>
          <t>致发商行</t>
        </is>
      </c>
      <c r="D314" s="60" t="inlineStr">
        <is>
          <t>大东鹏</t>
        </is>
      </c>
      <c r="E314" s="60" t="n">
        <v>500</v>
      </c>
      <c r="F314" s="162" t="n">
        <v>90</v>
      </c>
      <c r="G314" s="162">
        <f>IF(AND(E314&lt;&gt;"",F314&lt;&gt;""),E314*F314,"")</f>
        <v>45000</v>
      </c>
    </row>
    <row r="315" ht="16.5" customHeight="1" s="71">
      <c r="A315" s="58" t="n">
        <v>311</v>
      </c>
      <c r="B315" s="167" t="n">
        <v>46254</v>
      </c>
      <c r="C315" s="35" t="inlineStr">
        <is>
          <t>吕维春</t>
        </is>
      </c>
      <c r="D315" s="35" t="inlineStr">
        <is>
          <t>大东鹏</t>
        </is>
      </c>
      <c r="E315" s="35" t="n">
        <v>50</v>
      </c>
      <c r="F315" s="166" t="n">
        <v>90</v>
      </c>
      <c r="G315" s="166">
        <f>IF(AND(E315&lt;&gt;"",F315&lt;&gt;""),E315*F315,"")</f>
        <v>4500</v>
      </c>
    </row>
    <row r="316" ht="16.5" customHeight="1" s="71">
      <c r="A316" s="58" t="n">
        <v>312</v>
      </c>
      <c r="B316" s="167" t="n">
        <v>46254</v>
      </c>
      <c r="C316" s="35" t="inlineStr">
        <is>
          <t>崇贤三角超市</t>
        </is>
      </c>
      <c r="D316" s="35" t="inlineStr">
        <is>
          <t>大东鹏</t>
        </is>
      </c>
      <c r="E316" s="35" t="n">
        <v>25</v>
      </c>
      <c r="F316" s="166" t="n">
        <v>93</v>
      </c>
      <c r="G316" s="166">
        <f>IF(AND(E316&lt;&gt;"",F316&lt;&gt;""),E316*F316,"")</f>
        <v>2325</v>
      </c>
      <c r="H316" s="0" t="inlineStr">
        <is>
          <t>7.12存条已清</t>
        </is>
      </c>
    </row>
    <row r="317" ht="16.5" customFormat="1" customHeight="1" s="16">
      <c r="A317" s="54" t="n">
        <v>313</v>
      </c>
      <c r="B317" s="163" t="n">
        <v>46254</v>
      </c>
      <c r="C317" s="60" t="inlineStr">
        <is>
          <t>崇贤三角超市</t>
        </is>
      </c>
      <c r="D317" s="60" t="inlineStr">
        <is>
          <t>555补水</t>
        </is>
      </c>
      <c r="E317" s="60" t="n">
        <v>5</v>
      </c>
      <c r="F317" s="162" t="n">
        <v>68</v>
      </c>
      <c r="G317" s="162">
        <f>IF(AND(E317&lt;&gt;"",F317&lt;&gt;""),E317*F317,"")</f>
        <v>340</v>
      </c>
    </row>
    <row r="318" ht="16.5" customHeight="1" s="71">
      <c r="A318" s="58" t="n">
        <v>314</v>
      </c>
      <c r="B318" s="167" t="n">
        <v>46254</v>
      </c>
      <c r="C318" s="27" t="inlineStr">
        <is>
          <t>高兴四季春副食</t>
        </is>
      </c>
      <c r="D318" s="35" t="inlineStr">
        <is>
          <t>大东鹏</t>
        </is>
      </c>
      <c r="E318" s="35" t="n">
        <v>16</v>
      </c>
      <c r="F318" s="166" t="n">
        <v>1488</v>
      </c>
      <c r="G318" s="166">
        <f>IF(AND(E318&lt;&gt;"",F318&lt;&gt;""),E318*F318,"")</f>
        <v>23808</v>
      </c>
    </row>
    <row r="319" ht="16.5" customHeight="1" s="71">
      <c r="A319" s="58" t="n">
        <v>315</v>
      </c>
      <c r="B319" s="167" t="n">
        <v>46254</v>
      </c>
      <c r="C319" s="14" t="inlineStr">
        <is>
          <t>崇贤粤客隆</t>
        </is>
      </c>
      <c r="D319" s="35" t="inlineStr">
        <is>
          <t>大东鹏</t>
        </is>
      </c>
      <c r="E319" s="35" t="n">
        <v>25</v>
      </c>
      <c r="F319" s="166" t="n">
        <v>93</v>
      </c>
      <c r="G319" s="166">
        <f>IF(AND(E319&lt;&gt;"",F319&lt;&gt;""),E319*F319,"")</f>
        <v>2325</v>
      </c>
      <c r="H319" s="0" t="inlineStr">
        <is>
          <t>7-7存条已清</t>
        </is>
      </c>
    </row>
    <row r="320" ht="16.5" customHeight="1" s="71">
      <c r="A320" s="58" t="n">
        <v>316</v>
      </c>
      <c r="B320" s="167" t="n">
        <v>46254</v>
      </c>
      <c r="C320" s="14" t="inlineStr">
        <is>
          <t>高兴枫树平价超市</t>
        </is>
      </c>
      <c r="D320" s="35" t="inlineStr">
        <is>
          <t>小果之茶</t>
        </is>
      </c>
      <c r="E320" s="35" t="n">
        <v>3</v>
      </c>
      <c r="F320" s="166" t="n">
        <v>50</v>
      </c>
      <c r="G320" s="166">
        <f>IF(AND(E320&lt;&gt;"",F320&lt;&gt;""),E320*F320,"")</f>
        <v>150</v>
      </c>
    </row>
    <row r="321" ht="16.5" customHeight="1" s="71">
      <c r="A321" s="58" t="n">
        <v>317</v>
      </c>
      <c r="B321" s="167" t="n">
        <v>46254</v>
      </c>
      <c r="C321" s="14" t="inlineStr">
        <is>
          <t>高兴枫树平价超市</t>
        </is>
      </c>
      <c r="D321" s="35" t="inlineStr">
        <is>
          <t>1L果之茶</t>
        </is>
      </c>
      <c r="E321" s="35" t="n">
        <v>3</v>
      </c>
      <c r="F321" s="166" t="n">
        <v>46</v>
      </c>
      <c r="G321" s="166">
        <f>IF(AND(E321&lt;&gt;"",F321&lt;&gt;""),E321*F321,"")</f>
        <v>138</v>
      </c>
    </row>
    <row r="322" ht="16.5" customFormat="1" customHeight="1" s="16">
      <c r="A322" s="54" t="n">
        <v>318</v>
      </c>
      <c r="B322" s="163" t="n">
        <v>46254</v>
      </c>
      <c r="C322" s="29" t="inlineStr">
        <is>
          <t>高兴枫树平价超市</t>
        </is>
      </c>
      <c r="D322" s="60" t="inlineStr">
        <is>
          <t>1L焙好茶</t>
        </is>
      </c>
      <c r="E322" s="60" t="n">
        <v>1</v>
      </c>
      <c r="F322" s="162" t="n">
        <v>46</v>
      </c>
      <c r="G322" s="162">
        <f>IF(AND(E322&lt;&gt;"",F322&lt;&gt;""),E322*F322,"")</f>
        <v>46</v>
      </c>
    </row>
    <row r="323" ht="16.5" customFormat="1" customHeight="1" s="16">
      <c r="A323" s="54" t="n">
        <v>319</v>
      </c>
      <c r="B323" s="163" t="n">
        <v>46254</v>
      </c>
      <c r="C323" s="29" t="inlineStr">
        <is>
          <t>星海超市</t>
        </is>
      </c>
      <c r="D323" s="60" t="inlineStr">
        <is>
          <t>大东鹏</t>
        </is>
      </c>
      <c r="E323" s="60" t="n">
        <v>100</v>
      </c>
      <c r="F323" s="162" t="n">
        <v>90</v>
      </c>
      <c r="G323" s="162">
        <f>IF(AND(E323&lt;&gt;"",F323&lt;&gt;""),E323*F323,"")</f>
        <v>9000</v>
      </c>
    </row>
    <row r="324" ht="16.5" customHeight="1" s="71">
      <c r="A324" s="58" t="n">
        <v>320</v>
      </c>
      <c r="B324" s="167" t="n">
        <v>46255</v>
      </c>
      <c r="C324" s="35" t="inlineStr">
        <is>
          <t>桐心源</t>
        </is>
      </c>
      <c r="D324" s="35" t="inlineStr">
        <is>
          <t>1L果之茶</t>
        </is>
      </c>
      <c r="E324" s="35" t="n">
        <v>100</v>
      </c>
      <c r="F324" s="166" t="n">
        <v>43</v>
      </c>
      <c r="G324" s="166">
        <f>IF(AND(E324&lt;&gt;"",F324&lt;&gt;""),E324*F324,"")</f>
        <v>4300</v>
      </c>
    </row>
    <row r="325" ht="16.5" customHeight="1" s="71">
      <c r="A325" s="58" t="n">
        <v>321</v>
      </c>
      <c r="B325" s="167" t="n">
        <v>46255</v>
      </c>
      <c r="C325" s="35" t="inlineStr">
        <is>
          <t>小梅商行</t>
        </is>
      </c>
      <c r="D325" s="35" t="inlineStr">
        <is>
          <t>大东鹏</t>
        </is>
      </c>
      <c r="E325" s="35" t="n">
        <v>350</v>
      </c>
      <c r="F325" s="166" t="n">
        <v>90</v>
      </c>
      <c r="G325" s="166">
        <f>IF(AND(E325&lt;&gt;"",F325&lt;&gt;""),E325*F325,"")</f>
        <v>31500</v>
      </c>
    </row>
    <row r="326" ht="16.5" customHeight="1" s="71">
      <c r="A326" s="58" t="n">
        <v>322</v>
      </c>
      <c r="B326" s="167" t="n">
        <v>46255</v>
      </c>
      <c r="C326" s="35" t="inlineStr">
        <is>
          <t>李记副食</t>
        </is>
      </c>
      <c r="D326" s="35" t="inlineStr">
        <is>
          <t>555补水</t>
        </is>
      </c>
      <c r="E326" s="35" t="n">
        <v>5</v>
      </c>
      <c r="F326" s="166" t="n">
        <v>65</v>
      </c>
      <c r="G326" s="166">
        <f>IF(AND(E326&lt;&gt;"",F326&lt;&gt;""),E326*F326,"")</f>
        <v>325</v>
      </c>
    </row>
    <row r="327" ht="16.5" customHeight="1" s="71">
      <c r="A327" s="58" t="n">
        <v>323</v>
      </c>
      <c r="B327" s="167" t="n">
        <v>46255</v>
      </c>
      <c r="C327" s="35" t="inlineStr">
        <is>
          <t>宜兴粮油</t>
        </is>
      </c>
      <c r="D327" s="35" t="inlineStr">
        <is>
          <t>大东鹏</t>
        </is>
      </c>
      <c r="E327" s="35" t="n">
        <v>100</v>
      </c>
      <c r="F327" s="166" t="n">
        <v>90</v>
      </c>
      <c r="G327" s="166">
        <f>IF(AND(E327&lt;&gt;"",F327&lt;&gt;""),E327*F327,"")</f>
        <v>9000</v>
      </c>
    </row>
    <row r="328" ht="16.5" customHeight="1" s="71">
      <c r="A328" s="58" t="n">
        <v>324</v>
      </c>
      <c r="B328" s="167" t="n">
        <v>46255</v>
      </c>
      <c r="C328" s="35" t="inlineStr">
        <is>
          <t>洪门C区李记商行</t>
        </is>
      </c>
      <c r="D328" s="35" t="inlineStr">
        <is>
          <t>大东鹏</t>
        </is>
      </c>
      <c r="E328" s="35" t="n">
        <v>10</v>
      </c>
      <c r="F328" s="166" t="n">
        <v>90</v>
      </c>
      <c r="G328" s="166">
        <f>IF(AND(E328&lt;&gt;"",F328&lt;&gt;""),E328*F328,"")</f>
        <v>900</v>
      </c>
    </row>
    <row r="329" ht="16.5" customHeight="1" s="71">
      <c r="A329" s="58" t="n">
        <v>325</v>
      </c>
      <c r="B329" s="167" t="n">
        <v>46256</v>
      </c>
      <c r="C329" s="35" t="inlineStr">
        <is>
          <t>星海超市</t>
        </is>
      </c>
      <c r="D329" s="35" t="inlineStr">
        <is>
          <t>大东鹏</t>
        </is>
      </c>
      <c r="E329" s="35" t="n">
        <v>200</v>
      </c>
      <c r="F329" s="166" t="n">
        <v>90</v>
      </c>
      <c r="G329" s="166">
        <f>IF(AND(E329&lt;&gt;"",F329&lt;&gt;""),E329*F329,"")</f>
        <v>18000</v>
      </c>
    </row>
    <row r="330" ht="16.5" customHeight="1" s="71">
      <c r="A330" s="58" t="n">
        <v>326</v>
      </c>
      <c r="B330" s="167" t="n">
        <v>46256</v>
      </c>
      <c r="C330" s="35" t="inlineStr">
        <is>
          <t>隆坪美林副食</t>
        </is>
      </c>
      <c r="D330" s="35" t="inlineStr">
        <is>
          <t>大东鹏</t>
        </is>
      </c>
      <c r="E330" s="35" t="n">
        <v>5</v>
      </c>
      <c r="F330" s="166" t="n">
        <v>93</v>
      </c>
      <c r="G330" s="166">
        <f>IF(AND(E330&lt;&gt;"",F330&lt;&gt;""),E330*F330,"")</f>
        <v>465</v>
      </c>
    </row>
    <row r="331" ht="16.5" customHeight="1" s="71">
      <c r="A331" s="58" t="n">
        <v>327</v>
      </c>
      <c r="B331" s="167" t="n">
        <v>46256</v>
      </c>
      <c r="C331" s="35" t="inlineStr">
        <is>
          <t>隆坪美林副食</t>
        </is>
      </c>
      <c r="D331" s="35" t="inlineStr">
        <is>
          <t>小果之茶</t>
        </is>
      </c>
      <c r="E331" s="35" t="n">
        <v>10</v>
      </c>
      <c r="F331" s="166" t="n">
        <v>50</v>
      </c>
      <c r="G331" s="166">
        <f>IF(AND(E331&lt;&gt;"",F331&lt;&gt;""),E331*F331,"")</f>
        <v>500</v>
      </c>
    </row>
    <row r="332" ht="16.5" customHeight="1" s="71">
      <c r="A332" s="58" t="n">
        <v>328</v>
      </c>
      <c r="B332" s="167" t="n">
        <v>46256</v>
      </c>
      <c r="C332" s="35" t="inlineStr">
        <is>
          <t>隆坪美林副食</t>
        </is>
      </c>
      <c r="D332" s="35" t="inlineStr">
        <is>
          <t>1L果之茶</t>
        </is>
      </c>
      <c r="E332" s="35" t="n">
        <v>4</v>
      </c>
      <c r="F332" s="166" t="n">
        <v>46</v>
      </c>
      <c r="G332" s="166">
        <f>IF(AND(E332&lt;&gt;"",F332&lt;&gt;""),E332*F332,"")</f>
        <v>184</v>
      </c>
    </row>
    <row r="333" ht="16.5" customHeight="1" s="71">
      <c r="A333" s="58" t="n">
        <v>329</v>
      </c>
      <c r="B333" s="167" t="n">
        <v>46255</v>
      </c>
      <c r="C333" s="35" t="inlineStr">
        <is>
          <t>枫边德华超市</t>
        </is>
      </c>
      <c r="D333" s="35" t="inlineStr">
        <is>
          <t>小果之茶</t>
        </is>
      </c>
      <c r="E333" s="35" t="n">
        <v>20</v>
      </c>
      <c r="F333" s="166" t="n">
        <v>47</v>
      </c>
      <c r="G333" s="166">
        <f>IF(AND(E333&lt;&gt;"",F333&lt;&gt;""),E333*F333,"")</f>
        <v>940</v>
      </c>
    </row>
    <row r="334" ht="16.5" customHeight="1" s="71">
      <c r="A334" s="58" t="n">
        <v>330</v>
      </c>
      <c r="B334" s="167" t="n">
        <v>46255</v>
      </c>
      <c r="C334" s="35" t="inlineStr">
        <is>
          <t>枫边德华超市</t>
        </is>
      </c>
      <c r="D334" s="35" t="inlineStr">
        <is>
          <t>1L果之茶</t>
        </is>
      </c>
      <c r="E334" s="35" t="n">
        <v>80</v>
      </c>
      <c r="F334" s="166" t="n">
        <v>43</v>
      </c>
      <c r="G334" s="166">
        <f>IF(AND(E334&lt;&gt;"",F334&lt;&gt;""),E334*F334,"")</f>
        <v>3440</v>
      </c>
    </row>
    <row r="335" ht="16.5" customHeight="1" s="71">
      <c r="A335" s="58" t="n">
        <v>331</v>
      </c>
      <c r="B335" s="167" t="n">
        <v>46255</v>
      </c>
      <c r="C335" s="35" t="inlineStr">
        <is>
          <t>枫边德华超市</t>
        </is>
      </c>
      <c r="D335" s="35" t="inlineStr">
        <is>
          <t>港式奶茶</t>
        </is>
      </c>
      <c r="E335" s="35" t="n">
        <v>80</v>
      </c>
      <c r="F335" s="166" t="n">
        <v>69</v>
      </c>
      <c r="G335" s="166">
        <f>IF(AND(E335&lt;&gt;"",F335&lt;&gt;""),E335*F335,"")</f>
        <v>5520</v>
      </c>
    </row>
    <row r="336" ht="16.5" customFormat="1" customHeight="1" s="16">
      <c r="A336" s="54" t="n">
        <v>332</v>
      </c>
      <c r="B336" s="163" t="n">
        <v>46255</v>
      </c>
      <c r="C336" s="60" t="inlineStr">
        <is>
          <t>枫边德华超市</t>
        </is>
      </c>
      <c r="D336" s="60" t="inlineStr">
        <is>
          <t>大咖</t>
        </is>
      </c>
      <c r="E336" s="60" t="n">
        <v>80</v>
      </c>
      <c r="F336" s="162" t="n">
        <v>83</v>
      </c>
      <c r="G336" s="162">
        <f>IF(AND(E336&lt;&gt;"",F336&lt;&gt;""),E336*F336,"")</f>
        <v>6640</v>
      </c>
    </row>
    <row r="337" ht="16.5" customHeight="1" s="71">
      <c r="A337" s="58" t="n">
        <v>333</v>
      </c>
      <c r="B337" s="168" t="n">
        <v>46256</v>
      </c>
      <c r="C337" s="35" t="inlineStr">
        <is>
          <t>阿东副食</t>
        </is>
      </c>
      <c r="D337" s="35" t="inlineStr">
        <is>
          <t>1L果之茶</t>
        </is>
      </c>
      <c r="E337" s="35" t="n">
        <v>50</v>
      </c>
      <c r="F337" s="166" t="n">
        <v>43</v>
      </c>
      <c r="G337" s="166">
        <f>IF(AND(E337&lt;&gt;"",F337&lt;&gt;""),E337*F337,"")</f>
        <v>2150</v>
      </c>
    </row>
    <row r="338" ht="16.5" customHeight="1" s="71">
      <c r="A338" s="58" t="n">
        <v>334</v>
      </c>
      <c r="B338" s="168" t="n">
        <v>46256</v>
      </c>
      <c r="C338" s="35" t="inlineStr">
        <is>
          <t>阿东副食</t>
        </is>
      </c>
      <c r="D338" s="35" t="inlineStr">
        <is>
          <t>小果之茶</t>
        </is>
      </c>
      <c r="E338" s="35" t="n">
        <v>200</v>
      </c>
      <c r="F338" s="166" t="n">
        <v>47</v>
      </c>
      <c r="G338" s="166">
        <f>IF(AND(E338&lt;&gt;"",F338&lt;&gt;""),E338*F338,"")</f>
        <v>9400</v>
      </c>
    </row>
    <row r="339" ht="16.5" customHeight="1" s="71">
      <c r="A339" s="58" t="n">
        <v>335</v>
      </c>
      <c r="B339" s="168" t="n">
        <v>46256</v>
      </c>
      <c r="C339" s="35" t="inlineStr">
        <is>
          <t>阿东副食</t>
        </is>
      </c>
      <c r="D339" s="35" t="inlineStr">
        <is>
          <t>555椰子水</t>
        </is>
      </c>
      <c r="E339" s="35" t="n">
        <v>10</v>
      </c>
      <c r="F339" s="166" t="n">
        <v>90</v>
      </c>
      <c r="G339" s="166">
        <f>IF(AND(E339&lt;&gt;"",F339&lt;&gt;""),E339*F339,"")</f>
        <v>900</v>
      </c>
    </row>
    <row r="340" ht="16.5" customHeight="1" s="71">
      <c r="B340" s="168" t="n">
        <v>46257</v>
      </c>
      <c r="C340" s="35" t="inlineStr">
        <is>
          <t>阿东副食</t>
        </is>
      </c>
      <c r="D340" s="35" t="inlineStr">
        <is>
          <t>1L焙好茶</t>
        </is>
      </c>
      <c r="E340" s="35" t="n">
        <v>20</v>
      </c>
      <c r="F340" s="166" t="n">
        <v>43</v>
      </c>
      <c r="G340" s="166">
        <f>IF(AND(E340&lt;&gt;"",F340&lt;&gt;""),E340*F340,"")</f>
        <v>860</v>
      </c>
    </row>
    <row r="341" ht="16.5" customHeight="1" s="71">
      <c r="B341" s="168" t="n">
        <v>46258</v>
      </c>
      <c r="C341" s="35" t="inlineStr">
        <is>
          <t>王玉琴</t>
        </is>
      </c>
      <c r="D341" s="35" t="inlineStr">
        <is>
          <t>555补水</t>
        </is>
      </c>
      <c r="E341" s="35" t="n">
        <v>17.5</v>
      </c>
      <c r="F341" s="166" t="n">
        <v>65</v>
      </c>
      <c r="G341" s="166">
        <f>IF(AND(E341&lt;&gt;"",F341&lt;&gt;""),E341*F341,"")</f>
        <v>1137.5</v>
      </c>
    </row>
    <row r="342" ht="16.5" customHeight="1" s="71">
      <c r="B342" s="168" t="n">
        <v>46258</v>
      </c>
      <c r="C342" s="35" t="inlineStr">
        <is>
          <t>阿东副食</t>
        </is>
      </c>
      <c r="D342" s="35" t="inlineStr">
        <is>
          <t>大咖</t>
        </is>
      </c>
      <c r="E342" s="35" t="n">
        <v>50</v>
      </c>
      <c r="F342" s="166" t="n">
        <v>83</v>
      </c>
      <c r="G342" s="166">
        <f>IF(AND(E342&lt;&gt;"",F342&lt;&gt;""),E342*F342,"")</f>
        <v>4150</v>
      </c>
    </row>
    <row r="343" ht="16.5" customFormat="1" customHeight="1" s="16">
      <c r="B343" s="163" t="n">
        <v>46258</v>
      </c>
      <c r="C343" s="60" t="inlineStr">
        <is>
          <t>阿东副食</t>
        </is>
      </c>
      <c r="D343" s="60" t="inlineStr">
        <is>
          <t>1L补水</t>
        </is>
      </c>
      <c r="E343" s="60" t="n">
        <v>30</v>
      </c>
      <c r="F343" s="162" t="n">
        <v>69</v>
      </c>
      <c r="G343" s="162">
        <f>IF(AND(E343&lt;&gt;"",F343&lt;&gt;""),E343*F343,"")</f>
        <v>2070</v>
      </c>
    </row>
    <row r="344" ht="16.5" customHeight="1" s="71">
      <c r="B344" s="168" t="n">
        <v>46260</v>
      </c>
      <c r="C344" s="35" t="inlineStr">
        <is>
          <t>桐心源</t>
        </is>
      </c>
      <c r="D344" s="35" t="inlineStr">
        <is>
          <t>大东鹏</t>
        </is>
      </c>
      <c r="E344" s="35" t="n">
        <v>1000</v>
      </c>
      <c r="F344" s="166" t="n">
        <v>90</v>
      </c>
      <c r="G344" s="166">
        <f>IF(AND(E344&lt;&gt;"",F344&lt;&gt;""),E344*F344,"")</f>
        <v>90000</v>
      </c>
    </row>
    <row r="345" ht="16.5" customHeight="1" s="71">
      <c r="B345" s="168" t="n">
        <v>46260</v>
      </c>
      <c r="C345" s="35" t="inlineStr">
        <is>
          <t>高兴四季春副食</t>
        </is>
      </c>
      <c r="D345" s="35" t="inlineStr">
        <is>
          <t>小果之茶</t>
        </is>
      </c>
      <c r="E345" s="35" t="n">
        <v>4</v>
      </c>
      <c r="F345" s="166" t="n">
        <v>50</v>
      </c>
      <c r="G345" s="166">
        <f>IF(AND(E345&lt;&gt;"",F345&lt;&gt;""),E345*F345,"")</f>
        <v>200</v>
      </c>
    </row>
    <row r="346" ht="16.5" customHeight="1" s="71">
      <c r="B346" s="168" t="n">
        <v>46260</v>
      </c>
      <c r="C346" s="35" t="inlineStr">
        <is>
          <t>高兴四季春副食</t>
        </is>
      </c>
      <c r="D346" s="35" t="inlineStr">
        <is>
          <t>大咖</t>
        </is>
      </c>
      <c r="E346" s="35" t="n">
        <v>2</v>
      </c>
      <c r="F346" s="166" t="n">
        <v>86</v>
      </c>
      <c r="G346" s="166">
        <f>IF(AND(E346&lt;&gt;"",F346&lt;&gt;""),E346*F346,"")</f>
        <v>172</v>
      </c>
      <c r="H346" s="0" t="inlineStr">
        <is>
          <t>8-26存条清完</t>
        </is>
      </c>
    </row>
    <row r="347" ht="16.5" customHeight="1" s="71">
      <c r="B347" s="168" t="n">
        <v>46260</v>
      </c>
      <c r="C347" s="35" t="inlineStr">
        <is>
          <t>洪门兴诚超市</t>
        </is>
      </c>
      <c r="D347" s="35" t="inlineStr">
        <is>
          <t>555补水</t>
        </is>
      </c>
      <c r="E347" s="35" t="n">
        <v>17.5</v>
      </c>
      <c r="F347" s="166" t="n">
        <v>65</v>
      </c>
      <c r="G347" s="166">
        <f>IF(AND(E347&lt;&gt;"",F347&lt;&gt;""),E347*F347,"")</f>
        <v>1137.5</v>
      </c>
    </row>
    <row r="348" ht="16.5" customFormat="1" customHeight="1" s="16">
      <c r="B348" s="163" t="n">
        <v>46260</v>
      </c>
      <c r="C348" s="60" t="inlineStr">
        <is>
          <t>洪门兴诚超市</t>
        </is>
      </c>
      <c r="D348" s="60" t="inlineStr">
        <is>
          <t>大东鹏</t>
        </is>
      </c>
      <c r="E348" s="60" t="n">
        <v>100</v>
      </c>
      <c r="F348" s="162" t="n">
        <v>90</v>
      </c>
      <c r="G348" s="162">
        <f>IF(AND(E348&lt;&gt;"",F348&lt;&gt;""),E348*F348,"")</f>
        <v>9000</v>
      </c>
    </row>
    <row r="349" ht="16.5" customFormat="1" customHeight="1" s="16">
      <c r="B349" s="163" t="n">
        <v>46253</v>
      </c>
      <c r="C349" s="60" t="inlineStr">
        <is>
          <t>贸易广场老吴副食</t>
        </is>
      </c>
      <c r="D349" s="60" t="inlineStr">
        <is>
          <t>小果之茶</t>
        </is>
      </c>
      <c r="E349" s="60" t="n">
        <v>17.5</v>
      </c>
      <c r="F349" s="162" t="n">
        <v>47</v>
      </c>
      <c r="G349" s="162">
        <f>IF(AND(E349&lt;&gt;"",F349&lt;&gt;""),E349*F349,"")</f>
        <v>822.5</v>
      </c>
    </row>
    <row r="350" ht="16.5" customFormat="1" customHeight="1" s="16">
      <c r="B350" s="163" t="n">
        <v>46254</v>
      </c>
      <c r="C350" s="60" t="inlineStr">
        <is>
          <t>贸易广场老吴副食</t>
        </is>
      </c>
      <c r="D350" s="60" t="inlineStr">
        <is>
          <t>小果之茶</t>
        </is>
      </c>
      <c r="E350" s="60" t="n">
        <v>50.5</v>
      </c>
      <c r="F350" s="162" t="n">
        <v>47</v>
      </c>
      <c r="G350" s="162">
        <f>IF(AND(E350&lt;&gt;"",F350&lt;&gt;""),E350*F350,"")</f>
        <v>2373.5</v>
      </c>
    </row>
    <row r="351" ht="16.5" customFormat="1" customHeight="1" s="16">
      <c r="B351" s="163" t="n">
        <v>46257</v>
      </c>
      <c r="C351" s="60" t="inlineStr">
        <is>
          <t>金凤副食</t>
        </is>
      </c>
      <c r="D351" s="60" t="inlineStr">
        <is>
          <t>1L果之茶</t>
        </is>
      </c>
      <c r="E351" s="60" t="n">
        <v>50.5</v>
      </c>
      <c r="F351" s="162" t="n">
        <v>43</v>
      </c>
      <c r="G351" s="162">
        <f>IF(AND(E351&lt;&gt;"",F351&lt;&gt;""),E351*F351,"")</f>
        <v>2171.5</v>
      </c>
    </row>
    <row r="352" ht="16.5" customFormat="1" customHeight="1" s="16">
      <c r="B352" s="163" t="n">
        <v>46257</v>
      </c>
      <c r="C352" s="60" t="inlineStr">
        <is>
          <t>金凤副食</t>
        </is>
      </c>
      <c r="D352" s="60" t="inlineStr">
        <is>
          <t>大东鹏</t>
        </is>
      </c>
      <c r="E352" s="60" t="n">
        <v>50</v>
      </c>
      <c r="F352" s="162" t="n">
        <v>90</v>
      </c>
      <c r="G352" s="162">
        <f>IF(AND(E352&lt;&gt;"",F352&lt;&gt;""),E352*F352,"")</f>
        <v>4500</v>
      </c>
    </row>
    <row r="353" ht="16.5" customFormat="1" customHeight="1" s="16">
      <c r="B353" s="163" t="n">
        <v>46259</v>
      </c>
      <c r="C353" s="60" t="inlineStr">
        <is>
          <t>梅窖建军批发</t>
        </is>
      </c>
      <c r="D353" s="60" t="inlineStr">
        <is>
          <t>1L果之茶</t>
        </is>
      </c>
      <c r="E353" s="60" t="n">
        <v>20</v>
      </c>
      <c r="F353" s="162" t="n">
        <v>43</v>
      </c>
      <c r="G353" s="162">
        <f>IF(AND(E353&lt;&gt;"",F353&lt;&gt;""),E353*F353,"")</f>
        <v>860</v>
      </c>
    </row>
    <row r="354" ht="16.5" customFormat="1" customHeight="1" s="16">
      <c r="B354" s="163" t="n">
        <v>46259</v>
      </c>
      <c r="C354" s="60" t="inlineStr">
        <is>
          <t>龙岗好又全超市</t>
        </is>
      </c>
      <c r="D354" s="60" t="inlineStr">
        <is>
          <t>大咖</t>
        </is>
      </c>
      <c r="E354" s="60" t="n">
        <v>30</v>
      </c>
      <c r="F354" s="162" t="n">
        <v>83</v>
      </c>
      <c r="G354" s="162">
        <f>IF(AND(E354&lt;&gt;"",F354&lt;&gt;""),E354*F354,"")</f>
        <v>2490</v>
      </c>
    </row>
    <row r="355" ht="16.5" customFormat="1" customHeight="1" s="16">
      <c r="B355" s="163" t="n">
        <v>46259</v>
      </c>
      <c r="C355" s="60" t="inlineStr">
        <is>
          <t>星海超市</t>
        </is>
      </c>
      <c r="D355" s="60" t="inlineStr">
        <is>
          <t>1L果之茶</t>
        </is>
      </c>
      <c r="E355" s="60" t="n">
        <v>30</v>
      </c>
      <c r="F355" s="162" t="n">
        <v>43</v>
      </c>
      <c r="G355" s="162">
        <f>IF(AND(E355&lt;&gt;"",F355&lt;&gt;""),E355*F355,"")</f>
        <v>1290</v>
      </c>
    </row>
    <row r="356" ht="16.5" customFormat="1" customHeight="1" s="16">
      <c r="B356" s="163" t="n">
        <v>46259</v>
      </c>
      <c r="C356" s="60" t="inlineStr">
        <is>
          <t>星海超市</t>
        </is>
      </c>
      <c r="D356" s="60" t="inlineStr">
        <is>
          <t>大咖</t>
        </is>
      </c>
      <c r="E356" s="60" t="n">
        <v>20</v>
      </c>
      <c r="F356" s="162" t="n">
        <v>83</v>
      </c>
      <c r="G356" s="162">
        <f>IF(AND(E356&lt;&gt;"",F356&lt;&gt;""),E356*F356,"")</f>
        <v>1660</v>
      </c>
    </row>
    <row r="357" ht="16.5" customFormat="1" customHeight="1" s="16">
      <c r="B357" s="163" t="n">
        <v>46259</v>
      </c>
      <c r="C357" s="60" t="inlineStr">
        <is>
          <t>鼎龙陈财超市</t>
        </is>
      </c>
      <c r="D357" s="60" t="inlineStr">
        <is>
          <t>大咖</t>
        </is>
      </c>
      <c r="E357" s="60" t="n">
        <v>20</v>
      </c>
      <c r="F357" s="162" t="n">
        <v>83</v>
      </c>
      <c r="G357" s="162">
        <f>IF(AND(E357&lt;&gt;"",F357&lt;&gt;""),E357*F357,"")</f>
        <v>1660</v>
      </c>
    </row>
    <row r="358" ht="16.5" customFormat="1" customHeight="1" s="16">
      <c r="B358" s="163" t="n">
        <v>46258</v>
      </c>
      <c r="C358" s="60" t="inlineStr">
        <is>
          <t>友兰商行</t>
        </is>
      </c>
      <c r="D358" s="60" t="inlineStr">
        <is>
          <t>大咖</t>
        </is>
      </c>
      <c r="E358" s="60" t="n">
        <v>7</v>
      </c>
      <c r="F358" s="162" t="n">
        <v>86</v>
      </c>
      <c r="G358" s="162">
        <f>IF(AND(E358&lt;&gt;"",F358&lt;&gt;""),E358*F358,"")</f>
        <v>602</v>
      </c>
      <c r="H358" s="16" t="inlineStr">
        <is>
          <t>8.25日已清</t>
        </is>
      </c>
    </row>
    <row r="359" ht="16.5" customFormat="1" customHeight="1" s="16">
      <c r="B359" s="163" t="n">
        <v>46262</v>
      </c>
      <c r="C359" s="60" t="inlineStr">
        <is>
          <t>江背久明商行</t>
        </is>
      </c>
      <c r="D359" s="60" t="inlineStr">
        <is>
          <t>九制陈皮</t>
        </is>
      </c>
      <c r="E359" s="60" t="n">
        <v>30</v>
      </c>
      <c r="F359" s="162" t="n">
        <v>47</v>
      </c>
      <c r="G359" s="162">
        <f>IF(AND(E359&lt;&gt;"",F359&lt;&gt;""),E359*F359,"")</f>
        <v>1410</v>
      </c>
      <c r="H359" s="16" t="inlineStr">
        <is>
          <t>小果之茶抵陈皮</t>
        </is>
      </c>
    </row>
    <row r="360" ht="16.5" customFormat="1" customHeight="1" s="16">
      <c r="B360" s="163" t="n">
        <v>46262</v>
      </c>
      <c r="C360" s="60" t="inlineStr">
        <is>
          <t>福旺家优购</t>
        </is>
      </c>
      <c r="D360" s="60" t="inlineStr">
        <is>
          <t>大咖</t>
        </is>
      </c>
      <c r="E360" s="60" t="n">
        <v>5</v>
      </c>
      <c r="F360" s="162" t="n">
        <v>86</v>
      </c>
      <c r="G360" s="162">
        <f>IF(AND(E360&lt;&gt;"",F360&lt;&gt;""),E360*F360,"")</f>
        <v>430</v>
      </c>
    </row>
    <row r="361" ht="16.5" customFormat="1" customHeight="1" s="16">
      <c r="B361" s="163" t="n">
        <v>46262</v>
      </c>
      <c r="C361" s="60" t="inlineStr">
        <is>
          <t>李记副食</t>
        </is>
      </c>
      <c r="D361" s="60" t="inlineStr">
        <is>
          <t>大东鹏</t>
        </is>
      </c>
      <c r="E361" s="60" t="n">
        <v>50</v>
      </c>
      <c r="F361" s="162" t="n">
        <v>93</v>
      </c>
      <c r="G361" s="162">
        <f>IF(AND(E361&lt;&gt;"",F361&lt;&gt;""),E361*F361,"")</f>
        <v>4650</v>
      </c>
    </row>
    <row r="362" ht="16.5" customFormat="1" customHeight="1" s="16">
      <c r="B362" s="163" t="n">
        <v>46263</v>
      </c>
      <c r="C362" s="60" t="inlineStr">
        <is>
          <t>小梅商行</t>
        </is>
      </c>
      <c r="D362" s="60" t="inlineStr">
        <is>
          <t>小果之茶</t>
        </is>
      </c>
      <c r="E362" s="60" t="n">
        <v>100</v>
      </c>
      <c r="F362" s="162" t="n">
        <v>47</v>
      </c>
      <c r="G362" s="162">
        <f>IF(AND(E362&lt;&gt;"",F362&lt;&gt;""),E362*F362,"")</f>
        <v>4700</v>
      </c>
    </row>
    <row r="363" ht="16.5" customFormat="1" customHeight="1" s="16">
      <c r="B363" s="163" t="n">
        <v>46263</v>
      </c>
      <c r="C363" s="60" t="inlineStr">
        <is>
          <t>小梅商行</t>
        </is>
      </c>
      <c r="D363" s="60" t="inlineStr">
        <is>
          <t>1L补水</t>
        </is>
      </c>
      <c r="E363" s="60" t="n">
        <v>100</v>
      </c>
      <c r="F363" s="162" t="n">
        <v>55</v>
      </c>
      <c r="G363" s="162">
        <f>IF(AND(E363&lt;&gt;"",F363&lt;&gt;""),E363*F363,"")</f>
        <v>5500</v>
      </c>
    </row>
    <row r="364" ht="16.5" customFormat="1" customHeight="1" s="16">
      <c r="B364" s="163" t="n">
        <v>46244</v>
      </c>
      <c r="C364" s="60" t="inlineStr">
        <is>
          <t>小梅商行</t>
        </is>
      </c>
      <c r="D364" s="60" t="inlineStr">
        <is>
          <t>1L补水</t>
        </is>
      </c>
      <c r="E364" s="60" t="n">
        <v>103</v>
      </c>
      <c r="F364" s="162" t="n">
        <v>55</v>
      </c>
      <c r="G364" s="162">
        <f>IF(AND(E364&lt;&gt;"",F364&lt;&gt;""),E364*F364,"")</f>
        <v>5665</v>
      </c>
    </row>
    <row r="365" ht="16.5" customFormat="1" customHeight="1" s="16">
      <c r="B365" s="163" t="n">
        <v>46263</v>
      </c>
      <c r="C365" s="60" t="inlineStr">
        <is>
          <t>高兴美宜佳</t>
        </is>
      </c>
      <c r="D365" s="60" t="inlineStr">
        <is>
          <t>大东鹏</t>
        </is>
      </c>
      <c r="E365" s="60" t="n">
        <v>40</v>
      </c>
      <c r="F365" s="162" t="n">
        <v>90</v>
      </c>
      <c r="G365" s="162">
        <f>IF(AND(E365&lt;&gt;"",F365&lt;&gt;""),E365*F365,"")</f>
        <v>3600</v>
      </c>
      <c r="H365" s="16" t="inlineStr">
        <is>
          <t>存条已清</t>
        </is>
      </c>
    </row>
    <row r="366" ht="16.5" customFormat="1" customHeight="1" s="16">
      <c r="B366" s="163" t="n">
        <v>46263</v>
      </c>
      <c r="C366" s="30" t="inlineStr">
        <is>
          <t>高兴蒙山超市</t>
        </is>
      </c>
      <c r="D366" s="30" t="inlineStr">
        <is>
          <t>大东鹏</t>
        </is>
      </c>
      <c r="E366" s="29" t="n">
        <v>15</v>
      </c>
      <c r="F366" s="164" t="n">
        <v>93</v>
      </c>
      <c r="G366" s="162">
        <f>IF(AND(E366&lt;&gt;"",F366&lt;&gt;""),E366*F366,"")</f>
        <v>1395</v>
      </c>
      <c r="H366" s="16" t="inlineStr">
        <is>
          <t>存条已清</t>
        </is>
      </c>
    </row>
    <row r="367" ht="16.5" customFormat="1" customHeight="1" s="16">
      <c r="B367" s="163" t="n">
        <v>46263</v>
      </c>
      <c r="C367" s="30" t="inlineStr">
        <is>
          <t>高兴蒙山超市</t>
        </is>
      </c>
      <c r="D367" s="30" t="inlineStr">
        <is>
          <t>大咖</t>
        </is>
      </c>
      <c r="E367" s="29" t="n">
        <v>2</v>
      </c>
      <c r="F367" s="164" t="n">
        <v>86</v>
      </c>
      <c r="G367" s="162">
        <f>IF(AND(E367&lt;&gt;"",F367&lt;&gt;""),E367*F367,"")</f>
        <v>172</v>
      </c>
    </row>
    <row r="368" ht="16.5" customFormat="1" customHeight="1" s="16">
      <c r="B368" s="163" t="n">
        <v>46260</v>
      </c>
      <c r="C368" s="30" t="inlineStr">
        <is>
          <t>兴莲隆兴商行</t>
        </is>
      </c>
      <c r="D368" s="30" t="inlineStr">
        <is>
          <t>1L果之茶</t>
        </is>
      </c>
      <c r="E368" s="29" t="n">
        <v>35</v>
      </c>
      <c r="F368" s="164" t="n">
        <v>43</v>
      </c>
      <c r="G368" s="162">
        <f>IF(AND(E368&lt;&gt;"",F368&lt;&gt;""),E368*F368,"")</f>
        <v>1505</v>
      </c>
    </row>
    <row r="369" ht="16.5" customFormat="1" customHeight="1" s="16">
      <c r="B369" s="163" t="n">
        <v>46260</v>
      </c>
      <c r="C369" s="30" t="inlineStr">
        <is>
          <t>兴莲隆兴商行</t>
        </is>
      </c>
      <c r="D369" s="30" t="inlineStr">
        <is>
          <t>1L果之茶</t>
        </is>
      </c>
      <c r="E369" s="29" t="n">
        <v>1</v>
      </c>
      <c r="F369" s="164" t="n"/>
      <c r="G369" s="162">
        <f>IF(AND(E369&lt;&gt;"",F369&lt;&gt;""),E369*F369,"")</f>
      </c>
    </row>
    <row r="370" ht="16.5" customFormat="1" customHeight="1" s="16">
      <c r="B370" s="163" t="n">
        <v>46260</v>
      </c>
      <c r="C370" s="30" t="inlineStr">
        <is>
          <t>兴莲隆兴商行</t>
        </is>
      </c>
      <c r="D370" s="30" t="inlineStr">
        <is>
          <t>小东鹏</t>
        </is>
      </c>
      <c r="E370" s="29" t="n">
        <v>100</v>
      </c>
      <c r="F370" s="164" t="n">
        <v>51</v>
      </c>
      <c r="G370" s="162">
        <f>IF(AND(E370&lt;&gt;"",F370&lt;&gt;""),E370*F370,"")</f>
        <v>5100</v>
      </c>
    </row>
    <row r="371" ht="16.5" customFormat="1" customHeight="1" s="16">
      <c r="B371" s="163" t="n">
        <v>46260</v>
      </c>
      <c r="C371" s="30" t="inlineStr">
        <is>
          <t>兴莲隆兴商行</t>
        </is>
      </c>
      <c r="D371" s="30" t="inlineStr">
        <is>
          <t>小东鹏</t>
        </is>
      </c>
      <c r="E371" s="29" t="n">
        <v>3</v>
      </c>
      <c r="F371" s="164" t="n"/>
      <c r="G371" s="162">
        <f>IF(AND(E371&lt;&gt;"",F371&lt;&gt;""),E371*F371,"")</f>
      </c>
    </row>
    <row r="372" ht="16.5" customFormat="1" customHeight="1" s="16">
      <c r="B372" s="163" t="n">
        <v>46260</v>
      </c>
      <c r="C372" s="30" t="inlineStr">
        <is>
          <t>兴莲隆兴商行</t>
        </is>
      </c>
      <c r="D372" s="30" t="inlineStr">
        <is>
          <t>555补水</t>
        </is>
      </c>
      <c r="E372" s="29" t="n">
        <v>35</v>
      </c>
      <c r="F372" s="164" t="n">
        <v>65</v>
      </c>
      <c r="G372" s="162">
        <f>IF(AND(E372&lt;&gt;"",F372&lt;&gt;""),E372*F372,"")</f>
        <v>2275</v>
      </c>
    </row>
    <row r="373" ht="16.5" customFormat="1" customHeight="1" s="16">
      <c r="B373" s="163" t="n">
        <v>46260</v>
      </c>
      <c r="C373" s="30" t="inlineStr">
        <is>
          <t>兴莲隆兴商行</t>
        </is>
      </c>
      <c r="D373" s="30" t="inlineStr">
        <is>
          <t>555补水</t>
        </is>
      </c>
      <c r="E373" s="29" t="n">
        <v>1</v>
      </c>
      <c r="F373" s="164" t="n"/>
      <c r="G373" s="162">
        <f>IF(AND(E373&lt;&gt;"",F373&lt;&gt;""),E373*F373,"")</f>
      </c>
    </row>
    <row r="374" ht="16.5" customFormat="1" customHeight="1" s="16">
      <c r="B374" s="163" t="n">
        <v>46264</v>
      </c>
      <c r="C374" s="60" t="inlineStr">
        <is>
          <t>致发商行</t>
        </is>
      </c>
      <c r="D374" s="60" t="inlineStr">
        <is>
          <t>1L果之茶</t>
        </is>
      </c>
      <c r="E374" s="60" t="n">
        <v>25</v>
      </c>
      <c r="F374" s="162" t="n">
        <v>43</v>
      </c>
      <c r="G374" s="162">
        <f>IF(AND(E374&lt;&gt;"",F374&lt;&gt;""),E374*F374,"")</f>
        <v>1075</v>
      </c>
    </row>
    <row r="375" ht="16.5" customFormat="1" customHeight="1" s="16">
      <c r="B375" s="163" t="n">
        <v>46264</v>
      </c>
      <c r="C375" s="60" t="inlineStr">
        <is>
          <t>致发商行</t>
        </is>
      </c>
      <c r="D375" s="60" t="inlineStr">
        <is>
          <t>555补水</t>
        </is>
      </c>
      <c r="E375" s="60" t="n">
        <v>30</v>
      </c>
      <c r="F375" s="162" t="n">
        <v>65</v>
      </c>
      <c r="G375" s="162">
        <f>IF(AND(E375&lt;&gt;"",F375&lt;&gt;""),E375*F375,"")</f>
        <v>1950</v>
      </c>
    </row>
    <row r="376" ht="16.5" customFormat="1" customHeight="1" s="16">
      <c r="B376" s="163" t="n">
        <v>46265</v>
      </c>
      <c r="C376" s="60" t="inlineStr">
        <is>
          <t>通达商行</t>
        </is>
      </c>
      <c r="D376" s="60" t="inlineStr">
        <is>
          <t>大东鹏</t>
        </is>
      </c>
      <c r="E376" s="60" t="n">
        <v>100</v>
      </c>
      <c r="F376" s="162" t="n">
        <v>90</v>
      </c>
      <c r="G376" s="162">
        <f>IF(AND(E376&lt;&gt;"",F376&lt;&gt;""),E376*F376,"")</f>
        <v>9000</v>
      </c>
    </row>
    <row r="377" ht="16.5" customFormat="1" customHeight="1" s="16">
      <c r="B377" s="163" t="n">
        <v>46265</v>
      </c>
      <c r="C377" s="60" t="inlineStr">
        <is>
          <t>金凤副食</t>
        </is>
      </c>
      <c r="D377" s="60" t="inlineStr">
        <is>
          <t>小果之茶</t>
        </is>
      </c>
      <c r="E377" s="60" t="n">
        <v>100</v>
      </c>
      <c r="F377" s="162" t="n">
        <v>47</v>
      </c>
      <c r="G377" s="162">
        <f>IF(AND(E377&lt;&gt;"",F377&lt;&gt;""),E377*F377,"")</f>
        <v>4700</v>
      </c>
    </row>
    <row r="378" ht="16.5" customFormat="1" customHeight="1" s="16">
      <c r="B378" s="163" t="n">
        <v>46265</v>
      </c>
      <c r="C378" s="60" t="inlineStr">
        <is>
          <t>阿东副食</t>
        </is>
      </c>
      <c r="D378" s="60" t="inlineStr">
        <is>
          <t>小果之茶</t>
        </is>
      </c>
      <c r="E378" s="60" t="n">
        <v>50</v>
      </c>
      <c r="F378" s="162" t="n">
        <v>47</v>
      </c>
      <c r="G378" s="162">
        <f>IF(AND(E378&lt;&gt;"",F378&lt;&gt;""),E378*F378,"")</f>
        <v>2350</v>
      </c>
    </row>
    <row r="379" ht="16.5" customFormat="1" customHeight="1" s="16">
      <c r="B379" s="163" t="n">
        <v>46265</v>
      </c>
      <c r="C379" s="60" t="inlineStr">
        <is>
          <t>王玉琴</t>
        </is>
      </c>
      <c r="D379" s="60" t="inlineStr">
        <is>
          <t>大东鹏</t>
        </is>
      </c>
      <c r="E379" s="60" t="n">
        <v>50</v>
      </c>
      <c r="F379" s="162" t="n">
        <v>90</v>
      </c>
      <c r="G379" s="162">
        <f>IF(AND(E379&lt;&gt;"",F379&lt;&gt;""),E379*F379,"")</f>
        <v>4500</v>
      </c>
    </row>
    <row r="380" ht="16.5" customFormat="1" customHeight="1" s="16">
      <c r="B380" s="169" t="n">
        <v>46266</v>
      </c>
      <c r="C380" s="30" t="inlineStr">
        <is>
          <t>崇贤高平副食</t>
        </is>
      </c>
      <c r="D380" s="30" t="inlineStr">
        <is>
          <t>大东鹏</t>
        </is>
      </c>
      <c r="E380" s="60" t="n">
        <v>15</v>
      </c>
      <c r="F380" s="162" t="n">
        <v>93</v>
      </c>
      <c r="G380" s="162">
        <f>IF(AND(E380&lt;&gt;"",F380&lt;&gt;""),E380*F380,"")</f>
        <v>1395</v>
      </c>
    </row>
    <row r="381" ht="16.5" customFormat="1" customHeight="1" s="16">
      <c r="B381" s="169" t="n">
        <v>46265</v>
      </c>
      <c r="C381" s="30" t="inlineStr">
        <is>
          <t>滨江路小红花便利店</t>
        </is>
      </c>
      <c r="D381" s="30" t="inlineStr">
        <is>
          <t>1L果之茶</t>
        </is>
      </c>
      <c r="E381" s="60" t="n">
        <v>3</v>
      </c>
      <c r="F381" s="162" t="n">
        <v>46</v>
      </c>
      <c r="G381" s="162">
        <f>IF(AND(E381&lt;&gt;"",F381&lt;&gt;""),E381*F381,"")</f>
        <v>138</v>
      </c>
    </row>
    <row r="382" ht="16.5" customFormat="1" customHeight="1" s="16">
      <c r="B382" s="169" t="n">
        <v>46265</v>
      </c>
      <c r="C382" s="30" t="inlineStr">
        <is>
          <t>滨江路小红花便利店</t>
        </is>
      </c>
      <c r="D382" s="30" t="inlineStr">
        <is>
          <t>小果之茶</t>
        </is>
      </c>
      <c r="E382" s="60" t="n">
        <v>8</v>
      </c>
      <c r="F382" s="162" t="n">
        <v>50</v>
      </c>
      <c r="G382" s="162">
        <f>IF(AND(E382&lt;&gt;"",F382&lt;&gt;""),E382*F382,"")</f>
        <v>400</v>
      </c>
    </row>
    <row r="383" ht="16.5" customFormat="1" customHeight="1" s="16">
      <c r="B383" s="169" t="n">
        <v>46265</v>
      </c>
      <c r="C383" s="30" t="inlineStr">
        <is>
          <t>滨江路小红花便利店</t>
        </is>
      </c>
      <c r="D383" s="30" t="inlineStr">
        <is>
          <t>1L补水</t>
        </is>
      </c>
      <c r="E383" s="60" t="n">
        <v>3</v>
      </c>
      <c r="F383" s="162" t="n">
        <v>58</v>
      </c>
      <c r="G383" s="162">
        <f>IF(AND(E383&lt;&gt;"",F383&lt;&gt;""),E383*F383,"")</f>
        <v>174</v>
      </c>
    </row>
    <row r="384" ht="16.5" customFormat="1" customHeight="1" s="16">
      <c r="B384" s="169" t="n">
        <v>46262</v>
      </c>
      <c r="C384" s="30" t="inlineStr">
        <is>
          <t>桐心源</t>
        </is>
      </c>
      <c r="D384" s="30" t="inlineStr">
        <is>
          <t>500农夫饮料</t>
        </is>
      </c>
      <c r="E384" s="60" t="n">
        <v>75</v>
      </c>
      <c r="F384" s="162" t="n">
        <v>52</v>
      </c>
      <c r="G384" s="162">
        <f>IF(AND(E384&lt;&gt;"",F384&lt;&gt;""),E384*F384,"")</f>
        <v>3900</v>
      </c>
    </row>
    <row r="385" ht="16.5" customFormat="1" customHeight="1" s="16">
      <c r="B385" s="169" t="n">
        <v>46259</v>
      </c>
      <c r="C385" s="30" t="inlineStr">
        <is>
          <t>桐心源</t>
        </is>
      </c>
      <c r="D385" s="30" t="inlineStr">
        <is>
          <t>500农夫饮料</t>
        </is>
      </c>
      <c r="E385" s="60" t="n">
        <v>45</v>
      </c>
      <c r="F385" s="162" t="n">
        <v>52</v>
      </c>
      <c r="G385" s="162">
        <f>IF(AND(E385&lt;&gt;"",F385&lt;&gt;""),E385*F385,"")</f>
        <v>2340</v>
      </c>
    </row>
    <row r="386" ht="16.5" customFormat="1" customHeight="1" s="16">
      <c r="B386" s="169" t="n">
        <v>46263</v>
      </c>
      <c r="C386" s="30" t="inlineStr">
        <is>
          <t>兴发商行</t>
        </is>
      </c>
      <c r="D386" s="30" t="inlineStr">
        <is>
          <t>大东鹏</t>
        </is>
      </c>
      <c r="E386" s="60" t="n">
        <v>30</v>
      </c>
      <c r="F386" s="162" t="n">
        <v>90</v>
      </c>
      <c r="G386" s="162">
        <f>IF(AND(E386&lt;&gt;"",F386&lt;&gt;""),E386*F386,"")</f>
        <v>2700</v>
      </c>
    </row>
    <row r="387" ht="16.5" customFormat="1" customHeight="1" s="16">
      <c r="B387" s="169" t="n">
        <v>46265</v>
      </c>
      <c r="C387" s="30" t="inlineStr">
        <is>
          <t>阿东副食</t>
        </is>
      </c>
      <c r="D387" s="30" t="inlineStr">
        <is>
          <t>大东鹏</t>
        </is>
      </c>
      <c r="E387" s="60" t="n">
        <v>200</v>
      </c>
      <c r="F387" s="162" t="n">
        <v>90</v>
      </c>
      <c r="G387" s="162">
        <f>IF(AND(E387&lt;&gt;"",F387&lt;&gt;""),E387*F387,"")</f>
        <v>18000</v>
      </c>
    </row>
    <row r="388" ht="16.5" customFormat="1" customHeight="1" s="16">
      <c r="B388" s="169" t="n">
        <v>46265</v>
      </c>
      <c r="C388" s="30" t="inlineStr">
        <is>
          <t>阿东副食</t>
        </is>
      </c>
      <c r="D388" s="30" t="inlineStr">
        <is>
          <t>1L补水</t>
        </is>
      </c>
      <c r="E388" s="60" t="n">
        <v>70</v>
      </c>
      <c r="F388" s="162" t="n">
        <v>55</v>
      </c>
      <c r="G388" s="162">
        <f>IF(AND(E388&lt;&gt;"",F388&lt;&gt;""),E388*F388,"")</f>
        <v>3850</v>
      </c>
    </row>
    <row r="389" ht="16.5" customFormat="1" customHeight="1" s="16">
      <c r="B389" s="169" t="n">
        <v>46265</v>
      </c>
      <c r="C389" s="30" t="inlineStr">
        <is>
          <t>贸易广场老吴副食</t>
        </is>
      </c>
      <c r="D389" s="30" t="inlineStr">
        <is>
          <t>1L果之茶</t>
        </is>
      </c>
      <c r="E389" s="60" t="n">
        <v>35</v>
      </c>
      <c r="F389" s="162" t="n">
        <v>43</v>
      </c>
      <c r="G389" s="162">
        <f>IF(AND(E389&lt;&gt;"",F389&lt;&gt;""),E389*F389,"")</f>
        <v>1505</v>
      </c>
    </row>
    <row r="390" ht="16.5" customFormat="1" customHeight="1" s="16">
      <c r="B390" s="169" t="n">
        <v>46259</v>
      </c>
      <c r="C390" s="30" t="inlineStr">
        <is>
          <t>桐心源</t>
        </is>
      </c>
      <c r="D390" s="30" t="inlineStr">
        <is>
          <t>小果之茶</t>
        </is>
      </c>
      <c r="E390" s="60" t="n">
        <v>200</v>
      </c>
      <c r="F390" s="162" t="n">
        <v>47</v>
      </c>
      <c r="G390" s="162">
        <f>IF(AND(E390&lt;&gt;"",F390&lt;&gt;""),E390*F390,"")</f>
        <v>9400</v>
      </c>
    </row>
    <row r="391" ht="16.5" customFormat="1" customHeight="1" s="16">
      <c r="B391" s="169" t="n">
        <v>46259</v>
      </c>
      <c r="C391" s="30" t="inlineStr">
        <is>
          <t>桐心源</t>
        </is>
      </c>
      <c r="D391" s="30" t="inlineStr">
        <is>
          <t>555补水</t>
        </is>
      </c>
      <c r="E391" s="60" t="n">
        <v>300</v>
      </c>
      <c r="F391" s="162" t="n">
        <v>65</v>
      </c>
      <c r="G391" s="162">
        <f>IF(AND(E391&lt;&gt;"",F391&lt;&gt;""),E391*F391,"")</f>
        <v>19500</v>
      </c>
    </row>
    <row r="392" ht="16.5" customFormat="1" customHeight="1" s="16">
      <c r="B392" s="169" t="n">
        <v>46259</v>
      </c>
      <c r="C392" s="30" t="inlineStr">
        <is>
          <t>桐心源</t>
        </is>
      </c>
      <c r="D392" s="30" t="inlineStr">
        <is>
          <t>1L补水</t>
        </is>
      </c>
      <c r="E392" s="60" t="n">
        <v>150</v>
      </c>
      <c r="F392" s="162" t="n">
        <v>55</v>
      </c>
      <c r="G392" s="162">
        <f>IF(AND(E392&lt;&gt;"",F392&lt;&gt;""),E392*F392,"")</f>
        <v>8250</v>
      </c>
    </row>
    <row r="393" ht="16.5" customFormat="1" customHeight="1" s="16">
      <c r="B393" s="169" t="n">
        <v>46266</v>
      </c>
      <c r="C393" s="30" t="inlineStr">
        <is>
          <t>桐心源</t>
        </is>
      </c>
      <c r="D393" s="30" t="inlineStr">
        <is>
          <t>500农夫饮料</t>
        </is>
      </c>
      <c r="E393" s="60" t="n">
        <v>10</v>
      </c>
      <c r="F393" s="162" t="n">
        <v>52</v>
      </c>
      <c r="G393" s="162">
        <f>IF(AND(E393&lt;&gt;"",F393&lt;&gt;""),E393*F393,"")</f>
        <v>520</v>
      </c>
    </row>
    <row r="394" ht="16.5" customFormat="1" customHeight="1" s="16">
      <c r="B394" s="169" t="n">
        <v>46266</v>
      </c>
      <c r="C394" s="30" t="inlineStr">
        <is>
          <t>桐心源</t>
        </is>
      </c>
      <c r="D394" s="30" t="inlineStr">
        <is>
          <t>500农夫饮料</t>
        </is>
      </c>
      <c r="E394" s="60" t="n">
        <v>20</v>
      </c>
      <c r="F394" s="162" t="n">
        <v>52</v>
      </c>
      <c r="G394" s="162">
        <f>IF(AND(E394&lt;&gt;"",F394&lt;&gt;""),E394*F394,"")</f>
        <v>1040</v>
      </c>
    </row>
    <row r="395" ht="16.5" customFormat="1" customHeight="1" s="16">
      <c r="B395" s="169" t="n">
        <v>46266</v>
      </c>
      <c r="C395" s="30" t="inlineStr">
        <is>
          <t>桐心源</t>
        </is>
      </c>
      <c r="D395" s="30" t="inlineStr">
        <is>
          <t>小果之茶</t>
        </is>
      </c>
      <c r="E395" s="60" t="n">
        <v>100</v>
      </c>
      <c r="F395" s="162" t="n">
        <v>47</v>
      </c>
      <c r="G395" s="162">
        <f>IF(AND(E395&lt;&gt;"",F395&lt;&gt;""),E395*F395,"")</f>
        <v>4700</v>
      </c>
    </row>
    <row r="396" ht="16.5" customFormat="1" customHeight="1" s="16">
      <c r="B396" s="169" t="n">
        <v>46267</v>
      </c>
      <c r="C396" s="30" t="inlineStr">
        <is>
          <t>城岗日日升超市</t>
        </is>
      </c>
      <c r="D396" s="30" t="inlineStr">
        <is>
          <t>大东鹏</t>
        </is>
      </c>
      <c r="E396" s="60" t="n">
        <v>100</v>
      </c>
      <c r="F396" s="162" t="n">
        <v>90</v>
      </c>
      <c r="G396" s="162">
        <f>IF(AND(E396&lt;&gt;"",F396&lt;&gt;""),E396*F396,"")</f>
        <v>9000</v>
      </c>
    </row>
    <row r="397" ht="16.5" customFormat="1" customHeight="1" s="16">
      <c r="B397" s="169" t="n">
        <v>46268</v>
      </c>
      <c r="C397" s="60" t="inlineStr">
        <is>
          <t>城北街隆兴商行</t>
        </is>
      </c>
      <c r="D397" s="60" t="inlineStr">
        <is>
          <t>大东鹏</t>
        </is>
      </c>
      <c r="E397" s="60" t="n">
        <v>15</v>
      </c>
      <c r="F397" s="162" t="n">
        <v>93</v>
      </c>
      <c r="G397" s="162">
        <f>IF(AND(E397&lt;&gt;"",F397&lt;&gt;""),E397*F397,"")</f>
        <v>1395</v>
      </c>
    </row>
    <row r="398" ht="16.5" customFormat="1" customHeight="1" s="16">
      <c r="B398" s="169" t="n">
        <v>46268</v>
      </c>
      <c r="C398" s="60" t="inlineStr">
        <is>
          <t>城北街隆兴商行</t>
        </is>
      </c>
      <c r="D398" s="60" t="inlineStr">
        <is>
          <t>555补水</t>
        </is>
      </c>
      <c r="E398" s="60" t="n">
        <v>4</v>
      </c>
      <c r="F398" s="162" t="n">
        <v>68</v>
      </c>
      <c r="G398" s="162">
        <f>IF(AND(E398&lt;&gt;"",F398&lt;&gt;""),E398*F398,"")</f>
        <v>272</v>
      </c>
    </row>
    <row r="399" ht="16.5" customFormat="1" customHeight="1" s="16">
      <c r="B399" s="169" t="n">
        <v>46268</v>
      </c>
      <c r="C399" s="60" t="inlineStr">
        <is>
          <t>宜兴粮油</t>
        </is>
      </c>
      <c r="D399" s="60" t="inlineStr">
        <is>
          <t>大东鹏</t>
        </is>
      </c>
      <c r="E399" s="60" t="n">
        <v>100</v>
      </c>
      <c r="F399" s="162" t="n">
        <v>90</v>
      </c>
      <c r="G399" s="162">
        <f>IF(AND(E399&lt;&gt;"",F399&lt;&gt;""),E399*F399,"")</f>
        <v>9000</v>
      </c>
      <c r="H399" s="16" t="inlineStr">
        <is>
          <t>存条已清</t>
        </is>
      </c>
    </row>
    <row r="400" ht="16.5" customHeight="1" s="71">
      <c r="B400" s="170" t="n">
        <v>46269</v>
      </c>
      <c r="C400" s="35" t="inlineStr">
        <is>
          <t>阿东副食</t>
        </is>
      </c>
      <c r="D400" s="35" t="inlineStr">
        <is>
          <t>小果之茶</t>
        </is>
      </c>
      <c r="E400" s="35" t="n">
        <v>100</v>
      </c>
      <c r="F400" s="166" t="n">
        <v>47</v>
      </c>
      <c r="G400" s="166">
        <f>IF(AND(E400&lt;&gt;"",F400&lt;&gt;""),E400*F400,"")</f>
        <v>4700</v>
      </c>
    </row>
    <row r="401" ht="16.5" customHeight="1" s="71">
      <c r="B401" s="170" t="n">
        <v>46270</v>
      </c>
      <c r="C401" s="35" t="inlineStr">
        <is>
          <t>致发商行</t>
        </is>
      </c>
      <c r="D401" s="35" t="inlineStr">
        <is>
          <t>小果之茶</t>
        </is>
      </c>
      <c r="E401" s="35" t="n">
        <v>100</v>
      </c>
      <c r="F401" s="166" t="n">
        <v>47</v>
      </c>
      <c r="G401" s="166">
        <f>IF(AND(E401&lt;&gt;"",F401&lt;&gt;""),E401*F401,"")</f>
        <v>4700</v>
      </c>
    </row>
    <row r="402" ht="16.5" customHeight="1" s="71">
      <c r="B402" s="170" t="n">
        <v>46270</v>
      </c>
      <c r="C402" s="35" t="inlineStr">
        <is>
          <t>致发商行</t>
        </is>
      </c>
      <c r="D402" s="35" t="inlineStr">
        <is>
          <t>1L果之茶</t>
        </is>
      </c>
      <c r="E402" s="35" t="n">
        <v>45</v>
      </c>
      <c r="F402" s="166" t="n">
        <v>43</v>
      </c>
      <c r="G402" s="166">
        <f>IF(AND(E402&lt;&gt;"",F402&lt;&gt;""),E402*F402,"")</f>
        <v>1935</v>
      </c>
    </row>
    <row r="403" ht="16.5" customHeight="1" s="71">
      <c r="B403" s="170" t="n">
        <v>46270</v>
      </c>
      <c r="C403" s="35" t="inlineStr">
        <is>
          <t>福旺家优购</t>
        </is>
      </c>
      <c r="D403" s="35" t="inlineStr">
        <is>
          <t>大东鹏</t>
        </is>
      </c>
      <c r="E403" s="35" t="n">
        <v>30</v>
      </c>
      <c r="F403" s="166" t="n">
        <v>93</v>
      </c>
      <c r="G403" s="166">
        <f>IF(AND(E403&lt;&gt;"",F403&lt;&gt;""),E403*F403,"")</f>
        <v>2790</v>
      </c>
    </row>
    <row r="404" ht="16.5" customFormat="1" customHeight="1" s="16">
      <c r="B404" s="169" t="n">
        <v>46271</v>
      </c>
      <c r="C404" s="60" t="inlineStr">
        <is>
          <t>阿东副食</t>
        </is>
      </c>
      <c r="D404" s="60" t="inlineStr">
        <is>
          <t>小果之茶</t>
        </is>
      </c>
      <c r="E404" s="60" t="n">
        <v>50</v>
      </c>
      <c r="F404" s="162" t="n">
        <v>47</v>
      </c>
      <c r="G404" s="162">
        <f>IF(AND(E404&lt;&gt;"",F404&lt;&gt;""),E404*F404,"")</f>
        <v>2350</v>
      </c>
    </row>
    <row r="405" ht="16.5" customFormat="1" customHeight="1" s="16">
      <c r="B405" s="169" t="n">
        <v>46272</v>
      </c>
      <c r="C405" s="60" t="inlineStr">
        <is>
          <t>金凤副食</t>
        </is>
      </c>
      <c r="D405" s="60" t="inlineStr">
        <is>
          <t>小果之茶</t>
        </is>
      </c>
      <c r="E405" s="60" t="n">
        <v>50.5</v>
      </c>
      <c r="F405" s="162" t="n">
        <v>47</v>
      </c>
      <c r="G405" s="162">
        <f>IF(AND(E405&lt;&gt;"",F405&lt;&gt;""),E405*F405,"")</f>
        <v>2373.5</v>
      </c>
    </row>
    <row r="406" ht="16.5" customFormat="1" customHeight="1" s="16">
      <c r="B406" s="169" t="n">
        <v>46272</v>
      </c>
      <c r="C406" s="60" t="inlineStr">
        <is>
          <t>阿东副食</t>
        </is>
      </c>
      <c r="D406" s="60" t="inlineStr">
        <is>
          <t>小果之茶</t>
        </is>
      </c>
      <c r="E406" s="60" t="n">
        <v>50</v>
      </c>
      <c r="F406" s="162" t="n">
        <v>47</v>
      </c>
      <c r="G406" s="162">
        <f>IF(AND(E406&lt;&gt;"",F406&lt;&gt;""),E406*F406,"")</f>
        <v>2350</v>
      </c>
    </row>
    <row r="407" ht="16.5" customFormat="1" customHeight="1" s="16">
      <c r="B407" s="169" t="n">
        <v>46272</v>
      </c>
      <c r="C407" s="60" t="inlineStr">
        <is>
          <t>致发商行</t>
        </is>
      </c>
      <c r="D407" s="60" t="inlineStr">
        <is>
          <t>小果之茶</t>
        </is>
      </c>
      <c r="E407" s="60" t="n">
        <v>170</v>
      </c>
      <c r="F407" s="162" t="n">
        <v>47</v>
      </c>
      <c r="G407" s="162">
        <f>IF(AND(E407&lt;&gt;"",F407&lt;&gt;""),E407*F407,"")</f>
        <v>7990</v>
      </c>
    </row>
    <row r="408" ht="16.5" customFormat="1" customHeight="1" s="16">
      <c r="B408" s="169" t="n">
        <v>46272</v>
      </c>
      <c r="C408" s="60" t="inlineStr">
        <is>
          <t>小梅商行</t>
        </is>
      </c>
      <c r="D408" s="60" t="inlineStr">
        <is>
          <t>小果之茶</t>
        </is>
      </c>
      <c r="E408" s="60" t="n">
        <v>50</v>
      </c>
      <c r="F408" s="162" t="n">
        <v>47</v>
      </c>
      <c r="G408" s="162">
        <f>IF(AND(E408&lt;&gt;"",F408&lt;&gt;""),E408*F408,"")</f>
        <v>2350</v>
      </c>
    </row>
    <row r="409" ht="16.5" customFormat="1" customHeight="1" s="16">
      <c r="B409" s="169" t="n">
        <v>46270</v>
      </c>
      <c r="C409" s="60" t="inlineStr">
        <is>
          <t>滨江荣香副食</t>
        </is>
      </c>
      <c r="D409" s="60" t="inlineStr">
        <is>
          <t>大咖</t>
        </is>
      </c>
      <c r="E409" s="60" t="n">
        <v>3</v>
      </c>
      <c r="F409" s="162" t="n">
        <v>86</v>
      </c>
      <c r="G409" s="162">
        <f>IF(AND(E409&lt;&gt;"",F409&lt;&gt;""),E409*F409,"")</f>
        <v>258</v>
      </c>
    </row>
    <row r="410" ht="16.5" customHeight="1" s="71">
      <c r="B410" s="169" t="n">
        <v>46273</v>
      </c>
      <c r="C410" s="35" t="inlineStr">
        <is>
          <t>贸易广场老吴副食</t>
        </is>
      </c>
      <c r="D410" s="35" t="inlineStr">
        <is>
          <t>小果之茶</t>
        </is>
      </c>
      <c r="E410" s="35" t="n">
        <v>50.5</v>
      </c>
      <c r="F410" s="166" t="n">
        <v>47</v>
      </c>
      <c r="G410" s="166">
        <f>IF(AND(E410&lt;&gt;"",F410&lt;&gt;""),E410*F410,"")</f>
        <v>2373.5</v>
      </c>
    </row>
    <row r="411" ht="16.5" customHeight="1" s="71">
      <c r="B411" s="169" t="n">
        <v>46273</v>
      </c>
      <c r="C411" s="35" t="inlineStr">
        <is>
          <t>梅窖建军批发</t>
        </is>
      </c>
      <c r="D411" s="35" t="inlineStr">
        <is>
          <t>小果之茶</t>
        </is>
      </c>
      <c r="E411" s="35" t="n">
        <v>10</v>
      </c>
      <c r="F411" s="166" t="n">
        <v>47</v>
      </c>
      <c r="G411" s="166">
        <f>IF(AND(E411&lt;&gt;"",F411&lt;&gt;""),E411*F411,"")</f>
        <v>470</v>
      </c>
    </row>
    <row r="412" ht="16.5" customHeight="1" s="71">
      <c r="B412" s="169" t="n">
        <v>46273</v>
      </c>
      <c r="C412" s="35" t="inlineStr">
        <is>
          <t>永丰焦溪兰兰副食</t>
        </is>
      </c>
      <c r="D412" s="35" t="inlineStr">
        <is>
          <t>1L补水</t>
        </is>
      </c>
      <c r="E412" s="35" t="n">
        <v>3</v>
      </c>
      <c r="F412" s="166" t="n">
        <v>58</v>
      </c>
      <c r="G412" s="166">
        <f>IF(AND(E412&lt;&gt;"",F412&lt;&gt;""),E412*F412,"")</f>
        <v>174</v>
      </c>
    </row>
    <row r="413" ht="16.5" customHeight="1" s="71">
      <c r="B413" s="169" t="n">
        <v>46273</v>
      </c>
      <c r="C413" s="35" t="inlineStr">
        <is>
          <t>永丰焦溪兰兰副食</t>
        </is>
      </c>
      <c r="D413" s="35" t="inlineStr">
        <is>
          <t>1L果之茶</t>
        </is>
      </c>
      <c r="E413" s="35" t="n">
        <v>1</v>
      </c>
      <c r="F413" s="166" t="n">
        <v>46</v>
      </c>
      <c r="G413" s="166">
        <f>IF(AND(E413&lt;&gt;"",F413&lt;&gt;""),E413*F413,"")</f>
        <v>46</v>
      </c>
    </row>
    <row r="414" ht="16.5" customHeight="1" s="71">
      <c r="B414" s="169" t="n">
        <v>46273</v>
      </c>
      <c r="C414" s="35" t="inlineStr">
        <is>
          <t>永丰焦溪兰兰副食</t>
        </is>
      </c>
      <c r="D414" s="35" t="inlineStr">
        <is>
          <t>1L焙好茶</t>
        </is>
      </c>
      <c r="E414" s="35" t="n">
        <v>1</v>
      </c>
      <c r="F414" s="166" t="n">
        <v>46</v>
      </c>
      <c r="G414" s="166">
        <f>IF(AND(E414&lt;&gt;"",F414&lt;&gt;""),E414*F414,"")</f>
        <v>46</v>
      </c>
    </row>
    <row r="415" ht="16.5" customHeight="1" s="71">
      <c r="B415" s="169" t="n">
        <v>46273</v>
      </c>
      <c r="C415" s="35" t="inlineStr">
        <is>
          <t>永丰焦溪兰兰副食</t>
        </is>
      </c>
      <c r="D415" s="35" t="inlineStr">
        <is>
          <t>大咖</t>
        </is>
      </c>
      <c r="E415" s="35" t="n">
        <v>1</v>
      </c>
      <c r="F415" s="166" t="n">
        <v>86</v>
      </c>
      <c r="G415" s="166">
        <f>IF(AND(E415&lt;&gt;"",F415&lt;&gt;""),E415*F415,"")</f>
        <v>86</v>
      </c>
    </row>
    <row r="416" ht="16.5" customHeight="1" s="71">
      <c r="B416" s="169" t="n">
        <v>46273</v>
      </c>
      <c r="C416" s="35" t="inlineStr">
        <is>
          <t>永丰焦溪兰兰副食</t>
        </is>
      </c>
      <c r="D416" s="35" t="inlineStr">
        <is>
          <t>大鹏</t>
        </is>
      </c>
      <c r="E416" s="35" t="n">
        <v>1</v>
      </c>
      <c r="F416" s="166" t="n">
        <v>86</v>
      </c>
      <c r="G416" s="166">
        <f>IF(AND(E416&lt;&gt;"",F416&lt;&gt;""),E416*F416,"")</f>
        <v>86</v>
      </c>
    </row>
    <row r="417" ht="16.5" customHeight="1" s="71">
      <c r="B417" s="169" t="n">
        <v>46274</v>
      </c>
      <c r="C417" s="35" t="inlineStr">
        <is>
          <t>滨江路莲花便利店</t>
        </is>
      </c>
      <c r="D417" s="35" t="inlineStr">
        <is>
          <t>小果之茶</t>
        </is>
      </c>
      <c r="E417" s="35" t="n">
        <v>4</v>
      </c>
      <c r="F417" s="166" t="n">
        <v>50</v>
      </c>
      <c r="G417" s="166">
        <f>IF(AND(E417&lt;&gt;"",F417&lt;&gt;""),E417*F417,"")</f>
        <v>200</v>
      </c>
    </row>
    <row r="418" ht="16.5" customHeight="1" s="71">
      <c r="B418" s="169" t="n">
        <v>46274</v>
      </c>
      <c r="C418" s="35" t="inlineStr">
        <is>
          <t>阿东副食</t>
        </is>
      </c>
      <c r="D418" s="35" t="inlineStr">
        <is>
          <t>小果之茶</t>
        </is>
      </c>
      <c r="E418" s="35" t="n">
        <v>140</v>
      </c>
      <c r="F418" s="166" t="n">
        <v>47</v>
      </c>
      <c r="G418" s="166">
        <f>IF(AND(E418&lt;&gt;"",F418&lt;&gt;""),E418*F418,"")</f>
        <v>6580</v>
      </c>
    </row>
    <row r="419" ht="16.5" customHeight="1" s="71">
      <c r="B419" s="169" t="n">
        <v>46274</v>
      </c>
      <c r="C419" s="35" t="inlineStr">
        <is>
          <t>阿东副食</t>
        </is>
      </c>
      <c r="D419" s="35" t="inlineStr">
        <is>
          <t>555椰子水</t>
        </is>
      </c>
      <c r="E419" s="35" t="n">
        <v>10</v>
      </c>
      <c r="F419" s="166" t="n">
        <v>93</v>
      </c>
      <c r="G419" s="166">
        <f>IF(AND(E419&lt;&gt;"",F419&lt;&gt;""),E419*F419,"")</f>
        <v>930</v>
      </c>
    </row>
    <row r="420" ht="16.5" customHeight="1" s="71">
      <c r="B420" s="169" t="n">
        <v>46274</v>
      </c>
      <c r="C420" s="35" t="inlineStr">
        <is>
          <t>马路下小卖部</t>
        </is>
      </c>
      <c r="D420" s="35" t="inlineStr">
        <is>
          <t>大东鹏</t>
        </is>
      </c>
      <c r="E420" s="35" t="n">
        <v>50</v>
      </c>
      <c r="F420" s="166" t="n">
        <v>93</v>
      </c>
      <c r="G420" s="166">
        <f>IF(AND(E420&lt;&gt;"",F420&lt;&gt;""),E420*F420,"")</f>
        <v>4650</v>
      </c>
    </row>
    <row r="421" ht="16.5" customHeight="1" s="71">
      <c r="B421" s="169" t="n">
        <v>46274</v>
      </c>
      <c r="C421" s="35" t="inlineStr">
        <is>
          <t>家家兴超市</t>
        </is>
      </c>
      <c r="D421" s="35" t="inlineStr">
        <is>
          <t>550农夫水</t>
        </is>
      </c>
      <c r="E421" s="35" t="n">
        <v>5</v>
      </c>
      <c r="F421" s="166" t="n">
        <v>12</v>
      </c>
      <c r="G421" s="166">
        <f>IF(AND(E421&lt;&gt;"",F421&lt;&gt;""),E421*F421,"")</f>
        <v>60</v>
      </c>
    </row>
    <row r="422" ht="16.5" customHeight="1" s="71">
      <c r="B422" s="169" t="n">
        <v>46274</v>
      </c>
      <c r="C422" s="35" t="inlineStr">
        <is>
          <t>家家兴超市</t>
        </is>
      </c>
      <c r="D422" s="35" t="inlineStr">
        <is>
          <t>500农夫饮料</t>
        </is>
      </c>
      <c r="E422" s="35" t="n">
        <v>4</v>
      </c>
      <c r="F422" s="166" t="n">
        <v>54</v>
      </c>
      <c r="G422" s="166">
        <f>IF(AND(E422&lt;&gt;"",F422&lt;&gt;""),E422*F422,"")</f>
        <v>216</v>
      </c>
    </row>
    <row r="423" ht="16.5" customHeight="1" s="71">
      <c r="B423" s="169" t="n">
        <v>46274</v>
      </c>
      <c r="C423" s="35" t="inlineStr">
        <is>
          <t>桐心源</t>
        </is>
      </c>
      <c r="D423" s="35" t="inlineStr">
        <is>
          <t>500农夫饮料</t>
        </is>
      </c>
      <c r="E423" s="35" t="n">
        <v>30</v>
      </c>
      <c r="F423" s="166" t="n">
        <v>55</v>
      </c>
      <c r="G423" s="166">
        <f>IF(AND(E423&lt;&gt;"",F423&lt;&gt;""),E423*F423,"")</f>
        <v>1650</v>
      </c>
    </row>
    <row r="424" ht="16.5" customHeight="1" s="71">
      <c r="B424" s="169" t="n">
        <v>46274</v>
      </c>
      <c r="C424" s="35" t="inlineStr">
        <is>
          <t>桐心源</t>
        </is>
      </c>
      <c r="D424" s="35" t="inlineStr">
        <is>
          <t>小果之茶</t>
        </is>
      </c>
      <c r="E424" s="35" t="n">
        <v>100</v>
      </c>
      <c r="F424" s="166" t="n">
        <v>47</v>
      </c>
      <c r="G424" s="166">
        <f>IF(AND(E424&lt;&gt;"",F424&lt;&gt;""),E424*F424,"")</f>
        <v>4700</v>
      </c>
    </row>
    <row r="425" ht="16.5" customHeight="1" s="71">
      <c r="B425" s="169" t="n">
        <v>46274</v>
      </c>
      <c r="C425" s="35" t="inlineStr">
        <is>
          <t>桐心源</t>
        </is>
      </c>
      <c r="D425" s="35" t="inlineStr">
        <is>
          <t>900农夫饮料</t>
        </is>
      </c>
      <c r="E425" s="35" t="n">
        <v>20</v>
      </c>
      <c r="F425" s="166" t="n">
        <v>62</v>
      </c>
      <c r="G425" s="166">
        <f>IF(AND(E425&lt;&gt;"",F425&lt;&gt;""),E425*F425,"")</f>
        <v>1240</v>
      </c>
    </row>
    <row r="426" ht="16.5" customHeight="1" s="71">
      <c r="B426" s="169" t="n">
        <v>46274</v>
      </c>
      <c r="C426" s="35" t="inlineStr">
        <is>
          <t>桐心源</t>
        </is>
      </c>
      <c r="D426" s="35" t="inlineStr">
        <is>
          <t>500农夫饮料</t>
        </is>
      </c>
      <c r="E426" s="35" t="n">
        <v>55</v>
      </c>
      <c r="F426" s="166" t="n">
        <v>55</v>
      </c>
      <c r="G426" s="166">
        <f>IF(AND(E426&lt;&gt;"",F426&lt;&gt;""),E426*F426,"")</f>
        <v>3025</v>
      </c>
    </row>
    <row r="427" ht="16.5" customHeight="1" s="71">
      <c r="B427" s="169" t="n">
        <v>46274</v>
      </c>
      <c r="C427" s="35" t="inlineStr">
        <is>
          <t>兴莲隆兴商行</t>
        </is>
      </c>
      <c r="D427" s="35" t="inlineStr">
        <is>
          <t>大咖</t>
        </is>
      </c>
      <c r="E427" s="35" t="n">
        <v>10</v>
      </c>
      <c r="F427" s="166" t="n">
        <v>83</v>
      </c>
      <c r="G427" s="166">
        <f>IF(AND(E427&lt;&gt;"",F427&lt;&gt;""),E427*F427,"")</f>
        <v>830</v>
      </c>
    </row>
    <row r="428" ht="16.5" customHeight="1" s="71">
      <c r="B428" s="169" t="n">
        <v>46274</v>
      </c>
      <c r="C428" s="35" t="inlineStr">
        <is>
          <t>高兴枫树平价超市</t>
        </is>
      </c>
      <c r="D428" s="35" t="inlineStr">
        <is>
          <t>555椰子水</t>
        </is>
      </c>
      <c r="E428" s="35" t="n">
        <v>1</v>
      </c>
      <c r="F428" s="166" t="n">
        <v>93</v>
      </c>
      <c r="G428" s="166">
        <f>IF(AND(E428&lt;&gt;"",F428&lt;&gt;""),E428*F428,"")</f>
        <v>93</v>
      </c>
    </row>
    <row r="429" ht="16.5" customHeight="1" s="71">
      <c r="B429" s="169" t="n">
        <v>46274</v>
      </c>
      <c r="C429" s="35" t="inlineStr">
        <is>
          <t>高兴枫树平价超市</t>
        </is>
      </c>
      <c r="D429" s="35" t="inlineStr">
        <is>
          <t>大咖</t>
        </is>
      </c>
      <c r="E429" s="35" t="n">
        <v>1</v>
      </c>
      <c r="F429" s="166" t="n">
        <v>86</v>
      </c>
      <c r="G429" s="166">
        <f>IF(AND(E429&lt;&gt;"",F429&lt;&gt;""),E429*F429,"")</f>
        <v>86</v>
      </c>
    </row>
    <row r="430" ht="16.5" customHeight="1" s="71">
      <c r="B430" s="169" t="n">
        <v>46274</v>
      </c>
      <c r="C430" s="35" t="inlineStr">
        <is>
          <t>高兴枫树平价超市</t>
        </is>
      </c>
      <c r="D430" s="35" t="inlineStr">
        <is>
          <t>555补水</t>
        </is>
      </c>
      <c r="E430" s="35" t="n">
        <v>1</v>
      </c>
      <c r="F430" s="166" t="n">
        <v>68</v>
      </c>
      <c r="G430" s="166">
        <f>IF(AND(E430&lt;&gt;"",F430&lt;&gt;""),E430*F430,"")</f>
        <v>68</v>
      </c>
    </row>
    <row r="431" ht="16.5" customHeight="1" s="71">
      <c r="B431" s="169" t="n">
        <v>46274</v>
      </c>
      <c r="C431" s="35" t="inlineStr">
        <is>
          <t>高兴枫树平价超市</t>
        </is>
      </c>
      <c r="D431" s="35" t="inlineStr">
        <is>
          <t>555补水</t>
        </is>
      </c>
      <c r="E431" s="35" t="n">
        <v>2</v>
      </c>
      <c r="F431" s="166" t="n">
        <v>2.833</v>
      </c>
      <c r="G431" s="166" t="n">
        <v>5</v>
      </c>
    </row>
    <row r="432" ht="16.5" customHeight="1" s="71">
      <c r="B432" s="169" t="n">
        <v>46275</v>
      </c>
      <c r="C432" s="35" t="inlineStr">
        <is>
          <t>小梅商行</t>
        </is>
      </c>
      <c r="D432" s="35" t="inlineStr">
        <is>
          <t>大东鹏</t>
        </is>
      </c>
      <c r="E432" s="35" t="n">
        <v>300</v>
      </c>
      <c r="F432" s="166" t="n">
        <v>90</v>
      </c>
      <c r="G432" s="166">
        <f>IF(AND(E432&lt;&gt;"",F432&lt;&gt;""),E432*F432,"")</f>
        <v>27000</v>
      </c>
    </row>
    <row r="433" ht="16.5" customHeight="1" s="71">
      <c r="B433" s="169" t="n">
        <v>46275</v>
      </c>
      <c r="C433" s="35" t="inlineStr">
        <is>
          <t>金凤副食</t>
        </is>
      </c>
      <c r="D433" s="35" t="inlineStr">
        <is>
          <t>1L补水</t>
        </is>
      </c>
      <c r="E433" s="35" t="n">
        <v>50</v>
      </c>
      <c r="F433" s="166" t="n">
        <v>55</v>
      </c>
      <c r="G433" s="166">
        <f>IF(AND(E433&lt;&gt;"",F433&lt;&gt;""),E433*F433,"")</f>
        <v>2750</v>
      </c>
      <c r="H433" s="66" t="inlineStr">
        <is>
          <t>大补水，奶茶抵150件小果汁茶</t>
        </is>
      </c>
    </row>
    <row r="434" ht="16.5" customHeight="1" s="71">
      <c r="B434" s="169" t="n">
        <v>46275</v>
      </c>
      <c r="C434" s="35" t="inlineStr">
        <is>
          <t>金凤副食</t>
        </is>
      </c>
      <c r="D434" s="35" t="inlineStr">
        <is>
          <t>港式奶茶</t>
        </is>
      </c>
      <c r="E434" s="35" t="n">
        <v>55</v>
      </c>
      <c r="F434" s="166" t="n">
        <v>69</v>
      </c>
      <c r="G434" s="166">
        <f>IF(AND(E434&lt;&gt;"",F434&lt;&gt;""),E434*F434,"")</f>
        <v>3795</v>
      </c>
    </row>
    <row r="435" ht="16.5" customHeight="1" s="71">
      <c r="B435" s="169" t="n">
        <v>46275</v>
      </c>
      <c r="C435" s="35" t="inlineStr">
        <is>
          <t>贸易广场老吴副食</t>
        </is>
      </c>
      <c r="D435" s="35" t="inlineStr">
        <is>
          <t>小果之茶</t>
        </is>
      </c>
      <c r="E435" s="35" t="n">
        <v>17.5</v>
      </c>
      <c r="F435" s="166" t="n">
        <v>47</v>
      </c>
      <c r="G435" s="166">
        <f>IF(AND(E435&lt;&gt;"",F435&lt;&gt;""),E435*F435,"")</f>
        <v>822.5</v>
      </c>
    </row>
    <row r="436" ht="16.5" customHeight="1" s="71">
      <c r="B436" s="169" t="n">
        <v>46276</v>
      </c>
      <c r="C436" s="35" t="inlineStr">
        <is>
          <t>王玉琴</t>
        </is>
      </c>
      <c r="D436" s="35" t="inlineStr">
        <is>
          <t>大东鹏</t>
        </is>
      </c>
      <c r="E436" s="35" t="n">
        <v>50</v>
      </c>
      <c r="F436" s="166" t="n">
        <v>90</v>
      </c>
      <c r="G436" s="166">
        <f>IF(AND(E436&lt;&gt;"",F436&lt;&gt;""),E436*F436,"")</f>
        <v>4500</v>
      </c>
    </row>
    <row r="437" ht="16.5" customHeight="1" s="71">
      <c r="B437" s="169" t="n">
        <v>46276</v>
      </c>
      <c r="C437" s="35" t="inlineStr">
        <is>
          <t>和睦公园百顺</t>
        </is>
      </c>
      <c r="D437" s="35" t="inlineStr">
        <is>
          <t>1L补水</t>
        </is>
      </c>
      <c r="E437" s="35" t="n">
        <v>70</v>
      </c>
      <c r="F437" s="166" t="n">
        <v>55</v>
      </c>
      <c r="G437" s="166">
        <f>IF(AND(E437&lt;&gt;"",F437&lt;&gt;""),E437*F437,"")</f>
        <v>3850</v>
      </c>
    </row>
    <row r="438" ht="16.5" customHeight="1" s="71">
      <c r="B438" s="169" t="n">
        <v>46276</v>
      </c>
      <c r="C438" s="35" t="inlineStr">
        <is>
          <t>和睦公园百顺</t>
        </is>
      </c>
      <c r="D438" s="35" t="inlineStr">
        <is>
          <t>小果之茶</t>
        </is>
      </c>
      <c r="E438" s="35" t="n">
        <v>70</v>
      </c>
      <c r="F438" s="166" t="n">
        <v>47</v>
      </c>
      <c r="G438" s="166">
        <f>IF(AND(E438&lt;&gt;"",F438&lt;&gt;""),E438*F438,"")</f>
        <v>3290</v>
      </c>
    </row>
    <row r="439" ht="16.5" customHeight="1" s="71">
      <c r="B439" s="169" t="n">
        <v>46276</v>
      </c>
      <c r="C439" s="35" t="inlineStr">
        <is>
          <t>和睦公园百顺</t>
        </is>
      </c>
      <c r="D439" s="35" t="inlineStr">
        <is>
          <t>1L果之茶</t>
        </is>
      </c>
      <c r="E439" s="35" t="n">
        <v>43</v>
      </c>
      <c r="F439" s="166" t="n">
        <v>43</v>
      </c>
      <c r="G439" s="166">
        <f>IF(AND(E439&lt;&gt;"",F439&lt;&gt;""),E439*F439,"")</f>
        <v>1849</v>
      </c>
    </row>
    <row r="440" ht="16.5" customHeight="1" s="71">
      <c r="B440" s="169" t="n">
        <v>46279</v>
      </c>
      <c r="C440" s="35" t="inlineStr">
        <is>
          <t>滨江荣香副食</t>
        </is>
      </c>
      <c r="D440" s="35" t="inlineStr">
        <is>
          <t>小果之茶</t>
        </is>
      </c>
      <c r="E440" s="35" t="n">
        <v>5</v>
      </c>
      <c r="F440" s="166" t="n">
        <v>50</v>
      </c>
      <c r="G440" s="166">
        <f>IF(AND(E440&lt;&gt;"",F440&lt;&gt;""),E440*F440,"")</f>
        <v>250</v>
      </c>
    </row>
    <row r="441" ht="16.5" customHeight="1" s="71">
      <c r="B441" s="169" t="n">
        <v>46279</v>
      </c>
      <c r="C441" s="35" t="inlineStr">
        <is>
          <t>滨江路莲花便利店</t>
        </is>
      </c>
      <c r="D441" s="35" t="inlineStr">
        <is>
          <t>大东鹏</t>
        </is>
      </c>
      <c r="E441" s="35" t="n">
        <v>15</v>
      </c>
      <c r="F441" s="166" t="n">
        <v>93</v>
      </c>
      <c r="G441" s="166">
        <f>IF(AND(E441&lt;&gt;"",F441&lt;&gt;""),E441*F441,"")</f>
        <v>1395</v>
      </c>
    </row>
    <row r="442" ht="16.5" customHeight="1" s="71">
      <c r="B442" s="169" t="n">
        <v>46279</v>
      </c>
      <c r="C442" s="35" t="inlineStr">
        <is>
          <t>贸易广场老吴副食</t>
        </is>
      </c>
      <c r="D442" s="35" t="inlineStr">
        <is>
          <t>小果之茶</t>
        </is>
      </c>
      <c r="E442" s="35" t="n">
        <v>10</v>
      </c>
      <c r="F442" s="166" t="n">
        <v>470</v>
      </c>
      <c r="G442" s="166">
        <f>IF(AND(E442&lt;&gt;"",F442&lt;&gt;""),E442*F442,"")</f>
        <v>4700</v>
      </c>
    </row>
    <row r="443" ht="16.5" customHeight="1" s="71">
      <c r="B443" s="169" t="n">
        <v>46279</v>
      </c>
      <c r="C443" s="35" t="inlineStr">
        <is>
          <t>均村桃姐水果店</t>
        </is>
      </c>
      <c r="D443" s="35" t="inlineStr">
        <is>
          <t>小果之茶</t>
        </is>
      </c>
      <c r="E443" s="35" t="n">
        <v>26</v>
      </c>
      <c r="F443" s="166" t="n">
        <v>50</v>
      </c>
      <c r="G443" s="166">
        <f>IF(AND(E443&lt;&gt;"",F443&lt;&gt;""),E443*F443,"")</f>
        <v>1300</v>
      </c>
    </row>
    <row r="444" ht="16.5" customHeight="1" s="71">
      <c r="B444" s="169" t="n">
        <v>46278</v>
      </c>
      <c r="C444" s="35" t="inlineStr">
        <is>
          <t>贸易广场老吴副食</t>
        </is>
      </c>
      <c r="D444" s="35" t="inlineStr">
        <is>
          <t>小果之茶</t>
        </is>
      </c>
      <c r="E444" s="35" t="n">
        <v>100</v>
      </c>
      <c r="F444" s="166" t="n">
        <v>47</v>
      </c>
      <c r="G444" s="166">
        <f>IF(AND(E444&lt;&gt;"",F444&lt;&gt;""),E444*F444,"")</f>
        <v>4700</v>
      </c>
    </row>
    <row r="445" ht="16.5" customHeight="1" s="71">
      <c r="B445" s="169" t="n">
        <v>46278</v>
      </c>
      <c r="C445" s="35" t="inlineStr">
        <is>
          <t>桐心源</t>
        </is>
      </c>
      <c r="D445" s="35" t="inlineStr">
        <is>
          <t>小果之茶</t>
        </is>
      </c>
      <c r="E445" s="35" t="n">
        <v>150</v>
      </c>
      <c r="F445" s="166" t="n">
        <v>47</v>
      </c>
      <c r="G445" s="166">
        <f>IF(AND(E445&lt;&gt;"",F445&lt;&gt;""),E445*F445,"")</f>
        <v>7050</v>
      </c>
    </row>
    <row r="446" ht="16.5" customHeight="1" s="71">
      <c r="B446" s="169" t="n">
        <v>46280</v>
      </c>
      <c r="C446" s="35" t="inlineStr">
        <is>
          <t>致发商行</t>
        </is>
      </c>
      <c r="D446" s="35" t="inlineStr">
        <is>
          <t>1L果之茶</t>
        </is>
      </c>
      <c r="E446" s="35" t="n">
        <v>40</v>
      </c>
      <c r="F446" s="166" t="n">
        <v>43</v>
      </c>
      <c r="G446" s="166">
        <f>IF(AND(E446&lt;&gt;"",F446&lt;&gt;""),E446*F446,"")</f>
        <v>1720</v>
      </c>
    </row>
    <row r="447" ht="16.5" customHeight="1" s="71">
      <c r="B447" s="169" t="n">
        <v>46280</v>
      </c>
      <c r="C447" s="27" t="inlineStr">
        <is>
          <t>良村万家欢超市</t>
        </is>
      </c>
      <c r="D447" s="35" t="inlineStr">
        <is>
          <t>大东鹏</t>
        </is>
      </c>
      <c r="E447" s="35" t="n">
        <v>15</v>
      </c>
      <c r="F447" s="166" t="n">
        <v>93</v>
      </c>
      <c r="G447" s="166">
        <f>IF(AND(E447&lt;&gt;"",F447&lt;&gt;""),E447*F447,"")</f>
        <v>1395</v>
      </c>
    </row>
    <row r="448" ht="16.5" customHeight="1" s="71">
      <c r="B448" s="169" t="n">
        <v>46281</v>
      </c>
      <c r="C448" s="35" t="inlineStr">
        <is>
          <t>致发商行</t>
        </is>
      </c>
      <c r="D448" s="35" t="inlineStr">
        <is>
          <t>小果之茶</t>
        </is>
      </c>
      <c r="E448" s="35" t="n">
        <v>30</v>
      </c>
      <c r="F448" s="166" t="n">
        <v>47</v>
      </c>
      <c r="G448" s="166">
        <f>IF(AND(E448&lt;&gt;"",F448&lt;&gt;""),E448*F448,"")</f>
        <v>1410</v>
      </c>
    </row>
    <row r="449" ht="16.5" customHeight="1" s="71">
      <c r="B449" s="169" t="n">
        <v>46281</v>
      </c>
      <c r="C449" s="35" t="inlineStr">
        <is>
          <t>致发商行</t>
        </is>
      </c>
      <c r="D449" s="35" t="inlineStr">
        <is>
          <t>555补水</t>
        </is>
      </c>
      <c r="E449" s="35" t="n">
        <v>80</v>
      </c>
      <c r="F449" s="166" t="n">
        <v>65</v>
      </c>
      <c r="G449" s="166">
        <f>IF(AND(E449&lt;&gt;"",F449&lt;&gt;""),E449*F449,"")</f>
        <v>5200</v>
      </c>
    </row>
    <row r="450" ht="16.5" customHeight="1" s="71">
      <c r="B450" s="169" t="n">
        <v>46281</v>
      </c>
      <c r="C450" s="35" t="inlineStr">
        <is>
          <t>家家兴超市</t>
        </is>
      </c>
      <c r="D450" s="35" t="inlineStr">
        <is>
          <t>500农夫饮料</t>
        </is>
      </c>
      <c r="E450" s="35" t="n">
        <v>3</v>
      </c>
      <c r="F450" s="166" t="n">
        <v>54</v>
      </c>
      <c r="G450" s="166">
        <f>IF(AND(E450&lt;&gt;"",F450&lt;&gt;""),E450*F450,"")</f>
        <v>162</v>
      </c>
    </row>
    <row r="451" ht="16.5" customHeight="1" s="71">
      <c r="B451" s="169" t="n">
        <v>46281</v>
      </c>
      <c r="C451" s="35" t="inlineStr">
        <is>
          <t>桐心源</t>
        </is>
      </c>
      <c r="D451" s="35" t="inlineStr">
        <is>
          <t>小果之茶</t>
        </is>
      </c>
      <c r="E451" s="35" t="n">
        <v>200</v>
      </c>
      <c r="F451" s="166" t="n">
        <v>47</v>
      </c>
      <c r="G451" s="166">
        <f>IF(AND(E451&lt;&gt;"",F451&lt;&gt;""),E451*F451,"")</f>
        <v>9400</v>
      </c>
    </row>
    <row r="452" ht="16.5" customHeight="1" s="71">
      <c r="B452" s="169" t="n">
        <v>46281</v>
      </c>
      <c r="C452" s="35" t="inlineStr">
        <is>
          <t>桐心源</t>
        </is>
      </c>
      <c r="D452" s="35" t="inlineStr">
        <is>
          <t>500农夫饮料</t>
        </is>
      </c>
      <c r="E452" s="35" t="n">
        <v>15</v>
      </c>
      <c r="F452" s="166" t="n">
        <v>55</v>
      </c>
      <c r="G452" s="166">
        <f>IF(AND(E452&lt;&gt;"",F452&lt;&gt;""),E452*F452,"")</f>
        <v>825</v>
      </c>
    </row>
    <row r="453" ht="16.5" customHeight="1" s="71">
      <c r="B453" s="169" t="n">
        <v>46281</v>
      </c>
      <c r="C453" s="35" t="inlineStr">
        <is>
          <t>桐心源</t>
        </is>
      </c>
      <c r="D453" s="35" t="inlineStr">
        <is>
          <t>500农夫饮料</t>
        </is>
      </c>
      <c r="E453" s="35" t="n">
        <v>20</v>
      </c>
      <c r="F453" s="166" t="n">
        <v>55</v>
      </c>
      <c r="G453" s="166">
        <f>IF(AND(E453&lt;&gt;"",F453&lt;&gt;""),E453*F453,"")</f>
        <v>1100</v>
      </c>
    </row>
    <row r="454" ht="16.5" customHeight="1" s="71">
      <c r="B454" s="169" t="n">
        <v>46281</v>
      </c>
      <c r="C454" s="35" t="inlineStr">
        <is>
          <t>桐心源</t>
        </is>
      </c>
      <c r="D454" s="35" t="inlineStr">
        <is>
          <t>500农夫饮料</t>
        </is>
      </c>
      <c r="E454" s="35" t="n">
        <v>50</v>
      </c>
      <c r="F454" s="166" t="n">
        <v>55</v>
      </c>
      <c r="G454" s="166">
        <f>IF(AND(E454&lt;&gt;"",F454&lt;&gt;""),E454*F454,"")</f>
        <v>2750</v>
      </c>
    </row>
    <row r="455" ht="16.5" customHeight="1" s="71">
      <c r="B455" s="169" t="n">
        <v>46281</v>
      </c>
      <c r="C455" s="35" t="inlineStr">
        <is>
          <t>桐心源</t>
        </is>
      </c>
      <c r="D455" s="35" t="inlineStr">
        <is>
          <t>550农夫水</t>
        </is>
      </c>
      <c r="E455" s="35" t="n">
        <v>20</v>
      </c>
      <c r="F455" s="166" t="n">
        <v>24</v>
      </c>
      <c r="G455" s="166">
        <f>IF(AND(E455&lt;&gt;"",F455&lt;&gt;""),E455*F455,"")</f>
        <v>480</v>
      </c>
    </row>
    <row r="456" ht="16.5" customHeight="1" s="71">
      <c r="B456" s="169" t="n">
        <v>46281</v>
      </c>
      <c r="C456" s="35" t="inlineStr">
        <is>
          <t>贸易广场老吴副食</t>
        </is>
      </c>
      <c r="D456" s="35" t="inlineStr">
        <is>
          <t>1L补水</t>
        </is>
      </c>
      <c r="E456" s="35" t="n">
        <v>17.5</v>
      </c>
      <c r="F456" s="166" t="n">
        <v>55</v>
      </c>
      <c r="G456" s="166">
        <f>IF(AND(E456&lt;&gt;"",F456&lt;&gt;""),E456*F456,"")</f>
        <v>962.5</v>
      </c>
    </row>
    <row r="457" ht="16.5" customHeight="1" s="71">
      <c r="B457" s="169" t="n">
        <v>46281</v>
      </c>
      <c r="C457" s="35" t="inlineStr">
        <is>
          <t>贸易广场老吴副食</t>
        </is>
      </c>
      <c r="D457" s="35" t="inlineStr">
        <is>
          <t>555补水</t>
        </is>
      </c>
      <c r="E457" s="35" t="n">
        <v>17.5</v>
      </c>
      <c r="F457" s="166" t="n">
        <v>65</v>
      </c>
      <c r="G457" s="166">
        <f>IF(AND(E457&lt;&gt;"",F457&lt;&gt;""),E457*F457,"")</f>
        <v>1137.5</v>
      </c>
    </row>
    <row r="458" ht="16.5" customHeight="1" s="71">
      <c r="B458" s="169" t="n">
        <v>46281</v>
      </c>
      <c r="C458" s="35" t="inlineStr">
        <is>
          <t>滨江路小红花便利店</t>
        </is>
      </c>
      <c r="D458" s="35" t="inlineStr">
        <is>
          <t>小果之茶</t>
        </is>
      </c>
      <c r="E458" s="35" t="n">
        <v>6</v>
      </c>
      <c r="F458" s="166" t="n">
        <v>50</v>
      </c>
      <c r="G458" s="166">
        <f>IF(AND(E458&lt;&gt;"",F458&lt;&gt;""),E458*F458,"")</f>
        <v>300</v>
      </c>
    </row>
    <row r="459" ht="16.5" customHeight="1" s="71">
      <c r="B459" s="169" t="n">
        <v>46281</v>
      </c>
      <c r="C459" s="35" t="inlineStr">
        <is>
          <t>滨江路小红花便利店</t>
        </is>
      </c>
      <c r="D459" s="35" t="inlineStr">
        <is>
          <t>555补水</t>
        </is>
      </c>
      <c r="E459" s="35" t="n">
        <v>4</v>
      </c>
      <c r="F459" s="166" t="n">
        <v>68</v>
      </c>
      <c r="G459" s="166">
        <f>IF(AND(E459&lt;&gt;"",F459&lt;&gt;""),E459*F459,"")</f>
        <v>272</v>
      </c>
    </row>
    <row r="460" ht="16.5" customHeight="1" s="71">
      <c r="B460" s="169" t="n">
        <v>46283</v>
      </c>
      <c r="C460" s="35" t="inlineStr">
        <is>
          <t>桐心源</t>
        </is>
      </c>
      <c r="D460" s="35" t="inlineStr">
        <is>
          <t>500农夫饮料</t>
        </is>
      </c>
      <c r="E460" s="35" t="n">
        <v>15</v>
      </c>
      <c r="F460" s="166" t="n">
        <v>55</v>
      </c>
      <c r="G460" s="166">
        <f>IF(AND(E460&lt;&gt;"",F460&lt;&gt;""),E460*F460,"")</f>
        <v>825</v>
      </c>
    </row>
    <row r="461" ht="16.5" customHeight="1" s="71">
      <c r="B461" s="169" t="n">
        <v>46283</v>
      </c>
      <c r="C461" s="35" t="inlineStr">
        <is>
          <t>桐心源</t>
        </is>
      </c>
      <c r="D461" s="35" t="inlineStr">
        <is>
          <t>小果之茶</t>
        </is>
      </c>
      <c r="E461" s="35" t="n">
        <v>30</v>
      </c>
      <c r="F461" s="166" t="n">
        <v>47</v>
      </c>
      <c r="G461" s="166">
        <f>IF(AND(E461&lt;&gt;"",F461&lt;&gt;""),E461*F461,"")</f>
        <v>1410</v>
      </c>
    </row>
    <row r="462" ht="16.5" customHeight="1" s="71">
      <c r="B462" s="169" t="n">
        <v>46283</v>
      </c>
      <c r="C462" s="35" t="inlineStr">
        <is>
          <t>桐心源</t>
        </is>
      </c>
      <c r="D462" s="35" t="inlineStr">
        <is>
          <t>555补水</t>
        </is>
      </c>
      <c r="E462" s="35" t="n">
        <v>20</v>
      </c>
      <c r="F462" s="166" t="n">
        <v>65</v>
      </c>
      <c r="G462" s="166">
        <f>IF(AND(E462&lt;&gt;"",F462&lt;&gt;""),E462*F462,"")</f>
        <v>1300</v>
      </c>
    </row>
    <row r="463" ht="16.5" customHeight="1" s="71">
      <c r="B463" s="169" t="n">
        <v>46283</v>
      </c>
      <c r="C463" s="35" t="inlineStr">
        <is>
          <t>阿东副食</t>
        </is>
      </c>
      <c r="D463" s="35" t="inlineStr">
        <is>
          <t>小果之茶</t>
        </is>
      </c>
      <c r="E463" s="35" t="n">
        <v>200</v>
      </c>
      <c r="F463" s="166" t="n">
        <v>47</v>
      </c>
      <c r="G463" s="166">
        <f>IF(AND(E463&lt;&gt;"",F463&lt;&gt;""),E463*F463,"")</f>
        <v>9400</v>
      </c>
    </row>
    <row r="464" ht="16.5" customHeight="1" s="71">
      <c r="B464" s="169" t="n">
        <v>46283</v>
      </c>
      <c r="C464" s="35" t="inlineStr">
        <is>
          <t>阿东副食</t>
        </is>
      </c>
      <c r="D464" s="35" t="inlineStr">
        <is>
          <t>555补水</t>
        </is>
      </c>
      <c r="E464" s="35" t="n">
        <v>50</v>
      </c>
      <c r="F464" s="166" t="n">
        <v>65</v>
      </c>
      <c r="G464" s="166">
        <f>IF(AND(E464&lt;&gt;"",F464&lt;&gt;""),E464*F464,"")</f>
        <v>3250</v>
      </c>
    </row>
    <row r="465" ht="16.5" customHeight="1" s="71">
      <c r="B465" s="169" t="n">
        <v>46283</v>
      </c>
      <c r="C465" s="35" t="inlineStr">
        <is>
          <t>阿东副食</t>
        </is>
      </c>
      <c r="D465" s="35" t="inlineStr">
        <is>
          <t>大东鹏</t>
        </is>
      </c>
      <c r="E465" s="35" t="n">
        <v>100</v>
      </c>
      <c r="F465" s="166" t="n">
        <v>90</v>
      </c>
      <c r="G465" s="166">
        <f>IF(AND(E465&lt;&gt;"",F465&lt;&gt;""),E465*F465,"")</f>
        <v>9000</v>
      </c>
    </row>
    <row r="466" ht="16.5" customHeight="1" s="71">
      <c r="B466" s="169" t="n">
        <v>46282</v>
      </c>
      <c r="C466" s="35" t="inlineStr">
        <is>
          <t>金凤副食</t>
        </is>
      </c>
      <c r="D466" s="35" t="inlineStr">
        <is>
          <t>小果之茶</t>
        </is>
      </c>
      <c r="E466" s="35" t="n">
        <v>100</v>
      </c>
      <c r="F466" s="166" t="n">
        <v>47</v>
      </c>
      <c r="G466" s="166">
        <f>IF(AND(E466&lt;&gt;"",F466&lt;&gt;""),E466*F466,"")</f>
        <v>4700</v>
      </c>
    </row>
    <row r="467" ht="16.5" customHeight="1" s="71">
      <c r="B467" s="169" t="n">
        <v>46282</v>
      </c>
      <c r="C467" s="35" t="inlineStr">
        <is>
          <t>吕维春</t>
        </is>
      </c>
      <c r="D467" s="35" t="inlineStr">
        <is>
          <t>小果之茶</t>
        </is>
      </c>
      <c r="E467" s="35" t="n">
        <v>100</v>
      </c>
      <c r="F467" s="166" t="n">
        <v>47</v>
      </c>
      <c r="G467" s="166">
        <f>IF(AND(E467&lt;&gt;"",F467&lt;&gt;""),E467*F467,"")</f>
        <v>4700</v>
      </c>
    </row>
    <row r="468" ht="16.5" customHeight="1" s="71">
      <c r="B468" s="169" t="n">
        <v>46284</v>
      </c>
      <c r="C468" s="35" t="inlineStr">
        <is>
          <t>埠头如愿超市</t>
        </is>
      </c>
      <c r="D468" s="35" t="inlineStr">
        <is>
          <t>大东鹏</t>
        </is>
      </c>
      <c r="E468" s="35" t="n">
        <v>25</v>
      </c>
      <c r="F468" s="166" t="n">
        <v>93</v>
      </c>
      <c r="G468" s="166">
        <f>IF(AND(E468&lt;&gt;"",F468&lt;&gt;""),E468*F468,"")</f>
        <v>2325</v>
      </c>
    </row>
    <row r="469" ht="16.5" customHeight="1" s="71">
      <c r="B469" s="169" t="n">
        <v>46284</v>
      </c>
      <c r="C469" s="35" t="inlineStr">
        <is>
          <t>家家兴超市</t>
        </is>
      </c>
      <c r="D469" s="35" t="inlineStr">
        <is>
          <t>500农夫饮料</t>
        </is>
      </c>
      <c r="E469" s="35" t="n">
        <v>9</v>
      </c>
      <c r="F469" s="166" t="n">
        <v>54</v>
      </c>
      <c r="G469" s="166">
        <f>IF(AND(E469&lt;&gt;"",F469&lt;&gt;""),E469*F469,"")</f>
        <v>486</v>
      </c>
    </row>
    <row r="470" ht="16.5" customHeight="1" s="71">
      <c r="B470" s="169" t="n">
        <v>46284</v>
      </c>
      <c r="C470" s="35" t="inlineStr">
        <is>
          <t>贸易广场老吴副食</t>
        </is>
      </c>
      <c r="D470" s="35" t="inlineStr">
        <is>
          <t>小果之茶</t>
        </is>
      </c>
      <c r="E470" s="35" t="n">
        <v>90</v>
      </c>
      <c r="F470" s="166" t="n">
        <v>47</v>
      </c>
      <c r="G470" s="166">
        <f>IF(AND(E470&lt;&gt;"",F470&lt;&gt;""),E470*F470,"")</f>
        <v>4230</v>
      </c>
    </row>
    <row r="471" ht="16.5" customHeight="1" s="71">
      <c r="B471" s="169" t="n">
        <v>46284</v>
      </c>
      <c r="C471" s="35" t="inlineStr">
        <is>
          <t>家家兴超市</t>
        </is>
      </c>
      <c r="D471" s="35" t="inlineStr">
        <is>
          <t>500农夫饮料</t>
        </is>
      </c>
      <c r="E471" s="35" t="n">
        <v>4</v>
      </c>
      <c r="F471" s="166" t="n">
        <v>54</v>
      </c>
      <c r="G471" s="166">
        <f>IF(AND(E471&lt;&gt;"",F471&lt;&gt;""),E471*F471,"")</f>
        <v>216</v>
      </c>
    </row>
    <row r="472" ht="16.5" customHeight="1" s="71">
      <c r="B472" s="169" t="n">
        <v>46284</v>
      </c>
      <c r="C472" s="35" t="inlineStr">
        <is>
          <t>滨江路小红花便利店</t>
        </is>
      </c>
      <c r="D472" s="35" t="inlineStr">
        <is>
          <t>小果之茶</t>
        </is>
      </c>
      <c r="E472" s="35" t="n">
        <v>10</v>
      </c>
      <c r="F472" s="166" t="n">
        <v>50</v>
      </c>
      <c r="G472" s="166">
        <f>IF(AND(E472&lt;&gt;"",F472&lt;&gt;""),E472*F472,"")</f>
        <v>500</v>
      </c>
    </row>
    <row r="473" ht="16.5" customHeight="1" s="71">
      <c r="B473" s="169" t="n">
        <v>46284</v>
      </c>
      <c r="C473" s="35" t="inlineStr">
        <is>
          <t>洪门兴诚超市</t>
        </is>
      </c>
      <c r="D473" s="35" t="inlineStr">
        <is>
          <t>小果之茶</t>
        </is>
      </c>
      <c r="E473" s="35" t="n">
        <v>17.5</v>
      </c>
      <c r="F473" s="166" t="n">
        <v>47</v>
      </c>
      <c r="G473" s="166">
        <f>IF(AND(E473&lt;&gt;"",F473&lt;&gt;""),E473*F473,"")</f>
        <v>822.5</v>
      </c>
    </row>
    <row r="474" ht="16.5" customHeight="1" s="71">
      <c r="B474" s="169" t="n">
        <v>46284</v>
      </c>
      <c r="C474" s="35" t="inlineStr">
        <is>
          <t>火车站关新平</t>
        </is>
      </c>
      <c r="D474" s="35" t="inlineStr">
        <is>
          <t>大东鹏</t>
        </is>
      </c>
      <c r="E474" s="35" t="n">
        <v>10</v>
      </c>
      <c r="F474" s="166" t="n">
        <v>93</v>
      </c>
      <c r="G474" s="166">
        <f>IF(AND(E474&lt;&gt;"",F474&lt;&gt;""),E474*F474,"")</f>
        <v>930</v>
      </c>
    </row>
    <row r="475" ht="16.5" customHeight="1" s="71">
      <c r="B475" s="169" t="n">
        <v>46287</v>
      </c>
      <c r="C475" s="35" t="inlineStr">
        <is>
          <t>王玉琴</t>
        </is>
      </c>
      <c r="D475" s="35" t="inlineStr">
        <is>
          <t>大东鹏</t>
        </is>
      </c>
      <c r="E475" s="35" t="n">
        <v>50</v>
      </c>
      <c r="F475" s="166" t="n">
        <v>90</v>
      </c>
      <c r="G475" s="166">
        <f>IF(AND(E475&lt;&gt;"",F475&lt;&gt;""),E475*F475,"")</f>
        <v>4500</v>
      </c>
    </row>
    <row r="476" ht="16.5" customHeight="1" s="71">
      <c r="B476" s="169" t="n">
        <v>46287</v>
      </c>
      <c r="C476" s="35" t="inlineStr">
        <is>
          <t>贸易广场老吴副食</t>
        </is>
      </c>
      <c r="D476" s="35" t="inlineStr">
        <is>
          <t>大东鹏</t>
        </is>
      </c>
      <c r="E476" s="35" t="n">
        <v>30</v>
      </c>
      <c r="F476" s="166" t="n">
        <v>90</v>
      </c>
      <c r="G476" s="166">
        <f>IF(AND(E476&lt;&gt;"",F476&lt;&gt;""),E476*F476,"")</f>
        <v>2700</v>
      </c>
    </row>
    <row r="477" ht="16.5" customHeight="1" s="71">
      <c r="B477" s="169" t="n">
        <v>46287</v>
      </c>
      <c r="C477" s="35" t="inlineStr">
        <is>
          <t>贸易广场老吴副食</t>
        </is>
      </c>
      <c r="D477" s="35" t="inlineStr">
        <is>
          <t>小果之茶</t>
        </is>
      </c>
      <c r="E477" s="35" t="n">
        <v>100</v>
      </c>
      <c r="F477" s="166" t="n">
        <v>47</v>
      </c>
      <c r="G477" s="166">
        <f>IF(AND(E477&lt;&gt;"",F477&lt;&gt;""),E477*F477,"")</f>
        <v>4700</v>
      </c>
    </row>
    <row r="478" ht="16.5" customHeight="1" s="71">
      <c r="B478" s="169" t="n">
        <v>46287</v>
      </c>
      <c r="C478" s="35" t="inlineStr">
        <is>
          <t>洪门C区李记商行</t>
        </is>
      </c>
      <c r="D478" s="35" t="inlineStr">
        <is>
          <t>大东鹏</t>
        </is>
      </c>
      <c r="E478" s="35" t="n">
        <v>40</v>
      </c>
      <c r="F478" s="166" t="n">
        <v>90</v>
      </c>
      <c r="G478" s="166">
        <f>IF(AND(E478&lt;&gt;"",F478&lt;&gt;""),E478*F478,"")</f>
        <v>3600</v>
      </c>
    </row>
    <row r="479" ht="16.5" customHeight="1" s="71">
      <c r="B479" s="169" t="n">
        <v>46287</v>
      </c>
      <c r="C479" s="35" t="inlineStr">
        <is>
          <t>滨江路小红花便利店</t>
        </is>
      </c>
      <c r="D479" s="35" t="inlineStr">
        <is>
          <t>小果之茶</t>
        </is>
      </c>
      <c r="E479" s="35" t="n">
        <v>5</v>
      </c>
      <c r="F479" s="166" t="n">
        <v>50</v>
      </c>
      <c r="G479" s="166">
        <f>IF(AND(E479&lt;&gt;"",F479&lt;&gt;""),E479*F479,"")</f>
        <v>250</v>
      </c>
    </row>
    <row r="480" ht="16.5" customHeight="1" s="71">
      <c r="B480" s="169" t="n">
        <v>46287</v>
      </c>
      <c r="C480" s="35" t="inlineStr">
        <is>
          <t>家家兴超市</t>
        </is>
      </c>
      <c r="D480" s="35" t="inlineStr">
        <is>
          <t>500农夫饮料</t>
        </is>
      </c>
      <c r="E480" s="35" t="n">
        <v>5</v>
      </c>
      <c r="F480" s="166" t="n">
        <v>54</v>
      </c>
      <c r="G480" s="166">
        <f>IF(AND(E480&lt;&gt;"",F480&lt;&gt;""),E480*F480,"")</f>
        <v>270</v>
      </c>
    </row>
    <row r="481" ht="16.5" customHeight="1" s="71">
      <c r="B481" s="169" t="n">
        <v>46288</v>
      </c>
      <c r="C481" s="35" t="inlineStr">
        <is>
          <t>滨江路莲花便利店</t>
        </is>
      </c>
      <c r="D481" s="35" t="inlineStr">
        <is>
          <t>小果之茶</t>
        </is>
      </c>
      <c r="E481" s="35" t="n">
        <v>6</v>
      </c>
      <c r="F481" s="166" t="n">
        <v>50</v>
      </c>
      <c r="G481" s="166">
        <f>IF(AND(E481&lt;&gt;"",F481&lt;&gt;""),E481*F481,"")</f>
        <v>300</v>
      </c>
    </row>
    <row r="482" ht="16.5" customHeight="1" s="71">
      <c r="B482" s="169" t="n">
        <v>46288</v>
      </c>
      <c r="C482" s="35" t="inlineStr">
        <is>
          <t>桐心源</t>
        </is>
      </c>
      <c r="D482" s="35" t="inlineStr">
        <is>
          <t>900农夫饮料</t>
        </is>
      </c>
      <c r="E482" s="35" t="n">
        <v>2</v>
      </c>
      <c r="F482" s="166" t="n">
        <v>62</v>
      </c>
      <c r="G482" s="166">
        <f>IF(AND(E482&lt;&gt;"",F482&lt;&gt;""),E482*F482,"")</f>
        <v>124</v>
      </c>
    </row>
    <row r="483" ht="16.5" customHeight="1" s="71">
      <c r="B483" s="169" t="n">
        <v>46288</v>
      </c>
      <c r="C483" s="35" t="inlineStr">
        <is>
          <t>桐心源</t>
        </is>
      </c>
      <c r="D483" s="35" t="inlineStr">
        <is>
          <t>500农夫饮料</t>
        </is>
      </c>
      <c r="E483" s="35" t="n">
        <v>7</v>
      </c>
      <c r="F483" s="166" t="n">
        <v>55</v>
      </c>
      <c r="G483" s="166">
        <f>IF(AND(E483&lt;&gt;"",F483&lt;&gt;""),E483*F483,"")</f>
        <v>385</v>
      </c>
    </row>
    <row r="484" ht="16.5" customHeight="1" s="71">
      <c r="B484" s="169" t="n">
        <v>46288</v>
      </c>
      <c r="C484" s="35" t="inlineStr">
        <is>
          <t>阿东副食</t>
        </is>
      </c>
      <c r="D484" s="35" t="inlineStr">
        <is>
          <t>小果之茶</t>
        </is>
      </c>
      <c r="E484" s="35" t="n">
        <v>200</v>
      </c>
      <c r="F484" s="166" t="n">
        <v>47</v>
      </c>
      <c r="G484" s="166">
        <f>IF(AND(E484&lt;&gt;"",F484&lt;&gt;""),E484*F484,"")</f>
        <v>9400</v>
      </c>
    </row>
    <row r="485" ht="16.5" customHeight="1" s="71">
      <c r="B485" s="169" t="n">
        <v>46288</v>
      </c>
      <c r="C485" s="35" t="inlineStr">
        <is>
          <t>阿东副食</t>
        </is>
      </c>
      <c r="D485" s="35" t="inlineStr">
        <is>
          <t>1L果之茶</t>
        </is>
      </c>
      <c r="E485" s="35" t="n">
        <v>50</v>
      </c>
      <c r="F485" s="166" t="n">
        <v>43</v>
      </c>
      <c r="G485" s="166">
        <f>IF(AND(E485&lt;&gt;"",F485&lt;&gt;""),E485*F485,"")</f>
        <v>2150</v>
      </c>
    </row>
    <row r="486" ht="16.5" customHeight="1" s="71">
      <c r="B486" s="169" t="n">
        <v>46288</v>
      </c>
      <c r="C486" s="35" t="inlineStr">
        <is>
          <t>阿东副食</t>
        </is>
      </c>
      <c r="D486" s="35" t="inlineStr">
        <is>
          <t>大东鹏</t>
        </is>
      </c>
      <c r="E486" s="35" t="n">
        <v>100</v>
      </c>
      <c r="F486" s="166" t="n">
        <v>90</v>
      </c>
      <c r="G486" s="166">
        <f>IF(AND(E486&lt;&gt;"",F486&lt;&gt;""),E486*F486,"")</f>
        <v>9000</v>
      </c>
    </row>
    <row r="487" ht="16.5" customHeight="1" s="71">
      <c r="B487" s="169" t="n">
        <v>46288</v>
      </c>
      <c r="C487" s="35" t="inlineStr">
        <is>
          <t>金凤副食</t>
        </is>
      </c>
      <c r="D487" s="35" t="inlineStr">
        <is>
          <t>小果之茶</t>
        </is>
      </c>
      <c r="E487" s="35" t="n">
        <v>100</v>
      </c>
      <c r="F487" s="166" t="n">
        <v>47</v>
      </c>
      <c r="G487" s="166">
        <f>IF(AND(E487&lt;&gt;"",F487&lt;&gt;""),E487*F487,"")</f>
        <v>4700</v>
      </c>
    </row>
    <row r="488" ht="16.5" customHeight="1" s="71">
      <c r="B488" s="169" t="n">
        <v>46288</v>
      </c>
      <c r="C488" s="35" t="inlineStr">
        <is>
          <t>致发商行</t>
        </is>
      </c>
      <c r="D488" s="35" t="inlineStr">
        <is>
          <t>小果之茶</t>
        </is>
      </c>
      <c r="E488" s="35" t="n">
        <v>90</v>
      </c>
      <c r="F488" s="166" t="n">
        <v>47</v>
      </c>
      <c r="G488" s="166">
        <f>IF(AND(E488&lt;&gt;"",F488&lt;&gt;""),E488*F488,"")</f>
        <v>4230</v>
      </c>
    </row>
    <row r="489" ht="16.5" customHeight="1" s="71">
      <c r="B489" s="169" t="n">
        <v>46288</v>
      </c>
      <c r="C489" s="35" t="inlineStr">
        <is>
          <t>致发商行</t>
        </is>
      </c>
      <c r="D489" s="35" t="inlineStr">
        <is>
          <t>555补水</t>
        </is>
      </c>
      <c r="E489" s="35" t="n">
        <v>50</v>
      </c>
      <c r="F489" s="166" t="n">
        <v>65</v>
      </c>
      <c r="G489" s="166">
        <f>IF(AND(E489&lt;&gt;"",F489&lt;&gt;""),E489*F489,"")</f>
        <v>3250</v>
      </c>
    </row>
    <row r="490" ht="16.5" customHeight="1" s="71">
      <c r="B490" s="169" t="n"/>
      <c r="C490" s="35" t="n"/>
      <c r="D490" s="35" t="n"/>
      <c r="E490" s="35" t="n"/>
      <c r="F490" s="166" t="n"/>
      <c r="G490" s="166">
        <f>IF(AND(E490&lt;&gt;"",F490&lt;&gt;""),E490*F490,"")</f>
      </c>
    </row>
    <row r="491" ht="16.5" customHeight="1" s="71">
      <c r="B491" s="169" t="n"/>
      <c r="C491" s="35" t="n"/>
      <c r="D491" s="35" t="n"/>
      <c r="E491" s="35" t="n"/>
      <c r="F491" s="166" t="n"/>
      <c r="G491" s="166">
        <f>IF(AND(E491&lt;&gt;"",F491&lt;&gt;""),E491*F491,"")</f>
      </c>
    </row>
    <row r="492" ht="16.5" customHeight="1" s="71">
      <c r="B492" s="169" t="n"/>
      <c r="C492" s="35" t="n"/>
      <c r="D492" s="35" t="n"/>
      <c r="E492" s="35" t="n"/>
      <c r="F492" s="166" t="n"/>
      <c r="G492" s="166">
        <f>IF(AND(E492&lt;&gt;"",F492&lt;&gt;""),E492*F492,"")</f>
      </c>
    </row>
    <row r="493" ht="16.5" customHeight="1" s="71">
      <c r="B493" s="169" t="n"/>
      <c r="C493" s="35" t="n"/>
      <c r="D493" s="35" t="n"/>
      <c r="E493" s="35" t="n"/>
      <c r="F493" s="166" t="n"/>
      <c r="G493" s="166">
        <f>IF(AND(E493&lt;&gt;"",F493&lt;&gt;""),E493*F493,"")</f>
      </c>
    </row>
    <row r="494" ht="16.5" customHeight="1" s="71">
      <c r="B494" s="169" t="n"/>
      <c r="C494" s="35" t="n"/>
      <c r="D494" s="35" t="n"/>
      <c r="E494" s="35" t="n"/>
      <c r="F494" s="166" t="n"/>
      <c r="G494" s="166">
        <f>IF(AND(E494&lt;&gt;"",F494&lt;&gt;""),E494*F494,"")</f>
      </c>
    </row>
    <row r="495" ht="16.5" customHeight="1" s="71">
      <c r="B495" s="169" t="n"/>
      <c r="C495" s="35" t="n"/>
      <c r="D495" s="35" t="n"/>
      <c r="E495" s="35" t="n"/>
      <c r="F495" s="166" t="n"/>
      <c r="G495" s="166">
        <f>IF(AND(E495&lt;&gt;"",F495&lt;&gt;""),E495*F495,"")</f>
      </c>
    </row>
    <row r="496" ht="16.5" customHeight="1" s="71">
      <c r="B496" s="169" t="n"/>
      <c r="C496" s="35" t="n"/>
      <c r="D496" s="35" t="n"/>
      <c r="E496" s="35" t="n"/>
      <c r="F496" s="166" t="n"/>
      <c r="G496" s="166">
        <f>IF(AND(E496&lt;&gt;"",F496&lt;&gt;""),E496*F496,"")</f>
      </c>
    </row>
    <row r="497" ht="16.5" customHeight="1" s="71">
      <c r="B497" s="169" t="n"/>
      <c r="C497" s="35" t="n"/>
      <c r="D497" s="35" t="n"/>
      <c r="E497" s="35" t="n"/>
      <c r="F497" s="166" t="n"/>
      <c r="G497" s="166">
        <f>IF(AND(E497&lt;&gt;"",F497&lt;&gt;""),E497*F497,"")</f>
      </c>
    </row>
    <row r="498" ht="16.5" customHeight="1" s="71">
      <c r="B498" s="169" t="n"/>
      <c r="C498" s="35" t="n"/>
      <c r="D498" s="35" t="n"/>
      <c r="E498" s="35" t="n"/>
      <c r="F498" s="166" t="n"/>
      <c r="G498" s="166">
        <f>IF(AND(E498&lt;&gt;"",F498&lt;&gt;""),E498*F498,"")</f>
      </c>
    </row>
    <row r="499" ht="16.5" customHeight="1" s="71">
      <c r="B499" s="169" t="n"/>
      <c r="C499" s="35" t="n"/>
      <c r="D499" s="35" t="n"/>
      <c r="E499" s="35" t="n"/>
      <c r="F499" s="166" t="n"/>
      <c r="G499" s="166">
        <f>IF(AND(E499&lt;&gt;"",F499&lt;&gt;""),E499*F499,"")</f>
      </c>
    </row>
    <row r="500" ht="16.5" customHeight="1" s="71">
      <c r="B500" s="169" t="n"/>
      <c r="C500" s="35" t="n"/>
      <c r="D500" s="35" t="n"/>
      <c r="E500" s="35" t="n"/>
      <c r="F500" s="166" t="n"/>
      <c r="G500" s="166">
        <f>IF(AND(E500&lt;&gt;"",F500&lt;&gt;""),E500*F500,"")</f>
      </c>
    </row>
    <row r="501" ht="16.5" customHeight="1" s="71">
      <c r="B501" s="169" t="n"/>
      <c r="C501" s="35" t="n"/>
      <c r="D501" s="35" t="n"/>
      <c r="E501" s="35" t="n"/>
      <c r="F501" s="166" t="n"/>
      <c r="G501" s="166">
        <f>IF(AND(E501&lt;&gt;"",F501&lt;&gt;""),E501*F501,"")</f>
      </c>
    </row>
    <row r="502" ht="16.5" customHeight="1" s="71">
      <c r="B502" s="169" t="n"/>
      <c r="C502" s="35" t="n"/>
      <c r="D502" s="35" t="n"/>
      <c r="E502" s="35" t="n"/>
      <c r="F502" s="166" t="n"/>
      <c r="G502" s="166">
        <f>IF(AND(E502&lt;&gt;"",F502&lt;&gt;""),E502*F502,"")</f>
      </c>
    </row>
    <row r="503" ht="16.5" customHeight="1" s="71">
      <c r="B503" s="169" t="n"/>
      <c r="C503" s="35" t="n"/>
      <c r="D503" s="35" t="n"/>
      <c r="E503" s="35" t="n"/>
      <c r="F503" s="166" t="n"/>
      <c r="G503" s="166">
        <f>IF(AND(E503&lt;&gt;"",F503&lt;&gt;""),E503*F503,"")</f>
      </c>
    </row>
    <row r="504" ht="16.5" customHeight="1" s="71">
      <c r="B504" s="169" t="n"/>
      <c r="C504" s="35" t="n"/>
      <c r="D504" s="35" t="n"/>
      <c r="E504" s="35" t="n"/>
      <c r="F504" s="166" t="n"/>
      <c r="G504" s="166">
        <f>IF(AND(E504&lt;&gt;"",F504&lt;&gt;""),E504*F504,"")</f>
      </c>
    </row>
    <row r="505" ht="16.5" customHeight="1" s="71">
      <c r="B505" s="169" t="n"/>
      <c r="C505" s="35" t="n"/>
      <c r="D505" s="35" t="n"/>
      <c r="E505" s="35" t="n"/>
      <c r="F505" s="166" t="n"/>
      <c r="G505" s="166">
        <f>IF(AND(E505&lt;&gt;"",F505&lt;&gt;""),E505*F505,"")</f>
      </c>
    </row>
    <row r="506" ht="16.5" customHeight="1" s="71">
      <c r="B506" s="169" t="n"/>
      <c r="C506" s="35" t="n"/>
      <c r="D506" s="35" t="n"/>
      <c r="E506" s="35" t="n"/>
      <c r="F506" s="166" t="n"/>
      <c r="G506" s="166">
        <f>IF(AND(E506&lt;&gt;"",F506&lt;&gt;""),E506*F506,"")</f>
      </c>
    </row>
    <row r="507" ht="16.5" customHeight="1" s="71">
      <c r="B507" s="169" t="n"/>
      <c r="C507" s="35" t="n"/>
      <c r="D507" s="35" t="n"/>
      <c r="E507" s="35" t="n"/>
      <c r="F507" s="166" t="n"/>
      <c r="G507" s="166">
        <f>IF(AND(E507&lt;&gt;"",F507&lt;&gt;""),E507*F507,"")</f>
      </c>
    </row>
    <row r="508" ht="16.5" customHeight="1" s="71">
      <c r="B508" s="169" t="n"/>
      <c r="C508" s="35" t="n"/>
      <c r="D508" s="35" t="n"/>
      <c r="E508" s="35" t="n"/>
      <c r="F508" s="166" t="n"/>
      <c r="G508" s="166">
        <f>IF(AND(E508&lt;&gt;"",F508&lt;&gt;""),E508*F508,"")</f>
      </c>
    </row>
    <row r="509" ht="16.5" customHeight="1" s="71">
      <c r="B509" s="169" t="n"/>
      <c r="C509" s="35" t="n"/>
      <c r="D509" s="35" t="n"/>
      <c r="E509" s="35" t="n"/>
      <c r="F509" s="166" t="n"/>
      <c r="G509" s="166">
        <f>IF(AND(E509&lt;&gt;"",F509&lt;&gt;""),E509*F509,"")</f>
      </c>
    </row>
    <row r="510" ht="16.5" customHeight="1" s="71">
      <c r="B510" s="169" t="n"/>
      <c r="C510" s="35" t="n"/>
      <c r="D510" s="35" t="n"/>
      <c r="E510" s="35" t="n"/>
      <c r="F510" s="166" t="n"/>
      <c r="G510" s="166">
        <f>IF(AND(E510&lt;&gt;"",F510&lt;&gt;""),E510*F510,"")</f>
      </c>
    </row>
    <row r="511" ht="16.5" customHeight="1" s="71">
      <c r="B511" s="169" t="n"/>
      <c r="C511" s="35" t="n"/>
      <c r="D511" s="35" t="n"/>
      <c r="E511" s="35" t="n"/>
      <c r="F511" s="166" t="n"/>
      <c r="G511" s="166">
        <f>IF(AND(E511&lt;&gt;"",F511&lt;&gt;""),E511*F511,"")</f>
      </c>
    </row>
    <row r="512" ht="16.5" customHeight="1" s="71">
      <c r="B512" s="169" t="n"/>
      <c r="C512" s="35" t="n"/>
      <c r="D512" s="35" t="n"/>
      <c r="E512" s="35" t="n"/>
      <c r="F512" s="166" t="n"/>
      <c r="G512" s="166">
        <f>IF(AND(E512&lt;&gt;"",F512&lt;&gt;""),E512*F512,"")</f>
      </c>
    </row>
    <row r="513" ht="16.5" customHeight="1" s="71">
      <c r="B513" s="169" t="n"/>
      <c r="C513" s="35" t="n"/>
      <c r="D513" s="35" t="n"/>
      <c r="E513" s="35" t="n"/>
      <c r="F513" s="166" t="n"/>
      <c r="G513" s="166">
        <f>IF(AND(E513&lt;&gt;"",F513&lt;&gt;""),E513*F513,"")</f>
      </c>
    </row>
    <row r="514" ht="16.5" customHeight="1" s="71">
      <c r="B514" s="169" t="n"/>
      <c r="C514" s="35" t="n"/>
      <c r="D514" s="35" t="n"/>
      <c r="E514" s="35" t="n"/>
      <c r="F514" s="166" t="n"/>
      <c r="G514" s="166">
        <f>IF(AND(E514&lt;&gt;"",F514&lt;&gt;""),E514*F514,"")</f>
      </c>
    </row>
    <row r="515" ht="16.5" customHeight="1" s="71">
      <c r="B515" s="169" t="n"/>
      <c r="C515" s="35" t="n"/>
      <c r="D515" s="35" t="n"/>
      <c r="E515" s="35" t="n"/>
      <c r="F515" s="166" t="n"/>
      <c r="G515" s="166">
        <f>IF(AND(E515&lt;&gt;"",F515&lt;&gt;""),E515*F515,"")</f>
      </c>
    </row>
    <row r="516" ht="16.5" customHeight="1" s="71">
      <c r="B516" s="169" t="n"/>
      <c r="C516" s="35" t="n"/>
      <c r="D516" s="35" t="n"/>
      <c r="E516" s="35" t="n"/>
      <c r="F516" s="166" t="n"/>
      <c r="G516" s="166">
        <f>IF(AND(E516&lt;&gt;"",F516&lt;&gt;""),E516*F516,"")</f>
      </c>
    </row>
    <row r="517" ht="16.5" customHeight="1" s="71">
      <c r="B517" s="169" t="n"/>
      <c r="C517" s="35" t="n"/>
      <c r="D517" s="35" t="n"/>
      <c r="E517" s="35" t="n"/>
      <c r="F517" s="166" t="n"/>
      <c r="G517" s="166">
        <f>IF(AND(E517&lt;&gt;"",F517&lt;&gt;""),E517*F517,"")</f>
      </c>
    </row>
    <row r="518" ht="16.5" customHeight="1" s="71">
      <c r="B518" s="169" t="n"/>
      <c r="C518" s="35" t="n"/>
      <c r="D518" s="35" t="n"/>
      <c r="E518" s="35" t="n"/>
      <c r="F518" s="166" t="n"/>
      <c r="G518" s="166">
        <f>IF(AND(E518&lt;&gt;"",F518&lt;&gt;""),E518*F518,"")</f>
      </c>
    </row>
    <row r="519" ht="16.5" customHeight="1" s="71">
      <c r="B519" s="169" t="n"/>
      <c r="C519" s="35" t="n"/>
      <c r="D519" s="35" t="n"/>
      <c r="E519" s="35" t="n"/>
      <c r="F519" s="166" t="n"/>
      <c r="G519" s="166">
        <f>IF(AND(E519&lt;&gt;"",F519&lt;&gt;""),E519*F519,"")</f>
      </c>
    </row>
    <row r="520" ht="16.5" customHeight="1" s="71">
      <c r="B520" s="169" t="n"/>
      <c r="C520" s="35" t="n"/>
      <c r="D520" s="35" t="n"/>
      <c r="E520" s="35" t="n"/>
      <c r="F520" s="166" t="n"/>
      <c r="G520" s="166">
        <f>IF(AND(E520&lt;&gt;"",F520&lt;&gt;""),E520*F520,"")</f>
      </c>
    </row>
    <row r="521" ht="16.5" customHeight="1" s="71">
      <c r="B521" s="169" t="n"/>
      <c r="C521" s="35" t="n"/>
      <c r="D521" s="35" t="n"/>
      <c r="E521" s="35" t="n"/>
      <c r="F521" s="166" t="n"/>
      <c r="G521" s="166">
        <f>IF(AND(E521&lt;&gt;"",F521&lt;&gt;""),E521*F521,"")</f>
      </c>
    </row>
    <row r="522" ht="16.5" customHeight="1" s="71">
      <c r="B522" s="169" t="n"/>
      <c r="C522" s="35" t="n"/>
      <c r="D522" s="35" t="n"/>
      <c r="E522" s="35" t="n"/>
      <c r="F522" s="166" t="n"/>
      <c r="G522" s="166">
        <f>IF(AND(E522&lt;&gt;"",F522&lt;&gt;""),E522*F522,"")</f>
      </c>
    </row>
    <row r="523" ht="16.5" customHeight="1" s="71">
      <c r="B523" s="169" t="n"/>
      <c r="C523" s="35" t="n"/>
      <c r="D523" s="35" t="n"/>
      <c r="E523" s="35" t="n"/>
      <c r="F523" s="166" t="n"/>
      <c r="G523" s="166">
        <f>IF(AND(E523&lt;&gt;"",F523&lt;&gt;""),E523*F523,"")</f>
      </c>
    </row>
    <row r="524" ht="16.5" customHeight="1" s="71">
      <c r="B524" s="169" t="n"/>
      <c r="C524" s="35" t="n"/>
      <c r="D524" s="35" t="n"/>
      <c r="E524" s="35" t="n"/>
      <c r="F524" s="166" t="n"/>
      <c r="G524" s="166">
        <f>IF(AND(E524&lt;&gt;"",F524&lt;&gt;""),E524*F524,"")</f>
      </c>
    </row>
    <row r="525" ht="16.5" customHeight="1" s="71">
      <c r="B525" s="169" t="n"/>
      <c r="C525" s="35" t="n"/>
      <c r="D525" s="35" t="n"/>
      <c r="E525" s="35" t="n"/>
      <c r="F525" s="166" t="n"/>
      <c r="G525" s="166">
        <f>IF(AND(E525&lt;&gt;"",F525&lt;&gt;""),E525*F525,"")</f>
      </c>
    </row>
    <row r="526" ht="16.5" customHeight="1" s="71">
      <c r="B526" s="169" t="n"/>
      <c r="C526" s="35" t="n"/>
      <c r="D526" s="35" t="n"/>
      <c r="E526" s="35" t="n"/>
      <c r="F526" s="166" t="n"/>
      <c r="G526" s="166">
        <f>IF(AND(E526&lt;&gt;"",F526&lt;&gt;""),E526*F526,"")</f>
      </c>
    </row>
    <row r="527" ht="16.5" customHeight="1" s="71">
      <c r="B527" s="169" t="n"/>
      <c r="C527" s="35" t="n"/>
      <c r="D527" s="35" t="n"/>
      <c r="E527" s="35" t="n"/>
      <c r="F527" s="166" t="n"/>
      <c r="G527" s="166">
        <f>IF(AND(E527&lt;&gt;"",F527&lt;&gt;""),E527*F527,"")</f>
      </c>
    </row>
    <row r="528" ht="16.5" customHeight="1" s="71">
      <c r="B528" s="169" t="n"/>
      <c r="C528" s="35" t="n"/>
      <c r="D528" s="35" t="n"/>
      <c r="E528" s="35" t="n"/>
      <c r="F528" s="166" t="n"/>
      <c r="G528" s="166">
        <f>IF(AND(E528&lt;&gt;"",F528&lt;&gt;""),E528*F528,"")</f>
      </c>
    </row>
    <row r="529" ht="16.5" customHeight="1" s="71">
      <c r="B529" s="169" t="n"/>
      <c r="C529" s="35" t="n"/>
      <c r="D529" s="35" t="n"/>
      <c r="E529" s="35" t="n"/>
      <c r="F529" s="166" t="n"/>
      <c r="G529" s="166">
        <f>IF(AND(E529&lt;&gt;"",F529&lt;&gt;""),E529*F529,"")</f>
      </c>
    </row>
    <row r="530" ht="16.5" customHeight="1" s="71">
      <c r="B530" s="169" t="n"/>
      <c r="C530" s="35" t="n"/>
      <c r="D530" s="35" t="n"/>
      <c r="E530" s="35" t="n"/>
      <c r="F530" s="166" t="n"/>
      <c r="G530" s="166">
        <f>IF(AND(E530&lt;&gt;"",F530&lt;&gt;""),E530*F530,"")</f>
      </c>
    </row>
    <row r="531" ht="16.5" customHeight="1" s="71">
      <c r="B531" s="169" t="n"/>
      <c r="C531" s="35" t="n"/>
      <c r="D531" s="35" t="n"/>
      <c r="E531" s="35" t="n"/>
      <c r="F531" s="166" t="n"/>
      <c r="G531" s="166">
        <f>IF(AND(E531&lt;&gt;"",F531&lt;&gt;""),E531*F531,"")</f>
      </c>
    </row>
    <row r="532" ht="16.5" customHeight="1" s="71">
      <c r="B532" s="169" t="n"/>
      <c r="C532" s="35" t="n"/>
      <c r="D532" s="35" t="n"/>
      <c r="E532" s="35" t="n"/>
      <c r="F532" s="166" t="n"/>
      <c r="G532" s="166">
        <f>IF(AND(E532&lt;&gt;"",F532&lt;&gt;""),E532*F532,"")</f>
      </c>
    </row>
    <row r="533" ht="16.5" customHeight="1" s="71">
      <c r="B533" s="169" t="n"/>
      <c r="C533" s="35" t="n"/>
      <c r="D533" s="35" t="n"/>
      <c r="E533" s="35" t="n"/>
      <c r="F533" s="166" t="n"/>
      <c r="G533" s="166">
        <f>IF(AND(E533&lt;&gt;"",F533&lt;&gt;""),E533*F533,"")</f>
      </c>
    </row>
    <row r="534" ht="16.5" customHeight="1" s="71">
      <c r="B534" s="169" t="n"/>
      <c r="C534" s="35" t="n"/>
      <c r="D534" s="35" t="n"/>
      <c r="E534" s="35" t="n"/>
      <c r="F534" s="166" t="n"/>
      <c r="G534" s="166">
        <f>IF(AND(E534&lt;&gt;"",F534&lt;&gt;""),E534*F534,"")</f>
      </c>
    </row>
    <row r="535" ht="16.5" customHeight="1" s="71">
      <c r="B535" s="169" t="n"/>
      <c r="C535" s="35" t="n"/>
      <c r="D535" s="35" t="n"/>
      <c r="E535" s="35" t="n"/>
      <c r="F535" s="166" t="n"/>
      <c r="G535" s="166">
        <f>IF(AND(E535&lt;&gt;"",F535&lt;&gt;""),E535*F535,"")</f>
      </c>
    </row>
    <row r="536" ht="16.5" customHeight="1" s="71">
      <c r="B536" s="169" t="n"/>
      <c r="C536" s="35" t="n"/>
      <c r="D536" s="35" t="n"/>
      <c r="E536" s="35" t="n"/>
      <c r="F536" s="166" t="n"/>
      <c r="G536" s="166">
        <f>IF(AND(E536&lt;&gt;"",F536&lt;&gt;""),E536*F536,"")</f>
      </c>
    </row>
    <row r="537" ht="16.5" customHeight="1" s="71">
      <c r="B537" s="169" t="n"/>
      <c r="C537" s="35" t="n"/>
      <c r="D537" s="35" t="n"/>
      <c r="E537" s="35" t="n"/>
      <c r="F537" s="166" t="n"/>
      <c r="G537" s="166">
        <f>IF(AND(E537&lt;&gt;"",F537&lt;&gt;""),E537*F537,"")</f>
      </c>
    </row>
    <row r="538" ht="16.5" customHeight="1" s="71">
      <c r="B538" s="169" t="n"/>
      <c r="C538" s="35" t="n"/>
      <c r="D538" s="35" t="n"/>
      <c r="E538" s="35" t="n"/>
      <c r="F538" s="166" t="n"/>
      <c r="G538" s="166">
        <f>IF(AND(E538&lt;&gt;"",F538&lt;&gt;""),E538*F538,"")</f>
      </c>
    </row>
    <row r="539" ht="16.5" customHeight="1" s="71">
      <c r="B539" s="169" t="n"/>
      <c r="C539" s="35" t="n"/>
      <c r="D539" s="35" t="n"/>
      <c r="E539" s="35" t="n"/>
      <c r="F539" s="166" t="n"/>
      <c r="G539" s="166">
        <f>IF(AND(E539&lt;&gt;"",F539&lt;&gt;""),E539*F539,"")</f>
      </c>
    </row>
    <row r="540" ht="16.5" customHeight="1" s="71">
      <c r="B540" s="169" t="n"/>
      <c r="C540" s="35" t="n"/>
      <c r="D540" s="35" t="n"/>
      <c r="E540" s="35" t="n"/>
      <c r="F540" s="166" t="n"/>
      <c r="G540" s="166">
        <f>IF(AND(E540&lt;&gt;"",F540&lt;&gt;""),E540*F540,"")</f>
      </c>
    </row>
    <row r="541" ht="16.5" customHeight="1" s="71">
      <c r="B541" s="169" t="n"/>
      <c r="C541" s="35" t="n"/>
      <c r="D541" s="35" t="n"/>
      <c r="E541" s="35" t="n"/>
      <c r="F541" s="166" t="n"/>
      <c r="G541" s="166">
        <f>IF(AND(E541&lt;&gt;"",F541&lt;&gt;""),E541*F541,"")</f>
      </c>
    </row>
    <row r="542" ht="16.5" customHeight="1" s="71">
      <c r="B542" s="169" t="n"/>
      <c r="C542" s="35" t="n"/>
      <c r="D542" s="35" t="n"/>
      <c r="E542" s="35" t="n"/>
      <c r="F542" s="166" t="n"/>
      <c r="G542" s="166">
        <f>IF(AND(E542&lt;&gt;"",F542&lt;&gt;""),E542*F542,"")</f>
      </c>
    </row>
    <row r="543" ht="16.5" customHeight="1" s="71">
      <c r="B543" s="169" t="n"/>
      <c r="C543" s="35" t="n"/>
      <c r="D543" s="35" t="n"/>
      <c r="E543" s="35" t="n"/>
      <c r="F543" s="166" t="n"/>
      <c r="G543" s="166">
        <f>IF(AND(E543&lt;&gt;"",F543&lt;&gt;""),E543*F543,"")</f>
      </c>
    </row>
    <row r="544" ht="16.5" customHeight="1" s="71">
      <c r="B544" s="169" t="n"/>
      <c r="C544" s="35" t="n"/>
      <c r="D544" s="35" t="n"/>
      <c r="E544" s="35" t="n"/>
      <c r="F544" s="166" t="n"/>
      <c r="G544" s="166">
        <f>IF(AND(E544&lt;&gt;"",F544&lt;&gt;""),E544*F544,"")</f>
      </c>
    </row>
    <row r="545" ht="16.5" customHeight="1" s="71">
      <c r="B545" s="169" t="n"/>
      <c r="C545" s="35" t="n"/>
      <c r="D545" s="35" t="n"/>
      <c r="E545" s="35" t="n"/>
      <c r="F545" s="166" t="n"/>
      <c r="G545" s="166">
        <f>IF(AND(E545&lt;&gt;"",F545&lt;&gt;""),E545*F545,"")</f>
      </c>
    </row>
    <row r="546" ht="16.5" customHeight="1" s="71">
      <c r="B546" s="169" t="n"/>
      <c r="C546" s="35" t="n"/>
      <c r="D546" s="35" t="n"/>
      <c r="E546" s="35" t="n"/>
      <c r="F546" s="166" t="n"/>
      <c r="G546" s="166">
        <f>IF(AND(E546&lt;&gt;"",F546&lt;&gt;""),E546*F546,"")</f>
      </c>
    </row>
    <row r="547" ht="16.5" customHeight="1" s="71">
      <c r="B547" s="169" t="n"/>
      <c r="C547" s="35" t="n"/>
      <c r="D547" s="35" t="n"/>
      <c r="E547" s="35" t="n"/>
      <c r="F547" s="166" t="n"/>
      <c r="G547" s="166">
        <f>IF(AND(E547&lt;&gt;"",F547&lt;&gt;""),E547*F547,"")</f>
      </c>
    </row>
    <row r="548" ht="16.5" customHeight="1" s="71">
      <c r="B548" s="169" t="n"/>
      <c r="C548" s="35" t="n"/>
      <c r="D548" s="35" t="n"/>
      <c r="E548" s="35" t="n"/>
      <c r="F548" s="166" t="n"/>
      <c r="G548" s="166">
        <f>IF(AND(E548&lt;&gt;"",F548&lt;&gt;""),E548*F548,"")</f>
      </c>
    </row>
    <row r="549" ht="16.5" customHeight="1" s="71">
      <c r="B549" s="169" t="n"/>
      <c r="C549" s="35" t="n"/>
      <c r="D549" s="35" t="n"/>
      <c r="E549" s="35" t="n"/>
      <c r="F549" s="166" t="n"/>
      <c r="G549" s="166">
        <f>IF(AND(E549&lt;&gt;"",F549&lt;&gt;""),E549*F549,"")</f>
      </c>
    </row>
    <row r="550" ht="16.5" customHeight="1" s="71">
      <c r="B550" s="169" t="n"/>
      <c r="C550" s="35" t="n"/>
      <c r="D550" s="35" t="n"/>
      <c r="E550" s="35" t="n"/>
      <c r="F550" s="166" t="n"/>
      <c r="G550" s="166">
        <f>IF(AND(E550&lt;&gt;"",F550&lt;&gt;""),E550*F550,"")</f>
      </c>
    </row>
    <row r="551" ht="16.5" customHeight="1" s="71">
      <c r="B551" s="169" t="n"/>
      <c r="C551" s="35" t="n"/>
      <c r="D551" s="35" t="n"/>
      <c r="E551" s="35" t="n"/>
      <c r="F551" s="166" t="n"/>
      <c r="G551" s="166">
        <f>IF(AND(E551&lt;&gt;"",F551&lt;&gt;""),E551*F551,"")</f>
      </c>
    </row>
    <row r="552" ht="16.5" customHeight="1" s="71">
      <c r="B552" s="169" t="n"/>
      <c r="C552" s="35" t="n"/>
      <c r="D552" s="35" t="n"/>
      <c r="E552" s="35" t="n"/>
      <c r="F552" s="166" t="n"/>
      <c r="G552" s="166">
        <f>IF(AND(E552&lt;&gt;"",F552&lt;&gt;""),E552*F552,"")</f>
      </c>
    </row>
    <row r="553" ht="16.5" customHeight="1" s="71">
      <c r="B553" s="169" t="n"/>
      <c r="C553" s="35" t="n"/>
      <c r="D553" s="35" t="n"/>
      <c r="E553" s="35" t="n"/>
      <c r="F553" s="166" t="n"/>
      <c r="G553" s="166">
        <f>IF(AND(E553&lt;&gt;"",F553&lt;&gt;""),E553*F553,"")</f>
      </c>
    </row>
    <row r="554" ht="16.5" customHeight="1" s="71">
      <c r="B554" s="169" t="n"/>
      <c r="C554" s="35" t="n"/>
      <c r="D554" s="35" t="n"/>
      <c r="E554" s="35" t="n"/>
      <c r="F554" s="166" t="n"/>
      <c r="G554" s="166">
        <f>IF(AND(E554&lt;&gt;"",F554&lt;&gt;""),E554*F554,"")</f>
      </c>
    </row>
    <row r="555" ht="16.5" customHeight="1" s="71">
      <c r="B555" s="169" t="n"/>
      <c r="C555" s="35" t="n"/>
      <c r="D555" s="35" t="n"/>
      <c r="E555" s="35" t="n"/>
      <c r="F555" s="166" t="n"/>
      <c r="G555" s="166">
        <f>IF(AND(E555&lt;&gt;"",F555&lt;&gt;""),E555*F555,"")</f>
      </c>
    </row>
    <row r="556" ht="16.5" customHeight="1" s="71">
      <c r="B556" s="169" t="n"/>
      <c r="C556" s="35" t="n"/>
      <c r="D556" s="35" t="n"/>
      <c r="E556" s="35" t="n"/>
      <c r="F556" s="166" t="n"/>
      <c r="G556" s="166">
        <f>IF(AND(E556&lt;&gt;"",F556&lt;&gt;""),E556*F556,"")</f>
      </c>
    </row>
    <row r="557" ht="16.5" customHeight="1" s="71">
      <c r="B557" s="169" t="n"/>
      <c r="C557" s="35" t="n"/>
      <c r="D557" s="35" t="n"/>
      <c r="E557" s="35" t="n"/>
      <c r="F557" s="166" t="n"/>
      <c r="G557" s="166">
        <f>IF(AND(E557&lt;&gt;"",F557&lt;&gt;""),E557*F557,"")</f>
      </c>
    </row>
    <row r="558" ht="16.5" customHeight="1" s="71">
      <c r="B558" s="169" t="n"/>
      <c r="C558" s="35" t="n"/>
      <c r="D558" s="35" t="n"/>
      <c r="E558" s="35" t="n"/>
      <c r="F558" s="166" t="n"/>
      <c r="G558" s="166">
        <f>IF(AND(E558&lt;&gt;"",F558&lt;&gt;""),E558*F558,"")</f>
      </c>
    </row>
    <row r="559" ht="16.5" customHeight="1" s="71">
      <c r="B559" s="169" t="n"/>
      <c r="C559" s="35" t="n"/>
      <c r="D559" s="35" t="n"/>
      <c r="E559" s="35" t="n"/>
      <c r="F559" s="166" t="n"/>
      <c r="G559" s="166">
        <f>IF(AND(E559&lt;&gt;"",F559&lt;&gt;""),E559*F559,"")</f>
      </c>
    </row>
    <row r="560" ht="16.5" customHeight="1" s="71">
      <c r="B560" s="169" t="n"/>
      <c r="C560" s="35" t="n"/>
      <c r="D560" s="35" t="n"/>
      <c r="E560" s="35" t="n"/>
      <c r="F560" s="166" t="n"/>
      <c r="G560" s="166">
        <f>IF(AND(E560&lt;&gt;"",F560&lt;&gt;""),E560*F560,"")</f>
      </c>
    </row>
    <row r="561" ht="16.5" customHeight="1" s="71">
      <c r="B561" s="169" t="n"/>
      <c r="C561" s="35" t="n"/>
      <c r="D561" s="35" t="n"/>
      <c r="E561" s="35" t="n"/>
      <c r="F561" s="166" t="n"/>
      <c r="G561" s="166">
        <f>IF(AND(E561&lt;&gt;"",F561&lt;&gt;""),E561*F561,"")</f>
      </c>
    </row>
    <row r="562" ht="16.5" customHeight="1" s="71">
      <c r="B562" s="169" t="n"/>
      <c r="C562" s="35" t="n"/>
      <c r="D562" s="35" t="n"/>
      <c r="E562" s="35" t="n"/>
      <c r="F562" s="166" t="n"/>
      <c r="G562" s="166">
        <f>IF(AND(E562&lt;&gt;"",F562&lt;&gt;""),E562*F562,"")</f>
      </c>
    </row>
    <row r="563" ht="16.5" customHeight="1" s="71">
      <c r="B563" s="169" t="n"/>
      <c r="C563" s="35" t="n"/>
      <c r="D563" s="35" t="n"/>
      <c r="E563" s="35" t="n"/>
      <c r="F563" s="166" t="n"/>
      <c r="G563" s="166">
        <f>IF(AND(E563&lt;&gt;"",F563&lt;&gt;""),E563*F563,"")</f>
      </c>
    </row>
    <row r="564" ht="16.5" customHeight="1" s="71">
      <c r="B564" s="169" t="n"/>
      <c r="C564" s="35" t="n"/>
      <c r="D564" s="35" t="n"/>
      <c r="E564" s="35" t="n"/>
      <c r="F564" s="166" t="n"/>
      <c r="G564" s="166">
        <f>IF(AND(E564&lt;&gt;"",F564&lt;&gt;""),E564*F564,"")</f>
      </c>
    </row>
    <row r="565" ht="16.5" customHeight="1" s="71">
      <c r="B565" s="169" t="n"/>
      <c r="C565" s="35" t="n"/>
      <c r="D565" s="35" t="n"/>
      <c r="E565" s="35" t="n"/>
      <c r="F565" s="166" t="n"/>
      <c r="G565" s="166">
        <f>IF(AND(E565&lt;&gt;"",F565&lt;&gt;""),E565*F565,"")</f>
      </c>
    </row>
    <row r="566" ht="16.5" customHeight="1" s="71">
      <c r="B566" s="169" t="n"/>
      <c r="C566" s="35" t="n"/>
      <c r="D566" s="35" t="n"/>
      <c r="E566" s="35" t="n"/>
      <c r="F566" s="166" t="n"/>
      <c r="G566" s="166">
        <f>IF(AND(E566&lt;&gt;"",F566&lt;&gt;""),E566*F566,"")</f>
      </c>
    </row>
    <row r="567" ht="16.5" customHeight="1" s="71">
      <c r="B567" s="169" t="n"/>
      <c r="C567" s="35" t="n"/>
      <c r="D567" s="35" t="n"/>
      <c r="E567" s="35" t="n"/>
      <c r="F567" s="166" t="n"/>
      <c r="G567" s="166">
        <f>IF(AND(E567&lt;&gt;"",F567&lt;&gt;""),E567*F567,"")</f>
      </c>
    </row>
    <row r="568" ht="16.5" customHeight="1" s="71">
      <c r="B568" s="169" t="n"/>
      <c r="C568" s="35" t="n"/>
      <c r="D568" s="35" t="n"/>
      <c r="E568" s="35" t="n"/>
      <c r="F568" s="166" t="n"/>
      <c r="G568" s="166">
        <f>IF(AND(E568&lt;&gt;"",F568&lt;&gt;""),E568*F568,"")</f>
      </c>
    </row>
    <row r="569" ht="16.5" customHeight="1" s="71">
      <c r="B569" s="169" t="n"/>
      <c r="C569" s="35" t="n"/>
      <c r="D569" s="35" t="n"/>
      <c r="E569" s="35" t="n"/>
      <c r="F569" s="166" t="n"/>
      <c r="G569" s="166">
        <f>IF(AND(E569&lt;&gt;"",F569&lt;&gt;""),E569*F569,"")</f>
      </c>
    </row>
    <row r="570" ht="16.5" customHeight="1" s="71">
      <c r="B570" s="169" t="n"/>
      <c r="C570" s="35" t="n"/>
      <c r="D570" s="35" t="n"/>
      <c r="E570" s="35" t="n"/>
      <c r="F570" s="166" t="n"/>
      <c r="G570" s="166">
        <f>IF(AND(E570&lt;&gt;"",F570&lt;&gt;""),E570*F570,"")</f>
      </c>
    </row>
    <row r="571" ht="16.5" customHeight="1" s="71">
      <c r="B571" s="169" t="n"/>
      <c r="C571" s="35" t="n"/>
      <c r="D571" s="35" t="n"/>
      <c r="E571" s="35" t="n"/>
      <c r="F571" s="166" t="n"/>
      <c r="G571" s="166">
        <f>IF(AND(E571&lt;&gt;"",F571&lt;&gt;""),E571*F571,"")</f>
      </c>
    </row>
    <row r="572" ht="16.5" customHeight="1" s="71">
      <c r="B572" s="169" t="n"/>
      <c r="C572" s="35" t="n"/>
      <c r="D572" s="35" t="n"/>
      <c r="E572" s="35" t="n"/>
      <c r="F572" s="166" t="n"/>
      <c r="G572" s="166">
        <f>IF(AND(E572&lt;&gt;"",F572&lt;&gt;""),E572*F572,"")</f>
      </c>
    </row>
    <row r="573" ht="16.5" customHeight="1" s="71">
      <c r="B573" s="169" t="n"/>
      <c r="C573" s="35" t="n"/>
      <c r="D573" s="35" t="n"/>
      <c r="E573" s="35" t="n"/>
      <c r="F573" s="166" t="n"/>
      <c r="G573" s="166">
        <f>IF(AND(E573&lt;&gt;"",F573&lt;&gt;""),E573*F573,"")</f>
      </c>
    </row>
    <row r="574" ht="16.5" customHeight="1" s="71">
      <c r="B574" s="169" t="n"/>
      <c r="C574" s="35" t="n"/>
      <c r="D574" s="35" t="n"/>
      <c r="E574" s="35" t="n"/>
      <c r="F574" s="166" t="n"/>
      <c r="G574" s="166">
        <f>IF(AND(E574&lt;&gt;"",F574&lt;&gt;""),E574*F574,"")</f>
      </c>
    </row>
    <row r="575" ht="16.5" customHeight="1" s="71">
      <c r="B575" s="169" t="n"/>
      <c r="C575" s="35" t="n"/>
      <c r="D575" s="35" t="n"/>
      <c r="E575" s="35" t="n"/>
      <c r="F575" s="166" t="n"/>
      <c r="G575" s="166">
        <f>IF(AND(E575&lt;&gt;"",F575&lt;&gt;""),E575*F575,"")</f>
      </c>
    </row>
    <row r="576" ht="16.5" customHeight="1" s="71">
      <c r="B576" s="169" t="n"/>
      <c r="C576" s="35" t="n"/>
      <c r="D576" s="35" t="n"/>
      <c r="E576" s="35" t="n"/>
      <c r="F576" s="166" t="n"/>
      <c r="G576" s="166">
        <f>IF(AND(E576&lt;&gt;"",F576&lt;&gt;""),E576*F576,"")</f>
      </c>
    </row>
    <row r="577" ht="16.5" customHeight="1" s="71">
      <c r="B577" s="169" t="n"/>
      <c r="C577" s="35" t="n"/>
      <c r="D577" s="35" t="n"/>
      <c r="E577" s="35" t="n"/>
      <c r="F577" s="166" t="n"/>
      <c r="G577" s="166">
        <f>IF(AND(E577&lt;&gt;"",F577&lt;&gt;""),E577*F577,"")</f>
      </c>
    </row>
    <row r="578" ht="16.5" customHeight="1" s="71">
      <c r="B578" s="169" t="n"/>
      <c r="C578" s="35" t="n"/>
      <c r="D578" s="35" t="n"/>
      <c r="E578" s="35" t="n"/>
      <c r="F578" s="166" t="n"/>
      <c r="G578" s="166">
        <f>IF(AND(E578&lt;&gt;"",F578&lt;&gt;""),E578*F578,"")</f>
      </c>
    </row>
    <row r="579" ht="16.5" customHeight="1" s="71">
      <c r="B579" s="169" t="n"/>
      <c r="C579" s="35" t="n"/>
      <c r="D579" s="35" t="n"/>
      <c r="E579" s="35" t="n"/>
      <c r="F579" s="166" t="n"/>
      <c r="G579" s="166">
        <f>IF(AND(E579&lt;&gt;"",F579&lt;&gt;""),E579*F579,"")</f>
      </c>
    </row>
    <row r="580" ht="16.5" customHeight="1" s="71">
      <c r="B580" s="169" t="n"/>
      <c r="C580" s="35" t="n"/>
      <c r="D580" s="35" t="n"/>
      <c r="E580" s="35" t="n"/>
      <c r="F580" s="166" t="n"/>
      <c r="G580" s="166">
        <f>IF(AND(E580&lt;&gt;"",F580&lt;&gt;""),E580*F580,"")</f>
      </c>
    </row>
    <row r="581" ht="16.5" customHeight="1" s="71">
      <c r="B581" s="169" t="n"/>
      <c r="C581" s="35" t="n"/>
      <c r="D581" s="35" t="n"/>
      <c r="E581" s="35" t="n"/>
      <c r="F581" s="166" t="n"/>
      <c r="G581" s="166">
        <f>IF(AND(E581&lt;&gt;"",F581&lt;&gt;""),E581*F581,"")</f>
      </c>
    </row>
    <row r="582" ht="16.5" customHeight="1" s="71">
      <c r="B582" s="169" t="n"/>
      <c r="C582" s="35" t="n"/>
      <c r="D582" s="35" t="n"/>
      <c r="E582" s="35" t="n"/>
      <c r="F582" s="166" t="n"/>
      <c r="G582" s="166">
        <f>IF(AND(E582&lt;&gt;"",F582&lt;&gt;""),E582*F582,"")</f>
      </c>
    </row>
    <row r="583" ht="16.5" customHeight="1" s="71">
      <c r="B583" s="169" t="n"/>
      <c r="C583" s="35" t="n"/>
      <c r="D583" s="35" t="n"/>
      <c r="E583" s="35" t="n"/>
      <c r="F583" s="166" t="n"/>
      <c r="G583" s="166">
        <f>IF(AND(E583&lt;&gt;"",F583&lt;&gt;""),E583*F583,"")</f>
      </c>
    </row>
    <row r="584" ht="16.5" customHeight="1" s="71">
      <c r="B584" s="169" t="n"/>
      <c r="C584" s="35" t="n"/>
      <c r="D584" s="35" t="n"/>
      <c r="E584" s="35" t="n"/>
      <c r="F584" s="166" t="n"/>
      <c r="G584" s="166">
        <f>IF(AND(E584&lt;&gt;"",F584&lt;&gt;""),E584*F584,"")</f>
      </c>
    </row>
    <row r="585" ht="16.5" customHeight="1" s="71">
      <c r="B585" s="169" t="n"/>
      <c r="C585" s="35" t="n"/>
      <c r="D585" s="35" t="n"/>
      <c r="E585" s="35" t="n"/>
      <c r="F585" s="166" t="n"/>
      <c r="G585" s="166">
        <f>IF(AND(E585&lt;&gt;"",F585&lt;&gt;""),E585*F585,"")</f>
      </c>
    </row>
    <row r="586" ht="16.5" customHeight="1" s="71">
      <c r="B586" s="169" t="n"/>
      <c r="C586" s="35" t="n"/>
      <c r="D586" s="35" t="n"/>
      <c r="E586" s="35" t="n"/>
      <c r="F586" s="166" t="n"/>
      <c r="G586" s="166">
        <f>IF(AND(E586&lt;&gt;"",F586&lt;&gt;""),E586*F586,"")</f>
      </c>
    </row>
    <row r="587" ht="16.5" customHeight="1" s="71">
      <c r="B587" s="169" t="n"/>
      <c r="C587" s="35" t="n"/>
      <c r="D587" s="35" t="n"/>
      <c r="E587" s="35" t="n"/>
      <c r="F587" s="166" t="n"/>
      <c r="G587" s="166">
        <f>IF(AND(E587&lt;&gt;"",F587&lt;&gt;""),E587*F587,"")</f>
      </c>
    </row>
    <row r="588" ht="16.5" customHeight="1" s="71">
      <c r="B588" s="169" t="n"/>
      <c r="C588" s="35" t="n"/>
      <c r="D588" s="35" t="n"/>
      <c r="E588" s="35" t="n"/>
      <c r="F588" s="166" t="n"/>
      <c r="G588" s="166">
        <f>IF(AND(E588&lt;&gt;"",F588&lt;&gt;""),E588*F588,"")</f>
      </c>
    </row>
    <row r="589" ht="16.5" customHeight="1" s="71">
      <c r="B589" s="169" t="n"/>
      <c r="C589" s="35" t="n"/>
      <c r="D589" s="35" t="n"/>
      <c r="E589" s="35" t="n"/>
      <c r="F589" s="166" t="n"/>
      <c r="G589" s="166">
        <f>IF(AND(E589&lt;&gt;"",F589&lt;&gt;""),E589*F589,"")</f>
      </c>
    </row>
    <row r="590" ht="16.5" customHeight="1" s="71">
      <c r="B590" s="169" t="n"/>
      <c r="C590" s="35" t="n"/>
      <c r="D590" s="35" t="n"/>
      <c r="E590" s="35" t="n"/>
      <c r="F590" s="166" t="n"/>
      <c r="G590" s="166">
        <f>IF(AND(E590&lt;&gt;"",F590&lt;&gt;""),E590*F590,"")</f>
      </c>
    </row>
    <row r="591" ht="16.5" customHeight="1" s="71">
      <c r="B591" s="169" t="n"/>
      <c r="C591" s="35" t="n"/>
      <c r="D591" s="35" t="n"/>
      <c r="E591" s="35" t="n"/>
      <c r="F591" s="166" t="n"/>
      <c r="G591" s="166">
        <f>IF(AND(E591&lt;&gt;"",F591&lt;&gt;""),E591*F591,"")</f>
      </c>
    </row>
    <row r="592" ht="16.5" customHeight="1" s="71">
      <c r="B592" s="169" t="n"/>
      <c r="C592" s="35" t="n"/>
      <c r="D592" s="35" t="n"/>
      <c r="E592" s="35" t="n"/>
      <c r="F592" s="166" t="n"/>
      <c r="G592" s="166">
        <f>IF(AND(E592&lt;&gt;"",F592&lt;&gt;""),E592*F592,"")</f>
      </c>
    </row>
    <row r="593" ht="16.5" customHeight="1" s="71">
      <c r="B593" s="169" t="n"/>
      <c r="C593" s="35" t="n"/>
      <c r="D593" s="35" t="n"/>
      <c r="E593" s="35" t="n"/>
      <c r="F593" s="166" t="n"/>
      <c r="G593" s="166">
        <f>IF(AND(E593&lt;&gt;"",F593&lt;&gt;""),E593*F593,"")</f>
      </c>
    </row>
    <row r="594" ht="16.5" customHeight="1" s="71">
      <c r="B594" s="169" t="n"/>
      <c r="C594" s="35" t="n"/>
      <c r="D594" s="35" t="n"/>
      <c r="E594" s="35" t="n"/>
      <c r="F594" s="166" t="n"/>
      <c r="G594" s="166">
        <f>IF(AND(E594&lt;&gt;"",F594&lt;&gt;""),E594*F594,"")</f>
      </c>
    </row>
    <row r="595" ht="16.5" customHeight="1" s="71">
      <c r="B595" s="169" t="n"/>
      <c r="C595" s="35" t="n"/>
      <c r="D595" s="35" t="n"/>
      <c r="E595" s="35" t="n"/>
      <c r="F595" s="166" t="n"/>
      <c r="G595" s="166">
        <f>IF(AND(E595&lt;&gt;"",F595&lt;&gt;""),E595*F595,"")</f>
      </c>
    </row>
    <row r="596" ht="16.5" customHeight="1" s="71">
      <c r="B596" s="169" t="n"/>
      <c r="C596" s="35" t="n"/>
      <c r="D596" s="35" t="n"/>
      <c r="E596" s="35" t="n"/>
      <c r="F596" s="166" t="n"/>
      <c r="G596" s="166">
        <f>IF(AND(E596&lt;&gt;"",F596&lt;&gt;""),E596*F596,"")</f>
      </c>
    </row>
    <row r="597" ht="16.5" customHeight="1" s="71">
      <c r="B597" s="169" t="n"/>
      <c r="C597" s="35" t="n"/>
      <c r="D597" s="35" t="n"/>
      <c r="E597" s="35" t="n"/>
      <c r="F597" s="166" t="n"/>
      <c r="G597" s="166">
        <f>IF(AND(E597&lt;&gt;"",F597&lt;&gt;""),E597*F597,"")</f>
      </c>
    </row>
    <row r="598" ht="16.5" customHeight="1" s="71">
      <c r="B598" s="169" t="n"/>
      <c r="C598" s="35" t="n"/>
      <c r="D598" s="35" t="n"/>
      <c r="E598" s="35" t="n"/>
      <c r="F598" s="166" t="n"/>
      <c r="G598" s="166">
        <f>IF(AND(E598&lt;&gt;"",F598&lt;&gt;""),E598*F598,"")</f>
      </c>
    </row>
    <row r="599" ht="16.5" customHeight="1" s="71">
      <c r="B599" s="169" t="n"/>
      <c r="C599" s="35" t="n"/>
      <c r="D599" s="35" t="n"/>
      <c r="E599" s="35" t="n"/>
      <c r="F599" s="166" t="n"/>
      <c r="G599" s="166">
        <f>IF(AND(E599&lt;&gt;"",F599&lt;&gt;""),E599*F599,"")</f>
      </c>
    </row>
    <row r="600" ht="16.5" customHeight="1" s="71">
      <c r="B600" s="169" t="n"/>
      <c r="C600" s="35" t="n"/>
      <c r="D600" s="35" t="n"/>
      <c r="E600" s="35" t="n"/>
      <c r="F600" s="166" t="n"/>
      <c r="G600" s="166">
        <f>IF(AND(E600&lt;&gt;"",F600&lt;&gt;""),E600*F600,"")</f>
      </c>
    </row>
    <row r="601" ht="16.5" customHeight="1" s="71">
      <c r="B601" s="169" t="n"/>
      <c r="C601" s="35" t="n"/>
      <c r="D601" s="35" t="n"/>
      <c r="E601" s="35" t="n"/>
      <c r="F601" s="166" t="n"/>
      <c r="G601" s="166">
        <f>IF(AND(E601&lt;&gt;"",F601&lt;&gt;""),E601*F601,"")</f>
      </c>
    </row>
    <row r="602" ht="16.5" customHeight="1" s="71">
      <c r="B602" s="169" t="n"/>
      <c r="C602" s="35" t="n"/>
      <c r="D602" s="35" t="n"/>
      <c r="E602" s="35" t="n"/>
      <c r="F602" s="166" t="n"/>
      <c r="G602" s="166">
        <f>IF(AND(E602&lt;&gt;"",F602&lt;&gt;""),E602*F602,"")</f>
      </c>
    </row>
    <row r="603" ht="16.5" customHeight="1" s="71">
      <c r="B603" s="169" t="n"/>
      <c r="C603" s="35" t="n"/>
      <c r="D603" s="35" t="n"/>
      <c r="E603" s="35" t="n"/>
      <c r="F603" s="166" t="n"/>
      <c r="G603" s="166">
        <f>IF(AND(E603&lt;&gt;"",F603&lt;&gt;""),E603*F603,"")</f>
      </c>
    </row>
    <row r="604" ht="16.5" customHeight="1" s="71">
      <c r="B604" s="169" t="n"/>
      <c r="C604" s="35" t="n"/>
      <c r="D604" s="35" t="n"/>
      <c r="E604" s="35" t="n"/>
      <c r="F604" s="166" t="n"/>
      <c r="G604" s="166">
        <f>IF(AND(E604&lt;&gt;"",F604&lt;&gt;""),E604*F604,"")</f>
      </c>
    </row>
    <row r="605" ht="16.5" customHeight="1" s="71">
      <c r="B605" s="169" t="n"/>
      <c r="C605" s="35" t="n"/>
      <c r="D605" s="35" t="n"/>
      <c r="E605" s="35" t="n"/>
      <c r="F605" s="166" t="n"/>
      <c r="G605" s="166">
        <f>IF(AND(E605&lt;&gt;"",F605&lt;&gt;""),E605*F605,"")</f>
      </c>
    </row>
    <row r="606" ht="16.5" customHeight="1" s="71">
      <c r="B606" s="169" t="n"/>
      <c r="C606" s="35" t="n"/>
      <c r="D606" s="35" t="n"/>
      <c r="E606" s="35" t="n"/>
      <c r="F606" s="166" t="n"/>
      <c r="G606" s="166">
        <f>IF(AND(E606&lt;&gt;"",F606&lt;&gt;""),E606*F606,"")</f>
      </c>
    </row>
    <row r="607" ht="16.5" customHeight="1" s="71">
      <c r="B607" s="169" t="n"/>
      <c r="C607" s="35" t="n"/>
      <c r="D607" s="35" t="n"/>
      <c r="E607" s="35" t="n"/>
      <c r="F607" s="166" t="n"/>
      <c r="G607" s="166">
        <f>IF(AND(E607&lt;&gt;"",F607&lt;&gt;""),E607*F607,"")</f>
      </c>
    </row>
    <row r="608" ht="16.5" customHeight="1" s="71">
      <c r="B608" s="169" t="n"/>
      <c r="C608" s="35" t="n"/>
      <c r="D608" s="35" t="n"/>
      <c r="E608" s="35" t="n"/>
      <c r="F608" s="166" t="n"/>
      <c r="G608" s="166">
        <f>IF(AND(E608&lt;&gt;"",F608&lt;&gt;""),E608*F608,"")</f>
      </c>
    </row>
    <row r="609" ht="16.5" customHeight="1" s="71">
      <c r="B609" s="169" t="n"/>
      <c r="C609" s="35" t="n"/>
      <c r="D609" s="35" t="n"/>
      <c r="E609" s="35" t="n"/>
      <c r="F609" s="166" t="n"/>
      <c r="G609" s="166">
        <f>IF(AND(E609&lt;&gt;"",F609&lt;&gt;""),E609*F609,"")</f>
      </c>
    </row>
    <row r="610" ht="16.5" customHeight="1" s="71">
      <c r="B610" s="169" t="n"/>
      <c r="C610" s="35" t="n"/>
      <c r="D610" s="35" t="n"/>
      <c r="E610" s="35" t="n"/>
      <c r="F610" s="166" t="n"/>
      <c r="G610" s="166">
        <f>IF(AND(E610&lt;&gt;"",F610&lt;&gt;""),E610*F610,"")</f>
      </c>
    </row>
    <row r="611" ht="16.5" customHeight="1" s="71">
      <c r="B611" s="169" t="n"/>
      <c r="C611" s="35" t="n"/>
      <c r="D611" s="35" t="n"/>
      <c r="E611" s="35" t="n"/>
      <c r="F611" s="166" t="n"/>
      <c r="G611" s="166">
        <f>IF(AND(E611&lt;&gt;"",F611&lt;&gt;""),E611*F611,"")</f>
      </c>
    </row>
    <row r="612" ht="16.5" customHeight="1" s="71">
      <c r="B612" s="169" t="n"/>
      <c r="C612" s="35" t="n"/>
      <c r="D612" s="35" t="n"/>
      <c r="E612" s="35" t="n"/>
      <c r="F612" s="166" t="n"/>
      <c r="G612" s="166">
        <f>IF(AND(E612&lt;&gt;"",F612&lt;&gt;""),E612*F612,"")</f>
      </c>
    </row>
    <row r="613" ht="16.5" customHeight="1" s="71">
      <c r="B613" s="169" t="n"/>
      <c r="C613" s="35" t="n"/>
      <c r="D613" s="35" t="n"/>
      <c r="E613" s="35" t="n"/>
      <c r="F613" s="166" t="n"/>
      <c r="G613" s="166">
        <f>IF(AND(E613&lt;&gt;"",F613&lt;&gt;""),E613*F613,"")</f>
      </c>
    </row>
    <row r="614" ht="16.5" customHeight="1" s="71">
      <c r="B614" s="169" t="n"/>
      <c r="C614" s="35" t="n"/>
      <c r="D614" s="35" t="n"/>
      <c r="E614" s="35" t="n"/>
      <c r="F614" s="166" t="n"/>
      <c r="G614" s="166">
        <f>IF(AND(E614&lt;&gt;"",F614&lt;&gt;""),E614*F614,"")</f>
      </c>
    </row>
    <row r="615" ht="16.5" customHeight="1" s="71">
      <c r="B615" s="169" t="n"/>
      <c r="C615" s="35" t="n"/>
      <c r="D615" s="35" t="n"/>
      <c r="E615" s="35" t="n"/>
      <c r="F615" s="166" t="n"/>
      <c r="G615" s="166">
        <f>IF(AND(E615&lt;&gt;"",F615&lt;&gt;""),E615*F615,"")</f>
      </c>
    </row>
    <row r="616" ht="16.5" customHeight="1" s="71">
      <c r="B616" s="169" t="n"/>
      <c r="C616" s="35" t="n"/>
      <c r="D616" s="35" t="n"/>
      <c r="E616" s="35" t="n"/>
      <c r="F616" s="166" t="n"/>
      <c r="G616" s="166">
        <f>IF(AND(E616&lt;&gt;"",F616&lt;&gt;""),E616*F616,"")</f>
      </c>
    </row>
    <row r="617" ht="16.5" customHeight="1" s="71">
      <c r="B617" s="169" t="n"/>
      <c r="C617" s="35" t="n"/>
      <c r="D617" s="35" t="n"/>
      <c r="E617" s="35" t="n"/>
      <c r="F617" s="166" t="n"/>
      <c r="G617" s="166">
        <f>IF(AND(E617&lt;&gt;"",F617&lt;&gt;""),E617*F617,"")</f>
      </c>
    </row>
    <row r="618" ht="16.5" customHeight="1" s="71">
      <c r="B618" s="169" t="n"/>
      <c r="C618" s="35" t="n"/>
      <c r="D618" s="35" t="n"/>
      <c r="E618" s="35" t="n"/>
      <c r="F618" s="166" t="n"/>
      <c r="G618" s="166">
        <f>IF(AND(E618&lt;&gt;"",F618&lt;&gt;""),E618*F618,"")</f>
      </c>
    </row>
    <row r="619" ht="16.5" customHeight="1" s="71">
      <c r="B619" s="169" t="n"/>
      <c r="C619" s="35" t="n"/>
      <c r="D619" s="35" t="n"/>
      <c r="E619" s="35" t="n"/>
      <c r="F619" s="166" t="n"/>
      <c r="G619" s="166">
        <f>IF(AND(E619&lt;&gt;"",F619&lt;&gt;""),E619*F619,"")</f>
      </c>
    </row>
    <row r="620" ht="16.5" customHeight="1" s="71">
      <c r="B620" s="169" t="n"/>
      <c r="C620" s="35" t="n"/>
      <c r="D620" s="35" t="n"/>
      <c r="E620" s="35" t="n"/>
      <c r="F620" s="166" t="n"/>
      <c r="G620" s="166">
        <f>IF(AND(E620&lt;&gt;"",F620&lt;&gt;""),E620*F620,"")</f>
      </c>
    </row>
    <row r="621" ht="16.5" customHeight="1" s="71">
      <c r="B621" s="169" t="n"/>
      <c r="C621" s="35" t="n"/>
      <c r="D621" s="35" t="n"/>
      <c r="E621" s="35" t="n"/>
      <c r="F621" s="166" t="n"/>
      <c r="G621" s="166">
        <f>IF(AND(E621&lt;&gt;"",F621&lt;&gt;""),E621*F621,"")</f>
      </c>
    </row>
    <row r="622" ht="16.5" customHeight="1" s="71">
      <c r="B622" s="169" t="n"/>
      <c r="C622" s="35" t="n"/>
      <c r="D622" s="35" t="n"/>
      <c r="E622" s="35" t="n"/>
      <c r="F622" s="166" t="n"/>
      <c r="G622" s="166">
        <f>IF(AND(E622&lt;&gt;"",F622&lt;&gt;""),E622*F622,"")</f>
      </c>
    </row>
    <row r="623" ht="16.5" customHeight="1" s="71">
      <c r="B623" s="169" t="n"/>
      <c r="C623" s="35" t="n"/>
      <c r="D623" s="35" t="n"/>
      <c r="E623" s="35" t="n"/>
      <c r="F623" s="166" t="n"/>
      <c r="G623" s="166">
        <f>IF(AND(E623&lt;&gt;"",F623&lt;&gt;""),E623*F623,"")</f>
      </c>
    </row>
    <row r="624" ht="16.5" customHeight="1" s="71">
      <c r="B624" s="169" t="n"/>
      <c r="C624" s="35" t="n"/>
      <c r="D624" s="35" t="n"/>
      <c r="E624" s="35" t="n"/>
      <c r="F624" s="166" t="n"/>
      <c r="G624" s="166">
        <f>IF(AND(E624&lt;&gt;"",F624&lt;&gt;""),E624*F624,"")</f>
      </c>
    </row>
    <row r="625" ht="16.5" customHeight="1" s="71">
      <c r="B625" s="169" t="n"/>
      <c r="C625" s="35" t="n"/>
      <c r="D625" s="35" t="n"/>
      <c r="E625" s="35" t="n"/>
      <c r="F625" s="166" t="n"/>
      <c r="G625" s="166">
        <f>IF(AND(E625&lt;&gt;"",F625&lt;&gt;""),E625*F625,"")</f>
      </c>
    </row>
    <row r="626" ht="16.5" customHeight="1" s="71">
      <c r="B626" s="169" t="n"/>
      <c r="C626" s="35" t="n"/>
      <c r="D626" s="35" t="n"/>
      <c r="E626" s="35" t="n"/>
      <c r="F626" s="166" t="n"/>
      <c r="G626" s="166">
        <f>IF(AND(E626&lt;&gt;"",F626&lt;&gt;""),E626*F626,"")</f>
      </c>
    </row>
    <row r="627" ht="16.5" customHeight="1" s="71">
      <c r="B627" s="169" t="n"/>
      <c r="C627" s="35" t="n"/>
      <c r="D627" s="35" t="n"/>
      <c r="E627" s="35" t="n"/>
      <c r="F627" s="166" t="n"/>
      <c r="G627" s="166">
        <f>IF(AND(E627&lt;&gt;"",F627&lt;&gt;""),E627*F627,"")</f>
      </c>
    </row>
    <row r="628" ht="16.5" customHeight="1" s="71">
      <c r="B628" s="169" t="n"/>
      <c r="C628" s="35" t="n"/>
      <c r="D628" s="35" t="n"/>
      <c r="E628" s="35" t="n"/>
      <c r="F628" s="166" t="n"/>
      <c r="G628" s="166">
        <f>IF(AND(E628&lt;&gt;"",F628&lt;&gt;""),E628*F628,"")</f>
      </c>
    </row>
    <row r="629" ht="16.5" customHeight="1" s="71">
      <c r="B629" s="169" t="n"/>
      <c r="C629" s="35" t="n"/>
      <c r="D629" s="35" t="n"/>
      <c r="E629" s="35" t="n"/>
      <c r="F629" s="166" t="n"/>
      <c r="G629" s="166">
        <f>IF(AND(E629&lt;&gt;"",F629&lt;&gt;""),E629*F629,"")</f>
      </c>
    </row>
    <row r="630" ht="16.5" customHeight="1" s="71">
      <c r="B630" s="169" t="n"/>
      <c r="C630" s="35" t="n"/>
      <c r="D630" s="35" t="n"/>
      <c r="E630" s="35" t="n"/>
      <c r="F630" s="166" t="n"/>
      <c r="G630" s="166">
        <f>IF(AND(E630&lt;&gt;"",F630&lt;&gt;""),E630*F630,"")</f>
      </c>
    </row>
    <row r="631" ht="16.5" customHeight="1" s="71">
      <c r="B631" s="169" t="n"/>
      <c r="C631" s="35" t="n"/>
      <c r="D631" s="35" t="n"/>
      <c r="E631" s="35" t="n"/>
      <c r="F631" s="166" t="n"/>
      <c r="G631" s="166">
        <f>IF(AND(E631&lt;&gt;"",F631&lt;&gt;""),E631*F631,"")</f>
      </c>
    </row>
    <row r="632" ht="16.5" customHeight="1" s="71">
      <c r="B632" s="169" t="n"/>
      <c r="C632" s="35" t="n"/>
      <c r="D632" s="35" t="n"/>
      <c r="E632" s="35" t="n"/>
      <c r="F632" s="166" t="n"/>
      <c r="G632" s="166">
        <f>IF(AND(E632&lt;&gt;"",F632&lt;&gt;""),E632*F632,"")</f>
      </c>
    </row>
    <row r="633" ht="16.5" customHeight="1" s="71">
      <c r="B633" s="169" t="n"/>
      <c r="C633" s="35" t="n"/>
      <c r="D633" s="35" t="n"/>
      <c r="E633" s="35" t="n"/>
      <c r="F633" s="166" t="n"/>
      <c r="G633" s="166">
        <f>IF(AND(E633&lt;&gt;"",F633&lt;&gt;""),E633*F633,"")</f>
      </c>
    </row>
    <row r="634" ht="16.5" customHeight="1" s="71">
      <c r="B634" s="169" t="n"/>
      <c r="C634" s="35" t="n"/>
      <c r="D634" s="35" t="n"/>
      <c r="E634" s="35" t="n"/>
      <c r="F634" s="166" t="n"/>
      <c r="G634" s="166">
        <f>IF(AND(E634&lt;&gt;"",F634&lt;&gt;""),E634*F634,"")</f>
      </c>
    </row>
    <row r="635" ht="16.5" customHeight="1" s="71">
      <c r="B635" s="169" t="n"/>
      <c r="C635" s="35" t="n"/>
      <c r="D635" s="35" t="n"/>
      <c r="E635" s="35" t="n"/>
      <c r="F635" s="166" t="n"/>
      <c r="G635" s="166">
        <f>IF(AND(E635&lt;&gt;"",F635&lt;&gt;""),E635*F635,"")</f>
      </c>
    </row>
    <row r="636" ht="16.5" customHeight="1" s="71">
      <c r="B636" s="169" t="n"/>
      <c r="C636" s="35" t="n"/>
      <c r="D636" s="35" t="n"/>
      <c r="E636" s="35" t="n"/>
      <c r="F636" s="166" t="n"/>
      <c r="G636" s="166">
        <f>IF(AND(E636&lt;&gt;"",F636&lt;&gt;""),E636*F636,"")</f>
      </c>
    </row>
    <row r="637" ht="16.5" customHeight="1" s="71">
      <c r="B637" s="169" t="n"/>
      <c r="C637" s="35" t="n"/>
      <c r="D637" s="35" t="n"/>
      <c r="E637" s="35" t="n"/>
      <c r="F637" s="166" t="n"/>
      <c r="G637" s="166">
        <f>IF(AND(E637&lt;&gt;"",F637&lt;&gt;""),E637*F637,"")</f>
      </c>
    </row>
    <row r="638" ht="16.5" customHeight="1" s="71">
      <c r="B638" s="169" t="n"/>
      <c r="C638" s="35" t="n"/>
      <c r="D638" s="35" t="n"/>
      <c r="E638" s="35" t="n"/>
      <c r="F638" s="166" t="n"/>
      <c r="G638" s="166">
        <f>IF(AND(E638&lt;&gt;"",F638&lt;&gt;""),E638*F638,"")</f>
      </c>
    </row>
    <row r="639" ht="16.5" customHeight="1" s="71">
      <c r="B639" s="169" t="n"/>
      <c r="C639" s="35" t="n"/>
      <c r="D639" s="35" t="n"/>
      <c r="E639" s="35" t="n"/>
      <c r="F639" s="166" t="n"/>
      <c r="G639" s="166">
        <f>IF(AND(E639&lt;&gt;"",F639&lt;&gt;""),E639*F639,"")</f>
      </c>
    </row>
    <row r="640" ht="16.5" customHeight="1" s="71">
      <c r="B640" s="169" t="n"/>
      <c r="C640" s="35" t="n"/>
      <c r="D640" s="35" t="n"/>
      <c r="E640" s="35" t="n"/>
      <c r="F640" s="166" t="n"/>
      <c r="G640" s="166">
        <f>IF(AND(E640&lt;&gt;"",F640&lt;&gt;""),E640*F640,"")</f>
      </c>
    </row>
    <row r="641" ht="16.5" customHeight="1" s="71">
      <c r="B641" s="169" t="n"/>
      <c r="C641" s="35" t="n"/>
      <c r="D641" s="35" t="n"/>
      <c r="E641" s="35" t="n"/>
      <c r="F641" s="166" t="n"/>
      <c r="G641" s="166">
        <f>IF(AND(E641&lt;&gt;"",F641&lt;&gt;""),E641*F641,"")</f>
      </c>
    </row>
    <row r="642" ht="16.5" customHeight="1" s="71">
      <c r="B642" s="169" t="n"/>
      <c r="C642" s="35" t="n"/>
      <c r="D642" s="35" t="n"/>
      <c r="E642" s="35" t="n"/>
      <c r="F642" s="166" t="n"/>
      <c r="G642" s="166">
        <f>IF(AND(E642&lt;&gt;"",F642&lt;&gt;""),E642*F642,"")</f>
      </c>
    </row>
    <row r="643" ht="16.5" customHeight="1" s="71">
      <c r="B643" s="169" t="n"/>
      <c r="C643" s="35" t="n"/>
      <c r="D643" s="35" t="n"/>
      <c r="E643" s="35" t="n"/>
      <c r="F643" s="166" t="n"/>
      <c r="G643" s="166">
        <f>IF(AND(E643&lt;&gt;"",F643&lt;&gt;""),E643*F643,"")</f>
      </c>
    </row>
    <row r="644" ht="16.5" customHeight="1" s="71">
      <c r="B644" s="169" t="n"/>
      <c r="C644" s="35" t="n"/>
      <c r="D644" s="35" t="n"/>
      <c r="E644" s="35" t="n"/>
      <c r="F644" s="166" t="n"/>
      <c r="G644" s="166">
        <f>IF(AND(E644&lt;&gt;"",F644&lt;&gt;""),E644*F644,"")</f>
      </c>
    </row>
    <row r="645" ht="16.5" customHeight="1" s="71">
      <c r="B645" s="169" t="n"/>
      <c r="C645" s="35" t="n"/>
      <c r="D645" s="35" t="n"/>
      <c r="E645" s="35" t="n"/>
      <c r="F645" s="166" t="n"/>
      <c r="G645" s="166">
        <f>IF(AND(E645&lt;&gt;"",F645&lt;&gt;""),E645*F645,"")</f>
      </c>
    </row>
    <row r="646" ht="16.5" customHeight="1" s="71">
      <c r="B646" s="169" t="n"/>
      <c r="C646" s="35" t="n"/>
      <c r="D646" s="35" t="n"/>
      <c r="E646" s="35" t="n"/>
      <c r="F646" s="166" t="n"/>
      <c r="G646" s="166">
        <f>IF(AND(E646&lt;&gt;"",F646&lt;&gt;""),E646*F646,"")</f>
      </c>
    </row>
    <row r="647" ht="16.5" customHeight="1" s="71">
      <c r="B647" s="169" t="n"/>
      <c r="C647" s="35" t="n"/>
      <c r="D647" s="35" t="n"/>
      <c r="E647" s="35" t="n"/>
      <c r="F647" s="166" t="n"/>
      <c r="G647" s="166">
        <f>IF(AND(E647&lt;&gt;"",F647&lt;&gt;""),E647*F647,"")</f>
      </c>
    </row>
    <row r="648" ht="16.5" customHeight="1" s="71">
      <c r="B648" s="169" t="n"/>
      <c r="C648" s="35" t="n"/>
      <c r="D648" s="35" t="n"/>
      <c r="E648" s="35" t="n"/>
      <c r="F648" s="166" t="n"/>
      <c r="G648" s="166">
        <f>IF(AND(E648&lt;&gt;"",F648&lt;&gt;""),E648*F648,"")</f>
      </c>
    </row>
    <row r="649" ht="16.5" customHeight="1" s="71">
      <c r="B649" s="169" t="n"/>
      <c r="C649" s="35" t="n"/>
      <c r="D649" s="35" t="n"/>
      <c r="E649" s="35" t="n"/>
      <c r="F649" s="166" t="n"/>
      <c r="G649" s="166">
        <f>IF(AND(E649&lt;&gt;"",F649&lt;&gt;""),E649*F649,"")</f>
      </c>
    </row>
    <row r="650" ht="16.5" customHeight="1" s="71">
      <c r="B650" s="169" t="n"/>
      <c r="C650" s="35" t="n"/>
      <c r="D650" s="35" t="n"/>
      <c r="E650" s="35" t="n"/>
      <c r="F650" s="166" t="n"/>
      <c r="G650" s="166">
        <f>IF(AND(E650&lt;&gt;"",F650&lt;&gt;""),E650*F650,"")</f>
      </c>
    </row>
    <row r="651" ht="16.5" customHeight="1" s="71">
      <c r="B651" s="169" t="n"/>
      <c r="C651" s="35" t="n"/>
      <c r="D651" s="35" t="n"/>
      <c r="E651" s="35" t="n"/>
      <c r="F651" s="166" t="n"/>
      <c r="G651" s="166">
        <f>IF(AND(E651&lt;&gt;"",F651&lt;&gt;""),E651*F651,"")</f>
      </c>
    </row>
    <row r="652" ht="16.5" customHeight="1" s="71">
      <c r="B652" s="169" t="n"/>
      <c r="C652" s="35" t="n"/>
      <c r="D652" s="35" t="n"/>
      <c r="E652" s="35" t="n"/>
      <c r="F652" s="166" t="n"/>
      <c r="G652" s="166">
        <f>IF(AND(E652&lt;&gt;"",F652&lt;&gt;""),E652*F652,"")</f>
      </c>
    </row>
    <row r="653" ht="16.5" customHeight="1" s="71">
      <c r="B653" s="169" t="n"/>
      <c r="C653" s="35" t="n"/>
      <c r="D653" s="35" t="n"/>
      <c r="E653" s="35" t="n"/>
      <c r="F653" s="166" t="n"/>
      <c r="G653" s="166">
        <f>IF(AND(E653&lt;&gt;"",F653&lt;&gt;""),E653*F653,"")</f>
      </c>
    </row>
    <row r="654" ht="16.5" customHeight="1" s="71">
      <c r="B654" s="169" t="n"/>
      <c r="C654" s="35" t="n"/>
      <c r="D654" s="35" t="n"/>
      <c r="E654" s="35" t="n"/>
      <c r="F654" s="166" t="n"/>
      <c r="G654" s="166">
        <f>IF(AND(E654&lt;&gt;"",F654&lt;&gt;""),E654*F654,"")</f>
      </c>
    </row>
    <row r="655" ht="16.5" customHeight="1" s="71">
      <c r="B655" s="169" t="n"/>
      <c r="C655" s="35" t="n"/>
      <c r="D655" s="35" t="n"/>
      <c r="E655" s="35" t="n"/>
      <c r="F655" s="166" t="n"/>
      <c r="G655" s="166">
        <f>IF(AND(E655&lt;&gt;"",F655&lt;&gt;""),E655*F655,"")</f>
      </c>
    </row>
    <row r="656" ht="16.5" customHeight="1" s="71">
      <c r="B656" s="169" t="n"/>
      <c r="C656" s="35" t="n"/>
      <c r="D656" s="35" t="n"/>
      <c r="E656" s="35" t="n"/>
      <c r="F656" s="166" t="n"/>
      <c r="G656" s="166">
        <f>IF(AND(E656&lt;&gt;"",F656&lt;&gt;""),E656*F656,"")</f>
      </c>
    </row>
    <row r="657" ht="16.5" customHeight="1" s="71">
      <c r="B657" s="169" t="n"/>
      <c r="C657" s="35" t="n"/>
      <c r="D657" s="35" t="n"/>
      <c r="E657" s="35" t="n"/>
      <c r="F657" s="166" t="n"/>
      <c r="G657" s="166">
        <f>IF(AND(E657&lt;&gt;"",F657&lt;&gt;""),E657*F657,"")</f>
      </c>
    </row>
    <row r="658" ht="16.5" customHeight="1" s="71">
      <c r="B658" s="169" t="n"/>
      <c r="C658" s="35" t="n"/>
      <c r="D658" s="35" t="n"/>
      <c r="E658" s="35" t="n"/>
      <c r="F658" s="166" t="n"/>
      <c r="G658" s="166">
        <f>IF(AND(E658&lt;&gt;"",F658&lt;&gt;""),E658*F658,"")</f>
      </c>
    </row>
    <row r="659" ht="16.5" customHeight="1" s="71">
      <c r="B659" s="169" t="n"/>
      <c r="C659" s="35" t="n"/>
      <c r="D659" s="35" t="n"/>
      <c r="E659" s="35" t="n"/>
      <c r="F659" s="166" t="n"/>
      <c r="G659" s="166">
        <f>IF(AND(E659&lt;&gt;"",F659&lt;&gt;""),E659*F659,"")</f>
      </c>
    </row>
    <row r="660" ht="16.5" customHeight="1" s="71">
      <c r="B660" s="169" t="n"/>
      <c r="C660" s="35" t="n"/>
      <c r="D660" s="35" t="n"/>
      <c r="E660" s="35" t="n"/>
      <c r="F660" s="166" t="n"/>
      <c r="G660" s="166">
        <f>IF(AND(E660&lt;&gt;"",F660&lt;&gt;""),E660*F660,"")</f>
      </c>
    </row>
    <row r="661" ht="16.5" customHeight="1" s="71">
      <c r="B661" s="169" t="n"/>
      <c r="C661" s="35" t="n"/>
      <c r="D661" s="35" t="n"/>
      <c r="E661" s="35" t="n"/>
      <c r="F661" s="166" t="n"/>
      <c r="G661" s="166">
        <f>IF(AND(E661&lt;&gt;"",F661&lt;&gt;""),E661*F661,"")</f>
      </c>
    </row>
    <row r="662" ht="16.5" customHeight="1" s="71">
      <c r="B662" s="169" t="n"/>
      <c r="C662" s="35" t="n"/>
      <c r="D662" s="35" t="n"/>
      <c r="E662" s="35" t="n"/>
      <c r="F662" s="166" t="n"/>
      <c r="G662" s="166">
        <f>IF(AND(E662&lt;&gt;"",F662&lt;&gt;""),E662*F662,"")</f>
      </c>
    </row>
    <row r="663" ht="16.5" customHeight="1" s="71">
      <c r="B663" s="169" t="n"/>
      <c r="C663" s="35" t="n"/>
      <c r="D663" s="35" t="n"/>
      <c r="E663" s="35" t="n"/>
      <c r="F663" s="166" t="n"/>
      <c r="G663" s="166">
        <f>IF(AND(E663&lt;&gt;"",F663&lt;&gt;""),E663*F663,"")</f>
      </c>
    </row>
    <row r="664" ht="16.5" customHeight="1" s="71">
      <c r="B664" s="169" t="n"/>
      <c r="C664" s="35" t="n"/>
      <c r="D664" s="35" t="n"/>
      <c r="E664" s="35" t="n"/>
      <c r="F664" s="166" t="n"/>
      <c r="G664" s="166">
        <f>IF(AND(E664&lt;&gt;"",F664&lt;&gt;""),E664*F664,"")</f>
      </c>
    </row>
    <row r="665" ht="16.5" customHeight="1" s="71">
      <c r="B665" s="169" t="n"/>
      <c r="C665" s="35" t="n"/>
      <c r="D665" s="35" t="n"/>
      <c r="E665" s="35" t="n"/>
      <c r="F665" s="166" t="n"/>
      <c r="G665" s="166">
        <f>IF(AND(E665&lt;&gt;"",F665&lt;&gt;""),E665*F665,"")</f>
      </c>
    </row>
    <row r="666" ht="16.5" customHeight="1" s="71">
      <c r="B666" s="169" t="n"/>
      <c r="C666" s="35" t="n"/>
      <c r="D666" s="35" t="n"/>
      <c r="E666" s="35" t="n"/>
      <c r="F666" s="166" t="n"/>
      <c r="G666" s="166">
        <f>IF(AND(E666&lt;&gt;"",F666&lt;&gt;""),E666*F666,"")</f>
      </c>
    </row>
    <row r="667" ht="16.5" customHeight="1" s="71">
      <c r="B667" s="169" t="n"/>
      <c r="C667" s="35" t="n"/>
      <c r="D667" s="35" t="n"/>
      <c r="E667" s="35" t="n"/>
      <c r="F667" s="166" t="n"/>
      <c r="G667" s="166">
        <f>IF(AND(E667&lt;&gt;"",F667&lt;&gt;""),E667*F667,"")</f>
      </c>
    </row>
    <row r="668" ht="16.5" customHeight="1" s="71">
      <c r="B668" s="169" t="n"/>
      <c r="C668" s="35" t="n"/>
      <c r="D668" s="35" t="n"/>
      <c r="E668" s="35" t="n"/>
      <c r="F668" s="166" t="n"/>
      <c r="G668" s="166">
        <f>IF(AND(E668&lt;&gt;"",F668&lt;&gt;""),E668*F668,"")</f>
      </c>
    </row>
    <row r="669" ht="16.5" customHeight="1" s="71">
      <c r="B669" s="169" t="n"/>
      <c r="C669" s="35" t="n"/>
      <c r="D669" s="35" t="n"/>
      <c r="E669" s="35" t="n"/>
      <c r="F669" s="166" t="n"/>
      <c r="G669" s="166">
        <f>IF(AND(E669&lt;&gt;"",F669&lt;&gt;""),E669*F669,"")</f>
      </c>
    </row>
    <row r="670" ht="16.5" customHeight="1" s="71">
      <c r="B670" s="169" t="n"/>
      <c r="C670" s="35" t="n"/>
      <c r="D670" s="35" t="n"/>
      <c r="E670" s="35" t="n"/>
      <c r="F670" s="166" t="n"/>
      <c r="G670" s="166">
        <f>IF(AND(E670&lt;&gt;"",F670&lt;&gt;""),E670*F670,"")</f>
      </c>
    </row>
    <row r="671" ht="16.5" customHeight="1" s="71">
      <c r="B671" s="169" t="n"/>
      <c r="C671" s="35" t="n"/>
      <c r="D671" s="35" t="n"/>
      <c r="E671" s="35" t="n"/>
      <c r="F671" s="166" t="n"/>
      <c r="G671" s="166">
        <f>IF(AND(E671&lt;&gt;"",F671&lt;&gt;""),E671*F671,"")</f>
      </c>
    </row>
    <row r="672" ht="16.5" customHeight="1" s="71">
      <c r="B672" s="169" t="n"/>
      <c r="C672" s="35" t="n"/>
      <c r="D672" s="35" t="n"/>
      <c r="E672" s="35" t="n"/>
      <c r="F672" s="166" t="n"/>
      <c r="G672" s="166">
        <f>IF(AND(E672&lt;&gt;"",F672&lt;&gt;""),E672*F672,"")</f>
      </c>
    </row>
    <row r="673" ht="16.5" customHeight="1" s="71">
      <c r="B673" s="169" t="n"/>
      <c r="C673" s="35" t="n"/>
      <c r="D673" s="35" t="n"/>
      <c r="E673" s="35" t="n"/>
      <c r="F673" s="166" t="n"/>
      <c r="G673" s="166">
        <f>IF(AND(E673&lt;&gt;"",F673&lt;&gt;""),E673*F673,"")</f>
      </c>
    </row>
    <row r="674" ht="16.5" customHeight="1" s="71">
      <c r="B674" s="169" t="n"/>
      <c r="C674" s="35" t="n"/>
      <c r="D674" s="35" t="n"/>
      <c r="E674" s="35" t="n"/>
      <c r="F674" s="166" t="n"/>
      <c r="G674" s="166">
        <f>IF(AND(E674&lt;&gt;"",F674&lt;&gt;""),E674*F674,"")</f>
      </c>
    </row>
    <row r="675" ht="16.5" customHeight="1" s="71">
      <c r="B675" s="169" t="n"/>
      <c r="C675" s="35" t="n"/>
      <c r="D675" s="35" t="n"/>
      <c r="E675" s="35" t="n"/>
      <c r="F675" s="166" t="n"/>
      <c r="G675" s="166">
        <f>IF(AND(E675&lt;&gt;"",F675&lt;&gt;""),E675*F675,"")</f>
      </c>
    </row>
    <row r="676" ht="16.5" customHeight="1" s="71">
      <c r="B676" s="169" t="n"/>
      <c r="C676" s="35" t="n"/>
      <c r="D676" s="35" t="n"/>
      <c r="E676" s="35" t="n"/>
      <c r="F676" s="166" t="n"/>
      <c r="G676" s="166">
        <f>IF(AND(E676&lt;&gt;"",F676&lt;&gt;""),E676*F676,"")</f>
      </c>
    </row>
    <row r="677" ht="16.5" customHeight="1" s="71">
      <c r="B677" s="169" t="n"/>
      <c r="C677" s="35" t="n"/>
      <c r="D677" s="35" t="n"/>
      <c r="E677" s="35" t="n"/>
      <c r="F677" s="166" t="n"/>
      <c r="G677" s="166">
        <f>IF(AND(E677&lt;&gt;"",F677&lt;&gt;""),E677*F677,"")</f>
      </c>
    </row>
    <row r="678" ht="16.5" customHeight="1" s="71">
      <c r="B678" s="169" t="n"/>
      <c r="C678" s="35" t="n"/>
      <c r="D678" s="35" t="n"/>
      <c r="E678" s="35" t="n"/>
      <c r="F678" s="166" t="n"/>
      <c r="G678" s="166">
        <f>IF(AND(E678&lt;&gt;"",F678&lt;&gt;""),E678*F678,"")</f>
      </c>
    </row>
    <row r="679" ht="16.5" customHeight="1" s="71">
      <c r="B679" s="169" t="n"/>
      <c r="C679" s="35" t="n"/>
      <c r="D679" s="35" t="n"/>
      <c r="E679" s="35" t="n"/>
      <c r="F679" s="166" t="n"/>
      <c r="G679" s="166">
        <f>IF(AND(E679&lt;&gt;"",F679&lt;&gt;""),E679*F679,"")</f>
      </c>
    </row>
    <row r="680" ht="16.5" customHeight="1" s="71">
      <c r="B680" s="169" t="n"/>
      <c r="C680" s="35" t="n"/>
      <c r="D680" s="35" t="n"/>
      <c r="E680" s="35" t="n"/>
      <c r="F680" s="166" t="n"/>
      <c r="G680" s="166">
        <f>IF(AND(E680&lt;&gt;"",F680&lt;&gt;""),E680*F680,"")</f>
      </c>
    </row>
    <row r="681" ht="16.5" customHeight="1" s="71">
      <c r="B681" s="169" t="n"/>
      <c r="C681" s="35" t="n"/>
      <c r="D681" s="35" t="n"/>
      <c r="E681" s="35" t="n"/>
      <c r="F681" s="166" t="n"/>
      <c r="G681" s="166">
        <f>IF(AND(E681&lt;&gt;"",F681&lt;&gt;""),E681*F681,"")</f>
      </c>
    </row>
    <row r="682" ht="16.5" customHeight="1" s="71">
      <c r="B682" s="169" t="n"/>
      <c r="C682" s="35" t="n"/>
      <c r="D682" s="35" t="n"/>
      <c r="E682" s="35" t="n"/>
      <c r="F682" s="166" t="n"/>
      <c r="G682" s="166">
        <f>IF(AND(E682&lt;&gt;"",F682&lt;&gt;""),E682*F682,"")</f>
      </c>
    </row>
    <row r="683" ht="16.5" customHeight="1" s="71">
      <c r="B683" s="169" t="n"/>
      <c r="C683" s="35" t="n"/>
      <c r="D683" s="35" t="n"/>
      <c r="E683" s="35" t="n"/>
      <c r="F683" s="166" t="n"/>
      <c r="G683" s="166">
        <f>IF(AND(E683&lt;&gt;"",F683&lt;&gt;""),E683*F683,"")</f>
      </c>
    </row>
    <row r="684" ht="16.5" customHeight="1" s="71">
      <c r="B684" s="169" t="n"/>
      <c r="C684" s="35" t="n"/>
      <c r="D684" s="35" t="n"/>
      <c r="E684" s="35" t="n"/>
      <c r="F684" s="166" t="n"/>
      <c r="G684" s="166">
        <f>IF(AND(E684&lt;&gt;"",F684&lt;&gt;""),E684*F684,"")</f>
      </c>
    </row>
    <row r="685" ht="16.5" customHeight="1" s="71">
      <c r="B685" s="169" t="n"/>
      <c r="C685" s="35" t="n"/>
      <c r="D685" s="35" t="n"/>
      <c r="E685" s="35" t="n"/>
      <c r="F685" s="166" t="n"/>
      <c r="G685" s="166">
        <f>IF(AND(E685&lt;&gt;"",F685&lt;&gt;""),E685*F685,"")</f>
      </c>
    </row>
    <row r="686" ht="16.5" customHeight="1" s="71">
      <c r="B686" s="169" t="n"/>
      <c r="C686" s="35" t="n"/>
      <c r="D686" s="35" t="n"/>
      <c r="E686" s="35" t="n"/>
      <c r="F686" s="166" t="n"/>
      <c r="G686" s="166">
        <f>IF(AND(E686&lt;&gt;"",F686&lt;&gt;""),E686*F686,"")</f>
      </c>
    </row>
    <row r="687" ht="16.5" customHeight="1" s="71">
      <c r="B687" s="169" t="n"/>
      <c r="C687" s="35" t="n"/>
      <c r="D687" s="35" t="n"/>
      <c r="E687" s="35" t="n"/>
      <c r="F687" s="166" t="n"/>
      <c r="G687" s="166">
        <f>IF(AND(E687&lt;&gt;"",F687&lt;&gt;""),E687*F687,"")</f>
      </c>
    </row>
    <row r="688" ht="16.5" customHeight="1" s="71">
      <c r="B688" s="169" t="n"/>
      <c r="C688" s="35" t="n"/>
      <c r="D688" s="35" t="n"/>
      <c r="E688" s="35" t="n"/>
      <c r="F688" s="166" t="n"/>
      <c r="G688" s="166">
        <f>IF(AND(E688&lt;&gt;"",F688&lt;&gt;""),E688*F688,"")</f>
      </c>
    </row>
    <row r="689" ht="16.5" customHeight="1" s="71">
      <c r="B689" s="169" t="n"/>
      <c r="C689" s="35" t="n"/>
      <c r="D689" s="35" t="n"/>
      <c r="E689" s="35" t="n"/>
      <c r="F689" s="166" t="n"/>
      <c r="G689" s="166">
        <f>IF(AND(E689&lt;&gt;"",F689&lt;&gt;""),E689*F689,"")</f>
      </c>
    </row>
    <row r="690" ht="16.5" customHeight="1" s="71">
      <c r="B690" s="169" t="n"/>
      <c r="C690" s="35" t="n"/>
      <c r="D690" s="35" t="n"/>
      <c r="E690" s="35" t="n"/>
      <c r="F690" s="166" t="n"/>
      <c r="G690" s="166">
        <f>IF(AND(E690&lt;&gt;"",F690&lt;&gt;""),E690*F690,"")</f>
      </c>
    </row>
    <row r="691" ht="16.5" customHeight="1" s="71">
      <c r="B691" s="169" t="n"/>
      <c r="C691" s="35" t="n"/>
      <c r="D691" s="35" t="n"/>
      <c r="E691" s="35" t="n"/>
      <c r="F691" s="166" t="n"/>
      <c r="G691" s="166">
        <f>IF(AND(E691&lt;&gt;"",F691&lt;&gt;""),E691*F691,"")</f>
      </c>
    </row>
    <row r="692" ht="16.5" customHeight="1" s="71">
      <c r="B692" s="169" t="n"/>
      <c r="C692" s="35" t="n"/>
      <c r="D692" s="35" t="n"/>
      <c r="E692" s="35" t="n"/>
      <c r="F692" s="166" t="n"/>
      <c r="G692" s="166">
        <f>IF(AND(E692&lt;&gt;"",F692&lt;&gt;""),E692*F692,"")</f>
      </c>
    </row>
    <row r="693" ht="16.5" customHeight="1" s="71">
      <c r="B693" s="169" t="n"/>
      <c r="C693" s="35" t="n"/>
      <c r="D693" s="35" t="n"/>
      <c r="E693" s="35" t="n"/>
      <c r="F693" s="166" t="n"/>
      <c r="G693" s="166">
        <f>IF(AND(E693&lt;&gt;"",F693&lt;&gt;""),E693*F693,"")</f>
      </c>
    </row>
    <row r="694" ht="16.5" customHeight="1" s="71">
      <c r="B694" s="169" t="n"/>
      <c r="C694" s="35" t="n"/>
      <c r="D694" s="35" t="n"/>
      <c r="E694" s="35" t="n"/>
      <c r="F694" s="166" t="n"/>
      <c r="G694" s="166">
        <f>IF(AND(E694&lt;&gt;"",F694&lt;&gt;""),E694*F694,"")</f>
      </c>
    </row>
    <row r="695" ht="16.5" customHeight="1" s="71">
      <c r="B695" s="169" t="n"/>
      <c r="C695" s="35" t="n"/>
      <c r="D695" s="35" t="n"/>
      <c r="E695" s="35" t="n"/>
      <c r="F695" s="166" t="n"/>
      <c r="G695" s="166">
        <f>IF(AND(E695&lt;&gt;"",F695&lt;&gt;""),E695*F695,"")</f>
      </c>
    </row>
    <row r="696" ht="16.5" customHeight="1" s="71">
      <c r="B696" s="169" t="n"/>
      <c r="C696" s="35" t="n"/>
      <c r="D696" s="35" t="n"/>
      <c r="E696" s="35" t="n"/>
      <c r="F696" s="166" t="n"/>
      <c r="G696" s="166">
        <f>IF(AND(E696&lt;&gt;"",F696&lt;&gt;""),E696*F696,"")</f>
      </c>
    </row>
    <row r="697" ht="16.5" customHeight="1" s="71">
      <c r="B697" s="169" t="n"/>
      <c r="C697" s="35" t="n"/>
      <c r="D697" s="35" t="n"/>
      <c r="E697" s="35" t="n"/>
      <c r="F697" s="166" t="n"/>
      <c r="G697" s="166">
        <f>IF(AND(E697&lt;&gt;"",F697&lt;&gt;""),E697*F697,"")</f>
      </c>
    </row>
    <row r="698" ht="16.5" customHeight="1" s="71">
      <c r="B698" s="169" t="n"/>
      <c r="C698" s="35" t="n"/>
      <c r="D698" s="35" t="n"/>
      <c r="E698" s="35" t="n"/>
      <c r="F698" s="166" t="n"/>
      <c r="G698" s="166">
        <f>IF(AND(E698&lt;&gt;"",F698&lt;&gt;""),E698*F698,"")</f>
      </c>
    </row>
    <row r="699" ht="16.5" customHeight="1" s="71">
      <c r="B699" s="169" t="n"/>
      <c r="C699" s="35" t="n"/>
      <c r="D699" s="35" t="n"/>
      <c r="E699" s="35" t="n"/>
      <c r="F699" s="166" t="n"/>
      <c r="G699" s="166">
        <f>IF(AND(E699&lt;&gt;"",F699&lt;&gt;""),E699*F699,"")</f>
      </c>
    </row>
    <row r="700" ht="16.5" customHeight="1" s="71">
      <c r="B700" s="169" t="n"/>
      <c r="C700" s="35" t="n"/>
      <c r="D700" s="35" t="n"/>
      <c r="E700" s="35" t="n"/>
      <c r="F700" s="166" t="n"/>
      <c r="G700" s="166">
        <f>IF(AND(E700&lt;&gt;"",F700&lt;&gt;""),E700*F700,"")</f>
      </c>
    </row>
    <row r="701" ht="16.5" customHeight="1" s="71">
      <c r="B701" s="169" t="n"/>
      <c r="C701" s="35" t="n"/>
      <c r="D701" s="35" t="n"/>
      <c r="E701" s="35" t="n"/>
      <c r="F701" s="166" t="n"/>
      <c r="G701" s="166">
        <f>IF(AND(E701&lt;&gt;"",F701&lt;&gt;""),E701*F701,"")</f>
      </c>
    </row>
    <row r="702" ht="16.5" customHeight="1" s="71">
      <c r="B702" s="169" t="n"/>
      <c r="C702" s="35" t="n"/>
      <c r="D702" s="35" t="n"/>
      <c r="E702" s="35" t="n"/>
      <c r="F702" s="166" t="n"/>
      <c r="G702" s="166">
        <f>IF(AND(E702&lt;&gt;"",F702&lt;&gt;""),E702*F702,"")</f>
      </c>
    </row>
    <row r="703" ht="16.5" customHeight="1" s="71">
      <c r="B703" s="169" t="n"/>
      <c r="C703" s="35" t="n"/>
      <c r="D703" s="35" t="n"/>
      <c r="E703" s="35" t="n"/>
      <c r="F703" s="166" t="n"/>
      <c r="G703" s="166">
        <f>IF(AND(E703&lt;&gt;"",F703&lt;&gt;""),E703*F703,"")</f>
      </c>
    </row>
    <row r="704" ht="16.5" customHeight="1" s="71">
      <c r="B704" s="169" t="n"/>
      <c r="C704" s="35" t="n"/>
      <c r="D704" s="35" t="n"/>
      <c r="E704" s="35" t="n"/>
      <c r="F704" s="166" t="n"/>
      <c r="G704" s="166">
        <f>IF(AND(E704&lt;&gt;"",F704&lt;&gt;""),E704*F704,"")</f>
      </c>
    </row>
    <row r="705" ht="16.5" customHeight="1" s="71">
      <c r="B705" s="169" t="n"/>
      <c r="C705" s="35" t="n"/>
      <c r="D705" s="35" t="n"/>
      <c r="E705" s="35" t="n"/>
      <c r="F705" s="166" t="n"/>
      <c r="G705" s="166">
        <f>IF(AND(E705&lt;&gt;"",F705&lt;&gt;""),E705*F705,"")</f>
      </c>
    </row>
    <row r="706" ht="16.5" customHeight="1" s="71">
      <c r="B706" s="169" t="n"/>
      <c r="C706" s="35" t="n"/>
      <c r="D706" s="35" t="n"/>
      <c r="E706" s="35" t="n"/>
      <c r="F706" s="166" t="n"/>
      <c r="G706" s="166">
        <f>IF(AND(E706&lt;&gt;"",F706&lt;&gt;""),E706*F706,"")</f>
      </c>
    </row>
    <row r="707" ht="16.5" customHeight="1" s="71">
      <c r="B707" s="169" t="n"/>
      <c r="C707" s="35" t="n"/>
      <c r="D707" s="35" t="n"/>
      <c r="E707" s="35" t="n"/>
      <c r="F707" s="166" t="n"/>
      <c r="G707" s="166">
        <f>IF(AND(E707&lt;&gt;"",F707&lt;&gt;""),E707*F707,"")</f>
      </c>
    </row>
    <row r="708" ht="16.5" customHeight="1" s="71">
      <c r="B708" s="169" t="n"/>
      <c r="C708" s="35" t="n"/>
      <c r="D708" s="35" t="n"/>
      <c r="E708" s="35" t="n"/>
      <c r="F708" s="166" t="n"/>
      <c r="G708" s="166">
        <f>IF(AND(E708&lt;&gt;"",F708&lt;&gt;""),E708*F708,"")</f>
      </c>
    </row>
    <row r="709" ht="16.5" customHeight="1" s="71">
      <c r="B709" s="169" t="n"/>
      <c r="C709" s="35" t="n"/>
      <c r="D709" s="35" t="n"/>
      <c r="E709" s="35" t="n"/>
      <c r="F709" s="166" t="n"/>
      <c r="G709" s="166">
        <f>IF(AND(E709&lt;&gt;"",F709&lt;&gt;""),E709*F709,"")</f>
      </c>
    </row>
    <row r="710" ht="16.5" customHeight="1" s="71">
      <c r="B710" s="169" t="n"/>
      <c r="C710" s="35" t="n"/>
      <c r="D710" s="35" t="n"/>
      <c r="E710" s="35" t="n"/>
      <c r="F710" s="166" t="n"/>
      <c r="G710" s="166">
        <f>IF(AND(E710&lt;&gt;"",F710&lt;&gt;""),E710*F710,"")</f>
      </c>
    </row>
    <row r="711" ht="16.5" customHeight="1" s="71">
      <c r="B711" s="169" t="n"/>
      <c r="C711" s="35" t="n"/>
      <c r="D711" s="35" t="n"/>
      <c r="E711" s="35" t="n"/>
      <c r="F711" s="166" t="n"/>
      <c r="G711" s="166">
        <f>IF(AND(E711&lt;&gt;"",F711&lt;&gt;""),E711*F711,"")</f>
      </c>
    </row>
    <row r="712" ht="16.5" customHeight="1" s="71">
      <c r="B712" s="169" t="n"/>
      <c r="C712" s="35" t="n"/>
      <c r="D712" s="35" t="n"/>
      <c r="E712" s="35" t="n"/>
      <c r="F712" s="166" t="n"/>
      <c r="G712" s="166">
        <f>IF(AND(E712&lt;&gt;"",F712&lt;&gt;""),E712*F712,"")</f>
      </c>
    </row>
    <row r="713" ht="16.5" customHeight="1" s="71">
      <c r="B713" s="169" t="n"/>
      <c r="C713" s="35" t="n"/>
      <c r="D713" s="35" t="n"/>
      <c r="E713" s="35" t="n"/>
      <c r="F713" s="166" t="n"/>
      <c r="G713" s="166">
        <f>IF(AND(E713&lt;&gt;"",F713&lt;&gt;""),E713*F713,"")</f>
      </c>
    </row>
    <row r="714" ht="16.5" customHeight="1" s="71">
      <c r="B714" s="169" t="n"/>
      <c r="C714" s="35" t="n"/>
      <c r="D714" s="35" t="n"/>
      <c r="E714" s="35" t="n"/>
      <c r="F714" s="166" t="n"/>
      <c r="G714" s="166">
        <f>IF(AND(E714&lt;&gt;"",F714&lt;&gt;""),E714*F714,"")</f>
      </c>
    </row>
    <row r="715" ht="16.5" customHeight="1" s="71">
      <c r="B715" s="169" t="n"/>
      <c r="C715" s="35" t="n"/>
      <c r="D715" s="35" t="n"/>
      <c r="E715" s="35" t="n"/>
      <c r="F715" s="166" t="n"/>
      <c r="G715" s="166">
        <f>IF(AND(E715&lt;&gt;"",F715&lt;&gt;""),E715*F715,"")</f>
      </c>
    </row>
    <row r="716" ht="16.5" customHeight="1" s="71">
      <c r="B716" s="169" t="n"/>
      <c r="C716" s="35" t="n"/>
      <c r="D716" s="35" t="n"/>
      <c r="E716" s="35" t="n"/>
      <c r="F716" s="166" t="n"/>
      <c r="G716" s="166">
        <f>IF(AND(E716&lt;&gt;"",F716&lt;&gt;""),E716*F716,"")</f>
      </c>
    </row>
    <row r="717" ht="16.5" customHeight="1" s="71">
      <c r="B717" s="169" t="n"/>
      <c r="C717" s="35" t="n"/>
      <c r="D717" s="35" t="n"/>
      <c r="E717" s="35" t="n"/>
      <c r="F717" s="166" t="n"/>
      <c r="G717" s="166">
        <f>IF(AND(E717&lt;&gt;"",F717&lt;&gt;""),E717*F717,"")</f>
      </c>
    </row>
    <row r="718" ht="16.5" customHeight="1" s="71">
      <c r="B718" s="169" t="n"/>
      <c r="C718" s="35" t="n"/>
      <c r="D718" s="35" t="n"/>
      <c r="E718" s="35" t="n"/>
      <c r="F718" s="166" t="n"/>
      <c r="G718" s="166">
        <f>IF(AND(E718&lt;&gt;"",F718&lt;&gt;""),E718*F718,"")</f>
      </c>
    </row>
    <row r="719" ht="16.5" customHeight="1" s="71">
      <c r="B719" s="169" t="n"/>
      <c r="C719" s="35" t="n"/>
      <c r="D719" s="35" t="n"/>
      <c r="E719" s="35" t="n"/>
      <c r="F719" s="166" t="n"/>
      <c r="G719" s="166">
        <f>IF(AND(E719&lt;&gt;"",F719&lt;&gt;""),E719*F719,"")</f>
      </c>
    </row>
    <row r="720" ht="16.5" customHeight="1" s="71">
      <c r="B720" s="169" t="n"/>
      <c r="C720" s="35" t="n"/>
      <c r="D720" s="35" t="n"/>
      <c r="E720" s="35" t="n"/>
      <c r="F720" s="166" t="n"/>
      <c r="G720" s="166">
        <f>IF(AND(E720&lt;&gt;"",F720&lt;&gt;""),E720*F720,"")</f>
      </c>
    </row>
    <row r="721" ht="16.5" customHeight="1" s="71">
      <c r="B721" s="169" t="n"/>
      <c r="C721" s="35" t="n"/>
      <c r="D721" s="35" t="n"/>
      <c r="E721" s="35" t="n"/>
      <c r="F721" s="166" t="n"/>
      <c r="G721" s="166">
        <f>IF(AND(E721&lt;&gt;"",F721&lt;&gt;""),E721*F721,"")</f>
      </c>
    </row>
    <row r="722" ht="16.5" customHeight="1" s="71">
      <c r="B722" s="169" t="n"/>
      <c r="C722" s="35" t="n"/>
      <c r="D722" s="35" t="n"/>
      <c r="E722" s="35" t="n"/>
      <c r="F722" s="166" t="n"/>
      <c r="G722" s="166">
        <f>IF(AND(E722&lt;&gt;"",F722&lt;&gt;""),E722*F722,"")</f>
      </c>
    </row>
    <row r="723" ht="16.5" customHeight="1" s="71">
      <c r="B723" s="169" t="n"/>
      <c r="C723" s="35" t="n"/>
      <c r="D723" s="35" t="n"/>
      <c r="E723" s="35" t="n"/>
      <c r="F723" s="166" t="n"/>
      <c r="G723" s="166">
        <f>IF(AND(E723&lt;&gt;"",F723&lt;&gt;""),E723*F723,"")</f>
      </c>
    </row>
    <row r="724" ht="16.5" customHeight="1" s="71">
      <c r="B724" s="169" t="n"/>
      <c r="C724" s="35" t="n"/>
      <c r="D724" s="35" t="n"/>
      <c r="E724" s="35" t="n"/>
      <c r="F724" s="166" t="n"/>
      <c r="G724" s="166">
        <f>IF(AND(E724&lt;&gt;"",F724&lt;&gt;""),E724*F724,"")</f>
      </c>
    </row>
    <row r="725" ht="16.5" customHeight="1" s="71">
      <c r="B725" s="169" t="n"/>
      <c r="C725" s="35" t="n"/>
      <c r="D725" s="35" t="n"/>
      <c r="E725" s="35" t="n"/>
      <c r="F725" s="166" t="n"/>
      <c r="G725" s="166">
        <f>IF(AND(E725&lt;&gt;"",F725&lt;&gt;""),E725*F725,"")</f>
      </c>
    </row>
    <row r="726" ht="16.5" customHeight="1" s="71">
      <c r="B726" s="169" t="n"/>
      <c r="C726" s="35" t="n"/>
      <c r="D726" s="35" t="n"/>
      <c r="E726" s="35" t="n"/>
      <c r="F726" s="166" t="n"/>
      <c r="G726" s="166">
        <f>IF(AND(E726&lt;&gt;"",F726&lt;&gt;""),E726*F726,"")</f>
      </c>
    </row>
    <row r="727" ht="16.5" customHeight="1" s="71">
      <c r="B727" s="169" t="n"/>
      <c r="C727" s="35" t="n"/>
      <c r="D727" s="35" t="n"/>
      <c r="E727" s="35" t="n"/>
      <c r="F727" s="166" t="n"/>
      <c r="G727" s="166">
        <f>IF(AND(E727&lt;&gt;"",F727&lt;&gt;""),E727*F727,"")</f>
      </c>
    </row>
    <row r="728" ht="16.5" customHeight="1" s="71">
      <c r="B728" s="169" t="n"/>
      <c r="C728" s="35" t="n"/>
      <c r="D728" s="35" t="n"/>
      <c r="E728" s="35" t="n"/>
      <c r="F728" s="166" t="n"/>
      <c r="G728" s="166">
        <f>IF(AND(E728&lt;&gt;"",F728&lt;&gt;""),E728*F728,"")</f>
      </c>
    </row>
    <row r="729" ht="16.5" customHeight="1" s="71">
      <c r="B729" s="169" t="n"/>
      <c r="C729" s="35" t="n"/>
      <c r="D729" s="35" t="n"/>
      <c r="E729" s="35" t="n"/>
      <c r="F729" s="166" t="n"/>
      <c r="G729" s="166">
        <f>IF(AND(E729&lt;&gt;"",F729&lt;&gt;""),E729*F729,"")</f>
      </c>
    </row>
    <row r="730" ht="16.5" customHeight="1" s="71">
      <c r="B730" s="169" t="n"/>
      <c r="C730" s="35" t="n"/>
      <c r="D730" s="35" t="n"/>
      <c r="E730" s="35" t="n"/>
      <c r="F730" s="166" t="n"/>
      <c r="G730" s="166">
        <f>IF(AND(E730&lt;&gt;"",F730&lt;&gt;""),E730*F730,"")</f>
      </c>
    </row>
    <row r="731" ht="16.5" customHeight="1" s="71">
      <c r="B731" s="169" t="n"/>
      <c r="C731" s="35" t="n"/>
      <c r="D731" s="35" t="n"/>
      <c r="E731" s="35" t="n"/>
      <c r="F731" s="166" t="n"/>
      <c r="G731" s="166">
        <f>IF(AND(E731&lt;&gt;"",F731&lt;&gt;""),E731*F731,"")</f>
      </c>
    </row>
    <row r="732" ht="16.5" customHeight="1" s="71">
      <c r="B732" s="169" t="n"/>
      <c r="C732" s="35" t="n"/>
      <c r="D732" s="35" t="n"/>
      <c r="E732" s="35" t="n"/>
      <c r="F732" s="166" t="n"/>
      <c r="G732" s="166">
        <f>IF(AND(E732&lt;&gt;"",F732&lt;&gt;""),E732*F732,"")</f>
      </c>
    </row>
    <row r="733" ht="16.5" customHeight="1" s="71">
      <c r="B733" s="169" t="n"/>
      <c r="C733" s="35" t="n"/>
      <c r="D733" s="35" t="n"/>
      <c r="E733" s="35" t="n"/>
      <c r="F733" s="166" t="n"/>
      <c r="G733" s="166">
        <f>IF(AND(E733&lt;&gt;"",F733&lt;&gt;""),E733*F733,"")</f>
      </c>
    </row>
    <row r="734" ht="16.5" customHeight="1" s="71">
      <c r="B734" s="169" t="n"/>
      <c r="C734" s="35" t="n"/>
      <c r="D734" s="35" t="n"/>
      <c r="E734" s="35" t="n"/>
      <c r="F734" s="166" t="n"/>
      <c r="G734" s="166">
        <f>IF(AND(E734&lt;&gt;"",F734&lt;&gt;""),E734*F734,"")</f>
      </c>
    </row>
    <row r="735" ht="16.5" customHeight="1" s="71">
      <c r="B735" s="169" t="n"/>
      <c r="C735" s="35" t="n"/>
      <c r="D735" s="35" t="n"/>
      <c r="E735" s="35" t="n"/>
      <c r="F735" s="166" t="n"/>
      <c r="G735" s="166">
        <f>IF(AND(E735&lt;&gt;"",F735&lt;&gt;""),E735*F735,"")</f>
      </c>
    </row>
    <row r="736" ht="16.5" customHeight="1" s="71">
      <c r="B736" s="169" t="n"/>
      <c r="C736" s="35" t="n"/>
      <c r="D736" s="35" t="n"/>
      <c r="E736" s="35" t="n"/>
      <c r="F736" s="166" t="n"/>
      <c r="G736" s="166">
        <f>IF(AND(E736&lt;&gt;"",F736&lt;&gt;""),E736*F736,"")</f>
      </c>
    </row>
    <row r="737" ht="16.5" customHeight="1" s="71">
      <c r="B737" s="169" t="n"/>
      <c r="C737" s="35" t="n"/>
      <c r="D737" s="35" t="n"/>
      <c r="E737" s="35" t="n"/>
      <c r="F737" s="166" t="n"/>
      <c r="G737" s="166">
        <f>IF(AND(E737&lt;&gt;"",F737&lt;&gt;""),E737*F737,"")</f>
      </c>
    </row>
    <row r="738" ht="16.5" customHeight="1" s="71">
      <c r="B738" s="169" t="n"/>
      <c r="C738" s="35" t="n"/>
      <c r="D738" s="35" t="n"/>
      <c r="E738" s="35" t="n"/>
      <c r="F738" s="166" t="n"/>
      <c r="G738" s="166">
        <f>IF(AND(E738&lt;&gt;"",F738&lt;&gt;""),E738*F738,"")</f>
      </c>
    </row>
    <row r="739" ht="16.5" customHeight="1" s="71">
      <c r="B739" s="169" t="n"/>
      <c r="C739" s="35" t="n"/>
      <c r="D739" s="35" t="n"/>
      <c r="E739" s="35" t="n"/>
      <c r="F739" s="166" t="n"/>
      <c r="G739" s="166">
        <f>IF(AND(E739&lt;&gt;"",F739&lt;&gt;""),E739*F739,"")</f>
      </c>
    </row>
    <row r="740" ht="16.5" customHeight="1" s="71">
      <c r="B740" s="169" t="n"/>
      <c r="C740" s="35" t="n"/>
      <c r="D740" s="35" t="n"/>
      <c r="E740" s="35" t="n"/>
      <c r="F740" s="166" t="n"/>
      <c r="G740" s="166">
        <f>IF(AND(E740&lt;&gt;"",F740&lt;&gt;""),E740*F740,"")</f>
      </c>
    </row>
    <row r="741" ht="16.5" customHeight="1" s="71">
      <c r="B741" s="169" t="n"/>
      <c r="C741" s="35" t="n"/>
      <c r="D741" s="35" t="n"/>
      <c r="E741" s="35" t="n"/>
      <c r="F741" s="166" t="n"/>
      <c r="G741" s="166">
        <f>IF(AND(E741&lt;&gt;"",F741&lt;&gt;""),E741*F741,"")</f>
      </c>
    </row>
    <row r="742" ht="16.5" customHeight="1" s="71">
      <c r="B742" s="169" t="n"/>
      <c r="C742" s="35" t="n"/>
      <c r="D742" s="35" t="n"/>
      <c r="E742" s="35" t="n"/>
      <c r="F742" s="166" t="n"/>
      <c r="G742" s="166">
        <f>IF(AND(E742&lt;&gt;"",F742&lt;&gt;""),E742*F742,"")</f>
      </c>
    </row>
    <row r="743" ht="16.5" customHeight="1" s="71">
      <c r="B743" s="169" t="n"/>
      <c r="C743" s="35" t="n"/>
      <c r="D743" s="35" t="n"/>
      <c r="E743" s="35" t="n"/>
      <c r="F743" s="166" t="n"/>
      <c r="G743" s="166">
        <f>IF(AND(E743&lt;&gt;"",F743&lt;&gt;""),E743*F743,"")</f>
      </c>
    </row>
    <row r="744" ht="16.5" customHeight="1" s="71">
      <c r="B744" s="169" t="n"/>
      <c r="C744" s="35" t="n"/>
      <c r="D744" s="35" t="n"/>
      <c r="E744" s="35" t="n"/>
      <c r="F744" s="166" t="n"/>
      <c r="G744" s="166">
        <f>IF(AND(E744&lt;&gt;"",F744&lt;&gt;""),E744*F744,"")</f>
      </c>
    </row>
    <row r="745" ht="16.5" customHeight="1" s="71">
      <c r="B745" s="169" t="n"/>
      <c r="C745" s="35" t="n"/>
      <c r="D745" s="35" t="n"/>
      <c r="E745" s="35" t="n"/>
      <c r="F745" s="166" t="n"/>
      <c r="G745" s="166">
        <f>IF(AND(E745&lt;&gt;"",F745&lt;&gt;""),E745*F745,"")</f>
      </c>
    </row>
    <row r="746" ht="16.5" customHeight="1" s="71">
      <c r="B746" s="169" t="n"/>
      <c r="C746" s="35" t="n"/>
      <c r="D746" s="35" t="n"/>
      <c r="E746" s="35" t="n"/>
      <c r="F746" s="166" t="n"/>
      <c r="G746" s="166">
        <f>IF(AND(E746&lt;&gt;"",F746&lt;&gt;""),E746*F746,"")</f>
      </c>
    </row>
    <row r="747" ht="16.5" customHeight="1" s="71">
      <c r="B747" s="169" t="n"/>
      <c r="C747" s="35" t="n"/>
      <c r="D747" s="35" t="n"/>
      <c r="E747" s="35" t="n"/>
      <c r="F747" s="166" t="n"/>
      <c r="G747" s="166">
        <f>IF(AND(E747&lt;&gt;"",F747&lt;&gt;""),E747*F747,"")</f>
      </c>
    </row>
    <row r="748" ht="16.5" customHeight="1" s="71">
      <c r="B748" s="169" t="n"/>
      <c r="C748" s="35" t="n"/>
      <c r="D748" s="35" t="n"/>
      <c r="E748" s="35" t="n"/>
      <c r="F748" s="166" t="n"/>
      <c r="G748" s="166">
        <f>IF(AND(E748&lt;&gt;"",F748&lt;&gt;""),E748*F748,"")</f>
      </c>
    </row>
    <row r="749" ht="16.5" customHeight="1" s="71">
      <c r="B749" s="169" t="n"/>
      <c r="C749" s="35" t="n"/>
      <c r="D749" s="35" t="n"/>
      <c r="E749" s="35" t="n"/>
      <c r="F749" s="166" t="n"/>
      <c r="G749" s="166">
        <f>IF(AND(E749&lt;&gt;"",F749&lt;&gt;""),E749*F749,"")</f>
      </c>
    </row>
    <row r="750" ht="16.5" customHeight="1" s="71">
      <c r="B750" s="169" t="n"/>
      <c r="C750" s="35" t="n"/>
      <c r="D750" s="35" t="n"/>
      <c r="E750" s="35" t="n"/>
      <c r="F750" s="166" t="n"/>
      <c r="G750" s="166">
        <f>IF(AND(E750&lt;&gt;"",F750&lt;&gt;""),E750*F750,"")</f>
      </c>
    </row>
    <row r="751" ht="16.5" customHeight="1" s="71">
      <c r="B751" s="169" t="n"/>
      <c r="C751" s="35" t="n"/>
      <c r="D751" s="35" t="n"/>
      <c r="E751" s="35" t="n"/>
      <c r="F751" s="166" t="n"/>
      <c r="G751" s="166">
        <f>IF(AND(E751&lt;&gt;"",F751&lt;&gt;""),E751*F751,"")</f>
      </c>
    </row>
    <row r="752" ht="16.5" customHeight="1" s="71">
      <c r="B752" s="169" t="n"/>
      <c r="C752" s="35" t="n"/>
      <c r="D752" s="35" t="n"/>
      <c r="E752" s="35" t="n"/>
      <c r="F752" s="166" t="n"/>
      <c r="G752" s="166">
        <f>IF(AND(E752&lt;&gt;"",F752&lt;&gt;""),E752*F752,"")</f>
      </c>
    </row>
    <row r="753" ht="16.5" customHeight="1" s="71">
      <c r="B753" s="169" t="n"/>
      <c r="C753" s="35" t="n"/>
      <c r="D753" s="35" t="n"/>
      <c r="E753" s="35" t="n"/>
      <c r="F753" s="166" t="n"/>
      <c r="G753" s="166">
        <f>IF(AND(E753&lt;&gt;"",F753&lt;&gt;""),E753*F753,"")</f>
      </c>
    </row>
    <row r="754" ht="16.5" customHeight="1" s="71">
      <c r="B754" s="169" t="n"/>
      <c r="C754" s="35" t="n"/>
      <c r="D754" s="35" t="n"/>
      <c r="E754" s="35" t="n"/>
      <c r="F754" s="166" t="n"/>
      <c r="G754" s="166">
        <f>IF(AND(E754&lt;&gt;"",F754&lt;&gt;""),E754*F754,"")</f>
      </c>
    </row>
    <row r="755" ht="16.5" customHeight="1" s="71">
      <c r="B755" s="169" t="n"/>
      <c r="C755" s="35" t="n"/>
      <c r="D755" s="35" t="n"/>
      <c r="E755" s="35" t="n"/>
      <c r="F755" s="166" t="n"/>
      <c r="G755" s="166">
        <f>IF(AND(E755&lt;&gt;"",F755&lt;&gt;""),E755*F755,"")</f>
      </c>
    </row>
    <row r="756" ht="16.5" customHeight="1" s="71">
      <c r="B756" s="169" t="n"/>
      <c r="C756" s="35" t="n"/>
      <c r="D756" s="35" t="n"/>
      <c r="E756" s="35" t="n"/>
      <c r="F756" s="166" t="n"/>
      <c r="G756" s="166">
        <f>IF(AND(E756&lt;&gt;"",F756&lt;&gt;""),E756*F756,"")</f>
      </c>
    </row>
    <row r="757" ht="16.5" customHeight="1" s="71">
      <c r="B757" s="169" t="n"/>
      <c r="C757" s="35" t="n"/>
      <c r="D757" s="35" t="n"/>
      <c r="E757" s="35" t="n"/>
      <c r="F757" s="166" t="n"/>
      <c r="G757" s="166">
        <f>IF(AND(E757&lt;&gt;"",F757&lt;&gt;""),E757*F757,"")</f>
      </c>
    </row>
    <row r="758" ht="16.5" customHeight="1" s="71">
      <c r="B758" s="169" t="n"/>
      <c r="C758" s="35" t="n"/>
      <c r="D758" s="35" t="n"/>
      <c r="E758" s="35" t="n"/>
      <c r="F758" s="166" t="n"/>
      <c r="G758" s="166">
        <f>IF(AND(E758&lt;&gt;"",F758&lt;&gt;""),E758*F758,"")</f>
      </c>
    </row>
    <row r="759" ht="16.5" customHeight="1" s="71">
      <c r="B759" s="169" t="n"/>
      <c r="C759" s="35" t="n"/>
      <c r="D759" s="35" t="n"/>
      <c r="E759" s="35" t="n"/>
      <c r="F759" s="166" t="n"/>
      <c r="G759" s="166">
        <f>IF(AND(E759&lt;&gt;"",F759&lt;&gt;""),E759*F759,"")</f>
      </c>
    </row>
    <row r="760" ht="16.5" customHeight="1" s="71">
      <c r="B760" s="169" t="n"/>
      <c r="C760" s="35" t="n"/>
      <c r="D760" s="35" t="n"/>
      <c r="E760" s="35" t="n"/>
      <c r="F760" s="166" t="n"/>
      <c r="G760" s="166">
        <f>IF(AND(E760&lt;&gt;"",F760&lt;&gt;""),E760*F760,"")</f>
      </c>
    </row>
    <row r="761" ht="16.5" customHeight="1" s="71">
      <c r="B761" s="169" t="n"/>
      <c r="C761" s="35" t="n"/>
      <c r="D761" s="35" t="n"/>
      <c r="E761" s="35" t="n"/>
      <c r="F761" s="166" t="n"/>
      <c r="G761" s="166">
        <f>IF(AND(E761&lt;&gt;"",F761&lt;&gt;""),E761*F761,"")</f>
      </c>
    </row>
    <row r="762" ht="16.5" customHeight="1" s="71">
      <c r="B762" s="169" t="n"/>
      <c r="C762" s="35" t="n"/>
      <c r="D762" s="35" t="n"/>
      <c r="E762" s="35" t="n"/>
      <c r="F762" s="166" t="n"/>
      <c r="G762" s="166">
        <f>IF(AND(E762&lt;&gt;"",F762&lt;&gt;""),E762*F762,"")</f>
      </c>
    </row>
    <row r="763" ht="16.5" customHeight="1" s="71">
      <c r="B763" s="169" t="n"/>
      <c r="C763" s="35" t="n"/>
      <c r="D763" s="35" t="n"/>
      <c r="E763" s="35" t="n"/>
      <c r="F763" s="166" t="n"/>
      <c r="G763" s="166">
        <f>IF(AND(E763&lt;&gt;"",F763&lt;&gt;""),E763*F763,"")</f>
      </c>
    </row>
    <row r="764" ht="16.5" customHeight="1" s="71">
      <c r="B764" s="169" t="n"/>
      <c r="C764" s="35" t="n"/>
      <c r="D764" s="35" t="n"/>
      <c r="E764" s="35" t="n"/>
      <c r="F764" s="166" t="n"/>
      <c r="G764" s="166">
        <f>IF(AND(E764&lt;&gt;"",F764&lt;&gt;""),E764*F764,"")</f>
      </c>
    </row>
    <row r="765" ht="16.5" customHeight="1" s="71">
      <c r="B765" s="169" t="n"/>
      <c r="C765" s="35" t="n"/>
      <c r="D765" s="35" t="n"/>
      <c r="E765" s="35" t="n"/>
      <c r="F765" s="166" t="n"/>
      <c r="G765" s="166">
        <f>IF(AND(E765&lt;&gt;"",F765&lt;&gt;""),E765*F765,"")</f>
      </c>
    </row>
    <row r="766" ht="16.5" customHeight="1" s="71">
      <c r="B766" s="169" t="n"/>
      <c r="C766" s="35" t="n"/>
      <c r="D766" s="35" t="n"/>
      <c r="E766" s="35" t="n"/>
      <c r="F766" s="166" t="n"/>
      <c r="G766" s="166">
        <f>IF(AND(E766&lt;&gt;"",F766&lt;&gt;""),E766*F766,"")</f>
      </c>
    </row>
    <row r="767" ht="16.5" customHeight="1" s="71">
      <c r="B767" s="169" t="n"/>
      <c r="C767" s="35" t="n"/>
      <c r="D767" s="35" t="n"/>
      <c r="E767" s="35" t="n"/>
      <c r="F767" s="166" t="n"/>
      <c r="G767" s="166">
        <f>IF(AND(E767&lt;&gt;"",F767&lt;&gt;""),E767*F767,"")</f>
      </c>
    </row>
    <row r="768" ht="16.5" customHeight="1" s="71">
      <c r="B768" s="169" t="n"/>
      <c r="C768" s="35" t="n"/>
      <c r="D768" s="35" t="n"/>
      <c r="E768" s="35" t="n"/>
      <c r="F768" s="166" t="n"/>
      <c r="G768" s="166">
        <f>IF(AND(E768&lt;&gt;"",F768&lt;&gt;""),E768*F768,"")</f>
      </c>
    </row>
    <row r="769" ht="16.5" customHeight="1" s="71">
      <c r="B769" s="169" t="n"/>
      <c r="C769" s="35" t="n"/>
      <c r="D769" s="35" t="n"/>
      <c r="E769" s="35" t="n"/>
      <c r="F769" s="166" t="n"/>
      <c r="G769" s="166">
        <f>IF(AND(E769&lt;&gt;"",F769&lt;&gt;""),E769*F769,"")</f>
      </c>
    </row>
    <row r="770" ht="16.5" customHeight="1" s="71">
      <c r="B770" s="169" t="n"/>
      <c r="C770" s="35" t="n"/>
      <c r="D770" s="35" t="n"/>
      <c r="E770" s="35" t="n"/>
      <c r="F770" s="166" t="n"/>
      <c r="G770" s="166">
        <f>IF(AND(E770&lt;&gt;"",F770&lt;&gt;""),E770*F770,"")</f>
      </c>
    </row>
    <row r="771" ht="16.5" customHeight="1" s="71">
      <c r="B771" s="169" t="n"/>
      <c r="C771" s="35" t="n"/>
      <c r="D771" s="35" t="n"/>
      <c r="E771" s="35" t="n"/>
      <c r="F771" s="166" t="n"/>
      <c r="G771" s="166">
        <f>IF(AND(E771&lt;&gt;"",F771&lt;&gt;""),E771*F771,"")</f>
      </c>
    </row>
    <row r="772" ht="16.5" customHeight="1" s="71">
      <c r="B772" s="169" t="n"/>
      <c r="C772" s="35" t="n"/>
      <c r="D772" s="35" t="n"/>
      <c r="E772" s="35" t="n"/>
      <c r="F772" s="166" t="n"/>
      <c r="G772" s="166">
        <f>IF(AND(E772&lt;&gt;"",F772&lt;&gt;""),E772*F772,"")</f>
      </c>
    </row>
    <row r="773" ht="16.5" customHeight="1" s="71">
      <c r="B773" s="169" t="n"/>
      <c r="C773" s="35" t="n"/>
      <c r="D773" s="35" t="n"/>
      <c r="E773" s="35" t="n"/>
      <c r="F773" s="166" t="n"/>
      <c r="G773" s="166">
        <f>IF(AND(E773&lt;&gt;"",F773&lt;&gt;""),E773*F773,"")</f>
      </c>
    </row>
    <row r="774" ht="16.5" customHeight="1" s="71">
      <c r="B774" s="169" t="n"/>
      <c r="C774" s="35" t="n"/>
      <c r="D774" s="35" t="n"/>
      <c r="E774" s="35" t="n"/>
      <c r="F774" s="166" t="n"/>
      <c r="G774" s="166">
        <f>IF(AND(E774&lt;&gt;"",F774&lt;&gt;""),E774*F774,"")</f>
      </c>
    </row>
    <row r="775" ht="16.5" customHeight="1" s="71">
      <c r="B775" s="169" t="n"/>
      <c r="C775" s="35" t="n"/>
      <c r="D775" s="35" t="n"/>
      <c r="E775" s="35" t="n"/>
      <c r="F775" s="166" t="n"/>
      <c r="G775" s="166">
        <f>IF(AND(E775&lt;&gt;"",F775&lt;&gt;""),E775*F775,"")</f>
      </c>
    </row>
    <row r="776" ht="16.5" customHeight="1" s="71">
      <c r="B776" s="169" t="n"/>
      <c r="C776" s="35" t="n"/>
      <c r="D776" s="35" t="n"/>
      <c r="E776" s="35" t="n"/>
      <c r="F776" s="166" t="n"/>
      <c r="G776" s="166">
        <f>IF(AND(E776&lt;&gt;"",F776&lt;&gt;""),E776*F776,"")</f>
      </c>
    </row>
    <row r="777" ht="16.5" customHeight="1" s="71">
      <c r="B777" s="169" t="n"/>
      <c r="C777" s="35" t="n"/>
      <c r="D777" s="35" t="n"/>
      <c r="E777" s="35" t="n"/>
      <c r="F777" s="166" t="n"/>
      <c r="G777" s="166">
        <f>IF(AND(E777&lt;&gt;"",F777&lt;&gt;""),E777*F777,"")</f>
      </c>
    </row>
    <row r="778" ht="16.5" customHeight="1" s="71">
      <c r="B778" s="169" t="n"/>
      <c r="C778" s="35" t="n"/>
      <c r="D778" s="35" t="n"/>
      <c r="E778" s="35" t="n"/>
      <c r="F778" s="166" t="n"/>
      <c r="G778" s="166">
        <f>IF(AND(E778&lt;&gt;"",F778&lt;&gt;""),E778*F778,"")</f>
      </c>
    </row>
    <row r="779" ht="16.5" customHeight="1" s="71">
      <c r="B779" s="169" t="n"/>
      <c r="C779" s="35" t="n"/>
      <c r="D779" s="35" t="n"/>
      <c r="E779" s="35" t="n"/>
      <c r="F779" s="166" t="n"/>
      <c r="G779" s="166">
        <f>IF(AND(E779&lt;&gt;"",F779&lt;&gt;""),E779*F779,"")</f>
      </c>
    </row>
    <row r="780" ht="16.5" customHeight="1" s="71">
      <c r="B780" s="169" t="n"/>
      <c r="C780" s="35" t="n"/>
      <c r="D780" s="35" t="n"/>
      <c r="E780" s="35" t="n"/>
      <c r="F780" s="166" t="n"/>
      <c r="G780" s="166">
        <f>IF(AND(E780&lt;&gt;"",F780&lt;&gt;""),E780*F780,"")</f>
      </c>
    </row>
    <row r="781" ht="16.5" customHeight="1" s="71">
      <c r="B781" s="169" t="n"/>
      <c r="C781" s="35" t="n"/>
      <c r="D781" s="35" t="n"/>
      <c r="E781" s="35" t="n"/>
      <c r="F781" s="166" t="n"/>
      <c r="G781" s="166">
        <f>IF(AND(E781&lt;&gt;"",F781&lt;&gt;""),E781*F781,"")</f>
      </c>
    </row>
    <row r="782" ht="16.5" customHeight="1" s="71">
      <c r="B782" s="169" t="n"/>
      <c r="C782" s="35" t="n"/>
      <c r="D782" s="35" t="n"/>
      <c r="E782" s="35" t="n"/>
      <c r="F782" s="166" t="n"/>
      <c r="G782" s="166">
        <f>IF(AND(E782&lt;&gt;"",F782&lt;&gt;""),E782*F782,"")</f>
      </c>
    </row>
    <row r="783" ht="16.5" customHeight="1" s="71">
      <c r="B783" s="169" t="n"/>
      <c r="C783" s="35" t="n"/>
      <c r="D783" s="35" t="n"/>
      <c r="E783" s="35" t="n"/>
      <c r="F783" s="166" t="n"/>
      <c r="G783" s="166">
        <f>IF(AND(E783&lt;&gt;"",F783&lt;&gt;""),E783*F783,"")</f>
      </c>
    </row>
    <row r="784" ht="16.5" customHeight="1" s="71">
      <c r="B784" s="169" t="n"/>
      <c r="C784" s="35" t="n"/>
      <c r="D784" s="35" t="n"/>
      <c r="E784" s="35" t="n"/>
      <c r="F784" s="166" t="n"/>
      <c r="G784" s="166">
        <f>IF(AND(E784&lt;&gt;"",F784&lt;&gt;""),E784*F784,"")</f>
      </c>
    </row>
    <row r="785" ht="16.5" customHeight="1" s="71">
      <c r="B785" s="169" t="n"/>
      <c r="C785" s="35" t="n"/>
      <c r="D785" s="35" t="n"/>
      <c r="E785" s="35" t="n"/>
      <c r="F785" s="166" t="n"/>
      <c r="G785" s="166">
        <f>IF(AND(E785&lt;&gt;"",F785&lt;&gt;""),E785*F785,"")</f>
      </c>
    </row>
    <row r="786" ht="16.5" customHeight="1" s="71">
      <c r="B786" s="169" t="n"/>
      <c r="C786" s="35" t="n"/>
      <c r="D786" s="35" t="n"/>
      <c r="E786" s="35" t="n"/>
      <c r="F786" s="166" t="n"/>
      <c r="G786" s="166">
        <f>IF(AND(E786&lt;&gt;"",F786&lt;&gt;""),E786*F786,"")</f>
      </c>
    </row>
    <row r="787" ht="16.5" customHeight="1" s="71">
      <c r="B787" s="169" t="n"/>
      <c r="C787" s="35" t="n"/>
      <c r="D787" s="35" t="n"/>
      <c r="E787" s="35" t="n"/>
      <c r="F787" s="166" t="n"/>
      <c r="G787" s="166">
        <f>IF(AND(E787&lt;&gt;"",F787&lt;&gt;""),E787*F787,"")</f>
      </c>
    </row>
    <row r="788" ht="16.5" customHeight="1" s="71">
      <c r="B788" s="169" t="n"/>
      <c r="C788" s="35" t="n"/>
      <c r="D788" s="35" t="n"/>
      <c r="E788" s="35" t="n"/>
      <c r="F788" s="166" t="n"/>
      <c r="G788" s="166">
        <f>IF(AND(E788&lt;&gt;"",F788&lt;&gt;""),E788*F788,"")</f>
      </c>
    </row>
    <row r="789" ht="16.5" customHeight="1" s="71">
      <c r="B789" s="169" t="n"/>
      <c r="C789" s="35" t="n"/>
      <c r="D789" s="35" t="n"/>
      <c r="E789" s="35" t="n"/>
      <c r="F789" s="166" t="n"/>
      <c r="G789" s="166">
        <f>IF(AND(E789&lt;&gt;"",F789&lt;&gt;""),E789*F789,"")</f>
      </c>
    </row>
    <row r="790" ht="16.5" customHeight="1" s="71">
      <c r="B790" s="169" t="n"/>
      <c r="C790" s="35" t="n"/>
      <c r="D790" s="35" t="n"/>
      <c r="E790" s="35" t="n"/>
      <c r="F790" s="166" t="n"/>
      <c r="G790" s="166">
        <f>IF(AND(E790&lt;&gt;"",F790&lt;&gt;""),E790*F790,"")</f>
      </c>
    </row>
    <row r="791" ht="16.5" customHeight="1" s="71">
      <c r="B791" s="169" t="n"/>
      <c r="C791" s="35" t="n"/>
      <c r="D791" s="35" t="n"/>
      <c r="E791" s="35" t="n"/>
      <c r="F791" s="166" t="n"/>
      <c r="G791" s="166">
        <f>IF(AND(E791&lt;&gt;"",F791&lt;&gt;""),E791*F791,"")</f>
      </c>
    </row>
    <row r="792" ht="16.5" customHeight="1" s="71">
      <c r="B792" s="169" t="n"/>
      <c r="C792" s="35" t="n"/>
      <c r="D792" s="35" t="n"/>
      <c r="E792" s="35" t="n"/>
      <c r="F792" s="166" t="n"/>
      <c r="G792" s="166">
        <f>IF(AND(E792&lt;&gt;"",F792&lt;&gt;""),E792*F792,"")</f>
      </c>
    </row>
    <row r="793" ht="16.5" customHeight="1" s="71">
      <c r="B793" s="169" t="n"/>
      <c r="C793" s="35" t="n"/>
      <c r="D793" s="35" t="n"/>
      <c r="E793" s="35" t="n"/>
      <c r="F793" s="166" t="n"/>
      <c r="G793" s="166">
        <f>IF(AND(E793&lt;&gt;"",F793&lt;&gt;""),E793*F793,"")</f>
      </c>
    </row>
    <row r="794" ht="16.5" customHeight="1" s="71">
      <c r="B794" s="169" t="n"/>
      <c r="C794" s="35" t="n"/>
      <c r="D794" s="35" t="n"/>
      <c r="E794" s="35" t="n"/>
      <c r="F794" s="166" t="n"/>
      <c r="G794" s="166">
        <f>IF(AND(E794&lt;&gt;"",F794&lt;&gt;""),E794*F794,"")</f>
      </c>
    </row>
    <row r="795" ht="16.5" customHeight="1" s="71">
      <c r="B795" s="169" t="n"/>
      <c r="C795" s="35" t="n"/>
      <c r="D795" s="35" t="n"/>
      <c r="E795" s="35" t="n"/>
      <c r="F795" s="166" t="n"/>
      <c r="G795" s="166">
        <f>IF(AND(E795&lt;&gt;"",F795&lt;&gt;""),E795*F795,"")</f>
      </c>
    </row>
    <row r="796" ht="16.5" customHeight="1" s="71">
      <c r="B796" s="169" t="n"/>
      <c r="C796" s="35" t="n"/>
      <c r="D796" s="35" t="n"/>
      <c r="E796" s="35" t="n"/>
      <c r="F796" s="166" t="n"/>
      <c r="G796" s="166">
        <f>IF(AND(E796&lt;&gt;"",F796&lt;&gt;""),E796*F796,"")</f>
      </c>
    </row>
    <row r="797" ht="16.5" customHeight="1" s="71">
      <c r="B797" s="169" t="n"/>
      <c r="C797" s="35" t="n"/>
      <c r="D797" s="35" t="n"/>
      <c r="E797" s="35" t="n"/>
      <c r="F797" s="166" t="n"/>
      <c r="G797" s="166">
        <f>IF(AND(E797&lt;&gt;"",F797&lt;&gt;""),E797*F797,"")</f>
      </c>
    </row>
    <row r="798" ht="16.5" customHeight="1" s="71">
      <c r="B798" s="169" t="n"/>
      <c r="C798" s="35" t="n"/>
      <c r="D798" s="35" t="n"/>
      <c r="E798" s="35" t="n"/>
      <c r="F798" s="166" t="n"/>
      <c r="G798" s="166">
        <f>IF(AND(E798&lt;&gt;"",F798&lt;&gt;""),E798*F798,"")</f>
      </c>
    </row>
    <row r="799" ht="16.5" customHeight="1" s="71">
      <c r="B799" s="169" t="n"/>
      <c r="C799" s="35" t="n"/>
      <c r="D799" s="35" t="n"/>
      <c r="E799" s="35" t="n"/>
      <c r="F799" s="166" t="n"/>
      <c r="G799" s="166">
        <f>IF(AND(E799&lt;&gt;"",F799&lt;&gt;""),E799*F799,"")</f>
      </c>
    </row>
    <row r="800" ht="16.5" customHeight="1" s="71">
      <c r="B800" s="169" t="n"/>
      <c r="C800" s="35" t="n"/>
      <c r="D800" s="35" t="n"/>
      <c r="E800" s="35" t="n"/>
      <c r="F800" s="166" t="n"/>
      <c r="G800" s="166">
        <f>IF(AND(E800&lt;&gt;"",F800&lt;&gt;""),E800*F800,"")</f>
      </c>
    </row>
    <row r="801" ht="16.5" customHeight="1" s="71">
      <c r="B801" s="169" t="n"/>
      <c r="C801" s="35" t="n"/>
      <c r="D801" s="35" t="n"/>
      <c r="E801" s="35" t="n"/>
      <c r="F801" s="166" t="n"/>
      <c r="G801" s="166">
        <f>IF(AND(E801&lt;&gt;"",F801&lt;&gt;""),E801*F801,"")</f>
      </c>
    </row>
    <row r="802" ht="16.5" customHeight="1" s="71">
      <c r="B802" s="169" t="n"/>
      <c r="C802" s="35" t="n"/>
      <c r="D802" s="35" t="n"/>
      <c r="E802" s="35" t="n"/>
      <c r="F802" s="166" t="n"/>
      <c r="G802" s="166">
        <f>IF(AND(E802&lt;&gt;"",F802&lt;&gt;""),E802*F802,"")</f>
      </c>
    </row>
    <row r="803" ht="16.5" customHeight="1" s="71">
      <c r="B803" s="169" t="n"/>
      <c r="C803" s="35" t="n"/>
      <c r="D803" s="35" t="n"/>
      <c r="E803" s="35" t="n"/>
      <c r="F803" s="166" t="n"/>
      <c r="G803" s="166">
        <f>IF(AND(E803&lt;&gt;"",F803&lt;&gt;""),E803*F803,"")</f>
      </c>
    </row>
    <row r="804" ht="16.5" customHeight="1" s="71">
      <c r="B804" s="169" t="n"/>
      <c r="C804" s="35" t="n"/>
      <c r="D804" s="35" t="n"/>
      <c r="E804" s="35" t="n"/>
      <c r="F804" s="166" t="n"/>
      <c r="G804" s="166">
        <f>IF(AND(E804&lt;&gt;"",F804&lt;&gt;""),E804*F804,"")</f>
      </c>
    </row>
    <row r="805" ht="16.5" customHeight="1" s="71">
      <c r="B805" s="169" t="n"/>
      <c r="C805" s="35" t="n"/>
      <c r="D805" s="35" t="n"/>
      <c r="E805" s="35" t="n"/>
      <c r="F805" s="166" t="n"/>
      <c r="G805" s="166">
        <f>IF(AND(E805&lt;&gt;"",F805&lt;&gt;""),E805*F805,"")</f>
      </c>
    </row>
    <row r="806" ht="16.5" customHeight="1" s="71">
      <c r="B806" s="169" t="n"/>
      <c r="C806" s="35" t="n"/>
      <c r="D806" s="35" t="n"/>
      <c r="E806" s="35" t="n"/>
      <c r="F806" s="166" t="n"/>
      <c r="G806" s="166">
        <f>IF(AND(E806&lt;&gt;"",F806&lt;&gt;""),E806*F806,"")</f>
      </c>
    </row>
    <row r="807" ht="16.5" customHeight="1" s="71">
      <c r="B807" s="169" t="n"/>
      <c r="C807" s="35" t="n"/>
      <c r="D807" s="35" t="n"/>
      <c r="E807" s="35" t="n"/>
      <c r="F807" s="166" t="n"/>
      <c r="G807" s="166">
        <f>IF(AND(E807&lt;&gt;"",F807&lt;&gt;""),E807*F807,"")</f>
      </c>
    </row>
    <row r="808" ht="16.5" customHeight="1" s="71">
      <c r="B808" s="169" t="n"/>
      <c r="C808" s="35" t="n"/>
      <c r="D808" s="35" t="n"/>
      <c r="E808" s="35" t="n"/>
      <c r="F808" s="166" t="n"/>
      <c r="G808" s="166">
        <f>IF(AND(E808&lt;&gt;"",F808&lt;&gt;""),E808*F808,"")</f>
      </c>
    </row>
    <row r="809" ht="16.5" customHeight="1" s="71">
      <c r="B809" s="169" t="n"/>
      <c r="C809" s="35" t="n"/>
      <c r="D809" s="35" t="n"/>
      <c r="E809" s="35" t="n"/>
      <c r="F809" s="166" t="n"/>
      <c r="G809" s="166">
        <f>IF(AND(E809&lt;&gt;"",F809&lt;&gt;""),E809*F809,"")</f>
      </c>
    </row>
    <row r="810" ht="16.5" customHeight="1" s="71">
      <c r="B810" s="169" t="n"/>
      <c r="C810" s="35" t="n"/>
      <c r="D810" s="35" t="n"/>
      <c r="E810" s="35" t="n"/>
      <c r="F810" s="166" t="n"/>
      <c r="G810" s="166">
        <f>IF(AND(E810&lt;&gt;"",F810&lt;&gt;""),E810*F810,"")</f>
      </c>
    </row>
    <row r="811" ht="16.5" customHeight="1" s="71">
      <c r="B811" s="169" t="n"/>
      <c r="C811" s="35" t="n"/>
      <c r="D811" s="35" t="n"/>
      <c r="E811" s="35" t="n"/>
      <c r="F811" s="166" t="n"/>
      <c r="G811" s="166">
        <f>IF(AND(E811&lt;&gt;"",F811&lt;&gt;""),E811*F811,"")</f>
      </c>
    </row>
    <row r="812" ht="16.5" customHeight="1" s="71">
      <c r="B812" s="169" t="n"/>
      <c r="C812" s="35" t="n"/>
      <c r="D812" s="35" t="n"/>
      <c r="E812" s="35" t="n"/>
      <c r="F812" s="166" t="n"/>
      <c r="G812" s="166">
        <f>IF(AND(E812&lt;&gt;"",F812&lt;&gt;""),E812*F812,"")</f>
      </c>
    </row>
    <row r="813" ht="16.5" customHeight="1" s="71">
      <c r="B813" s="169" t="n"/>
      <c r="C813" s="35" t="n"/>
      <c r="D813" s="35" t="n"/>
      <c r="E813" s="35" t="n"/>
      <c r="F813" s="166" t="n"/>
      <c r="G813" s="166">
        <f>IF(AND(E813&lt;&gt;"",F813&lt;&gt;""),E813*F813,"")</f>
      </c>
    </row>
    <row r="814" ht="16.5" customHeight="1" s="71">
      <c r="B814" s="169" t="n"/>
      <c r="C814" s="35" t="n"/>
      <c r="D814" s="35" t="n"/>
      <c r="E814" s="35" t="n"/>
      <c r="F814" s="166" t="n"/>
      <c r="G814" s="166">
        <f>IF(AND(E814&lt;&gt;"",F814&lt;&gt;""),E814*F814,"")</f>
      </c>
    </row>
    <row r="815" ht="16.5" customHeight="1" s="71">
      <c r="B815" s="169" t="n"/>
      <c r="C815" s="35" t="n"/>
      <c r="D815" s="35" t="n"/>
      <c r="E815" s="35" t="n"/>
      <c r="F815" s="166" t="n"/>
      <c r="G815" s="166">
        <f>IF(AND(E815&lt;&gt;"",F815&lt;&gt;""),E815*F815,"")</f>
      </c>
    </row>
    <row r="816" ht="16.5" customHeight="1" s="71">
      <c r="B816" s="169" t="n"/>
      <c r="C816" s="35" t="n"/>
      <c r="D816" s="35" t="n"/>
      <c r="E816" s="35" t="n"/>
      <c r="F816" s="166" t="n"/>
      <c r="G816" s="166">
        <f>IF(AND(E816&lt;&gt;"",F816&lt;&gt;""),E816*F816,"")</f>
      </c>
    </row>
    <row r="817" ht="16.5" customHeight="1" s="71">
      <c r="B817" s="169" t="n"/>
      <c r="C817" s="35" t="n"/>
      <c r="D817" s="35" t="n"/>
      <c r="E817" s="35" t="n"/>
      <c r="F817" s="166" t="n"/>
      <c r="G817" s="166">
        <f>IF(AND(E817&lt;&gt;"",F817&lt;&gt;""),E817*F817,"")</f>
      </c>
    </row>
    <row r="818" ht="16.5" customHeight="1" s="71">
      <c r="B818" s="169" t="n"/>
      <c r="C818" s="35" t="n"/>
      <c r="D818" s="35" t="n"/>
      <c r="E818" s="35" t="n"/>
      <c r="F818" s="166" t="n"/>
      <c r="G818" s="166">
        <f>IF(AND(E818&lt;&gt;"",F818&lt;&gt;""),E818*F818,"")</f>
      </c>
    </row>
    <row r="819" ht="16.5" customHeight="1" s="71">
      <c r="B819" s="169" t="n"/>
      <c r="C819" s="35" t="n"/>
      <c r="D819" s="35" t="n"/>
      <c r="E819" s="35" t="n"/>
      <c r="F819" s="166" t="n"/>
      <c r="G819" s="166">
        <f>IF(AND(E819&lt;&gt;"",F819&lt;&gt;""),E819*F819,"")</f>
      </c>
    </row>
    <row r="820" ht="16.5" customHeight="1" s="71">
      <c r="B820" s="169" t="n"/>
      <c r="C820" s="35" t="n"/>
      <c r="D820" s="35" t="n"/>
      <c r="E820" s="35" t="n"/>
      <c r="F820" s="166" t="n"/>
      <c r="G820" s="166">
        <f>IF(AND(E820&lt;&gt;"",F820&lt;&gt;""),E820*F820,"")</f>
      </c>
    </row>
    <row r="821" ht="16.5" customHeight="1" s="71">
      <c r="B821" s="169" t="n"/>
      <c r="C821" s="35" t="n"/>
      <c r="D821" s="35" t="n"/>
      <c r="E821" s="35" t="n"/>
      <c r="F821" s="166" t="n"/>
      <c r="G821" s="166">
        <f>IF(AND(E821&lt;&gt;"",F821&lt;&gt;""),E821*F821,"")</f>
      </c>
    </row>
    <row r="822" ht="16.5" customHeight="1" s="71">
      <c r="B822" s="169" t="n"/>
      <c r="C822" s="35" t="n"/>
      <c r="D822" s="35" t="n"/>
      <c r="E822" s="35" t="n"/>
      <c r="F822" s="166" t="n"/>
      <c r="G822" s="166">
        <f>IF(AND(E822&lt;&gt;"",F822&lt;&gt;""),E822*F822,"")</f>
      </c>
    </row>
    <row r="823" ht="16.5" customHeight="1" s="71">
      <c r="B823" s="169" t="n"/>
      <c r="C823" s="35" t="n"/>
      <c r="D823" s="35" t="n"/>
      <c r="E823" s="35" t="n"/>
      <c r="F823" s="166" t="n"/>
      <c r="G823" s="166">
        <f>IF(AND(E823&lt;&gt;"",F823&lt;&gt;""),E823*F823,"")</f>
      </c>
    </row>
    <row r="824" ht="16.5" customHeight="1" s="71">
      <c r="B824" s="169" t="n"/>
      <c r="C824" s="35" t="n"/>
      <c r="D824" s="35" t="n"/>
      <c r="E824" s="35" t="n"/>
      <c r="F824" s="166" t="n"/>
      <c r="G824" s="166">
        <f>IF(AND(E824&lt;&gt;"",F824&lt;&gt;""),E824*F824,"")</f>
      </c>
    </row>
    <row r="825" ht="16.5" customHeight="1" s="71">
      <c r="B825" s="169" t="n"/>
      <c r="C825" s="35" t="n"/>
      <c r="D825" s="35" t="n"/>
      <c r="E825" s="35" t="n"/>
      <c r="F825" s="166" t="n"/>
      <c r="G825" s="166">
        <f>IF(AND(E825&lt;&gt;"",F825&lt;&gt;""),E825*F825,"")</f>
      </c>
    </row>
    <row r="826" ht="16.5" customHeight="1" s="71">
      <c r="B826" s="169" t="n"/>
      <c r="C826" s="35" t="n"/>
      <c r="D826" s="35" t="n"/>
      <c r="E826" s="35" t="n"/>
      <c r="F826" s="166" t="n"/>
      <c r="G826" s="166">
        <f>IF(AND(E826&lt;&gt;"",F826&lt;&gt;""),E826*F826,"")</f>
      </c>
    </row>
    <row r="827" ht="16.5" customHeight="1" s="71">
      <c r="B827" s="169" t="n"/>
      <c r="C827" s="35" t="n"/>
      <c r="D827" s="35" t="n"/>
      <c r="E827" s="35" t="n"/>
      <c r="F827" s="166" t="n"/>
      <c r="G827" s="166">
        <f>IF(AND(E827&lt;&gt;"",F827&lt;&gt;""),E827*F827,"")</f>
      </c>
    </row>
    <row r="828" ht="16.5" customHeight="1" s="71">
      <c r="B828" s="169" t="n"/>
      <c r="C828" s="35" t="n"/>
      <c r="D828" s="35" t="n"/>
      <c r="E828" s="35" t="n"/>
      <c r="F828" s="166" t="n"/>
      <c r="G828" s="166">
        <f>IF(AND(E828&lt;&gt;"",F828&lt;&gt;""),E828*F828,"")</f>
      </c>
    </row>
    <row r="829" ht="16.5" customHeight="1" s="71">
      <c r="B829" s="169" t="n"/>
      <c r="C829" s="35" t="n"/>
      <c r="D829" s="35" t="n"/>
      <c r="E829" s="35" t="n"/>
      <c r="F829" s="166" t="n"/>
      <c r="G829" s="166">
        <f>IF(AND(E829&lt;&gt;"",F829&lt;&gt;""),E829*F829,"")</f>
      </c>
    </row>
    <row r="830" ht="16.5" customHeight="1" s="71">
      <c r="B830" s="169" t="n"/>
      <c r="C830" s="35" t="n"/>
      <c r="D830" s="35" t="n"/>
      <c r="E830" s="35" t="n"/>
      <c r="F830" s="166" t="n"/>
      <c r="G830" s="166">
        <f>IF(AND(E830&lt;&gt;"",F830&lt;&gt;""),E830*F830,"")</f>
      </c>
    </row>
    <row r="831" ht="16.5" customHeight="1" s="71">
      <c r="B831" s="169" t="n"/>
      <c r="C831" s="35" t="n"/>
      <c r="D831" s="35" t="n"/>
      <c r="E831" s="35" t="n"/>
      <c r="F831" s="166" t="n"/>
      <c r="G831" s="166">
        <f>IF(AND(E831&lt;&gt;"",F831&lt;&gt;""),E831*F831,"")</f>
      </c>
    </row>
    <row r="832" ht="16.5" customHeight="1" s="71">
      <c r="B832" s="169" t="n"/>
      <c r="C832" s="35" t="n"/>
      <c r="D832" s="35" t="n"/>
      <c r="E832" s="35" t="n"/>
      <c r="F832" s="166" t="n"/>
      <c r="G832" s="166">
        <f>IF(AND(E832&lt;&gt;"",F832&lt;&gt;""),E832*F832,"")</f>
      </c>
    </row>
    <row r="833" ht="16.5" customHeight="1" s="71">
      <c r="B833" s="169" t="n"/>
      <c r="C833" s="35" t="n"/>
      <c r="D833" s="35" t="n"/>
      <c r="E833" s="35" t="n"/>
      <c r="F833" s="166" t="n"/>
      <c r="G833" s="166">
        <f>IF(AND(E833&lt;&gt;"",F833&lt;&gt;""),E833*F833,"")</f>
      </c>
    </row>
    <row r="834" ht="16.5" customHeight="1" s="71">
      <c r="B834" s="169" t="n"/>
      <c r="C834" s="35" t="n"/>
      <c r="D834" s="35" t="n"/>
      <c r="E834" s="35" t="n"/>
      <c r="F834" s="166" t="n"/>
      <c r="G834" s="166">
        <f>IF(AND(E834&lt;&gt;"",F834&lt;&gt;""),E834*F834,"")</f>
      </c>
    </row>
    <row r="835" ht="16.5" customHeight="1" s="71">
      <c r="B835" s="169" t="n"/>
      <c r="C835" s="35" t="n"/>
      <c r="D835" s="35" t="n"/>
      <c r="E835" s="35" t="n"/>
      <c r="F835" s="166" t="n"/>
      <c r="G835" s="166">
        <f>IF(AND(E835&lt;&gt;"",F835&lt;&gt;""),E835*F835,"")</f>
      </c>
    </row>
    <row r="836" ht="16.5" customHeight="1" s="71">
      <c r="B836" s="169" t="n"/>
      <c r="C836" s="35" t="n"/>
      <c r="D836" s="35" t="n"/>
      <c r="E836" s="35" t="n"/>
      <c r="F836" s="166" t="n"/>
      <c r="G836" s="166">
        <f>IF(AND(E836&lt;&gt;"",F836&lt;&gt;""),E836*F836,"")</f>
      </c>
    </row>
    <row r="837" ht="16.5" customHeight="1" s="71">
      <c r="B837" s="169" t="n"/>
      <c r="C837" s="35" t="n"/>
      <c r="D837" s="35" t="n"/>
      <c r="E837" s="35" t="n"/>
      <c r="F837" s="166" t="n"/>
      <c r="G837" s="166">
        <f>IF(AND(E837&lt;&gt;"",F837&lt;&gt;""),E837*F837,"")</f>
      </c>
    </row>
    <row r="838" ht="16.5" customHeight="1" s="71">
      <c r="B838" s="169" t="n"/>
      <c r="C838" s="35" t="n"/>
      <c r="D838" s="35" t="n"/>
      <c r="E838" s="35" t="n"/>
      <c r="F838" s="166" t="n"/>
      <c r="G838" s="166">
        <f>IF(AND(E838&lt;&gt;"",F838&lt;&gt;""),E838*F838,"")</f>
      </c>
    </row>
    <row r="839" ht="16.5" customHeight="1" s="71">
      <c r="B839" s="169" t="n"/>
      <c r="C839" s="35" t="n"/>
      <c r="D839" s="35" t="n"/>
      <c r="E839" s="35" t="n"/>
      <c r="F839" s="166" t="n"/>
      <c r="G839" s="166">
        <f>IF(AND(E839&lt;&gt;"",F839&lt;&gt;""),E839*F839,"")</f>
      </c>
    </row>
    <row r="840" ht="16.5" customHeight="1" s="71">
      <c r="B840" s="169" t="n"/>
      <c r="C840" s="35" t="n"/>
      <c r="D840" s="35" t="n"/>
      <c r="E840" s="35" t="n"/>
      <c r="F840" s="166" t="n"/>
      <c r="G840" s="166">
        <f>IF(AND(E840&lt;&gt;"",F840&lt;&gt;""),E840*F840,"")</f>
      </c>
    </row>
    <row r="841" ht="16.5" customHeight="1" s="71">
      <c r="B841" s="169" t="n"/>
      <c r="C841" s="35" t="n"/>
      <c r="D841" s="35" t="n"/>
      <c r="E841" s="35" t="n"/>
      <c r="F841" s="166" t="n"/>
      <c r="G841" s="166">
        <f>IF(AND(E841&lt;&gt;"",F841&lt;&gt;""),E841*F841,"")</f>
      </c>
    </row>
    <row r="842" ht="16.5" customHeight="1" s="71">
      <c r="B842" s="169" t="n"/>
      <c r="C842" s="35" t="n"/>
      <c r="D842" s="35" t="n"/>
      <c r="E842" s="35" t="n"/>
      <c r="F842" s="166" t="n"/>
      <c r="G842" s="166">
        <f>IF(AND(E842&lt;&gt;"",F842&lt;&gt;""),E842*F842,"")</f>
      </c>
    </row>
    <row r="843" ht="16.5" customHeight="1" s="71">
      <c r="B843" s="169" t="n"/>
      <c r="C843" s="35" t="n"/>
      <c r="D843" s="35" t="n"/>
      <c r="E843" s="35" t="n"/>
      <c r="F843" s="166" t="n"/>
      <c r="G843" s="166">
        <f>IF(AND(E843&lt;&gt;"",F843&lt;&gt;""),E843*F843,"")</f>
      </c>
    </row>
    <row r="844" ht="16.5" customHeight="1" s="71">
      <c r="B844" s="169" t="n"/>
      <c r="C844" s="35" t="n"/>
      <c r="D844" s="35" t="n"/>
      <c r="E844" s="35" t="n"/>
      <c r="F844" s="166" t="n"/>
      <c r="G844" s="166">
        <f>IF(AND(E844&lt;&gt;"",F844&lt;&gt;""),E844*F844,"")</f>
      </c>
    </row>
    <row r="845" ht="16.5" customHeight="1" s="71">
      <c r="B845" s="169" t="n"/>
      <c r="C845" s="35" t="n"/>
      <c r="D845" s="35" t="n"/>
      <c r="E845" s="35" t="n"/>
      <c r="F845" s="166" t="n"/>
      <c r="G845" s="166">
        <f>IF(AND(E845&lt;&gt;"",F845&lt;&gt;""),E845*F845,"")</f>
      </c>
    </row>
    <row r="846" ht="16.5" customHeight="1" s="71">
      <c r="B846" s="169" t="n"/>
      <c r="C846" s="35" t="n"/>
      <c r="D846" s="35" t="n"/>
      <c r="E846" s="35" t="n"/>
      <c r="F846" s="166" t="n"/>
      <c r="G846" s="166">
        <f>IF(AND(E846&lt;&gt;"",F846&lt;&gt;""),E846*F846,"")</f>
      </c>
    </row>
    <row r="847" ht="16.5" customHeight="1" s="71">
      <c r="B847" s="169" t="n"/>
      <c r="C847" s="35" t="n"/>
      <c r="D847" s="35" t="n"/>
      <c r="E847" s="35" t="n"/>
      <c r="F847" s="166" t="n"/>
      <c r="G847" s="166">
        <f>IF(AND(E847&lt;&gt;"",F847&lt;&gt;""),E847*F847,"")</f>
      </c>
    </row>
    <row r="848" ht="16.5" customHeight="1" s="71">
      <c r="B848" s="169" t="n"/>
      <c r="C848" s="35" t="n"/>
      <c r="D848" s="35" t="n"/>
      <c r="E848" s="35" t="n"/>
      <c r="F848" s="166" t="n"/>
      <c r="G848" s="166">
        <f>IF(AND(E848&lt;&gt;"",F848&lt;&gt;""),E848*F848,"")</f>
      </c>
    </row>
    <row r="849" ht="16.5" customHeight="1" s="71">
      <c r="B849" s="169" t="n"/>
      <c r="C849" s="35" t="n"/>
      <c r="D849" s="35" t="n"/>
      <c r="E849" s="35" t="n"/>
      <c r="F849" s="166" t="n"/>
      <c r="G849" s="166">
        <f>IF(AND(E849&lt;&gt;"",F849&lt;&gt;""),E849*F849,"")</f>
      </c>
    </row>
    <row r="850" ht="16.5" customHeight="1" s="71">
      <c r="B850" s="169" t="n"/>
      <c r="C850" s="35" t="n"/>
      <c r="D850" s="35" t="n"/>
      <c r="E850" s="35" t="n"/>
      <c r="F850" s="166" t="n"/>
      <c r="G850" s="166">
        <f>IF(AND(E850&lt;&gt;"",F850&lt;&gt;""),E850*F850,"")</f>
      </c>
    </row>
    <row r="851" ht="16.5" customHeight="1" s="71">
      <c r="B851" s="169" t="n"/>
      <c r="C851" s="35" t="n"/>
      <c r="D851" s="35" t="n"/>
      <c r="E851" s="35" t="n"/>
      <c r="F851" s="166" t="n"/>
      <c r="G851" s="166">
        <f>IF(AND(E851&lt;&gt;"",F851&lt;&gt;""),E851*F851,"")</f>
      </c>
    </row>
    <row r="852" ht="16.5" customHeight="1" s="71">
      <c r="B852" s="169" t="n"/>
      <c r="C852" s="35" t="n"/>
      <c r="D852" s="35" t="n"/>
      <c r="E852" s="35" t="n"/>
      <c r="F852" s="166" t="n"/>
      <c r="G852" s="166">
        <f>IF(AND(E852&lt;&gt;"",F852&lt;&gt;""),E852*F852,"")</f>
      </c>
    </row>
    <row r="853" ht="16.5" customHeight="1" s="71">
      <c r="B853" s="169" t="n"/>
      <c r="C853" s="35" t="n"/>
      <c r="D853" s="35" t="n"/>
      <c r="E853" s="35" t="n"/>
      <c r="F853" s="166" t="n"/>
      <c r="G853" s="166">
        <f>IF(AND(E853&lt;&gt;"",F853&lt;&gt;""),E853*F853,"")</f>
      </c>
    </row>
    <row r="854" ht="16.5" customHeight="1" s="71">
      <c r="B854" s="169" t="n"/>
      <c r="C854" s="35" t="n"/>
      <c r="D854" s="35" t="n"/>
      <c r="E854" s="35" t="n"/>
      <c r="F854" s="166" t="n"/>
      <c r="G854" s="166">
        <f>IF(AND(E854&lt;&gt;"",F854&lt;&gt;""),E854*F854,"")</f>
      </c>
    </row>
    <row r="855" ht="16.5" customHeight="1" s="71">
      <c r="B855" s="169" t="n"/>
      <c r="C855" s="35" t="n"/>
      <c r="D855" s="35" t="n"/>
      <c r="E855" s="35" t="n"/>
      <c r="F855" s="166" t="n"/>
      <c r="G855" s="166">
        <f>IF(AND(E855&lt;&gt;"",F855&lt;&gt;""),E855*F855,"")</f>
      </c>
    </row>
    <row r="856" ht="16.5" customHeight="1" s="71">
      <c r="B856" s="169" t="n"/>
      <c r="C856" s="35" t="n"/>
      <c r="D856" s="35" t="n"/>
      <c r="E856" s="35" t="n"/>
      <c r="F856" s="166" t="n"/>
      <c r="G856" s="166">
        <f>IF(AND(E856&lt;&gt;"",F856&lt;&gt;""),E856*F856,"")</f>
      </c>
    </row>
    <row r="857" ht="16.5" customHeight="1" s="71">
      <c r="B857" s="169" t="n"/>
      <c r="C857" s="35" t="n"/>
      <c r="D857" s="35" t="n"/>
      <c r="E857" s="35" t="n"/>
      <c r="F857" s="166" t="n"/>
      <c r="G857" s="166">
        <f>IF(AND(E857&lt;&gt;"",F857&lt;&gt;""),E857*F857,"")</f>
      </c>
    </row>
    <row r="858" ht="16.5" customHeight="1" s="71">
      <c r="B858" s="169" t="n"/>
      <c r="C858" s="35" t="n"/>
      <c r="D858" s="35" t="n"/>
      <c r="E858" s="35" t="n"/>
      <c r="F858" s="166" t="n"/>
      <c r="G858" s="166">
        <f>IF(AND(E858&lt;&gt;"",F858&lt;&gt;""),E858*F858,"")</f>
      </c>
    </row>
    <row r="859" ht="16.5" customHeight="1" s="71">
      <c r="B859" s="169" t="n"/>
      <c r="C859" s="35" t="n"/>
      <c r="D859" s="35" t="n"/>
      <c r="E859" s="35" t="n"/>
      <c r="F859" s="166" t="n"/>
      <c r="G859" s="166">
        <f>IF(AND(E859&lt;&gt;"",F859&lt;&gt;""),E859*F859,"")</f>
      </c>
    </row>
    <row r="860" ht="16.5" customHeight="1" s="71">
      <c r="B860" s="169" t="n"/>
      <c r="C860" s="35" t="n"/>
      <c r="D860" s="35" t="n"/>
      <c r="E860" s="35" t="n"/>
      <c r="F860" s="166" t="n"/>
      <c r="G860" s="166">
        <f>IF(AND(E860&lt;&gt;"",F860&lt;&gt;""),E860*F860,"")</f>
      </c>
    </row>
    <row r="861" ht="16.5" customHeight="1" s="71">
      <c r="B861" s="169" t="n"/>
      <c r="C861" s="35" t="n"/>
      <c r="D861" s="35" t="n"/>
      <c r="E861" s="35" t="n"/>
      <c r="F861" s="166" t="n"/>
      <c r="G861" s="166">
        <f>IF(AND(E861&lt;&gt;"",F861&lt;&gt;""),E861*F861,"")</f>
      </c>
    </row>
    <row r="862" ht="16.5" customHeight="1" s="71">
      <c r="B862" s="169" t="n"/>
      <c r="C862" s="35" t="n"/>
      <c r="D862" s="35" t="n"/>
      <c r="E862" s="35" t="n"/>
      <c r="F862" s="166" t="n"/>
      <c r="G862" s="166">
        <f>IF(AND(E862&lt;&gt;"",F862&lt;&gt;""),E862*F862,"")</f>
      </c>
    </row>
    <row r="863" ht="16.5" customHeight="1" s="71">
      <c r="B863" s="169" t="n"/>
      <c r="C863" s="35" t="n"/>
      <c r="D863" s="35" t="n"/>
      <c r="E863" s="35" t="n"/>
      <c r="F863" s="166" t="n"/>
      <c r="G863" s="166">
        <f>IF(AND(E863&lt;&gt;"",F863&lt;&gt;""),E863*F863,"")</f>
      </c>
    </row>
    <row r="864" ht="16.5" customHeight="1" s="71">
      <c r="B864" s="169" t="n"/>
      <c r="C864" s="35" t="n"/>
      <c r="D864" s="35" t="n"/>
      <c r="E864" s="35" t="n"/>
      <c r="F864" s="166" t="n"/>
      <c r="G864" s="166">
        <f>IF(AND(E864&lt;&gt;"",F864&lt;&gt;""),E864*F864,"")</f>
      </c>
    </row>
    <row r="865" ht="16.5" customHeight="1" s="71">
      <c r="B865" s="169" t="n"/>
      <c r="C865" s="35" t="n"/>
      <c r="D865" s="35" t="n"/>
      <c r="E865" s="35" t="n"/>
      <c r="F865" s="166" t="n"/>
      <c r="G865" s="166">
        <f>IF(AND(E865&lt;&gt;"",F865&lt;&gt;""),E865*F865,"")</f>
      </c>
    </row>
    <row r="866" ht="16.5" customHeight="1" s="71">
      <c r="B866" s="169" t="n"/>
      <c r="C866" s="35" t="n"/>
      <c r="D866" s="35" t="n"/>
      <c r="E866" s="35" t="n"/>
      <c r="F866" s="166" t="n"/>
      <c r="G866" s="166">
        <f>IF(AND(E866&lt;&gt;"",F866&lt;&gt;""),E866*F866,"")</f>
      </c>
    </row>
    <row r="867" ht="16.5" customHeight="1" s="71">
      <c r="B867" s="169" t="n"/>
      <c r="C867" s="35" t="n"/>
      <c r="D867" s="35" t="n"/>
      <c r="E867" s="35" t="n"/>
      <c r="F867" s="166" t="n"/>
      <c r="G867" s="166">
        <f>IF(AND(E867&lt;&gt;"",F867&lt;&gt;""),E867*F867,"")</f>
      </c>
    </row>
    <row r="868" ht="16.5" customHeight="1" s="71">
      <c r="B868" s="169" t="n"/>
      <c r="C868" s="35" t="n"/>
      <c r="D868" s="35" t="n"/>
      <c r="E868" s="35" t="n"/>
      <c r="F868" s="166" t="n"/>
      <c r="G868" s="166">
        <f>IF(AND(E868&lt;&gt;"",F868&lt;&gt;""),E868*F868,"")</f>
      </c>
    </row>
    <row r="869" ht="16.5" customHeight="1" s="71">
      <c r="B869" s="169" t="n"/>
      <c r="C869" s="35" t="n"/>
      <c r="D869" s="35" t="n"/>
      <c r="E869" s="35" t="n"/>
      <c r="F869" s="166" t="n"/>
      <c r="G869" s="166">
        <f>IF(AND(E869&lt;&gt;"",F869&lt;&gt;""),E869*F869,"")</f>
      </c>
    </row>
    <row r="870" ht="16.5" customHeight="1" s="71">
      <c r="B870" s="169" t="n"/>
      <c r="C870" s="35" t="n"/>
      <c r="D870" s="35" t="n"/>
      <c r="E870" s="35" t="n"/>
      <c r="F870" s="166" t="n"/>
      <c r="G870" s="166">
        <f>IF(AND(E870&lt;&gt;"",F870&lt;&gt;""),E870*F870,"")</f>
      </c>
    </row>
    <row r="871" ht="16.5" customHeight="1" s="71">
      <c r="B871" s="169" t="n"/>
      <c r="C871" s="35" t="n"/>
      <c r="D871" s="35" t="n"/>
      <c r="E871" s="35" t="n"/>
      <c r="F871" s="166" t="n"/>
      <c r="G871" s="166">
        <f>IF(AND(E871&lt;&gt;"",F871&lt;&gt;""),E871*F871,"")</f>
      </c>
    </row>
    <row r="872" ht="16.5" customHeight="1" s="71">
      <c r="B872" s="169" t="n"/>
      <c r="C872" s="35" t="n"/>
      <c r="D872" s="35" t="n"/>
      <c r="E872" s="35" t="n"/>
      <c r="F872" s="166" t="n"/>
      <c r="G872" s="166">
        <f>IF(AND(E872&lt;&gt;"",F872&lt;&gt;""),E872*F872,"")</f>
      </c>
    </row>
    <row r="873" ht="16.5" customHeight="1" s="71">
      <c r="B873" s="169" t="n"/>
      <c r="C873" s="35" t="n"/>
      <c r="D873" s="35" t="n"/>
      <c r="E873" s="35" t="n"/>
      <c r="F873" s="166" t="n"/>
      <c r="G873" s="166">
        <f>IF(AND(E873&lt;&gt;"",F873&lt;&gt;""),E873*F873,"")</f>
      </c>
    </row>
    <row r="874" ht="16.5" customHeight="1" s="71">
      <c r="B874" s="169" t="n"/>
      <c r="C874" s="35" t="n"/>
      <c r="D874" s="35" t="n"/>
      <c r="E874" s="35" t="n"/>
      <c r="F874" s="166" t="n"/>
      <c r="G874" s="166">
        <f>IF(AND(E874&lt;&gt;"",F874&lt;&gt;""),E874*F874,"")</f>
      </c>
    </row>
    <row r="875" ht="16.5" customHeight="1" s="71">
      <c r="B875" s="169" t="n"/>
      <c r="C875" s="35" t="n"/>
      <c r="D875" s="35" t="n"/>
      <c r="E875" s="35" t="n"/>
      <c r="F875" s="166" t="n"/>
      <c r="G875" s="166">
        <f>IF(AND(E875&lt;&gt;"",F875&lt;&gt;""),E875*F875,"")</f>
      </c>
    </row>
    <row r="876" ht="16.5" customHeight="1" s="71">
      <c r="B876" s="169" t="n"/>
      <c r="C876" s="35" t="n"/>
      <c r="D876" s="35" t="n"/>
      <c r="E876" s="35" t="n"/>
      <c r="F876" s="166" t="n"/>
      <c r="G876" s="166">
        <f>IF(AND(E876&lt;&gt;"",F876&lt;&gt;""),E876*F876,"")</f>
      </c>
    </row>
    <row r="877" ht="16.5" customHeight="1" s="71">
      <c r="B877" s="169" t="n"/>
      <c r="C877" s="35" t="n"/>
      <c r="D877" s="35" t="n"/>
      <c r="E877" s="35" t="n"/>
      <c r="F877" s="166" t="n"/>
      <c r="G877" s="166">
        <f>IF(AND(E877&lt;&gt;"",F877&lt;&gt;""),E877*F877,"")</f>
      </c>
    </row>
    <row r="878" ht="16.5" customHeight="1" s="71">
      <c r="B878" s="169" t="n"/>
      <c r="C878" s="35" t="n"/>
      <c r="D878" s="35" t="n"/>
      <c r="E878" s="35" t="n"/>
      <c r="F878" s="166" t="n"/>
      <c r="G878" s="166">
        <f>IF(AND(E878&lt;&gt;"",F878&lt;&gt;""),E878*F878,"")</f>
      </c>
    </row>
    <row r="879" ht="16.5" customHeight="1" s="71">
      <c r="B879" s="169" t="n"/>
      <c r="C879" s="35" t="n"/>
      <c r="D879" s="35" t="n"/>
      <c r="E879" s="35" t="n"/>
      <c r="F879" s="166" t="n"/>
      <c r="G879" s="166">
        <f>IF(AND(E879&lt;&gt;"",F879&lt;&gt;""),E879*F879,"")</f>
      </c>
    </row>
    <row r="880" ht="16.5" customHeight="1" s="71">
      <c r="B880" s="169" t="n"/>
      <c r="C880" s="35" t="n"/>
      <c r="D880" s="35" t="n"/>
      <c r="E880" s="35" t="n"/>
      <c r="F880" s="166" t="n"/>
      <c r="G880" s="166">
        <f>IF(AND(E880&lt;&gt;"",F880&lt;&gt;""),E880*F880,"")</f>
      </c>
    </row>
    <row r="881" ht="16.5" customHeight="1" s="71">
      <c r="B881" s="169" t="n"/>
      <c r="C881" s="35" t="n"/>
      <c r="D881" s="35" t="n"/>
      <c r="E881" s="35" t="n"/>
      <c r="F881" s="166" t="n"/>
      <c r="G881" s="166">
        <f>IF(AND(E881&lt;&gt;"",F881&lt;&gt;""),E881*F881,"")</f>
      </c>
    </row>
    <row r="882" ht="16.5" customHeight="1" s="71">
      <c r="B882" s="169" t="n"/>
      <c r="C882" s="35" t="n"/>
      <c r="D882" s="35" t="n"/>
      <c r="E882" s="35" t="n"/>
      <c r="F882" s="166" t="n"/>
      <c r="G882" s="166">
        <f>IF(AND(E882&lt;&gt;"",F882&lt;&gt;""),E882*F882,"")</f>
      </c>
    </row>
    <row r="883" ht="16.5" customHeight="1" s="71">
      <c r="B883" s="169" t="n"/>
      <c r="C883" s="35" t="n"/>
      <c r="D883" s="35" t="n"/>
      <c r="E883" s="35" t="n"/>
      <c r="F883" s="166" t="n"/>
      <c r="G883" s="166">
        <f>IF(AND(E883&lt;&gt;"",F883&lt;&gt;""),E883*F883,"")</f>
      </c>
    </row>
    <row r="884" ht="16.5" customHeight="1" s="71">
      <c r="B884" s="169" t="n"/>
      <c r="C884" s="35" t="n"/>
      <c r="D884" s="35" t="n"/>
      <c r="E884" s="35" t="n"/>
      <c r="F884" s="166" t="n"/>
      <c r="G884" s="166">
        <f>IF(AND(E884&lt;&gt;"",F884&lt;&gt;""),E884*F884,"")</f>
      </c>
    </row>
    <row r="885" ht="16.5" customHeight="1" s="71">
      <c r="B885" s="169" t="n"/>
      <c r="C885" s="35" t="n"/>
      <c r="D885" s="35" t="n"/>
      <c r="E885" s="35" t="n"/>
      <c r="F885" s="166" t="n"/>
      <c r="G885" s="166">
        <f>IF(AND(E885&lt;&gt;"",F885&lt;&gt;""),E885*F885,"")</f>
      </c>
    </row>
    <row r="886" ht="16.5" customHeight="1" s="71">
      <c r="B886" s="169" t="n"/>
      <c r="C886" s="35" t="n"/>
      <c r="D886" s="35" t="n"/>
      <c r="E886" s="35" t="n"/>
      <c r="F886" s="166" t="n"/>
      <c r="G886" s="166">
        <f>IF(AND(E886&lt;&gt;"",F886&lt;&gt;""),E886*F886,"")</f>
      </c>
    </row>
    <row r="887" ht="16.5" customHeight="1" s="71">
      <c r="B887" s="169" t="n"/>
      <c r="C887" s="35" t="n"/>
      <c r="D887" s="35" t="n"/>
      <c r="E887" s="35" t="n"/>
      <c r="F887" s="166" t="n"/>
      <c r="G887" s="166">
        <f>IF(AND(E887&lt;&gt;"",F887&lt;&gt;""),E887*F887,"")</f>
      </c>
    </row>
    <row r="888" ht="16.5" customHeight="1" s="71">
      <c r="B888" s="169" t="n"/>
      <c r="C888" s="35" t="n"/>
      <c r="D888" s="35" t="n"/>
      <c r="E888" s="35" t="n"/>
      <c r="F888" s="166" t="n"/>
      <c r="G888" s="166">
        <f>IF(AND(E888&lt;&gt;"",F888&lt;&gt;""),E888*F888,"")</f>
      </c>
    </row>
    <row r="889" ht="16.5" customHeight="1" s="71">
      <c r="B889" s="169" t="n"/>
      <c r="C889" s="35" t="n"/>
      <c r="D889" s="35" t="n"/>
      <c r="E889" s="35" t="n"/>
      <c r="F889" s="166" t="n"/>
      <c r="G889" s="166">
        <f>IF(AND(E889&lt;&gt;"",F889&lt;&gt;""),E889*F889,"")</f>
      </c>
    </row>
    <row r="890" ht="16.5" customHeight="1" s="71">
      <c r="B890" s="169" t="n"/>
      <c r="C890" s="35" t="n"/>
      <c r="D890" s="35" t="n"/>
      <c r="E890" s="35" t="n"/>
      <c r="F890" s="166" t="n"/>
      <c r="G890" s="166">
        <f>IF(AND(E890&lt;&gt;"",F890&lt;&gt;""),E890*F890,"")</f>
      </c>
    </row>
    <row r="891" ht="16.5" customHeight="1" s="71">
      <c r="B891" s="169" t="n"/>
      <c r="C891" s="35" t="n"/>
      <c r="D891" s="35" t="n"/>
      <c r="E891" s="35" t="n"/>
      <c r="F891" s="166" t="n"/>
      <c r="G891" s="166">
        <f>IF(AND(E891&lt;&gt;"",F891&lt;&gt;""),E891*F891,"")</f>
      </c>
    </row>
    <row r="892" ht="16.5" customHeight="1" s="71">
      <c r="B892" s="169" t="n"/>
      <c r="C892" s="35" t="n"/>
      <c r="D892" s="35" t="n"/>
      <c r="E892" s="35" t="n"/>
      <c r="F892" s="166" t="n"/>
      <c r="G892" s="166">
        <f>IF(AND(E892&lt;&gt;"",F892&lt;&gt;""),E892*F892,"")</f>
      </c>
    </row>
    <row r="893" ht="16.5" customHeight="1" s="71">
      <c r="B893" s="169" t="n"/>
      <c r="C893" s="35" t="n"/>
      <c r="D893" s="35" t="n"/>
      <c r="E893" s="35" t="n"/>
      <c r="F893" s="166" t="n"/>
      <c r="G893" s="166">
        <f>IF(AND(E893&lt;&gt;"",F893&lt;&gt;""),E893*F893,"")</f>
      </c>
    </row>
    <row r="894" ht="16.5" customHeight="1" s="71">
      <c r="B894" s="169" t="n"/>
      <c r="C894" s="35" t="n"/>
      <c r="D894" s="35" t="n"/>
      <c r="E894" s="35" t="n"/>
      <c r="F894" s="166" t="n"/>
      <c r="G894" s="166">
        <f>IF(AND(E894&lt;&gt;"",F894&lt;&gt;""),E894*F894,"")</f>
      </c>
    </row>
    <row r="895" ht="16.5" customHeight="1" s="71">
      <c r="B895" s="169" t="n"/>
      <c r="C895" s="35" t="n"/>
      <c r="D895" s="35" t="n"/>
      <c r="E895" s="35" t="n"/>
      <c r="F895" s="166" t="n"/>
      <c r="G895" s="166">
        <f>IF(AND(E895&lt;&gt;"",F895&lt;&gt;""),E895*F895,"")</f>
      </c>
    </row>
    <row r="896" ht="16.5" customHeight="1" s="71">
      <c r="B896" s="169" t="n"/>
      <c r="C896" s="35" t="n"/>
      <c r="D896" s="35" t="n"/>
      <c r="E896" s="35" t="n"/>
      <c r="F896" s="166" t="n"/>
      <c r="G896" s="166">
        <f>IF(AND(E896&lt;&gt;"",F896&lt;&gt;""),E896*F896,"")</f>
      </c>
    </row>
    <row r="897" ht="16.5" customHeight="1" s="71">
      <c r="B897" s="169" t="n"/>
      <c r="C897" s="35" t="n"/>
      <c r="D897" s="35" t="n"/>
      <c r="E897" s="35" t="n"/>
      <c r="F897" s="166" t="n"/>
      <c r="G897" s="166">
        <f>IF(AND(E897&lt;&gt;"",F897&lt;&gt;""),E897*F897,"")</f>
      </c>
    </row>
    <row r="898" ht="16.5" customHeight="1" s="71">
      <c r="B898" s="169" t="n"/>
      <c r="C898" s="35" t="n"/>
      <c r="D898" s="35" t="n"/>
      <c r="E898" s="35" t="n"/>
      <c r="F898" s="166" t="n"/>
      <c r="G898" s="166">
        <f>IF(AND(E898&lt;&gt;"",F898&lt;&gt;""),E898*F898,"")</f>
      </c>
    </row>
    <row r="899" ht="16.5" customHeight="1" s="71">
      <c r="B899" s="169" t="n"/>
      <c r="C899" s="35" t="n"/>
      <c r="D899" s="35" t="n"/>
      <c r="E899" s="35" t="n"/>
      <c r="F899" s="166" t="n"/>
      <c r="G899" s="166">
        <f>IF(AND(E899&lt;&gt;"",F899&lt;&gt;""),E899*F899,"")</f>
      </c>
    </row>
    <row r="900" ht="16.5" customHeight="1" s="71">
      <c r="B900" s="169" t="n"/>
      <c r="C900" s="35" t="n"/>
      <c r="D900" s="35" t="n"/>
      <c r="E900" s="35" t="n"/>
      <c r="F900" s="166" t="n"/>
      <c r="G900" s="166">
        <f>IF(AND(E900&lt;&gt;"",F900&lt;&gt;""),E900*F900,"")</f>
      </c>
    </row>
    <row r="901" ht="16.5" customHeight="1" s="71">
      <c r="B901" s="169" t="n"/>
      <c r="C901" s="35" t="n"/>
      <c r="D901" s="35" t="n"/>
      <c r="E901" s="35" t="n"/>
      <c r="F901" s="166" t="n"/>
      <c r="G901" s="166">
        <f>IF(AND(E901&lt;&gt;"",F901&lt;&gt;""),E901*F901,"")</f>
      </c>
    </row>
    <row r="902" ht="16.5" customHeight="1" s="71">
      <c r="B902" s="169" t="n"/>
      <c r="C902" s="35" t="n"/>
      <c r="D902" s="35" t="n"/>
      <c r="E902" s="35" t="n"/>
      <c r="F902" s="166" t="n"/>
      <c r="G902" s="166">
        <f>IF(AND(E902&lt;&gt;"",F902&lt;&gt;""),E902*F902,"")</f>
      </c>
    </row>
    <row r="903" ht="16.5" customHeight="1" s="71">
      <c r="B903" s="169" t="n"/>
      <c r="C903" s="35" t="n"/>
      <c r="D903" s="35" t="n"/>
      <c r="E903" s="35" t="n"/>
      <c r="F903" s="166" t="n"/>
      <c r="G903" s="166">
        <f>IF(AND(E903&lt;&gt;"",F903&lt;&gt;""),E903*F903,"")</f>
      </c>
    </row>
    <row r="904" ht="16.5" customHeight="1" s="71">
      <c r="B904" s="169" t="n"/>
      <c r="C904" s="35" t="n"/>
      <c r="D904" s="35" t="n"/>
      <c r="E904" s="35" t="n"/>
      <c r="F904" s="166" t="n"/>
      <c r="G904" s="166">
        <f>IF(AND(E904&lt;&gt;"",F904&lt;&gt;""),E904*F904,"")</f>
      </c>
    </row>
    <row r="905" ht="16.5" customHeight="1" s="71">
      <c r="B905" s="169" t="n"/>
      <c r="C905" s="35" t="n"/>
      <c r="D905" s="35" t="n"/>
      <c r="E905" s="35" t="n"/>
      <c r="F905" s="166" t="n"/>
      <c r="G905" s="166">
        <f>IF(AND(E905&lt;&gt;"",F905&lt;&gt;""),E905*F905,"")</f>
      </c>
    </row>
    <row r="906" ht="16.5" customHeight="1" s="71">
      <c r="B906" s="169" t="n"/>
      <c r="C906" s="35" t="n"/>
      <c r="D906" s="35" t="n"/>
      <c r="E906" s="35" t="n"/>
      <c r="F906" s="166" t="n"/>
      <c r="G906" s="166">
        <f>IF(AND(E906&lt;&gt;"",F906&lt;&gt;""),E906*F906,"")</f>
      </c>
    </row>
    <row r="907" ht="16.5" customHeight="1" s="71">
      <c r="B907" s="169" t="n"/>
      <c r="C907" s="35" t="n"/>
      <c r="D907" s="35" t="n"/>
      <c r="E907" s="35" t="n"/>
      <c r="F907" s="166" t="n"/>
      <c r="G907" s="166">
        <f>IF(AND(E907&lt;&gt;"",F907&lt;&gt;""),E907*F907,"")</f>
      </c>
    </row>
    <row r="908" ht="16.5" customHeight="1" s="71">
      <c r="B908" s="169" t="n"/>
      <c r="C908" s="35" t="n"/>
      <c r="D908" s="35" t="n"/>
      <c r="E908" s="35" t="n"/>
      <c r="F908" s="166" t="n"/>
      <c r="G908" s="166">
        <f>IF(AND(E908&lt;&gt;"",F908&lt;&gt;""),E908*F908,"")</f>
      </c>
    </row>
    <row r="909" ht="16.5" customHeight="1" s="71">
      <c r="B909" s="169" t="n"/>
      <c r="C909" s="35" t="n"/>
      <c r="D909" s="35" t="n"/>
      <c r="E909" s="35" t="n"/>
      <c r="F909" s="166" t="n"/>
      <c r="G909" s="166">
        <f>IF(AND(E909&lt;&gt;"",F909&lt;&gt;""),E909*F909,"")</f>
      </c>
    </row>
    <row r="910" ht="16.5" customHeight="1" s="71">
      <c r="B910" s="169" t="n"/>
      <c r="C910" s="35" t="n"/>
      <c r="D910" s="35" t="n"/>
      <c r="E910" s="35" t="n"/>
      <c r="F910" s="166" t="n"/>
      <c r="G910" s="166">
        <f>IF(AND(E910&lt;&gt;"",F910&lt;&gt;""),E910*F910,"")</f>
      </c>
    </row>
    <row r="911" ht="16.5" customHeight="1" s="71">
      <c r="B911" s="169" t="n"/>
      <c r="C911" s="35" t="n"/>
      <c r="D911" s="35" t="n"/>
      <c r="E911" s="35" t="n"/>
      <c r="F911" s="166" t="n"/>
      <c r="G911" s="166">
        <f>IF(AND(E911&lt;&gt;"",F911&lt;&gt;""),E911*F911,"")</f>
      </c>
    </row>
    <row r="912" ht="16.5" customHeight="1" s="71">
      <c r="B912" s="169" t="n"/>
      <c r="C912" s="35" t="n"/>
      <c r="D912" s="35" t="n"/>
      <c r="E912" s="35" t="n"/>
      <c r="F912" s="166" t="n"/>
      <c r="G912" s="166">
        <f>IF(AND(E912&lt;&gt;"",F912&lt;&gt;""),E912*F912,"")</f>
      </c>
    </row>
    <row r="913" ht="16.5" customHeight="1" s="71">
      <c r="B913" s="169" t="n"/>
      <c r="C913" s="35" t="n"/>
      <c r="D913" s="35" t="n"/>
      <c r="E913" s="35" t="n"/>
      <c r="F913" s="166" t="n"/>
      <c r="G913" s="166">
        <f>IF(AND(E913&lt;&gt;"",F913&lt;&gt;""),E913*F913,"")</f>
      </c>
    </row>
    <row r="914" ht="16.5" customHeight="1" s="71">
      <c r="B914" s="169" t="n"/>
      <c r="C914" s="35" t="n"/>
      <c r="D914" s="35" t="n"/>
      <c r="E914" s="35" t="n"/>
      <c r="F914" s="166" t="n"/>
      <c r="G914" s="166">
        <f>IF(AND(E914&lt;&gt;"",F914&lt;&gt;""),E914*F914,"")</f>
      </c>
    </row>
    <row r="915" ht="16.5" customHeight="1" s="71">
      <c r="B915" s="169" t="n"/>
      <c r="C915" s="35" t="n"/>
      <c r="D915" s="35" t="n"/>
      <c r="E915" s="35" t="n"/>
      <c r="F915" s="166" t="n"/>
      <c r="G915" s="166">
        <f>IF(AND(E915&lt;&gt;"",F915&lt;&gt;""),E915*F915,"")</f>
      </c>
    </row>
    <row r="916" ht="16.5" customHeight="1" s="71">
      <c r="B916" s="169" t="n"/>
      <c r="C916" s="35" t="n"/>
      <c r="D916" s="35" t="n"/>
      <c r="E916" s="35" t="n"/>
      <c r="F916" s="166" t="n"/>
      <c r="G916" s="166">
        <f>IF(AND(E916&lt;&gt;"",F916&lt;&gt;""),E916*F916,"")</f>
      </c>
    </row>
    <row r="917" ht="16.5" customHeight="1" s="71">
      <c r="B917" s="169" t="n"/>
      <c r="C917" s="35" t="n"/>
      <c r="D917" s="35" t="n"/>
      <c r="E917" s="35" t="n"/>
      <c r="F917" s="166" t="n"/>
      <c r="G917" s="166">
        <f>IF(AND(E917&lt;&gt;"",F917&lt;&gt;""),E917*F917,"")</f>
      </c>
    </row>
    <row r="918" ht="16.5" customHeight="1" s="71">
      <c r="B918" s="169" t="n"/>
      <c r="C918" s="35" t="n"/>
      <c r="D918" s="35" t="n"/>
      <c r="E918" s="35" t="n"/>
      <c r="F918" s="166" t="n"/>
      <c r="G918" s="166">
        <f>IF(AND(E918&lt;&gt;"",F918&lt;&gt;""),E918*F918,"")</f>
      </c>
    </row>
    <row r="919" ht="16.5" customHeight="1" s="71">
      <c r="B919" s="169" t="n"/>
      <c r="C919" s="35" t="n"/>
      <c r="D919" s="35" t="n"/>
      <c r="E919" s="35" t="n"/>
      <c r="F919" s="166" t="n"/>
      <c r="G919" s="166">
        <f>IF(AND(E919&lt;&gt;"",F919&lt;&gt;""),E919*F919,"")</f>
      </c>
    </row>
    <row r="920" ht="16.5" customHeight="1" s="71">
      <c r="B920" s="169" t="n"/>
      <c r="C920" s="35" t="n"/>
      <c r="D920" s="35" t="n"/>
      <c r="E920" s="35" t="n"/>
      <c r="F920" s="166" t="n"/>
      <c r="G920" s="166">
        <f>IF(AND(E920&lt;&gt;"",F920&lt;&gt;""),E920*F920,"")</f>
      </c>
    </row>
    <row r="921" ht="16.5" customHeight="1" s="71">
      <c r="B921" s="169" t="n"/>
      <c r="C921" s="35" t="n"/>
      <c r="D921" s="35" t="n"/>
      <c r="E921" s="35" t="n"/>
      <c r="F921" s="166" t="n"/>
      <c r="G921" s="166">
        <f>IF(AND(E921&lt;&gt;"",F921&lt;&gt;""),E921*F921,"")</f>
      </c>
    </row>
    <row r="922" ht="16.5" customHeight="1" s="71">
      <c r="B922" s="169" t="n"/>
      <c r="C922" s="35" t="n"/>
      <c r="D922" s="35" t="n"/>
      <c r="E922" s="35" t="n"/>
      <c r="F922" s="166" t="n"/>
      <c r="G922" s="166">
        <f>IF(AND(E922&lt;&gt;"",F922&lt;&gt;""),E922*F922,"")</f>
      </c>
    </row>
    <row r="923" ht="16.5" customHeight="1" s="71">
      <c r="B923" s="169" t="n"/>
      <c r="C923" s="35" t="n"/>
      <c r="D923" s="35" t="n"/>
      <c r="E923" s="35" t="n"/>
      <c r="F923" s="166" t="n"/>
      <c r="G923" s="166">
        <f>IF(AND(E923&lt;&gt;"",F923&lt;&gt;""),E923*F923,"")</f>
      </c>
    </row>
    <row r="924" ht="16.5" customHeight="1" s="71">
      <c r="B924" s="169" t="n"/>
      <c r="C924" s="35" t="n"/>
      <c r="D924" s="35" t="n"/>
      <c r="E924" s="35" t="n"/>
      <c r="F924" s="166" t="n"/>
      <c r="G924" s="166">
        <f>IF(AND(E924&lt;&gt;"",F924&lt;&gt;""),E924*F924,"")</f>
      </c>
    </row>
    <row r="925" ht="16.5" customHeight="1" s="71">
      <c r="B925" s="169" t="n"/>
      <c r="C925" s="35" t="n"/>
      <c r="D925" s="35" t="n"/>
      <c r="E925" s="35" t="n"/>
      <c r="F925" s="166" t="n"/>
      <c r="G925" s="166">
        <f>IF(AND(E925&lt;&gt;"",F925&lt;&gt;""),E925*F925,"")</f>
      </c>
    </row>
    <row r="926" ht="16.5" customHeight="1" s="71">
      <c r="B926" s="169" t="n"/>
      <c r="C926" s="35" t="n"/>
      <c r="D926" s="35" t="n"/>
      <c r="E926" s="35" t="n"/>
      <c r="F926" s="166" t="n"/>
      <c r="G926" s="166">
        <f>IF(AND(E926&lt;&gt;"",F926&lt;&gt;""),E926*F926,"")</f>
      </c>
    </row>
    <row r="927" ht="16.5" customHeight="1" s="71">
      <c r="B927" s="169" t="n"/>
      <c r="C927" s="35" t="n"/>
      <c r="D927" s="35" t="n"/>
      <c r="E927" s="35" t="n"/>
      <c r="F927" s="166" t="n"/>
      <c r="G927" s="166">
        <f>IF(AND(E927&lt;&gt;"",F927&lt;&gt;""),E927*F927,"")</f>
      </c>
    </row>
    <row r="928" ht="16.5" customHeight="1" s="71">
      <c r="B928" s="169" t="n"/>
      <c r="C928" s="35" t="n"/>
      <c r="D928" s="35" t="n"/>
      <c r="E928" s="35" t="n"/>
      <c r="F928" s="166" t="n"/>
      <c r="G928" s="166">
        <f>IF(AND(E928&lt;&gt;"",F928&lt;&gt;""),E928*F928,"")</f>
      </c>
    </row>
    <row r="929" ht="16.5" customHeight="1" s="71">
      <c r="B929" s="169" t="n"/>
      <c r="C929" s="35" t="n"/>
      <c r="D929" s="35" t="n"/>
      <c r="E929" s="35" t="n"/>
      <c r="F929" s="166" t="n"/>
      <c r="G929" s="166">
        <f>IF(AND(E929&lt;&gt;"",F929&lt;&gt;""),E929*F929,"")</f>
      </c>
    </row>
    <row r="930" ht="16.5" customHeight="1" s="71">
      <c r="B930" s="169" t="n"/>
      <c r="C930" s="35" t="n"/>
      <c r="D930" s="35" t="n"/>
      <c r="E930" s="35" t="n"/>
      <c r="F930" s="166" t="n"/>
      <c r="G930" s="166">
        <f>IF(AND(E930&lt;&gt;"",F930&lt;&gt;""),E930*F930,"")</f>
      </c>
    </row>
    <row r="931" ht="16.5" customHeight="1" s="71">
      <c r="B931" s="169" t="n"/>
      <c r="C931" s="35" t="n"/>
      <c r="D931" s="35" t="n"/>
      <c r="E931" s="35" t="n"/>
      <c r="F931" s="166" t="n"/>
      <c r="G931" s="166">
        <f>IF(AND(E931&lt;&gt;"",F931&lt;&gt;""),E931*F931,"")</f>
      </c>
    </row>
    <row r="932" ht="16.5" customHeight="1" s="71">
      <c r="B932" s="169" t="n"/>
      <c r="C932" s="35" t="n"/>
      <c r="D932" s="35" t="n"/>
      <c r="E932" s="35" t="n"/>
      <c r="F932" s="166" t="n"/>
      <c r="G932" s="166">
        <f>IF(AND(E932&lt;&gt;"",F932&lt;&gt;""),E932*F932,"")</f>
      </c>
    </row>
    <row r="933" ht="16.5" customHeight="1" s="71">
      <c r="B933" s="169" t="n"/>
      <c r="C933" s="35" t="n"/>
      <c r="D933" s="35" t="n"/>
      <c r="E933" s="35" t="n"/>
      <c r="F933" s="166" t="n"/>
      <c r="G933" s="166">
        <f>IF(AND(E933&lt;&gt;"",F933&lt;&gt;""),E933*F933,"")</f>
      </c>
    </row>
    <row r="934" ht="16.5" customHeight="1" s="71">
      <c r="B934" s="169" t="n"/>
      <c r="C934" s="35" t="n"/>
      <c r="D934" s="35" t="n"/>
      <c r="E934" s="35" t="n"/>
      <c r="F934" s="166" t="n"/>
      <c r="G934" s="166">
        <f>IF(AND(E934&lt;&gt;"",F934&lt;&gt;""),E934*F934,"")</f>
      </c>
    </row>
    <row r="935" ht="16.5" customHeight="1" s="71">
      <c r="B935" s="169" t="n"/>
      <c r="C935" s="35" t="n"/>
      <c r="D935" s="35" t="n"/>
      <c r="E935" s="35" t="n"/>
      <c r="F935" s="166" t="n"/>
      <c r="G935" s="166">
        <f>IF(AND(E935&lt;&gt;"",F935&lt;&gt;""),E935*F935,"")</f>
      </c>
    </row>
    <row r="936" ht="16.5" customHeight="1" s="71">
      <c r="B936" s="169" t="n"/>
      <c r="C936" s="35" t="n"/>
      <c r="D936" s="35" t="n"/>
      <c r="E936" s="35" t="n"/>
      <c r="F936" s="166" t="n"/>
      <c r="G936" s="166">
        <f>IF(AND(E936&lt;&gt;"",F936&lt;&gt;""),E936*F936,"")</f>
      </c>
    </row>
    <row r="937" ht="16.5" customHeight="1" s="71">
      <c r="B937" s="169" t="n"/>
      <c r="C937" s="35" t="n"/>
      <c r="D937" s="35" t="n"/>
      <c r="E937" s="35" t="n"/>
      <c r="F937" s="166" t="n"/>
      <c r="G937" s="166">
        <f>IF(AND(E937&lt;&gt;"",F937&lt;&gt;""),E937*F937,"")</f>
      </c>
    </row>
    <row r="938" ht="16.5" customHeight="1" s="71">
      <c r="B938" s="169" t="n"/>
      <c r="C938" s="35" t="n"/>
      <c r="D938" s="35" t="n"/>
      <c r="E938" s="35" t="n"/>
      <c r="F938" s="166" t="n"/>
      <c r="G938" s="166">
        <f>IF(AND(E938&lt;&gt;"",F938&lt;&gt;""),E938*F938,"")</f>
      </c>
    </row>
    <row r="939" ht="16.5" customHeight="1" s="71">
      <c r="B939" s="169" t="n"/>
      <c r="C939" s="35" t="n"/>
      <c r="D939" s="35" t="n"/>
      <c r="E939" s="35" t="n"/>
      <c r="F939" s="166" t="n"/>
      <c r="G939" s="166">
        <f>IF(AND(E939&lt;&gt;"",F939&lt;&gt;""),E939*F939,"")</f>
      </c>
    </row>
    <row r="940" ht="16.5" customHeight="1" s="71">
      <c r="B940" s="169" t="n"/>
      <c r="C940" s="35" t="n"/>
      <c r="D940" s="35" t="n"/>
      <c r="E940" s="35" t="n"/>
      <c r="F940" s="166" t="n"/>
      <c r="G940" s="166">
        <f>IF(AND(E940&lt;&gt;"",F940&lt;&gt;""),E940*F940,"")</f>
      </c>
    </row>
    <row r="941" ht="16.5" customHeight="1" s="71">
      <c r="B941" s="169" t="n"/>
      <c r="C941" s="35" t="n"/>
      <c r="D941" s="35" t="n"/>
      <c r="E941" s="35" t="n"/>
      <c r="F941" s="166" t="n"/>
      <c r="G941" s="166">
        <f>IF(AND(E941&lt;&gt;"",F941&lt;&gt;""),E941*F941,"")</f>
      </c>
    </row>
    <row r="942" ht="16.5" customHeight="1" s="71">
      <c r="B942" s="169" t="n"/>
      <c r="C942" s="35" t="n"/>
      <c r="D942" s="35" t="n"/>
      <c r="E942" s="35" t="n"/>
      <c r="F942" s="166" t="n"/>
      <c r="G942" s="166">
        <f>IF(AND(E942&lt;&gt;"",F942&lt;&gt;""),E942*F942,"")</f>
      </c>
    </row>
    <row r="943" ht="16.5" customHeight="1" s="71">
      <c r="B943" s="169" t="n"/>
      <c r="C943" s="35" t="n"/>
      <c r="D943" s="35" t="n"/>
      <c r="E943" s="35" t="n"/>
      <c r="F943" s="166" t="n"/>
      <c r="G943" s="166">
        <f>IF(AND(E943&lt;&gt;"",F943&lt;&gt;""),E943*F943,"")</f>
      </c>
    </row>
    <row r="944" ht="16.5" customHeight="1" s="71">
      <c r="B944" s="169" t="n"/>
      <c r="C944" s="35" t="n"/>
      <c r="D944" s="35" t="n"/>
      <c r="E944" s="35" t="n"/>
      <c r="F944" s="166" t="n"/>
      <c r="G944" s="166">
        <f>IF(AND(E944&lt;&gt;"",F944&lt;&gt;""),E944*F944,"")</f>
      </c>
    </row>
    <row r="945" ht="16.5" customHeight="1" s="71">
      <c r="B945" s="169" t="n"/>
      <c r="C945" s="35" t="n"/>
      <c r="D945" s="35" t="n"/>
      <c r="E945" s="35" t="n"/>
      <c r="F945" s="166" t="n"/>
      <c r="G945" s="166">
        <f>IF(AND(E945&lt;&gt;"",F945&lt;&gt;""),E945*F945,"")</f>
      </c>
    </row>
    <row r="946" ht="16.5" customHeight="1" s="71">
      <c r="B946" s="169" t="n"/>
      <c r="C946" s="35" t="n"/>
      <c r="D946" s="35" t="n"/>
      <c r="E946" s="35" t="n"/>
      <c r="F946" s="166" t="n"/>
      <c r="G946" s="166">
        <f>IF(AND(E946&lt;&gt;"",F946&lt;&gt;""),E946*F946,"")</f>
      </c>
    </row>
    <row r="947" ht="16.5" customHeight="1" s="71">
      <c r="B947" s="169" t="n"/>
      <c r="C947" s="35" t="n"/>
      <c r="D947" s="35" t="n"/>
      <c r="E947" s="35" t="n"/>
      <c r="F947" s="166" t="n"/>
      <c r="G947" s="166">
        <f>IF(AND(E947&lt;&gt;"",F947&lt;&gt;""),E947*F947,"")</f>
      </c>
    </row>
    <row r="948" ht="16.5" customHeight="1" s="71">
      <c r="B948" s="169" t="n"/>
      <c r="C948" s="35" t="n"/>
      <c r="D948" s="35" t="n"/>
      <c r="E948" s="35" t="n"/>
      <c r="F948" s="166" t="n"/>
      <c r="G948" s="166">
        <f>IF(AND(E948&lt;&gt;"",F948&lt;&gt;""),E948*F948,"")</f>
      </c>
    </row>
    <row r="949" ht="16.5" customHeight="1" s="71">
      <c r="B949" s="169" t="n"/>
      <c r="C949" s="35" t="n"/>
      <c r="D949" s="35" t="n"/>
      <c r="E949" s="35" t="n"/>
      <c r="F949" s="166" t="n"/>
      <c r="G949" s="166">
        <f>IF(AND(E949&lt;&gt;"",F949&lt;&gt;""),E949*F949,"")</f>
      </c>
    </row>
    <row r="950" ht="16.5" customHeight="1" s="71">
      <c r="B950" s="169" t="n"/>
      <c r="C950" s="35" t="n"/>
      <c r="D950" s="35" t="n"/>
      <c r="E950" s="35" t="n"/>
      <c r="F950" s="166" t="n"/>
      <c r="G950" s="166">
        <f>IF(AND(E950&lt;&gt;"",F950&lt;&gt;""),E950*F950,"")</f>
      </c>
    </row>
    <row r="951" ht="16.5" customHeight="1" s="71">
      <c r="B951" s="169" t="n"/>
      <c r="C951" s="35" t="n"/>
      <c r="D951" s="35" t="n"/>
      <c r="E951" s="35" t="n"/>
      <c r="F951" s="166" t="n"/>
      <c r="G951" s="166">
        <f>IF(AND(E951&lt;&gt;"",F951&lt;&gt;""),E951*F951,"")</f>
      </c>
    </row>
    <row r="952" ht="16.5" customHeight="1" s="71">
      <c r="B952" s="169" t="n"/>
      <c r="C952" s="35" t="n"/>
      <c r="D952" s="35" t="n"/>
      <c r="E952" s="35" t="n"/>
      <c r="F952" s="166" t="n"/>
      <c r="G952" s="166">
        <f>IF(AND(E952&lt;&gt;"",F952&lt;&gt;""),E952*F952,"")</f>
      </c>
    </row>
    <row r="953" ht="16.5" customHeight="1" s="71">
      <c r="B953" s="169" t="n"/>
      <c r="C953" s="35" t="n"/>
      <c r="D953" s="35" t="n"/>
      <c r="E953" s="35" t="n"/>
      <c r="F953" s="166" t="n"/>
      <c r="G953" s="166">
        <f>IF(AND(E953&lt;&gt;"",F953&lt;&gt;""),E953*F953,"")</f>
      </c>
    </row>
    <row r="954" ht="16.5" customHeight="1" s="71">
      <c r="B954" s="169" t="n"/>
      <c r="C954" s="35" t="n"/>
      <c r="D954" s="35" t="n"/>
      <c r="E954" s="35" t="n"/>
      <c r="F954" s="166" t="n"/>
      <c r="G954" s="166">
        <f>IF(AND(E954&lt;&gt;"",F954&lt;&gt;""),E954*F954,"")</f>
      </c>
    </row>
    <row r="955" ht="16.5" customHeight="1" s="71">
      <c r="B955" s="169" t="n"/>
      <c r="C955" s="35" t="n"/>
      <c r="D955" s="35" t="n"/>
      <c r="E955" s="35" t="n"/>
      <c r="F955" s="166" t="n"/>
      <c r="G955" s="166">
        <f>IF(AND(E955&lt;&gt;"",F955&lt;&gt;""),E955*F955,"")</f>
      </c>
    </row>
    <row r="956" ht="16.5" customHeight="1" s="71">
      <c r="B956" s="169" t="n"/>
      <c r="C956" s="35" t="n"/>
      <c r="D956" s="35" t="n"/>
      <c r="E956" s="35" t="n"/>
      <c r="F956" s="166" t="n"/>
      <c r="G956" s="166">
        <f>IF(AND(E956&lt;&gt;"",F956&lt;&gt;""),E956*F956,"")</f>
      </c>
    </row>
    <row r="957" ht="16.5" customHeight="1" s="71">
      <c r="B957" s="169" t="n"/>
      <c r="C957" s="35" t="n"/>
      <c r="D957" s="35" t="n"/>
      <c r="E957" s="35" t="n"/>
      <c r="F957" s="166" t="n"/>
      <c r="G957" s="166">
        <f>IF(AND(E957&lt;&gt;"",F957&lt;&gt;""),E957*F957,"")</f>
      </c>
    </row>
    <row r="958" ht="16.5" customHeight="1" s="71">
      <c r="B958" s="169" t="n"/>
      <c r="C958" s="35" t="n"/>
      <c r="D958" s="35" t="n"/>
      <c r="E958" s="35" t="n"/>
      <c r="F958" s="166" t="n"/>
      <c r="G958" s="166">
        <f>IF(AND(E958&lt;&gt;"",F958&lt;&gt;""),E958*F958,"")</f>
      </c>
    </row>
    <row r="959" ht="16.5" customHeight="1" s="71">
      <c r="B959" s="169" t="n"/>
      <c r="C959" s="35" t="n"/>
      <c r="D959" s="35" t="n"/>
      <c r="E959" s="35" t="n"/>
      <c r="F959" s="166" t="n"/>
      <c r="G959" s="166">
        <f>IF(AND(E959&lt;&gt;"",F959&lt;&gt;""),E959*F959,"")</f>
      </c>
    </row>
    <row r="960" ht="16.5" customHeight="1" s="71">
      <c r="B960" s="169" t="n"/>
      <c r="C960" s="35" t="n"/>
      <c r="D960" s="35" t="n"/>
      <c r="E960" s="35" t="n"/>
      <c r="F960" s="166" t="n"/>
      <c r="G960" s="166">
        <f>IF(AND(E960&lt;&gt;"",F960&lt;&gt;""),E960*F960,"")</f>
      </c>
    </row>
    <row r="961" ht="16.5" customHeight="1" s="71">
      <c r="B961" s="169" t="n"/>
      <c r="C961" s="35" t="n"/>
      <c r="D961" s="35" t="n"/>
      <c r="E961" s="35" t="n"/>
      <c r="F961" s="166" t="n"/>
      <c r="G961" s="166">
        <f>IF(AND(E961&lt;&gt;"",F961&lt;&gt;""),E961*F961,"")</f>
      </c>
    </row>
    <row r="962" ht="16.5" customHeight="1" s="71">
      <c r="B962" s="169" t="n"/>
      <c r="C962" s="35" t="n"/>
      <c r="D962" s="35" t="n"/>
      <c r="E962" s="35" t="n"/>
      <c r="F962" s="166" t="n"/>
      <c r="G962" s="166">
        <f>IF(AND(E962&lt;&gt;"",F962&lt;&gt;""),E962*F962,"")</f>
      </c>
    </row>
    <row r="963" ht="16.5" customHeight="1" s="71">
      <c r="B963" s="169" t="n"/>
      <c r="C963" s="35" t="n"/>
      <c r="D963" s="35" t="n"/>
      <c r="E963" s="35" t="n"/>
      <c r="F963" s="166" t="n"/>
      <c r="G963" s="166">
        <f>IF(AND(E963&lt;&gt;"",F963&lt;&gt;""),E963*F963,"")</f>
      </c>
    </row>
    <row r="964" ht="16.5" customHeight="1" s="71">
      <c r="B964" s="169" t="n"/>
      <c r="C964" s="35" t="n"/>
      <c r="D964" s="35" t="n"/>
      <c r="E964" s="35" t="n"/>
      <c r="F964" s="166" t="n"/>
      <c r="G964" s="166">
        <f>IF(AND(E964&lt;&gt;"",F964&lt;&gt;""),E964*F964,"")</f>
      </c>
    </row>
    <row r="965" ht="16.5" customHeight="1" s="71">
      <c r="B965" s="169" t="n"/>
      <c r="C965" s="35" t="n"/>
      <c r="D965" s="35" t="n"/>
      <c r="E965" s="35" t="n"/>
      <c r="F965" s="166" t="n"/>
      <c r="G965" s="166">
        <f>IF(AND(E965&lt;&gt;"",F965&lt;&gt;""),E965*F965,"")</f>
      </c>
    </row>
    <row r="966" ht="16.5" customHeight="1" s="71">
      <c r="B966" s="169" t="n"/>
      <c r="C966" s="35" t="n"/>
      <c r="D966" s="35" t="n"/>
      <c r="E966" s="35" t="n"/>
      <c r="F966" s="166" t="n"/>
      <c r="G966" s="166">
        <f>IF(AND(E966&lt;&gt;"",F966&lt;&gt;""),E966*F966,"")</f>
      </c>
    </row>
    <row r="967" ht="16.5" customHeight="1" s="71">
      <c r="B967" s="169" t="n"/>
      <c r="C967" s="35" t="n"/>
      <c r="D967" s="35" t="n"/>
      <c r="E967" s="35" t="n"/>
      <c r="F967" s="166" t="n"/>
      <c r="G967" s="166">
        <f>IF(AND(E967&lt;&gt;"",F967&lt;&gt;""),E967*F967,"")</f>
      </c>
    </row>
    <row r="968" ht="16.5" customHeight="1" s="71">
      <c r="B968" s="169" t="n"/>
      <c r="C968" s="35" t="n"/>
      <c r="D968" s="35" t="n"/>
      <c r="E968" s="35" t="n"/>
      <c r="F968" s="166" t="n"/>
      <c r="G968" s="166">
        <f>IF(AND(E968&lt;&gt;"",F968&lt;&gt;""),E968*F968,"")</f>
      </c>
    </row>
    <row r="969" ht="16.5" customHeight="1" s="71">
      <c r="B969" s="169" t="n"/>
      <c r="C969" s="35" t="n"/>
      <c r="D969" s="35" t="n"/>
      <c r="E969" s="35" t="n"/>
      <c r="F969" s="166" t="n"/>
      <c r="G969" s="166">
        <f>IF(AND(E969&lt;&gt;"",F969&lt;&gt;""),E969*F969,"")</f>
      </c>
    </row>
    <row r="970" ht="16.5" customHeight="1" s="71">
      <c r="B970" s="169" t="n"/>
      <c r="C970" s="35" t="n"/>
      <c r="D970" s="35" t="n"/>
      <c r="E970" s="35" t="n"/>
      <c r="F970" s="166" t="n"/>
      <c r="G970" s="166">
        <f>IF(AND(E970&lt;&gt;"",F970&lt;&gt;""),E970*F970,"")</f>
      </c>
    </row>
    <row r="971" ht="16.5" customHeight="1" s="71">
      <c r="B971" s="169" t="n"/>
      <c r="C971" s="35" t="n"/>
      <c r="D971" s="35" t="n"/>
      <c r="E971" s="35" t="n"/>
      <c r="F971" s="166" t="n"/>
      <c r="G971" s="166">
        <f>IF(AND(E971&lt;&gt;"",F971&lt;&gt;""),E971*F971,"")</f>
      </c>
    </row>
    <row r="972" ht="16.5" customHeight="1" s="71">
      <c r="B972" s="169" t="n"/>
      <c r="C972" s="35" t="n"/>
      <c r="D972" s="35" t="n"/>
      <c r="E972" s="35" t="n"/>
      <c r="F972" s="166" t="n"/>
      <c r="G972" s="166">
        <f>IF(AND(E972&lt;&gt;"",F972&lt;&gt;""),E972*F972,"")</f>
      </c>
    </row>
    <row r="973" ht="16.5" customHeight="1" s="71">
      <c r="B973" s="169" t="n"/>
      <c r="C973" s="35" t="n"/>
      <c r="D973" s="35" t="n"/>
      <c r="E973" s="35" t="n"/>
      <c r="F973" s="166" t="n"/>
      <c r="G973" s="166">
        <f>IF(AND(E973&lt;&gt;"",F973&lt;&gt;""),E973*F973,"")</f>
      </c>
    </row>
    <row r="974" ht="16.5" customHeight="1" s="71">
      <c r="B974" s="169" t="n"/>
      <c r="C974" s="35" t="n"/>
      <c r="D974" s="35" t="n"/>
      <c r="E974" s="35" t="n"/>
      <c r="F974" s="166" t="n"/>
      <c r="G974" s="166">
        <f>IF(AND(E974&lt;&gt;"",F974&lt;&gt;""),E974*F974,"")</f>
      </c>
    </row>
    <row r="975" ht="16.5" customHeight="1" s="71">
      <c r="B975" s="169" t="n"/>
      <c r="C975" s="35" t="n"/>
      <c r="D975" s="35" t="n"/>
      <c r="E975" s="35" t="n"/>
      <c r="F975" s="166" t="n"/>
      <c r="G975" s="166">
        <f>IF(AND(E975&lt;&gt;"",F975&lt;&gt;""),E975*F975,"")</f>
      </c>
    </row>
    <row r="976" ht="16.5" customHeight="1" s="71">
      <c r="B976" s="169" t="n"/>
      <c r="C976" s="35" t="n"/>
      <c r="D976" s="35" t="n"/>
      <c r="E976" s="35" t="n"/>
      <c r="F976" s="166" t="n"/>
      <c r="G976" s="166">
        <f>IF(AND(E976&lt;&gt;"",F976&lt;&gt;""),E976*F976,"")</f>
      </c>
    </row>
    <row r="977" ht="16.5" customHeight="1" s="71">
      <c r="B977" s="169" t="n"/>
      <c r="C977" s="35" t="n"/>
      <c r="D977" s="35" t="n"/>
      <c r="E977" s="35" t="n"/>
      <c r="F977" s="166" t="n"/>
      <c r="G977" s="166">
        <f>IF(AND(E977&lt;&gt;"",F977&lt;&gt;""),E977*F977,"")</f>
      </c>
    </row>
    <row r="978" ht="16.5" customHeight="1" s="71">
      <c r="B978" s="169" t="n"/>
      <c r="C978" s="35" t="n"/>
      <c r="D978" s="35" t="n"/>
      <c r="E978" s="35" t="n"/>
      <c r="F978" s="166" t="n"/>
      <c r="G978" s="166">
        <f>IF(AND(E978&lt;&gt;"",F978&lt;&gt;""),E978*F978,"")</f>
      </c>
    </row>
    <row r="979" ht="16.5" customHeight="1" s="71">
      <c r="B979" s="169" t="n"/>
      <c r="C979" s="35" t="n"/>
      <c r="D979" s="35" t="n"/>
      <c r="E979" s="35" t="n"/>
      <c r="F979" s="166" t="n"/>
      <c r="G979" s="166">
        <f>IF(AND(E979&lt;&gt;"",F979&lt;&gt;""),E979*F979,"")</f>
      </c>
    </row>
    <row r="980" ht="16.5" customHeight="1" s="71">
      <c r="B980" s="169" t="n"/>
      <c r="C980" s="35" t="n"/>
      <c r="D980" s="35" t="n"/>
      <c r="E980" s="35" t="n"/>
      <c r="F980" s="166" t="n"/>
      <c r="G980" s="166">
        <f>IF(AND(E980&lt;&gt;"",F980&lt;&gt;""),E980*F980,"")</f>
      </c>
    </row>
    <row r="981" ht="16.5" customHeight="1" s="71">
      <c r="B981" s="169" t="n"/>
      <c r="C981" s="35" t="n"/>
      <c r="D981" s="35" t="n"/>
      <c r="E981" s="35" t="n"/>
      <c r="F981" s="166" t="n"/>
      <c r="G981" s="166">
        <f>IF(AND(E981&lt;&gt;"",F981&lt;&gt;""),E981*F981,"")</f>
      </c>
    </row>
    <row r="982" ht="16.5" customHeight="1" s="71">
      <c r="B982" s="169" t="n"/>
      <c r="C982" s="35" t="n"/>
      <c r="D982" s="35" t="n"/>
      <c r="E982" s="35" t="n"/>
      <c r="F982" s="166" t="n"/>
      <c r="G982" s="166">
        <f>IF(AND(E982&lt;&gt;"",F982&lt;&gt;""),E982*F982,"")</f>
      </c>
    </row>
    <row r="983" ht="16.5" customHeight="1" s="71">
      <c r="B983" s="169" t="n"/>
      <c r="C983" s="35" t="n"/>
      <c r="D983" s="35" t="n"/>
      <c r="E983" s="35" t="n"/>
      <c r="F983" s="166" t="n"/>
      <c r="G983" s="166">
        <f>IF(AND(E983&lt;&gt;"",F983&lt;&gt;""),E983*F983,"")</f>
      </c>
    </row>
    <row r="984" ht="16.5" customHeight="1" s="71">
      <c r="B984" s="169" t="n"/>
      <c r="C984" s="35" t="n"/>
      <c r="D984" s="35" t="n"/>
      <c r="E984" s="35" t="n"/>
      <c r="F984" s="166" t="n"/>
      <c r="G984" s="166">
        <f>IF(AND(E984&lt;&gt;"",F984&lt;&gt;""),E984*F984,"")</f>
      </c>
    </row>
    <row r="985" ht="16.5" customHeight="1" s="71">
      <c r="B985" s="169" t="n"/>
      <c r="C985" s="35" t="n"/>
      <c r="D985" s="35" t="n"/>
      <c r="E985" s="35" t="n"/>
      <c r="F985" s="166" t="n"/>
      <c r="G985" s="166">
        <f>IF(AND(E985&lt;&gt;"",F985&lt;&gt;""),E985*F985,"")</f>
      </c>
    </row>
    <row r="986" ht="16.5" customHeight="1" s="71">
      <c r="B986" s="169" t="n"/>
      <c r="C986" s="35" t="n"/>
      <c r="D986" s="35" t="n"/>
      <c r="E986" s="35" t="n"/>
      <c r="F986" s="166" t="n"/>
      <c r="G986" s="166">
        <f>IF(AND(E986&lt;&gt;"",F986&lt;&gt;""),E986*F986,"")</f>
      </c>
    </row>
    <row r="987" ht="16.5" customHeight="1" s="71">
      <c r="B987" s="169" t="n"/>
      <c r="C987" s="35" t="n"/>
      <c r="D987" s="35" t="n"/>
      <c r="E987" s="35" t="n"/>
      <c r="F987" s="166" t="n"/>
      <c r="G987" s="166">
        <f>IF(AND(E987&lt;&gt;"",F987&lt;&gt;""),E987*F987,"")</f>
      </c>
    </row>
    <row r="988" ht="16.5" customHeight="1" s="71">
      <c r="B988" s="169" t="n"/>
      <c r="C988" s="35" t="n"/>
      <c r="D988" s="35" t="n"/>
      <c r="E988" s="35" t="n"/>
      <c r="F988" s="166" t="n"/>
      <c r="G988" s="166">
        <f>IF(AND(E988&lt;&gt;"",F988&lt;&gt;""),E988*F988,"")</f>
      </c>
    </row>
    <row r="989" ht="16.5" customHeight="1" s="71">
      <c r="B989" s="169" t="n"/>
      <c r="C989" s="35" t="n"/>
      <c r="D989" s="35" t="n"/>
      <c r="E989" s="35" t="n"/>
      <c r="F989" s="166" t="n"/>
      <c r="G989" s="166">
        <f>IF(AND(E989&lt;&gt;"",F989&lt;&gt;""),E989*F989,"")</f>
      </c>
    </row>
    <row r="990" ht="16.5" customHeight="1" s="71">
      <c r="B990" s="169" t="n"/>
      <c r="C990" s="35" t="n"/>
      <c r="D990" s="35" t="n"/>
      <c r="E990" s="35" t="n"/>
      <c r="F990" s="166" t="n"/>
      <c r="G990" s="166">
        <f>IF(AND(E990&lt;&gt;"",F990&lt;&gt;""),E990*F990,"")</f>
      </c>
    </row>
    <row r="991" ht="16.5" customHeight="1" s="71">
      <c r="B991" s="169" t="n"/>
      <c r="C991" s="35" t="n"/>
      <c r="D991" s="35" t="n"/>
      <c r="E991" s="35" t="n"/>
      <c r="F991" s="166" t="n"/>
      <c r="G991" s="166">
        <f>IF(AND(E991&lt;&gt;"",F991&lt;&gt;""),E991*F991,"")</f>
      </c>
    </row>
    <row r="992" ht="16.5" customHeight="1" s="71">
      <c r="B992" s="169" t="n"/>
      <c r="C992" s="35" t="n"/>
      <c r="D992" s="35" t="n"/>
      <c r="E992" s="35" t="n"/>
      <c r="F992" s="166" t="n"/>
      <c r="G992" s="166">
        <f>IF(AND(E992&lt;&gt;"",F992&lt;&gt;""),E992*F992,"")</f>
      </c>
    </row>
    <row r="993" ht="16.5" customHeight="1" s="71">
      <c r="B993" s="169" t="n"/>
      <c r="C993" s="35" t="n"/>
      <c r="D993" s="35" t="n"/>
      <c r="E993" s="35" t="n"/>
      <c r="F993" s="166" t="n"/>
      <c r="G993" s="166">
        <f>IF(AND(E993&lt;&gt;"",F993&lt;&gt;""),E993*F993,"")</f>
      </c>
    </row>
    <row r="994" ht="16.5" customHeight="1" s="71">
      <c r="B994" s="169" t="n"/>
      <c r="C994" s="35" t="n"/>
      <c r="D994" s="35" t="n"/>
      <c r="E994" s="35" t="n"/>
      <c r="F994" s="166" t="n"/>
      <c r="G994" s="166">
        <f>IF(AND(E994&lt;&gt;"",F994&lt;&gt;""),E994*F994,"")</f>
      </c>
    </row>
    <row r="995" ht="16.5" customHeight="1" s="71">
      <c r="B995" s="169" t="n"/>
      <c r="C995" s="35" t="n"/>
      <c r="D995" s="35" t="n"/>
      <c r="E995" s="35" t="n"/>
      <c r="F995" s="166" t="n"/>
      <c r="G995" s="166">
        <f>IF(AND(E995&lt;&gt;"",F995&lt;&gt;""),E995*F995,"")</f>
      </c>
    </row>
    <row r="996" ht="16.5" customHeight="1" s="71">
      <c r="B996" s="169" t="n"/>
      <c r="C996" s="35" t="n"/>
      <c r="D996" s="35" t="n"/>
      <c r="E996" s="35" t="n"/>
      <c r="F996" s="166" t="n"/>
      <c r="G996" s="166">
        <f>IF(AND(E996&lt;&gt;"",F996&lt;&gt;""),E996*F996,"")</f>
      </c>
    </row>
    <row r="997" ht="16.5" customHeight="1" s="71">
      <c r="B997" s="169" t="n"/>
      <c r="C997" s="35" t="n"/>
      <c r="D997" s="35" t="n"/>
      <c r="E997" s="35" t="n"/>
      <c r="F997" s="166" t="n"/>
      <c r="G997" s="166">
        <f>IF(AND(E997&lt;&gt;"",F997&lt;&gt;""),E997*F997,"")</f>
      </c>
    </row>
    <row r="998" ht="16.5" customHeight="1" s="71">
      <c r="B998" s="169" t="n"/>
      <c r="C998" s="35" t="n"/>
      <c r="D998" s="35" t="n"/>
      <c r="E998" s="35" t="n"/>
      <c r="F998" s="166" t="n"/>
      <c r="G998" s="166">
        <f>IF(AND(E998&lt;&gt;"",F998&lt;&gt;""),E998*F998,"")</f>
      </c>
    </row>
    <row r="999" ht="16.5" customHeight="1" s="71">
      <c r="B999" s="169" t="n"/>
      <c r="C999" s="35" t="n"/>
      <c r="D999" s="35" t="n"/>
      <c r="E999" s="35" t="n"/>
      <c r="F999" s="166" t="n"/>
      <c r="G999" s="166">
        <f>IF(AND(E999&lt;&gt;"",F999&lt;&gt;""),E999*F999,"")</f>
      </c>
    </row>
    <row r="1000" ht="16.5" customHeight="1" s="71">
      <c r="B1000" s="169" t="n"/>
      <c r="C1000" s="35" t="n"/>
      <c r="D1000" s="35" t="n"/>
      <c r="E1000" s="35" t="n"/>
      <c r="F1000" s="166" t="n"/>
      <c r="G1000" s="166">
        <f>IF(AND(E1000&lt;&gt;"",F1000&lt;&gt;""),E1000*F1000,"")</f>
      </c>
    </row>
    <row r="1001" ht="16.5" customHeight="1" s="71">
      <c r="B1001" s="169" t="n"/>
      <c r="C1001" s="35" t="n"/>
      <c r="D1001" s="35" t="n"/>
      <c r="E1001" s="35" t="n"/>
      <c r="F1001" s="166" t="n"/>
      <c r="G1001" s="166">
        <f>IF(AND(E1001&lt;&gt;"",F1001&lt;&gt;""),E1001*F1001,"")</f>
      </c>
    </row>
    <row r="1002" ht="16.5" customHeight="1" s="71">
      <c r="B1002" s="169" t="n"/>
      <c r="C1002" s="35" t="n"/>
      <c r="D1002" s="35" t="n"/>
      <c r="E1002" s="35" t="n"/>
      <c r="F1002" s="166" t="n"/>
      <c r="G1002" s="166">
        <f>IF(AND(E1002&lt;&gt;"",F1002&lt;&gt;""),E1002*F1002,"")</f>
      </c>
    </row>
    <row r="1003" ht="16.5" customHeight="1" s="71">
      <c r="B1003" s="169" t="n"/>
      <c r="C1003" s="35" t="n"/>
      <c r="D1003" s="35" t="n"/>
      <c r="E1003" s="35" t="n"/>
      <c r="F1003" s="166" t="n"/>
      <c r="G1003" s="166">
        <f>IF(AND(E1003&lt;&gt;"",F1003&lt;&gt;""),E1003*F1003,"")</f>
      </c>
    </row>
    <row r="1004" ht="16.5" customHeight="1" s="71">
      <c r="B1004" s="169" t="n"/>
      <c r="C1004" s="35" t="n"/>
      <c r="D1004" s="35" t="n"/>
      <c r="E1004" s="35" t="n"/>
      <c r="F1004" s="166" t="n"/>
      <c r="G1004" s="166">
        <f>IF(AND(E1004&lt;&gt;"",F1004&lt;&gt;""),E1004*F1004,"")</f>
      </c>
    </row>
    <row r="1005" ht="16.5" customHeight="1" s="71">
      <c r="B1005" s="169" t="n"/>
      <c r="C1005" s="35" t="n"/>
      <c r="D1005" s="35" t="n"/>
      <c r="E1005" s="35" t="n"/>
      <c r="F1005" s="166" t="n"/>
      <c r="G1005" s="166">
        <f>IF(AND(E1005&lt;&gt;"",F1005&lt;&gt;""),E1005*F1005,"")</f>
      </c>
    </row>
    <row r="1006" ht="16.5" customHeight="1" s="71">
      <c r="B1006" s="169" t="n"/>
      <c r="C1006" s="35" t="n"/>
      <c r="D1006" s="35" t="n"/>
      <c r="E1006" s="35" t="n"/>
      <c r="F1006" s="166" t="n"/>
      <c r="G1006" s="166">
        <f>IF(AND(E1006&lt;&gt;"",F1006&lt;&gt;""),E1006*F1006,"")</f>
      </c>
    </row>
    <row r="1007" ht="16.5" customHeight="1" s="71">
      <c r="B1007" s="169" t="n"/>
      <c r="C1007" s="35" t="n"/>
      <c r="D1007" s="35" t="n"/>
      <c r="E1007" s="35" t="n"/>
      <c r="F1007" s="166" t="n"/>
      <c r="G1007" s="166">
        <f>IF(AND(E1007&lt;&gt;"",F1007&lt;&gt;""),E1007*F1007,"")</f>
      </c>
    </row>
    <row r="1008" ht="16.5" customHeight="1" s="71">
      <c r="B1008" s="169" t="n"/>
      <c r="C1008" s="35" t="n"/>
      <c r="D1008" s="35" t="n"/>
      <c r="E1008" s="35" t="n"/>
      <c r="F1008" s="166" t="n"/>
      <c r="G1008" s="166">
        <f>IF(AND(E1008&lt;&gt;"",F1008&lt;&gt;""),E1008*F1008,"")</f>
      </c>
    </row>
    <row r="1009" ht="16.5" customHeight="1" s="71">
      <c r="B1009" s="169" t="n"/>
      <c r="C1009" s="35" t="n"/>
      <c r="D1009" s="35" t="n"/>
      <c r="E1009" s="35" t="n"/>
      <c r="F1009" s="166" t="n"/>
      <c r="G1009" s="166">
        <f>IF(AND(E1009&lt;&gt;"",F1009&lt;&gt;""),E1009*F1009,"")</f>
      </c>
    </row>
    <row r="1010" ht="16.5" customHeight="1" s="71">
      <c r="B1010" s="169" t="n"/>
      <c r="C1010" s="35" t="n"/>
      <c r="D1010" s="35" t="n"/>
      <c r="E1010" s="35" t="n"/>
      <c r="F1010" s="166" t="n"/>
      <c r="G1010" s="166">
        <f>IF(AND(E1010&lt;&gt;"",F1010&lt;&gt;""),E1010*F1010,"")</f>
      </c>
    </row>
    <row r="1011" ht="16.5" customHeight="1" s="71">
      <c r="B1011" s="169" t="n"/>
      <c r="C1011" s="35" t="n"/>
      <c r="D1011" s="35" t="n"/>
      <c r="E1011" s="35" t="n"/>
      <c r="F1011" s="166" t="n"/>
      <c r="G1011" s="166">
        <f>IF(AND(E1011&lt;&gt;"",F1011&lt;&gt;""),E1011*F1011,"")</f>
      </c>
    </row>
    <row r="1012" ht="16.5" customHeight="1" s="71">
      <c r="B1012" s="169" t="n"/>
      <c r="C1012" s="35" t="n"/>
      <c r="D1012" s="35" t="n"/>
      <c r="E1012" s="35" t="n"/>
      <c r="F1012" s="166" t="n"/>
      <c r="G1012" s="166">
        <f>IF(AND(E1012&lt;&gt;"",F1012&lt;&gt;""),E1012*F1012,"")</f>
      </c>
    </row>
    <row r="1013" ht="16.5" customHeight="1" s="71">
      <c r="B1013" s="169" t="n"/>
      <c r="C1013" s="35" t="n"/>
      <c r="D1013" s="35" t="n"/>
      <c r="E1013" s="35" t="n"/>
      <c r="F1013" s="166" t="n"/>
      <c r="G1013" s="166">
        <f>IF(AND(E1013&lt;&gt;"",F1013&lt;&gt;""),E1013*F1013,"")</f>
      </c>
    </row>
    <row r="1014" ht="16.5" customHeight="1" s="71">
      <c r="B1014" s="169" t="n"/>
      <c r="C1014" s="35" t="n"/>
      <c r="D1014" s="35" t="n"/>
      <c r="E1014" s="35" t="n"/>
      <c r="F1014" s="166" t="n"/>
      <c r="G1014" s="166">
        <f>IF(AND(E1014&lt;&gt;"",F1014&lt;&gt;""),E1014*F1014,"")</f>
      </c>
    </row>
    <row r="1015" ht="16.5" customHeight="1" s="71">
      <c r="B1015" s="169" t="n"/>
      <c r="C1015" s="35" t="n"/>
      <c r="D1015" s="35" t="n"/>
      <c r="E1015" s="35" t="n"/>
      <c r="F1015" s="166" t="n"/>
      <c r="G1015" s="166">
        <f>IF(AND(E1015&lt;&gt;"",F1015&lt;&gt;""),E1015*F1015,"")</f>
      </c>
    </row>
    <row r="1016" ht="16.5" customHeight="1" s="71">
      <c r="B1016" s="169" t="n"/>
      <c r="C1016" s="35" t="n"/>
      <c r="D1016" s="35" t="n"/>
      <c r="E1016" s="35" t="n"/>
      <c r="F1016" s="166" t="n"/>
      <c r="G1016" s="166">
        <f>IF(AND(E1016&lt;&gt;"",F1016&lt;&gt;""),E1016*F1016,"")</f>
      </c>
    </row>
    <row r="1017" ht="16.5" customHeight="1" s="71">
      <c r="B1017" s="169" t="n"/>
      <c r="C1017" s="35" t="n"/>
      <c r="D1017" s="35" t="n"/>
      <c r="E1017" s="35" t="n"/>
      <c r="F1017" s="166" t="n"/>
      <c r="G1017" s="166">
        <f>IF(AND(E1017&lt;&gt;"",F1017&lt;&gt;""),E1017*F1017,"")</f>
      </c>
    </row>
    <row r="1018" ht="16.5" customHeight="1" s="71">
      <c r="B1018" s="169" t="n"/>
      <c r="C1018" s="35" t="n"/>
      <c r="D1018" s="35" t="n"/>
      <c r="E1018" s="35" t="n"/>
      <c r="F1018" s="166" t="n"/>
      <c r="G1018" s="166">
        <f>IF(AND(E1018&lt;&gt;"",F1018&lt;&gt;""),E1018*F1018,"")</f>
      </c>
    </row>
    <row r="1019" ht="16.5" customHeight="1" s="71">
      <c r="B1019" s="169" t="n"/>
      <c r="C1019" s="35" t="n"/>
      <c r="D1019" s="35" t="n"/>
      <c r="E1019" s="35" t="n"/>
      <c r="F1019" s="166" t="n"/>
      <c r="G1019" s="166">
        <f>IF(AND(E1019&lt;&gt;"",F1019&lt;&gt;""),E1019*F1019,"")</f>
      </c>
    </row>
    <row r="1020" ht="16.5" customHeight="1" s="71">
      <c r="B1020" s="169" t="n"/>
      <c r="C1020" s="35" t="n"/>
      <c r="D1020" s="35" t="n"/>
      <c r="E1020" s="35" t="n"/>
      <c r="F1020" s="166" t="n"/>
      <c r="G1020" s="166">
        <f>IF(AND(E1020&lt;&gt;"",F1020&lt;&gt;""),E1020*F1020,"")</f>
      </c>
    </row>
    <row r="1021" ht="16.5" customHeight="1" s="71">
      <c r="B1021" s="169" t="n"/>
      <c r="C1021" s="35" t="n"/>
      <c r="D1021" s="35" t="n"/>
      <c r="E1021" s="35" t="n"/>
      <c r="F1021" s="166" t="n"/>
      <c r="G1021" s="166">
        <f>IF(AND(E1021&lt;&gt;"",F1021&lt;&gt;""),E1021*F1021,"")</f>
      </c>
    </row>
    <row r="1022" ht="16.5" customHeight="1" s="71">
      <c r="B1022" s="169" t="n"/>
      <c r="C1022" s="35" t="n"/>
      <c r="D1022" s="35" t="n"/>
      <c r="E1022" s="35" t="n"/>
      <c r="F1022" s="166" t="n"/>
      <c r="G1022" s="166">
        <f>IF(AND(E1022&lt;&gt;"",F1022&lt;&gt;""),E1022*F1022,"")</f>
      </c>
    </row>
    <row r="1023" ht="16.5" customHeight="1" s="71">
      <c r="B1023" s="169" t="n"/>
      <c r="C1023" s="35" t="n"/>
      <c r="D1023" s="35" t="n"/>
      <c r="E1023" s="35" t="n"/>
      <c r="F1023" s="166" t="n"/>
      <c r="G1023" s="166">
        <f>IF(AND(E1023&lt;&gt;"",F1023&lt;&gt;""),E1023*F1023,"")</f>
      </c>
    </row>
    <row r="1024" ht="16.5" customHeight="1" s="71">
      <c r="B1024" s="169" t="n"/>
      <c r="C1024" s="35" t="n"/>
      <c r="D1024" s="35" t="n"/>
      <c r="E1024" s="35" t="n"/>
      <c r="F1024" s="166" t="n"/>
      <c r="G1024" s="166">
        <f>IF(AND(E1024&lt;&gt;"",F1024&lt;&gt;""),E1024*F1024,"")</f>
      </c>
    </row>
    <row r="1025" ht="16.5" customHeight="1" s="71">
      <c r="B1025" s="169" t="n"/>
      <c r="C1025" s="35" t="n"/>
      <c r="D1025" s="35" t="n"/>
      <c r="E1025" s="35" t="n"/>
      <c r="F1025" s="166" t="n"/>
      <c r="G1025" s="166">
        <f>IF(AND(E1025&lt;&gt;"",F1025&lt;&gt;""),E1025*F1025,"")</f>
      </c>
    </row>
    <row r="1026" ht="16.5" customHeight="1" s="71">
      <c r="B1026" s="169" t="n"/>
      <c r="C1026" s="35" t="n"/>
      <c r="D1026" s="35" t="n"/>
      <c r="E1026" s="35" t="n"/>
      <c r="F1026" s="166" t="n"/>
      <c r="G1026" s="166">
        <f>IF(AND(E1026&lt;&gt;"",F1026&lt;&gt;""),E1026*F1026,"")</f>
      </c>
    </row>
    <row r="1027" ht="16.5" customHeight="1" s="71">
      <c r="B1027" s="169" t="n"/>
      <c r="C1027" s="35" t="n"/>
      <c r="D1027" s="35" t="n"/>
      <c r="E1027" s="35" t="n"/>
      <c r="F1027" s="166" t="n"/>
      <c r="G1027" s="166">
        <f>IF(AND(E1027&lt;&gt;"",F1027&lt;&gt;""),E1027*F1027,"")</f>
      </c>
    </row>
    <row r="1028" ht="16.5" customHeight="1" s="71">
      <c r="B1028" s="169" t="n"/>
      <c r="C1028" s="35" t="n"/>
      <c r="D1028" s="35" t="n"/>
      <c r="E1028" s="35" t="n"/>
      <c r="F1028" s="166" t="n"/>
      <c r="G1028" s="166">
        <f>IF(AND(E1028&lt;&gt;"",F1028&lt;&gt;""),E1028*F1028,"")</f>
      </c>
    </row>
    <row r="1029" ht="16.5" customHeight="1" s="71">
      <c r="B1029" s="169" t="n"/>
      <c r="C1029" s="35" t="n"/>
      <c r="D1029" s="35" t="n"/>
      <c r="E1029" s="35" t="n"/>
      <c r="F1029" s="166" t="n"/>
      <c r="G1029" s="166">
        <f>IF(AND(E1029&lt;&gt;"",F1029&lt;&gt;""),E1029*F1029,"")</f>
      </c>
    </row>
    <row r="1030" ht="16.5" customHeight="1" s="71">
      <c r="B1030" s="169" t="n"/>
      <c r="C1030" s="35" t="n"/>
      <c r="D1030" s="35" t="n"/>
      <c r="E1030" s="35" t="n"/>
      <c r="F1030" s="166" t="n"/>
      <c r="G1030" s="166">
        <f>IF(AND(E1030&lt;&gt;"",F1030&lt;&gt;""),E1030*F1030,"")</f>
      </c>
    </row>
    <row r="1031" ht="16.5" customHeight="1" s="71">
      <c r="B1031" s="169" t="n"/>
      <c r="C1031" s="35" t="n"/>
      <c r="D1031" s="35" t="n"/>
      <c r="E1031" s="35" t="n"/>
      <c r="F1031" s="166" t="n"/>
      <c r="G1031" s="166">
        <f>IF(AND(E1031&lt;&gt;"",F1031&lt;&gt;""),E1031*F1031,"")</f>
      </c>
    </row>
    <row r="1032" ht="16.5" customHeight="1" s="71">
      <c r="B1032" s="169" t="n"/>
      <c r="C1032" s="35" t="n"/>
      <c r="D1032" s="35" t="n"/>
      <c r="E1032" s="35" t="n"/>
      <c r="F1032" s="166" t="n"/>
      <c r="G1032" s="166">
        <f>IF(AND(E1032&lt;&gt;"",F1032&lt;&gt;""),E1032*F1032,"")</f>
      </c>
    </row>
    <row r="1033" ht="16.5" customHeight="1" s="71">
      <c r="B1033" s="169" t="n"/>
      <c r="C1033" s="35" t="n"/>
      <c r="D1033" s="35" t="n"/>
      <c r="E1033" s="35" t="n"/>
      <c r="F1033" s="166" t="n"/>
      <c r="G1033" s="166">
        <f>IF(AND(E1033&lt;&gt;"",F1033&lt;&gt;""),E1033*F1033,"")</f>
      </c>
    </row>
    <row r="1034" ht="16.5" customHeight="1" s="71">
      <c r="B1034" s="169" t="n"/>
      <c r="C1034" s="35" t="n"/>
      <c r="D1034" s="35" t="n"/>
      <c r="E1034" s="35" t="n"/>
      <c r="F1034" s="166" t="n"/>
      <c r="G1034" s="166">
        <f>IF(AND(E1034&lt;&gt;"",F1034&lt;&gt;""),E1034*F1034,"")</f>
      </c>
    </row>
    <row r="1035" ht="16.5" customHeight="1" s="71">
      <c r="B1035" s="169" t="n"/>
      <c r="C1035" s="35" t="n"/>
      <c r="D1035" s="35" t="n"/>
      <c r="E1035" s="35" t="n"/>
      <c r="F1035" s="166" t="n"/>
      <c r="G1035" s="166">
        <f>IF(AND(E1035&lt;&gt;"",F1035&lt;&gt;""),E1035*F1035,"")</f>
      </c>
    </row>
    <row r="1036" ht="16.5" customHeight="1" s="71">
      <c r="B1036" s="169" t="n"/>
      <c r="C1036" s="35" t="n"/>
      <c r="D1036" s="35" t="n"/>
      <c r="E1036" s="35" t="n"/>
      <c r="F1036" s="166" t="n"/>
      <c r="G1036" s="166">
        <f>IF(AND(E1036&lt;&gt;"",F1036&lt;&gt;""),E1036*F1036,"")</f>
      </c>
    </row>
    <row r="1037" ht="16.5" customHeight="1" s="71">
      <c r="B1037" s="169" t="n"/>
      <c r="C1037" s="35" t="n"/>
      <c r="D1037" s="35" t="n"/>
      <c r="E1037" s="35" t="n"/>
      <c r="F1037" s="166" t="n"/>
      <c r="G1037" s="166">
        <f>IF(AND(E1037&lt;&gt;"",F1037&lt;&gt;""),E1037*F1037,"")</f>
      </c>
    </row>
    <row r="1038" ht="16.5" customHeight="1" s="71">
      <c r="B1038" s="169" t="n"/>
      <c r="C1038" s="35" t="n"/>
      <c r="D1038" s="35" t="n"/>
      <c r="E1038" s="35" t="n"/>
      <c r="F1038" s="166" t="n"/>
      <c r="G1038" s="166">
        <f>IF(AND(E1038&lt;&gt;"",F1038&lt;&gt;""),E1038*F1038,"")</f>
      </c>
    </row>
    <row r="1039" ht="16.5" customHeight="1" s="71">
      <c r="B1039" s="169" t="n"/>
      <c r="C1039" s="35" t="n"/>
      <c r="D1039" s="35" t="n"/>
      <c r="E1039" s="35" t="n"/>
      <c r="F1039" s="166" t="n"/>
      <c r="G1039" s="166">
        <f>IF(AND(E1039&lt;&gt;"",F1039&lt;&gt;""),E1039*F1039,"")</f>
      </c>
    </row>
    <row r="1040" ht="16.5" customHeight="1" s="71">
      <c r="B1040" s="169" t="n"/>
      <c r="C1040" s="35" t="n"/>
      <c r="D1040" s="35" t="n"/>
      <c r="E1040" s="35" t="n"/>
      <c r="F1040" s="166" t="n"/>
      <c r="G1040" s="166">
        <f>IF(AND(E1040&lt;&gt;"",F1040&lt;&gt;""),E1040*F1040,"")</f>
      </c>
    </row>
    <row r="1041" ht="16.5" customHeight="1" s="71">
      <c r="B1041" s="169" t="n"/>
      <c r="C1041" s="35" t="n"/>
      <c r="D1041" s="35" t="n"/>
      <c r="E1041" s="35" t="n"/>
      <c r="F1041" s="166" t="n"/>
      <c r="G1041" s="166">
        <f>IF(AND(E1041&lt;&gt;"",F1041&lt;&gt;""),E1041*F1041,"")</f>
      </c>
    </row>
    <row r="1042" ht="16.5" customHeight="1" s="71">
      <c r="B1042" s="169" t="n"/>
      <c r="C1042" s="35" t="n"/>
      <c r="D1042" s="35" t="n"/>
      <c r="E1042" s="35" t="n"/>
      <c r="F1042" s="166" t="n"/>
      <c r="G1042" s="166">
        <f>IF(AND(E1042&lt;&gt;"",F1042&lt;&gt;""),E1042*F1042,"")</f>
      </c>
    </row>
    <row r="1043" ht="16.5" customHeight="1" s="71">
      <c r="B1043" s="169" t="n"/>
      <c r="C1043" s="35" t="n"/>
      <c r="D1043" s="35" t="n"/>
      <c r="E1043" s="35" t="n"/>
      <c r="F1043" s="166" t="n"/>
      <c r="G1043" s="166">
        <f>IF(AND(E1043&lt;&gt;"",F1043&lt;&gt;""),E1043*F1043,"")</f>
      </c>
    </row>
    <row r="1044" ht="16.5" customHeight="1" s="71">
      <c r="B1044" s="169" t="n"/>
      <c r="C1044" s="35" t="n"/>
      <c r="D1044" s="35" t="n"/>
      <c r="E1044" s="35" t="n"/>
      <c r="F1044" s="166" t="n"/>
      <c r="G1044" s="166">
        <f>IF(AND(E1044&lt;&gt;"",F1044&lt;&gt;""),E1044*F1044,"")</f>
      </c>
    </row>
    <row r="1045" ht="16.5" customHeight="1" s="71">
      <c r="B1045" s="169" t="n"/>
      <c r="C1045" s="35" t="n"/>
      <c r="D1045" s="35" t="n"/>
      <c r="E1045" s="35" t="n"/>
      <c r="F1045" s="166" t="n"/>
      <c r="G1045" s="166">
        <f>IF(AND(E1045&lt;&gt;"",F1045&lt;&gt;""),E1045*F1045,"")</f>
      </c>
    </row>
    <row r="1046" ht="16.5" customHeight="1" s="71">
      <c r="B1046" s="169" t="n"/>
      <c r="C1046" s="35" t="n"/>
      <c r="D1046" s="35" t="n"/>
      <c r="E1046" s="35" t="n"/>
      <c r="F1046" s="166" t="n"/>
      <c r="G1046" s="166">
        <f>IF(AND(E1046&lt;&gt;"",F1046&lt;&gt;""),E1046*F1046,"")</f>
      </c>
    </row>
    <row r="1047" ht="16.5" customHeight="1" s="71">
      <c r="B1047" s="169" t="n"/>
      <c r="C1047" s="35" t="n"/>
      <c r="D1047" s="35" t="n"/>
      <c r="E1047" s="35" t="n"/>
      <c r="F1047" s="166" t="n"/>
      <c r="G1047" s="166">
        <f>IF(AND(E1047&lt;&gt;"",F1047&lt;&gt;""),E1047*F1047,"")</f>
      </c>
    </row>
    <row r="1048" ht="16.5" customHeight="1" s="71">
      <c r="B1048" s="169" t="n"/>
      <c r="C1048" s="35" t="n"/>
      <c r="D1048" s="35" t="n"/>
      <c r="E1048" s="35" t="n"/>
      <c r="F1048" s="166" t="n"/>
      <c r="G1048" s="166">
        <f>IF(AND(E1048&lt;&gt;"",F1048&lt;&gt;""),E1048*F1048,"")</f>
      </c>
    </row>
    <row r="1049" ht="16.5" customHeight="1" s="71">
      <c r="B1049" s="169" t="n"/>
      <c r="C1049" s="35" t="n"/>
      <c r="D1049" s="35" t="n"/>
      <c r="E1049" s="35" t="n"/>
      <c r="F1049" s="166" t="n"/>
      <c r="G1049" s="166">
        <f>IF(AND(E1049&lt;&gt;"",F1049&lt;&gt;""),E1049*F1049,"")</f>
      </c>
    </row>
    <row r="1050" ht="16.5" customHeight="1" s="71">
      <c r="B1050" s="169" t="n"/>
      <c r="C1050" s="35" t="n"/>
      <c r="D1050" s="35" t="n"/>
      <c r="E1050" s="35" t="n"/>
      <c r="F1050" s="166" t="n"/>
      <c r="G1050" s="166">
        <f>IF(AND(E1050&lt;&gt;"",F1050&lt;&gt;""),E1050*F1050,"")</f>
      </c>
    </row>
    <row r="1051" ht="16.5" customHeight="1" s="71">
      <c r="B1051" s="169" t="n"/>
      <c r="C1051" s="35" t="n"/>
      <c r="D1051" s="35" t="n"/>
      <c r="E1051" s="35" t="n"/>
      <c r="F1051" s="166" t="n"/>
      <c r="G1051" s="166">
        <f>IF(AND(E1051&lt;&gt;"",F1051&lt;&gt;""),E1051*F1051,"")</f>
      </c>
    </row>
    <row r="1052" ht="16.5" customHeight="1" s="71">
      <c r="B1052" s="169" t="n"/>
      <c r="C1052" s="35" t="n"/>
      <c r="D1052" s="35" t="n"/>
      <c r="E1052" s="35" t="n"/>
      <c r="F1052" s="166" t="n"/>
      <c r="G1052" s="166">
        <f>IF(AND(E1052&lt;&gt;"",F1052&lt;&gt;""),E1052*F1052,"")</f>
      </c>
    </row>
    <row r="1053" ht="16.5" customHeight="1" s="71">
      <c r="B1053" s="169" t="n"/>
      <c r="C1053" s="35" t="n"/>
      <c r="D1053" s="35" t="n"/>
      <c r="E1053" s="35" t="n"/>
      <c r="F1053" s="166" t="n"/>
      <c r="G1053" s="166">
        <f>IF(AND(E1053&lt;&gt;"",F1053&lt;&gt;""),E1053*F1053,"")</f>
      </c>
    </row>
    <row r="1054" ht="16.5" customHeight="1" s="71">
      <c r="B1054" s="169" t="n"/>
      <c r="C1054" s="35" t="n"/>
      <c r="D1054" s="35" t="n"/>
      <c r="E1054" s="35" t="n"/>
      <c r="F1054" s="166" t="n"/>
      <c r="G1054" s="166">
        <f>IF(AND(E1054&lt;&gt;"",F1054&lt;&gt;""),E1054*F1054,"")</f>
      </c>
    </row>
    <row r="1055" ht="16.5" customHeight="1" s="71">
      <c r="B1055" s="169" t="n"/>
      <c r="C1055" s="35" t="n"/>
      <c r="D1055" s="35" t="n"/>
      <c r="E1055" s="35" t="n"/>
      <c r="F1055" s="166" t="n"/>
      <c r="G1055" s="166">
        <f>IF(AND(E1055&lt;&gt;"",F1055&lt;&gt;""),E1055*F1055,"")</f>
      </c>
    </row>
    <row r="1056" ht="16.5" customHeight="1" s="71">
      <c r="B1056" s="169" t="n"/>
      <c r="C1056" s="35" t="n"/>
      <c r="D1056" s="35" t="n"/>
      <c r="E1056" s="35" t="n"/>
      <c r="F1056" s="166" t="n"/>
      <c r="G1056" s="166">
        <f>IF(AND(E1056&lt;&gt;"",F1056&lt;&gt;""),E1056*F1056,"")</f>
      </c>
    </row>
    <row r="1057" ht="16.5" customHeight="1" s="71">
      <c r="B1057" s="169" t="n"/>
      <c r="C1057" s="35" t="n"/>
      <c r="D1057" s="35" t="n"/>
      <c r="E1057" s="35" t="n"/>
      <c r="F1057" s="166" t="n"/>
      <c r="G1057" s="166">
        <f>IF(AND(E1057&lt;&gt;"",F1057&lt;&gt;""),E1057*F1057,"")</f>
      </c>
    </row>
    <row r="1058" ht="16.5" customHeight="1" s="71">
      <c r="B1058" s="169" t="n"/>
      <c r="C1058" s="35" t="n"/>
      <c r="D1058" s="35" t="n"/>
      <c r="E1058" s="35" t="n"/>
      <c r="F1058" s="166" t="n"/>
      <c r="G1058" s="166">
        <f>IF(AND(E1058&lt;&gt;"",F1058&lt;&gt;""),E1058*F1058,"")</f>
      </c>
    </row>
    <row r="1059" ht="16.5" customHeight="1" s="71">
      <c r="B1059" s="169" t="n"/>
      <c r="C1059" s="35" t="n"/>
      <c r="D1059" s="35" t="n"/>
      <c r="E1059" s="35" t="n"/>
      <c r="F1059" s="166" t="n"/>
      <c r="G1059" s="166">
        <f>IF(AND(E1059&lt;&gt;"",F1059&lt;&gt;""),E1059*F1059,"")</f>
      </c>
    </row>
    <row r="1060" ht="16.5" customHeight="1" s="71">
      <c r="B1060" s="169" t="n"/>
      <c r="C1060" s="35" t="n"/>
      <c r="D1060" s="35" t="n"/>
      <c r="E1060" s="35" t="n"/>
      <c r="F1060" s="166" t="n"/>
      <c r="G1060" s="166">
        <f>IF(AND(E1060&lt;&gt;"",F1060&lt;&gt;""),E1060*F1060,"")</f>
      </c>
    </row>
    <row r="1061" ht="16.5" customHeight="1" s="71">
      <c r="B1061" s="169" t="n"/>
      <c r="C1061" s="35" t="n"/>
      <c r="D1061" s="35" t="n"/>
      <c r="E1061" s="35" t="n"/>
      <c r="F1061" s="166" t="n"/>
      <c r="G1061" s="166">
        <f>IF(AND(E1061&lt;&gt;"",F1061&lt;&gt;""),E1061*F1061,"")</f>
      </c>
    </row>
    <row r="1062" ht="16.5" customHeight="1" s="71">
      <c r="B1062" s="169" t="n"/>
      <c r="C1062" s="35" t="n"/>
      <c r="D1062" s="35" t="n"/>
      <c r="E1062" s="35" t="n"/>
      <c r="F1062" s="166" t="n"/>
      <c r="G1062" s="166">
        <f>IF(AND(E1062&lt;&gt;"",F1062&lt;&gt;""),E1062*F1062,"")</f>
      </c>
    </row>
    <row r="1063" ht="16.5" customHeight="1" s="71">
      <c r="B1063" s="169" t="n"/>
      <c r="C1063" s="35" t="n"/>
      <c r="D1063" s="35" t="n"/>
      <c r="E1063" s="35" t="n"/>
      <c r="F1063" s="166" t="n"/>
      <c r="G1063" s="166">
        <f>IF(AND(E1063&lt;&gt;"",F1063&lt;&gt;""),E1063*F1063,"")</f>
      </c>
    </row>
    <row r="1064" ht="16.5" customHeight="1" s="71">
      <c r="B1064" s="169" t="n"/>
      <c r="C1064" s="35" t="n"/>
      <c r="D1064" s="35" t="n"/>
      <c r="E1064" s="35" t="n"/>
      <c r="F1064" s="166" t="n"/>
      <c r="G1064" s="166">
        <f>IF(AND(E1064&lt;&gt;"",F1064&lt;&gt;""),E1064*F1064,"")</f>
      </c>
    </row>
    <row r="1065" ht="16.5" customHeight="1" s="71">
      <c r="B1065" s="169" t="n"/>
      <c r="C1065" s="35" t="n"/>
      <c r="D1065" s="35" t="n"/>
      <c r="E1065" s="35" t="n"/>
      <c r="F1065" s="166" t="n"/>
      <c r="G1065" s="166">
        <f>IF(AND(E1065&lt;&gt;"",F1065&lt;&gt;""),E1065*F1065,"")</f>
      </c>
    </row>
    <row r="1066" ht="16.5" customHeight="1" s="71">
      <c r="B1066" s="169" t="n"/>
      <c r="C1066" s="35" t="n"/>
      <c r="D1066" s="35" t="n"/>
      <c r="E1066" s="35" t="n"/>
      <c r="F1066" s="166" t="n"/>
      <c r="G1066" s="166">
        <f>IF(AND(E1066&lt;&gt;"",F1066&lt;&gt;""),E1066*F1066,"")</f>
      </c>
    </row>
    <row r="1067" ht="16.5" customHeight="1" s="71">
      <c r="B1067" s="169" t="n"/>
      <c r="C1067" s="35" t="n"/>
      <c r="D1067" s="35" t="n"/>
      <c r="E1067" s="35" t="n"/>
      <c r="F1067" s="166" t="n"/>
      <c r="G1067" s="166">
        <f>IF(AND(E1067&lt;&gt;"",F1067&lt;&gt;""),E1067*F1067,"")</f>
      </c>
    </row>
    <row r="1068" ht="16.5" customHeight="1" s="71">
      <c r="B1068" s="169" t="n"/>
      <c r="C1068" s="35" t="n"/>
      <c r="D1068" s="35" t="n"/>
      <c r="E1068" s="35" t="n"/>
      <c r="F1068" s="166" t="n"/>
      <c r="G1068" s="166">
        <f>IF(AND(E1068&lt;&gt;"",F1068&lt;&gt;""),E1068*F1068,"")</f>
      </c>
    </row>
    <row r="1069" ht="16.5" customHeight="1" s="71">
      <c r="B1069" s="169" t="n"/>
      <c r="C1069" s="35" t="n"/>
      <c r="D1069" s="35" t="n"/>
      <c r="E1069" s="35" t="n"/>
      <c r="F1069" s="166" t="n"/>
      <c r="G1069" s="166">
        <f>IF(AND(E1069&lt;&gt;"",F1069&lt;&gt;""),E1069*F1069,"")</f>
      </c>
    </row>
    <row r="1070" ht="16.5" customHeight="1" s="71">
      <c r="B1070" s="169" t="n"/>
      <c r="C1070" s="35" t="n"/>
      <c r="D1070" s="35" t="n"/>
      <c r="E1070" s="35" t="n"/>
      <c r="F1070" s="166" t="n"/>
      <c r="G1070" s="166">
        <f>IF(AND(E1070&lt;&gt;"",F1070&lt;&gt;""),E1070*F1070,"")</f>
      </c>
    </row>
    <row r="1071" ht="16.5" customHeight="1" s="71">
      <c r="B1071" s="169" t="n"/>
      <c r="C1071" s="35" t="n"/>
      <c r="D1071" s="35" t="n"/>
      <c r="E1071" s="35" t="n"/>
      <c r="F1071" s="166" t="n"/>
      <c r="G1071" s="166">
        <f>IF(AND(E1071&lt;&gt;"",F1071&lt;&gt;""),E1071*F1071,"")</f>
      </c>
    </row>
    <row r="1072" ht="16.5" customHeight="1" s="71">
      <c r="B1072" s="169" t="n"/>
      <c r="C1072" s="35" t="n"/>
      <c r="D1072" s="35" t="n"/>
      <c r="E1072" s="35" t="n"/>
      <c r="F1072" s="166" t="n"/>
      <c r="G1072" s="166">
        <f>IF(AND(E1072&lt;&gt;"",F1072&lt;&gt;""),E1072*F1072,"")</f>
      </c>
    </row>
    <row r="1073" ht="16.5" customHeight="1" s="71">
      <c r="B1073" s="169" t="n"/>
      <c r="C1073" s="35" t="n"/>
      <c r="D1073" s="35" t="n"/>
      <c r="E1073" s="35" t="n"/>
      <c r="F1073" s="166" t="n"/>
      <c r="G1073" s="166">
        <f>IF(AND(E1073&lt;&gt;"",F1073&lt;&gt;""),E1073*F1073,"")</f>
      </c>
    </row>
    <row r="1074" ht="16.5" customHeight="1" s="71">
      <c r="B1074" s="169" t="n"/>
      <c r="C1074" s="35" t="n"/>
      <c r="D1074" s="35" t="n"/>
      <c r="E1074" s="35" t="n"/>
      <c r="F1074" s="166" t="n"/>
      <c r="G1074" s="166">
        <f>IF(AND(E1074&lt;&gt;"",F1074&lt;&gt;""),E1074*F1074,"")</f>
      </c>
    </row>
    <row r="1075" ht="16.5" customHeight="1" s="71">
      <c r="B1075" s="169" t="n"/>
      <c r="C1075" s="35" t="n"/>
      <c r="D1075" s="35" t="n"/>
      <c r="E1075" s="35" t="n"/>
      <c r="F1075" s="166" t="n"/>
      <c r="G1075" s="166">
        <f>IF(AND(E1075&lt;&gt;"",F1075&lt;&gt;""),E1075*F1075,"")</f>
      </c>
    </row>
    <row r="1076" ht="16.5" customHeight="1" s="71">
      <c r="B1076" s="169" t="n"/>
      <c r="C1076" s="35" t="n"/>
      <c r="D1076" s="35" t="n"/>
      <c r="E1076" s="35" t="n"/>
      <c r="F1076" s="166" t="n"/>
      <c r="G1076" s="166">
        <f>IF(AND(E1076&lt;&gt;"",F1076&lt;&gt;""),E1076*F1076,"")</f>
      </c>
    </row>
    <row r="1077" ht="16.5" customHeight="1" s="71">
      <c r="B1077" s="169" t="n"/>
      <c r="C1077" s="35" t="n"/>
      <c r="D1077" s="35" t="n"/>
      <c r="E1077" s="35" t="n"/>
      <c r="F1077" s="166" t="n"/>
      <c r="G1077" s="166">
        <f>IF(AND(E1077&lt;&gt;"",F1077&lt;&gt;""),E1077*F1077,"")</f>
      </c>
    </row>
    <row r="1078" ht="16.5" customHeight="1" s="71">
      <c r="B1078" s="169" t="n"/>
      <c r="C1078" s="35" t="n"/>
      <c r="D1078" s="35" t="n"/>
      <c r="E1078" s="35" t="n"/>
      <c r="F1078" s="166" t="n"/>
      <c r="G1078" s="166">
        <f>IF(AND(E1078&lt;&gt;"",F1078&lt;&gt;""),E1078*F1078,"")</f>
      </c>
    </row>
    <row r="1079" ht="16.5" customHeight="1" s="71">
      <c r="B1079" s="169" t="n"/>
      <c r="C1079" s="35" t="n"/>
      <c r="D1079" s="35" t="n"/>
      <c r="E1079" s="35" t="n"/>
      <c r="F1079" s="166" t="n"/>
      <c r="G1079" s="166">
        <f>IF(AND(E1079&lt;&gt;"",F1079&lt;&gt;""),E1079*F1079,"")</f>
      </c>
    </row>
    <row r="1080" ht="16.5" customHeight="1" s="71">
      <c r="B1080" s="169" t="n"/>
      <c r="C1080" s="35" t="n"/>
      <c r="D1080" s="35" t="n"/>
      <c r="E1080" s="35" t="n"/>
      <c r="F1080" s="166" t="n"/>
      <c r="G1080" s="166">
        <f>IF(AND(E1080&lt;&gt;"",F1080&lt;&gt;""),E1080*F1080,"")</f>
      </c>
    </row>
    <row r="1081" ht="16.5" customHeight="1" s="71">
      <c r="B1081" s="169" t="n"/>
      <c r="C1081" s="35" t="n"/>
      <c r="D1081" s="35" t="n"/>
      <c r="E1081" s="35" t="n"/>
      <c r="F1081" s="166" t="n"/>
      <c r="G1081" s="166">
        <f>IF(AND(E1081&lt;&gt;"",F1081&lt;&gt;""),E1081*F1081,"")</f>
      </c>
    </row>
    <row r="1082" ht="16.5" customHeight="1" s="71">
      <c r="B1082" s="169" t="n"/>
      <c r="C1082" s="35" t="n"/>
      <c r="D1082" s="35" t="n"/>
      <c r="E1082" s="35" t="n"/>
      <c r="F1082" s="166" t="n"/>
      <c r="G1082" s="166">
        <f>IF(AND(E1082&lt;&gt;"",F1082&lt;&gt;""),E1082*F1082,"")</f>
      </c>
    </row>
    <row r="1083" ht="16.5" customHeight="1" s="71">
      <c r="B1083" s="169" t="n"/>
      <c r="C1083" s="35" t="n"/>
      <c r="D1083" s="35" t="n"/>
      <c r="E1083" s="35" t="n"/>
      <c r="F1083" s="166" t="n"/>
      <c r="G1083" s="166">
        <f>IF(AND(E1083&lt;&gt;"",F1083&lt;&gt;""),E1083*F1083,"")</f>
      </c>
    </row>
    <row r="1084" ht="16.5" customHeight="1" s="71">
      <c r="B1084" s="169" t="n"/>
      <c r="C1084" s="35" t="n"/>
      <c r="D1084" s="35" t="n"/>
      <c r="E1084" s="35" t="n"/>
      <c r="F1084" s="166" t="n"/>
      <c r="G1084" s="166">
        <f>IF(AND(E1084&lt;&gt;"",F1084&lt;&gt;""),E1084*F1084,"")</f>
      </c>
    </row>
    <row r="1085" ht="16.5" customHeight="1" s="71">
      <c r="B1085" s="169" t="n"/>
      <c r="C1085" s="35" t="n"/>
      <c r="D1085" s="35" t="n"/>
      <c r="E1085" s="35" t="n"/>
      <c r="F1085" s="166" t="n"/>
      <c r="G1085" s="166">
        <f>IF(AND(E1085&lt;&gt;"",F1085&lt;&gt;""),E1085*F1085,"")</f>
      </c>
    </row>
    <row r="1086" ht="16.5" customHeight="1" s="71">
      <c r="B1086" s="169" t="n"/>
      <c r="C1086" s="35" t="n"/>
      <c r="D1086" s="35" t="n"/>
      <c r="E1086" s="35" t="n"/>
      <c r="F1086" s="166" t="n"/>
      <c r="G1086" s="166">
        <f>IF(AND(E1086&lt;&gt;"",F1086&lt;&gt;""),E1086*F1086,"")</f>
      </c>
    </row>
    <row r="1087" ht="16.5" customHeight="1" s="71">
      <c r="B1087" s="169" t="n"/>
      <c r="C1087" s="35" t="n"/>
      <c r="D1087" s="35" t="n"/>
      <c r="E1087" s="35" t="n"/>
      <c r="F1087" s="166" t="n"/>
      <c r="G1087" s="166">
        <f>IF(AND(E1087&lt;&gt;"",F1087&lt;&gt;""),E1087*F1087,"")</f>
      </c>
    </row>
    <row r="1088" ht="16.5" customHeight="1" s="71">
      <c r="B1088" s="169" t="n"/>
      <c r="C1088" s="35" t="n"/>
      <c r="D1088" s="35" t="n"/>
      <c r="E1088" s="35" t="n"/>
      <c r="F1088" s="166" t="n"/>
      <c r="G1088" s="166">
        <f>IF(AND(E1088&lt;&gt;"",F1088&lt;&gt;""),E1088*F1088,"")</f>
      </c>
    </row>
    <row r="1089" ht="16.5" customHeight="1" s="71">
      <c r="B1089" s="169" t="n"/>
      <c r="C1089" s="35" t="n"/>
      <c r="D1089" s="35" t="n"/>
      <c r="E1089" s="35" t="n"/>
      <c r="F1089" s="166" t="n"/>
      <c r="G1089" s="166">
        <f>IF(AND(E1089&lt;&gt;"",F1089&lt;&gt;""),E1089*F1089,"")</f>
      </c>
    </row>
    <row r="1090" ht="16.5" customHeight="1" s="71">
      <c r="B1090" s="169" t="n"/>
      <c r="C1090" s="35" t="n"/>
      <c r="D1090" s="35" t="n"/>
      <c r="E1090" s="35" t="n"/>
      <c r="F1090" s="166" t="n"/>
      <c r="G1090" s="166">
        <f>IF(AND(E1090&lt;&gt;"",F1090&lt;&gt;""),E1090*F1090,"")</f>
      </c>
    </row>
    <row r="1091" ht="16.5" customHeight="1" s="71">
      <c r="B1091" s="169" t="n"/>
      <c r="C1091" s="35" t="n"/>
      <c r="D1091" s="35" t="n"/>
      <c r="E1091" s="35" t="n"/>
      <c r="F1091" s="166" t="n"/>
      <c r="G1091" s="166">
        <f>IF(AND(E1091&lt;&gt;"",F1091&lt;&gt;""),E1091*F1091,"")</f>
      </c>
    </row>
    <row r="1092" ht="16.5" customHeight="1" s="71">
      <c r="B1092" s="169" t="n"/>
      <c r="C1092" s="35" t="n"/>
      <c r="D1092" s="35" t="n"/>
      <c r="E1092" s="35" t="n"/>
      <c r="F1092" s="166" t="n"/>
      <c r="G1092" s="166">
        <f>IF(AND(E1092&lt;&gt;"",F1092&lt;&gt;""),E1092*F1092,"")</f>
      </c>
    </row>
    <row r="1093" ht="16.5" customHeight="1" s="71">
      <c r="B1093" s="169" t="n"/>
      <c r="C1093" s="35" t="n"/>
      <c r="D1093" s="35" t="n"/>
      <c r="E1093" s="35" t="n"/>
      <c r="F1093" s="166" t="n"/>
      <c r="G1093" s="166">
        <f>IF(AND(E1093&lt;&gt;"",F1093&lt;&gt;""),E1093*F1093,"")</f>
      </c>
    </row>
    <row r="1094" ht="16.5" customHeight="1" s="71">
      <c r="B1094" s="169" t="n"/>
      <c r="C1094" s="35" t="n"/>
      <c r="D1094" s="35" t="n"/>
      <c r="E1094" s="35" t="n"/>
      <c r="F1094" s="166" t="n"/>
      <c r="G1094" s="166">
        <f>IF(AND(E1094&lt;&gt;"",F1094&lt;&gt;""),E1094*F1094,"")</f>
      </c>
    </row>
    <row r="1095" ht="16.5" customHeight="1" s="71">
      <c r="B1095" s="169" t="n"/>
      <c r="C1095" s="35" t="n"/>
      <c r="D1095" s="35" t="n"/>
      <c r="E1095" s="35" t="n"/>
      <c r="F1095" s="166" t="n"/>
      <c r="G1095" s="166">
        <f>IF(AND(E1095&lt;&gt;"",F1095&lt;&gt;""),E1095*F1095,"")</f>
      </c>
    </row>
    <row r="1096" ht="16.5" customHeight="1" s="71">
      <c r="B1096" s="169" t="n"/>
      <c r="C1096" s="35" t="n"/>
      <c r="D1096" s="35" t="n"/>
      <c r="E1096" s="35" t="n"/>
      <c r="F1096" s="166" t="n"/>
      <c r="G1096" s="166">
        <f>IF(AND(E1096&lt;&gt;"",F1096&lt;&gt;""),E1096*F1096,"")</f>
      </c>
    </row>
    <row r="1097" ht="16.5" customHeight="1" s="71">
      <c r="B1097" s="169" t="n"/>
      <c r="C1097" s="35" t="n"/>
      <c r="D1097" s="35" t="n"/>
      <c r="E1097" s="35" t="n"/>
      <c r="F1097" s="166" t="n"/>
      <c r="G1097" s="166">
        <f>IF(AND(E1097&lt;&gt;"",F1097&lt;&gt;""),E1097*F1097,"")</f>
      </c>
    </row>
    <row r="1098" ht="16.5" customHeight="1" s="71">
      <c r="B1098" s="169" t="n"/>
      <c r="C1098" s="35" t="n"/>
      <c r="D1098" s="35" t="n"/>
      <c r="E1098" s="35" t="n"/>
      <c r="F1098" s="166" t="n"/>
      <c r="G1098" s="166">
        <f>IF(AND(E1098&lt;&gt;"",F1098&lt;&gt;""),E1098*F1098,"")</f>
      </c>
    </row>
    <row r="1099" ht="16.5" customHeight="1" s="71">
      <c r="B1099" s="169" t="n"/>
      <c r="C1099" s="35" t="n"/>
      <c r="D1099" s="35" t="n"/>
      <c r="E1099" s="35" t="n"/>
      <c r="F1099" s="166" t="n"/>
      <c r="G1099" s="166">
        <f>IF(AND(E1099&lt;&gt;"",F1099&lt;&gt;""),E1099*F1099,"")</f>
      </c>
    </row>
    <row r="1100" ht="16.5" customHeight="1" s="71">
      <c r="B1100" s="169" t="n"/>
      <c r="C1100" s="35" t="n"/>
      <c r="D1100" s="35" t="n"/>
      <c r="E1100" s="35" t="n"/>
      <c r="F1100" s="166" t="n"/>
      <c r="G1100" s="166">
        <f>IF(AND(E1100&lt;&gt;"",F1100&lt;&gt;""),E1100*F1100,"")</f>
      </c>
    </row>
    <row r="1101" ht="16.5" customHeight="1" s="71">
      <c r="B1101" s="169" t="n"/>
      <c r="C1101" s="35" t="n"/>
      <c r="D1101" s="35" t="n"/>
      <c r="E1101" s="35" t="n"/>
      <c r="F1101" s="166" t="n"/>
      <c r="G1101" s="166">
        <f>IF(AND(E1101&lt;&gt;"",F1101&lt;&gt;""),E1101*F1101,"")</f>
      </c>
    </row>
    <row r="1102" ht="16.5" customHeight="1" s="71">
      <c r="B1102" s="169" t="n"/>
      <c r="C1102" s="35" t="n"/>
      <c r="D1102" s="35" t="n"/>
      <c r="E1102" s="35" t="n"/>
      <c r="F1102" s="166" t="n"/>
      <c r="G1102" s="166">
        <f>IF(AND(E1102&lt;&gt;"",F1102&lt;&gt;""),E1102*F1102,"")</f>
      </c>
    </row>
    <row r="1103" ht="16.5" customHeight="1" s="71">
      <c r="B1103" s="169" t="n"/>
      <c r="C1103" s="35" t="n"/>
      <c r="D1103" s="35" t="n"/>
      <c r="E1103" s="35" t="n"/>
      <c r="F1103" s="166" t="n"/>
      <c r="G1103" s="166">
        <f>IF(AND(E1103&lt;&gt;"",F1103&lt;&gt;""),E1103*F1103,"")</f>
      </c>
    </row>
    <row r="1104" ht="16.5" customHeight="1" s="71">
      <c r="B1104" s="169" t="n"/>
      <c r="C1104" s="35" t="n"/>
      <c r="D1104" s="35" t="n"/>
      <c r="E1104" s="35" t="n"/>
      <c r="F1104" s="166" t="n"/>
      <c r="G1104" s="166">
        <f>IF(AND(E1104&lt;&gt;"",F1104&lt;&gt;""),E1104*F1104,"")</f>
      </c>
    </row>
    <row r="1105" ht="16.5" customHeight="1" s="71">
      <c r="B1105" s="169" t="n"/>
      <c r="C1105" s="35" t="n"/>
      <c r="D1105" s="35" t="n"/>
      <c r="E1105" s="35" t="n"/>
      <c r="F1105" s="166" t="n"/>
      <c r="G1105" s="166">
        <f>IF(AND(E1105&lt;&gt;"",F1105&lt;&gt;""),E1105*F1105,"")</f>
      </c>
    </row>
    <row r="1106" ht="16.5" customHeight="1" s="71">
      <c r="B1106" s="169" t="n"/>
      <c r="C1106" s="35" t="n"/>
      <c r="D1106" s="35" t="n"/>
      <c r="E1106" s="35" t="n"/>
      <c r="F1106" s="166" t="n"/>
      <c r="G1106" s="166">
        <f>IF(AND(E1106&lt;&gt;"",F1106&lt;&gt;""),E1106*F1106,"")</f>
      </c>
    </row>
    <row r="1107" ht="16.5" customHeight="1" s="71">
      <c r="B1107" s="169" t="n"/>
      <c r="C1107" s="35" t="n"/>
      <c r="D1107" s="35" t="n"/>
      <c r="E1107" s="35" t="n"/>
      <c r="F1107" s="166" t="n"/>
      <c r="G1107" s="166">
        <f>IF(AND(E1107&lt;&gt;"",F1107&lt;&gt;""),E1107*F1107,"")</f>
      </c>
    </row>
    <row r="1108" ht="16.5" customHeight="1" s="71">
      <c r="B1108" s="169" t="n"/>
      <c r="C1108" s="35" t="n"/>
      <c r="D1108" s="35" t="n"/>
      <c r="E1108" s="35" t="n"/>
      <c r="F1108" s="166" t="n"/>
      <c r="G1108" s="166">
        <f>IF(AND(E1108&lt;&gt;"",F1108&lt;&gt;""),E1108*F1108,"")</f>
      </c>
    </row>
    <row r="1109" ht="16.5" customHeight="1" s="71">
      <c r="B1109" s="169" t="n"/>
      <c r="C1109" s="35" t="n"/>
      <c r="D1109" s="35" t="n"/>
      <c r="E1109" s="35" t="n"/>
      <c r="F1109" s="166" t="n"/>
      <c r="G1109" s="166">
        <f>IF(AND(E1109&lt;&gt;"",F1109&lt;&gt;""),E1109*F1109,"")</f>
      </c>
    </row>
    <row r="1110" ht="16.5" customHeight="1" s="71">
      <c r="B1110" s="169" t="n"/>
      <c r="C1110" s="35" t="n"/>
      <c r="D1110" s="35" t="n"/>
      <c r="E1110" s="35" t="n"/>
      <c r="F1110" s="166" t="n"/>
      <c r="G1110" s="166">
        <f>IF(AND(E1110&lt;&gt;"",F1110&lt;&gt;""),E1110*F1110,"")</f>
      </c>
    </row>
    <row r="1111" ht="16.5" customHeight="1" s="71">
      <c r="B1111" s="169" t="n"/>
      <c r="C1111" s="35" t="n"/>
      <c r="D1111" s="35" t="n"/>
      <c r="E1111" s="35" t="n"/>
      <c r="F1111" s="166" t="n"/>
      <c r="G1111" s="166">
        <f>IF(AND(E1111&lt;&gt;"",F1111&lt;&gt;""),E1111*F1111,"")</f>
      </c>
    </row>
    <row r="1112" ht="16.5" customHeight="1" s="71">
      <c r="B1112" s="169" t="n"/>
      <c r="C1112" s="35" t="n"/>
      <c r="D1112" s="35" t="n"/>
      <c r="E1112" s="35" t="n"/>
      <c r="F1112" s="166" t="n"/>
      <c r="G1112" s="166">
        <f>IF(AND(E1112&lt;&gt;"",F1112&lt;&gt;""),E1112*F1112,"")</f>
      </c>
    </row>
    <row r="1113" ht="16.5" customHeight="1" s="71">
      <c r="B1113" s="169" t="n"/>
      <c r="C1113" s="35" t="n"/>
      <c r="D1113" s="35" t="n"/>
      <c r="E1113" s="35" t="n"/>
      <c r="F1113" s="166" t="n"/>
      <c r="G1113" s="166">
        <f>IF(AND(E1113&lt;&gt;"",F1113&lt;&gt;""),E1113*F1113,"")</f>
      </c>
    </row>
    <row r="1114" ht="16.5" customHeight="1" s="71">
      <c r="B1114" s="169" t="n"/>
      <c r="C1114" s="35" t="n"/>
      <c r="D1114" s="35" t="n"/>
      <c r="E1114" s="35" t="n"/>
      <c r="F1114" s="166" t="n"/>
      <c r="G1114" s="166">
        <f>IF(AND(E1114&lt;&gt;"",F1114&lt;&gt;""),E1114*F1114,"")</f>
      </c>
    </row>
    <row r="1115" ht="16.5" customHeight="1" s="71">
      <c r="B1115" s="169" t="n"/>
      <c r="C1115" s="35" t="n"/>
      <c r="D1115" s="35" t="n"/>
      <c r="E1115" s="35" t="n"/>
      <c r="F1115" s="166" t="n"/>
      <c r="G1115" s="166">
        <f>IF(AND(E1115&lt;&gt;"",F1115&lt;&gt;""),E1115*F1115,"")</f>
      </c>
    </row>
    <row r="1116" ht="16.5" customHeight="1" s="71">
      <c r="B1116" s="169" t="n"/>
      <c r="C1116" s="35" t="n"/>
      <c r="D1116" s="35" t="n"/>
      <c r="E1116" s="35" t="n"/>
      <c r="F1116" s="166" t="n"/>
      <c r="G1116" s="166">
        <f>IF(AND(E1116&lt;&gt;"",F1116&lt;&gt;""),E1116*F1116,"")</f>
      </c>
    </row>
    <row r="1117" ht="16.5" customHeight="1" s="71">
      <c r="B1117" s="169" t="n"/>
      <c r="C1117" s="35" t="n"/>
      <c r="D1117" s="35" t="n"/>
      <c r="E1117" s="35" t="n"/>
      <c r="F1117" s="166" t="n"/>
      <c r="G1117" s="166">
        <f>IF(AND(E1117&lt;&gt;"",F1117&lt;&gt;""),E1117*F1117,"")</f>
      </c>
    </row>
    <row r="1118" ht="16.5" customHeight="1" s="71">
      <c r="B1118" s="169" t="n"/>
      <c r="C1118" s="35" t="n"/>
      <c r="D1118" s="35" t="n"/>
      <c r="E1118" s="35" t="n"/>
      <c r="F1118" s="166" t="n"/>
      <c r="G1118" s="166">
        <f>IF(AND(E1118&lt;&gt;"",F1118&lt;&gt;""),E1118*F1118,"")</f>
      </c>
    </row>
    <row r="1119" ht="16.5" customHeight="1" s="71">
      <c r="B1119" s="169" t="n"/>
      <c r="C1119" s="35" t="n"/>
      <c r="D1119" s="35" t="n"/>
      <c r="E1119" s="35" t="n"/>
      <c r="F1119" s="166" t="n"/>
      <c r="G1119" s="166">
        <f>IF(AND(E1119&lt;&gt;"",F1119&lt;&gt;""),E1119*F1119,"")</f>
      </c>
    </row>
    <row r="1120" ht="16.5" customHeight="1" s="71">
      <c r="B1120" s="169" t="n"/>
      <c r="C1120" s="35" t="n"/>
      <c r="D1120" s="35" t="n"/>
      <c r="E1120" s="35" t="n"/>
      <c r="F1120" s="166" t="n"/>
      <c r="G1120" s="166">
        <f>IF(AND(E1120&lt;&gt;"",F1120&lt;&gt;""),E1120*F1120,"")</f>
      </c>
    </row>
    <row r="1121" ht="16.5" customHeight="1" s="71">
      <c r="B1121" s="169" t="n"/>
      <c r="C1121" s="35" t="n"/>
      <c r="D1121" s="35" t="n"/>
      <c r="E1121" s="35" t="n"/>
      <c r="F1121" s="166" t="n"/>
      <c r="G1121" s="166">
        <f>IF(AND(E1121&lt;&gt;"",F1121&lt;&gt;""),E1121*F1121,"")</f>
      </c>
    </row>
    <row r="1122" ht="16.5" customHeight="1" s="71">
      <c r="B1122" s="169" t="n"/>
      <c r="C1122" s="35" t="n"/>
      <c r="D1122" s="35" t="n"/>
      <c r="E1122" s="35" t="n"/>
      <c r="F1122" s="166" t="n"/>
      <c r="G1122" s="166">
        <f>IF(AND(E1122&lt;&gt;"",F1122&lt;&gt;""),E1122*F1122,"")</f>
      </c>
    </row>
    <row r="1123" ht="16.5" customHeight="1" s="71">
      <c r="B1123" s="169" t="n"/>
      <c r="C1123" s="35" t="n"/>
      <c r="D1123" s="35" t="n"/>
      <c r="E1123" s="35" t="n"/>
      <c r="F1123" s="166" t="n"/>
      <c r="G1123" s="166">
        <f>IF(AND(E1123&lt;&gt;"",F1123&lt;&gt;""),E1123*F1123,"")</f>
      </c>
    </row>
    <row r="1124" ht="16.5" customHeight="1" s="71">
      <c r="B1124" s="169" t="n"/>
      <c r="C1124" s="35" t="n"/>
      <c r="D1124" s="35" t="n"/>
      <c r="E1124" s="35" t="n"/>
      <c r="F1124" s="166" t="n"/>
      <c r="G1124" s="166">
        <f>IF(AND(E1124&lt;&gt;"",F1124&lt;&gt;""),E1124*F1124,"")</f>
      </c>
    </row>
    <row r="1125" ht="16.5" customHeight="1" s="71">
      <c r="B1125" s="169" t="n"/>
      <c r="C1125" s="35" t="n"/>
      <c r="D1125" s="35" t="n"/>
      <c r="E1125" s="35" t="n"/>
      <c r="F1125" s="166" t="n"/>
      <c r="G1125" s="166">
        <f>IF(AND(E1125&lt;&gt;"",F1125&lt;&gt;""),E1125*F1125,"")</f>
      </c>
    </row>
    <row r="1126" ht="16.5" customHeight="1" s="71">
      <c r="B1126" s="169" t="n"/>
      <c r="C1126" s="35" t="n"/>
      <c r="D1126" s="35" t="n"/>
      <c r="E1126" s="35" t="n"/>
      <c r="F1126" s="166" t="n"/>
      <c r="G1126" s="166">
        <f>IF(AND(E1126&lt;&gt;"",F1126&lt;&gt;""),E1126*F1126,"")</f>
      </c>
    </row>
    <row r="1127" ht="16.5" customHeight="1" s="71">
      <c r="B1127" s="169" t="n"/>
      <c r="C1127" s="35" t="n"/>
      <c r="D1127" s="35" t="n"/>
      <c r="E1127" s="35" t="n"/>
      <c r="F1127" s="166" t="n"/>
      <c r="G1127" s="166">
        <f>IF(AND(E1127&lt;&gt;"",F1127&lt;&gt;""),E1127*F1127,"")</f>
      </c>
    </row>
    <row r="1128" ht="16.5" customHeight="1" s="71">
      <c r="B1128" s="169" t="n"/>
      <c r="C1128" s="35" t="n"/>
      <c r="D1128" s="35" t="n"/>
      <c r="E1128" s="35" t="n"/>
      <c r="F1128" s="166" t="n"/>
      <c r="G1128" s="166">
        <f>IF(AND(E1128&lt;&gt;"",F1128&lt;&gt;""),E1128*F1128,"")</f>
      </c>
    </row>
    <row r="1129" ht="16.5" customHeight="1" s="71">
      <c r="B1129" s="169" t="n"/>
      <c r="C1129" s="35" t="n"/>
      <c r="D1129" s="35" t="n"/>
      <c r="E1129" s="35" t="n"/>
      <c r="F1129" s="166" t="n"/>
      <c r="G1129" s="166">
        <f>IF(AND(E1129&lt;&gt;"",F1129&lt;&gt;""),E1129*F1129,"")</f>
      </c>
    </row>
    <row r="1130" ht="16.5" customHeight="1" s="71">
      <c r="B1130" s="169" t="n"/>
      <c r="C1130" s="35" t="n"/>
      <c r="D1130" s="35" t="n"/>
      <c r="E1130" s="35" t="n"/>
      <c r="F1130" s="166" t="n"/>
      <c r="G1130" s="166">
        <f>IF(AND(E1130&lt;&gt;"",F1130&lt;&gt;""),E1130*F1130,"")</f>
      </c>
    </row>
    <row r="1131" ht="16.5" customHeight="1" s="71">
      <c r="B1131" s="169" t="n"/>
      <c r="C1131" s="35" t="n"/>
      <c r="D1131" s="35" t="n"/>
      <c r="E1131" s="35" t="n"/>
      <c r="F1131" s="166" t="n"/>
      <c r="G1131" s="166">
        <f>IF(AND(E1131&lt;&gt;"",F1131&lt;&gt;""),E1131*F1131,"")</f>
      </c>
    </row>
    <row r="1132" ht="16.5" customHeight="1" s="71">
      <c r="B1132" s="169" t="n"/>
      <c r="C1132" s="35" t="n"/>
      <c r="D1132" s="35" t="n"/>
      <c r="E1132" s="35" t="n"/>
      <c r="F1132" s="166" t="n"/>
      <c r="G1132" s="166">
        <f>IF(AND(E1132&lt;&gt;"",F1132&lt;&gt;""),E1132*F1132,"")</f>
      </c>
    </row>
    <row r="1133" ht="16.5" customHeight="1" s="71">
      <c r="B1133" s="169" t="n"/>
      <c r="C1133" s="35" t="n"/>
      <c r="D1133" s="35" t="n"/>
      <c r="E1133" s="35" t="n"/>
      <c r="F1133" s="166" t="n"/>
      <c r="G1133" s="166">
        <f>IF(AND(E1133&lt;&gt;"",F1133&lt;&gt;""),E1133*F1133,"")</f>
      </c>
    </row>
    <row r="1134" ht="16.5" customHeight="1" s="71">
      <c r="B1134" s="169" t="n"/>
      <c r="C1134" s="35" t="n"/>
      <c r="D1134" s="35" t="n"/>
      <c r="E1134" s="35" t="n"/>
      <c r="F1134" s="166" t="n"/>
      <c r="G1134" s="166">
        <f>IF(AND(E1134&lt;&gt;"",F1134&lt;&gt;""),E1134*F1134,"")</f>
      </c>
    </row>
    <row r="1135" ht="16.5" customHeight="1" s="71">
      <c r="B1135" s="169" t="n"/>
      <c r="C1135" s="35" t="n"/>
      <c r="D1135" s="35" t="n"/>
      <c r="E1135" s="35" t="n"/>
      <c r="F1135" s="166" t="n"/>
      <c r="G1135" s="166">
        <f>IF(AND(E1135&lt;&gt;"",F1135&lt;&gt;""),E1135*F1135,"")</f>
      </c>
    </row>
    <row r="1136" ht="16.5" customHeight="1" s="71">
      <c r="B1136" s="169" t="n"/>
      <c r="C1136" s="35" t="n"/>
      <c r="D1136" s="35" t="n"/>
      <c r="E1136" s="35" t="n"/>
      <c r="F1136" s="166" t="n"/>
      <c r="G1136" s="166">
        <f>IF(AND(E1136&lt;&gt;"",F1136&lt;&gt;""),E1136*F1136,"")</f>
      </c>
    </row>
    <row r="1137" ht="16.5" customHeight="1" s="71">
      <c r="B1137" s="169" t="n"/>
      <c r="C1137" s="35" t="n"/>
      <c r="D1137" s="35" t="n"/>
      <c r="E1137" s="35" t="n"/>
      <c r="F1137" s="166" t="n"/>
      <c r="G1137" s="166">
        <f>IF(AND(E1137&lt;&gt;"",F1137&lt;&gt;""),E1137*F1137,"")</f>
      </c>
    </row>
    <row r="1138" ht="16.5" customHeight="1" s="71">
      <c r="B1138" s="169" t="n"/>
      <c r="C1138" s="35" t="n"/>
      <c r="D1138" s="35" t="n"/>
      <c r="E1138" s="35" t="n"/>
      <c r="F1138" s="166" t="n"/>
      <c r="G1138" s="166">
        <f>IF(AND(E1138&lt;&gt;"",F1138&lt;&gt;""),E1138*F1138,"")</f>
      </c>
    </row>
    <row r="1139" ht="16.5" customHeight="1" s="71">
      <c r="B1139" s="169" t="n"/>
      <c r="C1139" s="35" t="n"/>
      <c r="D1139" s="35" t="n"/>
      <c r="E1139" s="35" t="n"/>
      <c r="F1139" s="166" t="n"/>
      <c r="G1139" s="166">
        <f>IF(AND(E1139&lt;&gt;"",F1139&lt;&gt;""),E1139*F1139,"")</f>
      </c>
    </row>
    <row r="1140" ht="16.5" customHeight="1" s="71">
      <c r="B1140" s="169" t="n"/>
      <c r="C1140" s="35" t="n"/>
      <c r="D1140" s="35" t="n"/>
      <c r="E1140" s="35" t="n"/>
      <c r="F1140" s="166" t="n"/>
      <c r="G1140" s="166">
        <f>IF(AND(E1140&lt;&gt;"",F1140&lt;&gt;""),E1140*F1140,"")</f>
      </c>
    </row>
    <row r="1141" ht="16.5" customHeight="1" s="71">
      <c r="B1141" s="169" t="n"/>
      <c r="C1141" s="35" t="n"/>
      <c r="D1141" s="35" t="n"/>
      <c r="E1141" s="35" t="n"/>
      <c r="F1141" s="166" t="n"/>
      <c r="G1141" s="166">
        <f>IF(AND(E1141&lt;&gt;"",F1141&lt;&gt;""),E1141*F1141,"")</f>
      </c>
    </row>
    <row r="1142" ht="16.5" customHeight="1" s="71">
      <c r="B1142" s="169" t="n"/>
      <c r="C1142" s="35" t="n"/>
      <c r="D1142" s="35" t="n"/>
      <c r="E1142" s="35" t="n"/>
      <c r="F1142" s="166" t="n"/>
      <c r="G1142" s="166">
        <f>IF(AND(E1142&lt;&gt;"",F1142&lt;&gt;""),E1142*F1142,"")</f>
      </c>
    </row>
    <row r="1143" ht="16.5" customHeight="1" s="71">
      <c r="B1143" s="169" t="n"/>
      <c r="C1143" s="35" t="n"/>
      <c r="D1143" s="35" t="n"/>
      <c r="E1143" s="35" t="n"/>
      <c r="F1143" s="166" t="n"/>
      <c r="G1143" s="166">
        <f>IF(AND(E1143&lt;&gt;"",F1143&lt;&gt;""),E1143*F1143,"")</f>
      </c>
    </row>
    <row r="1144" ht="16.5" customHeight="1" s="71">
      <c r="B1144" s="169" t="n"/>
      <c r="C1144" s="35" t="n"/>
      <c r="D1144" s="35" t="n"/>
      <c r="E1144" s="35" t="n"/>
      <c r="F1144" s="166" t="n"/>
      <c r="G1144" s="166">
        <f>IF(AND(E1144&lt;&gt;"",F1144&lt;&gt;""),E1144*F1144,"")</f>
      </c>
    </row>
    <row r="1145" ht="16.5" customHeight="1" s="71">
      <c r="B1145" s="169" t="n"/>
      <c r="C1145" s="35" t="n"/>
      <c r="D1145" s="35" t="n"/>
      <c r="E1145" s="35" t="n"/>
      <c r="F1145" s="166" t="n"/>
      <c r="G1145" s="166">
        <f>IF(AND(E1145&lt;&gt;"",F1145&lt;&gt;""),E1145*F1145,"")</f>
      </c>
    </row>
    <row r="1146" ht="16.5" customHeight="1" s="71">
      <c r="B1146" s="169" t="n"/>
      <c r="C1146" s="35" t="n"/>
      <c r="D1146" s="35" t="n"/>
      <c r="E1146" s="35" t="n"/>
      <c r="F1146" s="166" t="n"/>
      <c r="G1146" s="166">
        <f>IF(AND(E1146&lt;&gt;"",F1146&lt;&gt;""),E1146*F1146,"")</f>
      </c>
    </row>
    <row r="1147" ht="16.5" customHeight="1" s="71">
      <c r="B1147" s="169" t="n"/>
      <c r="C1147" s="35" t="n"/>
      <c r="D1147" s="35" t="n"/>
      <c r="E1147" s="35" t="n"/>
      <c r="F1147" s="166" t="n"/>
      <c r="G1147" s="166">
        <f>IF(AND(E1147&lt;&gt;"",F1147&lt;&gt;""),E1147*F1147,"")</f>
      </c>
    </row>
    <row r="1148" ht="16.5" customHeight="1" s="71">
      <c r="B1148" s="169" t="n"/>
      <c r="C1148" s="35" t="n"/>
      <c r="D1148" s="35" t="n"/>
      <c r="E1148" s="35" t="n"/>
      <c r="F1148" s="166" t="n"/>
      <c r="G1148" s="166">
        <f>IF(AND(E1148&lt;&gt;"",F1148&lt;&gt;""),E1148*F1148,"")</f>
      </c>
    </row>
    <row r="1149" ht="16.5" customHeight="1" s="71">
      <c r="B1149" s="169" t="n"/>
      <c r="C1149" s="35" t="n"/>
      <c r="D1149" s="35" t="n"/>
      <c r="E1149" s="35" t="n"/>
      <c r="F1149" s="166" t="n"/>
      <c r="G1149" s="166">
        <f>IF(AND(E1149&lt;&gt;"",F1149&lt;&gt;""),E1149*F1149,"")</f>
      </c>
    </row>
    <row r="1150" ht="16.5" customHeight="1" s="71">
      <c r="B1150" s="169" t="n"/>
      <c r="C1150" s="35" t="n"/>
      <c r="D1150" s="35" t="n"/>
      <c r="E1150" s="35" t="n"/>
      <c r="F1150" s="166" t="n"/>
      <c r="G1150" s="166">
        <f>IF(AND(E1150&lt;&gt;"",F1150&lt;&gt;""),E1150*F1150,"")</f>
      </c>
    </row>
    <row r="1151" ht="16.5" customHeight="1" s="71">
      <c r="B1151" s="169" t="n"/>
      <c r="C1151" s="35" t="n"/>
      <c r="D1151" s="35" t="n"/>
      <c r="E1151" s="35" t="n"/>
      <c r="F1151" s="166" t="n"/>
      <c r="G1151" s="166">
        <f>IF(AND(E1151&lt;&gt;"",F1151&lt;&gt;""),E1151*F1151,"")</f>
      </c>
    </row>
    <row r="1152" ht="16.5" customHeight="1" s="71">
      <c r="B1152" s="169" t="n"/>
      <c r="C1152" s="35" t="n"/>
      <c r="D1152" s="35" t="n"/>
      <c r="E1152" s="35" t="n"/>
      <c r="F1152" s="166" t="n"/>
      <c r="G1152" s="166">
        <f>IF(AND(E1152&lt;&gt;"",F1152&lt;&gt;""),E1152*F1152,"")</f>
      </c>
    </row>
    <row r="1153" ht="16.5" customHeight="1" s="71">
      <c r="B1153" s="169" t="n"/>
      <c r="C1153" s="35" t="n"/>
      <c r="D1153" s="35" t="n"/>
      <c r="E1153" s="35" t="n"/>
      <c r="F1153" s="166" t="n"/>
      <c r="G1153" s="166">
        <f>IF(AND(E1153&lt;&gt;"",F1153&lt;&gt;""),E1153*F1153,"")</f>
      </c>
    </row>
    <row r="1154" ht="16.5" customHeight="1" s="71">
      <c r="B1154" s="169" t="n"/>
      <c r="C1154" s="35" t="n"/>
      <c r="D1154" s="35" t="n"/>
      <c r="E1154" s="35" t="n"/>
      <c r="F1154" s="166" t="n"/>
      <c r="G1154" s="166">
        <f>IF(AND(E1154&lt;&gt;"",F1154&lt;&gt;""),E1154*F1154,"")</f>
      </c>
    </row>
    <row r="1155" ht="16.5" customHeight="1" s="71">
      <c r="B1155" s="169" t="n"/>
      <c r="C1155" s="35" t="n"/>
      <c r="D1155" s="35" t="n"/>
      <c r="E1155" s="35" t="n"/>
      <c r="F1155" s="166" t="n"/>
      <c r="G1155" s="166">
        <f>IF(AND(E1155&lt;&gt;"",F1155&lt;&gt;""),E1155*F1155,"")</f>
      </c>
    </row>
    <row r="1156" ht="16.5" customHeight="1" s="71">
      <c r="B1156" s="169" t="n"/>
      <c r="C1156" s="35" t="n"/>
      <c r="D1156" s="35" t="n"/>
      <c r="E1156" s="35" t="n"/>
      <c r="F1156" s="166" t="n"/>
      <c r="G1156" s="166">
        <f>IF(AND(E1156&lt;&gt;"",F1156&lt;&gt;""),E1156*F1156,"")</f>
      </c>
    </row>
    <row r="1157" ht="16.5" customHeight="1" s="71">
      <c r="B1157" s="169" t="n"/>
      <c r="C1157" s="35" t="n"/>
      <c r="D1157" s="35" t="n"/>
      <c r="E1157" s="35" t="n"/>
      <c r="F1157" s="166" t="n"/>
      <c r="G1157" s="166">
        <f>IF(AND(E1157&lt;&gt;"",F1157&lt;&gt;""),E1157*F1157,"")</f>
      </c>
    </row>
    <row r="1158" ht="16.5" customHeight="1" s="71">
      <c r="B1158" s="169" t="n"/>
      <c r="C1158" s="35" t="n"/>
      <c r="D1158" s="35" t="n"/>
      <c r="E1158" s="35" t="n"/>
      <c r="F1158" s="166" t="n"/>
      <c r="G1158" s="166">
        <f>IF(AND(E1158&lt;&gt;"",F1158&lt;&gt;""),E1158*F1158,"")</f>
      </c>
    </row>
    <row r="1159" ht="16.5" customHeight="1" s="71">
      <c r="B1159" s="169" t="n"/>
      <c r="C1159" s="35" t="n"/>
      <c r="D1159" s="35" t="n"/>
      <c r="E1159" s="35" t="n"/>
      <c r="F1159" s="166" t="n"/>
      <c r="G1159" s="166">
        <f>IF(AND(E1159&lt;&gt;"",F1159&lt;&gt;""),E1159*F1159,"")</f>
      </c>
    </row>
    <row r="1160" ht="16.5" customHeight="1" s="71">
      <c r="B1160" s="169" t="n"/>
      <c r="C1160" s="35" t="n"/>
      <c r="D1160" s="35" t="n"/>
      <c r="E1160" s="35" t="n"/>
      <c r="F1160" s="166" t="n"/>
      <c r="G1160" s="166">
        <f>IF(AND(E1160&lt;&gt;"",F1160&lt;&gt;""),E1160*F1160,"")</f>
      </c>
    </row>
    <row r="1161" ht="16.5" customHeight="1" s="71">
      <c r="B1161" s="169" t="n"/>
      <c r="C1161" s="35" t="n"/>
      <c r="D1161" s="35" t="n"/>
      <c r="E1161" s="35" t="n"/>
      <c r="F1161" s="166" t="n"/>
      <c r="G1161" s="166">
        <f>IF(AND(E1161&lt;&gt;"",F1161&lt;&gt;""),E1161*F1161,"")</f>
      </c>
    </row>
    <row r="1162" ht="16.5" customHeight="1" s="71">
      <c r="B1162" s="169" t="n"/>
      <c r="C1162" s="35" t="n"/>
      <c r="D1162" s="35" t="n"/>
      <c r="E1162" s="35" t="n"/>
      <c r="F1162" s="166" t="n"/>
      <c r="G1162" s="166">
        <f>IF(AND(E1162&lt;&gt;"",F1162&lt;&gt;""),E1162*F1162,"")</f>
      </c>
    </row>
    <row r="1163" ht="16.5" customHeight="1" s="71">
      <c r="B1163" s="169" t="n"/>
      <c r="C1163" s="35" t="n"/>
      <c r="D1163" s="35" t="n"/>
      <c r="E1163" s="35" t="n"/>
      <c r="F1163" s="166" t="n"/>
      <c r="G1163" s="166">
        <f>IF(AND(E1163&lt;&gt;"",F1163&lt;&gt;""),E1163*F1163,"")</f>
      </c>
    </row>
    <row r="1164" ht="16.5" customHeight="1" s="71">
      <c r="B1164" s="169" t="n"/>
      <c r="C1164" s="35" t="n"/>
      <c r="D1164" s="35" t="n"/>
      <c r="E1164" s="35" t="n"/>
      <c r="F1164" s="166" t="n"/>
      <c r="G1164" s="166">
        <f>IF(AND(E1164&lt;&gt;"",F1164&lt;&gt;""),E1164*F1164,"")</f>
      </c>
    </row>
    <row r="1165" ht="16.5" customHeight="1" s="71">
      <c r="B1165" s="169" t="n"/>
      <c r="C1165" s="35" t="n"/>
      <c r="D1165" s="35" t="n"/>
      <c r="E1165" s="35" t="n"/>
      <c r="F1165" s="166" t="n"/>
      <c r="G1165" s="166">
        <f>IF(AND(E1165&lt;&gt;"",F1165&lt;&gt;""),E1165*F1165,"")</f>
      </c>
    </row>
    <row r="1166" ht="16.5" customHeight="1" s="71">
      <c r="B1166" s="169" t="n"/>
      <c r="C1166" s="35" t="n"/>
      <c r="D1166" s="35" t="n"/>
      <c r="E1166" s="35" t="n"/>
      <c r="F1166" s="166" t="n"/>
      <c r="G1166" s="166">
        <f>IF(AND(E1166&lt;&gt;"",F1166&lt;&gt;""),E1166*F1166,"")</f>
      </c>
    </row>
    <row r="1167" ht="16.5" customHeight="1" s="71">
      <c r="B1167" s="169" t="n"/>
      <c r="C1167" s="35" t="n"/>
      <c r="D1167" s="35" t="n"/>
      <c r="E1167" s="35" t="n"/>
      <c r="F1167" s="166" t="n"/>
      <c r="G1167" s="166">
        <f>IF(AND(E1167&lt;&gt;"",F1167&lt;&gt;""),E1167*F1167,"")</f>
      </c>
    </row>
    <row r="1168" ht="16.5" customHeight="1" s="71">
      <c r="B1168" s="169" t="n"/>
      <c r="C1168" s="35" t="n"/>
      <c r="D1168" s="35" t="n"/>
      <c r="E1168" s="35" t="n"/>
      <c r="F1168" s="166" t="n"/>
      <c r="G1168" s="166">
        <f>IF(AND(E1168&lt;&gt;"",F1168&lt;&gt;""),E1168*F1168,"")</f>
      </c>
    </row>
    <row r="1169" ht="16.5" customHeight="1" s="71">
      <c r="B1169" s="169" t="n"/>
      <c r="C1169" s="35" t="n"/>
      <c r="D1169" s="35" t="n"/>
      <c r="E1169" s="35" t="n"/>
      <c r="F1169" s="166" t="n"/>
      <c r="G1169" s="166">
        <f>IF(AND(E1169&lt;&gt;"",F1169&lt;&gt;""),E1169*F1169,"")</f>
      </c>
    </row>
    <row r="1170" ht="16.5" customHeight="1" s="71">
      <c r="B1170" s="169" t="n"/>
      <c r="C1170" s="35" t="n"/>
      <c r="D1170" s="35" t="n"/>
      <c r="E1170" s="35" t="n"/>
      <c r="F1170" s="166" t="n"/>
      <c r="G1170" s="166">
        <f>IF(AND(E1170&lt;&gt;"",F1170&lt;&gt;""),E1170*F1170,"")</f>
      </c>
    </row>
    <row r="1171" ht="16.5" customHeight="1" s="71">
      <c r="B1171" s="169" t="n"/>
      <c r="C1171" s="35" t="n"/>
      <c r="D1171" s="35" t="n"/>
      <c r="E1171" s="35" t="n"/>
      <c r="F1171" s="166" t="n"/>
      <c r="G1171" s="166">
        <f>IF(AND(E1171&lt;&gt;"",F1171&lt;&gt;""),E1171*F1171,"")</f>
      </c>
    </row>
    <row r="1172" ht="16.5" customHeight="1" s="71">
      <c r="B1172" s="169" t="n"/>
      <c r="C1172" s="35" t="n"/>
      <c r="D1172" s="35" t="n"/>
      <c r="E1172" s="35" t="n"/>
      <c r="F1172" s="166" t="n"/>
      <c r="G1172" s="166">
        <f>IF(AND(E1172&lt;&gt;"",F1172&lt;&gt;""),E1172*F1172,"")</f>
      </c>
    </row>
    <row r="1173" ht="16.5" customHeight="1" s="71">
      <c r="B1173" s="169" t="n"/>
      <c r="C1173" s="35" t="n"/>
      <c r="D1173" s="35" t="n"/>
      <c r="E1173" s="35" t="n"/>
      <c r="F1173" s="166" t="n"/>
      <c r="G1173" s="166">
        <f>IF(AND(E1173&lt;&gt;"",F1173&lt;&gt;""),E1173*F1173,"")</f>
      </c>
    </row>
    <row r="1174" ht="16.5" customHeight="1" s="71">
      <c r="B1174" s="169" t="n"/>
      <c r="C1174" s="35" t="n"/>
      <c r="D1174" s="35" t="n"/>
      <c r="E1174" s="35" t="n"/>
      <c r="F1174" s="166" t="n"/>
      <c r="G1174" s="166">
        <f>IF(AND(E1174&lt;&gt;"",F1174&lt;&gt;""),E1174*F1174,"")</f>
      </c>
    </row>
    <row r="1175" ht="16.5" customHeight="1" s="71">
      <c r="B1175" s="169" t="n"/>
      <c r="C1175" s="35" t="n"/>
      <c r="D1175" s="35" t="n"/>
      <c r="E1175" s="35" t="n"/>
      <c r="F1175" s="166" t="n"/>
      <c r="G1175" s="166">
        <f>IF(AND(E1175&lt;&gt;"",F1175&lt;&gt;""),E1175*F1175,"")</f>
      </c>
    </row>
    <row r="1176" ht="16.5" customHeight="1" s="71">
      <c r="B1176" s="169" t="n"/>
      <c r="C1176" s="35" t="n"/>
      <c r="D1176" s="35" t="n"/>
      <c r="E1176" s="35" t="n"/>
      <c r="F1176" s="166" t="n"/>
      <c r="G1176" s="166">
        <f>IF(AND(E1176&lt;&gt;"",F1176&lt;&gt;""),E1176*F1176,"")</f>
      </c>
    </row>
    <row r="1177" ht="16.5" customHeight="1" s="71">
      <c r="B1177" s="169" t="n"/>
      <c r="C1177" s="35" t="n"/>
      <c r="D1177" s="35" t="n"/>
      <c r="E1177" s="35" t="n"/>
      <c r="F1177" s="166" t="n"/>
      <c r="G1177" s="166">
        <f>IF(AND(E1177&lt;&gt;"",F1177&lt;&gt;""),E1177*F1177,"")</f>
      </c>
    </row>
    <row r="1178" ht="16.5" customHeight="1" s="71">
      <c r="B1178" s="169" t="n"/>
      <c r="C1178" s="35" t="n"/>
      <c r="D1178" s="35" t="n"/>
      <c r="E1178" s="35" t="n"/>
      <c r="F1178" s="166" t="n"/>
      <c r="G1178" s="166">
        <f>IF(AND(E1178&lt;&gt;"",F1178&lt;&gt;""),E1178*F1178,"")</f>
      </c>
    </row>
    <row r="1179" ht="16.5" customHeight="1" s="71">
      <c r="B1179" s="169" t="n"/>
      <c r="C1179" s="35" t="n"/>
      <c r="D1179" s="35" t="n"/>
      <c r="E1179" s="35" t="n"/>
      <c r="F1179" s="166" t="n"/>
      <c r="G1179" s="166">
        <f>IF(AND(E1179&lt;&gt;"",F1179&lt;&gt;""),E1179*F1179,"")</f>
      </c>
    </row>
    <row r="1180" ht="16.5" customHeight="1" s="71">
      <c r="B1180" s="169" t="n"/>
      <c r="C1180" s="35" t="n"/>
      <c r="D1180" s="35" t="n"/>
      <c r="E1180" s="35" t="n"/>
      <c r="F1180" s="166" t="n"/>
      <c r="G1180" s="166">
        <f>IF(AND(E1180&lt;&gt;"",F1180&lt;&gt;""),E1180*F1180,"")</f>
      </c>
    </row>
    <row r="1181" ht="16.5" customHeight="1" s="71">
      <c r="B1181" s="169" t="n"/>
      <c r="C1181" s="35" t="n"/>
      <c r="D1181" s="35" t="n"/>
      <c r="E1181" s="35" t="n"/>
      <c r="F1181" s="166" t="n"/>
      <c r="G1181" s="166">
        <f>IF(AND(E1181&lt;&gt;"",F1181&lt;&gt;""),E1181*F1181,"")</f>
      </c>
    </row>
    <row r="1182" ht="16.5" customHeight="1" s="71">
      <c r="B1182" s="169" t="n"/>
      <c r="C1182" s="35" t="n"/>
      <c r="D1182" s="35" t="n"/>
      <c r="E1182" s="35" t="n"/>
      <c r="F1182" s="166" t="n"/>
      <c r="G1182" s="166">
        <f>IF(AND(E1182&lt;&gt;"",F1182&lt;&gt;""),E1182*F1182,"")</f>
      </c>
    </row>
    <row r="1183" ht="16.5" customHeight="1" s="71">
      <c r="B1183" s="169" t="n"/>
      <c r="C1183" s="35" t="n"/>
      <c r="D1183" s="35" t="n"/>
      <c r="E1183" s="35" t="n"/>
      <c r="F1183" s="166" t="n"/>
      <c r="G1183" s="166">
        <f>IF(AND(E1183&lt;&gt;"",F1183&lt;&gt;""),E1183*F1183,"")</f>
      </c>
    </row>
    <row r="1184" ht="16.5" customHeight="1" s="71">
      <c r="B1184" s="169" t="n"/>
      <c r="C1184" s="35" t="n"/>
      <c r="D1184" s="35" t="n"/>
      <c r="E1184" s="35" t="n"/>
      <c r="F1184" s="166" t="n"/>
      <c r="G1184" s="166">
        <f>IF(AND(E1184&lt;&gt;"",F1184&lt;&gt;""),E1184*F1184,"")</f>
      </c>
    </row>
    <row r="1185" ht="16.5" customHeight="1" s="71">
      <c r="B1185" s="169" t="n"/>
      <c r="C1185" s="35" t="n"/>
      <c r="D1185" s="35" t="n"/>
      <c r="E1185" s="35" t="n"/>
      <c r="F1185" s="166" t="n"/>
      <c r="G1185" s="166">
        <f>IF(AND(E1185&lt;&gt;"",F1185&lt;&gt;""),E1185*F1185,"")</f>
      </c>
    </row>
    <row r="1186" ht="16.5" customHeight="1" s="71">
      <c r="B1186" s="169" t="n"/>
      <c r="C1186" s="35" t="n"/>
      <c r="D1186" s="35" t="n"/>
      <c r="E1186" s="35" t="n"/>
      <c r="F1186" s="166" t="n"/>
      <c r="G1186" s="166">
        <f>IF(AND(E1186&lt;&gt;"",F1186&lt;&gt;""),E1186*F1186,"")</f>
      </c>
    </row>
    <row r="1187" ht="16.5" customHeight="1" s="71">
      <c r="B1187" s="169" t="n"/>
      <c r="C1187" s="35" t="n"/>
      <c r="D1187" s="35" t="n"/>
      <c r="E1187" s="35" t="n"/>
      <c r="F1187" s="166" t="n"/>
      <c r="G1187" s="166">
        <f>IF(AND(E1187&lt;&gt;"",F1187&lt;&gt;""),E1187*F1187,"")</f>
      </c>
    </row>
    <row r="1188" ht="16.5" customHeight="1" s="71">
      <c r="B1188" s="169" t="n"/>
      <c r="C1188" s="35" t="n"/>
      <c r="D1188" s="35" t="n"/>
      <c r="E1188" s="35" t="n"/>
      <c r="F1188" s="166" t="n"/>
      <c r="G1188" s="166">
        <f>IF(AND(E1188&lt;&gt;"",F1188&lt;&gt;""),E1188*F1188,"")</f>
      </c>
    </row>
    <row r="1189" ht="16.5" customHeight="1" s="71">
      <c r="B1189" s="169" t="n"/>
      <c r="C1189" s="35" t="n"/>
      <c r="D1189" s="35" t="n"/>
      <c r="E1189" s="35" t="n"/>
      <c r="F1189" s="166" t="n"/>
      <c r="G1189" s="166">
        <f>IF(AND(E1189&lt;&gt;"",F1189&lt;&gt;""),E1189*F1189,"")</f>
      </c>
    </row>
    <row r="1190" ht="16.5" customHeight="1" s="71">
      <c r="B1190" s="169" t="n"/>
      <c r="C1190" s="35" t="n"/>
      <c r="D1190" s="35" t="n"/>
      <c r="E1190" s="35" t="n"/>
      <c r="F1190" s="166" t="n"/>
      <c r="G1190" s="166">
        <f>IF(AND(E1190&lt;&gt;"",F1190&lt;&gt;""),E1190*F1190,"")</f>
      </c>
    </row>
    <row r="1191" ht="16.5" customHeight="1" s="71">
      <c r="B1191" s="169" t="n"/>
      <c r="C1191" s="35" t="n"/>
      <c r="D1191" s="35" t="n"/>
      <c r="E1191" s="35" t="n"/>
      <c r="F1191" s="166" t="n"/>
      <c r="G1191" s="166">
        <f>IF(AND(E1191&lt;&gt;"",F1191&lt;&gt;""),E1191*F1191,"")</f>
      </c>
    </row>
    <row r="1192" ht="16.5" customHeight="1" s="71">
      <c r="B1192" s="169" t="n"/>
      <c r="C1192" s="35" t="n"/>
      <c r="D1192" s="35" t="n"/>
      <c r="E1192" s="35" t="n"/>
      <c r="F1192" s="166" t="n"/>
      <c r="G1192" s="166">
        <f>IF(AND(E1192&lt;&gt;"",F1192&lt;&gt;""),E1192*F1192,"")</f>
      </c>
    </row>
    <row r="1193" ht="16.5" customHeight="1" s="71">
      <c r="B1193" s="169" t="n"/>
      <c r="C1193" s="35" t="n"/>
      <c r="D1193" s="35" t="n"/>
      <c r="E1193" s="35" t="n"/>
      <c r="F1193" s="166" t="n"/>
      <c r="G1193" s="166">
        <f>IF(AND(E1193&lt;&gt;"",F1193&lt;&gt;""),E1193*F1193,"")</f>
      </c>
    </row>
    <row r="1194" ht="16.5" customHeight="1" s="71">
      <c r="B1194" s="169" t="n"/>
      <c r="C1194" s="35" t="n"/>
      <c r="D1194" s="35" t="n"/>
      <c r="E1194" s="35" t="n"/>
      <c r="F1194" s="166" t="n"/>
      <c r="G1194" s="166">
        <f>IF(AND(E1194&lt;&gt;"",F1194&lt;&gt;""),E1194*F1194,"")</f>
      </c>
    </row>
    <row r="1195" ht="16.5" customHeight="1" s="71">
      <c r="B1195" s="169" t="n"/>
      <c r="C1195" s="35" t="n"/>
      <c r="D1195" s="35" t="n"/>
      <c r="E1195" s="35" t="n"/>
      <c r="F1195" s="166" t="n"/>
      <c r="G1195" s="166">
        <f>IF(AND(E1195&lt;&gt;"",F1195&lt;&gt;""),E1195*F1195,"")</f>
      </c>
    </row>
    <row r="1196" ht="16.5" customHeight="1" s="71">
      <c r="B1196" s="169" t="n"/>
      <c r="C1196" s="35" t="n"/>
      <c r="D1196" s="35" t="n"/>
      <c r="E1196" s="35" t="n"/>
      <c r="F1196" s="166" t="n"/>
      <c r="G1196" s="166">
        <f>IF(AND(E1196&lt;&gt;"",F1196&lt;&gt;""),E1196*F1196,"")</f>
      </c>
    </row>
    <row r="1197" ht="16.5" customHeight="1" s="71">
      <c r="B1197" s="169" t="n"/>
      <c r="C1197" s="35" t="n"/>
      <c r="D1197" s="35" t="n"/>
      <c r="E1197" s="35" t="n"/>
      <c r="F1197" s="166" t="n"/>
      <c r="G1197" s="166">
        <f>IF(AND(E1197&lt;&gt;"",F1197&lt;&gt;""),E1197*F1197,"")</f>
      </c>
    </row>
    <row r="1198" ht="16.5" customHeight="1" s="71">
      <c r="B1198" s="169" t="n"/>
      <c r="C1198" s="35" t="n"/>
      <c r="D1198" s="35" t="n"/>
      <c r="E1198" s="35" t="n"/>
      <c r="F1198" s="166" t="n"/>
      <c r="G1198" s="166">
        <f>IF(AND(E1198&lt;&gt;"",F1198&lt;&gt;""),E1198*F1198,"")</f>
      </c>
    </row>
    <row r="1199" ht="16.5" customHeight="1" s="71">
      <c r="B1199" s="169" t="n"/>
      <c r="C1199" s="35" t="n"/>
      <c r="D1199" s="35" t="n"/>
      <c r="E1199" s="35" t="n"/>
      <c r="F1199" s="166" t="n"/>
      <c r="G1199" s="166">
        <f>IF(AND(E1199&lt;&gt;"",F1199&lt;&gt;""),E1199*F1199,"")</f>
      </c>
    </row>
    <row r="1200" ht="16.5" customHeight="1" s="71">
      <c r="B1200" s="169" t="n"/>
      <c r="C1200" s="35" t="n"/>
      <c r="D1200" s="35" t="n"/>
      <c r="E1200" s="35" t="n"/>
      <c r="F1200" s="166" t="n"/>
      <c r="G1200" s="166">
        <f>IF(AND(E1200&lt;&gt;"",F1200&lt;&gt;""),E1200*F1200,"")</f>
      </c>
    </row>
    <row r="1201" ht="16.5" customHeight="1" s="71">
      <c r="B1201" s="169" t="n"/>
      <c r="C1201" s="35" t="n"/>
      <c r="D1201" s="35" t="n"/>
      <c r="E1201" s="35" t="n"/>
      <c r="F1201" s="166" t="n"/>
      <c r="G1201" s="166">
        <f>IF(AND(E1201&lt;&gt;"",F1201&lt;&gt;""),E1201*F1201,"")</f>
      </c>
    </row>
    <row r="1202" ht="16.5" customHeight="1" s="71">
      <c r="B1202" s="169" t="n"/>
      <c r="C1202" s="35" t="n"/>
      <c r="D1202" s="35" t="n"/>
      <c r="E1202" s="35" t="n"/>
      <c r="F1202" s="166" t="n"/>
      <c r="G1202" s="166">
        <f>IF(AND(E1202&lt;&gt;"",F1202&lt;&gt;""),E1202*F1202,"")</f>
      </c>
    </row>
    <row r="1203" ht="16.5" customHeight="1" s="71">
      <c r="B1203" s="169" t="n"/>
      <c r="C1203" s="35" t="n"/>
      <c r="D1203" s="35" t="n"/>
      <c r="E1203" s="35" t="n"/>
      <c r="F1203" s="166" t="n"/>
      <c r="G1203" s="166">
        <f>IF(AND(E1203&lt;&gt;"",F1203&lt;&gt;""),E1203*F1203,"")</f>
      </c>
    </row>
    <row r="1204" ht="16.5" customHeight="1" s="71">
      <c r="B1204" s="169" t="n"/>
      <c r="C1204" s="35" t="n"/>
      <c r="D1204" s="35" t="n"/>
      <c r="E1204" s="35" t="n"/>
      <c r="F1204" s="166" t="n"/>
      <c r="G1204" s="166">
        <f>IF(AND(E1204&lt;&gt;"",F1204&lt;&gt;""),E1204*F1204,"")</f>
      </c>
    </row>
    <row r="1205" ht="16.5" customHeight="1" s="71">
      <c r="B1205" s="169" t="n"/>
      <c r="C1205" s="35" t="n"/>
      <c r="D1205" s="35" t="n"/>
      <c r="E1205" s="35" t="n"/>
      <c r="F1205" s="166" t="n"/>
      <c r="G1205" s="166">
        <f>IF(AND(E1205&lt;&gt;"",F1205&lt;&gt;""),E1205*F1205,"")</f>
      </c>
    </row>
    <row r="1206" ht="16.5" customHeight="1" s="71">
      <c r="B1206" s="169" t="n"/>
      <c r="C1206" s="35" t="n"/>
      <c r="D1206" s="35" t="n"/>
      <c r="E1206" s="35" t="n"/>
      <c r="F1206" s="166" t="n"/>
      <c r="G1206" s="166">
        <f>IF(AND(E1206&lt;&gt;"",F1206&lt;&gt;""),E1206*F1206,"")</f>
      </c>
    </row>
    <row r="1207" ht="16.5" customHeight="1" s="71">
      <c r="B1207" s="169" t="n"/>
      <c r="C1207" s="35" t="n"/>
      <c r="D1207" s="35" t="n"/>
      <c r="E1207" s="35" t="n"/>
      <c r="F1207" s="166" t="n"/>
      <c r="G1207" s="166">
        <f>IF(AND(E1207&lt;&gt;"",F1207&lt;&gt;""),E1207*F1207,"")</f>
      </c>
    </row>
    <row r="1208" ht="16.5" customHeight="1" s="71">
      <c r="B1208" s="169" t="n"/>
      <c r="C1208" s="35" t="n"/>
      <c r="D1208" s="35" t="n"/>
      <c r="E1208" s="35" t="n"/>
      <c r="F1208" s="166" t="n"/>
      <c r="G1208" s="166">
        <f>IF(AND(E1208&lt;&gt;"",F1208&lt;&gt;""),E1208*F1208,"")</f>
      </c>
    </row>
    <row r="1209" ht="16.5" customHeight="1" s="71">
      <c r="B1209" s="169" t="n"/>
      <c r="C1209" s="35" t="n"/>
      <c r="D1209" s="35" t="n"/>
      <c r="E1209" s="35" t="n"/>
      <c r="F1209" s="166" t="n"/>
      <c r="G1209" s="166">
        <f>IF(AND(E1209&lt;&gt;"",F1209&lt;&gt;""),E1209*F1209,"")</f>
      </c>
    </row>
    <row r="1210" ht="16.5" customHeight="1" s="71">
      <c r="B1210" s="169" t="n"/>
      <c r="C1210" s="35" t="n"/>
      <c r="D1210" s="35" t="n"/>
      <c r="E1210" s="35" t="n"/>
      <c r="F1210" s="166" t="n"/>
      <c r="G1210" s="166">
        <f>IF(AND(E1210&lt;&gt;"",F1210&lt;&gt;""),E1210*F1210,"")</f>
      </c>
    </row>
    <row r="1211" ht="16.5" customHeight="1" s="71">
      <c r="B1211" s="169" t="n"/>
      <c r="C1211" s="35" t="n"/>
      <c r="D1211" s="35" t="n"/>
      <c r="E1211" s="35" t="n"/>
      <c r="F1211" s="166" t="n"/>
      <c r="G1211" s="166">
        <f>IF(AND(E1211&lt;&gt;"",F1211&lt;&gt;""),E1211*F1211,"")</f>
      </c>
    </row>
    <row r="1212" ht="16.5" customHeight="1" s="71">
      <c r="B1212" s="169" t="n"/>
      <c r="C1212" s="35" t="n"/>
      <c r="D1212" s="35" t="n"/>
      <c r="E1212" s="35" t="n"/>
      <c r="F1212" s="166" t="n"/>
      <c r="G1212" s="166">
        <f>IF(AND(E1212&lt;&gt;"",F1212&lt;&gt;""),E1212*F1212,"")</f>
      </c>
    </row>
    <row r="1213" ht="16.5" customHeight="1" s="71">
      <c r="B1213" s="169" t="n"/>
      <c r="C1213" s="35" t="n"/>
      <c r="D1213" s="35" t="n"/>
      <c r="E1213" s="35" t="n"/>
      <c r="F1213" s="166" t="n"/>
      <c r="G1213" s="166">
        <f>IF(AND(E1213&lt;&gt;"",F1213&lt;&gt;""),E1213*F1213,"")</f>
      </c>
    </row>
    <row r="1214" ht="16.5" customHeight="1" s="71">
      <c r="B1214" s="169" t="n"/>
      <c r="C1214" s="35" t="n"/>
      <c r="D1214" s="35" t="n"/>
      <c r="E1214" s="35" t="n"/>
      <c r="F1214" s="166" t="n"/>
      <c r="G1214" s="166">
        <f>IF(AND(E1214&lt;&gt;"",F1214&lt;&gt;""),E1214*F1214,"")</f>
      </c>
    </row>
    <row r="1215" ht="16.5" customHeight="1" s="71">
      <c r="B1215" s="169" t="n"/>
      <c r="C1215" s="35" t="n"/>
      <c r="D1215" s="35" t="n"/>
      <c r="E1215" s="35" t="n"/>
      <c r="F1215" s="166" t="n"/>
      <c r="G1215" s="166">
        <f>IF(AND(E1215&lt;&gt;"",F1215&lt;&gt;""),E1215*F1215,"")</f>
      </c>
    </row>
    <row r="1216" ht="16.5" customHeight="1" s="71">
      <c r="B1216" s="169" t="n"/>
      <c r="C1216" s="35" t="n"/>
      <c r="D1216" s="35" t="n"/>
      <c r="E1216" s="35" t="n"/>
      <c r="F1216" s="166" t="n"/>
      <c r="G1216" s="166">
        <f>IF(AND(E1216&lt;&gt;"",F1216&lt;&gt;""),E1216*F1216,"")</f>
      </c>
    </row>
    <row r="1217" ht="16.5" customHeight="1" s="71">
      <c r="B1217" s="169" t="n"/>
      <c r="C1217" s="35" t="n"/>
      <c r="D1217" s="35" t="n"/>
      <c r="E1217" s="35" t="n"/>
      <c r="F1217" s="166" t="n"/>
      <c r="G1217" s="166">
        <f>IF(AND(E1217&lt;&gt;"",F1217&lt;&gt;""),E1217*F1217,"")</f>
      </c>
    </row>
    <row r="1218" ht="16.5" customHeight="1" s="71">
      <c r="B1218" s="169" t="n"/>
      <c r="C1218" s="35" t="n"/>
      <c r="D1218" s="35" t="n"/>
      <c r="E1218" s="35" t="n"/>
      <c r="F1218" s="166" t="n"/>
      <c r="G1218" s="166">
        <f>IF(AND(E1218&lt;&gt;"",F1218&lt;&gt;""),E1218*F1218,"")</f>
      </c>
    </row>
    <row r="1219" ht="16.5" customHeight="1" s="71">
      <c r="B1219" s="169" t="n"/>
      <c r="C1219" s="35" t="n"/>
      <c r="D1219" s="35" t="n"/>
      <c r="E1219" s="35" t="n"/>
      <c r="F1219" s="166" t="n"/>
      <c r="G1219" s="166">
        <f>IF(AND(E1219&lt;&gt;"",F1219&lt;&gt;""),E1219*F1219,"")</f>
      </c>
    </row>
    <row r="1220" ht="16.5" customHeight="1" s="71">
      <c r="B1220" s="169" t="n"/>
      <c r="C1220" s="35" t="n"/>
      <c r="D1220" s="35" t="n"/>
      <c r="E1220" s="35" t="n"/>
      <c r="F1220" s="166" t="n"/>
      <c r="G1220" s="166">
        <f>IF(AND(E1220&lt;&gt;"",F1220&lt;&gt;""),E1220*F1220,"")</f>
      </c>
    </row>
    <row r="1221" ht="16.5" customHeight="1" s="71">
      <c r="B1221" s="169" t="n"/>
      <c r="C1221" s="35" t="n"/>
      <c r="D1221" s="35" t="n"/>
      <c r="E1221" s="35" t="n"/>
      <c r="F1221" s="166" t="n"/>
      <c r="G1221" s="166">
        <f>IF(AND(E1221&lt;&gt;"",F1221&lt;&gt;""),E1221*F1221,"")</f>
      </c>
    </row>
    <row r="1222" ht="16.5" customHeight="1" s="71">
      <c r="B1222" s="169" t="n"/>
      <c r="C1222" s="35" t="n"/>
      <c r="D1222" s="35" t="n"/>
      <c r="E1222" s="35" t="n"/>
      <c r="F1222" s="166" t="n"/>
      <c r="G1222" s="166">
        <f>IF(AND(E1222&lt;&gt;"",F1222&lt;&gt;""),E1222*F1222,"")</f>
      </c>
    </row>
    <row r="1223" ht="16.5" customHeight="1" s="71">
      <c r="B1223" s="169" t="n"/>
      <c r="C1223" s="35" t="n"/>
      <c r="D1223" s="35" t="n"/>
      <c r="E1223" s="35" t="n"/>
      <c r="F1223" s="166" t="n"/>
      <c r="G1223" s="166">
        <f>IF(AND(E1223&lt;&gt;"",F1223&lt;&gt;""),E1223*F1223,"")</f>
      </c>
    </row>
    <row r="1224" ht="16.5" customHeight="1" s="71">
      <c r="B1224" s="169" t="n"/>
      <c r="C1224" s="35" t="n"/>
      <c r="D1224" s="35" t="n"/>
      <c r="E1224" s="35" t="n"/>
      <c r="F1224" s="166" t="n"/>
      <c r="G1224" s="166">
        <f>IF(AND(E1224&lt;&gt;"",F1224&lt;&gt;""),E1224*F1224,"")</f>
      </c>
    </row>
    <row r="1225" ht="16.5" customHeight="1" s="71">
      <c r="B1225" s="169" t="n"/>
      <c r="C1225" s="35" t="n"/>
      <c r="D1225" s="35" t="n"/>
      <c r="E1225" s="35" t="n"/>
      <c r="F1225" s="166" t="n"/>
      <c r="G1225" s="166">
        <f>IF(AND(E1225&lt;&gt;"",F1225&lt;&gt;""),E1225*F1225,"")</f>
      </c>
    </row>
    <row r="1226" ht="16.5" customHeight="1" s="71">
      <c r="B1226" s="169" t="n"/>
      <c r="C1226" s="35" t="n"/>
      <c r="D1226" s="35" t="n"/>
      <c r="E1226" s="35" t="n"/>
      <c r="F1226" s="166" t="n"/>
      <c r="G1226" s="166">
        <f>IF(AND(E1226&lt;&gt;"",F1226&lt;&gt;""),E1226*F1226,"")</f>
      </c>
    </row>
    <row r="1227" ht="16.5" customHeight="1" s="71">
      <c r="B1227" s="169" t="n"/>
      <c r="C1227" s="35" t="n"/>
      <c r="D1227" s="35" t="n"/>
      <c r="E1227" s="35" t="n"/>
      <c r="F1227" s="166" t="n"/>
      <c r="G1227" s="166">
        <f>IF(AND(E1227&lt;&gt;"",F1227&lt;&gt;""),E1227*F1227,"")</f>
      </c>
    </row>
    <row r="1228" ht="16.5" customHeight="1" s="71">
      <c r="B1228" s="169" t="n"/>
      <c r="C1228" s="35" t="n"/>
      <c r="D1228" s="35" t="n"/>
      <c r="E1228" s="35" t="n"/>
      <c r="F1228" s="166" t="n"/>
      <c r="G1228" s="166">
        <f>IF(AND(E1228&lt;&gt;"",F1228&lt;&gt;""),E1228*F1228,"")</f>
      </c>
    </row>
    <row r="1229" ht="16.5" customHeight="1" s="71">
      <c r="B1229" s="169" t="n"/>
      <c r="C1229" s="35" t="n"/>
      <c r="D1229" s="35" t="n"/>
      <c r="E1229" s="35" t="n"/>
      <c r="F1229" s="166" t="n"/>
      <c r="G1229" s="166">
        <f>IF(AND(E1229&lt;&gt;"",F1229&lt;&gt;""),E1229*F1229,"")</f>
      </c>
    </row>
    <row r="1230" ht="16.5" customHeight="1" s="71">
      <c r="B1230" s="169" t="n"/>
      <c r="C1230" s="35" t="n"/>
      <c r="D1230" s="35" t="n"/>
      <c r="E1230" s="35" t="n"/>
      <c r="F1230" s="166" t="n"/>
      <c r="G1230" s="166">
        <f>IF(AND(E1230&lt;&gt;"",F1230&lt;&gt;""),E1230*F1230,"")</f>
      </c>
    </row>
    <row r="1231" ht="16.5" customHeight="1" s="71">
      <c r="B1231" s="169" t="n"/>
      <c r="C1231" s="35" t="n"/>
      <c r="D1231" s="35" t="n"/>
      <c r="E1231" s="35" t="n"/>
      <c r="F1231" s="166" t="n"/>
      <c r="G1231" s="166">
        <f>IF(AND(E1231&lt;&gt;"",F1231&lt;&gt;""),E1231*F1231,"")</f>
      </c>
    </row>
    <row r="1232" ht="16.5" customHeight="1" s="71">
      <c r="B1232" s="169" t="n"/>
      <c r="C1232" s="35" t="n"/>
      <c r="D1232" s="35" t="n"/>
      <c r="E1232" s="35" t="n"/>
      <c r="F1232" s="166" t="n"/>
      <c r="G1232" s="166">
        <f>IF(AND(E1232&lt;&gt;"",F1232&lt;&gt;""),E1232*F1232,"")</f>
      </c>
    </row>
    <row r="1233" ht="16.5" customHeight="1" s="71">
      <c r="B1233" s="169" t="n"/>
      <c r="C1233" s="35" t="n"/>
      <c r="D1233" s="35" t="n"/>
      <c r="E1233" s="35" t="n"/>
      <c r="F1233" s="166" t="n"/>
      <c r="G1233" s="166">
        <f>IF(AND(E1233&lt;&gt;"",F1233&lt;&gt;""),E1233*F1233,"")</f>
      </c>
    </row>
    <row r="1234" ht="16.5" customHeight="1" s="71">
      <c r="B1234" s="169" t="n"/>
      <c r="C1234" s="35" t="n"/>
      <c r="D1234" s="35" t="n"/>
      <c r="E1234" s="35" t="n"/>
      <c r="F1234" s="166" t="n"/>
      <c r="G1234" s="166">
        <f>IF(AND(E1234&lt;&gt;"",F1234&lt;&gt;""),E1234*F1234,"")</f>
      </c>
    </row>
    <row r="1235" ht="16.5" customHeight="1" s="71">
      <c r="B1235" s="169" t="n"/>
      <c r="C1235" s="35" t="n"/>
      <c r="D1235" s="35" t="n"/>
      <c r="E1235" s="35" t="n"/>
      <c r="F1235" s="166" t="n"/>
      <c r="G1235" s="166">
        <f>IF(AND(E1235&lt;&gt;"",F1235&lt;&gt;""),E1235*F1235,"")</f>
      </c>
    </row>
    <row r="1236" ht="16.5" customHeight="1" s="71">
      <c r="B1236" s="169" t="n"/>
      <c r="C1236" s="35" t="n"/>
      <c r="D1236" s="35" t="n"/>
      <c r="E1236" s="35" t="n"/>
      <c r="F1236" s="166" t="n"/>
      <c r="G1236" s="166">
        <f>IF(AND(E1236&lt;&gt;"",F1236&lt;&gt;""),E1236*F1236,"")</f>
      </c>
    </row>
    <row r="1237" ht="16.5" customHeight="1" s="71">
      <c r="B1237" s="169" t="n"/>
      <c r="C1237" s="35" t="n"/>
      <c r="D1237" s="35" t="n"/>
      <c r="E1237" s="35" t="n"/>
      <c r="F1237" s="166" t="n"/>
      <c r="G1237" s="166">
        <f>IF(AND(E1237&lt;&gt;"",F1237&lt;&gt;""),E1237*F1237,"")</f>
      </c>
    </row>
    <row r="1238" ht="16.5" customHeight="1" s="71">
      <c r="B1238" s="169" t="n"/>
      <c r="C1238" s="35" t="n"/>
      <c r="D1238" s="35" t="n"/>
      <c r="E1238" s="35" t="n"/>
      <c r="F1238" s="166" t="n"/>
      <c r="G1238" s="166">
        <f>IF(AND(E1238&lt;&gt;"",F1238&lt;&gt;""),E1238*F1238,"")</f>
      </c>
    </row>
    <row r="1239" ht="16.5" customHeight="1" s="71">
      <c r="B1239" s="169" t="n"/>
      <c r="C1239" s="35" t="n"/>
      <c r="D1239" s="35" t="n"/>
      <c r="E1239" s="35" t="n"/>
      <c r="F1239" s="166" t="n"/>
      <c r="G1239" s="166">
        <f>IF(AND(E1239&lt;&gt;"",F1239&lt;&gt;""),E1239*F1239,"")</f>
      </c>
    </row>
    <row r="1240" ht="16.5" customHeight="1" s="71">
      <c r="B1240" s="169" t="n"/>
      <c r="C1240" s="35" t="n"/>
      <c r="D1240" s="35" t="n"/>
      <c r="E1240" s="35" t="n"/>
      <c r="F1240" s="166" t="n"/>
      <c r="G1240" s="166">
        <f>IF(AND(E1240&lt;&gt;"",F1240&lt;&gt;""),E1240*F1240,"")</f>
      </c>
    </row>
    <row r="1241" ht="16.5" customHeight="1" s="71">
      <c r="B1241" s="169" t="n"/>
      <c r="C1241" s="35" t="n"/>
      <c r="D1241" s="35" t="n"/>
      <c r="E1241" s="35" t="n"/>
      <c r="F1241" s="166" t="n"/>
      <c r="G1241" s="166">
        <f>IF(AND(E1241&lt;&gt;"",F1241&lt;&gt;""),E1241*F1241,"")</f>
      </c>
    </row>
    <row r="1242" ht="16.5" customHeight="1" s="71">
      <c r="B1242" s="169" t="n"/>
      <c r="C1242" s="35" t="n"/>
      <c r="D1242" s="35" t="n"/>
      <c r="E1242" s="35" t="n"/>
      <c r="F1242" s="166" t="n"/>
      <c r="G1242" s="166">
        <f>IF(AND(E1242&lt;&gt;"",F1242&lt;&gt;""),E1242*F1242,"")</f>
      </c>
    </row>
    <row r="1243" ht="16.5" customHeight="1" s="71">
      <c r="B1243" s="169" t="n"/>
      <c r="C1243" s="35" t="n"/>
      <c r="D1243" s="35" t="n"/>
      <c r="E1243" s="35" t="n"/>
      <c r="F1243" s="166" t="n"/>
      <c r="G1243" s="166">
        <f>IF(AND(E1243&lt;&gt;"",F1243&lt;&gt;""),E1243*F1243,"")</f>
      </c>
    </row>
    <row r="1244" ht="16.5" customHeight="1" s="71">
      <c r="B1244" s="169" t="n"/>
      <c r="C1244" s="35" t="n"/>
      <c r="D1244" s="35" t="n"/>
      <c r="E1244" s="35" t="n"/>
      <c r="F1244" s="166" t="n"/>
      <c r="G1244" s="166">
        <f>IF(AND(E1244&lt;&gt;"",F1244&lt;&gt;""),E1244*F1244,"")</f>
      </c>
    </row>
    <row r="1245" ht="16.5" customHeight="1" s="71">
      <c r="B1245" s="169" t="n"/>
      <c r="C1245" s="35" t="n"/>
      <c r="D1245" s="35" t="n"/>
      <c r="E1245" s="35" t="n"/>
      <c r="F1245" s="166" t="n"/>
      <c r="G1245" s="166">
        <f>IF(AND(E1245&lt;&gt;"",F1245&lt;&gt;""),E1245*F1245,"")</f>
      </c>
    </row>
    <row r="1246" ht="16.5" customHeight="1" s="71">
      <c r="B1246" s="169" t="n"/>
      <c r="C1246" s="35" t="n"/>
      <c r="D1246" s="35" t="n"/>
      <c r="E1246" s="35" t="n"/>
      <c r="F1246" s="166" t="n"/>
      <c r="G1246" s="166">
        <f>IF(AND(E1246&lt;&gt;"",F1246&lt;&gt;""),E1246*F1246,"")</f>
      </c>
    </row>
    <row r="1247" ht="16.5" customHeight="1" s="71">
      <c r="B1247" s="169" t="n"/>
      <c r="C1247" s="35" t="n"/>
      <c r="D1247" s="35" t="n"/>
      <c r="E1247" s="35" t="n"/>
      <c r="F1247" s="166" t="n"/>
      <c r="G1247" s="166">
        <f>IF(AND(E1247&lt;&gt;"",F1247&lt;&gt;""),E1247*F1247,"")</f>
      </c>
    </row>
    <row r="1248" ht="16.5" customHeight="1" s="71">
      <c r="B1248" s="169" t="n"/>
      <c r="C1248" s="35" t="n"/>
      <c r="D1248" s="35" t="n"/>
      <c r="E1248" s="35" t="n"/>
      <c r="F1248" s="166" t="n"/>
      <c r="G1248" s="166">
        <f>IF(AND(E1248&lt;&gt;"",F1248&lt;&gt;""),E1248*F1248,"")</f>
      </c>
    </row>
    <row r="1249" ht="16.5" customHeight="1" s="71">
      <c r="B1249" s="169" t="n"/>
      <c r="C1249" s="35" t="n"/>
      <c r="D1249" s="35" t="n"/>
      <c r="E1249" s="35" t="n"/>
      <c r="F1249" s="166" t="n"/>
      <c r="G1249" s="166">
        <f>IF(AND(E1249&lt;&gt;"",F1249&lt;&gt;""),E1249*F1249,"")</f>
      </c>
    </row>
    <row r="1250" ht="16.5" customHeight="1" s="71">
      <c r="B1250" s="169" t="n"/>
      <c r="C1250" s="35" t="n"/>
      <c r="D1250" s="35" t="n"/>
      <c r="E1250" s="35" t="n"/>
      <c r="F1250" s="166" t="n"/>
      <c r="G1250" s="166">
        <f>IF(AND(E1250&lt;&gt;"",F1250&lt;&gt;""),E1250*F1250,"")</f>
      </c>
    </row>
    <row r="1251" ht="16.5" customHeight="1" s="71">
      <c r="B1251" s="169" t="n"/>
      <c r="C1251" s="35" t="n"/>
      <c r="D1251" s="35" t="n"/>
      <c r="E1251" s="35" t="n"/>
      <c r="F1251" s="166" t="n"/>
      <c r="G1251" s="166">
        <f>IF(AND(E1251&lt;&gt;"",F1251&lt;&gt;""),E1251*F1251,"")</f>
      </c>
    </row>
    <row r="1252" ht="16.5" customHeight="1" s="71">
      <c r="B1252" s="169" t="n"/>
      <c r="C1252" s="35" t="n"/>
      <c r="D1252" s="35" t="n"/>
      <c r="E1252" s="35" t="n"/>
      <c r="F1252" s="166" t="n"/>
      <c r="G1252" s="166">
        <f>IF(AND(E1252&lt;&gt;"",F1252&lt;&gt;""),E1252*F1252,"")</f>
      </c>
    </row>
    <row r="1253" ht="16.5" customHeight="1" s="71">
      <c r="B1253" s="169" t="n"/>
      <c r="C1253" s="35" t="n"/>
      <c r="D1253" s="35" t="n"/>
      <c r="E1253" s="35" t="n"/>
      <c r="F1253" s="166" t="n"/>
      <c r="G1253" s="166">
        <f>IF(AND(E1253&lt;&gt;"",F1253&lt;&gt;""),E1253*F1253,"")</f>
      </c>
    </row>
    <row r="1254" ht="16.5" customHeight="1" s="71">
      <c r="B1254" s="169" t="n"/>
      <c r="C1254" s="35" t="n"/>
      <c r="D1254" s="35" t="n"/>
      <c r="E1254" s="35" t="n"/>
      <c r="F1254" s="166" t="n"/>
      <c r="G1254" s="166">
        <f>IF(AND(E1254&lt;&gt;"",F1254&lt;&gt;""),E1254*F1254,"")</f>
      </c>
    </row>
    <row r="1255" ht="16.5" customHeight="1" s="71">
      <c r="B1255" s="169" t="n"/>
      <c r="C1255" s="35" t="n"/>
      <c r="D1255" s="35" t="n"/>
      <c r="E1255" s="35" t="n"/>
      <c r="F1255" s="166" t="n"/>
      <c r="G1255" s="166">
        <f>IF(AND(E1255&lt;&gt;"",F1255&lt;&gt;""),E1255*F1255,"")</f>
      </c>
    </row>
    <row r="1256" ht="16.5" customHeight="1" s="71">
      <c r="B1256" s="169" t="n"/>
      <c r="C1256" s="35" t="n"/>
      <c r="D1256" s="35" t="n"/>
      <c r="E1256" s="35" t="n"/>
      <c r="F1256" s="166" t="n"/>
      <c r="G1256" s="166">
        <f>IF(AND(E1256&lt;&gt;"",F1256&lt;&gt;""),E1256*F1256,"")</f>
      </c>
    </row>
    <row r="1257" ht="16.5" customHeight="1" s="71">
      <c r="B1257" s="169" t="n"/>
      <c r="C1257" s="35" t="n"/>
      <c r="D1257" s="35" t="n"/>
      <c r="E1257" s="35" t="n"/>
      <c r="F1257" s="166" t="n"/>
      <c r="G1257" s="166">
        <f>IF(AND(E1257&lt;&gt;"",F1257&lt;&gt;""),E1257*F1257,"")</f>
      </c>
    </row>
    <row r="1258" ht="16.5" customHeight="1" s="71">
      <c r="B1258" s="169" t="n"/>
      <c r="C1258" s="35" t="n"/>
      <c r="D1258" s="35" t="n"/>
      <c r="E1258" s="35" t="n"/>
      <c r="F1258" s="166" t="n"/>
      <c r="G1258" s="166">
        <f>IF(AND(E1258&lt;&gt;"",F1258&lt;&gt;""),E1258*F1258,"")</f>
      </c>
    </row>
    <row r="1259" ht="16.5" customHeight="1" s="71">
      <c r="B1259" s="169" t="n"/>
      <c r="C1259" s="35" t="n"/>
      <c r="D1259" s="35" t="n"/>
      <c r="E1259" s="35" t="n"/>
      <c r="F1259" s="166" t="n"/>
      <c r="G1259" s="166">
        <f>IF(AND(E1259&lt;&gt;"",F1259&lt;&gt;""),E1259*F1259,"")</f>
      </c>
    </row>
    <row r="1260" ht="16.5" customHeight="1" s="71">
      <c r="B1260" s="169" t="n"/>
      <c r="C1260" s="35" t="n"/>
      <c r="D1260" s="35" t="n"/>
      <c r="E1260" s="35" t="n"/>
      <c r="F1260" s="166" t="n"/>
      <c r="G1260" s="166">
        <f>IF(AND(E1260&lt;&gt;"",F1260&lt;&gt;""),E1260*F1260,"")</f>
      </c>
    </row>
    <row r="1261" ht="16.5" customHeight="1" s="71">
      <c r="B1261" s="169" t="n"/>
      <c r="C1261" s="35" t="n"/>
      <c r="D1261" s="35" t="n"/>
      <c r="E1261" s="35" t="n"/>
      <c r="F1261" s="166" t="n"/>
      <c r="G1261" s="166">
        <f>IF(AND(E1261&lt;&gt;"",F1261&lt;&gt;""),E1261*F1261,"")</f>
      </c>
    </row>
    <row r="1262" ht="16.5" customHeight="1" s="71">
      <c r="B1262" s="169" t="n"/>
      <c r="C1262" s="35" t="n"/>
      <c r="D1262" s="35" t="n"/>
      <c r="E1262" s="35" t="n"/>
      <c r="F1262" s="166" t="n"/>
      <c r="G1262" s="166">
        <f>IF(AND(E1262&lt;&gt;"",F1262&lt;&gt;""),E1262*F1262,"")</f>
      </c>
    </row>
    <row r="1263" ht="16.5" customHeight="1" s="71">
      <c r="B1263" s="169" t="n"/>
      <c r="C1263" s="35" t="n"/>
      <c r="D1263" s="35" t="n"/>
      <c r="E1263" s="35" t="n"/>
      <c r="F1263" s="166" t="n"/>
      <c r="G1263" s="166">
        <f>IF(AND(E1263&lt;&gt;"",F1263&lt;&gt;""),E1263*F1263,"")</f>
      </c>
    </row>
    <row r="1264" ht="16.5" customHeight="1" s="71">
      <c r="B1264" s="169" t="n"/>
      <c r="C1264" s="35" t="n"/>
      <c r="D1264" s="35" t="n"/>
      <c r="E1264" s="35" t="n"/>
      <c r="F1264" s="166" t="n"/>
      <c r="G1264" s="166">
        <f>IF(AND(E1264&lt;&gt;"",F1264&lt;&gt;""),E1264*F1264,"")</f>
      </c>
    </row>
    <row r="1265" ht="16.5" customHeight="1" s="71">
      <c r="B1265" s="169" t="n"/>
      <c r="C1265" s="35" t="n"/>
      <c r="D1265" s="35" t="n"/>
      <c r="E1265" s="35" t="n"/>
      <c r="F1265" s="166" t="n"/>
      <c r="G1265" s="166">
        <f>IF(AND(E1265&lt;&gt;"",F1265&lt;&gt;""),E1265*F1265,"")</f>
      </c>
    </row>
    <row r="1266" ht="16.5" customHeight="1" s="71">
      <c r="B1266" s="169" t="n"/>
      <c r="C1266" s="35" t="n"/>
      <c r="D1266" s="35" t="n"/>
      <c r="E1266" s="35" t="n"/>
      <c r="F1266" s="166" t="n"/>
      <c r="G1266" s="166">
        <f>IF(AND(E1266&lt;&gt;"",F1266&lt;&gt;""),E1266*F1266,"")</f>
      </c>
    </row>
    <row r="1267" ht="16.5" customHeight="1" s="71">
      <c r="B1267" s="169" t="n"/>
      <c r="C1267" s="35" t="n"/>
      <c r="D1267" s="35" t="n"/>
      <c r="E1267" s="35" t="n"/>
      <c r="F1267" s="166" t="n"/>
      <c r="G1267" s="166">
        <f>IF(AND(E1267&lt;&gt;"",F1267&lt;&gt;""),E1267*F1267,"")</f>
      </c>
    </row>
    <row r="1268" ht="16.5" customHeight="1" s="71">
      <c r="B1268" s="169" t="n"/>
      <c r="C1268" s="35" t="n"/>
      <c r="D1268" s="35" t="n"/>
      <c r="E1268" s="35" t="n"/>
      <c r="F1268" s="166" t="n"/>
      <c r="G1268" s="166">
        <f>IF(AND(E1268&lt;&gt;"",F1268&lt;&gt;""),E1268*F1268,"")</f>
      </c>
    </row>
    <row r="1269" ht="16.5" customHeight="1" s="71">
      <c r="B1269" s="169" t="n"/>
      <c r="C1269" s="35" t="n"/>
      <c r="D1269" s="35" t="n"/>
      <c r="E1269" s="35" t="n"/>
      <c r="F1269" s="166" t="n"/>
      <c r="G1269" s="166">
        <f>IF(AND(E1269&lt;&gt;"",F1269&lt;&gt;""),E1269*F1269,"")</f>
      </c>
    </row>
    <row r="1270" ht="16.5" customHeight="1" s="71">
      <c r="B1270" s="169" t="n"/>
      <c r="C1270" s="35" t="n"/>
      <c r="D1270" s="35" t="n"/>
      <c r="E1270" s="35" t="n"/>
      <c r="F1270" s="166" t="n"/>
      <c r="G1270" s="166">
        <f>IF(AND(E1270&lt;&gt;"",F1270&lt;&gt;""),E1270*F1270,"")</f>
      </c>
    </row>
    <row r="1271" ht="16.5" customHeight="1" s="71">
      <c r="B1271" s="169" t="n"/>
      <c r="C1271" s="35" t="n"/>
      <c r="D1271" s="35" t="n"/>
      <c r="E1271" s="35" t="n"/>
      <c r="F1271" s="166" t="n"/>
      <c r="G1271" s="166">
        <f>IF(AND(E1271&lt;&gt;"",F1271&lt;&gt;""),E1271*F1271,"")</f>
      </c>
    </row>
    <row r="1272" ht="16.5" customHeight="1" s="71">
      <c r="B1272" s="169" t="n"/>
      <c r="C1272" s="35" t="n"/>
      <c r="D1272" s="35" t="n"/>
      <c r="E1272" s="35" t="n"/>
      <c r="F1272" s="166" t="n"/>
      <c r="G1272" s="166">
        <f>IF(AND(E1272&lt;&gt;"",F1272&lt;&gt;""),E1272*F1272,"")</f>
      </c>
    </row>
    <row r="1273" ht="16.5" customHeight="1" s="71">
      <c r="B1273" s="169" t="n"/>
      <c r="C1273" s="35" t="n"/>
      <c r="D1273" s="35" t="n"/>
      <c r="E1273" s="35" t="n"/>
      <c r="F1273" s="166" t="n"/>
      <c r="G1273" s="166">
        <f>IF(AND(E1273&lt;&gt;"",F1273&lt;&gt;""),E1273*F1273,"")</f>
      </c>
    </row>
    <row r="1274" ht="16.5" customHeight="1" s="71">
      <c r="B1274" s="169" t="n"/>
      <c r="C1274" s="35" t="n"/>
      <c r="D1274" s="35" t="n"/>
      <c r="E1274" s="35" t="n"/>
      <c r="F1274" s="166" t="n"/>
      <c r="G1274" s="166">
        <f>IF(AND(E1274&lt;&gt;"",F1274&lt;&gt;""),E1274*F1274,"")</f>
      </c>
    </row>
    <row r="1275" ht="16.5" customHeight="1" s="71">
      <c r="B1275" s="169" t="n"/>
      <c r="C1275" s="35" t="n"/>
      <c r="D1275" s="35" t="n"/>
      <c r="E1275" s="35" t="n"/>
      <c r="F1275" s="166" t="n"/>
      <c r="G1275" s="166">
        <f>IF(AND(E1275&lt;&gt;"",F1275&lt;&gt;""),E1275*F1275,"")</f>
      </c>
    </row>
    <row r="1276" ht="16.5" customHeight="1" s="71">
      <c r="B1276" s="169" t="n"/>
      <c r="C1276" s="35" t="n"/>
      <c r="D1276" s="35" t="n"/>
      <c r="E1276" s="35" t="n"/>
      <c r="F1276" s="166" t="n"/>
      <c r="G1276" s="166">
        <f>IF(AND(E1276&lt;&gt;"",F1276&lt;&gt;""),E1276*F1276,"")</f>
      </c>
    </row>
    <row r="1277" ht="16.5" customHeight="1" s="71">
      <c r="B1277" s="169" t="n"/>
      <c r="C1277" s="35" t="n"/>
      <c r="D1277" s="35" t="n"/>
      <c r="E1277" s="35" t="n"/>
      <c r="F1277" s="166" t="n"/>
      <c r="G1277" s="166">
        <f>IF(AND(E1277&lt;&gt;"",F1277&lt;&gt;""),E1277*F1277,"")</f>
      </c>
    </row>
    <row r="1278" ht="16.5" customHeight="1" s="71">
      <c r="B1278" s="169" t="n"/>
      <c r="C1278" s="35" t="n"/>
      <c r="D1278" s="35" t="n"/>
      <c r="E1278" s="35" t="n"/>
      <c r="F1278" s="166" t="n"/>
      <c r="G1278" s="166">
        <f>IF(AND(E1278&lt;&gt;"",F1278&lt;&gt;""),E1278*F1278,"")</f>
      </c>
    </row>
    <row r="1279" ht="16.5" customHeight="1" s="71">
      <c r="B1279" s="169" t="n"/>
      <c r="C1279" s="35" t="n"/>
      <c r="D1279" s="35" t="n"/>
      <c r="E1279" s="35" t="n"/>
      <c r="F1279" s="166" t="n"/>
      <c r="G1279" s="166">
        <f>IF(AND(E1279&lt;&gt;"",F1279&lt;&gt;""),E1279*F1279,"")</f>
      </c>
    </row>
    <row r="1280" ht="16.5" customHeight="1" s="71">
      <c r="B1280" s="169" t="n"/>
      <c r="C1280" s="35" t="n"/>
      <c r="D1280" s="35" t="n"/>
      <c r="E1280" s="35" t="n"/>
      <c r="F1280" s="166" t="n"/>
      <c r="G1280" s="166">
        <f>IF(AND(E1280&lt;&gt;"",F1280&lt;&gt;""),E1280*F1280,"")</f>
      </c>
    </row>
    <row r="1281" ht="16.5" customHeight="1" s="71">
      <c r="B1281" s="169" t="n"/>
      <c r="C1281" s="35" t="n"/>
      <c r="D1281" s="35" t="n"/>
      <c r="E1281" s="35" t="n"/>
      <c r="F1281" s="166" t="n"/>
      <c r="G1281" s="166">
        <f>IF(AND(E1281&lt;&gt;"",F1281&lt;&gt;""),E1281*F1281,"")</f>
      </c>
    </row>
    <row r="1282" ht="16.5" customHeight="1" s="71">
      <c r="B1282" s="169" t="n"/>
      <c r="C1282" s="35" t="n"/>
      <c r="D1282" s="35" t="n"/>
      <c r="E1282" s="35" t="n"/>
      <c r="F1282" s="166" t="n"/>
      <c r="G1282" s="166">
        <f>IF(AND(E1282&lt;&gt;"",F1282&lt;&gt;""),E1282*F1282,"")</f>
      </c>
    </row>
    <row r="1283" ht="16.5" customHeight="1" s="71">
      <c r="B1283" s="169" t="n"/>
      <c r="C1283" s="35" t="n"/>
      <c r="D1283" s="35" t="n"/>
      <c r="E1283" s="35" t="n"/>
      <c r="F1283" s="166" t="n"/>
      <c r="G1283" s="166">
        <f>IF(AND(E1283&lt;&gt;"",F1283&lt;&gt;""),E1283*F1283,"")</f>
      </c>
    </row>
    <row r="1284" ht="16.5" customHeight="1" s="71">
      <c r="B1284" s="169" t="n"/>
      <c r="C1284" s="35" t="n"/>
      <c r="D1284" s="35" t="n"/>
      <c r="E1284" s="35" t="n"/>
      <c r="F1284" s="166" t="n"/>
      <c r="G1284" s="166">
        <f>IF(AND(E1284&lt;&gt;"",F1284&lt;&gt;""),E1284*F1284,"")</f>
      </c>
    </row>
    <row r="1285" ht="16.5" customHeight="1" s="71">
      <c r="B1285" s="169" t="n"/>
      <c r="C1285" s="35" t="n"/>
      <c r="D1285" s="35" t="n"/>
      <c r="E1285" s="35" t="n"/>
      <c r="F1285" s="166" t="n"/>
      <c r="G1285" s="166">
        <f>IF(AND(E1285&lt;&gt;"",F1285&lt;&gt;""),E1285*F1285,"")</f>
      </c>
    </row>
    <row r="1286" ht="16.5" customHeight="1" s="71">
      <c r="B1286" s="169" t="n"/>
      <c r="C1286" s="35" t="n"/>
      <c r="D1286" s="35" t="n"/>
      <c r="E1286" s="35" t="n"/>
      <c r="F1286" s="166" t="n"/>
      <c r="G1286" s="166">
        <f>IF(AND(E1286&lt;&gt;"",F1286&lt;&gt;""),E1286*F1286,"")</f>
      </c>
    </row>
    <row r="1287" ht="16.5" customHeight="1" s="71">
      <c r="B1287" s="169" t="n"/>
      <c r="C1287" s="35" t="n"/>
      <c r="D1287" s="35" t="n"/>
      <c r="E1287" s="35" t="n"/>
      <c r="F1287" s="166" t="n"/>
      <c r="G1287" s="166">
        <f>IF(AND(E1287&lt;&gt;"",F1287&lt;&gt;""),E1287*F1287,"")</f>
      </c>
    </row>
    <row r="1288" ht="16.5" customHeight="1" s="71">
      <c r="B1288" s="169" t="n"/>
      <c r="C1288" s="35" t="n"/>
      <c r="D1288" s="35" t="n"/>
      <c r="E1288" s="35" t="n"/>
      <c r="F1288" s="166" t="n"/>
      <c r="G1288" s="166">
        <f>IF(AND(E1288&lt;&gt;"",F1288&lt;&gt;""),E1288*F1288,"")</f>
      </c>
    </row>
    <row r="1289" ht="16.5" customHeight="1" s="71">
      <c r="B1289" s="169" t="n"/>
      <c r="C1289" s="35" t="n"/>
      <c r="D1289" s="35" t="n"/>
      <c r="E1289" s="35" t="n"/>
      <c r="F1289" s="166" t="n"/>
      <c r="G1289" s="166">
        <f>IF(AND(E1289&lt;&gt;"",F1289&lt;&gt;""),E1289*F1289,"")</f>
      </c>
    </row>
    <row r="1290" ht="16.5" customHeight="1" s="71">
      <c r="B1290" s="169" t="n"/>
      <c r="C1290" s="35" t="n"/>
      <c r="D1290" s="35" t="n"/>
      <c r="E1290" s="35" t="n"/>
      <c r="F1290" s="166" t="n"/>
      <c r="G1290" s="166">
        <f>IF(AND(E1290&lt;&gt;"",F1290&lt;&gt;""),E1290*F1290,"")</f>
      </c>
    </row>
    <row r="1291" ht="16.5" customHeight="1" s="71">
      <c r="B1291" s="169" t="n"/>
      <c r="C1291" s="35" t="n"/>
      <c r="D1291" s="35" t="n"/>
      <c r="E1291" s="35" t="n"/>
      <c r="F1291" s="166" t="n"/>
      <c r="G1291" s="166">
        <f>IF(AND(E1291&lt;&gt;"",F1291&lt;&gt;""),E1291*F1291,"")</f>
      </c>
    </row>
    <row r="1292" ht="16.5" customHeight="1" s="71">
      <c r="B1292" s="169" t="n"/>
      <c r="C1292" s="35" t="n"/>
      <c r="D1292" s="35" t="n"/>
      <c r="E1292" s="35" t="n"/>
      <c r="F1292" s="166" t="n"/>
      <c r="G1292" s="166">
        <f>IF(AND(E1292&lt;&gt;"",F1292&lt;&gt;""),E1292*F1292,"")</f>
      </c>
    </row>
    <row r="1293" ht="16.5" customHeight="1" s="71">
      <c r="B1293" s="169" t="n"/>
      <c r="C1293" s="35" t="n"/>
      <c r="D1293" s="35" t="n"/>
      <c r="E1293" s="35" t="n"/>
      <c r="F1293" s="166" t="n"/>
      <c r="G1293" s="166">
        <f>IF(AND(E1293&lt;&gt;"",F1293&lt;&gt;""),E1293*F1293,"")</f>
      </c>
    </row>
    <row r="1294" ht="16.5" customHeight="1" s="71">
      <c r="B1294" s="169" t="n"/>
      <c r="C1294" s="35" t="n"/>
      <c r="D1294" s="35" t="n"/>
      <c r="E1294" s="35" t="n"/>
      <c r="F1294" s="166" t="n"/>
      <c r="G1294" s="166">
        <f>IF(AND(E1294&lt;&gt;"",F1294&lt;&gt;""),E1294*F1294,"")</f>
      </c>
    </row>
    <row r="1295" ht="16.5" customHeight="1" s="71">
      <c r="B1295" s="169" t="n"/>
      <c r="C1295" s="35" t="n"/>
      <c r="D1295" s="35" t="n"/>
      <c r="E1295" s="35" t="n"/>
      <c r="F1295" s="166" t="n"/>
      <c r="G1295" s="166">
        <f>IF(AND(E1295&lt;&gt;"",F1295&lt;&gt;""),E1295*F1295,"")</f>
      </c>
    </row>
    <row r="1296" ht="16.5" customHeight="1" s="71">
      <c r="B1296" s="169" t="n"/>
      <c r="C1296" s="35" t="n"/>
      <c r="D1296" s="35" t="n"/>
      <c r="E1296" s="35" t="n"/>
      <c r="F1296" s="166" t="n"/>
      <c r="G1296" s="166">
        <f>IF(AND(E1296&lt;&gt;"",F1296&lt;&gt;""),E1296*F1296,"")</f>
      </c>
    </row>
    <row r="1297" ht="16.5" customHeight="1" s="71">
      <c r="B1297" s="169" t="n"/>
      <c r="C1297" s="35" t="n"/>
      <c r="D1297" s="35" t="n"/>
      <c r="E1297" s="35" t="n"/>
      <c r="F1297" s="166" t="n"/>
      <c r="G1297" s="166">
        <f>IF(AND(E1297&lt;&gt;"",F1297&lt;&gt;""),E1297*F1297,"")</f>
      </c>
    </row>
    <row r="1298" ht="16.5" customHeight="1" s="71">
      <c r="B1298" s="169" t="n"/>
      <c r="C1298" s="35" t="n"/>
      <c r="D1298" s="35" t="n"/>
      <c r="E1298" s="35" t="n"/>
      <c r="F1298" s="166" t="n"/>
      <c r="G1298" s="166">
        <f>IF(AND(E1298&lt;&gt;"",F1298&lt;&gt;""),E1298*F1298,"")</f>
      </c>
    </row>
    <row r="1299" ht="16.5" customHeight="1" s="71">
      <c r="B1299" s="169" t="n"/>
      <c r="C1299" s="35" t="n"/>
      <c r="D1299" s="35" t="n"/>
      <c r="E1299" s="35" t="n"/>
      <c r="F1299" s="166" t="n"/>
      <c r="G1299" s="166">
        <f>IF(AND(E1299&lt;&gt;"",F1299&lt;&gt;""),E1299*F1299,"")</f>
      </c>
    </row>
    <row r="1300" ht="16.5" customHeight="1" s="71">
      <c r="B1300" s="169" t="n"/>
      <c r="C1300" s="35" t="n"/>
      <c r="D1300" s="35" t="n"/>
      <c r="E1300" s="35" t="n"/>
      <c r="F1300" s="166" t="n"/>
      <c r="G1300" s="166">
        <f>IF(AND(E1300&lt;&gt;"",F1300&lt;&gt;""),E1300*F1300,"")</f>
      </c>
    </row>
    <row r="1301" ht="16.5" customHeight="1" s="71">
      <c r="B1301" s="169" t="n"/>
      <c r="C1301" s="35" t="n"/>
      <c r="D1301" s="35" t="n"/>
      <c r="E1301" s="35" t="n"/>
      <c r="F1301" s="166" t="n"/>
      <c r="G1301" s="166">
        <f>IF(AND(E1301&lt;&gt;"",F1301&lt;&gt;""),E1301*F1301,"")</f>
      </c>
    </row>
    <row r="1302" ht="16.5" customHeight="1" s="71">
      <c r="B1302" s="169" t="n"/>
      <c r="C1302" s="35" t="n"/>
      <c r="D1302" s="35" t="n"/>
      <c r="E1302" s="35" t="n"/>
      <c r="F1302" s="166" t="n"/>
      <c r="G1302" s="166">
        <f>IF(AND(E1302&lt;&gt;"",F1302&lt;&gt;""),E1302*F1302,"")</f>
      </c>
    </row>
    <row r="1303" ht="16.5" customHeight="1" s="71">
      <c r="B1303" s="169" t="n"/>
      <c r="C1303" s="35" t="n"/>
      <c r="D1303" s="35" t="n"/>
      <c r="E1303" s="35" t="n"/>
      <c r="F1303" s="166" t="n"/>
      <c r="G1303" s="166">
        <f>IF(AND(E1303&lt;&gt;"",F1303&lt;&gt;""),E1303*F1303,"")</f>
      </c>
    </row>
    <row r="1304" ht="16.5" customHeight="1" s="71">
      <c r="B1304" s="169" t="n"/>
      <c r="C1304" s="35" t="n"/>
      <c r="D1304" s="35" t="n"/>
      <c r="E1304" s="35" t="n"/>
      <c r="F1304" s="166" t="n"/>
      <c r="G1304" s="166">
        <f>IF(AND(E1304&lt;&gt;"",F1304&lt;&gt;""),E1304*F1304,"")</f>
      </c>
    </row>
    <row r="1305" ht="16.5" customHeight="1" s="71">
      <c r="B1305" s="169" t="n"/>
      <c r="C1305" s="35" t="n"/>
      <c r="D1305" s="35" t="n"/>
      <c r="E1305" s="35" t="n"/>
      <c r="F1305" s="166" t="n"/>
      <c r="G1305" s="166">
        <f>IF(AND(E1305&lt;&gt;"",F1305&lt;&gt;""),E1305*F1305,"")</f>
      </c>
    </row>
    <row r="1306" ht="16.5" customHeight="1" s="71">
      <c r="B1306" s="169" t="n"/>
      <c r="C1306" s="35" t="n"/>
      <c r="D1306" s="35" t="n"/>
      <c r="E1306" s="35" t="n"/>
      <c r="F1306" s="166" t="n"/>
      <c r="G1306" s="166">
        <f>IF(AND(E1306&lt;&gt;"",F1306&lt;&gt;""),E1306*F1306,"")</f>
      </c>
    </row>
    <row r="1307" ht="16.5" customHeight="1" s="71">
      <c r="B1307" s="169" t="n"/>
      <c r="C1307" s="35" t="n"/>
      <c r="D1307" s="35" t="n"/>
      <c r="E1307" s="35" t="n"/>
      <c r="F1307" s="166" t="n"/>
      <c r="G1307" s="166">
        <f>IF(AND(E1307&lt;&gt;"",F1307&lt;&gt;""),E1307*F1307,"")</f>
      </c>
    </row>
    <row r="1308" ht="16.5" customHeight="1" s="71">
      <c r="B1308" s="169" t="n"/>
      <c r="C1308" s="35" t="n"/>
      <c r="D1308" s="35" t="n"/>
      <c r="E1308" s="35" t="n"/>
      <c r="F1308" s="166" t="n"/>
      <c r="G1308" s="166">
        <f>IF(AND(E1308&lt;&gt;"",F1308&lt;&gt;""),E1308*F1308,"")</f>
      </c>
    </row>
    <row r="1309" ht="16.5" customHeight="1" s="71">
      <c r="B1309" s="169" t="n"/>
      <c r="C1309" s="35" t="n"/>
      <c r="D1309" s="35" t="n"/>
      <c r="E1309" s="35" t="n"/>
      <c r="F1309" s="166" t="n"/>
      <c r="G1309" s="166">
        <f>IF(AND(E1309&lt;&gt;"",F1309&lt;&gt;""),E1309*F1309,"")</f>
      </c>
    </row>
    <row r="1310" ht="16.5" customHeight="1" s="71">
      <c r="B1310" s="169" t="n"/>
      <c r="C1310" s="35" t="n"/>
      <c r="D1310" s="35" t="n"/>
      <c r="E1310" s="35" t="n"/>
      <c r="F1310" s="166" t="n"/>
      <c r="G1310" s="166">
        <f>IF(AND(E1310&lt;&gt;"",F1310&lt;&gt;""),E1310*F1310,"")</f>
      </c>
    </row>
    <row r="1311" ht="16.5" customHeight="1" s="71">
      <c r="B1311" s="169" t="n"/>
      <c r="C1311" s="35" t="n"/>
      <c r="D1311" s="35" t="n"/>
      <c r="E1311" s="35" t="n"/>
      <c r="F1311" s="166" t="n"/>
      <c r="G1311" s="166">
        <f>IF(AND(E1311&lt;&gt;"",F1311&lt;&gt;""),E1311*F1311,"")</f>
      </c>
    </row>
    <row r="1312" ht="16.5" customHeight="1" s="71">
      <c r="B1312" s="169" t="n"/>
      <c r="C1312" s="35" t="n"/>
      <c r="D1312" s="35" t="n"/>
      <c r="E1312" s="35" t="n"/>
      <c r="F1312" s="166" t="n"/>
      <c r="G1312" s="166">
        <f>IF(AND(E1312&lt;&gt;"",F1312&lt;&gt;""),E1312*F1312,"")</f>
      </c>
    </row>
    <row r="1313" ht="16.5" customHeight="1" s="71">
      <c r="B1313" s="169" t="n"/>
      <c r="C1313" s="35" t="n"/>
      <c r="D1313" s="35" t="n"/>
      <c r="E1313" s="35" t="n"/>
      <c r="F1313" s="166" t="n"/>
      <c r="G1313" s="166">
        <f>IF(AND(E1313&lt;&gt;"",F1313&lt;&gt;""),E1313*F1313,"")</f>
      </c>
    </row>
    <row r="1314" ht="16.5" customHeight="1" s="71">
      <c r="B1314" s="169" t="n"/>
      <c r="C1314" s="35" t="n"/>
      <c r="D1314" s="35" t="n"/>
      <c r="E1314" s="35" t="n"/>
      <c r="F1314" s="166" t="n"/>
      <c r="G1314" s="166">
        <f>IF(AND(E1314&lt;&gt;"",F1314&lt;&gt;""),E1314*F1314,"")</f>
      </c>
    </row>
    <row r="1315" ht="16.5" customHeight="1" s="71">
      <c r="B1315" s="169" t="n"/>
      <c r="C1315" s="35" t="n"/>
      <c r="D1315" s="35" t="n"/>
      <c r="E1315" s="35" t="n"/>
      <c r="F1315" s="166" t="n"/>
      <c r="G1315" s="166">
        <f>IF(AND(E1315&lt;&gt;"",F1315&lt;&gt;""),E1315*F1315,"")</f>
      </c>
    </row>
    <row r="1316" ht="16.5" customHeight="1" s="71">
      <c r="B1316" s="169" t="n"/>
      <c r="C1316" s="35" t="n"/>
      <c r="D1316" s="35" t="n"/>
      <c r="E1316" s="35" t="n"/>
      <c r="F1316" s="166" t="n"/>
      <c r="G1316" s="166">
        <f>IF(AND(E1316&lt;&gt;"",F1316&lt;&gt;""),E1316*F1316,"")</f>
      </c>
    </row>
    <row r="1317" ht="16.5" customHeight="1" s="71">
      <c r="B1317" s="169" t="n"/>
      <c r="C1317" s="35" t="n"/>
      <c r="D1317" s="35" t="n"/>
      <c r="E1317" s="35" t="n"/>
      <c r="F1317" s="166" t="n"/>
      <c r="G1317" s="166">
        <f>IF(AND(E1317&lt;&gt;"",F1317&lt;&gt;""),E1317*F1317,"")</f>
      </c>
    </row>
    <row r="1318" ht="16.5" customHeight="1" s="71">
      <c r="B1318" s="169" t="n"/>
      <c r="C1318" s="35" t="n"/>
      <c r="D1318" s="35" t="n"/>
      <c r="E1318" s="35" t="n"/>
      <c r="F1318" s="166" t="n"/>
      <c r="G1318" s="166">
        <f>IF(AND(E1318&lt;&gt;"",F1318&lt;&gt;""),E1318*F1318,"")</f>
      </c>
    </row>
    <row r="1319" ht="16.5" customHeight="1" s="71">
      <c r="B1319" s="169" t="n"/>
      <c r="C1319" s="35" t="n"/>
      <c r="D1319" s="35" t="n"/>
      <c r="E1319" s="35" t="n"/>
      <c r="F1319" s="166" t="n"/>
      <c r="G1319" s="166">
        <f>IF(AND(E1319&lt;&gt;"",F1319&lt;&gt;""),E1319*F1319,"")</f>
      </c>
    </row>
    <row r="1320" ht="16.5" customHeight="1" s="71">
      <c r="B1320" s="169" t="n"/>
      <c r="C1320" s="35" t="n"/>
      <c r="D1320" s="35" t="n"/>
      <c r="E1320" s="35" t="n"/>
      <c r="F1320" s="166" t="n"/>
      <c r="G1320" s="166">
        <f>IF(AND(E1320&lt;&gt;"",F1320&lt;&gt;""),E1320*F1320,"")</f>
      </c>
    </row>
    <row r="1321" ht="16.5" customHeight="1" s="71">
      <c r="B1321" s="169" t="n"/>
      <c r="C1321" s="35" t="n"/>
      <c r="D1321" s="35" t="n"/>
      <c r="E1321" s="35" t="n"/>
      <c r="F1321" s="166" t="n"/>
      <c r="G1321" s="166">
        <f>IF(AND(E1321&lt;&gt;"",F1321&lt;&gt;""),E1321*F1321,"")</f>
      </c>
    </row>
    <row r="1322" ht="16.5" customHeight="1" s="71">
      <c r="B1322" s="169" t="n"/>
      <c r="C1322" s="35" t="n"/>
      <c r="D1322" s="35" t="n"/>
      <c r="E1322" s="35" t="n"/>
      <c r="F1322" s="166" t="n"/>
      <c r="G1322" s="166">
        <f>IF(AND(E1322&lt;&gt;"",F1322&lt;&gt;""),E1322*F1322,"")</f>
      </c>
    </row>
    <row r="1323" ht="16.5" customHeight="1" s="71">
      <c r="B1323" s="169" t="n"/>
      <c r="C1323" s="35" t="n"/>
      <c r="D1323" s="35" t="n"/>
      <c r="E1323" s="35" t="n"/>
      <c r="F1323" s="166" t="n"/>
      <c r="G1323" s="166">
        <f>IF(AND(E1323&lt;&gt;"",F1323&lt;&gt;""),E1323*F1323,"")</f>
      </c>
    </row>
    <row r="1324" ht="16.5" customHeight="1" s="71">
      <c r="B1324" s="169" t="n"/>
      <c r="C1324" s="35" t="n"/>
      <c r="D1324" s="35" t="n"/>
      <c r="E1324" s="35" t="n"/>
      <c r="F1324" s="166" t="n"/>
      <c r="G1324" s="166">
        <f>IF(AND(E1324&lt;&gt;"",F1324&lt;&gt;""),E1324*F1324,"")</f>
      </c>
    </row>
    <row r="1325" ht="16.5" customHeight="1" s="71">
      <c r="B1325" s="169" t="n"/>
      <c r="C1325" s="35" t="n"/>
      <c r="D1325" s="35" t="n"/>
      <c r="E1325" s="35" t="n"/>
      <c r="F1325" s="166" t="n"/>
      <c r="G1325" s="166">
        <f>IF(AND(E1325&lt;&gt;"",F1325&lt;&gt;""),E1325*F1325,"")</f>
      </c>
    </row>
    <row r="1326" ht="16.5" customHeight="1" s="71">
      <c r="B1326" s="169" t="n"/>
      <c r="C1326" s="35" t="n"/>
      <c r="D1326" s="35" t="n"/>
      <c r="E1326" s="35" t="n"/>
      <c r="F1326" s="166" t="n"/>
      <c r="G1326" s="166">
        <f>IF(AND(E1326&lt;&gt;"",F1326&lt;&gt;""),E1326*F1326,"")</f>
      </c>
    </row>
    <row r="1327" ht="16.5" customHeight="1" s="71">
      <c r="B1327" s="169" t="n"/>
      <c r="C1327" s="35" t="n"/>
      <c r="D1327" s="35" t="n"/>
      <c r="E1327" s="35" t="n"/>
      <c r="F1327" s="166" t="n"/>
      <c r="G1327" s="166">
        <f>IF(AND(E1327&lt;&gt;"",F1327&lt;&gt;""),E1327*F1327,"")</f>
      </c>
    </row>
    <row r="1328" ht="16.5" customHeight="1" s="71">
      <c r="B1328" s="169" t="n"/>
      <c r="C1328" s="35" t="n"/>
      <c r="D1328" s="35" t="n"/>
      <c r="E1328" s="35" t="n"/>
      <c r="F1328" s="166" t="n"/>
      <c r="G1328" s="166">
        <f>IF(AND(E1328&lt;&gt;"",F1328&lt;&gt;""),E1328*F1328,"")</f>
      </c>
    </row>
    <row r="1329" ht="16.5" customHeight="1" s="71">
      <c r="B1329" s="169" t="n"/>
      <c r="C1329" s="35" t="n"/>
      <c r="D1329" s="35" t="n"/>
      <c r="E1329" s="35" t="n"/>
      <c r="F1329" s="166" t="n"/>
      <c r="G1329" s="166">
        <f>IF(AND(E1329&lt;&gt;"",F1329&lt;&gt;""),E1329*F1329,"")</f>
      </c>
    </row>
    <row r="1330" ht="16.5" customHeight="1" s="71">
      <c r="B1330" s="169" t="n"/>
      <c r="C1330" s="35" t="n"/>
      <c r="D1330" s="35" t="n"/>
      <c r="E1330" s="35" t="n"/>
      <c r="F1330" s="166" t="n"/>
      <c r="G1330" s="166">
        <f>IF(AND(E1330&lt;&gt;"",F1330&lt;&gt;""),E1330*F1330,"")</f>
      </c>
    </row>
    <row r="1331" ht="16.5" customHeight="1" s="71">
      <c r="B1331" s="169" t="n"/>
      <c r="C1331" s="35" t="n"/>
      <c r="D1331" s="35" t="n"/>
      <c r="E1331" s="35" t="n"/>
      <c r="F1331" s="166" t="n"/>
      <c r="G1331" s="166">
        <f>IF(AND(E1331&lt;&gt;"",F1331&lt;&gt;""),E1331*F1331,"")</f>
      </c>
    </row>
    <row r="1332" ht="16.5" customHeight="1" s="71">
      <c r="B1332" s="169" t="n"/>
      <c r="C1332" s="35" t="n"/>
      <c r="D1332" s="35" t="n"/>
      <c r="E1332" s="35" t="n"/>
      <c r="F1332" s="166" t="n"/>
      <c r="G1332" s="166">
        <f>IF(AND(E1332&lt;&gt;"",F1332&lt;&gt;""),E1332*F1332,"")</f>
      </c>
    </row>
    <row r="1333" ht="16.5" customHeight="1" s="71">
      <c r="B1333" s="169" t="n"/>
      <c r="C1333" s="35" t="n"/>
      <c r="D1333" s="35" t="n"/>
      <c r="E1333" s="35" t="n"/>
      <c r="F1333" s="166" t="n"/>
      <c r="G1333" s="166">
        <f>IF(AND(E1333&lt;&gt;"",F1333&lt;&gt;""),E1333*F1333,"")</f>
      </c>
    </row>
    <row r="1334" ht="16.5" customHeight="1" s="71">
      <c r="B1334" s="169" t="n"/>
      <c r="C1334" s="35" t="n"/>
      <c r="D1334" s="35" t="n"/>
      <c r="E1334" s="35" t="n"/>
      <c r="F1334" s="166" t="n"/>
      <c r="G1334" s="166">
        <f>IF(AND(E1334&lt;&gt;"",F1334&lt;&gt;""),E1334*F1334,"")</f>
      </c>
    </row>
    <row r="1335" ht="16.5" customHeight="1" s="71">
      <c r="B1335" s="169" t="n"/>
      <c r="C1335" s="35" t="n"/>
      <c r="D1335" s="35" t="n"/>
      <c r="E1335" s="35" t="n"/>
      <c r="F1335" s="166" t="n"/>
      <c r="G1335" s="166">
        <f>IF(AND(E1335&lt;&gt;"",F1335&lt;&gt;""),E1335*F1335,"")</f>
      </c>
    </row>
    <row r="1336" ht="16.5" customHeight="1" s="71">
      <c r="B1336" s="169" t="n"/>
      <c r="C1336" s="35" t="n"/>
      <c r="D1336" s="35" t="n"/>
      <c r="E1336" s="35" t="n"/>
      <c r="F1336" s="166" t="n"/>
      <c r="G1336" s="166">
        <f>IF(AND(E1336&lt;&gt;"",F1336&lt;&gt;""),E1336*F1336,"")</f>
      </c>
    </row>
    <row r="1337" ht="16.5" customHeight="1" s="71">
      <c r="B1337" s="169" t="n"/>
      <c r="C1337" s="35" t="n"/>
      <c r="D1337" s="35" t="n"/>
      <c r="E1337" s="35" t="n"/>
      <c r="F1337" s="166" t="n"/>
      <c r="G1337" s="166">
        <f>IF(AND(E1337&lt;&gt;"",F1337&lt;&gt;""),E1337*F1337,"")</f>
      </c>
    </row>
    <row r="1338" ht="16.5" customHeight="1" s="71">
      <c r="B1338" s="169" t="n"/>
      <c r="C1338" s="35" t="n"/>
      <c r="D1338" s="35" t="n"/>
      <c r="E1338" s="35" t="n"/>
      <c r="F1338" s="166" t="n"/>
      <c r="G1338" s="166">
        <f>IF(AND(E1338&lt;&gt;"",F1338&lt;&gt;""),E1338*F1338,"")</f>
      </c>
    </row>
    <row r="1339" ht="16.5" customHeight="1" s="71">
      <c r="B1339" s="169" t="n"/>
      <c r="C1339" s="35" t="n"/>
      <c r="D1339" s="35" t="n"/>
      <c r="E1339" s="35" t="n"/>
      <c r="F1339" s="166" t="n"/>
      <c r="G1339" s="166">
        <f>IF(AND(E1339&lt;&gt;"",F1339&lt;&gt;""),E1339*F1339,"")</f>
      </c>
    </row>
    <row r="1340" ht="16.5" customHeight="1" s="71">
      <c r="B1340" s="169" t="n"/>
      <c r="C1340" s="35" t="n"/>
      <c r="D1340" s="35" t="n"/>
      <c r="E1340" s="35" t="n"/>
      <c r="F1340" s="166" t="n"/>
      <c r="G1340" s="166">
        <f>IF(AND(E1340&lt;&gt;"",F1340&lt;&gt;""),E1340*F1340,"")</f>
      </c>
    </row>
    <row r="1341" ht="16.5" customHeight="1" s="71">
      <c r="B1341" s="169" t="n"/>
      <c r="C1341" s="35" t="n"/>
      <c r="D1341" s="35" t="n"/>
      <c r="E1341" s="35" t="n"/>
      <c r="F1341" s="166" t="n"/>
      <c r="G1341" s="166">
        <f>IF(AND(E1341&lt;&gt;"",F1341&lt;&gt;""),E1341*F1341,"")</f>
      </c>
    </row>
    <row r="1342" ht="16.5" customHeight="1" s="71">
      <c r="B1342" s="169" t="n"/>
      <c r="C1342" s="35" t="n"/>
      <c r="D1342" s="35" t="n"/>
      <c r="E1342" s="35" t="n"/>
      <c r="F1342" s="166" t="n"/>
      <c r="G1342" s="166">
        <f>IF(AND(E1342&lt;&gt;"",F1342&lt;&gt;""),E1342*F1342,"")</f>
      </c>
    </row>
    <row r="1343" ht="16.5" customHeight="1" s="71">
      <c r="B1343" s="169" t="n"/>
      <c r="C1343" s="35" t="n"/>
      <c r="D1343" s="35" t="n"/>
      <c r="E1343" s="35" t="n"/>
      <c r="F1343" s="166" t="n"/>
      <c r="G1343" s="166">
        <f>IF(AND(E1343&lt;&gt;"",F1343&lt;&gt;""),E1343*F1343,"")</f>
      </c>
    </row>
    <row r="1344" ht="16.5" customHeight="1" s="71">
      <c r="B1344" s="169" t="n"/>
      <c r="C1344" s="35" t="n"/>
      <c r="D1344" s="35" t="n"/>
      <c r="E1344" s="35" t="n"/>
      <c r="F1344" s="166" t="n"/>
      <c r="G1344" s="166">
        <f>IF(AND(E1344&lt;&gt;"",F1344&lt;&gt;""),E1344*F1344,"")</f>
      </c>
    </row>
    <row r="1345" ht="16.5" customHeight="1" s="71">
      <c r="B1345" s="169" t="n"/>
      <c r="C1345" s="35" t="n"/>
      <c r="D1345" s="35" t="n"/>
      <c r="E1345" s="35" t="n"/>
      <c r="F1345" s="166" t="n"/>
      <c r="G1345" s="166">
        <f>IF(AND(E1345&lt;&gt;"",F1345&lt;&gt;""),E1345*F1345,"")</f>
      </c>
    </row>
    <row r="1346" ht="16.5" customHeight="1" s="71">
      <c r="B1346" s="169" t="n"/>
      <c r="C1346" s="35" t="n"/>
      <c r="D1346" s="35" t="n"/>
      <c r="E1346" s="35" t="n"/>
      <c r="F1346" s="166" t="n"/>
      <c r="G1346" s="166">
        <f>IF(AND(E1346&lt;&gt;"",F1346&lt;&gt;""),E1346*F1346,"")</f>
      </c>
    </row>
    <row r="1347" ht="16.5" customHeight="1" s="71">
      <c r="B1347" s="169" t="n"/>
      <c r="C1347" s="35" t="n"/>
      <c r="D1347" s="35" t="n"/>
      <c r="E1347" s="35" t="n"/>
      <c r="F1347" s="166" t="n"/>
      <c r="G1347" s="166">
        <f>IF(AND(E1347&lt;&gt;"",F1347&lt;&gt;""),E1347*F1347,"")</f>
      </c>
    </row>
    <row r="1348" ht="16.5" customHeight="1" s="71">
      <c r="B1348" s="169" t="n"/>
      <c r="C1348" s="35" t="n"/>
      <c r="D1348" s="35" t="n"/>
      <c r="E1348" s="35" t="n"/>
      <c r="F1348" s="166" t="n"/>
      <c r="G1348" s="166">
        <f>IF(AND(E1348&lt;&gt;"",F1348&lt;&gt;""),E1348*F1348,"")</f>
      </c>
    </row>
    <row r="1349" ht="16.5" customHeight="1" s="71">
      <c r="B1349" s="169" t="n"/>
      <c r="C1349" s="35" t="n"/>
      <c r="D1349" s="35" t="n"/>
      <c r="E1349" s="35" t="n"/>
      <c r="F1349" s="166" t="n"/>
      <c r="G1349" s="166">
        <f>IF(AND(E1349&lt;&gt;"",F1349&lt;&gt;""),E1349*F1349,"")</f>
      </c>
    </row>
    <row r="1350" ht="16.5" customHeight="1" s="71">
      <c r="B1350" s="169" t="n"/>
      <c r="C1350" s="35" t="n"/>
      <c r="D1350" s="35" t="n"/>
      <c r="E1350" s="35" t="n"/>
      <c r="F1350" s="166" t="n"/>
      <c r="G1350" s="166">
        <f>IF(AND(E1350&lt;&gt;"",F1350&lt;&gt;""),E1350*F1350,"")</f>
      </c>
    </row>
    <row r="1351" ht="16.5" customHeight="1" s="71">
      <c r="B1351" s="169" t="n"/>
      <c r="C1351" s="35" t="n"/>
      <c r="D1351" s="35" t="n"/>
      <c r="E1351" s="35" t="n"/>
      <c r="F1351" s="166" t="n"/>
      <c r="G1351" s="166">
        <f>IF(AND(E1351&lt;&gt;"",F1351&lt;&gt;""),E1351*F1351,"")</f>
      </c>
    </row>
    <row r="1352" ht="16.5" customHeight="1" s="71">
      <c r="B1352" s="169" t="n"/>
      <c r="C1352" s="35" t="n"/>
      <c r="D1352" s="35" t="n"/>
      <c r="E1352" s="35" t="n"/>
      <c r="F1352" s="166" t="n"/>
      <c r="G1352" s="166">
        <f>IF(AND(E1352&lt;&gt;"",F1352&lt;&gt;""),E1352*F1352,"")</f>
      </c>
    </row>
    <row r="1353" ht="16.5" customHeight="1" s="71">
      <c r="B1353" s="169" t="n"/>
      <c r="C1353" s="35" t="n"/>
      <c r="D1353" s="35" t="n"/>
      <c r="E1353" s="35" t="n"/>
      <c r="F1353" s="166" t="n"/>
      <c r="G1353" s="166">
        <f>IF(AND(E1353&lt;&gt;"",F1353&lt;&gt;""),E1353*F1353,"")</f>
      </c>
    </row>
    <row r="1354" ht="16.5" customHeight="1" s="71">
      <c r="B1354" s="169" t="n"/>
      <c r="C1354" s="35" t="n"/>
      <c r="D1354" s="35" t="n"/>
      <c r="E1354" s="35" t="n"/>
      <c r="F1354" s="166" t="n"/>
      <c r="G1354" s="166">
        <f>IF(AND(E1354&lt;&gt;"",F1354&lt;&gt;""),E1354*F1354,"")</f>
      </c>
    </row>
    <row r="1355" ht="16.5" customHeight="1" s="71">
      <c r="B1355" s="169" t="n"/>
      <c r="C1355" s="35" t="n"/>
      <c r="D1355" s="35" t="n"/>
      <c r="E1355" s="35" t="n"/>
      <c r="F1355" s="166" t="n"/>
      <c r="G1355" s="166">
        <f>IF(AND(E1355&lt;&gt;"",F1355&lt;&gt;""),E1355*F1355,"")</f>
      </c>
    </row>
    <row r="1356" ht="16.5" customHeight="1" s="71">
      <c r="B1356" s="169" t="n"/>
      <c r="C1356" s="35" t="n"/>
      <c r="D1356" s="35" t="n"/>
      <c r="E1356" s="35" t="n"/>
      <c r="F1356" s="166" t="n"/>
      <c r="G1356" s="166">
        <f>IF(AND(E1356&lt;&gt;"",F1356&lt;&gt;""),E1356*F1356,"")</f>
      </c>
    </row>
    <row r="1357" ht="16.5" customHeight="1" s="71">
      <c r="B1357" s="169" t="n"/>
      <c r="C1357" s="35" t="n"/>
      <c r="D1357" s="35" t="n"/>
      <c r="E1357" s="35" t="n"/>
      <c r="F1357" s="166" t="n"/>
      <c r="G1357" s="166">
        <f>IF(AND(E1357&lt;&gt;"",F1357&lt;&gt;""),E1357*F1357,"")</f>
      </c>
    </row>
    <row r="1358" ht="16.5" customHeight="1" s="71">
      <c r="B1358" s="169" t="n"/>
      <c r="C1358" s="35" t="n"/>
      <c r="D1358" s="35" t="n"/>
      <c r="E1358" s="35" t="n"/>
      <c r="F1358" s="166" t="n"/>
      <c r="G1358" s="166">
        <f>IF(AND(E1358&lt;&gt;"",F1358&lt;&gt;""),E1358*F1358,"")</f>
      </c>
    </row>
    <row r="1359" ht="16.5" customHeight="1" s="71">
      <c r="B1359" s="169" t="n"/>
      <c r="C1359" s="35" t="n"/>
      <c r="D1359" s="35" t="n"/>
      <c r="E1359" s="35" t="n"/>
      <c r="F1359" s="166" t="n"/>
      <c r="G1359" s="166">
        <f>IF(AND(E1359&lt;&gt;"",F1359&lt;&gt;""),E1359*F1359,"")</f>
      </c>
    </row>
    <row r="1360" ht="16.5" customHeight="1" s="71">
      <c r="B1360" s="169" t="n"/>
      <c r="C1360" s="35" t="n"/>
      <c r="D1360" s="35" t="n"/>
      <c r="E1360" s="35" t="n"/>
      <c r="F1360" s="166" t="n"/>
      <c r="G1360" s="166">
        <f>IF(AND(E1360&lt;&gt;"",F1360&lt;&gt;""),E1360*F1360,"")</f>
      </c>
    </row>
    <row r="1361" ht="16.5" customHeight="1" s="71">
      <c r="B1361" s="169" t="n"/>
      <c r="C1361" s="35" t="n"/>
      <c r="D1361" s="35" t="n"/>
      <c r="E1361" s="35" t="n"/>
      <c r="F1361" s="166" t="n"/>
      <c r="G1361" s="166">
        <f>IF(AND(E1361&lt;&gt;"",F1361&lt;&gt;""),E1361*F1361,"")</f>
      </c>
    </row>
    <row r="1362" ht="16.5" customHeight="1" s="71">
      <c r="B1362" s="169" t="n"/>
      <c r="C1362" s="35" t="n"/>
      <c r="D1362" s="35" t="n"/>
      <c r="E1362" s="35" t="n"/>
      <c r="F1362" s="166" t="n"/>
      <c r="G1362" s="166">
        <f>IF(AND(E1362&lt;&gt;"",F1362&lt;&gt;""),E1362*F1362,"")</f>
      </c>
    </row>
    <row r="1363" ht="16.5" customHeight="1" s="71">
      <c r="B1363" s="169" t="n"/>
      <c r="C1363" s="35" t="n"/>
      <c r="D1363" s="35" t="n"/>
      <c r="E1363" s="35" t="n"/>
      <c r="F1363" s="166" t="n"/>
      <c r="G1363" s="166">
        <f>IF(AND(E1363&lt;&gt;"",F1363&lt;&gt;""),E1363*F1363,"")</f>
      </c>
    </row>
    <row r="1364" ht="16.5" customHeight="1" s="71">
      <c r="B1364" s="169" t="n"/>
      <c r="C1364" s="35" t="n"/>
      <c r="D1364" s="35" t="n"/>
      <c r="E1364" s="35" t="n"/>
      <c r="F1364" s="166" t="n"/>
      <c r="G1364" s="166">
        <f>IF(AND(E1364&lt;&gt;"",F1364&lt;&gt;""),E1364*F1364,"")</f>
      </c>
    </row>
    <row r="1365" ht="16.5" customHeight="1" s="71">
      <c r="B1365" s="169" t="n"/>
      <c r="C1365" s="35" t="n"/>
      <c r="D1365" s="35" t="n"/>
      <c r="E1365" s="35" t="n"/>
      <c r="F1365" s="166" t="n"/>
      <c r="G1365" s="166">
        <f>IF(AND(E1365&lt;&gt;"",F1365&lt;&gt;""),E1365*F1365,"")</f>
      </c>
    </row>
    <row r="1366" ht="16.5" customHeight="1" s="71">
      <c r="B1366" s="169" t="n"/>
      <c r="C1366" s="35" t="n"/>
      <c r="D1366" s="35" t="n"/>
      <c r="E1366" s="35" t="n"/>
      <c r="F1366" s="166" t="n"/>
      <c r="G1366" s="166">
        <f>IF(AND(E1366&lt;&gt;"",F1366&lt;&gt;""),E1366*F1366,"")</f>
      </c>
    </row>
    <row r="1367" ht="16.5" customHeight="1" s="71">
      <c r="B1367" s="169" t="n"/>
      <c r="C1367" s="35" t="n"/>
      <c r="D1367" s="35" t="n"/>
      <c r="E1367" s="35" t="n"/>
      <c r="F1367" s="166" t="n"/>
      <c r="G1367" s="166">
        <f>IF(AND(E1367&lt;&gt;"",F1367&lt;&gt;""),E1367*F1367,"")</f>
      </c>
    </row>
    <row r="1368" ht="16.5" customHeight="1" s="71">
      <c r="B1368" s="169" t="n"/>
      <c r="C1368" s="35" t="n"/>
      <c r="D1368" s="35" t="n"/>
      <c r="E1368" s="35" t="n"/>
      <c r="F1368" s="166" t="n"/>
      <c r="G1368" s="166">
        <f>IF(AND(E1368&lt;&gt;"",F1368&lt;&gt;""),E1368*F1368,"")</f>
      </c>
    </row>
    <row r="1369" ht="16.5" customHeight="1" s="71">
      <c r="B1369" s="169" t="n"/>
      <c r="C1369" s="35" t="n"/>
      <c r="D1369" s="35" t="n"/>
      <c r="E1369" s="35" t="n"/>
      <c r="F1369" s="166" t="n"/>
      <c r="G1369" s="166">
        <f>IF(AND(E1369&lt;&gt;"",F1369&lt;&gt;""),E1369*F1369,"")</f>
      </c>
    </row>
    <row r="1370" ht="16.5" customHeight="1" s="71">
      <c r="B1370" s="169" t="n"/>
      <c r="C1370" s="35" t="n"/>
      <c r="D1370" s="35" t="n"/>
      <c r="E1370" s="35" t="n"/>
      <c r="F1370" s="166" t="n"/>
      <c r="G1370" s="166">
        <f>IF(AND(E1370&lt;&gt;"",F1370&lt;&gt;""),E1370*F1370,"")</f>
      </c>
    </row>
    <row r="1371" ht="16.5" customHeight="1" s="71">
      <c r="B1371" s="169" t="n"/>
      <c r="C1371" s="35" t="n"/>
      <c r="D1371" s="35" t="n"/>
      <c r="E1371" s="35" t="n"/>
      <c r="F1371" s="166" t="n"/>
      <c r="G1371" s="166">
        <f>IF(AND(E1371&lt;&gt;"",F1371&lt;&gt;""),E1371*F1371,"")</f>
      </c>
    </row>
    <row r="1372" ht="16.5" customHeight="1" s="71">
      <c r="B1372" s="169" t="n"/>
      <c r="C1372" s="35" t="n"/>
      <c r="D1372" s="35" t="n"/>
      <c r="E1372" s="35" t="n"/>
      <c r="F1372" s="166" t="n"/>
      <c r="G1372" s="166">
        <f>IF(AND(E1372&lt;&gt;"",F1372&lt;&gt;""),E1372*F1372,"")</f>
      </c>
    </row>
    <row r="1373" ht="16.5" customHeight="1" s="71">
      <c r="B1373" s="169" t="n"/>
      <c r="C1373" s="35" t="n"/>
      <c r="D1373" s="35" t="n"/>
      <c r="E1373" s="35" t="n"/>
      <c r="F1373" s="166" t="n"/>
      <c r="G1373" s="166">
        <f>IF(AND(E1373&lt;&gt;"",F1373&lt;&gt;""),E1373*F1373,"")</f>
      </c>
    </row>
    <row r="1374" ht="16.5" customHeight="1" s="71">
      <c r="B1374" s="169" t="n"/>
      <c r="C1374" s="35" t="n"/>
      <c r="D1374" s="35" t="n"/>
      <c r="E1374" s="35" t="n"/>
      <c r="F1374" s="166" t="n"/>
      <c r="G1374" s="166">
        <f>IF(AND(E1374&lt;&gt;"",F1374&lt;&gt;""),E1374*F1374,"")</f>
      </c>
    </row>
    <row r="1375" ht="16.5" customHeight="1" s="71">
      <c r="B1375" s="169" t="n"/>
      <c r="C1375" s="35" t="n"/>
      <c r="D1375" s="35" t="n"/>
      <c r="E1375" s="35" t="n"/>
      <c r="F1375" s="166" t="n"/>
      <c r="G1375" s="166">
        <f>IF(AND(E1375&lt;&gt;"",F1375&lt;&gt;""),E1375*F1375,"")</f>
      </c>
    </row>
    <row r="1376" ht="16.5" customHeight="1" s="71">
      <c r="B1376" s="169" t="n"/>
      <c r="C1376" s="35" t="n"/>
      <c r="D1376" s="35" t="n"/>
      <c r="E1376" s="35" t="n"/>
      <c r="F1376" s="166" t="n"/>
      <c r="G1376" s="166">
        <f>IF(AND(E1376&lt;&gt;"",F1376&lt;&gt;""),E1376*F1376,"")</f>
      </c>
    </row>
    <row r="1377" ht="16.5" customHeight="1" s="71">
      <c r="B1377" s="169" t="n"/>
      <c r="C1377" s="35" t="n"/>
      <c r="D1377" s="35" t="n"/>
      <c r="E1377" s="35" t="n"/>
      <c r="F1377" s="166" t="n"/>
      <c r="G1377" s="166">
        <f>IF(AND(E1377&lt;&gt;"",F1377&lt;&gt;""),E1377*F1377,"")</f>
      </c>
    </row>
    <row r="1378" ht="16.5" customHeight="1" s="71">
      <c r="B1378" s="169" t="n"/>
      <c r="C1378" s="35" t="n"/>
      <c r="D1378" s="35" t="n"/>
      <c r="E1378" s="35" t="n"/>
      <c r="F1378" s="166" t="n"/>
      <c r="G1378" s="166">
        <f>IF(AND(E1378&lt;&gt;"",F1378&lt;&gt;""),E1378*F1378,"")</f>
      </c>
    </row>
    <row r="1379" ht="16.5" customHeight="1" s="71">
      <c r="B1379" s="169" t="n"/>
      <c r="C1379" s="35" t="n"/>
      <c r="D1379" s="35" t="n"/>
      <c r="E1379" s="35" t="n"/>
      <c r="F1379" s="166" t="n"/>
      <c r="G1379" s="166">
        <f>IF(AND(E1379&lt;&gt;"",F1379&lt;&gt;""),E1379*F1379,"")</f>
      </c>
    </row>
    <row r="1380" ht="16.5" customHeight="1" s="71">
      <c r="B1380" s="169" t="n"/>
      <c r="C1380" s="35" t="n"/>
      <c r="D1380" s="35" t="n"/>
      <c r="E1380" s="35" t="n"/>
      <c r="F1380" s="166" t="n"/>
      <c r="G1380" s="166">
        <f>IF(AND(E1380&lt;&gt;"",F1380&lt;&gt;""),E1380*F1380,"")</f>
      </c>
    </row>
    <row r="1381" ht="16.5" customHeight="1" s="71">
      <c r="B1381" s="169" t="n"/>
      <c r="C1381" s="35" t="n"/>
      <c r="D1381" s="35" t="n"/>
      <c r="E1381" s="35" t="n"/>
      <c r="F1381" s="166" t="n"/>
      <c r="G1381" s="166">
        <f>IF(AND(E1381&lt;&gt;"",F1381&lt;&gt;""),E1381*F1381,"")</f>
      </c>
    </row>
    <row r="1382" ht="16.5" customHeight="1" s="71">
      <c r="B1382" s="169" t="n"/>
      <c r="C1382" s="35" t="n"/>
      <c r="D1382" s="35" t="n"/>
      <c r="E1382" s="35" t="n"/>
      <c r="F1382" s="166" t="n"/>
      <c r="G1382" s="166">
        <f>IF(AND(E1382&lt;&gt;"",F1382&lt;&gt;""),E1382*F1382,"")</f>
      </c>
    </row>
    <row r="1383" ht="16.5" customHeight="1" s="71">
      <c r="B1383" s="169" t="n"/>
      <c r="C1383" s="35" t="n"/>
      <c r="D1383" s="35" t="n"/>
      <c r="E1383" s="35" t="n"/>
      <c r="F1383" s="166" t="n"/>
      <c r="G1383" s="166">
        <f>IF(AND(E1383&lt;&gt;"",F1383&lt;&gt;""),E1383*F1383,"")</f>
      </c>
    </row>
    <row r="1384" ht="16.5" customHeight="1" s="71">
      <c r="B1384" s="169" t="n"/>
      <c r="C1384" s="35" t="n"/>
      <c r="D1384" s="35" t="n"/>
      <c r="E1384" s="35" t="n"/>
      <c r="F1384" s="166" t="n"/>
      <c r="G1384" s="166">
        <f>IF(AND(E1384&lt;&gt;"",F1384&lt;&gt;""),E1384*F1384,"")</f>
      </c>
    </row>
    <row r="1385" ht="16.5" customHeight="1" s="71">
      <c r="B1385" s="169" t="n"/>
      <c r="C1385" s="35" t="n"/>
      <c r="D1385" s="35" t="n"/>
      <c r="E1385" s="35" t="n"/>
      <c r="F1385" s="166" t="n"/>
      <c r="G1385" s="166">
        <f>IF(AND(E1385&lt;&gt;"",F1385&lt;&gt;""),E1385*F1385,"")</f>
      </c>
    </row>
    <row r="1386" ht="16.5" customHeight="1" s="71">
      <c r="B1386" s="169" t="n"/>
      <c r="C1386" s="35" t="n"/>
      <c r="D1386" s="35" t="n"/>
      <c r="E1386" s="35" t="n"/>
      <c r="F1386" s="166" t="n"/>
      <c r="G1386" s="166">
        <f>IF(AND(E1386&lt;&gt;"",F1386&lt;&gt;""),E1386*F1386,"")</f>
      </c>
    </row>
    <row r="1387" ht="16.5" customHeight="1" s="71">
      <c r="B1387" s="169" t="n"/>
      <c r="C1387" s="35" t="n"/>
      <c r="D1387" s="35" t="n"/>
      <c r="E1387" s="35" t="n"/>
      <c r="F1387" s="166" t="n"/>
      <c r="G1387" s="166">
        <f>IF(AND(E1387&lt;&gt;"",F1387&lt;&gt;""),E1387*F1387,"")</f>
      </c>
    </row>
    <row r="1388" ht="16.5" customHeight="1" s="71">
      <c r="B1388" s="169" t="n"/>
      <c r="C1388" s="35" t="n"/>
      <c r="D1388" s="35" t="n"/>
      <c r="E1388" s="35" t="n"/>
      <c r="F1388" s="166" t="n"/>
      <c r="G1388" s="166">
        <f>IF(AND(E1388&lt;&gt;"",F1388&lt;&gt;""),E1388*F1388,"")</f>
      </c>
    </row>
    <row r="1389" ht="16.5" customHeight="1" s="71">
      <c r="B1389" s="169" t="n"/>
      <c r="C1389" s="35" t="n"/>
      <c r="D1389" s="35" t="n"/>
      <c r="E1389" s="35" t="n"/>
      <c r="F1389" s="166" t="n"/>
      <c r="G1389" s="166">
        <f>IF(AND(E1389&lt;&gt;"",F1389&lt;&gt;""),E1389*F1389,"")</f>
      </c>
    </row>
    <row r="1390" ht="16.5" customHeight="1" s="71">
      <c r="B1390" s="169" t="n"/>
      <c r="C1390" s="35" t="n"/>
      <c r="D1390" s="35" t="n"/>
      <c r="E1390" s="35" t="n"/>
      <c r="F1390" s="166" t="n"/>
      <c r="G1390" s="166">
        <f>IF(AND(E1390&lt;&gt;"",F1390&lt;&gt;""),E1390*F1390,"")</f>
      </c>
    </row>
    <row r="1391" ht="16.5" customHeight="1" s="71">
      <c r="B1391" s="169" t="n"/>
      <c r="C1391" s="35" t="n"/>
      <c r="D1391" s="35" t="n"/>
      <c r="E1391" s="35" t="n"/>
      <c r="F1391" s="166" t="n"/>
      <c r="G1391" s="166">
        <f>IF(AND(E1391&lt;&gt;"",F1391&lt;&gt;""),E1391*F1391,"")</f>
      </c>
    </row>
    <row r="1392" ht="16.5" customHeight="1" s="71">
      <c r="B1392" s="169" t="n"/>
      <c r="C1392" s="35" t="n"/>
      <c r="D1392" s="35" t="n"/>
      <c r="E1392" s="35" t="n"/>
      <c r="F1392" s="166" t="n"/>
      <c r="G1392" s="166">
        <f>IF(AND(E1392&lt;&gt;"",F1392&lt;&gt;""),E1392*F1392,"")</f>
      </c>
    </row>
    <row r="1393" ht="16.5" customHeight="1" s="71">
      <c r="B1393" s="169" t="n"/>
      <c r="C1393" s="35" t="n"/>
      <c r="D1393" s="35" t="n"/>
      <c r="E1393" s="35" t="n"/>
      <c r="F1393" s="166" t="n"/>
      <c r="G1393" s="166">
        <f>IF(AND(E1393&lt;&gt;"",F1393&lt;&gt;""),E1393*F1393,"")</f>
      </c>
    </row>
    <row r="1394" ht="16.5" customHeight="1" s="71">
      <c r="B1394" s="169" t="n"/>
      <c r="C1394" s="35" t="n"/>
      <c r="D1394" s="35" t="n"/>
      <c r="E1394" s="35" t="n"/>
      <c r="F1394" s="166" t="n"/>
      <c r="G1394" s="166">
        <f>IF(AND(E1394&lt;&gt;"",F1394&lt;&gt;""),E1394*F1394,"")</f>
      </c>
    </row>
    <row r="1395" ht="16.5" customHeight="1" s="71">
      <c r="B1395" s="169" t="n"/>
      <c r="C1395" s="35" t="n"/>
      <c r="D1395" s="35" t="n"/>
      <c r="E1395" s="35" t="n"/>
      <c r="F1395" s="166" t="n"/>
      <c r="G1395" s="166">
        <f>IF(AND(E1395&lt;&gt;"",F1395&lt;&gt;""),E1395*F1395,"")</f>
      </c>
    </row>
    <row r="1396" ht="16.5" customHeight="1" s="71">
      <c r="B1396" s="169" t="n"/>
      <c r="C1396" s="35" t="n"/>
      <c r="D1396" s="35" t="n"/>
      <c r="E1396" s="35" t="n"/>
      <c r="F1396" s="166" t="n"/>
      <c r="G1396" s="166">
        <f>IF(AND(E1396&lt;&gt;"",F1396&lt;&gt;""),E1396*F1396,"")</f>
      </c>
    </row>
    <row r="1397" ht="16.5" customHeight="1" s="71">
      <c r="B1397" s="169" t="n"/>
      <c r="C1397" s="35" t="n"/>
      <c r="D1397" s="35" t="n"/>
      <c r="E1397" s="35" t="n"/>
      <c r="F1397" s="166" t="n"/>
      <c r="G1397" s="166">
        <f>IF(AND(E1397&lt;&gt;"",F1397&lt;&gt;""),E1397*F1397,"")</f>
      </c>
    </row>
    <row r="1398" ht="16.5" customHeight="1" s="71">
      <c r="B1398" s="169" t="n"/>
      <c r="C1398" s="35" t="n"/>
      <c r="D1398" s="35" t="n"/>
      <c r="E1398" s="35" t="n"/>
      <c r="F1398" s="166" t="n"/>
      <c r="G1398" s="166">
        <f>IF(AND(E1398&lt;&gt;"",F1398&lt;&gt;""),E1398*F1398,"")</f>
      </c>
    </row>
    <row r="1399" ht="16.5" customHeight="1" s="71">
      <c r="B1399" s="169" t="n"/>
      <c r="C1399" s="35" t="n"/>
      <c r="D1399" s="35" t="n"/>
      <c r="E1399" s="35" t="n"/>
      <c r="F1399" s="166" t="n"/>
      <c r="G1399" s="166">
        <f>IF(AND(E1399&lt;&gt;"",F1399&lt;&gt;""),E1399*F1399,"")</f>
      </c>
    </row>
    <row r="1400" ht="16.5" customHeight="1" s="71">
      <c r="B1400" s="169" t="n"/>
      <c r="C1400" s="35" t="n"/>
      <c r="D1400" s="35" t="n"/>
      <c r="E1400" s="35" t="n"/>
      <c r="F1400" s="166" t="n"/>
      <c r="G1400" s="166">
        <f>IF(AND(E1400&lt;&gt;"",F1400&lt;&gt;""),E1400*F1400,"")</f>
      </c>
    </row>
    <row r="1401" ht="16.5" customHeight="1" s="71">
      <c r="B1401" s="169" t="n"/>
      <c r="C1401" s="35" t="n"/>
      <c r="D1401" s="35" t="n"/>
      <c r="E1401" s="35" t="n"/>
      <c r="F1401" s="166" t="n"/>
      <c r="G1401" s="166">
        <f>IF(AND(E1401&lt;&gt;"",F1401&lt;&gt;""),E1401*F1401,"")</f>
      </c>
    </row>
    <row r="1402" ht="16.5" customHeight="1" s="71">
      <c r="B1402" s="169" t="n"/>
      <c r="C1402" s="35" t="n"/>
      <c r="D1402" s="35" t="n"/>
      <c r="E1402" s="35" t="n"/>
      <c r="F1402" s="166" t="n"/>
      <c r="G1402" s="166">
        <f>IF(AND(E1402&lt;&gt;"",F1402&lt;&gt;""),E1402*F1402,"")</f>
      </c>
    </row>
    <row r="1403" ht="16.5" customHeight="1" s="71">
      <c r="B1403" s="169" t="n"/>
      <c r="C1403" s="35" t="n"/>
      <c r="D1403" s="35" t="n"/>
      <c r="E1403" s="35" t="n"/>
      <c r="F1403" s="166" t="n"/>
      <c r="G1403" s="166">
        <f>IF(AND(E1403&lt;&gt;"",F1403&lt;&gt;""),E1403*F1403,"")</f>
      </c>
    </row>
    <row r="1404" ht="16.5" customHeight="1" s="71">
      <c r="B1404" s="169" t="n"/>
      <c r="C1404" s="35" t="n"/>
      <c r="D1404" s="35" t="n"/>
      <c r="E1404" s="35" t="n"/>
      <c r="F1404" s="166" t="n"/>
      <c r="G1404" s="166">
        <f>IF(AND(E1404&lt;&gt;"",F1404&lt;&gt;""),E1404*F1404,"")</f>
      </c>
    </row>
    <row r="1405" ht="16.5" customHeight="1" s="71">
      <c r="B1405" s="169" t="n"/>
      <c r="C1405" s="35" t="n"/>
      <c r="D1405" s="35" t="n"/>
      <c r="E1405" s="35" t="n"/>
      <c r="F1405" s="166" t="n"/>
      <c r="G1405" s="166">
        <f>IF(AND(E1405&lt;&gt;"",F1405&lt;&gt;""),E1405*F1405,"")</f>
      </c>
    </row>
    <row r="1406" ht="16.5" customHeight="1" s="71">
      <c r="B1406" s="169" t="n"/>
      <c r="C1406" s="35" t="n"/>
      <c r="D1406" s="35" t="n"/>
      <c r="E1406" s="35" t="n"/>
      <c r="F1406" s="166" t="n"/>
      <c r="G1406" s="166">
        <f>IF(AND(E1406&lt;&gt;"",F1406&lt;&gt;""),E1406*F1406,"")</f>
      </c>
    </row>
    <row r="1407" ht="16.5" customHeight="1" s="71">
      <c r="B1407" s="169" t="n"/>
      <c r="C1407" s="35" t="n"/>
      <c r="D1407" s="35" t="n"/>
      <c r="E1407" s="35" t="n"/>
      <c r="F1407" s="166" t="n"/>
      <c r="G1407" s="166">
        <f>IF(AND(E1407&lt;&gt;"",F1407&lt;&gt;""),E1407*F1407,"")</f>
      </c>
    </row>
    <row r="1408" ht="16.5" customHeight="1" s="71">
      <c r="B1408" s="169" t="n"/>
      <c r="C1408" s="35" t="n"/>
      <c r="D1408" s="35" t="n"/>
      <c r="E1408" s="35" t="n"/>
      <c r="F1408" s="166" t="n"/>
      <c r="G1408" s="166">
        <f>IF(AND(E1408&lt;&gt;"",F1408&lt;&gt;""),E1408*F1408,"")</f>
      </c>
    </row>
    <row r="1409" ht="16.5" customHeight="1" s="71">
      <c r="B1409" s="169" t="n"/>
      <c r="C1409" s="35" t="n"/>
      <c r="D1409" s="35" t="n"/>
      <c r="E1409" s="35" t="n"/>
      <c r="F1409" s="166" t="n"/>
      <c r="G1409" s="166">
        <f>IF(AND(E1409&lt;&gt;"",F1409&lt;&gt;""),E1409*F1409,"")</f>
      </c>
    </row>
    <row r="1410" ht="16.5" customHeight="1" s="71">
      <c r="B1410" s="169" t="n"/>
      <c r="C1410" s="35" t="n"/>
      <c r="D1410" s="35" t="n"/>
      <c r="E1410" s="35" t="n"/>
      <c r="F1410" s="166" t="n"/>
      <c r="G1410" s="166">
        <f>IF(AND(E1410&lt;&gt;"",F1410&lt;&gt;""),E1410*F1410,"")</f>
      </c>
    </row>
    <row r="1411" ht="16.5" customHeight="1" s="71">
      <c r="B1411" s="169" t="n"/>
      <c r="C1411" s="35" t="n"/>
      <c r="D1411" s="35" t="n"/>
      <c r="E1411" s="35" t="n"/>
      <c r="F1411" s="166" t="n"/>
      <c r="G1411" s="166">
        <f>IF(AND(E1411&lt;&gt;"",F1411&lt;&gt;""),E1411*F1411,"")</f>
      </c>
    </row>
    <row r="1412" ht="16.5" customHeight="1" s="71">
      <c r="B1412" s="169" t="n"/>
      <c r="C1412" s="35" t="n"/>
      <c r="D1412" s="35" t="n"/>
      <c r="E1412" s="35" t="n"/>
      <c r="F1412" s="166" t="n"/>
      <c r="G1412" s="166">
        <f>IF(AND(E1412&lt;&gt;"",F1412&lt;&gt;""),E1412*F1412,"")</f>
      </c>
    </row>
    <row r="1413" ht="16.5" customHeight="1" s="71">
      <c r="B1413" s="169" t="n"/>
      <c r="C1413" s="35" t="n"/>
      <c r="D1413" s="35" t="n"/>
      <c r="E1413" s="35" t="n"/>
      <c r="F1413" s="166" t="n"/>
      <c r="G1413" s="166">
        <f>IF(AND(E1413&lt;&gt;"",F1413&lt;&gt;""),E1413*F1413,"")</f>
      </c>
    </row>
    <row r="1414" ht="16.5" customHeight="1" s="71">
      <c r="B1414" s="169" t="n"/>
      <c r="C1414" s="35" t="n"/>
      <c r="D1414" s="35" t="n"/>
      <c r="E1414" s="35" t="n"/>
      <c r="F1414" s="166" t="n"/>
      <c r="G1414" s="166">
        <f>IF(AND(E1414&lt;&gt;"",F1414&lt;&gt;""),E1414*F1414,"")</f>
      </c>
    </row>
    <row r="1415" ht="16.5" customHeight="1" s="71">
      <c r="B1415" s="169" t="n"/>
      <c r="C1415" s="35" t="n"/>
      <c r="D1415" s="35" t="n"/>
      <c r="E1415" s="35" t="n"/>
      <c r="F1415" s="166" t="n"/>
      <c r="G1415" s="166">
        <f>IF(AND(E1415&lt;&gt;"",F1415&lt;&gt;""),E1415*F1415,"")</f>
      </c>
    </row>
    <row r="1416" ht="16.5" customHeight="1" s="71">
      <c r="B1416" s="169" t="n"/>
      <c r="C1416" s="35" t="n"/>
      <c r="D1416" s="35" t="n"/>
      <c r="E1416" s="35" t="n"/>
      <c r="F1416" s="166" t="n"/>
      <c r="G1416" s="166">
        <f>IF(AND(E1416&lt;&gt;"",F1416&lt;&gt;""),E1416*F1416,"")</f>
      </c>
    </row>
    <row r="1417" ht="16.5" customHeight="1" s="71">
      <c r="B1417" s="169" t="n"/>
      <c r="C1417" s="35" t="n"/>
      <c r="D1417" s="35" t="n"/>
      <c r="E1417" s="35" t="n"/>
      <c r="F1417" s="166" t="n"/>
      <c r="G1417" s="166">
        <f>IF(AND(E1417&lt;&gt;"",F1417&lt;&gt;""),E1417*F1417,"")</f>
      </c>
    </row>
    <row r="1418" ht="16.5" customHeight="1" s="71">
      <c r="B1418" s="169" t="n"/>
      <c r="C1418" s="35" t="n"/>
      <c r="D1418" s="35" t="n"/>
      <c r="E1418" s="35" t="n"/>
      <c r="F1418" s="166" t="n"/>
      <c r="G1418" s="166">
        <f>IF(AND(E1418&lt;&gt;"",F1418&lt;&gt;""),E1418*F1418,"")</f>
      </c>
    </row>
    <row r="1419" ht="16.5" customHeight="1" s="71">
      <c r="B1419" s="169" t="n"/>
      <c r="C1419" s="35" t="n"/>
      <c r="D1419" s="35" t="n"/>
      <c r="E1419" s="35" t="n"/>
      <c r="F1419" s="166" t="n"/>
      <c r="G1419" s="166">
        <f>IF(AND(E1419&lt;&gt;"",F1419&lt;&gt;""),E1419*F1419,"")</f>
      </c>
    </row>
    <row r="1420" ht="16.5" customHeight="1" s="71">
      <c r="B1420" s="169" t="n"/>
      <c r="C1420" s="35" t="n"/>
      <c r="D1420" s="35" t="n"/>
      <c r="E1420" s="35" t="n"/>
      <c r="F1420" s="166" t="n"/>
      <c r="G1420" s="166">
        <f>IF(AND(E1420&lt;&gt;"",F1420&lt;&gt;""),E1420*F1420,"")</f>
      </c>
    </row>
    <row r="1421" ht="16.5" customHeight="1" s="71">
      <c r="B1421" s="169" t="n"/>
      <c r="C1421" s="35" t="n"/>
      <c r="D1421" s="35" t="n"/>
      <c r="E1421" s="35" t="n"/>
      <c r="F1421" s="166" t="n"/>
      <c r="G1421" s="166">
        <f>IF(AND(E1421&lt;&gt;"",F1421&lt;&gt;""),E1421*F1421,"")</f>
      </c>
    </row>
    <row r="1422" ht="16.5" customHeight="1" s="71">
      <c r="B1422" s="169" t="n"/>
      <c r="C1422" s="35" t="n"/>
      <c r="D1422" s="35" t="n"/>
      <c r="E1422" s="35" t="n"/>
      <c r="F1422" s="166" t="n"/>
      <c r="G1422" s="166">
        <f>IF(AND(E1422&lt;&gt;"",F1422&lt;&gt;""),E1422*F1422,"")</f>
      </c>
    </row>
    <row r="1423" ht="16.5" customHeight="1" s="71">
      <c r="B1423" s="169" t="n"/>
      <c r="C1423" s="35" t="n"/>
      <c r="D1423" s="35" t="n"/>
      <c r="E1423" s="35" t="n"/>
      <c r="F1423" s="166" t="n"/>
      <c r="G1423" s="166">
        <f>IF(AND(E1423&lt;&gt;"",F1423&lt;&gt;""),E1423*F1423,"")</f>
      </c>
    </row>
    <row r="1424" ht="16.5" customHeight="1" s="71">
      <c r="B1424" s="169" t="n"/>
      <c r="C1424" s="35" t="n"/>
      <c r="D1424" s="35" t="n"/>
      <c r="E1424" s="35" t="n"/>
      <c r="F1424" s="166" t="n"/>
      <c r="G1424" s="166">
        <f>IF(AND(E1424&lt;&gt;"",F1424&lt;&gt;""),E1424*F1424,"")</f>
      </c>
    </row>
    <row r="1425" ht="16.5" customHeight="1" s="71">
      <c r="B1425" s="169" t="n"/>
      <c r="C1425" s="35" t="n"/>
      <c r="D1425" s="35" t="n"/>
      <c r="E1425" s="35" t="n"/>
      <c r="F1425" s="166" t="n"/>
      <c r="G1425" s="166">
        <f>IF(AND(E1425&lt;&gt;"",F1425&lt;&gt;""),E1425*F1425,"")</f>
      </c>
    </row>
    <row r="1426" ht="16.5" customHeight="1" s="71">
      <c r="B1426" s="169" t="n"/>
      <c r="C1426" s="35" t="n"/>
      <c r="D1426" s="35" t="n"/>
      <c r="E1426" s="35" t="n"/>
      <c r="F1426" s="166" t="n"/>
      <c r="G1426" s="166">
        <f>IF(AND(E1426&lt;&gt;"",F1426&lt;&gt;""),E1426*F1426,"")</f>
      </c>
    </row>
    <row r="1427" ht="16.5" customHeight="1" s="71">
      <c r="B1427" s="169" t="n"/>
      <c r="C1427" s="35" t="n"/>
      <c r="D1427" s="35" t="n"/>
      <c r="E1427" s="35" t="n"/>
      <c r="F1427" s="166" t="n"/>
      <c r="G1427" s="166">
        <f>IF(AND(E1427&lt;&gt;"",F1427&lt;&gt;""),E1427*F1427,"")</f>
      </c>
    </row>
    <row r="1428" ht="16.5" customHeight="1" s="71">
      <c r="B1428" s="169" t="n"/>
      <c r="C1428" s="35" t="n"/>
      <c r="D1428" s="35" t="n"/>
      <c r="E1428" s="35" t="n"/>
      <c r="F1428" s="166" t="n"/>
      <c r="G1428" s="166">
        <f>IF(AND(E1428&lt;&gt;"",F1428&lt;&gt;""),E1428*F1428,"")</f>
      </c>
    </row>
    <row r="1429" ht="16.5" customHeight="1" s="71">
      <c r="B1429" s="169" t="n"/>
      <c r="C1429" s="35" t="n"/>
      <c r="D1429" s="35" t="n"/>
      <c r="E1429" s="35" t="n"/>
      <c r="F1429" s="166" t="n"/>
      <c r="G1429" s="166">
        <f>IF(AND(E1429&lt;&gt;"",F1429&lt;&gt;""),E1429*F1429,"")</f>
      </c>
    </row>
    <row r="1430" ht="16.5" customHeight="1" s="71">
      <c r="B1430" s="169" t="n"/>
      <c r="C1430" s="35" t="n"/>
      <c r="D1430" s="35" t="n"/>
      <c r="E1430" s="35" t="n"/>
      <c r="F1430" s="166" t="n"/>
      <c r="G1430" s="166">
        <f>IF(AND(E1430&lt;&gt;"",F1430&lt;&gt;""),E1430*F1430,"")</f>
      </c>
    </row>
    <row r="1431" ht="16.5" customHeight="1" s="71">
      <c r="B1431" s="169" t="n"/>
      <c r="C1431" s="35" t="n"/>
      <c r="D1431" s="35" t="n"/>
      <c r="E1431" s="35" t="n"/>
      <c r="F1431" s="166" t="n"/>
      <c r="G1431" s="166">
        <f>IF(AND(E1431&lt;&gt;"",F1431&lt;&gt;""),E1431*F1431,"")</f>
      </c>
    </row>
    <row r="1432" ht="16.5" customHeight="1" s="71">
      <c r="B1432" s="169" t="n"/>
      <c r="C1432" s="35" t="n"/>
      <c r="D1432" s="35" t="n"/>
      <c r="E1432" s="35" t="n"/>
      <c r="F1432" s="166" t="n"/>
      <c r="G1432" s="166">
        <f>IF(AND(E1432&lt;&gt;"",F1432&lt;&gt;""),E1432*F1432,"")</f>
      </c>
    </row>
    <row r="1433" ht="16.5" customHeight="1" s="71">
      <c r="B1433" s="169" t="n"/>
      <c r="C1433" s="35" t="n"/>
      <c r="D1433" s="35" t="n"/>
      <c r="E1433" s="35" t="n"/>
      <c r="F1433" s="166" t="n"/>
      <c r="G1433" s="166">
        <f>IF(AND(E1433&lt;&gt;"",F1433&lt;&gt;""),E1433*F1433,"")</f>
      </c>
    </row>
    <row r="1434" ht="16.5" customHeight="1" s="71">
      <c r="B1434" s="169" t="n"/>
      <c r="C1434" s="35" t="n"/>
      <c r="D1434" s="35" t="n"/>
      <c r="E1434" s="35" t="n"/>
      <c r="F1434" s="166" t="n"/>
      <c r="G1434" s="166">
        <f>IF(AND(E1434&lt;&gt;"",F1434&lt;&gt;""),E1434*F1434,"")</f>
      </c>
    </row>
    <row r="1435" ht="16.5" customHeight="1" s="71">
      <c r="B1435" s="169" t="n"/>
      <c r="C1435" s="35" t="n"/>
      <c r="D1435" s="35" t="n"/>
      <c r="E1435" s="35" t="n"/>
      <c r="F1435" s="166" t="n"/>
      <c r="G1435" s="166">
        <f>IF(AND(E1435&lt;&gt;"",F1435&lt;&gt;""),E1435*F1435,"")</f>
      </c>
    </row>
    <row r="1436" ht="16.5" customHeight="1" s="71">
      <c r="B1436" s="169" t="n"/>
      <c r="C1436" s="35" t="n"/>
      <c r="D1436" s="35" t="n"/>
      <c r="E1436" s="35" t="n"/>
      <c r="F1436" s="166" t="n"/>
      <c r="G1436" s="166">
        <f>IF(AND(E1436&lt;&gt;"",F1436&lt;&gt;""),E1436*F1436,"")</f>
      </c>
    </row>
    <row r="1437" ht="16.5" customHeight="1" s="71">
      <c r="B1437" s="169" t="n"/>
      <c r="C1437" s="35" t="n"/>
      <c r="D1437" s="35" t="n"/>
      <c r="E1437" s="35" t="n"/>
      <c r="F1437" s="166" t="n"/>
      <c r="G1437" s="166">
        <f>IF(AND(E1437&lt;&gt;"",F1437&lt;&gt;""),E1437*F1437,"")</f>
      </c>
    </row>
    <row r="1438" ht="16.5" customHeight="1" s="71">
      <c r="B1438" s="169" t="n"/>
      <c r="C1438" s="35" t="n"/>
      <c r="D1438" s="35" t="n"/>
      <c r="E1438" s="35" t="n"/>
      <c r="F1438" s="166" t="n"/>
      <c r="G1438" s="166">
        <f>IF(AND(E1438&lt;&gt;"",F1438&lt;&gt;""),E1438*F1438,"")</f>
      </c>
    </row>
    <row r="1439" ht="16.5" customHeight="1" s="71">
      <c r="B1439" s="169" t="n"/>
      <c r="C1439" s="35" t="n"/>
      <c r="D1439" s="35" t="n"/>
      <c r="E1439" s="35" t="n"/>
      <c r="F1439" s="166" t="n"/>
      <c r="G1439" s="166">
        <f>IF(AND(E1439&lt;&gt;"",F1439&lt;&gt;""),E1439*F1439,"")</f>
      </c>
    </row>
    <row r="1440" ht="16.5" customHeight="1" s="71">
      <c r="B1440" s="169" t="n"/>
      <c r="C1440" s="35" t="n"/>
      <c r="D1440" s="35" t="n"/>
      <c r="E1440" s="35" t="n"/>
      <c r="F1440" s="166" t="n"/>
      <c r="G1440" s="166">
        <f>IF(AND(E1440&lt;&gt;"",F1440&lt;&gt;""),E1440*F1440,"")</f>
      </c>
    </row>
    <row r="1441" ht="16.5" customHeight="1" s="71">
      <c r="B1441" s="169" t="n"/>
      <c r="C1441" s="35" t="n"/>
      <c r="D1441" s="35" t="n"/>
      <c r="E1441" s="35" t="n"/>
      <c r="F1441" s="166" t="n"/>
      <c r="G1441" s="166">
        <f>IF(AND(E1441&lt;&gt;"",F1441&lt;&gt;""),E1441*F1441,"")</f>
      </c>
    </row>
    <row r="1442" ht="16.5" customHeight="1" s="71">
      <c r="B1442" s="169" t="n"/>
      <c r="C1442" s="35" t="n"/>
      <c r="D1442" s="35" t="n"/>
      <c r="E1442" s="35" t="n"/>
      <c r="F1442" s="166" t="n"/>
      <c r="G1442" s="166">
        <f>IF(AND(E1442&lt;&gt;"",F1442&lt;&gt;""),E1442*F1442,"")</f>
      </c>
    </row>
    <row r="1443" ht="16.5" customHeight="1" s="71">
      <c r="B1443" s="169" t="n"/>
      <c r="C1443" s="35" t="n"/>
      <c r="D1443" s="35" t="n"/>
      <c r="E1443" s="35" t="n"/>
      <c r="F1443" s="166" t="n"/>
      <c r="G1443" s="166">
        <f>IF(AND(E1443&lt;&gt;"",F1443&lt;&gt;""),E1443*F1443,"")</f>
      </c>
    </row>
    <row r="1444" ht="16.5" customHeight="1" s="71">
      <c r="B1444" s="169" t="n"/>
      <c r="C1444" s="35" t="n"/>
      <c r="D1444" s="35" t="n"/>
      <c r="E1444" s="35" t="n"/>
      <c r="F1444" s="166" t="n"/>
      <c r="G1444" s="166">
        <f>IF(AND(E1444&lt;&gt;"",F1444&lt;&gt;""),E1444*F1444,"")</f>
      </c>
    </row>
    <row r="1445" ht="16.5" customHeight="1" s="71">
      <c r="B1445" s="169" t="n"/>
      <c r="C1445" s="35" t="n"/>
      <c r="D1445" s="35" t="n"/>
      <c r="E1445" s="35" t="n"/>
      <c r="F1445" s="166" t="n"/>
      <c r="G1445" s="166">
        <f>IF(AND(E1445&lt;&gt;"",F1445&lt;&gt;""),E1445*F1445,"")</f>
      </c>
    </row>
    <row r="1446" ht="16.5" customHeight="1" s="71">
      <c r="B1446" s="169" t="n"/>
      <c r="C1446" s="35" t="n"/>
      <c r="D1446" s="35" t="n"/>
      <c r="E1446" s="35" t="n"/>
      <c r="F1446" s="166" t="n"/>
      <c r="G1446" s="166">
        <f>IF(AND(E1446&lt;&gt;"",F1446&lt;&gt;""),E1446*F1446,"")</f>
      </c>
    </row>
    <row r="1447" ht="16.5" customHeight="1" s="71">
      <c r="B1447" s="169" t="n"/>
      <c r="C1447" s="35" t="n"/>
      <c r="D1447" s="35" t="n"/>
      <c r="E1447" s="35" t="n"/>
      <c r="F1447" s="166" t="n"/>
      <c r="G1447" s="166">
        <f>IF(AND(E1447&lt;&gt;"",F1447&lt;&gt;""),E1447*F1447,"")</f>
      </c>
    </row>
    <row r="1448" ht="16.5" customHeight="1" s="71">
      <c r="B1448" s="169" t="n"/>
      <c r="C1448" s="35" t="n"/>
      <c r="D1448" s="35" t="n"/>
      <c r="E1448" s="35" t="n"/>
      <c r="F1448" s="166" t="n"/>
      <c r="G1448" s="166">
        <f>IF(AND(E1448&lt;&gt;"",F1448&lt;&gt;""),E1448*F1448,"")</f>
      </c>
    </row>
    <row r="1449" ht="16.5" customHeight="1" s="71">
      <c r="B1449" s="169" t="n"/>
      <c r="C1449" s="35" t="n"/>
      <c r="D1449" s="35" t="n"/>
      <c r="E1449" s="35" t="n"/>
      <c r="F1449" s="166" t="n"/>
      <c r="G1449" s="166">
        <f>IF(AND(E1449&lt;&gt;"",F1449&lt;&gt;""),E1449*F1449,"")</f>
      </c>
    </row>
    <row r="1450" ht="16.5" customHeight="1" s="71">
      <c r="B1450" s="169" t="n"/>
      <c r="C1450" s="35" t="n"/>
      <c r="D1450" s="35" t="n"/>
      <c r="E1450" s="35" t="n"/>
      <c r="F1450" s="166" t="n"/>
      <c r="G1450" s="166">
        <f>IF(AND(E1450&lt;&gt;"",F1450&lt;&gt;""),E1450*F1450,"")</f>
      </c>
    </row>
    <row r="1451" ht="16.5" customHeight="1" s="71">
      <c r="B1451" s="169" t="n"/>
      <c r="C1451" s="35" t="n"/>
      <c r="D1451" s="35" t="n"/>
      <c r="E1451" s="35" t="n"/>
      <c r="F1451" s="166" t="n"/>
      <c r="G1451" s="166">
        <f>IF(AND(E1451&lt;&gt;"",F1451&lt;&gt;""),E1451*F1451,"")</f>
      </c>
    </row>
    <row r="1452" ht="16.5" customHeight="1" s="71">
      <c r="B1452" s="169" t="n"/>
      <c r="C1452" s="35" t="n"/>
      <c r="D1452" s="35" t="n"/>
      <c r="E1452" s="35" t="n"/>
      <c r="F1452" s="166" t="n"/>
      <c r="G1452" s="166">
        <f>IF(AND(E1452&lt;&gt;"",F1452&lt;&gt;""),E1452*F1452,"")</f>
      </c>
    </row>
    <row r="1453" ht="16.5" customHeight="1" s="71">
      <c r="B1453" s="169" t="n"/>
      <c r="C1453" s="35" t="n"/>
      <c r="D1453" s="35" t="n"/>
      <c r="E1453" s="35" t="n"/>
      <c r="F1453" s="166" t="n"/>
      <c r="G1453" s="166">
        <f>IF(AND(E1453&lt;&gt;"",F1453&lt;&gt;""),E1453*F1453,"")</f>
      </c>
    </row>
    <row r="1454" ht="16.5" customHeight="1" s="71">
      <c r="B1454" s="169" t="n"/>
      <c r="C1454" s="35" t="n"/>
      <c r="D1454" s="35" t="n"/>
      <c r="E1454" s="35" t="n"/>
      <c r="F1454" s="166" t="n"/>
      <c r="G1454" s="166">
        <f>IF(AND(E1454&lt;&gt;"",F1454&lt;&gt;""),E1454*F1454,"")</f>
      </c>
    </row>
    <row r="1455" ht="16.5" customHeight="1" s="71">
      <c r="B1455" s="169" t="n"/>
      <c r="C1455" s="35" t="n"/>
      <c r="D1455" s="35" t="n"/>
      <c r="E1455" s="35" t="n"/>
      <c r="F1455" s="166" t="n"/>
      <c r="G1455" s="166">
        <f>IF(AND(E1455&lt;&gt;"",F1455&lt;&gt;""),E1455*F1455,"")</f>
      </c>
    </row>
    <row r="1456" ht="16.5" customHeight="1" s="71">
      <c r="B1456" s="169" t="n"/>
      <c r="C1456" s="35" t="n"/>
      <c r="D1456" s="35" t="n"/>
      <c r="E1456" s="35" t="n"/>
      <c r="F1456" s="166" t="n"/>
      <c r="G1456" s="166">
        <f>IF(AND(E1456&lt;&gt;"",F1456&lt;&gt;""),E1456*F1456,"")</f>
      </c>
    </row>
    <row r="1457" ht="16.5" customHeight="1" s="71">
      <c r="B1457" s="169" t="n"/>
      <c r="C1457" s="35" t="n"/>
      <c r="D1457" s="35" t="n"/>
      <c r="E1457" s="35" t="n"/>
      <c r="F1457" s="166" t="n"/>
      <c r="G1457" s="166">
        <f>IF(AND(E1457&lt;&gt;"",F1457&lt;&gt;""),E1457*F1457,"")</f>
      </c>
    </row>
    <row r="1458" ht="16.5" customHeight="1" s="71">
      <c r="B1458" s="169" t="n"/>
      <c r="C1458" s="35" t="n"/>
      <c r="D1458" s="35" t="n"/>
      <c r="E1458" s="35" t="n"/>
      <c r="F1458" s="166" t="n"/>
      <c r="G1458" s="166">
        <f>IF(AND(E1458&lt;&gt;"",F1458&lt;&gt;""),E1458*F1458,"")</f>
      </c>
    </row>
    <row r="1459" ht="16.5" customHeight="1" s="71">
      <c r="B1459" s="169" t="n"/>
      <c r="C1459" s="35" t="n"/>
      <c r="D1459" s="35" t="n"/>
      <c r="E1459" s="35" t="n"/>
      <c r="F1459" s="166" t="n"/>
      <c r="G1459" s="166">
        <f>IF(AND(E1459&lt;&gt;"",F1459&lt;&gt;""),E1459*F1459,"")</f>
      </c>
    </row>
    <row r="1460" ht="16.5" customHeight="1" s="71">
      <c r="B1460" s="169" t="n"/>
      <c r="C1460" s="35" t="n"/>
      <c r="D1460" s="35" t="n"/>
      <c r="E1460" s="35" t="n"/>
      <c r="F1460" s="166" t="n"/>
      <c r="G1460" s="166">
        <f>IF(AND(E1460&lt;&gt;"",F1460&lt;&gt;""),E1460*F1460,"")</f>
      </c>
    </row>
    <row r="1461" ht="16.5" customHeight="1" s="71">
      <c r="B1461" s="169" t="n"/>
      <c r="C1461" s="35" t="n"/>
      <c r="D1461" s="35" t="n"/>
      <c r="E1461" s="35" t="n"/>
      <c r="F1461" s="166" t="n"/>
      <c r="G1461" s="166">
        <f>IF(AND(E1461&lt;&gt;"",F1461&lt;&gt;""),E1461*F1461,"")</f>
      </c>
    </row>
    <row r="1462" ht="16.5" customHeight="1" s="71">
      <c r="B1462" s="169" t="n"/>
      <c r="C1462" s="35" t="n"/>
      <c r="D1462" s="35" t="n"/>
      <c r="E1462" s="35" t="n"/>
      <c r="F1462" s="166" t="n"/>
      <c r="G1462" s="166">
        <f>IF(AND(E1462&lt;&gt;"",F1462&lt;&gt;""),E1462*F1462,"")</f>
      </c>
    </row>
    <row r="1463" ht="16.5" customHeight="1" s="71">
      <c r="B1463" s="169" t="n"/>
      <c r="C1463" s="35" t="n"/>
      <c r="D1463" s="35" t="n"/>
      <c r="E1463" s="35" t="n"/>
      <c r="F1463" s="166" t="n"/>
      <c r="G1463" s="166">
        <f>IF(AND(E1463&lt;&gt;"",F1463&lt;&gt;""),E1463*F1463,"")</f>
      </c>
    </row>
    <row r="1464" ht="16.5" customHeight="1" s="71">
      <c r="B1464" s="169" t="n"/>
      <c r="C1464" s="35" t="n"/>
      <c r="D1464" s="35" t="n"/>
      <c r="E1464" s="35" t="n"/>
      <c r="F1464" s="166" t="n"/>
      <c r="G1464" s="166">
        <f>IF(AND(E1464&lt;&gt;"",F1464&lt;&gt;""),E1464*F1464,"")</f>
      </c>
    </row>
    <row r="1465" ht="16.5" customHeight="1" s="71">
      <c r="B1465" s="169" t="n"/>
      <c r="C1465" s="35" t="n"/>
      <c r="D1465" s="35" t="n"/>
      <c r="E1465" s="35" t="n"/>
      <c r="F1465" s="166" t="n"/>
      <c r="G1465" s="166">
        <f>IF(AND(E1465&lt;&gt;"",F1465&lt;&gt;""),E1465*F1465,"")</f>
      </c>
    </row>
    <row r="1466" ht="16.5" customHeight="1" s="71">
      <c r="B1466" s="169" t="n"/>
      <c r="C1466" s="35" t="n"/>
      <c r="D1466" s="35" t="n"/>
      <c r="E1466" s="35" t="n"/>
      <c r="F1466" s="166" t="n"/>
      <c r="G1466" s="166">
        <f>IF(AND(E1466&lt;&gt;"",F1466&lt;&gt;""),E1466*F1466,"")</f>
      </c>
    </row>
    <row r="1467" ht="16.5" customHeight="1" s="71">
      <c r="B1467" s="169" t="n"/>
      <c r="C1467" s="35" t="n"/>
      <c r="D1467" s="35" t="n"/>
      <c r="E1467" s="35" t="n"/>
      <c r="F1467" s="166" t="n"/>
      <c r="G1467" s="166">
        <f>IF(AND(E1467&lt;&gt;"",F1467&lt;&gt;""),E1467*F1467,"")</f>
      </c>
    </row>
    <row r="1468" ht="16.5" customHeight="1" s="71">
      <c r="B1468" s="169" t="n"/>
      <c r="C1468" s="35" t="n"/>
      <c r="D1468" s="35" t="n"/>
      <c r="E1468" s="35" t="n"/>
      <c r="F1468" s="166" t="n"/>
      <c r="G1468" s="166">
        <f>IF(AND(E1468&lt;&gt;"",F1468&lt;&gt;""),E1468*F1468,"")</f>
      </c>
    </row>
    <row r="1469" ht="16.5" customHeight="1" s="71">
      <c r="B1469" s="169" t="n"/>
      <c r="C1469" s="35" t="n"/>
      <c r="D1469" s="35" t="n"/>
      <c r="E1469" s="35" t="n"/>
      <c r="F1469" s="166" t="n"/>
      <c r="G1469" s="166">
        <f>IF(AND(E1469&lt;&gt;"",F1469&lt;&gt;""),E1469*F1469,"")</f>
      </c>
    </row>
    <row r="1470" ht="16.5" customHeight="1" s="71">
      <c r="B1470" s="169" t="n"/>
      <c r="C1470" s="35" t="n"/>
      <c r="D1470" s="35" t="n"/>
      <c r="E1470" s="35" t="n"/>
      <c r="F1470" s="166" t="n"/>
      <c r="G1470" s="166">
        <f>IF(AND(E1470&lt;&gt;"",F1470&lt;&gt;""),E1470*F1470,"")</f>
      </c>
    </row>
    <row r="1471" ht="16.5" customHeight="1" s="71">
      <c r="B1471" s="169" t="n"/>
      <c r="C1471" s="35" t="n"/>
      <c r="D1471" s="35" t="n"/>
      <c r="E1471" s="35" t="n"/>
      <c r="F1471" s="166" t="n"/>
      <c r="G1471" s="166">
        <f>IF(AND(E1471&lt;&gt;"",F1471&lt;&gt;""),E1471*F1471,"")</f>
      </c>
    </row>
    <row r="1472" ht="16.5" customHeight="1" s="71">
      <c r="B1472" s="169" t="n"/>
      <c r="C1472" s="35" t="n"/>
      <c r="D1472" s="35" t="n"/>
      <c r="E1472" s="35" t="n"/>
      <c r="F1472" s="166" t="n"/>
      <c r="G1472" s="166">
        <f>IF(AND(E1472&lt;&gt;"",F1472&lt;&gt;""),E1472*F1472,"")</f>
      </c>
    </row>
    <row r="1473" ht="16.5" customHeight="1" s="71">
      <c r="B1473" s="169" t="n"/>
      <c r="C1473" s="35" t="n"/>
      <c r="D1473" s="35" t="n"/>
      <c r="E1473" s="35" t="n"/>
      <c r="F1473" s="166" t="n"/>
      <c r="G1473" s="166">
        <f>IF(AND(E1473&lt;&gt;"",F1473&lt;&gt;""),E1473*F1473,"")</f>
      </c>
    </row>
    <row r="1474" ht="16.5" customHeight="1" s="71">
      <c r="B1474" s="169" t="n"/>
      <c r="C1474" s="35" t="n"/>
      <c r="D1474" s="35" t="n"/>
      <c r="E1474" s="35" t="n"/>
      <c r="F1474" s="166" t="n"/>
      <c r="G1474" s="166">
        <f>IF(AND(E1474&lt;&gt;"",F1474&lt;&gt;""),E1474*F1474,"")</f>
      </c>
    </row>
    <row r="1475" ht="16.5" customHeight="1" s="71">
      <c r="B1475" s="169" t="n"/>
      <c r="C1475" s="35" t="n"/>
      <c r="D1475" s="35" t="n"/>
      <c r="E1475" s="35" t="n"/>
      <c r="F1475" s="166" t="n"/>
      <c r="G1475" s="166">
        <f>IF(AND(E1475&lt;&gt;"",F1475&lt;&gt;""),E1475*F1475,"")</f>
      </c>
    </row>
    <row r="1476" ht="16.5" customHeight="1" s="71">
      <c r="B1476" s="169" t="n"/>
      <c r="C1476" s="35" t="n"/>
      <c r="D1476" s="35" t="n"/>
      <c r="E1476" s="35" t="n"/>
      <c r="F1476" s="166" t="n"/>
      <c r="G1476" s="166">
        <f>IF(AND(E1476&lt;&gt;"",F1476&lt;&gt;""),E1476*F1476,"")</f>
      </c>
    </row>
    <row r="1477" ht="16.5" customHeight="1" s="71">
      <c r="B1477" s="169" t="n"/>
      <c r="C1477" s="35" t="n"/>
      <c r="D1477" s="35" t="n"/>
      <c r="E1477" s="35" t="n"/>
      <c r="F1477" s="166" t="n"/>
      <c r="G1477" s="166">
        <f>IF(AND(E1477&lt;&gt;"",F1477&lt;&gt;""),E1477*F1477,"")</f>
      </c>
    </row>
    <row r="1478" ht="16.5" customHeight="1" s="71">
      <c r="B1478" s="169" t="n"/>
      <c r="C1478" s="35" t="n"/>
      <c r="D1478" s="35" t="n"/>
      <c r="E1478" s="35" t="n"/>
      <c r="F1478" s="166" t="n"/>
      <c r="G1478" s="166">
        <f>IF(AND(E1478&lt;&gt;"",F1478&lt;&gt;""),E1478*F1478,"")</f>
      </c>
    </row>
    <row r="1479" ht="16.5" customHeight="1" s="71">
      <c r="B1479" s="169" t="n"/>
      <c r="C1479" s="35" t="n"/>
      <c r="D1479" s="35" t="n"/>
      <c r="E1479" s="35" t="n"/>
      <c r="F1479" s="166" t="n"/>
      <c r="G1479" s="166">
        <f>IF(AND(E1479&lt;&gt;"",F1479&lt;&gt;""),E1479*F1479,"")</f>
      </c>
    </row>
    <row r="1480" ht="16.5" customHeight="1" s="71">
      <c r="B1480" s="169" t="n"/>
      <c r="C1480" s="35" t="n"/>
      <c r="D1480" s="35" t="n"/>
      <c r="E1480" s="35" t="n"/>
      <c r="F1480" s="166" t="n"/>
      <c r="G1480" s="166">
        <f>IF(AND(E1480&lt;&gt;"",F1480&lt;&gt;""),E1480*F1480,"")</f>
      </c>
    </row>
    <row r="1481" ht="16.5" customHeight="1" s="71">
      <c r="B1481" s="169" t="n"/>
      <c r="C1481" s="35" t="n"/>
      <c r="D1481" s="35" t="n"/>
      <c r="E1481" s="35" t="n"/>
      <c r="F1481" s="166" t="n"/>
      <c r="G1481" s="166">
        <f>IF(AND(E1481&lt;&gt;"",F1481&lt;&gt;""),E1481*F1481,"")</f>
      </c>
    </row>
    <row r="1482" ht="16.5" customHeight="1" s="71">
      <c r="B1482" s="169" t="n"/>
      <c r="C1482" s="35" t="n"/>
      <c r="D1482" s="35" t="n"/>
      <c r="E1482" s="35" t="n"/>
      <c r="F1482" s="166" t="n"/>
      <c r="G1482" s="166">
        <f>IF(AND(E1482&lt;&gt;"",F1482&lt;&gt;""),E1482*F1482,"")</f>
      </c>
    </row>
    <row r="1483" ht="16.5" customHeight="1" s="71">
      <c r="B1483" s="169" t="n"/>
      <c r="C1483" s="35" t="n"/>
      <c r="D1483" s="35" t="n"/>
      <c r="E1483" s="35" t="n"/>
      <c r="F1483" s="166" t="n"/>
      <c r="G1483" s="166">
        <f>IF(AND(E1483&lt;&gt;"",F1483&lt;&gt;""),E1483*F1483,"")</f>
      </c>
    </row>
    <row r="1484" ht="16.5" customHeight="1" s="71">
      <c r="B1484" s="169" t="n"/>
      <c r="C1484" s="35" t="n"/>
      <c r="D1484" s="35" t="n"/>
      <c r="E1484" s="35" t="n"/>
      <c r="F1484" s="166" t="n"/>
      <c r="G1484" s="166">
        <f>IF(AND(E1484&lt;&gt;"",F1484&lt;&gt;""),E1484*F1484,"")</f>
      </c>
    </row>
    <row r="1485" ht="16.5" customHeight="1" s="71">
      <c r="B1485" s="169" t="n"/>
      <c r="C1485" s="35" t="n"/>
      <c r="D1485" s="35" t="n"/>
      <c r="E1485" s="35" t="n"/>
      <c r="F1485" s="166" t="n"/>
      <c r="G1485" s="166">
        <f>IF(AND(E1485&lt;&gt;"",F1485&lt;&gt;""),E1485*F1485,"")</f>
      </c>
    </row>
    <row r="1486" ht="16.5" customHeight="1" s="71">
      <c r="B1486" s="169" t="n"/>
      <c r="C1486" s="35" t="n"/>
      <c r="D1486" s="35" t="n"/>
      <c r="E1486" s="35" t="n"/>
      <c r="F1486" s="166" t="n"/>
      <c r="G1486" s="166">
        <f>IF(AND(E1486&lt;&gt;"",F1486&lt;&gt;""),E1486*F1486,"")</f>
      </c>
    </row>
    <row r="1487" ht="16.5" customHeight="1" s="71">
      <c r="B1487" s="169" t="n"/>
      <c r="C1487" s="35" t="n"/>
      <c r="D1487" s="35" t="n"/>
      <c r="E1487" s="35" t="n"/>
      <c r="F1487" s="166" t="n"/>
      <c r="G1487" s="166">
        <f>IF(AND(E1487&lt;&gt;"",F1487&lt;&gt;""),E1487*F1487,"")</f>
      </c>
    </row>
    <row r="1488" ht="16.5" customHeight="1" s="71">
      <c r="B1488" s="169" t="n"/>
      <c r="C1488" s="35" t="n"/>
      <c r="D1488" s="35" t="n"/>
      <c r="E1488" s="35" t="n"/>
      <c r="F1488" s="166" t="n"/>
      <c r="G1488" s="166">
        <f>IF(AND(E1488&lt;&gt;"",F1488&lt;&gt;""),E1488*F1488,"")</f>
      </c>
    </row>
    <row r="1489" ht="16.5" customHeight="1" s="71">
      <c r="B1489" s="169" t="n"/>
      <c r="C1489" s="35" t="n"/>
      <c r="D1489" s="35" t="n"/>
      <c r="E1489" s="35" t="n"/>
      <c r="F1489" s="166" t="n"/>
      <c r="G1489" s="166">
        <f>IF(AND(E1489&lt;&gt;"",F1489&lt;&gt;""),E1489*F1489,"")</f>
      </c>
    </row>
    <row r="1490" ht="16.5" customHeight="1" s="71">
      <c r="B1490" s="169" t="n"/>
      <c r="C1490" s="35" t="n"/>
      <c r="D1490" s="35" t="n"/>
      <c r="E1490" s="35" t="n"/>
      <c r="F1490" s="166" t="n"/>
      <c r="G1490" s="166">
        <f>IF(AND(E1490&lt;&gt;"",F1490&lt;&gt;""),E1490*F1490,"")</f>
      </c>
    </row>
    <row r="1491" ht="16.5" customHeight="1" s="71">
      <c r="B1491" s="169" t="n"/>
      <c r="C1491" s="35" t="n"/>
      <c r="D1491" s="35" t="n"/>
      <c r="E1491" s="35" t="n"/>
      <c r="F1491" s="166" t="n"/>
      <c r="G1491" s="166">
        <f>IF(AND(E1491&lt;&gt;"",F1491&lt;&gt;""),E1491*F1491,"")</f>
      </c>
    </row>
    <row r="1492" ht="16.5" customHeight="1" s="71">
      <c r="B1492" s="169" t="n"/>
      <c r="C1492" s="35" t="n"/>
      <c r="D1492" s="35" t="n"/>
      <c r="E1492" s="35" t="n"/>
      <c r="F1492" s="166" t="n"/>
      <c r="G1492" s="166">
        <f>IF(AND(E1492&lt;&gt;"",F1492&lt;&gt;""),E1492*F1492,"")</f>
      </c>
    </row>
    <row r="1493" ht="16.5" customHeight="1" s="71">
      <c r="B1493" s="169" t="n"/>
      <c r="C1493" s="35" t="n"/>
      <c r="D1493" s="35" t="n"/>
      <c r="E1493" s="35" t="n"/>
      <c r="F1493" s="166" t="n"/>
      <c r="G1493" s="166">
        <f>IF(AND(E1493&lt;&gt;"",F1493&lt;&gt;""),E1493*F1493,"")</f>
      </c>
    </row>
    <row r="1494" ht="16.5" customHeight="1" s="71">
      <c r="B1494" s="169" t="n"/>
      <c r="C1494" s="35" t="n"/>
      <c r="D1494" s="35" t="n"/>
      <c r="E1494" s="35" t="n"/>
      <c r="F1494" s="166" t="n"/>
      <c r="G1494" s="166">
        <f>IF(AND(E1494&lt;&gt;"",F1494&lt;&gt;""),E1494*F1494,"")</f>
      </c>
    </row>
    <row r="1495" ht="16.5" customHeight="1" s="71">
      <c r="B1495" s="169" t="n"/>
      <c r="C1495" s="35" t="n"/>
      <c r="D1495" s="35" t="n"/>
      <c r="E1495" s="35" t="n"/>
      <c r="F1495" s="166" t="n"/>
      <c r="G1495" s="166">
        <f>IF(AND(E1495&lt;&gt;"",F1495&lt;&gt;""),E1495*F1495,"")</f>
      </c>
    </row>
    <row r="1496" ht="16.5" customHeight="1" s="71">
      <c r="B1496" s="169" t="n"/>
      <c r="C1496" s="35" t="n"/>
      <c r="D1496" s="35" t="n"/>
      <c r="E1496" s="35" t="n"/>
      <c r="F1496" s="166" t="n"/>
      <c r="G1496" s="166">
        <f>IF(AND(E1496&lt;&gt;"",F1496&lt;&gt;""),E1496*F1496,"")</f>
      </c>
    </row>
    <row r="1497" ht="16.5" customHeight="1" s="71">
      <c r="B1497" s="169" t="n"/>
      <c r="C1497" s="35" t="n"/>
      <c r="D1497" s="35" t="n"/>
      <c r="E1497" s="35" t="n"/>
      <c r="F1497" s="166" t="n"/>
      <c r="G1497" s="166">
        <f>IF(AND(E1497&lt;&gt;"",F1497&lt;&gt;""),E1497*F1497,"")</f>
      </c>
    </row>
    <row r="1498" ht="16.5" customHeight="1" s="71">
      <c r="B1498" s="169" t="n"/>
      <c r="C1498" s="35" t="n"/>
      <c r="D1498" s="35" t="n"/>
      <c r="E1498" s="35" t="n"/>
      <c r="F1498" s="166" t="n"/>
      <c r="G1498" s="166">
        <f>IF(AND(E1498&lt;&gt;"",F1498&lt;&gt;""),E1498*F1498,"")</f>
      </c>
    </row>
    <row r="1499" ht="16.5" customHeight="1" s="71">
      <c r="B1499" s="169" t="n"/>
      <c r="C1499" s="35" t="n"/>
      <c r="D1499" s="35" t="n"/>
      <c r="E1499" s="35" t="n"/>
      <c r="F1499" s="166" t="n"/>
      <c r="G1499" s="166">
        <f>IF(AND(E1499&lt;&gt;"",F1499&lt;&gt;""),E1499*F1499,"")</f>
      </c>
    </row>
    <row r="1500" ht="16.5" customHeight="1" s="71">
      <c r="B1500" s="169" t="n"/>
      <c r="C1500" s="35" t="n"/>
      <c r="D1500" s="35" t="n"/>
      <c r="E1500" s="35" t="n"/>
      <c r="F1500" s="166" t="n"/>
      <c r="G1500" s="166">
        <f>IF(AND(E1500&lt;&gt;"",F1500&lt;&gt;""),E1500*F1500,"")</f>
      </c>
    </row>
    <row r="1501" ht="16.5" customHeight="1" s="71">
      <c r="B1501" s="169" t="n"/>
      <c r="C1501" s="35" t="n"/>
      <c r="D1501" s="35" t="n"/>
      <c r="E1501" s="35" t="n"/>
      <c r="F1501" s="166" t="n"/>
      <c r="G1501" s="166">
        <f>IF(AND(E1501&lt;&gt;"",F1501&lt;&gt;""),E1501*F1501,"")</f>
      </c>
    </row>
    <row r="1502" ht="16.5" customHeight="1" s="71">
      <c r="B1502" s="169" t="n"/>
      <c r="C1502" s="35" t="n"/>
      <c r="D1502" s="35" t="n"/>
      <c r="E1502" s="35" t="n"/>
      <c r="F1502" s="166" t="n"/>
      <c r="G1502" s="166">
        <f>IF(AND(E1502&lt;&gt;"",F1502&lt;&gt;""),E1502*F1502,"")</f>
      </c>
    </row>
    <row r="1503" ht="16.5" customHeight="1" s="71">
      <c r="B1503" s="169" t="n"/>
      <c r="C1503" s="35" t="n"/>
      <c r="D1503" s="35" t="n"/>
      <c r="E1503" s="35" t="n"/>
      <c r="F1503" s="166" t="n"/>
      <c r="G1503" s="166">
        <f>IF(AND(E1503&lt;&gt;"",F1503&lt;&gt;""),E1503*F1503,"")</f>
      </c>
    </row>
    <row r="1504" ht="16.5" customHeight="1" s="71">
      <c r="B1504" s="169" t="n"/>
      <c r="C1504" s="35" t="n"/>
      <c r="D1504" s="35" t="n"/>
      <c r="E1504" s="35" t="n"/>
      <c r="F1504" s="166" t="n"/>
      <c r="G1504" s="166">
        <f>IF(AND(E1504&lt;&gt;"",F1504&lt;&gt;""),E1504*F1504,"")</f>
      </c>
    </row>
    <row r="1505" ht="16.5" customHeight="1" s="71">
      <c r="B1505" s="169" t="n"/>
      <c r="C1505" s="35" t="n"/>
      <c r="D1505" s="35" t="n"/>
      <c r="E1505" s="35" t="n"/>
      <c r="F1505" s="166" t="n"/>
      <c r="G1505" s="166">
        <f>IF(AND(E1505&lt;&gt;"",F1505&lt;&gt;""),E1505*F1505,"")</f>
      </c>
    </row>
    <row r="1506" ht="16.5" customHeight="1" s="71">
      <c r="B1506" s="169" t="n"/>
      <c r="C1506" s="35" t="n"/>
      <c r="D1506" s="35" t="n"/>
      <c r="E1506" s="35" t="n"/>
      <c r="F1506" s="166" t="n"/>
      <c r="G1506" s="166">
        <f>IF(AND(E1506&lt;&gt;"",F1506&lt;&gt;""),E1506*F1506,"")</f>
      </c>
    </row>
    <row r="1507" ht="16.5" customHeight="1" s="71">
      <c r="B1507" s="169" t="n"/>
      <c r="C1507" s="35" t="n"/>
      <c r="D1507" s="35" t="n"/>
      <c r="E1507" s="35" t="n"/>
      <c r="F1507" s="166" t="n"/>
      <c r="G1507" s="166">
        <f>IF(AND(E1507&lt;&gt;"",F1507&lt;&gt;""),E1507*F1507,"")</f>
      </c>
    </row>
    <row r="1508" ht="16.5" customHeight="1" s="71">
      <c r="B1508" s="169" t="n"/>
      <c r="C1508" s="35" t="n"/>
      <c r="D1508" s="35" t="n"/>
      <c r="E1508" s="35" t="n"/>
      <c r="F1508" s="166" t="n"/>
      <c r="G1508" s="166">
        <f>IF(AND(E1508&lt;&gt;"",F1508&lt;&gt;""),E1508*F1508,"")</f>
      </c>
    </row>
    <row r="1509" ht="16.5" customHeight="1" s="71">
      <c r="B1509" s="169" t="n"/>
      <c r="C1509" s="35" t="n"/>
      <c r="D1509" s="35" t="n"/>
      <c r="E1509" s="35" t="n"/>
      <c r="F1509" s="166" t="n"/>
      <c r="G1509" s="166">
        <f>IF(AND(E1509&lt;&gt;"",F1509&lt;&gt;""),E1509*F1509,"")</f>
      </c>
    </row>
    <row r="1510" ht="16.5" customHeight="1" s="71">
      <c r="B1510" s="169" t="n"/>
      <c r="C1510" s="35" t="n"/>
      <c r="D1510" s="35" t="n"/>
      <c r="E1510" s="35" t="n"/>
      <c r="F1510" s="166" t="n"/>
      <c r="G1510" s="166">
        <f>IF(AND(E1510&lt;&gt;"",F1510&lt;&gt;""),E1510*F1510,"")</f>
      </c>
    </row>
    <row r="1511" ht="16.5" customHeight="1" s="71">
      <c r="B1511" s="169" t="n"/>
      <c r="C1511" s="35" t="n"/>
      <c r="D1511" s="35" t="n"/>
      <c r="E1511" s="35" t="n"/>
      <c r="F1511" s="166" t="n"/>
      <c r="G1511" s="166">
        <f>IF(AND(E1511&lt;&gt;"",F1511&lt;&gt;""),E1511*F1511,"")</f>
      </c>
    </row>
    <row r="1512" ht="16.5" customHeight="1" s="71">
      <c r="B1512" s="169" t="n"/>
      <c r="C1512" s="35" t="n"/>
      <c r="D1512" s="35" t="n"/>
      <c r="E1512" s="35" t="n"/>
      <c r="F1512" s="166" t="n"/>
      <c r="G1512" s="166">
        <f>IF(AND(E1512&lt;&gt;"",F1512&lt;&gt;""),E1512*F1512,"")</f>
      </c>
    </row>
    <row r="1513" ht="16.5" customHeight="1" s="71">
      <c r="B1513" s="169" t="n"/>
      <c r="C1513" s="35" t="n"/>
      <c r="D1513" s="35" t="n"/>
      <c r="E1513" s="35" t="n"/>
      <c r="F1513" s="166" t="n"/>
      <c r="G1513" s="166">
        <f>IF(AND(E1513&lt;&gt;"",F1513&lt;&gt;""),E1513*F1513,"")</f>
      </c>
    </row>
    <row r="1514" ht="16.5" customHeight="1" s="71">
      <c r="B1514" s="169" t="n"/>
      <c r="C1514" s="35" t="n"/>
      <c r="D1514" s="35" t="n"/>
      <c r="E1514" s="35" t="n"/>
      <c r="F1514" s="166" t="n"/>
      <c r="G1514" s="166">
        <f>IF(AND(E1514&lt;&gt;"",F1514&lt;&gt;""),E1514*F1514,"")</f>
      </c>
    </row>
    <row r="1515" ht="16.5" customHeight="1" s="71">
      <c r="B1515" s="169" t="n"/>
      <c r="C1515" s="35" t="n"/>
      <c r="D1515" s="35" t="n"/>
      <c r="E1515" s="35" t="n"/>
      <c r="F1515" s="166" t="n"/>
      <c r="G1515" s="166">
        <f>IF(AND(E1515&lt;&gt;"",F1515&lt;&gt;""),E1515*F1515,"")</f>
      </c>
    </row>
    <row r="1516" ht="16.5" customHeight="1" s="71">
      <c r="B1516" s="169" t="n"/>
      <c r="C1516" s="35" t="n"/>
      <c r="D1516" s="35" t="n"/>
      <c r="E1516" s="35" t="n"/>
      <c r="F1516" s="166" t="n"/>
      <c r="G1516" s="166">
        <f>IF(AND(E1516&lt;&gt;"",F1516&lt;&gt;""),E1516*F1516,"")</f>
      </c>
    </row>
    <row r="1517" ht="16.5" customHeight="1" s="71">
      <c r="B1517" s="169" t="n"/>
      <c r="C1517" s="35" t="n"/>
      <c r="D1517" s="35" t="n"/>
      <c r="E1517" s="35" t="n"/>
      <c r="F1517" s="166" t="n"/>
      <c r="G1517" s="166">
        <f>IF(AND(E1517&lt;&gt;"",F1517&lt;&gt;""),E1517*F1517,"")</f>
      </c>
    </row>
    <row r="1518" ht="16.5" customHeight="1" s="71">
      <c r="B1518" s="169" t="n"/>
      <c r="C1518" s="35" t="n"/>
      <c r="D1518" s="35" t="n"/>
      <c r="E1518" s="35" t="n"/>
      <c r="F1518" s="166" t="n"/>
      <c r="G1518" s="166">
        <f>IF(AND(E1518&lt;&gt;"",F1518&lt;&gt;""),E1518*F1518,"")</f>
      </c>
    </row>
    <row r="1519" ht="16.5" customHeight="1" s="71">
      <c r="B1519" s="169" t="n"/>
      <c r="C1519" s="35" t="n"/>
      <c r="D1519" s="35" t="n"/>
      <c r="E1519" s="35" t="n"/>
      <c r="F1519" s="166" t="n"/>
      <c r="G1519" s="166">
        <f>IF(AND(E1519&lt;&gt;"",F1519&lt;&gt;""),E1519*F1519,"")</f>
      </c>
    </row>
    <row r="1520" ht="16.5" customHeight="1" s="71">
      <c r="B1520" s="169" t="n"/>
      <c r="C1520" s="35" t="n"/>
      <c r="D1520" s="35" t="n"/>
      <c r="E1520" s="35" t="n"/>
      <c r="F1520" s="166" t="n"/>
      <c r="G1520" s="166">
        <f>IF(AND(E1520&lt;&gt;"",F1520&lt;&gt;""),E1520*F1520,"")</f>
      </c>
    </row>
    <row r="1521" ht="16.5" customHeight="1" s="71">
      <c r="B1521" s="169" t="n"/>
      <c r="C1521" s="35" t="n"/>
      <c r="D1521" s="35" t="n"/>
      <c r="E1521" s="35" t="n"/>
      <c r="F1521" s="166" t="n"/>
      <c r="G1521" s="166">
        <f>IF(AND(E1521&lt;&gt;"",F1521&lt;&gt;""),E1521*F1521,"")</f>
      </c>
    </row>
    <row r="1522" ht="16.5" customHeight="1" s="71">
      <c r="B1522" s="169" t="n"/>
      <c r="C1522" s="35" t="n"/>
      <c r="D1522" s="35" t="n"/>
      <c r="E1522" s="35" t="n"/>
      <c r="F1522" s="166" t="n"/>
      <c r="G1522" s="166">
        <f>IF(AND(E1522&lt;&gt;"",F1522&lt;&gt;""),E1522*F1522,"")</f>
      </c>
    </row>
    <row r="1523" ht="16.5" customHeight="1" s="71">
      <c r="B1523" s="169" t="n"/>
      <c r="C1523" s="35" t="n"/>
      <c r="D1523" s="35" t="n"/>
      <c r="E1523" s="35" t="n"/>
      <c r="F1523" s="166" t="n"/>
      <c r="G1523" s="166">
        <f>IF(AND(E1523&lt;&gt;"",F1523&lt;&gt;""),E1523*F1523,"")</f>
      </c>
    </row>
    <row r="1524" ht="16.5" customHeight="1" s="71">
      <c r="B1524" s="169" t="n"/>
      <c r="C1524" s="35" t="n"/>
      <c r="D1524" s="35" t="n"/>
      <c r="E1524" s="35" t="n"/>
      <c r="F1524" s="166" t="n"/>
      <c r="G1524" s="166">
        <f>IF(AND(E1524&lt;&gt;"",F1524&lt;&gt;""),E1524*F1524,"")</f>
      </c>
    </row>
    <row r="1525" ht="16.5" customHeight="1" s="71">
      <c r="B1525" s="169" t="n"/>
      <c r="C1525" s="35" t="n"/>
      <c r="D1525" s="35" t="n"/>
      <c r="E1525" s="35" t="n"/>
      <c r="F1525" s="166" t="n"/>
      <c r="G1525" s="166">
        <f>IF(AND(E1525&lt;&gt;"",F1525&lt;&gt;""),E1525*F1525,"")</f>
      </c>
    </row>
    <row r="1526" ht="16.5" customHeight="1" s="71">
      <c r="B1526" s="169" t="n"/>
      <c r="C1526" s="35" t="n"/>
      <c r="D1526" s="35" t="n"/>
      <c r="E1526" s="35" t="n"/>
      <c r="F1526" s="166" t="n"/>
      <c r="G1526" s="166">
        <f>IF(AND(E1526&lt;&gt;"",F1526&lt;&gt;""),E1526*F1526,"")</f>
      </c>
    </row>
    <row r="1527" ht="16.5" customHeight="1" s="71">
      <c r="B1527" s="169" t="n"/>
      <c r="C1527" s="35" t="n"/>
      <c r="D1527" s="35" t="n"/>
      <c r="E1527" s="35" t="n"/>
      <c r="F1527" s="166" t="n"/>
      <c r="G1527" s="166">
        <f>IF(AND(E1527&lt;&gt;"",F1527&lt;&gt;""),E1527*F1527,"")</f>
      </c>
    </row>
    <row r="1528" ht="16.5" customHeight="1" s="71">
      <c r="B1528" s="169" t="n"/>
      <c r="C1528" s="35" t="n"/>
      <c r="D1528" s="35" t="n"/>
      <c r="E1528" s="35" t="n"/>
      <c r="F1528" s="166" t="n"/>
      <c r="G1528" s="166">
        <f>IF(AND(E1528&lt;&gt;"",F1528&lt;&gt;""),E1528*F1528,"")</f>
      </c>
    </row>
    <row r="1529" ht="16.5" customHeight="1" s="71">
      <c r="B1529" s="169" t="n"/>
      <c r="C1529" s="35" t="n"/>
      <c r="D1529" s="35" t="n"/>
      <c r="E1529" s="35" t="n"/>
      <c r="F1529" s="166" t="n"/>
      <c r="G1529" s="166">
        <f>IF(AND(E1529&lt;&gt;"",F1529&lt;&gt;""),E1529*F1529,"")</f>
      </c>
    </row>
    <row r="1530" ht="16.5" customHeight="1" s="71">
      <c r="B1530" s="169" t="n"/>
      <c r="C1530" s="35" t="n"/>
      <c r="D1530" s="35" t="n"/>
      <c r="E1530" s="35" t="n"/>
      <c r="F1530" s="166" t="n"/>
      <c r="G1530" s="166">
        <f>IF(AND(E1530&lt;&gt;"",F1530&lt;&gt;""),E1530*F1530,"")</f>
      </c>
    </row>
    <row r="1531" ht="16.5" customHeight="1" s="71">
      <c r="B1531" s="169" t="n"/>
      <c r="C1531" s="35" t="n"/>
      <c r="D1531" s="35" t="n"/>
      <c r="E1531" s="35" t="n"/>
      <c r="F1531" s="166" t="n"/>
      <c r="G1531" s="166">
        <f>IF(AND(E1531&lt;&gt;"",F1531&lt;&gt;""),E1531*F1531,"")</f>
      </c>
    </row>
    <row r="1532" ht="16.5" customHeight="1" s="71">
      <c r="B1532" s="169" t="n"/>
      <c r="C1532" s="35" t="n"/>
      <c r="D1532" s="35" t="n"/>
      <c r="E1532" s="35" t="n"/>
      <c r="F1532" s="166" t="n"/>
      <c r="G1532" s="166">
        <f>IF(AND(E1532&lt;&gt;"",F1532&lt;&gt;""),E1532*F1532,"")</f>
      </c>
    </row>
    <row r="1533" ht="16.5" customHeight="1" s="71">
      <c r="B1533" s="169" t="n"/>
      <c r="C1533" s="35" t="n"/>
      <c r="D1533" s="35" t="n"/>
      <c r="E1533" s="35" t="n"/>
      <c r="F1533" s="166" t="n"/>
      <c r="G1533" s="166">
        <f>IF(AND(E1533&lt;&gt;"",F1533&lt;&gt;""),E1533*F1533,"")</f>
      </c>
    </row>
    <row r="1534" ht="16.5" customHeight="1" s="71">
      <c r="B1534" s="169" t="n"/>
      <c r="C1534" s="35" t="n"/>
      <c r="D1534" s="35" t="n"/>
      <c r="E1534" s="35" t="n"/>
      <c r="F1534" s="166" t="n"/>
      <c r="G1534" s="166">
        <f>IF(AND(E1534&lt;&gt;"",F1534&lt;&gt;""),E1534*F1534,"")</f>
      </c>
    </row>
    <row r="1535" ht="16.5" customHeight="1" s="71">
      <c r="B1535" s="169" t="n"/>
      <c r="C1535" s="35" t="n"/>
      <c r="D1535" s="35" t="n"/>
      <c r="E1535" s="35" t="n"/>
      <c r="F1535" s="166" t="n"/>
      <c r="G1535" s="166">
        <f>IF(AND(E1535&lt;&gt;"",F1535&lt;&gt;""),E1535*F1535,"")</f>
      </c>
    </row>
    <row r="1536" ht="16.5" customHeight="1" s="71">
      <c r="B1536" s="169" t="n"/>
      <c r="C1536" s="35" t="n"/>
      <c r="D1536" s="35" t="n"/>
      <c r="E1536" s="35" t="n"/>
      <c r="F1536" s="166" t="n"/>
      <c r="G1536" s="166">
        <f>IF(AND(E1536&lt;&gt;"",F1536&lt;&gt;""),E1536*F1536,"")</f>
      </c>
    </row>
    <row r="1537" ht="16.5" customHeight="1" s="71">
      <c r="B1537" s="169" t="n"/>
      <c r="C1537" s="35" t="n"/>
      <c r="D1537" s="35" t="n"/>
      <c r="E1537" s="35" t="n"/>
      <c r="F1537" s="166" t="n"/>
      <c r="G1537" s="166">
        <f>IF(AND(E1537&lt;&gt;"",F1537&lt;&gt;""),E1537*F1537,"")</f>
      </c>
    </row>
    <row r="1538" ht="16.5" customHeight="1" s="71">
      <c r="B1538" s="169" t="n"/>
      <c r="C1538" s="35" t="n"/>
      <c r="D1538" s="35" t="n"/>
      <c r="E1538" s="35" t="n"/>
      <c r="F1538" s="166" t="n"/>
      <c r="G1538" s="166">
        <f>IF(AND(E1538&lt;&gt;"",F1538&lt;&gt;""),E1538*F1538,"")</f>
      </c>
    </row>
    <row r="1539" ht="16.5" customHeight="1" s="71">
      <c r="B1539" s="169" t="n"/>
      <c r="C1539" s="35" t="n"/>
      <c r="D1539" s="35" t="n"/>
      <c r="E1539" s="35" t="n"/>
      <c r="F1539" s="166" t="n"/>
      <c r="G1539" s="166">
        <f>IF(AND(E1539&lt;&gt;"",F1539&lt;&gt;""),E1539*F1539,"")</f>
      </c>
    </row>
    <row r="1540" ht="16.5" customHeight="1" s="71">
      <c r="B1540" s="169" t="n"/>
      <c r="C1540" s="35" t="n"/>
      <c r="D1540" s="35" t="n"/>
      <c r="E1540" s="35" t="n"/>
      <c r="F1540" s="166" t="n"/>
      <c r="G1540" s="166">
        <f>IF(AND(E1540&lt;&gt;"",F1540&lt;&gt;""),E1540*F1540,"")</f>
      </c>
    </row>
    <row r="1541" ht="16.5" customHeight="1" s="71">
      <c r="B1541" s="169" t="n"/>
      <c r="C1541" s="35" t="n"/>
      <c r="D1541" s="35" t="n"/>
      <c r="E1541" s="35" t="n"/>
      <c r="F1541" s="166" t="n"/>
      <c r="G1541" s="166">
        <f>IF(AND(E1541&lt;&gt;"",F1541&lt;&gt;""),E1541*F1541,"")</f>
      </c>
    </row>
    <row r="1542" ht="16.5" customHeight="1" s="71">
      <c r="B1542" s="169" t="n"/>
      <c r="C1542" s="35" t="n"/>
      <c r="D1542" s="35" t="n"/>
      <c r="E1542" s="35" t="n"/>
      <c r="F1542" s="166" t="n"/>
      <c r="G1542" s="166">
        <f>IF(AND(E1542&lt;&gt;"",F1542&lt;&gt;""),E1542*F1542,"")</f>
      </c>
    </row>
    <row r="1543" ht="16.5" customHeight="1" s="71">
      <c r="B1543" s="169" t="n"/>
      <c r="C1543" s="35" t="n"/>
      <c r="D1543" s="35" t="n"/>
      <c r="E1543" s="35" t="n"/>
      <c r="F1543" s="166" t="n"/>
      <c r="G1543" s="166">
        <f>IF(AND(E1543&lt;&gt;"",F1543&lt;&gt;""),E1543*F1543,"")</f>
      </c>
    </row>
    <row r="1544" ht="16.5" customHeight="1" s="71">
      <c r="B1544" s="169" t="n"/>
      <c r="C1544" s="35" t="n"/>
      <c r="D1544" s="35" t="n"/>
      <c r="E1544" s="35" t="n"/>
      <c r="F1544" s="166" t="n"/>
      <c r="G1544" s="166">
        <f>IF(AND(E1544&lt;&gt;"",F1544&lt;&gt;""),E1544*F1544,"")</f>
      </c>
    </row>
    <row r="1545" ht="16.5" customHeight="1" s="71">
      <c r="B1545" s="169" t="n"/>
      <c r="C1545" s="35" t="n"/>
      <c r="D1545" s="35" t="n"/>
      <c r="E1545" s="35" t="n"/>
      <c r="F1545" s="166" t="n"/>
      <c r="G1545" s="166">
        <f>IF(AND(E1545&lt;&gt;"",F1545&lt;&gt;""),E1545*F1545,"")</f>
      </c>
    </row>
    <row r="1546" ht="16.5" customHeight="1" s="71">
      <c r="B1546" s="169" t="n"/>
      <c r="C1546" s="35" t="n"/>
      <c r="D1546" s="35" t="n"/>
      <c r="E1546" s="35" t="n"/>
      <c r="F1546" s="166" t="n"/>
      <c r="G1546" s="166">
        <f>IF(AND(E1546&lt;&gt;"",F1546&lt;&gt;""),E1546*F1546,"")</f>
      </c>
    </row>
    <row r="1547" ht="16.5" customHeight="1" s="71">
      <c r="B1547" s="169" t="n"/>
      <c r="C1547" s="35" t="n"/>
      <c r="D1547" s="35" t="n"/>
      <c r="E1547" s="35" t="n"/>
      <c r="F1547" s="166" t="n"/>
      <c r="G1547" s="166">
        <f>IF(AND(E1547&lt;&gt;"",F1547&lt;&gt;""),E1547*F1547,"")</f>
      </c>
    </row>
    <row r="1548" ht="16.5" customHeight="1" s="71">
      <c r="B1548" s="169" t="n"/>
      <c r="C1548" s="35" t="n"/>
      <c r="D1548" s="35" t="n"/>
      <c r="E1548" s="35" t="n"/>
      <c r="F1548" s="166" t="n"/>
      <c r="G1548" s="166">
        <f>IF(AND(E1548&lt;&gt;"",F1548&lt;&gt;""),E1548*F1548,"")</f>
      </c>
    </row>
    <row r="1549" ht="16.5" customHeight="1" s="71">
      <c r="B1549" s="169" t="n"/>
      <c r="C1549" s="35" t="n"/>
      <c r="D1549" s="35" t="n"/>
      <c r="E1549" s="35" t="n"/>
      <c r="F1549" s="166" t="n"/>
      <c r="G1549" s="166">
        <f>IF(AND(E1549&lt;&gt;"",F1549&lt;&gt;""),E1549*F1549,"")</f>
      </c>
    </row>
    <row r="1550" ht="16.5" customHeight="1" s="71">
      <c r="B1550" s="169" t="n"/>
      <c r="C1550" s="35" t="n"/>
      <c r="D1550" s="35" t="n"/>
      <c r="E1550" s="35" t="n"/>
      <c r="F1550" s="166" t="n"/>
      <c r="G1550" s="166">
        <f>IF(AND(E1550&lt;&gt;"",F1550&lt;&gt;""),E1550*F1550,"")</f>
      </c>
    </row>
    <row r="1551" ht="16.5" customHeight="1" s="71">
      <c r="B1551" s="169" t="n"/>
      <c r="C1551" s="35" t="n"/>
      <c r="D1551" s="35" t="n"/>
      <c r="E1551" s="35" t="n"/>
      <c r="F1551" s="166" t="n"/>
      <c r="G1551" s="166">
        <f>IF(AND(E1551&lt;&gt;"",F1551&lt;&gt;""),E1551*F1551,"")</f>
      </c>
    </row>
    <row r="1552" ht="16.5" customHeight="1" s="71">
      <c r="B1552" s="169" t="n"/>
      <c r="C1552" s="35" t="n"/>
      <c r="D1552" s="35" t="n"/>
      <c r="E1552" s="35" t="n"/>
      <c r="F1552" s="166" t="n"/>
      <c r="G1552" s="166">
        <f>IF(AND(E1552&lt;&gt;"",F1552&lt;&gt;""),E1552*F1552,"")</f>
      </c>
    </row>
    <row r="1553" ht="16.5" customHeight="1" s="71">
      <c r="B1553" s="169" t="n"/>
      <c r="C1553" s="35" t="n"/>
      <c r="D1553" s="35" t="n"/>
      <c r="E1553" s="35" t="n"/>
      <c r="F1553" s="166" t="n"/>
      <c r="G1553" s="166">
        <f>IF(AND(E1553&lt;&gt;"",F1553&lt;&gt;""),E1553*F1553,"")</f>
      </c>
    </row>
    <row r="1554" ht="16.5" customHeight="1" s="71">
      <c r="B1554" s="169" t="n"/>
      <c r="C1554" s="35" t="n"/>
      <c r="D1554" s="35" t="n"/>
      <c r="E1554" s="35" t="n"/>
      <c r="F1554" s="166" t="n"/>
      <c r="G1554" s="166">
        <f>IF(AND(E1554&lt;&gt;"",F1554&lt;&gt;""),E1554*F1554,"")</f>
      </c>
    </row>
    <row r="1555" ht="16.5" customHeight="1" s="71">
      <c r="B1555" s="169" t="n"/>
      <c r="C1555" s="35" t="n"/>
      <c r="D1555" s="35" t="n"/>
      <c r="E1555" s="35" t="n"/>
      <c r="F1555" s="166" t="n"/>
      <c r="G1555" s="166">
        <f>IF(AND(E1555&lt;&gt;"",F1555&lt;&gt;""),E1555*F1555,"")</f>
      </c>
    </row>
    <row r="1556" ht="16.5" customHeight="1" s="71">
      <c r="B1556" s="169" t="n"/>
      <c r="C1556" s="35" t="n"/>
      <c r="D1556" s="35" t="n"/>
      <c r="E1556" s="35" t="n"/>
      <c r="F1556" s="166" t="n"/>
      <c r="G1556" s="166">
        <f>IF(AND(E1556&lt;&gt;"",F1556&lt;&gt;""),E1556*F1556,"")</f>
      </c>
    </row>
    <row r="1557" ht="16.5" customHeight="1" s="71">
      <c r="B1557" s="169" t="n"/>
      <c r="C1557" s="35" t="n"/>
      <c r="D1557" s="35" t="n"/>
      <c r="E1557" s="35" t="n"/>
      <c r="F1557" s="166" t="n"/>
      <c r="G1557" s="166">
        <f>IF(AND(E1557&lt;&gt;"",F1557&lt;&gt;""),E1557*F1557,"")</f>
      </c>
    </row>
    <row r="1558" ht="16.5" customHeight="1" s="71">
      <c r="B1558" s="169" t="n"/>
      <c r="C1558" s="35" t="n"/>
      <c r="D1558" s="35" t="n"/>
      <c r="E1558" s="35" t="n"/>
      <c r="F1558" s="166" t="n"/>
      <c r="G1558" s="166">
        <f>IF(AND(E1558&lt;&gt;"",F1558&lt;&gt;""),E1558*F1558,"")</f>
      </c>
    </row>
    <row r="1559" ht="16.5" customHeight="1" s="71">
      <c r="B1559" s="169" t="n"/>
      <c r="C1559" s="35" t="n"/>
      <c r="D1559" s="35" t="n"/>
      <c r="E1559" s="35" t="n"/>
      <c r="F1559" s="166" t="n"/>
      <c r="G1559" s="166">
        <f>IF(AND(E1559&lt;&gt;"",F1559&lt;&gt;""),E1559*F1559,"")</f>
      </c>
    </row>
    <row r="1560" ht="16.5" customHeight="1" s="71">
      <c r="B1560" s="169" t="n"/>
      <c r="C1560" s="35" t="n"/>
      <c r="D1560" s="35" t="n"/>
      <c r="E1560" s="35" t="n"/>
      <c r="F1560" s="166" t="n"/>
      <c r="G1560" s="166">
        <f>IF(AND(E1560&lt;&gt;"",F1560&lt;&gt;""),E1560*F1560,"")</f>
      </c>
    </row>
    <row r="1561" ht="16.5" customHeight="1" s="71">
      <c r="B1561" s="169" t="n"/>
      <c r="C1561" s="35" t="n"/>
      <c r="D1561" s="35" t="n"/>
      <c r="E1561" s="35" t="n"/>
      <c r="F1561" s="166" t="n"/>
      <c r="G1561" s="166">
        <f>IF(AND(E1561&lt;&gt;"",F1561&lt;&gt;""),E1561*F1561,"")</f>
      </c>
    </row>
    <row r="1562" ht="16.5" customHeight="1" s="71">
      <c r="B1562" s="169" t="n"/>
      <c r="C1562" s="35" t="n"/>
      <c r="D1562" s="35" t="n"/>
      <c r="E1562" s="35" t="n"/>
      <c r="F1562" s="166" t="n"/>
      <c r="G1562" s="166">
        <f>IF(AND(E1562&lt;&gt;"",F1562&lt;&gt;""),E1562*F1562,"")</f>
      </c>
    </row>
    <row r="1563" ht="16.5" customHeight="1" s="71">
      <c r="B1563" s="169" t="n"/>
      <c r="C1563" s="35" t="n"/>
      <c r="D1563" s="35" t="n"/>
      <c r="E1563" s="35" t="n"/>
      <c r="F1563" s="166" t="n"/>
      <c r="G1563" s="166">
        <f>IF(AND(E1563&lt;&gt;"",F1563&lt;&gt;""),E1563*F1563,"")</f>
      </c>
    </row>
    <row r="1564" ht="16.5" customHeight="1" s="71">
      <c r="B1564" s="169" t="n"/>
      <c r="C1564" s="35" t="n"/>
      <c r="D1564" s="35" t="n"/>
      <c r="E1564" s="35" t="n"/>
      <c r="F1564" s="166" t="n"/>
      <c r="G1564" s="166">
        <f>IF(AND(E1564&lt;&gt;"",F1564&lt;&gt;""),E1564*F1564,"")</f>
      </c>
    </row>
    <row r="1565" ht="16.5" customHeight="1" s="71">
      <c r="B1565" s="169" t="n"/>
      <c r="C1565" s="35" t="n"/>
      <c r="D1565" s="35" t="n"/>
      <c r="E1565" s="35" t="n"/>
      <c r="F1565" s="166" t="n"/>
      <c r="G1565" s="166">
        <f>IF(AND(E1565&lt;&gt;"",F1565&lt;&gt;""),E1565*F1565,"")</f>
      </c>
    </row>
    <row r="1566" ht="16.5" customHeight="1" s="71">
      <c r="B1566" s="169" t="n"/>
      <c r="C1566" s="35" t="n"/>
      <c r="D1566" s="35" t="n"/>
      <c r="E1566" s="35" t="n"/>
      <c r="F1566" s="166" t="n"/>
      <c r="G1566" s="166">
        <f>IF(AND(E1566&lt;&gt;"",F1566&lt;&gt;""),E1566*F1566,"")</f>
      </c>
    </row>
    <row r="1567" ht="16.5" customHeight="1" s="71">
      <c r="B1567" s="169" t="n"/>
      <c r="C1567" s="35" t="n"/>
      <c r="D1567" s="35" t="n"/>
      <c r="E1567" s="35" t="n"/>
      <c r="F1567" s="166" t="n"/>
      <c r="G1567" s="166">
        <f>IF(AND(E1567&lt;&gt;"",F1567&lt;&gt;""),E1567*F1567,"")</f>
      </c>
    </row>
    <row r="1568" ht="16.5" customHeight="1" s="71">
      <c r="B1568" s="169" t="n"/>
      <c r="C1568" s="35" t="n"/>
      <c r="D1568" s="35" t="n"/>
      <c r="E1568" s="35" t="n"/>
      <c r="F1568" s="166" t="n"/>
      <c r="G1568" s="166">
        <f>IF(AND(E1568&lt;&gt;"",F1568&lt;&gt;""),E1568*F1568,"")</f>
      </c>
    </row>
    <row r="1569" ht="16.5" customHeight="1" s="71">
      <c r="B1569" s="169" t="n"/>
      <c r="C1569" s="35" t="n"/>
      <c r="D1569" s="35" t="n"/>
      <c r="E1569" s="35" t="n"/>
      <c r="F1569" s="166" t="n"/>
      <c r="G1569" s="166">
        <f>IF(AND(E1569&lt;&gt;"",F1569&lt;&gt;""),E1569*F1569,"")</f>
      </c>
    </row>
    <row r="1570" ht="16.5" customHeight="1" s="71">
      <c r="B1570" s="169" t="n"/>
      <c r="C1570" s="35" t="n"/>
      <c r="D1570" s="35" t="n"/>
      <c r="E1570" s="35" t="n"/>
      <c r="F1570" s="166" t="n"/>
      <c r="G1570" s="166">
        <f>IF(AND(E1570&lt;&gt;"",F1570&lt;&gt;""),E1570*F1570,"")</f>
      </c>
    </row>
    <row r="1571" ht="16.5" customHeight="1" s="71">
      <c r="B1571" s="169" t="n"/>
      <c r="C1571" s="35" t="n"/>
      <c r="D1571" s="35" t="n"/>
      <c r="E1571" s="35" t="n"/>
      <c r="F1571" s="166" t="n"/>
      <c r="G1571" s="166">
        <f>IF(AND(E1571&lt;&gt;"",F1571&lt;&gt;""),E1571*F1571,"")</f>
      </c>
    </row>
    <row r="1572" ht="16.5" customHeight="1" s="71">
      <c r="B1572" s="169" t="n"/>
      <c r="C1572" s="35" t="n"/>
      <c r="D1572" s="35" t="n"/>
      <c r="E1572" s="35" t="n"/>
      <c r="F1572" s="166" t="n"/>
      <c r="G1572" s="166">
        <f>IF(AND(E1572&lt;&gt;"",F1572&lt;&gt;""),E1572*F1572,"")</f>
      </c>
    </row>
    <row r="1573" ht="16.5" customHeight="1" s="71">
      <c r="B1573" s="169" t="n"/>
      <c r="C1573" s="35" t="n"/>
      <c r="D1573" s="35" t="n"/>
      <c r="E1573" s="35" t="n"/>
      <c r="F1573" s="166" t="n"/>
      <c r="G1573" s="166">
        <f>IF(AND(E1573&lt;&gt;"",F1573&lt;&gt;""),E1573*F1573,"")</f>
      </c>
    </row>
    <row r="1574" ht="16.5" customHeight="1" s="71">
      <c r="B1574" s="169" t="n"/>
      <c r="C1574" s="35" t="n"/>
      <c r="D1574" s="35" t="n"/>
      <c r="E1574" s="35" t="n"/>
      <c r="F1574" s="166" t="n"/>
      <c r="G1574" s="166">
        <f>IF(AND(E1574&lt;&gt;"",F1574&lt;&gt;""),E1574*F1574,"")</f>
      </c>
    </row>
    <row r="1575" ht="16.5" customHeight="1" s="71">
      <c r="B1575" s="169" t="n"/>
      <c r="C1575" s="35" t="n"/>
      <c r="D1575" s="35" t="n"/>
      <c r="E1575" s="35" t="n"/>
      <c r="F1575" s="166" t="n"/>
      <c r="G1575" s="166">
        <f>IF(AND(E1575&lt;&gt;"",F1575&lt;&gt;""),E1575*F1575,"")</f>
      </c>
    </row>
    <row r="1576" ht="16.5" customHeight="1" s="71">
      <c r="B1576" s="169" t="n"/>
      <c r="C1576" s="35" t="n"/>
      <c r="D1576" s="35" t="n"/>
      <c r="E1576" s="35" t="n"/>
      <c r="F1576" s="166" t="n"/>
      <c r="G1576" s="166">
        <f>IF(AND(E1576&lt;&gt;"",F1576&lt;&gt;""),E1576*F1576,"")</f>
      </c>
    </row>
    <row r="1577" ht="16.5" customHeight="1" s="71">
      <c r="B1577" s="169" t="n"/>
      <c r="C1577" s="35" t="n"/>
      <c r="D1577" s="35" t="n"/>
      <c r="E1577" s="35" t="n"/>
      <c r="F1577" s="166" t="n"/>
      <c r="G1577" s="166">
        <f>IF(AND(E1577&lt;&gt;"",F1577&lt;&gt;""),E1577*F1577,"")</f>
      </c>
    </row>
    <row r="1578" ht="16.5" customHeight="1" s="71">
      <c r="B1578" s="169" t="n"/>
      <c r="C1578" s="35" t="n"/>
      <c r="D1578" s="35" t="n"/>
      <c r="E1578" s="35" t="n"/>
      <c r="F1578" s="166" t="n"/>
      <c r="G1578" s="166">
        <f>IF(AND(E1578&lt;&gt;"",F1578&lt;&gt;""),E1578*F1578,"")</f>
      </c>
    </row>
    <row r="1579" ht="16.5" customHeight="1" s="71">
      <c r="B1579" s="169" t="n"/>
      <c r="C1579" s="35" t="n"/>
      <c r="D1579" s="35" t="n"/>
      <c r="E1579" s="35" t="n"/>
      <c r="F1579" s="166" t="n"/>
      <c r="G1579" s="166">
        <f>IF(AND(E1579&lt;&gt;"",F1579&lt;&gt;""),E1579*F1579,"")</f>
      </c>
    </row>
    <row r="1580" ht="16.5" customHeight="1" s="71">
      <c r="B1580" s="169" t="n"/>
      <c r="C1580" s="35" t="n"/>
      <c r="D1580" s="35" t="n"/>
      <c r="E1580" s="35" t="n"/>
      <c r="F1580" s="166" t="n"/>
      <c r="G1580" s="166">
        <f>IF(AND(E1580&lt;&gt;"",F1580&lt;&gt;""),E1580*F1580,"")</f>
      </c>
    </row>
    <row r="1581" ht="16.5" customHeight="1" s="71">
      <c r="B1581" s="169" t="n"/>
      <c r="C1581" s="35" t="n"/>
      <c r="D1581" s="35" t="n"/>
      <c r="E1581" s="35" t="n"/>
      <c r="F1581" s="166" t="n"/>
      <c r="G1581" s="166">
        <f>IF(AND(E1581&lt;&gt;"",F1581&lt;&gt;""),E1581*F1581,"")</f>
      </c>
    </row>
    <row r="1582" ht="16.5" customHeight="1" s="71">
      <c r="B1582" s="169" t="n"/>
      <c r="C1582" s="35" t="n"/>
      <c r="D1582" s="35" t="n"/>
      <c r="E1582" s="35" t="n"/>
      <c r="F1582" s="166" t="n"/>
      <c r="G1582" s="166">
        <f>IF(AND(E1582&lt;&gt;"",F1582&lt;&gt;""),E1582*F1582,"")</f>
      </c>
    </row>
    <row r="1583" ht="16.5" customHeight="1" s="71">
      <c r="B1583" s="169" t="n"/>
      <c r="C1583" s="35" t="n"/>
      <c r="D1583" s="35" t="n"/>
      <c r="E1583" s="35" t="n"/>
      <c r="F1583" s="166" t="n"/>
      <c r="G1583" s="166">
        <f>IF(AND(E1583&lt;&gt;"",F1583&lt;&gt;""),E1583*F1583,"")</f>
      </c>
    </row>
    <row r="1584" ht="16.5" customHeight="1" s="71">
      <c r="B1584" s="169" t="n"/>
      <c r="C1584" s="35" t="n"/>
      <c r="D1584" s="35" t="n"/>
      <c r="E1584" s="35" t="n"/>
      <c r="F1584" s="166" t="n"/>
      <c r="G1584" s="166">
        <f>IF(AND(E1584&lt;&gt;"",F1584&lt;&gt;""),E1584*F1584,"")</f>
      </c>
    </row>
    <row r="1585" ht="16.5" customHeight="1" s="71">
      <c r="B1585" s="169" t="n"/>
      <c r="C1585" s="35" t="n"/>
      <c r="D1585" s="35" t="n"/>
      <c r="E1585" s="35" t="n"/>
      <c r="F1585" s="166" t="n"/>
      <c r="G1585" s="166">
        <f>IF(AND(E1585&lt;&gt;"",F1585&lt;&gt;""),E1585*F1585,"")</f>
      </c>
    </row>
    <row r="1586" ht="16.5" customHeight="1" s="71">
      <c r="B1586" s="169" t="n"/>
      <c r="C1586" s="35" t="n"/>
      <c r="D1586" s="35" t="n"/>
      <c r="E1586" s="35" t="n"/>
      <c r="F1586" s="166" t="n"/>
      <c r="G1586" s="166">
        <f>IF(AND(E1586&lt;&gt;"",F1586&lt;&gt;""),E1586*F1586,"")</f>
      </c>
    </row>
    <row r="1587" ht="16.5" customHeight="1" s="71">
      <c r="B1587" s="169" t="n"/>
      <c r="C1587" s="35" t="n"/>
      <c r="D1587" s="35" t="n"/>
      <c r="E1587" s="35" t="n"/>
      <c r="F1587" s="166" t="n"/>
      <c r="G1587" s="166">
        <f>IF(AND(E1587&lt;&gt;"",F1587&lt;&gt;""),E1587*F1587,"")</f>
      </c>
    </row>
    <row r="1588" ht="16.5" customHeight="1" s="71">
      <c r="B1588" s="169" t="n"/>
      <c r="C1588" s="35" t="n"/>
      <c r="D1588" s="35" t="n"/>
      <c r="E1588" s="35" t="n"/>
      <c r="F1588" s="166" t="n"/>
      <c r="G1588" s="166">
        <f>IF(AND(E1588&lt;&gt;"",F1588&lt;&gt;""),E1588*F1588,"")</f>
      </c>
    </row>
    <row r="1589" ht="16.5" customHeight="1" s="71">
      <c r="B1589" s="169" t="n"/>
      <c r="C1589" s="35" t="n"/>
      <c r="D1589" s="35" t="n"/>
      <c r="E1589" s="35" t="n"/>
      <c r="F1589" s="166" t="n"/>
      <c r="G1589" s="166">
        <f>IF(AND(E1589&lt;&gt;"",F1589&lt;&gt;""),E1589*F1589,"")</f>
      </c>
    </row>
    <row r="1590" ht="16.5" customHeight="1" s="71">
      <c r="B1590" s="169" t="n"/>
      <c r="C1590" s="35" t="n"/>
      <c r="D1590" s="35" t="n"/>
      <c r="E1590" s="35" t="n"/>
      <c r="F1590" s="166" t="n"/>
      <c r="G1590" s="166">
        <f>IF(AND(E1590&lt;&gt;"",F1590&lt;&gt;""),E1590*F1590,"")</f>
      </c>
    </row>
    <row r="1591" ht="16.5" customHeight="1" s="71">
      <c r="B1591" s="169" t="n"/>
      <c r="C1591" s="35" t="n"/>
      <c r="D1591" s="35" t="n"/>
      <c r="E1591" s="35" t="n"/>
      <c r="F1591" s="166" t="n"/>
      <c r="G1591" s="166">
        <f>IF(AND(E1591&lt;&gt;"",F1591&lt;&gt;""),E1591*F1591,"")</f>
      </c>
    </row>
    <row r="1592" ht="16.5" customHeight="1" s="71">
      <c r="B1592" s="169" t="n"/>
      <c r="C1592" s="35" t="n"/>
      <c r="D1592" s="35" t="n"/>
      <c r="E1592" s="35" t="n"/>
      <c r="F1592" s="166" t="n"/>
      <c r="G1592" s="166">
        <f>IF(AND(E1592&lt;&gt;"",F1592&lt;&gt;""),E1592*F1592,"")</f>
      </c>
    </row>
    <row r="1593" ht="16.5" customHeight="1" s="71">
      <c r="B1593" s="169" t="n"/>
      <c r="C1593" s="35" t="n"/>
      <c r="D1593" s="35" t="n"/>
      <c r="E1593" s="35" t="n"/>
      <c r="F1593" s="166" t="n"/>
      <c r="G1593" s="166">
        <f>IF(AND(E1593&lt;&gt;"",F1593&lt;&gt;""),E1593*F1593,"")</f>
      </c>
    </row>
    <row r="1594" ht="16.5" customHeight="1" s="71">
      <c r="B1594" s="169" t="n"/>
      <c r="C1594" s="35" t="n"/>
      <c r="D1594" s="35" t="n"/>
      <c r="E1594" s="35" t="n"/>
      <c r="F1594" s="166" t="n"/>
      <c r="G1594" s="166">
        <f>IF(AND(E1594&lt;&gt;"",F1594&lt;&gt;""),E1594*F1594,"")</f>
      </c>
    </row>
    <row r="1595" ht="16.5" customHeight="1" s="71">
      <c r="B1595" s="169" t="n"/>
      <c r="C1595" s="35" t="n"/>
      <c r="D1595" s="35" t="n"/>
      <c r="E1595" s="35" t="n"/>
      <c r="F1595" s="166" t="n"/>
      <c r="G1595" s="166">
        <f>IF(AND(E1595&lt;&gt;"",F1595&lt;&gt;""),E1595*F1595,"")</f>
      </c>
    </row>
    <row r="1596" ht="16.5" customHeight="1" s="71">
      <c r="B1596" s="169" t="n"/>
      <c r="C1596" s="35" t="n"/>
      <c r="D1596" s="35" t="n"/>
      <c r="E1596" s="35" t="n"/>
      <c r="F1596" s="166" t="n"/>
      <c r="G1596" s="166">
        <f>IF(AND(E1596&lt;&gt;"",F1596&lt;&gt;""),E1596*F1596,"")</f>
      </c>
    </row>
    <row r="1597" ht="16.5" customHeight="1" s="71">
      <c r="B1597" s="169" t="n"/>
      <c r="C1597" s="35" t="n"/>
      <c r="D1597" s="35" t="n"/>
      <c r="E1597" s="35" t="n"/>
      <c r="F1597" s="166" t="n"/>
      <c r="G1597" s="166">
        <f>IF(AND(E1597&lt;&gt;"",F1597&lt;&gt;""),E1597*F1597,"")</f>
      </c>
    </row>
    <row r="1598" ht="16.5" customHeight="1" s="71">
      <c r="B1598" s="169" t="n"/>
      <c r="C1598" s="35" t="n"/>
      <c r="D1598" s="35" t="n"/>
      <c r="E1598" s="35" t="n"/>
      <c r="F1598" s="166" t="n"/>
      <c r="G1598" s="166">
        <f>IF(AND(E1598&lt;&gt;"",F1598&lt;&gt;""),E1598*F1598,"")</f>
      </c>
    </row>
    <row r="1599" ht="16.5" customHeight="1" s="71">
      <c r="B1599" s="169" t="n"/>
      <c r="C1599" s="35" t="n"/>
      <c r="D1599" s="35" t="n"/>
      <c r="E1599" s="35" t="n"/>
      <c r="F1599" s="166" t="n"/>
      <c r="G1599" s="166">
        <f>IF(AND(E1599&lt;&gt;"",F1599&lt;&gt;""),E1599*F1599,"")</f>
      </c>
    </row>
    <row r="1600" ht="16.5" customHeight="1" s="71">
      <c r="B1600" s="169" t="n"/>
      <c r="C1600" s="35" t="n"/>
      <c r="D1600" s="35" t="n"/>
      <c r="E1600" s="35" t="n"/>
      <c r="F1600" s="166" t="n"/>
      <c r="G1600" s="166">
        <f>IF(AND(E1600&lt;&gt;"",F1600&lt;&gt;""),E1600*F1600,"")</f>
      </c>
    </row>
    <row r="1601" ht="16.5" customHeight="1" s="71">
      <c r="B1601" s="169" t="n"/>
      <c r="C1601" s="35" t="n"/>
      <c r="D1601" s="35" t="n"/>
      <c r="E1601" s="35" t="n"/>
      <c r="F1601" s="166" t="n"/>
      <c r="G1601" s="166">
        <f>IF(AND(E1601&lt;&gt;"",F1601&lt;&gt;""),E1601*F1601,"")</f>
      </c>
    </row>
    <row r="1602" ht="16.5" customHeight="1" s="71">
      <c r="B1602" s="169" t="n"/>
      <c r="C1602" s="35" t="n"/>
      <c r="D1602" s="35" t="n"/>
      <c r="E1602" s="35" t="n"/>
      <c r="F1602" s="166" t="n"/>
      <c r="G1602" s="166">
        <f>IF(AND(E1602&lt;&gt;"",F1602&lt;&gt;""),E1602*F1602,"")</f>
      </c>
    </row>
    <row r="1603" ht="16.5" customHeight="1" s="71">
      <c r="B1603" s="169" t="n"/>
      <c r="C1603" s="35" t="n"/>
      <c r="D1603" s="35" t="n"/>
      <c r="E1603" s="35" t="n"/>
      <c r="F1603" s="166" t="n"/>
      <c r="G1603" s="166">
        <f>IF(AND(E1603&lt;&gt;"",F1603&lt;&gt;""),E1603*F1603,"")</f>
      </c>
    </row>
    <row r="1604" ht="16.5" customHeight="1" s="71">
      <c r="B1604" s="169" t="n"/>
      <c r="C1604" s="35" t="n"/>
      <c r="D1604" s="35" t="n"/>
      <c r="E1604" s="35" t="n"/>
      <c r="F1604" s="166" t="n"/>
      <c r="G1604" s="166">
        <f>IF(AND(E1604&lt;&gt;"",F1604&lt;&gt;""),E1604*F1604,"")</f>
      </c>
    </row>
    <row r="1605" ht="16.5" customHeight="1" s="71">
      <c r="B1605" s="169" t="n"/>
      <c r="C1605" s="35" t="n"/>
      <c r="D1605" s="35" t="n"/>
      <c r="E1605" s="35" t="n"/>
      <c r="F1605" s="166" t="n"/>
      <c r="G1605" s="166">
        <f>IF(AND(E1605&lt;&gt;"",F1605&lt;&gt;""),E1605*F1605,"")</f>
      </c>
    </row>
    <row r="1606" ht="16.5" customHeight="1" s="71">
      <c r="B1606" s="169" t="n"/>
      <c r="C1606" s="35" t="n"/>
      <c r="D1606" s="35" t="n"/>
      <c r="E1606" s="35" t="n"/>
      <c r="F1606" s="166" t="n"/>
      <c r="G1606" s="166">
        <f>IF(AND(E1606&lt;&gt;"",F1606&lt;&gt;""),E1606*F1606,"")</f>
      </c>
    </row>
    <row r="1607" ht="16.5" customHeight="1" s="71">
      <c r="B1607" s="169" t="n"/>
      <c r="C1607" s="35" t="n"/>
      <c r="D1607" s="35" t="n"/>
      <c r="E1607" s="35" t="n"/>
      <c r="F1607" s="166" t="n"/>
      <c r="G1607" s="166">
        <f>IF(AND(E1607&lt;&gt;"",F1607&lt;&gt;""),E1607*F1607,"")</f>
      </c>
    </row>
    <row r="1608" ht="16.5" customHeight="1" s="71">
      <c r="B1608" s="169" t="n"/>
      <c r="C1608" s="35" t="n"/>
      <c r="D1608" s="35" t="n"/>
      <c r="E1608" s="35" t="n"/>
      <c r="F1608" s="166" t="n"/>
      <c r="G1608" s="166">
        <f>IF(AND(E1608&lt;&gt;"",F1608&lt;&gt;""),E1608*F1608,"")</f>
      </c>
    </row>
    <row r="1609" ht="16.5" customHeight="1" s="71">
      <c r="B1609" s="169" t="n"/>
      <c r="C1609" s="35" t="n"/>
      <c r="D1609" s="35" t="n"/>
      <c r="E1609" s="35" t="n"/>
      <c r="F1609" s="166" t="n"/>
      <c r="G1609" s="166">
        <f>IF(AND(E1609&lt;&gt;"",F1609&lt;&gt;""),E1609*F1609,"")</f>
      </c>
    </row>
    <row r="1610" ht="16.5" customHeight="1" s="71">
      <c r="B1610" s="169" t="n"/>
      <c r="C1610" s="35" t="n"/>
      <c r="D1610" s="35" t="n"/>
      <c r="E1610" s="35" t="n"/>
      <c r="F1610" s="166" t="n"/>
      <c r="G1610" s="166">
        <f>IF(AND(E1610&lt;&gt;"",F1610&lt;&gt;""),E1610*F1610,"")</f>
      </c>
    </row>
    <row r="1611" ht="16.5" customHeight="1" s="71">
      <c r="B1611" s="169" t="n"/>
      <c r="C1611" s="35" t="n"/>
      <c r="D1611" s="35" t="n"/>
      <c r="E1611" s="35" t="n"/>
      <c r="F1611" s="166" t="n"/>
      <c r="G1611" s="166">
        <f>IF(AND(E1611&lt;&gt;"",F1611&lt;&gt;""),E1611*F1611,"")</f>
      </c>
    </row>
    <row r="1612" ht="16.5" customHeight="1" s="71">
      <c r="B1612" s="169" t="n"/>
      <c r="C1612" s="35" t="n"/>
      <c r="D1612" s="35" t="n"/>
      <c r="E1612" s="35" t="n"/>
      <c r="F1612" s="166" t="n"/>
      <c r="G1612" s="166">
        <f>IF(AND(E1612&lt;&gt;"",F1612&lt;&gt;""),E1612*F1612,"")</f>
      </c>
    </row>
    <row r="1613" ht="16.5" customHeight="1" s="71">
      <c r="B1613" s="169" t="n"/>
      <c r="C1613" s="35" t="n"/>
      <c r="D1613" s="35" t="n"/>
      <c r="E1613" s="35" t="n"/>
      <c r="F1613" s="166" t="n"/>
      <c r="G1613" s="166">
        <f>IF(AND(E1613&lt;&gt;"",F1613&lt;&gt;""),E1613*F1613,"")</f>
      </c>
    </row>
    <row r="1614" ht="16.5" customHeight="1" s="71">
      <c r="B1614" s="169" t="n"/>
      <c r="C1614" s="35" t="n"/>
      <c r="D1614" s="35" t="n"/>
      <c r="E1614" s="35" t="n"/>
      <c r="F1614" s="166" t="n"/>
      <c r="G1614" s="166">
        <f>IF(AND(E1614&lt;&gt;"",F1614&lt;&gt;""),E1614*F1614,"")</f>
      </c>
    </row>
    <row r="1615" ht="16.5" customHeight="1" s="71">
      <c r="B1615" s="169" t="n"/>
      <c r="C1615" s="35" t="n"/>
      <c r="D1615" s="35" t="n"/>
      <c r="E1615" s="35" t="n"/>
      <c r="F1615" s="166" t="n"/>
      <c r="G1615" s="166">
        <f>IF(AND(E1615&lt;&gt;"",F1615&lt;&gt;""),E1615*F1615,"")</f>
      </c>
    </row>
    <row r="1616" ht="16.5" customHeight="1" s="71">
      <c r="B1616" s="169" t="n"/>
      <c r="C1616" s="35" t="n"/>
      <c r="D1616" s="35" t="n"/>
      <c r="E1616" s="35" t="n"/>
      <c r="F1616" s="166" t="n"/>
      <c r="G1616" s="166">
        <f>IF(AND(E1616&lt;&gt;"",F1616&lt;&gt;""),E1616*F1616,"")</f>
      </c>
    </row>
    <row r="1617" ht="16.5" customHeight="1" s="71">
      <c r="B1617" s="169" t="n"/>
      <c r="C1617" s="35" t="n"/>
      <c r="D1617" s="35" t="n"/>
      <c r="E1617" s="35" t="n"/>
      <c r="F1617" s="166" t="n"/>
      <c r="G1617" s="166">
        <f>IF(AND(E1617&lt;&gt;"",F1617&lt;&gt;""),E1617*F1617,"")</f>
      </c>
    </row>
    <row r="1618" ht="16.5" customHeight="1" s="71">
      <c r="B1618" s="169" t="n"/>
      <c r="C1618" s="35" t="n"/>
      <c r="D1618" s="35" t="n"/>
      <c r="E1618" s="35" t="n"/>
      <c r="F1618" s="166" t="n"/>
      <c r="G1618" s="166">
        <f>IF(AND(E1618&lt;&gt;"",F1618&lt;&gt;""),E1618*F1618,"")</f>
      </c>
    </row>
    <row r="1619" ht="16.5" customHeight="1" s="71">
      <c r="B1619" s="169" t="n"/>
      <c r="C1619" s="35" t="n"/>
      <c r="D1619" s="35" t="n"/>
      <c r="E1619" s="35" t="n"/>
      <c r="F1619" s="166" t="n"/>
      <c r="G1619" s="166">
        <f>IF(AND(E1619&lt;&gt;"",F1619&lt;&gt;""),E1619*F1619,"")</f>
      </c>
    </row>
    <row r="1620" ht="16.5" customHeight="1" s="71">
      <c r="B1620" s="169" t="n"/>
      <c r="C1620" s="35" t="n"/>
      <c r="D1620" s="35" t="n"/>
      <c r="E1620" s="35" t="n"/>
      <c r="F1620" s="166" t="n"/>
      <c r="G1620" s="166">
        <f>IF(AND(E1620&lt;&gt;"",F1620&lt;&gt;""),E1620*F1620,"")</f>
      </c>
    </row>
    <row r="1621" ht="16.5" customHeight="1" s="71">
      <c r="B1621" s="169" t="n"/>
      <c r="C1621" s="35" t="n"/>
      <c r="D1621" s="35" t="n"/>
      <c r="E1621" s="35" t="n"/>
      <c r="F1621" s="166" t="n"/>
      <c r="G1621" s="166">
        <f>IF(AND(E1621&lt;&gt;"",F1621&lt;&gt;""),E1621*F1621,"")</f>
      </c>
    </row>
    <row r="1622" ht="16.5" customHeight="1" s="71">
      <c r="B1622" s="169" t="n"/>
      <c r="C1622" s="35" t="n"/>
      <c r="D1622" s="35" t="n"/>
      <c r="E1622" s="35" t="n"/>
      <c r="F1622" s="166" t="n"/>
      <c r="G1622" s="166">
        <f>IF(AND(E1622&lt;&gt;"",F1622&lt;&gt;""),E1622*F1622,"")</f>
      </c>
    </row>
    <row r="1623" ht="16.5" customHeight="1" s="71">
      <c r="B1623" s="169" t="n"/>
      <c r="C1623" s="35" t="n"/>
      <c r="D1623" s="35" t="n"/>
      <c r="E1623" s="35" t="n"/>
      <c r="F1623" s="166" t="n"/>
      <c r="G1623" s="166">
        <f>IF(AND(E1623&lt;&gt;"",F1623&lt;&gt;""),E1623*F1623,"")</f>
      </c>
    </row>
    <row r="1624" ht="16.5" customHeight="1" s="71">
      <c r="B1624" s="169" t="n"/>
      <c r="C1624" s="35" t="n"/>
      <c r="D1624" s="35" t="n"/>
      <c r="E1624" s="35" t="n"/>
      <c r="F1624" s="166" t="n"/>
      <c r="G1624" s="166">
        <f>IF(AND(E1624&lt;&gt;"",F1624&lt;&gt;""),E1624*F1624,"")</f>
      </c>
    </row>
    <row r="1625" ht="16.5" customHeight="1" s="71">
      <c r="B1625" s="169" t="n"/>
      <c r="C1625" s="35" t="n"/>
      <c r="D1625" s="35" t="n"/>
      <c r="E1625" s="35" t="n"/>
      <c r="F1625" s="166" t="n"/>
      <c r="G1625" s="166">
        <f>IF(AND(E1625&lt;&gt;"",F1625&lt;&gt;""),E1625*F1625,"")</f>
      </c>
    </row>
    <row r="1626" ht="16.5" customHeight="1" s="71">
      <c r="B1626" s="169" t="n"/>
      <c r="C1626" s="35" t="n"/>
      <c r="D1626" s="35" t="n"/>
      <c r="E1626" s="35" t="n"/>
      <c r="F1626" s="166" t="n"/>
      <c r="G1626" s="166">
        <f>IF(AND(E1626&lt;&gt;"",F1626&lt;&gt;""),E1626*F1626,"")</f>
      </c>
    </row>
    <row r="1627" ht="16.5" customHeight="1" s="71">
      <c r="B1627" s="169" t="n"/>
      <c r="C1627" s="35" t="n"/>
      <c r="D1627" s="35" t="n"/>
      <c r="E1627" s="35" t="n"/>
      <c r="F1627" s="166" t="n"/>
      <c r="G1627" s="166">
        <f>IF(AND(E1627&lt;&gt;"",F1627&lt;&gt;""),E1627*F1627,"")</f>
      </c>
    </row>
    <row r="1628" ht="16.5" customHeight="1" s="71">
      <c r="B1628" s="169" t="n"/>
      <c r="C1628" s="35" t="n"/>
      <c r="D1628" s="35" t="n"/>
      <c r="E1628" s="35" t="n"/>
      <c r="F1628" s="166" t="n"/>
      <c r="G1628" s="166">
        <f>IF(AND(E1628&lt;&gt;"",F1628&lt;&gt;""),E1628*F1628,"")</f>
      </c>
    </row>
    <row r="1629" ht="16.5" customHeight="1" s="71">
      <c r="B1629" s="169" t="n"/>
      <c r="C1629" s="35" t="n"/>
      <c r="D1629" s="35" t="n"/>
      <c r="E1629" s="35" t="n"/>
      <c r="F1629" s="166" t="n"/>
      <c r="G1629" s="166">
        <f>IF(AND(E1629&lt;&gt;"",F1629&lt;&gt;""),E1629*F1629,"")</f>
      </c>
    </row>
    <row r="1630" ht="16.5" customHeight="1" s="71">
      <c r="B1630" s="169" t="n"/>
      <c r="C1630" s="35" t="n"/>
      <c r="D1630" s="35" t="n"/>
      <c r="E1630" s="35" t="n"/>
      <c r="F1630" s="166" t="n"/>
      <c r="G1630" s="166">
        <f>IF(AND(E1630&lt;&gt;"",F1630&lt;&gt;""),E1630*F1630,"")</f>
      </c>
    </row>
    <row r="1631" ht="16.5" customHeight="1" s="71">
      <c r="B1631" s="169" t="n"/>
      <c r="C1631" s="35" t="n"/>
      <c r="D1631" s="35" t="n"/>
      <c r="E1631" s="35" t="n"/>
      <c r="F1631" s="166" t="n"/>
      <c r="G1631" s="166">
        <f>IF(AND(E1631&lt;&gt;"",F1631&lt;&gt;""),E1631*F1631,"")</f>
      </c>
    </row>
    <row r="1632" ht="16.5" customHeight="1" s="71">
      <c r="B1632" s="169" t="n"/>
      <c r="C1632" s="35" t="n"/>
      <c r="D1632" s="35" t="n"/>
      <c r="E1632" s="35" t="n"/>
      <c r="F1632" s="166" t="n"/>
      <c r="G1632" s="166">
        <f>IF(AND(E1632&lt;&gt;"",F1632&lt;&gt;""),E1632*F1632,"")</f>
      </c>
    </row>
    <row r="1633" ht="16.5" customHeight="1" s="71">
      <c r="B1633" s="169" t="n"/>
      <c r="C1633" s="35" t="n"/>
      <c r="D1633" s="35" t="n"/>
      <c r="E1633" s="35" t="n"/>
      <c r="F1633" s="166" t="n"/>
      <c r="G1633" s="166">
        <f>IF(AND(E1633&lt;&gt;"",F1633&lt;&gt;""),E1633*F1633,"")</f>
      </c>
    </row>
    <row r="1634" ht="16.5" customHeight="1" s="71">
      <c r="B1634" s="169" t="n"/>
      <c r="C1634" s="35" t="n"/>
      <c r="D1634" s="35" t="n"/>
      <c r="E1634" s="35" t="n"/>
      <c r="F1634" s="166" t="n"/>
      <c r="G1634" s="166">
        <f>IF(AND(E1634&lt;&gt;"",F1634&lt;&gt;""),E1634*F1634,"")</f>
      </c>
    </row>
    <row r="1635" ht="16.5" customHeight="1" s="71">
      <c r="B1635" s="169" t="n"/>
      <c r="C1635" s="35" t="n"/>
      <c r="D1635" s="35" t="n"/>
      <c r="E1635" s="35" t="n"/>
      <c r="F1635" s="166" t="n"/>
      <c r="G1635" s="166">
        <f>IF(AND(E1635&lt;&gt;"",F1635&lt;&gt;""),E1635*F1635,"")</f>
      </c>
    </row>
    <row r="1636" ht="16.5" customHeight="1" s="71">
      <c r="B1636" s="169" t="n"/>
      <c r="C1636" s="35" t="n"/>
      <c r="D1636" s="35" t="n"/>
      <c r="E1636" s="35" t="n"/>
      <c r="F1636" s="166" t="n"/>
      <c r="G1636" s="166">
        <f>IF(AND(E1636&lt;&gt;"",F1636&lt;&gt;""),E1636*F1636,"")</f>
      </c>
    </row>
    <row r="1637" ht="16.5" customHeight="1" s="71">
      <c r="B1637" s="169" t="n"/>
      <c r="C1637" s="35" t="n"/>
      <c r="D1637" s="35" t="n"/>
      <c r="E1637" s="35" t="n"/>
      <c r="F1637" s="166" t="n"/>
      <c r="G1637" s="166">
        <f>IF(AND(E1637&lt;&gt;"",F1637&lt;&gt;""),E1637*F1637,"")</f>
      </c>
    </row>
    <row r="1638" ht="16.5" customHeight="1" s="71">
      <c r="B1638" s="169" t="n"/>
      <c r="C1638" s="35" t="n"/>
      <c r="D1638" s="35" t="n"/>
      <c r="E1638" s="35" t="n"/>
      <c r="F1638" s="166" t="n"/>
      <c r="G1638" s="166">
        <f>IF(AND(E1638&lt;&gt;"",F1638&lt;&gt;""),E1638*F1638,"")</f>
      </c>
    </row>
    <row r="1639" ht="16.5" customHeight="1" s="71">
      <c r="B1639" s="169" t="n"/>
      <c r="C1639" s="35" t="n"/>
      <c r="D1639" s="35" t="n"/>
      <c r="E1639" s="35" t="n"/>
      <c r="F1639" s="166" t="n"/>
      <c r="G1639" s="166">
        <f>IF(AND(E1639&lt;&gt;"",F1639&lt;&gt;""),E1639*F1639,"")</f>
      </c>
    </row>
    <row r="1640" ht="16.5" customHeight="1" s="71">
      <c r="B1640" s="169" t="n"/>
      <c r="C1640" s="35" t="n"/>
      <c r="D1640" s="35" t="n"/>
      <c r="E1640" s="35" t="n"/>
      <c r="F1640" s="166" t="n"/>
      <c r="G1640" s="166">
        <f>IF(AND(E1640&lt;&gt;"",F1640&lt;&gt;""),E1640*F1640,"")</f>
      </c>
    </row>
    <row r="1641" ht="16.5" customHeight="1" s="71">
      <c r="B1641" s="169" t="n"/>
      <c r="C1641" s="35" t="n"/>
      <c r="D1641" s="35" t="n"/>
      <c r="E1641" s="35" t="n"/>
      <c r="F1641" s="166" t="n"/>
      <c r="G1641" s="166">
        <f>IF(AND(E1641&lt;&gt;"",F1641&lt;&gt;""),E1641*F1641,"")</f>
      </c>
    </row>
    <row r="1642" ht="16.5" customHeight="1" s="71">
      <c r="B1642" s="169" t="n"/>
      <c r="C1642" s="35" t="n"/>
      <c r="D1642" s="35" t="n"/>
      <c r="E1642" s="35" t="n"/>
      <c r="F1642" s="166" t="n"/>
      <c r="G1642" s="166">
        <f>IF(AND(E1642&lt;&gt;"",F1642&lt;&gt;""),E1642*F1642,"")</f>
      </c>
    </row>
    <row r="1643" ht="16.5" customHeight="1" s="71">
      <c r="B1643" s="169" t="n"/>
      <c r="C1643" s="35" t="n"/>
      <c r="D1643" s="35" t="n"/>
      <c r="E1643" s="35" t="n"/>
      <c r="F1643" s="166" t="n"/>
      <c r="G1643" s="166">
        <f>IF(AND(E1643&lt;&gt;"",F1643&lt;&gt;""),E1643*F1643,"")</f>
      </c>
    </row>
    <row r="1644" ht="16.5" customHeight="1" s="71">
      <c r="B1644" s="169" t="n"/>
      <c r="C1644" s="35" t="n"/>
      <c r="D1644" s="35" t="n"/>
      <c r="E1644" s="35" t="n"/>
      <c r="F1644" s="166" t="n"/>
      <c r="G1644" s="166">
        <f>IF(AND(E1644&lt;&gt;"",F1644&lt;&gt;""),E1644*F1644,"")</f>
      </c>
    </row>
    <row r="1645" ht="16.5" customHeight="1" s="71">
      <c r="B1645" s="169" t="n"/>
      <c r="C1645" s="35" t="n"/>
      <c r="D1645" s="35" t="n"/>
      <c r="E1645" s="35" t="n"/>
      <c r="F1645" s="166" t="n"/>
      <c r="G1645" s="166">
        <f>IF(AND(E1645&lt;&gt;"",F1645&lt;&gt;""),E1645*F1645,"")</f>
      </c>
    </row>
    <row r="1646" ht="16.5" customHeight="1" s="71">
      <c r="B1646" s="169" t="n"/>
      <c r="C1646" s="35" t="n"/>
      <c r="D1646" s="35" t="n"/>
      <c r="E1646" s="35" t="n"/>
      <c r="F1646" s="166" t="n"/>
      <c r="G1646" s="166">
        <f>IF(AND(E1646&lt;&gt;"",F1646&lt;&gt;""),E1646*F1646,"")</f>
      </c>
    </row>
    <row r="1647" ht="16.5" customHeight="1" s="71">
      <c r="B1647" s="169" t="n"/>
      <c r="C1647" s="35" t="n"/>
      <c r="D1647" s="35" t="n"/>
      <c r="E1647" s="35" t="n"/>
      <c r="F1647" s="166" t="n"/>
      <c r="G1647" s="166">
        <f>IF(AND(E1647&lt;&gt;"",F1647&lt;&gt;""),E1647*F1647,"")</f>
      </c>
    </row>
    <row r="1648" ht="16.5" customHeight="1" s="71">
      <c r="B1648" s="169" t="n"/>
      <c r="C1648" s="35" t="n"/>
      <c r="D1648" s="35" t="n"/>
      <c r="E1648" s="35" t="n"/>
      <c r="F1648" s="166" t="n"/>
      <c r="G1648" s="166">
        <f>IF(AND(E1648&lt;&gt;"",F1648&lt;&gt;""),E1648*F1648,"")</f>
      </c>
    </row>
    <row r="1649" ht="16.5" customHeight="1" s="71">
      <c r="B1649" s="169" t="n"/>
      <c r="C1649" s="35" t="n"/>
      <c r="D1649" s="35" t="n"/>
      <c r="E1649" s="35" t="n"/>
      <c r="F1649" s="166" t="n"/>
      <c r="G1649" s="166">
        <f>IF(AND(E1649&lt;&gt;"",F1649&lt;&gt;""),E1649*F1649,"")</f>
      </c>
    </row>
    <row r="1650" ht="16.5" customHeight="1" s="71">
      <c r="B1650" s="169" t="n"/>
      <c r="C1650" s="35" t="n"/>
      <c r="D1650" s="35" t="n"/>
      <c r="E1650" s="35" t="n"/>
      <c r="F1650" s="166" t="n"/>
      <c r="G1650" s="166">
        <f>IF(AND(E1650&lt;&gt;"",F1650&lt;&gt;""),E1650*F1650,"")</f>
      </c>
    </row>
    <row r="1651" ht="16.5" customHeight="1" s="71">
      <c r="B1651" s="169" t="n"/>
      <c r="C1651" s="35" t="n"/>
      <c r="D1651" s="35" t="n"/>
      <c r="E1651" s="35" t="n"/>
      <c r="F1651" s="166" t="n"/>
      <c r="G1651" s="166">
        <f>IF(AND(E1651&lt;&gt;"",F1651&lt;&gt;""),E1651*F1651,"")</f>
      </c>
    </row>
    <row r="1652" ht="16.5" customHeight="1" s="71">
      <c r="B1652" s="169" t="n"/>
      <c r="C1652" s="35" t="n"/>
      <c r="D1652" s="35" t="n"/>
      <c r="E1652" s="35" t="n"/>
      <c r="F1652" s="166" t="n"/>
      <c r="G1652" s="166">
        <f>IF(AND(E1652&lt;&gt;"",F1652&lt;&gt;""),E1652*F1652,"")</f>
      </c>
    </row>
    <row r="1653" ht="16.5" customHeight="1" s="71">
      <c r="B1653" s="169" t="n"/>
      <c r="C1653" s="35" t="n"/>
      <c r="D1653" s="35" t="n"/>
      <c r="E1653" s="35" t="n"/>
      <c r="F1653" s="166" t="n"/>
      <c r="G1653" s="166">
        <f>IF(AND(E1653&lt;&gt;"",F1653&lt;&gt;""),E1653*F1653,"")</f>
      </c>
    </row>
    <row r="1654" ht="16.5" customHeight="1" s="71">
      <c r="B1654" s="169" t="n"/>
      <c r="C1654" s="35" t="n"/>
      <c r="D1654" s="35" t="n"/>
      <c r="E1654" s="35" t="n"/>
      <c r="F1654" s="166" t="n"/>
      <c r="G1654" s="166">
        <f>IF(AND(E1654&lt;&gt;"",F1654&lt;&gt;""),E1654*F1654,"")</f>
      </c>
    </row>
    <row r="1655" ht="16.5" customHeight="1" s="71">
      <c r="B1655" s="169" t="n"/>
      <c r="C1655" s="35" t="n"/>
      <c r="D1655" s="35" t="n"/>
      <c r="E1655" s="35" t="n"/>
      <c r="F1655" s="166" t="n"/>
      <c r="G1655" s="166">
        <f>IF(AND(E1655&lt;&gt;"",F1655&lt;&gt;""),E1655*F1655,"")</f>
      </c>
    </row>
    <row r="1656" ht="16.5" customHeight="1" s="71">
      <c r="B1656" s="169" t="n"/>
      <c r="C1656" s="35" t="n"/>
      <c r="D1656" s="35" t="n"/>
      <c r="E1656" s="35" t="n"/>
      <c r="F1656" s="166" t="n"/>
      <c r="G1656" s="166">
        <f>IF(AND(E1656&lt;&gt;"",F1656&lt;&gt;""),E1656*F1656,"")</f>
      </c>
    </row>
    <row r="1657" ht="16.5" customHeight="1" s="71">
      <c r="B1657" s="169" t="n"/>
      <c r="C1657" s="35" t="n"/>
      <c r="D1657" s="35" t="n"/>
      <c r="E1657" s="35" t="n"/>
      <c r="F1657" s="166" t="n"/>
      <c r="G1657" s="166">
        <f>IF(AND(E1657&lt;&gt;"",F1657&lt;&gt;""),E1657*F1657,"")</f>
      </c>
    </row>
    <row r="1658" ht="16.5" customHeight="1" s="71">
      <c r="B1658" s="169" t="n"/>
      <c r="C1658" s="35" t="n"/>
      <c r="D1658" s="35" t="n"/>
      <c r="E1658" s="35" t="n"/>
      <c r="F1658" s="166" t="n"/>
      <c r="G1658" s="166">
        <f>IF(AND(E1658&lt;&gt;"",F1658&lt;&gt;""),E1658*F1658,"")</f>
      </c>
    </row>
    <row r="1659" ht="16.5" customHeight="1" s="71">
      <c r="B1659" s="169" t="n"/>
      <c r="C1659" s="35" t="n"/>
      <c r="D1659" s="35" t="n"/>
      <c r="E1659" s="35" t="n"/>
      <c r="F1659" s="166" t="n"/>
      <c r="G1659" s="166">
        <f>IF(AND(E1659&lt;&gt;"",F1659&lt;&gt;""),E1659*F1659,"")</f>
      </c>
    </row>
    <row r="1660" ht="16.5" customHeight="1" s="71">
      <c r="B1660" s="169" t="n"/>
      <c r="C1660" s="35" t="n"/>
      <c r="D1660" s="35" t="n"/>
      <c r="E1660" s="35" t="n"/>
      <c r="F1660" s="166" t="n"/>
      <c r="G1660" s="166">
        <f>IF(AND(E1660&lt;&gt;"",F1660&lt;&gt;""),E1660*F1660,"")</f>
      </c>
    </row>
    <row r="1661" ht="16.5" customHeight="1" s="71">
      <c r="B1661" s="169" t="n"/>
      <c r="C1661" s="35" t="n"/>
      <c r="D1661" s="35" t="n"/>
      <c r="E1661" s="35" t="n"/>
      <c r="F1661" s="166" t="n"/>
      <c r="G1661" s="166">
        <f>IF(AND(E1661&lt;&gt;"",F1661&lt;&gt;""),E1661*F1661,"")</f>
      </c>
    </row>
    <row r="1662" ht="16.5" customHeight="1" s="71">
      <c r="B1662" s="169" t="n"/>
      <c r="C1662" s="35" t="n"/>
      <c r="D1662" s="35" t="n"/>
      <c r="E1662" s="35" t="n"/>
      <c r="F1662" s="166" t="n"/>
      <c r="G1662" s="166">
        <f>IF(AND(E1662&lt;&gt;"",F1662&lt;&gt;""),E1662*F1662,"")</f>
      </c>
    </row>
    <row r="1663" ht="16.5" customHeight="1" s="71">
      <c r="B1663" s="169" t="n"/>
      <c r="C1663" s="35" t="n"/>
      <c r="D1663" s="35" t="n"/>
      <c r="E1663" s="35" t="n"/>
      <c r="F1663" s="166" t="n"/>
      <c r="G1663" s="166">
        <f>IF(AND(E1663&lt;&gt;"",F1663&lt;&gt;""),E1663*F1663,"")</f>
      </c>
    </row>
    <row r="1664" ht="16.5" customHeight="1" s="71">
      <c r="B1664" s="169" t="n"/>
      <c r="C1664" s="35" t="n"/>
      <c r="D1664" s="35" t="n"/>
      <c r="E1664" s="35" t="n"/>
      <c r="F1664" s="166" t="n"/>
      <c r="G1664" s="166">
        <f>IF(AND(E1664&lt;&gt;"",F1664&lt;&gt;""),E1664*F1664,"")</f>
      </c>
    </row>
    <row r="1665" ht="16.5" customHeight="1" s="71">
      <c r="B1665" s="169" t="n"/>
      <c r="C1665" s="35" t="n"/>
      <c r="D1665" s="35" t="n"/>
      <c r="E1665" s="35" t="n"/>
      <c r="F1665" s="166" t="n"/>
      <c r="G1665" s="166">
        <f>IF(AND(E1665&lt;&gt;"",F1665&lt;&gt;""),E1665*F1665,"")</f>
      </c>
    </row>
    <row r="1666" ht="16.5" customHeight="1" s="71">
      <c r="B1666" s="169" t="n"/>
      <c r="C1666" s="35" t="n"/>
      <c r="D1666" s="35" t="n"/>
      <c r="E1666" s="35" t="n"/>
      <c r="F1666" s="166" t="n"/>
      <c r="G1666" s="166">
        <f>IF(AND(E1666&lt;&gt;"",F1666&lt;&gt;""),E1666*F1666,"")</f>
      </c>
    </row>
    <row r="1667" ht="16.5" customHeight="1" s="71">
      <c r="B1667" s="169" t="n"/>
      <c r="C1667" s="35" t="n"/>
      <c r="D1667" s="35" t="n"/>
      <c r="E1667" s="35" t="n"/>
      <c r="F1667" s="166" t="n"/>
      <c r="G1667" s="166">
        <f>IF(AND(E1667&lt;&gt;"",F1667&lt;&gt;""),E1667*F1667,"")</f>
      </c>
    </row>
    <row r="1668" ht="16.5" customHeight="1" s="71">
      <c r="B1668" s="169" t="n"/>
      <c r="C1668" s="35" t="n"/>
      <c r="D1668" s="35" t="n"/>
      <c r="E1668" s="35" t="n"/>
      <c r="F1668" s="166" t="n"/>
      <c r="G1668" s="166">
        <f>IF(AND(E1668&lt;&gt;"",F1668&lt;&gt;""),E1668*F1668,"")</f>
      </c>
    </row>
    <row r="1669" ht="16.5" customHeight="1" s="71">
      <c r="B1669" s="169" t="n"/>
      <c r="C1669" s="35" t="n"/>
      <c r="D1669" s="35" t="n"/>
      <c r="E1669" s="35" t="n"/>
      <c r="F1669" s="166" t="n"/>
      <c r="G1669" s="166">
        <f>IF(AND(E1669&lt;&gt;"",F1669&lt;&gt;""),E1669*F1669,"")</f>
      </c>
    </row>
    <row r="1670" ht="16.5" customHeight="1" s="71">
      <c r="B1670" s="169" t="n"/>
      <c r="C1670" s="35" t="n"/>
      <c r="D1670" s="35" t="n"/>
      <c r="E1670" s="35" t="n"/>
      <c r="F1670" s="166" t="n"/>
      <c r="G1670" s="166">
        <f>IF(AND(E1670&lt;&gt;"",F1670&lt;&gt;""),E1670*F1670,"")</f>
      </c>
    </row>
    <row r="1671" ht="16.5" customHeight="1" s="71">
      <c r="B1671" s="169" t="n"/>
      <c r="C1671" s="35" t="n"/>
      <c r="D1671" s="35" t="n"/>
      <c r="E1671" s="35" t="n"/>
      <c r="F1671" s="166" t="n"/>
      <c r="G1671" s="166">
        <f>IF(AND(E1671&lt;&gt;"",F1671&lt;&gt;""),E1671*F1671,"")</f>
      </c>
    </row>
    <row r="1672" ht="16.5" customHeight="1" s="71">
      <c r="B1672" s="169" t="n"/>
      <c r="C1672" s="35" t="n"/>
      <c r="D1672" s="35" t="n"/>
      <c r="E1672" s="35" t="n"/>
      <c r="F1672" s="166" t="n"/>
      <c r="G1672" s="166">
        <f>IF(AND(E1672&lt;&gt;"",F1672&lt;&gt;""),E1672*F1672,"")</f>
      </c>
    </row>
    <row r="1673" ht="16.5" customHeight="1" s="71">
      <c r="B1673" s="169" t="n"/>
      <c r="C1673" s="35" t="n"/>
      <c r="D1673" s="35" t="n"/>
      <c r="E1673" s="35" t="n"/>
      <c r="F1673" s="166" t="n"/>
      <c r="G1673" s="166">
        <f>IF(AND(E1673&lt;&gt;"",F1673&lt;&gt;""),E1673*F1673,"")</f>
      </c>
    </row>
    <row r="1674" ht="16.5" customHeight="1" s="71">
      <c r="B1674" s="169" t="n"/>
      <c r="C1674" s="35" t="n"/>
      <c r="D1674" s="35" t="n"/>
      <c r="E1674" s="35" t="n"/>
      <c r="F1674" s="166" t="n"/>
      <c r="G1674" s="166">
        <f>IF(AND(E1674&lt;&gt;"",F1674&lt;&gt;""),E1674*F1674,"")</f>
      </c>
    </row>
    <row r="1675" ht="16.5" customHeight="1" s="71">
      <c r="B1675" s="169" t="n"/>
      <c r="C1675" s="35" t="n"/>
      <c r="D1675" s="35" t="n"/>
      <c r="E1675" s="35" t="n"/>
      <c r="F1675" s="166" t="n"/>
      <c r="G1675" s="166">
        <f>IF(AND(E1675&lt;&gt;"",F1675&lt;&gt;""),E1675*F1675,"")</f>
      </c>
    </row>
    <row r="1676" ht="16.5" customHeight="1" s="71">
      <c r="B1676" s="169" t="n"/>
      <c r="C1676" s="35" t="n"/>
      <c r="D1676" s="35" t="n"/>
      <c r="E1676" s="35" t="n"/>
      <c r="F1676" s="166" t="n"/>
      <c r="G1676" s="166">
        <f>IF(AND(E1676&lt;&gt;"",F1676&lt;&gt;""),E1676*F1676,"")</f>
      </c>
    </row>
    <row r="1677" ht="16.5" customHeight="1" s="71">
      <c r="B1677" s="169" t="n"/>
      <c r="C1677" s="35" t="n"/>
      <c r="D1677" s="35" t="n"/>
      <c r="E1677" s="35" t="n"/>
      <c r="F1677" s="166" t="n"/>
      <c r="G1677" s="166">
        <f>IF(AND(E1677&lt;&gt;"",F1677&lt;&gt;""),E1677*F1677,"")</f>
      </c>
    </row>
    <row r="1678" ht="16.5" customHeight="1" s="71">
      <c r="B1678" s="169" t="n"/>
      <c r="C1678" s="35" t="n"/>
      <c r="D1678" s="35" t="n"/>
      <c r="E1678" s="35" t="n"/>
      <c r="F1678" s="166" t="n"/>
      <c r="G1678" s="166">
        <f>IF(AND(E1678&lt;&gt;"",F1678&lt;&gt;""),E1678*F1678,"")</f>
      </c>
    </row>
    <row r="1679" ht="16.5" customHeight="1" s="71">
      <c r="B1679" s="169" t="n"/>
      <c r="C1679" s="35" t="n"/>
      <c r="D1679" s="35" t="n"/>
      <c r="E1679" s="35" t="n"/>
      <c r="F1679" s="166" t="n"/>
      <c r="G1679" s="166">
        <f>IF(AND(E1679&lt;&gt;"",F1679&lt;&gt;""),E1679*F1679,"")</f>
      </c>
    </row>
    <row r="1680" ht="16.5" customHeight="1" s="71">
      <c r="B1680" s="169" t="n"/>
      <c r="C1680" s="35" t="n"/>
      <c r="D1680" s="35" t="n"/>
      <c r="E1680" s="35" t="n"/>
      <c r="F1680" s="166" t="n"/>
      <c r="G1680" s="166">
        <f>IF(AND(E1680&lt;&gt;"",F1680&lt;&gt;""),E1680*F1680,"")</f>
      </c>
    </row>
    <row r="1681" ht="16.5" customHeight="1" s="71">
      <c r="B1681" s="169" t="n"/>
      <c r="C1681" s="35" t="n"/>
      <c r="D1681" s="35" t="n"/>
      <c r="E1681" s="35" t="n"/>
      <c r="F1681" s="166" t="n"/>
      <c r="G1681" s="166">
        <f>IF(AND(E1681&lt;&gt;"",F1681&lt;&gt;""),E1681*F1681,"")</f>
      </c>
    </row>
    <row r="1682" ht="16.5" customHeight="1" s="71">
      <c r="B1682" s="169" t="n"/>
      <c r="C1682" s="35" t="n"/>
      <c r="D1682" s="35" t="n"/>
      <c r="E1682" s="35" t="n"/>
      <c r="F1682" s="166" t="n"/>
      <c r="G1682" s="166">
        <f>IF(AND(E1682&lt;&gt;"",F1682&lt;&gt;""),E1682*F1682,"")</f>
      </c>
    </row>
    <row r="1683" ht="16.5" customHeight="1" s="71">
      <c r="B1683" s="169" t="n"/>
      <c r="C1683" s="35" t="n"/>
      <c r="D1683" s="35" t="n"/>
      <c r="E1683" s="35" t="n"/>
      <c r="F1683" s="166" t="n"/>
      <c r="G1683" s="166">
        <f>IF(AND(E1683&lt;&gt;"",F1683&lt;&gt;""),E1683*F1683,"")</f>
      </c>
    </row>
    <row r="1684" ht="16.5" customHeight="1" s="71">
      <c r="B1684" s="169" t="n"/>
      <c r="C1684" s="35" t="n"/>
      <c r="D1684" s="35" t="n"/>
      <c r="E1684" s="35" t="n"/>
      <c r="F1684" s="166" t="n"/>
      <c r="G1684" s="166">
        <f>IF(AND(E1684&lt;&gt;"",F1684&lt;&gt;""),E1684*F1684,"")</f>
      </c>
    </row>
    <row r="1685" ht="16.5" customHeight="1" s="71">
      <c r="B1685" s="169" t="n"/>
      <c r="C1685" s="35" t="n"/>
      <c r="D1685" s="35" t="n"/>
      <c r="E1685" s="35" t="n"/>
      <c r="F1685" s="166" t="n"/>
      <c r="G1685" s="166">
        <f>IF(AND(E1685&lt;&gt;"",F1685&lt;&gt;""),E1685*F1685,"")</f>
      </c>
    </row>
    <row r="1686" ht="16.5" customHeight="1" s="71">
      <c r="B1686" s="169" t="n"/>
      <c r="C1686" s="35" t="n"/>
      <c r="D1686" s="35" t="n"/>
      <c r="E1686" s="35" t="n"/>
      <c r="F1686" s="166" t="n"/>
      <c r="G1686" s="166">
        <f>IF(AND(E1686&lt;&gt;"",F1686&lt;&gt;""),E1686*F1686,"")</f>
      </c>
    </row>
    <row r="1687" ht="16.5" customHeight="1" s="71">
      <c r="B1687" s="169" t="n"/>
      <c r="C1687" s="35" t="n"/>
      <c r="D1687" s="35" t="n"/>
      <c r="E1687" s="35" t="n"/>
      <c r="F1687" s="166" t="n"/>
      <c r="G1687" s="166">
        <f>IF(AND(E1687&lt;&gt;"",F1687&lt;&gt;""),E1687*F1687,"")</f>
      </c>
    </row>
    <row r="1688" ht="16.5" customHeight="1" s="71">
      <c r="B1688" s="169" t="n"/>
      <c r="C1688" s="35" t="n"/>
      <c r="D1688" s="35" t="n"/>
      <c r="E1688" s="35" t="n"/>
      <c r="F1688" s="166" t="n"/>
      <c r="G1688" s="166">
        <f>IF(AND(E1688&lt;&gt;"",F1688&lt;&gt;""),E1688*F1688,"")</f>
      </c>
    </row>
    <row r="1689" ht="16.5" customHeight="1" s="71">
      <c r="B1689" s="169" t="n"/>
      <c r="C1689" s="35" t="n"/>
      <c r="D1689" s="35" t="n"/>
      <c r="E1689" s="35" t="n"/>
      <c r="F1689" s="166" t="n"/>
      <c r="G1689" s="166">
        <f>IF(AND(E1689&lt;&gt;"",F1689&lt;&gt;""),E1689*F1689,"")</f>
      </c>
    </row>
    <row r="1690" ht="16.5" customHeight="1" s="71">
      <c r="B1690" s="169" t="n"/>
      <c r="C1690" s="35" t="n"/>
      <c r="D1690" s="35" t="n"/>
      <c r="E1690" s="35" t="n"/>
      <c r="F1690" s="166" t="n"/>
      <c r="G1690" s="166">
        <f>IF(AND(E1690&lt;&gt;"",F1690&lt;&gt;""),E1690*F1690,"")</f>
      </c>
    </row>
    <row r="1691" ht="16.5" customHeight="1" s="71">
      <c r="B1691" s="169" t="n"/>
      <c r="C1691" s="35" t="n"/>
      <c r="D1691" s="35" t="n"/>
      <c r="E1691" s="35" t="n"/>
      <c r="F1691" s="166" t="n"/>
      <c r="G1691" s="166">
        <f>IF(AND(E1691&lt;&gt;"",F1691&lt;&gt;""),E1691*F1691,"")</f>
      </c>
    </row>
    <row r="1692" ht="16.5" customHeight="1" s="71">
      <c r="B1692" s="169" t="n"/>
      <c r="C1692" s="35" t="n"/>
      <c r="D1692" s="35" t="n"/>
      <c r="E1692" s="35" t="n"/>
      <c r="F1692" s="166" t="n"/>
      <c r="G1692" s="166">
        <f>IF(AND(E1692&lt;&gt;"",F1692&lt;&gt;""),E1692*F1692,"")</f>
      </c>
    </row>
    <row r="1693" ht="16.5" customHeight="1" s="71">
      <c r="B1693" s="169" t="n"/>
      <c r="C1693" s="35" t="n"/>
      <c r="D1693" s="35" t="n"/>
      <c r="E1693" s="35" t="n"/>
      <c r="F1693" s="166" t="n"/>
      <c r="G1693" s="166">
        <f>IF(AND(E1693&lt;&gt;"",F1693&lt;&gt;""),E1693*F1693,"")</f>
      </c>
    </row>
    <row r="1694" ht="16.5" customHeight="1" s="71">
      <c r="B1694" s="169" t="n"/>
      <c r="C1694" s="35" t="n"/>
      <c r="D1694" s="35" t="n"/>
      <c r="E1694" s="35" t="n"/>
      <c r="F1694" s="166" t="n"/>
      <c r="G1694" s="166">
        <f>IF(AND(E1694&lt;&gt;"",F1694&lt;&gt;""),E1694*F1694,"")</f>
      </c>
    </row>
    <row r="1695" ht="16.5" customHeight="1" s="71">
      <c r="B1695" s="169" t="n"/>
      <c r="C1695" s="35" t="n"/>
      <c r="D1695" s="35" t="n"/>
      <c r="E1695" s="35" t="n"/>
      <c r="F1695" s="166" t="n"/>
      <c r="G1695" s="166">
        <f>IF(AND(E1695&lt;&gt;"",F1695&lt;&gt;""),E1695*F1695,"")</f>
      </c>
    </row>
    <row r="1696" ht="16.5" customHeight="1" s="71">
      <c r="B1696" s="169" t="n"/>
      <c r="C1696" s="35" t="n"/>
      <c r="D1696" s="35" t="n"/>
      <c r="E1696" s="35" t="n"/>
      <c r="F1696" s="166" t="n"/>
      <c r="G1696" s="166">
        <f>IF(AND(E1696&lt;&gt;"",F1696&lt;&gt;""),E1696*F1696,"")</f>
      </c>
    </row>
    <row r="1697" ht="16.5" customHeight="1" s="71">
      <c r="B1697" s="169" t="n"/>
      <c r="C1697" s="35" t="n"/>
      <c r="D1697" s="35" t="n"/>
      <c r="E1697" s="35" t="n"/>
      <c r="F1697" s="166" t="n"/>
      <c r="G1697" s="166">
        <f>IF(AND(E1697&lt;&gt;"",F1697&lt;&gt;""),E1697*F1697,"")</f>
      </c>
    </row>
    <row r="1698" ht="16.5" customHeight="1" s="71">
      <c r="B1698" s="169" t="n"/>
      <c r="C1698" s="35" t="n"/>
      <c r="D1698" s="35" t="n"/>
      <c r="E1698" s="35" t="n"/>
      <c r="F1698" s="166" t="n"/>
      <c r="G1698" s="166">
        <f>IF(AND(E1698&lt;&gt;"",F1698&lt;&gt;""),E1698*F1698,"")</f>
      </c>
    </row>
    <row r="1699" ht="16.5" customHeight="1" s="71">
      <c r="B1699" s="169" t="n"/>
      <c r="C1699" s="35" t="n"/>
      <c r="D1699" s="35" t="n"/>
      <c r="E1699" s="35" t="n"/>
      <c r="F1699" s="166" t="n"/>
      <c r="G1699" s="166">
        <f>IF(AND(E1699&lt;&gt;"",F1699&lt;&gt;""),E1699*F1699,"")</f>
      </c>
    </row>
    <row r="1700" ht="16.5" customHeight="1" s="71">
      <c r="B1700" s="169" t="n"/>
      <c r="C1700" s="35" t="n"/>
      <c r="D1700" s="35" t="n"/>
      <c r="E1700" s="35" t="n"/>
      <c r="F1700" s="166" t="n"/>
      <c r="G1700" s="166">
        <f>IF(AND(E1700&lt;&gt;"",F1700&lt;&gt;""),E1700*F1700,"")</f>
      </c>
    </row>
    <row r="1701" ht="16.5" customHeight="1" s="71">
      <c r="B1701" s="169" t="n"/>
      <c r="C1701" s="35" t="n"/>
      <c r="D1701" s="35" t="n"/>
      <c r="E1701" s="35" t="n"/>
      <c r="F1701" s="166" t="n"/>
      <c r="G1701" s="166">
        <f>IF(AND(E1701&lt;&gt;"",F1701&lt;&gt;""),E1701*F1701,"")</f>
      </c>
    </row>
    <row r="1702" ht="16.5" customHeight="1" s="71">
      <c r="B1702" s="169" t="n"/>
      <c r="C1702" s="35" t="n"/>
      <c r="D1702" s="35" t="n"/>
      <c r="E1702" s="35" t="n"/>
      <c r="F1702" s="166" t="n"/>
      <c r="G1702" s="166">
        <f>IF(AND(E1702&lt;&gt;"",F1702&lt;&gt;""),E1702*F1702,"")</f>
      </c>
    </row>
    <row r="1703" ht="16.5" customHeight="1" s="71">
      <c r="B1703" s="169" t="n"/>
      <c r="C1703" s="35" t="n"/>
      <c r="D1703" s="35" t="n"/>
      <c r="E1703" s="35" t="n"/>
      <c r="F1703" s="166" t="n"/>
      <c r="G1703" s="166">
        <f>IF(AND(E1703&lt;&gt;"",F1703&lt;&gt;""),E1703*F1703,"")</f>
      </c>
    </row>
    <row r="1704" ht="16.5" customHeight="1" s="71">
      <c r="B1704" s="169" t="n"/>
      <c r="C1704" s="35" t="n"/>
      <c r="D1704" s="35" t="n"/>
      <c r="E1704" s="35" t="n"/>
      <c r="F1704" s="166" t="n"/>
      <c r="G1704" s="166">
        <f>IF(AND(E1704&lt;&gt;"",F1704&lt;&gt;""),E1704*F1704,"")</f>
      </c>
    </row>
    <row r="1705" ht="16.5" customHeight="1" s="71">
      <c r="B1705" s="169" t="n"/>
      <c r="C1705" s="35" t="n"/>
      <c r="D1705" s="35" t="n"/>
      <c r="E1705" s="35" t="n"/>
      <c r="F1705" s="166" t="n"/>
      <c r="G1705" s="166">
        <f>IF(AND(E1705&lt;&gt;"",F1705&lt;&gt;""),E1705*F1705,"")</f>
      </c>
    </row>
    <row r="1706" ht="16.5" customHeight="1" s="71">
      <c r="B1706" s="169" t="n"/>
      <c r="C1706" s="35" t="n"/>
      <c r="D1706" s="35" t="n"/>
      <c r="E1706" s="35" t="n"/>
      <c r="F1706" s="166" t="n"/>
      <c r="G1706" s="166">
        <f>IF(AND(E1706&lt;&gt;"",F1706&lt;&gt;""),E1706*F1706,"")</f>
      </c>
    </row>
    <row r="1707" ht="16.5" customHeight="1" s="71">
      <c r="B1707" s="169" t="n"/>
      <c r="C1707" s="35" t="n"/>
      <c r="D1707" s="35" t="n"/>
      <c r="E1707" s="35" t="n"/>
      <c r="F1707" s="166" t="n"/>
      <c r="G1707" s="166">
        <f>IF(AND(E1707&lt;&gt;"",F1707&lt;&gt;""),E1707*F1707,"")</f>
      </c>
    </row>
    <row r="1708" ht="16.5" customHeight="1" s="71">
      <c r="B1708" s="169" t="n"/>
      <c r="C1708" s="35" t="n"/>
      <c r="D1708" s="35" t="n"/>
      <c r="E1708" s="35" t="n"/>
      <c r="F1708" s="166" t="n"/>
      <c r="G1708" s="166">
        <f>IF(AND(E1708&lt;&gt;"",F1708&lt;&gt;""),E1708*F1708,"")</f>
      </c>
    </row>
    <row r="1709" ht="16.5" customHeight="1" s="71">
      <c r="B1709" s="169" t="n"/>
      <c r="C1709" s="35" t="n"/>
      <c r="D1709" s="35" t="n"/>
      <c r="E1709" s="35" t="n"/>
      <c r="F1709" s="166" t="n"/>
      <c r="G1709" s="166">
        <f>IF(AND(E1709&lt;&gt;"",F1709&lt;&gt;""),E1709*F1709,"")</f>
      </c>
    </row>
    <row r="1710" ht="16.5" customHeight="1" s="71">
      <c r="B1710" s="169" t="n"/>
      <c r="C1710" s="35" t="n"/>
      <c r="D1710" s="35" t="n"/>
      <c r="E1710" s="35" t="n"/>
      <c r="F1710" s="166" t="n"/>
      <c r="G1710" s="166">
        <f>IF(AND(E1710&lt;&gt;"",F1710&lt;&gt;""),E1710*F1710,"")</f>
      </c>
    </row>
    <row r="1711" ht="16.5" customHeight="1" s="71">
      <c r="B1711" s="169" t="n"/>
      <c r="C1711" s="35" t="n"/>
      <c r="D1711" s="35" t="n"/>
      <c r="E1711" s="35" t="n"/>
      <c r="F1711" s="166" t="n"/>
      <c r="G1711" s="166">
        <f>IF(AND(E1711&lt;&gt;"",F1711&lt;&gt;""),E1711*F1711,"")</f>
      </c>
    </row>
    <row r="1712" ht="16.5" customHeight="1" s="71">
      <c r="B1712" s="169" t="n"/>
      <c r="C1712" s="35" t="n"/>
      <c r="D1712" s="35" t="n"/>
      <c r="E1712" s="35" t="n"/>
      <c r="F1712" s="166" t="n"/>
      <c r="G1712" s="166">
        <f>IF(AND(E1712&lt;&gt;"",F1712&lt;&gt;""),E1712*F1712,"")</f>
      </c>
    </row>
    <row r="1713" ht="16.5" customHeight="1" s="71">
      <c r="B1713" s="169" t="n"/>
      <c r="C1713" s="35" t="n"/>
      <c r="D1713" s="35" t="n"/>
      <c r="E1713" s="35" t="n"/>
      <c r="F1713" s="166" t="n"/>
      <c r="G1713" s="166">
        <f>IF(AND(E1713&lt;&gt;"",F1713&lt;&gt;""),E1713*F1713,"")</f>
      </c>
    </row>
    <row r="1714" ht="16.5" customHeight="1" s="71">
      <c r="B1714" s="169" t="n"/>
      <c r="C1714" s="35" t="n"/>
      <c r="D1714" s="35" t="n"/>
      <c r="E1714" s="35" t="n"/>
      <c r="F1714" s="166" t="n"/>
      <c r="G1714" s="166">
        <f>IF(AND(E1714&lt;&gt;"",F1714&lt;&gt;""),E1714*F1714,"")</f>
      </c>
    </row>
    <row r="1715" ht="16.5" customHeight="1" s="71">
      <c r="B1715" s="169" t="n"/>
      <c r="C1715" s="35" t="n"/>
      <c r="D1715" s="35" t="n"/>
      <c r="E1715" s="35" t="n"/>
      <c r="F1715" s="166" t="n"/>
      <c r="G1715" s="166">
        <f>IF(AND(E1715&lt;&gt;"",F1715&lt;&gt;""),E1715*F1715,"")</f>
      </c>
    </row>
    <row r="1716" ht="16.5" customHeight="1" s="71">
      <c r="B1716" s="169" t="n"/>
      <c r="C1716" s="35" t="n"/>
      <c r="D1716" s="35" t="n"/>
      <c r="E1716" s="35" t="n"/>
      <c r="F1716" s="166" t="n"/>
      <c r="G1716" s="166">
        <f>IF(AND(E1716&lt;&gt;"",F1716&lt;&gt;""),E1716*F1716,"")</f>
      </c>
    </row>
    <row r="1717" ht="16.5" customHeight="1" s="71">
      <c r="B1717" s="169" t="n"/>
      <c r="C1717" s="35" t="n"/>
      <c r="D1717" s="35" t="n"/>
      <c r="E1717" s="35" t="n"/>
      <c r="F1717" s="166" t="n"/>
      <c r="G1717" s="166">
        <f>IF(AND(E1717&lt;&gt;"",F1717&lt;&gt;""),E1717*F1717,"")</f>
      </c>
    </row>
    <row r="1718" ht="16.5" customHeight="1" s="71">
      <c r="B1718" s="169" t="n"/>
      <c r="C1718" s="35" t="n"/>
      <c r="D1718" s="35" t="n"/>
      <c r="E1718" s="35" t="n"/>
      <c r="F1718" s="166" t="n"/>
      <c r="G1718" s="166">
        <f>IF(AND(E1718&lt;&gt;"",F1718&lt;&gt;""),E1718*F1718,"")</f>
      </c>
    </row>
    <row r="1719" ht="16.5" customHeight="1" s="71">
      <c r="B1719" s="169" t="n"/>
      <c r="C1719" s="35" t="n"/>
      <c r="D1719" s="35" t="n"/>
      <c r="E1719" s="35" t="n"/>
      <c r="F1719" s="166" t="n"/>
      <c r="G1719" s="166">
        <f>IF(AND(E1719&lt;&gt;"",F1719&lt;&gt;""),E1719*F1719,"")</f>
      </c>
    </row>
    <row r="1720" ht="16.5" customHeight="1" s="71">
      <c r="B1720" s="169" t="n"/>
      <c r="C1720" s="35" t="n"/>
      <c r="D1720" s="35" t="n"/>
      <c r="E1720" s="35" t="n"/>
      <c r="F1720" s="166" t="n"/>
      <c r="G1720" s="166">
        <f>IF(AND(E1720&lt;&gt;"",F1720&lt;&gt;""),E1720*F1720,"")</f>
      </c>
    </row>
    <row r="1721" ht="16.5" customHeight="1" s="71">
      <c r="B1721" s="169" t="n"/>
      <c r="C1721" s="35" t="n"/>
      <c r="D1721" s="35" t="n"/>
      <c r="E1721" s="35" t="n"/>
      <c r="F1721" s="166" t="n"/>
      <c r="G1721" s="166">
        <f>IF(AND(E1721&lt;&gt;"",F1721&lt;&gt;""),E1721*F1721,"")</f>
      </c>
    </row>
    <row r="1722" ht="16.5" customHeight="1" s="71">
      <c r="B1722" s="169" t="n"/>
      <c r="C1722" s="35" t="n"/>
      <c r="D1722" s="35" t="n"/>
      <c r="E1722" s="35" t="n"/>
      <c r="F1722" s="166" t="n"/>
      <c r="G1722" s="166">
        <f>IF(AND(E1722&lt;&gt;"",F1722&lt;&gt;""),E1722*F1722,"")</f>
      </c>
    </row>
    <row r="1723" ht="16.5" customHeight="1" s="71">
      <c r="B1723" s="169" t="n"/>
      <c r="C1723" s="35" t="n"/>
      <c r="D1723" s="35" t="n"/>
      <c r="E1723" s="35" t="n"/>
      <c r="F1723" s="166" t="n"/>
      <c r="G1723" s="166">
        <f>IF(AND(E1723&lt;&gt;"",F1723&lt;&gt;""),E1723*F1723,"")</f>
      </c>
    </row>
    <row r="1724" ht="16.5" customHeight="1" s="71">
      <c r="B1724" s="169" t="n"/>
      <c r="C1724" s="35" t="n"/>
      <c r="D1724" s="35" t="n"/>
      <c r="E1724" s="35" t="n"/>
      <c r="F1724" s="166" t="n"/>
      <c r="G1724" s="166">
        <f>IF(AND(E1724&lt;&gt;"",F1724&lt;&gt;""),E1724*F1724,"")</f>
      </c>
    </row>
    <row r="1725" ht="16.5" customHeight="1" s="71">
      <c r="B1725" s="169" t="n"/>
      <c r="C1725" s="35" t="n"/>
      <c r="D1725" s="35" t="n"/>
      <c r="E1725" s="35" t="n"/>
      <c r="F1725" s="166" t="n"/>
      <c r="G1725" s="166">
        <f>IF(AND(E1725&lt;&gt;"",F1725&lt;&gt;""),E1725*F1725,"")</f>
      </c>
    </row>
    <row r="1726" ht="16.5" customHeight="1" s="71">
      <c r="B1726" s="169" t="n"/>
      <c r="C1726" s="35" t="n"/>
      <c r="D1726" s="35" t="n"/>
      <c r="E1726" s="35" t="n"/>
      <c r="F1726" s="166" t="n"/>
      <c r="G1726" s="166">
        <f>IF(AND(E1726&lt;&gt;"",F1726&lt;&gt;""),E1726*F1726,"")</f>
      </c>
    </row>
    <row r="1727" ht="16.5" customHeight="1" s="71">
      <c r="B1727" s="169" t="n"/>
      <c r="C1727" s="35" t="n"/>
      <c r="D1727" s="35" t="n"/>
      <c r="E1727" s="35" t="n"/>
      <c r="F1727" s="166" t="n"/>
      <c r="G1727" s="166">
        <f>IF(AND(E1727&lt;&gt;"",F1727&lt;&gt;""),E1727*F1727,"")</f>
      </c>
    </row>
    <row r="1728" ht="16.5" customHeight="1" s="71">
      <c r="B1728" s="169" t="n"/>
      <c r="C1728" s="35" t="n"/>
      <c r="D1728" s="35" t="n"/>
      <c r="E1728" s="35" t="n"/>
      <c r="F1728" s="166" t="n"/>
      <c r="G1728" s="166">
        <f>IF(AND(E1728&lt;&gt;"",F1728&lt;&gt;""),E1728*F1728,"")</f>
      </c>
    </row>
    <row r="1729" ht="16.5" customHeight="1" s="71">
      <c r="B1729" s="169" t="n"/>
      <c r="C1729" s="35" t="n"/>
      <c r="D1729" s="35" t="n"/>
      <c r="E1729" s="35" t="n"/>
      <c r="F1729" s="166" t="n"/>
      <c r="G1729" s="166">
        <f>IF(AND(E1729&lt;&gt;"",F1729&lt;&gt;""),E1729*F1729,"")</f>
      </c>
    </row>
    <row r="1730" ht="16.5" customHeight="1" s="71">
      <c r="B1730" s="169" t="n"/>
      <c r="C1730" s="35" t="n"/>
      <c r="D1730" s="35" t="n"/>
      <c r="E1730" s="35" t="n"/>
      <c r="F1730" s="166" t="n"/>
      <c r="G1730" s="166">
        <f>IF(AND(E1730&lt;&gt;"",F1730&lt;&gt;""),E1730*F1730,"")</f>
      </c>
    </row>
    <row r="1731" ht="16.5" customHeight="1" s="71">
      <c r="B1731" s="169" t="n"/>
      <c r="C1731" s="35" t="n"/>
      <c r="D1731" s="35" t="n"/>
      <c r="E1731" s="35" t="n"/>
      <c r="F1731" s="166" t="n"/>
      <c r="G1731" s="166">
        <f>IF(AND(E1731&lt;&gt;"",F1731&lt;&gt;""),E1731*F1731,"")</f>
      </c>
    </row>
    <row r="1732" ht="16.5" customHeight="1" s="71">
      <c r="B1732" s="169" t="n"/>
      <c r="C1732" s="35" t="n"/>
      <c r="D1732" s="35" t="n"/>
      <c r="E1732" s="35" t="n"/>
      <c r="F1732" s="166" t="n"/>
      <c r="G1732" s="166">
        <f>IF(AND(E1732&lt;&gt;"",F1732&lt;&gt;""),E1732*F1732,"")</f>
      </c>
    </row>
    <row r="1733" ht="16.5" customHeight="1" s="71">
      <c r="B1733" s="169" t="n"/>
      <c r="C1733" s="35" t="n"/>
      <c r="D1733" s="35" t="n"/>
      <c r="E1733" s="35" t="n"/>
      <c r="F1733" s="166" t="n"/>
      <c r="G1733" s="166">
        <f>IF(AND(E1733&lt;&gt;"",F1733&lt;&gt;""),E1733*F1733,"")</f>
      </c>
    </row>
    <row r="1734" ht="16.5" customHeight="1" s="71">
      <c r="B1734" s="169" t="n"/>
      <c r="C1734" s="35" t="n"/>
      <c r="D1734" s="35" t="n"/>
      <c r="E1734" s="35" t="n"/>
      <c r="F1734" s="166" t="n"/>
      <c r="G1734" s="166">
        <f>IF(AND(E1734&lt;&gt;"",F1734&lt;&gt;""),E1734*F1734,"")</f>
      </c>
    </row>
    <row r="1735" ht="16.5" customHeight="1" s="71">
      <c r="B1735" s="169" t="n"/>
      <c r="C1735" s="35" t="n"/>
      <c r="D1735" s="35" t="n"/>
      <c r="E1735" s="35" t="n"/>
      <c r="F1735" s="166" t="n"/>
      <c r="G1735" s="166">
        <f>IF(AND(E1735&lt;&gt;"",F1735&lt;&gt;""),E1735*F1735,"")</f>
      </c>
    </row>
    <row r="1736" ht="16.5" customHeight="1" s="71">
      <c r="B1736" s="169" t="n"/>
      <c r="C1736" s="35" t="n"/>
      <c r="D1736" s="35" t="n"/>
      <c r="E1736" s="35" t="n"/>
      <c r="F1736" s="166" t="n"/>
      <c r="G1736" s="166">
        <f>IF(AND(E1736&lt;&gt;"",F1736&lt;&gt;""),E1736*F1736,"")</f>
      </c>
    </row>
    <row r="1737" ht="16.5" customHeight="1" s="71">
      <c r="B1737" s="169" t="n"/>
      <c r="C1737" s="35" t="n"/>
      <c r="D1737" s="35" t="n"/>
      <c r="E1737" s="35" t="n"/>
      <c r="F1737" s="166" t="n"/>
      <c r="G1737" s="166">
        <f>IF(AND(E1737&lt;&gt;"",F1737&lt;&gt;""),E1737*F1737,"")</f>
      </c>
    </row>
    <row r="1738" ht="16.5" customHeight="1" s="71">
      <c r="B1738" s="169" t="n"/>
      <c r="C1738" s="35" t="n"/>
      <c r="D1738" s="35" t="n"/>
      <c r="E1738" s="35" t="n"/>
      <c r="F1738" s="166" t="n"/>
      <c r="G1738" s="166">
        <f>IF(AND(E1738&lt;&gt;"",F1738&lt;&gt;""),E1738*F1738,"")</f>
      </c>
    </row>
    <row r="1739" ht="16.5" customHeight="1" s="71">
      <c r="B1739" s="169" t="n"/>
      <c r="C1739" s="35" t="n"/>
      <c r="D1739" s="35" t="n"/>
      <c r="E1739" s="35" t="n"/>
      <c r="F1739" s="166" t="n"/>
      <c r="G1739" s="166">
        <f>IF(AND(E1739&lt;&gt;"",F1739&lt;&gt;""),E1739*F1739,"")</f>
      </c>
    </row>
    <row r="1740" ht="16.5" customHeight="1" s="71">
      <c r="B1740" s="169" t="n"/>
      <c r="C1740" s="35" t="n"/>
      <c r="D1740" s="35" t="n"/>
      <c r="E1740" s="35" t="n"/>
      <c r="F1740" s="166" t="n"/>
      <c r="G1740" s="166">
        <f>IF(AND(E1740&lt;&gt;"",F1740&lt;&gt;""),E1740*F1740,"")</f>
      </c>
    </row>
    <row r="1741" ht="16.5" customHeight="1" s="71">
      <c r="B1741" s="169" t="n"/>
      <c r="C1741" s="35" t="n"/>
      <c r="D1741" s="35" t="n"/>
      <c r="E1741" s="35" t="n"/>
      <c r="F1741" s="166" t="n"/>
      <c r="G1741" s="166">
        <f>IF(AND(E1741&lt;&gt;"",F1741&lt;&gt;""),E1741*F1741,"")</f>
      </c>
    </row>
    <row r="1742" ht="16.5" customHeight="1" s="71">
      <c r="B1742" s="169" t="n"/>
      <c r="C1742" s="35" t="n"/>
      <c r="D1742" s="35" t="n"/>
      <c r="E1742" s="35" t="n"/>
      <c r="F1742" s="166" t="n"/>
      <c r="G1742" s="166">
        <f>IF(AND(E1742&lt;&gt;"",F1742&lt;&gt;""),E1742*F1742,"")</f>
      </c>
    </row>
    <row r="1743" ht="16.5" customHeight="1" s="71">
      <c r="B1743" s="169" t="n"/>
      <c r="C1743" s="35" t="n"/>
      <c r="D1743" s="35" t="n"/>
      <c r="E1743" s="35" t="n"/>
      <c r="F1743" s="166" t="n"/>
      <c r="G1743" s="166">
        <f>IF(AND(E1743&lt;&gt;"",F1743&lt;&gt;""),E1743*F1743,"")</f>
      </c>
    </row>
    <row r="1744" ht="16.5" customHeight="1" s="71">
      <c r="B1744" s="169" t="n"/>
      <c r="C1744" s="35" t="n"/>
      <c r="D1744" s="35" t="n"/>
      <c r="E1744" s="35" t="n"/>
      <c r="F1744" s="166" t="n"/>
      <c r="G1744" s="166">
        <f>IF(AND(E1744&lt;&gt;"",F1744&lt;&gt;""),E1744*F1744,"")</f>
      </c>
    </row>
    <row r="1745" ht="16.5" customHeight="1" s="71">
      <c r="B1745" s="169" t="n"/>
      <c r="C1745" s="35" t="n"/>
      <c r="D1745" s="35" t="n"/>
      <c r="E1745" s="35" t="n"/>
      <c r="F1745" s="166" t="n"/>
      <c r="G1745" s="166">
        <f>IF(AND(E1745&lt;&gt;"",F1745&lt;&gt;""),E1745*F1745,"")</f>
      </c>
    </row>
    <row r="1746" ht="16.5" customHeight="1" s="71">
      <c r="B1746" s="169" t="n"/>
      <c r="C1746" s="35" t="n"/>
      <c r="D1746" s="35" t="n"/>
      <c r="E1746" s="35" t="n"/>
      <c r="F1746" s="166" t="n"/>
      <c r="G1746" s="166">
        <f>IF(AND(E1746&lt;&gt;"",F1746&lt;&gt;""),E1746*F1746,"")</f>
      </c>
    </row>
    <row r="1747" ht="16.5" customHeight="1" s="71">
      <c r="B1747" s="169" t="n"/>
      <c r="C1747" s="35" t="n"/>
      <c r="D1747" s="35" t="n"/>
      <c r="E1747" s="35" t="n"/>
      <c r="F1747" s="166" t="n"/>
      <c r="G1747" s="166">
        <f>IF(AND(E1747&lt;&gt;"",F1747&lt;&gt;""),E1747*F1747,"")</f>
      </c>
    </row>
    <row r="1748" ht="16.5" customHeight="1" s="71">
      <c r="B1748" s="169" t="n"/>
      <c r="C1748" s="35" t="n"/>
      <c r="D1748" s="35" t="n"/>
      <c r="E1748" s="35" t="n"/>
      <c r="F1748" s="166" t="n"/>
      <c r="G1748" s="166">
        <f>IF(AND(E1748&lt;&gt;"",F1748&lt;&gt;""),E1748*F1748,"")</f>
      </c>
    </row>
    <row r="1749" ht="16.5" customHeight="1" s="71">
      <c r="B1749" s="169" t="n"/>
      <c r="C1749" s="35" t="n"/>
      <c r="D1749" s="35" t="n"/>
      <c r="E1749" s="35" t="n"/>
      <c r="F1749" s="166" t="n"/>
      <c r="G1749" s="166">
        <f>IF(AND(E1749&lt;&gt;"",F1749&lt;&gt;""),E1749*F1749,"")</f>
      </c>
    </row>
    <row r="1750" ht="16.5" customHeight="1" s="71">
      <c r="B1750" s="169" t="n"/>
      <c r="C1750" s="35" t="n"/>
      <c r="D1750" s="35" t="n"/>
      <c r="E1750" s="35" t="n"/>
      <c r="F1750" s="166" t="n"/>
      <c r="G1750" s="166">
        <f>IF(AND(E1750&lt;&gt;"",F1750&lt;&gt;""),E1750*F1750,"")</f>
      </c>
    </row>
    <row r="1751" ht="16.5" customHeight="1" s="71">
      <c r="B1751" s="169" t="n"/>
      <c r="C1751" s="35" t="n"/>
      <c r="D1751" s="35" t="n"/>
      <c r="E1751" s="35" t="n"/>
      <c r="F1751" s="166" t="n"/>
      <c r="G1751" s="166">
        <f>IF(AND(E1751&lt;&gt;"",F1751&lt;&gt;""),E1751*F1751,"")</f>
      </c>
    </row>
    <row r="1752" ht="16.5" customHeight="1" s="71">
      <c r="B1752" s="169" t="n"/>
      <c r="C1752" s="35" t="n"/>
      <c r="D1752" s="35" t="n"/>
      <c r="E1752" s="35" t="n"/>
      <c r="F1752" s="166" t="n"/>
      <c r="G1752" s="166">
        <f>IF(AND(E1752&lt;&gt;"",F1752&lt;&gt;""),E1752*F1752,"")</f>
      </c>
    </row>
    <row r="1753" ht="16.5" customHeight="1" s="71">
      <c r="B1753" s="169" t="n"/>
      <c r="C1753" s="35" t="n"/>
      <c r="D1753" s="35" t="n"/>
      <c r="E1753" s="35" t="n"/>
      <c r="F1753" s="166" t="n"/>
      <c r="G1753" s="166">
        <f>IF(AND(E1753&lt;&gt;"",F1753&lt;&gt;""),E1753*F1753,"")</f>
      </c>
    </row>
    <row r="1754" ht="16.5" customHeight="1" s="71">
      <c r="B1754" s="169" t="n"/>
      <c r="C1754" s="35" t="n"/>
      <c r="D1754" s="35" t="n"/>
      <c r="E1754" s="35" t="n"/>
      <c r="F1754" s="166" t="n"/>
      <c r="G1754" s="166">
        <f>IF(AND(E1754&lt;&gt;"",F1754&lt;&gt;""),E1754*F1754,"")</f>
      </c>
    </row>
    <row r="1755" ht="16.5" customHeight="1" s="71">
      <c r="B1755" s="169" t="n"/>
      <c r="C1755" s="35" t="n"/>
      <c r="D1755" s="35" t="n"/>
      <c r="E1755" s="35" t="n"/>
      <c r="F1755" s="166" t="n"/>
      <c r="G1755" s="166">
        <f>IF(AND(E1755&lt;&gt;"",F1755&lt;&gt;""),E1755*F1755,"")</f>
      </c>
    </row>
    <row r="1756" ht="16.5" customHeight="1" s="71">
      <c r="B1756" s="169" t="n"/>
      <c r="C1756" s="35" t="n"/>
      <c r="D1756" s="35" t="n"/>
      <c r="E1756" s="35" t="n"/>
      <c r="F1756" s="166" t="n"/>
      <c r="G1756" s="166">
        <f>IF(AND(E1756&lt;&gt;"",F1756&lt;&gt;""),E1756*F1756,"")</f>
      </c>
    </row>
    <row r="1757" ht="16.5" customHeight="1" s="71">
      <c r="B1757" s="169" t="n"/>
      <c r="C1757" s="35" t="n"/>
      <c r="D1757" s="35" t="n"/>
      <c r="E1757" s="35" t="n"/>
      <c r="F1757" s="166" t="n"/>
      <c r="G1757" s="166">
        <f>IF(AND(E1757&lt;&gt;"",F1757&lt;&gt;""),E1757*F1757,"")</f>
      </c>
    </row>
    <row r="1758" ht="16.5" customHeight="1" s="71">
      <c r="B1758" s="169" t="n"/>
      <c r="C1758" s="35" t="n"/>
      <c r="D1758" s="35" t="n"/>
      <c r="E1758" s="35" t="n"/>
      <c r="F1758" s="166" t="n"/>
      <c r="G1758" s="166">
        <f>IF(AND(E1758&lt;&gt;"",F1758&lt;&gt;""),E1758*F1758,"")</f>
      </c>
    </row>
    <row r="1759" ht="16.5" customHeight="1" s="71">
      <c r="B1759" s="169" t="n"/>
      <c r="C1759" s="35" t="n"/>
      <c r="D1759" s="35" t="n"/>
      <c r="E1759" s="35" t="n"/>
      <c r="F1759" s="166" t="n"/>
      <c r="G1759" s="166">
        <f>IF(AND(E1759&lt;&gt;"",F1759&lt;&gt;""),E1759*F1759,"")</f>
      </c>
    </row>
    <row r="1760" ht="16.5" customHeight="1" s="71">
      <c r="B1760" s="169" t="n"/>
      <c r="C1760" s="35" t="n"/>
      <c r="D1760" s="35" t="n"/>
      <c r="E1760" s="35" t="n"/>
      <c r="F1760" s="166" t="n"/>
      <c r="G1760" s="166">
        <f>IF(AND(E1760&lt;&gt;"",F1760&lt;&gt;""),E1760*F1760,"")</f>
      </c>
    </row>
    <row r="1761" ht="16.5" customHeight="1" s="71">
      <c r="B1761" s="169" t="n"/>
      <c r="C1761" s="35" t="n"/>
      <c r="D1761" s="35" t="n"/>
      <c r="E1761" s="35" t="n"/>
      <c r="F1761" s="166" t="n"/>
      <c r="G1761" s="166">
        <f>IF(AND(E1761&lt;&gt;"",F1761&lt;&gt;""),E1761*F1761,"")</f>
      </c>
    </row>
    <row r="1762" ht="16.5" customHeight="1" s="71">
      <c r="B1762" s="169" t="n"/>
      <c r="C1762" s="35" t="n"/>
      <c r="D1762" s="35" t="n"/>
      <c r="E1762" s="35" t="n"/>
      <c r="F1762" s="166" t="n"/>
      <c r="G1762" s="166">
        <f>IF(AND(E1762&lt;&gt;"",F1762&lt;&gt;""),E1762*F1762,"")</f>
      </c>
    </row>
    <row r="1763" ht="16.5" customHeight="1" s="71">
      <c r="B1763" s="169" t="n"/>
      <c r="C1763" s="35" t="n"/>
      <c r="D1763" s="35" t="n"/>
      <c r="E1763" s="35" t="n"/>
      <c r="F1763" s="166" t="n"/>
      <c r="G1763" s="166">
        <f>IF(AND(E1763&lt;&gt;"",F1763&lt;&gt;""),E1763*F1763,"")</f>
      </c>
    </row>
    <row r="1764" ht="16.5" customHeight="1" s="71">
      <c r="B1764" s="169" t="n"/>
      <c r="C1764" s="35" t="n"/>
      <c r="D1764" s="35" t="n"/>
      <c r="E1764" s="35" t="n"/>
      <c r="F1764" s="166" t="n"/>
      <c r="G1764" s="166">
        <f>IF(AND(E1764&lt;&gt;"",F1764&lt;&gt;""),E1764*F1764,"")</f>
      </c>
    </row>
    <row r="1765" ht="16.5" customHeight="1" s="71">
      <c r="B1765" s="169" t="n"/>
      <c r="C1765" s="35" t="n"/>
      <c r="D1765" s="35" t="n"/>
      <c r="E1765" s="35" t="n"/>
      <c r="F1765" s="166" t="n"/>
      <c r="G1765" s="166">
        <f>IF(AND(E1765&lt;&gt;"",F1765&lt;&gt;""),E1765*F1765,"")</f>
      </c>
    </row>
    <row r="1766" ht="16.5" customHeight="1" s="71">
      <c r="B1766" s="169" t="n"/>
      <c r="C1766" s="35" t="n"/>
      <c r="D1766" s="35" t="n"/>
      <c r="E1766" s="35" t="n"/>
      <c r="F1766" s="166" t="n"/>
      <c r="G1766" s="166">
        <f>IF(AND(E1766&lt;&gt;"",F1766&lt;&gt;""),E1766*F1766,"")</f>
      </c>
    </row>
    <row r="1767" ht="16.5" customHeight="1" s="71">
      <c r="B1767" s="169" t="n"/>
      <c r="C1767" s="35" t="n"/>
      <c r="D1767" s="35" t="n"/>
      <c r="E1767" s="35" t="n"/>
      <c r="F1767" s="166" t="n"/>
      <c r="G1767" s="166">
        <f>IF(AND(E1767&lt;&gt;"",F1767&lt;&gt;""),E1767*F1767,"")</f>
      </c>
    </row>
    <row r="1768" ht="16.5" customHeight="1" s="71">
      <c r="B1768" s="169" t="n"/>
      <c r="C1768" s="35" t="n"/>
      <c r="D1768" s="35" t="n"/>
      <c r="E1768" s="35" t="n"/>
      <c r="F1768" s="166" t="n"/>
      <c r="G1768" s="166">
        <f>IF(AND(E1768&lt;&gt;"",F1768&lt;&gt;""),E1768*F1768,"")</f>
      </c>
    </row>
    <row r="1769" ht="16.5" customHeight="1" s="71">
      <c r="B1769" s="169" t="n"/>
      <c r="C1769" s="35" t="n"/>
      <c r="D1769" s="35" t="n"/>
      <c r="E1769" s="35" t="n"/>
      <c r="F1769" s="166" t="n"/>
      <c r="G1769" s="166">
        <f>IF(AND(E1769&lt;&gt;"",F1769&lt;&gt;""),E1769*F1769,"")</f>
      </c>
    </row>
    <row r="1770" ht="16.5" customHeight="1" s="71">
      <c r="B1770" s="169" t="n"/>
      <c r="C1770" s="35" t="n"/>
      <c r="D1770" s="35" t="n"/>
      <c r="E1770" s="35" t="n"/>
      <c r="F1770" s="166" t="n"/>
      <c r="G1770" s="166">
        <f>IF(AND(E1770&lt;&gt;"",F1770&lt;&gt;""),E1770*F1770,"")</f>
      </c>
    </row>
    <row r="1771" ht="16.5" customHeight="1" s="71">
      <c r="B1771" s="169" t="n"/>
      <c r="C1771" s="35" t="n"/>
      <c r="D1771" s="35" t="n"/>
      <c r="E1771" s="35" t="n"/>
      <c r="F1771" s="166" t="n"/>
      <c r="G1771" s="166">
        <f>IF(AND(E1771&lt;&gt;"",F1771&lt;&gt;""),E1771*F1771,"")</f>
      </c>
    </row>
    <row r="1772" ht="16.5" customHeight="1" s="71">
      <c r="B1772" s="169" t="n"/>
      <c r="C1772" s="35" t="n"/>
      <c r="D1772" s="35" t="n"/>
      <c r="E1772" s="35" t="n"/>
      <c r="F1772" s="166" t="n"/>
      <c r="G1772" s="166">
        <f>IF(AND(E1772&lt;&gt;"",F1772&lt;&gt;""),E1772*F1772,"")</f>
      </c>
    </row>
    <row r="1773" ht="16.5" customHeight="1" s="71">
      <c r="B1773" s="169" t="n"/>
      <c r="C1773" s="35" t="n"/>
      <c r="D1773" s="35" t="n"/>
      <c r="E1773" s="35" t="n"/>
      <c r="F1773" s="166" t="n"/>
      <c r="G1773" s="166">
        <f>IF(AND(E1773&lt;&gt;"",F1773&lt;&gt;""),E1773*F1773,"")</f>
      </c>
    </row>
    <row r="1774" ht="16.5" customHeight="1" s="71">
      <c r="B1774" s="169" t="n"/>
      <c r="C1774" s="35" t="n"/>
      <c r="D1774" s="35" t="n"/>
      <c r="E1774" s="35" t="n"/>
      <c r="F1774" s="166" t="n"/>
      <c r="G1774" s="166">
        <f>IF(AND(E1774&lt;&gt;"",F1774&lt;&gt;""),E1774*F1774,"")</f>
      </c>
    </row>
    <row r="1775" ht="16.5" customHeight="1" s="71">
      <c r="B1775" s="169" t="n"/>
      <c r="C1775" s="35" t="n"/>
      <c r="D1775" s="35" t="n"/>
      <c r="E1775" s="35" t="n"/>
      <c r="F1775" s="166" t="n"/>
      <c r="G1775" s="166">
        <f>IF(AND(E1775&lt;&gt;"",F1775&lt;&gt;""),E1775*F1775,"")</f>
      </c>
    </row>
    <row r="1776" ht="16.5" customHeight="1" s="71">
      <c r="B1776" s="169" t="n"/>
      <c r="C1776" s="35" t="n"/>
      <c r="D1776" s="35" t="n"/>
      <c r="E1776" s="35" t="n"/>
      <c r="F1776" s="166" t="n"/>
      <c r="G1776" s="166">
        <f>IF(AND(E1776&lt;&gt;"",F1776&lt;&gt;""),E1776*F1776,"")</f>
      </c>
    </row>
    <row r="1777" ht="16.5" customHeight="1" s="71">
      <c r="B1777" s="169" t="n"/>
      <c r="C1777" s="35" t="n"/>
      <c r="D1777" s="35" t="n"/>
      <c r="E1777" s="35" t="n"/>
      <c r="F1777" s="166" t="n"/>
      <c r="G1777" s="166">
        <f>IF(AND(E1777&lt;&gt;"",F1777&lt;&gt;""),E1777*F1777,"")</f>
      </c>
    </row>
    <row r="1778" ht="16.5" customHeight="1" s="71">
      <c r="B1778" s="169" t="n"/>
      <c r="C1778" s="35" t="n"/>
      <c r="D1778" s="35" t="n"/>
      <c r="E1778" s="35" t="n"/>
      <c r="F1778" s="166" t="n"/>
      <c r="G1778" s="166">
        <f>IF(AND(E1778&lt;&gt;"",F1778&lt;&gt;""),E1778*F1778,"")</f>
      </c>
    </row>
    <row r="1779" ht="16.5" customHeight="1" s="71">
      <c r="B1779" s="169" t="n"/>
      <c r="C1779" s="35" t="n"/>
      <c r="D1779" s="35" t="n"/>
      <c r="E1779" s="35" t="n"/>
      <c r="F1779" s="166" t="n"/>
      <c r="G1779" s="166">
        <f>IF(AND(E1779&lt;&gt;"",F1779&lt;&gt;""),E1779*F1779,"")</f>
      </c>
    </row>
    <row r="1780" ht="16.5" customHeight="1" s="71">
      <c r="B1780" s="169" t="n"/>
      <c r="C1780" s="35" t="n"/>
      <c r="D1780" s="35" t="n"/>
      <c r="E1780" s="35" t="n"/>
      <c r="F1780" s="166" t="n"/>
      <c r="G1780" s="166">
        <f>IF(AND(E1780&lt;&gt;"",F1780&lt;&gt;""),E1780*F1780,"")</f>
      </c>
    </row>
    <row r="1781" ht="16.5" customHeight="1" s="71">
      <c r="B1781" s="169" t="n"/>
      <c r="C1781" s="35" t="n"/>
      <c r="D1781" s="35" t="n"/>
      <c r="E1781" s="35" t="n"/>
      <c r="F1781" s="166" t="n"/>
      <c r="G1781" s="166">
        <f>IF(AND(E1781&lt;&gt;"",F1781&lt;&gt;""),E1781*F1781,"")</f>
      </c>
    </row>
    <row r="1782" ht="16.5" customHeight="1" s="71">
      <c r="B1782" s="169" t="n"/>
      <c r="C1782" s="35" t="n"/>
      <c r="D1782" s="35" t="n"/>
      <c r="E1782" s="35" t="n"/>
      <c r="F1782" s="166" t="n"/>
      <c r="G1782" s="166">
        <f>IF(AND(E1782&lt;&gt;"",F1782&lt;&gt;""),E1782*F1782,"")</f>
      </c>
    </row>
    <row r="1783" ht="16.5" customHeight="1" s="71">
      <c r="B1783" s="169" t="n"/>
      <c r="C1783" s="35" t="n"/>
      <c r="D1783" s="35" t="n"/>
      <c r="E1783" s="35" t="n"/>
      <c r="F1783" s="166" t="n"/>
      <c r="G1783" s="166">
        <f>IF(AND(E1783&lt;&gt;"",F1783&lt;&gt;""),E1783*F1783,"")</f>
      </c>
    </row>
    <row r="1784" ht="16.5" customHeight="1" s="71">
      <c r="B1784" s="169" t="n"/>
      <c r="C1784" s="35" t="n"/>
      <c r="D1784" s="35" t="n"/>
      <c r="E1784" s="35" t="n"/>
      <c r="F1784" s="166" t="n"/>
      <c r="G1784" s="166">
        <f>IF(AND(E1784&lt;&gt;"",F1784&lt;&gt;""),E1784*F1784,"")</f>
      </c>
    </row>
    <row r="1785" ht="16.5" customHeight="1" s="71">
      <c r="B1785" s="169" t="n"/>
      <c r="C1785" s="35" t="n"/>
      <c r="D1785" s="35" t="n"/>
      <c r="E1785" s="35" t="n"/>
      <c r="F1785" s="166" t="n"/>
      <c r="G1785" s="166">
        <f>IF(AND(E1785&lt;&gt;"",F1785&lt;&gt;""),E1785*F1785,"")</f>
      </c>
    </row>
    <row r="1786" ht="16.5" customHeight="1" s="71">
      <c r="B1786" s="169" t="n"/>
      <c r="C1786" s="35" t="n"/>
      <c r="D1786" s="35" t="n"/>
      <c r="E1786" s="35" t="n"/>
      <c r="F1786" s="166" t="n"/>
      <c r="G1786" s="166">
        <f>IF(AND(E1786&lt;&gt;"",F1786&lt;&gt;""),E1786*F1786,"")</f>
      </c>
    </row>
    <row r="1787" ht="16.5" customHeight="1" s="71">
      <c r="B1787" s="169" t="n"/>
      <c r="C1787" s="35" t="n"/>
      <c r="D1787" s="35" t="n"/>
      <c r="E1787" s="35" t="n"/>
      <c r="F1787" s="166" t="n"/>
      <c r="G1787" s="166">
        <f>IF(AND(E1787&lt;&gt;"",F1787&lt;&gt;""),E1787*F1787,"")</f>
      </c>
    </row>
    <row r="1788" ht="16.5" customHeight="1" s="71">
      <c r="B1788" s="169" t="n"/>
      <c r="C1788" s="35" t="n"/>
      <c r="D1788" s="35" t="n"/>
      <c r="E1788" s="35" t="n"/>
      <c r="F1788" s="166" t="n"/>
      <c r="G1788" s="166">
        <f>IF(AND(E1788&lt;&gt;"",F1788&lt;&gt;""),E1788*F1788,"")</f>
      </c>
    </row>
    <row r="1789" ht="16.5" customHeight="1" s="71">
      <c r="B1789" s="169" t="n"/>
      <c r="C1789" s="35" t="n"/>
      <c r="D1789" s="35" t="n"/>
      <c r="E1789" s="35" t="n"/>
      <c r="F1789" s="166" t="n"/>
      <c r="G1789" s="166">
        <f>IF(AND(E1789&lt;&gt;"",F1789&lt;&gt;""),E1789*F1789,"")</f>
      </c>
    </row>
    <row r="1790" ht="16.5" customHeight="1" s="71">
      <c r="B1790" s="169" t="n"/>
      <c r="C1790" s="35" t="n"/>
      <c r="D1790" s="35" t="n"/>
      <c r="E1790" s="35" t="n"/>
      <c r="F1790" s="166" t="n"/>
      <c r="G1790" s="166">
        <f>IF(AND(E1790&lt;&gt;"",F1790&lt;&gt;""),E1790*F1790,"")</f>
      </c>
    </row>
    <row r="1791" ht="16.5" customHeight="1" s="71">
      <c r="B1791" s="169" t="n"/>
      <c r="C1791" s="35" t="n"/>
      <c r="D1791" s="35" t="n"/>
      <c r="E1791" s="35" t="n"/>
      <c r="F1791" s="166" t="n"/>
      <c r="G1791" s="166">
        <f>IF(AND(E1791&lt;&gt;"",F1791&lt;&gt;""),E1791*F1791,"")</f>
      </c>
    </row>
    <row r="1792" ht="16.5" customHeight="1" s="71">
      <c r="B1792" s="169" t="n"/>
      <c r="C1792" s="35" t="n"/>
      <c r="D1792" s="35" t="n"/>
      <c r="E1792" s="35" t="n"/>
      <c r="F1792" s="166" t="n"/>
      <c r="G1792" s="166">
        <f>IF(AND(E1792&lt;&gt;"",F1792&lt;&gt;""),E1792*F1792,"")</f>
      </c>
    </row>
    <row r="1793" ht="16.5" customHeight="1" s="71">
      <c r="B1793" s="169" t="n"/>
      <c r="C1793" s="35" t="n"/>
      <c r="D1793" s="35" t="n"/>
      <c r="E1793" s="35" t="n"/>
      <c r="F1793" s="166" t="n"/>
      <c r="G1793" s="166">
        <f>IF(AND(E1793&lt;&gt;"",F1793&lt;&gt;""),E1793*F1793,"")</f>
      </c>
    </row>
    <row r="1794" ht="16.5" customHeight="1" s="71">
      <c r="B1794" s="169" t="n"/>
      <c r="C1794" s="35" t="n"/>
      <c r="D1794" s="35" t="n"/>
      <c r="E1794" s="35" t="n"/>
      <c r="F1794" s="166" t="n"/>
      <c r="G1794" s="166">
        <f>IF(AND(E1794&lt;&gt;"",F1794&lt;&gt;""),E1794*F1794,"")</f>
      </c>
    </row>
    <row r="1795" ht="16.5" customHeight="1" s="71">
      <c r="B1795" s="169" t="n"/>
      <c r="C1795" s="35" t="n"/>
      <c r="D1795" s="35" t="n"/>
      <c r="E1795" s="35" t="n"/>
      <c r="F1795" s="166" t="n"/>
      <c r="G1795" s="166">
        <f>IF(AND(E1795&lt;&gt;"",F1795&lt;&gt;""),E1795*F1795,"")</f>
      </c>
    </row>
    <row r="1796" ht="16.5" customHeight="1" s="71">
      <c r="B1796" s="169" t="n"/>
      <c r="C1796" s="35" t="n"/>
      <c r="D1796" s="35" t="n"/>
      <c r="E1796" s="35" t="n"/>
      <c r="F1796" s="166" t="n"/>
      <c r="G1796" s="166">
        <f>IF(AND(E1796&lt;&gt;"",F1796&lt;&gt;""),E1796*F1796,"")</f>
      </c>
    </row>
    <row r="1797" ht="16.5" customHeight="1" s="71">
      <c r="B1797" s="169" t="n"/>
      <c r="C1797" s="35" t="n"/>
      <c r="D1797" s="35" t="n"/>
      <c r="E1797" s="35" t="n"/>
      <c r="F1797" s="166" t="n"/>
      <c r="G1797" s="166">
        <f>IF(AND(E1797&lt;&gt;"",F1797&lt;&gt;""),E1797*F1797,"")</f>
      </c>
    </row>
    <row r="1798" ht="16.5" customHeight="1" s="71">
      <c r="B1798" s="169" t="n"/>
      <c r="C1798" s="35" t="n"/>
      <c r="D1798" s="35" t="n"/>
      <c r="E1798" s="35" t="n"/>
      <c r="F1798" s="166" t="n"/>
      <c r="G1798" s="166">
        <f>IF(AND(E1798&lt;&gt;"",F1798&lt;&gt;""),E1798*F1798,"")</f>
      </c>
    </row>
    <row r="1799" ht="16.5" customHeight="1" s="71">
      <c r="B1799" s="169" t="n"/>
      <c r="C1799" s="35" t="n"/>
      <c r="D1799" s="35" t="n"/>
      <c r="E1799" s="35" t="n"/>
      <c r="F1799" s="166" t="n"/>
      <c r="G1799" s="166">
        <f>IF(AND(E1799&lt;&gt;"",F1799&lt;&gt;""),E1799*F1799,"")</f>
      </c>
    </row>
    <row r="1800" ht="16.5" customHeight="1" s="71">
      <c r="B1800" s="169" t="n"/>
      <c r="C1800" s="35" t="n"/>
      <c r="D1800" s="35" t="n"/>
      <c r="E1800" s="35" t="n"/>
      <c r="F1800" s="166" t="n"/>
      <c r="G1800" s="166">
        <f>IF(AND(E1800&lt;&gt;"",F1800&lt;&gt;""),E1800*F1800,"")</f>
      </c>
    </row>
    <row r="1801" ht="16.5" customHeight="1" s="71">
      <c r="B1801" s="169" t="n"/>
      <c r="C1801" s="35" t="n"/>
      <c r="D1801" s="35" t="n"/>
      <c r="E1801" s="35" t="n"/>
      <c r="F1801" s="166" t="n"/>
      <c r="G1801" s="166">
        <f>IF(AND(E1801&lt;&gt;"",F1801&lt;&gt;""),E1801*F1801,"")</f>
      </c>
    </row>
    <row r="1802" ht="16.5" customHeight="1" s="71">
      <c r="B1802" s="169" t="n"/>
      <c r="C1802" s="35" t="n"/>
      <c r="D1802" s="35" t="n"/>
      <c r="E1802" s="35" t="n"/>
      <c r="F1802" s="166" t="n"/>
      <c r="G1802" s="166">
        <f>IF(AND(E1802&lt;&gt;"",F1802&lt;&gt;""),E1802*F1802,"")</f>
      </c>
    </row>
    <row r="1803" ht="16.5" customHeight="1" s="71">
      <c r="B1803" s="169" t="n"/>
      <c r="C1803" s="35" t="n"/>
      <c r="D1803" s="35" t="n"/>
      <c r="E1803" s="35" t="n"/>
      <c r="F1803" s="166" t="n"/>
      <c r="G1803" s="166">
        <f>IF(AND(E1803&lt;&gt;"",F1803&lt;&gt;""),E1803*F1803,"")</f>
      </c>
    </row>
    <row r="1804" ht="16.5" customHeight="1" s="71">
      <c r="B1804" s="169" t="n"/>
      <c r="C1804" s="35" t="n"/>
      <c r="D1804" s="35" t="n"/>
      <c r="E1804" s="35" t="n"/>
      <c r="F1804" s="166" t="n"/>
      <c r="G1804" s="166">
        <f>IF(AND(E1804&lt;&gt;"",F1804&lt;&gt;""),E1804*F1804,"")</f>
      </c>
    </row>
    <row r="1805" ht="16.5" customHeight="1" s="71">
      <c r="B1805" s="169" t="n"/>
      <c r="C1805" s="35" t="n"/>
      <c r="D1805" s="35" t="n"/>
      <c r="E1805" s="35" t="n"/>
      <c r="F1805" s="166" t="n"/>
      <c r="G1805" s="166">
        <f>IF(AND(E1805&lt;&gt;"",F1805&lt;&gt;""),E1805*F1805,"")</f>
      </c>
    </row>
    <row r="1806" ht="16.5" customHeight="1" s="71">
      <c r="B1806" s="169" t="n"/>
      <c r="C1806" s="35" t="n"/>
      <c r="D1806" s="35" t="n"/>
      <c r="E1806" s="35" t="n"/>
      <c r="F1806" s="166" t="n"/>
      <c r="G1806" s="166">
        <f>IF(AND(E1806&lt;&gt;"",F1806&lt;&gt;""),E1806*F1806,"")</f>
      </c>
    </row>
    <row r="1807" ht="16.5" customHeight="1" s="71">
      <c r="B1807" s="169" t="n"/>
      <c r="C1807" s="35" t="n"/>
      <c r="D1807" s="35" t="n"/>
      <c r="E1807" s="35" t="n"/>
      <c r="F1807" s="166" t="n"/>
      <c r="G1807" s="166">
        <f>IF(AND(E1807&lt;&gt;"",F1807&lt;&gt;""),E1807*F1807,"")</f>
      </c>
    </row>
    <row r="1808" ht="16.5" customHeight="1" s="71">
      <c r="B1808" s="169" t="n"/>
      <c r="C1808" s="35" t="n"/>
      <c r="D1808" s="35" t="n"/>
      <c r="E1808" s="35" t="n"/>
      <c r="F1808" s="166" t="n"/>
      <c r="G1808" s="166">
        <f>IF(AND(E1808&lt;&gt;"",F1808&lt;&gt;""),E1808*F1808,"")</f>
      </c>
    </row>
    <row r="1809" ht="16.5" customHeight="1" s="71">
      <c r="B1809" s="169" t="n"/>
      <c r="C1809" s="35" t="n"/>
      <c r="D1809" s="35" t="n"/>
      <c r="E1809" s="35" t="n"/>
      <c r="F1809" s="166" t="n"/>
      <c r="G1809" s="166">
        <f>IF(AND(E1809&lt;&gt;"",F1809&lt;&gt;""),E1809*F1809,"")</f>
      </c>
    </row>
    <row r="1810" ht="16.5" customHeight="1" s="71">
      <c r="B1810" s="169" t="n"/>
      <c r="C1810" s="35" t="n"/>
      <c r="D1810" s="35" t="n"/>
      <c r="E1810" s="35" t="n"/>
      <c r="F1810" s="166" t="n"/>
      <c r="G1810" s="166">
        <f>IF(AND(E1810&lt;&gt;"",F1810&lt;&gt;""),E1810*F1810,"")</f>
      </c>
    </row>
    <row r="1811" ht="16.5" customHeight="1" s="71">
      <c r="B1811" s="169" t="n"/>
      <c r="C1811" s="35" t="n"/>
      <c r="D1811" s="35" t="n"/>
      <c r="E1811" s="35" t="n"/>
      <c r="F1811" s="166" t="n"/>
      <c r="G1811" s="166">
        <f>IF(AND(E1811&lt;&gt;"",F1811&lt;&gt;""),E1811*F1811,"")</f>
      </c>
    </row>
    <row r="1812" ht="16.5" customHeight="1" s="71">
      <c r="B1812" s="169" t="n"/>
      <c r="C1812" s="35" t="n"/>
      <c r="D1812" s="35" t="n"/>
      <c r="E1812" s="35" t="n"/>
      <c r="F1812" s="166" t="n"/>
      <c r="G1812" s="166">
        <f>IF(AND(E1812&lt;&gt;"",F1812&lt;&gt;""),E1812*F1812,"")</f>
      </c>
    </row>
    <row r="1813" ht="16.5" customHeight="1" s="71">
      <c r="B1813" s="169" t="n"/>
      <c r="C1813" s="35" t="n"/>
      <c r="D1813" s="35" t="n"/>
      <c r="E1813" s="35" t="n"/>
      <c r="F1813" s="166" t="n"/>
      <c r="G1813" s="166">
        <f>IF(AND(E1813&lt;&gt;"",F1813&lt;&gt;""),E1813*F1813,"")</f>
      </c>
    </row>
    <row r="1814" ht="16.5" customHeight="1" s="71">
      <c r="B1814" s="169" t="n"/>
      <c r="C1814" s="35" t="n"/>
      <c r="D1814" s="35" t="n"/>
      <c r="E1814" s="35" t="n"/>
      <c r="F1814" s="166" t="n"/>
      <c r="G1814" s="166">
        <f>IF(AND(E1814&lt;&gt;"",F1814&lt;&gt;""),E1814*F1814,"")</f>
      </c>
    </row>
    <row r="1815" ht="16.5" customHeight="1" s="71">
      <c r="B1815" s="169" t="n"/>
      <c r="C1815" s="35" t="n"/>
      <c r="D1815" s="35" t="n"/>
      <c r="E1815" s="35" t="n"/>
      <c r="F1815" s="166" t="n"/>
      <c r="G1815" s="166">
        <f>IF(AND(E1815&lt;&gt;"",F1815&lt;&gt;""),E1815*F1815,"")</f>
      </c>
    </row>
    <row r="1816" ht="16.5" customHeight="1" s="71">
      <c r="B1816" s="169" t="n"/>
      <c r="C1816" s="35" t="n"/>
      <c r="D1816" s="35" t="n"/>
      <c r="E1816" s="35" t="n"/>
      <c r="F1816" s="166" t="n"/>
      <c r="G1816" s="166">
        <f>IF(AND(E1816&lt;&gt;"",F1816&lt;&gt;""),E1816*F1816,"")</f>
      </c>
    </row>
    <row r="1817" ht="16.5" customHeight="1" s="71">
      <c r="B1817" s="169" t="n"/>
      <c r="C1817" s="35" t="n"/>
      <c r="D1817" s="35" t="n"/>
      <c r="E1817" s="35" t="n"/>
      <c r="F1817" s="166" t="n"/>
      <c r="G1817" s="166">
        <f>IF(AND(E1817&lt;&gt;"",F1817&lt;&gt;""),E1817*F1817,"")</f>
      </c>
    </row>
    <row r="1818" ht="16.5" customHeight="1" s="71">
      <c r="B1818" s="169" t="n"/>
      <c r="C1818" s="35" t="n"/>
      <c r="D1818" s="35" t="n"/>
      <c r="E1818" s="35" t="n"/>
      <c r="F1818" s="166" t="n"/>
      <c r="G1818" s="166">
        <f>IF(AND(E1818&lt;&gt;"",F1818&lt;&gt;""),E1818*F1818,"")</f>
      </c>
    </row>
    <row r="1819" ht="16.5" customHeight="1" s="71">
      <c r="B1819" s="169" t="n"/>
      <c r="C1819" s="35" t="n"/>
      <c r="D1819" s="35" t="n"/>
      <c r="E1819" s="35" t="n"/>
      <c r="F1819" s="166" t="n"/>
      <c r="G1819" s="166">
        <f>IF(AND(E1819&lt;&gt;"",F1819&lt;&gt;""),E1819*F1819,"")</f>
      </c>
    </row>
    <row r="1820" ht="16.5" customHeight="1" s="71">
      <c r="B1820" s="169" t="n"/>
      <c r="C1820" s="35" t="n"/>
      <c r="D1820" s="35" t="n"/>
      <c r="E1820" s="35" t="n"/>
      <c r="F1820" s="166" t="n"/>
      <c r="G1820" s="166">
        <f>IF(AND(E1820&lt;&gt;"",F1820&lt;&gt;""),E1820*F1820,"")</f>
      </c>
    </row>
    <row r="1821" ht="16.5" customHeight="1" s="71">
      <c r="B1821" s="169" t="n"/>
      <c r="C1821" s="35" t="n"/>
      <c r="D1821" s="35" t="n"/>
      <c r="E1821" s="35" t="n"/>
      <c r="F1821" s="166" t="n"/>
      <c r="G1821" s="166">
        <f>IF(AND(E1821&lt;&gt;"",F1821&lt;&gt;""),E1821*F1821,"")</f>
      </c>
    </row>
    <row r="1822" ht="16.5" customHeight="1" s="71">
      <c r="B1822" s="169" t="n"/>
      <c r="C1822" s="35" t="n"/>
      <c r="D1822" s="35" t="n"/>
      <c r="E1822" s="35" t="n"/>
      <c r="F1822" s="166" t="n"/>
      <c r="G1822" s="166">
        <f>IF(AND(E1822&lt;&gt;"",F1822&lt;&gt;""),E1822*F1822,"")</f>
      </c>
    </row>
    <row r="1823" ht="16.5" customHeight="1" s="71">
      <c r="B1823" s="169" t="n"/>
      <c r="C1823" s="35" t="n"/>
      <c r="D1823" s="35" t="n"/>
      <c r="E1823" s="35" t="n"/>
      <c r="F1823" s="166" t="n"/>
      <c r="G1823" s="166">
        <f>IF(AND(E1823&lt;&gt;"",F1823&lt;&gt;""),E1823*F1823,"")</f>
      </c>
    </row>
    <row r="1824" ht="16.5" customHeight="1" s="71">
      <c r="B1824" s="169" t="n"/>
      <c r="C1824" s="35" t="n"/>
      <c r="D1824" s="35" t="n"/>
      <c r="E1824" s="35" t="n"/>
      <c r="F1824" s="166" t="n"/>
      <c r="G1824" s="166">
        <f>IF(AND(E1824&lt;&gt;"",F1824&lt;&gt;""),E1824*F1824,"")</f>
      </c>
    </row>
    <row r="1825" ht="16.5" customHeight="1" s="71">
      <c r="B1825" s="169" t="n"/>
      <c r="C1825" s="35" t="n"/>
      <c r="D1825" s="35" t="n"/>
      <c r="E1825" s="35" t="n"/>
      <c r="F1825" s="166" t="n"/>
      <c r="G1825" s="166">
        <f>IF(AND(E1825&lt;&gt;"",F1825&lt;&gt;""),E1825*F1825,"")</f>
      </c>
    </row>
    <row r="1826" ht="16.5" customHeight="1" s="71">
      <c r="B1826" s="169" t="n"/>
      <c r="C1826" s="35" t="n"/>
      <c r="D1826" s="35" t="n"/>
      <c r="E1826" s="35" t="n"/>
      <c r="F1826" s="166" t="n"/>
      <c r="G1826" s="166">
        <f>IF(AND(E1826&lt;&gt;"",F1826&lt;&gt;""),E1826*F1826,"")</f>
      </c>
    </row>
    <row r="1827" ht="16.5" customHeight="1" s="71">
      <c r="B1827" s="169" t="n"/>
      <c r="C1827" s="35" t="n"/>
      <c r="D1827" s="35" t="n"/>
      <c r="E1827" s="35" t="n"/>
      <c r="F1827" s="166" t="n"/>
      <c r="G1827" s="166">
        <f>IF(AND(E1827&lt;&gt;"",F1827&lt;&gt;""),E1827*F1827,"")</f>
      </c>
    </row>
    <row r="1828" ht="16.5" customHeight="1" s="71">
      <c r="B1828" s="169" t="n"/>
      <c r="C1828" s="35" t="n"/>
      <c r="D1828" s="35" t="n"/>
      <c r="E1828" s="35" t="n"/>
      <c r="F1828" s="166" t="n"/>
      <c r="G1828" s="166">
        <f>IF(AND(E1828&lt;&gt;"",F1828&lt;&gt;""),E1828*F1828,"")</f>
      </c>
    </row>
    <row r="1829" ht="16.5" customHeight="1" s="71">
      <c r="B1829" s="169" t="n"/>
      <c r="C1829" s="35" t="n"/>
      <c r="D1829" s="35" t="n"/>
      <c r="E1829" s="35" t="n"/>
      <c r="F1829" s="166" t="n"/>
      <c r="G1829" s="166">
        <f>IF(AND(E1829&lt;&gt;"",F1829&lt;&gt;""),E1829*F1829,"")</f>
      </c>
    </row>
    <row r="1830" ht="16.5" customHeight="1" s="71">
      <c r="B1830" s="169" t="n"/>
      <c r="C1830" s="35" t="n"/>
      <c r="D1830" s="35" t="n"/>
      <c r="E1830" s="35" t="n"/>
      <c r="F1830" s="166" t="n"/>
      <c r="G1830" s="166">
        <f>IF(AND(E1830&lt;&gt;"",F1830&lt;&gt;""),E1830*F1830,"")</f>
      </c>
    </row>
    <row r="1831" ht="16.5" customHeight="1" s="71">
      <c r="B1831" s="169" t="n"/>
      <c r="C1831" s="35" t="n"/>
      <c r="D1831" s="35" t="n"/>
      <c r="E1831" s="35" t="n"/>
      <c r="F1831" s="166" t="n"/>
      <c r="G1831" s="166">
        <f>IF(AND(E1831&lt;&gt;"",F1831&lt;&gt;""),E1831*F1831,"")</f>
      </c>
    </row>
    <row r="1832" ht="16.5" customHeight="1" s="71">
      <c r="B1832" s="169" t="n"/>
      <c r="C1832" s="35" t="n"/>
      <c r="D1832" s="35" t="n"/>
      <c r="E1832" s="35" t="n"/>
      <c r="F1832" s="166" t="n"/>
      <c r="G1832" s="166">
        <f>IF(AND(E1832&lt;&gt;"",F1832&lt;&gt;""),E1832*F1832,"")</f>
      </c>
    </row>
    <row r="1833" ht="16.5" customHeight="1" s="71">
      <c r="B1833" s="169" t="n"/>
      <c r="C1833" s="35" t="n"/>
      <c r="D1833" s="35" t="n"/>
      <c r="E1833" s="35" t="n"/>
      <c r="F1833" s="166" t="n"/>
      <c r="G1833" s="166">
        <f>IF(AND(E1833&lt;&gt;"",F1833&lt;&gt;""),E1833*F1833,"")</f>
      </c>
    </row>
    <row r="1834" ht="16.5" customHeight="1" s="71">
      <c r="B1834" s="169" t="n"/>
      <c r="C1834" s="35" t="n"/>
      <c r="D1834" s="35" t="n"/>
      <c r="E1834" s="35" t="n"/>
      <c r="F1834" s="166" t="n"/>
      <c r="G1834" s="166">
        <f>IF(AND(E1834&lt;&gt;"",F1834&lt;&gt;""),E1834*F1834,"")</f>
      </c>
    </row>
    <row r="1835" ht="16.5" customHeight="1" s="71">
      <c r="B1835" s="169" t="n"/>
      <c r="C1835" s="35" t="n"/>
      <c r="D1835" s="35" t="n"/>
      <c r="E1835" s="35" t="n"/>
      <c r="F1835" s="166" t="n"/>
      <c r="G1835" s="166">
        <f>IF(AND(E1835&lt;&gt;"",F1835&lt;&gt;""),E1835*F1835,"")</f>
      </c>
    </row>
    <row r="1836" ht="16.5" customHeight="1" s="71">
      <c r="B1836" s="169" t="n"/>
      <c r="C1836" s="35" t="n"/>
      <c r="D1836" s="35" t="n"/>
      <c r="E1836" s="35" t="n"/>
      <c r="F1836" s="166" t="n"/>
      <c r="G1836" s="166">
        <f>IF(AND(E1836&lt;&gt;"",F1836&lt;&gt;""),E1836*F1836,"")</f>
      </c>
    </row>
    <row r="1837" ht="16.5" customHeight="1" s="71">
      <c r="B1837" s="169" t="n"/>
      <c r="C1837" s="35" t="n"/>
      <c r="D1837" s="35" t="n"/>
      <c r="E1837" s="35" t="n"/>
      <c r="F1837" s="166" t="n"/>
      <c r="G1837" s="166">
        <f>IF(AND(E1837&lt;&gt;"",F1837&lt;&gt;""),E1837*F1837,"")</f>
      </c>
    </row>
    <row r="1838" ht="16.5" customHeight="1" s="71">
      <c r="B1838" s="169" t="n"/>
      <c r="C1838" s="35" t="n"/>
      <c r="D1838" s="35" t="n"/>
      <c r="E1838" s="35" t="n"/>
      <c r="F1838" s="166" t="n"/>
      <c r="G1838" s="166">
        <f>IF(AND(E1838&lt;&gt;"",F1838&lt;&gt;""),E1838*F1838,"")</f>
      </c>
    </row>
    <row r="1839" ht="16.5" customHeight="1" s="71">
      <c r="B1839" s="169" t="n"/>
      <c r="C1839" s="35" t="n"/>
      <c r="D1839" s="35" t="n"/>
      <c r="E1839" s="35" t="n"/>
      <c r="F1839" s="166" t="n"/>
      <c r="G1839" s="166">
        <f>IF(AND(E1839&lt;&gt;"",F1839&lt;&gt;""),E1839*F1839,"")</f>
      </c>
    </row>
    <row r="1840" ht="16.5" customHeight="1" s="71">
      <c r="B1840" s="169" t="n"/>
      <c r="C1840" s="35" t="n"/>
      <c r="D1840" s="35" t="n"/>
      <c r="E1840" s="35" t="n"/>
      <c r="F1840" s="166" t="n"/>
      <c r="G1840" s="166">
        <f>IF(AND(E1840&lt;&gt;"",F1840&lt;&gt;""),E1840*F1840,"")</f>
      </c>
    </row>
    <row r="1841" ht="16.5" customHeight="1" s="71">
      <c r="B1841" s="169" t="n"/>
      <c r="C1841" s="35" t="n"/>
      <c r="D1841" s="35" t="n"/>
      <c r="E1841" s="35" t="n"/>
      <c r="F1841" s="166" t="n"/>
      <c r="G1841" s="166">
        <f>IF(AND(E1841&lt;&gt;"",F1841&lt;&gt;""),E1841*F1841,"")</f>
      </c>
    </row>
    <row r="1842" ht="16.5" customHeight="1" s="71">
      <c r="B1842" s="169" t="n"/>
      <c r="C1842" s="35" t="n"/>
      <c r="D1842" s="35" t="n"/>
      <c r="E1842" s="35" t="n"/>
      <c r="F1842" s="166" t="n"/>
      <c r="G1842" s="166">
        <f>IF(AND(E1842&lt;&gt;"",F1842&lt;&gt;""),E1842*F1842,"")</f>
      </c>
    </row>
    <row r="1843" ht="16.5" customHeight="1" s="71">
      <c r="B1843" s="169" t="n"/>
      <c r="C1843" s="35" t="n"/>
      <c r="D1843" s="35" t="n"/>
      <c r="E1843" s="35" t="n"/>
      <c r="F1843" s="166" t="n"/>
      <c r="G1843" s="166">
        <f>IF(AND(E1843&lt;&gt;"",F1843&lt;&gt;""),E1843*F1843,"")</f>
      </c>
    </row>
    <row r="1844" ht="16.5" customHeight="1" s="71">
      <c r="B1844" s="169" t="n"/>
      <c r="C1844" s="35" t="n"/>
      <c r="D1844" s="35" t="n"/>
      <c r="E1844" s="35" t="n"/>
      <c r="F1844" s="166" t="n"/>
      <c r="G1844" s="166">
        <f>IF(AND(E1844&lt;&gt;"",F1844&lt;&gt;""),E1844*F1844,"")</f>
      </c>
    </row>
    <row r="1845" ht="16.5" customHeight="1" s="71">
      <c r="B1845" s="169" t="n"/>
      <c r="C1845" s="35" t="n"/>
      <c r="D1845" s="35" t="n"/>
      <c r="E1845" s="35" t="n"/>
      <c r="F1845" s="166" t="n"/>
      <c r="G1845" s="166">
        <f>IF(AND(E1845&lt;&gt;"",F1845&lt;&gt;""),E1845*F1845,"")</f>
      </c>
    </row>
    <row r="1846" ht="16.5" customHeight="1" s="71">
      <c r="B1846" s="169" t="n"/>
      <c r="C1846" s="35" t="n"/>
      <c r="D1846" s="35" t="n"/>
      <c r="E1846" s="35" t="n"/>
      <c r="F1846" s="166" t="n"/>
      <c r="G1846" s="166">
        <f>IF(AND(E1846&lt;&gt;"",F1846&lt;&gt;""),E1846*F1846,"")</f>
      </c>
    </row>
    <row r="1847" ht="16.5" customHeight="1" s="71">
      <c r="B1847" s="169" t="n"/>
      <c r="C1847" s="35" t="n"/>
      <c r="D1847" s="35" t="n"/>
      <c r="E1847" s="35" t="n"/>
      <c r="F1847" s="166" t="n"/>
      <c r="G1847" s="166">
        <f>IF(AND(E1847&lt;&gt;"",F1847&lt;&gt;""),E1847*F1847,"")</f>
      </c>
    </row>
    <row r="1848" ht="16.5" customHeight="1" s="71">
      <c r="B1848" s="169" t="n"/>
      <c r="C1848" s="35" t="n"/>
      <c r="D1848" s="35" t="n"/>
      <c r="E1848" s="35" t="n"/>
      <c r="F1848" s="166" t="n"/>
      <c r="G1848" s="166">
        <f>IF(AND(E1848&lt;&gt;"",F1848&lt;&gt;""),E1848*F1848,"")</f>
      </c>
    </row>
    <row r="1849" ht="16.5" customHeight="1" s="71">
      <c r="B1849" s="169" t="n"/>
      <c r="C1849" s="35" t="n"/>
      <c r="D1849" s="35" t="n"/>
      <c r="E1849" s="35" t="n"/>
      <c r="F1849" s="166" t="n"/>
      <c r="G1849" s="166">
        <f>IF(AND(E1849&lt;&gt;"",F1849&lt;&gt;""),E1849*F1849,"")</f>
      </c>
    </row>
    <row r="1850" ht="16.5" customHeight="1" s="71">
      <c r="B1850" s="169" t="n"/>
      <c r="C1850" s="35" t="n"/>
      <c r="D1850" s="35" t="n"/>
      <c r="E1850" s="35" t="n"/>
      <c r="F1850" s="166" t="n"/>
      <c r="G1850" s="166">
        <f>IF(AND(E1850&lt;&gt;"",F1850&lt;&gt;""),E1850*F1850,"")</f>
      </c>
    </row>
    <row r="1851" ht="16.5" customHeight="1" s="71">
      <c r="B1851" s="169" t="n"/>
      <c r="C1851" s="35" t="n"/>
      <c r="D1851" s="35" t="n"/>
      <c r="E1851" s="35" t="n"/>
      <c r="F1851" s="166" t="n"/>
      <c r="G1851" s="166">
        <f>IF(AND(E1851&lt;&gt;"",F1851&lt;&gt;""),E1851*F1851,"")</f>
      </c>
    </row>
    <row r="1852" ht="16.5" customHeight="1" s="71">
      <c r="B1852" s="169" t="n"/>
      <c r="C1852" s="35" t="n"/>
      <c r="D1852" s="35" t="n"/>
      <c r="E1852" s="35" t="n"/>
      <c r="F1852" s="166" t="n"/>
      <c r="G1852" s="166">
        <f>IF(AND(E1852&lt;&gt;"",F1852&lt;&gt;""),E1852*F1852,"")</f>
      </c>
    </row>
    <row r="1853" ht="16.5" customHeight="1" s="71">
      <c r="B1853" s="169" t="n"/>
      <c r="C1853" s="35" t="n"/>
      <c r="D1853" s="35" t="n"/>
      <c r="E1853" s="35" t="n"/>
      <c r="F1853" s="166" t="n"/>
      <c r="G1853" s="166">
        <f>IF(AND(E1853&lt;&gt;"",F1853&lt;&gt;""),E1853*F1853,"")</f>
      </c>
    </row>
    <row r="1854" ht="16.5" customHeight="1" s="71">
      <c r="B1854" s="169" t="n"/>
      <c r="C1854" s="35" t="n"/>
      <c r="D1854" s="35" t="n"/>
      <c r="E1854" s="35" t="n"/>
      <c r="F1854" s="166" t="n"/>
      <c r="G1854" s="166">
        <f>IF(AND(E1854&lt;&gt;"",F1854&lt;&gt;""),E1854*F1854,"")</f>
      </c>
    </row>
    <row r="1855" ht="16.5" customHeight="1" s="71">
      <c r="B1855" s="169" t="n"/>
      <c r="C1855" s="35" t="n"/>
      <c r="D1855" s="35" t="n"/>
      <c r="E1855" s="35" t="n"/>
      <c r="F1855" s="166" t="n"/>
      <c r="G1855" s="166">
        <f>IF(AND(E1855&lt;&gt;"",F1855&lt;&gt;""),E1855*F1855,"")</f>
      </c>
    </row>
    <row r="1856" ht="16.5" customHeight="1" s="71">
      <c r="B1856" s="169" t="n"/>
      <c r="C1856" s="35" t="n"/>
      <c r="D1856" s="35" t="n"/>
      <c r="E1856" s="35" t="n"/>
      <c r="F1856" s="166" t="n"/>
      <c r="G1856" s="166">
        <f>IF(AND(E1856&lt;&gt;"",F1856&lt;&gt;""),E1856*F1856,"")</f>
      </c>
    </row>
    <row r="1857" ht="16.5" customHeight="1" s="71">
      <c r="B1857" s="169" t="n"/>
      <c r="C1857" s="35" t="n"/>
      <c r="D1857" s="35" t="n"/>
      <c r="E1857" s="35" t="n"/>
      <c r="F1857" s="166" t="n"/>
      <c r="G1857" s="166">
        <f>IF(AND(E1857&lt;&gt;"",F1857&lt;&gt;""),E1857*F1857,"")</f>
      </c>
    </row>
    <row r="1858" ht="16.5" customHeight="1" s="71">
      <c r="B1858" s="169" t="n"/>
      <c r="C1858" s="35" t="n"/>
      <c r="D1858" s="35" t="n"/>
      <c r="E1858" s="35" t="n"/>
      <c r="F1858" s="166" t="n"/>
      <c r="G1858" s="166">
        <f>IF(AND(E1858&lt;&gt;"",F1858&lt;&gt;""),E1858*F1858,"")</f>
      </c>
    </row>
    <row r="1859" ht="16.5" customHeight="1" s="71">
      <c r="B1859" s="169" t="n"/>
      <c r="C1859" s="35" t="n"/>
      <c r="D1859" s="35" t="n"/>
      <c r="E1859" s="35" t="n"/>
      <c r="F1859" s="166" t="n"/>
      <c r="G1859" s="166">
        <f>IF(AND(E1859&lt;&gt;"",F1859&lt;&gt;""),E1859*F1859,"")</f>
      </c>
    </row>
    <row r="1860" ht="16.5" customHeight="1" s="71">
      <c r="B1860" s="169" t="n"/>
      <c r="C1860" s="35" t="n"/>
      <c r="D1860" s="35" t="n"/>
      <c r="E1860" s="35" t="n"/>
      <c r="F1860" s="166" t="n"/>
      <c r="G1860" s="166">
        <f>IF(AND(E1860&lt;&gt;"",F1860&lt;&gt;""),E1860*F1860,"")</f>
      </c>
    </row>
    <row r="1861" ht="16.5" customHeight="1" s="71">
      <c r="B1861" s="169" t="n"/>
      <c r="C1861" s="35" t="n"/>
      <c r="D1861" s="35" t="n"/>
      <c r="E1861" s="35" t="n"/>
      <c r="F1861" s="166" t="n"/>
      <c r="G1861" s="166">
        <f>IF(AND(E1861&lt;&gt;"",F1861&lt;&gt;""),E1861*F1861,"")</f>
      </c>
    </row>
    <row r="1862" ht="16.5" customHeight="1" s="71">
      <c r="B1862" s="169" t="n"/>
      <c r="C1862" s="35" t="n"/>
      <c r="D1862" s="35" t="n"/>
      <c r="E1862" s="35" t="n"/>
      <c r="F1862" s="166" t="n"/>
      <c r="G1862" s="166">
        <f>IF(AND(E1862&lt;&gt;"",F1862&lt;&gt;""),E1862*F1862,"")</f>
      </c>
    </row>
    <row r="1863" ht="16.5" customHeight="1" s="71">
      <c r="B1863" s="169" t="n"/>
      <c r="C1863" s="35" t="n"/>
      <c r="D1863" s="35" t="n"/>
      <c r="E1863" s="35" t="n"/>
      <c r="F1863" s="166" t="n"/>
      <c r="G1863" s="166">
        <f>IF(AND(E1863&lt;&gt;"",F1863&lt;&gt;""),E1863*F1863,"")</f>
      </c>
    </row>
    <row r="1864" ht="16.5" customHeight="1" s="71">
      <c r="B1864" s="169" t="n"/>
      <c r="C1864" s="35" t="n"/>
      <c r="D1864" s="35" t="n"/>
      <c r="E1864" s="35" t="n"/>
      <c r="F1864" s="166" t="n"/>
      <c r="G1864" s="166">
        <f>IF(AND(E1864&lt;&gt;"",F1864&lt;&gt;""),E1864*F1864,"")</f>
      </c>
    </row>
    <row r="1865" ht="16.5" customHeight="1" s="71">
      <c r="B1865" s="169" t="n"/>
      <c r="C1865" s="35" t="n"/>
      <c r="D1865" s="35" t="n"/>
      <c r="E1865" s="35" t="n"/>
      <c r="F1865" s="166" t="n"/>
      <c r="G1865" s="166">
        <f>IF(AND(E1865&lt;&gt;"",F1865&lt;&gt;""),E1865*F1865,"")</f>
      </c>
    </row>
    <row r="1866" ht="16.5" customHeight="1" s="71">
      <c r="B1866" s="169" t="n"/>
      <c r="C1866" s="35" t="n"/>
      <c r="D1866" s="35" t="n"/>
      <c r="E1866" s="35" t="n"/>
      <c r="F1866" s="166" t="n"/>
      <c r="G1866" s="166">
        <f>IF(AND(E1866&lt;&gt;"",F1866&lt;&gt;""),E1866*F1866,"")</f>
      </c>
    </row>
    <row r="1867" ht="16.5" customHeight="1" s="71">
      <c r="B1867" s="169" t="n"/>
      <c r="C1867" s="35" t="n"/>
      <c r="D1867" s="35" t="n"/>
      <c r="E1867" s="35" t="n"/>
      <c r="F1867" s="166" t="n"/>
      <c r="G1867" s="166">
        <f>IF(AND(E1867&lt;&gt;"",F1867&lt;&gt;""),E1867*F1867,"")</f>
      </c>
    </row>
    <row r="1868" ht="16.5" customHeight="1" s="71">
      <c r="B1868" s="169" t="n"/>
      <c r="C1868" s="35" t="n"/>
      <c r="D1868" s="35" t="n"/>
      <c r="E1868" s="35" t="n"/>
      <c r="F1868" s="166" t="n"/>
      <c r="G1868" s="166">
        <f>IF(AND(E1868&lt;&gt;"",F1868&lt;&gt;""),E1868*F1868,"")</f>
      </c>
    </row>
    <row r="1869" ht="16.5" customHeight="1" s="71">
      <c r="B1869" s="169" t="n"/>
      <c r="C1869" s="35" t="n"/>
      <c r="D1869" s="35" t="n"/>
      <c r="E1869" s="35" t="n"/>
      <c r="F1869" s="166" t="n"/>
      <c r="G1869" s="166">
        <f>IF(AND(E1869&lt;&gt;"",F1869&lt;&gt;""),E1869*F1869,"")</f>
      </c>
    </row>
    <row r="1870" ht="16.5" customHeight="1" s="71">
      <c r="B1870" s="169" t="n"/>
      <c r="C1870" s="35" t="n"/>
      <c r="D1870" s="35" t="n"/>
      <c r="E1870" s="35" t="n"/>
      <c r="F1870" s="166" t="n"/>
      <c r="G1870" s="166">
        <f>IF(AND(E1870&lt;&gt;"",F1870&lt;&gt;""),E1870*F1870,"")</f>
      </c>
    </row>
    <row r="1871" ht="16.5" customHeight="1" s="71">
      <c r="B1871" s="169" t="n"/>
      <c r="C1871" s="35" t="n"/>
      <c r="D1871" s="35" t="n"/>
      <c r="E1871" s="35" t="n"/>
      <c r="F1871" s="166" t="n"/>
      <c r="G1871" s="166">
        <f>IF(AND(E1871&lt;&gt;"",F1871&lt;&gt;""),E1871*F1871,"")</f>
      </c>
    </row>
    <row r="1872" ht="16.5" customHeight="1" s="71">
      <c r="B1872" s="169" t="n"/>
      <c r="C1872" s="35" t="n"/>
      <c r="D1872" s="35" t="n"/>
      <c r="E1872" s="35" t="n"/>
      <c r="F1872" s="166" t="n"/>
      <c r="G1872" s="166">
        <f>IF(AND(E1872&lt;&gt;"",F1872&lt;&gt;""),E1872*F1872,"")</f>
      </c>
    </row>
    <row r="1873" ht="16.5" customHeight="1" s="71">
      <c r="B1873" s="169" t="n"/>
      <c r="C1873" s="35" t="n"/>
      <c r="D1873" s="35" t="n"/>
      <c r="E1873" s="35" t="n"/>
      <c r="F1873" s="166" t="n"/>
      <c r="G1873" s="166">
        <f>IF(AND(E1873&lt;&gt;"",F1873&lt;&gt;""),E1873*F1873,"")</f>
      </c>
    </row>
    <row r="1874" ht="16.5" customHeight="1" s="71">
      <c r="B1874" s="169" t="n"/>
      <c r="C1874" s="35" t="n"/>
      <c r="D1874" s="35" t="n"/>
      <c r="E1874" s="35" t="n"/>
      <c r="F1874" s="166" t="n"/>
      <c r="G1874" s="166">
        <f>IF(AND(E1874&lt;&gt;"",F1874&lt;&gt;""),E1874*F1874,"")</f>
      </c>
    </row>
    <row r="1875" ht="16.5" customHeight="1" s="71">
      <c r="B1875" s="169" t="n"/>
      <c r="C1875" s="35" t="n"/>
      <c r="D1875" s="35" t="n"/>
      <c r="E1875" s="35" t="n"/>
      <c r="F1875" s="166" t="n"/>
      <c r="G1875" s="166">
        <f>IF(AND(E1875&lt;&gt;"",F1875&lt;&gt;""),E1875*F1875,"")</f>
      </c>
    </row>
    <row r="1876" ht="16.5" customHeight="1" s="71">
      <c r="B1876" s="169" t="n"/>
      <c r="C1876" s="35" t="n"/>
      <c r="D1876" s="35" t="n"/>
      <c r="E1876" s="35" t="n"/>
      <c r="F1876" s="166" t="n"/>
      <c r="G1876" s="166">
        <f>IF(AND(E1876&lt;&gt;"",F1876&lt;&gt;""),E1876*F1876,"")</f>
      </c>
    </row>
    <row r="1877" ht="16.5" customHeight="1" s="71">
      <c r="B1877" s="169" t="n"/>
      <c r="C1877" s="35" t="n"/>
      <c r="D1877" s="35" t="n"/>
      <c r="E1877" s="35" t="n"/>
      <c r="F1877" s="166" t="n"/>
      <c r="G1877" s="166">
        <f>IF(AND(E1877&lt;&gt;"",F1877&lt;&gt;""),E1877*F1877,"")</f>
      </c>
    </row>
    <row r="1878" ht="16.5" customHeight="1" s="71">
      <c r="B1878" s="169" t="n"/>
      <c r="C1878" s="35" t="n"/>
      <c r="D1878" s="35" t="n"/>
      <c r="E1878" s="35" t="n"/>
      <c r="F1878" s="166" t="n"/>
      <c r="G1878" s="166">
        <f>IF(AND(E1878&lt;&gt;"",F1878&lt;&gt;""),E1878*F1878,"")</f>
      </c>
    </row>
    <row r="1879" ht="16.5" customHeight="1" s="71">
      <c r="B1879" s="169" t="n"/>
      <c r="C1879" s="35" t="n"/>
      <c r="D1879" s="35" t="n"/>
      <c r="E1879" s="35" t="n"/>
      <c r="F1879" s="166" t="n"/>
      <c r="G1879" s="166">
        <f>IF(AND(E1879&lt;&gt;"",F1879&lt;&gt;""),E1879*F1879,"")</f>
      </c>
    </row>
    <row r="1880" ht="16.5" customHeight="1" s="71">
      <c r="B1880" s="169" t="n"/>
      <c r="C1880" s="35" t="n"/>
      <c r="D1880" s="35" t="n"/>
      <c r="E1880" s="35" t="n"/>
      <c r="F1880" s="166" t="n"/>
      <c r="G1880" s="166">
        <f>IF(AND(E1880&lt;&gt;"",F1880&lt;&gt;""),E1880*F1880,"")</f>
      </c>
    </row>
    <row r="1881" ht="16.5" customHeight="1" s="71">
      <c r="B1881" s="169" t="n"/>
      <c r="C1881" s="35" t="n"/>
      <c r="D1881" s="35" t="n"/>
      <c r="E1881" s="35" t="n"/>
      <c r="F1881" s="166" t="n"/>
      <c r="G1881" s="166">
        <f>IF(AND(E1881&lt;&gt;"",F1881&lt;&gt;""),E1881*F1881,"")</f>
      </c>
    </row>
    <row r="1882" ht="16.5" customHeight="1" s="71">
      <c r="B1882" s="169" t="n"/>
      <c r="C1882" s="35" t="n"/>
      <c r="D1882" s="35" t="n"/>
      <c r="E1882" s="35" t="n"/>
      <c r="F1882" s="166" t="n"/>
      <c r="G1882" s="166">
        <f>IF(AND(E1882&lt;&gt;"",F1882&lt;&gt;""),E1882*F1882,"")</f>
      </c>
    </row>
    <row r="1883" ht="16.5" customHeight="1" s="71">
      <c r="B1883" s="169" t="n"/>
      <c r="C1883" s="35" t="n"/>
      <c r="D1883" s="35" t="n"/>
      <c r="E1883" s="35" t="n"/>
      <c r="F1883" s="166" t="n"/>
      <c r="G1883" s="166">
        <f>IF(AND(E1883&lt;&gt;"",F1883&lt;&gt;""),E1883*F1883,"")</f>
      </c>
    </row>
    <row r="1884" ht="16.5" customHeight="1" s="71">
      <c r="B1884" s="169" t="n"/>
      <c r="C1884" s="35" t="n"/>
      <c r="D1884" s="35" t="n"/>
      <c r="E1884" s="35" t="n"/>
      <c r="F1884" s="166" t="n"/>
      <c r="G1884" s="166">
        <f>IF(AND(E1884&lt;&gt;"",F1884&lt;&gt;""),E1884*F1884,"")</f>
      </c>
    </row>
    <row r="1885" ht="16.5" customHeight="1" s="71">
      <c r="B1885" s="169" t="n"/>
      <c r="C1885" s="35" t="n"/>
      <c r="D1885" s="35" t="n"/>
      <c r="E1885" s="35" t="n"/>
      <c r="F1885" s="166" t="n"/>
      <c r="G1885" s="166">
        <f>IF(AND(E1885&lt;&gt;"",F1885&lt;&gt;""),E1885*F1885,"")</f>
      </c>
    </row>
    <row r="1886" ht="16.5" customHeight="1" s="71">
      <c r="B1886" s="169" t="n"/>
      <c r="C1886" s="35" t="n"/>
      <c r="D1886" s="35" t="n"/>
      <c r="E1886" s="35" t="n"/>
      <c r="F1886" s="166" t="n"/>
      <c r="G1886" s="166">
        <f>IF(AND(E1886&lt;&gt;"",F1886&lt;&gt;""),E1886*F1886,"")</f>
      </c>
    </row>
    <row r="1887" ht="16.5" customHeight="1" s="71">
      <c r="B1887" s="169" t="n"/>
      <c r="C1887" s="35" t="n"/>
      <c r="D1887" s="35" t="n"/>
      <c r="E1887" s="35" t="n"/>
      <c r="F1887" s="166" t="n"/>
      <c r="G1887" s="166">
        <f>IF(AND(E1887&lt;&gt;"",F1887&lt;&gt;""),E1887*F1887,"")</f>
      </c>
    </row>
    <row r="1888" ht="16.5" customHeight="1" s="71">
      <c r="B1888" s="169" t="n"/>
      <c r="C1888" s="35" t="n"/>
      <c r="D1888" s="35" t="n"/>
      <c r="E1888" s="35" t="n"/>
      <c r="F1888" s="166" t="n"/>
      <c r="G1888" s="166">
        <f>IF(AND(E1888&lt;&gt;"",F1888&lt;&gt;""),E1888*F1888,"")</f>
      </c>
    </row>
    <row r="1889" ht="16.5" customHeight="1" s="71">
      <c r="B1889" s="169" t="n"/>
      <c r="C1889" s="35" t="n"/>
      <c r="D1889" s="35" t="n"/>
      <c r="E1889" s="35" t="n"/>
      <c r="F1889" s="166" t="n"/>
      <c r="G1889" s="166">
        <f>IF(AND(E1889&lt;&gt;"",F1889&lt;&gt;""),E1889*F1889,"")</f>
      </c>
    </row>
    <row r="1890" ht="16.5" customHeight="1" s="71">
      <c r="B1890" s="169" t="n"/>
      <c r="C1890" s="35" t="n"/>
      <c r="D1890" s="35" t="n"/>
      <c r="E1890" s="35" t="n"/>
      <c r="F1890" s="166" t="n"/>
      <c r="G1890" s="166">
        <f>IF(AND(E1890&lt;&gt;"",F1890&lt;&gt;""),E1890*F1890,"")</f>
      </c>
    </row>
    <row r="1891" ht="16.5" customHeight="1" s="71">
      <c r="B1891" s="169" t="n"/>
      <c r="C1891" s="35" t="n"/>
      <c r="D1891" s="35" t="n"/>
      <c r="E1891" s="35" t="n"/>
      <c r="F1891" s="166" t="n"/>
      <c r="G1891" s="166">
        <f>IF(AND(E1891&lt;&gt;"",F1891&lt;&gt;""),E1891*F1891,"")</f>
      </c>
    </row>
    <row r="1892" ht="16.5" customHeight="1" s="71">
      <c r="B1892" s="169" t="n"/>
      <c r="C1892" s="35" t="n"/>
      <c r="D1892" s="35" t="n"/>
      <c r="E1892" s="35" t="n"/>
      <c r="F1892" s="166" t="n"/>
      <c r="G1892" s="166">
        <f>IF(AND(E1892&lt;&gt;"",F1892&lt;&gt;""),E1892*F1892,"")</f>
      </c>
    </row>
    <row r="1893" ht="16.5" customHeight="1" s="71">
      <c r="B1893" s="169" t="n"/>
      <c r="C1893" s="35" t="n"/>
      <c r="D1893" s="35" t="n"/>
      <c r="E1893" s="35" t="n"/>
      <c r="F1893" s="166" t="n"/>
      <c r="G1893" s="166">
        <f>IF(AND(E1893&lt;&gt;"",F1893&lt;&gt;""),E1893*F1893,"")</f>
      </c>
    </row>
    <row r="1894" ht="16.5" customHeight="1" s="71">
      <c r="B1894" s="169" t="n"/>
      <c r="C1894" s="35" t="n"/>
      <c r="D1894" s="35" t="n"/>
      <c r="E1894" s="35" t="n"/>
      <c r="F1894" s="166" t="n"/>
      <c r="G1894" s="166">
        <f>IF(AND(E1894&lt;&gt;"",F1894&lt;&gt;""),E1894*F1894,"")</f>
      </c>
    </row>
    <row r="1895" ht="16.5" customHeight="1" s="71">
      <c r="B1895" s="169" t="n"/>
      <c r="C1895" s="35" t="n"/>
      <c r="D1895" s="35" t="n"/>
      <c r="E1895" s="35" t="n"/>
      <c r="F1895" s="166" t="n"/>
      <c r="G1895" s="166">
        <f>IF(AND(E1895&lt;&gt;"",F1895&lt;&gt;""),E1895*F1895,"")</f>
      </c>
    </row>
    <row r="1896" ht="16.5" customHeight="1" s="71">
      <c r="B1896" s="169" t="n"/>
      <c r="C1896" s="35" t="n"/>
      <c r="D1896" s="35" t="n"/>
      <c r="E1896" s="35" t="n"/>
      <c r="F1896" s="166" t="n"/>
      <c r="G1896" s="166">
        <f>IF(AND(E1896&lt;&gt;"",F1896&lt;&gt;""),E1896*F1896,"")</f>
      </c>
    </row>
    <row r="1897" ht="16.5" customHeight="1" s="71">
      <c r="B1897" s="169" t="n"/>
      <c r="C1897" s="35" t="n"/>
      <c r="D1897" s="35" t="n"/>
      <c r="E1897" s="35" t="n"/>
      <c r="F1897" s="166" t="n"/>
      <c r="G1897" s="166">
        <f>IF(AND(E1897&lt;&gt;"",F1897&lt;&gt;""),E1897*F1897,"")</f>
      </c>
    </row>
    <row r="1898" ht="16.5" customHeight="1" s="71">
      <c r="B1898" s="169" t="n"/>
      <c r="C1898" s="35" t="n"/>
      <c r="D1898" s="35" t="n"/>
      <c r="E1898" s="35" t="n"/>
      <c r="F1898" s="166" t="n"/>
      <c r="G1898" s="166">
        <f>IF(AND(E1898&lt;&gt;"",F1898&lt;&gt;""),E1898*F1898,"")</f>
      </c>
    </row>
    <row r="1899" ht="16.5" customHeight="1" s="71">
      <c r="B1899" s="169" t="n"/>
      <c r="C1899" s="35" t="n"/>
      <c r="D1899" s="35" t="n"/>
      <c r="E1899" s="35" t="n"/>
      <c r="F1899" s="166" t="n"/>
      <c r="G1899" s="166">
        <f>IF(AND(E1899&lt;&gt;"",F1899&lt;&gt;""),E1899*F1899,"")</f>
      </c>
    </row>
    <row r="1900" ht="16.5" customHeight="1" s="71">
      <c r="B1900" s="169" t="n"/>
      <c r="C1900" s="35" t="n"/>
      <c r="D1900" s="35" t="n"/>
      <c r="E1900" s="35" t="n"/>
      <c r="F1900" s="166" t="n"/>
      <c r="G1900" s="166">
        <f>IF(AND(E1900&lt;&gt;"",F1900&lt;&gt;""),E1900*F1900,"")</f>
      </c>
    </row>
    <row r="1901" ht="16.5" customHeight="1" s="71">
      <c r="B1901" s="169" t="n"/>
      <c r="C1901" s="35" t="n"/>
      <c r="D1901" s="35" t="n"/>
      <c r="E1901" s="35" t="n"/>
      <c r="F1901" s="166" t="n"/>
      <c r="G1901" s="166">
        <f>IF(AND(E1901&lt;&gt;"",F1901&lt;&gt;""),E1901*F1901,"")</f>
      </c>
    </row>
    <row r="1902" ht="16.5" customHeight="1" s="71">
      <c r="B1902" s="169" t="n"/>
      <c r="C1902" s="35" t="n"/>
      <c r="D1902" s="35" t="n"/>
      <c r="E1902" s="35" t="n"/>
      <c r="F1902" s="166" t="n"/>
      <c r="G1902" s="166">
        <f>IF(AND(E1902&lt;&gt;"",F1902&lt;&gt;""),E1902*F1902,"")</f>
      </c>
    </row>
    <row r="1903" ht="16.5" customHeight="1" s="71">
      <c r="B1903" s="169" t="n"/>
      <c r="C1903" s="35" t="n"/>
      <c r="D1903" s="35" t="n"/>
      <c r="E1903" s="35" t="n"/>
      <c r="F1903" s="166" t="n"/>
      <c r="G1903" s="166">
        <f>IF(AND(E1903&lt;&gt;"",F1903&lt;&gt;""),E1903*F1903,"")</f>
      </c>
    </row>
    <row r="1904" ht="16.5" customHeight="1" s="71">
      <c r="B1904" s="169" t="n"/>
      <c r="C1904" s="35" t="n"/>
      <c r="D1904" s="35" t="n"/>
      <c r="E1904" s="35" t="n"/>
      <c r="F1904" s="166" t="n"/>
      <c r="G1904" s="166">
        <f>IF(AND(E1904&lt;&gt;"",F1904&lt;&gt;""),E1904*F1904,"")</f>
      </c>
    </row>
    <row r="1905" ht="16.5" customHeight="1" s="71">
      <c r="B1905" s="169" t="n"/>
      <c r="C1905" s="35" t="n"/>
      <c r="D1905" s="35" t="n"/>
      <c r="E1905" s="35" t="n"/>
      <c r="F1905" s="166" t="n"/>
      <c r="G1905" s="166">
        <f>IF(AND(E1905&lt;&gt;"",F1905&lt;&gt;""),E1905*F1905,"")</f>
      </c>
    </row>
    <row r="1906" ht="16.5" customHeight="1" s="71">
      <c r="B1906" s="169" t="n"/>
      <c r="C1906" s="35" t="n"/>
      <c r="D1906" s="35" t="n"/>
      <c r="E1906" s="35" t="n"/>
      <c r="F1906" s="166" t="n"/>
      <c r="G1906" s="166">
        <f>IF(AND(E1906&lt;&gt;"",F1906&lt;&gt;""),E1906*F1906,"")</f>
      </c>
    </row>
    <row r="1907" ht="16.5" customHeight="1" s="71">
      <c r="B1907" s="169" t="n"/>
      <c r="C1907" s="35" t="n"/>
      <c r="D1907" s="35" t="n"/>
      <c r="E1907" s="35" t="n"/>
      <c r="F1907" s="166" t="n"/>
      <c r="G1907" s="166">
        <f>IF(AND(E1907&lt;&gt;"",F1907&lt;&gt;""),E1907*F1907,"")</f>
      </c>
    </row>
    <row r="1908" ht="16.5" customHeight="1" s="71">
      <c r="B1908" s="169" t="n"/>
      <c r="C1908" s="35" t="n"/>
      <c r="D1908" s="35" t="n"/>
      <c r="E1908" s="35" t="n"/>
      <c r="F1908" s="166" t="n"/>
      <c r="G1908" s="166">
        <f>IF(AND(E1908&lt;&gt;"",F1908&lt;&gt;""),E1908*F1908,"")</f>
      </c>
    </row>
    <row r="1909" ht="16.5" customHeight="1" s="71">
      <c r="B1909" s="169" t="n"/>
      <c r="C1909" s="35" t="n"/>
      <c r="D1909" s="35" t="n"/>
      <c r="E1909" s="35" t="n"/>
      <c r="F1909" s="166" t="n"/>
      <c r="G1909" s="166">
        <f>IF(AND(E1909&lt;&gt;"",F1909&lt;&gt;""),E1909*F1909,"")</f>
      </c>
    </row>
    <row r="1910" ht="16.5" customHeight="1" s="71">
      <c r="B1910" s="169" t="n"/>
      <c r="C1910" s="35" t="n"/>
      <c r="D1910" s="35" t="n"/>
      <c r="E1910" s="35" t="n"/>
      <c r="F1910" s="166" t="n"/>
      <c r="G1910" s="166">
        <f>IF(AND(E1910&lt;&gt;"",F1910&lt;&gt;""),E1910*F1910,"")</f>
      </c>
    </row>
    <row r="1911" ht="16.5" customHeight="1" s="71">
      <c r="B1911" s="169" t="n"/>
      <c r="C1911" s="35" t="n"/>
      <c r="D1911" s="35" t="n"/>
      <c r="E1911" s="35" t="n"/>
      <c r="F1911" s="166" t="n"/>
      <c r="G1911" s="166">
        <f>IF(AND(E1911&lt;&gt;"",F1911&lt;&gt;""),E1911*F1911,"")</f>
      </c>
    </row>
    <row r="1912" ht="16.5" customHeight="1" s="71">
      <c r="B1912" s="169" t="n"/>
      <c r="C1912" s="35" t="n"/>
      <c r="D1912" s="35" t="n"/>
      <c r="E1912" s="35" t="n"/>
      <c r="F1912" s="166" t="n"/>
      <c r="G1912" s="166">
        <f>IF(AND(E1912&lt;&gt;"",F1912&lt;&gt;""),E1912*F1912,"")</f>
      </c>
    </row>
    <row r="1913" ht="16.5" customHeight="1" s="71">
      <c r="B1913" s="169" t="n"/>
      <c r="C1913" s="35" t="n"/>
      <c r="D1913" s="35" t="n"/>
      <c r="E1913" s="35" t="n"/>
      <c r="F1913" s="166" t="n"/>
      <c r="G1913" s="166">
        <f>IF(AND(E1913&lt;&gt;"",F1913&lt;&gt;""),E1913*F1913,"")</f>
      </c>
    </row>
    <row r="1914" ht="16.5" customHeight="1" s="71">
      <c r="B1914" s="169" t="n"/>
      <c r="C1914" s="35" t="n"/>
      <c r="D1914" s="35" t="n"/>
      <c r="E1914" s="35" t="n"/>
      <c r="F1914" s="166" t="n"/>
      <c r="G1914" s="166">
        <f>IF(AND(E1914&lt;&gt;"",F1914&lt;&gt;""),E1914*F1914,"")</f>
      </c>
    </row>
    <row r="1915" ht="16.5" customHeight="1" s="71">
      <c r="B1915" s="169" t="n"/>
      <c r="C1915" s="35" t="n"/>
      <c r="D1915" s="35" t="n"/>
      <c r="E1915" s="35" t="n"/>
      <c r="F1915" s="166" t="n"/>
      <c r="G1915" s="166">
        <f>IF(AND(E1915&lt;&gt;"",F1915&lt;&gt;""),E1915*F1915,"")</f>
      </c>
    </row>
    <row r="1916" ht="16.5" customHeight="1" s="71">
      <c r="B1916" s="169" t="n"/>
      <c r="C1916" s="35" t="n"/>
      <c r="D1916" s="35" t="n"/>
      <c r="E1916" s="35" t="n"/>
      <c r="F1916" s="166" t="n"/>
      <c r="G1916" s="166">
        <f>IF(AND(E1916&lt;&gt;"",F1916&lt;&gt;""),E1916*F1916,"")</f>
      </c>
    </row>
    <row r="1917" ht="16.5" customHeight="1" s="71">
      <c r="B1917" s="169" t="n"/>
      <c r="C1917" s="35" t="n"/>
      <c r="D1917" s="35" t="n"/>
      <c r="E1917" s="35" t="n"/>
      <c r="F1917" s="166" t="n"/>
      <c r="G1917" s="166">
        <f>IF(AND(E1917&lt;&gt;"",F1917&lt;&gt;""),E1917*F1917,"")</f>
      </c>
    </row>
    <row r="1918" ht="16.5" customHeight="1" s="71">
      <c r="B1918" s="169" t="n"/>
      <c r="C1918" s="35" t="n"/>
      <c r="D1918" s="35" t="n"/>
      <c r="E1918" s="35" t="n"/>
      <c r="F1918" s="166" t="n"/>
      <c r="G1918" s="166">
        <f>IF(AND(E1918&lt;&gt;"",F1918&lt;&gt;""),E1918*F1918,"")</f>
      </c>
    </row>
    <row r="1919" ht="16.5" customHeight="1" s="71">
      <c r="B1919" s="169" t="n"/>
      <c r="C1919" s="35" t="n"/>
      <c r="D1919" s="35" t="n"/>
      <c r="E1919" s="35" t="n"/>
      <c r="F1919" s="166" t="n"/>
      <c r="G1919" s="166">
        <f>IF(AND(E1919&lt;&gt;"",F1919&lt;&gt;""),E1919*F1919,"")</f>
      </c>
    </row>
    <row r="1920" ht="16.5" customHeight="1" s="71">
      <c r="B1920" s="169" t="n"/>
      <c r="C1920" s="35" t="n"/>
      <c r="D1920" s="35" t="n"/>
      <c r="E1920" s="35" t="n"/>
      <c r="F1920" s="166" t="n"/>
      <c r="G1920" s="166">
        <f>IF(AND(E1920&lt;&gt;"",F1920&lt;&gt;""),E1920*F1920,"")</f>
      </c>
    </row>
    <row r="1921" ht="16.5" customHeight="1" s="71">
      <c r="B1921" s="169" t="n"/>
      <c r="C1921" s="35" t="n"/>
      <c r="D1921" s="35" t="n"/>
      <c r="E1921" s="35" t="n"/>
      <c r="F1921" s="166" t="n"/>
      <c r="G1921" s="166">
        <f>IF(AND(E1921&lt;&gt;"",F1921&lt;&gt;""),E1921*F1921,"")</f>
      </c>
    </row>
    <row r="1922" ht="16.5" customHeight="1" s="71">
      <c r="B1922" s="169" t="n"/>
      <c r="C1922" s="35" t="n"/>
      <c r="D1922" s="35" t="n"/>
      <c r="E1922" s="35" t="n"/>
      <c r="F1922" s="166" t="n"/>
      <c r="G1922" s="166">
        <f>IF(AND(E1922&lt;&gt;"",F1922&lt;&gt;""),E1922*F1922,"")</f>
      </c>
    </row>
    <row r="1923" ht="16.5" customHeight="1" s="71">
      <c r="B1923" s="169" t="n"/>
      <c r="C1923" s="35" t="n"/>
      <c r="D1923" s="35" t="n"/>
      <c r="E1923" s="35" t="n"/>
      <c r="F1923" s="166" t="n"/>
      <c r="G1923" s="166">
        <f>IF(AND(E1923&lt;&gt;"",F1923&lt;&gt;""),E1923*F1923,"")</f>
      </c>
    </row>
    <row r="1924" ht="16.5" customHeight="1" s="71">
      <c r="B1924" s="169" t="n"/>
      <c r="C1924" s="35" t="n"/>
      <c r="D1924" s="35" t="n"/>
      <c r="E1924" s="35" t="n"/>
      <c r="F1924" s="166" t="n"/>
      <c r="G1924" s="166">
        <f>IF(AND(E1924&lt;&gt;"",F1924&lt;&gt;""),E1924*F1924,"")</f>
      </c>
    </row>
    <row r="1925" ht="16.5" customHeight="1" s="71">
      <c r="B1925" s="169" t="n"/>
      <c r="C1925" s="35" t="n"/>
      <c r="D1925" s="35" t="n"/>
      <c r="E1925" s="35" t="n"/>
      <c r="F1925" s="166" t="n"/>
      <c r="G1925" s="166">
        <f>IF(AND(E1925&lt;&gt;"",F1925&lt;&gt;""),E1925*F1925,"")</f>
      </c>
    </row>
    <row r="1926" ht="16.5" customHeight="1" s="71">
      <c r="B1926" s="169" t="n"/>
      <c r="C1926" s="35" t="n"/>
      <c r="D1926" s="35" t="n"/>
      <c r="E1926" s="35" t="n"/>
      <c r="F1926" s="166" t="n"/>
      <c r="G1926" s="166">
        <f>IF(AND(E1926&lt;&gt;"",F1926&lt;&gt;""),E1926*F1926,"")</f>
      </c>
    </row>
    <row r="1927" ht="16.5" customHeight="1" s="71">
      <c r="B1927" s="169" t="n"/>
      <c r="C1927" s="35" t="n"/>
      <c r="D1927" s="35" t="n"/>
      <c r="E1927" s="35" t="n"/>
      <c r="F1927" s="166" t="n"/>
      <c r="G1927" s="166">
        <f>IF(AND(E1927&lt;&gt;"",F1927&lt;&gt;""),E1927*F1927,"")</f>
      </c>
    </row>
    <row r="1928" ht="16.5" customHeight="1" s="71">
      <c r="B1928" s="169" t="n"/>
      <c r="C1928" s="35" t="n"/>
      <c r="D1928" s="35" t="n"/>
      <c r="E1928" s="35" t="n"/>
      <c r="F1928" s="166" t="n"/>
      <c r="G1928" s="166">
        <f>IF(AND(E1928&lt;&gt;"",F1928&lt;&gt;""),E1928*F1928,"")</f>
      </c>
    </row>
    <row r="1929" ht="16.5" customHeight="1" s="71">
      <c r="B1929" s="169" t="n"/>
      <c r="C1929" s="35" t="n"/>
      <c r="D1929" s="35" t="n"/>
      <c r="E1929" s="35" t="n"/>
      <c r="F1929" s="166" t="n"/>
      <c r="G1929" s="166">
        <f>IF(AND(E1929&lt;&gt;"",F1929&lt;&gt;""),E1929*F1929,"")</f>
      </c>
    </row>
    <row r="1930" ht="16.5" customHeight="1" s="71">
      <c r="B1930" s="169" t="n"/>
      <c r="C1930" s="35" t="n"/>
      <c r="D1930" s="35" t="n"/>
      <c r="E1930" s="35" t="n"/>
      <c r="F1930" s="166" t="n"/>
      <c r="G1930" s="166">
        <f>IF(AND(E1930&lt;&gt;"",F1930&lt;&gt;""),E1930*F1930,"")</f>
      </c>
    </row>
    <row r="1931" ht="16.5" customHeight="1" s="71">
      <c r="B1931" s="169" t="n"/>
      <c r="C1931" s="35" t="n"/>
      <c r="D1931" s="35" t="n"/>
      <c r="E1931" s="35" t="n"/>
      <c r="F1931" s="166" t="n"/>
      <c r="G1931" s="166">
        <f>IF(AND(E1931&lt;&gt;"",F1931&lt;&gt;""),E1931*F1931,"")</f>
      </c>
    </row>
    <row r="1932" ht="16.5" customHeight="1" s="71">
      <c r="B1932" s="169" t="n"/>
      <c r="C1932" s="35" t="n"/>
      <c r="D1932" s="35" t="n"/>
      <c r="E1932" s="35" t="n"/>
      <c r="F1932" s="166" t="n"/>
      <c r="G1932" s="166">
        <f>IF(AND(E1932&lt;&gt;"",F1932&lt;&gt;""),E1932*F1932,"")</f>
      </c>
    </row>
    <row r="1933" ht="16.5" customHeight="1" s="71">
      <c r="B1933" s="169" t="n"/>
      <c r="C1933" s="35" t="n"/>
      <c r="D1933" s="35" t="n"/>
      <c r="E1933" s="35" t="n"/>
      <c r="F1933" s="166" t="n"/>
      <c r="G1933" s="166">
        <f>IF(AND(E1933&lt;&gt;"",F1933&lt;&gt;""),E1933*F1933,"")</f>
      </c>
    </row>
    <row r="1934" ht="16.5" customHeight="1" s="71">
      <c r="B1934" s="169" t="n"/>
      <c r="C1934" s="35" t="n"/>
      <c r="D1934" s="35" t="n"/>
      <c r="E1934" s="35" t="n"/>
      <c r="F1934" s="166" t="n"/>
      <c r="G1934" s="166">
        <f>IF(AND(E1934&lt;&gt;"",F1934&lt;&gt;""),E1934*F1934,"")</f>
      </c>
    </row>
    <row r="1935" ht="16.5" customHeight="1" s="71">
      <c r="B1935" s="169" t="n"/>
      <c r="C1935" s="35" t="n"/>
      <c r="D1935" s="35" t="n"/>
      <c r="E1935" s="35" t="n"/>
      <c r="F1935" s="166" t="n"/>
      <c r="G1935" s="166">
        <f>IF(AND(E1935&lt;&gt;"",F1935&lt;&gt;""),E1935*F1935,"")</f>
      </c>
    </row>
    <row r="1936" ht="16.5" customHeight="1" s="71">
      <c r="B1936" s="169" t="n"/>
      <c r="C1936" s="35" t="n"/>
      <c r="D1936" s="35" t="n"/>
      <c r="E1936" s="35" t="n"/>
      <c r="F1936" s="166" t="n"/>
      <c r="G1936" s="166">
        <f>IF(AND(E1936&lt;&gt;"",F1936&lt;&gt;""),E1936*F1936,"")</f>
      </c>
    </row>
    <row r="1937" ht="16.5" customHeight="1" s="71">
      <c r="B1937" s="169" t="n"/>
      <c r="C1937" s="35" t="n"/>
      <c r="D1937" s="35" t="n"/>
      <c r="E1937" s="35" t="n"/>
      <c r="F1937" s="166" t="n"/>
      <c r="G1937" s="166">
        <f>IF(AND(E1937&lt;&gt;"",F1937&lt;&gt;""),E1937*F1937,"")</f>
      </c>
    </row>
    <row r="1938" ht="16.5" customHeight="1" s="71">
      <c r="B1938" s="169" t="n"/>
      <c r="C1938" s="35" t="n"/>
      <c r="D1938" s="35" t="n"/>
      <c r="E1938" s="35" t="n"/>
      <c r="F1938" s="166" t="n"/>
      <c r="G1938" s="166">
        <f>IF(AND(E1938&lt;&gt;"",F1938&lt;&gt;""),E1938*F1938,"")</f>
      </c>
    </row>
    <row r="1939" ht="16.5" customHeight="1" s="71">
      <c r="B1939" s="169" t="n"/>
      <c r="C1939" s="35" t="n"/>
      <c r="D1939" s="35" t="n"/>
      <c r="E1939" s="35" t="n"/>
      <c r="F1939" s="166" t="n"/>
      <c r="G1939" s="166">
        <f>IF(AND(E1939&lt;&gt;"",F1939&lt;&gt;""),E1939*F1939,"")</f>
      </c>
    </row>
    <row r="1940" ht="16.5" customHeight="1" s="71">
      <c r="B1940" s="169" t="n"/>
      <c r="C1940" s="35" t="n"/>
      <c r="D1940" s="35" t="n"/>
      <c r="E1940" s="35" t="n"/>
      <c r="F1940" s="166" t="n"/>
      <c r="G1940" s="166">
        <f>IF(AND(E1940&lt;&gt;"",F1940&lt;&gt;""),E1940*F1940,"")</f>
      </c>
    </row>
    <row r="1941" ht="16.5" customHeight="1" s="71">
      <c r="B1941" s="169" t="n"/>
      <c r="C1941" s="35" t="n"/>
      <c r="D1941" s="35" t="n"/>
      <c r="E1941" s="35" t="n"/>
      <c r="F1941" s="166" t="n"/>
      <c r="G1941" s="166">
        <f>IF(AND(E1941&lt;&gt;"",F1941&lt;&gt;""),E1941*F1941,"")</f>
      </c>
    </row>
    <row r="1942" ht="16.5" customHeight="1" s="71">
      <c r="B1942" s="169" t="n"/>
      <c r="C1942" s="35" t="n"/>
      <c r="D1942" s="35" t="n"/>
      <c r="E1942" s="35" t="n"/>
      <c r="F1942" s="166" t="n"/>
      <c r="G1942" s="166">
        <f>IF(AND(E1942&lt;&gt;"",F1942&lt;&gt;""),E1942*F1942,"")</f>
      </c>
    </row>
    <row r="1943" ht="16.5" customHeight="1" s="71">
      <c r="B1943" s="169" t="n"/>
      <c r="C1943" s="35" t="n"/>
      <c r="D1943" s="35" t="n"/>
      <c r="E1943" s="35" t="n"/>
      <c r="F1943" s="166" t="n"/>
      <c r="G1943" s="166">
        <f>IF(AND(E1943&lt;&gt;"",F1943&lt;&gt;""),E1943*F1943,"")</f>
      </c>
    </row>
    <row r="1944" ht="16.5" customHeight="1" s="71">
      <c r="B1944" s="169" t="n"/>
      <c r="C1944" s="35" t="n"/>
      <c r="D1944" s="35" t="n"/>
      <c r="E1944" s="35" t="n"/>
      <c r="F1944" s="166" t="n"/>
      <c r="G1944" s="166">
        <f>IF(AND(E1944&lt;&gt;"",F1944&lt;&gt;""),E1944*F1944,"")</f>
      </c>
    </row>
    <row r="1945" ht="16.5" customHeight="1" s="71">
      <c r="B1945" s="169" t="n"/>
      <c r="C1945" s="35" t="n"/>
      <c r="D1945" s="35" t="n"/>
      <c r="E1945" s="35" t="n"/>
      <c r="F1945" s="166" t="n"/>
      <c r="G1945" s="166">
        <f>IF(AND(E1945&lt;&gt;"",F1945&lt;&gt;""),E1945*F1945,"")</f>
      </c>
    </row>
    <row r="1946" ht="16.5" customHeight="1" s="71">
      <c r="B1946" s="169" t="n"/>
      <c r="C1946" s="35" t="n"/>
      <c r="D1946" s="35" t="n"/>
      <c r="E1946" s="35" t="n"/>
      <c r="F1946" s="166" t="n"/>
      <c r="G1946" s="166">
        <f>IF(AND(E1946&lt;&gt;"",F1946&lt;&gt;""),E1946*F1946,"")</f>
      </c>
    </row>
    <row r="1947" ht="16.5" customHeight="1" s="71">
      <c r="B1947" s="169" t="n"/>
      <c r="C1947" s="35" t="n"/>
      <c r="D1947" s="35" t="n"/>
      <c r="E1947" s="35" t="n"/>
      <c r="F1947" s="166" t="n"/>
      <c r="G1947" s="166">
        <f>IF(AND(E1947&lt;&gt;"",F1947&lt;&gt;""),E1947*F1947,"")</f>
      </c>
    </row>
    <row r="1948" ht="16.5" customHeight="1" s="71">
      <c r="B1948" s="169" t="n"/>
      <c r="C1948" s="35" t="n"/>
      <c r="D1948" s="35" t="n"/>
      <c r="E1948" s="35" t="n"/>
      <c r="F1948" s="166" t="n"/>
      <c r="G1948" s="166">
        <f>IF(AND(E1948&lt;&gt;"",F1948&lt;&gt;""),E1948*F1948,"")</f>
      </c>
    </row>
    <row r="1949" ht="16.5" customHeight="1" s="71">
      <c r="B1949" s="169" t="n"/>
      <c r="C1949" s="35" t="n"/>
      <c r="D1949" s="35" t="n"/>
      <c r="E1949" s="35" t="n"/>
      <c r="F1949" s="166" t="n"/>
      <c r="G1949" s="166">
        <f>IF(AND(E1949&lt;&gt;"",F1949&lt;&gt;""),E1949*F1949,"")</f>
      </c>
    </row>
    <row r="1950" ht="16.5" customHeight="1" s="71">
      <c r="B1950" s="169" t="n"/>
      <c r="C1950" s="35" t="n"/>
      <c r="D1950" s="35" t="n"/>
      <c r="E1950" s="35" t="n"/>
      <c r="F1950" s="166" t="n"/>
      <c r="G1950" s="166">
        <f>IF(AND(E1950&lt;&gt;"",F1950&lt;&gt;""),E1950*F1950,"")</f>
      </c>
    </row>
    <row r="1951" ht="16.5" customHeight="1" s="71">
      <c r="B1951" s="169" t="n"/>
      <c r="C1951" s="35" t="n"/>
      <c r="D1951" s="35" t="n"/>
      <c r="E1951" s="35" t="n"/>
      <c r="F1951" s="166" t="n"/>
      <c r="G1951" s="166">
        <f>IF(AND(E1951&lt;&gt;"",F1951&lt;&gt;""),E1951*F1951,"")</f>
      </c>
    </row>
    <row r="1952" ht="16.5" customHeight="1" s="71">
      <c r="B1952" s="169" t="n"/>
      <c r="C1952" s="35" t="n"/>
      <c r="D1952" s="35" t="n"/>
      <c r="E1952" s="35" t="n"/>
      <c r="F1952" s="166" t="n"/>
      <c r="G1952" s="166">
        <f>IF(AND(E1952&lt;&gt;"",F1952&lt;&gt;""),E1952*F1952,"")</f>
      </c>
    </row>
    <row r="1953" ht="16.5" customHeight="1" s="71">
      <c r="B1953" s="169" t="n"/>
      <c r="C1953" s="35" t="n"/>
      <c r="D1953" s="35" t="n"/>
      <c r="E1953" s="35" t="n"/>
      <c r="F1953" s="166" t="n"/>
      <c r="G1953" s="166">
        <f>IF(AND(E1953&lt;&gt;"",F1953&lt;&gt;""),E1953*F1953,"")</f>
      </c>
    </row>
    <row r="1954" ht="16.5" customHeight="1" s="71">
      <c r="B1954" s="169" t="n"/>
      <c r="C1954" s="35" t="n"/>
      <c r="D1954" s="35" t="n"/>
      <c r="E1954" s="35" t="n"/>
      <c r="F1954" s="166" t="n"/>
      <c r="G1954" s="166">
        <f>IF(AND(E1954&lt;&gt;"",F1954&lt;&gt;""),E1954*F1954,"")</f>
      </c>
    </row>
    <row r="1955" ht="16.5" customHeight="1" s="71">
      <c r="B1955" s="169" t="n"/>
      <c r="C1955" s="35" t="n"/>
      <c r="D1955" s="35" t="n"/>
      <c r="E1955" s="35" t="n"/>
      <c r="F1955" s="166" t="n"/>
      <c r="G1955" s="166">
        <f>IF(AND(E1955&lt;&gt;"",F1955&lt;&gt;""),E1955*F1955,"")</f>
      </c>
    </row>
    <row r="1956" ht="16.5" customHeight="1" s="71">
      <c r="B1956" s="169" t="n"/>
      <c r="C1956" s="35" t="n"/>
      <c r="D1956" s="35" t="n"/>
      <c r="E1956" s="35" t="n"/>
      <c r="F1956" s="166" t="n"/>
      <c r="G1956" s="166">
        <f>IF(AND(E1956&lt;&gt;"",F1956&lt;&gt;""),E1956*F1956,"")</f>
      </c>
    </row>
    <row r="1957" ht="16.5" customHeight="1" s="71">
      <c r="B1957" s="169" t="n"/>
      <c r="C1957" s="35" t="n"/>
      <c r="D1957" s="35" t="n"/>
      <c r="E1957" s="35" t="n"/>
      <c r="F1957" s="166" t="n"/>
      <c r="G1957" s="166">
        <f>IF(AND(E1957&lt;&gt;"",F1957&lt;&gt;""),E1957*F1957,"")</f>
      </c>
    </row>
    <row r="1958" ht="16.5" customHeight="1" s="71">
      <c r="B1958" s="169" t="n"/>
      <c r="C1958" s="35" t="n"/>
      <c r="D1958" s="35" t="n"/>
      <c r="E1958" s="35" t="n"/>
      <c r="F1958" s="166" t="n"/>
      <c r="G1958" s="166">
        <f>IF(AND(E1958&lt;&gt;"",F1958&lt;&gt;""),E1958*F1958,"")</f>
      </c>
    </row>
    <row r="1959" ht="16.5" customHeight="1" s="71">
      <c r="B1959" s="169" t="n"/>
      <c r="C1959" s="35" t="n"/>
      <c r="D1959" s="35" t="n"/>
      <c r="E1959" s="35" t="n"/>
      <c r="F1959" s="166" t="n"/>
      <c r="G1959" s="166">
        <f>IF(AND(E1959&lt;&gt;"",F1959&lt;&gt;""),E1959*F1959,"")</f>
      </c>
    </row>
    <row r="1960" ht="16.5" customHeight="1" s="71">
      <c r="B1960" s="169" t="n"/>
      <c r="C1960" s="35" t="n"/>
      <c r="D1960" s="35" t="n"/>
      <c r="E1960" s="35" t="n"/>
      <c r="F1960" s="166" t="n"/>
      <c r="G1960" s="166">
        <f>IF(AND(E1960&lt;&gt;"",F1960&lt;&gt;""),E1960*F1960,"")</f>
      </c>
    </row>
    <row r="1961" ht="16.5" customHeight="1" s="71">
      <c r="B1961" s="169" t="n"/>
      <c r="C1961" s="35" t="n"/>
      <c r="D1961" s="35" t="n"/>
      <c r="E1961" s="35" t="n"/>
      <c r="F1961" s="166" t="n"/>
      <c r="G1961" s="166">
        <f>IF(AND(E1961&lt;&gt;"",F1961&lt;&gt;""),E1961*F1961,"")</f>
      </c>
    </row>
    <row r="1962" ht="16.5" customHeight="1" s="71">
      <c r="B1962" s="169" t="n"/>
      <c r="C1962" s="35" t="n"/>
      <c r="D1962" s="35" t="n"/>
      <c r="E1962" s="35" t="n"/>
      <c r="F1962" s="166" t="n"/>
      <c r="G1962" s="166">
        <f>IF(AND(E1962&lt;&gt;"",F1962&lt;&gt;""),E1962*F1962,"")</f>
      </c>
    </row>
    <row r="1963" ht="16.5" customHeight="1" s="71">
      <c r="B1963" s="169" t="n"/>
      <c r="C1963" s="35" t="n"/>
      <c r="D1963" s="35" t="n"/>
      <c r="E1963" s="35" t="n"/>
      <c r="F1963" s="166" t="n"/>
      <c r="G1963" s="166">
        <f>IF(AND(E1963&lt;&gt;"",F1963&lt;&gt;""),E1963*F1963,"")</f>
      </c>
    </row>
    <row r="1964" ht="16.5" customHeight="1" s="71">
      <c r="B1964" s="169" t="n"/>
      <c r="C1964" s="35" t="n"/>
      <c r="D1964" s="35" t="n"/>
      <c r="E1964" s="35" t="n"/>
      <c r="F1964" s="166" t="n"/>
      <c r="G1964" s="166">
        <f>IF(AND(E1964&lt;&gt;"",F1964&lt;&gt;""),E1964*F1964,"")</f>
      </c>
    </row>
    <row r="1965" ht="16.5" customHeight="1" s="71">
      <c r="B1965" s="169" t="n"/>
      <c r="C1965" s="35" t="n"/>
      <c r="D1965" s="35" t="n"/>
      <c r="E1965" s="35" t="n"/>
      <c r="F1965" s="166" t="n"/>
      <c r="G1965" s="166">
        <f>IF(AND(E1965&lt;&gt;"",F1965&lt;&gt;""),E1965*F1965,"")</f>
      </c>
    </row>
    <row r="1966" ht="16.5" customHeight="1" s="71">
      <c r="B1966" s="169" t="n"/>
      <c r="C1966" s="35" t="n"/>
      <c r="D1966" s="35" t="n"/>
      <c r="E1966" s="35" t="n"/>
      <c r="F1966" s="166" t="n"/>
      <c r="G1966" s="166">
        <f>IF(AND(E1966&lt;&gt;"",F1966&lt;&gt;""),E1966*F1966,"")</f>
      </c>
    </row>
    <row r="1967" ht="16.5" customHeight="1" s="71">
      <c r="B1967" s="169" t="n"/>
      <c r="C1967" s="35" t="n"/>
      <c r="D1967" s="35" t="n"/>
      <c r="E1967" s="35" t="n"/>
      <c r="F1967" s="166" t="n"/>
      <c r="G1967" s="166">
        <f>IF(AND(E1967&lt;&gt;"",F1967&lt;&gt;""),E1967*F1967,"")</f>
      </c>
    </row>
    <row r="1968" ht="16.5" customHeight="1" s="71">
      <c r="B1968" s="169" t="n"/>
      <c r="C1968" s="35" t="n"/>
      <c r="D1968" s="35" t="n"/>
      <c r="E1968" s="35" t="n"/>
      <c r="F1968" s="166" t="n"/>
      <c r="G1968" s="166">
        <f>IF(AND(E1968&lt;&gt;"",F1968&lt;&gt;""),E1968*F1968,"")</f>
      </c>
    </row>
    <row r="1969" ht="16.5" customHeight="1" s="71">
      <c r="B1969" s="169" t="n"/>
      <c r="C1969" s="35" t="n"/>
      <c r="D1969" s="35" t="n"/>
      <c r="E1969" s="35" t="n"/>
      <c r="F1969" s="166" t="n"/>
      <c r="G1969" s="166">
        <f>IF(AND(E1969&lt;&gt;"",F1969&lt;&gt;""),E1969*F1969,"")</f>
      </c>
    </row>
    <row r="1970" ht="16.5" customHeight="1" s="71">
      <c r="B1970" s="169" t="n"/>
      <c r="C1970" s="35" t="n"/>
      <c r="D1970" s="35" t="n"/>
      <c r="E1970" s="35" t="n"/>
      <c r="F1970" s="166" t="n"/>
      <c r="G1970" s="166">
        <f>IF(AND(E1970&lt;&gt;"",F1970&lt;&gt;""),E1970*F1970,"")</f>
      </c>
    </row>
    <row r="1971" ht="16.5" customHeight="1" s="71">
      <c r="B1971" s="169" t="n"/>
      <c r="C1971" s="35" t="n"/>
      <c r="D1971" s="35" t="n"/>
      <c r="E1971" s="35" t="n"/>
      <c r="F1971" s="166" t="n"/>
      <c r="G1971" s="166">
        <f>IF(AND(E1971&lt;&gt;"",F1971&lt;&gt;""),E1971*F1971,"")</f>
      </c>
    </row>
    <row r="1972" ht="16.5" customHeight="1" s="71">
      <c r="B1972" s="169" t="n"/>
      <c r="C1972" s="35" t="n"/>
      <c r="D1972" s="35" t="n"/>
      <c r="E1972" s="35" t="n"/>
      <c r="F1972" s="166" t="n"/>
      <c r="G1972" s="166">
        <f>IF(AND(E1972&lt;&gt;"",F1972&lt;&gt;""),E1972*F1972,"")</f>
      </c>
    </row>
    <row r="1973" ht="16.5" customHeight="1" s="71">
      <c r="B1973" s="169" t="n"/>
      <c r="C1973" s="35" t="n"/>
      <c r="D1973" s="35" t="n"/>
      <c r="E1973" s="35" t="n"/>
      <c r="F1973" s="166" t="n"/>
      <c r="G1973" s="166">
        <f>IF(AND(E1973&lt;&gt;"",F1973&lt;&gt;""),E1973*F1973,"")</f>
      </c>
    </row>
    <row r="1974" ht="16.5" customHeight="1" s="71">
      <c r="B1974" s="169" t="n"/>
      <c r="C1974" s="35" t="n"/>
      <c r="D1974" s="35" t="n"/>
      <c r="E1974" s="35" t="n"/>
      <c r="F1974" s="166" t="n"/>
      <c r="G1974" s="166">
        <f>IF(AND(E1974&lt;&gt;"",F1974&lt;&gt;""),E1974*F1974,"")</f>
      </c>
    </row>
    <row r="1975" ht="16.5" customHeight="1" s="71">
      <c r="B1975" s="169" t="n"/>
      <c r="C1975" s="35" t="n"/>
      <c r="D1975" s="35" t="n"/>
      <c r="E1975" s="35" t="n"/>
      <c r="F1975" s="166" t="n"/>
      <c r="G1975" s="166">
        <f>IF(AND(E1975&lt;&gt;"",F1975&lt;&gt;""),E1975*F1975,"")</f>
      </c>
    </row>
    <row r="1976" ht="16.5" customHeight="1" s="71">
      <c r="B1976" s="169" t="n"/>
      <c r="C1976" s="35" t="n"/>
      <c r="D1976" s="35" t="n"/>
      <c r="E1976" s="35" t="n"/>
      <c r="F1976" s="166" t="n"/>
      <c r="G1976" s="166">
        <f>IF(AND(E1976&lt;&gt;"",F1976&lt;&gt;""),E1976*F1976,"")</f>
      </c>
    </row>
    <row r="1977" ht="16.5" customHeight="1" s="71">
      <c r="B1977" s="169" t="n"/>
      <c r="C1977" s="35" t="n"/>
      <c r="D1977" s="35" t="n"/>
      <c r="E1977" s="35" t="n"/>
      <c r="F1977" s="166" t="n"/>
      <c r="G1977" s="166">
        <f>IF(AND(E1977&lt;&gt;"",F1977&lt;&gt;""),E1977*F1977,"")</f>
      </c>
    </row>
    <row r="1978" ht="16.5" customHeight="1" s="71">
      <c r="B1978" s="169" t="n"/>
      <c r="C1978" s="35" t="n"/>
      <c r="D1978" s="35" t="n"/>
      <c r="E1978" s="35" t="n"/>
      <c r="F1978" s="166" t="n"/>
      <c r="G1978" s="166">
        <f>IF(AND(E1978&lt;&gt;"",F1978&lt;&gt;""),E1978*F1978,"")</f>
      </c>
    </row>
    <row r="1979" ht="16.5" customHeight="1" s="71">
      <c r="B1979" s="169" t="n"/>
      <c r="C1979" s="35" t="n"/>
      <c r="D1979" s="35" t="n"/>
      <c r="E1979" s="35" t="n"/>
      <c r="F1979" s="166" t="n"/>
      <c r="G1979" s="166">
        <f>IF(AND(E1979&lt;&gt;"",F1979&lt;&gt;""),E1979*F1979,"")</f>
      </c>
    </row>
    <row r="1980" ht="16.5" customHeight="1" s="71">
      <c r="B1980" s="169" t="n"/>
      <c r="C1980" s="35" t="n"/>
      <c r="D1980" s="35" t="n"/>
      <c r="E1980" s="35" t="n"/>
      <c r="F1980" s="166" t="n"/>
      <c r="G1980" s="166">
        <f>IF(AND(E1980&lt;&gt;"",F1980&lt;&gt;""),E1980*F1980,"")</f>
      </c>
    </row>
    <row r="1981" ht="16.5" customHeight="1" s="71">
      <c r="B1981" s="169" t="n"/>
      <c r="C1981" s="35" t="n"/>
      <c r="D1981" s="35" t="n"/>
      <c r="E1981" s="35" t="n"/>
      <c r="F1981" s="166" t="n"/>
      <c r="G1981" s="166">
        <f>IF(AND(E1981&lt;&gt;"",F1981&lt;&gt;""),E1981*F1981,"")</f>
      </c>
    </row>
    <row r="1982" ht="16.5" customHeight="1" s="71">
      <c r="B1982" s="169" t="n"/>
      <c r="C1982" s="35" t="n"/>
      <c r="D1982" s="35" t="n"/>
      <c r="E1982" s="35" t="n"/>
      <c r="F1982" s="166" t="n"/>
      <c r="G1982" s="166">
        <f>IF(AND(E1982&lt;&gt;"",F1982&lt;&gt;""),E1982*F1982,"")</f>
      </c>
    </row>
    <row r="1983" ht="16.5" customHeight="1" s="71">
      <c r="B1983" s="169" t="n"/>
      <c r="C1983" s="35" t="n"/>
      <c r="D1983" s="35" t="n"/>
      <c r="E1983" s="35" t="n"/>
      <c r="F1983" s="166" t="n"/>
      <c r="G1983" s="166">
        <f>IF(AND(E1983&lt;&gt;"",F1983&lt;&gt;""),E1983*F1983,"")</f>
      </c>
    </row>
    <row r="1984" ht="16.5" customHeight="1" s="71">
      <c r="B1984" s="169" t="n"/>
      <c r="C1984" s="35" t="n"/>
      <c r="D1984" s="35" t="n"/>
      <c r="E1984" s="35" t="n"/>
      <c r="F1984" s="166" t="n"/>
      <c r="G1984" s="166">
        <f>IF(AND(E1984&lt;&gt;"",F1984&lt;&gt;""),E1984*F1984,"")</f>
      </c>
    </row>
    <row r="1985" ht="16.5" customHeight="1" s="71">
      <c r="B1985" s="169" t="n"/>
      <c r="C1985" s="35" t="n"/>
      <c r="D1985" s="35" t="n"/>
      <c r="E1985" s="35" t="n"/>
      <c r="F1985" s="166" t="n"/>
      <c r="G1985" s="166">
        <f>IF(AND(E1985&lt;&gt;"",F1985&lt;&gt;""),E1985*F1985,"")</f>
      </c>
    </row>
    <row r="1986" ht="16.5" customHeight="1" s="71">
      <c r="B1986" s="169" t="n"/>
      <c r="C1986" s="35" t="n"/>
      <c r="D1986" s="35" t="n"/>
      <c r="E1986" s="35" t="n"/>
      <c r="F1986" s="166" t="n"/>
      <c r="G1986" s="166">
        <f>IF(AND(E1986&lt;&gt;"",F1986&lt;&gt;""),E1986*F1986,"")</f>
      </c>
    </row>
    <row r="1987" ht="16.5" customHeight="1" s="71">
      <c r="B1987" s="169" t="n"/>
      <c r="C1987" s="35" t="n"/>
      <c r="D1987" s="35" t="n"/>
      <c r="E1987" s="35" t="n"/>
      <c r="F1987" s="166" t="n"/>
      <c r="G1987" s="166">
        <f>IF(AND(E1987&lt;&gt;"",F1987&lt;&gt;""),E1987*F1987,"")</f>
      </c>
    </row>
    <row r="1988" ht="16.5" customHeight="1" s="71">
      <c r="B1988" s="169" t="n"/>
      <c r="C1988" s="35" t="n"/>
      <c r="D1988" s="35" t="n"/>
      <c r="E1988" s="35" t="n"/>
      <c r="F1988" s="166" t="n"/>
      <c r="G1988" s="166">
        <f>IF(AND(E1988&lt;&gt;"",F1988&lt;&gt;""),E1988*F1988,"")</f>
      </c>
    </row>
    <row r="1989" ht="16.5" customHeight="1" s="71">
      <c r="B1989" s="169" t="n"/>
      <c r="C1989" s="35" t="n"/>
      <c r="D1989" s="35" t="n"/>
      <c r="E1989" s="35" t="n"/>
      <c r="F1989" s="166" t="n"/>
      <c r="G1989" s="166">
        <f>IF(AND(E1989&lt;&gt;"",F1989&lt;&gt;""),E1989*F1989,"")</f>
      </c>
    </row>
    <row r="1990" ht="16.5" customHeight="1" s="71">
      <c r="B1990" s="169" t="n"/>
      <c r="C1990" s="35" t="n"/>
      <c r="D1990" s="35" t="n"/>
      <c r="E1990" s="35" t="n"/>
      <c r="F1990" s="166" t="n"/>
      <c r="G1990" s="166">
        <f>IF(AND(E1990&lt;&gt;"",F1990&lt;&gt;""),E1990*F1990,"")</f>
      </c>
    </row>
    <row r="1991" ht="16.5" customHeight="1" s="71">
      <c r="B1991" s="169" t="n"/>
      <c r="C1991" s="35" t="n"/>
      <c r="D1991" s="35" t="n"/>
      <c r="E1991" s="35" t="n"/>
      <c r="F1991" s="166" t="n"/>
      <c r="G1991" s="166">
        <f>IF(AND(E1991&lt;&gt;"",F1991&lt;&gt;""),E1991*F1991,"")</f>
      </c>
    </row>
    <row r="1992" ht="16.5" customHeight="1" s="71">
      <c r="B1992" s="169" t="n"/>
      <c r="C1992" s="35" t="n"/>
      <c r="D1992" s="35" t="n"/>
      <c r="E1992" s="35" t="n"/>
      <c r="F1992" s="166" t="n"/>
      <c r="G1992" s="166">
        <f>IF(AND(E1992&lt;&gt;"",F1992&lt;&gt;""),E1992*F1992,"")</f>
      </c>
    </row>
    <row r="1993" ht="16.5" customHeight="1" s="71">
      <c r="B1993" s="169" t="n"/>
      <c r="C1993" s="35" t="n"/>
      <c r="D1993" s="35" t="n"/>
      <c r="E1993" s="35" t="n"/>
      <c r="F1993" s="166" t="n"/>
      <c r="G1993" s="166">
        <f>IF(AND(E1993&lt;&gt;"",F1993&lt;&gt;""),E1993*F1993,"")</f>
      </c>
    </row>
    <row r="1994" ht="16.5" customHeight="1" s="71">
      <c r="B1994" s="169" t="n"/>
      <c r="C1994" s="35" t="n"/>
      <c r="D1994" s="35" t="n"/>
      <c r="E1994" s="35" t="n"/>
      <c r="F1994" s="166" t="n"/>
      <c r="G1994" s="166">
        <f>IF(AND(E1994&lt;&gt;"",F1994&lt;&gt;""),E1994*F1994,"")</f>
      </c>
    </row>
    <row r="1995" ht="16.5" customHeight="1" s="71">
      <c r="B1995" s="169" t="n"/>
      <c r="C1995" s="35" t="n"/>
      <c r="D1995" s="35" t="n"/>
      <c r="E1995" s="35" t="n"/>
      <c r="F1995" s="166" t="n"/>
      <c r="G1995" s="166">
        <f>IF(AND(E1995&lt;&gt;"",F1995&lt;&gt;""),E1995*F1995,"")</f>
      </c>
    </row>
    <row r="1996" ht="16.5" customHeight="1" s="71">
      <c r="B1996" s="169" t="n"/>
      <c r="C1996" s="35" t="n"/>
      <c r="D1996" s="35" t="n"/>
      <c r="E1996" s="35" t="n"/>
      <c r="F1996" s="166" t="n"/>
      <c r="G1996" s="166">
        <f>IF(AND(E1996&lt;&gt;"",F1996&lt;&gt;""),E1996*F1996,"")</f>
      </c>
    </row>
    <row r="1997" ht="16.5" customHeight="1" s="71">
      <c r="B1997" s="169" t="n"/>
      <c r="C1997" s="35" t="n"/>
      <c r="D1997" s="35" t="n"/>
      <c r="E1997" s="35" t="n"/>
      <c r="F1997" s="166" t="n"/>
      <c r="G1997" s="166">
        <f>IF(AND(E1997&lt;&gt;"",F1997&lt;&gt;""),E1997*F1997,"")</f>
      </c>
    </row>
    <row r="1998" ht="16.5" customHeight="1" s="71">
      <c r="B1998" s="169" t="n"/>
      <c r="C1998" s="35" t="n"/>
      <c r="D1998" s="35" t="n"/>
      <c r="E1998" s="35" t="n"/>
      <c r="F1998" s="166" t="n"/>
      <c r="G1998" s="166">
        <f>IF(AND(E1998&lt;&gt;"",F1998&lt;&gt;""),E1998*F1998,"")</f>
      </c>
    </row>
    <row r="1999" ht="16.5" customHeight="1" s="71">
      <c r="B1999" s="169" t="n"/>
      <c r="C1999" s="35" t="n"/>
      <c r="D1999" s="35" t="n"/>
      <c r="E1999" s="35" t="n"/>
      <c r="F1999" s="166" t="n"/>
      <c r="G1999" s="166">
        <f>IF(AND(E1999&lt;&gt;"",F1999&lt;&gt;""),E1999*F1999,"")</f>
      </c>
    </row>
    <row r="2000" ht="16.5" customHeight="1" s="71">
      <c r="B2000" s="169" t="n"/>
      <c r="C2000" s="35" t="n"/>
      <c r="D2000" s="35" t="n"/>
      <c r="E2000" s="35" t="n"/>
      <c r="F2000" s="166" t="n"/>
      <c r="G2000" s="166">
        <f>IF(AND(E2000&lt;&gt;"",F2000&lt;&gt;""),E2000*F2000,"")</f>
      </c>
    </row>
    <row r="2001" ht="16.5" customHeight="1" s="71">
      <c r="B2001" s="169" t="n"/>
      <c r="C2001" s="35" t="n"/>
      <c r="D2001" s="35" t="n"/>
      <c r="E2001" s="35" t="n"/>
      <c r="F2001" s="166" t="n"/>
      <c r="G2001" s="166">
        <f>IF(AND(E2001&lt;&gt;"",F2001&lt;&gt;""),E2001*F2001,"")</f>
      </c>
    </row>
    <row r="2002" ht="16.5" customHeight="1" s="71">
      <c r="B2002" s="169" t="n"/>
      <c r="C2002" s="35" t="n"/>
      <c r="D2002" s="35" t="n"/>
      <c r="E2002" s="35" t="n"/>
      <c r="F2002" s="166" t="n"/>
      <c r="G2002" s="166">
        <f>IF(AND(E2002&lt;&gt;"",F2002&lt;&gt;""),E2002*F2002,"")</f>
      </c>
    </row>
    <row r="2003" ht="16.5" customHeight="1" s="71">
      <c r="B2003" s="169" t="n"/>
      <c r="C2003" s="35" t="n"/>
      <c r="D2003" s="35" t="n"/>
      <c r="E2003" s="35" t="n"/>
      <c r="F2003" s="166" t="n"/>
      <c r="G2003" s="166">
        <f>IF(AND(E2003&lt;&gt;"",F2003&lt;&gt;""),E2003*F2003,"")</f>
      </c>
    </row>
    <row r="2004" ht="16.5" customHeight="1" s="71">
      <c r="B2004" s="169" t="n"/>
      <c r="C2004" s="35" t="n"/>
      <c r="D2004" s="35" t="n"/>
      <c r="E2004" s="35" t="n"/>
      <c r="F2004" s="166" t="n"/>
      <c r="G2004" s="166">
        <f>IF(AND(E2004&lt;&gt;"",F2004&lt;&gt;""),E2004*F2004,"")</f>
      </c>
    </row>
    <row r="2005" ht="16.5" customHeight="1" s="71">
      <c r="B2005" s="169" t="n"/>
      <c r="C2005" s="35" t="n"/>
      <c r="D2005" s="35" t="n"/>
      <c r="E2005" s="35" t="n"/>
      <c r="F2005" s="166" t="n"/>
      <c r="G2005" s="166">
        <f>IF(AND(E2005&lt;&gt;"",F2005&lt;&gt;""),E2005*F2005,"")</f>
      </c>
    </row>
    <row r="2006" ht="16.5" customHeight="1" s="71">
      <c r="B2006" s="169" t="n"/>
      <c r="C2006" s="35" t="n"/>
      <c r="D2006" s="35" t="n"/>
      <c r="E2006" s="35" t="n"/>
      <c r="F2006" s="166" t="n"/>
      <c r="G2006" s="166">
        <f>IF(AND(E2006&lt;&gt;"",F2006&lt;&gt;""),E2006*F2006,"")</f>
      </c>
    </row>
    <row r="2007" ht="16.5" customHeight="1" s="71">
      <c r="B2007" s="169" t="n"/>
      <c r="C2007" s="35" t="n"/>
      <c r="D2007" s="35" t="n"/>
      <c r="E2007" s="35" t="n"/>
      <c r="F2007" s="166" t="n"/>
      <c r="G2007" s="166">
        <f>IF(AND(E2007&lt;&gt;"",F2007&lt;&gt;""),E2007*F2007,"")</f>
      </c>
    </row>
    <row r="2008" ht="16.5" customHeight="1" s="71">
      <c r="B2008" s="169" t="n"/>
      <c r="C2008" s="35" t="n"/>
      <c r="D2008" s="35" t="n"/>
      <c r="E2008" s="35" t="n"/>
      <c r="F2008" s="166" t="n"/>
      <c r="G2008" s="166">
        <f>IF(AND(E2008&lt;&gt;"",F2008&lt;&gt;""),E2008*F2008,"")</f>
      </c>
    </row>
    <row r="2009" ht="16.5" customHeight="1" s="71">
      <c r="B2009" s="169" t="n"/>
      <c r="C2009" s="35" t="n"/>
      <c r="D2009" s="35" t="n"/>
      <c r="E2009" s="35" t="n"/>
      <c r="F2009" s="166" t="n"/>
      <c r="G2009" s="166">
        <f>IF(AND(E2009&lt;&gt;"",F2009&lt;&gt;""),E2009*F2009,"")</f>
      </c>
    </row>
    <row r="2010" ht="16.5" customHeight="1" s="71">
      <c r="B2010" s="169" t="n"/>
      <c r="C2010" s="35" t="n"/>
      <c r="D2010" s="35" t="n"/>
      <c r="E2010" s="35" t="n"/>
      <c r="F2010" s="166" t="n"/>
      <c r="G2010" s="166">
        <f>IF(AND(E2010&lt;&gt;"",F2010&lt;&gt;""),E2010*F2010,"")</f>
      </c>
    </row>
    <row r="2011" ht="16.5" customHeight="1" s="71">
      <c r="B2011" s="169" t="n"/>
      <c r="C2011" s="35" t="n"/>
      <c r="D2011" s="35" t="n"/>
      <c r="E2011" s="35" t="n"/>
      <c r="F2011" s="166" t="n"/>
      <c r="G2011" s="166">
        <f>IF(AND(E2011&lt;&gt;"",F2011&lt;&gt;""),E2011*F2011,"")</f>
      </c>
    </row>
    <row r="2012" ht="16.5" customHeight="1" s="71">
      <c r="B2012" s="169" t="n"/>
      <c r="C2012" s="35" t="n"/>
      <c r="D2012" s="35" t="n"/>
      <c r="E2012" s="35" t="n"/>
      <c r="F2012" s="166" t="n"/>
      <c r="G2012" s="166">
        <f>IF(AND(E2012&lt;&gt;"",F2012&lt;&gt;""),E2012*F2012,"")</f>
      </c>
    </row>
    <row r="2013" ht="16.5" customHeight="1" s="71">
      <c r="B2013" s="169" t="n"/>
      <c r="C2013" s="35" t="n"/>
      <c r="D2013" s="35" t="n"/>
      <c r="E2013" s="35" t="n"/>
      <c r="F2013" s="166" t="n"/>
      <c r="G2013" s="166">
        <f>IF(AND(E2013&lt;&gt;"",F2013&lt;&gt;""),E2013*F2013,"")</f>
      </c>
    </row>
    <row r="2014" ht="16.5" customHeight="1" s="71">
      <c r="B2014" s="169" t="n"/>
      <c r="C2014" s="35" t="n"/>
      <c r="D2014" s="35" t="n"/>
      <c r="E2014" s="35" t="n"/>
      <c r="F2014" s="166" t="n"/>
      <c r="G2014" s="166">
        <f>IF(AND(E2014&lt;&gt;"",F2014&lt;&gt;""),E2014*F2014,"")</f>
      </c>
    </row>
    <row r="2015" ht="16.5" customHeight="1" s="71">
      <c r="B2015" s="169" t="n"/>
      <c r="C2015" s="35" t="n"/>
      <c r="D2015" s="35" t="n"/>
      <c r="E2015" s="35" t="n"/>
      <c r="F2015" s="166" t="n"/>
      <c r="G2015" s="166">
        <f>IF(AND(E2015&lt;&gt;"",F2015&lt;&gt;""),E2015*F2015,"")</f>
      </c>
    </row>
    <row r="2016" ht="16.5" customHeight="1" s="71">
      <c r="B2016" s="169" t="n"/>
      <c r="C2016" s="35" t="n"/>
      <c r="D2016" s="35" t="n"/>
      <c r="E2016" s="35" t="n"/>
      <c r="F2016" s="166" t="n"/>
      <c r="G2016" s="166">
        <f>IF(AND(E2016&lt;&gt;"",F2016&lt;&gt;""),E2016*F2016,"")</f>
      </c>
    </row>
    <row r="2017" ht="16.5" customHeight="1" s="71">
      <c r="B2017" s="169" t="n"/>
      <c r="C2017" s="35" t="n"/>
      <c r="D2017" s="35" t="n"/>
      <c r="E2017" s="35" t="n"/>
      <c r="F2017" s="166" t="n"/>
      <c r="G2017" s="166">
        <f>IF(AND(E2017&lt;&gt;"",F2017&lt;&gt;""),E2017*F2017,"")</f>
      </c>
    </row>
    <row r="2018" ht="16.5" customHeight="1" s="71">
      <c r="B2018" s="169" t="n"/>
      <c r="C2018" s="35" t="n"/>
      <c r="D2018" s="35" t="n"/>
      <c r="E2018" s="35" t="n"/>
      <c r="F2018" s="166" t="n"/>
      <c r="G2018" s="166">
        <f>IF(AND(E2018&lt;&gt;"",F2018&lt;&gt;""),E2018*F2018,"")</f>
      </c>
    </row>
    <row r="2019" ht="16.5" customHeight="1" s="71">
      <c r="B2019" s="169" t="n"/>
      <c r="C2019" s="35" t="n"/>
      <c r="D2019" s="35" t="n"/>
      <c r="E2019" s="35" t="n"/>
      <c r="F2019" s="166" t="n"/>
      <c r="G2019" s="166">
        <f>IF(AND(E2019&lt;&gt;"",F2019&lt;&gt;""),E2019*F2019,"")</f>
      </c>
    </row>
    <row r="2020" ht="16.5" customHeight="1" s="71">
      <c r="B2020" s="169" t="n"/>
      <c r="C2020" s="35" t="n"/>
      <c r="D2020" s="35" t="n"/>
      <c r="E2020" s="35" t="n"/>
      <c r="F2020" s="166" t="n"/>
      <c r="G2020" s="166">
        <f>IF(AND(E2020&lt;&gt;"",F2020&lt;&gt;""),E2020*F2020,"")</f>
      </c>
    </row>
    <row r="2021" ht="16.5" customHeight="1" s="71">
      <c r="B2021" s="169" t="n"/>
      <c r="C2021" s="35" t="n"/>
      <c r="D2021" s="35" t="n"/>
      <c r="E2021" s="35" t="n"/>
      <c r="F2021" s="166" t="n"/>
      <c r="G2021" s="166">
        <f>IF(AND(E2021&lt;&gt;"",F2021&lt;&gt;""),E2021*F2021,"")</f>
      </c>
    </row>
    <row r="2022" ht="16.5" customHeight="1" s="71">
      <c r="B2022" s="169" t="n"/>
      <c r="C2022" s="35" t="n"/>
      <c r="D2022" s="35" t="n"/>
      <c r="E2022" s="35" t="n"/>
      <c r="F2022" s="166" t="n"/>
      <c r="G2022" s="166">
        <f>IF(AND(E2022&lt;&gt;"",F2022&lt;&gt;""),E2022*F2022,"")</f>
      </c>
    </row>
    <row r="2023" ht="16.5" customHeight="1" s="71">
      <c r="B2023" s="169" t="n"/>
      <c r="C2023" s="35" t="n"/>
      <c r="D2023" s="35" t="n"/>
      <c r="E2023" s="35" t="n"/>
      <c r="F2023" s="166" t="n"/>
      <c r="G2023" s="166">
        <f>IF(AND(E2023&lt;&gt;"",F2023&lt;&gt;""),E2023*F2023,"")</f>
      </c>
    </row>
    <row r="2024" ht="16.5" customHeight="1" s="71">
      <c r="B2024" s="169" t="n"/>
      <c r="C2024" s="35" t="n"/>
      <c r="D2024" s="35" t="n"/>
      <c r="E2024" s="35" t="n"/>
      <c r="F2024" s="166" t="n"/>
      <c r="G2024" s="166">
        <f>IF(AND(E2024&lt;&gt;"",F2024&lt;&gt;""),E2024*F2024,"")</f>
      </c>
    </row>
    <row r="2025" ht="16.5" customHeight="1" s="71">
      <c r="B2025" s="169" t="n"/>
      <c r="C2025" s="35" t="n"/>
      <c r="D2025" s="35" t="n"/>
      <c r="E2025" s="35" t="n"/>
      <c r="F2025" s="166" t="n"/>
      <c r="G2025" s="166">
        <f>IF(AND(E2025&lt;&gt;"",F2025&lt;&gt;""),E2025*F2025,"")</f>
      </c>
    </row>
    <row r="2026" ht="16.5" customHeight="1" s="71">
      <c r="B2026" s="169" t="n"/>
      <c r="C2026" s="35" t="n"/>
      <c r="D2026" s="35" t="n"/>
      <c r="E2026" s="35" t="n"/>
      <c r="F2026" s="166" t="n"/>
      <c r="G2026" s="166">
        <f>IF(AND(E2026&lt;&gt;"",F2026&lt;&gt;""),E2026*F2026,"")</f>
      </c>
    </row>
    <row r="2027" ht="16.5" customHeight="1" s="71">
      <c r="B2027" s="169" t="n"/>
      <c r="C2027" s="35" t="n"/>
      <c r="D2027" s="35" t="n"/>
      <c r="E2027" s="35" t="n"/>
      <c r="F2027" s="166" t="n"/>
      <c r="G2027" s="166">
        <f>IF(AND(E2027&lt;&gt;"",F2027&lt;&gt;""),E2027*F2027,"")</f>
      </c>
    </row>
    <row r="2028" ht="16.5" customHeight="1" s="71">
      <c r="B2028" s="169" t="n"/>
      <c r="C2028" s="35" t="n"/>
      <c r="D2028" s="35" t="n"/>
      <c r="E2028" s="35" t="n"/>
      <c r="F2028" s="166" t="n"/>
      <c r="G2028" s="166">
        <f>IF(AND(E2028&lt;&gt;"",F2028&lt;&gt;""),E2028*F2028,"")</f>
      </c>
    </row>
    <row r="2029" ht="16.5" customHeight="1" s="71">
      <c r="B2029" s="169" t="n"/>
      <c r="C2029" s="35" t="n"/>
      <c r="D2029" s="35" t="n"/>
      <c r="E2029" s="35" t="n"/>
      <c r="F2029" s="166" t="n"/>
      <c r="G2029" s="166">
        <f>IF(AND(E2029&lt;&gt;"",F2029&lt;&gt;""),E2029*F2029,"")</f>
      </c>
    </row>
    <row r="2030" ht="16.5" customHeight="1" s="71">
      <c r="B2030" s="169" t="n"/>
      <c r="C2030" s="35" t="n"/>
      <c r="D2030" s="35" t="n"/>
      <c r="E2030" s="35" t="n"/>
      <c r="F2030" s="166" t="n"/>
      <c r="G2030" s="166">
        <f>IF(AND(E2030&lt;&gt;"",F2030&lt;&gt;""),E2030*F2030,"")</f>
      </c>
    </row>
    <row r="2031" ht="16.5" customHeight="1" s="71">
      <c r="B2031" s="169" t="n"/>
      <c r="C2031" s="35" t="n"/>
      <c r="D2031" s="35" t="n"/>
      <c r="E2031" s="35" t="n"/>
      <c r="F2031" s="166" t="n"/>
      <c r="G2031" s="166">
        <f>IF(AND(E2031&lt;&gt;"",F2031&lt;&gt;""),E2031*F2031,"")</f>
      </c>
    </row>
    <row r="2032" ht="16.5" customHeight="1" s="71">
      <c r="B2032" s="169" t="n"/>
      <c r="C2032" s="35" t="n"/>
      <c r="D2032" s="35" t="n"/>
      <c r="E2032" s="35" t="n"/>
      <c r="F2032" s="166" t="n"/>
      <c r="G2032" s="166">
        <f>IF(AND(E2032&lt;&gt;"",F2032&lt;&gt;""),E2032*F2032,"")</f>
      </c>
    </row>
    <row r="2033" ht="16.5" customHeight="1" s="71">
      <c r="B2033" s="169" t="n"/>
      <c r="C2033" s="35" t="n"/>
      <c r="D2033" s="35" t="n"/>
      <c r="E2033" s="35" t="n"/>
      <c r="F2033" s="166" t="n"/>
      <c r="G2033" s="166">
        <f>IF(AND(E2033&lt;&gt;"",F2033&lt;&gt;""),E2033*F2033,"")</f>
      </c>
    </row>
    <row r="2034" ht="16.5" customHeight="1" s="71">
      <c r="B2034" s="169" t="n"/>
      <c r="C2034" s="35" t="n"/>
      <c r="D2034" s="35" t="n"/>
      <c r="E2034" s="35" t="n"/>
      <c r="F2034" s="166" t="n"/>
      <c r="G2034" s="166">
        <f>IF(AND(E2034&lt;&gt;"",F2034&lt;&gt;""),E2034*F2034,"")</f>
      </c>
    </row>
    <row r="2035" ht="16.5" customHeight="1" s="71">
      <c r="B2035" s="169" t="n"/>
      <c r="C2035" s="35" t="n"/>
      <c r="D2035" s="35" t="n"/>
      <c r="E2035" s="35" t="n"/>
      <c r="F2035" s="166" t="n"/>
      <c r="G2035" s="166">
        <f>IF(AND(E2035&lt;&gt;"",F2035&lt;&gt;""),E2035*F2035,"")</f>
      </c>
    </row>
    <row r="2036" ht="16.5" customHeight="1" s="71">
      <c r="B2036" s="169" t="n"/>
      <c r="C2036" s="35" t="n"/>
      <c r="D2036" s="35" t="n"/>
      <c r="E2036" s="35" t="n"/>
      <c r="F2036" s="166" t="n"/>
      <c r="G2036" s="166">
        <f>IF(AND(E2036&lt;&gt;"",F2036&lt;&gt;""),E2036*F2036,"")</f>
      </c>
    </row>
    <row r="2037" ht="16.5" customHeight="1" s="71">
      <c r="B2037" s="169" t="n"/>
      <c r="C2037" s="35" t="n"/>
      <c r="D2037" s="35" t="n"/>
      <c r="E2037" s="35" t="n"/>
      <c r="F2037" s="166" t="n"/>
      <c r="G2037" s="166">
        <f>IF(AND(E2037&lt;&gt;"",F2037&lt;&gt;""),E2037*F2037,"")</f>
      </c>
    </row>
    <row r="2038" ht="16.5" customHeight="1" s="71">
      <c r="B2038" s="169" t="n"/>
      <c r="C2038" s="35" t="n"/>
      <c r="D2038" s="35" t="n"/>
      <c r="E2038" s="35" t="n"/>
      <c r="F2038" s="166" t="n"/>
      <c r="G2038" s="166">
        <f>IF(AND(E2038&lt;&gt;"",F2038&lt;&gt;""),E2038*F2038,"")</f>
      </c>
    </row>
    <row r="2039" ht="16.5" customHeight="1" s="71">
      <c r="B2039" s="169" t="n"/>
      <c r="C2039" s="35" t="n"/>
      <c r="D2039" s="35" t="n"/>
      <c r="E2039" s="35" t="n"/>
      <c r="F2039" s="166" t="n"/>
      <c r="G2039" s="166">
        <f>IF(AND(E2039&lt;&gt;"",F2039&lt;&gt;""),E2039*F2039,"")</f>
      </c>
    </row>
    <row r="2040" ht="16.5" customHeight="1" s="71">
      <c r="B2040" s="169" t="n"/>
      <c r="C2040" s="35" t="n"/>
      <c r="D2040" s="35" t="n"/>
      <c r="E2040" s="35" t="n"/>
      <c r="F2040" s="166" t="n"/>
      <c r="G2040" s="166">
        <f>IF(AND(E2040&lt;&gt;"",F2040&lt;&gt;""),E2040*F2040,"")</f>
      </c>
    </row>
    <row r="2041" ht="16.5" customHeight="1" s="71">
      <c r="B2041" s="169" t="n"/>
      <c r="C2041" s="35" t="n"/>
      <c r="D2041" s="35" t="n"/>
      <c r="E2041" s="35" t="n"/>
      <c r="F2041" s="166" t="n"/>
      <c r="G2041" s="166">
        <f>IF(AND(E2041&lt;&gt;"",F2041&lt;&gt;""),E2041*F2041,"")</f>
      </c>
    </row>
    <row r="2042" ht="16.5" customHeight="1" s="71">
      <c r="B2042" s="169" t="n"/>
      <c r="C2042" s="35" t="n"/>
      <c r="D2042" s="35" t="n"/>
      <c r="E2042" s="35" t="n"/>
      <c r="F2042" s="166" t="n"/>
      <c r="G2042" s="166">
        <f>IF(AND(E2042&lt;&gt;"",F2042&lt;&gt;""),E2042*F2042,"")</f>
      </c>
    </row>
    <row r="2043" ht="16.5" customHeight="1" s="71">
      <c r="B2043" s="169" t="n"/>
      <c r="C2043" s="35" t="n"/>
      <c r="D2043" s="35" t="n"/>
      <c r="E2043" s="35" t="n"/>
      <c r="F2043" s="166" t="n"/>
      <c r="G2043" s="166">
        <f>IF(AND(E2043&lt;&gt;"",F2043&lt;&gt;""),E2043*F2043,"")</f>
      </c>
    </row>
    <row r="2044" ht="16.5" customHeight="1" s="71">
      <c r="B2044" s="169" t="n"/>
      <c r="C2044" s="35" t="n"/>
      <c r="D2044" s="35" t="n"/>
      <c r="E2044" s="35" t="n"/>
      <c r="F2044" s="166" t="n"/>
      <c r="G2044" s="166">
        <f>IF(AND(E2044&lt;&gt;"",F2044&lt;&gt;""),E2044*F2044,"")</f>
      </c>
    </row>
    <row r="2045" ht="16.5" customHeight="1" s="71">
      <c r="B2045" s="169" t="n"/>
      <c r="C2045" s="35" t="n"/>
      <c r="D2045" s="35" t="n"/>
      <c r="E2045" s="35" t="n"/>
      <c r="F2045" s="166" t="n"/>
      <c r="G2045" s="166">
        <f>IF(AND(E2045&lt;&gt;"",F2045&lt;&gt;""),E2045*F2045,"")</f>
      </c>
    </row>
    <row r="2046" ht="16.5" customHeight="1" s="71">
      <c r="B2046" s="169" t="n"/>
      <c r="C2046" s="35" t="n"/>
      <c r="D2046" s="35" t="n"/>
      <c r="E2046" s="35" t="n"/>
      <c r="F2046" s="166" t="n"/>
      <c r="G2046" s="166">
        <f>IF(AND(E2046&lt;&gt;"",F2046&lt;&gt;""),E2046*F2046,"")</f>
      </c>
    </row>
    <row r="2047" ht="16.5" customHeight="1" s="71">
      <c r="B2047" s="169" t="n"/>
      <c r="C2047" s="35" t="n"/>
      <c r="D2047" s="35" t="n"/>
      <c r="E2047" s="35" t="n"/>
      <c r="F2047" s="166" t="n"/>
      <c r="G2047" s="166">
        <f>IF(AND(E2047&lt;&gt;"",F2047&lt;&gt;""),E2047*F2047,"")</f>
      </c>
    </row>
    <row r="2048" ht="16.5" customHeight="1" s="71">
      <c r="B2048" s="169" t="n"/>
      <c r="C2048" s="35" t="n"/>
      <c r="D2048" s="35" t="n"/>
      <c r="E2048" s="35" t="n"/>
      <c r="F2048" s="166" t="n"/>
      <c r="G2048" s="166">
        <f>IF(AND(E2048&lt;&gt;"",F2048&lt;&gt;""),E2048*F2048,"")</f>
      </c>
    </row>
    <row r="2049" ht="16.5" customHeight="1" s="71">
      <c r="B2049" s="169" t="n"/>
      <c r="C2049" s="35" t="n"/>
      <c r="D2049" s="35" t="n"/>
      <c r="E2049" s="35" t="n"/>
      <c r="F2049" s="166" t="n"/>
      <c r="G2049" s="166">
        <f>IF(AND(E2049&lt;&gt;"",F2049&lt;&gt;""),E2049*F2049,"")</f>
      </c>
    </row>
    <row r="2050" ht="16.5" customHeight="1" s="71">
      <c r="B2050" s="169" t="n"/>
      <c r="C2050" s="35" t="n"/>
      <c r="D2050" s="35" t="n"/>
      <c r="E2050" s="35" t="n"/>
      <c r="F2050" s="166" t="n"/>
      <c r="G2050" s="166">
        <f>IF(AND(E2050&lt;&gt;"",F2050&lt;&gt;""),E2050*F2050,"")</f>
      </c>
    </row>
    <row r="2051" ht="16.5" customHeight="1" s="71">
      <c r="B2051" s="169" t="n"/>
      <c r="C2051" s="35" t="n"/>
      <c r="D2051" s="35" t="n"/>
      <c r="E2051" s="35" t="n"/>
      <c r="F2051" s="166" t="n"/>
      <c r="G2051" s="166">
        <f>IF(AND(E2051&lt;&gt;"",F2051&lt;&gt;""),E2051*F2051,"")</f>
      </c>
    </row>
    <row r="2052" ht="16.5" customHeight="1" s="71">
      <c r="B2052" s="169" t="n"/>
      <c r="C2052" s="35" t="n"/>
      <c r="D2052" s="35" t="n"/>
      <c r="E2052" s="35" t="n"/>
      <c r="F2052" s="166" t="n"/>
      <c r="G2052" s="166">
        <f>IF(AND(E2052&lt;&gt;"",F2052&lt;&gt;""),E2052*F2052,"")</f>
      </c>
    </row>
    <row r="2053" ht="16.5" customHeight="1" s="71">
      <c r="B2053" s="169" t="n"/>
      <c r="C2053" s="35" t="n"/>
      <c r="D2053" s="35" t="n"/>
      <c r="E2053" s="35" t="n"/>
      <c r="F2053" s="166" t="n"/>
      <c r="G2053" s="166">
        <f>IF(AND(E2053&lt;&gt;"",F2053&lt;&gt;""),E2053*F2053,"")</f>
      </c>
    </row>
    <row r="2054" ht="16.5" customHeight="1" s="71">
      <c r="B2054" s="169" t="n"/>
      <c r="C2054" s="35" t="n"/>
      <c r="D2054" s="35" t="n"/>
      <c r="E2054" s="35" t="n"/>
      <c r="F2054" s="166" t="n"/>
      <c r="G2054" s="166">
        <f>IF(AND(E2054&lt;&gt;"",F2054&lt;&gt;""),E2054*F2054,"")</f>
      </c>
    </row>
    <row r="2055" ht="16.5" customHeight="1" s="71">
      <c r="B2055" s="169" t="n"/>
      <c r="C2055" s="35" t="n"/>
      <c r="D2055" s="35" t="n"/>
      <c r="E2055" s="35" t="n"/>
      <c r="F2055" s="166" t="n"/>
      <c r="G2055" s="166">
        <f>IF(AND(E2055&lt;&gt;"",F2055&lt;&gt;""),E2055*F2055,"")</f>
      </c>
    </row>
    <row r="2056" ht="16.5" customHeight="1" s="71">
      <c r="B2056" s="169" t="n"/>
      <c r="C2056" s="35" t="n"/>
      <c r="D2056" s="35" t="n"/>
      <c r="E2056" s="35" t="n"/>
      <c r="F2056" s="166" t="n"/>
      <c r="G2056" s="166">
        <f>IF(AND(E2056&lt;&gt;"",F2056&lt;&gt;""),E2056*F2056,"")</f>
      </c>
    </row>
    <row r="2057" ht="16.5" customHeight="1" s="71">
      <c r="B2057" s="169" t="n"/>
      <c r="C2057" s="35" t="n"/>
      <c r="D2057" s="35" t="n"/>
      <c r="E2057" s="35" t="n"/>
      <c r="F2057" s="166" t="n"/>
      <c r="G2057" s="166">
        <f>IF(AND(E2057&lt;&gt;"",F2057&lt;&gt;""),E2057*F2057,"")</f>
      </c>
    </row>
    <row r="2058" ht="16.5" customHeight="1" s="71">
      <c r="B2058" s="169" t="n"/>
      <c r="C2058" s="35" t="n"/>
      <c r="D2058" s="35" t="n"/>
      <c r="E2058" s="35" t="n"/>
      <c r="F2058" s="166" t="n"/>
      <c r="G2058" s="166">
        <f>IF(AND(E2058&lt;&gt;"",F2058&lt;&gt;""),E2058*F2058,"")</f>
      </c>
    </row>
    <row r="2059" ht="16.5" customHeight="1" s="71">
      <c r="B2059" s="169" t="n"/>
      <c r="C2059" s="35" t="n"/>
      <c r="D2059" s="35" t="n"/>
      <c r="E2059" s="35" t="n"/>
      <c r="F2059" s="166" t="n"/>
      <c r="G2059" s="166">
        <f>IF(AND(E2059&lt;&gt;"",F2059&lt;&gt;""),E2059*F2059,"")</f>
      </c>
    </row>
    <row r="2060" ht="16.5" customHeight="1" s="71">
      <c r="B2060" s="169" t="n"/>
      <c r="C2060" s="35" t="n"/>
      <c r="D2060" s="35" t="n"/>
      <c r="E2060" s="35" t="n"/>
      <c r="F2060" s="166" t="n"/>
      <c r="G2060" s="166">
        <f>IF(AND(E2060&lt;&gt;"",F2060&lt;&gt;""),E2060*F2060,"")</f>
      </c>
    </row>
    <row r="2061" ht="16.5" customHeight="1" s="71">
      <c r="B2061" s="169" t="n"/>
      <c r="C2061" s="35" t="n"/>
      <c r="D2061" s="35" t="n"/>
      <c r="E2061" s="35" t="n"/>
      <c r="F2061" s="166" t="n"/>
      <c r="G2061" s="166">
        <f>IF(AND(E2061&lt;&gt;"",F2061&lt;&gt;""),E2061*F2061,"")</f>
      </c>
    </row>
    <row r="2062" ht="16.5" customHeight="1" s="71">
      <c r="B2062" s="169" t="n"/>
      <c r="C2062" s="35" t="n"/>
      <c r="D2062" s="35" t="n"/>
      <c r="E2062" s="35" t="n"/>
      <c r="F2062" s="166" t="n"/>
      <c r="G2062" s="166">
        <f>IF(AND(E2062&lt;&gt;"",F2062&lt;&gt;""),E2062*F2062,"")</f>
      </c>
    </row>
    <row r="2063" ht="16.5" customHeight="1" s="71">
      <c r="B2063" s="169" t="n"/>
      <c r="C2063" s="35" t="n"/>
      <c r="D2063" s="35" t="n"/>
      <c r="E2063" s="35" t="n"/>
      <c r="F2063" s="166" t="n"/>
      <c r="G2063" s="166">
        <f>IF(AND(E2063&lt;&gt;"",F2063&lt;&gt;""),E2063*F2063,"")</f>
      </c>
    </row>
    <row r="2064" ht="16.5" customHeight="1" s="71">
      <c r="B2064" s="169" t="n"/>
      <c r="C2064" s="35" t="n"/>
      <c r="D2064" s="35" t="n"/>
      <c r="E2064" s="35" t="n"/>
      <c r="F2064" s="166" t="n"/>
      <c r="G2064" s="166">
        <f>IF(AND(E2064&lt;&gt;"",F2064&lt;&gt;""),E2064*F2064,"")</f>
      </c>
    </row>
    <row r="2065" ht="16.5" customHeight="1" s="71">
      <c r="B2065" s="169" t="n"/>
      <c r="C2065" s="35" t="n"/>
      <c r="D2065" s="35" t="n"/>
      <c r="E2065" s="35" t="n"/>
      <c r="F2065" s="166" t="n"/>
      <c r="G2065" s="166">
        <f>IF(AND(E2065&lt;&gt;"",F2065&lt;&gt;""),E2065*F2065,"")</f>
      </c>
    </row>
    <row r="2066" ht="16.5" customHeight="1" s="71">
      <c r="B2066" s="169" t="n"/>
      <c r="C2066" s="35" t="n"/>
      <c r="D2066" s="35" t="n"/>
      <c r="E2066" s="35" t="n"/>
      <c r="F2066" s="166" t="n"/>
      <c r="G2066" s="166">
        <f>IF(AND(E2066&lt;&gt;"",F2066&lt;&gt;""),E2066*F2066,"")</f>
      </c>
    </row>
    <row r="2067" ht="16.5" customHeight="1" s="71">
      <c r="B2067" s="169" t="n"/>
      <c r="C2067" s="35" t="n"/>
      <c r="D2067" s="35" t="n"/>
      <c r="E2067" s="35" t="n"/>
      <c r="F2067" s="166" t="n"/>
      <c r="G2067" s="166">
        <f>IF(AND(E2067&lt;&gt;"",F2067&lt;&gt;""),E2067*F2067,"")</f>
      </c>
    </row>
    <row r="2068" ht="16.5" customHeight="1" s="71">
      <c r="B2068" s="169" t="n"/>
      <c r="C2068" s="35" t="n"/>
      <c r="D2068" s="35" t="n"/>
      <c r="E2068" s="35" t="n"/>
      <c r="F2068" s="166" t="n"/>
      <c r="G2068" s="166">
        <f>IF(AND(E2068&lt;&gt;"",F2068&lt;&gt;""),E2068*F2068,"")</f>
      </c>
    </row>
    <row r="2069" ht="16.5" customHeight="1" s="71">
      <c r="B2069" s="169" t="n"/>
      <c r="C2069" s="35" t="n"/>
      <c r="D2069" s="35" t="n"/>
      <c r="E2069" s="35" t="n"/>
      <c r="F2069" s="166" t="n"/>
      <c r="G2069" s="166">
        <f>IF(AND(E2069&lt;&gt;"",F2069&lt;&gt;""),E2069*F2069,"")</f>
      </c>
    </row>
    <row r="2070" ht="16.5" customHeight="1" s="71">
      <c r="B2070" s="169" t="n"/>
      <c r="C2070" s="35" t="n"/>
      <c r="D2070" s="35" t="n"/>
      <c r="E2070" s="35" t="n"/>
      <c r="F2070" s="166" t="n"/>
      <c r="G2070" s="166">
        <f>IF(AND(E2070&lt;&gt;"",F2070&lt;&gt;""),E2070*F2070,"")</f>
      </c>
    </row>
    <row r="2071" ht="16.5" customHeight="1" s="71">
      <c r="B2071" s="169" t="n"/>
      <c r="C2071" s="35" t="n"/>
      <c r="D2071" s="35" t="n"/>
      <c r="E2071" s="35" t="n"/>
      <c r="F2071" s="166" t="n"/>
      <c r="G2071" s="166">
        <f>IF(AND(E2071&lt;&gt;"",F2071&lt;&gt;""),E2071*F2071,"")</f>
      </c>
    </row>
    <row r="2072" ht="16.5" customHeight="1" s="71">
      <c r="B2072" s="169" t="n"/>
      <c r="C2072" s="35" t="n"/>
      <c r="D2072" s="35" t="n"/>
      <c r="E2072" s="35" t="n"/>
      <c r="F2072" s="166" t="n"/>
      <c r="G2072" s="166">
        <f>IF(AND(E2072&lt;&gt;"",F2072&lt;&gt;""),E2072*F2072,"")</f>
      </c>
    </row>
    <row r="2073" ht="16.5" customHeight="1" s="71">
      <c r="B2073" s="169" t="n"/>
      <c r="C2073" s="35" t="n"/>
      <c r="D2073" s="35" t="n"/>
      <c r="E2073" s="35" t="n"/>
      <c r="F2073" s="166" t="n"/>
      <c r="G2073" s="166">
        <f>IF(AND(E2073&lt;&gt;"",F2073&lt;&gt;""),E2073*F2073,"")</f>
      </c>
    </row>
    <row r="2074" ht="16.5" customHeight="1" s="71">
      <c r="B2074" s="169" t="n"/>
      <c r="C2074" s="35" t="n"/>
      <c r="D2074" s="35" t="n"/>
      <c r="E2074" s="35" t="n"/>
      <c r="F2074" s="166" t="n"/>
      <c r="G2074" s="166">
        <f>IF(AND(E2074&lt;&gt;"",F2074&lt;&gt;""),E2074*F2074,"")</f>
      </c>
    </row>
    <row r="2075" ht="16.5" customHeight="1" s="71">
      <c r="B2075" s="169" t="n"/>
      <c r="C2075" s="35" t="n"/>
      <c r="D2075" s="35" t="n"/>
      <c r="E2075" s="35" t="n"/>
      <c r="F2075" s="166" t="n"/>
      <c r="G2075" s="166">
        <f>IF(AND(E2075&lt;&gt;"",F2075&lt;&gt;""),E2075*F2075,"")</f>
      </c>
    </row>
    <row r="2076" ht="16.5" customHeight="1" s="71">
      <c r="B2076" s="169" t="n"/>
      <c r="C2076" s="35" t="n"/>
      <c r="D2076" s="35" t="n"/>
      <c r="E2076" s="35" t="n"/>
      <c r="F2076" s="166" t="n"/>
      <c r="G2076" s="166">
        <f>IF(AND(E2076&lt;&gt;"",F2076&lt;&gt;""),E2076*F2076,"")</f>
      </c>
    </row>
    <row r="2077" ht="16.5" customHeight="1" s="71">
      <c r="B2077" s="169" t="n"/>
      <c r="C2077" s="35" t="n"/>
      <c r="D2077" s="35" t="n"/>
      <c r="E2077" s="35" t="n"/>
      <c r="F2077" s="166" t="n"/>
      <c r="G2077" s="166">
        <f>IF(AND(E2077&lt;&gt;"",F2077&lt;&gt;""),E2077*F2077,"")</f>
      </c>
    </row>
    <row r="2078" ht="16.5" customHeight="1" s="71">
      <c r="B2078" s="169" t="n"/>
      <c r="C2078" s="35" t="n"/>
      <c r="D2078" s="35" t="n"/>
      <c r="E2078" s="35" t="n"/>
      <c r="F2078" s="166" t="n"/>
      <c r="G2078" s="166">
        <f>IF(AND(E2078&lt;&gt;"",F2078&lt;&gt;""),E2078*F2078,"")</f>
      </c>
    </row>
    <row r="2079" ht="16.5" customHeight="1" s="71">
      <c r="B2079" s="169" t="n"/>
      <c r="C2079" s="35" t="n"/>
      <c r="D2079" s="35" t="n"/>
      <c r="E2079" s="35" t="n"/>
      <c r="F2079" s="166" t="n"/>
      <c r="G2079" s="166">
        <f>IF(AND(E2079&lt;&gt;"",F2079&lt;&gt;""),E2079*F2079,"")</f>
      </c>
    </row>
    <row r="2080" ht="16.5" customHeight="1" s="71">
      <c r="B2080" s="169" t="n"/>
      <c r="C2080" s="35" t="n"/>
      <c r="D2080" s="35" t="n"/>
      <c r="E2080" s="35" t="n"/>
      <c r="F2080" s="166" t="n"/>
      <c r="G2080" s="166">
        <f>IF(AND(E2080&lt;&gt;"",F2080&lt;&gt;""),E2080*F2080,"")</f>
      </c>
    </row>
    <row r="2081" ht="16.5" customHeight="1" s="71">
      <c r="B2081" s="169" t="n"/>
      <c r="C2081" s="35" t="n"/>
      <c r="D2081" s="35" t="n"/>
      <c r="E2081" s="35" t="n"/>
      <c r="F2081" s="166" t="n"/>
      <c r="G2081" s="166">
        <f>IF(AND(E2081&lt;&gt;"",F2081&lt;&gt;""),E2081*F2081,"")</f>
      </c>
    </row>
    <row r="2082" ht="16.5" customHeight="1" s="71">
      <c r="B2082" s="169" t="n"/>
      <c r="C2082" s="35" t="n"/>
      <c r="D2082" s="35" t="n"/>
      <c r="E2082" s="35" t="n"/>
      <c r="F2082" s="166" t="n"/>
      <c r="G2082" s="166">
        <f>IF(AND(E2082&lt;&gt;"",F2082&lt;&gt;""),E2082*F2082,"")</f>
      </c>
    </row>
    <row r="2083" ht="16.5" customHeight="1" s="71">
      <c r="B2083" s="169" t="n"/>
      <c r="C2083" s="35" t="n"/>
      <c r="D2083" s="35" t="n"/>
      <c r="E2083" s="35" t="n"/>
      <c r="F2083" s="166" t="n"/>
      <c r="G2083" s="166">
        <f>IF(AND(E2083&lt;&gt;"",F2083&lt;&gt;""),E2083*F2083,"")</f>
      </c>
    </row>
    <row r="2084" ht="16.5" customHeight="1" s="71">
      <c r="B2084" s="169" t="n"/>
      <c r="C2084" s="35" t="n"/>
      <c r="D2084" s="35" t="n"/>
      <c r="E2084" s="35" t="n"/>
      <c r="F2084" s="166" t="n"/>
      <c r="G2084" s="166">
        <f>IF(AND(E2084&lt;&gt;"",F2084&lt;&gt;""),E2084*F2084,"")</f>
      </c>
    </row>
    <row r="2085" ht="16.5" customHeight="1" s="71">
      <c r="B2085" s="169" t="n"/>
      <c r="C2085" s="35" t="n"/>
      <c r="D2085" s="35" t="n"/>
      <c r="E2085" s="35" t="n"/>
      <c r="F2085" s="166" t="n"/>
      <c r="G2085" s="166">
        <f>IF(AND(E2085&lt;&gt;"",F2085&lt;&gt;""),E2085*F2085,"")</f>
      </c>
    </row>
    <row r="2086" ht="16.5" customHeight="1" s="71">
      <c r="B2086" s="169" t="n"/>
      <c r="C2086" s="35" t="n"/>
      <c r="D2086" s="35" t="n"/>
      <c r="E2086" s="35" t="n"/>
      <c r="F2086" s="166" t="n"/>
      <c r="G2086" s="166">
        <f>IF(AND(E2086&lt;&gt;"",F2086&lt;&gt;""),E2086*F2086,"")</f>
      </c>
    </row>
    <row r="2087" ht="16.5" customHeight="1" s="71">
      <c r="B2087" s="169" t="n"/>
      <c r="C2087" s="35" t="n"/>
      <c r="D2087" s="35" t="n"/>
      <c r="E2087" s="35" t="n"/>
      <c r="F2087" s="166" t="n"/>
      <c r="G2087" s="166">
        <f>IF(AND(E2087&lt;&gt;"",F2087&lt;&gt;""),E2087*F2087,"")</f>
      </c>
    </row>
    <row r="2088" ht="16.5" customHeight="1" s="71">
      <c r="B2088" s="169" t="n"/>
      <c r="C2088" s="35" t="n"/>
      <c r="D2088" s="35" t="n"/>
      <c r="E2088" s="35" t="n"/>
      <c r="F2088" s="166" t="n"/>
      <c r="G2088" s="166">
        <f>IF(AND(E2088&lt;&gt;"",F2088&lt;&gt;""),E2088*F2088,"")</f>
      </c>
    </row>
    <row r="2089" ht="16.5" customHeight="1" s="71">
      <c r="B2089" s="169" t="n"/>
      <c r="C2089" s="35" t="n"/>
      <c r="D2089" s="35" t="n"/>
      <c r="E2089" s="35" t="n"/>
      <c r="F2089" s="166" t="n"/>
      <c r="G2089" s="166">
        <f>IF(AND(E2089&lt;&gt;"",F2089&lt;&gt;""),E2089*F2089,"")</f>
      </c>
    </row>
    <row r="2090" ht="16.5" customHeight="1" s="71">
      <c r="B2090" s="169" t="n"/>
      <c r="C2090" s="35" t="n"/>
      <c r="D2090" s="35" t="n"/>
      <c r="E2090" s="35" t="n"/>
      <c r="F2090" s="166" t="n"/>
      <c r="G2090" s="166">
        <f>IF(AND(E2090&lt;&gt;"",F2090&lt;&gt;""),E2090*F2090,"")</f>
      </c>
    </row>
    <row r="2091" ht="16.5" customHeight="1" s="71">
      <c r="B2091" s="169" t="n"/>
      <c r="C2091" s="35" t="n"/>
      <c r="D2091" s="35" t="n"/>
      <c r="E2091" s="35" t="n"/>
      <c r="F2091" s="166" t="n"/>
      <c r="G2091" s="166">
        <f>IF(AND(E2091&lt;&gt;"",F2091&lt;&gt;""),E2091*F2091,"")</f>
      </c>
    </row>
    <row r="2092" ht="16.5" customHeight="1" s="71">
      <c r="B2092" s="169" t="n"/>
      <c r="C2092" s="35" t="n"/>
      <c r="D2092" s="35" t="n"/>
      <c r="E2092" s="35" t="n"/>
      <c r="F2092" s="166" t="n"/>
      <c r="G2092" s="166">
        <f>IF(AND(E2092&lt;&gt;"",F2092&lt;&gt;""),E2092*F2092,"")</f>
      </c>
    </row>
    <row r="2093" ht="16.5" customHeight="1" s="71">
      <c r="B2093" s="169" t="n"/>
      <c r="C2093" s="35" t="n"/>
      <c r="D2093" s="35" t="n"/>
      <c r="E2093" s="35" t="n"/>
      <c r="F2093" s="166" t="n"/>
      <c r="G2093" s="166">
        <f>IF(AND(E2093&lt;&gt;"",F2093&lt;&gt;""),E2093*F2093,"")</f>
      </c>
    </row>
    <row r="2094" ht="16.5" customHeight="1" s="71">
      <c r="B2094" s="169" t="n"/>
      <c r="C2094" s="35" t="n"/>
      <c r="D2094" s="35" t="n"/>
      <c r="E2094" s="35" t="n"/>
      <c r="F2094" s="166" t="n"/>
      <c r="G2094" s="166">
        <f>IF(AND(E2094&lt;&gt;"",F2094&lt;&gt;""),E2094*F2094,"")</f>
      </c>
    </row>
    <row r="2095" ht="16.5" customHeight="1" s="71">
      <c r="B2095" s="169" t="n"/>
      <c r="C2095" s="35" t="n"/>
      <c r="D2095" s="35" t="n"/>
      <c r="E2095" s="35" t="n"/>
      <c r="F2095" s="166" t="n"/>
      <c r="G2095" s="166">
        <f>IF(AND(E2095&lt;&gt;"",F2095&lt;&gt;""),E2095*F2095,"")</f>
      </c>
    </row>
    <row r="2096" ht="16.5" customHeight="1" s="71">
      <c r="B2096" s="169" t="n"/>
      <c r="C2096" s="35" t="n"/>
      <c r="D2096" s="35" t="n"/>
      <c r="E2096" s="35" t="n"/>
      <c r="F2096" s="166" t="n"/>
      <c r="G2096" s="166">
        <f>IF(AND(E2096&lt;&gt;"",F2096&lt;&gt;""),E2096*F2096,"")</f>
      </c>
    </row>
    <row r="2097" ht="16.5" customHeight="1" s="71">
      <c r="B2097" s="169" t="n"/>
      <c r="C2097" s="35" t="n"/>
      <c r="D2097" s="35" t="n"/>
      <c r="E2097" s="35" t="n"/>
      <c r="F2097" s="166" t="n"/>
      <c r="G2097" s="166">
        <f>IF(AND(E2097&lt;&gt;"",F2097&lt;&gt;""),E2097*F2097,"")</f>
      </c>
    </row>
    <row r="2098" ht="16.5" customHeight="1" s="71">
      <c r="B2098" s="169" t="n"/>
      <c r="C2098" s="35" t="n"/>
      <c r="D2098" s="35" t="n"/>
      <c r="E2098" s="35" t="n"/>
      <c r="F2098" s="166" t="n"/>
      <c r="G2098" s="166">
        <f>IF(AND(E2098&lt;&gt;"",F2098&lt;&gt;""),E2098*F2098,"")</f>
      </c>
    </row>
    <row r="2099" ht="16.5" customHeight="1" s="71">
      <c r="B2099" s="169" t="n"/>
      <c r="C2099" s="35" t="n"/>
      <c r="D2099" s="35" t="n"/>
      <c r="E2099" s="35" t="n"/>
      <c r="F2099" s="166" t="n"/>
      <c r="G2099" s="166">
        <f>IF(AND(E2099&lt;&gt;"",F2099&lt;&gt;""),E2099*F2099,"")</f>
      </c>
    </row>
    <row r="2100" ht="16.5" customHeight="1" s="71">
      <c r="B2100" s="169" t="n"/>
      <c r="C2100" s="35" t="n"/>
      <c r="D2100" s="35" t="n"/>
      <c r="E2100" s="35" t="n"/>
      <c r="F2100" s="166" t="n"/>
      <c r="G2100" s="166">
        <f>IF(AND(E2100&lt;&gt;"",F2100&lt;&gt;""),E2100*F2100,"")</f>
      </c>
    </row>
    <row r="2101" ht="16.5" customHeight="1" s="71">
      <c r="B2101" s="169" t="n"/>
      <c r="C2101" s="35" t="n"/>
      <c r="D2101" s="35" t="n"/>
      <c r="E2101" s="35" t="n"/>
      <c r="F2101" s="166" t="n"/>
      <c r="G2101" s="166">
        <f>IF(AND(E2101&lt;&gt;"",F2101&lt;&gt;""),E2101*F2101,"")</f>
      </c>
    </row>
    <row r="2102" ht="16.5" customHeight="1" s="71">
      <c r="B2102" s="169" t="n"/>
      <c r="C2102" s="35" t="n"/>
      <c r="D2102" s="35" t="n"/>
      <c r="E2102" s="35" t="n"/>
      <c r="F2102" s="166" t="n"/>
      <c r="G2102" s="166">
        <f>IF(AND(E2102&lt;&gt;"",F2102&lt;&gt;""),E2102*F2102,"")</f>
      </c>
    </row>
    <row r="2103" ht="16.5" customHeight="1" s="71">
      <c r="B2103" s="169" t="n"/>
      <c r="C2103" s="35" t="n"/>
      <c r="D2103" s="35" t="n"/>
      <c r="E2103" s="35" t="n"/>
      <c r="F2103" s="166" t="n"/>
      <c r="G2103" s="166">
        <f>IF(AND(E2103&lt;&gt;"",F2103&lt;&gt;""),E2103*F2103,"")</f>
      </c>
    </row>
    <row r="2104" ht="16.5" customHeight="1" s="71">
      <c r="B2104" s="169" t="n"/>
      <c r="C2104" s="35" t="n"/>
      <c r="D2104" s="35" t="n"/>
      <c r="E2104" s="35" t="n"/>
      <c r="F2104" s="166" t="n"/>
      <c r="G2104" s="166">
        <f>IF(AND(E2104&lt;&gt;"",F2104&lt;&gt;""),E2104*F2104,"")</f>
      </c>
    </row>
    <row r="2105" ht="16.5" customHeight="1" s="71">
      <c r="B2105" s="169" t="n"/>
      <c r="C2105" s="35" t="n"/>
      <c r="D2105" s="35" t="n"/>
      <c r="E2105" s="35" t="n"/>
      <c r="F2105" s="166" t="n"/>
      <c r="G2105" s="166">
        <f>IF(AND(E2105&lt;&gt;"",F2105&lt;&gt;""),E2105*F2105,"")</f>
      </c>
    </row>
    <row r="2106" ht="16.5" customHeight="1" s="71">
      <c r="B2106" s="169" t="n"/>
      <c r="C2106" s="35" t="n"/>
      <c r="D2106" s="35" t="n"/>
      <c r="E2106" s="35" t="n"/>
      <c r="F2106" s="166" t="n"/>
      <c r="G2106" s="166">
        <f>IF(AND(E2106&lt;&gt;"",F2106&lt;&gt;""),E2106*F2106,"")</f>
      </c>
    </row>
    <row r="2107" ht="16.5" customHeight="1" s="71">
      <c r="B2107" s="169" t="n"/>
      <c r="C2107" s="35" t="n"/>
      <c r="D2107" s="35" t="n"/>
      <c r="E2107" s="35" t="n"/>
      <c r="F2107" s="166" t="n"/>
      <c r="G2107" s="166">
        <f>IF(AND(E2107&lt;&gt;"",F2107&lt;&gt;""),E2107*F2107,"")</f>
      </c>
    </row>
    <row r="2108" ht="16.5" customHeight="1" s="71">
      <c r="B2108" s="169" t="n"/>
      <c r="C2108" s="35" t="n"/>
      <c r="D2108" s="35" t="n"/>
      <c r="E2108" s="35" t="n"/>
      <c r="F2108" s="166" t="n"/>
      <c r="G2108" s="166">
        <f>IF(AND(E2108&lt;&gt;"",F2108&lt;&gt;""),E2108*F2108,"")</f>
      </c>
    </row>
    <row r="2109" ht="16.5" customHeight="1" s="71">
      <c r="B2109" s="169" t="n"/>
      <c r="C2109" s="35" t="n"/>
      <c r="D2109" s="35" t="n"/>
      <c r="E2109" s="35" t="n"/>
      <c r="F2109" s="166" t="n"/>
      <c r="G2109" s="166">
        <f>IF(AND(E2109&lt;&gt;"",F2109&lt;&gt;""),E2109*F2109,"")</f>
      </c>
    </row>
    <row r="2110" ht="16.5" customHeight="1" s="71">
      <c r="B2110" s="169" t="n"/>
      <c r="C2110" s="35" t="n"/>
      <c r="D2110" s="35" t="n"/>
      <c r="E2110" s="35" t="n"/>
      <c r="F2110" s="166" t="n"/>
      <c r="G2110" s="166">
        <f>IF(AND(E2110&lt;&gt;"",F2110&lt;&gt;""),E2110*F2110,"")</f>
      </c>
    </row>
    <row r="2111" ht="16.5" customHeight="1" s="71">
      <c r="B2111" s="169" t="n"/>
      <c r="C2111" s="35" t="n"/>
      <c r="D2111" s="35" t="n"/>
      <c r="E2111" s="35" t="n"/>
      <c r="F2111" s="166" t="n"/>
      <c r="G2111" s="166">
        <f>IF(AND(E2111&lt;&gt;"",F2111&lt;&gt;""),E2111*F2111,"")</f>
      </c>
    </row>
    <row r="2112" ht="16.5" customHeight="1" s="71">
      <c r="B2112" s="169" t="n"/>
      <c r="C2112" s="35" t="n"/>
      <c r="D2112" s="35" t="n"/>
      <c r="E2112" s="35" t="n"/>
      <c r="F2112" s="166" t="n"/>
      <c r="G2112" s="166">
        <f>IF(AND(E2112&lt;&gt;"",F2112&lt;&gt;""),E2112*F2112,"")</f>
      </c>
    </row>
    <row r="2113" ht="16.5" customHeight="1" s="71">
      <c r="B2113" s="169" t="n"/>
      <c r="C2113" s="35" t="n"/>
      <c r="D2113" s="35" t="n"/>
      <c r="E2113" s="35" t="n"/>
      <c r="F2113" s="166" t="n"/>
      <c r="G2113" s="166">
        <f>IF(AND(E2113&lt;&gt;"",F2113&lt;&gt;""),E2113*F2113,"")</f>
      </c>
    </row>
    <row r="2114" ht="16.5" customHeight="1" s="71">
      <c r="B2114" s="169" t="n"/>
      <c r="C2114" s="35" t="n"/>
      <c r="D2114" s="35" t="n"/>
      <c r="E2114" s="35" t="n"/>
      <c r="F2114" s="166" t="n"/>
      <c r="G2114" s="166">
        <f>IF(AND(E2114&lt;&gt;"",F2114&lt;&gt;""),E2114*F2114,"")</f>
      </c>
    </row>
    <row r="2115" ht="16.5" customHeight="1" s="71">
      <c r="B2115" s="169" t="n"/>
      <c r="C2115" s="35" t="n"/>
      <c r="D2115" s="35" t="n"/>
      <c r="E2115" s="35" t="n"/>
      <c r="F2115" s="166" t="n"/>
      <c r="G2115" s="166">
        <f>IF(AND(E2115&lt;&gt;"",F2115&lt;&gt;""),E2115*F2115,"")</f>
      </c>
    </row>
    <row r="2116" ht="16.5" customHeight="1" s="71">
      <c r="B2116" s="169" t="n"/>
      <c r="C2116" s="35" t="n"/>
      <c r="D2116" s="35" t="n"/>
      <c r="E2116" s="35" t="n"/>
      <c r="F2116" s="166" t="n"/>
      <c r="G2116" s="166">
        <f>IF(AND(E2116&lt;&gt;"",F2116&lt;&gt;""),E2116*F2116,"")</f>
      </c>
    </row>
    <row r="2117" ht="16.5" customHeight="1" s="71">
      <c r="B2117" s="169" t="n"/>
      <c r="C2117" s="35" t="n"/>
      <c r="D2117" s="35" t="n"/>
      <c r="E2117" s="35" t="n"/>
      <c r="F2117" s="166" t="n"/>
      <c r="G2117" s="166">
        <f>IF(AND(E2117&lt;&gt;"",F2117&lt;&gt;""),E2117*F2117,"")</f>
      </c>
    </row>
    <row r="2118" ht="16.5" customHeight="1" s="71">
      <c r="B2118" s="169" t="n"/>
      <c r="C2118" s="35" t="n"/>
      <c r="D2118" s="35" t="n"/>
      <c r="E2118" s="35" t="n"/>
      <c r="F2118" s="166" t="n"/>
      <c r="G2118" s="166">
        <f>IF(AND(E2118&lt;&gt;"",F2118&lt;&gt;""),E2118*F2118,"")</f>
      </c>
    </row>
    <row r="2119" ht="16.5" customHeight="1" s="71">
      <c r="B2119" s="169" t="n"/>
      <c r="C2119" s="35" t="n"/>
      <c r="D2119" s="35" t="n"/>
      <c r="E2119" s="35" t="n"/>
      <c r="F2119" s="166" t="n"/>
      <c r="G2119" s="166">
        <f>IF(AND(E2119&lt;&gt;"",F2119&lt;&gt;""),E2119*F2119,"")</f>
      </c>
    </row>
    <row r="2120" ht="16.5" customHeight="1" s="71">
      <c r="B2120" s="169" t="n"/>
      <c r="C2120" s="35" t="n"/>
      <c r="D2120" s="35" t="n"/>
      <c r="E2120" s="35" t="n"/>
      <c r="F2120" s="166" t="n"/>
      <c r="G2120" s="166">
        <f>IF(AND(E2120&lt;&gt;"",F2120&lt;&gt;""),E2120*F2120,"")</f>
      </c>
    </row>
    <row r="2121" ht="16.5" customHeight="1" s="71">
      <c r="B2121" s="169" t="n"/>
      <c r="C2121" s="35" t="n"/>
      <c r="D2121" s="35" t="n"/>
      <c r="E2121" s="35" t="n"/>
      <c r="F2121" s="166" t="n"/>
      <c r="G2121" s="166">
        <f>IF(AND(E2121&lt;&gt;"",F2121&lt;&gt;""),E2121*F2121,"")</f>
      </c>
    </row>
    <row r="2122" ht="16.5" customHeight="1" s="71">
      <c r="B2122" s="169" t="n"/>
      <c r="C2122" s="35" t="n"/>
      <c r="D2122" s="35" t="n"/>
      <c r="E2122" s="35" t="n"/>
      <c r="F2122" s="166" t="n"/>
      <c r="G2122" s="166">
        <f>IF(AND(E2122&lt;&gt;"",F2122&lt;&gt;""),E2122*F2122,"")</f>
      </c>
    </row>
    <row r="2123" ht="16.5" customHeight="1" s="71">
      <c r="B2123" s="169" t="n"/>
      <c r="C2123" s="35" t="n"/>
      <c r="D2123" s="35" t="n"/>
      <c r="E2123" s="35" t="n"/>
      <c r="F2123" s="166" t="n"/>
      <c r="G2123" s="166">
        <f>IF(AND(E2123&lt;&gt;"",F2123&lt;&gt;""),E2123*F2123,"")</f>
      </c>
    </row>
    <row r="2124" ht="16.5" customHeight="1" s="71">
      <c r="B2124" s="169" t="n"/>
      <c r="C2124" s="35" t="n"/>
      <c r="D2124" s="35" t="n"/>
      <c r="E2124" s="35" t="n"/>
      <c r="F2124" s="166" t="n"/>
      <c r="G2124" s="166">
        <f>IF(AND(E2124&lt;&gt;"",F2124&lt;&gt;""),E2124*F2124,"")</f>
      </c>
    </row>
    <row r="2125" ht="16.5" customHeight="1" s="71">
      <c r="B2125" s="169" t="n"/>
      <c r="C2125" s="35" t="n"/>
      <c r="D2125" s="35" t="n"/>
      <c r="E2125" s="35" t="n"/>
      <c r="F2125" s="166" t="n"/>
      <c r="G2125" s="166">
        <f>IF(AND(E2125&lt;&gt;"",F2125&lt;&gt;""),E2125*F2125,"")</f>
      </c>
    </row>
    <row r="2126" ht="16.5" customHeight="1" s="71">
      <c r="B2126" s="169" t="n"/>
      <c r="C2126" s="35" t="n"/>
      <c r="D2126" s="35" t="n"/>
      <c r="E2126" s="35" t="n"/>
      <c r="F2126" s="166" t="n"/>
      <c r="G2126" s="166">
        <f>IF(AND(E2126&lt;&gt;"",F2126&lt;&gt;""),E2126*F2126,"")</f>
      </c>
    </row>
    <row r="2127" ht="16.5" customHeight="1" s="71">
      <c r="B2127" s="169" t="n"/>
      <c r="C2127" s="35" t="n"/>
      <c r="D2127" s="35" t="n"/>
      <c r="E2127" s="35" t="n"/>
      <c r="F2127" s="166" t="n"/>
      <c r="G2127" s="166">
        <f>IF(AND(E2127&lt;&gt;"",F2127&lt;&gt;""),E2127*F2127,"")</f>
      </c>
    </row>
    <row r="2128" ht="16.5" customHeight="1" s="71">
      <c r="B2128" s="169" t="n"/>
      <c r="C2128" s="35" t="n"/>
      <c r="D2128" s="35" t="n"/>
      <c r="E2128" s="35" t="n"/>
      <c r="F2128" s="166" t="n"/>
      <c r="G2128" s="166">
        <f>IF(AND(E2128&lt;&gt;"",F2128&lt;&gt;""),E2128*F2128,"")</f>
      </c>
    </row>
    <row r="2129" ht="16.5" customHeight="1" s="71">
      <c r="B2129" s="169" t="n"/>
      <c r="C2129" s="35" t="n"/>
      <c r="D2129" s="35" t="n"/>
      <c r="E2129" s="35" t="n"/>
      <c r="F2129" s="166" t="n"/>
      <c r="G2129" s="166">
        <f>IF(AND(E2129&lt;&gt;"",F2129&lt;&gt;""),E2129*F2129,"")</f>
      </c>
    </row>
    <row r="2130" ht="16.5" customHeight="1" s="71">
      <c r="B2130" s="169" t="n"/>
      <c r="C2130" s="35" t="n"/>
      <c r="D2130" s="35" t="n"/>
      <c r="E2130" s="35" t="n"/>
      <c r="F2130" s="166" t="n"/>
      <c r="G2130" s="166">
        <f>IF(AND(E2130&lt;&gt;"",F2130&lt;&gt;""),E2130*F2130,"")</f>
      </c>
    </row>
    <row r="2131" ht="16.5" customHeight="1" s="71">
      <c r="B2131" s="169" t="n"/>
      <c r="C2131" s="35" t="n"/>
      <c r="D2131" s="35" t="n"/>
      <c r="E2131" s="35" t="n"/>
      <c r="F2131" s="166" t="n"/>
      <c r="G2131" s="166">
        <f>IF(AND(E2131&lt;&gt;"",F2131&lt;&gt;""),E2131*F2131,"")</f>
      </c>
    </row>
    <row r="2132" ht="16.5" customHeight="1" s="71">
      <c r="B2132" s="169" t="n"/>
      <c r="C2132" s="35" t="n"/>
      <c r="D2132" s="35" t="n"/>
      <c r="E2132" s="35" t="n"/>
      <c r="F2132" s="166" t="n"/>
      <c r="G2132" s="166">
        <f>IF(AND(E2132&lt;&gt;"",F2132&lt;&gt;""),E2132*F2132,"")</f>
      </c>
    </row>
    <row r="2133" ht="16.5" customHeight="1" s="71">
      <c r="B2133" s="169" t="n"/>
      <c r="C2133" s="35" t="n"/>
      <c r="D2133" s="35" t="n"/>
      <c r="E2133" s="35" t="n"/>
      <c r="F2133" s="166" t="n"/>
      <c r="G2133" s="166">
        <f>IF(AND(E2133&lt;&gt;"",F2133&lt;&gt;""),E2133*F2133,"")</f>
      </c>
    </row>
    <row r="2134" ht="16.5" customHeight="1" s="71">
      <c r="B2134" s="169" t="n"/>
      <c r="C2134" s="35" t="n"/>
      <c r="D2134" s="35" t="n"/>
      <c r="E2134" s="35" t="n"/>
      <c r="F2134" s="166" t="n"/>
      <c r="G2134" s="166">
        <f>IF(AND(E2134&lt;&gt;"",F2134&lt;&gt;""),E2134*F2134,"")</f>
      </c>
    </row>
    <row r="2135" ht="16.5" customHeight="1" s="71">
      <c r="B2135" s="169" t="n"/>
      <c r="C2135" s="35" t="n"/>
      <c r="D2135" s="35" t="n"/>
      <c r="E2135" s="35" t="n"/>
      <c r="F2135" s="166" t="n"/>
      <c r="G2135" s="166">
        <f>IF(AND(E2135&lt;&gt;"",F2135&lt;&gt;""),E2135*F2135,"")</f>
      </c>
    </row>
    <row r="2136" ht="16.5" customHeight="1" s="71">
      <c r="B2136" s="169" t="n"/>
      <c r="C2136" s="35" t="n"/>
      <c r="D2136" s="35" t="n"/>
      <c r="E2136" s="35" t="n"/>
      <c r="F2136" s="166" t="n"/>
      <c r="G2136" s="166">
        <f>IF(AND(E2136&lt;&gt;"",F2136&lt;&gt;""),E2136*F2136,"")</f>
      </c>
    </row>
    <row r="2137" ht="16.5" customHeight="1" s="71">
      <c r="B2137" s="169" t="n"/>
      <c r="C2137" s="35" t="n"/>
      <c r="D2137" s="35" t="n"/>
      <c r="E2137" s="35" t="n"/>
      <c r="F2137" s="166" t="n"/>
      <c r="G2137" s="166">
        <f>IF(AND(E2137&lt;&gt;"",F2137&lt;&gt;""),E2137*F2137,"")</f>
      </c>
    </row>
    <row r="2138" ht="16.5" customHeight="1" s="71">
      <c r="B2138" s="169" t="n"/>
      <c r="C2138" s="35" t="n"/>
      <c r="D2138" s="35" t="n"/>
      <c r="E2138" s="35" t="n"/>
      <c r="F2138" s="166" t="n"/>
      <c r="G2138" s="166">
        <f>IF(AND(E2138&lt;&gt;"",F2138&lt;&gt;""),E2138*F2138,"")</f>
      </c>
    </row>
    <row r="2139" ht="16.5" customHeight="1" s="71">
      <c r="B2139" s="169" t="n"/>
      <c r="C2139" s="35" t="n"/>
      <c r="D2139" s="35" t="n"/>
      <c r="E2139" s="35" t="n"/>
      <c r="F2139" s="166" t="n"/>
      <c r="G2139" s="166">
        <f>IF(AND(E2139&lt;&gt;"",F2139&lt;&gt;""),E2139*F2139,"")</f>
      </c>
    </row>
    <row r="2140" ht="16.5" customHeight="1" s="71">
      <c r="B2140" s="169" t="n"/>
      <c r="C2140" s="35" t="n"/>
      <c r="D2140" s="35" t="n"/>
      <c r="E2140" s="35" t="n"/>
      <c r="F2140" s="166" t="n"/>
      <c r="G2140" s="166">
        <f>IF(AND(E2140&lt;&gt;"",F2140&lt;&gt;""),E2140*F2140,"")</f>
      </c>
    </row>
    <row r="2141" ht="16.5" customHeight="1" s="71">
      <c r="B2141" s="169" t="n"/>
      <c r="C2141" s="35" t="n"/>
      <c r="D2141" s="35" t="n"/>
      <c r="E2141" s="35" t="n"/>
      <c r="F2141" s="166" t="n"/>
      <c r="G2141" s="166">
        <f>IF(AND(E2141&lt;&gt;"",F2141&lt;&gt;""),E2141*F2141,"")</f>
      </c>
    </row>
    <row r="2142" ht="16.5" customHeight="1" s="71">
      <c r="B2142" s="169" t="n"/>
      <c r="C2142" s="35" t="n"/>
      <c r="D2142" s="35" t="n"/>
      <c r="E2142" s="35" t="n"/>
      <c r="F2142" s="166" t="n"/>
      <c r="G2142" s="166">
        <f>IF(AND(E2142&lt;&gt;"",F2142&lt;&gt;""),E2142*F2142,"")</f>
      </c>
    </row>
    <row r="2143" ht="16.5" customHeight="1" s="71">
      <c r="B2143" s="169" t="n"/>
      <c r="C2143" s="35" t="n"/>
      <c r="D2143" s="35" t="n"/>
      <c r="E2143" s="35" t="n"/>
      <c r="F2143" s="166" t="n"/>
      <c r="G2143" s="166">
        <f>IF(AND(E2143&lt;&gt;"",F2143&lt;&gt;""),E2143*F2143,"")</f>
      </c>
    </row>
    <row r="2144" ht="16.5" customHeight="1" s="71">
      <c r="B2144" s="169" t="n"/>
      <c r="C2144" s="35" t="n"/>
      <c r="D2144" s="35" t="n"/>
      <c r="E2144" s="35" t="n"/>
      <c r="F2144" s="166" t="n"/>
      <c r="G2144" s="166">
        <f>IF(AND(E2144&lt;&gt;"",F2144&lt;&gt;""),E2144*F2144,"")</f>
      </c>
    </row>
    <row r="2145" ht="16.5" customHeight="1" s="71">
      <c r="B2145" s="169" t="n"/>
      <c r="C2145" s="35" t="n"/>
      <c r="D2145" s="35" t="n"/>
      <c r="E2145" s="35" t="n"/>
      <c r="F2145" s="166" t="n"/>
      <c r="G2145" s="166">
        <f>IF(AND(E2145&lt;&gt;"",F2145&lt;&gt;""),E2145*F2145,"")</f>
      </c>
    </row>
    <row r="2146" ht="16.5" customHeight="1" s="71">
      <c r="B2146" s="169" t="n"/>
      <c r="C2146" s="35" t="n"/>
      <c r="D2146" s="35" t="n"/>
      <c r="E2146" s="35" t="n"/>
      <c r="F2146" s="166" t="n"/>
      <c r="G2146" s="166">
        <f>IF(AND(E2146&lt;&gt;"",F2146&lt;&gt;""),E2146*F2146,"")</f>
      </c>
    </row>
    <row r="2147" ht="16.5" customHeight="1" s="71">
      <c r="B2147" s="169" t="n"/>
      <c r="C2147" s="35" t="n"/>
      <c r="D2147" s="35" t="n"/>
      <c r="E2147" s="35" t="n"/>
      <c r="F2147" s="166" t="n"/>
      <c r="G2147" s="166">
        <f>IF(AND(E2147&lt;&gt;"",F2147&lt;&gt;""),E2147*F2147,"")</f>
      </c>
    </row>
    <row r="2148" ht="16.5" customHeight="1" s="71">
      <c r="B2148" s="169" t="n"/>
      <c r="C2148" s="35" t="n"/>
      <c r="D2148" s="35" t="n"/>
      <c r="E2148" s="35" t="n"/>
      <c r="F2148" s="166" t="n"/>
      <c r="G2148" s="166">
        <f>IF(AND(E2148&lt;&gt;"",F2148&lt;&gt;""),E2148*F2148,"")</f>
      </c>
    </row>
    <row r="2149" ht="16.5" customHeight="1" s="71">
      <c r="B2149" s="169" t="n"/>
      <c r="C2149" s="35" t="n"/>
      <c r="D2149" s="35" t="n"/>
      <c r="E2149" s="35" t="n"/>
      <c r="F2149" s="166" t="n"/>
      <c r="G2149" s="166">
        <f>IF(AND(E2149&lt;&gt;"",F2149&lt;&gt;""),E2149*F2149,"")</f>
      </c>
    </row>
    <row r="2150" ht="16.5" customHeight="1" s="71">
      <c r="B2150" s="169" t="n"/>
      <c r="C2150" s="35" t="n"/>
      <c r="D2150" s="35" t="n"/>
      <c r="E2150" s="35" t="n"/>
      <c r="F2150" s="166" t="n"/>
      <c r="G2150" s="166">
        <f>IF(AND(E2150&lt;&gt;"",F2150&lt;&gt;""),E2150*F2150,"")</f>
      </c>
    </row>
    <row r="2151" ht="16.5" customHeight="1" s="71">
      <c r="B2151" s="169" t="n"/>
      <c r="C2151" s="35" t="n"/>
      <c r="D2151" s="35" t="n"/>
      <c r="E2151" s="35" t="n"/>
      <c r="F2151" s="166" t="n"/>
      <c r="G2151" s="166">
        <f>IF(AND(E2151&lt;&gt;"",F2151&lt;&gt;""),E2151*F2151,"")</f>
      </c>
    </row>
    <row r="2152" ht="16.5" customHeight="1" s="71">
      <c r="B2152" s="169" t="n"/>
      <c r="C2152" s="35" t="n"/>
      <c r="D2152" s="35" t="n"/>
      <c r="E2152" s="35" t="n"/>
      <c r="F2152" s="166" t="n"/>
      <c r="G2152" s="166">
        <f>IF(AND(E2152&lt;&gt;"",F2152&lt;&gt;""),E2152*F2152,"")</f>
      </c>
    </row>
    <row r="2153" ht="16.5" customHeight="1" s="71">
      <c r="B2153" s="169" t="n"/>
      <c r="C2153" s="35" t="n"/>
      <c r="D2153" s="35" t="n"/>
      <c r="E2153" s="35" t="n"/>
      <c r="F2153" s="166" t="n"/>
      <c r="G2153" s="166">
        <f>IF(AND(E2153&lt;&gt;"",F2153&lt;&gt;""),E2153*F2153,"")</f>
      </c>
    </row>
    <row r="2154" ht="16.5" customHeight="1" s="71">
      <c r="B2154" s="169" t="n"/>
      <c r="C2154" s="35" t="n"/>
      <c r="D2154" s="35" t="n"/>
      <c r="E2154" s="35" t="n"/>
      <c r="F2154" s="166" t="n"/>
      <c r="G2154" s="166">
        <f>IF(AND(E2154&lt;&gt;"",F2154&lt;&gt;""),E2154*F2154,"")</f>
      </c>
    </row>
    <row r="2155" ht="16.5" customHeight="1" s="71">
      <c r="B2155" s="169" t="n"/>
      <c r="C2155" s="35" t="n"/>
      <c r="D2155" s="35" t="n"/>
      <c r="E2155" s="35" t="n"/>
      <c r="F2155" s="166" t="n"/>
      <c r="G2155" s="166">
        <f>IF(AND(E2155&lt;&gt;"",F2155&lt;&gt;""),E2155*F2155,"")</f>
      </c>
    </row>
    <row r="2156" ht="16.5" customHeight="1" s="71">
      <c r="B2156" s="169" t="n"/>
      <c r="C2156" s="35" t="n"/>
      <c r="D2156" s="35" t="n"/>
      <c r="E2156" s="35" t="n"/>
      <c r="F2156" s="166" t="n"/>
      <c r="G2156" s="166">
        <f>IF(AND(E2156&lt;&gt;"",F2156&lt;&gt;""),E2156*F2156,"")</f>
      </c>
    </row>
    <row r="2157" ht="16.5" customHeight="1" s="71">
      <c r="B2157" s="169" t="n"/>
      <c r="C2157" s="35" t="n"/>
      <c r="D2157" s="35" t="n"/>
      <c r="E2157" s="35" t="n"/>
      <c r="F2157" s="166" t="n"/>
      <c r="G2157" s="166">
        <f>IF(AND(E2157&lt;&gt;"",F2157&lt;&gt;""),E2157*F2157,"")</f>
      </c>
    </row>
    <row r="2158" ht="16.5" customHeight="1" s="71">
      <c r="B2158" s="169" t="n"/>
      <c r="C2158" s="35" t="n"/>
      <c r="D2158" s="35" t="n"/>
      <c r="E2158" s="35" t="n"/>
      <c r="F2158" s="166" t="n"/>
      <c r="G2158" s="166">
        <f>IF(AND(E2158&lt;&gt;"",F2158&lt;&gt;""),E2158*F2158,"")</f>
      </c>
    </row>
    <row r="2159" ht="16.5" customHeight="1" s="71">
      <c r="B2159" s="169" t="n"/>
      <c r="C2159" s="35" t="n"/>
      <c r="D2159" s="35" t="n"/>
      <c r="E2159" s="35" t="n"/>
      <c r="F2159" s="166" t="n"/>
      <c r="G2159" s="166">
        <f>IF(AND(E2159&lt;&gt;"",F2159&lt;&gt;""),E2159*F2159,"")</f>
      </c>
    </row>
    <row r="2160" ht="16.5" customHeight="1" s="71">
      <c r="B2160" s="169" t="n"/>
      <c r="C2160" s="35" t="n"/>
      <c r="D2160" s="35" t="n"/>
      <c r="E2160" s="35" t="n"/>
      <c r="F2160" s="166" t="n"/>
      <c r="G2160" s="166">
        <f>IF(AND(E2160&lt;&gt;"",F2160&lt;&gt;""),E2160*F2160,"")</f>
      </c>
    </row>
    <row r="2161" ht="16.5" customHeight="1" s="71">
      <c r="B2161" s="169" t="n"/>
      <c r="C2161" s="35" t="n"/>
      <c r="D2161" s="35" t="n"/>
      <c r="E2161" s="35" t="n"/>
      <c r="F2161" s="166" t="n"/>
      <c r="G2161" s="166">
        <f>IF(AND(E2161&lt;&gt;"",F2161&lt;&gt;""),E2161*F2161,"")</f>
      </c>
    </row>
    <row r="2162" ht="16.5" customHeight="1" s="71">
      <c r="B2162" s="169" t="n"/>
      <c r="C2162" s="35" t="n"/>
      <c r="D2162" s="35" t="n"/>
      <c r="E2162" s="35" t="n"/>
      <c r="F2162" s="166" t="n"/>
      <c r="G2162" s="166">
        <f>IF(AND(E2162&lt;&gt;"",F2162&lt;&gt;""),E2162*F2162,"")</f>
      </c>
    </row>
    <row r="2163" ht="16.5" customHeight="1" s="71">
      <c r="B2163" s="169" t="n"/>
      <c r="C2163" s="35" t="n"/>
      <c r="D2163" s="35" t="n"/>
      <c r="E2163" s="35" t="n"/>
      <c r="F2163" s="166" t="n"/>
      <c r="G2163" s="166">
        <f>IF(AND(E2163&lt;&gt;"",F2163&lt;&gt;""),E2163*F2163,"")</f>
      </c>
    </row>
    <row r="2164" ht="16.5" customHeight="1" s="71">
      <c r="B2164" s="169" t="n"/>
      <c r="C2164" s="35" t="n"/>
      <c r="D2164" s="35" t="n"/>
      <c r="E2164" s="35" t="n"/>
      <c r="F2164" s="166" t="n"/>
      <c r="G2164" s="166">
        <f>IF(AND(E2164&lt;&gt;"",F2164&lt;&gt;""),E2164*F2164,"")</f>
      </c>
    </row>
    <row r="2165" ht="16.5" customHeight="1" s="71">
      <c r="B2165" s="169" t="n"/>
      <c r="C2165" s="35" t="n"/>
      <c r="D2165" s="35" t="n"/>
      <c r="E2165" s="35" t="n"/>
      <c r="F2165" s="166" t="n"/>
      <c r="G2165" s="166">
        <f>IF(AND(E2165&lt;&gt;"",F2165&lt;&gt;""),E2165*F2165,"")</f>
      </c>
    </row>
    <row r="2166" ht="16.5" customHeight="1" s="71">
      <c r="B2166" s="169" t="n"/>
      <c r="C2166" s="35" t="n"/>
      <c r="D2166" s="35" t="n"/>
      <c r="E2166" s="35" t="n"/>
      <c r="F2166" s="166" t="n"/>
      <c r="G2166" s="166">
        <f>IF(AND(E2166&lt;&gt;"",F2166&lt;&gt;""),E2166*F2166,"")</f>
      </c>
    </row>
    <row r="2167" ht="16.5" customHeight="1" s="71">
      <c r="B2167" s="169" t="n"/>
      <c r="C2167" s="35" t="n"/>
      <c r="D2167" s="35" t="n"/>
      <c r="E2167" s="35" t="n"/>
      <c r="F2167" s="166" t="n"/>
      <c r="G2167" s="166">
        <f>IF(AND(E2167&lt;&gt;"",F2167&lt;&gt;""),E2167*F2167,"")</f>
      </c>
    </row>
    <row r="2168" ht="16.5" customHeight="1" s="71">
      <c r="B2168" s="169" t="n"/>
      <c r="C2168" s="35" t="n"/>
      <c r="D2168" s="35" t="n"/>
      <c r="E2168" s="35" t="n"/>
      <c r="F2168" s="166" t="n"/>
      <c r="G2168" s="166">
        <f>IF(AND(E2168&lt;&gt;"",F2168&lt;&gt;""),E2168*F2168,"")</f>
      </c>
    </row>
    <row r="2169" ht="16.5" customHeight="1" s="71">
      <c r="B2169" s="169" t="n"/>
      <c r="C2169" s="35" t="n"/>
      <c r="D2169" s="35" t="n"/>
      <c r="E2169" s="35" t="n"/>
      <c r="F2169" s="166" t="n"/>
      <c r="G2169" s="166">
        <f>IF(AND(E2169&lt;&gt;"",F2169&lt;&gt;""),E2169*F2169,"")</f>
      </c>
    </row>
    <row r="2170" ht="16.5" customHeight="1" s="71">
      <c r="B2170" s="169" t="n"/>
      <c r="C2170" s="35" t="n"/>
      <c r="D2170" s="35" t="n"/>
      <c r="E2170" s="35" t="n"/>
      <c r="F2170" s="166" t="n"/>
      <c r="G2170" s="166">
        <f>IF(AND(E2170&lt;&gt;"",F2170&lt;&gt;""),E2170*F2170,"")</f>
      </c>
    </row>
    <row r="2171" ht="16.5" customHeight="1" s="71">
      <c r="B2171" s="169" t="n"/>
      <c r="C2171" s="35" t="n"/>
      <c r="D2171" s="35" t="n"/>
      <c r="E2171" s="35" t="n"/>
      <c r="F2171" s="166" t="n"/>
      <c r="G2171" s="166">
        <f>IF(AND(E2171&lt;&gt;"",F2171&lt;&gt;""),E2171*F2171,"")</f>
      </c>
    </row>
    <row r="2172" ht="16.5" customHeight="1" s="71">
      <c r="B2172" s="169" t="n"/>
      <c r="C2172" s="35" t="n"/>
      <c r="D2172" s="35" t="n"/>
      <c r="E2172" s="35" t="n"/>
      <c r="F2172" s="166" t="n"/>
      <c r="G2172" s="166">
        <f>IF(AND(E2172&lt;&gt;"",F2172&lt;&gt;""),E2172*F2172,"")</f>
      </c>
    </row>
    <row r="2173" ht="16.5" customHeight="1" s="71">
      <c r="B2173" s="169" t="n"/>
      <c r="C2173" s="35" t="n"/>
      <c r="D2173" s="35" t="n"/>
      <c r="E2173" s="35" t="n"/>
      <c r="F2173" s="166" t="n"/>
      <c r="G2173" s="166">
        <f>IF(AND(E2173&lt;&gt;"",F2173&lt;&gt;""),E2173*F2173,"")</f>
      </c>
    </row>
    <row r="2174" ht="16.5" customHeight="1" s="71">
      <c r="B2174" s="169" t="n"/>
      <c r="C2174" s="35" t="n"/>
      <c r="D2174" s="35" t="n"/>
      <c r="E2174" s="35" t="n"/>
      <c r="F2174" s="166" t="n"/>
      <c r="G2174" s="166">
        <f>IF(AND(E2174&lt;&gt;"",F2174&lt;&gt;""),E2174*F2174,"")</f>
      </c>
    </row>
    <row r="2175" ht="16.5" customHeight="1" s="71">
      <c r="B2175" s="169" t="n"/>
      <c r="C2175" s="35" t="n"/>
      <c r="D2175" s="35" t="n"/>
      <c r="E2175" s="35" t="n"/>
      <c r="F2175" s="166" t="n"/>
      <c r="G2175" s="166">
        <f>IF(AND(E2175&lt;&gt;"",F2175&lt;&gt;""),E2175*F2175,"")</f>
      </c>
    </row>
    <row r="2176" ht="16.5" customHeight="1" s="71">
      <c r="B2176" s="169" t="n"/>
      <c r="C2176" s="35" t="n"/>
      <c r="D2176" s="35" t="n"/>
      <c r="E2176" s="35" t="n"/>
      <c r="F2176" s="166" t="n"/>
      <c r="G2176" s="166">
        <f>IF(AND(E2176&lt;&gt;"",F2176&lt;&gt;""),E2176*F2176,"")</f>
      </c>
    </row>
    <row r="2177" ht="16.5" customHeight="1" s="71">
      <c r="B2177" s="169" t="n"/>
      <c r="C2177" s="35" t="n"/>
      <c r="D2177" s="35" t="n"/>
      <c r="E2177" s="35" t="n"/>
      <c r="F2177" s="166" t="n"/>
      <c r="G2177" s="166">
        <f>IF(AND(E2177&lt;&gt;"",F2177&lt;&gt;""),E2177*F2177,"")</f>
      </c>
    </row>
    <row r="2178" ht="16.5" customHeight="1" s="71">
      <c r="B2178" s="169" t="n"/>
      <c r="C2178" s="35" t="n"/>
      <c r="D2178" s="35" t="n"/>
      <c r="E2178" s="35" t="n"/>
      <c r="F2178" s="166" t="n"/>
      <c r="G2178" s="166">
        <f>IF(AND(E2178&lt;&gt;"",F2178&lt;&gt;""),E2178*F2178,"")</f>
      </c>
    </row>
    <row r="2179" ht="16.5" customHeight="1" s="71">
      <c r="B2179" s="169" t="n"/>
      <c r="C2179" s="35" t="n"/>
      <c r="D2179" s="35" t="n"/>
      <c r="E2179" s="35" t="n"/>
      <c r="F2179" s="166" t="n"/>
      <c r="G2179" s="166">
        <f>IF(AND(E2179&lt;&gt;"",F2179&lt;&gt;""),E2179*F2179,"")</f>
      </c>
    </row>
    <row r="2180" ht="16.5" customHeight="1" s="71">
      <c r="B2180" s="169" t="n"/>
      <c r="C2180" s="35" t="n"/>
      <c r="D2180" s="35" t="n"/>
      <c r="E2180" s="35" t="n"/>
      <c r="F2180" s="166" t="n"/>
      <c r="G2180" s="166">
        <f>IF(AND(E2180&lt;&gt;"",F2180&lt;&gt;""),E2180*F2180,"")</f>
      </c>
    </row>
    <row r="2181" ht="16.5" customHeight="1" s="71">
      <c r="B2181" s="169" t="n"/>
      <c r="C2181" s="35" t="n"/>
      <c r="D2181" s="35" t="n"/>
      <c r="E2181" s="35" t="n"/>
      <c r="F2181" s="166" t="n"/>
      <c r="G2181" s="166">
        <f>IF(AND(E2181&lt;&gt;"",F2181&lt;&gt;""),E2181*F2181,"")</f>
      </c>
    </row>
    <row r="2182" ht="16.5" customHeight="1" s="71">
      <c r="B2182" s="169" t="n"/>
      <c r="C2182" s="35" t="n"/>
      <c r="D2182" s="35" t="n"/>
      <c r="E2182" s="35" t="n"/>
      <c r="F2182" s="166" t="n"/>
      <c r="G2182" s="166">
        <f>IF(AND(E2182&lt;&gt;"",F2182&lt;&gt;""),E2182*F2182,"")</f>
      </c>
    </row>
    <row r="2183" ht="16.5" customHeight="1" s="71">
      <c r="B2183" s="169" t="n"/>
      <c r="C2183" s="35" t="n"/>
      <c r="D2183" s="35" t="n"/>
      <c r="E2183" s="35" t="n"/>
      <c r="F2183" s="166" t="n"/>
      <c r="G2183" s="166">
        <f>IF(AND(E2183&lt;&gt;"",F2183&lt;&gt;""),E2183*F2183,"")</f>
      </c>
    </row>
    <row r="2184" ht="16.5" customHeight="1" s="71">
      <c r="B2184" s="169" t="n"/>
      <c r="C2184" s="35" t="n"/>
      <c r="D2184" s="35" t="n"/>
      <c r="E2184" s="35" t="n"/>
      <c r="F2184" s="166" t="n"/>
      <c r="G2184" s="166">
        <f>IF(AND(E2184&lt;&gt;"",F2184&lt;&gt;""),E2184*F2184,"")</f>
      </c>
    </row>
    <row r="2185" ht="16.5" customHeight="1" s="71">
      <c r="B2185" s="169" t="n"/>
      <c r="C2185" s="35" t="n"/>
      <c r="D2185" s="35" t="n"/>
      <c r="E2185" s="35" t="n"/>
      <c r="F2185" s="166" t="n"/>
      <c r="G2185" s="166">
        <f>IF(AND(E2185&lt;&gt;"",F2185&lt;&gt;""),E2185*F2185,"")</f>
      </c>
    </row>
    <row r="2186" ht="16.5" customHeight="1" s="71">
      <c r="B2186" s="169" t="n"/>
      <c r="C2186" s="35" t="n"/>
      <c r="D2186" s="35" t="n"/>
      <c r="E2186" s="35" t="n"/>
      <c r="F2186" s="166" t="n"/>
      <c r="G2186" s="166">
        <f>IF(AND(E2186&lt;&gt;"",F2186&lt;&gt;""),E2186*F2186,"")</f>
      </c>
    </row>
    <row r="2187" ht="16.5" customHeight="1" s="71">
      <c r="B2187" s="169" t="n"/>
      <c r="C2187" s="35" t="n"/>
      <c r="D2187" s="35" t="n"/>
      <c r="E2187" s="35" t="n"/>
      <c r="F2187" s="166" t="n"/>
      <c r="G2187" s="166">
        <f>IF(AND(E2187&lt;&gt;"",F2187&lt;&gt;""),E2187*F2187,"")</f>
      </c>
    </row>
    <row r="2188" ht="16.5" customHeight="1" s="71">
      <c r="B2188" s="169" t="n"/>
      <c r="C2188" s="35" t="n"/>
      <c r="D2188" s="35" t="n"/>
      <c r="E2188" s="35" t="n"/>
      <c r="F2188" s="166" t="n"/>
      <c r="G2188" s="166">
        <f>IF(AND(E2188&lt;&gt;"",F2188&lt;&gt;""),E2188*F2188,"")</f>
      </c>
    </row>
    <row r="2189" ht="16.5" customHeight="1" s="71">
      <c r="B2189" s="169" t="n"/>
      <c r="C2189" s="35" t="n"/>
      <c r="D2189" s="35" t="n"/>
      <c r="E2189" s="35" t="n"/>
      <c r="F2189" s="166" t="n"/>
      <c r="G2189" s="166">
        <f>IF(AND(E2189&lt;&gt;"",F2189&lt;&gt;""),E2189*F2189,"")</f>
      </c>
    </row>
    <row r="2190" ht="16.5" customHeight="1" s="71">
      <c r="B2190" s="169" t="n"/>
      <c r="C2190" s="35" t="n"/>
      <c r="D2190" s="35" t="n"/>
      <c r="E2190" s="35" t="n"/>
      <c r="F2190" s="166" t="n"/>
      <c r="G2190" s="166">
        <f>IF(AND(E2190&lt;&gt;"",F2190&lt;&gt;""),E2190*F2190,"")</f>
      </c>
    </row>
    <row r="2191" ht="16.5" customHeight="1" s="71">
      <c r="B2191" s="169" t="n"/>
      <c r="C2191" s="35" t="n"/>
      <c r="D2191" s="35" t="n"/>
      <c r="E2191" s="35" t="n"/>
      <c r="F2191" s="166" t="n"/>
      <c r="G2191" s="166">
        <f>IF(AND(E2191&lt;&gt;"",F2191&lt;&gt;""),E2191*F2191,"")</f>
      </c>
    </row>
    <row r="2192" ht="16.5" customHeight="1" s="71">
      <c r="B2192" s="169" t="n"/>
      <c r="C2192" s="35" t="n"/>
      <c r="D2192" s="35" t="n"/>
      <c r="E2192" s="35" t="n"/>
      <c r="F2192" s="166" t="n"/>
      <c r="G2192" s="166">
        <f>IF(AND(E2192&lt;&gt;"",F2192&lt;&gt;""),E2192*F2192,"")</f>
      </c>
    </row>
    <row r="2193" ht="16.5" customHeight="1" s="71">
      <c r="B2193" s="169" t="n"/>
      <c r="C2193" s="35" t="n"/>
      <c r="D2193" s="35" t="n"/>
      <c r="E2193" s="35" t="n"/>
      <c r="F2193" s="166" t="n"/>
      <c r="G2193" s="166">
        <f>IF(AND(E2193&lt;&gt;"",F2193&lt;&gt;""),E2193*F2193,"")</f>
      </c>
    </row>
    <row r="2194" ht="16.5" customHeight="1" s="71">
      <c r="B2194" s="169" t="n"/>
      <c r="C2194" s="35" t="n"/>
      <c r="D2194" s="35" t="n"/>
      <c r="E2194" s="35" t="n"/>
      <c r="F2194" s="166" t="n"/>
      <c r="G2194" s="166">
        <f>IF(AND(E2194&lt;&gt;"",F2194&lt;&gt;""),E2194*F2194,"")</f>
      </c>
    </row>
    <row r="2195" ht="16.5" customHeight="1" s="71">
      <c r="B2195" s="169" t="n"/>
      <c r="C2195" s="35" t="n"/>
      <c r="D2195" s="35" t="n"/>
      <c r="E2195" s="35" t="n"/>
      <c r="F2195" s="166" t="n"/>
      <c r="G2195" s="166">
        <f>IF(AND(E2195&lt;&gt;"",F2195&lt;&gt;""),E2195*F2195,"")</f>
      </c>
    </row>
    <row r="2196" ht="16.5" customHeight="1" s="71">
      <c r="B2196" s="169" t="n"/>
      <c r="C2196" s="35" t="n"/>
      <c r="D2196" s="35" t="n"/>
      <c r="E2196" s="35" t="n"/>
      <c r="F2196" s="166" t="n"/>
      <c r="G2196" s="166">
        <f>IF(AND(E2196&lt;&gt;"",F2196&lt;&gt;""),E2196*F2196,"")</f>
      </c>
    </row>
    <row r="2197" ht="16.5" customHeight="1" s="71">
      <c r="B2197" s="169" t="n"/>
      <c r="C2197" s="35" t="n"/>
      <c r="D2197" s="35" t="n"/>
      <c r="E2197" s="35" t="n"/>
      <c r="F2197" s="166" t="n"/>
      <c r="G2197" s="166">
        <f>IF(AND(E2197&lt;&gt;"",F2197&lt;&gt;""),E2197*F2197,"")</f>
      </c>
    </row>
    <row r="2198" ht="16.5" customHeight="1" s="71">
      <c r="B2198" s="169" t="n"/>
      <c r="C2198" s="35" t="n"/>
      <c r="D2198" s="35" t="n"/>
      <c r="E2198" s="35" t="n"/>
      <c r="F2198" s="166" t="n"/>
      <c r="G2198" s="166">
        <f>IF(AND(E2198&lt;&gt;"",F2198&lt;&gt;""),E2198*F2198,"")</f>
      </c>
    </row>
    <row r="2199" ht="16.5" customHeight="1" s="71">
      <c r="B2199" s="169" t="n"/>
      <c r="C2199" s="35" t="n"/>
      <c r="D2199" s="35" t="n"/>
      <c r="E2199" s="35" t="n"/>
      <c r="F2199" s="166" t="n"/>
      <c r="G2199" s="166">
        <f>IF(AND(E2199&lt;&gt;"",F2199&lt;&gt;""),E2199*F2199,"")</f>
      </c>
    </row>
    <row r="2200" ht="16.5" customHeight="1" s="71">
      <c r="B2200" s="169" t="n"/>
      <c r="C2200" s="35" t="n"/>
      <c r="D2200" s="35" t="n"/>
      <c r="E2200" s="35" t="n"/>
      <c r="F2200" s="166" t="n"/>
      <c r="G2200" s="166">
        <f>IF(AND(E2200&lt;&gt;"",F2200&lt;&gt;""),E2200*F2200,"")</f>
      </c>
    </row>
    <row r="2201" ht="16.5" customHeight="1" s="71">
      <c r="B2201" s="169" t="n"/>
      <c r="C2201" s="35" t="n"/>
      <c r="D2201" s="35" t="n"/>
      <c r="E2201" s="35" t="n"/>
      <c r="F2201" s="166" t="n"/>
      <c r="G2201" s="166">
        <f>IF(AND(E2201&lt;&gt;"",F2201&lt;&gt;""),E2201*F2201,"")</f>
      </c>
    </row>
    <row r="2202" ht="16.5" customHeight="1" s="71">
      <c r="B2202" s="169" t="n"/>
      <c r="C2202" s="35" t="n"/>
      <c r="D2202" s="35" t="n"/>
      <c r="E2202" s="35" t="n"/>
      <c r="F2202" s="166" t="n"/>
      <c r="G2202" s="166">
        <f>IF(AND(E2202&lt;&gt;"",F2202&lt;&gt;""),E2202*F2202,"")</f>
      </c>
    </row>
    <row r="2203" ht="16.5" customHeight="1" s="71">
      <c r="B2203" s="169" t="n"/>
      <c r="C2203" s="35" t="n"/>
      <c r="D2203" s="35" t="n"/>
      <c r="E2203" s="35" t="n"/>
      <c r="F2203" s="166" t="n"/>
      <c r="G2203" s="166">
        <f>IF(AND(E2203&lt;&gt;"",F2203&lt;&gt;""),E2203*F2203,"")</f>
      </c>
    </row>
    <row r="2204" ht="16.5" customHeight="1" s="71">
      <c r="B2204" s="169" t="n"/>
      <c r="C2204" s="35" t="n"/>
      <c r="D2204" s="35" t="n"/>
      <c r="E2204" s="35" t="n"/>
      <c r="F2204" s="166" t="n"/>
      <c r="G2204" s="166">
        <f>IF(AND(E2204&lt;&gt;"",F2204&lt;&gt;""),E2204*F2204,"")</f>
      </c>
    </row>
    <row r="2205" ht="16.5" customHeight="1" s="71">
      <c r="B2205" s="169" t="n"/>
      <c r="C2205" s="35" t="n"/>
      <c r="D2205" s="35" t="n"/>
      <c r="E2205" s="35" t="n"/>
      <c r="F2205" s="166" t="n"/>
      <c r="G2205" s="166">
        <f>IF(AND(E2205&lt;&gt;"",F2205&lt;&gt;""),E2205*F2205,"")</f>
      </c>
    </row>
    <row r="2206" ht="16.5" customHeight="1" s="71">
      <c r="B2206" s="169" t="n"/>
      <c r="C2206" s="35" t="n"/>
      <c r="D2206" s="35" t="n"/>
      <c r="E2206" s="35" t="n"/>
      <c r="F2206" s="166" t="n"/>
      <c r="G2206" s="166">
        <f>IF(AND(E2206&lt;&gt;"",F2206&lt;&gt;""),E2206*F2206,"")</f>
      </c>
    </row>
    <row r="2207" ht="16.5" customHeight="1" s="71">
      <c r="B2207" s="169" t="n"/>
      <c r="C2207" s="35" t="n"/>
      <c r="D2207" s="35" t="n"/>
      <c r="E2207" s="35" t="n"/>
      <c r="F2207" s="166" t="n"/>
      <c r="G2207" s="166">
        <f>IF(AND(E2207&lt;&gt;"",F2207&lt;&gt;""),E2207*F2207,"")</f>
      </c>
    </row>
    <row r="2208" ht="16.5" customHeight="1" s="71">
      <c r="B2208" s="169" t="n"/>
      <c r="C2208" s="35" t="n"/>
      <c r="D2208" s="35" t="n"/>
      <c r="E2208" s="35" t="n"/>
      <c r="F2208" s="166" t="n"/>
      <c r="G2208" s="166">
        <f>IF(AND(E2208&lt;&gt;"",F2208&lt;&gt;""),E2208*F2208,"")</f>
      </c>
    </row>
    <row r="2209" ht="16.5" customHeight="1" s="71">
      <c r="B2209" s="169" t="n"/>
      <c r="C2209" s="35" t="n"/>
      <c r="D2209" s="35" t="n"/>
      <c r="E2209" s="35" t="n"/>
      <c r="F2209" s="166" t="n"/>
      <c r="G2209" s="166">
        <f>IF(AND(E2209&lt;&gt;"",F2209&lt;&gt;""),E2209*F2209,"")</f>
      </c>
    </row>
    <row r="2210" ht="16.5" customHeight="1" s="71">
      <c r="B2210" s="169" t="n"/>
      <c r="C2210" s="35" t="n"/>
      <c r="D2210" s="35" t="n"/>
      <c r="E2210" s="35" t="n"/>
      <c r="F2210" s="166" t="n"/>
      <c r="G2210" s="166">
        <f>IF(AND(E2210&lt;&gt;"",F2210&lt;&gt;""),E2210*F2210,"")</f>
      </c>
    </row>
    <row r="2211" ht="16.5" customHeight="1" s="71">
      <c r="B2211" s="169" t="n"/>
      <c r="C2211" s="35" t="n"/>
      <c r="D2211" s="35" t="n"/>
      <c r="E2211" s="35" t="n"/>
      <c r="F2211" s="166" t="n"/>
      <c r="G2211" s="166">
        <f>IF(AND(E2211&lt;&gt;"",F2211&lt;&gt;""),E2211*F2211,"")</f>
      </c>
    </row>
    <row r="2212" ht="16.5" customHeight="1" s="71">
      <c r="B2212" s="169" t="n"/>
      <c r="C2212" s="35" t="n"/>
      <c r="D2212" s="35" t="n"/>
      <c r="E2212" s="35" t="n"/>
      <c r="F2212" s="166" t="n"/>
      <c r="G2212" s="166">
        <f>IF(AND(E2212&lt;&gt;"",F2212&lt;&gt;""),E2212*F2212,"")</f>
      </c>
    </row>
    <row r="2213" ht="16.5" customHeight="1" s="71">
      <c r="B2213" s="169" t="n"/>
      <c r="C2213" s="35" t="n"/>
      <c r="D2213" s="35" t="n"/>
      <c r="E2213" s="35" t="n"/>
      <c r="F2213" s="166" t="n"/>
      <c r="G2213" s="166">
        <f>IF(AND(E2213&lt;&gt;"",F2213&lt;&gt;""),E2213*F2213,"")</f>
      </c>
    </row>
    <row r="2214" ht="16.5" customHeight="1" s="71">
      <c r="B2214" s="169" t="n"/>
      <c r="C2214" s="35" t="n"/>
      <c r="D2214" s="35" t="n"/>
      <c r="E2214" s="35" t="n"/>
      <c r="F2214" s="166" t="n"/>
      <c r="G2214" s="166">
        <f>IF(AND(E2214&lt;&gt;"",F2214&lt;&gt;""),E2214*F2214,"")</f>
      </c>
    </row>
    <row r="2215" ht="16.5" customHeight="1" s="71">
      <c r="B2215" s="169" t="n"/>
      <c r="C2215" s="35" t="n"/>
      <c r="D2215" s="35" t="n"/>
      <c r="E2215" s="35" t="n"/>
      <c r="F2215" s="166" t="n"/>
      <c r="G2215" s="166">
        <f>IF(AND(E2215&lt;&gt;"",F2215&lt;&gt;""),E2215*F2215,"")</f>
      </c>
    </row>
    <row r="2216" ht="16.5" customHeight="1" s="71">
      <c r="B2216" s="169" t="n"/>
      <c r="C2216" s="35" t="n"/>
      <c r="D2216" s="35" t="n"/>
      <c r="E2216" s="35" t="n"/>
      <c r="F2216" s="166" t="n"/>
      <c r="G2216" s="166">
        <f>IF(AND(E2216&lt;&gt;"",F2216&lt;&gt;""),E2216*F2216,"")</f>
      </c>
    </row>
    <row r="2217" ht="16.5" customHeight="1" s="71">
      <c r="B2217" s="169" t="n"/>
      <c r="C2217" s="35" t="n"/>
      <c r="D2217" s="35" t="n"/>
      <c r="E2217" s="35" t="n"/>
      <c r="F2217" s="166" t="n"/>
      <c r="G2217" s="166">
        <f>IF(AND(E2217&lt;&gt;"",F2217&lt;&gt;""),E2217*F2217,"")</f>
      </c>
    </row>
    <row r="2218" ht="16.5" customHeight="1" s="71">
      <c r="B2218" s="169" t="n"/>
      <c r="C2218" s="35" t="n"/>
      <c r="D2218" s="35" t="n"/>
      <c r="E2218" s="35" t="n"/>
      <c r="F2218" s="166" t="n"/>
      <c r="G2218" s="166">
        <f>IF(AND(E2218&lt;&gt;"",F2218&lt;&gt;""),E2218*F2218,"")</f>
      </c>
    </row>
    <row r="2219" ht="16.5" customHeight="1" s="71">
      <c r="B2219" s="169" t="n"/>
      <c r="C2219" s="35" t="n"/>
      <c r="D2219" s="35" t="n"/>
      <c r="E2219" s="35" t="n"/>
      <c r="F2219" s="166" t="n"/>
      <c r="G2219" s="166">
        <f>IF(AND(E2219&lt;&gt;"",F2219&lt;&gt;""),E2219*F2219,"")</f>
      </c>
    </row>
    <row r="2220" ht="16.5" customHeight="1" s="71">
      <c r="B2220" s="169" t="n"/>
      <c r="C2220" s="35" t="n"/>
      <c r="D2220" s="35" t="n"/>
      <c r="E2220" s="35" t="n"/>
      <c r="F2220" s="166" t="n"/>
      <c r="G2220" s="166">
        <f>IF(AND(E2220&lt;&gt;"",F2220&lt;&gt;""),E2220*F2220,"")</f>
      </c>
    </row>
    <row r="2221" ht="16.5" customHeight="1" s="71">
      <c r="B2221" s="169" t="n"/>
      <c r="C2221" s="35" t="n"/>
      <c r="D2221" s="35" t="n"/>
      <c r="E2221" s="35" t="n"/>
      <c r="F2221" s="166" t="n"/>
      <c r="G2221" s="166">
        <f>IF(AND(E2221&lt;&gt;"",F2221&lt;&gt;""),E2221*F2221,"")</f>
      </c>
    </row>
    <row r="2222" ht="16.5" customHeight="1" s="71">
      <c r="B2222" s="169" t="n"/>
      <c r="C2222" s="35" t="n"/>
      <c r="D2222" s="35" t="n"/>
      <c r="E2222" s="35" t="n"/>
      <c r="F2222" s="166" t="n"/>
      <c r="G2222" s="166">
        <f>IF(AND(E2222&lt;&gt;"",F2222&lt;&gt;""),E2222*F2222,"")</f>
      </c>
    </row>
    <row r="2223" ht="16.5" customHeight="1" s="71">
      <c r="B2223" s="169" t="n"/>
      <c r="C2223" s="35" t="n"/>
      <c r="D2223" s="35" t="n"/>
      <c r="E2223" s="35" t="n"/>
      <c r="F2223" s="166" t="n"/>
      <c r="G2223" s="166">
        <f>IF(AND(E2223&lt;&gt;"",F2223&lt;&gt;""),E2223*F2223,"")</f>
      </c>
    </row>
    <row r="2224" ht="16.5" customHeight="1" s="71">
      <c r="B2224" s="169" t="n"/>
      <c r="C2224" s="35" t="n"/>
      <c r="D2224" s="35" t="n"/>
      <c r="E2224" s="35" t="n"/>
      <c r="F2224" s="166" t="n"/>
      <c r="G2224" s="166">
        <f>IF(AND(E2224&lt;&gt;"",F2224&lt;&gt;""),E2224*F2224,"")</f>
      </c>
    </row>
    <row r="2225" ht="16.5" customHeight="1" s="71">
      <c r="B2225" s="169" t="n"/>
      <c r="C2225" s="35" t="n"/>
      <c r="D2225" s="35" t="n"/>
      <c r="E2225" s="35" t="n"/>
      <c r="F2225" s="166" t="n"/>
      <c r="G2225" s="166">
        <f>IF(AND(E2225&lt;&gt;"",F2225&lt;&gt;""),E2225*F2225,"")</f>
      </c>
    </row>
    <row r="2226" ht="16.5" customHeight="1" s="71">
      <c r="B2226" s="169" t="n"/>
      <c r="C2226" s="35" t="n"/>
      <c r="D2226" s="35" t="n"/>
      <c r="E2226" s="35" t="n"/>
      <c r="F2226" s="166" t="n"/>
      <c r="G2226" s="166">
        <f>IF(AND(E2226&lt;&gt;"",F2226&lt;&gt;""),E2226*F2226,"")</f>
      </c>
    </row>
    <row r="2227" ht="16.5" customHeight="1" s="71">
      <c r="B2227" s="169" t="n"/>
      <c r="C2227" s="35" t="n"/>
      <c r="D2227" s="35" t="n"/>
      <c r="E2227" s="35" t="n"/>
      <c r="F2227" s="166" t="n"/>
      <c r="G2227" s="166">
        <f>IF(AND(E2227&lt;&gt;"",F2227&lt;&gt;""),E2227*F2227,"")</f>
      </c>
    </row>
    <row r="2228" ht="16.5" customHeight="1" s="71">
      <c r="B2228" s="169" t="n"/>
      <c r="C2228" s="35" t="n"/>
      <c r="D2228" s="35" t="n"/>
      <c r="E2228" s="35" t="n"/>
      <c r="F2228" s="166" t="n"/>
      <c r="G2228" s="166">
        <f>IF(AND(E2228&lt;&gt;"",F2228&lt;&gt;""),E2228*F2228,"")</f>
      </c>
    </row>
    <row r="2229" ht="16.5" customHeight="1" s="71">
      <c r="B2229" s="169" t="n"/>
      <c r="C2229" s="35" t="n"/>
      <c r="D2229" s="35" t="n"/>
      <c r="E2229" s="35" t="n"/>
      <c r="F2229" s="166" t="n"/>
      <c r="G2229" s="166">
        <f>IF(AND(E2229&lt;&gt;"",F2229&lt;&gt;""),E2229*F2229,"")</f>
      </c>
    </row>
    <row r="2230" ht="16.5" customHeight="1" s="71">
      <c r="B2230" s="169" t="n"/>
      <c r="C2230" s="35" t="n"/>
      <c r="D2230" s="35" t="n"/>
      <c r="E2230" s="35" t="n"/>
      <c r="F2230" s="166" t="n"/>
      <c r="G2230" s="166">
        <f>IF(AND(E2230&lt;&gt;"",F2230&lt;&gt;""),E2230*F2230,"")</f>
      </c>
    </row>
    <row r="2231" ht="16.5" customHeight="1" s="71">
      <c r="B2231" s="169" t="n"/>
      <c r="C2231" s="35" t="n"/>
      <c r="D2231" s="35" t="n"/>
      <c r="E2231" s="35" t="n"/>
      <c r="F2231" s="166" t="n"/>
      <c r="G2231" s="166">
        <f>IF(AND(E2231&lt;&gt;"",F2231&lt;&gt;""),E2231*F2231,"")</f>
      </c>
    </row>
    <row r="2232" ht="16.5" customHeight="1" s="71">
      <c r="B2232" s="169" t="n"/>
      <c r="C2232" s="35" t="n"/>
      <c r="D2232" s="35" t="n"/>
      <c r="E2232" s="35" t="n"/>
      <c r="F2232" s="166" t="n"/>
      <c r="G2232" s="166">
        <f>IF(AND(E2232&lt;&gt;"",F2232&lt;&gt;""),E2232*F2232,"")</f>
      </c>
    </row>
    <row r="2233" ht="16.5" customHeight="1" s="71">
      <c r="B2233" s="169" t="n"/>
      <c r="C2233" s="35" t="n"/>
      <c r="D2233" s="35" t="n"/>
      <c r="E2233" s="35" t="n"/>
      <c r="F2233" s="166" t="n"/>
      <c r="G2233" s="166">
        <f>IF(AND(E2233&lt;&gt;"",F2233&lt;&gt;""),E2233*F2233,"")</f>
      </c>
    </row>
    <row r="2234" ht="16.5" customHeight="1" s="71">
      <c r="B2234" s="169" t="n"/>
      <c r="C2234" s="35" t="n"/>
      <c r="D2234" s="35" t="n"/>
      <c r="E2234" s="35" t="n"/>
      <c r="F2234" s="166" t="n"/>
      <c r="G2234" s="166">
        <f>IF(AND(E2234&lt;&gt;"",F2234&lt;&gt;""),E2234*F2234,"")</f>
      </c>
    </row>
    <row r="2235" ht="16.5" customHeight="1" s="71">
      <c r="B2235" s="169" t="n"/>
      <c r="C2235" s="35" t="n"/>
      <c r="D2235" s="35" t="n"/>
      <c r="E2235" s="35" t="n"/>
      <c r="F2235" s="166" t="n"/>
      <c r="G2235" s="166">
        <f>IF(AND(E2235&lt;&gt;"",F2235&lt;&gt;""),E2235*F2235,"")</f>
      </c>
    </row>
    <row r="2236" ht="16.5" customHeight="1" s="71">
      <c r="B2236" s="169" t="n"/>
      <c r="C2236" s="35" t="n"/>
      <c r="D2236" s="35" t="n"/>
      <c r="E2236" s="35" t="n"/>
      <c r="F2236" s="166" t="n"/>
      <c r="G2236" s="166">
        <f>IF(AND(E2236&lt;&gt;"",F2236&lt;&gt;""),E2236*F2236,"")</f>
      </c>
    </row>
    <row r="2237" ht="16.5" customHeight="1" s="71">
      <c r="B2237" s="169" t="n"/>
      <c r="C2237" s="35" t="n"/>
      <c r="D2237" s="35" t="n"/>
      <c r="E2237" s="35" t="n"/>
      <c r="F2237" s="166" t="n"/>
      <c r="G2237" s="166">
        <f>IF(AND(E2237&lt;&gt;"",F2237&lt;&gt;""),E2237*F2237,"")</f>
      </c>
    </row>
    <row r="2238" ht="16.5" customHeight="1" s="71">
      <c r="B2238" s="169" t="n"/>
      <c r="C2238" s="35" t="n"/>
      <c r="D2238" s="35" t="n"/>
      <c r="E2238" s="35" t="n"/>
      <c r="F2238" s="166" t="n"/>
      <c r="G2238" s="166">
        <f>IF(AND(E2238&lt;&gt;"",F2238&lt;&gt;""),E2238*F2238,"")</f>
      </c>
    </row>
    <row r="2239" ht="16.5" customHeight="1" s="71">
      <c r="B2239" s="169" t="n"/>
      <c r="C2239" s="35" t="n"/>
      <c r="D2239" s="35" t="n"/>
      <c r="E2239" s="35" t="n"/>
      <c r="F2239" s="166" t="n"/>
      <c r="G2239" s="166">
        <f>IF(AND(E2239&lt;&gt;"",F2239&lt;&gt;""),E2239*F2239,"")</f>
      </c>
    </row>
    <row r="2240" ht="16.5" customHeight="1" s="71">
      <c r="B2240" s="169" t="n"/>
      <c r="C2240" s="35" t="n"/>
      <c r="D2240" s="35" t="n"/>
      <c r="E2240" s="35" t="n"/>
      <c r="F2240" s="166" t="n"/>
      <c r="G2240" s="166">
        <f>IF(AND(E2240&lt;&gt;"",F2240&lt;&gt;""),E2240*F2240,"")</f>
      </c>
    </row>
    <row r="2241" ht="16.5" customHeight="1" s="71">
      <c r="B2241" s="169" t="n"/>
      <c r="C2241" s="35" t="n"/>
      <c r="D2241" s="35" t="n"/>
      <c r="E2241" s="35" t="n"/>
      <c r="F2241" s="166" t="n"/>
      <c r="G2241" s="166">
        <f>IF(AND(E2241&lt;&gt;"",F2241&lt;&gt;""),E2241*F2241,"")</f>
      </c>
    </row>
    <row r="2242" ht="16.5" customHeight="1" s="71">
      <c r="B2242" s="169" t="n"/>
      <c r="C2242" s="35" t="n"/>
      <c r="D2242" s="35" t="n"/>
      <c r="E2242" s="35" t="n"/>
      <c r="F2242" s="166" t="n"/>
      <c r="G2242" s="166">
        <f>IF(AND(E2242&lt;&gt;"",F2242&lt;&gt;""),E2242*F2242,"")</f>
      </c>
    </row>
    <row r="2243" ht="16.5" customHeight="1" s="71">
      <c r="B2243" s="169" t="n"/>
      <c r="C2243" s="35" t="n"/>
      <c r="D2243" s="35" t="n"/>
      <c r="E2243" s="35" t="n"/>
      <c r="F2243" s="166" t="n"/>
      <c r="G2243" s="166">
        <f>IF(AND(E2243&lt;&gt;"",F2243&lt;&gt;""),E2243*F2243,"")</f>
      </c>
    </row>
    <row r="2244" ht="16.5" customHeight="1" s="71">
      <c r="B2244" s="169" t="n"/>
      <c r="C2244" s="35" t="n"/>
      <c r="D2244" s="35" t="n"/>
      <c r="E2244" s="35" t="n"/>
      <c r="F2244" s="166" t="n"/>
      <c r="G2244" s="166">
        <f>IF(AND(E2244&lt;&gt;"",F2244&lt;&gt;""),E2244*F2244,"")</f>
      </c>
    </row>
    <row r="2245" ht="16.5" customHeight="1" s="71">
      <c r="B2245" s="169" t="n"/>
      <c r="C2245" s="35" t="n"/>
      <c r="D2245" s="35" t="n"/>
      <c r="E2245" s="35" t="n"/>
      <c r="F2245" s="166" t="n"/>
      <c r="G2245" s="166">
        <f>IF(AND(E2245&lt;&gt;"",F2245&lt;&gt;""),E2245*F2245,"")</f>
      </c>
    </row>
    <row r="2246" ht="16.5" customHeight="1" s="71">
      <c r="B2246" s="169" t="n"/>
      <c r="C2246" s="35" t="n"/>
      <c r="D2246" s="35" t="n"/>
      <c r="E2246" s="35" t="n"/>
      <c r="F2246" s="166" t="n"/>
      <c r="G2246" s="166">
        <f>IF(AND(E2246&lt;&gt;"",F2246&lt;&gt;""),E2246*F2246,"")</f>
      </c>
    </row>
    <row r="2247" ht="16.5" customHeight="1" s="71">
      <c r="B2247" s="169" t="n"/>
      <c r="C2247" s="35" t="n"/>
      <c r="D2247" s="35" t="n"/>
      <c r="E2247" s="35" t="n"/>
      <c r="F2247" s="166" t="n"/>
      <c r="G2247" s="166">
        <f>IF(AND(E2247&lt;&gt;"",F2247&lt;&gt;""),E2247*F2247,"")</f>
      </c>
    </row>
    <row r="2248" ht="16.5" customHeight="1" s="71">
      <c r="B2248" s="169" t="n"/>
      <c r="C2248" s="35" t="n"/>
      <c r="D2248" s="35" t="n"/>
      <c r="E2248" s="35" t="n"/>
      <c r="F2248" s="166" t="n"/>
      <c r="G2248" s="166">
        <f>IF(AND(E2248&lt;&gt;"",F2248&lt;&gt;""),E2248*F2248,"")</f>
      </c>
    </row>
    <row r="2249" ht="16.5" customHeight="1" s="71">
      <c r="B2249" s="169" t="n"/>
      <c r="C2249" s="35" t="n"/>
      <c r="D2249" s="35" t="n"/>
      <c r="E2249" s="35" t="n"/>
      <c r="F2249" s="166" t="n"/>
      <c r="G2249" s="166">
        <f>IF(AND(E2249&lt;&gt;"",F2249&lt;&gt;""),E2249*F2249,"")</f>
      </c>
    </row>
    <row r="2250" ht="16.5" customHeight="1" s="71">
      <c r="B2250" s="169" t="n"/>
      <c r="C2250" s="35" t="n"/>
      <c r="D2250" s="35" t="n"/>
      <c r="E2250" s="35" t="n"/>
      <c r="F2250" s="166" t="n"/>
      <c r="G2250" s="166">
        <f>IF(AND(E2250&lt;&gt;"",F2250&lt;&gt;""),E2250*F2250,"")</f>
      </c>
    </row>
    <row r="2251" ht="16.5" customHeight="1" s="71">
      <c r="B2251" s="169" t="n"/>
      <c r="C2251" s="35" t="n"/>
      <c r="D2251" s="35" t="n"/>
      <c r="E2251" s="35" t="n"/>
      <c r="F2251" s="166" t="n"/>
      <c r="G2251" s="166">
        <f>IF(AND(E2251&lt;&gt;"",F2251&lt;&gt;""),E2251*F2251,"")</f>
      </c>
    </row>
    <row r="2252" ht="16.5" customHeight="1" s="71">
      <c r="B2252" s="169" t="n"/>
      <c r="C2252" s="35" t="n"/>
      <c r="D2252" s="35" t="n"/>
      <c r="E2252" s="35" t="n"/>
      <c r="F2252" s="166" t="n"/>
      <c r="G2252" s="166">
        <f>IF(AND(E2252&lt;&gt;"",F2252&lt;&gt;""),E2252*F2252,"")</f>
      </c>
    </row>
    <row r="2253" ht="16.5" customHeight="1" s="71">
      <c r="B2253" s="169" t="n"/>
      <c r="C2253" s="35" t="n"/>
      <c r="D2253" s="35" t="n"/>
      <c r="E2253" s="35" t="n"/>
      <c r="F2253" s="166" t="n"/>
      <c r="G2253" s="166">
        <f>IF(AND(E2253&lt;&gt;"",F2253&lt;&gt;""),E2253*F2253,"")</f>
      </c>
    </row>
    <row r="2254" ht="16.5" customHeight="1" s="71">
      <c r="B2254" s="169" t="n"/>
      <c r="C2254" s="35" t="n"/>
      <c r="D2254" s="35" t="n"/>
      <c r="E2254" s="35" t="n"/>
      <c r="F2254" s="166" t="n"/>
      <c r="G2254" s="166">
        <f>IF(AND(E2254&lt;&gt;"",F2254&lt;&gt;""),E2254*F2254,"")</f>
      </c>
    </row>
    <row r="2255" ht="16.5" customHeight="1" s="71">
      <c r="B2255" s="169" t="n"/>
      <c r="C2255" s="35" t="n"/>
      <c r="D2255" s="35" t="n"/>
      <c r="E2255" s="35" t="n"/>
      <c r="F2255" s="166" t="n"/>
      <c r="G2255" s="166">
        <f>IF(AND(E2255&lt;&gt;"",F2255&lt;&gt;""),E2255*F2255,"")</f>
      </c>
    </row>
    <row r="2256" ht="16.5" customHeight="1" s="71">
      <c r="B2256" s="169" t="n"/>
      <c r="C2256" s="35" t="n"/>
      <c r="D2256" s="35" t="n"/>
      <c r="E2256" s="35" t="n"/>
      <c r="F2256" s="166" t="n"/>
      <c r="G2256" s="166">
        <f>IF(AND(E2256&lt;&gt;"",F2256&lt;&gt;""),E2256*F2256,"")</f>
      </c>
    </row>
    <row r="2257" ht="16.5" customHeight="1" s="71">
      <c r="B2257" s="169" t="n"/>
      <c r="C2257" s="35" t="n"/>
      <c r="D2257" s="35" t="n"/>
      <c r="E2257" s="35" t="n"/>
      <c r="F2257" s="166" t="n"/>
      <c r="G2257" s="166">
        <f>IF(AND(E2257&lt;&gt;"",F2257&lt;&gt;""),E2257*F2257,"")</f>
      </c>
    </row>
    <row r="2258" ht="16.5" customHeight="1" s="71">
      <c r="B2258" s="169" t="n"/>
      <c r="C2258" s="35" t="n"/>
      <c r="D2258" s="35" t="n"/>
      <c r="E2258" s="35" t="n"/>
      <c r="F2258" s="166" t="n"/>
      <c r="G2258" s="166">
        <f>IF(AND(E2258&lt;&gt;"",F2258&lt;&gt;""),E2258*F2258,"")</f>
      </c>
    </row>
    <row r="2259" ht="16.5" customHeight="1" s="71">
      <c r="B2259" s="169" t="n"/>
      <c r="C2259" s="35" t="n"/>
      <c r="D2259" s="35" t="n"/>
      <c r="E2259" s="35" t="n"/>
      <c r="F2259" s="166" t="n"/>
      <c r="G2259" s="166">
        <f>IF(AND(E2259&lt;&gt;"",F2259&lt;&gt;""),E2259*F2259,"")</f>
      </c>
    </row>
    <row r="2260" ht="16.5" customHeight="1" s="71">
      <c r="B2260" s="169" t="n"/>
      <c r="C2260" s="35" t="n"/>
      <c r="D2260" s="35" t="n"/>
      <c r="E2260" s="35" t="n"/>
      <c r="F2260" s="166" t="n"/>
      <c r="G2260" s="166">
        <f>IF(AND(E2260&lt;&gt;"",F2260&lt;&gt;""),E2260*F2260,"")</f>
      </c>
    </row>
    <row r="2261" ht="16.5" customHeight="1" s="71">
      <c r="B2261" s="169" t="n"/>
      <c r="C2261" s="35" t="n"/>
      <c r="D2261" s="35" t="n"/>
      <c r="E2261" s="35" t="n"/>
      <c r="F2261" s="166" t="n"/>
      <c r="G2261" s="166">
        <f>IF(AND(E2261&lt;&gt;"",F2261&lt;&gt;""),E2261*F2261,"")</f>
      </c>
    </row>
    <row r="2262" ht="16.5" customHeight="1" s="71">
      <c r="B2262" s="169" t="n"/>
      <c r="C2262" s="35" t="n"/>
      <c r="D2262" s="35" t="n"/>
      <c r="E2262" s="35" t="n"/>
      <c r="F2262" s="166" t="n"/>
      <c r="G2262" s="166">
        <f>IF(AND(E2262&lt;&gt;"",F2262&lt;&gt;""),E2262*F2262,"")</f>
      </c>
    </row>
    <row r="2263" ht="16.5" customHeight="1" s="71">
      <c r="B2263" s="169" t="n"/>
      <c r="C2263" s="35" t="n"/>
      <c r="D2263" s="35" t="n"/>
      <c r="E2263" s="35" t="n"/>
      <c r="F2263" s="166" t="n"/>
      <c r="G2263" s="166">
        <f>IF(AND(E2263&lt;&gt;"",F2263&lt;&gt;""),E2263*F2263,"")</f>
      </c>
    </row>
    <row r="2264" ht="16.5" customHeight="1" s="71">
      <c r="B2264" s="169" t="n"/>
      <c r="C2264" s="35" t="n"/>
      <c r="D2264" s="35" t="n"/>
      <c r="E2264" s="35" t="n"/>
      <c r="F2264" s="166" t="n"/>
      <c r="G2264" s="166">
        <f>IF(AND(E2264&lt;&gt;"",F2264&lt;&gt;""),E2264*F2264,"")</f>
      </c>
    </row>
    <row r="2265" ht="16.5" customHeight="1" s="71">
      <c r="B2265" s="169" t="n"/>
      <c r="C2265" s="35" t="n"/>
      <c r="D2265" s="35" t="n"/>
      <c r="E2265" s="35" t="n"/>
      <c r="F2265" s="166" t="n"/>
      <c r="G2265" s="166">
        <f>IF(AND(E2265&lt;&gt;"",F2265&lt;&gt;""),E2265*F2265,"")</f>
      </c>
    </row>
    <row r="2266" ht="16.5" customHeight="1" s="71">
      <c r="B2266" s="169" t="n"/>
      <c r="C2266" s="35" t="n"/>
      <c r="D2266" s="35" t="n"/>
      <c r="E2266" s="35" t="n"/>
      <c r="F2266" s="166" t="n"/>
      <c r="G2266" s="166">
        <f>IF(AND(E2266&lt;&gt;"",F2266&lt;&gt;""),E2266*F2266,"")</f>
      </c>
    </row>
    <row r="2267" ht="16.5" customHeight="1" s="71">
      <c r="B2267" s="169" t="n"/>
      <c r="C2267" s="35" t="n"/>
      <c r="D2267" s="35" t="n"/>
      <c r="E2267" s="35" t="n"/>
      <c r="F2267" s="166" t="n"/>
      <c r="G2267" s="166">
        <f>IF(AND(E2267&lt;&gt;"",F2267&lt;&gt;""),E2267*F2267,"")</f>
      </c>
    </row>
    <row r="2268" ht="16.5" customHeight="1" s="71">
      <c r="B2268" s="169" t="n"/>
      <c r="C2268" s="35" t="n"/>
      <c r="D2268" s="35" t="n"/>
      <c r="E2268" s="35" t="n"/>
      <c r="F2268" s="166" t="n"/>
      <c r="G2268" s="166">
        <f>IF(AND(E2268&lt;&gt;"",F2268&lt;&gt;""),E2268*F2268,"")</f>
      </c>
    </row>
    <row r="2269" ht="16.5" customHeight="1" s="71">
      <c r="B2269" s="169" t="n"/>
      <c r="C2269" s="35" t="n"/>
      <c r="D2269" s="35" t="n"/>
      <c r="E2269" s="35" t="n"/>
      <c r="F2269" s="166" t="n"/>
      <c r="G2269" s="166">
        <f>IF(AND(E2269&lt;&gt;"",F2269&lt;&gt;""),E2269*F2269,"")</f>
      </c>
    </row>
    <row r="2270" ht="16.5" customHeight="1" s="71">
      <c r="B2270" s="169" t="n"/>
      <c r="C2270" s="35" t="n"/>
      <c r="D2270" s="35" t="n"/>
      <c r="E2270" s="35" t="n"/>
      <c r="F2270" s="166" t="n"/>
      <c r="G2270" s="166">
        <f>IF(AND(E2270&lt;&gt;"",F2270&lt;&gt;""),E2270*F2270,"")</f>
      </c>
    </row>
    <row r="2271" ht="16.5" customHeight="1" s="71">
      <c r="B2271" s="169" t="n"/>
      <c r="C2271" s="35" t="n"/>
      <c r="D2271" s="35" t="n"/>
      <c r="E2271" s="35" t="n"/>
      <c r="F2271" s="166" t="n"/>
      <c r="G2271" s="166">
        <f>IF(AND(E2271&lt;&gt;"",F2271&lt;&gt;""),E2271*F2271,"")</f>
      </c>
    </row>
    <row r="2272" ht="16.5" customHeight="1" s="71">
      <c r="B2272" s="169" t="n"/>
      <c r="C2272" s="35" t="n"/>
      <c r="D2272" s="35" t="n"/>
      <c r="E2272" s="35" t="n"/>
      <c r="F2272" s="166" t="n"/>
      <c r="G2272" s="166">
        <f>IF(AND(E2272&lt;&gt;"",F2272&lt;&gt;""),E2272*F2272,"")</f>
      </c>
    </row>
    <row r="2273" ht="16.5" customHeight="1" s="71">
      <c r="B2273" s="169" t="n"/>
      <c r="C2273" s="35" t="n"/>
      <c r="D2273" s="35" t="n"/>
      <c r="E2273" s="35" t="n"/>
      <c r="F2273" s="166" t="n"/>
      <c r="G2273" s="166">
        <f>IF(AND(E2273&lt;&gt;"",F2273&lt;&gt;""),E2273*F2273,"")</f>
      </c>
    </row>
    <row r="2274" ht="16.5" customHeight="1" s="71">
      <c r="B2274" s="169" t="n"/>
      <c r="C2274" s="35" t="n"/>
      <c r="D2274" s="35" t="n"/>
      <c r="E2274" s="35" t="n"/>
      <c r="F2274" s="166" t="n"/>
      <c r="G2274" s="166">
        <f>IF(AND(E2274&lt;&gt;"",F2274&lt;&gt;""),E2274*F2274,"")</f>
      </c>
    </row>
    <row r="2275" ht="16.5" customHeight="1" s="71">
      <c r="B2275" s="169" t="n"/>
      <c r="C2275" s="35" t="n"/>
      <c r="D2275" s="35" t="n"/>
      <c r="E2275" s="35" t="n"/>
      <c r="F2275" s="166" t="n"/>
      <c r="G2275" s="166">
        <f>IF(AND(E2275&lt;&gt;"",F2275&lt;&gt;""),E2275*F2275,"")</f>
      </c>
    </row>
    <row r="2276" ht="16.5" customHeight="1" s="71">
      <c r="B2276" s="169" t="n"/>
      <c r="C2276" s="35" t="n"/>
      <c r="D2276" s="35" t="n"/>
      <c r="E2276" s="35" t="n"/>
      <c r="F2276" s="166" t="n"/>
      <c r="G2276" s="166">
        <f>IF(AND(E2276&lt;&gt;"",F2276&lt;&gt;""),E2276*F2276,"")</f>
      </c>
    </row>
    <row r="2277" ht="16.5" customHeight="1" s="71">
      <c r="B2277" s="169" t="n"/>
      <c r="C2277" s="35" t="n"/>
      <c r="D2277" s="35" t="n"/>
      <c r="E2277" s="35" t="n"/>
      <c r="F2277" s="166" t="n"/>
      <c r="G2277" s="166">
        <f>IF(AND(E2277&lt;&gt;"",F2277&lt;&gt;""),E2277*F2277,"")</f>
      </c>
    </row>
    <row r="2278" ht="16.5" customHeight="1" s="71">
      <c r="B2278" s="169" t="n"/>
      <c r="C2278" s="35" t="n"/>
      <c r="D2278" s="35" t="n"/>
      <c r="E2278" s="35" t="n"/>
      <c r="F2278" s="166" t="n"/>
      <c r="G2278" s="166">
        <f>IF(AND(E2278&lt;&gt;"",F2278&lt;&gt;""),E2278*F2278,"")</f>
      </c>
    </row>
    <row r="2279" ht="16.5" customHeight="1" s="71">
      <c r="B2279" s="169" t="n"/>
      <c r="C2279" s="35" t="n"/>
      <c r="D2279" s="35" t="n"/>
      <c r="E2279" s="35" t="n"/>
      <c r="F2279" s="166" t="n"/>
      <c r="G2279" s="166">
        <f>IF(AND(E2279&lt;&gt;"",F2279&lt;&gt;""),E2279*F2279,"")</f>
      </c>
    </row>
    <row r="2280" ht="16.5" customHeight="1" s="71">
      <c r="B2280" s="169" t="n"/>
      <c r="C2280" s="35" t="n"/>
      <c r="D2280" s="35" t="n"/>
      <c r="E2280" s="35" t="n"/>
      <c r="F2280" s="166" t="n"/>
      <c r="G2280" s="166">
        <f>IF(AND(E2280&lt;&gt;"",F2280&lt;&gt;""),E2280*F2280,"")</f>
      </c>
    </row>
    <row r="2281" ht="16.5" customHeight="1" s="71">
      <c r="B2281" s="169" t="n"/>
      <c r="C2281" s="35" t="n"/>
      <c r="D2281" s="35" t="n"/>
      <c r="E2281" s="35" t="n"/>
      <c r="F2281" s="166" t="n"/>
      <c r="G2281" s="166">
        <f>IF(AND(E2281&lt;&gt;"",F2281&lt;&gt;""),E2281*F2281,"")</f>
      </c>
    </row>
    <row r="2282" ht="16.5" customHeight="1" s="71">
      <c r="B2282" s="169" t="n"/>
      <c r="C2282" s="35" t="n"/>
      <c r="D2282" s="35" t="n"/>
      <c r="E2282" s="35" t="n"/>
      <c r="F2282" s="166" t="n"/>
      <c r="G2282" s="166">
        <f>IF(AND(E2282&lt;&gt;"",F2282&lt;&gt;""),E2282*F2282,"")</f>
      </c>
    </row>
    <row r="2283" ht="16.5" customHeight="1" s="71">
      <c r="B2283" s="169" t="n"/>
      <c r="C2283" s="35" t="n"/>
      <c r="D2283" s="35" t="n"/>
      <c r="E2283" s="35" t="n"/>
      <c r="F2283" s="166" t="n"/>
      <c r="G2283" s="166">
        <f>IF(AND(E2283&lt;&gt;"",F2283&lt;&gt;""),E2283*F2283,"")</f>
      </c>
    </row>
    <row r="2284" ht="16.5" customHeight="1" s="71">
      <c r="B2284" s="169" t="n"/>
      <c r="C2284" s="35" t="n"/>
      <c r="D2284" s="35" t="n"/>
      <c r="E2284" s="35" t="n"/>
      <c r="F2284" s="166" t="n"/>
      <c r="G2284" s="166">
        <f>IF(AND(E2284&lt;&gt;"",F2284&lt;&gt;""),E2284*F2284,"")</f>
      </c>
    </row>
    <row r="2285" ht="16.5" customHeight="1" s="71">
      <c r="B2285" s="169" t="n"/>
      <c r="C2285" s="35" t="n"/>
      <c r="D2285" s="35" t="n"/>
      <c r="E2285" s="35" t="n"/>
      <c r="F2285" s="166" t="n"/>
      <c r="G2285" s="166">
        <f>IF(AND(E2285&lt;&gt;"",F2285&lt;&gt;""),E2285*F2285,"")</f>
      </c>
    </row>
    <row r="2286" ht="16.5" customHeight="1" s="71">
      <c r="B2286" s="169" t="n"/>
      <c r="C2286" s="35" t="n"/>
      <c r="D2286" s="35" t="n"/>
      <c r="E2286" s="35" t="n"/>
      <c r="F2286" s="166" t="n"/>
      <c r="G2286" s="166">
        <f>IF(AND(E2286&lt;&gt;"",F2286&lt;&gt;""),E2286*F2286,"")</f>
      </c>
    </row>
    <row r="2287" ht="16.5" customHeight="1" s="71">
      <c r="B2287" s="169" t="n"/>
      <c r="C2287" s="35" t="n"/>
      <c r="D2287" s="35" t="n"/>
      <c r="E2287" s="35" t="n"/>
      <c r="F2287" s="166" t="n"/>
      <c r="G2287" s="166">
        <f>IF(AND(E2287&lt;&gt;"",F2287&lt;&gt;""),E2287*F2287,"")</f>
      </c>
    </row>
    <row r="2288" ht="16.5" customHeight="1" s="71">
      <c r="B2288" s="169" t="n"/>
      <c r="C2288" s="35" t="n"/>
      <c r="D2288" s="35" t="n"/>
      <c r="E2288" s="35" t="n"/>
      <c r="F2288" s="166" t="n"/>
      <c r="G2288" s="166">
        <f>IF(AND(E2288&lt;&gt;"",F2288&lt;&gt;""),E2288*F2288,"")</f>
      </c>
    </row>
    <row r="2289" ht="16.5" customHeight="1" s="71">
      <c r="B2289" s="169" t="n"/>
      <c r="C2289" s="35" t="n"/>
      <c r="D2289" s="35" t="n"/>
      <c r="E2289" s="35" t="n"/>
      <c r="F2289" s="166" t="n"/>
      <c r="G2289" s="166">
        <f>IF(AND(E2289&lt;&gt;"",F2289&lt;&gt;""),E2289*F2289,"")</f>
      </c>
    </row>
    <row r="2290" ht="16.5" customHeight="1" s="71">
      <c r="B2290" s="169" t="n"/>
      <c r="C2290" s="35" t="n"/>
      <c r="D2290" s="35" t="n"/>
      <c r="E2290" s="35" t="n"/>
      <c r="F2290" s="166" t="n"/>
      <c r="G2290" s="166">
        <f>IF(AND(E2290&lt;&gt;"",F2290&lt;&gt;""),E2290*F2290,"")</f>
      </c>
    </row>
    <row r="2291" ht="16.5" customHeight="1" s="71">
      <c r="B2291" s="169" t="n"/>
      <c r="C2291" s="35" t="n"/>
      <c r="D2291" s="35" t="n"/>
      <c r="E2291" s="35" t="n"/>
      <c r="F2291" s="166" t="n"/>
      <c r="G2291" s="166">
        <f>IF(AND(E2291&lt;&gt;"",F2291&lt;&gt;""),E2291*F2291,"")</f>
      </c>
    </row>
    <row r="2292" ht="16.5" customHeight="1" s="71">
      <c r="B2292" s="169" t="n"/>
      <c r="C2292" s="35" t="n"/>
      <c r="D2292" s="35" t="n"/>
      <c r="E2292" s="35" t="n"/>
      <c r="F2292" s="166" t="n"/>
      <c r="G2292" s="166">
        <f>IF(AND(E2292&lt;&gt;"",F2292&lt;&gt;""),E2292*F2292,"")</f>
      </c>
    </row>
    <row r="2293" ht="16.5" customHeight="1" s="71">
      <c r="B2293" s="169" t="n"/>
      <c r="C2293" s="35" t="n"/>
      <c r="D2293" s="35" t="n"/>
      <c r="E2293" s="35" t="n"/>
      <c r="F2293" s="166" t="n"/>
      <c r="G2293" s="166">
        <f>IF(AND(E2293&lt;&gt;"",F2293&lt;&gt;""),E2293*F2293,"")</f>
      </c>
    </row>
    <row r="2294" ht="16.5" customHeight="1" s="71">
      <c r="B2294" s="169" t="n"/>
      <c r="C2294" s="35" t="n"/>
      <c r="D2294" s="35" t="n"/>
      <c r="E2294" s="35" t="n"/>
      <c r="F2294" s="166" t="n"/>
      <c r="G2294" s="166">
        <f>IF(AND(E2294&lt;&gt;"",F2294&lt;&gt;""),E2294*F2294,"")</f>
      </c>
    </row>
    <row r="2295" ht="16.5" customHeight="1" s="71">
      <c r="B2295" s="169" t="n"/>
      <c r="C2295" s="35" t="n"/>
      <c r="D2295" s="35" t="n"/>
      <c r="E2295" s="35" t="n"/>
      <c r="F2295" s="166" t="n"/>
      <c r="G2295" s="166">
        <f>IF(AND(E2295&lt;&gt;"",F2295&lt;&gt;""),E2295*F2295,"")</f>
      </c>
    </row>
    <row r="2296" ht="16.5" customHeight="1" s="71">
      <c r="B2296" s="169" t="n"/>
      <c r="C2296" s="35" t="n"/>
      <c r="D2296" s="35" t="n"/>
      <c r="E2296" s="35" t="n"/>
      <c r="F2296" s="166" t="n"/>
      <c r="G2296" s="166">
        <f>IF(AND(E2296&lt;&gt;"",F2296&lt;&gt;""),E2296*F2296,"")</f>
      </c>
    </row>
    <row r="2297" ht="16.5" customHeight="1" s="71">
      <c r="B2297" s="169" t="n"/>
      <c r="C2297" s="35" t="n"/>
      <c r="D2297" s="35" t="n"/>
      <c r="E2297" s="35" t="n"/>
      <c r="F2297" s="166" t="n"/>
      <c r="G2297" s="166">
        <f>IF(AND(E2297&lt;&gt;"",F2297&lt;&gt;""),E2297*F2297,"")</f>
      </c>
    </row>
    <row r="2298" ht="16.5" customHeight="1" s="71">
      <c r="B2298" s="169" t="n"/>
      <c r="C2298" s="35" t="n"/>
      <c r="D2298" s="35" t="n"/>
      <c r="E2298" s="35" t="n"/>
      <c r="F2298" s="166" t="n"/>
      <c r="G2298" s="166">
        <f>IF(AND(E2298&lt;&gt;"",F2298&lt;&gt;""),E2298*F2298,"")</f>
      </c>
    </row>
    <row r="2299" ht="16.5" customHeight="1" s="71">
      <c r="B2299" s="169" t="n"/>
      <c r="C2299" s="35" t="n"/>
      <c r="D2299" s="35" t="n"/>
      <c r="E2299" s="35" t="n"/>
      <c r="F2299" s="166" t="n"/>
      <c r="G2299" s="166">
        <f>IF(AND(E2299&lt;&gt;"",F2299&lt;&gt;""),E2299*F2299,"")</f>
      </c>
    </row>
    <row r="2300" ht="16.5" customHeight="1" s="71">
      <c r="B2300" s="169" t="n"/>
      <c r="C2300" s="35" t="n"/>
      <c r="D2300" s="35" t="n"/>
      <c r="E2300" s="35" t="n"/>
      <c r="F2300" s="166" t="n"/>
      <c r="G2300" s="166">
        <f>IF(AND(E2300&lt;&gt;"",F2300&lt;&gt;""),E2300*F2300,"")</f>
      </c>
    </row>
    <row r="2301" ht="16.5" customHeight="1" s="71">
      <c r="B2301" s="169" t="n"/>
      <c r="C2301" s="35" t="n"/>
      <c r="D2301" s="35" t="n"/>
      <c r="E2301" s="35" t="n"/>
      <c r="F2301" s="166" t="n"/>
      <c r="G2301" s="166">
        <f>IF(AND(E2301&lt;&gt;"",F2301&lt;&gt;""),E2301*F2301,"")</f>
      </c>
    </row>
    <row r="2302" ht="16.5" customHeight="1" s="71">
      <c r="B2302" s="169" t="n"/>
      <c r="C2302" s="35" t="n"/>
      <c r="D2302" s="35" t="n"/>
      <c r="E2302" s="35" t="n"/>
      <c r="F2302" s="166" t="n"/>
      <c r="G2302" s="166">
        <f>IF(AND(E2302&lt;&gt;"",F2302&lt;&gt;""),E2302*F2302,"")</f>
      </c>
    </row>
    <row r="2303" ht="16.5" customHeight="1" s="71">
      <c r="B2303" s="169" t="n"/>
      <c r="C2303" s="35" t="n"/>
      <c r="D2303" s="35" t="n"/>
      <c r="E2303" s="35" t="n"/>
      <c r="F2303" s="166" t="n"/>
      <c r="G2303" s="166">
        <f>IF(AND(E2303&lt;&gt;"",F2303&lt;&gt;""),E2303*F2303,"")</f>
      </c>
    </row>
    <row r="2304" ht="16.5" customHeight="1" s="71">
      <c r="B2304" s="169" t="n"/>
      <c r="C2304" s="35" t="n"/>
      <c r="D2304" s="35" t="n"/>
      <c r="E2304" s="35" t="n"/>
      <c r="F2304" s="166" t="n"/>
      <c r="G2304" s="166">
        <f>IF(AND(E2304&lt;&gt;"",F2304&lt;&gt;""),E2304*F2304,"")</f>
      </c>
    </row>
    <row r="2305" ht="16.5" customHeight="1" s="71">
      <c r="B2305" s="169" t="n"/>
      <c r="C2305" s="35" t="n"/>
      <c r="D2305" s="35" t="n"/>
      <c r="E2305" s="35" t="n"/>
      <c r="F2305" s="166" t="n"/>
      <c r="G2305" s="166">
        <f>IF(AND(E2305&lt;&gt;"",F2305&lt;&gt;""),E2305*F2305,"")</f>
      </c>
    </row>
    <row r="2306" ht="16.5" customHeight="1" s="71">
      <c r="B2306" s="169" t="n"/>
      <c r="C2306" s="35" t="n"/>
      <c r="D2306" s="35" t="n"/>
      <c r="E2306" s="35" t="n"/>
      <c r="F2306" s="166" t="n"/>
      <c r="G2306" s="166">
        <f>IF(AND(E2306&lt;&gt;"",F2306&lt;&gt;""),E2306*F2306,"")</f>
      </c>
    </row>
    <row r="2307" ht="16.5" customHeight="1" s="71">
      <c r="B2307" s="169" t="n"/>
      <c r="C2307" s="35" t="n"/>
      <c r="D2307" s="35" t="n"/>
      <c r="E2307" s="35" t="n"/>
      <c r="F2307" s="166" t="n"/>
      <c r="G2307" s="166">
        <f>IF(AND(E2307&lt;&gt;"",F2307&lt;&gt;""),E2307*F2307,"")</f>
      </c>
    </row>
    <row r="2308" ht="16.5" customHeight="1" s="71">
      <c r="B2308" s="169" t="n"/>
      <c r="C2308" s="35" t="n"/>
      <c r="D2308" s="35" t="n"/>
      <c r="E2308" s="35" t="n"/>
      <c r="F2308" s="166" t="n"/>
      <c r="G2308" s="166">
        <f>IF(AND(E2308&lt;&gt;"",F2308&lt;&gt;""),E2308*F2308,"")</f>
      </c>
    </row>
    <row r="2309" ht="16.5" customHeight="1" s="71">
      <c r="B2309" s="169" t="n"/>
      <c r="C2309" s="35" t="n"/>
      <c r="D2309" s="35" t="n"/>
      <c r="E2309" s="35" t="n"/>
      <c r="F2309" s="166" t="n"/>
      <c r="G2309" s="166">
        <f>IF(AND(E2309&lt;&gt;"",F2309&lt;&gt;""),E2309*F2309,"")</f>
      </c>
    </row>
    <row r="2310" ht="16.5" customHeight="1" s="71">
      <c r="B2310" s="169" t="n"/>
      <c r="C2310" s="35" t="n"/>
      <c r="D2310" s="35" t="n"/>
      <c r="E2310" s="35" t="n"/>
      <c r="F2310" s="166" t="n"/>
      <c r="G2310" s="166">
        <f>IF(AND(E2310&lt;&gt;"",F2310&lt;&gt;""),E2310*F2310,"")</f>
      </c>
    </row>
    <row r="2311" ht="16.5" customHeight="1" s="71">
      <c r="B2311" s="169" t="n"/>
      <c r="C2311" s="35" t="n"/>
      <c r="D2311" s="35" t="n"/>
      <c r="E2311" s="35" t="n"/>
      <c r="F2311" s="166" t="n"/>
      <c r="G2311" s="166">
        <f>IF(AND(E2311&lt;&gt;"",F2311&lt;&gt;""),E2311*F2311,"")</f>
      </c>
    </row>
    <row r="2312" ht="16.5" customHeight="1" s="71">
      <c r="B2312" s="169" t="n"/>
      <c r="C2312" s="35" t="n"/>
      <c r="D2312" s="35" t="n"/>
      <c r="E2312" s="35" t="n"/>
      <c r="F2312" s="166" t="n"/>
      <c r="G2312" s="166">
        <f>IF(AND(E2312&lt;&gt;"",F2312&lt;&gt;""),E2312*F2312,"")</f>
      </c>
    </row>
    <row r="2313" ht="16.5" customHeight="1" s="71">
      <c r="B2313" s="169" t="n"/>
      <c r="C2313" s="35" t="n"/>
      <c r="D2313" s="35" t="n"/>
      <c r="E2313" s="35" t="n"/>
      <c r="F2313" s="166" t="n"/>
      <c r="G2313" s="166">
        <f>IF(AND(E2313&lt;&gt;"",F2313&lt;&gt;""),E2313*F2313,"")</f>
      </c>
    </row>
    <row r="2314" ht="16.5" customHeight="1" s="71">
      <c r="B2314" s="169" t="n"/>
      <c r="C2314" s="35" t="n"/>
      <c r="D2314" s="35" t="n"/>
      <c r="E2314" s="35" t="n"/>
      <c r="F2314" s="166" t="n"/>
      <c r="G2314" s="166">
        <f>IF(AND(E2314&lt;&gt;"",F2314&lt;&gt;""),E2314*F2314,"")</f>
      </c>
    </row>
    <row r="2315" ht="16.5" customHeight="1" s="71">
      <c r="B2315" s="169" t="n"/>
      <c r="C2315" s="35" t="n"/>
      <c r="D2315" s="35" t="n"/>
      <c r="E2315" s="35" t="n"/>
      <c r="F2315" s="166" t="n"/>
      <c r="G2315" s="166">
        <f>IF(AND(E2315&lt;&gt;"",F2315&lt;&gt;""),E2315*F2315,"")</f>
      </c>
    </row>
    <row r="2316" ht="16.5" customHeight="1" s="71">
      <c r="B2316" s="169" t="n"/>
      <c r="C2316" s="35" t="n"/>
      <c r="D2316" s="35" t="n"/>
      <c r="E2316" s="35" t="n"/>
      <c r="F2316" s="166" t="n"/>
      <c r="G2316" s="166">
        <f>IF(AND(E2316&lt;&gt;"",F2316&lt;&gt;""),E2316*F2316,"")</f>
      </c>
    </row>
    <row r="2317" ht="16.5" customHeight="1" s="71">
      <c r="B2317" s="169" t="n"/>
      <c r="C2317" s="35" t="n"/>
      <c r="D2317" s="35" t="n"/>
      <c r="E2317" s="35" t="n"/>
      <c r="F2317" s="166" t="n"/>
      <c r="G2317" s="166">
        <f>IF(AND(E2317&lt;&gt;"",F2317&lt;&gt;""),E2317*F2317,"")</f>
      </c>
    </row>
    <row r="2318" ht="16.5" customHeight="1" s="71">
      <c r="B2318" s="169" t="n"/>
      <c r="C2318" s="35" t="n"/>
      <c r="D2318" s="35" t="n"/>
      <c r="E2318" s="35" t="n"/>
      <c r="F2318" s="166" t="n"/>
      <c r="G2318" s="166">
        <f>IF(AND(E2318&lt;&gt;"",F2318&lt;&gt;""),E2318*F2318,"")</f>
      </c>
    </row>
    <row r="2319" ht="16.5" customHeight="1" s="71">
      <c r="B2319" s="169" t="n"/>
      <c r="C2319" s="35" t="n"/>
      <c r="D2319" s="35" t="n"/>
      <c r="E2319" s="35" t="n"/>
      <c r="F2319" s="166" t="n"/>
      <c r="G2319" s="166">
        <f>IF(AND(E2319&lt;&gt;"",F2319&lt;&gt;""),E2319*F2319,"")</f>
      </c>
    </row>
    <row r="2320" ht="16.5" customHeight="1" s="71">
      <c r="B2320" s="169" t="n"/>
      <c r="C2320" s="35" t="n"/>
      <c r="D2320" s="35" t="n"/>
      <c r="E2320" s="35" t="n"/>
      <c r="F2320" s="166" t="n"/>
      <c r="G2320" s="166">
        <f>IF(AND(E2320&lt;&gt;"",F2320&lt;&gt;""),E2320*F2320,"")</f>
      </c>
    </row>
    <row r="2321" ht="16.5" customHeight="1" s="71">
      <c r="B2321" s="169" t="n"/>
      <c r="C2321" s="35" t="n"/>
      <c r="D2321" s="35" t="n"/>
      <c r="E2321" s="35" t="n"/>
      <c r="F2321" s="166" t="n"/>
      <c r="G2321" s="166">
        <f>IF(AND(E2321&lt;&gt;"",F2321&lt;&gt;""),E2321*F2321,"")</f>
      </c>
    </row>
    <row r="2322" ht="16.5" customHeight="1" s="71">
      <c r="B2322" s="169" t="n"/>
      <c r="C2322" s="35" t="n"/>
      <c r="D2322" s="35" t="n"/>
      <c r="E2322" s="35" t="n"/>
      <c r="F2322" s="166" t="n"/>
      <c r="G2322" s="166">
        <f>IF(AND(E2322&lt;&gt;"",F2322&lt;&gt;""),E2322*F2322,"")</f>
      </c>
    </row>
    <row r="2323" ht="16.5" customHeight="1" s="71">
      <c r="B2323" s="169" t="n"/>
      <c r="C2323" s="35" t="n"/>
      <c r="D2323" s="35" t="n"/>
      <c r="E2323" s="35" t="n"/>
      <c r="F2323" s="166" t="n"/>
      <c r="G2323" s="166">
        <f>IF(AND(E2323&lt;&gt;"",F2323&lt;&gt;""),E2323*F2323,"")</f>
      </c>
    </row>
    <row r="2324" ht="16.5" customHeight="1" s="71">
      <c r="B2324" s="169" t="n"/>
      <c r="C2324" s="35" t="n"/>
      <c r="D2324" s="35" t="n"/>
      <c r="E2324" s="35" t="n"/>
      <c r="F2324" s="166" t="n"/>
      <c r="G2324" s="166">
        <f>IF(AND(E2324&lt;&gt;"",F2324&lt;&gt;""),E2324*F2324,"")</f>
      </c>
    </row>
    <row r="2325" ht="16.5" customHeight="1" s="71">
      <c r="B2325" s="169" t="n"/>
      <c r="C2325" s="35" t="n"/>
      <c r="D2325" s="35" t="n"/>
      <c r="E2325" s="35" t="n"/>
      <c r="F2325" s="166" t="n"/>
      <c r="G2325" s="166">
        <f>IF(AND(E2325&lt;&gt;"",F2325&lt;&gt;""),E2325*F2325,"")</f>
      </c>
    </row>
    <row r="2326" ht="16.5" customHeight="1" s="71">
      <c r="B2326" s="169" t="n"/>
      <c r="C2326" s="35" t="n"/>
      <c r="D2326" s="35" t="n"/>
      <c r="E2326" s="35" t="n"/>
      <c r="F2326" s="166" t="n"/>
      <c r="G2326" s="166">
        <f>IF(AND(E2326&lt;&gt;"",F2326&lt;&gt;""),E2326*F2326,"")</f>
      </c>
    </row>
    <row r="2327" ht="16.5" customHeight="1" s="71">
      <c r="B2327" s="169" t="n"/>
      <c r="C2327" s="35" t="n"/>
      <c r="D2327" s="35" t="n"/>
      <c r="E2327" s="35" t="n"/>
      <c r="F2327" s="166" t="n"/>
      <c r="G2327" s="166">
        <f>IF(AND(E2327&lt;&gt;"",F2327&lt;&gt;""),E2327*F2327,"")</f>
      </c>
    </row>
    <row r="2328" ht="16.5" customHeight="1" s="71">
      <c r="B2328" s="169" t="n"/>
      <c r="C2328" s="35" t="n"/>
      <c r="D2328" s="35" t="n"/>
      <c r="E2328" s="35" t="n"/>
      <c r="F2328" s="166" t="n"/>
      <c r="G2328" s="166">
        <f>IF(AND(E2328&lt;&gt;"",F2328&lt;&gt;""),E2328*F2328,"")</f>
      </c>
    </row>
    <row r="2329" ht="16.5" customHeight="1" s="71">
      <c r="B2329" s="169" t="n"/>
      <c r="C2329" s="35" t="n"/>
      <c r="D2329" s="35" t="n"/>
      <c r="E2329" s="35" t="n"/>
      <c r="F2329" s="166" t="n"/>
      <c r="G2329" s="166">
        <f>IF(AND(E2329&lt;&gt;"",F2329&lt;&gt;""),E2329*F2329,"")</f>
      </c>
    </row>
    <row r="2330" ht="16.5" customHeight="1" s="71">
      <c r="B2330" s="169" t="n"/>
      <c r="C2330" s="35" t="n"/>
      <c r="D2330" s="35" t="n"/>
      <c r="E2330" s="35" t="n"/>
      <c r="F2330" s="166" t="n"/>
      <c r="G2330" s="166">
        <f>IF(AND(E2330&lt;&gt;"",F2330&lt;&gt;""),E2330*F2330,"")</f>
      </c>
    </row>
    <row r="2331" ht="16.5" customHeight="1" s="71">
      <c r="B2331" s="169" t="n"/>
      <c r="C2331" s="35" t="n"/>
      <c r="D2331" s="35" t="n"/>
      <c r="E2331" s="35" t="n"/>
      <c r="F2331" s="166" t="n"/>
      <c r="G2331" s="166">
        <f>IF(AND(E2331&lt;&gt;"",F2331&lt;&gt;""),E2331*F2331,"")</f>
      </c>
    </row>
    <row r="2332" ht="16.5" customHeight="1" s="71">
      <c r="B2332" s="169" t="n"/>
      <c r="C2332" s="35" t="n"/>
      <c r="D2332" s="35" t="n"/>
      <c r="E2332" s="35" t="n"/>
      <c r="F2332" s="166" t="n"/>
      <c r="G2332" s="166">
        <f>IF(AND(E2332&lt;&gt;"",F2332&lt;&gt;""),E2332*F2332,"")</f>
      </c>
    </row>
    <row r="2333" ht="16.5" customHeight="1" s="71">
      <c r="B2333" s="169" t="n"/>
      <c r="C2333" s="35" t="n"/>
      <c r="D2333" s="35" t="n"/>
      <c r="E2333" s="35" t="n"/>
      <c r="F2333" s="166" t="n"/>
      <c r="G2333" s="166">
        <f>IF(AND(E2333&lt;&gt;"",F2333&lt;&gt;""),E2333*F2333,"")</f>
      </c>
    </row>
    <row r="2334" ht="16.5" customHeight="1" s="71">
      <c r="B2334" s="169" t="n"/>
      <c r="C2334" s="35" t="n"/>
      <c r="D2334" s="35" t="n"/>
      <c r="E2334" s="35" t="n"/>
      <c r="F2334" s="166" t="n"/>
      <c r="G2334" s="166">
        <f>IF(AND(E2334&lt;&gt;"",F2334&lt;&gt;""),E2334*F2334,"")</f>
      </c>
    </row>
    <row r="2335" ht="16.5" customHeight="1" s="71">
      <c r="B2335" s="169" t="n"/>
      <c r="C2335" s="35" t="n"/>
      <c r="D2335" s="35" t="n"/>
      <c r="E2335" s="35" t="n"/>
      <c r="F2335" s="166" t="n"/>
      <c r="G2335" s="166">
        <f>IF(AND(E2335&lt;&gt;"",F2335&lt;&gt;""),E2335*F2335,"")</f>
      </c>
    </row>
    <row r="2336" ht="16.5" customHeight="1" s="71">
      <c r="B2336" s="169" t="n"/>
      <c r="C2336" s="35" t="n"/>
      <c r="D2336" s="35" t="n"/>
      <c r="E2336" s="35" t="n"/>
      <c r="F2336" s="166" t="n"/>
      <c r="G2336" s="166">
        <f>IF(AND(E2336&lt;&gt;"",F2336&lt;&gt;""),E2336*F2336,"")</f>
      </c>
    </row>
    <row r="2337" ht="16.5" customHeight="1" s="71">
      <c r="B2337" s="169" t="n"/>
      <c r="C2337" s="35" t="n"/>
      <c r="D2337" s="35" t="n"/>
      <c r="E2337" s="35" t="n"/>
      <c r="F2337" s="166" t="n"/>
      <c r="G2337" s="166">
        <f>IF(AND(E2337&lt;&gt;"",F2337&lt;&gt;""),E2337*F2337,"")</f>
      </c>
    </row>
    <row r="2338" ht="16.5" customHeight="1" s="71">
      <c r="B2338" s="169" t="n"/>
      <c r="C2338" s="35" t="n"/>
      <c r="D2338" s="35" t="n"/>
      <c r="E2338" s="35" t="n"/>
      <c r="F2338" s="166" t="n"/>
      <c r="G2338" s="166">
        <f>IF(AND(E2338&lt;&gt;"",F2338&lt;&gt;""),E2338*F2338,"")</f>
      </c>
    </row>
    <row r="2339" ht="16.5" customHeight="1" s="71">
      <c r="B2339" s="169" t="n"/>
      <c r="C2339" s="35" t="n"/>
      <c r="D2339" s="35" t="n"/>
      <c r="E2339" s="35" t="n"/>
      <c r="F2339" s="166" t="n"/>
      <c r="G2339" s="166">
        <f>IF(AND(E2339&lt;&gt;"",F2339&lt;&gt;""),E2339*F2339,"")</f>
      </c>
    </row>
    <row r="2340" ht="16.5" customHeight="1" s="71">
      <c r="B2340" s="169" t="n"/>
      <c r="C2340" s="35" t="n"/>
      <c r="D2340" s="35" t="n"/>
      <c r="E2340" s="35" t="n"/>
      <c r="F2340" s="166" t="n"/>
      <c r="G2340" s="166">
        <f>IF(AND(E2340&lt;&gt;"",F2340&lt;&gt;""),E2340*F2340,"")</f>
      </c>
    </row>
    <row r="2341" ht="16.5" customHeight="1" s="71">
      <c r="B2341" s="169" t="n"/>
      <c r="C2341" s="35" t="n"/>
      <c r="D2341" s="35" t="n"/>
      <c r="E2341" s="35" t="n"/>
      <c r="F2341" s="166" t="n"/>
      <c r="G2341" s="166">
        <f>IF(AND(E2341&lt;&gt;"",F2341&lt;&gt;""),E2341*F2341,"")</f>
      </c>
    </row>
    <row r="2342" ht="16.5" customHeight="1" s="71">
      <c r="B2342" s="169" t="n"/>
      <c r="C2342" s="35" t="n"/>
      <c r="D2342" s="35" t="n"/>
      <c r="E2342" s="35" t="n"/>
      <c r="F2342" s="166" t="n"/>
      <c r="G2342" s="166">
        <f>IF(AND(E2342&lt;&gt;"",F2342&lt;&gt;""),E2342*F2342,"")</f>
      </c>
    </row>
    <row r="2343" ht="16.5" customHeight="1" s="71">
      <c r="B2343" s="169" t="n"/>
      <c r="C2343" s="35" t="n"/>
      <c r="D2343" s="35" t="n"/>
      <c r="E2343" s="35" t="n"/>
      <c r="F2343" s="166" t="n"/>
      <c r="G2343" s="166">
        <f>IF(AND(E2343&lt;&gt;"",F2343&lt;&gt;""),E2343*F2343,"")</f>
      </c>
    </row>
    <row r="2344" ht="16.5" customHeight="1" s="71">
      <c r="B2344" s="169" t="n"/>
      <c r="C2344" s="35" t="n"/>
      <c r="D2344" s="35" t="n"/>
      <c r="E2344" s="35" t="n"/>
      <c r="F2344" s="166" t="n"/>
      <c r="G2344" s="166">
        <f>IF(AND(E2344&lt;&gt;"",F2344&lt;&gt;""),E2344*F2344,"")</f>
      </c>
    </row>
    <row r="2345" ht="16.5" customHeight="1" s="71">
      <c r="B2345" s="169" t="n"/>
      <c r="C2345" s="35" t="n"/>
      <c r="D2345" s="35" t="n"/>
      <c r="E2345" s="35" t="n"/>
      <c r="F2345" s="166" t="n"/>
      <c r="G2345" s="166">
        <f>IF(AND(E2345&lt;&gt;"",F2345&lt;&gt;""),E2345*F2345,"")</f>
      </c>
    </row>
    <row r="2346" ht="16.5" customHeight="1" s="71">
      <c r="B2346" s="169" t="n"/>
      <c r="C2346" s="35" t="n"/>
      <c r="D2346" s="35" t="n"/>
      <c r="E2346" s="35" t="n"/>
      <c r="F2346" s="166" t="n"/>
      <c r="G2346" s="166">
        <f>IF(AND(E2346&lt;&gt;"",F2346&lt;&gt;""),E2346*F2346,"")</f>
      </c>
    </row>
    <row r="2347" ht="16.5" customHeight="1" s="71">
      <c r="B2347" s="169" t="n"/>
      <c r="C2347" s="35" t="n"/>
      <c r="D2347" s="35" t="n"/>
      <c r="E2347" s="35" t="n"/>
      <c r="F2347" s="166" t="n"/>
      <c r="G2347" s="166">
        <f>IF(AND(E2347&lt;&gt;"",F2347&lt;&gt;""),E2347*F2347,"")</f>
      </c>
    </row>
    <row r="2348" ht="16.5" customHeight="1" s="71">
      <c r="B2348" s="169" t="n"/>
      <c r="C2348" s="35" t="n"/>
      <c r="D2348" s="35" t="n"/>
      <c r="E2348" s="35" t="n"/>
      <c r="F2348" s="166" t="n"/>
      <c r="G2348" s="166">
        <f>IF(AND(E2348&lt;&gt;"",F2348&lt;&gt;""),E2348*F2348,"")</f>
      </c>
    </row>
    <row r="2349" ht="16.5" customHeight="1" s="71">
      <c r="B2349" s="169" t="n"/>
      <c r="C2349" s="35" t="n"/>
      <c r="D2349" s="35" t="n"/>
      <c r="E2349" s="35" t="n"/>
      <c r="F2349" s="166" t="n"/>
      <c r="G2349" s="166">
        <f>IF(AND(E2349&lt;&gt;"",F2349&lt;&gt;""),E2349*F2349,"")</f>
      </c>
    </row>
    <row r="2350" ht="16.5" customHeight="1" s="71">
      <c r="B2350" s="169" t="n"/>
      <c r="C2350" s="35" t="n"/>
      <c r="D2350" s="35" t="n"/>
      <c r="E2350" s="35" t="n"/>
      <c r="F2350" s="166" t="n"/>
      <c r="G2350" s="166">
        <f>IF(AND(E2350&lt;&gt;"",F2350&lt;&gt;""),E2350*F2350,"")</f>
      </c>
    </row>
    <row r="2351" ht="16.5" customHeight="1" s="71">
      <c r="B2351" s="169" t="n"/>
      <c r="C2351" s="35" t="n"/>
      <c r="D2351" s="35" t="n"/>
      <c r="E2351" s="35" t="n"/>
      <c r="F2351" s="166" t="n"/>
      <c r="G2351" s="166">
        <f>IF(AND(E2351&lt;&gt;"",F2351&lt;&gt;""),E2351*F2351,"")</f>
      </c>
    </row>
    <row r="2352" ht="16.5" customHeight="1" s="71">
      <c r="B2352" s="169" t="n"/>
      <c r="C2352" s="35" t="n"/>
      <c r="D2352" s="35" t="n"/>
      <c r="E2352" s="35" t="n"/>
      <c r="F2352" s="166" t="n"/>
      <c r="G2352" s="166">
        <f>IF(AND(E2352&lt;&gt;"",F2352&lt;&gt;""),E2352*F2352,"")</f>
      </c>
    </row>
    <row r="2353" ht="16.5" customHeight="1" s="71">
      <c r="B2353" s="169" t="n"/>
      <c r="C2353" s="35" t="n"/>
      <c r="D2353" s="35" t="n"/>
      <c r="E2353" s="35" t="n"/>
      <c r="F2353" s="166" t="n"/>
      <c r="G2353" s="166">
        <f>IF(AND(E2353&lt;&gt;"",F2353&lt;&gt;""),E2353*F2353,"")</f>
      </c>
    </row>
    <row r="2354" ht="16.5" customHeight="1" s="71">
      <c r="B2354" s="169" t="n"/>
      <c r="C2354" s="35" t="n"/>
      <c r="D2354" s="35" t="n"/>
      <c r="E2354" s="35" t="n"/>
      <c r="F2354" s="166" t="n"/>
      <c r="G2354" s="166">
        <f>IF(AND(E2354&lt;&gt;"",F2354&lt;&gt;""),E2354*F2354,"")</f>
      </c>
    </row>
    <row r="2355" ht="16.5" customHeight="1" s="71">
      <c r="B2355" s="169" t="n"/>
      <c r="C2355" s="35" t="n"/>
      <c r="D2355" s="35" t="n"/>
      <c r="E2355" s="35" t="n"/>
      <c r="F2355" s="166" t="n"/>
      <c r="G2355" s="166">
        <f>IF(AND(E2355&lt;&gt;"",F2355&lt;&gt;""),E2355*F2355,"")</f>
      </c>
    </row>
    <row r="2356" ht="16.5" customHeight="1" s="71">
      <c r="B2356" s="169" t="n"/>
      <c r="C2356" s="35" t="n"/>
      <c r="D2356" s="35" t="n"/>
      <c r="E2356" s="35" t="n"/>
      <c r="F2356" s="166" t="n"/>
      <c r="G2356" s="166">
        <f>IF(AND(E2356&lt;&gt;"",F2356&lt;&gt;""),E2356*F2356,"")</f>
      </c>
    </row>
    <row r="2357" ht="16.5" customHeight="1" s="71">
      <c r="B2357" s="169" t="n"/>
      <c r="C2357" s="35" t="n"/>
      <c r="D2357" s="35" t="n"/>
      <c r="E2357" s="35" t="n"/>
      <c r="F2357" s="166" t="n"/>
      <c r="G2357" s="166">
        <f>IF(AND(E2357&lt;&gt;"",F2357&lt;&gt;""),E2357*F2357,"")</f>
      </c>
    </row>
    <row r="2358" ht="16.5" customHeight="1" s="71">
      <c r="B2358" s="169" t="n"/>
      <c r="C2358" s="35" t="n"/>
      <c r="D2358" s="35" t="n"/>
      <c r="E2358" s="35" t="n"/>
      <c r="F2358" s="166" t="n"/>
      <c r="G2358" s="166">
        <f>IF(AND(E2358&lt;&gt;"",F2358&lt;&gt;""),E2358*F2358,"")</f>
      </c>
    </row>
    <row r="2359" ht="16.5" customHeight="1" s="71">
      <c r="B2359" s="169" t="n"/>
      <c r="C2359" s="35" t="n"/>
      <c r="D2359" s="35" t="n"/>
      <c r="E2359" s="35" t="n"/>
      <c r="F2359" s="166" t="n"/>
      <c r="G2359" s="166">
        <f>IF(AND(E2359&lt;&gt;"",F2359&lt;&gt;""),E2359*F2359,"")</f>
      </c>
    </row>
    <row r="2360" ht="16.5" customHeight="1" s="71">
      <c r="B2360" s="169" t="n"/>
      <c r="C2360" s="35" t="n"/>
      <c r="D2360" s="35" t="n"/>
      <c r="E2360" s="35" t="n"/>
      <c r="F2360" s="166" t="n"/>
      <c r="G2360" s="166">
        <f>IF(AND(E2360&lt;&gt;"",F2360&lt;&gt;""),E2360*F2360,"")</f>
      </c>
    </row>
    <row r="2361" ht="16.5" customHeight="1" s="71">
      <c r="B2361" s="169" t="n"/>
      <c r="C2361" s="35" t="n"/>
      <c r="D2361" s="35" t="n"/>
      <c r="E2361" s="35" t="n"/>
      <c r="F2361" s="166" t="n"/>
      <c r="G2361" s="166">
        <f>IF(AND(E2361&lt;&gt;"",F2361&lt;&gt;""),E2361*F2361,"")</f>
      </c>
    </row>
    <row r="2362" ht="16.5" customHeight="1" s="71">
      <c r="B2362" s="169" t="n"/>
      <c r="C2362" s="35" t="n"/>
      <c r="D2362" s="35" t="n"/>
      <c r="E2362" s="35" t="n"/>
      <c r="F2362" s="166" t="n"/>
      <c r="G2362" s="166">
        <f>IF(AND(E2362&lt;&gt;"",F2362&lt;&gt;""),E2362*F2362,"")</f>
      </c>
    </row>
    <row r="2363" ht="16.5" customHeight="1" s="71">
      <c r="B2363" s="169" t="n"/>
      <c r="C2363" s="35" t="n"/>
      <c r="D2363" s="35" t="n"/>
      <c r="E2363" s="35" t="n"/>
      <c r="F2363" s="166" t="n"/>
      <c r="G2363" s="166">
        <f>IF(AND(E2363&lt;&gt;"",F2363&lt;&gt;""),E2363*F2363,"")</f>
      </c>
    </row>
    <row r="2364" ht="16.5" customHeight="1" s="71">
      <c r="B2364" s="169" t="n"/>
      <c r="C2364" s="35" t="n"/>
      <c r="D2364" s="35" t="n"/>
      <c r="E2364" s="35" t="n"/>
      <c r="F2364" s="166" t="n"/>
      <c r="G2364" s="166">
        <f>IF(AND(E2364&lt;&gt;"",F2364&lt;&gt;""),E2364*F2364,"")</f>
      </c>
    </row>
    <row r="2365" ht="16.5" customHeight="1" s="71">
      <c r="B2365" s="169" t="n"/>
      <c r="C2365" s="35" t="n"/>
      <c r="D2365" s="35" t="n"/>
      <c r="E2365" s="35" t="n"/>
      <c r="F2365" s="166" t="n"/>
      <c r="G2365" s="166">
        <f>IF(AND(E2365&lt;&gt;"",F2365&lt;&gt;""),E2365*F2365,"")</f>
      </c>
    </row>
    <row r="2366" ht="16.5" customHeight="1" s="71">
      <c r="B2366" s="169" t="n"/>
      <c r="C2366" s="35" t="n"/>
      <c r="D2366" s="35" t="n"/>
      <c r="E2366" s="35" t="n"/>
      <c r="F2366" s="166" t="n"/>
      <c r="G2366" s="166">
        <f>IF(AND(E2366&lt;&gt;"",F2366&lt;&gt;""),E2366*F2366,"")</f>
      </c>
    </row>
    <row r="2367" ht="16.5" customHeight="1" s="71">
      <c r="B2367" s="169" t="n"/>
      <c r="C2367" s="35" t="n"/>
      <c r="D2367" s="35" t="n"/>
      <c r="E2367" s="35" t="n"/>
      <c r="F2367" s="166" t="n"/>
      <c r="G2367" s="166">
        <f>IF(AND(E2367&lt;&gt;"",F2367&lt;&gt;""),E2367*F2367,"")</f>
      </c>
    </row>
    <row r="2368" ht="16.5" customHeight="1" s="71">
      <c r="B2368" s="169" t="n"/>
      <c r="C2368" s="35" t="n"/>
      <c r="D2368" s="35" t="n"/>
      <c r="E2368" s="35" t="n"/>
      <c r="F2368" s="166" t="n"/>
      <c r="G2368" s="166">
        <f>IF(AND(E2368&lt;&gt;"",F2368&lt;&gt;""),E2368*F2368,"")</f>
      </c>
    </row>
    <row r="2369" ht="16.5" customHeight="1" s="71">
      <c r="B2369" s="169" t="n"/>
      <c r="C2369" s="35" t="n"/>
      <c r="D2369" s="35" t="n"/>
      <c r="E2369" s="35" t="n"/>
      <c r="F2369" s="166" t="n"/>
      <c r="G2369" s="166">
        <f>IF(AND(E2369&lt;&gt;"",F2369&lt;&gt;""),E2369*F2369,"")</f>
      </c>
    </row>
    <row r="2370" ht="16.5" customHeight="1" s="71">
      <c r="B2370" s="169" t="n"/>
      <c r="C2370" s="35" t="n"/>
      <c r="D2370" s="35" t="n"/>
      <c r="E2370" s="35" t="n"/>
      <c r="F2370" s="166" t="n"/>
      <c r="G2370" s="166">
        <f>IF(AND(E2370&lt;&gt;"",F2370&lt;&gt;""),E2370*F2370,"")</f>
      </c>
    </row>
    <row r="2371" ht="16.5" customHeight="1" s="71">
      <c r="B2371" s="169" t="n"/>
      <c r="C2371" s="35" t="n"/>
      <c r="D2371" s="35" t="n"/>
      <c r="E2371" s="35" t="n"/>
      <c r="F2371" s="166" t="n"/>
      <c r="G2371" s="166">
        <f>IF(AND(E2371&lt;&gt;"",F2371&lt;&gt;""),E2371*F2371,"")</f>
      </c>
    </row>
    <row r="2372" ht="16.5" customHeight="1" s="71">
      <c r="B2372" s="169" t="n"/>
      <c r="C2372" s="35" t="n"/>
      <c r="D2372" s="35" t="n"/>
      <c r="E2372" s="35" t="n"/>
      <c r="F2372" s="166" t="n"/>
      <c r="G2372" s="166">
        <f>IF(AND(E2372&lt;&gt;"",F2372&lt;&gt;""),E2372*F2372,"")</f>
      </c>
    </row>
    <row r="2373" ht="16.5" customHeight="1" s="71">
      <c r="B2373" s="169" t="n"/>
      <c r="C2373" s="35" t="n"/>
      <c r="D2373" s="35" t="n"/>
      <c r="E2373" s="35" t="n"/>
      <c r="F2373" s="166" t="n"/>
      <c r="G2373" s="166">
        <f>IF(AND(E2373&lt;&gt;"",F2373&lt;&gt;""),E2373*F2373,"")</f>
      </c>
    </row>
    <row r="2374" ht="16.5" customHeight="1" s="71">
      <c r="B2374" s="169" t="n"/>
      <c r="C2374" s="35" t="n"/>
      <c r="D2374" s="35" t="n"/>
      <c r="E2374" s="35" t="n"/>
      <c r="F2374" s="166" t="n"/>
      <c r="G2374" s="166">
        <f>IF(AND(E2374&lt;&gt;"",F2374&lt;&gt;""),E2374*F2374,"")</f>
      </c>
    </row>
    <row r="2375" ht="16.5" customHeight="1" s="71">
      <c r="B2375" s="169" t="n"/>
      <c r="C2375" s="35" t="n"/>
      <c r="D2375" s="35" t="n"/>
      <c r="E2375" s="35" t="n"/>
      <c r="F2375" s="166" t="n"/>
      <c r="G2375" s="166">
        <f>IF(AND(E2375&lt;&gt;"",F2375&lt;&gt;""),E2375*F2375,"")</f>
      </c>
    </row>
    <row r="2376" ht="16.5" customHeight="1" s="71">
      <c r="B2376" s="169" t="n"/>
      <c r="C2376" s="35" t="n"/>
      <c r="D2376" s="35" t="n"/>
      <c r="E2376" s="35" t="n"/>
      <c r="F2376" s="166" t="n"/>
      <c r="G2376" s="166">
        <f>IF(AND(E2376&lt;&gt;"",F2376&lt;&gt;""),E2376*F2376,"")</f>
      </c>
    </row>
    <row r="2377" ht="16.5" customHeight="1" s="71">
      <c r="B2377" s="169" t="n"/>
      <c r="C2377" s="35" t="n"/>
      <c r="D2377" s="35" t="n"/>
      <c r="E2377" s="35" t="n"/>
      <c r="F2377" s="166" t="n"/>
      <c r="G2377" s="166">
        <f>IF(AND(E2377&lt;&gt;"",F2377&lt;&gt;""),E2377*F2377,"")</f>
      </c>
    </row>
    <row r="2378" ht="16.5" customHeight="1" s="71">
      <c r="B2378" s="169" t="n"/>
      <c r="C2378" s="35" t="n"/>
      <c r="D2378" s="35" t="n"/>
      <c r="E2378" s="35" t="n"/>
      <c r="F2378" s="166" t="n"/>
      <c r="G2378" s="166">
        <f>IF(AND(E2378&lt;&gt;"",F2378&lt;&gt;""),E2378*F2378,"")</f>
      </c>
    </row>
    <row r="2379" ht="16.5" customHeight="1" s="71">
      <c r="B2379" s="169" t="n"/>
      <c r="C2379" s="35" t="n"/>
      <c r="D2379" s="35" t="n"/>
      <c r="E2379" s="35" t="n"/>
      <c r="F2379" s="166" t="n"/>
      <c r="G2379" s="166">
        <f>IF(AND(E2379&lt;&gt;"",F2379&lt;&gt;""),E2379*F2379,"")</f>
      </c>
    </row>
    <row r="2380" ht="16.5" customHeight="1" s="71">
      <c r="B2380" s="169" t="n"/>
      <c r="C2380" s="35" t="n"/>
      <c r="D2380" s="35" t="n"/>
      <c r="E2380" s="35" t="n"/>
      <c r="F2380" s="166" t="n"/>
      <c r="G2380" s="166">
        <f>IF(AND(E2380&lt;&gt;"",F2380&lt;&gt;""),E2380*F2380,"")</f>
      </c>
    </row>
    <row r="2381" ht="16.5" customHeight="1" s="71">
      <c r="B2381" s="169" t="n"/>
      <c r="C2381" s="35" t="n"/>
      <c r="D2381" s="35" t="n"/>
      <c r="E2381" s="35" t="n"/>
      <c r="F2381" s="166" t="n"/>
      <c r="G2381" s="166">
        <f>IF(AND(E2381&lt;&gt;"",F2381&lt;&gt;""),E2381*F2381,"")</f>
      </c>
    </row>
    <row r="2382" ht="16.5" customHeight="1" s="71">
      <c r="B2382" s="169" t="n"/>
      <c r="C2382" s="35" t="n"/>
      <c r="D2382" s="35" t="n"/>
      <c r="E2382" s="35" t="n"/>
      <c r="F2382" s="166" t="n"/>
      <c r="G2382" s="166">
        <f>IF(AND(E2382&lt;&gt;"",F2382&lt;&gt;""),E2382*F2382,"")</f>
      </c>
    </row>
    <row r="2383" ht="16.5" customHeight="1" s="71">
      <c r="B2383" s="169" t="n"/>
      <c r="C2383" s="35" t="n"/>
      <c r="D2383" s="35" t="n"/>
      <c r="E2383" s="35" t="n"/>
      <c r="F2383" s="166" t="n"/>
      <c r="G2383" s="166">
        <f>IF(AND(E2383&lt;&gt;"",F2383&lt;&gt;""),E2383*F2383,"")</f>
      </c>
    </row>
    <row r="2384" ht="16.5" customHeight="1" s="71">
      <c r="B2384" s="169" t="n"/>
      <c r="C2384" s="35" t="n"/>
      <c r="D2384" s="35" t="n"/>
      <c r="E2384" s="35" t="n"/>
      <c r="F2384" s="166" t="n"/>
      <c r="G2384" s="166">
        <f>IF(AND(E2384&lt;&gt;"",F2384&lt;&gt;""),E2384*F2384,"")</f>
      </c>
    </row>
    <row r="2385" ht="16.5" customHeight="1" s="71">
      <c r="B2385" s="169" t="n"/>
      <c r="C2385" s="35" t="n"/>
      <c r="D2385" s="35" t="n"/>
      <c r="E2385" s="35" t="n"/>
      <c r="F2385" s="166" t="n"/>
      <c r="G2385" s="166">
        <f>IF(AND(E2385&lt;&gt;"",F2385&lt;&gt;""),E2385*F2385,"")</f>
      </c>
    </row>
    <row r="2386" ht="16.5" customHeight="1" s="71">
      <c r="B2386" s="169" t="n"/>
      <c r="C2386" s="35" t="n"/>
      <c r="D2386" s="35" t="n"/>
      <c r="E2386" s="35" t="n"/>
      <c r="F2386" s="166" t="n"/>
      <c r="G2386" s="166">
        <f>IF(AND(E2386&lt;&gt;"",F2386&lt;&gt;""),E2386*F2386,"")</f>
      </c>
    </row>
    <row r="2387" ht="16.5" customHeight="1" s="71">
      <c r="B2387" s="169" t="n"/>
      <c r="C2387" s="35" t="n"/>
      <c r="D2387" s="35" t="n"/>
      <c r="E2387" s="35" t="n"/>
      <c r="F2387" s="166" t="n"/>
      <c r="G2387" s="166">
        <f>IF(AND(E2387&lt;&gt;"",F2387&lt;&gt;""),E2387*F2387,"")</f>
      </c>
    </row>
    <row r="2388" ht="16.5" customHeight="1" s="71">
      <c r="B2388" s="169" t="n"/>
      <c r="C2388" s="35" t="n"/>
      <c r="D2388" s="35" t="n"/>
      <c r="E2388" s="35" t="n"/>
      <c r="F2388" s="166" t="n"/>
      <c r="G2388" s="166">
        <f>IF(AND(E2388&lt;&gt;"",F2388&lt;&gt;""),E2388*F2388,"")</f>
      </c>
    </row>
    <row r="2389" ht="16.5" customHeight="1" s="71">
      <c r="B2389" s="169" t="n"/>
      <c r="C2389" s="35" t="n"/>
      <c r="D2389" s="35" t="n"/>
      <c r="E2389" s="35" t="n"/>
      <c r="F2389" s="166" t="n"/>
      <c r="G2389" s="166">
        <f>IF(AND(E2389&lt;&gt;"",F2389&lt;&gt;""),E2389*F2389,"")</f>
      </c>
    </row>
    <row r="2390" ht="16.5" customHeight="1" s="71">
      <c r="B2390" s="169" t="n"/>
      <c r="C2390" s="35" t="n"/>
      <c r="D2390" s="35" t="n"/>
      <c r="E2390" s="35" t="n"/>
      <c r="F2390" s="166" t="n"/>
      <c r="G2390" s="166">
        <f>IF(AND(E2390&lt;&gt;"",F2390&lt;&gt;""),E2390*F2390,"")</f>
      </c>
    </row>
    <row r="2391" ht="16.5" customHeight="1" s="71">
      <c r="B2391" s="169" t="n"/>
      <c r="C2391" s="35" t="n"/>
      <c r="D2391" s="35" t="n"/>
      <c r="E2391" s="35" t="n"/>
      <c r="F2391" s="166" t="n"/>
      <c r="G2391" s="166">
        <f>IF(AND(E2391&lt;&gt;"",F2391&lt;&gt;""),E2391*F2391,"")</f>
      </c>
    </row>
    <row r="2392" ht="16.5" customHeight="1" s="71">
      <c r="B2392" s="169" t="n"/>
      <c r="C2392" s="35" t="n"/>
      <c r="D2392" s="35" t="n"/>
      <c r="E2392" s="35" t="n"/>
      <c r="F2392" s="166" t="n"/>
      <c r="G2392" s="166">
        <f>IF(AND(E2392&lt;&gt;"",F2392&lt;&gt;""),E2392*F2392,"")</f>
      </c>
    </row>
    <row r="2393" ht="16.5" customHeight="1" s="71">
      <c r="B2393" s="169" t="n"/>
      <c r="C2393" s="35" t="n"/>
      <c r="D2393" s="35" t="n"/>
      <c r="E2393" s="35" t="n"/>
      <c r="F2393" s="166" t="n"/>
      <c r="G2393" s="166">
        <f>IF(AND(E2393&lt;&gt;"",F2393&lt;&gt;""),E2393*F2393,"")</f>
      </c>
    </row>
    <row r="2394" ht="16.5" customHeight="1" s="71">
      <c r="B2394" s="169" t="n"/>
      <c r="C2394" s="35" t="n"/>
      <c r="D2394" s="35" t="n"/>
      <c r="E2394" s="35" t="n"/>
      <c r="F2394" s="166" t="n"/>
      <c r="G2394" s="166">
        <f>IF(AND(E2394&lt;&gt;"",F2394&lt;&gt;""),E2394*F2394,"")</f>
      </c>
    </row>
    <row r="2395" ht="16.5" customHeight="1" s="71">
      <c r="B2395" s="169" t="n"/>
      <c r="C2395" s="35" t="n"/>
      <c r="D2395" s="35" t="n"/>
      <c r="E2395" s="35" t="n"/>
      <c r="F2395" s="166" t="n"/>
      <c r="G2395" s="166">
        <f>IF(AND(E2395&lt;&gt;"",F2395&lt;&gt;""),E2395*F2395,"")</f>
      </c>
    </row>
    <row r="2396" ht="16.5" customHeight="1" s="71">
      <c r="B2396" s="169" t="n"/>
      <c r="C2396" s="35" t="n"/>
      <c r="D2396" s="35" t="n"/>
      <c r="E2396" s="35" t="n"/>
      <c r="F2396" s="166" t="n"/>
      <c r="G2396" s="166">
        <f>IF(AND(E2396&lt;&gt;"",F2396&lt;&gt;""),E2396*F2396,"")</f>
      </c>
    </row>
    <row r="2397" ht="16.5" customHeight="1" s="71">
      <c r="B2397" s="169" t="n"/>
      <c r="C2397" s="35" t="n"/>
      <c r="D2397" s="35" t="n"/>
      <c r="E2397" s="35" t="n"/>
      <c r="F2397" s="166" t="n"/>
      <c r="G2397" s="166">
        <f>IF(AND(E2397&lt;&gt;"",F2397&lt;&gt;""),E2397*F2397,"")</f>
      </c>
    </row>
    <row r="2398" ht="16.5" customHeight="1" s="71">
      <c r="B2398" s="169" t="n"/>
      <c r="C2398" s="35" t="n"/>
      <c r="D2398" s="35" t="n"/>
      <c r="E2398" s="35" t="n"/>
      <c r="F2398" s="166" t="n"/>
      <c r="G2398" s="166">
        <f>IF(AND(E2398&lt;&gt;"",F2398&lt;&gt;""),E2398*F2398,"")</f>
      </c>
    </row>
    <row r="2399" ht="16.5" customHeight="1" s="71">
      <c r="B2399" s="169" t="n"/>
      <c r="C2399" s="35" t="n"/>
      <c r="D2399" s="35" t="n"/>
      <c r="E2399" s="35" t="n"/>
      <c r="F2399" s="166" t="n"/>
      <c r="G2399" s="166">
        <f>IF(AND(E2399&lt;&gt;"",F2399&lt;&gt;""),E2399*F2399,"")</f>
      </c>
    </row>
    <row r="2400" ht="16.5" customHeight="1" s="71">
      <c r="B2400" s="169" t="n"/>
      <c r="C2400" s="35" t="n"/>
      <c r="D2400" s="35" t="n"/>
      <c r="E2400" s="35" t="n"/>
      <c r="F2400" s="166" t="n"/>
      <c r="G2400" s="166">
        <f>IF(AND(E2400&lt;&gt;"",F2400&lt;&gt;""),E2400*F2400,"")</f>
      </c>
    </row>
    <row r="2401" ht="16.5" customHeight="1" s="71">
      <c r="B2401" s="169" t="n"/>
      <c r="C2401" s="35" t="n"/>
      <c r="D2401" s="35" t="n"/>
      <c r="E2401" s="35" t="n"/>
      <c r="F2401" s="166" t="n"/>
      <c r="G2401" s="166">
        <f>IF(AND(E2401&lt;&gt;"",F2401&lt;&gt;""),E2401*F2401,"")</f>
      </c>
    </row>
    <row r="2402" ht="16.5" customHeight="1" s="71">
      <c r="B2402" s="169" t="n"/>
      <c r="C2402" s="35" t="n"/>
      <c r="D2402" s="35" t="n"/>
      <c r="E2402" s="35" t="n"/>
      <c r="F2402" s="166" t="n"/>
      <c r="G2402" s="166">
        <f>IF(AND(E2402&lt;&gt;"",F2402&lt;&gt;""),E2402*F2402,"")</f>
      </c>
    </row>
    <row r="2403" ht="16.5" customHeight="1" s="71">
      <c r="B2403" s="169" t="n"/>
      <c r="C2403" s="35" t="n"/>
      <c r="D2403" s="35" t="n"/>
      <c r="E2403" s="35" t="n"/>
      <c r="F2403" s="166" t="n"/>
      <c r="G2403" s="166">
        <f>IF(AND(E2403&lt;&gt;"",F2403&lt;&gt;""),E2403*F2403,"")</f>
      </c>
    </row>
    <row r="2404" ht="16.5" customHeight="1" s="71">
      <c r="B2404" s="169" t="n"/>
      <c r="C2404" s="35" t="n"/>
      <c r="D2404" s="35" t="n"/>
      <c r="E2404" s="35" t="n"/>
      <c r="F2404" s="166" t="n"/>
      <c r="G2404" s="166">
        <f>IF(AND(E2404&lt;&gt;"",F2404&lt;&gt;""),E2404*F2404,"")</f>
      </c>
    </row>
    <row r="2405" ht="16.5" customHeight="1" s="71">
      <c r="B2405" s="169" t="n"/>
      <c r="C2405" s="35" t="n"/>
      <c r="D2405" s="35" t="n"/>
      <c r="E2405" s="35" t="n"/>
      <c r="F2405" s="166" t="n"/>
      <c r="G2405" s="166">
        <f>IF(AND(E2405&lt;&gt;"",F2405&lt;&gt;""),E2405*F2405,"")</f>
      </c>
    </row>
    <row r="2406" ht="16.5" customHeight="1" s="71">
      <c r="B2406" s="169" t="n"/>
      <c r="C2406" s="35" t="n"/>
      <c r="D2406" s="35" t="n"/>
      <c r="E2406" s="35" t="n"/>
      <c r="F2406" s="166" t="n"/>
      <c r="G2406" s="166">
        <f>IF(AND(E2406&lt;&gt;"",F2406&lt;&gt;""),E2406*F2406,"")</f>
      </c>
    </row>
    <row r="2407" ht="16.5" customHeight="1" s="71">
      <c r="B2407" s="169" t="n"/>
      <c r="C2407" s="35" t="n"/>
      <c r="D2407" s="35" t="n"/>
      <c r="E2407" s="35" t="n"/>
      <c r="F2407" s="166" t="n"/>
      <c r="G2407" s="166">
        <f>IF(AND(E2407&lt;&gt;"",F2407&lt;&gt;""),E2407*F2407,"")</f>
      </c>
    </row>
    <row r="2408" ht="16.5" customHeight="1" s="71">
      <c r="B2408" s="169" t="n"/>
      <c r="C2408" s="35" t="n"/>
      <c r="D2408" s="35" t="n"/>
      <c r="E2408" s="35" t="n"/>
      <c r="F2408" s="166" t="n"/>
      <c r="G2408" s="166">
        <f>IF(AND(E2408&lt;&gt;"",F2408&lt;&gt;""),E2408*F2408,"")</f>
      </c>
    </row>
    <row r="2409" ht="16.5" customHeight="1" s="71">
      <c r="B2409" s="169" t="n"/>
      <c r="C2409" s="35" t="n"/>
      <c r="D2409" s="35" t="n"/>
      <c r="E2409" s="35" t="n"/>
      <c r="F2409" s="166" t="n"/>
      <c r="G2409" s="166">
        <f>IF(AND(E2409&lt;&gt;"",F2409&lt;&gt;""),E2409*F2409,"")</f>
      </c>
    </row>
    <row r="2410" ht="16.5" customHeight="1" s="71">
      <c r="B2410" s="169" t="n"/>
      <c r="C2410" s="35" t="n"/>
      <c r="D2410" s="35" t="n"/>
      <c r="E2410" s="35" t="n"/>
      <c r="F2410" s="166" t="n"/>
      <c r="G2410" s="166">
        <f>IF(AND(E2410&lt;&gt;"",F2410&lt;&gt;""),E2410*F2410,"")</f>
      </c>
    </row>
    <row r="2411" ht="16.5" customHeight="1" s="71">
      <c r="B2411" s="169" t="n"/>
      <c r="C2411" s="35" t="n"/>
      <c r="D2411" s="35" t="n"/>
      <c r="E2411" s="35" t="n"/>
      <c r="F2411" s="166" t="n"/>
      <c r="G2411" s="166">
        <f>IF(AND(E2411&lt;&gt;"",F2411&lt;&gt;""),E2411*F2411,"")</f>
      </c>
    </row>
    <row r="2412" ht="16.5" customHeight="1" s="71">
      <c r="B2412" s="169" t="n"/>
      <c r="C2412" s="35" t="n"/>
      <c r="D2412" s="35" t="n"/>
      <c r="E2412" s="35" t="n"/>
      <c r="F2412" s="166" t="n"/>
      <c r="G2412" s="166">
        <f>IF(AND(E2412&lt;&gt;"",F2412&lt;&gt;""),E2412*F2412,"")</f>
      </c>
    </row>
    <row r="2413" ht="16.5" customHeight="1" s="71">
      <c r="B2413" s="169" t="n"/>
      <c r="C2413" s="35" t="n"/>
      <c r="D2413" s="35" t="n"/>
      <c r="E2413" s="35" t="n"/>
      <c r="F2413" s="166" t="n"/>
      <c r="G2413" s="166">
        <f>IF(AND(E2413&lt;&gt;"",F2413&lt;&gt;""),E2413*F2413,"")</f>
      </c>
    </row>
    <row r="2414" ht="16.5" customHeight="1" s="71">
      <c r="B2414" s="169" t="n"/>
      <c r="C2414" s="35" t="n"/>
      <c r="D2414" s="35" t="n"/>
      <c r="E2414" s="35" t="n"/>
      <c r="F2414" s="166" t="n"/>
      <c r="G2414" s="166">
        <f>IF(AND(E2414&lt;&gt;"",F2414&lt;&gt;""),E2414*F2414,"")</f>
      </c>
    </row>
    <row r="2415" ht="16.5" customHeight="1" s="71">
      <c r="B2415" s="169" t="n"/>
      <c r="C2415" s="35" t="n"/>
      <c r="D2415" s="35" t="n"/>
      <c r="E2415" s="35" t="n"/>
      <c r="F2415" s="166" t="n"/>
      <c r="G2415" s="166">
        <f>IF(AND(E2415&lt;&gt;"",F2415&lt;&gt;""),E2415*F2415,"")</f>
      </c>
    </row>
    <row r="2416" ht="16.5" customHeight="1" s="71">
      <c r="B2416" s="169" t="n"/>
      <c r="C2416" s="35" t="n"/>
      <c r="D2416" s="35" t="n"/>
      <c r="E2416" s="35" t="n"/>
      <c r="F2416" s="166" t="n"/>
      <c r="G2416" s="166">
        <f>IF(AND(E2416&lt;&gt;"",F2416&lt;&gt;""),E2416*F2416,"")</f>
      </c>
    </row>
    <row r="2417" ht="16.5" customHeight="1" s="71">
      <c r="B2417" s="169" t="n"/>
      <c r="C2417" s="35" t="n"/>
      <c r="D2417" s="35" t="n"/>
      <c r="E2417" s="35" t="n"/>
      <c r="F2417" s="166" t="n"/>
      <c r="G2417" s="166">
        <f>IF(AND(E2417&lt;&gt;"",F2417&lt;&gt;""),E2417*F2417,"")</f>
      </c>
    </row>
    <row r="2418" ht="16.5" customHeight="1" s="71">
      <c r="B2418" s="169" t="n"/>
      <c r="C2418" s="35" t="n"/>
      <c r="D2418" s="35" t="n"/>
      <c r="E2418" s="35" t="n"/>
      <c r="F2418" s="166" t="n"/>
      <c r="G2418" s="166">
        <f>IF(AND(E2418&lt;&gt;"",F2418&lt;&gt;""),E2418*F2418,"")</f>
      </c>
    </row>
    <row r="2419" ht="16.5" customHeight="1" s="71">
      <c r="B2419" s="169" t="n"/>
      <c r="C2419" s="35" t="n"/>
      <c r="D2419" s="35" t="n"/>
      <c r="E2419" s="35" t="n"/>
      <c r="F2419" s="166" t="n"/>
      <c r="G2419" s="166">
        <f>IF(AND(E2419&lt;&gt;"",F2419&lt;&gt;""),E2419*F2419,"")</f>
      </c>
    </row>
    <row r="2420" ht="16.5" customHeight="1" s="71">
      <c r="B2420" s="169" t="n"/>
      <c r="C2420" s="35" t="n"/>
      <c r="D2420" s="35" t="n"/>
      <c r="E2420" s="35" t="n"/>
      <c r="F2420" s="166" t="n"/>
      <c r="G2420" s="166">
        <f>IF(AND(E2420&lt;&gt;"",F2420&lt;&gt;""),E2420*F2420,"")</f>
      </c>
    </row>
    <row r="2421" ht="16.5" customHeight="1" s="71">
      <c r="B2421" s="169" t="n"/>
      <c r="C2421" s="35" t="n"/>
      <c r="D2421" s="35" t="n"/>
      <c r="E2421" s="35" t="n"/>
      <c r="F2421" s="166" t="n"/>
      <c r="G2421" s="166">
        <f>IF(AND(E2421&lt;&gt;"",F2421&lt;&gt;""),E2421*F2421,"")</f>
      </c>
    </row>
    <row r="2422" ht="16.5" customHeight="1" s="71">
      <c r="B2422" s="169" t="n"/>
      <c r="C2422" s="35" t="n"/>
      <c r="D2422" s="35" t="n"/>
      <c r="E2422" s="35" t="n"/>
      <c r="F2422" s="166" t="n"/>
      <c r="G2422" s="166">
        <f>IF(AND(E2422&lt;&gt;"",F2422&lt;&gt;""),E2422*F2422,"")</f>
      </c>
    </row>
    <row r="2423" ht="16.5" customHeight="1" s="71">
      <c r="B2423" s="169" t="n"/>
      <c r="C2423" s="35" t="n"/>
      <c r="D2423" s="35" t="n"/>
      <c r="E2423" s="35" t="n"/>
      <c r="F2423" s="166" t="n"/>
      <c r="G2423" s="166">
        <f>IF(AND(E2423&lt;&gt;"",F2423&lt;&gt;""),E2423*F2423,"")</f>
      </c>
    </row>
    <row r="2424" ht="16.5" customHeight="1" s="71">
      <c r="B2424" s="169" t="n"/>
      <c r="C2424" s="35" t="n"/>
      <c r="D2424" s="35" t="n"/>
      <c r="E2424" s="35" t="n"/>
      <c r="F2424" s="166" t="n"/>
      <c r="G2424" s="166">
        <f>IF(AND(E2424&lt;&gt;"",F2424&lt;&gt;""),E2424*F2424,"")</f>
      </c>
    </row>
    <row r="2425" ht="16.5" customHeight="1" s="71">
      <c r="B2425" s="169" t="n"/>
      <c r="C2425" s="35" t="n"/>
      <c r="D2425" s="35" t="n"/>
      <c r="E2425" s="35" t="n"/>
      <c r="F2425" s="166" t="n"/>
      <c r="G2425" s="166">
        <f>IF(AND(E2425&lt;&gt;"",F2425&lt;&gt;""),E2425*F2425,"")</f>
      </c>
    </row>
    <row r="2426" ht="16.5" customHeight="1" s="71">
      <c r="B2426" s="169" t="n"/>
      <c r="C2426" s="35" t="n"/>
      <c r="D2426" s="35" t="n"/>
      <c r="E2426" s="35" t="n"/>
      <c r="F2426" s="166" t="n"/>
      <c r="G2426" s="166">
        <f>IF(AND(E2426&lt;&gt;"",F2426&lt;&gt;""),E2426*F2426,"")</f>
      </c>
    </row>
    <row r="2427" ht="16.5" customHeight="1" s="71">
      <c r="B2427" s="169" t="n"/>
      <c r="C2427" s="35" t="n"/>
      <c r="D2427" s="35" t="n"/>
      <c r="E2427" s="35" t="n"/>
      <c r="F2427" s="166" t="n"/>
      <c r="G2427" s="166">
        <f>IF(AND(E2427&lt;&gt;"",F2427&lt;&gt;""),E2427*F2427,"")</f>
      </c>
    </row>
    <row r="2428" ht="16.5" customHeight="1" s="71">
      <c r="B2428" s="169" t="n"/>
      <c r="C2428" s="35" t="n"/>
      <c r="D2428" s="35" t="n"/>
      <c r="E2428" s="35" t="n"/>
      <c r="F2428" s="166" t="n"/>
      <c r="G2428" s="166">
        <f>IF(AND(E2428&lt;&gt;"",F2428&lt;&gt;""),E2428*F2428,"")</f>
      </c>
    </row>
    <row r="2429" ht="16.5" customHeight="1" s="71">
      <c r="B2429" s="169" t="n"/>
      <c r="C2429" s="35" t="n"/>
      <c r="D2429" s="35" t="n"/>
      <c r="E2429" s="35" t="n"/>
      <c r="F2429" s="166" t="n"/>
      <c r="G2429" s="166">
        <f>IF(AND(E2429&lt;&gt;"",F2429&lt;&gt;""),E2429*F2429,"")</f>
      </c>
    </row>
    <row r="2430" ht="16.5" customHeight="1" s="71">
      <c r="B2430" s="169" t="n"/>
      <c r="C2430" s="35" t="n"/>
      <c r="D2430" s="35" t="n"/>
      <c r="E2430" s="35" t="n"/>
      <c r="F2430" s="166" t="n"/>
      <c r="G2430" s="166">
        <f>IF(AND(E2430&lt;&gt;"",F2430&lt;&gt;""),E2430*F2430,"")</f>
      </c>
    </row>
    <row r="2431" ht="16.5" customHeight="1" s="71">
      <c r="B2431" s="169" t="n"/>
      <c r="C2431" s="35" t="n"/>
      <c r="D2431" s="35" t="n"/>
      <c r="E2431" s="35" t="n"/>
      <c r="F2431" s="166" t="n"/>
      <c r="G2431" s="166">
        <f>IF(AND(E2431&lt;&gt;"",F2431&lt;&gt;""),E2431*F2431,"")</f>
      </c>
    </row>
    <row r="2432" ht="16.5" customHeight="1" s="71">
      <c r="B2432" s="169" t="n"/>
      <c r="C2432" s="35" t="n"/>
      <c r="D2432" s="35" t="n"/>
      <c r="E2432" s="35" t="n"/>
      <c r="F2432" s="166" t="n"/>
      <c r="G2432" s="166">
        <f>IF(AND(E2432&lt;&gt;"",F2432&lt;&gt;""),E2432*F2432,"")</f>
      </c>
    </row>
    <row r="2433" ht="16.5" customHeight="1" s="71">
      <c r="B2433" s="169" t="n"/>
      <c r="C2433" s="35" t="n"/>
      <c r="D2433" s="35" t="n"/>
      <c r="E2433" s="35" t="n"/>
      <c r="F2433" s="166" t="n"/>
      <c r="G2433" s="166">
        <f>IF(AND(E2433&lt;&gt;"",F2433&lt;&gt;""),E2433*F2433,"")</f>
      </c>
    </row>
    <row r="2434" ht="16.5" customHeight="1" s="71">
      <c r="B2434" s="169" t="n"/>
      <c r="C2434" s="35" t="n"/>
      <c r="D2434" s="35" t="n"/>
      <c r="E2434" s="35" t="n"/>
      <c r="F2434" s="166" t="n"/>
      <c r="G2434" s="166">
        <f>IF(AND(E2434&lt;&gt;"",F2434&lt;&gt;""),E2434*F2434,"")</f>
      </c>
    </row>
    <row r="2435" ht="16.5" customHeight="1" s="71">
      <c r="B2435" s="169" t="n"/>
      <c r="C2435" s="35" t="n"/>
      <c r="D2435" s="35" t="n"/>
      <c r="E2435" s="35" t="n"/>
      <c r="F2435" s="166" t="n"/>
      <c r="G2435" s="166">
        <f>IF(AND(E2435&lt;&gt;"",F2435&lt;&gt;""),E2435*F2435,"")</f>
      </c>
    </row>
    <row r="2436" ht="16.5" customHeight="1" s="71">
      <c r="B2436" s="169" t="n"/>
      <c r="C2436" s="35" t="n"/>
      <c r="D2436" s="35" t="n"/>
      <c r="E2436" s="35" t="n"/>
      <c r="F2436" s="166" t="n"/>
      <c r="G2436" s="166">
        <f>IF(AND(E2436&lt;&gt;"",F2436&lt;&gt;""),E2436*F2436,"")</f>
      </c>
    </row>
    <row r="2437" ht="16.5" customHeight="1" s="71">
      <c r="B2437" s="169" t="n"/>
      <c r="C2437" s="35" t="n"/>
      <c r="D2437" s="35" t="n"/>
      <c r="E2437" s="35" t="n"/>
      <c r="F2437" s="166" t="n"/>
      <c r="G2437" s="166">
        <f>IF(AND(E2437&lt;&gt;"",F2437&lt;&gt;""),E2437*F2437,"")</f>
      </c>
    </row>
    <row r="2438" ht="16.5" customHeight="1" s="71">
      <c r="B2438" s="169" t="n"/>
      <c r="C2438" s="35" t="n"/>
      <c r="D2438" s="35" t="n"/>
      <c r="E2438" s="35" t="n"/>
      <c r="F2438" s="166" t="n"/>
      <c r="G2438" s="166">
        <f>IF(AND(E2438&lt;&gt;"",F2438&lt;&gt;""),E2438*F2438,"")</f>
      </c>
    </row>
    <row r="2439" ht="16.5" customHeight="1" s="71">
      <c r="B2439" s="169" t="n"/>
      <c r="C2439" s="35" t="n"/>
      <c r="D2439" s="35" t="n"/>
      <c r="E2439" s="35" t="n"/>
      <c r="F2439" s="166" t="n"/>
      <c r="G2439" s="166">
        <f>IF(AND(E2439&lt;&gt;"",F2439&lt;&gt;""),E2439*F2439,"")</f>
      </c>
    </row>
    <row r="2440" ht="16.5" customHeight="1" s="71">
      <c r="B2440" s="169" t="n"/>
      <c r="C2440" s="35" t="n"/>
      <c r="D2440" s="35" t="n"/>
      <c r="E2440" s="35" t="n"/>
      <c r="F2440" s="166" t="n"/>
      <c r="G2440" s="166">
        <f>IF(AND(E2440&lt;&gt;"",F2440&lt;&gt;""),E2440*F2440,"")</f>
      </c>
    </row>
    <row r="2441" ht="16.5" customHeight="1" s="71">
      <c r="B2441" s="169" t="n"/>
      <c r="C2441" s="35" t="n"/>
      <c r="D2441" s="35" t="n"/>
      <c r="E2441" s="35" t="n"/>
      <c r="F2441" s="166" t="n"/>
      <c r="G2441" s="166">
        <f>IF(AND(E2441&lt;&gt;"",F2441&lt;&gt;""),E2441*F2441,"")</f>
      </c>
    </row>
    <row r="2442" ht="16.5" customHeight="1" s="71">
      <c r="B2442" s="169" t="n"/>
      <c r="C2442" s="35" t="n"/>
      <c r="D2442" s="35" t="n"/>
      <c r="E2442" s="35" t="n"/>
      <c r="F2442" s="166" t="n"/>
      <c r="G2442" s="166">
        <f>IF(AND(E2442&lt;&gt;"",F2442&lt;&gt;""),E2442*F2442,"")</f>
      </c>
    </row>
    <row r="2443" ht="16.5" customHeight="1" s="71">
      <c r="B2443" s="169" t="n"/>
      <c r="C2443" s="35" t="n"/>
      <c r="D2443" s="35" t="n"/>
      <c r="E2443" s="35" t="n"/>
      <c r="F2443" s="166" t="n"/>
      <c r="G2443" s="166">
        <f>IF(AND(E2443&lt;&gt;"",F2443&lt;&gt;""),E2443*F2443,"")</f>
      </c>
    </row>
    <row r="2444" ht="16.5" customHeight="1" s="71">
      <c r="B2444" s="169" t="n"/>
      <c r="C2444" s="35" t="n"/>
      <c r="D2444" s="35" t="n"/>
      <c r="E2444" s="35" t="n"/>
      <c r="F2444" s="166" t="n"/>
      <c r="G2444" s="166">
        <f>IF(AND(E2444&lt;&gt;"",F2444&lt;&gt;""),E2444*F2444,"")</f>
      </c>
    </row>
    <row r="2445" ht="16.5" customHeight="1" s="71">
      <c r="B2445" s="169" t="n"/>
      <c r="C2445" s="35" t="n"/>
      <c r="D2445" s="35" t="n"/>
      <c r="E2445" s="35" t="n"/>
      <c r="F2445" s="166" t="n"/>
      <c r="G2445" s="166">
        <f>IF(AND(E2445&lt;&gt;"",F2445&lt;&gt;""),E2445*F2445,"")</f>
      </c>
    </row>
    <row r="2446" ht="16.5" customHeight="1" s="71">
      <c r="B2446" s="169" t="n"/>
      <c r="C2446" s="35" t="n"/>
      <c r="D2446" s="35" t="n"/>
      <c r="E2446" s="35" t="n"/>
      <c r="F2446" s="166" t="n"/>
      <c r="G2446" s="166">
        <f>IF(AND(E2446&lt;&gt;"",F2446&lt;&gt;""),E2446*F2446,"")</f>
      </c>
    </row>
    <row r="2447" ht="16.5" customHeight="1" s="71">
      <c r="B2447" s="169" t="n"/>
      <c r="C2447" s="35" t="n"/>
      <c r="D2447" s="35" t="n"/>
      <c r="E2447" s="35" t="n"/>
      <c r="F2447" s="166" t="n"/>
      <c r="G2447" s="166">
        <f>IF(AND(E2447&lt;&gt;"",F2447&lt;&gt;""),E2447*F2447,"")</f>
      </c>
    </row>
    <row r="2448" ht="16.5" customHeight="1" s="71">
      <c r="B2448" s="169" t="n"/>
      <c r="C2448" s="35" t="n"/>
      <c r="D2448" s="35" t="n"/>
      <c r="E2448" s="35" t="n"/>
      <c r="F2448" s="166" t="n"/>
      <c r="G2448" s="166">
        <f>IF(AND(E2448&lt;&gt;"",F2448&lt;&gt;""),E2448*F2448,"")</f>
      </c>
    </row>
    <row r="2449" ht="16.5" customHeight="1" s="71">
      <c r="B2449" s="169" t="n"/>
      <c r="C2449" s="35" t="n"/>
      <c r="D2449" s="35" t="n"/>
      <c r="E2449" s="35" t="n"/>
      <c r="F2449" s="166" t="n"/>
      <c r="G2449" s="166">
        <f>IF(AND(E2449&lt;&gt;"",F2449&lt;&gt;""),E2449*F2449,"")</f>
      </c>
    </row>
    <row r="2450" ht="16.5" customHeight="1" s="71">
      <c r="B2450" s="169" t="n"/>
      <c r="C2450" s="35" t="n"/>
      <c r="D2450" s="35" t="n"/>
      <c r="E2450" s="35" t="n"/>
      <c r="F2450" s="166" t="n"/>
      <c r="G2450" s="166">
        <f>IF(AND(E2450&lt;&gt;"",F2450&lt;&gt;""),E2450*F2450,"")</f>
      </c>
    </row>
    <row r="2451" ht="16.5" customHeight="1" s="71">
      <c r="B2451" s="169" t="n"/>
      <c r="C2451" s="35" t="n"/>
      <c r="D2451" s="35" t="n"/>
      <c r="E2451" s="35" t="n"/>
      <c r="F2451" s="166" t="n"/>
      <c r="G2451" s="166">
        <f>IF(AND(E2451&lt;&gt;"",F2451&lt;&gt;""),E2451*F2451,"")</f>
      </c>
    </row>
    <row r="2452" ht="16.5" customHeight="1" s="71">
      <c r="B2452" s="169" t="n"/>
      <c r="C2452" s="35" t="n"/>
      <c r="D2452" s="35" t="n"/>
      <c r="E2452" s="35" t="n"/>
      <c r="F2452" s="166" t="n"/>
      <c r="G2452" s="166">
        <f>IF(AND(E2452&lt;&gt;"",F2452&lt;&gt;""),E2452*F2452,"")</f>
      </c>
    </row>
    <row r="2453" ht="16.5" customHeight="1" s="71">
      <c r="B2453" s="169" t="n"/>
      <c r="C2453" s="35" t="n"/>
      <c r="D2453" s="35" t="n"/>
      <c r="E2453" s="35" t="n"/>
      <c r="F2453" s="166" t="n"/>
      <c r="G2453" s="166">
        <f>IF(AND(E2453&lt;&gt;"",F2453&lt;&gt;""),E2453*F2453,"")</f>
      </c>
    </row>
    <row r="2454" ht="16.5" customHeight="1" s="71">
      <c r="B2454" s="169" t="n"/>
      <c r="C2454" s="35" t="n"/>
      <c r="D2454" s="35" t="n"/>
      <c r="E2454" s="35" t="n"/>
      <c r="F2454" s="166" t="n"/>
      <c r="G2454" s="166">
        <f>IF(AND(E2454&lt;&gt;"",F2454&lt;&gt;""),E2454*F2454,"")</f>
      </c>
    </row>
    <row r="2455" ht="16.5" customHeight="1" s="71">
      <c r="B2455" s="169" t="n"/>
      <c r="C2455" s="35" t="n"/>
      <c r="D2455" s="35" t="n"/>
      <c r="E2455" s="35" t="n"/>
      <c r="F2455" s="166" t="n"/>
      <c r="G2455" s="166">
        <f>IF(AND(E2455&lt;&gt;"",F2455&lt;&gt;""),E2455*F2455,"")</f>
      </c>
    </row>
    <row r="2456" ht="16.5" customHeight="1" s="71">
      <c r="B2456" s="169" t="n"/>
      <c r="C2456" s="35" t="n"/>
      <c r="D2456" s="35" t="n"/>
      <c r="E2456" s="35" t="n"/>
      <c r="F2456" s="166" t="n"/>
      <c r="G2456" s="166">
        <f>IF(AND(E2456&lt;&gt;"",F2456&lt;&gt;""),E2456*F2456,"")</f>
      </c>
    </row>
    <row r="2457" ht="16.5" customHeight="1" s="71">
      <c r="B2457" s="169" t="n"/>
      <c r="C2457" s="35" t="n"/>
      <c r="D2457" s="35" t="n"/>
      <c r="E2457" s="35" t="n"/>
      <c r="F2457" s="166" t="n"/>
      <c r="G2457" s="166">
        <f>IF(AND(E2457&lt;&gt;"",F2457&lt;&gt;""),E2457*F2457,"")</f>
      </c>
    </row>
    <row r="2458" ht="16.5" customHeight="1" s="71">
      <c r="B2458" s="169" t="n"/>
      <c r="C2458" s="35" t="n"/>
      <c r="D2458" s="35" t="n"/>
      <c r="E2458" s="35" t="n"/>
      <c r="F2458" s="166" t="n"/>
      <c r="G2458" s="166">
        <f>IF(AND(E2458&lt;&gt;"",F2458&lt;&gt;""),E2458*F2458,"")</f>
      </c>
    </row>
    <row r="2459" ht="16.5" customHeight="1" s="71">
      <c r="B2459" s="169" t="n"/>
      <c r="C2459" s="35" t="n"/>
      <c r="D2459" s="35" t="n"/>
      <c r="E2459" s="35" t="n"/>
      <c r="F2459" s="166" t="n"/>
      <c r="G2459" s="166">
        <f>IF(AND(E2459&lt;&gt;"",F2459&lt;&gt;""),E2459*F2459,"")</f>
      </c>
    </row>
    <row r="2460" ht="16.5" customHeight="1" s="71">
      <c r="B2460" s="169" t="n"/>
      <c r="C2460" s="35" t="n"/>
      <c r="D2460" s="35" t="n"/>
      <c r="E2460" s="35" t="n"/>
      <c r="F2460" s="166" t="n"/>
      <c r="G2460" s="166">
        <f>IF(AND(E2460&lt;&gt;"",F2460&lt;&gt;""),E2460*F2460,"")</f>
      </c>
    </row>
    <row r="2461" ht="16.5" customHeight="1" s="71">
      <c r="B2461" s="169" t="n"/>
      <c r="C2461" s="35" t="n"/>
      <c r="D2461" s="35" t="n"/>
      <c r="E2461" s="35" t="n"/>
      <c r="F2461" s="166" t="n"/>
      <c r="G2461" s="166">
        <f>IF(AND(E2461&lt;&gt;"",F2461&lt;&gt;""),E2461*F2461,"")</f>
      </c>
    </row>
    <row r="2462" ht="16.5" customHeight="1" s="71">
      <c r="B2462" s="169" t="n"/>
      <c r="C2462" s="35" t="n"/>
      <c r="D2462" s="35" t="n"/>
      <c r="E2462" s="35" t="n"/>
      <c r="F2462" s="166" t="n"/>
      <c r="G2462" s="166">
        <f>IF(AND(E2462&lt;&gt;"",F2462&lt;&gt;""),E2462*F2462,"")</f>
      </c>
    </row>
    <row r="2463" ht="16.5" customHeight="1" s="71">
      <c r="B2463" s="169" t="n"/>
      <c r="C2463" s="35" t="n"/>
      <c r="D2463" s="35" t="n"/>
      <c r="E2463" s="35" t="n"/>
      <c r="F2463" s="166" t="n"/>
      <c r="G2463" s="166">
        <f>IF(AND(E2463&lt;&gt;"",F2463&lt;&gt;""),E2463*F2463,"")</f>
      </c>
    </row>
    <row r="2464" ht="16.5" customHeight="1" s="71">
      <c r="B2464" s="169" t="n"/>
      <c r="C2464" s="35" t="n"/>
      <c r="D2464" s="35" t="n"/>
      <c r="E2464" s="35" t="n"/>
      <c r="F2464" s="166" t="n"/>
      <c r="G2464" s="166">
        <f>IF(AND(E2464&lt;&gt;"",F2464&lt;&gt;""),E2464*F2464,"")</f>
      </c>
    </row>
    <row r="2465" ht="16.5" customHeight="1" s="71">
      <c r="B2465" s="169" t="n"/>
      <c r="C2465" s="35" t="n"/>
      <c r="D2465" s="35" t="n"/>
      <c r="E2465" s="35" t="n"/>
      <c r="F2465" s="166" t="n"/>
      <c r="G2465" s="166">
        <f>IF(AND(E2465&lt;&gt;"",F2465&lt;&gt;""),E2465*F2465,"")</f>
      </c>
    </row>
    <row r="2466" ht="16.5" customHeight="1" s="71">
      <c r="B2466" s="169" t="n"/>
      <c r="C2466" s="35" t="n"/>
      <c r="D2466" s="35" t="n"/>
      <c r="E2466" s="35" t="n"/>
      <c r="F2466" s="166" t="n"/>
      <c r="G2466" s="166">
        <f>IF(AND(E2466&lt;&gt;"",F2466&lt;&gt;""),E2466*F2466,"")</f>
      </c>
    </row>
    <row r="2467" ht="16.5" customHeight="1" s="71">
      <c r="B2467" s="169" t="n"/>
      <c r="C2467" s="35" t="n"/>
      <c r="D2467" s="35" t="n"/>
      <c r="E2467" s="35" t="n"/>
      <c r="F2467" s="166" t="n"/>
      <c r="G2467" s="166">
        <f>IF(AND(E2467&lt;&gt;"",F2467&lt;&gt;""),E2467*F2467,"")</f>
      </c>
    </row>
    <row r="2468" ht="16.5" customHeight="1" s="71">
      <c r="B2468" s="169" t="n"/>
      <c r="C2468" s="35" t="n"/>
      <c r="D2468" s="35" t="n"/>
      <c r="E2468" s="35" t="n"/>
      <c r="F2468" s="166" t="n"/>
      <c r="G2468" s="166">
        <f>IF(AND(E2468&lt;&gt;"",F2468&lt;&gt;""),E2468*F2468,"")</f>
      </c>
    </row>
    <row r="2469" ht="16.5" customHeight="1" s="71">
      <c r="B2469" s="169" t="n"/>
      <c r="C2469" s="35" t="n"/>
      <c r="D2469" s="35" t="n"/>
      <c r="E2469" s="35" t="n"/>
      <c r="F2469" s="166" t="n"/>
      <c r="G2469" s="166">
        <f>IF(AND(E2469&lt;&gt;"",F2469&lt;&gt;""),E2469*F2469,"")</f>
      </c>
    </row>
    <row r="2470" ht="16.5" customHeight="1" s="71">
      <c r="B2470" s="169" t="n"/>
      <c r="C2470" s="35" t="n"/>
      <c r="D2470" s="35" t="n"/>
      <c r="E2470" s="35" t="n"/>
      <c r="F2470" s="166" t="n"/>
      <c r="G2470" s="166">
        <f>IF(AND(E2470&lt;&gt;"",F2470&lt;&gt;""),E2470*F2470,"")</f>
      </c>
    </row>
    <row r="2471" ht="16.5" customHeight="1" s="71">
      <c r="B2471" s="169" t="n"/>
      <c r="C2471" s="35" t="n"/>
      <c r="D2471" s="35" t="n"/>
      <c r="E2471" s="35" t="n"/>
      <c r="F2471" s="166" t="n"/>
      <c r="G2471" s="166">
        <f>IF(AND(E2471&lt;&gt;"",F2471&lt;&gt;""),E2471*F2471,"")</f>
      </c>
    </row>
    <row r="2472" ht="16.5" customHeight="1" s="71">
      <c r="B2472" s="169" t="n"/>
      <c r="C2472" s="35" t="n"/>
      <c r="D2472" s="35" t="n"/>
      <c r="E2472" s="35" t="n"/>
      <c r="F2472" s="166" t="n"/>
      <c r="G2472" s="166">
        <f>IF(AND(E2472&lt;&gt;"",F2472&lt;&gt;""),E2472*F2472,"")</f>
      </c>
    </row>
    <row r="2473" ht="16.5" customHeight="1" s="71">
      <c r="B2473" s="169" t="n"/>
      <c r="C2473" s="35" t="n"/>
      <c r="D2473" s="35" t="n"/>
      <c r="E2473" s="35" t="n"/>
      <c r="F2473" s="166" t="n"/>
      <c r="G2473" s="166">
        <f>IF(AND(E2473&lt;&gt;"",F2473&lt;&gt;""),E2473*F2473,"")</f>
      </c>
    </row>
    <row r="2474" ht="16.5" customHeight="1" s="71">
      <c r="B2474" s="169" t="n"/>
      <c r="C2474" s="35" t="n"/>
      <c r="D2474" s="35" t="n"/>
      <c r="E2474" s="35" t="n"/>
      <c r="F2474" s="166" t="n"/>
      <c r="G2474" s="166">
        <f>IF(AND(E2474&lt;&gt;"",F2474&lt;&gt;""),E2474*F2474,"")</f>
      </c>
    </row>
    <row r="2475" ht="16.5" customHeight="1" s="71">
      <c r="B2475" s="169" t="n"/>
      <c r="C2475" s="35" t="n"/>
      <c r="D2475" s="35" t="n"/>
      <c r="E2475" s="35" t="n"/>
      <c r="F2475" s="166" t="n"/>
      <c r="G2475" s="166">
        <f>IF(AND(E2475&lt;&gt;"",F2475&lt;&gt;""),E2475*F2475,"")</f>
      </c>
    </row>
    <row r="2476" ht="16.5" customHeight="1" s="71">
      <c r="B2476" s="169" t="n"/>
      <c r="C2476" s="35" t="n"/>
      <c r="D2476" s="35" t="n"/>
      <c r="E2476" s="35" t="n"/>
      <c r="F2476" s="166" t="n"/>
      <c r="G2476" s="166">
        <f>IF(AND(E2476&lt;&gt;"",F2476&lt;&gt;""),E2476*F2476,"")</f>
      </c>
    </row>
    <row r="2477" ht="16.5" customHeight="1" s="71">
      <c r="B2477" s="169" t="n"/>
      <c r="C2477" s="35" t="n"/>
      <c r="D2477" s="35" t="n"/>
      <c r="E2477" s="35" t="n"/>
      <c r="F2477" s="166" t="n"/>
      <c r="G2477" s="166">
        <f>IF(AND(E2477&lt;&gt;"",F2477&lt;&gt;""),E2477*F2477,"")</f>
      </c>
    </row>
    <row r="2478" ht="16.5" customHeight="1" s="71">
      <c r="B2478" s="169" t="n"/>
      <c r="C2478" s="35" t="n"/>
      <c r="D2478" s="35" t="n"/>
      <c r="E2478" s="35" t="n"/>
      <c r="F2478" s="166" t="n"/>
      <c r="G2478" s="166">
        <f>IF(AND(E2478&lt;&gt;"",F2478&lt;&gt;""),E2478*F2478,"")</f>
      </c>
    </row>
    <row r="2479" ht="16.5" customHeight="1" s="71">
      <c r="B2479" s="169" t="n"/>
      <c r="C2479" s="35" t="n"/>
      <c r="D2479" s="35" t="n"/>
      <c r="E2479" s="35" t="n"/>
      <c r="F2479" s="166" t="n"/>
      <c r="G2479" s="166">
        <f>IF(AND(E2479&lt;&gt;"",F2479&lt;&gt;""),E2479*F2479,"")</f>
      </c>
    </row>
    <row r="2480" ht="16.5" customHeight="1" s="71">
      <c r="B2480" s="169" t="n"/>
      <c r="C2480" s="35" t="n"/>
      <c r="D2480" s="35" t="n"/>
      <c r="E2480" s="35" t="n"/>
      <c r="F2480" s="166" t="n"/>
      <c r="G2480" s="166">
        <f>IF(AND(E2480&lt;&gt;"",F2480&lt;&gt;""),E2480*F2480,"")</f>
      </c>
    </row>
    <row r="2481" ht="16.5" customHeight="1" s="71">
      <c r="B2481" s="169" t="n"/>
      <c r="C2481" s="35" t="n"/>
      <c r="D2481" s="35" t="n"/>
      <c r="E2481" s="35" t="n"/>
      <c r="F2481" s="166" t="n"/>
      <c r="G2481" s="166">
        <f>IF(AND(E2481&lt;&gt;"",F2481&lt;&gt;""),E2481*F2481,"")</f>
      </c>
    </row>
    <row r="2482" ht="16.5" customHeight="1" s="71">
      <c r="B2482" s="169" t="n"/>
      <c r="C2482" s="35" t="n"/>
      <c r="D2482" s="35" t="n"/>
      <c r="E2482" s="35" t="n"/>
      <c r="F2482" s="166" t="n"/>
      <c r="G2482" s="166">
        <f>IF(AND(E2482&lt;&gt;"",F2482&lt;&gt;""),E2482*F2482,"")</f>
      </c>
    </row>
    <row r="2483" ht="16.5" customHeight="1" s="71">
      <c r="B2483" s="169" t="n"/>
      <c r="C2483" s="35" t="n"/>
      <c r="D2483" s="35" t="n"/>
      <c r="E2483" s="35" t="n"/>
      <c r="F2483" s="166" t="n"/>
      <c r="G2483" s="166">
        <f>IF(AND(E2483&lt;&gt;"",F2483&lt;&gt;""),E2483*F2483,"")</f>
      </c>
    </row>
    <row r="2484" ht="16.5" customHeight="1" s="71">
      <c r="B2484" s="169" t="n"/>
      <c r="C2484" s="35" t="n"/>
      <c r="D2484" s="35" t="n"/>
      <c r="E2484" s="35" t="n"/>
      <c r="F2484" s="166" t="n"/>
      <c r="G2484" s="166">
        <f>IF(AND(E2484&lt;&gt;"",F2484&lt;&gt;""),E2484*F2484,"")</f>
      </c>
    </row>
    <row r="2485" ht="16.5" customHeight="1" s="71">
      <c r="B2485" s="169" t="n"/>
      <c r="C2485" s="35" t="n"/>
      <c r="D2485" s="35" t="n"/>
      <c r="E2485" s="35" t="n"/>
      <c r="F2485" s="166" t="n"/>
      <c r="G2485" s="166">
        <f>IF(AND(E2485&lt;&gt;"",F2485&lt;&gt;""),E2485*F2485,"")</f>
      </c>
    </row>
    <row r="2486" ht="16.5" customHeight="1" s="71">
      <c r="B2486" s="169" t="n"/>
      <c r="C2486" s="35" t="n"/>
      <c r="D2486" s="35" t="n"/>
      <c r="E2486" s="35" t="n"/>
      <c r="F2486" s="166" t="n"/>
      <c r="G2486" s="166">
        <f>IF(AND(E2486&lt;&gt;"",F2486&lt;&gt;""),E2486*F2486,"")</f>
      </c>
    </row>
    <row r="2487" ht="16.5" customHeight="1" s="71">
      <c r="B2487" s="169" t="n"/>
      <c r="C2487" s="35" t="n"/>
      <c r="D2487" s="35" t="n"/>
      <c r="E2487" s="35" t="n"/>
      <c r="F2487" s="166" t="n"/>
      <c r="G2487" s="166">
        <f>IF(AND(E2487&lt;&gt;"",F2487&lt;&gt;""),E2487*F2487,"")</f>
      </c>
    </row>
    <row r="2488" ht="16.5" customHeight="1" s="71">
      <c r="B2488" s="169" t="n"/>
      <c r="C2488" s="35" t="n"/>
      <c r="D2488" s="35" t="n"/>
      <c r="E2488" s="35" t="n"/>
      <c r="F2488" s="166" t="n"/>
      <c r="G2488" s="166">
        <f>IF(AND(E2488&lt;&gt;"",F2488&lt;&gt;""),E2488*F2488,"")</f>
      </c>
    </row>
    <row r="2489" ht="16.5" customHeight="1" s="71">
      <c r="B2489" s="169" t="n"/>
      <c r="C2489" s="35" t="n"/>
      <c r="D2489" s="35" t="n"/>
      <c r="E2489" s="35" t="n"/>
      <c r="F2489" s="166" t="n"/>
      <c r="G2489" s="166">
        <f>IF(AND(E2489&lt;&gt;"",F2489&lt;&gt;""),E2489*F2489,"")</f>
      </c>
    </row>
    <row r="2490" ht="16.5" customHeight="1" s="71">
      <c r="B2490" s="169" t="n"/>
      <c r="C2490" s="35" t="n"/>
      <c r="D2490" s="35" t="n"/>
      <c r="E2490" s="35" t="n"/>
      <c r="F2490" s="166" t="n"/>
      <c r="G2490" s="166">
        <f>IF(AND(E2490&lt;&gt;"",F2490&lt;&gt;""),E2490*F2490,"")</f>
      </c>
    </row>
    <row r="2491" ht="16.5" customHeight="1" s="71">
      <c r="B2491" s="169" t="n"/>
      <c r="C2491" s="35" t="n"/>
      <c r="D2491" s="35" t="n"/>
      <c r="E2491" s="35" t="n"/>
      <c r="F2491" s="166" t="n"/>
      <c r="G2491" s="166">
        <f>IF(AND(E2491&lt;&gt;"",F2491&lt;&gt;""),E2491*F2491,"")</f>
      </c>
    </row>
    <row r="2492" ht="16.5" customHeight="1" s="71">
      <c r="B2492" s="169" t="n"/>
      <c r="C2492" s="35" t="n"/>
      <c r="D2492" s="35" t="n"/>
      <c r="E2492" s="35" t="n"/>
      <c r="F2492" s="166" t="n"/>
      <c r="G2492" s="166">
        <f>IF(AND(E2492&lt;&gt;"",F2492&lt;&gt;""),E2492*F2492,"")</f>
      </c>
    </row>
    <row r="2493" ht="16.5" customHeight="1" s="71">
      <c r="B2493" s="169" t="n"/>
      <c r="C2493" s="35" t="n"/>
      <c r="D2493" s="35" t="n"/>
      <c r="E2493" s="35" t="n"/>
      <c r="F2493" s="166" t="n"/>
      <c r="G2493" s="166">
        <f>IF(AND(E2493&lt;&gt;"",F2493&lt;&gt;""),E2493*F2493,"")</f>
      </c>
    </row>
    <row r="2494" ht="16.5" customHeight="1" s="71">
      <c r="B2494" s="169" t="n"/>
      <c r="C2494" s="35" t="n"/>
      <c r="D2494" s="35" t="n"/>
      <c r="E2494" s="35" t="n"/>
      <c r="F2494" s="166" t="n"/>
      <c r="G2494" s="166">
        <f>IF(AND(E2494&lt;&gt;"",F2494&lt;&gt;""),E2494*F2494,"")</f>
      </c>
    </row>
    <row r="2495" ht="16.5" customHeight="1" s="71">
      <c r="B2495" s="169" t="n"/>
      <c r="C2495" s="35" t="n"/>
      <c r="D2495" s="35" t="n"/>
      <c r="E2495" s="35" t="n"/>
      <c r="F2495" s="166" t="n"/>
      <c r="G2495" s="166">
        <f>IF(AND(E2495&lt;&gt;"",F2495&lt;&gt;""),E2495*F2495,"")</f>
      </c>
    </row>
    <row r="2496" ht="16.5" customHeight="1" s="71">
      <c r="B2496" s="169" t="n"/>
      <c r="C2496" s="35" t="n"/>
      <c r="D2496" s="35" t="n"/>
      <c r="E2496" s="35" t="n"/>
      <c r="F2496" s="166" t="n"/>
      <c r="G2496" s="166">
        <f>IF(AND(E2496&lt;&gt;"",F2496&lt;&gt;""),E2496*F2496,"")</f>
      </c>
    </row>
    <row r="2497" ht="16.5" customHeight="1" s="71">
      <c r="B2497" s="169" t="n"/>
      <c r="C2497" s="35" t="n"/>
      <c r="D2497" s="35" t="n"/>
      <c r="E2497" s="35" t="n"/>
      <c r="F2497" s="166" t="n"/>
      <c r="G2497" s="166">
        <f>IF(AND(E2497&lt;&gt;"",F2497&lt;&gt;""),E2497*F2497,"")</f>
      </c>
    </row>
    <row r="2498" ht="16.5" customHeight="1" s="71">
      <c r="B2498" s="169" t="n"/>
      <c r="C2498" s="35" t="n"/>
      <c r="D2498" s="35" t="n"/>
      <c r="E2498" s="35" t="n"/>
      <c r="F2498" s="166" t="n"/>
      <c r="G2498" s="166">
        <f>IF(AND(E2498&lt;&gt;"",F2498&lt;&gt;""),E2498*F2498,"")</f>
      </c>
    </row>
    <row r="2499" ht="16.5" customHeight="1" s="71">
      <c r="B2499" s="169" t="n"/>
      <c r="C2499" s="35" t="n"/>
      <c r="D2499" s="35" t="n"/>
      <c r="E2499" s="35" t="n"/>
      <c r="F2499" s="166" t="n"/>
      <c r="G2499" s="166">
        <f>IF(AND(E2499&lt;&gt;"",F2499&lt;&gt;""),E2499*F2499,"")</f>
      </c>
    </row>
    <row r="2500" ht="16.5" customHeight="1" s="71">
      <c r="B2500" s="169" t="n"/>
      <c r="C2500" s="35" t="n"/>
      <c r="D2500" s="35" t="n"/>
      <c r="E2500" s="35" t="n"/>
      <c r="F2500" s="166" t="n"/>
      <c r="G2500" s="166">
        <f>IF(AND(E2500&lt;&gt;"",F2500&lt;&gt;""),E2500*F2500,"")</f>
      </c>
    </row>
    <row r="2501" ht="16.5" customHeight="1" s="71">
      <c r="B2501" s="169" t="n"/>
      <c r="C2501" s="35" t="n"/>
      <c r="D2501" s="35" t="n"/>
      <c r="E2501" s="35" t="n"/>
      <c r="F2501" s="166" t="n"/>
      <c r="G2501" s="166">
        <f>IF(AND(E2501&lt;&gt;"",F2501&lt;&gt;""),E2501*F2501,"")</f>
      </c>
    </row>
    <row r="2502" ht="16.5" customHeight="1" s="71">
      <c r="B2502" s="169" t="n"/>
      <c r="C2502" s="35" t="n"/>
      <c r="D2502" s="35" t="n"/>
      <c r="E2502" s="35" t="n"/>
      <c r="F2502" s="166" t="n"/>
      <c r="G2502" s="166">
        <f>IF(AND(E2502&lt;&gt;"",F2502&lt;&gt;""),E2502*F2502,"")</f>
      </c>
    </row>
    <row r="2503" ht="16.5" customHeight="1" s="71">
      <c r="B2503" s="169" t="n"/>
      <c r="C2503" s="35" t="n"/>
      <c r="D2503" s="35" t="n"/>
      <c r="E2503" s="35" t="n"/>
      <c r="F2503" s="166" t="n"/>
      <c r="G2503" s="166">
        <f>IF(AND(E2503&lt;&gt;"",F2503&lt;&gt;""),E2503*F2503,"")</f>
      </c>
    </row>
    <row r="2504" ht="16.5" customHeight="1" s="71">
      <c r="B2504" s="169" t="n"/>
      <c r="C2504" s="35" t="n"/>
      <c r="D2504" s="35" t="n"/>
      <c r="E2504" s="35" t="n"/>
      <c r="F2504" s="166" t="n"/>
      <c r="G2504" s="166">
        <f>IF(AND(E2504&lt;&gt;"",F2504&lt;&gt;""),E2504*F2504,"")</f>
      </c>
    </row>
    <row r="2505" ht="16.5" customHeight="1" s="71">
      <c r="B2505" s="169" t="n"/>
      <c r="C2505" s="35" t="n"/>
      <c r="D2505" s="35" t="n"/>
      <c r="E2505" s="35" t="n"/>
      <c r="F2505" s="166" t="n"/>
      <c r="G2505" s="166">
        <f>IF(AND(E2505&lt;&gt;"",F2505&lt;&gt;""),E2505*F2505,"")</f>
      </c>
    </row>
    <row r="2506" ht="16.5" customHeight="1" s="71">
      <c r="B2506" s="169" t="n"/>
      <c r="C2506" s="35" t="n"/>
      <c r="D2506" s="35" t="n"/>
      <c r="E2506" s="35" t="n"/>
      <c r="F2506" s="166" t="n"/>
      <c r="G2506" s="166">
        <f>IF(AND(E2506&lt;&gt;"",F2506&lt;&gt;""),E2506*F2506,"")</f>
      </c>
    </row>
    <row r="2507" ht="16.5" customHeight="1" s="71">
      <c r="B2507" s="169" t="n"/>
      <c r="C2507" s="35" t="n"/>
      <c r="D2507" s="35" t="n"/>
      <c r="E2507" s="35" t="n"/>
      <c r="F2507" s="166" t="n"/>
      <c r="G2507" s="166">
        <f>IF(AND(E2507&lt;&gt;"",F2507&lt;&gt;""),E2507*F2507,"")</f>
      </c>
    </row>
    <row r="2508" ht="16.5" customHeight="1" s="71">
      <c r="B2508" s="169" t="n"/>
      <c r="C2508" s="35" t="n"/>
      <c r="D2508" s="35" t="n"/>
      <c r="E2508" s="35" t="n"/>
      <c r="F2508" s="166" t="n"/>
      <c r="G2508" s="166">
        <f>IF(AND(E2508&lt;&gt;"",F2508&lt;&gt;""),E2508*F2508,"")</f>
      </c>
    </row>
    <row r="2509" ht="16.5" customHeight="1" s="71">
      <c r="B2509" s="169" t="n"/>
      <c r="C2509" s="35" t="n"/>
      <c r="D2509" s="35" t="n"/>
      <c r="E2509" s="35" t="n"/>
      <c r="F2509" s="166" t="n"/>
      <c r="G2509" s="166">
        <f>IF(AND(E2509&lt;&gt;"",F2509&lt;&gt;""),E2509*F2509,"")</f>
      </c>
    </row>
    <row r="2510" ht="16.5" customHeight="1" s="71">
      <c r="B2510" s="169" t="n"/>
      <c r="C2510" s="35" t="n"/>
      <c r="D2510" s="35" t="n"/>
      <c r="E2510" s="35" t="n"/>
      <c r="F2510" s="166" t="n"/>
      <c r="G2510" s="166">
        <f>IF(AND(E2510&lt;&gt;"",F2510&lt;&gt;""),E2510*F2510,"")</f>
      </c>
    </row>
    <row r="2511" ht="16.5" customHeight="1" s="71">
      <c r="B2511" s="169" t="n"/>
      <c r="C2511" s="35" t="n"/>
      <c r="D2511" s="35" t="n"/>
      <c r="E2511" s="35" t="n"/>
      <c r="F2511" s="166" t="n"/>
      <c r="G2511" s="166">
        <f>IF(AND(E2511&lt;&gt;"",F2511&lt;&gt;""),E2511*F2511,"")</f>
      </c>
    </row>
    <row r="2512" ht="16.5" customHeight="1" s="71">
      <c r="B2512" s="169" t="n"/>
      <c r="C2512" s="35" t="n"/>
      <c r="D2512" s="35" t="n"/>
      <c r="E2512" s="35" t="n"/>
      <c r="F2512" s="166" t="n"/>
      <c r="G2512" s="166">
        <f>IF(AND(E2512&lt;&gt;"",F2512&lt;&gt;""),E2512*F2512,"")</f>
      </c>
    </row>
    <row r="2513" ht="16.5" customHeight="1" s="71">
      <c r="B2513" s="169" t="n"/>
      <c r="C2513" s="35" t="n"/>
      <c r="D2513" s="35" t="n"/>
      <c r="E2513" s="35" t="n"/>
      <c r="F2513" s="166" t="n"/>
      <c r="G2513" s="166">
        <f>IF(AND(E2513&lt;&gt;"",F2513&lt;&gt;""),E2513*F2513,"")</f>
      </c>
    </row>
    <row r="2514" ht="16.5" customHeight="1" s="71">
      <c r="B2514" s="169" t="n"/>
      <c r="C2514" s="35" t="n"/>
      <c r="D2514" s="35" t="n"/>
      <c r="E2514" s="35" t="n"/>
      <c r="F2514" s="166" t="n"/>
      <c r="G2514" s="166">
        <f>IF(AND(E2514&lt;&gt;"",F2514&lt;&gt;""),E2514*F2514,"")</f>
      </c>
    </row>
    <row r="2515" ht="16.5" customHeight="1" s="71">
      <c r="B2515" s="169" t="n"/>
      <c r="C2515" s="35" t="n"/>
      <c r="D2515" s="35" t="n"/>
      <c r="E2515" s="35" t="n"/>
      <c r="F2515" s="166" t="n"/>
      <c r="G2515" s="166">
        <f>IF(AND(E2515&lt;&gt;"",F2515&lt;&gt;""),E2515*F2515,"")</f>
      </c>
    </row>
    <row r="2516" ht="16.5" customHeight="1" s="71">
      <c r="B2516" s="169" t="n"/>
      <c r="C2516" s="35" t="n"/>
      <c r="D2516" s="35" t="n"/>
      <c r="E2516" s="35" t="n"/>
      <c r="F2516" s="166" t="n"/>
      <c r="G2516" s="166">
        <f>IF(AND(E2516&lt;&gt;"",F2516&lt;&gt;""),E2516*F2516,"")</f>
      </c>
    </row>
    <row r="2517" ht="16.5" customHeight="1" s="71">
      <c r="B2517" s="169" t="n"/>
      <c r="C2517" s="35" t="n"/>
      <c r="D2517" s="35" t="n"/>
      <c r="E2517" s="35" t="n"/>
      <c r="F2517" s="166" t="n"/>
      <c r="G2517" s="166">
        <f>IF(AND(E2517&lt;&gt;"",F2517&lt;&gt;""),E2517*F2517,"")</f>
      </c>
    </row>
    <row r="2518" ht="16.5" customHeight="1" s="71">
      <c r="B2518" s="169" t="n"/>
      <c r="C2518" s="35" t="n"/>
      <c r="D2518" s="35" t="n"/>
      <c r="E2518" s="35" t="n"/>
      <c r="F2518" s="166" t="n"/>
      <c r="G2518" s="166">
        <f>IF(AND(E2518&lt;&gt;"",F2518&lt;&gt;""),E2518*F2518,"")</f>
      </c>
    </row>
    <row r="2519" ht="16.5" customHeight="1" s="71">
      <c r="B2519" s="169" t="n"/>
      <c r="C2519" s="35" t="n"/>
      <c r="D2519" s="35" t="n"/>
      <c r="E2519" s="35" t="n"/>
      <c r="F2519" s="166" t="n"/>
      <c r="G2519" s="166">
        <f>IF(AND(E2519&lt;&gt;"",F2519&lt;&gt;""),E2519*F2519,"")</f>
      </c>
    </row>
    <row r="2520" ht="16.5" customHeight="1" s="71">
      <c r="B2520" s="169" t="n"/>
      <c r="C2520" s="35" t="n"/>
      <c r="D2520" s="35" t="n"/>
      <c r="E2520" s="35" t="n"/>
      <c r="F2520" s="166" t="n"/>
      <c r="G2520" s="166">
        <f>IF(AND(E2520&lt;&gt;"",F2520&lt;&gt;""),E2520*F2520,"")</f>
      </c>
    </row>
    <row r="2521" ht="16.5" customHeight="1" s="71">
      <c r="B2521" s="169" t="n"/>
      <c r="C2521" s="35" t="n"/>
      <c r="D2521" s="35" t="n"/>
      <c r="E2521" s="35" t="n"/>
      <c r="F2521" s="166" t="n"/>
      <c r="G2521" s="166">
        <f>IF(AND(E2521&lt;&gt;"",F2521&lt;&gt;""),E2521*F2521,"")</f>
      </c>
    </row>
    <row r="2522" ht="16.5" customHeight="1" s="71">
      <c r="B2522" s="169" t="n"/>
      <c r="C2522" s="35" t="n"/>
      <c r="D2522" s="35" t="n"/>
      <c r="E2522" s="35" t="n"/>
      <c r="F2522" s="166" t="n"/>
      <c r="G2522" s="166">
        <f>IF(AND(E2522&lt;&gt;"",F2522&lt;&gt;""),E2522*F2522,"")</f>
      </c>
    </row>
    <row r="2523" ht="16.5" customHeight="1" s="71">
      <c r="B2523" s="169" t="n"/>
      <c r="C2523" s="35" t="n"/>
      <c r="D2523" s="35" t="n"/>
      <c r="E2523" s="35" t="n"/>
      <c r="F2523" s="166" t="n"/>
      <c r="G2523" s="166">
        <f>IF(AND(E2523&lt;&gt;"",F2523&lt;&gt;""),E2523*F2523,"")</f>
      </c>
    </row>
    <row r="2524" ht="16.5" customHeight="1" s="71">
      <c r="B2524" s="169" t="n"/>
      <c r="C2524" s="35" t="n"/>
      <c r="D2524" s="35" t="n"/>
      <c r="E2524" s="35" t="n"/>
      <c r="F2524" s="166" t="n"/>
      <c r="G2524" s="166">
        <f>IF(AND(E2524&lt;&gt;"",F2524&lt;&gt;""),E2524*F2524,"")</f>
      </c>
    </row>
    <row r="2525" ht="16.5" customHeight="1" s="71">
      <c r="B2525" s="169" t="n"/>
      <c r="C2525" s="35" t="n"/>
      <c r="D2525" s="35" t="n"/>
      <c r="E2525" s="35" t="n"/>
      <c r="F2525" s="166" t="n"/>
      <c r="G2525" s="166">
        <f>IF(AND(E2525&lt;&gt;"",F2525&lt;&gt;""),E2525*F2525,"")</f>
      </c>
    </row>
    <row r="2526" ht="16.5" customHeight="1" s="71">
      <c r="B2526" s="169" t="n"/>
      <c r="C2526" s="35" t="n"/>
      <c r="D2526" s="35" t="n"/>
      <c r="E2526" s="35" t="n"/>
      <c r="F2526" s="166" t="n"/>
      <c r="G2526" s="166">
        <f>IF(AND(E2526&lt;&gt;"",F2526&lt;&gt;""),E2526*F2526,"")</f>
      </c>
    </row>
    <row r="2527" ht="16.5" customHeight="1" s="71">
      <c r="B2527" s="169" t="n"/>
      <c r="C2527" s="35" t="n"/>
      <c r="D2527" s="35" t="n"/>
      <c r="E2527" s="35" t="n"/>
      <c r="F2527" s="166" t="n"/>
      <c r="G2527" s="166">
        <f>IF(AND(E2527&lt;&gt;"",F2527&lt;&gt;""),E2527*F2527,"")</f>
      </c>
    </row>
    <row r="2528" ht="16.5" customHeight="1" s="71">
      <c r="B2528" s="169" t="n"/>
      <c r="C2528" s="35" t="n"/>
      <c r="D2528" s="35" t="n"/>
      <c r="E2528" s="35" t="n"/>
      <c r="F2528" s="166" t="n"/>
      <c r="G2528" s="166">
        <f>IF(AND(E2528&lt;&gt;"",F2528&lt;&gt;""),E2528*F2528,"")</f>
      </c>
    </row>
    <row r="2529" ht="16.5" customHeight="1" s="71">
      <c r="B2529" s="169" t="n"/>
      <c r="C2529" s="35" t="n"/>
      <c r="D2529" s="35" t="n"/>
      <c r="E2529" s="35" t="n"/>
      <c r="F2529" s="166" t="n"/>
      <c r="G2529" s="166">
        <f>IF(AND(E2529&lt;&gt;"",F2529&lt;&gt;""),E2529*F2529,"")</f>
      </c>
    </row>
    <row r="2530" ht="16.5" customHeight="1" s="71">
      <c r="B2530" s="169" t="n"/>
      <c r="C2530" s="35" t="n"/>
      <c r="D2530" s="35" t="n"/>
      <c r="E2530" s="35" t="n"/>
      <c r="F2530" s="166" t="n"/>
      <c r="G2530" s="166">
        <f>IF(AND(E2530&lt;&gt;"",F2530&lt;&gt;""),E2530*F2530,"")</f>
      </c>
    </row>
    <row r="2531" ht="16.5" customHeight="1" s="71">
      <c r="B2531" s="169" t="n"/>
      <c r="C2531" s="35" t="n"/>
      <c r="D2531" s="35" t="n"/>
      <c r="E2531" s="35" t="n"/>
      <c r="F2531" s="166" t="n"/>
      <c r="G2531" s="166">
        <f>IF(AND(E2531&lt;&gt;"",F2531&lt;&gt;""),E2531*F2531,"")</f>
      </c>
    </row>
    <row r="2532" ht="16.5" customHeight="1" s="71">
      <c r="B2532" s="169" t="n"/>
      <c r="C2532" s="35" t="n"/>
      <c r="D2532" s="35" t="n"/>
      <c r="E2532" s="35" t="n"/>
      <c r="F2532" s="166" t="n"/>
      <c r="G2532" s="166">
        <f>IF(AND(E2532&lt;&gt;"",F2532&lt;&gt;""),E2532*F2532,"")</f>
      </c>
    </row>
    <row r="2533" ht="16.5" customHeight="1" s="71">
      <c r="B2533" s="169" t="n"/>
      <c r="C2533" s="35" t="n"/>
      <c r="D2533" s="35" t="n"/>
      <c r="E2533" s="35" t="n"/>
      <c r="F2533" s="166" t="n"/>
      <c r="G2533" s="166">
        <f>IF(AND(E2533&lt;&gt;"",F2533&lt;&gt;""),E2533*F2533,"")</f>
      </c>
    </row>
    <row r="2534" ht="16.5" customHeight="1" s="71">
      <c r="B2534" s="169" t="n"/>
      <c r="C2534" s="35" t="n"/>
      <c r="D2534" s="35" t="n"/>
      <c r="E2534" s="35" t="n"/>
      <c r="F2534" s="166" t="n"/>
      <c r="G2534" s="166">
        <f>IF(AND(E2534&lt;&gt;"",F2534&lt;&gt;""),E2534*F2534,"")</f>
      </c>
    </row>
    <row r="2535" ht="16.5" customHeight="1" s="71">
      <c r="B2535" s="169" t="n"/>
      <c r="C2535" s="35" t="n"/>
      <c r="D2535" s="35" t="n"/>
      <c r="E2535" s="35" t="n"/>
      <c r="F2535" s="166" t="n"/>
      <c r="G2535" s="166">
        <f>IF(AND(E2535&lt;&gt;"",F2535&lt;&gt;""),E2535*F2535,"")</f>
      </c>
    </row>
    <row r="2536" ht="16.5" customHeight="1" s="71">
      <c r="B2536" s="169" t="n"/>
      <c r="C2536" s="35" t="n"/>
      <c r="D2536" s="35" t="n"/>
      <c r="E2536" s="35" t="n"/>
      <c r="F2536" s="166" t="n"/>
      <c r="G2536" s="166">
        <f>IF(AND(E2536&lt;&gt;"",F2536&lt;&gt;""),E2536*F2536,"")</f>
      </c>
    </row>
    <row r="2537" ht="16.5" customHeight="1" s="71">
      <c r="B2537" s="169" t="n"/>
      <c r="C2537" s="35" t="n"/>
      <c r="D2537" s="35" t="n"/>
      <c r="E2537" s="35" t="n"/>
      <c r="F2537" s="166" t="n"/>
      <c r="G2537" s="166">
        <f>IF(AND(E2537&lt;&gt;"",F2537&lt;&gt;""),E2537*F2537,"")</f>
      </c>
    </row>
    <row r="2538" ht="16.5" customHeight="1" s="71">
      <c r="B2538" s="169" t="n"/>
      <c r="C2538" s="35" t="n"/>
      <c r="D2538" s="35" t="n"/>
      <c r="E2538" s="35" t="n"/>
      <c r="F2538" s="166" t="n"/>
      <c r="G2538" s="166">
        <f>IF(AND(E2538&lt;&gt;"",F2538&lt;&gt;""),E2538*F2538,"")</f>
      </c>
    </row>
    <row r="2539" ht="16.5" customHeight="1" s="71">
      <c r="B2539" s="169" t="n"/>
      <c r="C2539" s="35" t="n"/>
      <c r="D2539" s="35" t="n"/>
      <c r="E2539" s="35" t="n"/>
      <c r="F2539" s="166" t="n"/>
      <c r="G2539" s="166">
        <f>IF(AND(E2539&lt;&gt;"",F2539&lt;&gt;""),E2539*F2539,"")</f>
      </c>
    </row>
    <row r="2540" ht="16.5" customHeight="1" s="71">
      <c r="B2540" s="169" t="n"/>
      <c r="C2540" s="35" t="n"/>
      <c r="D2540" s="35" t="n"/>
      <c r="E2540" s="35" t="n"/>
      <c r="F2540" s="166" t="n"/>
      <c r="G2540" s="166">
        <f>IF(AND(E2540&lt;&gt;"",F2540&lt;&gt;""),E2540*F2540,"")</f>
      </c>
    </row>
    <row r="2541" ht="16.5" customHeight="1" s="71">
      <c r="B2541" s="169" t="n"/>
      <c r="C2541" s="35" t="n"/>
      <c r="D2541" s="35" t="n"/>
      <c r="E2541" s="35" t="n"/>
      <c r="F2541" s="166" t="n"/>
      <c r="G2541" s="166">
        <f>IF(AND(E2541&lt;&gt;"",F2541&lt;&gt;""),E2541*F2541,"")</f>
      </c>
    </row>
    <row r="2542" ht="16.5" customHeight="1" s="71">
      <c r="B2542" s="169" t="n"/>
      <c r="C2542" s="35" t="n"/>
      <c r="D2542" s="35" t="n"/>
      <c r="E2542" s="35" t="n"/>
      <c r="F2542" s="166" t="n"/>
      <c r="G2542" s="166">
        <f>IF(AND(E2542&lt;&gt;"",F2542&lt;&gt;""),E2542*F2542,"")</f>
      </c>
    </row>
    <row r="2543" ht="16.5" customHeight="1" s="71">
      <c r="B2543" s="169" t="n"/>
      <c r="C2543" s="35" t="n"/>
      <c r="D2543" s="35" t="n"/>
      <c r="E2543" s="35" t="n"/>
      <c r="F2543" s="166" t="n"/>
      <c r="G2543" s="166">
        <f>IF(AND(E2543&lt;&gt;"",F2543&lt;&gt;""),E2543*F2543,"")</f>
      </c>
    </row>
    <row r="2544" ht="16.5" customHeight="1" s="71">
      <c r="B2544" s="169" t="n"/>
      <c r="C2544" s="35" t="n"/>
      <c r="D2544" s="35" t="n"/>
      <c r="E2544" s="35" t="n"/>
      <c r="F2544" s="166" t="n"/>
      <c r="G2544" s="166">
        <f>IF(AND(E2544&lt;&gt;"",F2544&lt;&gt;""),E2544*F2544,"")</f>
      </c>
    </row>
    <row r="2545" ht="16.5" customHeight="1" s="71">
      <c r="B2545" s="169" t="n"/>
      <c r="C2545" s="35" t="n"/>
      <c r="D2545" s="35" t="n"/>
      <c r="E2545" s="35" t="n"/>
      <c r="F2545" s="166" t="n"/>
      <c r="G2545" s="166">
        <f>IF(AND(E2545&lt;&gt;"",F2545&lt;&gt;""),E2545*F2545,"")</f>
      </c>
    </row>
    <row r="2546" ht="16.5" customHeight="1" s="71">
      <c r="B2546" s="169" t="n"/>
      <c r="C2546" s="35" t="n"/>
      <c r="D2546" s="35" t="n"/>
      <c r="E2546" s="35" t="n"/>
      <c r="F2546" s="166" t="n"/>
      <c r="G2546" s="166">
        <f>IF(AND(E2546&lt;&gt;"",F2546&lt;&gt;""),E2546*F2546,"")</f>
      </c>
    </row>
    <row r="2547" ht="16.5" customHeight="1" s="71">
      <c r="B2547" s="169" t="n"/>
      <c r="C2547" s="35" t="n"/>
      <c r="D2547" s="35" t="n"/>
      <c r="E2547" s="35" t="n"/>
      <c r="F2547" s="166" t="n"/>
      <c r="G2547" s="166">
        <f>IF(AND(E2547&lt;&gt;"",F2547&lt;&gt;""),E2547*F2547,"")</f>
      </c>
    </row>
    <row r="2548" ht="16.5" customHeight="1" s="71">
      <c r="B2548" s="169" t="n"/>
      <c r="C2548" s="35" t="n"/>
      <c r="D2548" s="35" t="n"/>
      <c r="E2548" s="35" t="n"/>
      <c r="F2548" s="166" t="n"/>
      <c r="G2548" s="166">
        <f>IF(AND(E2548&lt;&gt;"",F2548&lt;&gt;""),E2548*F2548,"")</f>
      </c>
    </row>
    <row r="2549" ht="16.5" customHeight="1" s="71">
      <c r="B2549" s="169" t="n"/>
      <c r="C2549" s="35" t="n"/>
      <c r="D2549" s="35" t="n"/>
      <c r="E2549" s="35" t="n"/>
      <c r="F2549" s="166" t="n"/>
      <c r="G2549" s="166">
        <f>IF(AND(E2549&lt;&gt;"",F2549&lt;&gt;""),E2549*F2549,"")</f>
      </c>
    </row>
    <row r="2550" ht="16.5" customHeight="1" s="71">
      <c r="B2550" s="169" t="n"/>
      <c r="C2550" s="35" t="n"/>
      <c r="D2550" s="35" t="n"/>
      <c r="E2550" s="35" t="n"/>
      <c r="F2550" s="166" t="n"/>
      <c r="G2550" s="166">
        <f>IF(AND(E2550&lt;&gt;"",F2550&lt;&gt;""),E2550*F2550,"")</f>
      </c>
    </row>
    <row r="2551" ht="16.5" customHeight="1" s="71">
      <c r="B2551" s="169" t="n"/>
      <c r="C2551" s="35" t="n"/>
      <c r="D2551" s="35" t="n"/>
      <c r="E2551" s="35" t="n"/>
      <c r="F2551" s="166" t="n"/>
      <c r="G2551" s="166">
        <f>IF(AND(E2551&lt;&gt;"",F2551&lt;&gt;""),E2551*F2551,"")</f>
      </c>
    </row>
    <row r="2552" ht="16.5" customHeight="1" s="71">
      <c r="B2552" s="169" t="n"/>
      <c r="C2552" s="35" t="n"/>
      <c r="D2552" s="35" t="n"/>
      <c r="E2552" s="35" t="n"/>
      <c r="F2552" s="166" t="n"/>
      <c r="G2552" s="166">
        <f>IF(AND(E2552&lt;&gt;"",F2552&lt;&gt;""),E2552*F2552,"")</f>
      </c>
    </row>
    <row r="2553" ht="16.5" customHeight="1" s="71">
      <c r="B2553" s="169" t="n"/>
      <c r="C2553" s="35" t="n"/>
      <c r="D2553" s="35" t="n"/>
      <c r="E2553" s="35" t="n"/>
      <c r="F2553" s="166" t="n"/>
      <c r="G2553" s="166">
        <f>IF(AND(E2553&lt;&gt;"",F2553&lt;&gt;""),E2553*F2553,"")</f>
      </c>
    </row>
    <row r="2554" ht="16.5" customHeight="1" s="71">
      <c r="B2554" s="169" t="n"/>
      <c r="C2554" s="35" t="n"/>
      <c r="D2554" s="35" t="n"/>
      <c r="E2554" s="35" t="n"/>
      <c r="F2554" s="166" t="n"/>
      <c r="G2554" s="166">
        <f>IF(AND(E2554&lt;&gt;"",F2554&lt;&gt;""),E2554*F2554,"")</f>
      </c>
    </row>
    <row r="2555" ht="16.5" customHeight="1" s="71">
      <c r="B2555" s="169" t="n"/>
      <c r="C2555" s="35" t="n"/>
      <c r="D2555" s="35" t="n"/>
      <c r="E2555" s="35" t="n"/>
      <c r="F2555" s="166" t="n"/>
      <c r="G2555" s="166">
        <f>IF(AND(E2555&lt;&gt;"",F2555&lt;&gt;""),E2555*F2555,"")</f>
      </c>
    </row>
    <row r="2556" ht="16.5" customHeight="1" s="71">
      <c r="B2556" s="169" t="n"/>
      <c r="C2556" s="35" t="n"/>
      <c r="D2556" s="35" t="n"/>
      <c r="E2556" s="35" t="n"/>
      <c r="F2556" s="166" t="n"/>
      <c r="G2556" s="166">
        <f>IF(AND(E2556&lt;&gt;"",F2556&lt;&gt;""),E2556*F2556,"")</f>
      </c>
    </row>
    <row r="2557" ht="16.5" customHeight="1" s="71">
      <c r="B2557" s="169" t="n"/>
      <c r="C2557" s="35" t="n"/>
      <c r="D2557" s="35" t="n"/>
      <c r="E2557" s="35" t="n"/>
      <c r="F2557" s="166" t="n"/>
      <c r="G2557" s="166">
        <f>IF(AND(E2557&lt;&gt;"",F2557&lt;&gt;""),E2557*F2557,"")</f>
      </c>
    </row>
    <row r="2558" ht="16.5" customHeight="1" s="71">
      <c r="B2558" s="169" t="n"/>
      <c r="C2558" s="35" t="n"/>
      <c r="D2558" s="35" t="n"/>
      <c r="E2558" s="35" t="n"/>
      <c r="F2558" s="166" t="n"/>
      <c r="G2558" s="166">
        <f>IF(AND(E2558&lt;&gt;"",F2558&lt;&gt;""),E2558*F2558,"")</f>
      </c>
    </row>
    <row r="2559" ht="16.5" customHeight="1" s="71">
      <c r="B2559" s="169" t="n"/>
      <c r="C2559" s="35" t="n"/>
      <c r="D2559" s="35" t="n"/>
      <c r="E2559" s="35" t="n"/>
      <c r="F2559" s="166" t="n"/>
      <c r="G2559" s="166">
        <f>IF(AND(E2559&lt;&gt;"",F2559&lt;&gt;""),E2559*F2559,"")</f>
      </c>
    </row>
    <row r="2560" ht="16.5" customHeight="1" s="71">
      <c r="B2560" s="169" t="n"/>
      <c r="C2560" s="35" t="n"/>
      <c r="D2560" s="35" t="n"/>
      <c r="E2560" s="35" t="n"/>
      <c r="F2560" s="166" t="n"/>
      <c r="G2560" s="166">
        <f>IF(AND(E2560&lt;&gt;"",F2560&lt;&gt;""),E2560*F2560,"")</f>
      </c>
    </row>
    <row r="2561" ht="16.5" customHeight="1" s="71">
      <c r="B2561" s="169" t="n"/>
      <c r="C2561" s="35" t="n"/>
      <c r="D2561" s="35" t="n"/>
      <c r="E2561" s="35" t="n"/>
      <c r="F2561" s="166" t="n"/>
      <c r="G2561" s="166">
        <f>IF(AND(E2561&lt;&gt;"",F2561&lt;&gt;""),E2561*F2561,"")</f>
      </c>
    </row>
    <row r="2562" ht="16.5" customHeight="1" s="71">
      <c r="B2562" s="169" t="n"/>
      <c r="C2562" s="35" t="n"/>
      <c r="D2562" s="35" t="n"/>
      <c r="E2562" s="35" t="n"/>
      <c r="F2562" s="166" t="n"/>
      <c r="G2562" s="166">
        <f>IF(AND(E2562&lt;&gt;"",F2562&lt;&gt;""),E2562*F2562,"")</f>
      </c>
    </row>
    <row r="2563" ht="16.5" customHeight="1" s="71">
      <c r="B2563" s="169" t="n"/>
      <c r="C2563" s="35" t="n"/>
      <c r="D2563" s="35" t="n"/>
      <c r="E2563" s="35" t="n"/>
      <c r="F2563" s="166" t="n"/>
      <c r="G2563" s="166">
        <f>IF(AND(E2563&lt;&gt;"",F2563&lt;&gt;""),E2563*F2563,"")</f>
      </c>
    </row>
    <row r="2564" ht="16.5" customHeight="1" s="71">
      <c r="B2564" s="169" t="n"/>
      <c r="C2564" s="35" t="n"/>
      <c r="D2564" s="35" t="n"/>
      <c r="E2564" s="35" t="n"/>
      <c r="F2564" s="166" t="n"/>
      <c r="G2564" s="166">
        <f>IF(AND(E2564&lt;&gt;"",F2564&lt;&gt;""),E2564*F2564,"")</f>
      </c>
    </row>
    <row r="2565" ht="16.5" customHeight="1" s="71">
      <c r="B2565" s="169" t="n"/>
      <c r="C2565" s="35" t="n"/>
      <c r="D2565" s="35" t="n"/>
      <c r="E2565" s="35" t="n"/>
      <c r="F2565" s="166" t="n"/>
      <c r="G2565" s="166">
        <f>IF(AND(E2565&lt;&gt;"",F2565&lt;&gt;""),E2565*F2565,"")</f>
      </c>
    </row>
    <row r="2566" ht="16.5" customHeight="1" s="71">
      <c r="B2566" s="169" t="n"/>
      <c r="C2566" s="35" t="n"/>
      <c r="D2566" s="35" t="n"/>
      <c r="E2566" s="35" t="n"/>
      <c r="F2566" s="166" t="n"/>
      <c r="G2566" s="166">
        <f>IF(AND(E2566&lt;&gt;"",F2566&lt;&gt;""),E2566*F2566,"")</f>
      </c>
    </row>
    <row r="2567" ht="16.5" customHeight="1" s="71">
      <c r="B2567" s="169" t="n"/>
      <c r="C2567" s="35" t="n"/>
      <c r="D2567" s="35" t="n"/>
      <c r="E2567" s="35" t="n"/>
      <c r="F2567" s="166" t="n"/>
      <c r="G2567" s="166">
        <f>IF(AND(E2567&lt;&gt;"",F2567&lt;&gt;""),E2567*F2567,"")</f>
      </c>
    </row>
    <row r="2568" ht="16.5" customHeight="1" s="71">
      <c r="B2568" s="169" t="n"/>
      <c r="C2568" s="35" t="n"/>
      <c r="D2568" s="35" t="n"/>
      <c r="E2568" s="35" t="n"/>
      <c r="F2568" s="166" t="n"/>
      <c r="G2568" s="166">
        <f>IF(AND(E2568&lt;&gt;"",F2568&lt;&gt;""),E2568*F2568,"")</f>
      </c>
    </row>
    <row r="2569" ht="16.5" customHeight="1" s="71">
      <c r="B2569" s="169" t="n"/>
      <c r="C2569" s="35" t="n"/>
      <c r="D2569" s="35" t="n"/>
      <c r="E2569" s="35" t="n"/>
      <c r="F2569" s="166" t="n"/>
      <c r="G2569" s="166">
        <f>IF(AND(E2569&lt;&gt;"",F2569&lt;&gt;""),E2569*F2569,"")</f>
      </c>
    </row>
    <row r="2570" ht="16.5" customHeight="1" s="71">
      <c r="B2570" s="169" t="n"/>
      <c r="C2570" s="35" t="n"/>
      <c r="D2570" s="35" t="n"/>
      <c r="E2570" s="35" t="n"/>
      <c r="F2570" s="166" t="n"/>
      <c r="G2570" s="166">
        <f>IF(AND(E2570&lt;&gt;"",F2570&lt;&gt;""),E2570*F2570,"")</f>
      </c>
    </row>
    <row r="2571" ht="16.5" customHeight="1" s="71">
      <c r="B2571" s="169" t="n"/>
      <c r="C2571" s="35" t="n"/>
      <c r="D2571" s="35" t="n"/>
      <c r="E2571" s="35" t="n"/>
      <c r="F2571" s="166" t="n"/>
      <c r="G2571" s="166">
        <f>IF(AND(E2571&lt;&gt;"",F2571&lt;&gt;""),E2571*F2571,"")</f>
      </c>
    </row>
    <row r="2572" ht="16.5" customHeight="1" s="71">
      <c r="B2572" s="169" t="n"/>
      <c r="C2572" s="35" t="n"/>
      <c r="D2572" s="35" t="n"/>
      <c r="E2572" s="35" t="n"/>
      <c r="F2572" s="166" t="n"/>
      <c r="G2572" s="166">
        <f>IF(AND(E2572&lt;&gt;"",F2572&lt;&gt;""),E2572*F2572,"")</f>
      </c>
    </row>
    <row r="2573" ht="16.5" customHeight="1" s="71">
      <c r="B2573" s="169" t="n"/>
      <c r="C2573" s="35" t="n"/>
      <c r="D2573" s="35" t="n"/>
      <c r="E2573" s="35" t="n"/>
      <c r="F2573" s="166" t="n"/>
      <c r="G2573" s="166">
        <f>IF(AND(E2573&lt;&gt;"",F2573&lt;&gt;""),E2573*F2573,"")</f>
      </c>
    </row>
    <row r="2574" ht="16.5" customHeight="1" s="71">
      <c r="B2574" s="169" t="n"/>
      <c r="C2574" s="35" t="n"/>
      <c r="D2574" s="35" t="n"/>
      <c r="E2574" s="35" t="n"/>
      <c r="F2574" s="166" t="n"/>
      <c r="G2574" s="166">
        <f>IF(AND(E2574&lt;&gt;"",F2574&lt;&gt;""),E2574*F2574,"")</f>
      </c>
    </row>
    <row r="2575" ht="16.5" customHeight="1" s="71">
      <c r="B2575" s="169" t="n"/>
      <c r="C2575" s="35" t="n"/>
      <c r="D2575" s="35" t="n"/>
      <c r="E2575" s="35" t="n"/>
      <c r="F2575" s="166" t="n"/>
      <c r="G2575" s="166">
        <f>IF(AND(E2575&lt;&gt;"",F2575&lt;&gt;""),E2575*F2575,"")</f>
      </c>
    </row>
    <row r="2576" ht="16.5" customHeight="1" s="71">
      <c r="B2576" s="169" t="n"/>
      <c r="C2576" s="35" t="n"/>
      <c r="D2576" s="35" t="n"/>
      <c r="E2576" s="35" t="n"/>
      <c r="F2576" s="166" t="n"/>
      <c r="G2576" s="166">
        <f>IF(AND(E2576&lt;&gt;"",F2576&lt;&gt;""),E2576*F2576,"")</f>
      </c>
    </row>
    <row r="2577" ht="16.5" customHeight="1" s="71">
      <c r="B2577" s="169" t="n"/>
      <c r="C2577" s="35" t="n"/>
      <c r="D2577" s="35" t="n"/>
      <c r="E2577" s="35" t="n"/>
      <c r="F2577" s="166" t="n"/>
      <c r="G2577" s="166">
        <f>IF(AND(E2577&lt;&gt;"",F2577&lt;&gt;""),E2577*F2577,"")</f>
      </c>
    </row>
    <row r="2578" ht="16.5" customHeight="1" s="71">
      <c r="B2578" s="169" t="n"/>
      <c r="C2578" s="35" t="n"/>
      <c r="D2578" s="35" t="n"/>
      <c r="E2578" s="35" t="n"/>
      <c r="F2578" s="166" t="n"/>
      <c r="G2578" s="166">
        <f>IF(AND(E2578&lt;&gt;"",F2578&lt;&gt;""),E2578*F2578,"")</f>
      </c>
    </row>
    <row r="2579" ht="16.5" customHeight="1" s="71">
      <c r="B2579" s="169" t="n"/>
      <c r="C2579" s="35" t="n"/>
      <c r="D2579" s="35" t="n"/>
      <c r="E2579" s="35" t="n"/>
      <c r="F2579" s="166" t="n"/>
      <c r="G2579" s="166">
        <f>IF(AND(E2579&lt;&gt;"",F2579&lt;&gt;""),E2579*F2579,"")</f>
      </c>
    </row>
    <row r="2580" ht="16.5" customHeight="1" s="71">
      <c r="B2580" s="169" t="n"/>
      <c r="C2580" s="35" t="n"/>
      <c r="D2580" s="35" t="n"/>
      <c r="E2580" s="35" t="n"/>
      <c r="F2580" s="166" t="n"/>
      <c r="G2580" s="166">
        <f>IF(AND(E2580&lt;&gt;"",F2580&lt;&gt;""),E2580*F2580,"")</f>
      </c>
    </row>
    <row r="2581" ht="16.5" customHeight="1" s="71">
      <c r="B2581" s="169" t="n"/>
      <c r="C2581" s="35" t="n"/>
      <c r="D2581" s="35" t="n"/>
      <c r="E2581" s="35" t="n"/>
      <c r="F2581" s="166" t="n"/>
      <c r="G2581" s="166">
        <f>IF(AND(E2581&lt;&gt;"",F2581&lt;&gt;""),E2581*F2581,"")</f>
      </c>
    </row>
    <row r="2582" ht="16.5" customHeight="1" s="71">
      <c r="B2582" s="169" t="n"/>
      <c r="C2582" s="35" t="n"/>
      <c r="D2582" s="35" t="n"/>
      <c r="E2582" s="35" t="n"/>
      <c r="F2582" s="166" t="n"/>
      <c r="G2582" s="166">
        <f>IF(AND(E2582&lt;&gt;"",F2582&lt;&gt;""),E2582*F2582,"")</f>
      </c>
    </row>
    <row r="2583" ht="16.5" customHeight="1" s="71">
      <c r="B2583" s="169" t="n"/>
      <c r="C2583" s="35" t="n"/>
      <c r="D2583" s="35" t="n"/>
      <c r="E2583" s="35" t="n"/>
      <c r="F2583" s="166" t="n"/>
      <c r="G2583" s="166">
        <f>IF(AND(E2583&lt;&gt;"",F2583&lt;&gt;""),E2583*F2583,"")</f>
      </c>
    </row>
    <row r="2584" ht="16.5" customHeight="1" s="71">
      <c r="B2584" s="169" t="n"/>
      <c r="C2584" s="35" t="n"/>
      <c r="D2584" s="35" t="n"/>
      <c r="E2584" s="35" t="n"/>
      <c r="F2584" s="166" t="n"/>
      <c r="G2584" s="166">
        <f>IF(AND(E2584&lt;&gt;"",F2584&lt;&gt;""),E2584*F2584,"")</f>
      </c>
    </row>
    <row r="2585" ht="16.5" customHeight="1" s="71">
      <c r="B2585" s="169" t="n"/>
      <c r="C2585" s="35" t="n"/>
      <c r="D2585" s="35" t="n"/>
      <c r="E2585" s="35" t="n"/>
      <c r="F2585" s="166" t="n"/>
      <c r="G2585" s="166">
        <f>IF(AND(E2585&lt;&gt;"",F2585&lt;&gt;""),E2585*F2585,"")</f>
      </c>
    </row>
    <row r="2586" ht="16.5" customHeight="1" s="71">
      <c r="B2586" s="169" t="n"/>
      <c r="C2586" s="35" t="n"/>
      <c r="D2586" s="35" t="n"/>
      <c r="E2586" s="35" t="n"/>
      <c r="F2586" s="166" t="n"/>
      <c r="G2586" s="166">
        <f>IF(AND(E2586&lt;&gt;"",F2586&lt;&gt;""),E2586*F2586,"")</f>
      </c>
    </row>
    <row r="2587" ht="16.5" customHeight="1" s="71">
      <c r="B2587" s="169" t="n"/>
      <c r="C2587" s="35" t="n"/>
      <c r="D2587" s="35" t="n"/>
      <c r="E2587" s="35" t="n"/>
      <c r="F2587" s="166" t="n"/>
      <c r="G2587" s="166">
        <f>IF(AND(E2587&lt;&gt;"",F2587&lt;&gt;""),E2587*F2587,"")</f>
      </c>
    </row>
    <row r="2588" ht="16.5" customHeight="1" s="71">
      <c r="B2588" s="169" t="n"/>
      <c r="C2588" s="35" t="n"/>
      <c r="D2588" s="35" t="n"/>
      <c r="E2588" s="35" t="n"/>
      <c r="F2588" s="166" t="n"/>
      <c r="G2588" s="166">
        <f>IF(AND(E2588&lt;&gt;"",F2588&lt;&gt;""),E2588*F2588,"")</f>
      </c>
    </row>
    <row r="2589" ht="16.5" customHeight="1" s="71">
      <c r="B2589" s="169" t="n"/>
      <c r="C2589" s="35" t="n"/>
      <c r="D2589" s="35" t="n"/>
      <c r="E2589" s="35" t="n"/>
      <c r="F2589" s="166" t="n"/>
      <c r="G2589" s="166">
        <f>IF(AND(E2589&lt;&gt;"",F2589&lt;&gt;""),E2589*F2589,"")</f>
      </c>
    </row>
    <row r="2590" ht="16.5" customHeight="1" s="71">
      <c r="B2590" s="169" t="n"/>
      <c r="C2590" s="35" t="n"/>
      <c r="D2590" s="35" t="n"/>
      <c r="E2590" s="35" t="n"/>
      <c r="F2590" s="166" t="n"/>
      <c r="G2590" s="166">
        <f>IF(AND(E2590&lt;&gt;"",F2590&lt;&gt;""),E2590*F2590,"")</f>
      </c>
    </row>
    <row r="2591" ht="16.5" customHeight="1" s="71">
      <c r="B2591" s="169" t="n"/>
      <c r="C2591" s="35" t="n"/>
      <c r="D2591" s="35" t="n"/>
      <c r="E2591" s="35" t="n"/>
      <c r="F2591" s="166" t="n"/>
      <c r="G2591" s="166">
        <f>IF(AND(E2591&lt;&gt;"",F2591&lt;&gt;""),E2591*F2591,"")</f>
      </c>
    </row>
    <row r="2592" ht="16.5" customHeight="1" s="71">
      <c r="B2592" s="169" t="n"/>
      <c r="C2592" s="35" t="n"/>
      <c r="D2592" s="35" t="n"/>
      <c r="E2592" s="35" t="n"/>
      <c r="F2592" s="166" t="n"/>
      <c r="G2592" s="166">
        <f>IF(AND(E2592&lt;&gt;"",F2592&lt;&gt;""),E2592*F2592,"")</f>
      </c>
    </row>
    <row r="2593" ht="16.5" customHeight="1" s="71">
      <c r="B2593" s="169" t="n"/>
      <c r="C2593" s="35" t="n"/>
      <c r="D2593" s="35" t="n"/>
      <c r="E2593" s="35" t="n"/>
      <c r="F2593" s="166" t="n"/>
      <c r="G2593" s="166">
        <f>IF(AND(E2593&lt;&gt;"",F2593&lt;&gt;""),E2593*F2593,"")</f>
      </c>
    </row>
    <row r="2594" ht="16.5" customHeight="1" s="71">
      <c r="B2594" s="169" t="n"/>
      <c r="C2594" s="35" t="n"/>
      <c r="D2594" s="35" t="n"/>
      <c r="E2594" s="35" t="n"/>
      <c r="F2594" s="166" t="n"/>
      <c r="G2594" s="166">
        <f>IF(AND(E2594&lt;&gt;"",F2594&lt;&gt;""),E2594*F2594,"")</f>
      </c>
    </row>
    <row r="2595" ht="16.5" customHeight="1" s="71">
      <c r="B2595" s="169" t="n"/>
      <c r="C2595" s="35" t="n"/>
      <c r="D2595" s="35" t="n"/>
      <c r="E2595" s="35" t="n"/>
      <c r="F2595" s="166" t="n"/>
      <c r="G2595" s="166">
        <f>IF(AND(E2595&lt;&gt;"",F2595&lt;&gt;""),E2595*F2595,"")</f>
      </c>
    </row>
    <row r="2596" ht="16.5" customHeight="1" s="71">
      <c r="B2596" s="169" t="n"/>
      <c r="C2596" s="35" t="n"/>
      <c r="D2596" s="35" t="n"/>
      <c r="E2596" s="35" t="n"/>
      <c r="F2596" s="166" t="n"/>
      <c r="G2596" s="166">
        <f>IF(AND(E2596&lt;&gt;"",F2596&lt;&gt;""),E2596*F2596,"")</f>
      </c>
    </row>
    <row r="2597" ht="16.5" customHeight="1" s="71">
      <c r="B2597" s="169" t="n"/>
      <c r="C2597" s="35" t="n"/>
      <c r="D2597" s="35" t="n"/>
      <c r="E2597" s="35" t="n"/>
      <c r="F2597" s="166" t="n"/>
      <c r="G2597" s="166">
        <f>IF(AND(E2597&lt;&gt;"",F2597&lt;&gt;""),E2597*F2597,"")</f>
      </c>
    </row>
    <row r="2598" ht="16.5" customHeight="1" s="71">
      <c r="B2598" s="169" t="n"/>
      <c r="C2598" s="35" t="n"/>
      <c r="D2598" s="35" t="n"/>
      <c r="E2598" s="35" t="n"/>
      <c r="F2598" s="166" t="n"/>
      <c r="G2598" s="166">
        <f>IF(AND(E2598&lt;&gt;"",F2598&lt;&gt;""),E2598*F2598,"")</f>
      </c>
    </row>
    <row r="2599" ht="16.5" customHeight="1" s="71">
      <c r="B2599" s="169" t="n"/>
      <c r="C2599" s="35" t="n"/>
      <c r="D2599" s="35" t="n"/>
      <c r="E2599" s="35" t="n"/>
      <c r="F2599" s="166" t="n"/>
      <c r="G2599" s="166">
        <f>IF(AND(E2599&lt;&gt;"",F2599&lt;&gt;""),E2599*F2599,"")</f>
      </c>
    </row>
    <row r="2600" ht="16.5" customHeight="1" s="71">
      <c r="B2600" s="169" t="n"/>
      <c r="C2600" s="35" t="n"/>
      <c r="D2600" s="35" t="n"/>
      <c r="E2600" s="35" t="n"/>
      <c r="F2600" s="166" t="n"/>
      <c r="G2600" s="166">
        <f>IF(AND(E2600&lt;&gt;"",F2600&lt;&gt;""),E2600*F2600,"")</f>
      </c>
    </row>
    <row r="2601" ht="16.5" customHeight="1" s="71">
      <c r="B2601" s="169" t="n"/>
      <c r="C2601" s="35" t="n"/>
      <c r="D2601" s="35" t="n"/>
      <c r="E2601" s="35" t="n"/>
      <c r="F2601" s="166" t="n"/>
      <c r="G2601" s="166">
        <f>IF(AND(E2601&lt;&gt;"",F2601&lt;&gt;""),E2601*F2601,"")</f>
      </c>
    </row>
    <row r="2602" ht="16.5" customHeight="1" s="71">
      <c r="B2602" s="169" t="n"/>
      <c r="C2602" s="35" t="n"/>
      <c r="D2602" s="35" t="n"/>
      <c r="E2602" s="35" t="n"/>
      <c r="F2602" s="166" t="n"/>
      <c r="G2602" s="166">
        <f>IF(AND(E2602&lt;&gt;"",F2602&lt;&gt;""),E2602*F2602,"")</f>
      </c>
    </row>
    <row r="2603" ht="16.5" customHeight="1" s="71">
      <c r="B2603" s="169" t="n"/>
      <c r="C2603" s="35" t="n"/>
      <c r="D2603" s="35" t="n"/>
      <c r="E2603" s="35" t="n"/>
      <c r="F2603" s="166" t="n"/>
      <c r="G2603" s="166">
        <f>IF(AND(E2603&lt;&gt;"",F2603&lt;&gt;""),E2603*F2603,"")</f>
      </c>
    </row>
    <row r="2604" ht="16.5" customHeight="1" s="71">
      <c r="B2604" s="169" t="n"/>
      <c r="C2604" s="35" t="n"/>
      <c r="D2604" s="35" t="n"/>
      <c r="E2604" s="35" t="n"/>
      <c r="F2604" s="166" t="n"/>
      <c r="G2604" s="166">
        <f>IF(AND(E2604&lt;&gt;"",F2604&lt;&gt;""),E2604*F2604,"")</f>
      </c>
    </row>
    <row r="2605" ht="16.5" customHeight="1" s="71">
      <c r="B2605" s="169" t="n"/>
      <c r="C2605" s="35" t="n"/>
      <c r="D2605" s="35" t="n"/>
      <c r="E2605" s="35" t="n"/>
      <c r="F2605" s="166" t="n"/>
      <c r="G2605" s="166">
        <f>IF(AND(E2605&lt;&gt;"",F2605&lt;&gt;""),E2605*F2605,"")</f>
      </c>
    </row>
    <row r="2606" ht="16.5" customHeight="1" s="71">
      <c r="B2606" s="169" t="n"/>
      <c r="C2606" s="35" t="n"/>
      <c r="D2606" s="35" t="n"/>
      <c r="E2606" s="35" t="n"/>
      <c r="F2606" s="166" t="n"/>
      <c r="G2606" s="166">
        <f>IF(AND(E2606&lt;&gt;"",F2606&lt;&gt;""),E2606*F2606,"")</f>
      </c>
    </row>
    <row r="2607" ht="16.5" customHeight="1" s="71">
      <c r="B2607" s="169" t="n"/>
      <c r="C2607" s="35" t="n"/>
      <c r="D2607" s="35" t="n"/>
      <c r="E2607" s="35" t="n"/>
      <c r="F2607" s="166" t="n"/>
      <c r="G2607" s="166">
        <f>IF(AND(E2607&lt;&gt;"",F2607&lt;&gt;""),E2607*F2607,"")</f>
      </c>
    </row>
    <row r="2608" ht="16.5" customHeight="1" s="71">
      <c r="B2608" s="169" t="n"/>
      <c r="C2608" s="35" t="n"/>
      <c r="D2608" s="35" t="n"/>
      <c r="E2608" s="35" t="n"/>
      <c r="F2608" s="166" t="n"/>
      <c r="G2608" s="166">
        <f>IF(AND(E2608&lt;&gt;"",F2608&lt;&gt;""),E2608*F2608,"")</f>
      </c>
    </row>
    <row r="2609" ht="16.5" customHeight="1" s="71">
      <c r="B2609" s="169" t="n"/>
      <c r="C2609" s="35" t="n"/>
      <c r="D2609" s="35" t="n"/>
      <c r="E2609" s="35" t="n"/>
      <c r="F2609" s="166" t="n"/>
      <c r="G2609" s="166">
        <f>IF(AND(E2609&lt;&gt;"",F2609&lt;&gt;""),E2609*F2609,"")</f>
      </c>
    </row>
    <row r="2610" ht="16.5" customHeight="1" s="71">
      <c r="B2610" s="169" t="n"/>
      <c r="C2610" s="35" t="n"/>
      <c r="D2610" s="35" t="n"/>
      <c r="E2610" s="35" t="n"/>
      <c r="F2610" s="166" t="n"/>
      <c r="G2610" s="166">
        <f>IF(AND(E2610&lt;&gt;"",F2610&lt;&gt;""),E2610*F2610,"")</f>
      </c>
    </row>
    <row r="2611" ht="16.5" customHeight="1" s="71">
      <c r="B2611" s="169" t="n"/>
      <c r="C2611" s="35" t="n"/>
      <c r="D2611" s="35" t="n"/>
      <c r="E2611" s="35" t="n"/>
      <c r="F2611" s="166" t="n"/>
      <c r="G2611" s="166">
        <f>IF(AND(E2611&lt;&gt;"",F2611&lt;&gt;""),E2611*F2611,"")</f>
      </c>
    </row>
    <row r="2612" ht="16.5" customHeight="1" s="71">
      <c r="B2612" s="169" t="n"/>
      <c r="C2612" s="35" t="n"/>
      <c r="D2612" s="35" t="n"/>
      <c r="E2612" s="35" t="n"/>
      <c r="F2612" s="166" t="n"/>
      <c r="G2612" s="166">
        <f>IF(AND(E2612&lt;&gt;"",F2612&lt;&gt;""),E2612*F2612,"")</f>
      </c>
    </row>
    <row r="2613" ht="16.5" customHeight="1" s="71">
      <c r="B2613" s="169" t="n"/>
      <c r="C2613" s="35" t="n"/>
      <c r="D2613" s="35" t="n"/>
      <c r="E2613" s="35" t="n"/>
      <c r="F2613" s="166" t="n"/>
      <c r="G2613" s="166">
        <f>IF(AND(E2613&lt;&gt;"",F2613&lt;&gt;""),E2613*F2613,"")</f>
      </c>
    </row>
    <row r="2614" ht="16.5" customHeight="1" s="71">
      <c r="B2614" s="169" t="n"/>
      <c r="C2614" s="35" t="n"/>
      <c r="D2614" s="35" t="n"/>
      <c r="E2614" s="35" t="n"/>
      <c r="F2614" s="166" t="n"/>
      <c r="G2614" s="166">
        <f>IF(AND(E2614&lt;&gt;"",F2614&lt;&gt;""),E2614*F2614,"")</f>
      </c>
    </row>
    <row r="2615" ht="16.5" customHeight="1" s="71">
      <c r="B2615" s="169" t="n"/>
      <c r="C2615" s="35" t="n"/>
      <c r="D2615" s="35" t="n"/>
      <c r="E2615" s="35" t="n"/>
      <c r="F2615" s="166" t="n"/>
      <c r="G2615" s="166">
        <f>IF(AND(E2615&lt;&gt;"",F2615&lt;&gt;""),E2615*F2615,"")</f>
      </c>
    </row>
    <row r="2616" ht="16.5" customHeight="1" s="71">
      <c r="B2616" s="169" t="n"/>
      <c r="C2616" s="35" t="n"/>
      <c r="D2616" s="35" t="n"/>
      <c r="E2616" s="35" t="n"/>
      <c r="F2616" s="166" t="n"/>
      <c r="G2616" s="166">
        <f>IF(AND(E2616&lt;&gt;"",F2616&lt;&gt;""),E2616*F2616,"")</f>
      </c>
    </row>
    <row r="2617" ht="16.5" customHeight="1" s="71">
      <c r="B2617" s="169" t="n"/>
      <c r="C2617" s="35" t="n"/>
      <c r="D2617" s="35" t="n"/>
      <c r="E2617" s="35" t="n"/>
      <c r="F2617" s="166" t="n"/>
      <c r="G2617" s="166">
        <f>IF(AND(E2617&lt;&gt;"",F2617&lt;&gt;""),E2617*F2617,"")</f>
      </c>
    </row>
    <row r="2618" ht="16.5" customHeight="1" s="71">
      <c r="B2618" s="169" t="n"/>
      <c r="C2618" s="35" t="n"/>
      <c r="D2618" s="35" t="n"/>
      <c r="E2618" s="35" t="n"/>
      <c r="F2618" s="166" t="n"/>
      <c r="G2618" s="166">
        <f>IF(AND(E2618&lt;&gt;"",F2618&lt;&gt;""),E2618*F2618,"")</f>
      </c>
    </row>
    <row r="2619" ht="16.5" customHeight="1" s="71">
      <c r="B2619" s="169" t="n"/>
      <c r="C2619" s="35" t="n"/>
      <c r="D2619" s="35" t="n"/>
      <c r="E2619" s="35" t="n"/>
      <c r="F2619" s="166" t="n"/>
      <c r="G2619" s="166">
        <f>IF(AND(E2619&lt;&gt;"",F2619&lt;&gt;""),E2619*F2619,"")</f>
      </c>
    </row>
    <row r="2620" ht="16.5" customHeight="1" s="71">
      <c r="B2620" s="169" t="n"/>
      <c r="C2620" s="35" t="n"/>
      <c r="D2620" s="35" t="n"/>
      <c r="E2620" s="35" t="n"/>
      <c r="F2620" s="166" t="n"/>
      <c r="G2620" s="166">
        <f>IF(AND(E2620&lt;&gt;"",F2620&lt;&gt;""),E2620*F2620,"")</f>
      </c>
    </row>
    <row r="2621" ht="16.5" customHeight="1" s="71">
      <c r="B2621" s="169" t="n"/>
      <c r="C2621" s="35" t="n"/>
      <c r="D2621" s="35" t="n"/>
      <c r="E2621" s="35" t="n"/>
      <c r="F2621" s="166" t="n"/>
      <c r="G2621" s="166">
        <f>IF(AND(E2621&lt;&gt;"",F2621&lt;&gt;""),E2621*F2621,"")</f>
      </c>
    </row>
    <row r="2622" ht="16.5" customHeight="1" s="71">
      <c r="B2622" s="169" t="n"/>
      <c r="C2622" s="35" t="n"/>
      <c r="D2622" s="35" t="n"/>
      <c r="E2622" s="35" t="n"/>
      <c r="F2622" s="166" t="n"/>
      <c r="G2622" s="166">
        <f>IF(AND(E2622&lt;&gt;"",F2622&lt;&gt;""),E2622*F2622,"")</f>
      </c>
    </row>
    <row r="2623" ht="16.5" customHeight="1" s="71">
      <c r="B2623" s="169" t="n"/>
      <c r="C2623" s="35" t="n"/>
      <c r="D2623" s="35" t="n"/>
      <c r="E2623" s="35" t="n"/>
      <c r="F2623" s="166" t="n"/>
      <c r="G2623" s="166">
        <f>IF(AND(E2623&lt;&gt;"",F2623&lt;&gt;""),E2623*F2623,"")</f>
      </c>
    </row>
    <row r="2624" ht="16.5" customHeight="1" s="71">
      <c r="B2624" s="169" t="n"/>
      <c r="C2624" s="35" t="n"/>
      <c r="D2624" s="35" t="n"/>
      <c r="E2624" s="35" t="n"/>
      <c r="F2624" s="166" t="n"/>
      <c r="G2624" s="166">
        <f>IF(AND(E2624&lt;&gt;"",F2624&lt;&gt;""),E2624*F2624,"")</f>
      </c>
    </row>
    <row r="2625" ht="16.5" customHeight="1" s="71">
      <c r="B2625" s="169" t="n"/>
      <c r="C2625" s="35" t="n"/>
      <c r="D2625" s="35" t="n"/>
      <c r="E2625" s="35" t="n"/>
      <c r="F2625" s="166" t="n"/>
      <c r="G2625" s="166">
        <f>IF(AND(E2625&lt;&gt;"",F2625&lt;&gt;""),E2625*F2625,"")</f>
      </c>
    </row>
    <row r="2626" ht="16.5" customHeight="1" s="71">
      <c r="B2626" s="169" t="n"/>
      <c r="C2626" s="35" t="n"/>
      <c r="D2626" s="35" t="n"/>
      <c r="E2626" s="35" t="n"/>
      <c r="F2626" s="166" t="n"/>
      <c r="G2626" s="166">
        <f>IF(AND(E2626&lt;&gt;"",F2626&lt;&gt;""),E2626*F2626,"")</f>
      </c>
    </row>
    <row r="2627" ht="16.5" customHeight="1" s="71">
      <c r="B2627" s="169" t="n"/>
      <c r="C2627" s="35" t="n"/>
      <c r="D2627" s="35" t="n"/>
      <c r="E2627" s="35" t="n"/>
      <c r="F2627" s="166" t="n"/>
      <c r="G2627" s="166">
        <f>IF(AND(E2627&lt;&gt;"",F2627&lt;&gt;""),E2627*F2627,"")</f>
      </c>
    </row>
    <row r="2628" ht="16.5" customHeight="1" s="71">
      <c r="B2628" s="169" t="n"/>
      <c r="C2628" s="35" t="n"/>
      <c r="D2628" s="35" t="n"/>
      <c r="E2628" s="35" t="n"/>
      <c r="F2628" s="166" t="n"/>
      <c r="G2628" s="166">
        <f>IF(AND(E2628&lt;&gt;"",F2628&lt;&gt;""),E2628*F2628,"")</f>
      </c>
    </row>
    <row r="2629" ht="16.5" customHeight="1" s="71">
      <c r="B2629" s="169" t="n"/>
      <c r="C2629" s="35" t="n"/>
      <c r="D2629" s="35" t="n"/>
      <c r="E2629" s="35" t="n"/>
      <c r="F2629" s="166" t="n"/>
      <c r="G2629" s="166">
        <f>IF(AND(E2629&lt;&gt;"",F2629&lt;&gt;""),E2629*F2629,"")</f>
      </c>
    </row>
    <row r="2630" ht="16.5" customHeight="1" s="71">
      <c r="B2630" s="169" t="n"/>
      <c r="C2630" s="35" t="n"/>
      <c r="D2630" s="35" t="n"/>
      <c r="E2630" s="35" t="n"/>
      <c r="F2630" s="166" t="n"/>
      <c r="G2630" s="166">
        <f>IF(AND(E2630&lt;&gt;"",F2630&lt;&gt;""),E2630*F2630,"")</f>
      </c>
    </row>
    <row r="2631" ht="16.5" customHeight="1" s="71">
      <c r="B2631" s="169" t="n"/>
      <c r="C2631" s="35" t="n"/>
      <c r="D2631" s="35" t="n"/>
      <c r="E2631" s="35" t="n"/>
      <c r="F2631" s="166" t="n"/>
      <c r="G2631" s="166">
        <f>IF(AND(E2631&lt;&gt;"",F2631&lt;&gt;""),E2631*F2631,"")</f>
      </c>
    </row>
    <row r="2632" ht="16.5" customHeight="1" s="71">
      <c r="B2632" s="169" t="n"/>
      <c r="C2632" s="35" t="n"/>
      <c r="D2632" s="35" t="n"/>
      <c r="E2632" s="35" t="n"/>
      <c r="F2632" s="166" t="n"/>
      <c r="G2632" s="166">
        <f>IF(AND(E2632&lt;&gt;"",F2632&lt;&gt;""),E2632*F2632,"")</f>
      </c>
    </row>
    <row r="2633" ht="16.5" customHeight="1" s="71">
      <c r="B2633" s="169" t="n"/>
      <c r="C2633" s="35" t="n"/>
      <c r="D2633" s="35" t="n"/>
      <c r="E2633" s="35" t="n"/>
      <c r="F2633" s="166" t="n"/>
      <c r="G2633" s="166">
        <f>IF(AND(E2633&lt;&gt;"",F2633&lt;&gt;""),E2633*F2633,"")</f>
      </c>
    </row>
    <row r="2634" ht="16.5" customHeight="1" s="71">
      <c r="B2634" s="169" t="n"/>
      <c r="C2634" s="35" t="n"/>
      <c r="D2634" s="35" t="n"/>
      <c r="E2634" s="35" t="n"/>
      <c r="F2634" s="166" t="n"/>
      <c r="G2634" s="166">
        <f>IF(AND(E2634&lt;&gt;"",F2634&lt;&gt;""),E2634*F2634,"")</f>
      </c>
    </row>
    <row r="2635" ht="16.5" customHeight="1" s="71">
      <c r="B2635" s="169" t="n"/>
      <c r="C2635" s="35" t="n"/>
      <c r="D2635" s="35" t="n"/>
      <c r="E2635" s="35" t="n"/>
      <c r="F2635" s="166" t="n"/>
      <c r="G2635" s="166">
        <f>IF(AND(E2635&lt;&gt;"",F2635&lt;&gt;""),E2635*F2635,"")</f>
      </c>
    </row>
    <row r="2636" ht="16.5" customHeight="1" s="71">
      <c r="B2636" s="169" t="n"/>
      <c r="C2636" s="35" t="n"/>
      <c r="D2636" s="35" t="n"/>
      <c r="E2636" s="35" t="n"/>
      <c r="F2636" s="166" t="n"/>
      <c r="G2636" s="166">
        <f>IF(AND(E2636&lt;&gt;"",F2636&lt;&gt;""),E2636*F2636,"")</f>
      </c>
    </row>
    <row r="2637" ht="16.5" customHeight="1" s="71">
      <c r="B2637" s="169" t="n"/>
      <c r="C2637" s="35" t="n"/>
      <c r="D2637" s="35" t="n"/>
      <c r="E2637" s="35" t="n"/>
      <c r="F2637" s="166" t="n"/>
      <c r="G2637" s="166">
        <f>IF(AND(E2637&lt;&gt;"",F2637&lt;&gt;""),E2637*F2637,"")</f>
      </c>
    </row>
    <row r="2638" ht="16.5" customHeight="1" s="71">
      <c r="B2638" s="169" t="n"/>
      <c r="C2638" s="35" t="n"/>
      <c r="D2638" s="35" t="n"/>
      <c r="E2638" s="35" t="n"/>
      <c r="F2638" s="166" t="n"/>
      <c r="G2638" s="166">
        <f>IF(AND(E2638&lt;&gt;"",F2638&lt;&gt;""),E2638*F2638,"")</f>
      </c>
    </row>
    <row r="2639" ht="16.5" customHeight="1" s="71">
      <c r="B2639" s="169" t="n"/>
      <c r="C2639" s="35" t="n"/>
      <c r="D2639" s="35" t="n"/>
      <c r="E2639" s="35" t="n"/>
      <c r="F2639" s="166" t="n"/>
      <c r="G2639" s="166">
        <f>IF(AND(E2639&lt;&gt;"",F2639&lt;&gt;""),E2639*F2639,"")</f>
      </c>
    </row>
    <row r="2640" ht="16.5" customHeight="1" s="71">
      <c r="B2640" s="169" t="n"/>
      <c r="C2640" s="35" t="n"/>
      <c r="D2640" s="35" t="n"/>
      <c r="E2640" s="35" t="n"/>
      <c r="F2640" s="166" t="n"/>
      <c r="G2640" s="166">
        <f>IF(AND(E2640&lt;&gt;"",F2640&lt;&gt;""),E2640*F2640,"")</f>
      </c>
    </row>
    <row r="2641" ht="16.5" customHeight="1" s="71">
      <c r="B2641" s="169" t="n"/>
      <c r="C2641" s="35" t="n"/>
      <c r="D2641" s="35" t="n"/>
      <c r="E2641" s="35" t="n"/>
      <c r="F2641" s="166" t="n"/>
      <c r="G2641" s="166">
        <f>IF(AND(E2641&lt;&gt;"",F2641&lt;&gt;""),E2641*F2641,"")</f>
      </c>
    </row>
    <row r="2642" ht="16.5" customHeight="1" s="71">
      <c r="B2642" s="169" t="n"/>
      <c r="C2642" s="35" t="n"/>
      <c r="D2642" s="35" t="n"/>
      <c r="E2642" s="35" t="n"/>
      <c r="F2642" s="166" t="n"/>
      <c r="G2642" s="166">
        <f>IF(AND(E2642&lt;&gt;"",F2642&lt;&gt;""),E2642*F2642,"")</f>
      </c>
    </row>
    <row r="2643" ht="16.5" customHeight="1" s="71">
      <c r="B2643" s="169" t="n"/>
      <c r="C2643" s="35" t="n"/>
      <c r="D2643" s="35" t="n"/>
      <c r="E2643" s="35" t="n"/>
      <c r="F2643" s="166" t="n"/>
      <c r="G2643" s="166">
        <f>IF(AND(E2643&lt;&gt;"",F2643&lt;&gt;""),E2643*F2643,"")</f>
      </c>
    </row>
    <row r="2644" ht="16.5" customHeight="1" s="71">
      <c r="B2644" s="169" t="n"/>
      <c r="C2644" s="35" t="n"/>
      <c r="D2644" s="35" t="n"/>
      <c r="E2644" s="35" t="n"/>
      <c r="F2644" s="166" t="n"/>
      <c r="G2644" s="166">
        <f>IF(AND(E2644&lt;&gt;"",F2644&lt;&gt;""),E2644*F2644,"")</f>
      </c>
    </row>
    <row r="2645" ht="16.5" customHeight="1" s="71">
      <c r="B2645" s="169" t="n"/>
      <c r="C2645" s="35" t="n"/>
      <c r="D2645" s="35" t="n"/>
      <c r="E2645" s="35" t="n"/>
      <c r="F2645" s="166" t="n"/>
      <c r="G2645" s="166">
        <f>IF(AND(E2645&lt;&gt;"",F2645&lt;&gt;""),E2645*F2645,"")</f>
      </c>
    </row>
    <row r="2646" ht="16.5" customHeight="1" s="71">
      <c r="B2646" s="169" t="n"/>
      <c r="C2646" s="35" t="n"/>
      <c r="D2646" s="35" t="n"/>
      <c r="E2646" s="35" t="n"/>
      <c r="F2646" s="166" t="n"/>
      <c r="G2646" s="166">
        <f>IF(AND(E2646&lt;&gt;"",F2646&lt;&gt;""),E2646*F2646,"")</f>
      </c>
    </row>
    <row r="2647" ht="16.5" customHeight="1" s="71">
      <c r="B2647" s="169" t="n"/>
      <c r="C2647" s="35" t="n"/>
      <c r="D2647" s="35" t="n"/>
      <c r="E2647" s="35" t="n"/>
      <c r="F2647" s="166" t="n"/>
      <c r="G2647" s="166">
        <f>IF(AND(E2647&lt;&gt;"",F2647&lt;&gt;""),E2647*F2647,"")</f>
      </c>
    </row>
    <row r="2648" ht="16.5" customHeight="1" s="71">
      <c r="B2648" s="169" t="n"/>
      <c r="C2648" s="35" t="n"/>
      <c r="D2648" s="35" t="n"/>
      <c r="E2648" s="35" t="n"/>
      <c r="F2648" s="166" t="n"/>
      <c r="G2648" s="166">
        <f>IF(AND(E2648&lt;&gt;"",F2648&lt;&gt;""),E2648*F2648,"")</f>
      </c>
    </row>
    <row r="2649" ht="16.5" customHeight="1" s="71">
      <c r="B2649" s="169" t="n"/>
      <c r="C2649" s="35" t="n"/>
      <c r="D2649" s="35" t="n"/>
      <c r="E2649" s="35" t="n"/>
      <c r="F2649" s="166" t="n"/>
      <c r="G2649" s="166">
        <f>IF(AND(E2649&lt;&gt;"",F2649&lt;&gt;""),E2649*F2649,"")</f>
      </c>
    </row>
    <row r="2650" ht="16.5" customHeight="1" s="71">
      <c r="B2650" s="169" t="n"/>
      <c r="C2650" s="35" t="n"/>
      <c r="D2650" s="35" t="n"/>
      <c r="E2650" s="35" t="n"/>
      <c r="F2650" s="166" t="n"/>
      <c r="G2650" s="166">
        <f>IF(AND(E2650&lt;&gt;"",F2650&lt;&gt;""),E2650*F2650,"")</f>
      </c>
    </row>
    <row r="2651" ht="16.5" customHeight="1" s="71">
      <c r="B2651" s="169" t="n"/>
      <c r="C2651" s="35" t="n"/>
      <c r="D2651" s="35" t="n"/>
      <c r="E2651" s="35" t="n"/>
      <c r="F2651" s="166" t="n"/>
      <c r="G2651" s="166">
        <f>IF(AND(E2651&lt;&gt;"",F2651&lt;&gt;""),E2651*F2651,"")</f>
      </c>
    </row>
    <row r="2652" ht="16.5" customHeight="1" s="71">
      <c r="B2652" s="169" t="n"/>
      <c r="C2652" s="35" t="n"/>
      <c r="D2652" s="35" t="n"/>
      <c r="E2652" s="35" t="n"/>
      <c r="F2652" s="166" t="n"/>
      <c r="G2652" s="166">
        <f>IF(AND(E2652&lt;&gt;"",F2652&lt;&gt;""),E2652*F2652,"")</f>
      </c>
    </row>
    <row r="2653" ht="16.5" customHeight="1" s="71">
      <c r="B2653" s="169" t="n"/>
      <c r="C2653" s="35" t="n"/>
      <c r="D2653" s="35" t="n"/>
      <c r="E2653" s="35" t="n"/>
      <c r="F2653" s="166" t="n"/>
      <c r="G2653" s="166">
        <f>IF(AND(E2653&lt;&gt;"",F2653&lt;&gt;""),E2653*F2653,"")</f>
      </c>
    </row>
    <row r="2654" ht="16.5" customHeight="1" s="71">
      <c r="B2654" s="169" t="n"/>
      <c r="C2654" s="35" t="n"/>
      <c r="D2654" s="35" t="n"/>
      <c r="E2654" s="35" t="n"/>
      <c r="F2654" s="166" t="n"/>
      <c r="G2654" s="166">
        <f>IF(AND(E2654&lt;&gt;"",F2654&lt;&gt;""),E2654*F2654,"")</f>
      </c>
    </row>
    <row r="2655" ht="16.5" customHeight="1" s="71">
      <c r="B2655" s="169" t="n"/>
      <c r="C2655" s="35" t="n"/>
      <c r="D2655" s="35" t="n"/>
      <c r="E2655" s="35" t="n"/>
      <c r="F2655" s="166" t="n"/>
      <c r="G2655" s="166">
        <f>IF(AND(E2655&lt;&gt;"",F2655&lt;&gt;""),E2655*F2655,"")</f>
      </c>
    </row>
    <row r="2656" ht="16.5" customHeight="1" s="71">
      <c r="B2656" s="169" t="n"/>
      <c r="C2656" s="35" t="n"/>
      <c r="D2656" s="35" t="n"/>
      <c r="E2656" s="35" t="n"/>
      <c r="F2656" s="166" t="n"/>
      <c r="G2656" s="166">
        <f>IF(AND(E2656&lt;&gt;"",F2656&lt;&gt;""),E2656*F2656,"")</f>
      </c>
    </row>
    <row r="2657" ht="16.5" customHeight="1" s="71">
      <c r="B2657" s="169" t="n"/>
      <c r="C2657" s="35" t="n"/>
      <c r="D2657" s="35" t="n"/>
      <c r="E2657" s="35" t="n"/>
      <c r="F2657" s="166" t="n"/>
      <c r="G2657" s="166">
        <f>IF(AND(E2657&lt;&gt;"",F2657&lt;&gt;""),E2657*F2657,"")</f>
      </c>
    </row>
    <row r="2658" ht="16.5" customHeight="1" s="71">
      <c r="B2658" s="169" t="n"/>
      <c r="C2658" s="35" t="n"/>
      <c r="D2658" s="35" t="n"/>
      <c r="E2658" s="35" t="n"/>
      <c r="F2658" s="166" t="n"/>
      <c r="G2658" s="166">
        <f>IF(AND(E2658&lt;&gt;"",F2658&lt;&gt;""),E2658*F2658,"")</f>
      </c>
    </row>
    <row r="2659" ht="16.5" customHeight="1" s="71">
      <c r="B2659" s="169" t="n"/>
      <c r="C2659" s="35" t="n"/>
      <c r="D2659" s="35" t="n"/>
      <c r="E2659" s="35" t="n"/>
      <c r="F2659" s="166" t="n"/>
      <c r="G2659" s="166">
        <f>IF(AND(E2659&lt;&gt;"",F2659&lt;&gt;""),E2659*F2659,"")</f>
      </c>
    </row>
    <row r="2660" ht="16.5" customHeight="1" s="71">
      <c r="B2660" s="169" t="n"/>
      <c r="C2660" s="35" t="n"/>
      <c r="D2660" s="35" t="n"/>
      <c r="E2660" s="35" t="n"/>
      <c r="F2660" s="166" t="n"/>
      <c r="G2660" s="166">
        <f>IF(AND(E2660&lt;&gt;"",F2660&lt;&gt;""),E2660*F2660,"")</f>
      </c>
    </row>
    <row r="2661" ht="16.5" customHeight="1" s="71">
      <c r="B2661" s="169" t="n"/>
      <c r="C2661" s="35" t="n"/>
      <c r="D2661" s="35" t="n"/>
      <c r="E2661" s="35" t="n"/>
      <c r="F2661" s="166" t="n"/>
      <c r="G2661" s="166">
        <f>IF(AND(E2661&lt;&gt;"",F2661&lt;&gt;""),E2661*F2661,"")</f>
      </c>
    </row>
    <row r="2662" ht="16.5" customHeight="1" s="71">
      <c r="B2662" s="169" t="n"/>
      <c r="C2662" s="35" t="n"/>
      <c r="D2662" s="35" t="n"/>
      <c r="E2662" s="35" t="n"/>
      <c r="F2662" s="166" t="n"/>
      <c r="G2662" s="166">
        <f>IF(AND(E2662&lt;&gt;"",F2662&lt;&gt;""),E2662*F2662,"")</f>
      </c>
    </row>
    <row r="2663" ht="16.5" customHeight="1" s="71">
      <c r="B2663" s="169" t="n"/>
      <c r="C2663" s="35" t="n"/>
      <c r="D2663" s="35" t="n"/>
      <c r="E2663" s="35" t="n"/>
      <c r="F2663" s="166" t="n"/>
      <c r="G2663" s="166">
        <f>IF(AND(E2663&lt;&gt;"",F2663&lt;&gt;""),E2663*F2663,"")</f>
      </c>
    </row>
    <row r="2664" ht="16.5" customHeight="1" s="71">
      <c r="B2664" s="169" t="n"/>
      <c r="C2664" s="35" t="n"/>
      <c r="D2664" s="35" t="n"/>
      <c r="E2664" s="35" t="n"/>
      <c r="F2664" s="166" t="n"/>
      <c r="G2664" s="166">
        <f>IF(AND(E2664&lt;&gt;"",F2664&lt;&gt;""),E2664*F2664,"")</f>
      </c>
    </row>
    <row r="2665" ht="16.5" customHeight="1" s="71">
      <c r="B2665" s="169" t="n"/>
      <c r="C2665" s="35" t="n"/>
      <c r="D2665" s="35" t="n"/>
      <c r="E2665" s="35" t="n"/>
      <c r="F2665" s="166" t="n"/>
      <c r="G2665" s="166">
        <f>IF(AND(E2665&lt;&gt;"",F2665&lt;&gt;""),E2665*F2665,"")</f>
      </c>
    </row>
    <row r="2666" ht="16.5" customHeight="1" s="71">
      <c r="B2666" s="169" t="n"/>
      <c r="C2666" s="35" t="n"/>
      <c r="D2666" s="35" t="n"/>
      <c r="E2666" s="35" t="n"/>
      <c r="F2666" s="166" t="n"/>
      <c r="G2666" s="166">
        <f>IF(AND(E2666&lt;&gt;"",F2666&lt;&gt;""),E2666*F2666,"")</f>
      </c>
    </row>
    <row r="2667" ht="16.5" customHeight="1" s="71">
      <c r="B2667" s="169" t="n"/>
      <c r="C2667" s="35" t="n"/>
      <c r="D2667" s="35" t="n"/>
      <c r="E2667" s="35" t="n"/>
      <c r="F2667" s="166" t="n"/>
      <c r="G2667" s="166">
        <f>IF(AND(E2667&lt;&gt;"",F2667&lt;&gt;""),E2667*F2667,"")</f>
      </c>
    </row>
    <row r="2668" ht="16.5" customHeight="1" s="71">
      <c r="B2668" s="169" t="n"/>
      <c r="C2668" s="35" t="n"/>
      <c r="D2668" s="35" t="n"/>
      <c r="E2668" s="35" t="n"/>
      <c r="F2668" s="166" t="n"/>
      <c r="G2668" s="166">
        <f>IF(AND(E2668&lt;&gt;"",F2668&lt;&gt;""),E2668*F2668,"")</f>
      </c>
    </row>
    <row r="2669" ht="16.5" customHeight="1" s="71">
      <c r="B2669" s="169" t="n"/>
      <c r="C2669" s="35" t="n"/>
      <c r="D2669" s="35" t="n"/>
      <c r="E2669" s="35" t="n"/>
      <c r="F2669" s="166" t="n"/>
      <c r="G2669" s="166">
        <f>IF(AND(E2669&lt;&gt;"",F2669&lt;&gt;""),E2669*F2669,"")</f>
      </c>
    </row>
    <row r="2670" ht="16.5" customHeight="1" s="71">
      <c r="B2670" s="169" t="n"/>
      <c r="C2670" s="35" t="n"/>
      <c r="D2670" s="35" t="n"/>
      <c r="E2670" s="35" t="n"/>
      <c r="F2670" s="166" t="n"/>
      <c r="G2670" s="166">
        <f>IF(AND(E2670&lt;&gt;"",F2670&lt;&gt;""),E2670*F2670,"")</f>
      </c>
    </row>
    <row r="2671" ht="16.5" customHeight="1" s="71">
      <c r="B2671" s="169" t="n"/>
      <c r="C2671" s="35" t="n"/>
      <c r="D2671" s="35" t="n"/>
      <c r="E2671" s="35" t="n"/>
      <c r="F2671" s="166" t="n"/>
      <c r="G2671" s="166">
        <f>IF(AND(E2671&lt;&gt;"",F2671&lt;&gt;""),E2671*F2671,"")</f>
      </c>
    </row>
    <row r="2672" ht="16.5" customHeight="1" s="71">
      <c r="B2672" s="169" t="n"/>
      <c r="C2672" s="35" t="n"/>
      <c r="D2672" s="35" t="n"/>
      <c r="E2672" s="35" t="n"/>
      <c r="F2672" s="166" t="n"/>
      <c r="G2672" s="166">
        <f>IF(AND(E2672&lt;&gt;"",F2672&lt;&gt;""),E2672*F2672,"")</f>
      </c>
    </row>
    <row r="2673" ht="16.5" customHeight="1" s="71">
      <c r="B2673" s="169" t="n"/>
      <c r="C2673" s="35" t="n"/>
      <c r="D2673" s="35" t="n"/>
      <c r="E2673" s="35" t="n"/>
      <c r="F2673" s="166" t="n"/>
      <c r="G2673" s="166">
        <f>IF(AND(E2673&lt;&gt;"",F2673&lt;&gt;""),E2673*F2673,"")</f>
      </c>
    </row>
    <row r="2674" ht="16.5" customHeight="1" s="71">
      <c r="B2674" s="169" t="n"/>
      <c r="C2674" s="35" t="n"/>
      <c r="D2674" s="35" t="n"/>
      <c r="E2674" s="35" t="n"/>
      <c r="F2674" s="166" t="n"/>
      <c r="G2674" s="166">
        <f>IF(AND(E2674&lt;&gt;"",F2674&lt;&gt;""),E2674*F2674,"")</f>
      </c>
    </row>
    <row r="2675" ht="16.5" customHeight="1" s="71">
      <c r="B2675" s="169" t="n"/>
      <c r="C2675" s="35" t="n"/>
      <c r="D2675" s="35" t="n"/>
      <c r="E2675" s="35" t="n"/>
      <c r="F2675" s="166" t="n"/>
      <c r="G2675" s="166">
        <f>IF(AND(E2675&lt;&gt;"",F2675&lt;&gt;""),E2675*F2675,"")</f>
      </c>
    </row>
    <row r="2676" ht="16.5" customHeight="1" s="71">
      <c r="B2676" s="169" t="n"/>
      <c r="C2676" s="35" t="n"/>
      <c r="D2676" s="35" t="n"/>
      <c r="E2676" s="35" t="n"/>
      <c r="F2676" s="166" t="n"/>
      <c r="G2676" s="166">
        <f>IF(AND(E2676&lt;&gt;"",F2676&lt;&gt;""),E2676*F2676,"")</f>
      </c>
    </row>
    <row r="2677" ht="16.5" customHeight="1" s="71">
      <c r="B2677" s="169" t="n"/>
      <c r="C2677" s="35" t="n"/>
      <c r="D2677" s="35" t="n"/>
      <c r="E2677" s="35" t="n"/>
      <c r="F2677" s="166" t="n"/>
      <c r="G2677" s="166">
        <f>IF(AND(E2677&lt;&gt;"",F2677&lt;&gt;""),E2677*F2677,"")</f>
      </c>
    </row>
    <row r="2678" ht="16.5" customHeight="1" s="71">
      <c r="B2678" s="169" t="n"/>
      <c r="C2678" s="35" t="n"/>
      <c r="D2678" s="35" t="n"/>
      <c r="E2678" s="35" t="n"/>
      <c r="F2678" s="166" t="n"/>
      <c r="G2678" s="166">
        <f>IF(AND(E2678&lt;&gt;"",F2678&lt;&gt;""),E2678*F2678,"")</f>
      </c>
    </row>
    <row r="2679" ht="16.5" customHeight="1" s="71">
      <c r="B2679" s="169" t="n"/>
      <c r="C2679" s="35" t="n"/>
      <c r="D2679" s="35" t="n"/>
      <c r="E2679" s="35" t="n"/>
      <c r="F2679" s="166" t="n"/>
      <c r="G2679" s="166">
        <f>IF(AND(E2679&lt;&gt;"",F2679&lt;&gt;""),E2679*F2679,"")</f>
      </c>
    </row>
    <row r="2680" ht="16.5" customHeight="1" s="71">
      <c r="B2680" s="169" t="n"/>
      <c r="C2680" s="35" t="n"/>
      <c r="D2680" s="35" t="n"/>
      <c r="E2680" s="35" t="n"/>
      <c r="F2680" s="166" t="n"/>
      <c r="G2680" s="166">
        <f>IF(AND(E2680&lt;&gt;"",F2680&lt;&gt;""),E2680*F2680,"")</f>
      </c>
    </row>
    <row r="2681" ht="16.5" customHeight="1" s="71">
      <c r="B2681" s="169" t="n"/>
      <c r="C2681" s="35" t="n"/>
      <c r="D2681" s="35" t="n"/>
      <c r="E2681" s="35" t="n"/>
      <c r="F2681" s="166" t="n"/>
      <c r="G2681" s="166">
        <f>IF(AND(E2681&lt;&gt;"",F2681&lt;&gt;""),E2681*F2681,"")</f>
      </c>
    </row>
    <row r="2682" ht="16.5" customHeight="1" s="71">
      <c r="B2682" s="169" t="n"/>
      <c r="C2682" s="35" t="n"/>
      <c r="D2682" s="35" t="n"/>
      <c r="E2682" s="35" t="n"/>
      <c r="F2682" s="166" t="n"/>
      <c r="G2682" s="166">
        <f>IF(AND(E2682&lt;&gt;"",F2682&lt;&gt;""),E2682*F2682,"")</f>
      </c>
    </row>
    <row r="2683" ht="16.5" customHeight="1" s="71">
      <c r="B2683" s="169" t="n"/>
      <c r="C2683" s="35" t="n"/>
      <c r="D2683" s="35" t="n"/>
      <c r="E2683" s="35" t="n"/>
      <c r="F2683" s="166" t="n"/>
      <c r="G2683" s="166">
        <f>IF(AND(E2683&lt;&gt;"",F2683&lt;&gt;""),E2683*F2683,"")</f>
      </c>
    </row>
    <row r="2684" ht="16.5" customHeight="1" s="71">
      <c r="B2684" s="169" t="n"/>
      <c r="C2684" s="35" t="n"/>
      <c r="D2684" s="35" t="n"/>
      <c r="E2684" s="35" t="n"/>
      <c r="F2684" s="166" t="n"/>
      <c r="G2684" s="166">
        <f>IF(AND(E2684&lt;&gt;"",F2684&lt;&gt;""),E2684*F2684,"")</f>
      </c>
    </row>
    <row r="2685" ht="16.5" customHeight="1" s="71">
      <c r="B2685" s="169" t="n"/>
      <c r="C2685" s="35" t="n"/>
      <c r="D2685" s="35" t="n"/>
      <c r="E2685" s="35" t="n"/>
      <c r="F2685" s="166" t="n"/>
      <c r="G2685" s="166">
        <f>IF(AND(E2685&lt;&gt;"",F2685&lt;&gt;""),E2685*F2685,"")</f>
      </c>
    </row>
    <row r="2686" ht="16.5" customHeight="1" s="71">
      <c r="B2686" s="169" t="n"/>
      <c r="C2686" s="35" t="n"/>
      <c r="D2686" s="35" t="n"/>
      <c r="E2686" s="35" t="n"/>
      <c r="F2686" s="166" t="n"/>
      <c r="G2686" s="166">
        <f>IF(AND(E2686&lt;&gt;"",F2686&lt;&gt;""),E2686*F2686,"")</f>
      </c>
    </row>
    <row r="2687" ht="16.5" customHeight="1" s="71">
      <c r="B2687" s="169" t="n"/>
      <c r="C2687" s="35" t="n"/>
      <c r="D2687" s="35" t="n"/>
      <c r="E2687" s="35" t="n"/>
      <c r="F2687" s="166" t="n"/>
      <c r="G2687" s="166">
        <f>IF(AND(E2687&lt;&gt;"",F2687&lt;&gt;""),E2687*F2687,"")</f>
      </c>
    </row>
    <row r="2688" ht="16.5" customHeight="1" s="71">
      <c r="B2688" s="169" t="n"/>
      <c r="C2688" s="35" t="n"/>
      <c r="D2688" s="35" t="n"/>
      <c r="E2688" s="35" t="n"/>
      <c r="F2688" s="166" t="n"/>
      <c r="G2688" s="166">
        <f>IF(AND(E2688&lt;&gt;"",F2688&lt;&gt;""),E2688*F2688,"")</f>
      </c>
    </row>
    <row r="2689" ht="16.5" customHeight="1" s="71">
      <c r="B2689" s="169" t="n"/>
      <c r="C2689" s="35" t="n"/>
      <c r="D2689" s="35" t="n"/>
      <c r="E2689" s="35" t="n"/>
      <c r="F2689" s="166" t="n"/>
      <c r="G2689" s="166">
        <f>IF(AND(E2689&lt;&gt;"",F2689&lt;&gt;""),E2689*F2689,"")</f>
      </c>
    </row>
    <row r="2690" ht="16.5" customHeight="1" s="71">
      <c r="B2690" s="169" t="n"/>
      <c r="C2690" s="35" t="n"/>
      <c r="D2690" s="35" t="n"/>
      <c r="E2690" s="35" t="n"/>
      <c r="F2690" s="166" t="n"/>
      <c r="G2690" s="166">
        <f>IF(AND(E2690&lt;&gt;"",F2690&lt;&gt;""),E2690*F2690,"")</f>
      </c>
    </row>
    <row r="2691" ht="16.5" customHeight="1" s="71">
      <c r="B2691" s="169" t="n"/>
      <c r="C2691" s="35" t="n"/>
      <c r="D2691" s="35" t="n"/>
      <c r="E2691" s="35" t="n"/>
      <c r="F2691" s="166" t="n"/>
      <c r="G2691" s="166">
        <f>IF(AND(E2691&lt;&gt;"",F2691&lt;&gt;""),E2691*F2691,"")</f>
      </c>
    </row>
    <row r="2692" ht="16.5" customHeight="1" s="71">
      <c r="B2692" s="169" t="n"/>
      <c r="C2692" s="35" t="n"/>
      <c r="D2692" s="35" t="n"/>
      <c r="E2692" s="35" t="n"/>
      <c r="F2692" s="166" t="n"/>
      <c r="G2692" s="166">
        <f>IF(AND(E2692&lt;&gt;"",F2692&lt;&gt;""),E2692*F2692,"")</f>
      </c>
    </row>
    <row r="2693" ht="16.5" customHeight="1" s="71">
      <c r="B2693" s="169" t="n"/>
      <c r="C2693" s="35" t="n"/>
      <c r="D2693" s="35" t="n"/>
      <c r="E2693" s="35" t="n"/>
      <c r="F2693" s="166" t="n"/>
      <c r="G2693" s="166">
        <f>IF(AND(E2693&lt;&gt;"",F2693&lt;&gt;""),E2693*F2693,"")</f>
      </c>
    </row>
    <row r="2694" ht="16.5" customHeight="1" s="71">
      <c r="B2694" s="169" t="n"/>
      <c r="C2694" s="35" t="n"/>
      <c r="D2694" s="35" t="n"/>
      <c r="E2694" s="35" t="n"/>
      <c r="F2694" s="166" t="n"/>
      <c r="G2694" s="166">
        <f>IF(AND(E2694&lt;&gt;"",F2694&lt;&gt;""),E2694*F2694,"")</f>
      </c>
    </row>
    <row r="2695" ht="16.5" customHeight="1" s="71">
      <c r="B2695" s="169" t="n"/>
      <c r="C2695" s="35" t="n"/>
      <c r="D2695" s="35" t="n"/>
      <c r="E2695" s="35" t="n"/>
      <c r="F2695" s="166" t="n"/>
      <c r="G2695" s="166">
        <f>IF(AND(E2695&lt;&gt;"",F2695&lt;&gt;""),E2695*F2695,"")</f>
      </c>
    </row>
    <row r="2696" ht="16.5" customHeight="1" s="71">
      <c r="B2696" s="169" t="n"/>
      <c r="C2696" s="35" t="n"/>
      <c r="D2696" s="35" t="n"/>
      <c r="E2696" s="35" t="n"/>
      <c r="F2696" s="166" t="n"/>
      <c r="G2696" s="166">
        <f>IF(AND(E2696&lt;&gt;"",F2696&lt;&gt;""),E2696*F2696,"")</f>
      </c>
    </row>
    <row r="2697" ht="16.5" customHeight="1" s="71">
      <c r="B2697" s="169" t="n"/>
      <c r="C2697" s="35" t="n"/>
      <c r="D2697" s="35" t="n"/>
      <c r="E2697" s="35" t="n"/>
      <c r="F2697" s="166" t="n"/>
      <c r="G2697" s="166">
        <f>IF(AND(E2697&lt;&gt;"",F2697&lt;&gt;""),E2697*F2697,"")</f>
      </c>
    </row>
    <row r="2698" ht="16.5" customHeight="1" s="71">
      <c r="B2698" s="169" t="n"/>
      <c r="C2698" s="35" t="n"/>
      <c r="D2698" s="35" t="n"/>
      <c r="E2698" s="35" t="n"/>
      <c r="F2698" s="166" t="n"/>
      <c r="G2698" s="166">
        <f>IF(AND(E2698&lt;&gt;"",F2698&lt;&gt;""),E2698*F2698,"")</f>
      </c>
    </row>
    <row r="2699" ht="16.5" customHeight="1" s="71">
      <c r="B2699" s="169" t="n"/>
      <c r="C2699" s="35" t="n"/>
      <c r="D2699" s="35" t="n"/>
      <c r="E2699" s="35" t="n"/>
      <c r="F2699" s="166" t="n"/>
      <c r="G2699" s="166">
        <f>IF(AND(E2699&lt;&gt;"",F2699&lt;&gt;""),E2699*F2699,"")</f>
      </c>
    </row>
    <row r="2700" ht="16.5" customHeight="1" s="71">
      <c r="B2700" s="169" t="n"/>
      <c r="C2700" s="35" t="n"/>
      <c r="D2700" s="35" t="n"/>
      <c r="E2700" s="35" t="n"/>
      <c r="F2700" s="166" t="n"/>
      <c r="G2700" s="166">
        <f>IF(AND(E2700&lt;&gt;"",F2700&lt;&gt;""),E2700*F2700,"")</f>
      </c>
    </row>
    <row r="2701" ht="16.5" customHeight="1" s="71">
      <c r="B2701" s="169" t="n"/>
      <c r="C2701" s="35" t="n"/>
      <c r="D2701" s="35" t="n"/>
      <c r="E2701" s="35" t="n"/>
      <c r="F2701" s="166" t="n"/>
      <c r="G2701" s="166">
        <f>IF(AND(E2701&lt;&gt;"",F2701&lt;&gt;""),E2701*F2701,"")</f>
      </c>
    </row>
    <row r="2702" ht="16.5" customHeight="1" s="71">
      <c r="B2702" s="169" t="n"/>
      <c r="C2702" s="35" t="n"/>
      <c r="D2702" s="35" t="n"/>
      <c r="E2702" s="35" t="n"/>
      <c r="F2702" s="166" t="n"/>
      <c r="G2702" s="166">
        <f>IF(AND(E2702&lt;&gt;"",F2702&lt;&gt;""),E2702*F2702,"")</f>
      </c>
    </row>
    <row r="2703" ht="16.5" customHeight="1" s="71">
      <c r="B2703" s="169" t="n"/>
      <c r="C2703" s="35" t="n"/>
      <c r="D2703" s="35" t="n"/>
      <c r="E2703" s="35" t="n"/>
      <c r="F2703" s="166" t="n"/>
      <c r="G2703" s="166">
        <f>IF(AND(E2703&lt;&gt;"",F2703&lt;&gt;""),E2703*F2703,"")</f>
      </c>
    </row>
    <row r="2704" ht="16.5" customHeight="1" s="71">
      <c r="B2704" s="169" t="n"/>
      <c r="C2704" s="35" t="n"/>
      <c r="D2704" s="35" t="n"/>
      <c r="E2704" s="35" t="n"/>
      <c r="F2704" s="166" t="n"/>
      <c r="G2704" s="166">
        <f>IF(AND(E2704&lt;&gt;"",F2704&lt;&gt;""),E2704*F2704,"")</f>
      </c>
    </row>
    <row r="2705" ht="16.5" customHeight="1" s="71">
      <c r="B2705" s="169" t="n"/>
      <c r="C2705" s="35" t="n"/>
      <c r="D2705" s="35" t="n"/>
      <c r="E2705" s="35" t="n"/>
      <c r="F2705" s="166" t="n"/>
      <c r="G2705" s="166">
        <f>IF(AND(E2705&lt;&gt;"",F2705&lt;&gt;""),E2705*F2705,"")</f>
      </c>
    </row>
    <row r="2706" ht="16.5" customHeight="1" s="71">
      <c r="B2706" s="169" t="n"/>
      <c r="C2706" s="35" t="n"/>
      <c r="D2706" s="35" t="n"/>
      <c r="E2706" s="35" t="n"/>
      <c r="F2706" s="166" t="n"/>
      <c r="G2706" s="166">
        <f>IF(AND(E2706&lt;&gt;"",F2706&lt;&gt;""),E2706*F2706,"")</f>
      </c>
    </row>
    <row r="2707" ht="16.5" customHeight="1" s="71">
      <c r="B2707" s="169" t="n"/>
      <c r="C2707" s="35" t="n"/>
      <c r="D2707" s="35" t="n"/>
      <c r="E2707" s="35" t="n"/>
      <c r="F2707" s="166" t="n"/>
      <c r="G2707" s="166">
        <f>IF(AND(E2707&lt;&gt;"",F2707&lt;&gt;""),E2707*F2707,"")</f>
      </c>
    </row>
    <row r="2708" ht="16.5" customHeight="1" s="71">
      <c r="B2708" s="169" t="n"/>
      <c r="C2708" s="35" t="n"/>
      <c r="D2708" s="35" t="n"/>
      <c r="E2708" s="35" t="n"/>
      <c r="F2708" s="166" t="n"/>
      <c r="G2708" s="166">
        <f>IF(AND(E2708&lt;&gt;"",F2708&lt;&gt;""),E2708*F2708,"")</f>
      </c>
    </row>
    <row r="2709" ht="16.5" customHeight="1" s="71">
      <c r="B2709" s="169" t="n"/>
      <c r="C2709" s="35" t="n"/>
      <c r="D2709" s="35" t="n"/>
      <c r="E2709" s="35" t="n"/>
      <c r="F2709" s="166" t="n"/>
      <c r="G2709" s="166">
        <f>IF(AND(E2709&lt;&gt;"",F2709&lt;&gt;""),E2709*F2709,"")</f>
      </c>
    </row>
    <row r="2710" ht="16.5" customHeight="1" s="71">
      <c r="B2710" s="169" t="n"/>
      <c r="C2710" s="35" t="n"/>
      <c r="D2710" s="35" t="n"/>
      <c r="E2710" s="35" t="n"/>
      <c r="F2710" s="166" t="n"/>
      <c r="G2710" s="166">
        <f>IF(AND(E2710&lt;&gt;"",F2710&lt;&gt;""),E2710*F2710,"")</f>
      </c>
    </row>
    <row r="2711" ht="16.5" customHeight="1" s="71">
      <c r="B2711" s="169" t="n"/>
      <c r="C2711" s="35" t="n"/>
      <c r="D2711" s="35" t="n"/>
      <c r="E2711" s="35" t="n"/>
      <c r="F2711" s="166" t="n"/>
      <c r="G2711" s="166">
        <f>IF(AND(E2711&lt;&gt;"",F2711&lt;&gt;""),E2711*F2711,"")</f>
      </c>
    </row>
    <row r="2712" ht="16.5" customHeight="1" s="71">
      <c r="B2712" s="169" t="n"/>
      <c r="C2712" s="35" t="n"/>
      <c r="D2712" s="35" t="n"/>
      <c r="E2712" s="35" t="n"/>
      <c r="F2712" s="166" t="n"/>
      <c r="G2712" s="166">
        <f>IF(AND(E2712&lt;&gt;"",F2712&lt;&gt;""),E2712*F2712,"")</f>
      </c>
    </row>
    <row r="2713" ht="16.5" customHeight="1" s="71">
      <c r="B2713" s="169" t="n"/>
      <c r="C2713" s="35" t="n"/>
      <c r="D2713" s="35" t="n"/>
      <c r="E2713" s="35" t="n"/>
      <c r="F2713" s="166" t="n"/>
      <c r="G2713" s="166">
        <f>IF(AND(E2713&lt;&gt;"",F2713&lt;&gt;""),E2713*F2713,"")</f>
      </c>
    </row>
    <row r="2714" ht="16.5" customHeight="1" s="71">
      <c r="B2714" s="169" t="n"/>
      <c r="C2714" s="35" t="n"/>
      <c r="D2714" s="35" t="n"/>
      <c r="E2714" s="35" t="n"/>
      <c r="F2714" s="166" t="n"/>
      <c r="G2714" s="166">
        <f>IF(AND(E2714&lt;&gt;"",F2714&lt;&gt;""),E2714*F2714,"")</f>
      </c>
    </row>
    <row r="2715" ht="16.5" customHeight="1" s="71">
      <c r="B2715" s="169" t="n"/>
      <c r="C2715" s="35" t="n"/>
      <c r="D2715" s="35" t="n"/>
      <c r="E2715" s="35" t="n"/>
      <c r="F2715" s="166" t="n"/>
      <c r="G2715" s="166">
        <f>IF(AND(E2715&lt;&gt;"",F2715&lt;&gt;""),E2715*F2715,"")</f>
      </c>
    </row>
    <row r="2716" ht="16.5" customHeight="1" s="71">
      <c r="B2716" s="169" t="n"/>
      <c r="C2716" s="35" t="n"/>
      <c r="D2716" s="35" t="n"/>
      <c r="E2716" s="35" t="n"/>
      <c r="F2716" s="166" t="n"/>
      <c r="G2716" s="166">
        <f>IF(AND(E2716&lt;&gt;"",F2716&lt;&gt;""),E2716*F2716,"")</f>
      </c>
    </row>
    <row r="2717" ht="16.5" customHeight="1" s="71">
      <c r="B2717" s="169" t="n"/>
      <c r="C2717" s="35" t="n"/>
      <c r="D2717" s="35" t="n"/>
      <c r="E2717" s="35" t="n"/>
      <c r="F2717" s="166" t="n"/>
      <c r="G2717" s="166">
        <f>IF(AND(E2717&lt;&gt;"",F2717&lt;&gt;""),E2717*F2717,"")</f>
      </c>
    </row>
    <row r="2718" ht="16.5" customHeight="1" s="71">
      <c r="B2718" s="169" t="n"/>
      <c r="C2718" s="35" t="n"/>
      <c r="D2718" s="35" t="n"/>
      <c r="E2718" s="35" t="n"/>
      <c r="F2718" s="166" t="n"/>
      <c r="G2718" s="166">
        <f>IF(AND(E2718&lt;&gt;"",F2718&lt;&gt;""),E2718*F2718,"")</f>
      </c>
    </row>
    <row r="2719" ht="16.5" customHeight="1" s="71">
      <c r="B2719" s="169" t="n"/>
      <c r="C2719" s="35" t="n"/>
      <c r="D2719" s="35" t="n"/>
      <c r="E2719" s="35" t="n"/>
      <c r="F2719" s="166" t="n"/>
      <c r="G2719" s="166">
        <f>IF(AND(E2719&lt;&gt;"",F2719&lt;&gt;""),E2719*F2719,"")</f>
      </c>
    </row>
    <row r="2720" ht="16.5" customHeight="1" s="71">
      <c r="B2720" s="169" t="n"/>
      <c r="C2720" s="35" t="n"/>
      <c r="D2720" s="35" t="n"/>
      <c r="E2720" s="35" t="n"/>
      <c r="F2720" s="166" t="n"/>
      <c r="G2720" s="166">
        <f>IF(AND(E2720&lt;&gt;"",F2720&lt;&gt;""),E2720*F2720,"")</f>
      </c>
    </row>
    <row r="2721" ht="16.5" customHeight="1" s="71">
      <c r="B2721" s="169" t="n"/>
      <c r="C2721" s="35" t="n"/>
      <c r="D2721" s="35" t="n"/>
      <c r="E2721" s="35" t="n"/>
      <c r="F2721" s="166" t="n"/>
      <c r="G2721" s="166">
        <f>IF(AND(E2721&lt;&gt;"",F2721&lt;&gt;""),E2721*F2721,"")</f>
      </c>
    </row>
    <row r="2722" ht="16.5" customHeight="1" s="71">
      <c r="B2722" s="169" t="n"/>
      <c r="C2722" s="35" t="n"/>
      <c r="D2722" s="35" t="n"/>
      <c r="E2722" s="35" t="n"/>
      <c r="F2722" s="166" t="n"/>
      <c r="G2722" s="166">
        <f>IF(AND(E2722&lt;&gt;"",F2722&lt;&gt;""),E2722*F2722,"")</f>
      </c>
    </row>
    <row r="2723" ht="16.5" customHeight="1" s="71">
      <c r="B2723" s="169" t="n"/>
      <c r="C2723" s="35" t="n"/>
      <c r="D2723" s="35" t="n"/>
      <c r="E2723" s="35" t="n"/>
      <c r="F2723" s="166" t="n"/>
      <c r="G2723" s="166">
        <f>IF(AND(E2723&lt;&gt;"",F2723&lt;&gt;""),E2723*F2723,"")</f>
      </c>
    </row>
    <row r="2724" ht="16.5" customHeight="1" s="71">
      <c r="B2724" s="169" t="n"/>
      <c r="C2724" s="35" t="n"/>
      <c r="D2724" s="35" t="n"/>
      <c r="E2724" s="35" t="n"/>
      <c r="F2724" s="166" t="n"/>
      <c r="G2724" s="166">
        <f>IF(AND(E2724&lt;&gt;"",F2724&lt;&gt;""),E2724*F2724,"")</f>
      </c>
    </row>
    <row r="2725" ht="16.5" customHeight="1" s="71">
      <c r="B2725" s="169" t="n"/>
      <c r="C2725" s="35" t="n"/>
      <c r="D2725" s="35" t="n"/>
      <c r="E2725" s="35" t="n"/>
      <c r="F2725" s="166" t="n"/>
      <c r="G2725" s="166">
        <f>IF(AND(E2725&lt;&gt;"",F2725&lt;&gt;""),E2725*F2725,"")</f>
      </c>
    </row>
    <row r="2726" ht="16.5" customHeight="1" s="71">
      <c r="B2726" s="169" t="n"/>
      <c r="C2726" s="35" t="n"/>
      <c r="D2726" s="35" t="n"/>
      <c r="E2726" s="35" t="n"/>
      <c r="F2726" s="166" t="n"/>
      <c r="G2726" s="166">
        <f>IF(AND(E2726&lt;&gt;"",F2726&lt;&gt;""),E2726*F2726,"")</f>
      </c>
    </row>
    <row r="2727" ht="16.5" customHeight="1" s="71">
      <c r="B2727" s="169" t="n"/>
      <c r="C2727" s="35" t="n"/>
      <c r="D2727" s="35" t="n"/>
      <c r="E2727" s="35" t="n"/>
      <c r="F2727" s="166" t="n"/>
      <c r="G2727" s="166">
        <f>IF(AND(E2727&lt;&gt;"",F2727&lt;&gt;""),E2727*F2727,"")</f>
      </c>
    </row>
    <row r="2728" ht="16.5" customHeight="1" s="71">
      <c r="B2728" s="169" t="n"/>
      <c r="C2728" s="35" t="n"/>
      <c r="D2728" s="35" t="n"/>
      <c r="E2728" s="35" t="n"/>
      <c r="F2728" s="166" t="n"/>
      <c r="G2728" s="166">
        <f>IF(AND(E2728&lt;&gt;"",F2728&lt;&gt;""),E2728*F2728,"")</f>
      </c>
    </row>
    <row r="2729" ht="16.5" customHeight="1" s="71">
      <c r="B2729" s="169" t="n"/>
      <c r="C2729" s="35" t="n"/>
      <c r="D2729" s="35" t="n"/>
      <c r="E2729" s="35" t="n"/>
      <c r="F2729" s="166" t="n"/>
      <c r="G2729" s="166">
        <f>IF(AND(E2729&lt;&gt;"",F2729&lt;&gt;""),E2729*F2729,"")</f>
      </c>
    </row>
    <row r="2730" ht="16.5" customHeight="1" s="71">
      <c r="B2730" s="169" t="n"/>
      <c r="C2730" s="35" t="n"/>
      <c r="D2730" s="35" t="n"/>
      <c r="E2730" s="35" t="n"/>
      <c r="F2730" s="166" t="n"/>
      <c r="G2730" s="166">
        <f>IF(AND(E2730&lt;&gt;"",F2730&lt;&gt;""),E2730*F2730,"")</f>
      </c>
    </row>
    <row r="2731" ht="16.5" customHeight="1" s="71">
      <c r="B2731" s="169" t="n"/>
      <c r="C2731" s="35" t="n"/>
      <c r="D2731" s="35" t="n"/>
      <c r="E2731" s="35" t="n"/>
      <c r="F2731" s="166" t="n"/>
      <c r="G2731" s="166">
        <f>IF(AND(E2731&lt;&gt;"",F2731&lt;&gt;""),E2731*F2731,"")</f>
      </c>
    </row>
    <row r="2732" ht="16.5" customHeight="1" s="71">
      <c r="B2732" s="169" t="n"/>
      <c r="C2732" s="35" t="n"/>
      <c r="D2732" s="35" t="n"/>
      <c r="E2732" s="35" t="n"/>
      <c r="F2732" s="166" t="n"/>
      <c r="G2732" s="166">
        <f>IF(AND(E2732&lt;&gt;"",F2732&lt;&gt;""),E2732*F2732,"")</f>
      </c>
    </row>
    <row r="2733" ht="16.5" customHeight="1" s="71">
      <c r="B2733" s="169" t="n"/>
      <c r="C2733" s="35" t="n"/>
      <c r="D2733" s="35" t="n"/>
      <c r="E2733" s="35" t="n"/>
      <c r="F2733" s="166" t="n"/>
      <c r="G2733" s="166">
        <f>IF(AND(E2733&lt;&gt;"",F2733&lt;&gt;""),E2733*F2733,"")</f>
      </c>
    </row>
    <row r="2734" ht="16.5" customHeight="1" s="71">
      <c r="B2734" s="169" t="n"/>
      <c r="C2734" s="35" t="n"/>
      <c r="D2734" s="35" t="n"/>
      <c r="E2734" s="35" t="n"/>
      <c r="F2734" s="166" t="n"/>
      <c r="G2734" s="166">
        <f>IF(AND(E2734&lt;&gt;"",F2734&lt;&gt;""),E2734*F2734,"")</f>
      </c>
    </row>
    <row r="2735" ht="16.5" customHeight="1" s="71">
      <c r="B2735" s="169" t="n"/>
      <c r="C2735" s="35" t="n"/>
      <c r="D2735" s="35" t="n"/>
      <c r="E2735" s="35" t="n"/>
      <c r="F2735" s="166" t="n"/>
      <c r="G2735" s="166">
        <f>IF(AND(E2735&lt;&gt;"",F2735&lt;&gt;""),E2735*F2735,"")</f>
      </c>
    </row>
    <row r="2736" ht="16.5" customHeight="1" s="71">
      <c r="B2736" s="169" t="n"/>
      <c r="C2736" s="35" t="n"/>
      <c r="D2736" s="35" t="n"/>
      <c r="E2736" s="35" t="n"/>
      <c r="F2736" s="166" t="n"/>
      <c r="G2736" s="166">
        <f>IF(AND(E2736&lt;&gt;"",F2736&lt;&gt;""),E2736*F2736,"")</f>
      </c>
    </row>
    <row r="2737" ht="16.5" customHeight="1" s="71">
      <c r="B2737" s="169" t="n"/>
      <c r="C2737" s="35" t="n"/>
      <c r="D2737" s="35" t="n"/>
      <c r="E2737" s="35" t="n"/>
      <c r="F2737" s="166" t="n"/>
      <c r="G2737" s="166">
        <f>IF(AND(E2737&lt;&gt;"",F2737&lt;&gt;""),E2737*F2737,"")</f>
      </c>
    </row>
    <row r="2738" ht="16.5" customHeight="1" s="71">
      <c r="B2738" s="169" t="n"/>
      <c r="C2738" s="35" t="n"/>
      <c r="D2738" s="35" t="n"/>
      <c r="E2738" s="35" t="n"/>
      <c r="F2738" s="166" t="n"/>
      <c r="G2738" s="166">
        <f>IF(AND(E2738&lt;&gt;"",F2738&lt;&gt;""),E2738*F2738,"")</f>
      </c>
    </row>
    <row r="2739" ht="16.5" customHeight="1" s="71">
      <c r="B2739" s="169" t="n"/>
      <c r="C2739" s="35" t="n"/>
      <c r="D2739" s="35" t="n"/>
      <c r="E2739" s="35" t="n"/>
      <c r="F2739" s="166" t="n"/>
      <c r="G2739" s="166">
        <f>IF(AND(E2739&lt;&gt;"",F2739&lt;&gt;""),E2739*F2739,"")</f>
      </c>
    </row>
    <row r="2740" ht="16.5" customHeight="1" s="71">
      <c r="B2740" s="169" t="n"/>
      <c r="C2740" s="35" t="n"/>
      <c r="D2740" s="35" t="n"/>
      <c r="E2740" s="35" t="n"/>
      <c r="F2740" s="166" t="n"/>
      <c r="G2740" s="166">
        <f>IF(AND(E2740&lt;&gt;"",F2740&lt;&gt;""),E2740*F2740,"")</f>
      </c>
    </row>
    <row r="2741" ht="16.5" customHeight="1" s="71">
      <c r="B2741" s="169" t="n"/>
      <c r="C2741" s="35" t="n"/>
      <c r="D2741" s="35" t="n"/>
      <c r="E2741" s="35" t="n"/>
      <c r="F2741" s="166" t="n"/>
      <c r="G2741" s="166">
        <f>IF(AND(E2741&lt;&gt;"",F2741&lt;&gt;""),E2741*F2741,"")</f>
      </c>
    </row>
    <row r="2742" ht="16.5" customHeight="1" s="71">
      <c r="B2742" s="169" t="n"/>
      <c r="C2742" s="35" t="n"/>
      <c r="D2742" s="35" t="n"/>
      <c r="E2742" s="35" t="n"/>
      <c r="F2742" s="166" t="n"/>
      <c r="G2742" s="166">
        <f>IF(AND(E2742&lt;&gt;"",F2742&lt;&gt;""),E2742*F2742,"")</f>
      </c>
    </row>
    <row r="2743" ht="16.5" customHeight="1" s="71">
      <c r="B2743" s="169" t="n"/>
      <c r="C2743" s="35" t="n"/>
      <c r="D2743" s="35" t="n"/>
      <c r="E2743" s="35" t="n"/>
      <c r="F2743" s="166" t="n"/>
      <c r="G2743" s="166">
        <f>IF(AND(E2743&lt;&gt;"",F2743&lt;&gt;""),E2743*F2743,"")</f>
      </c>
    </row>
    <row r="2744" ht="16.5" customHeight="1" s="71">
      <c r="B2744" s="169" t="n"/>
      <c r="C2744" s="35" t="n"/>
      <c r="D2744" s="35" t="n"/>
      <c r="E2744" s="35" t="n"/>
      <c r="F2744" s="166" t="n"/>
      <c r="G2744" s="166">
        <f>IF(AND(E2744&lt;&gt;"",F2744&lt;&gt;""),E2744*F2744,"")</f>
      </c>
    </row>
    <row r="2745" ht="16.5" customHeight="1" s="71">
      <c r="B2745" s="169" t="n"/>
      <c r="C2745" s="35" t="n"/>
      <c r="D2745" s="35" t="n"/>
      <c r="E2745" s="35" t="n"/>
      <c r="F2745" s="166" t="n"/>
      <c r="G2745" s="166">
        <f>IF(AND(E2745&lt;&gt;"",F2745&lt;&gt;""),E2745*F2745,"")</f>
      </c>
    </row>
    <row r="2746" ht="16.5" customHeight="1" s="71">
      <c r="B2746" s="169" t="n"/>
      <c r="C2746" s="35" t="n"/>
      <c r="D2746" s="35" t="n"/>
      <c r="E2746" s="35" t="n"/>
      <c r="F2746" s="166" t="n"/>
      <c r="G2746" s="166">
        <f>IF(AND(E2746&lt;&gt;"",F2746&lt;&gt;""),E2746*F2746,"")</f>
      </c>
    </row>
    <row r="2747" ht="16.5" customHeight="1" s="71">
      <c r="B2747" s="169" t="n"/>
      <c r="C2747" s="35" t="n"/>
      <c r="D2747" s="35" t="n"/>
      <c r="E2747" s="35" t="n"/>
      <c r="F2747" s="166" t="n"/>
      <c r="G2747" s="166">
        <f>IF(AND(E2747&lt;&gt;"",F2747&lt;&gt;""),E2747*F2747,"")</f>
      </c>
    </row>
    <row r="2748" ht="16.5" customHeight="1" s="71">
      <c r="B2748" s="169" t="n"/>
      <c r="C2748" s="35" t="n"/>
      <c r="D2748" s="35" t="n"/>
      <c r="E2748" s="35" t="n"/>
      <c r="F2748" s="166" t="n"/>
      <c r="G2748" s="166">
        <f>IF(AND(E2748&lt;&gt;"",F2748&lt;&gt;""),E2748*F2748,"")</f>
      </c>
    </row>
    <row r="2749" ht="16.5" customHeight="1" s="71">
      <c r="B2749" s="169" t="n"/>
      <c r="C2749" s="35" t="n"/>
      <c r="D2749" s="35" t="n"/>
      <c r="E2749" s="35" t="n"/>
      <c r="F2749" s="166" t="n"/>
      <c r="G2749" s="166">
        <f>IF(AND(E2749&lt;&gt;"",F2749&lt;&gt;""),E2749*F2749,"")</f>
      </c>
    </row>
    <row r="2750" ht="16.5" customHeight="1" s="71">
      <c r="B2750" s="169" t="n"/>
      <c r="C2750" s="35" t="n"/>
      <c r="D2750" s="35" t="n"/>
      <c r="E2750" s="35" t="n"/>
      <c r="F2750" s="166" t="n"/>
      <c r="G2750" s="166">
        <f>IF(AND(E2750&lt;&gt;"",F2750&lt;&gt;""),E2750*F2750,"")</f>
      </c>
    </row>
    <row r="2751" ht="16.5" customHeight="1" s="71">
      <c r="B2751" s="169" t="n"/>
      <c r="C2751" s="35" t="n"/>
      <c r="D2751" s="35" t="n"/>
      <c r="E2751" s="35" t="n"/>
      <c r="F2751" s="166" t="n"/>
      <c r="G2751" s="166">
        <f>IF(AND(E2751&lt;&gt;"",F2751&lt;&gt;""),E2751*F2751,"")</f>
      </c>
    </row>
    <row r="2752" ht="16.5" customHeight="1" s="71">
      <c r="B2752" s="169" t="n"/>
      <c r="C2752" s="35" t="n"/>
      <c r="D2752" s="35" t="n"/>
      <c r="E2752" s="35" t="n"/>
      <c r="F2752" s="166" t="n"/>
      <c r="G2752" s="166">
        <f>IF(AND(E2752&lt;&gt;"",F2752&lt;&gt;""),E2752*F2752,"")</f>
      </c>
    </row>
    <row r="2753" ht="16.5" customHeight="1" s="71">
      <c r="B2753" s="169" t="n"/>
      <c r="C2753" s="35" t="n"/>
      <c r="D2753" s="35" t="n"/>
      <c r="E2753" s="35" t="n"/>
      <c r="F2753" s="166" t="n"/>
      <c r="G2753" s="166">
        <f>IF(AND(E2753&lt;&gt;"",F2753&lt;&gt;""),E2753*F2753,"")</f>
      </c>
    </row>
    <row r="2754" ht="16.5" customHeight="1" s="71">
      <c r="B2754" s="169" t="n"/>
      <c r="C2754" s="35" t="n"/>
      <c r="D2754" s="35" t="n"/>
      <c r="E2754" s="35" t="n"/>
      <c r="F2754" s="166" t="n"/>
      <c r="G2754" s="166">
        <f>IF(AND(E2754&lt;&gt;"",F2754&lt;&gt;""),E2754*F2754,"")</f>
      </c>
    </row>
    <row r="2755" ht="16.5" customHeight="1" s="71">
      <c r="B2755" s="169" t="n"/>
      <c r="C2755" s="35" t="n"/>
      <c r="D2755" s="35" t="n"/>
      <c r="E2755" s="35" t="n"/>
      <c r="F2755" s="166" t="n"/>
      <c r="G2755" s="166">
        <f>IF(AND(E2755&lt;&gt;"",F2755&lt;&gt;""),E2755*F2755,"")</f>
      </c>
    </row>
    <row r="2756" ht="16.5" customHeight="1" s="71">
      <c r="B2756" s="169" t="n"/>
      <c r="C2756" s="35" t="n"/>
      <c r="D2756" s="35" t="n"/>
      <c r="E2756" s="35" t="n"/>
      <c r="F2756" s="166" t="n"/>
      <c r="G2756" s="166">
        <f>IF(AND(E2756&lt;&gt;"",F2756&lt;&gt;""),E2756*F2756,"")</f>
      </c>
    </row>
    <row r="2757" ht="16.5" customHeight="1" s="71">
      <c r="B2757" s="169" t="n"/>
      <c r="C2757" s="35" t="n"/>
      <c r="D2757" s="35" t="n"/>
      <c r="E2757" s="35" t="n"/>
      <c r="F2757" s="166" t="n"/>
      <c r="G2757" s="166">
        <f>IF(AND(E2757&lt;&gt;"",F2757&lt;&gt;""),E2757*F2757,"")</f>
      </c>
    </row>
    <row r="2758" ht="16.5" customHeight="1" s="71">
      <c r="B2758" s="169" t="n"/>
      <c r="C2758" s="35" t="n"/>
      <c r="D2758" s="35" t="n"/>
      <c r="E2758" s="35" t="n"/>
      <c r="F2758" s="166" t="n"/>
      <c r="G2758" s="166">
        <f>IF(AND(E2758&lt;&gt;"",F2758&lt;&gt;""),E2758*F2758,"")</f>
      </c>
    </row>
    <row r="2759" ht="16.5" customHeight="1" s="71">
      <c r="B2759" s="169" t="n"/>
      <c r="C2759" s="35" t="n"/>
      <c r="D2759" s="35" t="n"/>
      <c r="E2759" s="35" t="n"/>
      <c r="F2759" s="166" t="n"/>
      <c r="G2759" s="166">
        <f>IF(AND(E2759&lt;&gt;"",F2759&lt;&gt;""),E2759*F2759,"")</f>
      </c>
    </row>
    <row r="2760" ht="16.5" customHeight="1" s="71">
      <c r="B2760" s="169" t="n"/>
      <c r="C2760" s="35" t="n"/>
      <c r="D2760" s="35" t="n"/>
      <c r="E2760" s="35" t="n"/>
      <c r="F2760" s="166" t="n"/>
      <c r="G2760" s="166">
        <f>IF(AND(E2760&lt;&gt;"",F2760&lt;&gt;""),E2760*F2760,"")</f>
      </c>
    </row>
    <row r="2761" ht="16.5" customHeight="1" s="71">
      <c r="B2761" s="169" t="n"/>
      <c r="C2761" s="35" t="n"/>
      <c r="D2761" s="35" t="n"/>
      <c r="E2761" s="35" t="n"/>
      <c r="F2761" s="166" t="n"/>
      <c r="G2761" s="166">
        <f>IF(AND(E2761&lt;&gt;"",F2761&lt;&gt;""),E2761*F2761,"")</f>
      </c>
    </row>
    <row r="2762" ht="16.5" customHeight="1" s="71">
      <c r="B2762" s="169" t="n"/>
      <c r="C2762" s="35" t="n"/>
      <c r="D2762" s="35" t="n"/>
      <c r="E2762" s="35" t="n"/>
      <c r="F2762" s="166" t="n"/>
      <c r="G2762" s="166">
        <f>IF(AND(E2762&lt;&gt;"",F2762&lt;&gt;""),E2762*F2762,"")</f>
      </c>
    </row>
    <row r="2763" ht="16.5" customHeight="1" s="71">
      <c r="B2763" s="169" t="n"/>
      <c r="C2763" s="35" t="n"/>
      <c r="D2763" s="35" t="n"/>
      <c r="E2763" s="35" t="n"/>
      <c r="F2763" s="166" t="n"/>
      <c r="G2763" s="166">
        <f>IF(AND(E2763&lt;&gt;"",F2763&lt;&gt;""),E2763*F2763,"")</f>
      </c>
    </row>
    <row r="2764" ht="16.5" customHeight="1" s="71">
      <c r="B2764" s="169" t="n"/>
      <c r="C2764" s="35" t="n"/>
      <c r="D2764" s="35" t="n"/>
      <c r="E2764" s="35" t="n"/>
      <c r="F2764" s="166" t="n"/>
      <c r="G2764" s="166">
        <f>IF(AND(E2764&lt;&gt;"",F2764&lt;&gt;""),E2764*F2764,"")</f>
      </c>
    </row>
    <row r="2765" ht="16.5" customHeight="1" s="71">
      <c r="B2765" s="169" t="n"/>
      <c r="C2765" s="35" t="n"/>
      <c r="D2765" s="35" t="n"/>
      <c r="E2765" s="35" t="n"/>
      <c r="F2765" s="166" t="n"/>
      <c r="G2765" s="166">
        <f>IF(AND(E2765&lt;&gt;"",F2765&lt;&gt;""),E2765*F2765,"")</f>
      </c>
    </row>
    <row r="2766" ht="16.5" customHeight="1" s="71">
      <c r="B2766" s="169" t="n"/>
      <c r="C2766" s="35" t="n"/>
      <c r="D2766" s="35" t="n"/>
      <c r="E2766" s="35" t="n"/>
      <c r="F2766" s="166" t="n"/>
      <c r="G2766" s="166">
        <f>IF(AND(E2766&lt;&gt;"",F2766&lt;&gt;""),E2766*F2766,"")</f>
      </c>
    </row>
    <row r="2767" ht="16.5" customHeight="1" s="71">
      <c r="B2767" s="169" t="n"/>
      <c r="C2767" s="35" t="n"/>
      <c r="D2767" s="35" t="n"/>
      <c r="E2767" s="35" t="n"/>
      <c r="F2767" s="166" t="n"/>
      <c r="G2767" s="166">
        <f>IF(AND(E2767&lt;&gt;"",F2767&lt;&gt;""),E2767*F2767,"")</f>
      </c>
    </row>
    <row r="2768" ht="16.5" customHeight="1" s="71">
      <c r="B2768" s="169" t="n"/>
      <c r="C2768" s="35" t="n"/>
      <c r="D2768" s="35" t="n"/>
      <c r="E2768" s="35" t="n"/>
      <c r="F2768" s="166" t="n"/>
      <c r="G2768" s="166">
        <f>IF(AND(E2768&lt;&gt;"",F2768&lt;&gt;""),E2768*F2768,"")</f>
      </c>
    </row>
    <row r="2769" ht="16.5" customHeight="1" s="71">
      <c r="B2769" s="169" t="n"/>
      <c r="C2769" s="35" t="n"/>
      <c r="D2769" s="35" t="n"/>
      <c r="E2769" s="35" t="n"/>
      <c r="F2769" s="166" t="n"/>
      <c r="G2769" s="166">
        <f>IF(AND(E2769&lt;&gt;"",F2769&lt;&gt;""),E2769*F2769,"")</f>
      </c>
    </row>
    <row r="2770" ht="16.5" customHeight="1" s="71">
      <c r="B2770" s="169" t="n"/>
      <c r="C2770" s="35" t="n"/>
      <c r="D2770" s="35" t="n"/>
      <c r="E2770" s="35" t="n"/>
      <c r="F2770" s="166" t="n"/>
      <c r="G2770" s="166">
        <f>IF(AND(E2770&lt;&gt;"",F2770&lt;&gt;""),E2770*F2770,"")</f>
      </c>
    </row>
    <row r="2771" ht="16.5" customHeight="1" s="71">
      <c r="B2771" s="169" t="n"/>
      <c r="C2771" s="35" t="n"/>
      <c r="D2771" s="35" t="n"/>
      <c r="E2771" s="35" t="n"/>
      <c r="F2771" s="166" t="n"/>
      <c r="G2771" s="166">
        <f>IF(AND(E2771&lt;&gt;"",F2771&lt;&gt;""),E2771*F2771,"")</f>
      </c>
    </row>
    <row r="2772" ht="16.5" customHeight="1" s="71">
      <c r="B2772" s="169" t="n"/>
      <c r="C2772" s="35" t="n"/>
      <c r="D2772" s="35" t="n"/>
      <c r="E2772" s="35" t="n"/>
      <c r="F2772" s="166" t="n"/>
      <c r="G2772" s="166">
        <f>IF(AND(E2772&lt;&gt;"",F2772&lt;&gt;""),E2772*F2772,"")</f>
      </c>
    </row>
    <row r="2773" ht="16.5" customHeight="1" s="71">
      <c r="B2773" s="169" t="n"/>
      <c r="C2773" s="35" t="n"/>
      <c r="D2773" s="35" t="n"/>
      <c r="E2773" s="35" t="n"/>
      <c r="F2773" s="166" t="n"/>
      <c r="G2773" s="166">
        <f>IF(AND(E2773&lt;&gt;"",F2773&lt;&gt;""),E2773*F2773,"")</f>
      </c>
    </row>
    <row r="2774" ht="16.5" customHeight="1" s="71">
      <c r="B2774" s="169" t="n"/>
      <c r="C2774" s="35" t="n"/>
      <c r="D2774" s="35" t="n"/>
      <c r="E2774" s="35" t="n"/>
      <c r="F2774" s="166" t="n"/>
      <c r="G2774" s="166">
        <f>IF(AND(E2774&lt;&gt;"",F2774&lt;&gt;""),E2774*F2774,"")</f>
      </c>
    </row>
    <row r="2775" ht="16.5" customHeight="1" s="71">
      <c r="B2775" s="169" t="n"/>
      <c r="C2775" s="35" t="n"/>
      <c r="D2775" s="35" t="n"/>
      <c r="E2775" s="35" t="n"/>
      <c r="F2775" s="166" t="n"/>
      <c r="G2775" s="166">
        <f>IF(AND(E2775&lt;&gt;"",F2775&lt;&gt;""),E2775*F2775,"")</f>
      </c>
    </row>
    <row r="2776" ht="16.5" customHeight="1" s="71">
      <c r="B2776" s="169" t="n"/>
      <c r="C2776" s="35" t="n"/>
      <c r="D2776" s="35" t="n"/>
      <c r="E2776" s="35" t="n"/>
      <c r="F2776" s="166" t="n"/>
      <c r="G2776" s="166">
        <f>IF(AND(E2776&lt;&gt;"",F2776&lt;&gt;""),E2776*F2776,"")</f>
      </c>
    </row>
    <row r="2777" ht="16.5" customHeight="1" s="71">
      <c r="B2777" s="169" t="n"/>
      <c r="C2777" s="35" t="n"/>
      <c r="D2777" s="35" t="n"/>
      <c r="E2777" s="35" t="n"/>
      <c r="F2777" s="166" t="n"/>
      <c r="G2777" s="166">
        <f>IF(AND(E2777&lt;&gt;"",F2777&lt;&gt;""),E2777*F2777,"")</f>
      </c>
    </row>
    <row r="2778" ht="16.5" customHeight="1" s="71">
      <c r="B2778" s="169" t="n"/>
      <c r="C2778" s="35" t="n"/>
      <c r="D2778" s="35" t="n"/>
      <c r="E2778" s="35" t="n"/>
      <c r="F2778" s="166" t="n"/>
      <c r="G2778" s="166">
        <f>IF(AND(E2778&lt;&gt;"",F2778&lt;&gt;""),E2778*F2778,"")</f>
      </c>
    </row>
    <row r="2779" ht="16.5" customHeight="1" s="71">
      <c r="B2779" s="169" t="n"/>
      <c r="C2779" s="35" t="n"/>
      <c r="D2779" s="35" t="n"/>
      <c r="E2779" s="35" t="n"/>
      <c r="F2779" s="166" t="n"/>
      <c r="G2779" s="166">
        <f>IF(AND(E2779&lt;&gt;"",F2779&lt;&gt;""),E2779*F2779,"")</f>
      </c>
    </row>
    <row r="2780" ht="16.5" customHeight="1" s="71">
      <c r="B2780" s="169" t="n"/>
      <c r="C2780" s="35" t="n"/>
      <c r="D2780" s="35" t="n"/>
      <c r="E2780" s="35" t="n"/>
      <c r="F2780" s="166" t="n"/>
      <c r="G2780" s="166">
        <f>IF(AND(E2780&lt;&gt;"",F2780&lt;&gt;""),E2780*F2780,"")</f>
      </c>
    </row>
    <row r="2781" ht="16.5" customHeight="1" s="71">
      <c r="B2781" s="169" t="n"/>
      <c r="C2781" s="35" t="n"/>
      <c r="D2781" s="35" t="n"/>
      <c r="E2781" s="35" t="n"/>
      <c r="F2781" s="166" t="n"/>
      <c r="G2781" s="166">
        <f>IF(AND(E2781&lt;&gt;"",F2781&lt;&gt;""),E2781*F2781,"")</f>
      </c>
    </row>
    <row r="2782" ht="16.5" customHeight="1" s="71">
      <c r="B2782" s="169" t="n"/>
      <c r="C2782" s="35" t="n"/>
      <c r="D2782" s="35" t="n"/>
      <c r="E2782" s="35" t="n"/>
      <c r="F2782" s="166" t="n"/>
      <c r="G2782" s="166">
        <f>IF(AND(E2782&lt;&gt;"",F2782&lt;&gt;""),E2782*F2782,"")</f>
      </c>
    </row>
    <row r="2783" ht="16.5" customHeight="1" s="71">
      <c r="B2783" s="169" t="n"/>
      <c r="C2783" s="35" t="n"/>
      <c r="D2783" s="35" t="n"/>
      <c r="E2783" s="35" t="n"/>
      <c r="F2783" s="166" t="n"/>
      <c r="G2783" s="166">
        <f>IF(AND(E2783&lt;&gt;"",F2783&lt;&gt;""),E2783*F2783,"")</f>
      </c>
    </row>
    <row r="2784" ht="16.5" customHeight="1" s="71">
      <c r="B2784" s="169" t="n"/>
      <c r="C2784" s="35" t="n"/>
      <c r="D2784" s="35" t="n"/>
      <c r="E2784" s="35" t="n"/>
      <c r="F2784" s="166" t="n"/>
      <c r="G2784" s="166">
        <f>IF(AND(E2784&lt;&gt;"",F2784&lt;&gt;""),E2784*F2784,"")</f>
      </c>
    </row>
    <row r="2785" ht="16.5" customHeight="1" s="71">
      <c r="B2785" s="169" t="n"/>
      <c r="C2785" s="35" t="n"/>
      <c r="D2785" s="35" t="n"/>
      <c r="E2785" s="35" t="n"/>
      <c r="F2785" s="166" t="n"/>
      <c r="G2785" s="166">
        <f>IF(AND(E2785&lt;&gt;"",F2785&lt;&gt;""),E2785*F2785,"")</f>
      </c>
    </row>
    <row r="2786" ht="16.5" customHeight="1" s="71">
      <c r="B2786" s="169" t="n"/>
      <c r="C2786" s="35" t="n"/>
      <c r="D2786" s="35" t="n"/>
      <c r="E2786" s="35" t="n"/>
      <c r="F2786" s="166" t="n"/>
      <c r="G2786" s="166">
        <f>IF(AND(E2786&lt;&gt;"",F2786&lt;&gt;""),E2786*F2786,"")</f>
      </c>
    </row>
    <row r="2787" ht="16.5" customHeight="1" s="71">
      <c r="B2787" s="169" t="n"/>
      <c r="C2787" s="35" t="n"/>
      <c r="D2787" s="35" t="n"/>
      <c r="E2787" s="35" t="n"/>
      <c r="F2787" s="166" t="n"/>
      <c r="G2787" s="166">
        <f>IF(AND(E2787&lt;&gt;"",F2787&lt;&gt;""),E2787*F2787,"")</f>
      </c>
    </row>
    <row r="2788" ht="16.5" customHeight="1" s="71">
      <c r="B2788" s="169" t="n"/>
      <c r="C2788" s="35" t="n"/>
      <c r="D2788" s="35" t="n"/>
      <c r="E2788" s="35" t="n"/>
      <c r="F2788" s="166" t="n"/>
      <c r="G2788" s="166">
        <f>IF(AND(E2788&lt;&gt;"",F2788&lt;&gt;""),E2788*F2788,"")</f>
      </c>
    </row>
    <row r="2789" ht="16.5" customHeight="1" s="71">
      <c r="B2789" s="169" t="n"/>
      <c r="C2789" s="35" t="n"/>
      <c r="D2789" s="35" t="n"/>
      <c r="E2789" s="35" t="n"/>
      <c r="F2789" s="166" t="n"/>
      <c r="G2789" s="166">
        <f>IF(AND(E2789&lt;&gt;"",F2789&lt;&gt;""),E2789*F2789,"")</f>
      </c>
    </row>
    <row r="2790" ht="16.5" customHeight="1" s="71">
      <c r="B2790" s="169" t="n"/>
      <c r="C2790" s="35" t="n"/>
      <c r="D2790" s="35" t="n"/>
      <c r="E2790" s="35" t="n"/>
      <c r="F2790" s="166" t="n"/>
      <c r="G2790" s="166">
        <f>IF(AND(E2790&lt;&gt;"",F2790&lt;&gt;""),E2790*F2790,"")</f>
      </c>
    </row>
    <row r="2791" ht="16.5" customHeight="1" s="71">
      <c r="B2791" s="169" t="n"/>
      <c r="C2791" s="35" t="n"/>
      <c r="D2791" s="35" t="n"/>
      <c r="E2791" s="35" t="n"/>
      <c r="F2791" s="166" t="n"/>
      <c r="G2791" s="166">
        <f>IF(AND(E2791&lt;&gt;"",F2791&lt;&gt;""),E2791*F2791,"")</f>
      </c>
    </row>
    <row r="2792" ht="16.5" customHeight="1" s="71">
      <c r="B2792" s="169" t="n"/>
      <c r="C2792" s="35" t="n"/>
      <c r="D2792" s="35" t="n"/>
      <c r="E2792" s="35" t="n"/>
      <c r="F2792" s="166" t="n"/>
      <c r="G2792" s="166">
        <f>IF(AND(E2792&lt;&gt;"",F2792&lt;&gt;""),E2792*F2792,"")</f>
      </c>
    </row>
    <row r="2793" ht="16.5" customHeight="1" s="71">
      <c r="B2793" s="169" t="n"/>
      <c r="C2793" s="35" t="n"/>
      <c r="D2793" s="35" t="n"/>
      <c r="E2793" s="35" t="n"/>
      <c r="F2793" s="166" t="n"/>
      <c r="G2793" s="166">
        <f>IF(AND(E2793&lt;&gt;"",F2793&lt;&gt;""),E2793*F2793,"")</f>
      </c>
    </row>
    <row r="2794" ht="16.5" customHeight="1" s="71">
      <c r="B2794" s="169" t="n"/>
      <c r="C2794" s="35" t="n"/>
      <c r="D2794" s="35" t="n"/>
      <c r="E2794" s="35" t="n"/>
      <c r="F2794" s="166" t="n"/>
      <c r="G2794" s="166">
        <f>IF(AND(E2794&lt;&gt;"",F2794&lt;&gt;""),E2794*F2794,"")</f>
      </c>
    </row>
    <row r="2795" ht="16.5" customHeight="1" s="71">
      <c r="B2795" s="169" t="n"/>
      <c r="C2795" s="35" t="n"/>
      <c r="D2795" s="35" t="n"/>
      <c r="E2795" s="35" t="n"/>
      <c r="F2795" s="166" t="n"/>
      <c r="G2795" s="166">
        <f>IF(AND(E2795&lt;&gt;"",F2795&lt;&gt;""),E2795*F2795,"")</f>
      </c>
    </row>
    <row r="2796" ht="16.5" customHeight="1" s="71">
      <c r="B2796" s="169" t="n"/>
      <c r="C2796" s="35" t="n"/>
      <c r="D2796" s="35" t="n"/>
      <c r="E2796" s="35" t="n"/>
      <c r="F2796" s="166" t="n"/>
      <c r="G2796" s="166">
        <f>IF(AND(E2796&lt;&gt;"",F2796&lt;&gt;""),E2796*F2796,"")</f>
      </c>
    </row>
    <row r="2797" ht="16.5" customHeight="1" s="71">
      <c r="B2797" s="169" t="n"/>
      <c r="C2797" s="35" t="n"/>
      <c r="D2797" s="35" t="n"/>
      <c r="E2797" s="35" t="n"/>
      <c r="F2797" s="166" t="n"/>
      <c r="G2797" s="166">
        <f>IF(AND(E2797&lt;&gt;"",F2797&lt;&gt;""),E2797*F2797,"")</f>
      </c>
    </row>
    <row r="2798" ht="16.5" customHeight="1" s="71">
      <c r="B2798" s="169" t="n"/>
      <c r="C2798" s="35" t="n"/>
      <c r="D2798" s="35" t="n"/>
      <c r="E2798" s="35" t="n"/>
      <c r="F2798" s="166" t="n"/>
      <c r="G2798" s="166">
        <f>IF(AND(E2798&lt;&gt;"",F2798&lt;&gt;""),E2798*F2798,"")</f>
      </c>
    </row>
    <row r="2799" ht="16.5" customHeight="1" s="71">
      <c r="B2799" s="169" t="n"/>
      <c r="C2799" s="35" t="n"/>
      <c r="D2799" s="35" t="n"/>
      <c r="E2799" s="35" t="n"/>
      <c r="F2799" s="166" t="n"/>
      <c r="G2799" s="166">
        <f>IF(AND(E2799&lt;&gt;"",F2799&lt;&gt;""),E2799*F2799,"")</f>
      </c>
    </row>
    <row r="2800" ht="16.5" customHeight="1" s="71">
      <c r="B2800" s="169" t="n"/>
      <c r="C2800" s="35" t="n"/>
      <c r="D2800" s="35" t="n"/>
      <c r="E2800" s="35" t="n"/>
      <c r="F2800" s="166" t="n"/>
      <c r="G2800" s="166">
        <f>IF(AND(E2800&lt;&gt;"",F2800&lt;&gt;""),E2800*F2800,"")</f>
      </c>
    </row>
    <row r="2801" ht="16.5" customHeight="1" s="71">
      <c r="B2801" s="169" t="n"/>
      <c r="C2801" s="35" t="n"/>
      <c r="D2801" s="35" t="n"/>
      <c r="E2801" s="35" t="n"/>
      <c r="F2801" s="166" t="n"/>
      <c r="G2801" s="166">
        <f>IF(AND(E2801&lt;&gt;"",F2801&lt;&gt;""),E2801*F2801,"")</f>
      </c>
    </row>
    <row r="2802" ht="16.5" customHeight="1" s="71">
      <c r="B2802" s="169" t="n"/>
      <c r="C2802" s="35" t="n"/>
      <c r="D2802" s="35" t="n"/>
      <c r="E2802" s="35" t="n"/>
      <c r="F2802" s="166" t="n"/>
      <c r="G2802" s="166">
        <f>IF(AND(E2802&lt;&gt;"",F2802&lt;&gt;""),E2802*F2802,"")</f>
      </c>
    </row>
    <row r="2803" ht="16.5" customHeight="1" s="71">
      <c r="B2803" s="169" t="n"/>
      <c r="C2803" s="35" t="n"/>
      <c r="D2803" s="35" t="n"/>
      <c r="E2803" s="35" t="n"/>
      <c r="F2803" s="166" t="n"/>
      <c r="G2803" s="166">
        <f>IF(AND(E2803&lt;&gt;"",F2803&lt;&gt;""),E2803*F2803,"")</f>
      </c>
    </row>
    <row r="2804" ht="16.5" customHeight="1" s="71">
      <c r="B2804" s="169" t="n"/>
      <c r="C2804" s="35" t="n"/>
      <c r="D2804" s="35" t="n"/>
      <c r="E2804" s="35" t="n"/>
      <c r="F2804" s="166" t="n"/>
      <c r="G2804" s="166">
        <f>IF(AND(E2804&lt;&gt;"",F2804&lt;&gt;""),E2804*F2804,"")</f>
      </c>
    </row>
    <row r="2805" ht="16.5" customHeight="1" s="71">
      <c r="B2805" s="169" t="n"/>
      <c r="C2805" s="35" t="n"/>
      <c r="D2805" s="35" t="n"/>
      <c r="E2805" s="35" t="n"/>
      <c r="F2805" s="166" t="n"/>
      <c r="G2805" s="166">
        <f>IF(AND(E2805&lt;&gt;"",F2805&lt;&gt;""),E2805*F2805,"")</f>
      </c>
    </row>
    <row r="2806" ht="16.5" customHeight="1" s="71">
      <c r="B2806" s="169" t="n"/>
      <c r="C2806" s="35" t="n"/>
      <c r="D2806" s="35" t="n"/>
      <c r="E2806" s="35" t="n"/>
      <c r="F2806" s="166" t="n"/>
      <c r="G2806" s="166">
        <f>IF(AND(E2806&lt;&gt;"",F2806&lt;&gt;""),E2806*F2806,"")</f>
      </c>
    </row>
    <row r="2807" ht="16.5" customHeight="1" s="71">
      <c r="B2807" s="169" t="n"/>
      <c r="C2807" s="35" t="n"/>
      <c r="D2807" s="35" t="n"/>
      <c r="E2807" s="35" t="n"/>
      <c r="F2807" s="166" t="n"/>
      <c r="G2807" s="166">
        <f>IF(AND(E2807&lt;&gt;"",F2807&lt;&gt;""),E2807*F2807,"")</f>
      </c>
    </row>
    <row r="2808" ht="16.5" customHeight="1" s="71">
      <c r="B2808" s="169" t="n"/>
      <c r="C2808" s="35" t="n"/>
      <c r="D2808" s="35" t="n"/>
      <c r="E2808" s="35" t="n"/>
      <c r="F2808" s="166" t="n"/>
      <c r="G2808" s="166">
        <f>IF(AND(E2808&lt;&gt;"",F2808&lt;&gt;""),E2808*F2808,"")</f>
      </c>
    </row>
    <row r="2809" ht="16.5" customHeight="1" s="71">
      <c r="B2809" s="169" t="n"/>
      <c r="C2809" s="35" t="n"/>
      <c r="D2809" s="35" t="n"/>
      <c r="E2809" s="35" t="n"/>
      <c r="F2809" s="166" t="n"/>
      <c r="G2809" s="166">
        <f>IF(AND(E2809&lt;&gt;"",F2809&lt;&gt;""),E2809*F2809,"")</f>
      </c>
    </row>
    <row r="2810" ht="16.5" customHeight="1" s="71">
      <c r="B2810" s="169" t="n"/>
      <c r="C2810" s="35" t="n"/>
      <c r="D2810" s="35" t="n"/>
      <c r="E2810" s="35" t="n"/>
      <c r="F2810" s="166" t="n"/>
      <c r="G2810" s="166">
        <f>IF(AND(E2810&lt;&gt;"",F2810&lt;&gt;""),E2810*F2810,"")</f>
      </c>
    </row>
    <row r="2811" ht="16.5" customHeight="1" s="71">
      <c r="B2811" s="169" t="n"/>
      <c r="C2811" s="35" t="n"/>
      <c r="D2811" s="35" t="n"/>
      <c r="E2811" s="35" t="n"/>
      <c r="F2811" s="166" t="n"/>
      <c r="G2811" s="166">
        <f>IF(AND(E2811&lt;&gt;"",F2811&lt;&gt;""),E2811*F2811,"")</f>
      </c>
    </row>
    <row r="2812" ht="16.5" customHeight="1" s="71">
      <c r="B2812" s="169" t="n"/>
      <c r="C2812" s="35" t="n"/>
      <c r="D2812" s="35" t="n"/>
      <c r="E2812" s="35" t="n"/>
      <c r="F2812" s="166" t="n"/>
      <c r="G2812" s="166">
        <f>IF(AND(E2812&lt;&gt;"",F2812&lt;&gt;""),E2812*F2812,"")</f>
      </c>
    </row>
    <row r="2813" ht="16.5" customHeight="1" s="71">
      <c r="B2813" s="169" t="n"/>
      <c r="C2813" s="35" t="n"/>
      <c r="D2813" s="35" t="n"/>
      <c r="E2813" s="35" t="n"/>
      <c r="F2813" s="166" t="n"/>
      <c r="G2813" s="166">
        <f>IF(AND(E2813&lt;&gt;"",F2813&lt;&gt;""),E2813*F2813,"")</f>
      </c>
    </row>
    <row r="2814" ht="16.5" customHeight="1" s="71">
      <c r="B2814" s="169" t="n"/>
      <c r="C2814" s="35" t="n"/>
      <c r="D2814" s="35" t="n"/>
      <c r="E2814" s="35" t="n"/>
      <c r="F2814" s="166" t="n"/>
      <c r="G2814" s="166">
        <f>IF(AND(E2814&lt;&gt;"",F2814&lt;&gt;""),E2814*F2814,"")</f>
      </c>
    </row>
    <row r="2815" ht="16.5" customHeight="1" s="71">
      <c r="B2815" s="169" t="n"/>
      <c r="C2815" s="35" t="n"/>
      <c r="D2815" s="35" t="n"/>
      <c r="E2815" s="35" t="n"/>
      <c r="F2815" s="166" t="n"/>
      <c r="G2815" s="166">
        <f>IF(AND(E2815&lt;&gt;"",F2815&lt;&gt;""),E2815*F2815,"")</f>
      </c>
    </row>
    <row r="2816" ht="16.5" customHeight="1" s="71">
      <c r="B2816" s="169" t="n"/>
      <c r="C2816" s="35" t="n"/>
      <c r="D2816" s="35" t="n"/>
      <c r="E2816" s="35" t="n"/>
      <c r="F2816" s="166" t="n"/>
      <c r="G2816" s="166">
        <f>IF(AND(E2816&lt;&gt;"",F2816&lt;&gt;""),E2816*F2816,"")</f>
      </c>
    </row>
    <row r="2817" ht="16.5" customHeight="1" s="71">
      <c r="B2817" s="169" t="n"/>
      <c r="C2817" s="35" t="n"/>
      <c r="D2817" s="35" t="n"/>
      <c r="E2817" s="35" t="n"/>
      <c r="F2817" s="166" t="n"/>
      <c r="G2817" s="166">
        <f>IF(AND(E2817&lt;&gt;"",F2817&lt;&gt;""),E2817*F2817,"")</f>
      </c>
    </row>
    <row r="2818" ht="16.5" customHeight="1" s="71">
      <c r="B2818" s="169" t="n"/>
      <c r="C2818" s="35" t="n"/>
      <c r="D2818" s="35" t="n"/>
      <c r="E2818" s="35" t="n"/>
      <c r="F2818" s="166" t="n"/>
      <c r="G2818" s="166">
        <f>IF(AND(E2818&lt;&gt;"",F2818&lt;&gt;""),E2818*F2818,"")</f>
      </c>
    </row>
    <row r="2819" ht="16.5" customHeight="1" s="71">
      <c r="B2819" s="169" t="n"/>
      <c r="C2819" s="35" t="n"/>
      <c r="D2819" s="35" t="n"/>
      <c r="E2819" s="35" t="n"/>
      <c r="F2819" s="166" t="n"/>
      <c r="G2819" s="166">
        <f>IF(AND(E2819&lt;&gt;"",F2819&lt;&gt;""),E2819*F2819,"")</f>
      </c>
    </row>
    <row r="2820" ht="16.5" customHeight="1" s="71">
      <c r="B2820" s="169" t="n"/>
      <c r="C2820" s="35" t="n"/>
      <c r="D2820" s="35" t="n"/>
      <c r="E2820" s="35" t="n"/>
      <c r="F2820" s="166" t="n"/>
      <c r="G2820" s="166">
        <f>IF(AND(E2820&lt;&gt;"",F2820&lt;&gt;""),E2820*F2820,"")</f>
      </c>
    </row>
    <row r="2821" ht="16.5" customHeight="1" s="71">
      <c r="B2821" s="169" t="n"/>
      <c r="C2821" s="35" t="n"/>
      <c r="D2821" s="35" t="n"/>
      <c r="E2821" s="35" t="n"/>
      <c r="F2821" s="166" t="n"/>
      <c r="G2821" s="166">
        <f>IF(AND(E2821&lt;&gt;"",F2821&lt;&gt;""),E2821*F2821,"")</f>
      </c>
    </row>
    <row r="2822" ht="16.5" customHeight="1" s="71">
      <c r="B2822" s="169" t="n"/>
      <c r="C2822" s="35" t="n"/>
      <c r="D2822" s="35" t="n"/>
      <c r="E2822" s="35" t="n"/>
      <c r="F2822" s="166" t="n"/>
      <c r="G2822" s="166">
        <f>IF(AND(E2822&lt;&gt;"",F2822&lt;&gt;""),E2822*F2822,"")</f>
      </c>
    </row>
    <row r="2823" ht="16.5" customHeight="1" s="71">
      <c r="B2823" s="169" t="n"/>
      <c r="C2823" s="35" t="n"/>
      <c r="D2823" s="35" t="n"/>
      <c r="E2823" s="35" t="n"/>
      <c r="F2823" s="166" t="n"/>
      <c r="G2823" s="166">
        <f>IF(AND(E2823&lt;&gt;"",F2823&lt;&gt;""),E2823*F2823,"")</f>
      </c>
    </row>
    <row r="2824" ht="16.5" customHeight="1" s="71">
      <c r="B2824" s="169" t="n"/>
      <c r="C2824" s="35" t="n"/>
      <c r="D2824" s="35" t="n"/>
      <c r="E2824" s="35" t="n"/>
      <c r="F2824" s="166" t="n"/>
      <c r="G2824" s="166">
        <f>IF(AND(E2824&lt;&gt;"",F2824&lt;&gt;""),E2824*F2824,"")</f>
      </c>
    </row>
    <row r="2825" ht="16.5" customHeight="1" s="71">
      <c r="B2825" s="169" t="n"/>
      <c r="C2825" s="35" t="n"/>
      <c r="D2825" s="35" t="n"/>
      <c r="E2825" s="35" t="n"/>
      <c r="F2825" s="166" t="n"/>
      <c r="G2825" s="166">
        <f>IF(AND(E2825&lt;&gt;"",F2825&lt;&gt;""),E2825*F2825,"")</f>
      </c>
    </row>
    <row r="2826" ht="16.5" customHeight="1" s="71">
      <c r="B2826" s="169" t="n"/>
      <c r="C2826" s="35" t="n"/>
      <c r="D2826" s="35" t="n"/>
      <c r="E2826" s="35" t="n"/>
      <c r="F2826" s="166" t="n"/>
      <c r="G2826" s="166">
        <f>IF(AND(E2826&lt;&gt;"",F2826&lt;&gt;""),E2826*F2826,"")</f>
      </c>
    </row>
    <row r="2827" ht="16.5" customHeight="1" s="71">
      <c r="B2827" s="169" t="n"/>
      <c r="C2827" s="35" t="n"/>
      <c r="D2827" s="35" t="n"/>
      <c r="E2827" s="35" t="n"/>
      <c r="F2827" s="166" t="n"/>
      <c r="G2827" s="166">
        <f>IF(AND(E2827&lt;&gt;"",F2827&lt;&gt;""),E2827*F2827,"")</f>
      </c>
    </row>
    <row r="2828" ht="16.5" customHeight="1" s="71">
      <c r="B2828" s="169" t="n"/>
      <c r="C2828" s="35" t="n"/>
      <c r="D2828" s="35" t="n"/>
      <c r="E2828" s="35" t="n"/>
      <c r="F2828" s="166" t="n"/>
      <c r="G2828" s="166">
        <f>IF(AND(E2828&lt;&gt;"",F2828&lt;&gt;""),E2828*F2828,"")</f>
      </c>
    </row>
    <row r="2829" ht="16.5" customHeight="1" s="71">
      <c r="B2829" s="169" t="n"/>
      <c r="C2829" s="35" t="n"/>
      <c r="D2829" s="35" t="n"/>
      <c r="E2829" s="35" t="n"/>
      <c r="F2829" s="166" t="n"/>
      <c r="G2829" s="166">
        <f>IF(AND(E2829&lt;&gt;"",F2829&lt;&gt;""),E2829*F2829,"")</f>
      </c>
    </row>
    <row r="2830" ht="16.5" customHeight="1" s="71">
      <c r="B2830" s="169" t="n"/>
      <c r="C2830" s="35" t="n"/>
      <c r="D2830" s="35" t="n"/>
      <c r="E2830" s="35" t="n"/>
      <c r="F2830" s="166" t="n"/>
      <c r="G2830" s="166">
        <f>IF(AND(E2830&lt;&gt;"",F2830&lt;&gt;""),E2830*F2830,"")</f>
      </c>
    </row>
    <row r="2831" ht="16.5" customHeight="1" s="71">
      <c r="B2831" s="169" t="n"/>
      <c r="C2831" s="35" t="n"/>
      <c r="D2831" s="35" t="n"/>
      <c r="E2831" s="35" t="n"/>
      <c r="F2831" s="166" t="n"/>
      <c r="G2831" s="166">
        <f>IF(AND(E2831&lt;&gt;"",F2831&lt;&gt;""),E2831*F2831,"")</f>
      </c>
    </row>
    <row r="2832" ht="16.5" customHeight="1" s="71">
      <c r="B2832" s="169" t="n"/>
      <c r="C2832" s="35" t="n"/>
      <c r="D2832" s="35" t="n"/>
      <c r="E2832" s="35" t="n"/>
      <c r="F2832" s="166" t="n"/>
      <c r="G2832" s="166">
        <f>IF(AND(E2832&lt;&gt;"",F2832&lt;&gt;""),E2832*F2832,"")</f>
      </c>
    </row>
    <row r="2833" ht="16.5" customHeight="1" s="71">
      <c r="B2833" s="169" t="n"/>
      <c r="C2833" s="35" t="n"/>
      <c r="D2833" s="35" t="n"/>
      <c r="E2833" s="35" t="n"/>
      <c r="F2833" s="166" t="n"/>
      <c r="G2833" s="166">
        <f>IF(AND(E2833&lt;&gt;"",F2833&lt;&gt;""),E2833*F2833,"")</f>
      </c>
    </row>
    <row r="2834" ht="16.5" customHeight="1" s="71">
      <c r="B2834" s="169" t="n"/>
      <c r="C2834" s="35" t="n"/>
      <c r="D2834" s="35" t="n"/>
      <c r="E2834" s="35" t="n"/>
      <c r="F2834" s="166" t="n"/>
      <c r="G2834" s="166">
        <f>IF(AND(E2834&lt;&gt;"",F2834&lt;&gt;""),E2834*F2834,"")</f>
      </c>
    </row>
    <row r="2835" ht="16.5" customHeight="1" s="71">
      <c r="B2835" s="169" t="n"/>
      <c r="C2835" s="35" t="n"/>
      <c r="D2835" s="35" t="n"/>
      <c r="E2835" s="35" t="n"/>
      <c r="F2835" s="166" t="n"/>
      <c r="G2835" s="166">
        <f>IF(AND(E2835&lt;&gt;"",F2835&lt;&gt;""),E2835*F2835,"")</f>
      </c>
    </row>
    <row r="2836" ht="16.5" customHeight="1" s="71">
      <c r="B2836" s="169" t="n"/>
      <c r="C2836" s="35" t="n"/>
      <c r="D2836" s="35" t="n"/>
      <c r="E2836" s="35" t="n"/>
      <c r="F2836" s="166" t="n"/>
      <c r="G2836" s="166">
        <f>IF(AND(E2836&lt;&gt;"",F2836&lt;&gt;""),E2836*F2836,"")</f>
      </c>
    </row>
    <row r="2837" ht="16.5" customHeight="1" s="71">
      <c r="B2837" s="169" t="n"/>
      <c r="C2837" s="35" t="n"/>
      <c r="D2837" s="35" t="n"/>
      <c r="E2837" s="35" t="n"/>
      <c r="F2837" s="166" t="n"/>
      <c r="G2837" s="166">
        <f>IF(AND(E2837&lt;&gt;"",F2837&lt;&gt;""),E2837*F2837,"")</f>
      </c>
    </row>
    <row r="2838" ht="16.5" customHeight="1" s="71">
      <c r="B2838" s="169" t="n"/>
      <c r="C2838" s="35" t="n"/>
      <c r="D2838" s="35" t="n"/>
      <c r="E2838" s="35" t="n"/>
      <c r="F2838" s="166" t="n"/>
      <c r="G2838" s="166">
        <f>IF(AND(E2838&lt;&gt;"",F2838&lt;&gt;""),E2838*F2838,"")</f>
      </c>
    </row>
    <row r="2839" ht="16.5" customHeight="1" s="71">
      <c r="B2839" s="169" t="n"/>
      <c r="C2839" s="35" t="n"/>
      <c r="D2839" s="35" t="n"/>
      <c r="E2839" s="35" t="n"/>
      <c r="F2839" s="166" t="n"/>
      <c r="G2839" s="166">
        <f>IF(AND(E2839&lt;&gt;"",F2839&lt;&gt;""),E2839*F2839,"")</f>
      </c>
    </row>
    <row r="2840" ht="16.5" customHeight="1" s="71">
      <c r="B2840" s="169" t="n"/>
      <c r="C2840" s="35" t="n"/>
      <c r="D2840" s="35" t="n"/>
      <c r="E2840" s="35" t="n"/>
      <c r="F2840" s="166" t="n"/>
      <c r="G2840" s="166">
        <f>IF(AND(E2840&lt;&gt;"",F2840&lt;&gt;""),E2840*F2840,"")</f>
      </c>
    </row>
    <row r="2841" ht="16.5" customHeight="1" s="71">
      <c r="B2841" s="169" t="n"/>
      <c r="C2841" s="35" t="n"/>
      <c r="D2841" s="35" t="n"/>
      <c r="E2841" s="35" t="n"/>
      <c r="F2841" s="166" t="n"/>
      <c r="G2841" s="166">
        <f>IF(AND(E2841&lt;&gt;"",F2841&lt;&gt;""),E2841*F2841,"")</f>
      </c>
    </row>
    <row r="2842" ht="16.5" customHeight="1" s="71">
      <c r="B2842" s="169" t="n"/>
      <c r="C2842" s="35" t="n"/>
      <c r="D2842" s="35" t="n"/>
      <c r="E2842" s="35" t="n"/>
      <c r="F2842" s="166" t="n"/>
      <c r="G2842" s="166">
        <f>IF(AND(E2842&lt;&gt;"",F2842&lt;&gt;""),E2842*F2842,"")</f>
      </c>
    </row>
    <row r="2843" ht="16.5" customHeight="1" s="71">
      <c r="B2843" s="169" t="n"/>
      <c r="C2843" s="35" t="n"/>
      <c r="D2843" s="35" t="n"/>
      <c r="E2843" s="35" t="n"/>
      <c r="F2843" s="166" t="n"/>
      <c r="G2843" s="166">
        <f>IF(AND(E2843&lt;&gt;"",F2843&lt;&gt;""),E2843*F2843,"")</f>
      </c>
    </row>
    <row r="2844" ht="16.5" customHeight="1" s="71">
      <c r="B2844" s="169" t="n"/>
      <c r="C2844" s="35" t="n"/>
      <c r="D2844" s="35" t="n"/>
      <c r="E2844" s="35" t="n"/>
      <c r="F2844" s="166" t="n"/>
      <c r="G2844" s="166">
        <f>IF(AND(E2844&lt;&gt;"",F2844&lt;&gt;""),E2844*F2844,"")</f>
      </c>
    </row>
    <row r="2845" ht="16.5" customHeight="1" s="71">
      <c r="B2845" s="169" t="n"/>
      <c r="C2845" s="35" t="n"/>
      <c r="D2845" s="35" t="n"/>
      <c r="E2845" s="35" t="n"/>
      <c r="F2845" s="166" t="n"/>
      <c r="G2845" s="166">
        <f>IF(AND(E2845&lt;&gt;"",F2845&lt;&gt;""),E2845*F2845,"")</f>
      </c>
    </row>
    <row r="2846" ht="16.5" customHeight="1" s="71">
      <c r="B2846" s="169" t="n"/>
      <c r="C2846" s="35" t="n"/>
      <c r="D2846" s="35" t="n"/>
      <c r="E2846" s="35" t="n"/>
      <c r="F2846" s="166" t="n"/>
      <c r="G2846" s="166">
        <f>IF(AND(E2846&lt;&gt;"",F2846&lt;&gt;""),E2846*F2846,"")</f>
      </c>
    </row>
    <row r="2847" ht="16.5" customHeight="1" s="71">
      <c r="B2847" s="169" t="n"/>
      <c r="C2847" s="35" t="n"/>
      <c r="D2847" s="35" t="n"/>
      <c r="E2847" s="35" t="n"/>
      <c r="F2847" s="166" t="n"/>
      <c r="G2847" s="166">
        <f>IF(AND(E2847&lt;&gt;"",F2847&lt;&gt;""),E2847*F2847,"")</f>
      </c>
    </row>
    <row r="2848" ht="16.5" customHeight="1" s="71">
      <c r="B2848" s="169" t="n"/>
      <c r="C2848" s="35" t="n"/>
      <c r="D2848" s="35" t="n"/>
      <c r="E2848" s="35" t="n"/>
      <c r="F2848" s="166" t="n"/>
      <c r="G2848" s="166">
        <f>IF(AND(E2848&lt;&gt;"",F2848&lt;&gt;""),E2848*F2848,"")</f>
      </c>
    </row>
    <row r="2849" ht="16.5" customHeight="1" s="71">
      <c r="B2849" s="169" t="n"/>
      <c r="C2849" s="35" t="n"/>
      <c r="D2849" s="35" t="n"/>
      <c r="E2849" s="35" t="n"/>
      <c r="F2849" s="166" t="n"/>
      <c r="G2849" s="166">
        <f>IF(AND(E2849&lt;&gt;"",F2849&lt;&gt;""),E2849*F2849,"")</f>
      </c>
    </row>
    <row r="2850" ht="16.5" customHeight="1" s="71">
      <c r="B2850" s="169" t="n"/>
      <c r="C2850" s="35" t="n"/>
      <c r="D2850" s="35" t="n"/>
      <c r="E2850" s="35" t="n"/>
      <c r="F2850" s="166" t="n"/>
      <c r="G2850" s="166">
        <f>IF(AND(E2850&lt;&gt;"",F2850&lt;&gt;""),E2850*F2850,"")</f>
      </c>
    </row>
    <row r="2851" ht="16.5" customHeight="1" s="71">
      <c r="B2851" s="169" t="n"/>
      <c r="C2851" s="35" t="n"/>
      <c r="D2851" s="35" t="n"/>
      <c r="E2851" s="35" t="n"/>
      <c r="F2851" s="166" t="n"/>
      <c r="G2851" s="166">
        <f>IF(AND(E2851&lt;&gt;"",F2851&lt;&gt;""),E2851*F2851,"")</f>
      </c>
    </row>
    <row r="2852" ht="16.5" customHeight="1" s="71">
      <c r="B2852" s="169" t="n"/>
      <c r="C2852" s="35" t="n"/>
      <c r="D2852" s="35" t="n"/>
      <c r="E2852" s="35" t="n"/>
      <c r="F2852" s="166" t="n"/>
      <c r="G2852" s="166">
        <f>IF(AND(E2852&lt;&gt;"",F2852&lt;&gt;""),E2852*F2852,"")</f>
      </c>
    </row>
    <row r="2853" ht="16.5" customHeight="1" s="71">
      <c r="B2853" s="169" t="n"/>
      <c r="C2853" s="35" t="n"/>
      <c r="D2853" s="35" t="n"/>
      <c r="E2853" s="35" t="n"/>
      <c r="F2853" s="166" t="n"/>
      <c r="G2853" s="166">
        <f>IF(AND(E2853&lt;&gt;"",F2853&lt;&gt;""),E2853*F2853,"")</f>
      </c>
    </row>
    <row r="2854" ht="16.5" customHeight="1" s="71">
      <c r="B2854" s="169" t="n"/>
      <c r="C2854" s="35" t="n"/>
      <c r="D2854" s="35" t="n"/>
      <c r="E2854" s="35" t="n"/>
      <c r="F2854" s="166" t="n"/>
      <c r="G2854" s="166">
        <f>IF(AND(E2854&lt;&gt;"",F2854&lt;&gt;""),E2854*F2854,"")</f>
      </c>
    </row>
    <row r="2855" ht="16.5" customHeight="1" s="71">
      <c r="B2855" s="169" t="n"/>
      <c r="C2855" s="35" t="n"/>
      <c r="D2855" s="35" t="n"/>
      <c r="E2855" s="35" t="n"/>
      <c r="F2855" s="166" t="n"/>
      <c r="G2855" s="166">
        <f>IF(AND(E2855&lt;&gt;"",F2855&lt;&gt;""),E2855*F2855,"")</f>
      </c>
    </row>
    <row r="2856" ht="16.5" customHeight="1" s="71">
      <c r="B2856" s="169" t="n"/>
      <c r="C2856" s="35" t="n"/>
      <c r="D2856" s="35" t="n"/>
      <c r="E2856" s="35" t="n"/>
      <c r="F2856" s="166" t="n"/>
      <c r="G2856" s="166">
        <f>IF(AND(E2856&lt;&gt;"",F2856&lt;&gt;""),E2856*F2856,"")</f>
      </c>
    </row>
    <row r="2857" ht="16.5" customHeight="1" s="71">
      <c r="B2857" s="169" t="n"/>
      <c r="C2857" s="35" t="n"/>
      <c r="D2857" s="35" t="n"/>
      <c r="E2857" s="35" t="n"/>
      <c r="F2857" s="166" t="n"/>
      <c r="G2857" s="166">
        <f>IF(AND(E2857&lt;&gt;"",F2857&lt;&gt;""),E2857*F2857,"")</f>
      </c>
    </row>
    <row r="2858" ht="16.5" customHeight="1" s="71">
      <c r="B2858" s="169" t="n"/>
      <c r="C2858" s="35" t="n"/>
      <c r="D2858" s="35" t="n"/>
      <c r="E2858" s="35" t="n"/>
      <c r="F2858" s="166" t="n"/>
      <c r="G2858" s="166">
        <f>IF(AND(E2858&lt;&gt;"",F2858&lt;&gt;""),E2858*F2858,"")</f>
      </c>
    </row>
    <row r="2859" ht="16.5" customHeight="1" s="71">
      <c r="B2859" s="169" t="n"/>
      <c r="C2859" s="35" t="n"/>
      <c r="D2859" s="35" t="n"/>
      <c r="E2859" s="35" t="n"/>
      <c r="F2859" s="166" t="n"/>
      <c r="G2859" s="166">
        <f>IF(AND(E2859&lt;&gt;"",F2859&lt;&gt;""),E2859*F2859,"")</f>
      </c>
    </row>
    <row r="2860" ht="16.5" customHeight="1" s="71">
      <c r="B2860" s="169" t="n"/>
      <c r="C2860" s="35" t="n"/>
      <c r="D2860" s="35" t="n"/>
      <c r="E2860" s="35" t="n"/>
      <c r="F2860" s="166" t="n"/>
      <c r="G2860" s="166">
        <f>IF(AND(E2860&lt;&gt;"",F2860&lt;&gt;""),E2860*F2860,"")</f>
      </c>
    </row>
    <row r="2861" ht="16.5" customHeight="1" s="71">
      <c r="B2861" s="169" t="n"/>
      <c r="C2861" s="35" t="n"/>
      <c r="D2861" s="35" t="n"/>
      <c r="E2861" s="35" t="n"/>
      <c r="F2861" s="166" t="n"/>
      <c r="G2861" s="166">
        <f>IF(AND(E2861&lt;&gt;"",F2861&lt;&gt;""),E2861*F2861,"")</f>
      </c>
    </row>
    <row r="2862" ht="16.5" customHeight="1" s="71">
      <c r="B2862" s="169" t="n"/>
      <c r="C2862" s="35" t="n"/>
      <c r="D2862" s="35" t="n"/>
      <c r="E2862" s="35" t="n"/>
      <c r="F2862" s="166" t="n"/>
      <c r="G2862" s="166">
        <f>IF(AND(E2862&lt;&gt;"",F2862&lt;&gt;""),E2862*F2862,"")</f>
      </c>
    </row>
    <row r="2863" ht="16.5" customHeight="1" s="71">
      <c r="B2863" s="169" t="n"/>
      <c r="C2863" s="35" t="n"/>
      <c r="D2863" s="35" t="n"/>
      <c r="E2863" s="35" t="n"/>
      <c r="F2863" s="166" t="n"/>
      <c r="G2863" s="166">
        <f>IF(AND(E2863&lt;&gt;"",F2863&lt;&gt;""),E2863*F2863,"")</f>
      </c>
    </row>
    <row r="2864" ht="16.5" customHeight="1" s="71">
      <c r="B2864" s="169" t="n"/>
      <c r="C2864" s="35" t="n"/>
      <c r="D2864" s="35" t="n"/>
      <c r="E2864" s="35" t="n"/>
      <c r="F2864" s="166" t="n"/>
      <c r="G2864" s="166">
        <f>IF(AND(E2864&lt;&gt;"",F2864&lt;&gt;""),E2864*F2864,"")</f>
      </c>
    </row>
    <row r="2865" ht="16.5" customHeight="1" s="71">
      <c r="B2865" s="169" t="n"/>
      <c r="C2865" s="35" t="n"/>
      <c r="D2865" s="35" t="n"/>
      <c r="E2865" s="35" t="n"/>
      <c r="F2865" s="166" t="n"/>
      <c r="G2865" s="166">
        <f>IF(AND(E2865&lt;&gt;"",F2865&lt;&gt;""),E2865*F2865,"")</f>
      </c>
    </row>
    <row r="2866" ht="16.5" customHeight="1" s="71">
      <c r="B2866" s="169" t="n"/>
      <c r="C2866" s="35" t="n"/>
      <c r="D2866" s="35" t="n"/>
      <c r="E2866" s="35" t="n"/>
      <c r="F2866" s="166" t="n"/>
      <c r="G2866" s="166">
        <f>IF(AND(E2866&lt;&gt;"",F2866&lt;&gt;""),E2866*F2866,"")</f>
      </c>
    </row>
    <row r="2867" ht="16.5" customHeight="1" s="71">
      <c r="B2867" s="169" t="n"/>
      <c r="C2867" s="35" t="n"/>
      <c r="D2867" s="35" t="n"/>
      <c r="E2867" s="35" t="n"/>
      <c r="F2867" s="166" t="n"/>
      <c r="G2867" s="166">
        <f>IF(AND(E2867&lt;&gt;"",F2867&lt;&gt;""),E2867*F2867,"")</f>
      </c>
    </row>
    <row r="2868" ht="16.5" customHeight="1" s="71">
      <c r="B2868" s="169" t="n"/>
      <c r="C2868" s="35" t="n"/>
      <c r="D2868" s="35" t="n"/>
      <c r="E2868" s="35" t="n"/>
      <c r="F2868" s="166" t="n"/>
      <c r="G2868" s="166">
        <f>IF(AND(E2868&lt;&gt;"",F2868&lt;&gt;""),E2868*F2868,"")</f>
      </c>
    </row>
    <row r="2869" ht="16.5" customHeight="1" s="71">
      <c r="B2869" s="169" t="n"/>
      <c r="C2869" s="35" t="n"/>
      <c r="D2869" s="35" t="n"/>
      <c r="E2869" s="35" t="n"/>
      <c r="F2869" s="166" t="n"/>
      <c r="G2869" s="166">
        <f>IF(AND(E2869&lt;&gt;"",F2869&lt;&gt;""),E2869*F2869,"")</f>
      </c>
    </row>
    <row r="2870" ht="16.5" customHeight="1" s="71">
      <c r="B2870" s="169" t="n"/>
      <c r="C2870" s="35" t="n"/>
      <c r="D2870" s="35" t="n"/>
      <c r="E2870" s="35" t="n"/>
      <c r="F2870" s="166" t="n"/>
      <c r="G2870" s="166">
        <f>IF(AND(E2870&lt;&gt;"",F2870&lt;&gt;""),E2870*F2870,"")</f>
      </c>
    </row>
    <row r="2871" ht="16.5" customHeight="1" s="71">
      <c r="B2871" s="169" t="n"/>
      <c r="C2871" s="35" t="n"/>
      <c r="D2871" s="35" t="n"/>
      <c r="E2871" s="35" t="n"/>
      <c r="F2871" s="166" t="n"/>
      <c r="G2871" s="166">
        <f>IF(AND(E2871&lt;&gt;"",F2871&lt;&gt;""),E2871*F2871,"")</f>
      </c>
    </row>
    <row r="2872" ht="16.5" customHeight="1" s="71">
      <c r="B2872" s="169" t="n"/>
      <c r="C2872" s="35" t="n"/>
      <c r="D2872" s="35" t="n"/>
      <c r="E2872" s="35" t="n"/>
      <c r="F2872" s="166" t="n"/>
      <c r="G2872" s="166">
        <f>IF(AND(E2872&lt;&gt;"",F2872&lt;&gt;""),E2872*F2872,"")</f>
      </c>
    </row>
    <row r="2873" ht="16.5" customHeight="1" s="71">
      <c r="B2873" s="169" t="n"/>
      <c r="C2873" s="35" t="n"/>
      <c r="D2873" s="35" t="n"/>
      <c r="E2873" s="35" t="n"/>
      <c r="F2873" s="166" t="n"/>
      <c r="G2873" s="166">
        <f>IF(AND(E2873&lt;&gt;"",F2873&lt;&gt;""),E2873*F2873,"")</f>
      </c>
    </row>
    <row r="2874" ht="16.5" customHeight="1" s="71">
      <c r="B2874" s="169" t="n"/>
      <c r="C2874" s="35" t="n"/>
      <c r="D2874" s="35" t="n"/>
      <c r="E2874" s="35" t="n"/>
      <c r="F2874" s="166" t="n"/>
      <c r="G2874" s="166">
        <f>IF(AND(E2874&lt;&gt;"",F2874&lt;&gt;""),E2874*F2874,"")</f>
      </c>
    </row>
    <row r="2875" ht="16.5" customHeight="1" s="71">
      <c r="B2875" s="169" t="n"/>
      <c r="C2875" s="35" t="n"/>
      <c r="D2875" s="35" t="n"/>
      <c r="E2875" s="35" t="n"/>
      <c r="F2875" s="166" t="n"/>
      <c r="G2875" s="166">
        <f>IF(AND(E2875&lt;&gt;"",F2875&lt;&gt;""),E2875*F2875,"")</f>
      </c>
    </row>
    <row r="2876" ht="16.5" customHeight="1" s="71">
      <c r="B2876" s="169" t="n"/>
      <c r="C2876" s="35" t="n"/>
      <c r="D2876" s="35" t="n"/>
      <c r="E2876" s="35" t="n"/>
      <c r="F2876" s="166" t="n"/>
      <c r="G2876" s="166">
        <f>IF(AND(E2876&lt;&gt;"",F2876&lt;&gt;""),E2876*F2876,"")</f>
      </c>
    </row>
    <row r="2877" ht="16.5" customHeight="1" s="71">
      <c r="B2877" s="169" t="n"/>
      <c r="C2877" s="35" t="n"/>
      <c r="D2877" s="35" t="n"/>
      <c r="E2877" s="35" t="n"/>
      <c r="F2877" s="166" t="n"/>
      <c r="G2877" s="166">
        <f>IF(AND(E2877&lt;&gt;"",F2877&lt;&gt;""),E2877*F2877,"")</f>
      </c>
    </row>
    <row r="2878" ht="16.5" customHeight="1" s="71">
      <c r="B2878" s="169" t="n"/>
      <c r="C2878" s="35" t="n"/>
      <c r="D2878" s="35" t="n"/>
      <c r="E2878" s="35" t="n"/>
      <c r="F2878" s="166" t="n"/>
      <c r="G2878" s="166">
        <f>IF(AND(E2878&lt;&gt;"",F2878&lt;&gt;""),E2878*F2878,"")</f>
      </c>
    </row>
    <row r="2879" ht="16.5" customHeight="1" s="71">
      <c r="B2879" s="169" t="n"/>
      <c r="C2879" s="35" t="n"/>
      <c r="D2879" s="35" t="n"/>
      <c r="E2879" s="35" t="n"/>
      <c r="F2879" s="166" t="n"/>
      <c r="G2879" s="166">
        <f>IF(AND(E2879&lt;&gt;"",F2879&lt;&gt;""),E2879*F2879,"")</f>
      </c>
    </row>
    <row r="2880" ht="16.5" customHeight="1" s="71">
      <c r="B2880" s="169" t="n"/>
      <c r="C2880" s="35" t="n"/>
      <c r="D2880" s="35" t="n"/>
      <c r="E2880" s="35" t="n"/>
      <c r="F2880" s="166" t="n"/>
      <c r="G2880" s="166">
        <f>IF(AND(E2880&lt;&gt;"",F2880&lt;&gt;""),E2880*F2880,"")</f>
      </c>
    </row>
    <row r="2881" ht="16.5" customHeight="1" s="71">
      <c r="B2881" s="169" t="n"/>
      <c r="C2881" s="35" t="n"/>
      <c r="D2881" s="35" t="n"/>
      <c r="E2881" s="35" t="n"/>
      <c r="F2881" s="166" t="n"/>
      <c r="G2881" s="166">
        <f>IF(AND(E2881&lt;&gt;"",F2881&lt;&gt;""),E2881*F2881,"")</f>
      </c>
    </row>
    <row r="2882" ht="16.5" customHeight="1" s="71">
      <c r="B2882" s="169" t="n"/>
      <c r="C2882" s="35" t="n"/>
      <c r="D2882" s="35" t="n"/>
      <c r="E2882" s="35" t="n"/>
      <c r="F2882" s="166" t="n"/>
      <c r="G2882" s="166">
        <f>IF(AND(E2882&lt;&gt;"",F2882&lt;&gt;""),E2882*F2882,"")</f>
      </c>
    </row>
    <row r="2883" ht="16.5" customHeight="1" s="71">
      <c r="B2883" s="169" t="n"/>
      <c r="C2883" s="35" t="n"/>
      <c r="D2883" s="35" t="n"/>
      <c r="E2883" s="35" t="n"/>
      <c r="F2883" s="166" t="n"/>
      <c r="G2883" s="166">
        <f>IF(AND(E2883&lt;&gt;"",F2883&lt;&gt;""),E2883*F2883,"")</f>
      </c>
    </row>
    <row r="2884" ht="16.5" customHeight="1" s="71">
      <c r="B2884" s="169" t="n"/>
      <c r="C2884" s="35" t="n"/>
      <c r="D2884" s="35" t="n"/>
      <c r="E2884" s="35" t="n"/>
      <c r="F2884" s="166" t="n"/>
      <c r="G2884" s="166">
        <f>IF(AND(E2884&lt;&gt;"",F2884&lt;&gt;""),E2884*F2884,"")</f>
      </c>
    </row>
    <row r="2885" ht="16.5" customHeight="1" s="71">
      <c r="B2885" s="169" t="n"/>
      <c r="C2885" s="35" t="n"/>
      <c r="D2885" s="35" t="n"/>
      <c r="E2885" s="35" t="n"/>
      <c r="F2885" s="166" t="n"/>
      <c r="G2885" s="166">
        <f>IF(AND(E2885&lt;&gt;"",F2885&lt;&gt;""),E2885*F2885,"")</f>
      </c>
    </row>
    <row r="2886" ht="16.5" customHeight="1" s="71">
      <c r="B2886" s="169" t="n"/>
      <c r="C2886" s="35" t="n"/>
      <c r="D2886" s="35" t="n"/>
      <c r="E2886" s="35" t="n"/>
      <c r="F2886" s="166" t="n"/>
      <c r="G2886" s="166">
        <f>IF(AND(E2886&lt;&gt;"",F2886&lt;&gt;""),E2886*F2886,"")</f>
      </c>
    </row>
    <row r="2887" ht="16.5" customHeight="1" s="71">
      <c r="B2887" s="169" t="n"/>
      <c r="C2887" s="35" t="n"/>
      <c r="D2887" s="35" t="n"/>
      <c r="E2887" s="35" t="n"/>
      <c r="F2887" s="166" t="n"/>
      <c r="G2887" s="166">
        <f>IF(AND(E2887&lt;&gt;"",F2887&lt;&gt;""),E2887*F2887,"")</f>
      </c>
    </row>
    <row r="2888" ht="16.5" customHeight="1" s="71">
      <c r="B2888" s="169" t="n"/>
      <c r="C2888" s="35" t="n"/>
      <c r="D2888" s="35" t="n"/>
      <c r="E2888" s="35" t="n"/>
      <c r="F2888" s="166" t="n"/>
      <c r="G2888" s="166">
        <f>IF(AND(E2888&lt;&gt;"",F2888&lt;&gt;""),E2888*F2888,"")</f>
      </c>
    </row>
    <row r="2889" ht="16.5" customHeight="1" s="71">
      <c r="B2889" s="169" t="n"/>
      <c r="C2889" s="35" t="n"/>
      <c r="D2889" s="35" t="n"/>
      <c r="E2889" s="35" t="n"/>
      <c r="F2889" s="166" t="n"/>
      <c r="G2889" s="166">
        <f>IF(AND(E2889&lt;&gt;"",F2889&lt;&gt;""),E2889*F2889,"")</f>
      </c>
    </row>
    <row r="2890" ht="16.5" customHeight="1" s="71">
      <c r="B2890" s="169" t="n"/>
      <c r="C2890" s="35" t="n"/>
      <c r="D2890" s="35" t="n"/>
      <c r="E2890" s="35" t="n"/>
      <c r="F2890" s="166" t="n"/>
      <c r="G2890" s="166">
        <f>IF(AND(E2890&lt;&gt;"",F2890&lt;&gt;""),E2890*F2890,"")</f>
      </c>
    </row>
    <row r="2891" ht="16.5" customHeight="1" s="71">
      <c r="B2891" s="169" t="n"/>
      <c r="C2891" s="35" t="n"/>
      <c r="D2891" s="35" t="n"/>
      <c r="E2891" s="35" t="n"/>
      <c r="F2891" s="166" t="n"/>
      <c r="G2891" s="166">
        <f>IF(AND(E2891&lt;&gt;"",F2891&lt;&gt;""),E2891*F2891,"")</f>
      </c>
    </row>
    <row r="2892" ht="16.5" customHeight="1" s="71">
      <c r="B2892" s="169" t="n"/>
      <c r="C2892" s="35" t="n"/>
      <c r="D2892" s="35" t="n"/>
      <c r="E2892" s="35" t="n"/>
      <c r="F2892" s="166" t="n"/>
      <c r="G2892" s="166">
        <f>IF(AND(E2892&lt;&gt;"",F2892&lt;&gt;""),E2892*F2892,"")</f>
      </c>
    </row>
    <row r="2893" ht="16.5" customHeight="1" s="71">
      <c r="B2893" s="169" t="n"/>
      <c r="C2893" s="35" t="n"/>
      <c r="D2893" s="35" t="n"/>
      <c r="E2893" s="35" t="n"/>
      <c r="F2893" s="166" t="n"/>
      <c r="G2893" s="166">
        <f>IF(AND(E2893&lt;&gt;"",F2893&lt;&gt;""),E2893*F2893,"")</f>
      </c>
    </row>
    <row r="2894" ht="16.5" customHeight="1" s="71">
      <c r="B2894" s="169" t="n"/>
      <c r="C2894" s="35" t="n"/>
      <c r="D2894" s="35" t="n"/>
      <c r="E2894" s="35" t="n"/>
      <c r="F2894" s="166" t="n"/>
      <c r="G2894" s="166">
        <f>IF(AND(E2894&lt;&gt;"",F2894&lt;&gt;""),E2894*F2894,"")</f>
      </c>
    </row>
    <row r="2895" ht="16.5" customHeight="1" s="71">
      <c r="B2895" s="169" t="n"/>
      <c r="C2895" s="35" t="n"/>
      <c r="D2895" s="35" t="n"/>
      <c r="E2895" s="35" t="n"/>
      <c r="F2895" s="166" t="n"/>
      <c r="G2895" s="166">
        <f>IF(AND(E2895&lt;&gt;"",F2895&lt;&gt;""),E2895*F2895,"")</f>
      </c>
    </row>
    <row r="2896" ht="16.5" customHeight="1" s="71">
      <c r="B2896" s="169" t="n"/>
      <c r="C2896" s="35" t="n"/>
      <c r="D2896" s="35" t="n"/>
      <c r="E2896" s="35" t="n"/>
      <c r="F2896" s="166" t="n"/>
      <c r="G2896" s="166">
        <f>IF(AND(E2896&lt;&gt;"",F2896&lt;&gt;""),E2896*F2896,"")</f>
      </c>
    </row>
    <row r="2897" ht="16.5" customHeight="1" s="71">
      <c r="B2897" s="169" t="n"/>
      <c r="C2897" s="35" t="n"/>
      <c r="D2897" s="35" t="n"/>
      <c r="E2897" s="35" t="n"/>
      <c r="F2897" s="166" t="n"/>
      <c r="G2897" s="166">
        <f>IF(AND(E2897&lt;&gt;"",F2897&lt;&gt;""),E2897*F2897,"")</f>
      </c>
    </row>
    <row r="2898" ht="16.5" customHeight="1" s="71">
      <c r="B2898" s="169" t="n"/>
      <c r="C2898" s="35" t="n"/>
      <c r="D2898" s="35" t="n"/>
      <c r="E2898" s="35" t="n"/>
      <c r="F2898" s="166" t="n"/>
      <c r="G2898" s="166">
        <f>IF(AND(E2898&lt;&gt;"",F2898&lt;&gt;""),E2898*F2898,"")</f>
      </c>
    </row>
    <row r="2899" ht="16.5" customHeight="1" s="71">
      <c r="B2899" s="169" t="n"/>
      <c r="C2899" s="35" t="n"/>
      <c r="D2899" s="35" t="n"/>
      <c r="E2899" s="35" t="n"/>
      <c r="F2899" s="166" t="n"/>
      <c r="G2899" s="166">
        <f>IF(AND(E2899&lt;&gt;"",F2899&lt;&gt;""),E2899*F2899,"")</f>
      </c>
    </row>
    <row r="2900" ht="16.5" customHeight="1" s="71">
      <c r="B2900" s="169" t="n"/>
      <c r="C2900" s="35" t="n"/>
      <c r="D2900" s="35" t="n"/>
      <c r="E2900" s="35" t="n"/>
      <c r="F2900" s="166" t="n"/>
      <c r="G2900" s="166">
        <f>IF(AND(E2900&lt;&gt;"",F2900&lt;&gt;""),E2900*F2900,"")</f>
      </c>
    </row>
    <row r="2901" ht="16.5" customHeight="1" s="71">
      <c r="B2901" s="169" t="n"/>
      <c r="C2901" s="35" t="n"/>
      <c r="D2901" s="35" t="n"/>
      <c r="E2901" s="35" t="n"/>
      <c r="F2901" s="166" t="n"/>
      <c r="G2901" s="166">
        <f>IF(AND(E2901&lt;&gt;"",F2901&lt;&gt;""),E2901*F2901,"")</f>
      </c>
    </row>
    <row r="2902" ht="16.5" customHeight="1" s="71">
      <c r="B2902" s="169" t="n"/>
      <c r="C2902" s="35" t="n"/>
      <c r="D2902" s="35" t="n"/>
      <c r="E2902" s="35" t="n"/>
      <c r="F2902" s="166" t="n"/>
      <c r="G2902" s="166">
        <f>IF(AND(E2902&lt;&gt;"",F2902&lt;&gt;""),E2902*F2902,"")</f>
      </c>
    </row>
    <row r="2903" ht="16.5" customHeight="1" s="71">
      <c r="B2903" s="169" t="n"/>
      <c r="C2903" s="35" t="n"/>
      <c r="D2903" s="35" t="n"/>
      <c r="E2903" s="35" t="n"/>
      <c r="F2903" s="166" t="n"/>
      <c r="G2903" s="166">
        <f>IF(AND(E2903&lt;&gt;"",F2903&lt;&gt;""),E2903*F2903,"")</f>
      </c>
    </row>
    <row r="2904" ht="16.5" customHeight="1" s="71">
      <c r="B2904" s="169" t="n"/>
      <c r="C2904" s="35" t="n"/>
      <c r="D2904" s="35" t="n"/>
      <c r="E2904" s="35" t="n"/>
      <c r="F2904" s="166" t="n"/>
      <c r="G2904" s="166">
        <f>IF(AND(E2904&lt;&gt;"",F2904&lt;&gt;""),E2904*F2904,"")</f>
      </c>
    </row>
    <row r="2905" ht="16.5" customHeight="1" s="71">
      <c r="B2905" s="169" t="n"/>
      <c r="C2905" s="35" t="n"/>
      <c r="D2905" s="35" t="n"/>
      <c r="E2905" s="35" t="n"/>
      <c r="F2905" s="166" t="n"/>
      <c r="G2905" s="166">
        <f>IF(AND(E2905&lt;&gt;"",F2905&lt;&gt;""),E2905*F2905,"")</f>
      </c>
    </row>
    <row r="2906" ht="16.5" customHeight="1" s="71">
      <c r="B2906" s="169" t="n"/>
      <c r="C2906" s="35" t="n"/>
      <c r="D2906" s="35" t="n"/>
      <c r="E2906" s="35" t="n"/>
      <c r="F2906" s="166" t="n"/>
      <c r="G2906" s="166">
        <f>IF(AND(E2906&lt;&gt;"",F2906&lt;&gt;""),E2906*F2906,"")</f>
      </c>
    </row>
    <row r="2907" ht="16.5" customHeight="1" s="71">
      <c r="B2907" s="169" t="n"/>
      <c r="C2907" s="35" t="n"/>
      <c r="D2907" s="35" t="n"/>
      <c r="E2907" s="35" t="n"/>
      <c r="F2907" s="166" t="n"/>
      <c r="G2907" s="166">
        <f>IF(AND(E2907&lt;&gt;"",F2907&lt;&gt;""),E2907*F2907,"")</f>
      </c>
    </row>
    <row r="2908" ht="16.5" customHeight="1" s="71">
      <c r="B2908" s="169" t="n"/>
      <c r="C2908" s="35" t="n"/>
      <c r="D2908" s="35" t="n"/>
      <c r="E2908" s="35" t="n"/>
      <c r="F2908" s="166" t="n"/>
      <c r="G2908" s="166">
        <f>IF(AND(E2908&lt;&gt;"",F2908&lt;&gt;""),E2908*F2908,"")</f>
      </c>
    </row>
    <row r="2909" ht="16.5" customHeight="1" s="71">
      <c r="B2909" s="169" t="n"/>
      <c r="C2909" s="35" t="n"/>
      <c r="D2909" s="35" t="n"/>
      <c r="E2909" s="35" t="n"/>
      <c r="F2909" s="166" t="n"/>
      <c r="G2909" s="166">
        <f>IF(AND(E2909&lt;&gt;"",F2909&lt;&gt;""),E2909*F2909,"")</f>
      </c>
    </row>
    <row r="2910" ht="16.5" customHeight="1" s="71">
      <c r="B2910" s="169" t="n"/>
      <c r="C2910" s="35" t="n"/>
      <c r="D2910" s="35" t="n"/>
      <c r="E2910" s="35" t="n"/>
      <c r="F2910" s="166" t="n"/>
      <c r="G2910" s="166">
        <f>IF(AND(E2910&lt;&gt;"",F2910&lt;&gt;""),E2910*F2910,"")</f>
      </c>
    </row>
    <row r="2911" ht="16.5" customHeight="1" s="71">
      <c r="B2911" s="169" t="n"/>
      <c r="C2911" s="35" t="n"/>
      <c r="D2911" s="35" t="n"/>
      <c r="E2911" s="35" t="n"/>
      <c r="F2911" s="166" t="n"/>
      <c r="G2911" s="166">
        <f>IF(AND(E2911&lt;&gt;"",F2911&lt;&gt;""),E2911*F2911,"")</f>
      </c>
    </row>
    <row r="2912" ht="16.5" customHeight="1" s="71">
      <c r="B2912" s="169" t="n"/>
      <c r="C2912" s="35" t="n"/>
      <c r="D2912" s="35" t="n"/>
      <c r="E2912" s="35" t="n"/>
      <c r="F2912" s="166" t="n"/>
      <c r="G2912" s="166">
        <f>IF(AND(E2912&lt;&gt;"",F2912&lt;&gt;""),E2912*F2912,"")</f>
      </c>
    </row>
    <row r="2913" ht="16.5" customHeight="1" s="71">
      <c r="B2913" s="169" t="n"/>
      <c r="C2913" s="35" t="n"/>
      <c r="D2913" s="35" t="n"/>
      <c r="E2913" s="35" t="n"/>
      <c r="F2913" s="166" t="n"/>
      <c r="G2913" s="166">
        <f>IF(AND(E2913&lt;&gt;"",F2913&lt;&gt;""),E2913*F2913,"")</f>
      </c>
    </row>
    <row r="2914" ht="16.5" customHeight="1" s="71">
      <c r="B2914" s="169" t="n"/>
      <c r="C2914" s="35" t="n"/>
      <c r="D2914" s="35" t="n"/>
      <c r="E2914" s="35" t="n"/>
      <c r="F2914" s="166" t="n"/>
      <c r="G2914" s="166">
        <f>IF(AND(E2914&lt;&gt;"",F2914&lt;&gt;""),E2914*F2914,"")</f>
      </c>
    </row>
    <row r="2915" ht="16.5" customHeight="1" s="71">
      <c r="B2915" s="169" t="n"/>
      <c r="C2915" s="35" t="n"/>
      <c r="D2915" s="35" t="n"/>
      <c r="E2915" s="35" t="n"/>
      <c r="F2915" s="166" t="n"/>
      <c r="G2915" s="166">
        <f>IF(AND(E2915&lt;&gt;"",F2915&lt;&gt;""),E2915*F2915,"")</f>
      </c>
    </row>
    <row r="2916" ht="16.5" customHeight="1" s="71">
      <c r="B2916" s="169" t="n"/>
      <c r="C2916" s="35" t="n"/>
      <c r="D2916" s="35" t="n"/>
      <c r="E2916" s="35" t="n"/>
      <c r="F2916" s="166" t="n"/>
      <c r="G2916" s="166">
        <f>IF(AND(E2916&lt;&gt;"",F2916&lt;&gt;""),E2916*F2916,"")</f>
      </c>
    </row>
    <row r="2917" ht="16.5" customHeight="1" s="71">
      <c r="B2917" s="169" t="n"/>
      <c r="C2917" s="35" t="n"/>
      <c r="D2917" s="35" t="n"/>
      <c r="E2917" s="35" t="n"/>
      <c r="F2917" s="166" t="n"/>
      <c r="G2917" s="166">
        <f>IF(AND(E2917&lt;&gt;"",F2917&lt;&gt;""),E2917*F2917,"")</f>
      </c>
    </row>
    <row r="2918" ht="16.5" customHeight="1" s="71">
      <c r="B2918" s="169" t="n"/>
      <c r="C2918" s="35" t="n"/>
      <c r="D2918" s="35" t="n"/>
      <c r="E2918" s="35" t="n"/>
      <c r="F2918" s="166" t="n"/>
      <c r="G2918" s="166">
        <f>IF(AND(E2918&lt;&gt;"",F2918&lt;&gt;""),E2918*F2918,"")</f>
      </c>
    </row>
    <row r="2919" ht="16.5" customHeight="1" s="71">
      <c r="B2919" s="169" t="n"/>
      <c r="C2919" s="35" t="n"/>
      <c r="D2919" s="35" t="n"/>
      <c r="E2919" s="35" t="n"/>
      <c r="F2919" s="166" t="n"/>
      <c r="G2919" s="166">
        <f>IF(AND(E2919&lt;&gt;"",F2919&lt;&gt;""),E2919*F2919,"")</f>
      </c>
    </row>
    <row r="2920" ht="16.5" customHeight="1" s="71">
      <c r="B2920" s="169" t="n"/>
      <c r="C2920" s="35" t="n"/>
      <c r="D2920" s="35" t="n"/>
      <c r="E2920" s="35" t="n"/>
      <c r="F2920" s="166" t="n"/>
      <c r="G2920" s="166">
        <f>IF(AND(E2920&lt;&gt;"",F2920&lt;&gt;""),E2920*F2920,"")</f>
      </c>
    </row>
    <row r="2921" ht="16.5" customHeight="1" s="71">
      <c r="B2921" s="169" t="n"/>
      <c r="C2921" s="35" t="n"/>
      <c r="D2921" s="35" t="n"/>
      <c r="E2921" s="35" t="n"/>
      <c r="F2921" s="166" t="n"/>
      <c r="G2921" s="166">
        <f>IF(AND(E2921&lt;&gt;"",F2921&lt;&gt;""),E2921*F2921,"")</f>
      </c>
    </row>
    <row r="2922" ht="16.5" customHeight="1" s="71">
      <c r="B2922" s="169" t="n"/>
      <c r="C2922" s="35" t="n"/>
      <c r="D2922" s="35" t="n"/>
      <c r="E2922" s="35" t="n"/>
      <c r="F2922" s="166" t="n"/>
      <c r="G2922" s="166">
        <f>IF(AND(E2922&lt;&gt;"",F2922&lt;&gt;""),E2922*F2922,"")</f>
      </c>
    </row>
    <row r="2923" ht="16.5" customHeight="1" s="71">
      <c r="B2923" s="169" t="n"/>
      <c r="C2923" s="35" t="n"/>
      <c r="D2923" s="35" t="n"/>
      <c r="E2923" s="35" t="n"/>
      <c r="F2923" s="166" t="n"/>
      <c r="G2923" s="166">
        <f>IF(AND(E2923&lt;&gt;"",F2923&lt;&gt;""),E2923*F2923,"")</f>
      </c>
    </row>
    <row r="2924" ht="16.5" customHeight="1" s="71">
      <c r="B2924" s="169" t="n"/>
      <c r="C2924" s="35" t="n"/>
      <c r="D2924" s="35" t="n"/>
      <c r="E2924" s="35" t="n"/>
      <c r="F2924" s="166" t="n"/>
      <c r="G2924" s="166">
        <f>IF(AND(E2924&lt;&gt;"",F2924&lt;&gt;""),E2924*F2924,"")</f>
      </c>
    </row>
    <row r="2925" ht="16.5" customHeight="1" s="71">
      <c r="B2925" s="169" t="n"/>
      <c r="C2925" s="35" t="n"/>
      <c r="D2925" s="35" t="n"/>
      <c r="E2925" s="35" t="n"/>
      <c r="F2925" s="166" t="n"/>
      <c r="G2925" s="166">
        <f>IF(AND(E2925&lt;&gt;"",F2925&lt;&gt;""),E2925*F2925,"")</f>
      </c>
    </row>
    <row r="2926" ht="16.5" customHeight="1" s="71">
      <c r="B2926" s="169" t="n"/>
      <c r="C2926" s="35" t="n"/>
      <c r="D2926" s="35" t="n"/>
      <c r="E2926" s="35" t="n"/>
      <c r="F2926" s="166" t="n"/>
      <c r="G2926" s="166">
        <f>IF(AND(E2926&lt;&gt;"",F2926&lt;&gt;""),E2926*F2926,"")</f>
      </c>
    </row>
    <row r="2927" ht="16.5" customHeight="1" s="71">
      <c r="B2927" s="169" t="n"/>
      <c r="C2927" s="35" t="n"/>
      <c r="D2927" s="35" t="n"/>
      <c r="E2927" s="35" t="n"/>
      <c r="F2927" s="166" t="n"/>
      <c r="G2927" s="166">
        <f>IF(AND(E2927&lt;&gt;"",F2927&lt;&gt;""),E2927*F2927,"")</f>
      </c>
    </row>
    <row r="2928" ht="16.5" customHeight="1" s="71">
      <c r="B2928" s="169" t="n"/>
      <c r="C2928" s="35" t="n"/>
      <c r="D2928" s="35" t="n"/>
      <c r="E2928" s="35" t="n"/>
      <c r="F2928" s="166" t="n"/>
      <c r="G2928" s="166">
        <f>IF(AND(E2928&lt;&gt;"",F2928&lt;&gt;""),E2928*F2928,"")</f>
      </c>
    </row>
    <row r="2929" ht="16.5" customHeight="1" s="71">
      <c r="B2929" s="169" t="n"/>
      <c r="C2929" s="35" t="n"/>
      <c r="D2929" s="35" t="n"/>
      <c r="E2929" s="35" t="n"/>
      <c r="F2929" s="166" t="n"/>
      <c r="G2929" s="166">
        <f>IF(AND(E2929&lt;&gt;"",F2929&lt;&gt;""),E2929*F2929,"")</f>
      </c>
    </row>
    <row r="2930" ht="16.5" customHeight="1" s="71">
      <c r="B2930" s="169" t="n"/>
      <c r="C2930" s="35" t="n"/>
      <c r="D2930" s="35" t="n"/>
      <c r="E2930" s="35" t="n"/>
      <c r="F2930" s="166" t="n"/>
      <c r="G2930" s="166">
        <f>IF(AND(E2930&lt;&gt;"",F2930&lt;&gt;""),E2930*F2930,"")</f>
      </c>
    </row>
    <row r="2931" ht="16.5" customHeight="1" s="71">
      <c r="B2931" s="169" t="n"/>
      <c r="C2931" s="35" t="n"/>
      <c r="D2931" s="35" t="n"/>
      <c r="E2931" s="35" t="n"/>
      <c r="F2931" s="166" t="n"/>
      <c r="G2931" s="166">
        <f>IF(AND(E2931&lt;&gt;"",F2931&lt;&gt;""),E2931*F2931,"")</f>
      </c>
    </row>
    <row r="2932" ht="16.5" customHeight="1" s="71">
      <c r="B2932" s="169" t="n"/>
      <c r="C2932" s="35" t="n"/>
      <c r="D2932" s="35" t="n"/>
      <c r="E2932" s="35" t="n"/>
      <c r="F2932" s="166" t="n"/>
      <c r="G2932" s="166">
        <f>IF(AND(E2932&lt;&gt;"",F2932&lt;&gt;""),E2932*F2932,"")</f>
      </c>
    </row>
    <row r="2933" ht="16.5" customHeight="1" s="71">
      <c r="B2933" s="169" t="n"/>
      <c r="C2933" s="35" t="n"/>
      <c r="D2933" s="35" t="n"/>
      <c r="E2933" s="35" t="n"/>
      <c r="F2933" s="166" t="n"/>
      <c r="G2933" s="166">
        <f>IF(AND(E2933&lt;&gt;"",F2933&lt;&gt;""),E2933*F2933,"")</f>
      </c>
    </row>
    <row r="2934" ht="16.5" customHeight="1" s="71">
      <c r="B2934" s="169" t="n"/>
      <c r="C2934" s="35" t="n"/>
      <c r="D2934" s="35" t="n"/>
      <c r="E2934" s="35" t="n"/>
      <c r="F2934" s="166" t="n"/>
      <c r="G2934" s="166">
        <f>IF(AND(E2934&lt;&gt;"",F2934&lt;&gt;""),E2934*F2934,"")</f>
      </c>
    </row>
    <row r="2935" ht="16.5" customHeight="1" s="71">
      <c r="B2935" s="169" t="n"/>
      <c r="C2935" s="35" t="n"/>
      <c r="D2935" s="35" t="n"/>
      <c r="E2935" s="35" t="n"/>
      <c r="F2935" s="166" t="n"/>
      <c r="G2935" s="166">
        <f>IF(AND(E2935&lt;&gt;"",F2935&lt;&gt;""),E2935*F2935,"")</f>
      </c>
    </row>
    <row r="2936" ht="16.5" customHeight="1" s="71">
      <c r="B2936" s="169" t="n"/>
      <c r="C2936" s="35" t="n"/>
      <c r="D2936" s="35" t="n"/>
      <c r="E2936" s="35" t="n"/>
      <c r="F2936" s="166" t="n"/>
      <c r="G2936" s="166">
        <f>IF(AND(E2936&lt;&gt;"",F2936&lt;&gt;""),E2936*F2936,"")</f>
      </c>
    </row>
    <row r="2937" ht="16.5" customHeight="1" s="71">
      <c r="B2937" s="169" t="n"/>
      <c r="C2937" s="35" t="n"/>
      <c r="D2937" s="35" t="n"/>
      <c r="E2937" s="35" t="n"/>
      <c r="F2937" s="166" t="n"/>
      <c r="G2937" s="166">
        <f>IF(AND(E2937&lt;&gt;"",F2937&lt;&gt;""),E2937*F2937,"")</f>
      </c>
    </row>
    <row r="2938" ht="16.5" customHeight="1" s="71">
      <c r="B2938" s="169" t="n"/>
      <c r="C2938" s="35" t="n"/>
      <c r="D2938" s="35" t="n"/>
      <c r="E2938" s="35" t="n"/>
      <c r="F2938" s="166" t="n"/>
      <c r="G2938" s="166">
        <f>IF(AND(E2938&lt;&gt;"",F2938&lt;&gt;""),E2938*F2938,"")</f>
      </c>
    </row>
    <row r="2939" ht="16.5" customHeight="1" s="71">
      <c r="B2939" s="169" t="n"/>
      <c r="C2939" s="35" t="n"/>
      <c r="D2939" s="35" t="n"/>
      <c r="E2939" s="35" t="n"/>
      <c r="F2939" s="166" t="n"/>
      <c r="G2939" s="166">
        <f>IF(AND(E2939&lt;&gt;"",F2939&lt;&gt;""),E2939*F2939,"")</f>
      </c>
    </row>
    <row r="2940" ht="16.5" customHeight="1" s="71">
      <c r="B2940" s="169" t="n"/>
      <c r="C2940" s="35" t="n"/>
      <c r="D2940" s="35" t="n"/>
      <c r="E2940" s="35" t="n"/>
      <c r="F2940" s="166" t="n"/>
      <c r="G2940" s="166">
        <f>IF(AND(E2940&lt;&gt;"",F2940&lt;&gt;""),E2940*F2940,"")</f>
      </c>
    </row>
    <row r="2941" ht="16.5" customHeight="1" s="71">
      <c r="B2941" s="169" t="n"/>
      <c r="C2941" s="35" t="n"/>
      <c r="D2941" s="35" t="n"/>
      <c r="E2941" s="35" t="n"/>
      <c r="F2941" s="166" t="n"/>
      <c r="G2941" s="166">
        <f>IF(AND(E2941&lt;&gt;"",F2941&lt;&gt;""),E2941*F2941,"")</f>
      </c>
    </row>
    <row r="2942" ht="16.5" customHeight="1" s="71">
      <c r="B2942" s="169" t="n"/>
      <c r="C2942" s="35" t="n"/>
      <c r="D2942" s="35" t="n"/>
      <c r="E2942" s="35" t="n"/>
      <c r="F2942" s="166" t="n"/>
      <c r="G2942" s="166">
        <f>IF(AND(E2942&lt;&gt;"",F2942&lt;&gt;""),E2942*F2942,"")</f>
      </c>
    </row>
    <row r="2943" ht="16.5" customHeight="1" s="71">
      <c r="B2943" s="169" t="n"/>
      <c r="C2943" s="35" t="n"/>
      <c r="D2943" s="35" t="n"/>
      <c r="E2943" s="35" t="n"/>
      <c r="F2943" s="166" t="n"/>
      <c r="G2943" s="166">
        <f>IF(AND(E2943&lt;&gt;"",F2943&lt;&gt;""),E2943*F2943,"")</f>
      </c>
    </row>
    <row r="2944" ht="16.5" customHeight="1" s="71">
      <c r="B2944" s="169" t="n"/>
      <c r="C2944" s="35" t="n"/>
      <c r="D2944" s="35" t="n"/>
      <c r="E2944" s="35" t="n"/>
      <c r="F2944" s="166" t="n"/>
      <c r="G2944" s="166">
        <f>IF(AND(E2944&lt;&gt;"",F2944&lt;&gt;""),E2944*F2944,"")</f>
      </c>
    </row>
    <row r="2945" ht="16.5" customHeight="1" s="71">
      <c r="B2945" s="169" t="n"/>
      <c r="C2945" s="35" t="n"/>
      <c r="D2945" s="35" t="n"/>
      <c r="E2945" s="35" t="n"/>
      <c r="F2945" s="166" t="n"/>
      <c r="G2945" s="166">
        <f>IF(AND(E2945&lt;&gt;"",F2945&lt;&gt;""),E2945*F2945,"")</f>
      </c>
    </row>
    <row r="2946" ht="16.5" customHeight="1" s="71">
      <c r="B2946" s="169" t="n"/>
      <c r="C2946" s="35" t="n"/>
      <c r="D2946" s="35" t="n"/>
      <c r="E2946" s="35" t="n"/>
      <c r="F2946" s="166" t="n"/>
      <c r="G2946" s="166">
        <f>IF(AND(E2946&lt;&gt;"",F2946&lt;&gt;""),E2946*F2946,"")</f>
      </c>
    </row>
    <row r="2947" ht="16.5" customHeight="1" s="71">
      <c r="B2947" s="169" t="n"/>
      <c r="C2947" s="35" t="n"/>
      <c r="D2947" s="35" t="n"/>
      <c r="E2947" s="35" t="n"/>
      <c r="F2947" s="166" t="n"/>
      <c r="G2947" s="166">
        <f>IF(AND(E2947&lt;&gt;"",F2947&lt;&gt;""),E2947*F2947,"")</f>
      </c>
    </row>
    <row r="2948" ht="16.5" customHeight="1" s="71">
      <c r="B2948" s="169" t="n"/>
      <c r="C2948" s="35" t="n"/>
      <c r="D2948" s="35" t="n"/>
      <c r="E2948" s="35" t="n"/>
      <c r="F2948" s="166" t="n"/>
      <c r="G2948" s="166">
        <f>IF(AND(E2948&lt;&gt;"",F2948&lt;&gt;""),E2948*F2948,"")</f>
      </c>
    </row>
    <row r="2949" ht="16.5" customHeight="1" s="71">
      <c r="B2949" s="169" t="n"/>
      <c r="C2949" s="35" t="n"/>
      <c r="D2949" s="35" t="n"/>
      <c r="E2949" s="35" t="n"/>
      <c r="F2949" s="166" t="n"/>
      <c r="G2949" s="166">
        <f>IF(AND(E2949&lt;&gt;"",F2949&lt;&gt;""),E2949*F2949,"")</f>
      </c>
    </row>
    <row r="2950" ht="16.5" customHeight="1" s="71">
      <c r="B2950" s="169" t="n"/>
      <c r="C2950" s="35" t="n"/>
      <c r="D2950" s="35" t="n"/>
      <c r="E2950" s="35" t="n"/>
      <c r="F2950" s="166" t="n"/>
      <c r="G2950" s="166">
        <f>IF(AND(E2950&lt;&gt;"",F2950&lt;&gt;""),E2950*F2950,"")</f>
      </c>
    </row>
    <row r="2951" ht="16.5" customHeight="1" s="71">
      <c r="B2951" s="169" t="n"/>
      <c r="C2951" s="35" t="n"/>
      <c r="D2951" s="35" t="n"/>
      <c r="E2951" s="35" t="n"/>
      <c r="F2951" s="166" t="n"/>
      <c r="G2951" s="166">
        <f>IF(AND(E2951&lt;&gt;"",F2951&lt;&gt;""),E2951*F2951,"")</f>
      </c>
    </row>
    <row r="2952" ht="16.5" customHeight="1" s="71">
      <c r="B2952" s="169" t="n"/>
      <c r="C2952" s="35" t="n"/>
      <c r="D2952" s="35" t="n"/>
      <c r="E2952" s="35" t="n"/>
      <c r="F2952" s="166" t="n"/>
      <c r="G2952" s="166">
        <f>IF(AND(E2952&lt;&gt;"",F2952&lt;&gt;""),E2952*F2952,"")</f>
      </c>
    </row>
    <row r="2953" ht="16.5" customHeight="1" s="71">
      <c r="B2953" s="169" t="n"/>
      <c r="C2953" s="35" t="n"/>
      <c r="D2953" s="35" t="n"/>
      <c r="E2953" s="35" t="n"/>
      <c r="F2953" s="166" t="n"/>
      <c r="G2953" s="166">
        <f>IF(AND(E2953&lt;&gt;"",F2953&lt;&gt;""),E2953*F2953,"")</f>
      </c>
    </row>
    <row r="2954" ht="16.5" customHeight="1" s="71">
      <c r="B2954" s="169" t="n"/>
      <c r="C2954" s="35" t="n"/>
      <c r="D2954" s="35" t="n"/>
      <c r="E2954" s="35" t="n"/>
      <c r="F2954" s="166" t="n"/>
      <c r="G2954" s="166">
        <f>IF(AND(E2954&lt;&gt;"",F2954&lt;&gt;""),E2954*F2954,"")</f>
      </c>
    </row>
    <row r="2955" ht="16.5" customHeight="1" s="71">
      <c r="B2955" s="169" t="n"/>
      <c r="C2955" s="35" t="n"/>
      <c r="D2955" s="35" t="n"/>
      <c r="E2955" s="35" t="n"/>
      <c r="F2955" s="166" t="n"/>
      <c r="G2955" s="166">
        <f>IF(AND(E2955&lt;&gt;"",F2955&lt;&gt;""),E2955*F2955,"")</f>
      </c>
    </row>
    <row r="2956" ht="16.5" customHeight="1" s="71">
      <c r="B2956" s="169" t="n"/>
      <c r="C2956" s="35" t="n"/>
      <c r="D2956" s="35" t="n"/>
      <c r="E2956" s="35" t="n"/>
      <c r="F2956" s="166" t="n"/>
      <c r="G2956" s="166">
        <f>IF(AND(E2956&lt;&gt;"",F2956&lt;&gt;""),E2956*F2956,"")</f>
      </c>
    </row>
    <row r="2957" ht="16.5" customHeight="1" s="71">
      <c r="B2957" s="169" t="n"/>
      <c r="C2957" s="35" t="n"/>
      <c r="D2957" s="35" t="n"/>
      <c r="E2957" s="35" t="n"/>
      <c r="F2957" s="166" t="n"/>
      <c r="G2957" s="166">
        <f>IF(AND(E2957&lt;&gt;"",F2957&lt;&gt;""),E2957*F2957,"")</f>
      </c>
    </row>
    <row r="2958" ht="16.5" customHeight="1" s="71">
      <c r="B2958" s="169" t="n"/>
      <c r="C2958" s="35" t="n"/>
      <c r="D2958" s="35" t="n"/>
      <c r="E2958" s="35" t="n"/>
      <c r="F2958" s="166" t="n"/>
      <c r="G2958" s="166">
        <f>IF(AND(E2958&lt;&gt;"",F2958&lt;&gt;""),E2958*F2958,"")</f>
      </c>
    </row>
    <row r="2959" ht="16.5" customHeight="1" s="71">
      <c r="B2959" s="169" t="n"/>
      <c r="C2959" s="35" t="n"/>
      <c r="D2959" s="35" t="n"/>
      <c r="E2959" s="35" t="n"/>
      <c r="F2959" s="166" t="n"/>
      <c r="G2959" s="166">
        <f>IF(AND(E2959&lt;&gt;"",F2959&lt;&gt;""),E2959*F2959,"")</f>
      </c>
    </row>
    <row r="2960" ht="16.5" customHeight="1" s="71">
      <c r="B2960" s="169" t="n"/>
      <c r="C2960" s="35" t="n"/>
      <c r="D2960" s="35" t="n"/>
      <c r="E2960" s="35" t="n"/>
      <c r="F2960" s="166" t="n"/>
      <c r="G2960" s="166">
        <f>IF(AND(E2960&lt;&gt;"",F2960&lt;&gt;""),E2960*F2960,"")</f>
      </c>
    </row>
    <row r="2961" ht="16.5" customHeight="1" s="71">
      <c r="B2961" s="169" t="n"/>
      <c r="C2961" s="35" t="n"/>
      <c r="D2961" s="35" t="n"/>
      <c r="E2961" s="35" t="n"/>
      <c r="F2961" s="166" t="n"/>
      <c r="G2961" s="166">
        <f>IF(AND(E2961&lt;&gt;"",F2961&lt;&gt;""),E2961*F2961,"")</f>
      </c>
    </row>
    <row r="2962" ht="16.5" customHeight="1" s="71">
      <c r="B2962" s="169" t="n"/>
      <c r="C2962" s="35" t="n"/>
      <c r="D2962" s="35" t="n"/>
      <c r="E2962" s="35" t="n"/>
      <c r="F2962" s="166" t="n"/>
      <c r="G2962" s="166">
        <f>IF(AND(E2962&lt;&gt;"",F2962&lt;&gt;""),E2962*F2962,"")</f>
      </c>
    </row>
    <row r="2963" ht="16.5" customHeight="1" s="71">
      <c r="B2963" s="169" t="n"/>
      <c r="C2963" s="35" t="n"/>
      <c r="D2963" s="35" t="n"/>
      <c r="E2963" s="35" t="n"/>
      <c r="F2963" s="166" t="n"/>
      <c r="G2963" s="166">
        <f>IF(AND(E2963&lt;&gt;"",F2963&lt;&gt;""),E2963*F2963,"")</f>
      </c>
    </row>
    <row r="2964" ht="16.5" customHeight="1" s="71">
      <c r="B2964" s="169" t="n"/>
      <c r="C2964" s="35" t="n"/>
      <c r="D2964" s="35" t="n"/>
      <c r="E2964" s="35" t="n"/>
      <c r="F2964" s="166" t="n"/>
      <c r="G2964" s="166">
        <f>IF(AND(E2964&lt;&gt;"",F2964&lt;&gt;""),E2964*F2964,"")</f>
      </c>
    </row>
    <row r="2965" ht="16.5" customHeight="1" s="71">
      <c r="B2965" s="169" t="n"/>
      <c r="C2965" s="35" t="n"/>
      <c r="D2965" s="35" t="n"/>
      <c r="E2965" s="35" t="n"/>
      <c r="F2965" s="166" t="n"/>
      <c r="G2965" s="166">
        <f>IF(AND(E2965&lt;&gt;"",F2965&lt;&gt;""),E2965*F2965,"")</f>
      </c>
    </row>
    <row r="2966" ht="16.5" customHeight="1" s="71">
      <c r="B2966" s="169" t="n"/>
      <c r="C2966" s="35" t="n"/>
      <c r="D2966" s="35" t="n"/>
      <c r="E2966" s="35" t="n"/>
      <c r="F2966" s="166" t="n"/>
      <c r="G2966" s="166">
        <f>IF(AND(E2966&lt;&gt;"",F2966&lt;&gt;""),E2966*F2966,"")</f>
      </c>
    </row>
    <row r="2967" ht="16.5" customHeight="1" s="71">
      <c r="B2967" s="169" t="n"/>
      <c r="C2967" s="35" t="n"/>
      <c r="D2967" s="35" t="n"/>
      <c r="E2967" s="35" t="n"/>
      <c r="F2967" s="166" t="n"/>
      <c r="G2967" s="166">
        <f>IF(AND(E2967&lt;&gt;"",F2967&lt;&gt;""),E2967*F2967,"")</f>
      </c>
    </row>
    <row r="2968" ht="16.5" customHeight="1" s="71">
      <c r="B2968" s="169" t="n"/>
      <c r="C2968" s="35" t="n"/>
      <c r="D2968" s="35" t="n"/>
      <c r="E2968" s="35" t="n"/>
      <c r="F2968" s="166" t="n"/>
      <c r="G2968" s="166">
        <f>IF(AND(E2968&lt;&gt;"",F2968&lt;&gt;""),E2968*F2968,"")</f>
      </c>
    </row>
    <row r="2969" ht="16.5" customHeight="1" s="71">
      <c r="B2969" s="169" t="n"/>
      <c r="C2969" s="35" t="n"/>
      <c r="D2969" s="35" t="n"/>
      <c r="E2969" s="35" t="n"/>
      <c r="F2969" s="166" t="n"/>
      <c r="G2969" s="166">
        <f>IF(AND(E2969&lt;&gt;"",F2969&lt;&gt;""),E2969*F2969,"")</f>
      </c>
    </row>
    <row r="2970" ht="16.5" customHeight="1" s="71">
      <c r="B2970" s="169" t="n"/>
      <c r="C2970" s="35" t="n"/>
      <c r="D2970" s="35" t="n"/>
      <c r="E2970" s="35" t="n"/>
      <c r="F2970" s="166" t="n"/>
      <c r="G2970" s="166">
        <f>IF(AND(E2970&lt;&gt;"",F2970&lt;&gt;""),E2970*F2970,"")</f>
      </c>
    </row>
    <row r="2971" ht="16.5" customHeight="1" s="71">
      <c r="B2971" s="169" t="n"/>
      <c r="C2971" s="35" t="n"/>
      <c r="D2971" s="35" t="n"/>
      <c r="E2971" s="35" t="n"/>
      <c r="F2971" s="166" t="n"/>
      <c r="G2971" s="166">
        <f>IF(AND(E2971&lt;&gt;"",F2971&lt;&gt;""),E2971*F2971,"")</f>
      </c>
    </row>
    <row r="2972" ht="16.5" customHeight="1" s="71">
      <c r="B2972" s="169" t="n"/>
      <c r="C2972" s="35" t="n"/>
      <c r="D2972" s="35" t="n"/>
      <c r="E2972" s="35" t="n"/>
      <c r="F2972" s="166" t="n"/>
      <c r="G2972" s="166">
        <f>IF(AND(E2972&lt;&gt;"",F2972&lt;&gt;""),E2972*F2972,"")</f>
      </c>
    </row>
    <row r="2973" ht="16.5" customHeight="1" s="71">
      <c r="B2973" s="169" t="n"/>
      <c r="C2973" s="35" t="n"/>
      <c r="D2973" s="35" t="n"/>
      <c r="E2973" s="35" t="n"/>
      <c r="F2973" s="166" t="n"/>
      <c r="G2973" s="166">
        <f>IF(AND(E2973&lt;&gt;"",F2973&lt;&gt;""),E2973*F2973,"")</f>
      </c>
    </row>
    <row r="2974" ht="16.5" customHeight="1" s="71">
      <c r="B2974" s="169" t="n"/>
      <c r="C2974" s="35" t="n"/>
      <c r="D2974" s="35" t="n"/>
      <c r="E2974" s="35" t="n"/>
      <c r="F2974" s="166" t="n"/>
      <c r="G2974" s="166">
        <f>IF(AND(E2974&lt;&gt;"",F2974&lt;&gt;""),E2974*F2974,"")</f>
      </c>
    </row>
    <row r="2975" ht="16.5" customHeight="1" s="71">
      <c r="B2975" s="169" t="n"/>
      <c r="C2975" s="35" t="n"/>
      <c r="D2975" s="35" t="n"/>
      <c r="E2975" s="35" t="n"/>
      <c r="F2975" s="166" t="n"/>
      <c r="G2975" s="166">
        <f>IF(AND(E2975&lt;&gt;"",F2975&lt;&gt;""),E2975*F2975,"")</f>
      </c>
    </row>
    <row r="2976" ht="16.5" customHeight="1" s="71">
      <c r="B2976" s="169" t="n"/>
      <c r="C2976" s="35" t="n"/>
      <c r="D2976" s="35" t="n"/>
      <c r="E2976" s="35" t="n"/>
      <c r="F2976" s="166" t="n"/>
      <c r="G2976" s="166">
        <f>IF(AND(E2976&lt;&gt;"",F2976&lt;&gt;""),E2976*F2976,"")</f>
      </c>
    </row>
    <row r="2977" ht="16.5" customHeight="1" s="71">
      <c r="B2977" s="169" t="n"/>
      <c r="C2977" s="35" t="n"/>
      <c r="D2977" s="35" t="n"/>
      <c r="E2977" s="35" t="n"/>
      <c r="F2977" s="166" t="n"/>
      <c r="G2977" s="166">
        <f>IF(AND(E2977&lt;&gt;"",F2977&lt;&gt;""),E2977*F2977,"")</f>
      </c>
    </row>
    <row r="2978" ht="16.5" customHeight="1" s="71">
      <c r="B2978" s="169" t="n"/>
      <c r="C2978" s="35" t="n"/>
      <c r="D2978" s="35" t="n"/>
      <c r="E2978" s="35" t="n"/>
      <c r="F2978" s="166" t="n"/>
      <c r="G2978" s="166">
        <f>IF(AND(E2978&lt;&gt;"",F2978&lt;&gt;""),E2978*F2978,"")</f>
      </c>
    </row>
    <row r="2979" ht="16.5" customHeight="1" s="71">
      <c r="B2979" s="169" t="n"/>
      <c r="C2979" s="35" t="n"/>
      <c r="D2979" s="35" t="n"/>
      <c r="E2979" s="35" t="n"/>
      <c r="F2979" s="166" t="n"/>
      <c r="G2979" s="166">
        <f>IF(AND(E2979&lt;&gt;"",F2979&lt;&gt;""),E2979*F2979,"")</f>
      </c>
    </row>
    <row r="2980" ht="16.5" customHeight="1" s="71">
      <c r="B2980" s="169" t="n"/>
      <c r="C2980" s="35" t="n"/>
      <c r="D2980" s="35" t="n"/>
      <c r="E2980" s="35" t="n"/>
      <c r="F2980" s="166" t="n"/>
      <c r="G2980" s="166">
        <f>IF(AND(E2980&lt;&gt;"",F2980&lt;&gt;""),E2980*F2980,"")</f>
      </c>
    </row>
    <row r="2981" ht="16.5" customHeight="1" s="71">
      <c r="B2981" s="169" t="n"/>
      <c r="C2981" s="35" t="n"/>
      <c r="D2981" s="35" t="n"/>
      <c r="E2981" s="35" t="n"/>
      <c r="F2981" s="166" t="n"/>
      <c r="G2981" s="166">
        <f>IF(AND(E2981&lt;&gt;"",F2981&lt;&gt;""),E2981*F2981,"")</f>
      </c>
    </row>
    <row r="2982" ht="16.5" customHeight="1" s="71">
      <c r="B2982" s="169" t="n"/>
      <c r="C2982" s="35" t="n"/>
      <c r="D2982" s="35" t="n"/>
      <c r="E2982" s="35" t="n"/>
      <c r="F2982" s="166" t="n"/>
      <c r="G2982" s="166">
        <f>IF(AND(E2982&lt;&gt;"",F2982&lt;&gt;""),E2982*F2982,"")</f>
      </c>
    </row>
    <row r="2983" ht="16.5" customHeight="1" s="71">
      <c r="B2983" s="169" t="n"/>
      <c r="C2983" s="35" t="n"/>
      <c r="D2983" s="35" t="n"/>
      <c r="E2983" s="35" t="n"/>
      <c r="F2983" s="166" t="n"/>
      <c r="G2983" s="166">
        <f>IF(AND(E2983&lt;&gt;"",F2983&lt;&gt;""),E2983*F2983,"")</f>
      </c>
    </row>
    <row r="2984" ht="16.5" customHeight="1" s="71">
      <c r="B2984" s="169" t="n"/>
      <c r="C2984" s="35" t="n"/>
      <c r="D2984" s="35" t="n"/>
      <c r="E2984" s="35" t="n"/>
      <c r="F2984" s="166" t="n"/>
      <c r="G2984" s="166">
        <f>IF(AND(E2984&lt;&gt;"",F2984&lt;&gt;""),E2984*F2984,"")</f>
      </c>
    </row>
    <row r="2985" ht="16.5" customHeight="1" s="71">
      <c r="B2985" s="169" t="n"/>
      <c r="C2985" s="35" t="n"/>
      <c r="D2985" s="35" t="n"/>
      <c r="E2985" s="35" t="n"/>
      <c r="F2985" s="166" t="n"/>
      <c r="G2985" s="166">
        <f>IF(AND(E2985&lt;&gt;"",F2985&lt;&gt;""),E2985*F2985,"")</f>
      </c>
    </row>
    <row r="2986" ht="16.5" customHeight="1" s="71">
      <c r="B2986" s="169" t="n"/>
      <c r="C2986" s="35" t="n"/>
      <c r="D2986" s="35" t="n"/>
      <c r="E2986" s="35" t="n"/>
      <c r="F2986" s="166" t="n"/>
      <c r="G2986" s="166">
        <f>IF(AND(E2986&lt;&gt;"",F2986&lt;&gt;""),E2986*F2986,"")</f>
      </c>
    </row>
    <row r="2987" ht="16.5" customHeight="1" s="71">
      <c r="B2987" s="169" t="n"/>
      <c r="C2987" s="35" t="n"/>
      <c r="D2987" s="35" t="n"/>
      <c r="E2987" s="35" t="n"/>
      <c r="F2987" s="166" t="n"/>
      <c r="G2987" s="166">
        <f>IF(AND(E2987&lt;&gt;"",F2987&lt;&gt;""),E2987*F2987,"")</f>
      </c>
    </row>
    <row r="2988" ht="16.5" customHeight="1" s="71">
      <c r="B2988" s="169" t="n"/>
      <c r="C2988" s="35" t="n"/>
      <c r="D2988" s="35" t="n"/>
      <c r="E2988" s="35" t="n"/>
      <c r="F2988" s="166" t="n"/>
      <c r="G2988" s="166">
        <f>IF(AND(E2988&lt;&gt;"",F2988&lt;&gt;""),E2988*F2988,"")</f>
      </c>
    </row>
    <row r="2989" ht="16.5" customHeight="1" s="71">
      <c r="B2989" s="169" t="n"/>
      <c r="C2989" s="35" t="n"/>
      <c r="D2989" s="35" t="n"/>
      <c r="E2989" s="35" t="n"/>
      <c r="F2989" s="166" t="n"/>
      <c r="G2989" s="166">
        <f>IF(AND(E2989&lt;&gt;"",F2989&lt;&gt;""),E2989*F2989,"")</f>
      </c>
    </row>
    <row r="2990" ht="16.5" customHeight="1" s="71">
      <c r="B2990" s="169" t="n"/>
      <c r="C2990" s="35" t="n"/>
      <c r="D2990" s="35" t="n"/>
      <c r="E2990" s="35" t="n"/>
      <c r="F2990" s="166" t="n"/>
      <c r="G2990" s="166">
        <f>IF(AND(E2990&lt;&gt;"",F2990&lt;&gt;""),E2990*F2990,"")</f>
      </c>
    </row>
    <row r="2991" ht="16.5" customHeight="1" s="71">
      <c r="B2991" s="169" t="n"/>
      <c r="C2991" s="35" t="n"/>
      <c r="D2991" s="35" t="n"/>
      <c r="E2991" s="35" t="n"/>
      <c r="F2991" s="166" t="n"/>
      <c r="G2991" s="166">
        <f>IF(AND(E2991&lt;&gt;"",F2991&lt;&gt;""),E2991*F2991,"")</f>
      </c>
    </row>
    <row r="2992" ht="16.5" customHeight="1" s="71">
      <c r="B2992" s="169" t="n"/>
      <c r="C2992" s="35" t="n"/>
      <c r="D2992" s="35" t="n"/>
      <c r="E2992" s="35" t="n"/>
      <c r="F2992" s="166" t="n"/>
      <c r="G2992" s="166">
        <f>IF(AND(E2992&lt;&gt;"",F2992&lt;&gt;""),E2992*F2992,"")</f>
      </c>
    </row>
    <row r="2993" ht="16.5" customHeight="1" s="71">
      <c r="B2993" s="169" t="n"/>
      <c r="C2993" s="35" t="n"/>
      <c r="D2993" s="35" t="n"/>
      <c r="E2993" s="35" t="n"/>
      <c r="F2993" s="166" t="n"/>
      <c r="G2993" s="166">
        <f>IF(AND(E2993&lt;&gt;"",F2993&lt;&gt;""),E2993*F2993,"")</f>
      </c>
    </row>
    <row r="2994" ht="16.5" customHeight="1" s="71">
      <c r="B2994" s="169" t="n"/>
      <c r="C2994" s="35" t="n"/>
      <c r="D2994" s="35" t="n"/>
      <c r="E2994" s="35" t="n"/>
      <c r="F2994" s="166" t="n"/>
      <c r="G2994" s="166">
        <f>IF(AND(E2994&lt;&gt;"",F2994&lt;&gt;""),E2994*F2994,"")</f>
      </c>
    </row>
    <row r="2995" ht="16.5" customHeight="1" s="71">
      <c r="B2995" s="169" t="n"/>
      <c r="C2995" s="35" t="n"/>
      <c r="D2995" s="35" t="n"/>
      <c r="E2995" s="35" t="n"/>
      <c r="F2995" s="166" t="n"/>
      <c r="G2995" s="166">
        <f>IF(AND(E2995&lt;&gt;"",F2995&lt;&gt;""),E2995*F2995,"")</f>
      </c>
    </row>
    <row r="2996" ht="16.5" customHeight="1" s="71">
      <c r="B2996" s="169" t="n"/>
      <c r="C2996" s="35" t="n"/>
      <c r="D2996" s="35" t="n"/>
      <c r="E2996" s="35" t="n"/>
      <c r="F2996" s="166" t="n"/>
      <c r="G2996" s="166">
        <f>IF(AND(E2996&lt;&gt;"",F2996&lt;&gt;""),E2996*F2996,"")</f>
      </c>
    </row>
    <row r="2997" ht="16.5" customHeight="1" s="71">
      <c r="B2997" s="169" t="n"/>
      <c r="C2997" s="35" t="n"/>
      <c r="D2997" s="35" t="n"/>
      <c r="E2997" s="35" t="n"/>
      <c r="F2997" s="166" t="n"/>
      <c r="G2997" s="166">
        <f>IF(AND(E2997&lt;&gt;"",F2997&lt;&gt;""),E2997*F2997,"")</f>
      </c>
    </row>
    <row r="2998" ht="16.5" customHeight="1" s="71">
      <c r="B2998" s="169" t="n"/>
      <c r="C2998" s="35" t="n"/>
      <c r="D2998" s="35" t="n"/>
      <c r="E2998" s="35" t="n"/>
      <c r="F2998" s="166" t="n"/>
      <c r="G2998" s="166">
        <f>IF(AND(E2998&lt;&gt;"",F2998&lt;&gt;""),E2998*F2998,"")</f>
      </c>
    </row>
    <row r="2999" ht="16.5" customHeight="1" s="71">
      <c r="B2999" s="169" t="n"/>
      <c r="C2999" s="35" t="n"/>
      <c r="D2999" s="35" t="n"/>
      <c r="E2999" s="35" t="n"/>
      <c r="F2999" s="166" t="n"/>
      <c r="G2999" s="166">
        <f>IF(AND(E2999&lt;&gt;"",F2999&lt;&gt;""),E2999*F2999,"")</f>
      </c>
    </row>
    <row r="3000" ht="16.5" customHeight="1" s="71">
      <c r="B3000" s="169" t="n"/>
      <c r="C3000" s="35" t="n"/>
      <c r="D3000" s="35" t="n"/>
      <c r="E3000" s="35" t="n"/>
      <c r="F3000" s="166" t="n"/>
      <c r="G3000" s="166">
        <f>IF(AND(E3000&lt;&gt;"",F3000&lt;&gt;""),E3000*F3000,"")</f>
      </c>
    </row>
    <row r="3001" ht="16.5" customHeight="1" s="71">
      <c r="B3001" s="169" t="n"/>
      <c r="C3001" s="35" t="n"/>
      <c r="D3001" s="35" t="n"/>
      <c r="E3001" s="35" t="n"/>
      <c r="F3001" s="166" t="n"/>
      <c r="G3001" s="166">
        <f>IF(AND(E3001&lt;&gt;"",F3001&lt;&gt;""),E3001*F3001,"")</f>
      </c>
    </row>
    <row r="3002" ht="16.5" customHeight="1" s="71">
      <c r="B3002" s="169" t="n"/>
      <c r="C3002" s="35" t="n"/>
      <c r="D3002" s="35" t="n"/>
      <c r="E3002" s="35" t="n"/>
      <c r="F3002" s="166" t="n"/>
      <c r="G3002" s="166">
        <f>IF(AND(E3002&lt;&gt;"",F3002&lt;&gt;""),E3002*F3002,"")</f>
      </c>
    </row>
    <row r="3003" ht="16.5" customHeight="1" s="71">
      <c r="B3003" s="169" t="n"/>
      <c r="C3003" s="35" t="n"/>
      <c r="D3003" s="35" t="n"/>
      <c r="E3003" s="35" t="n"/>
      <c r="F3003" s="166" t="n"/>
      <c r="G3003" s="166">
        <f>IF(AND(E3003&lt;&gt;"",F3003&lt;&gt;""),E3003*F3003,"")</f>
      </c>
    </row>
  </sheetData>
  <autoFilter ref="A3:H3003"/>
  <mergeCells count="3">
    <mergeCell ref="H433:H434"/>
    <mergeCell ref="A2:H2"/>
    <mergeCell ref="A1:H1"/>
  </mergeCells>
  <dataValidations count="2">
    <dataValidation sqref="C4:C3003" showDropDown="0" showInputMessage="1" showErrorMessage="1" allowBlank="1" errorTitle="不在清单里" error="请从下拉里选；清单里没有的，先到【基础资料】/【总览汇总】里登记" promptTitle="提示" prompt="从下拉选客户；新客户先去【总览汇总】B 列加" type="list" errorStyle="stop">
      <formula1>=客户列表</formula1>
    </dataValidation>
    <dataValidation sqref="D4:D3003" showDropDown="0" showInputMessage="1" showErrorMessage="1" allowBlank="1" errorTitle="不在清单里" error="请从下拉里选；清单里没有的，先到【基础资料】/【总览汇总】里登记" promptTitle="提示" prompt="从下拉选商品；新商品先去【基础资料·商品档案】加" type="list" errorStyle="stop">
      <formula1>=商品列表</formula1>
    </dataValidation>
  </dataValidation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 filterMode="1">
    <outlinePr summaryBelow="0" summaryRight="0"/>
    <pageSetUpPr/>
  </sheetPr>
  <dimension ref="A1:T1003"/>
  <sheetViews>
    <sheetView tabSelected="0" workbookViewId="0">
      <pane ySplit="3" topLeftCell="A4" activePane="bottomLeft" state="frozen"/>
      <selection pane="bottomLeft" activeCell="A1" sqref="A1"/>
      <selection pane="bottomLeft" activeCell="E230" sqref="E230"/>
    </sheetView>
  </sheetViews>
  <sheetFormatPr baseColWidth="8" defaultColWidth="14" defaultRowHeight="12"/>
  <cols>
    <col width="7" customWidth="1" style="71" min="1" max="1"/>
    <col width="13" customWidth="1" style="71" min="2" max="2"/>
    <col width="19" customWidth="1" style="71" min="3" max="3"/>
    <col width="15" customWidth="1" style="71" min="4" max="4"/>
    <col width="13" customWidth="1" style="71" min="5" max="5"/>
    <col width="25" customWidth="1" style="71" min="6" max="6"/>
    <col hidden="1" width="5" customWidth="1" style="71" min="7" max="7"/>
    <col width="3" customWidth="1" style="71" min="8" max="8"/>
    <col width="7" customWidth="1" style="71" min="9" max="9"/>
    <col width="13" customWidth="1" style="71" min="10" max="10"/>
    <col width="16" customWidth="1" style="71" min="11" max="11"/>
    <col width="15" customWidth="1" style="71" min="12" max="12"/>
    <col width="12" customWidth="1" style="71" min="13" max="13"/>
    <col width="25" customWidth="1" style="71" min="14" max="14"/>
    <col hidden="1" width="5" customWidth="1" style="71" min="15" max="15"/>
  </cols>
  <sheetData>
    <row r="1" ht="33" customHeight="1" s="71">
      <c r="A1" s="45" t="inlineStr">
        <is>
          <t>收付款明细台账（自动从资金台帐提取）</t>
        </is>
      </c>
      <c r="G1" s="2" t="n"/>
      <c r="H1" s="2" t="n"/>
      <c r="I1" s="147" t="inlineStr">
        <is>
          <t>供应商付款明细（自动从资金台帐提取）</t>
        </is>
      </c>
      <c r="O1" s="2" t="n"/>
      <c r="P1" s="2" t="n"/>
      <c r="Q1" s="2" t="n"/>
      <c r="R1" s="2" t="n"/>
      <c r="S1" s="2" t="n"/>
      <c r="T1" s="2" t="n"/>
    </row>
    <row r="2" ht="24" customHeight="1" s="71">
      <c r="A2" s="3" t="inlineStr">
        <is>
          <t>💡 不用再手工登记了：在【资金台帐】记收款并选上客户，这里自动逐笔列出，总览汇总的「已付款金额」、对账单一起跟着变。付厂家的钱列在右边。</t>
        </is>
      </c>
      <c r="G2" s="2" t="n"/>
      <c r="H2" s="2" t="n"/>
      <c r="I2" s="73" t="inlineStr">
        <is>
          <t>💡 资金台帐里选了「供应商」的付款（和退款）自动列在这里，冲减欠厂家的货款。</t>
        </is>
      </c>
      <c r="O2" s="2" t="n"/>
      <c r="P2" s="2" t="n"/>
      <c r="Q2" s="2" t="n"/>
      <c r="R2" s="2" t="n"/>
      <c r="S2" s="2" t="n"/>
      <c r="T2" s="2" t="n"/>
    </row>
    <row r="3" ht="37" customHeight="1" s="71">
      <c r="A3" s="46" t="inlineStr">
        <is>
          <t>序号</t>
        </is>
      </c>
      <c r="B3" s="46" t="inlineStr">
        <is>
          <t>日期</t>
        </is>
      </c>
      <c r="C3" s="46" t="inlineStr">
        <is>
          <t>客户名称</t>
        </is>
      </c>
      <c r="D3" s="46" t="inlineStr">
        <is>
          <t>收款金额(元)</t>
        </is>
      </c>
      <c r="E3" s="46" t="inlineStr">
        <is>
          <t>付款方式</t>
        </is>
      </c>
      <c r="F3" s="46" t="inlineStr">
        <is>
          <t>备注</t>
        </is>
      </c>
      <c r="G3" s="171" t="inlineStr">
        <is>
          <t>行号</t>
        </is>
      </c>
      <c r="H3" s="2" t="n"/>
      <c r="I3" s="102" t="inlineStr">
        <is>
          <t>序号</t>
        </is>
      </c>
      <c r="J3" s="102" t="inlineStr">
        <is>
          <t>日期</t>
        </is>
      </c>
      <c r="K3" s="102" t="inlineStr">
        <is>
          <t>供应商</t>
        </is>
      </c>
      <c r="L3" s="102" t="inlineStr">
        <is>
          <t>付款金额(元)</t>
        </is>
      </c>
      <c r="M3" s="102" t="inlineStr">
        <is>
          <t>付款方式</t>
        </is>
      </c>
      <c r="N3" s="102" t="inlineStr">
        <is>
          <t>摘要</t>
        </is>
      </c>
      <c r="O3" s="171" t="inlineStr">
        <is>
          <t>行号</t>
        </is>
      </c>
      <c r="P3" s="2" t="n"/>
      <c r="Q3" s="2" t="n"/>
      <c r="R3" s="2" t="n"/>
      <c r="S3" s="2" t="n"/>
      <c r="T3" s="2" t="n"/>
    </row>
    <row r="4" ht="15" customHeight="1" s="71">
      <c r="A4" s="141">
        <f>IF($G4="","",1)</f>
        <v>1</v>
      </c>
      <c r="B4" s="140">
        <f>IF($G4="","",INDEX(资金台帐!$B$7:$B$3006,$G4))</f>
        <v>46156.0</v>
      </c>
      <c r="C4" s="141" t="str">
        <f>IF($G4="","",INDEX(资金台帐!$J$7:$J$3006,$G4))</f>
        <v>鼎龙陈财超市</v>
      </c>
      <c r="D4" s="172">
        <f>IF($G4="","",INDEX(资金台帐!$S$7:$S$3006,$G4))</f>
        <v>100000</v>
      </c>
      <c r="E4" s="141" t="str">
        <f>IF($G4="","",INDEX(资金台帐!$C$7:$C$3006,$G4))</f>
        <v>收款码</v>
      </c>
      <c r="F4" s="142" t="str">
        <f>IF($G4="","",INDEX(资金台帐!$E$7:$E$3006,$G4)&amp;IF(INDEX(资金台帐!$M$7:$M$3006,$G4)="","","；"&amp;INDEX(资金台帐!$M$7:$M$3006,$G4)))</f>
        <v>收货款</v>
      </c>
      <c r="G4" s="78">
        <f>IFERROR(MATCH(1,资金台帐!$Q$7:$Q$3006,0),"")</f>
        <v>1</v>
      </c>
      <c r="H4" s="2" t="n"/>
      <c r="I4" s="141">
        <f>IF($O4="","",1)</f>
      </c>
      <c r="J4" s="140">
        <f>IF($O4="","",INDEX(资金台帐!$B$7:$B$3006,$O4))</f>
      </c>
      <c r="K4" s="141">
        <f>IF($O4="","",INDEX(资金台帐!$K$7:$K$3006,$O4))</f>
      </c>
      <c r="L4" s="172">
        <f>IF($O4="","",-INDEX(资金台帐!$S$7:$S$3006,$O4))</f>
      </c>
      <c r="M4" s="141">
        <f>IF($O4="","",INDEX(资金台帐!$C$7:$C$3006,$O4))</f>
      </c>
      <c r="N4" s="142">
        <f>IF($O4="","",INDEX(资金台帐!$E$7:$E$3006,$O4))</f>
      </c>
      <c r="O4" s="78">
        <f>IFERROR(MATCH(1,资金台帐!$R$7:$R$3006,0),"")</f>
      </c>
      <c r="P4" s="2" t="n"/>
      <c r="Q4" s="2" t="n"/>
      <c r="R4" s="2" t="n"/>
      <c r="S4" s="2" t="n"/>
      <c r="T4" s="2" t="n"/>
    </row>
    <row r="5" ht="15" customHeight="1" s="71">
      <c r="A5" s="141">
        <f>IF($G5="","",2)</f>
        <v>2</v>
      </c>
      <c r="B5" s="140">
        <f>IF($G5="","",INDEX(资金台帐!$B$7:$B$3006,$G5))</f>
        <v>46198.0</v>
      </c>
      <c r="C5" s="141" t="str">
        <f>IF($G5="","",INDEX(资金台帐!$J$7:$J$3006,$G5))</f>
        <v>星海超市</v>
      </c>
      <c r="D5" s="172">
        <f>IF($G5="","",INDEX(资金台帐!$S$7:$S$3006,$G5))</f>
        <v>39547</v>
      </c>
      <c r="E5" s="141" t="str">
        <f>IF($G5="","",INDEX(资金台帐!$C$7:$C$3006,$G5))</f>
        <v>收款码</v>
      </c>
      <c r="F5" s="142" t="str">
        <f>IF($G5="","",INDEX(资金台帐!$E$7:$E$3006,$G5)&amp;IF(INDEX(资金台帐!$M$7:$M$3006,$G5)="","","；"&amp;INDEX(资金台帐!$M$7:$M$3006,$G5)))</f>
        <v>收货款</v>
      </c>
      <c r="G5" s="78">
        <f>IFERROR(MATCH(2,资金台帐!$Q$7:$Q$3006,0),"")</f>
        <v>2</v>
      </c>
      <c r="H5" s="2" t="n"/>
      <c r="I5" s="141">
        <f>IF($O5="","",2)</f>
      </c>
      <c r="J5" s="140">
        <f>IF($O5="","",INDEX(资金台帐!$B$7:$B$3006,$O5))</f>
      </c>
      <c r="K5" s="141">
        <f>IF($O5="","",INDEX(资金台帐!$K$7:$K$3006,$O5))</f>
      </c>
      <c r="L5" s="172">
        <f>IF($O5="","",-INDEX(资金台帐!$S$7:$S$3006,$O5))</f>
      </c>
      <c r="M5" s="141">
        <f>IF($O5="","",INDEX(资金台帐!$C$7:$C$3006,$O5))</f>
      </c>
      <c r="N5" s="142">
        <f>IF($O5="","",INDEX(资金台帐!$E$7:$E$3006,$O5))</f>
      </c>
      <c r="O5" s="78">
        <f>IFERROR(MATCH(2,资金台帐!$R$7:$R$3006,0),"")</f>
      </c>
      <c r="P5" s="2" t="n"/>
      <c r="Q5" s="2" t="n"/>
      <c r="R5" s="2" t="n"/>
      <c r="S5" s="2" t="n"/>
      <c r="T5" s="2" t="n"/>
    </row>
    <row r="6" ht="15" customHeight="1" s="71">
      <c r="A6" s="141">
        <f>IF($G6="","",3)</f>
        <v>3</v>
      </c>
      <c r="B6" s="140">
        <f>IF($G6="","",INDEX(资金台帐!$B$7:$B$3006,$G6))</f>
        <v>46198.0</v>
      </c>
      <c r="C6" s="141" t="str">
        <f>IF($G6="","",INDEX(资金台帐!$J$7:$J$3006,$G6))</f>
        <v>王玉琴</v>
      </c>
      <c r="D6" s="172">
        <f>IF($G6="","",INDEX(资金台帐!$S$7:$S$3006,$G6))</f>
        <v>99000</v>
      </c>
      <c r="E6" s="141" t="str">
        <f>IF($G6="","",INDEX(资金台帐!$C$7:$C$3006,$G6))</f>
        <v>收款码</v>
      </c>
      <c r="F6" s="142" t="str">
        <f>IF($G6="","",INDEX(资金台帐!$E$7:$E$3006,$G6)&amp;IF(INDEX(资金台帐!$M$7:$M$3006,$G6)="","","；"&amp;INDEX(资金台帐!$M$7:$M$3006,$G6)))</f>
        <v>收货款</v>
      </c>
      <c r="G6" s="78">
        <f>IFERROR(MATCH(3,资金台帐!$Q$7:$Q$3006,0),"")</f>
        <v>3</v>
      </c>
      <c r="H6" s="2" t="n"/>
      <c r="I6" s="141">
        <f>IF($O6="","",3)</f>
      </c>
      <c r="J6" s="140">
        <f>IF($O6="","",INDEX(资金台帐!$B$7:$B$3006,$O6))</f>
      </c>
      <c r="K6" s="141">
        <f>IF($O6="","",INDEX(资金台帐!$K$7:$K$3006,$O6))</f>
      </c>
      <c r="L6" s="172">
        <f>IF($O6="","",-INDEX(资金台帐!$S$7:$S$3006,$O6))</f>
      </c>
      <c r="M6" s="141">
        <f>IF($O6="","",INDEX(资金台帐!$C$7:$C$3006,$O6))</f>
      </c>
      <c r="N6" s="142">
        <f>IF($O6="","",INDEX(资金台帐!$E$7:$E$3006,$O6))</f>
      </c>
      <c r="O6" s="78">
        <f>IFERROR(MATCH(3,资金台帐!$R$7:$R$3006,0),"")</f>
      </c>
      <c r="P6" s="2" t="n"/>
      <c r="Q6" s="2" t="n"/>
      <c r="R6" s="2" t="n"/>
      <c r="S6" s="2" t="n"/>
      <c r="T6" s="2" t="n"/>
    </row>
    <row r="7" ht="15" customHeight="1" s="71">
      <c r="A7" s="141">
        <f>IF($G7="","",4)</f>
        <v>4</v>
      </c>
      <c r="B7" s="140">
        <f>IF($G7="","",INDEX(资金台帐!$B$7:$B$3006,$G7))</f>
        <v>46198.0</v>
      </c>
      <c r="C7" s="141" t="str">
        <f>IF($G7="","",INDEX(资金台帐!$J$7:$J$3006,$G7))</f>
        <v>桐心源</v>
      </c>
      <c r="D7" s="172">
        <f>IF($G7="","",INDEX(资金台帐!$S$7:$S$3006,$G7))</f>
        <v>700231.47</v>
      </c>
      <c r="E7" s="141" t="str">
        <f>IF($G7="","",INDEX(资金台帐!$C$7:$C$3006,$G7))</f>
        <v>收款码</v>
      </c>
      <c r="F7" s="142" t="str">
        <f>IF($G7="","",INDEX(资金台帐!$E$7:$E$3006,$G7)&amp;IF(INDEX(资金台帐!$M$7:$M$3006,$G7)="","","；"&amp;INDEX(资金台帐!$M$7:$M$3006,$G7)))</f>
        <v>还差我46313元</v>
      </c>
      <c r="G7" s="78">
        <f>IFERROR(MATCH(4,资金台帐!$Q$7:$Q$3006,0),"")</f>
        <v>4</v>
      </c>
      <c r="H7" s="2" t="n"/>
      <c r="I7" s="141">
        <f>IF($O7="","",4)</f>
      </c>
      <c r="J7" s="140">
        <f>IF($O7="","",INDEX(资金台帐!$B$7:$B$3006,$O7))</f>
      </c>
      <c r="K7" s="141">
        <f>IF($O7="","",INDEX(资金台帐!$K$7:$K$3006,$O7))</f>
      </c>
      <c r="L7" s="172">
        <f>IF($O7="","",-INDEX(资金台帐!$S$7:$S$3006,$O7))</f>
      </c>
      <c r="M7" s="141">
        <f>IF($O7="","",INDEX(资金台帐!$C$7:$C$3006,$O7))</f>
      </c>
      <c r="N7" s="142">
        <f>IF($O7="","",INDEX(资金台帐!$E$7:$E$3006,$O7))</f>
      </c>
      <c r="O7" s="78">
        <f>IFERROR(MATCH(4,资金台帐!$R$7:$R$3006,0),"")</f>
      </c>
      <c r="P7" s="2" t="n"/>
      <c r="Q7" s="2" t="n"/>
      <c r="R7" s="2" t="n"/>
      <c r="S7" s="2" t="n"/>
      <c r="T7" s="2" t="n"/>
    </row>
    <row r="8" ht="15" customHeight="1" s="71">
      <c r="A8" s="141">
        <f>IF($G8="","",5)</f>
        <v>5</v>
      </c>
      <c r="B8" s="140">
        <f>IF($G8="","",INDEX(资金台帐!$B$7:$B$3006,$G8))</f>
        <v>46198.0</v>
      </c>
      <c r="C8" s="141" t="str">
        <f>IF($G8="","",INDEX(资金台帐!$J$7:$J$3006,$G8))</f>
        <v>桐心源</v>
      </c>
      <c r="D8" s="172">
        <f>IF($G8="","",INDEX(资金台帐!$S$7:$S$3006,$G8))</f>
        <v>46360</v>
      </c>
      <c r="E8" s="141" t="str">
        <f>IF($G8="","",INDEX(资金台帐!$C$7:$C$3006,$G8))</f>
        <v>收款码</v>
      </c>
      <c r="F8" s="142" t="str">
        <f>IF($G8="","",INDEX(资金台帐!$E$7:$E$3006,$G8)&amp;IF(INDEX(资金台帐!$M$7:$M$3006,$G8)="","","；"&amp;INDEX(资金台帐!$M$7:$M$3006,$G8)))</f>
        <v>农夫饮料</v>
      </c>
      <c r="G8" s="78">
        <f>IFERROR(MATCH(5,资金台帐!$Q$7:$Q$3006,0),"")</f>
        <v>5</v>
      </c>
      <c r="H8" s="2" t="n"/>
      <c r="I8" s="141">
        <f>IF($O8="","",5)</f>
      </c>
      <c r="J8" s="140">
        <f>IF($O8="","",INDEX(资金台帐!$B$7:$B$3006,$O8))</f>
      </c>
      <c r="K8" s="141">
        <f>IF($O8="","",INDEX(资金台帐!$K$7:$K$3006,$O8))</f>
      </c>
      <c r="L8" s="172">
        <f>IF($O8="","",-INDEX(资金台帐!$S$7:$S$3006,$O8))</f>
      </c>
      <c r="M8" s="141">
        <f>IF($O8="","",INDEX(资金台帐!$C$7:$C$3006,$O8))</f>
      </c>
      <c r="N8" s="142">
        <f>IF($O8="","",INDEX(资金台帐!$E$7:$E$3006,$O8))</f>
      </c>
      <c r="O8" s="78">
        <f>IFERROR(MATCH(5,资金台帐!$R$7:$R$3006,0),"")</f>
      </c>
      <c r="P8" s="2" t="n"/>
      <c r="Q8" s="2" t="n"/>
      <c r="R8" s="2" t="n"/>
      <c r="S8" s="2" t="n"/>
      <c r="T8" s="2" t="n"/>
    </row>
    <row r="9" ht="15" customHeight="1" s="71">
      <c r="A9" s="141">
        <f>IF($G9="","",6)</f>
        <v>6</v>
      </c>
      <c r="B9" s="140">
        <f>IF($G9="","",INDEX(资金台帐!$B$7:$B$3006,$G9))</f>
        <v>46198.0</v>
      </c>
      <c r="C9" s="141" t="str">
        <f>IF($G9="","",INDEX(资金台帐!$J$7:$J$3006,$G9))</f>
        <v>阿东副食</v>
      </c>
      <c r="D9" s="172">
        <f>IF($G9="","",INDEX(资金台帐!$S$7:$S$3006,$G9))</f>
        <v>570147.22</v>
      </c>
      <c r="E9" s="141" t="str">
        <f>IF($G9="","",INDEX(资金台帐!$C$7:$C$3006,$G9))</f>
        <v>收款码</v>
      </c>
      <c r="F9" s="142" t="str">
        <f>IF($G9="","",INDEX(资金台帐!$E$7:$E$3006,$G9)&amp;IF(INDEX(资金台帐!$M$7:$M$3006,$G9)="","","；"&amp;INDEX(资金台帐!$M$7:$M$3006,$G9)))</f>
        <v>还差我37433元</v>
      </c>
      <c r="G9" s="78">
        <f>IFERROR(MATCH(6,资金台帐!$Q$7:$Q$3006,0),"")</f>
        <v>6</v>
      </c>
      <c r="H9" s="2" t="n"/>
      <c r="I9" s="141">
        <f>IF($O9="","",6)</f>
      </c>
      <c r="J9" s="140">
        <f>IF($O9="","",INDEX(资金台帐!$B$7:$B$3006,$O9))</f>
      </c>
      <c r="K9" s="141">
        <f>IF($O9="","",INDEX(资金台帐!$K$7:$K$3006,$O9))</f>
      </c>
      <c r="L9" s="172">
        <f>IF($O9="","",-INDEX(资金台帐!$S$7:$S$3006,$O9))</f>
      </c>
      <c r="M9" s="141">
        <f>IF($O9="","",INDEX(资金台帐!$C$7:$C$3006,$O9))</f>
      </c>
      <c r="N9" s="142">
        <f>IF($O9="","",INDEX(资金台帐!$E$7:$E$3006,$O9))</f>
      </c>
      <c r="O9" s="78">
        <f>IFERROR(MATCH(6,资金台帐!$R$7:$R$3006,0),"")</f>
      </c>
      <c r="P9" s="2" t="n"/>
      <c r="Q9" s="2" t="n"/>
      <c r="R9" s="2" t="n"/>
      <c r="S9" s="2" t="n"/>
      <c r="T9" s="2" t="n"/>
    </row>
    <row r="10" ht="15" customHeight="1" s="71">
      <c r="A10" s="141">
        <f>IF($G10="","",7)</f>
        <v>7</v>
      </c>
      <c r="B10" s="140">
        <f>IF($G10="","",INDEX(资金台帐!$B$7:$B$3006,$G10))</f>
        <v>46199.0</v>
      </c>
      <c r="C10" s="141" t="str">
        <f>IF($G10="","",INDEX(资金台帐!$J$7:$J$3006,$G10))</f>
        <v>金凤副食</v>
      </c>
      <c r="D10" s="172">
        <f>IF($G10="","",INDEX(资金台帐!$S$7:$S$3006,$G10))</f>
        <v>8950</v>
      </c>
      <c r="E10" s="141" t="str">
        <f>IF($G10="","",INDEX(资金台帐!$C$7:$C$3006,$G10))</f>
        <v>收款码</v>
      </c>
      <c r="F10" s="142" t="str">
        <f>IF($G10="","",INDEX(资金台帐!$E$7:$E$3006,$G10)&amp;IF(INDEX(资金台帐!$M$7:$M$3006,$G10)="","","；"&amp;INDEX(资金台帐!$M$7:$M$3006,$G10)))</f>
        <v>收货款</v>
      </c>
      <c r="G10" s="78">
        <f>IFERROR(MATCH(7,资金台帐!$Q$7:$Q$3006,0),"")</f>
        <v>7</v>
      </c>
      <c r="H10" s="2" t="n"/>
      <c r="I10" s="141">
        <f>IF($O10="","",7)</f>
      </c>
      <c r="J10" s="140">
        <f>IF($O10="","",INDEX(资金台帐!$B$7:$B$3006,$O10))</f>
      </c>
      <c r="K10" s="141">
        <f>IF($O10="","",INDEX(资金台帐!$K$7:$K$3006,$O10))</f>
      </c>
      <c r="L10" s="172">
        <f>IF($O10="","",-INDEX(资金台帐!$S$7:$S$3006,$O10))</f>
      </c>
      <c r="M10" s="141">
        <f>IF($O10="","",INDEX(资金台帐!$C$7:$C$3006,$O10))</f>
      </c>
      <c r="N10" s="142">
        <f>IF($O10="","",INDEX(资金台帐!$E$7:$E$3006,$O10))</f>
      </c>
      <c r="O10" s="78">
        <f>IFERROR(MATCH(7,资金台帐!$R$7:$R$3006,0),"")</f>
      </c>
      <c r="P10" s="2" t="n"/>
      <c r="Q10" s="2" t="n"/>
      <c r="R10" s="2" t="n"/>
      <c r="S10" s="2" t="n"/>
      <c r="T10" s="2" t="n"/>
    </row>
    <row r="11" ht="15" customHeight="1" s="71">
      <c r="A11" s="141">
        <f>IF($G11="","",8)</f>
        <v>8</v>
      </c>
      <c r="B11" s="140">
        <f>IF($G11="","",INDEX(资金台帐!$B$7:$B$3006,$G11))</f>
        <v>46199.0</v>
      </c>
      <c r="C11" s="141" t="str">
        <f>IF($G11="","",INDEX(资金台帐!$J$7:$J$3006,$G11))</f>
        <v>致发商行</v>
      </c>
      <c r="D11" s="172">
        <f>IF($G11="","",INDEX(资金台帐!$S$7:$S$3006,$G11))</f>
        <v>437965</v>
      </c>
      <c r="E11" s="141" t="str">
        <f>IF($G11="","",INDEX(资金台帐!$C$7:$C$3006,$G11))</f>
        <v>收款码</v>
      </c>
      <c r="F11" s="142" t="str">
        <f>IF($G11="","",INDEX(资金台帐!$E$7:$E$3006,$G11)&amp;IF(INDEX(资金台帐!$M$7:$M$3006,$G11)="","","；"&amp;INDEX(资金台帐!$M$7:$M$3006,$G11)))</f>
        <v>收货款</v>
      </c>
      <c r="G11" s="78">
        <f>IFERROR(MATCH(8,资金台帐!$Q$7:$Q$3006,0),"")</f>
        <v>8</v>
      </c>
      <c r="H11" s="2" t="n"/>
      <c r="I11" s="141">
        <f>IF($O11="","",8)</f>
      </c>
      <c r="J11" s="140">
        <f>IF($O11="","",INDEX(资金台帐!$B$7:$B$3006,$O11))</f>
      </c>
      <c r="K11" s="141">
        <f>IF($O11="","",INDEX(资金台帐!$K$7:$K$3006,$O11))</f>
      </c>
      <c r="L11" s="172">
        <f>IF($O11="","",-INDEX(资金台帐!$S$7:$S$3006,$O11))</f>
      </c>
      <c r="M11" s="141">
        <f>IF($O11="","",INDEX(资金台帐!$C$7:$C$3006,$O11))</f>
      </c>
      <c r="N11" s="142">
        <f>IF($O11="","",INDEX(资金台帐!$E$7:$E$3006,$O11))</f>
      </c>
      <c r="O11" s="78">
        <f>IFERROR(MATCH(8,资金台帐!$R$7:$R$3006,0),"")</f>
      </c>
      <c r="P11" s="2" t="n"/>
      <c r="Q11" s="2" t="n"/>
      <c r="R11" s="2" t="n"/>
      <c r="S11" s="2" t="n"/>
      <c r="T11" s="2" t="n"/>
    </row>
    <row r="12" ht="15" customHeight="1" s="71">
      <c r="A12" s="141">
        <f>IF($G12="","",9)</f>
        <v>9</v>
      </c>
      <c r="B12" s="140">
        <f>IF($G12="","",INDEX(资金台帐!$B$7:$B$3006,$G12))</f>
        <v>46199.0</v>
      </c>
      <c r="C12" s="141" t="str">
        <f>IF($G12="","",INDEX(资金台帐!$J$7:$J$3006,$G12))</f>
        <v>通达商行</v>
      </c>
      <c r="D12" s="172">
        <f>IF($G12="","",INDEX(资金台帐!$S$7:$S$3006,$G12))</f>
        <v>18000</v>
      </c>
      <c r="E12" s="141" t="str">
        <f>IF($G12="","",INDEX(资金台帐!$C$7:$C$3006,$G12))</f>
        <v>收款码</v>
      </c>
      <c r="F12" s="142" t="str">
        <f>IF($G12="","",INDEX(资金台帐!$E$7:$E$3006,$G12)&amp;IF(INDEX(资金台帐!$M$7:$M$3006,$G12)="","","；"&amp;INDEX(资金台帐!$M$7:$M$3006,$G12)))</f>
        <v>收货款</v>
      </c>
      <c r="G12" s="78">
        <f>IFERROR(MATCH(9,资金台帐!$Q$7:$Q$3006,0),"")</f>
        <v>9</v>
      </c>
      <c r="H12" s="2" t="n"/>
      <c r="I12" s="141">
        <f>IF($O12="","",9)</f>
      </c>
      <c r="J12" s="140">
        <f>IF($O12="","",INDEX(资金台帐!$B$7:$B$3006,$O12))</f>
      </c>
      <c r="K12" s="141">
        <f>IF($O12="","",INDEX(资金台帐!$K$7:$K$3006,$O12))</f>
      </c>
      <c r="L12" s="172">
        <f>IF($O12="","",-INDEX(资金台帐!$S$7:$S$3006,$O12))</f>
      </c>
      <c r="M12" s="141">
        <f>IF($O12="","",INDEX(资金台帐!$C$7:$C$3006,$O12))</f>
      </c>
      <c r="N12" s="142">
        <f>IF($O12="","",INDEX(资金台帐!$E$7:$E$3006,$O12))</f>
      </c>
      <c r="O12" s="78">
        <f>IFERROR(MATCH(9,资金台帐!$R$7:$R$3006,0),"")</f>
      </c>
      <c r="P12" s="2" t="n"/>
      <c r="Q12" s="2" t="n"/>
      <c r="R12" s="2" t="n"/>
      <c r="S12" s="2" t="n"/>
      <c r="T12" s="2" t="n"/>
    </row>
    <row r="13" ht="15" customHeight="1" s="71">
      <c r="A13" s="141">
        <f>IF($G13="","",10)</f>
        <v>10</v>
      </c>
      <c r="B13" s="140">
        <f>IF($G13="","",INDEX(资金台帐!$B$7:$B$3006,$G13))</f>
        <v>46199.0</v>
      </c>
      <c r="C13" s="141" t="str">
        <f>IF($G13="","",INDEX(资金台帐!$J$7:$J$3006,$G13))</f>
        <v>宜兴粮油</v>
      </c>
      <c r="D13" s="172">
        <f>IF($G13="","",INDEX(资金台帐!$S$7:$S$3006,$G13))</f>
        <v>54000</v>
      </c>
      <c r="E13" s="141" t="str">
        <f>IF($G13="","",INDEX(资金台帐!$C$7:$C$3006,$G13))</f>
        <v>收款码</v>
      </c>
      <c r="F13" s="142" t="str">
        <f>IF($G13="","",INDEX(资金台帐!$E$7:$E$3006,$G13)&amp;IF(INDEX(资金台帐!$M$7:$M$3006,$G13)="","","；"&amp;INDEX(资金台帐!$M$7:$M$3006,$G13)))</f>
        <v>收货款</v>
      </c>
      <c r="G13" s="78">
        <f>IFERROR(MATCH(10,资金台帐!$Q$7:$Q$3006,0),"")</f>
        <v>10</v>
      </c>
      <c r="H13" s="2" t="n"/>
      <c r="I13" s="141">
        <f>IF($O13="","",10)</f>
      </c>
      <c r="J13" s="140">
        <f>IF($O13="","",INDEX(资金台帐!$B$7:$B$3006,$O13))</f>
      </c>
      <c r="K13" s="141">
        <f>IF($O13="","",INDEX(资金台帐!$K$7:$K$3006,$O13))</f>
      </c>
      <c r="L13" s="172">
        <f>IF($O13="","",-INDEX(资金台帐!$S$7:$S$3006,$O13))</f>
      </c>
      <c r="M13" s="141">
        <f>IF($O13="","",INDEX(资金台帐!$C$7:$C$3006,$O13))</f>
      </c>
      <c r="N13" s="142">
        <f>IF($O13="","",INDEX(资金台帐!$E$7:$E$3006,$O13))</f>
      </c>
      <c r="O13" s="78">
        <f>IFERROR(MATCH(10,资金台帐!$R$7:$R$3006,0),"")</f>
      </c>
      <c r="P13" s="2" t="n"/>
      <c r="Q13" s="2" t="n"/>
      <c r="R13" s="2" t="n"/>
      <c r="S13" s="2" t="n"/>
      <c r="T13" s="2" t="n"/>
    </row>
    <row r="14" ht="15" customHeight="1" s="71">
      <c r="A14" s="141">
        <f>IF($G14="","",11)</f>
        <v>11</v>
      </c>
      <c r="B14" s="140">
        <f>IF($G14="","",INDEX(资金台帐!$B$7:$B$3006,$G14))</f>
        <v>46200.0</v>
      </c>
      <c r="C14" s="141" t="str">
        <f>IF($G14="","",INDEX(资金台帐!$J$7:$J$3006,$G14))</f>
        <v>马路下小卖部</v>
      </c>
      <c r="D14" s="172">
        <f>IF($G14="","",INDEX(资金台帐!$S$7:$S$3006,$G14))</f>
        <v>840</v>
      </c>
      <c r="E14" s="141" t="str">
        <f>IF($G14="","",INDEX(资金台帐!$C$7:$C$3006,$G14))</f>
        <v>收款码</v>
      </c>
      <c r="F14" s="142" t="str">
        <f>IF($G14="","",INDEX(资金台帐!$E$7:$E$3006,$G14)&amp;IF(INDEX(资金台帐!$M$7:$M$3006,$G14)="","","；"&amp;INDEX(资金台帐!$M$7:$M$3006,$G14)))</f>
        <v>东鹏新品订货款</v>
      </c>
      <c r="G14" s="78">
        <f>IFERROR(MATCH(11,资金台帐!$Q$7:$Q$3006,0),"")</f>
        <v>11</v>
      </c>
      <c r="H14" s="2" t="n"/>
      <c r="I14" s="141">
        <f>IF($O14="","",11)</f>
      </c>
      <c r="J14" s="140">
        <f>IF($O14="","",INDEX(资金台帐!$B$7:$B$3006,$O14))</f>
      </c>
      <c r="K14" s="141">
        <f>IF($O14="","",INDEX(资金台帐!$K$7:$K$3006,$O14))</f>
      </c>
      <c r="L14" s="172">
        <f>IF($O14="","",-INDEX(资金台帐!$S$7:$S$3006,$O14))</f>
      </c>
      <c r="M14" s="141">
        <f>IF($O14="","",INDEX(资金台帐!$C$7:$C$3006,$O14))</f>
      </c>
      <c r="N14" s="142">
        <f>IF($O14="","",INDEX(资金台帐!$E$7:$E$3006,$O14))</f>
      </c>
      <c r="O14" s="78">
        <f>IFERROR(MATCH(11,资金台帐!$R$7:$R$3006,0),"")</f>
      </c>
      <c r="P14" s="2" t="n"/>
      <c r="Q14" s="2" t="n"/>
      <c r="R14" s="2" t="n"/>
      <c r="S14" s="2" t="n"/>
      <c r="T14" s="2" t="n"/>
    </row>
    <row r="15" ht="15" customHeight="1" s="71">
      <c r="A15" s="141">
        <f>IF($G15="","",12)</f>
        <v>12</v>
      </c>
      <c r="B15" s="140">
        <f>IF($G15="","",INDEX(资金台帐!$B$7:$B$3006,$G15))</f>
        <v>46200.0</v>
      </c>
      <c r="C15" s="141" t="str">
        <f>IF($G15="","",INDEX(资金台帐!$J$7:$J$3006,$G15))</f>
        <v>兴莲隆兴商行</v>
      </c>
      <c r="D15" s="172">
        <f>IF($G15="","",INDEX(资金台帐!$S$7:$S$3006,$G15))</f>
        <v>30043</v>
      </c>
      <c r="E15" s="141" t="str">
        <f>IF($G15="","",INDEX(资金台帐!$C$7:$C$3006,$G15))</f>
        <v>收款码</v>
      </c>
      <c r="F15" s="142" t="str">
        <f>IF($G15="","",INDEX(资金台帐!$E$7:$E$3006,$G15)&amp;IF(INDEX(资金台帐!$M$7:$M$3006,$G15)="","","；"&amp;INDEX(资金台帐!$M$7:$M$3006,$G15)))</f>
        <v>收货款</v>
      </c>
      <c r="G15" s="78">
        <f>IFERROR(MATCH(12,资金台帐!$Q$7:$Q$3006,0),"")</f>
        <v>12</v>
      </c>
      <c r="H15" s="2" t="n"/>
      <c r="I15" s="141">
        <f>IF($O15="","",12)</f>
      </c>
      <c r="J15" s="140">
        <f>IF($O15="","",INDEX(资金台帐!$B$7:$B$3006,$O15))</f>
      </c>
      <c r="K15" s="141">
        <f>IF($O15="","",INDEX(资金台帐!$K$7:$K$3006,$O15))</f>
      </c>
      <c r="L15" s="172">
        <f>IF($O15="","",-INDEX(资金台帐!$S$7:$S$3006,$O15))</f>
      </c>
      <c r="M15" s="141">
        <f>IF($O15="","",INDEX(资金台帐!$C$7:$C$3006,$O15))</f>
      </c>
      <c r="N15" s="142">
        <f>IF($O15="","",INDEX(资金台帐!$E$7:$E$3006,$O15))</f>
      </c>
      <c r="O15" s="78">
        <f>IFERROR(MATCH(12,资金台帐!$R$7:$R$3006,0),"")</f>
      </c>
      <c r="P15" s="2" t="n"/>
      <c r="Q15" s="2" t="n"/>
      <c r="R15" s="2" t="n"/>
      <c r="S15" s="2" t="n"/>
      <c r="T15" s="2" t="n"/>
    </row>
    <row r="16" ht="15" customHeight="1" s="71">
      <c r="A16" s="141">
        <f>IF($G16="","",13)</f>
        <v>13</v>
      </c>
      <c r="B16" s="140">
        <f>IF($G16="","",INDEX(资金台帐!$B$7:$B$3006,$G16))</f>
        <v>46200.0</v>
      </c>
      <c r="C16" s="141" t="str">
        <f>IF($G16="","",INDEX(资金台帐!$J$7:$J$3006,$G16))</f>
        <v>诚信粮油</v>
      </c>
      <c r="D16" s="172">
        <f>IF($G16="","",INDEX(资金台帐!$S$7:$S$3006,$G16))</f>
        <v>27000</v>
      </c>
      <c r="E16" s="141" t="str">
        <f>IF($G16="","",INDEX(资金台帐!$C$7:$C$3006,$G16))</f>
        <v>收款码</v>
      </c>
      <c r="F16" s="142" t="str">
        <f>IF($G16="","",INDEX(资金台帐!$E$7:$E$3006,$G16)&amp;IF(INDEX(资金台帐!$M$7:$M$3006,$G16)="","","；"&amp;INDEX(资金台帐!$M$7:$M$3006,$G16)))</f>
        <v>收货款</v>
      </c>
      <c r="G16" s="78">
        <f>IFERROR(MATCH(13,资金台帐!$Q$7:$Q$3006,0),"")</f>
        <v>13</v>
      </c>
      <c r="H16" s="2" t="n"/>
      <c r="I16" s="141">
        <f>IF($O16="","",13)</f>
      </c>
      <c r="J16" s="140">
        <f>IF($O16="","",INDEX(资金台帐!$B$7:$B$3006,$O16))</f>
      </c>
      <c r="K16" s="141">
        <f>IF($O16="","",INDEX(资金台帐!$K$7:$K$3006,$O16))</f>
      </c>
      <c r="L16" s="172">
        <f>IF($O16="","",-INDEX(资金台帐!$S$7:$S$3006,$O16))</f>
      </c>
      <c r="M16" s="141">
        <f>IF($O16="","",INDEX(资金台帐!$C$7:$C$3006,$O16))</f>
      </c>
      <c r="N16" s="142">
        <f>IF($O16="","",INDEX(资金台帐!$E$7:$E$3006,$O16))</f>
      </c>
      <c r="O16" s="78">
        <f>IFERROR(MATCH(13,资金台帐!$R$7:$R$3006,0),"")</f>
      </c>
      <c r="P16" s="2" t="n"/>
      <c r="Q16" s="2" t="n"/>
      <c r="R16" s="2" t="n"/>
      <c r="S16" s="2" t="n"/>
      <c r="T16" s="2" t="n"/>
    </row>
    <row r="17" ht="15" customHeight="1" s="71">
      <c r="A17" s="141">
        <f>IF($G17="","",14)</f>
        <v>14</v>
      </c>
      <c r="B17" s="140">
        <f>IF($G17="","",INDEX(资金台帐!$B$7:$B$3006,$G17))</f>
        <v>46200.0</v>
      </c>
      <c r="C17" s="141" t="str">
        <f>IF($G17="","",INDEX(资金台帐!$J$7:$J$3006,$G17))</f>
        <v>诚信粮油</v>
      </c>
      <c r="D17" s="172">
        <f>IF($G17="","",INDEX(资金台帐!$S$7:$S$3006,$G17))</f>
        <v>2565</v>
      </c>
      <c r="E17" s="141" t="str">
        <f>IF($G17="","",INDEX(资金台帐!$C$7:$C$3006,$G17))</f>
        <v>收款码</v>
      </c>
      <c r="F17" s="142" t="str">
        <f>IF($G17="","",INDEX(资金台帐!$E$7:$E$3006,$G17)&amp;IF(INDEX(资金台帐!$M$7:$M$3006,$G17)="","","；"&amp;INDEX(资金台帐!$M$7:$M$3006,$G17)))</f>
        <v>东鹏新品订货款</v>
      </c>
      <c r="G17" s="78">
        <f>IFERROR(MATCH(14,资金台帐!$Q$7:$Q$3006,0),"")</f>
        <v>14</v>
      </c>
      <c r="H17" s="2" t="n"/>
      <c r="I17" s="141">
        <f>IF($O17="","",14)</f>
      </c>
      <c r="J17" s="140">
        <f>IF($O17="","",INDEX(资金台帐!$B$7:$B$3006,$O17))</f>
      </c>
      <c r="K17" s="141">
        <f>IF($O17="","",INDEX(资金台帐!$K$7:$K$3006,$O17))</f>
      </c>
      <c r="L17" s="172">
        <f>IF($O17="","",-INDEX(资金台帐!$S$7:$S$3006,$O17))</f>
      </c>
      <c r="M17" s="141">
        <f>IF($O17="","",INDEX(资金台帐!$C$7:$C$3006,$O17))</f>
      </c>
      <c r="N17" s="142">
        <f>IF($O17="","",INDEX(资金台帐!$E$7:$E$3006,$O17))</f>
      </c>
      <c r="O17" s="78">
        <f>IFERROR(MATCH(14,资金台帐!$R$7:$R$3006,0),"")</f>
      </c>
      <c r="P17" s="2" t="n"/>
      <c r="Q17" s="2" t="n"/>
      <c r="R17" s="2" t="n"/>
      <c r="S17" s="2" t="n"/>
      <c r="T17" s="2" t="n"/>
    </row>
    <row r="18" ht="15" customHeight="1" s="71">
      <c r="A18" s="141">
        <f>IF($G18="","",15)</f>
        <v>15</v>
      </c>
      <c r="B18" s="140">
        <f>IF($G18="","",INDEX(资金台帐!$B$7:$B$3006,$G18))</f>
        <v>46200.0</v>
      </c>
      <c r="C18" s="141" t="str">
        <f>IF($G18="","",INDEX(资金台帐!$J$7:$J$3006,$G18))</f>
        <v>李记副食</v>
      </c>
      <c r="D18" s="172">
        <f>IF($G18="","",INDEX(资金台帐!$S$7:$S$3006,$G18))</f>
        <v>6930</v>
      </c>
      <c r="E18" s="141" t="str">
        <f>IF($G18="","",INDEX(资金台帐!$C$7:$C$3006,$G18))</f>
        <v>收款码</v>
      </c>
      <c r="F18" s="142" t="str">
        <f>IF($G18="","",INDEX(资金台帐!$E$7:$E$3006,$G18)&amp;IF(INDEX(资金台帐!$M$7:$M$3006,$G18)="","","；"&amp;INDEX(资金台帐!$M$7:$M$3006,$G18)))</f>
        <v>东鹏新品订货款</v>
      </c>
      <c r="G18" s="78">
        <f>IFERROR(MATCH(15,资金台帐!$Q$7:$Q$3006,0),"")</f>
        <v>15</v>
      </c>
      <c r="H18" s="2" t="n"/>
      <c r="I18" s="141">
        <f>IF($O18="","",15)</f>
      </c>
      <c r="J18" s="140">
        <f>IF($O18="","",INDEX(资金台帐!$B$7:$B$3006,$O18))</f>
      </c>
      <c r="K18" s="141">
        <f>IF($O18="","",INDEX(资金台帐!$K$7:$K$3006,$O18))</f>
      </c>
      <c r="L18" s="172">
        <f>IF($O18="","",-INDEX(资金台帐!$S$7:$S$3006,$O18))</f>
      </c>
      <c r="M18" s="141">
        <f>IF($O18="","",INDEX(资金台帐!$C$7:$C$3006,$O18))</f>
      </c>
      <c r="N18" s="142">
        <f>IF($O18="","",INDEX(资金台帐!$E$7:$E$3006,$O18))</f>
      </c>
      <c r="O18" s="78">
        <f>IFERROR(MATCH(15,资金台帐!$R$7:$R$3006,0),"")</f>
      </c>
      <c r="P18" s="2" t="n"/>
      <c r="Q18" s="2" t="n"/>
      <c r="R18" s="2" t="n"/>
      <c r="S18" s="2" t="n"/>
      <c r="T18" s="2" t="n"/>
    </row>
    <row r="19" ht="15" customHeight="1" s="71">
      <c r="A19" s="141">
        <f>IF($G19="","",16)</f>
        <v>16</v>
      </c>
      <c r="B19" s="140">
        <f>IF($G19="","",INDEX(资金台帐!$B$7:$B$3006,$G19))</f>
        <v>46200.0</v>
      </c>
      <c r="C19" s="141" t="str">
        <f>IF($G19="","",INDEX(资金台帐!$J$7:$J$3006,$G19))</f>
        <v>吕维春</v>
      </c>
      <c r="D19" s="172">
        <f>IF($G19="","",INDEX(资金台帐!$S$7:$S$3006,$G19))</f>
        <v>32440</v>
      </c>
      <c r="E19" s="141" t="str">
        <f>IF($G19="","",INDEX(资金台帐!$C$7:$C$3006,$G19))</f>
        <v>收款码</v>
      </c>
      <c r="F19" s="142" t="str">
        <f>IF($G19="","",INDEX(资金台帐!$E$7:$E$3006,$G19)&amp;IF(INDEX(资金台帐!$M$7:$M$3006,$G19)="","","；"&amp;INDEX(资金台帐!$M$7:$M$3006,$G19)))</f>
        <v>收货款</v>
      </c>
      <c r="G19" s="78">
        <f>IFERROR(MATCH(16,资金台帐!$Q$7:$Q$3006,0),"")</f>
        <v>16</v>
      </c>
      <c r="H19" s="2" t="n"/>
      <c r="I19" s="141">
        <f>IF($O19="","",16)</f>
      </c>
      <c r="J19" s="140">
        <f>IF($O19="","",INDEX(资金台帐!$B$7:$B$3006,$O19))</f>
      </c>
      <c r="K19" s="141">
        <f>IF($O19="","",INDEX(资金台帐!$K$7:$K$3006,$O19))</f>
      </c>
      <c r="L19" s="172">
        <f>IF($O19="","",-INDEX(资金台帐!$S$7:$S$3006,$O19))</f>
      </c>
      <c r="M19" s="141">
        <f>IF($O19="","",INDEX(资金台帐!$C$7:$C$3006,$O19))</f>
      </c>
      <c r="N19" s="142">
        <f>IF($O19="","",INDEX(资金台帐!$E$7:$E$3006,$O19))</f>
      </c>
      <c r="O19" s="78">
        <f>IFERROR(MATCH(16,资金台帐!$R$7:$R$3006,0),"")</f>
      </c>
      <c r="P19" s="2" t="n"/>
      <c r="Q19" s="2" t="n"/>
      <c r="R19" s="2" t="n"/>
      <c r="S19" s="2" t="n"/>
      <c r="T19" s="2" t="n"/>
    </row>
    <row r="20" ht="15" customHeight="1" s="71">
      <c r="A20" s="141">
        <f>IF($G20="","",17)</f>
        <v>17</v>
      </c>
      <c r="B20" s="140">
        <f>IF($G20="","",INDEX(资金台帐!$B$7:$B$3006,$G20))</f>
        <v>46200.0</v>
      </c>
      <c r="C20" s="141" t="str">
        <f>IF($G20="","",INDEX(资金台帐!$J$7:$J$3006,$G20))</f>
        <v>兴发商行</v>
      </c>
      <c r="D20" s="172">
        <f>IF($G20="","",INDEX(资金台帐!$S$7:$S$3006,$G20))</f>
        <v>15300</v>
      </c>
      <c r="E20" s="141" t="str">
        <f>IF($G20="","",INDEX(资金台帐!$C$7:$C$3006,$G20))</f>
        <v>收款码</v>
      </c>
      <c r="F20" s="142" t="str">
        <f>IF($G20="","",INDEX(资金台帐!$E$7:$E$3006,$G20)&amp;IF(INDEX(资金台帐!$M$7:$M$3006,$G20)="","","；"&amp;INDEX(资金台帐!$M$7:$M$3006,$G20)))</f>
        <v>收货款</v>
      </c>
      <c r="G20" s="78">
        <f>IFERROR(MATCH(17,资金台帐!$Q$7:$Q$3006,0),"")</f>
        <v>17</v>
      </c>
      <c r="H20" s="2" t="n"/>
      <c r="I20" s="141">
        <f>IF($O20="","",17)</f>
      </c>
      <c r="J20" s="140">
        <f>IF($O20="","",INDEX(资金台帐!$B$7:$B$3006,$O20))</f>
      </c>
      <c r="K20" s="141">
        <f>IF($O20="","",INDEX(资金台帐!$K$7:$K$3006,$O20))</f>
      </c>
      <c r="L20" s="172">
        <f>IF($O20="","",-INDEX(资金台帐!$S$7:$S$3006,$O20))</f>
      </c>
      <c r="M20" s="141">
        <f>IF($O20="","",INDEX(资金台帐!$C$7:$C$3006,$O20))</f>
      </c>
      <c r="N20" s="142">
        <f>IF($O20="","",INDEX(资金台帐!$E$7:$E$3006,$O20))</f>
      </c>
      <c r="O20" s="78">
        <f>IFERROR(MATCH(17,资金台帐!$R$7:$R$3006,0),"")</f>
      </c>
      <c r="P20" s="2" t="n"/>
      <c r="Q20" s="2" t="n"/>
      <c r="R20" s="2" t="n"/>
      <c r="S20" s="2" t="n"/>
      <c r="T20" s="2" t="n"/>
    </row>
    <row r="21" ht="15" customHeight="1" s="71">
      <c r="A21" s="141">
        <f>IF($G21="","",18)</f>
        <v>18</v>
      </c>
      <c r="B21" s="140">
        <f>IF($G21="","",INDEX(资金台帐!$B$7:$B$3006,$G21))</f>
        <v>46200.0</v>
      </c>
      <c r="C21" s="141" t="str">
        <f>IF($G21="","",INDEX(资金台帐!$J$7:$J$3006,$G21))</f>
        <v>城岗日日升超市</v>
      </c>
      <c r="D21" s="172">
        <f>IF($G21="","",INDEX(资金台帐!$S$7:$S$3006,$G21))</f>
        <v>36895</v>
      </c>
      <c r="E21" s="141" t="str">
        <f>IF($G21="","",INDEX(资金台帐!$C$7:$C$3006,$G21))</f>
        <v>收款码</v>
      </c>
      <c r="F21" s="142" t="str">
        <f>IF($G21="","",INDEX(资金台帐!$E$7:$E$3006,$G21)&amp;IF(INDEX(资金台帐!$M$7:$M$3006,$G21)="","","；"&amp;INDEX(资金台帐!$M$7:$M$3006,$G21)))</f>
        <v>收货款</v>
      </c>
      <c r="G21" s="78">
        <f>IFERROR(MATCH(18,资金台帐!$Q$7:$Q$3006,0),"")</f>
        <v>18</v>
      </c>
      <c r="H21" s="2" t="n"/>
      <c r="I21" s="141">
        <f>IF($O21="","",18)</f>
      </c>
      <c r="J21" s="140">
        <f>IF($O21="","",INDEX(资金台帐!$B$7:$B$3006,$O21))</f>
      </c>
      <c r="K21" s="141">
        <f>IF($O21="","",INDEX(资金台帐!$K$7:$K$3006,$O21))</f>
      </c>
      <c r="L21" s="172">
        <f>IF($O21="","",-INDEX(资金台帐!$S$7:$S$3006,$O21))</f>
      </c>
      <c r="M21" s="141">
        <f>IF($O21="","",INDEX(资金台帐!$C$7:$C$3006,$O21))</f>
      </c>
      <c r="N21" s="142">
        <f>IF($O21="","",INDEX(资金台帐!$E$7:$E$3006,$O21))</f>
      </c>
      <c r="O21" s="78">
        <f>IFERROR(MATCH(18,资金台帐!$R$7:$R$3006,0),"")</f>
      </c>
      <c r="P21" s="2" t="n"/>
      <c r="Q21" s="2" t="n"/>
      <c r="R21" s="2" t="n"/>
      <c r="S21" s="2" t="n"/>
      <c r="T21" s="2" t="n"/>
    </row>
    <row r="22" ht="15" customHeight="1" s="71">
      <c r="A22" s="141">
        <f>IF($G22="","",19)</f>
        <v>19</v>
      </c>
      <c r="B22" s="140">
        <f>IF($G22="","",INDEX(资金台帐!$B$7:$B$3006,$G22))</f>
        <v>46200.0</v>
      </c>
      <c r="C22" s="141" t="str">
        <f>IF($G22="","",INDEX(资金台帐!$J$7:$J$3006,$G22))</f>
        <v>江背久明商行</v>
      </c>
      <c r="D22" s="172">
        <f>IF($G22="","",INDEX(资金台帐!$S$7:$S$3006,$G22))</f>
        <v>21620</v>
      </c>
      <c r="E22" s="141" t="str">
        <f>IF($G22="","",INDEX(资金台帐!$C$7:$C$3006,$G22))</f>
        <v>收款码</v>
      </c>
      <c r="F22" s="142" t="str">
        <f>IF($G22="","",INDEX(资金台帐!$E$7:$E$3006,$G22)&amp;IF(INDEX(资金台帐!$M$7:$M$3006,$G22)="","","；"&amp;INDEX(资金台帐!$M$7:$M$3006,$G22)))</f>
        <v>收货款</v>
      </c>
      <c r="G22" s="78">
        <f>IFERROR(MATCH(19,资金台帐!$Q$7:$Q$3006,0),"")</f>
        <v>19</v>
      </c>
      <c r="H22" s="2" t="n"/>
      <c r="I22" s="141">
        <f>IF($O22="","",19)</f>
      </c>
      <c r="J22" s="140">
        <f>IF($O22="","",INDEX(资金台帐!$B$7:$B$3006,$O22))</f>
      </c>
      <c r="K22" s="141">
        <f>IF($O22="","",INDEX(资金台帐!$K$7:$K$3006,$O22))</f>
      </c>
      <c r="L22" s="172">
        <f>IF($O22="","",-INDEX(资金台帐!$S$7:$S$3006,$O22))</f>
      </c>
      <c r="M22" s="141">
        <f>IF($O22="","",INDEX(资金台帐!$C$7:$C$3006,$O22))</f>
      </c>
      <c r="N22" s="142">
        <f>IF($O22="","",INDEX(资金台帐!$E$7:$E$3006,$O22))</f>
      </c>
      <c r="O22" s="78">
        <f>IFERROR(MATCH(19,资金台帐!$R$7:$R$3006,0),"")</f>
      </c>
      <c r="P22" s="2" t="n"/>
      <c r="Q22" s="2" t="n"/>
      <c r="R22" s="2" t="n"/>
      <c r="S22" s="2" t="n"/>
      <c r="T22" s="2" t="n"/>
    </row>
    <row r="23" ht="15" customHeight="1" s="71">
      <c r="A23" s="141">
        <f>IF($G23="","",20)</f>
        <v>20</v>
      </c>
      <c r="B23" s="140">
        <f>IF($G23="","",INDEX(资金台帐!$B$7:$B$3006,$G23))</f>
        <v>46200.0</v>
      </c>
      <c r="C23" s="141" t="str">
        <f>IF($G23="","",INDEX(资金台帐!$J$7:$J$3006,$G23))</f>
        <v>龙岗好又全超市</v>
      </c>
      <c r="D23" s="172">
        <f>IF($G23="","",INDEX(资金台帐!$S$7:$S$3006,$G23))</f>
        <v>137732</v>
      </c>
      <c r="E23" s="141" t="str">
        <f>IF($G23="","",INDEX(资金台帐!$C$7:$C$3006,$G23))</f>
        <v>收款码</v>
      </c>
      <c r="F23" s="142" t="str">
        <f>IF($G23="","",INDEX(资金台帐!$E$7:$E$3006,$G23)&amp;IF(INDEX(资金台帐!$M$7:$M$3006,$G23)="","","；"&amp;INDEX(资金台帐!$M$7:$M$3006,$G23)))</f>
        <v>收货款</v>
      </c>
      <c r="G23" s="78">
        <f>IFERROR(MATCH(20,资金台帐!$Q$7:$Q$3006,0),"")</f>
        <v>20</v>
      </c>
      <c r="H23" s="2" t="n"/>
      <c r="I23" s="141">
        <f>IF($O23="","",20)</f>
      </c>
      <c r="J23" s="140">
        <f>IF($O23="","",INDEX(资金台帐!$B$7:$B$3006,$O23))</f>
      </c>
      <c r="K23" s="141">
        <f>IF($O23="","",INDEX(资金台帐!$K$7:$K$3006,$O23))</f>
      </c>
      <c r="L23" s="172">
        <f>IF($O23="","",-INDEX(资金台帐!$S$7:$S$3006,$O23))</f>
      </c>
      <c r="M23" s="141">
        <f>IF($O23="","",INDEX(资金台帐!$C$7:$C$3006,$O23))</f>
      </c>
      <c r="N23" s="142">
        <f>IF($O23="","",INDEX(资金台帐!$E$7:$E$3006,$O23))</f>
      </c>
      <c r="O23" s="78">
        <f>IFERROR(MATCH(20,资金台帐!$R$7:$R$3006,0),"")</f>
      </c>
      <c r="P23" s="2" t="n"/>
      <c r="Q23" s="2" t="n"/>
      <c r="R23" s="2" t="n"/>
      <c r="S23" s="2" t="n"/>
      <c r="T23" s="2" t="n"/>
    </row>
    <row r="24" ht="15" customHeight="1" s="71">
      <c r="A24" s="141">
        <f>IF($G24="","",21)</f>
        <v>21</v>
      </c>
      <c r="B24" s="140">
        <f>IF($G24="","",INDEX(资金台帐!$B$7:$B$3006,$G24))</f>
        <v>46200.0</v>
      </c>
      <c r="C24" s="141" t="str">
        <f>IF($G24="","",INDEX(资金台帐!$J$7:$J$3006,$G24))</f>
        <v>社富丽华超市</v>
      </c>
      <c r="D24" s="172">
        <f>IF($G24="","",INDEX(资金台帐!$S$7:$S$3006,$G24))</f>
        <v>8100</v>
      </c>
      <c r="E24" s="141" t="str">
        <f>IF($G24="","",INDEX(资金台帐!$C$7:$C$3006,$G24))</f>
        <v>收款码</v>
      </c>
      <c r="F24" s="142" t="str">
        <f>IF($G24="","",INDEX(资金台帐!$E$7:$E$3006,$G24)&amp;IF(INDEX(资金台帐!$M$7:$M$3006,$G24)="","","；"&amp;INDEX(资金台帐!$M$7:$M$3006,$G24)))</f>
        <v>收货款</v>
      </c>
      <c r="G24" s="78">
        <f>IFERROR(MATCH(21,资金台帐!$Q$7:$Q$3006,0),"")</f>
        <v>21</v>
      </c>
      <c r="H24" s="2" t="n"/>
      <c r="I24" s="141">
        <f>IF($O24="","",21)</f>
      </c>
      <c r="J24" s="140">
        <f>IF($O24="","",INDEX(资金台帐!$B$7:$B$3006,$O24))</f>
      </c>
      <c r="K24" s="141">
        <f>IF($O24="","",INDEX(资金台帐!$K$7:$K$3006,$O24))</f>
      </c>
      <c r="L24" s="172">
        <f>IF($O24="","",-INDEX(资金台帐!$S$7:$S$3006,$O24))</f>
      </c>
      <c r="M24" s="141">
        <f>IF($O24="","",INDEX(资金台帐!$C$7:$C$3006,$O24))</f>
      </c>
      <c r="N24" s="142">
        <f>IF($O24="","",INDEX(资金台帐!$E$7:$E$3006,$O24))</f>
      </c>
      <c r="O24" s="78">
        <f>IFERROR(MATCH(21,资金台帐!$R$7:$R$3006,0),"")</f>
      </c>
      <c r="P24" s="2" t="n"/>
      <c r="Q24" s="2" t="n"/>
      <c r="R24" s="2" t="n"/>
      <c r="S24" s="2" t="n"/>
      <c r="T24" s="2" t="n"/>
    </row>
    <row r="25" ht="15" customHeight="1" s="71">
      <c r="A25" s="141">
        <f>IF($G25="","",22)</f>
        <v>22</v>
      </c>
      <c r="B25" s="140">
        <f>IF($G25="","",INDEX(资金台帐!$B$7:$B$3006,$G25))</f>
        <v>46200.0</v>
      </c>
      <c r="C25" s="141" t="str">
        <f>IF($G25="","",INDEX(资金台帐!$J$7:$J$3006,$G25))</f>
        <v>九鑫粮油</v>
      </c>
      <c r="D25" s="172">
        <f>IF($G25="","",INDEX(资金台帐!$S$7:$S$3006,$G25))</f>
        <v>3150</v>
      </c>
      <c r="E25" s="141" t="str">
        <f>IF($G25="","",INDEX(资金台帐!$C$7:$C$3006,$G25))</f>
        <v>收款码</v>
      </c>
      <c r="F25" s="142" t="str">
        <f>IF($G25="","",INDEX(资金台帐!$E$7:$E$3006,$G25)&amp;IF(INDEX(资金台帐!$M$7:$M$3006,$G25)="","","；"&amp;INDEX(资金台帐!$M$7:$M$3006,$G25)))</f>
        <v>收货款</v>
      </c>
      <c r="G25" s="78">
        <f>IFERROR(MATCH(22,资金台帐!$Q$7:$Q$3006,0),"")</f>
        <v>22</v>
      </c>
      <c r="H25" s="2" t="n"/>
      <c r="I25" s="141">
        <f>IF($O25="","",22)</f>
      </c>
      <c r="J25" s="140">
        <f>IF($O25="","",INDEX(资金台帐!$B$7:$B$3006,$O25))</f>
      </c>
      <c r="K25" s="141">
        <f>IF($O25="","",INDEX(资金台帐!$K$7:$K$3006,$O25))</f>
      </c>
      <c r="L25" s="172">
        <f>IF($O25="","",-INDEX(资金台帐!$S$7:$S$3006,$O25))</f>
      </c>
      <c r="M25" s="141">
        <f>IF($O25="","",INDEX(资金台帐!$C$7:$C$3006,$O25))</f>
      </c>
      <c r="N25" s="142">
        <f>IF($O25="","",INDEX(资金台帐!$E$7:$E$3006,$O25))</f>
      </c>
      <c r="O25" s="78">
        <f>IFERROR(MATCH(22,资金台帐!$R$7:$R$3006,0),"")</f>
      </c>
      <c r="P25" s="2" t="n"/>
      <c r="Q25" s="2" t="n"/>
      <c r="R25" s="2" t="n"/>
      <c r="S25" s="2" t="n"/>
      <c r="T25" s="2" t="n"/>
    </row>
    <row r="26" ht="15" customHeight="1" s="71">
      <c r="A26" s="141">
        <f>IF($G26="","",23)</f>
        <v>23</v>
      </c>
      <c r="B26" s="140">
        <f>IF($G26="","",INDEX(资金台帐!$B$7:$B$3006,$G26))</f>
        <v>46200.0</v>
      </c>
      <c r="C26" s="141" t="str">
        <f>IF($G26="","",INDEX(资金台帐!$J$7:$J$3006,$G26))</f>
        <v>鼎龙陈财超市</v>
      </c>
      <c r="D26" s="172">
        <f>IF($G26="","",INDEX(资金台帐!$S$7:$S$3006,$G26))</f>
        <v>77682.5</v>
      </c>
      <c r="E26" s="141" t="str">
        <f>IF($G26="","",INDEX(资金台帐!$C$7:$C$3006,$G26))</f>
        <v>收款码</v>
      </c>
      <c r="F26" s="142" t="str">
        <f>IF($G26="","",INDEX(资金台帐!$E$7:$E$3006,$G26)&amp;IF(INDEX(资金台帐!$M$7:$M$3006,$G26)="","","；"&amp;INDEX(资金台帐!$M$7:$M$3006,$G26)))</f>
        <v>还欠2400元</v>
      </c>
      <c r="G26" s="78">
        <f>IFERROR(MATCH(23,资金台帐!$Q$7:$Q$3006,0),"")</f>
        <v>23</v>
      </c>
      <c r="H26" s="2" t="n"/>
      <c r="I26" s="141">
        <f>IF($O26="","",23)</f>
      </c>
      <c r="J26" s="140">
        <f>IF($O26="","",INDEX(资金台帐!$B$7:$B$3006,$O26))</f>
      </c>
      <c r="K26" s="141">
        <f>IF($O26="","",INDEX(资金台帐!$K$7:$K$3006,$O26))</f>
      </c>
      <c r="L26" s="172">
        <f>IF($O26="","",-INDEX(资金台帐!$S$7:$S$3006,$O26))</f>
      </c>
      <c r="M26" s="141">
        <f>IF($O26="","",INDEX(资金台帐!$C$7:$C$3006,$O26))</f>
      </c>
      <c r="N26" s="142">
        <f>IF($O26="","",INDEX(资金台帐!$E$7:$E$3006,$O26))</f>
      </c>
      <c r="O26" s="78">
        <f>IFERROR(MATCH(23,资金台帐!$R$7:$R$3006,0),"")</f>
      </c>
      <c r="P26" s="2" t="n"/>
      <c r="Q26" s="2" t="n"/>
      <c r="R26" s="2" t="n"/>
      <c r="S26" s="2" t="n"/>
      <c r="T26" s="2" t="n"/>
    </row>
    <row r="27" ht="15" customHeight="1" s="71">
      <c r="A27" s="141">
        <f>IF($G27="","",24)</f>
        <v>24</v>
      </c>
      <c r="B27" s="140">
        <f>IF($G27="","",INDEX(资金台帐!$B$7:$B$3006,$G27))</f>
        <v>46200.0</v>
      </c>
      <c r="C27" s="141" t="str">
        <f>IF($G27="","",INDEX(资金台帐!$J$7:$J$3006,$G27))</f>
        <v>洪门美群商行</v>
      </c>
      <c r="D27" s="172">
        <f>IF($G27="","",INDEX(资金台帐!$S$7:$S$3006,$G27))</f>
        <v>4500</v>
      </c>
      <c r="E27" s="141" t="str">
        <f>IF($G27="","",INDEX(资金台帐!$C$7:$C$3006,$G27))</f>
        <v>收款码</v>
      </c>
      <c r="F27" s="142" t="str">
        <f>IF($G27="","",INDEX(资金台帐!$E$7:$E$3006,$G27)&amp;IF(INDEX(资金台帐!$M$7:$M$3006,$G27)="","","；"&amp;INDEX(资金台帐!$M$7:$M$3006,$G27)))</f>
        <v>收货款</v>
      </c>
      <c r="G27" s="78">
        <f>IFERROR(MATCH(24,资金台帐!$Q$7:$Q$3006,0),"")</f>
        <v>24</v>
      </c>
      <c r="H27" s="2" t="n"/>
      <c r="I27" s="141">
        <f>IF($O27="","",24)</f>
      </c>
      <c r="J27" s="140">
        <f>IF($O27="","",INDEX(资金台帐!$B$7:$B$3006,$O27))</f>
      </c>
      <c r="K27" s="141">
        <f>IF($O27="","",INDEX(资金台帐!$K$7:$K$3006,$O27))</f>
      </c>
      <c r="L27" s="172">
        <f>IF($O27="","",-INDEX(资金台帐!$S$7:$S$3006,$O27))</f>
      </c>
      <c r="M27" s="141">
        <f>IF($O27="","",INDEX(资金台帐!$C$7:$C$3006,$O27))</f>
      </c>
      <c r="N27" s="142">
        <f>IF($O27="","",INDEX(资金台帐!$E$7:$E$3006,$O27))</f>
      </c>
      <c r="O27" s="78">
        <f>IFERROR(MATCH(24,资金台帐!$R$7:$R$3006,0),"")</f>
      </c>
      <c r="P27" s="2" t="n"/>
      <c r="Q27" s="2" t="n"/>
      <c r="R27" s="2" t="n"/>
      <c r="S27" s="2" t="n"/>
      <c r="T27" s="2" t="n"/>
    </row>
    <row r="28" ht="15" customHeight="1" s="71">
      <c r="A28" s="141">
        <f>IF($G28="","",25)</f>
        <v>25</v>
      </c>
      <c r="B28" s="140">
        <f>IF($G28="","",INDEX(资金台帐!$B$7:$B$3006,$G28))</f>
        <v>46200.0</v>
      </c>
      <c r="C28" s="141" t="str">
        <f>IF($G28="","",INDEX(资金台帐!$J$7:$J$3006,$G28))</f>
        <v>兴江家源超市</v>
      </c>
      <c r="D28" s="172">
        <f>IF($G28="","",INDEX(资金台帐!$S$7:$S$3006,$G28))</f>
        <v>1800</v>
      </c>
      <c r="E28" s="141" t="str">
        <f>IF($G28="","",INDEX(资金台帐!$C$7:$C$3006,$G28))</f>
        <v>收款码</v>
      </c>
      <c r="F28" s="142" t="str">
        <f>IF($G28="","",INDEX(资金台帐!$E$7:$E$3006,$G28)&amp;IF(INDEX(资金台帐!$M$7:$M$3006,$G28)="","","；"&amp;INDEX(资金台帐!$M$7:$M$3006,$G28)))</f>
        <v>收货款</v>
      </c>
      <c r="G28" s="78">
        <f>IFERROR(MATCH(25,资金台帐!$Q$7:$Q$3006,0),"")</f>
        <v>25</v>
      </c>
      <c r="H28" s="2" t="n"/>
      <c r="I28" s="141">
        <f>IF($O28="","",25)</f>
      </c>
      <c r="J28" s="140">
        <f>IF($O28="","",INDEX(资金台帐!$B$7:$B$3006,$O28))</f>
      </c>
      <c r="K28" s="141">
        <f>IF($O28="","",INDEX(资金台帐!$K$7:$K$3006,$O28))</f>
      </c>
      <c r="L28" s="172">
        <f>IF($O28="","",-INDEX(资金台帐!$S$7:$S$3006,$O28))</f>
      </c>
      <c r="M28" s="141">
        <f>IF($O28="","",INDEX(资金台帐!$C$7:$C$3006,$O28))</f>
      </c>
      <c r="N28" s="142">
        <f>IF($O28="","",INDEX(资金台帐!$E$7:$E$3006,$O28))</f>
      </c>
      <c r="O28" s="78">
        <f>IFERROR(MATCH(25,资金台帐!$R$7:$R$3006,0),"")</f>
      </c>
      <c r="P28" s="2" t="n"/>
      <c r="Q28" s="2" t="n"/>
      <c r="R28" s="2" t="n"/>
      <c r="S28" s="2" t="n"/>
      <c r="T28" s="2" t="n"/>
    </row>
    <row r="29" ht="15" customHeight="1" s="71">
      <c r="A29" s="141">
        <f>IF($G29="","",26)</f>
        <v>26</v>
      </c>
      <c r="B29" s="140">
        <f>IF($G29="","",INDEX(资金台帐!$B$7:$B$3006,$G29))</f>
        <v>46200.0</v>
      </c>
      <c r="C29" s="141" t="str">
        <f>IF($G29="","",INDEX(资金台帐!$J$7:$J$3006,$G29))</f>
        <v>永丰橙丰购物</v>
      </c>
      <c r="D29" s="172">
        <f>IF($G29="","",INDEX(资金台帐!$S$7:$S$3006,$G29))</f>
        <v>1067</v>
      </c>
      <c r="E29" s="141" t="str">
        <f>IF($G29="","",INDEX(资金台帐!$C$7:$C$3006,$G29))</f>
        <v>收款码</v>
      </c>
      <c r="F29" s="142" t="str">
        <f>IF($G29="","",INDEX(资金台帐!$E$7:$E$3006,$G29)&amp;IF(INDEX(资金台帐!$M$7:$M$3006,$G29)="","","；"&amp;INDEX(资金台帐!$M$7:$M$3006,$G29)))</f>
        <v>东鹏新品订货款</v>
      </c>
      <c r="G29" s="78">
        <f>IFERROR(MATCH(26,资金台帐!$Q$7:$Q$3006,0),"")</f>
        <v>26</v>
      </c>
      <c r="H29" s="2" t="n"/>
      <c r="I29" s="141">
        <f>IF($O29="","",26)</f>
      </c>
      <c r="J29" s="140">
        <f>IF($O29="","",INDEX(资金台帐!$B$7:$B$3006,$O29))</f>
      </c>
      <c r="K29" s="141">
        <f>IF($O29="","",INDEX(资金台帐!$K$7:$K$3006,$O29))</f>
      </c>
      <c r="L29" s="172">
        <f>IF($O29="","",-INDEX(资金台帐!$S$7:$S$3006,$O29))</f>
      </c>
      <c r="M29" s="141">
        <f>IF($O29="","",INDEX(资金台帐!$C$7:$C$3006,$O29))</f>
      </c>
      <c r="N29" s="142">
        <f>IF($O29="","",INDEX(资金台帐!$E$7:$E$3006,$O29))</f>
      </c>
      <c r="O29" s="78">
        <f>IFERROR(MATCH(26,资金台帐!$R$7:$R$3006,0),"")</f>
      </c>
      <c r="P29" s="2" t="n"/>
      <c r="Q29" s="2" t="n"/>
      <c r="R29" s="2" t="n"/>
      <c r="S29" s="2" t="n"/>
      <c r="T29" s="2" t="n"/>
    </row>
    <row r="30" ht="15" customHeight="1" s="71">
      <c r="A30" s="141">
        <f>IF($G30="","",27)</f>
        <v>27</v>
      </c>
      <c r="B30" s="140">
        <f>IF($G30="","",INDEX(资金台帐!$B$7:$B$3006,$G30))</f>
        <v>46200.0</v>
      </c>
      <c r="C30" s="141" t="str">
        <f>IF($G30="","",INDEX(资金台帐!$J$7:$J$3006,$G30))</f>
        <v>枫边德华超市</v>
      </c>
      <c r="D30" s="172">
        <f>IF($G30="","",INDEX(资金台帐!$S$7:$S$3006,$G30))</f>
        <v>38440</v>
      </c>
      <c r="E30" s="141" t="str">
        <f>IF($G30="","",INDEX(资金台帐!$C$7:$C$3006,$G30))</f>
        <v>收款码</v>
      </c>
      <c r="F30" s="142" t="str">
        <f>IF($G30="","",INDEX(资金台帐!$E$7:$E$3006,$G30)&amp;IF(INDEX(资金台帐!$M$7:$M$3006,$G30)="","","；"&amp;INDEX(资金台帐!$M$7:$M$3006,$G30)))</f>
        <v>收货款</v>
      </c>
      <c r="G30" s="78">
        <f>IFERROR(MATCH(27,资金台帐!$Q$7:$Q$3006,0),"")</f>
        <v>27</v>
      </c>
      <c r="H30" s="2" t="n"/>
      <c r="I30" s="141">
        <f>IF($O30="","",27)</f>
      </c>
      <c r="J30" s="140">
        <f>IF($O30="","",INDEX(资金台帐!$B$7:$B$3006,$O30))</f>
      </c>
      <c r="K30" s="141">
        <f>IF($O30="","",INDEX(资金台帐!$K$7:$K$3006,$O30))</f>
      </c>
      <c r="L30" s="172">
        <f>IF($O30="","",-INDEX(资金台帐!$S$7:$S$3006,$O30))</f>
      </c>
      <c r="M30" s="141">
        <f>IF($O30="","",INDEX(资金台帐!$C$7:$C$3006,$O30))</f>
      </c>
      <c r="N30" s="142">
        <f>IF($O30="","",INDEX(资金台帐!$E$7:$E$3006,$O30))</f>
      </c>
      <c r="O30" s="78">
        <f>IFERROR(MATCH(27,资金台帐!$R$7:$R$3006,0),"")</f>
      </c>
      <c r="P30" s="2" t="n"/>
      <c r="Q30" s="2" t="n"/>
      <c r="R30" s="2" t="n"/>
      <c r="S30" s="2" t="n"/>
      <c r="T30" s="2" t="n"/>
    </row>
    <row r="31" ht="15" customHeight="1" s="71">
      <c r="A31" s="141">
        <f>IF($G31="","",28)</f>
        <v>28</v>
      </c>
      <c r="B31" s="140">
        <f>IF($G31="","",INDEX(资金台帐!$B$7:$B$3006,$G31))</f>
        <v>46200.0</v>
      </c>
      <c r="C31" s="141" t="str">
        <f>IF($G31="","",INDEX(资金台帐!$J$7:$J$3006,$G31))</f>
        <v>梅窖建军批发</v>
      </c>
      <c r="D31" s="172">
        <f>IF($G31="","",INDEX(资金台帐!$S$7:$S$3006,$G31))</f>
        <v>11740</v>
      </c>
      <c r="E31" s="141" t="str">
        <f>IF($G31="","",INDEX(资金台帐!$C$7:$C$3006,$G31))</f>
        <v>收款码</v>
      </c>
      <c r="F31" s="142" t="str">
        <f>IF($G31="","",INDEX(资金台帐!$E$7:$E$3006,$G31)&amp;IF(INDEX(资金台帐!$M$7:$M$3006,$G31)="","","；"&amp;INDEX(资金台帐!$M$7:$M$3006,$G31)))</f>
        <v>收货款</v>
      </c>
      <c r="G31" s="78">
        <f>IFERROR(MATCH(28,资金台帐!$Q$7:$Q$3006,0),"")</f>
        <v>28</v>
      </c>
      <c r="H31" s="2" t="n"/>
      <c r="I31" s="141">
        <f>IF($O31="","",28)</f>
      </c>
      <c r="J31" s="140">
        <f>IF($O31="","",INDEX(资金台帐!$B$7:$B$3006,$O31))</f>
      </c>
      <c r="K31" s="141">
        <f>IF($O31="","",INDEX(资金台帐!$K$7:$K$3006,$O31))</f>
      </c>
      <c r="L31" s="172">
        <f>IF($O31="","",-INDEX(资金台帐!$S$7:$S$3006,$O31))</f>
      </c>
      <c r="M31" s="141">
        <f>IF($O31="","",INDEX(资金台帐!$C$7:$C$3006,$O31))</f>
      </c>
      <c r="N31" s="142">
        <f>IF($O31="","",INDEX(资金台帐!$E$7:$E$3006,$O31))</f>
      </c>
      <c r="O31" s="78">
        <f>IFERROR(MATCH(28,资金台帐!$R$7:$R$3006,0),"")</f>
      </c>
      <c r="P31" s="2" t="n"/>
      <c r="Q31" s="2" t="n"/>
      <c r="R31" s="2" t="n"/>
      <c r="S31" s="2" t="n"/>
      <c r="T31" s="2" t="n"/>
    </row>
    <row r="32" ht="15" customHeight="1" s="71">
      <c r="A32" s="141">
        <f>IF($G32="","",29)</f>
        <v>29</v>
      </c>
      <c r="B32" s="140">
        <f>IF($G32="","",INDEX(资金台帐!$B$7:$B$3006,$G32))</f>
        <v>46200.0</v>
      </c>
      <c r="C32" s="141" t="str">
        <f>IF($G32="","",INDEX(资金台帐!$J$7:$J$3006,$G32))</f>
        <v>高兴美宜佳</v>
      </c>
      <c r="D32" s="172">
        <f>IF($G32="","",INDEX(资金台帐!$S$7:$S$3006,$G32))</f>
        <v>704</v>
      </c>
      <c r="E32" s="141" t="str">
        <f>IF($G32="","",INDEX(资金台帐!$C$7:$C$3006,$G32))</f>
        <v>收款码</v>
      </c>
      <c r="F32" s="142" t="str">
        <f>IF($G32="","",INDEX(资金台帐!$E$7:$E$3006,$G32)&amp;IF(INDEX(资金台帐!$M$7:$M$3006,$G32)="","","；"&amp;INDEX(资金台帐!$M$7:$M$3006,$G32)))</f>
        <v>东鹏新品订货款</v>
      </c>
      <c r="G32" s="78">
        <f>IFERROR(MATCH(29,资金台帐!$Q$7:$Q$3006,0),"")</f>
        <v>29</v>
      </c>
      <c r="H32" s="2" t="n"/>
      <c r="I32" s="141">
        <f>IF($O32="","",29)</f>
      </c>
      <c r="J32" s="140">
        <f>IF($O32="","",INDEX(资金台帐!$B$7:$B$3006,$O32))</f>
      </c>
      <c r="K32" s="141">
        <f>IF($O32="","",INDEX(资金台帐!$K$7:$K$3006,$O32))</f>
      </c>
      <c r="L32" s="172">
        <f>IF($O32="","",-INDEX(资金台帐!$S$7:$S$3006,$O32))</f>
      </c>
      <c r="M32" s="141">
        <f>IF($O32="","",INDEX(资金台帐!$C$7:$C$3006,$O32))</f>
      </c>
      <c r="N32" s="142">
        <f>IF($O32="","",INDEX(资金台帐!$E$7:$E$3006,$O32))</f>
      </c>
      <c r="O32" s="78">
        <f>IFERROR(MATCH(29,资金台帐!$R$7:$R$3006,0),"")</f>
      </c>
      <c r="P32" s="2" t="n"/>
      <c r="Q32" s="2" t="n"/>
      <c r="R32" s="2" t="n"/>
      <c r="S32" s="2" t="n"/>
      <c r="T32" s="2" t="n"/>
    </row>
    <row r="33" ht="15" customHeight="1" s="71">
      <c r="A33" s="141">
        <f>IF($G33="","",30)</f>
        <v>30</v>
      </c>
      <c r="B33" s="140">
        <f>IF($G33="","",INDEX(资金台帐!$B$7:$B$3006,$G33))</f>
        <v>46200.0</v>
      </c>
      <c r="C33" s="141" t="str">
        <f>IF($G33="","",INDEX(资金台帐!$J$7:$J$3006,$G33))</f>
        <v>永丰焦溪兰兰副食</v>
      </c>
      <c r="D33" s="172">
        <f>IF($G33="","",INDEX(资金台帐!$S$7:$S$3006,$G33))</f>
        <v>3244</v>
      </c>
      <c r="E33" s="141" t="str">
        <f>IF($G33="","",INDEX(资金台帐!$C$7:$C$3006,$G33))</f>
        <v>收款码</v>
      </c>
      <c r="F33" s="142" t="str">
        <f>IF($G33="","",INDEX(资金台帐!$E$7:$E$3006,$G33)&amp;IF(INDEX(资金台帐!$M$7:$M$3006,$G33)="","","；"&amp;INDEX(资金台帐!$M$7:$M$3006,$G33)))</f>
        <v>东鹏新品订货款</v>
      </c>
      <c r="G33" s="78">
        <f>IFERROR(MATCH(30,资金台帐!$Q$7:$Q$3006,0),"")</f>
        <v>30</v>
      </c>
      <c r="H33" s="2" t="n"/>
      <c r="I33" s="141">
        <f>IF($O33="","",30)</f>
      </c>
      <c r="J33" s="140">
        <f>IF($O33="","",INDEX(资金台帐!$B$7:$B$3006,$O33))</f>
      </c>
      <c r="K33" s="141">
        <f>IF($O33="","",INDEX(资金台帐!$K$7:$K$3006,$O33))</f>
      </c>
      <c r="L33" s="172">
        <f>IF($O33="","",-INDEX(资金台帐!$S$7:$S$3006,$O33))</f>
      </c>
      <c r="M33" s="141">
        <f>IF($O33="","",INDEX(资金台帐!$C$7:$C$3006,$O33))</f>
      </c>
      <c r="N33" s="142">
        <f>IF($O33="","",INDEX(资金台帐!$E$7:$E$3006,$O33))</f>
      </c>
      <c r="O33" s="78">
        <f>IFERROR(MATCH(30,资金台帐!$R$7:$R$3006,0),"")</f>
      </c>
      <c r="P33" s="2" t="n"/>
      <c r="Q33" s="2" t="n"/>
      <c r="R33" s="2" t="n"/>
      <c r="S33" s="2" t="n"/>
      <c r="T33" s="2" t="n"/>
    </row>
    <row r="34" ht="15" customHeight="1" s="71">
      <c r="A34" s="141">
        <f>IF($G34="","",31)</f>
        <v>31</v>
      </c>
      <c r="B34" s="140">
        <f>IF($G34="","",INDEX(资金台帐!$B$7:$B$3006,$G34))</f>
        <v>46200.0</v>
      </c>
      <c r="C34" s="141" t="str">
        <f>IF($G34="","",INDEX(资金台帐!$J$7:$J$3006,$G34))</f>
        <v>高兴枫树平价超市</v>
      </c>
      <c r="D34" s="172">
        <f>IF($G34="","",INDEX(资金台帐!$S$7:$S$3006,$G34))</f>
        <v>1126</v>
      </c>
      <c r="E34" s="141" t="str">
        <f>IF($G34="","",INDEX(资金台帐!$C$7:$C$3006,$G34))</f>
        <v>收款码</v>
      </c>
      <c r="F34" s="142" t="str">
        <f>IF($G34="","",INDEX(资金台帐!$E$7:$E$3006,$G34)&amp;IF(INDEX(资金台帐!$M$7:$M$3006,$G34)="","","；"&amp;INDEX(资金台帐!$M$7:$M$3006,$G34)))</f>
        <v>东鹏新品订货款</v>
      </c>
      <c r="G34" s="78">
        <f>IFERROR(MATCH(31,资金台帐!$Q$7:$Q$3006,0),"")</f>
        <v>31</v>
      </c>
      <c r="H34" s="2" t="n"/>
      <c r="I34" s="141">
        <f>IF($O34="","",31)</f>
      </c>
      <c r="J34" s="140">
        <f>IF($O34="","",INDEX(资金台帐!$B$7:$B$3006,$O34))</f>
      </c>
      <c r="K34" s="141">
        <f>IF($O34="","",INDEX(资金台帐!$K$7:$K$3006,$O34))</f>
      </c>
      <c r="L34" s="172">
        <f>IF($O34="","",-INDEX(资金台帐!$S$7:$S$3006,$O34))</f>
      </c>
      <c r="M34" s="141">
        <f>IF($O34="","",INDEX(资金台帐!$C$7:$C$3006,$O34))</f>
      </c>
      <c r="N34" s="142">
        <f>IF($O34="","",INDEX(资金台帐!$E$7:$E$3006,$O34))</f>
      </c>
      <c r="O34" s="78">
        <f>IFERROR(MATCH(31,资金台帐!$R$7:$R$3006,0),"")</f>
      </c>
      <c r="P34" s="2" t="n"/>
      <c r="Q34" s="2" t="n"/>
      <c r="R34" s="2" t="n"/>
      <c r="S34" s="2" t="n"/>
      <c r="T34" s="2" t="n"/>
    </row>
    <row r="35" ht="15" customHeight="1" s="71">
      <c r="A35" s="141">
        <f>IF($G35="","",32)</f>
        <v>32</v>
      </c>
      <c r="B35" s="140">
        <f>IF($G35="","",INDEX(资金台帐!$B$7:$B$3006,$G35))</f>
        <v>46200.0</v>
      </c>
      <c r="C35" s="141" t="str">
        <f>IF($G35="","",INDEX(资金台帐!$J$7:$J$3006,$G35))</f>
        <v>鼎龙众家乐超市</v>
      </c>
      <c r="D35" s="172">
        <f>IF($G35="","",INDEX(资金台帐!$S$7:$S$3006,$G35))</f>
        <v>2182</v>
      </c>
      <c r="E35" s="141" t="str">
        <f>IF($G35="","",INDEX(资金台帐!$C$7:$C$3006,$G35))</f>
        <v>收款码</v>
      </c>
      <c r="F35" s="142" t="str">
        <f>IF($G35="","",INDEX(资金台帐!$E$7:$E$3006,$G35)&amp;IF(INDEX(资金台帐!$M$7:$M$3006,$G35)="","","；"&amp;INDEX(资金台帐!$M$7:$M$3006,$G35)))</f>
        <v>东鹏新品订货款</v>
      </c>
      <c r="G35" s="78">
        <f>IFERROR(MATCH(32,资金台帐!$Q$7:$Q$3006,0),"")</f>
        <v>32</v>
      </c>
      <c r="H35" s="2" t="n"/>
      <c r="I35" s="141">
        <f>IF($O35="","",32)</f>
      </c>
      <c r="J35" s="140">
        <f>IF($O35="","",INDEX(资金台帐!$B$7:$B$3006,$O35))</f>
      </c>
      <c r="K35" s="141">
        <f>IF($O35="","",INDEX(资金台帐!$K$7:$K$3006,$O35))</f>
      </c>
      <c r="L35" s="172">
        <f>IF($O35="","",-INDEX(资金台帐!$S$7:$S$3006,$O35))</f>
      </c>
      <c r="M35" s="141">
        <f>IF($O35="","",INDEX(资金台帐!$C$7:$C$3006,$O35))</f>
      </c>
      <c r="N35" s="142">
        <f>IF($O35="","",INDEX(资金台帐!$E$7:$E$3006,$O35))</f>
      </c>
      <c r="O35" s="78">
        <f>IFERROR(MATCH(32,资金台帐!$R$7:$R$3006,0),"")</f>
      </c>
      <c r="P35" s="2" t="n"/>
      <c r="Q35" s="2" t="n"/>
      <c r="R35" s="2" t="n"/>
      <c r="S35" s="2" t="n"/>
      <c r="T35" s="2" t="n"/>
    </row>
    <row r="36" ht="15" customHeight="1" s="71">
      <c r="A36" s="141">
        <f>IF($G36="","",33)</f>
        <v>33</v>
      </c>
      <c r="B36" s="140">
        <f>IF($G36="","",INDEX(资金台帐!$B$7:$B$3006,$G36))</f>
        <v>46200.0</v>
      </c>
      <c r="C36" s="141" t="str">
        <f>IF($G36="","",INDEX(资金台帐!$J$7:$J$3006,$G36))</f>
        <v>洪门兴诚超市</v>
      </c>
      <c r="D36" s="172">
        <f>IF($G36="","",INDEX(资金台帐!$S$7:$S$3006,$G36))</f>
        <v>45000</v>
      </c>
      <c r="E36" s="141" t="str">
        <f>IF($G36="","",INDEX(资金台帐!$C$7:$C$3006,$G36))</f>
        <v>收款码</v>
      </c>
      <c r="F36" s="142" t="str">
        <f>IF($G36="","",INDEX(资金台帐!$E$7:$E$3006,$G36)&amp;IF(INDEX(资金台帐!$M$7:$M$3006,$G36)="","","；"&amp;INDEX(资金台帐!$M$7:$M$3006,$G36)))</f>
        <v>收货款</v>
      </c>
      <c r="G36" s="78">
        <f>IFERROR(MATCH(33,资金台帐!$Q$7:$Q$3006,0),"")</f>
        <v>33</v>
      </c>
      <c r="H36" s="2" t="n"/>
      <c r="I36" s="141">
        <f>IF($O36="","",33)</f>
      </c>
      <c r="J36" s="140">
        <f>IF($O36="","",INDEX(资金台帐!$B$7:$B$3006,$O36))</f>
      </c>
      <c r="K36" s="141">
        <f>IF($O36="","",INDEX(资金台帐!$K$7:$K$3006,$O36))</f>
      </c>
      <c r="L36" s="172">
        <f>IF($O36="","",-INDEX(资金台帐!$S$7:$S$3006,$O36))</f>
      </c>
      <c r="M36" s="141">
        <f>IF($O36="","",INDEX(资金台帐!$C$7:$C$3006,$O36))</f>
      </c>
      <c r="N36" s="142">
        <f>IF($O36="","",INDEX(资金台帐!$E$7:$E$3006,$O36))</f>
      </c>
      <c r="O36" s="78">
        <f>IFERROR(MATCH(33,资金台帐!$R$7:$R$3006,0),"")</f>
      </c>
      <c r="P36" s="2" t="n"/>
      <c r="Q36" s="2" t="n"/>
      <c r="R36" s="2" t="n"/>
      <c r="S36" s="2" t="n"/>
      <c r="T36" s="2" t="n"/>
    </row>
    <row r="37" ht="15" customHeight="1" s="71">
      <c r="A37" s="141">
        <f>IF($G37="","",34)</f>
        <v>34</v>
      </c>
      <c r="B37" s="140">
        <f>IF($G37="","",INDEX(资金台帐!$B$7:$B$3006,$G37))</f>
        <v>46201.0</v>
      </c>
      <c r="C37" s="141" t="str">
        <f>IF($G37="","",INDEX(资金台帐!$J$7:$J$3006,$G37))</f>
        <v>王玉琴</v>
      </c>
      <c r="D37" s="172">
        <f>IF($G37="","",INDEX(资金台帐!$S$7:$S$3006,$G37))</f>
        <v>7697</v>
      </c>
      <c r="E37" s="141" t="str">
        <f>IF($G37="","",INDEX(资金台帐!$C$7:$C$3006,$G37))</f>
        <v>收款码</v>
      </c>
      <c r="F37" s="142" t="str">
        <f>IF($G37="","",INDEX(资金台帐!$E$7:$E$3006,$G37)&amp;IF(INDEX(资金台帐!$M$7:$M$3006,$G37)="","","；"&amp;INDEX(资金台帐!$M$7:$M$3006,$G37)))</f>
        <v>收货款</v>
      </c>
      <c r="G37" s="78">
        <f>IFERROR(MATCH(34,资金台帐!$Q$7:$Q$3006,0),"")</f>
        <v>34</v>
      </c>
      <c r="H37" s="2" t="n"/>
      <c r="I37" s="141">
        <f>IF($O37="","",34)</f>
      </c>
      <c r="J37" s="140">
        <f>IF($O37="","",INDEX(资金台帐!$B$7:$B$3006,$O37))</f>
      </c>
      <c r="K37" s="141">
        <f>IF($O37="","",INDEX(资金台帐!$K$7:$K$3006,$O37))</f>
      </c>
      <c r="L37" s="172">
        <f>IF($O37="","",-INDEX(资金台帐!$S$7:$S$3006,$O37))</f>
      </c>
      <c r="M37" s="141">
        <f>IF($O37="","",INDEX(资金台帐!$C$7:$C$3006,$O37))</f>
      </c>
      <c r="N37" s="142">
        <f>IF($O37="","",INDEX(资金台帐!$E$7:$E$3006,$O37))</f>
      </c>
      <c r="O37" s="78">
        <f>IFERROR(MATCH(34,资金台帐!$R$7:$R$3006,0),"")</f>
      </c>
      <c r="P37" s="2" t="n"/>
      <c r="Q37" s="2" t="n"/>
      <c r="R37" s="2" t="n"/>
      <c r="S37" s="2" t="n"/>
      <c r="T37" s="2" t="n"/>
    </row>
    <row r="38" ht="15" customHeight="1" s="71">
      <c r="A38" s="141">
        <f>IF($G38="","",35)</f>
        <v>35</v>
      </c>
      <c r="B38" s="140">
        <f>IF($G38="","",INDEX(资金台帐!$B$7:$B$3006,$G38))</f>
        <v>46202.0</v>
      </c>
      <c r="C38" s="141" t="str">
        <f>IF($G38="","",INDEX(资金台帐!$J$7:$J$3006,$G38))</f>
        <v>兴江吴辉明</v>
      </c>
      <c r="D38" s="172">
        <f>IF($G38="","",INDEX(资金台帐!$S$7:$S$3006,$G38))</f>
        <v>21135</v>
      </c>
      <c r="E38" s="141" t="str">
        <f>IF($G38="","",INDEX(资金台帐!$C$7:$C$3006,$G38))</f>
        <v>收款码</v>
      </c>
      <c r="F38" s="142" t="str">
        <f>IF($G38="","",INDEX(资金台帐!$E$7:$E$3006,$G38)&amp;IF(INDEX(资金台帐!$M$7:$M$3006,$G38)="","","；"&amp;INDEX(资金台帐!$M$7:$M$3006,$G38)))</f>
        <v>收货款</v>
      </c>
      <c r="G38" s="78">
        <f>IFERROR(MATCH(35,资金台帐!$Q$7:$Q$3006,0),"")</f>
        <v>35</v>
      </c>
      <c r="H38" s="2" t="n"/>
      <c r="I38" s="141">
        <f>IF($O38="","",35)</f>
      </c>
      <c r="J38" s="140">
        <f>IF($O38="","",INDEX(资金台帐!$B$7:$B$3006,$O38))</f>
      </c>
      <c r="K38" s="141">
        <f>IF($O38="","",INDEX(资金台帐!$K$7:$K$3006,$O38))</f>
      </c>
      <c r="L38" s="172">
        <f>IF($O38="","",-INDEX(资金台帐!$S$7:$S$3006,$O38))</f>
      </c>
      <c r="M38" s="141">
        <f>IF($O38="","",INDEX(资金台帐!$C$7:$C$3006,$O38))</f>
      </c>
      <c r="N38" s="142">
        <f>IF($O38="","",INDEX(资金台帐!$E$7:$E$3006,$O38))</f>
      </c>
      <c r="O38" s="78">
        <f>IFERROR(MATCH(35,资金台帐!$R$7:$R$3006,0),"")</f>
      </c>
      <c r="P38" s="2" t="n"/>
      <c r="Q38" s="2" t="n"/>
      <c r="R38" s="2" t="n"/>
      <c r="S38" s="2" t="n"/>
      <c r="T38" s="2" t="n"/>
    </row>
    <row r="39" ht="15" customHeight="1" s="71">
      <c r="A39" s="141">
        <f>IF($G39="","",36)</f>
        <v>36</v>
      </c>
      <c r="B39" s="140">
        <f>IF($G39="","",INDEX(资金台帐!$B$7:$B$3006,$G39))</f>
        <v>46202.0</v>
      </c>
      <c r="C39" s="141" t="str">
        <f>IF($G39="","",INDEX(资金台帐!$J$7:$J$3006,$G39))</f>
        <v>和睦公园百顺</v>
      </c>
      <c r="D39" s="172">
        <f>IF($G39="","",INDEX(资金台帐!$S$7:$S$3006,$G39))</f>
        <v>27000</v>
      </c>
      <c r="E39" s="141" t="str">
        <f>IF($G39="","",INDEX(资金台帐!$C$7:$C$3006,$G39))</f>
        <v>收款码</v>
      </c>
      <c r="F39" s="142" t="str">
        <f>IF($G39="","",INDEX(资金台帐!$E$7:$E$3006,$G39)&amp;IF(INDEX(资金台帐!$M$7:$M$3006,$G39)="","","；"&amp;INDEX(资金台帐!$M$7:$M$3006,$G39)))</f>
        <v>收货款</v>
      </c>
      <c r="G39" s="78">
        <f>IFERROR(MATCH(36,资金台帐!$Q$7:$Q$3006,0),"")</f>
        <v>36</v>
      </c>
      <c r="H39" s="2" t="n"/>
      <c r="I39" s="141">
        <f>IF($O39="","",36)</f>
      </c>
      <c r="J39" s="140">
        <f>IF($O39="","",INDEX(资金台帐!$B$7:$B$3006,$O39))</f>
      </c>
      <c r="K39" s="141">
        <f>IF($O39="","",INDEX(资金台帐!$K$7:$K$3006,$O39))</f>
      </c>
      <c r="L39" s="172">
        <f>IF($O39="","",-INDEX(资金台帐!$S$7:$S$3006,$O39))</f>
      </c>
      <c r="M39" s="141">
        <f>IF($O39="","",INDEX(资金台帐!$C$7:$C$3006,$O39))</f>
      </c>
      <c r="N39" s="142">
        <f>IF($O39="","",INDEX(资金台帐!$E$7:$E$3006,$O39))</f>
      </c>
      <c r="O39" s="78">
        <f>IFERROR(MATCH(36,资金台帐!$R$7:$R$3006,0),"")</f>
      </c>
      <c r="P39" s="2" t="n"/>
      <c r="Q39" s="2" t="n"/>
      <c r="R39" s="2" t="n"/>
      <c r="S39" s="2" t="n"/>
      <c r="T39" s="2" t="n"/>
    </row>
    <row r="40" ht="15" customHeight="1" s="71">
      <c r="A40" s="141">
        <f>IF($G40="","",37)</f>
        <v>37</v>
      </c>
      <c r="B40" s="140">
        <f>IF($G40="","",INDEX(资金台帐!$B$7:$B$3006,$G40))</f>
        <v>46204.0</v>
      </c>
      <c r="C40" s="141" t="str">
        <f>IF($G40="","",INDEX(资金台帐!$J$7:$J$3006,$G40))</f>
        <v>阳光超市</v>
      </c>
      <c r="D40" s="172">
        <f>IF($G40="","",INDEX(资金台帐!$S$7:$S$3006,$G40))</f>
        <v>11350</v>
      </c>
      <c r="E40" s="141" t="str">
        <f>IF($G40="","",INDEX(资金台帐!$C$7:$C$3006,$G40))</f>
        <v>农业工账</v>
      </c>
      <c r="F40" s="142" t="str">
        <f>IF($G40="","",INDEX(资金台帐!$E$7:$E$3006,$G40)&amp;IF(INDEX(资金台帐!$M$7:$M$3006,$G40)="","","；"&amp;INDEX(资金台帐!$M$7:$M$3006,$G40)))</f>
        <v>收货款</v>
      </c>
      <c r="G40" s="78">
        <f>IFERROR(MATCH(37,资金台帐!$Q$7:$Q$3006,0),"")</f>
        <v>37</v>
      </c>
      <c r="H40" s="2" t="n"/>
      <c r="I40" s="141">
        <f>IF($O40="","",37)</f>
      </c>
      <c r="J40" s="140">
        <f>IF($O40="","",INDEX(资金台帐!$B$7:$B$3006,$O40))</f>
      </c>
      <c r="K40" s="141">
        <f>IF($O40="","",INDEX(资金台帐!$K$7:$K$3006,$O40))</f>
      </c>
      <c r="L40" s="172">
        <f>IF($O40="","",-INDEX(资金台帐!$S$7:$S$3006,$O40))</f>
      </c>
      <c r="M40" s="141">
        <f>IF($O40="","",INDEX(资金台帐!$C$7:$C$3006,$O40))</f>
      </c>
      <c r="N40" s="142">
        <f>IF($O40="","",INDEX(资金台帐!$E$7:$E$3006,$O40))</f>
      </c>
      <c r="O40" s="78">
        <f>IFERROR(MATCH(37,资金台帐!$R$7:$R$3006,0),"")</f>
      </c>
      <c r="P40" s="2" t="n"/>
      <c r="Q40" s="2" t="n"/>
      <c r="R40" s="2" t="n"/>
      <c r="S40" s="2" t="n"/>
      <c r="T40" s="2" t="n"/>
    </row>
    <row r="41" ht="15" customHeight="1" s="71">
      <c r="A41" s="141">
        <f>IF($G41="","",38)</f>
        <v>38</v>
      </c>
      <c r="B41" s="140">
        <f>IF($G41="","",INDEX(资金台帐!$B$7:$B$3006,$G41))</f>
        <v>46204.0</v>
      </c>
      <c r="C41" s="141" t="str">
        <f>IF($G41="","",INDEX(资金台帐!$J$7:$J$3006,$G41))</f>
        <v>红军路怡品折扣店</v>
      </c>
      <c r="D41" s="172">
        <f>IF($G41="","",INDEX(资金台帐!$S$7:$S$3006,$G41))</f>
        <v>5400</v>
      </c>
      <c r="E41" s="141" t="str">
        <f>IF($G41="","",INDEX(资金台帐!$C$7:$C$3006,$G41))</f>
        <v>收款码</v>
      </c>
      <c r="F41" s="142" t="str">
        <f>IF($G41="","",INDEX(资金台帐!$E$7:$E$3006,$G41)&amp;IF(INDEX(资金台帐!$M$7:$M$3006,$G41)="","","；"&amp;INDEX(资金台帐!$M$7:$M$3006,$G41)))</f>
        <v>收货款</v>
      </c>
      <c r="G41" s="78">
        <f>IFERROR(MATCH(38,资金台帐!$Q$7:$Q$3006,0),"")</f>
        <v>38</v>
      </c>
      <c r="H41" s="2" t="n"/>
      <c r="I41" s="141">
        <f>IF($O41="","",38)</f>
      </c>
      <c r="J41" s="140">
        <f>IF($O41="","",INDEX(资金台帐!$B$7:$B$3006,$O41))</f>
      </c>
      <c r="K41" s="141">
        <f>IF($O41="","",INDEX(资金台帐!$K$7:$K$3006,$O41))</f>
      </c>
      <c r="L41" s="172">
        <f>IF($O41="","",-INDEX(资金台帐!$S$7:$S$3006,$O41))</f>
      </c>
      <c r="M41" s="141">
        <f>IF($O41="","",INDEX(资金台帐!$C$7:$C$3006,$O41))</f>
      </c>
      <c r="N41" s="142">
        <f>IF($O41="","",INDEX(资金台帐!$E$7:$E$3006,$O41))</f>
      </c>
      <c r="O41" s="78">
        <f>IFERROR(MATCH(38,资金台帐!$R$7:$R$3006,0),"")</f>
      </c>
      <c r="P41" s="2" t="n"/>
      <c r="Q41" s="2" t="n"/>
      <c r="R41" s="2" t="n"/>
      <c r="S41" s="2" t="n"/>
      <c r="T41" s="2" t="n"/>
    </row>
    <row r="42" ht="15" customHeight="1" s="71">
      <c r="A42" s="141">
        <f>IF($G42="","",39)</f>
        <v>39</v>
      </c>
      <c r="B42" s="140">
        <f>IF($G42="","",INDEX(资金台帐!$B$7:$B$3006,$G42))</f>
        <v>46204.0</v>
      </c>
      <c r="C42" s="141" t="str">
        <f>IF($G42="","",INDEX(资金台帐!$J$7:$J$3006,$G42))</f>
        <v>家家兴超市</v>
      </c>
      <c r="D42" s="172">
        <f>IF($G42="","",INDEX(资金台帐!$S$7:$S$3006,$G42))</f>
        <v>2579</v>
      </c>
      <c r="E42" s="141" t="str">
        <f>IF($G42="","",INDEX(资金台帐!$C$7:$C$3006,$G42))</f>
        <v>收款码</v>
      </c>
      <c r="F42" s="142" t="str">
        <f>IF($G42="","",INDEX(资金台帐!$E$7:$E$3006,$G42)&amp;IF(INDEX(资金台帐!$M$7:$M$3006,$G42)="","","；"&amp;INDEX(资金台帐!$M$7:$M$3006,$G42)))</f>
        <v>收货款</v>
      </c>
      <c r="G42" s="78">
        <f>IFERROR(MATCH(39,资金台帐!$Q$7:$Q$3006,0),"")</f>
        <v>39</v>
      </c>
      <c r="H42" s="2" t="n"/>
      <c r="I42" s="141">
        <f>IF($O42="","",39)</f>
      </c>
      <c r="J42" s="140">
        <f>IF($O42="","",INDEX(资金台帐!$B$7:$B$3006,$O42))</f>
      </c>
      <c r="K42" s="141">
        <f>IF($O42="","",INDEX(资金台帐!$K$7:$K$3006,$O42))</f>
      </c>
      <c r="L42" s="172">
        <f>IF($O42="","",-INDEX(资金台帐!$S$7:$S$3006,$O42))</f>
      </c>
      <c r="M42" s="141">
        <f>IF($O42="","",INDEX(资金台帐!$C$7:$C$3006,$O42))</f>
      </c>
      <c r="N42" s="142">
        <f>IF($O42="","",INDEX(资金台帐!$E$7:$E$3006,$O42))</f>
      </c>
      <c r="O42" s="78">
        <f>IFERROR(MATCH(39,资金台帐!$R$7:$R$3006,0),"")</f>
      </c>
      <c r="P42" s="2" t="n"/>
      <c r="Q42" s="2" t="n"/>
      <c r="R42" s="2" t="n"/>
      <c r="S42" s="2" t="n"/>
      <c r="T42" s="2" t="n"/>
    </row>
    <row r="43" ht="15" customHeight="1" s="71">
      <c r="A43" s="141">
        <f>IF($G43="","",40)</f>
        <v>40</v>
      </c>
      <c r="B43" s="140">
        <f>IF($G43="","",INDEX(资金台帐!$B$7:$B$3006,$G43))</f>
        <v>46204.0</v>
      </c>
      <c r="C43" s="141" t="str">
        <f>IF($G43="","",INDEX(资金台帐!$J$7:$J$3006,$G43))</f>
        <v>小梅商行</v>
      </c>
      <c r="D43" s="172">
        <f>IF($G43="","",INDEX(资金台帐!$S$7:$S$3006,$G43))</f>
        <v>360000</v>
      </c>
      <c r="E43" s="141" t="str">
        <f>IF($G43="","",INDEX(资金台帐!$C$7:$C$3006,$G43))</f>
        <v>收款码</v>
      </c>
      <c r="F43" s="142" t="str">
        <f>IF($G43="","",INDEX(资金台帐!$E$7:$E$3006,$G43)&amp;IF(INDEX(资金台帐!$M$7:$M$3006,$G43)="","","；"&amp;INDEX(资金台帐!$M$7:$M$3006,$G43)))</f>
        <v>收货款</v>
      </c>
      <c r="G43" s="78">
        <f>IFERROR(MATCH(40,资金台帐!$Q$7:$Q$3006,0),"")</f>
        <v>40</v>
      </c>
      <c r="H43" s="2" t="n"/>
      <c r="I43" s="141">
        <f>IF($O43="","",40)</f>
      </c>
      <c r="J43" s="140">
        <f>IF($O43="","",INDEX(资金台帐!$B$7:$B$3006,$O43))</f>
      </c>
      <c r="K43" s="141">
        <f>IF($O43="","",INDEX(资金台帐!$K$7:$K$3006,$O43))</f>
      </c>
      <c r="L43" s="172">
        <f>IF($O43="","",-INDEX(资金台帐!$S$7:$S$3006,$O43))</f>
      </c>
      <c r="M43" s="141">
        <f>IF($O43="","",INDEX(资金台帐!$C$7:$C$3006,$O43))</f>
      </c>
      <c r="N43" s="142">
        <f>IF($O43="","",INDEX(资金台帐!$E$7:$E$3006,$O43))</f>
      </c>
      <c r="O43" s="78">
        <f>IFERROR(MATCH(40,资金台帐!$R$7:$R$3006,0),"")</f>
      </c>
      <c r="P43" s="2" t="n"/>
      <c r="Q43" s="2" t="n"/>
      <c r="R43" s="2" t="n"/>
      <c r="S43" s="2" t="n"/>
      <c r="T43" s="2" t="n"/>
    </row>
    <row r="44" ht="15" customHeight="1" s="71">
      <c r="A44" s="141">
        <f>IF($G44="","",41)</f>
        <v>41</v>
      </c>
      <c r="B44" s="140">
        <f>IF($G44="","",INDEX(资金台帐!$B$7:$B$3006,$G44))</f>
        <v>46205.0</v>
      </c>
      <c r="C44" s="141" t="str">
        <f>IF($G44="","",INDEX(资金台帐!$J$7:$J$3006,$G44))</f>
        <v>家家兴超市</v>
      </c>
      <c r="D44" s="172">
        <f>IF($G44="","",INDEX(资金台帐!$S$7:$S$3006,$G44))</f>
        <v>10000</v>
      </c>
      <c r="E44" s="141" t="str">
        <f>IF($G44="","",INDEX(资金台帐!$C$7:$C$3006,$G44))</f>
        <v>收款码</v>
      </c>
      <c r="F44" s="142" t="str">
        <f>IF($G44="","",INDEX(资金台帐!$E$7:$E$3006,$G44)&amp;IF(INDEX(资金台帐!$M$7:$M$3006,$G44)="","","；"&amp;INDEX(资金台帐!$M$7:$M$3006,$G44)))</f>
        <v>收货款</v>
      </c>
      <c r="G44" s="78">
        <f>IFERROR(MATCH(41,资金台帐!$Q$7:$Q$3006,0),"")</f>
        <v>41</v>
      </c>
      <c r="H44" s="2" t="n"/>
      <c r="I44" s="141">
        <f>IF($O44="","",41)</f>
      </c>
      <c r="J44" s="140">
        <f>IF($O44="","",INDEX(资金台帐!$B$7:$B$3006,$O44))</f>
      </c>
      <c r="K44" s="141">
        <f>IF($O44="","",INDEX(资金台帐!$K$7:$K$3006,$O44))</f>
      </c>
      <c r="L44" s="172">
        <f>IF($O44="","",-INDEX(资金台帐!$S$7:$S$3006,$O44))</f>
      </c>
      <c r="M44" s="141">
        <f>IF($O44="","",INDEX(资金台帐!$C$7:$C$3006,$O44))</f>
      </c>
      <c r="N44" s="142">
        <f>IF($O44="","",INDEX(资金台帐!$E$7:$E$3006,$O44))</f>
      </c>
      <c r="O44" s="78">
        <f>IFERROR(MATCH(41,资金台帐!$R$7:$R$3006,0),"")</f>
      </c>
      <c r="P44" s="2" t="n"/>
      <c r="Q44" s="2" t="n"/>
      <c r="R44" s="2" t="n"/>
      <c r="S44" s="2" t="n"/>
      <c r="T44" s="2" t="n"/>
    </row>
    <row r="45" ht="15" customHeight="1" s="71">
      <c r="A45" s="141">
        <f>IF($G45="","",42)</f>
        <v>42</v>
      </c>
      <c r="B45" s="140">
        <f>IF($G45="","",INDEX(资金台帐!$B$7:$B$3006,$G45))</f>
        <v>46207.0</v>
      </c>
      <c r="C45" s="141" t="str">
        <f>IF($G45="","",INDEX(资金台帐!$J$7:$J$3006,$G45))</f>
        <v>均村桃姐水果店</v>
      </c>
      <c r="D45" s="172">
        <f>IF($G45="","",INDEX(资金台帐!$S$7:$S$3006,$G45))</f>
        <v>2325</v>
      </c>
      <c r="E45" s="141" t="str">
        <f>IF($G45="","",INDEX(资金台帐!$C$7:$C$3006,$G45))</f>
        <v>收款码</v>
      </c>
      <c r="F45" s="142" t="str">
        <f>IF($G45="","",INDEX(资金台帐!$E$7:$E$3006,$G45)&amp;IF(INDEX(资金台帐!$M$7:$M$3006,$G45)="","","；"&amp;INDEX(资金台帐!$M$7:$M$3006,$G45)))</f>
        <v>收货款</v>
      </c>
      <c r="G45" s="78">
        <f>IFERROR(MATCH(42,资金台帐!$Q$7:$Q$3006,0),"")</f>
        <v>42</v>
      </c>
      <c r="H45" s="2" t="n"/>
      <c r="I45" s="141">
        <f>IF($O45="","",42)</f>
      </c>
      <c r="J45" s="140">
        <f>IF($O45="","",INDEX(资金台帐!$B$7:$B$3006,$O45))</f>
      </c>
      <c r="K45" s="141">
        <f>IF($O45="","",INDEX(资金台帐!$K$7:$K$3006,$O45))</f>
      </c>
      <c r="L45" s="172">
        <f>IF($O45="","",-INDEX(资金台帐!$S$7:$S$3006,$O45))</f>
      </c>
      <c r="M45" s="141">
        <f>IF($O45="","",INDEX(资金台帐!$C$7:$C$3006,$O45))</f>
      </c>
      <c r="N45" s="142">
        <f>IF($O45="","",INDEX(资金台帐!$E$7:$E$3006,$O45))</f>
      </c>
      <c r="O45" s="78">
        <f>IFERROR(MATCH(42,资金台帐!$R$7:$R$3006,0),"")</f>
      </c>
      <c r="P45" s="2" t="n"/>
      <c r="Q45" s="2" t="n"/>
      <c r="R45" s="2" t="n"/>
      <c r="S45" s="2" t="n"/>
      <c r="T45" s="2" t="n"/>
    </row>
    <row r="46" ht="15" customHeight="1" s="71">
      <c r="A46" s="141">
        <f>IF($G46="","",43)</f>
        <v>43</v>
      </c>
      <c r="B46" s="140">
        <f>IF($G46="","",INDEX(资金台帐!$B$7:$B$3006,$G46))</f>
        <v>46209.0</v>
      </c>
      <c r="C46" s="141" t="str">
        <f>IF($G46="","",INDEX(资金台帐!$J$7:$J$3006,$G46))</f>
        <v>贸易广场老吴副食</v>
      </c>
      <c r="D46" s="172">
        <f>IF($G46="","",INDEX(资金台帐!$S$7:$S$3006,$G46))</f>
        <v>4500</v>
      </c>
      <c r="E46" s="141" t="str">
        <f>IF($G46="","",INDEX(资金台帐!$C$7:$C$3006,$G46))</f>
        <v>收款码</v>
      </c>
      <c r="F46" s="142" t="str">
        <f>IF($G46="","",INDEX(资金台帐!$E$7:$E$3006,$G46)&amp;IF(INDEX(资金台帐!$M$7:$M$3006,$G46)="","","；"&amp;INDEX(资金台帐!$M$7:$M$3006,$G46)))</f>
        <v>收货款</v>
      </c>
      <c r="G46" s="78">
        <f>IFERROR(MATCH(43,资金台帐!$Q$7:$Q$3006,0),"")</f>
        <v>43</v>
      </c>
      <c r="H46" s="2" t="n"/>
      <c r="I46" s="141">
        <f>IF($O46="","",43)</f>
      </c>
      <c r="J46" s="140">
        <f>IF($O46="","",INDEX(资金台帐!$B$7:$B$3006,$O46))</f>
      </c>
      <c r="K46" s="141">
        <f>IF($O46="","",INDEX(资金台帐!$K$7:$K$3006,$O46))</f>
      </c>
      <c r="L46" s="172">
        <f>IF($O46="","",-INDEX(资金台帐!$S$7:$S$3006,$O46))</f>
      </c>
      <c r="M46" s="141">
        <f>IF($O46="","",INDEX(资金台帐!$C$7:$C$3006,$O46))</f>
      </c>
      <c r="N46" s="142">
        <f>IF($O46="","",INDEX(资金台帐!$E$7:$E$3006,$O46))</f>
      </c>
      <c r="O46" s="78">
        <f>IFERROR(MATCH(43,资金台帐!$R$7:$R$3006,0),"")</f>
      </c>
      <c r="P46" s="2" t="n"/>
      <c r="Q46" s="2" t="n"/>
      <c r="R46" s="2" t="n"/>
      <c r="S46" s="2" t="n"/>
      <c r="T46" s="2" t="n"/>
    </row>
    <row r="47" ht="15" customHeight="1" s="71">
      <c r="A47" s="141">
        <f>IF($G47="","",44)</f>
        <v>44</v>
      </c>
      <c r="B47" s="140">
        <f>IF($G47="","",INDEX(资金台帐!$B$7:$B$3006,$G47))</f>
        <v>46210.0</v>
      </c>
      <c r="C47" s="141" t="str">
        <f>IF($G47="","",INDEX(资金台帐!$J$7:$J$3006,$G47))</f>
        <v>友兰商行</v>
      </c>
      <c r="D47" s="172">
        <f>IF($G47="","",INDEX(资金台帐!$S$7:$S$3006,$G47))</f>
        <v>4650</v>
      </c>
      <c r="E47" s="141" t="str">
        <f>IF($G47="","",INDEX(资金台帐!$C$7:$C$3006,$G47))</f>
        <v>收款码</v>
      </c>
      <c r="F47" s="142" t="str">
        <f>IF($G47="","",INDEX(资金台帐!$E$7:$E$3006,$G47)&amp;IF(INDEX(资金台帐!$M$7:$M$3006,$G47)="","","；"&amp;INDEX(资金台帐!$M$7:$M$3006,$G47)))</f>
        <v>收货款</v>
      </c>
      <c r="G47" s="78">
        <f>IFERROR(MATCH(44,资金台帐!$Q$7:$Q$3006,0),"")</f>
        <v>44</v>
      </c>
      <c r="H47" s="2" t="n"/>
      <c r="I47" s="141">
        <f>IF($O47="","",44)</f>
      </c>
      <c r="J47" s="140">
        <f>IF($O47="","",INDEX(资金台帐!$B$7:$B$3006,$O47))</f>
      </c>
      <c r="K47" s="141">
        <f>IF($O47="","",INDEX(资金台帐!$K$7:$K$3006,$O47))</f>
      </c>
      <c r="L47" s="172">
        <f>IF($O47="","",-INDEX(资金台帐!$S$7:$S$3006,$O47))</f>
      </c>
      <c r="M47" s="141">
        <f>IF($O47="","",INDEX(资金台帐!$C$7:$C$3006,$O47))</f>
      </c>
      <c r="N47" s="142">
        <f>IF($O47="","",INDEX(资金台帐!$E$7:$E$3006,$O47))</f>
      </c>
      <c r="O47" s="78">
        <f>IFERROR(MATCH(44,资金台帐!$R$7:$R$3006,0),"")</f>
      </c>
      <c r="P47" s="2" t="n"/>
      <c r="Q47" s="2" t="n"/>
      <c r="R47" s="2" t="n"/>
      <c r="S47" s="2" t="n"/>
      <c r="T47" s="2" t="n"/>
    </row>
    <row r="48" ht="15" customHeight="1" s="71">
      <c r="A48" s="141">
        <f>IF($G48="","",45)</f>
        <v>45</v>
      </c>
      <c r="B48" s="140">
        <f>IF($G48="","",INDEX(资金台帐!$B$7:$B$3006,$G48))</f>
        <v>46211.0</v>
      </c>
      <c r="C48" s="141" t="str">
        <f>IF($G48="","",INDEX(资金台帐!$J$7:$J$3006,$G48))</f>
        <v>崇贤高平副食</v>
      </c>
      <c r="D48" s="172">
        <f>IF($G48="","",INDEX(资金台帐!$S$7:$S$3006,$G48))</f>
        <v>2325</v>
      </c>
      <c r="E48" s="141" t="str">
        <f>IF($G48="","",INDEX(资金台帐!$C$7:$C$3006,$G48))</f>
        <v>收款码</v>
      </c>
      <c r="F48" s="142" t="str">
        <f>IF($G48="","",INDEX(资金台帐!$E$7:$E$3006,$G48)&amp;IF(INDEX(资金台帐!$M$7:$M$3006,$G48)="","","；"&amp;INDEX(资金台帐!$M$7:$M$3006,$G48)))</f>
        <v>收货款</v>
      </c>
      <c r="G48" s="78">
        <f>IFERROR(MATCH(45,资金台帐!$Q$7:$Q$3006,0),"")</f>
        <v>45</v>
      </c>
      <c r="H48" s="2" t="n"/>
      <c r="I48" s="141">
        <f>IF($O48="","",45)</f>
      </c>
      <c r="J48" s="140">
        <f>IF($O48="","",INDEX(资金台帐!$B$7:$B$3006,$O48))</f>
      </c>
      <c r="K48" s="141">
        <f>IF($O48="","",INDEX(资金台帐!$K$7:$K$3006,$O48))</f>
      </c>
      <c r="L48" s="172">
        <f>IF($O48="","",-INDEX(资金台帐!$S$7:$S$3006,$O48))</f>
      </c>
      <c r="M48" s="141">
        <f>IF($O48="","",INDEX(资金台帐!$C$7:$C$3006,$O48))</f>
      </c>
      <c r="N48" s="142">
        <f>IF($O48="","",INDEX(资金台帐!$E$7:$E$3006,$O48))</f>
      </c>
      <c r="O48" s="78">
        <f>IFERROR(MATCH(45,资金台帐!$R$7:$R$3006,0),"")</f>
      </c>
      <c r="P48" s="2" t="n"/>
      <c r="Q48" s="2" t="n"/>
      <c r="R48" s="2" t="n"/>
      <c r="S48" s="2" t="n"/>
      <c r="T48" s="2" t="n"/>
    </row>
    <row r="49" ht="15" customHeight="1" s="71">
      <c r="A49" s="141">
        <f>IF($G49="","",46)</f>
        <v>46</v>
      </c>
      <c r="B49" s="140">
        <f>IF($G49="","",INDEX(资金台帐!$B$7:$B$3006,$G49))</f>
        <v>46211.0</v>
      </c>
      <c r="C49" s="141" t="str">
        <f>IF($G49="","",INDEX(资金台帐!$J$7:$J$3006,$G49))</f>
        <v>高兴张声英</v>
      </c>
      <c r="D49" s="172">
        <f>IF($G49="","",INDEX(资金台帐!$S$7:$S$3006,$G49))</f>
        <v>2325</v>
      </c>
      <c r="E49" s="141" t="str">
        <f>IF($G49="","",INDEX(资金台帐!$C$7:$C$3006,$G49))</f>
        <v>收款码</v>
      </c>
      <c r="F49" s="142" t="str">
        <f>IF($G49="","",INDEX(资金台帐!$E$7:$E$3006,$G49)&amp;IF(INDEX(资金台帐!$M$7:$M$3006,$G49)="","","；"&amp;INDEX(资金台帐!$M$7:$M$3006,$G49)))</f>
        <v>收货款</v>
      </c>
      <c r="G49" s="78">
        <f>IFERROR(MATCH(46,资金台帐!$Q$7:$Q$3006,0),"")</f>
        <v>46</v>
      </c>
      <c r="H49" s="2" t="n"/>
      <c r="I49" s="141">
        <f>IF($O49="","",46)</f>
      </c>
      <c r="J49" s="140">
        <f>IF($O49="","",INDEX(资金台帐!$B$7:$B$3006,$O49))</f>
      </c>
      <c r="K49" s="141">
        <f>IF($O49="","",INDEX(资金台帐!$K$7:$K$3006,$O49))</f>
      </c>
      <c r="L49" s="172">
        <f>IF($O49="","",-INDEX(资金台帐!$S$7:$S$3006,$O49))</f>
      </c>
      <c r="M49" s="141">
        <f>IF($O49="","",INDEX(资金台帐!$C$7:$C$3006,$O49))</f>
      </c>
      <c r="N49" s="142">
        <f>IF($O49="","",INDEX(资金台帐!$E$7:$E$3006,$O49))</f>
      </c>
      <c r="O49" s="78">
        <f>IFERROR(MATCH(46,资金台帐!$R$7:$R$3006,0),"")</f>
      </c>
      <c r="P49" s="2" t="n"/>
      <c r="Q49" s="2" t="n"/>
      <c r="R49" s="2" t="n"/>
      <c r="S49" s="2" t="n"/>
      <c r="T49" s="2" t="n"/>
    </row>
    <row r="50" ht="15" customHeight="1" s="71">
      <c r="A50" s="141">
        <f>IF($G50="","",47)</f>
        <v>47</v>
      </c>
      <c r="B50" s="140">
        <f>IF($G50="","",INDEX(资金台帐!$B$7:$B$3006,$G50))</f>
        <v>46211.0</v>
      </c>
      <c r="C50" s="141" t="str">
        <f>IF($G50="","",INDEX(资金台帐!$J$7:$J$3006,$G50))</f>
        <v>崇贤粤客隆</v>
      </c>
      <c r="D50" s="172">
        <f>IF($G50="","",INDEX(资金台帐!$S$7:$S$3006,$G50))</f>
        <v>2325</v>
      </c>
      <c r="E50" s="141" t="str">
        <f>IF($G50="","",INDEX(资金台帐!$C$7:$C$3006,$G50))</f>
        <v>收款码</v>
      </c>
      <c r="F50" s="142" t="str">
        <f>IF($G50="","",INDEX(资金台帐!$E$7:$E$3006,$G50)&amp;IF(INDEX(资金台帐!$M$7:$M$3006,$G50)="","","；"&amp;INDEX(资金台帐!$M$7:$M$3006,$G50)))</f>
        <v>收货款</v>
      </c>
      <c r="G50" s="78">
        <f>IFERROR(MATCH(47,资金台帐!$Q$7:$Q$3006,0),"")</f>
        <v>47</v>
      </c>
      <c r="H50" s="2" t="n"/>
      <c r="I50" s="141">
        <f>IF($O50="","",47)</f>
      </c>
      <c r="J50" s="140">
        <f>IF($O50="","",INDEX(资金台帐!$B$7:$B$3006,$O50))</f>
      </c>
      <c r="K50" s="141">
        <f>IF($O50="","",INDEX(资金台帐!$K$7:$K$3006,$O50))</f>
      </c>
      <c r="L50" s="172">
        <f>IF($O50="","",-INDEX(资金台帐!$S$7:$S$3006,$O50))</f>
      </c>
      <c r="M50" s="141">
        <f>IF($O50="","",INDEX(资金台帐!$C$7:$C$3006,$O50))</f>
      </c>
      <c r="N50" s="142">
        <f>IF($O50="","",INDEX(资金台帐!$E$7:$E$3006,$O50))</f>
      </c>
      <c r="O50" s="78">
        <f>IFERROR(MATCH(47,资金台帐!$R$7:$R$3006,0),"")</f>
      </c>
      <c r="P50" s="2" t="n"/>
      <c r="Q50" s="2" t="n"/>
      <c r="R50" s="2" t="n"/>
      <c r="S50" s="2" t="n"/>
      <c r="T50" s="2" t="n"/>
    </row>
    <row r="51" ht="15" customHeight="1" s="71">
      <c r="A51" s="141">
        <f>IF($G51="","",48)</f>
        <v>48</v>
      </c>
      <c r="B51" s="140">
        <f>IF($G51="","",INDEX(资金台帐!$B$7:$B$3006,$G51))</f>
        <v>46211.0</v>
      </c>
      <c r="C51" s="141" t="str">
        <f>IF($G51="","",INDEX(资金台帐!$J$7:$J$3006,$G51))</f>
        <v>火车站关新平</v>
      </c>
      <c r="D51" s="172">
        <f>IF($G51="","",INDEX(资金台帐!$S$7:$S$3006,$G51))</f>
        <v>5330</v>
      </c>
      <c r="E51" s="141" t="str">
        <f>IF($G51="","",INDEX(资金台帐!$C$7:$C$3006,$G51))</f>
        <v>收款码</v>
      </c>
      <c r="F51" s="142" t="str">
        <f>IF($G51="","",INDEX(资金台帐!$E$7:$E$3006,$G51)&amp;IF(INDEX(资金台帐!$M$7:$M$3006,$G51)="","","；"&amp;INDEX(资金台帐!$M$7:$M$3006,$G51)))</f>
        <v>收货款</v>
      </c>
      <c r="G51" s="78">
        <f>IFERROR(MATCH(48,资金台帐!$Q$7:$Q$3006,0),"")</f>
        <v>48</v>
      </c>
      <c r="H51" s="2" t="n"/>
      <c r="I51" s="141">
        <f>IF($O51="","",48)</f>
      </c>
      <c r="J51" s="140">
        <f>IF($O51="","",INDEX(资金台帐!$B$7:$B$3006,$O51))</f>
      </c>
      <c r="K51" s="141">
        <f>IF($O51="","",INDEX(资金台帐!$K$7:$K$3006,$O51))</f>
      </c>
      <c r="L51" s="172">
        <f>IF($O51="","",-INDEX(资金台帐!$S$7:$S$3006,$O51))</f>
      </c>
      <c r="M51" s="141">
        <f>IF($O51="","",INDEX(资金台帐!$C$7:$C$3006,$O51))</f>
      </c>
      <c r="N51" s="142">
        <f>IF($O51="","",INDEX(资金台帐!$E$7:$E$3006,$O51))</f>
      </c>
      <c r="O51" s="78">
        <f>IFERROR(MATCH(48,资金台帐!$R$7:$R$3006,0),"")</f>
      </c>
      <c r="P51" s="2" t="n"/>
      <c r="Q51" s="2" t="n"/>
      <c r="R51" s="2" t="n"/>
      <c r="S51" s="2" t="n"/>
      <c r="T51" s="2" t="n"/>
    </row>
    <row r="52" ht="15" customHeight="1" s="71">
      <c r="A52" s="141">
        <f>IF($G52="","",49)</f>
        <v>49</v>
      </c>
      <c r="B52" s="140">
        <f>IF($G52="","",INDEX(资金台帐!$B$7:$B$3006,$G52))</f>
        <v>46211.0</v>
      </c>
      <c r="C52" s="141" t="str">
        <f>IF($G52="","",INDEX(资金台帐!$J$7:$J$3006,$G52))</f>
        <v>洪门五香副食</v>
      </c>
      <c r="D52" s="172">
        <f>IF($G52="","",INDEX(资金台帐!$S$7:$S$3006,$G52))</f>
        <v>930</v>
      </c>
      <c r="E52" s="141" t="str">
        <f>IF($G52="","",INDEX(资金台帐!$C$7:$C$3006,$G52))</f>
        <v>收款码</v>
      </c>
      <c r="F52" s="142" t="str">
        <f>IF($G52="","",INDEX(资金台帐!$E$7:$E$3006,$G52)&amp;IF(INDEX(资金台帐!$M$7:$M$3006,$G52)="","","；"&amp;INDEX(资金台帐!$M$7:$M$3006,$G52)))</f>
        <v>收货款</v>
      </c>
      <c r="G52" s="78">
        <f>IFERROR(MATCH(49,资金台帐!$Q$7:$Q$3006,0),"")</f>
        <v>49</v>
      </c>
      <c r="H52" s="2" t="n"/>
      <c r="I52" s="141">
        <f>IF($O52="","",49)</f>
      </c>
      <c r="J52" s="140">
        <f>IF($O52="","",INDEX(资金台帐!$B$7:$B$3006,$O52))</f>
      </c>
      <c r="K52" s="141">
        <f>IF($O52="","",INDEX(资金台帐!$K$7:$K$3006,$O52))</f>
      </c>
      <c r="L52" s="172">
        <f>IF($O52="","",-INDEX(资金台帐!$S$7:$S$3006,$O52))</f>
      </c>
      <c r="M52" s="141">
        <f>IF($O52="","",INDEX(资金台帐!$C$7:$C$3006,$O52))</f>
      </c>
      <c r="N52" s="142">
        <f>IF($O52="","",INDEX(资金台帐!$E$7:$E$3006,$O52))</f>
      </c>
      <c r="O52" s="78">
        <f>IFERROR(MATCH(49,资金台帐!$R$7:$R$3006,0),"")</f>
      </c>
      <c r="P52" s="2" t="n"/>
      <c r="Q52" s="2" t="n"/>
      <c r="R52" s="2" t="n"/>
      <c r="S52" s="2" t="n"/>
      <c r="T52" s="2" t="n"/>
    </row>
    <row r="53" ht="15" customHeight="1" s="71">
      <c r="A53" s="141">
        <f>IF($G53="","",50)</f>
        <v>50</v>
      </c>
      <c r="B53" s="140">
        <f>IF($G53="","",INDEX(资金台帐!$B$7:$B$3006,$G53))</f>
        <v>46212.0</v>
      </c>
      <c r="C53" s="141" t="str">
        <f>IF($G53="","",INDEX(资金台帐!$J$7:$J$3006,$G53))</f>
        <v>长岗愉清副食</v>
      </c>
      <c r="D53" s="172">
        <f>IF($G53="","",INDEX(资金台帐!$S$7:$S$3006,$G53))</f>
        <v>3035</v>
      </c>
      <c r="E53" s="141" t="str">
        <f>IF($G53="","",INDEX(资金台帐!$C$7:$C$3006,$G53))</f>
        <v>收款码</v>
      </c>
      <c r="F53" s="142" t="str">
        <f>IF($G53="","",INDEX(资金台帐!$E$7:$E$3006,$G53)&amp;IF(INDEX(资金台帐!$M$7:$M$3006,$G53)="","","；"&amp;INDEX(资金台帐!$M$7:$M$3006,$G53)))</f>
        <v>收货款</v>
      </c>
      <c r="G53" s="78">
        <f>IFERROR(MATCH(50,资金台帐!$Q$7:$Q$3006,0),"")</f>
        <v>50</v>
      </c>
      <c r="H53" s="2" t="n"/>
      <c r="I53" s="141">
        <f>IF($O53="","",50)</f>
      </c>
      <c r="J53" s="140">
        <f>IF($O53="","",INDEX(资金台帐!$B$7:$B$3006,$O53))</f>
      </c>
      <c r="K53" s="141">
        <f>IF($O53="","",INDEX(资金台帐!$K$7:$K$3006,$O53))</f>
      </c>
      <c r="L53" s="172">
        <f>IF($O53="","",-INDEX(资金台帐!$S$7:$S$3006,$O53))</f>
      </c>
      <c r="M53" s="141">
        <f>IF($O53="","",INDEX(资金台帐!$C$7:$C$3006,$O53))</f>
      </c>
      <c r="N53" s="142">
        <f>IF($O53="","",INDEX(资金台帐!$E$7:$E$3006,$O53))</f>
      </c>
      <c r="O53" s="78">
        <f>IFERROR(MATCH(50,资金台帐!$R$7:$R$3006,0),"")</f>
      </c>
      <c r="P53" s="2" t="n"/>
      <c r="Q53" s="2" t="n"/>
      <c r="R53" s="2" t="n"/>
      <c r="S53" s="2" t="n"/>
      <c r="T53" s="2" t="n"/>
    </row>
    <row r="54" ht="15" customHeight="1" s="71">
      <c r="A54" s="141">
        <f>IF($G54="","",51)</f>
        <v>51</v>
      </c>
      <c r="B54" s="140">
        <f>IF($G54="","",INDEX(资金台帐!$B$7:$B$3006,$G54))</f>
        <v>46212.0</v>
      </c>
      <c r="C54" s="141" t="str">
        <f>IF($G54="","",INDEX(资金台帐!$J$7:$J$3006,$G54))</f>
        <v>高兴小春王均平</v>
      </c>
      <c r="D54" s="172">
        <f>IF($G54="","",INDEX(资金台帐!$S$7:$S$3006,$G54))</f>
        <v>2907</v>
      </c>
      <c r="E54" s="141" t="str">
        <f>IF($G54="","",INDEX(资金台帐!$C$7:$C$3006,$G54))</f>
        <v>收款码</v>
      </c>
      <c r="F54" s="142" t="str">
        <f>IF($G54="","",INDEX(资金台帐!$E$7:$E$3006,$G54)&amp;IF(INDEX(资金台帐!$M$7:$M$3006,$G54)="","","；"&amp;INDEX(资金台帐!$M$7:$M$3006,$G54)))</f>
        <v>收货款</v>
      </c>
      <c r="G54" s="78">
        <f>IFERROR(MATCH(51,资金台帐!$Q$7:$Q$3006,0),"")</f>
        <v>51</v>
      </c>
      <c r="H54" s="2" t="n"/>
      <c r="I54" s="141">
        <f>IF($O54="","",51)</f>
      </c>
      <c r="J54" s="140">
        <f>IF($O54="","",INDEX(资金台帐!$B$7:$B$3006,$O54))</f>
      </c>
      <c r="K54" s="141">
        <f>IF($O54="","",INDEX(资金台帐!$K$7:$K$3006,$O54))</f>
      </c>
      <c r="L54" s="172">
        <f>IF($O54="","",-INDEX(资金台帐!$S$7:$S$3006,$O54))</f>
      </c>
      <c r="M54" s="141">
        <f>IF($O54="","",INDEX(资金台帐!$C$7:$C$3006,$O54))</f>
      </c>
      <c r="N54" s="142">
        <f>IF($O54="","",INDEX(资金台帐!$E$7:$E$3006,$O54))</f>
      </c>
      <c r="O54" s="78">
        <f>IFERROR(MATCH(51,资金台帐!$R$7:$R$3006,0),"")</f>
      </c>
      <c r="P54" s="2" t="n"/>
      <c r="Q54" s="2" t="n"/>
      <c r="R54" s="2" t="n"/>
      <c r="S54" s="2" t="n"/>
      <c r="T54" s="2" t="n"/>
    </row>
    <row r="55" ht="15" customHeight="1" s="71">
      <c r="A55" s="141">
        <f>IF($G55="","",52)</f>
        <v>52</v>
      </c>
      <c r="B55" s="140">
        <f>IF($G55="","",INDEX(资金台帐!$B$7:$B$3006,$G55))</f>
        <v>46212.0</v>
      </c>
      <c r="C55" s="141" t="str">
        <f>IF($G55="","",INDEX(资金台帐!$J$7:$J$3006,$G55))</f>
        <v>高兴蒙山超市</v>
      </c>
      <c r="D55" s="172">
        <f>IF($G55="","",INDEX(资金台帐!$S$7:$S$3006,$G55))</f>
        <v>1567</v>
      </c>
      <c r="E55" s="141" t="str">
        <f>IF($G55="","",INDEX(资金台帐!$C$7:$C$3006,$G55))</f>
        <v>收款码</v>
      </c>
      <c r="F55" s="142" t="str">
        <f>IF($G55="","",INDEX(资金台帐!$E$7:$E$3006,$G55)&amp;IF(INDEX(资金台帐!$M$7:$M$3006,$G55)="","","；"&amp;INDEX(资金台帐!$M$7:$M$3006,$G55)))</f>
        <v>收货款</v>
      </c>
      <c r="G55" s="78">
        <f>IFERROR(MATCH(52,资金台帐!$Q$7:$Q$3006,0),"")</f>
        <v>52</v>
      </c>
      <c r="H55" s="2" t="n"/>
      <c r="I55" s="141">
        <f>IF($O55="","",52)</f>
      </c>
      <c r="J55" s="140">
        <f>IF($O55="","",INDEX(资金台帐!$B$7:$B$3006,$O55))</f>
      </c>
      <c r="K55" s="141">
        <f>IF($O55="","",INDEX(资金台帐!$K$7:$K$3006,$O55))</f>
      </c>
      <c r="L55" s="172">
        <f>IF($O55="","",-INDEX(资金台帐!$S$7:$S$3006,$O55))</f>
      </c>
      <c r="M55" s="141">
        <f>IF($O55="","",INDEX(资金台帐!$C$7:$C$3006,$O55))</f>
      </c>
      <c r="N55" s="142">
        <f>IF($O55="","",INDEX(资金台帐!$E$7:$E$3006,$O55))</f>
      </c>
      <c r="O55" s="78">
        <f>IFERROR(MATCH(52,资金台帐!$R$7:$R$3006,0),"")</f>
      </c>
      <c r="P55" s="2" t="n"/>
      <c r="Q55" s="2" t="n"/>
      <c r="R55" s="2" t="n"/>
      <c r="S55" s="2" t="n"/>
      <c r="T55" s="2" t="n"/>
    </row>
    <row r="56" ht="15" customHeight="1" s="71">
      <c r="A56" s="141">
        <f>IF($G56="","",53)</f>
        <v>53</v>
      </c>
      <c r="B56" s="140">
        <f>IF($G56="","",INDEX(资金台帐!$B$7:$B$3006,$G56))</f>
        <v>46213.0</v>
      </c>
      <c r="C56" s="141" t="str">
        <f>IF($G56="","",INDEX(资金台帐!$J$7:$J$3006,$G56))</f>
        <v>财源批发</v>
      </c>
      <c r="D56" s="172">
        <f>IF($G56="","",INDEX(资金台帐!$S$7:$S$3006,$G56))</f>
        <v>4500</v>
      </c>
      <c r="E56" s="141" t="str">
        <f>IF($G56="","",INDEX(资金台帐!$C$7:$C$3006,$G56))</f>
        <v>收款码</v>
      </c>
      <c r="F56" s="142" t="str">
        <f>IF($G56="","",INDEX(资金台帐!$E$7:$E$3006,$G56)&amp;IF(INDEX(资金台帐!$M$7:$M$3006,$G56)="","","；"&amp;INDEX(资金台帐!$M$7:$M$3006,$G56)))</f>
        <v>收货款</v>
      </c>
      <c r="G56" s="78">
        <f>IFERROR(MATCH(53,资金台帐!$Q$7:$Q$3006,0),"")</f>
        <v>53</v>
      </c>
      <c r="H56" s="2" t="n"/>
      <c r="I56" s="141">
        <f>IF($O56="","",53)</f>
      </c>
      <c r="J56" s="140">
        <f>IF($O56="","",INDEX(资金台帐!$B$7:$B$3006,$O56))</f>
      </c>
      <c r="K56" s="141">
        <f>IF($O56="","",INDEX(资金台帐!$K$7:$K$3006,$O56))</f>
      </c>
      <c r="L56" s="172">
        <f>IF($O56="","",-INDEX(资金台帐!$S$7:$S$3006,$O56))</f>
      </c>
      <c r="M56" s="141">
        <f>IF($O56="","",INDEX(资金台帐!$C$7:$C$3006,$O56))</f>
      </c>
      <c r="N56" s="142">
        <f>IF($O56="","",INDEX(资金台帐!$E$7:$E$3006,$O56))</f>
      </c>
      <c r="O56" s="78">
        <f>IFERROR(MATCH(53,资金台帐!$R$7:$R$3006,0),"")</f>
      </c>
      <c r="P56" s="2" t="n"/>
      <c r="Q56" s="2" t="n"/>
      <c r="R56" s="2" t="n"/>
      <c r="S56" s="2" t="n"/>
      <c r="T56" s="2" t="n"/>
    </row>
    <row r="57" ht="15" customHeight="1" s="71">
      <c r="A57" s="141">
        <f>IF($G57="","",54)</f>
        <v>54</v>
      </c>
      <c r="B57" s="140">
        <f>IF($G57="","",INDEX(资金台帐!$B$7:$B$3006,$G57))</f>
        <v>46213.0</v>
      </c>
      <c r="C57" s="141" t="str">
        <f>IF($G57="","",INDEX(资金台帐!$J$7:$J$3006,$G57))</f>
        <v>均村好惠多超市</v>
      </c>
      <c r="D57" s="172">
        <f>IF($G57="","",INDEX(资金台帐!$S$7:$S$3006,$G57))</f>
        <v>1395</v>
      </c>
      <c r="E57" s="141" t="str">
        <f>IF($G57="","",INDEX(资金台帐!$C$7:$C$3006,$G57))</f>
        <v>收款码</v>
      </c>
      <c r="F57" s="142" t="str">
        <f>IF($G57="","",INDEX(资金台帐!$E$7:$E$3006,$G57)&amp;IF(INDEX(资金台帐!$M$7:$M$3006,$G57)="","","；"&amp;INDEX(资金台帐!$M$7:$M$3006,$G57)))</f>
        <v>收货款</v>
      </c>
      <c r="G57" s="78">
        <f>IFERROR(MATCH(54,资金台帐!$Q$7:$Q$3006,0),"")</f>
        <v>54</v>
      </c>
      <c r="H57" s="2" t="n"/>
      <c r="I57" s="141">
        <f>IF($O57="","",54)</f>
      </c>
      <c r="J57" s="140">
        <f>IF($O57="","",INDEX(资金台帐!$B$7:$B$3006,$O57))</f>
      </c>
      <c r="K57" s="141">
        <f>IF($O57="","",INDEX(资金台帐!$K$7:$K$3006,$O57))</f>
      </c>
      <c r="L57" s="172">
        <f>IF($O57="","",-INDEX(资金台帐!$S$7:$S$3006,$O57))</f>
      </c>
      <c r="M57" s="141">
        <f>IF($O57="","",INDEX(资金台帐!$C$7:$C$3006,$O57))</f>
      </c>
      <c r="N57" s="142">
        <f>IF($O57="","",INDEX(资金台帐!$E$7:$E$3006,$O57))</f>
      </c>
      <c r="O57" s="78">
        <f>IFERROR(MATCH(54,资金台帐!$R$7:$R$3006,0),"")</f>
      </c>
      <c r="P57" s="2" t="n"/>
      <c r="Q57" s="2" t="n"/>
      <c r="R57" s="2" t="n"/>
      <c r="S57" s="2" t="n"/>
      <c r="T57" s="2" t="n"/>
    </row>
    <row r="58" ht="15" customHeight="1" s="71">
      <c r="A58" s="141">
        <f>IF($G58="","",55)</f>
        <v>55</v>
      </c>
      <c r="B58" s="140">
        <f>IF($G58="","",INDEX(资金台帐!$B$7:$B$3006,$G58))</f>
        <v>46213.0</v>
      </c>
      <c r="C58" s="141" t="str">
        <f>IF($G58="","",INDEX(资金台帐!$J$7:$J$3006,$G58))</f>
        <v>龙口利客副食</v>
      </c>
      <c r="D58" s="172">
        <f>IF($G58="","",INDEX(资金台帐!$S$7:$S$3006,$G58))</f>
        <v>2325</v>
      </c>
      <c r="E58" s="141" t="str">
        <f>IF($G58="","",INDEX(资金台帐!$C$7:$C$3006,$G58))</f>
        <v>收款码</v>
      </c>
      <c r="F58" s="142" t="str">
        <f>IF($G58="","",INDEX(资金台帐!$E$7:$E$3006,$G58)&amp;IF(INDEX(资金台帐!$M$7:$M$3006,$G58)="","","；"&amp;INDEX(资金台帐!$M$7:$M$3006,$G58)))</f>
        <v>收货款</v>
      </c>
      <c r="G58" s="78">
        <f>IFERROR(MATCH(55,资金台帐!$Q$7:$Q$3006,0),"")</f>
        <v>55</v>
      </c>
      <c r="H58" s="2" t="n"/>
      <c r="I58" s="141">
        <f>IF($O58="","",55)</f>
      </c>
      <c r="J58" s="140">
        <f>IF($O58="","",INDEX(资金台帐!$B$7:$B$3006,$O58))</f>
      </c>
      <c r="K58" s="141">
        <f>IF($O58="","",INDEX(资金台帐!$K$7:$K$3006,$O58))</f>
      </c>
      <c r="L58" s="172">
        <f>IF($O58="","",-INDEX(资金台帐!$S$7:$S$3006,$O58))</f>
      </c>
      <c r="M58" s="141">
        <f>IF($O58="","",INDEX(资金台帐!$C$7:$C$3006,$O58))</f>
      </c>
      <c r="N58" s="142">
        <f>IF($O58="","",INDEX(资金台帐!$E$7:$E$3006,$O58))</f>
      </c>
      <c r="O58" s="78">
        <f>IFERROR(MATCH(55,资金台帐!$R$7:$R$3006,0),"")</f>
      </c>
      <c r="P58" s="2" t="n"/>
      <c r="Q58" s="2" t="n"/>
      <c r="R58" s="2" t="n"/>
      <c r="S58" s="2" t="n"/>
      <c r="T58" s="2" t="n"/>
    </row>
    <row r="59" ht="15" customHeight="1" s="71">
      <c r="A59" s="141">
        <f>IF($G59="","",56)</f>
        <v>56</v>
      </c>
      <c r="B59" s="140">
        <f>IF($G59="","",INDEX(资金台帐!$B$7:$B$3006,$G59))</f>
        <v>46215.0</v>
      </c>
      <c r="C59" s="141" t="str">
        <f>IF($G59="","",INDEX(资金台帐!$J$7:$J$3006,$G59))</f>
        <v>崇贤三角超市</v>
      </c>
      <c r="D59" s="172">
        <f>IF($G59="","",INDEX(资金台帐!$S$7:$S$3006,$G59))</f>
        <v>2955</v>
      </c>
      <c r="E59" s="141" t="str">
        <f>IF($G59="","",INDEX(资金台帐!$C$7:$C$3006,$G59))</f>
        <v>收款码</v>
      </c>
      <c r="F59" s="142" t="str">
        <f>IF($G59="","",INDEX(资金台帐!$E$7:$E$3006,$G59)&amp;IF(INDEX(资金台帐!$M$7:$M$3006,$G59)="","","；"&amp;INDEX(资金台帐!$M$7:$M$3006,$G59)))</f>
        <v>收货款</v>
      </c>
      <c r="G59" s="78">
        <f>IFERROR(MATCH(56,资金台帐!$Q$7:$Q$3006,0),"")</f>
        <v>56</v>
      </c>
      <c r="H59" s="2" t="n"/>
      <c r="I59" s="141">
        <f>IF($O59="","",56)</f>
      </c>
      <c r="J59" s="140">
        <f>IF($O59="","",INDEX(资金台帐!$B$7:$B$3006,$O59))</f>
      </c>
      <c r="K59" s="141">
        <f>IF($O59="","",INDEX(资金台帐!$K$7:$K$3006,$O59))</f>
      </c>
      <c r="L59" s="172">
        <f>IF($O59="","",-INDEX(资金台帐!$S$7:$S$3006,$O59))</f>
      </c>
      <c r="M59" s="141">
        <f>IF($O59="","",INDEX(资金台帐!$C$7:$C$3006,$O59))</f>
      </c>
      <c r="N59" s="142">
        <f>IF($O59="","",INDEX(资金台帐!$E$7:$E$3006,$O59))</f>
      </c>
      <c r="O59" s="78">
        <f>IFERROR(MATCH(56,资金台帐!$R$7:$R$3006,0),"")</f>
      </c>
      <c r="P59" s="2" t="n"/>
      <c r="Q59" s="2" t="n"/>
      <c r="R59" s="2" t="n"/>
      <c r="S59" s="2" t="n"/>
      <c r="T59" s="2" t="n"/>
    </row>
    <row r="60" ht="15" customHeight="1" s="71">
      <c r="A60" s="141">
        <f>IF($G60="","",57)</f>
        <v>57</v>
      </c>
      <c r="B60" s="140">
        <f>IF($G60="","",INDEX(资金台帐!$B$7:$B$3006,$G60))</f>
        <v>46215.0</v>
      </c>
      <c r="C60" s="141" t="str">
        <f>IF($G60="","",INDEX(资金台帐!$J$7:$J$3006,$G60))</f>
        <v>方太青华百货</v>
      </c>
      <c r="D60" s="172">
        <f>IF($G60="","",INDEX(资金台帐!$S$7:$S$3006,$G60))</f>
        <v>1395</v>
      </c>
      <c r="E60" s="141" t="str">
        <f>IF($G60="","",INDEX(资金台帐!$C$7:$C$3006,$G60))</f>
        <v>收款码</v>
      </c>
      <c r="F60" s="142" t="str">
        <f>IF($G60="","",INDEX(资金台帐!$E$7:$E$3006,$G60)&amp;IF(INDEX(资金台帐!$M$7:$M$3006,$G60)="","","；"&amp;INDEX(资金台帐!$M$7:$M$3006,$G60)))</f>
        <v>收货款</v>
      </c>
      <c r="G60" s="78">
        <f>IFERROR(MATCH(57,资金台帐!$Q$7:$Q$3006,0),"")</f>
        <v>57</v>
      </c>
      <c r="H60" s="2" t="n"/>
      <c r="I60" s="141">
        <f>IF($O60="","",57)</f>
      </c>
      <c r="J60" s="140">
        <f>IF($O60="","",INDEX(资金台帐!$B$7:$B$3006,$O60))</f>
      </c>
      <c r="K60" s="141">
        <f>IF($O60="","",INDEX(资金台帐!$K$7:$K$3006,$O60))</f>
      </c>
      <c r="L60" s="172">
        <f>IF($O60="","",-INDEX(资金台帐!$S$7:$S$3006,$O60))</f>
      </c>
      <c r="M60" s="141">
        <f>IF($O60="","",INDEX(资金台帐!$C$7:$C$3006,$O60))</f>
      </c>
      <c r="N60" s="142">
        <f>IF($O60="","",INDEX(资金台帐!$E$7:$E$3006,$O60))</f>
      </c>
      <c r="O60" s="78">
        <f>IFERROR(MATCH(57,资金台帐!$R$7:$R$3006,0),"")</f>
      </c>
      <c r="P60" s="2" t="n"/>
      <c r="Q60" s="2" t="n"/>
      <c r="R60" s="2" t="n"/>
      <c r="S60" s="2" t="n"/>
      <c r="T60" s="2" t="n"/>
    </row>
    <row r="61" ht="15" customHeight="1" s="71">
      <c r="A61" s="141">
        <f>IF($G61="","",58)</f>
        <v>58</v>
      </c>
      <c r="B61" s="140">
        <f>IF($G61="","",INDEX(资金台帐!$B$7:$B$3006,$G61))</f>
        <v>46215.0</v>
      </c>
      <c r="C61" s="141" t="str">
        <f>IF($G61="","",INDEX(资金台帐!$J$7:$J$3006,$G61))</f>
        <v>城北街隆兴商行</v>
      </c>
      <c r="D61" s="172">
        <f>IF($G61="","",INDEX(资金台帐!$S$7:$S$3006,$G61))</f>
        <v>3005</v>
      </c>
      <c r="E61" s="141" t="str">
        <f>IF($G61="","",INDEX(资金台帐!$C$7:$C$3006,$G61))</f>
        <v>收款码</v>
      </c>
      <c r="F61" s="142" t="str">
        <f>IF($G61="","",INDEX(资金台帐!$E$7:$E$3006,$G61)&amp;IF(INDEX(资金台帐!$M$7:$M$3006,$G61)="","","；"&amp;INDEX(资金台帐!$M$7:$M$3006,$G61)))</f>
        <v>收货款</v>
      </c>
      <c r="G61" s="78">
        <f>IFERROR(MATCH(58,资金台帐!$Q$7:$Q$3006,0),"")</f>
        <v>58</v>
      </c>
      <c r="H61" s="2" t="n"/>
      <c r="I61" s="141">
        <f>IF($O61="","",58)</f>
      </c>
      <c r="J61" s="140">
        <f>IF($O61="","",INDEX(资金台帐!$B$7:$B$3006,$O61))</f>
      </c>
      <c r="K61" s="141">
        <f>IF($O61="","",INDEX(资金台帐!$K$7:$K$3006,$O61))</f>
      </c>
      <c r="L61" s="172">
        <f>IF($O61="","",-INDEX(资金台帐!$S$7:$S$3006,$O61))</f>
      </c>
      <c r="M61" s="141">
        <f>IF($O61="","",INDEX(资金台帐!$C$7:$C$3006,$O61))</f>
      </c>
      <c r="N61" s="142">
        <f>IF($O61="","",INDEX(资金台帐!$E$7:$E$3006,$O61))</f>
      </c>
      <c r="O61" s="78">
        <f>IFERROR(MATCH(58,资金台帐!$R$7:$R$3006,0),"")</f>
      </c>
      <c r="P61" s="2" t="n"/>
      <c r="Q61" s="2" t="n"/>
      <c r="R61" s="2" t="n"/>
      <c r="S61" s="2" t="n"/>
      <c r="T61" s="2" t="n"/>
    </row>
    <row r="62" ht="15" customHeight="1" s="71">
      <c r="A62" s="141">
        <f>IF($G62="","",59)</f>
        <v>59</v>
      </c>
      <c r="B62" s="140">
        <f>IF($G62="","",INDEX(资金台帐!$B$7:$B$3006,$G62))</f>
        <v>46217.0</v>
      </c>
      <c r="C62" s="141" t="str">
        <f>IF($G62="","",INDEX(资金台帐!$J$7:$J$3006,$G62))</f>
        <v>埠头凤岗万家乐超市</v>
      </c>
      <c r="D62" s="172">
        <f>IF($G62="","",INDEX(资金台帐!$S$7:$S$3006,$G62))</f>
        <v>930</v>
      </c>
      <c r="E62" s="141" t="str">
        <f>IF($G62="","",INDEX(资金台帐!$C$7:$C$3006,$G62))</f>
        <v>收款码</v>
      </c>
      <c r="F62" s="142" t="str">
        <f>IF($G62="","",INDEX(资金台帐!$E$7:$E$3006,$G62)&amp;IF(INDEX(资金台帐!$M$7:$M$3006,$G62)="","","；"&amp;INDEX(资金台帐!$M$7:$M$3006,$G62)))</f>
        <v>收货款</v>
      </c>
      <c r="G62" s="78">
        <f>IFERROR(MATCH(59,资金台帐!$Q$7:$Q$3006,0),"")</f>
        <v>59</v>
      </c>
      <c r="H62" s="2" t="n"/>
      <c r="I62" s="141">
        <f>IF($O62="","",59)</f>
      </c>
      <c r="J62" s="140">
        <f>IF($O62="","",INDEX(资金台帐!$B$7:$B$3006,$O62))</f>
      </c>
      <c r="K62" s="141">
        <f>IF($O62="","",INDEX(资金台帐!$K$7:$K$3006,$O62))</f>
      </c>
      <c r="L62" s="172">
        <f>IF($O62="","",-INDEX(资金台帐!$S$7:$S$3006,$O62))</f>
      </c>
      <c r="M62" s="141">
        <f>IF($O62="","",INDEX(资金台帐!$C$7:$C$3006,$O62))</f>
      </c>
      <c r="N62" s="142">
        <f>IF($O62="","",INDEX(资金台帐!$E$7:$E$3006,$O62))</f>
      </c>
      <c r="O62" s="78">
        <f>IFERROR(MATCH(59,资金台帐!$R$7:$R$3006,0),"")</f>
      </c>
      <c r="P62" s="2" t="n"/>
      <c r="Q62" s="2" t="n"/>
      <c r="R62" s="2" t="n"/>
      <c r="S62" s="2" t="n"/>
      <c r="T62" s="2" t="n"/>
    </row>
    <row r="63" ht="15" customHeight="1" s="71">
      <c r="A63" s="141">
        <f>IF($G63="","",60)</f>
        <v>60</v>
      </c>
      <c r="B63" s="140">
        <f>IF($G63="","",INDEX(资金台帐!$B$7:$B$3006,$G63))</f>
        <v>46218.0</v>
      </c>
      <c r="C63" s="141" t="str">
        <f>IF($G63="","",INDEX(资金台帐!$J$7:$J$3006,$G63))</f>
        <v>良村万家欢超市</v>
      </c>
      <c r="D63" s="172">
        <f>IF($G63="","",INDEX(资金台帐!$S$7:$S$3006,$G63))</f>
        <v>1395</v>
      </c>
      <c r="E63" s="141" t="str">
        <f>IF($G63="","",INDEX(资金台帐!$C$7:$C$3006,$G63))</f>
        <v>收款码</v>
      </c>
      <c r="F63" s="142" t="str">
        <f>IF($G63="","",INDEX(资金台帐!$E$7:$E$3006,$G63)&amp;IF(INDEX(资金台帐!$M$7:$M$3006,$G63)="","","；"&amp;INDEX(资金台帐!$M$7:$M$3006,$G63)))</f>
        <v>收货款</v>
      </c>
      <c r="G63" s="78">
        <f>IFERROR(MATCH(60,资金台帐!$Q$7:$Q$3006,0),"")</f>
        <v>60</v>
      </c>
      <c r="H63" s="2" t="n"/>
      <c r="I63" s="141">
        <f>IF($O63="","",60)</f>
      </c>
      <c r="J63" s="140">
        <f>IF($O63="","",INDEX(资金台帐!$B$7:$B$3006,$O63))</f>
      </c>
      <c r="K63" s="141">
        <f>IF($O63="","",INDEX(资金台帐!$K$7:$K$3006,$O63))</f>
      </c>
      <c r="L63" s="172">
        <f>IF($O63="","",-INDEX(资金台帐!$S$7:$S$3006,$O63))</f>
      </c>
      <c r="M63" s="141">
        <f>IF($O63="","",INDEX(资金台帐!$C$7:$C$3006,$O63))</f>
      </c>
      <c r="N63" s="142">
        <f>IF($O63="","",INDEX(资金台帐!$E$7:$E$3006,$O63))</f>
      </c>
      <c r="O63" s="78">
        <f>IFERROR(MATCH(60,资金台帐!$R$7:$R$3006,0),"")</f>
      </c>
      <c r="P63" s="2" t="n"/>
      <c r="Q63" s="2" t="n"/>
      <c r="R63" s="2" t="n"/>
      <c r="S63" s="2" t="n"/>
      <c r="T63" s="2" t="n"/>
    </row>
    <row r="64" ht="15" customHeight="1" s="71">
      <c r="A64" s="141">
        <f>IF($G64="","",61)</f>
        <v>61</v>
      </c>
      <c r="B64" s="140">
        <f>IF($G64="","",INDEX(资金台帐!$B$7:$B$3006,$G64))</f>
        <v>46218.0</v>
      </c>
      <c r="C64" s="141" t="str">
        <f>IF($G64="","",INDEX(资金台帐!$J$7:$J$3006,$G64))</f>
        <v>滨江荣香副食</v>
      </c>
      <c r="D64" s="172">
        <f>IF($G64="","",INDEX(资金台帐!$S$7:$S$3006,$G64))</f>
        <v>3380</v>
      </c>
      <c r="E64" s="141" t="str">
        <f>IF($G64="","",INDEX(资金台帐!$C$7:$C$3006,$G64))</f>
        <v>收款码</v>
      </c>
      <c r="F64" s="142" t="str">
        <f>IF($G64="","",INDEX(资金台帐!$E$7:$E$3006,$G64)&amp;IF(INDEX(资金台帐!$M$7:$M$3006,$G64)="","","；"&amp;INDEX(资金台帐!$M$7:$M$3006,$G64)))</f>
        <v>收货款</v>
      </c>
      <c r="G64" s="78">
        <f>IFERROR(MATCH(61,资金台帐!$Q$7:$Q$3006,0),"")</f>
        <v>61</v>
      </c>
      <c r="H64" s="2" t="n"/>
      <c r="I64" s="141">
        <f>IF($O64="","",61)</f>
      </c>
      <c r="J64" s="140">
        <f>IF($O64="","",INDEX(资金台帐!$B$7:$B$3006,$O64))</f>
      </c>
      <c r="K64" s="141">
        <f>IF($O64="","",INDEX(资金台帐!$K$7:$K$3006,$O64))</f>
      </c>
      <c r="L64" s="172">
        <f>IF($O64="","",-INDEX(资金台帐!$S$7:$S$3006,$O64))</f>
      </c>
      <c r="M64" s="141">
        <f>IF($O64="","",INDEX(资金台帐!$C$7:$C$3006,$O64))</f>
      </c>
      <c r="N64" s="142">
        <f>IF($O64="","",INDEX(资金台帐!$E$7:$E$3006,$O64))</f>
      </c>
      <c r="O64" s="78">
        <f>IFERROR(MATCH(61,资金台帐!$R$7:$R$3006,0),"")</f>
      </c>
      <c r="P64" s="2" t="n"/>
      <c r="Q64" s="2" t="n"/>
      <c r="R64" s="2" t="n"/>
      <c r="S64" s="2" t="n"/>
      <c r="T64" s="2" t="n"/>
    </row>
    <row r="65" ht="15" customHeight="1" s="71">
      <c r="A65" s="141">
        <f>IF($G65="","",62)</f>
        <v>62</v>
      </c>
      <c r="B65" s="140">
        <f>IF($G65="","",INDEX(资金台帐!$B$7:$B$3006,$G65))</f>
        <v>46218.0</v>
      </c>
      <c r="C65" s="141" t="str">
        <f>IF($G65="","",INDEX(资金台帐!$J$7:$J$3006,$G65))</f>
        <v>宜兴粮油</v>
      </c>
      <c r="D65" s="172">
        <f>IF($G65="","",INDEX(资金台帐!$S$7:$S$3006,$G65))</f>
        <v>12416.5</v>
      </c>
      <c r="E65" s="141" t="str">
        <f>IF($G65="","",INDEX(资金台帐!$C$7:$C$3006,$G65))</f>
        <v>收款码</v>
      </c>
      <c r="F65" s="142" t="str">
        <f>IF($G65="","",INDEX(资金台帐!$E$7:$E$3006,$G65)&amp;IF(INDEX(资金台帐!$M$7:$M$3006,$G65)="","","；"&amp;INDEX(资金台帐!$M$7:$M$3006,$G65)))</f>
        <v>收货款</v>
      </c>
      <c r="G65" s="78">
        <f>IFERROR(MATCH(62,资金台帐!$Q$7:$Q$3006,0),"")</f>
        <v>62</v>
      </c>
      <c r="H65" s="2" t="n"/>
      <c r="I65" s="141">
        <f>IF($O65="","",62)</f>
      </c>
      <c r="J65" s="140">
        <f>IF($O65="","",INDEX(资金台帐!$B$7:$B$3006,$O65))</f>
      </c>
      <c r="K65" s="141">
        <f>IF($O65="","",INDEX(资金台帐!$K$7:$K$3006,$O65))</f>
      </c>
      <c r="L65" s="172">
        <f>IF($O65="","",-INDEX(资金台帐!$S$7:$S$3006,$O65))</f>
      </c>
      <c r="M65" s="141">
        <f>IF($O65="","",INDEX(资金台帐!$C$7:$C$3006,$O65))</f>
      </c>
      <c r="N65" s="142">
        <f>IF($O65="","",INDEX(资金台帐!$E$7:$E$3006,$O65))</f>
      </c>
      <c r="O65" s="78">
        <f>IFERROR(MATCH(62,资金台帐!$R$7:$R$3006,0),"")</f>
      </c>
      <c r="P65" s="2" t="n"/>
      <c r="Q65" s="2" t="n"/>
      <c r="R65" s="2" t="n"/>
      <c r="S65" s="2" t="n"/>
      <c r="T65" s="2" t="n"/>
    </row>
    <row r="66" ht="15" customHeight="1" s="71">
      <c r="A66" s="141">
        <f>IF($G66="","",63)</f>
        <v>63</v>
      </c>
      <c r="B66" s="140">
        <f>IF($G66="","",INDEX(资金台帐!$B$7:$B$3006,$G66))</f>
        <v>46219.0</v>
      </c>
      <c r="C66" s="141" t="str">
        <f>IF($G66="","",INDEX(资金台帐!$J$7:$J$3006,$G66))</f>
        <v>福旺家优购</v>
      </c>
      <c r="D66" s="172">
        <f>IF($G66="","",INDEX(资金台帐!$S$7:$S$3006,$G66))</f>
        <v>27220</v>
      </c>
      <c r="E66" s="141" t="str">
        <f>IF($G66="","",INDEX(资金台帐!$C$7:$C$3006,$G66))</f>
        <v>收款码</v>
      </c>
      <c r="F66" s="142" t="str">
        <f>IF($G66="","",INDEX(资金台帐!$E$7:$E$3006,$G66)&amp;IF(INDEX(资金台帐!$M$7:$M$3006,$G66)="","","；"&amp;INDEX(资金台帐!$M$7:$M$3006,$G66)))</f>
        <v>收货款</v>
      </c>
      <c r="G66" s="78">
        <f>IFERROR(MATCH(63,资金台帐!$Q$7:$Q$3006,0),"")</f>
        <v>63</v>
      </c>
      <c r="H66" s="2" t="n"/>
      <c r="I66" s="141">
        <f>IF($O66="","",63)</f>
      </c>
      <c r="J66" s="140">
        <f>IF($O66="","",INDEX(资金台帐!$B$7:$B$3006,$O66))</f>
      </c>
      <c r="K66" s="141">
        <f>IF($O66="","",INDEX(资金台帐!$K$7:$K$3006,$O66))</f>
      </c>
      <c r="L66" s="172">
        <f>IF($O66="","",-INDEX(资金台帐!$S$7:$S$3006,$O66))</f>
      </c>
      <c r="M66" s="141">
        <f>IF($O66="","",INDEX(资金台帐!$C$7:$C$3006,$O66))</f>
      </c>
      <c r="N66" s="142">
        <f>IF($O66="","",INDEX(资金台帐!$E$7:$E$3006,$O66))</f>
      </c>
      <c r="O66" s="78">
        <f>IFERROR(MATCH(63,资金台帐!$R$7:$R$3006,0),"")</f>
      </c>
      <c r="P66" s="2" t="n"/>
      <c r="Q66" s="2" t="n"/>
      <c r="R66" s="2" t="n"/>
      <c r="S66" s="2" t="n"/>
      <c r="T66" s="2" t="n"/>
    </row>
    <row r="67" ht="15" customHeight="1" s="71">
      <c r="A67" s="141">
        <f>IF($G67="","",64)</f>
        <v>64</v>
      </c>
      <c r="B67" s="140">
        <f>IF($G67="","",INDEX(资金台帐!$B$7:$B$3006,$G67))</f>
        <v>46219.0</v>
      </c>
      <c r="C67" s="141" t="str">
        <f>IF($G67="","",INDEX(资金台帐!$J$7:$J$3006,$G67))</f>
        <v>阿东副食</v>
      </c>
      <c r="D67" s="172">
        <f>IF($G67="","",INDEX(资金台帐!$S$7:$S$3006,$G67))</f>
        <v>9000</v>
      </c>
      <c r="E67" s="141" t="str">
        <f>IF($G67="","",INDEX(资金台帐!$C$7:$C$3006,$G67))</f>
        <v>收款码</v>
      </c>
      <c r="F67" s="142" t="str">
        <f>IF($G67="","",INDEX(资金台帐!$E$7:$E$3006,$G67)&amp;IF(INDEX(资金台帐!$M$7:$M$3006,$G67)="","","；"&amp;INDEX(资金台帐!$M$7:$M$3006,$G67)))</f>
        <v>收货款</v>
      </c>
      <c r="G67" s="78">
        <f>IFERROR(MATCH(64,资金台帐!$Q$7:$Q$3006,0),"")</f>
        <v>64</v>
      </c>
      <c r="H67" s="2" t="n"/>
      <c r="I67" s="141">
        <f>IF($O67="","",64)</f>
      </c>
      <c r="J67" s="140">
        <f>IF($O67="","",INDEX(资金台帐!$B$7:$B$3006,$O67))</f>
      </c>
      <c r="K67" s="141">
        <f>IF($O67="","",INDEX(资金台帐!$K$7:$K$3006,$O67))</f>
      </c>
      <c r="L67" s="172">
        <f>IF($O67="","",-INDEX(资金台帐!$S$7:$S$3006,$O67))</f>
      </c>
      <c r="M67" s="141">
        <f>IF($O67="","",INDEX(资金台帐!$C$7:$C$3006,$O67))</f>
      </c>
      <c r="N67" s="142">
        <f>IF($O67="","",INDEX(资金台帐!$E$7:$E$3006,$O67))</f>
      </c>
      <c r="O67" s="78">
        <f>IFERROR(MATCH(64,资金台帐!$R$7:$R$3006,0),"")</f>
      </c>
      <c r="P67" s="2" t="n"/>
      <c r="Q67" s="2" t="n"/>
      <c r="R67" s="2" t="n"/>
      <c r="S67" s="2" t="n"/>
      <c r="T67" s="2" t="n"/>
    </row>
    <row r="68" ht="15" customHeight="1" s="71">
      <c r="A68" s="141">
        <f>IF($G68="","",65)</f>
        <v>65</v>
      </c>
      <c r="B68" s="140">
        <f>IF($G68="","",INDEX(资金台帐!$B$7:$B$3006,$G68))</f>
        <v>46219.0</v>
      </c>
      <c r="C68" s="141" t="str">
        <f>IF($G68="","",INDEX(资金台帐!$J$7:$J$3006,$G68))</f>
        <v>隆坪美林副食</v>
      </c>
      <c r="D68" s="172">
        <f>IF($G68="","",INDEX(资金台帐!$S$7:$S$3006,$G68))</f>
        <v>3000</v>
      </c>
      <c r="E68" s="141" t="str">
        <f>IF($G68="","",INDEX(资金台帐!$C$7:$C$3006,$G68))</f>
        <v>收款码</v>
      </c>
      <c r="F68" s="142" t="str">
        <f>IF($G68="","",INDEX(资金台帐!$E$7:$E$3006,$G68)&amp;IF(INDEX(资金台帐!$M$7:$M$3006,$G68)="","","；"&amp;INDEX(资金台帐!$M$7:$M$3006,$G68)))</f>
        <v>收货款</v>
      </c>
      <c r="G68" s="78">
        <f>IFERROR(MATCH(65,资金台帐!$Q$7:$Q$3006,0),"")</f>
        <v>65</v>
      </c>
      <c r="H68" s="2" t="n"/>
      <c r="I68" s="141">
        <f>IF($O68="","",65)</f>
      </c>
      <c r="J68" s="140">
        <f>IF($O68="","",INDEX(资金台帐!$B$7:$B$3006,$O68))</f>
      </c>
      <c r="K68" s="141">
        <f>IF($O68="","",INDEX(资金台帐!$K$7:$K$3006,$O68))</f>
      </c>
      <c r="L68" s="172">
        <f>IF($O68="","",-INDEX(资金台帐!$S$7:$S$3006,$O68))</f>
      </c>
      <c r="M68" s="141">
        <f>IF($O68="","",INDEX(资金台帐!$C$7:$C$3006,$O68))</f>
      </c>
      <c r="N68" s="142">
        <f>IF($O68="","",INDEX(资金台帐!$E$7:$E$3006,$O68))</f>
      </c>
      <c r="O68" s="78">
        <f>IFERROR(MATCH(65,资金台帐!$R$7:$R$3006,0),"")</f>
      </c>
      <c r="P68" s="2" t="n"/>
      <c r="Q68" s="2" t="n"/>
      <c r="R68" s="2" t="n"/>
      <c r="S68" s="2" t="n"/>
      <c r="T68" s="2" t="n"/>
    </row>
    <row r="69" ht="15" customHeight="1" s="71">
      <c r="A69" s="141">
        <f>IF($G69="","",66)</f>
        <v>66</v>
      </c>
      <c r="B69" s="140">
        <f>IF($G69="","",INDEX(资金台帐!$B$7:$B$3006,$G69))</f>
        <v>46219.0</v>
      </c>
      <c r="C69" s="141" t="str">
        <f>IF($G69="","",INDEX(资金台帐!$J$7:$J$3006,$G69))</f>
        <v>金凤副食</v>
      </c>
      <c r="D69" s="172">
        <f>IF($G69="","",INDEX(资金台帐!$S$7:$S$3006,$G69))</f>
        <v>48000</v>
      </c>
      <c r="E69" s="141" t="str">
        <f>IF($G69="","",INDEX(资金台帐!$C$7:$C$3006,$G69))</f>
        <v>收款码</v>
      </c>
      <c r="F69" s="142" t="str">
        <f>IF($G69="","",INDEX(资金台帐!$E$7:$E$3006,$G69)&amp;IF(INDEX(资金台帐!$M$7:$M$3006,$G69)="","","；"&amp;INDEX(资金台帐!$M$7:$M$3006,$G69)))</f>
        <v>收货款</v>
      </c>
      <c r="G69" s="78">
        <f>IFERROR(MATCH(66,资金台帐!$Q$7:$Q$3006,0),"")</f>
        <v>66</v>
      </c>
      <c r="H69" s="2" t="n"/>
      <c r="I69" s="141">
        <f>IF($O69="","",66)</f>
      </c>
      <c r="J69" s="140">
        <f>IF($O69="","",INDEX(资金台帐!$B$7:$B$3006,$O69))</f>
      </c>
      <c r="K69" s="141">
        <f>IF($O69="","",INDEX(资金台帐!$K$7:$K$3006,$O69))</f>
      </c>
      <c r="L69" s="172">
        <f>IF($O69="","",-INDEX(资金台帐!$S$7:$S$3006,$O69))</f>
      </c>
      <c r="M69" s="141">
        <f>IF($O69="","",INDEX(资金台帐!$C$7:$C$3006,$O69))</f>
      </c>
      <c r="N69" s="142">
        <f>IF($O69="","",INDEX(资金台帐!$E$7:$E$3006,$O69))</f>
      </c>
      <c r="O69" s="78">
        <f>IFERROR(MATCH(66,资金台帐!$R$7:$R$3006,0),"")</f>
      </c>
      <c r="P69" s="2" t="n"/>
      <c r="Q69" s="2" t="n"/>
      <c r="R69" s="2" t="n"/>
      <c r="S69" s="2" t="n"/>
      <c r="T69" s="2" t="n"/>
    </row>
    <row r="70" ht="15" customHeight="1" s="71">
      <c r="A70" s="141">
        <f>IF($G70="","",67)</f>
        <v>67</v>
      </c>
      <c r="B70" s="140">
        <f>IF($G70="","",INDEX(资金台帐!$B$7:$B$3006,$G70))</f>
        <v>46220.0</v>
      </c>
      <c r="C70" s="141" t="str">
        <f>IF($G70="","",INDEX(资金台帐!$J$7:$J$3006,$G70))</f>
        <v>桐心源</v>
      </c>
      <c r="D70" s="172">
        <f>IF($G70="","",INDEX(资金台帐!$S$7:$S$3006,$G70))</f>
        <v>9000</v>
      </c>
      <c r="E70" s="141" t="str">
        <f>IF($G70="","",INDEX(资金台帐!$C$7:$C$3006,$G70))</f>
        <v>收款码</v>
      </c>
      <c r="F70" s="142" t="str">
        <f>IF($G70="","",INDEX(资金台帐!$E$7:$E$3006,$G70)&amp;IF(INDEX(资金台帐!$M$7:$M$3006,$G70)="","","；"&amp;INDEX(资金台帐!$M$7:$M$3006,$G70)))</f>
        <v>收货款</v>
      </c>
      <c r="G70" s="78">
        <f>IFERROR(MATCH(67,资金台帐!$Q$7:$Q$3006,0),"")</f>
        <v>67</v>
      </c>
      <c r="H70" s="2" t="n"/>
      <c r="I70" s="141">
        <f>IF($O70="","",67)</f>
      </c>
      <c r="J70" s="140">
        <f>IF($O70="","",INDEX(资金台帐!$B$7:$B$3006,$O70))</f>
      </c>
      <c r="K70" s="141">
        <f>IF($O70="","",INDEX(资金台帐!$K$7:$K$3006,$O70))</f>
      </c>
      <c r="L70" s="172">
        <f>IF($O70="","",-INDEX(资金台帐!$S$7:$S$3006,$O70))</f>
      </c>
      <c r="M70" s="141">
        <f>IF($O70="","",INDEX(资金台帐!$C$7:$C$3006,$O70))</f>
      </c>
      <c r="N70" s="142">
        <f>IF($O70="","",INDEX(资金台帐!$E$7:$E$3006,$O70))</f>
      </c>
      <c r="O70" s="78">
        <f>IFERROR(MATCH(67,资金台帐!$R$7:$R$3006,0),"")</f>
      </c>
      <c r="P70" s="2" t="n"/>
      <c r="Q70" s="2" t="n"/>
      <c r="R70" s="2" t="n"/>
      <c r="S70" s="2" t="n"/>
      <c r="T70" s="2" t="n"/>
    </row>
    <row r="71" ht="15" customHeight="1" s="71">
      <c r="A71" s="141">
        <f>IF($G71="","",68)</f>
        <v>68</v>
      </c>
      <c r="B71" s="140">
        <f>IF($G71="","",INDEX(资金台帐!$B$7:$B$3006,$G71))</f>
        <v>46220.0</v>
      </c>
      <c r="C71" s="141" t="str">
        <f>IF($G71="","",INDEX(资金台帐!$J$7:$J$3006,$G71))</f>
        <v>高兴美宜佳</v>
      </c>
      <c r="D71" s="172">
        <f>IF($G71="","",INDEX(资金台帐!$S$7:$S$3006,$G71))</f>
        <v>9000</v>
      </c>
      <c r="E71" s="141" t="str">
        <f>IF($G71="","",INDEX(资金台帐!$C$7:$C$3006,$G71))</f>
        <v>收款码</v>
      </c>
      <c r="F71" s="142" t="str">
        <f>IF($G71="","",INDEX(资金台帐!$E$7:$E$3006,$G71)&amp;IF(INDEX(资金台帐!$M$7:$M$3006,$G71)="","","；"&amp;INDEX(资金台帐!$M$7:$M$3006,$G71)))</f>
        <v>收货款</v>
      </c>
      <c r="G71" s="78">
        <f>IFERROR(MATCH(68,资金台帐!$Q$7:$Q$3006,0),"")</f>
        <v>68</v>
      </c>
      <c r="H71" s="2" t="n"/>
      <c r="I71" s="141">
        <f>IF($O71="","",68)</f>
      </c>
      <c r="J71" s="140">
        <f>IF($O71="","",INDEX(资金台帐!$B$7:$B$3006,$O71))</f>
      </c>
      <c r="K71" s="141">
        <f>IF($O71="","",INDEX(资金台帐!$K$7:$K$3006,$O71))</f>
      </c>
      <c r="L71" s="172">
        <f>IF($O71="","",-INDEX(资金台帐!$S$7:$S$3006,$O71))</f>
      </c>
      <c r="M71" s="141">
        <f>IF($O71="","",INDEX(资金台帐!$C$7:$C$3006,$O71))</f>
      </c>
      <c r="N71" s="142">
        <f>IF($O71="","",INDEX(资金台帐!$E$7:$E$3006,$O71))</f>
      </c>
      <c r="O71" s="78">
        <f>IFERROR(MATCH(68,资金台帐!$R$7:$R$3006,0),"")</f>
      </c>
      <c r="P71" s="2" t="n"/>
      <c r="Q71" s="2" t="n"/>
      <c r="R71" s="2" t="n"/>
      <c r="S71" s="2" t="n"/>
      <c r="T71" s="2" t="n"/>
    </row>
    <row r="72" ht="15" customHeight="1" s="71">
      <c r="A72" s="141">
        <f>IF($G72="","",69)</f>
        <v>69</v>
      </c>
      <c r="B72" s="140">
        <f>IF($G72="","",INDEX(资金台帐!$B$7:$B$3006,$G72))</f>
        <v>46220.0</v>
      </c>
      <c r="C72" s="141" t="str">
        <f>IF($G72="","",INDEX(资金台帐!$J$7:$J$3006,$G72))</f>
        <v>滨江路小红花便利店</v>
      </c>
      <c r="D72" s="172">
        <f>IF($G72="","",INDEX(资金台帐!$S$7:$S$3006,$G72))</f>
        <v>3200</v>
      </c>
      <c r="E72" s="141" t="str">
        <f>IF($G72="","",INDEX(资金台帐!$C$7:$C$3006,$G72))</f>
        <v>收款码</v>
      </c>
      <c r="F72" s="142" t="str">
        <f>IF($G72="","",INDEX(资金台帐!$E$7:$E$3006,$G72)&amp;IF(INDEX(资金台帐!$M$7:$M$3006,$G72)="","","；"&amp;INDEX(资金台帐!$M$7:$M$3006,$G72)))</f>
        <v>收货款</v>
      </c>
      <c r="G72" s="78">
        <f>IFERROR(MATCH(69,资金台帐!$Q$7:$Q$3006,0),"")</f>
        <v>69</v>
      </c>
      <c r="H72" s="2" t="n"/>
      <c r="I72" s="141">
        <f>IF($O72="","",69)</f>
      </c>
      <c r="J72" s="140">
        <f>IF($O72="","",INDEX(资金台帐!$B$7:$B$3006,$O72))</f>
      </c>
      <c r="K72" s="141">
        <f>IF($O72="","",INDEX(资金台帐!$K$7:$K$3006,$O72))</f>
      </c>
      <c r="L72" s="172">
        <f>IF($O72="","",-INDEX(资金台帐!$S$7:$S$3006,$O72))</f>
      </c>
      <c r="M72" s="141">
        <f>IF($O72="","",INDEX(资金台帐!$C$7:$C$3006,$O72))</f>
      </c>
      <c r="N72" s="142">
        <f>IF($O72="","",INDEX(资金台帐!$E$7:$E$3006,$O72))</f>
      </c>
      <c r="O72" s="78">
        <f>IFERROR(MATCH(69,资金台帐!$R$7:$R$3006,0),"")</f>
      </c>
      <c r="P72" s="2" t="n"/>
      <c r="Q72" s="2" t="n"/>
      <c r="R72" s="2" t="n"/>
      <c r="S72" s="2" t="n"/>
      <c r="T72" s="2" t="n"/>
    </row>
    <row r="73" ht="15" customHeight="1" s="71">
      <c r="A73" s="141">
        <f>IF($G73="","",70)</f>
        <v>70</v>
      </c>
      <c r="B73" s="140">
        <f>IF($G73="","",INDEX(资金台帐!$B$7:$B$3006,$G73))</f>
        <v>46221.0</v>
      </c>
      <c r="C73" s="141" t="str">
        <f>IF($G73="","",INDEX(资金台帐!$J$7:$J$3006,$G73))</f>
        <v>标哥副食</v>
      </c>
      <c r="D73" s="172">
        <f>IF($G73="","",INDEX(资金台帐!$S$7:$S$3006,$G73))</f>
        <v>2526.5</v>
      </c>
      <c r="E73" s="141" t="str">
        <f>IF($G73="","",INDEX(资金台帐!$C$7:$C$3006,$G73))</f>
        <v>收款码</v>
      </c>
      <c r="F73" s="142" t="str">
        <f>IF($G73="","",INDEX(资金台帐!$E$7:$E$3006,$G73)&amp;IF(INDEX(资金台帐!$M$7:$M$3006,$G73)="","","；"&amp;INDEX(资金台帐!$M$7:$M$3006,$G73)))</f>
        <v>收货款</v>
      </c>
      <c r="G73" s="78">
        <f>IFERROR(MATCH(70,资金台帐!$Q$7:$Q$3006,0),"")</f>
        <v>70</v>
      </c>
      <c r="H73" s="2" t="n"/>
      <c r="I73" s="141">
        <f>IF($O73="","",70)</f>
      </c>
      <c r="J73" s="140">
        <f>IF($O73="","",INDEX(资金台帐!$B$7:$B$3006,$O73))</f>
      </c>
      <c r="K73" s="141">
        <f>IF($O73="","",INDEX(资金台帐!$K$7:$K$3006,$O73))</f>
      </c>
      <c r="L73" s="172">
        <f>IF($O73="","",-INDEX(资金台帐!$S$7:$S$3006,$O73))</f>
      </c>
      <c r="M73" s="141">
        <f>IF($O73="","",INDEX(资金台帐!$C$7:$C$3006,$O73))</f>
      </c>
      <c r="N73" s="142">
        <f>IF($O73="","",INDEX(资金台帐!$E$7:$E$3006,$O73))</f>
      </c>
      <c r="O73" s="78">
        <f>IFERROR(MATCH(70,资金台帐!$R$7:$R$3006,0),"")</f>
      </c>
      <c r="P73" s="2" t="n"/>
      <c r="Q73" s="2" t="n"/>
      <c r="R73" s="2" t="n"/>
      <c r="S73" s="2" t="n"/>
      <c r="T73" s="2" t="n"/>
    </row>
    <row r="74" ht="15" customHeight="1" s="71">
      <c r="A74" s="141">
        <f>IF($G74="","",71)</f>
        <v>71</v>
      </c>
      <c r="B74" s="140">
        <f>IF($G74="","",INDEX(资金台帐!$B$7:$B$3006,$G74))</f>
        <v>46221.0</v>
      </c>
      <c r="C74" s="141" t="str">
        <f>IF($G74="","",INDEX(资金台帐!$J$7:$J$3006,$G74))</f>
        <v>星海超市</v>
      </c>
      <c r="D74" s="172">
        <f>IF($G74="","",INDEX(资金台帐!$S$7:$S$3006,$G74))</f>
        <v>50000</v>
      </c>
      <c r="E74" s="141" t="str">
        <f>IF($G74="","",INDEX(资金台帐!$C$7:$C$3006,$G74))</f>
        <v>收款码</v>
      </c>
      <c r="F74" s="142" t="str">
        <f>IF($G74="","",INDEX(资金台帐!$E$7:$E$3006,$G74)&amp;IF(INDEX(资金台帐!$M$7:$M$3006,$G74)="","","；"&amp;INDEX(资金台帐!$M$7:$M$3006,$G74)))</f>
        <v>收货款</v>
      </c>
      <c r="G74" s="78">
        <f>IFERROR(MATCH(71,资金台帐!$Q$7:$Q$3006,0),"")</f>
        <v>71</v>
      </c>
      <c r="H74" s="2" t="n"/>
      <c r="I74" s="141">
        <f>IF($O74="","",71)</f>
      </c>
      <c r="J74" s="140">
        <f>IF($O74="","",INDEX(资金台帐!$B$7:$B$3006,$O74))</f>
      </c>
      <c r="K74" s="141">
        <f>IF($O74="","",INDEX(资金台帐!$K$7:$K$3006,$O74))</f>
      </c>
      <c r="L74" s="172">
        <f>IF($O74="","",-INDEX(资金台帐!$S$7:$S$3006,$O74))</f>
      </c>
      <c r="M74" s="141">
        <f>IF($O74="","",INDEX(资金台帐!$C$7:$C$3006,$O74))</f>
      </c>
      <c r="N74" s="142">
        <f>IF($O74="","",INDEX(资金台帐!$E$7:$E$3006,$O74))</f>
      </c>
      <c r="O74" s="78">
        <f>IFERROR(MATCH(71,资金台帐!$R$7:$R$3006,0),"")</f>
      </c>
      <c r="P74" s="2" t="n"/>
      <c r="Q74" s="2" t="n"/>
      <c r="R74" s="2" t="n"/>
      <c r="S74" s="2" t="n"/>
      <c r="T74" s="2" t="n"/>
    </row>
    <row r="75" ht="15" customHeight="1" s="71">
      <c r="A75" s="141">
        <f>IF($G75="","",72)</f>
        <v>72</v>
      </c>
      <c r="B75" s="140">
        <f>IF($G75="","",INDEX(资金台帐!$B$7:$B$3006,$G75))</f>
        <v>46223.0</v>
      </c>
      <c r="C75" s="141" t="str">
        <f>IF($G75="","",INDEX(资金台帐!$J$7:$J$3006,$G75))</f>
        <v>良村小杜批发</v>
      </c>
      <c r="D75" s="172">
        <f>IF($G75="","",INDEX(资金台帐!$S$7:$S$3006,$G75))</f>
        <v>4500</v>
      </c>
      <c r="E75" s="141" t="str">
        <f>IF($G75="","",INDEX(资金台帐!$C$7:$C$3006,$G75))</f>
        <v>收款码</v>
      </c>
      <c r="F75" s="142" t="str">
        <f>IF($G75="","",INDEX(资金台帐!$E$7:$E$3006,$G75)&amp;IF(INDEX(资金台帐!$M$7:$M$3006,$G75)="","","；"&amp;INDEX(资金台帐!$M$7:$M$3006,$G75)))</f>
        <v>收货款</v>
      </c>
      <c r="G75" s="78">
        <f>IFERROR(MATCH(72,资金台帐!$Q$7:$Q$3006,0),"")</f>
        <v>72</v>
      </c>
      <c r="H75" s="2" t="n"/>
      <c r="I75" s="141">
        <f>IF($O75="","",72)</f>
      </c>
      <c r="J75" s="140">
        <f>IF($O75="","",INDEX(资金台帐!$B$7:$B$3006,$O75))</f>
      </c>
      <c r="K75" s="141">
        <f>IF($O75="","",INDEX(资金台帐!$K$7:$K$3006,$O75))</f>
      </c>
      <c r="L75" s="172">
        <f>IF($O75="","",-INDEX(资金台帐!$S$7:$S$3006,$O75))</f>
      </c>
      <c r="M75" s="141">
        <f>IF($O75="","",INDEX(资金台帐!$C$7:$C$3006,$O75))</f>
      </c>
      <c r="N75" s="142">
        <f>IF($O75="","",INDEX(资金台帐!$E$7:$E$3006,$O75))</f>
      </c>
      <c r="O75" s="78">
        <f>IFERROR(MATCH(72,资金台帐!$R$7:$R$3006,0),"")</f>
      </c>
      <c r="P75" s="2" t="n"/>
      <c r="Q75" s="2" t="n"/>
      <c r="R75" s="2" t="n"/>
      <c r="S75" s="2" t="n"/>
      <c r="T75" s="2" t="n"/>
    </row>
    <row r="76" ht="15" customHeight="1" s="71">
      <c r="A76" s="141">
        <f>IF($G76="","",73)</f>
        <v>73</v>
      </c>
      <c r="B76" s="140">
        <f>IF($G76="","",INDEX(资金台帐!$B$7:$B$3006,$G76))</f>
        <v>46224.0</v>
      </c>
      <c r="C76" s="141" t="str">
        <f>IF($G76="","",INDEX(资金台帐!$J$7:$J$3006,$G76))</f>
        <v>高兴四季春副食</v>
      </c>
      <c r="D76" s="172">
        <f>IF($G76="","",INDEX(资金台帐!$S$7:$S$3006,$G76))</f>
        <v>2697</v>
      </c>
      <c r="E76" s="141" t="str">
        <f>IF($G76="","",INDEX(资金台帐!$C$7:$C$3006,$G76))</f>
        <v>收款码</v>
      </c>
      <c r="F76" s="142" t="str">
        <f>IF($G76="","",INDEX(资金台帐!$E$7:$E$3006,$G76)&amp;IF(INDEX(资金台帐!$M$7:$M$3006,$G76)="","","；"&amp;INDEX(资金台帐!$M$7:$M$3006,$G76)))</f>
        <v>收货款</v>
      </c>
      <c r="G76" s="78">
        <f>IFERROR(MATCH(73,资金台帐!$Q$7:$Q$3006,0),"")</f>
        <v>73</v>
      </c>
      <c r="H76" s="2" t="n"/>
      <c r="I76" s="141">
        <f>IF($O76="","",73)</f>
      </c>
      <c r="J76" s="140">
        <f>IF($O76="","",INDEX(资金台帐!$B$7:$B$3006,$O76))</f>
      </c>
      <c r="K76" s="141">
        <f>IF($O76="","",INDEX(资金台帐!$K$7:$K$3006,$O76))</f>
      </c>
      <c r="L76" s="172">
        <f>IF($O76="","",-INDEX(资金台帐!$S$7:$S$3006,$O76))</f>
      </c>
      <c r="M76" s="141">
        <f>IF($O76="","",INDEX(资金台帐!$C$7:$C$3006,$O76))</f>
      </c>
      <c r="N76" s="142">
        <f>IF($O76="","",INDEX(资金台帐!$E$7:$E$3006,$O76))</f>
      </c>
      <c r="O76" s="78">
        <f>IFERROR(MATCH(73,资金台帐!$R$7:$R$3006,0),"")</f>
      </c>
      <c r="P76" s="2" t="n"/>
      <c r="Q76" s="2" t="n"/>
      <c r="R76" s="2" t="n"/>
      <c r="S76" s="2" t="n"/>
      <c r="T76" s="2" t="n"/>
    </row>
    <row r="77" ht="15" customHeight="1" s="71">
      <c r="A77" s="141">
        <f>IF($G77="","",74)</f>
        <v>74</v>
      </c>
      <c r="B77" s="140">
        <f>IF($G77="","",INDEX(资金台帐!$B$7:$B$3006,$G77))</f>
        <v>46225.0</v>
      </c>
      <c r="C77" s="141" t="str">
        <f>IF($G77="","",INDEX(资金台帐!$J$7:$J$3006,$G77))</f>
        <v>友兰商行</v>
      </c>
      <c r="D77" s="172">
        <f>IF($G77="","",INDEX(资金台帐!$S$7:$S$3006,$G77))</f>
        <v>602</v>
      </c>
      <c r="E77" s="141" t="str">
        <f>IF($G77="","",INDEX(资金台帐!$C$7:$C$3006,$G77))</f>
        <v>收款码</v>
      </c>
      <c r="F77" s="142" t="str">
        <f>IF($G77="","",INDEX(资金台帐!$E$7:$E$3006,$G77)&amp;IF(INDEX(资金台帐!$M$7:$M$3006,$G77)="","","；"&amp;INDEX(资金台帐!$M$7:$M$3006,$G77)))</f>
        <v>收货款</v>
      </c>
      <c r="G77" s="78">
        <f>IFERROR(MATCH(74,资金台帐!$Q$7:$Q$3006,0),"")</f>
        <v>74</v>
      </c>
      <c r="H77" s="2" t="n"/>
      <c r="I77" s="141">
        <f>IF($O77="","",74)</f>
      </c>
      <c r="J77" s="140">
        <f>IF($O77="","",INDEX(资金台帐!$B$7:$B$3006,$O77))</f>
      </c>
      <c r="K77" s="141">
        <f>IF($O77="","",INDEX(资金台帐!$K$7:$K$3006,$O77))</f>
      </c>
      <c r="L77" s="172">
        <f>IF($O77="","",-INDEX(资金台帐!$S$7:$S$3006,$O77))</f>
      </c>
      <c r="M77" s="141">
        <f>IF($O77="","",INDEX(资金台帐!$C$7:$C$3006,$O77))</f>
      </c>
      <c r="N77" s="142">
        <f>IF($O77="","",INDEX(资金台帐!$E$7:$E$3006,$O77))</f>
      </c>
      <c r="O77" s="78">
        <f>IFERROR(MATCH(74,资金台帐!$R$7:$R$3006,0),"")</f>
      </c>
      <c r="P77" s="2" t="n"/>
      <c r="Q77" s="2" t="n"/>
      <c r="R77" s="2" t="n"/>
      <c r="S77" s="2" t="n"/>
      <c r="T77" s="2" t="n"/>
    </row>
    <row r="78" ht="15" customHeight="1" s="71">
      <c r="A78" s="141">
        <f>IF($G78="","",75)</f>
        <v>75</v>
      </c>
      <c r="B78" s="140">
        <f>IF($G78="","",INDEX(资金台帐!$B$7:$B$3006,$G78))</f>
        <v>46226.0</v>
      </c>
      <c r="C78" s="141" t="str">
        <f>IF($G78="","",INDEX(资金台帐!$J$7:$J$3006,$G78))</f>
        <v>好帮手</v>
      </c>
      <c r="D78" s="172">
        <f>IF($G78="","",INDEX(资金台帐!$S$7:$S$3006,$G78))</f>
        <v>12000</v>
      </c>
      <c r="E78" s="141" t="str">
        <f>IF($G78="","",INDEX(资金台帐!$C$7:$C$3006,$G78))</f>
        <v>收款码</v>
      </c>
      <c r="F78" s="142" t="str">
        <f>IF($G78="","",INDEX(资金台帐!$E$7:$E$3006,$G78)&amp;IF(INDEX(资金台帐!$M$7:$M$3006,$G78)="","","；"&amp;INDEX(资金台帐!$M$7:$M$3006,$G78)))</f>
        <v>收货款</v>
      </c>
      <c r="G78" s="78">
        <f>IFERROR(MATCH(75,资金台帐!$Q$7:$Q$3006,0),"")</f>
        <v>75</v>
      </c>
      <c r="H78" s="2" t="n"/>
      <c r="I78" s="141">
        <f>IF($O78="","",75)</f>
      </c>
      <c r="J78" s="140">
        <f>IF($O78="","",INDEX(资金台帐!$B$7:$B$3006,$O78))</f>
      </c>
      <c r="K78" s="141">
        <f>IF($O78="","",INDEX(资金台帐!$K$7:$K$3006,$O78))</f>
      </c>
      <c r="L78" s="172">
        <f>IF($O78="","",-INDEX(资金台帐!$S$7:$S$3006,$O78))</f>
      </c>
      <c r="M78" s="141">
        <f>IF($O78="","",INDEX(资金台帐!$C$7:$C$3006,$O78))</f>
      </c>
      <c r="N78" s="142">
        <f>IF($O78="","",INDEX(资金台帐!$E$7:$E$3006,$O78))</f>
      </c>
      <c r="O78" s="78">
        <f>IFERROR(MATCH(75,资金台帐!$R$7:$R$3006,0),"")</f>
      </c>
      <c r="P78" s="2" t="n"/>
      <c r="Q78" s="2" t="n"/>
      <c r="R78" s="2" t="n"/>
      <c r="S78" s="2" t="n"/>
      <c r="T78" s="2" t="n"/>
    </row>
    <row r="79" ht="15" customHeight="1" s="71">
      <c r="A79" s="141">
        <f>IF($G79="","",76)</f>
        <v>76</v>
      </c>
      <c r="B79" s="140">
        <f>IF($G79="","",INDEX(资金台帐!$B$7:$B$3006,$G79))</f>
        <v>46226.0</v>
      </c>
      <c r="C79" s="141" t="str">
        <f>IF($G79="","",INDEX(资金台帐!$J$7:$J$3006,$G79))</f>
        <v>洪门C区李记商行</v>
      </c>
      <c r="D79" s="172">
        <f>IF($G79="","",INDEX(资金台帐!$S$7:$S$3006,$G79))</f>
        <v>9000</v>
      </c>
      <c r="E79" s="141" t="str">
        <f>IF($G79="","",INDEX(资金台帐!$C$7:$C$3006,$G79))</f>
        <v>收款码</v>
      </c>
      <c r="F79" s="142" t="str">
        <f>IF($G79="","",INDEX(资金台帐!$E$7:$E$3006,$G79)&amp;IF(INDEX(资金台帐!$M$7:$M$3006,$G79)="","","；"&amp;INDEX(资金台帐!$M$7:$M$3006,$G79)))</f>
        <v>收货款</v>
      </c>
      <c r="G79" s="78">
        <f>IFERROR(MATCH(76,资金台帐!$Q$7:$Q$3006,0),"")</f>
        <v>76</v>
      </c>
      <c r="H79" s="2" t="n"/>
      <c r="I79" s="141">
        <f>IF($O79="","",76)</f>
      </c>
      <c r="J79" s="140">
        <f>IF($O79="","",INDEX(资金台帐!$B$7:$B$3006,$O79))</f>
      </c>
      <c r="K79" s="141">
        <f>IF($O79="","",INDEX(资金台帐!$K$7:$K$3006,$O79))</f>
      </c>
      <c r="L79" s="172">
        <f>IF($O79="","",-INDEX(资金台帐!$S$7:$S$3006,$O79))</f>
      </c>
      <c r="M79" s="141">
        <f>IF($O79="","",INDEX(资金台帐!$C$7:$C$3006,$O79))</f>
      </c>
      <c r="N79" s="142">
        <f>IF($O79="","",INDEX(资金台帐!$E$7:$E$3006,$O79))</f>
      </c>
      <c r="O79" s="78">
        <f>IFERROR(MATCH(76,资金台帐!$R$7:$R$3006,0),"")</f>
      </c>
      <c r="P79" s="2" t="n"/>
      <c r="Q79" s="2" t="n"/>
      <c r="R79" s="2" t="n"/>
      <c r="S79" s="2" t="n"/>
      <c r="T79" s="2" t="n"/>
    </row>
    <row r="80" ht="15" customHeight="1" s="71">
      <c r="A80" s="141">
        <f>IF($G80="","",77)</f>
        <v>77</v>
      </c>
      <c r="B80" s="140">
        <f>IF($G80="","",INDEX(资金台帐!$B$7:$B$3006,$G80))</f>
        <v>46227.0</v>
      </c>
      <c r="C80" s="141" t="str">
        <f>IF($G80="","",INDEX(资金台帐!$J$7:$J$3006,$G80))</f>
        <v>洪门兴诚超市</v>
      </c>
      <c r="D80" s="172">
        <f>IF($G80="","",INDEX(资金台帐!$S$7:$S$3006,$G80))</f>
        <v>6000</v>
      </c>
      <c r="E80" s="141" t="str">
        <f>IF($G80="","",INDEX(资金台帐!$C$7:$C$3006,$G80))</f>
        <v>收款码</v>
      </c>
      <c r="F80" s="142" t="str">
        <f>IF($G80="","",INDEX(资金台帐!$E$7:$E$3006,$G80)&amp;IF(INDEX(资金台帐!$M$7:$M$3006,$G80)="","","；"&amp;INDEX(资金台帐!$M$7:$M$3006,$G80)))</f>
        <v>收货款</v>
      </c>
      <c r="G80" s="78">
        <f>IFERROR(MATCH(77,资金台帐!$Q$7:$Q$3006,0),"")</f>
        <v>77</v>
      </c>
      <c r="H80" s="2" t="n"/>
      <c r="I80" s="141">
        <f>IF($O80="","",77)</f>
      </c>
      <c r="J80" s="140">
        <f>IF($O80="","",INDEX(资金台帐!$B$7:$B$3006,$O80))</f>
      </c>
      <c r="K80" s="141">
        <f>IF($O80="","",INDEX(资金台帐!$K$7:$K$3006,$O80))</f>
      </c>
      <c r="L80" s="172">
        <f>IF($O80="","",-INDEX(资金台帐!$S$7:$S$3006,$O80))</f>
      </c>
      <c r="M80" s="141">
        <f>IF($O80="","",INDEX(资金台帐!$C$7:$C$3006,$O80))</f>
      </c>
      <c r="N80" s="142">
        <f>IF($O80="","",INDEX(资金台帐!$E$7:$E$3006,$O80))</f>
      </c>
      <c r="O80" s="78">
        <f>IFERROR(MATCH(77,资金台帐!$R$7:$R$3006,0),"")</f>
      </c>
      <c r="P80" s="2" t="n"/>
      <c r="Q80" s="2" t="n"/>
      <c r="R80" s="2" t="n"/>
      <c r="S80" s="2" t="n"/>
      <c r="T80" s="2" t="n"/>
    </row>
    <row r="81" ht="15" customHeight="1" s="71">
      <c r="A81" s="141">
        <f>IF($G81="","",78)</f>
        <v>78</v>
      </c>
      <c r="B81" s="140">
        <f>IF($G81="","",INDEX(资金台帐!$B$7:$B$3006,$G81))</f>
        <v>46227.0</v>
      </c>
      <c r="C81" s="141" t="str">
        <f>IF($G81="","",INDEX(资金台帐!$J$7:$J$3006,$G81))</f>
        <v>城西街福临门超市</v>
      </c>
      <c r="D81" s="172">
        <f>IF($G81="","",INDEX(资金台帐!$S$7:$S$3006,$G81))</f>
        <v>2046</v>
      </c>
      <c r="E81" s="141" t="str">
        <f>IF($G81="","",INDEX(资金台帐!$C$7:$C$3006,$G81))</f>
        <v>收款码</v>
      </c>
      <c r="F81" s="142" t="str">
        <f>IF($G81="","",INDEX(资金台帐!$E$7:$E$3006,$G81)&amp;IF(INDEX(资金台帐!$M$7:$M$3006,$G81)="","","；"&amp;INDEX(资金台帐!$M$7:$M$3006,$G81)))</f>
        <v>订3017元</v>
      </c>
      <c r="G81" s="78">
        <f>IFERROR(MATCH(78,资金台帐!$Q$7:$Q$3006,0),"")</f>
        <v>78</v>
      </c>
      <c r="H81" s="2" t="n"/>
      <c r="I81" s="141">
        <f>IF($O81="","",78)</f>
      </c>
      <c r="J81" s="140">
        <f>IF($O81="","",INDEX(资金台帐!$B$7:$B$3006,$O81))</f>
      </c>
      <c r="K81" s="141">
        <f>IF($O81="","",INDEX(资金台帐!$K$7:$K$3006,$O81))</f>
      </c>
      <c r="L81" s="172">
        <f>IF($O81="","",-INDEX(资金台帐!$S$7:$S$3006,$O81))</f>
      </c>
      <c r="M81" s="141">
        <f>IF($O81="","",INDEX(资金台帐!$C$7:$C$3006,$O81))</f>
      </c>
      <c r="N81" s="142">
        <f>IF($O81="","",INDEX(资金台帐!$E$7:$E$3006,$O81))</f>
      </c>
      <c r="O81" s="78">
        <f>IFERROR(MATCH(78,资金台帐!$R$7:$R$3006,0),"")</f>
      </c>
      <c r="P81" s="2" t="n"/>
      <c r="Q81" s="2" t="n"/>
      <c r="R81" s="2" t="n"/>
      <c r="S81" s="2" t="n"/>
      <c r="T81" s="2" t="n"/>
    </row>
    <row r="82" ht="15" customHeight="1" s="71">
      <c r="A82" s="141">
        <f>IF($G82="","",79)</f>
        <v>79</v>
      </c>
      <c r="B82" s="140">
        <f>IF($G82="","",INDEX(资金台帐!$B$7:$B$3006,$G82))</f>
        <v>46227.0</v>
      </c>
      <c r="C82" s="141" t="str">
        <f>IF($G82="","",INDEX(资金台帐!$J$7:$J$3006,$G82))</f>
        <v>滨江路莲花便利店</v>
      </c>
      <c r="D82" s="172">
        <f>IF($G82="","",INDEX(资金台帐!$S$7:$S$3006,$G82))</f>
        <v>1582</v>
      </c>
      <c r="E82" s="141" t="str">
        <f>IF($G82="","",INDEX(资金台帐!$C$7:$C$3006,$G82))</f>
        <v>收款码</v>
      </c>
      <c r="F82" s="142" t="str">
        <f>IF($G82="","",INDEX(资金台帐!$E$7:$E$3006,$G82)&amp;IF(INDEX(资金台帐!$M$7:$M$3006,$G82)="","","；"&amp;INDEX(资金台帐!$M$7:$M$3006,$G82)))</f>
        <v>订3004元</v>
      </c>
      <c r="G82" s="78">
        <f>IFERROR(MATCH(79,资金台帐!$Q$7:$Q$3006,0),"")</f>
        <v>79</v>
      </c>
      <c r="H82" s="2" t="n"/>
      <c r="I82" s="141">
        <f>IF($O82="","",79)</f>
      </c>
      <c r="J82" s="140">
        <f>IF($O82="","",INDEX(资金台帐!$B$7:$B$3006,$O82))</f>
      </c>
      <c r="K82" s="141">
        <f>IF($O82="","",INDEX(资金台帐!$K$7:$K$3006,$O82))</f>
      </c>
      <c r="L82" s="172">
        <f>IF($O82="","",-INDEX(资金台帐!$S$7:$S$3006,$O82))</f>
      </c>
      <c r="M82" s="141">
        <f>IF($O82="","",INDEX(资金台帐!$C$7:$C$3006,$O82))</f>
      </c>
      <c r="N82" s="142">
        <f>IF($O82="","",INDEX(资金台帐!$E$7:$E$3006,$O82))</f>
      </c>
      <c r="O82" s="78">
        <f>IFERROR(MATCH(79,资金台帐!$R$7:$R$3006,0),"")</f>
      </c>
      <c r="P82" s="2" t="n"/>
      <c r="Q82" s="2" t="n"/>
      <c r="R82" s="2" t="n"/>
      <c r="S82" s="2" t="n"/>
      <c r="T82" s="2" t="n"/>
    </row>
    <row r="83" ht="15" customHeight="1" s="71">
      <c r="A83" s="141">
        <f>IF($G83="","",80)</f>
        <v>80</v>
      </c>
      <c r="B83" s="140">
        <f>IF($G83="","",INDEX(资金台帐!$B$7:$B$3006,$G83))</f>
        <v>46227.0</v>
      </c>
      <c r="C83" s="141" t="str">
        <f>IF($G83="","",INDEX(资金台帐!$J$7:$J$3006,$G83))</f>
        <v>马路下小卖部</v>
      </c>
      <c r="D83" s="172">
        <f>IF($G83="","",INDEX(资金台帐!$S$7:$S$3006,$G83))</f>
        <v>18600</v>
      </c>
      <c r="E83" s="141" t="str">
        <f>IF($G83="","",INDEX(资金台帐!$C$7:$C$3006,$G83))</f>
        <v>收款码</v>
      </c>
      <c r="F83" s="142" t="str">
        <f>IF($G83="","",INDEX(资金台帐!$E$7:$E$3006,$G83)&amp;IF(INDEX(资金台帐!$M$7:$M$3006,$G83)="","","；"&amp;INDEX(资金台帐!$M$7:$M$3006,$G83)))</f>
        <v>收货款</v>
      </c>
      <c r="G83" s="78">
        <f>IFERROR(MATCH(80,资金台帐!$Q$7:$Q$3006,0),"")</f>
        <v>80</v>
      </c>
      <c r="H83" s="2" t="n"/>
      <c r="I83" s="141">
        <f>IF($O83="","",80)</f>
      </c>
      <c r="J83" s="140">
        <f>IF($O83="","",INDEX(资金台帐!$B$7:$B$3006,$O83))</f>
      </c>
      <c r="K83" s="141">
        <f>IF($O83="","",INDEX(资金台帐!$K$7:$K$3006,$O83))</f>
      </c>
      <c r="L83" s="172">
        <f>IF($O83="","",-INDEX(资金台帐!$S$7:$S$3006,$O83))</f>
      </c>
      <c r="M83" s="141">
        <f>IF($O83="","",INDEX(资金台帐!$C$7:$C$3006,$O83))</f>
      </c>
      <c r="N83" s="142">
        <f>IF($O83="","",INDEX(资金台帐!$E$7:$E$3006,$O83))</f>
      </c>
      <c r="O83" s="78">
        <f>IFERROR(MATCH(80,资金台帐!$R$7:$R$3006,0),"")</f>
      </c>
      <c r="P83" s="2" t="n"/>
      <c r="Q83" s="2" t="n"/>
      <c r="R83" s="2" t="n"/>
      <c r="S83" s="2" t="n"/>
      <c r="T83" s="2" t="n"/>
    </row>
    <row r="84" ht="15" customHeight="1" s="71">
      <c r="A84" s="141">
        <f>IF($G84="","",81)</f>
        <v>81</v>
      </c>
      <c r="B84" s="140">
        <f>IF($G84="","",INDEX(资金台帐!$B$7:$B$3006,$G84))</f>
        <v>46227.0</v>
      </c>
      <c r="C84" s="141" t="str">
        <f>IF($G84="","",INDEX(资金台帐!$J$7:$J$3006,$G84))</f>
        <v>城岗日日升超市</v>
      </c>
      <c r="D84" s="172">
        <f>IF($G84="","",INDEX(资金台帐!$S$7:$S$3006,$G84))</f>
        <v>27000</v>
      </c>
      <c r="E84" s="141" t="str">
        <f>IF($G84="","",INDEX(资金台帐!$C$7:$C$3006,$G84))</f>
        <v>收款码</v>
      </c>
      <c r="F84" s="142" t="str">
        <f>IF($G84="","",INDEX(资金台帐!$E$7:$E$3006,$G84)&amp;IF(INDEX(资金台帐!$M$7:$M$3006,$G84)="","","；"&amp;INDEX(资金台帐!$M$7:$M$3006,$G84)))</f>
        <v>收货款</v>
      </c>
      <c r="G84" s="78">
        <f>IFERROR(MATCH(81,资金台帐!$Q$7:$Q$3006,0),"")</f>
        <v>81</v>
      </c>
      <c r="H84" s="2" t="n"/>
      <c r="I84" s="141">
        <f>IF($O84="","",81)</f>
      </c>
      <c r="J84" s="140">
        <f>IF($O84="","",INDEX(资金台帐!$B$7:$B$3006,$O84))</f>
      </c>
      <c r="K84" s="141">
        <f>IF($O84="","",INDEX(资金台帐!$K$7:$K$3006,$O84))</f>
      </c>
      <c r="L84" s="172">
        <f>IF($O84="","",-INDEX(资金台帐!$S$7:$S$3006,$O84))</f>
      </c>
      <c r="M84" s="141">
        <f>IF($O84="","",INDEX(资金台帐!$C$7:$C$3006,$O84))</f>
      </c>
      <c r="N84" s="142">
        <f>IF($O84="","",INDEX(资金台帐!$E$7:$E$3006,$O84))</f>
      </c>
      <c r="O84" s="78">
        <f>IFERROR(MATCH(81,资金台帐!$R$7:$R$3006,0),"")</f>
      </c>
      <c r="P84" s="2" t="n"/>
      <c r="Q84" s="2" t="n"/>
      <c r="R84" s="2" t="n"/>
      <c r="S84" s="2" t="n"/>
      <c r="T84" s="2" t="n"/>
    </row>
    <row r="85" ht="15" customHeight="1" s="71">
      <c r="A85" s="141">
        <f>IF($G85="","",82)</f>
        <v>82</v>
      </c>
      <c r="B85" s="140">
        <f>IF($G85="","",INDEX(资金台帐!$B$7:$B$3006,$G85))</f>
        <v>46227.0</v>
      </c>
      <c r="C85" s="141" t="str">
        <f>IF($G85="","",INDEX(资金台帐!$J$7:$J$3006,$G85))</f>
        <v>隆坪美林副食</v>
      </c>
      <c r="D85" s="172">
        <f>IF($G85="","",INDEX(资金台帐!$S$7:$S$3006,$G85))</f>
        <v>2386</v>
      </c>
      <c r="E85" s="141" t="str">
        <f>IF($G85="","",INDEX(资金台帐!$C$7:$C$3006,$G85))</f>
        <v>收款码</v>
      </c>
      <c r="F85" s="142" t="str">
        <f>IF($G85="","",INDEX(资金台帐!$E$7:$E$3006,$G85)&amp;IF(INDEX(资金台帐!$M$7:$M$3006,$G85)="","","；"&amp;INDEX(资金台帐!$M$7:$M$3006,$G85)))</f>
        <v>收货款</v>
      </c>
      <c r="G85" s="78">
        <f>IFERROR(MATCH(82,资金台帐!$Q$7:$Q$3006,0),"")</f>
        <v>82</v>
      </c>
      <c r="H85" s="2" t="n"/>
      <c r="I85" s="141">
        <f>IF($O85="","",82)</f>
      </c>
      <c r="J85" s="140">
        <f>IF($O85="","",INDEX(资金台帐!$B$7:$B$3006,$O85))</f>
      </c>
      <c r="K85" s="141">
        <f>IF($O85="","",INDEX(资金台帐!$K$7:$K$3006,$O85))</f>
      </c>
      <c r="L85" s="172">
        <f>IF($O85="","",-INDEX(资金台帐!$S$7:$S$3006,$O85))</f>
      </c>
      <c r="M85" s="141">
        <f>IF($O85="","",INDEX(资金台帐!$C$7:$C$3006,$O85))</f>
      </c>
      <c r="N85" s="142">
        <f>IF($O85="","",INDEX(资金台帐!$E$7:$E$3006,$O85))</f>
      </c>
      <c r="O85" s="78">
        <f>IFERROR(MATCH(82,资金台帐!$R$7:$R$3006,0),"")</f>
      </c>
      <c r="P85" s="2" t="n"/>
      <c r="Q85" s="2" t="n"/>
      <c r="R85" s="2" t="n"/>
      <c r="S85" s="2" t="n"/>
      <c r="T85" s="2" t="n"/>
    </row>
    <row r="86" ht="15" customHeight="1" s="71">
      <c r="A86" s="141">
        <f>IF($G86="","",83)</f>
        <v>83</v>
      </c>
      <c r="B86" s="140">
        <f>IF($G86="","",INDEX(资金台帐!$B$7:$B$3006,$G86))</f>
        <v>46227.0</v>
      </c>
      <c r="C86" s="141" t="str">
        <f>IF($G86="","",INDEX(资金台帐!$J$7:$J$3006,$G86))</f>
        <v>埠头鑫鑫文具</v>
      </c>
      <c r="D86" s="172">
        <f>IF($G86="","",INDEX(资金台帐!$S$7:$S$3006,$G86))</f>
        <v>2325</v>
      </c>
      <c r="E86" s="141" t="str">
        <f>IF($G86="","",INDEX(资金台帐!$C$7:$C$3006,$G86))</f>
        <v>收款码</v>
      </c>
      <c r="F86" s="142" t="str">
        <f>IF($G86="","",INDEX(资金台帐!$E$7:$E$3006,$G86)&amp;IF(INDEX(资金台帐!$M$7:$M$3006,$G86)="","","；"&amp;INDEX(资金台帐!$M$7:$M$3006,$G86)))</f>
        <v>收货款</v>
      </c>
      <c r="G86" s="78">
        <f>IFERROR(MATCH(83,资金台帐!$Q$7:$Q$3006,0),"")</f>
        <v>83</v>
      </c>
      <c r="H86" s="2" t="n"/>
      <c r="I86" s="141">
        <f>IF($O86="","",83)</f>
      </c>
      <c r="J86" s="140">
        <f>IF($O86="","",INDEX(资金台帐!$B$7:$B$3006,$O86))</f>
      </c>
      <c r="K86" s="141">
        <f>IF($O86="","",INDEX(资金台帐!$K$7:$K$3006,$O86))</f>
      </c>
      <c r="L86" s="172">
        <f>IF($O86="","",-INDEX(资金台帐!$S$7:$S$3006,$O86))</f>
      </c>
      <c r="M86" s="141">
        <f>IF($O86="","",INDEX(资金台帐!$C$7:$C$3006,$O86))</f>
      </c>
      <c r="N86" s="142">
        <f>IF($O86="","",INDEX(资金台帐!$E$7:$E$3006,$O86))</f>
      </c>
      <c r="O86" s="78">
        <f>IFERROR(MATCH(83,资金台帐!$R$7:$R$3006,0),"")</f>
      </c>
      <c r="P86" s="2" t="n"/>
      <c r="Q86" s="2" t="n"/>
      <c r="R86" s="2" t="n"/>
      <c r="S86" s="2" t="n"/>
      <c r="T86" s="2" t="n"/>
    </row>
    <row r="87" ht="15" customHeight="1" s="71">
      <c r="A87" s="141">
        <f>IF($G87="","",84)</f>
        <v>84</v>
      </c>
      <c r="B87" s="140">
        <f>IF($G87="","",INDEX(资金台帐!$B$7:$B$3006,$G87))</f>
        <v>46228.0</v>
      </c>
      <c r="C87" s="141" t="str">
        <f>IF($G87="","",INDEX(资金台帐!$J$7:$J$3006,$G87))</f>
        <v>春萌副食</v>
      </c>
      <c r="D87" s="172">
        <f>IF($G87="","",INDEX(资金台帐!$S$7:$S$3006,$G87))</f>
        <v>2325</v>
      </c>
      <c r="E87" s="141" t="str">
        <f>IF($G87="","",INDEX(资金台帐!$C$7:$C$3006,$G87))</f>
        <v>收款码</v>
      </c>
      <c r="F87" s="142" t="str">
        <f>IF($G87="","",INDEX(资金台帐!$E$7:$E$3006,$G87)&amp;IF(INDEX(资金台帐!$M$7:$M$3006,$G87)="","","；"&amp;INDEX(资金台帐!$M$7:$M$3006,$G87)))</f>
        <v>收货款</v>
      </c>
      <c r="G87" s="78">
        <f>IFERROR(MATCH(84,资金台帐!$Q$7:$Q$3006,0),"")</f>
        <v>84</v>
      </c>
      <c r="H87" s="2" t="n"/>
      <c r="I87" s="141">
        <f>IF($O87="","",84)</f>
      </c>
      <c r="J87" s="140">
        <f>IF($O87="","",INDEX(资金台帐!$B$7:$B$3006,$O87))</f>
      </c>
      <c r="K87" s="141">
        <f>IF($O87="","",INDEX(资金台帐!$K$7:$K$3006,$O87))</f>
      </c>
      <c r="L87" s="172">
        <f>IF($O87="","",-INDEX(资金台帐!$S$7:$S$3006,$O87))</f>
      </c>
      <c r="M87" s="141">
        <f>IF($O87="","",INDEX(资金台帐!$C$7:$C$3006,$O87))</f>
      </c>
      <c r="N87" s="142">
        <f>IF($O87="","",INDEX(资金台帐!$E$7:$E$3006,$O87))</f>
      </c>
      <c r="O87" s="78">
        <f>IFERROR(MATCH(84,资金台帐!$R$7:$R$3006,0),"")</f>
      </c>
      <c r="P87" s="2" t="n"/>
      <c r="Q87" s="2" t="n"/>
      <c r="R87" s="2" t="n"/>
      <c r="S87" s="2" t="n"/>
      <c r="T87" s="2" t="n"/>
    </row>
    <row r="88" ht="15" customHeight="1" s="71">
      <c r="A88" s="141">
        <f>IF($G88="","",85)</f>
        <v>85</v>
      </c>
      <c r="B88" s="140">
        <f>IF($G88="","",INDEX(资金台帐!$B$7:$B$3006,$G88))</f>
        <v>46229.0</v>
      </c>
      <c r="C88" s="141" t="str">
        <f>IF($G88="","",INDEX(资金台帐!$J$7:$J$3006,$G88))</f>
        <v>星海超市</v>
      </c>
      <c r="D88" s="172">
        <f>IF($G88="","",INDEX(资金台帐!$S$7:$S$3006,$G88))</f>
        <v>40000</v>
      </c>
      <c r="E88" s="141" t="str">
        <f>IF($G88="","",INDEX(资金台帐!$C$7:$C$3006,$G88))</f>
        <v>收款码</v>
      </c>
      <c r="F88" s="142" t="str">
        <f>IF($G88="","",INDEX(资金台帐!$E$7:$E$3006,$G88)&amp;IF(INDEX(资金台帐!$M$7:$M$3006,$G88)="","","；"&amp;INDEX(资金台帐!$M$7:$M$3006,$G88)))</f>
        <v>收货款</v>
      </c>
      <c r="G88" s="78">
        <f>IFERROR(MATCH(85,资金台帐!$Q$7:$Q$3006,0),"")</f>
        <v>85</v>
      </c>
      <c r="H88" s="2" t="n"/>
      <c r="I88" s="141">
        <f>IF($O88="","",85)</f>
      </c>
      <c r="J88" s="140">
        <f>IF($O88="","",INDEX(资金台帐!$B$7:$B$3006,$O88))</f>
      </c>
      <c r="K88" s="141">
        <f>IF($O88="","",INDEX(资金台帐!$K$7:$K$3006,$O88))</f>
      </c>
      <c r="L88" s="172">
        <f>IF($O88="","",-INDEX(资金台帐!$S$7:$S$3006,$O88))</f>
      </c>
      <c r="M88" s="141">
        <f>IF($O88="","",INDEX(资金台帐!$C$7:$C$3006,$O88))</f>
      </c>
      <c r="N88" s="142">
        <f>IF($O88="","",INDEX(资金台帐!$E$7:$E$3006,$O88))</f>
      </c>
      <c r="O88" s="78">
        <f>IFERROR(MATCH(85,资金台帐!$R$7:$R$3006,0),"")</f>
      </c>
      <c r="P88" s="2" t="n"/>
      <c r="Q88" s="2" t="n"/>
      <c r="R88" s="2" t="n"/>
      <c r="S88" s="2" t="n"/>
      <c r="T88" s="2" t="n"/>
    </row>
    <row r="89" ht="15" customHeight="1" s="71">
      <c r="A89" s="141">
        <f>IF($G89="","",86)</f>
        <v>86</v>
      </c>
      <c r="B89" s="140">
        <f>IF($G89="","",INDEX(资金台帐!$B$7:$B$3006,$G89))</f>
        <v>46230.0</v>
      </c>
      <c r="C89" s="141" t="str">
        <f>IF($G89="","",INDEX(资金台帐!$J$7:$J$3006,$G89))</f>
        <v>和睦公园百顺</v>
      </c>
      <c r="D89" s="172">
        <f>IF($G89="","",INDEX(资金台帐!$S$7:$S$3006,$G89))</f>
        <v>11705</v>
      </c>
      <c r="E89" s="141" t="str">
        <f>IF($G89="","",INDEX(资金台帐!$C$7:$C$3006,$G89))</f>
        <v>收款码</v>
      </c>
      <c r="F89" s="142" t="str">
        <f>IF($G89="","",INDEX(资金台帐!$E$7:$E$3006,$G89)&amp;IF(INDEX(资金台帐!$M$7:$M$3006,$G89)="","","；"&amp;INDEX(资金台帐!$M$7:$M$3006,$G89)))</f>
        <v>收货款</v>
      </c>
      <c r="G89" s="78">
        <f>IFERROR(MATCH(86,资金台帐!$Q$7:$Q$3006,0),"")</f>
        <v>86</v>
      </c>
      <c r="H89" s="2" t="n"/>
      <c r="I89" s="141">
        <f>IF($O89="","",86)</f>
      </c>
      <c r="J89" s="140">
        <f>IF($O89="","",INDEX(资金台帐!$B$7:$B$3006,$O89))</f>
      </c>
      <c r="K89" s="141">
        <f>IF($O89="","",INDEX(资金台帐!$K$7:$K$3006,$O89))</f>
      </c>
      <c r="L89" s="172">
        <f>IF($O89="","",-INDEX(资金台帐!$S$7:$S$3006,$O89))</f>
      </c>
      <c r="M89" s="141">
        <f>IF($O89="","",INDEX(资金台帐!$C$7:$C$3006,$O89))</f>
      </c>
      <c r="N89" s="142">
        <f>IF($O89="","",INDEX(资金台帐!$E$7:$E$3006,$O89))</f>
      </c>
      <c r="O89" s="78">
        <f>IFERROR(MATCH(86,资金台帐!$R$7:$R$3006,0),"")</f>
      </c>
      <c r="P89" s="2" t="n"/>
      <c r="Q89" s="2" t="n"/>
      <c r="R89" s="2" t="n"/>
      <c r="S89" s="2" t="n"/>
      <c r="T89" s="2" t="n"/>
    </row>
    <row r="90" ht="15" customHeight="1" s="71">
      <c r="A90" s="141">
        <f>IF($G90="","",87)</f>
        <v>87</v>
      </c>
      <c r="B90" s="140">
        <f>IF($G90="","",INDEX(资金台帐!$B$7:$B$3006,$G90))</f>
        <v>46230.0</v>
      </c>
      <c r="C90" s="141" t="str">
        <f>IF($G90="","",INDEX(资金台帐!$J$7:$J$3006,$G90))</f>
        <v>南区长裕商行</v>
      </c>
      <c r="D90" s="172">
        <f>IF($G90="","",INDEX(资金台帐!$S$7:$S$3006,$G90))</f>
        <v>1860</v>
      </c>
      <c r="E90" s="141" t="str">
        <f>IF($G90="","",INDEX(资金台帐!$C$7:$C$3006,$G90))</f>
        <v>收款码</v>
      </c>
      <c r="F90" s="142" t="str">
        <f>IF($G90="","",INDEX(资金台帐!$E$7:$E$3006,$G90)&amp;IF(INDEX(资金台帐!$M$7:$M$3006,$G90)="","","；"&amp;INDEX(资金台帐!$M$7:$M$3006,$G90)))</f>
        <v>收货款</v>
      </c>
      <c r="G90" s="78">
        <f>IFERROR(MATCH(87,资金台帐!$Q$7:$Q$3006,0),"")</f>
        <v>87</v>
      </c>
      <c r="H90" s="2" t="n"/>
      <c r="I90" s="141">
        <f>IF($O90="","",87)</f>
      </c>
      <c r="J90" s="140">
        <f>IF($O90="","",INDEX(资金台帐!$B$7:$B$3006,$O90))</f>
      </c>
      <c r="K90" s="141">
        <f>IF($O90="","",INDEX(资金台帐!$K$7:$K$3006,$O90))</f>
      </c>
      <c r="L90" s="172">
        <f>IF($O90="","",-INDEX(资金台帐!$S$7:$S$3006,$O90))</f>
      </c>
      <c r="M90" s="141">
        <f>IF($O90="","",INDEX(资金台帐!$C$7:$C$3006,$O90))</f>
      </c>
      <c r="N90" s="142">
        <f>IF($O90="","",INDEX(资金台帐!$E$7:$E$3006,$O90))</f>
      </c>
      <c r="O90" s="78">
        <f>IFERROR(MATCH(87,资金台帐!$R$7:$R$3006,0),"")</f>
      </c>
      <c r="P90" s="2" t="n"/>
      <c r="Q90" s="2" t="n"/>
      <c r="R90" s="2" t="n"/>
      <c r="S90" s="2" t="n"/>
      <c r="T90" s="2" t="n"/>
    </row>
    <row r="91" ht="15" customHeight="1" s="71">
      <c r="A91" s="141">
        <f>IF($G91="","",88)</f>
        <v>88</v>
      </c>
      <c r="B91" s="140">
        <f>IF($G91="","",INDEX(资金台帐!$B$7:$B$3006,$G91))</f>
        <v>46231.0</v>
      </c>
      <c r="C91" s="141" t="str">
        <f>IF($G91="","",INDEX(资金台帐!$J$7:$J$3006,$G91))</f>
        <v>桐心源</v>
      </c>
      <c r="D91" s="172">
        <f>IF($G91="","",INDEX(资金台帐!$S$7:$S$3006,$G91))</f>
        <v>22000</v>
      </c>
      <c r="E91" s="141" t="str">
        <f>IF($G91="","",INDEX(资金台帐!$C$7:$C$3006,$G91))</f>
        <v>收款码</v>
      </c>
      <c r="F91" s="142" t="str">
        <f>IF($G91="","",INDEX(资金台帐!$E$7:$E$3006,$G91)&amp;IF(INDEX(资金台帐!$M$7:$M$3006,$G91)="","","；"&amp;INDEX(资金台帐!$M$7:$M$3006,$G91)))</f>
        <v>77900-22000</v>
      </c>
      <c r="G91" s="78">
        <f>IFERROR(MATCH(88,资金台帐!$Q$7:$Q$3006,0),"")</f>
        <v>88</v>
      </c>
      <c r="H91" s="2" t="n"/>
      <c r="I91" s="141">
        <f>IF($O91="","",88)</f>
      </c>
      <c r="J91" s="140">
        <f>IF($O91="","",INDEX(资金台帐!$B$7:$B$3006,$O91))</f>
      </c>
      <c r="K91" s="141">
        <f>IF($O91="","",INDEX(资金台帐!$K$7:$K$3006,$O91))</f>
      </c>
      <c r="L91" s="172">
        <f>IF($O91="","",-INDEX(资金台帐!$S$7:$S$3006,$O91))</f>
      </c>
      <c r="M91" s="141">
        <f>IF($O91="","",INDEX(资金台帐!$C$7:$C$3006,$O91))</f>
      </c>
      <c r="N91" s="142">
        <f>IF($O91="","",INDEX(资金台帐!$E$7:$E$3006,$O91))</f>
      </c>
      <c r="O91" s="78">
        <f>IFERROR(MATCH(88,资金台帐!$R$7:$R$3006,0),"")</f>
      </c>
      <c r="P91" s="2" t="n"/>
      <c r="Q91" s="2" t="n"/>
      <c r="R91" s="2" t="n"/>
      <c r="S91" s="2" t="n"/>
      <c r="T91" s="2" t="n"/>
    </row>
    <row r="92" ht="15" customHeight="1" s="71">
      <c r="A92" s="141">
        <f>IF($G92="","",89)</f>
        <v>89</v>
      </c>
      <c r="B92" s="140">
        <f>IF($G92="","",INDEX(资金台帐!$B$7:$B$3006,$G92))</f>
        <v>46231.0</v>
      </c>
      <c r="C92" s="141" t="str">
        <f>IF($G92="","",INDEX(资金台帐!$J$7:$J$3006,$G92))</f>
        <v>桐心源</v>
      </c>
      <c r="D92" s="172">
        <f>IF($G92="","",INDEX(资金台帐!$S$7:$S$3006,$G92))</f>
        <v>13000</v>
      </c>
      <c r="E92" s="141" t="str">
        <f>IF($G92="","",INDEX(资金台帐!$C$7:$C$3006,$G92))</f>
        <v>收款码</v>
      </c>
      <c r="F92" s="142" t="str">
        <f>IF($G92="","",INDEX(资金台帐!$E$7:$E$3006,$G92)&amp;IF(INDEX(资金台帐!$M$7:$M$3006,$G92)="","","；"&amp;INDEX(资金台帐!$M$7:$M$3006,$G92)))</f>
        <v>55900-13000</v>
      </c>
      <c r="G92" s="78">
        <f>IFERROR(MATCH(89,资金台帐!$Q$7:$Q$3006,0),"")</f>
        <v>89</v>
      </c>
      <c r="H92" s="2" t="n"/>
      <c r="I92" s="141">
        <f>IF($O92="","",89)</f>
      </c>
      <c r="J92" s="140">
        <f>IF($O92="","",INDEX(资金台帐!$B$7:$B$3006,$O92))</f>
      </c>
      <c r="K92" s="141">
        <f>IF($O92="","",INDEX(资金台帐!$K$7:$K$3006,$O92))</f>
      </c>
      <c r="L92" s="172">
        <f>IF($O92="","",-INDEX(资金台帐!$S$7:$S$3006,$O92))</f>
      </c>
      <c r="M92" s="141">
        <f>IF($O92="","",INDEX(资金台帐!$C$7:$C$3006,$O92))</f>
      </c>
      <c r="N92" s="142">
        <f>IF($O92="","",INDEX(资金台帐!$E$7:$E$3006,$O92))</f>
      </c>
      <c r="O92" s="78">
        <f>IFERROR(MATCH(89,资金台帐!$R$7:$R$3006,0),"")</f>
      </c>
      <c r="P92" s="2" t="n"/>
      <c r="Q92" s="2" t="n"/>
      <c r="R92" s="2" t="n"/>
      <c r="S92" s="2" t="n"/>
      <c r="T92" s="2" t="n"/>
    </row>
    <row r="93" ht="15" customHeight="1" s="71">
      <c r="A93" s="141">
        <f>IF($G93="","",90)</f>
        <v>90</v>
      </c>
      <c r="B93" s="140">
        <f>IF($G93="","",INDEX(资金台帐!$B$7:$B$3006,$G93))</f>
        <v>46231.0</v>
      </c>
      <c r="C93" s="141" t="str">
        <f>IF($G93="","",INDEX(资金台帐!$J$7:$J$3006,$G93))</f>
        <v>桐心源</v>
      </c>
      <c r="D93" s="172">
        <f>IF($G93="","",INDEX(资金台帐!$S$7:$S$3006,$G93))</f>
        <v>77960</v>
      </c>
      <c r="E93" s="141" t="str">
        <f>IF($G93="","",INDEX(资金台帐!$C$7:$C$3006,$G93))</f>
        <v>收款码</v>
      </c>
      <c r="F93" s="142" t="str">
        <f>IF($G93="","",INDEX(资金台帐!$E$7:$E$3006,$G93)&amp;IF(INDEX(资金台帐!$M$7:$M$3006,$G93)="","","；"&amp;INDEX(资金台帐!$M$7:$M$3006,$G93)))</f>
        <v>收货款</v>
      </c>
      <c r="G93" s="78">
        <f>IFERROR(MATCH(90,资金台帐!$Q$7:$Q$3006,0),"")</f>
        <v>90</v>
      </c>
      <c r="H93" s="2" t="n"/>
      <c r="I93" s="141">
        <f>IF($O93="","",90)</f>
      </c>
      <c r="J93" s="140">
        <f>IF($O93="","",INDEX(资金台帐!$B$7:$B$3006,$O93))</f>
      </c>
      <c r="K93" s="141">
        <f>IF($O93="","",INDEX(资金台帐!$K$7:$K$3006,$O93))</f>
      </c>
      <c r="L93" s="172">
        <f>IF($O93="","",-INDEX(资金台帐!$S$7:$S$3006,$O93))</f>
      </c>
      <c r="M93" s="141">
        <f>IF($O93="","",INDEX(资金台帐!$C$7:$C$3006,$O93))</f>
      </c>
      <c r="N93" s="142">
        <f>IF($O93="","",INDEX(资金台帐!$E$7:$E$3006,$O93))</f>
      </c>
      <c r="O93" s="78">
        <f>IFERROR(MATCH(90,资金台帐!$R$7:$R$3006,0),"")</f>
      </c>
      <c r="P93" s="2" t="n"/>
      <c r="Q93" s="2" t="n"/>
      <c r="R93" s="2" t="n"/>
      <c r="S93" s="2" t="n"/>
      <c r="T93" s="2" t="n"/>
    </row>
    <row r="94" ht="15" customHeight="1" s="71">
      <c r="A94" s="141">
        <f>IF($G94="","",91)</f>
        <v>91</v>
      </c>
      <c r="B94" s="140">
        <f>IF($G94="","",INDEX(资金台帐!$B$7:$B$3006,$G94))</f>
        <v>46232.0</v>
      </c>
      <c r="C94" s="141" t="str">
        <f>IF($G94="","",INDEX(资金台帐!$J$7:$J$3006,$G94))</f>
        <v>星海超市</v>
      </c>
      <c r="D94" s="172">
        <f>IF($G94="","",INDEX(资金台帐!$S$7:$S$3006,$G94))</f>
        <v>9860</v>
      </c>
      <c r="E94" s="141" t="str">
        <f>IF($G94="","",INDEX(资金台帐!$C$7:$C$3006,$G94))</f>
        <v>收款码</v>
      </c>
      <c r="F94" s="142" t="str">
        <f>IF($G94="","",INDEX(资金台帐!$E$7:$E$3006,$G94)&amp;IF(INDEX(资金台帐!$M$7:$M$3006,$G94)="","","；"&amp;INDEX(资金台帐!$M$7:$M$3006,$G94)))</f>
        <v>收货款</v>
      </c>
      <c r="G94" s="78">
        <f>IFERROR(MATCH(91,资金台帐!$Q$7:$Q$3006,0),"")</f>
        <v>91</v>
      </c>
      <c r="H94" s="2" t="n"/>
      <c r="I94" s="141">
        <f>IF($O94="","",91)</f>
      </c>
      <c r="J94" s="140">
        <f>IF($O94="","",INDEX(资金台帐!$B$7:$B$3006,$O94))</f>
      </c>
      <c r="K94" s="141">
        <f>IF($O94="","",INDEX(资金台帐!$K$7:$K$3006,$O94))</f>
      </c>
      <c r="L94" s="172">
        <f>IF($O94="","",-INDEX(资金台帐!$S$7:$S$3006,$O94))</f>
      </c>
      <c r="M94" s="141">
        <f>IF($O94="","",INDEX(资金台帐!$C$7:$C$3006,$O94))</f>
      </c>
      <c r="N94" s="142">
        <f>IF($O94="","",INDEX(资金台帐!$E$7:$E$3006,$O94))</f>
      </c>
      <c r="O94" s="78">
        <f>IFERROR(MATCH(91,资金台帐!$R$7:$R$3006,0),"")</f>
      </c>
      <c r="P94" s="2" t="n"/>
      <c r="Q94" s="2" t="n"/>
      <c r="R94" s="2" t="n"/>
      <c r="S94" s="2" t="n"/>
      <c r="T94" s="2" t="n"/>
    </row>
    <row r="95" ht="15" customHeight="1" s="71">
      <c r="A95" s="141">
        <f>IF($G95="","",92)</f>
        <v>92</v>
      </c>
      <c r="B95" s="140">
        <f>IF($G95="","",INDEX(资金台帐!$B$7:$B$3006,$G95))</f>
        <v>46232.0</v>
      </c>
      <c r="C95" s="141" t="str">
        <f>IF($G95="","",INDEX(资金台帐!$J$7:$J$3006,$G95))</f>
        <v>洪门永信商行</v>
      </c>
      <c r="D95" s="172">
        <f>IF($G95="","",INDEX(资金台帐!$S$7:$S$3006,$G95))</f>
        <v>4500</v>
      </c>
      <c r="E95" s="141" t="str">
        <f>IF($G95="","",INDEX(资金台帐!$C$7:$C$3006,$G95))</f>
        <v>收款码</v>
      </c>
      <c r="F95" s="142" t="str">
        <f>IF($G95="","",INDEX(资金台帐!$E$7:$E$3006,$G95)&amp;IF(INDEX(资金台帐!$M$7:$M$3006,$G95)="","","；"&amp;INDEX(资金台帐!$M$7:$M$3006,$G95)))</f>
        <v>收货款</v>
      </c>
      <c r="G95" s="78">
        <f>IFERROR(MATCH(92,资金台帐!$Q$7:$Q$3006,0),"")</f>
        <v>92</v>
      </c>
      <c r="H95" s="2" t="n"/>
      <c r="I95" s="141">
        <f>IF($O95="","",92)</f>
      </c>
      <c r="J95" s="140">
        <f>IF($O95="","",INDEX(资金台帐!$B$7:$B$3006,$O95))</f>
      </c>
      <c r="K95" s="141">
        <f>IF($O95="","",INDEX(资金台帐!$K$7:$K$3006,$O95))</f>
      </c>
      <c r="L95" s="172">
        <f>IF($O95="","",-INDEX(资金台帐!$S$7:$S$3006,$O95))</f>
      </c>
      <c r="M95" s="141">
        <f>IF($O95="","",INDEX(资金台帐!$C$7:$C$3006,$O95))</f>
      </c>
      <c r="N95" s="142">
        <f>IF($O95="","",INDEX(资金台帐!$E$7:$E$3006,$O95))</f>
      </c>
      <c r="O95" s="78">
        <f>IFERROR(MATCH(92,资金台帐!$R$7:$R$3006,0),"")</f>
      </c>
      <c r="P95" s="2" t="n"/>
      <c r="Q95" s="2" t="n"/>
      <c r="R95" s="2" t="n"/>
      <c r="S95" s="2" t="n"/>
      <c r="T95" s="2" t="n"/>
    </row>
    <row r="96" ht="15" customHeight="1" s="71">
      <c r="A96" s="141">
        <f>IF($G96="","",93)</f>
        <v>93</v>
      </c>
      <c r="B96" s="140">
        <f>IF($G96="","",INDEX(资金台帐!$B$7:$B$3006,$G96))</f>
        <v>46234.0</v>
      </c>
      <c r="C96" s="141" t="str">
        <f>IF($G96="","",INDEX(资金台帐!$J$7:$J$3006,$G96))</f>
        <v>星海超市</v>
      </c>
      <c r="D96" s="172">
        <f>IF($G96="","",INDEX(资金台帐!$S$7:$S$3006,$G96))</f>
        <v>8660</v>
      </c>
      <c r="E96" s="141" t="str">
        <f>IF($G96="","",INDEX(资金台帐!$C$7:$C$3006,$G96))</f>
        <v>收款码</v>
      </c>
      <c r="F96" s="142" t="str">
        <f>IF($G96="","",INDEX(资金台帐!$E$7:$E$3006,$G96)&amp;IF(INDEX(资金台帐!$M$7:$M$3006,$G96)="","","；"&amp;INDEX(资金台帐!$M$7:$M$3006,$G96)))</f>
        <v>收货款</v>
      </c>
      <c r="G96" s="78">
        <f>IFERROR(MATCH(93,资金台帐!$Q$7:$Q$3006,0),"")</f>
        <v>93</v>
      </c>
      <c r="H96" s="2" t="n"/>
      <c r="I96" s="141">
        <f>IF($O96="","",93)</f>
      </c>
      <c r="J96" s="140">
        <f>IF($O96="","",INDEX(资金台帐!$B$7:$B$3006,$O96))</f>
      </c>
      <c r="K96" s="141">
        <f>IF($O96="","",INDEX(资金台帐!$K$7:$K$3006,$O96))</f>
      </c>
      <c r="L96" s="172">
        <f>IF($O96="","",-INDEX(资金台帐!$S$7:$S$3006,$O96))</f>
      </c>
      <c r="M96" s="141">
        <f>IF($O96="","",INDEX(资金台帐!$C$7:$C$3006,$O96))</f>
      </c>
      <c r="N96" s="142">
        <f>IF($O96="","",INDEX(资金台帐!$E$7:$E$3006,$O96))</f>
      </c>
      <c r="O96" s="78">
        <f>IFERROR(MATCH(93,资金台帐!$R$7:$R$3006,0),"")</f>
      </c>
      <c r="P96" s="2" t="n"/>
      <c r="Q96" s="2" t="n"/>
      <c r="R96" s="2" t="n"/>
      <c r="S96" s="2" t="n"/>
      <c r="T96" s="2" t="n"/>
    </row>
    <row r="97" ht="15" customHeight="1" s="71">
      <c r="A97" s="141">
        <f>IF($G97="","",94)</f>
        <v>94</v>
      </c>
      <c r="B97" s="140">
        <f>IF($G97="","",INDEX(资金台帐!$B$7:$B$3006,$G97))</f>
        <v>46234.0</v>
      </c>
      <c r="C97" s="141" t="str">
        <f>IF($G97="","",INDEX(资金台帐!$J$7:$J$3006,$G97))</f>
        <v>吕维春</v>
      </c>
      <c r="D97" s="172">
        <f>IF($G97="","",INDEX(资金台帐!$S$7:$S$3006,$G97))</f>
        <v>30000</v>
      </c>
      <c r="E97" s="141" t="str">
        <f>IF($G97="","",INDEX(资金台帐!$C$7:$C$3006,$G97))</f>
        <v>收款码</v>
      </c>
      <c r="F97" s="142" t="str">
        <f>IF($G97="","",INDEX(资金台帐!$E$7:$E$3006,$G97)&amp;IF(INDEX(资金台帐!$M$7:$M$3006,$G97)="","","；"&amp;INDEX(资金台帐!$M$7:$M$3006,$G97)))</f>
        <v>收货款</v>
      </c>
      <c r="G97" s="78">
        <f>IFERROR(MATCH(94,资金台帐!$Q$7:$Q$3006,0),"")</f>
        <v>94</v>
      </c>
      <c r="H97" s="2" t="n"/>
      <c r="I97" s="141">
        <f>IF($O97="","",94)</f>
      </c>
      <c r="J97" s="140">
        <f>IF($O97="","",INDEX(资金台帐!$B$7:$B$3006,$O97))</f>
      </c>
      <c r="K97" s="141">
        <f>IF($O97="","",INDEX(资金台帐!$K$7:$K$3006,$O97))</f>
      </c>
      <c r="L97" s="172">
        <f>IF($O97="","",-INDEX(资金台帐!$S$7:$S$3006,$O97))</f>
      </c>
      <c r="M97" s="141">
        <f>IF($O97="","",INDEX(资金台帐!$C$7:$C$3006,$O97))</f>
      </c>
      <c r="N97" s="142">
        <f>IF($O97="","",INDEX(资金台帐!$E$7:$E$3006,$O97))</f>
      </c>
      <c r="O97" s="78">
        <f>IFERROR(MATCH(94,资金台帐!$R$7:$R$3006,0),"")</f>
      </c>
      <c r="P97" s="2" t="n"/>
      <c r="Q97" s="2" t="n"/>
      <c r="R97" s="2" t="n"/>
      <c r="S97" s="2" t="n"/>
      <c r="T97" s="2" t="n"/>
    </row>
    <row r="98" ht="15" customHeight="1" s="71">
      <c r="A98" s="141">
        <f>IF($G98="","",95)</f>
        <v>95</v>
      </c>
      <c r="B98" s="140">
        <f>IF($G98="","",INDEX(资金台帐!$B$7:$B$3006,$G98))</f>
        <v>46235.0</v>
      </c>
      <c r="C98" s="141" t="str">
        <f>IF($G98="","",INDEX(资金台帐!$J$7:$J$3006,$G98))</f>
        <v>阿东副食</v>
      </c>
      <c r="D98" s="172">
        <f>IF($G98="","",INDEX(资金台帐!$S$7:$S$3006,$G98))</f>
        <v>67900</v>
      </c>
      <c r="E98" s="141" t="str">
        <f>IF($G98="","",INDEX(资金台帐!$C$7:$C$3006,$G98))</f>
        <v>收款码</v>
      </c>
      <c r="F98" s="142" t="str">
        <f>IF($G98="","",INDEX(资金台帐!$E$7:$E$3006,$G98)&amp;IF(INDEX(资金台帐!$M$7:$M$3006,$G98)="","","；"&amp;INDEX(资金台帐!$M$7:$M$3006,$G98)))</f>
        <v>收货款</v>
      </c>
      <c r="G98" s="78">
        <f>IFERROR(MATCH(95,资金台帐!$Q$7:$Q$3006,0),"")</f>
        <v>95</v>
      </c>
      <c r="H98" s="2" t="n"/>
      <c r="I98" s="141">
        <f>IF($O98="","",95)</f>
      </c>
      <c r="J98" s="140">
        <f>IF($O98="","",INDEX(资金台帐!$B$7:$B$3006,$O98))</f>
      </c>
      <c r="K98" s="141">
        <f>IF($O98="","",INDEX(资金台帐!$K$7:$K$3006,$O98))</f>
      </c>
      <c r="L98" s="172">
        <f>IF($O98="","",-INDEX(资金台帐!$S$7:$S$3006,$O98))</f>
      </c>
      <c r="M98" s="141">
        <f>IF($O98="","",INDEX(资金台帐!$C$7:$C$3006,$O98))</f>
      </c>
      <c r="N98" s="142">
        <f>IF($O98="","",INDEX(资金台帐!$E$7:$E$3006,$O98))</f>
      </c>
      <c r="O98" s="78">
        <f>IFERROR(MATCH(95,资金台帐!$R$7:$R$3006,0),"")</f>
      </c>
      <c r="P98" s="2" t="n"/>
      <c r="Q98" s="2" t="n"/>
      <c r="R98" s="2" t="n"/>
      <c r="S98" s="2" t="n"/>
      <c r="T98" s="2" t="n"/>
    </row>
    <row r="99" ht="15" customHeight="1" s="71">
      <c r="A99" s="141">
        <f>IF($G99="","",96)</f>
        <v>96</v>
      </c>
      <c r="B99" s="140">
        <f>IF($G99="","",INDEX(资金台帐!$B$7:$B$3006,$G99))</f>
        <v>46235.0</v>
      </c>
      <c r="C99" s="141" t="str">
        <f>IF($G99="","",INDEX(资金台帐!$J$7:$J$3006,$G99))</f>
        <v>小陈副食</v>
      </c>
      <c r="D99" s="172">
        <f>IF($G99="","",INDEX(资金台帐!$S$7:$S$3006,$G99))</f>
        <v>12000</v>
      </c>
      <c r="E99" s="141" t="str">
        <f>IF($G99="","",INDEX(资金台帐!$C$7:$C$3006,$G99))</f>
        <v>收款码</v>
      </c>
      <c r="F99" s="142" t="str">
        <f>IF($G99="","",INDEX(资金台帐!$E$7:$E$3006,$G99)&amp;IF(INDEX(资金台帐!$M$7:$M$3006,$G99)="","","；"&amp;INDEX(资金台帐!$M$7:$M$3006,$G99)))</f>
        <v>收货款</v>
      </c>
      <c r="G99" s="78">
        <f>IFERROR(MATCH(96,资金台帐!$Q$7:$Q$3006,0),"")</f>
        <v>96</v>
      </c>
      <c r="H99" s="2" t="n"/>
      <c r="I99" s="141">
        <f>IF($O99="","",96)</f>
      </c>
      <c r="J99" s="140">
        <f>IF($O99="","",INDEX(资金台帐!$B$7:$B$3006,$O99))</f>
      </c>
      <c r="K99" s="141">
        <f>IF($O99="","",INDEX(资金台帐!$K$7:$K$3006,$O99))</f>
      </c>
      <c r="L99" s="172">
        <f>IF($O99="","",-INDEX(资金台帐!$S$7:$S$3006,$O99))</f>
      </c>
      <c r="M99" s="141">
        <f>IF($O99="","",INDEX(资金台帐!$C$7:$C$3006,$O99))</f>
      </c>
      <c r="N99" s="142">
        <f>IF($O99="","",INDEX(资金台帐!$E$7:$E$3006,$O99))</f>
      </c>
      <c r="O99" s="78">
        <f>IFERROR(MATCH(96,资金台帐!$R$7:$R$3006,0),"")</f>
      </c>
      <c r="P99" s="2" t="n"/>
      <c r="Q99" s="2" t="n"/>
      <c r="R99" s="2" t="n"/>
      <c r="S99" s="2" t="n"/>
      <c r="T99" s="2" t="n"/>
    </row>
    <row r="100" ht="15" customHeight="1" s="71">
      <c r="A100" s="141">
        <f>IF($G100="","",97)</f>
        <v>97</v>
      </c>
      <c r="B100" s="140">
        <f>IF($G100="","",INDEX(资金台帐!$B$7:$B$3006,$G100))</f>
        <v>46241.0</v>
      </c>
      <c r="C100" s="141" t="str">
        <f>IF($G100="","",INDEX(资金台帐!$J$7:$J$3006,$G100))</f>
        <v>阿东副食</v>
      </c>
      <c r="D100" s="172">
        <f>IF($G100="","",INDEX(资金台帐!$S$7:$S$3006,$G100))</f>
        <v>2100</v>
      </c>
      <c r="E100" s="141" t="str">
        <f>IF($G100="","",INDEX(资金台帐!$C$7:$C$3006,$G100))</f>
        <v>收款码</v>
      </c>
      <c r="F100" s="142" t="str">
        <f>IF($G100="","",INDEX(资金台帐!$E$7:$E$3006,$G100)&amp;IF(INDEX(资金台帐!$M$7:$M$3006,$G100)="","","；"&amp;INDEX(资金台帐!$M$7:$M$3006,$G100)))</f>
        <v>收货款</v>
      </c>
      <c r="G100" s="78">
        <f>IFERROR(MATCH(97,资金台帐!$Q$7:$Q$3006,0),"")</f>
        <v>97</v>
      </c>
      <c r="H100" s="2" t="n"/>
      <c r="I100" s="141">
        <f>IF($O100="","",97)</f>
      </c>
      <c r="J100" s="140">
        <f>IF($O100="","",INDEX(资金台帐!$B$7:$B$3006,$O100))</f>
      </c>
      <c r="K100" s="141">
        <f>IF($O100="","",INDEX(资金台帐!$K$7:$K$3006,$O100))</f>
      </c>
      <c r="L100" s="172">
        <f>IF($O100="","",-INDEX(资金台帐!$S$7:$S$3006,$O100))</f>
      </c>
      <c r="M100" s="141">
        <f>IF($O100="","",INDEX(资金台帐!$C$7:$C$3006,$O100))</f>
      </c>
      <c r="N100" s="142">
        <f>IF($O100="","",INDEX(资金台帐!$E$7:$E$3006,$O100))</f>
      </c>
      <c r="O100" s="78">
        <f>IFERROR(MATCH(97,资金台帐!$R$7:$R$3006,0),"")</f>
      </c>
      <c r="P100" s="2" t="n"/>
      <c r="Q100" s="2" t="n"/>
      <c r="R100" s="2" t="n"/>
      <c r="S100" s="2" t="n"/>
      <c r="T100" s="2" t="n"/>
    </row>
    <row r="101" ht="15" customHeight="1" s="71">
      <c r="A101" s="141">
        <f>IF($G101="","",98)</f>
        <v>98</v>
      </c>
      <c r="B101" s="140">
        <f>IF($G101="","",INDEX(资金台帐!$B$7:$B$3006,$G101))</f>
        <v>46241.0</v>
      </c>
      <c r="C101" s="141" t="str">
        <f>IF($G101="","",INDEX(资金台帐!$J$7:$J$3006,$G101))</f>
        <v>均村喜乐多</v>
      </c>
      <c r="D101" s="172">
        <f>IF($G101="","",INDEX(资金台帐!$S$7:$S$3006,$G101))</f>
        <v>1640</v>
      </c>
      <c r="E101" s="141" t="str">
        <f>IF($G101="","",INDEX(资金台帐!$C$7:$C$3006,$G101))</f>
        <v>收款码</v>
      </c>
      <c r="F101" s="142" t="str">
        <f>IF($G101="","",INDEX(资金台帐!$E$7:$E$3006,$G101)&amp;IF(INDEX(资金台帐!$M$7:$M$3006,$G101)="","","；"&amp;INDEX(资金台帐!$M$7:$M$3006,$G101)))</f>
        <v>收货款</v>
      </c>
      <c r="G101" s="78">
        <f>IFERROR(MATCH(98,资金台帐!$Q$7:$Q$3006,0),"")</f>
        <v>98</v>
      </c>
      <c r="H101" s="2" t="n"/>
      <c r="I101" s="141">
        <f>IF($O101="","",98)</f>
      </c>
      <c r="J101" s="140">
        <f>IF($O101="","",INDEX(资金台帐!$B$7:$B$3006,$O101))</f>
      </c>
      <c r="K101" s="141">
        <f>IF($O101="","",INDEX(资金台帐!$K$7:$K$3006,$O101))</f>
      </c>
      <c r="L101" s="172">
        <f>IF($O101="","",-INDEX(资金台帐!$S$7:$S$3006,$O101))</f>
      </c>
      <c r="M101" s="141">
        <f>IF($O101="","",INDEX(资金台帐!$C$7:$C$3006,$O101))</f>
      </c>
      <c r="N101" s="142">
        <f>IF($O101="","",INDEX(资金台帐!$E$7:$E$3006,$O101))</f>
      </c>
      <c r="O101" s="78">
        <f>IFERROR(MATCH(98,资金台帐!$R$7:$R$3006,0),"")</f>
      </c>
      <c r="P101" s="2" t="n"/>
      <c r="Q101" s="2" t="n"/>
      <c r="R101" s="2" t="n"/>
      <c r="S101" s="2" t="n"/>
      <c r="T101" s="2" t="n"/>
    </row>
    <row r="102" ht="15" customHeight="1" s="71">
      <c r="A102" s="141">
        <f>IF($G102="","",99)</f>
        <v>99</v>
      </c>
      <c r="B102" s="140">
        <f>IF($G102="","",INDEX(资金台帐!$B$7:$B$3006,$G102))</f>
        <v>46241.0</v>
      </c>
      <c r="C102" s="141" t="str">
        <f>IF($G102="","",INDEX(资金台帐!$J$7:$J$3006,$G102))</f>
        <v>埠头如愿超市</v>
      </c>
      <c r="D102" s="172">
        <f>IF($G102="","",INDEX(资金台帐!$S$7:$S$3006,$G102))</f>
        <v>2325</v>
      </c>
      <c r="E102" s="141" t="str">
        <f>IF($G102="","",INDEX(资金台帐!$C$7:$C$3006,$G102))</f>
        <v>收款码</v>
      </c>
      <c r="F102" s="142" t="str">
        <f>IF($G102="","",INDEX(资金台帐!$E$7:$E$3006,$G102)&amp;IF(INDEX(资金台帐!$M$7:$M$3006,$G102)="","","；"&amp;INDEX(资金台帐!$M$7:$M$3006,$G102)))</f>
        <v>收货款</v>
      </c>
      <c r="G102" s="78">
        <f>IFERROR(MATCH(99,资金台帐!$Q$7:$Q$3006,0),"")</f>
        <v>99</v>
      </c>
      <c r="H102" s="2" t="n"/>
      <c r="I102" s="141">
        <f>IF($O102="","",99)</f>
      </c>
      <c r="J102" s="140">
        <f>IF($O102="","",INDEX(资金台帐!$B$7:$B$3006,$O102))</f>
      </c>
      <c r="K102" s="141">
        <f>IF($O102="","",INDEX(资金台帐!$K$7:$K$3006,$O102))</f>
      </c>
      <c r="L102" s="172">
        <f>IF($O102="","",-INDEX(资金台帐!$S$7:$S$3006,$O102))</f>
      </c>
      <c r="M102" s="141">
        <f>IF($O102="","",INDEX(资金台帐!$C$7:$C$3006,$O102))</f>
      </c>
      <c r="N102" s="142">
        <f>IF($O102="","",INDEX(资金台帐!$E$7:$E$3006,$O102))</f>
      </c>
      <c r="O102" s="78">
        <f>IFERROR(MATCH(99,资金台帐!$R$7:$R$3006,0),"")</f>
      </c>
      <c r="P102" s="2" t="n"/>
      <c r="Q102" s="2" t="n"/>
      <c r="R102" s="2" t="n"/>
      <c r="S102" s="2" t="n"/>
      <c r="T102" s="2" t="n"/>
    </row>
    <row r="103" ht="15" customHeight="1" s="71">
      <c r="A103" s="141">
        <f>IF($G103="","",100)</f>
        <v>100</v>
      </c>
      <c r="B103" s="140">
        <f>IF($G103="","",INDEX(资金台帐!$B$7:$B$3006,$G103))</f>
        <v>46243.0</v>
      </c>
      <c r="C103" s="141" t="str">
        <f>IF($G103="","",INDEX(资金台帐!$J$7:$J$3006,$G103))</f>
        <v>九鑫粮油</v>
      </c>
      <c r="D103" s="172">
        <f>IF($G103="","",INDEX(资金台帐!$S$7:$S$3006,$G103))</f>
        <v>10000</v>
      </c>
      <c r="E103" s="141" t="str">
        <f>IF($G103="","",INDEX(资金台帐!$C$7:$C$3006,$G103))</f>
        <v>收款码</v>
      </c>
      <c r="F103" s="142" t="str">
        <f>IF($G103="","",INDEX(资金台帐!$E$7:$E$3006,$G103)&amp;IF(INDEX(资金台帐!$M$7:$M$3006,$G103)="","","；"&amp;INDEX(资金台帐!$M$7:$M$3006,$G103)))</f>
        <v>收货款</v>
      </c>
      <c r="G103" s="78">
        <f>IFERROR(MATCH(100,资金台帐!$Q$7:$Q$3006,0),"")</f>
        <v>100</v>
      </c>
      <c r="H103" s="2" t="n"/>
      <c r="I103" s="141">
        <f>IF($O103="","",100)</f>
      </c>
      <c r="J103" s="140">
        <f>IF($O103="","",INDEX(资金台帐!$B$7:$B$3006,$O103))</f>
      </c>
      <c r="K103" s="141">
        <f>IF($O103="","",INDEX(资金台帐!$K$7:$K$3006,$O103))</f>
      </c>
      <c r="L103" s="172">
        <f>IF($O103="","",-INDEX(资金台帐!$S$7:$S$3006,$O103))</f>
      </c>
      <c r="M103" s="141">
        <f>IF($O103="","",INDEX(资金台帐!$C$7:$C$3006,$O103))</f>
      </c>
      <c r="N103" s="142">
        <f>IF($O103="","",INDEX(资金台帐!$E$7:$E$3006,$O103))</f>
      </c>
      <c r="O103" s="78">
        <f>IFERROR(MATCH(100,资金台帐!$R$7:$R$3006,0),"")</f>
      </c>
      <c r="P103" s="2" t="n"/>
      <c r="Q103" s="2" t="n"/>
      <c r="R103" s="2" t="n"/>
      <c r="S103" s="2" t="n"/>
      <c r="T103" s="2" t="n"/>
    </row>
    <row r="104" ht="15" customHeight="1" s="71">
      <c r="A104" s="141">
        <f>IF($G104="","",101)</f>
        <v>101</v>
      </c>
      <c r="B104" s="140">
        <f>IF($G104="","",INDEX(资金台帐!$B$7:$B$3006,$G104))</f>
        <v>46243.0</v>
      </c>
      <c r="C104" s="141" t="str">
        <f>IF($G104="","",INDEX(资金台帐!$J$7:$J$3006,$G104))</f>
        <v>龙岗好又全超市</v>
      </c>
      <c r="D104" s="172">
        <f>IF($G104="","",INDEX(资金台帐!$S$7:$S$3006,$G104))</f>
        <v>15000</v>
      </c>
      <c r="E104" s="141" t="str">
        <f>IF($G104="","",INDEX(资金台帐!$C$7:$C$3006,$G104))</f>
        <v>收款码</v>
      </c>
      <c r="F104" s="142" t="str">
        <f>IF($G104="","",INDEX(资金台帐!$E$7:$E$3006,$G104)&amp;IF(INDEX(资金台帐!$M$7:$M$3006,$G104)="","","；"&amp;INDEX(资金台帐!$M$7:$M$3006,$G104)))</f>
        <v>收货款</v>
      </c>
      <c r="G104" s="78">
        <f>IFERROR(MATCH(101,资金台帐!$Q$7:$Q$3006,0),"")</f>
        <v>101</v>
      </c>
      <c r="H104" s="2" t="n"/>
      <c r="I104" s="141">
        <f>IF($O104="","",101)</f>
      </c>
      <c r="J104" s="140">
        <f>IF($O104="","",INDEX(资金台帐!$B$7:$B$3006,$O104))</f>
      </c>
      <c r="K104" s="141">
        <f>IF($O104="","",INDEX(资金台帐!$K$7:$K$3006,$O104))</f>
      </c>
      <c r="L104" s="172">
        <f>IF($O104="","",-INDEX(资金台帐!$S$7:$S$3006,$O104))</f>
      </c>
      <c r="M104" s="141">
        <f>IF($O104="","",INDEX(资金台帐!$C$7:$C$3006,$O104))</f>
      </c>
      <c r="N104" s="142">
        <f>IF($O104="","",INDEX(资金台帐!$E$7:$E$3006,$O104))</f>
      </c>
      <c r="O104" s="78">
        <f>IFERROR(MATCH(101,资金台帐!$R$7:$R$3006,0),"")</f>
      </c>
      <c r="P104" s="2" t="n"/>
      <c r="Q104" s="2" t="n"/>
      <c r="R104" s="2" t="n"/>
      <c r="S104" s="2" t="n"/>
      <c r="T104" s="2" t="n"/>
    </row>
    <row r="105" ht="15" customHeight="1" s="71">
      <c r="A105" s="141">
        <f>IF($G105="","",102)</f>
        <v>102</v>
      </c>
      <c r="B105" s="140">
        <f>IF($G105="","",INDEX(资金台帐!$B$7:$B$3006,$G105))</f>
        <v>46243.0</v>
      </c>
      <c r="C105" s="141" t="str">
        <f>IF($G105="","",INDEX(资金台帐!$J$7:$J$3006,$G105))</f>
        <v>长岗万家欢</v>
      </c>
      <c r="D105" s="172">
        <f>IF($G105="","",INDEX(资金台帐!$S$7:$S$3006,$G105))</f>
        <v>3000</v>
      </c>
      <c r="E105" s="141" t="str">
        <f>IF($G105="","",INDEX(资金台帐!$C$7:$C$3006,$G105))</f>
        <v>收款码</v>
      </c>
      <c r="F105" s="142" t="str">
        <f>IF($G105="","",INDEX(资金台帐!$E$7:$E$3006,$G105)&amp;IF(INDEX(资金台帐!$M$7:$M$3006,$G105)="","","；"&amp;INDEX(资金台帐!$M$7:$M$3006,$G105)))</f>
        <v>收货款</v>
      </c>
      <c r="G105" s="78">
        <f>IFERROR(MATCH(102,资金台帐!$Q$7:$Q$3006,0),"")</f>
        <v>102</v>
      </c>
      <c r="H105" s="2" t="n"/>
      <c r="I105" s="141">
        <f>IF($O105="","",102)</f>
      </c>
      <c r="J105" s="140">
        <f>IF($O105="","",INDEX(资金台帐!$B$7:$B$3006,$O105))</f>
      </c>
      <c r="K105" s="141">
        <f>IF($O105="","",INDEX(资金台帐!$K$7:$K$3006,$O105))</f>
      </c>
      <c r="L105" s="172">
        <f>IF($O105="","",-INDEX(资金台帐!$S$7:$S$3006,$O105))</f>
      </c>
      <c r="M105" s="141">
        <f>IF($O105="","",INDEX(资金台帐!$C$7:$C$3006,$O105))</f>
      </c>
      <c r="N105" s="142">
        <f>IF($O105="","",INDEX(资金台帐!$E$7:$E$3006,$O105))</f>
      </c>
      <c r="O105" s="78">
        <f>IFERROR(MATCH(102,资金台帐!$R$7:$R$3006,0),"")</f>
      </c>
      <c r="P105" s="2" t="n"/>
      <c r="Q105" s="2" t="n"/>
      <c r="R105" s="2" t="n"/>
      <c r="S105" s="2" t="n"/>
      <c r="T105" s="2" t="n"/>
    </row>
    <row r="106" ht="15" customHeight="1" s="71">
      <c r="A106" s="141">
        <f>IF($G106="","",103)</f>
        <v>103</v>
      </c>
      <c r="B106" s="140">
        <f>IF($G106="","",INDEX(资金台帐!$B$7:$B$3006,$G106))</f>
        <v>46243.0</v>
      </c>
      <c r="C106" s="141" t="str">
        <f>IF($G106="","",INDEX(资金台帐!$J$7:$J$3006,$G106))</f>
        <v>兴莲隆兴商行</v>
      </c>
      <c r="D106" s="172">
        <f>IF($G106="","",INDEX(资金台帐!$S$7:$S$3006,$G106))</f>
        <v>9000</v>
      </c>
      <c r="E106" s="141" t="str">
        <f>IF($G106="","",INDEX(资金台帐!$C$7:$C$3006,$G106))</f>
        <v>收款码</v>
      </c>
      <c r="F106" s="142" t="str">
        <f>IF($G106="","",INDEX(资金台帐!$E$7:$E$3006,$G106)&amp;IF(INDEX(资金台帐!$M$7:$M$3006,$G106)="","","；"&amp;INDEX(资金台帐!$M$7:$M$3006,$G106)))</f>
        <v>收货款</v>
      </c>
      <c r="G106" s="78">
        <f>IFERROR(MATCH(103,资金台帐!$Q$7:$Q$3006,0),"")</f>
        <v>103</v>
      </c>
      <c r="H106" s="2" t="n"/>
      <c r="I106" s="141">
        <f>IF($O106="","",103)</f>
      </c>
      <c r="J106" s="140">
        <f>IF($O106="","",INDEX(资金台帐!$B$7:$B$3006,$O106))</f>
      </c>
      <c r="K106" s="141">
        <f>IF($O106="","",INDEX(资金台帐!$K$7:$K$3006,$O106))</f>
      </c>
      <c r="L106" s="172">
        <f>IF($O106="","",-INDEX(资金台帐!$S$7:$S$3006,$O106))</f>
      </c>
      <c r="M106" s="141">
        <f>IF($O106="","",INDEX(资金台帐!$C$7:$C$3006,$O106))</f>
      </c>
      <c r="N106" s="142">
        <f>IF($O106="","",INDEX(资金台帐!$E$7:$E$3006,$O106))</f>
      </c>
      <c r="O106" s="78">
        <f>IFERROR(MATCH(103,资金台帐!$R$7:$R$3006,0),"")</f>
      </c>
      <c r="P106" s="2" t="n"/>
      <c r="Q106" s="2" t="n"/>
      <c r="R106" s="2" t="n"/>
      <c r="S106" s="2" t="n"/>
      <c r="T106" s="2" t="n"/>
    </row>
    <row r="107" ht="15" customHeight="1" s="71">
      <c r="A107" s="141">
        <f>IF($G107="","",104)</f>
        <v>104</v>
      </c>
      <c r="B107" s="140">
        <f>IF($G107="","",INDEX(资金台帐!$B$7:$B$3006,$G107))</f>
        <v>46243.0</v>
      </c>
      <c r="C107" s="141" t="str">
        <f>IF($G107="","",INDEX(资金台帐!$J$7:$J$3006,$G107))</f>
        <v>鼎龙陈财超市</v>
      </c>
      <c r="D107" s="172">
        <f>IF($G107="","",INDEX(资金台帐!$S$7:$S$3006,$G107))</f>
        <v>3000</v>
      </c>
      <c r="E107" s="141" t="str">
        <f>IF($G107="","",INDEX(资金台帐!$C$7:$C$3006,$G107))</f>
        <v>收款码</v>
      </c>
      <c r="F107" s="142" t="str">
        <f>IF($G107="","",INDEX(资金台帐!$E$7:$E$3006,$G107)&amp;IF(INDEX(资金台帐!$M$7:$M$3006,$G107)="","","；"&amp;INDEX(资金台帐!$M$7:$M$3006,$G107)))</f>
        <v>收货款</v>
      </c>
      <c r="G107" s="78">
        <f>IFERROR(MATCH(104,资金台帐!$Q$7:$Q$3006,0),"")</f>
        <v>104</v>
      </c>
      <c r="H107" s="2" t="n"/>
      <c r="I107" s="141">
        <f>IF($O107="","",104)</f>
      </c>
      <c r="J107" s="140">
        <f>IF($O107="","",INDEX(资金台帐!$B$7:$B$3006,$O107))</f>
      </c>
      <c r="K107" s="141">
        <f>IF($O107="","",INDEX(资金台帐!$K$7:$K$3006,$O107))</f>
      </c>
      <c r="L107" s="172">
        <f>IF($O107="","",-INDEX(资金台帐!$S$7:$S$3006,$O107))</f>
      </c>
      <c r="M107" s="141">
        <f>IF($O107="","",INDEX(资金台帐!$C$7:$C$3006,$O107))</f>
      </c>
      <c r="N107" s="142">
        <f>IF($O107="","",INDEX(资金台帐!$E$7:$E$3006,$O107))</f>
      </c>
      <c r="O107" s="78">
        <f>IFERROR(MATCH(104,资金台帐!$R$7:$R$3006,0),"")</f>
      </c>
      <c r="P107" s="2" t="n"/>
      <c r="Q107" s="2" t="n"/>
      <c r="R107" s="2" t="n"/>
      <c r="S107" s="2" t="n"/>
      <c r="T107" s="2" t="n"/>
    </row>
    <row r="108" ht="15" customHeight="1" s="71">
      <c r="A108" s="141">
        <f>IF($G108="","",105)</f>
        <v>105</v>
      </c>
      <c r="B108" s="140">
        <f>IF($G108="","",INDEX(资金台帐!$B$7:$B$3006,$G108))</f>
        <v>46243.0</v>
      </c>
      <c r="C108" s="141" t="str">
        <f>IF($G108="","",INDEX(资金台帐!$J$7:$J$3006,$G108))</f>
        <v>诚信粮油</v>
      </c>
      <c r="D108" s="172">
        <f>IF($G108="","",INDEX(资金台帐!$S$7:$S$3006,$G108))</f>
        <v>50000</v>
      </c>
      <c r="E108" s="141" t="str">
        <f>IF($G108="","",INDEX(资金台帐!$C$7:$C$3006,$G108))</f>
        <v>收款码</v>
      </c>
      <c r="F108" s="142" t="str">
        <f>IF($G108="","",INDEX(资金台帐!$E$7:$E$3006,$G108)&amp;IF(INDEX(资金台帐!$M$7:$M$3006,$G108)="","","；"&amp;INDEX(资金台帐!$M$7:$M$3006,$G108)))</f>
        <v>收货款</v>
      </c>
      <c r="G108" s="78">
        <f>IFERROR(MATCH(105,资金台帐!$Q$7:$Q$3006,0),"")</f>
        <v>105</v>
      </c>
      <c r="H108" s="2" t="n"/>
      <c r="I108" s="141">
        <f>IF($O108="","",105)</f>
      </c>
      <c r="J108" s="140">
        <f>IF($O108="","",INDEX(资金台帐!$B$7:$B$3006,$O108))</f>
      </c>
      <c r="K108" s="141">
        <f>IF($O108="","",INDEX(资金台帐!$K$7:$K$3006,$O108))</f>
      </c>
      <c r="L108" s="172">
        <f>IF($O108="","",-INDEX(资金台帐!$S$7:$S$3006,$O108))</f>
      </c>
      <c r="M108" s="141">
        <f>IF($O108="","",INDEX(资金台帐!$C$7:$C$3006,$O108))</f>
      </c>
      <c r="N108" s="142">
        <f>IF($O108="","",INDEX(资金台帐!$E$7:$E$3006,$O108))</f>
      </c>
      <c r="O108" s="78">
        <f>IFERROR(MATCH(105,资金台帐!$R$7:$R$3006,0),"")</f>
      </c>
      <c r="P108" s="2" t="n"/>
      <c r="Q108" s="2" t="n"/>
      <c r="R108" s="2" t="n"/>
      <c r="S108" s="2" t="n"/>
      <c r="T108" s="2" t="n"/>
    </row>
    <row r="109" ht="15" customHeight="1" s="71">
      <c r="A109" s="141">
        <f>IF($G109="","",106)</f>
        <v>106</v>
      </c>
      <c r="B109" s="140">
        <f>IF($G109="","",INDEX(资金台帐!$B$7:$B$3006,$G109))</f>
        <v>46243.0</v>
      </c>
      <c r="C109" s="141" t="str">
        <f>IF($G109="","",INDEX(资金台帐!$J$7:$J$3006,$G109))</f>
        <v>小梅商行</v>
      </c>
      <c r="D109" s="172">
        <f>IF($G109="","",INDEX(资金台帐!$S$7:$S$3006,$G109))</f>
        <v>20000</v>
      </c>
      <c r="E109" s="141" t="str">
        <f>IF($G109="","",INDEX(资金台帐!$C$7:$C$3006,$G109))</f>
        <v>收款码</v>
      </c>
      <c r="F109" s="142" t="str">
        <f>IF($G109="","",INDEX(资金台帐!$E$7:$E$3006,$G109)&amp;IF(INDEX(资金台帐!$M$7:$M$3006,$G109)="","","；"&amp;INDEX(资金台帐!$M$7:$M$3006,$G109)))</f>
        <v>好又多、思美达</v>
      </c>
      <c r="G109" s="78">
        <f>IFERROR(MATCH(106,资金台帐!$Q$7:$Q$3006,0),"")</f>
        <v>106</v>
      </c>
      <c r="H109" s="2" t="n"/>
      <c r="I109" s="141">
        <f>IF($O109="","",106)</f>
      </c>
      <c r="J109" s="140">
        <f>IF($O109="","",INDEX(资金台帐!$B$7:$B$3006,$O109))</f>
      </c>
      <c r="K109" s="141">
        <f>IF($O109="","",INDEX(资金台帐!$K$7:$K$3006,$O109))</f>
      </c>
      <c r="L109" s="172">
        <f>IF($O109="","",-INDEX(资金台帐!$S$7:$S$3006,$O109))</f>
      </c>
      <c r="M109" s="141">
        <f>IF($O109="","",INDEX(资金台帐!$C$7:$C$3006,$O109))</f>
      </c>
      <c r="N109" s="142">
        <f>IF($O109="","",INDEX(资金台帐!$E$7:$E$3006,$O109))</f>
      </c>
      <c r="O109" s="78">
        <f>IFERROR(MATCH(106,资金台帐!$R$7:$R$3006,0),"")</f>
      </c>
      <c r="P109" s="2" t="n"/>
      <c r="Q109" s="2" t="n"/>
      <c r="R109" s="2" t="n"/>
      <c r="S109" s="2" t="n"/>
      <c r="T109" s="2" t="n"/>
    </row>
    <row r="110" ht="15" customHeight="1" s="71">
      <c r="A110" s="141">
        <f>IF($G110="","",107)</f>
        <v>107</v>
      </c>
      <c r="B110" s="140">
        <f>IF($G110="","",INDEX(资金台帐!$B$7:$B$3006,$G110))</f>
        <v>46245.0</v>
      </c>
      <c r="C110" s="141" t="str">
        <f>IF($G110="","",INDEX(资金台帐!$J$7:$J$3006,$G110))</f>
        <v>好帮手</v>
      </c>
      <c r="D110" s="172">
        <f>IF($G110="","",INDEX(资金台帐!$S$7:$S$3006,$G110))</f>
        <v>327.5</v>
      </c>
      <c r="E110" s="141" t="str">
        <f>IF($G110="","",INDEX(资金台帐!$C$7:$C$3006,$G110))</f>
        <v>收款码</v>
      </c>
      <c r="F110" s="142" t="str">
        <f>IF($G110="","",INDEX(资金台帐!$E$7:$E$3006,$G110)&amp;IF(INDEX(资金台帐!$M$7:$M$3006,$G110)="","","；"&amp;INDEX(资金台帐!$M$7:$M$3006,$G110)))</f>
        <v>收货款</v>
      </c>
      <c r="G110" s="78">
        <f>IFERROR(MATCH(107,资金台帐!$Q$7:$Q$3006,0),"")</f>
        <v>107</v>
      </c>
      <c r="H110" s="2" t="n"/>
      <c r="I110" s="141">
        <f>IF($O110="","",107)</f>
      </c>
      <c r="J110" s="140">
        <f>IF($O110="","",INDEX(资金台帐!$B$7:$B$3006,$O110))</f>
      </c>
      <c r="K110" s="141">
        <f>IF($O110="","",INDEX(资金台帐!$K$7:$K$3006,$O110))</f>
      </c>
      <c r="L110" s="172">
        <f>IF($O110="","",-INDEX(资金台帐!$S$7:$S$3006,$O110))</f>
      </c>
      <c r="M110" s="141">
        <f>IF($O110="","",INDEX(资金台帐!$C$7:$C$3006,$O110))</f>
      </c>
      <c r="N110" s="142">
        <f>IF($O110="","",INDEX(资金台帐!$E$7:$E$3006,$O110))</f>
      </c>
      <c r="O110" s="78">
        <f>IFERROR(MATCH(107,资金台帐!$R$7:$R$3006,0),"")</f>
      </c>
      <c r="P110" s="2" t="n"/>
      <c r="Q110" s="2" t="n"/>
      <c r="R110" s="2" t="n"/>
      <c r="S110" s="2" t="n"/>
      <c r="T110" s="2" t="n"/>
    </row>
    <row r="111" ht="15" customHeight="1" s="71">
      <c r="A111" s="141">
        <f>IF($G111="","",108)</f>
        <v>108</v>
      </c>
      <c r="B111" s="140">
        <f>IF($G111="","",INDEX(资金台帐!$B$7:$B$3006,$G111))</f>
        <v>46246.0</v>
      </c>
      <c r="C111" s="141" t="str">
        <f>IF($G111="","",INDEX(资金台帐!$J$7:$J$3006,$G111))</f>
        <v>七中阳光鲜奶</v>
      </c>
      <c r="D111" s="172">
        <f>IF($G111="","",INDEX(资金台帐!$S$7:$S$3006,$G111))</f>
        <v>107.5</v>
      </c>
      <c r="E111" s="141" t="str">
        <f>IF($G111="","",INDEX(资金台帐!$C$7:$C$3006,$G111))</f>
        <v>收款码</v>
      </c>
      <c r="F111" s="142" t="str">
        <f>IF($G111="","",INDEX(资金台帐!$E$7:$E$3006,$G111)&amp;IF(INDEX(资金台帐!$M$7:$M$3006,$G111)="","","；"&amp;INDEX(资金台帐!$M$7:$M$3006,$G111)))</f>
        <v>收货款</v>
      </c>
      <c r="G111" s="78">
        <f>IFERROR(MATCH(108,资金台帐!$Q$7:$Q$3006,0),"")</f>
        <v>108</v>
      </c>
      <c r="H111" s="2" t="n"/>
      <c r="I111" s="141">
        <f>IF($O111="","",108)</f>
      </c>
      <c r="J111" s="140">
        <f>IF($O111="","",INDEX(资金台帐!$B$7:$B$3006,$O111))</f>
      </c>
      <c r="K111" s="141">
        <f>IF($O111="","",INDEX(资金台帐!$K$7:$K$3006,$O111))</f>
      </c>
      <c r="L111" s="172">
        <f>IF($O111="","",-INDEX(资金台帐!$S$7:$S$3006,$O111))</f>
      </c>
      <c r="M111" s="141">
        <f>IF($O111="","",INDEX(资金台帐!$C$7:$C$3006,$O111))</f>
      </c>
      <c r="N111" s="142">
        <f>IF($O111="","",INDEX(资金台帐!$E$7:$E$3006,$O111))</f>
      </c>
      <c r="O111" s="78">
        <f>IFERROR(MATCH(108,资金台帐!$R$7:$R$3006,0),"")</f>
      </c>
      <c r="P111" s="2" t="n"/>
      <c r="Q111" s="2" t="n"/>
      <c r="R111" s="2" t="n"/>
      <c r="S111" s="2" t="n"/>
      <c r="T111" s="2" t="n"/>
    </row>
    <row r="112" ht="15" customHeight="1" s="71">
      <c r="A112" s="141">
        <f>IF($G112="","",109)</f>
        <v>109</v>
      </c>
      <c r="B112" s="140">
        <f>IF($G112="","",INDEX(资金台帐!$B$7:$B$3006,$G112))</f>
        <v>46247.0</v>
      </c>
      <c r="C112" s="141" t="str">
        <f>IF($G112="","",INDEX(资金台帐!$J$7:$J$3006,$G112))</f>
        <v>兴发商行</v>
      </c>
      <c r="D112" s="172">
        <f>IF($G112="","",INDEX(资金台帐!$S$7:$S$3006,$G112))</f>
        <v>1137.5</v>
      </c>
      <c r="E112" s="141" t="str">
        <f>IF($G112="","",INDEX(资金台帐!$C$7:$C$3006,$G112))</f>
        <v>收款码</v>
      </c>
      <c r="F112" s="142" t="str">
        <f>IF($G112="","",INDEX(资金台帐!$E$7:$E$3006,$G112)&amp;IF(INDEX(资金台帐!$M$7:$M$3006,$G112)="","","；"&amp;INDEX(资金台帐!$M$7:$M$3006,$G112)))</f>
        <v>收货款</v>
      </c>
      <c r="G112" s="78">
        <f>IFERROR(MATCH(109,资金台帐!$Q$7:$Q$3006,0),"")</f>
        <v>109</v>
      </c>
      <c r="H112" s="2" t="n"/>
      <c r="I112" s="141">
        <f>IF($O112="","",109)</f>
      </c>
      <c r="J112" s="140">
        <f>IF($O112="","",INDEX(资金台帐!$B$7:$B$3006,$O112))</f>
      </c>
      <c r="K112" s="141">
        <f>IF($O112="","",INDEX(资金台帐!$K$7:$K$3006,$O112))</f>
      </c>
      <c r="L112" s="172">
        <f>IF($O112="","",-INDEX(资金台帐!$S$7:$S$3006,$O112))</f>
      </c>
      <c r="M112" s="141">
        <f>IF($O112="","",INDEX(资金台帐!$C$7:$C$3006,$O112))</f>
      </c>
      <c r="N112" s="142">
        <f>IF($O112="","",INDEX(资金台帐!$E$7:$E$3006,$O112))</f>
      </c>
      <c r="O112" s="78">
        <f>IFERROR(MATCH(109,资金台帐!$R$7:$R$3006,0),"")</f>
      </c>
      <c r="P112" s="2" t="n"/>
      <c r="Q112" s="2" t="n"/>
      <c r="R112" s="2" t="n"/>
      <c r="S112" s="2" t="n"/>
      <c r="T112" s="2" t="n"/>
    </row>
    <row r="113" ht="15" customHeight="1" s="71">
      <c r="A113" s="141">
        <f>IF($G113="","",110)</f>
        <v>110</v>
      </c>
      <c r="B113" s="140">
        <f>IF($G113="","",INDEX(资金台帐!$B$7:$B$3006,$G113))</f>
        <v>46248.0</v>
      </c>
      <c r="C113" s="141" t="str">
        <f>IF($G113="","",INDEX(资金台帐!$J$7:$J$3006,$G113))</f>
        <v>埠头万客欢</v>
      </c>
      <c r="D113" s="172">
        <f>IF($G113="","",INDEX(资金台帐!$S$7:$S$3006,$G113))</f>
        <v>2750</v>
      </c>
      <c r="E113" s="141" t="str">
        <f>IF($G113="","",INDEX(资金台帐!$C$7:$C$3006,$G113))</f>
        <v>收款码</v>
      </c>
      <c r="F113" s="142" t="str">
        <f>IF($G113="","",INDEX(资金台帐!$E$7:$E$3006,$G113)&amp;IF(INDEX(资金台帐!$M$7:$M$3006,$G113)="","","；"&amp;INDEX(资金台帐!$M$7:$M$3006,$G113)))</f>
        <v>收货款</v>
      </c>
      <c r="G113" s="78">
        <f>IFERROR(MATCH(110,资金台帐!$Q$7:$Q$3006,0),"")</f>
        <v>110</v>
      </c>
      <c r="H113" s="2" t="n"/>
      <c r="I113" s="141">
        <f>IF($O113="","",110)</f>
      </c>
      <c r="J113" s="140">
        <f>IF($O113="","",INDEX(资金台帐!$B$7:$B$3006,$O113))</f>
      </c>
      <c r="K113" s="141">
        <f>IF($O113="","",INDEX(资金台帐!$K$7:$K$3006,$O113))</f>
      </c>
      <c r="L113" s="172">
        <f>IF($O113="","",-INDEX(资金台帐!$S$7:$S$3006,$O113))</f>
      </c>
      <c r="M113" s="141">
        <f>IF($O113="","",INDEX(资金台帐!$C$7:$C$3006,$O113))</f>
      </c>
      <c r="N113" s="142">
        <f>IF($O113="","",INDEX(资金台帐!$E$7:$E$3006,$O113))</f>
      </c>
      <c r="O113" s="78">
        <f>IFERROR(MATCH(110,资金台帐!$R$7:$R$3006,0),"")</f>
      </c>
      <c r="P113" s="2" t="n"/>
      <c r="Q113" s="2" t="n"/>
      <c r="R113" s="2" t="n"/>
      <c r="S113" s="2" t="n"/>
      <c r="T113" s="2" t="n"/>
    </row>
    <row r="114" ht="15" customHeight="1" s="71">
      <c r="A114" s="141">
        <f>IF($G114="","",111)</f>
        <v>111</v>
      </c>
      <c r="B114" s="140">
        <f>IF($G114="","",INDEX(资金台帐!$B$7:$B$3006,$G114))</f>
        <v>46252.0</v>
      </c>
      <c r="C114" s="141" t="str">
        <f>IF($G114="","",INDEX(资金台帐!$J$7:$J$3006,$G114))</f>
        <v>洪门兴诚超市</v>
      </c>
      <c r="D114" s="172">
        <f>IF($G114="","",INDEX(资金台帐!$S$7:$S$3006,$G114))</f>
        <v>2100</v>
      </c>
      <c r="E114" s="141" t="str">
        <f>IF($G114="","",INDEX(资金台帐!$C$7:$C$3006,$G114))</f>
        <v>收款码</v>
      </c>
      <c r="F114" s="142" t="str">
        <f>IF($G114="","",INDEX(资金台帐!$E$7:$E$3006,$G114)&amp;IF(INDEX(资金台帐!$M$7:$M$3006,$G114)="","","；"&amp;INDEX(资金台帐!$M$7:$M$3006,$G114)))</f>
        <v>收货款</v>
      </c>
      <c r="G114" s="78">
        <f>IFERROR(MATCH(111,资金台帐!$Q$7:$Q$3006,0),"")</f>
        <v>111</v>
      </c>
      <c r="H114" s="2" t="n"/>
      <c r="I114" s="141">
        <f>IF($O114="","",111)</f>
      </c>
      <c r="J114" s="140">
        <f>IF($O114="","",INDEX(资金台帐!$B$7:$B$3006,$O114))</f>
      </c>
      <c r="K114" s="141">
        <f>IF($O114="","",INDEX(资金台帐!$K$7:$K$3006,$O114))</f>
      </c>
      <c r="L114" s="172">
        <f>IF($O114="","",-INDEX(资金台帐!$S$7:$S$3006,$O114))</f>
      </c>
      <c r="M114" s="141">
        <f>IF($O114="","",INDEX(资金台帐!$C$7:$C$3006,$O114))</f>
      </c>
      <c r="N114" s="142">
        <f>IF($O114="","",INDEX(资金台帐!$E$7:$E$3006,$O114))</f>
      </c>
      <c r="O114" s="78">
        <f>IFERROR(MATCH(111,资金台帐!$R$7:$R$3006,0),"")</f>
      </c>
      <c r="P114" s="2" t="n"/>
      <c r="Q114" s="2" t="n"/>
      <c r="R114" s="2" t="n"/>
      <c r="S114" s="2" t="n"/>
      <c r="T114" s="2" t="n"/>
    </row>
    <row r="115" ht="15" customHeight="1" s="71">
      <c r="A115" s="141">
        <f>IF($G115="","",112)</f>
        <v>112</v>
      </c>
      <c r="B115" s="140">
        <f>IF($G115="","",INDEX(资金台帐!$B$7:$B$3006,$G115))</f>
        <v>46252.0</v>
      </c>
      <c r="C115" s="141" t="str">
        <f>IF($G115="","",INDEX(资金台帐!$J$7:$J$3006,$G115))</f>
        <v>长岗岭万家乐超市</v>
      </c>
      <c r="D115" s="172">
        <f>IF($G115="","",INDEX(资金台帐!$S$7:$S$3006,$G115))</f>
        <v>2790</v>
      </c>
      <c r="E115" s="141" t="str">
        <f>IF($G115="","",INDEX(资金台帐!$C$7:$C$3006,$G115))</f>
        <v>收款码</v>
      </c>
      <c r="F115" s="142" t="str">
        <f>IF($G115="","",INDEX(资金台帐!$E$7:$E$3006,$G115)&amp;IF(INDEX(资金台帐!$M$7:$M$3006,$G115)="","","；"&amp;INDEX(资金台帐!$M$7:$M$3006,$G115)))</f>
        <v>收货款</v>
      </c>
      <c r="G115" s="78">
        <f>IFERROR(MATCH(112,资金台帐!$Q$7:$Q$3006,0),"")</f>
        <v>112</v>
      </c>
      <c r="H115" s="2" t="n"/>
      <c r="I115" s="141">
        <f>IF($O115="","",112)</f>
      </c>
      <c r="J115" s="140">
        <f>IF($O115="","",INDEX(资金台帐!$B$7:$B$3006,$O115))</f>
      </c>
      <c r="K115" s="141">
        <f>IF($O115="","",INDEX(资金台帐!$K$7:$K$3006,$O115))</f>
      </c>
      <c r="L115" s="172">
        <f>IF($O115="","",-INDEX(资金台帐!$S$7:$S$3006,$O115))</f>
      </c>
      <c r="M115" s="141">
        <f>IF($O115="","",INDEX(资金台帐!$C$7:$C$3006,$O115))</f>
      </c>
      <c r="N115" s="142">
        <f>IF($O115="","",INDEX(资金台帐!$E$7:$E$3006,$O115))</f>
      </c>
      <c r="O115" s="78">
        <f>IFERROR(MATCH(112,资金台帐!$R$7:$R$3006,0),"")</f>
      </c>
      <c r="P115" s="2" t="n"/>
      <c r="Q115" s="2" t="n"/>
      <c r="R115" s="2" t="n"/>
      <c r="S115" s="2" t="n"/>
      <c r="T115" s="2" t="n"/>
    </row>
    <row r="116" ht="15" customHeight="1" s="71">
      <c r="A116" s="141">
        <f>IF($G116="","",113)</f>
        <v>113</v>
      </c>
      <c r="B116" s="140">
        <f>IF($G116="","",INDEX(资金台帐!$B$7:$B$3006,$G116))</f>
        <v>46252.0</v>
      </c>
      <c r="C116" s="141" t="str">
        <f>IF($G116="","",INDEX(资金台帐!$J$7:$J$3006,$G116))</f>
        <v>小梅商行</v>
      </c>
      <c r="D116" s="172">
        <f>IF($G116="","",INDEX(资金台帐!$S$7:$S$3006,$G116))</f>
        <v>30000</v>
      </c>
      <c r="E116" s="141" t="str">
        <f>IF($G116="","",INDEX(资金台帐!$C$7:$C$3006,$G116))</f>
        <v>收款码</v>
      </c>
      <c r="F116" s="142" t="str">
        <f>IF($G116="","",INDEX(资金台帐!$E$7:$E$3006,$G116)&amp;IF(INDEX(资金台帐!$M$7:$M$3006,$G116)="","","；"&amp;INDEX(资金台帐!$M$7:$M$3006,$G116)))</f>
        <v>收货款</v>
      </c>
      <c r="G116" s="78">
        <f>IFERROR(MATCH(113,资金台帐!$Q$7:$Q$3006,0),"")</f>
        <v>113</v>
      </c>
      <c r="H116" s="2" t="n"/>
      <c r="I116" s="141">
        <f>IF($O116="","",113)</f>
      </c>
      <c r="J116" s="140">
        <f>IF($O116="","",INDEX(资金台帐!$B$7:$B$3006,$O116))</f>
      </c>
      <c r="K116" s="141">
        <f>IF($O116="","",INDEX(资金台帐!$K$7:$K$3006,$O116))</f>
      </c>
      <c r="L116" s="172">
        <f>IF($O116="","",-INDEX(资金台帐!$S$7:$S$3006,$O116))</f>
      </c>
      <c r="M116" s="141">
        <f>IF($O116="","",INDEX(资金台帐!$C$7:$C$3006,$O116))</f>
      </c>
      <c r="N116" s="142">
        <f>IF($O116="","",INDEX(资金台帐!$E$7:$E$3006,$O116))</f>
      </c>
      <c r="O116" s="78">
        <f>IFERROR(MATCH(113,资金台帐!$R$7:$R$3006,0),"")</f>
      </c>
      <c r="P116" s="2" t="n"/>
      <c r="Q116" s="2" t="n"/>
      <c r="R116" s="2" t="n"/>
      <c r="S116" s="2" t="n"/>
      <c r="T116" s="2" t="n"/>
    </row>
    <row r="117" ht="15" customHeight="1" s="71">
      <c r="A117" s="141">
        <f>IF($G117="","",114)</f>
        <v>114</v>
      </c>
      <c r="B117" s="140">
        <f>IF($G117="","",INDEX(资金台帐!$B$7:$B$3006,$G117))</f>
        <v>46254.0</v>
      </c>
      <c r="C117" s="141" t="str">
        <f>IF($G117="","",INDEX(资金台帐!$J$7:$J$3006,$G117))</f>
        <v>龙岗荣鑫商行</v>
      </c>
      <c r="D117" s="172">
        <f>IF($G117="","",INDEX(资金台帐!$S$7:$S$3006,$G117))</f>
        <v>4500</v>
      </c>
      <c r="E117" s="141" t="str">
        <f>IF($G117="","",INDEX(资金台帐!$C$7:$C$3006,$G117))</f>
        <v>收款码</v>
      </c>
      <c r="F117" s="142" t="str">
        <f>IF($G117="","",INDEX(资金台帐!$E$7:$E$3006,$G117)&amp;IF(INDEX(资金台帐!$M$7:$M$3006,$G117)="","","；"&amp;INDEX(资金台帐!$M$7:$M$3006,$G117)))</f>
        <v>收货款</v>
      </c>
      <c r="G117" s="78">
        <f>IFERROR(MATCH(114,资金台帐!$Q$7:$Q$3006,0),"")</f>
        <v>114</v>
      </c>
      <c r="H117" s="2" t="n"/>
      <c r="I117" s="141">
        <f>IF($O117="","",114)</f>
      </c>
      <c r="J117" s="140">
        <f>IF($O117="","",INDEX(资金台帐!$B$7:$B$3006,$O117))</f>
      </c>
      <c r="K117" s="141">
        <f>IF($O117="","",INDEX(资金台帐!$K$7:$K$3006,$O117))</f>
      </c>
      <c r="L117" s="172">
        <f>IF($O117="","",-INDEX(资金台帐!$S$7:$S$3006,$O117))</f>
      </c>
      <c r="M117" s="141">
        <f>IF($O117="","",INDEX(资金台帐!$C$7:$C$3006,$O117))</f>
      </c>
      <c r="N117" s="142">
        <f>IF($O117="","",INDEX(资金台帐!$E$7:$E$3006,$O117))</f>
      </c>
      <c r="O117" s="78">
        <f>IFERROR(MATCH(114,资金台帐!$R$7:$R$3006,0),"")</f>
      </c>
      <c r="P117" s="2" t="n"/>
      <c r="Q117" s="2" t="n"/>
      <c r="R117" s="2" t="n"/>
      <c r="S117" s="2" t="n"/>
      <c r="T117" s="2" t="n"/>
    </row>
    <row r="118" ht="15" customHeight="1" s="71">
      <c r="A118" s="141">
        <f>IF($G118="","",115)</f>
        <v>115</v>
      </c>
      <c r="B118" s="140">
        <f>IF($G118="","",INDEX(资金台帐!$B$7:$B$3006,$G118))</f>
        <v>46254.0</v>
      </c>
      <c r="C118" s="141" t="str">
        <f>IF($G118="","",INDEX(资金台帐!$J$7:$J$3006,$G118))</f>
        <v>贸易广场老吴副食</v>
      </c>
      <c r="D118" s="172">
        <f>IF($G118="","",INDEX(资金台帐!$S$7:$S$3006,$G118))</f>
        <v>30000</v>
      </c>
      <c r="E118" s="141" t="str">
        <f>IF($G118="","",INDEX(资金台帐!$C$7:$C$3006,$G118))</f>
        <v>收款码</v>
      </c>
      <c r="F118" s="142" t="str">
        <f>IF($G118="","",INDEX(资金台帐!$E$7:$E$3006,$G118)&amp;IF(INDEX(资金台帐!$M$7:$M$3006,$G118)="","","；"&amp;INDEX(资金台帐!$M$7:$M$3006,$G118)))</f>
        <v>收货款</v>
      </c>
      <c r="G118" s="78">
        <f>IFERROR(MATCH(115,资金台帐!$Q$7:$Q$3006,0),"")</f>
        <v>115</v>
      </c>
      <c r="H118" s="2" t="n"/>
      <c r="I118" s="141">
        <f>IF($O118="","",115)</f>
      </c>
      <c r="J118" s="140">
        <f>IF($O118="","",INDEX(资金台帐!$B$7:$B$3006,$O118))</f>
      </c>
      <c r="K118" s="141">
        <f>IF($O118="","",INDEX(资金台帐!$K$7:$K$3006,$O118))</f>
      </c>
      <c r="L118" s="172">
        <f>IF($O118="","",-INDEX(资金台帐!$S$7:$S$3006,$O118))</f>
      </c>
      <c r="M118" s="141">
        <f>IF($O118="","",INDEX(资金台帐!$C$7:$C$3006,$O118))</f>
      </c>
      <c r="N118" s="142">
        <f>IF($O118="","",INDEX(资金台帐!$E$7:$E$3006,$O118))</f>
      </c>
      <c r="O118" s="78">
        <f>IFERROR(MATCH(115,资金台帐!$R$7:$R$3006,0),"")</f>
      </c>
      <c r="P118" s="2" t="n"/>
      <c r="Q118" s="2" t="n"/>
      <c r="R118" s="2" t="n"/>
      <c r="S118" s="2" t="n"/>
      <c r="T118" s="2" t="n"/>
    </row>
    <row r="119" ht="15" customHeight="1" s="71">
      <c r="A119" s="141">
        <f>IF($G119="","",116)</f>
        <v>116</v>
      </c>
      <c r="B119" s="140">
        <f>IF($G119="","",INDEX(资金台帐!$B$7:$B$3006,$G119))</f>
        <v>46256.0</v>
      </c>
      <c r="C119" s="141" t="str">
        <f>IF($G119="","",INDEX(资金台帐!$J$7:$J$3006,$G119))</f>
        <v>小梅商行</v>
      </c>
      <c r="D119" s="172">
        <f>IF($G119="","",INDEX(资金台帐!$S$7:$S$3006,$G119))</f>
        <v>30000</v>
      </c>
      <c r="E119" s="141" t="str">
        <f>IF($G119="","",INDEX(资金台帐!$C$7:$C$3006,$G119))</f>
        <v>收款码</v>
      </c>
      <c r="F119" s="142" t="str">
        <f>IF($G119="","",INDEX(资金台帐!$E$7:$E$3006,$G119)&amp;IF(INDEX(资金台帐!$M$7:$M$3006,$G119)="","","；"&amp;INDEX(资金台帐!$M$7:$M$3006,$G119)))</f>
        <v>收货款</v>
      </c>
      <c r="G119" s="78">
        <f>IFERROR(MATCH(116,资金台帐!$Q$7:$Q$3006,0),"")</f>
        <v>116</v>
      </c>
      <c r="H119" s="2" t="n"/>
      <c r="I119" s="141">
        <f>IF($O119="","",116)</f>
      </c>
      <c r="J119" s="140">
        <f>IF($O119="","",INDEX(资金台帐!$B$7:$B$3006,$O119))</f>
      </c>
      <c r="K119" s="141">
        <f>IF($O119="","",INDEX(资金台帐!$K$7:$K$3006,$O119))</f>
      </c>
      <c r="L119" s="172">
        <f>IF($O119="","",-INDEX(资金台帐!$S$7:$S$3006,$O119))</f>
      </c>
      <c r="M119" s="141">
        <f>IF($O119="","",INDEX(资金台帐!$C$7:$C$3006,$O119))</f>
      </c>
      <c r="N119" s="142">
        <f>IF($O119="","",INDEX(资金台帐!$E$7:$E$3006,$O119))</f>
      </c>
      <c r="O119" s="78">
        <f>IFERROR(MATCH(116,资金台帐!$R$7:$R$3006,0),"")</f>
      </c>
      <c r="P119" s="2" t="n"/>
      <c r="Q119" s="2" t="n"/>
      <c r="R119" s="2" t="n"/>
      <c r="S119" s="2" t="n"/>
      <c r="T119" s="2" t="n"/>
    </row>
    <row r="120" ht="15" customHeight="1" s="71">
      <c r="A120" s="141">
        <f>IF($G120="","",117)</f>
        <v>117</v>
      </c>
      <c r="B120" s="140">
        <f>IF($G120="","",INDEX(资金台帐!$B$7:$B$3006,$G120))</f>
        <v>46270.0</v>
      </c>
      <c r="C120" s="141" t="str">
        <f>IF($G120="","",INDEX(资金台帐!$J$7:$J$3006,$G120))</f>
        <v>城岗老石商行</v>
      </c>
      <c r="D120" s="172">
        <f>IF($G120="","",INDEX(资金台帐!$S$7:$S$3006,$G120))</f>
        <v>2700</v>
      </c>
      <c r="E120" s="141" t="str">
        <f>IF($G120="","",INDEX(资金台帐!$C$7:$C$3006,$G120))</f>
        <v>收款码</v>
      </c>
      <c r="F120" s="142" t="str">
        <f>IF($G120="","",INDEX(资金台帐!$E$7:$E$3006,$G120)&amp;IF(INDEX(资金台帐!$M$7:$M$3006,$G120)="","","；"&amp;INDEX(资金台帐!$M$7:$M$3006,$G120)))</f>
        <v>收货款</v>
      </c>
      <c r="G120" s="78">
        <f>IFERROR(MATCH(117,资金台帐!$Q$7:$Q$3006,0),"")</f>
        <v>117</v>
      </c>
      <c r="H120" s="2" t="n"/>
      <c r="I120" s="141">
        <f>IF($O120="","",117)</f>
      </c>
      <c r="J120" s="140">
        <f>IF($O120="","",INDEX(资金台帐!$B$7:$B$3006,$O120))</f>
      </c>
      <c r="K120" s="141">
        <f>IF($O120="","",INDEX(资金台帐!$K$7:$K$3006,$O120))</f>
      </c>
      <c r="L120" s="172">
        <f>IF($O120="","",-INDEX(资金台帐!$S$7:$S$3006,$O120))</f>
      </c>
      <c r="M120" s="141">
        <f>IF($O120="","",INDEX(资金台帐!$C$7:$C$3006,$O120))</f>
      </c>
      <c r="N120" s="142">
        <f>IF($O120="","",INDEX(资金台帐!$E$7:$E$3006,$O120))</f>
      </c>
      <c r="O120" s="78">
        <f>IFERROR(MATCH(117,资金台帐!$R$7:$R$3006,0),"")</f>
      </c>
      <c r="P120" s="2" t="n"/>
      <c r="Q120" s="2" t="n"/>
      <c r="R120" s="2" t="n"/>
      <c r="S120" s="2" t="n"/>
      <c r="T120" s="2" t="n"/>
    </row>
    <row r="121" ht="15" customHeight="1" s="71">
      <c r="A121" s="141">
        <f>IF($G121="","",118)</f>
      </c>
      <c r="B121" s="140">
        <f>IF($G121="","",INDEX(资金台帐!$B$7:$B$3006,$G121))</f>
      </c>
      <c r="C121" s="141">
        <f>IF($G121="","",INDEX(资金台帐!$J$7:$J$3006,$G121))</f>
      </c>
      <c r="D121" s="172">
        <f>IF($G121="","",INDEX(资金台帐!$S$7:$S$3006,$G121))</f>
      </c>
      <c r="E121" s="141">
        <f>IF($G121="","",INDEX(资金台帐!$C$7:$C$3006,$G121))</f>
      </c>
      <c r="F121" s="142">
        <f>IF($G121="","",INDEX(资金台帐!$E$7:$E$3006,$G121)&amp;IF(INDEX(资金台帐!$M$7:$M$3006,$G121)="","","；"&amp;INDEX(资金台帐!$M$7:$M$3006,$G121)))</f>
      </c>
      <c r="G121" s="78">
        <f>IFERROR(MATCH(118,资金台帐!$Q$7:$Q$3006,0),"")</f>
      </c>
      <c r="H121" s="2" t="n"/>
      <c r="I121" s="141">
        <f>IF($O121="","",118)</f>
      </c>
      <c r="J121" s="140">
        <f>IF($O121="","",INDEX(资金台帐!$B$7:$B$3006,$O121))</f>
      </c>
      <c r="K121" s="141">
        <f>IF($O121="","",INDEX(资金台帐!$K$7:$K$3006,$O121))</f>
      </c>
      <c r="L121" s="172">
        <f>IF($O121="","",-INDEX(资金台帐!$S$7:$S$3006,$O121))</f>
      </c>
      <c r="M121" s="141">
        <f>IF($O121="","",INDEX(资金台帐!$C$7:$C$3006,$O121))</f>
      </c>
      <c r="N121" s="142">
        <f>IF($O121="","",INDEX(资金台帐!$E$7:$E$3006,$O121))</f>
      </c>
      <c r="O121" s="78">
        <f>IFERROR(MATCH(118,资金台帐!$R$7:$R$3006,0),"")</f>
      </c>
      <c r="P121" s="2" t="n"/>
      <c r="Q121" s="2" t="n"/>
      <c r="R121" s="2" t="n"/>
      <c r="S121" s="2" t="n"/>
      <c r="T121" s="2" t="n"/>
    </row>
    <row r="122" ht="15" customHeight="1" s="71">
      <c r="A122" s="141">
        <f>IF($G122="","",119)</f>
      </c>
      <c r="B122" s="140">
        <f>IF($G122="","",INDEX(资金台帐!$B$7:$B$3006,$G122))</f>
      </c>
      <c r="C122" s="141">
        <f>IF($G122="","",INDEX(资金台帐!$J$7:$J$3006,$G122))</f>
      </c>
      <c r="D122" s="172">
        <f>IF($G122="","",INDEX(资金台帐!$S$7:$S$3006,$G122))</f>
      </c>
      <c r="E122" s="141">
        <f>IF($G122="","",INDEX(资金台帐!$C$7:$C$3006,$G122))</f>
      </c>
      <c r="F122" s="142">
        <f>IF($G122="","",INDEX(资金台帐!$E$7:$E$3006,$G122)&amp;IF(INDEX(资金台帐!$M$7:$M$3006,$G122)="","","；"&amp;INDEX(资金台帐!$M$7:$M$3006,$G122)))</f>
      </c>
      <c r="G122" s="78">
        <f>IFERROR(MATCH(119,资金台帐!$Q$7:$Q$3006,0),"")</f>
      </c>
      <c r="H122" s="2" t="n"/>
      <c r="I122" s="141">
        <f>IF($O122="","",119)</f>
      </c>
      <c r="J122" s="140">
        <f>IF($O122="","",INDEX(资金台帐!$B$7:$B$3006,$O122))</f>
      </c>
      <c r="K122" s="141">
        <f>IF($O122="","",INDEX(资金台帐!$K$7:$K$3006,$O122))</f>
      </c>
      <c r="L122" s="172">
        <f>IF($O122="","",-INDEX(资金台帐!$S$7:$S$3006,$O122))</f>
      </c>
      <c r="M122" s="141">
        <f>IF($O122="","",INDEX(资金台帐!$C$7:$C$3006,$O122))</f>
      </c>
      <c r="N122" s="142">
        <f>IF($O122="","",INDEX(资金台帐!$E$7:$E$3006,$O122))</f>
      </c>
      <c r="O122" s="78">
        <f>IFERROR(MATCH(119,资金台帐!$R$7:$R$3006,0),"")</f>
      </c>
      <c r="P122" s="2" t="n"/>
      <c r="Q122" s="2" t="n"/>
      <c r="R122" s="2" t="n"/>
      <c r="S122" s="2" t="n"/>
      <c r="T122" s="2" t="n"/>
    </row>
    <row r="123" ht="15" customHeight="1" s="71">
      <c r="A123" s="141">
        <f>IF($G123="","",120)</f>
      </c>
      <c r="B123" s="140">
        <f>IF($G123="","",INDEX(资金台帐!$B$7:$B$3006,$G123))</f>
      </c>
      <c r="C123" s="141">
        <f>IF($G123="","",INDEX(资金台帐!$J$7:$J$3006,$G123))</f>
      </c>
      <c r="D123" s="172">
        <f>IF($G123="","",INDEX(资金台帐!$S$7:$S$3006,$G123))</f>
      </c>
      <c r="E123" s="141">
        <f>IF($G123="","",INDEX(资金台帐!$C$7:$C$3006,$G123))</f>
      </c>
      <c r="F123" s="142">
        <f>IF($G123="","",INDEX(资金台帐!$E$7:$E$3006,$G123)&amp;IF(INDEX(资金台帐!$M$7:$M$3006,$G123)="","","；"&amp;INDEX(资金台帐!$M$7:$M$3006,$G123)))</f>
      </c>
      <c r="G123" s="78">
        <f>IFERROR(MATCH(120,资金台帐!$Q$7:$Q$3006,0),"")</f>
      </c>
      <c r="H123" s="2" t="n"/>
      <c r="I123" s="141">
        <f>IF($O123="","",120)</f>
      </c>
      <c r="J123" s="140">
        <f>IF($O123="","",INDEX(资金台帐!$B$7:$B$3006,$O123))</f>
      </c>
      <c r="K123" s="141">
        <f>IF($O123="","",INDEX(资金台帐!$K$7:$K$3006,$O123))</f>
      </c>
      <c r="L123" s="172">
        <f>IF($O123="","",-INDEX(资金台帐!$S$7:$S$3006,$O123))</f>
      </c>
      <c r="M123" s="141">
        <f>IF($O123="","",INDEX(资金台帐!$C$7:$C$3006,$O123))</f>
      </c>
      <c r="N123" s="142">
        <f>IF($O123="","",INDEX(资金台帐!$E$7:$E$3006,$O123))</f>
      </c>
      <c r="O123" s="78">
        <f>IFERROR(MATCH(120,资金台帐!$R$7:$R$3006,0),"")</f>
      </c>
      <c r="P123" s="2" t="n"/>
      <c r="Q123" s="2" t="n"/>
      <c r="R123" s="2" t="n"/>
      <c r="S123" s="2" t="n"/>
      <c r="T123" s="2" t="n"/>
    </row>
    <row r="124" ht="15" customHeight="1" s="71">
      <c r="A124" s="141">
        <f>IF($G124="","",121)</f>
      </c>
      <c r="B124" s="140">
        <f>IF($G124="","",INDEX(资金台帐!$B$7:$B$3006,$G124))</f>
      </c>
      <c r="C124" s="141">
        <f>IF($G124="","",INDEX(资金台帐!$J$7:$J$3006,$G124))</f>
      </c>
      <c r="D124" s="172">
        <f>IF($G124="","",INDEX(资金台帐!$S$7:$S$3006,$G124))</f>
      </c>
      <c r="E124" s="141">
        <f>IF($G124="","",INDEX(资金台帐!$C$7:$C$3006,$G124))</f>
      </c>
      <c r="F124" s="142">
        <f>IF($G124="","",INDEX(资金台帐!$E$7:$E$3006,$G124)&amp;IF(INDEX(资金台帐!$M$7:$M$3006,$G124)="","","；"&amp;INDEX(资金台帐!$M$7:$M$3006,$G124)))</f>
      </c>
      <c r="G124" s="78">
        <f>IFERROR(MATCH(121,资金台帐!$Q$7:$Q$3006,0),"")</f>
      </c>
      <c r="H124" s="2" t="n"/>
      <c r="I124" s="141">
        <f>IF($O124="","",121)</f>
      </c>
      <c r="J124" s="140">
        <f>IF($O124="","",INDEX(资金台帐!$B$7:$B$3006,$O124))</f>
      </c>
      <c r="K124" s="141">
        <f>IF($O124="","",INDEX(资金台帐!$K$7:$K$3006,$O124))</f>
      </c>
      <c r="L124" s="172">
        <f>IF($O124="","",-INDEX(资金台帐!$S$7:$S$3006,$O124))</f>
      </c>
      <c r="M124" s="141">
        <f>IF($O124="","",INDEX(资金台帐!$C$7:$C$3006,$O124))</f>
      </c>
      <c r="N124" s="142">
        <f>IF($O124="","",INDEX(资金台帐!$E$7:$E$3006,$O124))</f>
      </c>
      <c r="O124" s="78">
        <f>IFERROR(MATCH(121,资金台帐!$R$7:$R$3006,0),"")</f>
      </c>
      <c r="P124" s="2" t="n"/>
      <c r="Q124" s="2" t="n"/>
      <c r="R124" s="2" t="n"/>
      <c r="S124" s="2" t="n"/>
      <c r="T124" s="2" t="n"/>
    </row>
    <row r="125" ht="15" customHeight="1" s="71">
      <c r="A125" s="141">
        <f>IF($G125="","",122)</f>
      </c>
      <c r="B125" s="140">
        <f>IF($G125="","",INDEX(资金台帐!$B$7:$B$3006,$G125))</f>
      </c>
      <c r="C125" s="141">
        <f>IF($G125="","",INDEX(资金台帐!$J$7:$J$3006,$G125))</f>
      </c>
      <c r="D125" s="172">
        <f>IF($G125="","",INDEX(资金台帐!$S$7:$S$3006,$G125))</f>
      </c>
      <c r="E125" s="141">
        <f>IF($G125="","",INDEX(资金台帐!$C$7:$C$3006,$G125))</f>
      </c>
      <c r="F125" s="142">
        <f>IF($G125="","",INDEX(资金台帐!$E$7:$E$3006,$G125)&amp;IF(INDEX(资金台帐!$M$7:$M$3006,$G125)="","","；"&amp;INDEX(资金台帐!$M$7:$M$3006,$G125)))</f>
      </c>
      <c r="G125" s="78">
        <f>IFERROR(MATCH(122,资金台帐!$Q$7:$Q$3006,0),"")</f>
      </c>
      <c r="H125" s="2" t="n"/>
      <c r="I125" s="141">
        <f>IF($O125="","",122)</f>
      </c>
      <c r="J125" s="140">
        <f>IF($O125="","",INDEX(资金台帐!$B$7:$B$3006,$O125))</f>
      </c>
      <c r="K125" s="141">
        <f>IF($O125="","",INDEX(资金台帐!$K$7:$K$3006,$O125))</f>
      </c>
      <c r="L125" s="172">
        <f>IF($O125="","",-INDEX(资金台帐!$S$7:$S$3006,$O125))</f>
      </c>
      <c r="M125" s="141">
        <f>IF($O125="","",INDEX(资金台帐!$C$7:$C$3006,$O125))</f>
      </c>
      <c r="N125" s="142">
        <f>IF($O125="","",INDEX(资金台帐!$E$7:$E$3006,$O125))</f>
      </c>
      <c r="O125" s="78">
        <f>IFERROR(MATCH(122,资金台帐!$R$7:$R$3006,0),"")</f>
      </c>
      <c r="P125" s="2" t="n"/>
      <c r="Q125" s="2" t="n"/>
      <c r="R125" s="2" t="n"/>
      <c r="S125" s="2" t="n"/>
      <c r="T125" s="2" t="n"/>
    </row>
    <row r="126" ht="15" customHeight="1" s="71">
      <c r="A126" s="141">
        <f>IF($G126="","",123)</f>
      </c>
      <c r="B126" s="140">
        <f>IF($G126="","",INDEX(资金台帐!$B$7:$B$3006,$G126))</f>
      </c>
      <c r="C126" s="141">
        <f>IF($G126="","",INDEX(资金台帐!$J$7:$J$3006,$G126))</f>
      </c>
      <c r="D126" s="172">
        <f>IF($G126="","",INDEX(资金台帐!$S$7:$S$3006,$G126))</f>
      </c>
      <c r="E126" s="141">
        <f>IF($G126="","",INDEX(资金台帐!$C$7:$C$3006,$G126))</f>
      </c>
      <c r="F126" s="142">
        <f>IF($G126="","",INDEX(资金台帐!$E$7:$E$3006,$G126)&amp;IF(INDEX(资金台帐!$M$7:$M$3006,$G126)="","","；"&amp;INDEX(资金台帐!$M$7:$M$3006,$G126)))</f>
      </c>
      <c r="G126" s="78">
        <f>IFERROR(MATCH(123,资金台帐!$Q$7:$Q$3006,0),"")</f>
      </c>
      <c r="H126" s="2" t="n"/>
      <c r="I126" s="141">
        <f>IF($O126="","",123)</f>
      </c>
      <c r="J126" s="140">
        <f>IF($O126="","",INDEX(资金台帐!$B$7:$B$3006,$O126))</f>
      </c>
      <c r="K126" s="141">
        <f>IF($O126="","",INDEX(资金台帐!$K$7:$K$3006,$O126))</f>
      </c>
      <c r="L126" s="172">
        <f>IF($O126="","",-INDEX(资金台帐!$S$7:$S$3006,$O126))</f>
      </c>
      <c r="M126" s="141">
        <f>IF($O126="","",INDEX(资金台帐!$C$7:$C$3006,$O126))</f>
      </c>
      <c r="N126" s="142">
        <f>IF($O126="","",INDEX(资金台帐!$E$7:$E$3006,$O126))</f>
      </c>
      <c r="O126" s="78">
        <f>IFERROR(MATCH(123,资金台帐!$R$7:$R$3006,0),"")</f>
      </c>
      <c r="P126" s="2" t="n"/>
      <c r="Q126" s="2" t="n"/>
      <c r="R126" s="2" t="n"/>
      <c r="S126" s="2" t="n"/>
      <c r="T126" s="2" t="n"/>
    </row>
    <row r="127" ht="15" customHeight="1" s="71">
      <c r="A127" s="141">
        <f>IF($G127="","",124)</f>
      </c>
      <c r="B127" s="140">
        <f>IF($G127="","",INDEX(资金台帐!$B$7:$B$3006,$G127))</f>
      </c>
      <c r="C127" s="141">
        <f>IF($G127="","",INDEX(资金台帐!$J$7:$J$3006,$G127))</f>
      </c>
      <c r="D127" s="172">
        <f>IF($G127="","",INDEX(资金台帐!$S$7:$S$3006,$G127))</f>
      </c>
      <c r="E127" s="141">
        <f>IF($G127="","",INDEX(资金台帐!$C$7:$C$3006,$G127))</f>
      </c>
      <c r="F127" s="142">
        <f>IF($G127="","",INDEX(资金台帐!$E$7:$E$3006,$G127)&amp;IF(INDEX(资金台帐!$M$7:$M$3006,$G127)="","","；"&amp;INDEX(资金台帐!$M$7:$M$3006,$G127)))</f>
      </c>
      <c r="G127" s="78">
        <f>IFERROR(MATCH(124,资金台帐!$Q$7:$Q$3006,0),"")</f>
      </c>
      <c r="H127" s="2" t="n"/>
      <c r="I127" s="141">
        <f>IF($O127="","",124)</f>
      </c>
      <c r="J127" s="140">
        <f>IF($O127="","",INDEX(资金台帐!$B$7:$B$3006,$O127))</f>
      </c>
      <c r="K127" s="141">
        <f>IF($O127="","",INDEX(资金台帐!$K$7:$K$3006,$O127))</f>
      </c>
      <c r="L127" s="172">
        <f>IF($O127="","",-INDEX(资金台帐!$S$7:$S$3006,$O127))</f>
      </c>
      <c r="M127" s="141">
        <f>IF($O127="","",INDEX(资金台帐!$C$7:$C$3006,$O127))</f>
      </c>
      <c r="N127" s="142">
        <f>IF($O127="","",INDEX(资金台帐!$E$7:$E$3006,$O127))</f>
      </c>
      <c r="O127" s="78">
        <f>IFERROR(MATCH(124,资金台帐!$R$7:$R$3006,0),"")</f>
      </c>
      <c r="P127" s="2" t="n"/>
      <c r="Q127" s="2" t="n"/>
      <c r="R127" s="2" t="n"/>
      <c r="S127" s="2" t="n"/>
      <c r="T127" s="2" t="n"/>
    </row>
    <row r="128" ht="15" customHeight="1" s="71">
      <c r="A128" s="141">
        <f>IF($G128="","",125)</f>
      </c>
      <c r="B128" s="140">
        <f>IF($G128="","",INDEX(资金台帐!$B$7:$B$3006,$G128))</f>
      </c>
      <c r="C128" s="141">
        <f>IF($G128="","",INDEX(资金台帐!$J$7:$J$3006,$G128))</f>
      </c>
      <c r="D128" s="172">
        <f>IF($G128="","",INDEX(资金台帐!$S$7:$S$3006,$G128))</f>
      </c>
      <c r="E128" s="141">
        <f>IF($G128="","",INDEX(资金台帐!$C$7:$C$3006,$G128))</f>
      </c>
      <c r="F128" s="142">
        <f>IF($G128="","",INDEX(资金台帐!$E$7:$E$3006,$G128)&amp;IF(INDEX(资金台帐!$M$7:$M$3006,$G128)="","","；"&amp;INDEX(资金台帐!$M$7:$M$3006,$G128)))</f>
      </c>
      <c r="G128" s="78">
        <f>IFERROR(MATCH(125,资金台帐!$Q$7:$Q$3006,0),"")</f>
      </c>
      <c r="H128" s="2" t="n"/>
      <c r="I128" s="141">
        <f>IF($O128="","",125)</f>
      </c>
      <c r="J128" s="140">
        <f>IF($O128="","",INDEX(资金台帐!$B$7:$B$3006,$O128))</f>
      </c>
      <c r="K128" s="141">
        <f>IF($O128="","",INDEX(资金台帐!$K$7:$K$3006,$O128))</f>
      </c>
      <c r="L128" s="172">
        <f>IF($O128="","",-INDEX(资金台帐!$S$7:$S$3006,$O128))</f>
      </c>
      <c r="M128" s="141">
        <f>IF($O128="","",INDEX(资金台帐!$C$7:$C$3006,$O128))</f>
      </c>
      <c r="N128" s="142">
        <f>IF($O128="","",INDEX(资金台帐!$E$7:$E$3006,$O128))</f>
      </c>
      <c r="O128" s="78">
        <f>IFERROR(MATCH(125,资金台帐!$R$7:$R$3006,0),"")</f>
      </c>
      <c r="P128" s="2" t="n"/>
      <c r="Q128" s="2" t="n"/>
      <c r="R128" s="2" t="n"/>
      <c r="S128" s="2" t="n"/>
      <c r="T128" s="2" t="n"/>
    </row>
    <row r="129" ht="15" customHeight="1" s="71">
      <c r="A129" s="141">
        <f>IF($G129="","",126)</f>
      </c>
      <c r="B129" s="140">
        <f>IF($G129="","",INDEX(资金台帐!$B$7:$B$3006,$G129))</f>
      </c>
      <c r="C129" s="141">
        <f>IF($G129="","",INDEX(资金台帐!$J$7:$J$3006,$G129))</f>
      </c>
      <c r="D129" s="172">
        <f>IF($G129="","",INDEX(资金台帐!$S$7:$S$3006,$G129))</f>
      </c>
      <c r="E129" s="141">
        <f>IF($G129="","",INDEX(资金台帐!$C$7:$C$3006,$G129))</f>
      </c>
      <c r="F129" s="142">
        <f>IF($G129="","",INDEX(资金台帐!$E$7:$E$3006,$G129)&amp;IF(INDEX(资金台帐!$M$7:$M$3006,$G129)="","","；"&amp;INDEX(资金台帐!$M$7:$M$3006,$G129)))</f>
      </c>
      <c r="G129" s="78">
        <f>IFERROR(MATCH(126,资金台帐!$Q$7:$Q$3006,0),"")</f>
      </c>
      <c r="H129" s="2" t="n"/>
      <c r="I129" s="141">
        <f>IF($O129="","",126)</f>
      </c>
      <c r="J129" s="140">
        <f>IF($O129="","",INDEX(资金台帐!$B$7:$B$3006,$O129))</f>
      </c>
      <c r="K129" s="141">
        <f>IF($O129="","",INDEX(资金台帐!$K$7:$K$3006,$O129))</f>
      </c>
      <c r="L129" s="172">
        <f>IF($O129="","",-INDEX(资金台帐!$S$7:$S$3006,$O129))</f>
      </c>
      <c r="M129" s="141">
        <f>IF($O129="","",INDEX(资金台帐!$C$7:$C$3006,$O129))</f>
      </c>
      <c r="N129" s="142">
        <f>IF($O129="","",INDEX(资金台帐!$E$7:$E$3006,$O129))</f>
      </c>
      <c r="O129" s="78">
        <f>IFERROR(MATCH(126,资金台帐!$R$7:$R$3006,0),"")</f>
      </c>
      <c r="P129" s="2" t="n"/>
      <c r="Q129" s="2" t="n"/>
      <c r="R129" s="2" t="n"/>
      <c r="S129" s="2" t="n"/>
      <c r="T129" s="2" t="n"/>
    </row>
    <row r="130" ht="15" customHeight="1" s="71">
      <c r="A130" s="141">
        <f>IF($G130="","",127)</f>
      </c>
      <c r="B130" s="140">
        <f>IF($G130="","",INDEX(资金台帐!$B$7:$B$3006,$G130))</f>
      </c>
      <c r="C130" s="141">
        <f>IF($G130="","",INDEX(资金台帐!$J$7:$J$3006,$G130))</f>
      </c>
      <c r="D130" s="172">
        <f>IF($G130="","",INDEX(资金台帐!$S$7:$S$3006,$G130))</f>
      </c>
      <c r="E130" s="141">
        <f>IF($G130="","",INDEX(资金台帐!$C$7:$C$3006,$G130))</f>
      </c>
      <c r="F130" s="142">
        <f>IF($G130="","",INDEX(资金台帐!$E$7:$E$3006,$G130)&amp;IF(INDEX(资金台帐!$M$7:$M$3006,$G130)="","","；"&amp;INDEX(资金台帐!$M$7:$M$3006,$G130)))</f>
      </c>
      <c r="G130" s="78">
        <f>IFERROR(MATCH(127,资金台帐!$Q$7:$Q$3006,0),"")</f>
      </c>
      <c r="H130" s="2" t="n"/>
      <c r="I130" s="141">
        <f>IF($O130="","",127)</f>
      </c>
      <c r="J130" s="140">
        <f>IF($O130="","",INDEX(资金台帐!$B$7:$B$3006,$O130))</f>
      </c>
      <c r="K130" s="141">
        <f>IF($O130="","",INDEX(资金台帐!$K$7:$K$3006,$O130))</f>
      </c>
      <c r="L130" s="172">
        <f>IF($O130="","",-INDEX(资金台帐!$S$7:$S$3006,$O130))</f>
      </c>
      <c r="M130" s="141">
        <f>IF($O130="","",INDEX(资金台帐!$C$7:$C$3006,$O130))</f>
      </c>
      <c r="N130" s="142">
        <f>IF($O130="","",INDEX(资金台帐!$E$7:$E$3006,$O130))</f>
      </c>
      <c r="O130" s="78">
        <f>IFERROR(MATCH(127,资金台帐!$R$7:$R$3006,0),"")</f>
      </c>
      <c r="P130" s="2" t="n"/>
      <c r="Q130" s="2" t="n"/>
      <c r="R130" s="2" t="n"/>
      <c r="S130" s="2" t="n"/>
      <c r="T130" s="2" t="n"/>
    </row>
    <row r="131" ht="15" customHeight="1" s="71">
      <c r="A131" s="141">
        <f>IF($G131="","",128)</f>
      </c>
      <c r="B131" s="140">
        <f>IF($G131="","",INDEX(资金台帐!$B$7:$B$3006,$G131))</f>
      </c>
      <c r="C131" s="141">
        <f>IF($G131="","",INDEX(资金台帐!$J$7:$J$3006,$G131))</f>
      </c>
      <c r="D131" s="172">
        <f>IF($G131="","",INDEX(资金台帐!$S$7:$S$3006,$G131))</f>
      </c>
      <c r="E131" s="141">
        <f>IF($G131="","",INDEX(资金台帐!$C$7:$C$3006,$G131))</f>
      </c>
      <c r="F131" s="142">
        <f>IF($G131="","",INDEX(资金台帐!$E$7:$E$3006,$G131)&amp;IF(INDEX(资金台帐!$M$7:$M$3006,$G131)="","","；"&amp;INDEX(资金台帐!$M$7:$M$3006,$G131)))</f>
      </c>
      <c r="G131" s="78">
        <f>IFERROR(MATCH(128,资金台帐!$Q$7:$Q$3006,0),"")</f>
      </c>
      <c r="H131" s="2" t="n"/>
      <c r="I131" s="141">
        <f>IF($O131="","",128)</f>
      </c>
      <c r="J131" s="140">
        <f>IF($O131="","",INDEX(资金台帐!$B$7:$B$3006,$O131))</f>
      </c>
      <c r="K131" s="141">
        <f>IF($O131="","",INDEX(资金台帐!$K$7:$K$3006,$O131))</f>
      </c>
      <c r="L131" s="172">
        <f>IF($O131="","",-INDEX(资金台帐!$S$7:$S$3006,$O131))</f>
      </c>
      <c r="M131" s="141">
        <f>IF($O131="","",INDEX(资金台帐!$C$7:$C$3006,$O131))</f>
      </c>
      <c r="N131" s="142">
        <f>IF($O131="","",INDEX(资金台帐!$E$7:$E$3006,$O131))</f>
      </c>
      <c r="O131" s="78">
        <f>IFERROR(MATCH(128,资金台帐!$R$7:$R$3006,0),"")</f>
      </c>
      <c r="P131" s="2" t="n"/>
      <c r="Q131" s="2" t="n"/>
      <c r="R131" s="2" t="n"/>
      <c r="S131" s="2" t="n"/>
      <c r="T131" s="2" t="n"/>
    </row>
    <row r="132" ht="15" customHeight="1" s="71">
      <c r="A132" s="141">
        <f>IF($G132="","",129)</f>
      </c>
      <c r="B132" s="140">
        <f>IF($G132="","",INDEX(资金台帐!$B$7:$B$3006,$G132))</f>
      </c>
      <c r="C132" s="141">
        <f>IF($G132="","",INDEX(资金台帐!$J$7:$J$3006,$G132))</f>
      </c>
      <c r="D132" s="172">
        <f>IF($G132="","",INDEX(资金台帐!$S$7:$S$3006,$G132))</f>
      </c>
      <c r="E132" s="141">
        <f>IF($G132="","",INDEX(资金台帐!$C$7:$C$3006,$G132))</f>
      </c>
      <c r="F132" s="142">
        <f>IF($G132="","",INDEX(资金台帐!$E$7:$E$3006,$G132)&amp;IF(INDEX(资金台帐!$M$7:$M$3006,$G132)="","","；"&amp;INDEX(资金台帐!$M$7:$M$3006,$G132)))</f>
      </c>
      <c r="G132" s="78">
        <f>IFERROR(MATCH(129,资金台帐!$Q$7:$Q$3006,0),"")</f>
      </c>
      <c r="H132" s="2" t="n"/>
      <c r="I132" s="141">
        <f>IF($O132="","",129)</f>
      </c>
      <c r="J132" s="140">
        <f>IF($O132="","",INDEX(资金台帐!$B$7:$B$3006,$O132))</f>
      </c>
      <c r="K132" s="141">
        <f>IF($O132="","",INDEX(资金台帐!$K$7:$K$3006,$O132))</f>
      </c>
      <c r="L132" s="172">
        <f>IF($O132="","",-INDEX(资金台帐!$S$7:$S$3006,$O132))</f>
      </c>
      <c r="M132" s="141">
        <f>IF($O132="","",INDEX(资金台帐!$C$7:$C$3006,$O132))</f>
      </c>
      <c r="N132" s="142">
        <f>IF($O132="","",INDEX(资金台帐!$E$7:$E$3006,$O132))</f>
      </c>
      <c r="O132" s="78">
        <f>IFERROR(MATCH(129,资金台帐!$R$7:$R$3006,0),"")</f>
      </c>
      <c r="P132" s="2" t="n"/>
      <c r="Q132" s="2" t="n"/>
      <c r="R132" s="2" t="n"/>
      <c r="S132" s="2" t="n"/>
      <c r="T132" s="2" t="n"/>
    </row>
    <row r="133" ht="15" customHeight="1" s="71">
      <c r="A133" s="141">
        <f>IF($G133="","",130)</f>
      </c>
      <c r="B133" s="140">
        <f>IF($G133="","",INDEX(资金台帐!$B$7:$B$3006,$G133))</f>
      </c>
      <c r="C133" s="141">
        <f>IF($G133="","",INDEX(资金台帐!$J$7:$J$3006,$G133))</f>
      </c>
      <c r="D133" s="172">
        <f>IF($G133="","",INDEX(资金台帐!$S$7:$S$3006,$G133))</f>
      </c>
      <c r="E133" s="141">
        <f>IF($G133="","",INDEX(资金台帐!$C$7:$C$3006,$G133))</f>
      </c>
      <c r="F133" s="142">
        <f>IF($G133="","",INDEX(资金台帐!$E$7:$E$3006,$G133)&amp;IF(INDEX(资金台帐!$M$7:$M$3006,$G133)="","","；"&amp;INDEX(资金台帐!$M$7:$M$3006,$G133)))</f>
      </c>
      <c r="G133" s="78">
        <f>IFERROR(MATCH(130,资金台帐!$Q$7:$Q$3006,0),"")</f>
      </c>
      <c r="H133" s="2" t="n"/>
      <c r="I133" s="141">
        <f>IF($O133="","",130)</f>
      </c>
      <c r="J133" s="140">
        <f>IF($O133="","",INDEX(资金台帐!$B$7:$B$3006,$O133))</f>
      </c>
      <c r="K133" s="141">
        <f>IF($O133="","",INDEX(资金台帐!$K$7:$K$3006,$O133))</f>
      </c>
      <c r="L133" s="172">
        <f>IF($O133="","",-INDEX(资金台帐!$S$7:$S$3006,$O133))</f>
      </c>
      <c r="M133" s="141">
        <f>IF($O133="","",INDEX(资金台帐!$C$7:$C$3006,$O133))</f>
      </c>
      <c r="N133" s="142">
        <f>IF($O133="","",INDEX(资金台帐!$E$7:$E$3006,$O133))</f>
      </c>
      <c r="O133" s="78">
        <f>IFERROR(MATCH(130,资金台帐!$R$7:$R$3006,0),"")</f>
      </c>
      <c r="P133" s="2" t="n"/>
      <c r="Q133" s="2" t="n"/>
      <c r="R133" s="2" t="n"/>
      <c r="S133" s="2" t="n"/>
      <c r="T133" s="2" t="n"/>
    </row>
    <row r="134" ht="15" customHeight="1" s="71">
      <c r="A134" s="141">
        <f>IF($G134="","",131)</f>
      </c>
      <c r="B134" s="140">
        <f>IF($G134="","",INDEX(资金台帐!$B$7:$B$3006,$G134))</f>
      </c>
      <c r="C134" s="141">
        <f>IF($G134="","",INDEX(资金台帐!$J$7:$J$3006,$G134))</f>
      </c>
      <c r="D134" s="172">
        <f>IF($G134="","",INDEX(资金台帐!$S$7:$S$3006,$G134))</f>
      </c>
      <c r="E134" s="141">
        <f>IF($G134="","",INDEX(资金台帐!$C$7:$C$3006,$G134))</f>
      </c>
      <c r="F134" s="142">
        <f>IF($G134="","",INDEX(资金台帐!$E$7:$E$3006,$G134)&amp;IF(INDEX(资金台帐!$M$7:$M$3006,$G134)="","","；"&amp;INDEX(资金台帐!$M$7:$M$3006,$G134)))</f>
      </c>
      <c r="G134" s="78">
        <f>IFERROR(MATCH(131,资金台帐!$Q$7:$Q$3006,0),"")</f>
      </c>
      <c r="H134" s="2" t="n"/>
      <c r="I134" s="141">
        <f>IF($O134="","",131)</f>
      </c>
      <c r="J134" s="140">
        <f>IF($O134="","",INDEX(资金台帐!$B$7:$B$3006,$O134))</f>
      </c>
      <c r="K134" s="141">
        <f>IF($O134="","",INDEX(资金台帐!$K$7:$K$3006,$O134))</f>
      </c>
      <c r="L134" s="172">
        <f>IF($O134="","",-INDEX(资金台帐!$S$7:$S$3006,$O134))</f>
      </c>
      <c r="M134" s="141">
        <f>IF($O134="","",INDEX(资金台帐!$C$7:$C$3006,$O134))</f>
      </c>
      <c r="N134" s="142">
        <f>IF($O134="","",INDEX(资金台帐!$E$7:$E$3006,$O134))</f>
      </c>
      <c r="O134" s="78">
        <f>IFERROR(MATCH(131,资金台帐!$R$7:$R$3006,0),"")</f>
      </c>
      <c r="P134" s="2" t="n"/>
      <c r="Q134" s="2" t="n"/>
      <c r="R134" s="2" t="n"/>
      <c r="S134" s="2" t="n"/>
      <c r="T134" s="2" t="n"/>
    </row>
    <row r="135" ht="15" customHeight="1" s="71">
      <c r="A135" s="141">
        <f>IF($G135="","",132)</f>
      </c>
      <c r="B135" s="140">
        <f>IF($G135="","",INDEX(资金台帐!$B$7:$B$3006,$G135))</f>
      </c>
      <c r="C135" s="141">
        <f>IF($G135="","",INDEX(资金台帐!$J$7:$J$3006,$G135))</f>
      </c>
      <c r="D135" s="172">
        <f>IF($G135="","",INDEX(资金台帐!$S$7:$S$3006,$G135))</f>
      </c>
      <c r="E135" s="141">
        <f>IF($G135="","",INDEX(资金台帐!$C$7:$C$3006,$G135))</f>
      </c>
      <c r="F135" s="142">
        <f>IF($G135="","",INDEX(资金台帐!$E$7:$E$3006,$G135)&amp;IF(INDEX(资金台帐!$M$7:$M$3006,$G135)="","","；"&amp;INDEX(资金台帐!$M$7:$M$3006,$G135)))</f>
      </c>
      <c r="G135" s="78">
        <f>IFERROR(MATCH(132,资金台帐!$Q$7:$Q$3006,0),"")</f>
      </c>
      <c r="H135" s="2" t="n"/>
      <c r="I135" s="141">
        <f>IF($O135="","",132)</f>
      </c>
      <c r="J135" s="140">
        <f>IF($O135="","",INDEX(资金台帐!$B$7:$B$3006,$O135))</f>
      </c>
      <c r="K135" s="141">
        <f>IF($O135="","",INDEX(资金台帐!$K$7:$K$3006,$O135))</f>
      </c>
      <c r="L135" s="172">
        <f>IF($O135="","",-INDEX(资金台帐!$S$7:$S$3006,$O135))</f>
      </c>
      <c r="M135" s="141">
        <f>IF($O135="","",INDEX(资金台帐!$C$7:$C$3006,$O135))</f>
      </c>
      <c r="N135" s="142">
        <f>IF($O135="","",INDEX(资金台帐!$E$7:$E$3006,$O135))</f>
      </c>
      <c r="O135" s="78">
        <f>IFERROR(MATCH(132,资金台帐!$R$7:$R$3006,0),"")</f>
      </c>
      <c r="P135" s="2" t="n"/>
      <c r="Q135" s="2" t="n"/>
      <c r="R135" s="2" t="n"/>
      <c r="S135" s="2" t="n"/>
      <c r="T135" s="2" t="n"/>
    </row>
    <row r="136" ht="15" customHeight="1" s="71">
      <c r="A136" s="141">
        <f>IF($G136="","",133)</f>
      </c>
      <c r="B136" s="140">
        <f>IF($G136="","",INDEX(资金台帐!$B$7:$B$3006,$G136))</f>
      </c>
      <c r="C136" s="141">
        <f>IF($G136="","",INDEX(资金台帐!$J$7:$J$3006,$G136))</f>
      </c>
      <c r="D136" s="172">
        <f>IF($G136="","",INDEX(资金台帐!$S$7:$S$3006,$G136))</f>
      </c>
      <c r="E136" s="141">
        <f>IF($G136="","",INDEX(资金台帐!$C$7:$C$3006,$G136))</f>
      </c>
      <c r="F136" s="142">
        <f>IF($G136="","",INDEX(资金台帐!$E$7:$E$3006,$G136)&amp;IF(INDEX(资金台帐!$M$7:$M$3006,$G136)="","","；"&amp;INDEX(资金台帐!$M$7:$M$3006,$G136)))</f>
      </c>
      <c r="G136" s="78">
        <f>IFERROR(MATCH(133,资金台帐!$Q$7:$Q$3006,0),"")</f>
      </c>
      <c r="H136" s="2" t="n"/>
      <c r="I136" s="141">
        <f>IF($O136="","",133)</f>
      </c>
      <c r="J136" s="140">
        <f>IF($O136="","",INDEX(资金台帐!$B$7:$B$3006,$O136))</f>
      </c>
      <c r="K136" s="141">
        <f>IF($O136="","",INDEX(资金台帐!$K$7:$K$3006,$O136))</f>
      </c>
      <c r="L136" s="172">
        <f>IF($O136="","",-INDEX(资金台帐!$S$7:$S$3006,$O136))</f>
      </c>
      <c r="M136" s="141">
        <f>IF($O136="","",INDEX(资金台帐!$C$7:$C$3006,$O136))</f>
      </c>
      <c r="N136" s="142">
        <f>IF($O136="","",INDEX(资金台帐!$E$7:$E$3006,$O136))</f>
      </c>
      <c r="O136" s="78">
        <f>IFERROR(MATCH(133,资金台帐!$R$7:$R$3006,0),"")</f>
      </c>
      <c r="P136" s="2" t="n"/>
      <c r="Q136" s="2" t="n"/>
      <c r="R136" s="2" t="n"/>
      <c r="S136" s="2" t="n"/>
      <c r="T136" s="2" t="n"/>
    </row>
    <row r="137" ht="15" customHeight="1" s="71">
      <c r="A137" s="141">
        <f>IF($G137="","",134)</f>
      </c>
      <c r="B137" s="140">
        <f>IF($G137="","",INDEX(资金台帐!$B$7:$B$3006,$G137))</f>
      </c>
      <c r="C137" s="141">
        <f>IF($G137="","",INDEX(资金台帐!$J$7:$J$3006,$G137))</f>
      </c>
      <c r="D137" s="172">
        <f>IF($G137="","",INDEX(资金台帐!$S$7:$S$3006,$G137))</f>
      </c>
      <c r="E137" s="141">
        <f>IF($G137="","",INDEX(资金台帐!$C$7:$C$3006,$G137))</f>
      </c>
      <c r="F137" s="142">
        <f>IF($G137="","",INDEX(资金台帐!$E$7:$E$3006,$G137)&amp;IF(INDEX(资金台帐!$M$7:$M$3006,$G137)="","","；"&amp;INDEX(资金台帐!$M$7:$M$3006,$G137)))</f>
      </c>
      <c r="G137" s="78">
        <f>IFERROR(MATCH(134,资金台帐!$Q$7:$Q$3006,0),"")</f>
      </c>
      <c r="H137" s="2" t="n"/>
      <c r="I137" s="141">
        <f>IF($O137="","",134)</f>
      </c>
      <c r="J137" s="140">
        <f>IF($O137="","",INDEX(资金台帐!$B$7:$B$3006,$O137))</f>
      </c>
      <c r="K137" s="141">
        <f>IF($O137="","",INDEX(资金台帐!$K$7:$K$3006,$O137))</f>
      </c>
      <c r="L137" s="172">
        <f>IF($O137="","",-INDEX(资金台帐!$S$7:$S$3006,$O137))</f>
      </c>
      <c r="M137" s="141">
        <f>IF($O137="","",INDEX(资金台帐!$C$7:$C$3006,$O137))</f>
      </c>
      <c r="N137" s="142">
        <f>IF($O137="","",INDEX(资金台帐!$E$7:$E$3006,$O137))</f>
      </c>
      <c r="O137" s="78">
        <f>IFERROR(MATCH(134,资金台帐!$R$7:$R$3006,0),"")</f>
      </c>
      <c r="P137" s="2" t="n"/>
      <c r="Q137" s="2" t="n"/>
      <c r="R137" s="2" t="n"/>
      <c r="S137" s="2" t="n"/>
      <c r="T137" s="2" t="n"/>
    </row>
    <row r="138" ht="15" customHeight="1" s="71">
      <c r="A138" s="141">
        <f>IF($G138="","",135)</f>
      </c>
      <c r="B138" s="140">
        <f>IF($G138="","",INDEX(资金台帐!$B$7:$B$3006,$G138))</f>
      </c>
      <c r="C138" s="141">
        <f>IF($G138="","",INDEX(资金台帐!$J$7:$J$3006,$G138))</f>
      </c>
      <c r="D138" s="172">
        <f>IF($G138="","",INDEX(资金台帐!$S$7:$S$3006,$G138))</f>
      </c>
      <c r="E138" s="141">
        <f>IF($G138="","",INDEX(资金台帐!$C$7:$C$3006,$G138))</f>
      </c>
      <c r="F138" s="142">
        <f>IF($G138="","",INDEX(资金台帐!$E$7:$E$3006,$G138)&amp;IF(INDEX(资金台帐!$M$7:$M$3006,$G138)="","","；"&amp;INDEX(资金台帐!$M$7:$M$3006,$G138)))</f>
      </c>
      <c r="G138" s="78">
        <f>IFERROR(MATCH(135,资金台帐!$Q$7:$Q$3006,0),"")</f>
      </c>
      <c r="H138" s="2" t="n"/>
      <c r="I138" s="141">
        <f>IF($O138="","",135)</f>
      </c>
      <c r="J138" s="140">
        <f>IF($O138="","",INDEX(资金台帐!$B$7:$B$3006,$O138))</f>
      </c>
      <c r="K138" s="141">
        <f>IF($O138="","",INDEX(资金台帐!$K$7:$K$3006,$O138))</f>
      </c>
      <c r="L138" s="172">
        <f>IF($O138="","",-INDEX(资金台帐!$S$7:$S$3006,$O138))</f>
      </c>
      <c r="M138" s="141">
        <f>IF($O138="","",INDEX(资金台帐!$C$7:$C$3006,$O138))</f>
      </c>
      <c r="N138" s="142">
        <f>IF($O138="","",INDEX(资金台帐!$E$7:$E$3006,$O138))</f>
      </c>
      <c r="O138" s="78">
        <f>IFERROR(MATCH(135,资金台帐!$R$7:$R$3006,0),"")</f>
      </c>
      <c r="P138" s="2" t="n"/>
      <c r="Q138" s="2" t="n"/>
      <c r="R138" s="2" t="n"/>
      <c r="S138" s="2" t="n"/>
      <c r="T138" s="2" t="n"/>
    </row>
    <row r="139" ht="15" customHeight="1" s="71">
      <c r="A139" s="141">
        <f>IF($G139="","",136)</f>
      </c>
      <c r="B139" s="140">
        <f>IF($G139="","",INDEX(资金台帐!$B$7:$B$3006,$G139))</f>
      </c>
      <c r="C139" s="141">
        <f>IF($G139="","",INDEX(资金台帐!$J$7:$J$3006,$G139))</f>
      </c>
      <c r="D139" s="172">
        <f>IF($G139="","",INDEX(资金台帐!$S$7:$S$3006,$G139))</f>
      </c>
      <c r="E139" s="141">
        <f>IF($G139="","",INDEX(资金台帐!$C$7:$C$3006,$G139))</f>
      </c>
      <c r="F139" s="142">
        <f>IF($G139="","",INDEX(资金台帐!$E$7:$E$3006,$G139)&amp;IF(INDEX(资金台帐!$M$7:$M$3006,$G139)="","","；"&amp;INDEX(资金台帐!$M$7:$M$3006,$G139)))</f>
      </c>
      <c r="G139" s="78">
        <f>IFERROR(MATCH(136,资金台帐!$Q$7:$Q$3006,0),"")</f>
      </c>
      <c r="H139" s="2" t="n"/>
      <c r="I139" s="141">
        <f>IF($O139="","",136)</f>
      </c>
      <c r="J139" s="140">
        <f>IF($O139="","",INDEX(资金台帐!$B$7:$B$3006,$O139))</f>
      </c>
      <c r="K139" s="141">
        <f>IF($O139="","",INDEX(资金台帐!$K$7:$K$3006,$O139))</f>
      </c>
      <c r="L139" s="172">
        <f>IF($O139="","",-INDEX(资金台帐!$S$7:$S$3006,$O139))</f>
      </c>
      <c r="M139" s="141">
        <f>IF($O139="","",INDEX(资金台帐!$C$7:$C$3006,$O139))</f>
      </c>
      <c r="N139" s="142">
        <f>IF($O139="","",INDEX(资金台帐!$E$7:$E$3006,$O139))</f>
      </c>
      <c r="O139" s="78">
        <f>IFERROR(MATCH(136,资金台帐!$R$7:$R$3006,0),"")</f>
      </c>
      <c r="P139" s="2" t="n"/>
      <c r="Q139" s="2" t="n"/>
      <c r="R139" s="2" t="n"/>
      <c r="S139" s="2" t="n"/>
      <c r="T139" s="2" t="n"/>
    </row>
    <row r="140" ht="15" customHeight="1" s="71">
      <c r="A140" s="141">
        <f>IF($G140="","",137)</f>
      </c>
      <c r="B140" s="140">
        <f>IF($G140="","",INDEX(资金台帐!$B$7:$B$3006,$G140))</f>
      </c>
      <c r="C140" s="141">
        <f>IF($G140="","",INDEX(资金台帐!$J$7:$J$3006,$G140))</f>
      </c>
      <c r="D140" s="172">
        <f>IF($G140="","",INDEX(资金台帐!$S$7:$S$3006,$G140))</f>
      </c>
      <c r="E140" s="141">
        <f>IF($G140="","",INDEX(资金台帐!$C$7:$C$3006,$G140))</f>
      </c>
      <c r="F140" s="142">
        <f>IF($G140="","",INDEX(资金台帐!$E$7:$E$3006,$G140)&amp;IF(INDEX(资金台帐!$M$7:$M$3006,$G140)="","","；"&amp;INDEX(资金台帐!$M$7:$M$3006,$G140)))</f>
      </c>
      <c r="G140" s="78">
        <f>IFERROR(MATCH(137,资金台帐!$Q$7:$Q$3006,0),"")</f>
      </c>
      <c r="H140" s="2" t="n"/>
      <c r="I140" s="141">
        <f>IF($O140="","",137)</f>
      </c>
      <c r="J140" s="140">
        <f>IF($O140="","",INDEX(资金台帐!$B$7:$B$3006,$O140))</f>
      </c>
      <c r="K140" s="141">
        <f>IF($O140="","",INDEX(资金台帐!$K$7:$K$3006,$O140))</f>
      </c>
      <c r="L140" s="172">
        <f>IF($O140="","",-INDEX(资金台帐!$S$7:$S$3006,$O140))</f>
      </c>
      <c r="M140" s="141">
        <f>IF($O140="","",INDEX(资金台帐!$C$7:$C$3006,$O140))</f>
      </c>
      <c r="N140" s="142">
        <f>IF($O140="","",INDEX(资金台帐!$E$7:$E$3006,$O140))</f>
      </c>
      <c r="O140" s="78">
        <f>IFERROR(MATCH(137,资金台帐!$R$7:$R$3006,0),"")</f>
      </c>
      <c r="P140" s="2" t="n"/>
      <c r="Q140" s="2" t="n"/>
      <c r="R140" s="2" t="n"/>
      <c r="S140" s="2" t="n"/>
      <c r="T140" s="2" t="n"/>
    </row>
    <row r="141" ht="15" customHeight="1" s="71">
      <c r="A141" s="141">
        <f>IF($G141="","",138)</f>
      </c>
      <c r="B141" s="140">
        <f>IF($G141="","",INDEX(资金台帐!$B$7:$B$3006,$G141))</f>
      </c>
      <c r="C141" s="141">
        <f>IF($G141="","",INDEX(资金台帐!$J$7:$J$3006,$G141))</f>
      </c>
      <c r="D141" s="172">
        <f>IF($G141="","",INDEX(资金台帐!$S$7:$S$3006,$G141))</f>
      </c>
      <c r="E141" s="141">
        <f>IF($G141="","",INDEX(资金台帐!$C$7:$C$3006,$G141))</f>
      </c>
      <c r="F141" s="142">
        <f>IF($G141="","",INDEX(资金台帐!$E$7:$E$3006,$G141)&amp;IF(INDEX(资金台帐!$M$7:$M$3006,$G141)="","","；"&amp;INDEX(资金台帐!$M$7:$M$3006,$G141)))</f>
      </c>
      <c r="G141" s="78">
        <f>IFERROR(MATCH(138,资金台帐!$Q$7:$Q$3006,0),"")</f>
      </c>
      <c r="H141" s="2" t="n"/>
      <c r="I141" s="141">
        <f>IF($O141="","",138)</f>
      </c>
      <c r="J141" s="140">
        <f>IF($O141="","",INDEX(资金台帐!$B$7:$B$3006,$O141))</f>
      </c>
      <c r="K141" s="141">
        <f>IF($O141="","",INDEX(资金台帐!$K$7:$K$3006,$O141))</f>
      </c>
      <c r="L141" s="172">
        <f>IF($O141="","",-INDEX(资金台帐!$S$7:$S$3006,$O141))</f>
      </c>
      <c r="M141" s="141">
        <f>IF($O141="","",INDEX(资金台帐!$C$7:$C$3006,$O141))</f>
      </c>
      <c r="N141" s="142">
        <f>IF($O141="","",INDEX(资金台帐!$E$7:$E$3006,$O141))</f>
      </c>
      <c r="O141" s="78">
        <f>IFERROR(MATCH(138,资金台帐!$R$7:$R$3006,0),"")</f>
      </c>
      <c r="P141" s="2" t="n"/>
      <c r="Q141" s="2" t="n"/>
      <c r="R141" s="2" t="n"/>
      <c r="S141" s="2" t="n"/>
      <c r="T141" s="2" t="n"/>
    </row>
    <row r="142" ht="15" customHeight="1" s="71">
      <c r="A142" s="141">
        <f>IF($G142="","",139)</f>
      </c>
      <c r="B142" s="140">
        <f>IF($G142="","",INDEX(资金台帐!$B$7:$B$3006,$G142))</f>
      </c>
      <c r="C142" s="141">
        <f>IF($G142="","",INDEX(资金台帐!$J$7:$J$3006,$G142))</f>
      </c>
      <c r="D142" s="172">
        <f>IF($G142="","",INDEX(资金台帐!$S$7:$S$3006,$G142))</f>
      </c>
      <c r="E142" s="141">
        <f>IF($G142="","",INDEX(资金台帐!$C$7:$C$3006,$G142))</f>
      </c>
      <c r="F142" s="142">
        <f>IF($G142="","",INDEX(资金台帐!$E$7:$E$3006,$G142)&amp;IF(INDEX(资金台帐!$M$7:$M$3006,$G142)="","","；"&amp;INDEX(资金台帐!$M$7:$M$3006,$G142)))</f>
      </c>
      <c r="G142" s="78">
        <f>IFERROR(MATCH(139,资金台帐!$Q$7:$Q$3006,0),"")</f>
      </c>
      <c r="H142" s="2" t="n"/>
      <c r="I142" s="141">
        <f>IF($O142="","",139)</f>
      </c>
      <c r="J142" s="140">
        <f>IF($O142="","",INDEX(资金台帐!$B$7:$B$3006,$O142))</f>
      </c>
      <c r="K142" s="141">
        <f>IF($O142="","",INDEX(资金台帐!$K$7:$K$3006,$O142))</f>
      </c>
      <c r="L142" s="172">
        <f>IF($O142="","",-INDEX(资金台帐!$S$7:$S$3006,$O142))</f>
      </c>
      <c r="M142" s="141">
        <f>IF($O142="","",INDEX(资金台帐!$C$7:$C$3006,$O142))</f>
      </c>
      <c r="N142" s="142">
        <f>IF($O142="","",INDEX(资金台帐!$E$7:$E$3006,$O142))</f>
      </c>
      <c r="O142" s="78">
        <f>IFERROR(MATCH(139,资金台帐!$R$7:$R$3006,0),"")</f>
      </c>
      <c r="P142" s="2" t="n"/>
      <c r="Q142" s="2" t="n"/>
      <c r="R142" s="2" t="n"/>
      <c r="S142" s="2" t="n"/>
      <c r="T142" s="2" t="n"/>
    </row>
    <row r="143" ht="15" customHeight="1" s="71">
      <c r="A143" s="141">
        <f>IF($G143="","",140)</f>
      </c>
      <c r="B143" s="140">
        <f>IF($G143="","",INDEX(资金台帐!$B$7:$B$3006,$G143))</f>
      </c>
      <c r="C143" s="141">
        <f>IF($G143="","",INDEX(资金台帐!$J$7:$J$3006,$G143))</f>
      </c>
      <c r="D143" s="172">
        <f>IF($G143="","",INDEX(资金台帐!$S$7:$S$3006,$G143))</f>
      </c>
      <c r="E143" s="141">
        <f>IF($G143="","",INDEX(资金台帐!$C$7:$C$3006,$G143))</f>
      </c>
      <c r="F143" s="142">
        <f>IF($G143="","",INDEX(资金台帐!$E$7:$E$3006,$G143)&amp;IF(INDEX(资金台帐!$M$7:$M$3006,$G143)="","","；"&amp;INDEX(资金台帐!$M$7:$M$3006,$G143)))</f>
      </c>
      <c r="G143" s="78">
        <f>IFERROR(MATCH(140,资金台帐!$Q$7:$Q$3006,0),"")</f>
      </c>
      <c r="H143" s="2" t="n"/>
      <c r="I143" s="141">
        <f>IF($O143="","",140)</f>
      </c>
      <c r="J143" s="140">
        <f>IF($O143="","",INDEX(资金台帐!$B$7:$B$3006,$O143))</f>
      </c>
      <c r="K143" s="141">
        <f>IF($O143="","",INDEX(资金台帐!$K$7:$K$3006,$O143))</f>
      </c>
      <c r="L143" s="172">
        <f>IF($O143="","",-INDEX(资金台帐!$S$7:$S$3006,$O143))</f>
      </c>
      <c r="M143" s="141">
        <f>IF($O143="","",INDEX(资金台帐!$C$7:$C$3006,$O143))</f>
      </c>
      <c r="N143" s="142">
        <f>IF($O143="","",INDEX(资金台帐!$E$7:$E$3006,$O143))</f>
      </c>
      <c r="O143" s="78">
        <f>IFERROR(MATCH(140,资金台帐!$R$7:$R$3006,0),"")</f>
      </c>
      <c r="P143" s="2" t="n"/>
      <c r="Q143" s="2" t="n"/>
      <c r="R143" s="2" t="n"/>
      <c r="S143" s="2" t="n"/>
      <c r="T143" s="2" t="n"/>
    </row>
    <row r="144" ht="15" customHeight="1" s="71">
      <c r="A144" s="141">
        <f>IF($G144="","",141)</f>
      </c>
      <c r="B144" s="140">
        <f>IF($G144="","",INDEX(资金台帐!$B$7:$B$3006,$G144))</f>
      </c>
      <c r="C144" s="141">
        <f>IF($G144="","",INDEX(资金台帐!$J$7:$J$3006,$G144))</f>
      </c>
      <c r="D144" s="172">
        <f>IF($G144="","",INDEX(资金台帐!$S$7:$S$3006,$G144))</f>
      </c>
      <c r="E144" s="141">
        <f>IF($G144="","",INDEX(资金台帐!$C$7:$C$3006,$G144))</f>
      </c>
      <c r="F144" s="142">
        <f>IF($G144="","",INDEX(资金台帐!$E$7:$E$3006,$G144)&amp;IF(INDEX(资金台帐!$M$7:$M$3006,$G144)="","","；"&amp;INDEX(资金台帐!$M$7:$M$3006,$G144)))</f>
      </c>
      <c r="G144" s="78">
        <f>IFERROR(MATCH(141,资金台帐!$Q$7:$Q$3006,0),"")</f>
      </c>
      <c r="H144" s="2" t="n"/>
      <c r="I144" s="141">
        <f>IF($O144="","",141)</f>
      </c>
      <c r="J144" s="140">
        <f>IF($O144="","",INDEX(资金台帐!$B$7:$B$3006,$O144))</f>
      </c>
      <c r="K144" s="141">
        <f>IF($O144="","",INDEX(资金台帐!$K$7:$K$3006,$O144))</f>
      </c>
      <c r="L144" s="172">
        <f>IF($O144="","",-INDEX(资金台帐!$S$7:$S$3006,$O144))</f>
      </c>
      <c r="M144" s="141">
        <f>IF($O144="","",INDEX(资金台帐!$C$7:$C$3006,$O144))</f>
      </c>
      <c r="N144" s="142">
        <f>IF($O144="","",INDEX(资金台帐!$E$7:$E$3006,$O144))</f>
      </c>
      <c r="O144" s="78">
        <f>IFERROR(MATCH(141,资金台帐!$R$7:$R$3006,0),"")</f>
      </c>
      <c r="P144" s="2" t="n"/>
      <c r="Q144" s="2" t="n"/>
      <c r="R144" s="2" t="n"/>
      <c r="S144" s="2" t="n"/>
      <c r="T144" s="2" t="n"/>
    </row>
    <row r="145" ht="15" customHeight="1" s="71">
      <c r="A145" s="141">
        <f>IF($G145="","",142)</f>
      </c>
      <c r="B145" s="140">
        <f>IF($G145="","",INDEX(资金台帐!$B$7:$B$3006,$G145))</f>
      </c>
      <c r="C145" s="141">
        <f>IF($G145="","",INDEX(资金台帐!$J$7:$J$3006,$G145))</f>
      </c>
      <c r="D145" s="172">
        <f>IF($G145="","",INDEX(资金台帐!$S$7:$S$3006,$G145))</f>
      </c>
      <c r="E145" s="141">
        <f>IF($G145="","",INDEX(资金台帐!$C$7:$C$3006,$G145))</f>
      </c>
      <c r="F145" s="142">
        <f>IF($G145="","",INDEX(资金台帐!$E$7:$E$3006,$G145)&amp;IF(INDEX(资金台帐!$M$7:$M$3006,$G145)="","","；"&amp;INDEX(资金台帐!$M$7:$M$3006,$G145)))</f>
      </c>
      <c r="G145" s="78">
        <f>IFERROR(MATCH(142,资金台帐!$Q$7:$Q$3006,0),"")</f>
      </c>
      <c r="H145" s="2" t="n"/>
      <c r="I145" s="141">
        <f>IF($O145="","",142)</f>
      </c>
      <c r="J145" s="140">
        <f>IF($O145="","",INDEX(资金台帐!$B$7:$B$3006,$O145))</f>
      </c>
      <c r="K145" s="141">
        <f>IF($O145="","",INDEX(资金台帐!$K$7:$K$3006,$O145))</f>
      </c>
      <c r="L145" s="172">
        <f>IF($O145="","",-INDEX(资金台帐!$S$7:$S$3006,$O145))</f>
      </c>
      <c r="M145" s="141">
        <f>IF($O145="","",INDEX(资金台帐!$C$7:$C$3006,$O145))</f>
      </c>
      <c r="N145" s="142">
        <f>IF($O145="","",INDEX(资金台帐!$E$7:$E$3006,$O145))</f>
      </c>
      <c r="O145" s="78">
        <f>IFERROR(MATCH(142,资金台帐!$R$7:$R$3006,0),"")</f>
      </c>
      <c r="P145" s="2" t="n"/>
      <c r="Q145" s="2" t="n"/>
      <c r="R145" s="2" t="n"/>
      <c r="S145" s="2" t="n"/>
      <c r="T145" s="2" t="n"/>
    </row>
    <row r="146" ht="15" customHeight="1" s="71">
      <c r="A146" s="141">
        <f>IF($G146="","",143)</f>
      </c>
      <c r="B146" s="140">
        <f>IF($G146="","",INDEX(资金台帐!$B$7:$B$3006,$G146))</f>
      </c>
      <c r="C146" s="141">
        <f>IF($G146="","",INDEX(资金台帐!$J$7:$J$3006,$G146))</f>
      </c>
      <c r="D146" s="172">
        <f>IF($G146="","",INDEX(资金台帐!$S$7:$S$3006,$G146))</f>
      </c>
      <c r="E146" s="141">
        <f>IF($G146="","",INDEX(资金台帐!$C$7:$C$3006,$G146))</f>
      </c>
      <c r="F146" s="142">
        <f>IF($G146="","",INDEX(资金台帐!$E$7:$E$3006,$G146)&amp;IF(INDEX(资金台帐!$M$7:$M$3006,$G146)="","","；"&amp;INDEX(资金台帐!$M$7:$M$3006,$G146)))</f>
      </c>
      <c r="G146" s="78">
        <f>IFERROR(MATCH(143,资金台帐!$Q$7:$Q$3006,0),"")</f>
      </c>
      <c r="H146" s="2" t="n"/>
      <c r="I146" s="141">
        <f>IF($O146="","",143)</f>
      </c>
      <c r="J146" s="140">
        <f>IF($O146="","",INDEX(资金台帐!$B$7:$B$3006,$O146))</f>
      </c>
      <c r="K146" s="141">
        <f>IF($O146="","",INDEX(资金台帐!$K$7:$K$3006,$O146))</f>
      </c>
      <c r="L146" s="172">
        <f>IF($O146="","",-INDEX(资金台帐!$S$7:$S$3006,$O146))</f>
      </c>
      <c r="M146" s="141">
        <f>IF($O146="","",INDEX(资金台帐!$C$7:$C$3006,$O146))</f>
      </c>
      <c r="N146" s="142">
        <f>IF($O146="","",INDEX(资金台帐!$E$7:$E$3006,$O146))</f>
      </c>
      <c r="O146" s="78">
        <f>IFERROR(MATCH(143,资金台帐!$R$7:$R$3006,0),"")</f>
      </c>
      <c r="P146" s="2" t="n"/>
      <c r="Q146" s="2" t="n"/>
      <c r="R146" s="2" t="n"/>
      <c r="S146" s="2" t="n"/>
      <c r="T146" s="2" t="n"/>
    </row>
    <row r="147" ht="15" customHeight="1" s="71">
      <c r="A147" s="141">
        <f>IF($G147="","",144)</f>
      </c>
      <c r="B147" s="140">
        <f>IF($G147="","",INDEX(资金台帐!$B$7:$B$3006,$G147))</f>
      </c>
      <c r="C147" s="141">
        <f>IF($G147="","",INDEX(资金台帐!$J$7:$J$3006,$G147))</f>
      </c>
      <c r="D147" s="172">
        <f>IF($G147="","",INDEX(资金台帐!$S$7:$S$3006,$G147))</f>
      </c>
      <c r="E147" s="141">
        <f>IF($G147="","",INDEX(资金台帐!$C$7:$C$3006,$G147))</f>
      </c>
      <c r="F147" s="142">
        <f>IF($G147="","",INDEX(资金台帐!$E$7:$E$3006,$G147)&amp;IF(INDEX(资金台帐!$M$7:$M$3006,$G147)="","","；"&amp;INDEX(资金台帐!$M$7:$M$3006,$G147)))</f>
      </c>
      <c r="G147" s="78">
        <f>IFERROR(MATCH(144,资金台帐!$Q$7:$Q$3006,0),"")</f>
      </c>
      <c r="H147" s="2" t="n"/>
      <c r="I147" s="141">
        <f>IF($O147="","",144)</f>
      </c>
      <c r="J147" s="140">
        <f>IF($O147="","",INDEX(资金台帐!$B$7:$B$3006,$O147))</f>
      </c>
      <c r="K147" s="141">
        <f>IF($O147="","",INDEX(资金台帐!$K$7:$K$3006,$O147))</f>
      </c>
      <c r="L147" s="172">
        <f>IF($O147="","",-INDEX(资金台帐!$S$7:$S$3006,$O147))</f>
      </c>
      <c r="M147" s="141">
        <f>IF($O147="","",INDEX(资金台帐!$C$7:$C$3006,$O147))</f>
      </c>
      <c r="N147" s="142">
        <f>IF($O147="","",INDEX(资金台帐!$E$7:$E$3006,$O147))</f>
      </c>
      <c r="O147" s="78">
        <f>IFERROR(MATCH(144,资金台帐!$R$7:$R$3006,0),"")</f>
      </c>
      <c r="P147" s="2" t="n"/>
      <c r="Q147" s="2" t="n"/>
      <c r="R147" s="2" t="n"/>
      <c r="S147" s="2" t="n"/>
      <c r="T147" s="2" t="n"/>
    </row>
    <row r="148" ht="15" customHeight="1" s="71">
      <c r="A148" s="141">
        <f>IF($G148="","",145)</f>
      </c>
      <c r="B148" s="140">
        <f>IF($G148="","",INDEX(资金台帐!$B$7:$B$3006,$G148))</f>
      </c>
      <c r="C148" s="141">
        <f>IF($G148="","",INDEX(资金台帐!$J$7:$J$3006,$G148))</f>
      </c>
      <c r="D148" s="172">
        <f>IF($G148="","",INDEX(资金台帐!$S$7:$S$3006,$G148))</f>
      </c>
      <c r="E148" s="141">
        <f>IF($G148="","",INDEX(资金台帐!$C$7:$C$3006,$G148))</f>
      </c>
      <c r="F148" s="142">
        <f>IF($G148="","",INDEX(资金台帐!$E$7:$E$3006,$G148)&amp;IF(INDEX(资金台帐!$M$7:$M$3006,$G148)="","","；"&amp;INDEX(资金台帐!$M$7:$M$3006,$G148)))</f>
      </c>
      <c r="G148" s="78">
        <f>IFERROR(MATCH(145,资金台帐!$Q$7:$Q$3006,0),"")</f>
      </c>
      <c r="H148" s="2" t="n"/>
      <c r="I148" s="141">
        <f>IF($O148="","",145)</f>
      </c>
      <c r="J148" s="140">
        <f>IF($O148="","",INDEX(资金台帐!$B$7:$B$3006,$O148))</f>
      </c>
      <c r="K148" s="141">
        <f>IF($O148="","",INDEX(资金台帐!$K$7:$K$3006,$O148))</f>
      </c>
      <c r="L148" s="172">
        <f>IF($O148="","",-INDEX(资金台帐!$S$7:$S$3006,$O148))</f>
      </c>
      <c r="M148" s="141">
        <f>IF($O148="","",INDEX(资金台帐!$C$7:$C$3006,$O148))</f>
      </c>
      <c r="N148" s="142">
        <f>IF($O148="","",INDEX(资金台帐!$E$7:$E$3006,$O148))</f>
      </c>
      <c r="O148" s="78">
        <f>IFERROR(MATCH(145,资金台帐!$R$7:$R$3006,0),"")</f>
      </c>
      <c r="P148" s="2" t="n"/>
      <c r="Q148" s="2" t="n"/>
      <c r="R148" s="2" t="n"/>
      <c r="S148" s="2" t="n"/>
      <c r="T148" s="2" t="n"/>
    </row>
    <row r="149" ht="15" customHeight="1" s="71">
      <c r="A149" s="141">
        <f>IF($G149="","",146)</f>
      </c>
      <c r="B149" s="140">
        <f>IF($G149="","",INDEX(资金台帐!$B$7:$B$3006,$G149))</f>
      </c>
      <c r="C149" s="141">
        <f>IF($G149="","",INDEX(资金台帐!$J$7:$J$3006,$G149))</f>
      </c>
      <c r="D149" s="172">
        <f>IF($G149="","",INDEX(资金台帐!$S$7:$S$3006,$G149))</f>
      </c>
      <c r="E149" s="141">
        <f>IF($G149="","",INDEX(资金台帐!$C$7:$C$3006,$G149))</f>
      </c>
      <c r="F149" s="142">
        <f>IF($G149="","",INDEX(资金台帐!$E$7:$E$3006,$G149)&amp;IF(INDEX(资金台帐!$M$7:$M$3006,$G149)="","","；"&amp;INDEX(资金台帐!$M$7:$M$3006,$G149)))</f>
      </c>
      <c r="G149" s="78">
        <f>IFERROR(MATCH(146,资金台帐!$Q$7:$Q$3006,0),"")</f>
      </c>
      <c r="H149" s="2" t="n"/>
      <c r="I149" s="141">
        <f>IF($O149="","",146)</f>
      </c>
      <c r="J149" s="140">
        <f>IF($O149="","",INDEX(资金台帐!$B$7:$B$3006,$O149))</f>
      </c>
      <c r="K149" s="141">
        <f>IF($O149="","",INDEX(资金台帐!$K$7:$K$3006,$O149))</f>
      </c>
      <c r="L149" s="172">
        <f>IF($O149="","",-INDEX(资金台帐!$S$7:$S$3006,$O149))</f>
      </c>
      <c r="M149" s="141">
        <f>IF($O149="","",INDEX(资金台帐!$C$7:$C$3006,$O149))</f>
      </c>
      <c r="N149" s="142">
        <f>IF($O149="","",INDEX(资金台帐!$E$7:$E$3006,$O149))</f>
      </c>
      <c r="O149" s="78">
        <f>IFERROR(MATCH(146,资金台帐!$R$7:$R$3006,0),"")</f>
      </c>
      <c r="P149" s="2" t="n"/>
      <c r="Q149" s="2" t="n"/>
      <c r="R149" s="2" t="n"/>
      <c r="S149" s="2" t="n"/>
      <c r="T149" s="2" t="n"/>
    </row>
    <row r="150" ht="15" customHeight="1" s="71">
      <c r="A150" s="141">
        <f>IF($G150="","",147)</f>
      </c>
      <c r="B150" s="140">
        <f>IF($G150="","",INDEX(资金台帐!$B$7:$B$3006,$G150))</f>
      </c>
      <c r="C150" s="141">
        <f>IF($G150="","",INDEX(资金台帐!$J$7:$J$3006,$G150))</f>
      </c>
      <c r="D150" s="172">
        <f>IF($G150="","",INDEX(资金台帐!$S$7:$S$3006,$G150))</f>
      </c>
      <c r="E150" s="141">
        <f>IF($G150="","",INDEX(资金台帐!$C$7:$C$3006,$G150))</f>
      </c>
      <c r="F150" s="142">
        <f>IF($G150="","",INDEX(资金台帐!$E$7:$E$3006,$G150)&amp;IF(INDEX(资金台帐!$M$7:$M$3006,$G150)="","","；"&amp;INDEX(资金台帐!$M$7:$M$3006,$G150)))</f>
      </c>
      <c r="G150" s="78">
        <f>IFERROR(MATCH(147,资金台帐!$Q$7:$Q$3006,0),"")</f>
      </c>
      <c r="H150" s="2" t="n"/>
      <c r="I150" s="141">
        <f>IF($O150="","",147)</f>
      </c>
      <c r="J150" s="140">
        <f>IF($O150="","",INDEX(资金台帐!$B$7:$B$3006,$O150))</f>
      </c>
      <c r="K150" s="141">
        <f>IF($O150="","",INDEX(资金台帐!$K$7:$K$3006,$O150))</f>
      </c>
      <c r="L150" s="172">
        <f>IF($O150="","",-INDEX(资金台帐!$S$7:$S$3006,$O150))</f>
      </c>
      <c r="M150" s="141">
        <f>IF($O150="","",INDEX(资金台帐!$C$7:$C$3006,$O150))</f>
      </c>
      <c r="N150" s="142">
        <f>IF($O150="","",INDEX(资金台帐!$E$7:$E$3006,$O150))</f>
      </c>
      <c r="O150" s="78">
        <f>IFERROR(MATCH(147,资金台帐!$R$7:$R$3006,0),"")</f>
      </c>
      <c r="P150" s="2" t="n"/>
      <c r="Q150" s="2" t="n"/>
      <c r="R150" s="2" t="n"/>
      <c r="S150" s="2" t="n"/>
      <c r="T150" s="2" t="n"/>
    </row>
    <row r="151" ht="15" customHeight="1" s="71">
      <c r="A151" s="141">
        <f>IF($G151="","",148)</f>
      </c>
      <c r="B151" s="140">
        <f>IF($G151="","",INDEX(资金台帐!$B$7:$B$3006,$G151))</f>
      </c>
      <c r="C151" s="141">
        <f>IF($G151="","",INDEX(资金台帐!$J$7:$J$3006,$G151))</f>
      </c>
      <c r="D151" s="172">
        <f>IF($G151="","",INDEX(资金台帐!$S$7:$S$3006,$G151))</f>
      </c>
      <c r="E151" s="141">
        <f>IF($G151="","",INDEX(资金台帐!$C$7:$C$3006,$G151))</f>
      </c>
      <c r="F151" s="142">
        <f>IF($G151="","",INDEX(资金台帐!$E$7:$E$3006,$G151)&amp;IF(INDEX(资金台帐!$M$7:$M$3006,$G151)="","","；"&amp;INDEX(资金台帐!$M$7:$M$3006,$G151)))</f>
      </c>
      <c r="G151" s="78">
        <f>IFERROR(MATCH(148,资金台帐!$Q$7:$Q$3006,0),"")</f>
      </c>
      <c r="H151" s="2" t="n"/>
      <c r="I151" s="141">
        <f>IF($O151="","",148)</f>
      </c>
      <c r="J151" s="140">
        <f>IF($O151="","",INDEX(资金台帐!$B$7:$B$3006,$O151))</f>
      </c>
      <c r="K151" s="141">
        <f>IF($O151="","",INDEX(资金台帐!$K$7:$K$3006,$O151))</f>
      </c>
      <c r="L151" s="172">
        <f>IF($O151="","",-INDEX(资金台帐!$S$7:$S$3006,$O151))</f>
      </c>
      <c r="M151" s="141">
        <f>IF($O151="","",INDEX(资金台帐!$C$7:$C$3006,$O151))</f>
      </c>
      <c r="N151" s="142">
        <f>IF($O151="","",INDEX(资金台帐!$E$7:$E$3006,$O151))</f>
      </c>
      <c r="O151" s="78">
        <f>IFERROR(MATCH(148,资金台帐!$R$7:$R$3006,0),"")</f>
      </c>
      <c r="P151" s="2" t="n"/>
      <c r="Q151" s="2" t="n"/>
      <c r="R151" s="2" t="n"/>
      <c r="S151" s="2" t="n"/>
      <c r="T151" s="2" t="n"/>
    </row>
    <row r="152" ht="15" customHeight="1" s="71">
      <c r="A152" s="141">
        <f>IF($G152="","",149)</f>
      </c>
      <c r="B152" s="140">
        <f>IF($G152="","",INDEX(资金台帐!$B$7:$B$3006,$G152))</f>
      </c>
      <c r="C152" s="141">
        <f>IF($G152="","",INDEX(资金台帐!$J$7:$J$3006,$G152))</f>
      </c>
      <c r="D152" s="172">
        <f>IF($G152="","",INDEX(资金台帐!$S$7:$S$3006,$G152))</f>
      </c>
      <c r="E152" s="141">
        <f>IF($G152="","",INDEX(资金台帐!$C$7:$C$3006,$G152))</f>
      </c>
      <c r="F152" s="142">
        <f>IF($G152="","",INDEX(资金台帐!$E$7:$E$3006,$G152)&amp;IF(INDEX(资金台帐!$M$7:$M$3006,$G152)="","","；"&amp;INDEX(资金台帐!$M$7:$M$3006,$G152)))</f>
      </c>
      <c r="G152" s="78">
        <f>IFERROR(MATCH(149,资金台帐!$Q$7:$Q$3006,0),"")</f>
      </c>
      <c r="H152" s="2" t="n"/>
      <c r="I152" s="141">
        <f>IF($O152="","",149)</f>
      </c>
      <c r="J152" s="140">
        <f>IF($O152="","",INDEX(资金台帐!$B$7:$B$3006,$O152))</f>
      </c>
      <c r="K152" s="141">
        <f>IF($O152="","",INDEX(资金台帐!$K$7:$K$3006,$O152))</f>
      </c>
      <c r="L152" s="172">
        <f>IF($O152="","",-INDEX(资金台帐!$S$7:$S$3006,$O152))</f>
      </c>
      <c r="M152" s="141">
        <f>IF($O152="","",INDEX(资金台帐!$C$7:$C$3006,$O152))</f>
      </c>
      <c r="N152" s="142">
        <f>IF($O152="","",INDEX(资金台帐!$E$7:$E$3006,$O152))</f>
      </c>
      <c r="O152" s="78">
        <f>IFERROR(MATCH(149,资金台帐!$R$7:$R$3006,0),"")</f>
      </c>
      <c r="P152" s="2" t="n"/>
      <c r="Q152" s="2" t="n"/>
      <c r="R152" s="2" t="n"/>
      <c r="S152" s="2" t="n"/>
      <c r="T152" s="2" t="n"/>
    </row>
    <row r="153" ht="15" customHeight="1" s="71">
      <c r="A153" s="141">
        <f>IF($G153="","",150)</f>
      </c>
      <c r="B153" s="140">
        <f>IF($G153="","",INDEX(资金台帐!$B$7:$B$3006,$G153))</f>
      </c>
      <c r="C153" s="141">
        <f>IF($G153="","",INDEX(资金台帐!$J$7:$J$3006,$G153))</f>
      </c>
      <c r="D153" s="172">
        <f>IF($G153="","",INDEX(资金台帐!$S$7:$S$3006,$G153))</f>
      </c>
      <c r="E153" s="141">
        <f>IF($G153="","",INDEX(资金台帐!$C$7:$C$3006,$G153))</f>
      </c>
      <c r="F153" s="142">
        <f>IF($G153="","",INDEX(资金台帐!$E$7:$E$3006,$G153)&amp;IF(INDEX(资金台帐!$M$7:$M$3006,$G153)="","","；"&amp;INDEX(资金台帐!$M$7:$M$3006,$G153)))</f>
      </c>
      <c r="G153" s="78">
        <f>IFERROR(MATCH(150,资金台帐!$Q$7:$Q$3006,0),"")</f>
      </c>
      <c r="H153" s="2" t="n"/>
      <c r="I153" s="141">
        <f>IF($O153="","",150)</f>
      </c>
      <c r="J153" s="140">
        <f>IF($O153="","",INDEX(资金台帐!$B$7:$B$3006,$O153))</f>
      </c>
      <c r="K153" s="141">
        <f>IF($O153="","",INDEX(资金台帐!$K$7:$K$3006,$O153))</f>
      </c>
      <c r="L153" s="172">
        <f>IF($O153="","",-INDEX(资金台帐!$S$7:$S$3006,$O153))</f>
      </c>
      <c r="M153" s="141">
        <f>IF($O153="","",INDEX(资金台帐!$C$7:$C$3006,$O153))</f>
      </c>
      <c r="N153" s="142">
        <f>IF($O153="","",INDEX(资金台帐!$E$7:$E$3006,$O153))</f>
      </c>
      <c r="O153" s="78">
        <f>IFERROR(MATCH(150,资金台帐!$R$7:$R$3006,0),"")</f>
      </c>
      <c r="P153" s="2" t="n"/>
      <c r="Q153" s="2" t="n"/>
      <c r="R153" s="2" t="n"/>
      <c r="S153" s="2" t="n"/>
      <c r="T153" s="2" t="n"/>
    </row>
    <row r="154" ht="15" customHeight="1" s="71">
      <c r="A154" s="141">
        <f>IF($G154="","",151)</f>
      </c>
      <c r="B154" s="140">
        <f>IF($G154="","",INDEX(资金台帐!$B$7:$B$3006,$G154))</f>
      </c>
      <c r="C154" s="141">
        <f>IF($G154="","",INDEX(资金台帐!$J$7:$J$3006,$G154))</f>
      </c>
      <c r="D154" s="172">
        <f>IF($G154="","",INDEX(资金台帐!$S$7:$S$3006,$G154))</f>
      </c>
      <c r="E154" s="141">
        <f>IF($G154="","",INDEX(资金台帐!$C$7:$C$3006,$G154))</f>
      </c>
      <c r="F154" s="142">
        <f>IF($G154="","",INDEX(资金台帐!$E$7:$E$3006,$G154)&amp;IF(INDEX(资金台帐!$M$7:$M$3006,$G154)="","","；"&amp;INDEX(资金台帐!$M$7:$M$3006,$G154)))</f>
      </c>
      <c r="G154" s="78">
        <f>IFERROR(MATCH(151,资金台帐!$Q$7:$Q$3006,0),"")</f>
      </c>
      <c r="H154" s="2" t="n"/>
      <c r="I154" s="141">
        <f>IF($O154="","",151)</f>
      </c>
      <c r="J154" s="140">
        <f>IF($O154="","",INDEX(资金台帐!$B$7:$B$3006,$O154))</f>
      </c>
      <c r="K154" s="141">
        <f>IF($O154="","",INDEX(资金台帐!$K$7:$K$3006,$O154))</f>
      </c>
      <c r="L154" s="172">
        <f>IF($O154="","",-INDEX(资金台帐!$S$7:$S$3006,$O154))</f>
      </c>
      <c r="M154" s="141">
        <f>IF($O154="","",INDEX(资金台帐!$C$7:$C$3006,$O154))</f>
      </c>
      <c r="N154" s="142">
        <f>IF($O154="","",INDEX(资金台帐!$E$7:$E$3006,$O154))</f>
      </c>
      <c r="O154" s="78">
        <f>IFERROR(MATCH(151,资金台帐!$R$7:$R$3006,0),"")</f>
      </c>
      <c r="P154" s="2" t="n"/>
      <c r="Q154" s="2" t="n"/>
      <c r="R154" s="2" t="n"/>
      <c r="S154" s="2" t="n"/>
      <c r="T154" s="2" t="n"/>
    </row>
    <row r="155" ht="15" customHeight="1" s="71">
      <c r="A155" s="141">
        <f>IF($G155="","",152)</f>
      </c>
      <c r="B155" s="140">
        <f>IF($G155="","",INDEX(资金台帐!$B$7:$B$3006,$G155))</f>
      </c>
      <c r="C155" s="141">
        <f>IF($G155="","",INDEX(资金台帐!$J$7:$J$3006,$G155))</f>
      </c>
      <c r="D155" s="172">
        <f>IF($G155="","",INDEX(资金台帐!$S$7:$S$3006,$G155))</f>
      </c>
      <c r="E155" s="141">
        <f>IF($G155="","",INDEX(资金台帐!$C$7:$C$3006,$G155))</f>
      </c>
      <c r="F155" s="142">
        <f>IF($G155="","",INDEX(资金台帐!$E$7:$E$3006,$G155)&amp;IF(INDEX(资金台帐!$M$7:$M$3006,$G155)="","","；"&amp;INDEX(资金台帐!$M$7:$M$3006,$G155)))</f>
      </c>
      <c r="G155" s="78">
        <f>IFERROR(MATCH(152,资金台帐!$Q$7:$Q$3006,0),"")</f>
      </c>
      <c r="H155" s="2" t="n"/>
      <c r="I155" s="141">
        <f>IF($O155="","",152)</f>
      </c>
      <c r="J155" s="140">
        <f>IF($O155="","",INDEX(资金台帐!$B$7:$B$3006,$O155))</f>
      </c>
      <c r="K155" s="141">
        <f>IF($O155="","",INDEX(资金台帐!$K$7:$K$3006,$O155))</f>
      </c>
      <c r="L155" s="172">
        <f>IF($O155="","",-INDEX(资金台帐!$S$7:$S$3006,$O155))</f>
      </c>
      <c r="M155" s="141">
        <f>IF($O155="","",INDEX(资金台帐!$C$7:$C$3006,$O155))</f>
      </c>
      <c r="N155" s="142">
        <f>IF($O155="","",INDEX(资金台帐!$E$7:$E$3006,$O155))</f>
      </c>
      <c r="O155" s="78">
        <f>IFERROR(MATCH(152,资金台帐!$R$7:$R$3006,0),"")</f>
      </c>
      <c r="P155" s="2" t="n"/>
      <c r="Q155" s="2" t="n"/>
      <c r="R155" s="2" t="n"/>
      <c r="S155" s="2" t="n"/>
      <c r="T155" s="2" t="n"/>
    </row>
    <row r="156" ht="15" customHeight="1" s="71">
      <c r="A156" s="141">
        <f>IF($G156="","",153)</f>
      </c>
      <c r="B156" s="140">
        <f>IF($G156="","",INDEX(资金台帐!$B$7:$B$3006,$G156))</f>
      </c>
      <c r="C156" s="141">
        <f>IF($G156="","",INDEX(资金台帐!$J$7:$J$3006,$G156))</f>
      </c>
      <c r="D156" s="172">
        <f>IF($G156="","",INDEX(资金台帐!$S$7:$S$3006,$G156))</f>
      </c>
      <c r="E156" s="141">
        <f>IF($G156="","",INDEX(资金台帐!$C$7:$C$3006,$G156))</f>
      </c>
      <c r="F156" s="142">
        <f>IF($G156="","",INDEX(资金台帐!$E$7:$E$3006,$G156)&amp;IF(INDEX(资金台帐!$M$7:$M$3006,$G156)="","","；"&amp;INDEX(资金台帐!$M$7:$M$3006,$G156)))</f>
      </c>
      <c r="G156" s="78">
        <f>IFERROR(MATCH(153,资金台帐!$Q$7:$Q$3006,0),"")</f>
      </c>
      <c r="H156" s="2" t="n"/>
      <c r="I156" s="141">
        <f>IF($O156="","",153)</f>
      </c>
      <c r="J156" s="140">
        <f>IF($O156="","",INDEX(资金台帐!$B$7:$B$3006,$O156))</f>
      </c>
      <c r="K156" s="141">
        <f>IF($O156="","",INDEX(资金台帐!$K$7:$K$3006,$O156))</f>
      </c>
      <c r="L156" s="172">
        <f>IF($O156="","",-INDEX(资金台帐!$S$7:$S$3006,$O156))</f>
      </c>
      <c r="M156" s="141">
        <f>IF($O156="","",INDEX(资金台帐!$C$7:$C$3006,$O156))</f>
      </c>
      <c r="N156" s="142">
        <f>IF($O156="","",INDEX(资金台帐!$E$7:$E$3006,$O156))</f>
      </c>
      <c r="O156" s="78">
        <f>IFERROR(MATCH(153,资金台帐!$R$7:$R$3006,0),"")</f>
      </c>
      <c r="P156" s="2" t="n"/>
      <c r="Q156" s="2" t="n"/>
      <c r="R156" s="2" t="n"/>
      <c r="S156" s="2" t="n"/>
      <c r="T156" s="2" t="n"/>
    </row>
    <row r="157" ht="15" customHeight="1" s="71">
      <c r="A157" s="141">
        <f>IF($G157="","",154)</f>
      </c>
      <c r="B157" s="140">
        <f>IF($G157="","",INDEX(资金台帐!$B$7:$B$3006,$G157))</f>
      </c>
      <c r="C157" s="141">
        <f>IF($G157="","",INDEX(资金台帐!$J$7:$J$3006,$G157))</f>
      </c>
      <c r="D157" s="172">
        <f>IF($G157="","",INDEX(资金台帐!$S$7:$S$3006,$G157))</f>
      </c>
      <c r="E157" s="141">
        <f>IF($G157="","",INDEX(资金台帐!$C$7:$C$3006,$G157))</f>
      </c>
      <c r="F157" s="142">
        <f>IF($G157="","",INDEX(资金台帐!$E$7:$E$3006,$G157)&amp;IF(INDEX(资金台帐!$M$7:$M$3006,$G157)="","","；"&amp;INDEX(资金台帐!$M$7:$M$3006,$G157)))</f>
      </c>
      <c r="G157" s="78">
        <f>IFERROR(MATCH(154,资金台帐!$Q$7:$Q$3006,0),"")</f>
      </c>
      <c r="H157" s="2" t="n"/>
      <c r="I157" s="141">
        <f>IF($O157="","",154)</f>
      </c>
      <c r="J157" s="140">
        <f>IF($O157="","",INDEX(资金台帐!$B$7:$B$3006,$O157))</f>
      </c>
      <c r="K157" s="141">
        <f>IF($O157="","",INDEX(资金台帐!$K$7:$K$3006,$O157))</f>
      </c>
      <c r="L157" s="172">
        <f>IF($O157="","",-INDEX(资金台帐!$S$7:$S$3006,$O157))</f>
      </c>
      <c r="M157" s="141">
        <f>IF($O157="","",INDEX(资金台帐!$C$7:$C$3006,$O157))</f>
      </c>
      <c r="N157" s="142">
        <f>IF($O157="","",INDEX(资金台帐!$E$7:$E$3006,$O157))</f>
      </c>
      <c r="O157" s="78">
        <f>IFERROR(MATCH(154,资金台帐!$R$7:$R$3006,0),"")</f>
      </c>
      <c r="P157" s="2" t="n"/>
      <c r="Q157" s="2" t="n"/>
      <c r="R157" s="2" t="n"/>
      <c r="S157" s="2" t="n"/>
      <c r="T157" s="2" t="n"/>
    </row>
    <row r="158" ht="15" customHeight="1" s="71">
      <c r="A158" s="141">
        <f>IF($G158="","",155)</f>
      </c>
      <c r="B158" s="140">
        <f>IF($G158="","",INDEX(资金台帐!$B$7:$B$3006,$G158))</f>
      </c>
      <c r="C158" s="141">
        <f>IF($G158="","",INDEX(资金台帐!$J$7:$J$3006,$G158))</f>
      </c>
      <c r="D158" s="172">
        <f>IF($G158="","",INDEX(资金台帐!$S$7:$S$3006,$G158))</f>
      </c>
      <c r="E158" s="141">
        <f>IF($G158="","",INDEX(资金台帐!$C$7:$C$3006,$G158))</f>
      </c>
      <c r="F158" s="142">
        <f>IF($G158="","",INDEX(资金台帐!$E$7:$E$3006,$G158)&amp;IF(INDEX(资金台帐!$M$7:$M$3006,$G158)="","","；"&amp;INDEX(资金台帐!$M$7:$M$3006,$G158)))</f>
      </c>
      <c r="G158" s="78">
        <f>IFERROR(MATCH(155,资金台帐!$Q$7:$Q$3006,0),"")</f>
      </c>
      <c r="H158" s="2" t="n"/>
      <c r="I158" s="141">
        <f>IF($O158="","",155)</f>
      </c>
      <c r="J158" s="140">
        <f>IF($O158="","",INDEX(资金台帐!$B$7:$B$3006,$O158))</f>
      </c>
      <c r="K158" s="141">
        <f>IF($O158="","",INDEX(资金台帐!$K$7:$K$3006,$O158))</f>
      </c>
      <c r="L158" s="172">
        <f>IF($O158="","",-INDEX(资金台帐!$S$7:$S$3006,$O158))</f>
      </c>
      <c r="M158" s="141">
        <f>IF($O158="","",INDEX(资金台帐!$C$7:$C$3006,$O158))</f>
      </c>
      <c r="N158" s="142">
        <f>IF($O158="","",INDEX(资金台帐!$E$7:$E$3006,$O158))</f>
      </c>
      <c r="O158" s="78">
        <f>IFERROR(MATCH(155,资金台帐!$R$7:$R$3006,0),"")</f>
      </c>
      <c r="P158" s="2" t="n"/>
      <c r="Q158" s="2" t="n"/>
      <c r="R158" s="2" t="n"/>
      <c r="S158" s="2" t="n"/>
      <c r="T158" s="2" t="n"/>
    </row>
    <row r="159" ht="15" customHeight="1" s="71">
      <c r="A159" s="141">
        <f>IF($G159="","",156)</f>
      </c>
      <c r="B159" s="140">
        <f>IF($G159="","",INDEX(资金台帐!$B$7:$B$3006,$G159))</f>
      </c>
      <c r="C159" s="141">
        <f>IF($G159="","",INDEX(资金台帐!$J$7:$J$3006,$G159))</f>
      </c>
      <c r="D159" s="172">
        <f>IF($G159="","",INDEX(资金台帐!$S$7:$S$3006,$G159))</f>
      </c>
      <c r="E159" s="141">
        <f>IF($G159="","",INDEX(资金台帐!$C$7:$C$3006,$G159))</f>
      </c>
      <c r="F159" s="142">
        <f>IF($G159="","",INDEX(资金台帐!$E$7:$E$3006,$G159)&amp;IF(INDEX(资金台帐!$M$7:$M$3006,$G159)="","","；"&amp;INDEX(资金台帐!$M$7:$M$3006,$G159)))</f>
      </c>
      <c r="G159" s="78">
        <f>IFERROR(MATCH(156,资金台帐!$Q$7:$Q$3006,0),"")</f>
      </c>
      <c r="H159" s="2" t="n"/>
      <c r="I159" s="141">
        <f>IF($O159="","",156)</f>
      </c>
      <c r="J159" s="140">
        <f>IF($O159="","",INDEX(资金台帐!$B$7:$B$3006,$O159))</f>
      </c>
      <c r="K159" s="141">
        <f>IF($O159="","",INDEX(资金台帐!$K$7:$K$3006,$O159))</f>
      </c>
      <c r="L159" s="172">
        <f>IF($O159="","",-INDEX(资金台帐!$S$7:$S$3006,$O159))</f>
      </c>
      <c r="M159" s="141">
        <f>IF($O159="","",INDEX(资金台帐!$C$7:$C$3006,$O159))</f>
      </c>
      <c r="N159" s="142">
        <f>IF($O159="","",INDEX(资金台帐!$E$7:$E$3006,$O159))</f>
      </c>
      <c r="O159" s="78">
        <f>IFERROR(MATCH(156,资金台帐!$R$7:$R$3006,0),"")</f>
      </c>
      <c r="P159" s="2" t="n"/>
      <c r="Q159" s="2" t="n"/>
      <c r="R159" s="2" t="n"/>
      <c r="S159" s="2" t="n"/>
      <c r="T159" s="2" t="n"/>
    </row>
    <row r="160" ht="15" customHeight="1" s="71">
      <c r="A160" s="141">
        <f>IF($G160="","",157)</f>
      </c>
      <c r="B160" s="140">
        <f>IF($G160="","",INDEX(资金台帐!$B$7:$B$3006,$G160))</f>
      </c>
      <c r="C160" s="141">
        <f>IF($G160="","",INDEX(资金台帐!$J$7:$J$3006,$G160))</f>
      </c>
      <c r="D160" s="172">
        <f>IF($G160="","",INDEX(资金台帐!$S$7:$S$3006,$G160))</f>
      </c>
      <c r="E160" s="141">
        <f>IF($G160="","",INDEX(资金台帐!$C$7:$C$3006,$G160))</f>
      </c>
      <c r="F160" s="142">
        <f>IF($G160="","",INDEX(资金台帐!$E$7:$E$3006,$G160)&amp;IF(INDEX(资金台帐!$M$7:$M$3006,$G160)="","","；"&amp;INDEX(资金台帐!$M$7:$M$3006,$G160)))</f>
      </c>
      <c r="G160" s="78">
        <f>IFERROR(MATCH(157,资金台帐!$Q$7:$Q$3006,0),"")</f>
      </c>
      <c r="H160" s="2" t="n"/>
      <c r="I160" s="141">
        <f>IF($O160="","",157)</f>
      </c>
      <c r="J160" s="140">
        <f>IF($O160="","",INDEX(资金台帐!$B$7:$B$3006,$O160))</f>
      </c>
      <c r="K160" s="141">
        <f>IF($O160="","",INDEX(资金台帐!$K$7:$K$3006,$O160))</f>
      </c>
      <c r="L160" s="172">
        <f>IF($O160="","",-INDEX(资金台帐!$S$7:$S$3006,$O160))</f>
      </c>
      <c r="M160" s="141">
        <f>IF($O160="","",INDEX(资金台帐!$C$7:$C$3006,$O160))</f>
      </c>
      <c r="N160" s="142">
        <f>IF($O160="","",INDEX(资金台帐!$E$7:$E$3006,$O160))</f>
      </c>
      <c r="O160" s="78">
        <f>IFERROR(MATCH(157,资金台帐!$R$7:$R$3006,0),"")</f>
      </c>
      <c r="P160" s="2" t="n"/>
      <c r="Q160" s="2" t="n"/>
      <c r="R160" s="2" t="n"/>
      <c r="S160" s="2" t="n"/>
      <c r="T160" s="2" t="n"/>
    </row>
    <row r="161" ht="15" customHeight="1" s="71">
      <c r="A161" s="141">
        <f>IF($G161="","",158)</f>
      </c>
      <c r="B161" s="140">
        <f>IF($G161="","",INDEX(资金台帐!$B$7:$B$3006,$G161))</f>
      </c>
      <c r="C161" s="141">
        <f>IF($G161="","",INDEX(资金台帐!$J$7:$J$3006,$G161))</f>
      </c>
      <c r="D161" s="172">
        <f>IF($G161="","",INDEX(资金台帐!$S$7:$S$3006,$G161))</f>
      </c>
      <c r="E161" s="141">
        <f>IF($G161="","",INDEX(资金台帐!$C$7:$C$3006,$G161))</f>
      </c>
      <c r="F161" s="142">
        <f>IF($G161="","",INDEX(资金台帐!$E$7:$E$3006,$G161)&amp;IF(INDEX(资金台帐!$M$7:$M$3006,$G161)="","","；"&amp;INDEX(资金台帐!$M$7:$M$3006,$G161)))</f>
      </c>
      <c r="G161" s="78">
        <f>IFERROR(MATCH(158,资金台帐!$Q$7:$Q$3006,0),"")</f>
      </c>
      <c r="H161" s="2" t="n"/>
      <c r="I161" s="141">
        <f>IF($O161="","",158)</f>
      </c>
      <c r="J161" s="140">
        <f>IF($O161="","",INDEX(资金台帐!$B$7:$B$3006,$O161))</f>
      </c>
      <c r="K161" s="141">
        <f>IF($O161="","",INDEX(资金台帐!$K$7:$K$3006,$O161))</f>
      </c>
      <c r="L161" s="172">
        <f>IF($O161="","",-INDEX(资金台帐!$S$7:$S$3006,$O161))</f>
      </c>
      <c r="M161" s="141">
        <f>IF($O161="","",INDEX(资金台帐!$C$7:$C$3006,$O161))</f>
      </c>
      <c r="N161" s="142">
        <f>IF($O161="","",INDEX(资金台帐!$E$7:$E$3006,$O161))</f>
      </c>
      <c r="O161" s="78">
        <f>IFERROR(MATCH(158,资金台帐!$R$7:$R$3006,0),"")</f>
      </c>
      <c r="P161" s="2" t="n"/>
      <c r="Q161" s="2" t="n"/>
      <c r="R161" s="2" t="n"/>
      <c r="S161" s="2" t="n"/>
      <c r="T161" s="2" t="n"/>
    </row>
    <row r="162" ht="15" customHeight="1" s="71">
      <c r="A162" s="141">
        <f>IF($G162="","",159)</f>
      </c>
      <c r="B162" s="140">
        <f>IF($G162="","",INDEX(资金台帐!$B$7:$B$3006,$G162))</f>
      </c>
      <c r="C162" s="141">
        <f>IF($G162="","",INDEX(资金台帐!$J$7:$J$3006,$G162))</f>
      </c>
      <c r="D162" s="172">
        <f>IF($G162="","",INDEX(资金台帐!$S$7:$S$3006,$G162))</f>
      </c>
      <c r="E162" s="141">
        <f>IF($G162="","",INDEX(资金台帐!$C$7:$C$3006,$G162))</f>
      </c>
      <c r="F162" s="142">
        <f>IF($G162="","",INDEX(资金台帐!$E$7:$E$3006,$G162)&amp;IF(INDEX(资金台帐!$M$7:$M$3006,$G162)="","","；"&amp;INDEX(资金台帐!$M$7:$M$3006,$G162)))</f>
      </c>
      <c r="G162" s="78">
        <f>IFERROR(MATCH(159,资金台帐!$Q$7:$Q$3006,0),"")</f>
      </c>
      <c r="H162" s="2" t="n"/>
      <c r="I162" s="141">
        <f>IF($O162="","",159)</f>
      </c>
      <c r="J162" s="140">
        <f>IF($O162="","",INDEX(资金台帐!$B$7:$B$3006,$O162))</f>
      </c>
      <c r="K162" s="141">
        <f>IF($O162="","",INDEX(资金台帐!$K$7:$K$3006,$O162))</f>
      </c>
      <c r="L162" s="172">
        <f>IF($O162="","",-INDEX(资金台帐!$S$7:$S$3006,$O162))</f>
      </c>
      <c r="M162" s="141">
        <f>IF($O162="","",INDEX(资金台帐!$C$7:$C$3006,$O162))</f>
      </c>
      <c r="N162" s="142">
        <f>IF($O162="","",INDEX(资金台帐!$E$7:$E$3006,$O162))</f>
      </c>
      <c r="O162" s="78">
        <f>IFERROR(MATCH(159,资金台帐!$R$7:$R$3006,0),"")</f>
      </c>
      <c r="P162" s="2" t="n"/>
      <c r="Q162" s="2" t="n"/>
      <c r="R162" s="2" t="n"/>
      <c r="S162" s="2" t="n"/>
      <c r="T162" s="2" t="n"/>
    </row>
    <row r="163" ht="15" customHeight="1" s="71">
      <c r="A163" s="141">
        <f>IF($G163="","",160)</f>
      </c>
      <c r="B163" s="140">
        <f>IF($G163="","",INDEX(资金台帐!$B$7:$B$3006,$G163))</f>
      </c>
      <c r="C163" s="141">
        <f>IF($G163="","",INDEX(资金台帐!$J$7:$J$3006,$G163))</f>
      </c>
      <c r="D163" s="172">
        <f>IF($G163="","",INDEX(资金台帐!$S$7:$S$3006,$G163))</f>
      </c>
      <c r="E163" s="141">
        <f>IF($G163="","",INDEX(资金台帐!$C$7:$C$3006,$G163))</f>
      </c>
      <c r="F163" s="142">
        <f>IF($G163="","",INDEX(资金台帐!$E$7:$E$3006,$G163)&amp;IF(INDEX(资金台帐!$M$7:$M$3006,$G163)="","","；"&amp;INDEX(资金台帐!$M$7:$M$3006,$G163)))</f>
      </c>
      <c r="G163" s="78">
        <f>IFERROR(MATCH(160,资金台帐!$Q$7:$Q$3006,0),"")</f>
      </c>
      <c r="H163" s="2" t="n"/>
      <c r="I163" s="141">
        <f>IF($O163="","",160)</f>
      </c>
      <c r="J163" s="140">
        <f>IF($O163="","",INDEX(资金台帐!$B$7:$B$3006,$O163))</f>
      </c>
      <c r="K163" s="141">
        <f>IF($O163="","",INDEX(资金台帐!$K$7:$K$3006,$O163))</f>
      </c>
      <c r="L163" s="172">
        <f>IF($O163="","",-INDEX(资金台帐!$S$7:$S$3006,$O163))</f>
      </c>
      <c r="M163" s="141">
        <f>IF($O163="","",INDEX(资金台帐!$C$7:$C$3006,$O163))</f>
      </c>
      <c r="N163" s="142">
        <f>IF($O163="","",INDEX(资金台帐!$E$7:$E$3006,$O163))</f>
      </c>
      <c r="O163" s="78">
        <f>IFERROR(MATCH(160,资金台帐!$R$7:$R$3006,0),"")</f>
      </c>
      <c r="P163" s="2" t="n"/>
      <c r="Q163" s="2" t="n"/>
      <c r="R163" s="2" t="n"/>
      <c r="S163" s="2" t="n"/>
      <c r="T163" s="2" t="n"/>
    </row>
    <row r="164" ht="15" customHeight="1" s="71">
      <c r="A164" s="141">
        <f>IF($G164="","",161)</f>
      </c>
      <c r="B164" s="140">
        <f>IF($G164="","",INDEX(资金台帐!$B$7:$B$3006,$G164))</f>
      </c>
      <c r="C164" s="141">
        <f>IF($G164="","",INDEX(资金台帐!$J$7:$J$3006,$G164))</f>
      </c>
      <c r="D164" s="172">
        <f>IF($G164="","",INDEX(资金台帐!$S$7:$S$3006,$G164))</f>
      </c>
      <c r="E164" s="141">
        <f>IF($G164="","",INDEX(资金台帐!$C$7:$C$3006,$G164))</f>
      </c>
      <c r="F164" s="142">
        <f>IF($G164="","",INDEX(资金台帐!$E$7:$E$3006,$G164)&amp;IF(INDEX(资金台帐!$M$7:$M$3006,$G164)="","","；"&amp;INDEX(资金台帐!$M$7:$M$3006,$G164)))</f>
      </c>
      <c r="G164" s="78">
        <f>IFERROR(MATCH(161,资金台帐!$Q$7:$Q$3006,0),"")</f>
      </c>
      <c r="H164" s="2" t="n"/>
      <c r="I164" s="141">
        <f>IF($O164="","",161)</f>
      </c>
      <c r="J164" s="140">
        <f>IF($O164="","",INDEX(资金台帐!$B$7:$B$3006,$O164))</f>
      </c>
      <c r="K164" s="141">
        <f>IF($O164="","",INDEX(资金台帐!$K$7:$K$3006,$O164))</f>
      </c>
      <c r="L164" s="172">
        <f>IF($O164="","",-INDEX(资金台帐!$S$7:$S$3006,$O164))</f>
      </c>
      <c r="M164" s="141">
        <f>IF($O164="","",INDEX(资金台帐!$C$7:$C$3006,$O164))</f>
      </c>
      <c r="N164" s="142">
        <f>IF($O164="","",INDEX(资金台帐!$E$7:$E$3006,$O164))</f>
      </c>
      <c r="O164" s="78">
        <f>IFERROR(MATCH(161,资金台帐!$R$7:$R$3006,0),"")</f>
      </c>
      <c r="P164" s="2" t="n"/>
      <c r="Q164" s="2" t="n"/>
      <c r="R164" s="2" t="n"/>
      <c r="S164" s="2" t="n"/>
      <c r="T164" s="2" t="n"/>
    </row>
    <row r="165" ht="15" customHeight="1" s="71">
      <c r="A165" s="141">
        <f>IF($G165="","",162)</f>
      </c>
      <c r="B165" s="140">
        <f>IF($G165="","",INDEX(资金台帐!$B$7:$B$3006,$G165))</f>
      </c>
      <c r="C165" s="141">
        <f>IF($G165="","",INDEX(资金台帐!$J$7:$J$3006,$G165))</f>
      </c>
      <c r="D165" s="172">
        <f>IF($G165="","",INDEX(资金台帐!$S$7:$S$3006,$G165))</f>
      </c>
      <c r="E165" s="141">
        <f>IF($G165="","",INDEX(资金台帐!$C$7:$C$3006,$G165))</f>
      </c>
      <c r="F165" s="142">
        <f>IF($G165="","",INDEX(资金台帐!$E$7:$E$3006,$G165)&amp;IF(INDEX(资金台帐!$M$7:$M$3006,$G165)="","","；"&amp;INDEX(资金台帐!$M$7:$M$3006,$G165)))</f>
      </c>
      <c r="G165" s="78">
        <f>IFERROR(MATCH(162,资金台帐!$Q$7:$Q$3006,0),"")</f>
      </c>
      <c r="H165" s="2" t="n"/>
      <c r="I165" s="141">
        <f>IF($O165="","",162)</f>
      </c>
      <c r="J165" s="140">
        <f>IF($O165="","",INDEX(资金台帐!$B$7:$B$3006,$O165))</f>
      </c>
      <c r="K165" s="141">
        <f>IF($O165="","",INDEX(资金台帐!$K$7:$K$3006,$O165))</f>
      </c>
      <c r="L165" s="172">
        <f>IF($O165="","",-INDEX(资金台帐!$S$7:$S$3006,$O165))</f>
      </c>
      <c r="M165" s="141">
        <f>IF($O165="","",INDEX(资金台帐!$C$7:$C$3006,$O165))</f>
      </c>
      <c r="N165" s="142">
        <f>IF($O165="","",INDEX(资金台帐!$E$7:$E$3006,$O165))</f>
      </c>
      <c r="O165" s="78">
        <f>IFERROR(MATCH(162,资金台帐!$R$7:$R$3006,0),"")</f>
      </c>
      <c r="P165" s="2" t="n"/>
      <c r="Q165" s="2" t="n"/>
      <c r="R165" s="2" t="n"/>
      <c r="S165" s="2" t="n"/>
      <c r="T165" s="2" t="n"/>
    </row>
    <row r="166" ht="15" customHeight="1" s="71">
      <c r="A166" s="141">
        <f>IF($G166="","",163)</f>
      </c>
      <c r="B166" s="140">
        <f>IF($G166="","",INDEX(资金台帐!$B$7:$B$3006,$G166))</f>
      </c>
      <c r="C166" s="141">
        <f>IF($G166="","",INDEX(资金台帐!$J$7:$J$3006,$G166))</f>
      </c>
      <c r="D166" s="172">
        <f>IF($G166="","",INDEX(资金台帐!$S$7:$S$3006,$G166))</f>
      </c>
      <c r="E166" s="141">
        <f>IF($G166="","",INDEX(资金台帐!$C$7:$C$3006,$G166))</f>
      </c>
      <c r="F166" s="142">
        <f>IF($G166="","",INDEX(资金台帐!$E$7:$E$3006,$G166)&amp;IF(INDEX(资金台帐!$M$7:$M$3006,$G166)="","","；"&amp;INDEX(资金台帐!$M$7:$M$3006,$G166)))</f>
      </c>
      <c r="G166" s="78">
        <f>IFERROR(MATCH(163,资金台帐!$Q$7:$Q$3006,0),"")</f>
      </c>
      <c r="H166" s="2" t="n"/>
      <c r="I166" s="141">
        <f>IF($O166="","",163)</f>
      </c>
      <c r="J166" s="140">
        <f>IF($O166="","",INDEX(资金台帐!$B$7:$B$3006,$O166))</f>
      </c>
      <c r="K166" s="141">
        <f>IF($O166="","",INDEX(资金台帐!$K$7:$K$3006,$O166))</f>
      </c>
      <c r="L166" s="172">
        <f>IF($O166="","",-INDEX(资金台帐!$S$7:$S$3006,$O166))</f>
      </c>
      <c r="M166" s="141">
        <f>IF($O166="","",INDEX(资金台帐!$C$7:$C$3006,$O166))</f>
      </c>
      <c r="N166" s="142">
        <f>IF($O166="","",INDEX(资金台帐!$E$7:$E$3006,$O166))</f>
      </c>
      <c r="O166" s="78">
        <f>IFERROR(MATCH(163,资金台帐!$R$7:$R$3006,0),"")</f>
      </c>
      <c r="P166" s="2" t="n"/>
      <c r="Q166" s="2" t="n"/>
      <c r="R166" s="2" t="n"/>
      <c r="S166" s="2" t="n"/>
      <c r="T166" s="2" t="n"/>
    </row>
    <row r="167" ht="15" customHeight="1" s="71">
      <c r="A167" s="141">
        <f>IF($G167="","",164)</f>
      </c>
      <c r="B167" s="140">
        <f>IF($G167="","",INDEX(资金台帐!$B$7:$B$3006,$G167))</f>
      </c>
      <c r="C167" s="141">
        <f>IF($G167="","",INDEX(资金台帐!$J$7:$J$3006,$G167))</f>
      </c>
      <c r="D167" s="172">
        <f>IF($G167="","",INDEX(资金台帐!$S$7:$S$3006,$G167))</f>
      </c>
      <c r="E167" s="141">
        <f>IF($G167="","",INDEX(资金台帐!$C$7:$C$3006,$G167))</f>
      </c>
      <c r="F167" s="142">
        <f>IF($G167="","",INDEX(资金台帐!$E$7:$E$3006,$G167)&amp;IF(INDEX(资金台帐!$M$7:$M$3006,$G167)="","","；"&amp;INDEX(资金台帐!$M$7:$M$3006,$G167)))</f>
      </c>
      <c r="G167" s="78">
        <f>IFERROR(MATCH(164,资金台帐!$Q$7:$Q$3006,0),"")</f>
      </c>
      <c r="H167" s="2" t="n"/>
      <c r="I167" s="141">
        <f>IF($O167="","",164)</f>
      </c>
      <c r="J167" s="140">
        <f>IF($O167="","",INDEX(资金台帐!$B$7:$B$3006,$O167))</f>
      </c>
      <c r="K167" s="141">
        <f>IF($O167="","",INDEX(资金台帐!$K$7:$K$3006,$O167))</f>
      </c>
      <c r="L167" s="172">
        <f>IF($O167="","",-INDEX(资金台帐!$S$7:$S$3006,$O167))</f>
      </c>
      <c r="M167" s="141">
        <f>IF($O167="","",INDEX(资金台帐!$C$7:$C$3006,$O167))</f>
      </c>
      <c r="N167" s="142">
        <f>IF($O167="","",INDEX(资金台帐!$E$7:$E$3006,$O167))</f>
      </c>
      <c r="O167" s="78">
        <f>IFERROR(MATCH(164,资金台帐!$R$7:$R$3006,0),"")</f>
      </c>
      <c r="P167" s="2" t="n"/>
      <c r="Q167" s="2" t="n"/>
      <c r="R167" s="2" t="n"/>
      <c r="S167" s="2" t="n"/>
      <c r="T167" s="2" t="n"/>
    </row>
    <row r="168" ht="15" customHeight="1" s="71">
      <c r="A168" s="141">
        <f>IF($G168="","",165)</f>
      </c>
      <c r="B168" s="140">
        <f>IF($G168="","",INDEX(资金台帐!$B$7:$B$3006,$G168))</f>
      </c>
      <c r="C168" s="141">
        <f>IF($G168="","",INDEX(资金台帐!$J$7:$J$3006,$G168))</f>
      </c>
      <c r="D168" s="172">
        <f>IF($G168="","",INDEX(资金台帐!$S$7:$S$3006,$G168))</f>
      </c>
      <c r="E168" s="141">
        <f>IF($G168="","",INDEX(资金台帐!$C$7:$C$3006,$G168))</f>
      </c>
      <c r="F168" s="142">
        <f>IF($G168="","",INDEX(资金台帐!$E$7:$E$3006,$G168)&amp;IF(INDEX(资金台帐!$M$7:$M$3006,$G168)="","","；"&amp;INDEX(资金台帐!$M$7:$M$3006,$G168)))</f>
      </c>
      <c r="G168" s="78">
        <f>IFERROR(MATCH(165,资金台帐!$Q$7:$Q$3006,0),"")</f>
      </c>
      <c r="H168" s="2" t="n"/>
      <c r="I168" s="141">
        <f>IF($O168="","",165)</f>
      </c>
      <c r="J168" s="140">
        <f>IF($O168="","",INDEX(资金台帐!$B$7:$B$3006,$O168))</f>
      </c>
      <c r="K168" s="141">
        <f>IF($O168="","",INDEX(资金台帐!$K$7:$K$3006,$O168))</f>
      </c>
      <c r="L168" s="172">
        <f>IF($O168="","",-INDEX(资金台帐!$S$7:$S$3006,$O168))</f>
      </c>
      <c r="M168" s="141">
        <f>IF($O168="","",INDEX(资金台帐!$C$7:$C$3006,$O168))</f>
      </c>
      <c r="N168" s="142">
        <f>IF($O168="","",INDEX(资金台帐!$E$7:$E$3006,$O168))</f>
      </c>
      <c r="O168" s="78">
        <f>IFERROR(MATCH(165,资金台帐!$R$7:$R$3006,0),"")</f>
      </c>
      <c r="P168" s="2" t="n"/>
      <c r="Q168" s="2" t="n"/>
      <c r="R168" s="2" t="n"/>
      <c r="S168" s="2" t="n"/>
      <c r="T168" s="2" t="n"/>
    </row>
    <row r="169" ht="15" customHeight="1" s="71">
      <c r="A169" s="141">
        <f>IF($G169="","",166)</f>
      </c>
      <c r="B169" s="140">
        <f>IF($G169="","",INDEX(资金台帐!$B$7:$B$3006,$G169))</f>
      </c>
      <c r="C169" s="141">
        <f>IF($G169="","",INDEX(资金台帐!$J$7:$J$3006,$G169))</f>
      </c>
      <c r="D169" s="172">
        <f>IF($G169="","",INDEX(资金台帐!$S$7:$S$3006,$G169))</f>
      </c>
      <c r="E169" s="141">
        <f>IF($G169="","",INDEX(资金台帐!$C$7:$C$3006,$G169))</f>
      </c>
      <c r="F169" s="142">
        <f>IF($G169="","",INDEX(资金台帐!$E$7:$E$3006,$G169)&amp;IF(INDEX(资金台帐!$M$7:$M$3006,$G169)="","","；"&amp;INDEX(资金台帐!$M$7:$M$3006,$G169)))</f>
      </c>
      <c r="G169" s="78">
        <f>IFERROR(MATCH(166,资金台帐!$Q$7:$Q$3006,0),"")</f>
      </c>
      <c r="H169" s="2" t="n"/>
      <c r="I169" s="141">
        <f>IF($O169="","",166)</f>
      </c>
      <c r="J169" s="140">
        <f>IF($O169="","",INDEX(资金台帐!$B$7:$B$3006,$O169))</f>
      </c>
      <c r="K169" s="141">
        <f>IF($O169="","",INDEX(资金台帐!$K$7:$K$3006,$O169))</f>
      </c>
      <c r="L169" s="172">
        <f>IF($O169="","",-INDEX(资金台帐!$S$7:$S$3006,$O169))</f>
      </c>
      <c r="M169" s="141">
        <f>IF($O169="","",INDEX(资金台帐!$C$7:$C$3006,$O169))</f>
      </c>
      <c r="N169" s="142">
        <f>IF($O169="","",INDEX(资金台帐!$E$7:$E$3006,$O169))</f>
      </c>
      <c r="O169" s="78">
        <f>IFERROR(MATCH(166,资金台帐!$R$7:$R$3006,0),"")</f>
      </c>
      <c r="P169" s="2" t="n"/>
      <c r="Q169" s="2" t="n"/>
      <c r="R169" s="2" t="n"/>
      <c r="S169" s="2" t="n"/>
      <c r="T169" s="2" t="n"/>
    </row>
    <row r="170" ht="15" customHeight="1" s="71">
      <c r="A170" s="141">
        <f>IF($G170="","",167)</f>
      </c>
      <c r="B170" s="140">
        <f>IF($G170="","",INDEX(资金台帐!$B$7:$B$3006,$G170))</f>
      </c>
      <c r="C170" s="141">
        <f>IF($G170="","",INDEX(资金台帐!$J$7:$J$3006,$G170))</f>
      </c>
      <c r="D170" s="172">
        <f>IF($G170="","",INDEX(资金台帐!$S$7:$S$3006,$G170))</f>
      </c>
      <c r="E170" s="141">
        <f>IF($G170="","",INDEX(资金台帐!$C$7:$C$3006,$G170))</f>
      </c>
      <c r="F170" s="142">
        <f>IF($G170="","",INDEX(资金台帐!$E$7:$E$3006,$G170)&amp;IF(INDEX(资金台帐!$M$7:$M$3006,$G170)="","","；"&amp;INDEX(资金台帐!$M$7:$M$3006,$G170)))</f>
      </c>
      <c r="G170" s="78">
        <f>IFERROR(MATCH(167,资金台帐!$Q$7:$Q$3006,0),"")</f>
      </c>
      <c r="H170" s="2" t="n"/>
      <c r="I170" s="141">
        <f>IF($O170="","",167)</f>
      </c>
      <c r="J170" s="140">
        <f>IF($O170="","",INDEX(资金台帐!$B$7:$B$3006,$O170))</f>
      </c>
      <c r="K170" s="141">
        <f>IF($O170="","",INDEX(资金台帐!$K$7:$K$3006,$O170))</f>
      </c>
      <c r="L170" s="172">
        <f>IF($O170="","",-INDEX(资金台帐!$S$7:$S$3006,$O170))</f>
      </c>
      <c r="M170" s="141">
        <f>IF($O170="","",INDEX(资金台帐!$C$7:$C$3006,$O170))</f>
      </c>
      <c r="N170" s="142">
        <f>IF($O170="","",INDEX(资金台帐!$E$7:$E$3006,$O170))</f>
      </c>
      <c r="O170" s="78">
        <f>IFERROR(MATCH(167,资金台帐!$R$7:$R$3006,0),"")</f>
      </c>
      <c r="P170" s="2" t="n"/>
      <c r="Q170" s="2" t="n"/>
      <c r="R170" s="2" t="n"/>
      <c r="S170" s="2" t="n"/>
      <c r="T170" s="2" t="n"/>
    </row>
    <row r="171" ht="15" customHeight="1" s="71">
      <c r="A171" s="141">
        <f>IF($G171="","",168)</f>
      </c>
      <c r="B171" s="140">
        <f>IF($G171="","",INDEX(资金台帐!$B$7:$B$3006,$G171))</f>
      </c>
      <c r="C171" s="141">
        <f>IF($G171="","",INDEX(资金台帐!$J$7:$J$3006,$G171))</f>
      </c>
      <c r="D171" s="172">
        <f>IF($G171="","",INDEX(资金台帐!$S$7:$S$3006,$G171))</f>
      </c>
      <c r="E171" s="141">
        <f>IF($G171="","",INDEX(资金台帐!$C$7:$C$3006,$G171))</f>
      </c>
      <c r="F171" s="142">
        <f>IF($G171="","",INDEX(资金台帐!$E$7:$E$3006,$G171)&amp;IF(INDEX(资金台帐!$M$7:$M$3006,$G171)="","","；"&amp;INDEX(资金台帐!$M$7:$M$3006,$G171)))</f>
      </c>
      <c r="G171" s="78">
        <f>IFERROR(MATCH(168,资金台帐!$Q$7:$Q$3006,0),"")</f>
      </c>
      <c r="H171" s="2" t="n"/>
      <c r="I171" s="141">
        <f>IF($O171="","",168)</f>
      </c>
      <c r="J171" s="140">
        <f>IF($O171="","",INDEX(资金台帐!$B$7:$B$3006,$O171))</f>
      </c>
      <c r="K171" s="141">
        <f>IF($O171="","",INDEX(资金台帐!$K$7:$K$3006,$O171))</f>
      </c>
      <c r="L171" s="172">
        <f>IF($O171="","",-INDEX(资金台帐!$S$7:$S$3006,$O171))</f>
      </c>
      <c r="M171" s="141">
        <f>IF($O171="","",INDEX(资金台帐!$C$7:$C$3006,$O171))</f>
      </c>
      <c r="N171" s="142">
        <f>IF($O171="","",INDEX(资金台帐!$E$7:$E$3006,$O171))</f>
      </c>
      <c r="O171" s="78">
        <f>IFERROR(MATCH(168,资金台帐!$R$7:$R$3006,0),"")</f>
      </c>
      <c r="P171" s="2" t="n"/>
      <c r="Q171" s="2" t="n"/>
      <c r="R171" s="2" t="n"/>
      <c r="S171" s="2" t="n"/>
      <c r="T171" s="2" t="n"/>
    </row>
    <row r="172" ht="15" customHeight="1" s="71">
      <c r="A172" s="141">
        <f>IF($G172="","",169)</f>
      </c>
      <c r="B172" s="140">
        <f>IF($G172="","",INDEX(资金台帐!$B$7:$B$3006,$G172))</f>
      </c>
      <c r="C172" s="141">
        <f>IF($G172="","",INDEX(资金台帐!$J$7:$J$3006,$G172))</f>
      </c>
      <c r="D172" s="172">
        <f>IF($G172="","",INDEX(资金台帐!$S$7:$S$3006,$G172))</f>
      </c>
      <c r="E172" s="141">
        <f>IF($G172="","",INDEX(资金台帐!$C$7:$C$3006,$G172))</f>
      </c>
      <c r="F172" s="142">
        <f>IF($G172="","",INDEX(资金台帐!$E$7:$E$3006,$G172)&amp;IF(INDEX(资金台帐!$M$7:$M$3006,$G172)="","","；"&amp;INDEX(资金台帐!$M$7:$M$3006,$G172)))</f>
      </c>
      <c r="G172" s="78">
        <f>IFERROR(MATCH(169,资金台帐!$Q$7:$Q$3006,0),"")</f>
      </c>
      <c r="H172" s="2" t="n"/>
      <c r="I172" s="141">
        <f>IF($O172="","",169)</f>
      </c>
      <c r="J172" s="140">
        <f>IF($O172="","",INDEX(资金台帐!$B$7:$B$3006,$O172))</f>
      </c>
      <c r="K172" s="141">
        <f>IF($O172="","",INDEX(资金台帐!$K$7:$K$3006,$O172))</f>
      </c>
      <c r="L172" s="172">
        <f>IF($O172="","",-INDEX(资金台帐!$S$7:$S$3006,$O172))</f>
      </c>
      <c r="M172" s="141">
        <f>IF($O172="","",INDEX(资金台帐!$C$7:$C$3006,$O172))</f>
      </c>
      <c r="N172" s="142">
        <f>IF($O172="","",INDEX(资金台帐!$E$7:$E$3006,$O172))</f>
      </c>
      <c r="O172" s="78">
        <f>IFERROR(MATCH(169,资金台帐!$R$7:$R$3006,0),"")</f>
      </c>
      <c r="P172" s="2" t="n"/>
      <c r="Q172" s="2" t="n"/>
      <c r="R172" s="2" t="n"/>
      <c r="S172" s="2" t="n"/>
      <c r="T172" s="2" t="n"/>
    </row>
    <row r="173" ht="15" customHeight="1" s="71">
      <c r="A173" s="141">
        <f>IF($G173="","",170)</f>
      </c>
      <c r="B173" s="140">
        <f>IF($G173="","",INDEX(资金台帐!$B$7:$B$3006,$G173))</f>
      </c>
      <c r="C173" s="141">
        <f>IF($G173="","",INDEX(资金台帐!$J$7:$J$3006,$G173))</f>
      </c>
      <c r="D173" s="172">
        <f>IF($G173="","",INDEX(资金台帐!$S$7:$S$3006,$G173))</f>
      </c>
      <c r="E173" s="141">
        <f>IF($G173="","",INDEX(资金台帐!$C$7:$C$3006,$G173))</f>
      </c>
      <c r="F173" s="142">
        <f>IF($G173="","",INDEX(资金台帐!$E$7:$E$3006,$G173)&amp;IF(INDEX(资金台帐!$M$7:$M$3006,$G173)="","","；"&amp;INDEX(资金台帐!$M$7:$M$3006,$G173)))</f>
      </c>
      <c r="G173" s="78">
        <f>IFERROR(MATCH(170,资金台帐!$Q$7:$Q$3006,0),"")</f>
      </c>
      <c r="H173" s="2" t="n"/>
      <c r="I173" s="141">
        <f>IF($O173="","",170)</f>
      </c>
      <c r="J173" s="140">
        <f>IF($O173="","",INDEX(资金台帐!$B$7:$B$3006,$O173))</f>
      </c>
      <c r="K173" s="141">
        <f>IF($O173="","",INDEX(资金台帐!$K$7:$K$3006,$O173))</f>
      </c>
      <c r="L173" s="172">
        <f>IF($O173="","",-INDEX(资金台帐!$S$7:$S$3006,$O173))</f>
      </c>
      <c r="M173" s="141">
        <f>IF($O173="","",INDEX(资金台帐!$C$7:$C$3006,$O173))</f>
      </c>
      <c r="N173" s="142">
        <f>IF($O173="","",INDEX(资金台帐!$E$7:$E$3006,$O173))</f>
      </c>
      <c r="O173" s="78">
        <f>IFERROR(MATCH(170,资金台帐!$R$7:$R$3006,0),"")</f>
      </c>
      <c r="P173" s="2" t="n"/>
      <c r="Q173" s="2" t="n"/>
      <c r="R173" s="2" t="n"/>
      <c r="S173" s="2" t="n"/>
      <c r="T173" s="2" t="n"/>
    </row>
    <row r="174" ht="15" customHeight="1" s="71">
      <c r="A174" s="141">
        <f>IF($G174="","",171)</f>
      </c>
      <c r="B174" s="140">
        <f>IF($G174="","",INDEX(资金台帐!$B$7:$B$3006,$G174))</f>
      </c>
      <c r="C174" s="141">
        <f>IF($G174="","",INDEX(资金台帐!$J$7:$J$3006,$G174))</f>
      </c>
      <c r="D174" s="172">
        <f>IF($G174="","",INDEX(资金台帐!$S$7:$S$3006,$G174))</f>
      </c>
      <c r="E174" s="141">
        <f>IF($G174="","",INDEX(资金台帐!$C$7:$C$3006,$G174))</f>
      </c>
      <c r="F174" s="142">
        <f>IF($G174="","",INDEX(资金台帐!$E$7:$E$3006,$G174)&amp;IF(INDEX(资金台帐!$M$7:$M$3006,$G174)="","","；"&amp;INDEX(资金台帐!$M$7:$M$3006,$G174)))</f>
      </c>
      <c r="G174" s="78">
        <f>IFERROR(MATCH(171,资金台帐!$Q$7:$Q$3006,0),"")</f>
      </c>
      <c r="H174" s="2" t="n"/>
      <c r="I174" s="141">
        <f>IF($O174="","",171)</f>
      </c>
      <c r="J174" s="140">
        <f>IF($O174="","",INDEX(资金台帐!$B$7:$B$3006,$O174))</f>
      </c>
      <c r="K174" s="141">
        <f>IF($O174="","",INDEX(资金台帐!$K$7:$K$3006,$O174))</f>
      </c>
      <c r="L174" s="172">
        <f>IF($O174="","",-INDEX(资金台帐!$S$7:$S$3006,$O174))</f>
      </c>
      <c r="M174" s="141">
        <f>IF($O174="","",INDEX(资金台帐!$C$7:$C$3006,$O174))</f>
      </c>
      <c r="N174" s="142">
        <f>IF($O174="","",INDEX(资金台帐!$E$7:$E$3006,$O174))</f>
      </c>
      <c r="O174" s="78">
        <f>IFERROR(MATCH(171,资金台帐!$R$7:$R$3006,0),"")</f>
      </c>
      <c r="P174" s="2" t="n"/>
      <c r="Q174" s="2" t="n"/>
      <c r="R174" s="2" t="n"/>
      <c r="S174" s="2" t="n"/>
      <c r="T174" s="2" t="n"/>
    </row>
    <row r="175" ht="15" customHeight="1" s="71">
      <c r="A175" s="141">
        <f>IF($G175="","",172)</f>
      </c>
      <c r="B175" s="140">
        <f>IF($G175="","",INDEX(资金台帐!$B$7:$B$3006,$G175))</f>
      </c>
      <c r="C175" s="141">
        <f>IF($G175="","",INDEX(资金台帐!$J$7:$J$3006,$G175))</f>
      </c>
      <c r="D175" s="172">
        <f>IF($G175="","",INDEX(资金台帐!$S$7:$S$3006,$G175))</f>
      </c>
      <c r="E175" s="141">
        <f>IF($G175="","",INDEX(资金台帐!$C$7:$C$3006,$G175))</f>
      </c>
      <c r="F175" s="142">
        <f>IF($G175="","",INDEX(资金台帐!$E$7:$E$3006,$G175)&amp;IF(INDEX(资金台帐!$M$7:$M$3006,$G175)="","","；"&amp;INDEX(资金台帐!$M$7:$M$3006,$G175)))</f>
      </c>
      <c r="G175" s="78">
        <f>IFERROR(MATCH(172,资金台帐!$Q$7:$Q$3006,0),"")</f>
      </c>
      <c r="H175" s="2" t="n"/>
      <c r="I175" s="141">
        <f>IF($O175="","",172)</f>
      </c>
      <c r="J175" s="140">
        <f>IF($O175="","",INDEX(资金台帐!$B$7:$B$3006,$O175))</f>
      </c>
      <c r="K175" s="141">
        <f>IF($O175="","",INDEX(资金台帐!$K$7:$K$3006,$O175))</f>
      </c>
      <c r="L175" s="172">
        <f>IF($O175="","",-INDEX(资金台帐!$S$7:$S$3006,$O175))</f>
      </c>
      <c r="M175" s="141">
        <f>IF($O175="","",INDEX(资金台帐!$C$7:$C$3006,$O175))</f>
      </c>
      <c r="N175" s="142">
        <f>IF($O175="","",INDEX(资金台帐!$E$7:$E$3006,$O175))</f>
      </c>
      <c r="O175" s="78">
        <f>IFERROR(MATCH(172,资金台帐!$R$7:$R$3006,0),"")</f>
      </c>
      <c r="P175" s="2" t="n"/>
      <c r="Q175" s="2" t="n"/>
      <c r="R175" s="2" t="n"/>
      <c r="S175" s="2" t="n"/>
      <c r="T175" s="2" t="n"/>
    </row>
    <row r="176" ht="15" customHeight="1" s="71">
      <c r="A176" s="141">
        <f>IF($G176="","",173)</f>
      </c>
      <c r="B176" s="140">
        <f>IF($G176="","",INDEX(资金台帐!$B$7:$B$3006,$G176))</f>
      </c>
      <c r="C176" s="141">
        <f>IF($G176="","",INDEX(资金台帐!$J$7:$J$3006,$G176))</f>
      </c>
      <c r="D176" s="172">
        <f>IF($G176="","",INDEX(资金台帐!$S$7:$S$3006,$G176))</f>
      </c>
      <c r="E176" s="141">
        <f>IF($G176="","",INDEX(资金台帐!$C$7:$C$3006,$G176))</f>
      </c>
      <c r="F176" s="142">
        <f>IF($G176="","",INDEX(资金台帐!$E$7:$E$3006,$G176)&amp;IF(INDEX(资金台帐!$M$7:$M$3006,$G176)="","","；"&amp;INDEX(资金台帐!$M$7:$M$3006,$G176)))</f>
      </c>
      <c r="G176" s="78">
        <f>IFERROR(MATCH(173,资金台帐!$Q$7:$Q$3006,0),"")</f>
      </c>
      <c r="H176" s="2" t="n"/>
      <c r="I176" s="141">
        <f>IF($O176="","",173)</f>
      </c>
      <c r="J176" s="140">
        <f>IF($O176="","",INDEX(资金台帐!$B$7:$B$3006,$O176))</f>
      </c>
      <c r="K176" s="141">
        <f>IF($O176="","",INDEX(资金台帐!$K$7:$K$3006,$O176))</f>
      </c>
      <c r="L176" s="172">
        <f>IF($O176="","",-INDEX(资金台帐!$S$7:$S$3006,$O176))</f>
      </c>
      <c r="M176" s="141">
        <f>IF($O176="","",INDEX(资金台帐!$C$7:$C$3006,$O176))</f>
      </c>
      <c r="N176" s="142">
        <f>IF($O176="","",INDEX(资金台帐!$E$7:$E$3006,$O176))</f>
      </c>
      <c r="O176" s="78">
        <f>IFERROR(MATCH(173,资金台帐!$R$7:$R$3006,0),"")</f>
      </c>
      <c r="P176" s="2" t="n"/>
      <c r="Q176" s="2" t="n"/>
      <c r="R176" s="2" t="n"/>
      <c r="S176" s="2" t="n"/>
      <c r="T176" s="2" t="n"/>
    </row>
    <row r="177" ht="15" customHeight="1" s="71">
      <c r="A177" s="141">
        <f>IF($G177="","",174)</f>
      </c>
      <c r="B177" s="140">
        <f>IF($G177="","",INDEX(资金台帐!$B$7:$B$3006,$G177))</f>
      </c>
      <c r="C177" s="141">
        <f>IF($G177="","",INDEX(资金台帐!$J$7:$J$3006,$G177))</f>
      </c>
      <c r="D177" s="172">
        <f>IF($G177="","",INDEX(资金台帐!$S$7:$S$3006,$G177))</f>
      </c>
      <c r="E177" s="141">
        <f>IF($G177="","",INDEX(资金台帐!$C$7:$C$3006,$G177))</f>
      </c>
      <c r="F177" s="142">
        <f>IF($G177="","",INDEX(资金台帐!$E$7:$E$3006,$G177)&amp;IF(INDEX(资金台帐!$M$7:$M$3006,$G177)="","","；"&amp;INDEX(资金台帐!$M$7:$M$3006,$G177)))</f>
      </c>
      <c r="G177" s="78">
        <f>IFERROR(MATCH(174,资金台帐!$Q$7:$Q$3006,0),"")</f>
      </c>
      <c r="H177" s="2" t="n"/>
      <c r="I177" s="141">
        <f>IF($O177="","",174)</f>
      </c>
      <c r="J177" s="140">
        <f>IF($O177="","",INDEX(资金台帐!$B$7:$B$3006,$O177))</f>
      </c>
      <c r="K177" s="141">
        <f>IF($O177="","",INDEX(资金台帐!$K$7:$K$3006,$O177))</f>
      </c>
      <c r="L177" s="172">
        <f>IF($O177="","",-INDEX(资金台帐!$S$7:$S$3006,$O177))</f>
      </c>
      <c r="M177" s="141">
        <f>IF($O177="","",INDEX(资金台帐!$C$7:$C$3006,$O177))</f>
      </c>
      <c r="N177" s="142">
        <f>IF($O177="","",INDEX(资金台帐!$E$7:$E$3006,$O177))</f>
      </c>
      <c r="O177" s="78">
        <f>IFERROR(MATCH(174,资金台帐!$R$7:$R$3006,0),"")</f>
      </c>
      <c r="P177" s="2" t="n"/>
      <c r="Q177" s="2" t="n"/>
      <c r="R177" s="2" t="n"/>
      <c r="S177" s="2" t="n"/>
      <c r="T177" s="2" t="n"/>
    </row>
    <row r="178" ht="15" customHeight="1" s="71">
      <c r="A178" s="141">
        <f>IF($G178="","",175)</f>
      </c>
      <c r="B178" s="140">
        <f>IF($G178="","",INDEX(资金台帐!$B$7:$B$3006,$G178))</f>
      </c>
      <c r="C178" s="141">
        <f>IF($G178="","",INDEX(资金台帐!$J$7:$J$3006,$G178))</f>
      </c>
      <c r="D178" s="172">
        <f>IF($G178="","",INDEX(资金台帐!$S$7:$S$3006,$G178))</f>
      </c>
      <c r="E178" s="141">
        <f>IF($G178="","",INDEX(资金台帐!$C$7:$C$3006,$G178))</f>
      </c>
      <c r="F178" s="142">
        <f>IF($G178="","",INDEX(资金台帐!$E$7:$E$3006,$G178)&amp;IF(INDEX(资金台帐!$M$7:$M$3006,$G178)="","","；"&amp;INDEX(资金台帐!$M$7:$M$3006,$G178)))</f>
      </c>
      <c r="G178" s="78">
        <f>IFERROR(MATCH(175,资金台帐!$Q$7:$Q$3006,0),"")</f>
      </c>
      <c r="H178" s="2" t="n"/>
      <c r="I178" s="141">
        <f>IF($O178="","",175)</f>
      </c>
      <c r="J178" s="140">
        <f>IF($O178="","",INDEX(资金台帐!$B$7:$B$3006,$O178))</f>
      </c>
      <c r="K178" s="141">
        <f>IF($O178="","",INDEX(资金台帐!$K$7:$K$3006,$O178))</f>
      </c>
      <c r="L178" s="172">
        <f>IF($O178="","",-INDEX(资金台帐!$S$7:$S$3006,$O178))</f>
      </c>
      <c r="M178" s="141">
        <f>IF($O178="","",INDEX(资金台帐!$C$7:$C$3006,$O178))</f>
      </c>
      <c r="N178" s="142">
        <f>IF($O178="","",INDEX(资金台帐!$E$7:$E$3006,$O178))</f>
      </c>
      <c r="O178" s="78">
        <f>IFERROR(MATCH(175,资金台帐!$R$7:$R$3006,0),"")</f>
      </c>
      <c r="P178" s="2" t="n"/>
      <c r="Q178" s="2" t="n"/>
      <c r="R178" s="2" t="n"/>
      <c r="S178" s="2" t="n"/>
      <c r="T178" s="2" t="n"/>
    </row>
    <row r="179" ht="15" customHeight="1" s="71">
      <c r="A179" s="141">
        <f>IF($G179="","",176)</f>
      </c>
      <c r="B179" s="140">
        <f>IF($G179="","",INDEX(资金台帐!$B$7:$B$3006,$G179))</f>
      </c>
      <c r="C179" s="141">
        <f>IF($G179="","",INDEX(资金台帐!$J$7:$J$3006,$G179))</f>
      </c>
      <c r="D179" s="172">
        <f>IF($G179="","",INDEX(资金台帐!$S$7:$S$3006,$G179))</f>
      </c>
      <c r="E179" s="141">
        <f>IF($G179="","",INDEX(资金台帐!$C$7:$C$3006,$G179))</f>
      </c>
      <c r="F179" s="142">
        <f>IF($G179="","",INDEX(资金台帐!$E$7:$E$3006,$G179)&amp;IF(INDEX(资金台帐!$M$7:$M$3006,$G179)="","","；"&amp;INDEX(资金台帐!$M$7:$M$3006,$G179)))</f>
      </c>
      <c r="G179" s="78">
        <f>IFERROR(MATCH(176,资金台帐!$Q$7:$Q$3006,0),"")</f>
      </c>
      <c r="H179" s="2" t="n"/>
      <c r="I179" s="141">
        <f>IF($O179="","",176)</f>
      </c>
      <c r="J179" s="140">
        <f>IF($O179="","",INDEX(资金台帐!$B$7:$B$3006,$O179))</f>
      </c>
      <c r="K179" s="141">
        <f>IF($O179="","",INDEX(资金台帐!$K$7:$K$3006,$O179))</f>
      </c>
      <c r="L179" s="172">
        <f>IF($O179="","",-INDEX(资金台帐!$S$7:$S$3006,$O179))</f>
      </c>
      <c r="M179" s="141">
        <f>IF($O179="","",INDEX(资金台帐!$C$7:$C$3006,$O179))</f>
      </c>
      <c r="N179" s="142">
        <f>IF($O179="","",INDEX(资金台帐!$E$7:$E$3006,$O179))</f>
      </c>
      <c r="O179" s="78">
        <f>IFERROR(MATCH(176,资金台帐!$R$7:$R$3006,0),"")</f>
      </c>
      <c r="P179" s="2" t="n"/>
      <c r="Q179" s="2" t="n"/>
      <c r="R179" s="2" t="n"/>
      <c r="S179" s="2" t="n"/>
      <c r="T179" s="2" t="n"/>
    </row>
    <row r="180" ht="15" customHeight="1" s="71">
      <c r="A180" s="141">
        <f>IF($G180="","",177)</f>
      </c>
      <c r="B180" s="140">
        <f>IF($G180="","",INDEX(资金台帐!$B$7:$B$3006,$G180))</f>
      </c>
      <c r="C180" s="141">
        <f>IF($G180="","",INDEX(资金台帐!$J$7:$J$3006,$G180))</f>
      </c>
      <c r="D180" s="172">
        <f>IF($G180="","",INDEX(资金台帐!$S$7:$S$3006,$G180))</f>
      </c>
      <c r="E180" s="141">
        <f>IF($G180="","",INDEX(资金台帐!$C$7:$C$3006,$G180))</f>
      </c>
      <c r="F180" s="142">
        <f>IF($G180="","",INDEX(资金台帐!$E$7:$E$3006,$G180)&amp;IF(INDEX(资金台帐!$M$7:$M$3006,$G180)="","","；"&amp;INDEX(资金台帐!$M$7:$M$3006,$G180)))</f>
      </c>
      <c r="G180" s="78">
        <f>IFERROR(MATCH(177,资金台帐!$Q$7:$Q$3006,0),"")</f>
      </c>
      <c r="H180" s="2" t="n"/>
      <c r="I180" s="141">
        <f>IF($O180="","",177)</f>
      </c>
      <c r="J180" s="140">
        <f>IF($O180="","",INDEX(资金台帐!$B$7:$B$3006,$O180))</f>
      </c>
      <c r="K180" s="141">
        <f>IF($O180="","",INDEX(资金台帐!$K$7:$K$3006,$O180))</f>
      </c>
      <c r="L180" s="172">
        <f>IF($O180="","",-INDEX(资金台帐!$S$7:$S$3006,$O180))</f>
      </c>
      <c r="M180" s="141">
        <f>IF($O180="","",INDEX(资金台帐!$C$7:$C$3006,$O180))</f>
      </c>
      <c r="N180" s="142">
        <f>IF($O180="","",INDEX(资金台帐!$E$7:$E$3006,$O180))</f>
      </c>
      <c r="O180" s="78">
        <f>IFERROR(MATCH(177,资金台帐!$R$7:$R$3006,0),"")</f>
      </c>
      <c r="P180" s="2" t="n"/>
      <c r="Q180" s="2" t="n"/>
      <c r="R180" s="2" t="n"/>
      <c r="S180" s="2" t="n"/>
      <c r="T180" s="2" t="n"/>
    </row>
    <row r="181" ht="15" customHeight="1" s="71">
      <c r="A181" s="141">
        <f>IF($G181="","",178)</f>
      </c>
      <c r="B181" s="140">
        <f>IF($G181="","",INDEX(资金台帐!$B$7:$B$3006,$G181))</f>
      </c>
      <c r="C181" s="141">
        <f>IF($G181="","",INDEX(资金台帐!$J$7:$J$3006,$G181))</f>
      </c>
      <c r="D181" s="172">
        <f>IF($G181="","",INDEX(资金台帐!$S$7:$S$3006,$G181))</f>
      </c>
      <c r="E181" s="141">
        <f>IF($G181="","",INDEX(资金台帐!$C$7:$C$3006,$G181))</f>
      </c>
      <c r="F181" s="142">
        <f>IF($G181="","",INDEX(资金台帐!$E$7:$E$3006,$G181)&amp;IF(INDEX(资金台帐!$M$7:$M$3006,$G181)="","","；"&amp;INDEX(资金台帐!$M$7:$M$3006,$G181)))</f>
      </c>
      <c r="G181" s="78">
        <f>IFERROR(MATCH(178,资金台帐!$Q$7:$Q$3006,0),"")</f>
      </c>
      <c r="H181" s="2" t="n"/>
      <c r="I181" s="141">
        <f>IF($O181="","",178)</f>
      </c>
      <c r="J181" s="140">
        <f>IF($O181="","",INDEX(资金台帐!$B$7:$B$3006,$O181))</f>
      </c>
      <c r="K181" s="141">
        <f>IF($O181="","",INDEX(资金台帐!$K$7:$K$3006,$O181))</f>
      </c>
      <c r="L181" s="172">
        <f>IF($O181="","",-INDEX(资金台帐!$S$7:$S$3006,$O181))</f>
      </c>
      <c r="M181" s="141">
        <f>IF($O181="","",INDEX(资金台帐!$C$7:$C$3006,$O181))</f>
      </c>
      <c r="N181" s="142">
        <f>IF($O181="","",INDEX(资金台帐!$E$7:$E$3006,$O181))</f>
      </c>
      <c r="O181" s="78">
        <f>IFERROR(MATCH(178,资金台帐!$R$7:$R$3006,0),"")</f>
      </c>
      <c r="P181" s="2" t="n"/>
      <c r="Q181" s="2" t="n"/>
      <c r="R181" s="2" t="n"/>
      <c r="S181" s="2" t="n"/>
      <c r="T181" s="2" t="n"/>
    </row>
    <row r="182" ht="15" customHeight="1" s="71">
      <c r="A182" s="141">
        <f>IF($G182="","",179)</f>
      </c>
      <c r="B182" s="140">
        <f>IF($G182="","",INDEX(资金台帐!$B$7:$B$3006,$G182))</f>
      </c>
      <c r="C182" s="141">
        <f>IF($G182="","",INDEX(资金台帐!$J$7:$J$3006,$G182))</f>
      </c>
      <c r="D182" s="172">
        <f>IF($G182="","",INDEX(资金台帐!$S$7:$S$3006,$G182))</f>
      </c>
      <c r="E182" s="141">
        <f>IF($G182="","",INDEX(资金台帐!$C$7:$C$3006,$G182))</f>
      </c>
      <c r="F182" s="142">
        <f>IF($G182="","",INDEX(资金台帐!$E$7:$E$3006,$G182)&amp;IF(INDEX(资金台帐!$M$7:$M$3006,$G182)="","","；"&amp;INDEX(资金台帐!$M$7:$M$3006,$G182)))</f>
      </c>
      <c r="G182" s="78">
        <f>IFERROR(MATCH(179,资金台帐!$Q$7:$Q$3006,0),"")</f>
      </c>
      <c r="H182" s="2" t="n"/>
      <c r="I182" s="141">
        <f>IF($O182="","",179)</f>
      </c>
      <c r="J182" s="140">
        <f>IF($O182="","",INDEX(资金台帐!$B$7:$B$3006,$O182))</f>
      </c>
      <c r="K182" s="141">
        <f>IF($O182="","",INDEX(资金台帐!$K$7:$K$3006,$O182))</f>
      </c>
      <c r="L182" s="172">
        <f>IF($O182="","",-INDEX(资金台帐!$S$7:$S$3006,$O182))</f>
      </c>
      <c r="M182" s="141">
        <f>IF($O182="","",INDEX(资金台帐!$C$7:$C$3006,$O182))</f>
      </c>
      <c r="N182" s="142">
        <f>IF($O182="","",INDEX(资金台帐!$E$7:$E$3006,$O182))</f>
      </c>
      <c r="O182" s="78">
        <f>IFERROR(MATCH(179,资金台帐!$R$7:$R$3006,0),"")</f>
      </c>
      <c r="P182" s="2" t="n"/>
      <c r="Q182" s="2" t="n"/>
      <c r="R182" s="2" t="n"/>
      <c r="S182" s="2" t="n"/>
      <c r="T182" s="2" t="n"/>
    </row>
    <row r="183" ht="15" customHeight="1" s="71">
      <c r="A183" s="141">
        <f>IF($G183="","",180)</f>
      </c>
      <c r="B183" s="140">
        <f>IF($G183="","",INDEX(资金台帐!$B$7:$B$3006,$G183))</f>
      </c>
      <c r="C183" s="141">
        <f>IF($G183="","",INDEX(资金台帐!$J$7:$J$3006,$G183))</f>
      </c>
      <c r="D183" s="172">
        <f>IF($G183="","",INDEX(资金台帐!$S$7:$S$3006,$G183))</f>
      </c>
      <c r="E183" s="141">
        <f>IF($G183="","",INDEX(资金台帐!$C$7:$C$3006,$G183))</f>
      </c>
      <c r="F183" s="142">
        <f>IF($G183="","",INDEX(资金台帐!$E$7:$E$3006,$G183)&amp;IF(INDEX(资金台帐!$M$7:$M$3006,$G183)="","","；"&amp;INDEX(资金台帐!$M$7:$M$3006,$G183)))</f>
      </c>
      <c r="G183" s="78">
        <f>IFERROR(MATCH(180,资金台帐!$Q$7:$Q$3006,0),"")</f>
      </c>
      <c r="H183" s="2" t="n"/>
      <c r="I183" s="141">
        <f>IF($O183="","",180)</f>
      </c>
      <c r="J183" s="140">
        <f>IF($O183="","",INDEX(资金台帐!$B$7:$B$3006,$O183))</f>
      </c>
      <c r="K183" s="141">
        <f>IF($O183="","",INDEX(资金台帐!$K$7:$K$3006,$O183))</f>
      </c>
      <c r="L183" s="172">
        <f>IF($O183="","",-INDEX(资金台帐!$S$7:$S$3006,$O183))</f>
      </c>
      <c r="M183" s="141">
        <f>IF($O183="","",INDEX(资金台帐!$C$7:$C$3006,$O183))</f>
      </c>
      <c r="N183" s="142">
        <f>IF($O183="","",INDEX(资金台帐!$E$7:$E$3006,$O183))</f>
      </c>
      <c r="O183" s="78">
        <f>IFERROR(MATCH(180,资金台帐!$R$7:$R$3006,0),"")</f>
      </c>
      <c r="P183" s="2" t="n"/>
      <c r="Q183" s="2" t="n"/>
      <c r="R183" s="2" t="n"/>
      <c r="S183" s="2" t="n"/>
      <c r="T183" s="2" t="n"/>
    </row>
    <row r="184" ht="15" customHeight="1" s="71">
      <c r="A184" s="141">
        <f>IF($G184="","",181)</f>
      </c>
      <c r="B184" s="140">
        <f>IF($G184="","",INDEX(资金台帐!$B$7:$B$3006,$G184))</f>
      </c>
      <c r="C184" s="141">
        <f>IF($G184="","",INDEX(资金台帐!$J$7:$J$3006,$G184))</f>
      </c>
      <c r="D184" s="172">
        <f>IF($G184="","",INDEX(资金台帐!$S$7:$S$3006,$G184))</f>
      </c>
      <c r="E184" s="141">
        <f>IF($G184="","",INDEX(资金台帐!$C$7:$C$3006,$G184))</f>
      </c>
      <c r="F184" s="142">
        <f>IF($G184="","",INDEX(资金台帐!$E$7:$E$3006,$G184)&amp;IF(INDEX(资金台帐!$M$7:$M$3006,$G184)="","","；"&amp;INDEX(资金台帐!$M$7:$M$3006,$G184)))</f>
      </c>
      <c r="G184" s="78">
        <f>IFERROR(MATCH(181,资金台帐!$Q$7:$Q$3006,0),"")</f>
      </c>
      <c r="H184" s="2" t="n"/>
      <c r="I184" s="141">
        <f>IF($O184="","",181)</f>
      </c>
      <c r="J184" s="140">
        <f>IF($O184="","",INDEX(资金台帐!$B$7:$B$3006,$O184))</f>
      </c>
      <c r="K184" s="141">
        <f>IF($O184="","",INDEX(资金台帐!$K$7:$K$3006,$O184))</f>
      </c>
      <c r="L184" s="172">
        <f>IF($O184="","",-INDEX(资金台帐!$S$7:$S$3006,$O184))</f>
      </c>
      <c r="M184" s="141">
        <f>IF($O184="","",INDEX(资金台帐!$C$7:$C$3006,$O184))</f>
      </c>
      <c r="N184" s="142">
        <f>IF($O184="","",INDEX(资金台帐!$E$7:$E$3006,$O184))</f>
      </c>
      <c r="O184" s="78">
        <f>IFERROR(MATCH(181,资金台帐!$R$7:$R$3006,0),"")</f>
      </c>
      <c r="P184" s="2" t="n"/>
      <c r="Q184" s="2" t="n"/>
      <c r="R184" s="2" t="n"/>
      <c r="S184" s="2" t="n"/>
      <c r="T184" s="2" t="n"/>
    </row>
    <row r="185" ht="15" customHeight="1" s="71">
      <c r="A185" s="141">
        <f>IF($G185="","",182)</f>
      </c>
      <c r="B185" s="140">
        <f>IF($G185="","",INDEX(资金台帐!$B$7:$B$3006,$G185))</f>
      </c>
      <c r="C185" s="141">
        <f>IF($G185="","",INDEX(资金台帐!$J$7:$J$3006,$G185))</f>
      </c>
      <c r="D185" s="172">
        <f>IF($G185="","",INDEX(资金台帐!$S$7:$S$3006,$G185))</f>
      </c>
      <c r="E185" s="141">
        <f>IF($G185="","",INDEX(资金台帐!$C$7:$C$3006,$G185))</f>
      </c>
      <c r="F185" s="142">
        <f>IF($G185="","",INDEX(资金台帐!$E$7:$E$3006,$G185)&amp;IF(INDEX(资金台帐!$M$7:$M$3006,$G185)="","","；"&amp;INDEX(资金台帐!$M$7:$M$3006,$G185)))</f>
      </c>
      <c r="G185" s="78">
        <f>IFERROR(MATCH(182,资金台帐!$Q$7:$Q$3006,0),"")</f>
      </c>
      <c r="H185" s="2" t="n"/>
      <c r="I185" s="141">
        <f>IF($O185="","",182)</f>
      </c>
      <c r="J185" s="140">
        <f>IF($O185="","",INDEX(资金台帐!$B$7:$B$3006,$O185))</f>
      </c>
      <c r="K185" s="141">
        <f>IF($O185="","",INDEX(资金台帐!$K$7:$K$3006,$O185))</f>
      </c>
      <c r="L185" s="172">
        <f>IF($O185="","",-INDEX(资金台帐!$S$7:$S$3006,$O185))</f>
      </c>
      <c r="M185" s="141">
        <f>IF($O185="","",INDEX(资金台帐!$C$7:$C$3006,$O185))</f>
      </c>
      <c r="N185" s="142">
        <f>IF($O185="","",INDEX(资金台帐!$E$7:$E$3006,$O185))</f>
      </c>
      <c r="O185" s="78">
        <f>IFERROR(MATCH(182,资金台帐!$R$7:$R$3006,0),"")</f>
      </c>
      <c r="P185" s="2" t="n"/>
      <c r="Q185" s="2" t="n"/>
      <c r="R185" s="2" t="n"/>
      <c r="S185" s="2" t="n"/>
      <c r="T185" s="2" t="n"/>
    </row>
    <row r="186" ht="15" customHeight="1" s="71">
      <c r="A186" s="141">
        <f>IF($G186="","",183)</f>
      </c>
      <c r="B186" s="140">
        <f>IF($G186="","",INDEX(资金台帐!$B$7:$B$3006,$G186))</f>
      </c>
      <c r="C186" s="141">
        <f>IF($G186="","",INDEX(资金台帐!$J$7:$J$3006,$G186))</f>
      </c>
      <c r="D186" s="172">
        <f>IF($G186="","",INDEX(资金台帐!$S$7:$S$3006,$G186))</f>
      </c>
      <c r="E186" s="141">
        <f>IF($G186="","",INDEX(资金台帐!$C$7:$C$3006,$G186))</f>
      </c>
      <c r="F186" s="142">
        <f>IF($G186="","",INDEX(资金台帐!$E$7:$E$3006,$G186)&amp;IF(INDEX(资金台帐!$M$7:$M$3006,$G186)="","","；"&amp;INDEX(资金台帐!$M$7:$M$3006,$G186)))</f>
      </c>
      <c r="G186" s="78">
        <f>IFERROR(MATCH(183,资金台帐!$Q$7:$Q$3006,0),"")</f>
      </c>
      <c r="H186" s="2" t="n"/>
      <c r="I186" s="141">
        <f>IF($O186="","",183)</f>
      </c>
      <c r="J186" s="140">
        <f>IF($O186="","",INDEX(资金台帐!$B$7:$B$3006,$O186))</f>
      </c>
      <c r="K186" s="141">
        <f>IF($O186="","",INDEX(资金台帐!$K$7:$K$3006,$O186))</f>
      </c>
      <c r="L186" s="172">
        <f>IF($O186="","",-INDEX(资金台帐!$S$7:$S$3006,$O186))</f>
      </c>
      <c r="M186" s="141">
        <f>IF($O186="","",INDEX(资金台帐!$C$7:$C$3006,$O186))</f>
      </c>
      <c r="N186" s="142">
        <f>IF($O186="","",INDEX(资金台帐!$E$7:$E$3006,$O186))</f>
      </c>
      <c r="O186" s="78">
        <f>IFERROR(MATCH(183,资金台帐!$R$7:$R$3006,0),"")</f>
      </c>
      <c r="P186" s="2" t="n"/>
      <c r="Q186" s="2" t="n"/>
      <c r="R186" s="2" t="n"/>
      <c r="S186" s="2" t="n"/>
      <c r="T186" s="2" t="n"/>
    </row>
    <row r="187" ht="15" customHeight="1" s="71">
      <c r="A187" s="141">
        <f>IF($G187="","",184)</f>
      </c>
      <c r="B187" s="140">
        <f>IF($G187="","",INDEX(资金台帐!$B$7:$B$3006,$G187))</f>
      </c>
      <c r="C187" s="141">
        <f>IF($G187="","",INDEX(资金台帐!$J$7:$J$3006,$G187))</f>
      </c>
      <c r="D187" s="172">
        <f>IF($G187="","",INDEX(资金台帐!$S$7:$S$3006,$G187))</f>
      </c>
      <c r="E187" s="141">
        <f>IF($G187="","",INDEX(资金台帐!$C$7:$C$3006,$G187))</f>
      </c>
      <c r="F187" s="142">
        <f>IF($G187="","",INDEX(资金台帐!$E$7:$E$3006,$G187)&amp;IF(INDEX(资金台帐!$M$7:$M$3006,$G187)="","","；"&amp;INDEX(资金台帐!$M$7:$M$3006,$G187)))</f>
      </c>
      <c r="G187" s="78">
        <f>IFERROR(MATCH(184,资金台帐!$Q$7:$Q$3006,0),"")</f>
      </c>
      <c r="H187" s="2" t="n"/>
      <c r="I187" s="141">
        <f>IF($O187="","",184)</f>
      </c>
      <c r="J187" s="140">
        <f>IF($O187="","",INDEX(资金台帐!$B$7:$B$3006,$O187))</f>
      </c>
      <c r="K187" s="141">
        <f>IF($O187="","",INDEX(资金台帐!$K$7:$K$3006,$O187))</f>
      </c>
      <c r="L187" s="172">
        <f>IF($O187="","",-INDEX(资金台帐!$S$7:$S$3006,$O187))</f>
      </c>
      <c r="M187" s="141">
        <f>IF($O187="","",INDEX(资金台帐!$C$7:$C$3006,$O187))</f>
      </c>
      <c r="N187" s="142">
        <f>IF($O187="","",INDEX(资金台帐!$E$7:$E$3006,$O187))</f>
      </c>
      <c r="O187" s="78">
        <f>IFERROR(MATCH(184,资金台帐!$R$7:$R$3006,0),"")</f>
      </c>
      <c r="P187" s="2" t="n"/>
      <c r="Q187" s="2" t="n"/>
      <c r="R187" s="2" t="n"/>
      <c r="S187" s="2" t="n"/>
      <c r="T187" s="2" t="n"/>
    </row>
    <row r="188" ht="15" customHeight="1" s="71">
      <c r="A188" s="141">
        <f>IF($G188="","",185)</f>
      </c>
      <c r="B188" s="140">
        <f>IF($G188="","",INDEX(资金台帐!$B$7:$B$3006,$G188))</f>
      </c>
      <c r="C188" s="141">
        <f>IF($G188="","",INDEX(资金台帐!$J$7:$J$3006,$G188))</f>
      </c>
      <c r="D188" s="172">
        <f>IF($G188="","",INDEX(资金台帐!$S$7:$S$3006,$G188))</f>
      </c>
      <c r="E188" s="141">
        <f>IF($G188="","",INDEX(资金台帐!$C$7:$C$3006,$G188))</f>
      </c>
      <c r="F188" s="142">
        <f>IF($G188="","",INDEX(资金台帐!$E$7:$E$3006,$G188)&amp;IF(INDEX(资金台帐!$M$7:$M$3006,$G188)="","","；"&amp;INDEX(资金台帐!$M$7:$M$3006,$G188)))</f>
      </c>
      <c r="G188" s="78">
        <f>IFERROR(MATCH(185,资金台帐!$Q$7:$Q$3006,0),"")</f>
      </c>
      <c r="H188" s="2" t="n"/>
      <c r="I188" s="141">
        <f>IF($O188="","",185)</f>
      </c>
      <c r="J188" s="140">
        <f>IF($O188="","",INDEX(资金台帐!$B$7:$B$3006,$O188))</f>
      </c>
      <c r="K188" s="141">
        <f>IF($O188="","",INDEX(资金台帐!$K$7:$K$3006,$O188))</f>
      </c>
      <c r="L188" s="172">
        <f>IF($O188="","",-INDEX(资金台帐!$S$7:$S$3006,$O188))</f>
      </c>
      <c r="M188" s="141">
        <f>IF($O188="","",INDEX(资金台帐!$C$7:$C$3006,$O188))</f>
      </c>
      <c r="N188" s="142">
        <f>IF($O188="","",INDEX(资金台帐!$E$7:$E$3006,$O188))</f>
      </c>
      <c r="O188" s="78">
        <f>IFERROR(MATCH(185,资金台帐!$R$7:$R$3006,0),"")</f>
      </c>
      <c r="P188" s="2" t="n"/>
      <c r="Q188" s="2" t="n"/>
      <c r="R188" s="2" t="n"/>
      <c r="S188" s="2" t="n"/>
      <c r="T188" s="2" t="n"/>
    </row>
    <row r="189" ht="15" customHeight="1" s="71">
      <c r="A189" s="141">
        <f>IF($G189="","",186)</f>
      </c>
      <c r="B189" s="140">
        <f>IF($G189="","",INDEX(资金台帐!$B$7:$B$3006,$G189))</f>
      </c>
      <c r="C189" s="141">
        <f>IF($G189="","",INDEX(资金台帐!$J$7:$J$3006,$G189))</f>
      </c>
      <c r="D189" s="172">
        <f>IF($G189="","",INDEX(资金台帐!$S$7:$S$3006,$G189))</f>
      </c>
      <c r="E189" s="141">
        <f>IF($G189="","",INDEX(资金台帐!$C$7:$C$3006,$G189))</f>
      </c>
      <c r="F189" s="142">
        <f>IF($G189="","",INDEX(资金台帐!$E$7:$E$3006,$G189)&amp;IF(INDEX(资金台帐!$M$7:$M$3006,$G189)="","","；"&amp;INDEX(资金台帐!$M$7:$M$3006,$G189)))</f>
      </c>
      <c r="G189" s="78">
        <f>IFERROR(MATCH(186,资金台帐!$Q$7:$Q$3006,0),"")</f>
      </c>
      <c r="H189" s="2" t="n"/>
      <c r="I189" s="141">
        <f>IF($O189="","",186)</f>
      </c>
      <c r="J189" s="140">
        <f>IF($O189="","",INDEX(资金台帐!$B$7:$B$3006,$O189))</f>
      </c>
      <c r="K189" s="141">
        <f>IF($O189="","",INDEX(资金台帐!$K$7:$K$3006,$O189))</f>
      </c>
      <c r="L189" s="172">
        <f>IF($O189="","",-INDEX(资金台帐!$S$7:$S$3006,$O189))</f>
      </c>
      <c r="M189" s="141">
        <f>IF($O189="","",INDEX(资金台帐!$C$7:$C$3006,$O189))</f>
      </c>
      <c r="N189" s="142">
        <f>IF($O189="","",INDEX(资金台帐!$E$7:$E$3006,$O189))</f>
      </c>
      <c r="O189" s="78">
        <f>IFERROR(MATCH(186,资金台帐!$R$7:$R$3006,0),"")</f>
      </c>
      <c r="P189" s="2" t="n"/>
      <c r="Q189" s="2" t="n"/>
      <c r="R189" s="2" t="n"/>
      <c r="S189" s="2" t="n"/>
      <c r="T189" s="2" t="n"/>
    </row>
    <row r="190" ht="15" customHeight="1" s="71">
      <c r="A190" s="141">
        <f>IF($G190="","",187)</f>
      </c>
      <c r="B190" s="140">
        <f>IF($G190="","",INDEX(资金台帐!$B$7:$B$3006,$G190))</f>
      </c>
      <c r="C190" s="141">
        <f>IF($G190="","",INDEX(资金台帐!$J$7:$J$3006,$G190))</f>
      </c>
      <c r="D190" s="172">
        <f>IF($G190="","",INDEX(资金台帐!$S$7:$S$3006,$G190))</f>
      </c>
      <c r="E190" s="141">
        <f>IF($G190="","",INDEX(资金台帐!$C$7:$C$3006,$G190))</f>
      </c>
      <c r="F190" s="142">
        <f>IF($G190="","",INDEX(资金台帐!$E$7:$E$3006,$G190)&amp;IF(INDEX(资金台帐!$M$7:$M$3006,$G190)="","","；"&amp;INDEX(资金台帐!$M$7:$M$3006,$G190)))</f>
      </c>
      <c r="G190" s="78">
        <f>IFERROR(MATCH(187,资金台帐!$Q$7:$Q$3006,0),"")</f>
      </c>
      <c r="H190" s="2" t="n"/>
      <c r="I190" s="141">
        <f>IF($O190="","",187)</f>
      </c>
      <c r="J190" s="140">
        <f>IF($O190="","",INDEX(资金台帐!$B$7:$B$3006,$O190))</f>
      </c>
      <c r="K190" s="141">
        <f>IF($O190="","",INDEX(资金台帐!$K$7:$K$3006,$O190))</f>
      </c>
      <c r="L190" s="172">
        <f>IF($O190="","",-INDEX(资金台帐!$S$7:$S$3006,$O190))</f>
      </c>
      <c r="M190" s="141">
        <f>IF($O190="","",INDEX(资金台帐!$C$7:$C$3006,$O190))</f>
      </c>
      <c r="N190" s="142">
        <f>IF($O190="","",INDEX(资金台帐!$E$7:$E$3006,$O190))</f>
      </c>
      <c r="O190" s="78">
        <f>IFERROR(MATCH(187,资金台帐!$R$7:$R$3006,0),"")</f>
      </c>
      <c r="P190" s="2" t="n"/>
      <c r="Q190" s="2" t="n"/>
      <c r="R190" s="2" t="n"/>
      <c r="S190" s="2" t="n"/>
      <c r="T190" s="2" t="n"/>
    </row>
    <row r="191" ht="15" customHeight="1" s="71">
      <c r="A191" s="141">
        <f>IF($G191="","",188)</f>
      </c>
      <c r="B191" s="140">
        <f>IF($G191="","",INDEX(资金台帐!$B$7:$B$3006,$G191))</f>
      </c>
      <c r="C191" s="141">
        <f>IF($G191="","",INDEX(资金台帐!$J$7:$J$3006,$G191))</f>
      </c>
      <c r="D191" s="172">
        <f>IF($G191="","",INDEX(资金台帐!$S$7:$S$3006,$G191))</f>
      </c>
      <c r="E191" s="141">
        <f>IF($G191="","",INDEX(资金台帐!$C$7:$C$3006,$G191))</f>
      </c>
      <c r="F191" s="142">
        <f>IF($G191="","",INDEX(资金台帐!$E$7:$E$3006,$G191)&amp;IF(INDEX(资金台帐!$M$7:$M$3006,$G191)="","","；"&amp;INDEX(资金台帐!$M$7:$M$3006,$G191)))</f>
      </c>
      <c r="G191" s="78">
        <f>IFERROR(MATCH(188,资金台帐!$Q$7:$Q$3006,0),"")</f>
      </c>
      <c r="H191" s="2" t="n"/>
      <c r="I191" s="141">
        <f>IF($O191="","",188)</f>
      </c>
      <c r="J191" s="140">
        <f>IF($O191="","",INDEX(资金台帐!$B$7:$B$3006,$O191))</f>
      </c>
      <c r="K191" s="141">
        <f>IF($O191="","",INDEX(资金台帐!$K$7:$K$3006,$O191))</f>
      </c>
      <c r="L191" s="172">
        <f>IF($O191="","",-INDEX(资金台帐!$S$7:$S$3006,$O191))</f>
      </c>
      <c r="M191" s="141">
        <f>IF($O191="","",INDEX(资金台帐!$C$7:$C$3006,$O191))</f>
      </c>
      <c r="N191" s="142">
        <f>IF($O191="","",INDEX(资金台帐!$E$7:$E$3006,$O191))</f>
      </c>
      <c r="O191" s="78">
        <f>IFERROR(MATCH(188,资金台帐!$R$7:$R$3006,0),"")</f>
      </c>
      <c r="P191" s="2" t="n"/>
      <c r="Q191" s="2" t="n"/>
      <c r="R191" s="2" t="n"/>
      <c r="S191" s="2" t="n"/>
      <c r="T191" s="2" t="n"/>
    </row>
    <row r="192" ht="15" customHeight="1" s="71">
      <c r="A192" s="141">
        <f>IF($G192="","",189)</f>
      </c>
      <c r="B192" s="140">
        <f>IF($G192="","",INDEX(资金台帐!$B$7:$B$3006,$G192))</f>
      </c>
      <c r="C192" s="141">
        <f>IF($G192="","",INDEX(资金台帐!$J$7:$J$3006,$G192))</f>
      </c>
      <c r="D192" s="172">
        <f>IF($G192="","",INDEX(资金台帐!$S$7:$S$3006,$G192))</f>
      </c>
      <c r="E192" s="141">
        <f>IF($G192="","",INDEX(资金台帐!$C$7:$C$3006,$G192))</f>
      </c>
      <c r="F192" s="142">
        <f>IF($G192="","",INDEX(资金台帐!$E$7:$E$3006,$G192)&amp;IF(INDEX(资金台帐!$M$7:$M$3006,$G192)="","","；"&amp;INDEX(资金台帐!$M$7:$M$3006,$G192)))</f>
      </c>
      <c r="G192" s="78">
        <f>IFERROR(MATCH(189,资金台帐!$Q$7:$Q$3006,0),"")</f>
      </c>
      <c r="H192" s="2" t="n"/>
      <c r="I192" s="141">
        <f>IF($O192="","",189)</f>
      </c>
      <c r="J192" s="140">
        <f>IF($O192="","",INDEX(资金台帐!$B$7:$B$3006,$O192))</f>
      </c>
      <c r="K192" s="141">
        <f>IF($O192="","",INDEX(资金台帐!$K$7:$K$3006,$O192))</f>
      </c>
      <c r="L192" s="172">
        <f>IF($O192="","",-INDEX(资金台帐!$S$7:$S$3006,$O192))</f>
      </c>
      <c r="M192" s="141">
        <f>IF($O192="","",INDEX(资金台帐!$C$7:$C$3006,$O192))</f>
      </c>
      <c r="N192" s="142">
        <f>IF($O192="","",INDEX(资金台帐!$E$7:$E$3006,$O192))</f>
      </c>
      <c r="O192" s="78">
        <f>IFERROR(MATCH(189,资金台帐!$R$7:$R$3006,0),"")</f>
      </c>
      <c r="P192" s="2" t="n"/>
      <c r="Q192" s="2" t="n"/>
      <c r="R192" s="2" t="n"/>
      <c r="S192" s="2" t="n"/>
      <c r="T192" s="2" t="n"/>
    </row>
    <row r="193" ht="15" customHeight="1" s="71">
      <c r="A193" s="141">
        <f>IF($G193="","",190)</f>
      </c>
      <c r="B193" s="140">
        <f>IF($G193="","",INDEX(资金台帐!$B$7:$B$3006,$G193))</f>
      </c>
      <c r="C193" s="141">
        <f>IF($G193="","",INDEX(资金台帐!$J$7:$J$3006,$G193))</f>
      </c>
      <c r="D193" s="172">
        <f>IF($G193="","",INDEX(资金台帐!$S$7:$S$3006,$G193))</f>
      </c>
      <c r="E193" s="141">
        <f>IF($G193="","",INDEX(资金台帐!$C$7:$C$3006,$G193))</f>
      </c>
      <c r="F193" s="142">
        <f>IF($G193="","",INDEX(资金台帐!$E$7:$E$3006,$G193)&amp;IF(INDEX(资金台帐!$M$7:$M$3006,$G193)="","","；"&amp;INDEX(资金台帐!$M$7:$M$3006,$G193)))</f>
      </c>
      <c r="G193" s="78">
        <f>IFERROR(MATCH(190,资金台帐!$Q$7:$Q$3006,0),"")</f>
      </c>
      <c r="H193" s="2" t="n"/>
      <c r="I193" s="141">
        <f>IF($O193="","",190)</f>
      </c>
      <c r="J193" s="140">
        <f>IF($O193="","",INDEX(资金台帐!$B$7:$B$3006,$O193))</f>
      </c>
      <c r="K193" s="141">
        <f>IF($O193="","",INDEX(资金台帐!$K$7:$K$3006,$O193))</f>
      </c>
      <c r="L193" s="172">
        <f>IF($O193="","",-INDEX(资金台帐!$S$7:$S$3006,$O193))</f>
      </c>
      <c r="M193" s="141">
        <f>IF($O193="","",INDEX(资金台帐!$C$7:$C$3006,$O193))</f>
      </c>
      <c r="N193" s="142">
        <f>IF($O193="","",INDEX(资金台帐!$E$7:$E$3006,$O193))</f>
      </c>
      <c r="O193" s="78">
        <f>IFERROR(MATCH(190,资金台帐!$R$7:$R$3006,0),"")</f>
      </c>
      <c r="P193" s="2" t="n"/>
      <c r="Q193" s="2" t="n"/>
      <c r="R193" s="2" t="n"/>
      <c r="S193" s="2" t="n"/>
      <c r="T193" s="2" t="n"/>
    </row>
    <row r="194" ht="15" customHeight="1" s="71">
      <c r="A194" s="141">
        <f>IF($G194="","",191)</f>
      </c>
      <c r="B194" s="140">
        <f>IF($G194="","",INDEX(资金台帐!$B$7:$B$3006,$G194))</f>
      </c>
      <c r="C194" s="141">
        <f>IF($G194="","",INDEX(资金台帐!$J$7:$J$3006,$G194))</f>
      </c>
      <c r="D194" s="172">
        <f>IF($G194="","",INDEX(资金台帐!$S$7:$S$3006,$G194))</f>
      </c>
      <c r="E194" s="141">
        <f>IF($G194="","",INDEX(资金台帐!$C$7:$C$3006,$G194))</f>
      </c>
      <c r="F194" s="142">
        <f>IF($G194="","",INDEX(资金台帐!$E$7:$E$3006,$G194)&amp;IF(INDEX(资金台帐!$M$7:$M$3006,$G194)="","","；"&amp;INDEX(资金台帐!$M$7:$M$3006,$G194)))</f>
      </c>
      <c r="G194" s="78">
        <f>IFERROR(MATCH(191,资金台帐!$Q$7:$Q$3006,0),"")</f>
      </c>
      <c r="H194" s="2" t="n"/>
      <c r="I194" s="141">
        <f>IF($O194="","",191)</f>
      </c>
      <c r="J194" s="140">
        <f>IF($O194="","",INDEX(资金台帐!$B$7:$B$3006,$O194))</f>
      </c>
      <c r="K194" s="141">
        <f>IF($O194="","",INDEX(资金台帐!$K$7:$K$3006,$O194))</f>
      </c>
      <c r="L194" s="172">
        <f>IF($O194="","",-INDEX(资金台帐!$S$7:$S$3006,$O194))</f>
      </c>
      <c r="M194" s="141">
        <f>IF($O194="","",INDEX(资金台帐!$C$7:$C$3006,$O194))</f>
      </c>
      <c r="N194" s="142">
        <f>IF($O194="","",INDEX(资金台帐!$E$7:$E$3006,$O194))</f>
      </c>
      <c r="O194" s="78">
        <f>IFERROR(MATCH(191,资金台帐!$R$7:$R$3006,0),"")</f>
      </c>
      <c r="P194" s="2" t="n"/>
      <c r="Q194" s="2" t="n"/>
      <c r="R194" s="2" t="n"/>
      <c r="S194" s="2" t="n"/>
      <c r="T194" s="2" t="n"/>
    </row>
    <row r="195" ht="15" customHeight="1" s="71">
      <c r="A195" s="141">
        <f>IF($G195="","",192)</f>
      </c>
      <c r="B195" s="140">
        <f>IF($G195="","",INDEX(资金台帐!$B$7:$B$3006,$G195))</f>
      </c>
      <c r="C195" s="141">
        <f>IF($G195="","",INDEX(资金台帐!$J$7:$J$3006,$G195))</f>
      </c>
      <c r="D195" s="172">
        <f>IF($G195="","",INDEX(资金台帐!$S$7:$S$3006,$G195))</f>
      </c>
      <c r="E195" s="141">
        <f>IF($G195="","",INDEX(资金台帐!$C$7:$C$3006,$G195))</f>
      </c>
      <c r="F195" s="142">
        <f>IF($G195="","",INDEX(资金台帐!$E$7:$E$3006,$G195)&amp;IF(INDEX(资金台帐!$M$7:$M$3006,$G195)="","","；"&amp;INDEX(资金台帐!$M$7:$M$3006,$G195)))</f>
      </c>
      <c r="G195" s="78">
        <f>IFERROR(MATCH(192,资金台帐!$Q$7:$Q$3006,0),"")</f>
      </c>
      <c r="H195" s="2" t="n"/>
      <c r="I195" s="141">
        <f>IF($O195="","",192)</f>
      </c>
      <c r="J195" s="140">
        <f>IF($O195="","",INDEX(资金台帐!$B$7:$B$3006,$O195))</f>
      </c>
      <c r="K195" s="141">
        <f>IF($O195="","",INDEX(资金台帐!$K$7:$K$3006,$O195))</f>
      </c>
      <c r="L195" s="172">
        <f>IF($O195="","",-INDEX(资金台帐!$S$7:$S$3006,$O195))</f>
      </c>
      <c r="M195" s="141">
        <f>IF($O195="","",INDEX(资金台帐!$C$7:$C$3006,$O195))</f>
      </c>
      <c r="N195" s="142">
        <f>IF($O195="","",INDEX(资金台帐!$E$7:$E$3006,$O195))</f>
      </c>
      <c r="O195" s="78">
        <f>IFERROR(MATCH(192,资金台帐!$R$7:$R$3006,0),"")</f>
      </c>
      <c r="P195" s="2" t="n"/>
      <c r="Q195" s="2" t="n"/>
      <c r="R195" s="2" t="n"/>
      <c r="S195" s="2" t="n"/>
      <c r="T195" s="2" t="n"/>
    </row>
    <row r="196" ht="15" customHeight="1" s="71">
      <c r="A196" s="141">
        <f>IF($G196="","",193)</f>
      </c>
      <c r="B196" s="140">
        <f>IF($G196="","",INDEX(资金台帐!$B$7:$B$3006,$G196))</f>
      </c>
      <c r="C196" s="141">
        <f>IF($G196="","",INDEX(资金台帐!$J$7:$J$3006,$G196))</f>
      </c>
      <c r="D196" s="172">
        <f>IF($G196="","",INDEX(资金台帐!$S$7:$S$3006,$G196))</f>
      </c>
      <c r="E196" s="141">
        <f>IF($G196="","",INDEX(资金台帐!$C$7:$C$3006,$G196))</f>
      </c>
      <c r="F196" s="142">
        <f>IF($G196="","",INDEX(资金台帐!$E$7:$E$3006,$G196)&amp;IF(INDEX(资金台帐!$M$7:$M$3006,$G196)="","","；"&amp;INDEX(资金台帐!$M$7:$M$3006,$G196)))</f>
      </c>
      <c r="G196" s="78">
        <f>IFERROR(MATCH(193,资金台帐!$Q$7:$Q$3006,0),"")</f>
      </c>
      <c r="H196" s="2" t="n"/>
      <c r="I196" s="141">
        <f>IF($O196="","",193)</f>
      </c>
      <c r="J196" s="140">
        <f>IF($O196="","",INDEX(资金台帐!$B$7:$B$3006,$O196))</f>
      </c>
      <c r="K196" s="141">
        <f>IF($O196="","",INDEX(资金台帐!$K$7:$K$3006,$O196))</f>
      </c>
      <c r="L196" s="172">
        <f>IF($O196="","",-INDEX(资金台帐!$S$7:$S$3006,$O196))</f>
      </c>
      <c r="M196" s="141">
        <f>IF($O196="","",INDEX(资金台帐!$C$7:$C$3006,$O196))</f>
      </c>
      <c r="N196" s="142">
        <f>IF($O196="","",INDEX(资金台帐!$E$7:$E$3006,$O196))</f>
      </c>
      <c r="O196" s="78">
        <f>IFERROR(MATCH(193,资金台帐!$R$7:$R$3006,0),"")</f>
      </c>
      <c r="P196" s="2" t="n"/>
      <c r="Q196" s="2" t="n"/>
      <c r="R196" s="2" t="n"/>
      <c r="S196" s="2" t="n"/>
      <c r="T196" s="2" t="n"/>
    </row>
    <row r="197" ht="15" customHeight="1" s="71">
      <c r="A197" s="141">
        <f>IF($G197="","",194)</f>
      </c>
      <c r="B197" s="140">
        <f>IF($G197="","",INDEX(资金台帐!$B$7:$B$3006,$G197))</f>
      </c>
      <c r="C197" s="141">
        <f>IF($G197="","",INDEX(资金台帐!$J$7:$J$3006,$G197))</f>
      </c>
      <c r="D197" s="172">
        <f>IF($G197="","",INDEX(资金台帐!$S$7:$S$3006,$G197))</f>
      </c>
      <c r="E197" s="141">
        <f>IF($G197="","",INDEX(资金台帐!$C$7:$C$3006,$G197))</f>
      </c>
      <c r="F197" s="142">
        <f>IF($G197="","",INDEX(资金台帐!$E$7:$E$3006,$G197)&amp;IF(INDEX(资金台帐!$M$7:$M$3006,$G197)="","","；"&amp;INDEX(资金台帐!$M$7:$M$3006,$G197)))</f>
      </c>
      <c r="G197" s="78">
        <f>IFERROR(MATCH(194,资金台帐!$Q$7:$Q$3006,0),"")</f>
      </c>
      <c r="H197" s="2" t="n"/>
      <c r="I197" s="141">
        <f>IF($O197="","",194)</f>
      </c>
      <c r="J197" s="140">
        <f>IF($O197="","",INDEX(资金台帐!$B$7:$B$3006,$O197))</f>
      </c>
      <c r="K197" s="141">
        <f>IF($O197="","",INDEX(资金台帐!$K$7:$K$3006,$O197))</f>
      </c>
      <c r="L197" s="172">
        <f>IF($O197="","",-INDEX(资金台帐!$S$7:$S$3006,$O197))</f>
      </c>
      <c r="M197" s="141">
        <f>IF($O197="","",INDEX(资金台帐!$C$7:$C$3006,$O197))</f>
      </c>
      <c r="N197" s="142">
        <f>IF($O197="","",INDEX(资金台帐!$E$7:$E$3006,$O197))</f>
      </c>
      <c r="O197" s="78">
        <f>IFERROR(MATCH(194,资金台帐!$R$7:$R$3006,0),"")</f>
      </c>
      <c r="P197" s="2" t="n"/>
      <c r="Q197" s="2" t="n"/>
      <c r="R197" s="2" t="n"/>
      <c r="S197" s="2" t="n"/>
      <c r="T197" s="2" t="n"/>
    </row>
    <row r="198" ht="15" customHeight="1" s="71">
      <c r="A198" s="141">
        <f>IF($G198="","",195)</f>
      </c>
      <c r="B198" s="140">
        <f>IF($G198="","",INDEX(资金台帐!$B$7:$B$3006,$G198))</f>
      </c>
      <c r="C198" s="141">
        <f>IF($G198="","",INDEX(资金台帐!$J$7:$J$3006,$G198))</f>
      </c>
      <c r="D198" s="172">
        <f>IF($G198="","",INDEX(资金台帐!$S$7:$S$3006,$G198))</f>
      </c>
      <c r="E198" s="141">
        <f>IF($G198="","",INDEX(资金台帐!$C$7:$C$3006,$G198))</f>
      </c>
      <c r="F198" s="142">
        <f>IF($G198="","",INDEX(资金台帐!$E$7:$E$3006,$G198)&amp;IF(INDEX(资金台帐!$M$7:$M$3006,$G198)="","","；"&amp;INDEX(资金台帐!$M$7:$M$3006,$G198)))</f>
      </c>
      <c r="G198" s="78">
        <f>IFERROR(MATCH(195,资金台帐!$Q$7:$Q$3006,0),"")</f>
      </c>
      <c r="H198" s="2" t="n"/>
      <c r="I198" s="141">
        <f>IF($O198="","",195)</f>
      </c>
      <c r="J198" s="140">
        <f>IF($O198="","",INDEX(资金台帐!$B$7:$B$3006,$O198))</f>
      </c>
      <c r="K198" s="141">
        <f>IF($O198="","",INDEX(资金台帐!$K$7:$K$3006,$O198))</f>
      </c>
      <c r="L198" s="172">
        <f>IF($O198="","",-INDEX(资金台帐!$S$7:$S$3006,$O198))</f>
      </c>
      <c r="M198" s="141">
        <f>IF($O198="","",INDEX(资金台帐!$C$7:$C$3006,$O198))</f>
      </c>
      <c r="N198" s="142">
        <f>IF($O198="","",INDEX(资金台帐!$E$7:$E$3006,$O198))</f>
      </c>
      <c r="O198" s="78">
        <f>IFERROR(MATCH(195,资金台帐!$R$7:$R$3006,0),"")</f>
      </c>
      <c r="P198" s="2" t="n"/>
      <c r="Q198" s="2" t="n"/>
      <c r="R198" s="2" t="n"/>
      <c r="S198" s="2" t="n"/>
      <c r="T198" s="2" t="n"/>
    </row>
    <row r="199" ht="15" customHeight="1" s="71">
      <c r="A199" s="141">
        <f>IF($G199="","",196)</f>
      </c>
      <c r="B199" s="140">
        <f>IF($G199="","",INDEX(资金台帐!$B$7:$B$3006,$G199))</f>
      </c>
      <c r="C199" s="141">
        <f>IF($G199="","",INDEX(资金台帐!$J$7:$J$3006,$G199))</f>
      </c>
      <c r="D199" s="172">
        <f>IF($G199="","",INDEX(资金台帐!$S$7:$S$3006,$G199))</f>
      </c>
      <c r="E199" s="141">
        <f>IF($G199="","",INDEX(资金台帐!$C$7:$C$3006,$G199))</f>
      </c>
      <c r="F199" s="142">
        <f>IF($G199="","",INDEX(资金台帐!$E$7:$E$3006,$G199)&amp;IF(INDEX(资金台帐!$M$7:$M$3006,$G199)="","","；"&amp;INDEX(资金台帐!$M$7:$M$3006,$G199)))</f>
      </c>
      <c r="G199" s="78">
        <f>IFERROR(MATCH(196,资金台帐!$Q$7:$Q$3006,0),"")</f>
      </c>
      <c r="H199" s="2" t="n"/>
      <c r="I199" s="141">
        <f>IF($O199="","",196)</f>
      </c>
      <c r="J199" s="140">
        <f>IF($O199="","",INDEX(资金台帐!$B$7:$B$3006,$O199))</f>
      </c>
      <c r="K199" s="141">
        <f>IF($O199="","",INDEX(资金台帐!$K$7:$K$3006,$O199))</f>
      </c>
      <c r="L199" s="172">
        <f>IF($O199="","",-INDEX(资金台帐!$S$7:$S$3006,$O199))</f>
      </c>
      <c r="M199" s="141">
        <f>IF($O199="","",INDEX(资金台帐!$C$7:$C$3006,$O199))</f>
      </c>
      <c r="N199" s="142">
        <f>IF($O199="","",INDEX(资金台帐!$E$7:$E$3006,$O199))</f>
      </c>
      <c r="O199" s="78">
        <f>IFERROR(MATCH(196,资金台帐!$R$7:$R$3006,0),"")</f>
      </c>
      <c r="P199" s="2" t="n"/>
      <c r="Q199" s="2" t="n"/>
      <c r="R199" s="2" t="n"/>
      <c r="S199" s="2" t="n"/>
      <c r="T199" s="2" t="n"/>
    </row>
    <row r="200" ht="15" customHeight="1" s="71">
      <c r="A200" s="141">
        <f>IF($G200="","",197)</f>
      </c>
      <c r="B200" s="140">
        <f>IF($G200="","",INDEX(资金台帐!$B$7:$B$3006,$G200))</f>
      </c>
      <c r="C200" s="141">
        <f>IF($G200="","",INDEX(资金台帐!$J$7:$J$3006,$G200))</f>
      </c>
      <c r="D200" s="172">
        <f>IF($G200="","",INDEX(资金台帐!$S$7:$S$3006,$G200))</f>
      </c>
      <c r="E200" s="141">
        <f>IF($G200="","",INDEX(资金台帐!$C$7:$C$3006,$G200))</f>
      </c>
      <c r="F200" s="142">
        <f>IF($G200="","",INDEX(资金台帐!$E$7:$E$3006,$G200)&amp;IF(INDEX(资金台帐!$M$7:$M$3006,$G200)="","","；"&amp;INDEX(资金台帐!$M$7:$M$3006,$G200)))</f>
      </c>
      <c r="G200" s="78">
        <f>IFERROR(MATCH(197,资金台帐!$Q$7:$Q$3006,0),"")</f>
      </c>
      <c r="H200" s="2" t="n"/>
      <c r="I200" s="141">
        <f>IF($O200="","",197)</f>
      </c>
      <c r="J200" s="140">
        <f>IF($O200="","",INDEX(资金台帐!$B$7:$B$3006,$O200))</f>
      </c>
      <c r="K200" s="141">
        <f>IF($O200="","",INDEX(资金台帐!$K$7:$K$3006,$O200))</f>
      </c>
      <c r="L200" s="172">
        <f>IF($O200="","",-INDEX(资金台帐!$S$7:$S$3006,$O200))</f>
      </c>
      <c r="M200" s="141">
        <f>IF($O200="","",INDEX(资金台帐!$C$7:$C$3006,$O200))</f>
      </c>
      <c r="N200" s="142">
        <f>IF($O200="","",INDEX(资金台帐!$E$7:$E$3006,$O200))</f>
      </c>
      <c r="O200" s="78">
        <f>IFERROR(MATCH(197,资金台帐!$R$7:$R$3006,0),"")</f>
      </c>
      <c r="P200" s="2" t="n"/>
      <c r="Q200" s="2" t="n"/>
      <c r="R200" s="2" t="n"/>
      <c r="S200" s="2" t="n"/>
      <c r="T200" s="2" t="n"/>
    </row>
    <row r="201" ht="15" customHeight="1" s="71">
      <c r="A201" s="141">
        <f>IF($G201="","",198)</f>
      </c>
      <c r="B201" s="140">
        <f>IF($G201="","",INDEX(资金台帐!$B$7:$B$3006,$G201))</f>
      </c>
      <c r="C201" s="141">
        <f>IF($G201="","",INDEX(资金台帐!$J$7:$J$3006,$G201))</f>
      </c>
      <c r="D201" s="172">
        <f>IF($G201="","",INDEX(资金台帐!$S$7:$S$3006,$G201))</f>
      </c>
      <c r="E201" s="141">
        <f>IF($G201="","",INDEX(资金台帐!$C$7:$C$3006,$G201))</f>
      </c>
      <c r="F201" s="142">
        <f>IF($G201="","",INDEX(资金台帐!$E$7:$E$3006,$G201)&amp;IF(INDEX(资金台帐!$M$7:$M$3006,$G201)="","","；"&amp;INDEX(资金台帐!$M$7:$M$3006,$G201)))</f>
      </c>
      <c r="G201" s="78">
        <f>IFERROR(MATCH(198,资金台帐!$Q$7:$Q$3006,0),"")</f>
      </c>
      <c r="H201" s="2" t="n"/>
      <c r="I201" s="141">
        <f>IF($O201="","",198)</f>
      </c>
      <c r="J201" s="140">
        <f>IF($O201="","",INDEX(资金台帐!$B$7:$B$3006,$O201))</f>
      </c>
      <c r="K201" s="141">
        <f>IF($O201="","",INDEX(资金台帐!$K$7:$K$3006,$O201))</f>
      </c>
      <c r="L201" s="172">
        <f>IF($O201="","",-INDEX(资金台帐!$S$7:$S$3006,$O201))</f>
      </c>
      <c r="M201" s="141">
        <f>IF($O201="","",INDEX(资金台帐!$C$7:$C$3006,$O201))</f>
      </c>
      <c r="N201" s="142">
        <f>IF($O201="","",INDEX(资金台帐!$E$7:$E$3006,$O201))</f>
      </c>
      <c r="O201" s="78">
        <f>IFERROR(MATCH(198,资金台帐!$R$7:$R$3006,0),"")</f>
      </c>
      <c r="P201" s="2" t="n"/>
      <c r="Q201" s="2" t="n"/>
      <c r="R201" s="2" t="n"/>
      <c r="S201" s="2" t="n"/>
      <c r="T201" s="2" t="n"/>
    </row>
    <row r="202" ht="15" customHeight="1" s="71">
      <c r="A202" s="141">
        <f>IF($G202="","",199)</f>
      </c>
      <c r="B202" s="140">
        <f>IF($G202="","",INDEX(资金台帐!$B$7:$B$3006,$G202))</f>
      </c>
      <c r="C202" s="141">
        <f>IF($G202="","",INDEX(资金台帐!$J$7:$J$3006,$G202))</f>
      </c>
      <c r="D202" s="172">
        <f>IF($G202="","",INDEX(资金台帐!$S$7:$S$3006,$G202))</f>
      </c>
      <c r="E202" s="141">
        <f>IF($G202="","",INDEX(资金台帐!$C$7:$C$3006,$G202))</f>
      </c>
      <c r="F202" s="142">
        <f>IF($G202="","",INDEX(资金台帐!$E$7:$E$3006,$G202)&amp;IF(INDEX(资金台帐!$M$7:$M$3006,$G202)="","","；"&amp;INDEX(资金台帐!$M$7:$M$3006,$G202)))</f>
      </c>
      <c r="G202" s="78">
        <f>IFERROR(MATCH(199,资金台帐!$Q$7:$Q$3006,0),"")</f>
      </c>
      <c r="H202" s="2" t="n"/>
      <c r="I202" s="141">
        <f>IF($O202="","",199)</f>
      </c>
      <c r="J202" s="140">
        <f>IF($O202="","",INDEX(资金台帐!$B$7:$B$3006,$O202))</f>
      </c>
      <c r="K202" s="141">
        <f>IF($O202="","",INDEX(资金台帐!$K$7:$K$3006,$O202))</f>
      </c>
      <c r="L202" s="172">
        <f>IF($O202="","",-INDEX(资金台帐!$S$7:$S$3006,$O202))</f>
      </c>
      <c r="M202" s="141">
        <f>IF($O202="","",INDEX(资金台帐!$C$7:$C$3006,$O202))</f>
      </c>
      <c r="N202" s="142">
        <f>IF($O202="","",INDEX(资金台帐!$E$7:$E$3006,$O202))</f>
      </c>
      <c r="O202" s="78">
        <f>IFERROR(MATCH(199,资金台帐!$R$7:$R$3006,0),"")</f>
      </c>
      <c r="P202" s="2" t="n"/>
      <c r="Q202" s="2" t="n"/>
      <c r="R202" s="2" t="n"/>
      <c r="S202" s="2" t="n"/>
      <c r="T202" s="2" t="n"/>
    </row>
    <row r="203" ht="15" customHeight="1" s="71">
      <c r="A203" s="141">
        <f>IF($G203="","",200)</f>
      </c>
      <c r="B203" s="140">
        <f>IF($G203="","",INDEX(资金台帐!$B$7:$B$3006,$G203))</f>
      </c>
      <c r="C203" s="141">
        <f>IF($G203="","",INDEX(资金台帐!$J$7:$J$3006,$G203))</f>
      </c>
      <c r="D203" s="172">
        <f>IF($G203="","",INDEX(资金台帐!$S$7:$S$3006,$G203))</f>
      </c>
      <c r="E203" s="141">
        <f>IF($G203="","",INDEX(资金台帐!$C$7:$C$3006,$G203))</f>
      </c>
      <c r="F203" s="142">
        <f>IF($G203="","",INDEX(资金台帐!$E$7:$E$3006,$G203)&amp;IF(INDEX(资金台帐!$M$7:$M$3006,$G203)="","","；"&amp;INDEX(资金台帐!$M$7:$M$3006,$G203)))</f>
      </c>
      <c r="G203" s="78">
        <f>IFERROR(MATCH(200,资金台帐!$Q$7:$Q$3006,0),"")</f>
      </c>
      <c r="H203" s="2" t="n"/>
      <c r="I203" s="141">
        <f>IF($O203="","",200)</f>
      </c>
      <c r="J203" s="140">
        <f>IF($O203="","",INDEX(资金台帐!$B$7:$B$3006,$O203))</f>
      </c>
      <c r="K203" s="141">
        <f>IF($O203="","",INDEX(资金台帐!$K$7:$K$3006,$O203))</f>
      </c>
      <c r="L203" s="172">
        <f>IF($O203="","",-INDEX(资金台帐!$S$7:$S$3006,$O203))</f>
      </c>
      <c r="M203" s="141">
        <f>IF($O203="","",INDEX(资金台帐!$C$7:$C$3006,$O203))</f>
      </c>
      <c r="N203" s="142">
        <f>IF($O203="","",INDEX(资金台帐!$E$7:$E$3006,$O203))</f>
      </c>
      <c r="O203" s="78">
        <f>IFERROR(MATCH(200,资金台帐!$R$7:$R$3006,0),"")</f>
      </c>
      <c r="P203" s="2" t="n"/>
      <c r="Q203" s="2" t="n"/>
      <c r="R203" s="2" t="n"/>
      <c r="S203" s="2" t="n"/>
      <c r="T203" s="2" t="n"/>
    </row>
    <row r="204" ht="15" customHeight="1" s="71">
      <c r="A204" s="141">
        <f>IF($G204="","",201)</f>
      </c>
      <c r="B204" s="140">
        <f>IF($G204="","",INDEX(资金台帐!$B$7:$B$3006,$G204))</f>
      </c>
      <c r="C204" s="141">
        <f>IF($G204="","",INDEX(资金台帐!$J$7:$J$3006,$G204))</f>
      </c>
      <c r="D204" s="172">
        <f>IF($G204="","",INDEX(资金台帐!$S$7:$S$3006,$G204))</f>
      </c>
      <c r="E204" s="141">
        <f>IF($G204="","",INDEX(资金台帐!$C$7:$C$3006,$G204))</f>
      </c>
      <c r="F204" s="142">
        <f>IF($G204="","",INDEX(资金台帐!$E$7:$E$3006,$G204)&amp;IF(INDEX(资金台帐!$M$7:$M$3006,$G204)="","","；"&amp;INDEX(资金台帐!$M$7:$M$3006,$G204)))</f>
      </c>
      <c r="G204" s="78">
        <f>IFERROR(MATCH(201,资金台帐!$Q$7:$Q$3006,0),"")</f>
      </c>
      <c r="H204" s="2" t="n"/>
      <c r="I204" s="141">
        <f>IF($O204="","",201)</f>
      </c>
      <c r="J204" s="140">
        <f>IF($O204="","",INDEX(资金台帐!$B$7:$B$3006,$O204))</f>
      </c>
      <c r="K204" s="141">
        <f>IF($O204="","",INDEX(资金台帐!$K$7:$K$3006,$O204))</f>
      </c>
      <c r="L204" s="172">
        <f>IF($O204="","",-INDEX(资金台帐!$S$7:$S$3006,$O204))</f>
      </c>
      <c r="M204" s="141">
        <f>IF($O204="","",INDEX(资金台帐!$C$7:$C$3006,$O204))</f>
      </c>
      <c r="N204" s="142">
        <f>IF($O204="","",INDEX(资金台帐!$E$7:$E$3006,$O204))</f>
      </c>
      <c r="O204" s="78">
        <f>IFERROR(MATCH(201,资金台帐!$R$7:$R$3006,0),"")</f>
      </c>
      <c r="P204" s="2" t="n"/>
      <c r="Q204" s="2" t="n"/>
      <c r="R204" s="2" t="n"/>
      <c r="S204" s="2" t="n"/>
      <c r="T204" s="2" t="n"/>
    </row>
    <row r="205">
      <c r="A205" s="141">
        <f>IF($G205="","",202)</f>
      </c>
      <c r="B205" s="140">
        <f>IF($G205="","",INDEX(资金台帐!$B$7:$B$3006,$G205))</f>
      </c>
      <c r="C205" s="141">
        <f>IF($G205="","",INDEX(资金台帐!$J$7:$J$3006,$G205))</f>
      </c>
      <c r="D205" s="172">
        <f>IF($G205="","",INDEX(资金台帐!$S$7:$S$3006,$G205))</f>
      </c>
      <c r="E205" s="141">
        <f>IF($G205="","",INDEX(资金台帐!$C$7:$C$3006,$G205))</f>
      </c>
      <c r="F205" s="142">
        <f>IF($G205="","",INDEX(资金台帐!$E$7:$E$3006,$G205)&amp;IF(INDEX(资金台帐!$M$7:$M$3006,$G205)="","","；"&amp;INDEX(资金台帐!$M$7:$M$3006,$G205)))</f>
      </c>
      <c r="G205" s="78">
        <f>IFERROR(MATCH(202,资金台帐!$Q$7:$Q$3006,0),"")</f>
      </c>
      <c r="I205" s="141">
        <f>IF($O205="","",202)</f>
      </c>
      <c r="J205" s="140">
        <f>IF($O205="","",INDEX(资金台帐!$B$7:$B$3006,$O205))</f>
      </c>
      <c r="K205" s="141">
        <f>IF($O205="","",INDEX(资金台帐!$K$7:$K$3006,$O205))</f>
      </c>
      <c r="L205" s="172">
        <f>IF($O205="","",-INDEX(资金台帐!$S$7:$S$3006,$O205))</f>
      </c>
      <c r="M205" s="141">
        <f>IF($O205="","",INDEX(资金台帐!$C$7:$C$3006,$O205))</f>
      </c>
      <c r="N205" s="142">
        <f>IF($O205="","",INDEX(资金台帐!$E$7:$E$3006,$O205))</f>
      </c>
      <c r="O205" s="78">
        <f>IFERROR(MATCH(202,资金台帐!$R$7:$R$3006,0),"")</f>
      </c>
    </row>
    <row r="206">
      <c r="A206" s="141">
        <f>IF($G206="","",203)</f>
      </c>
      <c r="B206" s="140">
        <f>IF($G206="","",INDEX(资金台帐!$B$7:$B$3006,$G206))</f>
      </c>
      <c r="C206" s="141">
        <f>IF($G206="","",INDEX(资金台帐!$J$7:$J$3006,$G206))</f>
      </c>
      <c r="D206" s="172">
        <f>IF($G206="","",INDEX(资金台帐!$S$7:$S$3006,$G206))</f>
      </c>
      <c r="E206" s="141">
        <f>IF($G206="","",INDEX(资金台帐!$C$7:$C$3006,$G206))</f>
      </c>
      <c r="F206" s="142">
        <f>IF($G206="","",INDEX(资金台帐!$E$7:$E$3006,$G206)&amp;IF(INDEX(资金台帐!$M$7:$M$3006,$G206)="","","；"&amp;INDEX(资金台帐!$M$7:$M$3006,$G206)))</f>
      </c>
      <c r="G206" s="78">
        <f>IFERROR(MATCH(203,资金台帐!$Q$7:$Q$3006,0),"")</f>
      </c>
      <c r="I206" s="141">
        <f>IF($O206="","",203)</f>
      </c>
      <c r="J206" s="140">
        <f>IF($O206="","",INDEX(资金台帐!$B$7:$B$3006,$O206))</f>
      </c>
      <c r="K206" s="141">
        <f>IF($O206="","",INDEX(资金台帐!$K$7:$K$3006,$O206))</f>
      </c>
      <c r="L206" s="172">
        <f>IF($O206="","",-INDEX(资金台帐!$S$7:$S$3006,$O206))</f>
      </c>
      <c r="M206" s="141">
        <f>IF($O206="","",INDEX(资金台帐!$C$7:$C$3006,$O206))</f>
      </c>
      <c r="N206" s="142">
        <f>IF($O206="","",INDEX(资金台帐!$E$7:$E$3006,$O206))</f>
      </c>
      <c r="O206" s="78">
        <f>IFERROR(MATCH(203,资金台帐!$R$7:$R$3006,0),"")</f>
      </c>
    </row>
    <row r="207">
      <c r="A207" s="141">
        <f>IF($G207="","",204)</f>
      </c>
      <c r="B207" s="140">
        <f>IF($G207="","",INDEX(资金台帐!$B$7:$B$3006,$G207))</f>
      </c>
      <c r="C207" s="141">
        <f>IF($G207="","",INDEX(资金台帐!$J$7:$J$3006,$G207))</f>
      </c>
      <c r="D207" s="172">
        <f>IF($G207="","",INDEX(资金台帐!$S$7:$S$3006,$G207))</f>
      </c>
      <c r="E207" s="141">
        <f>IF($G207="","",INDEX(资金台帐!$C$7:$C$3006,$G207))</f>
      </c>
      <c r="F207" s="142">
        <f>IF($G207="","",INDEX(资金台帐!$E$7:$E$3006,$G207)&amp;IF(INDEX(资金台帐!$M$7:$M$3006,$G207)="","","；"&amp;INDEX(资金台帐!$M$7:$M$3006,$G207)))</f>
      </c>
      <c r="G207" s="78">
        <f>IFERROR(MATCH(204,资金台帐!$Q$7:$Q$3006,0),"")</f>
      </c>
      <c r="I207" s="141">
        <f>IF($O207="","",204)</f>
      </c>
      <c r="J207" s="140">
        <f>IF($O207="","",INDEX(资金台帐!$B$7:$B$3006,$O207))</f>
      </c>
      <c r="K207" s="141">
        <f>IF($O207="","",INDEX(资金台帐!$K$7:$K$3006,$O207))</f>
      </c>
      <c r="L207" s="172">
        <f>IF($O207="","",-INDEX(资金台帐!$S$7:$S$3006,$O207))</f>
      </c>
      <c r="M207" s="141">
        <f>IF($O207="","",INDEX(资金台帐!$C$7:$C$3006,$O207))</f>
      </c>
      <c r="N207" s="142">
        <f>IF($O207="","",INDEX(资金台帐!$E$7:$E$3006,$O207))</f>
      </c>
      <c r="O207" s="78">
        <f>IFERROR(MATCH(204,资金台帐!$R$7:$R$3006,0),"")</f>
      </c>
    </row>
    <row r="208">
      <c r="A208" s="141">
        <f>IF($G208="","",205)</f>
      </c>
      <c r="B208" s="140">
        <f>IF($G208="","",INDEX(资金台帐!$B$7:$B$3006,$G208))</f>
      </c>
      <c r="C208" s="141">
        <f>IF($G208="","",INDEX(资金台帐!$J$7:$J$3006,$G208))</f>
      </c>
      <c r="D208" s="172">
        <f>IF($G208="","",INDEX(资金台帐!$S$7:$S$3006,$G208))</f>
      </c>
      <c r="E208" s="141">
        <f>IF($G208="","",INDEX(资金台帐!$C$7:$C$3006,$G208))</f>
      </c>
      <c r="F208" s="142">
        <f>IF($G208="","",INDEX(资金台帐!$E$7:$E$3006,$G208)&amp;IF(INDEX(资金台帐!$M$7:$M$3006,$G208)="","","；"&amp;INDEX(资金台帐!$M$7:$M$3006,$G208)))</f>
      </c>
      <c r="G208" s="78">
        <f>IFERROR(MATCH(205,资金台帐!$Q$7:$Q$3006,0),"")</f>
      </c>
      <c r="I208" s="141">
        <f>IF($O208="","",205)</f>
      </c>
      <c r="J208" s="140">
        <f>IF($O208="","",INDEX(资金台帐!$B$7:$B$3006,$O208))</f>
      </c>
      <c r="K208" s="141">
        <f>IF($O208="","",INDEX(资金台帐!$K$7:$K$3006,$O208))</f>
      </c>
      <c r="L208" s="172">
        <f>IF($O208="","",-INDEX(资金台帐!$S$7:$S$3006,$O208))</f>
      </c>
      <c r="M208" s="141">
        <f>IF($O208="","",INDEX(资金台帐!$C$7:$C$3006,$O208))</f>
      </c>
      <c r="N208" s="142">
        <f>IF($O208="","",INDEX(资金台帐!$E$7:$E$3006,$O208))</f>
      </c>
      <c r="O208" s="78">
        <f>IFERROR(MATCH(205,资金台帐!$R$7:$R$3006,0),"")</f>
      </c>
    </row>
    <row r="209">
      <c r="A209" s="141">
        <f>IF($G209="","",206)</f>
      </c>
      <c r="B209" s="140">
        <f>IF($G209="","",INDEX(资金台帐!$B$7:$B$3006,$G209))</f>
      </c>
      <c r="C209" s="141">
        <f>IF($G209="","",INDEX(资金台帐!$J$7:$J$3006,$G209))</f>
      </c>
      <c r="D209" s="172">
        <f>IF($G209="","",INDEX(资金台帐!$S$7:$S$3006,$G209))</f>
      </c>
      <c r="E209" s="141">
        <f>IF($G209="","",INDEX(资金台帐!$C$7:$C$3006,$G209))</f>
      </c>
      <c r="F209" s="142">
        <f>IF($G209="","",INDEX(资金台帐!$E$7:$E$3006,$G209)&amp;IF(INDEX(资金台帐!$M$7:$M$3006,$G209)="","","；"&amp;INDEX(资金台帐!$M$7:$M$3006,$G209)))</f>
      </c>
      <c r="G209" s="78">
        <f>IFERROR(MATCH(206,资金台帐!$Q$7:$Q$3006,0),"")</f>
      </c>
      <c r="I209" s="141">
        <f>IF($O209="","",206)</f>
      </c>
      <c r="J209" s="140">
        <f>IF($O209="","",INDEX(资金台帐!$B$7:$B$3006,$O209))</f>
      </c>
      <c r="K209" s="141">
        <f>IF($O209="","",INDEX(资金台帐!$K$7:$K$3006,$O209))</f>
      </c>
      <c r="L209" s="172">
        <f>IF($O209="","",-INDEX(资金台帐!$S$7:$S$3006,$O209))</f>
      </c>
      <c r="M209" s="141">
        <f>IF($O209="","",INDEX(资金台帐!$C$7:$C$3006,$O209))</f>
      </c>
      <c r="N209" s="142">
        <f>IF($O209="","",INDEX(资金台帐!$E$7:$E$3006,$O209))</f>
      </c>
      <c r="O209" s="78">
        <f>IFERROR(MATCH(206,资金台帐!$R$7:$R$3006,0),"")</f>
      </c>
    </row>
    <row r="210">
      <c r="A210" s="141">
        <f>IF($G210="","",207)</f>
      </c>
      <c r="B210" s="140">
        <f>IF($G210="","",INDEX(资金台帐!$B$7:$B$3006,$G210))</f>
      </c>
      <c r="C210" s="141">
        <f>IF($G210="","",INDEX(资金台帐!$J$7:$J$3006,$G210))</f>
      </c>
      <c r="D210" s="172">
        <f>IF($G210="","",INDEX(资金台帐!$S$7:$S$3006,$G210))</f>
      </c>
      <c r="E210" s="141">
        <f>IF($G210="","",INDEX(资金台帐!$C$7:$C$3006,$G210))</f>
      </c>
      <c r="F210" s="142">
        <f>IF($G210="","",INDEX(资金台帐!$E$7:$E$3006,$G210)&amp;IF(INDEX(资金台帐!$M$7:$M$3006,$G210)="","","；"&amp;INDEX(资金台帐!$M$7:$M$3006,$G210)))</f>
      </c>
      <c r="G210" s="78">
        <f>IFERROR(MATCH(207,资金台帐!$Q$7:$Q$3006,0),"")</f>
      </c>
      <c r="I210" s="141">
        <f>IF($O210="","",207)</f>
      </c>
      <c r="J210" s="140">
        <f>IF($O210="","",INDEX(资金台帐!$B$7:$B$3006,$O210))</f>
      </c>
      <c r="K210" s="141">
        <f>IF($O210="","",INDEX(资金台帐!$K$7:$K$3006,$O210))</f>
      </c>
      <c r="L210" s="172">
        <f>IF($O210="","",-INDEX(资金台帐!$S$7:$S$3006,$O210))</f>
      </c>
      <c r="M210" s="141">
        <f>IF($O210="","",INDEX(资金台帐!$C$7:$C$3006,$O210))</f>
      </c>
      <c r="N210" s="142">
        <f>IF($O210="","",INDEX(资金台帐!$E$7:$E$3006,$O210))</f>
      </c>
      <c r="O210" s="78">
        <f>IFERROR(MATCH(207,资金台帐!$R$7:$R$3006,0),"")</f>
      </c>
    </row>
    <row r="211">
      <c r="A211" s="141">
        <f>IF($G211="","",208)</f>
      </c>
      <c r="B211" s="140">
        <f>IF($G211="","",INDEX(资金台帐!$B$7:$B$3006,$G211))</f>
      </c>
      <c r="C211" s="141">
        <f>IF($G211="","",INDEX(资金台帐!$J$7:$J$3006,$G211))</f>
      </c>
      <c r="D211" s="172">
        <f>IF($G211="","",INDEX(资金台帐!$S$7:$S$3006,$G211))</f>
      </c>
      <c r="E211" s="141">
        <f>IF($G211="","",INDEX(资金台帐!$C$7:$C$3006,$G211))</f>
      </c>
      <c r="F211" s="142">
        <f>IF($G211="","",INDEX(资金台帐!$E$7:$E$3006,$G211)&amp;IF(INDEX(资金台帐!$M$7:$M$3006,$G211)="","","；"&amp;INDEX(资金台帐!$M$7:$M$3006,$G211)))</f>
      </c>
      <c r="G211" s="78">
        <f>IFERROR(MATCH(208,资金台帐!$Q$7:$Q$3006,0),"")</f>
      </c>
      <c r="I211" s="141">
        <f>IF($O211="","",208)</f>
      </c>
      <c r="J211" s="140">
        <f>IF($O211="","",INDEX(资金台帐!$B$7:$B$3006,$O211))</f>
      </c>
      <c r="K211" s="141">
        <f>IF($O211="","",INDEX(资金台帐!$K$7:$K$3006,$O211))</f>
      </c>
      <c r="L211" s="172">
        <f>IF($O211="","",-INDEX(资金台帐!$S$7:$S$3006,$O211))</f>
      </c>
      <c r="M211" s="141">
        <f>IF($O211="","",INDEX(资金台帐!$C$7:$C$3006,$O211))</f>
      </c>
      <c r="N211" s="142">
        <f>IF($O211="","",INDEX(资金台帐!$E$7:$E$3006,$O211))</f>
      </c>
      <c r="O211" s="78">
        <f>IFERROR(MATCH(208,资金台帐!$R$7:$R$3006,0),"")</f>
      </c>
    </row>
    <row r="212">
      <c r="A212" s="141">
        <f>IF($G212="","",209)</f>
      </c>
      <c r="B212" s="140">
        <f>IF($G212="","",INDEX(资金台帐!$B$7:$B$3006,$G212))</f>
      </c>
      <c r="C212" s="141">
        <f>IF($G212="","",INDEX(资金台帐!$J$7:$J$3006,$G212))</f>
      </c>
      <c r="D212" s="172">
        <f>IF($G212="","",INDEX(资金台帐!$S$7:$S$3006,$G212))</f>
      </c>
      <c r="E212" s="141">
        <f>IF($G212="","",INDEX(资金台帐!$C$7:$C$3006,$G212))</f>
      </c>
      <c r="F212" s="142">
        <f>IF($G212="","",INDEX(资金台帐!$E$7:$E$3006,$G212)&amp;IF(INDEX(资金台帐!$M$7:$M$3006,$G212)="","","；"&amp;INDEX(资金台帐!$M$7:$M$3006,$G212)))</f>
      </c>
      <c r="G212" s="78">
        <f>IFERROR(MATCH(209,资金台帐!$Q$7:$Q$3006,0),"")</f>
      </c>
      <c r="I212" s="141">
        <f>IF($O212="","",209)</f>
      </c>
      <c r="J212" s="140">
        <f>IF($O212="","",INDEX(资金台帐!$B$7:$B$3006,$O212))</f>
      </c>
      <c r="K212" s="141">
        <f>IF($O212="","",INDEX(资金台帐!$K$7:$K$3006,$O212))</f>
      </c>
      <c r="L212" s="172">
        <f>IF($O212="","",-INDEX(资金台帐!$S$7:$S$3006,$O212))</f>
      </c>
      <c r="M212" s="141">
        <f>IF($O212="","",INDEX(资金台帐!$C$7:$C$3006,$O212))</f>
      </c>
      <c r="N212" s="142">
        <f>IF($O212="","",INDEX(资金台帐!$E$7:$E$3006,$O212))</f>
      </c>
      <c r="O212" s="78">
        <f>IFERROR(MATCH(209,资金台帐!$R$7:$R$3006,0),"")</f>
      </c>
    </row>
    <row r="213">
      <c r="A213" s="141">
        <f>IF($G213="","",210)</f>
      </c>
      <c r="B213" s="140">
        <f>IF($G213="","",INDEX(资金台帐!$B$7:$B$3006,$G213))</f>
      </c>
      <c r="C213" s="141">
        <f>IF($G213="","",INDEX(资金台帐!$J$7:$J$3006,$G213))</f>
      </c>
      <c r="D213" s="172">
        <f>IF($G213="","",INDEX(资金台帐!$S$7:$S$3006,$G213))</f>
      </c>
      <c r="E213" s="141">
        <f>IF($G213="","",INDEX(资金台帐!$C$7:$C$3006,$G213))</f>
      </c>
      <c r="F213" s="142">
        <f>IF($G213="","",INDEX(资金台帐!$E$7:$E$3006,$G213)&amp;IF(INDEX(资金台帐!$M$7:$M$3006,$G213)="","","；"&amp;INDEX(资金台帐!$M$7:$M$3006,$G213)))</f>
      </c>
      <c r="G213" s="78">
        <f>IFERROR(MATCH(210,资金台帐!$Q$7:$Q$3006,0),"")</f>
      </c>
      <c r="I213" s="141">
        <f>IF($O213="","",210)</f>
      </c>
      <c r="J213" s="140">
        <f>IF($O213="","",INDEX(资金台帐!$B$7:$B$3006,$O213))</f>
      </c>
      <c r="K213" s="141">
        <f>IF($O213="","",INDEX(资金台帐!$K$7:$K$3006,$O213))</f>
      </c>
      <c r="L213" s="172">
        <f>IF($O213="","",-INDEX(资金台帐!$S$7:$S$3006,$O213))</f>
      </c>
      <c r="M213" s="141">
        <f>IF($O213="","",INDEX(资金台帐!$C$7:$C$3006,$O213))</f>
      </c>
      <c r="N213" s="142">
        <f>IF($O213="","",INDEX(资金台帐!$E$7:$E$3006,$O213))</f>
      </c>
      <c r="O213" s="78">
        <f>IFERROR(MATCH(210,资金台帐!$R$7:$R$3006,0),"")</f>
      </c>
    </row>
    <row r="214">
      <c r="A214" s="141">
        <f>IF($G214="","",211)</f>
      </c>
      <c r="B214" s="140">
        <f>IF($G214="","",INDEX(资金台帐!$B$7:$B$3006,$G214))</f>
      </c>
      <c r="C214" s="141">
        <f>IF($G214="","",INDEX(资金台帐!$J$7:$J$3006,$G214))</f>
      </c>
      <c r="D214" s="172">
        <f>IF($G214="","",INDEX(资金台帐!$S$7:$S$3006,$G214))</f>
      </c>
      <c r="E214" s="141">
        <f>IF($G214="","",INDEX(资金台帐!$C$7:$C$3006,$G214))</f>
      </c>
      <c r="F214" s="142">
        <f>IF($G214="","",INDEX(资金台帐!$E$7:$E$3006,$G214)&amp;IF(INDEX(资金台帐!$M$7:$M$3006,$G214)="","","；"&amp;INDEX(资金台帐!$M$7:$M$3006,$G214)))</f>
      </c>
      <c r="G214" s="78">
        <f>IFERROR(MATCH(211,资金台帐!$Q$7:$Q$3006,0),"")</f>
      </c>
      <c r="I214" s="141">
        <f>IF($O214="","",211)</f>
      </c>
      <c r="J214" s="140">
        <f>IF($O214="","",INDEX(资金台帐!$B$7:$B$3006,$O214))</f>
      </c>
      <c r="K214" s="141">
        <f>IF($O214="","",INDEX(资金台帐!$K$7:$K$3006,$O214))</f>
      </c>
      <c r="L214" s="172">
        <f>IF($O214="","",-INDEX(资金台帐!$S$7:$S$3006,$O214))</f>
      </c>
      <c r="M214" s="141">
        <f>IF($O214="","",INDEX(资金台帐!$C$7:$C$3006,$O214))</f>
      </c>
      <c r="N214" s="142">
        <f>IF($O214="","",INDEX(资金台帐!$E$7:$E$3006,$O214))</f>
      </c>
      <c r="O214" s="78">
        <f>IFERROR(MATCH(211,资金台帐!$R$7:$R$3006,0),"")</f>
      </c>
    </row>
    <row r="215">
      <c r="A215" s="141">
        <f>IF($G215="","",212)</f>
      </c>
      <c r="B215" s="140">
        <f>IF($G215="","",INDEX(资金台帐!$B$7:$B$3006,$G215))</f>
      </c>
      <c r="C215" s="141">
        <f>IF($G215="","",INDEX(资金台帐!$J$7:$J$3006,$G215))</f>
      </c>
      <c r="D215" s="172">
        <f>IF($G215="","",INDEX(资金台帐!$S$7:$S$3006,$G215))</f>
      </c>
      <c r="E215" s="141">
        <f>IF($G215="","",INDEX(资金台帐!$C$7:$C$3006,$G215))</f>
      </c>
      <c r="F215" s="142">
        <f>IF($G215="","",INDEX(资金台帐!$E$7:$E$3006,$G215)&amp;IF(INDEX(资金台帐!$M$7:$M$3006,$G215)="","","；"&amp;INDEX(资金台帐!$M$7:$M$3006,$G215)))</f>
      </c>
      <c r="G215" s="78">
        <f>IFERROR(MATCH(212,资金台帐!$Q$7:$Q$3006,0),"")</f>
      </c>
      <c r="I215" s="141">
        <f>IF($O215="","",212)</f>
      </c>
      <c r="J215" s="140">
        <f>IF($O215="","",INDEX(资金台帐!$B$7:$B$3006,$O215))</f>
      </c>
      <c r="K215" s="141">
        <f>IF($O215="","",INDEX(资金台帐!$K$7:$K$3006,$O215))</f>
      </c>
      <c r="L215" s="172">
        <f>IF($O215="","",-INDEX(资金台帐!$S$7:$S$3006,$O215))</f>
      </c>
      <c r="M215" s="141">
        <f>IF($O215="","",INDEX(资金台帐!$C$7:$C$3006,$O215))</f>
      </c>
      <c r="N215" s="142">
        <f>IF($O215="","",INDEX(资金台帐!$E$7:$E$3006,$O215))</f>
      </c>
      <c r="O215" s="78">
        <f>IFERROR(MATCH(212,资金台帐!$R$7:$R$3006,0),"")</f>
      </c>
    </row>
    <row r="216">
      <c r="A216" s="141">
        <f>IF($G216="","",213)</f>
      </c>
      <c r="B216" s="140">
        <f>IF($G216="","",INDEX(资金台帐!$B$7:$B$3006,$G216))</f>
      </c>
      <c r="C216" s="141">
        <f>IF($G216="","",INDEX(资金台帐!$J$7:$J$3006,$G216))</f>
      </c>
      <c r="D216" s="172">
        <f>IF($G216="","",INDEX(资金台帐!$S$7:$S$3006,$G216))</f>
      </c>
      <c r="E216" s="141">
        <f>IF($G216="","",INDEX(资金台帐!$C$7:$C$3006,$G216))</f>
      </c>
      <c r="F216" s="142">
        <f>IF($G216="","",INDEX(资金台帐!$E$7:$E$3006,$G216)&amp;IF(INDEX(资金台帐!$M$7:$M$3006,$G216)="","","；"&amp;INDEX(资金台帐!$M$7:$M$3006,$G216)))</f>
      </c>
      <c r="G216" s="78">
        <f>IFERROR(MATCH(213,资金台帐!$Q$7:$Q$3006,0),"")</f>
      </c>
      <c r="I216" s="141">
        <f>IF($O216="","",213)</f>
      </c>
      <c r="J216" s="140">
        <f>IF($O216="","",INDEX(资金台帐!$B$7:$B$3006,$O216))</f>
      </c>
      <c r="K216" s="141">
        <f>IF($O216="","",INDEX(资金台帐!$K$7:$K$3006,$O216))</f>
      </c>
      <c r="L216" s="172">
        <f>IF($O216="","",-INDEX(资金台帐!$S$7:$S$3006,$O216))</f>
      </c>
      <c r="M216" s="141">
        <f>IF($O216="","",INDEX(资金台帐!$C$7:$C$3006,$O216))</f>
      </c>
      <c r="N216" s="142">
        <f>IF($O216="","",INDEX(资金台帐!$E$7:$E$3006,$O216))</f>
      </c>
      <c r="O216" s="78">
        <f>IFERROR(MATCH(213,资金台帐!$R$7:$R$3006,0),"")</f>
      </c>
    </row>
    <row r="217">
      <c r="A217" s="141">
        <f>IF($G217="","",214)</f>
      </c>
      <c r="B217" s="140">
        <f>IF($G217="","",INDEX(资金台帐!$B$7:$B$3006,$G217))</f>
      </c>
      <c r="C217" s="141">
        <f>IF($G217="","",INDEX(资金台帐!$J$7:$J$3006,$G217))</f>
      </c>
      <c r="D217" s="172">
        <f>IF($G217="","",INDEX(资金台帐!$S$7:$S$3006,$G217))</f>
      </c>
      <c r="E217" s="141">
        <f>IF($G217="","",INDEX(资金台帐!$C$7:$C$3006,$G217))</f>
      </c>
      <c r="F217" s="142">
        <f>IF($G217="","",INDEX(资金台帐!$E$7:$E$3006,$G217)&amp;IF(INDEX(资金台帐!$M$7:$M$3006,$G217)="","","；"&amp;INDEX(资金台帐!$M$7:$M$3006,$G217)))</f>
      </c>
      <c r="G217" s="78">
        <f>IFERROR(MATCH(214,资金台帐!$Q$7:$Q$3006,0),"")</f>
      </c>
      <c r="I217" s="141">
        <f>IF($O217="","",214)</f>
      </c>
      <c r="J217" s="140">
        <f>IF($O217="","",INDEX(资金台帐!$B$7:$B$3006,$O217))</f>
      </c>
      <c r="K217" s="141">
        <f>IF($O217="","",INDEX(资金台帐!$K$7:$K$3006,$O217))</f>
      </c>
      <c r="L217" s="172">
        <f>IF($O217="","",-INDEX(资金台帐!$S$7:$S$3006,$O217))</f>
      </c>
      <c r="M217" s="141">
        <f>IF($O217="","",INDEX(资金台帐!$C$7:$C$3006,$O217))</f>
      </c>
      <c r="N217" s="142">
        <f>IF($O217="","",INDEX(资金台帐!$E$7:$E$3006,$O217))</f>
      </c>
      <c r="O217" s="78">
        <f>IFERROR(MATCH(214,资金台帐!$R$7:$R$3006,0),"")</f>
      </c>
    </row>
    <row r="218">
      <c r="A218" s="141">
        <f>IF($G218="","",215)</f>
      </c>
      <c r="B218" s="140">
        <f>IF($G218="","",INDEX(资金台帐!$B$7:$B$3006,$G218))</f>
      </c>
      <c r="C218" s="141">
        <f>IF($G218="","",INDEX(资金台帐!$J$7:$J$3006,$G218))</f>
      </c>
      <c r="D218" s="172">
        <f>IF($G218="","",INDEX(资金台帐!$S$7:$S$3006,$G218))</f>
      </c>
      <c r="E218" s="141">
        <f>IF($G218="","",INDEX(资金台帐!$C$7:$C$3006,$G218))</f>
      </c>
      <c r="F218" s="142">
        <f>IF($G218="","",INDEX(资金台帐!$E$7:$E$3006,$G218)&amp;IF(INDEX(资金台帐!$M$7:$M$3006,$G218)="","","；"&amp;INDEX(资金台帐!$M$7:$M$3006,$G218)))</f>
      </c>
      <c r="G218" s="78">
        <f>IFERROR(MATCH(215,资金台帐!$Q$7:$Q$3006,0),"")</f>
      </c>
      <c r="I218" s="141">
        <f>IF($O218="","",215)</f>
      </c>
      <c r="J218" s="140">
        <f>IF($O218="","",INDEX(资金台帐!$B$7:$B$3006,$O218))</f>
      </c>
      <c r="K218" s="141">
        <f>IF($O218="","",INDEX(资金台帐!$K$7:$K$3006,$O218))</f>
      </c>
      <c r="L218" s="172">
        <f>IF($O218="","",-INDEX(资金台帐!$S$7:$S$3006,$O218))</f>
      </c>
      <c r="M218" s="141">
        <f>IF($O218="","",INDEX(资金台帐!$C$7:$C$3006,$O218))</f>
      </c>
      <c r="N218" s="142">
        <f>IF($O218="","",INDEX(资金台帐!$E$7:$E$3006,$O218))</f>
      </c>
      <c r="O218" s="78">
        <f>IFERROR(MATCH(215,资金台帐!$R$7:$R$3006,0),"")</f>
      </c>
    </row>
    <row r="219">
      <c r="A219" s="141">
        <f>IF($G219="","",216)</f>
      </c>
      <c r="B219" s="140">
        <f>IF($G219="","",INDEX(资金台帐!$B$7:$B$3006,$G219))</f>
      </c>
      <c r="C219" s="141">
        <f>IF($G219="","",INDEX(资金台帐!$J$7:$J$3006,$G219))</f>
      </c>
      <c r="D219" s="172">
        <f>IF($G219="","",INDEX(资金台帐!$S$7:$S$3006,$G219))</f>
      </c>
      <c r="E219" s="141">
        <f>IF($G219="","",INDEX(资金台帐!$C$7:$C$3006,$G219))</f>
      </c>
      <c r="F219" s="142">
        <f>IF($G219="","",INDEX(资金台帐!$E$7:$E$3006,$G219)&amp;IF(INDEX(资金台帐!$M$7:$M$3006,$G219)="","","；"&amp;INDEX(资金台帐!$M$7:$M$3006,$G219)))</f>
      </c>
      <c r="G219" s="78">
        <f>IFERROR(MATCH(216,资金台帐!$Q$7:$Q$3006,0),"")</f>
      </c>
      <c r="I219" s="141">
        <f>IF($O219="","",216)</f>
      </c>
      <c r="J219" s="140">
        <f>IF($O219="","",INDEX(资金台帐!$B$7:$B$3006,$O219))</f>
      </c>
      <c r="K219" s="141">
        <f>IF($O219="","",INDEX(资金台帐!$K$7:$K$3006,$O219))</f>
      </c>
      <c r="L219" s="172">
        <f>IF($O219="","",-INDEX(资金台帐!$S$7:$S$3006,$O219))</f>
      </c>
      <c r="M219" s="141">
        <f>IF($O219="","",INDEX(资金台帐!$C$7:$C$3006,$O219))</f>
      </c>
      <c r="N219" s="142">
        <f>IF($O219="","",INDEX(资金台帐!$E$7:$E$3006,$O219))</f>
      </c>
      <c r="O219" s="78">
        <f>IFERROR(MATCH(216,资金台帐!$R$7:$R$3006,0),"")</f>
      </c>
    </row>
    <row r="220">
      <c r="A220" s="141">
        <f>IF($G220="","",217)</f>
      </c>
      <c r="B220" s="140">
        <f>IF($G220="","",INDEX(资金台帐!$B$7:$B$3006,$G220))</f>
      </c>
      <c r="C220" s="141">
        <f>IF($G220="","",INDEX(资金台帐!$J$7:$J$3006,$G220))</f>
      </c>
      <c r="D220" s="172">
        <f>IF($G220="","",INDEX(资金台帐!$S$7:$S$3006,$G220))</f>
      </c>
      <c r="E220" s="141">
        <f>IF($G220="","",INDEX(资金台帐!$C$7:$C$3006,$G220))</f>
      </c>
      <c r="F220" s="142">
        <f>IF($G220="","",INDEX(资金台帐!$E$7:$E$3006,$G220)&amp;IF(INDEX(资金台帐!$M$7:$M$3006,$G220)="","","；"&amp;INDEX(资金台帐!$M$7:$M$3006,$G220)))</f>
      </c>
      <c r="G220" s="78">
        <f>IFERROR(MATCH(217,资金台帐!$Q$7:$Q$3006,0),"")</f>
      </c>
      <c r="I220" s="141">
        <f>IF($O220="","",217)</f>
      </c>
      <c r="J220" s="140">
        <f>IF($O220="","",INDEX(资金台帐!$B$7:$B$3006,$O220))</f>
      </c>
      <c r="K220" s="141">
        <f>IF($O220="","",INDEX(资金台帐!$K$7:$K$3006,$O220))</f>
      </c>
      <c r="L220" s="172">
        <f>IF($O220="","",-INDEX(资金台帐!$S$7:$S$3006,$O220))</f>
      </c>
      <c r="M220" s="141">
        <f>IF($O220="","",INDEX(资金台帐!$C$7:$C$3006,$O220))</f>
      </c>
      <c r="N220" s="142">
        <f>IF($O220="","",INDEX(资金台帐!$E$7:$E$3006,$O220))</f>
      </c>
      <c r="O220" s="78">
        <f>IFERROR(MATCH(217,资金台帐!$R$7:$R$3006,0),"")</f>
      </c>
    </row>
    <row r="221">
      <c r="A221" s="141">
        <f>IF($G221="","",218)</f>
      </c>
      <c r="B221" s="140">
        <f>IF($G221="","",INDEX(资金台帐!$B$7:$B$3006,$G221))</f>
      </c>
      <c r="C221" s="141">
        <f>IF($G221="","",INDEX(资金台帐!$J$7:$J$3006,$G221))</f>
      </c>
      <c r="D221" s="172">
        <f>IF($G221="","",INDEX(资金台帐!$S$7:$S$3006,$G221))</f>
      </c>
      <c r="E221" s="141">
        <f>IF($G221="","",INDEX(资金台帐!$C$7:$C$3006,$G221))</f>
      </c>
      <c r="F221" s="142">
        <f>IF($G221="","",INDEX(资金台帐!$E$7:$E$3006,$G221)&amp;IF(INDEX(资金台帐!$M$7:$M$3006,$G221)="","","；"&amp;INDEX(资金台帐!$M$7:$M$3006,$G221)))</f>
      </c>
      <c r="G221" s="78">
        <f>IFERROR(MATCH(218,资金台帐!$Q$7:$Q$3006,0),"")</f>
      </c>
      <c r="I221" s="141">
        <f>IF($O221="","",218)</f>
      </c>
      <c r="J221" s="140">
        <f>IF($O221="","",INDEX(资金台帐!$B$7:$B$3006,$O221))</f>
      </c>
      <c r="K221" s="141">
        <f>IF($O221="","",INDEX(资金台帐!$K$7:$K$3006,$O221))</f>
      </c>
      <c r="L221" s="172">
        <f>IF($O221="","",-INDEX(资金台帐!$S$7:$S$3006,$O221))</f>
      </c>
      <c r="M221" s="141">
        <f>IF($O221="","",INDEX(资金台帐!$C$7:$C$3006,$O221))</f>
      </c>
      <c r="N221" s="142">
        <f>IF($O221="","",INDEX(资金台帐!$E$7:$E$3006,$O221))</f>
      </c>
      <c r="O221" s="78">
        <f>IFERROR(MATCH(218,资金台帐!$R$7:$R$3006,0),"")</f>
      </c>
    </row>
    <row r="222">
      <c r="A222" s="141">
        <f>IF($G222="","",219)</f>
      </c>
      <c r="B222" s="140">
        <f>IF($G222="","",INDEX(资金台帐!$B$7:$B$3006,$G222))</f>
      </c>
      <c r="C222" s="141">
        <f>IF($G222="","",INDEX(资金台帐!$J$7:$J$3006,$G222))</f>
      </c>
      <c r="D222" s="172">
        <f>IF($G222="","",INDEX(资金台帐!$S$7:$S$3006,$G222))</f>
      </c>
      <c r="E222" s="141">
        <f>IF($G222="","",INDEX(资金台帐!$C$7:$C$3006,$G222))</f>
      </c>
      <c r="F222" s="142">
        <f>IF($G222="","",INDEX(资金台帐!$E$7:$E$3006,$G222)&amp;IF(INDEX(资金台帐!$M$7:$M$3006,$G222)="","","；"&amp;INDEX(资金台帐!$M$7:$M$3006,$G222)))</f>
      </c>
      <c r="G222" s="78">
        <f>IFERROR(MATCH(219,资金台帐!$Q$7:$Q$3006,0),"")</f>
      </c>
      <c r="I222" s="141">
        <f>IF($O222="","",219)</f>
      </c>
      <c r="J222" s="140">
        <f>IF($O222="","",INDEX(资金台帐!$B$7:$B$3006,$O222))</f>
      </c>
      <c r="K222" s="141">
        <f>IF($O222="","",INDEX(资金台帐!$K$7:$K$3006,$O222))</f>
      </c>
      <c r="L222" s="172">
        <f>IF($O222="","",-INDEX(资金台帐!$S$7:$S$3006,$O222))</f>
      </c>
      <c r="M222" s="141">
        <f>IF($O222="","",INDEX(资金台帐!$C$7:$C$3006,$O222))</f>
      </c>
      <c r="N222" s="142">
        <f>IF($O222="","",INDEX(资金台帐!$E$7:$E$3006,$O222))</f>
      </c>
      <c r="O222" s="78">
        <f>IFERROR(MATCH(219,资金台帐!$R$7:$R$3006,0),"")</f>
      </c>
    </row>
    <row r="223">
      <c r="A223" s="141">
        <f>IF($G223="","",220)</f>
      </c>
      <c r="B223" s="140">
        <f>IF($G223="","",INDEX(资金台帐!$B$7:$B$3006,$G223))</f>
      </c>
      <c r="C223" s="141">
        <f>IF($G223="","",INDEX(资金台帐!$J$7:$J$3006,$G223))</f>
      </c>
      <c r="D223" s="172">
        <f>IF($G223="","",INDEX(资金台帐!$S$7:$S$3006,$G223))</f>
      </c>
      <c r="E223" s="141">
        <f>IF($G223="","",INDEX(资金台帐!$C$7:$C$3006,$G223))</f>
      </c>
      <c r="F223" s="142">
        <f>IF($G223="","",INDEX(资金台帐!$E$7:$E$3006,$G223)&amp;IF(INDEX(资金台帐!$M$7:$M$3006,$G223)="","","；"&amp;INDEX(资金台帐!$M$7:$M$3006,$G223)))</f>
      </c>
      <c r="G223" s="78">
        <f>IFERROR(MATCH(220,资金台帐!$Q$7:$Q$3006,0),"")</f>
      </c>
      <c r="I223" s="141">
        <f>IF($O223="","",220)</f>
      </c>
      <c r="J223" s="140">
        <f>IF($O223="","",INDEX(资金台帐!$B$7:$B$3006,$O223))</f>
      </c>
      <c r="K223" s="141">
        <f>IF($O223="","",INDEX(资金台帐!$K$7:$K$3006,$O223))</f>
      </c>
      <c r="L223" s="172">
        <f>IF($O223="","",-INDEX(资金台帐!$S$7:$S$3006,$O223))</f>
      </c>
      <c r="M223" s="141">
        <f>IF($O223="","",INDEX(资金台帐!$C$7:$C$3006,$O223))</f>
      </c>
      <c r="N223" s="142">
        <f>IF($O223="","",INDEX(资金台帐!$E$7:$E$3006,$O223))</f>
      </c>
      <c r="O223" s="78">
        <f>IFERROR(MATCH(220,资金台帐!$R$7:$R$3006,0),"")</f>
      </c>
    </row>
    <row r="224">
      <c r="A224" s="141">
        <f>IF($G224="","",221)</f>
      </c>
      <c r="B224" s="140">
        <f>IF($G224="","",INDEX(资金台帐!$B$7:$B$3006,$G224))</f>
      </c>
      <c r="C224" s="141">
        <f>IF($G224="","",INDEX(资金台帐!$J$7:$J$3006,$G224))</f>
      </c>
      <c r="D224" s="172">
        <f>IF($G224="","",INDEX(资金台帐!$S$7:$S$3006,$G224))</f>
      </c>
      <c r="E224" s="141">
        <f>IF($G224="","",INDEX(资金台帐!$C$7:$C$3006,$G224))</f>
      </c>
      <c r="F224" s="142">
        <f>IF($G224="","",INDEX(资金台帐!$E$7:$E$3006,$G224)&amp;IF(INDEX(资金台帐!$M$7:$M$3006,$G224)="","","；"&amp;INDEX(资金台帐!$M$7:$M$3006,$G224)))</f>
      </c>
      <c r="G224" s="78">
        <f>IFERROR(MATCH(221,资金台帐!$Q$7:$Q$3006,0),"")</f>
      </c>
      <c r="I224" s="141">
        <f>IF($O224="","",221)</f>
      </c>
      <c r="J224" s="140">
        <f>IF($O224="","",INDEX(资金台帐!$B$7:$B$3006,$O224))</f>
      </c>
      <c r="K224" s="141">
        <f>IF($O224="","",INDEX(资金台帐!$K$7:$K$3006,$O224))</f>
      </c>
      <c r="L224" s="172">
        <f>IF($O224="","",-INDEX(资金台帐!$S$7:$S$3006,$O224))</f>
      </c>
      <c r="M224" s="141">
        <f>IF($O224="","",INDEX(资金台帐!$C$7:$C$3006,$O224))</f>
      </c>
      <c r="N224" s="142">
        <f>IF($O224="","",INDEX(资金台帐!$E$7:$E$3006,$O224))</f>
      </c>
      <c r="O224" s="78">
        <f>IFERROR(MATCH(221,资金台帐!$R$7:$R$3006,0),"")</f>
      </c>
    </row>
    <row r="225">
      <c r="A225" s="141">
        <f>IF($G225="","",222)</f>
      </c>
      <c r="B225" s="140">
        <f>IF($G225="","",INDEX(资金台帐!$B$7:$B$3006,$G225))</f>
      </c>
      <c r="C225" s="141">
        <f>IF($G225="","",INDEX(资金台帐!$J$7:$J$3006,$G225))</f>
      </c>
      <c r="D225" s="172">
        <f>IF($G225="","",INDEX(资金台帐!$S$7:$S$3006,$G225))</f>
      </c>
      <c r="E225" s="141">
        <f>IF($G225="","",INDEX(资金台帐!$C$7:$C$3006,$G225))</f>
      </c>
      <c r="F225" s="142">
        <f>IF($G225="","",INDEX(资金台帐!$E$7:$E$3006,$G225)&amp;IF(INDEX(资金台帐!$M$7:$M$3006,$G225)="","","；"&amp;INDEX(资金台帐!$M$7:$M$3006,$G225)))</f>
      </c>
      <c r="G225" s="78">
        <f>IFERROR(MATCH(222,资金台帐!$Q$7:$Q$3006,0),"")</f>
      </c>
      <c r="I225" s="141">
        <f>IF($O225="","",222)</f>
      </c>
      <c r="J225" s="140">
        <f>IF($O225="","",INDEX(资金台帐!$B$7:$B$3006,$O225))</f>
      </c>
      <c r="K225" s="141">
        <f>IF($O225="","",INDEX(资金台帐!$K$7:$K$3006,$O225))</f>
      </c>
      <c r="L225" s="172">
        <f>IF($O225="","",-INDEX(资金台帐!$S$7:$S$3006,$O225))</f>
      </c>
      <c r="M225" s="141">
        <f>IF($O225="","",INDEX(资金台帐!$C$7:$C$3006,$O225))</f>
      </c>
      <c r="N225" s="142">
        <f>IF($O225="","",INDEX(资金台帐!$E$7:$E$3006,$O225))</f>
      </c>
      <c r="O225" s="78">
        <f>IFERROR(MATCH(222,资金台帐!$R$7:$R$3006,0),"")</f>
      </c>
    </row>
    <row r="226">
      <c r="A226" s="141">
        <f>IF($G226="","",223)</f>
      </c>
      <c r="B226" s="140">
        <f>IF($G226="","",INDEX(资金台帐!$B$7:$B$3006,$G226))</f>
      </c>
      <c r="C226" s="141">
        <f>IF($G226="","",INDEX(资金台帐!$J$7:$J$3006,$G226))</f>
      </c>
      <c r="D226" s="172">
        <f>IF($G226="","",INDEX(资金台帐!$S$7:$S$3006,$G226))</f>
      </c>
      <c r="E226" s="141">
        <f>IF($G226="","",INDEX(资金台帐!$C$7:$C$3006,$G226))</f>
      </c>
      <c r="F226" s="142">
        <f>IF($G226="","",INDEX(资金台帐!$E$7:$E$3006,$G226)&amp;IF(INDEX(资金台帐!$M$7:$M$3006,$G226)="","","；"&amp;INDEX(资金台帐!$M$7:$M$3006,$G226)))</f>
      </c>
      <c r="G226" s="78">
        <f>IFERROR(MATCH(223,资金台帐!$Q$7:$Q$3006,0),"")</f>
      </c>
      <c r="I226" s="141">
        <f>IF($O226="","",223)</f>
      </c>
      <c r="J226" s="140">
        <f>IF($O226="","",INDEX(资金台帐!$B$7:$B$3006,$O226))</f>
      </c>
      <c r="K226" s="141">
        <f>IF($O226="","",INDEX(资金台帐!$K$7:$K$3006,$O226))</f>
      </c>
      <c r="L226" s="172">
        <f>IF($O226="","",-INDEX(资金台帐!$S$7:$S$3006,$O226))</f>
      </c>
      <c r="M226" s="141">
        <f>IF($O226="","",INDEX(资金台帐!$C$7:$C$3006,$O226))</f>
      </c>
      <c r="N226" s="142">
        <f>IF($O226="","",INDEX(资金台帐!$E$7:$E$3006,$O226))</f>
      </c>
      <c r="O226" s="78">
        <f>IFERROR(MATCH(223,资金台帐!$R$7:$R$3006,0),"")</f>
      </c>
    </row>
    <row r="227">
      <c r="A227" s="141">
        <f>IF($G227="","",224)</f>
      </c>
      <c r="B227" s="140">
        <f>IF($G227="","",INDEX(资金台帐!$B$7:$B$3006,$G227))</f>
      </c>
      <c r="C227" s="141">
        <f>IF($G227="","",INDEX(资金台帐!$J$7:$J$3006,$G227))</f>
      </c>
      <c r="D227" s="172">
        <f>IF($G227="","",INDEX(资金台帐!$S$7:$S$3006,$G227))</f>
      </c>
      <c r="E227" s="141">
        <f>IF($G227="","",INDEX(资金台帐!$C$7:$C$3006,$G227))</f>
      </c>
      <c r="F227" s="142">
        <f>IF($G227="","",INDEX(资金台帐!$E$7:$E$3006,$G227)&amp;IF(INDEX(资金台帐!$M$7:$M$3006,$G227)="","","；"&amp;INDEX(资金台帐!$M$7:$M$3006,$G227)))</f>
      </c>
      <c r="G227" s="78">
        <f>IFERROR(MATCH(224,资金台帐!$Q$7:$Q$3006,0),"")</f>
      </c>
      <c r="I227" s="141">
        <f>IF($O227="","",224)</f>
      </c>
      <c r="J227" s="140">
        <f>IF($O227="","",INDEX(资金台帐!$B$7:$B$3006,$O227))</f>
      </c>
      <c r="K227" s="141">
        <f>IF($O227="","",INDEX(资金台帐!$K$7:$K$3006,$O227))</f>
      </c>
      <c r="L227" s="172">
        <f>IF($O227="","",-INDEX(资金台帐!$S$7:$S$3006,$O227))</f>
      </c>
      <c r="M227" s="141">
        <f>IF($O227="","",INDEX(资金台帐!$C$7:$C$3006,$O227))</f>
      </c>
      <c r="N227" s="142">
        <f>IF($O227="","",INDEX(资金台帐!$E$7:$E$3006,$O227))</f>
      </c>
      <c r="O227" s="78">
        <f>IFERROR(MATCH(224,资金台帐!$R$7:$R$3006,0),"")</f>
      </c>
    </row>
    <row r="228">
      <c r="A228" s="141">
        <f>IF($G228="","",225)</f>
      </c>
      <c r="B228" s="140">
        <f>IF($G228="","",INDEX(资金台帐!$B$7:$B$3006,$G228))</f>
      </c>
      <c r="C228" s="141">
        <f>IF($G228="","",INDEX(资金台帐!$J$7:$J$3006,$G228))</f>
      </c>
      <c r="D228" s="172">
        <f>IF($G228="","",INDEX(资金台帐!$S$7:$S$3006,$G228))</f>
      </c>
      <c r="E228" s="141">
        <f>IF($G228="","",INDEX(资金台帐!$C$7:$C$3006,$G228))</f>
      </c>
      <c r="F228" s="142">
        <f>IF($G228="","",INDEX(资金台帐!$E$7:$E$3006,$G228)&amp;IF(INDEX(资金台帐!$M$7:$M$3006,$G228)="","","；"&amp;INDEX(资金台帐!$M$7:$M$3006,$G228)))</f>
      </c>
      <c r="G228" s="78">
        <f>IFERROR(MATCH(225,资金台帐!$Q$7:$Q$3006,0),"")</f>
      </c>
      <c r="I228" s="141">
        <f>IF($O228="","",225)</f>
      </c>
      <c r="J228" s="140">
        <f>IF($O228="","",INDEX(资金台帐!$B$7:$B$3006,$O228))</f>
      </c>
      <c r="K228" s="141">
        <f>IF($O228="","",INDEX(资金台帐!$K$7:$K$3006,$O228))</f>
      </c>
      <c r="L228" s="172">
        <f>IF($O228="","",-INDEX(资金台帐!$S$7:$S$3006,$O228))</f>
      </c>
      <c r="M228" s="141">
        <f>IF($O228="","",INDEX(资金台帐!$C$7:$C$3006,$O228))</f>
      </c>
      <c r="N228" s="142">
        <f>IF($O228="","",INDEX(资金台帐!$E$7:$E$3006,$O228))</f>
      </c>
      <c r="O228" s="78">
        <f>IFERROR(MATCH(225,资金台帐!$R$7:$R$3006,0),"")</f>
      </c>
    </row>
    <row r="229">
      <c r="A229" s="141">
        <f>IF($G229="","",226)</f>
      </c>
      <c r="B229" s="140">
        <f>IF($G229="","",INDEX(资金台帐!$B$7:$B$3006,$G229))</f>
      </c>
      <c r="C229" s="141">
        <f>IF($G229="","",INDEX(资金台帐!$J$7:$J$3006,$G229))</f>
      </c>
      <c r="D229" s="172">
        <f>IF($G229="","",INDEX(资金台帐!$S$7:$S$3006,$G229))</f>
      </c>
      <c r="E229" s="141">
        <f>IF($G229="","",INDEX(资金台帐!$C$7:$C$3006,$G229))</f>
      </c>
      <c r="F229" s="142">
        <f>IF($G229="","",INDEX(资金台帐!$E$7:$E$3006,$G229)&amp;IF(INDEX(资金台帐!$M$7:$M$3006,$G229)="","","；"&amp;INDEX(资金台帐!$M$7:$M$3006,$G229)))</f>
      </c>
      <c r="G229" s="78">
        <f>IFERROR(MATCH(226,资金台帐!$Q$7:$Q$3006,0),"")</f>
      </c>
      <c r="I229" s="141">
        <f>IF($O229="","",226)</f>
      </c>
      <c r="J229" s="140">
        <f>IF($O229="","",INDEX(资金台帐!$B$7:$B$3006,$O229))</f>
      </c>
      <c r="K229" s="141">
        <f>IF($O229="","",INDEX(资金台帐!$K$7:$K$3006,$O229))</f>
      </c>
      <c r="L229" s="172">
        <f>IF($O229="","",-INDEX(资金台帐!$S$7:$S$3006,$O229))</f>
      </c>
      <c r="M229" s="141">
        <f>IF($O229="","",INDEX(资金台帐!$C$7:$C$3006,$O229))</f>
      </c>
      <c r="N229" s="142">
        <f>IF($O229="","",INDEX(资金台帐!$E$7:$E$3006,$O229))</f>
      </c>
      <c r="O229" s="78">
        <f>IFERROR(MATCH(226,资金台帐!$R$7:$R$3006,0),"")</f>
      </c>
    </row>
    <row r="230">
      <c r="A230" s="141">
        <f>IF($G230="","",227)</f>
      </c>
      <c r="B230" s="140">
        <f>IF($G230="","",INDEX(资金台帐!$B$7:$B$3006,$G230))</f>
      </c>
      <c r="C230" s="141">
        <f>IF($G230="","",INDEX(资金台帐!$J$7:$J$3006,$G230))</f>
      </c>
      <c r="D230" s="172">
        <f>IF($G230="","",INDEX(资金台帐!$S$7:$S$3006,$G230))</f>
      </c>
      <c r="E230" s="141">
        <f>IF($G230="","",INDEX(资金台帐!$C$7:$C$3006,$G230))</f>
      </c>
      <c r="F230" s="142">
        <f>IF($G230="","",INDEX(资金台帐!$E$7:$E$3006,$G230)&amp;IF(INDEX(资金台帐!$M$7:$M$3006,$G230)="","","；"&amp;INDEX(资金台帐!$M$7:$M$3006,$G230)))</f>
      </c>
      <c r="G230" s="78">
        <f>IFERROR(MATCH(227,资金台帐!$Q$7:$Q$3006,0),"")</f>
      </c>
      <c r="I230" s="141">
        <f>IF($O230="","",227)</f>
      </c>
      <c r="J230" s="140">
        <f>IF($O230="","",INDEX(资金台帐!$B$7:$B$3006,$O230))</f>
      </c>
      <c r="K230" s="141">
        <f>IF($O230="","",INDEX(资金台帐!$K$7:$K$3006,$O230))</f>
      </c>
      <c r="L230" s="172">
        <f>IF($O230="","",-INDEX(资金台帐!$S$7:$S$3006,$O230))</f>
      </c>
      <c r="M230" s="141">
        <f>IF($O230="","",INDEX(资金台帐!$C$7:$C$3006,$O230))</f>
      </c>
      <c r="N230" s="142">
        <f>IF($O230="","",INDEX(资金台帐!$E$7:$E$3006,$O230))</f>
      </c>
      <c r="O230" s="78">
        <f>IFERROR(MATCH(227,资金台帐!$R$7:$R$3006,0),"")</f>
      </c>
    </row>
    <row r="231">
      <c r="A231" s="141">
        <f>IF($G231="","",228)</f>
      </c>
      <c r="B231" s="140">
        <f>IF($G231="","",INDEX(资金台帐!$B$7:$B$3006,$G231))</f>
      </c>
      <c r="C231" s="141">
        <f>IF($G231="","",INDEX(资金台帐!$J$7:$J$3006,$G231))</f>
      </c>
      <c r="D231" s="172">
        <f>IF($G231="","",INDEX(资金台帐!$S$7:$S$3006,$G231))</f>
      </c>
      <c r="E231" s="141">
        <f>IF($G231="","",INDEX(资金台帐!$C$7:$C$3006,$G231))</f>
      </c>
      <c r="F231" s="142">
        <f>IF($G231="","",INDEX(资金台帐!$E$7:$E$3006,$G231)&amp;IF(INDEX(资金台帐!$M$7:$M$3006,$G231)="","","；"&amp;INDEX(资金台帐!$M$7:$M$3006,$G231)))</f>
      </c>
      <c r="G231" s="78">
        <f>IFERROR(MATCH(228,资金台帐!$Q$7:$Q$3006,0),"")</f>
      </c>
      <c r="I231" s="141">
        <f>IF($O231="","",228)</f>
      </c>
      <c r="J231" s="140">
        <f>IF($O231="","",INDEX(资金台帐!$B$7:$B$3006,$O231))</f>
      </c>
      <c r="K231" s="141">
        <f>IF($O231="","",INDEX(资金台帐!$K$7:$K$3006,$O231))</f>
      </c>
      <c r="L231" s="172">
        <f>IF($O231="","",-INDEX(资金台帐!$S$7:$S$3006,$O231))</f>
      </c>
      <c r="M231" s="141">
        <f>IF($O231="","",INDEX(资金台帐!$C$7:$C$3006,$O231))</f>
      </c>
      <c r="N231" s="142">
        <f>IF($O231="","",INDEX(资金台帐!$E$7:$E$3006,$O231))</f>
      </c>
      <c r="O231" s="78">
        <f>IFERROR(MATCH(228,资金台帐!$R$7:$R$3006,0),"")</f>
      </c>
    </row>
    <row r="232">
      <c r="A232" s="141">
        <f>IF($G232="","",229)</f>
      </c>
      <c r="B232" s="140">
        <f>IF($G232="","",INDEX(资金台帐!$B$7:$B$3006,$G232))</f>
      </c>
      <c r="C232" s="141">
        <f>IF($G232="","",INDEX(资金台帐!$J$7:$J$3006,$G232))</f>
      </c>
      <c r="D232" s="172">
        <f>IF($G232="","",INDEX(资金台帐!$S$7:$S$3006,$G232))</f>
      </c>
      <c r="E232" s="141">
        <f>IF($G232="","",INDEX(资金台帐!$C$7:$C$3006,$G232))</f>
      </c>
      <c r="F232" s="142">
        <f>IF($G232="","",INDEX(资金台帐!$E$7:$E$3006,$G232)&amp;IF(INDEX(资金台帐!$M$7:$M$3006,$G232)="","","；"&amp;INDEX(资金台帐!$M$7:$M$3006,$G232)))</f>
      </c>
      <c r="G232" s="78">
        <f>IFERROR(MATCH(229,资金台帐!$Q$7:$Q$3006,0),"")</f>
      </c>
      <c r="I232" s="141">
        <f>IF($O232="","",229)</f>
      </c>
      <c r="J232" s="140">
        <f>IF($O232="","",INDEX(资金台帐!$B$7:$B$3006,$O232))</f>
      </c>
      <c r="K232" s="141">
        <f>IF($O232="","",INDEX(资金台帐!$K$7:$K$3006,$O232))</f>
      </c>
      <c r="L232" s="172">
        <f>IF($O232="","",-INDEX(资金台帐!$S$7:$S$3006,$O232))</f>
      </c>
      <c r="M232" s="141">
        <f>IF($O232="","",INDEX(资金台帐!$C$7:$C$3006,$O232))</f>
      </c>
      <c r="N232" s="142">
        <f>IF($O232="","",INDEX(资金台帐!$E$7:$E$3006,$O232))</f>
      </c>
      <c r="O232" s="78">
        <f>IFERROR(MATCH(229,资金台帐!$R$7:$R$3006,0),"")</f>
      </c>
    </row>
    <row r="233">
      <c r="A233" s="141">
        <f>IF($G233="","",230)</f>
      </c>
      <c r="B233" s="140">
        <f>IF($G233="","",INDEX(资金台帐!$B$7:$B$3006,$G233))</f>
      </c>
      <c r="C233" s="141">
        <f>IF($G233="","",INDEX(资金台帐!$J$7:$J$3006,$G233))</f>
      </c>
      <c r="D233" s="172">
        <f>IF($G233="","",INDEX(资金台帐!$S$7:$S$3006,$G233))</f>
      </c>
      <c r="E233" s="141">
        <f>IF($G233="","",INDEX(资金台帐!$C$7:$C$3006,$G233))</f>
      </c>
      <c r="F233" s="142">
        <f>IF($G233="","",INDEX(资金台帐!$E$7:$E$3006,$G233)&amp;IF(INDEX(资金台帐!$M$7:$M$3006,$G233)="","","；"&amp;INDEX(资金台帐!$M$7:$M$3006,$G233)))</f>
      </c>
      <c r="G233" s="78">
        <f>IFERROR(MATCH(230,资金台帐!$Q$7:$Q$3006,0),"")</f>
      </c>
      <c r="I233" s="141">
        <f>IF($O233="","",230)</f>
      </c>
      <c r="J233" s="140">
        <f>IF($O233="","",INDEX(资金台帐!$B$7:$B$3006,$O233))</f>
      </c>
      <c r="K233" s="141">
        <f>IF($O233="","",INDEX(资金台帐!$K$7:$K$3006,$O233))</f>
      </c>
      <c r="L233" s="172">
        <f>IF($O233="","",-INDEX(资金台帐!$S$7:$S$3006,$O233))</f>
      </c>
      <c r="M233" s="141">
        <f>IF($O233="","",INDEX(资金台帐!$C$7:$C$3006,$O233))</f>
      </c>
      <c r="N233" s="142">
        <f>IF($O233="","",INDEX(资金台帐!$E$7:$E$3006,$O233))</f>
      </c>
      <c r="O233" s="78">
        <f>IFERROR(MATCH(230,资金台帐!$R$7:$R$3006,0),"")</f>
      </c>
    </row>
    <row r="234">
      <c r="A234" s="141">
        <f>IF($G234="","",231)</f>
      </c>
      <c r="B234" s="140">
        <f>IF($G234="","",INDEX(资金台帐!$B$7:$B$3006,$G234))</f>
      </c>
      <c r="C234" s="141">
        <f>IF($G234="","",INDEX(资金台帐!$J$7:$J$3006,$G234))</f>
      </c>
      <c r="D234" s="172">
        <f>IF($G234="","",INDEX(资金台帐!$S$7:$S$3006,$G234))</f>
      </c>
      <c r="E234" s="141">
        <f>IF($G234="","",INDEX(资金台帐!$C$7:$C$3006,$G234))</f>
      </c>
      <c r="F234" s="142">
        <f>IF($G234="","",INDEX(资金台帐!$E$7:$E$3006,$G234)&amp;IF(INDEX(资金台帐!$M$7:$M$3006,$G234)="","","；"&amp;INDEX(资金台帐!$M$7:$M$3006,$G234)))</f>
      </c>
      <c r="G234" s="78">
        <f>IFERROR(MATCH(231,资金台帐!$Q$7:$Q$3006,0),"")</f>
      </c>
      <c r="I234" s="141">
        <f>IF($O234="","",231)</f>
      </c>
      <c r="J234" s="140">
        <f>IF($O234="","",INDEX(资金台帐!$B$7:$B$3006,$O234))</f>
      </c>
      <c r="K234" s="141">
        <f>IF($O234="","",INDEX(资金台帐!$K$7:$K$3006,$O234))</f>
      </c>
      <c r="L234" s="172">
        <f>IF($O234="","",-INDEX(资金台帐!$S$7:$S$3006,$O234))</f>
      </c>
      <c r="M234" s="141">
        <f>IF($O234="","",INDEX(资金台帐!$C$7:$C$3006,$O234))</f>
      </c>
      <c r="N234" s="142">
        <f>IF($O234="","",INDEX(资金台帐!$E$7:$E$3006,$O234))</f>
      </c>
      <c r="O234" s="78">
        <f>IFERROR(MATCH(231,资金台帐!$R$7:$R$3006,0),"")</f>
      </c>
    </row>
    <row r="235">
      <c r="A235" s="141">
        <f>IF($G235="","",232)</f>
      </c>
      <c r="B235" s="140">
        <f>IF($G235="","",INDEX(资金台帐!$B$7:$B$3006,$G235))</f>
      </c>
      <c r="C235" s="141">
        <f>IF($G235="","",INDEX(资金台帐!$J$7:$J$3006,$G235))</f>
      </c>
      <c r="D235" s="172">
        <f>IF($G235="","",INDEX(资金台帐!$S$7:$S$3006,$G235))</f>
      </c>
      <c r="E235" s="141">
        <f>IF($G235="","",INDEX(资金台帐!$C$7:$C$3006,$G235))</f>
      </c>
      <c r="F235" s="142">
        <f>IF($G235="","",INDEX(资金台帐!$E$7:$E$3006,$G235)&amp;IF(INDEX(资金台帐!$M$7:$M$3006,$G235)="","","；"&amp;INDEX(资金台帐!$M$7:$M$3006,$G235)))</f>
      </c>
      <c r="G235" s="78">
        <f>IFERROR(MATCH(232,资金台帐!$Q$7:$Q$3006,0),"")</f>
      </c>
      <c r="I235" s="141">
        <f>IF($O235="","",232)</f>
      </c>
      <c r="J235" s="140">
        <f>IF($O235="","",INDEX(资金台帐!$B$7:$B$3006,$O235))</f>
      </c>
      <c r="K235" s="141">
        <f>IF($O235="","",INDEX(资金台帐!$K$7:$K$3006,$O235))</f>
      </c>
      <c r="L235" s="172">
        <f>IF($O235="","",-INDEX(资金台帐!$S$7:$S$3006,$O235))</f>
      </c>
      <c r="M235" s="141">
        <f>IF($O235="","",INDEX(资金台帐!$C$7:$C$3006,$O235))</f>
      </c>
      <c r="N235" s="142">
        <f>IF($O235="","",INDEX(资金台帐!$E$7:$E$3006,$O235))</f>
      </c>
      <c r="O235" s="78">
        <f>IFERROR(MATCH(232,资金台帐!$R$7:$R$3006,0),"")</f>
      </c>
    </row>
    <row r="236">
      <c r="A236" s="141">
        <f>IF($G236="","",233)</f>
      </c>
      <c r="B236" s="140">
        <f>IF($G236="","",INDEX(资金台帐!$B$7:$B$3006,$G236))</f>
      </c>
      <c r="C236" s="141">
        <f>IF($G236="","",INDEX(资金台帐!$J$7:$J$3006,$G236))</f>
      </c>
      <c r="D236" s="172">
        <f>IF($G236="","",INDEX(资金台帐!$S$7:$S$3006,$G236))</f>
      </c>
      <c r="E236" s="141">
        <f>IF($G236="","",INDEX(资金台帐!$C$7:$C$3006,$G236))</f>
      </c>
      <c r="F236" s="142">
        <f>IF($G236="","",INDEX(资金台帐!$E$7:$E$3006,$G236)&amp;IF(INDEX(资金台帐!$M$7:$M$3006,$G236)="","","；"&amp;INDEX(资金台帐!$M$7:$M$3006,$G236)))</f>
      </c>
      <c r="G236" s="78">
        <f>IFERROR(MATCH(233,资金台帐!$Q$7:$Q$3006,0),"")</f>
      </c>
      <c r="I236" s="141">
        <f>IF($O236="","",233)</f>
      </c>
      <c r="J236" s="140">
        <f>IF($O236="","",INDEX(资金台帐!$B$7:$B$3006,$O236))</f>
      </c>
      <c r="K236" s="141">
        <f>IF($O236="","",INDEX(资金台帐!$K$7:$K$3006,$O236))</f>
      </c>
      <c r="L236" s="172">
        <f>IF($O236="","",-INDEX(资金台帐!$S$7:$S$3006,$O236))</f>
      </c>
      <c r="M236" s="141">
        <f>IF($O236="","",INDEX(资金台帐!$C$7:$C$3006,$O236))</f>
      </c>
      <c r="N236" s="142">
        <f>IF($O236="","",INDEX(资金台帐!$E$7:$E$3006,$O236))</f>
      </c>
      <c r="O236" s="78">
        <f>IFERROR(MATCH(233,资金台帐!$R$7:$R$3006,0),"")</f>
      </c>
    </row>
    <row r="237">
      <c r="A237" s="141">
        <f>IF($G237="","",234)</f>
      </c>
      <c r="B237" s="140">
        <f>IF($G237="","",INDEX(资金台帐!$B$7:$B$3006,$G237))</f>
      </c>
      <c r="C237" s="141">
        <f>IF($G237="","",INDEX(资金台帐!$J$7:$J$3006,$G237))</f>
      </c>
      <c r="D237" s="172">
        <f>IF($G237="","",INDEX(资金台帐!$S$7:$S$3006,$G237))</f>
      </c>
      <c r="E237" s="141">
        <f>IF($G237="","",INDEX(资金台帐!$C$7:$C$3006,$G237))</f>
      </c>
      <c r="F237" s="142">
        <f>IF($G237="","",INDEX(资金台帐!$E$7:$E$3006,$G237)&amp;IF(INDEX(资金台帐!$M$7:$M$3006,$G237)="","","；"&amp;INDEX(资金台帐!$M$7:$M$3006,$G237)))</f>
      </c>
      <c r="G237" s="78">
        <f>IFERROR(MATCH(234,资金台帐!$Q$7:$Q$3006,0),"")</f>
      </c>
      <c r="I237" s="141">
        <f>IF($O237="","",234)</f>
      </c>
      <c r="J237" s="140">
        <f>IF($O237="","",INDEX(资金台帐!$B$7:$B$3006,$O237))</f>
      </c>
      <c r="K237" s="141">
        <f>IF($O237="","",INDEX(资金台帐!$K$7:$K$3006,$O237))</f>
      </c>
      <c r="L237" s="172">
        <f>IF($O237="","",-INDEX(资金台帐!$S$7:$S$3006,$O237))</f>
      </c>
      <c r="M237" s="141">
        <f>IF($O237="","",INDEX(资金台帐!$C$7:$C$3006,$O237))</f>
      </c>
      <c r="N237" s="142">
        <f>IF($O237="","",INDEX(资金台帐!$E$7:$E$3006,$O237))</f>
      </c>
      <c r="O237" s="78">
        <f>IFERROR(MATCH(234,资金台帐!$R$7:$R$3006,0),"")</f>
      </c>
    </row>
    <row r="238">
      <c r="A238" s="141">
        <f>IF($G238="","",235)</f>
      </c>
      <c r="B238" s="140">
        <f>IF($G238="","",INDEX(资金台帐!$B$7:$B$3006,$G238))</f>
      </c>
      <c r="C238" s="141">
        <f>IF($G238="","",INDEX(资金台帐!$J$7:$J$3006,$G238))</f>
      </c>
      <c r="D238" s="172">
        <f>IF($G238="","",INDEX(资金台帐!$S$7:$S$3006,$G238))</f>
      </c>
      <c r="E238" s="141">
        <f>IF($G238="","",INDEX(资金台帐!$C$7:$C$3006,$G238))</f>
      </c>
      <c r="F238" s="142">
        <f>IF($G238="","",INDEX(资金台帐!$E$7:$E$3006,$G238)&amp;IF(INDEX(资金台帐!$M$7:$M$3006,$G238)="","","；"&amp;INDEX(资金台帐!$M$7:$M$3006,$G238)))</f>
      </c>
      <c r="G238" s="78">
        <f>IFERROR(MATCH(235,资金台帐!$Q$7:$Q$3006,0),"")</f>
      </c>
      <c r="I238" s="141">
        <f>IF($O238="","",235)</f>
      </c>
      <c r="J238" s="140">
        <f>IF($O238="","",INDEX(资金台帐!$B$7:$B$3006,$O238))</f>
      </c>
      <c r="K238" s="141">
        <f>IF($O238="","",INDEX(资金台帐!$K$7:$K$3006,$O238))</f>
      </c>
      <c r="L238" s="172">
        <f>IF($O238="","",-INDEX(资金台帐!$S$7:$S$3006,$O238))</f>
      </c>
      <c r="M238" s="141">
        <f>IF($O238="","",INDEX(资金台帐!$C$7:$C$3006,$O238))</f>
      </c>
      <c r="N238" s="142">
        <f>IF($O238="","",INDEX(资金台帐!$E$7:$E$3006,$O238))</f>
      </c>
      <c r="O238" s="78">
        <f>IFERROR(MATCH(235,资金台帐!$R$7:$R$3006,0),"")</f>
      </c>
    </row>
    <row r="239">
      <c r="A239" s="141">
        <f>IF($G239="","",236)</f>
      </c>
      <c r="B239" s="140">
        <f>IF($G239="","",INDEX(资金台帐!$B$7:$B$3006,$G239))</f>
      </c>
      <c r="C239" s="141">
        <f>IF($G239="","",INDEX(资金台帐!$J$7:$J$3006,$G239))</f>
      </c>
      <c r="D239" s="172">
        <f>IF($G239="","",INDEX(资金台帐!$S$7:$S$3006,$G239))</f>
      </c>
      <c r="E239" s="141">
        <f>IF($G239="","",INDEX(资金台帐!$C$7:$C$3006,$G239))</f>
      </c>
      <c r="F239" s="142">
        <f>IF($G239="","",INDEX(资金台帐!$E$7:$E$3006,$G239)&amp;IF(INDEX(资金台帐!$M$7:$M$3006,$G239)="","","；"&amp;INDEX(资金台帐!$M$7:$M$3006,$G239)))</f>
      </c>
      <c r="G239" s="78">
        <f>IFERROR(MATCH(236,资金台帐!$Q$7:$Q$3006,0),"")</f>
      </c>
      <c r="I239" s="141">
        <f>IF($O239="","",236)</f>
      </c>
      <c r="J239" s="140">
        <f>IF($O239="","",INDEX(资金台帐!$B$7:$B$3006,$O239))</f>
      </c>
      <c r="K239" s="141">
        <f>IF($O239="","",INDEX(资金台帐!$K$7:$K$3006,$O239))</f>
      </c>
      <c r="L239" s="172">
        <f>IF($O239="","",-INDEX(资金台帐!$S$7:$S$3006,$O239))</f>
      </c>
      <c r="M239" s="141">
        <f>IF($O239="","",INDEX(资金台帐!$C$7:$C$3006,$O239))</f>
      </c>
      <c r="N239" s="142">
        <f>IF($O239="","",INDEX(资金台帐!$E$7:$E$3006,$O239))</f>
      </c>
      <c r="O239" s="78">
        <f>IFERROR(MATCH(236,资金台帐!$R$7:$R$3006,0),"")</f>
      </c>
    </row>
    <row r="240">
      <c r="A240" s="141">
        <f>IF($G240="","",237)</f>
      </c>
      <c r="B240" s="140">
        <f>IF($G240="","",INDEX(资金台帐!$B$7:$B$3006,$G240))</f>
      </c>
      <c r="C240" s="141">
        <f>IF($G240="","",INDEX(资金台帐!$J$7:$J$3006,$G240))</f>
      </c>
      <c r="D240" s="172">
        <f>IF($G240="","",INDEX(资金台帐!$S$7:$S$3006,$G240))</f>
      </c>
      <c r="E240" s="141">
        <f>IF($G240="","",INDEX(资金台帐!$C$7:$C$3006,$G240))</f>
      </c>
      <c r="F240" s="142">
        <f>IF($G240="","",INDEX(资金台帐!$E$7:$E$3006,$G240)&amp;IF(INDEX(资金台帐!$M$7:$M$3006,$G240)="","","；"&amp;INDEX(资金台帐!$M$7:$M$3006,$G240)))</f>
      </c>
      <c r="G240" s="78">
        <f>IFERROR(MATCH(237,资金台帐!$Q$7:$Q$3006,0),"")</f>
      </c>
      <c r="I240" s="141">
        <f>IF($O240="","",237)</f>
      </c>
      <c r="J240" s="140">
        <f>IF($O240="","",INDEX(资金台帐!$B$7:$B$3006,$O240))</f>
      </c>
      <c r="K240" s="141">
        <f>IF($O240="","",INDEX(资金台帐!$K$7:$K$3006,$O240))</f>
      </c>
      <c r="L240" s="172">
        <f>IF($O240="","",-INDEX(资金台帐!$S$7:$S$3006,$O240))</f>
      </c>
      <c r="M240" s="141">
        <f>IF($O240="","",INDEX(资金台帐!$C$7:$C$3006,$O240))</f>
      </c>
      <c r="N240" s="142">
        <f>IF($O240="","",INDEX(资金台帐!$E$7:$E$3006,$O240))</f>
      </c>
      <c r="O240" s="78">
        <f>IFERROR(MATCH(237,资金台帐!$R$7:$R$3006,0),"")</f>
      </c>
    </row>
    <row r="241">
      <c r="A241" s="141">
        <f>IF($G241="","",238)</f>
      </c>
      <c r="B241" s="140">
        <f>IF($G241="","",INDEX(资金台帐!$B$7:$B$3006,$G241))</f>
      </c>
      <c r="C241" s="141">
        <f>IF($G241="","",INDEX(资金台帐!$J$7:$J$3006,$G241))</f>
      </c>
      <c r="D241" s="172">
        <f>IF($G241="","",INDEX(资金台帐!$S$7:$S$3006,$G241))</f>
      </c>
      <c r="E241" s="141">
        <f>IF($G241="","",INDEX(资金台帐!$C$7:$C$3006,$G241))</f>
      </c>
      <c r="F241" s="142">
        <f>IF($G241="","",INDEX(资金台帐!$E$7:$E$3006,$G241)&amp;IF(INDEX(资金台帐!$M$7:$M$3006,$G241)="","","；"&amp;INDEX(资金台帐!$M$7:$M$3006,$G241)))</f>
      </c>
      <c r="G241" s="78">
        <f>IFERROR(MATCH(238,资金台帐!$Q$7:$Q$3006,0),"")</f>
      </c>
      <c r="I241" s="141">
        <f>IF($O241="","",238)</f>
      </c>
      <c r="J241" s="140">
        <f>IF($O241="","",INDEX(资金台帐!$B$7:$B$3006,$O241))</f>
      </c>
      <c r="K241" s="141">
        <f>IF($O241="","",INDEX(资金台帐!$K$7:$K$3006,$O241))</f>
      </c>
      <c r="L241" s="172">
        <f>IF($O241="","",-INDEX(资金台帐!$S$7:$S$3006,$O241))</f>
      </c>
      <c r="M241" s="141">
        <f>IF($O241="","",INDEX(资金台帐!$C$7:$C$3006,$O241))</f>
      </c>
      <c r="N241" s="142">
        <f>IF($O241="","",INDEX(资金台帐!$E$7:$E$3006,$O241))</f>
      </c>
      <c r="O241" s="78">
        <f>IFERROR(MATCH(238,资金台帐!$R$7:$R$3006,0),"")</f>
      </c>
    </row>
    <row r="242">
      <c r="A242" s="141">
        <f>IF($G242="","",239)</f>
      </c>
      <c r="B242" s="140">
        <f>IF($G242="","",INDEX(资金台帐!$B$7:$B$3006,$G242))</f>
      </c>
      <c r="C242" s="141">
        <f>IF($G242="","",INDEX(资金台帐!$J$7:$J$3006,$G242))</f>
      </c>
      <c r="D242" s="172">
        <f>IF($G242="","",INDEX(资金台帐!$S$7:$S$3006,$G242))</f>
      </c>
      <c r="E242" s="141">
        <f>IF($G242="","",INDEX(资金台帐!$C$7:$C$3006,$G242))</f>
      </c>
      <c r="F242" s="142">
        <f>IF($G242="","",INDEX(资金台帐!$E$7:$E$3006,$G242)&amp;IF(INDEX(资金台帐!$M$7:$M$3006,$G242)="","","；"&amp;INDEX(资金台帐!$M$7:$M$3006,$G242)))</f>
      </c>
      <c r="G242" s="78">
        <f>IFERROR(MATCH(239,资金台帐!$Q$7:$Q$3006,0),"")</f>
      </c>
      <c r="I242" s="141">
        <f>IF($O242="","",239)</f>
      </c>
      <c r="J242" s="140">
        <f>IF($O242="","",INDEX(资金台帐!$B$7:$B$3006,$O242))</f>
      </c>
      <c r="K242" s="141">
        <f>IF($O242="","",INDEX(资金台帐!$K$7:$K$3006,$O242))</f>
      </c>
      <c r="L242" s="172">
        <f>IF($O242="","",-INDEX(资金台帐!$S$7:$S$3006,$O242))</f>
      </c>
      <c r="M242" s="141">
        <f>IF($O242="","",INDEX(资金台帐!$C$7:$C$3006,$O242))</f>
      </c>
      <c r="N242" s="142">
        <f>IF($O242="","",INDEX(资金台帐!$E$7:$E$3006,$O242))</f>
      </c>
      <c r="O242" s="78">
        <f>IFERROR(MATCH(239,资金台帐!$R$7:$R$3006,0),"")</f>
      </c>
    </row>
    <row r="243">
      <c r="A243" s="141">
        <f>IF($G243="","",240)</f>
      </c>
      <c r="B243" s="140">
        <f>IF($G243="","",INDEX(资金台帐!$B$7:$B$3006,$G243))</f>
      </c>
      <c r="C243" s="141">
        <f>IF($G243="","",INDEX(资金台帐!$J$7:$J$3006,$G243))</f>
      </c>
      <c r="D243" s="172">
        <f>IF($G243="","",INDEX(资金台帐!$S$7:$S$3006,$G243))</f>
      </c>
      <c r="E243" s="141">
        <f>IF($G243="","",INDEX(资金台帐!$C$7:$C$3006,$G243))</f>
      </c>
      <c r="F243" s="142">
        <f>IF($G243="","",INDEX(资金台帐!$E$7:$E$3006,$G243)&amp;IF(INDEX(资金台帐!$M$7:$M$3006,$G243)="","","；"&amp;INDEX(资金台帐!$M$7:$M$3006,$G243)))</f>
      </c>
      <c r="G243" s="78">
        <f>IFERROR(MATCH(240,资金台帐!$Q$7:$Q$3006,0),"")</f>
      </c>
      <c r="I243" s="141">
        <f>IF($O243="","",240)</f>
      </c>
      <c r="J243" s="140">
        <f>IF($O243="","",INDEX(资金台帐!$B$7:$B$3006,$O243))</f>
      </c>
      <c r="K243" s="141">
        <f>IF($O243="","",INDEX(资金台帐!$K$7:$K$3006,$O243))</f>
      </c>
      <c r="L243" s="172">
        <f>IF($O243="","",-INDEX(资金台帐!$S$7:$S$3006,$O243))</f>
      </c>
      <c r="M243" s="141">
        <f>IF($O243="","",INDEX(资金台帐!$C$7:$C$3006,$O243))</f>
      </c>
      <c r="N243" s="142">
        <f>IF($O243="","",INDEX(资金台帐!$E$7:$E$3006,$O243))</f>
      </c>
      <c r="O243" s="78">
        <f>IFERROR(MATCH(240,资金台帐!$R$7:$R$3006,0),"")</f>
      </c>
    </row>
    <row r="244">
      <c r="A244" s="141">
        <f>IF($G244="","",241)</f>
      </c>
      <c r="B244" s="140">
        <f>IF($G244="","",INDEX(资金台帐!$B$7:$B$3006,$G244))</f>
      </c>
      <c r="C244" s="141">
        <f>IF($G244="","",INDEX(资金台帐!$J$7:$J$3006,$G244))</f>
      </c>
      <c r="D244" s="172">
        <f>IF($G244="","",INDEX(资金台帐!$S$7:$S$3006,$G244))</f>
      </c>
      <c r="E244" s="141">
        <f>IF($G244="","",INDEX(资金台帐!$C$7:$C$3006,$G244))</f>
      </c>
      <c r="F244" s="142">
        <f>IF($G244="","",INDEX(资金台帐!$E$7:$E$3006,$G244)&amp;IF(INDEX(资金台帐!$M$7:$M$3006,$G244)="","","；"&amp;INDEX(资金台帐!$M$7:$M$3006,$G244)))</f>
      </c>
      <c r="G244" s="78">
        <f>IFERROR(MATCH(241,资金台帐!$Q$7:$Q$3006,0),"")</f>
      </c>
      <c r="I244" s="141">
        <f>IF($O244="","",241)</f>
      </c>
      <c r="J244" s="140">
        <f>IF($O244="","",INDEX(资金台帐!$B$7:$B$3006,$O244))</f>
      </c>
      <c r="K244" s="141">
        <f>IF($O244="","",INDEX(资金台帐!$K$7:$K$3006,$O244))</f>
      </c>
      <c r="L244" s="172">
        <f>IF($O244="","",-INDEX(资金台帐!$S$7:$S$3006,$O244))</f>
      </c>
      <c r="M244" s="141">
        <f>IF($O244="","",INDEX(资金台帐!$C$7:$C$3006,$O244))</f>
      </c>
      <c r="N244" s="142">
        <f>IF($O244="","",INDEX(资金台帐!$E$7:$E$3006,$O244))</f>
      </c>
      <c r="O244" s="78">
        <f>IFERROR(MATCH(241,资金台帐!$R$7:$R$3006,0),"")</f>
      </c>
    </row>
    <row r="245">
      <c r="A245" s="141">
        <f>IF($G245="","",242)</f>
      </c>
      <c r="B245" s="140">
        <f>IF($G245="","",INDEX(资金台帐!$B$7:$B$3006,$G245))</f>
      </c>
      <c r="C245" s="141">
        <f>IF($G245="","",INDEX(资金台帐!$J$7:$J$3006,$G245))</f>
      </c>
      <c r="D245" s="172">
        <f>IF($G245="","",INDEX(资金台帐!$S$7:$S$3006,$G245))</f>
      </c>
      <c r="E245" s="141">
        <f>IF($G245="","",INDEX(资金台帐!$C$7:$C$3006,$G245))</f>
      </c>
      <c r="F245" s="142">
        <f>IF($G245="","",INDEX(资金台帐!$E$7:$E$3006,$G245)&amp;IF(INDEX(资金台帐!$M$7:$M$3006,$G245)="","","；"&amp;INDEX(资金台帐!$M$7:$M$3006,$G245)))</f>
      </c>
      <c r="G245" s="78">
        <f>IFERROR(MATCH(242,资金台帐!$Q$7:$Q$3006,0),"")</f>
      </c>
      <c r="I245" s="141">
        <f>IF($O245="","",242)</f>
      </c>
      <c r="J245" s="140">
        <f>IF($O245="","",INDEX(资金台帐!$B$7:$B$3006,$O245))</f>
      </c>
      <c r="K245" s="141">
        <f>IF($O245="","",INDEX(资金台帐!$K$7:$K$3006,$O245))</f>
      </c>
      <c r="L245" s="172">
        <f>IF($O245="","",-INDEX(资金台帐!$S$7:$S$3006,$O245))</f>
      </c>
      <c r="M245" s="141">
        <f>IF($O245="","",INDEX(资金台帐!$C$7:$C$3006,$O245))</f>
      </c>
      <c r="N245" s="142">
        <f>IF($O245="","",INDEX(资金台帐!$E$7:$E$3006,$O245))</f>
      </c>
      <c r="O245" s="78">
        <f>IFERROR(MATCH(242,资金台帐!$R$7:$R$3006,0),"")</f>
      </c>
    </row>
    <row r="246">
      <c r="A246" s="141">
        <f>IF($G246="","",243)</f>
      </c>
      <c r="B246" s="140">
        <f>IF($G246="","",INDEX(资金台帐!$B$7:$B$3006,$G246))</f>
      </c>
      <c r="C246" s="141">
        <f>IF($G246="","",INDEX(资金台帐!$J$7:$J$3006,$G246))</f>
      </c>
      <c r="D246" s="172">
        <f>IF($G246="","",INDEX(资金台帐!$S$7:$S$3006,$G246))</f>
      </c>
      <c r="E246" s="141">
        <f>IF($G246="","",INDEX(资金台帐!$C$7:$C$3006,$G246))</f>
      </c>
      <c r="F246" s="142">
        <f>IF($G246="","",INDEX(资金台帐!$E$7:$E$3006,$G246)&amp;IF(INDEX(资金台帐!$M$7:$M$3006,$G246)="","","；"&amp;INDEX(资金台帐!$M$7:$M$3006,$G246)))</f>
      </c>
      <c r="G246" s="78">
        <f>IFERROR(MATCH(243,资金台帐!$Q$7:$Q$3006,0),"")</f>
      </c>
      <c r="I246" s="141">
        <f>IF($O246="","",243)</f>
      </c>
      <c r="J246" s="140">
        <f>IF($O246="","",INDEX(资金台帐!$B$7:$B$3006,$O246))</f>
      </c>
      <c r="K246" s="141">
        <f>IF($O246="","",INDEX(资金台帐!$K$7:$K$3006,$O246))</f>
      </c>
      <c r="L246" s="172">
        <f>IF($O246="","",-INDEX(资金台帐!$S$7:$S$3006,$O246))</f>
      </c>
      <c r="M246" s="141">
        <f>IF($O246="","",INDEX(资金台帐!$C$7:$C$3006,$O246))</f>
      </c>
      <c r="N246" s="142">
        <f>IF($O246="","",INDEX(资金台帐!$E$7:$E$3006,$O246))</f>
      </c>
      <c r="O246" s="78">
        <f>IFERROR(MATCH(243,资金台帐!$R$7:$R$3006,0),"")</f>
      </c>
    </row>
    <row r="247">
      <c r="A247" s="141">
        <f>IF($G247="","",244)</f>
      </c>
      <c r="B247" s="140">
        <f>IF($G247="","",INDEX(资金台帐!$B$7:$B$3006,$G247))</f>
      </c>
      <c r="C247" s="141">
        <f>IF($G247="","",INDEX(资金台帐!$J$7:$J$3006,$G247))</f>
      </c>
      <c r="D247" s="172">
        <f>IF($G247="","",INDEX(资金台帐!$S$7:$S$3006,$G247))</f>
      </c>
      <c r="E247" s="141">
        <f>IF($G247="","",INDEX(资金台帐!$C$7:$C$3006,$G247))</f>
      </c>
      <c r="F247" s="142">
        <f>IF($G247="","",INDEX(资金台帐!$E$7:$E$3006,$G247)&amp;IF(INDEX(资金台帐!$M$7:$M$3006,$G247)="","","；"&amp;INDEX(资金台帐!$M$7:$M$3006,$G247)))</f>
      </c>
      <c r="G247" s="78">
        <f>IFERROR(MATCH(244,资金台帐!$Q$7:$Q$3006,0),"")</f>
      </c>
      <c r="I247" s="141">
        <f>IF($O247="","",244)</f>
      </c>
      <c r="J247" s="140">
        <f>IF($O247="","",INDEX(资金台帐!$B$7:$B$3006,$O247))</f>
      </c>
      <c r="K247" s="141">
        <f>IF($O247="","",INDEX(资金台帐!$K$7:$K$3006,$O247))</f>
      </c>
      <c r="L247" s="172">
        <f>IF($O247="","",-INDEX(资金台帐!$S$7:$S$3006,$O247))</f>
      </c>
      <c r="M247" s="141">
        <f>IF($O247="","",INDEX(资金台帐!$C$7:$C$3006,$O247))</f>
      </c>
      <c r="N247" s="142">
        <f>IF($O247="","",INDEX(资金台帐!$E$7:$E$3006,$O247))</f>
      </c>
      <c r="O247" s="78">
        <f>IFERROR(MATCH(244,资金台帐!$R$7:$R$3006,0),"")</f>
      </c>
    </row>
    <row r="248">
      <c r="A248" s="141">
        <f>IF($G248="","",245)</f>
      </c>
      <c r="B248" s="140">
        <f>IF($G248="","",INDEX(资金台帐!$B$7:$B$3006,$G248))</f>
      </c>
      <c r="C248" s="141">
        <f>IF($G248="","",INDEX(资金台帐!$J$7:$J$3006,$G248))</f>
      </c>
      <c r="D248" s="172">
        <f>IF($G248="","",INDEX(资金台帐!$S$7:$S$3006,$G248))</f>
      </c>
      <c r="E248" s="141">
        <f>IF($G248="","",INDEX(资金台帐!$C$7:$C$3006,$G248))</f>
      </c>
      <c r="F248" s="142">
        <f>IF($G248="","",INDEX(资金台帐!$E$7:$E$3006,$G248)&amp;IF(INDEX(资金台帐!$M$7:$M$3006,$G248)="","","；"&amp;INDEX(资金台帐!$M$7:$M$3006,$G248)))</f>
      </c>
      <c r="G248" s="78">
        <f>IFERROR(MATCH(245,资金台帐!$Q$7:$Q$3006,0),"")</f>
      </c>
      <c r="I248" s="141">
        <f>IF($O248="","",245)</f>
      </c>
      <c r="J248" s="140">
        <f>IF($O248="","",INDEX(资金台帐!$B$7:$B$3006,$O248))</f>
      </c>
      <c r="K248" s="141">
        <f>IF($O248="","",INDEX(资金台帐!$K$7:$K$3006,$O248))</f>
      </c>
      <c r="L248" s="172">
        <f>IF($O248="","",-INDEX(资金台帐!$S$7:$S$3006,$O248))</f>
      </c>
      <c r="M248" s="141">
        <f>IF($O248="","",INDEX(资金台帐!$C$7:$C$3006,$O248))</f>
      </c>
      <c r="N248" s="142">
        <f>IF($O248="","",INDEX(资金台帐!$E$7:$E$3006,$O248))</f>
      </c>
      <c r="O248" s="78">
        <f>IFERROR(MATCH(245,资金台帐!$R$7:$R$3006,0),"")</f>
      </c>
    </row>
    <row r="249">
      <c r="A249" s="141">
        <f>IF($G249="","",246)</f>
      </c>
      <c r="B249" s="140">
        <f>IF($G249="","",INDEX(资金台帐!$B$7:$B$3006,$G249))</f>
      </c>
      <c r="C249" s="141">
        <f>IF($G249="","",INDEX(资金台帐!$J$7:$J$3006,$G249))</f>
      </c>
      <c r="D249" s="172">
        <f>IF($G249="","",INDEX(资金台帐!$S$7:$S$3006,$G249))</f>
      </c>
      <c r="E249" s="141">
        <f>IF($G249="","",INDEX(资金台帐!$C$7:$C$3006,$G249))</f>
      </c>
      <c r="F249" s="142">
        <f>IF($G249="","",INDEX(资金台帐!$E$7:$E$3006,$G249)&amp;IF(INDEX(资金台帐!$M$7:$M$3006,$G249)="","","；"&amp;INDEX(资金台帐!$M$7:$M$3006,$G249)))</f>
      </c>
      <c r="G249" s="78">
        <f>IFERROR(MATCH(246,资金台帐!$Q$7:$Q$3006,0),"")</f>
      </c>
      <c r="I249" s="141">
        <f>IF($O249="","",246)</f>
      </c>
      <c r="J249" s="140">
        <f>IF($O249="","",INDEX(资金台帐!$B$7:$B$3006,$O249))</f>
      </c>
      <c r="K249" s="141">
        <f>IF($O249="","",INDEX(资金台帐!$K$7:$K$3006,$O249))</f>
      </c>
      <c r="L249" s="172">
        <f>IF($O249="","",-INDEX(资金台帐!$S$7:$S$3006,$O249))</f>
      </c>
      <c r="M249" s="141">
        <f>IF($O249="","",INDEX(资金台帐!$C$7:$C$3006,$O249))</f>
      </c>
      <c r="N249" s="142">
        <f>IF($O249="","",INDEX(资金台帐!$E$7:$E$3006,$O249))</f>
      </c>
      <c r="O249" s="78">
        <f>IFERROR(MATCH(246,资金台帐!$R$7:$R$3006,0),"")</f>
      </c>
    </row>
    <row r="250">
      <c r="A250" s="141">
        <f>IF($G250="","",247)</f>
      </c>
      <c r="B250" s="140">
        <f>IF($G250="","",INDEX(资金台帐!$B$7:$B$3006,$G250))</f>
      </c>
      <c r="C250" s="141">
        <f>IF($G250="","",INDEX(资金台帐!$J$7:$J$3006,$G250))</f>
      </c>
      <c r="D250" s="172">
        <f>IF($G250="","",INDEX(资金台帐!$S$7:$S$3006,$G250))</f>
      </c>
      <c r="E250" s="141">
        <f>IF($G250="","",INDEX(资金台帐!$C$7:$C$3006,$G250))</f>
      </c>
      <c r="F250" s="142">
        <f>IF($G250="","",INDEX(资金台帐!$E$7:$E$3006,$G250)&amp;IF(INDEX(资金台帐!$M$7:$M$3006,$G250)="","","；"&amp;INDEX(资金台帐!$M$7:$M$3006,$G250)))</f>
      </c>
      <c r="G250" s="78">
        <f>IFERROR(MATCH(247,资金台帐!$Q$7:$Q$3006,0),"")</f>
      </c>
      <c r="I250" s="141">
        <f>IF($O250="","",247)</f>
      </c>
      <c r="J250" s="140">
        <f>IF($O250="","",INDEX(资金台帐!$B$7:$B$3006,$O250))</f>
      </c>
      <c r="K250" s="141">
        <f>IF($O250="","",INDEX(资金台帐!$K$7:$K$3006,$O250))</f>
      </c>
      <c r="L250" s="172">
        <f>IF($O250="","",-INDEX(资金台帐!$S$7:$S$3006,$O250))</f>
      </c>
      <c r="M250" s="141">
        <f>IF($O250="","",INDEX(资金台帐!$C$7:$C$3006,$O250))</f>
      </c>
      <c r="N250" s="142">
        <f>IF($O250="","",INDEX(资金台帐!$E$7:$E$3006,$O250))</f>
      </c>
      <c r="O250" s="78">
        <f>IFERROR(MATCH(247,资金台帐!$R$7:$R$3006,0),"")</f>
      </c>
    </row>
    <row r="251">
      <c r="A251" s="141">
        <f>IF($G251="","",248)</f>
      </c>
      <c r="B251" s="140">
        <f>IF($G251="","",INDEX(资金台帐!$B$7:$B$3006,$G251))</f>
      </c>
      <c r="C251" s="141">
        <f>IF($G251="","",INDEX(资金台帐!$J$7:$J$3006,$G251))</f>
      </c>
      <c r="D251" s="172">
        <f>IF($G251="","",INDEX(资金台帐!$S$7:$S$3006,$G251))</f>
      </c>
      <c r="E251" s="141">
        <f>IF($G251="","",INDEX(资金台帐!$C$7:$C$3006,$G251))</f>
      </c>
      <c r="F251" s="142">
        <f>IF($G251="","",INDEX(资金台帐!$E$7:$E$3006,$G251)&amp;IF(INDEX(资金台帐!$M$7:$M$3006,$G251)="","","；"&amp;INDEX(资金台帐!$M$7:$M$3006,$G251)))</f>
      </c>
      <c r="G251" s="78">
        <f>IFERROR(MATCH(248,资金台帐!$Q$7:$Q$3006,0),"")</f>
      </c>
      <c r="I251" s="141">
        <f>IF($O251="","",248)</f>
      </c>
      <c r="J251" s="140">
        <f>IF($O251="","",INDEX(资金台帐!$B$7:$B$3006,$O251))</f>
      </c>
      <c r="K251" s="141">
        <f>IF($O251="","",INDEX(资金台帐!$K$7:$K$3006,$O251))</f>
      </c>
      <c r="L251" s="172">
        <f>IF($O251="","",-INDEX(资金台帐!$S$7:$S$3006,$O251))</f>
      </c>
      <c r="M251" s="141">
        <f>IF($O251="","",INDEX(资金台帐!$C$7:$C$3006,$O251))</f>
      </c>
      <c r="N251" s="142">
        <f>IF($O251="","",INDEX(资金台帐!$E$7:$E$3006,$O251))</f>
      </c>
      <c r="O251" s="78">
        <f>IFERROR(MATCH(248,资金台帐!$R$7:$R$3006,0),"")</f>
      </c>
    </row>
    <row r="252">
      <c r="A252" s="141">
        <f>IF($G252="","",249)</f>
      </c>
      <c r="B252" s="140">
        <f>IF($G252="","",INDEX(资金台帐!$B$7:$B$3006,$G252))</f>
      </c>
      <c r="C252" s="141">
        <f>IF($G252="","",INDEX(资金台帐!$J$7:$J$3006,$G252))</f>
      </c>
      <c r="D252" s="172">
        <f>IF($G252="","",INDEX(资金台帐!$S$7:$S$3006,$G252))</f>
      </c>
      <c r="E252" s="141">
        <f>IF($G252="","",INDEX(资金台帐!$C$7:$C$3006,$G252))</f>
      </c>
      <c r="F252" s="142">
        <f>IF($G252="","",INDEX(资金台帐!$E$7:$E$3006,$G252)&amp;IF(INDEX(资金台帐!$M$7:$M$3006,$G252)="","","；"&amp;INDEX(资金台帐!$M$7:$M$3006,$G252)))</f>
      </c>
      <c r="G252" s="78">
        <f>IFERROR(MATCH(249,资金台帐!$Q$7:$Q$3006,0),"")</f>
      </c>
      <c r="I252" s="141">
        <f>IF($O252="","",249)</f>
      </c>
      <c r="J252" s="140">
        <f>IF($O252="","",INDEX(资金台帐!$B$7:$B$3006,$O252))</f>
      </c>
      <c r="K252" s="141">
        <f>IF($O252="","",INDEX(资金台帐!$K$7:$K$3006,$O252))</f>
      </c>
      <c r="L252" s="172">
        <f>IF($O252="","",-INDEX(资金台帐!$S$7:$S$3006,$O252))</f>
      </c>
      <c r="M252" s="141">
        <f>IF($O252="","",INDEX(资金台帐!$C$7:$C$3006,$O252))</f>
      </c>
      <c r="N252" s="142">
        <f>IF($O252="","",INDEX(资金台帐!$E$7:$E$3006,$O252))</f>
      </c>
      <c r="O252" s="78">
        <f>IFERROR(MATCH(249,资金台帐!$R$7:$R$3006,0),"")</f>
      </c>
    </row>
    <row r="253">
      <c r="A253" s="141">
        <f>IF($G253="","",250)</f>
      </c>
      <c r="B253" s="140">
        <f>IF($G253="","",INDEX(资金台帐!$B$7:$B$3006,$G253))</f>
      </c>
      <c r="C253" s="141">
        <f>IF($G253="","",INDEX(资金台帐!$J$7:$J$3006,$G253))</f>
      </c>
      <c r="D253" s="172">
        <f>IF($G253="","",INDEX(资金台帐!$S$7:$S$3006,$G253))</f>
      </c>
      <c r="E253" s="141">
        <f>IF($G253="","",INDEX(资金台帐!$C$7:$C$3006,$G253))</f>
      </c>
      <c r="F253" s="142">
        <f>IF($G253="","",INDEX(资金台帐!$E$7:$E$3006,$G253)&amp;IF(INDEX(资金台帐!$M$7:$M$3006,$G253)="","","；"&amp;INDEX(资金台帐!$M$7:$M$3006,$G253)))</f>
      </c>
      <c r="G253" s="78">
        <f>IFERROR(MATCH(250,资金台帐!$Q$7:$Q$3006,0),"")</f>
      </c>
      <c r="I253" s="141">
        <f>IF($O253="","",250)</f>
      </c>
      <c r="J253" s="140">
        <f>IF($O253="","",INDEX(资金台帐!$B$7:$B$3006,$O253))</f>
      </c>
      <c r="K253" s="141">
        <f>IF($O253="","",INDEX(资金台帐!$K$7:$K$3006,$O253))</f>
      </c>
      <c r="L253" s="172">
        <f>IF($O253="","",-INDEX(资金台帐!$S$7:$S$3006,$O253))</f>
      </c>
      <c r="M253" s="141">
        <f>IF($O253="","",INDEX(资金台帐!$C$7:$C$3006,$O253))</f>
      </c>
      <c r="N253" s="142">
        <f>IF($O253="","",INDEX(资金台帐!$E$7:$E$3006,$O253))</f>
      </c>
      <c r="O253" s="78">
        <f>IFERROR(MATCH(250,资金台帐!$R$7:$R$3006,0),"")</f>
      </c>
    </row>
    <row r="254">
      <c r="A254" s="141">
        <f>IF($G254="","",251)</f>
      </c>
      <c r="B254" s="140">
        <f>IF($G254="","",INDEX(资金台帐!$B$7:$B$3006,$G254))</f>
      </c>
      <c r="C254" s="141">
        <f>IF($G254="","",INDEX(资金台帐!$J$7:$J$3006,$G254))</f>
      </c>
      <c r="D254" s="172">
        <f>IF($G254="","",INDEX(资金台帐!$S$7:$S$3006,$G254))</f>
      </c>
      <c r="E254" s="141">
        <f>IF($G254="","",INDEX(资金台帐!$C$7:$C$3006,$G254))</f>
      </c>
      <c r="F254" s="142">
        <f>IF($G254="","",INDEX(资金台帐!$E$7:$E$3006,$G254)&amp;IF(INDEX(资金台帐!$M$7:$M$3006,$G254)="","","；"&amp;INDEX(资金台帐!$M$7:$M$3006,$G254)))</f>
      </c>
      <c r="G254" s="78">
        <f>IFERROR(MATCH(251,资金台帐!$Q$7:$Q$3006,0),"")</f>
      </c>
      <c r="I254" s="141">
        <f>IF($O254="","",251)</f>
      </c>
      <c r="J254" s="140">
        <f>IF($O254="","",INDEX(资金台帐!$B$7:$B$3006,$O254))</f>
      </c>
      <c r="K254" s="141">
        <f>IF($O254="","",INDEX(资金台帐!$K$7:$K$3006,$O254))</f>
      </c>
      <c r="L254" s="172">
        <f>IF($O254="","",-INDEX(资金台帐!$S$7:$S$3006,$O254))</f>
      </c>
      <c r="M254" s="141">
        <f>IF($O254="","",INDEX(资金台帐!$C$7:$C$3006,$O254))</f>
      </c>
      <c r="N254" s="142">
        <f>IF($O254="","",INDEX(资金台帐!$E$7:$E$3006,$O254))</f>
      </c>
      <c r="O254" s="78">
        <f>IFERROR(MATCH(251,资金台帐!$R$7:$R$3006,0),"")</f>
      </c>
    </row>
    <row r="255">
      <c r="A255" s="141">
        <f>IF($G255="","",252)</f>
      </c>
      <c r="B255" s="140">
        <f>IF($G255="","",INDEX(资金台帐!$B$7:$B$3006,$G255))</f>
      </c>
      <c r="C255" s="141">
        <f>IF($G255="","",INDEX(资金台帐!$J$7:$J$3006,$G255))</f>
      </c>
      <c r="D255" s="172">
        <f>IF($G255="","",INDEX(资金台帐!$S$7:$S$3006,$G255))</f>
      </c>
      <c r="E255" s="141">
        <f>IF($G255="","",INDEX(资金台帐!$C$7:$C$3006,$G255))</f>
      </c>
      <c r="F255" s="142">
        <f>IF($G255="","",INDEX(资金台帐!$E$7:$E$3006,$G255)&amp;IF(INDEX(资金台帐!$M$7:$M$3006,$G255)="","","；"&amp;INDEX(资金台帐!$M$7:$M$3006,$G255)))</f>
      </c>
      <c r="G255" s="78">
        <f>IFERROR(MATCH(252,资金台帐!$Q$7:$Q$3006,0),"")</f>
      </c>
      <c r="I255" s="141">
        <f>IF($O255="","",252)</f>
      </c>
      <c r="J255" s="140">
        <f>IF($O255="","",INDEX(资金台帐!$B$7:$B$3006,$O255))</f>
      </c>
      <c r="K255" s="141">
        <f>IF($O255="","",INDEX(资金台帐!$K$7:$K$3006,$O255))</f>
      </c>
      <c r="L255" s="172">
        <f>IF($O255="","",-INDEX(资金台帐!$S$7:$S$3006,$O255))</f>
      </c>
      <c r="M255" s="141">
        <f>IF($O255="","",INDEX(资金台帐!$C$7:$C$3006,$O255))</f>
      </c>
      <c r="N255" s="142">
        <f>IF($O255="","",INDEX(资金台帐!$E$7:$E$3006,$O255))</f>
      </c>
      <c r="O255" s="78">
        <f>IFERROR(MATCH(252,资金台帐!$R$7:$R$3006,0),"")</f>
      </c>
    </row>
    <row r="256">
      <c r="A256" s="141">
        <f>IF($G256="","",253)</f>
      </c>
      <c r="B256" s="140">
        <f>IF($G256="","",INDEX(资金台帐!$B$7:$B$3006,$G256))</f>
      </c>
      <c r="C256" s="141">
        <f>IF($G256="","",INDEX(资金台帐!$J$7:$J$3006,$G256))</f>
      </c>
      <c r="D256" s="172">
        <f>IF($G256="","",INDEX(资金台帐!$S$7:$S$3006,$G256))</f>
      </c>
      <c r="E256" s="141">
        <f>IF($G256="","",INDEX(资金台帐!$C$7:$C$3006,$G256))</f>
      </c>
      <c r="F256" s="142">
        <f>IF($G256="","",INDEX(资金台帐!$E$7:$E$3006,$G256)&amp;IF(INDEX(资金台帐!$M$7:$M$3006,$G256)="","","；"&amp;INDEX(资金台帐!$M$7:$M$3006,$G256)))</f>
      </c>
      <c r="G256" s="78">
        <f>IFERROR(MATCH(253,资金台帐!$Q$7:$Q$3006,0),"")</f>
      </c>
      <c r="I256" s="141">
        <f>IF($O256="","",253)</f>
      </c>
      <c r="J256" s="140">
        <f>IF($O256="","",INDEX(资金台帐!$B$7:$B$3006,$O256))</f>
      </c>
      <c r="K256" s="141">
        <f>IF($O256="","",INDEX(资金台帐!$K$7:$K$3006,$O256))</f>
      </c>
      <c r="L256" s="172">
        <f>IF($O256="","",-INDEX(资金台帐!$S$7:$S$3006,$O256))</f>
      </c>
      <c r="M256" s="141">
        <f>IF($O256="","",INDEX(资金台帐!$C$7:$C$3006,$O256))</f>
      </c>
      <c r="N256" s="142">
        <f>IF($O256="","",INDEX(资金台帐!$E$7:$E$3006,$O256))</f>
      </c>
      <c r="O256" s="78">
        <f>IFERROR(MATCH(253,资金台帐!$R$7:$R$3006,0),"")</f>
      </c>
    </row>
    <row r="257">
      <c r="A257" s="141">
        <f>IF($G257="","",254)</f>
      </c>
      <c r="B257" s="140">
        <f>IF($G257="","",INDEX(资金台帐!$B$7:$B$3006,$G257))</f>
      </c>
      <c r="C257" s="141">
        <f>IF($G257="","",INDEX(资金台帐!$J$7:$J$3006,$G257))</f>
      </c>
      <c r="D257" s="172">
        <f>IF($G257="","",INDEX(资金台帐!$S$7:$S$3006,$G257))</f>
      </c>
      <c r="E257" s="141">
        <f>IF($G257="","",INDEX(资金台帐!$C$7:$C$3006,$G257))</f>
      </c>
      <c r="F257" s="142">
        <f>IF($G257="","",INDEX(资金台帐!$E$7:$E$3006,$G257)&amp;IF(INDEX(资金台帐!$M$7:$M$3006,$G257)="","","；"&amp;INDEX(资金台帐!$M$7:$M$3006,$G257)))</f>
      </c>
      <c r="G257" s="78">
        <f>IFERROR(MATCH(254,资金台帐!$Q$7:$Q$3006,0),"")</f>
      </c>
      <c r="I257" s="141">
        <f>IF($O257="","",254)</f>
      </c>
      <c r="J257" s="140">
        <f>IF($O257="","",INDEX(资金台帐!$B$7:$B$3006,$O257))</f>
      </c>
      <c r="K257" s="141">
        <f>IF($O257="","",INDEX(资金台帐!$K$7:$K$3006,$O257))</f>
      </c>
      <c r="L257" s="172">
        <f>IF($O257="","",-INDEX(资金台帐!$S$7:$S$3006,$O257))</f>
      </c>
      <c r="M257" s="141">
        <f>IF($O257="","",INDEX(资金台帐!$C$7:$C$3006,$O257))</f>
      </c>
      <c r="N257" s="142">
        <f>IF($O257="","",INDEX(资金台帐!$E$7:$E$3006,$O257))</f>
      </c>
      <c r="O257" s="78">
        <f>IFERROR(MATCH(254,资金台帐!$R$7:$R$3006,0),"")</f>
      </c>
    </row>
    <row r="258">
      <c r="A258" s="141">
        <f>IF($G258="","",255)</f>
      </c>
      <c r="B258" s="140">
        <f>IF($G258="","",INDEX(资金台帐!$B$7:$B$3006,$G258))</f>
      </c>
      <c r="C258" s="141">
        <f>IF($G258="","",INDEX(资金台帐!$J$7:$J$3006,$G258))</f>
      </c>
      <c r="D258" s="172">
        <f>IF($G258="","",INDEX(资金台帐!$S$7:$S$3006,$G258))</f>
      </c>
      <c r="E258" s="141">
        <f>IF($G258="","",INDEX(资金台帐!$C$7:$C$3006,$G258))</f>
      </c>
      <c r="F258" s="142">
        <f>IF($G258="","",INDEX(资金台帐!$E$7:$E$3006,$G258)&amp;IF(INDEX(资金台帐!$M$7:$M$3006,$G258)="","","；"&amp;INDEX(资金台帐!$M$7:$M$3006,$G258)))</f>
      </c>
      <c r="G258" s="78">
        <f>IFERROR(MATCH(255,资金台帐!$Q$7:$Q$3006,0),"")</f>
      </c>
      <c r="I258" s="141">
        <f>IF($O258="","",255)</f>
      </c>
      <c r="J258" s="140">
        <f>IF($O258="","",INDEX(资金台帐!$B$7:$B$3006,$O258))</f>
      </c>
      <c r="K258" s="141">
        <f>IF($O258="","",INDEX(资金台帐!$K$7:$K$3006,$O258))</f>
      </c>
      <c r="L258" s="172">
        <f>IF($O258="","",-INDEX(资金台帐!$S$7:$S$3006,$O258))</f>
      </c>
      <c r="M258" s="141">
        <f>IF($O258="","",INDEX(资金台帐!$C$7:$C$3006,$O258))</f>
      </c>
      <c r="N258" s="142">
        <f>IF($O258="","",INDEX(资金台帐!$E$7:$E$3006,$O258))</f>
      </c>
      <c r="O258" s="78">
        <f>IFERROR(MATCH(255,资金台帐!$R$7:$R$3006,0),"")</f>
      </c>
    </row>
    <row r="259">
      <c r="A259" s="141">
        <f>IF($G259="","",256)</f>
      </c>
      <c r="B259" s="140">
        <f>IF($G259="","",INDEX(资金台帐!$B$7:$B$3006,$G259))</f>
      </c>
      <c r="C259" s="141">
        <f>IF($G259="","",INDEX(资金台帐!$J$7:$J$3006,$G259))</f>
      </c>
      <c r="D259" s="172">
        <f>IF($G259="","",INDEX(资金台帐!$S$7:$S$3006,$G259))</f>
      </c>
      <c r="E259" s="141">
        <f>IF($G259="","",INDEX(资金台帐!$C$7:$C$3006,$G259))</f>
      </c>
      <c r="F259" s="142">
        <f>IF($G259="","",INDEX(资金台帐!$E$7:$E$3006,$G259)&amp;IF(INDEX(资金台帐!$M$7:$M$3006,$G259)="","","；"&amp;INDEX(资金台帐!$M$7:$M$3006,$G259)))</f>
      </c>
      <c r="G259" s="78">
        <f>IFERROR(MATCH(256,资金台帐!$Q$7:$Q$3006,0),"")</f>
      </c>
      <c r="I259" s="141">
        <f>IF($O259="","",256)</f>
      </c>
      <c r="J259" s="140">
        <f>IF($O259="","",INDEX(资金台帐!$B$7:$B$3006,$O259))</f>
      </c>
      <c r="K259" s="141">
        <f>IF($O259="","",INDEX(资金台帐!$K$7:$K$3006,$O259))</f>
      </c>
      <c r="L259" s="172">
        <f>IF($O259="","",-INDEX(资金台帐!$S$7:$S$3006,$O259))</f>
      </c>
      <c r="M259" s="141">
        <f>IF($O259="","",INDEX(资金台帐!$C$7:$C$3006,$O259))</f>
      </c>
      <c r="N259" s="142">
        <f>IF($O259="","",INDEX(资金台帐!$E$7:$E$3006,$O259))</f>
      </c>
      <c r="O259" s="78">
        <f>IFERROR(MATCH(256,资金台帐!$R$7:$R$3006,0),"")</f>
      </c>
    </row>
    <row r="260">
      <c r="A260" s="141">
        <f>IF($G260="","",257)</f>
      </c>
      <c r="B260" s="140">
        <f>IF($G260="","",INDEX(资金台帐!$B$7:$B$3006,$G260))</f>
      </c>
      <c r="C260" s="141">
        <f>IF($G260="","",INDEX(资金台帐!$J$7:$J$3006,$G260))</f>
      </c>
      <c r="D260" s="172">
        <f>IF($G260="","",INDEX(资金台帐!$S$7:$S$3006,$G260))</f>
      </c>
      <c r="E260" s="141">
        <f>IF($G260="","",INDEX(资金台帐!$C$7:$C$3006,$G260))</f>
      </c>
      <c r="F260" s="142">
        <f>IF($G260="","",INDEX(资金台帐!$E$7:$E$3006,$G260)&amp;IF(INDEX(资金台帐!$M$7:$M$3006,$G260)="","","；"&amp;INDEX(资金台帐!$M$7:$M$3006,$G260)))</f>
      </c>
      <c r="G260" s="78">
        <f>IFERROR(MATCH(257,资金台帐!$Q$7:$Q$3006,0),"")</f>
      </c>
      <c r="I260" s="141">
        <f>IF($O260="","",257)</f>
      </c>
      <c r="J260" s="140">
        <f>IF($O260="","",INDEX(资金台帐!$B$7:$B$3006,$O260))</f>
      </c>
      <c r="K260" s="141">
        <f>IF($O260="","",INDEX(资金台帐!$K$7:$K$3006,$O260))</f>
      </c>
      <c r="L260" s="172">
        <f>IF($O260="","",-INDEX(资金台帐!$S$7:$S$3006,$O260))</f>
      </c>
      <c r="M260" s="141">
        <f>IF($O260="","",INDEX(资金台帐!$C$7:$C$3006,$O260))</f>
      </c>
      <c r="N260" s="142">
        <f>IF($O260="","",INDEX(资金台帐!$E$7:$E$3006,$O260))</f>
      </c>
      <c r="O260" s="78">
        <f>IFERROR(MATCH(257,资金台帐!$R$7:$R$3006,0),"")</f>
      </c>
    </row>
    <row r="261">
      <c r="A261" s="141">
        <f>IF($G261="","",258)</f>
      </c>
      <c r="B261" s="140">
        <f>IF($G261="","",INDEX(资金台帐!$B$7:$B$3006,$G261))</f>
      </c>
      <c r="C261" s="141">
        <f>IF($G261="","",INDEX(资金台帐!$J$7:$J$3006,$G261))</f>
      </c>
      <c r="D261" s="172">
        <f>IF($G261="","",INDEX(资金台帐!$S$7:$S$3006,$G261))</f>
      </c>
      <c r="E261" s="141">
        <f>IF($G261="","",INDEX(资金台帐!$C$7:$C$3006,$G261))</f>
      </c>
      <c r="F261" s="142">
        <f>IF($G261="","",INDEX(资金台帐!$E$7:$E$3006,$G261)&amp;IF(INDEX(资金台帐!$M$7:$M$3006,$G261)="","","；"&amp;INDEX(资金台帐!$M$7:$M$3006,$G261)))</f>
      </c>
      <c r="G261" s="78">
        <f>IFERROR(MATCH(258,资金台帐!$Q$7:$Q$3006,0),"")</f>
      </c>
      <c r="I261" s="141">
        <f>IF($O261="","",258)</f>
      </c>
      <c r="J261" s="140">
        <f>IF($O261="","",INDEX(资金台帐!$B$7:$B$3006,$O261))</f>
      </c>
      <c r="K261" s="141">
        <f>IF($O261="","",INDEX(资金台帐!$K$7:$K$3006,$O261))</f>
      </c>
      <c r="L261" s="172">
        <f>IF($O261="","",-INDEX(资金台帐!$S$7:$S$3006,$O261))</f>
      </c>
      <c r="M261" s="141">
        <f>IF($O261="","",INDEX(资金台帐!$C$7:$C$3006,$O261))</f>
      </c>
      <c r="N261" s="142">
        <f>IF($O261="","",INDEX(资金台帐!$E$7:$E$3006,$O261))</f>
      </c>
      <c r="O261" s="78">
        <f>IFERROR(MATCH(258,资金台帐!$R$7:$R$3006,0),"")</f>
      </c>
    </row>
    <row r="262">
      <c r="A262" s="141">
        <f>IF($G262="","",259)</f>
      </c>
      <c r="B262" s="140">
        <f>IF($G262="","",INDEX(资金台帐!$B$7:$B$3006,$G262))</f>
      </c>
      <c r="C262" s="141">
        <f>IF($G262="","",INDEX(资金台帐!$J$7:$J$3006,$G262))</f>
      </c>
      <c r="D262" s="172">
        <f>IF($G262="","",INDEX(资金台帐!$S$7:$S$3006,$G262))</f>
      </c>
      <c r="E262" s="141">
        <f>IF($G262="","",INDEX(资金台帐!$C$7:$C$3006,$G262))</f>
      </c>
      <c r="F262" s="142">
        <f>IF($G262="","",INDEX(资金台帐!$E$7:$E$3006,$G262)&amp;IF(INDEX(资金台帐!$M$7:$M$3006,$G262)="","","；"&amp;INDEX(资金台帐!$M$7:$M$3006,$G262)))</f>
      </c>
      <c r="G262" s="78">
        <f>IFERROR(MATCH(259,资金台帐!$Q$7:$Q$3006,0),"")</f>
      </c>
      <c r="I262" s="141">
        <f>IF($O262="","",259)</f>
      </c>
      <c r="J262" s="140">
        <f>IF($O262="","",INDEX(资金台帐!$B$7:$B$3006,$O262))</f>
      </c>
      <c r="K262" s="141">
        <f>IF($O262="","",INDEX(资金台帐!$K$7:$K$3006,$O262))</f>
      </c>
      <c r="L262" s="172">
        <f>IF($O262="","",-INDEX(资金台帐!$S$7:$S$3006,$O262))</f>
      </c>
      <c r="M262" s="141">
        <f>IF($O262="","",INDEX(资金台帐!$C$7:$C$3006,$O262))</f>
      </c>
      <c r="N262" s="142">
        <f>IF($O262="","",INDEX(资金台帐!$E$7:$E$3006,$O262))</f>
      </c>
      <c r="O262" s="78">
        <f>IFERROR(MATCH(259,资金台帐!$R$7:$R$3006,0),"")</f>
      </c>
    </row>
    <row r="263">
      <c r="A263" s="141">
        <f>IF($G263="","",260)</f>
      </c>
      <c r="B263" s="140">
        <f>IF($G263="","",INDEX(资金台帐!$B$7:$B$3006,$G263))</f>
      </c>
      <c r="C263" s="141">
        <f>IF($G263="","",INDEX(资金台帐!$J$7:$J$3006,$G263))</f>
      </c>
      <c r="D263" s="172">
        <f>IF($G263="","",INDEX(资金台帐!$S$7:$S$3006,$G263))</f>
      </c>
      <c r="E263" s="141">
        <f>IF($G263="","",INDEX(资金台帐!$C$7:$C$3006,$G263))</f>
      </c>
      <c r="F263" s="142">
        <f>IF($G263="","",INDEX(资金台帐!$E$7:$E$3006,$G263)&amp;IF(INDEX(资金台帐!$M$7:$M$3006,$G263)="","","；"&amp;INDEX(资金台帐!$M$7:$M$3006,$G263)))</f>
      </c>
      <c r="G263" s="78">
        <f>IFERROR(MATCH(260,资金台帐!$Q$7:$Q$3006,0),"")</f>
      </c>
      <c r="I263" s="141">
        <f>IF($O263="","",260)</f>
      </c>
      <c r="J263" s="140">
        <f>IF($O263="","",INDEX(资金台帐!$B$7:$B$3006,$O263))</f>
      </c>
      <c r="K263" s="141">
        <f>IF($O263="","",INDEX(资金台帐!$K$7:$K$3006,$O263))</f>
      </c>
      <c r="L263" s="172">
        <f>IF($O263="","",-INDEX(资金台帐!$S$7:$S$3006,$O263))</f>
      </c>
      <c r="M263" s="141">
        <f>IF($O263="","",INDEX(资金台帐!$C$7:$C$3006,$O263))</f>
      </c>
      <c r="N263" s="142">
        <f>IF($O263="","",INDEX(资金台帐!$E$7:$E$3006,$O263))</f>
      </c>
      <c r="O263" s="78">
        <f>IFERROR(MATCH(260,资金台帐!$R$7:$R$3006,0),"")</f>
      </c>
    </row>
    <row r="264">
      <c r="A264" s="141">
        <f>IF($G264="","",261)</f>
      </c>
      <c r="B264" s="140">
        <f>IF($G264="","",INDEX(资金台帐!$B$7:$B$3006,$G264))</f>
      </c>
      <c r="C264" s="141">
        <f>IF($G264="","",INDEX(资金台帐!$J$7:$J$3006,$G264))</f>
      </c>
      <c r="D264" s="172">
        <f>IF($G264="","",INDEX(资金台帐!$S$7:$S$3006,$G264))</f>
      </c>
      <c r="E264" s="141">
        <f>IF($G264="","",INDEX(资金台帐!$C$7:$C$3006,$G264))</f>
      </c>
      <c r="F264" s="142">
        <f>IF($G264="","",INDEX(资金台帐!$E$7:$E$3006,$G264)&amp;IF(INDEX(资金台帐!$M$7:$M$3006,$G264)="","","；"&amp;INDEX(资金台帐!$M$7:$M$3006,$G264)))</f>
      </c>
      <c r="G264" s="78">
        <f>IFERROR(MATCH(261,资金台帐!$Q$7:$Q$3006,0),"")</f>
      </c>
      <c r="I264" s="141">
        <f>IF($O264="","",261)</f>
      </c>
      <c r="J264" s="140">
        <f>IF($O264="","",INDEX(资金台帐!$B$7:$B$3006,$O264))</f>
      </c>
      <c r="K264" s="141">
        <f>IF($O264="","",INDEX(资金台帐!$K$7:$K$3006,$O264))</f>
      </c>
      <c r="L264" s="172">
        <f>IF($O264="","",-INDEX(资金台帐!$S$7:$S$3006,$O264))</f>
      </c>
      <c r="M264" s="141">
        <f>IF($O264="","",INDEX(资金台帐!$C$7:$C$3006,$O264))</f>
      </c>
      <c r="N264" s="142">
        <f>IF($O264="","",INDEX(资金台帐!$E$7:$E$3006,$O264))</f>
      </c>
      <c r="O264" s="78">
        <f>IFERROR(MATCH(261,资金台帐!$R$7:$R$3006,0),"")</f>
      </c>
    </row>
    <row r="265">
      <c r="A265" s="141">
        <f>IF($G265="","",262)</f>
      </c>
      <c r="B265" s="140">
        <f>IF($G265="","",INDEX(资金台帐!$B$7:$B$3006,$G265))</f>
      </c>
      <c r="C265" s="141">
        <f>IF($G265="","",INDEX(资金台帐!$J$7:$J$3006,$G265))</f>
      </c>
      <c r="D265" s="172">
        <f>IF($G265="","",INDEX(资金台帐!$S$7:$S$3006,$G265))</f>
      </c>
      <c r="E265" s="141">
        <f>IF($G265="","",INDEX(资金台帐!$C$7:$C$3006,$G265))</f>
      </c>
      <c r="F265" s="142">
        <f>IF($G265="","",INDEX(资金台帐!$E$7:$E$3006,$G265)&amp;IF(INDEX(资金台帐!$M$7:$M$3006,$G265)="","","；"&amp;INDEX(资金台帐!$M$7:$M$3006,$G265)))</f>
      </c>
      <c r="G265" s="78">
        <f>IFERROR(MATCH(262,资金台帐!$Q$7:$Q$3006,0),"")</f>
      </c>
      <c r="I265" s="141">
        <f>IF($O265="","",262)</f>
      </c>
      <c r="J265" s="140">
        <f>IF($O265="","",INDEX(资金台帐!$B$7:$B$3006,$O265))</f>
      </c>
      <c r="K265" s="141">
        <f>IF($O265="","",INDEX(资金台帐!$K$7:$K$3006,$O265))</f>
      </c>
      <c r="L265" s="172">
        <f>IF($O265="","",-INDEX(资金台帐!$S$7:$S$3006,$O265))</f>
      </c>
      <c r="M265" s="141">
        <f>IF($O265="","",INDEX(资金台帐!$C$7:$C$3006,$O265))</f>
      </c>
      <c r="N265" s="142">
        <f>IF($O265="","",INDEX(资金台帐!$E$7:$E$3006,$O265))</f>
      </c>
      <c r="O265" s="78">
        <f>IFERROR(MATCH(262,资金台帐!$R$7:$R$3006,0),"")</f>
      </c>
    </row>
    <row r="266">
      <c r="A266" s="141">
        <f>IF($G266="","",263)</f>
      </c>
      <c r="B266" s="140">
        <f>IF($G266="","",INDEX(资金台帐!$B$7:$B$3006,$G266))</f>
      </c>
      <c r="C266" s="141">
        <f>IF($G266="","",INDEX(资金台帐!$J$7:$J$3006,$G266))</f>
      </c>
      <c r="D266" s="172">
        <f>IF($G266="","",INDEX(资金台帐!$S$7:$S$3006,$G266))</f>
      </c>
      <c r="E266" s="141">
        <f>IF($G266="","",INDEX(资金台帐!$C$7:$C$3006,$G266))</f>
      </c>
      <c r="F266" s="142">
        <f>IF($G266="","",INDEX(资金台帐!$E$7:$E$3006,$G266)&amp;IF(INDEX(资金台帐!$M$7:$M$3006,$G266)="","","；"&amp;INDEX(资金台帐!$M$7:$M$3006,$G266)))</f>
      </c>
      <c r="G266" s="78">
        <f>IFERROR(MATCH(263,资金台帐!$Q$7:$Q$3006,0),"")</f>
      </c>
      <c r="I266" s="141">
        <f>IF($O266="","",263)</f>
      </c>
      <c r="J266" s="140">
        <f>IF($O266="","",INDEX(资金台帐!$B$7:$B$3006,$O266))</f>
      </c>
      <c r="K266" s="141">
        <f>IF($O266="","",INDEX(资金台帐!$K$7:$K$3006,$O266))</f>
      </c>
      <c r="L266" s="172">
        <f>IF($O266="","",-INDEX(资金台帐!$S$7:$S$3006,$O266))</f>
      </c>
      <c r="M266" s="141">
        <f>IF($O266="","",INDEX(资金台帐!$C$7:$C$3006,$O266))</f>
      </c>
      <c r="N266" s="142">
        <f>IF($O266="","",INDEX(资金台帐!$E$7:$E$3006,$O266))</f>
      </c>
      <c r="O266" s="78">
        <f>IFERROR(MATCH(263,资金台帐!$R$7:$R$3006,0),"")</f>
      </c>
    </row>
    <row r="267">
      <c r="A267" s="141">
        <f>IF($G267="","",264)</f>
      </c>
      <c r="B267" s="140">
        <f>IF($G267="","",INDEX(资金台帐!$B$7:$B$3006,$G267))</f>
      </c>
      <c r="C267" s="141">
        <f>IF($G267="","",INDEX(资金台帐!$J$7:$J$3006,$G267))</f>
      </c>
      <c r="D267" s="172">
        <f>IF($G267="","",INDEX(资金台帐!$S$7:$S$3006,$G267))</f>
      </c>
      <c r="E267" s="141">
        <f>IF($G267="","",INDEX(资金台帐!$C$7:$C$3006,$G267))</f>
      </c>
      <c r="F267" s="142">
        <f>IF($G267="","",INDEX(资金台帐!$E$7:$E$3006,$G267)&amp;IF(INDEX(资金台帐!$M$7:$M$3006,$G267)="","","；"&amp;INDEX(资金台帐!$M$7:$M$3006,$G267)))</f>
      </c>
      <c r="G267" s="78">
        <f>IFERROR(MATCH(264,资金台帐!$Q$7:$Q$3006,0),"")</f>
      </c>
      <c r="I267" s="141">
        <f>IF($O267="","",264)</f>
      </c>
      <c r="J267" s="140">
        <f>IF($O267="","",INDEX(资金台帐!$B$7:$B$3006,$O267))</f>
      </c>
      <c r="K267" s="141">
        <f>IF($O267="","",INDEX(资金台帐!$K$7:$K$3006,$O267))</f>
      </c>
      <c r="L267" s="172">
        <f>IF($O267="","",-INDEX(资金台帐!$S$7:$S$3006,$O267))</f>
      </c>
      <c r="M267" s="141">
        <f>IF($O267="","",INDEX(资金台帐!$C$7:$C$3006,$O267))</f>
      </c>
      <c r="N267" s="142">
        <f>IF($O267="","",INDEX(资金台帐!$E$7:$E$3006,$O267))</f>
      </c>
      <c r="O267" s="78">
        <f>IFERROR(MATCH(264,资金台帐!$R$7:$R$3006,0),"")</f>
      </c>
    </row>
    <row r="268">
      <c r="A268" s="141">
        <f>IF($G268="","",265)</f>
      </c>
      <c r="B268" s="140">
        <f>IF($G268="","",INDEX(资金台帐!$B$7:$B$3006,$G268))</f>
      </c>
      <c r="C268" s="141">
        <f>IF($G268="","",INDEX(资金台帐!$J$7:$J$3006,$G268))</f>
      </c>
      <c r="D268" s="172">
        <f>IF($G268="","",INDEX(资金台帐!$S$7:$S$3006,$G268))</f>
      </c>
      <c r="E268" s="141">
        <f>IF($G268="","",INDEX(资金台帐!$C$7:$C$3006,$G268))</f>
      </c>
      <c r="F268" s="142">
        <f>IF($G268="","",INDEX(资金台帐!$E$7:$E$3006,$G268)&amp;IF(INDEX(资金台帐!$M$7:$M$3006,$G268)="","","；"&amp;INDEX(资金台帐!$M$7:$M$3006,$G268)))</f>
      </c>
      <c r="G268" s="78">
        <f>IFERROR(MATCH(265,资金台帐!$Q$7:$Q$3006,0),"")</f>
      </c>
      <c r="I268" s="141">
        <f>IF($O268="","",265)</f>
      </c>
      <c r="J268" s="140">
        <f>IF($O268="","",INDEX(资金台帐!$B$7:$B$3006,$O268))</f>
      </c>
      <c r="K268" s="141">
        <f>IF($O268="","",INDEX(资金台帐!$K$7:$K$3006,$O268))</f>
      </c>
      <c r="L268" s="172">
        <f>IF($O268="","",-INDEX(资金台帐!$S$7:$S$3006,$O268))</f>
      </c>
      <c r="M268" s="141">
        <f>IF($O268="","",INDEX(资金台帐!$C$7:$C$3006,$O268))</f>
      </c>
      <c r="N268" s="142">
        <f>IF($O268="","",INDEX(资金台帐!$E$7:$E$3006,$O268))</f>
      </c>
      <c r="O268" s="78">
        <f>IFERROR(MATCH(265,资金台帐!$R$7:$R$3006,0),"")</f>
      </c>
    </row>
    <row r="269">
      <c r="A269" s="141">
        <f>IF($G269="","",266)</f>
      </c>
      <c r="B269" s="140">
        <f>IF($G269="","",INDEX(资金台帐!$B$7:$B$3006,$G269))</f>
      </c>
      <c r="C269" s="141">
        <f>IF($G269="","",INDEX(资金台帐!$J$7:$J$3006,$G269))</f>
      </c>
      <c r="D269" s="172">
        <f>IF($G269="","",INDEX(资金台帐!$S$7:$S$3006,$G269))</f>
      </c>
      <c r="E269" s="141">
        <f>IF($G269="","",INDEX(资金台帐!$C$7:$C$3006,$G269))</f>
      </c>
      <c r="F269" s="142">
        <f>IF($G269="","",INDEX(资金台帐!$E$7:$E$3006,$G269)&amp;IF(INDEX(资金台帐!$M$7:$M$3006,$G269)="","","；"&amp;INDEX(资金台帐!$M$7:$M$3006,$G269)))</f>
      </c>
      <c r="G269" s="78">
        <f>IFERROR(MATCH(266,资金台帐!$Q$7:$Q$3006,0),"")</f>
      </c>
      <c r="I269" s="141">
        <f>IF($O269="","",266)</f>
      </c>
      <c r="J269" s="140">
        <f>IF($O269="","",INDEX(资金台帐!$B$7:$B$3006,$O269))</f>
      </c>
      <c r="K269" s="141">
        <f>IF($O269="","",INDEX(资金台帐!$K$7:$K$3006,$O269))</f>
      </c>
      <c r="L269" s="172">
        <f>IF($O269="","",-INDEX(资金台帐!$S$7:$S$3006,$O269))</f>
      </c>
      <c r="M269" s="141">
        <f>IF($O269="","",INDEX(资金台帐!$C$7:$C$3006,$O269))</f>
      </c>
      <c r="N269" s="142">
        <f>IF($O269="","",INDEX(资金台帐!$E$7:$E$3006,$O269))</f>
      </c>
      <c r="O269" s="78">
        <f>IFERROR(MATCH(266,资金台帐!$R$7:$R$3006,0),"")</f>
      </c>
    </row>
    <row r="270">
      <c r="A270" s="141">
        <f>IF($G270="","",267)</f>
      </c>
      <c r="B270" s="140">
        <f>IF($G270="","",INDEX(资金台帐!$B$7:$B$3006,$G270))</f>
      </c>
      <c r="C270" s="141">
        <f>IF($G270="","",INDEX(资金台帐!$J$7:$J$3006,$G270))</f>
      </c>
      <c r="D270" s="172">
        <f>IF($G270="","",INDEX(资金台帐!$S$7:$S$3006,$G270))</f>
      </c>
      <c r="E270" s="141">
        <f>IF($G270="","",INDEX(资金台帐!$C$7:$C$3006,$G270))</f>
      </c>
      <c r="F270" s="142">
        <f>IF($G270="","",INDEX(资金台帐!$E$7:$E$3006,$G270)&amp;IF(INDEX(资金台帐!$M$7:$M$3006,$G270)="","","；"&amp;INDEX(资金台帐!$M$7:$M$3006,$G270)))</f>
      </c>
      <c r="G270" s="78">
        <f>IFERROR(MATCH(267,资金台帐!$Q$7:$Q$3006,0),"")</f>
      </c>
      <c r="I270" s="141">
        <f>IF($O270="","",267)</f>
      </c>
      <c r="J270" s="140">
        <f>IF($O270="","",INDEX(资金台帐!$B$7:$B$3006,$O270))</f>
      </c>
      <c r="K270" s="141">
        <f>IF($O270="","",INDEX(资金台帐!$K$7:$K$3006,$O270))</f>
      </c>
      <c r="L270" s="172">
        <f>IF($O270="","",-INDEX(资金台帐!$S$7:$S$3006,$O270))</f>
      </c>
      <c r="M270" s="141">
        <f>IF($O270="","",INDEX(资金台帐!$C$7:$C$3006,$O270))</f>
      </c>
      <c r="N270" s="142">
        <f>IF($O270="","",INDEX(资金台帐!$E$7:$E$3006,$O270))</f>
      </c>
      <c r="O270" s="78">
        <f>IFERROR(MATCH(267,资金台帐!$R$7:$R$3006,0),"")</f>
      </c>
    </row>
    <row r="271">
      <c r="A271" s="141">
        <f>IF($G271="","",268)</f>
      </c>
      <c r="B271" s="140">
        <f>IF($G271="","",INDEX(资金台帐!$B$7:$B$3006,$G271))</f>
      </c>
      <c r="C271" s="141">
        <f>IF($G271="","",INDEX(资金台帐!$J$7:$J$3006,$G271))</f>
      </c>
      <c r="D271" s="172">
        <f>IF($G271="","",INDEX(资金台帐!$S$7:$S$3006,$G271))</f>
      </c>
      <c r="E271" s="141">
        <f>IF($G271="","",INDEX(资金台帐!$C$7:$C$3006,$G271))</f>
      </c>
      <c r="F271" s="142">
        <f>IF($G271="","",INDEX(资金台帐!$E$7:$E$3006,$G271)&amp;IF(INDEX(资金台帐!$M$7:$M$3006,$G271)="","","；"&amp;INDEX(资金台帐!$M$7:$M$3006,$G271)))</f>
      </c>
      <c r="G271" s="78">
        <f>IFERROR(MATCH(268,资金台帐!$Q$7:$Q$3006,0),"")</f>
      </c>
      <c r="I271" s="141">
        <f>IF($O271="","",268)</f>
      </c>
      <c r="J271" s="140">
        <f>IF($O271="","",INDEX(资金台帐!$B$7:$B$3006,$O271))</f>
      </c>
      <c r="K271" s="141">
        <f>IF($O271="","",INDEX(资金台帐!$K$7:$K$3006,$O271))</f>
      </c>
      <c r="L271" s="172">
        <f>IF($O271="","",-INDEX(资金台帐!$S$7:$S$3006,$O271))</f>
      </c>
      <c r="M271" s="141">
        <f>IF($O271="","",INDEX(资金台帐!$C$7:$C$3006,$O271))</f>
      </c>
      <c r="N271" s="142">
        <f>IF($O271="","",INDEX(资金台帐!$E$7:$E$3006,$O271))</f>
      </c>
      <c r="O271" s="78">
        <f>IFERROR(MATCH(268,资金台帐!$R$7:$R$3006,0),"")</f>
      </c>
    </row>
    <row r="272">
      <c r="A272" s="141">
        <f>IF($G272="","",269)</f>
      </c>
      <c r="B272" s="140">
        <f>IF($G272="","",INDEX(资金台帐!$B$7:$B$3006,$G272))</f>
      </c>
      <c r="C272" s="141">
        <f>IF($G272="","",INDEX(资金台帐!$J$7:$J$3006,$G272))</f>
      </c>
      <c r="D272" s="172">
        <f>IF($G272="","",INDEX(资金台帐!$S$7:$S$3006,$G272))</f>
      </c>
      <c r="E272" s="141">
        <f>IF($G272="","",INDEX(资金台帐!$C$7:$C$3006,$G272))</f>
      </c>
      <c r="F272" s="142">
        <f>IF($G272="","",INDEX(资金台帐!$E$7:$E$3006,$G272)&amp;IF(INDEX(资金台帐!$M$7:$M$3006,$G272)="","","；"&amp;INDEX(资金台帐!$M$7:$M$3006,$G272)))</f>
      </c>
      <c r="G272" s="78">
        <f>IFERROR(MATCH(269,资金台帐!$Q$7:$Q$3006,0),"")</f>
      </c>
      <c r="I272" s="141">
        <f>IF($O272="","",269)</f>
      </c>
      <c r="J272" s="140">
        <f>IF($O272="","",INDEX(资金台帐!$B$7:$B$3006,$O272))</f>
      </c>
      <c r="K272" s="141">
        <f>IF($O272="","",INDEX(资金台帐!$K$7:$K$3006,$O272))</f>
      </c>
      <c r="L272" s="172">
        <f>IF($O272="","",-INDEX(资金台帐!$S$7:$S$3006,$O272))</f>
      </c>
      <c r="M272" s="141">
        <f>IF($O272="","",INDEX(资金台帐!$C$7:$C$3006,$O272))</f>
      </c>
      <c r="N272" s="142">
        <f>IF($O272="","",INDEX(资金台帐!$E$7:$E$3006,$O272))</f>
      </c>
      <c r="O272" s="78">
        <f>IFERROR(MATCH(269,资金台帐!$R$7:$R$3006,0),"")</f>
      </c>
    </row>
    <row r="273">
      <c r="A273" s="141">
        <f>IF($G273="","",270)</f>
      </c>
      <c r="B273" s="140">
        <f>IF($G273="","",INDEX(资金台帐!$B$7:$B$3006,$G273))</f>
      </c>
      <c r="C273" s="141">
        <f>IF($G273="","",INDEX(资金台帐!$J$7:$J$3006,$G273))</f>
      </c>
      <c r="D273" s="172">
        <f>IF($G273="","",INDEX(资金台帐!$S$7:$S$3006,$G273))</f>
      </c>
      <c r="E273" s="141">
        <f>IF($G273="","",INDEX(资金台帐!$C$7:$C$3006,$G273))</f>
      </c>
      <c r="F273" s="142">
        <f>IF($G273="","",INDEX(资金台帐!$E$7:$E$3006,$G273)&amp;IF(INDEX(资金台帐!$M$7:$M$3006,$G273)="","","；"&amp;INDEX(资金台帐!$M$7:$M$3006,$G273)))</f>
      </c>
      <c r="G273" s="78">
        <f>IFERROR(MATCH(270,资金台帐!$Q$7:$Q$3006,0),"")</f>
      </c>
      <c r="I273" s="141">
        <f>IF($O273="","",270)</f>
      </c>
      <c r="J273" s="140">
        <f>IF($O273="","",INDEX(资金台帐!$B$7:$B$3006,$O273))</f>
      </c>
      <c r="K273" s="141">
        <f>IF($O273="","",INDEX(资金台帐!$K$7:$K$3006,$O273))</f>
      </c>
      <c r="L273" s="172">
        <f>IF($O273="","",-INDEX(资金台帐!$S$7:$S$3006,$O273))</f>
      </c>
      <c r="M273" s="141">
        <f>IF($O273="","",INDEX(资金台帐!$C$7:$C$3006,$O273))</f>
      </c>
      <c r="N273" s="142">
        <f>IF($O273="","",INDEX(资金台帐!$E$7:$E$3006,$O273))</f>
      </c>
      <c r="O273" s="78">
        <f>IFERROR(MATCH(270,资金台帐!$R$7:$R$3006,0),"")</f>
      </c>
    </row>
    <row r="274">
      <c r="A274" s="141">
        <f>IF($G274="","",271)</f>
      </c>
      <c r="B274" s="140">
        <f>IF($G274="","",INDEX(资金台帐!$B$7:$B$3006,$G274))</f>
      </c>
      <c r="C274" s="141">
        <f>IF($G274="","",INDEX(资金台帐!$J$7:$J$3006,$G274))</f>
      </c>
      <c r="D274" s="172">
        <f>IF($G274="","",INDEX(资金台帐!$S$7:$S$3006,$G274))</f>
      </c>
      <c r="E274" s="141">
        <f>IF($G274="","",INDEX(资金台帐!$C$7:$C$3006,$G274))</f>
      </c>
      <c r="F274" s="142">
        <f>IF($G274="","",INDEX(资金台帐!$E$7:$E$3006,$G274)&amp;IF(INDEX(资金台帐!$M$7:$M$3006,$G274)="","","；"&amp;INDEX(资金台帐!$M$7:$M$3006,$G274)))</f>
      </c>
      <c r="G274" s="78">
        <f>IFERROR(MATCH(271,资金台帐!$Q$7:$Q$3006,0),"")</f>
      </c>
      <c r="I274" s="141">
        <f>IF($O274="","",271)</f>
      </c>
      <c r="J274" s="140">
        <f>IF($O274="","",INDEX(资金台帐!$B$7:$B$3006,$O274))</f>
      </c>
      <c r="K274" s="141">
        <f>IF($O274="","",INDEX(资金台帐!$K$7:$K$3006,$O274))</f>
      </c>
      <c r="L274" s="172">
        <f>IF($O274="","",-INDEX(资金台帐!$S$7:$S$3006,$O274))</f>
      </c>
      <c r="M274" s="141">
        <f>IF($O274="","",INDEX(资金台帐!$C$7:$C$3006,$O274))</f>
      </c>
      <c r="N274" s="142">
        <f>IF($O274="","",INDEX(资金台帐!$E$7:$E$3006,$O274))</f>
      </c>
      <c r="O274" s="78">
        <f>IFERROR(MATCH(271,资金台帐!$R$7:$R$3006,0),"")</f>
      </c>
    </row>
    <row r="275">
      <c r="A275" s="141">
        <f>IF($G275="","",272)</f>
      </c>
      <c r="B275" s="140">
        <f>IF($G275="","",INDEX(资金台帐!$B$7:$B$3006,$G275))</f>
      </c>
      <c r="C275" s="141">
        <f>IF($G275="","",INDEX(资金台帐!$J$7:$J$3006,$G275))</f>
      </c>
      <c r="D275" s="172">
        <f>IF($G275="","",INDEX(资金台帐!$S$7:$S$3006,$G275))</f>
      </c>
      <c r="E275" s="141">
        <f>IF($G275="","",INDEX(资金台帐!$C$7:$C$3006,$G275))</f>
      </c>
      <c r="F275" s="142">
        <f>IF($G275="","",INDEX(资金台帐!$E$7:$E$3006,$G275)&amp;IF(INDEX(资金台帐!$M$7:$M$3006,$G275)="","","；"&amp;INDEX(资金台帐!$M$7:$M$3006,$G275)))</f>
      </c>
      <c r="G275" s="78">
        <f>IFERROR(MATCH(272,资金台帐!$Q$7:$Q$3006,0),"")</f>
      </c>
      <c r="I275" s="141">
        <f>IF($O275="","",272)</f>
      </c>
      <c r="J275" s="140">
        <f>IF($O275="","",INDEX(资金台帐!$B$7:$B$3006,$O275))</f>
      </c>
      <c r="K275" s="141">
        <f>IF($O275="","",INDEX(资金台帐!$K$7:$K$3006,$O275))</f>
      </c>
      <c r="L275" s="172">
        <f>IF($O275="","",-INDEX(资金台帐!$S$7:$S$3006,$O275))</f>
      </c>
      <c r="M275" s="141">
        <f>IF($O275="","",INDEX(资金台帐!$C$7:$C$3006,$O275))</f>
      </c>
      <c r="N275" s="142">
        <f>IF($O275="","",INDEX(资金台帐!$E$7:$E$3006,$O275))</f>
      </c>
      <c r="O275" s="78">
        <f>IFERROR(MATCH(272,资金台帐!$R$7:$R$3006,0),"")</f>
      </c>
    </row>
    <row r="276">
      <c r="A276" s="141">
        <f>IF($G276="","",273)</f>
      </c>
      <c r="B276" s="140">
        <f>IF($G276="","",INDEX(资金台帐!$B$7:$B$3006,$G276))</f>
      </c>
      <c r="C276" s="141">
        <f>IF($G276="","",INDEX(资金台帐!$J$7:$J$3006,$G276))</f>
      </c>
      <c r="D276" s="172">
        <f>IF($G276="","",INDEX(资金台帐!$S$7:$S$3006,$G276))</f>
      </c>
      <c r="E276" s="141">
        <f>IF($G276="","",INDEX(资金台帐!$C$7:$C$3006,$G276))</f>
      </c>
      <c r="F276" s="142">
        <f>IF($G276="","",INDEX(资金台帐!$E$7:$E$3006,$G276)&amp;IF(INDEX(资金台帐!$M$7:$M$3006,$G276)="","","；"&amp;INDEX(资金台帐!$M$7:$M$3006,$G276)))</f>
      </c>
      <c r="G276" s="78">
        <f>IFERROR(MATCH(273,资金台帐!$Q$7:$Q$3006,0),"")</f>
      </c>
      <c r="I276" s="141">
        <f>IF($O276="","",273)</f>
      </c>
      <c r="J276" s="140">
        <f>IF($O276="","",INDEX(资金台帐!$B$7:$B$3006,$O276))</f>
      </c>
      <c r="K276" s="141">
        <f>IF($O276="","",INDEX(资金台帐!$K$7:$K$3006,$O276))</f>
      </c>
      <c r="L276" s="172">
        <f>IF($O276="","",-INDEX(资金台帐!$S$7:$S$3006,$O276))</f>
      </c>
      <c r="M276" s="141">
        <f>IF($O276="","",INDEX(资金台帐!$C$7:$C$3006,$O276))</f>
      </c>
      <c r="N276" s="142">
        <f>IF($O276="","",INDEX(资金台帐!$E$7:$E$3006,$O276))</f>
      </c>
      <c r="O276" s="78">
        <f>IFERROR(MATCH(273,资金台帐!$R$7:$R$3006,0),"")</f>
      </c>
    </row>
    <row r="277">
      <c r="A277" s="141">
        <f>IF($G277="","",274)</f>
      </c>
      <c r="B277" s="140">
        <f>IF($G277="","",INDEX(资金台帐!$B$7:$B$3006,$G277))</f>
      </c>
      <c r="C277" s="141">
        <f>IF($G277="","",INDEX(资金台帐!$J$7:$J$3006,$G277))</f>
      </c>
      <c r="D277" s="172">
        <f>IF($G277="","",INDEX(资金台帐!$S$7:$S$3006,$G277))</f>
      </c>
      <c r="E277" s="141">
        <f>IF($G277="","",INDEX(资金台帐!$C$7:$C$3006,$G277))</f>
      </c>
      <c r="F277" s="142">
        <f>IF($G277="","",INDEX(资金台帐!$E$7:$E$3006,$G277)&amp;IF(INDEX(资金台帐!$M$7:$M$3006,$G277)="","","；"&amp;INDEX(资金台帐!$M$7:$M$3006,$G277)))</f>
      </c>
      <c r="G277" s="78">
        <f>IFERROR(MATCH(274,资金台帐!$Q$7:$Q$3006,0),"")</f>
      </c>
      <c r="I277" s="141">
        <f>IF($O277="","",274)</f>
      </c>
      <c r="J277" s="140">
        <f>IF($O277="","",INDEX(资金台帐!$B$7:$B$3006,$O277))</f>
      </c>
      <c r="K277" s="141">
        <f>IF($O277="","",INDEX(资金台帐!$K$7:$K$3006,$O277))</f>
      </c>
      <c r="L277" s="172">
        <f>IF($O277="","",-INDEX(资金台帐!$S$7:$S$3006,$O277))</f>
      </c>
      <c r="M277" s="141">
        <f>IF($O277="","",INDEX(资金台帐!$C$7:$C$3006,$O277))</f>
      </c>
      <c r="N277" s="142">
        <f>IF($O277="","",INDEX(资金台帐!$E$7:$E$3006,$O277))</f>
      </c>
      <c r="O277" s="78">
        <f>IFERROR(MATCH(274,资金台帐!$R$7:$R$3006,0),"")</f>
      </c>
    </row>
    <row r="278">
      <c r="A278" s="141">
        <f>IF($G278="","",275)</f>
      </c>
      <c r="B278" s="140">
        <f>IF($G278="","",INDEX(资金台帐!$B$7:$B$3006,$G278))</f>
      </c>
      <c r="C278" s="141">
        <f>IF($G278="","",INDEX(资金台帐!$J$7:$J$3006,$G278))</f>
      </c>
      <c r="D278" s="172">
        <f>IF($G278="","",INDEX(资金台帐!$S$7:$S$3006,$G278))</f>
      </c>
      <c r="E278" s="141">
        <f>IF($G278="","",INDEX(资金台帐!$C$7:$C$3006,$G278))</f>
      </c>
      <c r="F278" s="142">
        <f>IF($G278="","",INDEX(资金台帐!$E$7:$E$3006,$G278)&amp;IF(INDEX(资金台帐!$M$7:$M$3006,$G278)="","","；"&amp;INDEX(资金台帐!$M$7:$M$3006,$G278)))</f>
      </c>
      <c r="G278" s="78">
        <f>IFERROR(MATCH(275,资金台帐!$Q$7:$Q$3006,0),"")</f>
      </c>
      <c r="I278" s="141">
        <f>IF($O278="","",275)</f>
      </c>
      <c r="J278" s="140">
        <f>IF($O278="","",INDEX(资金台帐!$B$7:$B$3006,$O278))</f>
      </c>
      <c r="K278" s="141">
        <f>IF($O278="","",INDEX(资金台帐!$K$7:$K$3006,$O278))</f>
      </c>
      <c r="L278" s="172">
        <f>IF($O278="","",-INDEX(资金台帐!$S$7:$S$3006,$O278))</f>
      </c>
      <c r="M278" s="141">
        <f>IF($O278="","",INDEX(资金台帐!$C$7:$C$3006,$O278))</f>
      </c>
      <c r="N278" s="142">
        <f>IF($O278="","",INDEX(资金台帐!$E$7:$E$3006,$O278))</f>
      </c>
      <c r="O278" s="78">
        <f>IFERROR(MATCH(275,资金台帐!$R$7:$R$3006,0),"")</f>
      </c>
    </row>
    <row r="279">
      <c r="A279" s="141">
        <f>IF($G279="","",276)</f>
      </c>
      <c r="B279" s="140">
        <f>IF($G279="","",INDEX(资金台帐!$B$7:$B$3006,$G279))</f>
      </c>
      <c r="C279" s="141">
        <f>IF($G279="","",INDEX(资金台帐!$J$7:$J$3006,$G279))</f>
      </c>
      <c r="D279" s="172">
        <f>IF($G279="","",INDEX(资金台帐!$S$7:$S$3006,$G279))</f>
      </c>
      <c r="E279" s="141">
        <f>IF($G279="","",INDEX(资金台帐!$C$7:$C$3006,$G279))</f>
      </c>
      <c r="F279" s="142">
        <f>IF($G279="","",INDEX(资金台帐!$E$7:$E$3006,$G279)&amp;IF(INDEX(资金台帐!$M$7:$M$3006,$G279)="","","；"&amp;INDEX(资金台帐!$M$7:$M$3006,$G279)))</f>
      </c>
      <c r="G279" s="78">
        <f>IFERROR(MATCH(276,资金台帐!$Q$7:$Q$3006,0),"")</f>
      </c>
      <c r="I279" s="141">
        <f>IF($O279="","",276)</f>
      </c>
      <c r="J279" s="140">
        <f>IF($O279="","",INDEX(资金台帐!$B$7:$B$3006,$O279))</f>
      </c>
      <c r="K279" s="141">
        <f>IF($O279="","",INDEX(资金台帐!$K$7:$K$3006,$O279))</f>
      </c>
      <c r="L279" s="172">
        <f>IF($O279="","",-INDEX(资金台帐!$S$7:$S$3006,$O279))</f>
      </c>
      <c r="M279" s="141">
        <f>IF($O279="","",INDEX(资金台帐!$C$7:$C$3006,$O279))</f>
      </c>
      <c r="N279" s="142">
        <f>IF($O279="","",INDEX(资金台帐!$E$7:$E$3006,$O279))</f>
      </c>
      <c r="O279" s="78">
        <f>IFERROR(MATCH(276,资金台帐!$R$7:$R$3006,0),"")</f>
      </c>
    </row>
    <row r="280">
      <c r="A280" s="141">
        <f>IF($G280="","",277)</f>
      </c>
      <c r="B280" s="140">
        <f>IF($G280="","",INDEX(资金台帐!$B$7:$B$3006,$G280))</f>
      </c>
      <c r="C280" s="141">
        <f>IF($G280="","",INDEX(资金台帐!$J$7:$J$3006,$G280))</f>
      </c>
      <c r="D280" s="172">
        <f>IF($G280="","",INDEX(资金台帐!$S$7:$S$3006,$G280))</f>
      </c>
      <c r="E280" s="141">
        <f>IF($G280="","",INDEX(资金台帐!$C$7:$C$3006,$G280))</f>
      </c>
      <c r="F280" s="142">
        <f>IF($G280="","",INDEX(资金台帐!$E$7:$E$3006,$G280)&amp;IF(INDEX(资金台帐!$M$7:$M$3006,$G280)="","","；"&amp;INDEX(资金台帐!$M$7:$M$3006,$G280)))</f>
      </c>
      <c r="G280" s="78">
        <f>IFERROR(MATCH(277,资金台帐!$Q$7:$Q$3006,0),"")</f>
      </c>
      <c r="I280" s="141">
        <f>IF($O280="","",277)</f>
      </c>
      <c r="J280" s="140">
        <f>IF($O280="","",INDEX(资金台帐!$B$7:$B$3006,$O280))</f>
      </c>
      <c r="K280" s="141">
        <f>IF($O280="","",INDEX(资金台帐!$K$7:$K$3006,$O280))</f>
      </c>
      <c r="L280" s="172">
        <f>IF($O280="","",-INDEX(资金台帐!$S$7:$S$3006,$O280))</f>
      </c>
      <c r="M280" s="141">
        <f>IF($O280="","",INDEX(资金台帐!$C$7:$C$3006,$O280))</f>
      </c>
      <c r="N280" s="142">
        <f>IF($O280="","",INDEX(资金台帐!$E$7:$E$3006,$O280))</f>
      </c>
      <c r="O280" s="78">
        <f>IFERROR(MATCH(277,资金台帐!$R$7:$R$3006,0),"")</f>
      </c>
    </row>
    <row r="281">
      <c r="A281" s="141">
        <f>IF($G281="","",278)</f>
      </c>
      <c r="B281" s="140">
        <f>IF($G281="","",INDEX(资金台帐!$B$7:$B$3006,$G281))</f>
      </c>
      <c r="C281" s="141">
        <f>IF($G281="","",INDEX(资金台帐!$J$7:$J$3006,$G281))</f>
      </c>
      <c r="D281" s="172">
        <f>IF($G281="","",INDEX(资金台帐!$S$7:$S$3006,$G281))</f>
      </c>
      <c r="E281" s="141">
        <f>IF($G281="","",INDEX(资金台帐!$C$7:$C$3006,$G281))</f>
      </c>
      <c r="F281" s="142">
        <f>IF($G281="","",INDEX(资金台帐!$E$7:$E$3006,$G281)&amp;IF(INDEX(资金台帐!$M$7:$M$3006,$G281)="","","；"&amp;INDEX(资金台帐!$M$7:$M$3006,$G281)))</f>
      </c>
      <c r="G281" s="78">
        <f>IFERROR(MATCH(278,资金台帐!$Q$7:$Q$3006,0),"")</f>
      </c>
      <c r="I281" s="141">
        <f>IF($O281="","",278)</f>
      </c>
      <c r="J281" s="140">
        <f>IF($O281="","",INDEX(资金台帐!$B$7:$B$3006,$O281))</f>
      </c>
      <c r="K281" s="141">
        <f>IF($O281="","",INDEX(资金台帐!$K$7:$K$3006,$O281))</f>
      </c>
      <c r="L281" s="172">
        <f>IF($O281="","",-INDEX(资金台帐!$S$7:$S$3006,$O281))</f>
      </c>
      <c r="M281" s="141">
        <f>IF($O281="","",INDEX(资金台帐!$C$7:$C$3006,$O281))</f>
      </c>
      <c r="N281" s="142">
        <f>IF($O281="","",INDEX(资金台帐!$E$7:$E$3006,$O281))</f>
      </c>
      <c r="O281" s="78">
        <f>IFERROR(MATCH(278,资金台帐!$R$7:$R$3006,0),"")</f>
      </c>
    </row>
    <row r="282">
      <c r="A282" s="141">
        <f>IF($G282="","",279)</f>
      </c>
      <c r="B282" s="140">
        <f>IF($G282="","",INDEX(资金台帐!$B$7:$B$3006,$G282))</f>
      </c>
      <c r="C282" s="141">
        <f>IF($G282="","",INDEX(资金台帐!$J$7:$J$3006,$G282))</f>
      </c>
      <c r="D282" s="172">
        <f>IF($G282="","",INDEX(资金台帐!$S$7:$S$3006,$G282))</f>
      </c>
      <c r="E282" s="141">
        <f>IF($G282="","",INDEX(资金台帐!$C$7:$C$3006,$G282))</f>
      </c>
      <c r="F282" s="142">
        <f>IF($G282="","",INDEX(资金台帐!$E$7:$E$3006,$G282)&amp;IF(INDEX(资金台帐!$M$7:$M$3006,$G282)="","","；"&amp;INDEX(资金台帐!$M$7:$M$3006,$G282)))</f>
      </c>
      <c r="G282" s="78">
        <f>IFERROR(MATCH(279,资金台帐!$Q$7:$Q$3006,0),"")</f>
      </c>
      <c r="I282" s="141">
        <f>IF($O282="","",279)</f>
      </c>
      <c r="J282" s="140">
        <f>IF($O282="","",INDEX(资金台帐!$B$7:$B$3006,$O282))</f>
      </c>
      <c r="K282" s="141">
        <f>IF($O282="","",INDEX(资金台帐!$K$7:$K$3006,$O282))</f>
      </c>
      <c r="L282" s="172">
        <f>IF($O282="","",-INDEX(资金台帐!$S$7:$S$3006,$O282))</f>
      </c>
      <c r="M282" s="141">
        <f>IF($O282="","",INDEX(资金台帐!$C$7:$C$3006,$O282))</f>
      </c>
      <c r="N282" s="142">
        <f>IF($O282="","",INDEX(资金台帐!$E$7:$E$3006,$O282))</f>
      </c>
      <c r="O282" s="78">
        <f>IFERROR(MATCH(279,资金台帐!$R$7:$R$3006,0),"")</f>
      </c>
    </row>
    <row r="283">
      <c r="A283" s="141">
        <f>IF($G283="","",280)</f>
      </c>
      <c r="B283" s="140">
        <f>IF($G283="","",INDEX(资金台帐!$B$7:$B$3006,$G283))</f>
      </c>
      <c r="C283" s="141">
        <f>IF($G283="","",INDEX(资金台帐!$J$7:$J$3006,$G283))</f>
      </c>
      <c r="D283" s="172">
        <f>IF($G283="","",INDEX(资金台帐!$S$7:$S$3006,$G283))</f>
      </c>
      <c r="E283" s="141">
        <f>IF($G283="","",INDEX(资金台帐!$C$7:$C$3006,$G283))</f>
      </c>
      <c r="F283" s="142">
        <f>IF($G283="","",INDEX(资金台帐!$E$7:$E$3006,$G283)&amp;IF(INDEX(资金台帐!$M$7:$M$3006,$G283)="","","；"&amp;INDEX(资金台帐!$M$7:$M$3006,$G283)))</f>
      </c>
      <c r="G283" s="78">
        <f>IFERROR(MATCH(280,资金台帐!$Q$7:$Q$3006,0),"")</f>
      </c>
      <c r="I283" s="141">
        <f>IF($O283="","",280)</f>
      </c>
      <c r="J283" s="140">
        <f>IF($O283="","",INDEX(资金台帐!$B$7:$B$3006,$O283))</f>
      </c>
      <c r="K283" s="141">
        <f>IF($O283="","",INDEX(资金台帐!$K$7:$K$3006,$O283))</f>
      </c>
      <c r="L283" s="172">
        <f>IF($O283="","",-INDEX(资金台帐!$S$7:$S$3006,$O283))</f>
      </c>
      <c r="M283" s="141">
        <f>IF($O283="","",INDEX(资金台帐!$C$7:$C$3006,$O283))</f>
      </c>
      <c r="N283" s="142">
        <f>IF($O283="","",INDEX(资金台帐!$E$7:$E$3006,$O283))</f>
      </c>
      <c r="O283" s="78">
        <f>IFERROR(MATCH(280,资金台帐!$R$7:$R$3006,0),"")</f>
      </c>
    </row>
    <row r="284">
      <c r="A284" s="141">
        <f>IF($G284="","",281)</f>
      </c>
      <c r="B284" s="140">
        <f>IF($G284="","",INDEX(资金台帐!$B$7:$B$3006,$G284))</f>
      </c>
      <c r="C284" s="141">
        <f>IF($G284="","",INDEX(资金台帐!$J$7:$J$3006,$G284))</f>
      </c>
      <c r="D284" s="172">
        <f>IF($G284="","",INDEX(资金台帐!$S$7:$S$3006,$G284))</f>
      </c>
      <c r="E284" s="141">
        <f>IF($G284="","",INDEX(资金台帐!$C$7:$C$3006,$G284))</f>
      </c>
      <c r="F284" s="142">
        <f>IF($G284="","",INDEX(资金台帐!$E$7:$E$3006,$G284)&amp;IF(INDEX(资金台帐!$M$7:$M$3006,$G284)="","","；"&amp;INDEX(资金台帐!$M$7:$M$3006,$G284)))</f>
      </c>
      <c r="G284" s="78">
        <f>IFERROR(MATCH(281,资金台帐!$Q$7:$Q$3006,0),"")</f>
      </c>
      <c r="I284" s="141">
        <f>IF($O284="","",281)</f>
      </c>
      <c r="J284" s="140">
        <f>IF($O284="","",INDEX(资金台帐!$B$7:$B$3006,$O284))</f>
      </c>
      <c r="K284" s="141">
        <f>IF($O284="","",INDEX(资金台帐!$K$7:$K$3006,$O284))</f>
      </c>
      <c r="L284" s="172">
        <f>IF($O284="","",-INDEX(资金台帐!$S$7:$S$3006,$O284))</f>
      </c>
      <c r="M284" s="141">
        <f>IF($O284="","",INDEX(资金台帐!$C$7:$C$3006,$O284))</f>
      </c>
      <c r="N284" s="142">
        <f>IF($O284="","",INDEX(资金台帐!$E$7:$E$3006,$O284))</f>
      </c>
      <c r="O284" s="78">
        <f>IFERROR(MATCH(281,资金台帐!$R$7:$R$3006,0),"")</f>
      </c>
    </row>
    <row r="285">
      <c r="A285" s="141">
        <f>IF($G285="","",282)</f>
      </c>
      <c r="B285" s="140">
        <f>IF($G285="","",INDEX(资金台帐!$B$7:$B$3006,$G285))</f>
      </c>
      <c r="C285" s="141">
        <f>IF($G285="","",INDEX(资金台帐!$J$7:$J$3006,$G285))</f>
      </c>
      <c r="D285" s="172">
        <f>IF($G285="","",INDEX(资金台帐!$S$7:$S$3006,$G285))</f>
      </c>
      <c r="E285" s="141">
        <f>IF($G285="","",INDEX(资金台帐!$C$7:$C$3006,$G285))</f>
      </c>
      <c r="F285" s="142">
        <f>IF($G285="","",INDEX(资金台帐!$E$7:$E$3006,$G285)&amp;IF(INDEX(资金台帐!$M$7:$M$3006,$G285)="","","；"&amp;INDEX(资金台帐!$M$7:$M$3006,$G285)))</f>
      </c>
      <c r="G285" s="78">
        <f>IFERROR(MATCH(282,资金台帐!$Q$7:$Q$3006,0),"")</f>
      </c>
      <c r="I285" s="141">
        <f>IF($O285="","",282)</f>
      </c>
      <c r="J285" s="140">
        <f>IF($O285="","",INDEX(资金台帐!$B$7:$B$3006,$O285))</f>
      </c>
      <c r="K285" s="141">
        <f>IF($O285="","",INDEX(资金台帐!$K$7:$K$3006,$O285))</f>
      </c>
      <c r="L285" s="172">
        <f>IF($O285="","",-INDEX(资金台帐!$S$7:$S$3006,$O285))</f>
      </c>
      <c r="M285" s="141">
        <f>IF($O285="","",INDEX(资金台帐!$C$7:$C$3006,$O285))</f>
      </c>
      <c r="N285" s="142">
        <f>IF($O285="","",INDEX(资金台帐!$E$7:$E$3006,$O285))</f>
      </c>
      <c r="O285" s="78">
        <f>IFERROR(MATCH(282,资金台帐!$R$7:$R$3006,0),"")</f>
      </c>
    </row>
    <row r="286">
      <c r="A286" s="141">
        <f>IF($G286="","",283)</f>
      </c>
      <c r="B286" s="140">
        <f>IF($G286="","",INDEX(资金台帐!$B$7:$B$3006,$G286))</f>
      </c>
      <c r="C286" s="141">
        <f>IF($G286="","",INDEX(资金台帐!$J$7:$J$3006,$G286))</f>
      </c>
      <c r="D286" s="172">
        <f>IF($G286="","",INDEX(资金台帐!$S$7:$S$3006,$G286))</f>
      </c>
      <c r="E286" s="141">
        <f>IF($G286="","",INDEX(资金台帐!$C$7:$C$3006,$G286))</f>
      </c>
      <c r="F286" s="142">
        <f>IF($G286="","",INDEX(资金台帐!$E$7:$E$3006,$G286)&amp;IF(INDEX(资金台帐!$M$7:$M$3006,$G286)="","","；"&amp;INDEX(资金台帐!$M$7:$M$3006,$G286)))</f>
      </c>
      <c r="G286" s="78">
        <f>IFERROR(MATCH(283,资金台帐!$Q$7:$Q$3006,0),"")</f>
      </c>
      <c r="I286" s="141">
        <f>IF($O286="","",283)</f>
      </c>
      <c r="J286" s="140">
        <f>IF($O286="","",INDEX(资金台帐!$B$7:$B$3006,$O286))</f>
      </c>
      <c r="K286" s="141">
        <f>IF($O286="","",INDEX(资金台帐!$K$7:$K$3006,$O286))</f>
      </c>
      <c r="L286" s="172">
        <f>IF($O286="","",-INDEX(资金台帐!$S$7:$S$3006,$O286))</f>
      </c>
      <c r="M286" s="141">
        <f>IF($O286="","",INDEX(资金台帐!$C$7:$C$3006,$O286))</f>
      </c>
      <c r="N286" s="142">
        <f>IF($O286="","",INDEX(资金台帐!$E$7:$E$3006,$O286))</f>
      </c>
      <c r="O286" s="78">
        <f>IFERROR(MATCH(283,资金台帐!$R$7:$R$3006,0),"")</f>
      </c>
    </row>
    <row r="287">
      <c r="A287" s="141">
        <f>IF($G287="","",284)</f>
      </c>
      <c r="B287" s="140">
        <f>IF($G287="","",INDEX(资金台帐!$B$7:$B$3006,$G287))</f>
      </c>
      <c r="C287" s="141">
        <f>IF($G287="","",INDEX(资金台帐!$J$7:$J$3006,$G287))</f>
      </c>
      <c r="D287" s="172">
        <f>IF($G287="","",INDEX(资金台帐!$S$7:$S$3006,$G287))</f>
      </c>
      <c r="E287" s="141">
        <f>IF($G287="","",INDEX(资金台帐!$C$7:$C$3006,$G287))</f>
      </c>
      <c r="F287" s="142">
        <f>IF($G287="","",INDEX(资金台帐!$E$7:$E$3006,$G287)&amp;IF(INDEX(资金台帐!$M$7:$M$3006,$G287)="","","；"&amp;INDEX(资金台帐!$M$7:$M$3006,$G287)))</f>
      </c>
      <c r="G287" s="78">
        <f>IFERROR(MATCH(284,资金台帐!$Q$7:$Q$3006,0),"")</f>
      </c>
      <c r="I287" s="141">
        <f>IF($O287="","",284)</f>
      </c>
      <c r="J287" s="140">
        <f>IF($O287="","",INDEX(资金台帐!$B$7:$B$3006,$O287))</f>
      </c>
      <c r="K287" s="141">
        <f>IF($O287="","",INDEX(资金台帐!$K$7:$K$3006,$O287))</f>
      </c>
      <c r="L287" s="172">
        <f>IF($O287="","",-INDEX(资金台帐!$S$7:$S$3006,$O287))</f>
      </c>
      <c r="M287" s="141">
        <f>IF($O287="","",INDEX(资金台帐!$C$7:$C$3006,$O287))</f>
      </c>
      <c r="N287" s="142">
        <f>IF($O287="","",INDEX(资金台帐!$E$7:$E$3006,$O287))</f>
      </c>
      <c r="O287" s="78">
        <f>IFERROR(MATCH(284,资金台帐!$R$7:$R$3006,0),"")</f>
      </c>
    </row>
    <row r="288">
      <c r="A288" s="141">
        <f>IF($G288="","",285)</f>
      </c>
      <c r="B288" s="140">
        <f>IF($G288="","",INDEX(资金台帐!$B$7:$B$3006,$G288))</f>
      </c>
      <c r="C288" s="141">
        <f>IF($G288="","",INDEX(资金台帐!$J$7:$J$3006,$G288))</f>
      </c>
      <c r="D288" s="172">
        <f>IF($G288="","",INDEX(资金台帐!$S$7:$S$3006,$G288))</f>
      </c>
      <c r="E288" s="141">
        <f>IF($G288="","",INDEX(资金台帐!$C$7:$C$3006,$G288))</f>
      </c>
      <c r="F288" s="142">
        <f>IF($G288="","",INDEX(资金台帐!$E$7:$E$3006,$G288)&amp;IF(INDEX(资金台帐!$M$7:$M$3006,$G288)="","","；"&amp;INDEX(资金台帐!$M$7:$M$3006,$G288)))</f>
      </c>
      <c r="G288" s="78">
        <f>IFERROR(MATCH(285,资金台帐!$Q$7:$Q$3006,0),"")</f>
      </c>
      <c r="I288" s="141">
        <f>IF($O288="","",285)</f>
      </c>
      <c r="J288" s="140">
        <f>IF($O288="","",INDEX(资金台帐!$B$7:$B$3006,$O288))</f>
      </c>
      <c r="K288" s="141">
        <f>IF($O288="","",INDEX(资金台帐!$K$7:$K$3006,$O288))</f>
      </c>
      <c r="L288" s="172">
        <f>IF($O288="","",-INDEX(资金台帐!$S$7:$S$3006,$O288))</f>
      </c>
      <c r="M288" s="141">
        <f>IF($O288="","",INDEX(资金台帐!$C$7:$C$3006,$O288))</f>
      </c>
      <c r="N288" s="142">
        <f>IF($O288="","",INDEX(资金台帐!$E$7:$E$3006,$O288))</f>
      </c>
      <c r="O288" s="78">
        <f>IFERROR(MATCH(285,资金台帐!$R$7:$R$3006,0),"")</f>
      </c>
    </row>
    <row r="289">
      <c r="A289" s="141">
        <f>IF($G289="","",286)</f>
      </c>
      <c r="B289" s="140">
        <f>IF($G289="","",INDEX(资金台帐!$B$7:$B$3006,$G289))</f>
      </c>
      <c r="C289" s="141">
        <f>IF($G289="","",INDEX(资金台帐!$J$7:$J$3006,$G289))</f>
      </c>
      <c r="D289" s="172">
        <f>IF($G289="","",INDEX(资金台帐!$S$7:$S$3006,$G289))</f>
      </c>
      <c r="E289" s="141">
        <f>IF($G289="","",INDEX(资金台帐!$C$7:$C$3006,$G289))</f>
      </c>
      <c r="F289" s="142">
        <f>IF($G289="","",INDEX(资金台帐!$E$7:$E$3006,$G289)&amp;IF(INDEX(资金台帐!$M$7:$M$3006,$G289)="","","；"&amp;INDEX(资金台帐!$M$7:$M$3006,$G289)))</f>
      </c>
      <c r="G289" s="78">
        <f>IFERROR(MATCH(286,资金台帐!$Q$7:$Q$3006,0),"")</f>
      </c>
      <c r="I289" s="141">
        <f>IF($O289="","",286)</f>
      </c>
      <c r="J289" s="140">
        <f>IF($O289="","",INDEX(资金台帐!$B$7:$B$3006,$O289))</f>
      </c>
      <c r="K289" s="141">
        <f>IF($O289="","",INDEX(资金台帐!$K$7:$K$3006,$O289))</f>
      </c>
      <c r="L289" s="172">
        <f>IF($O289="","",-INDEX(资金台帐!$S$7:$S$3006,$O289))</f>
      </c>
      <c r="M289" s="141">
        <f>IF($O289="","",INDEX(资金台帐!$C$7:$C$3006,$O289))</f>
      </c>
      <c r="N289" s="142">
        <f>IF($O289="","",INDEX(资金台帐!$E$7:$E$3006,$O289))</f>
      </c>
      <c r="O289" s="78">
        <f>IFERROR(MATCH(286,资金台帐!$R$7:$R$3006,0),"")</f>
      </c>
    </row>
    <row r="290">
      <c r="A290" s="141">
        <f>IF($G290="","",287)</f>
      </c>
      <c r="B290" s="140">
        <f>IF($G290="","",INDEX(资金台帐!$B$7:$B$3006,$G290))</f>
      </c>
      <c r="C290" s="141">
        <f>IF($G290="","",INDEX(资金台帐!$J$7:$J$3006,$G290))</f>
      </c>
      <c r="D290" s="172">
        <f>IF($G290="","",INDEX(资金台帐!$S$7:$S$3006,$G290))</f>
      </c>
      <c r="E290" s="141">
        <f>IF($G290="","",INDEX(资金台帐!$C$7:$C$3006,$G290))</f>
      </c>
      <c r="F290" s="142">
        <f>IF($G290="","",INDEX(资金台帐!$E$7:$E$3006,$G290)&amp;IF(INDEX(资金台帐!$M$7:$M$3006,$G290)="","","；"&amp;INDEX(资金台帐!$M$7:$M$3006,$G290)))</f>
      </c>
      <c r="G290" s="78">
        <f>IFERROR(MATCH(287,资金台帐!$Q$7:$Q$3006,0),"")</f>
      </c>
      <c r="I290" s="141">
        <f>IF($O290="","",287)</f>
      </c>
      <c r="J290" s="140">
        <f>IF($O290="","",INDEX(资金台帐!$B$7:$B$3006,$O290))</f>
      </c>
      <c r="K290" s="141">
        <f>IF($O290="","",INDEX(资金台帐!$K$7:$K$3006,$O290))</f>
      </c>
      <c r="L290" s="172">
        <f>IF($O290="","",-INDEX(资金台帐!$S$7:$S$3006,$O290))</f>
      </c>
      <c r="M290" s="141">
        <f>IF($O290="","",INDEX(资金台帐!$C$7:$C$3006,$O290))</f>
      </c>
      <c r="N290" s="142">
        <f>IF($O290="","",INDEX(资金台帐!$E$7:$E$3006,$O290))</f>
      </c>
      <c r="O290" s="78">
        <f>IFERROR(MATCH(287,资金台帐!$R$7:$R$3006,0),"")</f>
      </c>
    </row>
    <row r="291">
      <c r="A291" s="141">
        <f>IF($G291="","",288)</f>
      </c>
      <c r="B291" s="140">
        <f>IF($G291="","",INDEX(资金台帐!$B$7:$B$3006,$G291))</f>
      </c>
      <c r="C291" s="141">
        <f>IF($G291="","",INDEX(资金台帐!$J$7:$J$3006,$G291))</f>
      </c>
      <c r="D291" s="172">
        <f>IF($G291="","",INDEX(资金台帐!$S$7:$S$3006,$G291))</f>
      </c>
      <c r="E291" s="141">
        <f>IF($G291="","",INDEX(资金台帐!$C$7:$C$3006,$G291))</f>
      </c>
      <c r="F291" s="142">
        <f>IF($G291="","",INDEX(资金台帐!$E$7:$E$3006,$G291)&amp;IF(INDEX(资金台帐!$M$7:$M$3006,$G291)="","","；"&amp;INDEX(资金台帐!$M$7:$M$3006,$G291)))</f>
      </c>
      <c r="G291" s="78">
        <f>IFERROR(MATCH(288,资金台帐!$Q$7:$Q$3006,0),"")</f>
      </c>
      <c r="I291" s="141">
        <f>IF($O291="","",288)</f>
      </c>
      <c r="J291" s="140">
        <f>IF($O291="","",INDEX(资金台帐!$B$7:$B$3006,$O291))</f>
      </c>
      <c r="K291" s="141">
        <f>IF($O291="","",INDEX(资金台帐!$K$7:$K$3006,$O291))</f>
      </c>
      <c r="L291" s="172">
        <f>IF($O291="","",-INDEX(资金台帐!$S$7:$S$3006,$O291))</f>
      </c>
      <c r="M291" s="141">
        <f>IF($O291="","",INDEX(资金台帐!$C$7:$C$3006,$O291))</f>
      </c>
      <c r="N291" s="142">
        <f>IF($O291="","",INDEX(资金台帐!$E$7:$E$3006,$O291))</f>
      </c>
      <c r="O291" s="78">
        <f>IFERROR(MATCH(288,资金台帐!$R$7:$R$3006,0),"")</f>
      </c>
    </row>
    <row r="292">
      <c r="A292" s="141">
        <f>IF($G292="","",289)</f>
      </c>
      <c r="B292" s="140">
        <f>IF($G292="","",INDEX(资金台帐!$B$7:$B$3006,$G292))</f>
      </c>
      <c r="C292" s="141">
        <f>IF($G292="","",INDEX(资金台帐!$J$7:$J$3006,$G292))</f>
      </c>
      <c r="D292" s="172">
        <f>IF($G292="","",INDEX(资金台帐!$S$7:$S$3006,$G292))</f>
      </c>
      <c r="E292" s="141">
        <f>IF($G292="","",INDEX(资金台帐!$C$7:$C$3006,$G292))</f>
      </c>
      <c r="F292" s="142">
        <f>IF($G292="","",INDEX(资金台帐!$E$7:$E$3006,$G292)&amp;IF(INDEX(资金台帐!$M$7:$M$3006,$G292)="","","；"&amp;INDEX(资金台帐!$M$7:$M$3006,$G292)))</f>
      </c>
      <c r="G292" s="78">
        <f>IFERROR(MATCH(289,资金台帐!$Q$7:$Q$3006,0),"")</f>
      </c>
      <c r="I292" s="141">
        <f>IF($O292="","",289)</f>
      </c>
      <c r="J292" s="140">
        <f>IF($O292="","",INDEX(资金台帐!$B$7:$B$3006,$O292))</f>
      </c>
      <c r="K292" s="141">
        <f>IF($O292="","",INDEX(资金台帐!$K$7:$K$3006,$O292))</f>
      </c>
      <c r="L292" s="172">
        <f>IF($O292="","",-INDEX(资金台帐!$S$7:$S$3006,$O292))</f>
      </c>
      <c r="M292" s="141">
        <f>IF($O292="","",INDEX(资金台帐!$C$7:$C$3006,$O292))</f>
      </c>
      <c r="N292" s="142">
        <f>IF($O292="","",INDEX(资金台帐!$E$7:$E$3006,$O292))</f>
      </c>
      <c r="O292" s="78">
        <f>IFERROR(MATCH(289,资金台帐!$R$7:$R$3006,0),"")</f>
      </c>
    </row>
    <row r="293">
      <c r="A293" s="141">
        <f>IF($G293="","",290)</f>
      </c>
      <c r="B293" s="140">
        <f>IF($G293="","",INDEX(资金台帐!$B$7:$B$3006,$G293))</f>
      </c>
      <c r="C293" s="141">
        <f>IF($G293="","",INDEX(资金台帐!$J$7:$J$3006,$G293))</f>
      </c>
      <c r="D293" s="172">
        <f>IF($G293="","",INDEX(资金台帐!$S$7:$S$3006,$G293))</f>
      </c>
      <c r="E293" s="141">
        <f>IF($G293="","",INDEX(资金台帐!$C$7:$C$3006,$G293))</f>
      </c>
      <c r="F293" s="142">
        <f>IF($G293="","",INDEX(资金台帐!$E$7:$E$3006,$G293)&amp;IF(INDEX(资金台帐!$M$7:$M$3006,$G293)="","","；"&amp;INDEX(资金台帐!$M$7:$M$3006,$G293)))</f>
      </c>
      <c r="G293" s="78">
        <f>IFERROR(MATCH(290,资金台帐!$Q$7:$Q$3006,0),"")</f>
      </c>
      <c r="I293" s="141">
        <f>IF($O293="","",290)</f>
      </c>
      <c r="J293" s="140">
        <f>IF($O293="","",INDEX(资金台帐!$B$7:$B$3006,$O293))</f>
      </c>
      <c r="K293" s="141">
        <f>IF($O293="","",INDEX(资金台帐!$K$7:$K$3006,$O293))</f>
      </c>
      <c r="L293" s="172">
        <f>IF($O293="","",-INDEX(资金台帐!$S$7:$S$3006,$O293))</f>
      </c>
      <c r="M293" s="141">
        <f>IF($O293="","",INDEX(资金台帐!$C$7:$C$3006,$O293))</f>
      </c>
      <c r="N293" s="142">
        <f>IF($O293="","",INDEX(资金台帐!$E$7:$E$3006,$O293))</f>
      </c>
      <c r="O293" s="78">
        <f>IFERROR(MATCH(290,资金台帐!$R$7:$R$3006,0),"")</f>
      </c>
    </row>
    <row r="294">
      <c r="A294" s="141">
        <f>IF($G294="","",291)</f>
      </c>
      <c r="B294" s="140">
        <f>IF($G294="","",INDEX(资金台帐!$B$7:$B$3006,$G294))</f>
      </c>
      <c r="C294" s="141">
        <f>IF($G294="","",INDEX(资金台帐!$J$7:$J$3006,$G294))</f>
      </c>
      <c r="D294" s="172">
        <f>IF($G294="","",INDEX(资金台帐!$S$7:$S$3006,$G294))</f>
      </c>
      <c r="E294" s="141">
        <f>IF($G294="","",INDEX(资金台帐!$C$7:$C$3006,$G294))</f>
      </c>
      <c r="F294" s="142">
        <f>IF($G294="","",INDEX(资金台帐!$E$7:$E$3006,$G294)&amp;IF(INDEX(资金台帐!$M$7:$M$3006,$G294)="","","；"&amp;INDEX(资金台帐!$M$7:$M$3006,$G294)))</f>
      </c>
      <c r="G294" s="78">
        <f>IFERROR(MATCH(291,资金台帐!$Q$7:$Q$3006,0),"")</f>
      </c>
      <c r="I294" s="141">
        <f>IF($O294="","",291)</f>
      </c>
      <c r="J294" s="140">
        <f>IF($O294="","",INDEX(资金台帐!$B$7:$B$3006,$O294))</f>
      </c>
      <c r="K294" s="141">
        <f>IF($O294="","",INDEX(资金台帐!$K$7:$K$3006,$O294))</f>
      </c>
      <c r="L294" s="172">
        <f>IF($O294="","",-INDEX(资金台帐!$S$7:$S$3006,$O294))</f>
      </c>
      <c r="M294" s="141">
        <f>IF($O294="","",INDEX(资金台帐!$C$7:$C$3006,$O294))</f>
      </c>
      <c r="N294" s="142">
        <f>IF($O294="","",INDEX(资金台帐!$E$7:$E$3006,$O294))</f>
      </c>
      <c r="O294" s="78">
        <f>IFERROR(MATCH(291,资金台帐!$R$7:$R$3006,0),"")</f>
      </c>
    </row>
    <row r="295">
      <c r="A295" s="141">
        <f>IF($G295="","",292)</f>
      </c>
      <c r="B295" s="140">
        <f>IF($G295="","",INDEX(资金台帐!$B$7:$B$3006,$G295))</f>
      </c>
      <c r="C295" s="141">
        <f>IF($G295="","",INDEX(资金台帐!$J$7:$J$3006,$G295))</f>
      </c>
      <c r="D295" s="172">
        <f>IF($G295="","",INDEX(资金台帐!$S$7:$S$3006,$G295))</f>
      </c>
      <c r="E295" s="141">
        <f>IF($G295="","",INDEX(资金台帐!$C$7:$C$3006,$G295))</f>
      </c>
      <c r="F295" s="142">
        <f>IF($G295="","",INDEX(资金台帐!$E$7:$E$3006,$G295)&amp;IF(INDEX(资金台帐!$M$7:$M$3006,$G295)="","","；"&amp;INDEX(资金台帐!$M$7:$M$3006,$G295)))</f>
      </c>
      <c r="G295" s="78">
        <f>IFERROR(MATCH(292,资金台帐!$Q$7:$Q$3006,0),"")</f>
      </c>
      <c r="I295" s="141">
        <f>IF($O295="","",292)</f>
      </c>
      <c r="J295" s="140">
        <f>IF($O295="","",INDEX(资金台帐!$B$7:$B$3006,$O295))</f>
      </c>
      <c r="K295" s="141">
        <f>IF($O295="","",INDEX(资金台帐!$K$7:$K$3006,$O295))</f>
      </c>
      <c r="L295" s="172">
        <f>IF($O295="","",-INDEX(资金台帐!$S$7:$S$3006,$O295))</f>
      </c>
      <c r="M295" s="141">
        <f>IF($O295="","",INDEX(资金台帐!$C$7:$C$3006,$O295))</f>
      </c>
      <c r="N295" s="142">
        <f>IF($O295="","",INDEX(资金台帐!$E$7:$E$3006,$O295))</f>
      </c>
      <c r="O295" s="78">
        <f>IFERROR(MATCH(292,资金台帐!$R$7:$R$3006,0),"")</f>
      </c>
    </row>
    <row r="296">
      <c r="A296" s="141">
        <f>IF($G296="","",293)</f>
      </c>
      <c r="B296" s="140">
        <f>IF($G296="","",INDEX(资金台帐!$B$7:$B$3006,$G296))</f>
      </c>
      <c r="C296" s="141">
        <f>IF($G296="","",INDEX(资金台帐!$J$7:$J$3006,$G296))</f>
      </c>
      <c r="D296" s="172">
        <f>IF($G296="","",INDEX(资金台帐!$S$7:$S$3006,$G296))</f>
      </c>
      <c r="E296" s="141">
        <f>IF($G296="","",INDEX(资金台帐!$C$7:$C$3006,$G296))</f>
      </c>
      <c r="F296" s="142">
        <f>IF($G296="","",INDEX(资金台帐!$E$7:$E$3006,$G296)&amp;IF(INDEX(资金台帐!$M$7:$M$3006,$G296)="","","；"&amp;INDEX(资金台帐!$M$7:$M$3006,$G296)))</f>
      </c>
      <c r="G296" s="78">
        <f>IFERROR(MATCH(293,资金台帐!$Q$7:$Q$3006,0),"")</f>
      </c>
      <c r="I296" s="141">
        <f>IF($O296="","",293)</f>
      </c>
      <c r="J296" s="140">
        <f>IF($O296="","",INDEX(资金台帐!$B$7:$B$3006,$O296))</f>
      </c>
      <c r="K296" s="141">
        <f>IF($O296="","",INDEX(资金台帐!$K$7:$K$3006,$O296))</f>
      </c>
      <c r="L296" s="172">
        <f>IF($O296="","",-INDEX(资金台帐!$S$7:$S$3006,$O296))</f>
      </c>
      <c r="M296" s="141">
        <f>IF($O296="","",INDEX(资金台帐!$C$7:$C$3006,$O296))</f>
      </c>
      <c r="N296" s="142">
        <f>IF($O296="","",INDEX(资金台帐!$E$7:$E$3006,$O296))</f>
      </c>
      <c r="O296" s="78">
        <f>IFERROR(MATCH(293,资金台帐!$R$7:$R$3006,0),"")</f>
      </c>
    </row>
    <row r="297">
      <c r="A297" s="141">
        <f>IF($G297="","",294)</f>
      </c>
      <c r="B297" s="140">
        <f>IF($G297="","",INDEX(资金台帐!$B$7:$B$3006,$G297))</f>
      </c>
      <c r="C297" s="141">
        <f>IF($G297="","",INDEX(资金台帐!$J$7:$J$3006,$G297))</f>
      </c>
      <c r="D297" s="172">
        <f>IF($G297="","",INDEX(资金台帐!$S$7:$S$3006,$G297))</f>
      </c>
      <c r="E297" s="141">
        <f>IF($G297="","",INDEX(资金台帐!$C$7:$C$3006,$G297))</f>
      </c>
      <c r="F297" s="142">
        <f>IF($G297="","",INDEX(资金台帐!$E$7:$E$3006,$G297)&amp;IF(INDEX(资金台帐!$M$7:$M$3006,$G297)="","","；"&amp;INDEX(资金台帐!$M$7:$M$3006,$G297)))</f>
      </c>
      <c r="G297" s="78">
        <f>IFERROR(MATCH(294,资金台帐!$Q$7:$Q$3006,0),"")</f>
      </c>
      <c r="I297" s="141">
        <f>IF($O297="","",294)</f>
      </c>
      <c r="J297" s="140">
        <f>IF($O297="","",INDEX(资金台帐!$B$7:$B$3006,$O297))</f>
      </c>
      <c r="K297" s="141">
        <f>IF($O297="","",INDEX(资金台帐!$K$7:$K$3006,$O297))</f>
      </c>
      <c r="L297" s="172">
        <f>IF($O297="","",-INDEX(资金台帐!$S$7:$S$3006,$O297))</f>
      </c>
      <c r="M297" s="141">
        <f>IF($O297="","",INDEX(资金台帐!$C$7:$C$3006,$O297))</f>
      </c>
      <c r="N297" s="142">
        <f>IF($O297="","",INDEX(资金台帐!$E$7:$E$3006,$O297))</f>
      </c>
      <c r="O297" s="78">
        <f>IFERROR(MATCH(294,资金台帐!$R$7:$R$3006,0),"")</f>
      </c>
    </row>
    <row r="298">
      <c r="A298" s="141">
        <f>IF($G298="","",295)</f>
      </c>
      <c r="B298" s="140">
        <f>IF($G298="","",INDEX(资金台帐!$B$7:$B$3006,$G298))</f>
      </c>
      <c r="C298" s="141">
        <f>IF($G298="","",INDEX(资金台帐!$J$7:$J$3006,$G298))</f>
      </c>
      <c r="D298" s="172">
        <f>IF($G298="","",INDEX(资金台帐!$S$7:$S$3006,$G298))</f>
      </c>
      <c r="E298" s="141">
        <f>IF($G298="","",INDEX(资金台帐!$C$7:$C$3006,$G298))</f>
      </c>
      <c r="F298" s="142">
        <f>IF($G298="","",INDEX(资金台帐!$E$7:$E$3006,$G298)&amp;IF(INDEX(资金台帐!$M$7:$M$3006,$G298)="","","；"&amp;INDEX(资金台帐!$M$7:$M$3006,$G298)))</f>
      </c>
      <c r="G298" s="78">
        <f>IFERROR(MATCH(295,资金台帐!$Q$7:$Q$3006,0),"")</f>
      </c>
      <c r="I298" s="141">
        <f>IF($O298="","",295)</f>
      </c>
      <c r="J298" s="140">
        <f>IF($O298="","",INDEX(资金台帐!$B$7:$B$3006,$O298))</f>
      </c>
      <c r="K298" s="141">
        <f>IF($O298="","",INDEX(资金台帐!$K$7:$K$3006,$O298))</f>
      </c>
      <c r="L298" s="172">
        <f>IF($O298="","",-INDEX(资金台帐!$S$7:$S$3006,$O298))</f>
      </c>
      <c r="M298" s="141">
        <f>IF($O298="","",INDEX(资金台帐!$C$7:$C$3006,$O298))</f>
      </c>
      <c r="N298" s="142">
        <f>IF($O298="","",INDEX(资金台帐!$E$7:$E$3006,$O298))</f>
      </c>
      <c r="O298" s="78">
        <f>IFERROR(MATCH(295,资金台帐!$R$7:$R$3006,0),"")</f>
      </c>
    </row>
    <row r="299">
      <c r="A299" s="141">
        <f>IF($G299="","",296)</f>
      </c>
      <c r="B299" s="140">
        <f>IF($G299="","",INDEX(资金台帐!$B$7:$B$3006,$G299))</f>
      </c>
      <c r="C299" s="141">
        <f>IF($G299="","",INDEX(资金台帐!$J$7:$J$3006,$G299))</f>
      </c>
      <c r="D299" s="172">
        <f>IF($G299="","",INDEX(资金台帐!$S$7:$S$3006,$G299))</f>
      </c>
      <c r="E299" s="141">
        <f>IF($G299="","",INDEX(资金台帐!$C$7:$C$3006,$G299))</f>
      </c>
      <c r="F299" s="142">
        <f>IF($G299="","",INDEX(资金台帐!$E$7:$E$3006,$G299)&amp;IF(INDEX(资金台帐!$M$7:$M$3006,$G299)="","","；"&amp;INDEX(资金台帐!$M$7:$M$3006,$G299)))</f>
      </c>
      <c r="G299" s="78">
        <f>IFERROR(MATCH(296,资金台帐!$Q$7:$Q$3006,0),"")</f>
      </c>
      <c r="I299" s="141">
        <f>IF($O299="","",296)</f>
      </c>
      <c r="J299" s="140">
        <f>IF($O299="","",INDEX(资金台帐!$B$7:$B$3006,$O299))</f>
      </c>
      <c r="K299" s="141">
        <f>IF($O299="","",INDEX(资金台帐!$K$7:$K$3006,$O299))</f>
      </c>
      <c r="L299" s="172">
        <f>IF($O299="","",-INDEX(资金台帐!$S$7:$S$3006,$O299))</f>
      </c>
      <c r="M299" s="141">
        <f>IF($O299="","",INDEX(资金台帐!$C$7:$C$3006,$O299))</f>
      </c>
      <c r="N299" s="142">
        <f>IF($O299="","",INDEX(资金台帐!$E$7:$E$3006,$O299))</f>
      </c>
      <c r="O299" s="78">
        <f>IFERROR(MATCH(296,资金台帐!$R$7:$R$3006,0),"")</f>
      </c>
    </row>
    <row r="300">
      <c r="A300" s="141">
        <f>IF($G300="","",297)</f>
      </c>
      <c r="B300" s="140">
        <f>IF($G300="","",INDEX(资金台帐!$B$7:$B$3006,$G300))</f>
      </c>
      <c r="C300" s="141">
        <f>IF($G300="","",INDEX(资金台帐!$J$7:$J$3006,$G300))</f>
      </c>
      <c r="D300" s="172">
        <f>IF($G300="","",INDEX(资金台帐!$S$7:$S$3006,$G300))</f>
      </c>
      <c r="E300" s="141">
        <f>IF($G300="","",INDEX(资金台帐!$C$7:$C$3006,$G300))</f>
      </c>
      <c r="F300" s="142">
        <f>IF($G300="","",INDEX(资金台帐!$E$7:$E$3006,$G300)&amp;IF(INDEX(资金台帐!$M$7:$M$3006,$G300)="","","；"&amp;INDEX(资金台帐!$M$7:$M$3006,$G300)))</f>
      </c>
      <c r="G300" s="78">
        <f>IFERROR(MATCH(297,资金台帐!$Q$7:$Q$3006,0),"")</f>
      </c>
      <c r="I300" s="141">
        <f>IF($O300="","",297)</f>
      </c>
      <c r="J300" s="140">
        <f>IF($O300="","",INDEX(资金台帐!$B$7:$B$3006,$O300))</f>
      </c>
      <c r="K300" s="141">
        <f>IF($O300="","",INDEX(资金台帐!$K$7:$K$3006,$O300))</f>
      </c>
      <c r="L300" s="172">
        <f>IF($O300="","",-INDEX(资金台帐!$S$7:$S$3006,$O300))</f>
      </c>
      <c r="M300" s="141">
        <f>IF($O300="","",INDEX(资金台帐!$C$7:$C$3006,$O300))</f>
      </c>
      <c r="N300" s="142">
        <f>IF($O300="","",INDEX(资金台帐!$E$7:$E$3006,$O300))</f>
      </c>
      <c r="O300" s="78">
        <f>IFERROR(MATCH(297,资金台帐!$R$7:$R$3006,0),"")</f>
      </c>
    </row>
    <row r="301">
      <c r="A301" s="141">
        <f>IF($G301="","",298)</f>
      </c>
      <c r="B301" s="140">
        <f>IF($G301="","",INDEX(资金台帐!$B$7:$B$3006,$G301))</f>
      </c>
      <c r="C301" s="141">
        <f>IF($G301="","",INDEX(资金台帐!$J$7:$J$3006,$G301))</f>
      </c>
      <c r="D301" s="172">
        <f>IF($G301="","",INDEX(资金台帐!$S$7:$S$3006,$G301))</f>
      </c>
      <c r="E301" s="141">
        <f>IF($G301="","",INDEX(资金台帐!$C$7:$C$3006,$G301))</f>
      </c>
      <c r="F301" s="142">
        <f>IF($G301="","",INDEX(资金台帐!$E$7:$E$3006,$G301)&amp;IF(INDEX(资金台帐!$M$7:$M$3006,$G301)="","","；"&amp;INDEX(资金台帐!$M$7:$M$3006,$G301)))</f>
      </c>
      <c r="G301" s="78">
        <f>IFERROR(MATCH(298,资金台帐!$Q$7:$Q$3006,0),"")</f>
      </c>
      <c r="I301" s="141">
        <f>IF($O301="","",298)</f>
      </c>
      <c r="J301" s="140">
        <f>IF($O301="","",INDEX(资金台帐!$B$7:$B$3006,$O301))</f>
      </c>
      <c r="K301" s="141">
        <f>IF($O301="","",INDEX(资金台帐!$K$7:$K$3006,$O301))</f>
      </c>
      <c r="L301" s="172">
        <f>IF($O301="","",-INDEX(资金台帐!$S$7:$S$3006,$O301))</f>
      </c>
      <c r="M301" s="141">
        <f>IF($O301="","",INDEX(资金台帐!$C$7:$C$3006,$O301))</f>
      </c>
      <c r="N301" s="142">
        <f>IF($O301="","",INDEX(资金台帐!$E$7:$E$3006,$O301))</f>
      </c>
      <c r="O301" s="78">
        <f>IFERROR(MATCH(298,资金台帐!$R$7:$R$3006,0),"")</f>
      </c>
    </row>
    <row r="302">
      <c r="A302" s="141">
        <f>IF($G302="","",299)</f>
      </c>
      <c r="B302" s="140">
        <f>IF($G302="","",INDEX(资金台帐!$B$7:$B$3006,$G302))</f>
      </c>
      <c r="C302" s="141">
        <f>IF($G302="","",INDEX(资金台帐!$J$7:$J$3006,$G302))</f>
      </c>
      <c r="D302" s="172">
        <f>IF($G302="","",INDEX(资金台帐!$S$7:$S$3006,$G302))</f>
      </c>
      <c r="E302" s="141">
        <f>IF($G302="","",INDEX(资金台帐!$C$7:$C$3006,$G302))</f>
      </c>
      <c r="F302" s="142">
        <f>IF($G302="","",INDEX(资金台帐!$E$7:$E$3006,$G302)&amp;IF(INDEX(资金台帐!$M$7:$M$3006,$G302)="","","；"&amp;INDEX(资金台帐!$M$7:$M$3006,$G302)))</f>
      </c>
      <c r="G302" s="78">
        <f>IFERROR(MATCH(299,资金台帐!$Q$7:$Q$3006,0),"")</f>
      </c>
      <c r="I302" s="141">
        <f>IF($O302="","",299)</f>
      </c>
      <c r="J302" s="140">
        <f>IF($O302="","",INDEX(资金台帐!$B$7:$B$3006,$O302))</f>
      </c>
      <c r="K302" s="141">
        <f>IF($O302="","",INDEX(资金台帐!$K$7:$K$3006,$O302))</f>
      </c>
      <c r="L302" s="172">
        <f>IF($O302="","",-INDEX(资金台帐!$S$7:$S$3006,$O302))</f>
      </c>
      <c r="M302" s="141">
        <f>IF($O302="","",INDEX(资金台帐!$C$7:$C$3006,$O302))</f>
      </c>
      <c r="N302" s="142">
        <f>IF($O302="","",INDEX(资金台帐!$E$7:$E$3006,$O302))</f>
      </c>
      <c r="O302" s="78">
        <f>IFERROR(MATCH(299,资金台帐!$R$7:$R$3006,0),"")</f>
      </c>
    </row>
    <row r="303">
      <c r="A303" s="141">
        <f>IF($G303="","",300)</f>
      </c>
      <c r="B303" s="140">
        <f>IF($G303="","",INDEX(资金台帐!$B$7:$B$3006,$G303))</f>
      </c>
      <c r="C303" s="141">
        <f>IF($G303="","",INDEX(资金台帐!$J$7:$J$3006,$G303))</f>
      </c>
      <c r="D303" s="172">
        <f>IF($G303="","",INDEX(资金台帐!$S$7:$S$3006,$G303))</f>
      </c>
      <c r="E303" s="141">
        <f>IF($G303="","",INDEX(资金台帐!$C$7:$C$3006,$G303))</f>
      </c>
      <c r="F303" s="142">
        <f>IF($G303="","",INDEX(资金台帐!$E$7:$E$3006,$G303)&amp;IF(INDEX(资金台帐!$M$7:$M$3006,$G303)="","","；"&amp;INDEX(资金台帐!$M$7:$M$3006,$G303)))</f>
      </c>
      <c r="G303" s="78">
        <f>IFERROR(MATCH(300,资金台帐!$Q$7:$Q$3006,0),"")</f>
      </c>
      <c r="I303" s="141">
        <f>IF($O303="","",300)</f>
      </c>
      <c r="J303" s="140">
        <f>IF($O303="","",INDEX(资金台帐!$B$7:$B$3006,$O303))</f>
      </c>
      <c r="K303" s="141">
        <f>IF($O303="","",INDEX(资金台帐!$K$7:$K$3006,$O303))</f>
      </c>
      <c r="L303" s="172">
        <f>IF($O303="","",-INDEX(资金台帐!$S$7:$S$3006,$O303))</f>
      </c>
      <c r="M303" s="141">
        <f>IF($O303="","",INDEX(资金台帐!$C$7:$C$3006,$O303))</f>
      </c>
      <c r="N303" s="142">
        <f>IF($O303="","",INDEX(资金台帐!$E$7:$E$3006,$O303))</f>
      </c>
      <c r="O303" s="78">
        <f>IFERROR(MATCH(300,资金台帐!$R$7:$R$3006,0),"")</f>
      </c>
    </row>
    <row r="304">
      <c r="A304" s="141">
        <f>IF($G304="","",301)</f>
      </c>
      <c r="B304" s="140">
        <f>IF($G304="","",INDEX(资金台帐!$B$7:$B$3006,$G304))</f>
      </c>
      <c r="C304" s="141">
        <f>IF($G304="","",INDEX(资金台帐!$J$7:$J$3006,$G304))</f>
      </c>
      <c r="D304" s="172">
        <f>IF($G304="","",INDEX(资金台帐!$S$7:$S$3006,$G304))</f>
      </c>
      <c r="E304" s="141">
        <f>IF($G304="","",INDEX(资金台帐!$C$7:$C$3006,$G304))</f>
      </c>
      <c r="F304" s="142">
        <f>IF($G304="","",INDEX(资金台帐!$E$7:$E$3006,$G304)&amp;IF(INDEX(资金台帐!$M$7:$M$3006,$G304)="","","；"&amp;INDEX(资金台帐!$M$7:$M$3006,$G304)))</f>
      </c>
      <c r="G304" s="78">
        <f>IFERROR(MATCH(301,资金台帐!$Q$7:$Q$3006,0),"")</f>
      </c>
      <c r="I304" s="141">
        <f>IF($O304="","",301)</f>
      </c>
      <c r="J304" s="140">
        <f>IF($O304="","",INDEX(资金台帐!$B$7:$B$3006,$O304))</f>
      </c>
      <c r="K304" s="141">
        <f>IF($O304="","",INDEX(资金台帐!$K$7:$K$3006,$O304))</f>
      </c>
      <c r="L304" s="172">
        <f>IF($O304="","",-INDEX(资金台帐!$S$7:$S$3006,$O304))</f>
      </c>
      <c r="M304" s="141">
        <f>IF($O304="","",INDEX(资金台帐!$C$7:$C$3006,$O304))</f>
      </c>
      <c r="N304" s="142">
        <f>IF($O304="","",INDEX(资金台帐!$E$7:$E$3006,$O304))</f>
      </c>
      <c r="O304" s="78">
        <f>IFERROR(MATCH(301,资金台帐!$R$7:$R$3006,0),"")</f>
      </c>
    </row>
    <row r="305">
      <c r="A305" s="141">
        <f>IF($G305="","",302)</f>
      </c>
      <c r="B305" s="140">
        <f>IF($G305="","",INDEX(资金台帐!$B$7:$B$3006,$G305))</f>
      </c>
      <c r="C305" s="141">
        <f>IF($G305="","",INDEX(资金台帐!$J$7:$J$3006,$G305))</f>
      </c>
      <c r="D305" s="172">
        <f>IF($G305="","",INDEX(资金台帐!$S$7:$S$3006,$G305))</f>
      </c>
      <c r="E305" s="141">
        <f>IF($G305="","",INDEX(资金台帐!$C$7:$C$3006,$G305))</f>
      </c>
      <c r="F305" s="142">
        <f>IF($G305="","",INDEX(资金台帐!$E$7:$E$3006,$G305)&amp;IF(INDEX(资金台帐!$M$7:$M$3006,$G305)="","","；"&amp;INDEX(资金台帐!$M$7:$M$3006,$G305)))</f>
      </c>
      <c r="G305" s="78">
        <f>IFERROR(MATCH(302,资金台帐!$Q$7:$Q$3006,0),"")</f>
      </c>
      <c r="I305" s="141">
        <f>IF($O305="","",302)</f>
      </c>
      <c r="J305" s="140">
        <f>IF($O305="","",INDEX(资金台帐!$B$7:$B$3006,$O305))</f>
      </c>
      <c r="K305" s="141">
        <f>IF($O305="","",INDEX(资金台帐!$K$7:$K$3006,$O305))</f>
      </c>
      <c r="L305" s="172">
        <f>IF($O305="","",-INDEX(资金台帐!$S$7:$S$3006,$O305))</f>
      </c>
      <c r="M305" s="141">
        <f>IF($O305="","",INDEX(资金台帐!$C$7:$C$3006,$O305))</f>
      </c>
      <c r="N305" s="142">
        <f>IF($O305="","",INDEX(资金台帐!$E$7:$E$3006,$O305))</f>
      </c>
      <c r="O305" s="78">
        <f>IFERROR(MATCH(302,资金台帐!$R$7:$R$3006,0),"")</f>
      </c>
    </row>
    <row r="306">
      <c r="A306" s="141">
        <f>IF($G306="","",303)</f>
      </c>
      <c r="B306" s="140">
        <f>IF($G306="","",INDEX(资金台帐!$B$7:$B$3006,$G306))</f>
      </c>
      <c r="C306" s="141">
        <f>IF($G306="","",INDEX(资金台帐!$J$7:$J$3006,$G306))</f>
      </c>
      <c r="D306" s="172">
        <f>IF($G306="","",INDEX(资金台帐!$S$7:$S$3006,$G306))</f>
      </c>
      <c r="E306" s="141">
        <f>IF($G306="","",INDEX(资金台帐!$C$7:$C$3006,$G306))</f>
      </c>
      <c r="F306" s="142">
        <f>IF($G306="","",INDEX(资金台帐!$E$7:$E$3006,$G306)&amp;IF(INDEX(资金台帐!$M$7:$M$3006,$G306)="","","；"&amp;INDEX(资金台帐!$M$7:$M$3006,$G306)))</f>
      </c>
      <c r="G306" s="78">
        <f>IFERROR(MATCH(303,资金台帐!$Q$7:$Q$3006,0),"")</f>
      </c>
      <c r="I306" s="141">
        <f>IF($O306="","",303)</f>
      </c>
      <c r="J306" s="140">
        <f>IF($O306="","",INDEX(资金台帐!$B$7:$B$3006,$O306))</f>
      </c>
      <c r="K306" s="141">
        <f>IF($O306="","",INDEX(资金台帐!$K$7:$K$3006,$O306))</f>
      </c>
      <c r="L306" s="172">
        <f>IF($O306="","",-INDEX(资金台帐!$S$7:$S$3006,$O306))</f>
      </c>
      <c r="M306" s="141">
        <f>IF($O306="","",INDEX(资金台帐!$C$7:$C$3006,$O306))</f>
      </c>
      <c r="N306" s="142">
        <f>IF($O306="","",INDEX(资金台帐!$E$7:$E$3006,$O306))</f>
      </c>
      <c r="O306" s="78">
        <f>IFERROR(MATCH(303,资金台帐!$R$7:$R$3006,0),"")</f>
      </c>
    </row>
    <row r="307">
      <c r="A307" s="141">
        <f>IF($G307="","",304)</f>
      </c>
      <c r="B307" s="140">
        <f>IF($G307="","",INDEX(资金台帐!$B$7:$B$3006,$G307))</f>
      </c>
      <c r="C307" s="141">
        <f>IF($G307="","",INDEX(资金台帐!$J$7:$J$3006,$G307))</f>
      </c>
      <c r="D307" s="172">
        <f>IF($G307="","",INDEX(资金台帐!$S$7:$S$3006,$G307))</f>
      </c>
      <c r="E307" s="141">
        <f>IF($G307="","",INDEX(资金台帐!$C$7:$C$3006,$G307))</f>
      </c>
      <c r="F307" s="142">
        <f>IF($G307="","",INDEX(资金台帐!$E$7:$E$3006,$G307)&amp;IF(INDEX(资金台帐!$M$7:$M$3006,$G307)="","","；"&amp;INDEX(资金台帐!$M$7:$M$3006,$G307)))</f>
      </c>
      <c r="G307" s="78">
        <f>IFERROR(MATCH(304,资金台帐!$Q$7:$Q$3006,0),"")</f>
      </c>
      <c r="I307" s="141">
        <f>IF($O307="","",304)</f>
      </c>
      <c r="J307" s="140">
        <f>IF($O307="","",INDEX(资金台帐!$B$7:$B$3006,$O307))</f>
      </c>
      <c r="K307" s="141">
        <f>IF($O307="","",INDEX(资金台帐!$K$7:$K$3006,$O307))</f>
      </c>
      <c r="L307" s="172">
        <f>IF($O307="","",-INDEX(资金台帐!$S$7:$S$3006,$O307))</f>
      </c>
      <c r="M307" s="141">
        <f>IF($O307="","",INDEX(资金台帐!$C$7:$C$3006,$O307))</f>
      </c>
      <c r="N307" s="142">
        <f>IF($O307="","",INDEX(资金台帐!$E$7:$E$3006,$O307))</f>
      </c>
      <c r="O307" s="78">
        <f>IFERROR(MATCH(304,资金台帐!$R$7:$R$3006,0),"")</f>
      </c>
    </row>
    <row r="308">
      <c r="A308" s="141">
        <f>IF($G308="","",305)</f>
      </c>
      <c r="B308" s="140">
        <f>IF($G308="","",INDEX(资金台帐!$B$7:$B$3006,$G308))</f>
      </c>
      <c r="C308" s="141">
        <f>IF($G308="","",INDEX(资金台帐!$J$7:$J$3006,$G308))</f>
      </c>
      <c r="D308" s="172">
        <f>IF($G308="","",INDEX(资金台帐!$S$7:$S$3006,$G308))</f>
      </c>
      <c r="E308" s="141">
        <f>IF($G308="","",INDEX(资金台帐!$C$7:$C$3006,$G308))</f>
      </c>
      <c r="F308" s="142">
        <f>IF($G308="","",INDEX(资金台帐!$E$7:$E$3006,$G308)&amp;IF(INDEX(资金台帐!$M$7:$M$3006,$G308)="","","；"&amp;INDEX(资金台帐!$M$7:$M$3006,$G308)))</f>
      </c>
      <c r="G308" s="78">
        <f>IFERROR(MATCH(305,资金台帐!$Q$7:$Q$3006,0),"")</f>
      </c>
      <c r="I308" s="141">
        <f>IF($O308="","",305)</f>
      </c>
      <c r="J308" s="140">
        <f>IF($O308="","",INDEX(资金台帐!$B$7:$B$3006,$O308))</f>
      </c>
      <c r="K308" s="141">
        <f>IF($O308="","",INDEX(资金台帐!$K$7:$K$3006,$O308))</f>
      </c>
      <c r="L308" s="172">
        <f>IF($O308="","",-INDEX(资金台帐!$S$7:$S$3006,$O308))</f>
      </c>
      <c r="M308" s="141">
        <f>IF($O308="","",INDEX(资金台帐!$C$7:$C$3006,$O308))</f>
      </c>
      <c r="N308" s="142">
        <f>IF($O308="","",INDEX(资金台帐!$E$7:$E$3006,$O308))</f>
      </c>
      <c r="O308" s="78">
        <f>IFERROR(MATCH(305,资金台帐!$R$7:$R$3006,0),"")</f>
      </c>
    </row>
    <row r="309">
      <c r="A309" s="141">
        <f>IF($G309="","",306)</f>
      </c>
      <c r="B309" s="140">
        <f>IF($G309="","",INDEX(资金台帐!$B$7:$B$3006,$G309))</f>
      </c>
      <c r="C309" s="141">
        <f>IF($G309="","",INDEX(资金台帐!$J$7:$J$3006,$G309))</f>
      </c>
      <c r="D309" s="172">
        <f>IF($G309="","",INDEX(资金台帐!$S$7:$S$3006,$G309))</f>
      </c>
      <c r="E309" s="141">
        <f>IF($G309="","",INDEX(资金台帐!$C$7:$C$3006,$G309))</f>
      </c>
      <c r="F309" s="142">
        <f>IF($G309="","",INDEX(资金台帐!$E$7:$E$3006,$G309)&amp;IF(INDEX(资金台帐!$M$7:$M$3006,$G309)="","","；"&amp;INDEX(资金台帐!$M$7:$M$3006,$G309)))</f>
      </c>
      <c r="G309" s="78">
        <f>IFERROR(MATCH(306,资金台帐!$Q$7:$Q$3006,0),"")</f>
      </c>
      <c r="I309" s="141">
        <f>IF($O309="","",306)</f>
      </c>
      <c r="J309" s="140">
        <f>IF($O309="","",INDEX(资金台帐!$B$7:$B$3006,$O309))</f>
      </c>
      <c r="K309" s="141">
        <f>IF($O309="","",INDEX(资金台帐!$K$7:$K$3006,$O309))</f>
      </c>
      <c r="L309" s="172">
        <f>IF($O309="","",-INDEX(资金台帐!$S$7:$S$3006,$O309))</f>
      </c>
      <c r="M309" s="141">
        <f>IF($O309="","",INDEX(资金台帐!$C$7:$C$3006,$O309))</f>
      </c>
      <c r="N309" s="142">
        <f>IF($O309="","",INDEX(资金台帐!$E$7:$E$3006,$O309))</f>
      </c>
      <c r="O309" s="78">
        <f>IFERROR(MATCH(306,资金台帐!$R$7:$R$3006,0),"")</f>
      </c>
    </row>
    <row r="310">
      <c r="A310" s="141">
        <f>IF($G310="","",307)</f>
      </c>
      <c r="B310" s="140">
        <f>IF($G310="","",INDEX(资金台帐!$B$7:$B$3006,$G310))</f>
      </c>
      <c r="C310" s="141">
        <f>IF($G310="","",INDEX(资金台帐!$J$7:$J$3006,$G310))</f>
      </c>
      <c r="D310" s="172">
        <f>IF($G310="","",INDEX(资金台帐!$S$7:$S$3006,$G310))</f>
      </c>
      <c r="E310" s="141">
        <f>IF($G310="","",INDEX(资金台帐!$C$7:$C$3006,$G310))</f>
      </c>
      <c r="F310" s="142">
        <f>IF($G310="","",INDEX(资金台帐!$E$7:$E$3006,$G310)&amp;IF(INDEX(资金台帐!$M$7:$M$3006,$G310)="","","；"&amp;INDEX(资金台帐!$M$7:$M$3006,$G310)))</f>
      </c>
      <c r="G310" s="78">
        <f>IFERROR(MATCH(307,资金台帐!$Q$7:$Q$3006,0),"")</f>
      </c>
      <c r="I310" s="141">
        <f>IF($O310="","",307)</f>
      </c>
      <c r="J310" s="140">
        <f>IF($O310="","",INDEX(资金台帐!$B$7:$B$3006,$O310))</f>
      </c>
      <c r="K310" s="141">
        <f>IF($O310="","",INDEX(资金台帐!$K$7:$K$3006,$O310))</f>
      </c>
      <c r="L310" s="172">
        <f>IF($O310="","",-INDEX(资金台帐!$S$7:$S$3006,$O310))</f>
      </c>
      <c r="M310" s="141">
        <f>IF($O310="","",INDEX(资金台帐!$C$7:$C$3006,$O310))</f>
      </c>
      <c r="N310" s="142">
        <f>IF($O310="","",INDEX(资金台帐!$E$7:$E$3006,$O310))</f>
      </c>
      <c r="O310" s="78">
        <f>IFERROR(MATCH(307,资金台帐!$R$7:$R$3006,0),"")</f>
      </c>
    </row>
    <row r="311">
      <c r="A311" s="141">
        <f>IF($G311="","",308)</f>
      </c>
      <c r="B311" s="140">
        <f>IF($G311="","",INDEX(资金台帐!$B$7:$B$3006,$G311))</f>
      </c>
      <c r="C311" s="141">
        <f>IF($G311="","",INDEX(资金台帐!$J$7:$J$3006,$G311))</f>
      </c>
      <c r="D311" s="172">
        <f>IF($G311="","",INDEX(资金台帐!$S$7:$S$3006,$G311))</f>
      </c>
      <c r="E311" s="141">
        <f>IF($G311="","",INDEX(资金台帐!$C$7:$C$3006,$G311))</f>
      </c>
      <c r="F311" s="142">
        <f>IF($G311="","",INDEX(资金台帐!$E$7:$E$3006,$G311)&amp;IF(INDEX(资金台帐!$M$7:$M$3006,$G311)="","","；"&amp;INDEX(资金台帐!$M$7:$M$3006,$G311)))</f>
      </c>
      <c r="G311" s="78">
        <f>IFERROR(MATCH(308,资金台帐!$Q$7:$Q$3006,0),"")</f>
      </c>
      <c r="I311" s="141">
        <f>IF($O311="","",308)</f>
      </c>
      <c r="J311" s="140">
        <f>IF($O311="","",INDEX(资金台帐!$B$7:$B$3006,$O311))</f>
      </c>
      <c r="K311" s="141">
        <f>IF($O311="","",INDEX(资金台帐!$K$7:$K$3006,$O311))</f>
      </c>
      <c r="L311" s="172">
        <f>IF($O311="","",-INDEX(资金台帐!$S$7:$S$3006,$O311))</f>
      </c>
      <c r="M311" s="141">
        <f>IF($O311="","",INDEX(资金台帐!$C$7:$C$3006,$O311))</f>
      </c>
      <c r="N311" s="142">
        <f>IF($O311="","",INDEX(资金台帐!$E$7:$E$3006,$O311))</f>
      </c>
      <c r="O311" s="78">
        <f>IFERROR(MATCH(308,资金台帐!$R$7:$R$3006,0),"")</f>
      </c>
    </row>
    <row r="312">
      <c r="A312" s="141">
        <f>IF($G312="","",309)</f>
      </c>
      <c r="B312" s="140">
        <f>IF($G312="","",INDEX(资金台帐!$B$7:$B$3006,$G312))</f>
      </c>
      <c r="C312" s="141">
        <f>IF($G312="","",INDEX(资金台帐!$J$7:$J$3006,$G312))</f>
      </c>
      <c r="D312" s="172">
        <f>IF($G312="","",INDEX(资金台帐!$S$7:$S$3006,$G312))</f>
      </c>
      <c r="E312" s="141">
        <f>IF($G312="","",INDEX(资金台帐!$C$7:$C$3006,$G312))</f>
      </c>
      <c r="F312" s="142">
        <f>IF($G312="","",INDEX(资金台帐!$E$7:$E$3006,$G312)&amp;IF(INDEX(资金台帐!$M$7:$M$3006,$G312)="","","；"&amp;INDEX(资金台帐!$M$7:$M$3006,$G312)))</f>
      </c>
      <c r="G312" s="78">
        <f>IFERROR(MATCH(309,资金台帐!$Q$7:$Q$3006,0),"")</f>
      </c>
      <c r="I312" s="141">
        <f>IF($O312="","",309)</f>
      </c>
      <c r="J312" s="140">
        <f>IF($O312="","",INDEX(资金台帐!$B$7:$B$3006,$O312))</f>
      </c>
      <c r="K312" s="141">
        <f>IF($O312="","",INDEX(资金台帐!$K$7:$K$3006,$O312))</f>
      </c>
      <c r="L312" s="172">
        <f>IF($O312="","",-INDEX(资金台帐!$S$7:$S$3006,$O312))</f>
      </c>
      <c r="M312" s="141">
        <f>IF($O312="","",INDEX(资金台帐!$C$7:$C$3006,$O312))</f>
      </c>
      <c r="N312" s="142">
        <f>IF($O312="","",INDEX(资金台帐!$E$7:$E$3006,$O312))</f>
      </c>
      <c r="O312" s="78">
        <f>IFERROR(MATCH(309,资金台帐!$R$7:$R$3006,0),"")</f>
      </c>
    </row>
    <row r="313">
      <c r="A313" s="141">
        <f>IF($G313="","",310)</f>
      </c>
      <c r="B313" s="140">
        <f>IF($G313="","",INDEX(资金台帐!$B$7:$B$3006,$G313))</f>
      </c>
      <c r="C313" s="141">
        <f>IF($G313="","",INDEX(资金台帐!$J$7:$J$3006,$G313))</f>
      </c>
      <c r="D313" s="172">
        <f>IF($G313="","",INDEX(资金台帐!$S$7:$S$3006,$G313))</f>
      </c>
      <c r="E313" s="141">
        <f>IF($G313="","",INDEX(资金台帐!$C$7:$C$3006,$G313))</f>
      </c>
      <c r="F313" s="142">
        <f>IF($G313="","",INDEX(资金台帐!$E$7:$E$3006,$G313)&amp;IF(INDEX(资金台帐!$M$7:$M$3006,$G313)="","","；"&amp;INDEX(资金台帐!$M$7:$M$3006,$G313)))</f>
      </c>
      <c r="G313" s="78">
        <f>IFERROR(MATCH(310,资金台帐!$Q$7:$Q$3006,0),"")</f>
      </c>
      <c r="I313" s="141">
        <f>IF($O313="","",310)</f>
      </c>
      <c r="J313" s="140">
        <f>IF($O313="","",INDEX(资金台帐!$B$7:$B$3006,$O313))</f>
      </c>
      <c r="K313" s="141">
        <f>IF($O313="","",INDEX(资金台帐!$K$7:$K$3006,$O313))</f>
      </c>
      <c r="L313" s="172">
        <f>IF($O313="","",-INDEX(资金台帐!$S$7:$S$3006,$O313))</f>
      </c>
      <c r="M313" s="141">
        <f>IF($O313="","",INDEX(资金台帐!$C$7:$C$3006,$O313))</f>
      </c>
      <c r="N313" s="142">
        <f>IF($O313="","",INDEX(资金台帐!$E$7:$E$3006,$O313))</f>
      </c>
      <c r="O313" s="78">
        <f>IFERROR(MATCH(310,资金台帐!$R$7:$R$3006,0),"")</f>
      </c>
    </row>
    <row r="314">
      <c r="A314" s="141">
        <f>IF($G314="","",311)</f>
      </c>
      <c r="B314" s="140">
        <f>IF($G314="","",INDEX(资金台帐!$B$7:$B$3006,$G314))</f>
      </c>
      <c r="C314" s="141">
        <f>IF($G314="","",INDEX(资金台帐!$J$7:$J$3006,$G314))</f>
      </c>
      <c r="D314" s="172">
        <f>IF($G314="","",INDEX(资金台帐!$S$7:$S$3006,$G314))</f>
      </c>
      <c r="E314" s="141">
        <f>IF($G314="","",INDEX(资金台帐!$C$7:$C$3006,$G314))</f>
      </c>
      <c r="F314" s="142">
        <f>IF($G314="","",INDEX(资金台帐!$E$7:$E$3006,$G314)&amp;IF(INDEX(资金台帐!$M$7:$M$3006,$G314)="","","；"&amp;INDEX(资金台帐!$M$7:$M$3006,$G314)))</f>
      </c>
      <c r="G314" s="78">
        <f>IFERROR(MATCH(311,资金台帐!$Q$7:$Q$3006,0),"")</f>
      </c>
      <c r="I314" s="141">
        <f>IF($O314="","",311)</f>
      </c>
      <c r="J314" s="140">
        <f>IF($O314="","",INDEX(资金台帐!$B$7:$B$3006,$O314))</f>
      </c>
      <c r="K314" s="141">
        <f>IF($O314="","",INDEX(资金台帐!$K$7:$K$3006,$O314))</f>
      </c>
      <c r="L314" s="172">
        <f>IF($O314="","",-INDEX(资金台帐!$S$7:$S$3006,$O314))</f>
      </c>
      <c r="M314" s="141">
        <f>IF($O314="","",INDEX(资金台帐!$C$7:$C$3006,$O314))</f>
      </c>
      <c r="N314" s="142">
        <f>IF($O314="","",INDEX(资金台帐!$E$7:$E$3006,$O314))</f>
      </c>
      <c r="O314" s="78">
        <f>IFERROR(MATCH(311,资金台帐!$R$7:$R$3006,0),"")</f>
      </c>
    </row>
    <row r="315">
      <c r="A315" s="141">
        <f>IF($G315="","",312)</f>
      </c>
      <c r="B315" s="140">
        <f>IF($G315="","",INDEX(资金台帐!$B$7:$B$3006,$G315))</f>
      </c>
      <c r="C315" s="141">
        <f>IF($G315="","",INDEX(资金台帐!$J$7:$J$3006,$G315))</f>
      </c>
      <c r="D315" s="172">
        <f>IF($G315="","",INDEX(资金台帐!$S$7:$S$3006,$G315))</f>
      </c>
      <c r="E315" s="141">
        <f>IF($G315="","",INDEX(资金台帐!$C$7:$C$3006,$G315))</f>
      </c>
      <c r="F315" s="142">
        <f>IF($G315="","",INDEX(资金台帐!$E$7:$E$3006,$G315)&amp;IF(INDEX(资金台帐!$M$7:$M$3006,$G315)="","","；"&amp;INDEX(资金台帐!$M$7:$M$3006,$G315)))</f>
      </c>
      <c r="G315" s="78">
        <f>IFERROR(MATCH(312,资金台帐!$Q$7:$Q$3006,0),"")</f>
      </c>
      <c r="I315" s="141">
        <f>IF($O315="","",312)</f>
      </c>
      <c r="J315" s="140">
        <f>IF($O315="","",INDEX(资金台帐!$B$7:$B$3006,$O315))</f>
      </c>
      <c r="K315" s="141">
        <f>IF($O315="","",INDEX(资金台帐!$K$7:$K$3006,$O315))</f>
      </c>
      <c r="L315" s="172">
        <f>IF($O315="","",-INDEX(资金台帐!$S$7:$S$3006,$O315))</f>
      </c>
      <c r="M315" s="141">
        <f>IF($O315="","",INDEX(资金台帐!$C$7:$C$3006,$O315))</f>
      </c>
      <c r="N315" s="142">
        <f>IF($O315="","",INDEX(资金台帐!$E$7:$E$3006,$O315))</f>
      </c>
      <c r="O315" s="78">
        <f>IFERROR(MATCH(312,资金台帐!$R$7:$R$3006,0),"")</f>
      </c>
    </row>
    <row r="316">
      <c r="A316" s="141">
        <f>IF($G316="","",313)</f>
      </c>
      <c r="B316" s="140">
        <f>IF($G316="","",INDEX(资金台帐!$B$7:$B$3006,$G316))</f>
      </c>
      <c r="C316" s="141">
        <f>IF($G316="","",INDEX(资金台帐!$J$7:$J$3006,$G316))</f>
      </c>
      <c r="D316" s="172">
        <f>IF($G316="","",INDEX(资金台帐!$S$7:$S$3006,$G316))</f>
      </c>
      <c r="E316" s="141">
        <f>IF($G316="","",INDEX(资金台帐!$C$7:$C$3006,$G316))</f>
      </c>
      <c r="F316" s="142">
        <f>IF($G316="","",INDEX(资金台帐!$E$7:$E$3006,$G316)&amp;IF(INDEX(资金台帐!$M$7:$M$3006,$G316)="","","；"&amp;INDEX(资金台帐!$M$7:$M$3006,$G316)))</f>
      </c>
      <c r="G316" s="78">
        <f>IFERROR(MATCH(313,资金台帐!$Q$7:$Q$3006,0),"")</f>
      </c>
      <c r="I316" s="141">
        <f>IF($O316="","",313)</f>
      </c>
      <c r="J316" s="140">
        <f>IF($O316="","",INDEX(资金台帐!$B$7:$B$3006,$O316))</f>
      </c>
      <c r="K316" s="141">
        <f>IF($O316="","",INDEX(资金台帐!$K$7:$K$3006,$O316))</f>
      </c>
      <c r="L316" s="172">
        <f>IF($O316="","",-INDEX(资金台帐!$S$7:$S$3006,$O316))</f>
      </c>
      <c r="M316" s="141">
        <f>IF($O316="","",INDEX(资金台帐!$C$7:$C$3006,$O316))</f>
      </c>
      <c r="N316" s="142">
        <f>IF($O316="","",INDEX(资金台帐!$E$7:$E$3006,$O316))</f>
      </c>
      <c r="O316" s="78">
        <f>IFERROR(MATCH(313,资金台帐!$R$7:$R$3006,0),"")</f>
      </c>
    </row>
    <row r="317">
      <c r="A317" s="141">
        <f>IF($G317="","",314)</f>
      </c>
      <c r="B317" s="140">
        <f>IF($G317="","",INDEX(资金台帐!$B$7:$B$3006,$G317))</f>
      </c>
      <c r="C317" s="141">
        <f>IF($G317="","",INDEX(资金台帐!$J$7:$J$3006,$G317))</f>
      </c>
      <c r="D317" s="172">
        <f>IF($G317="","",INDEX(资金台帐!$S$7:$S$3006,$G317))</f>
      </c>
      <c r="E317" s="141">
        <f>IF($G317="","",INDEX(资金台帐!$C$7:$C$3006,$G317))</f>
      </c>
      <c r="F317" s="142">
        <f>IF($G317="","",INDEX(资金台帐!$E$7:$E$3006,$G317)&amp;IF(INDEX(资金台帐!$M$7:$M$3006,$G317)="","","；"&amp;INDEX(资金台帐!$M$7:$M$3006,$G317)))</f>
      </c>
      <c r="G317" s="78">
        <f>IFERROR(MATCH(314,资金台帐!$Q$7:$Q$3006,0),"")</f>
      </c>
      <c r="I317" s="141">
        <f>IF($O317="","",314)</f>
      </c>
      <c r="J317" s="140">
        <f>IF($O317="","",INDEX(资金台帐!$B$7:$B$3006,$O317))</f>
      </c>
      <c r="K317" s="141">
        <f>IF($O317="","",INDEX(资金台帐!$K$7:$K$3006,$O317))</f>
      </c>
      <c r="L317" s="172">
        <f>IF($O317="","",-INDEX(资金台帐!$S$7:$S$3006,$O317))</f>
      </c>
      <c r="M317" s="141">
        <f>IF($O317="","",INDEX(资金台帐!$C$7:$C$3006,$O317))</f>
      </c>
      <c r="N317" s="142">
        <f>IF($O317="","",INDEX(资金台帐!$E$7:$E$3006,$O317))</f>
      </c>
      <c r="O317" s="78">
        <f>IFERROR(MATCH(314,资金台帐!$R$7:$R$3006,0),"")</f>
      </c>
    </row>
    <row r="318">
      <c r="A318" s="141">
        <f>IF($G318="","",315)</f>
      </c>
      <c r="B318" s="140">
        <f>IF($G318="","",INDEX(资金台帐!$B$7:$B$3006,$G318))</f>
      </c>
      <c r="C318" s="141">
        <f>IF($G318="","",INDEX(资金台帐!$J$7:$J$3006,$G318))</f>
      </c>
      <c r="D318" s="172">
        <f>IF($G318="","",INDEX(资金台帐!$S$7:$S$3006,$G318))</f>
      </c>
      <c r="E318" s="141">
        <f>IF($G318="","",INDEX(资金台帐!$C$7:$C$3006,$G318))</f>
      </c>
      <c r="F318" s="142">
        <f>IF($G318="","",INDEX(资金台帐!$E$7:$E$3006,$G318)&amp;IF(INDEX(资金台帐!$M$7:$M$3006,$G318)="","","；"&amp;INDEX(资金台帐!$M$7:$M$3006,$G318)))</f>
      </c>
      <c r="G318" s="78">
        <f>IFERROR(MATCH(315,资金台帐!$Q$7:$Q$3006,0),"")</f>
      </c>
      <c r="I318" s="141">
        <f>IF($O318="","",315)</f>
      </c>
      <c r="J318" s="140">
        <f>IF($O318="","",INDEX(资金台帐!$B$7:$B$3006,$O318))</f>
      </c>
      <c r="K318" s="141">
        <f>IF($O318="","",INDEX(资金台帐!$K$7:$K$3006,$O318))</f>
      </c>
      <c r="L318" s="172">
        <f>IF($O318="","",-INDEX(资金台帐!$S$7:$S$3006,$O318))</f>
      </c>
      <c r="M318" s="141">
        <f>IF($O318="","",INDEX(资金台帐!$C$7:$C$3006,$O318))</f>
      </c>
      <c r="N318" s="142">
        <f>IF($O318="","",INDEX(资金台帐!$E$7:$E$3006,$O318))</f>
      </c>
      <c r="O318" s="78">
        <f>IFERROR(MATCH(315,资金台帐!$R$7:$R$3006,0),"")</f>
      </c>
    </row>
    <row r="319">
      <c r="A319" s="141">
        <f>IF($G319="","",316)</f>
      </c>
      <c r="B319" s="140">
        <f>IF($G319="","",INDEX(资金台帐!$B$7:$B$3006,$G319))</f>
      </c>
      <c r="C319" s="141">
        <f>IF($G319="","",INDEX(资金台帐!$J$7:$J$3006,$G319))</f>
      </c>
      <c r="D319" s="172">
        <f>IF($G319="","",INDEX(资金台帐!$S$7:$S$3006,$G319))</f>
      </c>
      <c r="E319" s="141">
        <f>IF($G319="","",INDEX(资金台帐!$C$7:$C$3006,$G319))</f>
      </c>
      <c r="F319" s="142">
        <f>IF($G319="","",INDEX(资金台帐!$E$7:$E$3006,$G319)&amp;IF(INDEX(资金台帐!$M$7:$M$3006,$G319)="","","；"&amp;INDEX(资金台帐!$M$7:$M$3006,$G319)))</f>
      </c>
      <c r="G319" s="78">
        <f>IFERROR(MATCH(316,资金台帐!$Q$7:$Q$3006,0),"")</f>
      </c>
      <c r="I319" s="141">
        <f>IF($O319="","",316)</f>
      </c>
      <c r="J319" s="140">
        <f>IF($O319="","",INDEX(资金台帐!$B$7:$B$3006,$O319))</f>
      </c>
      <c r="K319" s="141">
        <f>IF($O319="","",INDEX(资金台帐!$K$7:$K$3006,$O319))</f>
      </c>
      <c r="L319" s="172">
        <f>IF($O319="","",-INDEX(资金台帐!$S$7:$S$3006,$O319))</f>
      </c>
      <c r="M319" s="141">
        <f>IF($O319="","",INDEX(资金台帐!$C$7:$C$3006,$O319))</f>
      </c>
      <c r="N319" s="142">
        <f>IF($O319="","",INDEX(资金台帐!$E$7:$E$3006,$O319))</f>
      </c>
      <c r="O319" s="78">
        <f>IFERROR(MATCH(316,资金台帐!$R$7:$R$3006,0),"")</f>
      </c>
    </row>
    <row r="320">
      <c r="A320" s="141">
        <f>IF($G320="","",317)</f>
      </c>
      <c r="B320" s="140">
        <f>IF($G320="","",INDEX(资金台帐!$B$7:$B$3006,$G320))</f>
      </c>
      <c r="C320" s="141">
        <f>IF($G320="","",INDEX(资金台帐!$J$7:$J$3006,$G320))</f>
      </c>
      <c r="D320" s="172">
        <f>IF($G320="","",INDEX(资金台帐!$S$7:$S$3006,$G320))</f>
      </c>
      <c r="E320" s="141">
        <f>IF($G320="","",INDEX(资金台帐!$C$7:$C$3006,$G320))</f>
      </c>
      <c r="F320" s="142">
        <f>IF($G320="","",INDEX(资金台帐!$E$7:$E$3006,$G320)&amp;IF(INDEX(资金台帐!$M$7:$M$3006,$G320)="","","；"&amp;INDEX(资金台帐!$M$7:$M$3006,$G320)))</f>
      </c>
      <c r="G320" s="78">
        <f>IFERROR(MATCH(317,资金台帐!$Q$7:$Q$3006,0),"")</f>
      </c>
      <c r="I320" s="141">
        <f>IF($O320="","",317)</f>
      </c>
      <c r="J320" s="140">
        <f>IF($O320="","",INDEX(资金台帐!$B$7:$B$3006,$O320))</f>
      </c>
      <c r="K320" s="141">
        <f>IF($O320="","",INDEX(资金台帐!$K$7:$K$3006,$O320))</f>
      </c>
      <c r="L320" s="172">
        <f>IF($O320="","",-INDEX(资金台帐!$S$7:$S$3006,$O320))</f>
      </c>
      <c r="M320" s="141">
        <f>IF($O320="","",INDEX(资金台帐!$C$7:$C$3006,$O320))</f>
      </c>
      <c r="N320" s="142">
        <f>IF($O320="","",INDEX(资金台帐!$E$7:$E$3006,$O320))</f>
      </c>
      <c r="O320" s="78">
        <f>IFERROR(MATCH(317,资金台帐!$R$7:$R$3006,0),"")</f>
      </c>
    </row>
    <row r="321">
      <c r="A321" s="141">
        <f>IF($G321="","",318)</f>
      </c>
      <c r="B321" s="140">
        <f>IF($G321="","",INDEX(资金台帐!$B$7:$B$3006,$G321))</f>
      </c>
      <c r="C321" s="141">
        <f>IF($G321="","",INDEX(资金台帐!$J$7:$J$3006,$G321))</f>
      </c>
      <c r="D321" s="172">
        <f>IF($G321="","",INDEX(资金台帐!$S$7:$S$3006,$G321))</f>
      </c>
      <c r="E321" s="141">
        <f>IF($G321="","",INDEX(资金台帐!$C$7:$C$3006,$G321))</f>
      </c>
      <c r="F321" s="142">
        <f>IF($G321="","",INDEX(资金台帐!$E$7:$E$3006,$G321)&amp;IF(INDEX(资金台帐!$M$7:$M$3006,$G321)="","","；"&amp;INDEX(资金台帐!$M$7:$M$3006,$G321)))</f>
      </c>
      <c r="G321" s="78">
        <f>IFERROR(MATCH(318,资金台帐!$Q$7:$Q$3006,0),"")</f>
      </c>
      <c r="I321" s="141">
        <f>IF($O321="","",318)</f>
      </c>
      <c r="J321" s="140">
        <f>IF($O321="","",INDEX(资金台帐!$B$7:$B$3006,$O321))</f>
      </c>
      <c r="K321" s="141">
        <f>IF($O321="","",INDEX(资金台帐!$K$7:$K$3006,$O321))</f>
      </c>
      <c r="L321" s="172">
        <f>IF($O321="","",-INDEX(资金台帐!$S$7:$S$3006,$O321))</f>
      </c>
      <c r="M321" s="141">
        <f>IF($O321="","",INDEX(资金台帐!$C$7:$C$3006,$O321))</f>
      </c>
      <c r="N321" s="142">
        <f>IF($O321="","",INDEX(资金台帐!$E$7:$E$3006,$O321))</f>
      </c>
      <c r="O321" s="78">
        <f>IFERROR(MATCH(318,资金台帐!$R$7:$R$3006,0),"")</f>
      </c>
    </row>
    <row r="322">
      <c r="A322" s="141">
        <f>IF($G322="","",319)</f>
      </c>
      <c r="B322" s="140">
        <f>IF($G322="","",INDEX(资金台帐!$B$7:$B$3006,$G322))</f>
      </c>
      <c r="C322" s="141">
        <f>IF($G322="","",INDEX(资金台帐!$J$7:$J$3006,$G322))</f>
      </c>
      <c r="D322" s="172">
        <f>IF($G322="","",INDEX(资金台帐!$S$7:$S$3006,$G322))</f>
      </c>
      <c r="E322" s="141">
        <f>IF($G322="","",INDEX(资金台帐!$C$7:$C$3006,$G322))</f>
      </c>
      <c r="F322" s="142">
        <f>IF($G322="","",INDEX(资金台帐!$E$7:$E$3006,$G322)&amp;IF(INDEX(资金台帐!$M$7:$M$3006,$G322)="","","；"&amp;INDEX(资金台帐!$M$7:$M$3006,$G322)))</f>
      </c>
      <c r="G322" s="78">
        <f>IFERROR(MATCH(319,资金台帐!$Q$7:$Q$3006,0),"")</f>
      </c>
      <c r="I322" s="141">
        <f>IF($O322="","",319)</f>
      </c>
      <c r="J322" s="140">
        <f>IF($O322="","",INDEX(资金台帐!$B$7:$B$3006,$O322))</f>
      </c>
      <c r="K322" s="141">
        <f>IF($O322="","",INDEX(资金台帐!$K$7:$K$3006,$O322))</f>
      </c>
      <c r="L322" s="172">
        <f>IF($O322="","",-INDEX(资金台帐!$S$7:$S$3006,$O322))</f>
      </c>
      <c r="M322" s="141">
        <f>IF($O322="","",INDEX(资金台帐!$C$7:$C$3006,$O322))</f>
      </c>
      <c r="N322" s="142">
        <f>IF($O322="","",INDEX(资金台帐!$E$7:$E$3006,$O322))</f>
      </c>
      <c r="O322" s="78">
        <f>IFERROR(MATCH(319,资金台帐!$R$7:$R$3006,0),"")</f>
      </c>
    </row>
    <row r="323">
      <c r="A323" s="141">
        <f>IF($G323="","",320)</f>
      </c>
      <c r="B323" s="140">
        <f>IF($G323="","",INDEX(资金台帐!$B$7:$B$3006,$G323))</f>
      </c>
      <c r="C323" s="141">
        <f>IF($G323="","",INDEX(资金台帐!$J$7:$J$3006,$G323))</f>
      </c>
      <c r="D323" s="172">
        <f>IF($G323="","",INDEX(资金台帐!$S$7:$S$3006,$G323))</f>
      </c>
      <c r="E323" s="141">
        <f>IF($G323="","",INDEX(资金台帐!$C$7:$C$3006,$G323))</f>
      </c>
      <c r="F323" s="142">
        <f>IF($G323="","",INDEX(资金台帐!$E$7:$E$3006,$G323)&amp;IF(INDEX(资金台帐!$M$7:$M$3006,$G323)="","","；"&amp;INDEX(资金台帐!$M$7:$M$3006,$G323)))</f>
      </c>
      <c r="G323" s="78">
        <f>IFERROR(MATCH(320,资金台帐!$Q$7:$Q$3006,0),"")</f>
      </c>
      <c r="I323" s="141">
        <f>IF($O323="","",320)</f>
      </c>
      <c r="J323" s="140">
        <f>IF($O323="","",INDEX(资金台帐!$B$7:$B$3006,$O323))</f>
      </c>
      <c r="K323" s="141">
        <f>IF($O323="","",INDEX(资金台帐!$K$7:$K$3006,$O323))</f>
      </c>
      <c r="L323" s="172">
        <f>IF($O323="","",-INDEX(资金台帐!$S$7:$S$3006,$O323))</f>
      </c>
      <c r="M323" s="141">
        <f>IF($O323="","",INDEX(资金台帐!$C$7:$C$3006,$O323))</f>
      </c>
      <c r="N323" s="142">
        <f>IF($O323="","",INDEX(资金台帐!$E$7:$E$3006,$O323))</f>
      </c>
      <c r="O323" s="78">
        <f>IFERROR(MATCH(320,资金台帐!$R$7:$R$3006,0),"")</f>
      </c>
    </row>
    <row r="324">
      <c r="A324" s="141">
        <f>IF($G324="","",321)</f>
      </c>
      <c r="B324" s="140">
        <f>IF($G324="","",INDEX(资金台帐!$B$7:$B$3006,$G324))</f>
      </c>
      <c r="C324" s="141">
        <f>IF($G324="","",INDEX(资金台帐!$J$7:$J$3006,$G324))</f>
      </c>
      <c r="D324" s="172">
        <f>IF($G324="","",INDEX(资金台帐!$S$7:$S$3006,$G324))</f>
      </c>
      <c r="E324" s="141">
        <f>IF($G324="","",INDEX(资金台帐!$C$7:$C$3006,$G324))</f>
      </c>
      <c r="F324" s="142">
        <f>IF($G324="","",INDEX(资金台帐!$E$7:$E$3006,$G324)&amp;IF(INDEX(资金台帐!$M$7:$M$3006,$G324)="","","；"&amp;INDEX(资金台帐!$M$7:$M$3006,$G324)))</f>
      </c>
      <c r="G324" s="78">
        <f>IFERROR(MATCH(321,资金台帐!$Q$7:$Q$3006,0),"")</f>
      </c>
      <c r="I324" s="141">
        <f>IF($O324="","",321)</f>
      </c>
      <c r="J324" s="140">
        <f>IF($O324="","",INDEX(资金台帐!$B$7:$B$3006,$O324))</f>
      </c>
      <c r="K324" s="141">
        <f>IF($O324="","",INDEX(资金台帐!$K$7:$K$3006,$O324))</f>
      </c>
      <c r="L324" s="172">
        <f>IF($O324="","",-INDEX(资金台帐!$S$7:$S$3006,$O324))</f>
      </c>
      <c r="M324" s="141">
        <f>IF($O324="","",INDEX(资金台帐!$C$7:$C$3006,$O324))</f>
      </c>
      <c r="N324" s="142">
        <f>IF($O324="","",INDEX(资金台帐!$E$7:$E$3006,$O324))</f>
      </c>
      <c r="O324" s="78">
        <f>IFERROR(MATCH(321,资金台帐!$R$7:$R$3006,0),"")</f>
      </c>
    </row>
    <row r="325">
      <c r="A325" s="141">
        <f>IF($G325="","",322)</f>
      </c>
      <c r="B325" s="140">
        <f>IF($G325="","",INDEX(资金台帐!$B$7:$B$3006,$G325))</f>
      </c>
      <c r="C325" s="141">
        <f>IF($G325="","",INDEX(资金台帐!$J$7:$J$3006,$G325))</f>
      </c>
      <c r="D325" s="172">
        <f>IF($G325="","",INDEX(资金台帐!$S$7:$S$3006,$G325))</f>
      </c>
      <c r="E325" s="141">
        <f>IF($G325="","",INDEX(资金台帐!$C$7:$C$3006,$G325))</f>
      </c>
      <c r="F325" s="142">
        <f>IF($G325="","",INDEX(资金台帐!$E$7:$E$3006,$G325)&amp;IF(INDEX(资金台帐!$M$7:$M$3006,$G325)="","","；"&amp;INDEX(资金台帐!$M$7:$M$3006,$G325)))</f>
      </c>
      <c r="G325" s="78">
        <f>IFERROR(MATCH(322,资金台帐!$Q$7:$Q$3006,0),"")</f>
      </c>
      <c r="I325" s="141">
        <f>IF($O325="","",322)</f>
      </c>
      <c r="J325" s="140">
        <f>IF($O325="","",INDEX(资金台帐!$B$7:$B$3006,$O325))</f>
      </c>
      <c r="K325" s="141">
        <f>IF($O325="","",INDEX(资金台帐!$K$7:$K$3006,$O325))</f>
      </c>
      <c r="L325" s="172">
        <f>IF($O325="","",-INDEX(资金台帐!$S$7:$S$3006,$O325))</f>
      </c>
      <c r="M325" s="141">
        <f>IF($O325="","",INDEX(资金台帐!$C$7:$C$3006,$O325))</f>
      </c>
      <c r="N325" s="142">
        <f>IF($O325="","",INDEX(资金台帐!$E$7:$E$3006,$O325))</f>
      </c>
      <c r="O325" s="78">
        <f>IFERROR(MATCH(322,资金台帐!$R$7:$R$3006,0),"")</f>
      </c>
    </row>
    <row r="326">
      <c r="A326" s="141">
        <f>IF($G326="","",323)</f>
      </c>
      <c r="B326" s="140">
        <f>IF($G326="","",INDEX(资金台帐!$B$7:$B$3006,$G326))</f>
      </c>
      <c r="C326" s="141">
        <f>IF($G326="","",INDEX(资金台帐!$J$7:$J$3006,$G326))</f>
      </c>
      <c r="D326" s="172">
        <f>IF($G326="","",INDEX(资金台帐!$S$7:$S$3006,$G326))</f>
      </c>
      <c r="E326" s="141">
        <f>IF($G326="","",INDEX(资金台帐!$C$7:$C$3006,$G326))</f>
      </c>
      <c r="F326" s="142">
        <f>IF($G326="","",INDEX(资金台帐!$E$7:$E$3006,$G326)&amp;IF(INDEX(资金台帐!$M$7:$M$3006,$G326)="","","；"&amp;INDEX(资金台帐!$M$7:$M$3006,$G326)))</f>
      </c>
      <c r="G326" s="78">
        <f>IFERROR(MATCH(323,资金台帐!$Q$7:$Q$3006,0),"")</f>
      </c>
      <c r="I326" s="141">
        <f>IF($O326="","",323)</f>
      </c>
      <c r="J326" s="140">
        <f>IF($O326="","",INDEX(资金台帐!$B$7:$B$3006,$O326))</f>
      </c>
      <c r="K326" s="141">
        <f>IF($O326="","",INDEX(资金台帐!$K$7:$K$3006,$O326))</f>
      </c>
      <c r="L326" s="172">
        <f>IF($O326="","",-INDEX(资金台帐!$S$7:$S$3006,$O326))</f>
      </c>
      <c r="M326" s="141">
        <f>IF($O326="","",INDEX(资金台帐!$C$7:$C$3006,$O326))</f>
      </c>
      <c r="N326" s="142">
        <f>IF($O326="","",INDEX(资金台帐!$E$7:$E$3006,$O326))</f>
      </c>
      <c r="O326" s="78">
        <f>IFERROR(MATCH(323,资金台帐!$R$7:$R$3006,0),"")</f>
      </c>
    </row>
    <row r="327">
      <c r="A327" s="141">
        <f>IF($G327="","",324)</f>
      </c>
      <c r="B327" s="140">
        <f>IF($G327="","",INDEX(资金台帐!$B$7:$B$3006,$G327))</f>
      </c>
      <c r="C327" s="141">
        <f>IF($G327="","",INDEX(资金台帐!$J$7:$J$3006,$G327))</f>
      </c>
      <c r="D327" s="172">
        <f>IF($G327="","",INDEX(资金台帐!$S$7:$S$3006,$G327))</f>
      </c>
      <c r="E327" s="141">
        <f>IF($G327="","",INDEX(资金台帐!$C$7:$C$3006,$G327))</f>
      </c>
      <c r="F327" s="142">
        <f>IF($G327="","",INDEX(资金台帐!$E$7:$E$3006,$G327)&amp;IF(INDEX(资金台帐!$M$7:$M$3006,$G327)="","","；"&amp;INDEX(资金台帐!$M$7:$M$3006,$G327)))</f>
      </c>
      <c r="G327" s="78">
        <f>IFERROR(MATCH(324,资金台帐!$Q$7:$Q$3006,0),"")</f>
      </c>
      <c r="I327" s="141">
        <f>IF($O327="","",324)</f>
      </c>
      <c r="J327" s="140">
        <f>IF($O327="","",INDEX(资金台帐!$B$7:$B$3006,$O327))</f>
      </c>
      <c r="K327" s="141">
        <f>IF($O327="","",INDEX(资金台帐!$K$7:$K$3006,$O327))</f>
      </c>
      <c r="L327" s="172">
        <f>IF($O327="","",-INDEX(资金台帐!$S$7:$S$3006,$O327))</f>
      </c>
      <c r="M327" s="141">
        <f>IF($O327="","",INDEX(资金台帐!$C$7:$C$3006,$O327))</f>
      </c>
      <c r="N327" s="142">
        <f>IF($O327="","",INDEX(资金台帐!$E$7:$E$3006,$O327))</f>
      </c>
      <c r="O327" s="78">
        <f>IFERROR(MATCH(324,资金台帐!$R$7:$R$3006,0),"")</f>
      </c>
    </row>
    <row r="328">
      <c r="A328" s="141">
        <f>IF($G328="","",325)</f>
      </c>
      <c r="B328" s="140">
        <f>IF($G328="","",INDEX(资金台帐!$B$7:$B$3006,$G328))</f>
      </c>
      <c r="C328" s="141">
        <f>IF($G328="","",INDEX(资金台帐!$J$7:$J$3006,$G328))</f>
      </c>
      <c r="D328" s="172">
        <f>IF($G328="","",INDEX(资金台帐!$S$7:$S$3006,$G328))</f>
      </c>
      <c r="E328" s="141">
        <f>IF($G328="","",INDEX(资金台帐!$C$7:$C$3006,$G328))</f>
      </c>
      <c r="F328" s="142">
        <f>IF($G328="","",INDEX(资金台帐!$E$7:$E$3006,$G328)&amp;IF(INDEX(资金台帐!$M$7:$M$3006,$G328)="","","；"&amp;INDEX(资金台帐!$M$7:$M$3006,$G328)))</f>
      </c>
      <c r="G328" s="78">
        <f>IFERROR(MATCH(325,资金台帐!$Q$7:$Q$3006,0),"")</f>
      </c>
      <c r="I328" s="141">
        <f>IF($O328="","",325)</f>
      </c>
      <c r="J328" s="140">
        <f>IF($O328="","",INDEX(资金台帐!$B$7:$B$3006,$O328))</f>
      </c>
      <c r="K328" s="141">
        <f>IF($O328="","",INDEX(资金台帐!$K$7:$K$3006,$O328))</f>
      </c>
      <c r="L328" s="172">
        <f>IF($O328="","",-INDEX(资金台帐!$S$7:$S$3006,$O328))</f>
      </c>
      <c r="M328" s="141">
        <f>IF($O328="","",INDEX(资金台帐!$C$7:$C$3006,$O328))</f>
      </c>
      <c r="N328" s="142">
        <f>IF($O328="","",INDEX(资金台帐!$E$7:$E$3006,$O328))</f>
      </c>
      <c r="O328" s="78">
        <f>IFERROR(MATCH(325,资金台帐!$R$7:$R$3006,0),"")</f>
      </c>
    </row>
    <row r="329">
      <c r="A329" s="141">
        <f>IF($G329="","",326)</f>
      </c>
      <c r="B329" s="140">
        <f>IF($G329="","",INDEX(资金台帐!$B$7:$B$3006,$G329))</f>
      </c>
      <c r="C329" s="141">
        <f>IF($G329="","",INDEX(资金台帐!$J$7:$J$3006,$G329))</f>
      </c>
      <c r="D329" s="172">
        <f>IF($G329="","",INDEX(资金台帐!$S$7:$S$3006,$G329))</f>
      </c>
      <c r="E329" s="141">
        <f>IF($G329="","",INDEX(资金台帐!$C$7:$C$3006,$G329))</f>
      </c>
      <c r="F329" s="142">
        <f>IF($G329="","",INDEX(资金台帐!$E$7:$E$3006,$G329)&amp;IF(INDEX(资金台帐!$M$7:$M$3006,$G329)="","","；"&amp;INDEX(资金台帐!$M$7:$M$3006,$G329)))</f>
      </c>
      <c r="G329" s="78">
        <f>IFERROR(MATCH(326,资金台帐!$Q$7:$Q$3006,0),"")</f>
      </c>
      <c r="I329" s="141">
        <f>IF($O329="","",326)</f>
      </c>
      <c r="J329" s="140">
        <f>IF($O329="","",INDEX(资金台帐!$B$7:$B$3006,$O329))</f>
      </c>
      <c r="K329" s="141">
        <f>IF($O329="","",INDEX(资金台帐!$K$7:$K$3006,$O329))</f>
      </c>
      <c r="L329" s="172">
        <f>IF($O329="","",-INDEX(资金台帐!$S$7:$S$3006,$O329))</f>
      </c>
      <c r="M329" s="141">
        <f>IF($O329="","",INDEX(资金台帐!$C$7:$C$3006,$O329))</f>
      </c>
      <c r="N329" s="142">
        <f>IF($O329="","",INDEX(资金台帐!$E$7:$E$3006,$O329))</f>
      </c>
      <c r="O329" s="78">
        <f>IFERROR(MATCH(326,资金台帐!$R$7:$R$3006,0),"")</f>
      </c>
    </row>
    <row r="330">
      <c r="A330" s="141">
        <f>IF($G330="","",327)</f>
      </c>
      <c r="B330" s="140">
        <f>IF($G330="","",INDEX(资金台帐!$B$7:$B$3006,$G330))</f>
      </c>
      <c r="C330" s="141">
        <f>IF($G330="","",INDEX(资金台帐!$J$7:$J$3006,$G330))</f>
      </c>
      <c r="D330" s="172">
        <f>IF($G330="","",INDEX(资金台帐!$S$7:$S$3006,$G330))</f>
      </c>
      <c r="E330" s="141">
        <f>IF($G330="","",INDEX(资金台帐!$C$7:$C$3006,$G330))</f>
      </c>
      <c r="F330" s="142">
        <f>IF($G330="","",INDEX(资金台帐!$E$7:$E$3006,$G330)&amp;IF(INDEX(资金台帐!$M$7:$M$3006,$G330)="","","；"&amp;INDEX(资金台帐!$M$7:$M$3006,$G330)))</f>
      </c>
      <c r="G330" s="78">
        <f>IFERROR(MATCH(327,资金台帐!$Q$7:$Q$3006,0),"")</f>
      </c>
      <c r="I330" s="141">
        <f>IF($O330="","",327)</f>
      </c>
      <c r="J330" s="140">
        <f>IF($O330="","",INDEX(资金台帐!$B$7:$B$3006,$O330))</f>
      </c>
      <c r="K330" s="141">
        <f>IF($O330="","",INDEX(资金台帐!$K$7:$K$3006,$O330))</f>
      </c>
      <c r="L330" s="172">
        <f>IF($O330="","",-INDEX(资金台帐!$S$7:$S$3006,$O330))</f>
      </c>
      <c r="M330" s="141">
        <f>IF($O330="","",INDEX(资金台帐!$C$7:$C$3006,$O330))</f>
      </c>
      <c r="N330" s="142">
        <f>IF($O330="","",INDEX(资金台帐!$E$7:$E$3006,$O330))</f>
      </c>
      <c r="O330" s="78">
        <f>IFERROR(MATCH(327,资金台帐!$R$7:$R$3006,0),"")</f>
      </c>
    </row>
    <row r="331">
      <c r="A331" s="141">
        <f>IF($G331="","",328)</f>
      </c>
      <c r="B331" s="140">
        <f>IF($G331="","",INDEX(资金台帐!$B$7:$B$3006,$G331))</f>
      </c>
      <c r="C331" s="141">
        <f>IF($G331="","",INDEX(资金台帐!$J$7:$J$3006,$G331))</f>
      </c>
      <c r="D331" s="172">
        <f>IF($G331="","",INDEX(资金台帐!$S$7:$S$3006,$G331))</f>
      </c>
      <c r="E331" s="141">
        <f>IF($G331="","",INDEX(资金台帐!$C$7:$C$3006,$G331))</f>
      </c>
      <c r="F331" s="142">
        <f>IF($G331="","",INDEX(资金台帐!$E$7:$E$3006,$G331)&amp;IF(INDEX(资金台帐!$M$7:$M$3006,$G331)="","","；"&amp;INDEX(资金台帐!$M$7:$M$3006,$G331)))</f>
      </c>
      <c r="G331" s="78">
        <f>IFERROR(MATCH(328,资金台帐!$Q$7:$Q$3006,0),"")</f>
      </c>
      <c r="I331" s="141">
        <f>IF($O331="","",328)</f>
      </c>
      <c r="J331" s="140">
        <f>IF($O331="","",INDEX(资金台帐!$B$7:$B$3006,$O331))</f>
      </c>
      <c r="K331" s="141">
        <f>IF($O331="","",INDEX(资金台帐!$K$7:$K$3006,$O331))</f>
      </c>
      <c r="L331" s="172">
        <f>IF($O331="","",-INDEX(资金台帐!$S$7:$S$3006,$O331))</f>
      </c>
      <c r="M331" s="141">
        <f>IF($O331="","",INDEX(资金台帐!$C$7:$C$3006,$O331))</f>
      </c>
      <c r="N331" s="142">
        <f>IF($O331="","",INDEX(资金台帐!$E$7:$E$3006,$O331))</f>
      </c>
      <c r="O331" s="78">
        <f>IFERROR(MATCH(328,资金台帐!$R$7:$R$3006,0),"")</f>
      </c>
    </row>
    <row r="332">
      <c r="A332" s="141">
        <f>IF($G332="","",329)</f>
      </c>
      <c r="B332" s="140">
        <f>IF($G332="","",INDEX(资金台帐!$B$7:$B$3006,$G332))</f>
      </c>
      <c r="C332" s="141">
        <f>IF($G332="","",INDEX(资金台帐!$J$7:$J$3006,$G332))</f>
      </c>
      <c r="D332" s="172">
        <f>IF($G332="","",INDEX(资金台帐!$S$7:$S$3006,$G332))</f>
      </c>
      <c r="E332" s="141">
        <f>IF($G332="","",INDEX(资金台帐!$C$7:$C$3006,$G332))</f>
      </c>
      <c r="F332" s="142">
        <f>IF($G332="","",INDEX(资金台帐!$E$7:$E$3006,$G332)&amp;IF(INDEX(资金台帐!$M$7:$M$3006,$G332)="","","；"&amp;INDEX(资金台帐!$M$7:$M$3006,$G332)))</f>
      </c>
      <c r="G332" s="78">
        <f>IFERROR(MATCH(329,资金台帐!$Q$7:$Q$3006,0),"")</f>
      </c>
      <c r="I332" s="141">
        <f>IF($O332="","",329)</f>
      </c>
      <c r="J332" s="140">
        <f>IF($O332="","",INDEX(资金台帐!$B$7:$B$3006,$O332))</f>
      </c>
      <c r="K332" s="141">
        <f>IF($O332="","",INDEX(资金台帐!$K$7:$K$3006,$O332))</f>
      </c>
      <c r="L332" s="172">
        <f>IF($O332="","",-INDEX(资金台帐!$S$7:$S$3006,$O332))</f>
      </c>
      <c r="M332" s="141">
        <f>IF($O332="","",INDEX(资金台帐!$C$7:$C$3006,$O332))</f>
      </c>
      <c r="N332" s="142">
        <f>IF($O332="","",INDEX(资金台帐!$E$7:$E$3006,$O332))</f>
      </c>
      <c r="O332" s="78">
        <f>IFERROR(MATCH(329,资金台帐!$R$7:$R$3006,0),"")</f>
      </c>
    </row>
    <row r="333">
      <c r="A333" s="141">
        <f>IF($G333="","",330)</f>
      </c>
      <c r="B333" s="140">
        <f>IF($G333="","",INDEX(资金台帐!$B$7:$B$3006,$G333))</f>
      </c>
      <c r="C333" s="141">
        <f>IF($G333="","",INDEX(资金台帐!$J$7:$J$3006,$G333))</f>
      </c>
      <c r="D333" s="172">
        <f>IF($G333="","",INDEX(资金台帐!$S$7:$S$3006,$G333))</f>
      </c>
      <c r="E333" s="141">
        <f>IF($G333="","",INDEX(资金台帐!$C$7:$C$3006,$G333))</f>
      </c>
      <c r="F333" s="142">
        <f>IF($G333="","",INDEX(资金台帐!$E$7:$E$3006,$G333)&amp;IF(INDEX(资金台帐!$M$7:$M$3006,$G333)="","","；"&amp;INDEX(资金台帐!$M$7:$M$3006,$G333)))</f>
      </c>
      <c r="G333" s="78">
        <f>IFERROR(MATCH(330,资金台帐!$Q$7:$Q$3006,0),"")</f>
      </c>
      <c r="I333" s="141">
        <f>IF($O333="","",330)</f>
      </c>
      <c r="J333" s="140">
        <f>IF($O333="","",INDEX(资金台帐!$B$7:$B$3006,$O333))</f>
      </c>
      <c r="K333" s="141">
        <f>IF($O333="","",INDEX(资金台帐!$K$7:$K$3006,$O333))</f>
      </c>
      <c r="L333" s="172">
        <f>IF($O333="","",-INDEX(资金台帐!$S$7:$S$3006,$O333))</f>
      </c>
      <c r="M333" s="141">
        <f>IF($O333="","",INDEX(资金台帐!$C$7:$C$3006,$O333))</f>
      </c>
      <c r="N333" s="142">
        <f>IF($O333="","",INDEX(资金台帐!$E$7:$E$3006,$O333))</f>
      </c>
      <c r="O333" s="78">
        <f>IFERROR(MATCH(330,资金台帐!$R$7:$R$3006,0),"")</f>
      </c>
    </row>
    <row r="334">
      <c r="A334" s="141">
        <f>IF($G334="","",331)</f>
      </c>
      <c r="B334" s="140">
        <f>IF($G334="","",INDEX(资金台帐!$B$7:$B$3006,$G334))</f>
      </c>
      <c r="C334" s="141">
        <f>IF($G334="","",INDEX(资金台帐!$J$7:$J$3006,$G334))</f>
      </c>
      <c r="D334" s="172">
        <f>IF($G334="","",INDEX(资金台帐!$S$7:$S$3006,$G334))</f>
      </c>
      <c r="E334" s="141">
        <f>IF($G334="","",INDEX(资金台帐!$C$7:$C$3006,$G334))</f>
      </c>
      <c r="F334" s="142">
        <f>IF($G334="","",INDEX(资金台帐!$E$7:$E$3006,$G334)&amp;IF(INDEX(资金台帐!$M$7:$M$3006,$G334)="","","；"&amp;INDEX(资金台帐!$M$7:$M$3006,$G334)))</f>
      </c>
      <c r="G334" s="78">
        <f>IFERROR(MATCH(331,资金台帐!$Q$7:$Q$3006,0),"")</f>
      </c>
      <c r="I334" s="141">
        <f>IF($O334="","",331)</f>
      </c>
      <c r="J334" s="140">
        <f>IF($O334="","",INDEX(资金台帐!$B$7:$B$3006,$O334))</f>
      </c>
      <c r="K334" s="141">
        <f>IF($O334="","",INDEX(资金台帐!$K$7:$K$3006,$O334))</f>
      </c>
      <c r="L334" s="172">
        <f>IF($O334="","",-INDEX(资金台帐!$S$7:$S$3006,$O334))</f>
      </c>
      <c r="M334" s="141">
        <f>IF($O334="","",INDEX(资金台帐!$C$7:$C$3006,$O334))</f>
      </c>
      <c r="N334" s="142">
        <f>IF($O334="","",INDEX(资金台帐!$E$7:$E$3006,$O334))</f>
      </c>
      <c r="O334" s="78">
        <f>IFERROR(MATCH(331,资金台帐!$R$7:$R$3006,0),"")</f>
      </c>
    </row>
    <row r="335">
      <c r="A335" s="141">
        <f>IF($G335="","",332)</f>
      </c>
      <c r="B335" s="140">
        <f>IF($G335="","",INDEX(资金台帐!$B$7:$B$3006,$G335))</f>
      </c>
      <c r="C335" s="141">
        <f>IF($G335="","",INDEX(资金台帐!$J$7:$J$3006,$G335))</f>
      </c>
      <c r="D335" s="172">
        <f>IF($G335="","",INDEX(资金台帐!$S$7:$S$3006,$G335))</f>
      </c>
      <c r="E335" s="141">
        <f>IF($G335="","",INDEX(资金台帐!$C$7:$C$3006,$G335))</f>
      </c>
      <c r="F335" s="142">
        <f>IF($G335="","",INDEX(资金台帐!$E$7:$E$3006,$G335)&amp;IF(INDEX(资金台帐!$M$7:$M$3006,$G335)="","","；"&amp;INDEX(资金台帐!$M$7:$M$3006,$G335)))</f>
      </c>
      <c r="G335" s="78">
        <f>IFERROR(MATCH(332,资金台帐!$Q$7:$Q$3006,0),"")</f>
      </c>
      <c r="I335" s="141">
        <f>IF($O335="","",332)</f>
      </c>
      <c r="J335" s="140">
        <f>IF($O335="","",INDEX(资金台帐!$B$7:$B$3006,$O335))</f>
      </c>
      <c r="K335" s="141">
        <f>IF($O335="","",INDEX(资金台帐!$K$7:$K$3006,$O335))</f>
      </c>
      <c r="L335" s="172">
        <f>IF($O335="","",-INDEX(资金台帐!$S$7:$S$3006,$O335))</f>
      </c>
      <c r="M335" s="141">
        <f>IF($O335="","",INDEX(资金台帐!$C$7:$C$3006,$O335))</f>
      </c>
      <c r="N335" s="142">
        <f>IF($O335="","",INDEX(资金台帐!$E$7:$E$3006,$O335))</f>
      </c>
      <c r="O335" s="78">
        <f>IFERROR(MATCH(332,资金台帐!$R$7:$R$3006,0),"")</f>
      </c>
    </row>
    <row r="336">
      <c r="A336" s="141">
        <f>IF($G336="","",333)</f>
      </c>
      <c r="B336" s="140">
        <f>IF($G336="","",INDEX(资金台帐!$B$7:$B$3006,$G336))</f>
      </c>
      <c r="C336" s="141">
        <f>IF($G336="","",INDEX(资金台帐!$J$7:$J$3006,$G336))</f>
      </c>
      <c r="D336" s="172">
        <f>IF($G336="","",INDEX(资金台帐!$S$7:$S$3006,$G336))</f>
      </c>
      <c r="E336" s="141">
        <f>IF($G336="","",INDEX(资金台帐!$C$7:$C$3006,$G336))</f>
      </c>
      <c r="F336" s="142">
        <f>IF($G336="","",INDEX(资金台帐!$E$7:$E$3006,$G336)&amp;IF(INDEX(资金台帐!$M$7:$M$3006,$G336)="","","；"&amp;INDEX(资金台帐!$M$7:$M$3006,$G336)))</f>
      </c>
      <c r="G336" s="78">
        <f>IFERROR(MATCH(333,资金台帐!$Q$7:$Q$3006,0),"")</f>
      </c>
      <c r="I336" s="141">
        <f>IF($O336="","",333)</f>
      </c>
      <c r="J336" s="140">
        <f>IF($O336="","",INDEX(资金台帐!$B$7:$B$3006,$O336))</f>
      </c>
      <c r="K336" s="141">
        <f>IF($O336="","",INDEX(资金台帐!$K$7:$K$3006,$O336))</f>
      </c>
      <c r="L336" s="172">
        <f>IF($O336="","",-INDEX(资金台帐!$S$7:$S$3006,$O336))</f>
      </c>
      <c r="M336" s="141">
        <f>IF($O336="","",INDEX(资金台帐!$C$7:$C$3006,$O336))</f>
      </c>
      <c r="N336" s="142">
        <f>IF($O336="","",INDEX(资金台帐!$E$7:$E$3006,$O336))</f>
      </c>
      <c r="O336" s="78">
        <f>IFERROR(MATCH(333,资金台帐!$R$7:$R$3006,0),"")</f>
      </c>
    </row>
    <row r="337">
      <c r="A337" s="141">
        <f>IF($G337="","",334)</f>
      </c>
      <c r="B337" s="140">
        <f>IF($G337="","",INDEX(资金台帐!$B$7:$B$3006,$G337))</f>
      </c>
      <c r="C337" s="141">
        <f>IF($G337="","",INDEX(资金台帐!$J$7:$J$3006,$G337))</f>
      </c>
      <c r="D337" s="172">
        <f>IF($G337="","",INDEX(资金台帐!$S$7:$S$3006,$G337))</f>
      </c>
      <c r="E337" s="141">
        <f>IF($G337="","",INDEX(资金台帐!$C$7:$C$3006,$G337))</f>
      </c>
      <c r="F337" s="142">
        <f>IF($G337="","",INDEX(资金台帐!$E$7:$E$3006,$G337)&amp;IF(INDEX(资金台帐!$M$7:$M$3006,$G337)="","","；"&amp;INDEX(资金台帐!$M$7:$M$3006,$G337)))</f>
      </c>
      <c r="G337" s="78">
        <f>IFERROR(MATCH(334,资金台帐!$Q$7:$Q$3006,0),"")</f>
      </c>
      <c r="I337" s="141">
        <f>IF($O337="","",334)</f>
      </c>
      <c r="J337" s="140">
        <f>IF($O337="","",INDEX(资金台帐!$B$7:$B$3006,$O337))</f>
      </c>
      <c r="K337" s="141">
        <f>IF($O337="","",INDEX(资金台帐!$K$7:$K$3006,$O337))</f>
      </c>
      <c r="L337" s="172">
        <f>IF($O337="","",-INDEX(资金台帐!$S$7:$S$3006,$O337))</f>
      </c>
      <c r="M337" s="141">
        <f>IF($O337="","",INDEX(资金台帐!$C$7:$C$3006,$O337))</f>
      </c>
      <c r="N337" s="142">
        <f>IF($O337="","",INDEX(资金台帐!$E$7:$E$3006,$O337))</f>
      </c>
      <c r="O337" s="78">
        <f>IFERROR(MATCH(334,资金台帐!$R$7:$R$3006,0),"")</f>
      </c>
    </row>
    <row r="338">
      <c r="A338" s="141">
        <f>IF($G338="","",335)</f>
      </c>
      <c r="B338" s="140">
        <f>IF($G338="","",INDEX(资金台帐!$B$7:$B$3006,$G338))</f>
      </c>
      <c r="C338" s="141">
        <f>IF($G338="","",INDEX(资金台帐!$J$7:$J$3006,$G338))</f>
      </c>
      <c r="D338" s="172">
        <f>IF($G338="","",INDEX(资金台帐!$S$7:$S$3006,$G338))</f>
      </c>
      <c r="E338" s="141">
        <f>IF($G338="","",INDEX(资金台帐!$C$7:$C$3006,$G338))</f>
      </c>
      <c r="F338" s="142">
        <f>IF($G338="","",INDEX(资金台帐!$E$7:$E$3006,$G338)&amp;IF(INDEX(资金台帐!$M$7:$M$3006,$G338)="","","；"&amp;INDEX(资金台帐!$M$7:$M$3006,$G338)))</f>
      </c>
      <c r="G338" s="78">
        <f>IFERROR(MATCH(335,资金台帐!$Q$7:$Q$3006,0),"")</f>
      </c>
      <c r="I338" s="141">
        <f>IF($O338="","",335)</f>
      </c>
      <c r="J338" s="140">
        <f>IF($O338="","",INDEX(资金台帐!$B$7:$B$3006,$O338))</f>
      </c>
      <c r="K338" s="141">
        <f>IF($O338="","",INDEX(资金台帐!$K$7:$K$3006,$O338))</f>
      </c>
      <c r="L338" s="172">
        <f>IF($O338="","",-INDEX(资金台帐!$S$7:$S$3006,$O338))</f>
      </c>
      <c r="M338" s="141">
        <f>IF($O338="","",INDEX(资金台帐!$C$7:$C$3006,$O338))</f>
      </c>
      <c r="N338" s="142">
        <f>IF($O338="","",INDEX(资金台帐!$E$7:$E$3006,$O338))</f>
      </c>
      <c r="O338" s="78">
        <f>IFERROR(MATCH(335,资金台帐!$R$7:$R$3006,0),"")</f>
      </c>
    </row>
    <row r="339">
      <c r="A339" s="141">
        <f>IF($G339="","",336)</f>
      </c>
      <c r="B339" s="140">
        <f>IF($G339="","",INDEX(资金台帐!$B$7:$B$3006,$G339))</f>
      </c>
      <c r="C339" s="141">
        <f>IF($G339="","",INDEX(资金台帐!$J$7:$J$3006,$G339))</f>
      </c>
      <c r="D339" s="172">
        <f>IF($G339="","",INDEX(资金台帐!$S$7:$S$3006,$G339))</f>
      </c>
      <c r="E339" s="141">
        <f>IF($G339="","",INDEX(资金台帐!$C$7:$C$3006,$G339))</f>
      </c>
      <c r="F339" s="142">
        <f>IF($G339="","",INDEX(资金台帐!$E$7:$E$3006,$G339)&amp;IF(INDEX(资金台帐!$M$7:$M$3006,$G339)="","","；"&amp;INDEX(资金台帐!$M$7:$M$3006,$G339)))</f>
      </c>
      <c r="G339" s="78">
        <f>IFERROR(MATCH(336,资金台帐!$Q$7:$Q$3006,0),"")</f>
      </c>
      <c r="I339" s="141">
        <f>IF($O339="","",336)</f>
      </c>
      <c r="J339" s="140">
        <f>IF($O339="","",INDEX(资金台帐!$B$7:$B$3006,$O339))</f>
      </c>
      <c r="K339" s="141">
        <f>IF($O339="","",INDEX(资金台帐!$K$7:$K$3006,$O339))</f>
      </c>
      <c r="L339" s="172">
        <f>IF($O339="","",-INDEX(资金台帐!$S$7:$S$3006,$O339))</f>
      </c>
      <c r="M339" s="141">
        <f>IF($O339="","",INDEX(资金台帐!$C$7:$C$3006,$O339))</f>
      </c>
      <c r="N339" s="142">
        <f>IF($O339="","",INDEX(资金台帐!$E$7:$E$3006,$O339))</f>
      </c>
      <c r="O339" s="78">
        <f>IFERROR(MATCH(336,资金台帐!$R$7:$R$3006,0),"")</f>
      </c>
    </row>
    <row r="340">
      <c r="A340" s="141">
        <f>IF($G340="","",337)</f>
      </c>
      <c r="B340" s="140">
        <f>IF($G340="","",INDEX(资金台帐!$B$7:$B$3006,$G340))</f>
      </c>
      <c r="C340" s="141">
        <f>IF($G340="","",INDEX(资金台帐!$J$7:$J$3006,$G340))</f>
      </c>
      <c r="D340" s="172">
        <f>IF($G340="","",INDEX(资金台帐!$S$7:$S$3006,$G340))</f>
      </c>
      <c r="E340" s="141">
        <f>IF($G340="","",INDEX(资金台帐!$C$7:$C$3006,$G340))</f>
      </c>
      <c r="F340" s="142">
        <f>IF($G340="","",INDEX(资金台帐!$E$7:$E$3006,$G340)&amp;IF(INDEX(资金台帐!$M$7:$M$3006,$G340)="","","；"&amp;INDEX(资金台帐!$M$7:$M$3006,$G340)))</f>
      </c>
      <c r="G340" s="78">
        <f>IFERROR(MATCH(337,资金台帐!$Q$7:$Q$3006,0),"")</f>
      </c>
      <c r="I340" s="141">
        <f>IF($O340="","",337)</f>
      </c>
      <c r="J340" s="140">
        <f>IF($O340="","",INDEX(资金台帐!$B$7:$B$3006,$O340))</f>
      </c>
      <c r="K340" s="141">
        <f>IF($O340="","",INDEX(资金台帐!$K$7:$K$3006,$O340))</f>
      </c>
      <c r="L340" s="172">
        <f>IF($O340="","",-INDEX(资金台帐!$S$7:$S$3006,$O340))</f>
      </c>
      <c r="M340" s="141">
        <f>IF($O340="","",INDEX(资金台帐!$C$7:$C$3006,$O340))</f>
      </c>
      <c r="N340" s="142">
        <f>IF($O340="","",INDEX(资金台帐!$E$7:$E$3006,$O340))</f>
      </c>
      <c r="O340" s="78">
        <f>IFERROR(MATCH(337,资金台帐!$R$7:$R$3006,0),"")</f>
      </c>
    </row>
    <row r="341">
      <c r="A341" s="141">
        <f>IF($G341="","",338)</f>
      </c>
      <c r="B341" s="140">
        <f>IF($G341="","",INDEX(资金台帐!$B$7:$B$3006,$G341))</f>
      </c>
      <c r="C341" s="141">
        <f>IF($G341="","",INDEX(资金台帐!$J$7:$J$3006,$G341))</f>
      </c>
      <c r="D341" s="172">
        <f>IF($G341="","",INDEX(资金台帐!$S$7:$S$3006,$G341))</f>
      </c>
      <c r="E341" s="141">
        <f>IF($G341="","",INDEX(资金台帐!$C$7:$C$3006,$G341))</f>
      </c>
      <c r="F341" s="142">
        <f>IF($G341="","",INDEX(资金台帐!$E$7:$E$3006,$G341)&amp;IF(INDEX(资金台帐!$M$7:$M$3006,$G341)="","","；"&amp;INDEX(资金台帐!$M$7:$M$3006,$G341)))</f>
      </c>
      <c r="G341" s="78">
        <f>IFERROR(MATCH(338,资金台帐!$Q$7:$Q$3006,0),"")</f>
      </c>
      <c r="I341" s="141">
        <f>IF($O341="","",338)</f>
      </c>
      <c r="J341" s="140">
        <f>IF($O341="","",INDEX(资金台帐!$B$7:$B$3006,$O341))</f>
      </c>
      <c r="K341" s="141">
        <f>IF($O341="","",INDEX(资金台帐!$K$7:$K$3006,$O341))</f>
      </c>
      <c r="L341" s="172">
        <f>IF($O341="","",-INDEX(资金台帐!$S$7:$S$3006,$O341))</f>
      </c>
      <c r="M341" s="141">
        <f>IF($O341="","",INDEX(资金台帐!$C$7:$C$3006,$O341))</f>
      </c>
      <c r="N341" s="142">
        <f>IF($O341="","",INDEX(资金台帐!$E$7:$E$3006,$O341))</f>
      </c>
      <c r="O341" s="78">
        <f>IFERROR(MATCH(338,资金台帐!$R$7:$R$3006,0),"")</f>
      </c>
    </row>
    <row r="342">
      <c r="A342" s="141">
        <f>IF($G342="","",339)</f>
      </c>
      <c r="B342" s="140">
        <f>IF($G342="","",INDEX(资金台帐!$B$7:$B$3006,$G342))</f>
      </c>
      <c r="C342" s="141">
        <f>IF($G342="","",INDEX(资金台帐!$J$7:$J$3006,$G342))</f>
      </c>
      <c r="D342" s="172">
        <f>IF($G342="","",INDEX(资金台帐!$S$7:$S$3006,$G342))</f>
      </c>
      <c r="E342" s="141">
        <f>IF($G342="","",INDEX(资金台帐!$C$7:$C$3006,$G342))</f>
      </c>
      <c r="F342" s="142">
        <f>IF($G342="","",INDEX(资金台帐!$E$7:$E$3006,$G342)&amp;IF(INDEX(资金台帐!$M$7:$M$3006,$G342)="","","；"&amp;INDEX(资金台帐!$M$7:$M$3006,$G342)))</f>
      </c>
      <c r="G342" s="78">
        <f>IFERROR(MATCH(339,资金台帐!$Q$7:$Q$3006,0),"")</f>
      </c>
      <c r="I342" s="141">
        <f>IF($O342="","",339)</f>
      </c>
      <c r="J342" s="140">
        <f>IF($O342="","",INDEX(资金台帐!$B$7:$B$3006,$O342))</f>
      </c>
      <c r="K342" s="141">
        <f>IF($O342="","",INDEX(资金台帐!$K$7:$K$3006,$O342))</f>
      </c>
      <c r="L342" s="172">
        <f>IF($O342="","",-INDEX(资金台帐!$S$7:$S$3006,$O342))</f>
      </c>
      <c r="M342" s="141">
        <f>IF($O342="","",INDEX(资金台帐!$C$7:$C$3006,$O342))</f>
      </c>
      <c r="N342" s="142">
        <f>IF($O342="","",INDEX(资金台帐!$E$7:$E$3006,$O342))</f>
      </c>
      <c r="O342" s="78">
        <f>IFERROR(MATCH(339,资金台帐!$R$7:$R$3006,0),"")</f>
      </c>
    </row>
    <row r="343">
      <c r="A343" s="141">
        <f>IF($G343="","",340)</f>
      </c>
      <c r="B343" s="140">
        <f>IF($G343="","",INDEX(资金台帐!$B$7:$B$3006,$G343))</f>
      </c>
      <c r="C343" s="141">
        <f>IF($G343="","",INDEX(资金台帐!$J$7:$J$3006,$G343))</f>
      </c>
      <c r="D343" s="172">
        <f>IF($G343="","",INDEX(资金台帐!$S$7:$S$3006,$G343))</f>
      </c>
      <c r="E343" s="141">
        <f>IF($G343="","",INDEX(资金台帐!$C$7:$C$3006,$G343))</f>
      </c>
      <c r="F343" s="142">
        <f>IF($G343="","",INDEX(资金台帐!$E$7:$E$3006,$G343)&amp;IF(INDEX(资金台帐!$M$7:$M$3006,$G343)="","","；"&amp;INDEX(资金台帐!$M$7:$M$3006,$G343)))</f>
      </c>
      <c r="G343" s="78">
        <f>IFERROR(MATCH(340,资金台帐!$Q$7:$Q$3006,0),"")</f>
      </c>
      <c r="I343" s="141">
        <f>IF($O343="","",340)</f>
      </c>
      <c r="J343" s="140">
        <f>IF($O343="","",INDEX(资金台帐!$B$7:$B$3006,$O343))</f>
      </c>
      <c r="K343" s="141">
        <f>IF($O343="","",INDEX(资金台帐!$K$7:$K$3006,$O343))</f>
      </c>
      <c r="L343" s="172">
        <f>IF($O343="","",-INDEX(资金台帐!$S$7:$S$3006,$O343))</f>
      </c>
      <c r="M343" s="141">
        <f>IF($O343="","",INDEX(资金台帐!$C$7:$C$3006,$O343))</f>
      </c>
      <c r="N343" s="142">
        <f>IF($O343="","",INDEX(资金台帐!$E$7:$E$3006,$O343))</f>
      </c>
      <c r="O343" s="78">
        <f>IFERROR(MATCH(340,资金台帐!$R$7:$R$3006,0),"")</f>
      </c>
    </row>
    <row r="344">
      <c r="A344" s="141">
        <f>IF($G344="","",341)</f>
      </c>
      <c r="B344" s="140">
        <f>IF($G344="","",INDEX(资金台帐!$B$7:$B$3006,$G344))</f>
      </c>
      <c r="C344" s="141">
        <f>IF($G344="","",INDEX(资金台帐!$J$7:$J$3006,$G344))</f>
      </c>
      <c r="D344" s="172">
        <f>IF($G344="","",INDEX(资金台帐!$S$7:$S$3006,$G344))</f>
      </c>
      <c r="E344" s="141">
        <f>IF($G344="","",INDEX(资金台帐!$C$7:$C$3006,$G344))</f>
      </c>
      <c r="F344" s="142">
        <f>IF($G344="","",INDEX(资金台帐!$E$7:$E$3006,$G344)&amp;IF(INDEX(资金台帐!$M$7:$M$3006,$G344)="","","；"&amp;INDEX(资金台帐!$M$7:$M$3006,$G344)))</f>
      </c>
      <c r="G344" s="78">
        <f>IFERROR(MATCH(341,资金台帐!$Q$7:$Q$3006,0),"")</f>
      </c>
      <c r="I344" s="141">
        <f>IF($O344="","",341)</f>
      </c>
      <c r="J344" s="140">
        <f>IF($O344="","",INDEX(资金台帐!$B$7:$B$3006,$O344))</f>
      </c>
      <c r="K344" s="141">
        <f>IF($O344="","",INDEX(资金台帐!$K$7:$K$3006,$O344))</f>
      </c>
      <c r="L344" s="172">
        <f>IF($O344="","",-INDEX(资金台帐!$S$7:$S$3006,$O344))</f>
      </c>
      <c r="M344" s="141">
        <f>IF($O344="","",INDEX(资金台帐!$C$7:$C$3006,$O344))</f>
      </c>
      <c r="N344" s="142">
        <f>IF($O344="","",INDEX(资金台帐!$E$7:$E$3006,$O344))</f>
      </c>
      <c r="O344" s="78">
        <f>IFERROR(MATCH(341,资金台帐!$R$7:$R$3006,0),"")</f>
      </c>
    </row>
    <row r="345">
      <c r="A345" s="141">
        <f>IF($G345="","",342)</f>
      </c>
      <c r="B345" s="140">
        <f>IF($G345="","",INDEX(资金台帐!$B$7:$B$3006,$G345))</f>
      </c>
      <c r="C345" s="141">
        <f>IF($G345="","",INDEX(资金台帐!$J$7:$J$3006,$G345))</f>
      </c>
      <c r="D345" s="172">
        <f>IF($G345="","",INDEX(资金台帐!$S$7:$S$3006,$G345))</f>
      </c>
      <c r="E345" s="141">
        <f>IF($G345="","",INDEX(资金台帐!$C$7:$C$3006,$G345))</f>
      </c>
      <c r="F345" s="142">
        <f>IF($G345="","",INDEX(资金台帐!$E$7:$E$3006,$G345)&amp;IF(INDEX(资金台帐!$M$7:$M$3006,$G345)="","","；"&amp;INDEX(资金台帐!$M$7:$M$3006,$G345)))</f>
      </c>
      <c r="G345" s="78">
        <f>IFERROR(MATCH(342,资金台帐!$Q$7:$Q$3006,0),"")</f>
      </c>
      <c r="I345" s="141">
        <f>IF($O345="","",342)</f>
      </c>
      <c r="J345" s="140">
        <f>IF($O345="","",INDEX(资金台帐!$B$7:$B$3006,$O345))</f>
      </c>
      <c r="K345" s="141">
        <f>IF($O345="","",INDEX(资金台帐!$K$7:$K$3006,$O345))</f>
      </c>
      <c r="L345" s="172">
        <f>IF($O345="","",-INDEX(资金台帐!$S$7:$S$3006,$O345))</f>
      </c>
      <c r="M345" s="141">
        <f>IF($O345="","",INDEX(资金台帐!$C$7:$C$3006,$O345))</f>
      </c>
      <c r="N345" s="142">
        <f>IF($O345="","",INDEX(资金台帐!$E$7:$E$3006,$O345))</f>
      </c>
      <c r="O345" s="78">
        <f>IFERROR(MATCH(342,资金台帐!$R$7:$R$3006,0),"")</f>
      </c>
    </row>
    <row r="346">
      <c r="A346" s="141">
        <f>IF($G346="","",343)</f>
      </c>
      <c r="B346" s="140">
        <f>IF($G346="","",INDEX(资金台帐!$B$7:$B$3006,$G346))</f>
      </c>
      <c r="C346" s="141">
        <f>IF($G346="","",INDEX(资金台帐!$J$7:$J$3006,$G346))</f>
      </c>
      <c r="D346" s="172">
        <f>IF($G346="","",INDEX(资金台帐!$S$7:$S$3006,$G346))</f>
      </c>
      <c r="E346" s="141">
        <f>IF($G346="","",INDEX(资金台帐!$C$7:$C$3006,$G346))</f>
      </c>
      <c r="F346" s="142">
        <f>IF($G346="","",INDEX(资金台帐!$E$7:$E$3006,$G346)&amp;IF(INDEX(资金台帐!$M$7:$M$3006,$G346)="","","；"&amp;INDEX(资金台帐!$M$7:$M$3006,$G346)))</f>
      </c>
      <c r="G346" s="78">
        <f>IFERROR(MATCH(343,资金台帐!$Q$7:$Q$3006,0),"")</f>
      </c>
      <c r="I346" s="141">
        <f>IF($O346="","",343)</f>
      </c>
      <c r="J346" s="140">
        <f>IF($O346="","",INDEX(资金台帐!$B$7:$B$3006,$O346))</f>
      </c>
      <c r="K346" s="141">
        <f>IF($O346="","",INDEX(资金台帐!$K$7:$K$3006,$O346))</f>
      </c>
      <c r="L346" s="172">
        <f>IF($O346="","",-INDEX(资金台帐!$S$7:$S$3006,$O346))</f>
      </c>
      <c r="M346" s="141">
        <f>IF($O346="","",INDEX(资金台帐!$C$7:$C$3006,$O346))</f>
      </c>
      <c r="N346" s="142">
        <f>IF($O346="","",INDEX(资金台帐!$E$7:$E$3006,$O346))</f>
      </c>
      <c r="O346" s="78">
        <f>IFERROR(MATCH(343,资金台帐!$R$7:$R$3006,0),"")</f>
      </c>
    </row>
    <row r="347">
      <c r="A347" s="141">
        <f>IF($G347="","",344)</f>
      </c>
      <c r="B347" s="140">
        <f>IF($G347="","",INDEX(资金台帐!$B$7:$B$3006,$G347))</f>
      </c>
      <c r="C347" s="141">
        <f>IF($G347="","",INDEX(资金台帐!$J$7:$J$3006,$G347))</f>
      </c>
      <c r="D347" s="172">
        <f>IF($G347="","",INDEX(资金台帐!$S$7:$S$3006,$G347))</f>
      </c>
      <c r="E347" s="141">
        <f>IF($G347="","",INDEX(资金台帐!$C$7:$C$3006,$G347))</f>
      </c>
      <c r="F347" s="142">
        <f>IF($G347="","",INDEX(资金台帐!$E$7:$E$3006,$G347)&amp;IF(INDEX(资金台帐!$M$7:$M$3006,$G347)="","","；"&amp;INDEX(资金台帐!$M$7:$M$3006,$G347)))</f>
      </c>
      <c r="G347" s="78">
        <f>IFERROR(MATCH(344,资金台帐!$Q$7:$Q$3006,0),"")</f>
      </c>
      <c r="I347" s="141">
        <f>IF($O347="","",344)</f>
      </c>
      <c r="J347" s="140">
        <f>IF($O347="","",INDEX(资金台帐!$B$7:$B$3006,$O347))</f>
      </c>
      <c r="K347" s="141">
        <f>IF($O347="","",INDEX(资金台帐!$K$7:$K$3006,$O347))</f>
      </c>
      <c r="L347" s="172">
        <f>IF($O347="","",-INDEX(资金台帐!$S$7:$S$3006,$O347))</f>
      </c>
      <c r="M347" s="141">
        <f>IF($O347="","",INDEX(资金台帐!$C$7:$C$3006,$O347))</f>
      </c>
      <c r="N347" s="142">
        <f>IF($O347="","",INDEX(资金台帐!$E$7:$E$3006,$O347))</f>
      </c>
      <c r="O347" s="78">
        <f>IFERROR(MATCH(344,资金台帐!$R$7:$R$3006,0),"")</f>
      </c>
    </row>
    <row r="348">
      <c r="A348" s="141">
        <f>IF($G348="","",345)</f>
      </c>
      <c r="B348" s="140">
        <f>IF($G348="","",INDEX(资金台帐!$B$7:$B$3006,$G348))</f>
      </c>
      <c r="C348" s="141">
        <f>IF($G348="","",INDEX(资金台帐!$J$7:$J$3006,$G348))</f>
      </c>
      <c r="D348" s="172">
        <f>IF($G348="","",INDEX(资金台帐!$S$7:$S$3006,$G348))</f>
      </c>
      <c r="E348" s="141">
        <f>IF($G348="","",INDEX(资金台帐!$C$7:$C$3006,$G348))</f>
      </c>
      <c r="F348" s="142">
        <f>IF($G348="","",INDEX(资金台帐!$E$7:$E$3006,$G348)&amp;IF(INDEX(资金台帐!$M$7:$M$3006,$G348)="","","；"&amp;INDEX(资金台帐!$M$7:$M$3006,$G348)))</f>
      </c>
      <c r="G348" s="78">
        <f>IFERROR(MATCH(345,资金台帐!$Q$7:$Q$3006,0),"")</f>
      </c>
      <c r="I348" s="141">
        <f>IF($O348="","",345)</f>
      </c>
      <c r="J348" s="140">
        <f>IF($O348="","",INDEX(资金台帐!$B$7:$B$3006,$O348))</f>
      </c>
      <c r="K348" s="141">
        <f>IF($O348="","",INDEX(资金台帐!$K$7:$K$3006,$O348))</f>
      </c>
      <c r="L348" s="172">
        <f>IF($O348="","",-INDEX(资金台帐!$S$7:$S$3006,$O348))</f>
      </c>
      <c r="M348" s="141">
        <f>IF($O348="","",INDEX(资金台帐!$C$7:$C$3006,$O348))</f>
      </c>
      <c r="N348" s="142">
        <f>IF($O348="","",INDEX(资金台帐!$E$7:$E$3006,$O348))</f>
      </c>
      <c r="O348" s="78">
        <f>IFERROR(MATCH(345,资金台帐!$R$7:$R$3006,0),"")</f>
      </c>
    </row>
    <row r="349">
      <c r="A349" s="141">
        <f>IF($G349="","",346)</f>
      </c>
      <c r="B349" s="140">
        <f>IF($G349="","",INDEX(资金台帐!$B$7:$B$3006,$G349))</f>
      </c>
      <c r="C349" s="141">
        <f>IF($G349="","",INDEX(资金台帐!$J$7:$J$3006,$G349))</f>
      </c>
      <c r="D349" s="172">
        <f>IF($G349="","",INDEX(资金台帐!$S$7:$S$3006,$G349))</f>
      </c>
      <c r="E349" s="141">
        <f>IF($G349="","",INDEX(资金台帐!$C$7:$C$3006,$G349))</f>
      </c>
      <c r="F349" s="142">
        <f>IF($G349="","",INDEX(资金台帐!$E$7:$E$3006,$G349)&amp;IF(INDEX(资金台帐!$M$7:$M$3006,$G349)="","","；"&amp;INDEX(资金台帐!$M$7:$M$3006,$G349)))</f>
      </c>
      <c r="G349" s="78">
        <f>IFERROR(MATCH(346,资金台帐!$Q$7:$Q$3006,0),"")</f>
      </c>
      <c r="I349" s="141">
        <f>IF($O349="","",346)</f>
      </c>
      <c r="J349" s="140">
        <f>IF($O349="","",INDEX(资金台帐!$B$7:$B$3006,$O349))</f>
      </c>
      <c r="K349" s="141">
        <f>IF($O349="","",INDEX(资金台帐!$K$7:$K$3006,$O349))</f>
      </c>
      <c r="L349" s="172">
        <f>IF($O349="","",-INDEX(资金台帐!$S$7:$S$3006,$O349))</f>
      </c>
      <c r="M349" s="141">
        <f>IF($O349="","",INDEX(资金台帐!$C$7:$C$3006,$O349))</f>
      </c>
      <c r="N349" s="142">
        <f>IF($O349="","",INDEX(资金台帐!$E$7:$E$3006,$O349))</f>
      </c>
      <c r="O349" s="78">
        <f>IFERROR(MATCH(346,资金台帐!$R$7:$R$3006,0),"")</f>
      </c>
    </row>
    <row r="350">
      <c r="A350" s="141">
        <f>IF($G350="","",347)</f>
      </c>
      <c r="B350" s="140">
        <f>IF($G350="","",INDEX(资金台帐!$B$7:$B$3006,$G350))</f>
      </c>
      <c r="C350" s="141">
        <f>IF($G350="","",INDEX(资金台帐!$J$7:$J$3006,$G350))</f>
      </c>
      <c r="D350" s="172">
        <f>IF($G350="","",INDEX(资金台帐!$S$7:$S$3006,$G350))</f>
      </c>
      <c r="E350" s="141">
        <f>IF($G350="","",INDEX(资金台帐!$C$7:$C$3006,$G350))</f>
      </c>
      <c r="F350" s="142">
        <f>IF($G350="","",INDEX(资金台帐!$E$7:$E$3006,$G350)&amp;IF(INDEX(资金台帐!$M$7:$M$3006,$G350)="","","；"&amp;INDEX(资金台帐!$M$7:$M$3006,$G350)))</f>
      </c>
      <c r="G350" s="78">
        <f>IFERROR(MATCH(347,资金台帐!$Q$7:$Q$3006,0),"")</f>
      </c>
      <c r="I350" s="141">
        <f>IF($O350="","",347)</f>
      </c>
      <c r="J350" s="140">
        <f>IF($O350="","",INDEX(资金台帐!$B$7:$B$3006,$O350))</f>
      </c>
      <c r="K350" s="141">
        <f>IF($O350="","",INDEX(资金台帐!$K$7:$K$3006,$O350))</f>
      </c>
      <c r="L350" s="172">
        <f>IF($O350="","",-INDEX(资金台帐!$S$7:$S$3006,$O350))</f>
      </c>
      <c r="M350" s="141">
        <f>IF($O350="","",INDEX(资金台帐!$C$7:$C$3006,$O350))</f>
      </c>
      <c r="N350" s="142">
        <f>IF($O350="","",INDEX(资金台帐!$E$7:$E$3006,$O350))</f>
      </c>
      <c r="O350" s="78">
        <f>IFERROR(MATCH(347,资金台帐!$R$7:$R$3006,0),"")</f>
      </c>
    </row>
    <row r="351">
      <c r="A351" s="141">
        <f>IF($G351="","",348)</f>
      </c>
      <c r="B351" s="140">
        <f>IF($G351="","",INDEX(资金台帐!$B$7:$B$3006,$G351))</f>
      </c>
      <c r="C351" s="141">
        <f>IF($G351="","",INDEX(资金台帐!$J$7:$J$3006,$G351))</f>
      </c>
      <c r="D351" s="172">
        <f>IF($G351="","",INDEX(资金台帐!$S$7:$S$3006,$G351))</f>
      </c>
      <c r="E351" s="141">
        <f>IF($G351="","",INDEX(资金台帐!$C$7:$C$3006,$G351))</f>
      </c>
      <c r="F351" s="142">
        <f>IF($G351="","",INDEX(资金台帐!$E$7:$E$3006,$G351)&amp;IF(INDEX(资金台帐!$M$7:$M$3006,$G351)="","","；"&amp;INDEX(资金台帐!$M$7:$M$3006,$G351)))</f>
      </c>
      <c r="G351" s="78">
        <f>IFERROR(MATCH(348,资金台帐!$Q$7:$Q$3006,0),"")</f>
      </c>
      <c r="I351" s="141">
        <f>IF($O351="","",348)</f>
      </c>
      <c r="J351" s="140">
        <f>IF($O351="","",INDEX(资金台帐!$B$7:$B$3006,$O351))</f>
      </c>
      <c r="K351" s="141">
        <f>IF($O351="","",INDEX(资金台帐!$K$7:$K$3006,$O351))</f>
      </c>
      <c r="L351" s="172">
        <f>IF($O351="","",-INDEX(资金台帐!$S$7:$S$3006,$O351))</f>
      </c>
      <c r="M351" s="141">
        <f>IF($O351="","",INDEX(资金台帐!$C$7:$C$3006,$O351))</f>
      </c>
      <c r="N351" s="142">
        <f>IF($O351="","",INDEX(资金台帐!$E$7:$E$3006,$O351))</f>
      </c>
      <c r="O351" s="78">
        <f>IFERROR(MATCH(348,资金台帐!$R$7:$R$3006,0),"")</f>
      </c>
    </row>
    <row r="352">
      <c r="A352" s="141">
        <f>IF($G352="","",349)</f>
      </c>
      <c r="B352" s="140">
        <f>IF($G352="","",INDEX(资金台帐!$B$7:$B$3006,$G352))</f>
      </c>
      <c r="C352" s="141">
        <f>IF($G352="","",INDEX(资金台帐!$J$7:$J$3006,$G352))</f>
      </c>
      <c r="D352" s="172">
        <f>IF($G352="","",INDEX(资金台帐!$S$7:$S$3006,$G352))</f>
      </c>
      <c r="E352" s="141">
        <f>IF($G352="","",INDEX(资金台帐!$C$7:$C$3006,$G352))</f>
      </c>
      <c r="F352" s="142">
        <f>IF($G352="","",INDEX(资金台帐!$E$7:$E$3006,$G352)&amp;IF(INDEX(资金台帐!$M$7:$M$3006,$G352)="","","；"&amp;INDEX(资金台帐!$M$7:$M$3006,$G352)))</f>
      </c>
      <c r="G352" s="78">
        <f>IFERROR(MATCH(349,资金台帐!$Q$7:$Q$3006,0),"")</f>
      </c>
      <c r="I352" s="141">
        <f>IF($O352="","",349)</f>
      </c>
      <c r="J352" s="140">
        <f>IF($O352="","",INDEX(资金台帐!$B$7:$B$3006,$O352))</f>
      </c>
      <c r="K352" s="141">
        <f>IF($O352="","",INDEX(资金台帐!$K$7:$K$3006,$O352))</f>
      </c>
      <c r="L352" s="172">
        <f>IF($O352="","",-INDEX(资金台帐!$S$7:$S$3006,$O352))</f>
      </c>
      <c r="M352" s="141">
        <f>IF($O352="","",INDEX(资金台帐!$C$7:$C$3006,$O352))</f>
      </c>
      <c r="N352" s="142">
        <f>IF($O352="","",INDEX(资金台帐!$E$7:$E$3006,$O352))</f>
      </c>
      <c r="O352" s="78">
        <f>IFERROR(MATCH(349,资金台帐!$R$7:$R$3006,0),"")</f>
      </c>
    </row>
    <row r="353">
      <c r="A353" s="141">
        <f>IF($G353="","",350)</f>
      </c>
      <c r="B353" s="140">
        <f>IF($G353="","",INDEX(资金台帐!$B$7:$B$3006,$G353))</f>
      </c>
      <c r="C353" s="141">
        <f>IF($G353="","",INDEX(资金台帐!$J$7:$J$3006,$G353))</f>
      </c>
      <c r="D353" s="172">
        <f>IF($G353="","",INDEX(资金台帐!$S$7:$S$3006,$G353))</f>
      </c>
      <c r="E353" s="141">
        <f>IF($G353="","",INDEX(资金台帐!$C$7:$C$3006,$G353))</f>
      </c>
      <c r="F353" s="142">
        <f>IF($G353="","",INDEX(资金台帐!$E$7:$E$3006,$G353)&amp;IF(INDEX(资金台帐!$M$7:$M$3006,$G353)="","","；"&amp;INDEX(资金台帐!$M$7:$M$3006,$G353)))</f>
      </c>
      <c r="G353" s="78">
        <f>IFERROR(MATCH(350,资金台帐!$Q$7:$Q$3006,0),"")</f>
      </c>
      <c r="I353" s="141">
        <f>IF($O353="","",350)</f>
      </c>
      <c r="J353" s="140">
        <f>IF($O353="","",INDEX(资金台帐!$B$7:$B$3006,$O353))</f>
      </c>
      <c r="K353" s="141">
        <f>IF($O353="","",INDEX(资金台帐!$K$7:$K$3006,$O353))</f>
      </c>
      <c r="L353" s="172">
        <f>IF($O353="","",-INDEX(资金台帐!$S$7:$S$3006,$O353))</f>
      </c>
      <c r="M353" s="141">
        <f>IF($O353="","",INDEX(资金台帐!$C$7:$C$3006,$O353))</f>
      </c>
      <c r="N353" s="142">
        <f>IF($O353="","",INDEX(资金台帐!$E$7:$E$3006,$O353))</f>
      </c>
      <c r="O353" s="78">
        <f>IFERROR(MATCH(350,资金台帐!$R$7:$R$3006,0),"")</f>
      </c>
    </row>
    <row r="354">
      <c r="A354" s="141">
        <f>IF($G354="","",351)</f>
      </c>
      <c r="B354" s="140">
        <f>IF($G354="","",INDEX(资金台帐!$B$7:$B$3006,$G354))</f>
      </c>
      <c r="C354" s="141">
        <f>IF($G354="","",INDEX(资金台帐!$J$7:$J$3006,$G354))</f>
      </c>
      <c r="D354" s="172">
        <f>IF($G354="","",INDEX(资金台帐!$S$7:$S$3006,$G354))</f>
      </c>
      <c r="E354" s="141">
        <f>IF($G354="","",INDEX(资金台帐!$C$7:$C$3006,$G354))</f>
      </c>
      <c r="F354" s="142">
        <f>IF($G354="","",INDEX(资金台帐!$E$7:$E$3006,$G354)&amp;IF(INDEX(资金台帐!$M$7:$M$3006,$G354)="","","；"&amp;INDEX(资金台帐!$M$7:$M$3006,$G354)))</f>
      </c>
      <c r="G354" s="78">
        <f>IFERROR(MATCH(351,资金台帐!$Q$7:$Q$3006,0),"")</f>
      </c>
      <c r="I354" s="141">
        <f>IF($O354="","",351)</f>
      </c>
      <c r="J354" s="140">
        <f>IF($O354="","",INDEX(资金台帐!$B$7:$B$3006,$O354))</f>
      </c>
      <c r="K354" s="141">
        <f>IF($O354="","",INDEX(资金台帐!$K$7:$K$3006,$O354))</f>
      </c>
      <c r="L354" s="172">
        <f>IF($O354="","",-INDEX(资金台帐!$S$7:$S$3006,$O354))</f>
      </c>
      <c r="M354" s="141">
        <f>IF($O354="","",INDEX(资金台帐!$C$7:$C$3006,$O354))</f>
      </c>
      <c r="N354" s="142">
        <f>IF($O354="","",INDEX(资金台帐!$E$7:$E$3006,$O354))</f>
      </c>
      <c r="O354" s="78">
        <f>IFERROR(MATCH(351,资金台帐!$R$7:$R$3006,0),"")</f>
      </c>
    </row>
    <row r="355">
      <c r="A355" s="141">
        <f>IF($G355="","",352)</f>
      </c>
      <c r="B355" s="140">
        <f>IF($G355="","",INDEX(资金台帐!$B$7:$B$3006,$G355))</f>
      </c>
      <c r="C355" s="141">
        <f>IF($G355="","",INDEX(资金台帐!$J$7:$J$3006,$G355))</f>
      </c>
      <c r="D355" s="172">
        <f>IF($G355="","",INDEX(资金台帐!$S$7:$S$3006,$G355))</f>
      </c>
      <c r="E355" s="141">
        <f>IF($G355="","",INDEX(资金台帐!$C$7:$C$3006,$G355))</f>
      </c>
      <c r="F355" s="142">
        <f>IF($G355="","",INDEX(资金台帐!$E$7:$E$3006,$G355)&amp;IF(INDEX(资金台帐!$M$7:$M$3006,$G355)="","","；"&amp;INDEX(资金台帐!$M$7:$M$3006,$G355)))</f>
      </c>
      <c r="G355" s="78">
        <f>IFERROR(MATCH(352,资金台帐!$Q$7:$Q$3006,0),"")</f>
      </c>
      <c r="I355" s="141">
        <f>IF($O355="","",352)</f>
      </c>
      <c r="J355" s="140">
        <f>IF($O355="","",INDEX(资金台帐!$B$7:$B$3006,$O355))</f>
      </c>
      <c r="K355" s="141">
        <f>IF($O355="","",INDEX(资金台帐!$K$7:$K$3006,$O355))</f>
      </c>
      <c r="L355" s="172">
        <f>IF($O355="","",-INDEX(资金台帐!$S$7:$S$3006,$O355))</f>
      </c>
      <c r="M355" s="141">
        <f>IF($O355="","",INDEX(资金台帐!$C$7:$C$3006,$O355))</f>
      </c>
      <c r="N355" s="142">
        <f>IF($O355="","",INDEX(资金台帐!$E$7:$E$3006,$O355))</f>
      </c>
      <c r="O355" s="78">
        <f>IFERROR(MATCH(352,资金台帐!$R$7:$R$3006,0),"")</f>
      </c>
    </row>
    <row r="356">
      <c r="A356" s="141">
        <f>IF($G356="","",353)</f>
      </c>
      <c r="B356" s="140">
        <f>IF($G356="","",INDEX(资金台帐!$B$7:$B$3006,$G356))</f>
      </c>
      <c r="C356" s="141">
        <f>IF($G356="","",INDEX(资金台帐!$J$7:$J$3006,$G356))</f>
      </c>
      <c r="D356" s="172">
        <f>IF($G356="","",INDEX(资金台帐!$S$7:$S$3006,$G356))</f>
      </c>
      <c r="E356" s="141">
        <f>IF($G356="","",INDEX(资金台帐!$C$7:$C$3006,$G356))</f>
      </c>
      <c r="F356" s="142">
        <f>IF($G356="","",INDEX(资金台帐!$E$7:$E$3006,$G356)&amp;IF(INDEX(资金台帐!$M$7:$M$3006,$G356)="","","；"&amp;INDEX(资金台帐!$M$7:$M$3006,$G356)))</f>
      </c>
      <c r="G356" s="78">
        <f>IFERROR(MATCH(353,资金台帐!$Q$7:$Q$3006,0),"")</f>
      </c>
      <c r="I356" s="141">
        <f>IF($O356="","",353)</f>
      </c>
      <c r="J356" s="140">
        <f>IF($O356="","",INDEX(资金台帐!$B$7:$B$3006,$O356))</f>
      </c>
      <c r="K356" s="141">
        <f>IF($O356="","",INDEX(资金台帐!$K$7:$K$3006,$O356))</f>
      </c>
      <c r="L356" s="172">
        <f>IF($O356="","",-INDEX(资金台帐!$S$7:$S$3006,$O356))</f>
      </c>
      <c r="M356" s="141">
        <f>IF($O356="","",INDEX(资金台帐!$C$7:$C$3006,$O356))</f>
      </c>
      <c r="N356" s="142">
        <f>IF($O356="","",INDEX(资金台帐!$E$7:$E$3006,$O356))</f>
      </c>
      <c r="O356" s="78">
        <f>IFERROR(MATCH(353,资金台帐!$R$7:$R$3006,0),"")</f>
      </c>
    </row>
    <row r="357">
      <c r="A357" s="141">
        <f>IF($G357="","",354)</f>
      </c>
      <c r="B357" s="140">
        <f>IF($G357="","",INDEX(资金台帐!$B$7:$B$3006,$G357))</f>
      </c>
      <c r="C357" s="141">
        <f>IF($G357="","",INDEX(资金台帐!$J$7:$J$3006,$G357))</f>
      </c>
      <c r="D357" s="172">
        <f>IF($G357="","",INDEX(资金台帐!$S$7:$S$3006,$G357))</f>
      </c>
      <c r="E357" s="141">
        <f>IF($G357="","",INDEX(资金台帐!$C$7:$C$3006,$G357))</f>
      </c>
      <c r="F357" s="142">
        <f>IF($G357="","",INDEX(资金台帐!$E$7:$E$3006,$G357)&amp;IF(INDEX(资金台帐!$M$7:$M$3006,$G357)="","","；"&amp;INDEX(资金台帐!$M$7:$M$3006,$G357)))</f>
      </c>
      <c r="G357" s="78">
        <f>IFERROR(MATCH(354,资金台帐!$Q$7:$Q$3006,0),"")</f>
      </c>
      <c r="I357" s="141">
        <f>IF($O357="","",354)</f>
      </c>
      <c r="J357" s="140">
        <f>IF($O357="","",INDEX(资金台帐!$B$7:$B$3006,$O357))</f>
      </c>
      <c r="K357" s="141">
        <f>IF($O357="","",INDEX(资金台帐!$K$7:$K$3006,$O357))</f>
      </c>
      <c r="L357" s="172">
        <f>IF($O357="","",-INDEX(资金台帐!$S$7:$S$3006,$O357))</f>
      </c>
      <c r="M357" s="141">
        <f>IF($O357="","",INDEX(资金台帐!$C$7:$C$3006,$O357))</f>
      </c>
      <c r="N357" s="142">
        <f>IF($O357="","",INDEX(资金台帐!$E$7:$E$3006,$O357))</f>
      </c>
      <c r="O357" s="78">
        <f>IFERROR(MATCH(354,资金台帐!$R$7:$R$3006,0),"")</f>
      </c>
    </row>
    <row r="358">
      <c r="A358" s="141">
        <f>IF($G358="","",355)</f>
      </c>
      <c r="B358" s="140">
        <f>IF($G358="","",INDEX(资金台帐!$B$7:$B$3006,$G358))</f>
      </c>
      <c r="C358" s="141">
        <f>IF($G358="","",INDEX(资金台帐!$J$7:$J$3006,$G358))</f>
      </c>
      <c r="D358" s="172">
        <f>IF($G358="","",INDEX(资金台帐!$S$7:$S$3006,$G358))</f>
      </c>
      <c r="E358" s="141">
        <f>IF($G358="","",INDEX(资金台帐!$C$7:$C$3006,$G358))</f>
      </c>
      <c r="F358" s="142">
        <f>IF($G358="","",INDEX(资金台帐!$E$7:$E$3006,$G358)&amp;IF(INDEX(资金台帐!$M$7:$M$3006,$G358)="","","；"&amp;INDEX(资金台帐!$M$7:$M$3006,$G358)))</f>
      </c>
      <c r="G358" s="78">
        <f>IFERROR(MATCH(355,资金台帐!$Q$7:$Q$3006,0),"")</f>
      </c>
      <c r="I358" s="141">
        <f>IF($O358="","",355)</f>
      </c>
      <c r="J358" s="140">
        <f>IF($O358="","",INDEX(资金台帐!$B$7:$B$3006,$O358))</f>
      </c>
      <c r="K358" s="141">
        <f>IF($O358="","",INDEX(资金台帐!$K$7:$K$3006,$O358))</f>
      </c>
      <c r="L358" s="172">
        <f>IF($O358="","",-INDEX(资金台帐!$S$7:$S$3006,$O358))</f>
      </c>
      <c r="M358" s="141">
        <f>IF($O358="","",INDEX(资金台帐!$C$7:$C$3006,$O358))</f>
      </c>
      <c r="N358" s="142">
        <f>IF($O358="","",INDEX(资金台帐!$E$7:$E$3006,$O358))</f>
      </c>
      <c r="O358" s="78">
        <f>IFERROR(MATCH(355,资金台帐!$R$7:$R$3006,0),"")</f>
      </c>
    </row>
    <row r="359">
      <c r="A359" s="141">
        <f>IF($G359="","",356)</f>
      </c>
      <c r="B359" s="140">
        <f>IF($G359="","",INDEX(资金台帐!$B$7:$B$3006,$G359))</f>
      </c>
      <c r="C359" s="141">
        <f>IF($G359="","",INDEX(资金台帐!$J$7:$J$3006,$G359))</f>
      </c>
      <c r="D359" s="172">
        <f>IF($G359="","",INDEX(资金台帐!$S$7:$S$3006,$G359))</f>
      </c>
      <c r="E359" s="141">
        <f>IF($G359="","",INDEX(资金台帐!$C$7:$C$3006,$G359))</f>
      </c>
      <c r="F359" s="142">
        <f>IF($G359="","",INDEX(资金台帐!$E$7:$E$3006,$G359)&amp;IF(INDEX(资金台帐!$M$7:$M$3006,$G359)="","","；"&amp;INDEX(资金台帐!$M$7:$M$3006,$G359)))</f>
      </c>
      <c r="G359" s="78">
        <f>IFERROR(MATCH(356,资金台帐!$Q$7:$Q$3006,0),"")</f>
      </c>
      <c r="I359" s="141">
        <f>IF($O359="","",356)</f>
      </c>
      <c r="J359" s="140">
        <f>IF($O359="","",INDEX(资金台帐!$B$7:$B$3006,$O359))</f>
      </c>
      <c r="K359" s="141">
        <f>IF($O359="","",INDEX(资金台帐!$K$7:$K$3006,$O359))</f>
      </c>
      <c r="L359" s="172">
        <f>IF($O359="","",-INDEX(资金台帐!$S$7:$S$3006,$O359))</f>
      </c>
      <c r="M359" s="141">
        <f>IF($O359="","",INDEX(资金台帐!$C$7:$C$3006,$O359))</f>
      </c>
      <c r="N359" s="142">
        <f>IF($O359="","",INDEX(资金台帐!$E$7:$E$3006,$O359))</f>
      </c>
      <c r="O359" s="78">
        <f>IFERROR(MATCH(356,资金台帐!$R$7:$R$3006,0),"")</f>
      </c>
    </row>
    <row r="360">
      <c r="A360" s="141">
        <f>IF($G360="","",357)</f>
      </c>
      <c r="B360" s="140">
        <f>IF($G360="","",INDEX(资金台帐!$B$7:$B$3006,$G360))</f>
      </c>
      <c r="C360" s="141">
        <f>IF($G360="","",INDEX(资金台帐!$J$7:$J$3006,$G360))</f>
      </c>
      <c r="D360" s="172">
        <f>IF($G360="","",INDEX(资金台帐!$S$7:$S$3006,$G360))</f>
      </c>
      <c r="E360" s="141">
        <f>IF($G360="","",INDEX(资金台帐!$C$7:$C$3006,$G360))</f>
      </c>
      <c r="F360" s="142">
        <f>IF($G360="","",INDEX(资金台帐!$E$7:$E$3006,$G360)&amp;IF(INDEX(资金台帐!$M$7:$M$3006,$G360)="","","；"&amp;INDEX(资金台帐!$M$7:$M$3006,$G360)))</f>
      </c>
      <c r="G360" s="78">
        <f>IFERROR(MATCH(357,资金台帐!$Q$7:$Q$3006,0),"")</f>
      </c>
      <c r="I360" s="141">
        <f>IF($O360="","",357)</f>
      </c>
      <c r="J360" s="140">
        <f>IF($O360="","",INDEX(资金台帐!$B$7:$B$3006,$O360))</f>
      </c>
      <c r="K360" s="141">
        <f>IF($O360="","",INDEX(资金台帐!$K$7:$K$3006,$O360))</f>
      </c>
      <c r="L360" s="172">
        <f>IF($O360="","",-INDEX(资金台帐!$S$7:$S$3006,$O360))</f>
      </c>
      <c r="M360" s="141">
        <f>IF($O360="","",INDEX(资金台帐!$C$7:$C$3006,$O360))</f>
      </c>
      <c r="N360" s="142">
        <f>IF($O360="","",INDEX(资金台帐!$E$7:$E$3006,$O360))</f>
      </c>
      <c r="O360" s="78">
        <f>IFERROR(MATCH(357,资金台帐!$R$7:$R$3006,0),"")</f>
      </c>
    </row>
    <row r="361">
      <c r="A361" s="141">
        <f>IF($G361="","",358)</f>
      </c>
      <c r="B361" s="140">
        <f>IF($G361="","",INDEX(资金台帐!$B$7:$B$3006,$G361))</f>
      </c>
      <c r="C361" s="141">
        <f>IF($G361="","",INDEX(资金台帐!$J$7:$J$3006,$G361))</f>
      </c>
      <c r="D361" s="172">
        <f>IF($G361="","",INDEX(资金台帐!$S$7:$S$3006,$G361))</f>
      </c>
      <c r="E361" s="141">
        <f>IF($G361="","",INDEX(资金台帐!$C$7:$C$3006,$G361))</f>
      </c>
      <c r="F361" s="142">
        <f>IF($G361="","",INDEX(资金台帐!$E$7:$E$3006,$G361)&amp;IF(INDEX(资金台帐!$M$7:$M$3006,$G361)="","","；"&amp;INDEX(资金台帐!$M$7:$M$3006,$G361)))</f>
      </c>
      <c r="G361" s="78">
        <f>IFERROR(MATCH(358,资金台帐!$Q$7:$Q$3006,0),"")</f>
      </c>
      <c r="I361" s="141">
        <f>IF($O361="","",358)</f>
      </c>
      <c r="J361" s="140">
        <f>IF($O361="","",INDEX(资金台帐!$B$7:$B$3006,$O361))</f>
      </c>
      <c r="K361" s="141">
        <f>IF($O361="","",INDEX(资金台帐!$K$7:$K$3006,$O361))</f>
      </c>
      <c r="L361" s="172">
        <f>IF($O361="","",-INDEX(资金台帐!$S$7:$S$3006,$O361))</f>
      </c>
      <c r="M361" s="141">
        <f>IF($O361="","",INDEX(资金台帐!$C$7:$C$3006,$O361))</f>
      </c>
      <c r="N361" s="142">
        <f>IF($O361="","",INDEX(资金台帐!$E$7:$E$3006,$O361))</f>
      </c>
      <c r="O361" s="78">
        <f>IFERROR(MATCH(358,资金台帐!$R$7:$R$3006,0),"")</f>
      </c>
    </row>
    <row r="362">
      <c r="A362" s="141">
        <f>IF($G362="","",359)</f>
      </c>
      <c r="B362" s="140">
        <f>IF($G362="","",INDEX(资金台帐!$B$7:$B$3006,$G362))</f>
      </c>
      <c r="C362" s="141">
        <f>IF($G362="","",INDEX(资金台帐!$J$7:$J$3006,$G362))</f>
      </c>
      <c r="D362" s="172">
        <f>IF($G362="","",INDEX(资金台帐!$S$7:$S$3006,$G362))</f>
      </c>
      <c r="E362" s="141">
        <f>IF($G362="","",INDEX(资金台帐!$C$7:$C$3006,$G362))</f>
      </c>
      <c r="F362" s="142">
        <f>IF($G362="","",INDEX(资金台帐!$E$7:$E$3006,$G362)&amp;IF(INDEX(资金台帐!$M$7:$M$3006,$G362)="","","；"&amp;INDEX(资金台帐!$M$7:$M$3006,$G362)))</f>
      </c>
      <c r="G362" s="78">
        <f>IFERROR(MATCH(359,资金台帐!$Q$7:$Q$3006,0),"")</f>
      </c>
      <c r="I362" s="141">
        <f>IF($O362="","",359)</f>
      </c>
      <c r="J362" s="140">
        <f>IF($O362="","",INDEX(资金台帐!$B$7:$B$3006,$O362))</f>
      </c>
      <c r="K362" s="141">
        <f>IF($O362="","",INDEX(资金台帐!$K$7:$K$3006,$O362))</f>
      </c>
      <c r="L362" s="172">
        <f>IF($O362="","",-INDEX(资金台帐!$S$7:$S$3006,$O362))</f>
      </c>
      <c r="M362" s="141">
        <f>IF($O362="","",INDEX(资金台帐!$C$7:$C$3006,$O362))</f>
      </c>
      <c r="N362" s="142">
        <f>IF($O362="","",INDEX(资金台帐!$E$7:$E$3006,$O362))</f>
      </c>
      <c r="O362" s="78">
        <f>IFERROR(MATCH(359,资金台帐!$R$7:$R$3006,0),"")</f>
      </c>
    </row>
    <row r="363">
      <c r="A363" s="141">
        <f>IF($G363="","",360)</f>
      </c>
      <c r="B363" s="140">
        <f>IF($G363="","",INDEX(资金台帐!$B$7:$B$3006,$G363))</f>
      </c>
      <c r="C363" s="141">
        <f>IF($G363="","",INDEX(资金台帐!$J$7:$J$3006,$G363))</f>
      </c>
      <c r="D363" s="172">
        <f>IF($G363="","",INDEX(资金台帐!$S$7:$S$3006,$G363))</f>
      </c>
      <c r="E363" s="141">
        <f>IF($G363="","",INDEX(资金台帐!$C$7:$C$3006,$G363))</f>
      </c>
      <c r="F363" s="142">
        <f>IF($G363="","",INDEX(资金台帐!$E$7:$E$3006,$G363)&amp;IF(INDEX(资金台帐!$M$7:$M$3006,$G363)="","","；"&amp;INDEX(资金台帐!$M$7:$M$3006,$G363)))</f>
      </c>
      <c r="G363" s="78">
        <f>IFERROR(MATCH(360,资金台帐!$Q$7:$Q$3006,0),"")</f>
      </c>
      <c r="I363" s="141">
        <f>IF($O363="","",360)</f>
      </c>
      <c r="J363" s="140">
        <f>IF($O363="","",INDEX(资金台帐!$B$7:$B$3006,$O363))</f>
      </c>
      <c r="K363" s="141">
        <f>IF($O363="","",INDEX(资金台帐!$K$7:$K$3006,$O363))</f>
      </c>
      <c r="L363" s="172">
        <f>IF($O363="","",-INDEX(资金台帐!$S$7:$S$3006,$O363))</f>
      </c>
      <c r="M363" s="141">
        <f>IF($O363="","",INDEX(资金台帐!$C$7:$C$3006,$O363))</f>
      </c>
      <c r="N363" s="142">
        <f>IF($O363="","",INDEX(资金台帐!$E$7:$E$3006,$O363))</f>
      </c>
      <c r="O363" s="78">
        <f>IFERROR(MATCH(360,资金台帐!$R$7:$R$3006,0),"")</f>
      </c>
    </row>
    <row r="364">
      <c r="A364" s="141">
        <f>IF($G364="","",361)</f>
      </c>
      <c r="B364" s="140">
        <f>IF($G364="","",INDEX(资金台帐!$B$7:$B$3006,$G364))</f>
      </c>
      <c r="C364" s="141">
        <f>IF($G364="","",INDEX(资金台帐!$J$7:$J$3006,$G364))</f>
      </c>
      <c r="D364" s="172">
        <f>IF($G364="","",INDEX(资金台帐!$S$7:$S$3006,$G364))</f>
      </c>
      <c r="E364" s="141">
        <f>IF($G364="","",INDEX(资金台帐!$C$7:$C$3006,$G364))</f>
      </c>
      <c r="F364" s="142">
        <f>IF($G364="","",INDEX(资金台帐!$E$7:$E$3006,$G364)&amp;IF(INDEX(资金台帐!$M$7:$M$3006,$G364)="","","；"&amp;INDEX(资金台帐!$M$7:$M$3006,$G364)))</f>
      </c>
      <c r="G364" s="78">
        <f>IFERROR(MATCH(361,资金台帐!$Q$7:$Q$3006,0),"")</f>
      </c>
      <c r="I364" s="141">
        <f>IF($O364="","",361)</f>
      </c>
      <c r="J364" s="140">
        <f>IF($O364="","",INDEX(资金台帐!$B$7:$B$3006,$O364))</f>
      </c>
      <c r="K364" s="141">
        <f>IF($O364="","",INDEX(资金台帐!$K$7:$K$3006,$O364))</f>
      </c>
      <c r="L364" s="172">
        <f>IF($O364="","",-INDEX(资金台帐!$S$7:$S$3006,$O364))</f>
      </c>
      <c r="M364" s="141">
        <f>IF($O364="","",INDEX(资金台帐!$C$7:$C$3006,$O364))</f>
      </c>
      <c r="N364" s="142">
        <f>IF($O364="","",INDEX(资金台帐!$E$7:$E$3006,$O364))</f>
      </c>
      <c r="O364" s="78">
        <f>IFERROR(MATCH(361,资金台帐!$R$7:$R$3006,0),"")</f>
      </c>
    </row>
    <row r="365">
      <c r="A365" s="141">
        <f>IF($G365="","",362)</f>
      </c>
      <c r="B365" s="140">
        <f>IF($G365="","",INDEX(资金台帐!$B$7:$B$3006,$G365))</f>
      </c>
      <c r="C365" s="141">
        <f>IF($G365="","",INDEX(资金台帐!$J$7:$J$3006,$G365))</f>
      </c>
      <c r="D365" s="172">
        <f>IF($G365="","",INDEX(资金台帐!$S$7:$S$3006,$G365))</f>
      </c>
      <c r="E365" s="141">
        <f>IF($G365="","",INDEX(资金台帐!$C$7:$C$3006,$G365))</f>
      </c>
      <c r="F365" s="142">
        <f>IF($G365="","",INDEX(资金台帐!$E$7:$E$3006,$G365)&amp;IF(INDEX(资金台帐!$M$7:$M$3006,$G365)="","","；"&amp;INDEX(资金台帐!$M$7:$M$3006,$G365)))</f>
      </c>
      <c r="G365" s="78">
        <f>IFERROR(MATCH(362,资金台帐!$Q$7:$Q$3006,0),"")</f>
      </c>
      <c r="I365" s="141">
        <f>IF($O365="","",362)</f>
      </c>
      <c r="J365" s="140">
        <f>IF($O365="","",INDEX(资金台帐!$B$7:$B$3006,$O365))</f>
      </c>
      <c r="K365" s="141">
        <f>IF($O365="","",INDEX(资金台帐!$K$7:$K$3006,$O365))</f>
      </c>
      <c r="L365" s="172">
        <f>IF($O365="","",-INDEX(资金台帐!$S$7:$S$3006,$O365))</f>
      </c>
      <c r="M365" s="141">
        <f>IF($O365="","",INDEX(资金台帐!$C$7:$C$3006,$O365))</f>
      </c>
      <c r="N365" s="142">
        <f>IF($O365="","",INDEX(资金台帐!$E$7:$E$3006,$O365))</f>
      </c>
      <c r="O365" s="78">
        <f>IFERROR(MATCH(362,资金台帐!$R$7:$R$3006,0),"")</f>
      </c>
    </row>
    <row r="366">
      <c r="A366" s="141">
        <f>IF($G366="","",363)</f>
      </c>
      <c r="B366" s="140">
        <f>IF($G366="","",INDEX(资金台帐!$B$7:$B$3006,$G366))</f>
      </c>
      <c r="C366" s="141">
        <f>IF($G366="","",INDEX(资金台帐!$J$7:$J$3006,$G366))</f>
      </c>
      <c r="D366" s="172">
        <f>IF($G366="","",INDEX(资金台帐!$S$7:$S$3006,$G366))</f>
      </c>
      <c r="E366" s="141">
        <f>IF($G366="","",INDEX(资金台帐!$C$7:$C$3006,$G366))</f>
      </c>
      <c r="F366" s="142">
        <f>IF($G366="","",INDEX(资金台帐!$E$7:$E$3006,$G366)&amp;IF(INDEX(资金台帐!$M$7:$M$3006,$G366)="","","；"&amp;INDEX(资金台帐!$M$7:$M$3006,$G366)))</f>
      </c>
      <c r="G366" s="78">
        <f>IFERROR(MATCH(363,资金台帐!$Q$7:$Q$3006,0),"")</f>
      </c>
      <c r="I366" s="141">
        <f>IF($O366="","",363)</f>
      </c>
      <c r="J366" s="140">
        <f>IF($O366="","",INDEX(资金台帐!$B$7:$B$3006,$O366))</f>
      </c>
      <c r="K366" s="141">
        <f>IF($O366="","",INDEX(资金台帐!$K$7:$K$3006,$O366))</f>
      </c>
      <c r="L366" s="172">
        <f>IF($O366="","",-INDEX(资金台帐!$S$7:$S$3006,$O366))</f>
      </c>
      <c r="M366" s="141">
        <f>IF($O366="","",INDEX(资金台帐!$C$7:$C$3006,$O366))</f>
      </c>
      <c r="N366" s="142">
        <f>IF($O366="","",INDEX(资金台帐!$E$7:$E$3006,$O366))</f>
      </c>
      <c r="O366" s="78">
        <f>IFERROR(MATCH(363,资金台帐!$R$7:$R$3006,0),"")</f>
      </c>
    </row>
    <row r="367">
      <c r="A367" s="141">
        <f>IF($G367="","",364)</f>
      </c>
      <c r="B367" s="140">
        <f>IF($G367="","",INDEX(资金台帐!$B$7:$B$3006,$G367))</f>
      </c>
      <c r="C367" s="141">
        <f>IF($G367="","",INDEX(资金台帐!$J$7:$J$3006,$G367))</f>
      </c>
      <c r="D367" s="172">
        <f>IF($G367="","",INDEX(资金台帐!$S$7:$S$3006,$G367))</f>
      </c>
      <c r="E367" s="141">
        <f>IF($G367="","",INDEX(资金台帐!$C$7:$C$3006,$G367))</f>
      </c>
      <c r="F367" s="142">
        <f>IF($G367="","",INDEX(资金台帐!$E$7:$E$3006,$G367)&amp;IF(INDEX(资金台帐!$M$7:$M$3006,$G367)="","","；"&amp;INDEX(资金台帐!$M$7:$M$3006,$G367)))</f>
      </c>
      <c r="G367" s="78">
        <f>IFERROR(MATCH(364,资金台帐!$Q$7:$Q$3006,0),"")</f>
      </c>
      <c r="I367" s="141">
        <f>IF($O367="","",364)</f>
      </c>
      <c r="J367" s="140">
        <f>IF($O367="","",INDEX(资金台帐!$B$7:$B$3006,$O367))</f>
      </c>
      <c r="K367" s="141">
        <f>IF($O367="","",INDEX(资金台帐!$K$7:$K$3006,$O367))</f>
      </c>
      <c r="L367" s="172">
        <f>IF($O367="","",-INDEX(资金台帐!$S$7:$S$3006,$O367))</f>
      </c>
      <c r="M367" s="141">
        <f>IF($O367="","",INDEX(资金台帐!$C$7:$C$3006,$O367))</f>
      </c>
      <c r="N367" s="142">
        <f>IF($O367="","",INDEX(资金台帐!$E$7:$E$3006,$O367))</f>
      </c>
      <c r="O367" s="78">
        <f>IFERROR(MATCH(364,资金台帐!$R$7:$R$3006,0),"")</f>
      </c>
    </row>
    <row r="368">
      <c r="A368" s="141">
        <f>IF($G368="","",365)</f>
      </c>
      <c r="B368" s="140">
        <f>IF($G368="","",INDEX(资金台帐!$B$7:$B$3006,$G368))</f>
      </c>
      <c r="C368" s="141">
        <f>IF($G368="","",INDEX(资金台帐!$J$7:$J$3006,$G368))</f>
      </c>
      <c r="D368" s="172">
        <f>IF($G368="","",INDEX(资金台帐!$S$7:$S$3006,$G368))</f>
      </c>
      <c r="E368" s="141">
        <f>IF($G368="","",INDEX(资金台帐!$C$7:$C$3006,$G368))</f>
      </c>
      <c r="F368" s="142">
        <f>IF($G368="","",INDEX(资金台帐!$E$7:$E$3006,$G368)&amp;IF(INDEX(资金台帐!$M$7:$M$3006,$G368)="","","；"&amp;INDEX(资金台帐!$M$7:$M$3006,$G368)))</f>
      </c>
      <c r="G368" s="78">
        <f>IFERROR(MATCH(365,资金台帐!$Q$7:$Q$3006,0),"")</f>
      </c>
      <c r="I368" s="141">
        <f>IF($O368="","",365)</f>
      </c>
      <c r="J368" s="140">
        <f>IF($O368="","",INDEX(资金台帐!$B$7:$B$3006,$O368))</f>
      </c>
      <c r="K368" s="141">
        <f>IF($O368="","",INDEX(资金台帐!$K$7:$K$3006,$O368))</f>
      </c>
      <c r="L368" s="172">
        <f>IF($O368="","",-INDEX(资金台帐!$S$7:$S$3006,$O368))</f>
      </c>
      <c r="M368" s="141">
        <f>IF($O368="","",INDEX(资金台帐!$C$7:$C$3006,$O368))</f>
      </c>
      <c r="N368" s="142">
        <f>IF($O368="","",INDEX(资金台帐!$E$7:$E$3006,$O368))</f>
      </c>
      <c r="O368" s="78">
        <f>IFERROR(MATCH(365,资金台帐!$R$7:$R$3006,0),"")</f>
      </c>
    </row>
    <row r="369">
      <c r="A369" s="141">
        <f>IF($G369="","",366)</f>
      </c>
      <c r="B369" s="140">
        <f>IF($G369="","",INDEX(资金台帐!$B$7:$B$3006,$G369))</f>
      </c>
      <c r="C369" s="141">
        <f>IF($G369="","",INDEX(资金台帐!$J$7:$J$3006,$G369))</f>
      </c>
      <c r="D369" s="172">
        <f>IF($G369="","",INDEX(资金台帐!$S$7:$S$3006,$G369))</f>
      </c>
      <c r="E369" s="141">
        <f>IF($G369="","",INDEX(资金台帐!$C$7:$C$3006,$G369))</f>
      </c>
      <c r="F369" s="142">
        <f>IF($G369="","",INDEX(资金台帐!$E$7:$E$3006,$G369)&amp;IF(INDEX(资金台帐!$M$7:$M$3006,$G369)="","","；"&amp;INDEX(资金台帐!$M$7:$M$3006,$G369)))</f>
      </c>
      <c r="G369" s="78">
        <f>IFERROR(MATCH(366,资金台帐!$Q$7:$Q$3006,0),"")</f>
      </c>
      <c r="I369" s="141">
        <f>IF($O369="","",366)</f>
      </c>
      <c r="J369" s="140">
        <f>IF($O369="","",INDEX(资金台帐!$B$7:$B$3006,$O369))</f>
      </c>
      <c r="K369" s="141">
        <f>IF($O369="","",INDEX(资金台帐!$K$7:$K$3006,$O369))</f>
      </c>
      <c r="L369" s="172">
        <f>IF($O369="","",-INDEX(资金台帐!$S$7:$S$3006,$O369))</f>
      </c>
      <c r="M369" s="141">
        <f>IF($O369="","",INDEX(资金台帐!$C$7:$C$3006,$O369))</f>
      </c>
      <c r="N369" s="142">
        <f>IF($O369="","",INDEX(资金台帐!$E$7:$E$3006,$O369))</f>
      </c>
      <c r="O369" s="78">
        <f>IFERROR(MATCH(366,资金台帐!$R$7:$R$3006,0),"")</f>
      </c>
    </row>
    <row r="370">
      <c r="A370" s="141">
        <f>IF($G370="","",367)</f>
      </c>
      <c r="B370" s="140">
        <f>IF($G370="","",INDEX(资金台帐!$B$7:$B$3006,$G370))</f>
      </c>
      <c r="C370" s="141">
        <f>IF($G370="","",INDEX(资金台帐!$J$7:$J$3006,$G370))</f>
      </c>
      <c r="D370" s="172">
        <f>IF($G370="","",INDEX(资金台帐!$S$7:$S$3006,$G370))</f>
      </c>
      <c r="E370" s="141">
        <f>IF($G370="","",INDEX(资金台帐!$C$7:$C$3006,$G370))</f>
      </c>
      <c r="F370" s="142">
        <f>IF($G370="","",INDEX(资金台帐!$E$7:$E$3006,$G370)&amp;IF(INDEX(资金台帐!$M$7:$M$3006,$G370)="","","；"&amp;INDEX(资金台帐!$M$7:$M$3006,$G370)))</f>
      </c>
      <c r="G370" s="78">
        <f>IFERROR(MATCH(367,资金台帐!$Q$7:$Q$3006,0),"")</f>
      </c>
      <c r="I370" s="141">
        <f>IF($O370="","",367)</f>
      </c>
      <c r="J370" s="140">
        <f>IF($O370="","",INDEX(资金台帐!$B$7:$B$3006,$O370))</f>
      </c>
      <c r="K370" s="141">
        <f>IF($O370="","",INDEX(资金台帐!$K$7:$K$3006,$O370))</f>
      </c>
      <c r="L370" s="172">
        <f>IF($O370="","",-INDEX(资金台帐!$S$7:$S$3006,$O370))</f>
      </c>
      <c r="M370" s="141">
        <f>IF($O370="","",INDEX(资金台帐!$C$7:$C$3006,$O370))</f>
      </c>
      <c r="N370" s="142">
        <f>IF($O370="","",INDEX(资金台帐!$E$7:$E$3006,$O370))</f>
      </c>
      <c r="O370" s="78">
        <f>IFERROR(MATCH(367,资金台帐!$R$7:$R$3006,0),"")</f>
      </c>
    </row>
    <row r="371">
      <c r="A371" s="141">
        <f>IF($G371="","",368)</f>
      </c>
      <c r="B371" s="140">
        <f>IF($G371="","",INDEX(资金台帐!$B$7:$B$3006,$G371))</f>
      </c>
      <c r="C371" s="141">
        <f>IF($G371="","",INDEX(资金台帐!$J$7:$J$3006,$G371))</f>
      </c>
      <c r="D371" s="172">
        <f>IF($G371="","",INDEX(资金台帐!$S$7:$S$3006,$G371))</f>
      </c>
      <c r="E371" s="141">
        <f>IF($G371="","",INDEX(资金台帐!$C$7:$C$3006,$G371))</f>
      </c>
      <c r="F371" s="142">
        <f>IF($G371="","",INDEX(资金台帐!$E$7:$E$3006,$G371)&amp;IF(INDEX(资金台帐!$M$7:$M$3006,$G371)="","","；"&amp;INDEX(资金台帐!$M$7:$M$3006,$G371)))</f>
      </c>
      <c r="G371" s="78">
        <f>IFERROR(MATCH(368,资金台帐!$Q$7:$Q$3006,0),"")</f>
      </c>
      <c r="I371" s="141">
        <f>IF($O371="","",368)</f>
      </c>
      <c r="J371" s="140">
        <f>IF($O371="","",INDEX(资金台帐!$B$7:$B$3006,$O371))</f>
      </c>
      <c r="K371" s="141">
        <f>IF($O371="","",INDEX(资金台帐!$K$7:$K$3006,$O371))</f>
      </c>
      <c r="L371" s="172">
        <f>IF($O371="","",-INDEX(资金台帐!$S$7:$S$3006,$O371))</f>
      </c>
      <c r="M371" s="141">
        <f>IF($O371="","",INDEX(资金台帐!$C$7:$C$3006,$O371))</f>
      </c>
      <c r="N371" s="142">
        <f>IF($O371="","",INDEX(资金台帐!$E$7:$E$3006,$O371))</f>
      </c>
      <c r="O371" s="78">
        <f>IFERROR(MATCH(368,资金台帐!$R$7:$R$3006,0),"")</f>
      </c>
    </row>
    <row r="372">
      <c r="A372" s="141">
        <f>IF($G372="","",369)</f>
      </c>
      <c r="B372" s="140">
        <f>IF($G372="","",INDEX(资金台帐!$B$7:$B$3006,$G372))</f>
      </c>
      <c r="C372" s="141">
        <f>IF($G372="","",INDEX(资金台帐!$J$7:$J$3006,$G372))</f>
      </c>
      <c r="D372" s="172">
        <f>IF($G372="","",INDEX(资金台帐!$S$7:$S$3006,$G372))</f>
      </c>
      <c r="E372" s="141">
        <f>IF($G372="","",INDEX(资金台帐!$C$7:$C$3006,$G372))</f>
      </c>
      <c r="F372" s="142">
        <f>IF($G372="","",INDEX(资金台帐!$E$7:$E$3006,$G372)&amp;IF(INDEX(资金台帐!$M$7:$M$3006,$G372)="","","；"&amp;INDEX(资金台帐!$M$7:$M$3006,$G372)))</f>
      </c>
      <c r="G372" s="78">
        <f>IFERROR(MATCH(369,资金台帐!$Q$7:$Q$3006,0),"")</f>
      </c>
      <c r="I372" s="141">
        <f>IF($O372="","",369)</f>
      </c>
      <c r="J372" s="140">
        <f>IF($O372="","",INDEX(资金台帐!$B$7:$B$3006,$O372))</f>
      </c>
      <c r="K372" s="141">
        <f>IF($O372="","",INDEX(资金台帐!$K$7:$K$3006,$O372))</f>
      </c>
      <c r="L372" s="172">
        <f>IF($O372="","",-INDEX(资金台帐!$S$7:$S$3006,$O372))</f>
      </c>
      <c r="M372" s="141">
        <f>IF($O372="","",INDEX(资金台帐!$C$7:$C$3006,$O372))</f>
      </c>
      <c r="N372" s="142">
        <f>IF($O372="","",INDEX(资金台帐!$E$7:$E$3006,$O372))</f>
      </c>
      <c r="O372" s="78">
        <f>IFERROR(MATCH(369,资金台帐!$R$7:$R$3006,0),"")</f>
      </c>
    </row>
    <row r="373">
      <c r="A373" s="141">
        <f>IF($G373="","",370)</f>
      </c>
      <c r="B373" s="140">
        <f>IF($G373="","",INDEX(资金台帐!$B$7:$B$3006,$G373))</f>
      </c>
      <c r="C373" s="141">
        <f>IF($G373="","",INDEX(资金台帐!$J$7:$J$3006,$G373))</f>
      </c>
      <c r="D373" s="172">
        <f>IF($G373="","",INDEX(资金台帐!$S$7:$S$3006,$G373))</f>
      </c>
      <c r="E373" s="141">
        <f>IF($G373="","",INDEX(资金台帐!$C$7:$C$3006,$G373))</f>
      </c>
      <c r="F373" s="142">
        <f>IF($G373="","",INDEX(资金台帐!$E$7:$E$3006,$G373)&amp;IF(INDEX(资金台帐!$M$7:$M$3006,$G373)="","","；"&amp;INDEX(资金台帐!$M$7:$M$3006,$G373)))</f>
      </c>
      <c r="G373" s="78">
        <f>IFERROR(MATCH(370,资金台帐!$Q$7:$Q$3006,0),"")</f>
      </c>
      <c r="I373" s="141">
        <f>IF($O373="","",370)</f>
      </c>
      <c r="J373" s="140">
        <f>IF($O373="","",INDEX(资金台帐!$B$7:$B$3006,$O373))</f>
      </c>
      <c r="K373" s="141">
        <f>IF($O373="","",INDEX(资金台帐!$K$7:$K$3006,$O373))</f>
      </c>
      <c r="L373" s="172">
        <f>IF($O373="","",-INDEX(资金台帐!$S$7:$S$3006,$O373))</f>
      </c>
      <c r="M373" s="141">
        <f>IF($O373="","",INDEX(资金台帐!$C$7:$C$3006,$O373))</f>
      </c>
      <c r="N373" s="142">
        <f>IF($O373="","",INDEX(资金台帐!$E$7:$E$3006,$O373))</f>
      </c>
      <c r="O373" s="78">
        <f>IFERROR(MATCH(370,资金台帐!$R$7:$R$3006,0),"")</f>
      </c>
    </row>
    <row r="374">
      <c r="A374" s="141">
        <f>IF($G374="","",371)</f>
      </c>
      <c r="B374" s="140">
        <f>IF($G374="","",INDEX(资金台帐!$B$7:$B$3006,$G374))</f>
      </c>
      <c r="C374" s="141">
        <f>IF($G374="","",INDEX(资金台帐!$J$7:$J$3006,$G374))</f>
      </c>
      <c r="D374" s="172">
        <f>IF($G374="","",INDEX(资金台帐!$S$7:$S$3006,$G374))</f>
      </c>
      <c r="E374" s="141">
        <f>IF($G374="","",INDEX(资金台帐!$C$7:$C$3006,$G374))</f>
      </c>
      <c r="F374" s="142">
        <f>IF($G374="","",INDEX(资金台帐!$E$7:$E$3006,$G374)&amp;IF(INDEX(资金台帐!$M$7:$M$3006,$G374)="","","；"&amp;INDEX(资金台帐!$M$7:$M$3006,$G374)))</f>
      </c>
      <c r="G374" s="78">
        <f>IFERROR(MATCH(371,资金台帐!$Q$7:$Q$3006,0),"")</f>
      </c>
      <c r="I374" s="141">
        <f>IF($O374="","",371)</f>
      </c>
      <c r="J374" s="140">
        <f>IF($O374="","",INDEX(资金台帐!$B$7:$B$3006,$O374))</f>
      </c>
      <c r="K374" s="141">
        <f>IF($O374="","",INDEX(资金台帐!$K$7:$K$3006,$O374))</f>
      </c>
      <c r="L374" s="172">
        <f>IF($O374="","",-INDEX(资金台帐!$S$7:$S$3006,$O374))</f>
      </c>
      <c r="M374" s="141">
        <f>IF($O374="","",INDEX(资金台帐!$C$7:$C$3006,$O374))</f>
      </c>
      <c r="N374" s="142">
        <f>IF($O374="","",INDEX(资金台帐!$E$7:$E$3006,$O374))</f>
      </c>
      <c r="O374" s="78">
        <f>IFERROR(MATCH(371,资金台帐!$R$7:$R$3006,0),"")</f>
      </c>
    </row>
    <row r="375">
      <c r="A375" s="141">
        <f>IF($G375="","",372)</f>
      </c>
      <c r="B375" s="140">
        <f>IF($G375="","",INDEX(资金台帐!$B$7:$B$3006,$G375))</f>
      </c>
      <c r="C375" s="141">
        <f>IF($G375="","",INDEX(资金台帐!$J$7:$J$3006,$G375))</f>
      </c>
      <c r="D375" s="172">
        <f>IF($G375="","",INDEX(资金台帐!$S$7:$S$3006,$G375))</f>
      </c>
      <c r="E375" s="141">
        <f>IF($G375="","",INDEX(资金台帐!$C$7:$C$3006,$G375))</f>
      </c>
      <c r="F375" s="142">
        <f>IF($G375="","",INDEX(资金台帐!$E$7:$E$3006,$G375)&amp;IF(INDEX(资金台帐!$M$7:$M$3006,$G375)="","","；"&amp;INDEX(资金台帐!$M$7:$M$3006,$G375)))</f>
      </c>
      <c r="G375" s="78">
        <f>IFERROR(MATCH(372,资金台帐!$Q$7:$Q$3006,0),"")</f>
      </c>
      <c r="I375" s="141">
        <f>IF($O375="","",372)</f>
      </c>
      <c r="J375" s="140">
        <f>IF($O375="","",INDEX(资金台帐!$B$7:$B$3006,$O375))</f>
      </c>
      <c r="K375" s="141">
        <f>IF($O375="","",INDEX(资金台帐!$K$7:$K$3006,$O375))</f>
      </c>
      <c r="L375" s="172">
        <f>IF($O375="","",-INDEX(资金台帐!$S$7:$S$3006,$O375))</f>
      </c>
      <c r="M375" s="141">
        <f>IF($O375="","",INDEX(资金台帐!$C$7:$C$3006,$O375))</f>
      </c>
      <c r="N375" s="142">
        <f>IF($O375="","",INDEX(资金台帐!$E$7:$E$3006,$O375))</f>
      </c>
      <c r="O375" s="78">
        <f>IFERROR(MATCH(372,资金台帐!$R$7:$R$3006,0),"")</f>
      </c>
    </row>
    <row r="376">
      <c r="A376" s="141">
        <f>IF($G376="","",373)</f>
      </c>
      <c r="B376" s="140">
        <f>IF($G376="","",INDEX(资金台帐!$B$7:$B$3006,$G376))</f>
      </c>
      <c r="C376" s="141">
        <f>IF($G376="","",INDEX(资金台帐!$J$7:$J$3006,$G376))</f>
      </c>
      <c r="D376" s="172">
        <f>IF($G376="","",INDEX(资金台帐!$S$7:$S$3006,$G376))</f>
      </c>
      <c r="E376" s="141">
        <f>IF($G376="","",INDEX(资金台帐!$C$7:$C$3006,$G376))</f>
      </c>
      <c r="F376" s="142">
        <f>IF($G376="","",INDEX(资金台帐!$E$7:$E$3006,$G376)&amp;IF(INDEX(资金台帐!$M$7:$M$3006,$G376)="","","；"&amp;INDEX(资金台帐!$M$7:$M$3006,$G376)))</f>
      </c>
      <c r="G376" s="78">
        <f>IFERROR(MATCH(373,资金台帐!$Q$7:$Q$3006,0),"")</f>
      </c>
      <c r="I376" s="141">
        <f>IF($O376="","",373)</f>
      </c>
      <c r="J376" s="140">
        <f>IF($O376="","",INDEX(资金台帐!$B$7:$B$3006,$O376))</f>
      </c>
      <c r="K376" s="141">
        <f>IF($O376="","",INDEX(资金台帐!$K$7:$K$3006,$O376))</f>
      </c>
      <c r="L376" s="172">
        <f>IF($O376="","",-INDEX(资金台帐!$S$7:$S$3006,$O376))</f>
      </c>
      <c r="M376" s="141">
        <f>IF($O376="","",INDEX(资金台帐!$C$7:$C$3006,$O376))</f>
      </c>
      <c r="N376" s="142">
        <f>IF($O376="","",INDEX(资金台帐!$E$7:$E$3006,$O376))</f>
      </c>
      <c r="O376" s="78">
        <f>IFERROR(MATCH(373,资金台帐!$R$7:$R$3006,0),"")</f>
      </c>
    </row>
    <row r="377">
      <c r="A377" s="141">
        <f>IF($G377="","",374)</f>
      </c>
      <c r="B377" s="140">
        <f>IF($G377="","",INDEX(资金台帐!$B$7:$B$3006,$G377))</f>
      </c>
      <c r="C377" s="141">
        <f>IF($G377="","",INDEX(资金台帐!$J$7:$J$3006,$G377))</f>
      </c>
      <c r="D377" s="172">
        <f>IF($G377="","",INDEX(资金台帐!$S$7:$S$3006,$G377))</f>
      </c>
      <c r="E377" s="141">
        <f>IF($G377="","",INDEX(资金台帐!$C$7:$C$3006,$G377))</f>
      </c>
      <c r="F377" s="142">
        <f>IF($G377="","",INDEX(资金台帐!$E$7:$E$3006,$G377)&amp;IF(INDEX(资金台帐!$M$7:$M$3006,$G377)="","","；"&amp;INDEX(资金台帐!$M$7:$M$3006,$G377)))</f>
      </c>
      <c r="G377" s="78">
        <f>IFERROR(MATCH(374,资金台帐!$Q$7:$Q$3006,0),"")</f>
      </c>
      <c r="I377" s="141">
        <f>IF($O377="","",374)</f>
      </c>
      <c r="J377" s="140">
        <f>IF($O377="","",INDEX(资金台帐!$B$7:$B$3006,$O377))</f>
      </c>
      <c r="K377" s="141">
        <f>IF($O377="","",INDEX(资金台帐!$K$7:$K$3006,$O377))</f>
      </c>
      <c r="L377" s="172">
        <f>IF($O377="","",-INDEX(资金台帐!$S$7:$S$3006,$O377))</f>
      </c>
      <c r="M377" s="141">
        <f>IF($O377="","",INDEX(资金台帐!$C$7:$C$3006,$O377))</f>
      </c>
      <c r="N377" s="142">
        <f>IF($O377="","",INDEX(资金台帐!$E$7:$E$3006,$O377))</f>
      </c>
      <c r="O377" s="78">
        <f>IFERROR(MATCH(374,资金台帐!$R$7:$R$3006,0),"")</f>
      </c>
    </row>
    <row r="378">
      <c r="A378" s="141">
        <f>IF($G378="","",375)</f>
      </c>
      <c r="B378" s="140">
        <f>IF($G378="","",INDEX(资金台帐!$B$7:$B$3006,$G378))</f>
      </c>
      <c r="C378" s="141">
        <f>IF($G378="","",INDEX(资金台帐!$J$7:$J$3006,$G378))</f>
      </c>
      <c r="D378" s="172">
        <f>IF($G378="","",INDEX(资金台帐!$S$7:$S$3006,$G378))</f>
      </c>
      <c r="E378" s="141">
        <f>IF($G378="","",INDEX(资金台帐!$C$7:$C$3006,$G378))</f>
      </c>
      <c r="F378" s="142">
        <f>IF($G378="","",INDEX(资金台帐!$E$7:$E$3006,$G378)&amp;IF(INDEX(资金台帐!$M$7:$M$3006,$G378)="","","；"&amp;INDEX(资金台帐!$M$7:$M$3006,$G378)))</f>
      </c>
      <c r="G378" s="78">
        <f>IFERROR(MATCH(375,资金台帐!$Q$7:$Q$3006,0),"")</f>
      </c>
      <c r="I378" s="141">
        <f>IF($O378="","",375)</f>
      </c>
      <c r="J378" s="140">
        <f>IF($O378="","",INDEX(资金台帐!$B$7:$B$3006,$O378))</f>
      </c>
      <c r="K378" s="141">
        <f>IF($O378="","",INDEX(资金台帐!$K$7:$K$3006,$O378))</f>
      </c>
      <c r="L378" s="172">
        <f>IF($O378="","",-INDEX(资金台帐!$S$7:$S$3006,$O378))</f>
      </c>
      <c r="M378" s="141">
        <f>IF($O378="","",INDEX(资金台帐!$C$7:$C$3006,$O378))</f>
      </c>
      <c r="N378" s="142">
        <f>IF($O378="","",INDEX(资金台帐!$E$7:$E$3006,$O378))</f>
      </c>
      <c r="O378" s="78">
        <f>IFERROR(MATCH(375,资金台帐!$R$7:$R$3006,0),"")</f>
      </c>
    </row>
    <row r="379">
      <c r="A379" s="141">
        <f>IF($G379="","",376)</f>
      </c>
      <c r="B379" s="140">
        <f>IF($G379="","",INDEX(资金台帐!$B$7:$B$3006,$G379))</f>
      </c>
      <c r="C379" s="141">
        <f>IF($G379="","",INDEX(资金台帐!$J$7:$J$3006,$G379))</f>
      </c>
      <c r="D379" s="172">
        <f>IF($G379="","",INDEX(资金台帐!$S$7:$S$3006,$G379))</f>
      </c>
      <c r="E379" s="141">
        <f>IF($G379="","",INDEX(资金台帐!$C$7:$C$3006,$G379))</f>
      </c>
      <c r="F379" s="142">
        <f>IF($G379="","",INDEX(资金台帐!$E$7:$E$3006,$G379)&amp;IF(INDEX(资金台帐!$M$7:$M$3006,$G379)="","","；"&amp;INDEX(资金台帐!$M$7:$M$3006,$G379)))</f>
      </c>
      <c r="G379" s="78">
        <f>IFERROR(MATCH(376,资金台帐!$Q$7:$Q$3006,0),"")</f>
      </c>
      <c r="I379" s="141">
        <f>IF($O379="","",376)</f>
      </c>
      <c r="J379" s="140">
        <f>IF($O379="","",INDEX(资金台帐!$B$7:$B$3006,$O379))</f>
      </c>
      <c r="K379" s="141">
        <f>IF($O379="","",INDEX(资金台帐!$K$7:$K$3006,$O379))</f>
      </c>
      <c r="L379" s="172">
        <f>IF($O379="","",-INDEX(资金台帐!$S$7:$S$3006,$O379))</f>
      </c>
      <c r="M379" s="141">
        <f>IF($O379="","",INDEX(资金台帐!$C$7:$C$3006,$O379))</f>
      </c>
      <c r="N379" s="142">
        <f>IF($O379="","",INDEX(资金台帐!$E$7:$E$3006,$O379))</f>
      </c>
      <c r="O379" s="78">
        <f>IFERROR(MATCH(376,资金台帐!$R$7:$R$3006,0),"")</f>
      </c>
    </row>
    <row r="380">
      <c r="A380" s="141">
        <f>IF($G380="","",377)</f>
      </c>
      <c r="B380" s="140">
        <f>IF($G380="","",INDEX(资金台帐!$B$7:$B$3006,$G380))</f>
      </c>
      <c r="C380" s="141">
        <f>IF($G380="","",INDEX(资金台帐!$J$7:$J$3006,$G380))</f>
      </c>
      <c r="D380" s="172">
        <f>IF($G380="","",INDEX(资金台帐!$S$7:$S$3006,$G380))</f>
      </c>
      <c r="E380" s="141">
        <f>IF($G380="","",INDEX(资金台帐!$C$7:$C$3006,$G380))</f>
      </c>
      <c r="F380" s="142">
        <f>IF($G380="","",INDEX(资金台帐!$E$7:$E$3006,$G380)&amp;IF(INDEX(资金台帐!$M$7:$M$3006,$G380)="","","；"&amp;INDEX(资金台帐!$M$7:$M$3006,$G380)))</f>
      </c>
      <c r="G380" s="78">
        <f>IFERROR(MATCH(377,资金台帐!$Q$7:$Q$3006,0),"")</f>
      </c>
      <c r="I380" s="141">
        <f>IF($O380="","",377)</f>
      </c>
      <c r="J380" s="140">
        <f>IF($O380="","",INDEX(资金台帐!$B$7:$B$3006,$O380))</f>
      </c>
      <c r="K380" s="141">
        <f>IF($O380="","",INDEX(资金台帐!$K$7:$K$3006,$O380))</f>
      </c>
      <c r="L380" s="172">
        <f>IF($O380="","",-INDEX(资金台帐!$S$7:$S$3006,$O380))</f>
      </c>
      <c r="M380" s="141">
        <f>IF($O380="","",INDEX(资金台帐!$C$7:$C$3006,$O380))</f>
      </c>
      <c r="N380" s="142">
        <f>IF($O380="","",INDEX(资金台帐!$E$7:$E$3006,$O380))</f>
      </c>
      <c r="O380" s="78">
        <f>IFERROR(MATCH(377,资金台帐!$R$7:$R$3006,0),"")</f>
      </c>
    </row>
    <row r="381">
      <c r="A381" s="141">
        <f>IF($G381="","",378)</f>
      </c>
      <c r="B381" s="140">
        <f>IF($G381="","",INDEX(资金台帐!$B$7:$B$3006,$G381))</f>
      </c>
      <c r="C381" s="141">
        <f>IF($G381="","",INDEX(资金台帐!$J$7:$J$3006,$G381))</f>
      </c>
      <c r="D381" s="172">
        <f>IF($G381="","",INDEX(资金台帐!$S$7:$S$3006,$G381))</f>
      </c>
      <c r="E381" s="141">
        <f>IF($G381="","",INDEX(资金台帐!$C$7:$C$3006,$G381))</f>
      </c>
      <c r="F381" s="142">
        <f>IF($G381="","",INDEX(资金台帐!$E$7:$E$3006,$G381)&amp;IF(INDEX(资金台帐!$M$7:$M$3006,$G381)="","","；"&amp;INDEX(资金台帐!$M$7:$M$3006,$G381)))</f>
      </c>
      <c r="G381" s="78">
        <f>IFERROR(MATCH(378,资金台帐!$Q$7:$Q$3006,0),"")</f>
      </c>
      <c r="I381" s="141">
        <f>IF($O381="","",378)</f>
      </c>
      <c r="J381" s="140">
        <f>IF($O381="","",INDEX(资金台帐!$B$7:$B$3006,$O381))</f>
      </c>
      <c r="K381" s="141">
        <f>IF($O381="","",INDEX(资金台帐!$K$7:$K$3006,$O381))</f>
      </c>
      <c r="L381" s="172">
        <f>IF($O381="","",-INDEX(资金台帐!$S$7:$S$3006,$O381))</f>
      </c>
      <c r="M381" s="141">
        <f>IF($O381="","",INDEX(资金台帐!$C$7:$C$3006,$O381))</f>
      </c>
      <c r="N381" s="142">
        <f>IF($O381="","",INDEX(资金台帐!$E$7:$E$3006,$O381))</f>
      </c>
      <c r="O381" s="78">
        <f>IFERROR(MATCH(378,资金台帐!$R$7:$R$3006,0),"")</f>
      </c>
    </row>
    <row r="382">
      <c r="A382" s="141">
        <f>IF($G382="","",379)</f>
      </c>
      <c r="B382" s="140">
        <f>IF($G382="","",INDEX(资金台帐!$B$7:$B$3006,$G382))</f>
      </c>
      <c r="C382" s="141">
        <f>IF($G382="","",INDEX(资金台帐!$J$7:$J$3006,$G382))</f>
      </c>
      <c r="D382" s="172">
        <f>IF($G382="","",INDEX(资金台帐!$S$7:$S$3006,$G382))</f>
      </c>
      <c r="E382" s="141">
        <f>IF($G382="","",INDEX(资金台帐!$C$7:$C$3006,$G382))</f>
      </c>
      <c r="F382" s="142">
        <f>IF($G382="","",INDEX(资金台帐!$E$7:$E$3006,$G382)&amp;IF(INDEX(资金台帐!$M$7:$M$3006,$G382)="","","；"&amp;INDEX(资金台帐!$M$7:$M$3006,$G382)))</f>
      </c>
      <c r="G382" s="78">
        <f>IFERROR(MATCH(379,资金台帐!$Q$7:$Q$3006,0),"")</f>
      </c>
      <c r="I382" s="141">
        <f>IF($O382="","",379)</f>
      </c>
      <c r="J382" s="140">
        <f>IF($O382="","",INDEX(资金台帐!$B$7:$B$3006,$O382))</f>
      </c>
      <c r="K382" s="141">
        <f>IF($O382="","",INDEX(资金台帐!$K$7:$K$3006,$O382))</f>
      </c>
      <c r="L382" s="172">
        <f>IF($O382="","",-INDEX(资金台帐!$S$7:$S$3006,$O382))</f>
      </c>
      <c r="M382" s="141">
        <f>IF($O382="","",INDEX(资金台帐!$C$7:$C$3006,$O382))</f>
      </c>
      <c r="N382" s="142">
        <f>IF($O382="","",INDEX(资金台帐!$E$7:$E$3006,$O382))</f>
      </c>
      <c r="O382" s="78">
        <f>IFERROR(MATCH(379,资金台帐!$R$7:$R$3006,0),"")</f>
      </c>
    </row>
    <row r="383">
      <c r="A383" s="141">
        <f>IF($G383="","",380)</f>
      </c>
      <c r="B383" s="140">
        <f>IF($G383="","",INDEX(资金台帐!$B$7:$B$3006,$G383))</f>
      </c>
      <c r="C383" s="141">
        <f>IF($G383="","",INDEX(资金台帐!$J$7:$J$3006,$G383))</f>
      </c>
      <c r="D383" s="172">
        <f>IF($G383="","",INDEX(资金台帐!$S$7:$S$3006,$G383))</f>
      </c>
      <c r="E383" s="141">
        <f>IF($G383="","",INDEX(资金台帐!$C$7:$C$3006,$G383))</f>
      </c>
      <c r="F383" s="142">
        <f>IF($G383="","",INDEX(资金台帐!$E$7:$E$3006,$G383)&amp;IF(INDEX(资金台帐!$M$7:$M$3006,$G383)="","","；"&amp;INDEX(资金台帐!$M$7:$M$3006,$G383)))</f>
      </c>
      <c r="G383" s="78">
        <f>IFERROR(MATCH(380,资金台帐!$Q$7:$Q$3006,0),"")</f>
      </c>
      <c r="I383" s="141">
        <f>IF($O383="","",380)</f>
      </c>
      <c r="J383" s="140">
        <f>IF($O383="","",INDEX(资金台帐!$B$7:$B$3006,$O383))</f>
      </c>
      <c r="K383" s="141">
        <f>IF($O383="","",INDEX(资金台帐!$K$7:$K$3006,$O383))</f>
      </c>
      <c r="L383" s="172">
        <f>IF($O383="","",-INDEX(资金台帐!$S$7:$S$3006,$O383))</f>
      </c>
      <c r="M383" s="141">
        <f>IF($O383="","",INDEX(资金台帐!$C$7:$C$3006,$O383))</f>
      </c>
      <c r="N383" s="142">
        <f>IF($O383="","",INDEX(资金台帐!$E$7:$E$3006,$O383))</f>
      </c>
      <c r="O383" s="78">
        <f>IFERROR(MATCH(380,资金台帐!$R$7:$R$3006,0),"")</f>
      </c>
    </row>
    <row r="384">
      <c r="A384" s="141">
        <f>IF($G384="","",381)</f>
      </c>
      <c r="B384" s="140">
        <f>IF($G384="","",INDEX(资金台帐!$B$7:$B$3006,$G384))</f>
      </c>
      <c r="C384" s="141">
        <f>IF($G384="","",INDEX(资金台帐!$J$7:$J$3006,$G384))</f>
      </c>
      <c r="D384" s="172">
        <f>IF($G384="","",INDEX(资金台帐!$S$7:$S$3006,$G384))</f>
      </c>
      <c r="E384" s="141">
        <f>IF($G384="","",INDEX(资金台帐!$C$7:$C$3006,$G384))</f>
      </c>
      <c r="F384" s="142">
        <f>IF($G384="","",INDEX(资金台帐!$E$7:$E$3006,$G384)&amp;IF(INDEX(资金台帐!$M$7:$M$3006,$G384)="","","；"&amp;INDEX(资金台帐!$M$7:$M$3006,$G384)))</f>
      </c>
      <c r="G384" s="78">
        <f>IFERROR(MATCH(381,资金台帐!$Q$7:$Q$3006,0),"")</f>
      </c>
      <c r="I384" s="141">
        <f>IF($O384="","",381)</f>
      </c>
      <c r="J384" s="140">
        <f>IF($O384="","",INDEX(资金台帐!$B$7:$B$3006,$O384))</f>
      </c>
      <c r="K384" s="141">
        <f>IF($O384="","",INDEX(资金台帐!$K$7:$K$3006,$O384))</f>
      </c>
      <c r="L384" s="172">
        <f>IF($O384="","",-INDEX(资金台帐!$S$7:$S$3006,$O384))</f>
      </c>
      <c r="M384" s="141">
        <f>IF($O384="","",INDEX(资金台帐!$C$7:$C$3006,$O384))</f>
      </c>
      <c r="N384" s="142">
        <f>IF($O384="","",INDEX(资金台帐!$E$7:$E$3006,$O384))</f>
      </c>
      <c r="O384" s="78">
        <f>IFERROR(MATCH(381,资金台帐!$R$7:$R$3006,0),"")</f>
      </c>
    </row>
    <row r="385">
      <c r="A385" s="141">
        <f>IF($G385="","",382)</f>
      </c>
      <c r="B385" s="140">
        <f>IF($G385="","",INDEX(资金台帐!$B$7:$B$3006,$G385))</f>
      </c>
      <c r="C385" s="141">
        <f>IF($G385="","",INDEX(资金台帐!$J$7:$J$3006,$G385))</f>
      </c>
      <c r="D385" s="172">
        <f>IF($G385="","",INDEX(资金台帐!$S$7:$S$3006,$G385))</f>
      </c>
      <c r="E385" s="141">
        <f>IF($G385="","",INDEX(资金台帐!$C$7:$C$3006,$G385))</f>
      </c>
      <c r="F385" s="142">
        <f>IF($G385="","",INDEX(资金台帐!$E$7:$E$3006,$G385)&amp;IF(INDEX(资金台帐!$M$7:$M$3006,$G385)="","","；"&amp;INDEX(资金台帐!$M$7:$M$3006,$G385)))</f>
      </c>
      <c r="G385" s="78">
        <f>IFERROR(MATCH(382,资金台帐!$Q$7:$Q$3006,0),"")</f>
      </c>
      <c r="I385" s="141">
        <f>IF($O385="","",382)</f>
      </c>
      <c r="J385" s="140">
        <f>IF($O385="","",INDEX(资金台帐!$B$7:$B$3006,$O385))</f>
      </c>
      <c r="K385" s="141">
        <f>IF($O385="","",INDEX(资金台帐!$K$7:$K$3006,$O385))</f>
      </c>
      <c r="L385" s="172">
        <f>IF($O385="","",-INDEX(资金台帐!$S$7:$S$3006,$O385))</f>
      </c>
      <c r="M385" s="141">
        <f>IF($O385="","",INDEX(资金台帐!$C$7:$C$3006,$O385))</f>
      </c>
      <c r="N385" s="142">
        <f>IF($O385="","",INDEX(资金台帐!$E$7:$E$3006,$O385))</f>
      </c>
      <c r="O385" s="78">
        <f>IFERROR(MATCH(382,资金台帐!$R$7:$R$3006,0),"")</f>
      </c>
    </row>
    <row r="386">
      <c r="A386" s="141">
        <f>IF($G386="","",383)</f>
      </c>
      <c r="B386" s="140">
        <f>IF($G386="","",INDEX(资金台帐!$B$7:$B$3006,$G386))</f>
      </c>
      <c r="C386" s="141">
        <f>IF($G386="","",INDEX(资金台帐!$J$7:$J$3006,$G386))</f>
      </c>
      <c r="D386" s="172">
        <f>IF($G386="","",INDEX(资金台帐!$S$7:$S$3006,$G386))</f>
      </c>
      <c r="E386" s="141">
        <f>IF($G386="","",INDEX(资金台帐!$C$7:$C$3006,$G386))</f>
      </c>
      <c r="F386" s="142">
        <f>IF($G386="","",INDEX(资金台帐!$E$7:$E$3006,$G386)&amp;IF(INDEX(资金台帐!$M$7:$M$3006,$G386)="","","；"&amp;INDEX(资金台帐!$M$7:$M$3006,$G386)))</f>
      </c>
      <c r="G386" s="78">
        <f>IFERROR(MATCH(383,资金台帐!$Q$7:$Q$3006,0),"")</f>
      </c>
      <c r="I386" s="141">
        <f>IF($O386="","",383)</f>
      </c>
      <c r="J386" s="140">
        <f>IF($O386="","",INDEX(资金台帐!$B$7:$B$3006,$O386))</f>
      </c>
      <c r="K386" s="141">
        <f>IF($O386="","",INDEX(资金台帐!$K$7:$K$3006,$O386))</f>
      </c>
      <c r="L386" s="172">
        <f>IF($O386="","",-INDEX(资金台帐!$S$7:$S$3006,$O386))</f>
      </c>
      <c r="M386" s="141">
        <f>IF($O386="","",INDEX(资金台帐!$C$7:$C$3006,$O386))</f>
      </c>
      <c r="N386" s="142">
        <f>IF($O386="","",INDEX(资金台帐!$E$7:$E$3006,$O386))</f>
      </c>
      <c r="O386" s="78">
        <f>IFERROR(MATCH(383,资金台帐!$R$7:$R$3006,0),"")</f>
      </c>
    </row>
    <row r="387">
      <c r="A387" s="141">
        <f>IF($G387="","",384)</f>
      </c>
      <c r="B387" s="140">
        <f>IF($G387="","",INDEX(资金台帐!$B$7:$B$3006,$G387))</f>
      </c>
      <c r="C387" s="141">
        <f>IF($G387="","",INDEX(资金台帐!$J$7:$J$3006,$G387))</f>
      </c>
      <c r="D387" s="172">
        <f>IF($G387="","",INDEX(资金台帐!$S$7:$S$3006,$G387))</f>
      </c>
      <c r="E387" s="141">
        <f>IF($G387="","",INDEX(资金台帐!$C$7:$C$3006,$G387))</f>
      </c>
      <c r="F387" s="142">
        <f>IF($G387="","",INDEX(资金台帐!$E$7:$E$3006,$G387)&amp;IF(INDEX(资金台帐!$M$7:$M$3006,$G387)="","","；"&amp;INDEX(资金台帐!$M$7:$M$3006,$G387)))</f>
      </c>
      <c r="G387" s="78">
        <f>IFERROR(MATCH(384,资金台帐!$Q$7:$Q$3006,0),"")</f>
      </c>
      <c r="I387" s="141">
        <f>IF($O387="","",384)</f>
      </c>
      <c r="J387" s="140">
        <f>IF($O387="","",INDEX(资金台帐!$B$7:$B$3006,$O387))</f>
      </c>
      <c r="K387" s="141">
        <f>IF($O387="","",INDEX(资金台帐!$K$7:$K$3006,$O387))</f>
      </c>
      <c r="L387" s="172">
        <f>IF($O387="","",-INDEX(资金台帐!$S$7:$S$3006,$O387))</f>
      </c>
      <c r="M387" s="141">
        <f>IF($O387="","",INDEX(资金台帐!$C$7:$C$3006,$O387))</f>
      </c>
      <c r="N387" s="142">
        <f>IF($O387="","",INDEX(资金台帐!$E$7:$E$3006,$O387))</f>
      </c>
      <c r="O387" s="78">
        <f>IFERROR(MATCH(384,资金台帐!$R$7:$R$3006,0),"")</f>
      </c>
    </row>
    <row r="388">
      <c r="A388" s="141">
        <f>IF($G388="","",385)</f>
      </c>
      <c r="B388" s="140">
        <f>IF($G388="","",INDEX(资金台帐!$B$7:$B$3006,$G388))</f>
      </c>
      <c r="C388" s="141">
        <f>IF($G388="","",INDEX(资金台帐!$J$7:$J$3006,$G388))</f>
      </c>
      <c r="D388" s="172">
        <f>IF($G388="","",INDEX(资金台帐!$S$7:$S$3006,$G388))</f>
      </c>
      <c r="E388" s="141">
        <f>IF($G388="","",INDEX(资金台帐!$C$7:$C$3006,$G388))</f>
      </c>
      <c r="F388" s="142">
        <f>IF($G388="","",INDEX(资金台帐!$E$7:$E$3006,$G388)&amp;IF(INDEX(资金台帐!$M$7:$M$3006,$G388)="","","；"&amp;INDEX(资金台帐!$M$7:$M$3006,$G388)))</f>
      </c>
      <c r="G388" s="78">
        <f>IFERROR(MATCH(385,资金台帐!$Q$7:$Q$3006,0),"")</f>
      </c>
      <c r="I388" s="141">
        <f>IF($O388="","",385)</f>
      </c>
      <c r="J388" s="140">
        <f>IF($O388="","",INDEX(资金台帐!$B$7:$B$3006,$O388))</f>
      </c>
      <c r="K388" s="141">
        <f>IF($O388="","",INDEX(资金台帐!$K$7:$K$3006,$O388))</f>
      </c>
      <c r="L388" s="172">
        <f>IF($O388="","",-INDEX(资金台帐!$S$7:$S$3006,$O388))</f>
      </c>
      <c r="M388" s="141">
        <f>IF($O388="","",INDEX(资金台帐!$C$7:$C$3006,$O388))</f>
      </c>
      <c r="N388" s="142">
        <f>IF($O388="","",INDEX(资金台帐!$E$7:$E$3006,$O388))</f>
      </c>
      <c r="O388" s="78">
        <f>IFERROR(MATCH(385,资金台帐!$R$7:$R$3006,0),"")</f>
      </c>
    </row>
    <row r="389">
      <c r="A389" s="141">
        <f>IF($G389="","",386)</f>
      </c>
      <c r="B389" s="140">
        <f>IF($G389="","",INDEX(资金台帐!$B$7:$B$3006,$G389))</f>
      </c>
      <c r="C389" s="141">
        <f>IF($G389="","",INDEX(资金台帐!$J$7:$J$3006,$G389))</f>
      </c>
      <c r="D389" s="172">
        <f>IF($G389="","",INDEX(资金台帐!$S$7:$S$3006,$G389))</f>
      </c>
      <c r="E389" s="141">
        <f>IF($G389="","",INDEX(资金台帐!$C$7:$C$3006,$G389))</f>
      </c>
      <c r="F389" s="142">
        <f>IF($G389="","",INDEX(资金台帐!$E$7:$E$3006,$G389)&amp;IF(INDEX(资金台帐!$M$7:$M$3006,$G389)="","","；"&amp;INDEX(资金台帐!$M$7:$M$3006,$G389)))</f>
      </c>
      <c r="G389" s="78">
        <f>IFERROR(MATCH(386,资金台帐!$Q$7:$Q$3006,0),"")</f>
      </c>
      <c r="I389" s="141">
        <f>IF($O389="","",386)</f>
      </c>
      <c r="J389" s="140">
        <f>IF($O389="","",INDEX(资金台帐!$B$7:$B$3006,$O389))</f>
      </c>
      <c r="K389" s="141">
        <f>IF($O389="","",INDEX(资金台帐!$K$7:$K$3006,$O389))</f>
      </c>
      <c r="L389" s="172">
        <f>IF($O389="","",-INDEX(资金台帐!$S$7:$S$3006,$O389))</f>
      </c>
      <c r="M389" s="141">
        <f>IF($O389="","",INDEX(资金台帐!$C$7:$C$3006,$O389))</f>
      </c>
      <c r="N389" s="142">
        <f>IF($O389="","",INDEX(资金台帐!$E$7:$E$3006,$O389))</f>
      </c>
      <c r="O389" s="78">
        <f>IFERROR(MATCH(386,资金台帐!$R$7:$R$3006,0),"")</f>
      </c>
    </row>
    <row r="390">
      <c r="A390" s="141">
        <f>IF($G390="","",387)</f>
      </c>
      <c r="B390" s="140">
        <f>IF($G390="","",INDEX(资金台帐!$B$7:$B$3006,$G390))</f>
      </c>
      <c r="C390" s="141">
        <f>IF($G390="","",INDEX(资金台帐!$J$7:$J$3006,$G390))</f>
      </c>
      <c r="D390" s="172">
        <f>IF($G390="","",INDEX(资金台帐!$S$7:$S$3006,$G390))</f>
      </c>
      <c r="E390" s="141">
        <f>IF($G390="","",INDEX(资金台帐!$C$7:$C$3006,$G390))</f>
      </c>
      <c r="F390" s="142">
        <f>IF($G390="","",INDEX(资金台帐!$E$7:$E$3006,$G390)&amp;IF(INDEX(资金台帐!$M$7:$M$3006,$G390)="","","；"&amp;INDEX(资金台帐!$M$7:$M$3006,$G390)))</f>
      </c>
      <c r="G390" s="78">
        <f>IFERROR(MATCH(387,资金台帐!$Q$7:$Q$3006,0),"")</f>
      </c>
      <c r="I390" s="141">
        <f>IF($O390="","",387)</f>
      </c>
      <c r="J390" s="140">
        <f>IF($O390="","",INDEX(资金台帐!$B$7:$B$3006,$O390))</f>
      </c>
      <c r="K390" s="141">
        <f>IF($O390="","",INDEX(资金台帐!$K$7:$K$3006,$O390))</f>
      </c>
      <c r="L390" s="172">
        <f>IF($O390="","",-INDEX(资金台帐!$S$7:$S$3006,$O390))</f>
      </c>
      <c r="M390" s="141">
        <f>IF($O390="","",INDEX(资金台帐!$C$7:$C$3006,$O390))</f>
      </c>
      <c r="N390" s="142">
        <f>IF($O390="","",INDEX(资金台帐!$E$7:$E$3006,$O390))</f>
      </c>
      <c r="O390" s="78">
        <f>IFERROR(MATCH(387,资金台帐!$R$7:$R$3006,0),"")</f>
      </c>
    </row>
    <row r="391">
      <c r="A391" s="141">
        <f>IF($G391="","",388)</f>
      </c>
      <c r="B391" s="140">
        <f>IF($G391="","",INDEX(资金台帐!$B$7:$B$3006,$G391))</f>
      </c>
      <c r="C391" s="141">
        <f>IF($G391="","",INDEX(资金台帐!$J$7:$J$3006,$G391))</f>
      </c>
      <c r="D391" s="172">
        <f>IF($G391="","",INDEX(资金台帐!$S$7:$S$3006,$G391))</f>
      </c>
      <c r="E391" s="141">
        <f>IF($G391="","",INDEX(资金台帐!$C$7:$C$3006,$G391))</f>
      </c>
      <c r="F391" s="142">
        <f>IF($G391="","",INDEX(资金台帐!$E$7:$E$3006,$G391)&amp;IF(INDEX(资金台帐!$M$7:$M$3006,$G391)="","","；"&amp;INDEX(资金台帐!$M$7:$M$3006,$G391)))</f>
      </c>
      <c r="G391" s="78">
        <f>IFERROR(MATCH(388,资金台帐!$Q$7:$Q$3006,0),"")</f>
      </c>
      <c r="I391" s="141">
        <f>IF($O391="","",388)</f>
      </c>
      <c r="J391" s="140">
        <f>IF($O391="","",INDEX(资金台帐!$B$7:$B$3006,$O391))</f>
      </c>
      <c r="K391" s="141">
        <f>IF($O391="","",INDEX(资金台帐!$K$7:$K$3006,$O391))</f>
      </c>
      <c r="L391" s="172">
        <f>IF($O391="","",-INDEX(资金台帐!$S$7:$S$3006,$O391))</f>
      </c>
      <c r="M391" s="141">
        <f>IF($O391="","",INDEX(资金台帐!$C$7:$C$3006,$O391))</f>
      </c>
      <c r="N391" s="142">
        <f>IF($O391="","",INDEX(资金台帐!$E$7:$E$3006,$O391))</f>
      </c>
      <c r="O391" s="78">
        <f>IFERROR(MATCH(388,资金台帐!$R$7:$R$3006,0),"")</f>
      </c>
    </row>
    <row r="392">
      <c r="A392" s="141">
        <f>IF($G392="","",389)</f>
      </c>
      <c r="B392" s="140">
        <f>IF($G392="","",INDEX(资金台帐!$B$7:$B$3006,$G392))</f>
      </c>
      <c r="C392" s="141">
        <f>IF($G392="","",INDEX(资金台帐!$J$7:$J$3006,$G392))</f>
      </c>
      <c r="D392" s="172">
        <f>IF($G392="","",INDEX(资金台帐!$S$7:$S$3006,$G392))</f>
      </c>
      <c r="E392" s="141">
        <f>IF($G392="","",INDEX(资金台帐!$C$7:$C$3006,$G392))</f>
      </c>
      <c r="F392" s="142">
        <f>IF($G392="","",INDEX(资金台帐!$E$7:$E$3006,$G392)&amp;IF(INDEX(资金台帐!$M$7:$M$3006,$G392)="","","；"&amp;INDEX(资金台帐!$M$7:$M$3006,$G392)))</f>
      </c>
      <c r="G392" s="78">
        <f>IFERROR(MATCH(389,资金台帐!$Q$7:$Q$3006,0),"")</f>
      </c>
      <c r="I392" s="141">
        <f>IF($O392="","",389)</f>
      </c>
      <c r="J392" s="140">
        <f>IF($O392="","",INDEX(资金台帐!$B$7:$B$3006,$O392))</f>
      </c>
      <c r="K392" s="141">
        <f>IF($O392="","",INDEX(资金台帐!$K$7:$K$3006,$O392))</f>
      </c>
      <c r="L392" s="172">
        <f>IF($O392="","",-INDEX(资金台帐!$S$7:$S$3006,$O392))</f>
      </c>
      <c r="M392" s="141">
        <f>IF($O392="","",INDEX(资金台帐!$C$7:$C$3006,$O392))</f>
      </c>
      <c r="N392" s="142">
        <f>IF($O392="","",INDEX(资金台帐!$E$7:$E$3006,$O392))</f>
      </c>
      <c r="O392" s="78">
        <f>IFERROR(MATCH(389,资金台帐!$R$7:$R$3006,0),"")</f>
      </c>
    </row>
    <row r="393">
      <c r="A393" s="141">
        <f>IF($G393="","",390)</f>
      </c>
      <c r="B393" s="140">
        <f>IF($G393="","",INDEX(资金台帐!$B$7:$B$3006,$G393))</f>
      </c>
      <c r="C393" s="141">
        <f>IF($G393="","",INDEX(资金台帐!$J$7:$J$3006,$G393))</f>
      </c>
      <c r="D393" s="172">
        <f>IF($G393="","",INDEX(资金台帐!$S$7:$S$3006,$G393))</f>
      </c>
      <c r="E393" s="141">
        <f>IF($G393="","",INDEX(资金台帐!$C$7:$C$3006,$G393))</f>
      </c>
      <c r="F393" s="142">
        <f>IF($G393="","",INDEX(资金台帐!$E$7:$E$3006,$G393)&amp;IF(INDEX(资金台帐!$M$7:$M$3006,$G393)="","","；"&amp;INDEX(资金台帐!$M$7:$M$3006,$G393)))</f>
      </c>
      <c r="G393" s="78">
        <f>IFERROR(MATCH(390,资金台帐!$Q$7:$Q$3006,0),"")</f>
      </c>
      <c r="I393" s="141">
        <f>IF($O393="","",390)</f>
      </c>
      <c r="J393" s="140">
        <f>IF($O393="","",INDEX(资金台帐!$B$7:$B$3006,$O393))</f>
      </c>
      <c r="K393" s="141">
        <f>IF($O393="","",INDEX(资金台帐!$K$7:$K$3006,$O393))</f>
      </c>
      <c r="L393" s="172">
        <f>IF($O393="","",-INDEX(资金台帐!$S$7:$S$3006,$O393))</f>
      </c>
      <c r="M393" s="141">
        <f>IF($O393="","",INDEX(资金台帐!$C$7:$C$3006,$O393))</f>
      </c>
      <c r="N393" s="142">
        <f>IF($O393="","",INDEX(资金台帐!$E$7:$E$3006,$O393))</f>
      </c>
      <c r="O393" s="78">
        <f>IFERROR(MATCH(390,资金台帐!$R$7:$R$3006,0),"")</f>
      </c>
    </row>
    <row r="394">
      <c r="A394" s="141">
        <f>IF($G394="","",391)</f>
      </c>
      <c r="B394" s="140">
        <f>IF($G394="","",INDEX(资金台帐!$B$7:$B$3006,$G394))</f>
      </c>
      <c r="C394" s="141">
        <f>IF($G394="","",INDEX(资金台帐!$J$7:$J$3006,$G394))</f>
      </c>
      <c r="D394" s="172">
        <f>IF($G394="","",INDEX(资金台帐!$S$7:$S$3006,$G394))</f>
      </c>
      <c r="E394" s="141">
        <f>IF($G394="","",INDEX(资金台帐!$C$7:$C$3006,$G394))</f>
      </c>
      <c r="F394" s="142">
        <f>IF($G394="","",INDEX(资金台帐!$E$7:$E$3006,$G394)&amp;IF(INDEX(资金台帐!$M$7:$M$3006,$G394)="","","；"&amp;INDEX(资金台帐!$M$7:$M$3006,$G394)))</f>
      </c>
      <c r="G394" s="78">
        <f>IFERROR(MATCH(391,资金台帐!$Q$7:$Q$3006,0),"")</f>
      </c>
      <c r="I394" s="141">
        <f>IF($O394="","",391)</f>
      </c>
      <c r="J394" s="140">
        <f>IF($O394="","",INDEX(资金台帐!$B$7:$B$3006,$O394))</f>
      </c>
      <c r="K394" s="141">
        <f>IF($O394="","",INDEX(资金台帐!$K$7:$K$3006,$O394))</f>
      </c>
      <c r="L394" s="172">
        <f>IF($O394="","",-INDEX(资金台帐!$S$7:$S$3006,$O394))</f>
      </c>
      <c r="M394" s="141">
        <f>IF($O394="","",INDEX(资金台帐!$C$7:$C$3006,$O394))</f>
      </c>
      <c r="N394" s="142">
        <f>IF($O394="","",INDEX(资金台帐!$E$7:$E$3006,$O394))</f>
      </c>
      <c r="O394" s="78">
        <f>IFERROR(MATCH(391,资金台帐!$R$7:$R$3006,0),"")</f>
      </c>
    </row>
    <row r="395">
      <c r="A395" s="141">
        <f>IF($G395="","",392)</f>
      </c>
      <c r="B395" s="140">
        <f>IF($G395="","",INDEX(资金台帐!$B$7:$B$3006,$G395))</f>
      </c>
      <c r="C395" s="141">
        <f>IF($G395="","",INDEX(资金台帐!$J$7:$J$3006,$G395))</f>
      </c>
      <c r="D395" s="172">
        <f>IF($G395="","",INDEX(资金台帐!$S$7:$S$3006,$G395))</f>
      </c>
      <c r="E395" s="141">
        <f>IF($G395="","",INDEX(资金台帐!$C$7:$C$3006,$G395))</f>
      </c>
      <c r="F395" s="142">
        <f>IF($G395="","",INDEX(资金台帐!$E$7:$E$3006,$G395)&amp;IF(INDEX(资金台帐!$M$7:$M$3006,$G395)="","","；"&amp;INDEX(资金台帐!$M$7:$M$3006,$G395)))</f>
      </c>
      <c r="G395" s="78">
        <f>IFERROR(MATCH(392,资金台帐!$Q$7:$Q$3006,0),"")</f>
      </c>
      <c r="I395" s="141">
        <f>IF($O395="","",392)</f>
      </c>
      <c r="J395" s="140">
        <f>IF($O395="","",INDEX(资金台帐!$B$7:$B$3006,$O395))</f>
      </c>
      <c r="K395" s="141">
        <f>IF($O395="","",INDEX(资金台帐!$K$7:$K$3006,$O395))</f>
      </c>
      <c r="L395" s="172">
        <f>IF($O395="","",-INDEX(资金台帐!$S$7:$S$3006,$O395))</f>
      </c>
      <c r="M395" s="141">
        <f>IF($O395="","",INDEX(资金台帐!$C$7:$C$3006,$O395))</f>
      </c>
      <c r="N395" s="142">
        <f>IF($O395="","",INDEX(资金台帐!$E$7:$E$3006,$O395))</f>
      </c>
      <c r="O395" s="78">
        <f>IFERROR(MATCH(392,资金台帐!$R$7:$R$3006,0),"")</f>
      </c>
    </row>
    <row r="396">
      <c r="A396" s="141">
        <f>IF($G396="","",393)</f>
      </c>
      <c r="B396" s="140">
        <f>IF($G396="","",INDEX(资金台帐!$B$7:$B$3006,$G396))</f>
      </c>
      <c r="C396" s="141">
        <f>IF($G396="","",INDEX(资金台帐!$J$7:$J$3006,$G396))</f>
      </c>
      <c r="D396" s="172">
        <f>IF($G396="","",INDEX(资金台帐!$S$7:$S$3006,$G396))</f>
      </c>
      <c r="E396" s="141">
        <f>IF($G396="","",INDEX(资金台帐!$C$7:$C$3006,$G396))</f>
      </c>
      <c r="F396" s="142">
        <f>IF($G396="","",INDEX(资金台帐!$E$7:$E$3006,$G396)&amp;IF(INDEX(资金台帐!$M$7:$M$3006,$G396)="","","；"&amp;INDEX(资金台帐!$M$7:$M$3006,$G396)))</f>
      </c>
      <c r="G396" s="78">
        <f>IFERROR(MATCH(393,资金台帐!$Q$7:$Q$3006,0),"")</f>
      </c>
      <c r="I396" s="141">
        <f>IF($O396="","",393)</f>
      </c>
      <c r="J396" s="140">
        <f>IF($O396="","",INDEX(资金台帐!$B$7:$B$3006,$O396))</f>
      </c>
      <c r="K396" s="141">
        <f>IF($O396="","",INDEX(资金台帐!$K$7:$K$3006,$O396))</f>
      </c>
      <c r="L396" s="172">
        <f>IF($O396="","",-INDEX(资金台帐!$S$7:$S$3006,$O396))</f>
      </c>
      <c r="M396" s="141">
        <f>IF($O396="","",INDEX(资金台帐!$C$7:$C$3006,$O396))</f>
      </c>
      <c r="N396" s="142">
        <f>IF($O396="","",INDEX(资金台帐!$E$7:$E$3006,$O396))</f>
      </c>
      <c r="O396" s="78">
        <f>IFERROR(MATCH(393,资金台帐!$R$7:$R$3006,0),"")</f>
      </c>
    </row>
    <row r="397">
      <c r="A397" s="141">
        <f>IF($G397="","",394)</f>
      </c>
      <c r="B397" s="140">
        <f>IF($G397="","",INDEX(资金台帐!$B$7:$B$3006,$G397))</f>
      </c>
      <c r="C397" s="141">
        <f>IF($G397="","",INDEX(资金台帐!$J$7:$J$3006,$G397))</f>
      </c>
      <c r="D397" s="172">
        <f>IF($G397="","",INDEX(资金台帐!$S$7:$S$3006,$G397))</f>
      </c>
      <c r="E397" s="141">
        <f>IF($G397="","",INDEX(资金台帐!$C$7:$C$3006,$G397))</f>
      </c>
      <c r="F397" s="142">
        <f>IF($G397="","",INDEX(资金台帐!$E$7:$E$3006,$G397)&amp;IF(INDEX(资金台帐!$M$7:$M$3006,$G397)="","","；"&amp;INDEX(资金台帐!$M$7:$M$3006,$G397)))</f>
      </c>
      <c r="G397" s="78">
        <f>IFERROR(MATCH(394,资金台帐!$Q$7:$Q$3006,0),"")</f>
      </c>
      <c r="I397" s="141">
        <f>IF($O397="","",394)</f>
      </c>
      <c r="J397" s="140">
        <f>IF($O397="","",INDEX(资金台帐!$B$7:$B$3006,$O397))</f>
      </c>
      <c r="K397" s="141">
        <f>IF($O397="","",INDEX(资金台帐!$K$7:$K$3006,$O397))</f>
      </c>
      <c r="L397" s="172">
        <f>IF($O397="","",-INDEX(资金台帐!$S$7:$S$3006,$O397))</f>
      </c>
      <c r="M397" s="141">
        <f>IF($O397="","",INDEX(资金台帐!$C$7:$C$3006,$O397))</f>
      </c>
      <c r="N397" s="142">
        <f>IF($O397="","",INDEX(资金台帐!$E$7:$E$3006,$O397))</f>
      </c>
      <c r="O397" s="78">
        <f>IFERROR(MATCH(394,资金台帐!$R$7:$R$3006,0),"")</f>
      </c>
    </row>
    <row r="398">
      <c r="A398" s="141">
        <f>IF($G398="","",395)</f>
      </c>
      <c r="B398" s="140">
        <f>IF($G398="","",INDEX(资金台帐!$B$7:$B$3006,$G398))</f>
      </c>
      <c r="C398" s="141">
        <f>IF($G398="","",INDEX(资金台帐!$J$7:$J$3006,$G398))</f>
      </c>
      <c r="D398" s="172">
        <f>IF($G398="","",INDEX(资金台帐!$S$7:$S$3006,$G398))</f>
      </c>
      <c r="E398" s="141">
        <f>IF($G398="","",INDEX(资金台帐!$C$7:$C$3006,$G398))</f>
      </c>
      <c r="F398" s="142">
        <f>IF($G398="","",INDEX(资金台帐!$E$7:$E$3006,$G398)&amp;IF(INDEX(资金台帐!$M$7:$M$3006,$G398)="","","；"&amp;INDEX(资金台帐!$M$7:$M$3006,$G398)))</f>
      </c>
      <c r="G398" s="78">
        <f>IFERROR(MATCH(395,资金台帐!$Q$7:$Q$3006,0),"")</f>
      </c>
      <c r="I398" s="141">
        <f>IF($O398="","",395)</f>
      </c>
      <c r="J398" s="140">
        <f>IF($O398="","",INDEX(资金台帐!$B$7:$B$3006,$O398))</f>
      </c>
      <c r="K398" s="141">
        <f>IF($O398="","",INDEX(资金台帐!$K$7:$K$3006,$O398))</f>
      </c>
      <c r="L398" s="172">
        <f>IF($O398="","",-INDEX(资金台帐!$S$7:$S$3006,$O398))</f>
      </c>
      <c r="M398" s="141">
        <f>IF($O398="","",INDEX(资金台帐!$C$7:$C$3006,$O398))</f>
      </c>
      <c r="N398" s="142">
        <f>IF($O398="","",INDEX(资金台帐!$E$7:$E$3006,$O398))</f>
      </c>
      <c r="O398" s="78">
        <f>IFERROR(MATCH(395,资金台帐!$R$7:$R$3006,0),"")</f>
      </c>
    </row>
    <row r="399">
      <c r="A399" s="141">
        <f>IF($G399="","",396)</f>
      </c>
      <c r="B399" s="140">
        <f>IF($G399="","",INDEX(资金台帐!$B$7:$B$3006,$G399))</f>
      </c>
      <c r="C399" s="141">
        <f>IF($G399="","",INDEX(资金台帐!$J$7:$J$3006,$G399))</f>
      </c>
      <c r="D399" s="172">
        <f>IF($G399="","",INDEX(资金台帐!$S$7:$S$3006,$G399))</f>
      </c>
      <c r="E399" s="141">
        <f>IF($G399="","",INDEX(资金台帐!$C$7:$C$3006,$G399))</f>
      </c>
      <c r="F399" s="142">
        <f>IF($G399="","",INDEX(资金台帐!$E$7:$E$3006,$G399)&amp;IF(INDEX(资金台帐!$M$7:$M$3006,$G399)="","","；"&amp;INDEX(资金台帐!$M$7:$M$3006,$G399)))</f>
      </c>
      <c r="G399" s="78">
        <f>IFERROR(MATCH(396,资金台帐!$Q$7:$Q$3006,0),"")</f>
      </c>
      <c r="I399" s="141">
        <f>IF($O399="","",396)</f>
      </c>
      <c r="J399" s="140">
        <f>IF($O399="","",INDEX(资金台帐!$B$7:$B$3006,$O399))</f>
      </c>
      <c r="K399" s="141">
        <f>IF($O399="","",INDEX(资金台帐!$K$7:$K$3006,$O399))</f>
      </c>
      <c r="L399" s="172">
        <f>IF($O399="","",-INDEX(资金台帐!$S$7:$S$3006,$O399))</f>
      </c>
      <c r="M399" s="141">
        <f>IF($O399="","",INDEX(资金台帐!$C$7:$C$3006,$O399))</f>
      </c>
      <c r="N399" s="142">
        <f>IF($O399="","",INDEX(资金台帐!$E$7:$E$3006,$O399))</f>
      </c>
      <c r="O399" s="78">
        <f>IFERROR(MATCH(396,资金台帐!$R$7:$R$3006,0),"")</f>
      </c>
    </row>
    <row r="400">
      <c r="A400" s="141">
        <f>IF($G400="","",397)</f>
      </c>
      <c r="B400" s="140">
        <f>IF($G400="","",INDEX(资金台帐!$B$7:$B$3006,$G400))</f>
      </c>
      <c r="C400" s="141">
        <f>IF($G400="","",INDEX(资金台帐!$J$7:$J$3006,$G400))</f>
      </c>
      <c r="D400" s="172">
        <f>IF($G400="","",INDEX(资金台帐!$S$7:$S$3006,$G400))</f>
      </c>
      <c r="E400" s="141">
        <f>IF($G400="","",INDEX(资金台帐!$C$7:$C$3006,$G400))</f>
      </c>
      <c r="F400" s="142">
        <f>IF($G400="","",INDEX(资金台帐!$E$7:$E$3006,$G400)&amp;IF(INDEX(资金台帐!$M$7:$M$3006,$G400)="","","；"&amp;INDEX(资金台帐!$M$7:$M$3006,$G400)))</f>
      </c>
      <c r="G400" s="78">
        <f>IFERROR(MATCH(397,资金台帐!$Q$7:$Q$3006,0),"")</f>
      </c>
      <c r="I400" s="141">
        <f>IF($O400="","",397)</f>
      </c>
      <c r="J400" s="140">
        <f>IF($O400="","",INDEX(资金台帐!$B$7:$B$3006,$O400))</f>
      </c>
      <c r="K400" s="141">
        <f>IF($O400="","",INDEX(资金台帐!$K$7:$K$3006,$O400))</f>
      </c>
      <c r="L400" s="172">
        <f>IF($O400="","",-INDEX(资金台帐!$S$7:$S$3006,$O400))</f>
      </c>
      <c r="M400" s="141">
        <f>IF($O400="","",INDEX(资金台帐!$C$7:$C$3006,$O400))</f>
      </c>
      <c r="N400" s="142">
        <f>IF($O400="","",INDEX(资金台帐!$E$7:$E$3006,$O400))</f>
      </c>
      <c r="O400" s="78">
        <f>IFERROR(MATCH(397,资金台帐!$R$7:$R$3006,0),"")</f>
      </c>
    </row>
    <row r="401">
      <c r="A401" s="141">
        <f>IF($G401="","",398)</f>
      </c>
      <c r="B401" s="140">
        <f>IF($G401="","",INDEX(资金台帐!$B$7:$B$3006,$G401))</f>
      </c>
      <c r="C401" s="141">
        <f>IF($G401="","",INDEX(资金台帐!$J$7:$J$3006,$G401))</f>
      </c>
      <c r="D401" s="172">
        <f>IF($G401="","",INDEX(资金台帐!$S$7:$S$3006,$G401))</f>
      </c>
      <c r="E401" s="141">
        <f>IF($G401="","",INDEX(资金台帐!$C$7:$C$3006,$G401))</f>
      </c>
      <c r="F401" s="142">
        <f>IF($G401="","",INDEX(资金台帐!$E$7:$E$3006,$G401)&amp;IF(INDEX(资金台帐!$M$7:$M$3006,$G401)="","","；"&amp;INDEX(资金台帐!$M$7:$M$3006,$G401)))</f>
      </c>
      <c r="G401" s="78">
        <f>IFERROR(MATCH(398,资金台帐!$Q$7:$Q$3006,0),"")</f>
      </c>
      <c r="I401" s="141">
        <f>IF($O401="","",398)</f>
      </c>
      <c r="J401" s="140">
        <f>IF($O401="","",INDEX(资金台帐!$B$7:$B$3006,$O401))</f>
      </c>
      <c r="K401" s="141">
        <f>IF($O401="","",INDEX(资金台帐!$K$7:$K$3006,$O401))</f>
      </c>
      <c r="L401" s="172">
        <f>IF($O401="","",-INDEX(资金台帐!$S$7:$S$3006,$O401))</f>
      </c>
      <c r="M401" s="141">
        <f>IF($O401="","",INDEX(资金台帐!$C$7:$C$3006,$O401))</f>
      </c>
      <c r="N401" s="142">
        <f>IF($O401="","",INDEX(资金台帐!$E$7:$E$3006,$O401))</f>
      </c>
      <c r="O401" s="78">
        <f>IFERROR(MATCH(398,资金台帐!$R$7:$R$3006,0),"")</f>
      </c>
    </row>
    <row r="402">
      <c r="A402" s="141">
        <f>IF($G402="","",399)</f>
      </c>
      <c r="B402" s="140">
        <f>IF($G402="","",INDEX(资金台帐!$B$7:$B$3006,$G402))</f>
      </c>
      <c r="C402" s="141">
        <f>IF($G402="","",INDEX(资金台帐!$J$7:$J$3006,$G402))</f>
      </c>
      <c r="D402" s="172">
        <f>IF($G402="","",INDEX(资金台帐!$S$7:$S$3006,$G402))</f>
      </c>
      <c r="E402" s="141">
        <f>IF($G402="","",INDEX(资金台帐!$C$7:$C$3006,$G402))</f>
      </c>
      <c r="F402" s="142">
        <f>IF($G402="","",INDEX(资金台帐!$E$7:$E$3006,$G402)&amp;IF(INDEX(资金台帐!$M$7:$M$3006,$G402)="","","；"&amp;INDEX(资金台帐!$M$7:$M$3006,$G402)))</f>
      </c>
      <c r="G402" s="78">
        <f>IFERROR(MATCH(399,资金台帐!$Q$7:$Q$3006,0),"")</f>
      </c>
      <c r="I402" s="141">
        <f>IF($O402="","",399)</f>
      </c>
      <c r="J402" s="140">
        <f>IF($O402="","",INDEX(资金台帐!$B$7:$B$3006,$O402))</f>
      </c>
      <c r="K402" s="141">
        <f>IF($O402="","",INDEX(资金台帐!$K$7:$K$3006,$O402))</f>
      </c>
      <c r="L402" s="172">
        <f>IF($O402="","",-INDEX(资金台帐!$S$7:$S$3006,$O402))</f>
      </c>
      <c r="M402" s="141">
        <f>IF($O402="","",INDEX(资金台帐!$C$7:$C$3006,$O402))</f>
      </c>
      <c r="N402" s="142">
        <f>IF($O402="","",INDEX(资金台帐!$E$7:$E$3006,$O402))</f>
      </c>
      <c r="O402" s="78">
        <f>IFERROR(MATCH(399,资金台帐!$R$7:$R$3006,0),"")</f>
      </c>
    </row>
    <row r="403">
      <c r="A403" s="141">
        <f>IF($G403="","",400)</f>
      </c>
      <c r="B403" s="140">
        <f>IF($G403="","",INDEX(资金台帐!$B$7:$B$3006,$G403))</f>
      </c>
      <c r="C403" s="141">
        <f>IF($G403="","",INDEX(资金台帐!$J$7:$J$3006,$G403))</f>
      </c>
      <c r="D403" s="172">
        <f>IF($G403="","",INDEX(资金台帐!$S$7:$S$3006,$G403))</f>
      </c>
      <c r="E403" s="141">
        <f>IF($G403="","",INDEX(资金台帐!$C$7:$C$3006,$G403))</f>
      </c>
      <c r="F403" s="142">
        <f>IF($G403="","",INDEX(资金台帐!$E$7:$E$3006,$G403)&amp;IF(INDEX(资金台帐!$M$7:$M$3006,$G403)="","","；"&amp;INDEX(资金台帐!$M$7:$M$3006,$G403)))</f>
      </c>
      <c r="G403" s="78">
        <f>IFERROR(MATCH(400,资金台帐!$Q$7:$Q$3006,0),"")</f>
      </c>
      <c r="I403" s="141">
        <f>IF($O403="","",400)</f>
      </c>
      <c r="J403" s="140">
        <f>IF($O403="","",INDEX(资金台帐!$B$7:$B$3006,$O403))</f>
      </c>
      <c r="K403" s="141">
        <f>IF($O403="","",INDEX(资金台帐!$K$7:$K$3006,$O403))</f>
      </c>
      <c r="L403" s="172">
        <f>IF($O403="","",-INDEX(资金台帐!$S$7:$S$3006,$O403))</f>
      </c>
      <c r="M403" s="141">
        <f>IF($O403="","",INDEX(资金台帐!$C$7:$C$3006,$O403))</f>
      </c>
      <c r="N403" s="142">
        <f>IF($O403="","",INDEX(资金台帐!$E$7:$E$3006,$O403))</f>
      </c>
      <c r="O403" s="78">
        <f>IFERROR(MATCH(400,资金台帐!$R$7:$R$3006,0),"")</f>
      </c>
    </row>
    <row r="404">
      <c r="A404" s="141">
        <f>IF($G404="","",401)</f>
      </c>
      <c r="B404" s="140">
        <f>IF($G404="","",INDEX(资金台帐!$B$7:$B$3006,$G404))</f>
      </c>
      <c r="C404" s="141">
        <f>IF($G404="","",INDEX(资金台帐!$J$7:$J$3006,$G404))</f>
      </c>
      <c r="D404" s="172">
        <f>IF($G404="","",INDEX(资金台帐!$S$7:$S$3006,$G404))</f>
      </c>
      <c r="E404" s="141">
        <f>IF($G404="","",INDEX(资金台帐!$C$7:$C$3006,$G404))</f>
      </c>
      <c r="F404" s="142">
        <f>IF($G404="","",INDEX(资金台帐!$E$7:$E$3006,$G404)&amp;IF(INDEX(资金台帐!$M$7:$M$3006,$G404)="","","；"&amp;INDEX(资金台帐!$M$7:$M$3006,$G404)))</f>
      </c>
      <c r="G404" s="78">
        <f>IFERROR(MATCH(401,资金台帐!$Q$7:$Q$3006,0),"")</f>
      </c>
      <c r="I404" s="141">
        <f>IF($O404="","",401)</f>
      </c>
      <c r="J404" s="140">
        <f>IF($O404="","",INDEX(资金台帐!$B$7:$B$3006,$O404))</f>
      </c>
      <c r="K404" s="141">
        <f>IF($O404="","",INDEX(资金台帐!$K$7:$K$3006,$O404))</f>
      </c>
      <c r="L404" s="172">
        <f>IF($O404="","",-INDEX(资金台帐!$S$7:$S$3006,$O404))</f>
      </c>
      <c r="M404" s="141">
        <f>IF($O404="","",INDEX(资金台帐!$C$7:$C$3006,$O404))</f>
      </c>
      <c r="N404" s="142">
        <f>IF($O404="","",INDEX(资金台帐!$E$7:$E$3006,$O404))</f>
      </c>
      <c r="O404" s="78">
        <f>IFERROR(MATCH(401,资金台帐!$R$7:$R$3006,0),"")</f>
      </c>
    </row>
    <row r="405">
      <c r="A405" s="141">
        <f>IF($G405="","",402)</f>
      </c>
      <c r="B405" s="140">
        <f>IF($G405="","",INDEX(资金台帐!$B$7:$B$3006,$G405))</f>
      </c>
      <c r="C405" s="141">
        <f>IF($G405="","",INDEX(资金台帐!$J$7:$J$3006,$G405))</f>
      </c>
      <c r="D405" s="172">
        <f>IF($G405="","",INDEX(资金台帐!$S$7:$S$3006,$G405))</f>
      </c>
      <c r="E405" s="141">
        <f>IF($G405="","",INDEX(资金台帐!$C$7:$C$3006,$G405))</f>
      </c>
      <c r="F405" s="142">
        <f>IF($G405="","",INDEX(资金台帐!$E$7:$E$3006,$G405)&amp;IF(INDEX(资金台帐!$M$7:$M$3006,$G405)="","","；"&amp;INDEX(资金台帐!$M$7:$M$3006,$G405)))</f>
      </c>
      <c r="G405" s="78">
        <f>IFERROR(MATCH(402,资金台帐!$Q$7:$Q$3006,0),"")</f>
      </c>
      <c r="I405" s="141">
        <f>IF($O405="","",402)</f>
      </c>
      <c r="J405" s="140">
        <f>IF($O405="","",INDEX(资金台帐!$B$7:$B$3006,$O405))</f>
      </c>
      <c r="K405" s="141">
        <f>IF($O405="","",INDEX(资金台帐!$K$7:$K$3006,$O405))</f>
      </c>
      <c r="L405" s="172">
        <f>IF($O405="","",-INDEX(资金台帐!$S$7:$S$3006,$O405))</f>
      </c>
      <c r="M405" s="141">
        <f>IF($O405="","",INDEX(资金台帐!$C$7:$C$3006,$O405))</f>
      </c>
      <c r="N405" s="142">
        <f>IF($O405="","",INDEX(资金台帐!$E$7:$E$3006,$O405))</f>
      </c>
      <c r="O405" s="78">
        <f>IFERROR(MATCH(402,资金台帐!$R$7:$R$3006,0),"")</f>
      </c>
    </row>
    <row r="406">
      <c r="A406" s="141">
        <f>IF($G406="","",403)</f>
      </c>
      <c r="B406" s="140">
        <f>IF($G406="","",INDEX(资金台帐!$B$7:$B$3006,$G406))</f>
      </c>
      <c r="C406" s="141">
        <f>IF($G406="","",INDEX(资金台帐!$J$7:$J$3006,$G406))</f>
      </c>
      <c r="D406" s="172">
        <f>IF($G406="","",INDEX(资金台帐!$S$7:$S$3006,$G406))</f>
      </c>
      <c r="E406" s="141">
        <f>IF($G406="","",INDEX(资金台帐!$C$7:$C$3006,$G406))</f>
      </c>
      <c r="F406" s="142">
        <f>IF($G406="","",INDEX(资金台帐!$E$7:$E$3006,$G406)&amp;IF(INDEX(资金台帐!$M$7:$M$3006,$G406)="","","；"&amp;INDEX(资金台帐!$M$7:$M$3006,$G406)))</f>
      </c>
      <c r="G406" s="78">
        <f>IFERROR(MATCH(403,资金台帐!$Q$7:$Q$3006,0),"")</f>
      </c>
      <c r="I406" s="141">
        <f>IF($O406="","",403)</f>
      </c>
      <c r="J406" s="140">
        <f>IF($O406="","",INDEX(资金台帐!$B$7:$B$3006,$O406))</f>
      </c>
      <c r="K406" s="141">
        <f>IF($O406="","",INDEX(资金台帐!$K$7:$K$3006,$O406))</f>
      </c>
      <c r="L406" s="172">
        <f>IF($O406="","",-INDEX(资金台帐!$S$7:$S$3006,$O406))</f>
      </c>
      <c r="M406" s="141">
        <f>IF($O406="","",INDEX(资金台帐!$C$7:$C$3006,$O406))</f>
      </c>
      <c r="N406" s="142">
        <f>IF($O406="","",INDEX(资金台帐!$E$7:$E$3006,$O406))</f>
      </c>
      <c r="O406" s="78">
        <f>IFERROR(MATCH(403,资金台帐!$R$7:$R$3006,0),"")</f>
      </c>
    </row>
    <row r="407">
      <c r="A407" s="141">
        <f>IF($G407="","",404)</f>
      </c>
      <c r="B407" s="140">
        <f>IF($G407="","",INDEX(资金台帐!$B$7:$B$3006,$G407))</f>
      </c>
      <c r="C407" s="141">
        <f>IF($G407="","",INDEX(资金台帐!$J$7:$J$3006,$G407))</f>
      </c>
      <c r="D407" s="172">
        <f>IF($G407="","",INDEX(资金台帐!$S$7:$S$3006,$G407))</f>
      </c>
      <c r="E407" s="141">
        <f>IF($G407="","",INDEX(资金台帐!$C$7:$C$3006,$G407))</f>
      </c>
      <c r="F407" s="142">
        <f>IF($G407="","",INDEX(资金台帐!$E$7:$E$3006,$G407)&amp;IF(INDEX(资金台帐!$M$7:$M$3006,$G407)="","","；"&amp;INDEX(资金台帐!$M$7:$M$3006,$G407)))</f>
      </c>
      <c r="G407" s="78">
        <f>IFERROR(MATCH(404,资金台帐!$Q$7:$Q$3006,0),"")</f>
      </c>
      <c r="I407" s="141">
        <f>IF($O407="","",404)</f>
      </c>
      <c r="J407" s="140">
        <f>IF($O407="","",INDEX(资金台帐!$B$7:$B$3006,$O407))</f>
      </c>
      <c r="K407" s="141">
        <f>IF($O407="","",INDEX(资金台帐!$K$7:$K$3006,$O407))</f>
      </c>
      <c r="L407" s="172">
        <f>IF($O407="","",-INDEX(资金台帐!$S$7:$S$3006,$O407))</f>
      </c>
      <c r="M407" s="141">
        <f>IF($O407="","",INDEX(资金台帐!$C$7:$C$3006,$O407))</f>
      </c>
      <c r="N407" s="142">
        <f>IF($O407="","",INDEX(资金台帐!$E$7:$E$3006,$O407))</f>
      </c>
      <c r="O407" s="78">
        <f>IFERROR(MATCH(404,资金台帐!$R$7:$R$3006,0),"")</f>
      </c>
    </row>
    <row r="408">
      <c r="A408" s="141">
        <f>IF($G408="","",405)</f>
      </c>
      <c r="B408" s="140">
        <f>IF($G408="","",INDEX(资金台帐!$B$7:$B$3006,$G408))</f>
      </c>
      <c r="C408" s="141">
        <f>IF($G408="","",INDEX(资金台帐!$J$7:$J$3006,$G408))</f>
      </c>
      <c r="D408" s="172">
        <f>IF($G408="","",INDEX(资金台帐!$S$7:$S$3006,$G408))</f>
      </c>
      <c r="E408" s="141">
        <f>IF($G408="","",INDEX(资金台帐!$C$7:$C$3006,$G408))</f>
      </c>
      <c r="F408" s="142">
        <f>IF($G408="","",INDEX(资金台帐!$E$7:$E$3006,$G408)&amp;IF(INDEX(资金台帐!$M$7:$M$3006,$G408)="","","；"&amp;INDEX(资金台帐!$M$7:$M$3006,$G408)))</f>
      </c>
      <c r="G408" s="78">
        <f>IFERROR(MATCH(405,资金台帐!$Q$7:$Q$3006,0),"")</f>
      </c>
      <c r="I408" s="141">
        <f>IF($O408="","",405)</f>
      </c>
      <c r="J408" s="140">
        <f>IF($O408="","",INDEX(资金台帐!$B$7:$B$3006,$O408))</f>
      </c>
      <c r="K408" s="141">
        <f>IF($O408="","",INDEX(资金台帐!$K$7:$K$3006,$O408))</f>
      </c>
      <c r="L408" s="172">
        <f>IF($O408="","",-INDEX(资金台帐!$S$7:$S$3006,$O408))</f>
      </c>
      <c r="M408" s="141">
        <f>IF($O408="","",INDEX(资金台帐!$C$7:$C$3006,$O408))</f>
      </c>
      <c r="N408" s="142">
        <f>IF($O408="","",INDEX(资金台帐!$E$7:$E$3006,$O408))</f>
      </c>
      <c r="O408" s="78">
        <f>IFERROR(MATCH(405,资金台帐!$R$7:$R$3006,0),"")</f>
      </c>
    </row>
    <row r="409">
      <c r="A409" s="141">
        <f>IF($G409="","",406)</f>
      </c>
      <c r="B409" s="140">
        <f>IF($G409="","",INDEX(资金台帐!$B$7:$B$3006,$G409))</f>
      </c>
      <c r="C409" s="141">
        <f>IF($G409="","",INDEX(资金台帐!$J$7:$J$3006,$G409))</f>
      </c>
      <c r="D409" s="172">
        <f>IF($G409="","",INDEX(资金台帐!$S$7:$S$3006,$G409))</f>
      </c>
      <c r="E409" s="141">
        <f>IF($G409="","",INDEX(资金台帐!$C$7:$C$3006,$G409))</f>
      </c>
      <c r="F409" s="142">
        <f>IF($G409="","",INDEX(资金台帐!$E$7:$E$3006,$G409)&amp;IF(INDEX(资金台帐!$M$7:$M$3006,$G409)="","","；"&amp;INDEX(资金台帐!$M$7:$M$3006,$G409)))</f>
      </c>
      <c r="G409" s="78">
        <f>IFERROR(MATCH(406,资金台帐!$Q$7:$Q$3006,0),"")</f>
      </c>
      <c r="I409" s="141">
        <f>IF($O409="","",406)</f>
      </c>
      <c r="J409" s="140">
        <f>IF($O409="","",INDEX(资金台帐!$B$7:$B$3006,$O409))</f>
      </c>
      <c r="K409" s="141">
        <f>IF($O409="","",INDEX(资金台帐!$K$7:$K$3006,$O409))</f>
      </c>
      <c r="L409" s="172">
        <f>IF($O409="","",-INDEX(资金台帐!$S$7:$S$3006,$O409))</f>
      </c>
      <c r="M409" s="141">
        <f>IF($O409="","",INDEX(资金台帐!$C$7:$C$3006,$O409))</f>
      </c>
      <c r="N409" s="142">
        <f>IF($O409="","",INDEX(资金台帐!$E$7:$E$3006,$O409))</f>
      </c>
      <c r="O409" s="78">
        <f>IFERROR(MATCH(406,资金台帐!$R$7:$R$3006,0),"")</f>
      </c>
    </row>
    <row r="410">
      <c r="A410" s="141">
        <f>IF($G410="","",407)</f>
      </c>
      <c r="B410" s="140">
        <f>IF($G410="","",INDEX(资金台帐!$B$7:$B$3006,$G410))</f>
      </c>
      <c r="C410" s="141">
        <f>IF($G410="","",INDEX(资金台帐!$J$7:$J$3006,$G410))</f>
      </c>
      <c r="D410" s="172">
        <f>IF($G410="","",INDEX(资金台帐!$S$7:$S$3006,$G410))</f>
      </c>
      <c r="E410" s="141">
        <f>IF($G410="","",INDEX(资金台帐!$C$7:$C$3006,$G410))</f>
      </c>
      <c r="F410" s="142">
        <f>IF($G410="","",INDEX(资金台帐!$E$7:$E$3006,$G410)&amp;IF(INDEX(资金台帐!$M$7:$M$3006,$G410)="","","；"&amp;INDEX(资金台帐!$M$7:$M$3006,$G410)))</f>
      </c>
      <c r="G410" s="78">
        <f>IFERROR(MATCH(407,资金台帐!$Q$7:$Q$3006,0),"")</f>
      </c>
      <c r="I410" s="141">
        <f>IF($O410="","",407)</f>
      </c>
      <c r="J410" s="140">
        <f>IF($O410="","",INDEX(资金台帐!$B$7:$B$3006,$O410))</f>
      </c>
      <c r="K410" s="141">
        <f>IF($O410="","",INDEX(资金台帐!$K$7:$K$3006,$O410))</f>
      </c>
      <c r="L410" s="172">
        <f>IF($O410="","",-INDEX(资金台帐!$S$7:$S$3006,$O410))</f>
      </c>
      <c r="M410" s="141">
        <f>IF($O410="","",INDEX(资金台帐!$C$7:$C$3006,$O410))</f>
      </c>
      <c r="N410" s="142">
        <f>IF($O410="","",INDEX(资金台帐!$E$7:$E$3006,$O410))</f>
      </c>
      <c r="O410" s="78">
        <f>IFERROR(MATCH(407,资金台帐!$R$7:$R$3006,0),"")</f>
      </c>
    </row>
    <row r="411">
      <c r="A411" s="141">
        <f>IF($G411="","",408)</f>
      </c>
      <c r="B411" s="140">
        <f>IF($G411="","",INDEX(资金台帐!$B$7:$B$3006,$G411))</f>
      </c>
      <c r="C411" s="141">
        <f>IF($G411="","",INDEX(资金台帐!$J$7:$J$3006,$G411))</f>
      </c>
      <c r="D411" s="172">
        <f>IF($G411="","",INDEX(资金台帐!$S$7:$S$3006,$G411))</f>
      </c>
      <c r="E411" s="141">
        <f>IF($G411="","",INDEX(资金台帐!$C$7:$C$3006,$G411))</f>
      </c>
      <c r="F411" s="142">
        <f>IF($G411="","",INDEX(资金台帐!$E$7:$E$3006,$G411)&amp;IF(INDEX(资金台帐!$M$7:$M$3006,$G411)="","","；"&amp;INDEX(资金台帐!$M$7:$M$3006,$G411)))</f>
      </c>
      <c r="G411" s="78">
        <f>IFERROR(MATCH(408,资金台帐!$Q$7:$Q$3006,0),"")</f>
      </c>
      <c r="I411" s="141">
        <f>IF($O411="","",408)</f>
      </c>
      <c r="J411" s="140">
        <f>IF($O411="","",INDEX(资金台帐!$B$7:$B$3006,$O411))</f>
      </c>
      <c r="K411" s="141">
        <f>IF($O411="","",INDEX(资金台帐!$K$7:$K$3006,$O411))</f>
      </c>
      <c r="L411" s="172">
        <f>IF($O411="","",-INDEX(资金台帐!$S$7:$S$3006,$O411))</f>
      </c>
      <c r="M411" s="141">
        <f>IF($O411="","",INDEX(资金台帐!$C$7:$C$3006,$O411))</f>
      </c>
      <c r="N411" s="142">
        <f>IF($O411="","",INDEX(资金台帐!$E$7:$E$3006,$O411))</f>
      </c>
      <c r="O411" s="78">
        <f>IFERROR(MATCH(408,资金台帐!$R$7:$R$3006,0),"")</f>
      </c>
    </row>
    <row r="412">
      <c r="A412" s="141">
        <f>IF($G412="","",409)</f>
      </c>
      <c r="B412" s="140">
        <f>IF($G412="","",INDEX(资金台帐!$B$7:$B$3006,$G412))</f>
      </c>
      <c r="C412" s="141">
        <f>IF($G412="","",INDEX(资金台帐!$J$7:$J$3006,$G412))</f>
      </c>
      <c r="D412" s="172">
        <f>IF($G412="","",INDEX(资金台帐!$S$7:$S$3006,$G412))</f>
      </c>
      <c r="E412" s="141">
        <f>IF($G412="","",INDEX(资金台帐!$C$7:$C$3006,$G412))</f>
      </c>
      <c r="F412" s="142">
        <f>IF($G412="","",INDEX(资金台帐!$E$7:$E$3006,$G412)&amp;IF(INDEX(资金台帐!$M$7:$M$3006,$G412)="","","；"&amp;INDEX(资金台帐!$M$7:$M$3006,$G412)))</f>
      </c>
      <c r="G412" s="78">
        <f>IFERROR(MATCH(409,资金台帐!$Q$7:$Q$3006,0),"")</f>
      </c>
      <c r="I412" s="141">
        <f>IF($O412="","",409)</f>
      </c>
      <c r="J412" s="140">
        <f>IF($O412="","",INDEX(资金台帐!$B$7:$B$3006,$O412))</f>
      </c>
      <c r="K412" s="141">
        <f>IF($O412="","",INDEX(资金台帐!$K$7:$K$3006,$O412))</f>
      </c>
      <c r="L412" s="172">
        <f>IF($O412="","",-INDEX(资金台帐!$S$7:$S$3006,$O412))</f>
      </c>
      <c r="M412" s="141">
        <f>IF($O412="","",INDEX(资金台帐!$C$7:$C$3006,$O412))</f>
      </c>
      <c r="N412" s="142">
        <f>IF($O412="","",INDEX(资金台帐!$E$7:$E$3006,$O412))</f>
      </c>
      <c r="O412" s="78">
        <f>IFERROR(MATCH(409,资金台帐!$R$7:$R$3006,0),"")</f>
      </c>
    </row>
    <row r="413">
      <c r="A413" s="141">
        <f>IF($G413="","",410)</f>
      </c>
      <c r="B413" s="140">
        <f>IF($G413="","",INDEX(资金台帐!$B$7:$B$3006,$G413))</f>
      </c>
      <c r="C413" s="141">
        <f>IF($G413="","",INDEX(资金台帐!$J$7:$J$3006,$G413))</f>
      </c>
      <c r="D413" s="172">
        <f>IF($G413="","",INDEX(资金台帐!$S$7:$S$3006,$G413))</f>
      </c>
      <c r="E413" s="141">
        <f>IF($G413="","",INDEX(资金台帐!$C$7:$C$3006,$G413))</f>
      </c>
      <c r="F413" s="142">
        <f>IF($G413="","",INDEX(资金台帐!$E$7:$E$3006,$G413)&amp;IF(INDEX(资金台帐!$M$7:$M$3006,$G413)="","","；"&amp;INDEX(资金台帐!$M$7:$M$3006,$G413)))</f>
      </c>
      <c r="G413" s="78">
        <f>IFERROR(MATCH(410,资金台帐!$Q$7:$Q$3006,0),"")</f>
      </c>
      <c r="I413" s="141">
        <f>IF($O413="","",410)</f>
      </c>
      <c r="J413" s="140">
        <f>IF($O413="","",INDEX(资金台帐!$B$7:$B$3006,$O413))</f>
      </c>
      <c r="K413" s="141">
        <f>IF($O413="","",INDEX(资金台帐!$K$7:$K$3006,$O413))</f>
      </c>
      <c r="L413" s="172">
        <f>IF($O413="","",-INDEX(资金台帐!$S$7:$S$3006,$O413))</f>
      </c>
      <c r="M413" s="141">
        <f>IF($O413="","",INDEX(资金台帐!$C$7:$C$3006,$O413))</f>
      </c>
      <c r="N413" s="142">
        <f>IF($O413="","",INDEX(资金台帐!$E$7:$E$3006,$O413))</f>
      </c>
      <c r="O413" s="78">
        <f>IFERROR(MATCH(410,资金台帐!$R$7:$R$3006,0),"")</f>
      </c>
    </row>
    <row r="414">
      <c r="A414" s="141">
        <f>IF($G414="","",411)</f>
      </c>
      <c r="B414" s="140">
        <f>IF($G414="","",INDEX(资金台帐!$B$7:$B$3006,$G414))</f>
      </c>
      <c r="C414" s="141">
        <f>IF($G414="","",INDEX(资金台帐!$J$7:$J$3006,$G414))</f>
      </c>
      <c r="D414" s="172">
        <f>IF($G414="","",INDEX(资金台帐!$S$7:$S$3006,$G414))</f>
      </c>
      <c r="E414" s="141">
        <f>IF($G414="","",INDEX(资金台帐!$C$7:$C$3006,$G414))</f>
      </c>
      <c r="F414" s="142">
        <f>IF($G414="","",INDEX(资金台帐!$E$7:$E$3006,$G414)&amp;IF(INDEX(资金台帐!$M$7:$M$3006,$G414)="","","；"&amp;INDEX(资金台帐!$M$7:$M$3006,$G414)))</f>
      </c>
      <c r="G414" s="78">
        <f>IFERROR(MATCH(411,资金台帐!$Q$7:$Q$3006,0),"")</f>
      </c>
      <c r="I414" s="141">
        <f>IF($O414="","",411)</f>
      </c>
      <c r="J414" s="140">
        <f>IF($O414="","",INDEX(资金台帐!$B$7:$B$3006,$O414))</f>
      </c>
      <c r="K414" s="141">
        <f>IF($O414="","",INDEX(资金台帐!$K$7:$K$3006,$O414))</f>
      </c>
      <c r="L414" s="172">
        <f>IF($O414="","",-INDEX(资金台帐!$S$7:$S$3006,$O414))</f>
      </c>
      <c r="M414" s="141">
        <f>IF($O414="","",INDEX(资金台帐!$C$7:$C$3006,$O414))</f>
      </c>
      <c r="N414" s="142">
        <f>IF($O414="","",INDEX(资金台帐!$E$7:$E$3006,$O414))</f>
      </c>
      <c r="O414" s="78">
        <f>IFERROR(MATCH(411,资金台帐!$R$7:$R$3006,0),"")</f>
      </c>
    </row>
    <row r="415">
      <c r="A415" s="141">
        <f>IF($G415="","",412)</f>
      </c>
      <c r="B415" s="140">
        <f>IF($G415="","",INDEX(资金台帐!$B$7:$B$3006,$G415))</f>
      </c>
      <c r="C415" s="141">
        <f>IF($G415="","",INDEX(资金台帐!$J$7:$J$3006,$G415))</f>
      </c>
      <c r="D415" s="172">
        <f>IF($G415="","",INDEX(资金台帐!$S$7:$S$3006,$G415))</f>
      </c>
      <c r="E415" s="141">
        <f>IF($G415="","",INDEX(资金台帐!$C$7:$C$3006,$G415))</f>
      </c>
      <c r="F415" s="142">
        <f>IF($G415="","",INDEX(资金台帐!$E$7:$E$3006,$G415)&amp;IF(INDEX(资金台帐!$M$7:$M$3006,$G415)="","","；"&amp;INDEX(资金台帐!$M$7:$M$3006,$G415)))</f>
      </c>
      <c r="G415" s="78">
        <f>IFERROR(MATCH(412,资金台帐!$Q$7:$Q$3006,0),"")</f>
      </c>
      <c r="I415" s="141">
        <f>IF($O415="","",412)</f>
      </c>
      <c r="J415" s="140">
        <f>IF($O415="","",INDEX(资金台帐!$B$7:$B$3006,$O415))</f>
      </c>
      <c r="K415" s="141">
        <f>IF($O415="","",INDEX(资金台帐!$K$7:$K$3006,$O415))</f>
      </c>
      <c r="L415" s="172">
        <f>IF($O415="","",-INDEX(资金台帐!$S$7:$S$3006,$O415))</f>
      </c>
      <c r="M415" s="141">
        <f>IF($O415="","",INDEX(资金台帐!$C$7:$C$3006,$O415))</f>
      </c>
      <c r="N415" s="142">
        <f>IF($O415="","",INDEX(资金台帐!$E$7:$E$3006,$O415))</f>
      </c>
      <c r="O415" s="78">
        <f>IFERROR(MATCH(412,资金台帐!$R$7:$R$3006,0),"")</f>
      </c>
    </row>
    <row r="416">
      <c r="A416" s="141">
        <f>IF($G416="","",413)</f>
      </c>
      <c r="B416" s="140">
        <f>IF($G416="","",INDEX(资金台帐!$B$7:$B$3006,$G416))</f>
      </c>
      <c r="C416" s="141">
        <f>IF($G416="","",INDEX(资金台帐!$J$7:$J$3006,$G416))</f>
      </c>
      <c r="D416" s="172">
        <f>IF($G416="","",INDEX(资金台帐!$S$7:$S$3006,$G416))</f>
      </c>
      <c r="E416" s="141">
        <f>IF($G416="","",INDEX(资金台帐!$C$7:$C$3006,$G416))</f>
      </c>
      <c r="F416" s="142">
        <f>IF($G416="","",INDEX(资金台帐!$E$7:$E$3006,$G416)&amp;IF(INDEX(资金台帐!$M$7:$M$3006,$G416)="","","；"&amp;INDEX(资金台帐!$M$7:$M$3006,$G416)))</f>
      </c>
      <c r="G416" s="78">
        <f>IFERROR(MATCH(413,资金台帐!$Q$7:$Q$3006,0),"")</f>
      </c>
      <c r="I416" s="141">
        <f>IF($O416="","",413)</f>
      </c>
      <c r="J416" s="140">
        <f>IF($O416="","",INDEX(资金台帐!$B$7:$B$3006,$O416))</f>
      </c>
      <c r="K416" s="141">
        <f>IF($O416="","",INDEX(资金台帐!$K$7:$K$3006,$O416))</f>
      </c>
      <c r="L416" s="172">
        <f>IF($O416="","",-INDEX(资金台帐!$S$7:$S$3006,$O416))</f>
      </c>
      <c r="M416" s="141">
        <f>IF($O416="","",INDEX(资金台帐!$C$7:$C$3006,$O416))</f>
      </c>
      <c r="N416" s="142">
        <f>IF($O416="","",INDEX(资金台帐!$E$7:$E$3006,$O416))</f>
      </c>
      <c r="O416" s="78">
        <f>IFERROR(MATCH(413,资金台帐!$R$7:$R$3006,0),"")</f>
      </c>
    </row>
    <row r="417">
      <c r="A417" s="141">
        <f>IF($G417="","",414)</f>
      </c>
      <c r="B417" s="140">
        <f>IF($G417="","",INDEX(资金台帐!$B$7:$B$3006,$G417))</f>
      </c>
      <c r="C417" s="141">
        <f>IF($G417="","",INDEX(资金台帐!$J$7:$J$3006,$G417))</f>
      </c>
      <c r="D417" s="172">
        <f>IF($G417="","",INDEX(资金台帐!$S$7:$S$3006,$G417))</f>
      </c>
      <c r="E417" s="141">
        <f>IF($G417="","",INDEX(资金台帐!$C$7:$C$3006,$G417))</f>
      </c>
      <c r="F417" s="142">
        <f>IF($G417="","",INDEX(资金台帐!$E$7:$E$3006,$G417)&amp;IF(INDEX(资金台帐!$M$7:$M$3006,$G417)="","","；"&amp;INDEX(资金台帐!$M$7:$M$3006,$G417)))</f>
      </c>
      <c r="G417" s="78">
        <f>IFERROR(MATCH(414,资金台帐!$Q$7:$Q$3006,0),"")</f>
      </c>
      <c r="I417" s="141">
        <f>IF($O417="","",414)</f>
      </c>
      <c r="J417" s="140">
        <f>IF($O417="","",INDEX(资金台帐!$B$7:$B$3006,$O417))</f>
      </c>
      <c r="K417" s="141">
        <f>IF($O417="","",INDEX(资金台帐!$K$7:$K$3006,$O417))</f>
      </c>
      <c r="L417" s="172">
        <f>IF($O417="","",-INDEX(资金台帐!$S$7:$S$3006,$O417))</f>
      </c>
      <c r="M417" s="141">
        <f>IF($O417="","",INDEX(资金台帐!$C$7:$C$3006,$O417))</f>
      </c>
      <c r="N417" s="142">
        <f>IF($O417="","",INDEX(资金台帐!$E$7:$E$3006,$O417))</f>
      </c>
      <c r="O417" s="78">
        <f>IFERROR(MATCH(414,资金台帐!$R$7:$R$3006,0),"")</f>
      </c>
    </row>
    <row r="418">
      <c r="A418" s="141">
        <f>IF($G418="","",415)</f>
      </c>
      <c r="B418" s="140">
        <f>IF($G418="","",INDEX(资金台帐!$B$7:$B$3006,$G418))</f>
      </c>
      <c r="C418" s="141">
        <f>IF($G418="","",INDEX(资金台帐!$J$7:$J$3006,$G418))</f>
      </c>
      <c r="D418" s="172">
        <f>IF($G418="","",INDEX(资金台帐!$S$7:$S$3006,$G418))</f>
      </c>
      <c r="E418" s="141">
        <f>IF($G418="","",INDEX(资金台帐!$C$7:$C$3006,$G418))</f>
      </c>
      <c r="F418" s="142">
        <f>IF($G418="","",INDEX(资金台帐!$E$7:$E$3006,$G418)&amp;IF(INDEX(资金台帐!$M$7:$M$3006,$G418)="","","；"&amp;INDEX(资金台帐!$M$7:$M$3006,$G418)))</f>
      </c>
      <c r="G418" s="78">
        <f>IFERROR(MATCH(415,资金台帐!$Q$7:$Q$3006,0),"")</f>
      </c>
      <c r="I418" s="141">
        <f>IF($O418="","",415)</f>
      </c>
      <c r="J418" s="140">
        <f>IF($O418="","",INDEX(资金台帐!$B$7:$B$3006,$O418))</f>
      </c>
      <c r="K418" s="141">
        <f>IF($O418="","",INDEX(资金台帐!$K$7:$K$3006,$O418))</f>
      </c>
      <c r="L418" s="172">
        <f>IF($O418="","",-INDEX(资金台帐!$S$7:$S$3006,$O418))</f>
      </c>
      <c r="M418" s="141">
        <f>IF($O418="","",INDEX(资金台帐!$C$7:$C$3006,$O418))</f>
      </c>
      <c r="N418" s="142">
        <f>IF($O418="","",INDEX(资金台帐!$E$7:$E$3006,$O418))</f>
      </c>
      <c r="O418" s="78">
        <f>IFERROR(MATCH(415,资金台帐!$R$7:$R$3006,0),"")</f>
      </c>
    </row>
    <row r="419">
      <c r="A419" s="141">
        <f>IF($G419="","",416)</f>
      </c>
      <c r="B419" s="140">
        <f>IF($G419="","",INDEX(资金台帐!$B$7:$B$3006,$G419))</f>
      </c>
      <c r="C419" s="141">
        <f>IF($G419="","",INDEX(资金台帐!$J$7:$J$3006,$G419))</f>
      </c>
      <c r="D419" s="172">
        <f>IF($G419="","",INDEX(资金台帐!$S$7:$S$3006,$G419))</f>
      </c>
      <c r="E419" s="141">
        <f>IF($G419="","",INDEX(资金台帐!$C$7:$C$3006,$G419))</f>
      </c>
      <c r="F419" s="142">
        <f>IF($G419="","",INDEX(资金台帐!$E$7:$E$3006,$G419)&amp;IF(INDEX(资金台帐!$M$7:$M$3006,$G419)="","","；"&amp;INDEX(资金台帐!$M$7:$M$3006,$G419)))</f>
      </c>
      <c r="G419" s="78">
        <f>IFERROR(MATCH(416,资金台帐!$Q$7:$Q$3006,0),"")</f>
      </c>
      <c r="I419" s="141">
        <f>IF($O419="","",416)</f>
      </c>
      <c r="J419" s="140">
        <f>IF($O419="","",INDEX(资金台帐!$B$7:$B$3006,$O419))</f>
      </c>
      <c r="K419" s="141">
        <f>IF($O419="","",INDEX(资金台帐!$K$7:$K$3006,$O419))</f>
      </c>
      <c r="L419" s="172">
        <f>IF($O419="","",-INDEX(资金台帐!$S$7:$S$3006,$O419))</f>
      </c>
      <c r="M419" s="141">
        <f>IF($O419="","",INDEX(资金台帐!$C$7:$C$3006,$O419))</f>
      </c>
      <c r="N419" s="142">
        <f>IF($O419="","",INDEX(资金台帐!$E$7:$E$3006,$O419))</f>
      </c>
      <c r="O419" s="78">
        <f>IFERROR(MATCH(416,资金台帐!$R$7:$R$3006,0),"")</f>
      </c>
    </row>
    <row r="420">
      <c r="A420" s="141">
        <f>IF($G420="","",417)</f>
      </c>
      <c r="B420" s="140">
        <f>IF($G420="","",INDEX(资金台帐!$B$7:$B$3006,$G420))</f>
      </c>
      <c r="C420" s="141">
        <f>IF($G420="","",INDEX(资金台帐!$J$7:$J$3006,$G420))</f>
      </c>
      <c r="D420" s="172">
        <f>IF($G420="","",INDEX(资金台帐!$S$7:$S$3006,$G420))</f>
      </c>
      <c r="E420" s="141">
        <f>IF($G420="","",INDEX(资金台帐!$C$7:$C$3006,$G420))</f>
      </c>
      <c r="F420" s="142">
        <f>IF($G420="","",INDEX(资金台帐!$E$7:$E$3006,$G420)&amp;IF(INDEX(资金台帐!$M$7:$M$3006,$G420)="","","；"&amp;INDEX(资金台帐!$M$7:$M$3006,$G420)))</f>
      </c>
      <c r="G420" s="78">
        <f>IFERROR(MATCH(417,资金台帐!$Q$7:$Q$3006,0),"")</f>
      </c>
      <c r="I420" s="141">
        <f>IF($O420="","",417)</f>
      </c>
      <c r="J420" s="140">
        <f>IF($O420="","",INDEX(资金台帐!$B$7:$B$3006,$O420))</f>
      </c>
      <c r="K420" s="141">
        <f>IF($O420="","",INDEX(资金台帐!$K$7:$K$3006,$O420))</f>
      </c>
      <c r="L420" s="172">
        <f>IF($O420="","",-INDEX(资金台帐!$S$7:$S$3006,$O420))</f>
      </c>
      <c r="M420" s="141">
        <f>IF($O420="","",INDEX(资金台帐!$C$7:$C$3006,$O420))</f>
      </c>
      <c r="N420" s="142">
        <f>IF($O420="","",INDEX(资金台帐!$E$7:$E$3006,$O420))</f>
      </c>
      <c r="O420" s="78">
        <f>IFERROR(MATCH(417,资金台帐!$R$7:$R$3006,0),"")</f>
      </c>
    </row>
    <row r="421">
      <c r="A421" s="141">
        <f>IF($G421="","",418)</f>
      </c>
      <c r="B421" s="140">
        <f>IF($G421="","",INDEX(资金台帐!$B$7:$B$3006,$G421))</f>
      </c>
      <c r="C421" s="141">
        <f>IF($G421="","",INDEX(资金台帐!$J$7:$J$3006,$G421))</f>
      </c>
      <c r="D421" s="172">
        <f>IF($G421="","",INDEX(资金台帐!$S$7:$S$3006,$G421))</f>
      </c>
      <c r="E421" s="141">
        <f>IF($G421="","",INDEX(资金台帐!$C$7:$C$3006,$G421))</f>
      </c>
      <c r="F421" s="142">
        <f>IF($G421="","",INDEX(资金台帐!$E$7:$E$3006,$G421)&amp;IF(INDEX(资金台帐!$M$7:$M$3006,$G421)="","","；"&amp;INDEX(资金台帐!$M$7:$M$3006,$G421)))</f>
      </c>
      <c r="G421" s="78">
        <f>IFERROR(MATCH(418,资金台帐!$Q$7:$Q$3006,0),"")</f>
      </c>
      <c r="I421" s="141">
        <f>IF($O421="","",418)</f>
      </c>
      <c r="J421" s="140">
        <f>IF($O421="","",INDEX(资金台帐!$B$7:$B$3006,$O421))</f>
      </c>
      <c r="K421" s="141">
        <f>IF($O421="","",INDEX(资金台帐!$K$7:$K$3006,$O421))</f>
      </c>
      <c r="L421" s="172">
        <f>IF($O421="","",-INDEX(资金台帐!$S$7:$S$3006,$O421))</f>
      </c>
      <c r="M421" s="141">
        <f>IF($O421="","",INDEX(资金台帐!$C$7:$C$3006,$O421))</f>
      </c>
      <c r="N421" s="142">
        <f>IF($O421="","",INDEX(资金台帐!$E$7:$E$3006,$O421))</f>
      </c>
      <c r="O421" s="78">
        <f>IFERROR(MATCH(418,资金台帐!$R$7:$R$3006,0),"")</f>
      </c>
    </row>
    <row r="422">
      <c r="A422" s="141">
        <f>IF($G422="","",419)</f>
      </c>
      <c r="B422" s="140">
        <f>IF($G422="","",INDEX(资金台帐!$B$7:$B$3006,$G422))</f>
      </c>
      <c r="C422" s="141">
        <f>IF($G422="","",INDEX(资金台帐!$J$7:$J$3006,$G422))</f>
      </c>
      <c r="D422" s="172">
        <f>IF($G422="","",INDEX(资金台帐!$S$7:$S$3006,$G422))</f>
      </c>
      <c r="E422" s="141">
        <f>IF($G422="","",INDEX(资金台帐!$C$7:$C$3006,$G422))</f>
      </c>
      <c r="F422" s="142">
        <f>IF($G422="","",INDEX(资金台帐!$E$7:$E$3006,$G422)&amp;IF(INDEX(资金台帐!$M$7:$M$3006,$G422)="","","；"&amp;INDEX(资金台帐!$M$7:$M$3006,$G422)))</f>
      </c>
      <c r="G422" s="78">
        <f>IFERROR(MATCH(419,资金台帐!$Q$7:$Q$3006,0),"")</f>
      </c>
      <c r="I422" s="141">
        <f>IF($O422="","",419)</f>
      </c>
      <c r="J422" s="140">
        <f>IF($O422="","",INDEX(资金台帐!$B$7:$B$3006,$O422))</f>
      </c>
      <c r="K422" s="141">
        <f>IF($O422="","",INDEX(资金台帐!$K$7:$K$3006,$O422))</f>
      </c>
      <c r="L422" s="172">
        <f>IF($O422="","",-INDEX(资金台帐!$S$7:$S$3006,$O422))</f>
      </c>
      <c r="M422" s="141">
        <f>IF($O422="","",INDEX(资金台帐!$C$7:$C$3006,$O422))</f>
      </c>
      <c r="N422" s="142">
        <f>IF($O422="","",INDEX(资金台帐!$E$7:$E$3006,$O422))</f>
      </c>
      <c r="O422" s="78">
        <f>IFERROR(MATCH(419,资金台帐!$R$7:$R$3006,0),"")</f>
      </c>
    </row>
    <row r="423">
      <c r="A423" s="141">
        <f>IF($G423="","",420)</f>
      </c>
      <c r="B423" s="140">
        <f>IF($G423="","",INDEX(资金台帐!$B$7:$B$3006,$G423))</f>
      </c>
      <c r="C423" s="141">
        <f>IF($G423="","",INDEX(资金台帐!$J$7:$J$3006,$G423))</f>
      </c>
      <c r="D423" s="172">
        <f>IF($G423="","",INDEX(资金台帐!$S$7:$S$3006,$G423))</f>
      </c>
      <c r="E423" s="141">
        <f>IF($G423="","",INDEX(资金台帐!$C$7:$C$3006,$G423))</f>
      </c>
      <c r="F423" s="142">
        <f>IF($G423="","",INDEX(资金台帐!$E$7:$E$3006,$G423)&amp;IF(INDEX(资金台帐!$M$7:$M$3006,$G423)="","","；"&amp;INDEX(资金台帐!$M$7:$M$3006,$G423)))</f>
      </c>
      <c r="G423" s="78">
        <f>IFERROR(MATCH(420,资金台帐!$Q$7:$Q$3006,0),"")</f>
      </c>
      <c r="I423" s="141">
        <f>IF($O423="","",420)</f>
      </c>
      <c r="J423" s="140">
        <f>IF($O423="","",INDEX(资金台帐!$B$7:$B$3006,$O423))</f>
      </c>
      <c r="K423" s="141">
        <f>IF($O423="","",INDEX(资金台帐!$K$7:$K$3006,$O423))</f>
      </c>
      <c r="L423" s="172">
        <f>IF($O423="","",-INDEX(资金台帐!$S$7:$S$3006,$O423))</f>
      </c>
      <c r="M423" s="141">
        <f>IF($O423="","",INDEX(资金台帐!$C$7:$C$3006,$O423))</f>
      </c>
      <c r="N423" s="142">
        <f>IF($O423="","",INDEX(资金台帐!$E$7:$E$3006,$O423))</f>
      </c>
      <c r="O423" s="78">
        <f>IFERROR(MATCH(420,资金台帐!$R$7:$R$3006,0),"")</f>
      </c>
    </row>
    <row r="424">
      <c r="A424" s="141">
        <f>IF($G424="","",421)</f>
      </c>
      <c r="B424" s="140">
        <f>IF($G424="","",INDEX(资金台帐!$B$7:$B$3006,$G424))</f>
      </c>
      <c r="C424" s="141">
        <f>IF($G424="","",INDEX(资金台帐!$J$7:$J$3006,$G424))</f>
      </c>
      <c r="D424" s="172">
        <f>IF($G424="","",INDEX(资金台帐!$S$7:$S$3006,$G424))</f>
      </c>
      <c r="E424" s="141">
        <f>IF($G424="","",INDEX(资金台帐!$C$7:$C$3006,$G424))</f>
      </c>
      <c r="F424" s="142">
        <f>IF($G424="","",INDEX(资金台帐!$E$7:$E$3006,$G424)&amp;IF(INDEX(资金台帐!$M$7:$M$3006,$G424)="","","；"&amp;INDEX(资金台帐!$M$7:$M$3006,$G424)))</f>
      </c>
      <c r="G424" s="78">
        <f>IFERROR(MATCH(421,资金台帐!$Q$7:$Q$3006,0),"")</f>
      </c>
      <c r="I424" s="141">
        <f>IF($O424="","",421)</f>
      </c>
      <c r="J424" s="140">
        <f>IF($O424="","",INDEX(资金台帐!$B$7:$B$3006,$O424))</f>
      </c>
      <c r="K424" s="141">
        <f>IF($O424="","",INDEX(资金台帐!$K$7:$K$3006,$O424))</f>
      </c>
      <c r="L424" s="172">
        <f>IF($O424="","",-INDEX(资金台帐!$S$7:$S$3006,$O424))</f>
      </c>
      <c r="M424" s="141">
        <f>IF($O424="","",INDEX(资金台帐!$C$7:$C$3006,$O424))</f>
      </c>
      <c r="N424" s="142">
        <f>IF($O424="","",INDEX(资金台帐!$E$7:$E$3006,$O424))</f>
      </c>
      <c r="O424" s="78">
        <f>IFERROR(MATCH(421,资金台帐!$R$7:$R$3006,0),"")</f>
      </c>
    </row>
    <row r="425">
      <c r="A425" s="141">
        <f>IF($G425="","",422)</f>
      </c>
      <c r="B425" s="140">
        <f>IF($G425="","",INDEX(资金台帐!$B$7:$B$3006,$G425))</f>
      </c>
      <c r="C425" s="141">
        <f>IF($G425="","",INDEX(资金台帐!$J$7:$J$3006,$G425))</f>
      </c>
      <c r="D425" s="172">
        <f>IF($G425="","",INDEX(资金台帐!$S$7:$S$3006,$G425))</f>
      </c>
      <c r="E425" s="141">
        <f>IF($G425="","",INDEX(资金台帐!$C$7:$C$3006,$G425))</f>
      </c>
      <c r="F425" s="142">
        <f>IF($G425="","",INDEX(资金台帐!$E$7:$E$3006,$G425)&amp;IF(INDEX(资金台帐!$M$7:$M$3006,$G425)="","","；"&amp;INDEX(资金台帐!$M$7:$M$3006,$G425)))</f>
      </c>
      <c r="G425" s="78">
        <f>IFERROR(MATCH(422,资金台帐!$Q$7:$Q$3006,0),"")</f>
      </c>
      <c r="I425" s="141">
        <f>IF($O425="","",422)</f>
      </c>
      <c r="J425" s="140">
        <f>IF($O425="","",INDEX(资金台帐!$B$7:$B$3006,$O425))</f>
      </c>
      <c r="K425" s="141">
        <f>IF($O425="","",INDEX(资金台帐!$K$7:$K$3006,$O425))</f>
      </c>
      <c r="L425" s="172">
        <f>IF($O425="","",-INDEX(资金台帐!$S$7:$S$3006,$O425))</f>
      </c>
      <c r="M425" s="141">
        <f>IF($O425="","",INDEX(资金台帐!$C$7:$C$3006,$O425))</f>
      </c>
      <c r="N425" s="142">
        <f>IF($O425="","",INDEX(资金台帐!$E$7:$E$3006,$O425))</f>
      </c>
      <c r="O425" s="78">
        <f>IFERROR(MATCH(422,资金台帐!$R$7:$R$3006,0),"")</f>
      </c>
    </row>
    <row r="426">
      <c r="A426" s="141">
        <f>IF($G426="","",423)</f>
      </c>
      <c r="B426" s="140">
        <f>IF($G426="","",INDEX(资金台帐!$B$7:$B$3006,$G426))</f>
      </c>
      <c r="C426" s="141">
        <f>IF($G426="","",INDEX(资金台帐!$J$7:$J$3006,$G426))</f>
      </c>
      <c r="D426" s="172">
        <f>IF($G426="","",INDEX(资金台帐!$S$7:$S$3006,$G426))</f>
      </c>
      <c r="E426" s="141">
        <f>IF($G426="","",INDEX(资金台帐!$C$7:$C$3006,$G426))</f>
      </c>
      <c r="F426" s="142">
        <f>IF($G426="","",INDEX(资金台帐!$E$7:$E$3006,$G426)&amp;IF(INDEX(资金台帐!$M$7:$M$3006,$G426)="","","；"&amp;INDEX(资金台帐!$M$7:$M$3006,$G426)))</f>
      </c>
      <c r="G426" s="78">
        <f>IFERROR(MATCH(423,资金台帐!$Q$7:$Q$3006,0),"")</f>
      </c>
      <c r="I426" s="141">
        <f>IF($O426="","",423)</f>
      </c>
      <c r="J426" s="140">
        <f>IF($O426="","",INDEX(资金台帐!$B$7:$B$3006,$O426))</f>
      </c>
      <c r="K426" s="141">
        <f>IF($O426="","",INDEX(资金台帐!$K$7:$K$3006,$O426))</f>
      </c>
      <c r="L426" s="172">
        <f>IF($O426="","",-INDEX(资金台帐!$S$7:$S$3006,$O426))</f>
      </c>
      <c r="M426" s="141">
        <f>IF($O426="","",INDEX(资金台帐!$C$7:$C$3006,$O426))</f>
      </c>
      <c r="N426" s="142">
        <f>IF($O426="","",INDEX(资金台帐!$E$7:$E$3006,$O426))</f>
      </c>
      <c r="O426" s="78">
        <f>IFERROR(MATCH(423,资金台帐!$R$7:$R$3006,0),"")</f>
      </c>
    </row>
    <row r="427">
      <c r="A427" s="141">
        <f>IF($G427="","",424)</f>
      </c>
      <c r="B427" s="140">
        <f>IF($G427="","",INDEX(资金台帐!$B$7:$B$3006,$G427))</f>
      </c>
      <c r="C427" s="141">
        <f>IF($G427="","",INDEX(资金台帐!$J$7:$J$3006,$G427))</f>
      </c>
      <c r="D427" s="172">
        <f>IF($G427="","",INDEX(资金台帐!$S$7:$S$3006,$G427))</f>
      </c>
      <c r="E427" s="141">
        <f>IF($G427="","",INDEX(资金台帐!$C$7:$C$3006,$G427))</f>
      </c>
      <c r="F427" s="142">
        <f>IF($G427="","",INDEX(资金台帐!$E$7:$E$3006,$G427)&amp;IF(INDEX(资金台帐!$M$7:$M$3006,$G427)="","","；"&amp;INDEX(资金台帐!$M$7:$M$3006,$G427)))</f>
      </c>
      <c r="G427" s="78">
        <f>IFERROR(MATCH(424,资金台帐!$Q$7:$Q$3006,0),"")</f>
      </c>
      <c r="I427" s="141">
        <f>IF($O427="","",424)</f>
      </c>
      <c r="J427" s="140">
        <f>IF($O427="","",INDEX(资金台帐!$B$7:$B$3006,$O427))</f>
      </c>
      <c r="K427" s="141">
        <f>IF($O427="","",INDEX(资金台帐!$K$7:$K$3006,$O427))</f>
      </c>
      <c r="L427" s="172">
        <f>IF($O427="","",-INDEX(资金台帐!$S$7:$S$3006,$O427))</f>
      </c>
      <c r="M427" s="141">
        <f>IF($O427="","",INDEX(资金台帐!$C$7:$C$3006,$O427))</f>
      </c>
      <c r="N427" s="142">
        <f>IF($O427="","",INDEX(资金台帐!$E$7:$E$3006,$O427))</f>
      </c>
      <c r="O427" s="78">
        <f>IFERROR(MATCH(424,资金台帐!$R$7:$R$3006,0),"")</f>
      </c>
    </row>
    <row r="428">
      <c r="A428" s="141">
        <f>IF($G428="","",425)</f>
      </c>
      <c r="B428" s="140">
        <f>IF($G428="","",INDEX(资金台帐!$B$7:$B$3006,$G428))</f>
      </c>
      <c r="C428" s="141">
        <f>IF($G428="","",INDEX(资金台帐!$J$7:$J$3006,$G428))</f>
      </c>
      <c r="D428" s="172">
        <f>IF($G428="","",INDEX(资金台帐!$S$7:$S$3006,$G428))</f>
      </c>
      <c r="E428" s="141">
        <f>IF($G428="","",INDEX(资金台帐!$C$7:$C$3006,$G428))</f>
      </c>
      <c r="F428" s="142">
        <f>IF($G428="","",INDEX(资金台帐!$E$7:$E$3006,$G428)&amp;IF(INDEX(资金台帐!$M$7:$M$3006,$G428)="","","；"&amp;INDEX(资金台帐!$M$7:$M$3006,$G428)))</f>
      </c>
      <c r="G428" s="78">
        <f>IFERROR(MATCH(425,资金台帐!$Q$7:$Q$3006,0),"")</f>
      </c>
      <c r="I428" s="141">
        <f>IF($O428="","",425)</f>
      </c>
      <c r="J428" s="140">
        <f>IF($O428="","",INDEX(资金台帐!$B$7:$B$3006,$O428))</f>
      </c>
      <c r="K428" s="141">
        <f>IF($O428="","",INDEX(资金台帐!$K$7:$K$3006,$O428))</f>
      </c>
      <c r="L428" s="172">
        <f>IF($O428="","",-INDEX(资金台帐!$S$7:$S$3006,$O428))</f>
      </c>
      <c r="M428" s="141">
        <f>IF($O428="","",INDEX(资金台帐!$C$7:$C$3006,$O428))</f>
      </c>
      <c r="N428" s="142">
        <f>IF($O428="","",INDEX(资金台帐!$E$7:$E$3006,$O428))</f>
      </c>
      <c r="O428" s="78">
        <f>IFERROR(MATCH(425,资金台帐!$R$7:$R$3006,0),"")</f>
      </c>
    </row>
    <row r="429">
      <c r="A429" s="141">
        <f>IF($G429="","",426)</f>
      </c>
      <c r="B429" s="140">
        <f>IF($G429="","",INDEX(资金台帐!$B$7:$B$3006,$G429))</f>
      </c>
      <c r="C429" s="141">
        <f>IF($G429="","",INDEX(资金台帐!$J$7:$J$3006,$G429))</f>
      </c>
      <c r="D429" s="172">
        <f>IF($G429="","",INDEX(资金台帐!$S$7:$S$3006,$G429))</f>
      </c>
      <c r="E429" s="141">
        <f>IF($G429="","",INDEX(资金台帐!$C$7:$C$3006,$G429))</f>
      </c>
      <c r="F429" s="142">
        <f>IF($G429="","",INDEX(资金台帐!$E$7:$E$3006,$G429)&amp;IF(INDEX(资金台帐!$M$7:$M$3006,$G429)="","","；"&amp;INDEX(资金台帐!$M$7:$M$3006,$G429)))</f>
      </c>
      <c r="G429" s="78">
        <f>IFERROR(MATCH(426,资金台帐!$Q$7:$Q$3006,0),"")</f>
      </c>
      <c r="I429" s="141">
        <f>IF($O429="","",426)</f>
      </c>
      <c r="J429" s="140">
        <f>IF($O429="","",INDEX(资金台帐!$B$7:$B$3006,$O429))</f>
      </c>
      <c r="K429" s="141">
        <f>IF($O429="","",INDEX(资金台帐!$K$7:$K$3006,$O429))</f>
      </c>
      <c r="L429" s="172">
        <f>IF($O429="","",-INDEX(资金台帐!$S$7:$S$3006,$O429))</f>
      </c>
      <c r="M429" s="141">
        <f>IF($O429="","",INDEX(资金台帐!$C$7:$C$3006,$O429))</f>
      </c>
      <c r="N429" s="142">
        <f>IF($O429="","",INDEX(资金台帐!$E$7:$E$3006,$O429))</f>
      </c>
      <c r="O429" s="78">
        <f>IFERROR(MATCH(426,资金台帐!$R$7:$R$3006,0),"")</f>
      </c>
    </row>
    <row r="430">
      <c r="A430" s="141">
        <f>IF($G430="","",427)</f>
      </c>
      <c r="B430" s="140">
        <f>IF($G430="","",INDEX(资金台帐!$B$7:$B$3006,$G430))</f>
      </c>
      <c r="C430" s="141">
        <f>IF($G430="","",INDEX(资金台帐!$J$7:$J$3006,$G430))</f>
      </c>
      <c r="D430" s="172">
        <f>IF($G430="","",INDEX(资金台帐!$S$7:$S$3006,$G430))</f>
      </c>
      <c r="E430" s="141">
        <f>IF($G430="","",INDEX(资金台帐!$C$7:$C$3006,$G430))</f>
      </c>
      <c r="F430" s="142">
        <f>IF($G430="","",INDEX(资金台帐!$E$7:$E$3006,$G430)&amp;IF(INDEX(资金台帐!$M$7:$M$3006,$G430)="","","；"&amp;INDEX(资金台帐!$M$7:$M$3006,$G430)))</f>
      </c>
      <c r="G430" s="78">
        <f>IFERROR(MATCH(427,资金台帐!$Q$7:$Q$3006,0),"")</f>
      </c>
      <c r="I430" s="141">
        <f>IF($O430="","",427)</f>
      </c>
      <c r="J430" s="140">
        <f>IF($O430="","",INDEX(资金台帐!$B$7:$B$3006,$O430))</f>
      </c>
      <c r="K430" s="141">
        <f>IF($O430="","",INDEX(资金台帐!$K$7:$K$3006,$O430))</f>
      </c>
      <c r="L430" s="172">
        <f>IF($O430="","",-INDEX(资金台帐!$S$7:$S$3006,$O430))</f>
      </c>
      <c r="M430" s="141">
        <f>IF($O430="","",INDEX(资金台帐!$C$7:$C$3006,$O430))</f>
      </c>
      <c r="N430" s="142">
        <f>IF($O430="","",INDEX(资金台帐!$E$7:$E$3006,$O430))</f>
      </c>
      <c r="O430" s="78">
        <f>IFERROR(MATCH(427,资金台帐!$R$7:$R$3006,0),"")</f>
      </c>
    </row>
    <row r="431">
      <c r="A431" s="141">
        <f>IF($G431="","",428)</f>
      </c>
      <c r="B431" s="140">
        <f>IF($G431="","",INDEX(资金台帐!$B$7:$B$3006,$G431))</f>
      </c>
      <c r="C431" s="141">
        <f>IF($G431="","",INDEX(资金台帐!$J$7:$J$3006,$G431))</f>
      </c>
      <c r="D431" s="172">
        <f>IF($G431="","",INDEX(资金台帐!$S$7:$S$3006,$G431))</f>
      </c>
      <c r="E431" s="141">
        <f>IF($G431="","",INDEX(资金台帐!$C$7:$C$3006,$G431))</f>
      </c>
      <c r="F431" s="142">
        <f>IF($G431="","",INDEX(资金台帐!$E$7:$E$3006,$G431)&amp;IF(INDEX(资金台帐!$M$7:$M$3006,$G431)="","","；"&amp;INDEX(资金台帐!$M$7:$M$3006,$G431)))</f>
      </c>
      <c r="G431" s="78">
        <f>IFERROR(MATCH(428,资金台帐!$Q$7:$Q$3006,0),"")</f>
      </c>
      <c r="I431" s="141">
        <f>IF($O431="","",428)</f>
      </c>
      <c r="J431" s="140">
        <f>IF($O431="","",INDEX(资金台帐!$B$7:$B$3006,$O431))</f>
      </c>
      <c r="K431" s="141">
        <f>IF($O431="","",INDEX(资金台帐!$K$7:$K$3006,$O431))</f>
      </c>
      <c r="L431" s="172">
        <f>IF($O431="","",-INDEX(资金台帐!$S$7:$S$3006,$O431))</f>
      </c>
      <c r="M431" s="141">
        <f>IF($O431="","",INDEX(资金台帐!$C$7:$C$3006,$O431))</f>
      </c>
      <c r="N431" s="142">
        <f>IF($O431="","",INDEX(资金台帐!$E$7:$E$3006,$O431))</f>
      </c>
      <c r="O431" s="78">
        <f>IFERROR(MATCH(428,资金台帐!$R$7:$R$3006,0),"")</f>
      </c>
    </row>
    <row r="432">
      <c r="A432" s="141">
        <f>IF($G432="","",429)</f>
      </c>
      <c r="B432" s="140">
        <f>IF($G432="","",INDEX(资金台帐!$B$7:$B$3006,$G432))</f>
      </c>
      <c r="C432" s="141">
        <f>IF($G432="","",INDEX(资金台帐!$J$7:$J$3006,$G432))</f>
      </c>
      <c r="D432" s="172">
        <f>IF($G432="","",INDEX(资金台帐!$S$7:$S$3006,$G432))</f>
      </c>
      <c r="E432" s="141">
        <f>IF($G432="","",INDEX(资金台帐!$C$7:$C$3006,$G432))</f>
      </c>
      <c r="F432" s="142">
        <f>IF($G432="","",INDEX(资金台帐!$E$7:$E$3006,$G432)&amp;IF(INDEX(资金台帐!$M$7:$M$3006,$G432)="","","；"&amp;INDEX(资金台帐!$M$7:$M$3006,$G432)))</f>
      </c>
      <c r="G432" s="78">
        <f>IFERROR(MATCH(429,资金台帐!$Q$7:$Q$3006,0),"")</f>
      </c>
      <c r="I432" s="141">
        <f>IF($O432="","",429)</f>
      </c>
      <c r="J432" s="140">
        <f>IF($O432="","",INDEX(资金台帐!$B$7:$B$3006,$O432))</f>
      </c>
      <c r="K432" s="141">
        <f>IF($O432="","",INDEX(资金台帐!$K$7:$K$3006,$O432))</f>
      </c>
      <c r="L432" s="172">
        <f>IF($O432="","",-INDEX(资金台帐!$S$7:$S$3006,$O432))</f>
      </c>
      <c r="M432" s="141">
        <f>IF($O432="","",INDEX(资金台帐!$C$7:$C$3006,$O432))</f>
      </c>
      <c r="N432" s="142">
        <f>IF($O432="","",INDEX(资金台帐!$E$7:$E$3006,$O432))</f>
      </c>
      <c r="O432" s="78">
        <f>IFERROR(MATCH(429,资金台帐!$R$7:$R$3006,0),"")</f>
      </c>
    </row>
    <row r="433">
      <c r="A433" s="141">
        <f>IF($G433="","",430)</f>
      </c>
      <c r="B433" s="140">
        <f>IF($G433="","",INDEX(资金台帐!$B$7:$B$3006,$G433))</f>
      </c>
      <c r="C433" s="141">
        <f>IF($G433="","",INDEX(资金台帐!$J$7:$J$3006,$G433))</f>
      </c>
      <c r="D433" s="172">
        <f>IF($G433="","",INDEX(资金台帐!$S$7:$S$3006,$G433))</f>
      </c>
      <c r="E433" s="141">
        <f>IF($G433="","",INDEX(资金台帐!$C$7:$C$3006,$G433))</f>
      </c>
      <c r="F433" s="142">
        <f>IF($G433="","",INDEX(资金台帐!$E$7:$E$3006,$G433)&amp;IF(INDEX(资金台帐!$M$7:$M$3006,$G433)="","","；"&amp;INDEX(资金台帐!$M$7:$M$3006,$G433)))</f>
      </c>
      <c r="G433" s="78">
        <f>IFERROR(MATCH(430,资金台帐!$Q$7:$Q$3006,0),"")</f>
      </c>
      <c r="I433" s="141">
        <f>IF($O433="","",430)</f>
      </c>
      <c r="J433" s="140">
        <f>IF($O433="","",INDEX(资金台帐!$B$7:$B$3006,$O433))</f>
      </c>
      <c r="K433" s="141">
        <f>IF($O433="","",INDEX(资金台帐!$K$7:$K$3006,$O433))</f>
      </c>
      <c r="L433" s="172">
        <f>IF($O433="","",-INDEX(资金台帐!$S$7:$S$3006,$O433))</f>
      </c>
      <c r="M433" s="141">
        <f>IF($O433="","",INDEX(资金台帐!$C$7:$C$3006,$O433))</f>
      </c>
      <c r="N433" s="142">
        <f>IF($O433="","",INDEX(资金台帐!$E$7:$E$3006,$O433))</f>
      </c>
      <c r="O433" s="78">
        <f>IFERROR(MATCH(430,资金台帐!$R$7:$R$3006,0),"")</f>
      </c>
    </row>
    <row r="434">
      <c r="A434" s="141">
        <f>IF($G434="","",431)</f>
      </c>
      <c r="B434" s="140">
        <f>IF($G434="","",INDEX(资金台帐!$B$7:$B$3006,$G434))</f>
      </c>
      <c r="C434" s="141">
        <f>IF($G434="","",INDEX(资金台帐!$J$7:$J$3006,$G434))</f>
      </c>
      <c r="D434" s="172">
        <f>IF($G434="","",INDEX(资金台帐!$S$7:$S$3006,$G434))</f>
      </c>
      <c r="E434" s="141">
        <f>IF($G434="","",INDEX(资金台帐!$C$7:$C$3006,$G434))</f>
      </c>
      <c r="F434" s="142">
        <f>IF($G434="","",INDEX(资金台帐!$E$7:$E$3006,$G434)&amp;IF(INDEX(资金台帐!$M$7:$M$3006,$G434)="","","；"&amp;INDEX(资金台帐!$M$7:$M$3006,$G434)))</f>
      </c>
      <c r="G434" s="78">
        <f>IFERROR(MATCH(431,资金台帐!$Q$7:$Q$3006,0),"")</f>
      </c>
      <c r="I434" s="141">
        <f>IF($O434="","",431)</f>
      </c>
      <c r="J434" s="140">
        <f>IF($O434="","",INDEX(资金台帐!$B$7:$B$3006,$O434))</f>
      </c>
      <c r="K434" s="141">
        <f>IF($O434="","",INDEX(资金台帐!$K$7:$K$3006,$O434))</f>
      </c>
      <c r="L434" s="172">
        <f>IF($O434="","",-INDEX(资金台帐!$S$7:$S$3006,$O434))</f>
      </c>
      <c r="M434" s="141">
        <f>IF($O434="","",INDEX(资金台帐!$C$7:$C$3006,$O434))</f>
      </c>
      <c r="N434" s="142">
        <f>IF($O434="","",INDEX(资金台帐!$E$7:$E$3006,$O434))</f>
      </c>
      <c r="O434" s="78">
        <f>IFERROR(MATCH(431,资金台帐!$R$7:$R$3006,0),"")</f>
      </c>
    </row>
    <row r="435">
      <c r="A435" s="141">
        <f>IF($G435="","",432)</f>
      </c>
      <c r="B435" s="140">
        <f>IF($G435="","",INDEX(资金台帐!$B$7:$B$3006,$G435))</f>
      </c>
      <c r="C435" s="141">
        <f>IF($G435="","",INDEX(资金台帐!$J$7:$J$3006,$G435))</f>
      </c>
      <c r="D435" s="172">
        <f>IF($G435="","",INDEX(资金台帐!$S$7:$S$3006,$G435))</f>
      </c>
      <c r="E435" s="141">
        <f>IF($G435="","",INDEX(资金台帐!$C$7:$C$3006,$G435))</f>
      </c>
      <c r="F435" s="142">
        <f>IF($G435="","",INDEX(资金台帐!$E$7:$E$3006,$G435)&amp;IF(INDEX(资金台帐!$M$7:$M$3006,$G435)="","","；"&amp;INDEX(资金台帐!$M$7:$M$3006,$G435)))</f>
      </c>
      <c r="G435" s="78">
        <f>IFERROR(MATCH(432,资金台帐!$Q$7:$Q$3006,0),"")</f>
      </c>
      <c r="I435" s="141">
        <f>IF($O435="","",432)</f>
      </c>
      <c r="J435" s="140">
        <f>IF($O435="","",INDEX(资金台帐!$B$7:$B$3006,$O435))</f>
      </c>
      <c r="K435" s="141">
        <f>IF($O435="","",INDEX(资金台帐!$K$7:$K$3006,$O435))</f>
      </c>
      <c r="L435" s="172">
        <f>IF($O435="","",-INDEX(资金台帐!$S$7:$S$3006,$O435))</f>
      </c>
      <c r="M435" s="141">
        <f>IF($O435="","",INDEX(资金台帐!$C$7:$C$3006,$O435))</f>
      </c>
      <c r="N435" s="142">
        <f>IF($O435="","",INDEX(资金台帐!$E$7:$E$3006,$O435))</f>
      </c>
      <c r="O435" s="78">
        <f>IFERROR(MATCH(432,资金台帐!$R$7:$R$3006,0),"")</f>
      </c>
    </row>
    <row r="436">
      <c r="A436" s="141">
        <f>IF($G436="","",433)</f>
      </c>
      <c r="B436" s="140">
        <f>IF($G436="","",INDEX(资金台帐!$B$7:$B$3006,$G436))</f>
      </c>
      <c r="C436" s="141">
        <f>IF($G436="","",INDEX(资金台帐!$J$7:$J$3006,$G436))</f>
      </c>
      <c r="D436" s="172">
        <f>IF($G436="","",INDEX(资金台帐!$S$7:$S$3006,$G436))</f>
      </c>
      <c r="E436" s="141">
        <f>IF($G436="","",INDEX(资金台帐!$C$7:$C$3006,$G436))</f>
      </c>
      <c r="F436" s="142">
        <f>IF($G436="","",INDEX(资金台帐!$E$7:$E$3006,$G436)&amp;IF(INDEX(资金台帐!$M$7:$M$3006,$G436)="","","；"&amp;INDEX(资金台帐!$M$7:$M$3006,$G436)))</f>
      </c>
      <c r="G436" s="78">
        <f>IFERROR(MATCH(433,资金台帐!$Q$7:$Q$3006,0),"")</f>
      </c>
      <c r="I436" s="141">
        <f>IF($O436="","",433)</f>
      </c>
      <c r="J436" s="140">
        <f>IF($O436="","",INDEX(资金台帐!$B$7:$B$3006,$O436))</f>
      </c>
      <c r="K436" s="141">
        <f>IF($O436="","",INDEX(资金台帐!$K$7:$K$3006,$O436))</f>
      </c>
      <c r="L436" s="172">
        <f>IF($O436="","",-INDEX(资金台帐!$S$7:$S$3006,$O436))</f>
      </c>
      <c r="M436" s="141">
        <f>IF($O436="","",INDEX(资金台帐!$C$7:$C$3006,$O436))</f>
      </c>
      <c r="N436" s="142">
        <f>IF($O436="","",INDEX(资金台帐!$E$7:$E$3006,$O436))</f>
      </c>
      <c r="O436" s="78">
        <f>IFERROR(MATCH(433,资金台帐!$R$7:$R$3006,0),"")</f>
      </c>
    </row>
    <row r="437">
      <c r="A437" s="141">
        <f>IF($G437="","",434)</f>
      </c>
      <c r="B437" s="140">
        <f>IF($G437="","",INDEX(资金台帐!$B$7:$B$3006,$G437))</f>
      </c>
      <c r="C437" s="141">
        <f>IF($G437="","",INDEX(资金台帐!$J$7:$J$3006,$G437))</f>
      </c>
      <c r="D437" s="172">
        <f>IF($G437="","",INDEX(资金台帐!$S$7:$S$3006,$G437))</f>
      </c>
      <c r="E437" s="141">
        <f>IF($G437="","",INDEX(资金台帐!$C$7:$C$3006,$G437))</f>
      </c>
      <c r="F437" s="142">
        <f>IF($G437="","",INDEX(资金台帐!$E$7:$E$3006,$G437)&amp;IF(INDEX(资金台帐!$M$7:$M$3006,$G437)="","","；"&amp;INDEX(资金台帐!$M$7:$M$3006,$G437)))</f>
      </c>
      <c r="G437" s="78">
        <f>IFERROR(MATCH(434,资金台帐!$Q$7:$Q$3006,0),"")</f>
      </c>
      <c r="I437" s="141">
        <f>IF($O437="","",434)</f>
      </c>
      <c r="J437" s="140">
        <f>IF($O437="","",INDEX(资金台帐!$B$7:$B$3006,$O437))</f>
      </c>
      <c r="K437" s="141">
        <f>IF($O437="","",INDEX(资金台帐!$K$7:$K$3006,$O437))</f>
      </c>
      <c r="L437" s="172">
        <f>IF($O437="","",-INDEX(资金台帐!$S$7:$S$3006,$O437))</f>
      </c>
      <c r="M437" s="141">
        <f>IF($O437="","",INDEX(资金台帐!$C$7:$C$3006,$O437))</f>
      </c>
      <c r="N437" s="142">
        <f>IF($O437="","",INDEX(资金台帐!$E$7:$E$3006,$O437))</f>
      </c>
      <c r="O437" s="78">
        <f>IFERROR(MATCH(434,资金台帐!$R$7:$R$3006,0),"")</f>
      </c>
    </row>
    <row r="438">
      <c r="A438" s="141">
        <f>IF($G438="","",435)</f>
      </c>
      <c r="B438" s="140">
        <f>IF($G438="","",INDEX(资金台帐!$B$7:$B$3006,$G438))</f>
      </c>
      <c r="C438" s="141">
        <f>IF($G438="","",INDEX(资金台帐!$J$7:$J$3006,$G438))</f>
      </c>
      <c r="D438" s="172">
        <f>IF($G438="","",INDEX(资金台帐!$S$7:$S$3006,$G438))</f>
      </c>
      <c r="E438" s="141">
        <f>IF($G438="","",INDEX(资金台帐!$C$7:$C$3006,$G438))</f>
      </c>
      <c r="F438" s="142">
        <f>IF($G438="","",INDEX(资金台帐!$E$7:$E$3006,$G438)&amp;IF(INDEX(资金台帐!$M$7:$M$3006,$G438)="","","；"&amp;INDEX(资金台帐!$M$7:$M$3006,$G438)))</f>
      </c>
      <c r="G438" s="78">
        <f>IFERROR(MATCH(435,资金台帐!$Q$7:$Q$3006,0),"")</f>
      </c>
      <c r="I438" s="141">
        <f>IF($O438="","",435)</f>
      </c>
      <c r="J438" s="140">
        <f>IF($O438="","",INDEX(资金台帐!$B$7:$B$3006,$O438))</f>
      </c>
      <c r="K438" s="141">
        <f>IF($O438="","",INDEX(资金台帐!$K$7:$K$3006,$O438))</f>
      </c>
      <c r="L438" s="172">
        <f>IF($O438="","",-INDEX(资金台帐!$S$7:$S$3006,$O438))</f>
      </c>
      <c r="M438" s="141">
        <f>IF($O438="","",INDEX(资金台帐!$C$7:$C$3006,$O438))</f>
      </c>
      <c r="N438" s="142">
        <f>IF($O438="","",INDEX(资金台帐!$E$7:$E$3006,$O438))</f>
      </c>
      <c r="O438" s="78">
        <f>IFERROR(MATCH(435,资金台帐!$R$7:$R$3006,0),"")</f>
      </c>
    </row>
    <row r="439">
      <c r="A439" s="141">
        <f>IF($G439="","",436)</f>
      </c>
      <c r="B439" s="140">
        <f>IF($G439="","",INDEX(资金台帐!$B$7:$B$3006,$G439))</f>
      </c>
      <c r="C439" s="141">
        <f>IF($G439="","",INDEX(资金台帐!$J$7:$J$3006,$G439))</f>
      </c>
      <c r="D439" s="172">
        <f>IF($G439="","",INDEX(资金台帐!$S$7:$S$3006,$G439))</f>
      </c>
      <c r="E439" s="141">
        <f>IF($G439="","",INDEX(资金台帐!$C$7:$C$3006,$G439))</f>
      </c>
      <c r="F439" s="142">
        <f>IF($G439="","",INDEX(资金台帐!$E$7:$E$3006,$G439)&amp;IF(INDEX(资金台帐!$M$7:$M$3006,$G439)="","","；"&amp;INDEX(资金台帐!$M$7:$M$3006,$G439)))</f>
      </c>
      <c r="G439" s="78">
        <f>IFERROR(MATCH(436,资金台帐!$Q$7:$Q$3006,0),"")</f>
      </c>
      <c r="I439" s="141">
        <f>IF($O439="","",436)</f>
      </c>
      <c r="J439" s="140">
        <f>IF($O439="","",INDEX(资金台帐!$B$7:$B$3006,$O439))</f>
      </c>
      <c r="K439" s="141">
        <f>IF($O439="","",INDEX(资金台帐!$K$7:$K$3006,$O439))</f>
      </c>
      <c r="L439" s="172">
        <f>IF($O439="","",-INDEX(资金台帐!$S$7:$S$3006,$O439))</f>
      </c>
      <c r="M439" s="141">
        <f>IF($O439="","",INDEX(资金台帐!$C$7:$C$3006,$O439))</f>
      </c>
      <c r="N439" s="142">
        <f>IF($O439="","",INDEX(资金台帐!$E$7:$E$3006,$O439))</f>
      </c>
      <c r="O439" s="78">
        <f>IFERROR(MATCH(436,资金台帐!$R$7:$R$3006,0),"")</f>
      </c>
    </row>
    <row r="440">
      <c r="A440" s="141">
        <f>IF($G440="","",437)</f>
      </c>
      <c r="B440" s="140">
        <f>IF($G440="","",INDEX(资金台帐!$B$7:$B$3006,$G440))</f>
      </c>
      <c r="C440" s="141">
        <f>IF($G440="","",INDEX(资金台帐!$J$7:$J$3006,$G440))</f>
      </c>
      <c r="D440" s="172">
        <f>IF($G440="","",INDEX(资金台帐!$S$7:$S$3006,$G440))</f>
      </c>
      <c r="E440" s="141">
        <f>IF($G440="","",INDEX(资金台帐!$C$7:$C$3006,$G440))</f>
      </c>
      <c r="F440" s="142">
        <f>IF($G440="","",INDEX(资金台帐!$E$7:$E$3006,$G440)&amp;IF(INDEX(资金台帐!$M$7:$M$3006,$G440)="","","；"&amp;INDEX(资金台帐!$M$7:$M$3006,$G440)))</f>
      </c>
      <c r="G440" s="78">
        <f>IFERROR(MATCH(437,资金台帐!$Q$7:$Q$3006,0),"")</f>
      </c>
      <c r="I440" s="141">
        <f>IF($O440="","",437)</f>
      </c>
      <c r="J440" s="140">
        <f>IF($O440="","",INDEX(资金台帐!$B$7:$B$3006,$O440))</f>
      </c>
      <c r="K440" s="141">
        <f>IF($O440="","",INDEX(资金台帐!$K$7:$K$3006,$O440))</f>
      </c>
      <c r="L440" s="172">
        <f>IF($O440="","",-INDEX(资金台帐!$S$7:$S$3006,$O440))</f>
      </c>
      <c r="M440" s="141">
        <f>IF($O440="","",INDEX(资金台帐!$C$7:$C$3006,$O440))</f>
      </c>
      <c r="N440" s="142">
        <f>IF($O440="","",INDEX(资金台帐!$E$7:$E$3006,$O440))</f>
      </c>
      <c r="O440" s="78">
        <f>IFERROR(MATCH(437,资金台帐!$R$7:$R$3006,0),"")</f>
      </c>
    </row>
    <row r="441">
      <c r="A441" s="141">
        <f>IF($G441="","",438)</f>
      </c>
      <c r="B441" s="140">
        <f>IF($G441="","",INDEX(资金台帐!$B$7:$B$3006,$G441))</f>
      </c>
      <c r="C441" s="141">
        <f>IF($G441="","",INDEX(资金台帐!$J$7:$J$3006,$G441))</f>
      </c>
      <c r="D441" s="172">
        <f>IF($G441="","",INDEX(资金台帐!$S$7:$S$3006,$G441))</f>
      </c>
      <c r="E441" s="141">
        <f>IF($G441="","",INDEX(资金台帐!$C$7:$C$3006,$G441))</f>
      </c>
      <c r="F441" s="142">
        <f>IF($G441="","",INDEX(资金台帐!$E$7:$E$3006,$G441)&amp;IF(INDEX(资金台帐!$M$7:$M$3006,$G441)="","","；"&amp;INDEX(资金台帐!$M$7:$M$3006,$G441)))</f>
      </c>
      <c r="G441" s="78">
        <f>IFERROR(MATCH(438,资金台帐!$Q$7:$Q$3006,0),"")</f>
      </c>
      <c r="I441" s="141">
        <f>IF($O441="","",438)</f>
      </c>
      <c r="J441" s="140">
        <f>IF($O441="","",INDEX(资金台帐!$B$7:$B$3006,$O441))</f>
      </c>
      <c r="K441" s="141">
        <f>IF($O441="","",INDEX(资金台帐!$K$7:$K$3006,$O441))</f>
      </c>
      <c r="L441" s="172">
        <f>IF($O441="","",-INDEX(资金台帐!$S$7:$S$3006,$O441))</f>
      </c>
      <c r="M441" s="141">
        <f>IF($O441="","",INDEX(资金台帐!$C$7:$C$3006,$O441))</f>
      </c>
      <c r="N441" s="142">
        <f>IF($O441="","",INDEX(资金台帐!$E$7:$E$3006,$O441))</f>
      </c>
      <c r="O441" s="78">
        <f>IFERROR(MATCH(438,资金台帐!$R$7:$R$3006,0),"")</f>
      </c>
    </row>
    <row r="442">
      <c r="A442" s="141">
        <f>IF($G442="","",439)</f>
      </c>
      <c r="B442" s="140">
        <f>IF($G442="","",INDEX(资金台帐!$B$7:$B$3006,$G442))</f>
      </c>
      <c r="C442" s="141">
        <f>IF($G442="","",INDEX(资金台帐!$J$7:$J$3006,$G442))</f>
      </c>
      <c r="D442" s="172">
        <f>IF($G442="","",INDEX(资金台帐!$S$7:$S$3006,$G442))</f>
      </c>
      <c r="E442" s="141">
        <f>IF($G442="","",INDEX(资金台帐!$C$7:$C$3006,$G442))</f>
      </c>
      <c r="F442" s="142">
        <f>IF($G442="","",INDEX(资金台帐!$E$7:$E$3006,$G442)&amp;IF(INDEX(资金台帐!$M$7:$M$3006,$G442)="","","；"&amp;INDEX(资金台帐!$M$7:$M$3006,$G442)))</f>
      </c>
      <c r="G442" s="78">
        <f>IFERROR(MATCH(439,资金台帐!$Q$7:$Q$3006,0),"")</f>
      </c>
      <c r="I442" s="141">
        <f>IF($O442="","",439)</f>
      </c>
      <c r="J442" s="140">
        <f>IF($O442="","",INDEX(资金台帐!$B$7:$B$3006,$O442))</f>
      </c>
      <c r="K442" s="141">
        <f>IF($O442="","",INDEX(资金台帐!$K$7:$K$3006,$O442))</f>
      </c>
      <c r="L442" s="172">
        <f>IF($O442="","",-INDEX(资金台帐!$S$7:$S$3006,$O442))</f>
      </c>
      <c r="M442" s="141">
        <f>IF($O442="","",INDEX(资金台帐!$C$7:$C$3006,$O442))</f>
      </c>
      <c r="N442" s="142">
        <f>IF($O442="","",INDEX(资金台帐!$E$7:$E$3006,$O442))</f>
      </c>
      <c r="O442" s="78">
        <f>IFERROR(MATCH(439,资金台帐!$R$7:$R$3006,0),"")</f>
      </c>
    </row>
    <row r="443">
      <c r="A443" s="141">
        <f>IF($G443="","",440)</f>
      </c>
      <c r="B443" s="140">
        <f>IF($G443="","",INDEX(资金台帐!$B$7:$B$3006,$G443))</f>
      </c>
      <c r="C443" s="141">
        <f>IF($G443="","",INDEX(资金台帐!$J$7:$J$3006,$G443))</f>
      </c>
      <c r="D443" s="172">
        <f>IF($G443="","",INDEX(资金台帐!$S$7:$S$3006,$G443))</f>
      </c>
      <c r="E443" s="141">
        <f>IF($G443="","",INDEX(资金台帐!$C$7:$C$3006,$G443))</f>
      </c>
      <c r="F443" s="142">
        <f>IF($G443="","",INDEX(资金台帐!$E$7:$E$3006,$G443)&amp;IF(INDEX(资金台帐!$M$7:$M$3006,$G443)="","","；"&amp;INDEX(资金台帐!$M$7:$M$3006,$G443)))</f>
      </c>
      <c r="G443" s="78">
        <f>IFERROR(MATCH(440,资金台帐!$Q$7:$Q$3006,0),"")</f>
      </c>
      <c r="I443" s="141">
        <f>IF($O443="","",440)</f>
      </c>
      <c r="J443" s="140">
        <f>IF($O443="","",INDEX(资金台帐!$B$7:$B$3006,$O443))</f>
      </c>
      <c r="K443" s="141">
        <f>IF($O443="","",INDEX(资金台帐!$K$7:$K$3006,$O443))</f>
      </c>
      <c r="L443" s="172">
        <f>IF($O443="","",-INDEX(资金台帐!$S$7:$S$3006,$O443))</f>
      </c>
      <c r="M443" s="141">
        <f>IF($O443="","",INDEX(资金台帐!$C$7:$C$3006,$O443))</f>
      </c>
      <c r="N443" s="142">
        <f>IF($O443="","",INDEX(资金台帐!$E$7:$E$3006,$O443))</f>
      </c>
      <c r="O443" s="78">
        <f>IFERROR(MATCH(440,资金台帐!$R$7:$R$3006,0),"")</f>
      </c>
    </row>
    <row r="444">
      <c r="A444" s="141">
        <f>IF($G444="","",441)</f>
      </c>
      <c r="B444" s="140">
        <f>IF($G444="","",INDEX(资金台帐!$B$7:$B$3006,$G444))</f>
      </c>
      <c r="C444" s="141">
        <f>IF($G444="","",INDEX(资金台帐!$J$7:$J$3006,$G444))</f>
      </c>
      <c r="D444" s="172">
        <f>IF($G444="","",INDEX(资金台帐!$S$7:$S$3006,$G444))</f>
      </c>
      <c r="E444" s="141">
        <f>IF($G444="","",INDEX(资金台帐!$C$7:$C$3006,$G444))</f>
      </c>
      <c r="F444" s="142">
        <f>IF($G444="","",INDEX(资金台帐!$E$7:$E$3006,$G444)&amp;IF(INDEX(资金台帐!$M$7:$M$3006,$G444)="","","；"&amp;INDEX(资金台帐!$M$7:$M$3006,$G444)))</f>
      </c>
      <c r="G444" s="78">
        <f>IFERROR(MATCH(441,资金台帐!$Q$7:$Q$3006,0),"")</f>
      </c>
      <c r="I444" s="141">
        <f>IF($O444="","",441)</f>
      </c>
      <c r="J444" s="140">
        <f>IF($O444="","",INDEX(资金台帐!$B$7:$B$3006,$O444))</f>
      </c>
      <c r="K444" s="141">
        <f>IF($O444="","",INDEX(资金台帐!$K$7:$K$3006,$O444))</f>
      </c>
      <c r="L444" s="172">
        <f>IF($O444="","",-INDEX(资金台帐!$S$7:$S$3006,$O444))</f>
      </c>
      <c r="M444" s="141">
        <f>IF($O444="","",INDEX(资金台帐!$C$7:$C$3006,$O444))</f>
      </c>
      <c r="N444" s="142">
        <f>IF($O444="","",INDEX(资金台帐!$E$7:$E$3006,$O444))</f>
      </c>
      <c r="O444" s="78">
        <f>IFERROR(MATCH(441,资金台帐!$R$7:$R$3006,0),"")</f>
      </c>
    </row>
    <row r="445">
      <c r="A445" s="141">
        <f>IF($G445="","",442)</f>
      </c>
      <c r="B445" s="140">
        <f>IF($G445="","",INDEX(资金台帐!$B$7:$B$3006,$G445))</f>
      </c>
      <c r="C445" s="141">
        <f>IF($G445="","",INDEX(资金台帐!$J$7:$J$3006,$G445))</f>
      </c>
      <c r="D445" s="172">
        <f>IF($G445="","",INDEX(资金台帐!$S$7:$S$3006,$G445))</f>
      </c>
      <c r="E445" s="141">
        <f>IF($G445="","",INDEX(资金台帐!$C$7:$C$3006,$G445))</f>
      </c>
      <c r="F445" s="142">
        <f>IF($G445="","",INDEX(资金台帐!$E$7:$E$3006,$G445)&amp;IF(INDEX(资金台帐!$M$7:$M$3006,$G445)="","","；"&amp;INDEX(资金台帐!$M$7:$M$3006,$G445)))</f>
      </c>
      <c r="G445" s="78">
        <f>IFERROR(MATCH(442,资金台帐!$Q$7:$Q$3006,0),"")</f>
      </c>
      <c r="I445" s="141">
        <f>IF($O445="","",442)</f>
      </c>
      <c r="J445" s="140">
        <f>IF($O445="","",INDEX(资金台帐!$B$7:$B$3006,$O445))</f>
      </c>
      <c r="K445" s="141">
        <f>IF($O445="","",INDEX(资金台帐!$K$7:$K$3006,$O445))</f>
      </c>
      <c r="L445" s="172">
        <f>IF($O445="","",-INDEX(资金台帐!$S$7:$S$3006,$O445))</f>
      </c>
      <c r="M445" s="141">
        <f>IF($O445="","",INDEX(资金台帐!$C$7:$C$3006,$O445))</f>
      </c>
      <c r="N445" s="142">
        <f>IF($O445="","",INDEX(资金台帐!$E$7:$E$3006,$O445))</f>
      </c>
      <c r="O445" s="78">
        <f>IFERROR(MATCH(442,资金台帐!$R$7:$R$3006,0),"")</f>
      </c>
    </row>
    <row r="446">
      <c r="A446" s="141">
        <f>IF($G446="","",443)</f>
      </c>
      <c r="B446" s="140">
        <f>IF($G446="","",INDEX(资金台帐!$B$7:$B$3006,$G446))</f>
      </c>
      <c r="C446" s="141">
        <f>IF($G446="","",INDEX(资金台帐!$J$7:$J$3006,$G446))</f>
      </c>
      <c r="D446" s="172">
        <f>IF($G446="","",INDEX(资金台帐!$S$7:$S$3006,$G446))</f>
      </c>
      <c r="E446" s="141">
        <f>IF($G446="","",INDEX(资金台帐!$C$7:$C$3006,$G446))</f>
      </c>
      <c r="F446" s="142">
        <f>IF($G446="","",INDEX(资金台帐!$E$7:$E$3006,$G446)&amp;IF(INDEX(资金台帐!$M$7:$M$3006,$G446)="","","；"&amp;INDEX(资金台帐!$M$7:$M$3006,$G446)))</f>
      </c>
      <c r="G446" s="78">
        <f>IFERROR(MATCH(443,资金台帐!$Q$7:$Q$3006,0),"")</f>
      </c>
      <c r="I446" s="141">
        <f>IF($O446="","",443)</f>
      </c>
      <c r="J446" s="140">
        <f>IF($O446="","",INDEX(资金台帐!$B$7:$B$3006,$O446))</f>
      </c>
      <c r="K446" s="141">
        <f>IF($O446="","",INDEX(资金台帐!$K$7:$K$3006,$O446))</f>
      </c>
      <c r="L446" s="172">
        <f>IF($O446="","",-INDEX(资金台帐!$S$7:$S$3006,$O446))</f>
      </c>
      <c r="M446" s="141">
        <f>IF($O446="","",INDEX(资金台帐!$C$7:$C$3006,$O446))</f>
      </c>
      <c r="N446" s="142">
        <f>IF($O446="","",INDEX(资金台帐!$E$7:$E$3006,$O446))</f>
      </c>
      <c r="O446" s="78">
        <f>IFERROR(MATCH(443,资金台帐!$R$7:$R$3006,0),"")</f>
      </c>
    </row>
    <row r="447">
      <c r="A447" s="141">
        <f>IF($G447="","",444)</f>
      </c>
      <c r="B447" s="140">
        <f>IF($G447="","",INDEX(资金台帐!$B$7:$B$3006,$G447))</f>
      </c>
      <c r="C447" s="141">
        <f>IF($G447="","",INDEX(资金台帐!$J$7:$J$3006,$G447))</f>
      </c>
      <c r="D447" s="172">
        <f>IF($G447="","",INDEX(资金台帐!$S$7:$S$3006,$G447))</f>
      </c>
      <c r="E447" s="141">
        <f>IF($G447="","",INDEX(资金台帐!$C$7:$C$3006,$G447))</f>
      </c>
      <c r="F447" s="142">
        <f>IF($G447="","",INDEX(资金台帐!$E$7:$E$3006,$G447)&amp;IF(INDEX(资金台帐!$M$7:$M$3006,$G447)="","","；"&amp;INDEX(资金台帐!$M$7:$M$3006,$G447)))</f>
      </c>
      <c r="G447" s="78">
        <f>IFERROR(MATCH(444,资金台帐!$Q$7:$Q$3006,0),"")</f>
      </c>
      <c r="I447" s="141">
        <f>IF($O447="","",444)</f>
      </c>
      <c r="J447" s="140">
        <f>IF($O447="","",INDEX(资金台帐!$B$7:$B$3006,$O447))</f>
      </c>
      <c r="K447" s="141">
        <f>IF($O447="","",INDEX(资金台帐!$K$7:$K$3006,$O447))</f>
      </c>
      <c r="L447" s="172">
        <f>IF($O447="","",-INDEX(资金台帐!$S$7:$S$3006,$O447))</f>
      </c>
      <c r="M447" s="141">
        <f>IF($O447="","",INDEX(资金台帐!$C$7:$C$3006,$O447))</f>
      </c>
      <c r="N447" s="142">
        <f>IF($O447="","",INDEX(资金台帐!$E$7:$E$3006,$O447))</f>
      </c>
      <c r="O447" s="78">
        <f>IFERROR(MATCH(444,资金台帐!$R$7:$R$3006,0),"")</f>
      </c>
    </row>
    <row r="448">
      <c r="A448" s="141">
        <f>IF($G448="","",445)</f>
      </c>
      <c r="B448" s="140">
        <f>IF($G448="","",INDEX(资金台帐!$B$7:$B$3006,$G448))</f>
      </c>
      <c r="C448" s="141">
        <f>IF($G448="","",INDEX(资金台帐!$J$7:$J$3006,$G448))</f>
      </c>
      <c r="D448" s="172">
        <f>IF($G448="","",INDEX(资金台帐!$S$7:$S$3006,$G448))</f>
      </c>
      <c r="E448" s="141">
        <f>IF($G448="","",INDEX(资金台帐!$C$7:$C$3006,$G448))</f>
      </c>
      <c r="F448" s="142">
        <f>IF($G448="","",INDEX(资金台帐!$E$7:$E$3006,$G448)&amp;IF(INDEX(资金台帐!$M$7:$M$3006,$G448)="","","；"&amp;INDEX(资金台帐!$M$7:$M$3006,$G448)))</f>
      </c>
      <c r="G448" s="78">
        <f>IFERROR(MATCH(445,资金台帐!$Q$7:$Q$3006,0),"")</f>
      </c>
      <c r="I448" s="141">
        <f>IF($O448="","",445)</f>
      </c>
      <c r="J448" s="140">
        <f>IF($O448="","",INDEX(资金台帐!$B$7:$B$3006,$O448))</f>
      </c>
      <c r="K448" s="141">
        <f>IF($O448="","",INDEX(资金台帐!$K$7:$K$3006,$O448))</f>
      </c>
      <c r="L448" s="172">
        <f>IF($O448="","",-INDEX(资金台帐!$S$7:$S$3006,$O448))</f>
      </c>
      <c r="M448" s="141">
        <f>IF($O448="","",INDEX(资金台帐!$C$7:$C$3006,$O448))</f>
      </c>
      <c r="N448" s="142">
        <f>IF($O448="","",INDEX(资金台帐!$E$7:$E$3006,$O448))</f>
      </c>
      <c r="O448" s="78">
        <f>IFERROR(MATCH(445,资金台帐!$R$7:$R$3006,0),"")</f>
      </c>
    </row>
    <row r="449">
      <c r="A449" s="141">
        <f>IF($G449="","",446)</f>
      </c>
      <c r="B449" s="140">
        <f>IF($G449="","",INDEX(资金台帐!$B$7:$B$3006,$G449))</f>
      </c>
      <c r="C449" s="141">
        <f>IF($G449="","",INDEX(资金台帐!$J$7:$J$3006,$G449))</f>
      </c>
      <c r="D449" s="172">
        <f>IF($G449="","",INDEX(资金台帐!$S$7:$S$3006,$G449))</f>
      </c>
      <c r="E449" s="141">
        <f>IF($G449="","",INDEX(资金台帐!$C$7:$C$3006,$G449))</f>
      </c>
      <c r="F449" s="142">
        <f>IF($G449="","",INDEX(资金台帐!$E$7:$E$3006,$G449)&amp;IF(INDEX(资金台帐!$M$7:$M$3006,$G449)="","","；"&amp;INDEX(资金台帐!$M$7:$M$3006,$G449)))</f>
      </c>
      <c r="G449" s="78">
        <f>IFERROR(MATCH(446,资金台帐!$Q$7:$Q$3006,0),"")</f>
      </c>
      <c r="I449" s="141">
        <f>IF($O449="","",446)</f>
      </c>
      <c r="J449" s="140">
        <f>IF($O449="","",INDEX(资金台帐!$B$7:$B$3006,$O449))</f>
      </c>
      <c r="K449" s="141">
        <f>IF($O449="","",INDEX(资金台帐!$K$7:$K$3006,$O449))</f>
      </c>
      <c r="L449" s="172">
        <f>IF($O449="","",-INDEX(资金台帐!$S$7:$S$3006,$O449))</f>
      </c>
      <c r="M449" s="141">
        <f>IF($O449="","",INDEX(资金台帐!$C$7:$C$3006,$O449))</f>
      </c>
      <c r="N449" s="142">
        <f>IF($O449="","",INDEX(资金台帐!$E$7:$E$3006,$O449))</f>
      </c>
      <c r="O449" s="78">
        <f>IFERROR(MATCH(446,资金台帐!$R$7:$R$3006,0),"")</f>
      </c>
    </row>
    <row r="450">
      <c r="A450" s="141">
        <f>IF($G450="","",447)</f>
      </c>
      <c r="B450" s="140">
        <f>IF($G450="","",INDEX(资金台帐!$B$7:$B$3006,$G450))</f>
      </c>
      <c r="C450" s="141">
        <f>IF($G450="","",INDEX(资金台帐!$J$7:$J$3006,$G450))</f>
      </c>
      <c r="D450" s="172">
        <f>IF($G450="","",INDEX(资金台帐!$S$7:$S$3006,$G450))</f>
      </c>
      <c r="E450" s="141">
        <f>IF($G450="","",INDEX(资金台帐!$C$7:$C$3006,$G450))</f>
      </c>
      <c r="F450" s="142">
        <f>IF($G450="","",INDEX(资金台帐!$E$7:$E$3006,$G450)&amp;IF(INDEX(资金台帐!$M$7:$M$3006,$G450)="","","；"&amp;INDEX(资金台帐!$M$7:$M$3006,$G450)))</f>
      </c>
      <c r="G450" s="78">
        <f>IFERROR(MATCH(447,资金台帐!$Q$7:$Q$3006,0),"")</f>
      </c>
      <c r="I450" s="141">
        <f>IF($O450="","",447)</f>
      </c>
      <c r="J450" s="140">
        <f>IF($O450="","",INDEX(资金台帐!$B$7:$B$3006,$O450))</f>
      </c>
      <c r="K450" s="141">
        <f>IF($O450="","",INDEX(资金台帐!$K$7:$K$3006,$O450))</f>
      </c>
      <c r="L450" s="172">
        <f>IF($O450="","",-INDEX(资金台帐!$S$7:$S$3006,$O450))</f>
      </c>
      <c r="M450" s="141">
        <f>IF($O450="","",INDEX(资金台帐!$C$7:$C$3006,$O450))</f>
      </c>
      <c r="N450" s="142">
        <f>IF($O450="","",INDEX(资金台帐!$E$7:$E$3006,$O450))</f>
      </c>
      <c r="O450" s="78">
        <f>IFERROR(MATCH(447,资金台帐!$R$7:$R$3006,0),"")</f>
      </c>
    </row>
    <row r="451">
      <c r="A451" s="141">
        <f>IF($G451="","",448)</f>
      </c>
      <c r="B451" s="140">
        <f>IF($G451="","",INDEX(资金台帐!$B$7:$B$3006,$G451))</f>
      </c>
      <c r="C451" s="141">
        <f>IF($G451="","",INDEX(资金台帐!$J$7:$J$3006,$G451))</f>
      </c>
      <c r="D451" s="172">
        <f>IF($G451="","",INDEX(资金台帐!$S$7:$S$3006,$G451))</f>
      </c>
      <c r="E451" s="141">
        <f>IF($G451="","",INDEX(资金台帐!$C$7:$C$3006,$G451))</f>
      </c>
      <c r="F451" s="142">
        <f>IF($G451="","",INDEX(资金台帐!$E$7:$E$3006,$G451)&amp;IF(INDEX(资金台帐!$M$7:$M$3006,$G451)="","","；"&amp;INDEX(资金台帐!$M$7:$M$3006,$G451)))</f>
      </c>
      <c r="G451" s="78">
        <f>IFERROR(MATCH(448,资金台帐!$Q$7:$Q$3006,0),"")</f>
      </c>
      <c r="I451" s="141">
        <f>IF($O451="","",448)</f>
      </c>
      <c r="J451" s="140">
        <f>IF($O451="","",INDEX(资金台帐!$B$7:$B$3006,$O451))</f>
      </c>
      <c r="K451" s="141">
        <f>IF($O451="","",INDEX(资金台帐!$K$7:$K$3006,$O451))</f>
      </c>
      <c r="L451" s="172">
        <f>IF($O451="","",-INDEX(资金台帐!$S$7:$S$3006,$O451))</f>
      </c>
      <c r="M451" s="141">
        <f>IF($O451="","",INDEX(资金台帐!$C$7:$C$3006,$O451))</f>
      </c>
      <c r="N451" s="142">
        <f>IF($O451="","",INDEX(资金台帐!$E$7:$E$3006,$O451))</f>
      </c>
      <c r="O451" s="78">
        <f>IFERROR(MATCH(448,资金台帐!$R$7:$R$3006,0),"")</f>
      </c>
    </row>
    <row r="452">
      <c r="A452" s="141">
        <f>IF($G452="","",449)</f>
      </c>
      <c r="B452" s="140">
        <f>IF($G452="","",INDEX(资金台帐!$B$7:$B$3006,$G452))</f>
      </c>
      <c r="C452" s="141">
        <f>IF($G452="","",INDEX(资金台帐!$J$7:$J$3006,$G452))</f>
      </c>
      <c r="D452" s="172">
        <f>IF($G452="","",INDEX(资金台帐!$S$7:$S$3006,$G452))</f>
      </c>
      <c r="E452" s="141">
        <f>IF($G452="","",INDEX(资金台帐!$C$7:$C$3006,$G452))</f>
      </c>
      <c r="F452" s="142">
        <f>IF($G452="","",INDEX(资金台帐!$E$7:$E$3006,$G452)&amp;IF(INDEX(资金台帐!$M$7:$M$3006,$G452)="","","；"&amp;INDEX(资金台帐!$M$7:$M$3006,$G452)))</f>
      </c>
      <c r="G452" s="78">
        <f>IFERROR(MATCH(449,资金台帐!$Q$7:$Q$3006,0),"")</f>
      </c>
      <c r="I452" s="141">
        <f>IF($O452="","",449)</f>
      </c>
      <c r="J452" s="140">
        <f>IF($O452="","",INDEX(资金台帐!$B$7:$B$3006,$O452))</f>
      </c>
      <c r="K452" s="141">
        <f>IF($O452="","",INDEX(资金台帐!$K$7:$K$3006,$O452))</f>
      </c>
      <c r="L452" s="172">
        <f>IF($O452="","",-INDEX(资金台帐!$S$7:$S$3006,$O452))</f>
      </c>
      <c r="M452" s="141">
        <f>IF($O452="","",INDEX(资金台帐!$C$7:$C$3006,$O452))</f>
      </c>
      <c r="N452" s="142">
        <f>IF($O452="","",INDEX(资金台帐!$E$7:$E$3006,$O452))</f>
      </c>
      <c r="O452" s="78">
        <f>IFERROR(MATCH(449,资金台帐!$R$7:$R$3006,0),"")</f>
      </c>
    </row>
    <row r="453">
      <c r="A453" s="141">
        <f>IF($G453="","",450)</f>
      </c>
      <c r="B453" s="140">
        <f>IF($G453="","",INDEX(资金台帐!$B$7:$B$3006,$G453))</f>
      </c>
      <c r="C453" s="141">
        <f>IF($G453="","",INDEX(资金台帐!$J$7:$J$3006,$G453))</f>
      </c>
      <c r="D453" s="172">
        <f>IF($G453="","",INDEX(资金台帐!$S$7:$S$3006,$G453))</f>
      </c>
      <c r="E453" s="141">
        <f>IF($G453="","",INDEX(资金台帐!$C$7:$C$3006,$G453))</f>
      </c>
      <c r="F453" s="142">
        <f>IF($G453="","",INDEX(资金台帐!$E$7:$E$3006,$G453)&amp;IF(INDEX(资金台帐!$M$7:$M$3006,$G453)="","","；"&amp;INDEX(资金台帐!$M$7:$M$3006,$G453)))</f>
      </c>
      <c r="G453" s="78">
        <f>IFERROR(MATCH(450,资金台帐!$Q$7:$Q$3006,0),"")</f>
      </c>
      <c r="I453" s="141">
        <f>IF($O453="","",450)</f>
      </c>
      <c r="J453" s="140">
        <f>IF($O453="","",INDEX(资金台帐!$B$7:$B$3006,$O453))</f>
      </c>
      <c r="K453" s="141">
        <f>IF($O453="","",INDEX(资金台帐!$K$7:$K$3006,$O453))</f>
      </c>
      <c r="L453" s="172">
        <f>IF($O453="","",-INDEX(资金台帐!$S$7:$S$3006,$O453))</f>
      </c>
      <c r="M453" s="141">
        <f>IF($O453="","",INDEX(资金台帐!$C$7:$C$3006,$O453))</f>
      </c>
      <c r="N453" s="142">
        <f>IF($O453="","",INDEX(资金台帐!$E$7:$E$3006,$O453))</f>
      </c>
      <c r="O453" s="78">
        <f>IFERROR(MATCH(450,资金台帐!$R$7:$R$3006,0),"")</f>
      </c>
    </row>
    <row r="454">
      <c r="A454" s="141">
        <f>IF($G454="","",451)</f>
      </c>
      <c r="B454" s="140">
        <f>IF($G454="","",INDEX(资金台帐!$B$7:$B$3006,$G454))</f>
      </c>
      <c r="C454" s="141">
        <f>IF($G454="","",INDEX(资金台帐!$J$7:$J$3006,$G454))</f>
      </c>
      <c r="D454" s="172">
        <f>IF($G454="","",INDEX(资金台帐!$S$7:$S$3006,$G454))</f>
      </c>
      <c r="E454" s="141">
        <f>IF($G454="","",INDEX(资金台帐!$C$7:$C$3006,$G454))</f>
      </c>
      <c r="F454" s="142">
        <f>IF($G454="","",INDEX(资金台帐!$E$7:$E$3006,$G454)&amp;IF(INDEX(资金台帐!$M$7:$M$3006,$G454)="","","；"&amp;INDEX(资金台帐!$M$7:$M$3006,$G454)))</f>
      </c>
      <c r="G454" s="78">
        <f>IFERROR(MATCH(451,资金台帐!$Q$7:$Q$3006,0),"")</f>
      </c>
      <c r="I454" s="141">
        <f>IF($O454="","",451)</f>
      </c>
      <c r="J454" s="140">
        <f>IF($O454="","",INDEX(资金台帐!$B$7:$B$3006,$O454))</f>
      </c>
      <c r="K454" s="141">
        <f>IF($O454="","",INDEX(资金台帐!$K$7:$K$3006,$O454))</f>
      </c>
      <c r="L454" s="172">
        <f>IF($O454="","",-INDEX(资金台帐!$S$7:$S$3006,$O454))</f>
      </c>
      <c r="M454" s="141">
        <f>IF($O454="","",INDEX(资金台帐!$C$7:$C$3006,$O454))</f>
      </c>
      <c r="N454" s="142">
        <f>IF($O454="","",INDEX(资金台帐!$E$7:$E$3006,$O454))</f>
      </c>
      <c r="O454" s="78">
        <f>IFERROR(MATCH(451,资金台帐!$R$7:$R$3006,0),"")</f>
      </c>
    </row>
    <row r="455">
      <c r="A455" s="141">
        <f>IF($G455="","",452)</f>
      </c>
      <c r="B455" s="140">
        <f>IF($G455="","",INDEX(资金台帐!$B$7:$B$3006,$G455))</f>
      </c>
      <c r="C455" s="141">
        <f>IF($G455="","",INDEX(资金台帐!$J$7:$J$3006,$G455))</f>
      </c>
      <c r="D455" s="172">
        <f>IF($G455="","",INDEX(资金台帐!$S$7:$S$3006,$G455))</f>
      </c>
      <c r="E455" s="141">
        <f>IF($G455="","",INDEX(资金台帐!$C$7:$C$3006,$G455))</f>
      </c>
      <c r="F455" s="142">
        <f>IF($G455="","",INDEX(资金台帐!$E$7:$E$3006,$G455)&amp;IF(INDEX(资金台帐!$M$7:$M$3006,$G455)="","","；"&amp;INDEX(资金台帐!$M$7:$M$3006,$G455)))</f>
      </c>
      <c r="G455" s="78">
        <f>IFERROR(MATCH(452,资金台帐!$Q$7:$Q$3006,0),"")</f>
      </c>
      <c r="I455" s="141">
        <f>IF($O455="","",452)</f>
      </c>
      <c r="J455" s="140">
        <f>IF($O455="","",INDEX(资金台帐!$B$7:$B$3006,$O455))</f>
      </c>
      <c r="K455" s="141">
        <f>IF($O455="","",INDEX(资金台帐!$K$7:$K$3006,$O455))</f>
      </c>
      <c r="L455" s="172">
        <f>IF($O455="","",-INDEX(资金台帐!$S$7:$S$3006,$O455))</f>
      </c>
      <c r="M455" s="141">
        <f>IF($O455="","",INDEX(资金台帐!$C$7:$C$3006,$O455))</f>
      </c>
      <c r="N455" s="142">
        <f>IF($O455="","",INDEX(资金台帐!$E$7:$E$3006,$O455))</f>
      </c>
      <c r="O455" s="78">
        <f>IFERROR(MATCH(452,资金台帐!$R$7:$R$3006,0),"")</f>
      </c>
    </row>
    <row r="456">
      <c r="A456" s="141">
        <f>IF($G456="","",453)</f>
      </c>
      <c r="B456" s="140">
        <f>IF($G456="","",INDEX(资金台帐!$B$7:$B$3006,$G456))</f>
      </c>
      <c r="C456" s="141">
        <f>IF($G456="","",INDEX(资金台帐!$J$7:$J$3006,$G456))</f>
      </c>
      <c r="D456" s="172">
        <f>IF($G456="","",INDEX(资金台帐!$S$7:$S$3006,$G456))</f>
      </c>
      <c r="E456" s="141">
        <f>IF($G456="","",INDEX(资金台帐!$C$7:$C$3006,$G456))</f>
      </c>
      <c r="F456" s="142">
        <f>IF($G456="","",INDEX(资金台帐!$E$7:$E$3006,$G456)&amp;IF(INDEX(资金台帐!$M$7:$M$3006,$G456)="","","；"&amp;INDEX(资金台帐!$M$7:$M$3006,$G456)))</f>
      </c>
      <c r="G456" s="78">
        <f>IFERROR(MATCH(453,资金台帐!$Q$7:$Q$3006,0),"")</f>
      </c>
      <c r="I456" s="141">
        <f>IF($O456="","",453)</f>
      </c>
      <c r="J456" s="140">
        <f>IF($O456="","",INDEX(资金台帐!$B$7:$B$3006,$O456))</f>
      </c>
      <c r="K456" s="141">
        <f>IF($O456="","",INDEX(资金台帐!$K$7:$K$3006,$O456))</f>
      </c>
      <c r="L456" s="172">
        <f>IF($O456="","",-INDEX(资金台帐!$S$7:$S$3006,$O456))</f>
      </c>
      <c r="M456" s="141">
        <f>IF($O456="","",INDEX(资金台帐!$C$7:$C$3006,$O456))</f>
      </c>
      <c r="N456" s="142">
        <f>IF($O456="","",INDEX(资金台帐!$E$7:$E$3006,$O456))</f>
      </c>
      <c r="O456" s="78">
        <f>IFERROR(MATCH(453,资金台帐!$R$7:$R$3006,0),"")</f>
      </c>
    </row>
    <row r="457">
      <c r="A457" s="141">
        <f>IF($G457="","",454)</f>
      </c>
      <c r="B457" s="140">
        <f>IF($G457="","",INDEX(资金台帐!$B$7:$B$3006,$G457))</f>
      </c>
      <c r="C457" s="141">
        <f>IF($G457="","",INDEX(资金台帐!$J$7:$J$3006,$G457))</f>
      </c>
      <c r="D457" s="172">
        <f>IF($G457="","",INDEX(资金台帐!$S$7:$S$3006,$G457))</f>
      </c>
      <c r="E457" s="141">
        <f>IF($G457="","",INDEX(资金台帐!$C$7:$C$3006,$G457))</f>
      </c>
      <c r="F457" s="142">
        <f>IF($G457="","",INDEX(资金台帐!$E$7:$E$3006,$G457)&amp;IF(INDEX(资金台帐!$M$7:$M$3006,$G457)="","","；"&amp;INDEX(资金台帐!$M$7:$M$3006,$G457)))</f>
      </c>
      <c r="G457" s="78">
        <f>IFERROR(MATCH(454,资金台帐!$Q$7:$Q$3006,0),"")</f>
      </c>
      <c r="I457" s="141">
        <f>IF($O457="","",454)</f>
      </c>
      <c r="J457" s="140">
        <f>IF($O457="","",INDEX(资金台帐!$B$7:$B$3006,$O457))</f>
      </c>
      <c r="K457" s="141">
        <f>IF($O457="","",INDEX(资金台帐!$K$7:$K$3006,$O457))</f>
      </c>
      <c r="L457" s="172">
        <f>IF($O457="","",-INDEX(资金台帐!$S$7:$S$3006,$O457))</f>
      </c>
      <c r="M457" s="141">
        <f>IF($O457="","",INDEX(资金台帐!$C$7:$C$3006,$O457))</f>
      </c>
      <c r="N457" s="142">
        <f>IF($O457="","",INDEX(资金台帐!$E$7:$E$3006,$O457))</f>
      </c>
      <c r="O457" s="78">
        <f>IFERROR(MATCH(454,资金台帐!$R$7:$R$3006,0),"")</f>
      </c>
    </row>
    <row r="458">
      <c r="A458" s="141">
        <f>IF($G458="","",455)</f>
      </c>
      <c r="B458" s="140">
        <f>IF($G458="","",INDEX(资金台帐!$B$7:$B$3006,$G458))</f>
      </c>
      <c r="C458" s="141">
        <f>IF($G458="","",INDEX(资金台帐!$J$7:$J$3006,$G458))</f>
      </c>
      <c r="D458" s="172">
        <f>IF($G458="","",INDEX(资金台帐!$S$7:$S$3006,$G458))</f>
      </c>
      <c r="E458" s="141">
        <f>IF($G458="","",INDEX(资金台帐!$C$7:$C$3006,$G458))</f>
      </c>
      <c r="F458" s="142">
        <f>IF($G458="","",INDEX(资金台帐!$E$7:$E$3006,$G458)&amp;IF(INDEX(资金台帐!$M$7:$M$3006,$G458)="","","；"&amp;INDEX(资金台帐!$M$7:$M$3006,$G458)))</f>
      </c>
      <c r="G458" s="78">
        <f>IFERROR(MATCH(455,资金台帐!$Q$7:$Q$3006,0),"")</f>
      </c>
      <c r="I458" s="141">
        <f>IF($O458="","",455)</f>
      </c>
      <c r="J458" s="140">
        <f>IF($O458="","",INDEX(资金台帐!$B$7:$B$3006,$O458))</f>
      </c>
      <c r="K458" s="141">
        <f>IF($O458="","",INDEX(资金台帐!$K$7:$K$3006,$O458))</f>
      </c>
      <c r="L458" s="172">
        <f>IF($O458="","",-INDEX(资金台帐!$S$7:$S$3006,$O458))</f>
      </c>
      <c r="M458" s="141">
        <f>IF($O458="","",INDEX(资金台帐!$C$7:$C$3006,$O458))</f>
      </c>
      <c r="N458" s="142">
        <f>IF($O458="","",INDEX(资金台帐!$E$7:$E$3006,$O458))</f>
      </c>
      <c r="O458" s="78">
        <f>IFERROR(MATCH(455,资金台帐!$R$7:$R$3006,0),"")</f>
      </c>
    </row>
    <row r="459">
      <c r="A459" s="141">
        <f>IF($G459="","",456)</f>
      </c>
      <c r="B459" s="140">
        <f>IF($G459="","",INDEX(资金台帐!$B$7:$B$3006,$G459))</f>
      </c>
      <c r="C459" s="141">
        <f>IF($G459="","",INDEX(资金台帐!$J$7:$J$3006,$G459))</f>
      </c>
      <c r="D459" s="172">
        <f>IF($G459="","",INDEX(资金台帐!$S$7:$S$3006,$G459))</f>
      </c>
      <c r="E459" s="141">
        <f>IF($G459="","",INDEX(资金台帐!$C$7:$C$3006,$G459))</f>
      </c>
      <c r="F459" s="142">
        <f>IF($G459="","",INDEX(资金台帐!$E$7:$E$3006,$G459)&amp;IF(INDEX(资金台帐!$M$7:$M$3006,$G459)="","","；"&amp;INDEX(资金台帐!$M$7:$M$3006,$G459)))</f>
      </c>
      <c r="G459" s="78">
        <f>IFERROR(MATCH(456,资金台帐!$Q$7:$Q$3006,0),"")</f>
      </c>
      <c r="I459" s="141">
        <f>IF($O459="","",456)</f>
      </c>
      <c r="J459" s="140">
        <f>IF($O459="","",INDEX(资金台帐!$B$7:$B$3006,$O459))</f>
      </c>
      <c r="K459" s="141">
        <f>IF($O459="","",INDEX(资金台帐!$K$7:$K$3006,$O459))</f>
      </c>
      <c r="L459" s="172">
        <f>IF($O459="","",-INDEX(资金台帐!$S$7:$S$3006,$O459))</f>
      </c>
      <c r="M459" s="141">
        <f>IF($O459="","",INDEX(资金台帐!$C$7:$C$3006,$O459))</f>
      </c>
      <c r="N459" s="142">
        <f>IF($O459="","",INDEX(资金台帐!$E$7:$E$3006,$O459))</f>
      </c>
      <c r="O459" s="78">
        <f>IFERROR(MATCH(456,资金台帐!$R$7:$R$3006,0),"")</f>
      </c>
    </row>
    <row r="460">
      <c r="A460" s="141">
        <f>IF($G460="","",457)</f>
      </c>
      <c r="B460" s="140">
        <f>IF($G460="","",INDEX(资金台帐!$B$7:$B$3006,$G460))</f>
      </c>
      <c r="C460" s="141">
        <f>IF($G460="","",INDEX(资金台帐!$J$7:$J$3006,$G460))</f>
      </c>
      <c r="D460" s="172">
        <f>IF($G460="","",INDEX(资金台帐!$S$7:$S$3006,$G460))</f>
      </c>
      <c r="E460" s="141">
        <f>IF($G460="","",INDEX(资金台帐!$C$7:$C$3006,$G460))</f>
      </c>
      <c r="F460" s="142">
        <f>IF($G460="","",INDEX(资金台帐!$E$7:$E$3006,$G460)&amp;IF(INDEX(资金台帐!$M$7:$M$3006,$G460)="","","；"&amp;INDEX(资金台帐!$M$7:$M$3006,$G460)))</f>
      </c>
      <c r="G460" s="78">
        <f>IFERROR(MATCH(457,资金台帐!$Q$7:$Q$3006,0),"")</f>
      </c>
      <c r="I460" s="141">
        <f>IF($O460="","",457)</f>
      </c>
      <c r="J460" s="140">
        <f>IF($O460="","",INDEX(资金台帐!$B$7:$B$3006,$O460))</f>
      </c>
      <c r="K460" s="141">
        <f>IF($O460="","",INDEX(资金台帐!$K$7:$K$3006,$O460))</f>
      </c>
      <c r="L460" s="172">
        <f>IF($O460="","",-INDEX(资金台帐!$S$7:$S$3006,$O460))</f>
      </c>
      <c r="M460" s="141">
        <f>IF($O460="","",INDEX(资金台帐!$C$7:$C$3006,$O460))</f>
      </c>
      <c r="N460" s="142">
        <f>IF($O460="","",INDEX(资金台帐!$E$7:$E$3006,$O460))</f>
      </c>
      <c r="O460" s="78">
        <f>IFERROR(MATCH(457,资金台帐!$R$7:$R$3006,0),"")</f>
      </c>
    </row>
    <row r="461">
      <c r="A461" s="141">
        <f>IF($G461="","",458)</f>
      </c>
      <c r="B461" s="140">
        <f>IF($G461="","",INDEX(资金台帐!$B$7:$B$3006,$G461))</f>
      </c>
      <c r="C461" s="141">
        <f>IF($G461="","",INDEX(资金台帐!$J$7:$J$3006,$G461))</f>
      </c>
      <c r="D461" s="172">
        <f>IF($G461="","",INDEX(资金台帐!$S$7:$S$3006,$G461))</f>
      </c>
      <c r="E461" s="141">
        <f>IF($G461="","",INDEX(资金台帐!$C$7:$C$3006,$G461))</f>
      </c>
      <c r="F461" s="142">
        <f>IF($G461="","",INDEX(资金台帐!$E$7:$E$3006,$G461)&amp;IF(INDEX(资金台帐!$M$7:$M$3006,$G461)="","","；"&amp;INDEX(资金台帐!$M$7:$M$3006,$G461)))</f>
      </c>
      <c r="G461" s="78">
        <f>IFERROR(MATCH(458,资金台帐!$Q$7:$Q$3006,0),"")</f>
      </c>
      <c r="I461" s="141">
        <f>IF($O461="","",458)</f>
      </c>
      <c r="J461" s="140">
        <f>IF($O461="","",INDEX(资金台帐!$B$7:$B$3006,$O461))</f>
      </c>
      <c r="K461" s="141">
        <f>IF($O461="","",INDEX(资金台帐!$K$7:$K$3006,$O461))</f>
      </c>
      <c r="L461" s="172">
        <f>IF($O461="","",-INDEX(资金台帐!$S$7:$S$3006,$O461))</f>
      </c>
      <c r="M461" s="141">
        <f>IF($O461="","",INDEX(资金台帐!$C$7:$C$3006,$O461))</f>
      </c>
      <c r="N461" s="142">
        <f>IF($O461="","",INDEX(资金台帐!$E$7:$E$3006,$O461))</f>
      </c>
      <c r="O461" s="78">
        <f>IFERROR(MATCH(458,资金台帐!$R$7:$R$3006,0),"")</f>
      </c>
    </row>
    <row r="462">
      <c r="A462" s="141">
        <f>IF($G462="","",459)</f>
      </c>
      <c r="B462" s="140">
        <f>IF($G462="","",INDEX(资金台帐!$B$7:$B$3006,$G462))</f>
      </c>
      <c r="C462" s="141">
        <f>IF($G462="","",INDEX(资金台帐!$J$7:$J$3006,$G462))</f>
      </c>
      <c r="D462" s="172">
        <f>IF($G462="","",INDEX(资金台帐!$S$7:$S$3006,$G462))</f>
      </c>
      <c r="E462" s="141">
        <f>IF($G462="","",INDEX(资金台帐!$C$7:$C$3006,$G462))</f>
      </c>
      <c r="F462" s="142">
        <f>IF($G462="","",INDEX(资金台帐!$E$7:$E$3006,$G462)&amp;IF(INDEX(资金台帐!$M$7:$M$3006,$G462)="","","；"&amp;INDEX(资金台帐!$M$7:$M$3006,$G462)))</f>
      </c>
      <c r="G462" s="78">
        <f>IFERROR(MATCH(459,资金台帐!$Q$7:$Q$3006,0),"")</f>
      </c>
      <c r="I462" s="141">
        <f>IF($O462="","",459)</f>
      </c>
      <c r="J462" s="140">
        <f>IF($O462="","",INDEX(资金台帐!$B$7:$B$3006,$O462))</f>
      </c>
      <c r="K462" s="141">
        <f>IF($O462="","",INDEX(资金台帐!$K$7:$K$3006,$O462))</f>
      </c>
      <c r="L462" s="172">
        <f>IF($O462="","",-INDEX(资金台帐!$S$7:$S$3006,$O462))</f>
      </c>
      <c r="M462" s="141">
        <f>IF($O462="","",INDEX(资金台帐!$C$7:$C$3006,$O462))</f>
      </c>
      <c r="N462" s="142">
        <f>IF($O462="","",INDEX(资金台帐!$E$7:$E$3006,$O462))</f>
      </c>
      <c r="O462" s="78">
        <f>IFERROR(MATCH(459,资金台帐!$R$7:$R$3006,0),"")</f>
      </c>
    </row>
    <row r="463">
      <c r="A463" s="141">
        <f>IF($G463="","",460)</f>
      </c>
      <c r="B463" s="140">
        <f>IF($G463="","",INDEX(资金台帐!$B$7:$B$3006,$G463))</f>
      </c>
      <c r="C463" s="141">
        <f>IF($G463="","",INDEX(资金台帐!$J$7:$J$3006,$G463))</f>
      </c>
      <c r="D463" s="172">
        <f>IF($G463="","",INDEX(资金台帐!$S$7:$S$3006,$G463))</f>
      </c>
      <c r="E463" s="141">
        <f>IF($G463="","",INDEX(资金台帐!$C$7:$C$3006,$G463))</f>
      </c>
      <c r="F463" s="142">
        <f>IF($G463="","",INDEX(资金台帐!$E$7:$E$3006,$G463)&amp;IF(INDEX(资金台帐!$M$7:$M$3006,$G463)="","","；"&amp;INDEX(资金台帐!$M$7:$M$3006,$G463)))</f>
      </c>
      <c r="G463" s="78">
        <f>IFERROR(MATCH(460,资金台帐!$Q$7:$Q$3006,0),"")</f>
      </c>
      <c r="I463" s="141">
        <f>IF($O463="","",460)</f>
      </c>
      <c r="J463" s="140">
        <f>IF($O463="","",INDEX(资金台帐!$B$7:$B$3006,$O463))</f>
      </c>
      <c r="K463" s="141">
        <f>IF($O463="","",INDEX(资金台帐!$K$7:$K$3006,$O463))</f>
      </c>
      <c r="L463" s="172">
        <f>IF($O463="","",-INDEX(资金台帐!$S$7:$S$3006,$O463))</f>
      </c>
      <c r="M463" s="141">
        <f>IF($O463="","",INDEX(资金台帐!$C$7:$C$3006,$O463))</f>
      </c>
      <c r="N463" s="142">
        <f>IF($O463="","",INDEX(资金台帐!$E$7:$E$3006,$O463))</f>
      </c>
      <c r="O463" s="78">
        <f>IFERROR(MATCH(460,资金台帐!$R$7:$R$3006,0),"")</f>
      </c>
    </row>
    <row r="464">
      <c r="A464" s="141">
        <f>IF($G464="","",461)</f>
      </c>
      <c r="B464" s="140">
        <f>IF($G464="","",INDEX(资金台帐!$B$7:$B$3006,$G464))</f>
      </c>
      <c r="C464" s="141">
        <f>IF($G464="","",INDEX(资金台帐!$J$7:$J$3006,$G464))</f>
      </c>
      <c r="D464" s="172">
        <f>IF($G464="","",INDEX(资金台帐!$S$7:$S$3006,$G464))</f>
      </c>
      <c r="E464" s="141">
        <f>IF($G464="","",INDEX(资金台帐!$C$7:$C$3006,$G464))</f>
      </c>
      <c r="F464" s="142">
        <f>IF($G464="","",INDEX(资金台帐!$E$7:$E$3006,$G464)&amp;IF(INDEX(资金台帐!$M$7:$M$3006,$G464)="","","；"&amp;INDEX(资金台帐!$M$7:$M$3006,$G464)))</f>
      </c>
      <c r="G464" s="78">
        <f>IFERROR(MATCH(461,资金台帐!$Q$7:$Q$3006,0),"")</f>
      </c>
      <c r="I464" s="141">
        <f>IF($O464="","",461)</f>
      </c>
      <c r="J464" s="140">
        <f>IF($O464="","",INDEX(资金台帐!$B$7:$B$3006,$O464))</f>
      </c>
      <c r="K464" s="141">
        <f>IF($O464="","",INDEX(资金台帐!$K$7:$K$3006,$O464))</f>
      </c>
      <c r="L464" s="172">
        <f>IF($O464="","",-INDEX(资金台帐!$S$7:$S$3006,$O464))</f>
      </c>
      <c r="M464" s="141">
        <f>IF($O464="","",INDEX(资金台帐!$C$7:$C$3006,$O464))</f>
      </c>
      <c r="N464" s="142">
        <f>IF($O464="","",INDEX(资金台帐!$E$7:$E$3006,$O464))</f>
      </c>
      <c r="O464" s="78">
        <f>IFERROR(MATCH(461,资金台帐!$R$7:$R$3006,0),"")</f>
      </c>
    </row>
    <row r="465">
      <c r="A465" s="141">
        <f>IF($G465="","",462)</f>
      </c>
      <c r="B465" s="140">
        <f>IF($G465="","",INDEX(资金台帐!$B$7:$B$3006,$G465))</f>
      </c>
      <c r="C465" s="141">
        <f>IF($G465="","",INDEX(资金台帐!$J$7:$J$3006,$G465))</f>
      </c>
      <c r="D465" s="172">
        <f>IF($G465="","",INDEX(资金台帐!$S$7:$S$3006,$G465))</f>
      </c>
      <c r="E465" s="141">
        <f>IF($G465="","",INDEX(资金台帐!$C$7:$C$3006,$G465))</f>
      </c>
      <c r="F465" s="142">
        <f>IF($G465="","",INDEX(资金台帐!$E$7:$E$3006,$G465)&amp;IF(INDEX(资金台帐!$M$7:$M$3006,$G465)="","","；"&amp;INDEX(资金台帐!$M$7:$M$3006,$G465)))</f>
      </c>
      <c r="G465" s="78">
        <f>IFERROR(MATCH(462,资金台帐!$Q$7:$Q$3006,0),"")</f>
      </c>
      <c r="I465" s="141">
        <f>IF($O465="","",462)</f>
      </c>
      <c r="J465" s="140">
        <f>IF($O465="","",INDEX(资金台帐!$B$7:$B$3006,$O465))</f>
      </c>
      <c r="K465" s="141">
        <f>IF($O465="","",INDEX(资金台帐!$K$7:$K$3006,$O465))</f>
      </c>
      <c r="L465" s="172">
        <f>IF($O465="","",-INDEX(资金台帐!$S$7:$S$3006,$O465))</f>
      </c>
      <c r="M465" s="141">
        <f>IF($O465="","",INDEX(资金台帐!$C$7:$C$3006,$O465))</f>
      </c>
      <c r="N465" s="142">
        <f>IF($O465="","",INDEX(资金台帐!$E$7:$E$3006,$O465))</f>
      </c>
      <c r="O465" s="78">
        <f>IFERROR(MATCH(462,资金台帐!$R$7:$R$3006,0),"")</f>
      </c>
    </row>
    <row r="466">
      <c r="A466" s="141">
        <f>IF($G466="","",463)</f>
      </c>
      <c r="B466" s="140">
        <f>IF($G466="","",INDEX(资金台帐!$B$7:$B$3006,$G466))</f>
      </c>
      <c r="C466" s="141">
        <f>IF($G466="","",INDEX(资金台帐!$J$7:$J$3006,$G466))</f>
      </c>
      <c r="D466" s="172">
        <f>IF($G466="","",INDEX(资金台帐!$S$7:$S$3006,$G466))</f>
      </c>
      <c r="E466" s="141">
        <f>IF($G466="","",INDEX(资金台帐!$C$7:$C$3006,$G466))</f>
      </c>
      <c r="F466" s="142">
        <f>IF($G466="","",INDEX(资金台帐!$E$7:$E$3006,$G466)&amp;IF(INDEX(资金台帐!$M$7:$M$3006,$G466)="","","；"&amp;INDEX(资金台帐!$M$7:$M$3006,$G466)))</f>
      </c>
      <c r="G466" s="78">
        <f>IFERROR(MATCH(463,资金台帐!$Q$7:$Q$3006,0),"")</f>
      </c>
      <c r="I466" s="141">
        <f>IF($O466="","",463)</f>
      </c>
      <c r="J466" s="140">
        <f>IF($O466="","",INDEX(资金台帐!$B$7:$B$3006,$O466))</f>
      </c>
      <c r="K466" s="141">
        <f>IF($O466="","",INDEX(资金台帐!$K$7:$K$3006,$O466))</f>
      </c>
      <c r="L466" s="172">
        <f>IF($O466="","",-INDEX(资金台帐!$S$7:$S$3006,$O466))</f>
      </c>
      <c r="M466" s="141">
        <f>IF($O466="","",INDEX(资金台帐!$C$7:$C$3006,$O466))</f>
      </c>
      <c r="N466" s="142">
        <f>IF($O466="","",INDEX(资金台帐!$E$7:$E$3006,$O466))</f>
      </c>
      <c r="O466" s="78">
        <f>IFERROR(MATCH(463,资金台帐!$R$7:$R$3006,0),"")</f>
      </c>
    </row>
    <row r="467">
      <c r="A467" s="141">
        <f>IF($G467="","",464)</f>
      </c>
      <c r="B467" s="140">
        <f>IF($G467="","",INDEX(资金台帐!$B$7:$B$3006,$G467))</f>
      </c>
      <c r="C467" s="141">
        <f>IF($G467="","",INDEX(资金台帐!$J$7:$J$3006,$G467))</f>
      </c>
      <c r="D467" s="172">
        <f>IF($G467="","",INDEX(资金台帐!$S$7:$S$3006,$G467))</f>
      </c>
      <c r="E467" s="141">
        <f>IF($G467="","",INDEX(资金台帐!$C$7:$C$3006,$G467))</f>
      </c>
      <c r="F467" s="142">
        <f>IF($G467="","",INDEX(资金台帐!$E$7:$E$3006,$G467)&amp;IF(INDEX(资金台帐!$M$7:$M$3006,$G467)="","","；"&amp;INDEX(资金台帐!$M$7:$M$3006,$G467)))</f>
      </c>
      <c r="G467" s="78">
        <f>IFERROR(MATCH(464,资金台帐!$Q$7:$Q$3006,0),"")</f>
      </c>
      <c r="I467" s="141">
        <f>IF($O467="","",464)</f>
      </c>
      <c r="J467" s="140">
        <f>IF($O467="","",INDEX(资金台帐!$B$7:$B$3006,$O467))</f>
      </c>
      <c r="K467" s="141">
        <f>IF($O467="","",INDEX(资金台帐!$K$7:$K$3006,$O467))</f>
      </c>
      <c r="L467" s="172">
        <f>IF($O467="","",-INDEX(资金台帐!$S$7:$S$3006,$O467))</f>
      </c>
      <c r="M467" s="141">
        <f>IF($O467="","",INDEX(资金台帐!$C$7:$C$3006,$O467))</f>
      </c>
      <c r="N467" s="142">
        <f>IF($O467="","",INDEX(资金台帐!$E$7:$E$3006,$O467))</f>
      </c>
      <c r="O467" s="78">
        <f>IFERROR(MATCH(464,资金台帐!$R$7:$R$3006,0),"")</f>
      </c>
    </row>
    <row r="468">
      <c r="A468" s="141">
        <f>IF($G468="","",465)</f>
      </c>
      <c r="B468" s="140">
        <f>IF($G468="","",INDEX(资金台帐!$B$7:$B$3006,$G468))</f>
      </c>
      <c r="C468" s="141">
        <f>IF($G468="","",INDEX(资金台帐!$J$7:$J$3006,$G468))</f>
      </c>
      <c r="D468" s="172">
        <f>IF($G468="","",INDEX(资金台帐!$S$7:$S$3006,$G468))</f>
      </c>
      <c r="E468" s="141">
        <f>IF($G468="","",INDEX(资金台帐!$C$7:$C$3006,$G468))</f>
      </c>
      <c r="F468" s="142">
        <f>IF($G468="","",INDEX(资金台帐!$E$7:$E$3006,$G468)&amp;IF(INDEX(资金台帐!$M$7:$M$3006,$G468)="","","；"&amp;INDEX(资金台帐!$M$7:$M$3006,$G468)))</f>
      </c>
      <c r="G468" s="78">
        <f>IFERROR(MATCH(465,资金台帐!$Q$7:$Q$3006,0),"")</f>
      </c>
      <c r="I468" s="141">
        <f>IF($O468="","",465)</f>
      </c>
      <c r="J468" s="140">
        <f>IF($O468="","",INDEX(资金台帐!$B$7:$B$3006,$O468))</f>
      </c>
      <c r="K468" s="141">
        <f>IF($O468="","",INDEX(资金台帐!$K$7:$K$3006,$O468))</f>
      </c>
      <c r="L468" s="172">
        <f>IF($O468="","",-INDEX(资金台帐!$S$7:$S$3006,$O468))</f>
      </c>
      <c r="M468" s="141">
        <f>IF($O468="","",INDEX(资金台帐!$C$7:$C$3006,$O468))</f>
      </c>
      <c r="N468" s="142">
        <f>IF($O468="","",INDEX(资金台帐!$E$7:$E$3006,$O468))</f>
      </c>
      <c r="O468" s="78">
        <f>IFERROR(MATCH(465,资金台帐!$R$7:$R$3006,0),"")</f>
      </c>
    </row>
    <row r="469">
      <c r="A469" s="141">
        <f>IF($G469="","",466)</f>
      </c>
      <c r="B469" s="140">
        <f>IF($G469="","",INDEX(资金台帐!$B$7:$B$3006,$G469))</f>
      </c>
      <c r="C469" s="141">
        <f>IF($G469="","",INDEX(资金台帐!$J$7:$J$3006,$G469))</f>
      </c>
      <c r="D469" s="172">
        <f>IF($G469="","",INDEX(资金台帐!$S$7:$S$3006,$G469))</f>
      </c>
      <c r="E469" s="141">
        <f>IF($G469="","",INDEX(资金台帐!$C$7:$C$3006,$G469))</f>
      </c>
      <c r="F469" s="142">
        <f>IF($G469="","",INDEX(资金台帐!$E$7:$E$3006,$G469)&amp;IF(INDEX(资金台帐!$M$7:$M$3006,$G469)="","","；"&amp;INDEX(资金台帐!$M$7:$M$3006,$G469)))</f>
      </c>
      <c r="G469" s="78">
        <f>IFERROR(MATCH(466,资金台帐!$Q$7:$Q$3006,0),"")</f>
      </c>
      <c r="I469" s="141">
        <f>IF($O469="","",466)</f>
      </c>
      <c r="J469" s="140">
        <f>IF($O469="","",INDEX(资金台帐!$B$7:$B$3006,$O469))</f>
      </c>
      <c r="K469" s="141">
        <f>IF($O469="","",INDEX(资金台帐!$K$7:$K$3006,$O469))</f>
      </c>
      <c r="L469" s="172">
        <f>IF($O469="","",-INDEX(资金台帐!$S$7:$S$3006,$O469))</f>
      </c>
      <c r="M469" s="141">
        <f>IF($O469="","",INDEX(资金台帐!$C$7:$C$3006,$O469))</f>
      </c>
      <c r="N469" s="142">
        <f>IF($O469="","",INDEX(资金台帐!$E$7:$E$3006,$O469))</f>
      </c>
      <c r="O469" s="78">
        <f>IFERROR(MATCH(466,资金台帐!$R$7:$R$3006,0),"")</f>
      </c>
    </row>
    <row r="470">
      <c r="A470" s="141">
        <f>IF($G470="","",467)</f>
      </c>
      <c r="B470" s="140">
        <f>IF($G470="","",INDEX(资金台帐!$B$7:$B$3006,$G470))</f>
      </c>
      <c r="C470" s="141">
        <f>IF($G470="","",INDEX(资金台帐!$J$7:$J$3006,$G470))</f>
      </c>
      <c r="D470" s="172">
        <f>IF($G470="","",INDEX(资金台帐!$S$7:$S$3006,$G470))</f>
      </c>
      <c r="E470" s="141">
        <f>IF($G470="","",INDEX(资金台帐!$C$7:$C$3006,$G470))</f>
      </c>
      <c r="F470" s="142">
        <f>IF($G470="","",INDEX(资金台帐!$E$7:$E$3006,$G470)&amp;IF(INDEX(资金台帐!$M$7:$M$3006,$G470)="","","；"&amp;INDEX(资金台帐!$M$7:$M$3006,$G470)))</f>
      </c>
      <c r="G470" s="78">
        <f>IFERROR(MATCH(467,资金台帐!$Q$7:$Q$3006,0),"")</f>
      </c>
      <c r="I470" s="141">
        <f>IF($O470="","",467)</f>
      </c>
      <c r="J470" s="140">
        <f>IF($O470="","",INDEX(资金台帐!$B$7:$B$3006,$O470))</f>
      </c>
      <c r="K470" s="141">
        <f>IF($O470="","",INDEX(资金台帐!$K$7:$K$3006,$O470))</f>
      </c>
      <c r="L470" s="172">
        <f>IF($O470="","",-INDEX(资金台帐!$S$7:$S$3006,$O470))</f>
      </c>
      <c r="M470" s="141">
        <f>IF($O470="","",INDEX(资金台帐!$C$7:$C$3006,$O470))</f>
      </c>
      <c r="N470" s="142">
        <f>IF($O470="","",INDEX(资金台帐!$E$7:$E$3006,$O470))</f>
      </c>
      <c r="O470" s="78">
        <f>IFERROR(MATCH(467,资金台帐!$R$7:$R$3006,0),"")</f>
      </c>
    </row>
    <row r="471">
      <c r="A471" s="141">
        <f>IF($G471="","",468)</f>
      </c>
      <c r="B471" s="140">
        <f>IF($G471="","",INDEX(资金台帐!$B$7:$B$3006,$G471))</f>
      </c>
      <c r="C471" s="141">
        <f>IF($G471="","",INDEX(资金台帐!$J$7:$J$3006,$G471))</f>
      </c>
      <c r="D471" s="172">
        <f>IF($G471="","",INDEX(资金台帐!$S$7:$S$3006,$G471))</f>
      </c>
      <c r="E471" s="141">
        <f>IF($G471="","",INDEX(资金台帐!$C$7:$C$3006,$G471))</f>
      </c>
      <c r="F471" s="142">
        <f>IF($G471="","",INDEX(资金台帐!$E$7:$E$3006,$G471)&amp;IF(INDEX(资金台帐!$M$7:$M$3006,$G471)="","","；"&amp;INDEX(资金台帐!$M$7:$M$3006,$G471)))</f>
      </c>
      <c r="G471" s="78">
        <f>IFERROR(MATCH(468,资金台帐!$Q$7:$Q$3006,0),"")</f>
      </c>
      <c r="I471" s="141">
        <f>IF($O471="","",468)</f>
      </c>
      <c r="J471" s="140">
        <f>IF($O471="","",INDEX(资金台帐!$B$7:$B$3006,$O471))</f>
      </c>
      <c r="K471" s="141">
        <f>IF($O471="","",INDEX(资金台帐!$K$7:$K$3006,$O471))</f>
      </c>
      <c r="L471" s="172">
        <f>IF($O471="","",-INDEX(资金台帐!$S$7:$S$3006,$O471))</f>
      </c>
      <c r="M471" s="141">
        <f>IF($O471="","",INDEX(资金台帐!$C$7:$C$3006,$O471))</f>
      </c>
      <c r="N471" s="142">
        <f>IF($O471="","",INDEX(资金台帐!$E$7:$E$3006,$O471))</f>
      </c>
      <c r="O471" s="78">
        <f>IFERROR(MATCH(468,资金台帐!$R$7:$R$3006,0),"")</f>
      </c>
    </row>
    <row r="472">
      <c r="A472" s="141">
        <f>IF($G472="","",469)</f>
      </c>
      <c r="B472" s="140">
        <f>IF($G472="","",INDEX(资金台帐!$B$7:$B$3006,$G472))</f>
      </c>
      <c r="C472" s="141">
        <f>IF($G472="","",INDEX(资金台帐!$J$7:$J$3006,$G472))</f>
      </c>
      <c r="D472" s="172">
        <f>IF($G472="","",INDEX(资金台帐!$S$7:$S$3006,$G472))</f>
      </c>
      <c r="E472" s="141">
        <f>IF($G472="","",INDEX(资金台帐!$C$7:$C$3006,$G472))</f>
      </c>
      <c r="F472" s="142">
        <f>IF($G472="","",INDEX(资金台帐!$E$7:$E$3006,$G472)&amp;IF(INDEX(资金台帐!$M$7:$M$3006,$G472)="","","；"&amp;INDEX(资金台帐!$M$7:$M$3006,$G472)))</f>
      </c>
      <c r="G472" s="78">
        <f>IFERROR(MATCH(469,资金台帐!$Q$7:$Q$3006,0),"")</f>
      </c>
      <c r="I472" s="141">
        <f>IF($O472="","",469)</f>
      </c>
      <c r="J472" s="140">
        <f>IF($O472="","",INDEX(资金台帐!$B$7:$B$3006,$O472))</f>
      </c>
      <c r="K472" s="141">
        <f>IF($O472="","",INDEX(资金台帐!$K$7:$K$3006,$O472))</f>
      </c>
      <c r="L472" s="172">
        <f>IF($O472="","",-INDEX(资金台帐!$S$7:$S$3006,$O472))</f>
      </c>
      <c r="M472" s="141">
        <f>IF($O472="","",INDEX(资金台帐!$C$7:$C$3006,$O472))</f>
      </c>
      <c r="N472" s="142">
        <f>IF($O472="","",INDEX(资金台帐!$E$7:$E$3006,$O472))</f>
      </c>
      <c r="O472" s="78">
        <f>IFERROR(MATCH(469,资金台帐!$R$7:$R$3006,0),"")</f>
      </c>
    </row>
    <row r="473">
      <c r="A473" s="141">
        <f>IF($G473="","",470)</f>
      </c>
      <c r="B473" s="140">
        <f>IF($G473="","",INDEX(资金台帐!$B$7:$B$3006,$G473))</f>
      </c>
      <c r="C473" s="141">
        <f>IF($G473="","",INDEX(资金台帐!$J$7:$J$3006,$G473))</f>
      </c>
      <c r="D473" s="172">
        <f>IF($G473="","",INDEX(资金台帐!$S$7:$S$3006,$G473))</f>
      </c>
      <c r="E473" s="141">
        <f>IF($G473="","",INDEX(资金台帐!$C$7:$C$3006,$G473))</f>
      </c>
      <c r="F473" s="142">
        <f>IF($G473="","",INDEX(资金台帐!$E$7:$E$3006,$G473)&amp;IF(INDEX(资金台帐!$M$7:$M$3006,$G473)="","","；"&amp;INDEX(资金台帐!$M$7:$M$3006,$G473)))</f>
      </c>
      <c r="G473" s="78">
        <f>IFERROR(MATCH(470,资金台帐!$Q$7:$Q$3006,0),"")</f>
      </c>
      <c r="I473" s="141">
        <f>IF($O473="","",470)</f>
      </c>
      <c r="J473" s="140">
        <f>IF($O473="","",INDEX(资金台帐!$B$7:$B$3006,$O473))</f>
      </c>
      <c r="K473" s="141">
        <f>IF($O473="","",INDEX(资金台帐!$K$7:$K$3006,$O473))</f>
      </c>
      <c r="L473" s="172">
        <f>IF($O473="","",-INDEX(资金台帐!$S$7:$S$3006,$O473))</f>
      </c>
      <c r="M473" s="141">
        <f>IF($O473="","",INDEX(资金台帐!$C$7:$C$3006,$O473))</f>
      </c>
      <c r="N473" s="142">
        <f>IF($O473="","",INDEX(资金台帐!$E$7:$E$3006,$O473))</f>
      </c>
      <c r="O473" s="78">
        <f>IFERROR(MATCH(470,资金台帐!$R$7:$R$3006,0),"")</f>
      </c>
    </row>
    <row r="474">
      <c r="A474" s="141">
        <f>IF($G474="","",471)</f>
      </c>
      <c r="B474" s="140">
        <f>IF($G474="","",INDEX(资金台帐!$B$7:$B$3006,$G474))</f>
      </c>
      <c r="C474" s="141">
        <f>IF($G474="","",INDEX(资金台帐!$J$7:$J$3006,$G474))</f>
      </c>
      <c r="D474" s="172">
        <f>IF($G474="","",INDEX(资金台帐!$S$7:$S$3006,$G474))</f>
      </c>
      <c r="E474" s="141">
        <f>IF($G474="","",INDEX(资金台帐!$C$7:$C$3006,$G474))</f>
      </c>
      <c r="F474" s="142">
        <f>IF($G474="","",INDEX(资金台帐!$E$7:$E$3006,$G474)&amp;IF(INDEX(资金台帐!$M$7:$M$3006,$G474)="","","；"&amp;INDEX(资金台帐!$M$7:$M$3006,$G474)))</f>
      </c>
      <c r="G474" s="78">
        <f>IFERROR(MATCH(471,资金台帐!$Q$7:$Q$3006,0),"")</f>
      </c>
      <c r="I474" s="141">
        <f>IF($O474="","",471)</f>
      </c>
      <c r="J474" s="140">
        <f>IF($O474="","",INDEX(资金台帐!$B$7:$B$3006,$O474))</f>
      </c>
      <c r="K474" s="141">
        <f>IF($O474="","",INDEX(资金台帐!$K$7:$K$3006,$O474))</f>
      </c>
      <c r="L474" s="172">
        <f>IF($O474="","",-INDEX(资金台帐!$S$7:$S$3006,$O474))</f>
      </c>
      <c r="M474" s="141">
        <f>IF($O474="","",INDEX(资金台帐!$C$7:$C$3006,$O474))</f>
      </c>
      <c r="N474" s="142">
        <f>IF($O474="","",INDEX(资金台帐!$E$7:$E$3006,$O474))</f>
      </c>
      <c r="O474" s="78">
        <f>IFERROR(MATCH(471,资金台帐!$R$7:$R$3006,0),"")</f>
      </c>
    </row>
    <row r="475">
      <c r="A475" s="141">
        <f>IF($G475="","",472)</f>
      </c>
      <c r="B475" s="140">
        <f>IF($G475="","",INDEX(资金台帐!$B$7:$B$3006,$G475))</f>
      </c>
      <c r="C475" s="141">
        <f>IF($G475="","",INDEX(资金台帐!$J$7:$J$3006,$G475))</f>
      </c>
      <c r="D475" s="172">
        <f>IF($G475="","",INDEX(资金台帐!$S$7:$S$3006,$G475))</f>
      </c>
      <c r="E475" s="141">
        <f>IF($G475="","",INDEX(资金台帐!$C$7:$C$3006,$G475))</f>
      </c>
      <c r="F475" s="142">
        <f>IF($G475="","",INDEX(资金台帐!$E$7:$E$3006,$G475)&amp;IF(INDEX(资金台帐!$M$7:$M$3006,$G475)="","","；"&amp;INDEX(资金台帐!$M$7:$M$3006,$G475)))</f>
      </c>
      <c r="G475" s="78">
        <f>IFERROR(MATCH(472,资金台帐!$Q$7:$Q$3006,0),"")</f>
      </c>
      <c r="I475" s="141">
        <f>IF($O475="","",472)</f>
      </c>
      <c r="J475" s="140">
        <f>IF($O475="","",INDEX(资金台帐!$B$7:$B$3006,$O475))</f>
      </c>
      <c r="K475" s="141">
        <f>IF($O475="","",INDEX(资金台帐!$K$7:$K$3006,$O475))</f>
      </c>
      <c r="L475" s="172">
        <f>IF($O475="","",-INDEX(资金台帐!$S$7:$S$3006,$O475))</f>
      </c>
      <c r="M475" s="141">
        <f>IF($O475="","",INDEX(资金台帐!$C$7:$C$3006,$O475))</f>
      </c>
      <c r="N475" s="142">
        <f>IF($O475="","",INDEX(资金台帐!$E$7:$E$3006,$O475))</f>
      </c>
      <c r="O475" s="78">
        <f>IFERROR(MATCH(472,资金台帐!$R$7:$R$3006,0),"")</f>
      </c>
    </row>
    <row r="476">
      <c r="A476" s="141">
        <f>IF($G476="","",473)</f>
      </c>
      <c r="B476" s="140">
        <f>IF($G476="","",INDEX(资金台帐!$B$7:$B$3006,$G476))</f>
      </c>
      <c r="C476" s="141">
        <f>IF($G476="","",INDEX(资金台帐!$J$7:$J$3006,$G476))</f>
      </c>
      <c r="D476" s="172">
        <f>IF($G476="","",INDEX(资金台帐!$S$7:$S$3006,$G476))</f>
      </c>
      <c r="E476" s="141">
        <f>IF($G476="","",INDEX(资金台帐!$C$7:$C$3006,$G476))</f>
      </c>
      <c r="F476" s="142">
        <f>IF($G476="","",INDEX(资金台帐!$E$7:$E$3006,$G476)&amp;IF(INDEX(资金台帐!$M$7:$M$3006,$G476)="","","；"&amp;INDEX(资金台帐!$M$7:$M$3006,$G476)))</f>
      </c>
      <c r="G476" s="78">
        <f>IFERROR(MATCH(473,资金台帐!$Q$7:$Q$3006,0),"")</f>
      </c>
      <c r="I476" s="141">
        <f>IF($O476="","",473)</f>
      </c>
      <c r="J476" s="140">
        <f>IF($O476="","",INDEX(资金台帐!$B$7:$B$3006,$O476))</f>
      </c>
      <c r="K476" s="141">
        <f>IF($O476="","",INDEX(资金台帐!$K$7:$K$3006,$O476))</f>
      </c>
      <c r="L476" s="172">
        <f>IF($O476="","",-INDEX(资金台帐!$S$7:$S$3006,$O476))</f>
      </c>
      <c r="M476" s="141">
        <f>IF($O476="","",INDEX(资金台帐!$C$7:$C$3006,$O476))</f>
      </c>
      <c r="N476" s="142">
        <f>IF($O476="","",INDEX(资金台帐!$E$7:$E$3006,$O476))</f>
      </c>
      <c r="O476" s="78">
        <f>IFERROR(MATCH(473,资金台帐!$R$7:$R$3006,0),"")</f>
      </c>
    </row>
    <row r="477">
      <c r="A477" s="141">
        <f>IF($G477="","",474)</f>
      </c>
      <c r="B477" s="140">
        <f>IF($G477="","",INDEX(资金台帐!$B$7:$B$3006,$G477))</f>
      </c>
      <c r="C477" s="141">
        <f>IF($G477="","",INDEX(资金台帐!$J$7:$J$3006,$G477))</f>
      </c>
      <c r="D477" s="172">
        <f>IF($G477="","",INDEX(资金台帐!$S$7:$S$3006,$G477))</f>
      </c>
      <c r="E477" s="141">
        <f>IF($G477="","",INDEX(资金台帐!$C$7:$C$3006,$G477))</f>
      </c>
      <c r="F477" s="142">
        <f>IF($G477="","",INDEX(资金台帐!$E$7:$E$3006,$G477)&amp;IF(INDEX(资金台帐!$M$7:$M$3006,$G477)="","","；"&amp;INDEX(资金台帐!$M$7:$M$3006,$G477)))</f>
      </c>
      <c r="G477" s="78">
        <f>IFERROR(MATCH(474,资金台帐!$Q$7:$Q$3006,0),"")</f>
      </c>
      <c r="I477" s="141">
        <f>IF($O477="","",474)</f>
      </c>
      <c r="J477" s="140">
        <f>IF($O477="","",INDEX(资金台帐!$B$7:$B$3006,$O477))</f>
      </c>
      <c r="K477" s="141">
        <f>IF($O477="","",INDEX(资金台帐!$K$7:$K$3006,$O477))</f>
      </c>
      <c r="L477" s="172">
        <f>IF($O477="","",-INDEX(资金台帐!$S$7:$S$3006,$O477))</f>
      </c>
      <c r="M477" s="141">
        <f>IF($O477="","",INDEX(资金台帐!$C$7:$C$3006,$O477))</f>
      </c>
      <c r="N477" s="142">
        <f>IF($O477="","",INDEX(资金台帐!$E$7:$E$3006,$O477))</f>
      </c>
      <c r="O477" s="78">
        <f>IFERROR(MATCH(474,资金台帐!$R$7:$R$3006,0),"")</f>
      </c>
    </row>
    <row r="478">
      <c r="A478" s="141">
        <f>IF($G478="","",475)</f>
      </c>
      <c r="B478" s="140">
        <f>IF($G478="","",INDEX(资金台帐!$B$7:$B$3006,$G478))</f>
      </c>
      <c r="C478" s="141">
        <f>IF($G478="","",INDEX(资金台帐!$J$7:$J$3006,$G478))</f>
      </c>
      <c r="D478" s="172">
        <f>IF($G478="","",INDEX(资金台帐!$S$7:$S$3006,$G478))</f>
      </c>
      <c r="E478" s="141">
        <f>IF($G478="","",INDEX(资金台帐!$C$7:$C$3006,$G478))</f>
      </c>
      <c r="F478" s="142">
        <f>IF($G478="","",INDEX(资金台帐!$E$7:$E$3006,$G478)&amp;IF(INDEX(资金台帐!$M$7:$M$3006,$G478)="","","；"&amp;INDEX(资金台帐!$M$7:$M$3006,$G478)))</f>
      </c>
      <c r="G478" s="78">
        <f>IFERROR(MATCH(475,资金台帐!$Q$7:$Q$3006,0),"")</f>
      </c>
      <c r="I478" s="141">
        <f>IF($O478="","",475)</f>
      </c>
      <c r="J478" s="140">
        <f>IF($O478="","",INDEX(资金台帐!$B$7:$B$3006,$O478))</f>
      </c>
      <c r="K478" s="141">
        <f>IF($O478="","",INDEX(资金台帐!$K$7:$K$3006,$O478))</f>
      </c>
      <c r="L478" s="172">
        <f>IF($O478="","",-INDEX(资金台帐!$S$7:$S$3006,$O478))</f>
      </c>
      <c r="M478" s="141">
        <f>IF($O478="","",INDEX(资金台帐!$C$7:$C$3006,$O478))</f>
      </c>
      <c r="N478" s="142">
        <f>IF($O478="","",INDEX(资金台帐!$E$7:$E$3006,$O478))</f>
      </c>
      <c r="O478" s="78">
        <f>IFERROR(MATCH(475,资金台帐!$R$7:$R$3006,0),"")</f>
      </c>
    </row>
    <row r="479">
      <c r="A479" s="141">
        <f>IF($G479="","",476)</f>
      </c>
      <c r="B479" s="140">
        <f>IF($G479="","",INDEX(资金台帐!$B$7:$B$3006,$G479))</f>
      </c>
      <c r="C479" s="141">
        <f>IF($G479="","",INDEX(资金台帐!$J$7:$J$3006,$G479))</f>
      </c>
      <c r="D479" s="172">
        <f>IF($G479="","",INDEX(资金台帐!$S$7:$S$3006,$G479))</f>
      </c>
      <c r="E479" s="141">
        <f>IF($G479="","",INDEX(资金台帐!$C$7:$C$3006,$G479))</f>
      </c>
      <c r="F479" s="142">
        <f>IF($G479="","",INDEX(资金台帐!$E$7:$E$3006,$G479)&amp;IF(INDEX(资金台帐!$M$7:$M$3006,$G479)="","","；"&amp;INDEX(资金台帐!$M$7:$M$3006,$G479)))</f>
      </c>
      <c r="G479" s="78">
        <f>IFERROR(MATCH(476,资金台帐!$Q$7:$Q$3006,0),"")</f>
      </c>
      <c r="I479" s="141">
        <f>IF($O479="","",476)</f>
      </c>
      <c r="J479" s="140">
        <f>IF($O479="","",INDEX(资金台帐!$B$7:$B$3006,$O479))</f>
      </c>
      <c r="K479" s="141">
        <f>IF($O479="","",INDEX(资金台帐!$K$7:$K$3006,$O479))</f>
      </c>
      <c r="L479" s="172">
        <f>IF($O479="","",-INDEX(资金台帐!$S$7:$S$3006,$O479))</f>
      </c>
      <c r="M479" s="141">
        <f>IF($O479="","",INDEX(资金台帐!$C$7:$C$3006,$O479))</f>
      </c>
      <c r="N479" s="142">
        <f>IF($O479="","",INDEX(资金台帐!$E$7:$E$3006,$O479))</f>
      </c>
      <c r="O479" s="78">
        <f>IFERROR(MATCH(476,资金台帐!$R$7:$R$3006,0),"")</f>
      </c>
    </row>
    <row r="480">
      <c r="A480" s="141">
        <f>IF($G480="","",477)</f>
      </c>
      <c r="B480" s="140">
        <f>IF($G480="","",INDEX(资金台帐!$B$7:$B$3006,$G480))</f>
      </c>
      <c r="C480" s="141">
        <f>IF($G480="","",INDEX(资金台帐!$J$7:$J$3006,$G480))</f>
      </c>
      <c r="D480" s="172">
        <f>IF($G480="","",INDEX(资金台帐!$S$7:$S$3006,$G480))</f>
      </c>
      <c r="E480" s="141">
        <f>IF($G480="","",INDEX(资金台帐!$C$7:$C$3006,$G480))</f>
      </c>
      <c r="F480" s="142">
        <f>IF($G480="","",INDEX(资金台帐!$E$7:$E$3006,$G480)&amp;IF(INDEX(资金台帐!$M$7:$M$3006,$G480)="","","；"&amp;INDEX(资金台帐!$M$7:$M$3006,$G480)))</f>
      </c>
      <c r="G480" s="78">
        <f>IFERROR(MATCH(477,资金台帐!$Q$7:$Q$3006,0),"")</f>
      </c>
      <c r="I480" s="141">
        <f>IF($O480="","",477)</f>
      </c>
      <c r="J480" s="140">
        <f>IF($O480="","",INDEX(资金台帐!$B$7:$B$3006,$O480))</f>
      </c>
      <c r="K480" s="141">
        <f>IF($O480="","",INDEX(资金台帐!$K$7:$K$3006,$O480))</f>
      </c>
      <c r="L480" s="172">
        <f>IF($O480="","",-INDEX(资金台帐!$S$7:$S$3006,$O480))</f>
      </c>
      <c r="M480" s="141">
        <f>IF($O480="","",INDEX(资金台帐!$C$7:$C$3006,$O480))</f>
      </c>
      <c r="N480" s="142">
        <f>IF($O480="","",INDEX(资金台帐!$E$7:$E$3006,$O480))</f>
      </c>
      <c r="O480" s="78">
        <f>IFERROR(MATCH(477,资金台帐!$R$7:$R$3006,0),"")</f>
      </c>
    </row>
    <row r="481">
      <c r="A481" s="141">
        <f>IF($G481="","",478)</f>
      </c>
      <c r="B481" s="140">
        <f>IF($G481="","",INDEX(资金台帐!$B$7:$B$3006,$G481))</f>
      </c>
      <c r="C481" s="141">
        <f>IF($G481="","",INDEX(资金台帐!$J$7:$J$3006,$G481))</f>
      </c>
      <c r="D481" s="172">
        <f>IF($G481="","",INDEX(资金台帐!$S$7:$S$3006,$G481))</f>
      </c>
      <c r="E481" s="141">
        <f>IF($G481="","",INDEX(资金台帐!$C$7:$C$3006,$G481))</f>
      </c>
      <c r="F481" s="142">
        <f>IF($G481="","",INDEX(资金台帐!$E$7:$E$3006,$G481)&amp;IF(INDEX(资金台帐!$M$7:$M$3006,$G481)="","","；"&amp;INDEX(资金台帐!$M$7:$M$3006,$G481)))</f>
      </c>
      <c r="G481" s="78">
        <f>IFERROR(MATCH(478,资金台帐!$Q$7:$Q$3006,0),"")</f>
      </c>
      <c r="I481" s="141">
        <f>IF($O481="","",478)</f>
      </c>
      <c r="J481" s="140">
        <f>IF($O481="","",INDEX(资金台帐!$B$7:$B$3006,$O481))</f>
      </c>
      <c r="K481" s="141">
        <f>IF($O481="","",INDEX(资金台帐!$K$7:$K$3006,$O481))</f>
      </c>
      <c r="L481" s="172">
        <f>IF($O481="","",-INDEX(资金台帐!$S$7:$S$3006,$O481))</f>
      </c>
      <c r="M481" s="141">
        <f>IF($O481="","",INDEX(资金台帐!$C$7:$C$3006,$O481))</f>
      </c>
      <c r="N481" s="142">
        <f>IF($O481="","",INDEX(资金台帐!$E$7:$E$3006,$O481))</f>
      </c>
      <c r="O481" s="78">
        <f>IFERROR(MATCH(478,资金台帐!$R$7:$R$3006,0),"")</f>
      </c>
    </row>
    <row r="482">
      <c r="A482" s="141">
        <f>IF($G482="","",479)</f>
      </c>
      <c r="B482" s="140">
        <f>IF($G482="","",INDEX(资金台帐!$B$7:$B$3006,$G482))</f>
      </c>
      <c r="C482" s="141">
        <f>IF($G482="","",INDEX(资金台帐!$J$7:$J$3006,$G482))</f>
      </c>
      <c r="D482" s="172">
        <f>IF($G482="","",INDEX(资金台帐!$S$7:$S$3006,$G482))</f>
      </c>
      <c r="E482" s="141">
        <f>IF($G482="","",INDEX(资金台帐!$C$7:$C$3006,$G482))</f>
      </c>
      <c r="F482" s="142">
        <f>IF($G482="","",INDEX(资金台帐!$E$7:$E$3006,$G482)&amp;IF(INDEX(资金台帐!$M$7:$M$3006,$G482)="","","；"&amp;INDEX(资金台帐!$M$7:$M$3006,$G482)))</f>
      </c>
      <c r="G482" s="78">
        <f>IFERROR(MATCH(479,资金台帐!$Q$7:$Q$3006,0),"")</f>
      </c>
      <c r="I482" s="141">
        <f>IF($O482="","",479)</f>
      </c>
      <c r="J482" s="140">
        <f>IF($O482="","",INDEX(资金台帐!$B$7:$B$3006,$O482))</f>
      </c>
      <c r="K482" s="141">
        <f>IF($O482="","",INDEX(资金台帐!$K$7:$K$3006,$O482))</f>
      </c>
      <c r="L482" s="172">
        <f>IF($O482="","",-INDEX(资金台帐!$S$7:$S$3006,$O482))</f>
      </c>
      <c r="M482" s="141">
        <f>IF($O482="","",INDEX(资金台帐!$C$7:$C$3006,$O482))</f>
      </c>
      <c r="N482" s="142">
        <f>IF($O482="","",INDEX(资金台帐!$E$7:$E$3006,$O482))</f>
      </c>
      <c r="O482" s="78">
        <f>IFERROR(MATCH(479,资金台帐!$R$7:$R$3006,0),"")</f>
      </c>
    </row>
    <row r="483">
      <c r="A483" s="141">
        <f>IF($G483="","",480)</f>
      </c>
      <c r="B483" s="140">
        <f>IF($G483="","",INDEX(资金台帐!$B$7:$B$3006,$G483))</f>
      </c>
      <c r="C483" s="141">
        <f>IF($G483="","",INDEX(资金台帐!$J$7:$J$3006,$G483))</f>
      </c>
      <c r="D483" s="172">
        <f>IF($G483="","",INDEX(资金台帐!$S$7:$S$3006,$G483))</f>
      </c>
      <c r="E483" s="141">
        <f>IF($G483="","",INDEX(资金台帐!$C$7:$C$3006,$G483))</f>
      </c>
      <c r="F483" s="142">
        <f>IF($G483="","",INDEX(资金台帐!$E$7:$E$3006,$G483)&amp;IF(INDEX(资金台帐!$M$7:$M$3006,$G483)="","","；"&amp;INDEX(资金台帐!$M$7:$M$3006,$G483)))</f>
      </c>
      <c r="G483" s="78">
        <f>IFERROR(MATCH(480,资金台帐!$Q$7:$Q$3006,0),"")</f>
      </c>
      <c r="I483" s="141">
        <f>IF($O483="","",480)</f>
      </c>
      <c r="J483" s="140">
        <f>IF($O483="","",INDEX(资金台帐!$B$7:$B$3006,$O483))</f>
      </c>
      <c r="K483" s="141">
        <f>IF($O483="","",INDEX(资金台帐!$K$7:$K$3006,$O483))</f>
      </c>
      <c r="L483" s="172">
        <f>IF($O483="","",-INDEX(资金台帐!$S$7:$S$3006,$O483))</f>
      </c>
      <c r="M483" s="141">
        <f>IF($O483="","",INDEX(资金台帐!$C$7:$C$3006,$O483))</f>
      </c>
      <c r="N483" s="142">
        <f>IF($O483="","",INDEX(资金台帐!$E$7:$E$3006,$O483))</f>
      </c>
      <c r="O483" s="78">
        <f>IFERROR(MATCH(480,资金台帐!$R$7:$R$3006,0),"")</f>
      </c>
    </row>
    <row r="484">
      <c r="A484" s="141">
        <f>IF($G484="","",481)</f>
      </c>
      <c r="B484" s="140">
        <f>IF($G484="","",INDEX(资金台帐!$B$7:$B$3006,$G484))</f>
      </c>
      <c r="C484" s="141">
        <f>IF($G484="","",INDEX(资金台帐!$J$7:$J$3006,$G484))</f>
      </c>
      <c r="D484" s="172">
        <f>IF($G484="","",INDEX(资金台帐!$S$7:$S$3006,$G484))</f>
      </c>
      <c r="E484" s="141">
        <f>IF($G484="","",INDEX(资金台帐!$C$7:$C$3006,$G484))</f>
      </c>
      <c r="F484" s="142">
        <f>IF($G484="","",INDEX(资金台帐!$E$7:$E$3006,$G484)&amp;IF(INDEX(资金台帐!$M$7:$M$3006,$G484)="","","；"&amp;INDEX(资金台帐!$M$7:$M$3006,$G484)))</f>
      </c>
      <c r="G484" s="78">
        <f>IFERROR(MATCH(481,资金台帐!$Q$7:$Q$3006,0),"")</f>
      </c>
      <c r="I484" s="141">
        <f>IF($O484="","",481)</f>
      </c>
      <c r="J484" s="140">
        <f>IF($O484="","",INDEX(资金台帐!$B$7:$B$3006,$O484))</f>
      </c>
      <c r="K484" s="141">
        <f>IF($O484="","",INDEX(资金台帐!$K$7:$K$3006,$O484))</f>
      </c>
      <c r="L484" s="172">
        <f>IF($O484="","",-INDEX(资金台帐!$S$7:$S$3006,$O484))</f>
      </c>
      <c r="M484" s="141">
        <f>IF($O484="","",INDEX(资金台帐!$C$7:$C$3006,$O484))</f>
      </c>
      <c r="N484" s="142">
        <f>IF($O484="","",INDEX(资金台帐!$E$7:$E$3006,$O484))</f>
      </c>
      <c r="O484" s="78">
        <f>IFERROR(MATCH(481,资金台帐!$R$7:$R$3006,0),"")</f>
      </c>
    </row>
    <row r="485">
      <c r="A485" s="141">
        <f>IF($G485="","",482)</f>
      </c>
      <c r="B485" s="140">
        <f>IF($G485="","",INDEX(资金台帐!$B$7:$B$3006,$G485))</f>
      </c>
      <c r="C485" s="141">
        <f>IF($G485="","",INDEX(资金台帐!$J$7:$J$3006,$G485))</f>
      </c>
      <c r="D485" s="172">
        <f>IF($G485="","",INDEX(资金台帐!$S$7:$S$3006,$G485))</f>
      </c>
      <c r="E485" s="141">
        <f>IF($G485="","",INDEX(资金台帐!$C$7:$C$3006,$G485))</f>
      </c>
      <c r="F485" s="142">
        <f>IF($G485="","",INDEX(资金台帐!$E$7:$E$3006,$G485)&amp;IF(INDEX(资金台帐!$M$7:$M$3006,$G485)="","","；"&amp;INDEX(资金台帐!$M$7:$M$3006,$G485)))</f>
      </c>
      <c r="G485" s="78">
        <f>IFERROR(MATCH(482,资金台帐!$Q$7:$Q$3006,0),"")</f>
      </c>
      <c r="I485" s="141">
        <f>IF($O485="","",482)</f>
      </c>
      <c r="J485" s="140">
        <f>IF($O485="","",INDEX(资金台帐!$B$7:$B$3006,$O485))</f>
      </c>
      <c r="K485" s="141">
        <f>IF($O485="","",INDEX(资金台帐!$K$7:$K$3006,$O485))</f>
      </c>
      <c r="L485" s="172">
        <f>IF($O485="","",-INDEX(资金台帐!$S$7:$S$3006,$O485))</f>
      </c>
      <c r="M485" s="141">
        <f>IF($O485="","",INDEX(资金台帐!$C$7:$C$3006,$O485))</f>
      </c>
      <c r="N485" s="142">
        <f>IF($O485="","",INDEX(资金台帐!$E$7:$E$3006,$O485))</f>
      </c>
      <c r="O485" s="78">
        <f>IFERROR(MATCH(482,资金台帐!$R$7:$R$3006,0),"")</f>
      </c>
    </row>
    <row r="486">
      <c r="A486" s="141">
        <f>IF($G486="","",483)</f>
      </c>
      <c r="B486" s="140">
        <f>IF($G486="","",INDEX(资金台帐!$B$7:$B$3006,$G486))</f>
      </c>
      <c r="C486" s="141">
        <f>IF($G486="","",INDEX(资金台帐!$J$7:$J$3006,$G486))</f>
      </c>
      <c r="D486" s="172">
        <f>IF($G486="","",INDEX(资金台帐!$S$7:$S$3006,$G486))</f>
      </c>
      <c r="E486" s="141">
        <f>IF($G486="","",INDEX(资金台帐!$C$7:$C$3006,$G486))</f>
      </c>
      <c r="F486" s="142">
        <f>IF($G486="","",INDEX(资金台帐!$E$7:$E$3006,$G486)&amp;IF(INDEX(资金台帐!$M$7:$M$3006,$G486)="","","；"&amp;INDEX(资金台帐!$M$7:$M$3006,$G486)))</f>
      </c>
      <c r="G486" s="78">
        <f>IFERROR(MATCH(483,资金台帐!$Q$7:$Q$3006,0),"")</f>
      </c>
      <c r="I486" s="141">
        <f>IF($O486="","",483)</f>
      </c>
      <c r="J486" s="140">
        <f>IF($O486="","",INDEX(资金台帐!$B$7:$B$3006,$O486))</f>
      </c>
      <c r="K486" s="141">
        <f>IF($O486="","",INDEX(资金台帐!$K$7:$K$3006,$O486))</f>
      </c>
      <c r="L486" s="172">
        <f>IF($O486="","",-INDEX(资金台帐!$S$7:$S$3006,$O486))</f>
      </c>
      <c r="M486" s="141">
        <f>IF($O486="","",INDEX(资金台帐!$C$7:$C$3006,$O486))</f>
      </c>
      <c r="N486" s="142">
        <f>IF($O486="","",INDEX(资金台帐!$E$7:$E$3006,$O486))</f>
      </c>
      <c r="O486" s="78">
        <f>IFERROR(MATCH(483,资金台帐!$R$7:$R$3006,0),"")</f>
      </c>
    </row>
    <row r="487">
      <c r="A487" s="141">
        <f>IF($G487="","",484)</f>
      </c>
      <c r="B487" s="140">
        <f>IF($G487="","",INDEX(资金台帐!$B$7:$B$3006,$G487))</f>
      </c>
      <c r="C487" s="141">
        <f>IF($G487="","",INDEX(资金台帐!$J$7:$J$3006,$G487))</f>
      </c>
      <c r="D487" s="172">
        <f>IF($G487="","",INDEX(资金台帐!$S$7:$S$3006,$G487))</f>
      </c>
      <c r="E487" s="141">
        <f>IF($G487="","",INDEX(资金台帐!$C$7:$C$3006,$G487))</f>
      </c>
      <c r="F487" s="142">
        <f>IF($G487="","",INDEX(资金台帐!$E$7:$E$3006,$G487)&amp;IF(INDEX(资金台帐!$M$7:$M$3006,$G487)="","","；"&amp;INDEX(资金台帐!$M$7:$M$3006,$G487)))</f>
      </c>
      <c r="G487" s="78">
        <f>IFERROR(MATCH(484,资金台帐!$Q$7:$Q$3006,0),"")</f>
      </c>
      <c r="I487" s="141">
        <f>IF($O487="","",484)</f>
      </c>
      <c r="J487" s="140">
        <f>IF($O487="","",INDEX(资金台帐!$B$7:$B$3006,$O487))</f>
      </c>
      <c r="K487" s="141">
        <f>IF($O487="","",INDEX(资金台帐!$K$7:$K$3006,$O487))</f>
      </c>
      <c r="L487" s="172">
        <f>IF($O487="","",-INDEX(资金台帐!$S$7:$S$3006,$O487))</f>
      </c>
      <c r="M487" s="141">
        <f>IF($O487="","",INDEX(资金台帐!$C$7:$C$3006,$O487))</f>
      </c>
      <c r="N487" s="142">
        <f>IF($O487="","",INDEX(资金台帐!$E$7:$E$3006,$O487))</f>
      </c>
      <c r="O487" s="78">
        <f>IFERROR(MATCH(484,资金台帐!$R$7:$R$3006,0),"")</f>
      </c>
    </row>
    <row r="488">
      <c r="A488" s="141">
        <f>IF($G488="","",485)</f>
      </c>
      <c r="B488" s="140">
        <f>IF($G488="","",INDEX(资金台帐!$B$7:$B$3006,$G488))</f>
      </c>
      <c r="C488" s="141">
        <f>IF($G488="","",INDEX(资金台帐!$J$7:$J$3006,$G488))</f>
      </c>
      <c r="D488" s="172">
        <f>IF($G488="","",INDEX(资金台帐!$S$7:$S$3006,$G488))</f>
      </c>
      <c r="E488" s="141">
        <f>IF($G488="","",INDEX(资金台帐!$C$7:$C$3006,$G488))</f>
      </c>
      <c r="F488" s="142">
        <f>IF($G488="","",INDEX(资金台帐!$E$7:$E$3006,$G488)&amp;IF(INDEX(资金台帐!$M$7:$M$3006,$G488)="","","；"&amp;INDEX(资金台帐!$M$7:$M$3006,$G488)))</f>
      </c>
      <c r="G488" s="78">
        <f>IFERROR(MATCH(485,资金台帐!$Q$7:$Q$3006,0),"")</f>
      </c>
      <c r="I488" s="141">
        <f>IF($O488="","",485)</f>
      </c>
      <c r="J488" s="140">
        <f>IF($O488="","",INDEX(资金台帐!$B$7:$B$3006,$O488))</f>
      </c>
      <c r="K488" s="141">
        <f>IF($O488="","",INDEX(资金台帐!$K$7:$K$3006,$O488))</f>
      </c>
      <c r="L488" s="172">
        <f>IF($O488="","",-INDEX(资金台帐!$S$7:$S$3006,$O488))</f>
      </c>
      <c r="M488" s="141">
        <f>IF($O488="","",INDEX(资金台帐!$C$7:$C$3006,$O488))</f>
      </c>
      <c r="N488" s="142">
        <f>IF($O488="","",INDEX(资金台帐!$E$7:$E$3006,$O488))</f>
      </c>
      <c r="O488" s="78">
        <f>IFERROR(MATCH(485,资金台帐!$R$7:$R$3006,0),"")</f>
      </c>
    </row>
    <row r="489">
      <c r="A489" s="141">
        <f>IF($G489="","",486)</f>
      </c>
      <c r="B489" s="140">
        <f>IF($G489="","",INDEX(资金台帐!$B$7:$B$3006,$G489))</f>
      </c>
      <c r="C489" s="141">
        <f>IF($G489="","",INDEX(资金台帐!$J$7:$J$3006,$G489))</f>
      </c>
      <c r="D489" s="172">
        <f>IF($G489="","",INDEX(资金台帐!$S$7:$S$3006,$G489))</f>
      </c>
      <c r="E489" s="141">
        <f>IF($G489="","",INDEX(资金台帐!$C$7:$C$3006,$G489))</f>
      </c>
      <c r="F489" s="142">
        <f>IF($G489="","",INDEX(资金台帐!$E$7:$E$3006,$G489)&amp;IF(INDEX(资金台帐!$M$7:$M$3006,$G489)="","","；"&amp;INDEX(资金台帐!$M$7:$M$3006,$G489)))</f>
      </c>
      <c r="G489" s="78">
        <f>IFERROR(MATCH(486,资金台帐!$Q$7:$Q$3006,0),"")</f>
      </c>
      <c r="I489" s="141">
        <f>IF($O489="","",486)</f>
      </c>
      <c r="J489" s="140">
        <f>IF($O489="","",INDEX(资金台帐!$B$7:$B$3006,$O489))</f>
      </c>
      <c r="K489" s="141">
        <f>IF($O489="","",INDEX(资金台帐!$K$7:$K$3006,$O489))</f>
      </c>
      <c r="L489" s="172">
        <f>IF($O489="","",-INDEX(资金台帐!$S$7:$S$3006,$O489))</f>
      </c>
      <c r="M489" s="141">
        <f>IF($O489="","",INDEX(资金台帐!$C$7:$C$3006,$O489))</f>
      </c>
      <c r="N489" s="142">
        <f>IF($O489="","",INDEX(资金台帐!$E$7:$E$3006,$O489))</f>
      </c>
      <c r="O489" s="78">
        <f>IFERROR(MATCH(486,资金台帐!$R$7:$R$3006,0),"")</f>
      </c>
    </row>
    <row r="490">
      <c r="A490" s="141">
        <f>IF($G490="","",487)</f>
      </c>
      <c r="B490" s="140">
        <f>IF($G490="","",INDEX(资金台帐!$B$7:$B$3006,$G490))</f>
      </c>
      <c r="C490" s="141">
        <f>IF($G490="","",INDEX(资金台帐!$J$7:$J$3006,$G490))</f>
      </c>
      <c r="D490" s="172">
        <f>IF($G490="","",INDEX(资金台帐!$S$7:$S$3006,$G490))</f>
      </c>
      <c r="E490" s="141">
        <f>IF($G490="","",INDEX(资金台帐!$C$7:$C$3006,$G490))</f>
      </c>
      <c r="F490" s="142">
        <f>IF($G490="","",INDEX(资金台帐!$E$7:$E$3006,$G490)&amp;IF(INDEX(资金台帐!$M$7:$M$3006,$G490)="","","；"&amp;INDEX(资金台帐!$M$7:$M$3006,$G490)))</f>
      </c>
      <c r="G490" s="78">
        <f>IFERROR(MATCH(487,资金台帐!$Q$7:$Q$3006,0),"")</f>
      </c>
      <c r="I490" s="141">
        <f>IF($O490="","",487)</f>
      </c>
      <c r="J490" s="140">
        <f>IF($O490="","",INDEX(资金台帐!$B$7:$B$3006,$O490))</f>
      </c>
      <c r="K490" s="141">
        <f>IF($O490="","",INDEX(资金台帐!$K$7:$K$3006,$O490))</f>
      </c>
      <c r="L490" s="172">
        <f>IF($O490="","",-INDEX(资金台帐!$S$7:$S$3006,$O490))</f>
      </c>
      <c r="M490" s="141">
        <f>IF($O490="","",INDEX(资金台帐!$C$7:$C$3006,$O490))</f>
      </c>
      <c r="N490" s="142">
        <f>IF($O490="","",INDEX(资金台帐!$E$7:$E$3006,$O490))</f>
      </c>
      <c r="O490" s="78">
        <f>IFERROR(MATCH(487,资金台帐!$R$7:$R$3006,0),"")</f>
      </c>
    </row>
    <row r="491">
      <c r="A491" s="141">
        <f>IF($G491="","",488)</f>
      </c>
      <c r="B491" s="140">
        <f>IF($G491="","",INDEX(资金台帐!$B$7:$B$3006,$G491))</f>
      </c>
      <c r="C491" s="141">
        <f>IF($G491="","",INDEX(资金台帐!$J$7:$J$3006,$G491))</f>
      </c>
      <c r="D491" s="172">
        <f>IF($G491="","",INDEX(资金台帐!$S$7:$S$3006,$G491))</f>
      </c>
      <c r="E491" s="141">
        <f>IF($G491="","",INDEX(资金台帐!$C$7:$C$3006,$G491))</f>
      </c>
      <c r="F491" s="142">
        <f>IF($G491="","",INDEX(资金台帐!$E$7:$E$3006,$G491)&amp;IF(INDEX(资金台帐!$M$7:$M$3006,$G491)="","","；"&amp;INDEX(资金台帐!$M$7:$M$3006,$G491)))</f>
      </c>
      <c r="G491" s="78">
        <f>IFERROR(MATCH(488,资金台帐!$Q$7:$Q$3006,0),"")</f>
      </c>
      <c r="I491" s="141">
        <f>IF($O491="","",488)</f>
      </c>
      <c r="J491" s="140">
        <f>IF($O491="","",INDEX(资金台帐!$B$7:$B$3006,$O491))</f>
      </c>
      <c r="K491" s="141">
        <f>IF($O491="","",INDEX(资金台帐!$K$7:$K$3006,$O491))</f>
      </c>
      <c r="L491" s="172">
        <f>IF($O491="","",-INDEX(资金台帐!$S$7:$S$3006,$O491))</f>
      </c>
      <c r="M491" s="141">
        <f>IF($O491="","",INDEX(资金台帐!$C$7:$C$3006,$O491))</f>
      </c>
      <c r="N491" s="142">
        <f>IF($O491="","",INDEX(资金台帐!$E$7:$E$3006,$O491))</f>
      </c>
      <c r="O491" s="78">
        <f>IFERROR(MATCH(488,资金台帐!$R$7:$R$3006,0),"")</f>
      </c>
    </row>
    <row r="492">
      <c r="A492" s="141">
        <f>IF($G492="","",489)</f>
      </c>
      <c r="B492" s="140">
        <f>IF($G492="","",INDEX(资金台帐!$B$7:$B$3006,$G492))</f>
      </c>
      <c r="C492" s="141">
        <f>IF($G492="","",INDEX(资金台帐!$J$7:$J$3006,$G492))</f>
      </c>
      <c r="D492" s="172">
        <f>IF($G492="","",INDEX(资金台帐!$S$7:$S$3006,$G492))</f>
      </c>
      <c r="E492" s="141">
        <f>IF($G492="","",INDEX(资金台帐!$C$7:$C$3006,$G492))</f>
      </c>
      <c r="F492" s="142">
        <f>IF($G492="","",INDEX(资金台帐!$E$7:$E$3006,$G492)&amp;IF(INDEX(资金台帐!$M$7:$M$3006,$G492)="","","；"&amp;INDEX(资金台帐!$M$7:$M$3006,$G492)))</f>
      </c>
      <c r="G492" s="78">
        <f>IFERROR(MATCH(489,资金台帐!$Q$7:$Q$3006,0),"")</f>
      </c>
      <c r="I492" s="141">
        <f>IF($O492="","",489)</f>
      </c>
      <c r="J492" s="140">
        <f>IF($O492="","",INDEX(资金台帐!$B$7:$B$3006,$O492))</f>
      </c>
      <c r="K492" s="141">
        <f>IF($O492="","",INDEX(资金台帐!$K$7:$K$3006,$O492))</f>
      </c>
      <c r="L492" s="172">
        <f>IF($O492="","",-INDEX(资金台帐!$S$7:$S$3006,$O492))</f>
      </c>
      <c r="M492" s="141">
        <f>IF($O492="","",INDEX(资金台帐!$C$7:$C$3006,$O492))</f>
      </c>
      <c r="N492" s="142">
        <f>IF($O492="","",INDEX(资金台帐!$E$7:$E$3006,$O492))</f>
      </c>
      <c r="O492" s="78">
        <f>IFERROR(MATCH(489,资金台帐!$R$7:$R$3006,0),"")</f>
      </c>
    </row>
    <row r="493">
      <c r="A493" s="141">
        <f>IF($G493="","",490)</f>
      </c>
      <c r="B493" s="140">
        <f>IF($G493="","",INDEX(资金台帐!$B$7:$B$3006,$G493))</f>
      </c>
      <c r="C493" s="141">
        <f>IF($G493="","",INDEX(资金台帐!$J$7:$J$3006,$G493))</f>
      </c>
      <c r="D493" s="172">
        <f>IF($G493="","",INDEX(资金台帐!$S$7:$S$3006,$G493))</f>
      </c>
      <c r="E493" s="141">
        <f>IF($G493="","",INDEX(资金台帐!$C$7:$C$3006,$G493))</f>
      </c>
      <c r="F493" s="142">
        <f>IF($G493="","",INDEX(资金台帐!$E$7:$E$3006,$G493)&amp;IF(INDEX(资金台帐!$M$7:$M$3006,$G493)="","","；"&amp;INDEX(资金台帐!$M$7:$M$3006,$G493)))</f>
      </c>
      <c r="G493" s="78">
        <f>IFERROR(MATCH(490,资金台帐!$Q$7:$Q$3006,0),"")</f>
      </c>
      <c r="I493" s="141">
        <f>IF($O493="","",490)</f>
      </c>
      <c r="J493" s="140">
        <f>IF($O493="","",INDEX(资金台帐!$B$7:$B$3006,$O493))</f>
      </c>
      <c r="K493" s="141">
        <f>IF($O493="","",INDEX(资金台帐!$K$7:$K$3006,$O493))</f>
      </c>
      <c r="L493" s="172">
        <f>IF($O493="","",-INDEX(资金台帐!$S$7:$S$3006,$O493))</f>
      </c>
      <c r="M493" s="141">
        <f>IF($O493="","",INDEX(资金台帐!$C$7:$C$3006,$O493))</f>
      </c>
      <c r="N493" s="142">
        <f>IF($O493="","",INDEX(资金台帐!$E$7:$E$3006,$O493))</f>
      </c>
      <c r="O493" s="78">
        <f>IFERROR(MATCH(490,资金台帐!$R$7:$R$3006,0),"")</f>
      </c>
    </row>
    <row r="494">
      <c r="A494" s="141">
        <f>IF($G494="","",491)</f>
      </c>
      <c r="B494" s="140">
        <f>IF($G494="","",INDEX(资金台帐!$B$7:$B$3006,$G494))</f>
      </c>
      <c r="C494" s="141">
        <f>IF($G494="","",INDEX(资金台帐!$J$7:$J$3006,$G494))</f>
      </c>
      <c r="D494" s="172">
        <f>IF($G494="","",INDEX(资金台帐!$S$7:$S$3006,$G494))</f>
      </c>
      <c r="E494" s="141">
        <f>IF($G494="","",INDEX(资金台帐!$C$7:$C$3006,$G494))</f>
      </c>
      <c r="F494" s="142">
        <f>IF($G494="","",INDEX(资金台帐!$E$7:$E$3006,$G494)&amp;IF(INDEX(资金台帐!$M$7:$M$3006,$G494)="","","；"&amp;INDEX(资金台帐!$M$7:$M$3006,$G494)))</f>
      </c>
      <c r="G494" s="78">
        <f>IFERROR(MATCH(491,资金台帐!$Q$7:$Q$3006,0),"")</f>
      </c>
      <c r="I494" s="141">
        <f>IF($O494="","",491)</f>
      </c>
      <c r="J494" s="140">
        <f>IF($O494="","",INDEX(资金台帐!$B$7:$B$3006,$O494))</f>
      </c>
      <c r="K494" s="141">
        <f>IF($O494="","",INDEX(资金台帐!$K$7:$K$3006,$O494))</f>
      </c>
      <c r="L494" s="172">
        <f>IF($O494="","",-INDEX(资金台帐!$S$7:$S$3006,$O494))</f>
      </c>
      <c r="M494" s="141">
        <f>IF($O494="","",INDEX(资金台帐!$C$7:$C$3006,$O494))</f>
      </c>
      <c r="N494" s="142">
        <f>IF($O494="","",INDEX(资金台帐!$E$7:$E$3006,$O494))</f>
      </c>
      <c r="O494" s="78">
        <f>IFERROR(MATCH(491,资金台帐!$R$7:$R$3006,0),"")</f>
      </c>
    </row>
    <row r="495">
      <c r="A495" s="141">
        <f>IF($G495="","",492)</f>
      </c>
      <c r="B495" s="140">
        <f>IF($G495="","",INDEX(资金台帐!$B$7:$B$3006,$G495))</f>
      </c>
      <c r="C495" s="141">
        <f>IF($G495="","",INDEX(资金台帐!$J$7:$J$3006,$G495))</f>
      </c>
      <c r="D495" s="172">
        <f>IF($G495="","",INDEX(资金台帐!$S$7:$S$3006,$G495))</f>
      </c>
      <c r="E495" s="141">
        <f>IF($G495="","",INDEX(资金台帐!$C$7:$C$3006,$G495))</f>
      </c>
      <c r="F495" s="142">
        <f>IF($G495="","",INDEX(资金台帐!$E$7:$E$3006,$G495)&amp;IF(INDEX(资金台帐!$M$7:$M$3006,$G495)="","","；"&amp;INDEX(资金台帐!$M$7:$M$3006,$G495)))</f>
      </c>
      <c r="G495" s="78">
        <f>IFERROR(MATCH(492,资金台帐!$Q$7:$Q$3006,0),"")</f>
      </c>
      <c r="I495" s="141">
        <f>IF($O495="","",492)</f>
      </c>
      <c r="J495" s="140">
        <f>IF($O495="","",INDEX(资金台帐!$B$7:$B$3006,$O495))</f>
      </c>
      <c r="K495" s="141">
        <f>IF($O495="","",INDEX(资金台帐!$K$7:$K$3006,$O495))</f>
      </c>
      <c r="L495" s="172">
        <f>IF($O495="","",-INDEX(资金台帐!$S$7:$S$3006,$O495))</f>
      </c>
      <c r="M495" s="141">
        <f>IF($O495="","",INDEX(资金台帐!$C$7:$C$3006,$O495))</f>
      </c>
      <c r="N495" s="142">
        <f>IF($O495="","",INDEX(资金台帐!$E$7:$E$3006,$O495))</f>
      </c>
      <c r="O495" s="78">
        <f>IFERROR(MATCH(492,资金台帐!$R$7:$R$3006,0),"")</f>
      </c>
    </row>
    <row r="496">
      <c r="A496" s="141">
        <f>IF($G496="","",493)</f>
      </c>
      <c r="B496" s="140">
        <f>IF($G496="","",INDEX(资金台帐!$B$7:$B$3006,$G496))</f>
      </c>
      <c r="C496" s="141">
        <f>IF($G496="","",INDEX(资金台帐!$J$7:$J$3006,$G496))</f>
      </c>
      <c r="D496" s="172">
        <f>IF($G496="","",INDEX(资金台帐!$S$7:$S$3006,$G496))</f>
      </c>
      <c r="E496" s="141">
        <f>IF($G496="","",INDEX(资金台帐!$C$7:$C$3006,$G496))</f>
      </c>
      <c r="F496" s="142">
        <f>IF($G496="","",INDEX(资金台帐!$E$7:$E$3006,$G496)&amp;IF(INDEX(资金台帐!$M$7:$M$3006,$G496)="","","；"&amp;INDEX(资金台帐!$M$7:$M$3006,$G496)))</f>
      </c>
      <c r="G496" s="78">
        <f>IFERROR(MATCH(493,资金台帐!$Q$7:$Q$3006,0),"")</f>
      </c>
      <c r="I496" s="141">
        <f>IF($O496="","",493)</f>
      </c>
      <c r="J496" s="140">
        <f>IF($O496="","",INDEX(资金台帐!$B$7:$B$3006,$O496))</f>
      </c>
      <c r="K496" s="141">
        <f>IF($O496="","",INDEX(资金台帐!$K$7:$K$3006,$O496))</f>
      </c>
      <c r="L496" s="172">
        <f>IF($O496="","",-INDEX(资金台帐!$S$7:$S$3006,$O496))</f>
      </c>
      <c r="M496" s="141">
        <f>IF($O496="","",INDEX(资金台帐!$C$7:$C$3006,$O496))</f>
      </c>
      <c r="N496" s="142">
        <f>IF($O496="","",INDEX(资金台帐!$E$7:$E$3006,$O496))</f>
      </c>
      <c r="O496" s="78">
        <f>IFERROR(MATCH(493,资金台帐!$R$7:$R$3006,0),"")</f>
      </c>
    </row>
    <row r="497">
      <c r="A497" s="141">
        <f>IF($G497="","",494)</f>
      </c>
      <c r="B497" s="140">
        <f>IF($G497="","",INDEX(资金台帐!$B$7:$B$3006,$G497))</f>
      </c>
      <c r="C497" s="141">
        <f>IF($G497="","",INDEX(资金台帐!$J$7:$J$3006,$G497))</f>
      </c>
      <c r="D497" s="172">
        <f>IF($G497="","",INDEX(资金台帐!$S$7:$S$3006,$G497))</f>
      </c>
      <c r="E497" s="141">
        <f>IF($G497="","",INDEX(资金台帐!$C$7:$C$3006,$G497))</f>
      </c>
      <c r="F497" s="142">
        <f>IF($G497="","",INDEX(资金台帐!$E$7:$E$3006,$G497)&amp;IF(INDEX(资金台帐!$M$7:$M$3006,$G497)="","","；"&amp;INDEX(资金台帐!$M$7:$M$3006,$G497)))</f>
      </c>
      <c r="G497" s="78">
        <f>IFERROR(MATCH(494,资金台帐!$Q$7:$Q$3006,0),"")</f>
      </c>
      <c r="I497" s="141">
        <f>IF($O497="","",494)</f>
      </c>
      <c r="J497" s="140">
        <f>IF($O497="","",INDEX(资金台帐!$B$7:$B$3006,$O497))</f>
      </c>
      <c r="K497" s="141">
        <f>IF($O497="","",INDEX(资金台帐!$K$7:$K$3006,$O497))</f>
      </c>
      <c r="L497" s="172">
        <f>IF($O497="","",-INDEX(资金台帐!$S$7:$S$3006,$O497))</f>
      </c>
      <c r="M497" s="141">
        <f>IF($O497="","",INDEX(资金台帐!$C$7:$C$3006,$O497))</f>
      </c>
      <c r="N497" s="142">
        <f>IF($O497="","",INDEX(资金台帐!$E$7:$E$3006,$O497))</f>
      </c>
      <c r="O497" s="78">
        <f>IFERROR(MATCH(494,资金台帐!$R$7:$R$3006,0),"")</f>
      </c>
    </row>
    <row r="498">
      <c r="A498" s="141">
        <f>IF($G498="","",495)</f>
      </c>
      <c r="B498" s="140">
        <f>IF($G498="","",INDEX(资金台帐!$B$7:$B$3006,$G498))</f>
      </c>
      <c r="C498" s="141">
        <f>IF($G498="","",INDEX(资金台帐!$J$7:$J$3006,$G498))</f>
      </c>
      <c r="D498" s="172">
        <f>IF($G498="","",INDEX(资金台帐!$S$7:$S$3006,$G498))</f>
      </c>
      <c r="E498" s="141">
        <f>IF($G498="","",INDEX(资金台帐!$C$7:$C$3006,$G498))</f>
      </c>
      <c r="F498" s="142">
        <f>IF($G498="","",INDEX(资金台帐!$E$7:$E$3006,$G498)&amp;IF(INDEX(资金台帐!$M$7:$M$3006,$G498)="","","；"&amp;INDEX(资金台帐!$M$7:$M$3006,$G498)))</f>
      </c>
      <c r="G498" s="78">
        <f>IFERROR(MATCH(495,资金台帐!$Q$7:$Q$3006,0),"")</f>
      </c>
      <c r="I498" s="141">
        <f>IF($O498="","",495)</f>
      </c>
      <c r="J498" s="140">
        <f>IF($O498="","",INDEX(资金台帐!$B$7:$B$3006,$O498))</f>
      </c>
      <c r="K498" s="141">
        <f>IF($O498="","",INDEX(资金台帐!$K$7:$K$3006,$O498))</f>
      </c>
      <c r="L498" s="172">
        <f>IF($O498="","",-INDEX(资金台帐!$S$7:$S$3006,$O498))</f>
      </c>
      <c r="M498" s="141">
        <f>IF($O498="","",INDEX(资金台帐!$C$7:$C$3006,$O498))</f>
      </c>
      <c r="N498" s="142">
        <f>IF($O498="","",INDEX(资金台帐!$E$7:$E$3006,$O498))</f>
      </c>
      <c r="O498" s="78">
        <f>IFERROR(MATCH(495,资金台帐!$R$7:$R$3006,0),"")</f>
      </c>
    </row>
    <row r="499">
      <c r="A499" s="141">
        <f>IF($G499="","",496)</f>
      </c>
      <c r="B499" s="140">
        <f>IF($G499="","",INDEX(资金台帐!$B$7:$B$3006,$G499))</f>
      </c>
      <c r="C499" s="141">
        <f>IF($G499="","",INDEX(资金台帐!$J$7:$J$3006,$G499))</f>
      </c>
      <c r="D499" s="172">
        <f>IF($G499="","",INDEX(资金台帐!$S$7:$S$3006,$G499))</f>
      </c>
      <c r="E499" s="141">
        <f>IF($G499="","",INDEX(资金台帐!$C$7:$C$3006,$G499))</f>
      </c>
      <c r="F499" s="142">
        <f>IF($G499="","",INDEX(资金台帐!$E$7:$E$3006,$G499)&amp;IF(INDEX(资金台帐!$M$7:$M$3006,$G499)="","","；"&amp;INDEX(资金台帐!$M$7:$M$3006,$G499)))</f>
      </c>
      <c r="G499" s="78">
        <f>IFERROR(MATCH(496,资金台帐!$Q$7:$Q$3006,0),"")</f>
      </c>
      <c r="I499" s="141">
        <f>IF($O499="","",496)</f>
      </c>
      <c r="J499" s="140">
        <f>IF($O499="","",INDEX(资金台帐!$B$7:$B$3006,$O499))</f>
      </c>
      <c r="K499" s="141">
        <f>IF($O499="","",INDEX(资金台帐!$K$7:$K$3006,$O499))</f>
      </c>
      <c r="L499" s="172">
        <f>IF($O499="","",-INDEX(资金台帐!$S$7:$S$3006,$O499))</f>
      </c>
      <c r="M499" s="141">
        <f>IF($O499="","",INDEX(资金台帐!$C$7:$C$3006,$O499))</f>
      </c>
      <c r="N499" s="142">
        <f>IF($O499="","",INDEX(资金台帐!$E$7:$E$3006,$O499))</f>
      </c>
      <c r="O499" s="78">
        <f>IFERROR(MATCH(496,资金台帐!$R$7:$R$3006,0),"")</f>
      </c>
    </row>
    <row r="500">
      <c r="A500" s="141">
        <f>IF($G500="","",497)</f>
      </c>
      <c r="B500" s="140">
        <f>IF($G500="","",INDEX(资金台帐!$B$7:$B$3006,$G500))</f>
      </c>
      <c r="C500" s="141">
        <f>IF($G500="","",INDEX(资金台帐!$J$7:$J$3006,$G500))</f>
      </c>
      <c r="D500" s="172">
        <f>IF($G500="","",INDEX(资金台帐!$S$7:$S$3006,$G500))</f>
      </c>
      <c r="E500" s="141">
        <f>IF($G500="","",INDEX(资金台帐!$C$7:$C$3006,$G500))</f>
      </c>
      <c r="F500" s="142">
        <f>IF($G500="","",INDEX(资金台帐!$E$7:$E$3006,$G500)&amp;IF(INDEX(资金台帐!$M$7:$M$3006,$G500)="","","；"&amp;INDEX(资金台帐!$M$7:$M$3006,$G500)))</f>
      </c>
      <c r="G500" s="78">
        <f>IFERROR(MATCH(497,资金台帐!$Q$7:$Q$3006,0),"")</f>
      </c>
      <c r="I500" s="141">
        <f>IF($O500="","",497)</f>
      </c>
      <c r="J500" s="140">
        <f>IF($O500="","",INDEX(资金台帐!$B$7:$B$3006,$O500))</f>
      </c>
      <c r="K500" s="141">
        <f>IF($O500="","",INDEX(资金台帐!$K$7:$K$3006,$O500))</f>
      </c>
      <c r="L500" s="172">
        <f>IF($O500="","",-INDEX(资金台帐!$S$7:$S$3006,$O500))</f>
      </c>
      <c r="M500" s="141">
        <f>IF($O500="","",INDEX(资金台帐!$C$7:$C$3006,$O500))</f>
      </c>
      <c r="N500" s="142">
        <f>IF($O500="","",INDEX(资金台帐!$E$7:$E$3006,$O500))</f>
      </c>
      <c r="O500" s="78">
        <f>IFERROR(MATCH(497,资金台帐!$R$7:$R$3006,0),"")</f>
      </c>
    </row>
    <row r="501">
      <c r="A501" s="141">
        <f>IF($G501="","",498)</f>
      </c>
      <c r="B501" s="140">
        <f>IF($G501="","",INDEX(资金台帐!$B$7:$B$3006,$G501))</f>
      </c>
      <c r="C501" s="141">
        <f>IF($G501="","",INDEX(资金台帐!$J$7:$J$3006,$G501))</f>
      </c>
      <c r="D501" s="172">
        <f>IF($G501="","",INDEX(资金台帐!$S$7:$S$3006,$G501))</f>
      </c>
      <c r="E501" s="141">
        <f>IF($G501="","",INDEX(资金台帐!$C$7:$C$3006,$G501))</f>
      </c>
      <c r="F501" s="142">
        <f>IF($G501="","",INDEX(资金台帐!$E$7:$E$3006,$G501)&amp;IF(INDEX(资金台帐!$M$7:$M$3006,$G501)="","","；"&amp;INDEX(资金台帐!$M$7:$M$3006,$G501)))</f>
      </c>
      <c r="G501" s="78">
        <f>IFERROR(MATCH(498,资金台帐!$Q$7:$Q$3006,0),"")</f>
      </c>
      <c r="I501" s="141">
        <f>IF($O501="","",498)</f>
      </c>
      <c r="J501" s="140">
        <f>IF($O501="","",INDEX(资金台帐!$B$7:$B$3006,$O501))</f>
      </c>
      <c r="K501" s="141">
        <f>IF($O501="","",INDEX(资金台帐!$K$7:$K$3006,$O501))</f>
      </c>
      <c r="L501" s="172">
        <f>IF($O501="","",-INDEX(资金台帐!$S$7:$S$3006,$O501))</f>
      </c>
      <c r="M501" s="141">
        <f>IF($O501="","",INDEX(资金台帐!$C$7:$C$3006,$O501))</f>
      </c>
      <c r="N501" s="142">
        <f>IF($O501="","",INDEX(资金台帐!$E$7:$E$3006,$O501))</f>
      </c>
      <c r="O501" s="78">
        <f>IFERROR(MATCH(498,资金台帐!$R$7:$R$3006,0),"")</f>
      </c>
    </row>
    <row r="502">
      <c r="A502" s="141">
        <f>IF($G502="","",499)</f>
      </c>
      <c r="B502" s="140">
        <f>IF($G502="","",INDEX(资金台帐!$B$7:$B$3006,$G502))</f>
      </c>
      <c r="C502" s="141">
        <f>IF($G502="","",INDEX(资金台帐!$J$7:$J$3006,$G502))</f>
      </c>
      <c r="D502" s="172">
        <f>IF($G502="","",INDEX(资金台帐!$S$7:$S$3006,$G502))</f>
      </c>
      <c r="E502" s="141">
        <f>IF($G502="","",INDEX(资金台帐!$C$7:$C$3006,$G502))</f>
      </c>
      <c r="F502" s="142">
        <f>IF($G502="","",INDEX(资金台帐!$E$7:$E$3006,$G502)&amp;IF(INDEX(资金台帐!$M$7:$M$3006,$G502)="","","；"&amp;INDEX(资金台帐!$M$7:$M$3006,$G502)))</f>
      </c>
      <c r="G502" s="78">
        <f>IFERROR(MATCH(499,资金台帐!$Q$7:$Q$3006,0),"")</f>
      </c>
      <c r="I502" s="141">
        <f>IF($O502="","",499)</f>
      </c>
      <c r="J502" s="140">
        <f>IF($O502="","",INDEX(资金台帐!$B$7:$B$3006,$O502))</f>
      </c>
      <c r="K502" s="141">
        <f>IF($O502="","",INDEX(资金台帐!$K$7:$K$3006,$O502))</f>
      </c>
      <c r="L502" s="172">
        <f>IF($O502="","",-INDEX(资金台帐!$S$7:$S$3006,$O502))</f>
      </c>
      <c r="M502" s="141">
        <f>IF($O502="","",INDEX(资金台帐!$C$7:$C$3006,$O502))</f>
      </c>
      <c r="N502" s="142">
        <f>IF($O502="","",INDEX(资金台帐!$E$7:$E$3006,$O502))</f>
      </c>
      <c r="O502" s="78">
        <f>IFERROR(MATCH(499,资金台帐!$R$7:$R$3006,0),"")</f>
      </c>
    </row>
    <row r="503">
      <c r="A503" s="141">
        <f>IF($G503="","",500)</f>
      </c>
      <c r="B503" s="140">
        <f>IF($G503="","",INDEX(资金台帐!$B$7:$B$3006,$G503))</f>
      </c>
      <c r="C503" s="141">
        <f>IF($G503="","",INDEX(资金台帐!$J$7:$J$3006,$G503))</f>
      </c>
      <c r="D503" s="172">
        <f>IF($G503="","",INDEX(资金台帐!$S$7:$S$3006,$G503))</f>
      </c>
      <c r="E503" s="141">
        <f>IF($G503="","",INDEX(资金台帐!$C$7:$C$3006,$G503))</f>
      </c>
      <c r="F503" s="142">
        <f>IF($G503="","",INDEX(资金台帐!$E$7:$E$3006,$G503)&amp;IF(INDEX(资金台帐!$M$7:$M$3006,$G503)="","","；"&amp;INDEX(资金台帐!$M$7:$M$3006,$G503)))</f>
      </c>
      <c r="G503" s="78">
        <f>IFERROR(MATCH(500,资金台帐!$Q$7:$Q$3006,0),"")</f>
      </c>
      <c r="I503" s="141">
        <f>IF($O503="","",500)</f>
      </c>
      <c r="J503" s="140">
        <f>IF($O503="","",INDEX(资金台帐!$B$7:$B$3006,$O503))</f>
      </c>
      <c r="K503" s="141">
        <f>IF($O503="","",INDEX(资金台帐!$K$7:$K$3006,$O503))</f>
      </c>
      <c r="L503" s="172">
        <f>IF($O503="","",-INDEX(资金台帐!$S$7:$S$3006,$O503))</f>
      </c>
      <c r="M503" s="141">
        <f>IF($O503="","",INDEX(资金台帐!$C$7:$C$3006,$O503))</f>
      </c>
      <c r="N503" s="142">
        <f>IF($O503="","",INDEX(资金台帐!$E$7:$E$3006,$O503))</f>
      </c>
      <c r="O503" s="78">
        <f>IFERROR(MATCH(500,资金台帐!$R$7:$R$3006,0),"")</f>
      </c>
    </row>
    <row r="504">
      <c r="A504" s="141">
        <f>IF($G504="","",501)</f>
      </c>
      <c r="B504" s="140">
        <f>IF($G504="","",INDEX(资金台帐!$B$7:$B$3006,$G504))</f>
      </c>
      <c r="C504" s="141">
        <f>IF($G504="","",INDEX(资金台帐!$J$7:$J$3006,$G504))</f>
      </c>
      <c r="D504" s="172">
        <f>IF($G504="","",INDEX(资金台帐!$S$7:$S$3006,$G504))</f>
      </c>
      <c r="E504" s="141">
        <f>IF($G504="","",INDEX(资金台帐!$C$7:$C$3006,$G504))</f>
      </c>
      <c r="F504" s="142">
        <f>IF($G504="","",INDEX(资金台帐!$E$7:$E$3006,$G504)&amp;IF(INDEX(资金台帐!$M$7:$M$3006,$G504)="","","；"&amp;INDEX(资金台帐!$M$7:$M$3006,$G504)))</f>
      </c>
      <c r="G504" s="78">
        <f>IFERROR(MATCH(501,资金台帐!$Q$7:$Q$3006,0),"")</f>
      </c>
    </row>
    <row r="505">
      <c r="A505" s="141">
        <f>IF($G505="","",502)</f>
      </c>
      <c r="B505" s="140">
        <f>IF($G505="","",INDEX(资金台帐!$B$7:$B$3006,$G505))</f>
      </c>
      <c r="C505" s="141">
        <f>IF($G505="","",INDEX(资金台帐!$J$7:$J$3006,$G505))</f>
      </c>
      <c r="D505" s="172">
        <f>IF($G505="","",INDEX(资金台帐!$S$7:$S$3006,$G505))</f>
      </c>
      <c r="E505" s="141">
        <f>IF($G505="","",INDEX(资金台帐!$C$7:$C$3006,$G505))</f>
      </c>
      <c r="F505" s="142">
        <f>IF($G505="","",INDEX(资金台帐!$E$7:$E$3006,$G505)&amp;IF(INDEX(资金台帐!$M$7:$M$3006,$G505)="","","；"&amp;INDEX(资金台帐!$M$7:$M$3006,$G505)))</f>
      </c>
      <c r="G505" s="78">
        <f>IFERROR(MATCH(502,资金台帐!$Q$7:$Q$3006,0),"")</f>
      </c>
    </row>
    <row r="506">
      <c r="A506" s="141">
        <f>IF($G506="","",503)</f>
      </c>
      <c r="B506" s="140">
        <f>IF($G506="","",INDEX(资金台帐!$B$7:$B$3006,$G506))</f>
      </c>
      <c r="C506" s="141">
        <f>IF($G506="","",INDEX(资金台帐!$J$7:$J$3006,$G506))</f>
      </c>
      <c r="D506" s="172">
        <f>IF($G506="","",INDEX(资金台帐!$S$7:$S$3006,$G506))</f>
      </c>
      <c r="E506" s="141">
        <f>IF($G506="","",INDEX(资金台帐!$C$7:$C$3006,$G506))</f>
      </c>
      <c r="F506" s="142">
        <f>IF($G506="","",INDEX(资金台帐!$E$7:$E$3006,$G506)&amp;IF(INDEX(资金台帐!$M$7:$M$3006,$G506)="","","；"&amp;INDEX(资金台帐!$M$7:$M$3006,$G506)))</f>
      </c>
      <c r="G506" s="78">
        <f>IFERROR(MATCH(503,资金台帐!$Q$7:$Q$3006,0),"")</f>
      </c>
    </row>
    <row r="507">
      <c r="A507" s="141">
        <f>IF($G507="","",504)</f>
      </c>
      <c r="B507" s="140">
        <f>IF($G507="","",INDEX(资金台帐!$B$7:$B$3006,$G507))</f>
      </c>
      <c r="C507" s="141">
        <f>IF($G507="","",INDEX(资金台帐!$J$7:$J$3006,$G507))</f>
      </c>
      <c r="D507" s="172">
        <f>IF($G507="","",INDEX(资金台帐!$S$7:$S$3006,$G507))</f>
      </c>
      <c r="E507" s="141">
        <f>IF($G507="","",INDEX(资金台帐!$C$7:$C$3006,$G507))</f>
      </c>
      <c r="F507" s="142">
        <f>IF($G507="","",INDEX(资金台帐!$E$7:$E$3006,$G507)&amp;IF(INDEX(资金台帐!$M$7:$M$3006,$G507)="","","；"&amp;INDEX(资金台帐!$M$7:$M$3006,$G507)))</f>
      </c>
      <c r="G507" s="78">
        <f>IFERROR(MATCH(504,资金台帐!$Q$7:$Q$3006,0),"")</f>
      </c>
    </row>
    <row r="508">
      <c r="A508" s="141">
        <f>IF($G508="","",505)</f>
      </c>
      <c r="B508" s="140">
        <f>IF($G508="","",INDEX(资金台帐!$B$7:$B$3006,$G508))</f>
      </c>
      <c r="C508" s="141">
        <f>IF($G508="","",INDEX(资金台帐!$J$7:$J$3006,$G508))</f>
      </c>
      <c r="D508" s="172">
        <f>IF($G508="","",INDEX(资金台帐!$S$7:$S$3006,$G508))</f>
      </c>
      <c r="E508" s="141">
        <f>IF($G508="","",INDEX(资金台帐!$C$7:$C$3006,$G508))</f>
      </c>
      <c r="F508" s="142">
        <f>IF($G508="","",INDEX(资金台帐!$E$7:$E$3006,$G508)&amp;IF(INDEX(资金台帐!$M$7:$M$3006,$G508)="","","；"&amp;INDEX(资金台帐!$M$7:$M$3006,$G508)))</f>
      </c>
      <c r="G508" s="78">
        <f>IFERROR(MATCH(505,资金台帐!$Q$7:$Q$3006,0),"")</f>
      </c>
    </row>
    <row r="509">
      <c r="A509" s="141">
        <f>IF($G509="","",506)</f>
      </c>
      <c r="B509" s="140">
        <f>IF($G509="","",INDEX(资金台帐!$B$7:$B$3006,$G509))</f>
      </c>
      <c r="C509" s="141">
        <f>IF($G509="","",INDEX(资金台帐!$J$7:$J$3006,$G509))</f>
      </c>
      <c r="D509" s="172">
        <f>IF($G509="","",INDEX(资金台帐!$S$7:$S$3006,$G509))</f>
      </c>
      <c r="E509" s="141">
        <f>IF($G509="","",INDEX(资金台帐!$C$7:$C$3006,$G509))</f>
      </c>
      <c r="F509" s="142">
        <f>IF($G509="","",INDEX(资金台帐!$E$7:$E$3006,$G509)&amp;IF(INDEX(资金台帐!$M$7:$M$3006,$G509)="","","；"&amp;INDEX(资金台帐!$M$7:$M$3006,$G509)))</f>
      </c>
      <c r="G509" s="78">
        <f>IFERROR(MATCH(506,资金台帐!$Q$7:$Q$3006,0),"")</f>
      </c>
    </row>
    <row r="510">
      <c r="A510" s="141">
        <f>IF($G510="","",507)</f>
      </c>
      <c r="B510" s="140">
        <f>IF($G510="","",INDEX(资金台帐!$B$7:$B$3006,$G510))</f>
      </c>
      <c r="C510" s="141">
        <f>IF($G510="","",INDEX(资金台帐!$J$7:$J$3006,$G510))</f>
      </c>
      <c r="D510" s="172">
        <f>IF($G510="","",INDEX(资金台帐!$S$7:$S$3006,$G510))</f>
      </c>
      <c r="E510" s="141">
        <f>IF($G510="","",INDEX(资金台帐!$C$7:$C$3006,$G510))</f>
      </c>
      <c r="F510" s="142">
        <f>IF($G510="","",INDEX(资金台帐!$E$7:$E$3006,$G510)&amp;IF(INDEX(资金台帐!$M$7:$M$3006,$G510)="","","；"&amp;INDEX(资金台帐!$M$7:$M$3006,$G510)))</f>
      </c>
      <c r="G510" s="78">
        <f>IFERROR(MATCH(507,资金台帐!$Q$7:$Q$3006,0),"")</f>
      </c>
    </row>
    <row r="511">
      <c r="A511" s="141">
        <f>IF($G511="","",508)</f>
      </c>
      <c r="B511" s="140">
        <f>IF($G511="","",INDEX(资金台帐!$B$7:$B$3006,$G511))</f>
      </c>
      <c r="C511" s="141">
        <f>IF($G511="","",INDEX(资金台帐!$J$7:$J$3006,$G511))</f>
      </c>
      <c r="D511" s="172">
        <f>IF($G511="","",INDEX(资金台帐!$S$7:$S$3006,$G511))</f>
      </c>
      <c r="E511" s="141">
        <f>IF($G511="","",INDEX(资金台帐!$C$7:$C$3006,$G511))</f>
      </c>
      <c r="F511" s="142">
        <f>IF($G511="","",INDEX(资金台帐!$E$7:$E$3006,$G511)&amp;IF(INDEX(资金台帐!$M$7:$M$3006,$G511)="","","；"&amp;INDEX(资金台帐!$M$7:$M$3006,$G511)))</f>
      </c>
      <c r="G511" s="78">
        <f>IFERROR(MATCH(508,资金台帐!$Q$7:$Q$3006,0),"")</f>
      </c>
    </row>
    <row r="512">
      <c r="A512" s="141">
        <f>IF($G512="","",509)</f>
      </c>
      <c r="B512" s="140">
        <f>IF($G512="","",INDEX(资金台帐!$B$7:$B$3006,$G512))</f>
      </c>
      <c r="C512" s="141">
        <f>IF($G512="","",INDEX(资金台帐!$J$7:$J$3006,$G512))</f>
      </c>
      <c r="D512" s="172">
        <f>IF($G512="","",INDEX(资金台帐!$S$7:$S$3006,$G512))</f>
      </c>
      <c r="E512" s="141">
        <f>IF($G512="","",INDEX(资金台帐!$C$7:$C$3006,$G512))</f>
      </c>
      <c r="F512" s="142">
        <f>IF($G512="","",INDEX(资金台帐!$E$7:$E$3006,$G512)&amp;IF(INDEX(资金台帐!$M$7:$M$3006,$G512)="","","；"&amp;INDEX(资金台帐!$M$7:$M$3006,$G512)))</f>
      </c>
      <c r="G512" s="78">
        <f>IFERROR(MATCH(509,资金台帐!$Q$7:$Q$3006,0),"")</f>
      </c>
    </row>
    <row r="513">
      <c r="A513" s="141">
        <f>IF($G513="","",510)</f>
      </c>
      <c r="B513" s="140">
        <f>IF($G513="","",INDEX(资金台帐!$B$7:$B$3006,$G513))</f>
      </c>
      <c r="C513" s="141">
        <f>IF($G513="","",INDEX(资金台帐!$J$7:$J$3006,$G513))</f>
      </c>
      <c r="D513" s="172">
        <f>IF($G513="","",INDEX(资金台帐!$S$7:$S$3006,$G513))</f>
      </c>
      <c r="E513" s="141">
        <f>IF($G513="","",INDEX(资金台帐!$C$7:$C$3006,$G513))</f>
      </c>
      <c r="F513" s="142">
        <f>IF($G513="","",INDEX(资金台帐!$E$7:$E$3006,$G513)&amp;IF(INDEX(资金台帐!$M$7:$M$3006,$G513)="","","；"&amp;INDEX(资金台帐!$M$7:$M$3006,$G513)))</f>
      </c>
      <c r="G513" s="78">
        <f>IFERROR(MATCH(510,资金台帐!$Q$7:$Q$3006,0),"")</f>
      </c>
    </row>
    <row r="514">
      <c r="A514" s="141">
        <f>IF($G514="","",511)</f>
      </c>
      <c r="B514" s="140">
        <f>IF($G514="","",INDEX(资金台帐!$B$7:$B$3006,$G514))</f>
      </c>
      <c r="C514" s="141">
        <f>IF($G514="","",INDEX(资金台帐!$J$7:$J$3006,$G514))</f>
      </c>
      <c r="D514" s="172">
        <f>IF($G514="","",INDEX(资金台帐!$S$7:$S$3006,$G514))</f>
      </c>
      <c r="E514" s="141">
        <f>IF($G514="","",INDEX(资金台帐!$C$7:$C$3006,$G514))</f>
      </c>
      <c r="F514" s="142">
        <f>IF($G514="","",INDEX(资金台帐!$E$7:$E$3006,$G514)&amp;IF(INDEX(资金台帐!$M$7:$M$3006,$G514)="","","；"&amp;INDEX(资金台帐!$M$7:$M$3006,$G514)))</f>
      </c>
      <c r="G514" s="78">
        <f>IFERROR(MATCH(511,资金台帐!$Q$7:$Q$3006,0),"")</f>
      </c>
    </row>
    <row r="515">
      <c r="A515" s="141">
        <f>IF($G515="","",512)</f>
      </c>
      <c r="B515" s="140">
        <f>IF($G515="","",INDEX(资金台帐!$B$7:$B$3006,$G515))</f>
      </c>
      <c r="C515" s="141">
        <f>IF($G515="","",INDEX(资金台帐!$J$7:$J$3006,$G515))</f>
      </c>
      <c r="D515" s="172">
        <f>IF($G515="","",INDEX(资金台帐!$S$7:$S$3006,$G515))</f>
      </c>
      <c r="E515" s="141">
        <f>IF($G515="","",INDEX(资金台帐!$C$7:$C$3006,$G515))</f>
      </c>
      <c r="F515" s="142">
        <f>IF($G515="","",INDEX(资金台帐!$E$7:$E$3006,$G515)&amp;IF(INDEX(资金台帐!$M$7:$M$3006,$G515)="","","；"&amp;INDEX(资金台帐!$M$7:$M$3006,$G515)))</f>
      </c>
      <c r="G515" s="78">
        <f>IFERROR(MATCH(512,资金台帐!$Q$7:$Q$3006,0),"")</f>
      </c>
    </row>
    <row r="516">
      <c r="A516" s="141">
        <f>IF($G516="","",513)</f>
      </c>
      <c r="B516" s="140">
        <f>IF($G516="","",INDEX(资金台帐!$B$7:$B$3006,$G516))</f>
      </c>
      <c r="C516" s="141">
        <f>IF($G516="","",INDEX(资金台帐!$J$7:$J$3006,$G516))</f>
      </c>
      <c r="D516" s="172">
        <f>IF($G516="","",INDEX(资金台帐!$S$7:$S$3006,$G516))</f>
      </c>
      <c r="E516" s="141">
        <f>IF($G516="","",INDEX(资金台帐!$C$7:$C$3006,$G516))</f>
      </c>
      <c r="F516" s="142">
        <f>IF($G516="","",INDEX(资金台帐!$E$7:$E$3006,$G516)&amp;IF(INDEX(资金台帐!$M$7:$M$3006,$G516)="","","；"&amp;INDEX(资金台帐!$M$7:$M$3006,$G516)))</f>
      </c>
      <c r="G516" s="78">
        <f>IFERROR(MATCH(513,资金台帐!$Q$7:$Q$3006,0),"")</f>
      </c>
    </row>
    <row r="517">
      <c r="A517" s="141">
        <f>IF($G517="","",514)</f>
      </c>
      <c r="B517" s="140">
        <f>IF($G517="","",INDEX(资金台帐!$B$7:$B$3006,$G517))</f>
      </c>
      <c r="C517" s="141">
        <f>IF($G517="","",INDEX(资金台帐!$J$7:$J$3006,$G517))</f>
      </c>
      <c r="D517" s="172">
        <f>IF($G517="","",INDEX(资金台帐!$S$7:$S$3006,$G517))</f>
      </c>
      <c r="E517" s="141">
        <f>IF($G517="","",INDEX(资金台帐!$C$7:$C$3006,$G517))</f>
      </c>
      <c r="F517" s="142">
        <f>IF($G517="","",INDEX(资金台帐!$E$7:$E$3006,$G517)&amp;IF(INDEX(资金台帐!$M$7:$M$3006,$G517)="","","；"&amp;INDEX(资金台帐!$M$7:$M$3006,$G517)))</f>
      </c>
      <c r="G517" s="78">
        <f>IFERROR(MATCH(514,资金台帐!$Q$7:$Q$3006,0),"")</f>
      </c>
    </row>
    <row r="518">
      <c r="A518" s="141">
        <f>IF($G518="","",515)</f>
      </c>
      <c r="B518" s="140">
        <f>IF($G518="","",INDEX(资金台帐!$B$7:$B$3006,$G518))</f>
      </c>
      <c r="C518" s="141">
        <f>IF($G518="","",INDEX(资金台帐!$J$7:$J$3006,$G518))</f>
      </c>
      <c r="D518" s="172">
        <f>IF($G518="","",INDEX(资金台帐!$S$7:$S$3006,$G518))</f>
      </c>
      <c r="E518" s="141">
        <f>IF($G518="","",INDEX(资金台帐!$C$7:$C$3006,$G518))</f>
      </c>
      <c r="F518" s="142">
        <f>IF($G518="","",INDEX(资金台帐!$E$7:$E$3006,$G518)&amp;IF(INDEX(资金台帐!$M$7:$M$3006,$G518)="","","；"&amp;INDEX(资金台帐!$M$7:$M$3006,$G518)))</f>
      </c>
      <c r="G518" s="78">
        <f>IFERROR(MATCH(515,资金台帐!$Q$7:$Q$3006,0),"")</f>
      </c>
    </row>
    <row r="519">
      <c r="A519" s="141">
        <f>IF($G519="","",516)</f>
      </c>
      <c r="B519" s="140">
        <f>IF($G519="","",INDEX(资金台帐!$B$7:$B$3006,$G519))</f>
      </c>
      <c r="C519" s="141">
        <f>IF($G519="","",INDEX(资金台帐!$J$7:$J$3006,$G519))</f>
      </c>
      <c r="D519" s="172">
        <f>IF($G519="","",INDEX(资金台帐!$S$7:$S$3006,$G519))</f>
      </c>
      <c r="E519" s="141">
        <f>IF($G519="","",INDEX(资金台帐!$C$7:$C$3006,$G519))</f>
      </c>
      <c r="F519" s="142">
        <f>IF($G519="","",INDEX(资金台帐!$E$7:$E$3006,$G519)&amp;IF(INDEX(资金台帐!$M$7:$M$3006,$G519)="","","；"&amp;INDEX(资金台帐!$M$7:$M$3006,$G519)))</f>
      </c>
      <c r="G519" s="78">
        <f>IFERROR(MATCH(516,资金台帐!$Q$7:$Q$3006,0),"")</f>
      </c>
    </row>
    <row r="520">
      <c r="A520" s="141">
        <f>IF($G520="","",517)</f>
      </c>
      <c r="B520" s="140">
        <f>IF($G520="","",INDEX(资金台帐!$B$7:$B$3006,$G520))</f>
      </c>
      <c r="C520" s="141">
        <f>IF($G520="","",INDEX(资金台帐!$J$7:$J$3006,$G520))</f>
      </c>
      <c r="D520" s="172">
        <f>IF($G520="","",INDEX(资金台帐!$S$7:$S$3006,$G520))</f>
      </c>
      <c r="E520" s="141">
        <f>IF($G520="","",INDEX(资金台帐!$C$7:$C$3006,$G520))</f>
      </c>
      <c r="F520" s="142">
        <f>IF($G520="","",INDEX(资金台帐!$E$7:$E$3006,$G520)&amp;IF(INDEX(资金台帐!$M$7:$M$3006,$G520)="","","；"&amp;INDEX(资金台帐!$M$7:$M$3006,$G520)))</f>
      </c>
      <c r="G520" s="78">
        <f>IFERROR(MATCH(517,资金台帐!$Q$7:$Q$3006,0),"")</f>
      </c>
    </row>
    <row r="521">
      <c r="A521" s="141">
        <f>IF($G521="","",518)</f>
      </c>
      <c r="B521" s="140">
        <f>IF($G521="","",INDEX(资金台帐!$B$7:$B$3006,$G521))</f>
      </c>
      <c r="C521" s="141">
        <f>IF($G521="","",INDEX(资金台帐!$J$7:$J$3006,$G521))</f>
      </c>
      <c r="D521" s="172">
        <f>IF($G521="","",INDEX(资金台帐!$S$7:$S$3006,$G521))</f>
      </c>
      <c r="E521" s="141">
        <f>IF($G521="","",INDEX(资金台帐!$C$7:$C$3006,$G521))</f>
      </c>
      <c r="F521" s="142">
        <f>IF($G521="","",INDEX(资金台帐!$E$7:$E$3006,$G521)&amp;IF(INDEX(资金台帐!$M$7:$M$3006,$G521)="","","；"&amp;INDEX(资金台帐!$M$7:$M$3006,$G521)))</f>
      </c>
      <c r="G521" s="78">
        <f>IFERROR(MATCH(518,资金台帐!$Q$7:$Q$3006,0),"")</f>
      </c>
    </row>
    <row r="522">
      <c r="A522" s="141">
        <f>IF($G522="","",519)</f>
      </c>
      <c r="B522" s="140">
        <f>IF($G522="","",INDEX(资金台帐!$B$7:$B$3006,$G522))</f>
      </c>
      <c r="C522" s="141">
        <f>IF($G522="","",INDEX(资金台帐!$J$7:$J$3006,$G522))</f>
      </c>
      <c r="D522" s="172">
        <f>IF($G522="","",INDEX(资金台帐!$S$7:$S$3006,$G522))</f>
      </c>
      <c r="E522" s="141">
        <f>IF($G522="","",INDEX(资金台帐!$C$7:$C$3006,$G522))</f>
      </c>
      <c r="F522" s="142">
        <f>IF($G522="","",INDEX(资金台帐!$E$7:$E$3006,$G522)&amp;IF(INDEX(资金台帐!$M$7:$M$3006,$G522)="","","；"&amp;INDEX(资金台帐!$M$7:$M$3006,$G522)))</f>
      </c>
      <c r="G522" s="78">
        <f>IFERROR(MATCH(519,资金台帐!$Q$7:$Q$3006,0),"")</f>
      </c>
    </row>
    <row r="523">
      <c r="A523" s="141">
        <f>IF($G523="","",520)</f>
      </c>
      <c r="B523" s="140">
        <f>IF($G523="","",INDEX(资金台帐!$B$7:$B$3006,$G523))</f>
      </c>
      <c r="C523" s="141">
        <f>IF($G523="","",INDEX(资金台帐!$J$7:$J$3006,$G523))</f>
      </c>
      <c r="D523" s="172">
        <f>IF($G523="","",INDEX(资金台帐!$S$7:$S$3006,$G523))</f>
      </c>
      <c r="E523" s="141">
        <f>IF($G523="","",INDEX(资金台帐!$C$7:$C$3006,$G523))</f>
      </c>
      <c r="F523" s="142">
        <f>IF($G523="","",INDEX(资金台帐!$E$7:$E$3006,$G523)&amp;IF(INDEX(资金台帐!$M$7:$M$3006,$G523)="","","；"&amp;INDEX(资金台帐!$M$7:$M$3006,$G523)))</f>
      </c>
      <c r="G523" s="78">
        <f>IFERROR(MATCH(520,资金台帐!$Q$7:$Q$3006,0),"")</f>
      </c>
    </row>
    <row r="524">
      <c r="A524" s="141">
        <f>IF($G524="","",521)</f>
      </c>
      <c r="B524" s="140">
        <f>IF($G524="","",INDEX(资金台帐!$B$7:$B$3006,$G524))</f>
      </c>
      <c r="C524" s="141">
        <f>IF($G524="","",INDEX(资金台帐!$J$7:$J$3006,$G524))</f>
      </c>
      <c r="D524" s="172">
        <f>IF($G524="","",INDEX(资金台帐!$S$7:$S$3006,$G524))</f>
      </c>
      <c r="E524" s="141">
        <f>IF($G524="","",INDEX(资金台帐!$C$7:$C$3006,$G524))</f>
      </c>
      <c r="F524" s="142">
        <f>IF($G524="","",INDEX(资金台帐!$E$7:$E$3006,$G524)&amp;IF(INDEX(资金台帐!$M$7:$M$3006,$G524)="","","；"&amp;INDEX(资金台帐!$M$7:$M$3006,$G524)))</f>
      </c>
      <c r="G524" s="78">
        <f>IFERROR(MATCH(521,资金台帐!$Q$7:$Q$3006,0),"")</f>
      </c>
    </row>
    <row r="525">
      <c r="A525" s="141">
        <f>IF($G525="","",522)</f>
      </c>
      <c r="B525" s="140">
        <f>IF($G525="","",INDEX(资金台帐!$B$7:$B$3006,$G525))</f>
      </c>
      <c r="C525" s="141">
        <f>IF($G525="","",INDEX(资金台帐!$J$7:$J$3006,$G525))</f>
      </c>
      <c r="D525" s="172">
        <f>IF($G525="","",INDEX(资金台帐!$S$7:$S$3006,$G525))</f>
      </c>
      <c r="E525" s="141">
        <f>IF($G525="","",INDEX(资金台帐!$C$7:$C$3006,$G525))</f>
      </c>
      <c r="F525" s="142">
        <f>IF($G525="","",INDEX(资金台帐!$E$7:$E$3006,$G525)&amp;IF(INDEX(资金台帐!$M$7:$M$3006,$G525)="","","；"&amp;INDEX(资金台帐!$M$7:$M$3006,$G525)))</f>
      </c>
      <c r="G525" s="78">
        <f>IFERROR(MATCH(522,资金台帐!$Q$7:$Q$3006,0),"")</f>
      </c>
    </row>
    <row r="526">
      <c r="A526" s="141">
        <f>IF($G526="","",523)</f>
      </c>
      <c r="B526" s="140">
        <f>IF($G526="","",INDEX(资金台帐!$B$7:$B$3006,$G526))</f>
      </c>
      <c r="C526" s="141">
        <f>IF($G526="","",INDEX(资金台帐!$J$7:$J$3006,$G526))</f>
      </c>
      <c r="D526" s="172">
        <f>IF($G526="","",INDEX(资金台帐!$S$7:$S$3006,$G526))</f>
      </c>
      <c r="E526" s="141">
        <f>IF($G526="","",INDEX(资金台帐!$C$7:$C$3006,$G526))</f>
      </c>
      <c r="F526" s="142">
        <f>IF($G526="","",INDEX(资金台帐!$E$7:$E$3006,$G526)&amp;IF(INDEX(资金台帐!$M$7:$M$3006,$G526)="","","；"&amp;INDEX(资金台帐!$M$7:$M$3006,$G526)))</f>
      </c>
      <c r="G526" s="78">
        <f>IFERROR(MATCH(523,资金台帐!$Q$7:$Q$3006,0),"")</f>
      </c>
    </row>
    <row r="527">
      <c r="A527" s="141">
        <f>IF($G527="","",524)</f>
      </c>
      <c r="B527" s="140">
        <f>IF($G527="","",INDEX(资金台帐!$B$7:$B$3006,$G527))</f>
      </c>
      <c r="C527" s="141">
        <f>IF($G527="","",INDEX(资金台帐!$J$7:$J$3006,$G527))</f>
      </c>
      <c r="D527" s="172">
        <f>IF($G527="","",INDEX(资金台帐!$S$7:$S$3006,$G527))</f>
      </c>
      <c r="E527" s="141">
        <f>IF($G527="","",INDEX(资金台帐!$C$7:$C$3006,$G527))</f>
      </c>
      <c r="F527" s="142">
        <f>IF($G527="","",INDEX(资金台帐!$E$7:$E$3006,$G527)&amp;IF(INDEX(资金台帐!$M$7:$M$3006,$G527)="","","；"&amp;INDEX(资金台帐!$M$7:$M$3006,$G527)))</f>
      </c>
      <c r="G527" s="78">
        <f>IFERROR(MATCH(524,资金台帐!$Q$7:$Q$3006,0),"")</f>
      </c>
    </row>
    <row r="528">
      <c r="A528" s="141">
        <f>IF($G528="","",525)</f>
      </c>
      <c r="B528" s="140">
        <f>IF($G528="","",INDEX(资金台帐!$B$7:$B$3006,$G528))</f>
      </c>
      <c r="C528" s="141">
        <f>IF($G528="","",INDEX(资金台帐!$J$7:$J$3006,$G528))</f>
      </c>
      <c r="D528" s="172">
        <f>IF($G528="","",INDEX(资金台帐!$S$7:$S$3006,$G528))</f>
      </c>
      <c r="E528" s="141">
        <f>IF($G528="","",INDEX(资金台帐!$C$7:$C$3006,$G528))</f>
      </c>
      <c r="F528" s="142">
        <f>IF($G528="","",INDEX(资金台帐!$E$7:$E$3006,$G528)&amp;IF(INDEX(资金台帐!$M$7:$M$3006,$G528)="","","；"&amp;INDEX(资金台帐!$M$7:$M$3006,$G528)))</f>
      </c>
      <c r="G528" s="78">
        <f>IFERROR(MATCH(525,资金台帐!$Q$7:$Q$3006,0),"")</f>
      </c>
    </row>
    <row r="529">
      <c r="A529" s="141">
        <f>IF($G529="","",526)</f>
      </c>
      <c r="B529" s="140">
        <f>IF($G529="","",INDEX(资金台帐!$B$7:$B$3006,$G529))</f>
      </c>
      <c r="C529" s="141">
        <f>IF($G529="","",INDEX(资金台帐!$J$7:$J$3006,$G529))</f>
      </c>
      <c r="D529" s="172">
        <f>IF($G529="","",INDEX(资金台帐!$S$7:$S$3006,$G529))</f>
      </c>
      <c r="E529" s="141">
        <f>IF($G529="","",INDEX(资金台帐!$C$7:$C$3006,$G529))</f>
      </c>
      <c r="F529" s="142">
        <f>IF($G529="","",INDEX(资金台帐!$E$7:$E$3006,$G529)&amp;IF(INDEX(资金台帐!$M$7:$M$3006,$G529)="","","；"&amp;INDEX(资金台帐!$M$7:$M$3006,$G529)))</f>
      </c>
      <c r="G529" s="78">
        <f>IFERROR(MATCH(526,资金台帐!$Q$7:$Q$3006,0),"")</f>
      </c>
    </row>
    <row r="530">
      <c r="A530" s="141">
        <f>IF($G530="","",527)</f>
      </c>
      <c r="B530" s="140">
        <f>IF($G530="","",INDEX(资金台帐!$B$7:$B$3006,$G530))</f>
      </c>
      <c r="C530" s="141">
        <f>IF($G530="","",INDEX(资金台帐!$J$7:$J$3006,$G530))</f>
      </c>
      <c r="D530" s="172">
        <f>IF($G530="","",INDEX(资金台帐!$S$7:$S$3006,$G530))</f>
      </c>
      <c r="E530" s="141">
        <f>IF($G530="","",INDEX(资金台帐!$C$7:$C$3006,$G530))</f>
      </c>
      <c r="F530" s="142">
        <f>IF($G530="","",INDEX(资金台帐!$E$7:$E$3006,$G530)&amp;IF(INDEX(资金台帐!$M$7:$M$3006,$G530)="","","；"&amp;INDEX(资金台帐!$M$7:$M$3006,$G530)))</f>
      </c>
      <c r="G530" s="78">
        <f>IFERROR(MATCH(527,资金台帐!$Q$7:$Q$3006,0),"")</f>
      </c>
    </row>
    <row r="531">
      <c r="A531" s="141">
        <f>IF($G531="","",528)</f>
      </c>
      <c r="B531" s="140">
        <f>IF($G531="","",INDEX(资金台帐!$B$7:$B$3006,$G531))</f>
      </c>
      <c r="C531" s="141">
        <f>IF($G531="","",INDEX(资金台帐!$J$7:$J$3006,$G531))</f>
      </c>
      <c r="D531" s="172">
        <f>IF($G531="","",INDEX(资金台帐!$S$7:$S$3006,$G531))</f>
      </c>
      <c r="E531" s="141">
        <f>IF($G531="","",INDEX(资金台帐!$C$7:$C$3006,$G531))</f>
      </c>
      <c r="F531" s="142">
        <f>IF($G531="","",INDEX(资金台帐!$E$7:$E$3006,$G531)&amp;IF(INDEX(资金台帐!$M$7:$M$3006,$G531)="","","；"&amp;INDEX(资金台帐!$M$7:$M$3006,$G531)))</f>
      </c>
      <c r="G531" s="78">
        <f>IFERROR(MATCH(528,资金台帐!$Q$7:$Q$3006,0),"")</f>
      </c>
    </row>
    <row r="532">
      <c r="A532" s="141">
        <f>IF($G532="","",529)</f>
      </c>
      <c r="B532" s="140">
        <f>IF($G532="","",INDEX(资金台帐!$B$7:$B$3006,$G532))</f>
      </c>
      <c r="C532" s="141">
        <f>IF($G532="","",INDEX(资金台帐!$J$7:$J$3006,$G532))</f>
      </c>
      <c r="D532" s="172">
        <f>IF($G532="","",INDEX(资金台帐!$S$7:$S$3006,$G532))</f>
      </c>
      <c r="E532" s="141">
        <f>IF($G532="","",INDEX(资金台帐!$C$7:$C$3006,$G532))</f>
      </c>
      <c r="F532" s="142">
        <f>IF($G532="","",INDEX(资金台帐!$E$7:$E$3006,$G532)&amp;IF(INDEX(资金台帐!$M$7:$M$3006,$G532)="","","；"&amp;INDEX(资金台帐!$M$7:$M$3006,$G532)))</f>
      </c>
      <c r="G532" s="78">
        <f>IFERROR(MATCH(529,资金台帐!$Q$7:$Q$3006,0),"")</f>
      </c>
    </row>
    <row r="533">
      <c r="A533" s="141">
        <f>IF($G533="","",530)</f>
      </c>
      <c r="B533" s="140">
        <f>IF($G533="","",INDEX(资金台帐!$B$7:$B$3006,$G533))</f>
      </c>
      <c r="C533" s="141">
        <f>IF($G533="","",INDEX(资金台帐!$J$7:$J$3006,$G533))</f>
      </c>
      <c r="D533" s="172">
        <f>IF($G533="","",INDEX(资金台帐!$S$7:$S$3006,$G533))</f>
      </c>
      <c r="E533" s="141">
        <f>IF($G533="","",INDEX(资金台帐!$C$7:$C$3006,$G533))</f>
      </c>
      <c r="F533" s="142">
        <f>IF($G533="","",INDEX(资金台帐!$E$7:$E$3006,$G533)&amp;IF(INDEX(资金台帐!$M$7:$M$3006,$G533)="","","；"&amp;INDEX(资金台帐!$M$7:$M$3006,$G533)))</f>
      </c>
      <c r="G533" s="78">
        <f>IFERROR(MATCH(530,资金台帐!$Q$7:$Q$3006,0),"")</f>
      </c>
    </row>
    <row r="534">
      <c r="A534" s="141">
        <f>IF($G534="","",531)</f>
      </c>
      <c r="B534" s="140">
        <f>IF($G534="","",INDEX(资金台帐!$B$7:$B$3006,$G534))</f>
      </c>
      <c r="C534" s="141">
        <f>IF($G534="","",INDEX(资金台帐!$J$7:$J$3006,$G534))</f>
      </c>
      <c r="D534" s="172">
        <f>IF($G534="","",INDEX(资金台帐!$S$7:$S$3006,$G534))</f>
      </c>
      <c r="E534" s="141">
        <f>IF($G534="","",INDEX(资金台帐!$C$7:$C$3006,$G534))</f>
      </c>
      <c r="F534" s="142">
        <f>IF($G534="","",INDEX(资金台帐!$E$7:$E$3006,$G534)&amp;IF(INDEX(资金台帐!$M$7:$M$3006,$G534)="","","；"&amp;INDEX(资金台帐!$M$7:$M$3006,$G534)))</f>
      </c>
      <c r="G534" s="78">
        <f>IFERROR(MATCH(531,资金台帐!$Q$7:$Q$3006,0),"")</f>
      </c>
    </row>
    <row r="535">
      <c r="A535" s="141">
        <f>IF($G535="","",532)</f>
      </c>
      <c r="B535" s="140">
        <f>IF($G535="","",INDEX(资金台帐!$B$7:$B$3006,$G535))</f>
      </c>
      <c r="C535" s="141">
        <f>IF($G535="","",INDEX(资金台帐!$J$7:$J$3006,$G535))</f>
      </c>
      <c r="D535" s="172">
        <f>IF($G535="","",INDEX(资金台帐!$S$7:$S$3006,$G535))</f>
      </c>
      <c r="E535" s="141">
        <f>IF($G535="","",INDEX(资金台帐!$C$7:$C$3006,$G535))</f>
      </c>
      <c r="F535" s="142">
        <f>IF($G535="","",INDEX(资金台帐!$E$7:$E$3006,$G535)&amp;IF(INDEX(资金台帐!$M$7:$M$3006,$G535)="","","；"&amp;INDEX(资金台帐!$M$7:$M$3006,$G535)))</f>
      </c>
      <c r="G535" s="78">
        <f>IFERROR(MATCH(532,资金台帐!$Q$7:$Q$3006,0),"")</f>
      </c>
    </row>
    <row r="536">
      <c r="A536" s="141">
        <f>IF($G536="","",533)</f>
      </c>
      <c r="B536" s="140">
        <f>IF($G536="","",INDEX(资金台帐!$B$7:$B$3006,$G536))</f>
      </c>
      <c r="C536" s="141">
        <f>IF($G536="","",INDEX(资金台帐!$J$7:$J$3006,$G536))</f>
      </c>
      <c r="D536" s="172">
        <f>IF($G536="","",INDEX(资金台帐!$S$7:$S$3006,$G536))</f>
      </c>
      <c r="E536" s="141">
        <f>IF($G536="","",INDEX(资金台帐!$C$7:$C$3006,$G536))</f>
      </c>
      <c r="F536" s="142">
        <f>IF($G536="","",INDEX(资金台帐!$E$7:$E$3006,$G536)&amp;IF(INDEX(资金台帐!$M$7:$M$3006,$G536)="","","；"&amp;INDEX(资金台帐!$M$7:$M$3006,$G536)))</f>
      </c>
      <c r="G536" s="78">
        <f>IFERROR(MATCH(533,资金台帐!$Q$7:$Q$3006,0),"")</f>
      </c>
    </row>
    <row r="537">
      <c r="A537" s="141">
        <f>IF($G537="","",534)</f>
      </c>
      <c r="B537" s="140">
        <f>IF($G537="","",INDEX(资金台帐!$B$7:$B$3006,$G537))</f>
      </c>
      <c r="C537" s="141">
        <f>IF($G537="","",INDEX(资金台帐!$J$7:$J$3006,$G537))</f>
      </c>
      <c r="D537" s="172">
        <f>IF($G537="","",INDEX(资金台帐!$S$7:$S$3006,$G537))</f>
      </c>
      <c r="E537" s="141">
        <f>IF($G537="","",INDEX(资金台帐!$C$7:$C$3006,$G537))</f>
      </c>
      <c r="F537" s="142">
        <f>IF($G537="","",INDEX(资金台帐!$E$7:$E$3006,$G537)&amp;IF(INDEX(资金台帐!$M$7:$M$3006,$G537)="","","；"&amp;INDEX(资金台帐!$M$7:$M$3006,$G537)))</f>
      </c>
      <c r="G537" s="78">
        <f>IFERROR(MATCH(534,资金台帐!$Q$7:$Q$3006,0),"")</f>
      </c>
    </row>
    <row r="538">
      <c r="A538" s="141">
        <f>IF($G538="","",535)</f>
      </c>
      <c r="B538" s="140">
        <f>IF($G538="","",INDEX(资金台帐!$B$7:$B$3006,$G538))</f>
      </c>
      <c r="C538" s="141">
        <f>IF($G538="","",INDEX(资金台帐!$J$7:$J$3006,$G538))</f>
      </c>
      <c r="D538" s="172">
        <f>IF($G538="","",INDEX(资金台帐!$S$7:$S$3006,$G538))</f>
      </c>
      <c r="E538" s="141">
        <f>IF($G538="","",INDEX(资金台帐!$C$7:$C$3006,$G538))</f>
      </c>
      <c r="F538" s="142">
        <f>IF($G538="","",INDEX(资金台帐!$E$7:$E$3006,$G538)&amp;IF(INDEX(资金台帐!$M$7:$M$3006,$G538)="","","；"&amp;INDEX(资金台帐!$M$7:$M$3006,$G538)))</f>
      </c>
      <c r="G538" s="78">
        <f>IFERROR(MATCH(535,资金台帐!$Q$7:$Q$3006,0),"")</f>
      </c>
    </row>
    <row r="539">
      <c r="A539" s="141">
        <f>IF($G539="","",536)</f>
      </c>
      <c r="B539" s="140">
        <f>IF($G539="","",INDEX(资金台帐!$B$7:$B$3006,$G539))</f>
      </c>
      <c r="C539" s="141">
        <f>IF($G539="","",INDEX(资金台帐!$J$7:$J$3006,$G539))</f>
      </c>
      <c r="D539" s="172">
        <f>IF($G539="","",INDEX(资金台帐!$S$7:$S$3006,$G539))</f>
      </c>
      <c r="E539" s="141">
        <f>IF($G539="","",INDEX(资金台帐!$C$7:$C$3006,$G539))</f>
      </c>
      <c r="F539" s="142">
        <f>IF($G539="","",INDEX(资金台帐!$E$7:$E$3006,$G539)&amp;IF(INDEX(资金台帐!$M$7:$M$3006,$G539)="","","；"&amp;INDEX(资金台帐!$M$7:$M$3006,$G539)))</f>
      </c>
      <c r="G539" s="78">
        <f>IFERROR(MATCH(536,资金台帐!$Q$7:$Q$3006,0),"")</f>
      </c>
    </row>
    <row r="540">
      <c r="A540" s="141">
        <f>IF($G540="","",537)</f>
      </c>
      <c r="B540" s="140">
        <f>IF($G540="","",INDEX(资金台帐!$B$7:$B$3006,$G540))</f>
      </c>
      <c r="C540" s="141">
        <f>IF($G540="","",INDEX(资金台帐!$J$7:$J$3006,$G540))</f>
      </c>
      <c r="D540" s="172">
        <f>IF($G540="","",INDEX(资金台帐!$S$7:$S$3006,$G540))</f>
      </c>
      <c r="E540" s="141">
        <f>IF($G540="","",INDEX(资金台帐!$C$7:$C$3006,$G540))</f>
      </c>
      <c r="F540" s="142">
        <f>IF($G540="","",INDEX(资金台帐!$E$7:$E$3006,$G540)&amp;IF(INDEX(资金台帐!$M$7:$M$3006,$G540)="","","；"&amp;INDEX(资金台帐!$M$7:$M$3006,$G540)))</f>
      </c>
      <c r="G540" s="78">
        <f>IFERROR(MATCH(537,资金台帐!$Q$7:$Q$3006,0),"")</f>
      </c>
    </row>
    <row r="541">
      <c r="A541" s="141">
        <f>IF($G541="","",538)</f>
      </c>
      <c r="B541" s="140">
        <f>IF($G541="","",INDEX(资金台帐!$B$7:$B$3006,$G541))</f>
      </c>
      <c r="C541" s="141">
        <f>IF($G541="","",INDEX(资金台帐!$J$7:$J$3006,$G541))</f>
      </c>
      <c r="D541" s="172">
        <f>IF($G541="","",INDEX(资金台帐!$S$7:$S$3006,$G541))</f>
      </c>
      <c r="E541" s="141">
        <f>IF($G541="","",INDEX(资金台帐!$C$7:$C$3006,$G541))</f>
      </c>
      <c r="F541" s="142">
        <f>IF($G541="","",INDEX(资金台帐!$E$7:$E$3006,$G541)&amp;IF(INDEX(资金台帐!$M$7:$M$3006,$G541)="","","；"&amp;INDEX(资金台帐!$M$7:$M$3006,$G541)))</f>
      </c>
      <c r="G541" s="78">
        <f>IFERROR(MATCH(538,资金台帐!$Q$7:$Q$3006,0),"")</f>
      </c>
    </row>
    <row r="542">
      <c r="A542" s="141">
        <f>IF($G542="","",539)</f>
      </c>
      <c r="B542" s="140">
        <f>IF($G542="","",INDEX(资金台帐!$B$7:$B$3006,$G542))</f>
      </c>
      <c r="C542" s="141">
        <f>IF($G542="","",INDEX(资金台帐!$J$7:$J$3006,$G542))</f>
      </c>
      <c r="D542" s="172">
        <f>IF($G542="","",INDEX(资金台帐!$S$7:$S$3006,$G542))</f>
      </c>
      <c r="E542" s="141">
        <f>IF($G542="","",INDEX(资金台帐!$C$7:$C$3006,$G542))</f>
      </c>
      <c r="F542" s="142">
        <f>IF($G542="","",INDEX(资金台帐!$E$7:$E$3006,$G542)&amp;IF(INDEX(资金台帐!$M$7:$M$3006,$G542)="","","；"&amp;INDEX(资金台帐!$M$7:$M$3006,$G542)))</f>
      </c>
      <c r="G542" s="78">
        <f>IFERROR(MATCH(539,资金台帐!$Q$7:$Q$3006,0),"")</f>
      </c>
    </row>
    <row r="543">
      <c r="A543" s="141">
        <f>IF($G543="","",540)</f>
      </c>
      <c r="B543" s="140">
        <f>IF($G543="","",INDEX(资金台帐!$B$7:$B$3006,$G543))</f>
      </c>
      <c r="C543" s="141">
        <f>IF($G543="","",INDEX(资金台帐!$J$7:$J$3006,$G543))</f>
      </c>
      <c r="D543" s="172">
        <f>IF($G543="","",INDEX(资金台帐!$S$7:$S$3006,$G543))</f>
      </c>
      <c r="E543" s="141">
        <f>IF($G543="","",INDEX(资金台帐!$C$7:$C$3006,$G543))</f>
      </c>
      <c r="F543" s="142">
        <f>IF($G543="","",INDEX(资金台帐!$E$7:$E$3006,$G543)&amp;IF(INDEX(资金台帐!$M$7:$M$3006,$G543)="","","；"&amp;INDEX(资金台帐!$M$7:$M$3006,$G543)))</f>
      </c>
      <c r="G543" s="78">
        <f>IFERROR(MATCH(540,资金台帐!$Q$7:$Q$3006,0),"")</f>
      </c>
    </row>
    <row r="544">
      <c r="A544" s="141">
        <f>IF($G544="","",541)</f>
      </c>
      <c r="B544" s="140">
        <f>IF($G544="","",INDEX(资金台帐!$B$7:$B$3006,$G544))</f>
      </c>
      <c r="C544" s="141">
        <f>IF($G544="","",INDEX(资金台帐!$J$7:$J$3006,$G544))</f>
      </c>
      <c r="D544" s="172">
        <f>IF($G544="","",INDEX(资金台帐!$S$7:$S$3006,$G544))</f>
      </c>
      <c r="E544" s="141">
        <f>IF($G544="","",INDEX(资金台帐!$C$7:$C$3006,$G544))</f>
      </c>
      <c r="F544" s="142">
        <f>IF($G544="","",INDEX(资金台帐!$E$7:$E$3006,$G544)&amp;IF(INDEX(资金台帐!$M$7:$M$3006,$G544)="","","；"&amp;INDEX(资金台帐!$M$7:$M$3006,$G544)))</f>
      </c>
      <c r="G544" s="78">
        <f>IFERROR(MATCH(541,资金台帐!$Q$7:$Q$3006,0),"")</f>
      </c>
    </row>
    <row r="545">
      <c r="A545" s="141">
        <f>IF($G545="","",542)</f>
      </c>
      <c r="B545" s="140">
        <f>IF($G545="","",INDEX(资金台帐!$B$7:$B$3006,$G545))</f>
      </c>
      <c r="C545" s="141">
        <f>IF($G545="","",INDEX(资金台帐!$J$7:$J$3006,$G545))</f>
      </c>
      <c r="D545" s="172">
        <f>IF($G545="","",INDEX(资金台帐!$S$7:$S$3006,$G545))</f>
      </c>
      <c r="E545" s="141">
        <f>IF($G545="","",INDEX(资金台帐!$C$7:$C$3006,$G545))</f>
      </c>
      <c r="F545" s="142">
        <f>IF($G545="","",INDEX(资金台帐!$E$7:$E$3006,$G545)&amp;IF(INDEX(资金台帐!$M$7:$M$3006,$G545)="","","；"&amp;INDEX(资金台帐!$M$7:$M$3006,$G545)))</f>
      </c>
      <c r="G545" s="78">
        <f>IFERROR(MATCH(542,资金台帐!$Q$7:$Q$3006,0),"")</f>
      </c>
    </row>
    <row r="546">
      <c r="A546" s="141">
        <f>IF($G546="","",543)</f>
      </c>
      <c r="B546" s="140">
        <f>IF($G546="","",INDEX(资金台帐!$B$7:$B$3006,$G546))</f>
      </c>
      <c r="C546" s="141">
        <f>IF($G546="","",INDEX(资金台帐!$J$7:$J$3006,$G546))</f>
      </c>
      <c r="D546" s="172">
        <f>IF($G546="","",INDEX(资金台帐!$S$7:$S$3006,$G546))</f>
      </c>
      <c r="E546" s="141">
        <f>IF($G546="","",INDEX(资金台帐!$C$7:$C$3006,$G546))</f>
      </c>
      <c r="F546" s="142">
        <f>IF($G546="","",INDEX(资金台帐!$E$7:$E$3006,$G546)&amp;IF(INDEX(资金台帐!$M$7:$M$3006,$G546)="","","；"&amp;INDEX(资金台帐!$M$7:$M$3006,$G546)))</f>
      </c>
      <c r="G546" s="78">
        <f>IFERROR(MATCH(543,资金台帐!$Q$7:$Q$3006,0),"")</f>
      </c>
    </row>
    <row r="547">
      <c r="A547" s="141">
        <f>IF($G547="","",544)</f>
      </c>
      <c r="B547" s="140">
        <f>IF($G547="","",INDEX(资金台帐!$B$7:$B$3006,$G547))</f>
      </c>
      <c r="C547" s="141">
        <f>IF($G547="","",INDEX(资金台帐!$J$7:$J$3006,$G547))</f>
      </c>
      <c r="D547" s="172">
        <f>IF($G547="","",INDEX(资金台帐!$S$7:$S$3006,$G547))</f>
      </c>
      <c r="E547" s="141">
        <f>IF($G547="","",INDEX(资金台帐!$C$7:$C$3006,$G547))</f>
      </c>
      <c r="F547" s="142">
        <f>IF($G547="","",INDEX(资金台帐!$E$7:$E$3006,$G547)&amp;IF(INDEX(资金台帐!$M$7:$M$3006,$G547)="","","；"&amp;INDEX(资金台帐!$M$7:$M$3006,$G547)))</f>
      </c>
      <c r="G547" s="78">
        <f>IFERROR(MATCH(544,资金台帐!$Q$7:$Q$3006,0),"")</f>
      </c>
    </row>
    <row r="548">
      <c r="A548" s="141">
        <f>IF($G548="","",545)</f>
      </c>
      <c r="B548" s="140">
        <f>IF($G548="","",INDEX(资金台帐!$B$7:$B$3006,$G548))</f>
      </c>
      <c r="C548" s="141">
        <f>IF($G548="","",INDEX(资金台帐!$J$7:$J$3006,$G548))</f>
      </c>
      <c r="D548" s="172">
        <f>IF($G548="","",INDEX(资金台帐!$S$7:$S$3006,$G548))</f>
      </c>
      <c r="E548" s="141">
        <f>IF($G548="","",INDEX(资金台帐!$C$7:$C$3006,$G548))</f>
      </c>
      <c r="F548" s="142">
        <f>IF($G548="","",INDEX(资金台帐!$E$7:$E$3006,$G548)&amp;IF(INDEX(资金台帐!$M$7:$M$3006,$G548)="","","；"&amp;INDEX(资金台帐!$M$7:$M$3006,$G548)))</f>
      </c>
      <c r="G548" s="78">
        <f>IFERROR(MATCH(545,资金台帐!$Q$7:$Q$3006,0),"")</f>
      </c>
    </row>
    <row r="549">
      <c r="A549" s="141">
        <f>IF($G549="","",546)</f>
      </c>
      <c r="B549" s="140">
        <f>IF($G549="","",INDEX(资金台帐!$B$7:$B$3006,$G549))</f>
      </c>
      <c r="C549" s="141">
        <f>IF($G549="","",INDEX(资金台帐!$J$7:$J$3006,$G549))</f>
      </c>
      <c r="D549" s="172">
        <f>IF($G549="","",INDEX(资金台帐!$S$7:$S$3006,$G549))</f>
      </c>
      <c r="E549" s="141">
        <f>IF($G549="","",INDEX(资金台帐!$C$7:$C$3006,$G549))</f>
      </c>
      <c r="F549" s="142">
        <f>IF($G549="","",INDEX(资金台帐!$E$7:$E$3006,$G549)&amp;IF(INDEX(资金台帐!$M$7:$M$3006,$G549)="","","；"&amp;INDEX(资金台帐!$M$7:$M$3006,$G549)))</f>
      </c>
      <c r="G549" s="78">
        <f>IFERROR(MATCH(546,资金台帐!$Q$7:$Q$3006,0),"")</f>
      </c>
    </row>
    <row r="550">
      <c r="A550" s="141">
        <f>IF($G550="","",547)</f>
      </c>
      <c r="B550" s="140">
        <f>IF($G550="","",INDEX(资金台帐!$B$7:$B$3006,$G550))</f>
      </c>
      <c r="C550" s="141">
        <f>IF($G550="","",INDEX(资金台帐!$J$7:$J$3006,$G550))</f>
      </c>
      <c r="D550" s="172">
        <f>IF($G550="","",INDEX(资金台帐!$S$7:$S$3006,$G550))</f>
      </c>
      <c r="E550" s="141">
        <f>IF($G550="","",INDEX(资金台帐!$C$7:$C$3006,$G550))</f>
      </c>
      <c r="F550" s="142">
        <f>IF($G550="","",INDEX(资金台帐!$E$7:$E$3006,$G550)&amp;IF(INDEX(资金台帐!$M$7:$M$3006,$G550)="","","；"&amp;INDEX(资金台帐!$M$7:$M$3006,$G550)))</f>
      </c>
      <c r="G550" s="78">
        <f>IFERROR(MATCH(547,资金台帐!$Q$7:$Q$3006,0),"")</f>
      </c>
    </row>
    <row r="551">
      <c r="A551" s="141">
        <f>IF($G551="","",548)</f>
      </c>
      <c r="B551" s="140">
        <f>IF($G551="","",INDEX(资金台帐!$B$7:$B$3006,$G551))</f>
      </c>
      <c r="C551" s="141">
        <f>IF($G551="","",INDEX(资金台帐!$J$7:$J$3006,$G551))</f>
      </c>
      <c r="D551" s="172">
        <f>IF($G551="","",INDEX(资金台帐!$S$7:$S$3006,$G551))</f>
      </c>
      <c r="E551" s="141">
        <f>IF($G551="","",INDEX(资金台帐!$C$7:$C$3006,$G551))</f>
      </c>
      <c r="F551" s="142">
        <f>IF($G551="","",INDEX(资金台帐!$E$7:$E$3006,$G551)&amp;IF(INDEX(资金台帐!$M$7:$M$3006,$G551)="","","；"&amp;INDEX(资金台帐!$M$7:$M$3006,$G551)))</f>
      </c>
      <c r="G551" s="78">
        <f>IFERROR(MATCH(548,资金台帐!$Q$7:$Q$3006,0),"")</f>
      </c>
    </row>
    <row r="552">
      <c r="A552" s="141">
        <f>IF($G552="","",549)</f>
      </c>
      <c r="B552" s="140">
        <f>IF($G552="","",INDEX(资金台帐!$B$7:$B$3006,$G552))</f>
      </c>
      <c r="C552" s="141">
        <f>IF($G552="","",INDEX(资金台帐!$J$7:$J$3006,$G552))</f>
      </c>
      <c r="D552" s="172">
        <f>IF($G552="","",INDEX(资金台帐!$S$7:$S$3006,$G552))</f>
      </c>
      <c r="E552" s="141">
        <f>IF($G552="","",INDEX(资金台帐!$C$7:$C$3006,$G552))</f>
      </c>
      <c r="F552" s="142">
        <f>IF($G552="","",INDEX(资金台帐!$E$7:$E$3006,$G552)&amp;IF(INDEX(资金台帐!$M$7:$M$3006,$G552)="","","；"&amp;INDEX(资金台帐!$M$7:$M$3006,$G552)))</f>
      </c>
      <c r="G552" s="78">
        <f>IFERROR(MATCH(549,资金台帐!$Q$7:$Q$3006,0),"")</f>
      </c>
    </row>
    <row r="553">
      <c r="A553" s="141">
        <f>IF($G553="","",550)</f>
      </c>
      <c r="B553" s="140">
        <f>IF($G553="","",INDEX(资金台帐!$B$7:$B$3006,$G553))</f>
      </c>
      <c r="C553" s="141">
        <f>IF($G553="","",INDEX(资金台帐!$J$7:$J$3006,$G553))</f>
      </c>
      <c r="D553" s="172">
        <f>IF($G553="","",INDEX(资金台帐!$S$7:$S$3006,$G553))</f>
      </c>
      <c r="E553" s="141">
        <f>IF($G553="","",INDEX(资金台帐!$C$7:$C$3006,$G553))</f>
      </c>
      <c r="F553" s="142">
        <f>IF($G553="","",INDEX(资金台帐!$E$7:$E$3006,$G553)&amp;IF(INDEX(资金台帐!$M$7:$M$3006,$G553)="","","；"&amp;INDEX(资金台帐!$M$7:$M$3006,$G553)))</f>
      </c>
      <c r="G553" s="78">
        <f>IFERROR(MATCH(550,资金台帐!$Q$7:$Q$3006,0),"")</f>
      </c>
    </row>
    <row r="554">
      <c r="A554" s="141">
        <f>IF($G554="","",551)</f>
      </c>
      <c r="B554" s="140">
        <f>IF($G554="","",INDEX(资金台帐!$B$7:$B$3006,$G554))</f>
      </c>
      <c r="C554" s="141">
        <f>IF($G554="","",INDEX(资金台帐!$J$7:$J$3006,$G554))</f>
      </c>
      <c r="D554" s="172">
        <f>IF($G554="","",INDEX(资金台帐!$S$7:$S$3006,$G554))</f>
      </c>
      <c r="E554" s="141">
        <f>IF($G554="","",INDEX(资金台帐!$C$7:$C$3006,$G554))</f>
      </c>
      <c r="F554" s="142">
        <f>IF($G554="","",INDEX(资金台帐!$E$7:$E$3006,$G554)&amp;IF(INDEX(资金台帐!$M$7:$M$3006,$G554)="","","；"&amp;INDEX(资金台帐!$M$7:$M$3006,$G554)))</f>
      </c>
      <c r="G554" s="78">
        <f>IFERROR(MATCH(551,资金台帐!$Q$7:$Q$3006,0),"")</f>
      </c>
    </row>
    <row r="555">
      <c r="A555" s="141">
        <f>IF($G555="","",552)</f>
      </c>
      <c r="B555" s="140">
        <f>IF($G555="","",INDEX(资金台帐!$B$7:$B$3006,$G555))</f>
      </c>
      <c r="C555" s="141">
        <f>IF($G555="","",INDEX(资金台帐!$J$7:$J$3006,$G555))</f>
      </c>
      <c r="D555" s="172">
        <f>IF($G555="","",INDEX(资金台帐!$S$7:$S$3006,$G555))</f>
      </c>
      <c r="E555" s="141">
        <f>IF($G555="","",INDEX(资金台帐!$C$7:$C$3006,$G555))</f>
      </c>
      <c r="F555" s="142">
        <f>IF($G555="","",INDEX(资金台帐!$E$7:$E$3006,$G555)&amp;IF(INDEX(资金台帐!$M$7:$M$3006,$G555)="","","；"&amp;INDEX(资金台帐!$M$7:$M$3006,$G555)))</f>
      </c>
      <c r="G555" s="78">
        <f>IFERROR(MATCH(552,资金台帐!$Q$7:$Q$3006,0),"")</f>
      </c>
    </row>
    <row r="556">
      <c r="A556" s="141">
        <f>IF($G556="","",553)</f>
      </c>
      <c r="B556" s="140">
        <f>IF($G556="","",INDEX(资金台帐!$B$7:$B$3006,$G556))</f>
      </c>
      <c r="C556" s="141">
        <f>IF($G556="","",INDEX(资金台帐!$J$7:$J$3006,$G556))</f>
      </c>
      <c r="D556" s="172">
        <f>IF($G556="","",INDEX(资金台帐!$S$7:$S$3006,$G556))</f>
      </c>
      <c r="E556" s="141">
        <f>IF($G556="","",INDEX(资金台帐!$C$7:$C$3006,$G556))</f>
      </c>
      <c r="F556" s="142">
        <f>IF($G556="","",INDEX(资金台帐!$E$7:$E$3006,$G556)&amp;IF(INDEX(资金台帐!$M$7:$M$3006,$G556)="","","；"&amp;INDEX(资金台帐!$M$7:$M$3006,$G556)))</f>
      </c>
      <c r="G556" s="78">
        <f>IFERROR(MATCH(553,资金台帐!$Q$7:$Q$3006,0),"")</f>
      </c>
    </row>
    <row r="557">
      <c r="A557" s="141">
        <f>IF($G557="","",554)</f>
      </c>
      <c r="B557" s="140">
        <f>IF($G557="","",INDEX(资金台帐!$B$7:$B$3006,$G557))</f>
      </c>
      <c r="C557" s="141">
        <f>IF($G557="","",INDEX(资金台帐!$J$7:$J$3006,$G557))</f>
      </c>
      <c r="D557" s="172">
        <f>IF($G557="","",INDEX(资金台帐!$S$7:$S$3006,$G557))</f>
      </c>
      <c r="E557" s="141">
        <f>IF($G557="","",INDEX(资金台帐!$C$7:$C$3006,$G557))</f>
      </c>
      <c r="F557" s="142">
        <f>IF($G557="","",INDEX(资金台帐!$E$7:$E$3006,$G557)&amp;IF(INDEX(资金台帐!$M$7:$M$3006,$G557)="","","；"&amp;INDEX(资金台帐!$M$7:$M$3006,$G557)))</f>
      </c>
      <c r="G557" s="78">
        <f>IFERROR(MATCH(554,资金台帐!$Q$7:$Q$3006,0),"")</f>
      </c>
    </row>
    <row r="558">
      <c r="A558" s="141">
        <f>IF($G558="","",555)</f>
      </c>
      <c r="B558" s="140">
        <f>IF($G558="","",INDEX(资金台帐!$B$7:$B$3006,$G558))</f>
      </c>
      <c r="C558" s="141">
        <f>IF($G558="","",INDEX(资金台帐!$J$7:$J$3006,$G558))</f>
      </c>
      <c r="D558" s="172">
        <f>IF($G558="","",INDEX(资金台帐!$S$7:$S$3006,$G558))</f>
      </c>
      <c r="E558" s="141">
        <f>IF($G558="","",INDEX(资金台帐!$C$7:$C$3006,$G558))</f>
      </c>
      <c r="F558" s="142">
        <f>IF($G558="","",INDEX(资金台帐!$E$7:$E$3006,$G558)&amp;IF(INDEX(资金台帐!$M$7:$M$3006,$G558)="","","；"&amp;INDEX(资金台帐!$M$7:$M$3006,$G558)))</f>
      </c>
      <c r="G558" s="78">
        <f>IFERROR(MATCH(555,资金台帐!$Q$7:$Q$3006,0),"")</f>
      </c>
    </row>
    <row r="559">
      <c r="A559" s="141">
        <f>IF($G559="","",556)</f>
      </c>
      <c r="B559" s="140">
        <f>IF($G559="","",INDEX(资金台帐!$B$7:$B$3006,$G559))</f>
      </c>
      <c r="C559" s="141">
        <f>IF($G559="","",INDEX(资金台帐!$J$7:$J$3006,$G559))</f>
      </c>
      <c r="D559" s="172">
        <f>IF($G559="","",INDEX(资金台帐!$S$7:$S$3006,$G559))</f>
      </c>
      <c r="E559" s="141">
        <f>IF($G559="","",INDEX(资金台帐!$C$7:$C$3006,$G559))</f>
      </c>
      <c r="F559" s="142">
        <f>IF($G559="","",INDEX(资金台帐!$E$7:$E$3006,$G559)&amp;IF(INDEX(资金台帐!$M$7:$M$3006,$G559)="","","；"&amp;INDEX(资金台帐!$M$7:$M$3006,$G559)))</f>
      </c>
      <c r="G559" s="78">
        <f>IFERROR(MATCH(556,资金台帐!$Q$7:$Q$3006,0),"")</f>
      </c>
    </row>
    <row r="560">
      <c r="A560" s="141">
        <f>IF($G560="","",557)</f>
      </c>
      <c r="B560" s="140">
        <f>IF($G560="","",INDEX(资金台帐!$B$7:$B$3006,$G560))</f>
      </c>
      <c r="C560" s="141">
        <f>IF($G560="","",INDEX(资金台帐!$J$7:$J$3006,$G560))</f>
      </c>
      <c r="D560" s="172">
        <f>IF($G560="","",INDEX(资金台帐!$S$7:$S$3006,$G560))</f>
      </c>
      <c r="E560" s="141">
        <f>IF($G560="","",INDEX(资金台帐!$C$7:$C$3006,$G560))</f>
      </c>
      <c r="F560" s="142">
        <f>IF($G560="","",INDEX(资金台帐!$E$7:$E$3006,$G560)&amp;IF(INDEX(资金台帐!$M$7:$M$3006,$G560)="","","；"&amp;INDEX(资金台帐!$M$7:$M$3006,$G560)))</f>
      </c>
      <c r="G560" s="78">
        <f>IFERROR(MATCH(557,资金台帐!$Q$7:$Q$3006,0),"")</f>
      </c>
    </row>
    <row r="561">
      <c r="A561" s="141">
        <f>IF($G561="","",558)</f>
      </c>
      <c r="B561" s="140">
        <f>IF($G561="","",INDEX(资金台帐!$B$7:$B$3006,$G561))</f>
      </c>
      <c r="C561" s="141">
        <f>IF($G561="","",INDEX(资金台帐!$J$7:$J$3006,$G561))</f>
      </c>
      <c r="D561" s="172">
        <f>IF($G561="","",INDEX(资金台帐!$S$7:$S$3006,$G561))</f>
      </c>
      <c r="E561" s="141">
        <f>IF($G561="","",INDEX(资金台帐!$C$7:$C$3006,$G561))</f>
      </c>
      <c r="F561" s="142">
        <f>IF($G561="","",INDEX(资金台帐!$E$7:$E$3006,$G561)&amp;IF(INDEX(资金台帐!$M$7:$M$3006,$G561)="","","；"&amp;INDEX(资金台帐!$M$7:$M$3006,$G561)))</f>
      </c>
      <c r="G561" s="78">
        <f>IFERROR(MATCH(558,资金台帐!$Q$7:$Q$3006,0),"")</f>
      </c>
    </row>
    <row r="562">
      <c r="A562" s="141">
        <f>IF($G562="","",559)</f>
      </c>
      <c r="B562" s="140">
        <f>IF($G562="","",INDEX(资金台帐!$B$7:$B$3006,$G562))</f>
      </c>
      <c r="C562" s="141">
        <f>IF($G562="","",INDEX(资金台帐!$J$7:$J$3006,$G562))</f>
      </c>
      <c r="D562" s="172">
        <f>IF($G562="","",INDEX(资金台帐!$S$7:$S$3006,$G562))</f>
      </c>
      <c r="E562" s="141">
        <f>IF($G562="","",INDEX(资金台帐!$C$7:$C$3006,$G562))</f>
      </c>
      <c r="F562" s="142">
        <f>IF($G562="","",INDEX(资金台帐!$E$7:$E$3006,$G562)&amp;IF(INDEX(资金台帐!$M$7:$M$3006,$G562)="","","；"&amp;INDEX(资金台帐!$M$7:$M$3006,$G562)))</f>
      </c>
      <c r="G562" s="78">
        <f>IFERROR(MATCH(559,资金台帐!$Q$7:$Q$3006,0),"")</f>
      </c>
    </row>
    <row r="563">
      <c r="A563" s="141">
        <f>IF($G563="","",560)</f>
      </c>
      <c r="B563" s="140">
        <f>IF($G563="","",INDEX(资金台帐!$B$7:$B$3006,$G563))</f>
      </c>
      <c r="C563" s="141">
        <f>IF($G563="","",INDEX(资金台帐!$J$7:$J$3006,$G563))</f>
      </c>
      <c r="D563" s="172">
        <f>IF($G563="","",INDEX(资金台帐!$S$7:$S$3006,$G563))</f>
      </c>
      <c r="E563" s="141">
        <f>IF($G563="","",INDEX(资金台帐!$C$7:$C$3006,$G563))</f>
      </c>
      <c r="F563" s="142">
        <f>IF($G563="","",INDEX(资金台帐!$E$7:$E$3006,$G563)&amp;IF(INDEX(资金台帐!$M$7:$M$3006,$G563)="","","；"&amp;INDEX(资金台帐!$M$7:$M$3006,$G563)))</f>
      </c>
      <c r="G563" s="78">
        <f>IFERROR(MATCH(560,资金台帐!$Q$7:$Q$3006,0),"")</f>
      </c>
    </row>
    <row r="564">
      <c r="A564" s="141">
        <f>IF($G564="","",561)</f>
      </c>
      <c r="B564" s="140">
        <f>IF($G564="","",INDEX(资金台帐!$B$7:$B$3006,$G564))</f>
      </c>
      <c r="C564" s="141">
        <f>IF($G564="","",INDEX(资金台帐!$J$7:$J$3006,$G564))</f>
      </c>
      <c r="D564" s="172">
        <f>IF($G564="","",INDEX(资金台帐!$S$7:$S$3006,$G564))</f>
      </c>
      <c r="E564" s="141">
        <f>IF($G564="","",INDEX(资金台帐!$C$7:$C$3006,$G564))</f>
      </c>
      <c r="F564" s="142">
        <f>IF($G564="","",INDEX(资金台帐!$E$7:$E$3006,$G564)&amp;IF(INDEX(资金台帐!$M$7:$M$3006,$G564)="","","；"&amp;INDEX(资金台帐!$M$7:$M$3006,$G564)))</f>
      </c>
      <c r="G564" s="78">
        <f>IFERROR(MATCH(561,资金台帐!$Q$7:$Q$3006,0),"")</f>
      </c>
    </row>
    <row r="565">
      <c r="A565" s="141">
        <f>IF($G565="","",562)</f>
      </c>
      <c r="B565" s="140">
        <f>IF($G565="","",INDEX(资金台帐!$B$7:$B$3006,$G565))</f>
      </c>
      <c r="C565" s="141">
        <f>IF($G565="","",INDEX(资金台帐!$J$7:$J$3006,$G565))</f>
      </c>
      <c r="D565" s="172">
        <f>IF($G565="","",INDEX(资金台帐!$S$7:$S$3006,$G565))</f>
      </c>
      <c r="E565" s="141">
        <f>IF($G565="","",INDEX(资金台帐!$C$7:$C$3006,$G565))</f>
      </c>
      <c r="F565" s="142">
        <f>IF($G565="","",INDEX(资金台帐!$E$7:$E$3006,$G565)&amp;IF(INDEX(资金台帐!$M$7:$M$3006,$G565)="","","；"&amp;INDEX(资金台帐!$M$7:$M$3006,$G565)))</f>
      </c>
      <c r="G565" s="78">
        <f>IFERROR(MATCH(562,资金台帐!$Q$7:$Q$3006,0),"")</f>
      </c>
    </row>
    <row r="566">
      <c r="A566" s="141">
        <f>IF($G566="","",563)</f>
      </c>
      <c r="B566" s="140">
        <f>IF($G566="","",INDEX(资金台帐!$B$7:$B$3006,$G566))</f>
      </c>
      <c r="C566" s="141">
        <f>IF($G566="","",INDEX(资金台帐!$J$7:$J$3006,$G566))</f>
      </c>
      <c r="D566" s="172">
        <f>IF($G566="","",INDEX(资金台帐!$S$7:$S$3006,$G566))</f>
      </c>
      <c r="E566" s="141">
        <f>IF($G566="","",INDEX(资金台帐!$C$7:$C$3006,$G566))</f>
      </c>
      <c r="F566" s="142">
        <f>IF($G566="","",INDEX(资金台帐!$E$7:$E$3006,$G566)&amp;IF(INDEX(资金台帐!$M$7:$M$3006,$G566)="","","；"&amp;INDEX(资金台帐!$M$7:$M$3006,$G566)))</f>
      </c>
      <c r="G566" s="78">
        <f>IFERROR(MATCH(563,资金台帐!$Q$7:$Q$3006,0),"")</f>
      </c>
    </row>
    <row r="567">
      <c r="A567" s="141">
        <f>IF($G567="","",564)</f>
      </c>
      <c r="B567" s="140">
        <f>IF($G567="","",INDEX(资金台帐!$B$7:$B$3006,$G567))</f>
      </c>
      <c r="C567" s="141">
        <f>IF($G567="","",INDEX(资金台帐!$J$7:$J$3006,$G567))</f>
      </c>
      <c r="D567" s="172">
        <f>IF($G567="","",INDEX(资金台帐!$S$7:$S$3006,$G567))</f>
      </c>
      <c r="E567" s="141">
        <f>IF($G567="","",INDEX(资金台帐!$C$7:$C$3006,$G567))</f>
      </c>
      <c r="F567" s="142">
        <f>IF($G567="","",INDEX(资金台帐!$E$7:$E$3006,$G567)&amp;IF(INDEX(资金台帐!$M$7:$M$3006,$G567)="","","；"&amp;INDEX(资金台帐!$M$7:$M$3006,$G567)))</f>
      </c>
      <c r="G567" s="78">
        <f>IFERROR(MATCH(564,资金台帐!$Q$7:$Q$3006,0),"")</f>
      </c>
    </row>
    <row r="568">
      <c r="A568" s="141">
        <f>IF($G568="","",565)</f>
      </c>
      <c r="B568" s="140">
        <f>IF($G568="","",INDEX(资金台帐!$B$7:$B$3006,$G568))</f>
      </c>
      <c r="C568" s="141">
        <f>IF($G568="","",INDEX(资金台帐!$J$7:$J$3006,$G568))</f>
      </c>
      <c r="D568" s="172">
        <f>IF($G568="","",INDEX(资金台帐!$S$7:$S$3006,$G568))</f>
      </c>
      <c r="E568" s="141">
        <f>IF($G568="","",INDEX(资金台帐!$C$7:$C$3006,$G568))</f>
      </c>
      <c r="F568" s="142">
        <f>IF($G568="","",INDEX(资金台帐!$E$7:$E$3006,$G568)&amp;IF(INDEX(资金台帐!$M$7:$M$3006,$G568)="","","；"&amp;INDEX(资金台帐!$M$7:$M$3006,$G568)))</f>
      </c>
      <c r="G568" s="78">
        <f>IFERROR(MATCH(565,资金台帐!$Q$7:$Q$3006,0),"")</f>
      </c>
    </row>
    <row r="569">
      <c r="A569" s="141">
        <f>IF($G569="","",566)</f>
      </c>
      <c r="B569" s="140">
        <f>IF($G569="","",INDEX(资金台帐!$B$7:$B$3006,$G569))</f>
      </c>
      <c r="C569" s="141">
        <f>IF($G569="","",INDEX(资金台帐!$J$7:$J$3006,$G569))</f>
      </c>
      <c r="D569" s="172">
        <f>IF($G569="","",INDEX(资金台帐!$S$7:$S$3006,$G569))</f>
      </c>
      <c r="E569" s="141">
        <f>IF($G569="","",INDEX(资金台帐!$C$7:$C$3006,$G569))</f>
      </c>
      <c r="F569" s="142">
        <f>IF($G569="","",INDEX(资金台帐!$E$7:$E$3006,$G569)&amp;IF(INDEX(资金台帐!$M$7:$M$3006,$G569)="","","；"&amp;INDEX(资金台帐!$M$7:$M$3006,$G569)))</f>
      </c>
      <c r="G569" s="78">
        <f>IFERROR(MATCH(566,资金台帐!$Q$7:$Q$3006,0),"")</f>
      </c>
    </row>
    <row r="570">
      <c r="A570" s="141">
        <f>IF($G570="","",567)</f>
      </c>
      <c r="B570" s="140">
        <f>IF($G570="","",INDEX(资金台帐!$B$7:$B$3006,$G570))</f>
      </c>
      <c r="C570" s="141">
        <f>IF($G570="","",INDEX(资金台帐!$J$7:$J$3006,$G570))</f>
      </c>
      <c r="D570" s="172">
        <f>IF($G570="","",INDEX(资金台帐!$S$7:$S$3006,$G570))</f>
      </c>
      <c r="E570" s="141">
        <f>IF($G570="","",INDEX(资金台帐!$C$7:$C$3006,$G570))</f>
      </c>
      <c r="F570" s="142">
        <f>IF($G570="","",INDEX(资金台帐!$E$7:$E$3006,$G570)&amp;IF(INDEX(资金台帐!$M$7:$M$3006,$G570)="","","；"&amp;INDEX(资金台帐!$M$7:$M$3006,$G570)))</f>
      </c>
      <c r="G570" s="78">
        <f>IFERROR(MATCH(567,资金台帐!$Q$7:$Q$3006,0),"")</f>
      </c>
    </row>
    <row r="571">
      <c r="A571" s="141">
        <f>IF($G571="","",568)</f>
      </c>
      <c r="B571" s="140">
        <f>IF($G571="","",INDEX(资金台帐!$B$7:$B$3006,$G571))</f>
      </c>
      <c r="C571" s="141">
        <f>IF($G571="","",INDEX(资金台帐!$J$7:$J$3006,$G571))</f>
      </c>
      <c r="D571" s="172">
        <f>IF($G571="","",INDEX(资金台帐!$S$7:$S$3006,$G571))</f>
      </c>
      <c r="E571" s="141">
        <f>IF($G571="","",INDEX(资金台帐!$C$7:$C$3006,$G571))</f>
      </c>
      <c r="F571" s="142">
        <f>IF($G571="","",INDEX(资金台帐!$E$7:$E$3006,$G571)&amp;IF(INDEX(资金台帐!$M$7:$M$3006,$G571)="","","；"&amp;INDEX(资金台帐!$M$7:$M$3006,$G571)))</f>
      </c>
      <c r="G571" s="78">
        <f>IFERROR(MATCH(568,资金台帐!$Q$7:$Q$3006,0),"")</f>
      </c>
    </row>
    <row r="572">
      <c r="A572" s="141">
        <f>IF($G572="","",569)</f>
      </c>
      <c r="B572" s="140">
        <f>IF($G572="","",INDEX(资金台帐!$B$7:$B$3006,$G572))</f>
      </c>
      <c r="C572" s="141">
        <f>IF($G572="","",INDEX(资金台帐!$J$7:$J$3006,$G572))</f>
      </c>
      <c r="D572" s="172">
        <f>IF($G572="","",INDEX(资金台帐!$S$7:$S$3006,$G572))</f>
      </c>
      <c r="E572" s="141">
        <f>IF($G572="","",INDEX(资金台帐!$C$7:$C$3006,$G572))</f>
      </c>
      <c r="F572" s="142">
        <f>IF($G572="","",INDEX(资金台帐!$E$7:$E$3006,$G572)&amp;IF(INDEX(资金台帐!$M$7:$M$3006,$G572)="","","；"&amp;INDEX(资金台帐!$M$7:$M$3006,$G572)))</f>
      </c>
      <c r="G572" s="78">
        <f>IFERROR(MATCH(569,资金台帐!$Q$7:$Q$3006,0),"")</f>
      </c>
    </row>
    <row r="573">
      <c r="A573" s="141">
        <f>IF($G573="","",570)</f>
      </c>
      <c r="B573" s="140">
        <f>IF($G573="","",INDEX(资金台帐!$B$7:$B$3006,$G573))</f>
      </c>
      <c r="C573" s="141">
        <f>IF($G573="","",INDEX(资金台帐!$J$7:$J$3006,$G573))</f>
      </c>
      <c r="D573" s="172">
        <f>IF($G573="","",INDEX(资金台帐!$S$7:$S$3006,$G573))</f>
      </c>
      <c r="E573" s="141">
        <f>IF($G573="","",INDEX(资金台帐!$C$7:$C$3006,$G573))</f>
      </c>
      <c r="F573" s="142">
        <f>IF($G573="","",INDEX(资金台帐!$E$7:$E$3006,$G573)&amp;IF(INDEX(资金台帐!$M$7:$M$3006,$G573)="","","；"&amp;INDEX(资金台帐!$M$7:$M$3006,$G573)))</f>
      </c>
      <c r="G573" s="78">
        <f>IFERROR(MATCH(570,资金台帐!$Q$7:$Q$3006,0),"")</f>
      </c>
    </row>
    <row r="574">
      <c r="A574" s="141">
        <f>IF($G574="","",571)</f>
      </c>
      <c r="B574" s="140">
        <f>IF($G574="","",INDEX(资金台帐!$B$7:$B$3006,$G574))</f>
      </c>
      <c r="C574" s="141">
        <f>IF($G574="","",INDEX(资金台帐!$J$7:$J$3006,$G574))</f>
      </c>
      <c r="D574" s="172">
        <f>IF($G574="","",INDEX(资金台帐!$S$7:$S$3006,$G574))</f>
      </c>
      <c r="E574" s="141">
        <f>IF($G574="","",INDEX(资金台帐!$C$7:$C$3006,$G574))</f>
      </c>
      <c r="F574" s="142">
        <f>IF($G574="","",INDEX(资金台帐!$E$7:$E$3006,$G574)&amp;IF(INDEX(资金台帐!$M$7:$M$3006,$G574)="","","；"&amp;INDEX(资金台帐!$M$7:$M$3006,$G574)))</f>
      </c>
      <c r="G574" s="78">
        <f>IFERROR(MATCH(571,资金台帐!$Q$7:$Q$3006,0),"")</f>
      </c>
    </row>
    <row r="575">
      <c r="A575" s="141">
        <f>IF($G575="","",572)</f>
      </c>
      <c r="B575" s="140">
        <f>IF($G575="","",INDEX(资金台帐!$B$7:$B$3006,$G575))</f>
      </c>
      <c r="C575" s="141">
        <f>IF($G575="","",INDEX(资金台帐!$J$7:$J$3006,$G575))</f>
      </c>
      <c r="D575" s="172">
        <f>IF($G575="","",INDEX(资金台帐!$S$7:$S$3006,$G575))</f>
      </c>
      <c r="E575" s="141">
        <f>IF($G575="","",INDEX(资金台帐!$C$7:$C$3006,$G575))</f>
      </c>
      <c r="F575" s="142">
        <f>IF($G575="","",INDEX(资金台帐!$E$7:$E$3006,$G575)&amp;IF(INDEX(资金台帐!$M$7:$M$3006,$G575)="","","；"&amp;INDEX(资金台帐!$M$7:$M$3006,$G575)))</f>
      </c>
      <c r="G575" s="78">
        <f>IFERROR(MATCH(572,资金台帐!$Q$7:$Q$3006,0),"")</f>
      </c>
    </row>
    <row r="576">
      <c r="A576" s="141">
        <f>IF($G576="","",573)</f>
      </c>
      <c r="B576" s="140">
        <f>IF($G576="","",INDEX(资金台帐!$B$7:$B$3006,$G576))</f>
      </c>
      <c r="C576" s="141">
        <f>IF($G576="","",INDEX(资金台帐!$J$7:$J$3006,$G576))</f>
      </c>
      <c r="D576" s="172">
        <f>IF($G576="","",INDEX(资金台帐!$S$7:$S$3006,$G576))</f>
      </c>
      <c r="E576" s="141">
        <f>IF($G576="","",INDEX(资金台帐!$C$7:$C$3006,$G576))</f>
      </c>
      <c r="F576" s="142">
        <f>IF($G576="","",INDEX(资金台帐!$E$7:$E$3006,$G576)&amp;IF(INDEX(资金台帐!$M$7:$M$3006,$G576)="","","；"&amp;INDEX(资金台帐!$M$7:$M$3006,$G576)))</f>
      </c>
      <c r="G576" s="78">
        <f>IFERROR(MATCH(573,资金台帐!$Q$7:$Q$3006,0),"")</f>
      </c>
    </row>
    <row r="577">
      <c r="A577" s="141">
        <f>IF($G577="","",574)</f>
      </c>
      <c r="B577" s="140">
        <f>IF($G577="","",INDEX(资金台帐!$B$7:$B$3006,$G577))</f>
      </c>
      <c r="C577" s="141">
        <f>IF($G577="","",INDEX(资金台帐!$J$7:$J$3006,$G577))</f>
      </c>
      <c r="D577" s="172">
        <f>IF($G577="","",INDEX(资金台帐!$S$7:$S$3006,$G577))</f>
      </c>
      <c r="E577" s="141">
        <f>IF($G577="","",INDEX(资金台帐!$C$7:$C$3006,$G577))</f>
      </c>
      <c r="F577" s="142">
        <f>IF($G577="","",INDEX(资金台帐!$E$7:$E$3006,$G577)&amp;IF(INDEX(资金台帐!$M$7:$M$3006,$G577)="","","；"&amp;INDEX(资金台帐!$M$7:$M$3006,$G577)))</f>
      </c>
      <c r="G577" s="78">
        <f>IFERROR(MATCH(574,资金台帐!$Q$7:$Q$3006,0),"")</f>
      </c>
    </row>
    <row r="578">
      <c r="A578" s="141">
        <f>IF($G578="","",575)</f>
      </c>
      <c r="B578" s="140">
        <f>IF($G578="","",INDEX(资金台帐!$B$7:$B$3006,$G578))</f>
      </c>
      <c r="C578" s="141">
        <f>IF($G578="","",INDEX(资金台帐!$J$7:$J$3006,$G578))</f>
      </c>
      <c r="D578" s="172">
        <f>IF($G578="","",INDEX(资金台帐!$S$7:$S$3006,$G578))</f>
      </c>
      <c r="E578" s="141">
        <f>IF($G578="","",INDEX(资金台帐!$C$7:$C$3006,$G578))</f>
      </c>
      <c r="F578" s="142">
        <f>IF($G578="","",INDEX(资金台帐!$E$7:$E$3006,$G578)&amp;IF(INDEX(资金台帐!$M$7:$M$3006,$G578)="","","；"&amp;INDEX(资金台帐!$M$7:$M$3006,$G578)))</f>
      </c>
      <c r="G578" s="78">
        <f>IFERROR(MATCH(575,资金台帐!$Q$7:$Q$3006,0),"")</f>
      </c>
    </row>
    <row r="579">
      <c r="A579" s="141">
        <f>IF($G579="","",576)</f>
      </c>
      <c r="B579" s="140">
        <f>IF($G579="","",INDEX(资金台帐!$B$7:$B$3006,$G579))</f>
      </c>
      <c r="C579" s="141">
        <f>IF($G579="","",INDEX(资金台帐!$J$7:$J$3006,$G579))</f>
      </c>
      <c r="D579" s="172">
        <f>IF($G579="","",INDEX(资金台帐!$S$7:$S$3006,$G579))</f>
      </c>
      <c r="E579" s="141">
        <f>IF($G579="","",INDEX(资金台帐!$C$7:$C$3006,$G579))</f>
      </c>
      <c r="F579" s="142">
        <f>IF($G579="","",INDEX(资金台帐!$E$7:$E$3006,$G579)&amp;IF(INDEX(资金台帐!$M$7:$M$3006,$G579)="","","；"&amp;INDEX(资金台帐!$M$7:$M$3006,$G579)))</f>
      </c>
      <c r="G579" s="78">
        <f>IFERROR(MATCH(576,资金台帐!$Q$7:$Q$3006,0),"")</f>
      </c>
    </row>
    <row r="580">
      <c r="A580" s="141">
        <f>IF($G580="","",577)</f>
      </c>
      <c r="B580" s="140">
        <f>IF($G580="","",INDEX(资金台帐!$B$7:$B$3006,$G580))</f>
      </c>
      <c r="C580" s="141">
        <f>IF($G580="","",INDEX(资金台帐!$J$7:$J$3006,$G580))</f>
      </c>
      <c r="D580" s="172">
        <f>IF($G580="","",INDEX(资金台帐!$S$7:$S$3006,$G580))</f>
      </c>
      <c r="E580" s="141">
        <f>IF($G580="","",INDEX(资金台帐!$C$7:$C$3006,$G580))</f>
      </c>
      <c r="F580" s="142">
        <f>IF($G580="","",INDEX(资金台帐!$E$7:$E$3006,$G580)&amp;IF(INDEX(资金台帐!$M$7:$M$3006,$G580)="","","；"&amp;INDEX(资金台帐!$M$7:$M$3006,$G580)))</f>
      </c>
      <c r="G580" s="78">
        <f>IFERROR(MATCH(577,资金台帐!$Q$7:$Q$3006,0),"")</f>
      </c>
    </row>
    <row r="581">
      <c r="A581" s="141">
        <f>IF($G581="","",578)</f>
      </c>
      <c r="B581" s="140">
        <f>IF($G581="","",INDEX(资金台帐!$B$7:$B$3006,$G581))</f>
      </c>
      <c r="C581" s="141">
        <f>IF($G581="","",INDEX(资金台帐!$J$7:$J$3006,$G581))</f>
      </c>
      <c r="D581" s="172">
        <f>IF($G581="","",INDEX(资金台帐!$S$7:$S$3006,$G581))</f>
      </c>
      <c r="E581" s="141">
        <f>IF($G581="","",INDEX(资金台帐!$C$7:$C$3006,$G581))</f>
      </c>
      <c r="F581" s="142">
        <f>IF($G581="","",INDEX(资金台帐!$E$7:$E$3006,$G581)&amp;IF(INDEX(资金台帐!$M$7:$M$3006,$G581)="","","；"&amp;INDEX(资金台帐!$M$7:$M$3006,$G581)))</f>
      </c>
      <c r="G581" s="78">
        <f>IFERROR(MATCH(578,资金台帐!$Q$7:$Q$3006,0),"")</f>
      </c>
    </row>
    <row r="582">
      <c r="A582" s="141">
        <f>IF($G582="","",579)</f>
      </c>
      <c r="B582" s="140">
        <f>IF($G582="","",INDEX(资金台帐!$B$7:$B$3006,$G582))</f>
      </c>
      <c r="C582" s="141">
        <f>IF($G582="","",INDEX(资金台帐!$J$7:$J$3006,$G582))</f>
      </c>
      <c r="D582" s="172">
        <f>IF($G582="","",INDEX(资金台帐!$S$7:$S$3006,$G582))</f>
      </c>
      <c r="E582" s="141">
        <f>IF($G582="","",INDEX(资金台帐!$C$7:$C$3006,$G582))</f>
      </c>
      <c r="F582" s="142">
        <f>IF($G582="","",INDEX(资金台帐!$E$7:$E$3006,$G582)&amp;IF(INDEX(资金台帐!$M$7:$M$3006,$G582)="","","；"&amp;INDEX(资金台帐!$M$7:$M$3006,$G582)))</f>
      </c>
      <c r="G582" s="78">
        <f>IFERROR(MATCH(579,资金台帐!$Q$7:$Q$3006,0),"")</f>
      </c>
    </row>
    <row r="583">
      <c r="A583" s="141">
        <f>IF($G583="","",580)</f>
      </c>
      <c r="B583" s="140">
        <f>IF($G583="","",INDEX(资金台帐!$B$7:$B$3006,$G583))</f>
      </c>
      <c r="C583" s="141">
        <f>IF($G583="","",INDEX(资金台帐!$J$7:$J$3006,$G583))</f>
      </c>
      <c r="D583" s="172">
        <f>IF($G583="","",INDEX(资金台帐!$S$7:$S$3006,$G583))</f>
      </c>
      <c r="E583" s="141">
        <f>IF($G583="","",INDEX(资金台帐!$C$7:$C$3006,$G583))</f>
      </c>
      <c r="F583" s="142">
        <f>IF($G583="","",INDEX(资金台帐!$E$7:$E$3006,$G583)&amp;IF(INDEX(资金台帐!$M$7:$M$3006,$G583)="","","；"&amp;INDEX(资金台帐!$M$7:$M$3006,$G583)))</f>
      </c>
      <c r="G583" s="78">
        <f>IFERROR(MATCH(580,资金台帐!$Q$7:$Q$3006,0),"")</f>
      </c>
    </row>
    <row r="584">
      <c r="A584" s="141">
        <f>IF($G584="","",581)</f>
      </c>
      <c r="B584" s="140">
        <f>IF($G584="","",INDEX(资金台帐!$B$7:$B$3006,$G584))</f>
      </c>
      <c r="C584" s="141">
        <f>IF($G584="","",INDEX(资金台帐!$J$7:$J$3006,$G584))</f>
      </c>
      <c r="D584" s="172">
        <f>IF($G584="","",INDEX(资金台帐!$S$7:$S$3006,$G584))</f>
      </c>
      <c r="E584" s="141">
        <f>IF($G584="","",INDEX(资金台帐!$C$7:$C$3006,$G584))</f>
      </c>
      <c r="F584" s="142">
        <f>IF($G584="","",INDEX(资金台帐!$E$7:$E$3006,$G584)&amp;IF(INDEX(资金台帐!$M$7:$M$3006,$G584)="","","；"&amp;INDEX(资金台帐!$M$7:$M$3006,$G584)))</f>
      </c>
      <c r="G584" s="78">
        <f>IFERROR(MATCH(581,资金台帐!$Q$7:$Q$3006,0),"")</f>
      </c>
    </row>
    <row r="585">
      <c r="A585" s="141">
        <f>IF($G585="","",582)</f>
      </c>
      <c r="B585" s="140">
        <f>IF($G585="","",INDEX(资金台帐!$B$7:$B$3006,$G585))</f>
      </c>
      <c r="C585" s="141">
        <f>IF($G585="","",INDEX(资金台帐!$J$7:$J$3006,$G585))</f>
      </c>
      <c r="D585" s="172">
        <f>IF($G585="","",INDEX(资金台帐!$S$7:$S$3006,$G585))</f>
      </c>
      <c r="E585" s="141">
        <f>IF($G585="","",INDEX(资金台帐!$C$7:$C$3006,$G585))</f>
      </c>
      <c r="F585" s="142">
        <f>IF($G585="","",INDEX(资金台帐!$E$7:$E$3006,$G585)&amp;IF(INDEX(资金台帐!$M$7:$M$3006,$G585)="","","；"&amp;INDEX(资金台帐!$M$7:$M$3006,$G585)))</f>
      </c>
      <c r="G585" s="78">
        <f>IFERROR(MATCH(582,资金台帐!$Q$7:$Q$3006,0),"")</f>
      </c>
    </row>
    <row r="586">
      <c r="A586" s="141">
        <f>IF($G586="","",583)</f>
      </c>
      <c r="B586" s="140">
        <f>IF($G586="","",INDEX(资金台帐!$B$7:$B$3006,$G586))</f>
      </c>
      <c r="C586" s="141">
        <f>IF($G586="","",INDEX(资金台帐!$J$7:$J$3006,$G586))</f>
      </c>
      <c r="D586" s="172">
        <f>IF($G586="","",INDEX(资金台帐!$S$7:$S$3006,$G586))</f>
      </c>
      <c r="E586" s="141">
        <f>IF($G586="","",INDEX(资金台帐!$C$7:$C$3006,$G586))</f>
      </c>
      <c r="F586" s="142">
        <f>IF($G586="","",INDEX(资金台帐!$E$7:$E$3006,$G586)&amp;IF(INDEX(资金台帐!$M$7:$M$3006,$G586)="","","；"&amp;INDEX(资金台帐!$M$7:$M$3006,$G586)))</f>
      </c>
      <c r="G586" s="78">
        <f>IFERROR(MATCH(583,资金台帐!$Q$7:$Q$3006,0),"")</f>
      </c>
    </row>
    <row r="587">
      <c r="A587" s="141">
        <f>IF($G587="","",584)</f>
      </c>
      <c r="B587" s="140">
        <f>IF($G587="","",INDEX(资金台帐!$B$7:$B$3006,$G587))</f>
      </c>
      <c r="C587" s="141">
        <f>IF($G587="","",INDEX(资金台帐!$J$7:$J$3006,$G587))</f>
      </c>
      <c r="D587" s="172">
        <f>IF($G587="","",INDEX(资金台帐!$S$7:$S$3006,$G587))</f>
      </c>
      <c r="E587" s="141">
        <f>IF($G587="","",INDEX(资金台帐!$C$7:$C$3006,$G587))</f>
      </c>
      <c r="F587" s="142">
        <f>IF($G587="","",INDEX(资金台帐!$E$7:$E$3006,$G587)&amp;IF(INDEX(资金台帐!$M$7:$M$3006,$G587)="","","；"&amp;INDEX(资金台帐!$M$7:$M$3006,$G587)))</f>
      </c>
      <c r="G587" s="78">
        <f>IFERROR(MATCH(584,资金台帐!$Q$7:$Q$3006,0),"")</f>
      </c>
    </row>
    <row r="588">
      <c r="A588" s="141">
        <f>IF($G588="","",585)</f>
      </c>
      <c r="B588" s="140">
        <f>IF($G588="","",INDEX(资金台帐!$B$7:$B$3006,$G588))</f>
      </c>
      <c r="C588" s="141">
        <f>IF($G588="","",INDEX(资金台帐!$J$7:$J$3006,$G588))</f>
      </c>
      <c r="D588" s="172">
        <f>IF($G588="","",INDEX(资金台帐!$S$7:$S$3006,$G588))</f>
      </c>
      <c r="E588" s="141">
        <f>IF($G588="","",INDEX(资金台帐!$C$7:$C$3006,$G588))</f>
      </c>
      <c r="F588" s="142">
        <f>IF($G588="","",INDEX(资金台帐!$E$7:$E$3006,$G588)&amp;IF(INDEX(资金台帐!$M$7:$M$3006,$G588)="","","；"&amp;INDEX(资金台帐!$M$7:$M$3006,$G588)))</f>
      </c>
      <c r="G588" s="78">
        <f>IFERROR(MATCH(585,资金台帐!$Q$7:$Q$3006,0),"")</f>
      </c>
    </row>
    <row r="589">
      <c r="A589" s="141">
        <f>IF($G589="","",586)</f>
      </c>
      <c r="B589" s="140">
        <f>IF($G589="","",INDEX(资金台帐!$B$7:$B$3006,$G589))</f>
      </c>
      <c r="C589" s="141">
        <f>IF($G589="","",INDEX(资金台帐!$J$7:$J$3006,$G589))</f>
      </c>
      <c r="D589" s="172">
        <f>IF($G589="","",INDEX(资金台帐!$S$7:$S$3006,$G589))</f>
      </c>
      <c r="E589" s="141">
        <f>IF($G589="","",INDEX(资金台帐!$C$7:$C$3006,$G589))</f>
      </c>
      <c r="F589" s="142">
        <f>IF($G589="","",INDEX(资金台帐!$E$7:$E$3006,$G589)&amp;IF(INDEX(资金台帐!$M$7:$M$3006,$G589)="","","；"&amp;INDEX(资金台帐!$M$7:$M$3006,$G589)))</f>
      </c>
      <c r="G589" s="78">
        <f>IFERROR(MATCH(586,资金台帐!$Q$7:$Q$3006,0),"")</f>
      </c>
    </row>
    <row r="590">
      <c r="A590" s="141">
        <f>IF($G590="","",587)</f>
      </c>
      <c r="B590" s="140">
        <f>IF($G590="","",INDEX(资金台帐!$B$7:$B$3006,$G590))</f>
      </c>
      <c r="C590" s="141">
        <f>IF($G590="","",INDEX(资金台帐!$J$7:$J$3006,$G590))</f>
      </c>
      <c r="D590" s="172">
        <f>IF($G590="","",INDEX(资金台帐!$S$7:$S$3006,$G590))</f>
      </c>
      <c r="E590" s="141">
        <f>IF($G590="","",INDEX(资金台帐!$C$7:$C$3006,$G590))</f>
      </c>
      <c r="F590" s="142">
        <f>IF($G590="","",INDEX(资金台帐!$E$7:$E$3006,$G590)&amp;IF(INDEX(资金台帐!$M$7:$M$3006,$G590)="","","；"&amp;INDEX(资金台帐!$M$7:$M$3006,$G590)))</f>
      </c>
      <c r="G590" s="78">
        <f>IFERROR(MATCH(587,资金台帐!$Q$7:$Q$3006,0),"")</f>
      </c>
    </row>
    <row r="591">
      <c r="A591" s="141">
        <f>IF($G591="","",588)</f>
      </c>
      <c r="B591" s="140">
        <f>IF($G591="","",INDEX(资金台帐!$B$7:$B$3006,$G591))</f>
      </c>
      <c r="C591" s="141">
        <f>IF($G591="","",INDEX(资金台帐!$J$7:$J$3006,$G591))</f>
      </c>
      <c r="D591" s="172">
        <f>IF($G591="","",INDEX(资金台帐!$S$7:$S$3006,$G591))</f>
      </c>
      <c r="E591" s="141">
        <f>IF($G591="","",INDEX(资金台帐!$C$7:$C$3006,$G591))</f>
      </c>
      <c r="F591" s="142">
        <f>IF($G591="","",INDEX(资金台帐!$E$7:$E$3006,$G591)&amp;IF(INDEX(资金台帐!$M$7:$M$3006,$G591)="","","；"&amp;INDEX(资金台帐!$M$7:$M$3006,$G591)))</f>
      </c>
      <c r="G591" s="78">
        <f>IFERROR(MATCH(588,资金台帐!$Q$7:$Q$3006,0),"")</f>
      </c>
    </row>
    <row r="592">
      <c r="A592" s="141">
        <f>IF($G592="","",589)</f>
      </c>
      <c r="B592" s="140">
        <f>IF($G592="","",INDEX(资金台帐!$B$7:$B$3006,$G592))</f>
      </c>
      <c r="C592" s="141">
        <f>IF($G592="","",INDEX(资金台帐!$J$7:$J$3006,$G592))</f>
      </c>
      <c r="D592" s="172">
        <f>IF($G592="","",INDEX(资金台帐!$S$7:$S$3006,$G592))</f>
      </c>
      <c r="E592" s="141">
        <f>IF($G592="","",INDEX(资金台帐!$C$7:$C$3006,$G592))</f>
      </c>
      <c r="F592" s="142">
        <f>IF($G592="","",INDEX(资金台帐!$E$7:$E$3006,$G592)&amp;IF(INDEX(资金台帐!$M$7:$M$3006,$G592)="","","；"&amp;INDEX(资金台帐!$M$7:$M$3006,$G592)))</f>
      </c>
      <c r="G592" s="78">
        <f>IFERROR(MATCH(589,资金台帐!$Q$7:$Q$3006,0),"")</f>
      </c>
    </row>
    <row r="593">
      <c r="A593" s="141">
        <f>IF($G593="","",590)</f>
      </c>
      <c r="B593" s="140">
        <f>IF($G593="","",INDEX(资金台帐!$B$7:$B$3006,$G593))</f>
      </c>
      <c r="C593" s="141">
        <f>IF($G593="","",INDEX(资金台帐!$J$7:$J$3006,$G593))</f>
      </c>
      <c r="D593" s="172">
        <f>IF($G593="","",INDEX(资金台帐!$S$7:$S$3006,$G593))</f>
      </c>
      <c r="E593" s="141">
        <f>IF($G593="","",INDEX(资金台帐!$C$7:$C$3006,$G593))</f>
      </c>
      <c r="F593" s="142">
        <f>IF($G593="","",INDEX(资金台帐!$E$7:$E$3006,$G593)&amp;IF(INDEX(资金台帐!$M$7:$M$3006,$G593)="","","；"&amp;INDEX(资金台帐!$M$7:$M$3006,$G593)))</f>
      </c>
      <c r="G593" s="78">
        <f>IFERROR(MATCH(590,资金台帐!$Q$7:$Q$3006,0),"")</f>
      </c>
    </row>
    <row r="594">
      <c r="A594" s="141">
        <f>IF($G594="","",591)</f>
      </c>
      <c r="B594" s="140">
        <f>IF($G594="","",INDEX(资金台帐!$B$7:$B$3006,$G594))</f>
      </c>
      <c r="C594" s="141">
        <f>IF($G594="","",INDEX(资金台帐!$J$7:$J$3006,$G594))</f>
      </c>
      <c r="D594" s="172">
        <f>IF($G594="","",INDEX(资金台帐!$S$7:$S$3006,$G594))</f>
      </c>
      <c r="E594" s="141">
        <f>IF($G594="","",INDEX(资金台帐!$C$7:$C$3006,$G594))</f>
      </c>
      <c r="F594" s="142">
        <f>IF($G594="","",INDEX(资金台帐!$E$7:$E$3006,$G594)&amp;IF(INDEX(资金台帐!$M$7:$M$3006,$G594)="","","；"&amp;INDEX(资金台帐!$M$7:$M$3006,$G594)))</f>
      </c>
      <c r="G594" s="78">
        <f>IFERROR(MATCH(591,资金台帐!$Q$7:$Q$3006,0),"")</f>
      </c>
    </row>
    <row r="595">
      <c r="A595" s="141">
        <f>IF($G595="","",592)</f>
      </c>
      <c r="B595" s="140">
        <f>IF($G595="","",INDEX(资金台帐!$B$7:$B$3006,$G595))</f>
      </c>
      <c r="C595" s="141">
        <f>IF($G595="","",INDEX(资金台帐!$J$7:$J$3006,$G595))</f>
      </c>
      <c r="D595" s="172">
        <f>IF($G595="","",INDEX(资金台帐!$S$7:$S$3006,$G595))</f>
      </c>
      <c r="E595" s="141">
        <f>IF($G595="","",INDEX(资金台帐!$C$7:$C$3006,$G595))</f>
      </c>
      <c r="F595" s="142">
        <f>IF($G595="","",INDEX(资金台帐!$E$7:$E$3006,$G595)&amp;IF(INDEX(资金台帐!$M$7:$M$3006,$G595)="","","；"&amp;INDEX(资金台帐!$M$7:$M$3006,$G595)))</f>
      </c>
      <c r="G595" s="78">
        <f>IFERROR(MATCH(592,资金台帐!$Q$7:$Q$3006,0),"")</f>
      </c>
    </row>
    <row r="596">
      <c r="A596" s="141">
        <f>IF($G596="","",593)</f>
      </c>
      <c r="B596" s="140">
        <f>IF($G596="","",INDEX(资金台帐!$B$7:$B$3006,$G596))</f>
      </c>
      <c r="C596" s="141">
        <f>IF($G596="","",INDEX(资金台帐!$J$7:$J$3006,$G596))</f>
      </c>
      <c r="D596" s="172">
        <f>IF($G596="","",INDEX(资金台帐!$S$7:$S$3006,$G596))</f>
      </c>
      <c r="E596" s="141">
        <f>IF($G596="","",INDEX(资金台帐!$C$7:$C$3006,$G596))</f>
      </c>
      <c r="F596" s="142">
        <f>IF($G596="","",INDEX(资金台帐!$E$7:$E$3006,$G596)&amp;IF(INDEX(资金台帐!$M$7:$M$3006,$G596)="","","；"&amp;INDEX(资金台帐!$M$7:$M$3006,$G596)))</f>
      </c>
      <c r="G596" s="78">
        <f>IFERROR(MATCH(593,资金台帐!$Q$7:$Q$3006,0),"")</f>
      </c>
    </row>
    <row r="597">
      <c r="A597" s="141">
        <f>IF($G597="","",594)</f>
      </c>
      <c r="B597" s="140">
        <f>IF($G597="","",INDEX(资金台帐!$B$7:$B$3006,$G597))</f>
      </c>
      <c r="C597" s="141">
        <f>IF($G597="","",INDEX(资金台帐!$J$7:$J$3006,$G597))</f>
      </c>
      <c r="D597" s="172">
        <f>IF($G597="","",INDEX(资金台帐!$S$7:$S$3006,$G597))</f>
      </c>
      <c r="E597" s="141">
        <f>IF($G597="","",INDEX(资金台帐!$C$7:$C$3006,$G597))</f>
      </c>
      <c r="F597" s="142">
        <f>IF($G597="","",INDEX(资金台帐!$E$7:$E$3006,$G597)&amp;IF(INDEX(资金台帐!$M$7:$M$3006,$G597)="","","；"&amp;INDEX(资金台帐!$M$7:$M$3006,$G597)))</f>
      </c>
      <c r="G597" s="78">
        <f>IFERROR(MATCH(594,资金台帐!$Q$7:$Q$3006,0),"")</f>
      </c>
    </row>
    <row r="598">
      <c r="A598" s="141">
        <f>IF($G598="","",595)</f>
      </c>
      <c r="B598" s="140">
        <f>IF($G598="","",INDEX(资金台帐!$B$7:$B$3006,$G598))</f>
      </c>
      <c r="C598" s="141">
        <f>IF($G598="","",INDEX(资金台帐!$J$7:$J$3006,$G598))</f>
      </c>
      <c r="D598" s="172">
        <f>IF($G598="","",INDEX(资金台帐!$S$7:$S$3006,$G598))</f>
      </c>
      <c r="E598" s="141">
        <f>IF($G598="","",INDEX(资金台帐!$C$7:$C$3006,$G598))</f>
      </c>
      <c r="F598" s="142">
        <f>IF($G598="","",INDEX(资金台帐!$E$7:$E$3006,$G598)&amp;IF(INDEX(资金台帐!$M$7:$M$3006,$G598)="","","；"&amp;INDEX(资金台帐!$M$7:$M$3006,$G598)))</f>
      </c>
      <c r="G598" s="78">
        <f>IFERROR(MATCH(595,资金台帐!$Q$7:$Q$3006,0),"")</f>
      </c>
    </row>
    <row r="599">
      <c r="A599" s="141">
        <f>IF($G599="","",596)</f>
      </c>
      <c r="B599" s="140">
        <f>IF($G599="","",INDEX(资金台帐!$B$7:$B$3006,$G599))</f>
      </c>
      <c r="C599" s="141">
        <f>IF($G599="","",INDEX(资金台帐!$J$7:$J$3006,$G599))</f>
      </c>
      <c r="D599" s="172">
        <f>IF($G599="","",INDEX(资金台帐!$S$7:$S$3006,$G599))</f>
      </c>
      <c r="E599" s="141">
        <f>IF($G599="","",INDEX(资金台帐!$C$7:$C$3006,$G599))</f>
      </c>
      <c r="F599" s="142">
        <f>IF($G599="","",INDEX(资金台帐!$E$7:$E$3006,$G599)&amp;IF(INDEX(资金台帐!$M$7:$M$3006,$G599)="","","；"&amp;INDEX(资金台帐!$M$7:$M$3006,$G599)))</f>
      </c>
      <c r="G599" s="78">
        <f>IFERROR(MATCH(596,资金台帐!$Q$7:$Q$3006,0),"")</f>
      </c>
    </row>
    <row r="600">
      <c r="A600" s="141">
        <f>IF($G600="","",597)</f>
      </c>
      <c r="B600" s="140">
        <f>IF($G600="","",INDEX(资金台帐!$B$7:$B$3006,$G600))</f>
      </c>
      <c r="C600" s="141">
        <f>IF($G600="","",INDEX(资金台帐!$J$7:$J$3006,$G600))</f>
      </c>
      <c r="D600" s="172">
        <f>IF($G600="","",INDEX(资金台帐!$S$7:$S$3006,$G600))</f>
      </c>
      <c r="E600" s="141">
        <f>IF($G600="","",INDEX(资金台帐!$C$7:$C$3006,$G600))</f>
      </c>
      <c r="F600" s="142">
        <f>IF($G600="","",INDEX(资金台帐!$E$7:$E$3006,$G600)&amp;IF(INDEX(资金台帐!$M$7:$M$3006,$G600)="","","；"&amp;INDEX(资金台帐!$M$7:$M$3006,$G600)))</f>
      </c>
      <c r="G600" s="78">
        <f>IFERROR(MATCH(597,资金台帐!$Q$7:$Q$3006,0),"")</f>
      </c>
    </row>
    <row r="601">
      <c r="A601" s="141">
        <f>IF($G601="","",598)</f>
      </c>
      <c r="B601" s="140">
        <f>IF($G601="","",INDEX(资金台帐!$B$7:$B$3006,$G601))</f>
      </c>
      <c r="C601" s="141">
        <f>IF($G601="","",INDEX(资金台帐!$J$7:$J$3006,$G601))</f>
      </c>
      <c r="D601" s="172">
        <f>IF($G601="","",INDEX(资金台帐!$S$7:$S$3006,$G601))</f>
      </c>
      <c r="E601" s="141">
        <f>IF($G601="","",INDEX(资金台帐!$C$7:$C$3006,$G601))</f>
      </c>
      <c r="F601" s="142">
        <f>IF($G601="","",INDEX(资金台帐!$E$7:$E$3006,$G601)&amp;IF(INDEX(资金台帐!$M$7:$M$3006,$G601)="","","；"&amp;INDEX(资金台帐!$M$7:$M$3006,$G601)))</f>
      </c>
      <c r="G601" s="78">
        <f>IFERROR(MATCH(598,资金台帐!$Q$7:$Q$3006,0),"")</f>
      </c>
    </row>
    <row r="602">
      <c r="A602" s="141">
        <f>IF($G602="","",599)</f>
      </c>
      <c r="B602" s="140">
        <f>IF($G602="","",INDEX(资金台帐!$B$7:$B$3006,$G602))</f>
      </c>
      <c r="C602" s="141">
        <f>IF($G602="","",INDEX(资金台帐!$J$7:$J$3006,$G602))</f>
      </c>
      <c r="D602" s="172">
        <f>IF($G602="","",INDEX(资金台帐!$S$7:$S$3006,$G602))</f>
      </c>
      <c r="E602" s="141">
        <f>IF($G602="","",INDEX(资金台帐!$C$7:$C$3006,$G602))</f>
      </c>
      <c r="F602" s="142">
        <f>IF($G602="","",INDEX(资金台帐!$E$7:$E$3006,$G602)&amp;IF(INDEX(资金台帐!$M$7:$M$3006,$G602)="","","；"&amp;INDEX(资金台帐!$M$7:$M$3006,$G602)))</f>
      </c>
      <c r="G602" s="78">
        <f>IFERROR(MATCH(599,资金台帐!$Q$7:$Q$3006,0),"")</f>
      </c>
    </row>
    <row r="603">
      <c r="A603" s="141">
        <f>IF($G603="","",600)</f>
      </c>
      <c r="B603" s="140">
        <f>IF($G603="","",INDEX(资金台帐!$B$7:$B$3006,$G603))</f>
      </c>
      <c r="C603" s="141">
        <f>IF($G603="","",INDEX(资金台帐!$J$7:$J$3006,$G603))</f>
      </c>
      <c r="D603" s="172">
        <f>IF($G603="","",INDEX(资金台帐!$S$7:$S$3006,$G603))</f>
      </c>
      <c r="E603" s="141">
        <f>IF($G603="","",INDEX(资金台帐!$C$7:$C$3006,$G603))</f>
      </c>
      <c r="F603" s="142">
        <f>IF($G603="","",INDEX(资金台帐!$E$7:$E$3006,$G603)&amp;IF(INDEX(资金台帐!$M$7:$M$3006,$G603)="","","；"&amp;INDEX(资金台帐!$M$7:$M$3006,$G603)))</f>
      </c>
      <c r="G603" s="78">
        <f>IFERROR(MATCH(600,资金台帐!$Q$7:$Q$3006,0),"")</f>
      </c>
    </row>
    <row r="604">
      <c r="A604" s="141">
        <f>IF($G604="","",601)</f>
      </c>
      <c r="B604" s="140">
        <f>IF($G604="","",INDEX(资金台帐!$B$7:$B$3006,$G604))</f>
      </c>
      <c r="C604" s="141">
        <f>IF($G604="","",INDEX(资金台帐!$J$7:$J$3006,$G604))</f>
      </c>
      <c r="D604" s="172">
        <f>IF($G604="","",INDEX(资金台帐!$S$7:$S$3006,$G604))</f>
      </c>
      <c r="E604" s="141">
        <f>IF($G604="","",INDEX(资金台帐!$C$7:$C$3006,$G604))</f>
      </c>
      <c r="F604" s="142">
        <f>IF($G604="","",INDEX(资金台帐!$E$7:$E$3006,$G604)&amp;IF(INDEX(资金台帐!$M$7:$M$3006,$G604)="","","；"&amp;INDEX(资金台帐!$M$7:$M$3006,$G604)))</f>
      </c>
      <c r="G604" s="78">
        <f>IFERROR(MATCH(601,资金台帐!$Q$7:$Q$3006,0),"")</f>
      </c>
    </row>
    <row r="605">
      <c r="A605" s="141">
        <f>IF($G605="","",602)</f>
      </c>
      <c r="B605" s="140">
        <f>IF($G605="","",INDEX(资金台帐!$B$7:$B$3006,$G605))</f>
      </c>
      <c r="C605" s="141">
        <f>IF($G605="","",INDEX(资金台帐!$J$7:$J$3006,$G605))</f>
      </c>
      <c r="D605" s="172">
        <f>IF($G605="","",INDEX(资金台帐!$S$7:$S$3006,$G605))</f>
      </c>
      <c r="E605" s="141">
        <f>IF($G605="","",INDEX(资金台帐!$C$7:$C$3006,$G605))</f>
      </c>
      <c r="F605" s="142">
        <f>IF($G605="","",INDEX(资金台帐!$E$7:$E$3006,$G605)&amp;IF(INDEX(资金台帐!$M$7:$M$3006,$G605)="","","；"&amp;INDEX(资金台帐!$M$7:$M$3006,$G605)))</f>
      </c>
      <c r="G605" s="78">
        <f>IFERROR(MATCH(602,资金台帐!$Q$7:$Q$3006,0),"")</f>
      </c>
    </row>
    <row r="606">
      <c r="A606" s="141">
        <f>IF($G606="","",603)</f>
      </c>
      <c r="B606" s="140">
        <f>IF($G606="","",INDEX(资金台帐!$B$7:$B$3006,$G606))</f>
      </c>
      <c r="C606" s="141">
        <f>IF($G606="","",INDEX(资金台帐!$J$7:$J$3006,$G606))</f>
      </c>
      <c r="D606" s="172">
        <f>IF($G606="","",INDEX(资金台帐!$S$7:$S$3006,$G606))</f>
      </c>
      <c r="E606" s="141">
        <f>IF($G606="","",INDEX(资金台帐!$C$7:$C$3006,$G606))</f>
      </c>
      <c r="F606" s="142">
        <f>IF($G606="","",INDEX(资金台帐!$E$7:$E$3006,$G606)&amp;IF(INDEX(资金台帐!$M$7:$M$3006,$G606)="","","；"&amp;INDEX(资金台帐!$M$7:$M$3006,$G606)))</f>
      </c>
      <c r="G606" s="78">
        <f>IFERROR(MATCH(603,资金台帐!$Q$7:$Q$3006,0),"")</f>
      </c>
    </row>
    <row r="607">
      <c r="A607" s="141">
        <f>IF($G607="","",604)</f>
      </c>
      <c r="B607" s="140">
        <f>IF($G607="","",INDEX(资金台帐!$B$7:$B$3006,$G607))</f>
      </c>
      <c r="C607" s="141">
        <f>IF($G607="","",INDEX(资金台帐!$J$7:$J$3006,$G607))</f>
      </c>
      <c r="D607" s="172">
        <f>IF($G607="","",INDEX(资金台帐!$S$7:$S$3006,$G607))</f>
      </c>
      <c r="E607" s="141">
        <f>IF($G607="","",INDEX(资金台帐!$C$7:$C$3006,$G607))</f>
      </c>
      <c r="F607" s="142">
        <f>IF($G607="","",INDEX(资金台帐!$E$7:$E$3006,$G607)&amp;IF(INDEX(资金台帐!$M$7:$M$3006,$G607)="","","；"&amp;INDEX(资金台帐!$M$7:$M$3006,$G607)))</f>
      </c>
      <c r="G607" s="78">
        <f>IFERROR(MATCH(604,资金台帐!$Q$7:$Q$3006,0),"")</f>
      </c>
    </row>
    <row r="608">
      <c r="A608" s="141">
        <f>IF($G608="","",605)</f>
      </c>
      <c r="B608" s="140">
        <f>IF($G608="","",INDEX(资金台帐!$B$7:$B$3006,$G608))</f>
      </c>
      <c r="C608" s="141">
        <f>IF($G608="","",INDEX(资金台帐!$J$7:$J$3006,$G608))</f>
      </c>
      <c r="D608" s="172">
        <f>IF($G608="","",INDEX(资金台帐!$S$7:$S$3006,$G608))</f>
      </c>
      <c r="E608" s="141">
        <f>IF($G608="","",INDEX(资金台帐!$C$7:$C$3006,$G608))</f>
      </c>
      <c r="F608" s="142">
        <f>IF($G608="","",INDEX(资金台帐!$E$7:$E$3006,$G608)&amp;IF(INDEX(资金台帐!$M$7:$M$3006,$G608)="","","；"&amp;INDEX(资金台帐!$M$7:$M$3006,$G608)))</f>
      </c>
      <c r="G608" s="78">
        <f>IFERROR(MATCH(605,资金台帐!$Q$7:$Q$3006,0),"")</f>
      </c>
    </row>
    <row r="609">
      <c r="A609" s="141">
        <f>IF($G609="","",606)</f>
      </c>
      <c r="B609" s="140">
        <f>IF($G609="","",INDEX(资金台帐!$B$7:$B$3006,$G609))</f>
      </c>
      <c r="C609" s="141">
        <f>IF($G609="","",INDEX(资金台帐!$J$7:$J$3006,$G609))</f>
      </c>
      <c r="D609" s="172">
        <f>IF($G609="","",INDEX(资金台帐!$S$7:$S$3006,$G609))</f>
      </c>
      <c r="E609" s="141">
        <f>IF($G609="","",INDEX(资金台帐!$C$7:$C$3006,$G609))</f>
      </c>
      <c r="F609" s="142">
        <f>IF($G609="","",INDEX(资金台帐!$E$7:$E$3006,$G609)&amp;IF(INDEX(资金台帐!$M$7:$M$3006,$G609)="","","；"&amp;INDEX(资金台帐!$M$7:$M$3006,$G609)))</f>
      </c>
      <c r="G609" s="78">
        <f>IFERROR(MATCH(606,资金台帐!$Q$7:$Q$3006,0),"")</f>
      </c>
    </row>
    <row r="610">
      <c r="A610" s="141">
        <f>IF($G610="","",607)</f>
      </c>
      <c r="B610" s="140">
        <f>IF($G610="","",INDEX(资金台帐!$B$7:$B$3006,$G610))</f>
      </c>
      <c r="C610" s="141">
        <f>IF($G610="","",INDEX(资金台帐!$J$7:$J$3006,$G610))</f>
      </c>
      <c r="D610" s="172">
        <f>IF($G610="","",INDEX(资金台帐!$S$7:$S$3006,$G610))</f>
      </c>
      <c r="E610" s="141">
        <f>IF($G610="","",INDEX(资金台帐!$C$7:$C$3006,$G610))</f>
      </c>
      <c r="F610" s="142">
        <f>IF($G610="","",INDEX(资金台帐!$E$7:$E$3006,$G610)&amp;IF(INDEX(资金台帐!$M$7:$M$3006,$G610)="","","；"&amp;INDEX(资金台帐!$M$7:$M$3006,$G610)))</f>
      </c>
      <c r="G610" s="78">
        <f>IFERROR(MATCH(607,资金台帐!$Q$7:$Q$3006,0),"")</f>
      </c>
    </row>
    <row r="611">
      <c r="A611" s="141">
        <f>IF($G611="","",608)</f>
      </c>
      <c r="B611" s="140">
        <f>IF($G611="","",INDEX(资金台帐!$B$7:$B$3006,$G611))</f>
      </c>
      <c r="C611" s="141">
        <f>IF($G611="","",INDEX(资金台帐!$J$7:$J$3006,$G611))</f>
      </c>
      <c r="D611" s="172">
        <f>IF($G611="","",INDEX(资金台帐!$S$7:$S$3006,$G611))</f>
      </c>
      <c r="E611" s="141">
        <f>IF($G611="","",INDEX(资金台帐!$C$7:$C$3006,$G611))</f>
      </c>
      <c r="F611" s="142">
        <f>IF($G611="","",INDEX(资金台帐!$E$7:$E$3006,$G611)&amp;IF(INDEX(资金台帐!$M$7:$M$3006,$G611)="","","；"&amp;INDEX(资金台帐!$M$7:$M$3006,$G611)))</f>
      </c>
      <c r="G611" s="78">
        <f>IFERROR(MATCH(608,资金台帐!$Q$7:$Q$3006,0),"")</f>
      </c>
    </row>
    <row r="612">
      <c r="A612" s="141">
        <f>IF($G612="","",609)</f>
      </c>
      <c r="B612" s="140">
        <f>IF($G612="","",INDEX(资金台帐!$B$7:$B$3006,$G612))</f>
      </c>
      <c r="C612" s="141">
        <f>IF($G612="","",INDEX(资金台帐!$J$7:$J$3006,$G612))</f>
      </c>
      <c r="D612" s="172">
        <f>IF($G612="","",INDEX(资金台帐!$S$7:$S$3006,$G612))</f>
      </c>
      <c r="E612" s="141">
        <f>IF($G612="","",INDEX(资金台帐!$C$7:$C$3006,$G612))</f>
      </c>
      <c r="F612" s="142">
        <f>IF($G612="","",INDEX(资金台帐!$E$7:$E$3006,$G612)&amp;IF(INDEX(资金台帐!$M$7:$M$3006,$G612)="","","；"&amp;INDEX(资金台帐!$M$7:$M$3006,$G612)))</f>
      </c>
      <c r="G612" s="78">
        <f>IFERROR(MATCH(609,资金台帐!$Q$7:$Q$3006,0),"")</f>
      </c>
    </row>
    <row r="613">
      <c r="A613" s="141">
        <f>IF($G613="","",610)</f>
      </c>
      <c r="B613" s="140">
        <f>IF($G613="","",INDEX(资金台帐!$B$7:$B$3006,$G613))</f>
      </c>
      <c r="C613" s="141">
        <f>IF($G613="","",INDEX(资金台帐!$J$7:$J$3006,$G613))</f>
      </c>
      <c r="D613" s="172">
        <f>IF($G613="","",INDEX(资金台帐!$S$7:$S$3006,$G613))</f>
      </c>
      <c r="E613" s="141">
        <f>IF($G613="","",INDEX(资金台帐!$C$7:$C$3006,$G613))</f>
      </c>
      <c r="F613" s="142">
        <f>IF($G613="","",INDEX(资金台帐!$E$7:$E$3006,$G613)&amp;IF(INDEX(资金台帐!$M$7:$M$3006,$G613)="","","；"&amp;INDEX(资金台帐!$M$7:$M$3006,$G613)))</f>
      </c>
      <c r="G613" s="78">
        <f>IFERROR(MATCH(610,资金台帐!$Q$7:$Q$3006,0),"")</f>
      </c>
    </row>
    <row r="614">
      <c r="A614" s="141">
        <f>IF($G614="","",611)</f>
      </c>
      <c r="B614" s="140">
        <f>IF($G614="","",INDEX(资金台帐!$B$7:$B$3006,$G614))</f>
      </c>
      <c r="C614" s="141">
        <f>IF($G614="","",INDEX(资金台帐!$J$7:$J$3006,$G614))</f>
      </c>
      <c r="D614" s="172">
        <f>IF($G614="","",INDEX(资金台帐!$S$7:$S$3006,$G614))</f>
      </c>
      <c r="E614" s="141">
        <f>IF($G614="","",INDEX(资金台帐!$C$7:$C$3006,$G614))</f>
      </c>
      <c r="F614" s="142">
        <f>IF($G614="","",INDEX(资金台帐!$E$7:$E$3006,$G614)&amp;IF(INDEX(资金台帐!$M$7:$M$3006,$G614)="","","；"&amp;INDEX(资金台帐!$M$7:$M$3006,$G614)))</f>
      </c>
      <c r="G614" s="78">
        <f>IFERROR(MATCH(611,资金台帐!$Q$7:$Q$3006,0),"")</f>
      </c>
    </row>
    <row r="615">
      <c r="A615" s="141">
        <f>IF($G615="","",612)</f>
      </c>
      <c r="B615" s="140">
        <f>IF($G615="","",INDEX(资金台帐!$B$7:$B$3006,$G615))</f>
      </c>
      <c r="C615" s="141">
        <f>IF($G615="","",INDEX(资金台帐!$J$7:$J$3006,$G615))</f>
      </c>
      <c r="D615" s="172">
        <f>IF($G615="","",INDEX(资金台帐!$S$7:$S$3006,$G615))</f>
      </c>
      <c r="E615" s="141">
        <f>IF($G615="","",INDEX(资金台帐!$C$7:$C$3006,$G615))</f>
      </c>
      <c r="F615" s="142">
        <f>IF($G615="","",INDEX(资金台帐!$E$7:$E$3006,$G615)&amp;IF(INDEX(资金台帐!$M$7:$M$3006,$G615)="","","；"&amp;INDEX(资金台帐!$M$7:$M$3006,$G615)))</f>
      </c>
      <c r="G615" s="78">
        <f>IFERROR(MATCH(612,资金台帐!$Q$7:$Q$3006,0),"")</f>
      </c>
    </row>
    <row r="616">
      <c r="A616" s="141">
        <f>IF($G616="","",613)</f>
      </c>
      <c r="B616" s="140">
        <f>IF($G616="","",INDEX(资金台帐!$B$7:$B$3006,$G616))</f>
      </c>
      <c r="C616" s="141">
        <f>IF($G616="","",INDEX(资金台帐!$J$7:$J$3006,$G616))</f>
      </c>
      <c r="D616" s="172">
        <f>IF($G616="","",INDEX(资金台帐!$S$7:$S$3006,$G616))</f>
      </c>
      <c r="E616" s="141">
        <f>IF($G616="","",INDEX(资金台帐!$C$7:$C$3006,$G616))</f>
      </c>
      <c r="F616" s="142">
        <f>IF($G616="","",INDEX(资金台帐!$E$7:$E$3006,$G616)&amp;IF(INDEX(资金台帐!$M$7:$M$3006,$G616)="","","；"&amp;INDEX(资金台帐!$M$7:$M$3006,$G616)))</f>
      </c>
      <c r="G616" s="78">
        <f>IFERROR(MATCH(613,资金台帐!$Q$7:$Q$3006,0),"")</f>
      </c>
    </row>
    <row r="617">
      <c r="A617" s="141">
        <f>IF($G617="","",614)</f>
      </c>
      <c r="B617" s="140">
        <f>IF($G617="","",INDEX(资金台帐!$B$7:$B$3006,$G617))</f>
      </c>
      <c r="C617" s="141">
        <f>IF($G617="","",INDEX(资金台帐!$J$7:$J$3006,$G617))</f>
      </c>
      <c r="D617" s="172">
        <f>IF($G617="","",INDEX(资金台帐!$S$7:$S$3006,$G617))</f>
      </c>
      <c r="E617" s="141">
        <f>IF($G617="","",INDEX(资金台帐!$C$7:$C$3006,$G617))</f>
      </c>
      <c r="F617" s="142">
        <f>IF($G617="","",INDEX(资金台帐!$E$7:$E$3006,$G617)&amp;IF(INDEX(资金台帐!$M$7:$M$3006,$G617)="","","；"&amp;INDEX(资金台帐!$M$7:$M$3006,$G617)))</f>
      </c>
      <c r="G617" s="78">
        <f>IFERROR(MATCH(614,资金台帐!$Q$7:$Q$3006,0),"")</f>
      </c>
    </row>
    <row r="618">
      <c r="A618" s="141">
        <f>IF($G618="","",615)</f>
      </c>
      <c r="B618" s="140">
        <f>IF($G618="","",INDEX(资金台帐!$B$7:$B$3006,$G618))</f>
      </c>
      <c r="C618" s="141">
        <f>IF($G618="","",INDEX(资金台帐!$J$7:$J$3006,$G618))</f>
      </c>
      <c r="D618" s="172">
        <f>IF($G618="","",INDEX(资金台帐!$S$7:$S$3006,$G618))</f>
      </c>
      <c r="E618" s="141">
        <f>IF($G618="","",INDEX(资金台帐!$C$7:$C$3006,$G618))</f>
      </c>
      <c r="F618" s="142">
        <f>IF($G618="","",INDEX(资金台帐!$E$7:$E$3006,$G618)&amp;IF(INDEX(资金台帐!$M$7:$M$3006,$G618)="","","；"&amp;INDEX(资金台帐!$M$7:$M$3006,$G618)))</f>
      </c>
      <c r="G618" s="78">
        <f>IFERROR(MATCH(615,资金台帐!$Q$7:$Q$3006,0),"")</f>
      </c>
    </row>
    <row r="619">
      <c r="A619" s="141">
        <f>IF($G619="","",616)</f>
      </c>
      <c r="B619" s="140">
        <f>IF($G619="","",INDEX(资金台帐!$B$7:$B$3006,$G619))</f>
      </c>
      <c r="C619" s="141">
        <f>IF($G619="","",INDEX(资金台帐!$J$7:$J$3006,$G619))</f>
      </c>
      <c r="D619" s="172">
        <f>IF($G619="","",INDEX(资金台帐!$S$7:$S$3006,$G619))</f>
      </c>
      <c r="E619" s="141">
        <f>IF($G619="","",INDEX(资金台帐!$C$7:$C$3006,$G619))</f>
      </c>
      <c r="F619" s="142">
        <f>IF($G619="","",INDEX(资金台帐!$E$7:$E$3006,$G619)&amp;IF(INDEX(资金台帐!$M$7:$M$3006,$G619)="","","；"&amp;INDEX(资金台帐!$M$7:$M$3006,$G619)))</f>
      </c>
      <c r="G619" s="78">
        <f>IFERROR(MATCH(616,资金台帐!$Q$7:$Q$3006,0),"")</f>
      </c>
    </row>
    <row r="620">
      <c r="A620" s="141">
        <f>IF($G620="","",617)</f>
      </c>
      <c r="B620" s="140">
        <f>IF($G620="","",INDEX(资金台帐!$B$7:$B$3006,$G620))</f>
      </c>
      <c r="C620" s="141">
        <f>IF($G620="","",INDEX(资金台帐!$J$7:$J$3006,$G620))</f>
      </c>
      <c r="D620" s="172">
        <f>IF($G620="","",INDEX(资金台帐!$S$7:$S$3006,$G620))</f>
      </c>
      <c r="E620" s="141">
        <f>IF($G620="","",INDEX(资金台帐!$C$7:$C$3006,$G620))</f>
      </c>
      <c r="F620" s="142">
        <f>IF($G620="","",INDEX(资金台帐!$E$7:$E$3006,$G620)&amp;IF(INDEX(资金台帐!$M$7:$M$3006,$G620)="","","；"&amp;INDEX(资金台帐!$M$7:$M$3006,$G620)))</f>
      </c>
      <c r="G620" s="78">
        <f>IFERROR(MATCH(617,资金台帐!$Q$7:$Q$3006,0),"")</f>
      </c>
    </row>
    <row r="621">
      <c r="A621" s="141">
        <f>IF($G621="","",618)</f>
      </c>
      <c r="B621" s="140">
        <f>IF($G621="","",INDEX(资金台帐!$B$7:$B$3006,$G621))</f>
      </c>
      <c r="C621" s="141">
        <f>IF($G621="","",INDEX(资金台帐!$J$7:$J$3006,$G621))</f>
      </c>
      <c r="D621" s="172">
        <f>IF($G621="","",INDEX(资金台帐!$S$7:$S$3006,$G621))</f>
      </c>
      <c r="E621" s="141">
        <f>IF($G621="","",INDEX(资金台帐!$C$7:$C$3006,$G621))</f>
      </c>
      <c r="F621" s="142">
        <f>IF($G621="","",INDEX(资金台帐!$E$7:$E$3006,$G621)&amp;IF(INDEX(资金台帐!$M$7:$M$3006,$G621)="","","；"&amp;INDEX(资金台帐!$M$7:$M$3006,$G621)))</f>
      </c>
      <c r="G621" s="78">
        <f>IFERROR(MATCH(618,资金台帐!$Q$7:$Q$3006,0),"")</f>
      </c>
    </row>
    <row r="622">
      <c r="A622" s="141">
        <f>IF($G622="","",619)</f>
      </c>
      <c r="B622" s="140">
        <f>IF($G622="","",INDEX(资金台帐!$B$7:$B$3006,$G622))</f>
      </c>
      <c r="C622" s="141">
        <f>IF($G622="","",INDEX(资金台帐!$J$7:$J$3006,$G622))</f>
      </c>
      <c r="D622" s="172">
        <f>IF($G622="","",INDEX(资金台帐!$S$7:$S$3006,$G622))</f>
      </c>
      <c r="E622" s="141">
        <f>IF($G622="","",INDEX(资金台帐!$C$7:$C$3006,$G622))</f>
      </c>
      <c r="F622" s="142">
        <f>IF($G622="","",INDEX(资金台帐!$E$7:$E$3006,$G622)&amp;IF(INDEX(资金台帐!$M$7:$M$3006,$G622)="","","；"&amp;INDEX(资金台帐!$M$7:$M$3006,$G622)))</f>
      </c>
      <c r="G622" s="78">
        <f>IFERROR(MATCH(619,资金台帐!$Q$7:$Q$3006,0),"")</f>
      </c>
    </row>
    <row r="623">
      <c r="A623" s="141">
        <f>IF($G623="","",620)</f>
      </c>
      <c r="B623" s="140">
        <f>IF($G623="","",INDEX(资金台帐!$B$7:$B$3006,$G623))</f>
      </c>
      <c r="C623" s="141">
        <f>IF($G623="","",INDEX(资金台帐!$J$7:$J$3006,$G623))</f>
      </c>
      <c r="D623" s="172">
        <f>IF($G623="","",INDEX(资金台帐!$S$7:$S$3006,$G623))</f>
      </c>
      <c r="E623" s="141">
        <f>IF($G623="","",INDEX(资金台帐!$C$7:$C$3006,$G623))</f>
      </c>
      <c r="F623" s="142">
        <f>IF($G623="","",INDEX(资金台帐!$E$7:$E$3006,$G623)&amp;IF(INDEX(资金台帐!$M$7:$M$3006,$G623)="","","；"&amp;INDEX(资金台帐!$M$7:$M$3006,$G623)))</f>
      </c>
      <c r="G623" s="78">
        <f>IFERROR(MATCH(620,资金台帐!$Q$7:$Q$3006,0),"")</f>
      </c>
    </row>
    <row r="624">
      <c r="A624" s="141">
        <f>IF($G624="","",621)</f>
      </c>
      <c r="B624" s="140">
        <f>IF($G624="","",INDEX(资金台帐!$B$7:$B$3006,$G624))</f>
      </c>
      <c r="C624" s="141">
        <f>IF($G624="","",INDEX(资金台帐!$J$7:$J$3006,$G624))</f>
      </c>
      <c r="D624" s="172">
        <f>IF($G624="","",INDEX(资金台帐!$S$7:$S$3006,$G624))</f>
      </c>
      <c r="E624" s="141">
        <f>IF($G624="","",INDEX(资金台帐!$C$7:$C$3006,$G624))</f>
      </c>
      <c r="F624" s="142">
        <f>IF($G624="","",INDEX(资金台帐!$E$7:$E$3006,$G624)&amp;IF(INDEX(资金台帐!$M$7:$M$3006,$G624)="","","；"&amp;INDEX(资金台帐!$M$7:$M$3006,$G624)))</f>
      </c>
      <c r="G624" s="78">
        <f>IFERROR(MATCH(621,资金台帐!$Q$7:$Q$3006,0),"")</f>
      </c>
    </row>
    <row r="625">
      <c r="A625" s="141">
        <f>IF($G625="","",622)</f>
      </c>
      <c r="B625" s="140">
        <f>IF($G625="","",INDEX(资金台帐!$B$7:$B$3006,$G625))</f>
      </c>
      <c r="C625" s="141">
        <f>IF($G625="","",INDEX(资金台帐!$J$7:$J$3006,$G625))</f>
      </c>
      <c r="D625" s="172">
        <f>IF($G625="","",INDEX(资金台帐!$S$7:$S$3006,$G625))</f>
      </c>
      <c r="E625" s="141">
        <f>IF($G625="","",INDEX(资金台帐!$C$7:$C$3006,$G625))</f>
      </c>
      <c r="F625" s="142">
        <f>IF($G625="","",INDEX(资金台帐!$E$7:$E$3006,$G625)&amp;IF(INDEX(资金台帐!$M$7:$M$3006,$G625)="","","；"&amp;INDEX(资金台帐!$M$7:$M$3006,$G625)))</f>
      </c>
      <c r="G625" s="78">
        <f>IFERROR(MATCH(622,资金台帐!$Q$7:$Q$3006,0),"")</f>
      </c>
    </row>
    <row r="626">
      <c r="A626" s="141">
        <f>IF($G626="","",623)</f>
      </c>
      <c r="B626" s="140">
        <f>IF($G626="","",INDEX(资金台帐!$B$7:$B$3006,$G626))</f>
      </c>
      <c r="C626" s="141">
        <f>IF($G626="","",INDEX(资金台帐!$J$7:$J$3006,$G626))</f>
      </c>
      <c r="D626" s="172">
        <f>IF($G626="","",INDEX(资金台帐!$S$7:$S$3006,$G626))</f>
      </c>
      <c r="E626" s="141">
        <f>IF($G626="","",INDEX(资金台帐!$C$7:$C$3006,$G626))</f>
      </c>
      <c r="F626" s="142">
        <f>IF($G626="","",INDEX(资金台帐!$E$7:$E$3006,$G626)&amp;IF(INDEX(资金台帐!$M$7:$M$3006,$G626)="","","；"&amp;INDEX(资金台帐!$M$7:$M$3006,$G626)))</f>
      </c>
      <c r="G626" s="78">
        <f>IFERROR(MATCH(623,资金台帐!$Q$7:$Q$3006,0),"")</f>
      </c>
    </row>
    <row r="627">
      <c r="A627" s="141">
        <f>IF($G627="","",624)</f>
      </c>
      <c r="B627" s="140">
        <f>IF($G627="","",INDEX(资金台帐!$B$7:$B$3006,$G627))</f>
      </c>
      <c r="C627" s="141">
        <f>IF($G627="","",INDEX(资金台帐!$J$7:$J$3006,$G627))</f>
      </c>
      <c r="D627" s="172">
        <f>IF($G627="","",INDEX(资金台帐!$S$7:$S$3006,$G627))</f>
      </c>
      <c r="E627" s="141">
        <f>IF($G627="","",INDEX(资金台帐!$C$7:$C$3006,$G627))</f>
      </c>
      <c r="F627" s="142">
        <f>IF($G627="","",INDEX(资金台帐!$E$7:$E$3006,$G627)&amp;IF(INDEX(资金台帐!$M$7:$M$3006,$G627)="","","；"&amp;INDEX(资金台帐!$M$7:$M$3006,$G627)))</f>
      </c>
      <c r="G627" s="78">
        <f>IFERROR(MATCH(624,资金台帐!$Q$7:$Q$3006,0),"")</f>
      </c>
    </row>
    <row r="628">
      <c r="A628" s="141">
        <f>IF($G628="","",625)</f>
      </c>
      <c r="B628" s="140">
        <f>IF($G628="","",INDEX(资金台帐!$B$7:$B$3006,$G628))</f>
      </c>
      <c r="C628" s="141">
        <f>IF($G628="","",INDEX(资金台帐!$J$7:$J$3006,$G628))</f>
      </c>
      <c r="D628" s="172">
        <f>IF($G628="","",INDEX(资金台帐!$S$7:$S$3006,$G628))</f>
      </c>
      <c r="E628" s="141">
        <f>IF($G628="","",INDEX(资金台帐!$C$7:$C$3006,$G628))</f>
      </c>
      <c r="F628" s="142">
        <f>IF($G628="","",INDEX(资金台帐!$E$7:$E$3006,$G628)&amp;IF(INDEX(资金台帐!$M$7:$M$3006,$G628)="","","；"&amp;INDEX(资金台帐!$M$7:$M$3006,$G628)))</f>
      </c>
      <c r="G628" s="78">
        <f>IFERROR(MATCH(625,资金台帐!$Q$7:$Q$3006,0),"")</f>
      </c>
    </row>
    <row r="629">
      <c r="A629" s="141">
        <f>IF($G629="","",626)</f>
      </c>
      <c r="B629" s="140">
        <f>IF($G629="","",INDEX(资金台帐!$B$7:$B$3006,$G629))</f>
      </c>
      <c r="C629" s="141">
        <f>IF($G629="","",INDEX(资金台帐!$J$7:$J$3006,$G629))</f>
      </c>
      <c r="D629" s="172">
        <f>IF($G629="","",INDEX(资金台帐!$S$7:$S$3006,$G629))</f>
      </c>
      <c r="E629" s="141">
        <f>IF($G629="","",INDEX(资金台帐!$C$7:$C$3006,$G629))</f>
      </c>
      <c r="F629" s="142">
        <f>IF($G629="","",INDEX(资金台帐!$E$7:$E$3006,$G629)&amp;IF(INDEX(资金台帐!$M$7:$M$3006,$G629)="","","；"&amp;INDEX(资金台帐!$M$7:$M$3006,$G629)))</f>
      </c>
      <c r="G629" s="78">
        <f>IFERROR(MATCH(626,资金台帐!$Q$7:$Q$3006,0),"")</f>
      </c>
    </row>
    <row r="630">
      <c r="A630" s="141">
        <f>IF($G630="","",627)</f>
      </c>
      <c r="B630" s="140">
        <f>IF($G630="","",INDEX(资金台帐!$B$7:$B$3006,$G630))</f>
      </c>
      <c r="C630" s="141">
        <f>IF($G630="","",INDEX(资金台帐!$J$7:$J$3006,$G630))</f>
      </c>
      <c r="D630" s="172">
        <f>IF($G630="","",INDEX(资金台帐!$S$7:$S$3006,$G630))</f>
      </c>
      <c r="E630" s="141">
        <f>IF($G630="","",INDEX(资金台帐!$C$7:$C$3006,$G630))</f>
      </c>
      <c r="F630" s="142">
        <f>IF($G630="","",INDEX(资金台帐!$E$7:$E$3006,$G630)&amp;IF(INDEX(资金台帐!$M$7:$M$3006,$G630)="","","；"&amp;INDEX(资金台帐!$M$7:$M$3006,$G630)))</f>
      </c>
      <c r="G630" s="78">
        <f>IFERROR(MATCH(627,资金台帐!$Q$7:$Q$3006,0),"")</f>
      </c>
    </row>
    <row r="631">
      <c r="A631" s="141">
        <f>IF($G631="","",628)</f>
      </c>
      <c r="B631" s="140">
        <f>IF($G631="","",INDEX(资金台帐!$B$7:$B$3006,$G631))</f>
      </c>
      <c r="C631" s="141">
        <f>IF($G631="","",INDEX(资金台帐!$J$7:$J$3006,$G631))</f>
      </c>
      <c r="D631" s="172">
        <f>IF($G631="","",INDEX(资金台帐!$S$7:$S$3006,$G631))</f>
      </c>
      <c r="E631" s="141">
        <f>IF($G631="","",INDEX(资金台帐!$C$7:$C$3006,$G631))</f>
      </c>
      <c r="F631" s="142">
        <f>IF($G631="","",INDEX(资金台帐!$E$7:$E$3006,$G631)&amp;IF(INDEX(资金台帐!$M$7:$M$3006,$G631)="","","；"&amp;INDEX(资金台帐!$M$7:$M$3006,$G631)))</f>
      </c>
      <c r="G631" s="78">
        <f>IFERROR(MATCH(628,资金台帐!$Q$7:$Q$3006,0),"")</f>
      </c>
    </row>
    <row r="632">
      <c r="A632" s="141">
        <f>IF($G632="","",629)</f>
      </c>
      <c r="B632" s="140">
        <f>IF($G632="","",INDEX(资金台帐!$B$7:$B$3006,$G632))</f>
      </c>
      <c r="C632" s="141">
        <f>IF($G632="","",INDEX(资金台帐!$J$7:$J$3006,$G632))</f>
      </c>
      <c r="D632" s="172">
        <f>IF($G632="","",INDEX(资金台帐!$S$7:$S$3006,$G632))</f>
      </c>
      <c r="E632" s="141">
        <f>IF($G632="","",INDEX(资金台帐!$C$7:$C$3006,$G632))</f>
      </c>
      <c r="F632" s="142">
        <f>IF($G632="","",INDEX(资金台帐!$E$7:$E$3006,$G632)&amp;IF(INDEX(资金台帐!$M$7:$M$3006,$G632)="","","；"&amp;INDEX(资金台帐!$M$7:$M$3006,$G632)))</f>
      </c>
      <c r="G632" s="78">
        <f>IFERROR(MATCH(629,资金台帐!$Q$7:$Q$3006,0),"")</f>
      </c>
    </row>
    <row r="633">
      <c r="A633" s="141">
        <f>IF($G633="","",630)</f>
      </c>
      <c r="B633" s="140">
        <f>IF($G633="","",INDEX(资金台帐!$B$7:$B$3006,$G633))</f>
      </c>
      <c r="C633" s="141">
        <f>IF($G633="","",INDEX(资金台帐!$J$7:$J$3006,$G633))</f>
      </c>
      <c r="D633" s="172">
        <f>IF($G633="","",INDEX(资金台帐!$S$7:$S$3006,$G633))</f>
      </c>
      <c r="E633" s="141">
        <f>IF($G633="","",INDEX(资金台帐!$C$7:$C$3006,$G633))</f>
      </c>
      <c r="F633" s="142">
        <f>IF($G633="","",INDEX(资金台帐!$E$7:$E$3006,$G633)&amp;IF(INDEX(资金台帐!$M$7:$M$3006,$G633)="","","；"&amp;INDEX(资金台帐!$M$7:$M$3006,$G633)))</f>
      </c>
      <c r="G633" s="78">
        <f>IFERROR(MATCH(630,资金台帐!$Q$7:$Q$3006,0),"")</f>
      </c>
    </row>
    <row r="634">
      <c r="A634" s="141">
        <f>IF($G634="","",631)</f>
      </c>
      <c r="B634" s="140">
        <f>IF($G634="","",INDEX(资金台帐!$B$7:$B$3006,$G634))</f>
      </c>
      <c r="C634" s="141">
        <f>IF($G634="","",INDEX(资金台帐!$J$7:$J$3006,$G634))</f>
      </c>
      <c r="D634" s="172">
        <f>IF($G634="","",INDEX(资金台帐!$S$7:$S$3006,$G634))</f>
      </c>
      <c r="E634" s="141">
        <f>IF($G634="","",INDEX(资金台帐!$C$7:$C$3006,$G634))</f>
      </c>
      <c r="F634" s="142">
        <f>IF($G634="","",INDEX(资金台帐!$E$7:$E$3006,$G634)&amp;IF(INDEX(资金台帐!$M$7:$M$3006,$G634)="","","；"&amp;INDEX(资金台帐!$M$7:$M$3006,$G634)))</f>
      </c>
      <c r="G634" s="78">
        <f>IFERROR(MATCH(631,资金台帐!$Q$7:$Q$3006,0),"")</f>
      </c>
    </row>
    <row r="635">
      <c r="A635" s="141">
        <f>IF($G635="","",632)</f>
      </c>
      <c r="B635" s="140">
        <f>IF($G635="","",INDEX(资金台帐!$B$7:$B$3006,$G635))</f>
      </c>
      <c r="C635" s="141">
        <f>IF($G635="","",INDEX(资金台帐!$J$7:$J$3006,$G635))</f>
      </c>
      <c r="D635" s="172">
        <f>IF($G635="","",INDEX(资金台帐!$S$7:$S$3006,$G635))</f>
      </c>
      <c r="E635" s="141">
        <f>IF($G635="","",INDEX(资金台帐!$C$7:$C$3006,$G635))</f>
      </c>
      <c r="F635" s="142">
        <f>IF($G635="","",INDEX(资金台帐!$E$7:$E$3006,$G635)&amp;IF(INDEX(资金台帐!$M$7:$M$3006,$G635)="","","；"&amp;INDEX(资金台帐!$M$7:$M$3006,$G635)))</f>
      </c>
      <c r="G635" s="78">
        <f>IFERROR(MATCH(632,资金台帐!$Q$7:$Q$3006,0),"")</f>
      </c>
    </row>
    <row r="636">
      <c r="A636" s="141">
        <f>IF($G636="","",633)</f>
      </c>
      <c r="B636" s="140">
        <f>IF($G636="","",INDEX(资金台帐!$B$7:$B$3006,$G636))</f>
      </c>
      <c r="C636" s="141">
        <f>IF($G636="","",INDEX(资金台帐!$J$7:$J$3006,$G636))</f>
      </c>
      <c r="D636" s="172">
        <f>IF($G636="","",INDEX(资金台帐!$S$7:$S$3006,$G636))</f>
      </c>
      <c r="E636" s="141">
        <f>IF($G636="","",INDEX(资金台帐!$C$7:$C$3006,$G636))</f>
      </c>
      <c r="F636" s="142">
        <f>IF($G636="","",INDEX(资金台帐!$E$7:$E$3006,$G636)&amp;IF(INDEX(资金台帐!$M$7:$M$3006,$G636)="","","；"&amp;INDEX(资金台帐!$M$7:$M$3006,$G636)))</f>
      </c>
      <c r="G636" s="78">
        <f>IFERROR(MATCH(633,资金台帐!$Q$7:$Q$3006,0),"")</f>
      </c>
    </row>
    <row r="637">
      <c r="A637" s="141">
        <f>IF($G637="","",634)</f>
      </c>
      <c r="B637" s="140">
        <f>IF($G637="","",INDEX(资金台帐!$B$7:$B$3006,$G637))</f>
      </c>
      <c r="C637" s="141">
        <f>IF($G637="","",INDEX(资金台帐!$J$7:$J$3006,$G637))</f>
      </c>
      <c r="D637" s="172">
        <f>IF($G637="","",INDEX(资金台帐!$S$7:$S$3006,$G637))</f>
      </c>
      <c r="E637" s="141">
        <f>IF($G637="","",INDEX(资金台帐!$C$7:$C$3006,$G637))</f>
      </c>
      <c r="F637" s="142">
        <f>IF($G637="","",INDEX(资金台帐!$E$7:$E$3006,$G637)&amp;IF(INDEX(资金台帐!$M$7:$M$3006,$G637)="","","；"&amp;INDEX(资金台帐!$M$7:$M$3006,$G637)))</f>
      </c>
      <c r="G637" s="78">
        <f>IFERROR(MATCH(634,资金台帐!$Q$7:$Q$3006,0),"")</f>
      </c>
    </row>
    <row r="638">
      <c r="A638" s="141">
        <f>IF($G638="","",635)</f>
      </c>
      <c r="B638" s="140">
        <f>IF($G638="","",INDEX(资金台帐!$B$7:$B$3006,$G638))</f>
      </c>
      <c r="C638" s="141">
        <f>IF($G638="","",INDEX(资金台帐!$J$7:$J$3006,$G638))</f>
      </c>
      <c r="D638" s="172">
        <f>IF($G638="","",INDEX(资金台帐!$S$7:$S$3006,$G638))</f>
      </c>
      <c r="E638" s="141">
        <f>IF($G638="","",INDEX(资金台帐!$C$7:$C$3006,$G638))</f>
      </c>
      <c r="F638" s="142">
        <f>IF($G638="","",INDEX(资金台帐!$E$7:$E$3006,$G638)&amp;IF(INDEX(资金台帐!$M$7:$M$3006,$G638)="","","；"&amp;INDEX(资金台帐!$M$7:$M$3006,$G638)))</f>
      </c>
      <c r="G638" s="78">
        <f>IFERROR(MATCH(635,资金台帐!$Q$7:$Q$3006,0),"")</f>
      </c>
    </row>
    <row r="639">
      <c r="A639" s="141">
        <f>IF($G639="","",636)</f>
      </c>
      <c r="B639" s="140">
        <f>IF($G639="","",INDEX(资金台帐!$B$7:$B$3006,$G639))</f>
      </c>
      <c r="C639" s="141">
        <f>IF($G639="","",INDEX(资金台帐!$J$7:$J$3006,$G639))</f>
      </c>
      <c r="D639" s="172">
        <f>IF($G639="","",INDEX(资金台帐!$S$7:$S$3006,$G639))</f>
      </c>
      <c r="E639" s="141">
        <f>IF($G639="","",INDEX(资金台帐!$C$7:$C$3006,$G639))</f>
      </c>
      <c r="F639" s="142">
        <f>IF($G639="","",INDEX(资金台帐!$E$7:$E$3006,$G639)&amp;IF(INDEX(资金台帐!$M$7:$M$3006,$G639)="","","；"&amp;INDEX(资金台帐!$M$7:$M$3006,$G639)))</f>
      </c>
      <c r="G639" s="78">
        <f>IFERROR(MATCH(636,资金台帐!$Q$7:$Q$3006,0),"")</f>
      </c>
    </row>
    <row r="640">
      <c r="A640" s="141">
        <f>IF($G640="","",637)</f>
      </c>
      <c r="B640" s="140">
        <f>IF($G640="","",INDEX(资金台帐!$B$7:$B$3006,$G640))</f>
      </c>
      <c r="C640" s="141">
        <f>IF($G640="","",INDEX(资金台帐!$J$7:$J$3006,$G640))</f>
      </c>
      <c r="D640" s="172">
        <f>IF($G640="","",INDEX(资金台帐!$S$7:$S$3006,$G640))</f>
      </c>
      <c r="E640" s="141">
        <f>IF($G640="","",INDEX(资金台帐!$C$7:$C$3006,$G640))</f>
      </c>
      <c r="F640" s="142">
        <f>IF($G640="","",INDEX(资金台帐!$E$7:$E$3006,$G640)&amp;IF(INDEX(资金台帐!$M$7:$M$3006,$G640)="","","；"&amp;INDEX(资金台帐!$M$7:$M$3006,$G640)))</f>
      </c>
      <c r="G640" s="78">
        <f>IFERROR(MATCH(637,资金台帐!$Q$7:$Q$3006,0),"")</f>
      </c>
    </row>
    <row r="641">
      <c r="A641" s="141">
        <f>IF($G641="","",638)</f>
      </c>
      <c r="B641" s="140">
        <f>IF($G641="","",INDEX(资金台帐!$B$7:$B$3006,$G641))</f>
      </c>
      <c r="C641" s="141">
        <f>IF($G641="","",INDEX(资金台帐!$J$7:$J$3006,$G641))</f>
      </c>
      <c r="D641" s="172">
        <f>IF($G641="","",INDEX(资金台帐!$S$7:$S$3006,$G641))</f>
      </c>
      <c r="E641" s="141">
        <f>IF($G641="","",INDEX(资金台帐!$C$7:$C$3006,$G641))</f>
      </c>
      <c r="F641" s="142">
        <f>IF($G641="","",INDEX(资金台帐!$E$7:$E$3006,$G641)&amp;IF(INDEX(资金台帐!$M$7:$M$3006,$G641)="","","；"&amp;INDEX(资金台帐!$M$7:$M$3006,$G641)))</f>
      </c>
      <c r="G641" s="78">
        <f>IFERROR(MATCH(638,资金台帐!$Q$7:$Q$3006,0),"")</f>
      </c>
    </row>
    <row r="642">
      <c r="A642" s="141">
        <f>IF($G642="","",639)</f>
      </c>
      <c r="B642" s="140">
        <f>IF($G642="","",INDEX(资金台帐!$B$7:$B$3006,$G642))</f>
      </c>
      <c r="C642" s="141">
        <f>IF($G642="","",INDEX(资金台帐!$J$7:$J$3006,$G642))</f>
      </c>
      <c r="D642" s="172">
        <f>IF($G642="","",INDEX(资金台帐!$S$7:$S$3006,$G642))</f>
      </c>
      <c r="E642" s="141">
        <f>IF($G642="","",INDEX(资金台帐!$C$7:$C$3006,$G642))</f>
      </c>
      <c r="F642" s="142">
        <f>IF($G642="","",INDEX(资金台帐!$E$7:$E$3006,$G642)&amp;IF(INDEX(资金台帐!$M$7:$M$3006,$G642)="","","；"&amp;INDEX(资金台帐!$M$7:$M$3006,$G642)))</f>
      </c>
      <c r="G642" s="78">
        <f>IFERROR(MATCH(639,资金台帐!$Q$7:$Q$3006,0),"")</f>
      </c>
    </row>
    <row r="643">
      <c r="A643" s="141">
        <f>IF($G643="","",640)</f>
      </c>
      <c r="B643" s="140">
        <f>IF($G643="","",INDEX(资金台帐!$B$7:$B$3006,$G643))</f>
      </c>
      <c r="C643" s="141">
        <f>IF($G643="","",INDEX(资金台帐!$J$7:$J$3006,$G643))</f>
      </c>
      <c r="D643" s="172">
        <f>IF($G643="","",INDEX(资金台帐!$S$7:$S$3006,$G643))</f>
      </c>
      <c r="E643" s="141">
        <f>IF($G643="","",INDEX(资金台帐!$C$7:$C$3006,$G643))</f>
      </c>
      <c r="F643" s="142">
        <f>IF($G643="","",INDEX(资金台帐!$E$7:$E$3006,$G643)&amp;IF(INDEX(资金台帐!$M$7:$M$3006,$G643)="","","；"&amp;INDEX(资金台帐!$M$7:$M$3006,$G643)))</f>
      </c>
      <c r="G643" s="78">
        <f>IFERROR(MATCH(640,资金台帐!$Q$7:$Q$3006,0),"")</f>
      </c>
    </row>
    <row r="644">
      <c r="A644" s="141">
        <f>IF($G644="","",641)</f>
      </c>
      <c r="B644" s="140">
        <f>IF($G644="","",INDEX(资金台帐!$B$7:$B$3006,$G644))</f>
      </c>
      <c r="C644" s="141">
        <f>IF($G644="","",INDEX(资金台帐!$J$7:$J$3006,$G644))</f>
      </c>
      <c r="D644" s="172">
        <f>IF($G644="","",INDEX(资金台帐!$S$7:$S$3006,$G644))</f>
      </c>
      <c r="E644" s="141">
        <f>IF($G644="","",INDEX(资金台帐!$C$7:$C$3006,$G644))</f>
      </c>
      <c r="F644" s="142">
        <f>IF($G644="","",INDEX(资金台帐!$E$7:$E$3006,$G644)&amp;IF(INDEX(资金台帐!$M$7:$M$3006,$G644)="","","；"&amp;INDEX(资金台帐!$M$7:$M$3006,$G644)))</f>
      </c>
      <c r="G644" s="78">
        <f>IFERROR(MATCH(641,资金台帐!$Q$7:$Q$3006,0),"")</f>
      </c>
    </row>
    <row r="645">
      <c r="A645" s="141">
        <f>IF($G645="","",642)</f>
      </c>
      <c r="B645" s="140">
        <f>IF($G645="","",INDEX(资金台帐!$B$7:$B$3006,$G645))</f>
      </c>
      <c r="C645" s="141">
        <f>IF($G645="","",INDEX(资金台帐!$J$7:$J$3006,$G645))</f>
      </c>
      <c r="D645" s="172">
        <f>IF($G645="","",INDEX(资金台帐!$S$7:$S$3006,$G645))</f>
      </c>
      <c r="E645" s="141">
        <f>IF($G645="","",INDEX(资金台帐!$C$7:$C$3006,$G645))</f>
      </c>
      <c r="F645" s="142">
        <f>IF($G645="","",INDEX(资金台帐!$E$7:$E$3006,$G645)&amp;IF(INDEX(资金台帐!$M$7:$M$3006,$G645)="","","；"&amp;INDEX(资金台帐!$M$7:$M$3006,$G645)))</f>
      </c>
      <c r="G645" s="78">
        <f>IFERROR(MATCH(642,资金台帐!$Q$7:$Q$3006,0),"")</f>
      </c>
    </row>
    <row r="646">
      <c r="A646" s="141">
        <f>IF($G646="","",643)</f>
      </c>
      <c r="B646" s="140">
        <f>IF($G646="","",INDEX(资金台帐!$B$7:$B$3006,$G646))</f>
      </c>
      <c r="C646" s="141">
        <f>IF($G646="","",INDEX(资金台帐!$J$7:$J$3006,$G646))</f>
      </c>
      <c r="D646" s="172">
        <f>IF($G646="","",INDEX(资金台帐!$S$7:$S$3006,$G646))</f>
      </c>
      <c r="E646" s="141">
        <f>IF($G646="","",INDEX(资金台帐!$C$7:$C$3006,$G646))</f>
      </c>
      <c r="F646" s="142">
        <f>IF($G646="","",INDEX(资金台帐!$E$7:$E$3006,$G646)&amp;IF(INDEX(资金台帐!$M$7:$M$3006,$G646)="","","；"&amp;INDEX(资金台帐!$M$7:$M$3006,$G646)))</f>
      </c>
      <c r="G646" s="78">
        <f>IFERROR(MATCH(643,资金台帐!$Q$7:$Q$3006,0),"")</f>
      </c>
    </row>
    <row r="647">
      <c r="A647" s="141">
        <f>IF($G647="","",644)</f>
      </c>
      <c r="B647" s="140">
        <f>IF($G647="","",INDEX(资金台帐!$B$7:$B$3006,$G647))</f>
      </c>
      <c r="C647" s="141">
        <f>IF($G647="","",INDEX(资金台帐!$J$7:$J$3006,$G647))</f>
      </c>
      <c r="D647" s="172">
        <f>IF($G647="","",INDEX(资金台帐!$S$7:$S$3006,$G647))</f>
      </c>
      <c r="E647" s="141">
        <f>IF($G647="","",INDEX(资金台帐!$C$7:$C$3006,$G647))</f>
      </c>
      <c r="F647" s="142">
        <f>IF($G647="","",INDEX(资金台帐!$E$7:$E$3006,$G647)&amp;IF(INDEX(资金台帐!$M$7:$M$3006,$G647)="","","；"&amp;INDEX(资金台帐!$M$7:$M$3006,$G647)))</f>
      </c>
      <c r="G647" s="78">
        <f>IFERROR(MATCH(644,资金台帐!$Q$7:$Q$3006,0),"")</f>
      </c>
    </row>
    <row r="648">
      <c r="A648" s="141">
        <f>IF($G648="","",645)</f>
      </c>
      <c r="B648" s="140">
        <f>IF($G648="","",INDEX(资金台帐!$B$7:$B$3006,$G648))</f>
      </c>
      <c r="C648" s="141">
        <f>IF($G648="","",INDEX(资金台帐!$J$7:$J$3006,$G648))</f>
      </c>
      <c r="D648" s="172">
        <f>IF($G648="","",INDEX(资金台帐!$S$7:$S$3006,$G648))</f>
      </c>
      <c r="E648" s="141">
        <f>IF($G648="","",INDEX(资金台帐!$C$7:$C$3006,$G648))</f>
      </c>
      <c r="F648" s="142">
        <f>IF($G648="","",INDEX(资金台帐!$E$7:$E$3006,$G648)&amp;IF(INDEX(资金台帐!$M$7:$M$3006,$G648)="","","；"&amp;INDEX(资金台帐!$M$7:$M$3006,$G648)))</f>
      </c>
      <c r="G648" s="78">
        <f>IFERROR(MATCH(645,资金台帐!$Q$7:$Q$3006,0),"")</f>
      </c>
    </row>
    <row r="649">
      <c r="A649" s="141">
        <f>IF($G649="","",646)</f>
      </c>
      <c r="B649" s="140">
        <f>IF($G649="","",INDEX(资金台帐!$B$7:$B$3006,$G649))</f>
      </c>
      <c r="C649" s="141">
        <f>IF($G649="","",INDEX(资金台帐!$J$7:$J$3006,$G649))</f>
      </c>
      <c r="D649" s="172">
        <f>IF($G649="","",INDEX(资金台帐!$S$7:$S$3006,$G649))</f>
      </c>
      <c r="E649" s="141">
        <f>IF($G649="","",INDEX(资金台帐!$C$7:$C$3006,$G649))</f>
      </c>
      <c r="F649" s="142">
        <f>IF($G649="","",INDEX(资金台帐!$E$7:$E$3006,$G649)&amp;IF(INDEX(资金台帐!$M$7:$M$3006,$G649)="","","；"&amp;INDEX(资金台帐!$M$7:$M$3006,$G649)))</f>
      </c>
      <c r="G649" s="78">
        <f>IFERROR(MATCH(646,资金台帐!$Q$7:$Q$3006,0),"")</f>
      </c>
    </row>
    <row r="650">
      <c r="A650" s="141">
        <f>IF($G650="","",647)</f>
      </c>
      <c r="B650" s="140">
        <f>IF($G650="","",INDEX(资金台帐!$B$7:$B$3006,$G650))</f>
      </c>
      <c r="C650" s="141">
        <f>IF($G650="","",INDEX(资金台帐!$J$7:$J$3006,$G650))</f>
      </c>
      <c r="D650" s="172">
        <f>IF($G650="","",INDEX(资金台帐!$S$7:$S$3006,$G650))</f>
      </c>
      <c r="E650" s="141">
        <f>IF($G650="","",INDEX(资金台帐!$C$7:$C$3006,$G650))</f>
      </c>
      <c r="F650" s="142">
        <f>IF($G650="","",INDEX(资金台帐!$E$7:$E$3006,$G650)&amp;IF(INDEX(资金台帐!$M$7:$M$3006,$G650)="","","；"&amp;INDEX(资金台帐!$M$7:$M$3006,$G650)))</f>
      </c>
      <c r="G650" s="78">
        <f>IFERROR(MATCH(647,资金台帐!$Q$7:$Q$3006,0),"")</f>
      </c>
    </row>
    <row r="651">
      <c r="A651" s="141">
        <f>IF($G651="","",648)</f>
      </c>
      <c r="B651" s="140">
        <f>IF($G651="","",INDEX(资金台帐!$B$7:$B$3006,$G651))</f>
      </c>
      <c r="C651" s="141">
        <f>IF($G651="","",INDEX(资金台帐!$J$7:$J$3006,$G651))</f>
      </c>
      <c r="D651" s="172">
        <f>IF($G651="","",INDEX(资金台帐!$S$7:$S$3006,$G651))</f>
      </c>
      <c r="E651" s="141">
        <f>IF($G651="","",INDEX(资金台帐!$C$7:$C$3006,$G651))</f>
      </c>
      <c r="F651" s="142">
        <f>IF($G651="","",INDEX(资金台帐!$E$7:$E$3006,$G651)&amp;IF(INDEX(资金台帐!$M$7:$M$3006,$G651)="","","；"&amp;INDEX(资金台帐!$M$7:$M$3006,$G651)))</f>
      </c>
      <c r="G651" s="78">
        <f>IFERROR(MATCH(648,资金台帐!$Q$7:$Q$3006,0),"")</f>
      </c>
    </row>
    <row r="652">
      <c r="A652" s="141">
        <f>IF($G652="","",649)</f>
      </c>
      <c r="B652" s="140">
        <f>IF($G652="","",INDEX(资金台帐!$B$7:$B$3006,$G652))</f>
      </c>
      <c r="C652" s="141">
        <f>IF($G652="","",INDEX(资金台帐!$J$7:$J$3006,$G652))</f>
      </c>
      <c r="D652" s="172">
        <f>IF($G652="","",INDEX(资金台帐!$S$7:$S$3006,$G652))</f>
      </c>
      <c r="E652" s="141">
        <f>IF($G652="","",INDEX(资金台帐!$C$7:$C$3006,$G652))</f>
      </c>
      <c r="F652" s="142">
        <f>IF($G652="","",INDEX(资金台帐!$E$7:$E$3006,$G652)&amp;IF(INDEX(资金台帐!$M$7:$M$3006,$G652)="","","；"&amp;INDEX(资金台帐!$M$7:$M$3006,$G652)))</f>
      </c>
      <c r="G652" s="78">
        <f>IFERROR(MATCH(649,资金台帐!$Q$7:$Q$3006,0),"")</f>
      </c>
    </row>
    <row r="653">
      <c r="A653" s="141">
        <f>IF($G653="","",650)</f>
      </c>
      <c r="B653" s="140">
        <f>IF($G653="","",INDEX(资金台帐!$B$7:$B$3006,$G653))</f>
      </c>
      <c r="C653" s="141">
        <f>IF($G653="","",INDEX(资金台帐!$J$7:$J$3006,$G653))</f>
      </c>
      <c r="D653" s="172">
        <f>IF($G653="","",INDEX(资金台帐!$S$7:$S$3006,$G653))</f>
      </c>
      <c r="E653" s="141">
        <f>IF($G653="","",INDEX(资金台帐!$C$7:$C$3006,$G653))</f>
      </c>
      <c r="F653" s="142">
        <f>IF($G653="","",INDEX(资金台帐!$E$7:$E$3006,$G653)&amp;IF(INDEX(资金台帐!$M$7:$M$3006,$G653)="","","；"&amp;INDEX(资金台帐!$M$7:$M$3006,$G653)))</f>
      </c>
      <c r="G653" s="78">
        <f>IFERROR(MATCH(650,资金台帐!$Q$7:$Q$3006,0),"")</f>
      </c>
    </row>
    <row r="654">
      <c r="A654" s="141">
        <f>IF($G654="","",651)</f>
      </c>
      <c r="B654" s="140">
        <f>IF($G654="","",INDEX(资金台帐!$B$7:$B$3006,$G654))</f>
      </c>
      <c r="C654" s="141">
        <f>IF($G654="","",INDEX(资金台帐!$J$7:$J$3006,$G654))</f>
      </c>
      <c r="D654" s="172">
        <f>IF($G654="","",INDEX(资金台帐!$S$7:$S$3006,$G654))</f>
      </c>
      <c r="E654" s="141">
        <f>IF($G654="","",INDEX(资金台帐!$C$7:$C$3006,$G654))</f>
      </c>
      <c r="F654" s="142">
        <f>IF($G654="","",INDEX(资金台帐!$E$7:$E$3006,$G654)&amp;IF(INDEX(资金台帐!$M$7:$M$3006,$G654)="","","；"&amp;INDEX(资金台帐!$M$7:$M$3006,$G654)))</f>
      </c>
      <c r="G654" s="78">
        <f>IFERROR(MATCH(651,资金台帐!$Q$7:$Q$3006,0),"")</f>
      </c>
    </row>
    <row r="655">
      <c r="A655" s="141">
        <f>IF($G655="","",652)</f>
      </c>
      <c r="B655" s="140">
        <f>IF($G655="","",INDEX(资金台帐!$B$7:$B$3006,$G655))</f>
      </c>
      <c r="C655" s="141">
        <f>IF($G655="","",INDEX(资金台帐!$J$7:$J$3006,$G655))</f>
      </c>
      <c r="D655" s="172">
        <f>IF($G655="","",INDEX(资金台帐!$S$7:$S$3006,$G655))</f>
      </c>
      <c r="E655" s="141">
        <f>IF($G655="","",INDEX(资金台帐!$C$7:$C$3006,$G655))</f>
      </c>
      <c r="F655" s="142">
        <f>IF($G655="","",INDEX(资金台帐!$E$7:$E$3006,$G655)&amp;IF(INDEX(资金台帐!$M$7:$M$3006,$G655)="","","；"&amp;INDEX(资金台帐!$M$7:$M$3006,$G655)))</f>
      </c>
      <c r="G655" s="78">
        <f>IFERROR(MATCH(652,资金台帐!$Q$7:$Q$3006,0),"")</f>
      </c>
    </row>
    <row r="656">
      <c r="A656" s="141">
        <f>IF($G656="","",653)</f>
      </c>
      <c r="B656" s="140">
        <f>IF($G656="","",INDEX(资金台帐!$B$7:$B$3006,$G656))</f>
      </c>
      <c r="C656" s="141">
        <f>IF($G656="","",INDEX(资金台帐!$J$7:$J$3006,$G656))</f>
      </c>
      <c r="D656" s="172">
        <f>IF($G656="","",INDEX(资金台帐!$S$7:$S$3006,$G656))</f>
      </c>
      <c r="E656" s="141">
        <f>IF($G656="","",INDEX(资金台帐!$C$7:$C$3006,$G656))</f>
      </c>
      <c r="F656" s="142">
        <f>IF($G656="","",INDEX(资金台帐!$E$7:$E$3006,$G656)&amp;IF(INDEX(资金台帐!$M$7:$M$3006,$G656)="","","；"&amp;INDEX(资金台帐!$M$7:$M$3006,$G656)))</f>
      </c>
      <c r="G656" s="78">
        <f>IFERROR(MATCH(653,资金台帐!$Q$7:$Q$3006,0),"")</f>
      </c>
    </row>
    <row r="657">
      <c r="A657" s="141">
        <f>IF($G657="","",654)</f>
      </c>
      <c r="B657" s="140">
        <f>IF($G657="","",INDEX(资金台帐!$B$7:$B$3006,$G657))</f>
      </c>
      <c r="C657" s="141">
        <f>IF($G657="","",INDEX(资金台帐!$J$7:$J$3006,$G657))</f>
      </c>
      <c r="D657" s="172">
        <f>IF($G657="","",INDEX(资金台帐!$S$7:$S$3006,$G657))</f>
      </c>
      <c r="E657" s="141">
        <f>IF($G657="","",INDEX(资金台帐!$C$7:$C$3006,$G657))</f>
      </c>
      <c r="F657" s="142">
        <f>IF($G657="","",INDEX(资金台帐!$E$7:$E$3006,$G657)&amp;IF(INDEX(资金台帐!$M$7:$M$3006,$G657)="","","；"&amp;INDEX(资金台帐!$M$7:$M$3006,$G657)))</f>
      </c>
      <c r="G657" s="78">
        <f>IFERROR(MATCH(654,资金台帐!$Q$7:$Q$3006,0),"")</f>
      </c>
    </row>
    <row r="658">
      <c r="A658" s="141">
        <f>IF($G658="","",655)</f>
      </c>
      <c r="B658" s="140">
        <f>IF($G658="","",INDEX(资金台帐!$B$7:$B$3006,$G658))</f>
      </c>
      <c r="C658" s="141">
        <f>IF($G658="","",INDEX(资金台帐!$J$7:$J$3006,$G658))</f>
      </c>
      <c r="D658" s="172">
        <f>IF($G658="","",INDEX(资金台帐!$S$7:$S$3006,$G658))</f>
      </c>
      <c r="E658" s="141">
        <f>IF($G658="","",INDEX(资金台帐!$C$7:$C$3006,$G658))</f>
      </c>
      <c r="F658" s="142">
        <f>IF($G658="","",INDEX(资金台帐!$E$7:$E$3006,$G658)&amp;IF(INDEX(资金台帐!$M$7:$M$3006,$G658)="","","；"&amp;INDEX(资金台帐!$M$7:$M$3006,$G658)))</f>
      </c>
      <c r="G658" s="78">
        <f>IFERROR(MATCH(655,资金台帐!$Q$7:$Q$3006,0),"")</f>
      </c>
    </row>
    <row r="659">
      <c r="A659" s="141">
        <f>IF($G659="","",656)</f>
      </c>
      <c r="B659" s="140">
        <f>IF($G659="","",INDEX(资金台帐!$B$7:$B$3006,$G659))</f>
      </c>
      <c r="C659" s="141">
        <f>IF($G659="","",INDEX(资金台帐!$J$7:$J$3006,$G659))</f>
      </c>
      <c r="D659" s="172">
        <f>IF($G659="","",INDEX(资金台帐!$S$7:$S$3006,$G659))</f>
      </c>
      <c r="E659" s="141">
        <f>IF($G659="","",INDEX(资金台帐!$C$7:$C$3006,$G659))</f>
      </c>
      <c r="F659" s="142">
        <f>IF($G659="","",INDEX(资金台帐!$E$7:$E$3006,$G659)&amp;IF(INDEX(资金台帐!$M$7:$M$3006,$G659)="","","；"&amp;INDEX(资金台帐!$M$7:$M$3006,$G659)))</f>
      </c>
      <c r="G659" s="78">
        <f>IFERROR(MATCH(656,资金台帐!$Q$7:$Q$3006,0),"")</f>
      </c>
    </row>
    <row r="660">
      <c r="A660" s="141">
        <f>IF($G660="","",657)</f>
      </c>
      <c r="B660" s="140">
        <f>IF($G660="","",INDEX(资金台帐!$B$7:$B$3006,$G660))</f>
      </c>
      <c r="C660" s="141">
        <f>IF($G660="","",INDEX(资金台帐!$J$7:$J$3006,$G660))</f>
      </c>
      <c r="D660" s="172">
        <f>IF($G660="","",INDEX(资金台帐!$S$7:$S$3006,$G660))</f>
      </c>
      <c r="E660" s="141">
        <f>IF($G660="","",INDEX(资金台帐!$C$7:$C$3006,$G660))</f>
      </c>
      <c r="F660" s="142">
        <f>IF($G660="","",INDEX(资金台帐!$E$7:$E$3006,$G660)&amp;IF(INDEX(资金台帐!$M$7:$M$3006,$G660)="","","；"&amp;INDEX(资金台帐!$M$7:$M$3006,$G660)))</f>
      </c>
      <c r="G660" s="78">
        <f>IFERROR(MATCH(657,资金台帐!$Q$7:$Q$3006,0),"")</f>
      </c>
    </row>
    <row r="661">
      <c r="A661" s="141">
        <f>IF($G661="","",658)</f>
      </c>
      <c r="B661" s="140">
        <f>IF($G661="","",INDEX(资金台帐!$B$7:$B$3006,$G661))</f>
      </c>
      <c r="C661" s="141">
        <f>IF($G661="","",INDEX(资金台帐!$J$7:$J$3006,$G661))</f>
      </c>
      <c r="D661" s="172">
        <f>IF($G661="","",INDEX(资金台帐!$S$7:$S$3006,$G661))</f>
      </c>
      <c r="E661" s="141">
        <f>IF($G661="","",INDEX(资金台帐!$C$7:$C$3006,$G661))</f>
      </c>
      <c r="F661" s="142">
        <f>IF($G661="","",INDEX(资金台帐!$E$7:$E$3006,$G661)&amp;IF(INDEX(资金台帐!$M$7:$M$3006,$G661)="","","；"&amp;INDEX(资金台帐!$M$7:$M$3006,$G661)))</f>
      </c>
      <c r="G661" s="78">
        <f>IFERROR(MATCH(658,资金台帐!$Q$7:$Q$3006,0),"")</f>
      </c>
    </row>
    <row r="662">
      <c r="A662" s="141">
        <f>IF($G662="","",659)</f>
      </c>
      <c r="B662" s="140">
        <f>IF($G662="","",INDEX(资金台帐!$B$7:$B$3006,$G662))</f>
      </c>
      <c r="C662" s="141">
        <f>IF($G662="","",INDEX(资金台帐!$J$7:$J$3006,$G662))</f>
      </c>
      <c r="D662" s="172">
        <f>IF($G662="","",INDEX(资金台帐!$S$7:$S$3006,$G662))</f>
      </c>
      <c r="E662" s="141">
        <f>IF($G662="","",INDEX(资金台帐!$C$7:$C$3006,$G662))</f>
      </c>
      <c r="F662" s="142">
        <f>IF($G662="","",INDEX(资金台帐!$E$7:$E$3006,$G662)&amp;IF(INDEX(资金台帐!$M$7:$M$3006,$G662)="","","；"&amp;INDEX(资金台帐!$M$7:$M$3006,$G662)))</f>
      </c>
      <c r="G662" s="78">
        <f>IFERROR(MATCH(659,资金台帐!$Q$7:$Q$3006,0),"")</f>
      </c>
    </row>
    <row r="663">
      <c r="A663" s="141">
        <f>IF($G663="","",660)</f>
      </c>
      <c r="B663" s="140">
        <f>IF($G663="","",INDEX(资金台帐!$B$7:$B$3006,$G663))</f>
      </c>
      <c r="C663" s="141">
        <f>IF($G663="","",INDEX(资金台帐!$J$7:$J$3006,$G663))</f>
      </c>
      <c r="D663" s="172">
        <f>IF($G663="","",INDEX(资金台帐!$S$7:$S$3006,$G663))</f>
      </c>
      <c r="E663" s="141">
        <f>IF($G663="","",INDEX(资金台帐!$C$7:$C$3006,$G663))</f>
      </c>
      <c r="F663" s="142">
        <f>IF($G663="","",INDEX(资金台帐!$E$7:$E$3006,$G663)&amp;IF(INDEX(资金台帐!$M$7:$M$3006,$G663)="","","；"&amp;INDEX(资金台帐!$M$7:$M$3006,$G663)))</f>
      </c>
      <c r="G663" s="78">
        <f>IFERROR(MATCH(660,资金台帐!$Q$7:$Q$3006,0),"")</f>
      </c>
    </row>
    <row r="664">
      <c r="A664" s="141">
        <f>IF($G664="","",661)</f>
      </c>
      <c r="B664" s="140">
        <f>IF($G664="","",INDEX(资金台帐!$B$7:$B$3006,$G664))</f>
      </c>
      <c r="C664" s="141">
        <f>IF($G664="","",INDEX(资金台帐!$J$7:$J$3006,$G664))</f>
      </c>
      <c r="D664" s="172">
        <f>IF($G664="","",INDEX(资金台帐!$S$7:$S$3006,$G664))</f>
      </c>
      <c r="E664" s="141">
        <f>IF($G664="","",INDEX(资金台帐!$C$7:$C$3006,$G664))</f>
      </c>
      <c r="F664" s="142">
        <f>IF($G664="","",INDEX(资金台帐!$E$7:$E$3006,$G664)&amp;IF(INDEX(资金台帐!$M$7:$M$3006,$G664)="","","；"&amp;INDEX(资金台帐!$M$7:$M$3006,$G664)))</f>
      </c>
      <c r="G664" s="78">
        <f>IFERROR(MATCH(661,资金台帐!$Q$7:$Q$3006,0),"")</f>
      </c>
    </row>
    <row r="665">
      <c r="A665" s="141">
        <f>IF($G665="","",662)</f>
      </c>
      <c r="B665" s="140">
        <f>IF($G665="","",INDEX(资金台帐!$B$7:$B$3006,$G665))</f>
      </c>
      <c r="C665" s="141">
        <f>IF($G665="","",INDEX(资金台帐!$J$7:$J$3006,$G665))</f>
      </c>
      <c r="D665" s="172">
        <f>IF($G665="","",INDEX(资金台帐!$S$7:$S$3006,$G665))</f>
      </c>
      <c r="E665" s="141">
        <f>IF($G665="","",INDEX(资金台帐!$C$7:$C$3006,$G665))</f>
      </c>
      <c r="F665" s="142">
        <f>IF($G665="","",INDEX(资金台帐!$E$7:$E$3006,$G665)&amp;IF(INDEX(资金台帐!$M$7:$M$3006,$G665)="","","；"&amp;INDEX(资金台帐!$M$7:$M$3006,$G665)))</f>
      </c>
      <c r="G665" s="78">
        <f>IFERROR(MATCH(662,资金台帐!$Q$7:$Q$3006,0),"")</f>
      </c>
    </row>
    <row r="666">
      <c r="A666" s="141">
        <f>IF($G666="","",663)</f>
      </c>
      <c r="B666" s="140">
        <f>IF($G666="","",INDEX(资金台帐!$B$7:$B$3006,$G666))</f>
      </c>
      <c r="C666" s="141">
        <f>IF($G666="","",INDEX(资金台帐!$J$7:$J$3006,$G666))</f>
      </c>
      <c r="D666" s="172">
        <f>IF($G666="","",INDEX(资金台帐!$S$7:$S$3006,$G666))</f>
      </c>
      <c r="E666" s="141">
        <f>IF($G666="","",INDEX(资金台帐!$C$7:$C$3006,$G666))</f>
      </c>
      <c r="F666" s="142">
        <f>IF($G666="","",INDEX(资金台帐!$E$7:$E$3006,$G666)&amp;IF(INDEX(资金台帐!$M$7:$M$3006,$G666)="","","；"&amp;INDEX(资金台帐!$M$7:$M$3006,$G666)))</f>
      </c>
      <c r="G666" s="78">
        <f>IFERROR(MATCH(663,资金台帐!$Q$7:$Q$3006,0),"")</f>
      </c>
    </row>
    <row r="667">
      <c r="A667" s="141">
        <f>IF($G667="","",664)</f>
      </c>
      <c r="B667" s="140">
        <f>IF($G667="","",INDEX(资金台帐!$B$7:$B$3006,$G667))</f>
      </c>
      <c r="C667" s="141">
        <f>IF($G667="","",INDEX(资金台帐!$J$7:$J$3006,$G667))</f>
      </c>
      <c r="D667" s="172">
        <f>IF($G667="","",INDEX(资金台帐!$S$7:$S$3006,$G667))</f>
      </c>
      <c r="E667" s="141">
        <f>IF($G667="","",INDEX(资金台帐!$C$7:$C$3006,$G667))</f>
      </c>
      <c r="F667" s="142">
        <f>IF($G667="","",INDEX(资金台帐!$E$7:$E$3006,$G667)&amp;IF(INDEX(资金台帐!$M$7:$M$3006,$G667)="","","；"&amp;INDEX(资金台帐!$M$7:$M$3006,$G667)))</f>
      </c>
      <c r="G667" s="78">
        <f>IFERROR(MATCH(664,资金台帐!$Q$7:$Q$3006,0),"")</f>
      </c>
    </row>
    <row r="668">
      <c r="A668" s="141">
        <f>IF($G668="","",665)</f>
      </c>
      <c r="B668" s="140">
        <f>IF($G668="","",INDEX(资金台帐!$B$7:$B$3006,$G668))</f>
      </c>
      <c r="C668" s="141">
        <f>IF($G668="","",INDEX(资金台帐!$J$7:$J$3006,$G668))</f>
      </c>
      <c r="D668" s="172">
        <f>IF($G668="","",INDEX(资金台帐!$S$7:$S$3006,$G668))</f>
      </c>
      <c r="E668" s="141">
        <f>IF($G668="","",INDEX(资金台帐!$C$7:$C$3006,$G668))</f>
      </c>
      <c r="F668" s="142">
        <f>IF($G668="","",INDEX(资金台帐!$E$7:$E$3006,$G668)&amp;IF(INDEX(资金台帐!$M$7:$M$3006,$G668)="","","；"&amp;INDEX(资金台帐!$M$7:$M$3006,$G668)))</f>
      </c>
      <c r="G668" s="78">
        <f>IFERROR(MATCH(665,资金台帐!$Q$7:$Q$3006,0),"")</f>
      </c>
    </row>
    <row r="669">
      <c r="A669" s="141">
        <f>IF($G669="","",666)</f>
      </c>
      <c r="B669" s="140">
        <f>IF($G669="","",INDEX(资金台帐!$B$7:$B$3006,$G669))</f>
      </c>
      <c r="C669" s="141">
        <f>IF($G669="","",INDEX(资金台帐!$J$7:$J$3006,$G669))</f>
      </c>
      <c r="D669" s="172">
        <f>IF($G669="","",INDEX(资金台帐!$S$7:$S$3006,$G669))</f>
      </c>
      <c r="E669" s="141">
        <f>IF($G669="","",INDEX(资金台帐!$C$7:$C$3006,$G669))</f>
      </c>
      <c r="F669" s="142">
        <f>IF($G669="","",INDEX(资金台帐!$E$7:$E$3006,$G669)&amp;IF(INDEX(资金台帐!$M$7:$M$3006,$G669)="","","；"&amp;INDEX(资金台帐!$M$7:$M$3006,$G669)))</f>
      </c>
      <c r="G669" s="78">
        <f>IFERROR(MATCH(666,资金台帐!$Q$7:$Q$3006,0),"")</f>
      </c>
    </row>
    <row r="670">
      <c r="A670" s="141">
        <f>IF($G670="","",667)</f>
      </c>
      <c r="B670" s="140">
        <f>IF($G670="","",INDEX(资金台帐!$B$7:$B$3006,$G670))</f>
      </c>
      <c r="C670" s="141">
        <f>IF($G670="","",INDEX(资金台帐!$J$7:$J$3006,$G670))</f>
      </c>
      <c r="D670" s="172">
        <f>IF($G670="","",INDEX(资金台帐!$S$7:$S$3006,$G670))</f>
      </c>
      <c r="E670" s="141">
        <f>IF($G670="","",INDEX(资金台帐!$C$7:$C$3006,$G670))</f>
      </c>
      <c r="F670" s="142">
        <f>IF($G670="","",INDEX(资金台帐!$E$7:$E$3006,$G670)&amp;IF(INDEX(资金台帐!$M$7:$M$3006,$G670)="","","；"&amp;INDEX(资金台帐!$M$7:$M$3006,$G670)))</f>
      </c>
      <c r="G670" s="78">
        <f>IFERROR(MATCH(667,资金台帐!$Q$7:$Q$3006,0),"")</f>
      </c>
    </row>
    <row r="671">
      <c r="A671" s="141">
        <f>IF($G671="","",668)</f>
      </c>
      <c r="B671" s="140">
        <f>IF($G671="","",INDEX(资金台帐!$B$7:$B$3006,$G671))</f>
      </c>
      <c r="C671" s="141">
        <f>IF($G671="","",INDEX(资金台帐!$J$7:$J$3006,$G671))</f>
      </c>
      <c r="D671" s="172">
        <f>IF($G671="","",INDEX(资金台帐!$S$7:$S$3006,$G671))</f>
      </c>
      <c r="E671" s="141">
        <f>IF($G671="","",INDEX(资金台帐!$C$7:$C$3006,$G671))</f>
      </c>
      <c r="F671" s="142">
        <f>IF($G671="","",INDEX(资金台帐!$E$7:$E$3006,$G671)&amp;IF(INDEX(资金台帐!$M$7:$M$3006,$G671)="","","；"&amp;INDEX(资金台帐!$M$7:$M$3006,$G671)))</f>
      </c>
      <c r="G671" s="78">
        <f>IFERROR(MATCH(668,资金台帐!$Q$7:$Q$3006,0),"")</f>
      </c>
    </row>
    <row r="672">
      <c r="A672" s="141">
        <f>IF($G672="","",669)</f>
      </c>
      <c r="B672" s="140">
        <f>IF($G672="","",INDEX(资金台帐!$B$7:$B$3006,$G672))</f>
      </c>
      <c r="C672" s="141">
        <f>IF($G672="","",INDEX(资金台帐!$J$7:$J$3006,$G672))</f>
      </c>
      <c r="D672" s="172">
        <f>IF($G672="","",INDEX(资金台帐!$S$7:$S$3006,$G672))</f>
      </c>
      <c r="E672" s="141">
        <f>IF($G672="","",INDEX(资金台帐!$C$7:$C$3006,$G672))</f>
      </c>
      <c r="F672" s="142">
        <f>IF($G672="","",INDEX(资金台帐!$E$7:$E$3006,$G672)&amp;IF(INDEX(资金台帐!$M$7:$M$3006,$G672)="","","；"&amp;INDEX(资金台帐!$M$7:$M$3006,$G672)))</f>
      </c>
      <c r="G672" s="78">
        <f>IFERROR(MATCH(669,资金台帐!$Q$7:$Q$3006,0),"")</f>
      </c>
    </row>
    <row r="673">
      <c r="A673" s="141">
        <f>IF($G673="","",670)</f>
      </c>
      <c r="B673" s="140">
        <f>IF($G673="","",INDEX(资金台帐!$B$7:$B$3006,$G673))</f>
      </c>
      <c r="C673" s="141">
        <f>IF($G673="","",INDEX(资金台帐!$J$7:$J$3006,$G673))</f>
      </c>
      <c r="D673" s="172">
        <f>IF($G673="","",INDEX(资金台帐!$S$7:$S$3006,$G673))</f>
      </c>
      <c r="E673" s="141">
        <f>IF($G673="","",INDEX(资金台帐!$C$7:$C$3006,$G673))</f>
      </c>
      <c r="F673" s="142">
        <f>IF($G673="","",INDEX(资金台帐!$E$7:$E$3006,$G673)&amp;IF(INDEX(资金台帐!$M$7:$M$3006,$G673)="","","；"&amp;INDEX(资金台帐!$M$7:$M$3006,$G673)))</f>
      </c>
      <c r="G673" s="78">
        <f>IFERROR(MATCH(670,资金台帐!$Q$7:$Q$3006,0),"")</f>
      </c>
    </row>
    <row r="674">
      <c r="A674" s="141">
        <f>IF($G674="","",671)</f>
      </c>
      <c r="B674" s="140">
        <f>IF($G674="","",INDEX(资金台帐!$B$7:$B$3006,$G674))</f>
      </c>
      <c r="C674" s="141">
        <f>IF($G674="","",INDEX(资金台帐!$J$7:$J$3006,$G674))</f>
      </c>
      <c r="D674" s="172">
        <f>IF($G674="","",INDEX(资金台帐!$S$7:$S$3006,$G674))</f>
      </c>
      <c r="E674" s="141">
        <f>IF($G674="","",INDEX(资金台帐!$C$7:$C$3006,$G674))</f>
      </c>
      <c r="F674" s="142">
        <f>IF($G674="","",INDEX(资金台帐!$E$7:$E$3006,$G674)&amp;IF(INDEX(资金台帐!$M$7:$M$3006,$G674)="","","；"&amp;INDEX(资金台帐!$M$7:$M$3006,$G674)))</f>
      </c>
      <c r="G674" s="78">
        <f>IFERROR(MATCH(671,资金台帐!$Q$7:$Q$3006,0),"")</f>
      </c>
    </row>
    <row r="675">
      <c r="A675" s="141">
        <f>IF($G675="","",672)</f>
      </c>
      <c r="B675" s="140">
        <f>IF($G675="","",INDEX(资金台帐!$B$7:$B$3006,$G675))</f>
      </c>
      <c r="C675" s="141">
        <f>IF($G675="","",INDEX(资金台帐!$J$7:$J$3006,$G675))</f>
      </c>
      <c r="D675" s="172">
        <f>IF($G675="","",INDEX(资金台帐!$S$7:$S$3006,$G675))</f>
      </c>
      <c r="E675" s="141">
        <f>IF($G675="","",INDEX(资金台帐!$C$7:$C$3006,$G675))</f>
      </c>
      <c r="F675" s="142">
        <f>IF($G675="","",INDEX(资金台帐!$E$7:$E$3006,$G675)&amp;IF(INDEX(资金台帐!$M$7:$M$3006,$G675)="","","；"&amp;INDEX(资金台帐!$M$7:$M$3006,$G675)))</f>
      </c>
      <c r="G675" s="78">
        <f>IFERROR(MATCH(672,资金台帐!$Q$7:$Q$3006,0),"")</f>
      </c>
    </row>
    <row r="676">
      <c r="A676" s="141">
        <f>IF($G676="","",673)</f>
      </c>
      <c r="B676" s="140">
        <f>IF($G676="","",INDEX(资金台帐!$B$7:$B$3006,$G676))</f>
      </c>
      <c r="C676" s="141">
        <f>IF($G676="","",INDEX(资金台帐!$J$7:$J$3006,$G676))</f>
      </c>
      <c r="D676" s="172">
        <f>IF($G676="","",INDEX(资金台帐!$S$7:$S$3006,$G676))</f>
      </c>
      <c r="E676" s="141">
        <f>IF($G676="","",INDEX(资金台帐!$C$7:$C$3006,$G676))</f>
      </c>
      <c r="F676" s="142">
        <f>IF($G676="","",INDEX(资金台帐!$E$7:$E$3006,$G676)&amp;IF(INDEX(资金台帐!$M$7:$M$3006,$G676)="","","；"&amp;INDEX(资金台帐!$M$7:$M$3006,$G676)))</f>
      </c>
      <c r="G676" s="78">
        <f>IFERROR(MATCH(673,资金台帐!$Q$7:$Q$3006,0),"")</f>
      </c>
    </row>
    <row r="677">
      <c r="A677" s="141">
        <f>IF($G677="","",674)</f>
      </c>
      <c r="B677" s="140">
        <f>IF($G677="","",INDEX(资金台帐!$B$7:$B$3006,$G677))</f>
      </c>
      <c r="C677" s="141">
        <f>IF($G677="","",INDEX(资金台帐!$J$7:$J$3006,$G677))</f>
      </c>
      <c r="D677" s="172">
        <f>IF($G677="","",INDEX(资金台帐!$S$7:$S$3006,$G677))</f>
      </c>
      <c r="E677" s="141">
        <f>IF($G677="","",INDEX(资金台帐!$C$7:$C$3006,$G677))</f>
      </c>
      <c r="F677" s="142">
        <f>IF($G677="","",INDEX(资金台帐!$E$7:$E$3006,$G677)&amp;IF(INDEX(资金台帐!$M$7:$M$3006,$G677)="","","；"&amp;INDEX(资金台帐!$M$7:$M$3006,$G677)))</f>
      </c>
      <c r="G677" s="78">
        <f>IFERROR(MATCH(674,资金台帐!$Q$7:$Q$3006,0),"")</f>
      </c>
    </row>
    <row r="678">
      <c r="A678" s="141">
        <f>IF($G678="","",675)</f>
      </c>
      <c r="B678" s="140">
        <f>IF($G678="","",INDEX(资金台帐!$B$7:$B$3006,$G678))</f>
      </c>
      <c r="C678" s="141">
        <f>IF($G678="","",INDEX(资金台帐!$J$7:$J$3006,$G678))</f>
      </c>
      <c r="D678" s="172">
        <f>IF($G678="","",INDEX(资金台帐!$S$7:$S$3006,$G678))</f>
      </c>
      <c r="E678" s="141">
        <f>IF($G678="","",INDEX(资金台帐!$C$7:$C$3006,$G678))</f>
      </c>
      <c r="F678" s="142">
        <f>IF($G678="","",INDEX(资金台帐!$E$7:$E$3006,$G678)&amp;IF(INDEX(资金台帐!$M$7:$M$3006,$G678)="","","；"&amp;INDEX(资金台帐!$M$7:$M$3006,$G678)))</f>
      </c>
      <c r="G678" s="78">
        <f>IFERROR(MATCH(675,资金台帐!$Q$7:$Q$3006,0),"")</f>
      </c>
    </row>
    <row r="679">
      <c r="A679" s="141">
        <f>IF($G679="","",676)</f>
      </c>
      <c r="B679" s="140">
        <f>IF($G679="","",INDEX(资金台帐!$B$7:$B$3006,$G679))</f>
      </c>
      <c r="C679" s="141">
        <f>IF($G679="","",INDEX(资金台帐!$J$7:$J$3006,$G679))</f>
      </c>
      <c r="D679" s="172">
        <f>IF($G679="","",INDEX(资金台帐!$S$7:$S$3006,$G679))</f>
      </c>
      <c r="E679" s="141">
        <f>IF($G679="","",INDEX(资金台帐!$C$7:$C$3006,$G679))</f>
      </c>
      <c r="F679" s="142">
        <f>IF($G679="","",INDEX(资金台帐!$E$7:$E$3006,$G679)&amp;IF(INDEX(资金台帐!$M$7:$M$3006,$G679)="","","；"&amp;INDEX(资金台帐!$M$7:$M$3006,$G679)))</f>
      </c>
      <c r="G679" s="78">
        <f>IFERROR(MATCH(676,资金台帐!$Q$7:$Q$3006,0),"")</f>
      </c>
    </row>
    <row r="680">
      <c r="A680" s="141">
        <f>IF($G680="","",677)</f>
      </c>
      <c r="B680" s="140">
        <f>IF($G680="","",INDEX(资金台帐!$B$7:$B$3006,$G680))</f>
      </c>
      <c r="C680" s="141">
        <f>IF($G680="","",INDEX(资金台帐!$J$7:$J$3006,$G680))</f>
      </c>
      <c r="D680" s="172">
        <f>IF($G680="","",INDEX(资金台帐!$S$7:$S$3006,$G680))</f>
      </c>
      <c r="E680" s="141">
        <f>IF($G680="","",INDEX(资金台帐!$C$7:$C$3006,$G680))</f>
      </c>
      <c r="F680" s="142">
        <f>IF($G680="","",INDEX(资金台帐!$E$7:$E$3006,$G680)&amp;IF(INDEX(资金台帐!$M$7:$M$3006,$G680)="","","；"&amp;INDEX(资金台帐!$M$7:$M$3006,$G680)))</f>
      </c>
      <c r="G680" s="78">
        <f>IFERROR(MATCH(677,资金台帐!$Q$7:$Q$3006,0),"")</f>
      </c>
    </row>
    <row r="681">
      <c r="A681" s="141">
        <f>IF($G681="","",678)</f>
      </c>
      <c r="B681" s="140">
        <f>IF($G681="","",INDEX(资金台帐!$B$7:$B$3006,$G681))</f>
      </c>
      <c r="C681" s="141">
        <f>IF($G681="","",INDEX(资金台帐!$J$7:$J$3006,$G681))</f>
      </c>
      <c r="D681" s="172">
        <f>IF($G681="","",INDEX(资金台帐!$S$7:$S$3006,$G681))</f>
      </c>
      <c r="E681" s="141">
        <f>IF($G681="","",INDEX(资金台帐!$C$7:$C$3006,$G681))</f>
      </c>
      <c r="F681" s="142">
        <f>IF($G681="","",INDEX(资金台帐!$E$7:$E$3006,$G681)&amp;IF(INDEX(资金台帐!$M$7:$M$3006,$G681)="","","；"&amp;INDEX(资金台帐!$M$7:$M$3006,$G681)))</f>
      </c>
      <c r="G681" s="78">
        <f>IFERROR(MATCH(678,资金台帐!$Q$7:$Q$3006,0),"")</f>
      </c>
    </row>
    <row r="682">
      <c r="A682" s="141">
        <f>IF($G682="","",679)</f>
      </c>
      <c r="B682" s="140">
        <f>IF($G682="","",INDEX(资金台帐!$B$7:$B$3006,$G682))</f>
      </c>
      <c r="C682" s="141">
        <f>IF($G682="","",INDEX(资金台帐!$J$7:$J$3006,$G682))</f>
      </c>
      <c r="D682" s="172">
        <f>IF($G682="","",INDEX(资金台帐!$S$7:$S$3006,$G682))</f>
      </c>
      <c r="E682" s="141">
        <f>IF($G682="","",INDEX(资金台帐!$C$7:$C$3006,$G682))</f>
      </c>
      <c r="F682" s="142">
        <f>IF($G682="","",INDEX(资金台帐!$E$7:$E$3006,$G682)&amp;IF(INDEX(资金台帐!$M$7:$M$3006,$G682)="","","；"&amp;INDEX(资金台帐!$M$7:$M$3006,$G682)))</f>
      </c>
      <c r="G682" s="78">
        <f>IFERROR(MATCH(679,资金台帐!$Q$7:$Q$3006,0),"")</f>
      </c>
    </row>
    <row r="683">
      <c r="A683" s="141">
        <f>IF($G683="","",680)</f>
      </c>
      <c r="B683" s="140">
        <f>IF($G683="","",INDEX(资金台帐!$B$7:$B$3006,$G683))</f>
      </c>
      <c r="C683" s="141">
        <f>IF($G683="","",INDEX(资金台帐!$J$7:$J$3006,$G683))</f>
      </c>
      <c r="D683" s="172">
        <f>IF($G683="","",INDEX(资金台帐!$S$7:$S$3006,$G683))</f>
      </c>
      <c r="E683" s="141">
        <f>IF($G683="","",INDEX(资金台帐!$C$7:$C$3006,$G683))</f>
      </c>
      <c r="F683" s="142">
        <f>IF($G683="","",INDEX(资金台帐!$E$7:$E$3006,$G683)&amp;IF(INDEX(资金台帐!$M$7:$M$3006,$G683)="","","；"&amp;INDEX(资金台帐!$M$7:$M$3006,$G683)))</f>
      </c>
      <c r="G683" s="78">
        <f>IFERROR(MATCH(680,资金台帐!$Q$7:$Q$3006,0),"")</f>
      </c>
    </row>
    <row r="684">
      <c r="A684" s="141">
        <f>IF($G684="","",681)</f>
      </c>
      <c r="B684" s="140">
        <f>IF($G684="","",INDEX(资金台帐!$B$7:$B$3006,$G684))</f>
      </c>
      <c r="C684" s="141">
        <f>IF($G684="","",INDEX(资金台帐!$J$7:$J$3006,$G684))</f>
      </c>
      <c r="D684" s="172">
        <f>IF($G684="","",INDEX(资金台帐!$S$7:$S$3006,$G684))</f>
      </c>
      <c r="E684" s="141">
        <f>IF($G684="","",INDEX(资金台帐!$C$7:$C$3006,$G684))</f>
      </c>
      <c r="F684" s="142">
        <f>IF($G684="","",INDEX(资金台帐!$E$7:$E$3006,$G684)&amp;IF(INDEX(资金台帐!$M$7:$M$3006,$G684)="","","；"&amp;INDEX(资金台帐!$M$7:$M$3006,$G684)))</f>
      </c>
      <c r="G684" s="78">
        <f>IFERROR(MATCH(681,资金台帐!$Q$7:$Q$3006,0),"")</f>
      </c>
    </row>
    <row r="685">
      <c r="A685" s="141">
        <f>IF($G685="","",682)</f>
      </c>
      <c r="B685" s="140">
        <f>IF($G685="","",INDEX(资金台帐!$B$7:$B$3006,$G685))</f>
      </c>
      <c r="C685" s="141">
        <f>IF($G685="","",INDEX(资金台帐!$J$7:$J$3006,$G685))</f>
      </c>
      <c r="D685" s="172">
        <f>IF($G685="","",INDEX(资金台帐!$S$7:$S$3006,$G685))</f>
      </c>
      <c r="E685" s="141">
        <f>IF($G685="","",INDEX(资金台帐!$C$7:$C$3006,$G685))</f>
      </c>
      <c r="F685" s="142">
        <f>IF($G685="","",INDEX(资金台帐!$E$7:$E$3006,$G685)&amp;IF(INDEX(资金台帐!$M$7:$M$3006,$G685)="","","；"&amp;INDEX(资金台帐!$M$7:$M$3006,$G685)))</f>
      </c>
      <c r="G685" s="78">
        <f>IFERROR(MATCH(682,资金台帐!$Q$7:$Q$3006,0),"")</f>
      </c>
    </row>
    <row r="686">
      <c r="A686" s="141">
        <f>IF($G686="","",683)</f>
      </c>
      <c r="B686" s="140">
        <f>IF($G686="","",INDEX(资金台帐!$B$7:$B$3006,$G686))</f>
      </c>
      <c r="C686" s="141">
        <f>IF($G686="","",INDEX(资金台帐!$J$7:$J$3006,$G686))</f>
      </c>
      <c r="D686" s="172">
        <f>IF($G686="","",INDEX(资金台帐!$S$7:$S$3006,$G686))</f>
      </c>
      <c r="E686" s="141">
        <f>IF($G686="","",INDEX(资金台帐!$C$7:$C$3006,$G686))</f>
      </c>
      <c r="F686" s="142">
        <f>IF($G686="","",INDEX(资金台帐!$E$7:$E$3006,$G686)&amp;IF(INDEX(资金台帐!$M$7:$M$3006,$G686)="","","；"&amp;INDEX(资金台帐!$M$7:$M$3006,$G686)))</f>
      </c>
      <c r="G686" s="78">
        <f>IFERROR(MATCH(683,资金台帐!$Q$7:$Q$3006,0),"")</f>
      </c>
    </row>
    <row r="687">
      <c r="A687" s="141">
        <f>IF($G687="","",684)</f>
      </c>
      <c r="B687" s="140">
        <f>IF($G687="","",INDEX(资金台帐!$B$7:$B$3006,$G687))</f>
      </c>
      <c r="C687" s="141">
        <f>IF($G687="","",INDEX(资金台帐!$J$7:$J$3006,$G687))</f>
      </c>
      <c r="D687" s="172">
        <f>IF($G687="","",INDEX(资金台帐!$S$7:$S$3006,$G687))</f>
      </c>
      <c r="E687" s="141">
        <f>IF($G687="","",INDEX(资金台帐!$C$7:$C$3006,$G687))</f>
      </c>
      <c r="F687" s="142">
        <f>IF($G687="","",INDEX(资金台帐!$E$7:$E$3006,$G687)&amp;IF(INDEX(资金台帐!$M$7:$M$3006,$G687)="","","；"&amp;INDEX(资金台帐!$M$7:$M$3006,$G687)))</f>
      </c>
      <c r="G687" s="78">
        <f>IFERROR(MATCH(684,资金台帐!$Q$7:$Q$3006,0),"")</f>
      </c>
    </row>
    <row r="688">
      <c r="A688" s="141">
        <f>IF($G688="","",685)</f>
      </c>
      <c r="B688" s="140">
        <f>IF($G688="","",INDEX(资金台帐!$B$7:$B$3006,$G688))</f>
      </c>
      <c r="C688" s="141">
        <f>IF($G688="","",INDEX(资金台帐!$J$7:$J$3006,$G688))</f>
      </c>
      <c r="D688" s="172">
        <f>IF($G688="","",INDEX(资金台帐!$S$7:$S$3006,$G688))</f>
      </c>
      <c r="E688" s="141">
        <f>IF($G688="","",INDEX(资金台帐!$C$7:$C$3006,$G688))</f>
      </c>
      <c r="F688" s="142">
        <f>IF($G688="","",INDEX(资金台帐!$E$7:$E$3006,$G688)&amp;IF(INDEX(资金台帐!$M$7:$M$3006,$G688)="","","；"&amp;INDEX(资金台帐!$M$7:$M$3006,$G688)))</f>
      </c>
      <c r="G688" s="78">
        <f>IFERROR(MATCH(685,资金台帐!$Q$7:$Q$3006,0),"")</f>
      </c>
    </row>
    <row r="689">
      <c r="A689" s="141">
        <f>IF($G689="","",686)</f>
      </c>
      <c r="B689" s="140">
        <f>IF($G689="","",INDEX(资金台帐!$B$7:$B$3006,$G689))</f>
      </c>
      <c r="C689" s="141">
        <f>IF($G689="","",INDEX(资金台帐!$J$7:$J$3006,$G689))</f>
      </c>
      <c r="D689" s="172">
        <f>IF($G689="","",INDEX(资金台帐!$S$7:$S$3006,$G689))</f>
      </c>
      <c r="E689" s="141">
        <f>IF($G689="","",INDEX(资金台帐!$C$7:$C$3006,$G689))</f>
      </c>
      <c r="F689" s="142">
        <f>IF($G689="","",INDEX(资金台帐!$E$7:$E$3006,$G689)&amp;IF(INDEX(资金台帐!$M$7:$M$3006,$G689)="","","；"&amp;INDEX(资金台帐!$M$7:$M$3006,$G689)))</f>
      </c>
      <c r="G689" s="78">
        <f>IFERROR(MATCH(686,资金台帐!$Q$7:$Q$3006,0),"")</f>
      </c>
    </row>
    <row r="690">
      <c r="A690" s="141">
        <f>IF($G690="","",687)</f>
      </c>
      <c r="B690" s="140">
        <f>IF($G690="","",INDEX(资金台帐!$B$7:$B$3006,$G690))</f>
      </c>
      <c r="C690" s="141">
        <f>IF($G690="","",INDEX(资金台帐!$J$7:$J$3006,$G690))</f>
      </c>
      <c r="D690" s="172">
        <f>IF($G690="","",INDEX(资金台帐!$S$7:$S$3006,$G690))</f>
      </c>
      <c r="E690" s="141">
        <f>IF($G690="","",INDEX(资金台帐!$C$7:$C$3006,$G690))</f>
      </c>
      <c r="F690" s="142">
        <f>IF($G690="","",INDEX(资金台帐!$E$7:$E$3006,$G690)&amp;IF(INDEX(资金台帐!$M$7:$M$3006,$G690)="","","；"&amp;INDEX(资金台帐!$M$7:$M$3006,$G690)))</f>
      </c>
      <c r="G690" s="78">
        <f>IFERROR(MATCH(687,资金台帐!$Q$7:$Q$3006,0),"")</f>
      </c>
    </row>
    <row r="691">
      <c r="A691" s="141">
        <f>IF($G691="","",688)</f>
      </c>
      <c r="B691" s="140">
        <f>IF($G691="","",INDEX(资金台帐!$B$7:$B$3006,$G691))</f>
      </c>
      <c r="C691" s="141">
        <f>IF($G691="","",INDEX(资金台帐!$J$7:$J$3006,$G691))</f>
      </c>
      <c r="D691" s="172">
        <f>IF($G691="","",INDEX(资金台帐!$S$7:$S$3006,$G691))</f>
      </c>
      <c r="E691" s="141">
        <f>IF($G691="","",INDEX(资金台帐!$C$7:$C$3006,$G691))</f>
      </c>
      <c r="F691" s="142">
        <f>IF($G691="","",INDEX(资金台帐!$E$7:$E$3006,$G691)&amp;IF(INDEX(资金台帐!$M$7:$M$3006,$G691)="","","；"&amp;INDEX(资金台帐!$M$7:$M$3006,$G691)))</f>
      </c>
      <c r="G691" s="78">
        <f>IFERROR(MATCH(688,资金台帐!$Q$7:$Q$3006,0),"")</f>
      </c>
    </row>
    <row r="692">
      <c r="A692" s="141">
        <f>IF($G692="","",689)</f>
      </c>
      <c r="B692" s="140">
        <f>IF($G692="","",INDEX(资金台帐!$B$7:$B$3006,$G692))</f>
      </c>
      <c r="C692" s="141">
        <f>IF($G692="","",INDEX(资金台帐!$J$7:$J$3006,$G692))</f>
      </c>
      <c r="D692" s="172">
        <f>IF($G692="","",INDEX(资金台帐!$S$7:$S$3006,$G692))</f>
      </c>
      <c r="E692" s="141">
        <f>IF($G692="","",INDEX(资金台帐!$C$7:$C$3006,$G692))</f>
      </c>
      <c r="F692" s="142">
        <f>IF($G692="","",INDEX(资金台帐!$E$7:$E$3006,$G692)&amp;IF(INDEX(资金台帐!$M$7:$M$3006,$G692)="","","；"&amp;INDEX(资金台帐!$M$7:$M$3006,$G692)))</f>
      </c>
      <c r="G692" s="78">
        <f>IFERROR(MATCH(689,资金台帐!$Q$7:$Q$3006,0),"")</f>
      </c>
    </row>
    <row r="693">
      <c r="A693" s="141">
        <f>IF($G693="","",690)</f>
      </c>
      <c r="B693" s="140">
        <f>IF($G693="","",INDEX(资金台帐!$B$7:$B$3006,$G693))</f>
      </c>
      <c r="C693" s="141">
        <f>IF($G693="","",INDEX(资金台帐!$J$7:$J$3006,$G693))</f>
      </c>
      <c r="D693" s="172">
        <f>IF($G693="","",INDEX(资金台帐!$S$7:$S$3006,$G693))</f>
      </c>
      <c r="E693" s="141">
        <f>IF($G693="","",INDEX(资金台帐!$C$7:$C$3006,$G693))</f>
      </c>
      <c r="F693" s="142">
        <f>IF($G693="","",INDEX(资金台帐!$E$7:$E$3006,$G693)&amp;IF(INDEX(资金台帐!$M$7:$M$3006,$G693)="","","；"&amp;INDEX(资金台帐!$M$7:$M$3006,$G693)))</f>
      </c>
      <c r="G693" s="78">
        <f>IFERROR(MATCH(690,资金台帐!$Q$7:$Q$3006,0),"")</f>
      </c>
    </row>
    <row r="694">
      <c r="A694" s="141">
        <f>IF($G694="","",691)</f>
      </c>
      <c r="B694" s="140">
        <f>IF($G694="","",INDEX(资金台帐!$B$7:$B$3006,$G694))</f>
      </c>
      <c r="C694" s="141">
        <f>IF($G694="","",INDEX(资金台帐!$J$7:$J$3006,$G694))</f>
      </c>
      <c r="D694" s="172">
        <f>IF($G694="","",INDEX(资金台帐!$S$7:$S$3006,$G694))</f>
      </c>
      <c r="E694" s="141">
        <f>IF($G694="","",INDEX(资金台帐!$C$7:$C$3006,$G694))</f>
      </c>
      <c r="F694" s="142">
        <f>IF($G694="","",INDEX(资金台帐!$E$7:$E$3006,$G694)&amp;IF(INDEX(资金台帐!$M$7:$M$3006,$G694)="","","；"&amp;INDEX(资金台帐!$M$7:$M$3006,$G694)))</f>
      </c>
      <c r="G694" s="78">
        <f>IFERROR(MATCH(691,资金台帐!$Q$7:$Q$3006,0),"")</f>
      </c>
    </row>
    <row r="695">
      <c r="A695" s="141">
        <f>IF($G695="","",692)</f>
      </c>
      <c r="B695" s="140">
        <f>IF($G695="","",INDEX(资金台帐!$B$7:$B$3006,$G695))</f>
      </c>
      <c r="C695" s="141">
        <f>IF($G695="","",INDEX(资金台帐!$J$7:$J$3006,$G695))</f>
      </c>
      <c r="D695" s="172">
        <f>IF($G695="","",INDEX(资金台帐!$S$7:$S$3006,$G695))</f>
      </c>
      <c r="E695" s="141">
        <f>IF($G695="","",INDEX(资金台帐!$C$7:$C$3006,$G695))</f>
      </c>
      <c r="F695" s="142">
        <f>IF($G695="","",INDEX(资金台帐!$E$7:$E$3006,$G695)&amp;IF(INDEX(资金台帐!$M$7:$M$3006,$G695)="","","；"&amp;INDEX(资金台帐!$M$7:$M$3006,$G695)))</f>
      </c>
      <c r="G695" s="78">
        <f>IFERROR(MATCH(692,资金台帐!$Q$7:$Q$3006,0),"")</f>
      </c>
    </row>
    <row r="696">
      <c r="A696" s="141">
        <f>IF($G696="","",693)</f>
      </c>
      <c r="B696" s="140">
        <f>IF($G696="","",INDEX(资金台帐!$B$7:$B$3006,$G696))</f>
      </c>
      <c r="C696" s="141">
        <f>IF($G696="","",INDEX(资金台帐!$J$7:$J$3006,$G696))</f>
      </c>
      <c r="D696" s="172">
        <f>IF($G696="","",INDEX(资金台帐!$S$7:$S$3006,$G696))</f>
      </c>
      <c r="E696" s="141">
        <f>IF($G696="","",INDEX(资金台帐!$C$7:$C$3006,$G696))</f>
      </c>
      <c r="F696" s="142">
        <f>IF($G696="","",INDEX(资金台帐!$E$7:$E$3006,$G696)&amp;IF(INDEX(资金台帐!$M$7:$M$3006,$G696)="","","；"&amp;INDEX(资金台帐!$M$7:$M$3006,$G696)))</f>
      </c>
      <c r="G696" s="78">
        <f>IFERROR(MATCH(693,资金台帐!$Q$7:$Q$3006,0),"")</f>
      </c>
    </row>
    <row r="697">
      <c r="A697" s="141">
        <f>IF($G697="","",694)</f>
      </c>
      <c r="B697" s="140">
        <f>IF($G697="","",INDEX(资金台帐!$B$7:$B$3006,$G697))</f>
      </c>
      <c r="C697" s="141">
        <f>IF($G697="","",INDEX(资金台帐!$J$7:$J$3006,$G697))</f>
      </c>
      <c r="D697" s="172">
        <f>IF($G697="","",INDEX(资金台帐!$S$7:$S$3006,$G697))</f>
      </c>
      <c r="E697" s="141">
        <f>IF($G697="","",INDEX(资金台帐!$C$7:$C$3006,$G697))</f>
      </c>
      <c r="F697" s="142">
        <f>IF($G697="","",INDEX(资金台帐!$E$7:$E$3006,$G697)&amp;IF(INDEX(资金台帐!$M$7:$M$3006,$G697)="","","；"&amp;INDEX(资金台帐!$M$7:$M$3006,$G697)))</f>
      </c>
      <c r="G697" s="78">
        <f>IFERROR(MATCH(694,资金台帐!$Q$7:$Q$3006,0),"")</f>
      </c>
    </row>
    <row r="698">
      <c r="A698" s="141">
        <f>IF($G698="","",695)</f>
      </c>
      <c r="B698" s="140">
        <f>IF($G698="","",INDEX(资金台帐!$B$7:$B$3006,$G698))</f>
      </c>
      <c r="C698" s="141">
        <f>IF($G698="","",INDEX(资金台帐!$J$7:$J$3006,$G698))</f>
      </c>
      <c r="D698" s="172">
        <f>IF($G698="","",INDEX(资金台帐!$S$7:$S$3006,$G698))</f>
      </c>
      <c r="E698" s="141">
        <f>IF($G698="","",INDEX(资金台帐!$C$7:$C$3006,$G698))</f>
      </c>
      <c r="F698" s="142">
        <f>IF($G698="","",INDEX(资金台帐!$E$7:$E$3006,$G698)&amp;IF(INDEX(资金台帐!$M$7:$M$3006,$G698)="","","；"&amp;INDEX(资金台帐!$M$7:$M$3006,$G698)))</f>
      </c>
      <c r="G698" s="78">
        <f>IFERROR(MATCH(695,资金台帐!$Q$7:$Q$3006,0),"")</f>
      </c>
    </row>
    <row r="699">
      <c r="A699" s="141">
        <f>IF($G699="","",696)</f>
      </c>
      <c r="B699" s="140">
        <f>IF($G699="","",INDEX(资金台帐!$B$7:$B$3006,$G699))</f>
      </c>
      <c r="C699" s="141">
        <f>IF($G699="","",INDEX(资金台帐!$J$7:$J$3006,$G699))</f>
      </c>
      <c r="D699" s="172">
        <f>IF($G699="","",INDEX(资金台帐!$S$7:$S$3006,$G699))</f>
      </c>
      <c r="E699" s="141">
        <f>IF($G699="","",INDEX(资金台帐!$C$7:$C$3006,$G699))</f>
      </c>
      <c r="F699" s="142">
        <f>IF($G699="","",INDEX(资金台帐!$E$7:$E$3006,$G699)&amp;IF(INDEX(资金台帐!$M$7:$M$3006,$G699)="","","；"&amp;INDEX(资金台帐!$M$7:$M$3006,$G699)))</f>
      </c>
      <c r="G699" s="78">
        <f>IFERROR(MATCH(696,资金台帐!$Q$7:$Q$3006,0),"")</f>
      </c>
    </row>
    <row r="700">
      <c r="A700" s="141">
        <f>IF($G700="","",697)</f>
      </c>
      <c r="B700" s="140">
        <f>IF($G700="","",INDEX(资金台帐!$B$7:$B$3006,$G700))</f>
      </c>
      <c r="C700" s="141">
        <f>IF($G700="","",INDEX(资金台帐!$J$7:$J$3006,$G700))</f>
      </c>
      <c r="D700" s="172">
        <f>IF($G700="","",INDEX(资金台帐!$S$7:$S$3006,$G700))</f>
      </c>
      <c r="E700" s="141">
        <f>IF($G700="","",INDEX(资金台帐!$C$7:$C$3006,$G700))</f>
      </c>
      <c r="F700" s="142">
        <f>IF($G700="","",INDEX(资金台帐!$E$7:$E$3006,$G700)&amp;IF(INDEX(资金台帐!$M$7:$M$3006,$G700)="","","；"&amp;INDEX(资金台帐!$M$7:$M$3006,$G700)))</f>
      </c>
      <c r="G700" s="78">
        <f>IFERROR(MATCH(697,资金台帐!$Q$7:$Q$3006,0),"")</f>
      </c>
    </row>
    <row r="701">
      <c r="A701" s="141">
        <f>IF($G701="","",698)</f>
      </c>
      <c r="B701" s="140">
        <f>IF($G701="","",INDEX(资金台帐!$B$7:$B$3006,$G701))</f>
      </c>
      <c r="C701" s="141">
        <f>IF($G701="","",INDEX(资金台帐!$J$7:$J$3006,$G701))</f>
      </c>
      <c r="D701" s="172">
        <f>IF($G701="","",INDEX(资金台帐!$S$7:$S$3006,$G701))</f>
      </c>
      <c r="E701" s="141">
        <f>IF($G701="","",INDEX(资金台帐!$C$7:$C$3006,$G701))</f>
      </c>
      <c r="F701" s="142">
        <f>IF($G701="","",INDEX(资金台帐!$E$7:$E$3006,$G701)&amp;IF(INDEX(资金台帐!$M$7:$M$3006,$G701)="","","；"&amp;INDEX(资金台帐!$M$7:$M$3006,$G701)))</f>
      </c>
      <c r="G701" s="78">
        <f>IFERROR(MATCH(698,资金台帐!$Q$7:$Q$3006,0),"")</f>
      </c>
    </row>
    <row r="702">
      <c r="A702" s="141">
        <f>IF($G702="","",699)</f>
      </c>
      <c r="B702" s="140">
        <f>IF($G702="","",INDEX(资金台帐!$B$7:$B$3006,$G702))</f>
      </c>
      <c r="C702" s="141">
        <f>IF($G702="","",INDEX(资金台帐!$J$7:$J$3006,$G702))</f>
      </c>
      <c r="D702" s="172">
        <f>IF($G702="","",INDEX(资金台帐!$S$7:$S$3006,$G702))</f>
      </c>
      <c r="E702" s="141">
        <f>IF($G702="","",INDEX(资金台帐!$C$7:$C$3006,$G702))</f>
      </c>
      <c r="F702" s="142">
        <f>IF($G702="","",INDEX(资金台帐!$E$7:$E$3006,$G702)&amp;IF(INDEX(资金台帐!$M$7:$M$3006,$G702)="","","；"&amp;INDEX(资金台帐!$M$7:$M$3006,$G702)))</f>
      </c>
      <c r="G702" s="78">
        <f>IFERROR(MATCH(699,资金台帐!$Q$7:$Q$3006,0),"")</f>
      </c>
    </row>
    <row r="703">
      <c r="A703" s="141">
        <f>IF($G703="","",700)</f>
      </c>
      <c r="B703" s="140">
        <f>IF($G703="","",INDEX(资金台帐!$B$7:$B$3006,$G703))</f>
      </c>
      <c r="C703" s="141">
        <f>IF($G703="","",INDEX(资金台帐!$J$7:$J$3006,$G703))</f>
      </c>
      <c r="D703" s="172">
        <f>IF($G703="","",INDEX(资金台帐!$S$7:$S$3006,$G703))</f>
      </c>
      <c r="E703" s="141">
        <f>IF($G703="","",INDEX(资金台帐!$C$7:$C$3006,$G703))</f>
      </c>
      <c r="F703" s="142">
        <f>IF($G703="","",INDEX(资金台帐!$E$7:$E$3006,$G703)&amp;IF(INDEX(资金台帐!$M$7:$M$3006,$G703)="","","；"&amp;INDEX(资金台帐!$M$7:$M$3006,$G703)))</f>
      </c>
      <c r="G703" s="78">
        <f>IFERROR(MATCH(700,资金台帐!$Q$7:$Q$3006,0),"")</f>
      </c>
    </row>
    <row r="704">
      <c r="A704" s="141">
        <f>IF($G704="","",701)</f>
      </c>
      <c r="B704" s="140">
        <f>IF($G704="","",INDEX(资金台帐!$B$7:$B$3006,$G704))</f>
      </c>
      <c r="C704" s="141">
        <f>IF($G704="","",INDEX(资金台帐!$J$7:$J$3006,$G704))</f>
      </c>
      <c r="D704" s="172">
        <f>IF($G704="","",INDEX(资金台帐!$S$7:$S$3006,$G704))</f>
      </c>
      <c r="E704" s="141">
        <f>IF($G704="","",INDEX(资金台帐!$C$7:$C$3006,$G704))</f>
      </c>
      <c r="F704" s="142">
        <f>IF($G704="","",INDEX(资金台帐!$E$7:$E$3006,$G704)&amp;IF(INDEX(资金台帐!$M$7:$M$3006,$G704)="","","；"&amp;INDEX(资金台帐!$M$7:$M$3006,$G704)))</f>
      </c>
      <c r="G704" s="78">
        <f>IFERROR(MATCH(701,资金台帐!$Q$7:$Q$3006,0),"")</f>
      </c>
    </row>
    <row r="705">
      <c r="A705" s="141">
        <f>IF($G705="","",702)</f>
      </c>
      <c r="B705" s="140">
        <f>IF($G705="","",INDEX(资金台帐!$B$7:$B$3006,$G705))</f>
      </c>
      <c r="C705" s="141">
        <f>IF($G705="","",INDEX(资金台帐!$J$7:$J$3006,$G705))</f>
      </c>
      <c r="D705" s="172">
        <f>IF($G705="","",INDEX(资金台帐!$S$7:$S$3006,$G705))</f>
      </c>
      <c r="E705" s="141">
        <f>IF($G705="","",INDEX(资金台帐!$C$7:$C$3006,$G705))</f>
      </c>
      <c r="F705" s="142">
        <f>IF($G705="","",INDEX(资金台帐!$E$7:$E$3006,$G705)&amp;IF(INDEX(资金台帐!$M$7:$M$3006,$G705)="","","；"&amp;INDEX(资金台帐!$M$7:$M$3006,$G705)))</f>
      </c>
      <c r="G705" s="78">
        <f>IFERROR(MATCH(702,资金台帐!$Q$7:$Q$3006,0),"")</f>
      </c>
    </row>
    <row r="706">
      <c r="A706" s="141">
        <f>IF($G706="","",703)</f>
      </c>
      <c r="B706" s="140">
        <f>IF($G706="","",INDEX(资金台帐!$B$7:$B$3006,$G706))</f>
      </c>
      <c r="C706" s="141">
        <f>IF($G706="","",INDEX(资金台帐!$J$7:$J$3006,$G706))</f>
      </c>
      <c r="D706" s="172">
        <f>IF($G706="","",INDEX(资金台帐!$S$7:$S$3006,$G706))</f>
      </c>
      <c r="E706" s="141">
        <f>IF($G706="","",INDEX(资金台帐!$C$7:$C$3006,$G706))</f>
      </c>
      <c r="F706" s="142">
        <f>IF($G706="","",INDEX(资金台帐!$E$7:$E$3006,$G706)&amp;IF(INDEX(资金台帐!$M$7:$M$3006,$G706)="","","；"&amp;INDEX(资金台帐!$M$7:$M$3006,$G706)))</f>
      </c>
      <c r="G706" s="78">
        <f>IFERROR(MATCH(703,资金台帐!$Q$7:$Q$3006,0),"")</f>
      </c>
    </row>
    <row r="707">
      <c r="A707" s="141">
        <f>IF($G707="","",704)</f>
      </c>
      <c r="B707" s="140">
        <f>IF($G707="","",INDEX(资金台帐!$B$7:$B$3006,$G707))</f>
      </c>
      <c r="C707" s="141">
        <f>IF($G707="","",INDEX(资金台帐!$J$7:$J$3006,$G707))</f>
      </c>
      <c r="D707" s="172">
        <f>IF($G707="","",INDEX(资金台帐!$S$7:$S$3006,$G707))</f>
      </c>
      <c r="E707" s="141">
        <f>IF($G707="","",INDEX(资金台帐!$C$7:$C$3006,$G707))</f>
      </c>
      <c r="F707" s="142">
        <f>IF($G707="","",INDEX(资金台帐!$E$7:$E$3006,$G707)&amp;IF(INDEX(资金台帐!$M$7:$M$3006,$G707)="","","；"&amp;INDEX(资金台帐!$M$7:$M$3006,$G707)))</f>
      </c>
      <c r="G707" s="78">
        <f>IFERROR(MATCH(704,资金台帐!$Q$7:$Q$3006,0),"")</f>
      </c>
    </row>
    <row r="708">
      <c r="A708" s="141">
        <f>IF($G708="","",705)</f>
      </c>
      <c r="B708" s="140">
        <f>IF($G708="","",INDEX(资金台帐!$B$7:$B$3006,$G708))</f>
      </c>
      <c r="C708" s="141">
        <f>IF($G708="","",INDEX(资金台帐!$J$7:$J$3006,$G708))</f>
      </c>
      <c r="D708" s="172">
        <f>IF($G708="","",INDEX(资金台帐!$S$7:$S$3006,$G708))</f>
      </c>
      <c r="E708" s="141">
        <f>IF($G708="","",INDEX(资金台帐!$C$7:$C$3006,$G708))</f>
      </c>
      <c r="F708" s="142">
        <f>IF($G708="","",INDEX(资金台帐!$E$7:$E$3006,$G708)&amp;IF(INDEX(资金台帐!$M$7:$M$3006,$G708)="","","；"&amp;INDEX(资金台帐!$M$7:$M$3006,$G708)))</f>
      </c>
      <c r="G708" s="78">
        <f>IFERROR(MATCH(705,资金台帐!$Q$7:$Q$3006,0),"")</f>
      </c>
    </row>
    <row r="709">
      <c r="A709" s="141">
        <f>IF($G709="","",706)</f>
      </c>
      <c r="B709" s="140">
        <f>IF($G709="","",INDEX(资金台帐!$B$7:$B$3006,$G709))</f>
      </c>
      <c r="C709" s="141">
        <f>IF($G709="","",INDEX(资金台帐!$J$7:$J$3006,$G709))</f>
      </c>
      <c r="D709" s="172">
        <f>IF($G709="","",INDEX(资金台帐!$S$7:$S$3006,$G709))</f>
      </c>
      <c r="E709" s="141">
        <f>IF($G709="","",INDEX(资金台帐!$C$7:$C$3006,$G709))</f>
      </c>
      <c r="F709" s="142">
        <f>IF($G709="","",INDEX(资金台帐!$E$7:$E$3006,$G709)&amp;IF(INDEX(资金台帐!$M$7:$M$3006,$G709)="","","；"&amp;INDEX(资金台帐!$M$7:$M$3006,$G709)))</f>
      </c>
      <c r="G709" s="78">
        <f>IFERROR(MATCH(706,资金台帐!$Q$7:$Q$3006,0),"")</f>
      </c>
    </row>
    <row r="710">
      <c r="A710" s="141">
        <f>IF($G710="","",707)</f>
      </c>
      <c r="B710" s="140">
        <f>IF($G710="","",INDEX(资金台帐!$B$7:$B$3006,$G710))</f>
      </c>
      <c r="C710" s="141">
        <f>IF($G710="","",INDEX(资金台帐!$J$7:$J$3006,$G710))</f>
      </c>
      <c r="D710" s="172">
        <f>IF($G710="","",INDEX(资金台帐!$S$7:$S$3006,$G710))</f>
      </c>
      <c r="E710" s="141">
        <f>IF($G710="","",INDEX(资金台帐!$C$7:$C$3006,$G710))</f>
      </c>
      <c r="F710" s="142">
        <f>IF($G710="","",INDEX(资金台帐!$E$7:$E$3006,$G710)&amp;IF(INDEX(资金台帐!$M$7:$M$3006,$G710)="","","；"&amp;INDEX(资金台帐!$M$7:$M$3006,$G710)))</f>
      </c>
      <c r="G710" s="78">
        <f>IFERROR(MATCH(707,资金台帐!$Q$7:$Q$3006,0),"")</f>
      </c>
    </row>
    <row r="711">
      <c r="A711" s="141">
        <f>IF($G711="","",708)</f>
      </c>
      <c r="B711" s="140">
        <f>IF($G711="","",INDEX(资金台帐!$B$7:$B$3006,$G711))</f>
      </c>
      <c r="C711" s="141">
        <f>IF($G711="","",INDEX(资金台帐!$J$7:$J$3006,$G711))</f>
      </c>
      <c r="D711" s="172">
        <f>IF($G711="","",INDEX(资金台帐!$S$7:$S$3006,$G711))</f>
      </c>
      <c r="E711" s="141">
        <f>IF($G711="","",INDEX(资金台帐!$C$7:$C$3006,$G711))</f>
      </c>
      <c r="F711" s="142">
        <f>IF($G711="","",INDEX(资金台帐!$E$7:$E$3006,$G711)&amp;IF(INDEX(资金台帐!$M$7:$M$3006,$G711)="","","；"&amp;INDEX(资金台帐!$M$7:$M$3006,$G711)))</f>
      </c>
      <c r="G711" s="78">
        <f>IFERROR(MATCH(708,资金台帐!$Q$7:$Q$3006,0),"")</f>
      </c>
    </row>
    <row r="712">
      <c r="A712" s="141">
        <f>IF($G712="","",709)</f>
      </c>
      <c r="B712" s="140">
        <f>IF($G712="","",INDEX(资金台帐!$B$7:$B$3006,$G712))</f>
      </c>
      <c r="C712" s="141">
        <f>IF($G712="","",INDEX(资金台帐!$J$7:$J$3006,$G712))</f>
      </c>
      <c r="D712" s="172">
        <f>IF($G712="","",INDEX(资金台帐!$S$7:$S$3006,$G712))</f>
      </c>
      <c r="E712" s="141">
        <f>IF($G712="","",INDEX(资金台帐!$C$7:$C$3006,$G712))</f>
      </c>
      <c r="F712" s="142">
        <f>IF($G712="","",INDEX(资金台帐!$E$7:$E$3006,$G712)&amp;IF(INDEX(资金台帐!$M$7:$M$3006,$G712)="","","；"&amp;INDEX(资金台帐!$M$7:$M$3006,$G712)))</f>
      </c>
      <c r="G712" s="78">
        <f>IFERROR(MATCH(709,资金台帐!$Q$7:$Q$3006,0),"")</f>
      </c>
    </row>
    <row r="713">
      <c r="A713" s="141">
        <f>IF($G713="","",710)</f>
      </c>
      <c r="B713" s="140">
        <f>IF($G713="","",INDEX(资金台帐!$B$7:$B$3006,$G713))</f>
      </c>
      <c r="C713" s="141">
        <f>IF($G713="","",INDEX(资金台帐!$J$7:$J$3006,$G713))</f>
      </c>
      <c r="D713" s="172">
        <f>IF($G713="","",INDEX(资金台帐!$S$7:$S$3006,$G713))</f>
      </c>
      <c r="E713" s="141">
        <f>IF($G713="","",INDEX(资金台帐!$C$7:$C$3006,$G713))</f>
      </c>
      <c r="F713" s="142">
        <f>IF($G713="","",INDEX(资金台帐!$E$7:$E$3006,$G713)&amp;IF(INDEX(资金台帐!$M$7:$M$3006,$G713)="","","；"&amp;INDEX(资金台帐!$M$7:$M$3006,$G713)))</f>
      </c>
      <c r="G713" s="78">
        <f>IFERROR(MATCH(710,资金台帐!$Q$7:$Q$3006,0),"")</f>
      </c>
    </row>
    <row r="714">
      <c r="A714" s="141">
        <f>IF($G714="","",711)</f>
      </c>
      <c r="B714" s="140">
        <f>IF($G714="","",INDEX(资金台帐!$B$7:$B$3006,$G714))</f>
      </c>
      <c r="C714" s="141">
        <f>IF($G714="","",INDEX(资金台帐!$J$7:$J$3006,$G714))</f>
      </c>
      <c r="D714" s="172">
        <f>IF($G714="","",INDEX(资金台帐!$S$7:$S$3006,$G714))</f>
      </c>
      <c r="E714" s="141">
        <f>IF($G714="","",INDEX(资金台帐!$C$7:$C$3006,$G714))</f>
      </c>
      <c r="F714" s="142">
        <f>IF($G714="","",INDEX(资金台帐!$E$7:$E$3006,$G714)&amp;IF(INDEX(资金台帐!$M$7:$M$3006,$G714)="","","；"&amp;INDEX(资金台帐!$M$7:$M$3006,$G714)))</f>
      </c>
      <c r="G714" s="78">
        <f>IFERROR(MATCH(711,资金台帐!$Q$7:$Q$3006,0),"")</f>
      </c>
    </row>
    <row r="715">
      <c r="A715" s="141">
        <f>IF($G715="","",712)</f>
      </c>
      <c r="B715" s="140">
        <f>IF($G715="","",INDEX(资金台帐!$B$7:$B$3006,$G715))</f>
      </c>
      <c r="C715" s="141">
        <f>IF($G715="","",INDEX(资金台帐!$J$7:$J$3006,$G715))</f>
      </c>
      <c r="D715" s="172">
        <f>IF($G715="","",INDEX(资金台帐!$S$7:$S$3006,$G715))</f>
      </c>
      <c r="E715" s="141">
        <f>IF($G715="","",INDEX(资金台帐!$C$7:$C$3006,$G715))</f>
      </c>
      <c r="F715" s="142">
        <f>IF($G715="","",INDEX(资金台帐!$E$7:$E$3006,$G715)&amp;IF(INDEX(资金台帐!$M$7:$M$3006,$G715)="","","；"&amp;INDEX(资金台帐!$M$7:$M$3006,$G715)))</f>
      </c>
      <c r="G715" s="78">
        <f>IFERROR(MATCH(712,资金台帐!$Q$7:$Q$3006,0),"")</f>
      </c>
    </row>
    <row r="716">
      <c r="A716" s="141">
        <f>IF($G716="","",713)</f>
      </c>
      <c r="B716" s="140">
        <f>IF($G716="","",INDEX(资金台帐!$B$7:$B$3006,$G716))</f>
      </c>
      <c r="C716" s="141">
        <f>IF($G716="","",INDEX(资金台帐!$J$7:$J$3006,$G716))</f>
      </c>
      <c r="D716" s="172">
        <f>IF($G716="","",INDEX(资金台帐!$S$7:$S$3006,$G716))</f>
      </c>
      <c r="E716" s="141">
        <f>IF($G716="","",INDEX(资金台帐!$C$7:$C$3006,$G716))</f>
      </c>
      <c r="F716" s="142">
        <f>IF($G716="","",INDEX(资金台帐!$E$7:$E$3006,$G716)&amp;IF(INDEX(资金台帐!$M$7:$M$3006,$G716)="","","；"&amp;INDEX(资金台帐!$M$7:$M$3006,$G716)))</f>
      </c>
      <c r="G716" s="78">
        <f>IFERROR(MATCH(713,资金台帐!$Q$7:$Q$3006,0),"")</f>
      </c>
    </row>
    <row r="717">
      <c r="A717" s="141">
        <f>IF($G717="","",714)</f>
      </c>
      <c r="B717" s="140">
        <f>IF($G717="","",INDEX(资金台帐!$B$7:$B$3006,$G717))</f>
      </c>
      <c r="C717" s="141">
        <f>IF($G717="","",INDEX(资金台帐!$J$7:$J$3006,$G717))</f>
      </c>
      <c r="D717" s="172">
        <f>IF($G717="","",INDEX(资金台帐!$S$7:$S$3006,$G717))</f>
      </c>
      <c r="E717" s="141">
        <f>IF($G717="","",INDEX(资金台帐!$C$7:$C$3006,$G717))</f>
      </c>
      <c r="F717" s="142">
        <f>IF($G717="","",INDEX(资金台帐!$E$7:$E$3006,$G717)&amp;IF(INDEX(资金台帐!$M$7:$M$3006,$G717)="","","；"&amp;INDEX(资金台帐!$M$7:$M$3006,$G717)))</f>
      </c>
      <c r="G717" s="78">
        <f>IFERROR(MATCH(714,资金台帐!$Q$7:$Q$3006,0),"")</f>
      </c>
    </row>
    <row r="718">
      <c r="A718" s="141">
        <f>IF($G718="","",715)</f>
      </c>
      <c r="B718" s="140">
        <f>IF($G718="","",INDEX(资金台帐!$B$7:$B$3006,$G718))</f>
      </c>
      <c r="C718" s="141">
        <f>IF($G718="","",INDEX(资金台帐!$J$7:$J$3006,$G718))</f>
      </c>
      <c r="D718" s="172">
        <f>IF($G718="","",INDEX(资金台帐!$S$7:$S$3006,$G718))</f>
      </c>
      <c r="E718" s="141">
        <f>IF($G718="","",INDEX(资金台帐!$C$7:$C$3006,$G718))</f>
      </c>
      <c r="F718" s="142">
        <f>IF($G718="","",INDEX(资金台帐!$E$7:$E$3006,$G718)&amp;IF(INDEX(资金台帐!$M$7:$M$3006,$G718)="","","；"&amp;INDEX(资金台帐!$M$7:$M$3006,$G718)))</f>
      </c>
      <c r="G718" s="78">
        <f>IFERROR(MATCH(715,资金台帐!$Q$7:$Q$3006,0),"")</f>
      </c>
    </row>
    <row r="719">
      <c r="A719" s="141">
        <f>IF($G719="","",716)</f>
      </c>
      <c r="B719" s="140">
        <f>IF($G719="","",INDEX(资金台帐!$B$7:$B$3006,$G719))</f>
      </c>
      <c r="C719" s="141">
        <f>IF($G719="","",INDEX(资金台帐!$J$7:$J$3006,$G719))</f>
      </c>
      <c r="D719" s="172">
        <f>IF($G719="","",INDEX(资金台帐!$S$7:$S$3006,$G719))</f>
      </c>
      <c r="E719" s="141">
        <f>IF($G719="","",INDEX(资金台帐!$C$7:$C$3006,$G719))</f>
      </c>
      <c r="F719" s="142">
        <f>IF($G719="","",INDEX(资金台帐!$E$7:$E$3006,$G719)&amp;IF(INDEX(资金台帐!$M$7:$M$3006,$G719)="","","；"&amp;INDEX(资金台帐!$M$7:$M$3006,$G719)))</f>
      </c>
      <c r="G719" s="78">
        <f>IFERROR(MATCH(716,资金台帐!$Q$7:$Q$3006,0),"")</f>
      </c>
    </row>
    <row r="720">
      <c r="A720" s="141">
        <f>IF($G720="","",717)</f>
      </c>
      <c r="B720" s="140">
        <f>IF($G720="","",INDEX(资金台帐!$B$7:$B$3006,$G720))</f>
      </c>
      <c r="C720" s="141">
        <f>IF($G720="","",INDEX(资金台帐!$J$7:$J$3006,$G720))</f>
      </c>
      <c r="D720" s="172">
        <f>IF($G720="","",INDEX(资金台帐!$S$7:$S$3006,$G720))</f>
      </c>
      <c r="E720" s="141">
        <f>IF($G720="","",INDEX(资金台帐!$C$7:$C$3006,$G720))</f>
      </c>
      <c r="F720" s="142">
        <f>IF($G720="","",INDEX(资金台帐!$E$7:$E$3006,$G720)&amp;IF(INDEX(资金台帐!$M$7:$M$3006,$G720)="","","；"&amp;INDEX(资金台帐!$M$7:$M$3006,$G720)))</f>
      </c>
      <c r="G720" s="78">
        <f>IFERROR(MATCH(717,资金台帐!$Q$7:$Q$3006,0),"")</f>
      </c>
    </row>
    <row r="721">
      <c r="A721" s="141">
        <f>IF($G721="","",718)</f>
      </c>
      <c r="B721" s="140">
        <f>IF($G721="","",INDEX(资金台帐!$B$7:$B$3006,$G721))</f>
      </c>
      <c r="C721" s="141">
        <f>IF($G721="","",INDEX(资金台帐!$J$7:$J$3006,$G721))</f>
      </c>
      <c r="D721" s="172">
        <f>IF($G721="","",INDEX(资金台帐!$S$7:$S$3006,$G721))</f>
      </c>
      <c r="E721" s="141">
        <f>IF($G721="","",INDEX(资金台帐!$C$7:$C$3006,$G721))</f>
      </c>
      <c r="F721" s="142">
        <f>IF($G721="","",INDEX(资金台帐!$E$7:$E$3006,$G721)&amp;IF(INDEX(资金台帐!$M$7:$M$3006,$G721)="","","；"&amp;INDEX(资金台帐!$M$7:$M$3006,$G721)))</f>
      </c>
      <c r="G721" s="78">
        <f>IFERROR(MATCH(718,资金台帐!$Q$7:$Q$3006,0),"")</f>
      </c>
    </row>
    <row r="722">
      <c r="A722" s="141">
        <f>IF($G722="","",719)</f>
      </c>
      <c r="B722" s="140">
        <f>IF($G722="","",INDEX(资金台帐!$B$7:$B$3006,$G722))</f>
      </c>
      <c r="C722" s="141">
        <f>IF($G722="","",INDEX(资金台帐!$J$7:$J$3006,$G722))</f>
      </c>
      <c r="D722" s="172">
        <f>IF($G722="","",INDEX(资金台帐!$S$7:$S$3006,$G722))</f>
      </c>
      <c r="E722" s="141">
        <f>IF($G722="","",INDEX(资金台帐!$C$7:$C$3006,$G722))</f>
      </c>
      <c r="F722" s="142">
        <f>IF($G722="","",INDEX(资金台帐!$E$7:$E$3006,$G722)&amp;IF(INDEX(资金台帐!$M$7:$M$3006,$G722)="","","；"&amp;INDEX(资金台帐!$M$7:$M$3006,$G722)))</f>
      </c>
      <c r="G722" s="78">
        <f>IFERROR(MATCH(719,资金台帐!$Q$7:$Q$3006,0),"")</f>
      </c>
    </row>
    <row r="723">
      <c r="A723" s="141">
        <f>IF($G723="","",720)</f>
      </c>
      <c r="B723" s="140">
        <f>IF($G723="","",INDEX(资金台帐!$B$7:$B$3006,$G723))</f>
      </c>
      <c r="C723" s="141">
        <f>IF($G723="","",INDEX(资金台帐!$J$7:$J$3006,$G723))</f>
      </c>
      <c r="D723" s="172">
        <f>IF($G723="","",INDEX(资金台帐!$S$7:$S$3006,$G723))</f>
      </c>
      <c r="E723" s="141">
        <f>IF($G723="","",INDEX(资金台帐!$C$7:$C$3006,$G723))</f>
      </c>
      <c r="F723" s="142">
        <f>IF($G723="","",INDEX(资金台帐!$E$7:$E$3006,$G723)&amp;IF(INDEX(资金台帐!$M$7:$M$3006,$G723)="","","；"&amp;INDEX(资金台帐!$M$7:$M$3006,$G723)))</f>
      </c>
      <c r="G723" s="78">
        <f>IFERROR(MATCH(720,资金台帐!$Q$7:$Q$3006,0),"")</f>
      </c>
    </row>
    <row r="724">
      <c r="A724" s="141">
        <f>IF($G724="","",721)</f>
      </c>
      <c r="B724" s="140">
        <f>IF($G724="","",INDEX(资金台帐!$B$7:$B$3006,$G724))</f>
      </c>
      <c r="C724" s="141">
        <f>IF($G724="","",INDEX(资金台帐!$J$7:$J$3006,$G724))</f>
      </c>
      <c r="D724" s="172">
        <f>IF($G724="","",INDEX(资金台帐!$S$7:$S$3006,$G724))</f>
      </c>
      <c r="E724" s="141">
        <f>IF($G724="","",INDEX(资金台帐!$C$7:$C$3006,$G724))</f>
      </c>
      <c r="F724" s="142">
        <f>IF($G724="","",INDEX(资金台帐!$E$7:$E$3006,$G724)&amp;IF(INDEX(资金台帐!$M$7:$M$3006,$G724)="","","；"&amp;INDEX(资金台帐!$M$7:$M$3006,$G724)))</f>
      </c>
      <c r="G724" s="78">
        <f>IFERROR(MATCH(721,资金台帐!$Q$7:$Q$3006,0),"")</f>
      </c>
    </row>
    <row r="725">
      <c r="A725" s="141">
        <f>IF($G725="","",722)</f>
      </c>
      <c r="B725" s="140">
        <f>IF($G725="","",INDEX(资金台帐!$B$7:$B$3006,$G725))</f>
      </c>
      <c r="C725" s="141">
        <f>IF($G725="","",INDEX(资金台帐!$J$7:$J$3006,$G725))</f>
      </c>
      <c r="D725" s="172">
        <f>IF($G725="","",INDEX(资金台帐!$S$7:$S$3006,$G725))</f>
      </c>
      <c r="E725" s="141">
        <f>IF($G725="","",INDEX(资金台帐!$C$7:$C$3006,$G725))</f>
      </c>
      <c r="F725" s="142">
        <f>IF($G725="","",INDEX(资金台帐!$E$7:$E$3006,$G725)&amp;IF(INDEX(资金台帐!$M$7:$M$3006,$G725)="","","；"&amp;INDEX(资金台帐!$M$7:$M$3006,$G725)))</f>
      </c>
      <c r="G725" s="78">
        <f>IFERROR(MATCH(722,资金台帐!$Q$7:$Q$3006,0),"")</f>
      </c>
    </row>
    <row r="726">
      <c r="A726" s="141">
        <f>IF($G726="","",723)</f>
      </c>
      <c r="B726" s="140">
        <f>IF($G726="","",INDEX(资金台帐!$B$7:$B$3006,$G726))</f>
      </c>
      <c r="C726" s="141">
        <f>IF($G726="","",INDEX(资金台帐!$J$7:$J$3006,$G726))</f>
      </c>
      <c r="D726" s="172">
        <f>IF($G726="","",INDEX(资金台帐!$S$7:$S$3006,$G726))</f>
      </c>
      <c r="E726" s="141">
        <f>IF($G726="","",INDEX(资金台帐!$C$7:$C$3006,$G726))</f>
      </c>
      <c r="F726" s="142">
        <f>IF($G726="","",INDEX(资金台帐!$E$7:$E$3006,$G726)&amp;IF(INDEX(资金台帐!$M$7:$M$3006,$G726)="","","；"&amp;INDEX(资金台帐!$M$7:$M$3006,$G726)))</f>
      </c>
      <c r="G726" s="78">
        <f>IFERROR(MATCH(723,资金台帐!$Q$7:$Q$3006,0),"")</f>
      </c>
    </row>
    <row r="727">
      <c r="A727" s="141">
        <f>IF($G727="","",724)</f>
      </c>
      <c r="B727" s="140">
        <f>IF($G727="","",INDEX(资金台帐!$B$7:$B$3006,$G727))</f>
      </c>
      <c r="C727" s="141">
        <f>IF($G727="","",INDEX(资金台帐!$J$7:$J$3006,$G727))</f>
      </c>
      <c r="D727" s="172">
        <f>IF($G727="","",INDEX(资金台帐!$S$7:$S$3006,$G727))</f>
      </c>
      <c r="E727" s="141">
        <f>IF($G727="","",INDEX(资金台帐!$C$7:$C$3006,$G727))</f>
      </c>
      <c r="F727" s="142">
        <f>IF($G727="","",INDEX(资金台帐!$E$7:$E$3006,$G727)&amp;IF(INDEX(资金台帐!$M$7:$M$3006,$G727)="","","；"&amp;INDEX(资金台帐!$M$7:$M$3006,$G727)))</f>
      </c>
      <c r="G727" s="78">
        <f>IFERROR(MATCH(724,资金台帐!$Q$7:$Q$3006,0),"")</f>
      </c>
    </row>
    <row r="728">
      <c r="A728" s="141">
        <f>IF($G728="","",725)</f>
      </c>
      <c r="B728" s="140">
        <f>IF($G728="","",INDEX(资金台帐!$B$7:$B$3006,$G728))</f>
      </c>
      <c r="C728" s="141">
        <f>IF($G728="","",INDEX(资金台帐!$J$7:$J$3006,$G728))</f>
      </c>
      <c r="D728" s="172">
        <f>IF($G728="","",INDEX(资金台帐!$S$7:$S$3006,$G728))</f>
      </c>
      <c r="E728" s="141">
        <f>IF($G728="","",INDEX(资金台帐!$C$7:$C$3006,$G728))</f>
      </c>
      <c r="F728" s="142">
        <f>IF($G728="","",INDEX(资金台帐!$E$7:$E$3006,$G728)&amp;IF(INDEX(资金台帐!$M$7:$M$3006,$G728)="","","；"&amp;INDEX(资金台帐!$M$7:$M$3006,$G728)))</f>
      </c>
      <c r="G728" s="78">
        <f>IFERROR(MATCH(725,资金台帐!$Q$7:$Q$3006,0),"")</f>
      </c>
    </row>
    <row r="729">
      <c r="A729" s="141">
        <f>IF($G729="","",726)</f>
      </c>
      <c r="B729" s="140">
        <f>IF($G729="","",INDEX(资金台帐!$B$7:$B$3006,$G729))</f>
      </c>
      <c r="C729" s="141">
        <f>IF($G729="","",INDEX(资金台帐!$J$7:$J$3006,$G729))</f>
      </c>
      <c r="D729" s="172">
        <f>IF($G729="","",INDEX(资金台帐!$S$7:$S$3006,$G729))</f>
      </c>
      <c r="E729" s="141">
        <f>IF($G729="","",INDEX(资金台帐!$C$7:$C$3006,$G729))</f>
      </c>
      <c r="F729" s="142">
        <f>IF($G729="","",INDEX(资金台帐!$E$7:$E$3006,$G729)&amp;IF(INDEX(资金台帐!$M$7:$M$3006,$G729)="","","；"&amp;INDEX(资金台帐!$M$7:$M$3006,$G729)))</f>
      </c>
      <c r="G729" s="78">
        <f>IFERROR(MATCH(726,资金台帐!$Q$7:$Q$3006,0),"")</f>
      </c>
    </row>
    <row r="730">
      <c r="A730" s="141">
        <f>IF($G730="","",727)</f>
      </c>
      <c r="B730" s="140">
        <f>IF($G730="","",INDEX(资金台帐!$B$7:$B$3006,$G730))</f>
      </c>
      <c r="C730" s="141">
        <f>IF($G730="","",INDEX(资金台帐!$J$7:$J$3006,$G730))</f>
      </c>
      <c r="D730" s="172">
        <f>IF($G730="","",INDEX(资金台帐!$S$7:$S$3006,$G730))</f>
      </c>
      <c r="E730" s="141">
        <f>IF($G730="","",INDEX(资金台帐!$C$7:$C$3006,$G730))</f>
      </c>
      <c r="F730" s="142">
        <f>IF($G730="","",INDEX(资金台帐!$E$7:$E$3006,$G730)&amp;IF(INDEX(资金台帐!$M$7:$M$3006,$G730)="","","；"&amp;INDEX(资金台帐!$M$7:$M$3006,$G730)))</f>
      </c>
      <c r="G730" s="78">
        <f>IFERROR(MATCH(727,资金台帐!$Q$7:$Q$3006,0),"")</f>
      </c>
    </row>
    <row r="731">
      <c r="A731" s="141">
        <f>IF($G731="","",728)</f>
      </c>
      <c r="B731" s="140">
        <f>IF($G731="","",INDEX(资金台帐!$B$7:$B$3006,$G731))</f>
      </c>
      <c r="C731" s="141">
        <f>IF($G731="","",INDEX(资金台帐!$J$7:$J$3006,$G731))</f>
      </c>
      <c r="D731" s="172">
        <f>IF($G731="","",INDEX(资金台帐!$S$7:$S$3006,$G731))</f>
      </c>
      <c r="E731" s="141">
        <f>IF($G731="","",INDEX(资金台帐!$C$7:$C$3006,$G731))</f>
      </c>
      <c r="F731" s="142">
        <f>IF($G731="","",INDEX(资金台帐!$E$7:$E$3006,$G731)&amp;IF(INDEX(资金台帐!$M$7:$M$3006,$G731)="","","；"&amp;INDEX(资金台帐!$M$7:$M$3006,$G731)))</f>
      </c>
      <c r="G731" s="78">
        <f>IFERROR(MATCH(728,资金台帐!$Q$7:$Q$3006,0),"")</f>
      </c>
    </row>
    <row r="732">
      <c r="A732" s="141">
        <f>IF($G732="","",729)</f>
      </c>
      <c r="B732" s="140">
        <f>IF($G732="","",INDEX(资金台帐!$B$7:$B$3006,$G732))</f>
      </c>
      <c r="C732" s="141">
        <f>IF($G732="","",INDEX(资金台帐!$J$7:$J$3006,$G732))</f>
      </c>
      <c r="D732" s="172">
        <f>IF($G732="","",INDEX(资金台帐!$S$7:$S$3006,$G732))</f>
      </c>
      <c r="E732" s="141">
        <f>IF($G732="","",INDEX(资金台帐!$C$7:$C$3006,$G732))</f>
      </c>
      <c r="F732" s="142">
        <f>IF($G732="","",INDEX(资金台帐!$E$7:$E$3006,$G732)&amp;IF(INDEX(资金台帐!$M$7:$M$3006,$G732)="","","；"&amp;INDEX(资金台帐!$M$7:$M$3006,$G732)))</f>
      </c>
      <c r="G732" s="78">
        <f>IFERROR(MATCH(729,资金台帐!$Q$7:$Q$3006,0),"")</f>
      </c>
    </row>
    <row r="733">
      <c r="A733" s="141">
        <f>IF($G733="","",730)</f>
      </c>
      <c r="B733" s="140">
        <f>IF($G733="","",INDEX(资金台帐!$B$7:$B$3006,$G733))</f>
      </c>
      <c r="C733" s="141">
        <f>IF($G733="","",INDEX(资金台帐!$J$7:$J$3006,$G733))</f>
      </c>
      <c r="D733" s="172">
        <f>IF($G733="","",INDEX(资金台帐!$S$7:$S$3006,$G733))</f>
      </c>
      <c r="E733" s="141">
        <f>IF($G733="","",INDEX(资金台帐!$C$7:$C$3006,$G733))</f>
      </c>
      <c r="F733" s="142">
        <f>IF($G733="","",INDEX(资金台帐!$E$7:$E$3006,$G733)&amp;IF(INDEX(资金台帐!$M$7:$M$3006,$G733)="","","；"&amp;INDEX(资金台帐!$M$7:$M$3006,$G733)))</f>
      </c>
      <c r="G733" s="78">
        <f>IFERROR(MATCH(730,资金台帐!$Q$7:$Q$3006,0),"")</f>
      </c>
    </row>
    <row r="734">
      <c r="A734" s="141">
        <f>IF($G734="","",731)</f>
      </c>
      <c r="B734" s="140">
        <f>IF($G734="","",INDEX(资金台帐!$B$7:$B$3006,$G734))</f>
      </c>
      <c r="C734" s="141">
        <f>IF($G734="","",INDEX(资金台帐!$J$7:$J$3006,$G734))</f>
      </c>
      <c r="D734" s="172">
        <f>IF($G734="","",INDEX(资金台帐!$S$7:$S$3006,$G734))</f>
      </c>
      <c r="E734" s="141">
        <f>IF($G734="","",INDEX(资金台帐!$C$7:$C$3006,$G734))</f>
      </c>
      <c r="F734" s="142">
        <f>IF($G734="","",INDEX(资金台帐!$E$7:$E$3006,$G734)&amp;IF(INDEX(资金台帐!$M$7:$M$3006,$G734)="","","；"&amp;INDEX(资金台帐!$M$7:$M$3006,$G734)))</f>
      </c>
      <c r="G734" s="78">
        <f>IFERROR(MATCH(731,资金台帐!$Q$7:$Q$3006,0),"")</f>
      </c>
    </row>
    <row r="735">
      <c r="A735" s="141">
        <f>IF($G735="","",732)</f>
      </c>
      <c r="B735" s="140">
        <f>IF($G735="","",INDEX(资金台帐!$B$7:$B$3006,$G735))</f>
      </c>
      <c r="C735" s="141">
        <f>IF($G735="","",INDEX(资金台帐!$J$7:$J$3006,$G735))</f>
      </c>
      <c r="D735" s="172">
        <f>IF($G735="","",INDEX(资金台帐!$S$7:$S$3006,$G735))</f>
      </c>
      <c r="E735" s="141">
        <f>IF($G735="","",INDEX(资金台帐!$C$7:$C$3006,$G735))</f>
      </c>
      <c r="F735" s="142">
        <f>IF($G735="","",INDEX(资金台帐!$E$7:$E$3006,$G735)&amp;IF(INDEX(资金台帐!$M$7:$M$3006,$G735)="","","；"&amp;INDEX(资金台帐!$M$7:$M$3006,$G735)))</f>
      </c>
      <c r="G735" s="78">
        <f>IFERROR(MATCH(732,资金台帐!$Q$7:$Q$3006,0),"")</f>
      </c>
    </row>
    <row r="736">
      <c r="A736" s="141">
        <f>IF($G736="","",733)</f>
      </c>
      <c r="B736" s="140">
        <f>IF($G736="","",INDEX(资金台帐!$B$7:$B$3006,$G736))</f>
      </c>
      <c r="C736" s="141">
        <f>IF($G736="","",INDEX(资金台帐!$J$7:$J$3006,$G736))</f>
      </c>
      <c r="D736" s="172">
        <f>IF($G736="","",INDEX(资金台帐!$S$7:$S$3006,$G736))</f>
      </c>
      <c r="E736" s="141">
        <f>IF($G736="","",INDEX(资金台帐!$C$7:$C$3006,$G736))</f>
      </c>
      <c r="F736" s="142">
        <f>IF($G736="","",INDEX(资金台帐!$E$7:$E$3006,$G736)&amp;IF(INDEX(资金台帐!$M$7:$M$3006,$G736)="","","；"&amp;INDEX(资金台帐!$M$7:$M$3006,$G736)))</f>
      </c>
      <c r="G736" s="78">
        <f>IFERROR(MATCH(733,资金台帐!$Q$7:$Q$3006,0),"")</f>
      </c>
    </row>
    <row r="737">
      <c r="A737" s="141">
        <f>IF($G737="","",734)</f>
      </c>
      <c r="B737" s="140">
        <f>IF($G737="","",INDEX(资金台帐!$B$7:$B$3006,$G737))</f>
      </c>
      <c r="C737" s="141">
        <f>IF($G737="","",INDEX(资金台帐!$J$7:$J$3006,$G737))</f>
      </c>
      <c r="D737" s="172">
        <f>IF($G737="","",INDEX(资金台帐!$S$7:$S$3006,$G737))</f>
      </c>
      <c r="E737" s="141">
        <f>IF($G737="","",INDEX(资金台帐!$C$7:$C$3006,$G737))</f>
      </c>
      <c r="F737" s="142">
        <f>IF($G737="","",INDEX(资金台帐!$E$7:$E$3006,$G737)&amp;IF(INDEX(资金台帐!$M$7:$M$3006,$G737)="","","；"&amp;INDEX(资金台帐!$M$7:$M$3006,$G737)))</f>
      </c>
      <c r="G737" s="78">
        <f>IFERROR(MATCH(734,资金台帐!$Q$7:$Q$3006,0),"")</f>
      </c>
    </row>
    <row r="738">
      <c r="A738" s="141">
        <f>IF($G738="","",735)</f>
      </c>
      <c r="B738" s="140">
        <f>IF($G738="","",INDEX(资金台帐!$B$7:$B$3006,$G738))</f>
      </c>
      <c r="C738" s="141">
        <f>IF($G738="","",INDEX(资金台帐!$J$7:$J$3006,$G738))</f>
      </c>
      <c r="D738" s="172">
        <f>IF($G738="","",INDEX(资金台帐!$S$7:$S$3006,$G738))</f>
      </c>
      <c r="E738" s="141">
        <f>IF($G738="","",INDEX(资金台帐!$C$7:$C$3006,$G738))</f>
      </c>
      <c r="F738" s="142">
        <f>IF($G738="","",INDEX(资金台帐!$E$7:$E$3006,$G738)&amp;IF(INDEX(资金台帐!$M$7:$M$3006,$G738)="","","；"&amp;INDEX(资金台帐!$M$7:$M$3006,$G738)))</f>
      </c>
      <c r="G738" s="78">
        <f>IFERROR(MATCH(735,资金台帐!$Q$7:$Q$3006,0),"")</f>
      </c>
    </row>
    <row r="739">
      <c r="A739" s="141">
        <f>IF($G739="","",736)</f>
      </c>
      <c r="B739" s="140">
        <f>IF($G739="","",INDEX(资金台帐!$B$7:$B$3006,$G739))</f>
      </c>
      <c r="C739" s="141">
        <f>IF($G739="","",INDEX(资金台帐!$J$7:$J$3006,$G739))</f>
      </c>
      <c r="D739" s="172">
        <f>IF($G739="","",INDEX(资金台帐!$S$7:$S$3006,$G739))</f>
      </c>
      <c r="E739" s="141">
        <f>IF($G739="","",INDEX(资金台帐!$C$7:$C$3006,$G739))</f>
      </c>
      <c r="F739" s="142">
        <f>IF($G739="","",INDEX(资金台帐!$E$7:$E$3006,$G739)&amp;IF(INDEX(资金台帐!$M$7:$M$3006,$G739)="","","；"&amp;INDEX(资金台帐!$M$7:$M$3006,$G739)))</f>
      </c>
      <c r="G739" s="78">
        <f>IFERROR(MATCH(736,资金台帐!$Q$7:$Q$3006,0),"")</f>
      </c>
    </row>
    <row r="740">
      <c r="A740" s="141">
        <f>IF($G740="","",737)</f>
      </c>
      <c r="B740" s="140">
        <f>IF($G740="","",INDEX(资金台帐!$B$7:$B$3006,$G740))</f>
      </c>
      <c r="C740" s="141">
        <f>IF($G740="","",INDEX(资金台帐!$J$7:$J$3006,$G740))</f>
      </c>
      <c r="D740" s="172">
        <f>IF($G740="","",INDEX(资金台帐!$S$7:$S$3006,$G740))</f>
      </c>
      <c r="E740" s="141">
        <f>IF($G740="","",INDEX(资金台帐!$C$7:$C$3006,$G740))</f>
      </c>
      <c r="F740" s="142">
        <f>IF($G740="","",INDEX(资金台帐!$E$7:$E$3006,$G740)&amp;IF(INDEX(资金台帐!$M$7:$M$3006,$G740)="","","；"&amp;INDEX(资金台帐!$M$7:$M$3006,$G740)))</f>
      </c>
      <c r="G740" s="78">
        <f>IFERROR(MATCH(737,资金台帐!$Q$7:$Q$3006,0),"")</f>
      </c>
    </row>
    <row r="741">
      <c r="A741" s="141">
        <f>IF($G741="","",738)</f>
      </c>
      <c r="B741" s="140">
        <f>IF($G741="","",INDEX(资金台帐!$B$7:$B$3006,$G741))</f>
      </c>
      <c r="C741" s="141">
        <f>IF($G741="","",INDEX(资金台帐!$J$7:$J$3006,$G741))</f>
      </c>
      <c r="D741" s="172">
        <f>IF($G741="","",INDEX(资金台帐!$S$7:$S$3006,$G741))</f>
      </c>
      <c r="E741" s="141">
        <f>IF($G741="","",INDEX(资金台帐!$C$7:$C$3006,$G741))</f>
      </c>
      <c r="F741" s="142">
        <f>IF($G741="","",INDEX(资金台帐!$E$7:$E$3006,$G741)&amp;IF(INDEX(资金台帐!$M$7:$M$3006,$G741)="","","；"&amp;INDEX(资金台帐!$M$7:$M$3006,$G741)))</f>
      </c>
      <c r="G741" s="78">
        <f>IFERROR(MATCH(738,资金台帐!$Q$7:$Q$3006,0),"")</f>
      </c>
    </row>
    <row r="742">
      <c r="A742" s="141">
        <f>IF($G742="","",739)</f>
      </c>
      <c r="B742" s="140">
        <f>IF($G742="","",INDEX(资金台帐!$B$7:$B$3006,$G742))</f>
      </c>
      <c r="C742" s="141">
        <f>IF($G742="","",INDEX(资金台帐!$J$7:$J$3006,$G742))</f>
      </c>
      <c r="D742" s="172">
        <f>IF($G742="","",INDEX(资金台帐!$S$7:$S$3006,$G742))</f>
      </c>
      <c r="E742" s="141">
        <f>IF($G742="","",INDEX(资金台帐!$C$7:$C$3006,$G742))</f>
      </c>
      <c r="F742" s="142">
        <f>IF($G742="","",INDEX(资金台帐!$E$7:$E$3006,$G742)&amp;IF(INDEX(资金台帐!$M$7:$M$3006,$G742)="","","；"&amp;INDEX(资金台帐!$M$7:$M$3006,$G742)))</f>
      </c>
      <c r="G742" s="78">
        <f>IFERROR(MATCH(739,资金台帐!$Q$7:$Q$3006,0),"")</f>
      </c>
    </row>
    <row r="743">
      <c r="A743" s="141">
        <f>IF($G743="","",740)</f>
      </c>
      <c r="B743" s="140">
        <f>IF($G743="","",INDEX(资金台帐!$B$7:$B$3006,$G743))</f>
      </c>
      <c r="C743" s="141">
        <f>IF($G743="","",INDEX(资金台帐!$J$7:$J$3006,$G743))</f>
      </c>
      <c r="D743" s="172">
        <f>IF($G743="","",INDEX(资金台帐!$S$7:$S$3006,$G743))</f>
      </c>
      <c r="E743" s="141">
        <f>IF($G743="","",INDEX(资金台帐!$C$7:$C$3006,$G743))</f>
      </c>
      <c r="F743" s="142">
        <f>IF($G743="","",INDEX(资金台帐!$E$7:$E$3006,$G743)&amp;IF(INDEX(资金台帐!$M$7:$M$3006,$G743)="","","；"&amp;INDEX(资金台帐!$M$7:$M$3006,$G743)))</f>
      </c>
      <c r="G743" s="78">
        <f>IFERROR(MATCH(740,资金台帐!$Q$7:$Q$3006,0),"")</f>
      </c>
    </row>
    <row r="744">
      <c r="A744" s="141">
        <f>IF($G744="","",741)</f>
      </c>
      <c r="B744" s="140">
        <f>IF($G744="","",INDEX(资金台帐!$B$7:$B$3006,$G744))</f>
      </c>
      <c r="C744" s="141">
        <f>IF($G744="","",INDEX(资金台帐!$J$7:$J$3006,$G744))</f>
      </c>
      <c r="D744" s="172">
        <f>IF($G744="","",INDEX(资金台帐!$S$7:$S$3006,$G744))</f>
      </c>
      <c r="E744" s="141">
        <f>IF($G744="","",INDEX(资金台帐!$C$7:$C$3006,$G744))</f>
      </c>
      <c r="F744" s="142">
        <f>IF($G744="","",INDEX(资金台帐!$E$7:$E$3006,$G744)&amp;IF(INDEX(资金台帐!$M$7:$M$3006,$G744)="","","；"&amp;INDEX(资金台帐!$M$7:$M$3006,$G744)))</f>
      </c>
      <c r="G744" s="78">
        <f>IFERROR(MATCH(741,资金台帐!$Q$7:$Q$3006,0),"")</f>
      </c>
    </row>
    <row r="745">
      <c r="A745" s="141">
        <f>IF($G745="","",742)</f>
      </c>
      <c r="B745" s="140">
        <f>IF($G745="","",INDEX(资金台帐!$B$7:$B$3006,$G745))</f>
      </c>
      <c r="C745" s="141">
        <f>IF($G745="","",INDEX(资金台帐!$J$7:$J$3006,$G745))</f>
      </c>
      <c r="D745" s="172">
        <f>IF($G745="","",INDEX(资金台帐!$S$7:$S$3006,$G745))</f>
      </c>
      <c r="E745" s="141">
        <f>IF($G745="","",INDEX(资金台帐!$C$7:$C$3006,$G745))</f>
      </c>
      <c r="F745" s="142">
        <f>IF($G745="","",INDEX(资金台帐!$E$7:$E$3006,$G745)&amp;IF(INDEX(资金台帐!$M$7:$M$3006,$G745)="","","；"&amp;INDEX(资金台帐!$M$7:$M$3006,$G745)))</f>
      </c>
      <c r="G745" s="78">
        <f>IFERROR(MATCH(742,资金台帐!$Q$7:$Q$3006,0),"")</f>
      </c>
    </row>
    <row r="746">
      <c r="A746" s="141">
        <f>IF($G746="","",743)</f>
      </c>
      <c r="B746" s="140">
        <f>IF($G746="","",INDEX(资金台帐!$B$7:$B$3006,$G746))</f>
      </c>
      <c r="C746" s="141">
        <f>IF($G746="","",INDEX(资金台帐!$J$7:$J$3006,$G746))</f>
      </c>
      <c r="D746" s="172">
        <f>IF($G746="","",INDEX(资金台帐!$S$7:$S$3006,$G746))</f>
      </c>
      <c r="E746" s="141">
        <f>IF($G746="","",INDEX(资金台帐!$C$7:$C$3006,$G746))</f>
      </c>
      <c r="F746" s="142">
        <f>IF($G746="","",INDEX(资金台帐!$E$7:$E$3006,$G746)&amp;IF(INDEX(资金台帐!$M$7:$M$3006,$G746)="","","；"&amp;INDEX(资金台帐!$M$7:$M$3006,$G746)))</f>
      </c>
      <c r="G746" s="78">
        <f>IFERROR(MATCH(743,资金台帐!$Q$7:$Q$3006,0),"")</f>
      </c>
    </row>
    <row r="747">
      <c r="A747" s="141">
        <f>IF($G747="","",744)</f>
      </c>
      <c r="B747" s="140">
        <f>IF($G747="","",INDEX(资金台帐!$B$7:$B$3006,$G747))</f>
      </c>
      <c r="C747" s="141">
        <f>IF($G747="","",INDEX(资金台帐!$J$7:$J$3006,$G747))</f>
      </c>
      <c r="D747" s="172">
        <f>IF($G747="","",INDEX(资金台帐!$S$7:$S$3006,$G747))</f>
      </c>
      <c r="E747" s="141">
        <f>IF($G747="","",INDEX(资金台帐!$C$7:$C$3006,$G747))</f>
      </c>
      <c r="F747" s="142">
        <f>IF($G747="","",INDEX(资金台帐!$E$7:$E$3006,$G747)&amp;IF(INDEX(资金台帐!$M$7:$M$3006,$G747)="","","；"&amp;INDEX(资金台帐!$M$7:$M$3006,$G747)))</f>
      </c>
      <c r="G747" s="78">
        <f>IFERROR(MATCH(744,资金台帐!$Q$7:$Q$3006,0),"")</f>
      </c>
    </row>
    <row r="748">
      <c r="A748" s="141">
        <f>IF($G748="","",745)</f>
      </c>
      <c r="B748" s="140">
        <f>IF($G748="","",INDEX(资金台帐!$B$7:$B$3006,$G748))</f>
      </c>
      <c r="C748" s="141">
        <f>IF($G748="","",INDEX(资金台帐!$J$7:$J$3006,$G748))</f>
      </c>
      <c r="D748" s="172">
        <f>IF($G748="","",INDEX(资金台帐!$S$7:$S$3006,$G748))</f>
      </c>
      <c r="E748" s="141">
        <f>IF($G748="","",INDEX(资金台帐!$C$7:$C$3006,$G748))</f>
      </c>
      <c r="F748" s="142">
        <f>IF($G748="","",INDEX(资金台帐!$E$7:$E$3006,$G748)&amp;IF(INDEX(资金台帐!$M$7:$M$3006,$G748)="","","；"&amp;INDEX(资金台帐!$M$7:$M$3006,$G748)))</f>
      </c>
      <c r="G748" s="78">
        <f>IFERROR(MATCH(745,资金台帐!$Q$7:$Q$3006,0),"")</f>
      </c>
    </row>
    <row r="749">
      <c r="A749" s="141">
        <f>IF($G749="","",746)</f>
      </c>
      <c r="B749" s="140">
        <f>IF($G749="","",INDEX(资金台帐!$B$7:$B$3006,$G749))</f>
      </c>
      <c r="C749" s="141">
        <f>IF($G749="","",INDEX(资金台帐!$J$7:$J$3006,$G749))</f>
      </c>
      <c r="D749" s="172">
        <f>IF($G749="","",INDEX(资金台帐!$S$7:$S$3006,$G749))</f>
      </c>
      <c r="E749" s="141">
        <f>IF($G749="","",INDEX(资金台帐!$C$7:$C$3006,$G749))</f>
      </c>
      <c r="F749" s="142">
        <f>IF($G749="","",INDEX(资金台帐!$E$7:$E$3006,$G749)&amp;IF(INDEX(资金台帐!$M$7:$M$3006,$G749)="","","；"&amp;INDEX(资金台帐!$M$7:$M$3006,$G749)))</f>
      </c>
      <c r="G749" s="78">
        <f>IFERROR(MATCH(746,资金台帐!$Q$7:$Q$3006,0),"")</f>
      </c>
    </row>
    <row r="750">
      <c r="A750" s="141">
        <f>IF($G750="","",747)</f>
      </c>
      <c r="B750" s="140">
        <f>IF($G750="","",INDEX(资金台帐!$B$7:$B$3006,$G750))</f>
      </c>
      <c r="C750" s="141">
        <f>IF($G750="","",INDEX(资金台帐!$J$7:$J$3006,$G750))</f>
      </c>
      <c r="D750" s="172">
        <f>IF($G750="","",INDEX(资金台帐!$S$7:$S$3006,$G750))</f>
      </c>
      <c r="E750" s="141">
        <f>IF($G750="","",INDEX(资金台帐!$C$7:$C$3006,$G750))</f>
      </c>
      <c r="F750" s="142">
        <f>IF($G750="","",INDEX(资金台帐!$E$7:$E$3006,$G750)&amp;IF(INDEX(资金台帐!$M$7:$M$3006,$G750)="","","；"&amp;INDEX(资金台帐!$M$7:$M$3006,$G750)))</f>
      </c>
      <c r="G750" s="78">
        <f>IFERROR(MATCH(747,资金台帐!$Q$7:$Q$3006,0),"")</f>
      </c>
    </row>
    <row r="751">
      <c r="A751" s="141">
        <f>IF($G751="","",748)</f>
      </c>
      <c r="B751" s="140">
        <f>IF($G751="","",INDEX(资金台帐!$B$7:$B$3006,$G751))</f>
      </c>
      <c r="C751" s="141">
        <f>IF($G751="","",INDEX(资金台帐!$J$7:$J$3006,$G751))</f>
      </c>
      <c r="D751" s="172">
        <f>IF($G751="","",INDEX(资金台帐!$S$7:$S$3006,$G751))</f>
      </c>
      <c r="E751" s="141">
        <f>IF($G751="","",INDEX(资金台帐!$C$7:$C$3006,$G751))</f>
      </c>
      <c r="F751" s="142">
        <f>IF($G751="","",INDEX(资金台帐!$E$7:$E$3006,$G751)&amp;IF(INDEX(资金台帐!$M$7:$M$3006,$G751)="","","；"&amp;INDEX(资金台帐!$M$7:$M$3006,$G751)))</f>
      </c>
      <c r="G751" s="78">
        <f>IFERROR(MATCH(748,资金台帐!$Q$7:$Q$3006,0),"")</f>
      </c>
    </row>
    <row r="752">
      <c r="A752" s="141">
        <f>IF($G752="","",749)</f>
      </c>
      <c r="B752" s="140">
        <f>IF($G752="","",INDEX(资金台帐!$B$7:$B$3006,$G752))</f>
      </c>
      <c r="C752" s="141">
        <f>IF($G752="","",INDEX(资金台帐!$J$7:$J$3006,$G752))</f>
      </c>
      <c r="D752" s="172">
        <f>IF($G752="","",INDEX(资金台帐!$S$7:$S$3006,$G752))</f>
      </c>
      <c r="E752" s="141">
        <f>IF($G752="","",INDEX(资金台帐!$C$7:$C$3006,$G752))</f>
      </c>
      <c r="F752" s="142">
        <f>IF($G752="","",INDEX(资金台帐!$E$7:$E$3006,$G752)&amp;IF(INDEX(资金台帐!$M$7:$M$3006,$G752)="","","；"&amp;INDEX(资金台帐!$M$7:$M$3006,$G752)))</f>
      </c>
      <c r="G752" s="78">
        <f>IFERROR(MATCH(749,资金台帐!$Q$7:$Q$3006,0),"")</f>
      </c>
    </row>
    <row r="753">
      <c r="A753" s="141">
        <f>IF($G753="","",750)</f>
      </c>
      <c r="B753" s="140">
        <f>IF($G753="","",INDEX(资金台帐!$B$7:$B$3006,$G753))</f>
      </c>
      <c r="C753" s="141">
        <f>IF($G753="","",INDEX(资金台帐!$J$7:$J$3006,$G753))</f>
      </c>
      <c r="D753" s="172">
        <f>IF($G753="","",INDEX(资金台帐!$S$7:$S$3006,$G753))</f>
      </c>
      <c r="E753" s="141">
        <f>IF($G753="","",INDEX(资金台帐!$C$7:$C$3006,$G753))</f>
      </c>
      <c r="F753" s="142">
        <f>IF($G753="","",INDEX(资金台帐!$E$7:$E$3006,$G753)&amp;IF(INDEX(资金台帐!$M$7:$M$3006,$G753)="","","；"&amp;INDEX(资金台帐!$M$7:$M$3006,$G753)))</f>
      </c>
      <c r="G753" s="78">
        <f>IFERROR(MATCH(750,资金台帐!$Q$7:$Q$3006,0),"")</f>
      </c>
    </row>
    <row r="754">
      <c r="A754" s="141">
        <f>IF($G754="","",751)</f>
      </c>
      <c r="B754" s="140">
        <f>IF($G754="","",INDEX(资金台帐!$B$7:$B$3006,$G754))</f>
      </c>
      <c r="C754" s="141">
        <f>IF($G754="","",INDEX(资金台帐!$J$7:$J$3006,$G754))</f>
      </c>
      <c r="D754" s="172">
        <f>IF($G754="","",INDEX(资金台帐!$S$7:$S$3006,$G754))</f>
      </c>
      <c r="E754" s="141">
        <f>IF($G754="","",INDEX(资金台帐!$C$7:$C$3006,$G754))</f>
      </c>
      <c r="F754" s="142">
        <f>IF($G754="","",INDEX(资金台帐!$E$7:$E$3006,$G754)&amp;IF(INDEX(资金台帐!$M$7:$M$3006,$G754)="","","；"&amp;INDEX(资金台帐!$M$7:$M$3006,$G754)))</f>
      </c>
      <c r="G754" s="78">
        <f>IFERROR(MATCH(751,资金台帐!$Q$7:$Q$3006,0),"")</f>
      </c>
    </row>
    <row r="755">
      <c r="A755" s="141">
        <f>IF($G755="","",752)</f>
      </c>
      <c r="B755" s="140">
        <f>IF($G755="","",INDEX(资金台帐!$B$7:$B$3006,$G755))</f>
      </c>
      <c r="C755" s="141">
        <f>IF($G755="","",INDEX(资金台帐!$J$7:$J$3006,$G755))</f>
      </c>
      <c r="D755" s="172">
        <f>IF($G755="","",INDEX(资金台帐!$S$7:$S$3006,$G755))</f>
      </c>
      <c r="E755" s="141">
        <f>IF($G755="","",INDEX(资金台帐!$C$7:$C$3006,$G755))</f>
      </c>
      <c r="F755" s="142">
        <f>IF($G755="","",INDEX(资金台帐!$E$7:$E$3006,$G755)&amp;IF(INDEX(资金台帐!$M$7:$M$3006,$G755)="","","；"&amp;INDEX(资金台帐!$M$7:$M$3006,$G755)))</f>
      </c>
      <c r="G755" s="78">
        <f>IFERROR(MATCH(752,资金台帐!$Q$7:$Q$3006,0),"")</f>
      </c>
    </row>
    <row r="756">
      <c r="A756" s="141">
        <f>IF($G756="","",753)</f>
      </c>
      <c r="B756" s="140">
        <f>IF($G756="","",INDEX(资金台帐!$B$7:$B$3006,$G756))</f>
      </c>
      <c r="C756" s="141">
        <f>IF($G756="","",INDEX(资金台帐!$J$7:$J$3006,$G756))</f>
      </c>
      <c r="D756" s="172">
        <f>IF($G756="","",INDEX(资金台帐!$S$7:$S$3006,$G756))</f>
      </c>
      <c r="E756" s="141">
        <f>IF($G756="","",INDEX(资金台帐!$C$7:$C$3006,$G756))</f>
      </c>
      <c r="F756" s="142">
        <f>IF($G756="","",INDEX(资金台帐!$E$7:$E$3006,$G756)&amp;IF(INDEX(资金台帐!$M$7:$M$3006,$G756)="","","；"&amp;INDEX(资金台帐!$M$7:$M$3006,$G756)))</f>
      </c>
      <c r="G756" s="78">
        <f>IFERROR(MATCH(753,资金台帐!$Q$7:$Q$3006,0),"")</f>
      </c>
    </row>
    <row r="757">
      <c r="A757" s="141">
        <f>IF($G757="","",754)</f>
      </c>
      <c r="B757" s="140">
        <f>IF($G757="","",INDEX(资金台帐!$B$7:$B$3006,$G757))</f>
      </c>
      <c r="C757" s="141">
        <f>IF($G757="","",INDEX(资金台帐!$J$7:$J$3006,$G757))</f>
      </c>
      <c r="D757" s="172">
        <f>IF($G757="","",INDEX(资金台帐!$S$7:$S$3006,$G757))</f>
      </c>
      <c r="E757" s="141">
        <f>IF($G757="","",INDEX(资金台帐!$C$7:$C$3006,$G757))</f>
      </c>
      <c r="F757" s="142">
        <f>IF($G757="","",INDEX(资金台帐!$E$7:$E$3006,$G757)&amp;IF(INDEX(资金台帐!$M$7:$M$3006,$G757)="","","；"&amp;INDEX(资金台帐!$M$7:$M$3006,$G757)))</f>
      </c>
      <c r="G757" s="78">
        <f>IFERROR(MATCH(754,资金台帐!$Q$7:$Q$3006,0),"")</f>
      </c>
    </row>
    <row r="758">
      <c r="A758" s="141">
        <f>IF($G758="","",755)</f>
      </c>
      <c r="B758" s="140">
        <f>IF($G758="","",INDEX(资金台帐!$B$7:$B$3006,$G758))</f>
      </c>
      <c r="C758" s="141">
        <f>IF($G758="","",INDEX(资金台帐!$J$7:$J$3006,$G758))</f>
      </c>
      <c r="D758" s="172">
        <f>IF($G758="","",INDEX(资金台帐!$S$7:$S$3006,$G758))</f>
      </c>
      <c r="E758" s="141">
        <f>IF($G758="","",INDEX(资金台帐!$C$7:$C$3006,$G758))</f>
      </c>
      <c r="F758" s="142">
        <f>IF($G758="","",INDEX(资金台帐!$E$7:$E$3006,$G758)&amp;IF(INDEX(资金台帐!$M$7:$M$3006,$G758)="","","；"&amp;INDEX(资金台帐!$M$7:$M$3006,$G758)))</f>
      </c>
      <c r="G758" s="78">
        <f>IFERROR(MATCH(755,资金台帐!$Q$7:$Q$3006,0),"")</f>
      </c>
    </row>
    <row r="759">
      <c r="A759" s="141">
        <f>IF($G759="","",756)</f>
      </c>
      <c r="B759" s="140">
        <f>IF($G759="","",INDEX(资金台帐!$B$7:$B$3006,$G759))</f>
      </c>
      <c r="C759" s="141">
        <f>IF($G759="","",INDEX(资金台帐!$J$7:$J$3006,$G759))</f>
      </c>
      <c r="D759" s="172">
        <f>IF($G759="","",INDEX(资金台帐!$S$7:$S$3006,$G759))</f>
      </c>
      <c r="E759" s="141">
        <f>IF($G759="","",INDEX(资金台帐!$C$7:$C$3006,$G759))</f>
      </c>
      <c r="F759" s="142">
        <f>IF($G759="","",INDEX(资金台帐!$E$7:$E$3006,$G759)&amp;IF(INDEX(资金台帐!$M$7:$M$3006,$G759)="","","；"&amp;INDEX(资金台帐!$M$7:$M$3006,$G759)))</f>
      </c>
      <c r="G759" s="78">
        <f>IFERROR(MATCH(756,资金台帐!$Q$7:$Q$3006,0),"")</f>
      </c>
    </row>
    <row r="760">
      <c r="A760" s="141">
        <f>IF($G760="","",757)</f>
      </c>
      <c r="B760" s="140">
        <f>IF($G760="","",INDEX(资金台帐!$B$7:$B$3006,$G760))</f>
      </c>
      <c r="C760" s="141">
        <f>IF($G760="","",INDEX(资金台帐!$J$7:$J$3006,$G760))</f>
      </c>
      <c r="D760" s="172">
        <f>IF($G760="","",INDEX(资金台帐!$S$7:$S$3006,$G760))</f>
      </c>
      <c r="E760" s="141">
        <f>IF($G760="","",INDEX(资金台帐!$C$7:$C$3006,$G760))</f>
      </c>
      <c r="F760" s="142">
        <f>IF($G760="","",INDEX(资金台帐!$E$7:$E$3006,$G760)&amp;IF(INDEX(资金台帐!$M$7:$M$3006,$G760)="","","；"&amp;INDEX(资金台帐!$M$7:$M$3006,$G760)))</f>
      </c>
      <c r="G760" s="78">
        <f>IFERROR(MATCH(757,资金台帐!$Q$7:$Q$3006,0),"")</f>
      </c>
    </row>
    <row r="761">
      <c r="A761" s="141">
        <f>IF($G761="","",758)</f>
      </c>
      <c r="B761" s="140">
        <f>IF($G761="","",INDEX(资金台帐!$B$7:$B$3006,$G761))</f>
      </c>
      <c r="C761" s="141">
        <f>IF($G761="","",INDEX(资金台帐!$J$7:$J$3006,$G761))</f>
      </c>
      <c r="D761" s="172">
        <f>IF($G761="","",INDEX(资金台帐!$S$7:$S$3006,$G761))</f>
      </c>
      <c r="E761" s="141">
        <f>IF($G761="","",INDEX(资金台帐!$C$7:$C$3006,$G761))</f>
      </c>
      <c r="F761" s="142">
        <f>IF($G761="","",INDEX(资金台帐!$E$7:$E$3006,$G761)&amp;IF(INDEX(资金台帐!$M$7:$M$3006,$G761)="","","；"&amp;INDEX(资金台帐!$M$7:$M$3006,$G761)))</f>
      </c>
      <c r="G761" s="78">
        <f>IFERROR(MATCH(758,资金台帐!$Q$7:$Q$3006,0),"")</f>
      </c>
    </row>
    <row r="762">
      <c r="A762" s="141">
        <f>IF($G762="","",759)</f>
      </c>
      <c r="B762" s="140">
        <f>IF($G762="","",INDEX(资金台帐!$B$7:$B$3006,$G762))</f>
      </c>
      <c r="C762" s="141">
        <f>IF($G762="","",INDEX(资金台帐!$J$7:$J$3006,$G762))</f>
      </c>
      <c r="D762" s="172">
        <f>IF($G762="","",INDEX(资金台帐!$S$7:$S$3006,$G762))</f>
      </c>
      <c r="E762" s="141">
        <f>IF($G762="","",INDEX(资金台帐!$C$7:$C$3006,$G762))</f>
      </c>
      <c r="F762" s="142">
        <f>IF($G762="","",INDEX(资金台帐!$E$7:$E$3006,$G762)&amp;IF(INDEX(资金台帐!$M$7:$M$3006,$G762)="","","；"&amp;INDEX(资金台帐!$M$7:$M$3006,$G762)))</f>
      </c>
      <c r="G762" s="78">
        <f>IFERROR(MATCH(759,资金台帐!$Q$7:$Q$3006,0),"")</f>
      </c>
    </row>
    <row r="763">
      <c r="A763" s="141">
        <f>IF($G763="","",760)</f>
      </c>
      <c r="B763" s="140">
        <f>IF($G763="","",INDEX(资金台帐!$B$7:$B$3006,$G763))</f>
      </c>
      <c r="C763" s="141">
        <f>IF($G763="","",INDEX(资金台帐!$J$7:$J$3006,$G763))</f>
      </c>
      <c r="D763" s="172">
        <f>IF($G763="","",INDEX(资金台帐!$S$7:$S$3006,$G763))</f>
      </c>
      <c r="E763" s="141">
        <f>IF($G763="","",INDEX(资金台帐!$C$7:$C$3006,$G763))</f>
      </c>
      <c r="F763" s="142">
        <f>IF($G763="","",INDEX(资金台帐!$E$7:$E$3006,$G763)&amp;IF(INDEX(资金台帐!$M$7:$M$3006,$G763)="","","；"&amp;INDEX(资金台帐!$M$7:$M$3006,$G763)))</f>
      </c>
      <c r="G763" s="78">
        <f>IFERROR(MATCH(760,资金台帐!$Q$7:$Q$3006,0),"")</f>
      </c>
    </row>
    <row r="764">
      <c r="A764" s="141">
        <f>IF($G764="","",761)</f>
      </c>
      <c r="B764" s="140">
        <f>IF($G764="","",INDEX(资金台帐!$B$7:$B$3006,$G764))</f>
      </c>
      <c r="C764" s="141">
        <f>IF($G764="","",INDEX(资金台帐!$J$7:$J$3006,$G764))</f>
      </c>
      <c r="D764" s="172">
        <f>IF($G764="","",INDEX(资金台帐!$S$7:$S$3006,$G764))</f>
      </c>
      <c r="E764" s="141">
        <f>IF($G764="","",INDEX(资金台帐!$C$7:$C$3006,$G764))</f>
      </c>
      <c r="F764" s="142">
        <f>IF($G764="","",INDEX(资金台帐!$E$7:$E$3006,$G764)&amp;IF(INDEX(资金台帐!$M$7:$M$3006,$G764)="","","；"&amp;INDEX(资金台帐!$M$7:$M$3006,$G764)))</f>
      </c>
      <c r="G764" s="78">
        <f>IFERROR(MATCH(761,资金台帐!$Q$7:$Q$3006,0),"")</f>
      </c>
    </row>
    <row r="765">
      <c r="A765" s="141">
        <f>IF($G765="","",762)</f>
      </c>
      <c r="B765" s="140">
        <f>IF($G765="","",INDEX(资金台帐!$B$7:$B$3006,$G765))</f>
      </c>
      <c r="C765" s="141">
        <f>IF($G765="","",INDEX(资金台帐!$J$7:$J$3006,$G765))</f>
      </c>
      <c r="D765" s="172">
        <f>IF($G765="","",INDEX(资金台帐!$S$7:$S$3006,$G765))</f>
      </c>
      <c r="E765" s="141">
        <f>IF($G765="","",INDEX(资金台帐!$C$7:$C$3006,$G765))</f>
      </c>
      <c r="F765" s="142">
        <f>IF($G765="","",INDEX(资金台帐!$E$7:$E$3006,$G765)&amp;IF(INDEX(资金台帐!$M$7:$M$3006,$G765)="","","；"&amp;INDEX(资金台帐!$M$7:$M$3006,$G765)))</f>
      </c>
      <c r="G765" s="78">
        <f>IFERROR(MATCH(762,资金台帐!$Q$7:$Q$3006,0),"")</f>
      </c>
    </row>
    <row r="766">
      <c r="A766" s="141">
        <f>IF($G766="","",763)</f>
      </c>
      <c r="B766" s="140">
        <f>IF($G766="","",INDEX(资金台帐!$B$7:$B$3006,$G766))</f>
      </c>
      <c r="C766" s="141">
        <f>IF($G766="","",INDEX(资金台帐!$J$7:$J$3006,$G766))</f>
      </c>
      <c r="D766" s="172">
        <f>IF($G766="","",INDEX(资金台帐!$S$7:$S$3006,$G766))</f>
      </c>
      <c r="E766" s="141">
        <f>IF($G766="","",INDEX(资金台帐!$C$7:$C$3006,$G766))</f>
      </c>
      <c r="F766" s="142">
        <f>IF($G766="","",INDEX(资金台帐!$E$7:$E$3006,$G766)&amp;IF(INDEX(资金台帐!$M$7:$M$3006,$G766)="","","；"&amp;INDEX(资金台帐!$M$7:$M$3006,$G766)))</f>
      </c>
      <c r="G766" s="78">
        <f>IFERROR(MATCH(763,资金台帐!$Q$7:$Q$3006,0),"")</f>
      </c>
    </row>
    <row r="767">
      <c r="A767" s="141">
        <f>IF($G767="","",764)</f>
      </c>
      <c r="B767" s="140">
        <f>IF($G767="","",INDEX(资金台帐!$B$7:$B$3006,$G767))</f>
      </c>
      <c r="C767" s="141">
        <f>IF($G767="","",INDEX(资金台帐!$J$7:$J$3006,$G767))</f>
      </c>
      <c r="D767" s="172">
        <f>IF($G767="","",INDEX(资金台帐!$S$7:$S$3006,$G767))</f>
      </c>
      <c r="E767" s="141">
        <f>IF($G767="","",INDEX(资金台帐!$C$7:$C$3006,$G767))</f>
      </c>
      <c r="F767" s="142">
        <f>IF($G767="","",INDEX(资金台帐!$E$7:$E$3006,$G767)&amp;IF(INDEX(资金台帐!$M$7:$M$3006,$G767)="","","；"&amp;INDEX(资金台帐!$M$7:$M$3006,$G767)))</f>
      </c>
      <c r="G767" s="78">
        <f>IFERROR(MATCH(764,资金台帐!$Q$7:$Q$3006,0),"")</f>
      </c>
    </row>
    <row r="768">
      <c r="A768" s="141">
        <f>IF($G768="","",765)</f>
      </c>
      <c r="B768" s="140">
        <f>IF($G768="","",INDEX(资金台帐!$B$7:$B$3006,$G768))</f>
      </c>
      <c r="C768" s="141">
        <f>IF($G768="","",INDEX(资金台帐!$J$7:$J$3006,$G768))</f>
      </c>
      <c r="D768" s="172">
        <f>IF($G768="","",INDEX(资金台帐!$S$7:$S$3006,$G768))</f>
      </c>
      <c r="E768" s="141">
        <f>IF($G768="","",INDEX(资金台帐!$C$7:$C$3006,$G768))</f>
      </c>
      <c r="F768" s="142">
        <f>IF($G768="","",INDEX(资金台帐!$E$7:$E$3006,$G768)&amp;IF(INDEX(资金台帐!$M$7:$M$3006,$G768)="","","；"&amp;INDEX(资金台帐!$M$7:$M$3006,$G768)))</f>
      </c>
      <c r="G768" s="78">
        <f>IFERROR(MATCH(765,资金台帐!$Q$7:$Q$3006,0),"")</f>
      </c>
    </row>
    <row r="769">
      <c r="A769" s="141">
        <f>IF($G769="","",766)</f>
      </c>
      <c r="B769" s="140">
        <f>IF($G769="","",INDEX(资金台帐!$B$7:$B$3006,$G769))</f>
      </c>
      <c r="C769" s="141">
        <f>IF($G769="","",INDEX(资金台帐!$J$7:$J$3006,$G769))</f>
      </c>
      <c r="D769" s="172">
        <f>IF($G769="","",INDEX(资金台帐!$S$7:$S$3006,$G769))</f>
      </c>
      <c r="E769" s="141">
        <f>IF($G769="","",INDEX(资金台帐!$C$7:$C$3006,$G769))</f>
      </c>
      <c r="F769" s="142">
        <f>IF($G769="","",INDEX(资金台帐!$E$7:$E$3006,$G769)&amp;IF(INDEX(资金台帐!$M$7:$M$3006,$G769)="","","；"&amp;INDEX(资金台帐!$M$7:$M$3006,$G769)))</f>
      </c>
      <c r="G769" s="78">
        <f>IFERROR(MATCH(766,资金台帐!$Q$7:$Q$3006,0),"")</f>
      </c>
    </row>
    <row r="770">
      <c r="A770" s="141">
        <f>IF($G770="","",767)</f>
      </c>
      <c r="B770" s="140">
        <f>IF($G770="","",INDEX(资金台帐!$B$7:$B$3006,$G770))</f>
      </c>
      <c r="C770" s="141">
        <f>IF($G770="","",INDEX(资金台帐!$J$7:$J$3006,$G770))</f>
      </c>
      <c r="D770" s="172">
        <f>IF($G770="","",INDEX(资金台帐!$S$7:$S$3006,$G770))</f>
      </c>
      <c r="E770" s="141">
        <f>IF($G770="","",INDEX(资金台帐!$C$7:$C$3006,$G770))</f>
      </c>
      <c r="F770" s="142">
        <f>IF($G770="","",INDEX(资金台帐!$E$7:$E$3006,$G770)&amp;IF(INDEX(资金台帐!$M$7:$M$3006,$G770)="","","；"&amp;INDEX(资金台帐!$M$7:$M$3006,$G770)))</f>
      </c>
      <c r="G770" s="78">
        <f>IFERROR(MATCH(767,资金台帐!$Q$7:$Q$3006,0),"")</f>
      </c>
    </row>
    <row r="771">
      <c r="A771" s="141">
        <f>IF($G771="","",768)</f>
      </c>
      <c r="B771" s="140">
        <f>IF($G771="","",INDEX(资金台帐!$B$7:$B$3006,$G771))</f>
      </c>
      <c r="C771" s="141">
        <f>IF($G771="","",INDEX(资金台帐!$J$7:$J$3006,$G771))</f>
      </c>
      <c r="D771" s="172">
        <f>IF($G771="","",INDEX(资金台帐!$S$7:$S$3006,$G771))</f>
      </c>
      <c r="E771" s="141">
        <f>IF($G771="","",INDEX(资金台帐!$C$7:$C$3006,$G771))</f>
      </c>
      <c r="F771" s="142">
        <f>IF($G771="","",INDEX(资金台帐!$E$7:$E$3006,$G771)&amp;IF(INDEX(资金台帐!$M$7:$M$3006,$G771)="","","；"&amp;INDEX(资金台帐!$M$7:$M$3006,$G771)))</f>
      </c>
      <c r="G771" s="78">
        <f>IFERROR(MATCH(768,资金台帐!$Q$7:$Q$3006,0),"")</f>
      </c>
    </row>
    <row r="772">
      <c r="A772" s="141">
        <f>IF($G772="","",769)</f>
      </c>
      <c r="B772" s="140">
        <f>IF($G772="","",INDEX(资金台帐!$B$7:$B$3006,$G772))</f>
      </c>
      <c r="C772" s="141">
        <f>IF($G772="","",INDEX(资金台帐!$J$7:$J$3006,$G772))</f>
      </c>
      <c r="D772" s="172">
        <f>IF($G772="","",INDEX(资金台帐!$S$7:$S$3006,$G772))</f>
      </c>
      <c r="E772" s="141">
        <f>IF($G772="","",INDEX(资金台帐!$C$7:$C$3006,$G772))</f>
      </c>
      <c r="F772" s="142">
        <f>IF($G772="","",INDEX(资金台帐!$E$7:$E$3006,$G772)&amp;IF(INDEX(资金台帐!$M$7:$M$3006,$G772)="","","；"&amp;INDEX(资金台帐!$M$7:$M$3006,$G772)))</f>
      </c>
      <c r="G772" s="78">
        <f>IFERROR(MATCH(769,资金台帐!$Q$7:$Q$3006,0),"")</f>
      </c>
    </row>
    <row r="773">
      <c r="A773" s="141">
        <f>IF($G773="","",770)</f>
      </c>
      <c r="B773" s="140">
        <f>IF($G773="","",INDEX(资金台帐!$B$7:$B$3006,$G773))</f>
      </c>
      <c r="C773" s="141">
        <f>IF($G773="","",INDEX(资金台帐!$J$7:$J$3006,$G773))</f>
      </c>
      <c r="D773" s="172">
        <f>IF($G773="","",INDEX(资金台帐!$S$7:$S$3006,$G773))</f>
      </c>
      <c r="E773" s="141">
        <f>IF($G773="","",INDEX(资金台帐!$C$7:$C$3006,$G773))</f>
      </c>
      <c r="F773" s="142">
        <f>IF($G773="","",INDEX(资金台帐!$E$7:$E$3006,$G773)&amp;IF(INDEX(资金台帐!$M$7:$M$3006,$G773)="","","；"&amp;INDEX(资金台帐!$M$7:$M$3006,$G773)))</f>
      </c>
      <c r="G773" s="78">
        <f>IFERROR(MATCH(770,资金台帐!$Q$7:$Q$3006,0),"")</f>
      </c>
    </row>
    <row r="774">
      <c r="A774" s="141">
        <f>IF($G774="","",771)</f>
      </c>
      <c r="B774" s="140">
        <f>IF($G774="","",INDEX(资金台帐!$B$7:$B$3006,$G774))</f>
      </c>
      <c r="C774" s="141">
        <f>IF($G774="","",INDEX(资金台帐!$J$7:$J$3006,$G774))</f>
      </c>
      <c r="D774" s="172">
        <f>IF($G774="","",INDEX(资金台帐!$S$7:$S$3006,$G774))</f>
      </c>
      <c r="E774" s="141">
        <f>IF($G774="","",INDEX(资金台帐!$C$7:$C$3006,$G774))</f>
      </c>
      <c r="F774" s="142">
        <f>IF($G774="","",INDEX(资金台帐!$E$7:$E$3006,$G774)&amp;IF(INDEX(资金台帐!$M$7:$M$3006,$G774)="","","；"&amp;INDEX(资金台帐!$M$7:$M$3006,$G774)))</f>
      </c>
      <c r="G774" s="78">
        <f>IFERROR(MATCH(771,资金台帐!$Q$7:$Q$3006,0),"")</f>
      </c>
    </row>
    <row r="775">
      <c r="A775" s="141">
        <f>IF($G775="","",772)</f>
      </c>
      <c r="B775" s="140">
        <f>IF($G775="","",INDEX(资金台帐!$B$7:$B$3006,$G775))</f>
      </c>
      <c r="C775" s="141">
        <f>IF($G775="","",INDEX(资金台帐!$J$7:$J$3006,$G775))</f>
      </c>
      <c r="D775" s="172">
        <f>IF($G775="","",INDEX(资金台帐!$S$7:$S$3006,$G775))</f>
      </c>
      <c r="E775" s="141">
        <f>IF($G775="","",INDEX(资金台帐!$C$7:$C$3006,$G775))</f>
      </c>
      <c r="F775" s="142">
        <f>IF($G775="","",INDEX(资金台帐!$E$7:$E$3006,$G775)&amp;IF(INDEX(资金台帐!$M$7:$M$3006,$G775)="","","；"&amp;INDEX(资金台帐!$M$7:$M$3006,$G775)))</f>
      </c>
      <c r="G775" s="78">
        <f>IFERROR(MATCH(772,资金台帐!$Q$7:$Q$3006,0),"")</f>
      </c>
    </row>
    <row r="776">
      <c r="A776" s="141">
        <f>IF($G776="","",773)</f>
      </c>
      <c r="B776" s="140">
        <f>IF($G776="","",INDEX(资金台帐!$B$7:$B$3006,$G776))</f>
      </c>
      <c r="C776" s="141">
        <f>IF($G776="","",INDEX(资金台帐!$J$7:$J$3006,$G776))</f>
      </c>
      <c r="D776" s="172">
        <f>IF($G776="","",INDEX(资金台帐!$S$7:$S$3006,$G776))</f>
      </c>
      <c r="E776" s="141">
        <f>IF($G776="","",INDEX(资金台帐!$C$7:$C$3006,$G776))</f>
      </c>
      <c r="F776" s="142">
        <f>IF($G776="","",INDEX(资金台帐!$E$7:$E$3006,$G776)&amp;IF(INDEX(资金台帐!$M$7:$M$3006,$G776)="","","；"&amp;INDEX(资金台帐!$M$7:$M$3006,$G776)))</f>
      </c>
      <c r="G776" s="78">
        <f>IFERROR(MATCH(773,资金台帐!$Q$7:$Q$3006,0),"")</f>
      </c>
    </row>
    <row r="777">
      <c r="A777" s="141">
        <f>IF($G777="","",774)</f>
      </c>
      <c r="B777" s="140">
        <f>IF($G777="","",INDEX(资金台帐!$B$7:$B$3006,$G777))</f>
      </c>
      <c r="C777" s="141">
        <f>IF($G777="","",INDEX(资金台帐!$J$7:$J$3006,$G777))</f>
      </c>
      <c r="D777" s="172">
        <f>IF($G777="","",INDEX(资金台帐!$S$7:$S$3006,$G777))</f>
      </c>
      <c r="E777" s="141">
        <f>IF($G777="","",INDEX(资金台帐!$C$7:$C$3006,$G777))</f>
      </c>
      <c r="F777" s="142">
        <f>IF($G777="","",INDEX(资金台帐!$E$7:$E$3006,$G777)&amp;IF(INDEX(资金台帐!$M$7:$M$3006,$G777)="","","；"&amp;INDEX(资金台帐!$M$7:$M$3006,$G777)))</f>
      </c>
      <c r="G777" s="78">
        <f>IFERROR(MATCH(774,资金台帐!$Q$7:$Q$3006,0),"")</f>
      </c>
    </row>
    <row r="778">
      <c r="A778" s="141">
        <f>IF($G778="","",775)</f>
      </c>
      <c r="B778" s="140">
        <f>IF($G778="","",INDEX(资金台帐!$B$7:$B$3006,$G778))</f>
      </c>
      <c r="C778" s="141">
        <f>IF($G778="","",INDEX(资金台帐!$J$7:$J$3006,$G778))</f>
      </c>
      <c r="D778" s="172">
        <f>IF($G778="","",INDEX(资金台帐!$S$7:$S$3006,$G778))</f>
      </c>
      <c r="E778" s="141">
        <f>IF($G778="","",INDEX(资金台帐!$C$7:$C$3006,$G778))</f>
      </c>
      <c r="F778" s="142">
        <f>IF($G778="","",INDEX(资金台帐!$E$7:$E$3006,$G778)&amp;IF(INDEX(资金台帐!$M$7:$M$3006,$G778)="","","；"&amp;INDEX(资金台帐!$M$7:$M$3006,$G778)))</f>
      </c>
      <c r="G778" s="78">
        <f>IFERROR(MATCH(775,资金台帐!$Q$7:$Q$3006,0),"")</f>
      </c>
    </row>
    <row r="779">
      <c r="A779" s="141">
        <f>IF($G779="","",776)</f>
      </c>
      <c r="B779" s="140">
        <f>IF($G779="","",INDEX(资金台帐!$B$7:$B$3006,$G779))</f>
      </c>
      <c r="C779" s="141">
        <f>IF($G779="","",INDEX(资金台帐!$J$7:$J$3006,$G779))</f>
      </c>
      <c r="D779" s="172">
        <f>IF($G779="","",INDEX(资金台帐!$S$7:$S$3006,$G779))</f>
      </c>
      <c r="E779" s="141">
        <f>IF($G779="","",INDEX(资金台帐!$C$7:$C$3006,$G779))</f>
      </c>
      <c r="F779" s="142">
        <f>IF($G779="","",INDEX(资金台帐!$E$7:$E$3006,$G779)&amp;IF(INDEX(资金台帐!$M$7:$M$3006,$G779)="","","；"&amp;INDEX(资金台帐!$M$7:$M$3006,$G779)))</f>
      </c>
      <c r="G779" s="78">
        <f>IFERROR(MATCH(776,资金台帐!$Q$7:$Q$3006,0),"")</f>
      </c>
    </row>
    <row r="780">
      <c r="A780" s="141">
        <f>IF($G780="","",777)</f>
      </c>
      <c r="B780" s="140">
        <f>IF($G780="","",INDEX(资金台帐!$B$7:$B$3006,$G780))</f>
      </c>
      <c r="C780" s="141">
        <f>IF($G780="","",INDEX(资金台帐!$J$7:$J$3006,$G780))</f>
      </c>
      <c r="D780" s="172">
        <f>IF($G780="","",INDEX(资金台帐!$S$7:$S$3006,$G780))</f>
      </c>
      <c r="E780" s="141">
        <f>IF($G780="","",INDEX(资金台帐!$C$7:$C$3006,$G780))</f>
      </c>
      <c r="F780" s="142">
        <f>IF($G780="","",INDEX(资金台帐!$E$7:$E$3006,$G780)&amp;IF(INDEX(资金台帐!$M$7:$M$3006,$G780)="","","；"&amp;INDEX(资金台帐!$M$7:$M$3006,$G780)))</f>
      </c>
      <c r="G780" s="78">
        <f>IFERROR(MATCH(777,资金台帐!$Q$7:$Q$3006,0),"")</f>
      </c>
    </row>
    <row r="781">
      <c r="A781" s="141">
        <f>IF($G781="","",778)</f>
      </c>
      <c r="B781" s="140">
        <f>IF($G781="","",INDEX(资金台帐!$B$7:$B$3006,$G781))</f>
      </c>
      <c r="C781" s="141">
        <f>IF($G781="","",INDEX(资金台帐!$J$7:$J$3006,$G781))</f>
      </c>
      <c r="D781" s="172">
        <f>IF($G781="","",INDEX(资金台帐!$S$7:$S$3006,$G781))</f>
      </c>
      <c r="E781" s="141">
        <f>IF($G781="","",INDEX(资金台帐!$C$7:$C$3006,$G781))</f>
      </c>
      <c r="F781" s="142">
        <f>IF($G781="","",INDEX(资金台帐!$E$7:$E$3006,$G781)&amp;IF(INDEX(资金台帐!$M$7:$M$3006,$G781)="","","；"&amp;INDEX(资金台帐!$M$7:$M$3006,$G781)))</f>
      </c>
      <c r="G781" s="78">
        <f>IFERROR(MATCH(778,资金台帐!$Q$7:$Q$3006,0),"")</f>
      </c>
    </row>
    <row r="782">
      <c r="A782" s="141">
        <f>IF($G782="","",779)</f>
      </c>
      <c r="B782" s="140">
        <f>IF($G782="","",INDEX(资金台帐!$B$7:$B$3006,$G782))</f>
      </c>
      <c r="C782" s="141">
        <f>IF($G782="","",INDEX(资金台帐!$J$7:$J$3006,$G782))</f>
      </c>
      <c r="D782" s="172">
        <f>IF($G782="","",INDEX(资金台帐!$S$7:$S$3006,$G782))</f>
      </c>
      <c r="E782" s="141">
        <f>IF($G782="","",INDEX(资金台帐!$C$7:$C$3006,$G782))</f>
      </c>
      <c r="F782" s="142">
        <f>IF($G782="","",INDEX(资金台帐!$E$7:$E$3006,$G782)&amp;IF(INDEX(资金台帐!$M$7:$M$3006,$G782)="","","；"&amp;INDEX(资金台帐!$M$7:$M$3006,$G782)))</f>
      </c>
      <c r="G782" s="78">
        <f>IFERROR(MATCH(779,资金台帐!$Q$7:$Q$3006,0),"")</f>
      </c>
    </row>
    <row r="783">
      <c r="A783" s="141">
        <f>IF($G783="","",780)</f>
      </c>
      <c r="B783" s="140">
        <f>IF($G783="","",INDEX(资金台帐!$B$7:$B$3006,$G783))</f>
      </c>
      <c r="C783" s="141">
        <f>IF($G783="","",INDEX(资金台帐!$J$7:$J$3006,$G783))</f>
      </c>
      <c r="D783" s="172">
        <f>IF($G783="","",INDEX(资金台帐!$S$7:$S$3006,$G783))</f>
      </c>
      <c r="E783" s="141">
        <f>IF($G783="","",INDEX(资金台帐!$C$7:$C$3006,$G783))</f>
      </c>
      <c r="F783" s="142">
        <f>IF($G783="","",INDEX(资金台帐!$E$7:$E$3006,$G783)&amp;IF(INDEX(资金台帐!$M$7:$M$3006,$G783)="","","；"&amp;INDEX(资金台帐!$M$7:$M$3006,$G783)))</f>
      </c>
      <c r="G783" s="78">
        <f>IFERROR(MATCH(780,资金台帐!$Q$7:$Q$3006,0),"")</f>
      </c>
    </row>
    <row r="784">
      <c r="A784" s="141">
        <f>IF($G784="","",781)</f>
      </c>
      <c r="B784" s="140">
        <f>IF($G784="","",INDEX(资金台帐!$B$7:$B$3006,$G784))</f>
      </c>
      <c r="C784" s="141">
        <f>IF($G784="","",INDEX(资金台帐!$J$7:$J$3006,$G784))</f>
      </c>
      <c r="D784" s="172">
        <f>IF($G784="","",INDEX(资金台帐!$S$7:$S$3006,$G784))</f>
      </c>
      <c r="E784" s="141">
        <f>IF($G784="","",INDEX(资金台帐!$C$7:$C$3006,$G784))</f>
      </c>
      <c r="F784" s="142">
        <f>IF($G784="","",INDEX(资金台帐!$E$7:$E$3006,$G784)&amp;IF(INDEX(资金台帐!$M$7:$M$3006,$G784)="","","；"&amp;INDEX(资金台帐!$M$7:$M$3006,$G784)))</f>
      </c>
      <c r="G784" s="78">
        <f>IFERROR(MATCH(781,资金台帐!$Q$7:$Q$3006,0),"")</f>
      </c>
    </row>
    <row r="785">
      <c r="A785" s="141">
        <f>IF($G785="","",782)</f>
      </c>
      <c r="B785" s="140">
        <f>IF($G785="","",INDEX(资金台帐!$B$7:$B$3006,$G785))</f>
      </c>
      <c r="C785" s="141">
        <f>IF($G785="","",INDEX(资金台帐!$J$7:$J$3006,$G785))</f>
      </c>
      <c r="D785" s="172">
        <f>IF($G785="","",INDEX(资金台帐!$S$7:$S$3006,$G785))</f>
      </c>
      <c r="E785" s="141">
        <f>IF($G785="","",INDEX(资金台帐!$C$7:$C$3006,$G785))</f>
      </c>
      <c r="F785" s="142">
        <f>IF($G785="","",INDEX(资金台帐!$E$7:$E$3006,$G785)&amp;IF(INDEX(资金台帐!$M$7:$M$3006,$G785)="","","；"&amp;INDEX(资金台帐!$M$7:$M$3006,$G785)))</f>
      </c>
      <c r="G785" s="78">
        <f>IFERROR(MATCH(782,资金台帐!$Q$7:$Q$3006,0),"")</f>
      </c>
    </row>
    <row r="786">
      <c r="A786" s="141">
        <f>IF($G786="","",783)</f>
      </c>
      <c r="B786" s="140">
        <f>IF($G786="","",INDEX(资金台帐!$B$7:$B$3006,$G786))</f>
      </c>
      <c r="C786" s="141">
        <f>IF($G786="","",INDEX(资金台帐!$J$7:$J$3006,$G786))</f>
      </c>
      <c r="D786" s="172">
        <f>IF($G786="","",INDEX(资金台帐!$S$7:$S$3006,$G786))</f>
      </c>
      <c r="E786" s="141">
        <f>IF($G786="","",INDEX(资金台帐!$C$7:$C$3006,$G786))</f>
      </c>
      <c r="F786" s="142">
        <f>IF($G786="","",INDEX(资金台帐!$E$7:$E$3006,$G786)&amp;IF(INDEX(资金台帐!$M$7:$M$3006,$G786)="","","；"&amp;INDEX(资金台帐!$M$7:$M$3006,$G786)))</f>
      </c>
      <c r="G786" s="78">
        <f>IFERROR(MATCH(783,资金台帐!$Q$7:$Q$3006,0),"")</f>
      </c>
    </row>
    <row r="787">
      <c r="A787" s="141">
        <f>IF($G787="","",784)</f>
      </c>
      <c r="B787" s="140">
        <f>IF($G787="","",INDEX(资金台帐!$B$7:$B$3006,$G787))</f>
      </c>
      <c r="C787" s="141">
        <f>IF($G787="","",INDEX(资金台帐!$J$7:$J$3006,$G787))</f>
      </c>
      <c r="D787" s="172">
        <f>IF($G787="","",INDEX(资金台帐!$S$7:$S$3006,$G787))</f>
      </c>
      <c r="E787" s="141">
        <f>IF($G787="","",INDEX(资金台帐!$C$7:$C$3006,$G787))</f>
      </c>
      <c r="F787" s="142">
        <f>IF($G787="","",INDEX(资金台帐!$E$7:$E$3006,$G787)&amp;IF(INDEX(资金台帐!$M$7:$M$3006,$G787)="","","；"&amp;INDEX(资金台帐!$M$7:$M$3006,$G787)))</f>
      </c>
      <c r="G787" s="78">
        <f>IFERROR(MATCH(784,资金台帐!$Q$7:$Q$3006,0),"")</f>
      </c>
    </row>
    <row r="788">
      <c r="A788" s="141">
        <f>IF($G788="","",785)</f>
      </c>
      <c r="B788" s="140">
        <f>IF($G788="","",INDEX(资金台帐!$B$7:$B$3006,$G788))</f>
      </c>
      <c r="C788" s="141">
        <f>IF($G788="","",INDEX(资金台帐!$J$7:$J$3006,$G788))</f>
      </c>
      <c r="D788" s="172">
        <f>IF($G788="","",INDEX(资金台帐!$S$7:$S$3006,$G788))</f>
      </c>
      <c r="E788" s="141">
        <f>IF($G788="","",INDEX(资金台帐!$C$7:$C$3006,$G788))</f>
      </c>
      <c r="F788" s="142">
        <f>IF($G788="","",INDEX(资金台帐!$E$7:$E$3006,$G788)&amp;IF(INDEX(资金台帐!$M$7:$M$3006,$G788)="","","；"&amp;INDEX(资金台帐!$M$7:$M$3006,$G788)))</f>
      </c>
      <c r="G788" s="78">
        <f>IFERROR(MATCH(785,资金台帐!$Q$7:$Q$3006,0),"")</f>
      </c>
    </row>
    <row r="789">
      <c r="A789" s="141">
        <f>IF($G789="","",786)</f>
      </c>
      <c r="B789" s="140">
        <f>IF($G789="","",INDEX(资金台帐!$B$7:$B$3006,$G789))</f>
      </c>
      <c r="C789" s="141">
        <f>IF($G789="","",INDEX(资金台帐!$J$7:$J$3006,$G789))</f>
      </c>
      <c r="D789" s="172">
        <f>IF($G789="","",INDEX(资金台帐!$S$7:$S$3006,$G789))</f>
      </c>
      <c r="E789" s="141">
        <f>IF($G789="","",INDEX(资金台帐!$C$7:$C$3006,$G789))</f>
      </c>
      <c r="F789" s="142">
        <f>IF($G789="","",INDEX(资金台帐!$E$7:$E$3006,$G789)&amp;IF(INDEX(资金台帐!$M$7:$M$3006,$G789)="","","；"&amp;INDEX(资金台帐!$M$7:$M$3006,$G789)))</f>
      </c>
      <c r="G789" s="78">
        <f>IFERROR(MATCH(786,资金台帐!$Q$7:$Q$3006,0),"")</f>
      </c>
    </row>
    <row r="790">
      <c r="A790" s="141">
        <f>IF($G790="","",787)</f>
      </c>
      <c r="B790" s="140">
        <f>IF($G790="","",INDEX(资金台帐!$B$7:$B$3006,$G790))</f>
      </c>
      <c r="C790" s="141">
        <f>IF($G790="","",INDEX(资金台帐!$J$7:$J$3006,$G790))</f>
      </c>
      <c r="D790" s="172">
        <f>IF($G790="","",INDEX(资金台帐!$S$7:$S$3006,$G790))</f>
      </c>
      <c r="E790" s="141">
        <f>IF($G790="","",INDEX(资金台帐!$C$7:$C$3006,$G790))</f>
      </c>
      <c r="F790" s="142">
        <f>IF($G790="","",INDEX(资金台帐!$E$7:$E$3006,$G790)&amp;IF(INDEX(资金台帐!$M$7:$M$3006,$G790)="","","；"&amp;INDEX(资金台帐!$M$7:$M$3006,$G790)))</f>
      </c>
      <c r="G790" s="78">
        <f>IFERROR(MATCH(787,资金台帐!$Q$7:$Q$3006,0),"")</f>
      </c>
    </row>
    <row r="791">
      <c r="A791" s="141">
        <f>IF($G791="","",788)</f>
      </c>
      <c r="B791" s="140">
        <f>IF($G791="","",INDEX(资金台帐!$B$7:$B$3006,$G791))</f>
      </c>
      <c r="C791" s="141">
        <f>IF($G791="","",INDEX(资金台帐!$J$7:$J$3006,$G791))</f>
      </c>
      <c r="D791" s="172">
        <f>IF($G791="","",INDEX(资金台帐!$S$7:$S$3006,$G791))</f>
      </c>
      <c r="E791" s="141">
        <f>IF($G791="","",INDEX(资金台帐!$C$7:$C$3006,$G791))</f>
      </c>
      <c r="F791" s="142">
        <f>IF($G791="","",INDEX(资金台帐!$E$7:$E$3006,$G791)&amp;IF(INDEX(资金台帐!$M$7:$M$3006,$G791)="","","；"&amp;INDEX(资金台帐!$M$7:$M$3006,$G791)))</f>
      </c>
      <c r="G791" s="78">
        <f>IFERROR(MATCH(788,资金台帐!$Q$7:$Q$3006,0),"")</f>
      </c>
    </row>
    <row r="792">
      <c r="A792" s="141">
        <f>IF($G792="","",789)</f>
      </c>
      <c r="B792" s="140">
        <f>IF($G792="","",INDEX(资金台帐!$B$7:$B$3006,$G792))</f>
      </c>
      <c r="C792" s="141">
        <f>IF($G792="","",INDEX(资金台帐!$J$7:$J$3006,$G792))</f>
      </c>
      <c r="D792" s="172">
        <f>IF($G792="","",INDEX(资金台帐!$S$7:$S$3006,$G792))</f>
      </c>
      <c r="E792" s="141">
        <f>IF($G792="","",INDEX(资金台帐!$C$7:$C$3006,$G792))</f>
      </c>
      <c r="F792" s="142">
        <f>IF($G792="","",INDEX(资金台帐!$E$7:$E$3006,$G792)&amp;IF(INDEX(资金台帐!$M$7:$M$3006,$G792)="","","；"&amp;INDEX(资金台帐!$M$7:$M$3006,$G792)))</f>
      </c>
      <c r="G792" s="78">
        <f>IFERROR(MATCH(789,资金台帐!$Q$7:$Q$3006,0),"")</f>
      </c>
    </row>
    <row r="793">
      <c r="A793" s="141">
        <f>IF($G793="","",790)</f>
      </c>
      <c r="B793" s="140">
        <f>IF($G793="","",INDEX(资金台帐!$B$7:$B$3006,$G793))</f>
      </c>
      <c r="C793" s="141">
        <f>IF($G793="","",INDEX(资金台帐!$J$7:$J$3006,$G793))</f>
      </c>
      <c r="D793" s="172">
        <f>IF($G793="","",INDEX(资金台帐!$S$7:$S$3006,$G793))</f>
      </c>
      <c r="E793" s="141">
        <f>IF($G793="","",INDEX(资金台帐!$C$7:$C$3006,$G793))</f>
      </c>
      <c r="F793" s="142">
        <f>IF($G793="","",INDEX(资金台帐!$E$7:$E$3006,$G793)&amp;IF(INDEX(资金台帐!$M$7:$M$3006,$G793)="","","；"&amp;INDEX(资金台帐!$M$7:$M$3006,$G793)))</f>
      </c>
      <c r="G793" s="78">
        <f>IFERROR(MATCH(790,资金台帐!$Q$7:$Q$3006,0),"")</f>
      </c>
    </row>
    <row r="794">
      <c r="A794" s="141">
        <f>IF($G794="","",791)</f>
      </c>
      <c r="B794" s="140">
        <f>IF($G794="","",INDEX(资金台帐!$B$7:$B$3006,$G794))</f>
      </c>
      <c r="C794" s="141">
        <f>IF($G794="","",INDEX(资金台帐!$J$7:$J$3006,$G794))</f>
      </c>
      <c r="D794" s="172">
        <f>IF($G794="","",INDEX(资金台帐!$S$7:$S$3006,$G794))</f>
      </c>
      <c r="E794" s="141">
        <f>IF($G794="","",INDEX(资金台帐!$C$7:$C$3006,$G794))</f>
      </c>
      <c r="F794" s="142">
        <f>IF($G794="","",INDEX(资金台帐!$E$7:$E$3006,$G794)&amp;IF(INDEX(资金台帐!$M$7:$M$3006,$G794)="","","；"&amp;INDEX(资金台帐!$M$7:$M$3006,$G794)))</f>
      </c>
      <c r="G794" s="78">
        <f>IFERROR(MATCH(791,资金台帐!$Q$7:$Q$3006,0),"")</f>
      </c>
    </row>
    <row r="795">
      <c r="A795" s="141">
        <f>IF($G795="","",792)</f>
      </c>
      <c r="B795" s="140">
        <f>IF($G795="","",INDEX(资金台帐!$B$7:$B$3006,$G795))</f>
      </c>
      <c r="C795" s="141">
        <f>IF($G795="","",INDEX(资金台帐!$J$7:$J$3006,$G795))</f>
      </c>
      <c r="D795" s="172">
        <f>IF($G795="","",INDEX(资金台帐!$S$7:$S$3006,$G795))</f>
      </c>
      <c r="E795" s="141">
        <f>IF($G795="","",INDEX(资金台帐!$C$7:$C$3006,$G795))</f>
      </c>
      <c r="F795" s="142">
        <f>IF($G795="","",INDEX(资金台帐!$E$7:$E$3006,$G795)&amp;IF(INDEX(资金台帐!$M$7:$M$3006,$G795)="","","；"&amp;INDEX(资金台帐!$M$7:$M$3006,$G795)))</f>
      </c>
      <c r="G795" s="78">
        <f>IFERROR(MATCH(792,资金台帐!$Q$7:$Q$3006,0),"")</f>
      </c>
    </row>
    <row r="796">
      <c r="A796" s="141">
        <f>IF($G796="","",793)</f>
      </c>
      <c r="B796" s="140">
        <f>IF($G796="","",INDEX(资金台帐!$B$7:$B$3006,$G796))</f>
      </c>
      <c r="C796" s="141">
        <f>IF($G796="","",INDEX(资金台帐!$J$7:$J$3006,$G796))</f>
      </c>
      <c r="D796" s="172">
        <f>IF($G796="","",INDEX(资金台帐!$S$7:$S$3006,$G796))</f>
      </c>
      <c r="E796" s="141">
        <f>IF($G796="","",INDEX(资金台帐!$C$7:$C$3006,$G796))</f>
      </c>
      <c r="F796" s="142">
        <f>IF($G796="","",INDEX(资金台帐!$E$7:$E$3006,$G796)&amp;IF(INDEX(资金台帐!$M$7:$M$3006,$G796)="","","；"&amp;INDEX(资金台帐!$M$7:$M$3006,$G796)))</f>
      </c>
      <c r="G796" s="78">
        <f>IFERROR(MATCH(793,资金台帐!$Q$7:$Q$3006,0),"")</f>
      </c>
    </row>
    <row r="797">
      <c r="A797" s="141">
        <f>IF($G797="","",794)</f>
      </c>
      <c r="B797" s="140">
        <f>IF($G797="","",INDEX(资金台帐!$B$7:$B$3006,$G797))</f>
      </c>
      <c r="C797" s="141">
        <f>IF($G797="","",INDEX(资金台帐!$J$7:$J$3006,$G797))</f>
      </c>
      <c r="D797" s="172">
        <f>IF($G797="","",INDEX(资金台帐!$S$7:$S$3006,$G797))</f>
      </c>
      <c r="E797" s="141">
        <f>IF($G797="","",INDEX(资金台帐!$C$7:$C$3006,$G797))</f>
      </c>
      <c r="F797" s="142">
        <f>IF($G797="","",INDEX(资金台帐!$E$7:$E$3006,$G797)&amp;IF(INDEX(资金台帐!$M$7:$M$3006,$G797)="","","；"&amp;INDEX(资金台帐!$M$7:$M$3006,$G797)))</f>
      </c>
      <c r="G797" s="78">
        <f>IFERROR(MATCH(794,资金台帐!$Q$7:$Q$3006,0),"")</f>
      </c>
    </row>
    <row r="798">
      <c r="A798" s="141">
        <f>IF($G798="","",795)</f>
      </c>
      <c r="B798" s="140">
        <f>IF($G798="","",INDEX(资金台帐!$B$7:$B$3006,$G798))</f>
      </c>
      <c r="C798" s="141">
        <f>IF($G798="","",INDEX(资金台帐!$J$7:$J$3006,$G798))</f>
      </c>
      <c r="D798" s="172">
        <f>IF($G798="","",INDEX(资金台帐!$S$7:$S$3006,$G798))</f>
      </c>
      <c r="E798" s="141">
        <f>IF($G798="","",INDEX(资金台帐!$C$7:$C$3006,$G798))</f>
      </c>
      <c r="F798" s="142">
        <f>IF($G798="","",INDEX(资金台帐!$E$7:$E$3006,$G798)&amp;IF(INDEX(资金台帐!$M$7:$M$3006,$G798)="","","；"&amp;INDEX(资金台帐!$M$7:$M$3006,$G798)))</f>
      </c>
      <c r="G798" s="78">
        <f>IFERROR(MATCH(795,资金台帐!$Q$7:$Q$3006,0),"")</f>
      </c>
    </row>
    <row r="799">
      <c r="A799" s="141">
        <f>IF($G799="","",796)</f>
      </c>
      <c r="B799" s="140">
        <f>IF($G799="","",INDEX(资金台帐!$B$7:$B$3006,$G799))</f>
      </c>
      <c r="C799" s="141">
        <f>IF($G799="","",INDEX(资金台帐!$J$7:$J$3006,$G799))</f>
      </c>
      <c r="D799" s="172">
        <f>IF($G799="","",INDEX(资金台帐!$S$7:$S$3006,$G799))</f>
      </c>
      <c r="E799" s="141">
        <f>IF($G799="","",INDEX(资金台帐!$C$7:$C$3006,$G799))</f>
      </c>
      <c r="F799" s="142">
        <f>IF($G799="","",INDEX(资金台帐!$E$7:$E$3006,$G799)&amp;IF(INDEX(资金台帐!$M$7:$M$3006,$G799)="","","；"&amp;INDEX(资金台帐!$M$7:$M$3006,$G799)))</f>
      </c>
      <c r="G799" s="78">
        <f>IFERROR(MATCH(796,资金台帐!$Q$7:$Q$3006,0),"")</f>
      </c>
    </row>
    <row r="800">
      <c r="A800" s="141">
        <f>IF($G800="","",797)</f>
      </c>
      <c r="B800" s="140">
        <f>IF($G800="","",INDEX(资金台帐!$B$7:$B$3006,$G800))</f>
      </c>
      <c r="C800" s="141">
        <f>IF($G800="","",INDEX(资金台帐!$J$7:$J$3006,$G800))</f>
      </c>
      <c r="D800" s="172">
        <f>IF($G800="","",INDEX(资金台帐!$S$7:$S$3006,$G800))</f>
      </c>
      <c r="E800" s="141">
        <f>IF($G800="","",INDEX(资金台帐!$C$7:$C$3006,$G800))</f>
      </c>
      <c r="F800" s="142">
        <f>IF($G800="","",INDEX(资金台帐!$E$7:$E$3006,$G800)&amp;IF(INDEX(资金台帐!$M$7:$M$3006,$G800)="","","；"&amp;INDEX(资金台帐!$M$7:$M$3006,$G800)))</f>
      </c>
      <c r="G800" s="78">
        <f>IFERROR(MATCH(797,资金台帐!$Q$7:$Q$3006,0),"")</f>
      </c>
    </row>
    <row r="801">
      <c r="A801" s="141">
        <f>IF($G801="","",798)</f>
      </c>
      <c r="B801" s="140">
        <f>IF($G801="","",INDEX(资金台帐!$B$7:$B$3006,$G801))</f>
      </c>
      <c r="C801" s="141">
        <f>IF($G801="","",INDEX(资金台帐!$J$7:$J$3006,$G801))</f>
      </c>
      <c r="D801" s="172">
        <f>IF($G801="","",INDEX(资金台帐!$S$7:$S$3006,$G801))</f>
      </c>
      <c r="E801" s="141">
        <f>IF($G801="","",INDEX(资金台帐!$C$7:$C$3006,$G801))</f>
      </c>
      <c r="F801" s="142">
        <f>IF($G801="","",INDEX(资金台帐!$E$7:$E$3006,$G801)&amp;IF(INDEX(资金台帐!$M$7:$M$3006,$G801)="","","；"&amp;INDEX(资金台帐!$M$7:$M$3006,$G801)))</f>
      </c>
      <c r="G801" s="78">
        <f>IFERROR(MATCH(798,资金台帐!$Q$7:$Q$3006,0),"")</f>
      </c>
    </row>
    <row r="802">
      <c r="A802" s="141">
        <f>IF($G802="","",799)</f>
      </c>
      <c r="B802" s="140">
        <f>IF($G802="","",INDEX(资金台帐!$B$7:$B$3006,$G802))</f>
      </c>
      <c r="C802" s="141">
        <f>IF($G802="","",INDEX(资金台帐!$J$7:$J$3006,$G802))</f>
      </c>
      <c r="D802" s="172">
        <f>IF($G802="","",INDEX(资金台帐!$S$7:$S$3006,$G802))</f>
      </c>
      <c r="E802" s="141">
        <f>IF($G802="","",INDEX(资金台帐!$C$7:$C$3006,$G802))</f>
      </c>
      <c r="F802" s="142">
        <f>IF($G802="","",INDEX(资金台帐!$E$7:$E$3006,$G802)&amp;IF(INDEX(资金台帐!$M$7:$M$3006,$G802)="","","；"&amp;INDEX(资金台帐!$M$7:$M$3006,$G802)))</f>
      </c>
      <c r="G802" s="78">
        <f>IFERROR(MATCH(799,资金台帐!$Q$7:$Q$3006,0),"")</f>
      </c>
    </row>
    <row r="803">
      <c r="A803" s="141">
        <f>IF($G803="","",800)</f>
      </c>
      <c r="B803" s="140">
        <f>IF($G803="","",INDEX(资金台帐!$B$7:$B$3006,$G803))</f>
      </c>
      <c r="C803" s="141">
        <f>IF($G803="","",INDEX(资金台帐!$J$7:$J$3006,$G803))</f>
      </c>
      <c r="D803" s="172">
        <f>IF($G803="","",INDEX(资金台帐!$S$7:$S$3006,$G803))</f>
      </c>
      <c r="E803" s="141">
        <f>IF($G803="","",INDEX(资金台帐!$C$7:$C$3006,$G803))</f>
      </c>
      <c r="F803" s="142">
        <f>IF($G803="","",INDEX(资金台帐!$E$7:$E$3006,$G803)&amp;IF(INDEX(资金台帐!$M$7:$M$3006,$G803)="","","；"&amp;INDEX(资金台帐!$M$7:$M$3006,$G803)))</f>
      </c>
      <c r="G803" s="78">
        <f>IFERROR(MATCH(800,资金台帐!$Q$7:$Q$3006,0),"")</f>
      </c>
    </row>
    <row r="804">
      <c r="A804" s="141">
        <f>IF($G804="","",801)</f>
      </c>
      <c r="B804" s="140">
        <f>IF($G804="","",INDEX(资金台帐!$B$7:$B$3006,$G804))</f>
      </c>
      <c r="C804" s="141">
        <f>IF($G804="","",INDEX(资金台帐!$J$7:$J$3006,$G804))</f>
      </c>
      <c r="D804" s="172">
        <f>IF($G804="","",INDEX(资金台帐!$S$7:$S$3006,$G804))</f>
      </c>
      <c r="E804" s="141">
        <f>IF($G804="","",INDEX(资金台帐!$C$7:$C$3006,$G804))</f>
      </c>
      <c r="F804" s="142">
        <f>IF($G804="","",INDEX(资金台帐!$E$7:$E$3006,$G804)&amp;IF(INDEX(资金台帐!$M$7:$M$3006,$G804)="","","；"&amp;INDEX(资金台帐!$M$7:$M$3006,$G804)))</f>
      </c>
      <c r="G804" s="78">
        <f>IFERROR(MATCH(801,资金台帐!$Q$7:$Q$3006,0),"")</f>
      </c>
    </row>
    <row r="805">
      <c r="A805" s="141">
        <f>IF($G805="","",802)</f>
      </c>
      <c r="B805" s="140">
        <f>IF($G805="","",INDEX(资金台帐!$B$7:$B$3006,$G805))</f>
      </c>
      <c r="C805" s="141">
        <f>IF($G805="","",INDEX(资金台帐!$J$7:$J$3006,$G805))</f>
      </c>
      <c r="D805" s="172">
        <f>IF($G805="","",INDEX(资金台帐!$S$7:$S$3006,$G805))</f>
      </c>
      <c r="E805" s="141">
        <f>IF($G805="","",INDEX(资金台帐!$C$7:$C$3006,$G805))</f>
      </c>
      <c r="F805" s="142">
        <f>IF($G805="","",INDEX(资金台帐!$E$7:$E$3006,$G805)&amp;IF(INDEX(资金台帐!$M$7:$M$3006,$G805)="","","；"&amp;INDEX(资金台帐!$M$7:$M$3006,$G805)))</f>
      </c>
      <c r="G805" s="78">
        <f>IFERROR(MATCH(802,资金台帐!$Q$7:$Q$3006,0),"")</f>
      </c>
    </row>
    <row r="806">
      <c r="A806" s="141">
        <f>IF($G806="","",803)</f>
      </c>
      <c r="B806" s="140">
        <f>IF($G806="","",INDEX(资金台帐!$B$7:$B$3006,$G806))</f>
      </c>
      <c r="C806" s="141">
        <f>IF($G806="","",INDEX(资金台帐!$J$7:$J$3006,$G806))</f>
      </c>
      <c r="D806" s="172">
        <f>IF($G806="","",INDEX(资金台帐!$S$7:$S$3006,$G806))</f>
      </c>
      <c r="E806" s="141">
        <f>IF($G806="","",INDEX(资金台帐!$C$7:$C$3006,$G806))</f>
      </c>
      <c r="F806" s="142">
        <f>IF($G806="","",INDEX(资金台帐!$E$7:$E$3006,$G806)&amp;IF(INDEX(资金台帐!$M$7:$M$3006,$G806)="","","；"&amp;INDEX(资金台帐!$M$7:$M$3006,$G806)))</f>
      </c>
      <c r="G806" s="78">
        <f>IFERROR(MATCH(803,资金台帐!$Q$7:$Q$3006,0),"")</f>
      </c>
    </row>
    <row r="807">
      <c r="A807" s="141">
        <f>IF($G807="","",804)</f>
      </c>
      <c r="B807" s="140">
        <f>IF($G807="","",INDEX(资金台帐!$B$7:$B$3006,$G807))</f>
      </c>
      <c r="C807" s="141">
        <f>IF($G807="","",INDEX(资金台帐!$J$7:$J$3006,$G807))</f>
      </c>
      <c r="D807" s="172">
        <f>IF($G807="","",INDEX(资金台帐!$S$7:$S$3006,$G807))</f>
      </c>
      <c r="E807" s="141">
        <f>IF($G807="","",INDEX(资金台帐!$C$7:$C$3006,$G807))</f>
      </c>
      <c r="F807" s="142">
        <f>IF($G807="","",INDEX(资金台帐!$E$7:$E$3006,$G807)&amp;IF(INDEX(资金台帐!$M$7:$M$3006,$G807)="","","；"&amp;INDEX(资金台帐!$M$7:$M$3006,$G807)))</f>
      </c>
      <c r="G807" s="78">
        <f>IFERROR(MATCH(804,资金台帐!$Q$7:$Q$3006,0),"")</f>
      </c>
    </row>
    <row r="808">
      <c r="A808" s="141">
        <f>IF($G808="","",805)</f>
      </c>
      <c r="B808" s="140">
        <f>IF($G808="","",INDEX(资金台帐!$B$7:$B$3006,$G808))</f>
      </c>
      <c r="C808" s="141">
        <f>IF($G808="","",INDEX(资金台帐!$J$7:$J$3006,$G808))</f>
      </c>
      <c r="D808" s="172">
        <f>IF($G808="","",INDEX(资金台帐!$S$7:$S$3006,$G808))</f>
      </c>
      <c r="E808" s="141">
        <f>IF($G808="","",INDEX(资金台帐!$C$7:$C$3006,$G808))</f>
      </c>
      <c r="F808" s="142">
        <f>IF($G808="","",INDEX(资金台帐!$E$7:$E$3006,$G808)&amp;IF(INDEX(资金台帐!$M$7:$M$3006,$G808)="","","；"&amp;INDEX(资金台帐!$M$7:$M$3006,$G808)))</f>
      </c>
      <c r="G808" s="78">
        <f>IFERROR(MATCH(805,资金台帐!$Q$7:$Q$3006,0),"")</f>
      </c>
    </row>
    <row r="809">
      <c r="A809" s="141">
        <f>IF($G809="","",806)</f>
      </c>
      <c r="B809" s="140">
        <f>IF($G809="","",INDEX(资金台帐!$B$7:$B$3006,$G809))</f>
      </c>
      <c r="C809" s="141">
        <f>IF($G809="","",INDEX(资金台帐!$J$7:$J$3006,$G809))</f>
      </c>
      <c r="D809" s="172">
        <f>IF($G809="","",INDEX(资金台帐!$S$7:$S$3006,$G809))</f>
      </c>
      <c r="E809" s="141">
        <f>IF($G809="","",INDEX(资金台帐!$C$7:$C$3006,$G809))</f>
      </c>
      <c r="F809" s="142">
        <f>IF($G809="","",INDEX(资金台帐!$E$7:$E$3006,$G809)&amp;IF(INDEX(资金台帐!$M$7:$M$3006,$G809)="","","；"&amp;INDEX(资金台帐!$M$7:$M$3006,$G809)))</f>
      </c>
      <c r="G809" s="78">
        <f>IFERROR(MATCH(806,资金台帐!$Q$7:$Q$3006,0),"")</f>
      </c>
    </row>
    <row r="810">
      <c r="A810" s="141">
        <f>IF($G810="","",807)</f>
      </c>
      <c r="B810" s="140">
        <f>IF($G810="","",INDEX(资金台帐!$B$7:$B$3006,$G810))</f>
      </c>
      <c r="C810" s="141">
        <f>IF($G810="","",INDEX(资金台帐!$J$7:$J$3006,$G810))</f>
      </c>
      <c r="D810" s="172">
        <f>IF($G810="","",INDEX(资金台帐!$S$7:$S$3006,$G810))</f>
      </c>
      <c r="E810" s="141">
        <f>IF($G810="","",INDEX(资金台帐!$C$7:$C$3006,$G810))</f>
      </c>
      <c r="F810" s="142">
        <f>IF($G810="","",INDEX(资金台帐!$E$7:$E$3006,$G810)&amp;IF(INDEX(资金台帐!$M$7:$M$3006,$G810)="","","；"&amp;INDEX(资金台帐!$M$7:$M$3006,$G810)))</f>
      </c>
      <c r="G810" s="78">
        <f>IFERROR(MATCH(807,资金台帐!$Q$7:$Q$3006,0),"")</f>
      </c>
    </row>
    <row r="811">
      <c r="A811" s="141">
        <f>IF($G811="","",808)</f>
      </c>
      <c r="B811" s="140">
        <f>IF($G811="","",INDEX(资金台帐!$B$7:$B$3006,$G811))</f>
      </c>
      <c r="C811" s="141">
        <f>IF($G811="","",INDEX(资金台帐!$J$7:$J$3006,$G811))</f>
      </c>
      <c r="D811" s="172">
        <f>IF($G811="","",INDEX(资金台帐!$S$7:$S$3006,$G811))</f>
      </c>
      <c r="E811" s="141">
        <f>IF($G811="","",INDEX(资金台帐!$C$7:$C$3006,$G811))</f>
      </c>
      <c r="F811" s="142">
        <f>IF($G811="","",INDEX(资金台帐!$E$7:$E$3006,$G811)&amp;IF(INDEX(资金台帐!$M$7:$M$3006,$G811)="","","；"&amp;INDEX(资金台帐!$M$7:$M$3006,$G811)))</f>
      </c>
      <c r="G811" s="78">
        <f>IFERROR(MATCH(808,资金台帐!$Q$7:$Q$3006,0),"")</f>
      </c>
    </row>
    <row r="812">
      <c r="A812" s="141">
        <f>IF($G812="","",809)</f>
      </c>
      <c r="B812" s="140">
        <f>IF($G812="","",INDEX(资金台帐!$B$7:$B$3006,$G812))</f>
      </c>
      <c r="C812" s="141">
        <f>IF($G812="","",INDEX(资金台帐!$J$7:$J$3006,$G812))</f>
      </c>
      <c r="D812" s="172">
        <f>IF($G812="","",INDEX(资金台帐!$S$7:$S$3006,$G812))</f>
      </c>
      <c r="E812" s="141">
        <f>IF($G812="","",INDEX(资金台帐!$C$7:$C$3006,$G812))</f>
      </c>
      <c r="F812" s="142">
        <f>IF($G812="","",INDEX(资金台帐!$E$7:$E$3006,$G812)&amp;IF(INDEX(资金台帐!$M$7:$M$3006,$G812)="","","；"&amp;INDEX(资金台帐!$M$7:$M$3006,$G812)))</f>
      </c>
      <c r="G812" s="78">
        <f>IFERROR(MATCH(809,资金台帐!$Q$7:$Q$3006,0),"")</f>
      </c>
    </row>
    <row r="813">
      <c r="A813" s="141">
        <f>IF($G813="","",810)</f>
      </c>
      <c r="B813" s="140">
        <f>IF($G813="","",INDEX(资金台帐!$B$7:$B$3006,$G813))</f>
      </c>
      <c r="C813" s="141">
        <f>IF($G813="","",INDEX(资金台帐!$J$7:$J$3006,$G813))</f>
      </c>
      <c r="D813" s="172">
        <f>IF($G813="","",INDEX(资金台帐!$S$7:$S$3006,$G813))</f>
      </c>
      <c r="E813" s="141">
        <f>IF($G813="","",INDEX(资金台帐!$C$7:$C$3006,$G813))</f>
      </c>
      <c r="F813" s="142">
        <f>IF($G813="","",INDEX(资金台帐!$E$7:$E$3006,$G813)&amp;IF(INDEX(资金台帐!$M$7:$M$3006,$G813)="","","；"&amp;INDEX(资金台帐!$M$7:$M$3006,$G813)))</f>
      </c>
      <c r="G813" s="78">
        <f>IFERROR(MATCH(810,资金台帐!$Q$7:$Q$3006,0),"")</f>
      </c>
    </row>
    <row r="814">
      <c r="A814" s="141">
        <f>IF($G814="","",811)</f>
      </c>
      <c r="B814" s="140">
        <f>IF($G814="","",INDEX(资金台帐!$B$7:$B$3006,$G814))</f>
      </c>
      <c r="C814" s="141">
        <f>IF($G814="","",INDEX(资金台帐!$J$7:$J$3006,$G814))</f>
      </c>
      <c r="D814" s="172">
        <f>IF($G814="","",INDEX(资金台帐!$S$7:$S$3006,$G814))</f>
      </c>
      <c r="E814" s="141">
        <f>IF($G814="","",INDEX(资金台帐!$C$7:$C$3006,$G814))</f>
      </c>
      <c r="F814" s="142">
        <f>IF($G814="","",INDEX(资金台帐!$E$7:$E$3006,$G814)&amp;IF(INDEX(资金台帐!$M$7:$M$3006,$G814)="","","；"&amp;INDEX(资金台帐!$M$7:$M$3006,$G814)))</f>
      </c>
      <c r="G814" s="78">
        <f>IFERROR(MATCH(811,资金台帐!$Q$7:$Q$3006,0),"")</f>
      </c>
    </row>
    <row r="815">
      <c r="A815" s="141">
        <f>IF($G815="","",812)</f>
      </c>
      <c r="B815" s="140">
        <f>IF($G815="","",INDEX(资金台帐!$B$7:$B$3006,$G815))</f>
      </c>
      <c r="C815" s="141">
        <f>IF($G815="","",INDEX(资金台帐!$J$7:$J$3006,$G815))</f>
      </c>
      <c r="D815" s="172">
        <f>IF($G815="","",INDEX(资金台帐!$S$7:$S$3006,$G815))</f>
      </c>
      <c r="E815" s="141">
        <f>IF($G815="","",INDEX(资金台帐!$C$7:$C$3006,$G815))</f>
      </c>
      <c r="F815" s="142">
        <f>IF($G815="","",INDEX(资金台帐!$E$7:$E$3006,$G815)&amp;IF(INDEX(资金台帐!$M$7:$M$3006,$G815)="","","；"&amp;INDEX(资金台帐!$M$7:$M$3006,$G815)))</f>
      </c>
      <c r="G815" s="78">
        <f>IFERROR(MATCH(812,资金台帐!$Q$7:$Q$3006,0),"")</f>
      </c>
    </row>
    <row r="816">
      <c r="A816" s="141">
        <f>IF($G816="","",813)</f>
      </c>
      <c r="B816" s="140">
        <f>IF($G816="","",INDEX(资金台帐!$B$7:$B$3006,$G816))</f>
      </c>
      <c r="C816" s="141">
        <f>IF($G816="","",INDEX(资金台帐!$J$7:$J$3006,$G816))</f>
      </c>
      <c r="D816" s="172">
        <f>IF($G816="","",INDEX(资金台帐!$S$7:$S$3006,$G816))</f>
      </c>
      <c r="E816" s="141">
        <f>IF($G816="","",INDEX(资金台帐!$C$7:$C$3006,$G816))</f>
      </c>
      <c r="F816" s="142">
        <f>IF($G816="","",INDEX(资金台帐!$E$7:$E$3006,$G816)&amp;IF(INDEX(资金台帐!$M$7:$M$3006,$G816)="","","；"&amp;INDEX(资金台帐!$M$7:$M$3006,$G816)))</f>
      </c>
      <c r="G816" s="78">
        <f>IFERROR(MATCH(813,资金台帐!$Q$7:$Q$3006,0),"")</f>
      </c>
    </row>
    <row r="817">
      <c r="A817" s="141">
        <f>IF($G817="","",814)</f>
      </c>
      <c r="B817" s="140">
        <f>IF($G817="","",INDEX(资金台帐!$B$7:$B$3006,$G817))</f>
      </c>
      <c r="C817" s="141">
        <f>IF($G817="","",INDEX(资金台帐!$J$7:$J$3006,$G817))</f>
      </c>
      <c r="D817" s="172">
        <f>IF($G817="","",INDEX(资金台帐!$S$7:$S$3006,$G817))</f>
      </c>
      <c r="E817" s="141">
        <f>IF($G817="","",INDEX(资金台帐!$C$7:$C$3006,$G817))</f>
      </c>
      <c r="F817" s="142">
        <f>IF($G817="","",INDEX(资金台帐!$E$7:$E$3006,$G817)&amp;IF(INDEX(资金台帐!$M$7:$M$3006,$G817)="","","；"&amp;INDEX(资金台帐!$M$7:$M$3006,$G817)))</f>
      </c>
      <c r="G817" s="78">
        <f>IFERROR(MATCH(814,资金台帐!$Q$7:$Q$3006,0),"")</f>
      </c>
    </row>
    <row r="818">
      <c r="A818" s="141">
        <f>IF($G818="","",815)</f>
      </c>
      <c r="B818" s="140">
        <f>IF($G818="","",INDEX(资金台帐!$B$7:$B$3006,$G818))</f>
      </c>
      <c r="C818" s="141">
        <f>IF($G818="","",INDEX(资金台帐!$J$7:$J$3006,$G818))</f>
      </c>
      <c r="D818" s="172">
        <f>IF($G818="","",INDEX(资金台帐!$S$7:$S$3006,$G818))</f>
      </c>
      <c r="E818" s="141">
        <f>IF($G818="","",INDEX(资金台帐!$C$7:$C$3006,$G818))</f>
      </c>
      <c r="F818" s="142">
        <f>IF($G818="","",INDEX(资金台帐!$E$7:$E$3006,$G818)&amp;IF(INDEX(资金台帐!$M$7:$M$3006,$G818)="","","；"&amp;INDEX(资金台帐!$M$7:$M$3006,$G818)))</f>
      </c>
      <c r="G818" s="78">
        <f>IFERROR(MATCH(815,资金台帐!$Q$7:$Q$3006,0),"")</f>
      </c>
    </row>
    <row r="819">
      <c r="A819" s="141">
        <f>IF($G819="","",816)</f>
      </c>
      <c r="B819" s="140">
        <f>IF($G819="","",INDEX(资金台帐!$B$7:$B$3006,$G819))</f>
      </c>
      <c r="C819" s="141">
        <f>IF($G819="","",INDEX(资金台帐!$J$7:$J$3006,$G819))</f>
      </c>
      <c r="D819" s="172">
        <f>IF($G819="","",INDEX(资金台帐!$S$7:$S$3006,$G819))</f>
      </c>
      <c r="E819" s="141">
        <f>IF($G819="","",INDEX(资金台帐!$C$7:$C$3006,$G819))</f>
      </c>
      <c r="F819" s="142">
        <f>IF($G819="","",INDEX(资金台帐!$E$7:$E$3006,$G819)&amp;IF(INDEX(资金台帐!$M$7:$M$3006,$G819)="","","；"&amp;INDEX(资金台帐!$M$7:$M$3006,$G819)))</f>
      </c>
      <c r="G819" s="78">
        <f>IFERROR(MATCH(816,资金台帐!$Q$7:$Q$3006,0),"")</f>
      </c>
    </row>
    <row r="820">
      <c r="A820" s="141">
        <f>IF($G820="","",817)</f>
      </c>
      <c r="B820" s="140">
        <f>IF($G820="","",INDEX(资金台帐!$B$7:$B$3006,$G820))</f>
      </c>
      <c r="C820" s="141">
        <f>IF($G820="","",INDEX(资金台帐!$J$7:$J$3006,$G820))</f>
      </c>
      <c r="D820" s="172">
        <f>IF($G820="","",INDEX(资金台帐!$S$7:$S$3006,$G820))</f>
      </c>
      <c r="E820" s="141">
        <f>IF($G820="","",INDEX(资金台帐!$C$7:$C$3006,$G820))</f>
      </c>
      <c r="F820" s="142">
        <f>IF($G820="","",INDEX(资金台帐!$E$7:$E$3006,$G820)&amp;IF(INDEX(资金台帐!$M$7:$M$3006,$G820)="","","；"&amp;INDEX(资金台帐!$M$7:$M$3006,$G820)))</f>
      </c>
      <c r="G820" s="78">
        <f>IFERROR(MATCH(817,资金台帐!$Q$7:$Q$3006,0),"")</f>
      </c>
    </row>
    <row r="821">
      <c r="A821" s="141">
        <f>IF($G821="","",818)</f>
      </c>
      <c r="B821" s="140">
        <f>IF($G821="","",INDEX(资金台帐!$B$7:$B$3006,$G821))</f>
      </c>
      <c r="C821" s="141">
        <f>IF($G821="","",INDEX(资金台帐!$J$7:$J$3006,$G821))</f>
      </c>
      <c r="D821" s="172">
        <f>IF($G821="","",INDEX(资金台帐!$S$7:$S$3006,$G821))</f>
      </c>
      <c r="E821" s="141">
        <f>IF($G821="","",INDEX(资金台帐!$C$7:$C$3006,$G821))</f>
      </c>
      <c r="F821" s="142">
        <f>IF($G821="","",INDEX(资金台帐!$E$7:$E$3006,$G821)&amp;IF(INDEX(资金台帐!$M$7:$M$3006,$G821)="","","；"&amp;INDEX(资金台帐!$M$7:$M$3006,$G821)))</f>
      </c>
      <c r="G821" s="78">
        <f>IFERROR(MATCH(818,资金台帐!$Q$7:$Q$3006,0),"")</f>
      </c>
    </row>
    <row r="822">
      <c r="A822" s="141">
        <f>IF($G822="","",819)</f>
      </c>
      <c r="B822" s="140">
        <f>IF($G822="","",INDEX(资金台帐!$B$7:$B$3006,$G822))</f>
      </c>
      <c r="C822" s="141">
        <f>IF($G822="","",INDEX(资金台帐!$J$7:$J$3006,$G822))</f>
      </c>
      <c r="D822" s="172">
        <f>IF($G822="","",INDEX(资金台帐!$S$7:$S$3006,$G822))</f>
      </c>
      <c r="E822" s="141">
        <f>IF($G822="","",INDEX(资金台帐!$C$7:$C$3006,$G822))</f>
      </c>
      <c r="F822" s="142">
        <f>IF($G822="","",INDEX(资金台帐!$E$7:$E$3006,$G822)&amp;IF(INDEX(资金台帐!$M$7:$M$3006,$G822)="","","；"&amp;INDEX(资金台帐!$M$7:$M$3006,$G822)))</f>
      </c>
      <c r="G822" s="78">
        <f>IFERROR(MATCH(819,资金台帐!$Q$7:$Q$3006,0),"")</f>
      </c>
    </row>
    <row r="823">
      <c r="A823" s="141">
        <f>IF($G823="","",820)</f>
      </c>
      <c r="B823" s="140">
        <f>IF($G823="","",INDEX(资金台帐!$B$7:$B$3006,$G823))</f>
      </c>
      <c r="C823" s="141">
        <f>IF($G823="","",INDEX(资金台帐!$J$7:$J$3006,$G823))</f>
      </c>
      <c r="D823" s="172">
        <f>IF($G823="","",INDEX(资金台帐!$S$7:$S$3006,$G823))</f>
      </c>
      <c r="E823" s="141">
        <f>IF($G823="","",INDEX(资金台帐!$C$7:$C$3006,$G823))</f>
      </c>
      <c r="F823" s="142">
        <f>IF($G823="","",INDEX(资金台帐!$E$7:$E$3006,$G823)&amp;IF(INDEX(资金台帐!$M$7:$M$3006,$G823)="","","；"&amp;INDEX(资金台帐!$M$7:$M$3006,$G823)))</f>
      </c>
      <c r="G823" s="78">
        <f>IFERROR(MATCH(820,资金台帐!$Q$7:$Q$3006,0),"")</f>
      </c>
    </row>
    <row r="824">
      <c r="A824" s="141">
        <f>IF($G824="","",821)</f>
      </c>
      <c r="B824" s="140">
        <f>IF($G824="","",INDEX(资金台帐!$B$7:$B$3006,$G824))</f>
      </c>
      <c r="C824" s="141">
        <f>IF($G824="","",INDEX(资金台帐!$J$7:$J$3006,$G824))</f>
      </c>
      <c r="D824" s="172">
        <f>IF($G824="","",INDEX(资金台帐!$S$7:$S$3006,$G824))</f>
      </c>
      <c r="E824" s="141">
        <f>IF($G824="","",INDEX(资金台帐!$C$7:$C$3006,$G824))</f>
      </c>
      <c r="F824" s="142">
        <f>IF($G824="","",INDEX(资金台帐!$E$7:$E$3006,$G824)&amp;IF(INDEX(资金台帐!$M$7:$M$3006,$G824)="","","；"&amp;INDEX(资金台帐!$M$7:$M$3006,$G824)))</f>
      </c>
      <c r="G824" s="78">
        <f>IFERROR(MATCH(821,资金台帐!$Q$7:$Q$3006,0),"")</f>
      </c>
    </row>
    <row r="825">
      <c r="A825" s="141">
        <f>IF($G825="","",822)</f>
      </c>
      <c r="B825" s="140">
        <f>IF($G825="","",INDEX(资金台帐!$B$7:$B$3006,$G825))</f>
      </c>
      <c r="C825" s="141">
        <f>IF($G825="","",INDEX(资金台帐!$J$7:$J$3006,$G825))</f>
      </c>
      <c r="D825" s="172">
        <f>IF($G825="","",INDEX(资金台帐!$S$7:$S$3006,$G825))</f>
      </c>
      <c r="E825" s="141">
        <f>IF($G825="","",INDEX(资金台帐!$C$7:$C$3006,$G825))</f>
      </c>
      <c r="F825" s="142">
        <f>IF($G825="","",INDEX(资金台帐!$E$7:$E$3006,$G825)&amp;IF(INDEX(资金台帐!$M$7:$M$3006,$G825)="","","；"&amp;INDEX(资金台帐!$M$7:$M$3006,$G825)))</f>
      </c>
      <c r="G825" s="78">
        <f>IFERROR(MATCH(822,资金台帐!$Q$7:$Q$3006,0),"")</f>
      </c>
    </row>
    <row r="826">
      <c r="A826" s="141">
        <f>IF($G826="","",823)</f>
      </c>
      <c r="B826" s="140">
        <f>IF($G826="","",INDEX(资金台帐!$B$7:$B$3006,$G826))</f>
      </c>
      <c r="C826" s="141">
        <f>IF($G826="","",INDEX(资金台帐!$J$7:$J$3006,$G826))</f>
      </c>
      <c r="D826" s="172">
        <f>IF($G826="","",INDEX(资金台帐!$S$7:$S$3006,$G826))</f>
      </c>
      <c r="E826" s="141">
        <f>IF($G826="","",INDEX(资金台帐!$C$7:$C$3006,$G826))</f>
      </c>
      <c r="F826" s="142">
        <f>IF($G826="","",INDEX(资金台帐!$E$7:$E$3006,$G826)&amp;IF(INDEX(资金台帐!$M$7:$M$3006,$G826)="","","；"&amp;INDEX(资金台帐!$M$7:$M$3006,$G826)))</f>
      </c>
      <c r="G826" s="78">
        <f>IFERROR(MATCH(823,资金台帐!$Q$7:$Q$3006,0),"")</f>
      </c>
    </row>
    <row r="827">
      <c r="A827" s="141">
        <f>IF($G827="","",824)</f>
      </c>
      <c r="B827" s="140">
        <f>IF($G827="","",INDEX(资金台帐!$B$7:$B$3006,$G827))</f>
      </c>
      <c r="C827" s="141">
        <f>IF($G827="","",INDEX(资金台帐!$J$7:$J$3006,$G827))</f>
      </c>
      <c r="D827" s="172">
        <f>IF($G827="","",INDEX(资金台帐!$S$7:$S$3006,$G827))</f>
      </c>
      <c r="E827" s="141">
        <f>IF($G827="","",INDEX(资金台帐!$C$7:$C$3006,$G827))</f>
      </c>
      <c r="F827" s="142">
        <f>IF($G827="","",INDEX(资金台帐!$E$7:$E$3006,$G827)&amp;IF(INDEX(资金台帐!$M$7:$M$3006,$G827)="","","；"&amp;INDEX(资金台帐!$M$7:$M$3006,$G827)))</f>
      </c>
      <c r="G827" s="78">
        <f>IFERROR(MATCH(824,资金台帐!$Q$7:$Q$3006,0),"")</f>
      </c>
    </row>
    <row r="828">
      <c r="A828" s="141">
        <f>IF($G828="","",825)</f>
      </c>
      <c r="B828" s="140">
        <f>IF($G828="","",INDEX(资金台帐!$B$7:$B$3006,$G828))</f>
      </c>
      <c r="C828" s="141">
        <f>IF($G828="","",INDEX(资金台帐!$J$7:$J$3006,$G828))</f>
      </c>
      <c r="D828" s="172">
        <f>IF($G828="","",INDEX(资金台帐!$S$7:$S$3006,$G828))</f>
      </c>
      <c r="E828" s="141">
        <f>IF($G828="","",INDEX(资金台帐!$C$7:$C$3006,$G828))</f>
      </c>
      <c r="F828" s="142">
        <f>IF($G828="","",INDEX(资金台帐!$E$7:$E$3006,$G828)&amp;IF(INDEX(资金台帐!$M$7:$M$3006,$G828)="","","；"&amp;INDEX(资金台帐!$M$7:$M$3006,$G828)))</f>
      </c>
      <c r="G828" s="78">
        <f>IFERROR(MATCH(825,资金台帐!$Q$7:$Q$3006,0),"")</f>
      </c>
    </row>
    <row r="829">
      <c r="A829" s="141">
        <f>IF($G829="","",826)</f>
      </c>
      <c r="B829" s="140">
        <f>IF($G829="","",INDEX(资金台帐!$B$7:$B$3006,$G829))</f>
      </c>
      <c r="C829" s="141">
        <f>IF($G829="","",INDEX(资金台帐!$J$7:$J$3006,$G829))</f>
      </c>
      <c r="D829" s="172">
        <f>IF($G829="","",INDEX(资金台帐!$S$7:$S$3006,$G829))</f>
      </c>
      <c r="E829" s="141">
        <f>IF($G829="","",INDEX(资金台帐!$C$7:$C$3006,$G829))</f>
      </c>
      <c r="F829" s="142">
        <f>IF($G829="","",INDEX(资金台帐!$E$7:$E$3006,$G829)&amp;IF(INDEX(资金台帐!$M$7:$M$3006,$G829)="","","；"&amp;INDEX(资金台帐!$M$7:$M$3006,$G829)))</f>
      </c>
      <c r="G829" s="78">
        <f>IFERROR(MATCH(826,资金台帐!$Q$7:$Q$3006,0),"")</f>
      </c>
    </row>
    <row r="830">
      <c r="A830" s="141">
        <f>IF($G830="","",827)</f>
      </c>
      <c r="B830" s="140">
        <f>IF($G830="","",INDEX(资金台帐!$B$7:$B$3006,$G830))</f>
      </c>
      <c r="C830" s="141">
        <f>IF($G830="","",INDEX(资金台帐!$J$7:$J$3006,$G830))</f>
      </c>
      <c r="D830" s="172">
        <f>IF($G830="","",INDEX(资金台帐!$S$7:$S$3006,$G830))</f>
      </c>
      <c r="E830" s="141">
        <f>IF($G830="","",INDEX(资金台帐!$C$7:$C$3006,$G830))</f>
      </c>
      <c r="F830" s="142">
        <f>IF($G830="","",INDEX(资金台帐!$E$7:$E$3006,$G830)&amp;IF(INDEX(资金台帐!$M$7:$M$3006,$G830)="","","；"&amp;INDEX(资金台帐!$M$7:$M$3006,$G830)))</f>
      </c>
      <c r="G830" s="78">
        <f>IFERROR(MATCH(827,资金台帐!$Q$7:$Q$3006,0),"")</f>
      </c>
    </row>
    <row r="831">
      <c r="A831" s="141">
        <f>IF($G831="","",828)</f>
      </c>
      <c r="B831" s="140">
        <f>IF($G831="","",INDEX(资金台帐!$B$7:$B$3006,$G831))</f>
      </c>
      <c r="C831" s="141">
        <f>IF($G831="","",INDEX(资金台帐!$J$7:$J$3006,$G831))</f>
      </c>
      <c r="D831" s="172">
        <f>IF($G831="","",INDEX(资金台帐!$S$7:$S$3006,$G831))</f>
      </c>
      <c r="E831" s="141">
        <f>IF($G831="","",INDEX(资金台帐!$C$7:$C$3006,$G831))</f>
      </c>
      <c r="F831" s="142">
        <f>IF($G831="","",INDEX(资金台帐!$E$7:$E$3006,$G831)&amp;IF(INDEX(资金台帐!$M$7:$M$3006,$G831)="","","；"&amp;INDEX(资金台帐!$M$7:$M$3006,$G831)))</f>
      </c>
      <c r="G831" s="78">
        <f>IFERROR(MATCH(828,资金台帐!$Q$7:$Q$3006,0),"")</f>
      </c>
    </row>
    <row r="832">
      <c r="A832" s="141">
        <f>IF($G832="","",829)</f>
      </c>
      <c r="B832" s="140">
        <f>IF($G832="","",INDEX(资金台帐!$B$7:$B$3006,$G832))</f>
      </c>
      <c r="C832" s="141">
        <f>IF($G832="","",INDEX(资金台帐!$J$7:$J$3006,$G832))</f>
      </c>
      <c r="D832" s="172">
        <f>IF($G832="","",INDEX(资金台帐!$S$7:$S$3006,$G832))</f>
      </c>
      <c r="E832" s="141">
        <f>IF($G832="","",INDEX(资金台帐!$C$7:$C$3006,$G832))</f>
      </c>
      <c r="F832" s="142">
        <f>IF($G832="","",INDEX(资金台帐!$E$7:$E$3006,$G832)&amp;IF(INDEX(资金台帐!$M$7:$M$3006,$G832)="","","；"&amp;INDEX(资金台帐!$M$7:$M$3006,$G832)))</f>
      </c>
      <c r="G832" s="78">
        <f>IFERROR(MATCH(829,资金台帐!$Q$7:$Q$3006,0),"")</f>
      </c>
    </row>
    <row r="833">
      <c r="A833" s="141">
        <f>IF($G833="","",830)</f>
      </c>
      <c r="B833" s="140">
        <f>IF($G833="","",INDEX(资金台帐!$B$7:$B$3006,$G833))</f>
      </c>
      <c r="C833" s="141">
        <f>IF($G833="","",INDEX(资金台帐!$J$7:$J$3006,$G833))</f>
      </c>
      <c r="D833" s="172">
        <f>IF($G833="","",INDEX(资金台帐!$S$7:$S$3006,$G833))</f>
      </c>
      <c r="E833" s="141">
        <f>IF($G833="","",INDEX(资金台帐!$C$7:$C$3006,$G833))</f>
      </c>
      <c r="F833" s="142">
        <f>IF($G833="","",INDEX(资金台帐!$E$7:$E$3006,$G833)&amp;IF(INDEX(资金台帐!$M$7:$M$3006,$G833)="","","；"&amp;INDEX(资金台帐!$M$7:$M$3006,$G833)))</f>
      </c>
      <c r="G833" s="78">
        <f>IFERROR(MATCH(830,资金台帐!$Q$7:$Q$3006,0),"")</f>
      </c>
    </row>
    <row r="834">
      <c r="A834" s="141">
        <f>IF($G834="","",831)</f>
      </c>
      <c r="B834" s="140">
        <f>IF($G834="","",INDEX(资金台帐!$B$7:$B$3006,$G834))</f>
      </c>
      <c r="C834" s="141">
        <f>IF($G834="","",INDEX(资金台帐!$J$7:$J$3006,$G834))</f>
      </c>
      <c r="D834" s="172">
        <f>IF($G834="","",INDEX(资金台帐!$S$7:$S$3006,$G834))</f>
      </c>
      <c r="E834" s="141">
        <f>IF($G834="","",INDEX(资金台帐!$C$7:$C$3006,$G834))</f>
      </c>
      <c r="F834" s="142">
        <f>IF($G834="","",INDEX(资金台帐!$E$7:$E$3006,$G834)&amp;IF(INDEX(资金台帐!$M$7:$M$3006,$G834)="","","；"&amp;INDEX(资金台帐!$M$7:$M$3006,$G834)))</f>
      </c>
      <c r="G834" s="78">
        <f>IFERROR(MATCH(831,资金台帐!$Q$7:$Q$3006,0),"")</f>
      </c>
    </row>
    <row r="835">
      <c r="A835" s="141">
        <f>IF($G835="","",832)</f>
      </c>
      <c r="B835" s="140">
        <f>IF($G835="","",INDEX(资金台帐!$B$7:$B$3006,$G835))</f>
      </c>
      <c r="C835" s="141">
        <f>IF($G835="","",INDEX(资金台帐!$J$7:$J$3006,$G835))</f>
      </c>
      <c r="D835" s="172">
        <f>IF($G835="","",INDEX(资金台帐!$S$7:$S$3006,$G835))</f>
      </c>
      <c r="E835" s="141">
        <f>IF($G835="","",INDEX(资金台帐!$C$7:$C$3006,$G835))</f>
      </c>
      <c r="F835" s="142">
        <f>IF($G835="","",INDEX(资金台帐!$E$7:$E$3006,$G835)&amp;IF(INDEX(资金台帐!$M$7:$M$3006,$G835)="","","；"&amp;INDEX(资金台帐!$M$7:$M$3006,$G835)))</f>
      </c>
      <c r="G835" s="78">
        <f>IFERROR(MATCH(832,资金台帐!$Q$7:$Q$3006,0),"")</f>
      </c>
    </row>
    <row r="836">
      <c r="A836" s="141">
        <f>IF($G836="","",833)</f>
      </c>
      <c r="B836" s="140">
        <f>IF($G836="","",INDEX(资金台帐!$B$7:$B$3006,$G836))</f>
      </c>
      <c r="C836" s="141">
        <f>IF($G836="","",INDEX(资金台帐!$J$7:$J$3006,$G836))</f>
      </c>
      <c r="D836" s="172">
        <f>IF($G836="","",INDEX(资金台帐!$S$7:$S$3006,$G836))</f>
      </c>
      <c r="E836" s="141">
        <f>IF($G836="","",INDEX(资金台帐!$C$7:$C$3006,$G836))</f>
      </c>
      <c r="F836" s="142">
        <f>IF($G836="","",INDEX(资金台帐!$E$7:$E$3006,$G836)&amp;IF(INDEX(资金台帐!$M$7:$M$3006,$G836)="","","；"&amp;INDEX(资金台帐!$M$7:$M$3006,$G836)))</f>
      </c>
      <c r="G836" s="78">
        <f>IFERROR(MATCH(833,资金台帐!$Q$7:$Q$3006,0),"")</f>
      </c>
    </row>
    <row r="837">
      <c r="A837" s="141">
        <f>IF($G837="","",834)</f>
      </c>
      <c r="B837" s="140">
        <f>IF($G837="","",INDEX(资金台帐!$B$7:$B$3006,$G837))</f>
      </c>
      <c r="C837" s="141">
        <f>IF($G837="","",INDEX(资金台帐!$J$7:$J$3006,$G837))</f>
      </c>
      <c r="D837" s="172">
        <f>IF($G837="","",INDEX(资金台帐!$S$7:$S$3006,$G837))</f>
      </c>
      <c r="E837" s="141">
        <f>IF($G837="","",INDEX(资金台帐!$C$7:$C$3006,$G837))</f>
      </c>
      <c r="F837" s="142">
        <f>IF($G837="","",INDEX(资金台帐!$E$7:$E$3006,$G837)&amp;IF(INDEX(资金台帐!$M$7:$M$3006,$G837)="","","；"&amp;INDEX(资金台帐!$M$7:$M$3006,$G837)))</f>
      </c>
      <c r="G837" s="78">
        <f>IFERROR(MATCH(834,资金台帐!$Q$7:$Q$3006,0),"")</f>
      </c>
    </row>
    <row r="838">
      <c r="A838" s="141">
        <f>IF($G838="","",835)</f>
      </c>
      <c r="B838" s="140">
        <f>IF($G838="","",INDEX(资金台帐!$B$7:$B$3006,$G838))</f>
      </c>
      <c r="C838" s="141">
        <f>IF($G838="","",INDEX(资金台帐!$J$7:$J$3006,$G838))</f>
      </c>
      <c r="D838" s="172">
        <f>IF($G838="","",INDEX(资金台帐!$S$7:$S$3006,$G838))</f>
      </c>
      <c r="E838" s="141">
        <f>IF($G838="","",INDEX(资金台帐!$C$7:$C$3006,$G838))</f>
      </c>
      <c r="F838" s="142">
        <f>IF($G838="","",INDEX(资金台帐!$E$7:$E$3006,$G838)&amp;IF(INDEX(资金台帐!$M$7:$M$3006,$G838)="","","；"&amp;INDEX(资金台帐!$M$7:$M$3006,$G838)))</f>
      </c>
      <c r="G838" s="78">
        <f>IFERROR(MATCH(835,资金台帐!$Q$7:$Q$3006,0),"")</f>
      </c>
    </row>
    <row r="839">
      <c r="A839" s="141">
        <f>IF($G839="","",836)</f>
      </c>
      <c r="B839" s="140">
        <f>IF($G839="","",INDEX(资金台帐!$B$7:$B$3006,$G839))</f>
      </c>
      <c r="C839" s="141">
        <f>IF($G839="","",INDEX(资金台帐!$J$7:$J$3006,$G839))</f>
      </c>
      <c r="D839" s="172">
        <f>IF($G839="","",INDEX(资金台帐!$S$7:$S$3006,$G839))</f>
      </c>
      <c r="E839" s="141">
        <f>IF($G839="","",INDEX(资金台帐!$C$7:$C$3006,$G839))</f>
      </c>
      <c r="F839" s="142">
        <f>IF($G839="","",INDEX(资金台帐!$E$7:$E$3006,$G839)&amp;IF(INDEX(资金台帐!$M$7:$M$3006,$G839)="","","；"&amp;INDEX(资金台帐!$M$7:$M$3006,$G839)))</f>
      </c>
      <c r="G839" s="78">
        <f>IFERROR(MATCH(836,资金台帐!$Q$7:$Q$3006,0),"")</f>
      </c>
    </row>
    <row r="840">
      <c r="A840" s="141">
        <f>IF($G840="","",837)</f>
      </c>
      <c r="B840" s="140">
        <f>IF($G840="","",INDEX(资金台帐!$B$7:$B$3006,$G840))</f>
      </c>
      <c r="C840" s="141">
        <f>IF($G840="","",INDEX(资金台帐!$J$7:$J$3006,$G840))</f>
      </c>
      <c r="D840" s="172">
        <f>IF($G840="","",INDEX(资金台帐!$S$7:$S$3006,$G840))</f>
      </c>
      <c r="E840" s="141">
        <f>IF($G840="","",INDEX(资金台帐!$C$7:$C$3006,$G840))</f>
      </c>
      <c r="F840" s="142">
        <f>IF($G840="","",INDEX(资金台帐!$E$7:$E$3006,$G840)&amp;IF(INDEX(资金台帐!$M$7:$M$3006,$G840)="","","；"&amp;INDEX(资金台帐!$M$7:$M$3006,$G840)))</f>
      </c>
      <c r="G840" s="78">
        <f>IFERROR(MATCH(837,资金台帐!$Q$7:$Q$3006,0),"")</f>
      </c>
    </row>
    <row r="841">
      <c r="A841" s="141">
        <f>IF($G841="","",838)</f>
      </c>
      <c r="B841" s="140">
        <f>IF($G841="","",INDEX(资金台帐!$B$7:$B$3006,$G841))</f>
      </c>
      <c r="C841" s="141">
        <f>IF($G841="","",INDEX(资金台帐!$J$7:$J$3006,$G841))</f>
      </c>
      <c r="D841" s="172">
        <f>IF($G841="","",INDEX(资金台帐!$S$7:$S$3006,$G841))</f>
      </c>
      <c r="E841" s="141">
        <f>IF($G841="","",INDEX(资金台帐!$C$7:$C$3006,$G841))</f>
      </c>
      <c r="F841" s="142">
        <f>IF($G841="","",INDEX(资金台帐!$E$7:$E$3006,$G841)&amp;IF(INDEX(资金台帐!$M$7:$M$3006,$G841)="","","；"&amp;INDEX(资金台帐!$M$7:$M$3006,$G841)))</f>
      </c>
      <c r="G841" s="78">
        <f>IFERROR(MATCH(838,资金台帐!$Q$7:$Q$3006,0),"")</f>
      </c>
    </row>
    <row r="842">
      <c r="A842" s="141">
        <f>IF($G842="","",839)</f>
      </c>
      <c r="B842" s="140">
        <f>IF($G842="","",INDEX(资金台帐!$B$7:$B$3006,$G842))</f>
      </c>
      <c r="C842" s="141">
        <f>IF($G842="","",INDEX(资金台帐!$J$7:$J$3006,$G842))</f>
      </c>
      <c r="D842" s="172">
        <f>IF($G842="","",INDEX(资金台帐!$S$7:$S$3006,$G842))</f>
      </c>
      <c r="E842" s="141">
        <f>IF($G842="","",INDEX(资金台帐!$C$7:$C$3006,$G842))</f>
      </c>
      <c r="F842" s="142">
        <f>IF($G842="","",INDEX(资金台帐!$E$7:$E$3006,$G842)&amp;IF(INDEX(资金台帐!$M$7:$M$3006,$G842)="","","；"&amp;INDEX(资金台帐!$M$7:$M$3006,$G842)))</f>
      </c>
      <c r="G842" s="78">
        <f>IFERROR(MATCH(839,资金台帐!$Q$7:$Q$3006,0),"")</f>
      </c>
    </row>
    <row r="843">
      <c r="A843" s="141">
        <f>IF($G843="","",840)</f>
      </c>
      <c r="B843" s="140">
        <f>IF($G843="","",INDEX(资金台帐!$B$7:$B$3006,$G843))</f>
      </c>
      <c r="C843" s="141">
        <f>IF($G843="","",INDEX(资金台帐!$J$7:$J$3006,$G843))</f>
      </c>
      <c r="D843" s="172">
        <f>IF($G843="","",INDEX(资金台帐!$S$7:$S$3006,$G843))</f>
      </c>
      <c r="E843" s="141">
        <f>IF($G843="","",INDEX(资金台帐!$C$7:$C$3006,$G843))</f>
      </c>
      <c r="F843" s="142">
        <f>IF($G843="","",INDEX(资金台帐!$E$7:$E$3006,$G843)&amp;IF(INDEX(资金台帐!$M$7:$M$3006,$G843)="","","；"&amp;INDEX(资金台帐!$M$7:$M$3006,$G843)))</f>
      </c>
      <c r="G843" s="78">
        <f>IFERROR(MATCH(840,资金台帐!$Q$7:$Q$3006,0),"")</f>
      </c>
    </row>
    <row r="844">
      <c r="A844" s="141">
        <f>IF($G844="","",841)</f>
      </c>
      <c r="B844" s="140">
        <f>IF($G844="","",INDEX(资金台帐!$B$7:$B$3006,$G844))</f>
      </c>
      <c r="C844" s="141">
        <f>IF($G844="","",INDEX(资金台帐!$J$7:$J$3006,$G844))</f>
      </c>
      <c r="D844" s="172">
        <f>IF($G844="","",INDEX(资金台帐!$S$7:$S$3006,$G844))</f>
      </c>
      <c r="E844" s="141">
        <f>IF($G844="","",INDEX(资金台帐!$C$7:$C$3006,$G844))</f>
      </c>
      <c r="F844" s="142">
        <f>IF($G844="","",INDEX(资金台帐!$E$7:$E$3006,$G844)&amp;IF(INDEX(资金台帐!$M$7:$M$3006,$G844)="","","；"&amp;INDEX(资金台帐!$M$7:$M$3006,$G844)))</f>
      </c>
      <c r="G844" s="78">
        <f>IFERROR(MATCH(841,资金台帐!$Q$7:$Q$3006,0),"")</f>
      </c>
    </row>
    <row r="845">
      <c r="A845" s="141">
        <f>IF($G845="","",842)</f>
      </c>
      <c r="B845" s="140">
        <f>IF($G845="","",INDEX(资金台帐!$B$7:$B$3006,$G845))</f>
      </c>
      <c r="C845" s="141">
        <f>IF($G845="","",INDEX(资金台帐!$J$7:$J$3006,$G845))</f>
      </c>
      <c r="D845" s="172">
        <f>IF($G845="","",INDEX(资金台帐!$S$7:$S$3006,$G845))</f>
      </c>
      <c r="E845" s="141">
        <f>IF($G845="","",INDEX(资金台帐!$C$7:$C$3006,$G845))</f>
      </c>
      <c r="F845" s="142">
        <f>IF($G845="","",INDEX(资金台帐!$E$7:$E$3006,$G845)&amp;IF(INDEX(资金台帐!$M$7:$M$3006,$G845)="","","；"&amp;INDEX(资金台帐!$M$7:$M$3006,$G845)))</f>
      </c>
      <c r="G845" s="78">
        <f>IFERROR(MATCH(842,资金台帐!$Q$7:$Q$3006,0),"")</f>
      </c>
    </row>
    <row r="846">
      <c r="A846" s="141">
        <f>IF($G846="","",843)</f>
      </c>
      <c r="B846" s="140">
        <f>IF($G846="","",INDEX(资金台帐!$B$7:$B$3006,$G846))</f>
      </c>
      <c r="C846" s="141">
        <f>IF($G846="","",INDEX(资金台帐!$J$7:$J$3006,$G846))</f>
      </c>
      <c r="D846" s="172">
        <f>IF($G846="","",INDEX(资金台帐!$S$7:$S$3006,$G846))</f>
      </c>
      <c r="E846" s="141">
        <f>IF($G846="","",INDEX(资金台帐!$C$7:$C$3006,$G846))</f>
      </c>
      <c r="F846" s="142">
        <f>IF($G846="","",INDEX(资金台帐!$E$7:$E$3006,$G846)&amp;IF(INDEX(资金台帐!$M$7:$M$3006,$G846)="","","；"&amp;INDEX(资金台帐!$M$7:$M$3006,$G846)))</f>
      </c>
      <c r="G846" s="78">
        <f>IFERROR(MATCH(843,资金台帐!$Q$7:$Q$3006,0),"")</f>
      </c>
    </row>
    <row r="847">
      <c r="A847" s="141">
        <f>IF($G847="","",844)</f>
      </c>
      <c r="B847" s="140">
        <f>IF($G847="","",INDEX(资金台帐!$B$7:$B$3006,$G847))</f>
      </c>
      <c r="C847" s="141">
        <f>IF($G847="","",INDEX(资金台帐!$J$7:$J$3006,$G847))</f>
      </c>
      <c r="D847" s="172">
        <f>IF($G847="","",INDEX(资金台帐!$S$7:$S$3006,$G847))</f>
      </c>
      <c r="E847" s="141">
        <f>IF($G847="","",INDEX(资金台帐!$C$7:$C$3006,$G847))</f>
      </c>
      <c r="F847" s="142">
        <f>IF($G847="","",INDEX(资金台帐!$E$7:$E$3006,$G847)&amp;IF(INDEX(资金台帐!$M$7:$M$3006,$G847)="","","；"&amp;INDEX(资金台帐!$M$7:$M$3006,$G847)))</f>
      </c>
      <c r="G847" s="78">
        <f>IFERROR(MATCH(844,资金台帐!$Q$7:$Q$3006,0),"")</f>
      </c>
    </row>
    <row r="848">
      <c r="A848" s="141">
        <f>IF($G848="","",845)</f>
      </c>
      <c r="B848" s="140">
        <f>IF($G848="","",INDEX(资金台帐!$B$7:$B$3006,$G848))</f>
      </c>
      <c r="C848" s="141">
        <f>IF($G848="","",INDEX(资金台帐!$J$7:$J$3006,$G848))</f>
      </c>
      <c r="D848" s="172">
        <f>IF($G848="","",INDEX(资金台帐!$S$7:$S$3006,$G848))</f>
      </c>
      <c r="E848" s="141">
        <f>IF($G848="","",INDEX(资金台帐!$C$7:$C$3006,$G848))</f>
      </c>
      <c r="F848" s="142">
        <f>IF($G848="","",INDEX(资金台帐!$E$7:$E$3006,$G848)&amp;IF(INDEX(资金台帐!$M$7:$M$3006,$G848)="","","；"&amp;INDEX(资金台帐!$M$7:$M$3006,$G848)))</f>
      </c>
      <c r="G848" s="78">
        <f>IFERROR(MATCH(845,资金台帐!$Q$7:$Q$3006,0),"")</f>
      </c>
    </row>
    <row r="849">
      <c r="A849" s="141">
        <f>IF($G849="","",846)</f>
      </c>
      <c r="B849" s="140">
        <f>IF($G849="","",INDEX(资金台帐!$B$7:$B$3006,$G849))</f>
      </c>
      <c r="C849" s="141">
        <f>IF($G849="","",INDEX(资金台帐!$J$7:$J$3006,$G849))</f>
      </c>
      <c r="D849" s="172">
        <f>IF($G849="","",INDEX(资金台帐!$S$7:$S$3006,$G849))</f>
      </c>
      <c r="E849" s="141">
        <f>IF($G849="","",INDEX(资金台帐!$C$7:$C$3006,$G849))</f>
      </c>
      <c r="F849" s="142">
        <f>IF($G849="","",INDEX(资金台帐!$E$7:$E$3006,$G849)&amp;IF(INDEX(资金台帐!$M$7:$M$3006,$G849)="","","；"&amp;INDEX(资金台帐!$M$7:$M$3006,$G849)))</f>
      </c>
      <c r="G849" s="78">
        <f>IFERROR(MATCH(846,资金台帐!$Q$7:$Q$3006,0),"")</f>
      </c>
    </row>
    <row r="850">
      <c r="A850" s="141">
        <f>IF($G850="","",847)</f>
      </c>
      <c r="B850" s="140">
        <f>IF($G850="","",INDEX(资金台帐!$B$7:$B$3006,$G850))</f>
      </c>
      <c r="C850" s="141">
        <f>IF($G850="","",INDEX(资金台帐!$J$7:$J$3006,$G850))</f>
      </c>
      <c r="D850" s="172">
        <f>IF($G850="","",INDEX(资金台帐!$S$7:$S$3006,$G850))</f>
      </c>
      <c r="E850" s="141">
        <f>IF($G850="","",INDEX(资金台帐!$C$7:$C$3006,$G850))</f>
      </c>
      <c r="F850" s="142">
        <f>IF($G850="","",INDEX(资金台帐!$E$7:$E$3006,$G850)&amp;IF(INDEX(资金台帐!$M$7:$M$3006,$G850)="","","；"&amp;INDEX(资金台帐!$M$7:$M$3006,$G850)))</f>
      </c>
      <c r="G850" s="78">
        <f>IFERROR(MATCH(847,资金台帐!$Q$7:$Q$3006,0),"")</f>
      </c>
    </row>
    <row r="851">
      <c r="A851" s="141">
        <f>IF($G851="","",848)</f>
      </c>
      <c r="B851" s="140">
        <f>IF($G851="","",INDEX(资金台帐!$B$7:$B$3006,$G851))</f>
      </c>
      <c r="C851" s="141">
        <f>IF($G851="","",INDEX(资金台帐!$J$7:$J$3006,$G851))</f>
      </c>
      <c r="D851" s="172">
        <f>IF($G851="","",INDEX(资金台帐!$S$7:$S$3006,$G851))</f>
      </c>
      <c r="E851" s="141">
        <f>IF($G851="","",INDEX(资金台帐!$C$7:$C$3006,$G851))</f>
      </c>
      <c r="F851" s="142">
        <f>IF($G851="","",INDEX(资金台帐!$E$7:$E$3006,$G851)&amp;IF(INDEX(资金台帐!$M$7:$M$3006,$G851)="","","；"&amp;INDEX(资金台帐!$M$7:$M$3006,$G851)))</f>
      </c>
      <c r="G851" s="78">
        <f>IFERROR(MATCH(848,资金台帐!$Q$7:$Q$3006,0),"")</f>
      </c>
    </row>
    <row r="852">
      <c r="A852" s="141">
        <f>IF($G852="","",849)</f>
      </c>
      <c r="B852" s="140">
        <f>IF($G852="","",INDEX(资金台帐!$B$7:$B$3006,$G852))</f>
      </c>
      <c r="C852" s="141">
        <f>IF($G852="","",INDEX(资金台帐!$J$7:$J$3006,$G852))</f>
      </c>
      <c r="D852" s="172">
        <f>IF($G852="","",INDEX(资金台帐!$S$7:$S$3006,$G852))</f>
      </c>
      <c r="E852" s="141">
        <f>IF($G852="","",INDEX(资金台帐!$C$7:$C$3006,$G852))</f>
      </c>
      <c r="F852" s="142">
        <f>IF($G852="","",INDEX(资金台帐!$E$7:$E$3006,$G852)&amp;IF(INDEX(资金台帐!$M$7:$M$3006,$G852)="","","；"&amp;INDEX(资金台帐!$M$7:$M$3006,$G852)))</f>
      </c>
      <c r="G852" s="78">
        <f>IFERROR(MATCH(849,资金台帐!$Q$7:$Q$3006,0),"")</f>
      </c>
    </row>
    <row r="853">
      <c r="A853" s="141">
        <f>IF($G853="","",850)</f>
      </c>
      <c r="B853" s="140">
        <f>IF($G853="","",INDEX(资金台帐!$B$7:$B$3006,$G853))</f>
      </c>
      <c r="C853" s="141">
        <f>IF($G853="","",INDEX(资金台帐!$J$7:$J$3006,$G853))</f>
      </c>
      <c r="D853" s="172">
        <f>IF($G853="","",INDEX(资金台帐!$S$7:$S$3006,$G853))</f>
      </c>
      <c r="E853" s="141">
        <f>IF($G853="","",INDEX(资金台帐!$C$7:$C$3006,$G853))</f>
      </c>
      <c r="F853" s="142">
        <f>IF($G853="","",INDEX(资金台帐!$E$7:$E$3006,$G853)&amp;IF(INDEX(资金台帐!$M$7:$M$3006,$G853)="","","；"&amp;INDEX(资金台帐!$M$7:$M$3006,$G853)))</f>
      </c>
      <c r="G853" s="78">
        <f>IFERROR(MATCH(850,资金台帐!$Q$7:$Q$3006,0),"")</f>
      </c>
    </row>
    <row r="854">
      <c r="A854" s="141">
        <f>IF($G854="","",851)</f>
      </c>
      <c r="B854" s="140">
        <f>IF($G854="","",INDEX(资金台帐!$B$7:$B$3006,$G854))</f>
      </c>
      <c r="C854" s="141">
        <f>IF($G854="","",INDEX(资金台帐!$J$7:$J$3006,$G854))</f>
      </c>
      <c r="D854" s="172">
        <f>IF($G854="","",INDEX(资金台帐!$S$7:$S$3006,$G854))</f>
      </c>
      <c r="E854" s="141">
        <f>IF($G854="","",INDEX(资金台帐!$C$7:$C$3006,$G854))</f>
      </c>
      <c r="F854" s="142">
        <f>IF($G854="","",INDEX(资金台帐!$E$7:$E$3006,$G854)&amp;IF(INDEX(资金台帐!$M$7:$M$3006,$G854)="","","；"&amp;INDEX(资金台帐!$M$7:$M$3006,$G854)))</f>
      </c>
      <c r="G854" s="78">
        <f>IFERROR(MATCH(851,资金台帐!$Q$7:$Q$3006,0),"")</f>
      </c>
    </row>
    <row r="855">
      <c r="A855" s="141">
        <f>IF($G855="","",852)</f>
      </c>
      <c r="B855" s="140">
        <f>IF($G855="","",INDEX(资金台帐!$B$7:$B$3006,$G855))</f>
      </c>
      <c r="C855" s="141">
        <f>IF($G855="","",INDEX(资金台帐!$J$7:$J$3006,$G855))</f>
      </c>
      <c r="D855" s="172">
        <f>IF($G855="","",INDEX(资金台帐!$S$7:$S$3006,$G855))</f>
      </c>
      <c r="E855" s="141">
        <f>IF($G855="","",INDEX(资金台帐!$C$7:$C$3006,$G855))</f>
      </c>
      <c r="F855" s="142">
        <f>IF($G855="","",INDEX(资金台帐!$E$7:$E$3006,$G855)&amp;IF(INDEX(资金台帐!$M$7:$M$3006,$G855)="","","；"&amp;INDEX(资金台帐!$M$7:$M$3006,$G855)))</f>
      </c>
      <c r="G855" s="78">
        <f>IFERROR(MATCH(852,资金台帐!$Q$7:$Q$3006,0),"")</f>
      </c>
    </row>
    <row r="856">
      <c r="A856" s="141">
        <f>IF($G856="","",853)</f>
      </c>
      <c r="B856" s="140">
        <f>IF($G856="","",INDEX(资金台帐!$B$7:$B$3006,$G856))</f>
      </c>
      <c r="C856" s="141">
        <f>IF($G856="","",INDEX(资金台帐!$J$7:$J$3006,$G856))</f>
      </c>
      <c r="D856" s="172">
        <f>IF($G856="","",INDEX(资金台帐!$S$7:$S$3006,$G856))</f>
      </c>
      <c r="E856" s="141">
        <f>IF($G856="","",INDEX(资金台帐!$C$7:$C$3006,$G856))</f>
      </c>
      <c r="F856" s="142">
        <f>IF($G856="","",INDEX(资金台帐!$E$7:$E$3006,$G856)&amp;IF(INDEX(资金台帐!$M$7:$M$3006,$G856)="","","；"&amp;INDEX(资金台帐!$M$7:$M$3006,$G856)))</f>
      </c>
      <c r="G856" s="78">
        <f>IFERROR(MATCH(853,资金台帐!$Q$7:$Q$3006,0),"")</f>
      </c>
    </row>
    <row r="857">
      <c r="A857" s="141">
        <f>IF($G857="","",854)</f>
      </c>
      <c r="B857" s="140">
        <f>IF($G857="","",INDEX(资金台帐!$B$7:$B$3006,$G857))</f>
      </c>
      <c r="C857" s="141">
        <f>IF($G857="","",INDEX(资金台帐!$J$7:$J$3006,$G857))</f>
      </c>
      <c r="D857" s="172">
        <f>IF($G857="","",INDEX(资金台帐!$S$7:$S$3006,$G857))</f>
      </c>
      <c r="E857" s="141">
        <f>IF($G857="","",INDEX(资金台帐!$C$7:$C$3006,$G857))</f>
      </c>
      <c r="F857" s="142">
        <f>IF($G857="","",INDEX(资金台帐!$E$7:$E$3006,$G857)&amp;IF(INDEX(资金台帐!$M$7:$M$3006,$G857)="","","；"&amp;INDEX(资金台帐!$M$7:$M$3006,$G857)))</f>
      </c>
      <c r="G857" s="78">
        <f>IFERROR(MATCH(854,资金台帐!$Q$7:$Q$3006,0),"")</f>
      </c>
    </row>
    <row r="858">
      <c r="A858" s="141">
        <f>IF($G858="","",855)</f>
      </c>
      <c r="B858" s="140">
        <f>IF($G858="","",INDEX(资金台帐!$B$7:$B$3006,$G858))</f>
      </c>
      <c r="C858" s="141">
        <f>IF($G858="","",INDEX(资金台帐!$J$7:$J$3006,$G858))</f>
      </c>
      <c r="D858" s="172">
        <f>IF($G858="","",INDEX(资金台帐!$S$7:$S$3006,$G858))</f>
      </c>
      <c r="E858" s="141">
        <f>IF($G858="","",INDEX(资金台帐!$C$7:$C$3006,$G858))</f>
      </c>
      <c r="F858" s="142">
        <f>IF($G858="","",INDEX(资金台帐!$E$7:$E$3006,$G858)&amp;IF(INDEX(资金台帐!$M$7:$M$3006,$G858)="","","；"&amp;INDEX(资金台帐!$M$7:$M$3006,$G858)))</f>
      </c>
      <c r="G858" s="78">
        <f>IFERROR(MATCH(855,资金台帐!$Q$7:$Q$3006,0),"")</f>
      </c>
    </row>
    <row r="859">
      <c r="A859" s="141">
        <f>IF($G859="","",856)</f>
      </c>
      <c r="B859" s="140">
        <f>IF($G859="","",INDEX(资金台帐!$B$7:$B$3006,$G859))</f>
      </c>
      <c r="C859" s="141">
        <f>IF($G859="","",INDEX(资金台帐!$J$7:$J$3006,$G859))</f>
      </c>
      <c r="D859" s="172">
        <f>IF($G859="","",INDEX(资金台帐!$S$7:$S$3006,$G859))</f>
      </c>
      <c r="E859" s="141">
        <f>IF($G859="","",INDEX(资金台帐!$C$7:$C$3006,$G859))</f>
      </c>
      <c r="F859" s="142">
        <f>IF($G859="","",INDEX(资金台帐!$E$7:$E$3006,$G859)&amp;IF(INDEX(资金台帐!$M$7:$M$3006,$G859)="","","；"&amp;INDEX(资金台帐!$M$7:$M$3006,$G859)))</f>
      </c>
      <c r="G859" s="78">
        <f>IFERROR(MATCH(856,资金台帐!$Q$7:$Q$3006,0),"")</f>
      </c>
    </row>
    <row r="860">
      <c r="A860" s="141">
        <f>IF($G860="","",857)</f>
      </c>
      <c r="B860" s="140">
        <f>IF($G860="","",INDEX(资金台帐!$B$7:$B$3006,$G860))</f>
      </c>
      <c r="C860" s="141">
        <f>IF($G860="","",INDEX(资金台帐!$J$7:$J$3006,$G860))</f>
      </c>
      <c r="D860" s="172">
        <f>IF($G860="","",INDEX(资金台帐!$S$7:$S$3006,$G860))</f>
      </c>
      <c r="E860" s="141">
        <f>IF($G860="","",INDEX(资金台帐!$C$7:$C$3006,$G860))</f>
      </c>
      <c r="F860" s="142">
        <f>IF($G860="","",INDEX(资金台帐!$E$7:$E$3006,$G860)&amp;IF(INDEX(资金台帐!$M$7:$M$3006,$G860)="","","；"&amp;INDEX(资金台帐!$M$7:$M$3006,$G860)))</f>
      </c>
      <c r="G860" s="78">
        <f>IFERROR(MATCH(857,资金台帐!$Q$7:$Q$3006,0),"")</f>
      </c>
    </row>
    <row r="861">
      <c r="A861" s="141">
        <f>IF($G861="","",858)</f>
      </c>
      <c r="B861" s="140">
        <f>IF($G861="","",INDEX(资金台帐!$B$7:$B$3006,$G861))</f>
      </c>
      <c r="C861" s="141">
        <f>IF($G861="","",INDEX(资金台帐!$J$7:$J$3006,$G861))</f>
      </c>
      <c r="D861" s="172">
        <f>IF($G861="","",INDEX(资金台帐!$S$7:$S$3006,$G861))</f>
      </c>
      <c r="E861" s="141">
        <f>IF($G861="","",INDEX(资金台帐!$C$7:$C$3006,$G861))</f>
      </c>
      <c r="F861" s="142">
        <f>IF($G861="","",INDEX(资金台帐!$E$7:$E$3006,$G861)&amp;IF(INDEX(资金台帐!$M$7:$M$3006,$G861)="","","；"&amp;INDEX(资金台帐!$M$7:$M$3006,$G861)))</f>
      </c>
      <c r="G861" s="78">
        <f>IFERROR(MATCH(858,资金台帐!$Q$7:$Q$3006,0),"")</f>
      </c>
    </row>
    <row r="862">
      <c r="A862" s="141">
        <f>IF($G862="","",859)</f>
      </c>
      <c r="B862" s="140">
        <f>IF($G862="","",INDEX(资金台帐!$B$7:$B$3006,$G862))</f>
      </c>
      <c r="C862" s="141">
        <f>IF($G862="","",INDEX(资金台帐!$J$7:$J$3006,$G862))</f>
      </c>
      <c r="D862" s="172">
        <f>IF($G862="","",INDEX(资金台帐!$S$7:$S$3006,$G862))</f>
      </c>
      <c r="E862" s="141">
        <f>IF($G862="","",INDEX(资金台帐!$C$7:$C$3006,$G862))</f>
      </c>
      <c r="F862" s="142">
        <f>IF($G862="","",INDEX(资金台帐!$E$7:$E$3006,$G862)&amp;IF(INDEX(资金台帐!$M$7:$M$3006,$G862)="","","；"&amp;INDEX(资金台帐!$M$7:$M$3006,$G862)))</f>
      </c>
      <c r="G862" s="78">
        <f>IFERROR(MATCH(859,资金台帐!$Q$7:$Q$3006,0),"")</f>
      </c>
    </row>
    <row r="863">
      <c r="A863" s="141">
        <f>IF($G863="","",860)</f>
      </c>
      <c r="B863" s="140">
        <f>IF($G863="","",INDEX(资金台帐!$B$7:$B$3006,$G863))</f>
      </c>
      <c r="C863" s="141">
        <f>IF($G863="","",INDEX(资金台帐!$J$7:$J$3006,$G863))</f>
      </c>
      <c r="D863" s="172">
        <f>IF($G863="","",INDEX(资金台帐!$S$7:$S$3006,$G863))</f>
      </c>
      <c r="E863" s="141">
        <f>IF($G863="","",INDEX(资金台帐!$C$7:$C$3006,$G863))</f>
      </c>
      <c r="F863" s="142">
        <f>IF($G863="","",INDEX(资金台帐!$E$7:$E$3006,$G863)&amp;IF(INDEX(资金台帐!$M$7:$M$3006,$G863)="","","；"&amp;INDEX(资金台帐!$M$7:$M$3006,$G863)))</f>
      </c>
      <c r="G863" s="78">
        <f>IFERROR(MATCH(860,资金台帐!$Q$7:$Q$3006,0),"")</f>
      </c>
    </row>
    <row r="864">
      <c r="A864" s="141">
        <f>IF($G864="","",861)</f>
      </c>
      <c r="B864" s="140">
        <f>IF($G864="","",INDEX(资金台帐!$B$7:$B$3006,$G864))</f>
      </c>
      <c r="C864" s="141">
        <f>IF($G864="","",INDEX(资金台帐!$J$7:$J$3006,$G864))</f>
      </c>
      <c r="D864" s="172">
        <f>IF($G864="","",INDEX(资金台帐!$S$7:$S$3006,$G864))</f>
      </c>
      <c r="E864" s="141">
        <f>IF($G864="","",INDEX(资金台帐!$C$7:$C$3006,$G864))</f>
      </c>
      <c r="F864" s="142">
        <f>IF($G864="","",INDEX(资金台帐!$E$7:$E$3006,$G864)&amp;IF(INDEX(资金台帐!$M$7:$M$3006,$G864)="","","；"&amp;INDEX(资金台帐!$M$7:$M$3006,$G864)))</f>
      </c>
      <c r="G864" s="78">
        <f>IFERROR(MATCH(861,资金台帐!$Q$7:$Q$3006,0),"")</f>
      </c>
    </row>
    <row r="865">
      <c r="A865" s="141">
        <f>IF($G865="","",862)</f>
      </c>
      <c r="B865" s="140">
        <f>IF($G865="","",INDEX(资金台帐!$B$7:$B$3006,$G865))</f>
      </c>
      <c r="C865" s="141">
        <f>IF($G865="","",INDEX(资金台帐!$J$7:$J$3006,$G865))</f>
      </c>
      <c r="D865" s="172">
        <f>IF($G865="","",INDEX(资金台帐!$S$7:$S$3006,$G865))</f>
      </c>
      <c r="E865" s="141">
        <f>IF($G865="","",INDEX(资金台帐!$C$7:$C$3006,$G865))</f>
      </c>
      <c r="F865" s="142">
        <f>IF($G865="","",INDEX(资金台帐!$E$7:$E$3006,$G865)&amp;IF(INDEX(资金台帐!$M$7:$M$3006,$G865)="","","；"&amp;INDEX(资金台帐!$M$7:$M$3006,$G865)))</f>
      </c>
      <c r="G865" s="78">
        <f>IFERROR(MATCH(862,资金台帐!$Q$7:$Q$3006,0),"")</f>
      </c>
    </row>
    <row r="866">
      <c r="A866" s="141">
        <f>IF($G866="","",863)</f>
      </c>
      <c r="B866" s="140">
        <f>IF($G866="","",INDEX(资金台帐!$B$7:$B$3006,$G866))</f>
      </c>
      <c r="C866" s="141">
        <f>IF($G866="","",INDEX(资金台帐!$J$7:$J$3006,$G866))</f>
      </c>
      <c r="D866" s="172">
        <f>IF($G866="","",INDEX(资金台帐!$S$7:$S$3006,$G866))</f>
      </c>
      <c r="E866" s="141">
        <f>IF($G866="","",INDEX(资金台帐!$C$7:$C$3006,$G866))</f>
      </c>
      <c r="F866" s="142">
        <f>IF($G866="","",INDEX(资金台帐!$E$7:$E$3006,$G866)&amp;IF(INDEX(资金台帐!$M$7:$M$3006,$G866)="","","；"&amp;INDEX(资金台帐!$M$7:$M$3006,$G866)))</f>
      </c>
      <c r="G866" s="78">
        <f>IFERROR(MATCH(863,资金台帐!$Q$7:$Q$3006,0),"")</f>
      </c>
    </row>
    <row r="867">
      <c r="A867" s="141">
        <f>IF($G867="","",864)</f>
      </c>
      <c r="B867" s="140">
        <f>IF($G867="","",INDEX(资金台帐!$B$7:$B$3006,$G867))</f>
      </c>
      <c r="C867" s="141">
        <f>IF($G867="","",INDEX(资金台帐!$J$7:$J$3006,$G867))</f>
      </c>
      <c r="D867" s="172">
        <f>IF($G867="","",INDEX(资金台帐!$S$7:$S$3006,$G867))</f>
      </c>
      <c r="E867" s="141">
        <f>IF($G867="","",INDEX(资金台帐!$C$7:$C$3006,$G867))</f>
      </c>
      <c r="F867" s="142">
        <f>IF($G867="","",INDEX(资金台帐!$E$7:$E$3006,$G867)&amp;IF(INDEX(资金台帐!$M$7:$M$3006,$G867)="","","；"&amp;INDEX(资金台帐!$M$7:$M$3006,$G867)))</f>
      </c>
      <c r="G867" s="78">
        <f>IFERROR(MATCH(864,资金台帐!$Q$7:$Q$3006,0),"")</f>
      </c>
    </row>
    <row r="868">
      <c r="A868" s="141">
        <f>IF($G868="","",865)</f>
      </c>
      <c r="B868" s="140">
        <f>IF($G868="","",INDEX(资金台帐!$B$7:$B$3006,$G868))</f>
      </c>
      <c r="C868" s="141">
        <f>IF($G868="","",INDEX(资金台帐!$J$7:$J$3006,$G868))</f>
      </c>
      <c r="D868" s="172">
        <f>IF($G868="","",INDEX(资金台帐!$S$7:$S$3006,$G868))</f>
      </c>
      <c r="E868" s="141">
        <f>IF($G868="","",INDEX(资金台帐!$C$7:$C$3006,$G868))</f>
      </c>
      <c r="F868" s="142">
        <f>IF($G868="","",INDEX(资金台帐!$E$7:$E$3006,$G868)&amp;IF(INDEX(资金台帐!$M$7:$M$3006,$G868)="","","；"&amp;INDEX(资金台帐!$M$7:$M$3006,$G868)))</f>
      </c>
      <c r="G868" s="78">
        <f>IFERROR(MATCH(865,资金台帐!$Q$7:$Q$3006,0),"")</f>
      </c>
    </row>
    <row r="869">
      <c r="A869" s="141">
        <f>IF($G869="","",866)</f>
      </c>
      <c r="B869" s="140">
        <f>IF($G869="","",INDEX(资金台帐!$B$7:$B$3006,$G869))</f>
      </c>
      <c r="C869" s="141">
        <f>IF($G869="","",INDEX(资金台帐!$J$7:$J$3006,$G869))</f>
      </c>
      <c r="D869" s="172">
        <f>IF($G869="","",INDEX(资金台帐!$S$7:$S$3006,$G869))</f>
      </c>
      <c r="E869" s="141">
        <f>IF($G869="","",INDEX(资金台帐!$C$7:$C$3006,$G869))</f>
      </c>
      <c r="F869" s="142">
        <f>IF($G869="","",INDEX(资金台帐!$E$7:$E$3006,$G869)&amp;IF(INDEX(资金台帐!$M$7:$M$3006,$G869)="","","；"&amp;INDEX(资金台帐!$M$7:$M$3006,$G869)))</f>
      </c>
      <c r="G869" s="78">
        <f>IFERROR(MATCH(866,资金台帐!$Q$7:$Q$3006,0),"")</f>
      </c>
    </row>
    <row r="870">
      <c r="A870" s="141">
        <f>IF($G870="","",867)</f>
      </c>
      <c r="B870" s="140">
        <f>IF($G870="","",INDEX(资金台帐!$B$7:$B$3006,$G870))</f>
      </c>
      <c r="C870" s="141">
        <f>IF($G870="","",INDEX(资金台帐!$J$7:$J$3006,$G870))</f>
      </c>
      <c r="D870" s="172">
        <f>IF($G870="","",INDEX(资金台帐!$S$7:$S$3006,$G870))</f>
      </c>
      <c r="E870" s="141">
        <f>IF($G870="","",INDEX(资金台帐!$C$7:$C$3006,$G870))</f>
      </c>
      <c r="F870" s="142">
        <f>IF($G870="","",INDEX(资金台帐!$E$7:$E$3006,$G870)&amp;IF(INDEX(资金台帐!$M$7:$M$3006,$G870)="","","；"&amp;INDEX(资金台帐!$M$7:$M$3006,$G870)))</f>
      </c>
      <c r="G870" s="78">
        <f>IFERROR(MATCH(867,资金台帐!$Q$7:$Q$3006,0),"")</f>
      </c>
    </row>
    <row r="871">
      <c r="A871" s="141">
        <f>IF($G871="","",868)</f>
      </c>
      <c r="B871" s="140">
        <f>IF($G871="","",INDEX(资金台帐!$B$7:$B$3006,$G871))</f>
      </c>
      <c r="C871" s="141">
        <f>IF($G871="","",INDEX(资金台帐!$J$7:$J$3006,$G871))</f>
      </c>
      <c r="D871" s="172">
        <f>IF($G871="","",INDEX(资金台帐!$S$7:$S$3006,$G871))</f>
      </c>
      <c r="E871" s="141">
        <f>IF($G871="","",INDEX(资金台帐!$C$7:$C$3006,$G871))</f>
      </c>
      <c r="F871" s="142">
        <f>IF($G871="","",INDEX(资金台帐!$E$7:$E$3006,$G871)&amp;IF(INDEX(资金台帐!$M$7:$M$3006,$G871)="","","；"&amp;INDEX(资金台帐!$M$7:$M$3006,$G871)))</f>
      </c>
      <c r="G871" s="78">
        <f>IFERROR(MATCH(868,资金台帐!$Q$7:$Q$3006,0),"")</f>
      </c>
    </row>
    <row r="872">
      <c r="A872" s="141">
        <f>IF($G872="","",869)</f>
      </c>
      <c r="B872" s="140">
        <f>IF($G872="","",INDEX(资金台帐!$B$7:$B$3006,$G872))</f>
      </c>
      <c r="C872" s="141">
        <f>IF($G872="","",INDEX(资金台帐!$J$7:$J$3006,$G872))</f>
      </c>
      <c r="D872" s="172">
        <f>IF($G872="","",INDEX(资金台帐!$S$7:$S$3006,$G872))</f>
      </c>
      <c r="E872" s="141">
        <f>IF($G872="","",INDEX(资金台帐!$C$7:$C$3006,$G872))</f>
      </c>
      <c r="F872" s="142">
        <f>IF($G872="","",INDEX(资金台帐!$E$7:$E$3006,$G872)&amp;IF(INDEX(资金台帐!$M$7:$M$3006,$G872)="","","；"&amp;INDEX(资金台帐!$M$7:$M$3006,$G872)))</f>
      </c>
      <c r="G872" s="78">
        <f>IFERROR(MATCH(869,资金台帐!$Q$7:$Q$3006,0),"")</f>
      </c>
    </row>
    <row r="873">
      <c r="A873" s="141">
        <f>IF($G873="","",870)</f>
      </c>
      <c r="B873" s="140">
        <f>IF($G873="","",INDEX(资金台帐!$B$7:$B$3006,$G873))</f>
      </c>
      <c r="C873" s="141">
        <f>IF($G873="","",INDEX(资金台帐!$J$7:$J$3006,$G873))</f>
      </c>
      <c r="D873" s="172">
        <f>IF($G873="","",INDEX(资金台帐!$S$7:$S$3006,$G873))</f>
      </c>
      <c r="E873" s="141">
        <f>IF($G873="","",INDEX(资金台帐!$C$7:$C$3006,$G873))</f>
      </c>
      <c r="F873" s="142">
        <f>IF($G873="","",INDEX(资金台帐!$E$7:$E$3006,$G873)&amp;IF(INDEX(资金台帐!$M$7:$M$3006,$G873)="","","；"&amp;INDEX(资金台帐!$M$7:$M$3006,$G873)))</f>
      </c>
      <c r="G873" s="78">
        <f>IFERROR(MATCH(870,资金台帐!$Q$7:$Q$3006,0),"")</f>
      </c>
    </row>
    <row r="874">
      <c r="A874" s="141">
        <f>IF($G874="","",871)</f>
      </c>
      <c r="B874" s="140">
        <f>IF($G874="","",INDEX(资金台帐!$B$7:$B$3006,$G874))</f>
      </c>
      <c r="C874" s="141">
        <f>IF($G874="","",INDEX(资金台帐!$J$7:$J$3006,$G874))</f>
      </c>
      <c r="D874" s="172">
        <f>IF($G874="","",INDEX(资金台帐!$S$7:$S$3006,$G874))</f>
      </c>
      <c r="E874" s="141">
        <f>IF($G874="","",INDEX(资金台帐!$C$7:$C$3006,$G874))</f>
      </c>
      <c r="F874" s="142">
        <f>IF($G874="","",INDEX(资金台帐!$E$7:$E$3006,$G874)&amp;IF(INDEX(资金台帐!$M$7:$M$3006,$G874)="","","；"&amp;INDEX(资金台帐!$M$7:$M$3006,$G874)))</f>
      </c>
      <c r="G874" s="78">
        <f>IFERROR(MATCH(871,资金台帐!$Q$7:$Q$3006,0),"")</f>
      </c>
    </row>
    <row r="875">
      <c r="A875" s="141">
        <f>IF($G875="","",872)</f>
      </c>
      <c r="B875" s="140">
        <f>IF($G875="","",INDEX(资金台帐!$B$7:$B$3006,$G875))</f>
      </c>
      <c r="C875" s="141">
        <f>IF($G875="","",INDEX(资金台帐!$J$7:$J$3006,$G875))</f>
      </c>
      <c r="D875" s="172">
        <f>IF($G875="","",INDEX(资金台帐!$S$7:$S$3006,$G875))</f>
      </c>
      <c r="E875" s="141">
        <f>IF($G875="","",INDEX(资金台帐!$C$7:$C$3006,$G875))</f>
      </c>
      <c r="F875" s="142">
        <f>IF($G875="","",INDEX(资金台帐!$E$7:$E$3006,$G875)&amp;IF(INDEX(资金台帐!$M$7:$M$3006,$G875)="","","；"&amp;INDEX(资金台帐!$M$7:$M$3006,$G875)))</f>
      </c>
      <c r="G875" s="78">
        <f>IFERROR(MATCH(872,资金台帐!$Q$7:$Q$3006,0),"")</f>
      </c>
    </row>
    <row r="876">
      <c r="A876" s="141">
        <f>IF($G876="","",873)</f>
      </c>
      <c r="B876" s="140">
        <f>IF($G876="","",INDEX(资金台帐!$B$7:$B$3006,$G876))</f>
      </c>
      <c r="C876" s="141">
        <f>IF($G876="","",INDEX(资金台帐!$J$7:$J$3006,$G876))</f>
      </c>
      <c r="D876" s="172">
        <f>IF($G876="","",INDEX(资金台帐!$S$7:$S$3006,$G876))</f>
      </c>
      <c r="E876" s="141">
        <f>IF($G876="","",INDEX(资金台帐!$C$7:$C$3006,$G876))</f>
      </c>
      <c r="F876" s="142">
        <f>IF($G876="","",INDEX(资金台帐!$E$7:$E$3006,$G876)&amp;IF(INDEX(资金台帐!$M$7:$M$3006,$G876)="","","；"&amp;INDEX(资金台帐!$M$7:$M$3006,$G876)))</f>
      </c>
      <c r="G876" s="78">
        <f>IFERROR(MATCH(873,资金台帐!$Q$7:$Q$3006,0),"")</f>
      </c>
    </row>
    <row r="877">
      <c r="A877" s="141">
        <f>IF($G877="","",874)</f>
      </c>
      <c r="B877" s="140">
        <f>IF($G877="","",INDEX(资金台帐!$B$7:$B$3006,$G877))</f>
      </c>
      <c r="C877" s="141">
        <f>IF($G877="","",INDEX(资金台帐!$J$7:$J$3006,$G877))</f>
      </c>
      <c r="D877" s="172">
        <f>IF($G877="","",INDEX(资金台帐!$S$7:$S$3006,$G877))</f>
      </c>
      <c r="E877" s="141">
        <f>IF($G877="","",INDEX(资金台帐!$C$7:$C$3006,$G877))</f>
      </c>
      <c r="F877" s="142">
        <f>IF($G877="","",INDEX(资金台帐!$E$7:$E$3006,$G877)&amp;IF(INDEX(资金台帐!$M$7:$M$3006,$G877)="","","；"&amp;INDEX(资金台帐!$M$7:$M$3006,$G877)))</f>
      </c>
      <c r="G877" s="78">
        <f>IFERROR(MATCH(874,资金台帐!$Q$7:$Q$3006,0),"")</f>
      </c>
    </row>
    <row r="878">
      <c r="A878" s="141">
        <f>IF($G878="","",875)</f>
      </c>
      <c r="B878" s="140">
        <f>IF($G878="","",INDEX(资金台帐!$B$7:$B$3006,$G878))</f>
      </c>
      <c r="C878" s="141">
        <f>IF($G878="","",INDEX(资金台帐!$J$7:$J$3006,$G878))</f>
      </c>
      <c r="D878" s="172">
        <f>IF($G878="","",INDEX(资金台帐!$S$7:$S$3006,$G878))</f>
      </c>
      <c r="E878" s="141">
        <f>IF($G878="","",INDEX(资金台帐!$C$7:$C$3006,$G878))</f>
      </c>
      <c r="F878" s="142">
        <f>IF($G878="","",INDEX(资金台帐!$E$7:$E$3006,$G878)&amp;IF(INDEX(资金台帐!$M$7:$M$3006,$G878)="","","；"&amp;INDEX(资金台帐!$M$7:$M$3006,$G878)))</f>
      </c>
      <c r="G878" s="78">
        <f>IFERROR(MATCH(875,资金台帐!$Q$7:$Q$3006,0),"")</f>
      </c>
    </row>
    <row r="879">
      <c r="A879" s="141">
        <f>IF($G879="","",876)</f>
      </c>
      <c r="B879" s="140">
        <f>IF($G879="","",INDEX(资金台帐!$B$7:$B$3006,$G879))</f>
      </c>
      <c r="C879" s="141">
        <f>IF($G879="","",INDEX(资金台帐!$J$7:$J$3006,$G879))</f>
      </c>
      <c r="D879" s="172">
        <f>IF($G879="","",INDEX(资金台帐!$S$7:$S$3006,$G879))</f>
      </c>
      <c r="E879" s="141">
        <f>IF($G879="","",INDEX(资金台帐!$C$7:$C$3006,$G879))</f>
      </c>
      <c r="F879" s="142">
        <f>IF($G879="","",INDEX(资金台帐!$E$7:$E$3006,$G879)&amp;IF(INDEX(资金台帐!$M$7:$M$3006,$G879)="","","；"&amp;INDEX(资金台帐!$M$7:$M$3006,$G879)))</f>
      </c>
      <c r="G879" s="78">
        <f>IFERROR(MATCH(876,资金台帐!$Q$7:$Q$3006,0),"")</f>
      </c>
    </row>
    <row r="880">
      <c r="A880" s="141">
        <f>IF($G880="","",877)</f>
      </c>
      <c r="B880" s="140">
        <f>IF($G880="","",INDEX(资金台帐!$B$7:$B$3006,$G880))</f>
      </c>
      <c r="C880" s="141">
        <f>IF($G880="","",INDEX(资金台帐!$J$7:$J$3006,$G880))</f>
      </c>
      <c r="D880" s="172">
        <f>IF($G880="","",INDEX(资金台帐!$S$7:$S$3006,$G880))</f>
      </c>
      <c r="E880" s="141">
        <f>IF($G880="","",INDEX(资金台帐!$C$7:$C$3006,$G880))</f>
      </c>
      <c r="F880" s="142">
        <f>IF($G880="","",INDEX(资金台帐!$E$7:$E$3006,$G880)&amp;IF(INDEX(资金台帐!$M$7:$M$3006,$G880)="","","；"&amp;INDEX(资金台帐!$M$7:$M$3006,$G880)))</f>
      </c>
      <c r="G880" s="78">
        <f>IFERROR(MATCH(877,资金台帐!$Q$7:$Q$3006,0),"")</f>
      </c>
    </row>
    <row r="881">
      <c r="A881" s="141">
        <f>IF($G881="","",878)</f>
      </c>
      <c r="B881" s="140">
        <f>IF($G881="","",INDEX(资金台帐!$B$7:$B$3006,$G881))</f>
      </c>
      <c r="C881" s="141">
        <f>IF($G881="","",INDEX(资金台帐!$J$7:$J$3006,$G881))</f>
      </c>
      <c r="D881" s="172">
        <f>IF($G881="","",INDEX(资金台帐!$S$7:$S$3006,$G881))</f>
      </c>
      <c r="E881" s="141">
        <f>IF($G881="","",INDEX(资金台帐!$C$7:$C$3006,$G881))</f>
      </c>
      <c r="F881" s="142">
        <f>IF($G881="","",INDEX(资金台帐!$E$7:$E$3006,$G881)&amp;IF(INDEX(资金台帐!$M$7:$M$3006,$G881)="","","；"&amp;INDEX(资金台帐!$M$7:$M$3006,$G881)))</f>
      </c>
      <c r="G881" s="78">
        <f>IFERROR(MATCH(878,资金台帐!$Q$7:$Q$3006,0),"")</f>
      </c>
    </row>
    <row r="882">
      <c r="A882" s="141">
        <f>IF($G882="","",879)</f>
      </c>
      <c r="B882" s="140">
        <f>IF($G882="","",INDEX(资金台帐!$B$7:$B$3006,$G882))</f>
      </c>
      <c r="C882" s="141">
        <f>IF($G882="","",INDEX(资金台帐!$J$7:$J$3006,$G882))</f>
      </c>
      <c r="D882" s="172">
        <f>IF($G882="","",INDEX(资金台帐!$S$7:$S$3006,$G882))</f>
      </c>
      <c r="E882" s="141">
        <f>IF($G882="","",INDEX(资金台帐!$C$7:$C$3006,$G882))</f>
      </c>
      <c r="F882" s="142">
        <f>IF($G882="","",INDEX(资金台帐!$E$7:$E$3006,$G882)&amp;IF(INDEX(资金台帐!$M$7:$M$3006,$G882)="","","；"&amp;INDEX(资金台帐!$M$7:$M$3006,$G882)))</f>
      </c>
      <c r="G882" s="78">
        <f>IFERROR(MATCH(879,资金台帐!$Q$7:$Q$3006,0),"")</f>
      </c>
    </row>
    <row r="883">
      <c r="A883" s="141">
        <f>IF($G883="","",880)</f>
      </c>
      <c r="B883" s="140">
        <f>IF($G883="","",INDEX(资金台帐!$B$7:$B$3006,$G883))</f>
      </c>
      <c r="C883" s="141">
        <f>IF($G883="","",INDEX(资金台帐!$J$7:$J$3006,$G883))</f>
      </c>
      <c r="D883" s="172">
        <f>IF($G883="","",INDEX(资金台帐!$S$7:$S$3006,$G883))</f>
      </c>
      <c r="E883" s="141">
        <f>IF($G883="","",INDEX(资金台帐!$C$7:$C$3006,$G883))</f>
      </c>
      <c r="F883" s="142">
        <f>IF($G883="","",INDEX(资金台帐!$E$7:$E$3006,$G883)&amp;IF(INDEX(资金台帐!$M$7:$M$3006,$G883)="","","；"&amp;INDEX(资金台帐!$M$7:$M$3006,$G883)))</f>
      </c>
      <c r="G883" s="78">
        <f>IFERROR(MATCH(880,资金台帐!$Q$7:$Q$3006,0),"")</f>
      </c>
    </row>
    <row r="884">
      <c r="A884" s="141">
        <f>IF($G884="","",881)</f>
      </c>
      <c r="B884" s="140">
        <f>IF($G884="","",INDEX(资金台帐!$B$7:$B$3006,$G884))</f>
      </c>
      <c r="C884" s="141">
        <f>IF($G884="","",INDEX(资金台帐!$J$7:$J$3006,$G884))</f>
      </c>
      <c r="D884" s="172">
        <f>IF($G884="","",INDEX(资金台帐!$S$7:$S$3006,$G884))</f>
      </c>
      <c r="E884" s="141">
        <f>IF($G884="","",INDEX(资金台帐!$C$7:$C$3006,$G884))</f>
      </c>
      <c r="F884" s="142">
        <f>IF($G884="","",INDEX(资金台帐!$E$7:$E$3006,$G884)&amp;IF(INDEX(资金台帐!$M$7:$M$3006,$G884)="","","；"&amp;INDEX(资金台帐!$M$7:$M$3006,$G884)))</f>
      </c>
      <c r="G884" s="78">
        <f>IFERROR(MATCH(881,资金台帐!$Q$7:$Q$3006,0),"")</f>
      </c>
    </row>
    <row r="885">
      <c r="A885" s="141">
        <f>IF($G885="","",882)</f>
      </c>
      <c r="B885" s="140">
        <f>IF($G885="","",INDEX(资金台帐!$B$7:$B$3006,$G885))</f>
      </c>
      <c r="C885" s="141">
        <f>IF($G885="","",INDEX(资金台帐!$J$7:$J$3006,$G885))</f>
      </c>
      <c r="D885" s="172">
        <f>IF($G885="","",INDEX(资金台帐!$S$7:$S$3006,$G885))</f>
      </c>
      <c r="E885" s="141">
        <f>IF($G885="","",INDEX(资金台帐!$C$7:$C$3006,$G885))</f>
      </c>
      <c r="F885" s="142">
        <f>IF($G885="","",INDEX(资金台帐!$E$7:$E$3006,$G885)&amp;IF(INDEX(资金台帐!$M$7:$M$3006,$G885)="","","；"&amp;INDEX(资金台帐!$M$7:$M$3006,$G885)))</f>
      </c>
      <c r="G885" s="78">
        <f>IFERROR(MATCH(882,资金台帐!$Q$7:$Q$3006,0),"")</f>
      </c>
    </row>
    <row r="886">
      <c r="A886" s="141">
        <f>IF($G886="","",883)</f>
      </c>
      <c r="B886" s="140">
        <f>IF($G886="","",INDEX(资金台帐!$B$7:$B$3006,$G886))</f>
      </c>
      <c r="C886" s="141">
        <f>IF($G886="","",INDEX(资金台帐!$J$7:$J$3006,$G886))</f>
      </c>
      <c r="D886" s="172">
        <f>IF($G886="","",INDEX(资金台帐!$S$7:$S$3006,$G886))</f>
      </c>
      <c r="E886" s="141">
        <f>IF($G886="","",INDEX(资金台帐!$C$7:$C$3006,$G886))</f>
      </c>
      <c r="F886" s="142">
        <f>IF($G886="","",INDEX(资金台帐!$E$7:$E$3006,$G886)&amp;IF(INDEX(资金台帐!$M$7:$M$3006,$G886)="","","；"&amp;INDEX(资金台帐!$M$7:$M$3006,$G886)))</f>
      </c>
      <c r="G886" s="78">
        <f>IFERROR(MATCH(883,资金台帐!$Q$7:$Q$3006,0),"")</f>
      </c>
    </row>
    <row r="887">
      <c r="A887" s="141">
        <f>IF($G887="","",884)</f>
      </c>
      <c r="B887" s="140">
        <f>IF($G887="","",INDEX(资金台帐!$B$7:$B$3006,$G887))</f>
      </c>
      <c r="C887" s="141">
        <f>IF($G887="","",INDEX(资金台帐!$J$7:$J$3006,$G887))</f>
      </c>
      <c r="D887" s="172">
        <f>IF($G887="","",INDEX(资金台帐!$S$7:$S$3006,$G887))</f>
      </c>
      <c r="E887" s="141">
        <f>IF($G887="","",INDEX(资金台帐!$C$7:$C$3006,$G887))</f>
      </c>
      <c r="F887" s="142">
        <f>IF($G887="","",INDEX(资金台帐!$E$7:$E$3006,$G887)&amp;IF(INDEX(资金台帐!$M$7:$M$3006,$G887)="","","；"&amp;INDEX(资金台帐!$M$7:$M$3006,$G887)))</f>
      </c>
      <c r="G887" s="78">
        <f>IFERROR(MATCH(884,资金台帐!$Q$7:$Q$3006,0),"")</f>
      </c>
    </row>
    <row r="888">
      <c r="A888" s="141">
        <f>IF($G888="","",885)</f>
      </c>
      <c r="B888" s="140">
        <f>IF($G888="","",INDEX(资金台帐!$B$7:$B$3006,$G888))</f>
      </c>
      <c r="C888" s="141">
        <f>IF($G888="","",INDEX(资金台帐!$J$7:$J$3006,$G888))</f>
      </c>
      <c r="D888" s="172">
        <f>IF($G888="","",INDEX(资金台帐!$S$7:$S$3006,$G888))</f>
      </c>
      <c r="E888" s="141">
        <f>IF($G888="","",INDEX(资金台帐!$C$7:$C$3006,$G888))</f>
      </c>
      <c r="F888" s="142">
        <f>IF($G888="","",INDEX(资金台帐!$E$7:$E$3006,$G888)&amp;IF(INDEX(资金台帐!$M$7:$M$3006,$G888)="","","；"&amp;INDEX(资金台帐!$M$7:$M$3006,$G888)))</f>
      </c>
      <c r="G888" s="78">
        <f>IFERROR(MATCH(885,资金台帐!$Q$7:$Q$3006,0),"")</f>
      </c>
    </row>
    <row r="889">
      <c r="A889" s="141">
        <f>IF($G889="","",886)</f>
      </c>
      <c r="B889" s="140">
        <f>IF($G889="","",INDEX(资金台帐!$B$7:$B$3006,$G889))</f>
      </c>
      <c r="C889" s="141">
        <f>IF($G889="","",INDEX(资金台帐!$J$7:$J$3006,$G889))</f>
      </c>
      <c r="D889" s="172">
        <f>IF($G889="","",INDEX(资金台帐!$S$7:$S$3006,$G889))</f>
      </c>
      <c r="E889" s="141">
        <f>IF($G889="","",INDEX(资金台帐!$C$7:$C$3006,$G889))</f>
      </c>
      <c r="F889" s="142">
        <f>IF($G889="","",INDEX(资金台帐!$E$7:$E$3006,$G889)&amp;IF(INDEX(资金台帐!$M$7:$M$3006,$G889)="","","；"&amp;INDEX(资金台帐!$M$7:$M$3006,$G889)))</f>
      </c>
      <c r="G889" s="78">
        <f>IFERROR(MATCH(886,资金台帐!$Q$7:$Q$3006,0),"")</f>
      </c>
    </row>
    <row r="890">
      <c r="A890" s="141">
        <f>IF($G890="","",887)</f>
      </c>
      <c r="B890" s="140">
        <f>IF($G890="","",INDEX(资金台帐!$B$7:$B$3006,$G890))</f>
      </c>
      <c r="C890" s="141">
        <f>IF($G890="","",INDEX(资金台帐!$J$7:$J$3006,$G890))</f>
      </c>
      <c r="D890" s="172">
        <f>IF($G890="","",INDEX(资金台帐!$S$7:$S$3006,$G890))</f>
      </c>
      <c r="E890" s="141">
        <f>IF($G890="","",INDEX(资金台帐!$C$7:$C$3006,$G890))</f>
      </c>
      <c r="F890" s="142">
        <f>IF($G890="","",INDEX(资金台帐!$E$7:$E$3006,$G890)&amp;IF(INDEX(资金台帐!$M$7:$M$3006,$G890)="","","；"&amp;INDEX(资金台帐!$M$7:$M$3006,$G890)))</f>
      </c>
      <c r="G890" s="78">
        <f>IFERROR(MATCH(887,资金台帐!$Q$7:$Q$3006,0),"")</f>
      </c>
    </row>
    <row r="891">
      <c r="A891" s="141">
        <f>IF($G891="","",888)</f>
      </c>
      <c r="B891" s="140">
        <f>IF($G891="","",INDEX(资金台帐!$B$7:$B$3006,$G891))</f>
      </c>
      <c r="C891" s="141">
        <f>IF($G891="","",INDEX(资金台帐!$J$7:$J$3006,$G891))</f>
      </c>
      <c r="D891" s="172">
        <f>IF($G891="","",INDEX(资金台帐!$S$7:$S$3006,$G891))</f>
      </c>
      <c r="E891" s="141">
        <f>IF($G891="","",INDEX(资金台帐!$C$7:$C$3006,$G891))</f>
      </c>
      <c r="F891" s="142">
        <f>IF($G891="","",INDEX(资金台帐!$E$7:$E$3006,$G891)&amp;IF(INDEX(资金台帐!$M$7:$M$3006,$G891)="","","；"&amp;INDEX(资金台帐!$M$7:$M$3006,$G891)))</f>
      </c>
      <c r="G891" s="78">
        <f>IFERROR(MATCH(888,资金台帐!$Q$7:$Q$3006,0),"")</f>
      </c>
    </row>
    <row r="892">
      <c r="A892" s="141">
        <f>IF($G892="","",889)</f>
      </c>
      <c r="B892" s="140">
        <f>IF($G892="","",INDEX(资金台帐!$B$7:$B$3006,$G892))</f>
      </c>
      <c r="C892" s="141">
        <f>IF($G892="","",INDEX(资金台帐!$J$7:$J$3006,$G892))</f>
      </c>
      <c r="D892" s="172">
        <f>IF($G892="","",INDEX(资金台帐!$S$7:$S$3006,$G892))</f>
      </c>
      <c r="E892" s="141">
        <f>IF($G892="","",INDEX(资金台帐!$C$7:$C$3006,$G892))</f>
      </c>
      <c r="F892" s="142">
        <f>IF($G892="","",INDEX(资金台帐!$E$7:$E$3006,$G892)&amp;IF(INDEX(资金台帐!$M$7:$M$3006,$G892)="","","；"&amp;INDEX(资金台帐!$M$7:$M$3006,$G892)))</f>
      </c>
      <c r="G892" s="78">
        <f>IFERROR(MATCH(889,资金台帐!$Q$7:$Q$3006,0),"")</f>
      </c>
    </row>
    <row r="893">
      <c r="A893" s="141">
        <f>IF($G893="","",890)</f>
      </c>
      <c r="B893" s="140">
        <f>IF($G893="","",INDEX(资金台帐!$B$7:$B$3006,$G893))</f>
      </c>
      <c r="C893" s="141">
        <f>IF($G893="","",INDEX(资金台帐!$J$7:$J$3006,$G893))</f>
      </c>
      <c r="D893" s="172">
        <f>IF($G893="","",INDEX(资金台帐!$S$7:$S$3006,$G893))</f>
      </c>
      <c r="E893" s="141">
        <f>IF($G893="","",INDEX(资金台帐!$C$7:$C$3006,$G893))</f>
      </c>
      <c r="F893" s="142">
        <f>IF($G893="","",INDEX(资金台帐!$E$7:$E$3006,$G893)&amp;IF(INDEX(资金台帐!$M$7:$M$3006,$G893)="","","；"&amp;INDEX(资金台帐!$M$7:$M$3006,$G893)))</f>
      </c>
      <c r="G893" s="78">
        <f>IFERROR(MATCH(890,资金台帐!$Q$7:$Q$3006,0),"")</f>
      </c>
    </row>
    <row r="894">
      <c r="A894" s="141">
        <f>IF($G894="","",891)</f>
      </c>
      <c r="B894" s="140">
        <f>IF($G894="","",INDEX(资金台帐!$B$7:$B$3006,$G894))</f>
      </c>
      <c r="C894" s="141">
        <f>IF($G894="","",INDEX(资金台帐!$J$7:$J$3006,$G894))</f>
      </c>
      <c r="D894" s="172">
        <f>IF($G894="","",INDEX(资金台帐!$S$7:$S$3006,$G894))</f>
      </c>
      <c r="E894" s="141">
        <f>IF($G894="","",INDEX(资金台帐!$C$7:$C$3006,$G894))</f>
      </c>
      <c r="F894" s="142">
        <f>IF($G894="","",INDEX(资金台帐!$E$7:$E$3006,$G894)&amp;IF(INDEX(资金台帐!$M$7:$M$3006,$G894)="","","；"&amp;INDEX(资金台帐!$M$7:$M$3006,$G894)))</f>
      </c>
      <c r="G894" s="78">
        <f>IFERROR(MATCH(891,资金台帐!$Q$7:$Q$3006,0),"")</f>
      </c>
    </row>
    <row r="895">
      <c r="A895" s="141">
        <f>IF($G895="","",892)</f>
      </c>
      <c r="B895" s="140">
        <f>IF($G895="","",INDEX(资金台帐!$B$7:$B$3006,$G895))</f>
      </c>
      <c r="C895" s="141">
        <f>IF($G895="","",INDEX(资金台帐!$J$7:$J$3006,$G895))</f>
      </c>
      <c r="D895" s="172">
        <f>IF($G895="","",INDEX(资金台帐!$S$7:$S$3006,$G895))</f>
      </c>
      <c r="E895" s="141">
        <f>IF($G895="","",INDEX(资金台帐!$C$7:$C$3006,$G895))</f>
      </c>
      <c r="F895" s="142">
        <f>IF($G895="","",INDEX(资金台帐!$E$7:$E$3006,$G895)&amp;IF(INDEX(资金台帐!$M$7:$M$3006,$G895)="","","；"&amp;INDEX(资金台帐!$M$7:$M$3006,$G895)))</f>
      </c>
      <c r="G895" s="78">
        <f>IFERROR(MATCH(892,资金台帐!$Q$7:$Q$3006,0),"")</f>
      </c>
    </row>
    <row r="896">
      <c r="A896" s="141">
        <f>IF($G896="","",893)</f>
      </c>
      <c r="B896" s="140">
        <f>IF($G896="","",INDEX(资金台帐!$B$7:$B$3006,$G896))</f>
      </c>
      <c r="C896" s="141">
        <f>IF($G896="","",INDEX(资金台帐!$J$7:$J$3006,$G896))</f>
      </c>
      <c r="D896" s="172">
        <f>IF($G896="","",INDEX(资金台帐!$S$7:$S$3006,$G896))</f>
      </c>
      <c r="E896" s="141">
        <f>IF($G896="","",INDEX(资金台帐!$C$7:$C$3006,$G896))</f>
      </c>
      <c r="F896" s="142">
        <f>IF($G896="","",INDEX(资金台帐!$E$7:$E$3006,$G896)&amp;IF(INDEX(资金台帐!$M$7:$M$3006,$G896)="","","；"&amp;INDEX(资金台帐!$M$7:$M$3006,$G896)))</f>
      </c>
      <c r="G896" s="78">
        <f>IFERROR(MATCH(893,资金台帐!$Q$7:$Q$3006,0),"")</f>
      </c>
    </row>
    <row r="897">
      <c r="A897" s="141">
        <f>IF($G897="","",894)</f>
      </c>
      <c r="B897" s="140">
        <f>IF($G897="","",INDEX(资金台帐!$B$7:$B$3006,$G897))</f>
      </c>
      <c r="C897" s="141">
        <f>IF($G897="","",INDEX(资金台帐!$J$7:$J$3006,$G897))</f>
      </c>
      <c r="D897" s="172">
        <f>IF($G897="","",INDEX(资金台帐!$S$7:$S$3006,$G897))</f>
      </c>
      <c r="E897" s="141">
        <f>IF($G897="","",INDEX(资金台帐!$C$7:$C$3006,$G897))</f>
      </c>
      <c r="F897" s="142">
        <f>IF($G897="","",INDEX(资金台帐!$E$7:$E$3006,$G897)&amp;IF(INDEX(资金台帐!$M$7:$M$3006,$G897)="","","；"&amp;INDEX(资金台帐!$M$7:$M$3006,$G897)))</f>
      </c>
      <c r="G897" s="78">
        <f>IFERROR(MATCH(894,资金台帐!$Q$7:$Q$3006,0),"")</f>
      </c>
    </row>
    <row r="898">
      <c r="A898" s="141">
        <f>IF($G898="","",895)</f>
      </c>
      <c r="B898" s="140">
        <f>IF($G898="","",INDEX(资金台帐!$B$7:$B$3006,$G898))</f>
      </c>
      <c r="C898" s="141">
        <f>IF($G898="","",INDEX(资金台帐!$J$7:$J$3006,$G898))</f>
      </c>
      <c r="D898" s="172">
        <f>IF($G898="","",INDEX(资金台帐!$S$7:$S$3006,$G898))</f>
      </c>
      <c r="E898" s="141">
        <f>IF($G898="","",INDEX(资金台帐!$C$7:$C$3006,$G898))</f>
      </c>
      <c r="F898" s="142">
        <f>IF($G898="","",INDEX(资金台帐!$E$7:$E$3006,$G898)&amp;IF(INDEX(资金台帐!$M$7:$M$3006,$G898)="","","；"&amp;INDEX(资金台帐!$M$7:$M$3006,$G898)))</f>
      </c>
      <c r="G898" s="78">
        <f>IFERROR(MATCH(895,资金台帐!$Q$7:$Q$3006,0),"")</f>
      </c>
    </row>
    <row r="899">
      <c r="A899" s="141">
        <f>IF($G899="","",896)</f>
      </c>
      <c r="B899" s="140">
        <f>IF($G899="","",INDEX(资金台帐!$B$7:$B$3006,$G899))</f>
      </c>
      <c r="C899" s="141">
        <f>IF($G899="","",INDEX(资金台帐!$J$7:$J$3006,$G899))</f>
      </c>
      <c r="D899" s="172">
        <f>IF($G899="","",INDEX(资金台帐!$S$7:$S$3006,$G899))</f>
      </c>
      <c r="E899" s="141">
        <f>IF($G899="","",INDEX(资金台帐!$C$7:$C$3006,$G899))</f>
      </c>
      <c r="F899" s="142">
        <f>IF($G899="","",INDEX(资金台帐!$E$7:$E$3006,$G899)&amp;IF(INDEX(资金台帐!$M$7:$M$3006,$G899)="","","；"&amp;INDEX(资金台帐!$M$7:$M$3006,$G899)))</f>
      </c>
      <c r="G899" s="78">
        <f>IFERROR(MATCH(896,资金台帐!$Q$7:$Q$3006,0),"")</f>
      </c>
    </row>
    <row r="900">
      <c r="A900" s="141">
        <f>IF($G900="","",897)</f>
      </c>
      <c r="B900" s="140">
        <f>IF($G900="","",INDEX(资金台帐!$B$7:$B$3006,$G900))</f>
      </c>
      <c r="C900" s="141">
        <f>IF($G900="","",INDEX(资金台帐!$J$7:$J$3006,$G900))</f>
      </c>
      <c r="D900" s="172">
        <f>IF($G900="","",INDEX(资金台帐!$S$7:$S$3006,$G900))</f>
      </c>
      <c r="E900" s="141">
        <f>IF($G900="","",INDEX(资金台帐!$C$7:$C$3006,$G900))</f>
      </c>
      <c r="F900" s="142">
        <f>IF($G900="","",INDEX(资金台帐!$E$7:$E$3006,$G900)&amp;IF(INDEX(资金台帐!$M$7:$M$3006,$G900)="","","；"&amp;INDEX(资金台帐!$M$7:$M$3006,$G900)))</f>
      </c>
      <c r="G900" s="78">
        <f>IFERROR(MATCH(897,资金台帐!$Q$7:$Q$3006,0),"")</f>
      </c>
    </row>
    <row r="901">
      <c r="A901" s="141">
        <f>IF($G901="","",898)</f>
      </c>
      <c r="B901" s="140">
        <f>IF($G901="","",INDEX(资金台帐!$B$7:$B$3006,$G901))</f>
      </c>
      <c r="C901" s="141">
        <f>IF($G901="","",INDEX(资金台帐!$J$7:$J$3006,$G901))</f>
      </c>
      <c r="D901" s="172">
        <f>IF($G901="","",INDEX(资金台帐!$S$7:$S$3006,$G901))</f>
      </c>
      <c r="E901" s="141">
        <f>IF($G901="","",INDEX(资金台帐!$C$7:$C$3006,$G901))</f>
      </c>
      <c r="F901" s="142">
        <f>IF($G901="","",INDEX(资金台帐!$E$7:$E$3006,$G901)&amp;IF(INDEX(资金台帐!$M$7:$M$3006,$G901)="","","；"&amp;INDEX(资金台帐!$M$7:$M$3006,$G901)))</f>
      </c>
      <c r="G901" s="78">
        <f>IFERROR(MATCH(898,资金台帐!$Q$7:$Q$3006,0),"")</f>
      </c>
    </row>
    <row r="902">
      <c r="A902" s="141">
        <f>IF($G902="","",899)</f>
      </c>
      <c r="B902" s="140">
        <f>IF($G902="","",INDEX(资金台帐!$B$7:$B$3006,$G902))</f>
      </c>
      <c r="C902" s="141">
        <f>IF($G902="","",INDEX(资金台帐!$J$7:$J$3006,$G902))</f>
      </c>
      <c r="D902" s="172">
        <f>IF($G902="","",INDEX(资金台帐!$S$7:$S$3006,$G902))</f>
      </c>
      <c r="E902" s="141">
        <f>IF($G902="","",INDEX(资金台帐!$C$7:$C$3006,$G902))</f>
      </c>
      <c r="F902" s="142">
        <f>IF($G902="","",INDEX(资金台帐!$E$7:$E$3006,$G902)&amp;IF(INDEX(资金台帐!$M$7:$M$3006,$G902)="","","；"&amp;INDEX(资金台帐!$M$7:$M$3006,$G902)))</f>
      </c>
      <c r="G902" s="78">
        <f>IFERROR(MATCH(899,资金台帐!$Q$7:$Q$3006,0),"")</f>
      </c>
    </row>
    <row r="903">
      <c r="A903" s="141">
        <f>IF($G903="","",900)</f>
      </c>
      <c r="B903" s="140">
        <f>IF($G903="","",INDEX(资金台帐!$B$7:$B$3006,$G903))</f>
      </c>
      <c r="C903" s="141">
        <f>IF($G903="","",INDEX(资金台帐!$J$7:$J$3006,$G903))</f>
      </c>
      <c r="D903" s="172">
        <f>IF($G903="","",INDEX(资金台帐!$S$7:$S$3006,$G903))</f>
      </c>
      <c r="E903" s="141">
        <f>IF($G903="","",INDEX(资金台帐!$C$7:$C$3006,$G903))</f>
      </c>
      <c r="F903" s="142">
        <f>IF($G903="","",INDEX(资金台帐!$E$7:$E$3006,$G903)&amp;IF(INDEX(资金台帐!$M$7:$M$3006,$G903)="","","；"&amp;INDEX(资金台帐!$M$7:$M$3006,$G903)))</f>
      </c>
      <c r="G903" s="78">
        <f>IFERROR(MATCH(900,资金台帐!$Q$7:$Q$3006,0),"")</f>
      </c>
    </row>
    <row r="904">
      <c r="A904" s="141">
        <f>IF($G904="","",901)</f>
      </c>
      <c r="B904" s="140">
        <f>IF($G904="","",INDEX(资金台帐!$B$7:$B$3006,$G904))</f>
      </c>
      <c r="C904" s="141">
        <f>IF($G904="","",INDEX(资金台帐!$J$7:$J$3006,$G904))</f>
      </c>
      <c r="D904" s="172">
        <f>IF($G904="","",INDEX(资金台帐!$S$7:$S$3006,$G904))</f>
      </c>
      <c r="E904" s="141">
        <f>IF($G904="","",INDEX(资金台帐!$C$7:$C$3006,$G904))</f>
      </c>
      <c r="F904" s="142">
        <f>IF($G904="","",INDEX(资金台帐!$E$7:$E$3006,$G904)&amp;IF(INDEX(资金台帐!$M$7:$M$3006,$G904)="","","；"&amp;INDEX(资金台帐!$M$7:$M$3006,$G904)))</f>
      </c>
      <c r="G904" s="78">
        <f>IFERROR(MATCH(901,资金台帐!$Q$7:$Q$3006,0),"")</f>
      </c>
    </row>
    <row r="905">
      <c r="A905" s="141">
        <f>IF($G905="","",902)</f>
      </c>
      <c r="B905" s="140">
        <f>IF($G905="","",INDEX(资金台帐!$B$7:$B$3006,$G905))</f>
      </c>
      <c r="C905" s="141">
        <f>IF($G905="","",INDEX(资金台帐!$J$7:$J$3006,$G905))</f>
      </c>
      <c r="D905" s="172">
        <f>IF($G905="","",INDEX(资金台帐!$S$7:$S$3006,$G905))</f>
      </c>
      <c r="E905" s="141">
        <f>IF($G905="","",INDEX(资金台帐!$C$7:$C$3006,$G905))</f>
      </c>
      <c r="F905" s="142">
        <f>IF($G905="","",INDEX(资金台帐!$E$7:$E$3006,$G905)&amp;IF(INDEX(资金台帐!$M$7:$M$3006,$G905)="","","；"&amp;INDEX(资金台帐!$M$7:$M$3006,$G905)))</f>
      </c>
      <c r="G905" s="78">
        <f>IFERROR(MATCH(902,资金台帐!$Q$7:$Q$3006,0),"")</f>
      </c>
    </row>
    <row r="906">
      <c r="A906" s="141">
        <f>IF($G906="","",903)</f>
      </c>
      <c r="B906" s="140">
        <f>IF($G906="","",INDEX(资金台帐!$B$7:$B$3006,$G906))</f>
      </c>
      <c r="C906" s="141">
        <f>IF($G906="","",INDEX(资金台帐!$J$7:$J$3006,$G906))</f>
      </c>
      <c r="D906" s="172">
        <f>IF($G906="","",INDEX(资金台帐!$S$7:$S$3006,$G906))</f>
      </c>
      <c r="E906" s="141">
        <f>IF($G906="","",INDEX(资金台帐!$C$7:$C$3006,$G906))</f>
      </c>
      <c r="F906" s="142">
        <f>IF($G906="","",INDEX(资金台帐!$E$7:$E$3006,$G906)&amp;IF(INDEX(资金台帐!$M$7:$M$3006,$G906)="","","；"&amp;INDEX(资金台帐!$M$7:$M$3006,$G906)))</f>
      </c>
      <c r="G906" s="78">
        <f>IFERROR(MATCH(903,资金台帐!$Q$7:$Q$3006,0),"")</f>
      </c>
    </row>
    <row r="907">
      <c r="A907" s="141">
        <f>IF($G907="","",904)</f>
      </c>
      <c r="B907" s="140">
        <f>IF($G907="","",INDEX(资金台帐!$B$7:$B$3006,$G907))</f>
      </c>
      <c r="C907" s="141">
        <f>IF($G907="","",INDEX(资金台帐!$J$7:$J$3006,$G907))</f>
      </c>
      <c r="D907" s="172">
        <f>IF($G907="","",INDEX(资金台帐!$S$7:$S$3006,$G907))</f>
      </c>
      <c r="E907" s="141">
        <f>IF($G907="","",INDEX(资金台帐!$C$7:$C$3006,$G907))</f>
      </c>
      <c r="F907" s="142">
        <f>IF($G907="","",INDEX(资金台帐!$E$7:$E$3006,$G907)&amp;IF(INDEX(资金台帐!$M$7:$M$3006,$G907)="","","；"&amp;INDEX(资金台帐!$M$7:$M$3006,$G907)))</f>
      </c>
      <c r="G907" s="78">
        <f>IFERROR(MATCH(904,资金台帐!$Q$7:$Q$3006,0),"")</f>
      </c>
    </row>
    <row r="908">
      <c r="A908" s="141">
        <f>IF($G908="","",905)</f>
      </c>
      <c r="B908" s="140">
        <f>IF($G908="","",INDEX(资金台帐!$B$7:$B$3006,$G908))</f>
      </c>
      <c r="C908" s="141">
        <f>IF($G908="","",INDEX(资金台帐!$J$7:$J$3006,$G908))</f>
      </c>
      <c r="D908" s="172">
        <f>IF($G908="","",INDEX(资金台帐!$S$7:$S$3006,$G908))</f>
      </c>
      <c r="E908" s="141">
        <f>IF($G908="","",INDEX(资金台帐!$C$7:$C$3006,$G908))</f>
      </c>
      <c r="F908" s="142">
        <f>IF($G908="","",INDEX(资金台帐!$E$7:$E$3006,$G908)&amp;IF(INDEX(资金台帐!$M$7:$M$3006,$G908)="","","；"&amp;INDEX(资金台帐!$M$7:$M$3006,$G908)))</f>
      </c>
      <c r="G908" s="78">
        <f>IFERROR(MATCH(905,资金台帐!$Q$7:$Q$3006,0),"")</f>
      </c>
    </row>
    <row r="909">
      <c r="A909" s="141">
        <f>IF($G909="","",906)</f>
      </c>
      <c r="B909" s="140">
        <f>IF($G909="","",INDEX(资金台帐!$B$7:$B$3006,$G909))</f>
      </c>
      <c r="C909" s="141">
        <f>IF($G909="","",INDEX(资金台帐!$J$7:$J$3006,$G909))</f>
      </c>
      <c r="D909" s="172">
        <f>IF($G909="","",INDEX(资金台帐!$S$7:$S$3006,$G909))</f>
      </c>
      <c r="E909" s="141">
        <f>IF($G909="","",INDEX(资金台帐!$C$7:$C$3006,$G909))</f>
      </c>
      <c r="F909" s="142">
        <f>IF($G909="","",INDEX(资金台帐!$E$7:$E$3006,$G909)&amp;IF(INDEX(资金台帐!$M$7:$M$3006,$G909)="","","；"&amp;INDEX(资金台帐!$M$7:$M$3006,$G909)))</f>
      </c>
      <c r="G909" s="78">
        <f>IFERROR(MATCH(906,资金台帐!$Q$7:$Q$3006,0),"")</f>
      </c>
    </row>
    <row r="910">
      <c r="A910" s="141">
        <f>IF($G910="","",907)</f>
      </c>
      <c r="B910" s="140">
        <f>IF($G910="","",INDEX(资金台帐!$B$7:$B$3006,$G910))</f>
      </c>
      <c r="C910" s="141">
        <f>IF($G910="","",INDEX(资金台帐!$J$7:$J$3006,$G910))</f>
      </c>
      <c r="D910" s="172">
        <f>IF($G910="","",INDEX(资金台帐!$S$7:$S$3006,$G910))</f>
      </c>
      <c r="E910" s="141">
        <f>IF($G910="","",INDEX(资金台帐!$C$7:$C$3006,$G910))</f>
      </c>
      <c r="F910" s="142">
        <f>IF($G910="","",INDEX(资金台帐!$E$7:$E$3006,$G910)&amp;IF(INDEX(资金台帐!$M$7:$M$3006,$G910)="","","；"&amp;INDEX(资金台帐!$M$7:$M$3006,$G910)))</f>
      </c>
      <c r="G910" s="78">
        <f>IFERROR(MATCH(907,资金台帐!$Q$7:$Q$3006,0),"")</f>
      </c>
    </row>
    <row r="911">
      <c r="A911" s="141">
        <f>IF($G911="","",908)</f>
      </c>
      <c r="B911" s="140">
        <f>IF($G911="","",INDEX(资金台帐!$B$7:$B$3006,$G911))</f>
      </c>
      <c r="C911" s="141">
        <f>IF($G911="","",INDEX(资金台帐!$J$7:$J$3006,$G911))</f>
      </c>
      <c r="D911" s="172">
        <f>IF($G911="","",INDEX(资金台帐!$S$7:$S$3006,$G911))</f>
      </c>
      <c r="E911" s="141">
        <f>IF($G911="","",INDEX(资金台帐!$C$7:$C$3006,$G911))</f>
      </c>
      <c r="F911" s="142">
        <f>IF($G911="","",INDEX(资金台帐!$E$7:$E$3006,$G911)&amp;IF(INDEX(资金台帐!$M$7:$M$3006,$G911)="","","；"&amp;INDEX(资金台帐!$M$7:$M$3006,$G911)))</f>
      </c>
      <c r="G911" s="78">
        <f>IFERROR(MATCH(908,资金台帐!$Q$7:$Q$3006,0),"")</f>
      </c>
    </row>
    <row r="912">
      <c r="A912" s="141">
        <f>IF($G912="","",909)</f>
      </c>
      <c r="B912" s="140">
        <f>IF($G912="","",INDEX(资金台帐!$B$7:$B$3006,$G912))</f>
      </c>
      <c r="C912" s="141">
        <f>IF($G912="","",INDEX(资金台帐!$J$7:$J$3006,$G912))</f>
      </c>
      <c r="D912" s="172">
        <f>IF($G912="","",INDEX(资金台帐!$S$7:$S$3006,$G912))</f>
      </c>
      <c r="E912" s="141">
        <f>IF($G912="","",INDEX(资金台帐!$C$7:$C$3006,$G912))</f>
      </c>
      <c r="F912" s="142">
        <f>IF($G912="","",INDEX(资金台帐!$E$7:$E$3006,$G912)&amp;IF(INDEX(资金台帐!$M$7:$M$3006,$G912)="","","；"&amp;INDEX(资金台帐!$M$7:$M$3006,$G912)))</f>
      </c>
      <c r="G912" s="78">
        <f>IFERROR(MATCH(909,资金台帐!$Q$7:$Q$3006,0),"")</f>
      </c>
    </row>
    <row r="913">
      <c r="A913" s="141">
        <f>IF($G913="","",910)</f>
      </c>
      <c r="B913" s="140">
        <f>IF($G913="","",INDEX(资金台帐!$B$7:$B$3006,$G913))</f>
      </c>
      <c r="C913" s="141">
        <f>IF($G913="","",INDEX(资金台帐!$J$7:$J$3006,$G913))</f>
      </c>
      <c r="D913" s="172">
        <f>IF($G913="","",INDEX(资金台帐!$S$7:$S$3006,$G913))</f>
      </c>
      <c r="E913" s="141">
        <f>IF($G913="","",INDEX(资金台帐!$C$7:$C$3006,$G913))</f>
      </c>
      <c r="F913" s="142">
        <f>IF($G913="","",INDEX(资金台帐!$E$7:$E$3006,$G913)&amp;IF(INDEX(资金台帐!$M$7:$M$3006,$G913)="","","；"&amp;INDEX(资金台帐!$M$7:$M$3006,$G913)))</f>
      </c>
      <c r="G913" s="78">
        <f>IFERROR(MATCH(910,资金台帐!$Q$7:$Q$3006,0),"")</f>
      </c>
    </row>
    <row r="914">
      <c r="A914" s="141">
        <f>IF($G914="","",911)</f>
      </c>
      <c r="B914" s="140">
        <f>IF($G914="","",INDEX(资金台帐!$B$7:$B$3006,$G914))</f>
      </c>
      <c r="C914" s="141">
        <f>IF($G914="","",INDEX(资金台帐!$J$7:$J$3006,$G914))</f>
      </c>
      <c r="D914" s="172">
        <f>IF($G914="","",INDEX(资金台帐!$S$7:$S$3006,$G914))</f>
      </c>
      <c r="E914" s="141">
        <f>IF($G914="","",INDEX(资金台帐!$C$7:$C$3006,$G914))</f>
      </c>
      <c r="F914" s="142">
        <f>IF($G914="","",INDEX(资金台帐!$E$7:$E$3006,$G914)&amp;IF(INDEX(资金台帐!$M$7:$M$3006,$G914)="","","；"&amp;INDEX(资金台帐!$M$7:$M$3006,$G914)))</f>
      </c>
      <c r="G914" s="78">
        <f>IFERROR(MATCH(911,资金台帐!$Q$7:$Q$3006,0),"")</f>
      </c>
    </row>
    <row r="915">
      <c r="A915" s="141">
        <f>IF($G915="","",912)</f>
      </c>
      <c r="B915" s="140">
        <f>IF($G915="","",INDEX(资金台帐!$B$7:$B$3006,$G915))</f>
      </c>
      <c r="C915" s="141">
        <f>IF($G915="","",INDEX(资金台帐!$J$7:$J$3006,$G915))</f>
      </c>
      <c r="D915" s="172">
        <f>IF($G915="","",INDEX(资金台帐!$S$7:$S$3006,$G915))</f>
      </c>
      <c r="E915" s="141">
        <f>IF($G915="","",INDEX(资金台帐!$C$7:$C$3006,$G915))</f>
      </c>
      <c r="F915" s="142">
        <f>IF($G915="","",INDEX(资金台帐!$E$7:$E$3006,$G915)&amp;IF(INDEX(资金台帐!$M$7:$M$3006,$G915)="","","；"&amp;INDEX(资金台帐!$M$7:$M$3006,$G915)))</f>
      </c>
      <c r="G915" s="78">
        <f>IFERROR(MATCH(912,资金台帐!$Q$7:$Q$3006,0),"")</f>
      </c>
    </row>
    <row r="916">
      <c r="A916" s="141">
        <f>IF($G916="","",913)</f>
      </c>
      <c r="B916" s="140">
        <f>IF($G916="","",INDEX(资金台帐!$B$7:$B$3006,$G916))</f>
      </c>
      <c r="C916" s="141">
        <f>IF($G916="","",INDEX(资金台帐!$J$7:$J$3006,$G916))</f>
      </c>
      <c r="D916" s="172">
        <f>IF($G916="","",INDEX(资金台帐!$S$7:$S$3006,$G916))</f>
      </c>
      <c r="E916" s="141">
        <f>IF($G916="","",INDEX(资金台帐!$C$7:$C$3006,$G916))</f>
      </c>
      <c r="F916" s="142">
        <f>IF($G916="","",INDEX(资金台帐!$E$7:$E$3006,$G916)&amp;IF(INDEX(资金台帐!$M$7:$M$3006,$G916)="","","；"&amp;INDEX(资金台帐!$M$7:$M$3006,$G916)))</f>
      </c>
      <c r="G916" s="78">
        <f>IFERROR(MATCH(913,资金台帐!$Q$7:$Q$3006,0),"")</f>
      </c>
    </row>
    <row r="917">
      <c r="A917" s="141">
        <f>IF($G917="","",914)</f>
      </c>
      <c r="B917" s="140">
        <f>IF($G917="","",INDEX(资金台帐!$B$7:$B$3006,$G917))</f>
      </c>
      <c r="C917" s="141">
        <f>IF($G917="","",INDEX(资金台帐!$J$7:$J$3006,$G917))</f>
      </c>
      <c r="D917" s="172">
        <f>IF($G917="","",INDEX(资金台帐!$S$7:$S$3006,$G917))</f>
      </c>
      <c r="E917" s="141">
        <f>IF($G917="","",INDEX(资金台帐!$C$7:$C$3006,$G917))</f>
      </c>
      <c r="F917" s="142">
        <f>IF($G917="","",INDEX(资金台帐!$E$7:$E$3006,$G917)&amp;IF(INDEX(资金台帐!$M$7:$M$3006,$G917)="","","；"&amp;INDEX(资金台帐!$M$7:$M$3006,$G917)))</f>
      </c>
      <c r="G917" s="78">
        <f>IFERROR(MATCH(914,资金台帐!$Q$7:$Q$3006,0),"")</f>
      </c>
    </row>
    <row r="918">
      <c r="A918" s="141">
        <f>IF($G918="","",915)</f>
      </c>
      <c r="B918" s="140">
        <f>IF($G918="","",INDEX(资金台帐!$B$7:$B$3006,$G918))</f>
      </c>
      <c r="C918" s="141">
        <f>IF($G918="","",INDEX(资金台帐!$J$7:$J$3006,$G918))</f>
      </c>
      <c r="D918" s="172">
        <f>IF($G918="","",INDEX(资金台帐!$S$7:$S$3006,$G918))</f>
      </c>
      <c r="E918" s="141">
        <f>IF($G918="","",INDEX(资金台帐!$C$7:$C$3006,$G918))</f>
      </c>
      <c r="F918" s="142">
        <f>IF($G918="","",INDEX(资金台帐!$E$7:$E$3006,$G918)&amp;IF(INDEX(资金台帐!$M$7:$M$3006,$G918)="","","；"&amp;INDEX(资金台帐!$M$7:$M$3006,$G918)))</f>
      </c>
      <c r="G918" s="78">
        <f>IFERROR(MATCH(915,资金台帐!$Q$7:$Q$3006,0),"")</f>
      </c>
    </row>
    <row r="919">
      <c r="A919" s="141">
        <f>IF($G919="","",916)</f>
      </c>
      <c r="B919" s="140">
        <f>IF($G919="","",INDEX(资金台帐!$B$7:$B$3006,$G919))</f>
      </c>
      <c r="C919" s="141">
        <f>IF($G919="","",INDEX(资金台帐!$J$7:$J$3006,$G919))</f>
      </c>
      <c r="D919" s="172">
        <f>IF($G919="","",INDEX(资金台帐!$S$7:$S$3006,$G919))</f>
      </c>
      <c r="E919" s="141">
        <f>IF($G919="","",INDEX(资金台帐!$C$7:$C$3006,$G919))</f>
      </c>
      <c r="F919" s="142">
        <f>IF($G919="","",INDEX(资金台帐!$E$7:$E$3006,$G919)&amp;IF(INDEX(资金台帐!$M$7:$M$3006,$G919)="","","；"&amp;INDEX(资金台帐!$M$7:$M$3006,$G919)))</f>
      </c>
      <c r="G919" s="78">
        <f>IFERROR(MATCH(916,资金台帐!$Q$7:$Q$3006,0),"")</f>
      </c>
    </row>
    <row r="920">
      <c r="A920" s="141">
        <f>IF($G920="","",917)</f>
      </c>
      <c r="B920" s="140">
        <f>IF($G920="","",INDEX(资金台帐!$B$7:$B$3006,$G920))</f>
      </c>
      <c r="C920" s="141">
        <f>IF($G920="","",INDEX(资金台帐!$J$7:$J$3006,$G920))</f>
      </c>
      <c r="D920" s="172">
        <f>IF($G920="","",INDEX(资金台帐!$S$7:$S$3006,$G920))</f>
      </c>
      <c r="E920" s="141">
        <f>IF($G920="","",INDEX(资金台帐!$C$7:$C$3006,$G920))</f>
      </c>
      <c r="F920" s="142">
        <f>IF($G920="","",INDEX(资金台帐!$E$7:$E$3006,$G920)&amp;IF(INDEX(资金台帐!$M$7:$M$3006,$G920)="","","；"&amp;INDEX(资金台帐!$M$7:$M$3006,$G920)))</f>
      </c>
      <c r="G920" s="78">
        <f>IFERROR(MATCH(917,资金台帐!$Q$7:$Q$3006,0),"")</f>
      </c>
    </row>
    <row r="921">
      <c r="A921" s="141">
        <f>IF($G921="","",918)</f>
      </c>
      <c r="B921" s="140">
        <f>IF($G921="","",INDEX(资金台帐!$B$7:$B$3006,$G921))</f>
      </c>
      <c r="C921" s="141">
        <f>IF($G921="","",INDEX(资金台帐!$J$7:$J$3006,$G921))</f>
      </c>
      <c r="D921" s="172">
        <f>IF($G921="","",INDEX(资金台帐!$S$7:$S$3006,$G921))</f>
      </c>
      <c r="E921" s="141">
        <f>IF($G921="","",INDEX(资金台帐!$C$7:$C$3006,$G921))</f>
      </c>
      <c r="F921" s="142">
        <f>IF($G921="","",INDEX(资金台帐!$E$7:$E$3006,$G921)&amp;IF(INDEX(资金台帐!$M$7:$M$3006,$G921)="","","；"&amp;INDEX(资金台帐!$M$7:$M$3006,$G921)))</f>
      </c>
      <c r="G921" s="78">
        <f>IFERROR(MATCH(918,资金台帐!$Q$7:$Q$3006,0),"")</f>
      </c>
    </row>
    <row r="922">
      <c r="A922" s="141">
        <f>IF($G922="","",919)</f>
      </c>
      <c r="B922" s="140">
        <f>IF($G922="","",INDEX(资金台帐!$B$7:$B$3006,$G922))</f>
      </c>
      <c r="C922" s="141">
        <f>IF($G922="","",INDEX(资金台帐!$J$7:$J$3006,$G922))</f>
      </c>
      <c r="D922" s="172">
        <f>IF($G922="","",INDEX(资金台帐!$S$7:$S$3006,$G922))</f>
      </c>
      <c r="E922" s="141">
        <f>IF($G922="","",INDEX(资金台帐!$C$7:$C$3006,$G922))</f>
      </c>
      <c r="F922" s="142">
        <f>IF($G922="","",INDEX(资金台帐!$E$7:$E$3006,$G922)&amp;IF(INDEX(资金台帐!$M$7:$M$3006,$G922)="","","；"&amp;INDEX(资金台帐!$M$7:$M$3006,$G922)))</f>
      </c>
      <c r="G922" s="78">
        <f>IFERROR(MATCH(919,资金台帐!$Q$7:$Q$3006,0),"")</f>
      </c>
    </row>
    <row r="923">
      <c r="A923" s="141">
        <f>IF($G923="","",920)</f>
      </c>
      <c r="B923" s="140">
        <f>IF($G923="","",INDEX(资金台帐!$B$7:$B$3006,$G923))</f>
      </c>
      <c r="C923" s="141">
        <f>IF($G923="","",INDEX(资金台帐!$J$7:$J$3006,$G923))</f>
      </c>
      <c r="D923" s="172">
        <f>IF($G923="","",INDEX(资金台帐!$S$7:$S$3006,$G923))</f>
      </c>
      <c r="E923" s="141">
        <f>IF($G923="","",INDEX(资金台帐!$C$7:$C$3006,$G923))</f>
      </c>
      <c r="F923" s="142">
        <f>IF($G923="","",INDEX(资金台帐!$E$7:$E$3006,$G923)&amp;IF(INDEX(资金台帐!$M$7:$M$3006,$G923)="","","；"&amp;INDEX(资金台帐!$M$7:$M$3006,$G923)))</f>
      </c>
      <c r="G923" s="78">
        <f>IFERROR(MATCH(920,资金台帐!$Q$7:$Q$3006,0),"")</f>
      </c>
    </row>
    <row r="924">
      <c r="A924" s="141">
        <f>IF($G924="","",921)</f>
      </c>
      <c r="B924" s="140">
        <f>IF($G924="","",INDEX(资金台帐!$B$7:$B$3006,$G924))</f>
      </c>
      <c r="C924" s="141">
        <f>IF($G924="","",INDEX(资金台帐!$J$7:$J$3006,$G924))</f>
      </c>
      <c r="D924" s="172">
        <f>IF($G924="","",INDEX(资金台帐!$S$7:$S$3006,$G924))</f>
      </c>
      <c r="E924" s="141">
        <f>IF($G924="","",INDEX(资金台帐!$C$7:$C$3006,$G924))</f>
      </c>
      <c r="F924" s="142">
        <f>IF($G924="","",INDEX(资金台帐!$E$7:$E$3006,$G924)&amp;IF(INDEX(资金台帐!$M$7:$M$3006,$G924)="","","；"&amp;INDEX(资金台帐!$M$7:$M$3006,$G924)))</f>
      </c>
      <c r="G924" s="78">
        <f>IFERROR(MATCH(921,资金台帐!$Q$7:$Q$3006,0),"")</f>
      </c>
    </row>
    <row r="925">
      <c r="A925" s="141">
        <f>IF($G925="","",922)</f>
      </c>
      <c r="B925" s="140">
        <f>IF($G925="","",INDEX(资金台帐!$B$7:$B$3006,$G925))</f>
      </c>
      <c r="C925" s="141">
        <f>IF($G925="","",INDEX(资金台帐!$J$7:$J$3006,$G925))</f>
      </c>
      <c r="D925" s="172">
        <f>IF($G925="","",INDEX(资金台帐!$S$7:$S$3006,$G925))</f>
      </c>
      <c r="E925" s="141">
        <f>IF($G925="","",INDEX(资金台帐!$C$7:$C$3006,$G925))</f>
      </c>
      <c r="F925" s="142">
        <f>IF($G925="","",INDEX(资金台帐!$E$7:$E$3006,$G925)&amp;IF(INDEX(资金台帐!$M$7:$M$3006,$G925)="","","；"&amp;INDEX(资金台帐!$M$7:$M$3006,$G925)))</f>
      </c>
      <c r="G925" s="78">
        <f>IFERROR(MATCH(922,资金台帐!$Q$7:$Q$3006,0),"")</f>
      </c>
    </row>
    <row r="926">
      <c r="A926" s="141">
        <f>IF($G926="","",923)</f>
      </c>
      <c r="B926" s="140">
        <f>IF($G926="","",INDEX(资金台帐!$B$7:$B$3006,$G926))</f>
      </c>
      <c r="C926" s="141">
        <f>IF($G926="","",INDEX(资金台帐!$J$7:$J$3006,$G926))</f>
      </c>
      <c r="D926" s="172">
        <f>IF($G926="","",INDEX(资金台帐!$S$7:$S$3006,$G926))</f>
      </c>
      <c r="E926" s="141">
        <f>IF($G926="","",INDEX(资金台帐!$C$7:$C$3006,$G926))</f>
      </c>
      <c r="F926" s="142">
        <f>IF($G926="","",INDEX(资金台帐!$E$7:$E$3006,$G926)&amp;IF(INDEX(资金台帐!$M$7:$M$3006,$G926)="","","；"&amp;INDEX(资金台帐!$M$7:$M$3006,$G926)))</f>
      </c>
      <c r="G926" s="78">
        <f>IFERROR(MATCH(923,资金台帐!$Q$7:$Q$3006,0),"")</f>
      </c>
    </row>
    <row r="927">
      <c r="A927" s="141">
        <f>IF($G927="","",924)</f>
      </c>
      <c r="B927" s="140">
        <f>IF($G927="","",INDEX(资金台帐!$B$7:$B$3006,$G927))</f>
      </c>
      <c r="C927" s="141">
        <f>IF($G927="","",INDEX(资金台帐!$J$7:$J$3006,$G927))</f>
      </c>
      <c r="D927" s="172">
        <f>IF($G927="","",INDEX(资金台帐!$S$7:$S$3006,$G927))</f>
      </c>
      <c r="E927" s="141">
        <f>IF($G927="","",INDEX(资金台帐!$C$7:$C$3006,$G927))</f>
      </c>
      <c r="F927" s="142">
        <f>IF($G927="","",INDEX(资金台帐!$E$7:$E$3006,$G927)&amp;IF(INDEX(资金台帐!$M$7:$M$3006,$G927)="","","；"&amp;INDEX(资金台帐!$M$7:$M$3006,$G927)))</f>
      </c>
      <c r="G927" s="78">
        <f>IFERROR(MATCH(924,资金台帐!$Q$7:$Q$3006,0),"")</f>
      </c>
    </row>
    <row r="928">
      <c r="A928" s="141">
        <f>IF($G928="","",925)</f>
      </c>
      <c r="B928" s="140">
        <f>IF($G928="","",INDEX(资金台帐!$B$7:$B$3006,$G928))</f>
      </c>
      <c r="C928" s="141">
        <f>IF($G928="","",INDEX(资金台帐!$J$7:$J$3006,$G928))</f>
      </c>
      <c r="D928" s="172">
        <f>IF($G928="","",INDEX(资金台帐!$S$7:$S$3006,$G928))</f>
      </c>
      <c r="E928" s="141">
        <f>IF($G928="","",INDEX(资金台帐!$C$7:$C$3006,$G928))</f>
      </c>
      <c r="F928" s="142">
        <f>IF($G928="","",INDEX(资金台帐!$E$7:$E$3006,$G928)&amp;IF(INDEX(资金台帐!$M$7:$M$3006,$G928)="","","；"&amp;INDEX(资金台帐!$M$7:$M$3006,$G928)))</f>
      </c>
      <c r="G928" s="78">
        <f>IFERROR(MATCH(925,资金台帐!$Q$7:$Q$3006,0),"")</f>
      </c>
    </row>
    <row r="929">
      <c r="A929" s="141">
        <f>IF($G929="","",926)</f>
      </c>
      <c r="B929" s="140">
        <f>IF($G929="","",INDEX(资金台帐!$B$7:$B$3006,$G929))</f>
      </c>
      <c r="C929" s="141">
        <f>IF($G929="","",INDEX(资金台帐!$J$7:$J$3006,$G929))</f>
      </c>
      <c r="D929" s="172">
        <f>IF($G929="","",INDEX(资金台帐!$S$7:$S$3006,$G929))</f>
      </c>
      <c r="E929" s="141">
        <f>IF($G929="","",INDEX(资金台帐!$C$7:$C$3006,$G929))</f>
      </c>
      <c r="F929" s="142">
        <f>IF($G929="","",INDEX(资金台帐!$E$7:$E$3006,$G929)&amp;IF(INDEX(资金台帐!$M$7:$M$3006,$G929)="","","；"&amp;INDEX(资金台帐!$M$7:$M$3006,$G929)))</f>
      </c>
      <c r="G929" s="78">
        <f>IFERROR(MATCH(926,资金台帐!$Q$7:$Q$3006,0),"")</f>
      </c>
    </row>
    <row r="930">
      <c r="A930" s="141">
        <f>IF($G930="","",927)</f>
      </c>
      <c r="B930" s="140">
        <f>IF($G930="","",INDEX(资金台帐!$B$7:$B$3006,$G930))</f>
      </c>
      <c r="C930" s="141">
        <f>IF($G930="","",INDEX(资金台帐!$J$7:$J$3006,$G930))</f>
      </c>
      <c r="D930" s="172">
        <f>IF($G930="","",INDEX(资金台帐!$S$7:$S$3006,$G930))</f>
      </c>
      <c r="E930" s="141">
        <f>IF($G930="","",INDEX(资金台帐!$C$7:$C$3006,$G930))</f>
      </c>
      <c r="F930" s="142">
        <f>IF($G930="","",INDEX(资金台帐!$E$7:$E$3006,$G930)&amp;IF(INDEX(资金台帐!$M$7:$M$3006,$G930)="","","；"&amp;INDEX(资金台帐!$M$7:$M$3006,$G930)))</f>
      </c>
      <c r="G930" s="78">
        <f>IFERROR(MATCH(927,资金台帐!$Q$7:$Q$3006,0),"")</f>
      </c>
    </row>
    <row r="931">
      <c r="A931" s="141">
        <f>IF($G931="","",928)</f>
      </c>
      <c r="B931" s="140">
        <f>IF($G931="","",INDEX(资金台帐!$B$7:$B$3006,$G931))</f>
      </c>
      <c r="C931" s="141">
        <f>IF($G931="","",INDEX(资金台帐!$J$7:$J$3006,$G931))</f>
      </c>
      <c r="D931" s="172">
        <f>IF($G931="","",INDEX(资金台帐!$S$7:$S$3006,$G931))</f>
      </c>
      <c r="E931" s="141">
        <f>IF($G931="","",INDEX(资金台帐!$C$7:$C$3006,$G931))</f>
      </c>
      <c r="F931" s="142">
        <f>IF($G931="","",INDEX(资金台帐!$E$7:$E$3006,$G931)&amp;IF(INDEX(资金台帐!$M$7:$M$3006,$G931)="","","；"&amp;INDEX(资金台帐!$M$7:$M$3006,$G931)))</f>
      </c>
      <c r="G931" s="78">
        <f>IFERROR(MATCH(928,资金台帐!$Q$7:$Q$3006,0),"")</f>
      </c>
    </row>
    <row r="932">
      <c r="A932" s="141">
        <f>IF($G932="","",929)</f>
      </c>
      <c r="B932" s="140">
        <f>IF($G932="","",INDEX(资金台帐!$B$7:$B$3006,$G932))</f>
      </c>
      <c r="C932" s="141">
        <f>IF($G932="","",INDEX(资金台帐!$J$7:$J$3006,$G932))</f>
      </c>
      <c r="D932" s="172">
        <f>IF($G932="","",INDEX(资金台帐!$S$7:$S$3006,$G932))</f>
      </c>
      <c r="E932" s="141">
        <f>IF($G932="","",INDEX(资金台帐!$C$7:$C$3006,$G932))</f>
      </c>
      <c r="F932" s="142">
        <f>IF($G932="","",INDEX(资金台帐!$E$7:$E$3006,$G932)&amp;IF(INDEX(资金台帐!$M$7:$M$3006,$G932)="","","；"&amp;INDEX(资金台帐!$M$7:$M$3006,$G932)))</f>
      </c>
      <c r="G932" s="78">
        <f>IFERROR(MATCH(929,资金台帐!$Q$7:$Q$3006,0),"")</f>
      </c>
    </row>
    <row r="933">
      <c r="A933" s="141">
        <f>IF($G933="","",930)</f>
      </c>
      <c r="B933" s="140">
        <f>IF($G933="","",INDEX(资金台帐!$B$7:$B$3006,$G933))</f>
      </c>
      <c r="C933" s="141">
        <f>IF($G933="","",INDEX(资金台帐!$J$7:$J$3006,$G933))</f>
      </c>
      <c r="D933" s="172">
        <f>IF($G933="","",INDEX(资金台帐!$S$7:$S$3006,$G933))</f>
      </c>
      <c r="E933" s="141">
        <f>IF($G933="","",INDEX(资金台帐!$C$7:$C$3006,$G933))</f>
      </c>
      <c r="F933" s="142">
        <f>IF($G933="","",INDEX(资金台帐!$E$7:$E$3006,$G933)&amp;IF(INDEX(资金台帐!$M$7:$M$3006,$G933)="","","；"&amp;INDEX(资金台帐!$M$7:$M$3006,$G933)))</f>
      </c>
      <c r="G933" s="78">
        <f>IFERROR(MATCH(930,资金台帐!$Q$7:$Q$3006,0),"")</f>
      </c>
    </row>
    <row r="934">
      <c r="A934" s="141">
        <f>IF($G934="","",931)</f>
      </c>
      <c r="B934" s="140">
        <f>IF($G934="","",INDEX(资金台帐!$B$7:$B$3006,$G934))</f>
      </c>
      <c r="C934" s="141">
        <f>IF($G934="","",INDEX(资金台帐!$J$7:$J$3006,$G934))</f>
      </c>
      <c r="D934" s="172">
        <f>IF($G934="","",INDEX(资金台帐!$S$7:$S$3006,$G934))</f>
      </c>
      <c r="E934" s="141">
        <f>IF($G934="","",INDEX(资金台帐!$C$7:$C$3006,$G934))</f>
      </c>
      <c r="F934" s="142">
        <f>IF($G934="","",INDEX(资金台帐!$E$7:$E$3006,$G934)&amp;IF(INDEX(资金台帐!$M$7:$M$3006,$G934)="","","；"&amp;INDEX(资金台帐!$M$7:$M$3006,$G934)))</f>
      </c>
      <c r="G934" s="78">
        <f>IFERROR(MATCH(931,资金台帐!$Q$7:$Q$3006,0),"")</f>
      </c>
    </row>
    <row r="935">
      <c r="A935" s="141">
        <f>IF($G935="","",932)</f>
      </c>
      <c r="B935" s="140">
        <f>IF($G935="","",INDEX(资金台帐!$B$7:$B$3006,$G935))</f>
      </c>
      <c r="C935" s="141">
        <f>IF($G935="","",INDEX(资金台帐!$J$7:$J$3006,$G935))</f>
      </c>
      <c r="D935" s="172">
        <f>IF($G935="","",INDEX(资金台帐!$S$7:$S$3006,$G935))</f>
      </c>
      <c r="E935" s="141">
        <f>IF($G935="","",INDEX(资金台帐!$C$7:$C$3006,$G935))</f>
      </c>
      <c r="F935" s="142">
        <f>IF($G935="","",INDEX(资金台帐!$E$7:$E$3006,$G935)&amp;IF(INDEX(资金台帐!$M$7:$M$3006,$G935)="","","；"&amp;INDEX(资金台帐!$M$7:$M$3006,$G935)))</f>
      </c>
      <c r="G935" s="78">
        <f>IFERROR(MATCH(932,资金台帐!$Q$7:$Q$3006,0),"")</f>
      </c>
    </row>
    <row r="936">
      <c r="A936" s="141">
        <f>IF($G936="","",933)</f>
      </c>
      <c r="B936" s="140">
        <f>IF($G936="","",INDEX(资金台帐!$B$7:$B$3006,$G936))</f>
      </c>
      <c r="C936" s="141">
        <f>IF($G936="","",INDEX(资金台帐!$J$7:$J$3006,$G936))</f>
      </c>
      <c r="D936" s="172">
        <f>IF($G936="","",INDEX(资金台帐!$S$7:$S$3006,$G936))</f>
      </c>
      <c r="E936" s="141">
        <f>IF($G936="","",INDEX(资金台帐!$C$7:$C$3006,$G936))</f>
      </c>
      <c r="F936" s="142">
        <f>IF($G936="","",INDEX(资金台帐!$E$7:$E$3006,$G936)&amp;IF(INDEX(资金台帐!$M$7:$M$3006,$G936)="","","；"&amp;INDEX(资金台帐!$M$7:$M$3006,$G936)))</f>
      </c>
      <c r="G936" s="78">
        <f>IFERROR(MATCH(933,资金台帐!$Q$7:$Q$3006,0),"")</f>
      </c>
    </row>
    <row r="937">
      <c r="A937" s="141">
        <f>IF($G937="","",934)</f>
      </c>
      <c r="B937" s="140">
        <f>IF($G937="","",INDEX(资金台帐!$B$7:$B$3006,$G937))</f>
      </c>
      <c r="C937" s="141">
        <f>IF($G937="","",INDEX(资金台帐!$J$7:$J$3006,$G937))</f>
      </c>
      <c r="D937" s="172">
        <f>IF($G937="","",INDEX(资金台帐!$S$7:$S$3006,$G937))</f>
      </c>
      <c r="E937" s="141">
        <f>IF($G937="","",INDEX(资金台帐!$C$7:$C$3006,$G937))</f>
      </c>
      <c r="F937" s="142">
        <f>IF($G937="","",INDEX(资金台帐!$E$7:$E$3006,$G937)&amp;IF(INDEX(资金台帐!$M$7:$M$3006,$G937)="","","；"&amp;INDEX(资金台帐!$M$7:$M$3006,$G937)))</f>
      </c>
      <c r="G937" s="78">
        <f>IFERROR(MATCH(934,资金台帐!$Q$7:$Q$3006,0),"")</f>
      </c>
    </row>
    <row r="938">
      <c r="A938" s="141">
        <f>IF($G938="","",935)</f>
      </c>
      <c r="B938" s="140">
        <f>IF($G938="","",INDEX(资金台帐!$B$7:$B$3006,$G938))</f>
      </c>
      <c r="C938" s="141">
        <f>IF($G938="","",INDEX(资金台帐!$J$7:$J$3006,$G938))</f>
      </c>
      <c r="D938" s="172">
        <f>IF($G938="","",INDEX(资金台帐!$S$7:$S$3006,$G938))</f>
      </c>
      <c r="E938" s="141">
        <f>IF($G938="","",INDEX(资金台帐!$C$7:$C$3006,$G938))</f>
      </c>
      <c r="F938" s="142">
        <f>IF($G938="","",INDEX(资金台帐!$E$7:$E$3006,$G938)&amp;IF(INDEX(资金台帐!$M$7:$M$3006,$G938)="","","；"&amp;INDEX(资金台帐!$M$7:$M$3006,$G938)))</f>
      </c>
      <c r="G938" s="78">
        <f>IFERROR(MATCH(935,资金台帐!$Q$7:$Q$3006,0),"")</f>
      </c>
    </row>
    <row r="939">
      <c r="A939" s="141">
        <f>IF($G939="","",936)</f>
      </c>
      <c r="B939" s="140">
        <f>IF($G939="","",INDEX(资金台帐!$B$7:$B$3006,$G939))</f>
      </c>
      <c r="C939" s="141">
        <f>IF($G939="","",INDEX(资金台帐!$J$7:$J$3006,$G939))</f>
      </c>
      <c r="D939" s="172">
        <f>IF($G939="","",INDEX(资金台帐!$S$7:$S$3006,$G939))</f>
      </c>
      <c r="E939" s="141">
        <f>IF($G939="","",INDEX(资金台帐!$C$7:$C$3006,$G939))</f>
      </c>
      <c r="F939" s="142">
        <f>IF($G939="","",INDEX(资金台帐!$E$7:$E$3006,$G939)&amp;IF(INDEX(资金台帐!$M$7:$M$3006,$G939)="","","；"&amp;INDEX(资金台帐!$M$7:$M$3006,$G939)))</f>
      </c>
      <c r="G939" s="78">
        <f>IFERROR(MATCH(936,资金台帐!$Q$7:$Q$3006,0),"")</f>
      </c>
    </row>
    <row r="940">
      <c r="A940" s="141">
        <f>IF($G940="","",937)</f>
      </c>
      <c r="B940" s="140">
        <f>IF($G940="","",INDEX(资金台帐!$B$7:$B$3006,$G940))</f>
      </c>
      <c r="C940" s="141">
        <f>IF($G940="","",INDEX(资金台帐!$J$7:$J$3006,$G940))</f>
      </c>
      <c r="D940" s="172">
        <f>IF($G940="","",INDEX(资金台帐!$S$7:$S$3006,$G940))</f>
      </c>
      <c r="E940" s="141">
        <f>IF($G940="","",INDEX(资金台帐!$C$7:$C$3006,$G940))</f>
      </c>
      <c r="F940" s="142">
        <f>IF($G940="","",INDEX(资金台帐!$E$7:$E$3006,$G940)&amp;IF(INDEX(资金台帐!$M$7:$M$3006,$G940)="","","；"&amp;INDEX(资金台帐!$M$7:$M$3006,$G940)))</f>
      </c>
      <c r="G940" s="78">
        <f>IFERROR(MATCH(937,资金台帐!$Q$7:$Q$3006,0),"")</f>
      </c>
    </row>
    <row r="941">
      <c r="A941" s="141">
        <f>IF($G941="","",938)</f>
      </c>
      <c r="B941" s="140">
        <f>IF($G941="","",INDEX(资金台帐!$B$7:$B$3006,$G941))</f>
      </c>
      <c r="C941" s="141">
        <f>IF($G941="","",INDEX(资金台帐!$J$7:$J$3006,$G941))</f>
      </c>
      <c r="D941" s="172">
        <f>IF($G941="","",INDEX(资金台帐!$S$7:$S$3006,$G941))</f>
      </c>
      <c r="E941" s="141">
        <f>IF($G941="","",INDEX(资金台帐!$C$7:$C$3006,$G941))</f>
      </c>
      <c r="F941" s="142">
        <f>IF($G941="","",INDEX(资金台帐!$E$7:$E$3006,$G941)&amp;IF(INDEX(资金台帐!$M$7:$M$3006,$G941)="","","；"&amp;INDEX(资金台帐!$M$7:$M$3006,$G941)))</f>
      </c>
      <c r="G941" s="78">
        <f>IFERROR(MATCH(938,资金台帐!$Q$7:$Q$3006,0),"")</f>
      </c>
    </row>
    <row r="942">
      <c r="A942" s="141">
        <f>IF($G942="","",939)</f>
      </c>
      <c r="B942" s="140">
        <f>IF($G942="","",INDEX(资金台帐!$B$7:$B$3006,$G942))</f>
      </c>
      <c r="C942" s="141">
        <f>IF($G942="","",INDEX(资金台帐!$J$7:$J$3006,$G942))</f>
      </c>
      <c r="D942" s="172">
        <f>IF($G942="","",INDEX(资金台帐!$S$7:$S$3006,$G942))</f>
      </c>
      <c r="E942" s="141">
        <f>IF($G942="","",INDEX(资金台帐!$C$7:$C$3006,$G942))</f>
      </c>
      <c r="F942" s="142">
        <f>IF($G942="","",INDEX(资金台帐!$E$7:$E$3006,$G942)&amp;IF(INDEX(资金台帐!$M$7:$M$3006,$G942)="","","；"&amp;INDEX(资金台帐!$M$7:$M$3006,$G942)))</f>
      </c>
      <c r="G942" s="78">
        <f>IFERROR(MATCH(939,资金台帐!$Q$7:$Q$3006,0),"")</f>
      </c>
    </row>
    <row r="943">
      <c r="A943" s="141">
        <f>IF($G943="","",940)</f>
      </c>
      <c r="B943" s="140">
        <f>IF($G943="","",INDEX(资金台帐!$B$7:$B$3006,$G943))</f>
      </c>
      <c r="C943" s="141">
        <f>IF($G943="","",INDEX(资金台帐!$J$7:$J$3006,$G943))</f>
      </c>
      <c r="D943" s="172">
        <f>IF($G943="","",INDEX(资金台帐!$S$7:$S$3006,$G943))</f>
      </c>
      <c r="E943" s="141">
        <f>IF($G943="","",INDEX(资金台帐!$C$7:$C$3006,$G943))</f>
      </c>
      <c r="F943" s="142">
        <f>IF($G943="","",INDEX(资金台帐!$E$7:$E$3006,$G943)&amp;IF(INDEX(资金台帐!$M$7:$M$3006,$G943)="","","；"&amp;INDEX(资金台帐!$M$7:$M$3006,$G943)))</f>
      </c>
      <c r="G943" s="78">
        <f>IFERROR(MATCH(940,资金台帐!$Q$7:$Q$3006,0),"")</f>
      </c>
    </row>
    <row r="944">
      <c r="A944" s="141">
        <f>IF($G944="","",941)</f>
      </c>
      <c r="B944" s="140">
        <f>IF($G944="","",INDEX(资金台帐!$B$7:$B$3006,$G944))</f>
      </c>
      <c r="C944" s="141">
        <f>IF($G944="","",INDEX(资金台帐!$J$7:$J$3006,$G944))</f>
      </c>
      <c r="D944" s="172">
        <f>IF($G944="","",INDEX(资金台帐!$S$7:$S$3006,$G944))</f>
      </c>
      <c r="E944" s="141">
        <f>IF($G944="","",INDEX(资金台帐!$C$7:$C$3006,$G944))</f>
      </c>
      <c r="F944" s="142">
        <f>IF($G944="","",INDEX(资金台帐!$E$7:$E$3006,$G944)&amp;IF(INDEX(资金台帐!$M$7:$M$3006,$G944)="","","；"&amp;INDEX(资金台帐!$M$7:$M$3006,$G944)))</f>
      </c>
      <c r="G944" s="78">
        <f>IFERROR(MATCH(941,资金台帐!$Q$7:$Q$3006,0),"")</f>
      </c>
    </row>
    <row r="945">
      <c r="A945" s="141">
        <f>IF($G945="","",942)</f>
      </c>
      <c r="B945" s="140">
        <f>IF($G945="","",INDEX(资金台帐!$B$7:$B$3006,$G945))</f>
      </c>
      <c r="C945" s="141">
        <f>IF($G945="","",INDEX(资金台帐!$J$7:$J$3006,$G945))</f>
      </c>
      <c r="D945" s="172">
        <f>IF($G945="","",INDEX(资金台帐!$S$7:$S$3006,$G945))</f>
      </c>
      <c r="E945" s="141">
        <f>IF($G945="","",INDEX(资金台帐!$C$7:$C$3006,$G945))</f>
      </c>
      <c r="F945" s="142">
        <f>IF($G945="","",INDEX(资金台帐!$E$7:$E$3006,$G945)&amp;IF(INDEX(资金台帐!$M$7:$M$3006,$G945)="","","；"&amp;INDEX(资金台帐!$M$7:$M$3006,$G945)))</f>
      </c>
      <c r="G945" s="78">
        <f>IFERROR(MATCH(942,资金台帐!$Q$7:$Q$3006,0),"")</f>
      </c>
    </row>
    <row r="946">
      <c r="A946" s="141">
        <f>IF($G946="","",943)</f>
      </c>
      <c r="B946" s="140">
        <f>IF($G946="","",INDEX(资金台帐!$B$7:$B$3006,$G946))</f>
      </c>
      <c r="C946" s="141">
        <f>IF($G946="","",INDEX(资金台帐!$J$7:$J$3006,$G946))</f>
      </c>
      <c r="D946" s="172">
        <f>IF($G946="","",INDEX(资金台帐!$S$7:$S$3006,$G946))</f>
      </c>
      <c r="E946" s="141">
        <f>IF($G946="","",INDEX(资金台帐!$C$7:$C$3006,$G946))</f>
      </c>
      <c r="F946" s="142">
        <f>IF($G946="","",INDEX(资金台帐!$E$7:$E$3006,$G946)&amp;IF(INDEX(资金台帐!$M$7:$M$3006,$G946)="","","；"&amp;INDEX(资金台帐!$M$7:$M$3006,$G946)))</f>
      </c>
      <c r="G946" s="78">
        <f>IFERROR(MATCH(943,资金台帐!$Q$7:$Q$3006,0),"")</f>
      </c>
    </row>
    <row r="947">
      <c r="A947" s="141">
        <f>IF($G947="","",944)</f>
      </c>
      <c r="B947" s="140">
        <f>IF($G947="","",INDEX(资金台帐!$B$7:$B$3006,$G947))</f>
      </c>
      <c r="C947" s="141">
        <f>IF($G947="","",INDEX(资金台帐!$J$7:$J$3006,$G947))</f>
      </c>
      <c r="D947" s="172">
        <f>IF($G947="","",INDEX(资金台帐!$S$7:$S$3006,$G947))</f>
      </c>
      <c r="E947" s="141">
        <f>IF($G947="","",INDEX(资金台帐!$C$7:$C$3006,$G947))</f>
      </c>
      <c r="F947" s="142">
        <f>IF($G947="","",INDEX(资金台帐!$E$7:$E$3006,$G947)&amp;IF(INDEX(资金台帐!$M$7:$M$3006,$G947)="","","；"&amp;INDEX(资金台帐!$M$7:$M$3006,$G947)))</f>
      </c>
      <c r="G947" s="78">
        <f>IFERROR(MATCH(944,资金台帐!$Q$7:$Q$3006,0),"")</f>
      </c>
    </row>
    <row r="948">
      <c r="A948" s="141">
        <f>IF($G948="","",945)</f>
      </c>
      <c r="B948" s="140">
        <f>IF($G948="","",INDEX(资金台帐!$B$7:$B$3006,$G948))</f>
      </c>
      <c r="C948" s="141">
        <f>IF($G948="","",INDEX(资金台帐!$J$7:$J$3006,$G948))</f>
      </c>
      <c r="D948" s="172">
        <f>IF($G948="","",INDEX(资金台帐!$S$7:$S$3006,$G948))</f>
      </c>
      <c r="E948" s="141">
        <f>IF($G948="","",INDEX(资金台帐!$C$7:$C$3006,$G948))</f>
      </c>
      <c r="F948" s="142">
        <f>IF($G948="","",INDEX(资金台帐!$E$7:$E$3006,$G948)&amp;IF(INDEX(资金台帐!$M$7:$M$3006,$G948)="","","；"&amp;INDEX(资金台帐!$M$7:$M$3006,$G948)))</f>
      </c>
      <c r="G948" s="78">
        <f>IFERROR(MATCH(945,资金台帐!$Q$7:$Q$3006,0),"")</f>
      </c>
    </row>
    <row r="949">
      <c r="A949" s="141">
        <f>IF($G949="","",946)</f>
      </c>
      <c r="B949" s="140">
        <f>IF($G949="","",INDEX(资金台帐!$B$7:$B$3006,$G949))</f>
      </c>
      <c r="C949" s="141">
        <f>IF($G949="","",INDEX(资金台帐!$J$7:$J$3006,$G949))</f>
      </c>
      <c r="D949" s="172">
        <f>IF($G949="","",INDEX(资金台帐!$S$7:$S$3006,$G949))</f>
      </c>
      <c r="E949" s="141">
        <f>IF($G949="","",INDEX(资金台帐!$C$7:$C$3006,$G949))</f>
      </c>
      <c r="F949" s="142">
        <f>IF($G949="","",INDEX(资金台帐!$E$7:$E$3006,$G949)&amp;IF(INDEX(资金台帐!$M$7:$M$3006,$G949)="","","；"&amp;INDEX(资金台帐!$M$7:$M$3006,$G949)))</f>
      </c>
      <c r="G949" s="78">
        <f>IFERROR(MATCH(946,资金台帐!$Q$7:$Q$3006,0),"")</f>
      </c>
    </row>
    <row r="950">
      <c r="A950" s="141">
        <f>IF($G950="","",947)</f>
      </c>
      <c r="B950" s="140">
        <f>IF($G950="","",INDEX(资金台帐!$B$7:$B$3006,$G950))</f>
      </c>
      <c r="C950" s="141">
        <f>IF($G950="","",INDEX(资金台帐!$J$7:$J$3006,$G950))</f>
      </c>
      <c r="D950" s="172">
        <f>IF($G950="","",INDEX(资金台帐!$S$7:$S$3006,$G950))</f>
      </c>
      <c r="E950" s="141">
        <f>IF($G950="","",INDEX(资金台帐!$C$7:$C$3006,$G950))</f>
      </c>
      <c r="F950" s="142">
        <f>IF($G950="","",INDEX(资金台帐!$E$7:$E$3006,$G950)&amp;IF(INDEX(资金台帐!$M$7:$M$3006,$G950)="","","；"&amp;INDEX(资金台帐!$M$7:$M$3006,$G950)))</f>
      </c>
      <c r="G950" s="78">
        <f>IFERROR(MATCH(947,资金台帐!$Q$7:$Q$3006,0),"")</f>
      </c>
    </row>
    <row r="951">
      <c r="A951" s="141">
        <f>IF($G951="","",948)</f>
      </c>
      <c r="B951" s="140">
        <f>IF($G951="","",INDEX(资金台帐!$B$7:$B$3006,$G951))</f>
      </c>
      <c r="C951" s="141">
        <f>IF($G951="","",INDEX(资金台帐!$J$7:$J$3006,$G951))</f>
      </c>
      <c r="D951" s="172">
        <f>IF($G951="","",INDEX(资金台帐!$S$7:$S$3006,$G951))</f>
      </c>
      <c r="E951" s="141">
        <f>IF($G951="","",INDEX(资金台帐!$C$7:$C$3006,$G951))</f>
      </c>
      <c r="F951" s="142">
        <f>IF($G951="","",INDEX(资金台帐!$E$7:$E$3006,$G951)&amp;IF(INDEX(资金台帐!$M$7:$M$3006,$G951)="","","；"&amp;INDEX(资金台帐!$M$7:$M$3006,$G951)))</f>
      </c>
      <c r="G951" s="78">
        <f>IFERROR(MATCH(948,资金台帐!$Q$7:$Q$3006,0),"")</f>
      </c>
    </row>
    <row r="952">
      <c r="A952" s="141">
        <f>IF($G952="","",949)</f>
      </c>
      <c r="B952" s="140">
        <f>IF($G952="","",INDEX(资金台帐!$B$7:$B$3006,$G952))</f>
      </c>
      <c r="C952" s="141">
        <f>IF($G952="","",INDEX(资金台帐!$J$7:$J$3006,$G952))</f>
      </c>
      <c r="D952" s="172">
        <f>IF($G952="","",INDEX(资金台帐!$S$7:$S$3006,$G952))</f>
      </c>
      <c r="E952" s="141">
        <f>IF($G952="","",INDEX(资金台帐!$C$7:$C$3006,$G952))</f>
      </c>
      <c r="F952" s="142">
        <f>IF($G952="","",INDEX(资金台帐!$E$7:$E$3006,$G952)&amp;IF(INDEX(资金台帐!$M$7:$M$3006,$G952)="","","；"&amp;INDEX(资金台帐!$M$7:$M$3006,$G952)))</f>
      </c>
      <c r="G952" s="78">
        <f>IFERROR(MATCH(949,资金台帐!$Q$7:$Q$3006,0),"")</f>
      </c>
    </row>
    <row r="953">
      <c r="A953" s="141">
        <f>IF($G953="","",950)</f>
      </c>
      <c r="B953" s="140">
        <f>IF($G953="","",INDEX(资金台帐!$B$7:$B$3006,$G953))</f>
      </c>
      <c r="C953" s="141">
        <f>IF($G953="","",INDEX(资金台帐!$J$7:$J$3006,$G953))</f>
      </c>
      <c r="D953" s="172">
        <f>IF($G953="","",INDEX(资金台帐!$S$7:$S$3006,$G953))</f>
      </c>
      <c r="E953" s="141">
        <f>IF($G953="","",INDEX(资金台帐!$C$7:$C$3006,$G953))</f>
      </c>
      <c r="F953" s="142">
        <f>IF($G953="","",INDEX(资金台帐!$E$7:$E$3006,$G953)&amp;IF(INDEX(资金台帐!$M$7:$M$3006,$G953)="","","；"&amp;INDEX(资金台帐!$M$7:$M$3006,$G953)))</f>
      </c>
      <c r="G953" s="78">
        <f>IFERROR(MATCH(950,资金台帐!$Q$7:$Q$3006,0),"")</f>
      </c>
    </row>
    <row r="954">
      <c r="A954" s="141">
        <f>IF($G954="","",951)</f>
      </c>
      <c r="B954" s="140">
        <f>IF($G954="","",INDEX(资金台帐!$B$7:$B$3006,$G954))</f>
      </c>
      <c r="C954" s="141">
        <f>IF($G954="","",INDEX(资金台帐!$J$7:$J$3006,$G954))</f>
      </c>
      <c r="D954" s="172">
        <f>IF($G954="","",INDEX(资金台帐!$S$7:$S$3006,$G954))</f>
      </c>
      <c r="E954" s="141">
        <f>IF($G954="","",INDEX(资金台帐!$C$7:$C$3006,$G954))</f>
      </c>
      <c r="F954" s="142">
        <f>IF($G954="","",INDEX(资金台帐!$E$7:$E$3006,$G954)&amp;IF(INDEX(资金台帐!$M$7:$M$3006,$G954)="","","；"&amp;INDEX(资金台帐!$M$7:$M$3006,$G954)))</f>
      </c>
      <c r="G954" s="78">
        <f>IFERROR(MATCH(951,资金台帐!$Q$7:$Q$3006,0),"")</f>
      </c>
    </row>
    <row r="955">
      <c r="A955" s="141">
        <f>IF($G955="","",952)</f>
      </c>
      <c r="B955" s="140">
        <f>IF($G955="","",INDEX(资金台帐!$B$7:$B$3006,$G955))</f>
      </c>
      <c r="C955" s="141">
        <f>IF($G955="","",INDEX(资金台帐!$J$7:$J$3006,$G955))</f>
      </c>
      <c r="D955" s="172">
        <f>IF($G955="","",INDEX(资金台帐!$S$7:$S$3006,$G955))</f>
      </c>
      <c r="E955" s="141">
        <f>IF($G955="","",INDEX(资金台帐!$C$7:$C$3006,$G955))</f>
      </c>
      <c r="F955" s="142">
        <f>IF($G955="","",INDEX(资金台帐!$E$7:$E$3006,$G955)&amp;IF(INDEX(资金台帐!$M$7:$M$3006,$G955)="","","；"&amp;INDEX(资金台帐!$M$7:$M$3006,$G955)))</f>
      </c>
      <c r="G955" s="78">
        <f>IFERROR(MATCH(952,资金台帐!$Q$7:$Q$3006,0),"")</f>
      </c>
    </row>
    <row r="956">
      <c r="A956" s="141">
        <f>IF($G956="","",953)</f>
      </c>
      <c r="B956" s="140">
        <f>IF($G956="","",INDEX(资金台帐!$B$7:$B$3006,$G956))</f>
      </c>
      <c r="C956" s="141">
        <f>IF($G956="","",INDEX(资金台帐!$J$7:$J$3006,$G956))</f>
      </c>
      <c r="D956" s="172">
        <f>IF($G956="","",INDEX(资金台帐!$S$7:$S$3006,$G956))</f>
      </c>
      <c r="E956" s="141">
        <f>IF($G956="","",INDEX(资金台帐!$C$7:$C$3006,$G956))</f>
      </c>
      <c r="F956" s="142">
        <f>IF($G956="","",INDEX(资金台帐!$E$7:$E$3006,$G956)&amp;IF(INDEX(资金台帐!$M$7:$M$3006,$G956)="","","；"&amp;INDEX(资金台帐!$M$7:$M$3006,$G956)))</f>
      </c>
      <c r="G956" s="78">
        <f>IFERROR(MATCH(953,资金台帐!$Q$7:$Q$3006,0),"")</f>
      </c>
    </row>
    <row r="957">
      <c r="A957" s="141">
        <f>IF($G957="","",954)</f>
      </c>
      <c r="B957" s="140">
        <f>IF($G957="","",INDEX(资金台帐!$B$7:$B$3006,$G957))</f>
      </c>
      <c r="C957" s="141">
        <f>IF($G957="","",INDEX(资金台帐!$J$7:$J$3006,$G957))</f>
      </c>
      <c r="D957" s="172">
        <f>IF($G957="","",INDEX(资金台帐!$S$7:$S$3006,$G957))</f>
      </c>
      <c r="E957" s="141">
        <f>IF($G957="","",INDEX(资金台帐!$C$7:$C$3006,$G957))</f>
      </c>
      <c r="F957" s="142">
        <f>IF($G957="","",INDEX(资金台帐!$E$7:$E$3006,$G957)&amp;IF(INDEX(资金台帐!$M$7:$M$3006,$G957)="","","；"&amp;INDEX(资金台帐!$M$7:$M$3006,$G957)))</f>
      </c>
      <c r="G957" s="78">
        <f>IFERROR(MATCH(954,资金台帐!$Q$7:$Q$3006,0),"")</f>
      </c>
    </row>
    <row r="958">
      <c r="A958" s="141">
        <f>IF($G958="","",955)</f>
      </c>
      <c r="B958" s="140">
        <f>IF($G958="","",INDEX(资金台帐!$B$7:$B$3006,$G958))</f>
      </c>
      <c r="C958" s="141">
        <f>IF($G958="","",INDEX(资金台帐!$J$7:$J$3006,$G958))</f>
      </c>
      <c r="D958" s="172">
        <f>IF($G958="","",INDEX(资金台帐!$S$7:$S$3006,$G958))</f>
      </c>
      <c r="E958" s="141">
        <f>IF($G958="","",INDEX(资金台帐!$C$7:$C$3006,$G958))</f>
      </c>
      <c r="F958" s="142">
        <f>IF($G958="","",INDEX(资金台帐!$E$7:$E$3006,$G958)&amp;IF(INDEX(资金台帐!$M$7:$M$3006,$G958)="","","；"&amp;INDEX(资金台帐!$M$7:$M$3006,$G958)))</f>
      </c>
      <c r="G958" s="78">
        <f>IFERROR(MATCH(955,资金台帐!$Q$7:$Q$3006,0),"")</f>
      </c>
    </row>
    <row r="959">
      <c r="A959" s="141">
        <f>IF($G959="","",956)</f>
      </c>
      <c r="B959" s="140">
        <f>IF($G959="","",INDEX(资金台帐!$B$7:$B$3006,$G959))</f>
      </c>
      <c r="C959" s="141">
        <f>IF($G959="","",INDEX(资金台帐!$J$7:$J$3006,$G959))</f>
      </c>
      <c r="D959" s="172">
        <f>IF($G959="","",INDEX(资金台帐!$S$7:$S$3006,$G959))</f>
      </c>
      <c r="E959" s="141">
        <f>IF($G959="","",INDEX(资金台帐!$C$7:$C$3006,$G959))</f>
      </c>
      <c r="F959" s="142">
        <f>IF($G959="","",INDEX(资金台帐!$E$7:$E$3006,$G959)&amp;IF(INDEX(资金台帐!$M$7:$M$3006,$G959)="","","；"&amp;INDEX(资金台帐!$M$7:$M$3006,$G959)))</f>
      </c>
      <c r="G959" s="78">
        <f>IFERROR(MATCH(956,资金台帐!$Q$7:$Q$3006,0),"")</f>
      </c>
    </row>
    <row r="960">
      <c r="A960" s="141">
        <f>IF($G960="","",957)</f>
      </c>
      <c r="B960" s="140">
        <f>IF($G960="","",INDEX(资金台帐!$B$7:$B$3006,$G960))</f>
      </c>
      <c r="C960" s="141">
        <f>IF($G960="","",INDEX(资金台帐!$J$7:$J$3006,$G960))</f>
      </c>
      <c r="D960" s="172">
        <f>IF($G960="","",INDEX(资金台帐!$S$7:$S$3006,$G960))</f>
      </c>
      <c r="E960" s="141">
        <f>IF($G960="","",INDEX(资金台帐!$C$7:$C$3006,$G960))</f>
      </c>
      <c r="F960" s="142">
        <f>IF($G960="","",INDEX(资金台帐!$E$7:$E$3006,$G960)&amp;IF(INDEX(资金台帐!$M$7:$M$3006,$G960)="","","；"&amp;INDEX(资金台帐!$M$7:$M$3006,$G960)))</f>
      </c>
      <c r="G960" s="78">
        <f>IFERROR(MATCH(957,资金台帐!$Q$7:$Q$3006,0),"")</f>
      </c>
    </row>
    <row r="961">
      <c r="A961" s="141">
        <f>IF($G961="","",958)</f>
      </c>
      <c r="B961" s="140">
        <f>IF($G961="","",INDEX(资金台帐!$B$7:$B$3006,$G961))</f>
      </c>
      <c r="C961" s="141">
        <f>IF($G961="","",INDEX(资金台帐!$J$7:$J$3006,$G961))</f>
      </c>
      <c r="D961" s="172">
        <f>IF($G961="","",INDEX(资金台帐!$S$7:$S$3006,$G961))</f>
      </c>
      <c r="E961" s="141">
        <f>IF($G961="","",INDEX(资金台帐!$C$7:$C$3006,$G961))</f>
      </c>
      <c r="F961" s="142">
        <f>IF($G961="","",INDEX(资金台帐!$E$7:$E$3006,$G961)&amp;IF(INDEX(资金台帐!$M$7:$M$3006,$G961)="","","；"&amp;INDEX(资金台帐!$M$7:$M$3006,$G961)))</f>
      </c>
      <c r="G961" s="78">
        <f>IFERROR(MATCH(958,资金台帐!$Q$7:$Q$3006,0),"")</f>
      </c>
    </row>
    <row r="962">
      <c r="A962" s="141">
        <f>IF($G962="","",959)</f>
      </c>
      <c r="B962" s="140">
        <f>IF($G962="","",INDEX(资金台帐!$B$7:$B$3006,$G962))</f>
      </c>
      <c r="C962" s="141">
        <f>IF($G962="","",INDEX(资金台帐!$J$7:$J$3006,$G962))</f>
      </c>
      <c r="D962" s="172">
        <f>IF($G962="","",INDEX(资金台帐!$S$7:$S$3006,$G962))</f>
      </c>
      <c r="E962" s="141">
        <f>IF($G962="","",INDEX(资金台帐!$C$7:$C$3006,$G962))</f>
      </c>
      <c r="F962" s="142">
        <f>IF($G962="","",INDEX(资金台帐!$E$7:$E$3006,$G962)&amp;IF(INDEX(资金台帐!$M$7:$M$3006,$G962)="","","；"&amp;INDEX(资金台帐!$M$7:$M$3006,$G962)))</f>
      </c>
      <c r="G962" s="78">
        <f>IFERROR(MATCH(959,资金台帐!$Q$7:$Q$3006,0),"")</f>
      </c>
    </row>
    <row r="963">
      <c r="A963" s="141">
        <f>IF($G963="","",960)</f>
      </c>
      <c r="B963" s="140">
        <f>IF($G963="","",INDEX(资金台帐!$B$7:$B$3006,$G963))</f>
      </c>
      <c r="C963" s="141">
        <f>IF($G963="","",INDEX(资金台帐!$J$7:$J$3006,$G963))</f>
      </c>
      <c r="D963" s="172">
        <f>IF($G963="","",INDEX(资金台帐!$S$7:$S$3006,$G963))</f>
      </c>
      <c r="E963" s="141">
        <f>IF($G963="","",INDEX(资金台帐!$C$7:$C$3006,$G963))</f>
      </c>
      <c r="F963" s="142">
        <f>IF($G963="","",INDEX(资金台帐!$E$7:$E$3006,$G963)&amp;IF(INDEX(资金台帐!$M$7:$M$3006,$G963)="","","；"&amp;INDEX(资金台帐!$M$7:$M$3006,$G963)))</f>
      </c>
      <c r="G963" s="78">
        <f>IFERROR(MATCH(960,资金台帐!$Q$7:$Q$3006,0),"")</f>
      </c>
    </row>
    <row r="964">
      <c r="A964" s="141">
        <f>IF($G964="","",961)</f>
      </c>
      <c r="B964" s="140">
        <f>IF($G964="","",INDEX(资金台帐!$B$7:$B$3006,$G964))</f>
      </c>
      <c r="C964" s="141">
        <f>IF($G964="","",INDEX(资金台帐!$J$7:$J$3006,$G964))</f>
      </c>
      <c r="D964" s="172">
        <f>IF($G964="","",INDEX(资金台帐!$S$7:$S$3006,$G964))</f>
      </c>
      <c r="E964" s="141">
        <f>IF($G964="","",INDEX(资金台帐!$C$7:$C$3006,$G964))</f>
      </c>
      <c r="F964" s="142">
        <f>IF($G964="","",INDEX(资金台帐!$E$7:$E$3006,$G964)&amp;IF(INDEX(资金台帐!$M$7:$M$3006,$G964)="","","；"&amp;INDEX(资金台帐!$M$7:$M$3006,$G964)))</f>
      </c>
      <c r="G964" s="78">
        <f>IFERROR(MATCH(961,资金台帐!$Q$7:$Q$3006,0),"")</f>
      </c>
    </row>
    <row r="965">
      <c r="A965" s="141">
        <f>IF($G965="","",962)</f>
      </c>
      <c r="B965" s="140">
        <f>IF($G965="","",INDEX(资金台帐!$B$7:$B$3006,$G965))</f>
      </c>
      <c r="C965" s="141">
        <f>IF($G965="","",INDEX(资金台帐!$J$7:$J$3006,$G965))</f>
      </c>
      <c r="D965" s="172">
        <f>IF($G965="","",INDEX(资金台帐!$S$7:$S$3006,$G965))</f>
      </c>
      <c r="E965" s="141">
        <f>IF($G965="","",INDEX(资金台帐!$C$7:$C$3006,$G965))</f>
      </c>
      <c r="F965" s="142">
        <f>IF($G965="","",INDEX(资金台帐!$E$7:$E$3006,$G965)&amp;IF(INDEX(资金台帐!$M$7:$M$3006,$G965)="","","；"&amp;INDEX(资金台帐!$M$7:$M$3006,$G965)))</f>
      </c>
      <c r="G965" s="78">
        <f>IFERROR(MATCH(962,资金台帐!$Q$7:$Q$3006,0),"")</f>
      </c>
    </row>
    <row r="966">
      <c r="A966" s="141">
        <f>IF($G966="","",963)</f>
      </c>
      <c r="B966" s="140">
        <f>IF($G966="","",INDEX(资金台帐!$B$7:$B$3006,$G966))</f>
      </c>
      <c r="C966" s="141">
        <f>IF($G966="","",INDEX(资金台帐!$J$7:$J$3006,$G966))</f>
      </c>
      <c r="D966" s="172">
        <f>IF($G966="","",INDEX(资金台帐!$S$7:$S$3006,$G966))</f>
      </c>
      <c r="E966" s="141">
        <f>IF($G966="","",INDEX(资金台帐!$C$7:$C$3006,$G966))</f>
      </c>
      <c r="F966" s="142">
        <f>IF($G966="","",INDEX(资金台帐!$E$7:$E$3006,$G966)&amp;IF(INDEX(资金台帐!$M$7:$M$3006,$G966)="","","；"&amp;INDEX(资金台帐!$M$7:$M$3006,$G966)))</f>
      </c>
      <c r="G966" s="78">
        <f>IFERROR(MATCH(963,资金台帐!$Q$7:$Q$3006,0),"")</f>
      </c>
    </row>
    <row r="967">
      <c r="A967" s="141">
        <f>IF($G967="","",964)</f>
      </c>
      <c r="B967" s="140">
        <f>IF($G967="","",INDEX(资金台帐!$B$7:$B$3006,$G967))</f>
      </c>
      <c r="C967" s="141">
        <f>IF($G967="","",INDEX(资金台帐!$J$7:$J$3006,$G967))</f>
      </c>
      <c r="D967" s="172">
        <f>IF($G967="","",INDEX(资金台帐!$S$7:$S$3006,$G967))</f>
      </c>
      <c r="E967" s="141">
        <f>IF($G967="","",INDEX(资金台帐!$C$7:$C$3006,$G967))</f>
      </c>
      <c r="F967" s="142">
        <f>IF($G967="","",INDEX(资金台帐!$E$7:$E$3006,$G967)&amp;IF(INDEX(资金台帐!$M$7:$M$3006,$G967)="","","；"&amp;INDEX(资金台帐!$M$7:$M$3006,$G967)))</f>
      </c>
      <c r="G967" s="78">
        <f>IFERROR(MATCH(964,资金台帐!$Q$7:$Q$3006,0),"")</f>
      </c>
    </row>
    <row r="968">
      <c r="A968" s="141">
        <f>IF($G968="","",965)</f>
      </c>
      <c r="B968" s="140">
        <f>IF($G968="","",INDEX(资金台帐!$B$7:$B$3006,$G968))</f>
      </c>
      <c r="C968" s="141">
        <f>IF($G968="","",INDEX(资金台帐!$J$7:$J$3006,$G968))</f>
      </c>
      <c r="D968" s="172">
        <f>IF($G968="","",INDEX(资金台帐!$S$7:$S$3006,$G968))</f>
      </c>
      <c r="E968" s="141">
        <f>IF($G968="","",INDEX(资金台帐!$C$7:$C$3006,$G968))</f>
      </c>
      <c r="F968" s="142">
        <f>IF($G968="","",INDEX(资金台帐!$E$7:$E$3006,$G968)&amp;IF(INDEX(资金台帐!$M$7:$M$3006,$G968)="","","；"&amp;INDEX(资金台帐!$M$7:$M$3006,$G968)))</f>
      </c>
      <c r="G968" s="78">
        <f>IFERROR(MATCH(965,资金台帐!$Q$7:$Q$3006,0),"")</f>
      </c>
    </row>
    <row r="969">
      <c r="A969" s="141">
        <f>IF($G969="","",966)</f>
      </c>
      <c r="B969" s="140">
        <f>IF($G969="","",INDEX(资金台帐!$B$7:$B$3006,$G969))</f>
      </c>
      <c r="C969" s="141">
        <f>IF($G969="","",INDEX(资金台帐!$J$7:$J$3006,$G969))</f>
      </c>
      <c r="D969" s="172">
        <f>IF($G969="","",INDEX(资金台帐!$S$7:$S$3006,$G969))</f>
      </c>
      <c r="E969" s="141">
        <f>IF($G969="","",INDEX(资金台帐!$C$7:$C$3006,$G969))</f>
      </c>
      <c r="F969" s="142">
        <f>IF($G969="","",INDEX(资金台帐!$E$7:$E$3006,$G969)&amp;IF(INDEX(资金台帐!$M$7:$M$3006,$G969)="","","；"&amp;INDEX(资金台帐!$M$7:$M$3006,$G969)))</f>
      </c>
      <c r="G969" s="78">
        <f>IFERROR(MATCH(966,资金台帐!$Q$7:$Q$3006,0),"")</f>
      </c>
    </row>
    <row r="970">
      <c r="A970" s="141">
        <f>IF($G970="","",967)</f>
      </c>
      <c r="B970" s="140">
        <f>IF($G970="","",INDEX(资金台帐!$B$7:$B$3006,$G970))</f>
      </c>
      <c r="C970" s="141">
        <f>IF($G970="","",INDEX(资金台帐!$J$7:$J$3006,$G970))</f>
      </c>
      <c r="D970" s="172">
        <f>IF($G970="","",INDEX(资金台帐!$S$7:$S$3006,$G970))</f>
      </c>
      <c r="E970" s="141">
        <f>IF($G970="","",INDEX(资金台帐!$C$7:$C$3006,$G970))</f>
      </c>
      <c r="F970" s="142">
        <f>IF($G970="","",INDEX(资金台帐!$E$7:$E$3006,$G970)&amp;IF(INDEX(资金台帐!$M$7:$M$3006,$G970)="","","；"&amp;INDEX(资金台帐!$M$7:$M$3006,$G970)))</f>
      </c>
      <c r="G970" s="78">
        <f>IFERROR(MATCH(967,资金台帐!$Q$7:$Q$3006,0),"")</f>
      </c>
    </row>
    <row r="971">
      <c r="A971" s="141">
        <f>IF($G971="","",968)</f>
      </c>
      <c r="B971" s="140">
        <f>IF($G971="","",INDEX(资金台帐!$B$7:$B$3006,$G971))</f>
      </c>
      <c r="C971" s="141">
        <f>IF($G971="","",INDEX(资金台帐!$J$7:$J$3006,$G971))</f>
      </c>
      <c r="D971" s="172">
        <f>IF($G971="","",INDEX(资金台帐!$S$7:$S$3006,$G971))</f>
      </c>
      <c r="E971" s="141">
        <f>IF($G971="","",INDEX(资金台帐!$C$7:$C$3006,$G971))</f>
      </c>
      <c r="F971" s="142">
        <f>IF($G971="","",INDEX(资金台帐!$E$7:$E$3006,$G971)&amp;IF(INDEX(资金台帐!$M$7:$M$3006,$G971)="","","；"&amp;INDEX(资金台帐!$M$7:$M$3006,$G971)))</f>
      </c>
      <c r="G971" s="78">
        <f>IFERROR(MATCH(968,资金台帐!$Q$7:$Q$3006,0),"")</f>
      </c>
    </row>
    <row r="972">
      <c r="A972" s="141">
        <f>IF($G972="","",969)</f>
      </c>
      <c r="B972" s="140">
        <f>IF($G972="","",INDEX(资金台帐!$B$7:$B$3006,$G972))</f>
      </c>
      <c r="C972" s="141">
        <f>IF($G972="","",INDEX(资金台帐!$J$7:$J$3006,$G972))</f>
      </c>
      <c r="D972" s="172">
        <f>IF($G972="","",INDEX(资金台帐!$S$7:$S$3006,$G972))</f>
      </c>
      <c r="E972" s="141">
        <f>IF($G972="","",INDEX(资金台帐!$C$7:$C$3006,$G972))</f>
      </c>
      <c r="F972" s="142">
        <f>IF($G972="","",INDEX(资金台帐!$E$7:$E$3006,$G972)&amp;IF(INDEX(资金台帐!$M$7:$M$3006,$G972)="","","；"&amp;INDEX(资金台帐!$M$7:$M$3006,$G972)))</f>
      </c>
      <c r="G972" s="78">
        <f>IFERROR(MATCH(969,资金台帐!$Q$7:$Q$3006,0),"")</f>
      </c>
    </row>
    <row r="973">
      <c r="A973" s="141">
        <f>IF($G973="","",970)</f>
      </c>
      <c r="B973" s="140">
        <f>IF($G973="","",INDEX(资金台帐!$B$7:$B$3006,$G973))</f>
      </c>
      <c r="C973" s="141">
        <f>IF($G973="","",INDEX(资金台帐!$J$7:$J$3006,$G973))</f>
      </c>
      <c r="D973" s="172">
        <f>IF($G973="","",INDEX(资金台帐!$S$7:$S$3006,$G973))</f>
      </c>
      <c r="E973" s="141">
        <f>IF($G973="","",INDEX(资金台帐!$C$7:$C$3006,$G973))</f>
      </c>
      <c r="F973" s="142">
        <f>IF($G973="","",INDEX(资金台帐!$E$7:$E$3006,$G973)&amp;IF(INDEX(资金台帐!$M$7:$M$3006,$G973)="","","；"&amp;INDEX(资金台帐!$M$7:$M$3006,$G973)))</f>
      </c>
      <c r="G973" s="78">
        <f>IFERROR(MATCH(970,资金台帐!$Q$7:$Q$3006,0),"")</f>
      </c>
    </row>
    <row r="974">
      <c r="A974" s="141">
        <f>IF($G974="","",971)</f>
      </c>
      <c r="B974" s="140">
        <f>IF($G974="","",INDEX(资金台帐!$B$7:$B$3006,$G974))</f>
      </c>
      <c r="C974" s="141">
        <f>IF($G974="","",INDEX(资金台帐!$J$7:$J$3006,$G974))</f>
      </c>
      <c r="D974" s="172">
        <f>IF($G974="","",INDEX(资金台帐!$S$7:$S$3006,$G974))</f>
      </c>
      <c r="E974" s="141">
        <f>IF($G974="","",INDEX(资金台帐!$C$7:$C$3006,$G974))</f>
      </c>
      <c r="F974" s="142">
        <f>IF($G974="","",INDEX(资金台帐!$E$7:$E$3006,$G974)&amp;IF(INDEX(资金台帐!$M$7:$M$3006,$G974)="","","；"&amp;INDEX(资金台帐!$M$7:$M$3006,$G974)))</f>
      </c>
      <c r="G974" s="78">
        <f>IFERROR(MATCH(971,资金台帐!$Q$7:$Q$3006,0),"")</f>
      </c>
    </row>
    <row r="975">
      <c r="A975" s="141">
        <f>IF($G975="","",972)</f>
      </c>
      <c r="B975" s="140">
        <f>IF($G975="","",INDEX(资金台帐!$B$7:$B$3006,$G975))</f>
      </c>
      <c r="C975" s="141">
        <f>IF($G975="","",INDEX(资金台帐!$J$7:$J$3006,$G975))</f>
      </c>
      <c r="D975" s="172">
        <f>IF($G975="","",INDEX(资金台帐!$S$7:$S$3006,$G975))</f>
      </c>
      <c r="E975" s="141">
        <f>IF($G975="","",INDEX(资金台帐!$C$7:$C$3006,$G975))</f>
      </c>
      <c r="F975" s="142">
        <f>IF($G975="","",INDEX(资金台帐!$E$7:$E$3006,$G975)&amp;IF(INDEX(资金台帐!$M$7:$M$3006,$G975)="","","；"&amp;INDEX(资金台帐!$M$7:$M$3006,$G975)))</f>
      </c>
      <c r="G975" s="78">
        <f>IFERROR(MATCH(972,资金台帐!$Q$7:$Q$3006,0),"")</f>
      </c>
    </row>
    <row r="976">
      <c r="A976" s="141">
        <f>IF($G976="","",973)</f>
      </c>
      <c r="B976" s="140">
        <f>IF($G976="","",INDEX(资金台帐!$B$7:$B$3006,$G976))</f>
      </c>
      <c r="C976" s="141">
        <f>IF($G976="","",INDEX(资金台帐!$J$7:$J$3006,$G976))</f>
      </c>
      <c r="D976" s="172">
        <f>IF($G976="","",INDEX(资金台帐!$S$7:$S$3006,$G976))</f>
      </c>
      <c r="E976" s="141">
        <f>IF($G976="","",INDEX(资金台帐!$C$7:$C$3006,$G976))</f>
      </c>
      <c r="F976" s="142">
        <f>IF($G976="","",INDEX(资金台帐!$E$7:$E$3006,$G976)&amp;IF(INDEX(资金台帐!$M$7:$M$3006,$G976)="","","；"&amp;INDEX(资金台帐!$M$7:$M$3006,$G976)))</f>
      </c>
      <c r="G976" s="78">
        <f>IFERROR(MATCH(973,资金台帐!$Q$7:$Q$3006,0),"")</f>
      </c>
    </row>
    <row r="977">
      <c r="A977" s="141">
        <f>IF($G977="","",974)</f>
      </c>
      <c r="B977" s="140">
        <f>IF($G977="","",INDEX(资金台帐!$B$7:$B$3006,$G977))</f>
      </c>
      <c r="C977" s="141">
        <f>IF($G977="","",INDEX(资金台帐!$J$7:$J$3006,$G977))</f>
      </c>
      <c r="D977" s="172">
        <f>IF($G977="","",INDEX(资金台帐!$S$7:$S$3006,$G977))</f>
      </c>
      <c r="E977" s="141">
        <f>IF($G977="","",INDEX(资金台帐!$C$7:$C$3006,$G977))</f>
      </c>
      <c r="F977" s="142">
        <f>IF($G977="","",INDEX(资金台帐!$E$7:$E$3006,$G977)&amp;IF(INDEX(资金台帐!$M$7:$M$3006,$G977)="","","；"&amp;INDEX(资金台帐!$M$7:$M$3006,$G977)))</f>
      </c>
      <c r="G977" s="78">
        <f>IFERROR(MATCH(974,资金台帐!$Q$7:$Q$3006,0),"")</f>
      </c>
    </row>
    <row r="978">
      <c r="A978" s="141">
        <f>IF($G978="","",975)</f>
      </c>
      <c r="B978" s="140">
        <f>IF($G978="","",INDEX(资金台帐!$B$7:$B$3006,$G978))</f>
      </c>
      <c r="C978" s="141">
        <f>IF($G978="","",INDEX(资金台帐!$J$7:$J$3006,$G978))</f>
      </c>
      <c r="D978" s="172">
        <f>IF($G978="","",INDEX(资金台帐!$S$7:$S$3006,$G978))</f>
      </c>
      <c r="E978" s="141">
        <f>IF($G978="","",INDEX(资金台帐!$C$7:$C$3006,$G978))</f>
      </c>
      <c r="F978" s="142">
        <f>IF($G978="","",INDEX(资金台帐!$E$7:$E$3006,$G978)&amp;IF(INDEX(资金台帐!$M$7:$M$3006,$G978)="","","；"&amp;INDEX(资金台帐!$M$7:$M$3006,$G978)))</f>
      </c>
      <c r="G978" s="78">
        <f>IFERROR(MATCH(975,资金台帐!$Q$7:$Q$3006,0),"")</f>
      </c>
    </row>
    <row r="979">
      <c r="A979" s="141">
        <f>IF($G979="","",976)</f>
      </c>
      <c r="B979" s="140">
        <f>IF($G979="","",INDEX(资金台帐!$B$7:$B$3006,$G979))</f>
      </c>
      <c r="C979" s="141">
        <f>IF($G979="","",INDEX(资金台帐!$J$7:$J$3006,$G979))</f>
      </c>
      <c r="D979" s="172">
        <f>IF($G979="","",INDEX(资金台帐!$S$7:$S$3006,$G979))</f>
      </c>
      <c r="E979" s="141">
        <f>IF($G979="","",INDEX(资金台帐!$C$7:$C$3006,$G979))</f>
      </c>
      <c r="F979" s="142">
        <f>IF($G979="","",INDEX(资金台帐!$E$7:$E$3006,$G979)&amp;IF(INDEX(资金台帐!$M$7:$M$3006,$G979)="","","；"&amp;INDEX(资金台帐!$M$7:$M$3006,$G979)))</f>
      </c>
      <c r="G979" s="78">
        <f>IFERROR(MATCH(976,资金台帐!$Q$7:$Q$3006,0),"")</f>
      </c>
    </row>
    <row r="980">
      <c r="A980" s="141">
        <f>IF($G980="","",977)</f>
      </c>
      <c r="B980" s="140">
        <f>IF($G980="","",INDEX(资金台帐!$B$7:$B$3006,$G980))</f>
      </c>
      <c r="C980" s="141">
        <f>IF($G980="","",INDEX(资金台帐!$J$7:$J$3006,$G980))</f>
      </c>
      <c r="D980" s="172">
        <f>IF($G980="","",INDEX(资金台帐!$S$7:$S$3006,$G980))</f>
      </c>
      <c r="E980" s="141">
        <f>IF($G980="","",INDEX(资金台帐!$C$7:$C$3006,$G980))</f>
      </c>
      <c r="F980" s="142">
        <f>IF($G980="","",INDEX(资金台帐!$E$7:$E$3006,$G980)&amp;IF(INDEX(资金台帐!$M$7:$M$3006,$G980)="","","；"&amp;INDEX(资金台帐!$M$7:$M$3006,$G980)))</f>
      </c>
      <c r="G980" s="78">
        <f>IFERROR(MATCH(977,资金台帐!$Q$7:$Q$3006,0),"")</f>
      </c>
    </row>
    <row r="981">
      <c r="A981" s="141">
        <f>IF($G981="","",978)</f>
      </c>
      <c r="B981" s="140">
        <f>IF($G981="","",INDEX(资金台帐!$B$7:$B$3006,$G981))</f>
      </c>
      <c r="C981" s="141">
        <f>IF($G981="","",INDEX(资金台帐!$J$7:$J$3006,$G981))</f>
      </c>
      <c r="D981" s="172">
        <f>IF($G981="","",INDEX(资金台帐!$S$7:$S$3006,$G981))</f>
      </c>
      <c r="E981" s="141">
        <f>IF($G981="","",INDEX(资金台帐!$C$7:$C$3006,$G981))</f>
      </c>
      <c r="F981" s="142">
        <f>IF($G981="","",INDEX(资金台帐!$E$7:$E$3006,$G981)&amp;IF(INDEX(资金台帐!$M$7:$M$3006,$G981)="","","；"&amp;INDEX(资金台帐!$M$7:$M$3006,$G981)))</f>
      </c>
      <c r="G981" s="78">
        <f>IFERROR(MATCH(978,资金台帐!$Q$7:$Q$3006,0),"")</f>
      </c>
    </row>
    <row r="982">
      <c r="A982" s="141">
        <f>IF($G982="","",979)</f>
      </c>
      <c r="B982" s="140">
        <f>IF($G982="","",INDEX(资金台帐!$B$7:$B$3006,$G982))</f>
      </c>
      <c r="C982" s="141">
        <f>IF($G982="","",INDEX(资金台帐!$J$7:$J$3006,$G982))</f>
      </c>
      <c r="D982" s="172">
        <f>IF($G982="","",INDEX(资金台帐!$S$7:$S$3006,$G982))</f>
      </c>
      <c r="E982" s="141">
        <f>IF($G982="","",INDEX(资金台帐!$C$7:$C$3006,$G982))</f>
      </c>
      <c r="F982" s="142">
        <f>IF($G982="","",INDEX(资金台帐!$E$7:$E$3006,$G982)&amp;IF(INDEX(资金台帐!$M$7:$M$3006,$G982)="","","；"&amp;INDEX(资金台帐!$M$7:$M$3006,$G982)))</f>
      </c>
      <c r="G982" s="78">
        <f>IFERROR(MATCH(979,资金台帐!$Q$7:$Q$3006,0),"")</f>
      </c>
    </row>
    <row r="983">
      <c r="A983" s="141">
        <f>IF($G983="","",980)</f>
      </c>
      <c r="B983" s="140">
        <f>IF($G983="","",INDEX(资金台帐!$B$7:$B$3006,$G983))</f>
      </c>
      <c r="C983" s="141">
        <f>IF($G983="","",INDEX(资金台帐!$J$7:$J$3006,$G983))</f>
      </c>
      <c r="D983" s="172">
        <f>IF($G983="","",INDEX(资金台帐!$S$7:$S$3006,$G983))</f>
      </c>
      <c r="E983" s="141">
        <f>IF($G983="","",INDEX(资金台帐!$C$7:$C$3006,$G983))</f>
      </c>
      <c r="F983" s="142">
        <f>IF($G983="","",INDEX(资金台帐!$E$7:$E$3006,$G983)&amp;IF(INDEX(资金台帐!$M$7:$M$3006,$G983)="","","；"&amp;INDEX(资金台帐!$M$7:$M$3006,$G983)))</f>
      </c>
      <c r="G983" s="78">
        <f>IFERROR(MATCH(980,资金台帐!$Q$7:$Q$3006,0),"")</f>
      </c>
    </row>
    <row r="984">
      <c r="A984" s="141">
        <f>IF($G984="","",981)</f>
      </c>
      <c r="B984" s="140">
        <f>IF($G984="","",INDEX(资金台帐!$B$7:$B$3006,$G984))</f>
      </c>
      <c r="C984" s="141">
        <f>IF($G984="","",INDEX(资金台帐!$J$7:$J$3006,$G984))</f>
      </c>
      <c r="D984" s="172">
        <f>IF($G984="","",INDEX(资金台帐!$S$7:$S$3006,$G984))</f>
      </c>
      <c r="E984" s="141">
        <f>IF($G984="","",INDEX(资金台帐!$C$7:$C$3006,$G984))</f>
      </c>
      <c r="F984" s="142">
        <f>IF($G984="","",INDEX(资金台帐!$E$7:$E$3006,$G984)&amp;IF(INDEX(资金台帐!$M$7:$M$3006,$G984)="","","；"&amp;INDEX(资金台帐!$M$7:$M$3006,$G984)))</f>
      </c>
      <c r="G984" s="78">
        <f>IFERROR(MATCH(981,资金台帐!$Q$7:$Q$3006,0),"")</f>
      </c>
    </row>
    <row r="985">
      <c r="A985" s="141">
        <f>IF($G985="","",982)</f>
      </c>
      <c r="B985" s="140">
        <f>IF($G985="","",INDEX(资金台帐!$B$7:$B$3006,$G985))</f>
      </c>
      <c r="C985" s="141">
        <f>IF($G985="","",INDEX(资金台帐!$J$7:$J$3006,$G985))</f>
      </c>
      <c r="D985" s="172">
        <f>IF($G985="","",INDEX(资金台帐!$S$7:$S$3006,$G985))</f>
      </c>
      <c r="E985" s="141">
        <f>IF($G985="","",INDEX(资金台帐!$C$7:$C$3006,$G985))</f>
      </c>
      <c r="F985" s="142">
        <f>IF($G985="","",INDEX(资金台帐!$E$7:$E$3006,$G985)&amp;IF(INDEX(资金台帐!$M$7:$M$3006,$G985)="","","；"&amp;INDEX(资金台帐!$M$7:$M$3006,$G985)))</f>
      </c>
      <c r="G985" s="78">
        <f>IFERROR(MATCH(982,资金台帐!$Q$7:$Q$3006,0),"")</f>
      </c>
    </row>
    <row r="986">
      <c r="A986" s="141">
        <f>IF($G986="","",983)</f>
      </c>
      <c r="B986" s="140">
        <f>IF($G986="","",INDEX(资金台帐!$B$7:$B$3006,$G986))</f>
      </c>
      <c r="C986" s="141">
        <f>IF($G986="","",INDEX(资金台帐!$J$7:$J$3006,$G986))</f>
      </c>
      <c r="D986" s="172">
        <f>IF($G986="","",INDEX(资金台帐!$S$7:$S$3006,$G986))</f>
      </c>
      <c r="E986" s="141">
        <f>IF($G986="","",INDEX(资金台帐!$C$7:$C$3006,$G986))</f>
      </c>
      <c r="F986" s="142">
        <f>IF($G986="","",INDEX(资金台帐!$E$7:$E$3006,$G986)&amp;IF(INDEX(资金台帐!$M$7:$M$3006,$G986)="","","；"&amp;INDEX(资金台帐!$M$7:$M$3006,$G986)))</f>
      </c>
      <c r="G986" s="78">
        <f>IFERROR(MATCH(983,资金台帐!$Q$7:$Q$3006,0),"")</f>
      </c>
    </row>
    <row r="987">
      <c r="A987" s="141">
        <f>IF($G987="","",984)</f>
      </c>
      <c r="B987" s="140">
        <f>IF($G987="","",INDEX(资金台帐!$B$7:$B$3006,$G987))</f>
      </c>
      <c r="C987" s="141">
        <f>IF($G987="","",INDEX(资金台帐!$J$7:$J$3006,$G987))</f>
      </c>
      <c r="D987" s="172">
        <f>IF($G987="","",INDEX(资金台帐!$S$7:$S$3006,$G987))</f>
      </c>
      <c r="E987" s="141">
        <f>IF($G987="","",INDEX(资金台帐!$C$7:$C$3006,$G987))</f>
      </c>
      <c r="F987" s="142">
        <f>IF($G987="","",INDEX(资金台帐!$E$7:$E$3006,$G987)&amp;IF(INDEX(资金台帐!$M$7:$M$3006,$G987)="","","；"&amp;INDEX(资金台帐!$M$7:$M$3006,$G987)))</f>
      </c>
      <c r="G987" s="78">
        <f>IFERROR(MATCH(984,资金台帐!$Q$7:$Q$3006,0),"")</f>
      </c>
    </row>
    <row r="988">
      <c r="A988" s="141">
        <f>IF($G988="","",985)</f>
      </c>
      <c r="B988" s="140">
        <f>IF($G988="","",INDEX(资金台帐!$B$7:$B$3006,$G988))</f>
      </c>
      <c r="C988" s="141">
        <f>IF($G988="","",INDEX(资金台帐!$J$7:$J$3006,$G988))</f>
      </c>
      <c r="D988" s="172">
        <f>IF($G988="","",INDEX(资金台帐!$S$7:$S$3006,$G988))</f>
      </c>
      <c r="E988" s="141">
        <f>IF($G988="","",INDEX(资金台帐!$C$7:$C$3006,$G988))</f>
      </c>
      <c r="F988" s="142">
        <f>IF($G988="","",INDEX(资金台帐!$E$7:$E$3006,$G988)&amp;IF(INDEX(资金台帐!$M$7:$M$3006,$G988)="","","；"&amp;INDEX(资金台帐!$M$7:$M$3006,$G988)))</f>
      </c>
      <c r="G988" s="78">
        <f>IFERROR(MATCH(985,资金台帐!$Q$7:$Q$3006,0),"")</f>
      </c>
    </row>
    <row r="989">
      <c r="A989" s="141">
        <f>IF($G989="","",986)</f>
      </c>
      <c r="B989" s="140">
        <f>IF($G989="","",INDEX(资金台帐!$B$7:$B$3006,$G989))</f>
      </c>
      <c r="C989" s="141">
        <f>IF($G989="","",INDEX(资金台帐!$J$7:$J$3006,$G989))</f>
      </c>
      <c r="D989" s="172">
        <f>IF($G989="","",INDEX(资金台帐!$S$7:$S$3006,$G989))</f>
      </c>
      <c r="E989" s="141">
        <f>IF($G989="","",INDEX(资金台帐!$C$7:$C$3006,$G989))</f>
      </c>
      <c r="F989" s="142">
        <f>IF($G989="","",INDEX(资金台帐!$E$7:$E$3006,$G989)&amp;IF(INDEX(资金台帐!$M$7:$M$3006,$G989)="","","；"&amp;INDEX(资金台帐!$M$7:$M$3006,$G989)))</f>
      </c>
      <c r="G989" s="78">
        <f>IFERROR(MATCH(986,资金台帐!$Q$7:$Q$3006,0),"")</f>
      </c>
    </row>
    <row r="990">
      <c r="A990" s="141">
        <f>IF($G990="","",987)</f>
      </c>
      <c r="B990" s="140">
        <f>IF($G990="","",INDEX(资金台帐!$B$7:$B$3006,$G990))</f>
      </c>
      <c r="C990" s="141">
        <f>IF($G990="","",INDEX(资金台帐!$J$7:$J$3006,$G990))</f>
      </c>
      <c r="D990" s="172">
        <f>IF($G990="","",INDEX(资金台帐!$S$7:$S$3006,$G990))</f>
      </c>
      <c r="E990" s="141">
        <f>IF($G990="","",INDEX(资金台帐!$C$7:$C$3006,$G990))</f>
      </c>
      <c r="F990" s="142">
        <f>IF($G990="","",INDEX(资金台帐!$E$7:$E$3006,$G990)&amp;IF(INDEX(资金台帐!$M$7:$M$3006,$G990)="","","；"&amp;INDEX(资金台帐!$M$7:$M$3006,$G990)))</f>
      </c>
      <c r="G990" s="78">
        <f>IFERROR(MATCH(987,资金台帐!$Q$7:$Q$3006,0),"")</f>
      </c>
    </row>
    <row r="991">
      <c r="A991" s="141">
        <f>IF($G991="","",988)</f>
      </c>
      <c r="B991" s="140">
        <f>IF($G991="","",INDEX(资金台帐!$B$7:$B$3006,$G991))</f>
      </c>
      <c r="C991" s="141">
        <f>IF($G991="","",INDEX(资金台帐!$J$7:$J$3006,$G991))</f>
      </c>
      <c r="D991" s="172">
        <f>IF($G991="","",INDEX(资金台帐!$S$7:$S$3006,$G991))</f>
      </c>
      <c r="E991" s="141">
        <f>IF($G991="","",INDEX(资金台帐!$C$7:$C$3006,$G991))</f>
      </c>
      <c r="F991" s="142">
        <f>IF($G991="","",INDEX(资金台帐!$E$7:$E$3006,$G991)&amp;IF(INDEX(资金台帐!$M$7:$M$3006,$G991)="","","；"&amp;INDEX(资金台帐!$M$7:$M$3006,$G991)))</f>
      </c>
      <c r="G991" s="78">
        <f>IFERROR(MATCH(988,资金台帐!$Q$7:$Q$3006,0),"")</f>
      </c>
    </row>
    <row r="992">
      <c r="A992" s="141">
        <f>IF($G992="","",989)</f>
      </c>
      <c r="B992" s="140">
        <f>IF($G992="","",INDEX(资金台帐!$B$7:$B$3006,$G992))</f>
      </c>
      <c r="C992" s="141">
        <f>IF($G992="","",INDEX(资金台帐!$J$7:$J$3006,$G992))</f>
      </c>
      <c r="D992" s="172">
        <f>IF($G992="","",INDEX(资金台帐!$S$7:$S$3006,$G992))</f>
      </c>
      <c r="E992" s="141">
        <f>IF($G992="","",INDEX(资金台帐!$C$7:$C$3006,$G992))</f>
      </c>
      <c r="F992" s="142">
        <f>IF($G992="","",INDEX(资金台帐!$E$7:$E$3006,$G992)&amp;IF(INDEX(资金台帐!$M$7:$M$3006,$G992)="","","；"&amp;INDEX(资金台帐!$M$7:$M$3006,$G992)))</f>
      </c>
      <c r="G992" s="78">
        <f>IFERROR(MATCH(989,资金台帐!$Q$7:$Q$3006,0),"")</f>
      </c>
    </row>
    <row r="993">
      <c r="A993" s="141">
        <f>IF($G993="","",990)</f>
      </c>
      <c r="B993" s="140">
        <f>IF($G993="","",INDEX(资金台帐!$B$7:$B$3006,$G993))</f>
      </c>
      <c r="C993" s="141">
        <f>IF($G993="","",INDEX(资金台帐!$J$7:$J$3006,$G993))</f>
      </c>
      <c r="D993" s="172">
        <f>IF($G993="","",INDEX(资金台帐!$S$7:$S$3006,$G993))</f>
      </c>
      <c r="E993" s="141">
        <f>IF($G993="","",INDEX(资金台帐!$C$7:$C$3006,$G993))</f>
      </c>
      <c r="F993" s="142">
        <f>IF($G993="","",INDEX(资金台帐!$E$7:$E$3006,$G993)&amp;IF(INDEX(资金台帐!$M$7:$M$3006,$G993)="","","；"&amp;INDEX(资金台帐!$M$7:$M$3006,$G993)))</f>
      </c>
      <c r="G993" s="78">
        <f>IFERROR(MATCH(990,资金台帐!$Q$7:$Q$3006,0),"")</f>
      </c>
    </row>
    <row r="994">
      <c r="A994" s="141">
        <f>IF($G994="","",991)</f>
      </c>
      <c r="B994" s="140">
        <f>IF($G994="","",INDEX(资金台帐!$B$7:$B$3006,$G994))</f>
      </c>
      <c r="C994" s="141">
        <f>IF($G994="","",INDEX(资金台帐!$J$7:$J$3006,$G994))</f>
      </c>
      <c r="D994" s="172">
        <f>IF($G994="","",INDEX(资金台帐!$S$7:$S$3006,$G994))</f>
      </c>
      <c r="E994" s="141">
        <f>IF($G994="","",INDEX(资金台帐!$C$7:$C$3006,$G994))</f>
      </c>
      <c r="F994" s="142">
        <f>IF($G994="","",INDEX(资金台帐!$E$7:$E$3006,$G994)&amp;IF(INDEX(资金台帐!$M$7:$M$3006,$G994)="","","；"&amp;INDEX(资金台帐!$M$7:$M$3006,$G994)))</f>
      </c>
      <c r="G994" s="78">
        <f>IFERROR(MATCH(991,资金台帐!$Q$7:$Q$3006,0),"")</f>
      </c>
    </row>
    <row r="995">
      <c r="A995" s="141">
        <f>IF($G995="","",992)</f>
      </c>
      <c r="B995" s="140">
        <f>IF($G995="","",INDEX(资金台帐!$B$7:$B$3006,$G995))</f>
      </c>
      <c r="C995" s="141">
        <f>IF($G995="","",INDEX(资金台帐!$J$7:$J$3006,$G995))</f>
      </c>
      <c r="D995" s="172">
        <f>IF($G995="","",INDEX(资金台帐!$S$7:$S$3006,$G995))</f>
      </c>
      <c r="E995" s="141">
        <f>IF($G995="","",INDEX(资金台帐!$C$7:$C$3006,$G995))</f>
      </c>
      <c r="F995" s="142">
        <f>IF($G995="","",INDEX(资金台帐!$E$7:$E$3006,$G995)&amp;IF(INDEX(资金台帐!$M$7:$M$3006,$G995)="","","；"&amp;INDEX(资金台帐!$M$7:$M$3006,$G995)))</f>
      </c>
      <c r="G995" s="78">
        <f>IFERROR(MATCH(992,资金台帐!$Q$7:$Q$3006,0),"")</f>
      </c>
    </row>
    <row r="996">
      <c r="A996" s="141">
        <f>IF($G996="","",993)</f>
      </c>
      <c r="B996" s="140">
        <f>IF($G996="","",INDEX(资金台帐!$B$7:$B$3006,$G996))</f>
      </c>
      <c r="C996" s="141">
        <f>IF($G996="","",INDEX(资金台帐!$J$7:$J$3006,$G996))</f>
      </c>
      <c r="D996" s="172">
        <f>IF($G996="","",INDEX(资金台帐!$S$7:$S$3006,$G996))</f>
      </c>
      <c r="E996" s="141">
        <f>IF($G996="","",INDEX(资金台帐!$C$7:$C$3006,$G996))</f>
      </c>
      <c r="F996" s="142">
        <f>IF($G996="","",INDEX(资金台帐!$E$7:$E$3006,$G996)&amp;IF(INDEX(资金台帐!$M$7:$M$3006,$G996)="","","；"&amp;INDEX(资金台帐!$M$7:$M$3006,$G996)))</f>
      </c>
      <c r="G996" s="78">
        <f>IFERROR(MATCH(993,资金台帐!$Q$7:$Q$3006,0),"")</f>
      </c>
    </row>
    <row r="997">
      <c r="A997" s="141">
        <f>IF($G997="","",994)</f>
      </c>
      <c r="B997" s="140">
        <f>IF($G997="","",INDEX(资金台帐!$B$7:$B$3006,$G997))</f>
      </c>
      <c r="C997" s="141">
        <f>IF($G997="","",INDEX(资金台帐!$J$7:$J$3006,$G997))</f>
      </c>
      <c r="D997" s="172">
        <f>IF($G997="","",INDEX(资金台帐!$S$7:$S$3006,$G997))</f>
      </c>
      <c r="E997" s="141">
        <f>IF($G997="","",INDEX(资金台帐!$C$7:$C$3006,$G997))</f>
      </c>
      <c r="F997" s="142">
        <f>IF($G997="","",INDEX(资金台帐!$E$7:$E$3006,$G997)&amp;IF(INDEX(资金台帐!$M$7:$M$3006,$G997)="","","；"&amp;INDEX(资金台帐!$M$7:$M$3006,$G997)))</f>
      </c>
      <c r="G997" s="78">
        <f>IFERROR(MATCH(994,资金台帐!$Q$7:$Q$3006,0),"")</f>
      </c>
    </row>
    <row r="998">
      <c r="A998" s="141">
        <f>IF($G998="","",995)</f>
      </c>
      <c r="B998" s="140">
        <f>IF($G998="","",INDEX(资金台帐!$B$7:$B$3006,$G998))</f>
      </c>
      <c r="C998" s="141">
        <f>IF($G998="","",INDEX(资金台帐!$J$7:$J$3006,$G998))</f>
      </c>
      <c r="D998" s="172">
        <f>IF($G998="","",INDEX(资金台帐!$S$7:$S$3006,$G998))</f>
      </c>
      <c r="E998" s="141">
        <f>IF($G998="","",INDEX(资金台帐!$C$7:$C$3006,$G998))</f>
      </c>
      <c r="F998" s="142">
        <f>IF($G998="","",INDEX(资金台帐!$E$7:$E$3006,$G998)&amp;IF(INDEX(资金台帐!$M$7:$M$3006,$G998)="","","；"&amp;INDEX(资金台帐!$M$7:$M$3006,$G998)))</f>
      </c>
      <c r="G998" s="78">
        <f>IFERROR(MATCH(995,资金台帐!$Q$7:$Q$3006,0),"")</f>
      </c>
    </row>
    <row r="999">
      <c r="A999" s="141">
        <f>IF($G999="","",996)</f>
      </c>
      <c r="B999" s="140">
        <f>IF($G999="","",INDEX(资金台帐!$B$7:$B$3006,$G999))</f>
      </c>
      <c r="C999" s="141">
        <f>IF($G999="","",INDEX(资金台帐!$J$7:$J$3006,$G999))</f>
      </c>
      <c r="D999" s="172">
        <f>IF($G999="","",INDEX(资金台帐!$S$7:$S$3006,$G999))</f>
      </c>
      <c r="E999" s="141">
        <f>IF($G999="","",INDEX(资金台帐!$C$7:$C$3006,$G999))</f>
      </c>
      <c r="F999" s="142">
        <f>IF($G999="","",INDEX(资金台帐!$E$7:$E$3006,$G999)&amp;IF(INDEX(资金台帐!$M$7:$M$3006,$G999)="","","；"&amp;INDEX(资金台帐!$M$7:$M$3006,$G999)))</f>
      </c>
      <c r="G999" s="78">
        <f>IFERROR(MATCH(996,资金台帐!$Q$7:$Q$3006,0),"")</f>
      </c>
    </row>
    <row r="1000">
      <c r="A1000" s="141">
        <f>IF($G1000="","",997)</f>
      </c>
      <c r="B1000" s="140">
        <f>IF($G1000="","",INDEX(资金台帐!$B$7:$B$3006,$G1000))</f>
      </c>
      <c r="C1000" s="141">
        <f>IF($G1000="","",INDEX(资金台帐!$J$7:$J$3006,$G1000))</f>
      </c>
      <c r="D1000" s="172">
        <f>IF($G1000="","",INDEX(资金台帐!$S$7:$S$3006,$G1000))</f>
      </c>
      <c r="E1000" s="141">
        <f>IF($G1000="","",INDEX(资金台帐!$C$7:$C$3006,$G1000))</f>
      </c>
      <c r="F1000" s="142">
        <f>IF($G1000="","",INDEX(资金台帐!$E$7:$E$3006,$G1000)&amp;IF(INDEX(资金台帐!$M$7:$M$3006,$G1000)="","","；"&amp;INDEX(资金台帐!$M$7:$M$3006,$G1000)))</f>
      </c>
      <c r="G1000" s="78">
        <f>IFERROR(MATCH(997,资金台帐!$Q$7:$Q$3006,0),"")</f>
      </c>
    </row>
    <row r="1001">
      <c r="A1001" s="141">
        <f>IF($G1001="","",998)</f>
      </c>
      <c r="B1001" s="140">
        <f>IF($G1001="","",INDEX(资金台帐!$B$7:$B$3006,$G1001))</f>
      </c>
      <c r="C1001" s="141">
        <f>IF($G1001="","",INDEX(资金台帐!$J$7:$J$3006,$G1001))</f>
      </c>
      <c r="D1001" s="172">
        <f>IF($G1001="","",INDEX(资金台帐!$S$7:$S$3006,$G1001))</f>
      </c>
      <c r="E1001" s="141">
        <f>IF($G1001="","",INDEX(资金台帐!$C$7:$C$3006,$G1001))</f>
      </c>
      <c r="F1001" s="142">
        <f>IF($G1001="","",INDEX(资金台帐!$E$7:$E$3006,$G1001)&amp;IF(INDEX(资金台帐!$M$7:$M$3006,$G1001)="","","；"&amp;INDEX(资金台帐!$M$7:$M$3006,$G1001)))</f>
      </c>
      <c r="G1001" s="78">
        <f>IFERROR(MATCH(998,资金台帐!$Q$7:$Q$3006,0),"")</f>
      </c>
    </row>
    <row r="1002">
      <c r="A1002" s="141">
        <f>IF($G1002="","",999)</f>
      </c>
      <c r="B1002" s="140">
        <f>IF($G1002="","",INDEX(资金台帐!$B$7:$B$3006,$G1002))</f>
      </c>
      <c r="C1002" s="141">
        <f>IF($G1002="","",INDEX(资金台帐!$J$7:$J$3006,$G1002))</f>
      </c>
      <c r="D1002" s="172">
        <f>IF($G1002="","",INDEX(资金台帐!$S$7:$S$3006,$G1002))</f>
      </c>
      <c r="E1002" s="141">
        <f>IF($G1002="","",INDEX(资金台帐!$C$7:$C$3006,$G1002))</f>
      </c>
      <c r="F1002" s="142">
        <f>IF($G1002="","",INDEX(资金台帐!$E$7:$E$3006,$G1002)&amp;IF(INDEX(资金台帐!$M$7:$M$3006,$G1002)="","","；"&amp;INDEX(资金台帐!$M$7:$M$3006,$G1002)))</f>
      </c>
      <c r="G1002" s="78">
        <f>IFERROR(MATCH(999,资金台帐!$Q$7:$Q$3006,0),"")</f>
      </c>
    </row>
    <row r="1003">
      <c r="A1003" s="141">
        <f>IF($G1003="","",1000)</f>
      </c>
      <c r="B1003" s="140">
        <f>IF($G1003="","",INDEX(资金台帐!$B$7:$B$3006,$G1003))</f>
      </c>
      <c r="C1003" s="141">
        <f>IF($G1003="","",INDEX(资金台帐!$J$7:$J$3006,$G1003))</f>
      </c>
      <c r="D1003" s="172">
        <f>IF($G1003="","",INDEX(资金台帐!$S$7:$S$3006,$G1003))</f>
      </c>
      <c r="E1003" s="141">
        <f>IF($G1003="","",INDEX(资金台帐!$C$7:$C$3006,$G1003))</f>
      </c>
      <c r="F1003" s="142">
        <f>IF($G1003="","",INDEX(资金台帐!$E$7:$E$3006,$G1003)&amp;IF(INDEX(资金台帐!$M$7:$M$3006,$G1003)="","","；"&amp;INDEX(资金台帐!$M$7:$M$3006,$G1003)))</f>
      </c>
      <c r="G1003" s="78">
        <f>IFERROR(MATCH(1000,资金台帐!$Q$7:$Q$3006,0),"")</f>
      </c>
    </row>
  </sheetData>
  <autoFilter ref="A3:F1003"/>
  <mergeCells count="4">
    <mergeCell ref="A2:F2"/>
    <mergeCell ref="I1:N1"/>
    <mergeCell ref="A1:F1"/>
    <mergeCell ref="I2:N2"/>
  </mergeCells>
  <conditionalFormatting sqref="A4:F1003">
    <cfRule type="expression" priority="1" dxfId="4">
      <formula>AND($A4&lt;&gt;"",MOD(ROW(),2)=0)</formula>
    </cfRule>
  </conditionalFormatting>
  <conditionalFormatting sqref="I4:N503">
    <cfRule type="expression" priority="2" dxfId="5">
      <formula>AND($I4&lt;&gt;"",MOD(ROW(),2)=0)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1">
    <outlinePr summaryBelow="0" summaryRight="0"/>
    <pageSetUpPr/>
  </sheetPr>
  <dimension ref="A1:H1003"/>
  <sheetViews>
    <sheetView tabSelected="0" workbookViewId="0">
      <pane ySplit="3" topLeftCell="A4" activePane="bottomLeft" state="frozen"/>
      <selection pane="bottomLeft" activeCell="A1" sqref="A1"/>
      <selection pane="bottomLeft" activeCell="E100" sqref="E100"/>
    </sheetView>
  </sheetViews>
  <sheetFormatPr baseColWidth="8" defaultColWidth="14" defaultRowHeight="12"/>
  <cols>
    <col width="10.5714285714286" customWidth="1" style="35" min="1" max="1"/>
    <col width="12" customWidth="1" style="35" min="2" max="2"/>
    <col width="17.8571428571429" customWidth="1" style="35" min="3" max="3"/>
    <col width="12" customWidth="1" style="35" min="4" max="4"/>
    <col width="17" customWidth="1" style="35" min="5" max="5"/>
    <col width="19.8571428571429" customWidth="1" style="35" min="6" max="6"/>
    <col width="39" customWidth="1" style="35" min="7" max="7"/>
    <col width="17.7142857142857" customWidth="1" style="35" min="8" max="8"/>
    <col width="14" customWidth="1" style="35" min="9" max="16384"/>
  </cols>
  <sheetData>
    <row r="1" ht="15" customHeight="1" s="71">
      <c r="A1" s="27" t="inlineStr">
        <is>
          <t>商品入库明细台账</t>
        </is>
      </c>
    </row>
    <row r="2" ht="15" customHeight="1" s="71">
      <c r="A2" s="27" t="inlineStr">
        <is>
          <t>💡 客户存条（预付的货）在此登记，一个商品一行；商品库存表按「客户+商品」自动汇总、自动累加，领用记【出库明细】自动扣减。客户付的存条款记【资金台帐】并选客户。</t>
        </is>
      </c>
    </row>
    <row r="3" ht="15" customHeight="1" s="71">
      <c r="A3" s="40" t="inlineStr">
        <is>
          <t>序号</t>
        </is>
      </c>
      <c r="B3" s="40" t="inlineStr">
        <is>
          <t>入库日期</t>
        </is>
      </c>
      <c r="C3" s="40" t="inlineStr">
        <is>
          <t>客户名称</t>
        </is>
      </c>
      <c r="D3" s="40" t="inlineStr">
        <is>
          <t>商品品类</t>
        </is>
      </c>
      <c r="E3" s="40" t="inlineStr">
        <is>
          <t>入库数量(件)</t>
        </is>
      </c>
      <c r="F3" s="40" t="inlineStr">
        <is>
          <t>入库单价(元/件)</t>
        </is>
      </c>
      <c r="G3" s="40" t="inlineStr">
        <is>
          <t>本次入库总金额(元)</t>
        </is>
      </c>
      <c r="H3" s="40" t="inlineStr">
        <is>
          <t>备注</t>
        </is>
      </c>
    </row>
    <row r="4" ht="15" customHeight="1" s="71">
      <c r="A4" s="14" t="n">
        <v>1</v>
      </c>
      <c r="B4" s="167" t="n">
        <v>46198</v>
      </c>
      <c r="C4" s="12" t="inlineStr">
        <is>
          <t>星海超市</t>
        </is>
      </c>
      <c r="D4" s="12" t="inlineStr">
        <is>
          <t>小东鹏</t>
        </is>
      </c>
      <c r="E4" s="12" t="n">
        <v>282</v>
      </c>
      <c r="F4" s="173" t="n">
        <v>50</v>
      </c>
      <c r="G4" s="156">
        <f>IF(AND(E4&lt;&gt;"",F4&lt;&gt;""),E4*F4,"")</f>
        <v>14100</v>
      </c>
      <c r="H4" s="14" t="n"/>
    </row>
    <row r="5" ht="15" customHeight="1" s="71">
      <c r="A5" s="14" t="n">
        <v>2</v>
      </c>
      <c r="B5" s="167" t="n">
        <v>46198</v>
      </c>
      <c r="C5" s="12" t="inlineStr">
        <is>
          <t>星海超市</t>
        </is>
      </c>
      <c r="D5" s="14" t="inlineStr">
        <is>
          <t>555补水</t>
        </is>
      </c>
      <c r="E5" s="14" t="n">
        <v>83</v>
      </c>
      <c r="F5" s="156" t="n">
        <v>65</v>
      </c>
      <c r="G5" s="156">
        <f>IF(AND(E5&lt;&gt;"",F5&lt;&gt;""),E5*F5,"")</f>
        <v>5395</v>
      </c>
      <c r="H5" s="14" t="n"/>
    </row>
    <row r="6" ht="15" customHeight="1" s="71">
      <c r="A6" s="14" t="n">
        <v>3</v>
      </c>
      <c r="B6" s="167" t="n">
        <v>46198</v>
      </c>
      <c r="C6" s="12" t="inlineStr">
        <is>
          <t>星海超市</t>
        </is>
      </c>
      <c r="D6" s="12" t="inlineStr">
        <is>
          <t>1L补水</t>
        </is>
      </c>
      <c r="E6" s="12" t="n">
        <v>142</v>
      </c>
      <c r="F6" s="173" t="n">
        <v>55</v>
      </c>
      <c r="G6" s="156">
        <f>IF(AND(E6&lt;&gt;"",F6&lt;&gt;""),E6*F6,"")</f>
        <v>7810</v>
      </c>
      <c r="H6" s="14" t="n"/>
    </row>
    <row r="7" ht="15" customHeight="1" s="71">
      <c r="A7" s="14" t="n">
        <v>4</v>
      </c>
      <c r="B7" s="167" t="n">
        <v>46198</v>
      </c>
      <c r="C7" s="12" t="inlineStr">
        <is>
          <t>星海超市</t>
        </is>
      </c>
      <c r="D7" s="14" t="inlineStr">
        <is>
          <t>1L果之茶</t>
        </is>
      </c>
      <c r="E7" s="14" t="n">
        <v>118</v>
      </c>
      <c r="F7" s="156" t="n">
        <v>43</v>
      </c>
      <c r="G7" s="156">
        <f>IF(AND(E7&lt;&gt;"",F7&lt;&gt;""),E7*F7,"")</f>
        <v>5074</v>
      </c>
      <c r="H7" s="14" t="n"/>
    </row>
    <row r="8" ht="15" customHeight="1" s="71">
      <c r="A8" s="14" t="n">
        <v>5</v>
      </c>
      <c r="B8" s="167" t="n">
        <v>46198</v>
      </c>
      <c r="C8" s="12" t="inlineStr">
        <is>
          <t>星海超市</t>
        </is>
      </c>
      <c r="D8" s="12" t="inlineStr">
        <is>
          <t>港式奶茶</t>
        </is>
      </c>
      <c r="E8" s="12" t="n">
        <v>96</v>
      </c>
      <c r="F8" s="173" t="n">
        <v>69</v>
      </c>
      <c r="G8" s="156">
        <f>IF(AND(E8&lt;&gt;"",F8&lt;&gt;""),E8*F8,"")</f>
        <v>6624</v>
      </c>
      <c r="H8" s="14" t="n"/>
    </row>
    <row r="9" ht="15" customHeight="1" s="71">
      <c r="A9" s="14" t="n">
        <v>6</v>
      </c>
      <c r="B9" s="167" t="n">
        <v>46198</v>
      </c>
      <c r="C9" s="14" t="inlineStr">
        <is>
          <t>王玉琴</t>
        </is>
      </c>
      <c r="D9" s="14" t="inlineStr">
        <is>
          <t>大东鹏</t>
        </is>
      </c>
      <c r="E9" s="14" t="n">
        <v>1100</v>
      </c>
      <c r="F9" s="156" t="n">
        <v>90</v>
      </c>
      <c r="G9" s="156">
        <f>IF(AND(E9&lt;&gt;"",F9&lt;&gt;""),E9*F9,"")</f>
        <v>99000</v>
      </c>
      <c r="H9" s="14" t="n"/>
    </row>
    <row r="10" ht="16.5" customHeight="1" s="71">
      <c r="A10" s="14" t="n">
        <v>7</v>
      </c>
      <c r="B10" s="167" t="n">
        <v>46198</v>
      </c>
      <c r="C10" s="12" t="inlineStr">
        <is>
          <t>桐心源</t>
        </is>
      </c>
      <c r="D10" s="12" t="inlineStr">
        <is>
          <t>大东鹏</t>
        </is>
      </c>
      <c r="E10" s="12" t="n">
        <v>6531</v>
      </c>
      <c r="F10" s="173" t="n">
        <v>90</v>
      </c>
      <c r="G10" s="156">
        <f>IF(AND(E10&lt;&gt;"",F10&lt;&gt;""),E10*F10,"")</f>
        <v>587790</v>
      </c>
      <c r="H10" s="27" t="n"/>
    </row>
    <row r="11" ht="16.5" customHeight="1" s="71">
      <c r="A11" s="14" t="n">
        <v>8</v>
      </c>
      <c r="B11" s="167" t="n">
        <v>46198</v>
      </c>
      <c r="C11" s="12" t="inlineStr">
        <is>
          <t>桐心源</t>
        </is>
      </c>
      <c r="D11" s="14" t="inlineStr">
        <is>
          <t>1L补水</t>
        </is>
      </c>
      <c r="E11" s="14" t="n">
        <v>625</v>
      </c>
      <c r="F11" s="156" t="n">
        <v>55</v>
      </c>
      <c r="G11" s="156">
        <f>IF(AND(E11&lt;&gt;"",F11&lt;&gt;""),E11*F11,"")</f>
        <v>34375</v>
      </c>
      <c r="H11" s="27" t="n"/>
    </row>
    <row r="12" ht="16.5" customHeight="1" s="71">
      <c r="A12" s="14" t="n">
        <v>9</v>
      </c>
      <c r="B12" s="167" t="n">
        <v>46198</v>
      </c>
      <c r="C12" s="12" t="inlineStr">
        <is>
          <t>桐心源</t>
        </is>
      </c>
      <c r="D12" s="12" t="inlineStr">
        <is>
          <t>555补水</t>
        </is>
      </c>
      <c r="E12" s="12" t="n">
        <v>604</v>
      </c>
      <c r="F12" s="173" t="n">
        <v>65</v>
      </c>
      <c r="G12" s="156">
        <f>IF(AND(E12&lt;&gt;"",F12&lt;&gt;""),E12*F12,"")</f>
        <v>39260</v>
      </c>
      <c r="H12" s="27" t="n"/>
    </row>
    <row r="13" ht="16.5" customHeight="1" s="71">
      <c r="A13" s="14" t="n">
        <v>10</v>
      </c>
      <c r="B13" s="167" t="n">
        <v>46198</v>
      </c>
      <c r="C13" s="12" t="inlineStr">
        <is>
          <t>桐心源</t>
        </is>
      </c>
      <c r="D13" s="14" t="inlineStr">
        <is>
          <t>小果之茶</t>
        </is>
      </c>
      <c r="E13" s="14" t="n">
        <v>906</v>
      </c>
      <c r="F13" s="156" t="n">
        <v>47</v>
      </c>
      <c r="G13" s="156">
        <f>IF(AND(E13&lt;&gt;"",F13&lt;&gt;""),E13*F13,"")</f>
        <v>42582</v>
      </c>
      <c r="H13" s="27" t="n"/>
    </row>
    <row r="14" ht="16.5" customHeight="1" s="71">
      <c r="A14" s="14" t="n">
        <v>11</v>
      </c>
      <c r="B14" s="167" t="n">
        <v>46198</v>
      </c>
      <c r="C14" s="12" t="inlineStr">
        <is>
          <t>桐心源</t>
        </is>
      </c>
      <c r="D14" s="12" t="inlineStr">
        <is>
          <t>大咖</t>
        </is>
      </c>
      <c r="E14" s="12" t="n">
        <v>236</v>
      </c>
      <c r="F14" s="173" t="n">
        <v>83</v>
      </c>
      <c r="G14" s="156">
        <f>IF(AND(E14&lt;&gt;"",F14&lt;&gt;""),E14*F14,"")</f>
        <v>19588</v>
      </c>
      <c r="H14" s="27" t="n"/>
    </row>
    <row r="15" ht="16.5" customHeight="1" s="71">
      <c r="A15" s="14" t="n">
        <v>12</v>
      </c>
      <c r="B15" s="167" t="n">
        <v>46198</v>
      </c>
      <c r="C15" s="12" t="inlineStr">
        <is>
          <t>桐心源</t>
        </is>
      </c>
      <c r="D15" s="14" t="inlineStr">
        <is>
          <t>港式奶茶</t>
        </is>
      </c>
      <c r="E15" s="14" t="n">
        <v>152</v>
      </c>
      <c r="F15" s="156" t="n">
        <v>69</v>
      </c>
      <c r="G15" s="156">
        <f>IF(AND(E15&lt;&gt;"",F15&lt;&gt;""),E15*F15,"")</f>
        <v>10488</v>
      </c>
      <c r="H15" s="27" t="n"/>
    </row>
    <row r="16" ht="16.5" customHeight="1" s="71">
      <c r="A16" s="14" t="n">
        <v>13</v>
      </c>
      <c r="B16" s="167" t="n">
        <v>46198</v>
      </c>
      <c r="C16" s="12" t="inlineStr">
        <is>
          <t>桐心源</t>
        </is>
      </c>
      <c r="D16" s="12" t="inlineStr">
        <is>
          <t>1L果之茶</t>
        </is>
      </c>
      <c r="E16" s="12" t="n">
        <v>78</v>
      </c>
      <c r="F16" s="173" t="n">
        <v>43</v>
      </c>
      <c r="G16" s="156">
        <f>IF(AND(E16&lt;&gt;"",F16&lt;&gt;""),E16*F16,"")</f>
        <v>3354</v>
      </c>
      <c r="H16" s="27" t="n"/>
    </row>
    <row r="17" ht="16.5" customHeight="1" s="71">
      <c r="A17" s="14" t="n">
        <v>14</v>
      </c>
      <c r="B17" s="167" t="n">
        <v>46198</v>
      </c>
      <c r="C17" s="12" t="inlineStr">
        <is>
          <t>桐心源</t>
        </is>
      </c>
      <c r="D17" s="14" t="inlineStr">
        <is>
          <t>330大咖</t>
        </is>
      </c>
      <c r="E17" s="14" t="n">
        <v>134</v>
      </c>
      <c r="F17" s="156" t="n">
        <v>90</v>
      </c>
      <c r="G17" s="156">
        <f>IF(AND(E17&lt;&gt;"",F17&lt;&gt;""),E17*F17,"")</f>
        <v>12060</v>
      </c>
      <c r="H17" s="27" t="n"/>
    </row>
    <row r="18" ht="16.5" customHeight="1" s="71">
      <c r="A18" s="14" t="n">
        <v>15</v>
      </c>
      <c r="B18" s="167" t="n">
        <v>46198</v>
      </c>
      <c r="C18" s="12" t="inlineStr">
        <is>
          <t>桐心源</t>
        </is>
      </c>
      <c r="D18" s="12" t="inlineStr">
        <is>
          <t>小海岛椰</t>
        </is>
      </c>
      <c r="E18" s="12" t="n">
        <v>30</v>
      </c>
      <c r="F18" s="173" t="n">
        <v>32</v>
      </c>
      <c r="G18" s="156">
        <f>IF(AND(E18&lt;&gt;"",F18&lt;&gt;""),E18*F18,"")</f>
        <v>960</v>
      </c>
      <c r="H18" s="27" t="n"/>
    </row>
    <row r="19" ht="16.5" customHeight="1" s="71">
      <c r="A19" s="14" t="n">
        <v>16</v>
      </c>
      <c r="B19" s="167" t="n">
        <v>46198</v>
      </c>
      <c r="C19" s="12" t="inlineStr">
        <is>
          <t>桐心源</t>
        </is>
      </c>
      <c r="D19" s="14" t="inlineStr">
        <is>
          <t>1.25海岛椰</t>
        </is>
      </c>
      <c r="E19" s="14" t="n">
        <v>45</v>
      </c>
      <c r="F19" s="156" t="n">
        <v>51</v>
      </c>
      <c r="G19" s="156">
        <f>IF(AND(E19&lt;&gt;"",F19&lt;&gt;""),E19*F19,"")</f>
        <v>2295</v>
      </c>
      <c r="H19" s="27" t="n"/>
    </row>
    <row r="20" ht="16.5" customHeight="1" s="71">
      <c r="A20" s="14" t="n">
        <v>17</v>
      </c>
      <c r="B20" s="167" t="n">
        <v>46198</v>
      </c>
      <c r="C20" s="12" t="inlineStr">
        <is>
          <t>桐心源</t>
        </is>
      </c>
      <c r="D20" s="12" t="inlineStr">
        <is>
          <t>500农夫饮料</t>
        </is>
      </c>
      <c r="E20" s="12" t="n">
        <v>720</v>
      </c>
      <c r="F20" s="173" t="n">
        <v>52</v>
      </c>
      <c r="G20" s="156">
        <f>IF(AND(E20&lt;&gt;"",F20&lt;&gt;""),E20*F20,"")</f>
        <v>37440</v>
      </c>
      <c r="H20" s="27" t="n"/>
    </row>
    <row r="21" ht="16.5" customHeight="1" s="71">
      <c r="A21" s="14" t="n">
        <v>18</v>
      </c>
      <c r="B21" s="167" t="n">
        <v>46198</v>
      </c>
      <c r="C21" s="12" t="inlineStr">
        <is>
          <t>桐心源</t>
        </is>
      </c>
      <c r="D21" s="14" t="inlineStr">
        <is>
          <t>900农夫饮料</t>
        </is>
      </c>
      <c r="E21" s="14" t="n">
        <v>56</v>
      </c>
      <c r="F21" s="156" t="n">
        <v>60</v>
      </c>
      <c r="G21" s="156">
        <f>IF(AND(E21&lt;&gt;"",F21&lt;&gt;""),E21*F21,"")</f>
        <v>3360</v>
      </c>
      <c r="H21" s="27" t="n"/>
    </row>
    <row r="22" ht="16.5" customHeight="1" s="71">
      <c r="A22" s="14" t="n">
        <v>19</v>
      </c>
      <c r="B22" s="167" t="n">
        <v>46198</v>
      </c>
      <c r="C22" s="12" t="inlineStr">
        <is>
          <t>桐心源</t>
        </is>
      </c>
      <c r="D22" s="12" t="inlineStr">
        <is>
          <t>550农夫水</t>
        </is>
      </c>
      <c r="E22" s="12" t="n">
        <v>278</v>
      </c>
      <c r="F22" s="173" t="n">
        <v>20</v>
      </c>
      <c r="G22" s="156">
        <f>IF(AND(E22&lt;&gt;"",F22&lt;&gt;""),E22*F22,"")</f>
        <v>5560</v>
      </c>
      <c r="H22" s="27" t="n"/>
    </row>
    <row r="23" ht="16.5" customHeight="1" s="71">
      <c r="A23" s="14" t="n">
        <v>20</v>
      </c>
      <c r="B23" s="167" t="n">
        <v>46198</v>
      </c>
      <c r="C23" s="14" t="inlineStr">
        <is>
          <t>阿东副食</t>
        </is>
      </c>
      <c r="D23" s="14" t="inlineStr">
        <is>
          <t>大东鹏</t>
        </is>
      </c>
      <c r="E23" s="14" t="n">
        <v>4275</v>
      </c>
      <c r="F23" s="156" t="n">
        <v>90</v>
      </c>
      <c r="G23" s="156">
        <f>IF(AND(E23&lt;&gt;"",F23&lt;&gt;""),E23*F23,"")</f>
        <v>384750</v>
      </c>
      <c r="H23" s="27" t="n"/>
    </row>
    <row r="24" ht="16.5" customHeight="1" s="71">
      <c r="A24" s="14" t="n">
        <v>21</v>
      </c>
      <c r="B24" s="167" t="n">
        <v>46198</v>
      </c>
      <c r="C24" s="14" t="inlineStr">
        <is>
          <t>阿东副食</t>
        </is>
      </c>
      <c r="D24" s="12" t="inlineStr">
        <is>
          <t>555补水</t>
        </is>
      </c>
      <c r="E24" s="12" t="n">
        <v>792</v>
      </c>
      <c r="F24" s="173" t="n">
        <v>65</v>
      </c>
      <c r="G24" s="156">
        <f>IF(AND(E24&lt;&gt;"",F24&lt;&gt;""),E24*F24,"")</f>
        <v>51480</v>
      </c>
      <c r="H24" s="27" t="n"/>
    </row>
    <row r="25" ht="16.5" customHeight="1" s="71">
      <c r="A25" s="14" t="n">
        <v>22</v>
      </c>
      <c r="B25" s="167" t="n">
        <v>46198</v>
      </c>
      <c r="C25" s="14" t="inlineStr">
        <is>
          <t>阿东副食</t>
        </is>
      </c>
      <c r="D25" s="14" t="inlineStr">
        <is>
          <t>1L补水</t>
        </is>
      </c>
      <c r="E25" s="14" t="n">
        <v>1506</v>
      </c>
      <c r="F25" s="156" t="n">
        <v>55</v>
      </c>
      <c r="G25" s="156">
        <f>IF(AND(E25&lt;&gt;"",F25&lt;&gt;""),E25*F25,"")</f>
        <v>82830</v>
      </c>
      <c r="H25" s="27" t="n"/>
    </row>
    <row r="26" ht="16.5" customHeight="1" s="71">
      <c r="A26" s="14" t="n">
        <v>23</v>
      </c>
      <c r="B26" s="167" t="n">
        <v>46198</v>
      </c>
      <c r="C26" s="14" t="inlineStr">
        <is>
          <t>阿东副食</t>
        </is>
      </c>
      <c r="D26" s="12" t="inlineStr">
        <is>
          <t>小咖</t>
        </is>
      </c>
      <c r="E26" s="12" t="n">
        <v>132</v>
      </c>
      <c r="F26" s="173" t="n">
        <v>90</v>
      </c>
      <c r="G26" s="156">
        <f>IF(AND(E26&lt;&gt;"",F26&lt;&gt;""),E26*F26,"")</f>
        <v>11880</v>
      </c>
      <c r="H26" s="27" t="n"/>
    </row>
    <row r="27" ht="16.5" customHeight="1" s="71">
      <c r="A27" s="14" t="n">
        <v>24</v>
      </c>
      <c r="B27" s="167" t="n">
        <v>46198</v>
      </c>
      <c r="C27" s="14" t="inlineStr">
        <is>
          <t>阿东副食</t>
        </is>
      </c>
      <c r="D27" s="14" t="inlineStr">
        <is>
          <t>大咖</t>
        </is>
      </c>
      <c r="E27" s="14" t="n">
        <v>306</v>
      </c>
      <c r="F27" s="156" t="n">
        <v>83</v>
      </c>
      <c r="G27" s="156">
        <f>IF(AND(E27&lt;&gt;"",F27&lt;&gt;""),E27*F27,"")</f>
        <v>25398</v>
      </c>
      <c r="H27" s="27" t="n"/>
    </row>
    <row r="28" ht="16.5" customHeight="1" s="71">
      <c r="A28" s="14" t="n">
        <v>25</v>
      </c>
      <c r="B28" s="167" t="n">
        <v>46198</v>
      </c>
      <c r="C28" s="14" t="inlineStr">
        <is>
          <t>阿东副食</t>
        </is>
      </c>
      <c r="D28" s="12" t="inlineStr">
        <is>
          <t>1L果之茶</t>
        </is>
      </c>
      <c r="E28" s="12" t="n">
        <v>314</v>
      </c>
      <c r="F28" s="173" t="n">
        <v>43</v>
      </c>
      <c r="G28" s="156">
        <f>IF(AND(E28&lt;&gt;"",F28&lt;&gt;""),E28*F28,"")</f>
        <v>13502</v>
      </c>
      <c r="H28" s="27" t="n"/>
    </row>
    <row r="29" ht="16.5" customHeight="1" s="71">
      <c r="A29" s="14" t="n">
        <v>26</v>
      </c>
      <c r="B29" s="167" t="n">
        <v>46198</v>
      </c>
      <c r="C29" s="14" t="inlineStr">
        <is>
          <t>阿东副食</t>
        </is>
      </c>
      <c r="D29" s="14" t="inlineStr">
        <is>
          <t>港式奶茶</t>
        </is>
      </c>
      <c r="E29" s="14" t="n">
        <v>442</v>
      </c>
      <c r="F29" s="156" t="n">
        <v>69</v>
      </c>
      <c r="G29" s="156">
        <f>IF(AND(E29&lt;&gt;"",F29&lt;&gt;""),E29*F29,"")</f>
        <v>30498</v>
      </c>
      <c r="H29" s="27" t="n"/>
    </row>
    <row r="30" ht="16.5" customHeight="1" s="71">
      <c r="A30" s="14" t="n">
        <v>27</v>
      </c>
      <c r="B30" s="167" t="n">
        <v>46198</v>
      </c>
      <c r="C30" s="14" t="inlineStr">
        <is>
          <t>阿东副食</t>
        </is>
      </c>
      <c r="D30" s="12" t="inlineStr">
        <is>
          <t>小果之茶</t>
        </is>
      </c>
      <c r="E30" s="12" t="n">
        <v>166</v>
      </c>
      <c r="F30" s="173" t="n">
        <v>47</v>
      </c>
      <c r="G30" s="156">
        <f>IF(AND(E30&lt;&gt;"",F30&lt;&gt;""),E30*F30,"")</f>
        <v>7802</v>
      </c>
      <c r="H30" s="27" t="n"/>
    </row>
    <row r="31" ht="16.5" customHeight="1" s="71">
      <c r="A31" s="14" t="n">
        <v>28</v>
      </c>
      <c r="B31" s="167" t="n">
        <v>46198</v>
      </c>
      <c r="C31" s="14" t="inlineStr">
        <is>
          <t>阿东副食</t>
        </is>
      </c>
      <c r="D31" s="14" t="inlineStr">
        <is>
          <t>小海岛椰</t>
        </is>
      </c>
      <c r="E31" s="14" t="n">
        <v>30</v>
      </c>
      <c r="F31" s="156" t="n">
        <v>33</v>
      </c>
      <c r="G31" s="156">
        <f>IF(AND(E31&lt;&gt;"",F31&lt;&gt;""),E31*F31,"")</f>
        <v>990</v>
      </c>
      <c r="H31" s="27" t="n"/>
    </row>
    <row r="32" ht="16.5" customHeight="1" s="71">
      <c r="A32" s="14" t="n">
        <v>29</v>
      </c>
      <c r="B32" s="167" t="n">
        <v>46198</v>
      </c>
      <c r="C32" s="14" t="inlineStr">
        <is>
          <t>阿东副食</t>
        </is>
      </c>
      <c r="D32" s="12" t="inlineStr">
        <is>
          <t>九制陈皮</t>
        </is>
      </c>
      <c r="E32" s="12" t="n">
        <v>40</v>
      </c>
      <c r="F32" s="173" t="n">
        <v>47</v>
      </c>
      <c r="G32" s="156">
        <f>IF(AND(E32&lt;&gt;"",F32&lt;&gt;""),E32*F32,"")</f>
        <v>1880</v>
      </c>
      <c r="H32" s="27" t="n"/>
    </row>
    <row r="33" ht="16.5" customHeight="1" s="71">
      <c r="A33" s="14" t="n">
        <v>30</v>
      </c>
      <c r="B33" s="167" t="n">
        <v>46198</v>
      </c>
      <c r="C33" s="14" t="inlineStr">
        <is>
          <t>阿东副食</t>
        </is>
      </c>
      <c r="D33" s="14" t="inlineStr">
        <is>
          <t>小焙好茶</t>
        </is>
      </c>
      <c r="E33" s="14" t="n">
        <v>114</v>
      </c>
      <c r="F33" s="156" t="n">
        <v>48</v>
      </c>
      <c r="G33" s="156">
        <f>IF(AND(E33&lt;&gt;"",F33&lt;&gt;""),E33*F33,"")</f>
        <v>5472</v>
      </c>
      <c r="H33" s="27" t="n"/>
    </row>
    <row r="34" ht="16.5" customHeight="1" s="71">
      <c r="A34" s="14" t="n">
        <v>31</v>
      </c>
      <c r="B34" s="167" t="n">
        <v>46198</v>
      </c>
      <c r="C34" s="12" t="inlineStr">
        <is>
          <t>金凤副食</t>
        </is>
      </c>
      <c r="D34" s="12" t="inlineStr">
        <is>
          <t>1L补水</t>
        </is>
      </c>
      <c r="E34" s="12" t="n">
        <v>100</v>
      </c>
      <c r="F34" s="173" t="n">
        <v>55</v>
      </c>
      <c r="G34" s="156">
        <f>IF(AND(E34&lt;&gt;"",F34&lt;&gt;""),E34*F34,"")</f>
        <v>5500</v>
      </c>
      <c r="H34" s="27" t="n"/>
    </row>
    <row r="35" ht="16.5" customHeight="1" s="71">
      <c r="A35" s="14" t="n">
        <v>32</v>
      </c>
      <c r="B35" s="167" t="n">
        <v>46198</v>
      </c>
      <c r="C35" s="12" t="inlineStr">
        <is>
          <t>金凤副食</t>
        </is>
      </c>
      <c r="D35" s="14" t="inlineStr">
        <is>
          <t>港式奶茶</t>
        </is>
      </c>
      <c r="E35" s="14" t="n">
        <v>50</v>
      </c>
      <c r="F35" s="156" t="n">
        <v>69</v>
      </c>
      <c r="G35" s="156">
        <f>IF(AND(E35&lt;&gt;"",F35&lt;&gt;""),E35*F35,"")</f>
        <v>3450</v>
      </c>
      <c r="H35" s="27" t="n"/>
    </row>
    <row r="36" ht="16.5" customHeight="1" s="71">
      <c r="A36" s="14" t="n">
        <v>33</v>
      </c>
      <c r="B36" s="167" t="n">
        <v>46198</v>
      </c>
      <c r="C36" s="12" t="inlineStr">
        <is>
          <t>致发商行</t>
        </is>
      </c>
      <c r="D36" s="12" t="inlineStr">
        <is>
          <t>大东鹏</t>
        </is>
      </c>
      <c r="E36" s="12" t="n">
        <v>1300</v>
      </c>
      <c r="F36" s="173" t="n">
        <v>90</v>
      </c>
      <c r="G36" s="156">
        <f>IF(AND(E36&lt;&gt;"",F36&lt;&gt;""),E36*F36,"")</f>
        <v>117000</v>
      </c>
      <c r="H36" s="27" t="n"/>
    </row>
    <row r="37" ht="16.5" customHeight="1" s="71">
      <c r="A37" s="14" t="n">
        <v>34</v>
      </c>
      <c r="B37" s="167" t="n">
        <v>46198</v>
      </c>
      <c r="C37" s="12" t="inlineStr">
        <is>
          <t>致发商行</t>
        </is>
      </c>
      <c r="D37" s="14" t="inlineStr">
        <is>
          <t>555补水</t>
        </is>
      </c>
      <c r="E37" s="14" t="n">
        <v>230</v>
      </c>
      <c r="F37" s="156" t="n">
        <v>65</v>
      </c>
      <c r="G37" s="156">
        <f>IF(AND(E37&lt;&gt;"",F37&lt;&gt;""),E37*F37,"")</f>
        <v>14950</v>
      </c>
      <c r="H37" s="27" t="n"/>
    </row>
    <row r="38" ht="16.5" customHeight="1" s="71">
      <c r="A38" s="14" t="n">
        <v>35</v>
      </c>
      <c r="B38" s="167" t="n">
        <v>46198</v>
      </c>
      <c r="C38" s="12" t="inlineStr">
        <is>
          <t>致发商行</t>
        </is>
      </c>
      <c r="D38" s="12" t="inlineStr">
        <is>
          <t>1L补水</t>
        </is>
      </c>
      <c r="E38" s="12" t="n">
        <v>695</v>
      </c>
      <c r="F38" s="156" t="n">
        <v>55</v>
      </c>
      <c r="G38" s="156">
        <f>IF(AND(E38&lt;&gt;"",F38&lt;&gt;""),E38*F38,"")</f>
        <v>38225</v>
      </c>
      <c r="H38" s="27" t="n"/>
    </row>
    <row r="39" ht="16.5" customHeight="1" s="71">
      <c r="A39" s="14" t="n">
        <v>36</v>
      </c>
      <c r="B39" s="167" t="n">
        <v>46198</v>
      </c>
      <c r="C39" s="12" t="inlineStr">
        <is>
          <t>致发商行</t>
        </is>
      </c>
      <c r="D39" s="14" t="inlineStr">
        <is>
          <t>小果之茶</t>
        </is>
      </c>
      <c r="E39" s="14" t="n">
        <v>-310</v>
      </c>
      <c r="F39" s="173" t="n">
        <v>47</v>
      </c>
      <c r="G39" s="156">
        <f>IF(AND(E39&lt;&gt;"",F39&lt;&gt;""),E39*F39,"")</f>
        <v>-14570</v>
      </c>
      <c r="H39" s="27" t="n"/>
    </row>
    <row r="40" ht="16.5" customHeight="1" s="71">
      <c r="A40" s="14" t="n">
        <v>37</v>
      </c>
      <c r="B40" s="167" t="n">
        <v>46198</v>
      </c>
      <c r="C40" s="12" t="inlineStr">
        <is>
          <t>致发商行</t>
        </is>
      </c>
      <c r="D40" s="12" t="inlineStr">
        <is>
          <t>港式奶茶</t>
        </is>
      </c>
      <c r="E40" s="12" t="n">
        <v>70</v>
      </c>
      <c r="F40" s="156" t="n">
        <v>69</v>
      </c>
      <c r="G40" s="156">
        <f>IF(AND(E40&lt;&gt;"",F40&lt;&gt;""),E40*F40,"")</f>
        <v>4830</v>
      </c>
      <c r="H40" s="27" t="n"/>
    </row>
    <row r="41" ht="16.5" customHeight="1" s="71">
      <c r="A41" s="14" t="n">
        <v>38</v>
      </c>
      <c r="B41" s="167" t="n">
        <v>46198</v>
      </c>
      <c r="C41" s="12" t="inlineStr">
        <is>
          <t>致发商行</t>
        </is>
      </c>
      <c r="D41" s="14" t="inlineStr">
        <is>
          <t>小焙好茶</t>
        </is>
      </c>
      <c r="E41" s="14" t="n">
        <v>10</v>
      </c>
      <c r="F41" s="156" t="n">
        <v>48</v>
      </c>
      <c r="G41" s="156">
        <f>IF(AND(E41&lt;&gt;"",F41&lt;&gt;""),E41*F41,"")</f>
        <v>480</v>
      </c>
      <c r="H41" s="27" t="n"/>
    </row>
    <row r="42" ht="16.5" customHeight="1" s="71">
      <c r="A42" s="14" t="n">
        <v>39</v>
      </c>
      <c r="B42" s="167" t="n">
        <v>46198</v>
      </c>
      <c r="C42" s="12" t="inlineStr">
        <is>
          <t>致发商行</t>
        </is>
      </c>
      <c r="D42" s="12" t="inlineStr">
        <is>
          <t>1L果之茶</t>
        </is>
      </c>
      <c r="E42" s="12" t="n">
        <v>-50</v>
      </c>
      <c r="F42" s="173" t="n">
        <v>43</v>
      </c>
      <c r="G42" s="156">
        <f>IF(AND(E42&lt;&gt;"",F42&lt;&gt;""),E42*F42,"")</f>
        <v>-2150</v>
      </c>
      <c r="H42" s="27" t="n"/>
    </row>
    <row r="43" ht="16.5" customHeight="1" s="71">
      <c r="A43" s="14" t="n">
        <v>40</v>
      </c>
      <c r="B43" s="167" t="n">
        <v>46199</v>
      </c>
      <c r="C43" s="12" t="inlineStr">
        <is>
          <t>致发商行</t>
        </is>
      </c>
      <c r="D43" s="14" t="inlineStr">
        <is>
          <t>大东鹏</t>
        </is>
      </c>
      <c r="E43" s="14" t="n">
        <v>2300</v>
      </c>
      <c r="F43" s="173" t="n">
        <v>90</v>
      </c>
      <c r="G43" s="156">
        <f>IF(AND(E43&lt;&gt;"",F43&lt;&gt;""),E43*F43,"")</f>
        <v>207000</v>
      </c>
      <c r="H43" s="27" t="n"/>
    </row>
    <row r="44" ht="16.5" customHeight="1" s="71">
      <c r="A44" s="14" t="n">
        <v>41</v>
      </c>
      <c r="B44" s="167" t="n">
        <v>46199</v>
      </c>
      <c r="C44" s="12" t="inlineStr">
        <is>
          <t>致发商行</t>
        </is>
      </c>
      <c r="D44" s="12" t="inlineStr">
        <is>
          <t>小果之茶</t>
        </is>
      </c>
      <c r="E44" s="12" t="n">
        <v>1040</v>
      </c>
      <c r="F44" s="173" t="n">
        <v>47</v>
      </c>
      <c r="G44" s="156" t="n">
        <v>47000</v>
      </c>
      <c r="H44" s="27" t="n"/>
    </row>
    <row r="45" ht="16.5" customHeight="1" s="71">
      <c r="A45" s="14" t="n">
        <v>42</v>
      </c>
      <c r="B45" s="167" t="n">
        <v>46199</v>
      </c>
      <c r="C45" s="12" t="inlineStr">
        <is>
          <t>致发商行</t>
        </is>
      </c>
      <c r="D45" s="14" t="inlineStr">
        <is>
          <t>大咖</t>
        </is>
      </c>
      <c r="E45" s="14" t="n">
        <v>208</v>
      </c>
      <c r="F45" s="156" t="n">
        <v>86</v>
      </c>
      <c r="G45" s="156" t="n">
        <v>16600</v>
      </c>
      <c r="H45" s="27" t="n"/>
    </row>
    <row r="46" ht="16.5" customHeight="1" s="71">
      <c r="A46" s="14" t="n">
        <v>43</v>
      </c>
      <c r="B46" s="167" t="n">
        <v>46199</v>
      </c>
      <c r="C46" s="12" t="inlineStr">
        <is>
          <t>致发商行</t>
        </is>
      </c>
      <c r="D46" s="12" t="inlineStr">
        <is>
          <t>1L果之茶</t>
        </is>
      </c>
      <c r="E46" s="12" t="n">
        <v>208</v>
      </c>
      <c r="F46" s="173" t="n">
        <v>43</v>
      </c>
      <c r="G46" s="156" t="n">
        <v>8600</v>
      </c>
      <c r="H46" s="27" t="n"/>
    </row>
    <row r="47" ht="16.5" customHeight="1" s="71">
      <c r="A47" s="14" t="n">
        <v>44</v>
      </c>
      <c r="B47" s="167" t="n">
        <v>46199</v>
      </c>
      <c r="C47" s="27" t="inlineStr">
        <is>
          <t>通达商行</t>
        </is>
      </c>
      <c r="D47" s="27" t="inlineStr">
        <is>
          <t>大东鹏</t>
        </is>
      </c>
      <c r="E47" s="27" t="n">
        <v>200</v>
      </c>
      <c r="F47" s="27" t="n">
        <v>90</v>
      </c>
      <c r="G47" s="156">
        <f>IF(AND(E47&lt;&gt;"",F47&lt;&gt;""),E47*F47,"")</f>
        <v>18000</v>
      </c>
      <c r="H47" s="27" t="n"/>
    </row>
    <row r="48" ht="16.5" customHeight="1" s="71">
      <c r="A48" s="14" t="n">
        <v>45</v>
      </c>
      <c r="B48" s="174" t="n">
        <v>46199</v>
      </c>
      <c r="C48" s="27" t="inlineStr">
        <is>
          <t>宜兴粮油</t>
        </is>
      </c>
      <c r="D48" s="27" t="inlineStr">
        <is>
          <t>大东鹏</t>
        </is>
      </c>
      <c r="E48" s="27" t="n">
        <v>615</v>
      </c>
      <c r="F48" s="27" t="n">
        <v>87.8</v>
      </c>
      <c r="G48" s="156" t="n">
        <v>54000</v>
      </c>
      <c r="H48" s="27" t="n"/>
    </row>
    <row r="49" ht="16.5" customHeight="1" s="71">
      <c r="A49" s="14" t="n">
        <v>46</v>
      </c>
      <c r="B49" s="174" t="n">
        <v>46199</v>
      </c>
      <c r="C49" s="27" t="inlineStr">
        <is>
          <t>宜兴粮油</t>
        </is>
      </c>
      <c r="D49" s="27" t="inlineStr">
        <is>
          <t>555补水</t>
        </is>
      </c>
      <c r="E49" s="27" t="n">
        <v>5</v>
      </c>
      <c r="F49" s="27" t="n">
        <v>0</v>
      </c>
      <c r="G49" s="156">
        <f>IF(AND(E49&lt;&gt;"",F49&lt;&gt;""),E49*F49,"")</f>
        <v>0</v>
      </c>
      <c r="H49" s="27" t="n"/>
    </row>
    <row r="50" ht="16.5" customHeight="1" s="71">
      <c r="A50" s="14" t="n">
        <v>47</v>
      </c>
      <c r="B50" s="174" t="n">
        <v>46200</v>
      </c>
      <c r="C50" s="27" t="inlineStr">
        <is>
          <t>兴莲隆兴商行</t>
        </is>
      </c>
      <c r="D50" s="27" t="inlineStr">
        <is>
          <t>大东鹏</t>
        </is>
      </c>
      <c r="E50" s="27" t="n">
        <v>162</v>
      </c>
      <c r="F50" s="27" t="n">
        <v>90</v>
      </c>
      <c r="G50" s="156">
        <f>IF(AND(E50&lt;&gt;"",F50&lt;&gt;""),E50*F50,"")</f>
        <v>14580</v>
      </c>
      <c r="H50" s="27" t="n"/>
    </row>
    <row r="51" ht="16.5" customHeight="1" s="71">
      <c r="A51" s="14" t="n">
        <v>48</v>
      </c>
      <c r="B51" s="174" t="n">
        <v>46200</v>
      </c>
      <c r="C51" s="27" t="inlineStr">
        <is>
          <t>兴莲隆兴商行</t>
        </is>
      </c>
      <c r="D51" s="27" t="inlineStr">
        <is>
          <t>1L补水</t>
        </is>
      </c>
      <c r="E51" s="27" t="n">
        <v>23</v>
      </c>
      <c r="F51" s="27" t="n">
        <v>55</v>
      </c>
      <c r="G51" s="156">
        <f>IF(AND(E51&lt;&gt;"",F51&lt;&gt;""),E51*F51,"")</f>
        <v>1265</v>
      </c>
      <c r="H51" s="27" t="n"/>
    </row>
    <row r="52" ht="16.5" customHeight="1" s="71">
      <c r="A52" s="14" t="n">
        <v>49</v>
      </c>
      <c r="B52" s="174" t="n">
        <v>46200</v>
      </c>
      <c r="C52" s="27" t="inlineStr">
        <is>
          <t>兴莲隆兴商行</t>
        </is>
      </c>
      <c r="D52" s="27" t="inlineStr">
        <is>
          <t>555补水</t>
        </is>
      </c>
      <c r="E52" s="27" t="n">
        <v>23</v>
      </c>
      <c r="F52" s="27" t="n">
        <v>65</v>
      </c>
      <c r="G52" s="156">
        <f>IF(AND(E52&lt;&gt;"",F52&lt;&gt;""),E52*F52,"")</f>
        <v>1495</v>
      </c>
      <c r="H52" s="27" t="n"/>
    </row>
    <row r="53" ht="16.5" customHeight="1" s="71">
      <c r="A53" s="14" t="n">
        <v>50</v>
      </c>
      <c r="B53" s="174" t="n">
        <v>46200</v>
      </c>
      <c r="C53" s="27" t="inlineStr">
        <is>
          <t>兴莲隆兴商行</t>
        </is>
      </c>
      <c r="D53" s="27" t="inlineStr">
        <is>
          <t>大咖</t>
        </is>
      </c>
      <c r="E53" s="27" t="n">
        <v>68</v>
      </c>
      <c r="F53" s="27" t="n">
        <v>83</v>
      </c>
      <c r="G53" s="156">
        <f>IF(AND(E53&lt;&gt;"",F53&lt;&gt;""),E53*F53,"")</f>
        <v>5644</v>
      </c>
      <c r="H53" s="27" t="n"/>
    </row>
    <row r="54" ht="16.5" customHeight="1" s="71">
      <c r="A54" s="14" t="n">
        <v>51</v>
      </c>
      <c r="B54" s="174" t="n">
        <v>46200</v>
      </c>
      <c r="C54" s="27" t="inlineStr">
        <is>
          <t>兴莲隆兴商行</t>
        </is>
      </c>
      <c r="D54" s="27" t="inlineStr">
        <is>
          <t>港式奶茶</t>
        </is>
      </c>
      <c r="E54" s="27" t="n">
        <v>11</v>
      </c>
      <c r="F54" s="27" t="n">
        <v>69</v>
      </c>
      <c r="G54" s="156">
        <f>IF(AND(E54&lt;&gt;"",F54&lt;&gt;""),E54*F54,"")</f>
        <v>759</v>
      </c>
      <c r="H54" s="27" t="n"/>
    </row>
    <row r="55" ht="16.5" customHeight="1" s="71">
      <c r="A55" s="14" t="n">
        <v>52</v>
      </c>
      <c r="B55" s="174" t="n">
        <v>46200</v>
      </c>
      <c r="C55" s="27" t="inlineStr">
        <is>
          <t>诚信粮油</t>
        </is>
      </c>
      <c r="D55" s="27" t="inlineStr">
        <is>
          <t>大东鹏</t>
        </is>
      </c>
      <c r="E55" s="27" t="n">
        <v>300</v>
      </c>
      <c r="F55" s="27" t="n">
        <v>90</v>
      </c>
      <c r="G55" s="156">
        <f>IF(AND(E55&lt;&gt;"",F55&lt;&gt;""),E55*F55,"")</f>
        <v>27000</v>
      </c>
      <c r="H55" s="27" t="n"/>
    </row>
    <row r="56" ht="16.5" customHeight="1" s="71">
      <c r="A56" s="14" t="n">
        <v>53</v>
      </c>
      <c r="B56" s="174" t="n">
        <v>46200</v>
      </c>
      <c r="C56" s="12" t="inlineStr">
        <is>
          <t>吕维春</t>
        </is>
      </c>
      <c r="D56" s="12" t="inlineStr">
        <is>
          <t>大东鹏</t>
        </is>
      </c>
      <c r="E56" s="12" t="n">
        <v>250</v>
      </c>
      <c r="F56" s="27" t="n">
        <v>90</v>
      </c>
      <c r="G56" s="156">
        <f>IF(AND(E56&lt;&gt;"",F56&lt;&gt;""),E56*F56,"")</f>
        <v>22500</v>
      </c>
      <c r="H56" s="27" t="n"/>
    </row>
    <row r="57" ht="16.5" customHeight="1" s="71">
      <c r="A57" s="14" t="n">
        <v>54</v>
      </c>
      <c r="B57" s="174" t="n">
        <v>46200</v>
      </c>
      <c r="C57" s="12" t="inlineStr">
        <is>
          <t>吕维春</t>
        </is>
      </c>
      <c r="D57" s="14" t="inlineStr">
        <is>
          <t>1L补水</t>
        </is>
      </c>
      <c r="E57" s="14" t="n">
        <v>150</v>
      </c>
      <c r="F57" s="27" t="n">
        <v>55</v>
      </c>
      <c r="G57" s="156">
        <f>IF(AND(E57&lt;&gt;"",F57&lt;&gt;""),E57*F57,"")</f>
        <v>8250</v>
      </c>
      <c r="H57" s="27" t="n"/>
    </row>
    <row r="58" ht="16.5" customHeight="1" s="71">
      <c r="A58" s="14" t="n">
        <v>55</v>
      </c>
      <c r="B58" s="174" t="n">
        <v>46200</v>
      </c>
      <c r="C58" s="12" t="inlineStr">
        <is>
          <t>吕维春</t>
        </is>
      </c>
      <c r="D58" s="12" t="inlineStr">
        <is>
          <t>1L果之茶</t>
        </is>
      </c>
      <c r="E58" s="12" t="n">
        <v>20</v>
      </c>
      <c r="F58" s="27" t="n">
        <v>43</v>
      </c>
      <c r="G58" s="156">
        <f>IF(AND(E58&lt;&gt;"",F58&lt;&gt;""),E58*F58,"")</f>
        <v>860</v>
      </c>
      <c r="H58" s="27" t="n"/>
    </row>
    <row r="59" ht="16.5" customHeight="1" s="71">
      <c r="A59" s="14" t="n">
        <v>56</v>
      </c>
      <c r="B59" s="174" t="n">
        <v>46200</v>
      </c>
      <c r="C59" s="12" t="inlineStr">
        <is>
          <t>吕维春</t>
        </is>
      </c>
      <c r="D59" s="14" t="inlineStr">
        <is>
          <t>大咖</t>
        </is>
      </c>
      <c r="E59" s="14" t="n">
        <v>10</v>
      </c>
      <c r="F59" s="27" t="n">
        <v>83</v>
      </c>
      <c r="G59" s="156">
        <f>IF(AND(E59&lt;&gt;"",F59&lt;&gt;""),E59*F59,"")</f>
        <v>830</v>
      </c>
      <c r="H59" s="27" t="n"/>
    </row>
    <row r="60" ht="16.5" customHeight="1" s="71">
      <c r="A60" s="14" t="n">
        <v>57</v>
      </c>
      <c r="B60" s="174" t="n">
        <v>46200</v>
      </c>
      <c r="C60" s="27" t="inlineStr">
        <is>
          <t>兴发商行</t>
        </is>
      </c>
      <c r="D60" s="27" t="inlineStr">
        <is>
          <t>大东鹏</t>
        </is>
      </c>
      <c r="E60" s="27" t="n">
        <v>170</v>
      </c>
      <c r="F60" s="27" t="n">
        <v>90</v>
      </c>
      <c r="G60" s="156">
        <f>IF(AND(E60&lt;&gt;"",F60&lt;&gt;""),E60*F60,"")</f>
        <v>15300</v>
      </c>
      <c r="H60" s="27" t="n"/>
    </row>
    <row r="61" ht="16.5" customHeight="1" s="71">
      <c r="A61" s="14" t="n">
        <v>58</v>
      </c>
      <c r="B61" s="174" t="n">
        <v>46200</v>
      </c>
      <c r="C61" s="27" t="inlineStr">
        <is>
          <t>城岗日日升超市</t>
        </is>
      </c>
      <c r="D61" s="27" t="inlineStr">
        <is>
          <t>大东鹏</t>
        </is>
      </c>
      <c r="E61" s="27" t="n">
        <v>164</v>
      </c>
      <c r="F61" s="27" t="n">
        <v>90</v>
      </c>
      <c r="G61" s="156">
        <f>IF(AND(E61&lt;&gt;"",F61&lt;&gt;""),E61*F61,"")</f>
        <v>14760</v>
      </c>
      <c r="H61" s="27" t="n"/>
    </row>
    <row r="62" ht="16.5" customHeight="1" s="71">
      <c r="A62" s="14" t="n">
        <v>59</v>
      </c>
      <c r="B62" s="174" t="n">
        <v>46200</v>
      </c>
      <c r="C62" s="27" t="inlineStr">
        <is>
          <t>城岗日日升超市</t>
        </is>
      </c>
      <c r="D62" s="27" t="inlineStr">
        <is>
          <t>555补水</t>
        </is>
      </c>
      <c r="E62" s="27" t="n">
        <v>40</v>
      </c>
      <c r="F62" s="27" t="n">
        <v>65</v>
      </c>
      <c r="G62" s="156">
        <f>IF(AND(E62&lt;&gt;"",F62&lt;&gt;""),E62*F62,"")</f>
        <v>2600</v>
      </c>
      <c r="H62" s="27" t="n"/>
    </row>
    <row r="63" ht="16.5" customHeight="1" s="71">
      <c r="A63" s="14" t="n">
        <v>60</v>
      </c>
      <c r="B63" s="174" t="n">
        <v>46200</v>
      </c>
      <c r="C63" s="27" t="inlineStr">
        <is>
          <t>城岗日日升超市</t>
        </is>
      </c>
      <c r="D63" s="27" t="inlineStr">
        <is>
          <t>1L补水</t>
        </is>
      </c>
      <c r="E63" s="27" t="n">
        <v>97</v>
      </c>
      <c r="F63" s="27" t="n">
        <v>55</v>
      </c>
      <c r="G63" s="156">
        <f>IF(AND(E63&lt;&gt;"",F63&lt;&gt;""),E63*F63,"")</f>
        <v>5335</v>
      </c>
      <c r="H63" s="27" t="n"/>
    </row>
    <row r="64" ht="16.5" customHeight="1" s="71">
      <c r="A64" s="14" t="n">
        <v>61</v>
      </c>
      <c r="B64" s="174" t="n">
        <v>46200</v>
      </c>
      <c r="C64" s="27" t="inlineStr">
        <is>
          <t>城岗日日升超市</t>
        </is>
      </c>
      <c r="D64" s="27" t="inlineStr">
        <is>
          <t>港式奶茶</t>
        </is>
      </c>
      <c r="E64" s="27" t="n">
        <v>64</v>
      </c>
      <c r="F64" s="27" t="n">
        <v>69</v>
      </c>
      <c r="G64" s="156">
        <f>IF(AND(E64&lt;&gt;"",F64&lt;&gt;""),E64*F64,"")</f>
        <v>4416</v>
      </c>
      <c r="H64" s="27" t="n"/>
    </row>
    <row r="65" ht="16.5" customHeight="1" s="71">
      <c r="A65" s="14" t="n">
        <v>62</v>
      </c>
      <c r="B65" s="174" t="n">
        <v>46200</v>
      </c>
      <c r="C65" s="27" t="inlineStr">
        <is>
          <t>城岗日日升超市</t>
        </is>
      </c>
      <c r="D65" s="27" t="inlineStr">
        <is>
          <t>1L果之茶</t>
        </is>
      </c>
      <c r="E65" s="27" t="n">
        <v>15.5</v>
      </c>
      <c r="F65" s="27" t="n">
        <v>43</v>
      </c>
      <c r="G65" s="156">
        <f>IF(AND(E65&lt;&gt;"",F65&lt;&gt;""),E65*F65,"")</f>
        <v>666.5</v>
      </c>
      <c r="H65" s="27" t="n"/>
    </row>
    <row r="66" ht="16.5" customHeight="1" s="71">
      <c r="A66" s="14" t="n">
        <v>63</v>
      </c>
      <c r="B66" s="174" t="n">
        <v>46200</v>
      </c>
      <c r="C66" s="27" t="inlineStr">
        <is>
          <t>城岗日日升超市</t>
        </is>
      </c>
      <c r="D66" s="27" t="inlineStr">
        <is>
          <t>小东鹏</t>
        </is>
      </c>
      <c r="E66" s="27" t="n">
        <v>39</v>
      </c>
      <c r="F66" s="27" t="n">
        <v>51</v>
      </c>
      <c r="G66" s="156">
        <f>IF(AND(E66&lt;&gt;"",F66&lt;&gt;""),E66*F66,"")</f>
        <v>1989</v>
      </c>
      <c r="H66" s="27" t="n"/>
    </row>
    <row r="67" ht="16.5" customHeight="1" s="71">
      <c r="A67" s="14" t="n">
        <v>64</v>
      </c>
      <c r="B67" s="174" t="n">
        <v>46200</v>
      </c>
      <c r="C67" s="27" t="inlineStr">
        <is>
          <t>城岗日日升超市</t>
        </is>
      </c>
      <c r="D67" s="27" t="inlineStr">
        <is>
          <t>大咖</t>
        </is>
      </c>
      <c r="E67" s="27" t="n">
        <v>19.5</v>
      </c>
      <c r="F67" s="27" t="n">
        <v>83</v>
      </c>
      <c r="G67" s="156">
        <f>IF(AND(E67&lt;&gt;"",F67&lt;&gt;""),E67*F67,"")</f>
        <v>1618.5</v>
      </c>
      <c r="H67" s="27" t="n"/>
    </row>
    <row r="68" ht="16.5" customHeight="1" s="71">
      <c r="A68" s="14" t="n">
        <v>65</v>
      </c>
      <c r="B68" s="174" t="n">
        <v>46200</v>
      </c>
      <c r="C68" s="27" t="inlineStr">
        <is>
          <t>城岗日日升超市</t>
        </is>
      </c>
      <c r="D68" s="27" t="inlineStr">
        <is>
          <t>550农夫水</t>
        </is>
      </c>
      <c r="E68" s="27" t="n">
        <v>275.5</v>
      </c>
      <c r="F68" s="27" t="n">
        <v>20</v>
      </c>
      <c r="G68" s="156">
        <f>IF(AND(E68&lt;&gt;"",F68&lt;&gt;""),E68*F68,"")</f>
        <v>5510</v>
      </c>
      <c r="H68" s="27" t="n"/>
    </row>
    <row r="69" ht="16.5" customHeight="1" s="71">
      <c r="A69" s="14" t="n">
        <v>66</v>
      </c>
      <c r="B69" s="174" t="n">
        <v>46200</v>
      </c>
      <c r="C69" s="27" t="inlineStr">
        <is>
          <t>江背久明商行</t>
        </is>
      </c>
      <c r="D69" s="27" t="inlineStr">
        <is>
          <t>大东鹏</t>
        </is>
      </c>
      <c r="E69" s="27" t="n">
        <v>524</v>
      </c>
      <c r="F69" s="27" t="n">
        <v>90</v>
      </c>
      <c r="G69" s="156">
        <f>IF(AND(E69&lt;&gt;"",F69&lt;&gt;""),E69*F69,"")</f>
        <v>47160</v>
      </c>
      <c r="H69" s="27" t="n"/>
    </row>
    <row r="70" ht="16.5" customHeight="1" s="71">
      <c r="A70" s="14" t="n">
        <v>67</v>
      </c>
      <c r="B70" s="174" t="n">
        <v>46200</v>
      </c>
      <c r="C70" s="27" t="inlineStr">
        <is>
          <t>江背久明商行</t>
        </is>
      </c>
      <c r="D70" s="27" t="inlineStr">
        <is>
          <t>大咖</t>
        </is>
      </c>
      <c r="E70" s="27" t="n">
        <v>80</v>
      </c>
      <c r="F70" s="27" t="n">
        <v>83</v>
      </c>
      <c r="G70" s="156">
        <f>IF(AND(E70&lt;&gt;"",F70&lt;&gt;""),E70*F70,"")</f>
        <v>6640</v>
      </c>
      <c r="H70" s="27" t="n"/>
    </row>
    <row r="71" ht="16.5" customHeight="1" s="71">
      <c r="A71" s="14" t="n">
        <v>68</v>
      </c>
      <c r="B71" s="174" t="n">
        <v>46200</v>
      </c>
      <c r="C71" s="27" t="inlineStr">
        <is>
          <t>江背久明商行</t>
        </is>
      </c>
      <c r="D71" s="27" t="inlineStr">
        <is>
          <t>小果之茶</t>
        </is>
      </c>
      <c r="E71" s="27" t="n">
        <v>30</v>
      </c>
      <c r="F71" s="27" t="n">
        <v>47</v>
      </c>
      <c r="G71" s="156">
        <f>IF(AND(E71&lt;&gt;"",F71&lt;&gt;""),E71*F71,"")</f>
        <v>1410</v>
      </c>
      <c r="H71" s="27" t="n"/>
    </row>
    <row r="72" ht="16.5" customHeight="1" s="71">
      <c r="A72" s="14" t="n">
        <v>69</v>
      </c>
      <c r="B72" s="174" t="n">
        <v>46200</v>
      </c>
      <c r="C72" s="27" t="inlineStr">
        <is>
          <t>江背久明商行</t>
        </is>
      </c>
      <c r="D72" s="27" t="inlineStr">
        <is>
          <t>九制陈皮</t>
        </is>
      </c>
      <c r="E72" s="27" t="n">
        <v>30</v>
      </c>
      <c r="F72" s="27" t="n">
        <v>47</v>
      </c>
      <c r="G72" s="156">
        <f>IF(AND(E72&lt;&gt;"",F72&lt;&gt;""),E72*F72,"")</f>
        <v>1410</v>
      </c>
      <c r="H72" s="27" t="n"/>
    </row>
    <row r="73" ht="16.5" customHeight="1" s="71">
      <c r="A73" s="14" t="n">
        <v>70</v>
      </c>
      <c r="B73" s="174" t="n">
        <v>46200</v>
      </c>
      <c r="C73" s="27" t="inlineStr">
        <is>
          <t>龙岗好又全超市</t>
        </is>
      </c>
      <c r="D73" s="27" t="inlineStr">
        <is>
          <t>大东鹏</t>
        </is>
      </c>
      <c r="E73" s="27" t="n">
        <v>578</v>
      </c>
      <c r="F73" s="27" t="n">
        <v>90</v>
      </c>
      <c r="G73" s="156">
        <f>IF(AND(E73&lt;&gt;"",F73&lt;&gt;""),E73*F73,"")</f>
        <v>52020</v>
      </c>
      <c r="H73" s="27" t="n"/>
    </row>
    <row r="74" ht="16.5" customHeight="1" s="71">
      <c r="A74" s="14" t="n">
        <v>71</v>
      </c>
      <c r="B74" s="174" t="n">
        <v>46200</v>
      </c>
      <c r="C74" s="27" t="inlineStr">
        <is>
          <t>龙岗好又全超市</t>
        </is>
      </c>
      <c r="D74" s="27" t="inlineStr">
        <is>
          <t>1L补水</t>
        </is>
      </c>
      <c r="E74" s="27" t="n">
        <v>476</v>
      </c>
      <c r="F74" s="27" t="n">
        <v>55</v>
      </c>
      <c r="G74" s="156">
        <f>IF(AND(E74&lt;&gt;"",F74&lt;&gt;""),E74*F74,"")</f>
        <v>26180</v>
      </c>
      <c r="H74" s="27" t="n"/>
    </row>
    <row r="75" ht="16.5" customHeight="1" s="71">
      <c r="A75" s="14" t="n">
        <v>72</v>
      </c>
      <c r="B75" s="174" t="n">
        <v>46200</v>
      </c>
      <c r="C75" s="27" t="inlineStr">
        <is>
          <t>龙岗好又全超市</t>
        </is>
      </c>
      <c r="D75" s="27" t="inlineStr">
        <is>
          <t>555补水</t>
        </is>
      </c>
      <c r="E75" s="27" t="n">
        <v>458</v>
      </c>
      <c r="F75" s="27" t="n">
        <v>65</v>
      </c>
      <c r="G75" s="156">
        <f>IF(AND(E75&lt;&gt;"",F75&lt;&gt;""),E75*F75,"")</f>
        <v>29770</v>
      </c>
      <c r="H75" s="27" t="n"/>
    </row>
    <row r="76" ht="16.5" customHeight="1" s="71">
      <c r="A76" s="14" t="n">
        <v>73</v>
      </c>
      <c r="B76" s="174" t="n">
        <v>46200</v>
      </c>
      <c r="C76" s="27" t="inlineStr">
        <is>
          <t>龙岗好又全超市</t>
        </is>
      </c>
      <c r="D76" s="27" t="inlineStr">
        <is>
          <t>1L果之茶</t>
        </is>
      </c>
      <c r="E76" s="27" t="n">
        <v>54</v>
      </c>
      <c r="F76" s="27" t="n">
        <v>43</v>
      </c>
      <c r="G76" s="156">
        <f>IF(AND(E76&lt;&gt;"",F76&lt;&gt;""),E76*F76,"")</f>
        <v>2322</v>
      </c>
      <c r="H76" s="27" t="n"/>
    </row>
    <row r="77" ht="16.5" customHeight="1" s="71">
      <c r="A77" s="14" t="n">
        <v>74</v>
      </c>
      <c r="B77" s="174" t="n">
        <v>46200</v>
      </c>
      <c r="C77" s="27" t="inlineStr">
        <is>
          <t>龙岗好又全超市</t>
        </is>
      </c>
      <c r="D77" s="27" t="inlineStr">
        <is>
          <t>大咖</t>
        </is>
      </c>
      <c r="E77" s="27" t="n">
        <v>64</v>
      </c>
      <c r="F77" s="27" t="n">
        <v>83</v>
      </c>
      <c r="G77" s="156">
        <f>IF(AND(E77&lt;&gt;"",F77&lt;&gt;""),E77*F77,"")</f>
        <v>5312</v>
      </c>
      <c r="H77" s="27" t="n"/>
    </row>
    <row r="78" ht="16.5" customHeight="1" s="71">
      <c r="A78" s="14" t="n">
        <v>75</v>
      </c>
      <c r="B78" s="174" t="n">
        <v>46200</v>
      </c>
      <c r="C78" s="27" t="inlineStr">
        <is>
          <t>龙岗好又全超市</t>
        </is>
      </c>
      <c r="D78" s="27" t="inlineStr">
        <is>
          <t>港式奶茶</t>
        </is>
      </c>
      <c r="E78" s="27" t="n">
        <v>262</v>
      </c>
      <c r="F78" s="27" t="n">
        <v>69</v>
      </c>
      <c r="G78" s="156">
        <f>IF(AND(E78&lt;&gt;"",F78&lt;&gt;""),E78*F78,"")</f>
        <v>18078</v>
      </c>
      <c r="H78" s="27" t="n"/>
    </row>
    <row r="79" ht="16.5" customHeight="1" s="71">
      <c r="A79" s="14" t="n">
        <v>76</v>
      </c>
      <c r="B79" s="174" t="n">
        <v>46200</v>
      </c>
      <c r="C79" s="27" t="inlineStr">
        <is>
          <t>龙岗好又全超市</t>
        </is>
      </c>
      <c r="D79" s="27" t="inlineStr">
        <is>
          <t>1.25海岛椰</t>
        </is>
      </c>
      <c r="E79" s="27" t="n">
        <v>30</v>
      </c>
      <c r="F79" s="27" t="n">
        <v>50</v>
      </c>
      <c r="G79" s="156">
        <f>IF(AND(E79&lt;&gt;"",F79&lt;&gt;""),E79*F79,"")</f>
        <v>1500</v>
      </c>
      <c r="H79" s="27" t="n"/>
    </row>
    <row r="80" ht="16.5" customHeight="1" s="71">
      <c r="A80" s="14" t="n">
        <v>77</v>
      </c>
      <c r="B80" s="174" t="n">
        <v>46200</v>
      </c>
      <c r="C80" s="27" t="inlineStr">
        <is>
          <t>龙岗好又全超市</t>
        </is>
      </c>
      <c r="D80" s="27" t="inlineStr">
        <is>
          <t>小东鹏</t>
        </is>
      </c>
      <c r="E80" s="27" t="n">
        <v>50</v>
      </c>
      <c r="F80" s="27" t="n">
        <v>51</v>
      </c>
      <c r="G80" s="156">
        <f>IF(AND(E80&lt;&gt;"",F80&lt;&gt;""),E80*F80,"")</f>
        <v>2550</v>
      </c>
      <c r="H80" s="27" t="n"/>
    </row>
    <row r="81" ht="16.5" customHeight="1" s="71">
      <c r="A81" s="14" t="n">
        <v>78</v>
      </c>
      <c r="B81" s="174" t="n">
        <v>46200</v>
      </c>
      <c r="C81" s="27" t="inlineStr">
        <is>
          <t>社富丽华超市</t>
        </is>
      </c>
      <c r="D81" s="27" t="inlineStr">
        <is>
          <t>大东鹏</t>
        </is>
      </c>
      <c r="E81" s="27" t="n">
        <v>90</v>
      </c>
      <c r="F81" s="27" t="n">
        <v>90</v>
      </c>
      <c r="G81" s="156">
        <f>IF(AND(E81&lt;&gt;"",F81&lt;&gt;""),E81*F81,"")</f>
        <v>8100</v>
      </c>
      <c r="H81" s="27" t="n"/>
    </row>
    <row r="82" ht="16.5" customHeight="1" s="71">
      <c r="A82" s="14" t="n">
        <v>79</v>
      </c>
      <c r="B82" s="174" t="n">
        <v>46200</v>
      </c>
      <c r="C82" s="27" t="inlineStr">
        <is>
          <t>九鑫粮油</t>
        </is>
      </c>
      <c r="D82" s="27" t="inlineStr">
        <is>
          <t>大东鹏</t>
        </is>
      </c>
      <c r="E82" s="27" t="n">
        <v>35</v>
      </c>
      <c r="F82" s="27" t="n">
        <v>90</v>
      </c>
      <c r="G82" s="156">
        <f>IF(AND(E82&lt;&gt;"",F82&lt;&gt;""),E82*F82,"")</f>
        <v>3150</v>
      </c>
      <c r="H82" s="27" t="n"/>
    </row>
    <row r="83" ht="16.5" customHeight="1" s="71">
      <c r="A83" s="14" t="n">
        <v>80</v>
      </c>
      <c r="B83" s="174" t="n">
        <v>46200</v>
      </c>
      <c r="C83" s="27" t="inlineStr">
        <is>
          <t>鼎龙陈财超市</t>
        </is>
      </c>
      <c r="D83" s="27" t="inlineStr">
        <is>
          <t>大东鹏</t>
        </is>
      </c>
      <c r="E83" s="27" t="n">
        <v>379</v>
      </c>
      <c r="F83" s="27" t="n">
        <v>90</v>
      </c>
      <c r="G83" s="156">
        <f>IF(AND(E83&lt;&gt;"",F83&lt;&gt;""),E83*F83,"")</f>
        <v>34110</v>
      </c>
      <c r="H83" s="27" t="n"/>
    </row>
    <row r="84" ht="16.5" customHeight="1" s="71">
      <c r="A84" s="14" t="n">
        <v>81</v>
      </c>
      <c r="B84" s="174" t="n">
        <v>46200</v>
      </c>
      <c r="C84" s="27" t="inlineStr">
        <is>
          <t>鼎龙陈财超市</t>
        </is>
      </c>
      <c r="D84" s="27" t="inlineStr">
        <is>
          <t>555补水</t>
        </is>
      </c>
      <c r="E84" s="27" t="n">
        <v>214.5</v>
      </c>
      <c r="F84" s="27" t="n">
        <v>65</v>
      </c>
      <c r="G84" s="156">
        <f>IF(AND(E84&lt;&gt;"",F84&lt;&gt;""),E84*F84,"")</f>
        <v>13942.5</v>
      </c>
      <c r="H84" s="27" t="n"/>
    </row>
    <row r="85" ht="16.5" customHeight="1" s="71">
      <c r="A85" s="14" t="n">
        <v>82</v>
      </c>
      <c r="B85" s="174" t="n">
        <v>46200</v>
      </c>
      <c r="C85" s="27" t="inlineStr">
        <is>
          <t>鼎龙陈财超市</t>
        </is>
      </c>
      <c r="D85" s="27" t="inlineStr">
        <is>
          <t>1L补水</t>
        </is>
      </c>
      <c r="E85" s="27" t="n">
        <v>270</v>
      </c>
      <c r="F85" s="27" t="n">
        <v>55</v>
      </c>
      <c r="G85" s="156">
        <f>IF(AND(E85&lt;&gt;"",F85&lt;&gt;""),E85*F85,"")</f>
        <v>14850</v>
      </c>
      <c r="H85" s="27" t="n"/>
    </row>
    <row r="86" ht="16.5" customHeight="1" s="71">
      <c r="A86" s="14" t="n">
        <v>83</v>
      </c>
      <c r="B86" s="174" t="n">
        <v>46200</v>
      </c>
      <c r="C86" s="27" t="inlineStr">
        <is>
          <t>鼎龙陈财超市</t>
        </is>
      </c>
      <c r="D86" s="27" t="inlineStr">
        <is>
          <t>小东鹏</t>
        </is>
      </c>
      <c r="E86" s="27" t="n">
        <v>20</v>
      </c>
      <c r="F86" s="27" t="n">
        <v>51</v>
      </c>
      <c r="G86" s="156">
        <f>IF(AND(E86&lt;&gt;"",F86&lt;&gt;""),E86*F86,"")</f>
        <v>1020</v>
      </c>
      <c r="H86" s="27" t="n"/>
    </row>
    <row r="87" ht="16.5" customHeight="1" s="71">
      <c r="A87" s="14" t="n">
        <v>84</v>
      </c>
      <c r="B87" s="174" t="n">
        <v>46200</v>
      </c>
      <c r="C87" s="27" t="inlineStr">
        <is>
          <t>鼎龙陈财超市</t>
        </is>
      </c>
      <c r="D87" s="27" t="inlineStr">
        <is>
          <t>大咖</t>
        </is>
      </c>
      <c r="E87" s="27" t="n">
        <v>70</v>
      </c>
      <c r="F87" s="27" t="n">
        <v>83</v>
      </c>
      <c r="G87" s="156">
        <f>IF(AND(E87&lt;&gt;"",F87&lt;&gt;""),E87*F87,"")</f>
        <v>5810</v>
      </c>
      <c r="H87" s="27" t="n"/>
    </row>
    <row r="88" ht="16.5" customHeight="1" s="71">
      <c r="A88" s="14" t="n">
        <v>85</v>
      </c>
      <c r="B88" s="174" t="n">
        <v>46200</v>
      </c>
      <c r="C88" s="27" t="inlineStr">
        <is>
          <t>鼎龙陈财超市</t>
        </is>
      </c>
      <c r="D88" s="27" t="inlineStr">
        <is>
          <t>港式奶茶</t>
        </is>
      </c>
      <c r="E88" s="27" t="n">
        <v>150</v>
      </c>
      <c r="F88" s="27" t="n">
        <v>69</v>
      </c>
      <c r="G88" s="156">
        <f>IF(AND(E88&lt;&gt;"",F88&lt;&gt;""),E88*F88,"")</f>
        <v>10350</v>
      </c>
      <c r="H88" s="27" t="n"/>
    </row>
    <row r="89" ht="16.5" customHeight="1" s="71">
      <c r="A89" s="14" t="n">
        <v>86</v>
      </c>
      <c r="B89" s="174" t="n">
        <v>46200</v>
      </c>
      <c r="C89" s="27" t="inlineStr">
        <is>
          <t>洪门美群商行</t>
        </is>
      </c>
      <c r="D89" s="27" t="inlineStr">
        <is>
          <t>大东鹏</t>
        </is>
      </c>
      <c r="E89" s="27" t="n">
        <v>50</v>
      </c>
      <c r="F89" s="27" t="n">
        <v>90</v>
      </c>
      <c r="G89" s="156">
        <f>IF(AND(E89&lt;&gt;"",F89&lt;&gt;""),E89*F89,"")</f>
        <v>4500</v>
      </c>
      <c r="H89" s="27" t="n"/>
    </row>
    <row r="90" ht="16.5" customHeight="1" s="71">
      <c r="A90" s="14" t="n">
        <v>87</v>
      </c>
      <c r="B90" s="174" t="n">
        <v>46200</v>
      </c>
      <c r="C90" s="27" t="inlineStr">
        <is>
          <t>兴江家源超市</t>
        </is>
      </c>
      <c r="D90" s="27" t="inlineStr">
        <is>
          <t>大东鹏</t>
        </is>
      </c>
      <c r="E90" s="27" t="n">
        <v>20</v>
      </c>
      <c r="F90" s="27" t="n">
        <v>90</v>
      </c>
      <c r="G90" s="156">
        <f>IF(AND(E90&lt;&gt;"",F90&lt;&gt;""),E90*F90,"")</f>
        <v>1800</v>
      </c>
      <c r="H90" s="27" t="inlineStr">
        <is>
          <t>2024年7月5日存条</t>
        </is>
      </c>
    </row>
    <row r="91" ht="16.5" customHeight="1" s="71">
      <c r="A91" s="14" t="n">
        <v>88</v>
      </c>
      <c r="B91" s="174" t="n">
        <v>46200</v>
      </c>
      <c r="C91" s="27" t="inlineStr">
        <is>
          <t>枫边德华超市</t>
        </is>
      </c>
      <c r="D91" s="27" t="inlineStr">
        <is>
          <t>大东鹏</t>
        </is>
      </c>
      <c r="E91" s="27" t="n">
        <v>100</v>
      </c>
      <c r="F91" s="27" t="n">
        <v>90</v>
      </c>
      <c r="G91" s="156">
        <f>IF(AND(E91&lt;&gt;"",F91&lt;&gt;""),E91*F91,"")</f>
        <v>9000</v>
      </c>
      <c r="H91" s="27" t="n"/>
    </row>
    <row r="92" ht="16.5" customHeight="1" s="71">
      <c r="A92" s="14" t="n">
        <v>89</v>
      </c>
      <c r="B92" s="174" t="n">
        <v>46200</v>
      </c>
      <c r="C92" s="27" t="inlineStr">
        <is>
          <t>枫边德华超市</t>
        </is>
      </c>
      <c r="D92" s="27" t="inlineStr">
        <is>
          <t>555补水</t>
        </is>
      </c>
      <c r="E92" s="27" t="n">
        <v>80</v>
      </c>
      <c r="F92" s="27" t="n">
        <v>65</v>
      </c>
      <c r="G92" s="156">
        <f>IF(AND(E92&lt;&gt;"",F92&lt;&gt;""),E92*F92,"")</f>
        <v>5200</v>
      </c>
      <c r="H92" s="27" t="n"/>
    </row>
    <row r="93" ht="16.5" customHeight="1" s="71">
      <c r="A93" s="14" t="n">
        <v>90</v>
      </c>
      <c r="B93" s="174" t="n">
        <v>46200</v>
      </c>
      <c r="C93" s="27" t="inlineStr">
        <is>
          <t>枫边德华超市</t>
        </is>
      </c>
      <c r="D93" s="27" t="inlineStr">
        <is>
          <t>1L补水</t>
        </is>
      </c>
      <c r="E93" s="27" t="n">
        <v>80</v>
      </c>
      <c r="F93" s="27" t="n">
        <v>55</v>
      </c>
      <c r="G93" s="156">
        <f>IF(AND(E93&lt;&gt;"",F93&lt;&gt;""),E93*F93,"")</f>
        <v>4400</v>
      </c>
      <c r="H93" s="27" t="n"/>
    </row>
    <row r="94" ht="16.5" customHeight="1" s="71">
      <c r="A94" s="14" t="n">
        <v>91</v>
      </c>
      <c r="B94" s="174" t="n">
        <v>46200</v>
      </c>
      <c r="C94" s="27" t="inlineStr">
        <is>
          <t>枫边德华超市</t>
        </is>
      </c>
      <c r="D94" s="27" t="inlineStr">
        <is>
          <t>港式奶茶</t>
        </is>
      </c>
      <c r="E94" s="27" t="n">
        <v>80</v>
      </c>
      <c r="F94" s="27" t="n">
        <v>69</v>
      </c>
      <c r="G94" s="156">
        <f>IF(AND(E94&lt;&gt;"",F94&lt;&gt;""),E94*F94,"")</f>
        <v>5520</v>
      </c>
      <c r="H94" s="27" t="n"/>
    </row>
    <row r="95" ht="16.5" customHeight="1" s="71">
      <c r="A95" s="14" t="n">
        <v>92</v>
      </c>
      <c r="B95" s="174" t="n">
        <v>46200</v>
      </c>
      <c r="C95" s="27" t="inlineStr">
        <is>
          <t>枫边德华超市</t>
        </is>
      </c>
      <c r="D95" s="27" t="inlineStr">
        <is>
          <t>1L果之茶</t>
        </is>
      </c>
      <c r="E95" s="27" t="n">
        <v>80</v>
      </c>
      <c r="F95" s="27" t="n">
        <v>46</v>
      </c>
      <c r="G95" s="156">
        <f>IF(AND(E95&lt;&gt;"",F95&lt;&gt;""),E95*F95,"")</f>
        <v>3680</v>
      </c>
      <c r="H95" s="27" t="n"/>
    </row>
    <row r="96" ht="16.5" customHeight="1" s="71">
      <c r="A96" s="14" t="n">
        <v>93</v>
      </c>
      <c r="B96" s="174" t="n">
        <v>46200</v>
      </c>
      <c r="C96" s="27" t="inlineStr">
        <is>
          <t>枫边德华超市</t>
        </is>
      </c>
      <c r="D96" s="27" t="inlineStr">
        <is>
          <t>九制陈皮</t>
        </is>
      </c>
      <c r="E96" s="27" t="n">
        <v>40</v>
      </c>
      <c r="F96" s="27" t="n">
        <v>47</v>
      </c>
      <c r="G96" s="156">
        <f>IF(AND(E96&lt;&gt;"",F96&lt;&gt;""),E96*F96,"")</f>
        <v>1880</v>
      </c>
      <c r="H96" s="27" t="n"/>
    </row>
    <row r="97" ht="16.5" customHeight="1" s="71">
      <c r="A97" s="14" t="n">
        <v>94</v>
      </c>
      <c r="B97" s="174" t="n">
        <v>46200</v>
      </c>
      <c r="C97" s="27" t="inlineStr">
        <is>
          <t>枫边德华超市</t>
        </is>
      </c>
      <c r="D97" s="27" t="inlineStr">
        <is>
          <t>小果之茶</t>
        </is>
      </c>
      <c r="E97" s="27" t="n">
        <v>40</v>
      </c>
      <c r="F97" s="27" t="n">
        <v>47</v>
      </c>
      <c r="G97" s="156">
        <f>IF(AND(E97&lt;&gt;"",F97&lt;&gt;""),E97*F97,"")</f>
        <v>1880</v>
      </c>
      <c r="H97" s="27" t="n"/>
    </row>
    <row r="98" ht="16.5" customHeight="1" s="71">
      <c r="A98" s="14" t="n">
        <v>95</v>
      </c>
      <c r="B98" s="174" t="n">
        <v>46200</v>
      </c>
      <c r="C98" s="27" t="inlineStr">
        <is>
          <t>枫边德华超市</t>
        </is>
      </c>
      <c r="D98" s="27" t="inlineStr">
        <is>
          <t>大咖</t>
        </is>
      </c>
      <c r="E98" s="27" t="n">
        <v>80</v>
      </c>
      <c r="F98" s="27" t="n">
        <v>86</v>
      </c>
      <c r="G98" s="156">
        <f>IF(AND(E98&lt;&gt;"",F98&lt;&gt;""),E98*F98,"")</f>
        <v>6880</v>
      </c>
      <c r="H98" s="27" t="n"/>
    </row>
    <row r="99" ht="16.5" customHeight="1" s="71">
      <c r="A99" s="14" t="n">
        <v>96</v>
      </c>
      <c r="B99" s="174" t="n">
        <v>46200</v>
      </c>
      <c r="C99" s="27" t="inlineStr">
        <is>
          <t>梅窖建军批发</t>
        </is>
      </c>
      <c r="D99" s="27" t="inlineStr">
        <is>
          <t>1L补水</t>
        </is>
      </c>
      <c r="E99" s="27" t="n">
        <v>80</v>
      </c>
      <c r="F99" s="27" t="n">
        <v>55</v>
      </c>
      <c r="G99" s="156">
        <f>IF(AND(E99&lt;&gt;"",F99&lt;&gt;""),E99*F99,"")</f>
        <v>4400</v>
      </c>
      <c r="H99" s="27" t="n"/>
    </row>
    <row r="100" ht="16.5" customHeight="1" s="71">
      <c r="A100" s="14" t="n">
        <v>97</v>
      </c>
      <c r="B100" s="174" t="n">
        <v>46200</v>
      </c>
      <c r="C100" s="27" t="inlineStr">
        <is>
          <t>梅窖建军批发</t>
        </is>
      </c>
      <c r="D100" s="27" t="inlineStr">
        <is>
          <t>555补水</t>
        </is>
      </c>
      <c r="E100" s="27" t="n">
        <v>60</v>
      </c>
      <c r="F100" s="27" t="n">
        <v>65</v>
      </c>
      <c r="G100" s="156">
        <f>IF(AND(E100&lt;&gt;"",F100&lt;&gt;""),E100*F100,"")</f>
        <v>3900</v>
      </c>
      <c r="H100" s="27" t="n"/>
    </row>
    <row r="101" ht="16.5" customHeight="1" s="71">
      <c r="A101" s="14" t="n">
        <v>98</v>
      </c>
      <c r="B101" s="174" t="n">
        <v>46200</v>
      </c>
      <c r="C101" s="27" t="inlineStr">
        <is>
          <t>梅窖建军批发</t>
        </is>
      </c>
      <c r="D101" s="27" t="inlineStr">
        <is>
          <t>1L果之茶</t>
        </is>
      </c>
      <c r="E101" s="27" t="n">
        <v>80</v>
      </c>
      <c r="F101" s="27" t="n">
        <v>43</v>
      </c>
      <c r="G101" s="156">
        <f>IF(AND(E101&lt;&gt;"",F101&lt;&gt;""),E101*F101,"")</f>
        <v>3440</v>
      </c>
      <c r="H101" s="27" t="n"/>
    </row>
    <row r="102" ht="16.5" customHeight="1" s="71">
      <c r="A102" s="14" t="n">
        <v>99</v>
      </c>
      <c r="B102" s="174" t="n">
        <v>46200</v>
      </c>
      <c r="C102" s="27" t="inlineStr">
        <is>
          <t>洪门兴诚超市</t>
        </is>
      </c>
      <c r="D102" s="27" t="inlineStr">
        <is>
          <t>大东鹏</t>
        </is>
      </c>
      <c r="E102" s="27" t="n">
        <v>500</v>
      </c>
      <c r="F102" s="27" t="n">
        <v>90</v>
      </c>
      <c r="G102" s="156">
        <f>IF(AND(E102&lt;&gt;"",F102&lt;&gt;""),E102*F102,"")</f>
        <v>45000</v>
      </c>
      <c r="H102" s="27" t="n"/>
    </row>
    <row r="103" ht="16.5" customHeight="1" s="71">
      <c r="A103" s="14" t="n">
        <v>100</v>
      </c>
      <c r="B103" s="174" t="n">
        <v>46171</v>
      </c>
      <c r="C103" s="27" t="inlineStr">
        <is>
          <t>和睦公园百顺</t>
        </is>
      </c>
      <c r="D103" s="27" t="inlineStr">
        <is>
          <t>大东鹏</t>
        </is>
      </c>
      <c r="E103" s="27" t="n">
        <v>300</v>
      </c>
      <c r="F103" s="27" t="n">
        <v>90</v>
      </c>
      <c r="G103" s="156">
        <f>IF(AND(E103&lt;&gt;"",F103&lt;&gt;""),E103*F103,"")</f>
        <v>27000</v>
      </c>
      <c r="H103" s="27" t="n"/>
    </row>
    <row r="104" ht="16.5" customHeight="1" s="71">
      <c r="A104" s="14" t="n">
        <v>101</v>
      </c>
      <c r="B104" s="174" t="n">
        <v>46204</v>
      </c>
      <c r="C104" s="27" t="inlineStr">
        <is>
          <t>红军路怡品折扣店</t>
        </is>
      </c>
      <c r="D104" s="27" t="inlineStr">
        <is>
          <t>大东鹏</t>
        </is>
      </c>
      <c r="E104" s="27" t="n">
        <v>60</v>
      </c>
      <c r="F104" s="27" t="n">
        <v>90</v>
      </c>
      <c r="G104" s="156">
        <f>IF(AND(E104&lt;&gt;"",F104&lt;&gt;""),E104*F104,"")</f>
        <v>5400</v>
      </c>
      <c r="H104" s="27" t="n"/>
    </row>
    <row r="105" ht="16.5" customHeight="1" s="71">
      <c r="A105" s="14" t="n">
        <v>102</v>
      </c>
      <c r="B105" s="174" t="n">
        <v>46209</v>
      </c>
      <c r="C105" s="27" t="inlineStr">
        <is>
          <t>贸易广场老吴副食</t>
        </is>
      </c>
      <c r="D105" s="27" t="inlineStr">
        <is>
          <t>大东鹏</t>
        </is>
      </c>
      <c r="E105" s="27" t="n">
        <v>50</v>
      </c>
      <c r="F105" s="27" t="n">
        <v>90</v>
      </c>
      <c r="G105" s="156">
        <f>IF(AND(E105&lt;&gt;"",F105&lt;&gt;""),E105*F105,"")</f>
        <v>4500</v>
      </c>
      <c r="H105" s="27" t="n"/>
    </row>
    <row r="106" ht="16.5" customHeight="1" s="71">
      <c r="A106" s="14" t="n">
        <v>104</v>
      </c>
      <c r="B106" s="174" t="n">
        <v>46215</v>
      </c>
      <c r="C106" s="27" t="inlineStr">
        <is>
          <t>崇贤三角超市</t>
        </is>
      </c>
      <c r="D106" s="27" t="inlineStr">
        <is>
          <t>大东鹏</t>
        </is>
      </c>
      <c r="E106" s="27" t="n">
        <v>25</v>
      </c>
      <c r="F106" s="27" t="n">
        <v>93</v>
      </c>
      <c r="G106" s="156">
        <f>IF(AND(E106&lt;&gt;"",F106&lt;&gt;""),E106*F106,"")</f>
        <v>2325</v>
      </c>
      <c r="H106" s="27" t="n"/>
    </row>
    <row r="107" ht="16.5" customHeight="1" s="71">
      <c r="A107" s="14" t="n">
        <v>105</v>
      </c>
      <c r="B107" s="174" t="n">
        <v>46215</v>
      </c>
      <c r="C107" s="27" t="inlineStr">
        <is>
          <t>崇贤三角超市</t>
        </is>
      </c>
      <c r="D107" s="27" t="inlineStr">
        <is>
          <t>1L补水</t>
        </is>
      </c>
      <c r="E107" s="27" t="n">
        <v>5</v>
      </c>
      <c r="F107" s="27" t="n">
        <v>58</v>
      </c>
      <c r="G107" s="156">
        <f>IF(AND(E107&lt;&gt;"",F107&lt;&gt;""),E107*F107,"")</f>
        <v>290</v>
      </c>
      <c r="H107" s="27" t="n"/>
    </row>
    <row r="108" ht="16.5" customHeight="1" s="71">
      <c r="A108" s="14" t="n">
        <v>106</v>
      </c>
      <c r="B108" s="174" t="n">
        <v>46215</v>
      </c>
      <c r="C108" s="27" t="inlineStr">
        <is>
          <t>崇贤三角超市</t>
        </is>
      </c>
      <c r="D108" s="27" t="inlineStr">
        <is>
          <t>555补水</t>
        </is>
      </c>
      <c r="E108" s="27" t="n">
        <v>5</v>
      </c>
      <c r="F108" s="27" t="n">
        <v>68</v>
      </c>
      <c r="G108" s="156">
        <f>IF(AND(E108&lt;&gt;"",F108&lt;&gt;""),E108*F108,"")</f>
        <v>340</v>
      </c>
      <c r="H108" s="27" t="n"/>
    </row>
    <row r="109" ht="16.5" customHeight="1" s="71">
      <c r="A109" s="14" t="n">
        <v>107</v>
      </c>
      <c r="B109" s="174" t="n">
        <v>46213</v>
      </c>
      <c r="C109" s="27" t="inlineStr">
        <is>
          <t>财源批发</t>
        </is>
      </c>
      <c r="D109" s="27" t="inlineStr">
        <is>
          <t>大东鹏</t>
        </is>
      </c>
      <c r="E109" s="27" t="n">
        <v>50</v>
      </c>
      <c r="F109" s="27" t="n">
        <v>90</v>
      </c>
      <c r="G109" s="156">
        <f>IF(AND(E109&lt;&gt;"",F109&lt;&gt;""),E109*F109,"")</f>
        <v>4500</v>
      </c>
      <c r="H109" s="27" t="n"/>
    </row>
    <row r="110" ht="16.5" customHeight="1" s="71">
      <c r="A110" s="14" t="n">
        <v>108</v>
      </c>
      <c r="B110" s="174" t="n">
        <v>46221</v>
      </c>
      <c r="C110" s="27" t="inlineStr">
        <is>
          <t>标哥副食</t>
        </is>
      </c>
      <c r="D110" s="27" t="inlineStr">
        <is>
          <t>大东鹏</t>
        </is>
      </c>
      <c r="E110" s="27" t="n">
        <v>15.5</v>
      </c>
      <c r="F110" s="27" t="n">
        <v>93</v>
      </c>
      <c r="G110" s="156">
        <f>IF(AND(E110&lt;&gt;"",F110&lt;&gt;""),E110*F110,"")</f>
        <v>1441.5</v>
      </c>
      <c r="H110" s="27" t="n"/>
    </row>
    <row r="111" ht="16.5" customHeight="1" s="71">
      <c r="A111" s="14" t="n">
        <v>109</v>
      </c>
      <c r="B111" s="174" t="n">
        <v>46221</v>
      </c>
      <c r="C111" s="27" t="inlineStr">
        <is>
          <t>标哥副食</t>
        </is>
      </c>
      <c r="D111" s="27" t="inlineStr">
        <is>
          <t>555补水</t>
        </is>
      </c>
      <c r="E111" s="27" t="n">
        <v>2.5</v>
      </c>
      <c r="F111" s="27" t="n">
        <v>68</v>
      </c>
      <c r="G111" s="156">
        <f>IF(AND(E111&lt;&gt;"",F111&lt;&gt;""),E111*F111,"")</f>
        <v>170</v>
      </c>
      <c r="H111" s="27" t="n"/>
    </row>
    <row r="112" ht="16.5" customHeight="1" s="71">
      <c r="A112" s="14" t="n">
        <v>110</v>
      </c>
      <c r="B112" s="174" t="n">
        <v>46221</v>
      </c>
      <c r="C112" s="27" t="inlineStr">
        <is>
          <t>标哥副食</t>
        </is>
      </c>
      <c r="D112" s="27" t="inlineStr">
        <is>
          <t>1L果之茶</t>
        </is>
      </c>
      <c r="E112" s="27" t="n">
        <v>5</v>
      </c>
      <c r="F112" s="27" t="n">
        <v>46</v>
      </c>
      <c r="G112" s="156">
        <f>IF(AND(E112&lt;&gt;"",F112&lt;&gt;""),E112*F112,"")</f>
        <v>230</v>
      </c>
      <c r="H112" s="27" t="n"/>
    </row>
    <row r="113" ht="16.5" customHeight="1" s="71">
      <c r="A113" s="14" t="n">
        <v>111</v>
      </c>
      <c r="B113" s="174" t="n">
        <v>46221</v>
      </c>
      <c r="C113" s="27" t="inlineStr">
        <is>
          <t>标哥副食</t>
        </is>
      </c>
      <c r="D113" s="27" t="inlineStr">
        <is>
          <t>九制陈皮</t>
        </is>
      </c>
      <c r="E113" s="27" t="n">
        <v>2</v>
      </c>
      <c r="F113" s="27" t="n">
        <v>50</v>
      </c>
      <c r="G113" s="156">
        <f>IF(AND(E113&lt;&gt;"",F113&lt;&gt;""),E113*F113,"")</f>
        <v>100</v>
      </c>
      <c r="H113" s="27" t="n"/>
    </row>
    <row r="114" ht="16.5" customHeight="1" s="71">
      <c r="A114" s="14" t="n">
        <v>112</v>
      </c>
      <c r="B114" s="174" t="n">
        <v>46221</v>
      </c>
      <c r="C114" s="27" t="inlineStr">
        <is>
          <t>标哥副食</t>
        </is>
      </c>
      <c r="D114" s="27" t="inlineStr">
        <is>
          <t>大咖</t>
        </is>
      </c>
      <c r="E114" s="27" t="n">
        <v>1</v>
      </c>
      <c r="F114" s="27" t="n">
        <v>86</v>
      </c>
      <c r="G114" s="156">
        <f>IF(AND(E114&lt;&gt;"",F114&lt;&gt;""),E114*F114,"")</f>
        <v>86</v>
      </c>
      <c r="H114" s="27" t="n"/>
    </row>
    <row r="115" ht="16.5" customHeight="1" s="71">
      <c r="A115" s="14" t="n">
        <v>113</v>
      </c>
      <c r="B115" s="174" t="n">
        <v>46221</v>
      </c>
      <c r="C115" s="27" t="inlineStr">
        <is>
          <t>标哥副食</t>
        </is>
      </c>
      <c r="D115" s="27" t="inlineStr">
        <is>
          <t>1L焙好茶</t>
        </is>
      </c>
      <c r="E115" s="27" t="n">
        <v>1</v>
      </c>
      <c r="F115" s="27" t="n">
        <v>46</v>
      </c>
      <c r="G115" s="156">
        <f>IF(AND(E115&lt;&gt;"",F115&lt;&gt;""),E115*F115,"")</f>
        <v>46</v>
      </c>
      <c r="H115" s="27" t="n"/>
    </row>
    <row r="116" ht="16.5" customHeight="1" s="71">
      <c r="A116" s="14" t="n">
        <v>114</v>
      </c>
      <c r="B116" s="174" t="n">
        <v>46221</v>
      </c>
      <c r="C116" s="27" t="inlineStr">
        <is>
          <t>标哥副食</t>
        </is>
      </c>
      <c r="D116" s="27" t="inlineStr">
        <is>
          <t>555椰子水</t>
        </is>
      </c>
      <c r="E116" s="27" t="n">
        <v>1</v>
      </c>
      <c r="F116" s="27" t="n">
        <v>93</v>
      </c>
      <c r="G116" s="156">
        <f>IF(AND(E116&lt;&gt;"",F116&lt;&gt;""),E116*F116,"")</f>
        <v>93</v>
      </c>
      <c r="H116" s="27" t="n"/>
    </row>
    <row r="117" ht="16.5" customHeight="1" s="71">
      <c r="A117" s="14" t="n">
        <v>115</v>
      </c>
      <c r="B117" s="174" t="n">
        <v>46221</v>
      </c>
      <c r="C117" s="27" t="inlineStr">
        <is>
          <t>标哥副食</t>
        </is>
      </c>
      <c r="D117" s="27" t="inlineStr">
        <is>
          <t>1L补水</t>
        </is>
      </c>
      <c r="E117" s="27" t="n">
        <v>1</v>
      </c>
      <c r="F117" s="27" t="n">
        <v>58</v>
      </c>
      <c r="G117" s="156">
        <f>IF(AND(E117&lt;&gt;"",F117&lt;&gt;""),E117*F117,"")</f>
        <v>58</v>
      </c>
      <c r="H117" s="27" t="n"/>
    </row>
    <row r="118" ht="16.5" customHeight="1" s="71">
      <c r="A118" s="14" t="n">
        <v>116</v>
      </c>
      <c r="B118" s="174" t="n">
        <v>46221</v>
      </c>
      <c r="C118" s="27" t="inlineStr">
        <is>
          <t>标哥副食</t>
        </is>
      </c>
      <c r="D118" s="27" t="inlineStr">
        <is>
          <t>330海岛椰</t>
        </is>
      </c>
      <c r="E118" s="27" t="n">
        <v>5</v>
      </c>
      <c r="F118" s="27" t="n">
        <v>36</v>
      </c>
      <c r="G118" s="156">
        <f>IF(AND(E118&lt;&gt;"",F118&lt;&gt;""),E118*F118,"")</f>
        <v>180</v>
      </c>
      <c r="H118" s="27" t="n"/>
    </row>
    <row r="119" ht="16.5" customHeight="1" s="71">
      <c r="A119" s="14" t="n">
        <v>117</v>
      </c>
      <c r="B119" s="174" t="n">
        <v>46221</v>
      </c>
      <c r="C119" s="27" t="inlineStr">
        <is>
          <t>标哥副食</t>
        </is>
      </c>
      <c r="D119" s="27" t="inlineStr">
        <is>
          <t>港式奶茶</t>
        </is>
      </c>
      <c r="E119" s="27" t="n">
        <v>1</v>
      </c>
      <c r="F119" s="27" t="n">
        <v>72</v>
      </c>
      <c r="G119" s="156">
        <f>IF(AND(E119&lt;&gt;"",F119&lt;&gt;""),E119*F119,"")</f>
        <v>72</v>
      </c>
      <c r="H119" s="27" t="n"/>
    </row>
    <row r="120" ht="16.5" customHeight="1" s="71">
      <c r="A120" s="14" t="n">
        <v>118</v>
      </c>
      <c r="B120" s="174" t="n">
        <v>46221</v>
      </c>
      <c r="C120" s="27" t="inlineStr">
        <is>
          <t>标哥副食</t>
        </is>
      </c>
      <c r="D120" s="27" t="inlineStr">
        <is>
          <t>小果之茶</t>
        </is>
      </c>
      <c r="E120" s="27" t="n">
        <v>1</v>
      </c>
      <c r="F120" s="27" t="n">
        <v>50</v>
      </c>
      <c r="G120" s="156">
        <f>IF(AND(E120&lt;&gt;"",F120&lt;&gt;""),E120*F120,"")</f>
        <v>50</v>
      </c>
      <c r="H120" s="27" t="n"/>
    </row>
    <row r="121" ht="16.5" customHeight="1" s="71">
      <c r="A121" s="14" t="n">
        <v>119</v>
      </c>
      <c r="B121" s="174" t="n">
        <v>46156</v>
      </c>
      <c r="C121" s="27" t="inlineStr">
        <is>
          <t>鼎龙陈财超市</t>
        </is>
      </c>
      <c r="D121" s="27" t="inlineStr">
        <is>
          <t>大东鹏</t>
        </is>
      </c>
      <c r="E121" s="27" t="n">
        <v>1200</v>
      </c>
      <c r="F121" s="27" t="n">
        <v>80</v>
      </c>
      <c r="G121" s="156" t="n">
        <v>108000</v>
      </c>
      <c r="H121" s="27" t="n"/>
    </row>
    <row r="122" ht="16.5" customHeight="1" s="71">
      <c r="A122" s="14" t="n">
        <v>120</v>
      </c>
      <c r="B122" s="174" t="n">
        <v>46228</v>
      </c>
      <c r="C122" s="27" t="inlineStr">
        <is>
          <t>春萌副食</t>
        </is>
      </c>
      <c r="D122" s="27" t="inlineStr">
        <is>
          <t>大东鹏</t>
        </is>
      </c>
      <c r="E122" s="27" t="n">
        <v>25</v>
      </c>
      <c r="F122" s="27" t="n">
        <v>93</v>
      </c>
      <c r="G122" s="156">
        <f>IF(AND(E122&lt;&gt;"",F122&lt;&gt;""),E122*F122,"")</f>
        <v>2325</v>
      </c>
      <c r="H122" s="27" t="n"/>
    </row>
    <row r="123" ht="16.5" customHeight="1" s="71">
      <c r="A123" s="14" t="n">
        <v>121</v>
      </c>
      <c r="B123" s="174" t="n">
        <v>46226</v>
      </c>
      <c r="C123" s="27" t="inlineStr">
        <is>
          <t>城西街福临门超市</t>
        </is>
      </c>
      <c r="D123" s="27" t="inlineStr">
        <is>
          <t>大东鹏</t>
        </is>
      </c>
      <c r="E123" s="27" t="n">
        <v>22</v>
      </c>
      <c r="F123" s="27" t="n">
        <v>93</v>
      </c>
      <c r="G123" s="156">
        <f>IF(AND(E123&lt;&gt;"",F123&lt;&gt;""),E123*F123,"")</f>
        <v>2046</v>
      </c>
      <c r="H123" s="27" t="n"/>
    </row>
    <row r="124" ht="16.5" customHeight="1" s="71">
      <c r="A124" s="14" t="n">
        <v>122</v>
      </c>
      <c r="B124" s="174" t="n">
        <v>46227</v>
      </c>
      <c r="C124" s="27" t="inlineStr">
        <is>
          <t>滨江路莲花便利店</t>
        </is>
      </c>
      <c r="D124" s="27" t="inlineStr">
        <is>
          <t>小果之茶</t>
        </is>
      </c>
      <c r="E124" s="27" t="n">
        <v>23</v>
      </c>
      <c r="F124" s="27" t="n">
        <v>50</v>
      </c>
      <c r="G124" s="156">
        <f>IF(AND(E124&lt;&gt;"",F124&lt;&gt;""),E124*F124,"")</f>
        <v>1150</v>
      </c>
      <c r="H124" s="27" t="n"/>
    </row>
    <row r="125" ht="16.5" customHeight="1" s="71">
      <c r="A125" s="14" t="n">
        <v>123</v>
      </c>
      <c r="B125" s="174" t="n">
        <v>46227</v>
      </c>
      <c r="C125" s="27" t="inlineStr">
        <is>
          <t>滨江路莲花便利店</t>
        </is>
      </c>
      <c r="D125" s="27" t="inlineStr">
        <is>
          <t>大咖</t>
        </is>
      </c>
      <c r="E125" s="27" t="n">
        <v>3</v>
      </c>
      <c r="F125" s="27" t="n">
        <v>86</v>
      </c>
      <c r="G125" s="156">
        <f>IF(AND(E125&lt;&gt;"",F125&lt;&gt;""),E125*F125,"")</f>
        <v>258</v>
      </c>
      <c r="H125" s="27" t="n"/>
    </row>
    <row r="126" ht="16.5" customHeight="1" s="71">
      <c r="A126" s="14" t="n">
        <v>124</v>
      </c>
      <c r="B126" s="174" t="n">
        <v>46227</v>
      </c>
      <c r="C126" s="27" t="inlineStr">
        <is>
          <t>滨江路莲花便利店</t>
        </is>
      </c>
      <c r="D126" s="27" t="inlineStr">
        <is>
          <t>1L补水</t>
        </is>
      </c>
      <c r="E126" s="27" t="n">
        <v>3</v>
      </c>
      <c r="F126" s="27" t="n">
        <v>58</v>
      </c>
      <c r="G126" s="156">
        <f>IF(AND(E126&lt;&gt;"",F126&lt;&gt;""),E126*F126,"")</f>
        <v>174</v>
      </c>
      <c r="H126" s="27" t="n"/>
    </row>
    <row r="127" ht="16.5" customHeight="1" s="71">
      <c r="A127" s="14" t="n">
        <v>22</v>
      </c>
      <c r="B127" s="174" t="n">
        <v>46226</v>
      </c>
      <c r="C127" s="27" t="inlineStr">
        <is>
          <t>马路下小卖部</t>
        </is>
      </c>
      <c r="D127" s="27" t="inlineStr">
        <is>
          <t>大东鹏</t>
        </is>
      </c>
      <c r="E127" s="27" t="n">
        <v>200</v>
      </c>
      <c r="F127" s="27" t="n">
        <v>93</v>
      </c>
      <c r="G127" s="156">
        <f>IF(AND(E127&lt;&gt;"",F127&lt;&gt;""),E127*F127,"")</f>
        <v>18600</v>
      </c>
      <c r="H127" s="27" t="n"/>
    </row>
    <row r="128" ht="16.5" customHeight="1" s="71">
      <c r="A128" s="14" t="n">
        <v>23</v>
      </c>
      <c r="B128" s="174" t="n">
        <v>46227</v>
      </c>
      <c r="C128" s="27" t="inlineStr">
        <is>
          <t>小梅商行</t>
        </is>
      </c>
      <c r="D128" s="27" t="inlineStr">
        <is>
          <t>大东鹏</t>
        </is>
      </c>
      <c r="E128" s="27" t="n">
        <v>4000</v>
      </c>
      <c r="F128" s="27" t="n">
        <v>90</v>
      </c>
      <c r="G128" s="156">
        <f>IF(AND(E128&lt;&gt;"",F128&lt;&gt;""),E128*F128,"")</f>
        <v>360000</v>
      </c>
      <c r="H128" s="27" t="n"/>
    </row>
    <row r="129" ht="16.5" customHeight="1" s="71">
      <c r="A129" s="14" t="n">
        <v>24</v>
      </c>
      <c r="B129" s="174" t="n">
        <v>46228</v>
      </c>
      <c r="C129" s="14" t="inlineStr">
        <is>
          <t>星海超市</t>
        </is>
      </c>
      <c r="D129" s="14" t="inlineStr">
        <is>
          <t>小果之茶</t>
        </is>
      </c>
      <c r="E129" s="14" t="n">
        <v>400</v>
      </c>
      <c r="F129" s="27" t="n">
        <v>47</v>
      </c>
      <c r="G129" s="156">
        <f>IF(AND(E129&lt;&gt;"",F129&lt;&gt;""),E129*F129,"")</f>
        <v>18800</v>
      </c>
      <c r="H129" s="27" t="n"/>
    </row>
    <row r="130" ht="16.5" customHeight="1" s="71">
      <c r="A130" s="14" t="n">
        <v>25</v>
      </c>
      <c r="B130" s="174" t="n">
        <v>46228</v>
      </c>
      <c r="C130" s="14" t="inlineStr">
        <is>
          <t>星海超市</t>
        </is>
      </c>
      <c r="D130" s="14" t="inlineStr">
        <is>
          <t>小果之茶</t>
        </is>
      </c>
      <c r="E130" s="14" t="n">
        <v>16</v>
      </c>
      <c r="F130" s="27" t="n"/>
      <c r="G130" s="156">
        <f>IF(AND(E130&lt;&gt;"",F130&lt;&gt;""),E130*F130,"")</f>
      </c>
      <c r="H130" s="27" t="n"/>
    </row>
    <row r="131" ht="16.5" customHeight="1" s="71">
      <c r="A131" s="14" t="n">
        <v>26</v>
      </c>
      <c r="B131" s="174" t="n">
        <v>46228</v>
      </c>
      <c r="C131" s="14" t="inlineStr">
        <is>
          <t>星海超市</t>
        </is>
      </c>
      <c r="D131" s="14" t="inlineStr">
        <is>
          <t>大咖</t>
        </is>
      </c>
      <c r="E131" s="14" t="n">
        <v>100</v>
      </c>
      <c r="F131" s="27" t="n">
        <v>83</v>
      </c>
      <c r="G131" s="156">
        <f>IF(AND(E131&lt;&gt;"",F131&lt;&gt;""),E131*F131,"")</f>
        <v>8300</v>
      </c>
      <c r="H131" s="27" t="n"/>
    </row>
    <row r="132" ht="16.5" customHeight="1" s="71">
      <c r="A132" s="14" t="n">
        <v>27</v>
      </c>
      <c r="B132" s="174" t="n">
        <v>46228</v>
      </c>
      <c r="C132" s="14" t="inlineStr">
        <is>
          <t>星海超市</t>
        </is>
      </c>
      <c r="D132" s="14" t="inlineStr">
        <is>
          <t>大咖</t>
        </is>
      </c>
      <c r="E132" s="14" t="n">
        <v>4</v>
      </c>
      <c r="F132" s="27" t="n"/>
      <c r="G132" s="156">
        <f>IF(AND(E132&lt;&gt;"",F132&lt;&gt;""),E132*F132,"")</f>
      </c>
      <c r="H132" s="27" t="n"/>
    </row>
    <row r="133" ht="16.5" customHeight="1" s="71">
      <c r="A133" s="14" t="n">
        <v>28</v>
      </c>
      <c r="B133" s="174" t="n">
        <v>46228</v>
      </c>
      <c r="C133" s="14" t="inlineStr">
        <is>
          <t>星海超市</t>
        </is>
      </c>
      <c r="D133" s="14" t="inlineStr">
        <is>
          <t>555补水</t>
        </is>
      </c>
      <c r="E133" s="14" t="n">
        <v>200</v>
      </c>
      <c r="F133" s="27" t="n">
        <v>65</v>
      </c>
      <c r="G133" s="156">
        <f>IF(AND(E133&lt;&gt;"",F133&lt;&gt;""),E133*F133,"")</f>
        <v>13000</v>
      </c>
      <c r="H133" s="27" t="n"/>
    </row>
    <row r="134" ht="16.5" customHeight="1" s="71">
      <c r="A134" s="14" t="n">
        <v>29</v>
      </c>
      <c r="B134" s="174" t="n">
        <v>46228</v>
      </c>
      <c r="C134" s="14" t="inlineStr">
        <is>
          <t>星海超市</t>
        </is>
      </c>
      <c r="D134" s="14" t="inlineStr">
        <is>
          <t>555补水</t>
        </is>
      </c>
      <c r="E134" s="14" t="n">
        <v>20</v>
      </c>
      <c r="F134" s="27" t="n"/>
      <c r="G134" s="156">
        <f>IF(AND(E134&lt;&gt;"",F134&lt;&gt;""),E134*F134,"")</f>
      </c>
      <c r="H134" s="27" t="n"/>
    </row>
    <row r="135" ht="16.5" customHeight="1" s="71">
      <c r="A135" s="14" t="n">
        <v>30</v>
      </c>
      <c r="B135" s="174" t="n">
        <v>46228</v>
      </c>
      <c r="C135" s="14" t="inlineStr">
        <is>
          <t>星海超市</t>
        </is>
      </c>
      <c r="D135" s="14" t="inlineStr">
        <is>
          <t>大东鹏</t>
        </is>
      </c>
      <c r="E135" s="14" t="n">
        <v>800</v>
      </c>
      <c r="F135" s="27" t="n">
        <v>90</v>
      </c>
      <c r="G135" s="156">
        <f>IF(AND(E135&lt;&gt;"",F135&lt;&gt;""),E135*F135,"")</f>
        <v>72000</v>
      </c>
      <c r="H135" s="27" t="n"/>
    </row>
    <row r="136" ht="16.5" customHeight="1" s="71">
      <c r="A136" s="14" t="n">
        <v>31</v>
      </c>
      <c r="B136" s="174" t="n">
        <v>46228</v>
      </c>
      <c r="C136" s="14" t="inlineStr">
        <is>
          <t>星海超市</t>
        </is>
      </c>
      <c r="D136" s="14" t="inlineStr">
        <is>
          <t>大东鹏</t>
        </is>
      </c>
      <c r="E136" s="14" t="n">
        <v>8</v>
      </c>
      <c r="F136" s="27" t="n"/>
      <c r="G136" s="156">
        <f>IF(AND(E136&lt;&gt;"",F136&lt;&gt;""),E136*F136,"")</f>
      </c>
      <c r="H136" s="27" t="n"/>
    </row>
    <row r="137" ht="16.5" customHeight="1" s="71">
      <c r="A137" s="14" t="n">
        <v>32</v>
      </c>
      <c r="B137" s="174" t="n">
        <v>46224</v>
      </c>
      <c r="C137" s="27" t="inlineStr">
        <is>
          <t>城岗日日升超市</t>
        </is>
      </c>
      <c r="D137" s="27" t="inlineStr">
        <is>
          <t>大东鹏</t>
        </is>
      </c>
      <c r="E137" s="27" t="n">
        <v>300</v>
      </c>
      <c r="F137" s="27" t="n">
        <v>90</v>
      </c>
      <c r="G137" s="156">
        <f>IF(AND(E137&lt;&gt;"",F137&lt;&gt;""),E137*F137,"")</f>
        <v>27000</v>
      </c>
      <c r="H137" s="27" t="n"/>
    </row>
    <row r="138" ht="16.5" customHeight="1" s="71">
      <c r="A138" s="14" t="n">
        <v>33</v>
      </c>
      <c r="B138" s="174" t="n">
        <v>46218</v>
      </c>
      <c r="C138" s="27" t="inlineStr">
        <is>
          <t>福旺家优购</t>
        </is>
      </c>
      <c r="D138" s="27" t="inlineStr">
        <is>
          <t>大东鹏</t>
        </is>
      </c>
      <c r="E138" s="27" t="n">
        <v>250</v>
      </c>
      <c r="F138" s="27" t="n">
        <v>90</v>
      </c>
      <c r="G138" s="156">
        <f>IF(AND(E138&lt;&gt;"",F138&lt;&gt;""),E138*F138,"")</f>
        <v>22500</v>
      </c>
      <c r="H138" s="27" t="n"/>
    </row>
    <row r="139" ht="16.5" customHeight="1" s="71">
      <c r="A139" s="14" t="n">
        <v>34</v>
      </c>
      <c r="B139" s="174" t="n">
        <v>46218</v>
      </c>
      <c r="C139" s="27" t="inlineStr">
        <is>
          <t>福旺家优购</t>
        </is>
      </c>
      <c r="D139" s="27" t="inlineStr">
        <is>
          <t>大东鹏</t>
        </is>
      </c>
      <c r="E139" s="27" t="n">
        <v>5</v>
      </c>
      <c r="F139" s="27" t="n"/>
      <c r="G139" s="156">
        <f>IF(AND(E139&lt;&gt;"",F139&lt;&gt;""),E139*F139,"")</f>
      </c>
      <c r="H139" s="27" t="n"/>
    </row>
    <row r="140" ht="16.5" customHeight="1" s="71">
      <c r="A140" s="14" t="n">
        <v>35</v>
      </c>
      <c r="B140" s="174" t="n">
        <v>46218</v>
      </c>
      <c r="C140" s="27" t="inlineStr">
        <is>
          <t>福旺家优购</t>
        </is>
      </c>
      <c r="D140" s="27" t="inlineStr">
        <is>
          <t>555补水</t>
        </is>
      </c>
      <c r="E140" s="27" t="n">
        <v>20</v>
      </c>
      <c r="F140" s="27" t="n">
        <v>68</v>
      </c>
      <c r="G140" s="156">
        <f>IF(AND(E140&lt;&gt;"",F140&lt;&gt;""),E140*F140,"")</f>
        <v>1360</v>
      </c>
      <c r="H140" s="27" t="n"/>
    </row>
    <row r="141" ht="16.5" customHeight="1" s="71">
      <c r="A141" s="14" t="n">
        <v>36</v>
      </c>
      <c r="B141" s="174" t="n">
        <v>46218</v>
      </c>
      <c r="C141" s="27" t="inlineStr">
        <is>
          <t>福旺家优购</t>
        </is>
      </c>
      <c r="D141" s="27" t="inlineStr">
        <is>
          <t>555补水</t>
        </is>
      </c>
      <c r="E141" s="27" t="n">
        <v>2</v>
      </c>
      <c r="F141" s="27" t="n"/>
      <c r="G141" s="175">
        <f>IF(AND(E141&lt;&gt;"",F141&lt;&gt;""),E141*F141,"")</f>
      </c>
      <c r="H141" s="27" t="n"/>
    </row>
    <row r="142" ht="16.5" customHeight="1" s="71">
      <c r="A142" s="14" t="n">
        <v>37</v>
      </c>
      <c r="B142" s="174" t="n">
        <v>46218</v>
      </c>
      <c r="C142" s="27" t="inlineStr">
        <is>
          <t>福旺家优购</t>
        </is>
      </c>
      <c r="D142" s="27" t="inlineStr">
        <is>
          <t>小果之茶</t>
        </is>
      </c>
      <c r="E142" s="27" t="n">
        <v>15</v>
      </c>
      <c r="F142" s="27" t="n">
        <v>50</v>
      </c>
      <c r="G142" s="156">
        <f>IF(AND(E142&lt;&gt;"",F142&lt;&gt;""),E142*F142,"")</f>
        <v>750</v>
      </c>
      <c r="H142" s="27" t="n"/>
    </row>
    <row r="143" ht="16.5" customHeight="1" s="71">
      <c r="A143" s="14" t="n">
        <v>38</v>
      </c>
      <c r="B143" s="174" t="n">
        <v>46218</v>
      </c>
      <c r="C143" s="27" t="inlineStr">
        <is>
          <t>福旺家优购</t>
        </is>
      </c>
      <c r="D143" s="27" t="inlineStr">
        <is>
          <t>1L果之茶</t>
        </is>
      </c>
      <c r="E143" s="27" t="n">
        <v>10</v>
      </c>
      <c r="F143" s="27" t="n">
        <v>46</v>
      </c>
      <c r="G143" s="156">
        <f>IF(AND(E143&lt;&gt;"",F143&lt;&gt;""),E143*F143,"")</f>
        <v>460</v>
      </c>
      <c r="H143" s="27" t="n"/>
    </row>
    <row r="144" ht="16.5" customHeight="1" s="71">
      <c r="A144" s="14" t="n">
        <v>39</v>
      </c>
      <c r="B144" s="174" t="n">
        <v>46218</v>
      </c>
      <c r="C144" s="27" t="inlineStr">
        <is>
          <t>福旺家优购</t>
        </is>
      </c>
      <c r="D144" s="27" t="inlineStr">
        <is>
          <t>小果之茶</t>
        </is>
      </c>
      <c r="E144" s="27" t="n">
        <v>2</v>
      </c>
      <c r="F144" s="27" t="n"/>
      <c r="G144" s="175">
        <f>IF(AND(E144&lt;&gt;"",F144&lt;&gt;""),E144*F144,"")</f>
      </c>
      <c r="H144" s="27" t="n"/>
    </row>
    <row r="145" ht="16.5" customHeight="1" s="71">
      <c r="A145" s="14" t="n">
        <v>40</v>
      </c>
      <c r="B145" s="174" t="n">
        <v>46218</v>
      </c>
      <c r="C145" s="27" t="inlineStr">
        <is>
          <t>福旺家优购</t>
        </is>
      </c>
      <c r="D145" s="27" t="inlineStr">
        <is>
          <t>1L补水</t>
        </is>
      </c>
      <c r="E145" s="27" t="n">
        <v>15</v>
      </c>
      <c r="F145" s="27" t="n">
        <v>58</v>
      </c>
      <c r="G145" s="156">
        <f>IF(AND(E145&lt;&gt;"",F145&lt;&gt;""),E145*F145,"")</f>
        <v>870</v>
      </c>
      <c r="H145" s="27" t="n"/>
    </row>
    <row r="146" ht="16.5" customHeight="1" s="71">
      <c r="A146" s="14" t="n">
        <v>41</v>
      </c>
      <c r="B146" s="174" t="n">
        <v>46218</v>
      </c>
      <c r="C146" s="27" t="inlineStr">
        <is>
          <t>福旺家优购</t>
        </is>
      </c>
      <c r="D146" s="27" t="inlineStr">
        <is>
          <t>港式奶茶</t>
        </is>
      </c>
      <c r="E146" s="27" t="n">
        <v>2</v>
      </c>
      <c r="F146" s="27" t="n">
        <v>72</v>
      </c>
      <c r="G146" s="156">
        <f>IF(AND(E146&lt;&gt;"",F146&lt;&gt;""),E146*F146,"")</f>
        <v>144</v>
      </c>
      <c r="H146" s="27" t="n"/>
    </row>
    <row r="147" ht="16.5" customHeight="1" s="71">
      <c r="A147" s="14" t="n">
        <v>42</v>
      </c>
      <c r="B147" s="174" t="n">
        <v>46218</v>
      </c>
      <c r="C147" s="27" t="inlineStr">
        <is>
          <t>福旺家优购</t>
        </is>
      </c>
      <c r="D147" s="27" t="inlineStr">
        <is>
          <t>九制陈皮</t>
        </is>
      </c>
      <c r="E147" s="27" t="n">
        <v>2</v>
      </c>
      <c r="F147" s="27" t="n">
        <v>50</v>
      </c>
      <c r="G147" s="156">
        <f>IF(AND(E147&lt;&gt;"",F147&lt;&gt;""),E147*F147,"")</f>
        <v>100</v>
      </c>
      <c r="H147" s="27" t="n"/>
    </row>
    <row r="148" ht="16.5" customHeight="1" s="71">
      <c r="A148" s="14" t="n">
        <v>43</v>
      </c>
      <c r="B148" s="174" t="n">
        <v>46218</v>
      </c>
      <c r="C148" s="27" t="inlineStr">
        <is>
          <t>福旺家优购</t>
        </is>
      </c>
      <c r="D148" s="27" t="inlineStr">
        <is>
          <t>1L焙好茶</t>
        </is>
      </c>
      <c r="E148" s="27" t="n">
        <v>4</v>
      </c>
      <c r="F148" s="27" t="n">
        <v>46</v>
      </c>
      <c r="G148" s="156">
        <f>IF(AND(E148&lt;&gt;"",F148&lt;&gt;""),E148*F148,"")</f>
        <v>184</v>
      </c>
      <c r="H148" s="27" t="n"/>
    </row>
    <row r="149" ht="16.5" customHeight="1" s="71">
      <c r="A149" s="14" t="n">
        <v>44</v>
      </c>
      <c r="B149" s="174" t="n">
        <v>46218</v>
      </c>
      <c r="C149" s="27" t="inlineStr">
        <is>
          <t>福旺家优购</t>
        </is>
      </c>
      <c r="D149" s="27" t="inlineStr">
        <is>
          <t>小焙好茶</t>
        </is>
      </c>
      <c r="E149" s="27" t="n">
        <v>2</v>
      </c>
      <c r="F149" s="27" t="n">
        <v>51</v>
      </c>
      <c r="G149" s="156">
        <f>IF(AND(E149&lt;&gt;"",F149&lt;&gt;""),E149*F149,"")</f>
        <v>102</v>
      </c>
      <c r="H149" s="27" t="n"/>
    </row>
    <row r="150" ht="16.5" customHeight="1" s="71">
      <c r="A150" s="14" t="n">
        <v>45</v>
      </c>
      <c r="B150" s="174" t="n">
        <v>46225</v>
      </c>
      <c r="C150" s="27" t="inlineStr">
        <is>
          <t>友兰商行</t>
        </is>
      </c>
      <c r="D150" s="27" t="inlineStr">
        <is>
          <t>大咖</t>
        </is>
      </c>
      <c r="E150" s="27" t="n">
        <v>7</v>
      </c>
      <c r="F150" s="27" t="n">
        <v>86</v>
      </c>
      <c r="G150" s="156">
        <f>IF(AND(E150&lt;&gt;"",F150&lt;&gt;""),E150*F150,"")</f>
        <v>602</v>
      </c>
      <c r="H150" s="27" t="n"/>
    </row>
    <row r="151" ht="16.5" customHeight="1" s="71">
      <c r="A151" s="14" t="n">
        <v>46</v>
      </c>
      <c r="B151" s="174" t="n">
        <v>46211</v>
      </c>
      <c r="C151" s="27" t="inlineStr">
        <is>
          <t>友兰商行</t>
        </is>
      </c>
      <c r="D151" s="27" t="inlineStr">
        <is>
          <t>大东鹏</t>
        </is>
      </c>
      <c r="E151" s="27" t="n">
        <v>50</v>
      </c>
      <c r="F151" s="27" t="n">
        <v>93</v>
      </c>
      <c r="G151" s="156">
        <f>IF(AND(E151&lt;&gt;"",F151&lt;&gt;""),E151*F151,"")</f>
        <v>4650</v>
      </c>
      <c r="H151" s="27" t="n"/>
    </row>
    <row r="152" ht="16.5" customHeight="1" s="71">
      <c r="A152" s="14" t="n">
        <v>47</v>
      </c>
      <c r="B152" s="174" t="n">
        <v>46220</v>
      </c>
      <c r="C152" s="27" t="inlineStr">
        <is>
          <t>阿东副食</t>
        </is>
      </c>
      <c r="D152" s="27" t="inlineStr">
        <is>
          <t>东鹏椰子水</t>
        </is>
      </c>
      <c r="E152" s="27" t="n">
        <v>100</v>
      </c>
      <c r="F152" s="27" t="n">
        <v>90</v>
      </c>
      <c r="G152" s="156">
        <f>IF(AND(E152&lt;&gt;"",F152&lt;&gt;""),E152*F152,"")</f>
        <v>9000</v>
      </c>
      <c r="H152" s="27" t="n"/>
    </row>
    <row r="153" ht="16.5" customHeight="1" s="71">
      <c r="A153" s="14" t="n">
        <v>48</v>
      </c>
      <c r="B153" s="174" t="n">
        <v>46220</v>
      </c>
      <c r="C153" s="27" t="inlineStr">
        <is>
          <t>阿东副食</t>
        </is>
      </c>
      <c r="D153" s="27" t="inlineStr">
        <is>
          <t>东鹏椰子水</t>
        </is>
      </c>
      <c r="E153" s="27" t="n">
        <v>4</v>
      </c>
      <c r="F153" s="27" t="n"/>
      <c r="G153" s="175">
        <f>IF(AND(E153&lt;&gt;"",F153&lt;&gt;""),E153*F153,"")</f>
      </c>
      <c r="H153" s="27" t="n"/>
    </row>
    <row r="154" ht="16.5" customHeight="1" s="71">
      <c r="A154" s="14" t="n">
        <v>49</v>
      </c>
      <c r="B154" s="174" t="n">
        <v>46220</v>
      </c>
      <c r="C154" s="27" t="inlineStr">
        <is>
          <t>桐心源</t>
        </is>
      </c>
      <c r="D154" s="27" t="inlineStr">
        <is>
          <t>东鹏椰子水</t>
        </is>
      </c>
      <c r="E154" s="27" t="n">
        <v>100</v>
      </c>
      <c r="F154" s="27" t="n">
        <v>90</v>
      </c>
      <c r="G154" s="156">
        <f>IF(AND(E154&lt;&gt;"",F154&lt;&gt;""),E154*F154,"")</f>
        <v>9000</v>
      </c>
      <c r="H154" s="27" t="n"/>
    </row>
    <row r="155" ht="16.5" customHeight="1" s="71">
      <c r="A155" s="14" t="n">
        <v>50</v>
      </c>
      <c r="B155" s="174" t="n">
        <v>46220</v>
      </c>
      <c r="C155" s="27" t="inlineStr">
        <is>
          <t>桐心源</t>
        </is>
      </c>
      <c r="D155" s="27" t="inlineStr">
        <is>
          <t>东鹏椰子水</t>
        </is>
      </c>
      <c r="E155" s="27" t="n">
        <v>4</v>
      </c>
      <c r="F155" s="27" t="n"/>
      <c r="G155" s="156">
        <f>IF(AND(E155&lt;&gt;"",F155&lt;&gt;""),E155*F155,"")</f>
      </c>
      <c r="H155" s="27" t="n"/>
    </row>
    <row r="156" ht="16.5" customHeight="1" s="71">
      <c r="A156" s="14" t="n">
        <v>51</v>
      </c>
      <c r="B156" s="174" t="n">
        <v>46223</v>
      </c>
      <c r="C156" s="27" t="inlineStr">
        <is>
          <t>高兴四季春副食</t>
        </is>
      </c>
      <c r="D156" s="27" t="inlineStr">
        <is>
          <t>大东鹏</t>
        </is>
      </c>
      <c r="E156" s="27" t="n">
        <v>25</v>
      </c>
      <c r="F156" s="27" t="n">
        <v>93</v>
      </c>
      <c r="G156" s="156">
        <f>IF(AND(E156&lt;&gt;"",F156&lt;&gt;""),E156*F156,"")</f>
        <v>2325</v>
      </c>
      <c r="H156" s="27" t="n"/>
    </row>
    <row r="157" ht="16.5" customHeight="1" s="71">
      <c r="A157" s="14" t="n">
        <v>52</v>
      </c>
      <c r="B157" s="174" t="n">
        <v>46223</v>
      </c>
      <c r="C157" s="27" t="inlineStr">
        <is>
          <t>高兴四季春副食</t>
        </is>
      </c>
      <c r="D157" s="27" t="inlineStr">
        <is>
          <t>大东鹏</t>
        </is>
      </c>
      <c r="E157" s="27" t="n">
        <v>1</v>
      </c>
      <c r="F157" s="27" t="n"/>
      <c r="G157" s="156">
        <f>IF(AND(E157&lt;&gt;"",F157&lt;&gt;""),E157*F157,"")</f>
      </c>
      <c r="H157" s="27" t="n"/>
    </row>
    <row r="158" ht="16.5" customHeight="1" s="71">
      <c r="A158" s="14" t="n">
        <v>53</v>
      </c>
      <c r="B158" s="174" t="n">
        <v>46223</v>
      </c>
      <c r="C158" s="27" t="inlineStr">
        <is>
          <t>高兴四季春副食</t>
        </is>
      </c>
      <c r="D158" s="27" t="inlineStr">
        <is>
          <t>大咖</t>
        </is>
      </c>
      <c r="E158" s="27" t="n">
        <v>2</v>
      </c>
      <c r="F158" s="27" t="n">
        <v>86</v>
      </c>
      <c r="G158" s="156">
        <f>IF(AND(E158&lt;&gt;"",F158&lt;&gt;""),E158*F158,"")</f>
        <v>172</v>
      </c>
      <c r="H158" s="27" t="n"/>
    </row>
    <row r="159" ht="16.5" customHeight="1" s="71">
      <c r="A159" s="14" t="n">
        <v>54</v>
      </c>
      <c r="B159" s="174" t="n">
        <v>46223</v>
      </c>
      <c r="C159" s="27" t="inlineStr">
        <is>
          <t>高兴四季春副食</t>
        </is>
      </c>
      <c r="D159" s="27" t="inlineStr">
        <is>
          <t>小果之茶</t>
        </is>
      </c>
      <c r="E159" s="27" t="n">
        <v>4</v>
      </c>
      <c r="F159" s="27" t="n">
        <v>50</v>
      </c>
      <c r="G159" s="156">
        <f>IF(AND(E159&lt;&gt;"",F159&lt;&gt;""),E159*F159,"")</f>
        <v>200</v>
      </c>
      <c r="H159" s="27" t="n"/>
    </row>
    <row r="160" ht="16.5" customHeight="1" s="71">
      <c r="A160" s="14" t="n">
        <v>55</v>
      </c>
      <c r="B160" s="174" t="n">
        <v>46211</v>
      </c>
      <c r="C160" s="27" t="inlineStr">
        <is>
          <t>崇贤高平副食</t>
        </is>
      </c>
      <c r="D160" s="27" t="inlineStr">
        <is>
          <t>大东鹏</t>
        </is>
      </c>
      <c r="E160" s="27" t="n">
        <v>25</v>
      </c>
      <c r="F160" s="27" t="n">
        <v>93</v>
      </c>
      <c r="G160" s="156">
        <f>IF(AND(E160&lt;&gt;"",F160&lt;&gt;""),E160*F160,"")</f>
        <v>2325</v>
      </c>
      <c r="H160" s="27" t="n"/>
    </row>
    <row r="161" ht="16.5" customHeight="1" s="71">
      <c r="A161" s="14" t="n">
        <v>56</v>
      </c>
      <c r="B161" s="174" t="n">
        <v>46211</v>
      </c>
      <c r="C161" s="27" t="inlineStr">
        <is>
          <t>高兴张声英</t>
        </is>
      </c>
      <c r="D161" s="27" t="inlineStr">
        <is>
          <t>大东鹏</t>
        </is>
      </c>
      <c r="E161" s="27" t="n">
        <v>25</v>
      </c>
      <c r="F161" s="27" t="n">
        <v>93</v>
      </c>
      <c r="G161" s="156">
        <f>IF(AND(E161&lt;&gt;"",F161&lt;&gt;""),E161*F161,"")</f>
        <v>2325</v>
      </c>
      <c r="H161" s="27" t="n"/>
    </row>
    <row r="162" ht="16.5" customHeight="1" s="71">
      <c r="A162" s="14" t="n">
        <v>57</v>
      </c>
      <c r="B162" s="174" t="n">
        <v>46211</v>
      </c>
      <c r="C162" s="14" t="inlineStr">
        <is>
          <t>崇贤粤客隆</t>
        </is>
      </c>
      <c r="D162" s="27" t="inlineStr">
        <is>
          <t>大东鹏</t>
        </is>
      </c>
      <c r="E162" s="27" t="n">
        <v>25</v>
      </c>
      <c r="F162" s="27" t="n">
        <v>93</v>
      </c>
      <c r="G162" s="156">
        <f>IF(AND(E162&lt;&gt;"",F162&lt;&gt;""),E162*F162,"")</f>
        <v>2325</v>
      </c>
      <c r="H162" s="27" t="n"/>
    </row>
    <row r="163" ht="16.5" customHeight="1" s="71">
      <c r="A163" s="14" t="n">
        <v>58</v>
      </c>
      <c r="B163" s="174" t="n">
        <v>46211</v>
      </c>
      <c r="C163" s="27" t="inlineStr">
        <is>
          <t>火车站关新平</t>
        </is>
      </c>
      <c r="D163" s="27" t="inlineStr">
        <is>
          <t>大东鹏</t>
        </is>
      </c>
      <c r="E163" s="27" t="n">
        <v>50</v>
      </c>
      <c r="F163" s="27" t="n">
        <v>93</v>
      </c>
      <c r="G163" s="156">
        <f>IF(AND(E163&lt;&gt;"",F163&lt;&gt;""),E163*F163,"")</f>
        <v>4650</v>
      </c>
      <c r="H163" s="27" t="n"/>
    </row>
    <row r="164" ht="16.5" customHeight="1" s="71">
      <c r="A164" s="14" t="n">
        <v>59</v>
      </c>
      <c r="B164" s="174" t="n">
        <v>46211</v>
      </c>
      <c r="C164" s="27" t="inlineStr">
        <is>
          <t>火车站关新平</t>
        </is>
      </c>
      <c r="D164" s="27" t="inlineStr">
        <is>
          <t>555补水</t>
        </is>
      </c>
      <c r="E164" s="27" t="n">
        <v>10</v>
      </c>
      <c r="F164" s="27" t="n">
        <v>68</v>
      </c>
      <c r="G164" s="156">
        <f>IF(AND(E164&lt;&gt;"",F164&lt;&gt;""),E164*F164,"")</f>
        <v>680</v>
      </c>
      <c r="H164" s="27" t="n"/>
    </row>
    <row r="165" ht="16.5" customHeight="1" s="71">
      <c r="A165" s="14" t="n">
        <v>60</v>
      </c>
      <c r="B165" s="174" t="n">
        <v>46220</v>
      </c>
      <c r="C165" s="27" t="inlineStr">
        <is>
          <t>洪门五香副食</t>
        </is>
      </c>
      <c r="D165" s="27" t="inlineStr">
        <is>
          <t>大东鹏</t>
        </is>
      </c>
      <c r="E165" s="27" t="n">
        <v>10</v>
      </c>
      <c r="F165" s="27" t="n">
        <v>93</v>
      </c>
      <c r="G165" s="156">
        <f>IF(AND(E165&lt;&gt;"",F165&lt;&gt;""),E165*F165,"")</f>
        <v>930</v>
      </c>
      <c r="H165" s="27" t="n"/>
    </row>
    <row r="166" ht="16.5" customHeight="1" s="71">
      <c r="A166" s="14" t="n">
        <v>61</v>
      </c>
      <c r="B166" s="174" t="n">
        <v>46220</v>
      </c>
      <c r="C166" s="27" t="inlineStr">
        <is>
          <t>高兴美宜佳</t>
        </is>
      </c>
      <c r="D166" s="27" t="inlineStr">
        <is>
          <t>大东鹏</t>
        </is>
      </c>
      <c r="E166" s="27" t="n">
        <v>100</v>
      </c>
      <c r="F166" s="27" t="n">
        <v>90</v>
      </c>
      <c r="G166" s="156">
        <f>IF(AND(E166&lt;&gt;"",F166&lt;&gt;""),E166*F166,"")</f>
        <v>9000</v>
      </c>
      <c r="H166" s="27" t="n"/>
    </row>
    <row r="167" ht="16.5" customHeight="1" s="71">
      <c r="A167" s="14" t="n">
        <v>62</v>
      </c>
      <c r="B167" s="174" t="n">
        <v>46218</v>
      </c>
      <c r="C167" s="27" t="inlineStr">
        <is>
          <t>良村万家欢超市</t>
        </is>
      </c>
      <c r="D167" s="27" t="inlineStr">
        <is>
          <t>大东鹏</t>
        </is>
      </c>
      <c r="E167" s="27" t="n">
        <v>15</v>
      </c>
      <c r="F167" s="27" t="n">
        <v>93</v>
      </c>
      <c r="G167" s="156">
        <f>IF(AND(E167&lt;&gt;"",F167&lt;&gt;""),E167*F167,"")</f>
        <v>1395</v>
      </c>
      <c r="H167" s="27" t="n"/>
    </row>
    <row r="168" ht="16.5" customHeight="1" s="71">
      <c r="A168" s="14" t="n">
        <v>63</v>
      </c>
      <c r="B168" s="174" t="n">
        <v>46220</v>
      </c>
      <c r="C168" s="27" t="inlineStr">
        <is>
          <t>滨江路小红花便利店</t>
        </is>
      </c>
      <c r="D168" s="27" t="inlineStr">
        <is>
          <t>555补水</t>
        </is>
      </c>
      <c r="E168" s="27" t="n">
        <v>10</v>
      </c>
      <c r="F168" s="27" t="n">
        <v>68</v>
      </c>
      <c r="G168" s="156">
        <f>IF(AND(E168&lt;&gt;"",F168&lt;&gt;""),E168*F168,"")</f>
        <v>680</v>
      </c>
      <c r="H168" s="27" t="n"/>
    </row>
    <row r="169" ht="16.5" customHeight="1" s="71">
      <c r="A169" s="14" t="n">
        <v>64</v>
      </c>
      <c r="B169" s="174" t="n">
        <v>46220</v>
      </c>
      <c r="C169" s="27" t="inlineStr">
        <is>
          <t>滨江路小红花便利店</t>
        </is>
      </c>
      <c r="D169" s="27" t="inlineStr">
        <is>
          <t>555补水</t>
        </is>
      </c>
      <c r="E169" s="27" t="n">
        <v>1</v>
      </c>
      <c r="F169" s="27" t="n"/>
      <c r="G169" s="156">
        <f>IF(AND(E169&lt;&gt;"",F169&lt;&gt;""),E169*F169,"")</f>
      </c>
      <c r="H169" s="27" t="n"/>
    </row>
    <row r="170" ht="16.5" customHeight="1" s="71">
      <c r="A170" s="14" t="n">
        <v>65</v>
      </c>
      <c r="B170" s="174" t="n">
        <v>46220</v>
      </c>
      <c r="C170" s="27" t="inlineStr">
        <is>
          <t>滨江路小红花便利店</t>
        </is>
      </c>
      <c r="D170" s="27" t="inlineStr">
        <is>
          <t>小果之茶</t>
        </is>
      </c>
      <c r="E170" s="27" t="n">
        <v>25</v>
      </c>
      <c r="F170" s="27" t="n">
        <v>50</v>
      </c>
      <c r="G170" s="156">
        <f>IF(AND(E170&lt;&gt;"",F170&lt;&gt;""),E170*F170,"")</f>
        <v>1250</v>
      </c>
      <c r="H170" s="27" t="n"/>
    </row>
    <row r="171" ht="16.5" customHeight="1" s="71">
      <c r="A171" s="14" t="n">
        <v>66</v>
      </c>
      <c r="B171" s="174" t="n">
        <v>46220</v>
      </c>
      <c r="C171" s="27" t="inlineStr">
        <is>
          <t>滨江路小红花便利店</t>
        </is>
      </c>
      <c r="D171" s="27" t="inlineStr">
        <is>
          <t>小果之茶</t>
        </is>
      </c>
      <c r="E171" s="27" t="n">
        <v>2</v>
      </c>
      <c r="F171" s="27" t="n"/>
      <c r="G171" s="156">
        <f>IF(AND(E171&lt;&gt;"",F171&lt;&gt;""),E171*F171,"")</f>
      </c>
      <c r="H171" s="27" t="n"/>
    </row>
    <row r="172" ht="16.5" customHeight="1" s="71">
      <c r="A172" s="14" t="n">
        <v>67</v>
      </c>
      <c r="B172" s="174" t="n">
        <v>46220</v>
      </c>
      <c r="C172" s="27" t="inlineStr">
        <is>
          <t>滨江路小红花便利店</t>
        </is>
      </c>
      <c r="D172" s="27" t="inlineStr">
        <is>
          <t>1L补水</t>
        </is>
      </c>
      <c r="E172" s="27" t="n">
        <v>10</v>
      </c>
      <c r="F172" s="27" t="n">
        <v>58</v>
      </c>
      <c r="G172" s="156">
        <f>IF(AND(E172&lt;&gt;"",F172&lt;&gt;""),E172*F172,"")</f>
        <v>580</v>
      </c>
      <c r="H172" s="27" t="n"/>
    </row>
    <row r="173" ht="16.5" customHeight="1" s="71">
      <c r="A173" s="14" t="n">
        <v>68</v>
      </c>
      <c r="B173" s="174" t="n">
        <v>46220</v>
      </c>
      <c r="C173" s="27" t="inlineStr">
        <is>
          <t>滨江路小红花便利店</t>
        </is>
      </c>
      <c r="D173" s="27" t="inlineStr">
        <is>
          <t>1L果之茶</t>
        </is>
      </c>
      <c r="E173" s="27" t="n">
        <v>15</v>
      </c>
      <c r="F173" s="27" t="n">
        <v>46</v>
      </c>
      <c r="G173" s="156">
        <f>IF(AND(E173&lt;&gt;"",F173&lt;&gt;""),E173*F173,"")</f>
        <v>690</v>
      </c>
      <c r="H173" s="27" t="n"/>
    </row>
    <row r="174" ht="16.5" customHeight="1" s="71">
      <c r="A174" s="14" t="n">
        <v>69</v>
      </c>
      <c r="B174" s="174" t="n">
        <v>46218</v>
      </c>
      <c r="C174" s="27" t="inlineStr">
        <is>
          <t>滨江荣香副食</t>
        </is>
      </c>
      <c r="D174" s="27" t="inlineStr">
        <is>
          <t>小果之茶</t>
        </is>
      </c>
      <c r="E174" s="27" t="n">
        <v>25</v>
      </c>
      <c r="F174" s="27" t="n">
        <v>50</v>
      </c>
      <c r="G174" s="156">
        <f>IF(AND(E174&lt;&gt;"",F174&lt;&gt;""),E174*F174,"")</f>
        <v>1250</v>
      </c>
      <c r="H174" s="27" t="n"/>
    </row>
    <row r="175" ht="16.5" customHeight="1" s="71">
      <c r="A175" s="14" t="n">
        <v>70</v>
      </c>
      <c r="B175" s="174" t="n">
        <v>46218</v>
      </c>
      <c r="C175" s="27" t="inlineStr">
        <is>
          <t>滨江荣香副食</t>
        </is>
      </c>
      <c r="D175" s="27" t="inlineStr">
        <is>
          <t>小果之茶</t>
        </is>
      </c>
      <c r="E175" s="27" t="n">
        <v>2</v>
      </c>
      <c r="F175" s="27" t="n"/>
      <c r="G175" s="156">
        <f>IF(AND(E175&lt;&gt;"",F175&lt;&gt;""),E175*F175,"")</f>
      </c>
      <c r="H175" s="27" t="n"/>
    </row>
    <row r="176" ht="16.5" customHeight="1" s="71">
      <c r="A176" s="14" t="n">
        <v>71</v>
      </c>
      <c r="B176" s="174" t="n">
        <v>46218</v>
      </c>
      <c r="C176" s="27" t="inlineStr">
        <is>
          <t>滨江荣香副食</t>
        </is>
      </c>
      <c r="D176" s="27" t="inlineStr">
        <is>
          <t>555补水</t>
        </is>
      </c>
      <c r="E176" s="27" t="n">
        <v>10</v>
      </c>
      <c r="F176" s="27" t="n">
        <v>68</v>
      </c>
      <c r="G176" s="156">
        <f>IF(AND(E176&lt;&gt;"",F176&lt;&gt;""),E176*F176,"")</f>
        <v>680</v>
      </c>
      <c r="H176" s="27" t="n"/>
    </row>
    <row r="177" ht="16.5" customHeight="1" s="71">
      <c r="A177" s="14" t="n">
        <v>72</v>
      </c>
      <c r="B177" s="174" t="n">
        <v>46218</v>
      </c>
      <c r="C177" s="27" t="inlineStr">
        <is>
          <t>滨江荣香副食</t>
        </is>
      </c>
      <c r="D177" s="27" t="inlineStr">
        <is>
          <t>555补水</t>
        </is>
      </c>
      <c r="E177" s="27" t="n">
        <v>1</v>
      </c>
      <c r="F177" s="27" t="n"/>
      <c r="G177" s="156">
        <f>IF(AND(E177&lt;&gt;"",F177&lt;&gt;""),E177*F177,"")</f>
      </c>
      <c r="H177" s="27" t="n"/>
    </row>
    <row r="178" ht="16.5" customHeight="1" s="71">
      <c r="A178" s="14" t="n">
        <v>73</v>
      </c>
      <c r="B178" s="174" t="n">
        <v>46218</v>
      </c>
      <c r="C178" s="27" t="inlineStr">
        <is>
          <t>滨江荣香副食</t>
        </is>
      </c>
      <c r="D178" s="27" t="inlineStr">
        <is>
          <t>1L补水</t>
        </is>
      </c>
      <c r="E178" s="27" t="n">
        <v>15</v>
      </c>
      <c r="F178" s="27" t="n">
        <v>58</v>
      </c>
      <c r="G178" s="156">
        <f>IF(AND(E178&lt;&gt;"",F178&lt;&gt;""),E178*F178,"")</f>
        <v>870</v>
      </c>
      <c r="H178" s="27" t="n"/>
    </row>
    <row r="179" ht="16.5" customHeight="1" s="71">
      <c r="A179" s="14" t="n">
        <v>74</v>
      </c>
      <c r="B179" s="174" t="n">
        <v>46218</v>
      </c>
      <c r="C179" s="27" t="inlineStr">
        <is>
          <t>滨江荣香副食</t>
        </is>
      </c>
      <c r="D179" s="27" t="inlineStr">
        <is>
          <t>1L果之茶</t>
        </is>
      </c>
      <c r="E179" s="27" t="n">
        <v>7</v>
      </c>
      <c r="F179" s="27" t="n">
        <v>46</v>
      </c>
      <c r="G179" s="156">
        <f>IF(AND(E179&lt;&gt;"",F179&lt;&gt;""),E179*F179,"")</f>
        <v>322</v>
      </c>
      <c r="H179" s="27" t="n"/>
    </row>
    <row r="180" ht="16.5" customHeight="1" s="71">
      <c r="A180" s="14" t="n">
        <v>75</v>
      </c>
      <c r="B180" s="174" t="n">
        <v>46218</v>
      </c>
      <c r="C180" s="27" t="inlineStr">
        <is>
          <t>滨江荣香副食</t>
        </is>
      </c>
      <c r="D180" s="27" t="inlineStr">
        <is>
          <t>大咖</t>
        </is>
      </c>
      <c r="E180" s="27" t="n">
        <v>3</v>
      </c>
      <c r="F180" s="27" t="n">
        <v>86</v>
      </c>
      <c r="G180" s="156">
        <f>IF(AND(E180&lt;&gt;"",F180&lt;&gt;""),E180*F180,"")</f>
        <v>258</v>
      </c>
      <c r="H180" s="27" t="n"/>
    </row>
    <row r="181" ht="16.5" customHeight="1" s="71">
      <c r="A181" s="14" t="n">
        <v>76</v>
      </c>
      <c r="B181" s="174" t="n">
        <v>46217</v>
      </c>
      <c r="C181" s="14" t="inlineStr">
        <is>
          <t>埠头凤岗万家乐超市</t>
        </is>
      </c>
      <c r="D181" s="27" t="inlineStr">
        <is>
          <t>大东鹏</t>
        </is>
      </c>
      <c r="E181" s="27" t="n">
        <v>10</v>
      </c>
      <c r="F181" s="27" t="n">
        <v>93</v>
      </c>
      <c r="G181" s="156">
        <f>IF(AND(E181&lt;&gt;"",F181&lt;&gt;""),E181*F181,"")</f>
        <v>930</v>
      </c>
      <c r="H181" s="27" t="n"/>
    </row>
    <row r="182" ht="16.5" customHeight="1" s="71">
      <c r="A182" s="14" t="n">
        <v>77</v>
      </c>
      <c r="B182" s="174" t="n">
        <v>46217</v>
      </c>
      <c r="C182" s="27" t="inlineStr">
        <is>
          <t>宜兴粮油</t>
        </is>
      </c>
      <c r="D182" s="27" t="inlineStr">
        <is>
          <t>555补水</t>
        </is>
      </c>
      <c r="E182" s="27" t="n">
        <v>60</v>
      </c>
      <c r="F182" s="27" t="n">
        <v>65</v>
      </c>
      <c r="G182" s="156">
        <f>IF(AND(E182&lt;&gt;"",F182&lt;&gt;""),E182*F182,"")</f>
        <v>3900</v>
      </c>
      <c r="H182" s="27" t="n"/>
    </row>
    <row r="183" ht="16.5" customHeight="1" s="71">
      <c r="A183" s="14" t="n">
        <v>78</v>
      </c>
      <c r="B183" s="174" t="n">
        <v>46217</v>
      </c>
      <c r="C183" s="27" t="inlineStr">
        <is>
          <t>宜兴粮油</t>
        </is>
      </c>
      <c r="D183" s="27" t="inlineStr">
        <is>
          <t>555补水</t>
        </is>
      </c>
      <c r="E183" s="27" t="n">
        <v>6</v>
      </c>
      <c r="F183" s="27" t="n">
        <v>0</v>
      </c>
      <c r="G183" s="156">
        <f>IF(AND(E183&lt;&gt;"",F183&lt;&gt;""),E183*F183,"")</f>
        <v>0</v>
      </c>
      <c r="H183" s="27" t="n"/>
    </row>
    <row r="184" ht="16.5" customHeight="1" s="71">
      <c r="A184" s="14" t="n">
        <v>79</v>
      </c>
      <c r="B184" s="174" t="n">
        <v>46217</v>
      </c>
      <c r="C184" s="27" t="inlineStr">
        <is>
          <t>宜兴粮油</t>
        </is>
      </c>
      <c r="D184" s="27" t="inlineStr">
        <is>
          <t>小果之茶</t>
        </is>
      </c>
      <c r="E184" s="27" t="n">
        <v>135</v>
      </c>
      <c r="F184" s="27" t="n">
        <v>47</v>
      </c>
      <c r="G184" s="156">
        <f>IF(AND(E184&lt;&gt;"",F184&lt;&gt;""),E184*F184,"")</f>
        <v>6345</v>
      </c>
      <c r="H184" s="27" t="n"/>
    </row>
    <row r="185" ht="16.5" customHeight="1" s="71">
      <c r="A185" s="14" t="n">
        <v>80</v>
      </c>
      <c r="B185" s="174" t="n">
        <v>46217</v>
      </c>
      <c r="C185" s="27" t="inlineStr">
        <is>
          <t>宜兴粮油</t>
        </is>
      </c>
      <c r="D185" s="27" t="inlineStr">
        <is>
          <t>小果之茶</t>
        </is>
      </c>
      <c r="E185" s="27" t="n">
        <v>4</v>
      </c>
      <c r="F185" s="27" t="n">
        <v>0</v>
      </c>
      <c r="G185" s="156">
        <f>IF(AND(E185&lt;&gt;"",F185&lt;&gt;""),E185*F185,"")</f>
        <v>0</v>
      </c>
      <c r="H185" s="27" t="n"/>
    </row>
    <row r="186" ht="16.5" customHeight="1" s="71">
      <c r="A186" s="14" t="n">
        <v>81</v>
      </c>
      <c r="B186" s="174" t="n">
        <v>46217</v>
      </c>
      <c r="C186" s="27" t="inlineStr">
        <is>
          <t>宜兴粮油</t>
        </is>
      </c>
      <c r="D186" s="27" t="inlineStr">
        <is>
          <t>1L果之茶</t>
        </is>
      </c>
      <c r="E186" s="27" t="n">
        <v>50.5</v>
      </c>
      <c r="F186" s="27" t="n">
        <v>43</v>
      </c>
      <c r="G186" s="156">
        <f>IF(AND(E186&lt;&gt;"",F186&lt;&gt;""),E186*F186,"")</f>
        <v>2171.5</v>
      </c>
      <c r="H186" s="27" t="n"/>
    </row>
    <row r="187" ht="16.5" customHeight="1" s="71">
      <c r="A187" s="14" t="n">
        <v>82</v>
      </c>
      <c r="B187" s="174" t="n">
        <v>46217</v>
      </c>
      <c r="C187" s="27" t="inlineStr">
        <is>
          <t>宜兴粮油</t>
        </is>
      </c>
      <c r="D187" s="27" t="inlineStr">
        <is>
          <t>1L果之茶</t>
        </is>
      </c>
      <c r="E187" s="27" t="n">
        <v>1.5</v>
      </c>
      <c r="F187" s="27" t="n">
        <v>0</v>
      </c>
      <c r="G187" s="156">
        <f>IF(AND(E187&lt;&gt;"",F187&lt;&gt;""),E187*F187,"")</f>
        <v>0</v>
      </c>
      <c r="H187" s="27" t="n"/>
    </row>
    <row r="188" ht="16.5" customHeight="1" s="71">
      <c r="A188" s="14" t="n">
        <v>83</v>
      </c>
      <c r="B188" s="174" t="n">
        <v>46215</v>
      </c>
      <c r="C188" s="27" t="inlineStr">
        <is>
          <t>方太青华百货</t>
        </is>
      </c>
      <c r="D188" s="27" t="inlineStr">
        <is>
          <t>大东鹏</t>
        </is>
      </c>
      <c r="E188" s="27" t="n">
        <v>15</v>
      </c>
      <c r="F188" s="27" t="n">
        <v>93</v>
      </c>
      <c r="G188" s="156">
        <f>IF(AND(E188&lt;&gt;"",F188&lt;&gt;""),E188*F188,"")</f>
        <v>1395</v>
      </c>
      <c r="H188" s="27" t="n"/>
    </row>
    <row r="189" ht="16.5" customHeight="1" s="71">
      <c r="A189" s="14" t="n">
        <v>84</v>
      </c>
      <c r="B189" s="174" t="n">
        <v>46215</v>
      </c>
      <c r="C189" s="27" t="inlineStr">
        <is>
          <t>城北街隆兴商行</t>
        </is>
      </c>
      <c r="D189" s="27" t="inlineStr">
        <is>
          <t>大东鹏</t>
        </is>
      </c>
      <c r="E189" s="27" t="n">
        <v>25</v>
      </c>
      <c r="F189" s="27" t="n">
        <v>93</v>
      </c>
      <c r="G189" s="156">
        <f>IF(AND(E189&lt;&gt;"",F189&lt;&gt;""),E189*F189,"")</f>
        <v>2325</v>
      </c>
      <c r="H189" s="27" t="n"/>
    </row>
    <row r="190" ht="16.5" customHeight="1" s="71">
      <c r="A190" s="14" t="n"/>
      <c r="B190" s="174" t="n">
        <v>46215</v>
      </c>
      <c r="C190" s="27" t="inlineStr">
        <is>
          <t>城北街隆兴商行</t>
        </is>
      </c>
      <c r="D190" s="27" t="inlineStr">
        <is>
          <t>大东鹏</t>
        </is>
      </c>
      <c r="E190" s="27" t="n">
        <v>1</v>
      </c>
      <c r="F190" s="27" t="n"/>
      <c r="G190" s="156">
        <f>IF(AND(E190&lt;&gt;"",F190&lt;&gt;""),E190*F190,"")</f>
      </c>
      <c r="H190" s="27" t="n"/>
    </row>
    <row r="191" ht="16.5" customHeight="1" s="71">
      <c r="A191" s="14" t="n">
        <v>85</v>
      </c>
      <c r="B191" s="174" t="n">
        <v>46215</v>
      </c>
      <c r="C191" s="27" t="inlineStr">
        <is>
          <t>城北街隆兴商行</t>
        </is>
      </c>
      <c r="D191" s="27" t="inlineStr">
        <is>
          <t>555补水</t>
        </is>
      </c>
      <c r="E191" s="27" t="n">
        <v>10</v>
      </c>
      <c r="F191" s="27" t="n">
        <v>68</v>
      </c>
      <c r="G191" s="156">
        <f>IF(AND(E191&lt;&gt;"",F191&lt;&gt;""),E191*F191,"")</f>
        <v>680</v>
      </c>
      <c r="H191" s="27" t="n"/>
    </row>
    <row r="192" ht="16.5" customHeight="1" s="71">
      <c r="A192" s="14" t="n">
        <v>86</v>
      </c>
      <c r="B192" s="174" t="n">
        <v>46215</v>
      </c>
      <c r="C192" s="27" t="inlineStr">
        <is>
          <t>城北街隆兴商行</t>
        </is>
      </c>
      <c r="D192" s="27" t="inlineStr">
        <is>
          <t>555补水</t>
        </is>
      </c>
      <c r="E192" s="27" t="n">
        <v>1</v>
      </c>
      <c r="F192" s="27" t="n"/>
      <c r="G192" s="156">
        <f>IF(AND(E192&lt;&gt;"",F192&lt;&gt;""),E192*F192,"")</f>
      </c>
      <c r="H192" s="27" t="n"/>
    </row>
    <row r="193" ht="16.5" customHeight="1" s="71">
      <c r="A193" s="14" t="n">
        <v>87</v>
      </c>
      <c r="B193" s="174" t="n">
        <v>46213</v>
      </c>
      <c r="C193" s="27" t="inlineStr">
        <is>
          <t>均村好惠多超市</t>
        </is>
      </c>
      <c r="D193" s="27" t="inlineStr">
        <is>
          <t>大东鹏</t>
        </is>
      </c>
      <c r="E193" s="27" t="n">
        <v>15</v>
      </c>
      <c r="F193" s="27" t="n">
        <v>93</v>
      </c>
      <c r="G193" s="156">
        <f>IF(AND(E193&lt;&gt;"",F193&lt;&gt;""),E193*F193,"")</f>
        <v>1395</v>
      </c>
      <c r="H193" s="27" t="n"/>
    </row>
    <row r="194" ht="16.5" customHeight="1" s="71">
      <c r="A194" s="14" t="n">
        <v>88</v>
      </c>
      <c r="B194" s="174" t="n">
        <v>46213</v>
      </c>
      <c r="C194" s="27" t="inlineStr">
        <is>
          <t>龙口利客副食</t>
        </is>
      </c>
      <c r="D194" s="27" t="inlineStr">
        <is>
          <t>大东鹏</t>
        </is>
      </c>
      <c r="E194" s="27" t="n">
        <v>25</v>
      </c>
      <c r="F194" s="27" t="n">
        <v>93</v>
      </c>
      <c r="G194" s="156">
        <f>IF(AND(E194&lt;&gt;"",F194&lt;&gt;""),E194*F194,"")</f>
        <v>2325</v>
      </c>
      <c r="H194" s="27" t="n"/>
    </row>
    <row r="195" ht="16.5" customHeight="1" s="71">
      <c r="A195" s="14" t="n">
        <v>89</v>
      </c>
      <c r="B195" s="174" t="n">
        <v>46212</v>
      </c>
      <c r="C195" s="27" t="inlineStr">
        <is>
          <t>长岗愉清副食</t>
        </is>
      </c>
      <c r="D195" s="27" t="inlineStr">
        <is>
          <t>小果之茶</t>
        </is>
      </c>
      <c r="E195" s="27" t="n">
        <v>10</v>
      </c>
      <c r="F195" s="27" t="n">
        <v>50</v>
      </c>
      <c r="G195" s="156">
        <f>IF(AND(E195&lt;&gt;"",F195&lt;&gt;""),E195*F195,"")</f>
        <v>500</v>
      </c>
      <c r="H195" s="27" t="n"/>
    </row>
    <row r="196" ht="16.5" customHeight="1" s="71">
      <c r="A196" s="14" t="n">
        <v>90</v>
      </c>
      <c r="B196" s="174" t="n">
        <v>46212</v>
      </c>
      <c r="C196" s="27" t="inlineStr">
        <is>
          <t>长岗愉清副食</t>
        </is>
      </c>
      <c r="D196" s="27" t="inlineStr">
        <is>
          <t>1L果之茶</t>
        </is>
      </c>
      <c r="E196" s="27" t="n">
        <v>10</v>
      </c>
      <c r="F196" s="27" t="n">
        <v>46</v>
      </c>
      <c r="G196" s="156">
        <f>IF(AND(E196&lt;&gt;"",F196&lt;&gt;""),E196*F196,"")</f>
        <v>460</v>
      </c>
      <c r="H196" s="27" t="n"/>
    </row>
    <row r="197" ht="16.5" customHeight="1" s="71">
      <c r="A197" s="14" t="n">
        <v>91</v>
      </c>
      <c r="B197" s="174" t="n">
        <v>46212</v>
      </c>
      <c r="C197" s="27" t="inlineStr">
        <is>
          <t>长岗愉清副食</t>
        </is>
      </c>
      <c r="D197" s="27" t="inlineStr">
        <is>
          <t>小果之茶</t>
        </is>
      </c>
      <c r="E197" s="27" t="n">
        <v>1</v>
      </c>
      <c r="F197" s="27" t="n"/>
      <c r="G197" s="156">
        <f>IF(AND(E197&lt;&gt;"",F197&lt;&gt;""),E197*F197,"")</f>
      </c>
      <c r="H197" s="27" t="n"/>
    </row>
    <row r="198" ht="16.5" customHeight="1" s="71">
      <c r="A198" s="14" t="n">
        <v>92</v>
      </c>
      <c r="B198" s="174" t="n">
        <v>46212</v>
      </c>
      <c r="C198" s="27" t="inlineStr">
        <is>
          <t>长岗愉清副食</t>
        </is>
      </c>
      <c r="D198" s="27" t="inlineStr">
        <is>
          <t>555补水</t>
        </is>
      </c>
      <c r="E198" s="27" t="n">
        <v>10</v>
      </c>
      <c r="F198" s="27" t="n">
        <v>68</v>
      </c>
      <c r="G198" s="156">
        <f>IF(AND(E198&lt;&gt;"",F198&lt;&gt;""),E198*F198,"")</f>
        <v>680</v>
      </c>
      <c r="H198" s="27" t="n"/>
    </row>
    <row r="199" ht="16.5" customHeight="1" s="71">
      <c r="A199" s="14" t="n">
        <v>93</v>
      </c>
      <c r="B199" s="174" t="n">
        <v>46212</v>
      </c>
      <c r="C199" s="27" t="inlineStr">
        <is>
          <t>长岗愉清副食</t>
        </is>
      </c>
      <c r="D199" s="27" t="inlineStr">
        <is>
          <t>555补水</t>
        </is>
      </c>
      <c r="E199" s="35" t="n">
        <v>1</v>
      </c>
      <c r="G199" s="156">
        <f>IF(AND(E199&lt;&gt;"",F199&lt;&gt;""),E199*F199,"")</f>
      </c>
    </row>
    <row r="200" ht="16.5" customHeight="1" s="71">
      <c r="A200" s="14" t="n">
        <v>94</v>
      </c>
      <c r="B200" s="174" t="n">
        <v>46212</v>
      </c>
      <c r="C200" s="27" t="inlineStr">
        <is>
          <t>长岗愉清副食</t>
        </is>
      </c>
      <c r="D200" s="35" t="inlineStr">
        <is>
          <t>大东鹏</t>
        </is>
      </c>
      <c r="E200" s="35" t="n">
        <v>15</v>
      </c>
      <c r="F200" s="35" t="n">
        <v>93</v>
      </c>
      <c r="G200" s="156">
        <f>IF(AND(E200&lt;&gt;"",F200&lt;&gt;""),E200*F200,"")</f>
        <v>1395</v>
      </c>
    </row>
    <row r="201" ht="16.5" customHeight="1" s="71">
      <c r="A201" s="14" t="n">
        <v>95</v>
      </c>
      <c r="B201" s="174" t="n">
        <v>46212</v>
      </c>
      <c r="C201" s="35" t="inlineStr">
        <is>
          <t>高兴小春王均平</t>
        </is>
      </c>
      <c r="D201" s="35" t="inlineStr">
        <is>
          <t>大东鹏</t>
        </is>
      </c>
      <c r="E201" s="35" t="n">
        <v>25</v>
      </c>
      <c r="F201" s="35" t="n">
        <v>93</v>
      </c>
      <c r="G201" s="156">
        <f>IF(AND(E201&lt;&gt;"",F201&lt;&gt;""),E201*F201,"")</f>
        <v>2325</v>
      </c>
    </row>
    <row r="202" ht="16.5" customHeight="1" s="71">
      <c r="A202" s="14" t="n">
        <v>96</v>
      </c>
      <c r="B202" s="174" t="n">
        <v>46212</v>
      </c>
      <c r="C202" s="35" t="inlineStr">
        <is>
          <t>高兴小春王均平</t>
        </is>
      </c>
      <c r="D202" s="35" t="inlineStr">
        <is>
          <t>555补水</t>
        </is>
      </c>
      <c r="E202" s="35" t="n">
        <v>5</v>
      </c>
      <c r="F202" s="35" t="n">
        <v>68</v>
      </c>
      <c r="G202" s="156">
        <f>IF(AND(E202&lt;&gt;"",F202&lt;&gt;""),E202*F202,"")</f>
        <v>340</v>
      </c>
    </row>
    <row r="203" ht="16.5" customHeight="1" s="71">
      <c r="A203" s="14" t="n">
        <v>97</v>
      </c>
      <c r="B203" s="174" t="n">
        <v>46212</v>
      </c>
      <c r="C203" s="35" t="inlineStr">
        <is>
          <t>高兴小春王均平</t>
        </is>
      </c>
      <c r="D203" s="35" t="inlineStr">
        <is>
          <t>小果之茶</t>
        </is>
      </c>
      <c r="E203" s="35" t="n">
        <v>3</v>
      </c>
      <c r="F203" s="35" t="n">
        <v>50</v>
      </c>
      <c r="G203" s="156">
        <f>IF(AND(E203&lt;&gt;"",F203&lt;&gt;""),E203*F203,"")</f>
        <v>150</v>
      </c>
    </row>
    <row r="204" ht="16.5" customHeight="1" s="71">
      <c r="A204" s="14" t="n">
        <v>98</v>
      </c>
      <c r="B204" s="174" t="n">
        <v>46212</v>
      </c>
      <c r="C204" s="35" t="inlineStr">
        <is>
          <t>高兴小春王均平</t>
        </is>
      </c>
      <c r="D204" s="35" t="inlineStr">
        <is>
          <t>1L果之茶</t>
        </is>
      </c>
      <c r="E204" s="35" t="n">
        <v>2</v>
      </c>
      <c r="F204" s="35" t="n">
        <v>46</v>
      </c>
      <c r="G204" s="156">
        <f>IF(AND(E204&lt;&gt;"",F204&lt;&gt;""),E204*F204,"")</f>
        <v>92</v>
      </c>
    </row>
    <row r="205" ht="16.5" customHeight="1" s="71">
      <c r="A205" s="14" t="n">
        <v>99</v>
      </c>
      <c r="B205" s="174" t="n">
        <v>46212</v>
      </c>
      <c r="C205" s="27" t="inlineStr">
        <is>
          <t>高兴蒙山超市</t>
        </is>
      </c>
      <c r="D205" s="27" t="inlineStr">
        <is>
          <t>大东鹏</t>
        </is>
      </c>
      <c r="E205" s="35" t="n">
        <v>15</v>
      </c>
      <c r="F205" s="35" t="n">
        <v>93</v>
      </c>
      <c r="G205" s="156">
        <f>IF(AND(E205&lt;&gt;"",F205&lt;&gt;""),E205*F205,"")</f>
        <v>1395</v>
      </c>
    </row>
    <row r="206" ht="16.5" customHeight="1" s="71">
      <c r="A206" s="14" t="n">
        <v>100</v>
      </c>
      <c r="B206" s="174" t="n">
        <v>46212</v>
      </c>
      <c r="C206" s="27" t="inlineStr">
        <is>
          <t>高兴蒙山超市</t>
        </is>
      </c>
      <c r="D206" s="27" t="inlineStr">
        <is>
          <t>大咖</t>
        </is>
      </c>
      <c r="E206" s="35" t="n">
        <v>2</v>
      </c>
      <c r="F206" s="35" t="n">
        <v>86</v>
      </c>
      <c r="G206" s="156">
        <f>IF(AND(E206&lt;&gt;"",F206&lt;&gt;""),E206*F206,"")</f>
        <v>172</v>
      </c>
    </row>
    <row r="207" ht="16.5" customHeight="1" s="71">
      <c r="A207" s="14" t="n">
        <v>101</v>
      </c>
      <c r="B207" s="170" t="n">
        <v>46223</v>
      </c>
      <c r="C207" s="35" t="inlineStr">
        <is>
          <t>良村小杜批发</t>
        </is>
      </c>
      <c r="D207" s="35" t="inlineStr">
        <is>
          <t>大东鹏</t>
        </is>
      </c>
      <c r="E207" s="35" t="n">
        <v>50</v>
      </c>
      <c r="F207" s="35" t="n">
        <v>90</v>
      </c>
      <c r="G207" s="156">
        <f>IF(AND(E207&lt;&gt;"",F207&lt;&gt;""),E207*F207,"")</f>
        <v>4500</v>
      </c>
    </row>
    <row r="208" ht="16.5" customHeight="1" s="71">
      <c r="A208" s="14" t="n">
        <v>102</v>
      </c>
      <c r="B208" s="170" t="n">
        <v>46226</v>
      </c>
      <c r="C208" s="35" t="inlineStr">
        <is>
          <t>洪门C区李记商行</t>
        </is>
      </c>
      <c r="D208" s="35" t="inlineStr">
        <is>
          <t>大东鹏</t>
        </is>
      </c>
      <c r="E208" s="35" t="n">
        <v>100</v>
      </c>
      <c r="F208" s="35" t="n">
        <v>90</v>
      </c>
      <c r="G208" s="156">
        <f>IF(AND(E208&lt;&gt;"",F208&lt;&gt;""),E208*F208,"")</f>
        <v>9000</v>
      </c>
    </row>
    <row r="209" ht="16.5" customHeight="1" s="71">
      <c r="A209" s="14" t="n">
        <v>103</v>
      </c>
      <c r="B209" s="170" t="n">
        <v>46233</v>
      </c>
      <c r="C209" s="35" t="inlineStr">
        <is>
          <t>竹坝鸿禄食品</t>
        </is>
      </c>
      <c r="D209" s="35" t="inlineStr">
        <is>
          <t>大东鹏</t>
        </is>
      </c>
      <c r="E209" s="35" t="n">
        <v>100</v>
      </c>
      <c r="F209" s="35" t="n">
        <v>90</v>
      </c>
      <c r="G209" s="156">
        <f>IF(AND(E209&lt;&gt;"",F209&lt;&gt;""),E209*F209,"")</f>
        <v>9000</v>
      </c>
    </row>
    <row r="210" ht="16.5" customHeight="1" s="71">
      <c r="A210" s="14" t="n">
        <v>104</v>
      </c>
      <c r="B210" s="170" t="n">
        <v>46233</v>
      </c>
      <c r="C210" s="35" t="inlineStr">
        <is>
          <t>竹坝鸿禄食品</t>
        </is>
      </c>
      <c r="D210" s="35" t="inlineStr">
        <is>
          <t>1L补水</t>
        </is>
      </c>
      <c r="E210" s="35" t="n">
        <v>20</v>
      </c>
      <c r="F210" s="35" t="n">
        <v>55</v>
      </c>
      <c r="G210" s="156">
        <f>IF(AND(E210&lt;&gt;"",F210&lt;&gt;""),E210*F210,"")</f>
        <v>1100</v>
      </c>
    </row>
    <row r="211" ht="16.5" customHeight="1" s="71">
      <c r="A211" s="14" t="n">
        <v>105</v>
      </c>
      <c r="B211" s="170" t="n">
        <v>46231</v>
      </c>
      <c r="C211" s="35" t="inlineStr">
        <is>
          <t>阿东副食</t>
        </is>
      </c>
      <c r="D211" s="35" t="inlineStr">
        <is>
          <t>555补水</t>
        </is>
      </c>
      <c r="E211" s="35" t="n">
        <v>400</v>
      </c>
      <c r="F211" s="35" t="n">
        <v>65</v>
      </c>
      <c r="G211" s="156">
        <f>IF(AND(E211&lt;&gt;"",F211&lt;&gt;""),E211*F211,"")</f>
        <v>26000</v>
      </c>
    </row>
    <row r="212" ht="16.5" customHeight="1" s="71">
      <c r="A212" s="14" t="n">
        <v>106</v>
      </c>
      <c r="B212" s="170" t="n">
        <v>46231</v>
      </c>
      <c r="C212" s="35" t="inlineStr">
        <is>
          <t>阿东副食</t>
        </is>
      </c>
      <c r="D212" s="35" t="inlineStr">
        <is>
          <t>555补水</t>
        </is>
      </c>
      <c r="E212" s="35" t="n">
        <v>40</v>
      </c>
      <c r="G212" s="156">
        <f>IF(AND(E212&lt;&gt;"",F212&lt;&gt;""),E212*F212,"")</f>
      </c>
    </row>
    <row r="213" ht="16.5" customHeight="1" s="71">
      <c r="A213" s="14" t="n">
        <v>107</v>
      </c>
      <c r="B213" s="170" t="n">
        <v>46231</v>
      </c>
      <c r="C213" s="35" t="inlineStr">
        <is>
          <t>阿东副食</t>
        </is>
      </c>
      <c r="D213" s="35" t="inlineStr">
        <is>
          <t>1L果之茶</t>
        </is>
      </c>
      <c r="E213" s="35" t="n">
        <v>100</v>
      </c>
      <c r="F213" s="35" t="n">
        <v>43</v>
      </c>
      <c r="G213" s="156">
        <f>IF(AND(E213&lt;&gt;"",F213&lt;&gt;""),E213*F213,"")</f>
        <v>4300</v>
      </c>
    </row>
    <row r="214" ht="16.5" customHeight="1" s="71">
      <c r="A214" s="14" t="n">
        <v>108</v>
      </c>
      <c r="B214" s="170" t="n">
        <v>46231</v>
      </c>
      <c r="C214" s="35" t="inlineStr">
        <is>
          <t>阿东副食</t>
        </is>
      </c>
      <c r="D214" s="35" t="inlineStr">
        <is>
          <t>1L果之茶</t>
        </is>
      </c>
      <c r="E214" s="35" t="n">
        <v>4</v>
      </c>
      <c r="G214" s="156">
        <f>IF(AND(E214&lt;&gt;"",F214&lt;&gt;""),E214*F214,"")</f>
      </c>
    </row>
    <row r="215" ht="16.5" customHeight="1" s="71">
      <c r="A215" s="14" t="n">
        <v>109</v>
      </c>
      <c r="B215" s="170" t="n">
        <v>46231</v>
      </c>
      <c r="C215" s="35" t="inlineStr">
        <is>
          <t>阿东副食</t>
        </is>
      </c>
      <c r="D215" s="35" t="inlineStr">
        <is>
          <t>小果之茶</t>
        </is>
      </c>
      <c r="E215" s="35" t="n">
        <v>800</v>
      </c>
      <c r="F215" s="35" t="n">
        <v>47</v>
      </c>
      <c r="G215" s="156">
        <f>IF(AND(E215&lt;&gt;"",F215&lt;&gt;""),E215*F215,"")</f>
        <v>37600</v>
      </c>
    </row>
    <row r="216" ht="16.5" customHeight="1" s="71">
      <c r="A216" s="14" t="n">
        <v>110</v>
      </c>
      <c r="B216" s="170" t="n">
        <v>46231</v>
      </c>
      <c r="C216" s="35" t="inlineStr">
        <is>
          <t>阿东副食</t>
        </is>
      </c>
      <c r="D216" s="35" t="inlineStr">
        <is>
          <t>小果之茶</t>
        </is>
      </c>
      <c r="E216" s="35" t="n">
        <v>32</v>
      </c>
      <c r="G216" s="156">
        <f>IF(AND(E216&lt;&gt;"",F216&lt;&gt;""),E216*F216,"")</f>
      </c>
    </row>
    <row r="217" ht="16.5" customHeight="1" s="71">
      <c r="A217" s="14" t="n">
        <v>111</v>
      </c>
      <c r="B217" s="170" t="n">
        <v>46227</v>
      </c>
      <c r="C217" s="35" t="inlineStr">
        <is>
          <t>和睦公园百顺</t>
        </is>
      </c>
      <c r="D217" s="35" t="inlineStr">
        <is>
          <t>1L补水</t>
        </is>
      </c>
      <c r="E217" s="35" t="n">
        <v>100</v>
      </c>
      <c r="F217" s="35" t="n">
        <v>55</v>
      </c>
      <c r="G217" s="156">
        <f>IF(AND(E217&lt;&gt;"",F217&lt;&gt;""),E217*F217,"")</f>
        <v>5500</v>
      </c>
    </row>
    <row r="218" ht="16.5" customHeight="1" s="71">
      <c r="A218" s="14" t="n">
        <v>112</v>
      </c>
      <c r="B218" s="170" t="n">
        <v>46227</v>
      </c>
      <c r="C218" s="35" t="inlineStr">
        <is>
          <t>和睦公园百顺</t>
        </is>
      </c>
      <c r="D218" s="35" t="inlineStr">
        <is>
          <t>1L补水</t>
        </is>
      </c>
      <c r="E218" s="35" t="n">
        <v>3</v>
      </c>
      <c r="G218" s="156">
        <f>IF(AND(E218&lt;&gt;"",F218&lt;&gt;""),E218*F218,"")</f>
      </c>
    </row>
    <row r="219" ht="16.5" customHeight="1" s="71">
      <c r="A219" s="14" t="n">
        <v>113</v>
      </c>
      <c r="B219" s="170" t="n">
        <v>46227</v>
      </c>
      <c r="C219" s="35" t="inlineStr">
        <is>
          <t>和睦公园百顺</t>
        </is>
      </c>
      <c r="D219" s="35" t="inlineStr">
        <is>
          <t>小果之茶</t>
        </is>
      </c>
      <c r="E219" s="35" t="n">
        <v>100</v>
      </c>
      <c r="F219" s="35" t="n">
        <v>47</v>
      </c>
      <c r="G219" s="156">
        <f>IF(AND(E219&lt;&gt;"",F219&lt;&gt;""),E219*F219,"")</f>
        <v>4700</v>
      </c>
    </row>
    <row r="220" ht="16.5" customHeight="1" s="71">
      <c r="A220" s="14" t="n">
        <v>114</v>
      </c>
      <c r="B220" s="170" t="n">
        <v>46227</v>
      </c>
      <c r="C220" s="35" t="inlineStr">
        <is>
          <t>和睦公园百顺</t>
        </is>
      </c>
      <c r="D220" s="35" t="inlineStr">
        <is>
          <t>小果之茶</t>
        </is>
      </c>
      <c r="E220" s="35" t="n">
        <v>3</v>
      </c>
      <c r="G220" s="156">
        <f>IF(AND(E220&lt;&gt;"",F220&lt;&gt;""),E220*F220,"")</f>
      </c>
    </row>
    <row r="221" ht="16.5" customHeight="1" s="71">
      <c r="A221" s="14" t="n">
        <v>115</v>
      </c>
      <c r="B221" s="170" t="n">
        <v>46227</v>
      </c>
      <c r="C221" s="35" t="inlineStr">
        <is>
          <t>和睦公园百顺</t>
        </is>
      </c>
      <c r="D221" s="35" t="inlineStr">
        <is>
          <t>1L果之茶</t>
        </is>
      </c>
      <c r="E221" s="35" t="n">
        <v>35</v>
      </c>
      <c r="F221" s="35" t="n">
        <v>43</v>
      </c>
      <c r="G221" s="156">
        <f>IF(AND(E221&lt;&gt;"",F221&lt;&gt;""),E221*F221,"")</f>
        <v>1505</v>
      </c>
    </row>
    <row r="222" ht="16.5" customHeight="1" s="71">
      <c r="A222" s="14" t="n">
        <v>116</v>
      </c>
      <c r="B222" s="170" t="n">
        <v>46227</v>
      </c>
      <c r="C222" s="35" t="inlineStr">
        <is>
          <t>和睦公园百顺</t>
        </is>
      </c>
      <c r="D222" s="35" t="inlineStr">
        <is>
          <t>1L果之茶</t>
        </is>
      </c>
      <c r="E222" s="35" t="n">
        <v>1</v>
      </c>
      <c r="G222" s="156">
        <f>IF(AND(E222&lt;&gt;"",F222&lt;&gt;""),E222*F222,"")</f>
      </c>
    </row>
    <row r="223" ht="16.5" customHeight="1" s="71">
      <c r="A223" s="14" t="n">
        <v>117</v>
      </c>
      <c r="B223" s="170" t="n">
        <v>46231</v>
      </c>
      <c r="C223" s="35" t="inlineStr">
        <is>
          <t>桐心源</t>
        </is>
      </c>
      <c r="D223" s="35" t="inlineStr">
        <is>
          <t>555补水</t>
        </is>
      </c>
      <c r="E223" s="35" t="n">
        <v>500</v>
      </c>
      <c r="F223" s="35" t="n">
        <v>65</v>
      </c>
      <c r="G223" s="156">
        <f>IF(AND(E223&lt;&gt;"",F223&lt;&gt;""),E223*F223,"")</f>
        <v>32500</v>
      </c>
    </row>
    <row r="224" ht="16.5" customHeight="1" s="71">
      <c r="A224" s="14" t="n">
        <v>118</v>
      </c>
      <c r="B224" s="170" t="n">
        <v>46231</v>
      </c>
      <c r="C224" s="35" t="inlineStr">
        <is>
          <t>桐心源</t>
        </is>
      </c>
      <c r="D224" s="35" t="inlineStr">
        <is>
          <t>555补水</t>
        </is>
      </c>
      <c r="E224" s="35" t="n">
        <v>50</v>
      </c>
      <c r="G224" s="156">
        <f>IF(AND(E224&lt;&gt;"",F224&lt;&gt;""),E224*F224,"")</f>
      </c>
    </row>
    <row r="225" ht="16.5" customHeight="1" s="71">
      <c r="A225" s="14" t="n">
        <v>119</v>
      </c>
      <c r="B225" s="170" t="n">
        <v>46231</v>
      </c>
      <c r="C225" s="35" t="inlineStr">
        <is>
          <t>桐心源</t>
        </is>
      </c>
      <c r="D225" s="35" t="inlineStr">
        <is>
          <t>小果之茶</t>
        </is>
      </c>
      <c r="E225" s="35" t="n">
        <v>600</v>
      </c>
      <c r="F225" s="35" t="n">
        <v>47</v>
      </c>
      <c r="G225" s="156">
        <f>IF(AND(E225&lt;&gt;"",F225&lt;&gt;""),E225*F225,"")</f>
        <v>28200</v>
      </c>
    </row>
    <row r="226" ht="16.5" customHeight="1" s="71">
      <c r="A226" s="14" t="n">
        <v>120</v>
      </c>
      <c r="B226" s="170" t="n">
        <v>46231</v>
      </c>
      <c r="C226" s="35" t="inlineStr">
        <is>
          <t>桐心源</t>
        </is>
      </c>
      <c r="D226" s="35" t="inlineStr">
        <is>
          <t>小果之茶</t>
        </is>
      </c>
      <c r="E226" s="35" t="n">
        <v>24</v>
      </c>
      <c r="G226" s="156">
        <f>IF(AND(E226&lt;&gt;"",F226&lt;&gt;""),E226*F226,"")</f>
      </c>
    </row>
    <row r="227" ht="16.5" customHeight="1" s="71">
      <c r="A227" s="14" t="n">
        <v>121</v>
      </c>
      <c r="B227" s="170" t="n">
        <v>46231</v>
      </c>
      <c r="C227" s="35" t="inlineStr">
        <is>
          <t>桐心源</t>
        </is>
      </c>
      <c r="D227" s="35" t="inlineStr">
        <is>
          <t>1L果之茶</t>
        </is>
      </c>
      <c r="E227" s="35" t="n">
        <v>400</v>
      </c>
      <c r="F227" s="35" t="n">
        <v>43</v>
      </c>
      <c r="G227" s="156">
        <f>IF(AND(E227&lt;&gt;"",F227&lt;&gt;""),E227*F227,"")</f>
        <v>17200</v>
      </c>
    </row>
    <row r="228" ht="16.5" customHeight="1" s="71">
      <c r="A228" s="14" t="n">
        <v>122</v>
      </c>
      <c r="B228" s="170" t="n">
        <v>46231</v>
      </c>
      <c r="C228" s="35" t="inlineStr">
        <is>
          <t>桐心源</t>
        </is>
      </c>
      <c r="D228" s="35" t="inlineStr">
        <is>
          <t>1L果之茶</t>
        </is>
      </c>
      <c r="E228" s="35" t="n">
        <v>16</v>
      </c>
      <c r="G228" s="156">
        <f>IF(AND(E228&lt;&gt;"",F228&lt;&gt;""),E228*F228,"")</f>
      </c>
    </row>
    <row r="229" ht="16.5" customHeight="1" s="71">
      <c r="A229" s="14" t="n">
        <v>123</v>
      </c>
      <c r="B229" s="170" t="n">
        <v>46231</v>
      </c>
      <c r="C229" s="35" t="inlineStr">
        <is>
          <t>南区长裕商行</t>
        </is>
      </c>
      <c r="D229" s="35" t="inlineStr">
        <is>
          <t>大东鹏</t>
        </is>
      </c>
      <c r="E229" s="35" t="n">
        <v>20</v>
      </c>
      <c r="F229" s="35" t="n">
        <v>93</v>
      </c>
      <c r="G229" s="156">
        <f>IF(AND(E229&lt;&gt;"",F229&lt;&gt;""),E229*F229,"")</f>
        <v>1860</v>
      </c>
    </row>
    <row r="230" ht="16.5" customHeight="1" s="71">
      <c r="A230" s="14" t="n">
        <v>124</v>
      </c>
      <c r="B230" s="170" t="n">
        <v>46227</v>
      </c>
      <c r="C230" s="35" t="inlineStr">
        <is>
          <t>埠头鑫鑫文具</t>
        </is>
      </c>
      <c r="D230" s="35" t="inlineStr">
        <is>
          <t>大东鹏</t>
        </is>
      </c>
      <c r="E230" s="35" t="n">
        <v>25</v>
      </c>
      <c r="F230" s="35" t="n">
        <v>93</v>
      </c>
      <c r="G230" s="156">
        <f>IF(AND(E230&lt;&gt;"",F230&lt;&gt;""),E230*F230,"")</f>
        <v>2325</v>
      </c>
    </row>
    <row r="231" ht="16.5" customHeight="1" s="71">
      <c r="A231" s="14" t="n">
        <v>125</v>
      </c>
      <c r="B231" s="170" t="n">
        <v>46232</v>
      </c>
      <c r="C231" s="36" t="inlineStr">
        <is>
          <t>洪门永信商行</t>
        </is>
      </c>
      <c r="D231" s="35" t="inlineStr">
        <is>
          <t>大东鹏</t>
        </is>
      </c>
      <c r="E231" s="35" t="n">
        <v>50</v>
      </c>
      <c r="F231" s="35" t="n">
        <v>90</v>
      </c>
      <c r="G231" s="156">
        <f>IF(AND(E231&lt;&gt;"",F231&lt;&gt;""),E231*F231,"")</f>
        <v>4500</v>
      </c>
    </row>
    <row r="232" ht="16.5" customHeight="1" s="71">
      <c r="A232" s="14" t="n">
        <v>126</v>
      </c>
      <c r="B232" s="170" t="n">
        <v>46241</v>
      </c>
      <c r="C232" s="35" t="inlineStr">
        <is>
          <t>阿东副食</t>
        </is>
      </c>
      <c r="D232" s="35" t="inlineStr">
        <is>
          <t>清爽</t>
        </is>
      </c>
      <c r="E232" s="35" t="n">
        <v>50</v>
      </c>
      <c r="F232" s="35" t="n">
        <v>42</v>
      </c>
      <c r="G232" s="156">
        <f>IF(AND(E232&lt;&gt;"",F232&lt;&gt;""),E232*F232,"")</f>
        <v>2100</v>
      </c>
    </row>
    <row r="233" ht="16.5" customHeight="1" s="71">
      <c r="A233" s="14" t="n">
        <v>127</v>
      </c>
      <c r="B233" s="170" t="n">
        <v>46241</v>
      </c>
      <c r="C233" s="35" t="inlineStr">
        <is>
          <t>均村喜乐多</t>
        </is>
      </c>
      <c r="D233" s="35" t="inlineStr">
        <is>
          <t>小果之茶</t>
        </is>
      </c>
      <c r="E233" s="35" t="n">
        <v>10</v>
      </c>
      <c r="F233" s="35" t="n">
        <v>50</v>
      </c>
      <c r="G233" s="156">
        <f>IF(AND(E233&lt;&gt;"",F233&lt;&gt;""),E233*F233,"")</f>
        <v>500</v>
      </c>
    </row>
    <row r="234" ht="16.5" customHeight="1" s="71">
      <c r="A234" s="14" t="n">
        <v>128</v>
      </c>
      <c r="B234" s="170" t="n">
        <v>46241</v>
      </c>
      <c r="C234" s="35" t="inlineStr">
        <is>
          <t>均村喜乐多</t>
        </is>
      </c>
      <c r="D234" s="35" t="inlineStr">
        <is>
          <t>1L果之茶</t>
        </is>
      </c>
      <c r="E234" s="35" t="n">
        <v>10</v>
      </c>
      <c r="F234" s="35" t="n">
        <v>46</v>
      </c>
      <c r="G234" s="156">
        <f>IF(AND(E234&lt;&gt;"",F234&lt;&gt;""),E234*F234,"")</f>
        <v>460</v>
      </c>
    </row>
    <row r="235" ht="16.5" customHeight="1" s="71">
      <c r="A235" s="14" t="n">
        <v>129</v>
      </c>
      <c r="B235" s="170" t="n">
        <v>46241</v>
      </c>
      <c r="C235" s="35" t="inlineStr">
        <is>
          <t>均村喜乐多</t>
        </is>
      </c>
      <c r="D235" s="35" t="inlineStr">
        <is>
          <t>555补水</t>
        </is>
      </c>
      <c r="E235" s="35" t="n">
        <v>10</v>
      </c>
      <c r="F235" s="35" t="n">
        <v>68</v>
      </c>
      <c r="G235" s="156">
        <f>IF(AND(E235&lt;&gt;"",F235&lt;&gt;""),E235*F235,"")</f>
        <v>680</v>
      </c>
    </row>
    <row r="236" ht="16.5" customHeight="1" s="71">
      <c r="A236" s="14" t="n">
        <v>130</v>
      </c>
      <c r="B236" s="170" t="n">
        <v>46241</v>
      </c>
      <c r="C236" s="35" t="inlineStr">
        <is>
          <t>埠头如愿超市</t>
        </is>
      </c>
      <c r="D236" s="35" t="inlineStr">
        <is>
          <t>大东鹏</t>
        </is>
      </c>
      <c r="E236" s="35" t="n">
        <v>25</v>
      </c>
      <c r="F236" s="35" t="n">
        <v>93</v>
      </c>
      <c r="G236" s="156">
        <f>IF(AND(E236&lt;&gt;"",F236&lt;&gt;""),E236*F236,"")</f>
        <v>2325</v>
      </c>
    </row>
    <row r="237" ht="16.5" customHeight="1" s="71">
      <c r="A237" s="14" t="n">
        <v>131</v>
      </c>
      <c r="B237" s="170" t="n">
        <v>46246</v>
      </c>
      <c r="C237" s="35" t="inlineStr">
        <is>
          <t>七中阳光鲜奶</t>
        </is>
      </c>
      <c r="D237" s="35" t="inlineStr">
        <is>
          <t>550农夫水</t>
        </is>
      </c>
      <c r="E237" s="35" t="n">
        <v>5</v>
      </c>
      <c r="F237" s="35" t="n">
        <v>21.5</v>
      </c>
      <c r="G237" s="156">
        <f>IF(AND(E237&lt;&gt;"",F237&lt;&gt;""),E237*F237,"")</f>
        <v>107.5</v>
      </c>
    </row>
    <row r="238" ht="16.5" customHeight="1" s="71">
      <c r="A238" s="14" t="n">
        <v>132</v>
      </c>
      <c r="B238" s="170" t="n">
        <v>46248</v>
      </c>
      <c r="C238" s="35" t="inlineStr">
        <is>
          <t>兴发商行</t>
        </is>
      </c>
      <c r="D238" s="35" t="inlineStr">
        <is>
          <t>555补水</t>
        </is>
      </c>
      <c r="E238" s="35" t="n">
        <v>17.5</v>
      </c>
      <c r="F238" s="35" t="n">
        <v>65</v>
      </c>
      <c r="G238" s="156">
        <f>IF(AND(E238&lt;&gt;"",F238&lt;&gt;""),E238*F238,"")</f>
        <v>1137.5</v>
      </c>
    </row>
    <row r="239" ht="16.5" customHeight="1" s="71">
      <c r="A239" s="14" t="n">
        <v>133</v>
      </c>
      <c r="B239" s="170" t="n">
        <v>46248</v>
      </c>
      <c r="C239" s="35" t="inlineStr">
        <is>
          <t>兴发商行</t>
        </is>
      </c>
      <c r="D239" s="35" t="inlineStr">
        <is>
          <t>555补水</t>
        </is>
      </c>
      <c r="E239" s="35" t="n">
        <v>0.5</v>
      </c>
      <c r="G239" s="156">
        <f>IF(AND(E239&lt;&gt;"",F239&lt;&gt;""),E239*F239,"")</f>
      </c>
    </row>
    <row r="240" ht="16.5" customHeight="1" s="71">
      <c r="A240" s="14" t="n">
        <v>134</v>
      </c>
      <c r="B240" s="170" t="n">
        <v>46252</v>
      </c>
      <c r="C240" s="35" t="inlineStr">
        <is>
          <t>洪门兴诚超市</t>
        </is>
      </c>
      <c r="D240" s="35" t="inlineStr">
        <is>
          <t>清爽</t>
        </is>
      </c>
      <c r="E240" s="35" t="n">
        <v>50</v>
      </c>
      <c r="F240" s="35" t="n">
        <v>42</v>
      </c>
      <c r="G240" s="156">
        <f>IF(AND(E240&lt;&gt;"",F240&lt;&gt;""),E240*F240,"")</f>
        <v>2100</v>
      </c>
    </row>
    <row r="241" ht="16.5" customHeight="1" s="71">
      <c r="A241" s="14" t="n">
        <v>135</v>
      </c>
      <c r="B241" s="170" t="n">
        <v>46252</v>
      </c>
      <c r="C241" s="35" t="inlineStr">
        <is>
          <t>长岗岭万家乐超市</t>
        </is>
      </c>
      <c r="D241" s="35" t="inlineStr">
        <is>
          <t>大东鹏</t>
        </is>
      </c>
      <c r="E241" s="35" t="n">
        <v>30</v>
      </c>
      <c r="F241" s="35" t="n">
        <v>93</v>
      </c>
      <c r="G241" s="156">
        <f>IF(AND(E241&lt;&gt;"",F241&lt;&gt;""),E241*F241,"")</f>
        <v>2790</v>
      </c>
    </row>
    <row r="242" ht="16.5" customHeight="1" s="71">
      <c r="A242" s="14" t="n">
        <v>136</v>
      </c>
      <c r="B242" s="170" t="n">
        <v>46254</v>
      </c>
      <c r="C242" s="35" t="inlineStr">
        <is>
          <t>龙岗荣鑫商行</t>
        </is>
      </c>
      <c r="D242" s="35" t="inlineStr">
        <is>
          <t>大东鹏</t>
        </is>
      </c>
      <c r="E242" s="35" t="n">
        <v>50</v>
      </c>
      <c r="F242" s="35" t="n">
        <v>90</v>
      </c>
      <c r="G242" s="156">
        <f>IF(AND(E242&lt;&gt;"",F242&lt;&gt;""),E242*F242,"")</f>
        <v>4500</v>
      </c>
    </row>
    <row r="243" ht="16.5" customHeight="1" s="71">
      <c r="A243" s="14" t="n">
        <v>137</v>
      </c>
      <c r="B243" s="170" t="n">
        <v>46272</v>
      </c>
      <c r="C243" s="35" t="inlineStr">
        <is>
          <t>城岗老石商行</t>
        </is>
      </c>
      <c r="D243" s="35" t="inlineStr">
        <is>
          <t>大东鹏</t>
        </is>
      </c>
      <c r="E243" s="35" t="n">
        <v>30</v>
      </c>
      <c r="F243" s="35" t="n">
        <v>90</v>
      </c>
      <c r="G243" s="156">
        <f>IF(AND(E243&lt;&gt;"",F243&lt;&gt;""),E243*F243,"")</f>
        <v>2700</v>
      </c>
    </row>
    <row r="244" ht="16.5" customHeight="1" s="71">
      <c r="A244" s="14" t="n">
        <v>138</v>
      </c>
      <c r="B244" s="170" t="n">
        <v>46248</v>
      </c>
      <c r="C244" s="35" t="inlineStr">
        <is>
          <t>埠头万客欢</t>
        </is>
      </c>
      <c r="D244" s="35" t="inlineStr">
        <is>
          <t>550纯净水12入</t>
        </is>
      </c>
      <c r="E244" s="35" t="n">
        <v>250</v>
      </c>
      <c r="F244" s="35" t="n">
        <v>7.6</v>
      </c>
      <c r="G244" s="156">
        <f>IF(AND(E244&lt;&gt;"",F244&lt;&gt;""),E244*F244,"")</f>
        <v>1900</v>
      </c>
    </row>
    <row r="245" ht="16.5" customHeight="1" s="71">
      <c r="A245" s="14" t="n">
        <v>139</v>
      </c>
      <c r="B245" s="170" t="n">
        <v>46251</v>
      </c>
      <c r="C245" s="35" t="inlineStr">
        <is>
          <t>小梅商行</t>
        </is>
      </c>
      <c r="D245" s="35" t="inlineStr">
        <is>
          <t>1L补水</t>
        </is>
      </c>
      <c r="E245" s="35" t="n">
        <v>600</v>
      </c>
      <c r="F245" s="35" t="n">
        <v>55</v>
      </c>
      <c r="G245" s="156">
        <f>IF(AND(E245&lt;&gt;"",F245&lt;&gt;""),E245*F245,"")</f>
        <v>33000</v>
      </c>
    </row>
    <row r="246" ht="16.5" customHeight="1" s="71">
      <c r="A246" s="14" t="n">
        <v>140</v>
      </c>
      <c r="B246" s="170" t="n">
        <v>46251</v>
      </c>
      <c r="C246" s="35" t="inlineStr">
        <is>
          <t>小梅商行</t>
        </is>
      </c>
      <c r="D246" s="35" t="inlineStr">
        <is>
          <t>1L补水</t>
        </is>
      </c>
      <c r="E246" s="35" t="n">
        <v>24</v>
      </c>
      <c r="G246" s="156">
        <f>IF(AND(E246&lt;&gt;"",F246&lt;&gt;""),E246*F246,"")</f>
      </c>
    </row>
    <row r="247" ht="16.5" customHeight="1" s="71">
      <c r="A247" s="14" t="n">
        <v>141</v>
      </c>
      <c r="B247" s="170" t="n">
        <v>46251</v>
      </c>
      <c r="C247" s="35" t="inlineStr">
        <is>
          <t>小梅商行</t>
        </is>
      </c>
      <c r="D247" s="35" t="inlineStr">
        <is>
          <t>1L果之茶</t>
        </is>
      </c>
      <c r="E247" s="35" t="n">
        <v>600</v>
      </c>
      <c r="F247" s="35" t="n">
        <v>43</v>
      </c>
      <c r="G247" s="156">
        <f>IF(AND(E247&lt;&gt;"",F247&lt;&gt;""),E247*F247,"")</f>
        <v>25800</v>
      </c>
    </row>
    <row r="248" ht="16.5" customHeight="1" s="71">
      <c r="A248" s="14" t="n">
        <v>142</v>
      </c>
      <c r="B248" s="170" t="n">
        <v>46251</v>
      </c>
      <c r="C248" s="35" t="inlineStr">
        <is>
          <t>小梅商行</t>
        </is>
      </c>
      <c r="D248" s="35" t="inlineStr">
        <is>
          <t>1L果之茶</t>
        </is>
      </c>
      <c r="E248" s="35" t="n">
        <v>24</v>
      </c>
      <c r="G248" s="176">
        <f>IF(AND(E248&lt;&gt;"",F248&lt;&gt;""),E248*F248,"")</f>
      </c>
    </row>
    <row r="249" ht="16.5" customHeight="1" s="71">
      <c r="A249" s="14" t="n">
        <v>143</v>
      </c>
      <c r="B249" s="170" t="n">
        <v>46251</v>
      </c>
      <c r="C249" s="35" t="inlineStr">
        <is>
          <t>小梅商行</t>
        </is>
      </c>
      <c r="D249" s="35" t="inlineStr">
        <is>
          <t>小果之茶</t>
        </is>
      </c>
      <c r="E249" s="35" t="n">
        <v>500</v>
      </c>
      <c r="F249" s="35" t="n">
        <v>48</v>
      </c>
      <c r="G249" s="156">
        <f>IF(AND(E249&lt;&gt;"",F249&lt;&gt;""),E249*F249,"")</f>
        <v>24000</v>
      </c>
    </row>
    <row r="250" ht="16.5" customHeight="1" s="71">
      <c r="A250" s="14" t="n">
        <v>144</v>
      </c>
      <c r="B250" s="170" t="n">
        <v>46251</v>
      </c>
      <c r="C250" s="35" t="inlineStr">
        <is>
          <t>小梅商行</t>
        </is>
      </c>
      <c r="D250" s="35" t="inlineStr">
        <is>
          <t>小果之茶</t>
        </is>
      </c>
      <c r="E250" s="35" t="n">
        <v>20</v>
      </c>
      <c r="G250" s="176">
        <f>IF(AND(E250&lt;&gt;"",F250&lt;&gt;""),E250*F250,"")</f>
      </c>
    </row>
    <row r="251" ht="16.5" customHeight="1" s="71">
      <c r="A251" s="14" t="n">
        <v>145</v>
      </c>
      <c r="B251" s="170" t="n">
        <v>46251</v>
      </c>
      <c r="C251" s="35" t="inlineStr">
        <is>
          <t>小梅商行</t>
        </is>
      </c>
      <c r="D251" s="35" t="inlineStr">
        <is>
          <t>大咖</t>
        </is>
      </c>
      <c r="E251" s="35" t="n">
        <v>100</v>
      </c>
      <c r="F251" s="35" t="n">
        <v>83</v>
      </c>
      <c r="G251" s="156">
        <f>IF(AND(E251&lt;&gt;"",F251&lt;&gt;""),E251*F251,"")</f>
        <v>8300</v>
      </c>
    </row>
    <row r="252" ht="16.5" customHeight="1" s="71">
      <c r="A252" s="14" t="n">
        <v>146</v>
      </c>
      <c r="B252" s="170" t="n">
        <v>46251</v>
      </c>
      <c r="C252" s="35" t="inlineStr">
        <is>
          <t>小梅商行</t>
        </is>
      </c>
      <c r="D252" s="35" t="inlineStr">
        <is>
          <t>大咖</t>
        </is>
      </c>
      <c r="E252" s="35" t="n">
        <v>4</v>
      </c>
      <c r="G252" s="176">
        <f>IF(AND(E252&lt;&gt;"",F252&lt;&gt;""),E252*F252,"")</f>
      </c>
    </row>
    <row r="253" ht="16.5" customHeight="1" s="71">
      <c r="A253" s="14" t="n">
        <v>147</v>
      </c>
      <c r="B253" s="170" t="n">
        <v>46251</v>
      </c>
      <c r="C253" s="35" t="inlineStr">
        <is>
          <t>小梅商行</t>
        </is>
      </c>
      <c r="D253" s="35" t="inlineStr">
        <is>
          <t>555补水</t>
        </is>
      </c>
      <c r="E253" s="35" t="n">
        <v>200</v>
      </c>
      <c r="F253" s="35" t="n">
        <v>65</v>
      </c>
      <c r="G253" s="156">
        <f>IF(AND(E253&lt;&gt;"",F253&lt;&gt;""),E253*F253,"")</f>
        <v>13000</v>
      </c>
    </row>
    <row r="254" ht="16.5" customHeight="1" s="71">
      <c r="A254" s="14" t="n">
        <v>148</v>
      </c>
      <c r="B254" s="170" t="n">
        <v>46251</v>
      </c>
      <c r="C254" s="35" t="inlineStr">
        <is>
          <t>小梅商行</t>
        </is>
      </c>
      <c r="D254" s="35" t="inlineStr">
        <is>
          <t>555补水</t>
        </is>
      </c>
      <c r="E254" s="35" t="n">
        <v>20</v>
      </c>
      <c r="G254" s="176">
        <f>IF(AND(E254&lt;&gt;"",F254&lt;&gt;""),E254*F254,"")</f>
      </c>
    </row>
    <row r="255" ht="16.5" customHeight="1" s="71">
      <c r="A255" s="14" t="n"/>
      <c r="B255" s="170" t="n"/>
      <c r="C255" s="35" t="n"/>
      <c r="D255" s="35" t="n"/>
      <c r="E255" s="35" t="n"/>
      <c r="G255" s="176">
        <f>IF(AND(E255&lt;&gt;"",F255&lt;&gt;""),E255*F255,"")</f>
      </c>
    </row>
    <row r="256" ht="16.5" customHeight="1" s="71">
      <c r="A256" s="14" t="n"/>
      <c r="B256" s="170" t="n"/>
      <c r="C256" s="35" t="n"/>
      <c r="D256" s="35" t="n"/>
      <c r="E256" s="35" t="n"/>
      <c r="G256" s="176">
        <f>IF(AND(E256&lt;&gt;"",F256&lt;&gt;""),E256*F256,"")</f>
      </c>
    </row>
    <row r="257" ht="16.5" customHeight="1" s="71">
      <c r="A257" s="14" t="n"/>
      <c r="B257" s="170" t="n"/>
      <c r="C257" s="35" t="n"/>
      <c r="D257" s="35" t="n"/>
      <c r="E257" s="35" t="n"/>
      <c r="G257" s="176">
        <f>IF(AND(E257&lt;&gt;"",F257&lt;&gt;""),E257*F257,"")</f>
      </c>
    </row>
    <row r="258" ht="16.5" customHeight="1" s="71">
      <c r="A258" s="14" t="n"/>
      <c r="B258" s="170" t="n"/>
      <c r="C258" s="35" t="n"/>
      <c r="D258" s="35" t="n"/>
      <c r="E258" s="35" t="n"/>
      <c r="G258" s="176">
        <f>IF(AND(E258&lt;&gt;"",F258&lt;&gt;""),E258*F258,"")</f>
      </c>
    </row>
    <row r="259" ht="16.5" customHeight="1" s="71">
      <c r="A259" s="14" t="n"/>
      <c r="B259" s="170" t="n"/>
      <c r="C259" s="35" t="n"/>
      <c r="D259" s="35" t="n"/>
      <c r="E259" s="35" t="n"/>
      <c r="G259" s="176">
        <f>IF(AND(E259&lt;&gt;"",F259&lt;&gt;""),E259*F259,"")</f>
      </c>
    </row>
    <row r="260" ht="16.5" customHeight="1" s="71">
      <c r="A260" s="14" t="n"/>
      <c r="B260" s="170" t="n"/>
      <c r="C260" s="35" t="n"/>
      <c r="D260" s="35" t="n"/>
      <c r="E260" s="35" t="n"/>
      <c r="G260" s="176">
        <f>IF(AND(E260&lt;&gt;"",F260&lt;&gt;""),E260*F260,"")</f>
      </c>
    </row>
    <row r="261" ht="16.5" customHeight="1" s="71">
      <c r="A261" s="14" t="n"/>
      <c r="B261" s="170" t="n"/>
      <c r="C261" s="35" t="n"/>
      <c r="D261" s="35" t="n"/>
      <c r="E261" s="35" t="n"/>
      <c r="G261" s="176">
        <f>IF(AND(E261&lt;&gt;"",F261&lt;&gt;""),E261*F261,"")</f>
      </c>
    </row>
    <row r="262" ht="16.5" customHeight="1" s="71">
      <c r="A262" s="14" t="n"/>
      <c r="B262" s="170" t="n"/>
      <c r="C262" s="35" t="n"/>
      <c r="D262" s="35" t="n"/>
      <c r="E262" s="35" t="n"/>
      <c r="G262" s="176">
        <f>IF(AND(E262&lt;&gt;"",F262&lt;&gt;""),E262*F262,"")</f>
      </c>
    </row>
    <row r="263" ht="16.5" customHeight="1" s="71">
      <c r="A263" s="14" t="n"/>
      <c r="B263" s="170" t="n"/>
      <c r="C263" s="35" t="n"/>
      <c r="D263" s="35" t="n"/>
      <c r="E263" s="35" t="n"/>
      <c r="G263" s="176">
        <f>IF(AND(E263&lt;&gt;"",F263&lt;&gt;""),E263*F263,"")</f>
      </c>
    </row>
    <row r="264" ht="16.5" customHeight="1" s="71">
      <c r="A264" s="14" t="n"/>
      <c r="B264" s="170" t="n"/>
      <c r="C264" s="35" t="n"/>
      <c r="D264" s="35" t="n"/>
      <c r="E264" s="35" t="n"/>
      <c r="G264" s="176">
        <f>IF(AND(E264&lt;&gt;"",F264&lt;&gt;""),E264*F264,"")</f>
      </c>
    </row>
    <row r="265" ht="16.5" customHeight="1" s="71">
      <c r="A265" s="14" t="n"/>
      <c r="B265" s="170" t="n"/>
      <c r="C265" s="35" t="n"/>
      <c r="D265" s="35" t="n"/>
      <c r="E265" s="35" t="n"/>
      <c r="G265" s="176">
        <f>IF(AND(E265&lt;&gt;"",F265&lt;&gt;""),E265*F265,"")</f>
      </c>
    </row>
    <row r="266" ht="16.5" customHeight="1" s="71">
      <c r="A266" s="14" t="n"/>
      <c r="B266" s="170" t="n"/>
      <c r="C266" s="35" t="n"/>
      <c r="D266" s="35" t="n"/>
      <c r="E266" s="35" t="n"/>
      <c r="G266" s="176">
        <f>IF(AND(E266&lt;&gt;"",F266&lt;&gt;""),E266*F266,"")</f>
      </c>
    </row>
    <row r="267" ht="16.5" customHeight="1" s="71">
      <c r="A267" s="14" t="n"/>
      <c r="B267" s="170" t="n"/>
      <c r="C267" s="35" t="n"/>
      <c r="D267" s="35" t="n"/>
      <c r="E267" s="35" t="n"/>
      <c r="G267" s="176">
        <f>IF(AND(E267&lt;&gt;"",F267&lt;&gt;""),E267*F267,"")</f>
      </c>
    </row>
    <row r="268" ht="16.5" customHeight="1" s="71">
      <c r="A268" s="14" t="n"/>
      <c r="B268" s="170" t="n"/>
      <c r="C268" s="35" t="n"/>
      <c r="D268" s="35" t="n"/>
      <c r="E268" s="35" t="n"/>
      <c r="G268" s="176">
        <f>IF(AND(E268&lt;&gt;"",F268&lt;&gt;""),E268*F268,"")</f>
      </c>
    </row>
    <row r="269" ht="16.5" customHeight="1" s="71">
      <c r="A269" s="14" t="n"/>
      <c r="B269" s="170" t="n"/>
      <c r="C269" s="35" t="n"/>
      <c r="D269" s="35" t="n"/>
      <c r="E269" s="35" t="n"/>
      <c r="G269" s="176">
        <f>IF(AND(E269&lt;&gt;"",F269&lt;&gt;""),E269*F269,"")</f>
      </c>
    </row>
    <row r="270" ht="16.5" customHeight="1" s="71">
      <c r="A270" s="14" t="n"/>
      <c r="B270" s="170" t="n"/>
      <c r="C270" s="35" t="n"/>
      <c r="D270" s="35" t="n"/>
      <c r="E270" s="35" t="n"/>
      <c r="G270" s="176">
        <f>IF(AND(E270&lt;&gt;"",F270&lt;&gt;""),E270*F270,"")</f>
      </c>
    </row>
    <row r="271" ht="16.5" customHeight="1" s="71">
      <c r="A271" s="14" t="n"/>
      <c r="B271" s="170" t="n"/>
      <c r="C271" s="35" t="n"/>
      <c r="D271" s="35" t="n"/>
      <c r="E271" s="35" t="n"/>
      <c r="G271" s="176">
        <f>IF(AND(E271&lt;&gt;"",F271&lt;&gt;""),E271*F271,"")</f>
      </c>
    </row>
    <row r="272" ht="16.5" customHeight="1" s="71">
      <c r="A272" s="14" t="n"/>
      <c r="B272" s="170" t="n"/>
      <c r="C272" s="35" t="n"/>
      <c r="D272" s="35" t="n"/>
      <c r="E272" s="35" t="n"/>
      <c r="G272" s="176">
        <f>IF(AND(E272&lt;&gt;"",F272&lt;&gt;""),E272*F272,"")</f>
      </c>
    </row>
    <row r="273" ht="16.5" customHeight="1" s="71">
      <c r="A273" s="14" t="n"/>
      <c r="B273" s="170" t="n"/>
      <c r="C273" s="35" t="n"/>
      <c r="D273" s="35" t="n"/>
      <c r="E273" s="35" t="n"/>
      <c r="G273" s="176">
        <f>IF(AND(E273&lt;&gt;"",F273&lt;&gt;""),E273*F273,"")</f>
      </c>
    </row>
    <row r="274" ht="16.5" customHeight="1" s="71">
      <c r="A274" s="14" t="n"/>
      <c r="B274" s="170" t="n"/>
      <c r="C274" s="35" t="n"/>
      <c r="D274" s="35" t="n"/>
      <c r="E274" s="35" t="n"/>
      <c r="G274" s="176">
        <f>IF(AND(E274&lt;&gt;"",F274&lt;&gt;""),E274*F274,"")</f>
      </c>
    </row>
    <row r="275" ht="16.5" customHeight="1" s="71">
      <c r="A275" s="14" t="n"/>
      <c r="B275" s="170" t="n"/>
      <c r="C275" s="35" t="n"/>
      <c r="D275" s="35" t="n"/>
      <c r="E275" s="35" t="n"/>
      <c r="G275" s="176">
        <f>IF(AND(E275&lt;&gt;"",F275&lt;&gt;""),E275*F275,"")</f>
      </c>
    </row>
    <row r="276" ht="16.5" customHeight="1" s="71">
      <c r="A276" s="14" t="n"/>
      <c r="B276" s="170" t="n"/>
      <c r="C276" s="35" t="n"/>
      <c r="D276" s="35" t="n"/>
      <c r="E276" s="35" t="n"/>
      <c r="G276" s="176">
        <f>IF(AND(E276&lt;&gt;"",F276&lt;&gt;""),E276*F276,"")</f>
      </c>
    </row>
    <row r="277" ht="16.5" customHeight="1" s="71">
      <c r="A277" s="14" t="n"/>
      <c r="B277" s="170" t="n"/>
      <c r="C277" s="35" t="n"/>
      <c r="D277" s="35" t="n"/>
      <c r="E277" s="35" t="n"/>
      <c r="G277" s="176">
        <f>IF(AND(E277&lt;&gt;"",F277&lt;&gt;""),E277*F277,"")</f>
      </c>
    </row>
    <row r="278" ht="16.5" customHeight="1" s="71">
      <c r="A278" s="14" t="n"/>
      <c r="B278" s="170" t="n"/>
      <c r="C278" s="35" t="n"/>
      <c r="D278" s="35" t="n"/>
      <c r="E278" s="35" t="n"/>
      <c r="G278" s="176">
        <f>IF(AND(E278&lt;&gt;"",F278&lt;&gt;""),E278*F278,"")</f>
      </c>
    </row>
    <row r="279" ht="16.5" customHeight="1" s="71">
      <c r="A279" s="14" t="n"/>
      <c r="B279" s="170" t="n"/>
      <c r="C279" s="35" t="n"/>
      <c r="D279" s="35" t="n"/>
      <c r="E279" s="35" t="n"/>
      <c r="G279" s="176">
        <f>IF(AND(E279&lt;&gt;"",F279&lt;&gt;""),E279*F279,"")</f>
      </c>
    </row>
    <row r="280" ht="16.5" customHeight="1" s="71">
      <c r="A280" s="14" t="n"/>
      <c r="B280" s="170" t="n"/>
      <c r="C280" s="35" t="n"/>
      <c r="D280" s="35" t="n"/>
      <c r="E280" s="35" t="n"/>
      <c r="G280" s="176">
        <f>IF(AND(E280&lt;&gt;"",F280&lt;&gt;""),E280*F280,"")</f>
      </c>
    </row>
    <row r="281" ht="16.5" customHeight="1" s="71">
      <c r="A281" s="14" t="n"/>
      <c r="B281" s="170" t="n"/>
      <c r="C281" s="35" t="n"/>
      <c r="D281" s="35" t="n"/>
      <c r="E281" s="35" t="n"/>
      <c r="G281" s="176">
        <f>IF(AND(E281&lt;&gt;"",F281&lt;&gt;""),E281*F281,"")</f>
      </c>
    </row>
    <row r="282" ht="16.5" customHeight="1" s="71">
      <c r="A282" s="14" t="n"/>
      <c r="B282" s="170" t="n"/>
      <c r="C282" s="35" t="n"/>
      <c r="D282" s="35" t="n"/>
      <c r="E282" s="35" t="n"/>
      <c r="G282" s="176">
        <f>IF(AND(E282&lt;&gt;"",F282&lt;&gt;""),E282*F282,"")</f>
      </c>
    </row>
    <row r="283" ht="16.5" customHeight="1" s="71">
      <c r="A283" s="14" t="n"/>
      <c r="B283" s="170" t="n"/>
      <c r="C283" s="35" t="n"/>
      <c r="D283" s="35" t="n"/>
      <c r="E283" s="35" t="n"/>
      <c r="G283" s="176">
        <f>IF(AND(E283&lt;&gt;"",F283&lt;&gt;""),E283*F283,"")</f>
      </c>
    </row>
    <row r="284" ht="16.5" customHeight="1" s="71">
      <c r="A284" s="14" t="n"/>
      <c r="B284" s="170" t="n"/>
      <c r="C284" s="35" t="n"/>
      <c r="D284" s="35" t="n"/>
      <c r="E284" s="35" t="n"/>
      <c r="G284" s="176">
        <f>IF(AND(E284&lt;&gt;"",F284&lt;&gt;""),E284*F284,"")</f>
      </c>
    </row>
    <row r="285" ht="16.5" customHeight="1" s="71">
      <c r="A285" s="14" t="n"/>
      <c r="B285" s="170" t="n"/>
      <c r="C285" s="35" t="n"/>
      <c r="D285" s="35" t="n"/>
      <c r="E285" s="35" t="n"/>
      <c r="G285" s="176">
        <f>IF(AND(E285&lt;&gt;"",F285&lt;&gt;""),E285*F285,"")</f>
      </c>
    </row>
    <row r="286" ht="16.5" customHeight="1" s="71">
      <c r="A286" s="14" t="n"/>
      <c r="B286" s="170" t="n"/>
      <c r="C286" s="35" t="n"/>
      <c r="D286" s="35" t="n"/>
      <c r="E286" s="35" t="n"/>
      <c r="G286" s="176">
        <f>IF(AND(E286&lt;&gt;"",F286&lt;&gt;""),E286*F286,"")</f>
      </c>
    </row>
    <row r="287" ht="16.5" customHeight="1" s="71">
      <c r="A287" s="14" t="n"/>
      <c r="B287" s="170" t="n"/>
      <c r="C287" s="35" t="n"/>
      <c r="D287" s="35" t="n"/>
      <c r="E287" s="35" t="n"/>
      <c r="G287" s="176">
        <f>IF(AND(E287&lt;&gt;"",F287&lt;&gt;""),E287*F287,"")</f>
      </c>
    </row>
    <row r="288" ht="16.5" customHeight="1" s="71">
      <c r="A288" s="14" t="n"/>
      <c r="B288" s="170" t="n"/>
      <c r="C288" s="35" t="n"/>
      <c r="D288" s="35" t="n"/>
      <c r="E288" s="35" t="n"/>
      <c r="G288" s="176">
        <f>IF(AND(E288&lt;&gt;"",F288&lt;&gt;""),E288*F288,"")</f>
      </c>
    </row>
    <row r="289" ht="16.5" customHeight="1" s="71">
      <c r="A289" s="14" t="n"/>
      <c r="B289" s="170" t="n"/>
      <c r="C289" s="35" t="n"/>
      <c r="D289" s="35" t="n"/>
      <c r="E289" s="35" t="n"/>
      <c r="G289" s="176">
        <f>IF(AND(E289&lt;&gt;"",F289&lt;&gt;""),E289*F289,"")</f>
      </c>
    </row>
    <row r="290" ht="16.5" customHeight="1" s="71">
      <c r="A290" s="14" t="n"/>
      <c r="B290" s="170" t="n"/>
      <c r="C290" s="35" t="n"/>
      <c r="D290" s="35" t="n"/>
      <c r="E290" s="35" t="n"/>
      <c r="G290" s="176">
        <f>IF(AND(E290&lt;&gt;"",F290&lt;&gt;""),E290*F290,"")</f>
      </c>
    </row>
    <row r="291" ht="16.5" customHeight="1" s="71">
      <c r="A291" s="14" t="n"/>
      <c r="B291" s="170" t="n"/>
      <c r="C291" s="35" t="n"/>
      <c r="D291" s="35" t="n"/>
      <c r="E291" s="35" t="n"/>
      <c r="G291" s="176">
        <f>IF(AND(E291&lt;&gt;"",F291&lt;&gt;""),E291*F291,"")</f>
      </c>
    </row>
    <row r="292" ht="16.5" customHeight="1" s="71">
      <c r="A292" s="14" t="n"/>
      <c r="B292" s="170" t="n"/>
      <c r="C292" s="35" t="n"/>
      <c r="D292" s="35" t="n"/>
      <c r="E292" s="35" t="n"/>
      <c r="G292" s="176">
        <f>IF(AND(E292&lt;&gt;"",F292&lt;&gt;""),E292*F292,"")</f>
      </c>
    </row>
    <row r="293" ht="16.5" customHeight="1" s="71">
      <c r="A293" s="14" t="n"/>
      <c r="B293" s="170" t="n"/>
      <c r="C293" s="35" t="n"/>
      <c r="D293" s="35" t="n"/>
      <c r="E293" s="35" t="n"/>
      <c r="G293" s="176">
        <f>IF(AND(E293&lt;&gt;"",F293&lt;&gt;""),E293*F293,"")</f>
      </c>
    </row>
    <row r="294" ht="16.5" customHeight="1" s="71">
      <c r="A294" s="14" t="n"/>
      <c r="B294" s="170" t="n"/>
      <c r="C294" s="35" t="n"/>
      <c r="D294" s="35" t="n"/>
      <c r="E294" s="35" t="n"/>
      <c r="G294" s="176">
        <f>IF(AND(E294&lt;&gt;"",F294&lt;&gt;""),E294*F294,"")</f>
      </c>
    </row>
    <row r="295" ht="16.5" customHeight="1" s="71">
      <c r="A295" s="14" t="n"/>
      <c r="B295" s="170" t="n"/>
      <c r="C295" s="35" t="n"/>
      <c r="D295" s="35" t="n"/>
      <c r="E295" s="35" t="n"/>
      <c r="G295" s="176">
        <f>IF(AND(E295&lt;&gt;"",F295&lt;&gt;""),E295*F295,"")</f>
      </c>
    </row>
    <row r="296" ht="16.5" customHeight="1" s="71">
      <c r="A296" s="14" t="n"/>
      <c r="B296" s="170" t="n"/>
      <c r="C296" s="35" t="n"/>
      <c r="D296" s="35" t="n"/>
      <c r="E296" s="35" t="n"/>
      <c r="G296" s="176">
        <f>IF(AND(E296&lt;&gt;"",F296&lt;&gt;""),E296*F296,"")</f>
      </c>
    </row>
    <row r="297" ht="16.5" customHeight="1" s="71">
      <c r="A297" s="14" t="n"/>
      <c r="B297" s="170" t="n"/>
      <c r="C297" s="35" t="n"/>
      <c r="D297" s="35" t="n"/>
      <c r="E297" s="35" t="n"/>
      <c r="G297" s="176">
        <f>IF(AND(E297&lt;&gt;"",F297&lt;&gt;""),E297*F297,"")</f>
      </c>
    </row>
    <row r="298" ht="16.5" customHeight="1" s="71">
      <c r="A298" s="14" t="n"/>
      <c r="B298" s="170" t="n"/>
      <c r="C298" s="35" t="n"/>
      <c r="D298" s="35" t="n"/>
      <c r="E298" s="35" t="n"/>
      <c r="G298" s="176">
        <f>IF(AND(E298&lt;&gt;"",F298&lt;&gt;""),E298*F298,"")</f>
      </c>
    </row>
    <row r="299" ht="16.5" customHeight="1" s="71">
      <c r="A299" s="14" t="n"/>
      <c r="B299" s="170" t="n"/>
      <c r="C299" s="35" t="n"/>
      <c r="D299" s="35" t="n"/>
      <c r="E299" s="35" t="n"/>
      <c r="G299" s="176">
        <f>IF(AND(E299&lt;&gt;"",F299&lt;&gt;""),E299*F299,"")</f>
      </c>
    </row>
    <row r="300" ht="16.5" customHeight="1" s="71">
      <c r="A300" s="14" t="n"/>
      <c r="B300" s="170" t="n"/>
      <c r="C300" s="35" t="n"/>
      <c r="D300" s="35" t="n"/>
      <c r="E300" s="35" t="n"/>
      <c r="G300" s="176">
        <f>IF(AND(E300&lt;&gt;"",F300&lt;&gt;""),E300*F300,"")</f>
      </c>
    </row>
    <row r="301" ht="16.5" customHeight="1" s="71">
      <c r="A301" s="14" t="n"/>
      <c r="B301" s="170" t="n"/>
      <c r="C301" s="35" t="n"/>
      <c r="D301" s="35" t="n"/>
      <c r="E301" s="35" t="n"/>
      <c r="G301" s="176">
        <f>IF(AND(E301&lt;&gt;"",F301&lt;&gt;""),E301*F301,"")</f>
      </c>
    </row>
    <row r="302" ht="16.5" customHeight="1" s="71">
      <c r="A302" s="14" t="n"/>
      <c r="B302" s="170" t="n"/>
      <c r="C302" s="35" t="n"/>
      <c r="D302" s="35" t="n"/>
      <c r="E302" s="35" t="n"/>
      <c r="G302" s="176">
        <f>IF(AND(E302&lt;&gt;"",F302&lt;&gt;""),E302*F302,"")</f>
      </c>
    </row>
    <row r="303" ht="16.5" customHeight="1" s="71">
      <c r="A303" s="14" t="n"/>
      <c r="B303" s="170" t="n"/>
      <c r="C303" s="35" t="n"/>
      <c r="D303" s="35" t="n"/>
      <c r="E303" s="35" t="n"/>
      <c r="G303" s="176">
        <f>IF(AND(E303&lt;&gt;"",F303&lt;&gt;""),E303*F303,"")</f>
      </c>
    </row>
    <row r="304" ht="16.5" customHeight="1" s="71">
      <c r="A304" s="14" t="n"/>
      <c r="B304" s="170" t="n"/>
      <c r="C304" s="35" t="n"/>
      <c r="D304" s="35" t="n"/>
      <c r="E304" s="35" t="n"/>
      <c r="G304" s="176">
        <f>IF(AND(E304&lt;&gt;"",F304&lt;&gt;""),E304*F304,"")</f>
      </c>
    </row>
    <row r="305" ht="16.5" customHeight="1" s="71">
      <c r="A305" s="14" t="n"/>
      <c r="B305" s="170" t="n"/>
      <c r="C305" s="35" t="n"/>
      <c r="D305" s="35" t="n"/>
      <c r="E305" s="35" t="n"/>
      <c r="G305" s="176">
        <f>IF(AND(E305&lt;&gt;"",F305&lt;&gt;""),E305*F305,"")</f>
      </c>
    </row>
    <row r="306" ht="16.5" customHeight="1" s="71">
      <c r="A306" s="14" t="n"/>
      <c r="B306" s="170" t="n"/>
      <c r="C306" s="35" t="n"/>
      <c r="D306" s="35" t="n"/>
      <c r="E306" s="35" t="n"/>
      <c r="G306" s="176">
        <f>IF(AND(E306&lt;&gt;"",F306&lt;&gt;""),E306*F306,"")</f>
      </c>
    </row>
    <row r="307" ht="16.5" customHeight="1" s="71">
      <c r="A307" s="14" t="n"/>
      <c r="B307" s="170" t="n"/>
      <c r="C307" s="35" t="n"/>
      <c r="D307" s="35" t="n"/>
      <c r="E307" s="35" t="n"/>
      <c r="G307" s="176">
        <f>IF(AND(E307&lt;&gt;"",F307&lt;&gt;""),E307*F307,"")</f>
      </c>
    </row>
    <row r="308" ht="16.5" customHeight="1" s="71">
      <c r="A308" s="14" t="n"/>
      <c r="B308" s="170" t="n"/>
      <c r="C308" s="35" t="n"/>
      <c r="D308" s="35" t="n"/>
      <c r="E308" s="35" t="n"/>
      <c r="G308" s="176">
        <f>IF(AND(E308&lt;&gt;"",F308&lt;&gt;""),E308*F308,"")</f>
      </c>
    </row>
    <row r="309" ht="16.5" customHeight="1" s="71">
      <c r="A309" s="14" t="n"/>
      <c r="B309" s="170" t="n"/>
      <c r="C309" s="35" t="n"/>
      <c r="D309" s="35" t="n"/>
      <c r="E309" s="35" t="n"/>
      <c r="G309" s="176">
        <f>IF(AND(E309&lt;&gt;"",F309&lt;&gt;""),E309*F309,"")</f>
      </c>
    </row>
    <row r="310" ht="16.5" customHeight="1" s="71">
      <c r="A310" s="14" t="n"/>
      <c r="B310" s="170" t="n"/>
      <c r="C310" s="35" t="n"/>
      <c r="D310" s="35" t="n"/>
      <c r="E310" s="35" t="n"/>
      <c r="G310" s="176">
        <f>IF(AND(E310&lt;&gt;"",F310&lt;&gt;""),E310*F310,"")</f>
      </c>
    </row>
    <row r="311" ht="16.5" customHeight="1" s="71">
      <c r="A311" s="14" t="n"/>
      <c r="B311" s="170" t="n"/>
      <c r="C311" s="35" t="n"/>
      <c r="D311" s="35" t="n"/>
      <c r="E311" s="35" t="n"/>
      <c r="G311" s="176">
        <f>IF(AND(E311&lt;&gt;"",F311&lt;&gt;""),E311*F311,"")</f>
      </c>
    </row>
    <row r="312" ht="16.5" customHeight="1" s="71">
      <c r="A312" s="14" t="n"/>
      <c r="B312" s="170" t="n"/>
      <c r="C312" s="35" t="n"/>
      <c r="D312" s="35" t="n"/>
      <c r="E312" s="35" t="n"/>
      <c r="G312" s="176">
        <f>IF(AND(E312&lt;&gt;"",F312&lt;&gt;""),E312*F312,"")</f>
      </c>
    </row>
    <row r="313" ht="16.5" customHeight="1" s="71">
      <c r="A313" s="14" t="n"/>
      <c r="B313" s="170" t="n"/>
      <c r="C313" s="35" t="n"/>
      <c r="D313" s="35" t="n"/>
      <c r="E313" s="35" t="n"/>
      <c r="G313" s="176">
        <f>IF(AND(E313&lt;&gt;"",F313&lt;&gt;""),E313*F313,"")</f>
      </c>
    </row>
    <row r="314" ht="16.5" customHeight="1" s="71">
      <c r="A314" s="14" t="n"/>
      <c r="B314" s="170" t="n"/>
      <c r="C314" s="35" t="n"/>
      <c r="D314" s="35" t="n"/>
      <c r="E314" s="35" t="n"/>
      <c r="G314" s="176">
        <f>IF(AND(E314&lt;&gt;"",F314&lt;&gt;""),E314*F314,"")</f>
      </c>
    </row>
    <row r="315" ht="16.5" customHeight="1" s="71">
      <c r="A315" s="14" t="n"/>
      <c r="B315" s="170" t="n"/>
      <c r="C315" s="35" t="n"/>
      <c r="D315" s="35" t="n"/>
      <c r="E315" s="35" t="n"/>
      <c r="G315" s="176">
        <f>IF(AND(E315&lt;&gt;"",F315&lt;&gt;""),E315*F315,"")</f>
      </c>
    </row>
    <row r="316" ht="16.5" customHeight="1" s="71">
      <c r="A316" s="14" t="n"/>
      <c r="B316" s="170" t="n"/>
      <c r="C316" s="35" t="n"/>
      <c r="D316" s="35" t="n"/>
      <c r="E316" s="35" t="n"/>
      <c r="G316" s="176">
        <f>IF(AND(E316&lt;&gt;"",F316&lt;&gt;""),E316*F316,"")</f>
      </c>
    </row>
    <row r="317" ht="16.5" customHeight="1" s="71">
      <c r="A317" s="14" t="n"/>
      <c r="B317" s="170" t="n"/>
      <c r="C317" s="35" t="n"/>
      <c r="D317" s="35" t="n"/>
      <c r="E317" s="35" t="n"/>
      <c r="G317" s="176">
        <f>IF(AND(E317&lt;&gt;"",F317&lt;&gt;""),E317*F317,"")</f>
      </c>
    </row>
    <row r="318" ht="16.5" customHeight="1" s="71">
      <c r="A318" s="14" t="n"/>
      <c r="B318" s="170" t="n"/>
      <c r="C318" s="35" t="n"/>
      <c r="D318" s="35" t="n"/>
      <c r="E318" s="35" t="n"/>
      <c r="G318" s="176">
        <f>IF(AND(E318&lt;&gt;"",F318&lt;&gt;""),E318*F318,"")</f>
      </c>
    </row>
    <row r="319" ht="16.5" customHeight="1" s="71">
      <c r="A319" s="14" t="n"/>
      <c r="B319" s="170" t="n"/>
      <c r="C319" s="35" t="n"/>
      <c r="D319" s="35" t="n"/>
      <c r="E319" s="35" t="n"/>
      <c r="G319" s="176">
        <f>IF(AND(E319&lt;&gt;"",F319&lt;&gt;""),E319*F319,"")</f>
      </c>
    </row>
    <row r="320" ht="16.5" customHeight="1" s="71">
      <c r="A320" s="14" t="n"/>
      <c r="B320" s="170" t="n"/>
      <c r="C320" s="35" t="n"/>
      <c r="D320" s="35" t="n"/>
      <c r="E320" s="35" t="n"/>
      <c r="G320" s="176">
        <f>IF(AND(E320&lt;&gt;"",F320&lt;&gt;""),E320*F320,"")</f>
      </c>
    </row>
    <row r="321" ht="16.5" customHeight="1" s="71">
      <c r="A321" s="14" t="n"/>
      <c r="B321" s="170" t="n"/>
      <c r="C321" s="35" t="n"/>
      <c r="D321" s="35" t="n"/>
      <c r="E321" s="35" t="n"/>
      <c r="G321" s="176">
        <f>IF(AND(E321&lt;&gt;"",F321&lt;&gt;""),E321*F321,"")</f>
      </c>
    </row>
    <row r="322" ht="16.5" customHeight="1" s="71">
      <c r="A322" s="14" t="n"/>
      <c r="B322" s="170" t="n"/>
      <c r="C322" s="35" t="n"/>
      <c r="D322" s="35" t="n"/>
      <c r="E322" s="35" t="n"/>
      <c r="G322" s="176">
        <f>IF(AND(E322&lt;&gt;"",F322&lt;&gt;""),E322*F322,"")</f>
      </c>
    </row>
    <row r="323" ht="16.5" customHeight="1" s="71">
      <c r="A323" s="14" t="n"/>
      <c r="B323" s="170" t="n"/>
      <c r="C323" s="35" t="n"/>
      <c r="D323" s="35" t="n"/>
      <c r="E323" s="35" t="n"/>
      <c r="G323" s="176">
        <f>IF(AND(E323&lt;&gt;"",F323&lt;&gt;""),E323*F323,"")</f>
      </c>
    </row>
    <row r="324" ht="16.5" customHeight="1" s="71">
      <c r="A324" s="14" t="n"/>
      <c r="B324" s="170" t="n"/>
      <c r="C324" s="35" t="n"/>
      <c r="D324" s="35" t="n"/>
      <c r="E324" s="35" t="n"/>
      <c r="G324" s="176">
        <f>IF(AND(E324&lt;&gt;"",F324&lt;&gt;""),E324*F324,"")</f>
      </c>
    </row>
    <row r="325" ht="16.5" customHeight="1" s="71">
      <c r="A325" s="14" t="n"/>
      <c r="B325" s="170" t="n"/>
      <c r="C325" s="35" t="n"/>
      <c r="D325" s="35" t="n"/>
      <c r="E325" s="35" t="n"/>
      <c r="G325" s="176">
        <f>IF(AND(E325&lt;&gt;"",F325&lt;&gt;""),E325*F325,"")</f>
      </c>
    </row>
    <row r="326" ht="16.5" customHeight="1" s="71">
      <c r="A326" s="14" t="n"/>
      <c r="B326" s="170" t="n"/>
      <c r="C326" s="35" t="n"/>
      <c r="D326" s="35" t="n"/>
      <c r="E326" s="35" t="n"/>
      <c r="G326" s="176">
        <f>IF(AND(E326&lt;&gt;"",F326&lt;&gt;""),E326*F326,"")</f>
      </c>
    </row>
    <row r="327" ht="16.5" customHeight="1" s="71">
      <c r="A327" s="14" t="n"/>
      <c r="B327" s="170" t="n"/>
      <c r="C327" s="35" t="n"/>
      <c r="D327" s="35" t="n"/>
      <c r="E327" s="35" t="n"/>
      <c r="G327" s="176">
        <f>IF(AND(E327&lt;&gt;"",F327&lt;&gt;""),E327*F327,"")</f>
      </c>
    </row>
    <row r="328" ht="16.5" customHeight="1" s="71">
      <c r="A328" s="14" t="n"/>
      <c r="B328" s="170" t="n"/>
      <c r="C328" s="35" t="n"/>
      <c r="D328" s="35" t="n"/>
      <c r="E328" s="35" t="n"/>
      <c r="G328" s="176">
        <f>IF(AND(E328&lt;&gt;"",F328&lt;&gt;""),E328*F328,"")</f>
      </c>
    </row>
    <row r="329" ht="16.5" customHeight="1" s="71">
      <c r="A329" s="14" t="n"/>
      <c r="B329" s="170" t="n"/>
      <c r="C329" s="35" t="n"/>
      <c r="D329" s="35" t="n"/>
      <c r="E329" s="35" t="n"/>
      <c r="G329" s="176">
        <f>IF(AND(E329&lt;&gt;"",F329&lt;&gt;""),E329*F329,"")</f>
      </c>
    </row>
    <row r="330" ht="16.5" customHeight="1" s="71">
      <c r="A330" s="14" t="n"/>
      <c r="B330" s="170" t="n"/>
      <c r="C330" s="35" t="n"/>
      <c r="D330" s="35" t="n"/>
      <c r="E330" s="35" t="n"/>
      <c r="G330" s="176">
        <f>IF(AND(E330&lt;&gt;"",F330&lt;&gt;""),E330*F330,"")</f>
      </c>
    </row>
    <row r="331" ht="16.5" customHeight="1" s="71">
      <c r="A331" s="14" t="n"/>
      <c r="B331" s="170" t="n"/>
      <c r="C331" s="35" t="n"/>
      <c r="D331" s="35" t="n"/>
      <c r="E331" s="35" t="n"/>
      <c r="G331" s="176">
        <f>IF(AND(E331&lt;&gt;"",F331&lt;&gt;""),E331*F331,"")</f>
      </c>
    </row>
    <row r="332" ht="16.5" customHeight="1" s="71">
      <c r="A332" s="14" t="n"/>
      <c r="B332" s="170" t="n"/>
      <c r="C332" s="35" t="n"/>
      <c r="D332" s="35" t="n"/>
      <c r="E332" s="35" t="n"/>
      <c r="G332" s="176">
        <f>IF(AND(E332&lt;&gt;"",F332&lt;&gt;""),E332*F332,"")</f>
      </c>
    </row>
    <row r="333" ht="16.5" customHeight="1" s="71">
      <c r="A333" s="14" t="n"/>
      <c r="B333" s="170" t="n"/>
      <c r="C333" s="35" t="n"/>
      <c r="D333" s="35" t="n"/>
      <c r="E333" s="35" t="n"/>
      <c r="G333" s="176">
        <f>IF(AND(E333&lt;&gt;"",F333&lt;&gt;""),E333*F333,"")</f>
      </c>
    </row>
    <row r="334" ht="16.5" customHeight="1" s="71">
      <c r="A334" s="14" t="n"/>
      <c r="B334" s="170" t="n"/>
      <c r="C334" s="35" t="n"/>
      <c r="D334" s="35" t="n"/>
      <c r="E334" s="35" t="n"/>
      <c r="G334" s="176">
        <f>IF(AND(E334&lt;&gt;"",F334&lt;&gt;""),E334*F334,"")</f>
      </c>
    </row>
    <row r="335" ht="16.5" customHeight="1" s="71">
      <c r="A335" s="14" t="n"/>
      <c r="B335" s="170" t="n"/>
      <c r="C335" s="35" t="n"/>
      <c r="D335" s="35" t="n"/>
      <c r="E335" s="35" t="n"/>
      <c r="G335" s="176">
        <f>IF(AND(E335&lt;&gt;"",F335&lt;&gt;""),E335*F335,"")</f>
      </c>
    </row>
    <row r="336" ht="16.5" customHeight="1" s="71">
      <c r="A336" s="14" t="n"/>
      <c r="B336" s="170" t="n"/>
      <c r="C336" s="35" t="n"/>
      <c r="D336" s="35" t="n"/>
      <c r="E336" s="35" t="n"/>
      <c r="G336" s="176">
        <f>IF(AND(E336&lt;&gt;"",F336&lt;&gt;""),E336*F336,"")</f>
      </c>
    </row>
    <row r="337" ht="16.5" customHeight="1" s="71">
      <c r="A337" s="14" t="n"/>
      <c r="B337" s="170" t="n"/>
      <c r="C337" s="35" t="n"/>
      <c r="D337" s="35" t="n"/>
      <c r="E337" s="35" t="n"/>
      <c r="G337" s="176">
        <f>IF(AND(E337&lt;&gt;"",F337&lt;&gt;""),E337*F337,"")</f>
      </c>
    </row>
    <row r="338" ht="16.5" customHeight="1" s="71">
      <c r="A338" s="14" t="n"/>
      <c r="B338" s="170" t="n"/>
      <c r="C338" s="35" t="n"/>
      <c r="D338" s="35" t="n"/>
      <c r="E338" s="35" t="n"/>
      <c r="G338" s="176">
        <f>IF(AND(E338&lt;&gt;"",F338&lt;&gt;""),E338*F338,"")</f>
      </c>
    </row>
    <row r="339" ht="16.5" customHeight="1" s="71">
      <c r="A339" s="14" t="n"/>
      <c r="B339" s="170" t="n"/>
      <c r="C339" s="35" t="n"/>
      <c r="D339" s="35" t="n"/>
      <c r="E339" s="35" t="n"/>
      <c r="G339" s="176">
        <f>IF(AND(E339&lt;&gt;"",F339&lt;&gt;""),E339*F339,"")</f>
      </c>
    </row>
    <row r="340" ht="16.5" customHeight="1" s="71">
      <c r="A340" s="14" t="n"/>
      <c r="B340" s="170" t="n"/>
      <c r="C340" s="35" t="n"/>
      <c r="D340" s="35" t="n"/>
      <c r="E340" s="35" t="n"/>
      <c r="G340" s="176">
        <f>IF(AND(E340&lt;&gt;"",F340&lt;&gt;""),E340*F340,"")</f>
      </c>
    </row>
    <row r="341" ht="16.5" customHeight="1" s="71">
      <c r="A341" s="14" t="n"/>
      <c r="B341" s="170" t="n"/>
      <c r="C341" s="35" t="n"/>
      <c r="D341" s="35" t="n"/>
      <c r="E341" s="35" t="n"/>
      <c r="G341" s="176">
        <f>IF(AND(E341&lt;&gt;"",F341&lt;&gt;""),E341*F341,"")</f>
      </c>
    </row>
    <row r="342" ht="16.5" customHeight="1" s="71">
      <c r="A342" s="14" t="n"/>
      <c r="B342" s="170" t="n"/>
      <c r="C342" s="35" t="n"/>
      <c r="D342" s="35" t="n"/>
      <c r="E342" s="35" t="n"/>
      <c r="G342" s="176">
        <f>IF(AND(E342&lt;&gt;"",F342&lt;&gt;""),E342*F342,"")</f>
      </c>
    </row>
    <row r="343" ht="16.5" customHeight="1" s="71">
      <c r="A343" s="14" t="n"/>
      <c r="B343" s="170" t="n"/>
      <c r="C343" s="35" t="n"/>
      <c r="D343" s="35" t="n"/>
      <c r="E343" s="35" t="n"/>
      <c r="G343" s="176">
        <f>IF(AND(E343&lt;&gt;"",F343&lt;&gt;""),E343*F343,"")</f>
      </c>
    </row>
    <row r="344" ht="16.5" customHeight="1" s="71">
      <c r="A344" s="14" t="n"/>
      <c r="B344" s="170" t="n"/>
      <c r="C344" s="35" t="n"/>
      <c r="D344" s="35" t="n"/>
      <c r="E344" s="35" t="n"/>
      <c r="G344" s="176">
        <f>IF(AND(E344&lt;&gt;"",F344&lt;&gt;""),E344*F344,"")</f>
      </c>
    </row>
    <row r="345" ht="16.5" customHeight="1" s="71">
      <c r="A345" s="14" t="n"/>
      <c r="B345" s="170" t="n"/>
      <c r="C345" s="35" t="n"/>
      <c r="D345" s="35" t="n"/>
      <c r="E345" s="35" t="n"/>
      <c r="G345" s="176">
        <f>IF(AND(E345&lt;&gt;"",F345&lt;&gt;""),E345*F345,"")</f>
      </c>
    </row>
    <row r="346" ht="16.5" customHeight="1" s="71">
      <c r="A346" s="14" t="n"/>
      <c r="B346" s="170" t="n"/>
      <c r="C346" s="35" t="n"/>
      <c r="D346" s="35" t="n"/>
      <c r="E346" s="35" t="n"/>
      <c r="G346" s="176">
        <f>IF(AND(E346&lt;&gt;"",F346&lt;&gt;""),E346*F346,"")</f>
      </c>
    </row>
    <row r="347" ht="16.5" customHeight="1" s="71">
      <c r="A347" s="14" t="n"/>
      <c r="B347" s="170" t="n"/>
      <c r="C347" s="35" t="n"/>
      <c r="D347" s="35" t="n"/>
      <c r="E347" s="35" t="n"/>
      <c r="G347" s="176">
        <f>IF(AND(E347&lt;&gt;"",F347&lt;&gt;""),E347*F347,"")</f>
      </c>
    </row>
    <row r="348" ht="16.5" customHeight="1" s="71">
      <c r="A348" s="14" t="n"/>
      <c r="B348" s="170" t="n"/>
      <c r="C348" s="35" t="n"/>
      <c r="D348" s="35" t="n"/>
      <c r="E348" s="35" t="n"/>
      <c r="G348" s="176">
        <f>IF(AND(E348&lt;&gt;"",F348&lt;&gt;""),E348*F348,"")</f>
      </c>
    </row>
    <row r="349" ht="16.5" customHeight="1" s="71">
      <c r="A349" s="14" t="n"/>
      <c r="B349" s="170" t="n"/>
      <c r="C349" s="35" t="n"/>
      <c r="D349" s="35" t="n"/>
      <c r="E349" s="35" t="n"/>
      <c r="G349" s="176">
        <f>IF(AND(E349&lt;&gt;"",F349&lt;&gt;""),E349*F349,"")</f>
      </c>
    </row>
    <row r="350" ht="16.5" customHeight="1" s="71">
      <c r="A350" s="14" t="n"/>
      <c r="B350" s="170" t="n"/>
      <c r="C350" s="35" t="n"/>
      <c r="D350" s="35" t="n"/>
      <c r="E350" s="35" t="n"/>
      <c r="G350" s="176">
        <f>IF(AND(E350&lt;&gt;"",F350&lt;&gt;""),E350*F350,"")</f>
      </c>
    </row>
    <row r="351" ht="16.5" customHeight="1" s="71">
      <c r="A351" s="14" t="n"/>
      <c r="B351" s="170" t="n"/>
      <c r="C351" s="35" t="n"/>
      <c r="D351" s="35" t="n"/>
      <c r="E351" s="35" t="n"/>
      <c r="G351" s="176">
        <f>IF(AND(E351&lt;&gt;"",F351&lt;&gt;""),E351*F351,"")</f>
      </c>
    </row>
    <row r="352" ht="16.5" customHeight="1" s="71">
      <c r="A352" s="14" t="n"/>
      <c r="B352" s="170" t="n"/>
      <c r="C352" s="35" t="n"/>
      <c r="D352" s="35" t="n"/>
      <c r="E352" s="35" t="n"/>
      <c r="G352" s="176">
        <f>IF(AND(E352&lt;&gt;"",F352&lt;&gt;""),E352*F352,"")</f>
      </c>
    </row>
    <row r="353" ht="16.5" customHeight="1" s="71">
      <c r="A353" s="14" t="n"/>
      <c r="B353" s="170" t="n"/>
      <c r="C353" s="35" t="n"/>
      <c r="D353" s="35" t="n"/>
      <c r="E353" s="35" t="n"/>
      <c r="G353" s="176">
        <f>IF(AND(E353&lt;&gt;"",F353&lt;&gt;""),E353*F353,"")</f>
      </c>
    </row>
    <row r="354" ht="16.5" customHeight="1" s="71">
      <c r="A354" s="14" t="n"/>
      <c r="B354" s="170" t="n"/>
      <c r="C354" s="35" t="n"/>
      <c r="D354" s="35" t="n"/>
      <c r="E354" s="35" t="n"/>
      <c r="G354" s="176">
        <f>IF(AND(E354&lt;&gt;"",F354&lt;&gt;""),E354*F354,"")</f>
      </c>
    </row>
    <row r="355" ht="16.5" customHeight="1" s="71">
      <c r="A355" s="14" t="n"/>
      <c r="B355" s="170" t="n"/>
      <c r="C355" s="35" t="n"/>
      <c r="D355" s="35" t="n"/>
      <c r="E355" s="35" t="n"/>
      <c r="G355" s="176">
        <f>IF(AND(E355&lt;&gt;"",F355&lt;&gt;""),E355*F355,"")</f>
      </c>
    </row>
    <row r="356" ht="16.5" customHeight="1" s="71">
      <c r="A356" s="14" t="n"/>
      <c r="B356" s="170" t="n"/>
      <c r="C356" s="35" t="n"/>
      <c r="D356" s="35" t="n"/>
      <c r="E356" s="35" t="n"/>
      <c r="G356" s="176">
        <f>IF(AND(E356&lt;&gt;"",F356&lt;&gt;""),E356*F356,"")</f>
      </c>
    </row>
    <row r="357" ht="16.5" customHeight="1" s="71">
      <c r="A357" s="14" t="n"/>
      <c r="B357" s="170" t="n"/>
      <c r="C357" s="35" t="n"/>
      <c r="D357" s="35" t="n"/>
      <c r="E357" s="35" t="n"/>
      <c r="G357" s="176">
        <f>IF(AND(E357&lt;&gt;"",F357&lt;&gt;""),E357*F357,"")</f>
      </c>
    </row>
    <row r="358" ht="16.5" customHeight="1" s="71">
      <c r="A358" s="14" t="n"/>
      <c r="B358" s="170" t="n"/>
      <c r="C358" s="35" t="n"/>
      <c r="D358" s="35" t="n"/>
      <c r="E358" s="35" t="n"/>
      <c r="G358" s="176">
        <f>IF(AND(E358&lt;&gt;"",F358&lt;&gt;""),E358*F358,"")</f>
      </c>
    </row>
    <row r="359" ht="16.5" customHeight="1" s="71">
      <c r="A359" s="14" t="n"/>
      <c r="B359" s="170" t="n"/>
      <c r="C359" s="35" t="n"/>
      <c r="D359" s="35" t="n"/>
      <c r="E359" s="35" t="n"/>
      <c r="G359" s="176">
        <f>IF(AND(E359&lt;&gt;"",F359&lt;&gt;""),E359*F359,"")</f>
      </c>
    </row>
    <row r="360" ht="16.5" customHeight="1" s="71">
      <c r="A360" s="14" t="n"/>
      <c r="B360" s="170" t="n"/>
      <c r="C360" s="35" t="n"/>
      <c r="D360" s="35" t="n"/>
      <c r="E360" s="35" t="n"/>
      <c r="G360" s="176">
        <f>IF(AND(E360&lt;&gt;"",F360&lt;&gt;""),E360*F360,"")</f>
      </c>
    </row>
    <row r="361" ht="16.5" customHeight="1" s="71">
      <c r="A361" s="14" t="n"/>
      <c r="B361" s="170" t="n"/>
      <c r="C361" s="35" t="n"/>
      <c r="D361" s="35" t="n"/>
      <c r="E361" s="35" t="n"/>
      <c r="G361" s="176">
        <f>IF(AND(E361&lt;&gt;"",F361&lt;&gt;""),E361*F361,"")</f>
      </c>
    </row>
    <row r="362" ht="16.5" customHeight="1" s="71">
      <c r="A362" s="14" t="n"/>
      <c r="B362" s="170" t="n"/>
      <c r="C362" s="35" t="n"/>
      <c r="D362" s="35" t="n"/>
      <c r="E362" s="35" t="n"/>
      <c r="G362" s="176">
        <f>IF(AND(E362&lt;&gt;"",F362&lt;&gt;""),E362*F362,"")</f>
      </c>
    </row>
    <row r="363" ht="16.5" customHeight="1" s="71">
      <c r="A363" s="14" t="n"/>
      <c r="B363" s="170" t="n"/>
      <c r="C363" s="35" t="n"/>
      <c r="D363" s="35" t="n"/>
      <c r="E363" s="35" t="n"/>
      <c r="G363" s="176">
        <f>IF(AND(E363&lt;&gt;"",F363&lt;&gt;""),E363*F363,"")</f>
      </c>
    </row>
    <row r="364" ht="16.5" customHeight="1" s="71">
      <c r="A364" s="14" t="n"/>
      <c r="B364" s="170" t="n"/>
      <c r="C364" s="35" t="n"/>
      <c r="D364" s="35" t="n"/>
      <c r="E364" s="35" t="n"/>
      <c r="G364" s="176">
        <f>IF(AND(E364&lt;&gt;"",F364&lt;&gt;""),E364*F364,"")</f>
      </c>
    </row>
    <row r="365" ht="16.5" customHeight="1" s="71">
      <c r="A365" s="14" t="n"/>
      <c r="B365" s="170" t="n"/>
      <c r="C365" s="35" t="n"/>
      <c r="D365" s="35" t="n"/>
      <c r="E365" s="35" t="n"/>
      <c r="G365" s="176">
        <f>IF(AND(E365&lt;&gt;"",F365&lt;&gt;""),E365*F365,"")</f>
      </c>
    </row>
    <row r="366" ht="16.5" customHeight="1" s="71">
      <c r="A366" s="14" t="n"/>
      <c r="B366" s="170" t="n"/>
      <c r="C366" s="35" t="n"/>
      <c r="D366" s="35" t="n"/>
      <c r="E366" s="35" t="n"/>
      <c r="G366" s="176">
        <f>IF(AND(E366&lt;&gt;"",F366&lt;&gt;""),E366*F366,"")</f>
      </c>
    </row>
    <row r="367" ht="16.5" customHeight="1" s="71">
      <c r="A367" s="14" t="n"/>
      <c r="B367" s="170" t="n"/>
      <c r="C367" s="35" t="n"/>
      <c r="D367" s="35" t="n"/>
      <c r="E367" s="35" t="n"/>
      <c r="G367" s="176">
        <f>IF(AND(E367&lt;&gt;"",F367&lt;&gt;""),E367*F367,"")</f>
      </c>
    </row>
    <row r="368" ht="16.5" customHeight="1" s="71">
      <c r="A368" s="14" t="n"/>
      <c r="B368" s="170" t="n"/>
      <c r="C368" s="35" t="n"/>
      <c r="D368" s="35" t="n"/>
      <c r="E368" s="35" t="n"/>
      <c r="G368" s="176">
        <f>IF(AND(E368&lt;&gt;"",F368&lt;&gt;""),E368*F368,"")</f>
      </c>
    </row>
    <row r="369" ht="16.5" customHeight="1" s="71">
      <c r="A369" s="14" t="n"/>
      <c r="B369" s="170" t="n"/>
      <c r="C369" s="35" t="n"/>
      <c r="D369" s="35" t="n"/>
      <c r="E369" s="35" t="n"/>
      <c r="G369" s="176">
        <f>IF(AND(E369&lt;&gt;"",F369&lt;&gt;""),E369*F369,"")</f>
      </c>
    </row>
    <row r="370" ht="16.5" customHeight="1" s="71">
      <c r="A370" s="14" t="n"/>
      <c r="B370" s="170" t="n"/>
      <c r="C370" s="35" t="n"/>
      <c r="D370" s="35" t="n"/>
      <c r="E370" s="35" t="n"/>
      <c r="G370" s="176">
        <f>IF(AND(E370&lt;&gt;"",F370&lt;&gt;""),E370*F370,"")</f>
      </c>
    </row>
    <row r="371" ht="16.5" customHeight="1" s="71">
      <c r="A371" s="14" t="n"/>
      <c r="B371" s="170" t="n"/>
      <c r="C371" s="35" t="n"/>
      <c r="D371" s="35" t="n"/>
      <c r="E371" s="35" t="n"/>
      <c r="G371" s="176">
        <f>IF(AND(E371&lt;&gt;"",F371&lt;&gt;""),E371*F371,"")</f>
      </c>
    </row>
    <row r="372" ht="16.5" customHeight="1" s="71">
      <c r="A372" s="14" t="n"/>
      <c r="B372" s="170" t="n"/>
      <c r="C372" s="35" t="n"/>
      <c r="D372" s="35" t="n"/>
      <c r="E372" s="35" t="n"/>
      <c r="G372" s="176">
        <f>IF(AND(E372&lt;&gt;"",F372&lt;&gt;""),E372*F372,"")</f>
      </c>
    </row>
    <row r="373" ht="16.5" customHeight="1" s="71">
      <c r="A373" s="14" t="n"/>
      <c r="B373" s="170" t="n"/>
      <c r="C373" s="35" t="n"/>
      <c r="D373" s="35" t="n"/>
      <c r="E373" s="35" t="n"/>
      <c r="G373" s="176">
        <f>IF(AND(E373&lt;&gt;"",F373&lt;&gt;""),E373*F373,"")</f>
      </c>
    </row>
    <row r="374" ht="16.5" customHeight="1" s="71">
      <c r="A374" s="14" t="n"/>
      <c r="B374" s="170" t="n"/>
      <c r="C374" s="35" t="n"/>
      <c r="D374" s="35" t="n"/>
      <c r="E374" s="35" t="n"/>
      <c r="G374" s="176">
        <f>IF(AND(E374&lt;&gt;"",F374&lt;&gt;""),E374*F374,"")</f>
      </c>
    </row>
    <row r="375" ht="16.5" customHeight="1" s="71">
      <c r="A375" s="14" t="n"/>
      <c r="B375" s="170" t="n"/>
      <c r="C375" s="35" t="n"/>
      <c r="D375" s="35" t="n"/>
      <c r="E375" s="35" t="n"/>
      <c r="G375" s="176">
        <f>IF(AND(E375&lt;&gt;"",F375&lt;&gt;""),E375*F375,"")</f>
      </c>
    </row>
    <row r="376" ht="16.5" customHeight="1" s="71">
      <c r="A376" s="14" t="n"/>
      <c r="B376" s="170" t="n"/>
      <c r="C376" s="35" t="n"/>
      <c r="D376" s="35" t="n"/>
      <c r="E376" s="35" t="n"/>
      <c r="G376" s="176">
        <f>IF(AND(E376&lt;&gt;"",F376&lt;&gt;""),E376*F376,"")</f>
      </c>
    </row>
    <row r="377" ht="16.5" customHeight="1" s="71">
      <c r="A377" s="14" t="n"/>
      <c r="B377" s="170" t="n"/>
      <c r="C377" s="35" t="n"/>
      <c r="D377" s="35" t="n"/>
      <c r="E377" s="35" t="n"/>
      <c r="G377" s="176">
        <f>IF(AND(E377&lt;&gt;"",F377&lt;&gt;""),E377*F377,"")</f>
      </c>
    </row>
    <row r="378" ht="16.5" customHeight="1" s="71">
      <c r="A378" s="14" t="n"/>
      <c r="B378" s="170" t="n"/>
      <c r="C378" s="35" t="n"/>
      <c r="D378" s="35" t="n"/>
      <c r="E378" s="35" t="n"/>
      <c r="G378" s="176">
        <f>IF(AND(E378&lt;&gt;"",F378&lt;&gt;""),E378*F378,"")</f>
      </c>
    </row>
    <row r="379" ht="16.5" customHeight="1" s="71">
      <c r="A379" s="14" t="n"/>
      <c r="B379" s="170" t="n"/>
      <c r="C379" s="35" t="n"/>
      <c r="D379" s="35" t="n"/>
      <c r="E379" s="35" t="n"/>
      <c r="G379" s="176">
        <f>IF(AND(E379&lt;&gt;"",F379&lt;&gt;""),E379*F379,"")</f>
      </c>
    </row>
    <row r="380" ht="16.5" customHeight="1" s="71">
      <c r="A380" s="14" t="n"/>
      <c r="B380" s="170" t="n"/>
      <c r="C380" s="35" t="n"/>
      <c r="D380" s="35" t="n"/>
      <c r="E380" s="35" t="n"/>
      <c r="G380" s="176">
        <f>IF(AND(E380&lt;&gt;"",F380&lt;&gt;""),E380*F380,"")</f>
      </c>
    </row>
    <row r="381" ht="16.5" customHeight="1" s="71">
      <c r="A381" s="14" t="n"/>
      <c r="B381" s="170" t="n"/>
      <c r="C381" s="35" t="n"/>
      <c r="D381" s="35" t="n"/>
      <c r="E381" s="35" t="n"/>
      <c r="G381" s="176">
        <f>IF(AND(E381&lt;&gt;"",F381&lt;&gt;""),E381*F381,"")</f>
      </c>
    </row>
    <row r="382" ht="16.5" customHeight="1" s="71">
      <c r="A382" s="14" t="n"/>
      <c r="B382" s="170" t="n"/>
      <c r="C382" s="35" t="n"/>
      <c r="D382" s="35" t="n"/>
      <c r="E382" s="35" t="n"/>
      <c r="G382" s="176">
        <f>IF(AND(E382&lt;&gt;"",F382&lt;&gt;""),E382*F382,"")</f>
      </c>
    </row>
    <row r="383" ht="16.5" customHeight="1" s="71">
      <c r="A383" s="14" t="n"/>
      <c r="B383" s="170" t="n"/>
      <c r="C383" s="35" t="n"/>
      <c r="D383" s="35" t="n"/>
      <c r="E383" s="35" t="n"/>
      <c r="G383" s="176">
        <f>IF(AND(E383&lt;&gt;"",F383&lt;&gt;""),E383*F383,"")</f>
      </c>
    </row>
    <row r="384" ht="16.5" customHeight="1" s="71">
      <c r="A384" s="14" t="n"/>
      <c r="B384" s="170" t="n"/>
      <c r="C384" s="35" t="n"/>
      <c r="D384" s="35" t="n"/>
      <c r="E384" s="35" t="n"/>
      <c r="G384" s="176">
        <f>IF(AND(E384&lt;&gt;"",F384&lt;&gt;""),E384*F384,"")</f>
      </c>
    </row>
    <row r="385" ht="16.5" customHeight="1" s="71">
      <c r="A385" s="14" t="n"/>
      <c r="B385" s="170" t="n"/>
      <c r="C385" s="35" t="n"/>
      <c r="D385" s="35" t="n"/>
      <c r="E385" s="35" t="n"/>
      <c r="G385" s="176">
        <f>IF(AND(E385&lt;&gt;"",F385&lt;&gt;""),E385*F385,"")</f>
      </c>
    </row>
    <row r="386" ht="16.5" customHeight="1" s="71">
      <c r="A386" s="14" t="n"/>
      <c r="B386" s="170" t="n"/>
      <c r="C386" s="35" t="n"/>
      <c r="D386" s="35" t="n"/>
      <c r="E386" s="35" t="n"/>
      <c r="G386" s="176">
        <f>IF(AND(E386&lt;&gt;"",F386&lt;&gt;""),E386*F386,"")</f>
      </c>
    </row>
    <row r="387" ht="16.5" customHeight="1" s="71">
      <c r="A387" s="14" t="n"/>
      <c r="B387" s="170" t="n"/>
      <c r="C387" s="35" t="n"/>
      <c r="D387" s="35" t="n"/>
      <c r="E387" s="35" t="n"/>
      <c r="G387" s="176">
        <f>IF(AND(E387&lt;&gt;"",F387&lt;&gt;""),E387*F387,"")</f>
      </c>
    </row>
    <row r="388" ht="16.5" customHeight="1" s="71">
      <c r="A388" s="14" t="n"/>
      <c r="B388" s="170" t="n"/>
      <c r="C388" s="35" t="n"/>
      <c r="D388" s="35" t="n"/>
      <c r="E388" s="35" t="n"/>
      <c r="G388" s="176">
        <f>IF(AND(E388&lt;&gt;"",F388&lt;&gt;""),E388*F388,"")</f>
      </c>
    </row>
    <row r="389" ht="16.5" customHeight="1" s="71">
      <c r="A389" s="14" t="n"/>
      <c r="B389" s="170" t="n"/>
      <c r="C389" s="35" t="n"/>
      <c r="D389" s="35" t="n"/>
      <c r="E389" s="35" t="n"/>
      <c r="G389" s="176">
        <f>IF(AND(E389&lt;&gt;"",F389&lt;&gt;""),E389*F389,"")</f>
      </c>
    </row>
    <row r="390" ht="16.5" customHeight="1" s="71">
      <c r="A390" s="14" t="n"/>
      <c r="B390" s="170" t="n"/>
      <c r="C390" s="35" t="n"/>
      <c r="D390" s="35" t="n"/>
      <c r="E390" s="35" t="n"/>
      <c r="G390" s="176">
        <f>IF(AND(E390&lt;&gt;"",F390&lt;&gt;""),E390*F390,"")</f>
      </c>
    </row>
    <row r="391" ht="16.5" customHeight="1" s="71">
      <c r="A391" s="14" t="n"/>
      <c r="B391" s="170" t="n"/>
      <c r="C391" s="35" t="n"/>
      <c r="D391" s="35" t="n"/>
      <c r="E391" s="35" t="n"/>
      <c r="G391" s="176">
        <f>IF(AND(E391&lt;&gt;"",F391&lt;&gt;""),E391*F391,"")</f>
      </c>
    </row>
    <row r="392" ht="16.5" customHeight="1" s="71">
      <c r="A392" s="14" t="n"/>
      <c r="B392" s="170" t="n"/>
      <c r="C392" s="35" t="n"/>
      <c r="D392" s="35" t="n"/>
      <c r="E392" s="35" t="n"/>
      <c r="G392" s="176">
        <f>IF(AND(E392&lt;&gt;"",F392&lt;&gt;""),E392*F392,"")</f>
      </c>
    </row>
    <row r="393" ht="16.5" customHeight="1" s="71">
      <c r="A393" s="14" t="n"/>
      <c r="B393" s="170" t="n"/>
      <c r="C393" s="35" t="n"/>
      <c r="D393" s="35" t="n"/>
      <c r="E393" s="35" t="n"/>
      <c r="G393" s="176">
        <f>IF(AND(E393&lt;&gt;"",F393&lt;&gt;""),E393*F393,"")</f>
      </c>
    </row>
    <row r="394" ht="16.5" customHeight="1" s="71">
      <c r="A394" s="14" t="n"/>
      <c r="B394" s="170" t="n"/>
      <c r="C394" s="35" t="n"/>
      <c r="D394" s="35" t="n"/>
      <c r="E394" s="35" t="n"/>
      <c r="G394" s="176">
        <f>IF(AND(E394&lt;&gt;"",F394&lt;&gt;""),E394*F394,"")</f>
      </c>
    </row>
    <row r="395" ht="16.5" customHeight="1" s="71">
      <c r="A395" s="14" t="n"/>
      <c r="B395" s="170" t="n"/>
      <c r="C395" s="35" t="n"/>
      <c r="D395" s="35" t="n"/>
      <c r="E395" s="35" t="n"/>
      <c r="G395" s="176">
        <f>IF(AND(E395&lt;&gt;"",F395&lt;&gt;""),E395*F395,"")</f>
      </c>
    </row>
    <row r="396" ht="16.5" customHeight="1" s="71">
      <c r="A396" s="14" t="n"/>
      <c r="B396" s="170" t="n"/>
      <c r="C396" s="35" t="n"/>
      <c r="D396" s="35" t="n"/>
      <c r="E396" s="35" t="n"/>
      <c r="G396" s="176">
        <f>IF(AND(E396&lt;&gt;"",F396&lt;&gt;""),E396*F396,"")</f>
      </c>
    </row>
    <row r="397" ht="16.5" customHeight="1" s="71">
      <c r="A397" s="14" t="n"/>
      <c r="B397" s="170" t="n"/>
      <c r="C397" s="35" t="n"/>
      <c r="D397" s="35" t="n"/>
      <c r="E397" s="35" t="n"/>
      <c r="G397" s="176">
        <f>IF(AND(E397&lt;&gt;"",F397&lt;&gt;""),E397*F397,"")</f>
      </c>
    </row>
    <row r="398" ht="16.5" customHeight="1" s="71">
      <c r="A398" s="14" t="n"/>
      <c r="B398" s="170" t="n"/>
      <c r="C398" s="35" t="n"/>
      <c r="D398" s="35" t="n"/>
      <c r="E398" s="35" t="n"/>
      <c r="G398" s="176">
        <f>IF(AND(E398&lt;&gt;"",F398&lt;&gt;""),E398*F398,"")</f>
      </c>
    </row>
    <row r="399" ht="16.5" customHeight="1" s="71">
      <c r="A399" s="14" t="n"/>
      <c r="B399" s="170" t="n"/>
      <c r="C399" s="35" t="n"/>
      <c r="D399" s="35" t="n"/>
      <c r="E399" s="35" t="n"/>
      <c r="G399" s="176">
        <f>IF(AND(E399&lt;&gt;"",F399&lt;&gt;""),E399*F399,"")</f>
      </c>
    </row>
    <row r="400" ht="16.5" customHeight="1" s="71">
      <c r="A400" s="14" t="n"/>
      <c r="B400" s="170" t="n"/>
      <c r="C400" s="35" t="n"/>
      <c r="D400" s="35" t="n"/>
      <c r="E400" s="35" t="n"/>
      <c r="G400" s="176">
        <f>IF(AND(E400&lt;&gt;"",F400&lt;&gt;""),E400*F400,"")</f>
      </c>
    </row>
    <row r="401" ht="16.5" customHeight="1" s="71">
      <c r="A401" s="14" t="n"/>
      <c r="B401" s="170" t="n"/>
      <c r="C401" s="35" t="n"/>
      <c r="D401" s="35" t="n"/>
      <c r="E401" s="35" t="n"/>
      <c r="G401" s="176">
        <f>IF(AND(E401&lt;&gt;"",F401&lt;&gt;""),E401*F401,"")</f>
      </c>
    </row>
    <row r="402" ht="16.5" customHeight="1" s="71">
      <c r="A402" s="14" t="n"/>
      <c r="B402" s="170" t="n"/>
      <c r="C402" s="35" t="n"/>
      <c r="D402" s="35" t="n"/>
      <c r="E402" s="35" t="n"/>
      <c r="G402" s="176">
        <f>IF(AND(E402&lt;&gt;"",F402&lt;&gt;""),E402*F402,"")</f>
      </c>
    </row>
    <row r="403" ht="16.5" customHeight="1" s="71">
      <c r="A403" s="14" t="n"/>
      <c r="B403" s="170" t="n"/>
      <c r="C403" s="35" t="n"/>
      <c r="D403" s="35" t="n"/>
      <c r="E403" s="35" t="n"/>
      <c r="G403" s="176">
        <f>IF(AND(E403&lt;&gt;"",F403&lt;&gt;""),E403*F403,"")</f>
      </c>
    </row>
    <row r="404" ht="16.5" customHeight="1" s="71">
      <c r="A404" s="14" t="n"/>
      <c r="B404" s="170" t="n"/>
      <c r="C404" s="35" t="n"/>
      <c r="D404" s="35" t="n"/>
      <c r="E404" s="35" t="n"/>
      <c r="G404" s="176">
        <f>IF(AND(E404&lt;&gt;"",F404&lt;&gt;""),E404*F404,"")</f>
      </c>
    </row>
    <row r="405" ht="16.5" customHeight="1" s="71">
      <c r="A405" s="14" t="n"/>
      <c r="B405" s="170" t="n"/>
      <c r="C405" s="35" t="n"/>
      <c r="D405" s="35" t="n"/>
      <c r="E405" s="35" t="n"/>
      <c r="G405" s="176">
        <f>IF(AND(E405&lt;&gt;"",F405&lt;&gt;""),E405*F405,"")</f>
      </c>
    </row>
    <row r="406" ht="16.5" customHeight="1" s="71">
      <c r="A406" s="14" t="n"/>
      <c r="B406" s="170" t="n"/>
      <c r="C406" s="35" t="n"/>
      <c r="D406" s="35" t="n"/>
      <c r="E406" s="35" t="n"/>
      <c r="G406" s="176">
        <f>IF(AND(E406&lt;&gt;"",F406&lt;&gt;""),E406*F406,"")</f>
      </c>
    </row>
    <row r="407" ht="16.5" customHeight="1" s="71">
      <c r="A407" s="14" t="n"/>
      <c r="B407" s="170" t="n"/>
      <c r="C407" s="35" t="n"/>
      <c r="D407" s="35" t="n"/>
      <c r="E407" s="35" t="n"/>
      <c r="G407" s="176">
        <f>IF(AND(E407&lt;&gt;"",F407&lt;&gt;""),E407*F407,"")</f>
      </c>
    </row>
    <row r="408" ht="16.5" customHeight="1" s="71">
      <c r="A408" s="14" t="n"/>
      <c r="B408" s="170" t="n"/>
      <c r="C408" s="35" t="n"/>
      <c r="D408" s="35" t="n"/>
      <c r="E408" s="35" t="n"/>
      <c r="G408" s="176">
        <f>IF(AND(E408&lt;&gt;"",F408&lt;&gt;""),E408*F408,"")</f>
      </c>
    </row>
    <row r="409" ht="16.5" customHeight="1" s="71">
      <c r="A409" s="14" t="n"/>
      <c r="B409" s="170" t="n"/>
      <c r="C409" s="35" t="n"/>
      <c r="D409" s="35" t="n"/>
      <c r="E409" s="35" t="n"/>
      <c r="G409" s="176">
        <f>IF(AND(E409&lt;&gt;"",F409&lt;&gt;""),E409*F409,"")</f>
      </c>
    </row>
    <row r="410" ht="16.5" customHeight="1" s="71">
      <c r="A410" s="14" t="n"/>
      <c r="B410" s="170" t="n"/>
      <c r="C410" s="35" t="n"/>
      <c r="D410" s="35" t="n"/>
      <c r="E410" s="35" t="n"/>
      <c r="G410" s="176">
        <f>IF(AND(E410&lt;&gt;"",F410&lt;&gt;""),E410*F410,"")</f>
      </c>
    </row>
    <row r="411" ht="16.5" customHeight="1" s="71">
      <c r="A411" s="14" t="n"/>
      <c r="B411" s="170" t="n"/>
      <c r="C411" s="35" t="n"/>
      <c r="D411" s="35" t="n"/>
      <c r="E411" s="35" t="n"/>
      <c r="G411" s="176">
        <f>IF(AND(E411&lt;&gt;"",F411&lt;&gt;""),E411*F411,"")</f>
      </c>
    </row>
    <row r="412" ht="16.5" customHeight="1" s="71">
      <c r="A412" s="14" t="n"/>
      <c r="B412" s="170" t="n"/>
      <c r="C412" s="35" t="n"/>
      <c r="D412" s="35" t="n"/>
      <c r="E412" s="35" t="n"/>
      <c r="G412" s="176">
        <f>IF(AND(E412&lt;&gt;"",F412&lt;&gt;""),E412*F412,"")</f>
      </c>
    </row>
    <row r="413" ht="16.5" customHeight="1" s="71">
      <c r="A413" s="14" t="n"/>
      <c r="B413" s="170" t="n"/>
      <c r="C413" s="35" t="n"/>
      <c r="D413" s="35" t="n"/>
      <c r="E413" s="35" t="n"/>
      <c r="G413" s="176">
        <f>IF(AND(E413&lt;&gt;"",F413&lt;&gt;""),E413*F413,"")</f>
      </c>
    </row>
    <row r="414" ht="16.5" customHeight="1" s="71">
      <c r="A414" s="14" t="n"/>
      <c r="B414" s="170" t="n"/>
      <c r="C414" s="35" t="n"/>
      <c r="D414" s="35" t="n"/>
      <c r="E414" s="35" t="n"/>
      <c r="G414" s="176">
        <f>IF(AND(E414&lt;&gt;"",F414&lt;&gt;""),E414*F414,"")</f>
      </c>
    </row>
    <row r="415" ht="16.5" customHeight="1" s="71">
      <c r="A415" s="14" t="n"/>
      <c r="B415" s="170" t="n"/>
      <c r="C415" s="35" t="n"/>
      <c r="D415" s="35" t="n"/>
      <c r="E415" s="35" t="n"/>
      <c r="G415" s="176">
        <f>IF(AND(E415&lt;&gt;"",F415&lt;&gt;""),E415*F415,"")</f>
      </c>
    </row>
    <row r="416" ht="16.5" customHeight="1" s="71">
      <c r="A416" s="14" t="n"/>
      <c r="B416" s="170" t="n"/>
      <c r="C416" s="35" t="n"/>
      <c r="D416" s="35" t="n"/>
      <c r="E416" s="35" t="n"/>
      <c r="G416" s="176">
        <f>IF(AND(E416&lt;&gt;"",F416&lt;&gt;""),E416*F416,"")</f>
      </c>
    </row>
    <row r="417" ht="16.5" customHeight="1" s="71">
      <c r="A417" s="14" t="n"/>
      <c r="B417" s="170" t="n"/>
      <c r="C417" s="35" t="n"/>
      <c r="D417" s="35" t="n"/>
      <c r="E417" s="35" t="n"/>
      <c r="G417" s="176">
        <f>IF(AND(E417&lt;&gt;"",F417&lt;&gt;""),E417*F417,"")</f>
      </c>
    </row>
    <row r="418" ht="16.5" customHeight="1" s="71">
      <c r="A418" s="14" t="n"/>
      <c r="B418" s="170" t="n"/>
      <c r="C418" s="35" t="n"/>
      <c r="D418" s="35" t="n"/>
      <c r="E418" s="35" t="n"/>
      <c r="G418" s="176">
        <f>IF(AND(E418&lt;&gt;"",F418&lt;&gt;""),E418*F418,"")</f>
      </c>
    </row>
    <row r="419" ht="16.5" customHeight="1" s="71">
      <c r="A419" s="14" t="n"/>
      <c r="B419" s="170" t="n"/>
      <c r="C419" s="35" t="n"/>
      <c r="D419" s="35" t="n"/>
      <c r="E419" s="35" t="n"/>
      <c r="G419" s="176">
        <f>IF(AND(E419&lt;&gt;"",F419&lt;&gt;""),E419*F419,"")</f>
      </c>
    </row>
    <row r="420" ht="16.5" customHeight="1" s="71">
      <c r="A420" s="14" t="n"/>
      <c r="B420" s="170" t="n"/>
      <c r="C420" s="35" t="n"/>
      <c r="D420" s="35" t="n"/>
      <c r="E420" s="35" t="n"/>
      <c r="G420" s="176">
        <f>IF(AND(E420&lt;&gt;"",F420&lt;&gt;""),E420*F420,"")</f>
      </c>
    </row>
    <row r="421" ht="16.5" customHeight="1" s="71">
      <c r="A421" s="14" t="n"/>
      <c r="B421" s="170" t="n"/>
      <c r="C421" s="35" t="n"/>
      <c r="D421" s="35" t="n"/>
      <c r="E421" s="35" t="n"/>
      <c r="G421" s="176">
        <f>IF(AND(E421&lt;&gt;"",F421&lt;&gt;""),E421*F421,"")</f>
      </c>
    </row>
    <row r="422" ht="16.5" customHeight="1" s="71">
      <c r="A422" s="14" t="n"/>
      <c r="B422" s="170" t="n"/>
      <c r="C422" s="35" t="n"/>
      <c r="D422" s="35" t="n"/>
      <c r="E422" s="35" t="n"/>
      <c r="G422" s="176">
        <f>IF(AND(E422&lt;&gt;"",F422&lt;&gt;""),E422*F422,"")</f>
      </c>
    </row>
    <row r="423" ht="16.5" customHeight="1" s="71">
      <c r="A423" s="14" t="n"/>
      <c r="B423" s="170" t="n"/>
      <c r="C423" s="35" t="n"/>
      <c r="D423" s="35" t="n"/>
      <c r="E423" s="35" t="n"/>
      <c r="G423" s="176">
        <f>IF(AND(E423&lt;&gt;"",F423&lt;&gt;""),E423*F423,"")</f>
      </c>
    </row>
    <row r="424" ht="16.5" customHeight="1" s="71">
      <c r="A424" s="14" t="n"/>
      <c r="B424" s="170" t="n"/>
      <c r="C424" s="35" t="n"/>
      <c r="D424" s="35" t="n"/>
      <c r="E424" s="35" t="n"/>
      <c r="G424" s="176">
        <f>IF(AND(E424&lt;&gt;"",F424&lt;&gt;""),E424*F424,"")</f>
      </c>
    </row>
    <row r="425" ht="16.5" customHeight="1" s="71">
      <c r="A425" s="14" t="n"/>
      <c r="B425" s="170" t="n"/>
      <c r="C425" s="35" t="n"/>
      <c r="D425" s="35" t="n"/>
      <c r="E425" s="35" t="n"/>
      <c r="G425" s="176">
        <f>IF(AND(E425&lt;&gt;"",F425&lt;&gt;""),E425*F425,"")</f>
      </c>
    </row>
    <row r="426" ht="16.5" customHeight="1" s="71">
      <c r="A426" s="14" t="n"/>
      <c r="B426" s="170" t="n"/>
      <c r="C426" s="35" t="n"/>
      <c r="D426" s="35" t="n"/>
      <c r="E426" s="35" t="n"/>
      <c r="G426" s="176">
        <f>IF(AND(E426&lt;&gt;"",F426&lt;&gt;""),E426*F426,"")</f>
      </c>
    </row>
    <row r="427" ht="16.5" customHeight="1" s="71">
      <c r="A427" s="14" t="n"/>
      <c r="B427" s="170" t="n"/>
      <c r="C427" s="35" t="n"/>
      <c r="D427" s="35" t="n"/>
      <c r="E427" s="35" t="n"/>
      <c r="G427" s="176">
        <f>IF(AND(E427&lt;&gt;"",F427&lt;&gt;""),E427*F427,"")</f>
      </c>
    </row>
    <row r="428" ht="16.5" customHeight="1" s="71">
      <c r="A428" s="14" t="n"/>
      <c r="B428" s="170" t="n"/>
      <c r="C428" s="35" t="n"/>
      <c r="D428" s="35" t="n"/>
      <c r="E428" s="35" t="n"/>
      <c r="G428" s="176">
        <f>IF(AND(E428&lt;&gt;"",F428&lt;&gt;""),E428*F428,"")</f>
      </c>
    </row>
    <row r="429" ht="16.5" customHeight="1" s="71">
      <c r="A429" s="14" t="n"/>
      <c r="B429" s="170" t="n"/>
      <c r="C429" s="35" t="n"/>
      <c r="D429" s="35" t="n"/>
      <c r="E429" s="35" t="n"/>
      <c r="G429" s="176">
        <f>IF(AND(E429&lt;&gt;"",F429&lt;&gt;""),E429*F429,"")</f>
      </c>
    </row>
    <row r="430" ht="16.5" customHeight="1" s="71">
      <c r="A430" s="14" t="n"/>
      <c r="B430" s="170" t="n"/>
      <c r="C430" s="35" t="n"/>
      <c r="D430" s="35" t="n"/>
      <c r="E430" s="35" t="n"/>
      <c r="G430" s="176">
        <f>IF(AND(E430&lt;&gt;"",F430&lt;&gt;""),E430*F430,"")</f>
      </c>
    </row>
    <row r="431" ht="16.5" customHeight="1" s="71">
      <c r="A431" s="14" t="n"/>
      <c r="B431" s="170" t="n"/>
      <c r="C431" s="35" t="n"/>
      <c r="D431" s="35" t="n"/>
      <c r="E431" s="35" t="n"/>
      <c r="G431" s="176">
        <f>IF(AND(E431&lt;&gt;"",F431&lt;&gt;""),E431*F431,"")</f>
      </c>
    </row>
    <row r="432" ht="16.5" customHeight="1" s="71">
      <c r="A432" s="14" t="n"/>
      <c r="B432" s="170" t="n"/>
      <c r="C432" s="35" t="n"/>
      <c r="D432" s="35" t="n"/>
      <c r="E432" s="35" t="n"/>
      <c r="G432" s="176">
        <f>IF(AND(E432&lt;&gt;"",F432&lt;&gt;""),E432*F432,"")</f>
      </c>
    </row>
    <row r="433" ht="16.5" customHeight="1" s="71">
      <c r="A433" s="14" t="n"/>
      <c r="B433" s="170" t="n"/>
      <c r="C433" s="35" t="n"/>
      <c r="D433" s="35" t="n"/>
      <c r="E433" s="35" t="n"/>
      <c r="G433" s="176">
        <f>IF(AND(E433&lt;&gt;"",F433&lt;&gt;""),E433*F433,"")</f>
      </c>
    </row>
    <row r="434" ht="16.5" customHeight="1" s="71">
      <c r="A434" s="14" t="n"/>
      <c r="B434" s="170" t="n"/>
      <c r="C434" s="35" t="n"/>
      <c r="D434" s="35" t="n"/>
      <c r="E434" s="35" t="n"/>
      <c r="G434" s="176">
        <f>IF(AND(E434&lt;&gt;"",F434&lt;&gt;""),E434*F434,"")</f>
      </c>
    </row>
    <row r="435" ht="16.5" customHeight="1" s="71">
      <c r="A435" s="14" t="n"/>
      <c r="B435" s="170" t="n"/>
      <c r="C435" s="35" t="n"/>
      <c r="D435" s="35" t="n"/>
      <c r="E435" s="35" t="n"/>
      <c r="G435" s="176">
        <f>IF(AND(E435&lt;&gt;"",F435&lt;&gt;""),E435*F435,"")</f>
      </c>
    </row>
    <row r="436" ht="16.5" customHeight="1" s="71">
      <c r="A436" s="14" t="n"/>
      <c r="B436" s="170" t="n"/>
      <c r="C436" s="35" t="n"/>
      <c r="D436" s="35" t="n"/>
      <c r="E436" s="35" t="n"/>
      <c r="G436" s="176">
        <f>IF(AND(E436&lt;&gt;"",F436&lt;&gt;""),E436*F436,"")</f>
      </c>
    </row>
    <row r="437" ht="16.5" customHeight="1" s="71">
      <c r="A437" s="14" t="n"/>
      <c r="B437" s="170" t="n"/>
      <c r="C437" s="35" t="n"/>
      <c r="D437" s="35" t="n"/>
      <c r="E437" s="35" t="n"/>
      <c r="G437" s="176">
        <f>IF(AND(E437&lt;&gt;"",F437&lt;&gt;""),E437*F437,"")</f>
      </c>
    </row>
    <row r="438" ht="16.5" customHeight="1" s="71">
      <c r="A438" s="14" t="n"/>
      <c r="B438" s="170" t="n"/>
      <c r="C438" s="35" t="n"/>
      <c r="D438" s="35" t="n"/>
      <c r="E438" s="35" t="n"/>
      <c r="G438" s="176">
        <f>IF(AND(E438&lt;&gt;"",F438&lt;&gt;""),E438*F438,"")</f>
      </c>
    </row>
    <row r="439" ht="16.5" customHeight="1" s="71">
      <c r="A439" s="14" t="n"/>
      <c r="B439" s="170" t="n"/>
      <c r="C439" s="35" t="n"/>
      <c r="D439" s="35" t="n"/>
      <c r="E439" s="35" t="n"/>
      <c r="G439" s="176">
        <f>IF(AND(E439&lt;&gt;"",F439&lt;&gt;""),E439*F439,"")</f>
      </c>
    </row>
    <row r="440" ht="16.5" customHeight="1" s="71">
      <c r="A440" s="14" t="n"/>
      <c r="B440" s="170" t="n"/>
      <c r="C440" s="35" t="n"/>
      <c r="D440" s="35" t="n"/>
      <c r="E440" s="35" t="n"/>
      <c r="G440" s="176">
        <f>IF(AND(E440&lt;&gt;"",F440&lt;&gt;""),E440*F440,"")</f>
      </c>
    </row>
    <row r="441" ht="16.5" customHeight="1" s="71">
      <c r="A441" s="14" t="n"/>
      <c r="B441" s="170" t="n"/>
      <c r="C441" s="35" t="n"/>
      <c r="D441" s="35" t="n"/>
      <c r="E441" s="35" t="n"/>
      <c r="G441" s="176">
        <f>IF(AND(E441&lt;&gt;"",F441&lt;&gt;""),E441*F441,"")</f>
      </c>
    </row>
    <row r="442" ht="16.5" customHeight="1" s="71">
      <c r="A442" s="14" t="n"/>
      <c r="B442" s="170" t="n"/>
      <c r="C442" s="35" t="n"/>
      <c r="D442" s="35" t="n"/>
      <c r="E442" s="35" t="n"/>
      <c r="G442" s="176">
        <f>IF(AND(E442&lt;&gt;"",F442&lt;&gt;""),E442*F442,"")</f>
      </c>
    </row>
    <row r="443" ht="16.5" customHeight="1" s="71">
      <c r="A443" s="14" t="n"/>
      <c r="B443" s="170" t="n"/>
      <c r="C443" s="35" t="n"/>
      <c r="D443" s="35" t="n"/>
      <c r="E443" s="35" t="n"/>
      <c r="G443" s="176">
        <f>IF(AND(E443&lt;&gt;"",F443&lt;&gt;""),E443*F443,"")</f>
      </c>
    </row>
    <row r="444" ht="16.5" customHeight="1" s="71">
      <c r="A444" s="14" t="n"/>
      <c r="B444" s="170" t="n"/>
      <c r="C444" s="35" t="n"/>
      <c r="D444" s="35" t="n"/>
      <c r="E444" s="35" t="n"/>
      <c r="G444" s="176">
        <f>IF(AND(E444&lt;&gt;"",F444&lt;&gt;""),E444*F444,"")</f>
      </c>
    </row>
    <row r="445" ht="16.5" customHeight="1" s="71">
      <c r="A445" s="14" t="n"/>
      <c r="B445" s="170" t="n"/>
      <c r="C445" s="35" t="n"/>
      <c r="D445" s="35" t="n"/>
      <c r="E445" s="35" t="n"/>
      <c r="G445" s="176">
        <f>IF(AND(E445&lt;&gt;"",F445&lt;&gt;""),E445*F445,"")</f>
      </c>
    </row>
    <row r="446" ht="16.5" customHeight="1" s="71">
      <c r="A446" s="14" t="n"/>
      <c r="B446" s="170" t="n"/>
      <c r="C446" s="35" t="n"/>
      <c r="D446" s="35" t="n"/>
      <c r="E446" s="35" t="n"/>
      <c r="G446" s="176">
        <f>IF(AND(E446&lt;&gt;"",F446&lt;&gt;""),E446*F446,"")</f>
      </c>
    </row>
    <row r="447" ht="16.5" customHeight="1" s="71">
      <c r="A447" s="14" t="n"/>
      <c r="B447" s="170" t="n"/>
      <c r="C447" s="35" t="n"/>
      <c r="D447" s="35" t="n"/>
      <c r="E447" s="35" t="n"/>
      <c r="G447" s="176">
        <f>IF(AND(E447&lt;&gt;"",F447&lt;&gt;""),E447*F447,"")</f>
      </c>
    </row>
    <row r="448" ht="16.5" customHeight="1" s="71">
      <c r="A448" s="14" t="n"/>
      <c r="B448" s="170" t="n"/>
      <c r="C448" s="35" t="n"/>
      <c r="D448" s="35" t="n"/>
      <c r="E448" s="35" t="n"/>
      <c r="G448" s="176">
        <f>IF(AND(E448&lt;&gt;"",F448&lt;&gt;""),E448*F448,"")</f>
      </c>
    </row>
    <row r="449" ht="16.5" customHeight="1" s="71">
      <c r="A449" s="14" t="n"/>
      <c r="B449" s="170" t="n"/>
      <c r="C449" s="35" t="n"/>
      <c r="D449" s="35" t="n"/>
      <c r="E449" s="35" t="n"/>
      <c r="G449" s="176">
        <f>IF(AND(E449&lt;&gt;"",F449&lt;&gt;""),E449*F449,"")</f>
      </c>
    </row>
    <row r="450" ht="16.5" customHeight="1" s="71">
      <c r="A450" s="14" t="n"/>
      <c r="B450" s="170" t="n"/>
      <c r="C450" s="35" t="n"/>
      <c r="D450" s="35" t="n"/>
      <c r="E450" s="35" t="n"/>
      <c r="G450" s="176">
        <f>IF(AND(E450&lt;&gt;"",F450&lt;&gt;""),E450*F450,"")</f>
      </c>
    </row>
    <row r="451" ht="16.5" customHeight="1" s="71">
      <c r="A451" s="14" t="n"/>
      <c r="B451" s="170" t="n"/>
      <c r="C451" s="35" t="n"/>
      <c r="D451" s="35" t="n"/>
      <c r="E451" s="35" t="n"/>
      <c r="G451" s="176">
        <f>IF(AND(E451&lt;&gt;"",F451&lt;&gt;""),E451*F451,"")</f>
      </c>
    </row>
    <row r="452" ht="16.5" customHeight="1" s="71">
      <c r="A452" s="14" t="n"/>
      <c r="B452" s="170" t="n"/>
      <c r="C452" s="35" t="n"/>
      <c r="D452" s="35" t="n"/>
      <c r="E452" s="35" t="n"/>
      <c r="G452" s="176">
        <f>IF(AND(E452&lt;&gt;"",F452&lt;&gt;""),E452*F452,"")</f>
      </c>
    </row>
    <row r="453" ht="16.5" customHeight="1" s="71">
      <c r="A453" s="14" t="n"/>
      <c r="B453" s="170" t="n"/>
      <c r="C453" s="35" t="n"/>
      <c r="D453" s="35" t="n"/>
      <c r="E453" s="35" t="n"/>
      <c r="G453" s="176">
        <f>IF(AND(E453&lt;&gt;"",F453&lt;&gt;""),E453*F453,"")</f>
      </c>
    </row>
    <row r="454" ht="16.5" customHeight="1" s="71">
      <c r="A454" s="14" t="n"/>
      <c r="B454" s="170" t="n"/>
      <c r="C454" s="35" t="n"/>
      <c r="D454" s="35" t="n"/>
      <c r="E454" s="35" t="n"/>
      <c r="G454" s="176">
        <f>IF(AND(E454&lt;&gt;"",F454&lt;&gt;""),E454*F454,"")</f>
      </c>
    </row>
    <row r="455" ht="16.5" customHeight="1" s="71">
      <c r="A455" s="14" t="n"/>
      <c r="B455" s="170" t="n"/>
      <c r="C455" s="35" t="n"/>
      <c r="D455" s="35" t="n"/>
      <c r="E455" s="35" t="n"/>
      <c r="G455" s="176">
        <f>IF(AND(E455&lt;&gt;"",F455&lt;&gt;""),E455*F455,"")</f>
      </c>
    </row>
    <row r="456" ht="16.5" customHeight="1" s="71">
      <c r="A456" s="14" t="n"/>
      <c r="B456" s="170" t="n"/>
      <c r="C456" s="35" t="n"/>
      <c r="D456" s="35" t="n"/>
      <c r="E456" s="35" t="n"/>
      <c r="G456" s="176">
        <f>IF(AND(E456&lt;&gt;"",F456&lt;&gt;""),E456*F456,"")</f>
      </c>
    </row>
    <row r="457" ht="16.5" customHeight="1" s="71">
      <c r="A457" s="14" t="n"/>
      <c r="B457" s="170" t="n"/>
      <c r="C457" s="35" t="n"/>
      <c r="D457" s="35" t="n"/>
      <c r="E457" s="35" t="n"/>
      <c r="G457" s="176">
        <f>IF(AND(E457&lt;&gt;"",F457&lt;&gt;""),E457*F457,"")</f>
      </c>
    </row>
    <row r="458" ht="16.5" customHeight="1" s="71">
      <c r="A458" s="14" t="n"/>
      <c r="B458" s="170" t="n"/>
      <c r="C458" s="35" t="n"/>
      <c r="D458" s="35" t="n"/>
      <c r="E458" s="35" t="n"/>
      <c r="G458" s="176">
        <f>IF(AND(E458&lt;&gt;"",F458&lt;&gt;""),E458*F458,"")</f>
      </c>
    </row>
    <row r="459" ht="16.5" customHeight="1" s="71">
      <c r="A459" s="14" t="n"/>
      <c r="B459" s="170" t="n"/>
      <c r="C459" s="35" t="n"/>
      <c r="D459" s="35" t="n"/>
      <c r="E459" s="35" t="n"/>
      <c r="G459" s="176">
        <f>IF(AND(E459&lt;&gt;"",F459&lt;&gt;""),E459*F459,"")</f>
      </c>
    </row>
    <row r="460" ht="16.5" customHeight="1" s="71">
      <c r="A460" s="14" t="n"/>
      <c r="B460" s="170" t="n"/>
      <c r="C460" s="35" t="n"/>
      <c r="D460" s="35" t="n"/>
      <c r="E460" s="35" t="n"/>
      <c r="G460" s="176">
        <f>IF(AND(E460&lt;&gt;"",F460&lt;&gt;""),E460*F460,"")</f>
      </c>
    </row>
    <row r="461" ht="16.5" customHeight="1" s="71">
      <c r="A461" s="14" t="n"/>
      <c r="B461" s="170" t="n"/>
      <c r="C461" s="35" t="n"/>
      <c r="D461" s="35" t="n"/>
      <c r="E461" s="35" t="n"/>
      <c r="G461" s="176">
        <f>IF(AND(E461&lt;&gt;"",F461&lt;&gt;""),E461*F461,"")</f>
      </c>
    </row>
    <row r="462" ht="16.5" customHeight="1" s="71">
      <c r="A462" s="14" t="n"/>
      <c r="B462" s="170" t="n"/>
      <c r="C462" s="35" t="n"/>
      <c r="D462" s="35" t="n"/>
      <c r="E462" s="35" t="n"/>
      <c r="G462" s="176">
        <f>IF(AND(E462&lt;&gt;"",F462&lt;&gt;""),E462*F462,"")</f>
      </c>
    </row>
    <row r="463" ht="16.5" customHeight="1" s="71">
      <c r="A463" s="14" t="n"/>
      <c r="B463" s="170" t="n"/>
      <c r="C463" s="35" t="n"/>
      <c r="D463" s="35" t="n"/>
      <c r="E463" s="35" t="n"/>
      <c r="G463" s="176">
        <f>IF(AND(E463&lt;&gt;"",F463&lt;&gt;""),E463*F463,"")</f>
      </c>
    </row>
    <row r="464" ht="16.5" customHeight="1" s="71">
      <c r="A464" s="14" t="n"/>
      <c r="B464" s="170" t="n"/>
      <c r="C464" s="35" t="n"/>
      <c r="D464" s="35" t="n"/>
      <c r="E464" s="35" t="n"/>
      <c r="G464" s="176">
        <f>IF(AND(E464&lt;&gt;"",F464&lt;&gt;""),E464*F464,"")</f>
      </c>
    </row>
    <row r="465" ht="16.5" customHeight="1" s="71">
      <c r="A465" s="14" t="n"/>
      <c r="B465" s="170" t="n"/>
      <c r="C465" s="35" t="n"/>
      <c r="D465" s="35" t="n"/>
      <c r="E465" s="35" t="n"/>
      <c r="G465" s="176">
        <f>IF(AND(E465&lt;&gt;"",F465&lt;&gt;""),E465*F465,"")</f>
      </c>
    </row>
    <row r="466" ht="16.5" customHeight="1" s="71">
      <c r="A466" s="14" t="n"/>
      <c r="B466" s="170" t="n"/>
      <c r="C466" s="35" t="n"/>
      <c r="D466" s="35" t="n"/>
      <c r="E466" s="35" t="n"/>
      <c r="G466" s="176">
        <f>IF(AND(E466&lt;&gt;"",F466&lt;&gt;""),E466*F466,"")</f>
      </c>
    </row>
    <row r="467" ht="16.5" customHeight="1" s="71">
      <c r="A467" s="14" t="n"/>
      <c r="B467" s="170" t="n"/>
      <c r="C467" s="35" t="n"/>
      <c r="D467" s="35" t="n"/>
      <c r="E467" s="35" t="n"/>
      <c r="G467" s="176">
        <f>IF(AND(E467&lt;&gt;"",F467&lt;&gt;""),E467*F467,"")</f>
      </c>
    </row>
    <row r="468" ht="16.5" customHeight="1" s="71">
      <c r="A468" s="14" t="n"/>
      <c r="B468" s="170" t="n"/>
      <c r="C468" s="35" t="n"/>
      <c r="D468" s="35" t="n"/>
      <c r="E468" s="35" t="n"/>
      <c r="G468" s="176">
        <f>IF(AND(E468&lt;&gt;"",F468&lt;&gt;""),E468*F468,"")</f>
      </c>
    </row>
    <row r="469" ht="16.5" customHeight="1" s="71">
      <c r="A469" s="14" t="n"/>
      <c r="B469" s="170" t="n"/>
      <c r="C469" s="35" t="n"/>
      <c r="D469" s="35" t="n"/>
      <c r="E469" s="35" t="n"/>
      <c r="G469" s="176">
        <f>IF(AND(E469&lt;&gt;"",F469&lt;&gt;""),E469*F469,"")</f>
      </c>
    </row>
    <row r="470" ht="16.5" customHeight="1" s="71">
      <c r="A470" s="14" t="n"/>
      <c r="B470" s="170" t="n"/>
      <c r="C470" s="35" t="n"/>
      <c r="D470" s="35" t="n"/>
      <c r="E470" s="35" t="n"/>
      <c r="G470" s="176">
        <f>IF(AND(E470&lt;&gt;"",F470&lt;&gt;""),E470*F470,"")</f>
      </c>
    </row>
    <row r="471" ht="16.5" customHeight="1" s="71">
      <c r="A471" s="14" t="n"/>
      <c r="B471" s="170" t="n"/>
      <c r="C471" s="35" t="n"/>
      <c r="D471" s="35" t="n"/>
      <c r="E471" s="35" t="n"/>
      <c r="G471" s="176">
        <f>IF(AND(E471&lt;&gt;"",F471&lt;&gt;""),E471*F471,"")</f>
      </c>
    </row>
    <row r="472" ht="16.5" customHeight="1" s="71">
      <c r="A472" s="14" t="n"/>
      <c r="B472" s="170" t="n"/>
      <c r="C472" s="35" t="n"/>
      <c r="D472" s="35" t="n"/>
      <c r="E472" s="35" t="n"/>
      <c r="G472" s="176">
        <f>IF(AND(E472&lt;&gt;"",F472&lt;&gt;""),E472*F472,"")</f>
      </c>
    </row>
    <row r="473" ht="16.5" customHeight="1" s="71">
      <c r="A473" s="14" t="n"/>
      <c r="B473" s="170" t="n"/>
      <c r="C473" s="35" t="n"/>
      <c r="D473" s="35" t="n"/>
      <c r="E473" s="35" t="n"/>
      <c r="G473" s="176">
        <f>IF(AND(E473&lt;&gt;"",F473&lt;&gt;""),E473*F473,"")</f>
      </c>
    </row>
    <row r="474" ht="16.5" customHeight="1" s="71">
      <c r="A474" s="14" t="n"/>
      <c r="B474" s="170" t="n"/>
      <c r="C474" s="35" t="n"/>
      <c r="D474" s="35" t="n"/>
      <c r="E474" s="35" t="n"/>
      <c r="G474" s="176">
        <f>IF(AND(E474&lt;&gt;"",F474&lt;&gt;""),E474*F474,"")</f>
      </c>
    </row>
    <row r="475" ht="16.5" customHeight="1" s="71">
      <c r="A475" s="14" t="n"/>
      <c r="B475" s="170" t="n"/>
      <c r="C475" s="35" t="n"/>
      <c r="D475" s="35" t="n"/>
      <c r="E475" s="35" t="n"/>
      <c r="G475" s="176">
        <f>IF(AND(E475&lt;&gt;"",F475&lt;&gt;""),E475*F475,"")</f>
      </c>
    </row>
    <row r="476" ht="16.5" customHeight="1" s="71">
      <c r="A476" s="14" t="n"/>
      <c r="B476" s="170" t="n"/>
      <c r="C476" s="35" t="n"/>
      <c r="D476" s="35" t="n"/>
      <c r="E476" s="35" t="n"/>
      <c r="G476" s="176">
        <f>IF(AND(E476&lt;&gt;"",F476&lt;&gt;""),E476*F476,"")</f>
      </c>
    </row>
    <row r="477" ht="16.5" customHeight="1" s="71">
      <c r="A477" s="14" t="n"/>
      <c r="B477" s="170" t="n"/>
      <c r="C477" s="35" t="n"/>
      <c r="D477" s="35" t="n"/>
      <c r="E477" s="35" t="n"/>
      <c r="G477" s="176">
        <f>IF(AND(E477&lt;&gt;"",F477&lt;&gt;""),E477*F477,"")</f>
      </c>
    </row>
    <row r="478" ht="16.5" customHeight="1" s="71">
      <c r="A478" s="14" t="n"/>
      <c r="B478" s="170" t="n"/>
      <c r="C478" s="35" t="n"/>
      <c r="D478" s="35" t="n"/>
      <c r="E478" s="35" t="n"/>
      <c r="G478" s="176">
        <f>IF(AND(E478&lt;&gt;"",F478&lt;&gt;""),E478*F478,"")</f>
      </c>
    </row>
    <row r="479" ht="16.5" customHeight="1" s="71">
      <c r="A479" s="14" t="n"/>
      <c r="B479" s="170" t="n"/>
      <c r="C479" s="35" t="n"/>
      <c r="D479" s="35" t="n"/>
      <c r="E479" s="35" t="n"/>
      <c r="G479" s="176">
        <f>IF(AND(E479&lt;&gt;"",F479&lt;&gt;""),E479*F479,"")</f>
      </c>
    </row>
    <row r="480" ht="16.5" customHeight="1" s="71">
      <c r="A480" s="14" t="n"/>
      <c r="B480" s="170" t="n"/>
      <c r="C480" s="35" t="n"/>
      <c r="D480" s="35" t="n"/>
      <c r="E480" s="35" t="n"/>
      <c r="G480" s="176">
        <f>IF(AND(E480&lt;&gt;"",F480&lt;&gt;""),E480*F480,"")</f>
      </c>
    </row>
    <row r="481" ht="16.5" customHeight="1" s="71">
      <c r="A481" s="14" t="n"/>
      <c r="B481" s="170" t="n"/>
      <c r="C481" s="35" t="n"/>
      <c r="D481" s="35" t="n"/>
      <c r="E481" s="35" t="n"/>
      <c r="G481" s="176">
        <f>IF(AND(E481&lt;&gt;"",F481&lt;&gt;""),E481*F481,"")</f>
      </c>
    </row>
    <row r="482" ht="16.5" customHeight="1" s="71">
      <c r="A482" s="14" t="n"/>
      <c r="B482" s="170" t="n"/>
      <c r="C482" s="35" t="n"/>
      <c r="D482" s="35" t="n"/>
      <c r="E482" s="35" t="n"/>
      <c r="G482" s="176">
        <f>IF(AND(E482&lt;&gt;"",F482&lt;&gt;""),E482*F482,"")</f>
      </c>
    </row>
    <row r="483" ht="16.5" customHeight="1" s="71">
      <c r="A483" s="14" t="n"/>
      <c r="B483" s="170" t="n"/>
      <c r="C483" s="35" t="n"/>
      <c r="D483" s="35" t="n"/>
      <c r="E483" s="35" t="n"/>
      <c r="G483" s="176">
        <f>IF(AND(E483&lt;&gt;"",F483&lt;&gt;""),E483*F483,"")</f>
      </c>
    </row>
    <row r="484" ht="16.5" customHeight="1" s="71">
      <c r="A484" s="14" t="n"/>
      <c r="B484" s="170" t="n"/>
      <c r="C484" s="35" t="n"/>
      <c r="D484" s="35" t="n"/>
      <c r="E484" s="35" t="n"/>
      <c r="G484" s="176">
        <f>IF(AND(E484&lt;&gt;"",F484&lt;&gt;""),E484*F484,"")</f>
      </c>
    </row>
    <row r="485" ht="16.5" customHeight="1" s="71">
      <c r="A485" s="14" t="n"/>
      <c r="B485" s="170" t="n"/>
      <c r="C485" s="35" t="n"/>
      <c r="D485" s="35" t="n"/>
      <c r="E485" s="35" t="n"/>
      <c r="G485" s="176">
        <f>IF(AND(E485&lt;&gt;"",F485&lt;&gt;""),E485*F485,"")</f>
      </c>
    </row>
    <row r="486" ht="16.5" customHeight="1" s="71">
      <c r="A486" s="14" t="n"/>
      <c r="B486" s="170" t="n"/>
      <c r="C486" s="35" t="n"/>
      <c r="D486" s="35" t="n"/>
      <c r="E486" s="35" t="n"/>
      <c r="G486" s="176">
        <f>IF(AND(E486&lt;&gt;"",F486&lt;&gt;""),E486*F486,"")</f>
      </c>
    </row>
    <row r="487" ht="16.5" customHeight="1" s="71">
      <c r="A487" s="14" t="n"/>
      <c r="B487" s="170" t="n"/>
      <c r="C487" s="35" t="n"/>
      <c r="D487" s="35" t="n"/>
      <c r="E487" s="35" t="n"/>
      <c r="G487" s="176">
        <f>IF(AND(E487&lt;&gt;"",F487&lt;&gt;""),E487*F487,"")</f>
      </c>
    </row>
    <row r="488" ht="16.5" customHeight="1" s="71">
      <c r="A488" s="14" t="n"/>
      <c r="B488" s="170" t="n"/>
      <c r="C488" s="35" t="n"/>
      <c r="D488" s="35" t="n"/>
      <c r="E488" s="35" t="n"/>
      <c r="G488" s="176">
        <f>IF(AND(E488&lt;&gt;"",F488&lt;&gt;""),E488*F488,"")</f>
      </c>
    </row>
    <row r="489" ht="16.5" customHeight="1" s="71">
      <c r="A489" s="14" t="n"/>
      <c r="B489" s="170" t="n"/>
      <c r="C489" s="35" t="n"/>
      <c r="D489" s="35" t="n"/>
      <c r="E489" s="35" t="n"/>
      <c r="G489" s="176">
        <f>IF(AND(E489&lt;&gt;"",F489&lt;&gt;""),E489*F489,"")</f>
      </c>
    </row>
    <row r="490" ht="16.5" customHeight="1" s="71">
      <c r="A490" s="14" t="n"/>
      <c r="B490" s="170" t="n"/>
      <c r="C490" s="35" t="n"/>
      <c r="D490" s="35" t="n"/>
      <c r="E490" s="35" t="n"/>
      <c r="G490" s="176">
        <f>IF(AND(E490&lt;&gt;"",F490&lt;&gt;""),E490*F490,"")</f>
      </c>
    </row>
    <row r="491" ht="16.5" customHeight="1" s="71">
      <c r="A491" s="14" t="n"/>
      <c r="B491" s="170" t="n"/>
      <c r="C491" s="35" t="n"/>
      <c r="D491" s="35" t="n"/>
      <c r="E491" s="35" t="n"/>
      <c r="G491" s="176">
        <f>IF(AND(E491&lt;&gt;"",F491&lt;&gt;""),E491*F491,"")</f>
      </c>
    </row>
    <row r="492" ht="16.5" customHeight="1" s="71">
      <c r="A492" s="14" t="n"/>
      <c r="B492" s="170" t="n"/>
      <c r="C492" s="35" t="n"/>
      <c r="D492" s="35" t="n"/>
      <c r="E492" s="35" t="n"/>
      <c r="G492" s="176">
        <f>IF(AND(E492&lt;&gt;"",F492&lt;&gt;""),E492*F492,"")</f>
      </c>
    </row>
    <row r="493" ht="16.5" customHeight="1" s="71">
      <c r="A493" s="14" t="n"/>
      <c r="B493" s="170" t="n"/>
      <c r="C493" s="35" t="n"/>
      <c r="D493" s="35" t="n"/>
      <c r="E493" s="35" t="n"/>
      <c r="G493" s="176">
        <f>IF(AND(E493&lt;&gt;"",F493&lt;&gt;""),E493*F493,"")</f>
      </c>
    </row>
    <row r="494" ht="16.5" customHeight="1" s="71">
      <c r="A494" s="14" t="n"/>
      <c r="B494" s="170" t="n"/>
      <c r="C494" s="35" t="n"/>
      <c r="D494" s="35" t="n"/>
      <c r="E494" s="35" t="n"/>
      <c r="G494" s="176">
        <f>IF(AND(E494&lt;&gt;"",F494&lt;&gt;""),E494*F494,"")</f>
      </c>
    </row>
    <row r="495" ht="16.5" customHeight="1" s="71">
      <c r="A495" s="14" t="n"/>
      <c r="B495" s="170" t="n"/>
      <c r="C495" s="35" t="n"/>
      <c r="D495" s="35" t="n"/>
      <c r="E495" s="35" t="n"/>
      <c r="G495" s="176">
        <f>IF(AND(E495&lt;&gt;"",F495&lt;&gt;""),E495*F495,"")</f>
      </c>
    </row>
    <row r="496" ht="16.5" customHeight="1" s="71">
      <c r="A496" s="14" t="n"/>
      <c r="B496" s="170" t="n"/>
      <c r="C496" s="35" t="n"/>
      <c r="D496" s="35" t="n"/>
      <c r="E496" s="35" t="n"/>
      <c r="G496" s="176">
        <f>IF(AND(E496&lt;&gt;"",F496&lt;&gt;""),E496*F496,"")</f>
      </c>
    </row>
    <row r="497" ht="16.5" customHeight="1" s="71">
      <c r="A497" s="14" t="n"/>
      <c r="B497" s="170" t="n"/>
      <c r="C497" s="35" t="n"/>
      <c r="D497" s="35" t="n"/>
      <c r="E497" s="35" t="n"/>
      <c r="G497" s="176">
        <f>IF(AND(E497&lt;&gt;"",F497&lt;&gt;""),E497*F497,"")</f>
      </c>
    </row>
    <row r="498" ht="16.5" customHeight="1" s="71">
      <c r="A498" s="14" t="n"/>
      <c r="B498" s="170" t="n"/>
      <c r="C498" s="35" t="n"/>
      <c r="D498" s="35" t="n"/>
      <c r="E498" s="35" t="n"/>
      <c r="G498" s="176">
        <f>IF(AND(E498&lt;&gt;"",F498&lt;&gt;""),E498*F498,"")</f>
      </c>
    </row>
    <row r="499" ht="16.5" customHeight="1" s="71">
      <c r="A499" s="14" t="n"/>
      <c r="B499" s="170" t="n"/>
      <c r="C499" s="35" t="n"/>
      <c r="D499" s="35" t="n"/>
      <c r="E499" s="35" t="n"/>
      <c r="G499" s="176">
        <f>IF(AND(E499&lt;&gt;"",F499&lt;&gt;""),E499*F499,"")</f>
      </c>
    </row>
    <row r="500" ht="16.5" customHeight="1" s="71">
      <c r="A500" s="14" t="n"/>
      <c r="B500" s="170" t="n"/>
      <c r="C500" s="35" t="n"/>
      <c r="D500" s="35" t="n"/>
      <c r="E500" s="35" t="n"/>
      <c r="G500" s="176">
        <f>IF(AND(E500&lt;&gt;"",F500&lt;&gt;""),E500*F500,"")</f>
      </c>
    </row>
    <row r="501" ht="16.5" customHeight="1" s="71">
      <c r="A501" s="14" t="n"/>
      <c r="B501" s="170" t="n"/>
      <c r="C501" s="35" t="n"/>
      <c r="D501" s="35" t="n"/>
      <c r="E501" s="35" t="n"/>
      <c r="G501" s="176">
        <f>IF(AND(E501&lt;&gt;"",F501&lt;&gt;""),E501*F501,"")</f>
      </c>
    </row>
    <row r="502" ht="16.5" customHeight="1" s="71">
      <c r="A502" s="14" t="n"/>
      <c r="B502" s="170" t="n"/>
      <c r="C502" s="35" t="n"/>
      <c r="D502" s="35" t="n"/>
      <c r="E502" s="35" t="n"/>
      <c r="G502" s="176">
        <f>IF(AND(E502&lt;&gt;"",F502&lt;&gt;""),E502*F502,"")</f>
      </c>
    </row>
    <row r="503" ht="16.5" customHeight="1" s="71">
      <c r="A503" s="14" t="n"/>
      <c r="B503" s="170" t="n"/>
      <c r="C503" s="35" t="n"/>
      <c r="D503" s="35" t="n"/>
      <c r="E503" s="35" t="n"/>
      <c r="G503" s="176">
        <f>IF(AND(E503&lt;&gt;"",F503&lt;&gt;""),E503*F503,"")</f>
      </c>
    </row>
    <row r="504" ht="16.5" customHeight="1" s="71">
      <c r="A504" s="14" t="n"/>
      <c r="B504" s="170" t="n"/>
      <c r="C504" s="35" t="n"/>
      <c r="D504" s="35" t="n"/>
      <c r="E504" s="35" t="n"/>
      <c r="G504" s="176">
        <f>IF(AND(E504&lt;&gt;"",F504&lt;&gt;""),E504*F504,"")</f>
      </c>
    </row>
    <row r="505" ht="16.5" customHeight="1" s="71">
      <c r="A505" s="14" t="n"/>
      <c r="B505" s="170" t="n"/>
      <c r="C505" s="35" t="n"/>
      <c r="D505" s="35" t="n"/>
      <c r="E505" s="35" t="n"/>
      <c r="G505" s="176">
        <f>IF(AND(E505&lt;&gt;"",F505&lt;&gt;""),E505*F505,"")</f>
      </c>
    </row>
    <row r="506" ht="16.5" customHeight="1" s="71">
      <c r="A506" s="14" t="n"/>
      <c r="B506" s="170" t="n"/>
      <c r="C506" s="35" t="n"/>
      <c r="D506" s="35" t="n"/>
      <c r="E506" s="35" t="n"/>
      <c r="G506" s="176">
        <f>IF(AND(E506&lt;&gt;"",F506&lt;&gt;""),E506*F506,"")</f>
      </c>
    </row>
    <row r="507" ht="16.5" customHeight="1" s="71">
      <c r="A507" s="14" t="n"/>
      <c r="B507" s="170" t="n"/>
      <c r="C507" s="35" t="n"/>
      <c r="D507" s="35" t="n"/>
      <c r="E507" s="35" t="n"/>
      <c r="G507" s="176">
        <f>IF(AND(E507&lt;&gt;"",F507&lt;&gt;""),E507*F507,"")</f>
      </c>
    </row>
    <row r="508" ht="16.5" customHeight="1" s="71">
      <c r="A508" s="14" t="n"/>
      <c r="B508" s="170" t="n"/>
      <c r="C508" s="35" t="n"/>
      <c r="D508" s="35" t="n"/>
      <c r="E508" s="35" t="n"/>
      <c r="G508" s="176">
        <f>IF(AND(E508&lt;&gt;"",F508&lt;&gt;""),E508*F508,"")</f>
      </c>
    </row>
    <row r="509" ht="16.5" customHeight="1" s="71">
      <c r="A509" s="14" t="n"/>
      <c r="B509" s="170" t="n"/>
      <c r="C509" s="35" t="n"/>
      <c r="D509" s="35" t="n"/>
      <c r="E509" s="35" t="n"/>
      <c r="G509" s="176">
        <f>IF(AND(E509&lt;&gt;"",F509&lt;&gt;""),E509*F509,"")</f>
      </c>
    </row>
    <row r="510" ht="16.5" customHeight="1" s="71">
      <c r="A510" s="14" t="n"/>
      <c r="B510" s="170" t="n"/>
      <c r="C510" s="35" t="n"/>
      <c r="D510" s="35" t="n"/>
      <c r="E510" s="35" t="n"/>
      <c r="G510" s="176">
        <f>IF(AND(E510&lt;&gt;"",F510&lt;&gt;""),E510*F510,"")</f>
      </c>
    </row>
    <row r="511" ht="16.5" customHeight="1" s="71">
      <c r="A511" s="14" t="n"/>
      <c r="B511" s="170" t="n"/>
      <c r="C511" s="35" t="n"/>
      <c r="D511" s="35" t="n"/>
      <c r="E511" s="35" t="n"/>
      <c r="G511" s="176">
        <f>IF(AND(E511&lt;&gt;"",F511&lt;&gt;""),E511*F511,"")</f>
      </c>
    </row>
    <row r="512" ht="16.5" customHeight="1" s="71">
      <c r="A512" s="14" t="n"/>
      <c r="B512" s="170" t="n"/>
      <c r="C512" s="35" t="n"/>
      <c r="D512" s="35" t="n"/>
      <c r="E512" s="35" t="n"/>
      <c r="G512" s="176">
        <f>IF(AND(E512&lt;&gt;"",F512&lt;&gt;""),E512*F512,"")</f>
      </c>
    </row>
    <row r="513" ht="16.5" customHeight="1" s="71">
      <c r="A513" s="14" t="n"/>
      <c r="B513" s="170" t="n"/>
      <c r="C513" s="35" t="n"/>
      <c r="D513" s="35" t="n"/>
      <c r="E513" s="35" t="n"/>
      <c r="G513" s="176">
        <f>IF(AND(E513&lt;&gt;"",F513&lt;&gt;""),E513*F513,"")</f>
      </c>
    </row>
    <row r="514" ht="16.5" customHeight="1" s="71">
      <c r="A514" s="14" t="n"/>
      <c r="B514" s="170" t="n"/>
      <c r="C514" s="35" t="n"/>
      <c r="D514" s="35" t="n"/>
      <c r="E514" s="35" t="n"/>
      <c r="G514" s="176">
        <f>IF(AND(E514&lt;&gt;"",F514&lt;&gt;""),E514*F514,"")</f>
      </c>
    </row>
    <row r="515" ht="16.5" customHeight="1" s="71">
      <c r="A515" s="14" t="n"/>
      <c r="B515" s="170" t="n"/>
      <c r="C515" s="35" t="n"/>
      <c r="D515" s="35" t="n"/>
      <c r="E515" s="35" t="n"/>
      <c r="G515" s="176">
        <f>IF(AND(E515&lt;&gt;"",F515&lt;&gt;""),E515*F515,"")</f>
      </c>
    </row>
    <row r="516" ht="16.5" customHeight="1" s="71">
      <c r="A516" s="14" t="n"/>
      <c r="B516" s="170" t="n"/>
      <c r="C516" s="35" t="n"/>
      <c r="D516" s="35" t="n"/>
      <c r="E516" s="35" t="n"/>
      <c r="G516" s="176">
        <f>IF(AND(E516&lt;&gt;"",F516&lt;&gt;""),E516*F516,"")</f>
      </c>
    </row>
    <row r="517" ht="16.5" customHeight="1" s="71">
      <c r="A517" s="14" t="n"/>
      <c r="B517" s="170" t="n"/>
      <c r="C517" s="35" t="n"/>
      <c r="D517" s="35" t="n"/>
      <c r="E517" s="35" t="n"/>
      <c r="G517" s="176">
        <f>IF(AND(E517&lt;&gt;"",F517&lt;&gt;""),E517*F517,"")</f>
      </c>
    </row>
    <row r="518" ht="16.5" customHeight="1" s="71">
      <c r="A518" s="14" t="n"/>
      <c r="B518" s="170" t="n"/>
      <c r="C518" s="35" t="n"/>
      <c r="D518" s="35" t="n"/>
      <c r="E518" s="35" t="n"/>
      <c r="G518" s="176">
        <f>IF(AND(E518&lt;&gt;"",F518&lt;&gt;""),E518*F518,"")</f>
      </c>
    </row>
    <row r="519" ht="16.5" customHeight="1" s="71">
      <c r="A519" s="14" t="n"/>
      <c r="B519" s="170" t="n"/>
      <c r="C519" s="35" t="n"/>
      <c r="D519" s="35" t="n"/>
      <c r="E519" s="35" t="n"/>
      <c r="G519" s="176">
        <f>IF(AND(E519&lt;&gt;"",F519&lt;&gt;""),E519*F519,"")</f>
      </c>
    </row>
    <row r="520" ht="16.5" customHeight="1" s="71">
      <c r="A520" s="14" t="n"/>
      <c r="B520" s="170" t="n"/>
      <c r="C520" s="35" t="n"/>
      <c r="D520" s="35" t="n"/>
      <c r="E520" s="35" t="n"/>
      <c r="G520" s="176">
        <f>IF(AND(E520&lt;&gt;"",F520&lt;&gt;""),E520*F520,"")</f>
      </c>
    </row>
    <row r="521" ht="16.5" customHeight="1" s="71">
      <c r="A521" s="14" t="n"/>
      <c r="B521" s="170" t="n"/>
      <c r="C521" s="35" t="n"/>
      <c r="D521" s="35" t="n"/>
      <c r="E521" s="35" t="n"/>
      <c r="G521" s="176">
        <f>IF(AND(E521&lt;&gt;"",F521&lt;&gt;""),E521*F521,"")</f>
      </c>
    </row>
    <row r="522" ht="16.5" customHeight="1" s="71">
      <c r="A522" s="14" t="n"/>
      <c r="B522" s="170" t="n"/>
      <c r="C522" s="35" t="n"/>
      <c r="D522" s="35" t="n"/>
      <c r="E522" s="35" t="n"/>
      <c r="G522" s="176">
        <f>IF(AND(E522&lt;&gt;"",F522&lt;&gt;""),E522*F522,"")</f>
      </c>
    </row>
    <row r="523" ht="16.5" customHeight="1" s="71">
      <c r="A523" s="14" t="n"/>
      <c r="B523" s="170" t="n"/>
      <c r="C523" s="35" t="n"/>
      <c r="D523" s="35" t="n"/>
      <c r="E523" s="35" t="n"/>
      <c r="G523" s="176">
        <f>IF(AND(E523&lt;&gt;"",F523&lt;&gt;""),E523*F523,"")</f>
      </c>
    </row>
    <row r="524" ht="16.5" customHeight="1" s="71">
      <c r="A524" s="14" t="n"/>
      <c r="B524" s="170" t="n"/>
      <c r="C524" s="35" t="n"/>
      <c r="D524" s="35" t="n"/>
      <c r="E524" s="35" t="n"/>
      <c r="G524" s="176">
        <f>IF(AND(E524&lt;&gt;"",F524&lt;&gt;""),E524*F524,"")</f>
      </c>
    </row>
    <row r="525" ht="16.5" customHeight="1" s="71">
      <c r="A525" s="14" t="n"/>
      <c r="B525" s="170" t="n"/>
      <c r="C525" s="35" t="n"/>
      <c r="D525" s="35" t="n"/>
      <c r="E525" s="35" t="n"/>
      <c r="G525" s="176">
        <f>IF(AND(E525&lt;&gt;"",F525&lt;&gt;""),E525*F525,"")</f>
      </c>
    </row>
    <row r="526" ht="16.5" customHeight="1" s="71">
      <c r="A526" s="14" t="n"/>
      <c r="B526" s="170" t="n"/>
      <c r="C526" s="35" t="n"/>
      <c r="D526" s="35" t="n"/>
      <c r="E526" s="35" t="n"/>
      <c r="G526" s="176">
        <f>IF(AND(E526&lt;&gt;"",F526&lt;&gt;""),E526*F526,"")</f>
      </c>
    </row>
    <row r="527" ht="16.5" customHeight="1" s="71">
      <c r="A527" s="14" t="n"/>
      <c r="B527" s="170" t="n"/>
      <c r="C527" s="35" t="n"/>
      <c r="D527" s="35" t="n"/>
      <c r="E527" s="35" t="n"/>
      <c r="G527" s="176">
        <f>IF(AND(E527&lt;&gt;"",F527&lt;&gt;""),E527*F527,"")</f>
      </c>
    </row>
    <row r="528" ht="16.5" customHeight="1" s="71">
      <c r="A528" s="14" t="n"/>
      <c r="B528" s="170" t="n"/>
      <c r="C528" s="35" t="n"/>
      <c r="D528" s="35" t="n"/>
      <c r="E528" s="35" t="n"/>
      <c r="G528" s="176">
        <f>IF(AND(E528&lt;&gt;"",F528&lt;&gt;""),E528*F528,"")</f>
      </c>
    </row>
    <row r="529" ht="16.5" customHeight="1" s="71">
      <c r="A529" s="14" t="n"/>
      <c r="B529" s="170" t="n"/>
      <c r="C529" s="35" t="n"/>
      <c r="D529" s="35" t="n"/>
      <c r="E529" s="35" t="n"/>
      <c r="G529" s="176">
        <f>IF(AND(E529&lt;&gt;"",F529&lt;&gt;""),E529*F529,"")</f>
      </c>
    </row>
    <row r="530" ht="16.5" customHeight="1" s="71">
      <c r="A530" s="14" t="n"/>
      <c r="B530" s="170" t="n"/>
      <c r="C530" s="35" t="n"/>
      <c r="D530" s="35" t="n"/>
      <c r="E530" s="35" t="n"/>
      <c r="G530" s="176">
        <f>IF(AND(E530&lt;&gt;"",F530&lt;&gt;""),E530*F530,"")</f>
      </c>
    </row>
    <row r="531" ht="16.5" customHeight="1" s="71">
      <c r="A531" s="14" t="n"/>
      <c r="B531" s="170" t="n"/>
      <c r="C531" s="35" t="n"/>
      <c r="D531" s="35" t="n"/>
      <c r="E531" s="35" t="n"/>
      <c r="G531" s="176">
        <f>IF(AND(E531&lt;&gt;"",F531&lt;&gt;""),E531*F531,"")</f>
      </c>
    </row>
    <row r="532" ht="16.5" customHeight="1" s="71">
      <c r="A532" s="14" t="n"/>
      <c r="B532" s="170" t="n"/>
      <c r="C532" s="35" t="n"/>
      <c r="D532" s="35" t="n"/>
      <c r="E532" s="35" t="n"/>
      <c r="G532" s="176">
        <f>IF(AND(E532&lt;&gt;"",F532&lt;&gt;""),E532*F532,"")</f>
      </c>
    </row>
    <row r="533" ht="16.5" customHeight="1" s="71">
      <c r="A533" s="14" t="n"/>
      <c r="B533" s="170" t="n"/>
      <c r="C533" s="35" t="n"/>
      <c r="D533" s="35" t="n"/>
      <c r="E533" s="35" t="n"/>
      <c r="G533" s="176">
        <f>IF(AND(E533&lt;&gt;"",F533&lt;&gt;""),E533*F533,"")</f>
      </c>
    </row>
    <row r="534" ht="16.5" customHeight="1" s="71">
      <c r="A534" s="14" t="n"/>
      <c r="B534" s="170" t="n"/>
      <c r="C534" s="35" t="n"/>
      <c r="D534" s="35" t="n"/>
      <c r="E534" s="35" t="n"/>
      <c r="G534" s="176">
        <f>IF(AND(E534&lt;&gt;"",F534&lt;&gt;""),E534*F534,"")</f>
      </c>
    </row>
    <row r="535" ht="16.5" customHeight="1" s="71">
      <c r="A535" s="14" t="n"/>
      <c r="B535" s="170" t="n"/>
      <c r="C535" s="35" t="n"/>
      <c r="D535" s="35" t="n"/>
      <c r="E535" s="35" t="n"/>
      <c r="G535" s="176">
        <f>IF(AND(E535&lt;&gt;"",F535&lt;&gt;""),E535*F535,"")</f>
      </c>
    </row>
    <row r="536" ht="16.5" customHeight="1" s="71">
      <c r="A536" s="14" t="n"/>
      <c r="B536" s="170" t="n"/>
      <c r="C536" s="35" t="n"/>
      <c r="D536" s="35" t="n"/>
      <c r="E536" s="35" t="n"/>
      <c r="G536" s="176">
        <f>IF(AND(E536&lt;&gt;"",F536&lt;&gt;""),E536*F536,"")</f>
      </c>
    </row>
    <row r="537" ht="16.5" customHeight="1" s="71">
      <c r="A537" s="14" t="n"/>
      <c r="B537" s="170" t="n"/>
      <c r="C537" s="35" t="n"/>
      <c r="D537" s="35" t="n"/>
      <c r="E537" s="35" t="n"/>
      <c r="G537" s="176">
        <f>IF(AND(E537&lt;&gt;"",F537&lt;&gt;""),E537*F537,"")</f>
      </c>
    </row>
    <row r="538" ht="16.5" customHeight="1" s="71">
      <c r="A538" s="14" t="n"/>
      <c r="B538" s="170" t="n"/>
      <c r="C538" s="35" t="n"/>
      <c r="D538" s="35" t="n"/>
      <c r="E538" s="35" t="n"/>
      <c r="G538" s="176">
        <f>IF(AND(E538&lt;&gt;"",F538&lt;&gt;""),E538*F538,"")</f>
      </c>
    </row>
    <row r="539" ht="16.5" customHeight="1" s="71">
      <c r="A539" s="14" t="n"/>
      <c r="B539" s="170" t="n"/>
      <c r="C539" s="35" t="n"/>
      <c r="D539" s="35" t="n"/>
      <c r="E539" s="35" t="n"/>
      <c r="G539" s="176">
        <f>IF(AND(E539&lt;&gt;"",F539&lt;&gt;""),E539*F539,"")</f>
      </c>
    </row>
    <row r="540" ht="16.5" customHeight="1" s="71">
      <c r="A540" s="14" t="n"/>
      <c r="B540" s="170" t="n"/>
      <c r="C540" s="35" t="n"/>
      <c r="D540" s="35" t="n"/>
      <c r="E540" s="35" t="n"/>
      <c r="G540" s="176">
        <f>IF(AND(E540&lt;&gt;"",F540&lt;&gt;""),E540*F540,"")</f>
      </c>
    </row>
    <row r="541" ht="16.5" customHeight="1" s="71">
      <c r="A541" s="14" t="n"/>
      <c r="B541" s="170" t="n"/>
      <c r="C541" s="35" t="n"/>
      <c r="D541" s="35" t="n"/>
      <c r="E541" s="35" t="n"/>
      <c r="G541" s="176">
        <f>IF(AND(E541&lt;&gt;"",F541&lt;&gt;""),E541*F541,"")</f>
      </c>
    </row>
    <row r="542" ht="16.5" customHeight="1" s="71">
      <c r="A542" s="14" t="n"/>
      <c r="B542" s="170" t="n"/>
      <c r="C542" s="35" t="n"/>
      <c r="D542" s="35" t="n"/>
      <c r="E542" s="35" t="n"/>
      <c r="G542" s="176">
        <f>IF(AND(E542&lt;&gt;"",F542&lt;&gt;""),E542*F542,"")</f>
      </c>
    </row>
    <row r="543" ht="16.5" customHeight="1" s="71">
      <c r="A543" s="14" t="n"/>
      <c r="B543" s="170" t="n"/>
      <c r="C543" s="35" t="n"/>
      <c r="D543" s="35" t="n"/>
      <c r="E543" s="35" t="n"/>
      <c r="G543" s="176">
        <f>IF(AND(E543&lt;&gt;"",F543&lt;&gt;""),E543*F543,"")</f>
      </c>
    </row>
    <row r="544" ht="16.5" customHeight="1" s="71">
      <c r="A544" s="14" t="n"/>
      <c r="B544" s="170" t="n"/>
      <c r="C544" s="35" t="n"/>
      <c r="D544" s="35" t="n"/>
      <c r="E544" s="35" t="n"/>
      <c r="G544" s="176">
        <f>IF(AND(E544&lt;&gt;"",F544&lt;&gt;""),E544*F544,"")</f>
      </c>
    </row>
    <row r="545" ht="16.5" customHeight="1" s="71">
      <c r="A545" s="14" t="n"/>
      <c r="B545" s="170" t="n"/>
      <c r="C545" s="35" t="n"/>
      <c r="D545" s="35" t="n"/>
      <c r="E545" s="35" t="n"/>
      <c r="G545" s="176">
        <f>IF(AND(E545&lt;&gt;"",F545&lt;&gt;""),E545*F545,"")</f>
      </c>
    </row>
    <row r="546" ht="16.5" customHeight="1" s="71">
      <c r="A546" s="14" t="n"/>
      <c r="B546" s="170" t="n"/>
      <c r="C546" s="35" t="n"/>
      <c r="D546" s="35" t="n"/>
      <c r="E546" s="35" t="n"/>
      <c r="G546" s="176">
        <f>IF(AND(E546&lt;&gt;"",F546&lt;&gt;""),E546*F546,"")</f>
      </c>
    </row>
    <row r="547" ht="16.5" customHeight="1" s="71">
      <c r="A547" s="14" t="n"/>
      <c r="B547" s="170" t="n"/>
      <c r="C547" s="35" t="n"/>
      <c r="D547" s="35" t="n"/>
      <c r="E547" s="35" t="n"/>
      <c r="G547" s="176">
        <f>IF(AND(E547&lt;&gt;"",F547&lt;&gt;""),E547*F547,"")</f>
      </c>
    </row>
    <row r="548" ht="16.5" customHeight="1" s="71">
      <c r="A548" s="14" t="n"/>
      <c r="B548" s="170" t="n"/>
      <c r="C548" s="35" t="n"/>
      <c r="D548" s="35" t="n"/>
      <c r="E548" s="35" t="n"/>
      <c r="G548" s="176">
        <f>IF(AND(E548&lt;&gt;"",F548&lt;&gt;""),E548*F548,"")</f>
      </c>
    </row>
    <row r="549" ht="16.5" customHeight="1" s="71">
      <c r="A549" s="14" t="n"/>
      <c r="B549" s="170" t="n"/>
      <c r="C549" s="35" t="n"/>
      <c r="D549" s="35" t="n"/>
      <c r="E549" s="35" t="n"/>
      <c r="G549" s="176">
        <f>IF(AND(E549&lt;&gt;"",F549&lt;&gt;""),E549*F549,"")</f>
      </c>
    </row>
    <row r="550" ht="16.5" customHeight="1" s="71">
      <c r="A550" s="14" t="n"/>
      <c r="B550" s="170" t="n"/>
      <c r="C550" s="35" t="n"/>
      <c r="D550" s="35" t="n"/>
      <c r="E550" s="35" t="n"/>
      <c r="G550" s="176">
        <f>IF(AND(E550&lt;&gt;"",F550&lt;&gt;""),E550*F550,"")</f>
      </c>
    </row>
    <row r="551" ht="16.5" customHeight="1" s="71">
      <c r="A551" s="14" t="n"/>
      <c r="B551" s="170" t="n"/>
      <c r="C551" s="35" t="n"/>
      <c r="D551" s="35" t="n"/>
      <c r="E551" s="35" t="n"/>
      <c r="G551" s="176">
        <f>IF(AND(E551&lt;&gt;"",F551&lt;&gt;""),E551*F551,"")</f>
      </c>
    </row>
    <row r="552" ht="16.5" customHeight="1" s="71">
      <c r="A552" s="14" t="n"/>
      <c r="B552" s="170" t="n"/>
      <c r="C552" s="35" t="n"/>
      <c r="D552" s="35" t="n"/>
      <c r="E552" s="35" t="n"/>
      <c r="G552" s="176">
        <f>IF(AND(E552&lt;&gt;"",F552&lt;&gt;""),E552*F552,"")</f>
      </c>
    </row>
    <row r="553" ht="16.5" customHeight="1" s="71">
      <c r="A553" s="14" t="n"/>
      <c r="B553" s="170" t="n"/>
      <c r="C553" s="35" t="n"/>
      <c r="D553" s="35" t="n"/>
      <c r="E553" s="35" t="n"/>
      <c r="G553" s="176">
        <f>IF(AND(E553&lt;&gt;"",F553&lt;&gt;""),E553*F553,"")</f>
      </c>
    </row>
    <row r="554" ht="16.5" customHeight="1" s="71">
      <c r="A554" s="14" t="n"/>
      <c r="B554" s="170" t="n"/>
      <c r="C554" s="35" t="n"/>
      <c r="D554" s="35" t="n"/>
      <c r="E554" s="35" t="n"/>
      <c r="G554" s="176">
        <f>IF(AND(E554&lt;&gt;"",F554&lt;&gt;""),E554*F554,"")</f>
      </c>
    </row>
    <row r="555" ht="16.5" customHeight="1" s="71">
      <c r="A555" s="14" t="n"/>
      <c r="B555" s="170" t="n"/>
      <c r="C555" s="35" t="n"/>
      <c r="D555" s="35" t="n"/>
      <c r="E555" s="35" t="n"/>
      <c r="G555" s="176">
        <f>IF(AND(E555&lt;&gt;"",F555&lt;&gt;""),E555*F555,"")</f>
      </c>
    </row>
    <row r="556" ht="16.5" customHeight="1" s="71">
      <c r="A556" s="14" t="n"/>
      <c r="B556" s="170" t="n"/>
      <c r="C556" s="35" t="n"/>
      <c r="D556" s="35" t="n"/>
      <c r="E556" s="35" t="n"/>
      <c r="G556" s="176">
        <f>IF(AND(E556&lt;&gt;"",F556&lt;&gt;""),E556*F556,"")</f>
      </c>
    </row>
    <row r="557" ht="16.5" customHeight="1" s="71">
      <c r="A557" s="14" t="n"/>
      <c r="B557" s="170" t="n"/>
      <c r="C557" s="35" t="n"/>
      <c r="D557" s="35" t="n"/>
      <c r="E557" s="35" t="n"/>
      <c r="G557" s="176">
        <f>IF(AND(E557&lt;&gt;"",F557&lt;&gt;""),E557*F557,"")</f>
      </c>
    </row>
    <row r="558" ht="16.5" customHeight="1" s="71">
      <c r="A558" s="14" t="n"/>
      <c r="B558" s="170" t="n"/>
      <c r="C558" s="35" t="n"/>
      <c r="D558" s="35" t="n"/>
      <c r="E558" s="35" t="n"/>
      <c r="G558" s="176">
        <f>IF(AND(E558&lt;&gt;"",F558&lt;&gt;""),E558*F558,"")</f>
      </c>
    </row>
    <row r="559" ht="16.5" customHeight="1" s="71">
      <c r="A559" s="14" t="n"/>
      <c r="B559" s="170" t="n"/>
      <c r="C559" s="35" t="n"/>
      <c r="D559" s="35" t="n"/>
      <c r="E559" s="35" t="n"/>
      <c r="G559" s="176">
        <f>IF(AND(E559&lt;&gt;"",F559&lt;&gt;""),E559*F559,"")</f>
      </c>
    </row>
    <row r="560" ht="16.5" customHeight="1" s="71">
      <c r="A560" s="14" t="n"/>
      <c r="B560" s="170" t="n"/>
      <c r="C560" s="35" t="n"/>
      <c r="D560" s="35" t="n"/>
      <c r="E560" s="35" t="n"/>
      <c r="G560" s="176">
        <f>IF(AND(E560&lt;&gt;"",F560&lt;&gt;""),E560*F560,"")</f>
      </c>
    </row>
    <row r="561" ht="16.5" customHeight="1" s="71">
      <c r="A561" s="14" t="n"/>
      <c r="B561" s="170" t="n"/>
      <c r="C561" s="35" t="n"/>
      <c r="D561" s="35" t="n"/>
      <c r="E561" s="35" t="n"/>
      <c r="G561" s="176">
        <f>IF(AND(E561&lt;&gt;"",F561&lt;&gt;""),E561*F561,"")</f>
      </c>
    </row>
    <row r="562" ht="16.5" customHeight="1" s="71">
      <c r="A562" s="14" t="n"/>
      <c r="B562" s="170" t="n"/>
      <c r="C562" s="35" t="n"/>
      <c r="D562" s="35" t="n"/>
      <c r="E562" s="35" t="n"/>
      <c r="G562" s="176">
        <f>IF(AND(E562&lt;&gt;"",F562&lt;&gt;""),E562*F562,"")</f>
      </c>
    </row>
    <row r="563" ht="16.5" customHeight="1" s="71">
      <c r="A563" s="14" t="n"/>
      <c r="B563" s="170" t="n"/>
      <c r="C563" s="35" t="n"/>
      <c r="D563" s="35" t="n"/>
      <c r="E563" s="35" t="n"/>
      <c r="G563" s="176">
        <f>IF(AND(E563&lt;&gt;"",F563&lt;&gt;""),E563*F563,"")</f>
      </c>
    </row>
    <row r="564" ht="16.5" customHeight="1" s="71">
      <c r="A564" s="14" t="n"/>
      <c r="B564" s="170" t="n"/>
      <c r="C564" s="35" t="n"/>
      <c r="D564" s="35" t="n"/>
      <c r="E564" s="35" t="n"/>
      <c r="G564" s="176">
        <f>IF(AND(E564&lt;&gt;"",F564&lt;&gt;""),E564*F564,"")</f>
      </c>
    </row>
    <row r="565" ht="16.5" customHeight="1" s="71">
      <c r="A565" s="14" t="n"/>
      <c r="B565" s="170" t="n"/>
      <c r="C565" s="35" t="n"/>
      <c r="D565" s="35" t="n"/>
      <c r="E565" s="35" t="n"/>
      <c r="G565" s="176">
        <f>IF(AND(E565&lt;&gt;"",F565&lt;&gt;""),E565*F565,"")</f>
      </c>
    </row>
    <row r="566" ht="16.5" customHeight="1" s="71">
      <c r="A566" s="14" t="n"/>
      <c r="B566" s="170" t="n"/>
      <c r="C566" s="35" t="n"/>
      <c r="D566" s="35" t="n"/>
      <c r="E566" s="35" t="n"/>
      <c r="G566" s="176">
        <f>IF(AND(E566&lt;&gt;"",F566&lt;&gt;""),E566*F566,"")</f>
      </c>
    </row>
    <row r="567" ht="16.5" customHeight="1" s="71">
      <c r="A567" s="14" t="n"/>
      <c r="B567" s="170" t="n"/>
      <c r="C567" s="35" t="n"/>
      <c r="D567" s="35" t="n"/>
      <c r="E567" s="35" t="n"/>
      <c r="G567" s="176">
        <f>IF(AND(E567&lt;&gt;"",F567&lt;&gt;""),E567*F567,"")</f>
      </c>
    </row>
    <row r="568" ht="16.5" customHeight="1" s="71">
      <c r="A568" s="14" t="n"/>
      <c r="B568" s="170" t="n"/>
      <c r="C568" s="35" t="n"/>
      <c r="D568" s="35" t="n"/>
      <c r="E568" s="35" t="n"/>
      <c r="G568" s="176">
        <f>IF(AND(E568&lt;&gt;"",F568&lt;&gt;""),E568*F568,"")</f>
      </c>
    </row>
    <row r="569" ht="16.5" customHeight="1" s="71">
      <c r="A569" s="14" t="n"/>
      <c r="B569" s="170" t="n"/>
      <c r="C569" s="35" t="n"/>
      <c r="D569" s="35" t="n"/>
      <c r="E569" s="35" t="n"/>
      <c r="G569" s="176">
        <f>IF(AND(E569&lt;&gt;"",F569&lt;&gt;""),E569*F569,"")</f>
      </c>
    </row>
    <row r="570" ht="16.5" customHeight="1" s="71">
      <c r="A570" s="14" t="n"/>
      <c r="B570" s="170" t="n"/>
      <c r="C570" s="35" t="n"/>
      <c r="D570" s="35" t="n"/>
      <c r="E570" s="35" t="n"/>
      <c r="G570" s="176">
        <f>IF(AND(E570&lt;&gt;"",F570&lt;&gt;""),E570*F570,"")</f>
      </c>
    </row>
    <row r="571" ht="16.5" customHeight="1" s="71">
      <c r="A571" s="14" t="n"/>
      <c r="B571" s="170" t="n"/>
      <c r="C571" s="35" t="n"/>
      <c r="D571" s="35" t="n"/>
      <c r="E571" s="35" t="n"/>
      <c r="G571" s="176">
        <f>IF(AND(E571&lt;&gt;"",F571&lt;&gt;""),E571*F571,"")</f>
      </c>
    </row>
    <row r="572" ht="16.5" customHeight="1" s="71">
      <c r="A572" s="14" t="n"/>
      <c r="B572" s="170" t="n"/>
      <c r="C572" s="35" t="n"/>
      <c r="D572" s="35" t="n"/>
      <c r="E572" s="35" t="n"/>
      <c r="G572" s="176">
        <f>IF(AND(E572&lt;&gt;"",F572&lt;&gt;""),E572*F572,"")</f>
      </c>
    </row>
    <row r="573" ht="16.5" customHeight="1" s="71">
      <c r="A573" s="14" t="n"/>
      <c r="B573" s="170" t="n"/>
      <c r="C573" s="35" t="n"/>
      <c r="D573" s="35" t="n"/>
      <c r="E573" s="35" t="n"/>
      <c r="G573" s="176">
        <f>IF(AND(E573&lt;&gt;"",F573&lt;&gt;""),E573*F573,"")</f>
      </c>
    </row>
    <row r="574" ht="16.5" customHeight="1" s="71">
      <c r="A574" s="14" t="n"/>
      <c r="B574" s="170" t="n"/>
      <c r="C574" s="35" t="n"/>
      <c r="D574" s="35" t="n"/>
      <c r="E574" s="35" t="n"/>
      <c r="G574" s="176">
        <f>IF(AND(E574&lt;&gt;"",F574&lt;&gt;""),E574*F574,"")</f>
      </c>
    </row>
    <row r="575" ht="16.5" customHeight="1" s="71">
      <c r="A575" s="14" t="n"/>
      <c r="B575" s="170" t="n"/>
      <c r="C575" s="35" t="n"/>
      <c r="D575" s="35" t="n"/>
      <c r="E575" s="35" t="n"/>
      <c r="G575" s="176">
        <f>IF(AND(E575&lt;&gt;"",F575&lt;&gt;""),E575*F575,"")</f>
      </c>
    </row>
    <row r="576" ht="16.5" customHeight="1" s="71">
      <c r="A576" s="14" t="n"/>
      <c r="B576" s="170" t="n"/>
      <c r="C576" s="35" t="n"/>
      <c r="D576" s="35" t="n"/>
      <c r="E576" s="35" t="n"/>
      <c r="G576" s="176">
        <f>IF(AND(E576&lt;&gt;"",F576&lt;&gt;""),E576*F576,"")</f>
      </c>
    </row>
    <row r="577" ht="16.5" customHeight="1" s="71">
      <c r="A577" s="14" t="n"/>
      <c r="B577" s="170" t="n"/>
      <c r="C577" s="35" t="n"/>
      <c r="D577" s="35" t="n"/>
      <c r="E577" s="35" t="n"/>
      <c r="G577" s="176">
        <f>IF(AND(E577&lt;&gt;"",F577&lt;&gt;""),E577*F577,"")</f>
      </c>
    </row>
    <row r="578" ht="16.5" customHeight="1" s="71">
      <c r="A578" s="14" t="n"/>
      <c r="B578" s="170" t="n"/>
      <c r="C578" s="35" t="n"/>
      <c r="D578" s="35" t="n"/>
      <c r="E578" s="35" t="n"/>
      <c r="G578" s="176">
        <f>IF(AND(E578&lt;&gt;"",F578&lt;&gt;""),E578*F578,"")</f>
      </c>
    </row>
    <row r="579" ht="16.5" customHeight="1" s="71">
      <c r="A579" s="14" t="n"/>
      <c r="B579" s="170" t="n"/>
      <c r="C579" s="35" t="n"/>
      <c r="D579" s="35" t="n"/>
      <c r="E579" s="35" t="n"/>
      <c r="G579" s="176">
        <f>IF(AND(E579&lt;&gt;"",F579&lt;&gt;""),E579*F579,"")</f>
      </c>
    </row>
    <row r="580" ht="16.5" customHeight="1" s="71">
      <c r="A580" s="14" t="n"/>
      <c r="B580" s="170" t="n"/>
      <c r="C580" s="35" t="n"/>
      <c r="D580" s="35" t="n"/>
      <c r="E580" s="35" t="n"/>
      <c r="G580" s="176">
        <f>IF(AND(E580&lt;&gt;"",F580&lt;&gt;""),E580*F580,"")</f>
      </c>
    </row>
    <row r="581" ht="16.5" customHeight="1" s="71">
      <c r="A581" s="14" t="n"/>
      <c r="B581" s="170" t="n"/>
      <c r="C581" s="35" t="n"/>
      <c r="D581" s="35" t="n"/>
      <c r="E581" s="35" t="n"/>
      <c r="G581" s="176">
        <f>IF(AND(E581&lt;&gt;"",F581&lt;&gt;""),E581*F581,"")</f>
      </c>
    </row>
    <row r="582" ht="16.5" customHeight="1" s="71">
      <c r="A582" s="14" t="n"/>
      <c r="B582" s="170" t="n"/>
      <c r="C582" s="35" t="n"/>
      <c r="D582" s="35" t="n"/>
      <c r="E582" s="35" t="n"/>
      <c r="G582" s="176">
        <f>IF(AND(E582&lt;&gt;"",F582&lt;&gt;""),E582*F582,"")</f>
      </c>
    </row>
    <row r="583" ht="16.5" customHeight="1" s="71">
      <c r="A583" s="14" t="n"/>
      <c r="B583" s="170" t="n"/>
      <c r="C583" s="35" t="n"/>
      <c r="D583" s="35" t="n"/>
      <c r="E583" s="35" t="n"/>
      <c r="G583" s="176">
        <f>IF(AND(E583&lt;&gt;"",F583&lt;&gt;""),E583*F583,"")</f>
      </c>
    </row>
    <row r="584" ht="16.5" customHeight="1" s="71">
      <c r="A584" s="14" t="n"/>
      <c r="B584" s="170" t="n"/>
      <c r="C584" s="35" t="n"/>
      <c r="D584" s="35" t="n"/>
      <c r="E584" s="35" t="n"/>
      <c r="G584" s="176">
        <f>IF(AND(E584&lt;&gt;"",F584&lt;&gt;""),E584*F584,"")</f>
      </c>
    </row>
    <row r="585" ht="16.5" customHeight="1" s="71">
      <c r="A585" s="14" t="n"/>
      <c r="B585" s="170" t="n"/>
      <c r="C585" s="35" t="n"/>
      <c r="D585" s="35" t="n"/>
      <c r="E585" s="35" t="n"/>
      <c r="G585" s="176">
        <f>IF(AND(E585&lt;&gt;"",F585&lt;&gt;""),E585*F585,"")</f>
      </c>
    </row>
    <row r="586" ht="16.5" customHeight="1" s="71">
      <c r="A586" s="14" t="n"/>
      <c r="B586" s="170" t="n"/>
      <c r="C586" s="35" t="n"/>
      <c r="D586" s="35" t="n"/>
      <c r="E586" s="35" t="n"/>
      <c r="G586" s="176">
        <f>IF(AND(E586&lt;&gt;"",F586&lt;&gt;""),E586*F586,"")</f>
      </c>
    </row>
    <row r="587" ht="16.5" customHeight="1" s="71">
      <c r="A587" s="14" t="n"/>
      <c r="B587" s="170" t="n"/>
      <c r="C587" s="35" t="n"/>
      <c r="D587" s="35" t="n"/>
      <c r="E587" s="35" t="n"/>
      <c r="G587" s="176">
        <f>IF(AND(E587&lt;&gt;"",F587&lt;&gt;""),E587*F587,"")</f>
      </c>
    </row>
    <row r="588" ht="16.5" customHeight="1" s="71">
      <c r="A588" s="14" t="n"/>
      <c r="B588" s="170" t="n"/>
      <c r="C588" s="35" t="n"/>
      <c r="D588" s="35" t="n"/>
      <c r="E588" s="35" t="n"/>
      <c r="G588" s="176">
        <f>IF(AND(E588&lt;&gt;"",F588&lt;&gt;""),E588*F588,"")</f>
      </c>
    </row>
    <row r="589" ht="16.5" customHeight="1" s="71">
      <c r="A589" s="14" t="n"/>
      <c r="B589" s="170" t="n"/>
      <c r="C589" s="35" t="n"/>
      <c r="D589" s="35" t="n"/>
      <c r="E589" s="35" t="n"/>
      <c r="G589" s="176">
        <f>IF(AND(E589&lt;&gt;"",F589&lt;&gt;""),E589*F589,"")</f>
      </c>
    </row>
    <row r="590" ht="16.5" customHeight="1" s="71">
      <c r="A590" s="14" t="n"/>
      <c r="B590" s="170" t="n"/>
      <c r="C590" s="35" t="n"/>
      <c r="D590" s="35" t="n"/>
      <c r="E590" s="35" t="n"/>
      <c r="G590" s="176">
        <f>IF(AND(E590&lt;&gt;"",F590&lt;&gt;""),E590*F590,"")</f>
      </c>
    </row>
    <row r="591" ht="16.5" customHeight="1" s="71">
      <c r="A591" s="14" t="n"/>
      <c r="B591" s="170" t="n"/>
      <c r="C591" s="35" t="n"/>
      <c r="D591" s="35" t="n"/>
      <c r="E591" s="35" t="n"/>
      <c r="G591" s="176">
        <f>IF(AND(E591&lt;&gt;"",F591&lt;&gt;""),E591*F591,"")</f>
      </c>
    </row>
    <row r="592" ht="16.5" customHeight="1" s="71">
      <c r="A592" s="14" t="n"/>
      <c r="B592" s="170" t="n"/>
      <c r="C592" s="35" t="n"/>
      <c r="D592" s="35" t="n"/>
      <c r="E592" s="35" t="n"/>
      <c r="G592" s="176">
        <f>IF(AND(E592&lt;&gt;"",F592&lt;&gt;""),E592*F592,"")</f>
      </c>
    </row>
    <row r="593" ht="16.5" customHeight="1" s="71">
      <c r="A593" s="14" t="n"/>
      <c r="B593" s="170" t="n"/>
      <c r="C593" s="35" t="n"/>
      <c r="D593" s="35" t="n"/>
      <c r="E593" s="35" t="n"/>
      <c r="G593" s="176">
        <f>IF(AND(E593&lt;&gt;"",F593&lt;&gt;""),E593*F593,"")</f>
      </c>
    </row>
    <row r="594" ht="16.5" customHeight="1" s="71">
      <c r="A594" s="14" t="n"/>
      <c r="B594" s="170" t="n"/>
      <c r="C594" s="35" t="n"/>
      <c r="D594" s="35" t="n"/>
      <c r="E594" s="35" t="n"/>
      <c r="G594" s="176">
        <f>IF(AND(E594&lt;&gt;"",F594&lt;&gt;""),E594*F594,"")</f>
      </c>
    </row>
    <row r="595" ht="16.5" customHeight="1" s="71">
      <c r="A595" s="14" t="n"/>
      <c r="B595" s="170" t="n"/>
      <c r="C595" s="35" t="n"/>
      <c r="D595" s="35" t="n"/>
      <c r="E595" s="35" t="n"/>
      <c r="G595" s="176">
        <f>IF(AND(E595&lt;&gt;"",F595&lt;&gt;""),E595*F595,"")</f>
      </c>
    </row>
    <row r="596" ht="16.5" customHeight="1" s="71">
      <c r="A596" s="14" t="n"/>
      <c r="B596" s="170" t="n"/>
      <c r="C596" s="35" t="n"/>
      <c r="D596" s="35" t="n"/>
      <c r="E596" s="35" t="n"/>
      <c r="G596" s="176">
        <f>IF(AND(E596&lt;&gt;"",F596&lt;&gt;""),E596*F596,"")</f>
      </c>
    </row>
    <row r="597" ht="16.5" customHeight="1" s="71">
      <c r="A597" s="14" t="n"/>
      <c r="B597" s="170" t="n"/>
      <c r="C597" s="35" t="n"/>
      <c r="D597" s="35" t="n"/>
      <c r="E597" s="35" t="n"/>
      <c r="G597" s="176">
        <f>IF(AND(E597&lt;&gt;"",F597&lt;&gt;""),E597*F597,"")</f>
      </c>
    </row>
    <row r="598" ht="16.5" customHeight="1" s="71">
      <c r="A598" s="14" t="n"/>
      <c r="B598" s="170" t="n"/>
      <c r="C598" s="35" t="n"/>
      <c r="D598" s="35" t="n"/>
      <c r="E598" s="35" t="n"/>
      <c r="G598" s="176">
        <f>IF(AND(E598&lt;&gt;"",F598&lt;&gt;""),E598*F598,"")</f>
      </c>
    </row>
    <row r="599" ht="16.5" customHeight="1" s="71">
      <c r="A599" s="14" t="n"/>
      <c r="B599" s="170" t="n"/>
      <c r="C599" s="35" t="n"/>
      <c r="D599" s="35" t="n"/>
      <c r="E599" s="35" t="n"/>
      <c r="G599" s="176">
        <f>IF(AND(E599&lt;&gt;"",F599&lt;&gt;""),E599*F599,"")</f>
      </c>
    </row>
    <row r="600" ht="16.5" customHeight="1" s="71">
      <c r="A600" s="14" t="n"/>
      <c r="B600" s="170" t="n"/>
      <c r="C600" s="35" t="n"/>
      <c r="D600" s="35" t="n"/>
      <c r="E600" s="35" t="n"/>
      <c r="G600" s="176">
        <f>IF(AND(E600&lt;&gt;"",F600&lt;&gt;""),E600*F600,"")</f>
      </c>
    </row>
    <row r="601" ht="16.5" customHeight="1" s="71">
      <c r="A601" s="14" t="n"/>
      <c r="B601" s="170" t="n"/>
      <c r="C601" s="35" t="n"/>
      <c r="D601" s="35" t="n"/>
      <c r="E601" s="35" t="n"/>
      <c r="G601" s="176">
        <f>IF(AND(E601&lt;&gt;"",F601&lt;&gt;""),E601*F601,"")</f>
      </c>
    </row>
    <row r="602" ht="16.5" customHeight="1" s="71">
      <c r="A602" s="14" t="n"/>
      <c r="B602" s="170" t="n"/>
      <c r="C602" s="35" t="n"/>
      <c r="D602" s="35" t="n"/>
      <c r="E602" s="35" t="n"/>
      <c r="G602" s="176">
        <f>IF(AND(E602&lt;&gt;"",F602&lt;&gt;""),E602*F602,"")</f>
      </c>
    </row>
    <row r="603" ht="16.5" customHeight="1" s="71">
      <c r="A603" s="14" t="n"/>
      <c r="B603" s="170" t="n"/>
      <c r="C603" s="35" t="n"/>
      <c r="D603" s="35" t="n"/>
      <c r="E603" s="35" t="n"/>
      <c r="G603" s="176">
        <f>IF(AND(E603&lt;&gt;"",F603&lt;&gt;""),E603*F603,"")</f>
      </c>
    </row>
    <row r="604" ht="16.5" customHeight="1" s="71">
      <c r="A604" s="14" t="n"/>
      <c r="B604" s="170" t="n"/>
      <c r="C604" s="35" t="n"/>
      <c r="D604" s="35" t="n"/>
      <c r="E604" s="35" t="n"/>
      <c r="G604" s="176">
        <f>IF(AND(E604&lt;&gt;"",F604&lt;&gt;""),E604*F604,"")</f>
      </c>
    </row>
    <row r="605" ht="16.5" customHeight="1" s="71">
      <c r="A605" s="14" t="n"/>
      <c r="B605" s="170" t="n"/>
      <c r="C605" s="35" t="n"/>
      <c r="D605" s="35" t="n"/>
      <c r="E605" s="35" t="n"/>
      <c r="G605" s="176">
        <f>IF(AND(E605&lt;&gt;"",F605&lt;&gt;""),E605*F605,"")</f>
      </c>
    </row>
    <row r="606" ht="16.5" customHeight="1" s="71">
      <c r="A606" s="14" t="n"/>
      <c r="B606" s="170" t="n"/>
      <c r="C606" s="35" t="n"/>
      <c r="D606" s="35" t="n"/>
      <c r="E606" s="35" t="n"/>
      <c r="G606" s="176">
        <f>IF(AND(E606&lt;&gt;"",F606&lt;&gt;""),E606*F606,"")</f>
      </c>
    </row>
    <row r="607" ht="16.5" customHeight="1" s="71">
      <c r="A607" s="14" t="n"/>
      <c r="B607" s="170" t="n"/>
      <c r="C607" s="35" t="n"/>
      <c r="D607" s="35" t="n"/>
      <c r="E607" s="35" t="n"/>
      <c r="G607" s="176">
        <f>IF(AND(E607&lt;&gt;"",F607&lt;&gt;""),E607*F607,"")</f>
      </c>
    </row>
    <row r="608" ht="16.5" customHeight="1" s="71">
      <c r="A608" s="14" t="n"/>
      <c r="B608" s="170" t="n"/>
      <c r="C608" s="35" t="n"/>
      <c r="D608" s="35" t="n"/>
      <c r="E608" s="35" t="n"/>
      <c r="G608" s="176">
        <f>IF(AND(E608&lt;&gt;"",F608&lt;&gt;""),E608*F608,"")</f>
      </c>
    </row>
    <row r="609" ht="16.5" customHeight="1" s="71">
      <c r="A609" s="14" t="n"/>
      <c r="B609" s="170" t="n"/>
      <c r="C609" s="35" t="n"/>
      <c r="D609" s="35" t="n"/>
      <c r="E609" s="35" t="n"/>
      <c r="G609" s="176">
        <f>IF(AND(E609&lt;&gt;"",F609&lt;&gt;""),E609*F609,"")</f>
      </c>
    </row>
    <row r="610" ht="16.5" customHeight="1" s="71">
      <c r="A610" s="14" t="n"/>
      <c r="B610" s="170" t="n"/>
      <c r="C610" s="35" t="n"/>
      <c r="D610" s="35" t="n"/>
      <c r="E610" s="35" t="n"/>
      <c r="G610" s="176">
        <f>IF(AND(E610&lt;&gt;"",F610&lt;&gt;""),E610*F610,"")</f>
      </c>
    </row>
    <row r="611" ht="16.5" customHeight="1" s="71">
      <c r="A611" s="14" t="n"/>
      <c r="B611" s="170" t="n"/>
      <c r="C611" s="35" t="n"/>
      <c r="D611" s="35" t="n"/>
      <c r="E611" s="35" t="n"/>
      <c r="G611" s="176">
        <f>IF(AND(E611&lt;&gt;"",F611&lt;&gt;""),E611*F611,"")</f>
      </c>
    </row>
    <row r="612" ht="16.5" customHeight="1" s="71">
      <c r="A612" s="14" t="n"/>
      <c r="B612" s="170" t="n"/>
      <c r="C612" s="35" t="n"/>
      <c r="D612" s="35" t="n"/>
      <c r="E612" s="35" t="n"/>
      <c r="G612" s="176">
        <f>IF(AND(E612&lt;&gt;"",F612&lt;&gt;""),E612*F612,"")</f>
      </c>
    </row>
    <row r="613" ht="16.5" customHeight="1" s="71">
      <c r="A613" s="14" t="n"/>
      <c r="B613" s="170" t="n"/>
      <c r="C613" s="35" t="n"/>
      <c r="D613" s="35" t="n"/>
      <c r="E613" s="35" t="n"/>
      <c r="G613" s="176">
        <f>IF(AND(E613&lt;&gt;"",F613&lt;&gt;""),E613*F613,"")</f>
      </c>
    </row>
    <row r="614" ht="16.5" customHeight="1" s="71">
      <c r="A614" s="14" t="n"/>
      <c r="B614" s="170" t="n"/>
      <c r="C614" s="35" t="n"/>
      <c r="D614" s="35" t="n"/>
      <c r="E614" s="35" t="n"/>
      <c r="G614" s="176">
        <f>IF(AND(E614&lt;&gt;"",F614&lt;&gt;""),E614*F614,"")</f>
      </c>
    </row>
    <row r="615" ht="16.5" customHeight="1" s="71">
      <c r="A615" s="14" t="n"/>
      <c r="B615" s="170" t="n"/>
      <c r="C615" s="35" t="n"/>
      <c r="D615" s="35" t="n"/>
      <c r="E615" s="35" t="n"/>
      <c r="G615" s="176">
        <f>IF(AND(E615&lt;&gt;"",F615&lt;&gt;""),E615*F615,"")</f>
      </c>
    </row>
    <row r="616" ht="16.5" customHeight="1" s="71">
      <c r="A616" s="14" t="n"/>
      <c r="B616" s="170" t="n"/>
      <c r="C616" s="35" t="n"/>
      <c r="D616" s="35" t="n"/>
      <c r="E616" s="35" t="n"/>
      <c r="G616" s="176">
        <f>IF(AND(E616&lt;&gt;"",F616&lt;&gt;""),E616*F616,"")</f>
      </c>
    </row>
    <row r="617" ht="16.5" customHeight="1" s="71">
      <c r="A617" s="14" t="n"/>
      <c r="B617" s="170" t="n"/>
      <c r="C617" s="35" t="n"/>
      <c r="D617" s="35" t="n"/>
      <c r="E617" s="35" t="n"/>
      <c r="G617" s="176">
        <f>IF(AND(E617&lt;&gt;"",F617&lt;&gt;""),E617*F617,"")</f>
      </c>
    </row>
    <row r="618" ht="16.5" customHeight="1" s="71">
      <c r="A618" s="14" t="n"/>
      <c r="B618" s="170" t="n"/>
      <c r="C618" s="35" t="n"/>
      <c r="D618" s="35" t="n"/>
      <c r="E618" s="35" t="n"/>
      <c r="G618" s="176">
        <f>IF(AND(E618&lt;&gt;"",F618&lt;&gt;""),E618*F618,"")</f>
      </c>
    </row>
    <row r="619" ht="16.5" customHeight="1" s="71">
      <c r="A619" s="14" t="n"/>
      <c r="B619" s="170" t="n"/>
      <c r="C619" s="35" t="n"/>
      <c r="D619" s="35" t="n"/>
      <c r="E619" s="35" t="n"/>
      <c r="G619" s="176">
        <f>IF(AND(E619&lt;&gt;"",F619&lt;&gt;""),E619*F619,"")</f>
      </c>
    </row>
    <row r="620" ht="16.5" customHeight="1" s="71">
      <c r="A620" s="14" t="n"/>
      <c r="B620" s="170" t="n"/>
      <c r="C620" s="35" t="n"/>
      <c r="D620" s="35" t="n"/>
      <c r="E620" s="35" t="n"/>
      <c r="G620" s="176">
        <f>IF(AND(E620&lt;&gt;"",F620&lt;&gt;""),E620*F620,"")</f>
      </c>
    </row>
    <row r="621" ht="16.5" customHeight="1" s="71">
      <c r="A621" s="14" t="n"/>
      <c r="B621" s="170" t="n"/>
      <c r="C621" s="35" t="n"/>
      <c r="D621" s="35" t="n"/>
      <c r="E621" s="35" t="n"/>
      <c r="G621" s="176">
        <f>IF(AND(E621&lt;&gt;"",F621&lt;&gt;""),E621*F621,"")</f>
      </c>
    </row>
    <row r="622" ht="16.5" customHeight="1" s="71">
      <c r="A622" s="14" t="n"/>
      <c r="B622" s="170" t="n"/>
      <c r="C622" s="35" t="n"/>
      <c r="D622" s="35" t="n"/>
      <c r="E622" s="35" t="n"/>
      <c r="G622" s="176">
        <f>IF(AND(E622&lt;&gt;"",F622&lt;&gt;""),E622*F622,"")</f>
      </c>
    </row>
    <row r="623" ht="16.5" customHeight="1" s="71">
      <c r="A623" s="14" t="n"/>
      <c r="B623" s="170" t="n"/>
      <c r="C623" s="35" t="n"/>
      <c r="D623" s="35" t="n"/>
      <c r="E623" s="35" t="n"/>
      <c r="G623" s="176">
        <f>IF(AND(E623&lt;&gt;"",F623&lt;&gt;""),E623*F623,"")</f>
      </c>
    </row>
    <row r="624" ht="16.5" customHeight="1" s="71">
      <c r="A624" s="14" t="n"/>
      <c r="B624" s="170" t="n"/>
      <c r="C624" s="35" t="n"/>
      <c r="D624" s="35" t="n"/>
      <c r="E624" s="35" t="n"/>
      <c r="G624" s="176">
        <f>IF(AND(E624&lt;&gt;"",F624&lt;&gt;""),E624*F624,"")</f>
      </c>
    </row>
    <row r="625" ht="16.5" customHeight="1" s="71">
      <c r="A625" s="14" t="n"/>
      <c r="B625" s="170" t="n"/>
      <c r="C625" s="35" t="n"/>
      <c r="D625" s="35" t="n"/>
      <c r="E625" s="35" t="n"/>
      <c r="G625" s="176">
        <f>IF(AND(E625&lt;&gt;"",F625&lt;&gt;""),E625*F625,"")</f>
      </c>
    </row>
    <row r="626" ht="16.5" customHeight="1" s="71">
      <c r="A626" s="14" t="n"/>
      <c r="B626" s="170" t="n"/>
      <c r="C626" s="35" t="n"/>
      <c r="D626" s="35" t="n"/>
      <c r="E626" s="35" t="n"/>
      <c r="G626" s="176">
        <f>IF(AND(E626&lt;&gt;"",F626&lt;&gt;""),E626*F626,"")</f>
      </c>
    </row>
    <row r="627" ht="16.5" customHeight="1" s="71">
      <c r="A627" s="14" t="n"/>
      <c r="B627" s="170" t="n"/>
      <c r="C627" s="35" t="n"/>
      <c r="D627" s="35" t="n"/>
      <c r="E627" s="35" t="n"/>
      <c r="G627" s="176">
        <f>IF(AND(E627&lt;&gt;"",F627&lt;&gt;""),E627*F627,"")</f>
      </c>
    </row>
    <row r="628" ht="16.5" customHeight="1" s="71">
      <c r="A628" s="14" t="n"/>
      <c r="B628" s="170" t="n"/>
      <c r="C628" s="35" t="n"/>
      <c r="D628" s="35" t="n"/>
      <c r="E628" s="35" t="n"/>
      <c r="G628" s="176">
        <f>IF(AND(E628&lt;&gt;"",F628&lt;&gt;""),E628*F628,"")</f>
      </c>
    </row>
    <row r="629" ht="16.5" customHeight="1" s="71">
      <c r="A629" s="14" t="n"/>
      <c r="B629" s="170" t="n"/>
      <c r="C629" s="35" t="n"/>
      <c r="D629" s="35" t="n"/>
      <c r="E629" s="35" t="n"/>
      <c r="G629" s="176">
        <f>IF(AND(E629&lt;&gt;"",F629&lt;&gt;""),E629*F629,"")</f>
      </c>
    </row>
    <row r="630" ht="16.5" customHeight="1" s="71">
      <c r="A630" s="14" t="n"/>
      <c r="B630" s="170" t="n"/>
      <c r="C630" s="35" t="n"/>
      <c r="D630" s="35" t="n"/>
      <c r="E630" s="35" t="n"/>
      <c r="G630" s="176">
        <f>IF(AND(E630&lt;&gt;"",F630&lt;&gt;""),E630*F630,"")</f>
      </c>
    </row>
    <row r="631" ht="16.5" customHeight="1" s="71">
      <c r="A631" s="14" t="n"/>
      <c r="B631" s="170" t="n"/>
      <c r="C631" s="35" t="n"/>
      <c r="D631" s="35" t="n"/>
      <c r="E631" s="35" t="n"/>
      <c r="G631" s="176">
        <f>IF(AND(E631&lt;&gt;"",F631&lt;&gt;""),E631*F631,"")</f>
      </c>
    </row>
    <row r="632" ht="16.5" customHeight="1" s="71">
      <c r="A632" s="14" t="n"/>
      <c r="B632" s="170" t="n"/>
      <c r="C632" s="35" t="n"/>
      <c r="D632" s="35" t="n"/>
      <c r="E632" s="35" t="n"/>
      <c r="G632" s="176">
        <f>IF(AND(E632&lt;&gt;"",F632&lt;&gt;""),E632*F632,"")</f>
      </c>
    </row>
    <row r="633" ht="16.5" customHeight="1" s="71">
      <c r="A633" s="14" t="n"/>
      <c r="B633" s="170" t="n"/>
      <c r="C633" s="35" t="n"/>
      <c r="D633" s="35" t="n"/>
      <c r="E633" s="35" t="n"/>
      <c r="G633" s="176">
        <f>IF(AND(E633&lt;&gt;"",F633&lt;&gt;""),E633*F633,"")</f>
      </c>
    </row>
    <row r="634" ht="16.5" customHeight="1" s="71">
      <c r="A634" s="14" t="n"/>
      <c r="B634" s="170" t="n"/>
      <c r="C634" s="35" t="n"/>
      <c r="D634" s="35" t="n"/>
      <c r="E634" s="35" t="n"/>
      <c r="G634" s="176">
        <f>IF(AND(E634&lt;&gt;"",F634&lt;&gt;""),E634*F634,"")</f>
      </c>
    </row>
    <row r="635" ht="16.5" customHeight="1" s="71">
      <c r="A635" s="14" t="n"/>
      <c r="B635" s="170" t="n"/>
      <c r="C635" s="35" t="n"/>
      <c r="D635" s="35" t="n"/>
      <c r="E635" s="35" t="n"/>
      <c r="G635" s="176">
        <f>IF(AND(E635&lt;&gt;"",F635&lt;&gt;""),E635*F635,"")</f>
      </c>
    </row>
    <row r="636" ht="16.5" customHeight="1" s="71">
      <c r="A636" s="14" t="n"/>
      <c r="B636" s="170" t="n"/>
      <c r="C636" s="35" t="n"/>
      <c r="D636" s="35" t="n"/>
      <c r="E636" s="35" t="n"/>
      <c r="G636" s="176">
        <f>IF(AND(E636&lt;&gt;"",F636&lt;&gt;""),E636*F636,"")</f>
      </c>
    </row>
    <row r="637" ht="16.5" customHeight="1" s="71">
      <c r="A637" s="14" t="n"/>
      <c r="B637" s="170" t="n"/>
      <c r="C637" s="35" t="n"/>
      <c r="D637" s="35" t="n"/>
      <c r="E637" s="35" t="n"/>
      <c r="G637" s="176">
        <f>IF(AND(E637&lt;&gt;"",F637&lt;&gt;""),E637*F637,"")</f>
      </c>
    </row>
    <row r="638" ht="16.5" customHeight="1" s="71">
      <c r="A638" s="14" t="n"/>
      <c r="B638" s="170" t="n"/>
      <c r="C638" s="35" t="n"/>
      <c r="D638" s="35" t="n"/>
      <c r="E638" s="35" t="n"/>
      <c r="G638" s="176">
        <f>IF(AND(E638&lt;&gt;"",F638&lt;&gt;""),E638*F638,"")</f>
      </c>
    </row>
    <row r="639" ht="16.5" customHeight="1" s="71">
      <c r="A639" s="14" t="n"/>
      <c r="B639" s="170" t="n"/>
      <c r="C639" s="35" t="n"/>
      <c r="D639" s="35" t="n"/>
      <c r="E639" s="35" t="n"/>
      <c r="G639" s="176">
        <f>IF(AND(E639&lt;&gt;"",F639&lt;&gt;""),E639*F639,"")</f>
      </c>
    </row>
    <row r="640" ht="16.5" customHeight="1" s="71">
      <c r="A640" s="14" t="n"/>
      <c r="B640" s="170" t="n"/>
      <c r="C640" s="35" t="n"/>
      <c r="D640" s="35" t="n"/>
      <c r="E640" s="35" t="n"/>
      <c r="G640" s="176">
        <f>IF(AND(E640&lt;&gt;"",F640&lt;&gt;""),E640*F640,"")</f>
      </c>
    </row>
    <row r="641" ht="16.5" customHeight="1" s="71">
      <c r="A641" s="14" t="n"/>
      <c r="B641" s="170" t="n"/>
      <c r="C641" s="35" t="n"/>
      <c r="D641" s="35" t="n"/>
      <c r="E641" s="35" t="n"/>
      <c r="G641" s="176">
        <f>IF(AND(E641&lt;&gt;"",F641&lt;&gt;""),E641*F641,"")</f>
      </c>
    </row>
    <row r="642" ht="16.5" customHeight="1" s="71">
      <c r="A642" s="14" t="n"/>
      <c r="B642" s="170" t="n"/>
      <c r="C642" s="35" t="n"/>
      <c r="D642" s="35" t="n"/>
      <c r="E642" s="35" t="n"/>
      <c r="G642" s="176">
        <f>IF(AND(E642&lt;&gt;"",F642&lt;&gt;""),E642*F642,"")</f>
      </c>
    </row>
    <row r="643" ht="16.5" customHeight="1" s="71">
      <c r="A643" s="14" t="n"/>
      <c r="B643" s="170" t="n"/>
      <c r="C643" s="35" t="n"/>
      <c r="D643" s="35" t="n"/>
      <c r="E643" s="35" t="n"/>
      <c r="G643" s="176">
        <f>IF(AND(E643&lt;&gt;"",F643&lt;&gt;""),E643*F643,"")</f>
      </c>
    </row>
    <row r="644" ht="16.5" customHeight="1" s="71">
      <c r="A644" s="14" t="n"/>
      <c r="B644" s="170" t="n"/>
      <c r="C644" s="35" t="n"/>
      <c r="D644" s="35" t="n"/>
      <c r="E644" s="35" t="n"/>
      <c r="G644" s="176">
        <f>IF(AND(E644&lt;&gt;"",F644&lt;&gt;""),E644*F644,"")</f>
      </c>
    </row>
    <row r="645" ht="16.5" customHeight="1" s="71">
      <c r="A645" s="14" t="n"/>
      <c r="B645" s="170" t="n"/>
      <c r="C645" s="35" t="n"/>
      <c r="D645" s="35" t="n"/>
      <c r="E645" s="35" t="n"/>
      <c r="G645" s="176">
        <f>IF(AND(E645&lt;&gt;"",F645&lt;&gt;""),E645*F645,"")</f>
      </c>
    </row>
    <row r="646" ht="16.5" customHeight="1" s="71">
      <c r="A646" s="14" t="n"/>
      <c r="B646" s="170" t="n"/>
      <c r="C646" s="35" t="n"/>
      <c r="D646" s="35" t="n"/>
      <c r="E646" s="35" t="n"/>
      <c r="G646" s="176">
        <f>IF(AND(E646&lt;&gt;"",F646&lt;&gt;""),E646*F646,"")</f>
      </c>
    </row>
    <row r="647" ht="16.5" customHeight="1" s="71">
      <c r="A647" s="14" t="n"/>
      <c r="B647" s="170" t="n"/>
      <c r="C647" s="35" t="n"/>
      <c r="D647" s="35" t="n"/>
      <c r="E647" s="35" t="n"/>
      <c r="G647" s="176">
        <f>IF(AND(E647&lt;&gt;"",F647&lt;&gt;""),E647*F647,"")</f>
      </c>
    </row>
    <row r="648" ht="16.5" customHeight="1" s="71">
      <c r="A648" s="14" t="n"/>
      <c r="B648" s="170" t="n"/>
      <c r="C648" s="35" t="n"/>
      <c r="D648" s="35" t="n"/>
      <c r="E648" s="35" t="n"/>
      <c r="G648" s="176">
        <f>IF(AND(E648&lt;&gt;"",F648&lt;&gt;""),E648*F648,"")</f>
      </c>
    </row>
    <row r="649" ht="16.5" customHeight="1" s="71">
      <c r="A649" s="14" t="n"/>
      <c r="B649" s="170" t="n"/>
      <c r="C649" s="35" t="n"/>
      <c r="D649" s="35" t="n"/>
      <c r="E649" s="35" t="n"/>
      <c r="G649" s="176">
        <f>IF(AND(E649&lt;&gt;"",F649&lt;&gt;""),E649*F649,"")</f>
      </c>
    </row>
    <row r="650" ht="16.5" customHeight="1" s="71">
      <c r="A650" s="14" t="n"/>
      <c r="B650" s="170" t="n"/>
      <c r="C650" s="35" t="n"/>
      <c r="D650" s="35" t="n"/>
      <c r="E650" s="35" t="n"/>
      <c r="G650" s="176">
        <f>IF(AND(E650&lt;&gt;"",F650&lt;&gt;""),E650*F650,"")</f>
      </c>
    </row>
    <row r="651" ht="16.5" customHeight="1" s="71">
      <c r="A651" s="14" t="n"/>
      <c r="B651" s="170" t="n"/>
      <c r="C651" s="35" t="n"/>
      <c r="D651" s="35" t="n"/>
      <c r="E651" s="35" t="n"/>
      <c r="G651" s="176">
        <f>IF(AND(E651&lt;&gt;"",F651&lt;&gt;""),E651*F651,"")</f>
      </c>
    </row>
    <row r="652" ht="16.5" customHeight="1" s="71">
      <c r="A652" s="14" t="n"/>
      <c r="B652" s="170" t="n"/>
      <c r="C652" s="35" t="n"/>
      <c r="D652" s="35" t="n"/>
      <c r="E652" s="35" t="n"/>
      <c r="G652" s="176">
        <f>IF(AND(E652&lt;&gt;"",F652&lt;&gt;""),E652*F652,"")</f>
      </c>
    </row>
    <row r="653" ht="16.5" customHeight="1" s="71">
      <c r="A653" s="14" t="n"/>
      <c r="B653" s="170" t="n"/>
      <c r="C653" s="35" t="n"/>
      <c r="D653" s="35" t="n"/>
      <c r="E653" s="35" t="n"/>
      <c r="G653" s="176">
        <f>IF(AND(E653&lt;&gt;"",F653&lt;&gt;""),E653*F653,"")</f>
      </c>
    </row>
    <row r="654" ht="16.5" customHeight="1" s="71">
      <c r="A654" s="14" t="n"/>
      <c r="B654" s="170" t="n"/>
      <c r="C654" s="35" t="n"/>
      <c r="D654" s="35" t="n"/>
      <c r="E654" s="35" t="n"/>
      <c r="G654" s="176">
        <f>IF(AND(E654&lt;&gt;"",F654&lt;&gt;""),E654*F654,"")</f>
      </c>
    </row>
    <row r="655" ht="16.5" customHeight="1" s="71">
      <c r="A655" s="14" t="n"/>
      <c r="B655" s="170" t="n"/>
      <c r="C655" s="35" t="n"/>
      <c r="D655" s="35" t="n"/>
      <c r="E655" s="35" t="n"/>
      <c r="G655" s="176">
        <f>IF(AND(E655&lt;&gt;"",F655&lt;&gt;""),E655*F655,"")</f>
      </c>
    </row>
    <row r="656" ht="16.5" customHeight="1" s="71">
      <c r="A656" s="14" t="n"/>
      <c r="B656" s="170" t="n"/>
      <c r="C656" s="35" t="n"/>
      <c r="D656" s="35" t="n"/>
      <c r="E656" s="35" t="n"/>
      <c r="G656" s="176">
        <f>IF(AND(E656&lt;&gt;"",F656&lt;&gt;""),E656*F656,"")</f>
      </c>
    </row>
    <row r="657" ht="16.5" customHeight="1" s="71">
      <c r="A657" s="14" t="n"/>
      <c r="B657" s="170" t="n"/>
      <c r="C657" s="35" t="n"/>
      <c r="D657" s="35" t="n"/>
      <c r="E657" s="35" t="n"/>
      <c r="G657" s="176">
        <f>IF(AND(E657&lt;&gt;"",F657&lt;&gt;""),E657*F657,"")</f>
      </c>
    </row>
    <row r="658" ht="16.5" customHeight="1" s="71">
      <c r="A658" s="14" t="n"/>
      <c r="B658" s="170" t="n"/>
      <c r="C658" s="35" t="n"/>
      <c r="D658" s="35" t="n"/>
      <c r="E658" s="35" t="n"/>
      <c r="G658" s="176">
        <f>IF(AND(E658&lt;&gt;"",F658&lt;&gt;""),E658*F658,"")</f>
      </c>
    </row>
    <row r="659" ht="16.5" customHeight="1" s="71">
      <c r="A659" s="14" t="n"/>
      <c r="B659" s="170" t="n"/>
      <c r="C659" s="35" t="n"/>
      <c r="D659" s="35" t="n"/>
      <c r="E659" s="35" t="n"/>
      <c r="G659" s="176">
        <f>IF(AND(E659&lt;&gt;"",F659&lt;&gt;""),E659*F659,"")</f>
      </c>
    </row>
    <row r="660" ht="16.5" customHeight="1" s="71">
      <c r="A660" s="14" t="n"/>
      <c r="B660" s="170" t="n"/>
      <c r="C660" s="35" t="n"/>
      <c r="D660" s="35" t="n"/>
      <c r="E660" s="35" t="n"/>
      <c r="G660" s="176">
        <f>IF(AND(E660&lt;&gt;"",F660&lt;&gt;""),E660*F660,"")</f>
      </c>
    </row>
    <row r="661" ht="16.5" customHeight="1" s="71">
      <c r="A661" s="14" t="n"/>
      <c r="B661" s="170" t="n"/>
      <c r="C661" s="35" t="n"/>
      <c r="D661" s="35" t="n"/>
      <c r="E661" s="35" t="n"/>
      <c r="G661" s="176">
        <f>IF(AND(E661&lt;&gt;"",F661&lt;&gt;""),E661*F661,"")</f>
      </c>
    </row>
    <row r="662" ht="16.5" customHeight="1" s="71">
      <c r="A662" s="14" t="n"/>
      <c r="B662" s="170" t="n"/>
      <c r="C662" s="35" t="n"/>
      <c r="D662" s="35" t="n"/>
      <c r="E662" s="35" t="n"/>
      <c r="G662" s="176">
        <f>IF(AND(E662&lt;&gt;"",F662&lt;&gt;""),E662*F662,"")</f>
      </c>
    </row>
    <row r="663" ht="16.5" customHeight="1" s="71">
      <c r="A663" s="14" t="n"/>
      <c r="B663" s="170" t="n"/>
      <c r="C663" s="35" t="n"/>
      <c r="D663" s="35" t="n"/>
      <c r="E663" s="35" t="n"/>
      <c r="G663" s="176">
        <f>IF(AND(E663&lt;&gt;"",F663&lt;&gt;""),E663*F663,"")</f>
      </c>
    </row>
    <row r="664" ht="16.5" customHeight="1" s="71">
      <c r="A664" s="14" t="n"/>
      <c r="B664" s="170" t="n"/>
      <c r="C664" s="35" t="n"/>
      <c r="D664" s="35" t="n"/>
      <c r="E664" s="35" t="n"/>
      <c r="G664" s="176">
        <f>IF(AND(E664&lt;&gt;"",F664&lt;&gt;""),E664*F664,"")</f>
      </c>
    </row>
    <row r="665" ht="16.5" customHeight="1" s="71">
      <c r="A665" s="14" t="n"/>
      <c r="B665" s="170" t="n"/>
      <c r="C665" s="35" t="n"/>
      <c r="D665" s="35" t="n"/>
      <c r="E665" s="35" t="n"/>
      <c r="G665" s="176">
        <f>IF(AND(E665&lt;&gt;"",F665&lt;&gt;""),E665*F665,"")</f>
      </c>
    </row>
    <row r="666" ht="16.5" customHeight="1" s="71">
      <c r="A666" s="14" t="n"/>
      <c r="B666" s="170" t="n"/>
      <c r="C666" s="35" t="n"/>
      <c r="D666" s="35" t="n"/>
      <c r="E666" s="35" t="n"/>
      <c r="G666" s="176">
        <f>IF(AND(E666&lt;&gt;"",F666&lt;&gt;""),E666*F666,"")</f>
      </c>
    </row>
    <row r="667" ht="16.5" customHeight="1" s="71">
      <c r="A667" s="14" t="n"/>
      <c r="B667" s="170" t="n"/>
      <c r="C667" s="35" t="n"/>
      <c r="D667" s="35" t="n"/>
      <c r="E667" s="35" t="n"/>
      <c r="G667" s="176">
        <f>IF(AND(E667&lt;&gt;"",F667&lt;&gt;""),E667*F667,"")</f>
      </c>
    </row>
    <row r="668" ht="16.5" customHeight="1" s="71">
      <c r="A668" s="14" t="n"/>
      <c r="B668" s="170" t="n"/>
      <c r="C668" s="35" t="n"/>
      <c r="D668" s="35" t="n"/>
      <c r="E668" s="35" t="n"/>
      <c r="G668" s="176">
        <f>IF(AND(E668&lt;&gt;"",F668&lt;&gt;""),E668*F668,"")</f>
      </c>
    </row>
    <row r="669" ht="16.5" customHeight="1" s="71">
      <c r="A669" s="14" t="n"/>
      <c r="B669" s="170" t="n"/>
      <c r="C669" s="35" t="n"/>
      <c r="D669" s="35" t="n"/>
      <c r="E669" s="35" t="n"/>
      <c r="G669" s="176">
        <f>IF(AND(E669&lt;&gt;"",F669&lt;&gt;""),E669*F669,"")</f>
      </c>
    </row>
    <row r="670" ht="16.5" customHeight="1" s="71">
      <c r="A670" s="14" t="n"/>
      <c r="B670" s="170" t="n"/>
      <c r="C670" s="35" t="n"/>
      <c r="D670" s="35" t="n"/>
      <c r="E670" s="35" t="n"/>
      <c r="G670" s="176">
        <f>IF(AND(E670&lt;&gt;"",F670&lt;&gt;""),E670*F670,"")</f>
      </c>
    </row>
    <row r="671" ht="16.5" customHeight="1" s="71">
      <c r="A671" s="14" t="n"/>
      <c r="B671" s="170" t="n"/>
      <c r="C671" s="35" t="n"/>
      <c r="D671" s="35" t="n"/>
      <c r="E671" s="35" t="n"/>
      <c r="G671" s="176">
        <f>IF(AND(E671&lt;&gt;"",F671&lt;&gt;""),E671*F671,"")</f>
      </c>
    </row>
    <row r="672" ht="16.5" customHeight="1" s="71">
      <c r="A672" s="14" t="n"/>
      <c r="B672" s="170" t="n"/>
      <c r="C672" s="35" t="n"/>
      <c r="D672" s="35" t="n"/>
      <c r="E672" s="35" t="n"/>
      <c r="G672" s="176">
        <f>IF(AND(E672&lt;&gt;"",F672&lt;&gt;""),E672*F672,"")</f>
      </c>
    </row>
    <row r="673" ht="16.5" customHeight="1" s="71">
      <c r="A673" s="14" t="n"/>
      <c r="B673" s="170" t="n"/>
      <c r="C673" s="35" t="n"/>
      <c r="D673" s="35" t="n"/>
      <c r="E673" s="35" t="n"/>
      <c r="G673" s="176">
        <f>IF(AND(E673&lt;&gt;"",F673&lt;&gt;""),E673*F673,"")</f>
      </c>
    </row>
    <row r="674" ht="16.5" customHeight="1" s="71">
      <c r="A674" s="14" t="n"/>
      <c r="B674" s="170" t="n"/>
      <c r="C674" s="35" t="n"/>
      <c r="D674" s="35" t="n"/>
      <c r="E674" s="35" t="n"/>
      <c r="G674" s="176">
        <f>IF(AND(E674&lt;&gt;"",F674&lt;&gt;""),E674*F674,"")</f>
      </c>
    </row>
    <row r="675" ht="16.5" customHeight="1" s="71">
      <c r="A675" s="14" t="n"/>
      <c r="B675" s="170" t="n"/>
      <c r="C675" s="35" t="n"/>
      <c r="D675" s="35" t="n"/>
      <c r="E675" s="35" t="n"/>
      <c r="G675" s="176">
        <f>IF(AND(E675&lt;&gt;"",F675&lt;&gt;""),E675*F675,"")</f>
      </c>
    </row>
    <row r="676" ht="16.5" customHeight="1" s="71">
      <c r="A676" s="14" t="n"/>
      <c r="B676" s="170" t="n"/>
      <c r="C676" s="35" t="n"/>
      <c r="D676" s="35" t="n"/>
      <c r="E676" s="35" t="n"/>
      <c r="G676" s="176">
        <f>IF(AND(E676&lt;&gt;"",F676&lt;&gt;""),E676*F676,"")</f>
      </c>
    </row>
    <row r="677" ht="16.5" customHeight="1" s="71">
      <c r="A677" s="14" t="n"/>
      <c r="B677" s="170" t="n"/>
      <c r="C677" s="35" t="n"/>
      <c r="D677" s="35" t="n"/>
      <c r="E677" s="35" t="n"/>
      <c r="G677" s="176">
        <f>IF(AND(E677&lt;&gt;"",F677&lt;&gt;""),E677*F677,"")</f>
      </c>
    </row>
    <row r="678" ht="16.5" customHeight="1" s="71">
      <c r="A678" s="14" t="n"/>
      <c r="B678" s="170" t="n"/>
      <c r="C678" s="35" t="n"/>
      <c r="D678" s="35" t="n"/>
      <c r="E678" s="35" t="n"/>
      <c r="G678" s="176">
        <f>IF(AND(E678&lt;&gt;"",F678&lt;&gt;""),E678*F678,"")</f>
      </c>
    </row>
    <row r="679" ht="16.5" customHeight="1" s="71">
      <c r="A679" s="14" t="n"/>
      <c r="B679" s="170" t="n"/>
      <c r="C679" s="35" t="n"/>
      <c r="D679" s="35" t="n"/>
      <c r="E679" s="35" t="n"/>
      <c r="G679" s="176">
        <f>IF(AND(E679&lt;&gt;"",F679&lt;&gt;""),E679*F679,"")</f>
      </c>
    </row>
    <row r="680" ht="16.5" customHeight="1" s="71">
      <c r="A680" s="14" t="n"/>
      <c r="B680" s="170" t="n"/>
      <c r="C680" s="35" t="n"/>
      <c r="D680" s="35" t="n"/>
      <c r="E680" s="35" t="n"/>
      <c r="G680" s="176">
        <f>IF(AND(E680&lt;&gt;"",F680&lt;&gt;""),E680*F680,"")</f>
      </c>
    </row>
    <row r="681" ht="16.5" customHeight="1" s="71">
      <c r="A681" s="14" t="n"/>
      <c r="B681" s="170" t="n"/>
      <c r="C681" s="35" t="n"/>
      <c r="D681" s="35" t="n"/>
      <c r="E681" s="35" t="n"/>
      <c r="G681" s="176">
        <f>IF(AND(E681&lt;&gt;"",F681&lt;&gt;""),E681*F681,"")</f>
      </c>
    </row>
    <row r="682" ht="16.5" customHeight="1" s="71">
      <c r="A682" s="14" t="n"/>
      <c r="B682" s="170" t="n"/>
      <c r="C682" s="35" t="n"/>
      <c r="D682" s="35" t="n"/>
      <c r="E682" s="35" t="n"/>
      <c r="G682" s="176">
        <f>IF(AND(E682&lt;&gt;"",F682&lt;&gt;""),E682*F682,"")</f>
      </c>
    </row>
    <row r="683" ht="16.5" customHeight="1" s="71">
      <c r="A683" s="14" t="n"/>
      <c r="B683" s="170" t="n"/>
      <c r="C683" s="35" t="n"/>
      <c r="D683" s="35" t="n"/>
      <c r="E683" s="35" t="n"/>
      <c r="G683" s="176">
        <f>IF(AND(E683&lt;&gt;"",F683&lt;&gt;""),E683*F683,"")</f>
      </c>
    </row>
    <row r="684" ht="16.5" customHeight="1" s="71">
      <c r="A684" s="14" t="n"/>
      <c r="B684" s="170" t="n"/>
      <c r="C684" s="35" t="n"/>
      <c r="D684" s="35" t="n"/>
      <c r="E684" s="35" t="n"/>
      <c r="G684" s="176">
        <f>IF(AND(E684&lt;&gt;"",F684&lt;&gt;""),E684*F684,"")</f>
      </c>
    </row>
    <row r="685" ht="16.5" customHeight="1" s="71">
      <c r="A685" s="14" t="n"/>
      <c r="B685" s="170" t="n"/>
      <c r="C685" s="35" t="n"/>
      <c r="D685" s="35" t="n"/>
      <c r="E685" s="35" t="n"/>
      <c r="G685" s="176">
        <f>IF(AND(E685&lt;&gt;"",F685&lt;&gt;""),E685*F685,"")</f>
      </c>
    </row>
    <row r="686" ht="16.5" customHeight="1" s="71">
      <c r="A686" s="14" t="n"/>
      <c r="B686" s="170" t="n"/>
      <c r="C686" s="35" t="n"/>
      <c r="D686" s="35" t="n"/>
      <c r="E686" s="35" t="n"/>
      <c r="G686" s="176">
        <f>IF(AND(E686&lt;&gt;"",F686&lt;&gt;""),E686*F686,"")</f>
      </c>
    </row>
    <row r="687" ht="16.5" customHeight="1" s="71">
      <c r="A687" s="14" t="n"/>
      <c r="B687" s="170" t="n"/>
      <c r="C687" s="35" t="n"/>
      <c r="D687" s="35" t="n"/>
      <c r="E687" s="35" t="n"/>
      <c r="G687" s="176">
        <f>IF(AND(E687&lt;&gt;"",F687&lt;&gt;""),E687*F687,"")</f>
      </c>
    </row>
    <row r="688" ht="16.5" customHeight="1" s="71">
      <c r="A688" s="14" t="n"/>
      <c r="B688" s="170" t="n"/>
      <c r="C688" s="35" t="n"/>
      <c r="D688" s="35" t="n"/>
      <c r="E688" s="35" t="n"/>
      <c r="G688" s="176">
        <f>IF(AND(E688&lt;&gt;"",F688&lt;&gt;""),E688*F688,"")</f>
      </c>
    </row>
    <row r="689" ht="16.5" customHeight="1" s="71">
      <c r="A689" s="14" t="n"/>
      <c r="B689" s="170" t="n"/>
      <c r="C689" s="35" t="n"/>
      <c r="D689" s="35" t="n"/>
      <c r="E689" s="35" t="n"/>
      <c r="G689" s="176">
        <f>IF(AND(E689&lt;&gt;"",F689&lt;&gt;""),E689*F689,"")</f>
      </c>
    </row>
    <row r="690" ht="16.5" customHeight="1" s="71">
      <c r="A690" s="14" t="n"/>
      <c r="B690" s="170" t="n"/>
      <c r="C690" s="35" t="n"/>
      <c r="D690" s="35" t="n"/>
      <c r="E690" s="35" t="n"/>
      <c r="G690" s="176">
        <f>IF(AND(E690&lt;&gt;"",F690&lt;&gt;""),E690*F690,"")</f>
      </c>
    </row>
    <row r="691" ht="16.5" customHeight="1" s="71">
      <c r="A691" s="14" t="n"/>
      <c r="B691" s="170" t="n"/>
      <c r="C691" s="35" t="n"/>
      <c r="D691" s="35" t="n"/>
      <c r="E691" s="35" t="n"/>
      <c r="G691" s="176">
        <f>IF(AND(E691&lt;&gt;"",F691&lt;&gt;""),E691*F691,"")</f>
      </c>
    </row>
    <row r="692" ht="16.5" customHeight="1" s="71">
      <c r="A692" s="14" t="n"/>
      <c r="B692" s="170" t="n"/>
      <c r="C692" s="35" t="n"/>
      <c r="D692" s="35" t="n"/>
      <c r="E692" s="35" t="n"/>
      <c r="G692" s="176">
        <f>IF(AND(E692&lt;&gt;"",F692&lt;&gt;""),E692*F692,"")</f>
      </c>
    </row>
    <row r="693" ht="16.5" customHeight="1" s="71">
      <c r="A693" s="14" t="n"/>
      <c r="B693" s="170" t="n"/>
      <c r="C693" s="35" t="n"/>
      <c r="D693" s="35" t="n"/>
      <c r="E693" s="35" t="n"/>
      <c r="G693" s="176">
        <f>IF(AND(E693&lt;&gt;"",F693&lt;&gt;""),E693*F693,"")</f>
      </c>
    </row>
    <row r="694" ht="16.5" customHeight="1" s="71">
      <c r="A694" s="14" t="n"/>
      <c r="B694" s="170" t="n"/>
      <c r="C694" s="35" t="n"/>
      <c r="D694" s="35" t="n"/>
      <c r="E694" s="35" t="n"/>
      <c r="G694" s="176">
        <f>IF(AND(E694&lt;&gt;"",F694&lt;&gt;""),E694*F694,"")</f>
      </c>
    </row>
    <row r="695" ht="16.5" customHeight="1" s="71">
      <c r="A695" s="14" t="n"/>
      <c r="B695" s="170" t="n"/>
      <c r="C695" s="35" t="n"/>
      <c r="D695" s="35" t="n"/>
      <c r="E695" s="35" t="n"/>
      <c r="G695" s="176">
        <f>IF(AND(E695&lt;&gt;"",F695&lt;&gt;""),E695*F695,"")</f>
      </c>
    </row>
    <row r="696" ht="16.5" customHeight="1" s="71">
      <c r="A696" s="14" t="n"/>
      <c r="B696" s="170" t="n"/>
      <c r="C696" s="35" t="n"/>
      <c r="D696" s="35" t="n"/>
      <c r="E696" s="35" t="n"/>
      <c r="G696" s="176">
        <f>IF(AND(E696&lt;&gt;"",F696&lt;&gt;""),E696*F696,"")</f>
      </c>
    </row>
    <row r="697" ht="16.5" customHeight="1" s="71">
      <c r="A697" s="14" t="n"/>
      <c r="B697" s="170" t="n"/>
      <c r="C697" s="35" t="n"/>
      <c r="D697" s="35" t="n"/>
      <c r="E697" s="35" t="n"/>
      <c r="G697" s="176">
        <f>IF(AND(E697&lt;&gt;"",F697&lt;&gt;""),E697*F697,"")</f>
      </c>
    </row>
    <row r="698" ht="16.5" customHeight="1" s="71">
      <c r="A698" s="14" t="n"/>
      <c r="B698" s="170" t="n"/>
      <c r="C698" s="35" t="n"/>
      <c r="D698" s="35" t="n"/>
      <c r="E698" s="35" t="n"/>
      <c r="G698" s="176">
        <f>IF(AND(E698&lt;&gt;"",F698&lt;&gt;""),E698*F698,"")</f>
      </c>
    </row>
    <row r="699" ht="16.5" customHeight="1" s="71">
      <c r="A699" s="14" t="n"/>
      <c r="B699" s="170" t="n"/>
      <c r="C699" s="35" t="n"/>
      <c r="D699" s="35" t="n"/>
      <c r="E699" s="35" t="n"/>
      <c r="G699" s="176">
        <f>IF(AND(E699&lt;&gt;"",F699&lt;&gt;""),E699*F699,"")</f>
      </c>
    </row>
    <row r="700" ht="16.5" customHeight="1" s="71">
      <c r="A700" s="14" t="n"/>
      <c r="B700" s="170" t="n"/>
      <c r="C700" s="35" t="n"/>
      <c r="D700" s="35" t="n"/>
      <c r="E700" s="35" t="n"/>
      <c r="G700" s="176">
        <f>IF(AND(E700&lt;&gt;"",F700&lt;&gt;""),E700*F700,"")</f>
      </c>
    </row>
    <row r="701" ht="16.5" customHeight="1" s="71">
      <c r="A701" s="14" t="n"/>
      <c r="B701" s="170" t="n"/>
      <c r="C701" s="35" t="n"/>
      <c r="D701" s="35" t="n"/>
      <c r="E701" s="35" t="n"/>
      <c r="G701" s="176">
        <f>IF(AND(E701&lt;&gt;"",F701&lt;&gt;""),E701*F701,"")</f>
      </c>
    </row>
    <row r="702" ht="16.5" customHeight="1" s="71">
      <c r="A702" s="14" t="n"/>
      <c r="B702" s="170" t="n"/>
      <c r="C702" s="35" t="n"/>
      <c r="D702" s="35" t="n"/>
      <c r="E702" s="35" t="n"/>
      <c r="G702" s="176">
        <f>IF(AND(E702&lt;&gt;"",F702&lt;&gt;""),E702*F702,"")</f>
      </c>
    </row>
    <row r="703" ht="16.5" customHeight="1" s="71">
      <c r="A703" s="14" t="n"/>
      <c r="B703" s="170" t="n"/>
      <c r="C703" s="35" t="n"/>
      <c r="D703" s="35" t="n"/>
      <c r="E703" s="35" t="n"/>
      <c r="G703" s="176">
        <f>IF(AND(E703&lt;&gt;"",F703&lt;&gt;""),E703*F703,"")</f>
      </c>
    </row>
    <row r="704" ht="16.5" customHeight="1" s="71">
      <c r="A704" s="14" t="n"/>
      <c r="B704" s="170" t="n"/>
      <c r="C704" s="35" t="n"/>
      <c r="D704" s="35" t="n"/>
      <c r="E704" s="35" t="n"/>
      <c r="G704" s="176">
        <f>IF(AND(E704&lt;&gt;"",F704&lt;&gt;""),E704*F704,"")</f>
      </c>
    </row>
    <row r="705" ht="16.5" customHeight="1" s="71">
      <c r="A705" s="14" t="n"/>
      <c r="B705" s="170" t="n"/>
      <c r="C705" s="35" t="n"/>
      <c r="D705" s="35" t="n"/>
      <c r="E705" s="35" t="n"/>
      <c r="G705" s="176">
        <f>IF(AND(E705&lt;&gt;"",F705&lt;&gt;""),E705*F705,"")</f>
      </c>
    </row>
    <row r="706" ht="16.5" customHeight="1" s="71">
      <c r="A706" s="14" t="n"/>
      <c r="B706" s="170" t="n"/>
      <c r="C706" s="35" t="n"/>
      <c r="D706" s="35" t="n"/>
      <c r="E706" s="35" t="n"/>
      <c r="G706" s="176">
        <f>IF(AND(E706&lt;&gt;"",F706&lt;&gt;""),E706*F706,"")</f>
      </c>
    </row>
    <row r="707" ht="16.5" customHeight="1" s="71">
      <c r="A707" s="14" t="n"/>
      <c r="B707" s="170" t="n"/>
      <c r="C707" s="35" t="n"/>
      <c r="D707" s="35" t="n"/>
      <c r="E707" s="35" t="n"/>
      <c r="G707" s="176">
        <f>IF(AND(E707&lt;&gt;"",F707&lt;&gt;""),E707*F707,"")</f>
      </c>
    </row>
    <row r="708" ht="16.5" customHeight="1" s="71">
      <c r="A708" s="14" t="n"/>
      <c r="B708" s="170" t="n"/>
      <c r="C708" s="35" t="n"/>
      <c r="D708" s="35" t="n"/>
      <c r="E708" s="35" t="n"/>
      <c r="G708" s="176">
        <f>IF(AND(E708&lt;&gt;"",F708&lt;&gt;""),E708*F708,"")</f>
      </c>
    </row>
    <row r="709" ht="16.5" customHeight="1" s="71">
      <c r="A709" s="14" t="n"/>
      <c r="B709" s="170" t="n"/>
      <c r="C709" s="35" t="n"/>
      <c r="D709" s="35" t="n"/>
      <c r="E709" s="35" t="n"/>
      <c r="G709" s="176">
        <f>IF(AND(E709&lt;&gt;"",F709&lt;&gt;""),E709*F709,"")</f>
      </c>
    </row>
    <row r="710" ht="16.5" customHeight="1" s="71">
      <c r="A710" s="14" t="n"/>
      <c r="B710" s="170" t="n"/>
      <c r="C710" s="35" t="n"/>
      <c r="D710" s="35" t="n"/>
      <c r="E710" s="35" t="n"/>
      <c r="G710" s="176">
        <f>IF(AND(E710&lt;&gt;"",F710&lt;&gt;""),E710*F710,"")</f>
      </c>
    </row>
    <row r="711" ht="16.5" customHeight="1" s="71">
      <c r="A711" s="14" t="n"/>
      <c r="B711" s="170" t="n"/>
      <c r="C711" s="35" t="n"/>
      <c r="D711" s="35" t="n"/>
      <c r="E711" s="35" t="n"/>
      <c r="G711" s="176">
        <f>IF(AND(E711&lt;&gt;"",F711&lt;&gt;""),E711*F711,"")</f>
      </c>
    </row>
    <row r="712" ht="16.5" customHeight="1" s="71">
      <c r="A712" s="14" t="n"/>
      <c r="B712" s="170" t="n"/>
      <c r="C712" s="35" t="n"/>
      <c r="D712" s="35" t="n"/>
      <c r="E712" s="35" t="n"/>
      <c r="G712" s="176">
        <f>IF(AND(E712&lt;&gt;"",F712&lt;&gt;""),E712*F712,"")</f>
      </c>
    </row>
    <row r="713" ht="16.5" customHeight="1" s="71">
      <c r="A713" s="14" t="n"/>
      <c r="B713" s="170" t="n"/>
      <c r="C713" s="35" t="n"/>
      <c r="D713" s="35" t="n"/>
      <c r="E713" s="35" t="n"/>
      <c r="G713" s="176">
        <f>IF(AND(E713&lt;&gt;"",F713&lt;&gt;""),E713*F713,"")</f>
      </c>
    </row>
    <row r="714" ht="16.5" customHeight="1" s="71">
      <c r="A714" s="14" t="n"/>
      <c r="B714" s="170" t="n"/>
      <c r="C714" s="35" t="n"/>
      <c r="D714" s="35" t="n"/>
      <c r="E714" s="35" t="n"/>
      <c r="G714" s="176">
        <f>IF(AND(E714&lt;&gt;"",F714&lt;&gt;""),E714*F714,"")</f>
      </c>
    </row>
    <row r="715" ht="16.5" customHeight="1" s="71">
      <c r="A715" s="14" t="n"/>
      <c r="B715" s="170" t="n"/>
      <c r="C715" s="35" t="n"/>
      <c r="D715" s="35" t="n"/>
      <c r="E715" s="35" t="n"/>
      <c r="G715" s="176">
        <f>IF(AND(E715&lt;&gt;"",F715&lt;&gt;""),E715*F715,"")</f>
      </c>
    </row>
    <row r="716" ht="16.5" customHeight="1" s="71">
      <c r="A716" s="14" t="n"/>
      <c r="B716" s="170" t="n"/>
      <c r="C716" s="35" t="n"/>
      <c r="D716" s="35" t="n"/>
      <c r="E716" s="35" t="n"/>
      <c r="G716" s="176">
        <f>IF(AND(E716&lt;&gt;"",F716&lt;&gt;""),E716*F716,"")</f>
      </c>
    </row>
    <row r="717" ht="16.5" customHeight="1" s="71">
      <c r="A717" s="14" t="n"/>
      <c r="B717" s="170" t="n"/>
      <c r="C717" s="35" t="n"/>
      <c r="D717" s="35" t="n"/>
      <c r="E717" s="35" t="n"/>
      <c r="G717" s="176">
        <f>IF(AND(E717&lt;&gt;"",F717&lt;&gt;""),E717*F717,"")</f>
      </c>
    </row>
    <row r="718" ht="16.5" customHeight="1" s="71">
      <c r="A718" s="14" t="n"/>
      <c r="B718" s="170" t="n"/>
      <c r="C718" s="35" t="n"/>
      <c r="D718" s="35" t="n"/>
      <c r="E718" s="35" t="n"/>
      <c r="G718" s="176">
        <f>IF(AND(E718&lt;&gt;"",F718&lt;&gt;""),E718*F718,"")</f>
      </c>
    </row>
    <row r="719" ht="16.5" customHeight="1" s="71">
      <c r="A719" s="14" t="n"/>
      <c r="B719" s="170" t="n"/>
      <c r="C719" s="35" t="n"/>
      <c r="D719" s="35" t="n"/>
      <c r="E719" s="35" t="n"/>
      <c r="G719" s="176">
        <f>IF(AND(E719&lt;&gt;"",F719&lt;&gt;""),E719*F719,"")</f>
      </c>
    </row>
    <row r="720" ht="16.5" customHeight="1" s="71">
      <c r="A720" s="14" t="n"/>
      <c r="B720" s="170" t="n"/>
      <c r="C720" s="35" t="n"/>
      <c r="D720" s="35" t="n"/>
      <c r="E720" s="35" t="n"/>
      <c r="G720" s="176">
        <f>IF(AND(E720&lt;&gt;"",F720&lt;&gt;""),E720*F720,"")</f>
      </c>
    </row>
    <row r="721" ht="16.5" customHeight="1" s="71">
      <c r="A721" s="14" t="n"/>
      <c r="B721" s="170" t="n"/>
      <c r="C721" s="35" t="n"/>
      <c r="D721" s="35" t="n"/>
      <c r="E721" s="35" t="n"/>
      <c r="G721" s="176">
        <f>IF(AND(E721&lt;&gt;"",F721&lt;&gt;""),E721*F721,"")</f>
      </c>
    </row>
    <row r="722" ht="16.5" customHeight="1" s="71">
      <c r="A722" s="14" t="n"/>
      <c r="B722" s="170" t="n"/>
      <c r="C722" s="35" t="n"/>
      <c r="D722" s="35" t="n"/>
      <c r="E722" s="35" t="n"/>
      <c r="G722" s="176">
        <f>IF(AND(E722&lt;&gt;"",F722&lt;&gt;""),E722*F722,"")</f>
      </c>
    </row>
    <row r="723" ht="16.5" customHeight="1" s="71">
      <c r="A723" s="14" t="n"/>
      <c r="B723" s="170" t="n"/>
      <c r="C723" s="35" t="n"/>
      <c r="D723" s="35" t="n"/>
      <c r="E723" s="35" t="n"/>
      <c r="G723" s="176">
        <f>IF(AND(E723&lt;&gt;"",F723&lt;&gt;""),E723*F723,"")</f>
      </c>
    </row>
    <row r="724" ht="16.5" customHeight="1" s="71">
      <c r="A724" s="14" t="n"/>
      <c r="B724" s="170" t="n"/>
      <c r="C724" s="35" t="n"/>
      <c r="D724" s="35" t="n"/>
      <c r="E724" s="35" t="n"/>
      <c r="G724" s="176">
        <f>IF(AND(E724&lt;&gt;"",F724&lt;&gt;""),E724*F724,"")</f>
      </c>
    </row>
    <row r="725" ht="16.5" customHeight="1" s="71">
      <c r="A725" s="14" t="n"/>
      <c r="B725" s="170" t="n"/>
      <c r="C725" s="35" t="n"/>
      <c r="D725" s="35" t="n"/>
      <c r="E725" s="35" t="n"/>
      <c r="G725" s="176">
        <f>IF(AND(E725&lt;&gt;"",F725&lt;&gt;""),E725*F725,"")</f>
      </c>
    </row>
    <row r="726" ht="16.5" customHeight="1" s="71">
      <c r="A726" s="14" t="n"/>
      <c r="B726" s="170" t="n"/>
      <c r="C726" s="35" t="n"/>
      <c r="D726" s="35" t="n"/>
      <c r="E726" s="35" t="n"/>
      <c r="G726" s="176">
        <f>IF(AND(E726&lt;&gt;"",F726&lt;&gt;""),E726*F726,"")</f>
      </c>
    </row>
    <row r="727" ht="16.5" customHeight="1" s="71">
      <c r="A727" s="14" t="n"/>
      <c r="B727" s="170" t="n"/>
      <c r="C727" s="35" t="n"/>
      <c r="D727" s="35" t="n"/>
      <c r="E727" s="35" t="n"/>
      <c r="G727" s="176">
        <f>IF(AND(E727&lt;&gt;"",F727&lt;&gt;""),E727*F727,"")</f>
      </c>
    </row>
    <row r="728" ht="16.5" customHeight="1" s="71">
      <c r="A728" s="14" t="n"/>
      <c r="B728" s="170" t="n"/>
      <c r="C728" s="35" t="n"/>
      <c r="D728" s="35" t="n"/>
      <c r="E728" s="35" t="n"/>
      <c r="G728" s="176">
        <f>IF(AND(E728&lt;&gt;"",F728&lt;&gt;""),E728*F728,"")</f>
      </c>
    </row>
    <row r="729" ht="16.5" customHeight="1" s="71">
      <c r="A729" s="14" t="n"/>
      <c r="B729" s="170" t="n"/>
      <c r="C729" s="35" t="n"/>
      <c r="D729" s="35" t="n"/>
      <c r="E729" s="35" t="n"/>
      <c r="G729" s="176">
        <f>IF(AND(E729&lt;&gt;"",F729&lt;&gt;""),E729*F729,"")</f>
      </c>
    </row>
    <row r="730" ht="16.5" customHeight="1" s="71">
      <c r="A730" s="14" t="n"/>
      <c r="B730" s="170" t="n"/>
      <c r="C730" s="35" t="n"/>
      <c r="D730" s="35" t="n"/>
      <c r="E730" s="35" t="n"/>
      <c r="G730" s="176">
        <f>IF(AND(E730&lt;&gt;"",F730&lt;&gt;""),E730*F730,"")</f>
      </c>
    </row>
    <row r="731" ht="16.5" customHeight="1" s="71">
      <c r="A731" s="14" t="n"/>
      <c r="B731" s="170" t="n"/>
      <c r="C731" s="35" t="n"/>
      <c r="D731" s="35" t="n"/>
      <c r="E731" s="35" t="n"/>
      <c r="G731" s="176">
        <f>IF(AND(E731&lt;&gt;"",F731&lt;&gt;""),E731*F731,"")</f>
      </c>
    </row>
    <row r="732" ht="16.5" customHeight="1" s="71">
      <c r="A732" s="14" t="n"/>
      <c r="B732" s="170" t="n"/>
      <c r="C732" s="35" t="n"/>
      <c r="D732" s="35" t="n"/>
      <c r="E732" s="35" t="n"/>
      <c r="G732" s="176">
        <f>IF(AND(E732&lt;&gt;"",F732&lt;&gt;""),E732*F732,"")</f>
      </c>
    </row>
    <row r="733" ht="16.5" customHeight="1" s="71">
      <c r="A733" s="14" t="n"/>
      <c r="B733" s="170" t="n"/>
      <c r="C733" s="35" t="n"/>
      <c r="D733" s="35" t="n"/>
      <c r="E733" s="35" t="n"/>
      <c r="G733" s="176">
        <f>IF(AND(E733&lt;&gt;"",F733&lt;&gt;""),E733*F733,"")</f>
      </c>
    </row>
    <row r="734" ht="16.5" customHeight="1" s="71">
      <c r="A734" s="14" t="n"/>
      <c r="B734" s="170" t="n"/>
      <c r="C734" s="35" t="n"/>
      <c r="D734" s="35" t="n"/>
      <c r="E734" s="35" t="n"/>
      <c r="G734" s="176">
        <f>IF(AND(E734&lt;&gt;"",F734&lt;&gt;""),E734*F734,"")</f>
      </c>
    </row>
    <row r="735" ht="16.5" customHeight="1" s="71">
      <c r="A735" s="14" t="n"/>
      <c r="B735" s="170" t="n"/>
      <c r="C735" s="35" t="n"/>
      <c r="D735" s="35" t="n"/>
      <c r="E735" s="35" t="n"/>
      <c r="G735" s="176">
        <f>IF(AND(E735&lt;&gt;"",F735&lt;&gt;""),E735*F735,"")</f>
      </c>
    </row>
    <row r="736" ht="16.5" customHeight="1" s="71">
      <c r="A736" s="14" t="n"/>
      <c r="B736" s="170" t="n"/>
      <c r="C736" s="35" t="n"/>
      <c r="D736" s="35" t="n"/>
      <c r="E736" s="35" t="n"/>
      <c r="G736" s="176">
        <f>IF(AND(E736&lt;&gt;"",F736&lt;&gt;""),E736*F736,"")</f>
      </c>
    </row>
    <row r="737" ht="16.5" customHeight="1" s="71">
      <c r="A737" s="14" t="n"/>
      <c r="B737" s="170" t="n"/>
      <c r="C737" s="35" t="n"/>
      <c r="D737" s="35" t="n"/>
      <c r="E737" s="35" t="n"/>
      <c r="G737" s="176">
        <f>IF(AND(E737&lt;&gt;"",F737&lt;&gt;""),E737*F737,"")</f>
      </c>
    </row>
    <row r="738" ht="16.5" customHeight="1" s="71">
      <c r="A738" s="14" t="n"/>
      <c r="B738" s="170" t="n"/>
      <c r="C738" s="35" t="n"/>
      <c r="D738" s="35" t="n"/>
      <c r="E738" s="35" t="n"/>
      <c r="G738" s="176">
        <f>IF(AND(E738&lt;&gt;"",F738&lt;&gt;""),E738*F738,"")</f>
      </c>
    </row>
    <row r="739" ht="16.5" customHeight="1" s="71">
      <c r="A739" s="14" t="n"/>
      <c r="B739" s="170" t="n"/>
      <c r="C739" s="35" t="n"/>
      <c r="D739" s="35" t="n"/>
      <c r="E739" s="35" t="n"/>
      <c r="G739" s="176">
        <f>IF(AND(E739&lt;&gt;"",F739&lt;&gt;""),E739*F739,"")</f>
      </c>
    </row>
    <row r="740" ht="16.5" customHeight="1" s="71">
      <c r="A740" s="14" t="n"/>
      <c r="B740" s="170" t="n"/>
      <c r="C740" s="35" t="n"/>
      <c r="D740" s="35" t="n"/>
      <c r="E740" s="35" t="n"/>
      <c r="G740" s="176">
        <f>IF(AND(E740&lt;&gt;"",F740&lt;&gt;""),E740*F740,"")</f>
      </c>
    </row>
    <row r="741" ht="16.5" customHeight="1" s="71">
      <c r="A741" s="14" t="n"/>
      <c r="B741" s="170" t="n"/>
      <c r="C741" s="35" t="n"/>
      <c r="D741" s="35" t="n"/>
      <c r="E741" s="35" t="n"/>
      <c r="G741" s="176">
        <f>IF(AND(E741&lt;&gt;"",F741&lt;&gt;""),E741*F741,"")</f>
      </c>
    </row>
    <row r="742" ht="16.5" customHeight="1" s="71">
      <c r="A742" s="14" t="n"/>
      <c r="B742" s="170" t="n"/>
      <c r="C742" s="35" t="n"/>
      <c r="D742" s="35" t="n"/>
      <c r="E742" s="35" t="n"/>
      <c r="G742" s="176">
        <f>IF(AND(E742&lt;&gt;"",F742&lt;&gt;""),E742*F742,"")</f>
      </c>
    </row>
    <row r="743" ht="16.5" customHeight="1" s="71">
      <c r="A743" s="14" t="n"/>
      <c r="B743" s="170" t="n"/>
      <c r="C743" s="35" t="n"/>
      <c r="D743" s="35" t="n"/>
      <c r="E743" s="35" t="n"/>
      <c r="G743" s="176">
        <f>IF(AND(E743&lt;&gt;"",F743&lt;&gt;""),E743*F743,"")</f>
      </c>
    </row>
    <row r="744" ht="16.5" customHeight="1" s="71">
      <c r="A744" s="14" t="n"/>
      <c r="B744" s="170" t="n"/>
      <c r="C744" s="35" t="n"/>
      <c r="D744" s="35" t="n"/>
      <c r="E744" s="35" t="n"/>
      <c r="G744" s="176">
        <f>IF(AND(E744&lt;&gt;"",F744&lt;&gt;""),E744*F744,"")</f>
      </c>
    </row>
    <row r="745" ht="16.5" customHeight="1" s="71">
      <c r="A745" s="14" t="n"/>
      <c r="B745" s="170" t="n"/>
      <c r="C745" s="35" t="n"/>
      <c r="D745" s="35" t="n"/>
      <c r="E745" s="35" t="n"/>
      <c r="G745" s="176">
        <f>IF(AND(E745&lt;&gt;"",F745&lt;&gt;""),E745*F745,"")</f>
      </c>
    </row>
    <row r="746" ht="16.5" customHeight="1" s="71">
      <c r="A746" s="14" t="n"/>
      <c r="B746" s="170" t="n"/>
      <c r="C746" s="35" t="n"/>
      <c r="D746" s="35" t="n"/>
      <c r="E746" s="35" t="n"/>
      <c r="G746" s="176">
        <f>IF(AND(E746&lt;&gt;"",F746&lt;&gt;""),E746*F746,"")</f>
      </c>
    </row>
    <row r="747" ht="16.5" customHeight="1" s="71">
      <c r="A747" s="14" t="n"/>
      <c r="B747" s="170" t="n"/>
      <c r="C747" s="35" t="n"/>
      <c r="D747" s="35" t="n"/>
      <c r="E747" s="35" t="n"/>
      <c r="G747" s="176">
        <f>IF(AND(E747&lt;&gt;"",F747&lt;&gt;""),E747*F747,"")</f>
      </c>
    </row>
    <row r="748" ht="16.5" customHeight="1" s="71">
      <c r="A748" s="14" t="n"/>
      <c r="B748" s="170" t="n"/>
      <c r="C748" s="35" t="n"/>
      <c r="D748" s="35" t="n"/>
      <c r="E748" s="35" t="n"/>
      <c r="G748" s="176">
        <f>IF(AND(E748&lt;&gt;"",F748&lt;&gt;""),E748*F748,"")</f>
      </c>
    </row>
    <row r="749" ht="16.5" customHeight="1" s="71">
      <c r="A749" s="14" t="n"/>
      <c r="B749" s="170" t="n"/>
      <c r="C749" s="35" t="n"/>
      <c r="D749" s="35" t="n"/>
      <c r="E749" s="35" t="n"/>
      <c r="G749" s="176">
        <f>IF(AND(E749&lt;&gt;"",F749&lt;&gt;""),E749*F749,"")</f>
      </c>
    </row>
    <row r="750" ht="16.5" customHeight="1" s="71">
      <c r="A750" s="14" t="n"/>
      <c r="B750" s="170" t="n"/>
      <c r="C750" s="35" t="n"/>
      <c r="D750" s="35" t="n"/>
      <c r="E750" s="35" t="n"/>
      <c r="G750" s="176">
        <f>IF(AND(E750&lt;&gt;"",F750&lt;&gt;""),E750*F750,"")</f>
      </c>
    </row>
    <row r="751" ht="16.5" customHeight="1" s="71">
      <c r="A751" s="14" t="n"/>
      <c r="B751" s="170" t="n"/>
      <c r="C751" s="35" t="n"/>
      <c r="D751" s="35" t="n"/>
      <c r="E751" s="35" t="n"/>
      <c r="G751" s="176">
        <f>IF(AND(E751&lt;&gt;"",F751&lt;&gt;""),E751*F751,"")</f>
      </c>
    </row>
    <row r="752" ht="16.5" customHeight="1" s="71">
      <c r="A752" s="14" t="n"/>
      <c r="B752" s="170" t="n"/>
      <c r="C752" s="35" t="n"/>
      <c r="D752" s="35" t="n"/>
      <c r="E752" s="35" t="n"/>
      <c r="G752" s="176">
        <f>IF(AND(E752&lt;&gt;"",F752&lt;&gt;""),E752*F752,"")</f>
      </c>
    </row>
    <row r="753" ht="16.5" customHeight="1" s="71">
      <c r="A753" s="14" t="n"/>
      <c r="B753" s="170" t="n"/>
      <c r="C753" s="35" t="n"/>
      <c r="D753" s="35" t="n"/>
      <c r="E753" s="35" t="n"/>
      <c r="G753" s="176">
        <f>IF(AND(E753&lt;&gt;"",F753&lt;&gt;""),E753*F753,"")</f>
      </c>
    </row>
    <row r="754" ht="16.5" customHeight="1" s="71">
      <c r="A754" s="14" t="n"/>
      <c r="B754" s="170" t="n"/>
      <c r="C754" s="35" t="n"/>
      <c r="D754" s="35" t="n"/>
      <c r="E754" s="35" t="n"/>
      <c r="G754" s="176">
        <f>IF(AND(E754&lt;&gt;"",F754&lt;&gt;""),E754*F754,"")</f>
      </c>
    </row>
    <row r="755" ht="16.5" customHeight="1" s="71">
      <c r="A755" s="14" t="n"/>
      <c r="B755" s="170" t="n"/>
      <c r="C755" s="35" t="n"/>
      <c r="D755" s="35" t="n"/>
      <c r="E755" s="35" t="n"/>
      <c r="G755" s="176">
        <f>IF(AND(E755&lt;&gt;"",F755&lt;&gt;""),E755*F755,"")</f>
      </c>
    </row>
    <row r="756" ht="16.5" customHeight="1" s="71">
      <c r="A756" s="14" t="n"/>
      <c r="B756" s="170" t="n"/>
      <c r="C756" s="35" t="n"/>
      <c r="D756" s="35" t="n"/>
      <c r="E756" s="35" t="n"/>
      <c r="G756" s="176">
        <f>IF(AND(E756&lt;&gt;"",F756&lt;&gt;""),E756*F756,"")</f>
      </c>
    </row>
    <row r="757" ht="16.5" customHeight="1" s="71">
      <c r="A757" s="14" t="n"/>
      <c r="B757" s="170" t="n"/>
      <c r="C757" s="35" t="n"/>
      <c r="D757" s="35" t="n"/>
      <c r="E757" s="35" t="n"/>
      <c r="G757" s="176">
        <f>IF(AND(E757&lt;&gt;"",F757&lt;&gt;""),E757*F757,"")</f>
      </c>
    </row>
    <row r="758" ht="16.5" customHeight="1" s="71">
      <c r="A758" s="14" t="n"/>
      <c r="B758" s="170" t="n"/>
      <c r="C758" s="35" t="n"/>
      <c r="D758" s="35" t="n"/>
      <c r="E758" s="35" t="n"/>
      <c r="G758" s="176">
        <f>IF(AND(E758&lt;&gt;"",F758&lt;&gt;""),E758*F758,"")</f>
      </c>
    </row>
    <row r="759" ht="16.5" customHeight="1" s="71">
      <c r="A759" s="14" t="n"/>
      <c r="B759" s="170" t="n"/>
      <c r="C759" s="35" t="n"/>
      <c r="D759" s="35" t="n"/>
      <c r="E759" s="35" t="n"/>
      <c r="G759" s="176">
        <f>IF(AND(E759&lt;&gt;"",F759&lt;&gt;""),E759*F759,"")</f>
      </c>
    </row>
    <row r="760" ht="16.5" customHeight="1" s="71">
      <c r="A760" s="14" t="n"/>
      <c r="B760" s="170" t="n"/>
      <c r="C760" s="35" t="n"/>
      <c r="D760" s="35" t="n"/>
      <c r="E760" s="35" t="n"/>
      <c r="G760" s="176">
        <f>IF(AND(E760&lt;&gt;"",F760&lt;&gt;""),E760*F760,"")</f>
      </c>
    </row>
    <row r="761" ht="16.5" customHeight="1" s="71">
      <c r="A761" s="14" t="n"/>
      <c r="B761" s="170" t="n"/>
      <c r="C761" s="35" t="n"/>
      <c r="D761" s="35" t="n"/>
      <c r="E761" s="35" t="n"/>
      <c r="G761" s="176">
        <f>IF(AND(E761&lt;&gt;"",F761&lt;&gt;""),E761*F761,"")</f>
      </c>
    </row>
    <row r="762" ht="16.5" customHeight="1" s="71">
      <c r="A762" s="14" t="n"/>
      <c r="B762" s="170" t="n"/>
      <c r="C762" s="35" t="n"/>
      <c r="D762" s="35" t="n"/>
      <c r="E762" s="35" t="n"/>
      <c r="G762" s="176">
        <f>IF(AND(E762&lt;&gt;"",F762&lt;&gt;""),E762*F762,"")</f>
      </c>
    </row>
    <row r="763" ht="16.5" customHeight="1" s="71">
      <c r="A763" s="14" t="n"/>
      <c r="B763" s="170" t="n"/>
      <c r="C763" s="35" t="n"/>
      <c r="D763" s="35" t="n"/>
      <c r="E763" s="35" t="n"/>
      <c r="G763" s="176">
        <f>IF(AND(E763&lt;&gt;"",F763&lt;&gt;""),E763*F763,"")</f>
      </c>
    </row>
    <row r="764" ht="16.5" customHeight="1" s="71">
      <c r="A764" s="14" t="n"/>
      <c r="B764" s="170" t="n"/>
      <c r="C764" s="35" t="n"/>
      <c r="D764" s="35" t="n"/>
      <c r="E764" s="35" t="n"/>
      <c r="G764" s="176">
        <f>IF(AND(E764&lt;&gt;"",F764&lt;&gt;""),E764*F764,"")</f>
      </c>
    </row>
    <row r="765" ht="16.5" customHeight="1" s="71">
      <c r="A765" s="14" t="n"/>
      <c r="B765" s="170" t="n"/>
      <c r="C765" s="35" t="n"/>
      <c r="D765" s="35" t="n"/>
      <c r="E765" s="35" t="n"/>
      <c r="G765" s="176">
        <f>IF(AND(E765&lt;&gt;"",F765&lt;&gt;""),E765*F765,"")</f>
      </c>
    </row>
    <row r="766" ht="16.5" customHeight="1" s="71">
      <c r="A766" s="14" t="n"/>
      <c r="B766" s="170" t="n"/>
      <c r="C766" s="35" t="n"/>
      <c r="D766" s="35" t="n"/>
      <c r="E766" s="35" t="n"/>
      <c r="G766" s="176">
        <f>IF(AND(E766&lt;&gt;"",F766&lt;&gt;""),E766*F766,"")</f>
      </c>
    </row>
    <row r="767" ht="16.5" customHeight="1" s="71">
      <c r="A767" s="14" t="n"/>
      <c r="B767" s="170" t="n"/>
      <c r="C767" s="35" t="n"/>
      <c r="D767" s="35" t="n"/>
      <c r="E767" s="35" t="n"/>
      <c r="G767" s="176">
        <f>IF(AND(E767&lt;&gt;"",F767&lt;&gt;""),E767*F767,"")</f>
      </c>
    </row>
    <row r="768" ht="16.5" customHeight="1" s="71">
      <c r="A768" s="14" t="n"/>
      <c r="B768" s="170" t="n"/>
      <c r="C768" s="35" t="n"/>
      <c r="D768" s="35" t="n"/>
      <c r="E768" s="35" t="n"/>
      <c r="G768" s="176">
        <f>IF(AND(E768&lt;&gt;"",F768&lt;&gt;""),E768*F768,"")</f>
      </c>
    </row>
    <row r="769" ht="16.5" customHeight="1" s="71">
      <c r="A769" s="14" t="n"/>
      <c r="B769" s="170" t="n"/>
      <c r="C769" s="35" t="n"/>
      <c r="D769" s="35" t="n"/>
      <c r="E769" s="35" t="n"/>
      <c r="G769" s="176">
        <f>IF(AND(E769&lt;&gt;"",F769&lt;&gt;""),E769*F769,"")</f>
      </c>
    </row>
    <row r="770" ht="16.5" customHeight="1" s="71">
      <c r="A770" s="14" t="n"/>
      <c r="B770" s="170" t="n"/>
      <c r="C770" s="35" t="n"/>
      <c r="D770" s="35" t="n"/>
      <c r="E770" s="35" t="n"/>
      <c r="G770" s="176">
        <f>IF(AND(E770&lt;&gt;"",F770&lt;&gt;""),E770*F770,"")</f>
      </c>
    </row>
    <row r="771" ht="16.5" customHeight="1" s="71">
      <c r="A771" s="14" t="n"/>
      <c r="B771" s="170" t="n"/>
      <c r="C771" s="35" t="n"/>
      <c r="D771" s="35" t="n"/>
      <c r="E771" s="35" t="n"/>
      <c r="G771" s="176">
        <f>IF(AND(E771&lt;&gt;"",F771&lt;&gt;""),E771*F771,"")</f>
      </c>
    </row>
    <row r="772" ht="16.5" customHeight="1" s="71">
      <c r="A772" s="14" t="n"/>
      <c r="B772" s="170" t="n"/>
      <c r="C772" s="35" t="n"/>
      <c r="D772" s="35" t="n"/>
      <c r="E772" s="35" t="n"/>
      <c r="G772" s="176">
        <f>IF(AND(E772&lt;&gt;"",F772&lt;&gt;""),E772*F772,"")</f>
      </c>
    </row>
    <row r="773" ht="16.5" customHeight="1" s="71">
      <c r="A773" s="14" t="n"/>
      <c r="B773" s="170" t="n"/>
      <c r="C773" s="35" t="n"/>
      <c r="D773" s="35" t="n"/>
      <c r="E773" s="35" t="n"/>
      <c r="G773" s="176">
        <f>IF(AND(E773&lt;&gt;"",F773&lt;&gt;""),E773*F773,"")</f>
      </c>
    </row>
    <row r="774" ht="16.5" customHeight="1" s="71">
      <c r="A774" s="14" t="n"/>
      <c r="B774" s="170" t="n"/>
      <c r="C774" s="35" t="n"/>
      <c r="D774" s="35" t="n"/>
      <c r="E774" s="35" t="n"/>
      <c r="G774" s="176">
        <f>IF(AND(E774&lt;&gt;"",F774&lt;&gt;""),E774*F774,"")</f>
      </c>
    </row>
    <row r="775" ht="16.5" customHeight="1" s="71">
      <c r="A775" s="14" t="n"/>
      <c r="B775" s="170" t="n"/>
      <c r="C775" s="35" t="n"/>
      <c r="D775" s="35" t="n"/>
      <c r="E775" s="35" t="n"/>
      <c r="G775" s="176">
        <f>IF(AND(E775&lt;&gt;"",F775&lt;&gt;""),E775*F775,"")</f>
      </c>
    </row>
    <row r="776" ht="16.5" customHeight="1" s="71">
      <c r="A776" s="14" t="n"/>
      <c r="B776" s="170" t="n"/>
      <c r="C776" s="35" t="n"/>
      <c r="D776" s="35" t="n"/>
      <c r="E776" s="35" t="n"/>
      <c r="G776" s="176">
        <f>IF(AND(E776&lt;&gt;"",F776&lt;&gt;""),E776*F776,"")</f>
      </c>
    </row>
    <row r="777" ht="16.5" customHeight="1" s="71">
      <c r="A777" s="14" t="n"/>
      <c r="B777" s="170" t="n"/>
      <c r="C777" s="35" t="n"/>
      <c r="D777" s="35" t="n"/>
      <c r="E777" s="35" t="n"/>
      <c r="G777" s="176">
        <f>IF(AND(E777&lt;&gt;"",F777&lt;&gt;""),E777*F777,"")</f>
      </c>
    </row>
    <row r="778" ht="16.5" customHeight="1" s="71">
      <c r="A778" s="14" t="n"/>
      <c r="B778" s="170" t="n"/>
      <c r="C778" s="35" t="n"/>
      <c r="D778" s="35" t="n"/>
      <c r="E778" s="35" t="n"/>
      <c r="G778" s="176">
        <f>IF(AND(E778&lt;&gt;"",F778&lt;&gt;""),E778*F778,"")</f>
      </c>
    </row>
    <row r="779" ht="16.5" customHeight="1" s="71">
      <c r="A779" s="14" t="n"/>
      <c r="B779" s="170" t="n"/>
      <c r="C779" s="35" t="n"/>
      <c r="D779" s="35" t="n"/>
      <c r="E779" s="35" t="n"/>
      <c r="G779" s="176">
        <f>IF(AND(E779&lt;&gt;"",F779&lt;&gt;""),E779*F779,"")</f>
      </c>
    </row>
    <row r="780" ht="16.5" customHeight="1" s="71">
      <c r="A780" s="14" t="n"/>
      <c r="B780" s="170" t="n"/>
      <c r="C780" s="35" t="n"/>
      <c r="D780" s="35" t="n"/>
      <c r="E780" s="35" t="n"/>
      <c r="G780" s="176">
        <f>IF(AND(E780&lt;&gt;"",F780&lt;&gt;""),E780*F780,"")</f>
      </c>
    </row>
    <row r="781" ht="16.5" customHeight="1" s="71">
      <c r="A781" s="14" t="n"/>
      <c r="B781" s="170" t="n"/>
      <c r="C781" s="35" t="n"/>
      <c r="D781" s="35" t="n"/>
      <c r="E781" s="35" t="n"/>
      <c r="G781" s="176">
        <f>IF(AND(E781&lt;&gt;"",F781&lt;&gt;""),E781*F781,"")</f>
      </c>
    </row>
    <row r="782" ht="16.5" customHeight="1" s="71">
      <c r="A782" s="14" t="n"/>
      <c r="B782" s="170" t="n"/>
      <c r="C782" s="35" t="n"/>
      <c r="D782" s="35" t="n"/>
      <c r="E782" s="35" t="n"/>
      <c r="G782" s="176">
        <f>IF(AND(E782&lt;&gt;"",F782&lt;&gt;""),E782*F782,"")</f>
      </c>
    </row>
    <row r="783" ht="16.5" customHeight="1" s="71">
      <c r="A783" s="14" t="n"/>
      <c r="B783" s="170" t="n"/>
      <c r="C783" s="35" t="n"/>
      <c r="D783" s="35" t="n"/>
      <c r="E783" s="35" t="n"/>
      <c r="G783" s="176">
        <f>IF(AND(E783&lt;&gt;"",F783&lt;&gt;""),E783*F783,"")</f>
      </c>
    </row>
    <row r="784" ht="16.5" customHeight="1" s="71">
      <c r="A784" s="14" t="n"/>
      <c r="B784" s="170" t="n"/>
      <c r="C784" s="35" t="n"/>
      <c r="D784" s="35" t="n"/>
      <c r="E784" s="35" t="n"/>
      <c r="G784" s="176">
        <f>IF(AND(E784&lt;&gt;"",F784&lt;&gt;""),E784*F784,"")</f>
      </c>
    </row>
    <row r="785" ht="16.5" customHeight="1" s="71">
      <c r="A785" s="14" t="n"/>
      <c r="B785" s="170" t="n"/>
      <c r="C785" s="35" t="n"/>
      <c r="D785" s="35" t="n"/>
      <c r="E785" s="35" t="n"/>
      <c r="G785" s="176">
        <f>IF(AND(E785&lt;&gt;"",F785&lt;&gt;""),E785*F785,"")</f>
      </c>
    </row>
    <row r="786" ht="16.5" customHeight="1" s="71">
      <c r="A786" s="14" t="n"/>
      <c r="B786" s="170" t="n"/>
      <c r="C786" s="35" t="n"/>
      <c r="D786" s="35" t="n"/>
      <c r="E786" s="35" t="n"/>
      <c r="G786" s="176">
        <f>IF(AND(E786&lt;&gt;"",F786&lt;&gt;""),E786*F786,"")</f>
      </c>
    </row>
    <row r="787" ht="16.5" customHeight="1" s="71">
      <c r="A787" s="14" t="n"/>
      <c r="B787" s="170" t="n"/>
      <c r="C787" s="35" t="n"/>
      <c r="D787" s="35" t="n"/>
      <c r="E787" s="35" t="n"/>
      <c r="G787" s="176">
        <f>IF(AND(E787&lt;&gt;"",F787&lt;&gt;""),E787*F787,"")</f>
      </c>
    </row>
    <row r="788" ht="16.5" customHeight="1" s="71">
      <c r="A788" s="14" t="n"/>
      <c r="B788" s="170" t="n"/>
      <c r="C788" s="35" t="n"/>
      <c r="D788" s="35" t="n"/>
      <c r="E788" s="35" t="n"/>
      <c r="G788" s="176">
        <f>IF(AND(E788&lt;&gt;"",F788&lt;&gt;""),E788*F788,"")</f>
      </c>
    </row>
    <row r="789" ht="16.5" customHeight="1" s="71">
      <c r="A789" s="14" t="n"/>
      <c r="B789" s="170" t="n"/>
      <c r="C789" s="35" t="n"/>
      <c r="D789" s="35" t="n"/>
      <c r="E789" s="35" t="n"/>
      <c r="G789" s="176">
        <f>IF(AND(E789&lt;&gt;"",F789&lt;&gt;""),E789*F789,"")</f>
      </c>
    </row>
    <row r="790" ht="16.5" customHeight="1" s="71">
      <c r="A790" s="14" t="n"/>
      <c r="B790" s="170" t="n"/>
      <c r="C790" s="35" t="n"/>
      <c r="D790" s="35" t="n"/>
      <c r="E790" s="35" t="n"/>
      <c r="G790" s="176">
        <f>IF(AND(E790&lt;&gt;"",F790&lt;&gt;""),E790*F790,"")</f>
      </c>
    </row>
    <row r="791" ht="16.5" customHeight="1" s="71">
      <c r="A791" s="14" t="n"/>
      <c r="B791" s="170" t="n"/>
      <c r="C791" s="35" t="n"/>
      <c r="D791" s="35" t="n"/>
      <c r="E791" s="35" t="n"/>
      <c r="G791" s="176">
        <f>IF(AND(E791&lt;&gt;"",F791&lt;&gt;""),E791*F791,"")</f>
      </c>
    </row>
    <row r="792" ht="16.5" customHeight="1" s="71">
      <c r="A792" s="14" t="n"/>
      <c r="B792" s="170" t="n"/>
      <c r="C792" s="35" t="n"/>
      <c r="D792" s="35" t="n"/>
      <c r="E792" s="35" t="n"/>
      <c r="G792" s="176">
        <f>IF(AND(E792&lt;&gt;"",F792&lt;&gt;""),E792*F792,"")</f>
      </c>
    </row>
    <row r="793" ht="16.5" customHeight="1" s="71">
      <c r="A793" s="14" t="n"/>
      <c r="B793" s="170" t="n"/>
      <c r="C793" s="35" t="n"/>
      <c r="D793" s="35" t="n"/>
      <c r="E793" s="35" t="n"/>
      <c r="G793" s="176">
        <f>IF(AND(E793&lt;&gt;"",F793&lt;&gt;""),E793*F793,"")</f>
      </c>
    </row>
    <row r="794" ht="16.5" customHeight="1" s="71">
      <c r="A794" s="14" t="n"/>
      <c r="B794" s="170" t="n"/>
      <c r="C794" s="35" t="n"/>
      <c r="D794" s="35" t="n"/>
      <c r="E794" s="35" t="n"/>
      <c r="G794" s="176">
        <f>IF(AND(E794&lt;&gt;"",F794&lt;&gt;""),E794*F794,"")</f>
      </c>
    </row>
    <row r="795" ht="16.5" customHeight="1" s="71">
      <c r="A795" s="14" t="n"/>
      <c r="B795" s="170" t="n"/>
      <c r="C795" s="35" t="n"/>
      <c r="D795" s="35" t="n"/>
      <c r="E795" s="35" t="n"/>
      <c r="G795" s="176">
        <f>IF(AND(E795&lt;&gt;"",F795&lt;&gt;""),E795*F795,"")</f>
      </c>
    </row>
    <row r="796" ht="16.5" customHeight="1" s="71">
      <c r="A796" s="14" t="n"/>
      <c r="B796" s="170" t="n"/>
      <c r="C796" s="35" t="n"/>
      <c r="D796" s="35" t="n"/>
      <c r="E796" s="35" t="n"/>
      <c r="G796" s="176">
        <f>IF(AND(E796&lt;&gt;"",F796&lt;&gt;""),E796*F796,"")</f>
      </c>
    </row>
    <row r="797" ht="16.5" customHeight="1" s="71">
      <c r="A797" s="14" t="n"/>
      <c r="B797" s="170" t="n"/>
      <c r="C797" s="35" t="n"/>
      <c r="D797" s="35" t="n"/>
      <c r="E797" s="35" t="n"/>
      <c r="G797" s="176">
        <f>IF(AND(E797&lt;&gt;"",F797&lt;&gt;""),E797*F797,"")</f>
      </c>
    </row>
    <row r="798" ht="16.5" customHeight="1" s="71">
      <c r="A798" s="14" t="n"/>
      <c r="B798" s="170" t="n"/>
      <c r="C798" s="35" t="n"/>
      <c r="D798" s="35" t="n"/>
      <c r="E798" s="35" t="n"/>
      <c r="G798" s="176">
        <f>IF(AND(E798&lt;&gt;"",F798&lt;&gt;""),E798*F798,"")</f>
      </c>
    </row>
    <row r="799" ht="16.5" customHeight="1" s="71">
      <c r="A799" s="14" t="n"/>
      <c r="B799" s="170" t="n"/>
      <c r="C799" s="35" t="n"/>
      <c r="D799" s="35" t="n"/>
      <c r="E799" s="35" t="n"/>
      <c r="G799" s="176">
        <f>IF(AND(E799&lt;&gt;"",F799&lt;&gt;""),E799*F799,"")</f>
      </c>
    </row>
    <row r="800" ht="16.5" customHeight="1" s="71">
      <c r="A800" s="14" t="n"/>
      <c r="B800" s="170" t="n"/>
      <c r="C800" s="35" t="n"/>
      <c r="D800" s="35" t="n"/>
      <c r="E800" s="35" t="n"/>
      <c r="G800" s="176">
        <f>IF(AND(E800&lt;&gt;"",F800&lt;&gt;""),E800*F800,"")</f>
      </c>
    </row>
    <row r="801" ht="16.5" customHeight="1" s="71">
      <c r="A801" s="14" t="n"/>
      <c r="B801" s="170" t="n"/>
      <c r="C801" s="35" t="n"/>
      <c r="D801" s="35" t="n"/>
      <c r="E801" s="35" t="n"/>
      <c r="G801" s="176">
        <f>IF(AND(E801&lt;&gt;"",F801&lt;&gt;""),E801*F801,"")</f>
      </c>
    </row>
    <row r="802" ht="16.5" customHeight="1" s="71">
      <c r="A802" s="14" t="n"/>
      <c r="B802" s="170" t="n"/>
      <c r="C802" s="35" t="n"/>
      <c r="D802" s="35" t="n"/>
      <c r="E802" s="35" t="n"/>
      <c r="G802" s="176">
        <f>IF(AND(E802&lt;&gt;"",F802&lt;&gt;""),E802*F802,"")</f>
      </c>
    </row>
    <row r="803" ht="16.5" customHeight="1" s="71">
      <c r="A803" s="14" t="n"/>
      <c r="B803" s="170" t="n"/>
      <c r="C803" s="35" t="n"/>
      <c r="D803" s="35" t="n"/>
      <c r="E803" s="35" t="n"/>
      <c r="G803" s="176">
        <f>IF(AND(E803&lt;&gt;"",F803&lt;&gt;""),E803*F803,"")</f>
      </c>
    </row>
    <row r="804" ht="16.5" customHeight="1" s="71">
      <c r="A804" s="14" t="n"/>
      <c r="B804" s="170" t="n"/>
      <c r="C804" s="35" t="n"/>
      <c r="D804" s="35" t="n"/>
      <c r="E804" s="35" t="n"/>
      <c r="G804" s="176">
        <f>IF(AND(E804&lt;&gt;"",F804&lt;&gt;""),E804*F804,"")</f>
      </c>
    </row>
    <row r="805" ht="16.5" customHeight="1" s="71">
      <c r="A805" s="14" t="n"/>
      <c r="B805" s="170" t="n"/>
      <c r="C805" s="35" t="n"/>
      <c r="D805" s="35" t="n"/>
      <c r="E805" s="35" t="n"/>
      <c r="G805" s="176">
        <f>IF(AND(E805&lt;&gt;"",F805&lt;&gt;""),E805*F805,"")</f>
      </c>
    </row>
    <row r="806" ht="16.5" customHeight="1" s="71">
      <c r="A806" s="14" t="n"/>
      <c r="B806" s="170" t="n"/>
      <c r="C806" s="35" t="n"/>
      <c r="D806" s="35" t="n"/>
      <c r="E806" s="35" t="n"/>
      <c r="G806" s="176">
        <f>IF(AND(E806&lt;&gt;"",F806&lt;&gt;""),E806*F806,"")</f>
      </c>
    </row>
    <row r="807" ht="16.5" customHeight="1" s="71">
      <c r="A807" s="14" t="n"/>
      <c r="B807" s="170" t="n"/>
      <c r="C807" s="35" t="n"/>
      <c r="D807" s="35" t="n"/>
      <c r="E807" s="35" t="n"/>
      <c r="G807" s="176">
        <f>IF(AND(E807&lt;&gt;"",F807&lt;&gt;""),E807*F807,"")</f>
      </c>
    </row>
    <row r="808" ht="16.5" customHeight="1" s="71">
      <c r="A808" s="14" t="n"/>
      <c r="B808" s="170" t="n"/>
      <c r="C808" s="35" t="n"/>
      <c r="D808" s="35" t="n"/>
      <c r="E808" s="35" t="n"/>
      <c r="G808" s="176">
        <f>IF(AND(E808&lt;&gt;"",F808&lt;&gt;""),E808*F808,"")</f>
      </c>
    </row>
    <row r="809" ht="16.5" customHeight="1" s="71">
      <c r="A809" s="14" t="n"/>
      <c r="B809" s="170" t="n"/>
      <c r="C809" s="35" t="n"/>
      <c r="D809" s="35" t="n"/>
      <c r="E809" s="35" t="n"/>
      <c r="G809" s="176">
        <f>IF(AND(E809&lt;&gt;"",F809&lt;&gt;""),E809*F809,"")</f>
      </c>
    </row>
    <row r="810" ht="16.5" customHeight="1" s="71">
      <c r="A810" s="14" t="n"/>
      <c r="B810" s="170" t="n"/>
      <c r="C810" s="35" t="n"/>
      <c r="D810" s="35" t="n"/>
      <c r="E810" s="35" t="n"/>
      <c r="G810" s="176">
        <f>IF(AND(E810&lt;&gt;"",F810&lt;&gt;""),E810*F810,"")</f>
      </c>
    </row>
    <row r="811" ht="16.5" customHeight="1" s="71">
      <c r="A811" s="14" t="n"/>
      <c r="B811" s="170" t="n"/>
      <c r="C811" s="35" t="n"/>
      <c r="D811" s="35" t="n"/>
      <c r="E811" s="35" t="n"/>
      <c r="G811" s="176">
        <f>IF(AND(E811&lt;&gt;"",F811&lt;&gt;""),E811*F811,"")</f>
      </c>
    </row>
    <row r="812" ht="16.5" customHeight="1" s="71">
      <c r="A812" s="14" t="n"/>
      <c r="B812" s="170" t="n"/>
      <c r="C812" s="35" t="n"/>
      <c r="D812" s="35" t="n"/>
      <c r="E812" s="35" t="n"/>
      <c r="G812" s="176">
        <f>IF(AND(E812&lt;&gt;"",F812&lt;&gt;""),E812*F812,"")</f>
      </c>
    </row>
    <row r="813" ht="16.5" customHeight="1" s="71">
      <c r="A813" s="14" t="n"/>
      <c r="B813" s="170" t="n"/>
      <c r="C813" s="35" t="n"/>
      <c r="D813" s="35" t="n"/>
      <c r="E813" s="35" t="n"/>
      <c r="G813" s="176">
        <f>IF(AND(E813&lt;&gt;"",F813&lt;&gt;""),E813*F813,"")</f>
      </c>
    </row>
    <row r="814" ht="16.5" customHeight="1" s="71">
      <c r="A814" s="14" t="n"/>
      <c r="B814" s="170" t="n"/>
      <c r="C814" s="35" t="n"/>
      <c r="D814" s="35" t="n"/>
      <c r="E814" s="35" t="n"/>
      <c r="G814" s="176">
        <f>IF(AND(E814&lt;&gt;"",F814&lt;&gt;""),E814*F814,"")</f>
      </c>
    </row>
    <row r="815" ht="16.5" customHeight="1" s="71">
      <c r="A815" s="14" t="n"/>
      <c r="B815" s="170" t="n"/>
      <c r="C815" s="35" t="n"/>
      <c r="D815" s="35" t="n"/>
      <c r="E815" s="35" t="n"/>
      <c r="G815" s="176">
        <f>IF(AND(E815&lt;&gt;"",F815&lt;&gt;""),E815*F815,"")</f>
      </c>
    </row>
    <row r="816" ht="16.5" customHeight="1" s="71">
      <c r="A816" s="14" t="n"/>
      <c r="B816" s="170" t="n"/>
      <c r="C816" s="35" t="n"/>
      <c r="D816" s="35" t="n"/>
      <c r="E816" s="35" t="n"/>
      <c r="G816" s="176">
        <f>IF(AND(E816&lt;&gt;"",F816&lt;&gt;""),E816*F816,"")</f>
      </c>
    </row>
    <row r="817" ht="16.5" customHeight="1" s="71">
      <c r="A817" s="14" t="n"/>
      <c r="B817" s="170" t="n"/>
      <c r="C817" s="35" t="n"/>
      <c r="D817" s="35" t="n"/>
      <c r="E817" s="35" t="n"/>
      <c r="G817" s="176">
        <f>IF(AND(E817&lt;&gt;"",F817&lt;&gt;""),E817*F817,"")</f>
      </c>
    </row>
    <row r="818" ht="16.5" customHeight="1" s="71">
      <c r="A818" s="14" t="n"/>
      <c r="B818" s="170" t="n"/>
      <c r="C818" s="35" t="n"/>
      <c r="D818" s="35" t="n"/>
      <c r="E818" s="35" t="n"/>
      <c r="G818" s="176">
        <f>IF(AND(E818&lt;&gt;"",F818&lt;&gt;""),E818*F818,"")</f>
      </c>
    </row>
    <row r="819" ht="16.5" customHeight="1" s="71">
      <c r="A819" s="14" t="n"/>
      <c r="B819" s="170" t="n"/>
      <c r="C819" s="35" t="n"/>
      <c r="D819" s="35" t="n"/>
      <c r="E819" s="35" t="n"/>
      <c r="G819" s="176">
        <f>IF(AND(E819&lt;&gt;"",F819&lt;&gt;""),E819*F819,"")</f>
      </c>
    </row>
    <row r="820" ht="16.5" customHeight="1" s="71">
      <c r="A820" s="14" t="n"/>
      <c r="B820" s="170" t="n"/>
      <c r="C820" s="35" t="n"/>
      <c r="D820" s="35" t="n"/>
      <c r="E820" s="35" t="n"/>
      <c r="G820" s="176">
        <f>IF(AND(E820&lt;&gt;"",F820&lt;&gt;""),E820*F820,"")</f>
      </c>
    </row>
    <row r="821" ht="16.5" customHeight="1" s="71">
      <c r="A821" s="14" t="n"/>
      <c r="B821" s="170" t="n"/>
      <c r="C821" s="35" t="n"/>
      <c r="D821" s="35" t="n"/>
      <c r="E821" s="35" t="n"/>
      <c r="G821" s="176">
        <f>IF(AND(E821&lt;&gt;"",F821&lt;&gt;""),E821*F821,"")</f>
      </c>
    </row>
    <row r="822" ht="16.5" customHeight="1" s="71">
      <c r="A822" s="14" t="n"/>
      <c r="B822" s="170" t="n"/>
      <c r="C822" s="35" t="n"/>
      <c r="D822" s="35" t="n"/>
      <c r="E822" s="35" t="n"/>
      <c r="G822" s="176">
        <f>IF(AND(E822&lt;&gt;"",F822&lt;&gt;""),E822*F822,"")</f>
      </c>
    </row>
    <row r="823" ht="16.5" customHeight="1" s="71">
      <c r="A823" s="14" t="n"/>
      <c r="B823" s="170" t="n"/>
      <c r="C823" s="35" t="n"/>
      <c r="D823" s="35" t="n"/>
      <c r="E823" s="35" t="n"/>
      <c r="G823" s="176">
        <f>IF(AND(E823&lt;&gt;"",F823&lt;&gt;""),E823*F823,"")</f>
      </c>
    </row>
    <row r="824" ht="16.5" customHeight="1" s="71">
      <c r="A824" s="14" t="n"/>
      <c r="B824" s="170" t="n"/>
      <c r="C824" s="35" t="n"/>
      <c r="D824" s="35" t="n"/>
      <c r="E824" s="35" t="n"/>
      <c r="G824" s="176">
        <f>IF(AND(E824&lt;&gt;"",F824&lt;&gt;""),E824*F824,"")</f>
      </c>
    </row>
    <row r="825" ht="16.5" customHeight="1" s="71">
      <c r="A825" s="14" t="n"/>
      <c r="B825" s="170" t="n"/>
      <c r="C825" s="35" t="n"/>
      <c r="D825" s="35" t="n"/>
      <c r="E825" s="35" t="n"/>
      <c r="G825" s="176">
        <f>IF(AND(E825&lt;&gt;"",F825&lt;&gt;""),E825*F825,"")</f>
      </c>
    </row>
    <row r="826" ht="16.5" customHeight="1" s="71">
      <c r="A826" s="14" t="n"/>
      <c r="B826" s="170" t="n"/>
      <c r="C826" s="35" t="n"/>
      <c r="D826" s="35" t="n"/>
      <c r="E826" s="35" t="n"/>
      <c r="G826" s="176">
        <f>IF(AND(E826&lt;&gt;"",F826&lt;&gt;""),E826*F826,"")</f>
      </c>
    </row>
    <row r="827" ht="16.5" customHeight="1" s="71">
      <c r="A827" s="14" t="n"/>
      <c r="B827" s="170" t="n"/>
      <c r="C827" s="35" t="n"/>
      <c r="D827" s="35" t="n"/>
      <c r="E827" s="35" t="n"/>
      <c r="G827" s="176">
        <f>IF(AND(E827&lt;&gt;"",F827&lt;&gt;""),E827*F827,"")</f>
      </c>
    </row>
    <row r="828" ht="16.5" customHeight="1" s="71">
      <c r="A828" s="14" t="n"/>
      <c r="B828" s="170" t="n"/>
      <c r="C828" s="35" t="n"/>
      <c r="D828" s="35" t="n"/>
      <c r="E828" s="35" t="n"/>
      <c r="G828" s="176">
        <f>IF(AND(E828&lt;&gt;"",F828&lt;&gt;""),E828*F828,"")</f>
      </c>
    </row>
    <row r="829" ht="16.5" customHeight="1" s="71">
      <c r="A829" s="14" t="n"/>
      <c r="B829" s="170" t="n"/>
      <c r="C829" s="35" t="n"/>
      <c r="D829" s="35" t="n"/>
      <c r="E829" s="35" t="n"/>
      <c r="G829" s="176">
        <f>IF(AND(E829&lt;&gt;"",F829&lt;&gt;""),E829*F829,"")</f>
      </c>
    </row>
    <row r="830" ht="16.5" customHeight="1" s="71">
      <c r="A830" s="14" t="n"/>
      <c r="B830" s="170" t="n"/>
      <c r="C830" s="35" t="n"/>
      <c r="D830" s="35" t="n"/>
      <c r="E830" s="35" t="n"/>
      <c r="G830" s="176">
        <f>IF(AND(E830&lt;&gt;"",F830&lt;&gt;""),E830*F830,"")</f>
      </c>
    </row>
    <row r="831" ht="16.5" customHeight="1" s="71">
      <c r="A831" s="14" t="n"/>
      <c r="B831" s="170" t="n"/>
      <c r="C831" s="35" t="n"/>
      <c r="D831" s="35" t="n"/>
      <c r="E831" s="35" t="n"/>
      <c r="G831" s="176">
        <f>IF(AND(E831&lt;&gt;"",F831&lt;&gt;""),E831*F831,"")</f>
      </c>
    </row>
    <row r="832" ht="16.5" customHeight="1" s="71">
      <c r="A832" s="14" t="n"/>
      <c r="B832" s="170" t="n"/>
      <c r="C832" s="35" t="n"/>
      <c r="D832" s="35" t="n"/>
      <c r="E832" s="35" t="n"/>
      <c r="G832" s="176">
        <f>IF(AND(E832&lt;&gt;"",F832&lt;&gt;""),E832*F832,"")</f>
      </c>
    </row>
    <row r="833" ht="16.5" customHeight="1" s="71">
      <c r="A833" s="14" t="n"/>
      <c r="B833" s="170" t="n"/>
      <c r="C833" s="35" t="n"/>
      <c r="D833" s="35" t="n"/>
      <c r="E833" s="35" t="n"/>
      <c r="G833" s="176">
        <f>IF(AND(E833&lt;&gt;"",F833&lt;&gt;""),E833*F833,"")</f>
      </c>
    </row>
    <row r="834" ht="16.5" customHeight="1" s="71">
      <c r="A834" s="14" t="n"/>
      <c r="B834" s="170" t="n"/>
      <c r="C834" s="35" t="n"/>
      <c r="D834" s="35" t="n"/>
      <c r="E834" s="35" t="n"/>
      <c r="G834" s="176">
        <f>IF(AND(E834&lt;&gt;"",F834&lt;&gt;""),E834*F834,"")</f>
      </c>
    </row>
    <row r="835" ht="16.5" customHeight="1" s="71">
      <c r="A835" s="14" t="n"/>
      <c r="B835" s="170" t="n"/>
      <c r="C835" s="35" t="n"/>
      <c r="D835" s="35" t="n"/>
      <c r="E835" s="35" t="n"/>
      <c r="G835" s="176">
        <f>IF(AND(E835&lt;&gt;"",F835&lt;&gt;""),E835*F835,"")</f>
      </c>
    </row>
    <row r="836" ht="16.5" customHeight="1" s="71">
      <c r="A836" s="14" t="n"/>
      <c r="B836" s="170" t="n"/>
      <c r="C836" s="35" t="n"/>
      <c r="D836" s="35" t="n"/>
      <c r="E836" s="35" t="n"/>
      <c r="G836" s="176">
        <f>IF(AND(E836&lt;&gt;"",F836&lt;&gt;""),E836*F836,"")</f>
      </c>
    </row>
    <row r="837" ht="16.5" customHeight="1" s="71">
      <c r="A837" s="14" t="n"/>
      <c r="B837" s="170" t="n"/>
      <c r="C837" s="35" t="n"/>
      <c r="D837" s="35" t="n"/>
      <c r="E837" s="35" t="n"/>
      <c r="G837" s="176">
        <f>IF(AND(E837&lt;&gt;"",F837&lt;&gt;""),E837*F837,"")</f>
      </c>
    </row>
    <row r="838" ht="16.5" customHeight="1" s="71">
      <c r="A838" s="14" t="n"/>
      <c r="B838" s="170" t="n"/>
      <c r="C838" s="35" t="n"/>
      <c r="D838" s="35" t="n"/>
      <c r="E838" s="35" t="n"/>
      <c r="G838" s="176">
        <f>IF(AND(E838&lt;&gt;"",F838&lt;&gt;""),E838*F838,"")</f>
      </c>
    </row>
    <row r="839" ht="16.5" customHeight="1" s="71">
      <c r="A839" s="14" t="n"/>
      <c r="B839" s="170" t="n"/>
      <c r="C839" s="35" t="n"/>
      <c r="D839" s="35" t="n"/>
      <c r="E839" s="35" t="n"/>
      <c r="G839" s="176">
        <f>IF(AND(E839&lt;&gt;"",F839&lt;&gt;""),E839*F839,"")</f>
      </c>
    </row>
    <row r="840" ht="16.5" customHeight="1" s="71">
      <c r="A840" s="14" t="n"/>
      <c r="B840" s="170" t="n"/>
      <c r="C840" s="35" t="n"/>
      <c r="D840" s="35" t="n"/>
      <c r="E840" s="35" t="n"/>
      <c r="G840" s="176">
        <f>IF(AND(E840&lt;&gt;"",F840&lt;&gt;""),E840*F840,"")</f>
      </c>
    </row>
    <row r="841" ht="16.5" customHeight="1" s="71">
      <c r="A841" s="14" t="n"/>
      <c r="B841" s="170" t="n"/>
      <c r="C841" s="35" t="n"/>
      <c r="D841" s="35" t="n"/>
      <c r="E841" s="35" t="n"/>
      <c r="G841" s="176">
        <f>IF(AND(E841&lt;&gt;"",F841&lt;&gt;""),E841*F841,"")</f>
      </c>
    </row>
    <row r="842" ht="16.5" customHeight="1" s="71">
      <c r="A842" s="14" t="n"/>
      <c r="B842" s="170" t="n"/>
      <c r="C842" s="35" t="n"/>
      <c r="D842" s="35" t="n"/>
      <c r="E842" s="35" t="n"/>
      <c r="G842" s="176">
        <f>IF(AND(E842&lt;&gt;"",F842&lt;&gt;""),E842*F842,"")</f>
      </c>
    </row>
    <row r="843" ht="16.5" customHeight="1" s="71">
      <c r="A843" s="14" t="n"/>
      <c r="B843" s="170" t="n"/>
      <c r="C843" s="35" t="n"/>
      <c r="D843" s="35" t="n"/>
      <c r="E843" s="35" t="n"/>
      <c r="G843" s="176">
        <f>IF(AND(E843&lt;&gt;"",F843&lt;&gt;""),E843*F843,"")</f>
      </c>
    </row>
    <row r="844" ht="16.5" customHeight="1" s="71">
      <c r="A844" s="14" t="n"/>
      <c r="B844" s="170" t="n"/>
      <c r="C844" s="35" t="n"/>
      <c r="D844" s="35" t="n"/>
      <c r="E844" s="35" t="n"/>
      <c r="G844" s="176">
        <f>IF(AND(E844&lt;&gt;"",F844&lt;&gt;""),E844*F844,"")</f>
      </c>
    </row>
    <row r="845" ht="16.5" customHeight="1" s="71">
      <c r="A845" s="14" t="n"/>
      <c r="B845" s="170" t="n"/>
      <c r="C845" s="35" t="n"/>
      <c r="D845" s="35" t="n"/>
      <c r="E845" s="35" t="n"/>
      <c r="G845" s="176">
        <f>IF(AND(E845&lt;&gt;"",F845&lt;&gt;""),E845*F845,"")</f>
      </c>
    </row>
    <row r="846" ht="16.5" customHeight="1" s="71">
      <c r="A846" s="14" t="n"/>
      <c r="B846" s="170" t="n"/>
      <c r="C846" s="35" t="n"/>
      <c r="D846" s="35" t="n"/>
      <c r="E846" s="35" t="n"/>
      <c r="G846" s="176">
        <f>IF(AND(E846&lt;&gt;"",F846&lt;&gt;""),E846*F846,"")</f>
      </c>
    </row>
    <row r="847" ht="16.5" customHeight="1" s="71">
      <c r="A847" s="14" t="n"/>
      <c r="B847" s="170" t="n"/>
      <c r="C847" s="35" t="n"/>
      <c r="D847" s="35" t="n"/>
      <c r="E847" s="35" t="n"/>
      <c r="G847" s="176">
        <f>IF(AND(E847&lt;&gt;"",F847&lt;&gt;""),E847*F847,"")</f>
      </c>
    </row>
    <row r="848" ht="16.5" customHeight="1" s="71">
      <c r="A848" s="14" t="n"/>
      <c r="B848" s="170" t="n"/>
      <c r="C848" s="35" t="n"/>
      <c r="D848" s="35" t="n"/>
      <c r="E848" s="35" t="n"/>
      <c r="G848" s="176">
        <f>IF(AND(E848&lt;&gt;"",F848&lt;&gt;""),E848*F848,"")</f>
      </c>
    </row>
    <row r="849" ht="16.5" customHeight="1" s="71">
      <c r="A849" s="14" t="n"/>
      <c r="B849" s="170" t="n"/>
      <c r="C849" s="35" t="n"/>
      <c r="D849" s="35" t="n"/>
      <c r="E849" s="35" t="n"/>
      <c r="G849" s="176">
        <f>IF(AND(E849&lt;&gt;"",F849&lt;&gt;""),E849*F849,"")</f>
      </c>
    </row>
    <row r="850" ht="16.5" customHeight="1" s="71">
      <c r="A850" s="14" t="n"/>
      <c r="B850" s="170" t="n"/>
      <c r="C850" s="35" t="n"/>
      <c r="D850" s="35" t="n"/>
      <c r="E850" s="35" t="n"/>
      <c r="G850" s="176">
        <f>IF(AND(E850&lt;&gt;"",F850&lt;&gt;""),E850*F850,"")</f>
      </c>
    </row>
    <row r="851" ht="16.5" customHeight="1" s="71">
      <c r="A851" s="14" t="n"/>
      <c r="B851" s="170" t="n"/>
      <c r="C851" s="35" t="n"/>
      <c r="D851" s="35" t="n"/>
      <c r="E851" s="35" t="n"/>
      <c r="G851" s="176">
        <f>IF(AND(E851&lt;&gt;"",F851&lt;&gt;""),E851*F851,"")</f>
      </c>
    </row>
    <row r="852" ht="16.5" customHeight="1" s="71">
      <c r="A852" s="14" t="n"/>
      <c r="B852" s="170" t="n"/>
      <c r="C852" s="35" t="n"/>
      <c r="D852" s="35" t="n"/>
      <c r="E852" s="35" t="n"/>
      <c r="G852" s="176">
        <f>IF(AND(E852&lt;&gt;"",F852&lt;&gt;""),E852*F852,"")</f>
      </c>
    </row>
    <row r="853" ht="16.5" customHeight="1" s="71">
      <c r="A853" s="14" t="n"/>
      <c r="B853" s="170" t="n"/>
      <c r="C853" s="35" t="n"/>
      <c r="D853" s="35" t="n"/>
      <c r="E853" s="35" t="n"/>
      <c r="G853" s="176">
        <f>IF(AND(E853&lt;&gt;"",F853&lt;&gt;""),E853*F853,"")</f>
      </c>
    </row>
    <row r="854" ht="16.5" customHeight="1" s="71">
      <c r="A854" s="14" t="n"/>
      <c r="B854" s="170" t="n"/>
      <c r="C854" s="35" t="n"/>
      <c r="D854" s="35" t="n"/>
      <c r="E854" s="35" t="n"/>
      <c r="G854" s="176">
        <f>IF(AND(E854&lt;&gt;"",F854&lt;&gt;""),E854*F854,"")</f>
      </c>
    </row>
    <row r="855" ht="16.5" customHeight="1" s="71">
      <c r="A855" s="14" t="n"/>
      <c r="B855" s="170" t="n"/>
      <c r="C855" s="35" t="n"/>
      <c r="D855" s="35" t="n"/>
      <c r="E855" s="35" t="n"/>
      <c r="G855" s="176">
        <f>IF(AND(E855&lt;&gt;"",F855&lt;&gt;""),E855*F855,"")</f>
      </c>
    </row>
    <row r="856" ht="16.5" customHeight="1" s="71">
      <c r="A856" s="14" t="n"/>
      <c r="B856" s="170" t="n"/>
      <c r="C856" s="35" t="n"/>
      <c r="D856" s="35" t="n"/>
      <c r="E856" s="35" t="n"/>
      <c r="G856" s="176">
        <f>IF(AND(E856&lt;&gt;"",F856&lt;&gt;""),E856*F856,"")</f>
      </c>
    </row>
    <row r="857" ht="16.5" customHeight="1" s="71">
      <c r="A857" s="14" t="n"/>
      <c r="B857" s="170" t="n"/>
      <c r="C857" s="35" t="n"/>
      <c r="D857" s="35" t="n"/>
      <c r="E857" s="35" t="n"/>
      <c r="G857" s="176">
        <f>IF(AND(E857&lt;&gt;"",F857&lt;&gt;""),E857*F857,"")</f>
      </c>
    </row>
    <row r="858" ht="16.5" customHeight="1" s="71">
      <c r="A858" s="14" t="n"/>
      <c r="B858" s="170" t="n"/>
      <c r="C858" s="35" t="n"/>
      <c r="D858" s="35" t="n"/>
      <c r="E858" s="35" t="n"/>
      <c r="G858" s="176">
        <f>IF(AND(E858&lt;&gt;"",F858&lt;&gt;""),E858*F858,"")</f>
      </c>
    </row>
    <row r="859" ht="16.5" customHeight="1" s="71">
      <c r="A859" s="14" t="n"/>
      <c r="B859" s="170" t="n"/>
      <c r="C859" s="35" t="n"/>
      <c r="D859" s="35" t="n"/>
      <c r="E859" s="35" t="n"/>
      <c r="G859" s="176">
        <f>IF(AND(E859&lt;&gt;"",F859&lt;&gt;""),E859*F859,"")</f>
      </c>
    </row>
    <row r="860" ht="16.5" customHeight="1" s="71">
      <c r="A860" s="14" t="n"/>
      <c r="B860" s="170" t="n"/>
      <c r="C860" s="35" t="n"/>
      <c r="D860" s="35" t="n"/>
      <c r="E860" s="35" t="n"/>
      <c r="G860" s="176">
        <f>IF(AND(E860&lt;&gt;"",F860&lt;&gt;""),E860*F860,"")</f>
      </c>
    </row>
    <row r="861" ht="16.5" customHeight="1" s="71">
      <c r="A861" s="14" t="n"/>
      <c r="B861" s="170" t="n"/>
      <c r="C861" s="35" t="n"/>
      <c r="D861" s="35" t="n"/>
      <c r="E861" s="35" t="n"/>
      <c r="G861" s="176">
        <f>IF(AND(E861&lt;&gt;"",F861&lt;&gt;""),E861*F861,"")</f>
      </c>
    </row>
    <row r="862" ht="16.5" customHeight="1" s="71">
      <c r="A862" s="14" t="n"/>
      <c r="B862" s="170" t="n"/>
      <c r="C862" s="35" t="n"/>
      <c r="D862" s="35" t="n"/>
      <c r="E862" s="35" t="n"/>
      <c r="G862" s="176">
        <f>IF(AND(E862&lt;&gt;"",F862&lt;&gt;""),E862*F862,"")</f>
      </c>
    </row>
    <row r="863" ht="16.5" customHeight="1" s="71">
      <c r="A863" s="14" t="n"/>
      <c r="B863" s="170" t="n"/>
      <c r="C863" s="35" t="n"/>
      <c r="D863" s="35" t="n"/>
      <c r="E863" s="35" t="n"/>
      <c r="G863" s="176">
        <f>IF(AND(E863&lt;&gt;"",F863&lt;&gt;""),E863*F863,"")</f>
      </c>
    </row>
    <row r="864" ht="16.5" customHeight="1" s="71">
      <c r="A864" s="14" t="n"/>
      <c r="B864" s="170" t="n"/>
      <c r="C864" s="35" t="n"/>
      <c r="D864" s="35" t="n"/>
      <c r="E864" s="35" t="n"/>
      <c r="G864" s="176">
        <f>IF(AND(E864&lt;&gt;"",F864&lt;&gt;""),E864*F864,"")</f>
      </c>
    </row>
    <row r="865" ht="16.5" customHeight="1" s="71">
      <c r="A865" s="14" t="n"/>
      <c r="B865" s="170" t="n"/>
      <c r="C865" s="35" t="n"/>
      <c r="D865" s="35" t="n"/>
      <c r="E865" s="35" t="n"/>
      <c r="G865" s="176">
        <f>IF(AND(E865&lt;&gt;"",F865&lt;&gt;""),E865*F865,"")</f>
      </c>
    </row>
    <row r="866" ht="16.5" customHeight="1" s="71">
      <c r="A866" s="14" t="n"/>
      <c r="B866" s="170" t="n"/>
      <c r="C866" s="35" t="n"/>
      <c r="D866" s="35" t="n"/>
      <c r="E866" s="35" t="n"/>
      <c r="G866" s="176">
        <f>IF(AND(E866&lt;&gt;"",F866&lt;&gt;""),E866*F866,"")</f>
      </c>
    </row>
    <row r="867" ht="16.5" customHeight="1" s="71">
      <c r="A867" s="14" t="n"/>
      <c r="B867" s="170" t="n"/>
      <c r="C867" s="35" t="n"/>
      <c r="D867" s="35" t="n"/>
      <c r="E867" s="35" t="n"/>
      <c r="G867" s="176">
        <f>IF(AND(E867&lt;&gt;"",F867&lt;&gt;""),E867*F867,"")</f>
      </c>
    </row>
    <row r="868" ht="16.5" customHeight="1" s="71">
      <c r="A868" s="14" t="n"/>
      <c r="B868" s="170" t="n"/>
      <c r="C868" s="35" t="n"/>
      <c r="D868" s="35" t="n"/>
      <c r="E868" s="35" t="n"/>
      <c r="G868" s="176">
        <f>IF(AND(E868&lt;&gt;"",F868&lt;&gt;""),E868*F868,"")</f>
      </c>
    </row>
    <row r="869" ht="16.5" customHeight="1" s="71">
      <c r="A869" s="14" t="n"/>
      <c r="B869" s="170" t="n"/>
      <c r="C869" s="35" t="n"/>
      <c r="D869" s="35" t="n"/>
      <c r="E869" s="35" t="n"/>
      <c r="G869" s="176">
        <f>IF(AND(E869&lt;&gt;"",F869&lt;&gt;""),E869*F869,"")</f>
      </c>
    </row>
    <row r="870" ht="16.5" customHeight="1" s="71">
      <c r="A870" s="14" t="n"/>
      <c r="B870" s="170" t="n"/>
      <c r="C870" s="35" t="n"/>
      <c r="D870" s="35" t="n"/>
      <c r="E870" s="35" t="n"/>
      <c r="G870" s="176">
        <f>IF(AND(E870&lt;&gt;"",F870&lt;&gt;""),E870*F870,"")</f>
      </c>
    </row>
    <row r="871" ht="16.5" customHeight="1" s="71">
      <c r="A871" s="14" t="n"/>
      <c r="B871" s="170" t="n"/>
      <c r="C871" s="35" t="n"/>
      <c r="D871" s="35" t="n"/>
      <c r="E871" s="35" t="n"/>
      <c r="G871" s="176">
        <f>IF(AND(E871&lt;&gt;"",F871&lt;&gt;""),E871*F871,"")</f>
      </c>
    </row>
    <row r="872" ht="16.5" customHeight="1" s="71">
      <c r="A872" s="14" t="n"/>
      <c r="B872" s="170" t="n"/>
      <c r="C872" s="35" t="n"/>
      <c r="D872" s="35" t="n"/>
      <c r="E872" s="35" t="n"/>
      <c r="G872" s="176">
        <f>IF(AND(E872&lt;&gt;"",F872&lt;&gt;""),E872*F872,"")</f>
      </c>
    </row>
    <row r="873" ht="16.5" customHeight="1" s="71">
      <c r="A873" s="14" t="n"/>
      <c r="B873" s="170" t="n"/>
      <c r="C873" s="35" t="n"/>
      <c r="D873" s="35" t="n"/>
      <c r="E873" s="35" t="n"/>
      <c r="G873" s="176">
        <f>IF(AND(E873&lt;&gt;"",F873&lt;&gt;""),E873*F873,"")</f>
      </c>
    </row>
    <row r="874" ht="16.5" customHeight="1" s="71">
      <c r="A874" s="14" t="n"/>
      <c r="B874" s="170" t="n"/>
      <c r="C874" s="35" t="n"/>
      <c r="D874" s="35" t="n"/>
      <c r="E874" s="35" t="n"/>
      <c r="G874" s="176">
        <f>IF(AND(E874&lt;&gt;"",F874&lt;&gt;""),E874*F874,"")</f>
      </c>
    </row>
    <row r="875" ht="16.5" customHeight="1" s="71">
      <c r="A875" s="14" t="n"/>
      <c r="B875" s="170" t="n"/>
      <c r="C875" s="35" t="n"/>
      <c r="D875" s="35" t="n"/>
      <c r="E875" s="35" t="n"/>
      <c r="G875" s="176">
        <f>IF(AND(E875&lt;&gt;"",F875&lt;&gt;""),E875*F875,"")</f>
      </c>
    </row>
    <row r="876" ht="16.5" customHeight="1" s="71">
      <c r="A876" s="14" t="n"/>
      <c r="B876" s="170" t="n"/>
      <c r="C876" s="35" t="n"/>
      <c r="D876" s="35" t="n"/>
      <c r="E876" s="35" t="n"/>
      <c r="G876" s="176">
        <f>IF(AND(E876&lt;&gt;"",F876&lt;&gt;""),E876*F876,"")</f>
      </c>
    </row>
    <row r="877" ht="16.5" customHeight="1" s="71">
      <c r="A877" s="14" t="n"/>
      <c r="B877" s="170" t="n"/>
      <c r="C877" s="35" t="n"/>
      <c r="D877" s="35" t="n"/>
      <c r="E877" s="35" t="n"/>
      <c r="G877" s="176">
        <f>IF(AND(E877&lt;&gt;"",F877&lt;&gt;""),E877*F877,"")</f>
      </c>
    </row>
    <row r="878" ht="16.5" customHeight="1" s="71">
      <c r="A878" s="14" t="n"/>
      <c r="B878" s="170" t="n"/>
      <c r="C878" s="35" t="n"/>
      <c r="D878" s="35" t="n"/>
      <c r="E878" s="35" t="n"/>
      <c r="G878" s="176">
        <f>IF(AND(E878&lt;&gt;"",F878&lt;&gt;""),E878*F878,"")</f>
      </c>
    </row>
    <row r="879" ht="16.5" customHeight="1" s="71">
      <c r="A879" s="14" t="n"/>
      <c r="B879" s="170" t="n"/>
      <c r="C879" s="35" t="n"/>
      <c r="D879" s="35" t="n"/>
      <c r="E879" s="35" t="n"/>
      <c r="G879" s="176">
        <f>IF(AND(E879&lt;&gt;"",F879&lt;&gt;""),E879*F879,"")</f>
      </c>
    </row>
    <row r="880" ht="16.5" customHeight="1" s="71">
      <c r="A880" s="14" t="n"/>
      <c r="B880" s="170" t="n"/>
      <c r="C880" s="35" t="n"/>
      <c r="D880" s="35" t="n"/>
      <c r="E880" s="35" t="n"/>
      <c r="G880" s="176">
        <f>IF(AND(E880&lt;&gt;"",F880&lt;&gt;""),E880*F880,"")</f>
      </c>
    </row>
    <row r="881" ht="16.5" customHeight="1" s="71">
      <c r="A881" s="14" t="n"/>
      <c r="B881" s="170" t="n"/>
      <c r="C881" s="35" t="n"/>
      <c r="D881" s="35" t="n"/>
      <c r="E881" s="35" t="n"/>
      <c r="G881" s="176">
        <f>IF(AND(E881&lt;&gt;"",F881&lt;&gt;""),E881*F881,"")</f>
      </c>
    </row>
    <row r="882" ht="16.5" customHeight="1" s="71">
      <c r="A882" s="14" t="n"/>
      <c r="B882" s="170" t="n"/>
      <c r="C882" s="35" t="n"/>
      <c r="D882" s="35" t="n"/>
      <c r="E882" s="35" t="n"/>
      <c r="G882" s="176">
        <f>IF(AND(E882&lt;&gt;"",F882&lt;&gt;""),E882*F882,"")</f>
      </c>
    </row>
    <row r="883" ht="16.5" customHeight="1" s="71">
      <c r="A883" s="14" t="n"/>
      <c r="B883" s="170" t="n"/>
      <c r="C883" s="35" t="n"/>
      <c r="D883" s="35" t="n"/>
      <c r="E883" s="35" t="n"/>
      <c r="G883" s="176">
        <f>IF(AND(E883&lt;&gt;"",F883&lt;&gt;""),E883*F883,"")</f>
      </c>
    </row>
    <row r="884" ht="16.5" customHeight="1" s="71">
      <c r="A884" s="14" t="n"/>
      <c r="B884" s="170" t="n"/>
      <c r="C884" s="35" t="n"/>
      <c r="D884" s="35" t="n"/>
      <c r="E884" s="35" t="n"/>
      <c r="G884" s="176">
        <f>IF(AND(E884&lt;&gt;"",F884&lt;&gt;""),E884*F884,"")</f>
      </c>
    </row>
    <row r="885" ht="16.5" customHeight="1" s="71">
      <c r="A885" s="14" t="n"/>
      <c r="B885" s="170" t="n"/>
      <c r="C885" s="35" t="n"/>
      <c r="D885" s="35" t="n"/>
      <c r="E885" s="35" t="n"/>
      <c r="G885" s="176">
        <f>IF(AND(E885&lt;&gt;"",F885&lt;&gt;""),E885*F885,"")</f>
      </c>
    </row>
    <row r="886" ht="16.5" customHeight="1" s="71">
      <c r="A886" s="14" t="n"/>
      <c r="B886" s="170" t="n"/>
      <c r="C886" s="35" t="n"/>
      <c r="D886" s="35" t="n"/>
      <c r="E886" s="35" t="n"/>
      <c r="G886" s="176">
        <f>IF(AND(E886&lt;&gt;"",F886&lt;&gt;""),E886*F886,"")</f>
      </c>
    </row>
    <row r="887" ht="16.5" customHeight="1" s="71">
      <c r="A887" s="14" t="n"/>
      <c r="B887" s="170" t="n"/>
      <c r="C887" s="35" t="n"/>
      <c r="D887" s="35" t="n"/>
      <c r="E887" s="35" t="n"/>
      <c r="G887" s="176">
        <f>IF(AND(E887&lt;&gt;"",F887&lt;&gt;""),E887*F887,"")</f>
      </c>
    </row>
    <row r="888" ht="16.5" customHeight="1" s="71">
      <c r="A888" s="14" t="n"/>
      <c r="B888" s="170" t="n"/>
      <c r="C888" s="35" t="n"/>
      <c r="D888" s="35" t="n"/>
      <c r="E888" s="35" t="n"/>
      <c r="G888" s="176">
        <f>IF(AND(E888&lt;&gt;"",F888&lt;&gt;""),E888*F888,"")</f>
      </c>
    </row>
    <row r="889" ht="16.5" customHeight="1" s="71">
      <c r="A889" s="14" t="n"/>
      <c r="B889" s="170" t="n"/>
      <c r="C889" s="35" t="n"/>
      <c r="D889" s="35" t="n"/>
      <c r="E889" s="35" t="n"/>
      <c r="G889" s="176">
        <f>IF(AND(E889&lt;&gt;"",F889&lt;&gt;""),E889*F889,"")</f>
      </c>
    </row>
    <row r="890" ht="16.5" customHeight="1" s="71">
      <c r="A890" s="14" t="n"/>
      <c r="B890" s="170" t="n"/>
      <c r="C890" s="35" t="n"/>
      <c r="D890" s="35" t="n"/>
      <c r="E890" s="35" t="n"/>
      <c r="G890" s="176">
        <f>IF(AND(E890&lt;&gt;"",F890&lt;&gt;""),E890*F890,"")</f>
      </c>
    </row>
    <row r="891" ht="16.5" customHeight="1" s="71">
      <c r="A891" s="14" t="n"/>
      <c r="B891" s="170" t="n"/>
      <c r="C891" s="35" t="n"/>
      <c r="D891" s="35" t="n"/>
      <c r="E891" s="35" t="n"/>
      <c r="G891" s="176">
        <f>IF(AND(E891&lt;&gt;"",F891&lt;&gt;""),E891*F891,"")</f>
      </c>
    </row>
    <row r="892" ht="16.5" customHeight="1" s="71">
      <c r="A892" s="14" t="n"/>
      <c r="B892" s="170" t="n"/>
      <c r="C892" s="35" t="n"/>
      <c r="D892" s="35" t="n"/>
      <c r="E892" s="35" t="n"/>
      <c r="G892" s="176">
        <f>IF(AND(E892&lt;&gt;"",F892&lt;&gt;""),E892*F892,"")</f>
      </c>
    </row>
    <row r="893" ht="16.5" customHeight="1" s="71">
      <c r="A893" s="14" t="n"/>
      <c r="B893" s="170" t="n"/>
      <c r="C893" s="35" t="n"/>
      <c r="D893" s="35" t="n"/>
      <c r="E893" s="35" t="n"/>
      <c r="G893" s="176">
        <f>IF(AND(E893&lt;&gt;"",F893&lt;&gt;""),E893*F893,"")</f>
      </c>
    </row>
    <row r="894" ht="16.5" customHeight="1" s="71">
      <c r="A894" s="14" t="n"/>
      <c r="B894" s="170" t="n"/>
      <c r="C894" s="35" t="n"/>
      <c r="D894" s="35" t="n"/>
      <c r="E894" s="35" t="n"/>
      <c r="G894" s="176">
        <f>IF(AND(E894&lt;&gt;"",F894&lt;&gt;""),E894*F894,"")</f>
      </c>
    </row>
    <row r="895" ht="16.5" customHeight="1" s="71">
      <c r="A895" s="14" t="n"/>
      <c r="B895" s="170" t="n"/>
      <c r="C895" s="35" t="n"/>
      <c r="D895" s="35" t="n"/>
      <c r="E895" s="35" t="n"/>
      <c r="G895" s="176">
        <f>IF(AND(E895&lt;&gt;"",F895&lt;&gt;""),E895*F895,"")</f>
      </c>
    </row>
    <row r="896" ht="16.5" customHeight="1" s="71">
      <c r="A896" s="14" t="n"/>
      <c r="B896" s="170" t="n"/>
      <c r="C896" s="35" t="n"/>
      <c r="D896" s="35" t="n"/>
      <c r="E896" s="35" t="n"/>
      <c r="G896" s="176">
        <f>IF(AND(E896&lt;&gt;"",F896&lt;&gt;""),E896*F896,"")</f>
      </c>
    </row>
    <row r="897" ht="16.5" customHeight="1" s="71">
      <c r="A897" s="14" t="n"/>
      <c r="B897" s="170" t="n"/>
      <c r="C897" s="35" t="n"/>
      <c r="D897" s="35" t="n"/>
      <c r="E897" s="35" t="n"/>
      <c r="G897" s="176">
        <f>IF(AND(E897&lt;&gt;"",F897&lt;&gt;""),E897*F897,"")</f>
      </c>
    </row>
    <row r="898" ht="16.5" customHeight="1" s="71">
      <c r="A898" s="14" t="n"/>
      <c r="B898" s="170" t="n"/>
      <c r="C898" s="35" t="n"/>
      <c r="D898" s="35" t="n"/>
      <c r="E898" s="35" t="n"/>
      <c r="G898" s="176">
        <f>IF(AND(E898&lt;&gt;"",F898&lt;&gt;""),E898*F898,"")</f>
      </c>
    </row>
    <row r="899" ht="16.5" customHeight="1" s="71">
      <c r="A899" s="14" t="n"/>
      <c r="B899" s="170" t="n"/>
      <c r="C899" s="35" t="n"/>
      <c r="D899" s="35" t="n"/>
      <c r="E899" s="35" t="n"/>
      <c r="G899" s="176">
        <f>IF(AND(E899&lt;&gt;"",F899&lt;&gt;""),E899*F899,"")</f>
      </c>
    </row>
    <row r="900" ht="16.5" customHeight="1" s="71">
      <c r="A900" s="14" t="n"/>
      <c r="B900" s="170" t="n"/>
      <c r="C900" s="35" t="n"/>
      <c r="D900" s="35" t="n"/>
      <c r="E900" s="35" t="n"/>
      <c r="G900" s="176">
        <f>IF(AND(E900&lt;&gt;"",F900&lt;&gt;""),E900*F900,"")</f>
      </c>
    </row>
    <row r="901" ht="16.5" customHeight="1" s="71">
      <c r="A901" s="14" t="n"/>
      <c r="B901" s="170" t="n"/>
      <c r="C901" s="35" t="n"/>
      <c r="D901" s="35" t="n"/>
      <c r="E901" s="35" t="n"/>
      <c r="G901" s="176">
        <f>IF(AND(E901&lt;&gt;"",F901&lt;&gt;""),E901*F901,"")</f>
      </c>
    </row>
    <row r="902" ht="16.5" customHeight="1" s="71">
      <c r="A902" s="14" t="n"/>
      <c r="B902" s="170" t="n"/>
      <c r="C902" s="35" t="n"/>
      <c r="D902" s="35" t="n"/>
      <c r="E902" s="35" t="n"/>
      <c r="G902" s="176">
        <f>IF(AND(E902&lt;&gt;"",F902&lt;&gt;""),E902*F902,"")</f>
      </c>
    </row>
    <row r="903" ht="16.5" customHeight="1" s="71">
      <c r="A903" s="14" t="n"/>
      <c r="B903" s="170" t="n"/>
      <c r="C903" s="35" t="n"/>
      <c r="D903" s="35" t="n"/>
      <c r="E903" s="35" t="n"/>
      <c r="G903" s="176">
        <f>IF(AND(E903&lt;&gt;"",F903&lt;&gt;""),E903*F903,"")</f>
      </c>
    </row>
    <row r="904" ht="16.5" customHeight="1" s="71">
      <c r="A904" s="14" t="n"/>
      <c r="B904" s="170" t="n"/>
      <c r="C904" s="35" t="n"/>
      <c r="D904" s="35" t="n"/>
      <c r="E904" s="35" t="n"/>
      <c r="G904" s="176">
        <f>IF(AND(E904&lt;&gt;"",F904&lt;&gt;""),E904*F904,"")</f>
      </c>
    </row>
    <row r="905" ht="16.5" customHeight="1" s="71">
      <c r="A905" s="14" t="n"/>
      <c r="B905" s="170" t="n"/>
      <c r="C905" s="35" t="n"/>
      <c r="D905" s="35" t="n"/>
      <c r="E905" s="35" t="n"/>
      <c r="G905" s="176">
        <f>IF(AND(E905&lt;&gt;"",F905&lt;&gt;""),E905*F905,"")</f>
      </c>
    </row>
    <row r="906" ht="16.5" customHeight="1" s="71">
      <c r="A906" s="14" t="n"/>
      <c r="B906" s="170" t="n"/>
      <c r="C906" s="35" t="n"/>
      <c r="D906" s="35" t="n"/>
      <c r="E906" s="35" t="n"/>
      <c r="G906" s="176">
        <f>IF(AND(E906&lt;&gt;"",F906&lt;&gt;""),E906*F906,"")</f>
      </c>
    </row>
    <row r="907" ht="16.5" customHeight="1" s="71">
      <c r="A907" s="14" t="n"/>
      <c r="B907" s="170" t="n"/>
      <c r="C907" s="35" t="n"/>
      <c r="D907" s="35" t="n"/>
      <c r="E907" s="35" t="n"/>
      <c r="G907" s="176">
        <f>IF(AND(E907&lt;&gt;"",F907&lt;&gt;""),E907*F907,"")</f>
      </c>
    </row>
    <row r="908" ht="16.5" customHeight="1" s="71">
      <c r="A908" s="14" t="n"/>
      <c r="B908" s="170" t="n"/>
      <c r="C908" s="35" t="n"/>
      <c r="D908" s="35" t="n"/>
      <c r="E908" s="35" t="n"/>
      <c r="G908" s="176">
        <f>IF(AND(E908&lt;&gt;"",F908&lt;&gt;""),E908*F908,"")</f>
      </c>
    </row>
    <row r="909" ht="16.5" customHeight="1" s="71">
      <c r="A909" s="14" t="n"/>
      <c r="B909" s="170" t="n"/>
      <c r="C909" s="35" t="n"/>
      <c r="D909" s="35" t="n"/>
      <c r="E909" s="35" t="n"/>
      <c r="G909" s="176">
        <f>IF(AND(E909&lt;&gt;"",F909&lt;&gt;""),E909*F909,"")</f>
      </c>
    </row>
    <row r="910" ht="16.5" customHeight="1" s="71">
      <c r="A910" s="14" t="n"/>
      <c r="B910" s="170" t="n"/>
      <c r="C910" s="35" t="n"/>
      <c r="D910" s="35" t="n"/>
      <c r="E910" s="35" t="n"/>
      <c r="G910" s="176">
        <f>IF(AND(E910&lt;&gt;"",F910&lt;&gt;""),E910*F910,"")</f>
      </c>
    </row>
    <row r="911" ht="16.5" customHeight="1" s="71">
      <c r="A911" s="14" t="n"/>
      <c r="B911" s="170" t="n"/>
      <c r="C911" s="35" t="n"/>
      <c r="D911" s="35" t="n"/>
      <c r="E911" s="35" t="n"/>
      <c r="G911" s="176">
        <f>IF(AND(E911&lt;&gt;"",F911&lt;&gt;""),E911*F911,"")</f>
      </c>
    </row>
    <row r="912" ht="16.5" customHeight="1" s="71">
      <c r="A912" s="14" t="n"/>
      <c r="B912" s="170" t="n"/>
      <c r="C912" s="35" t="n"/>
      <c r="D912" s="35" t="n"/>
      <c r="E912" s="35" t="n"/>
      <c r="G912" s="176">
        <f>IF(AND(E912&lt;&gt;"",F912&lt;&gt;""),E912*F912,"")</f>
      </c>
    </row>
    <row r="913" ht="16.5" customHeight="1" s="71">
      <c r="A913" s="14" t="n"/>
      <c r="B913" s="170" t="n"/>
      <c r="C913" s="35" t="n"/>
      <c r="D913" s="35" t="n"/>
      <c r="E913" s="35" t="n"/>
      <c r="G913" s="176">
        <f>IF(AND(E913&lt;&gt;"",F913&lt;&gt;""),E913*F913,"")</f>
      </c>
    </row>
    <row r="914" ht="16.5" customHeight="1" s="71">
      <c r="A914" s="14" t="n"/>
      <c r="B914" s="170" t="n"/>
      <c r="C914" s="35" t="n"/>
      <c r="D914" s="35" t="n"/>
      <c r="E914" s="35" t="n"/>
      <c r="G914" s="176">
        <f>IF(AND(E914&lt;&gt;"",F914&lt;&gt;""),E914*F914,"")</f>
      </c>
    </row>
    <row r="915" ht="16.5" customHeight="1" s="71">
      <c r="A915" s="14" t="n"/>
      <c r="B915" s="170" t="n"/>
      <c r="C915" s="35" t="n"/>
      <c r="D915" s="35" t="n"/>
      <c r="E915" s="35" t="n"/>
      <c r="G915" s="176">
        <f>IF(AND(E915&lt;&gt;"",F915&lt;&gt;""),E915*F915,"")</f>
      </c>
    </row>
    <row r="916" ht="16.5" customHeight="1" s="71">
      <c r="A916" s="14" t="n"/>
      <c r="B916" s="170" t="n"/>
      <c r="C916" s="35" t="n"/>
      <c r="D916" s="35" t="n"/>
      <c r="E916" s="35" t="n"/>
      <c r="G916" s="176">
        <f>IF(AND(E916&lt;&gt;"",F916&lt;&gt;""),E916*F916,"")</f>
      </c>
    </row>
    <row r="917" ht="16.5" customHeight="1" s="71">
      <c r="A917" s="14" t="n"/>
      <c r="B917" s="170" t="n"/>
      <c r="C917" s="35" t="n"/>
      <c r="D917" s="35" t="n"/>
      <c r="E917" s="35" t="n"/>
      <c r="G917" s="176">
        <f>IF(AND(E917&lt;&gt;"",F917&lt;&gt;""),E917*F917,"")</f>
      </c>
    </row>
    <row r="918" ht="16.5" customHeight="1" s="71">
      <c r="A918" s="14" t="n"/>
      <c r="B918" s="170" t="n"/>
      <c r="C918" s="35" t="n"/>
      <c r="D918" s="35" t="n"/>
      <c r="E918" s="35" t="n"/>
      <c r="G918" s="176">
        <f>IF(AND(E918&lt;&gt;"",F918&lt;&gt;""),E918*F918,"")</f>
      </c>
    </row>
    <row r="919" ht="16.5" customHeight="1" s="71">
      <c r="A919" s="14" t="n"/>
      <c r="B919" s="170" t="n"/>
      <c r="C919" s="35" t="n"/>
      <c r="D919" s="35" t="n"/>
      <c r="E919" s="35" t="n"/>
      <c r="G919" s="176">
        <f>IF(AND(E919&lt;&gt;"",F919&lt;&gt;""),E919*F919,"")</f>
      </c>
    </row>
    <row r="920" ht="16.5" customHeight="1" s="71">
      <c r="A920" s="14" t="n"/>
      <c r="B920" s="170" t="n"/>
      <c r="C920" s="35" t="n"/>
      <c r="D920" s="35" t="n"/>
      <c r="E920" s="35" t="n"/>
      <c r="G920" s="176">
        <f>IF(AND(E920&lt;&gt;"",F920&lt;&gt;""),E920*F920,"")</f>
      </c>
    </row>
    <row r="921" ht="16.5" customHeight="1" s="71">
      <c r="A921" s="14" t="n"/>
      <c r="B921" s="170" t="n"/>
      <c r="C921" s="35" t="n"/>
      <c r="D921" s="35" t="n"/>
      <c r="E921" s="35" t="n"/>
      <c r="G921" s="176">
        <f>IF(AND(E921&lt;&gt;"",F921&lt;&gt;""),E921*F921,"")</f>
      </c>
    </row>
    <row r="922" ht="16.5" customHeight="1" s="71">
      <c r="A922" s="14" t="n"/>
      <c r="B922" s="170" t="n"/>
      <c r="C922" s="35" t="n"/>
      <c r="D922" s="35" t="n"/>
      <c r="E922" s="35" t="n"/>
      <c r="G922" s="176">
        <f>IF(AND(E922&lt;&gt;"",F922&lt;&gt;""),E922*F922,"")</f>
      </c>
    </row>
    <row r="923" ht="16.5" customHeight="1" s="71">
      <c r="A923" s="14" t="n"/>
      <c r="B923" s="170" t="n"/>
      <c r="C923" s="35" t="n"/>
      <c r="D923" s="35" t="n"/>
      <c r="E923" s="35" t="n"/>
      <c r="G923" s="176">
        <f>IF(AND(E923&lt;&gt;"",F923&lt;&gt;""),E923*F923,"")</f>
      </c>
    </row>
    <row r="924" ht="16.5" customHeight="1" s="71">
      <c r="A924" s="14" t="n"/>
      <c r="B924" s="170" t="n"/>
      <c r="C924" s="35" t="n"/>
      <c r="D924" s="35" t="n"/>
      <c r="E924" s="35" t="n"/>
      <c r="G924" s="176">
        <f>IF(AND(E924&lt;&gt;"",F924&lt;&gt;""),E924*F924,"")</f>
      </c>
    </row>
    <row r="925" ht="16.5" customHeight="1" s="71">
      <c r="A925" s="14" t="n"/>
      <c r="B925" s="170" t="n"/>
      <c r="C925" s="35" t="n"/>
      <c r="D925" s="35" t="n"/>
      <c r="E925" s="35" t="n"/>
      <c r="G925" s="176">
        <f>IF(AND(E925&lt;&gt;"",F925&lt;&gt;""),E925*F925,"")</f>
      </c>
    </row>
    <row r="926" ht="16.5" customHeight="1" s="71">
      <c r="A926" s="14" t="n"/>
      <c r="B926" s="170" t="n"/>
      <c r="C926" s="35" t="n"/>
      <c r="D926" s="35" t="n"/>
      <c r="E926" s="35" t="n"/>
      <c r="G926" s="176">
        <f>IF(AND(E926&lt;&gt;"",F926&lt;&gt;""),E926*F926,"")</f>
      </c>
    </row>
    <row r="927" ht="16.5" customHeight="1" s="71">
      <c r="A927" s="14" t="n"/>
      <c r="B927" s="170" t="n"/>
      <c r="C927" s="35" t="n"/>
      <c r="D927" s="35" t="n"/>
      <c r="E927" s="35" t="n"/>
      <c r="G927" s="176">
        <f>IF(AND(E927&lt;&gt;"",F927&lt;&gt;""),E927*F927,"")</f>
      </c>
    </row>
    <row r="928" ht="16.5" customHeight="1" s="71">
      <c r="A928" s="14" t="n"/>
      <c r="B928" s="170" t="n"/>
      <c r="C928" s="35" t="n"/>
      <c r="D928" s="35" t="n"/>
      <c r="E928" s="35" t="n"/>
      <c r="G928" s="176">
        <f>IF(AND(E928&lt;&gt;"",F928&lt;&gt;""),E928*F928,"")</f>
      </c>
    </row>
    <row r="929" ht="16.5" customHeight="1" s="71">
      <c r="A929" s="14" t="n"/>
      <c r="B929" s="170" t="n"/>
      <c r="C929" s="35" t="n"/>
      <c r="D929" s="35" t="n"/>
      <c r="E929" s="35" t="n"/>
      <c r="G929" s="176">
        <f>IF(AND(E929&lt;&gt;"",F929&lt;&gt;""),E929*F929,"")</f>
      </c>
    </row>
    <row r="930" ht="16.5" customHeight="1" s="71">
      <c r="A930" s="14" t="n"/>
      <c r="B930" s="170" t="n"/>
      <c r="C930" s="35" t="n"/>
      <c r="D930" s="35" t="n"/>
      <c r="E930" s="35" t="n"/>
      <c r="G930" s="176">
        <f>IF(AND(E930&lt;&gt;"",F930&lt;&gt;""),E930*F930,"")</f>
      </c>
    </row>
    <row r="931" ht="16.5" customHeight="1" s="71">
      <c r="A931" s="14" t="n"/>
      <c r="B931" s="170" t="n"/>
      <c r="C931" s="35" t="n"/>
      <c r="D931" s="35" t="n"/>
      <c r="E931" s="35" t="n"/>
      <c r="G931" s="176">
        <f>IF(AND(E931&lt;&gt;"",F931&lt;&gt;""),E931*F931,"")</f>
      </c>
    </row>
    <row r="932" ht="16.5" customHeight="1" s="71">
      <c r="A932" s="14" t="n"/>
      <c r="B932" s="170" t="n"/>
      <c r="C932" s="35" t="n"/>
      <c r="D932" s="35" t="n"/>
      <c r="E932" s="35" t="n"/>
      <c r="G932" s="176">
        <f>IF(AND(E932&lt;&gt;"",F932&lt;&gt;""),E932*F932,"")</f>
      </c>
    </row>
    <row r="933" ht="16.5" customHeight="1" s="71">
      <c r="A933" s="14" t="n"/>
      <c r="B933" s="170" t="n"/>
      <c r="C933" s="35" t="n"/>
      <c r="D933" s="35" t="n"/>
      <c r="E933" s="35" t="n"/>
      <c r="G933" s="176">
        <f>IF(AND(E933&lt;&gt;"",F933&lt;&gt;""),E933*F933,"")</f>
      </c>
    </row>
    <row r="934" ht="16.5" customHeight="1" s="71">
      <c r="A934" s="14" t="n"/>
      <c r="B934" s="170" t="n"/>
      <c r="C934" s="35" t="n"/>
      <c r="D934" s="35" t="n"/>
      <c r="E934" s="35" t="n"/>
      <c r="G934" s="176">
        <f>IF(AND(E934&lt;&gt;"",F934&lt;&gt;""),E934*F934,"")</f>
      </c>
    </row>
    <row r="935" ht="16.5" customHeight="1" s="71">
      <c r="A935" s="14" t="n"/>
      <c r="B935" s="170" t="n"/>
      <c r="C935" s="35" t="n"/>
      <c r="D935" s="35" t="n"/>
      <c r="E935" s="35" t="n"/>
      <c r="G935" s="176">
        <f>IF(AND(E935&lt;&gt;"",F935&lt;&gt;""),E935*F935,"")</f>
      </c>
    </row>
    <row r="936" ht="16.5" customHeight="1" s="71">
      <c r="A936" s="14" t="n"/>
      <c r="B936" s="170" t="n"/>
      <c r="C936" s="35" t="n"/>
      <c r="D936" s="35" t="n"/>
      <c r="E936" s="35" t="n"/>
      <c r="G936" s="176">
        <f>IF(AND(E936&lt;&gt;"",F936&lt;&gt;""),E936*F936,"")</f>
      </c>
    </row>
    <row r="937" ht="16.5" customHeight="1" s="71">
      <c r="A937" s="14" t="n"/>
      <c r="B937" s="170" t="n"/>
      <c r="C937" s="35" t="n"/>
      <c r="D937" s="35" t="n"/>
      <c r="E937" s="35" t="n"/>
      <c r="G937" s="176">
        <f>IF(AND(E937&lt;&gt;"",F937&lt;&gt;""),E937*F937,"")</f>
      </c>
    </row>
    <row r="938" ht="16.5" customHeight="1" s="71">
      <c r="A938" s="14" t="n"/>
      <c r="B938" s="170" t="n"/>
      <c r="C938" s="35" t="n"/>
      <c r="D938" s="35" t="n"/>
      <c r="E938" s="35" t="n"/>
      <c r="G938" s="176">
        <f>IF(AND(E938&lt;&gt;"",F938&lt;&gt;""),E938*F938,"")</f>
      </c>
    </row>
    <row r="939" ht="16.5" customHeight="1" s="71">
      <c r="A939" s="14" t="n"/>
      <c r="B939" s="170" t="n"/>
      <c r="C939" s="35" t="n"/>
      <c r="D939" s="35" t="n"/>
      <c r="E939" s="35" t="n"/>
      <c r="G939" s="176">
        <f>IF(AND(E939&lt;&gt;"",F939&lt;&gt;""),E939*F939,"")</f>
      </c>
    </row>
    <row r="940" ht="16.5" customHeight="1" s="71">
      <c r="A940" s="14" t="n"/>
      <c r="B940" s="170" t="n"/>
      <c r="C940" s="35" t="n"/>
      <c r="D940" s="35" t="n"/>
      <c r="E940" s="35" t="n"/>
      <c r="G940" s="176">
        <f>IF(AND(E940&lt;&gt;"",F940&lt;&gt;""),E940*F940,"")</f>
      </c>
    </row>
    <row r="941" ht="16.5" customHeight="1" s="71">
      <c r="A941" s="14" t="n"/>
      <c r="B941" s="170" t="n"/>
      <c r="C941" s="35" t="n"/>
      <c r="D941" s="35" t="n"/>
      <c r="E941" s="35" t="n"/>
      <c r="G941" s="176">
        <f>IF(AND(E941&lt;&gt;"",F941&lt;&gt;""),E941*F941,"")</f>
      </c>
    </row>
    <row r="942" ht="16.5" customHeight="1" s="71">
      <c r="A942" s="14" t="n"/>
      <c r="B942" s="170" t="n"/>
      <c r="C942" s="35" t="n"/>
      <c r="D942" s="35" t="n"/>
      <c r="E942" s="35" t="n"/>
      <c r="G942" s="176">
        <f>IF(AND(E942&lt;&gt;"",F942&lt;&gt;""),E942*F942,"")</f>
      </c>
    </row>
    <row r="943" ht="16.5" customHeight="1" s="71">
      <c r="A943" s="14" t="n"/>
      <c r="B943" s="170" t="n"/>
      <c r="C943" s="35" t="n"/>
      <c r="D943" s="35" t="n"/>
      <c r="E943" s="35" t="n"/>
      <c r="G943" s="176">
        <f>IF(AND(E943&lt;&gt;"",F943&lt;&gt;""),E943*F943,"")</f>
      </c>
    </row>
    <row r="944" ht="16.5" customHeight="1" s="71">
      <c r="A944" s="14" t="n"/>
      <c r="B944" s="170" t="n"/>
      <c r="C944" s="35" t="n"/>
      <c r="D944" s="35" t="n"/>
      <c r="E944" s="35" t="n"/>
      <c r="G944" s="176">
        <f>IF(AND(E944&lt;&gt;"",F944&lt;&gt;""),E944*F944,"")</f>
      </c>
    </row>
    <row r="945" ht="16.5" customHeight="1" s="71">
      <c r="A945" s="14" t="n"/>
      <c r="B945" s="170" t="n"/>
      <c r="C945" s="35" t="n"/>
      <c r="D945" s="35" t="n"/>
      <c r="E945" s="35" t="n"/>
      <c r="G945" s="176">
        <f>IF(AND(E945&lt;&gt;"",F945&lt;&gt;""),E945*F945,"")</f>
      </c>
    </row>
    <row r="946" ht="16.5" customHeight="1" s="71">
      <c r="A946" s="14" t="n"/>
      <c r="B946" s="170" t="n"/>
      <c r="C946" s="35" t="n"/>
      <c r="D946" s="35" t="n"/>
      <c r="E946" s="35" t="n"/>
      <c r="G946" s="176">
        <f>IF(AND(E946&lt;&gt;"",F946&lt;&gt;""),E946*F946,"")</f>
      </c>
    </row>
    <row r="947" ht="16.5" customHeight="1" s="71">
      <c r="A947" s="14" t="n"/>
      <c r="B947" s="170" t="n"/>
      <c r="C947" s="35" t="n"/>
      <c r="D947" s="35" t="n"/>
      <c r="E947" s="35" t="n"/>
      <c r="G947" s="176">
        <f>IF(AND(E947&lt;&gt;"",F947&lt;&gt;""),E947*F947,"")</f>
      </c>
    </row>
    <row r="948" ht="16.5" customHeight="1" s="71">
      <c r="A948" s="14" t="n"/>
      <c r="B948" s="170" t="n"/>
      <c r="C948" s="35" t="n"/>
      <c r="D948" s="35" t="n"/>
      <c r="E948" s="35" t="n"/>
      <c r="G948" s="176">
        <f>IF(AND(E948&lt;&gt;"",F948&lt;&gt;""),E948*F948,"")</f>
      </c>
    </row>
    <row r="949" ht="16.5" customHeight="1" s="71">
      <c r="A949" s="14" t="n"/>
      <c r="B949" s="170" t="n"/>
      <c r="C949" s="35" t="n"/>
      <c r="D949" s="35" t="n"/>
      <c r="E949" s="35" t="n"/>
      <c r="G949" s="176">
        <f>IF(AND(E949&lt;&gt;"",F949&lt;&gt;""),E949*F949,"")</f>
      </c>
    </row>
    <row r="950" ht="16.5" customHeight="1" s="71">
      <c r="A950" s="14" t="n"/>
      <c r="B950" s="170" t="n"/>
      <c r="C950" s="35" t="n"/>
      <c r="D950" s="35" t="n"/>
      <c r="E950" s="35" t="n"/>
      <c r="G950" s="176">
        <f>IF(AND(E950&lt;&gt;"",F950&lt;&gt;""),E950*F950,"")</f>
      </c>
    </row>
    <row r="951" ht="16.5" customHeight="1" s="71">
      <c r="A951" s="14" t="n"/>
      <c r="B951" s="170" t="n"/>
      <c r="C951" s="35" t="n"/>
      <c r="D951" s="35" t="n"/>
      <c r="E951" s="35" t="n"/>
      <c r="G951" s="176">
        <f>IF(AND(E951&lt;&gt;"",F951&lt;&gt;""),E951*F951,"")</f>
      </c>
    </row>
    <row r="952" ht="16.5" customHeight="1" s="71">
      <c r="A952" s="14" t="n"/>
      <c r="B952" s="170" t="n"/>
      <c r="C952" s="35" t="n"/>
      <c r="D952" s="35" t="n"/>
      <c r="E952" s="35" t="n"/>
      <c r="G952" s="176">
        <f>IF(AND(E952&lt;&gt;"",F952&lt;&gt;""),E952*F952,"")</f>
      </c>
    </row>
    <row r="953" ht="16.5" customHeight="1" s="71">
      <c r="A953" s="14" t="n"/>
      <c r="B953" s="170" t="n"/>
      <c r="C953" s="35" t="n"/>
      <c r="D953" s="35" t="n"/>
      <c r="E953" s="35" t="n"/>
      <c r="G953" s="176">
        <f>IF(AND(E953&lt;&gt;"",F953&lt;&gt;""),E953*F953,"")</f>
      </c>
    </row>
    <row r="954" ht="16.5" customHeight="1" s="71">
      <c r="A954" s="14" t="n"/>
      <c r="B954" s="170" t="n"/>
      <c r="C954" s="35" t="n"/>
      <c r="D954" s="35" t="n"/>
      <c r="E954" s="35" t="n"/>
      <c r="G954" s="176">
        <f>IF(AND(E954&lt;&gt;"",F954&lt;&gt;""),E954*F954,"")</f>
      </c>
    </row>
    <row r="955" ht="16.5" customHeight="1" s="71">
      <c r="A955" s="14" t="n"/>
      <c r="B955" s="170" t="n"/>
      <c r="C955" s="35" t="n"/>
      <c r="D955" s="35" t="n"/>
      <c r="E955" s="35" t="n"/>
      <c r="G955" s="176">
        <f>IF(AND(E955&lt;&gt;"",F955&lt;&gt;""),E955*F955,"")</f>
      </c>
    </row>
    <row r="956" ht="16.5" customHeight="1" s="71">
      <c r="A956" s="14" t="n"/>
      <c r="B956" s="170" t="n"/>
      <c r="C956" s="35" t="n"/>
      <c r="D956" s="35" t="n"/>
      <c r="E956" s="35" t="n"/>
      <c r="G956" s="176">
        <f>IF(AND(E956&lt;&gt;"",F956&lt;&gt;""),E956*F956,"")</f>
      </c>
    </row>
    <row r="957" ht="16.5" customHeight="1" s="71">
      <c r="A957" s="14" t="n"/>
      <c r="B957" s="170" t="n"/>
      <c r="C957" s="35" t="n"/>
      <c r="D957" s="35" t="n"/>
      <c r="E957" s="35" t="n"/>
      <c r="G957" s="176">
        <f>IF(AND(E957&lt;&gt;"",F957&lt;&gt;""),E957*F957,"")</f>
      </c>
    </row>
    <row r="958" ht="16.5" customHeight="1" s="71">
      <c r="A958" s="14" t="n"/>
      <c r="B958" s="170" t="n"/>
      <c r="C958" s="35" t="n"/>
      <c r="D958" s="35" t="n"/>
      <c r="E958" s="35" t="n"/>
      <c r="G958" s="176">
        <f>IF(AND(E958&lt;&gt;"",F958&lt;&gt;""),E958*F958,"")</f>
      </c>
    </row>
    <row r="959" ht="16.5" customHeight="1" s="71">
      <c r="A959" s="14" t="n"/>
      <c r="B959" s="170" t="n"/>
      <c r="C959" s="35" t="n"/>
      <c r="D959" s="35" t="n"/>
      <c r="E959" s="35" t="n"/>
      <c r="G959" s="176">
        <f>IF(AND(E959&lt;&gt;"",F959&lt;&gt;""),E959*F959,"")</f>
      </c>
    </row>
    <row r="960" ht="16.5" customHeight="1" s="71">
      <c r="A960" s="14" t="n"/>
      <c r="B960" s="170" t="n"/>
      <c r="C960" s="35" t="n"/>
      <c r="D960" s="35" t="n"/>
      <c r="E960" s="35" t="n"/>
      <c r="G960" s="176">
        <f>IF(AND(E960&lt;&gt;"",F960&lt;&gt;""),E960*F960,"")</f>
      </c>
    </row>
    <row r="961" ht="16.5" customHeight="1" s="71">
      <c r="A961" s="14" t="n"/>
      <c r="B961" s="170" t="n"/>
      <c r="C961" s="35" t="n"/>
      <c r="D961" s="35" t="n"/>
      <c r="E961" s="35" t="n"/>
      <c r="G961" s="176">
        <f>IF(AND(E961&lt;&gt;"",F961&lt;&gt;""),E961*F961,"")</f>
      </c>
    </row>
    <row r="962" ht="16.5" customHeight="1" s="71">
      <c r="A962" s="14" t="n"/>
      <c r="B962" s="170" t="n"/>
      <c r="C962" s="35" t="n"/>
      <c r="D962" s="35" t="n"/>
      <c r="E962" s="35" t="n"/>
      <c r="G962" s="176">
        <f>IF(AND(E962&lt;&gt;"",F962&lt;&gt;""),E962*F962,"")</f>
      </c>
    </row>
    <row r="963" ht="16.5" customHeight="1" s="71">
      <c r="A963" s="14" t="n"/>
      <c r="B963" s="170" t="n"/>
      <c r="C963" s="35" t="n"/>
      <c r="D963" s="35" t="n"/>
      <c r="E963" s="35" t="n"/>
      <c r="G963" s="176">
        <f>IF(AND(E963&lt;&gt;"",F963&lt;&gt;""),E963*F963,"")</f>
      </c>
    </row>
    <row r="964" ht="16.5" customHeight="1" s="71">
      <c r="A964" s="14" t="n"/>
      <c r="B964" s="170" t="n"/>
      <c r="C964" s="35" t="n"/>
      <c r="D964" s="35" t="n"/>
      <c r="E964" s="35" t="n"/>
      <c r="G964" s="176">
        <f>IF(AND(E964&lt;&gt;"",F964&lt;&gt;""),E964*F964,"")</f>
      </c>
    </row>
    <row r="965" ht="16.5" customHeight="1" s="71">
      <c r="A965" s="14" t="n"/>
      <c r="B965" s="170" t="n"/>
      <c r="C965" s="35" t="n"/>
      <c r="D965" s="35" t="n"/>
      <c r="E965" s="35" t="n"/>
      <c r="G965" s="176">
        <f>IF(AND(E965&lt;&gt;"",F965&lt;&gt;""),E965*F965,"")</f>
      </c>
    </row>
    <row r="966" ht="16.5" customHeight="1" s="71">
      <c r="A966" s="14" t="n"/>
      <c r="B966" s="170" t="n"/>
      <c r="C966" s="35" t="n"/>
      <c r="D966" s="35" t="n"/>
      <c r="E966" s="35" t="n"/>
      <c r="G966" s="176">
        <f>IF(AND(E966&lt;&gt;"",F966&lt;&gt;""),E966*F966,"")</f>
      </c>
    </row>
    <row r="967" ht="16.5" customHeight="1" s="71">
      <c r="A967" s="14" t="n"/>
      <c r="B967" s="170" t="n"/>
      <c r="C967" s="35" t="n"/>
      <c r="D967" s="35" t="n"/>
      <c r="E967" s="35" t="n"/>
      <c r="G967" s="176">
        <f>IF(AND(E967&lt;&gt;"",F967&lt;&gt;""),E967*F967,"")</f>
      </c>
    </row>
    <row r="968" ht="16.5" customHeight="1" s="71">
      <c r="A968" s="14" t="n"/>
      <c r="B968" s="170" t="n"/>
      <c r="C968" s="35" t="n"/>
      <c r="D968" s="35" t="n"/>
      <c r="E968" s="35" t="n"/>
      <c r="G968" s="176">
        <f>IF(AND(E968&lt;&gt;"",F968&lt;&gt;""),E968*F968,"")</f>
      </c>
    </row>
    <row r="969" ht="16.5" customHeight="1" s="71">
      <c r="A969" s="14" t="n"/>
      <c r="B969" s="170" t="n"/>
      <c r="C969" s="35" t="n"/>
      <c r="D969" s="35" t="n"/>
      <c r="E969" s="35" t="n"/>
      <c r="G969" s="176">
        <f>IF(AND(E969&lt;&gt;"",F969&lt;&gt;""),E969*F969,"")</f>
      </c>
    </row>
    <row r="970" ht="16.5" customHeight="1" s="71">
      <c r="A970" s="14" t="n"/>
      <c r="B970" s="170" t="n"/>
      <c r="C970" s="35" t="n"/>
      <c r="D970" s="35" t="n"/>
      <c r="E970" s="35" t="n"/>
      <c r="G970" s="176">
        <f>IF(AND(E970&lt;&gt;"",F970&lt;&gt;""),E970*F970,"")</f>
      </c>
    </row>
    <row r="971" ht="16.5" customHeight="1" s="71">
      <c r="A971" s="14" t="n"/>
      <c r="B971" s="170" t="n"/>
      <c r="C971" s="35" t="n"/>
      <c r="D971" s="35" t="n"/>
      <c r="E971" s="35" t="n"/>
      <c r="G971" s="176">
        <f>IF(AND(E971&lt;&gt;"",F971&lt;&gt;""),E971*F971,"")</f>
      </c>
    </row>
    <row r="972" ht="16.5" customHeight="1" s="71">
      <c r="A972" s="14" t="n"/>
      <c r="B972" s="170" t="n"/>
      <c r="C972" s="35" t="n"/>
      <c r="D972" s="35" t="n"/>
      <c r="E972" s="35" t="n"/>
      <c r="G972" s="176">
        <f>IF(AND(E972&lt;&gt;"",F972&lt;&gt;""),E972*F972,"")</f>
      </c>
    </row>
    <row r="973" ht="16.5" customHeight="1" s="71">
      <c r="A973" s="14" t="n"/>
      <c r="B973" s="170" t="n"/>
      <c r="C973" s="35" t="n"/>
      <c r="D973" s="35" t="n"/>
      <c r="E973" s="35" t="n"/>
      <c r="G973" s="176">
        <f>IF(AND(E973&lt;&gt;"",F973&lt;&gt;""),E973*F973,"")</f>
      </c>
    </row>
    <row r="974" ht="16.5" customHeight="1" s="71">
      <c r="A974" s="14" t="n"/>
      <c r="B974" s="170" t="n"/>
      <c r="C974" s="35" t="n"/>
      <c r="D974" s="35" t="n"/>
      <c r="E974" s="35" t="n"/>
      <c r="G974" s="176">
        <f>IF(AND(E974&lt;&gt;"",F974&lt;&gt;""),E974*F974,"")</f>
      </c>
    </row>
    <row r="975" ht="16.5" customHeight="1" s="71">
      <c r="A975" s="14" t="n"/>
      <c r="B975" s="170" t="n"/>
      <c r="C975" s="35" t="n"/>
      <c r="D975" s="35" t="n"/>
      <c r="E975" s="35" t="n"/>
      <c r="G975" s="176">
        <f>IF(AND(E975&lt;&gt;"",F975&lt;&gt;""),E975*F975,"")</f>
      </c>
    </row>
    <row r="976" ht="16.5" customHeight="1" s="71">
      <c r="A976" s="14" t="n"/>
      <c r="B976" s="170" t="n"/>
      <c r="C976" s="35" t="n"/>
      <c r="D976" s="35" t="n"/>
      <c r="E976" s="35" t="n"/>
      <c r="G976" s="176">
        <f>IF(AND(E976&lt;&gt;"",F976&lt;&gt;""),E976*F976,"")</f>
      </c>
    </row>
    <row r="977" ht="16.5" customHeight="1" s="71">
      <c r="A977" s="14" t="n"/>
      <c r="B977" s="170" t="n"/>
      <c r="C977" s="35" t="n"/>
      <c r="D977" s="35" t="n"/>
      <c r="E977" s="35" t="n"/>
      <c r="G977" s="176">
        <f>IF(AND(E977&lt;&gt;"",F977&lt;&gt;""),E977*F977,"")</f>
      </c>
    </row>
    <row r="978" ht="16.5" customHeight="1" s="71">
      <c r="A978" s="14" t="n"/>
      <c r="B978" s="170" t="n"/>
      <c r="C978" s="35" t="n"/>
      <c r="D978" s="35" t="n"/>
      <c r="E978" s="35" t="n"/>
      <c r="G978" s="176">
        <f>IF(AND(E978&lt;&gt;"",F978&lt;&gt;""),E978*F978,"")</f>
      </c>
    </row>
    <row r="979" ht="16.5" customHeight="1" s="71">
      <c r="A979" s="14" t="n"/>
      <c r="B979" s="170" t="n"/>
      <c r="C979" s="35" t="n"/>
      <c r="D979" s="35" t="n"/>
      <c r="E979" s="35" t="n"/>
      <c r="G979" s="176">
        <f>IF(AND(E979&lt;&gt;"",F979&lt;&gt;""),E979*F979,"")</f>
      </c>
    </row>
    <row r="980" ht="16.5" customHeight="1" s="71">
      <c r="A980" s="14" t="n"/>
      <c r="B980" s="170" t="n"/>
      <c r="C980" s="35" t="n"/>
      <c r="D980" s="35" t="n"/>
      <c r="E980" s="35" t="n"/>
      <c r="G980" s="176">
        <f>IF(AND(E980&lt;&gt;"",F980&lt;&gt;""),E980*F980,"")</f>
      </c>
    </row>
    <row r="981" ht="16.5" customHeight="1" s="71">
      <c r="A981" s="14" t="n"/>
      <c r="B981" s="170" t="n"/>
      <c r="C981" s="35" t="n"/>
      <c r="D981" s="35" t="n"/>
      <c r="E981" s="35" t="n"/>
      <c r="G981" s="176">
        <f>IF(AND(E981&lt;&gt;"",F981&lt;&gt;""),E981*F981,"")</f>
      </c>
    </row>
    <row r="982" ht="16.5" customHeight="1" s="71">
      <c r="A982" s="14" t="n"/>
      <c r="B982" s="170" t="n"/>
      <c r="C982" s="35" t="n"/>
      <c r="D982" s="35" t="n"/>
      <c r="E982" s="35" t="n"/>
      <c r="G982" s="176">
        <f>IF(AND(E982&lt;&gt;"",F982&lt;&gt;""),E982*F982,"")</f>
      </c>
    </row>
    <row r="983" ht="16.5" customHeight="1" s="71">
      <c r="A983" s="14" t="n"/>
      <c r="B983" s="170" t="n"/>
      <c r="C983" s="35" t="n"/>
      <c r="D983" s="35" t="n"/>
      <c r="E983" s="35" t="n"/>
      <c r="G983" s="176">
        <f>IF(AND(E983&lt;&gt;"",F983&lt;&gt;""),E983*F983,"")</f>
      </c>
    </row>
    <row r="984" ht="16.5" customHeight="1" s="71">
      <c r="A984" s="14" t="n"/>
      <c r="B984" s="170" t="n"/>
      <c r="C984" s="35" t="n"/>
      <c r="D984" s="35" t="n"/>
      <c r="E984" s="35" t="n"/>
      <c r="G984" s="176">
        <f>IF(AND(E984&lt;&gt;"",F984&lt;&gt;""),E984*F984,"")</f>
      </c>
    </row>
    <row r="985" ht="16.5" customHeight="1" s="71">
      <c r="A985" s="14" t="n"/>
      <c r="B985" s="170" t="n"/>
      <c r="C985" s="35" t="n"/>
      <c r="D985" s="35" t="n"/>
      <c r="E985" s="35" t="n"/>
      <c r="G985" s="176">
        <f>IF(AND(E985&lt;&gt;"",F985&lt;&gt;""),E985*F985,"")</f>
      </c>
    </row>
    <row r="986" ht="16.5" customHeight="1" s="71">
      <c r="A986" s="14" t="n"/>
      <c r="B986" s="170" t="n"/>
      <c r="C986" s="35" t="n"/>
      <c r="D986" s="35" t="n"/>
      <c r="E986" s="35" t="n"/>
      <c r="G986" s="176">
        <f>IF(AND(E986&lt;&gt;"",F986&lt;&gt;""),E986*F986,"")</f>
      </c>
    </row>
    <row r="987" ht="16.5" customHeight="1" s="71">
      <c r="A987" s="14" t="n"/>
      <c r="B987" s="170" t="n"/>
      <c r="C987" s="35" t="n"/>
      <c r="D987" s="35" t="n"/>
      <c r="E987" s="35" t="n"/>
      <c r="G987" s="176">
        <f>IF(AND(E987&lt;&gt;"",F987&lt;&gt;""),E987*F987,"")</f>
      </c>
    </row>
    <row r="988" ht="16.5" customHeight="1" s="71">
      <c r="A988" s="14" t="n"/>
      <c r="B988" s="170" t="n"/>
      <c r="C988" s="35" t="n"/>
      <c r="D988" s="35" t="n"/>
      <c r="E988" s="35" t="n"/>
      <c r="G988" s="176">
        <f>IF(AND(E988&lt;&gt;"",F988&lt;&gt;""),E988*F988,"")</f>
      </c>
    </row>
    <row r="989" ht="16.5" customHeight="1" s="71">
      <c r="A989" s="14" t="n"/>
      <c r="B989" s="170" t="n"/>
      <c r="C989" s="35" t="n"/>
      <c r="D989" s="35" t="n"/>
      <c r="E989" s="35" t="n"/>
      <c r="G989" s="176">
        <f>IF(AND(E989&lt;&gt;"",F989&lt;&gt;""),E989*F989,"")</f>
      </c>
    </row>
    <row r="990" ht="16.5" customHeight="1" s="71">
      <c r="A990" s="14" t="n"/>
      <c r="B990" s="170" t="n"/>
      <c r="C990" s="35" t="n"/>
      <c r="D990" s="35" t="n"/>
      <c r="E990" s="35" t="n"/>
      <c r="G990" s="176">
        <f>IF(AND(E990&lt;&gt;"",F990&lt;&gt;""),E990*F990,"")</f>
      </c>
    </row>
    <row r="991" ht="16.5" customHeight="1" s="71">
      <c r="A991" s="14" t="n"/>
      <c r="B991" s="170" t="n"/>
      <c r="C991" s="35" t="n"/>
      <c r="D991" s="35" t="n"/>
      <c r="E991" s="35" t="n"/>
      <c r="G991" s="176">
        <f>IF(AND(E991&lt;&gt;"",F991&lt;&gt;""),E991*F991,"")</f>
      </c>
    </row>
    <row r="992" ht="16.5" customHeight="1" s="71">
      <c r="A992" s="14" t="n"/>
      <c r="B992" s="170" t="n"/>
      <c r="C992" s="35" t="n"/>
      <c r="D992" s="35" t="n"/>
      <c r="E992" s="35" t="n"/>
      <c r="G992" s="176">
        <f>IF(AND(E992&lt;&gt;"",F992&lt;&gt;""),E992*F992,"")</f>
      </c>
    </row>
    <row r="993" ht="16.5" customHeight="1" s="71">
      <c r="A993" s="14" t="n"/>
      <c r="B993" s="170" t="n"/>
      <c r="C993" s="35" t="n"/>
      <c r="D993" s="35" t="n"/>
      <c r="E993" s="35" t="n"/>
      <c r="G993" s="176">
        <f>IF(AND(E993&lt;&gt;"",F993&lt;&gt;""),E993*F993,"")</f>
      </c>
    </row>
    <row r="994" ht="16.5" customHeight="1" s="71">
      <c r="A994" s="14" t="n"/>
      <c r="B994" s="170" t="n"/>
      <c r="C994" s="35" t="n"/>
      <c r="D994" s="35" t="n"/>
      <c r="E994" s="35" t="n"/>
      <c r="G994" s="176">
        <f>IF(AND(E994&lt;&gt;"",F994&lt;&gt;""),E994*F994,"")</f>
      </c>
    </row>
    <row r="995" ht="16.5" customHeight="1" s="71">
      <c r="A995" s="14" t="n"/>
      <c r="B995" s="170" t="n"/>
      <c r="C995" s="35" t="n"/>
      <c r="D995" s="35" t="n"/>
      <c r="E995" s="35" t="n"/>
      <c r="G995" s="176">
        <f>IF(AND(E995&lt;&gt;"",F995&lt;&gt;""),E995*F995,"")</f>
      </c>
    </row>
    <row r="996" ht="16.5" customHeight="1" s="71">
      <c r="A996" s="14" t="n"/>
      <c r="B996" s="170" t="n"/>
      <c r="C996" s="35" t="n"/>
      <c r="D996" s="35" t="n"/>
      <c r="E996" s="35" t="n"/>
      <c r="G996" s="176">
        <f>IF(AND(E996&lt;&gt;"",F996&lt;&gt;""),E996*F996,"")</f>
      </c>
    </row>
    <row r="997" ht="16.5" customHeight="1" s="71">
      <c r="A997" s="14" t="n"/>
      <c r="B997" s="170" t="n"/>
      <c r="C997" s="35" t="n"/>
      <c r="D997" s="35" t="n"/>
      <c r="E997" s="35" t="n"/>
      <c r="G997" s="176">
        <f>IF(AND(E997&lt;&gt;"",F997&lt;&gt;""),E997*F997,"")</f>
      </c>
    </row>
    <row r="998" ht="16.5" customHeight="1" s="71">
      <c r="A998" s="14" t="n"/>
      <c r="B998" s="170" t="n"/>
      <c r="C998" s="35" t="n"/>
      <c r="D998" s="35" t="n"/>
      <c r="E998" s="35" t="n"/>
      <c r="G998" s="176">
        <f>IF(AND(E998&lt;&gt;"",F998&lt;&gt;""),E998*F998,"")</f>
      </c>
    </row>
    <row r="999" ht="16.5" customHeight="1" s="71">
      <c r="A999" s="14" t="n"/>
      <c r="B999" s="170" t="n"/>
      <c r="C999" s="35" t="n"/>
      <c r="D999" s="35" t="n"/>
      <c r="E999" s="35" t="n"/>
      <c r="G999" s="176">
        <f>IF(AND(E999&lt;&gt;"",F999&lt;&gt;""),E999*F999,"")</f>
      </c>
    </row>
    <row r="1000" ht="16.5" customHeight="1" s="71">
      <c r="A1000" s="14" t="n"/>
      <c r="B1000" s="170" t="n"/>
      <c r="C1000" s="35" t="n"/>
      <c r="D1000" s="35" t="n"/>
      <c r="E1000" s="35" t="n"/>
      <c r="G1000" s="176">
        <f>IF(AND(E1000&lt;&gt;"",F1000&lt;&gt;""),E1000*F1000,"")</f>
      </c>
    </row>
    <row r="1001" ht="16.5" customHeight="1" s="71">
      <c r="A1001" s="14" t="n"/>
      <c r="B1001" s="170" t="n"/>
      <c r="C1001" s="35" t="n"/>
      <c r="D1001" s="35" t="n"/>
      <c r="E1001" s="35" t="n"/>
      <c r="G1001" s="176">
        <f>IF(AND(E1001&lt;&gt;"",F1001&lt;&gt;""),E1001*F1001,"")</f>
      </c>
    </row>
    <row r="1002" ht="16.5" customHeight="1" s="71">
      <c r="A1002" s="14" t="n"/>
      <c r="B1002" s="170" t="n"/>
      <c r="C1002" s="35" t="n"/>
      <c r="D1002" s="35" t="n"/>
      <c r="E1002" s="35" t="n"/>
      <c r="G1002" s="176">
        <f>IF(AND(E1002&lt;&gt;"",F1002&lt;&gt;""),E1002*F1002,"")</f>
      </c>
    </row>
    <row r="1003" ht="16.5" customHeight="1" s="71">
      <c r="A1003" s="14" t="n"/>
      <c r="B1003" s="170" t="n"/>
      <c r="C1003" s="35" t="n"/>
      <c r="D1003" s="35" t="n"/>
      <c r="E1003" s="35" t="n"/>
      <c r="G1003" s="176">
        <f>IF(AND(E1003&lt;&gt;"",F1003&lt;&gt;""),E1003*F1003,"")</f>
      </c>
    </row>
  </sheetData>
  <autoFilter ref="A3:H1003"/>
  <mergeCells count="2">
    <mergeCell ref="A2:H2"/>
    <mergeCell ref="A1:H1"/>
  </mergeCells>
  <dataValidations count="2">
    <dataValidation sqref="C4:C1003" showDropDown="0" showInputMessage="1" showErrorMessage="1" allowBlank="1" errorTitle="不在清单里" error="请从下拉里选；清单里没有的，先到【基础资料】/【总览汇总】里登记" promptTitle="提示" prompt="从下拉选客户；新客户先去【总览汇总】B 列加" type="list" errorStyle="stop">
      <formula1>=客户列表</formula1>
    </dataValidation>
    <dataValidation sqref="D4:D1003" showDropDown="0" showInputMessage="1" showErrorMessage="1" allowBlank="1" errorTitle="不在清单里" error="请从下拉里选；清单里没有的，先到【基础资料】/【总览汇总】里登记" promptTitle="提示" prompt="从下拉选商品；新商品先去【基础资料·商品档案】加" type="list" errorStyle="stop">
      <formula1>=商品列表</formula1>
    </dataValidation>
  </dataValidation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 filterMode="1">
    <outlinePr summaryBelow="0" summaryRight="0"/>
    <pageSetUpPr/>
  </sheetPr>
  <dimension ref="A1:T604"/>
  <sheetViews>
    <sheetView tabSelected="0" workbookViewId="0">
      <pane ySplit="3" topLeftCell="A4" activePane="bottomLeft" state="frozen"/>
      <selection pane="bottomLeft" activeCell="A1" sqref="A1"/>
      <selection pane="bottomLeft" activeCell="B168" sqref="B168"/>
    </sheetView>
  </sheetViews>
  <sheetFormatPr baseColWidth="8" defaultColWidth="14" defaultRowHeight="12"/>
  <cols>
    <col width="7" customWidth="1" style="71" min="1" max="1"/>
    <col width="17" customWidth="1" style="71" min="2" max="3"/>
    <col width="13" customWidth="1" style="71" min="4" max="4"/>
    <col width="13" customWidth="1" style="177" min="5" max="5"/>
    <col width="15" customWidth="1" style="71" min="6" max="8"/>
    <col width="13" customWidth="1" style="71" min="9" max="9"/>
    <col width="15" customWidth="1" style="71" min="10" max="10"/>
    <col width="13" customWidth="1" style="71" min="11" max="11"/>
  </cols>
  <sheetData>
    <row r="1" ht="33" customHeight="1" s="71">
      <c r="A1" s="18" t="inlineStr">
        <is>
          <t>商品库存明细（按客户+商品）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 s="71">
      <c r="A2" s="3" t="inlineStr">
        <is>
          <t>💡 每个客户每个商品的存条库存：全自动，不用手工加行——【存条明细】或【出库明细】里出现新的「客户+商品」，这里自动多一行（按总览汇总的客户顺序排）。剩余＝累计入库−已领用。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42" customHeight="1" s="71">
      <c r="A3" s="20" t="inlineStr">
        <is>
          <t>序号</t>
        </is>
      </c>
      <c r="B3" s="20" t="inlineStr">
        <is>
          <t>客户名称</t>
        </is>
      </c>
      <c r="C3" s="20" t="inlineStr">
        <is>
          <t>商品品类</t>
        </is>
      </c>
      <c r="D3" s="20" t="inlineStr">
        <is>
          <t>累计入库数量(件)</t>
        </is>
      </c>
      <c r="E3" s="178" t="inlineStr">
        <is>
          <t>入库单价(元)</t>
        </is>
      </c>
      <c r="F3" s="20" t="inlineStr">
        <is>
          <t>累计入库总金额(元)</t>
        </is>
      </c>
      <c r="G3" s="20" t="inlineStr">
        <is>
          <t>已领用数量(件)</t>
        </is>
      </c>
      <c r="H3" s="20" t="inlineStr">
        <is>
          <t>已领用金额(元)</t>
        </is>
      </c>
      <c r="I3" s="20" t="inlineStr">
        <is>
          <t>剩余数量(件)</t>
        </is>
      </c>
      <c r="J3" s="20" t="inlineStr">
        <is>
          <t>剩余金额(元)</t>
        </is>
      </c>
      <c r="K3" s="20" t="inlineStr">
        <is>
          <t>最后更新日期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15" customHeight="1" s="71">
      <c r="A4" s="14">
        <f>IF(B4="","",ROW()-3)</f>
        <v>1</v>
      </c>
      <c r="B4" s="14" t="str">
        <f>IF(_辅助!$B4="","",IF(_辅助!$B4&lt;=1000,INDEX(存条明细!$C$4:$C$1003,_辅助!$B4),INDEX(出库明细!$C$4:$C$3003,_辅助!$B4-1000)))</f>
        <v>星海超市</v>
      </c>
      <c r="C4" s="14" t="str">
        <f>IF(_辅助!$B4="","",IF(_辅助!$B4&lt;=1000,INDEX(存条明细!$D$4:$D$1003,_辅助!$B4),INDEX(出库明细!$D$4:$D$3003,_辅助!$B4-1000)))</f>
        <v>大东鹏</v>
      </c>
      <c r="D4" s="14">
        <f>IF($B4="","",IFERROR(SUMIFS(存条明细!E:E,存条明细!C:C,$B4,存条明细!D:D,$C4),0))</f>
        <v>808</v>
      </c>
      <c r="E4" s="156">
        <f>IF(OR($B4="",N(D4)=0),"",ROUND(F4/D4,2))</f>
        <v>89.11</v>
      </c>
      <c r="F4" s="156">
        <f>IF($B4="","",IFERROR(SUMIFS(存条明细!G:G,存条明细!C:C,$B4,存条明细!D:D,$C4),0))</f>
        <v>72000</v>
      </c>
      <c r="G4" s="14">
        <f>IF($B4="","",IFERROR(SUMIFS(出库明细!E:E,出库明细!C:C,$B4,出库明细!D:D,$C4),0))</f>
        <v>500</v>
      </c>
      <c r="H4" s="156">
        <f>IF($B4="","",IFERROR(SUMIFS(出库明细!G:G,出库明细!C:C,$B4,出库明细!D:D,$C4),0))</f>
        <v>45000</v>
      </c>
      <c r="I4" s="14">
        <f>IF($B4="","",D4-G4)</f>
        <v>308</v>
      </c>
      <c r="J4" s="156">
        <f>IF($B4="","",F4-H4)</f>
        <v>27000</v>
      </c>
      <c r="K4" s="179">
        <f>IF($B4="","",MAX(_xlfn.MAXIFS(存条明细!B:B,存条明细!C:C,$B4,存条明细!D:D,$C4),_xlfn.MAXIFS(出库明细!B:B,出库明细!C:C,$B4,出库明细!D:D,$C4)))</f>
        <v>46256.0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5" customHeight="1" s="71">
      <c r="A5" s="14">
        <f>IF(B5="","",ROW()-3)</f>
        <v>2</v>
      </c>
      <c r="B5" s="14" t="str">
        <f>IF(_辅助!$B5="","",IF(_辅助!$B5&lt;=1000,INDEX(存条明细!$C$4:$C$1003,_辅助!$B5),INDEX(出库明细!$C$4:$C$3003,_辅助!$B5-1000)))</f>
        <v>星海超市</v>
      </c>
      <c r="C5" s="14" t="str">
        <f>IF(_辅助!$B5="","",IF(_辅助!$B5&lt;=1000,INDEX(存条明细!$D$4:$D$1003,_辅助!$B5),INDEX(出库明细!$D$4:$D$3003,_辅助!$B5-1000)))</f>
        <v>小东鹏</v>
      </c>
      <c r="D5" s="14">
        <f>IF($B5="","",IFERROR(SUMIFS(存条明细!E:E,存条明细!C:C,$B5,存条明细!D:D,$C5),0))</f>
        <v>282</v>
      </c>
      <c r="E5" s="156">
        <f>IF(OR($B5="",N(D5)=0),"",ROUND(F5/D5,2))</f>
        <v>50</v>
      </c>
      <c r="F5" s="156">
        <f>IF($B5="","",IFERROR(SUMIFS(存条明细!G:G,存条明细!C:C,$B5,存条明细!D:D,$C5),0))</f>
        <v>14100</v>
      </c>
      <c r="G5" s="14">
        <f>IF($B5="","",IFERROR(SUMIFS(出库明细!E:E,出库明细!C:C,$B5,出库明细!D:D,$C5),0))</f>
        <v>182</v>
      </c>
      <c r="H5" s="156">
        <f>IF($B5="","",IFERROR(SUMIFS(出库明细!G:G,出库明细!C:C,$B5,出库明细!D:D,$C5),0))</f>
        <v>9282</v>
      </c>
      <c r="I5" s="14">
        <f>IF($B5="","",D5-G5)</f>
        <v>100</v>
      </c>
      <c r="J5" s="156">
        <f>IF($B5="","",F5-H5)</f>
        <v>4818</v>
      </c>
      <c r="K5" s="179">
        <f>IF($B5="","",MAX(_xlfn.MAXIFS(存条明细!B:B,存条明细!C:C,$B5,存条明细!D:D,$C5),_xlfn.MAXIFS(出库明细!B:B,出库明细!C:C,$B5,出库明细!D:D,$C5)))</f>
        <v>46237.0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5" customHeight="1" s="71">
      <c r="A6" s="14">
        <f>IF(B6="","",ROW()-3)</f>
        <v>3</v>
      </c>
      <c r="B6" s="14" t="str">
        <f>IF(_辅助!$B6="","",IF(_辅助!$B6&lt;=1000,INDEX(存条明细!$C$4:$C$1003,_辅助!$B6),INDEX(出库明细!$C$4:$C$3003,_辅助!$B6-1000)))</f>
        <v>星海超市</v>
      </c>
      <c r="C6" s="14" t="str">
        <f>IF(_辅助!$B6="","",IF(_辅助!$B6&lt;=1000,INDEX(存条明细!$D$4:$D$1003,_辅助!$B6),INDEX(出库明细!$D$4:$D$3003,_辅助!$B6-1000)))</f>
        <v>555补水</v>
      </c>
      <c r="D6" s="14">
        <f>IF($B6="","",IFERROR(SUMIFS(存条明细!E:E,存条明细!C:C,$B6,存条明细!D:D,$C6),0))</f>
        <v>303</v>
      </c>
      <c r="E6" s="156">
        <f>IF(OR($B6="",N(D6)=0),"",ROUND(F6/D6,2))</f>
        <v>60.71</v>
      </c>
      <c r="F6" s="156">
        <f>IF($B6="","",IFERROR(SUMIFS(存条明细!G:G,存条明细!C:C,$B6,存条明细!D:D,$C6),0))</f>
        <v>18395</v>
      </c>
      <c r="G6" s="14">
        <f>IF($B6="","",IFERROR(SUMIFS(出库明细!E:E,出库明细!C:C,$B6,出库明细!D:D,$C6),0))</f>
        <v>100</v>
      </c>
      <c r="H6" s="156">
        <f>IF($B6="","",IFERROR(SUMIFS(出库明细!G:G,出库明细!C:C,$B6,出库明细!D:D,$C6),0))</f>
        <v>6500</v>
      </c>
      <c r="I6" s="14">
        <f>IF($B6="","",D6-G6)</f>
        <v>203</v>
      </c>
      <c r="J6" s="156">
        <f>IF($B6="","",F6-H6)</f>
        <v>11895</v>
      </c>
      <c r="K6" s="179">
        <f>IF($B6="","",MAX(_xlfn.MAXIFS(存条明细!B:B,存条明细!C:C,$B6,存条明细!D:D,$C6),_xlfn.MAXIFS(出库明细!B:B,出库明细!C:C,$B6,出库明细!D:D,$C6)))</f>
        <v>46228.0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5" customHeight="1" s="71">
      <c r="A7" s="14">
        <f>IF(B7="","",ROW()-3)</f>
        <v>4</v>
      </c>
      <c r="B7" s="14" t="str">
        <f>IF(_辅助!$B7="","",IF(_辅助!$B7&lt;=1000,INDEX(存条明细!$C$4:$C$1003,_辅助!$B7),INDEX(出库明细!$C$4:$C$3003,_辅助!$B7-1000)))</f>
        <v>星海超市</v>
      </c>
      <c r="C7" s="14" t="str">
        <f>IF(_辅助!$B7="","",IF(_辅助!$B7&lt;=1000,INDEX(存条明细!$D$4:$D$1003,_辅助!$B7),INDEX(出库明细!$D$4:$D$3003,_辅助!$B7-1000)))</f>
        <v>1L补水</v>
      </c>
      <c r="D7" s="14">
        <f>IF($B7="","",IFERROR(SUMIFS(存条明细!E:E,存条明细!C:C,$B7,存条明细!D:D,$C7),0))</f>
        <v>142</v>
      </c>
      <c r="E7" s="156">
        <f>IF(OR($B7="",N(D7)=0),"",ROUND(F7/D7,2))</f>
        <v>55</v>
      </c>
      <c r="F7" s="156">
        <f>IF($B7="","",IFERROR(SUMIFS(存条明细!G:G,存条明细!C:C,$B7,存条明细!D:D,$C7),0))</f>
        <v>7810</v>
      </c>
      <c r="G7" s="14">
        <f>IF($B7="","",IFERROR(SUMIFS(出库明细!E:E,出库明细!C:C,$B7,出库明细!D:D,$C7),0))</f>
        <v>90</v>
      </c>
      <c r="H7" s="156">
        <f>IF($B7="","",IFERROR(SUMIFS(出库明细!G:G,出库明细!C:C,$B7,出库明细!D:D,$C7),0))</f>
        <v>4950</v>
      </c>
      <c r="I7" s="14">
        <f>IF($B7="","",D7-G7)</f>
        <v>52</v>
      </c>
      <c r="J7" s="156">
        <f>IF($B7="","",F7-H7)</f>
        <v>2860</v>
      </c>
      <c r="K7" s="179">
        <f>IF($B7="","",MAX(_xlfn.MAXIFS(存条明细!B:B,存条明细!C:C,$B7,存条明细!D:D,$C7),_xlfn.MAXIFS(出库明细!B:B,出库明细!C:C,$B7,出库明细!D:D,$C7)))</f>
        <v>46225.0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15" customHeight="1" s="71">
      <c r="A8" s="14">
        <f>IF(B8="","",ROW()-3)</f>
        <v>5</v>
      </c>
      <c r="B8" s="14" t="str">
        <f>IF(_辅助!$B8="","",IF(_辅助!$B8&lt;=1000,INDEX(存条明细!$C$4:$C$1003,_辅助!$B8),INDEX(出库明细!$C$4:$C$3003,_辅助!$B8-1000)))</f>
        <v>星海超市</v>
      </c>
      <c r="C8" s="14" t="str">
        <f>IF(_辅助!$B8="","",IF(_辅助!$B8&lt;=1000,INDEX(存条明细!$D$4:$D$1003,_辅助!$B8),INDEX(出库明细!$D$4:$D$3003,_辅助!$B8-1000)))</f>
        <v>小果之茶</v>
      </c>
      <c r="D8" s="14">
        <f>IF($B8="","",IFERROR(SUMIFS(存条明细!E:E,存条明细!C:C,$B8,存条明细!D:D,$C8),0))</f>
        <v>416</v>
      </c>
      <c r="E8" s="156">
        <f>IF(OR($B8="",N(D8)=0),"",ROUND(F8/D8,2))</f>
        <v>45.19</v>
      </c>
      <c r="F8" s="156">
        <f>IF($B8="","",IFERROR(SUMIFS(存条明细!G:G,存条明细!C:C,$B8,存条明细!D:D,$C8),0))</f>
        <v>18800</v>
      </c>
      <c r="G8" s="14">
        <f>IF($B8="","",IFERROR(SUMIFS(出库明细!E:E,出库明细!C:C,$B8,出库明细!D:D,$C8),0))</f>
        <v>100</v>
      </c>
      <c r="H8" s="156">
        <f>IF($B8="","",IFERROR(SUMIFS(出库明细!G:G,出库明细!C:C,$B8,出库明细!D:D,$C8),0))</f>
        <v>4700</v>
      </c>
      <c r="I8" s="14">
        <f>IF($B8="","",D8-G8)</f>
        <v>316</v>
      </c>
      <c r="J8" s="156">
        <f>IF($B8="","",F8-H8)</f>
        <v>14100</v>
      </c>
      <c r="K8" s="179">
        <f>IF($B8="","",MAX(_xlfn.MAXIFS(存条明细!B:B,存条明细!C:C,$B8,存条明细!D:D,$C8),_xlfn.MAXIFS(出库明细!B:B,出库明细!C:C,$B8,出库明细!D:D,$C8)))</f>
        <v>46228.0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5" customHeight="1" s="71">
      <c r="A9" s="14">
        <f>IF(B9="","",ROW()-3)</f>
        <v>6</v>
      </c>
      <c r="B9" s="14" t="str">
        <f>IF(_辅助!$B9="","",IF(_辅助!$B9&lt;=1000,INDEX(存条明细!$C$4:$C$1003,_辅助!$B9),INDEX(出库明细!$C$4:$C$3003,_辅助!$B9-1000)))</f>
        <v>星海超市</v>
      </c>
      <c r="C9" s="14" t="str">
        <f>IF(_辅助!$B9="","",IF(_辅助!$B9&lt;=1000,INDEX(存条明细!$D$4:$D$1003,_辅助!$B9),INDEX(出库明细!$D$4:$D$3003,_辅助!$B9-1000)))</f>
        <v>1L果之茶</v>
      </c>
      <c r="D9" s="14">
        <f>IF($B9="","",IFERROR(SUMIFS(存条明细!E:E,存条明细!C:C,$B9,存条明细!D:D,$C9),0))</f>
        <v>118</v>
      </c>
      <c r="E9" s="156">
        <f>IF(OR($B9="",N(D9)=0),"",ROUND(F9/D9,2))</f>
        <v>43</v>
      </c>
      <c r="F9" s="156">
        <f>IF($B9="","",IFERROR(SUMIFS(存条明细!G:G,存条明细!C:C,$B9,存条明细!D:D,$C9),0))</f>
        <v>5074</v>
      </c>
      <c r="G9" s="14">
        <f>IF($B9="","",IFERROR(SUMIFS(出库明细!E:E,出库明细!C:C,$B9,出库明细!D:D,$C9),0))</f>
        <v>80</v>
      </c>
      <c r="H9" s="156">
        <f>IF($B9="","",IFERROR(SUMIFS(出库明细!G:G,出库明细!C:C,$B9,出库明细!D:D,$C9),0))</f>
        <v>3440</v>
      </c>
      <c r="I9" s="14">
        <f>IF($B9="","",D9-G9)</f>
        <v>38</v>
      </c>
      <c r="J9" s="156">
        <f>IF($B9="","",F9-H9)</f>
        <v>1634</v>
      </c>
      <c r="K9" s="179">
        <f>IF($B9="","",MAX(_xlfn.MAXIFS(存条明细!B:B,存条明细!C:C,$B9,存条明细!D:D,$C9),_xlfn.MAXIFS(出库明细!B:B,出库明细!C:C,$B9,出库明细!D:D,$C9)))</f>
        <v>46259.0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15" customHeight="1" s="71">
      <c r="A10" s="14">
        <f>IF(B10="","",ROW()-3)</f>
        <v>7</v>
      </c>
      <c r="B10" s="14" t="str">
        <f>IF(_辅助!$B10="","",IF(_辅助!$B10&lt;=1000,INDEX(存条明细!$C$4:$C$1003,_辅助!$B10),INDEX(出库明细!$C$4:$C$3003,_辅助!$B10-1000)))</f>
        <v>星海超市</v>
      </c>
      <c r="C10" s="14" t="str">
        <f>IF(_辅助!$B10="","",IF(_辅助!$B10&lt;=1000,INDEX(存条明细!$D$4:$D$1003,_辅助!$B10),INDEX(出库明细!$D$4:$D$3003,_辅助!$B10-1000)))</f>
        <v>港式奶茶</v>
      </c>
      <c r="D10" s="14">
        <f>IF($B10="","",IFERROR(SUMIFS(存条明细!E:E,存条明细!C:C,$B10,存条明细!D:D,$C10),0))</f>
        <v>96</v>
      </c>
      <c r="E10" s="156">
        <f>IF(OR($B10="",N(D10)=0),"",ROUND(F10/D10,2))</f>
        <v>69</v>
      </c>
      <c r="F10" s="156">
        <f>IF($B10="","",IFERROR(SUMIFS(存条明细!G:G,存条明细!C:C,$B10,存条明细!D:D,$C10),0))</f>
        <v>6624</v>
      </c>
      <c r="G10" s="14">
        <f>IF($B10="","",IFERROR(SUMIFS(出库明细!E:E,出库明细!C:C,$B10,出库明细!D:D,$C10),0))</f>
        <v>0</v>
      </c>
      <c r="H10" s="156">
        <f>IF($B10="","",IFERROR(SUMIFS(出库明细!G:G,出库明细!C:C,$B10,出库明细!D:D,$C10),0))</f>
        <v>0</v>
      </c>
      <c r="I10" s="14">
        <f>IF($B10="","",D10-G10)</f>
        <v>96</v>
      </c>
      <c r="J10" s="156">
        <f>IF($B10="","",F10-H10)</f>
        <v>6624</v>
      </c>
      <c r="K10" s="179">
        <f>IF($B10="","",MAX(_xlfn.MAXIFS(存条明细!B:B,存条明细!C:C,$B10,存条明细!D:D,$C10),_xlfn.MAXIFS(出库明细!B:B,出库明细!C:C,$B10,出库明细!D:D,$C10)))</f>
        <v>46198.0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15" customHeight="1" s="71">
      <c r="A11" s="14">
        <f>IF(B11="","",ROW()-3)</f>
        <v>8</v>
      </c>
      <c r="B11" s="14" t="str">
        <f>IF(_辅助!$B11="","",IF(_辅助!$B11&lt;=1000,INDEX(存条明细!$C$4:$C$1003,_辅助!$B11),INDEX(出库明细!$C$4:$C$3003,_辅助!$B11-1000)))</f>
        <v>星海超市</v>
      </c>
      <c r="C11" s="14" t="str">
        <f>IF(_辅助!$B11="","",IF(_辅助!$B11&lt;=1000,INDEX(存条明细!$D$4:$D$1003,_辅助!$B11),INDEX(出库明细!$D$4:$D$3003,_辅助!$B11-1000)))</f>
        <v>大咖</v>
      </c>
      <c r="D11" s="14">
        <f>IF($B11="","",IFERROR(SUMIFS(存条明细!E:E,存条明细!C:C,$B11,存条明细!D:D,$C11),0))</f>
        <v>104</v>
      </c>
      <c r="E11" s="156">
        <f>IF(OR($B11="",N(D11)=0),"",ROUND(F11/D11,2))</f>
        <v>79.81</v>
      </c>
      <c r="F11" s="156">
        <f>IF($B11="","",IFERROR(SUMIFS(存条明细!G:G,存条明细!C:C,$B11,存条明细!D:D,$C11),0))</f>
        <v>8300</v>
      </c>
      <c r="G11" s="14">
        <f>IF($B11="","",IFERROR(SUMIFS(出库明细!E:E,出库明细!C:C,$B11,出库明细!D:D,$C11),0))</f>
        <v>30</v>
      </c>
      <c r="H11" s="156">
        <f>IF($B11="","",IFERROR(SUMIFS(出库明细!G:G,出库明细!C:C,$B11,出库明细!D:D,$C11),0))</f>
        <v>2490</v>
      </c>
      <c r="I11" s="14">
        <f>IF($B11="","",D11-G11)</f>
        <v>74</v>
      </c>
      <c r="J11" s="156">
        <f>IF($B11="","",F11-H11)</f>
        <v>5810</v>
      </c>
      <c r="K11" s="179">
        <f>IF($B11="","",MAX(_xlfn.MAXIFS(存条明细!B:B,存条明细!C:C,$B11,存条明细!D:D,$C11),_xlfn.MAXIFS(出库明细!B:B,出库明细!C:C,$B11,出库明细!D:D,$C11)))</f>
        <v>46259.0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" customHeight="1" s="71">
      <c r="A12" s="14">
        <f>IF(B12="","",ROW()-3)</f>
        <v>9</v>
      </c>
      <c r="B12" s="14" t="str">
        <f>IF(_辅助!$B12="","",IF(_辅助!$B12&lt;=1000,INDEX(存条明细!$C$4:$C$1003,_辅助!$B12),INDEX(出库明细!$C$4:$C$3003,_辅助!$B12-1000)))</f>
        <v>星海超市</v>
      </c>
      <c r="C12" s="14" t="str">
        <f>IF(_辅助!$B12="","",IF(_辅助!$B12&lt;=1000,INDEX(存条明细!$D$4:$D$1003,_辅助!$B12),INDEX(出库明细!$D$4:$D$3003,_辅助!$B12-1000)))</f>
        <v>小焙好茶</v>
      </c>
      <c r="D12" s="14">
        <f>IF($B12="","",IFERROR(SUMIFS(存条明细!E:E,存条明细!C:C,$B12,存条明细!D:D,$C12),0))</f>
        <v>0</v>
      </c>
      <c r="E12" s="156">
        <f>IF(OR($B12="",N(D12)=0),"",ROUND(F12/D12,2))</f>
      </c>
      <c r="F12" s="156">
        <f>IF($B12="","",IFERROR(SUMIFS(存条明细!G:G,存条明细!C:C,$B12,存条明细!D:D,$C12),0))</f>
        <v>0</v>
      </c>
      <c r="G12" s="14">
        <f>IF($B12="","",IFERROR(SUMIFS(出库明细!E:E,出库明细!C:C,$B12,出库明细!D:D,$C12),0))</f>
        <v>20</v>
      </c>
      <c r="H12" s="156">
        <f>IF($B12="","",IFERROR(SUMIFS(出库明细!G:G,出库明细!C:C,$B12,出库明细!D:D,$C12),0))</f>
        <v>960</v>
      </c>
      <c r="I12" s="14">
        <f>IF($B12="","",D12-G12)</f>
        <v>-20</v>
      </c>
      <c r="J12" s="156">
        <f>IF($B12="","",F12-H12)</f>
        <v>-960</v>
      </c>
      <c r="K12" s="179">
        <f>IF($B12="","",MAX(_xlfn.MAXIFS(存条明细!B:B,存条明细!C:C,$B12,存条明细!D:D,$C12),_xlfn.MAXIFS(出库明细!B:B,出库明细!C:C,$B12,出库明细!D:D,$C12)))</f>
        <v>46200.0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15" customHeight="1" s="71">
      <c r="A13" s="14">
        <f>IF(B13="","",ROW()-3)</f>
        <v>10</v>
      </c>
      <c r="B13" s="14" t="str">
        <f>IF(_辅助!$B13="","",IF(_辅助!$B13&lt;=1000,INDEX(存条明细!$C$4:$C$1003,_辅助!$B13),INDEX(出库明细!$C$4:$C$3003,_辅助!$B13-1000)))</f>
        <v>王玉琴</v>
      </c>
      <c r="C13" s="14" t="str">
        <f>IF(_辅助!$B13="","",IF(_辅助!$B13&lt;=1000,INDEX(存条明细!$D$4:$D$1003,_辅助!$B13),INDEX(出库明细!$D$4:$D$3003,_辅助!$B13-1000)))</f>
        <v>大东鹏</v>
      </c>
      <c r="D13" s="14">
        <f>IF($B13="","",IFERROR(SUMIFS(存条明细!E:E,存条明细!C:C,$B13,存条明细!D:D,$C13),0))</f>
        <v>1100</v>
      </c>
      <c r="E13" s="156">
        <f>IF(OR($B13="",N(D13)=0),"",ROUND(F13/D13,2))</f>
        <v>90</v>
      </c>
      <c r="F13" s="156">
        <f>IF($B13="","",IFERROR(SUMIFS(存条明细!G:G,存条明细!C:C,$B13,存条明细!D:D,$C13),0))</f>
        <v>99000</v>
      </c>
      <c r="G13" s="14">
        <f>IF($B13="","",IFERROR(SUMIFS(出库明细!E:E,出库明细!C:C,$B13,出库明细!D:D,$C13),0))</f>
        <v>550</v>
      </c>
      <c r="H13" s="156">
        <f>IF($B13="","",IFERROR(SUMIFS(出库明细!G:G,出库明细!C:C,$B13,出库明细!D:D,$C13),0))</f>
        <v>49500</v>
      </c>
      <c r="I13" s="14">
        <f>IF($B13="","",D13-G13)</f>
        <v>550</v>
      </c>
      <c r="J13" s="156">
        <f>IF($B13="","",F13-H13)</f>
        <v>49500</v>
      </c>
      <c r="K13" s="179">
        <f>IF($B13="","",MAX(_xlfn.MAXIFS(存条明细!B:B,存条明细!C:C,$B13,存条明细!D:D,$C13),_xlfn.MAXIFS(出库明细!B:B,出库明细!C:C,$B13,出库明细!D:D,$C13)))</f>
        <v>46287.0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15" customHeight="1" s="71">
      <c r="A14" s="14">
        <f>IF(B14="","",ROW()-3)</f>
        <v>11</v>
      </c>
      <c r="B14" s="14" t="str">
        <f>IF(_辅助!$B14="","",IF(_辅助!$B14&lt;=1000,INDEX(存条明细!$C$4:$C$1003,_辅助!$B14),INDEX(出库明细!$C$4:$C$3003,_辅助!$B14-1000)))</f>
        <v>王玉琴</v>
      </c>
      <c r="C14" s="14" t="str">
        <f>IF(_辅助!$B14="","",IF(_辅助!$B14&lt;=1000,INDEX(存条明细!$D$4:$D$1003,_辅助!$B14),INDEX(出库明细!$D$4:$D$3003,_辅助!$B14-1000)))</f>
        <v>555补水</v>
      </c>
      <c r="D14" s="14">
        <f>IF($B14="","",IFERROR(SUMIFS(存条明细!E:E,存条明细!C:C,$B14,存条明细!D:D,$C14),0))</f>
        <v>0</v>
      </c>
      <c r="E14" s="156">
        <f>IF(OR($B14="",N(D14)=0),"",ROUND(F14/D14,2))</f>
      </c>
      <c r="F14" s="156">
        <f>IF($B14="","",IFERROR(SUMIFS(存条明细!G:G,存条明细!C:C,$B14,存条明细!D:D,$C14),0))</f>
        <v>0</v>
      </c>
      <c r="G14" s="14">
        <f>IF($B14="","",IFERROR(SUMIFS(出库明细!E:E,出库明细!C:C,$B14,出库明细!D:D,$C14),0))</f>
        <v>35</v>
      </c>
      <c r="H14" s="156">
        <f>IF($B14="","",IFERROR(SUMIFS(出库明细!G:G,出库明细!C:C,$B14,出库明细!D:D,$C14),0))</f>
        <v>2275</v>
      </c>
      <c r="I14" s="14">
        <f>IF($B14="","",D14-G14)</f>
        <v>-35</v>
      </c>
      <c r="J14" s="156">
        <f>IF($B14="","",F14-H14)</f>
        <v>-2275</v>
      </c>
      <c r="K14" s="179">
        <f>IF($B14="","",MAX(_xlfn.MAXIFS(存条明细!B:B,存条明细!C:C,$B14,存条明细!D:D,$C14),_xlfn.MAXIFS(出库明细!B:B,出库明细!C:C,$B14,出库明细!D:D,$C14)))</f>
        <v>46258.0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15" customHeight="1" s="71">
      <c r="A15" s="14">
        <f>IF(B15="","",ROW()-3)</f>
        <v>12</v>
      </c>
      <c r="B15" s="14" t="str">
        <f>IF(_辅助!$B15="","",IF(_辅助!$B15&lt;=1000,INDEX(存条明细!$C$4:$C$1003,_辅助!$B15),INDEX(出库明细!$C$4:$C$3003,_辅助!$B15-1000)))</f>
        <v>王玉琴</v>
      </c>
      <c r="C15" s="14" t="str">
        <f>IF(_辅助!$B15="","",IF(_辅助!$B15&lt;=1000,INDEX(存条明细!$D$4:$D$1003,_辅助!$B15),INDEX(出库明细!$D$4:$D$3003,_辅助!$B15-1000)))</f>
        <v>小果之茶</v>
      </c>
      <c r="D15" s="14">
        <f>IF($B15="","",IFERROR(SUMIFS(存条明细!E:E,存条明细!C:C,$B15,存条明细!D:D,$C15),0))</f>
        <v>0</v>
      </c>
      <c r="E15" s="156">
        <f>IF(OR($B15="",N(D15)=0),"",ROUND(F15/D15,2))</f>
      </c>
      <c r="F15" s="156">
        <f>IF($B15="","",IFERROR(SUMIFS(存条明细!G:G,存条明细!C:C,$B15,存条明细!D:D,$C15),0))</f>
        <v>0</v>
      </c>
      <c r="G15" s="14">
        <f>IF($B15="","",IFERROR(SUMIFS(出库明细!E:E,出库明细!C:C,$B15,出库明细!D:D,$C15),0))</f>
        <v>35</v>
      </c>
      <c r="H15" s="156">
        <f>IF($B15="","",IFERROR(SUMIFS(出库明细!G:G,出库明细!C:C,$B15,出库明细!D:D,$C15),0))</f>
        <v>1645</v>
      </c>
      <c r="I15" s="14">
        <f>IF($B15="","",D15-G15)</f>
        <v>-35</v>
      </c>
      <c r="J15" s="156">
        <f>IF($B15="","",F15-H15)</f>
        <v>-1645</v>
      </c>
      <c r="K15" s="179">
        <f>IF($B15="","",MAX(_xlfn.MAXIFS(存条明细!B:B,存条明细!C:C,$B15,存条明细!D:D,$C15),_xlfn.MAXIFS(出库明细!B:B,出库明细!C:C,$B15,出库明细!D:D,$C15)))</f>
        <v>46221.0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15" customHeight="1" s="71">
      <c r="A16" s="14">
        <f>IF(B16="","",ROW()-3)</f>
        <v>13</v>
      </c>
      <c r="B16" s="14" t="str">
        <f>IF(_辅助!$B16="","",IF(_辅助!$B16&lt;=1000,INDEX(存条明细!$C$4:$C$1003,_辅助!$B16),INDEX(出库明细!$C$4:$C$3003,_辅助!$B16-1000)))</f>
        <v>王玉琴</v>
      </c>
      <c r="C16" s="14" t="str">
        <f>IF(_辅助!$B16="","",IF(_辅助!$B16&lt;=1000,INDEX(存条明细!$D$4:$D$1003,_辅助!$B16),INDEX(出库明细!$D$4:$D$3003,_辅助!$B16-1000)))</f>
        <v>1L果之茶</v>
      </c>
      <c r="D16" s="14">
        <f>IF($B16="","",IFERROR(SUMIFS(存条明细!E:E,存条明细!C:C,$B16,存条明细!D:D,$C16),0))</f>
        <v>0</v>
      </c>
      <c r="E16" s="156">
        <f>IF(OR($B16="",N(D16)=0),"",ROUND(F16/D16,2))</f>
      </c>
      <c r="F16" s="156">
        <f>IF($B16="","",IFERROR(SUMIFS(存条明细!G:G,存条明细!C:C,$B16,存条明细!D:D,$C16),0))</f>
        <v>0</v>
      </c>
      <c r="G16" s="14">
        <f>IF($B16="","",IFERROR(SUMIFS(出库明细!E:E,出库明细!C:C,$B16,出库明细!D:D,$C16),0))</f>
        <v>17.5</v>
      </c>
      <c r="H16" s="156">
        <f>IF($B16="","",IFERROR(SUMIFS(出库明细!G:G,出库明细!C:C,$B16,出库明细!D:D,$C16),0))</f>
        <v>752.5</v>
      </c>
      <c r="I16" s="14">
        <f>IF($B16="","",D16-G16)</f>
        <v>-17.5</v>
      </c>
      <c r="J16" s="156">
        <f>IF($B16="","",F16-H16)</f>
        <v>-752.5</v>
      </c>
      <c r="K16" s="179">
        <f>IF($B16="","",MAX(_xlfn.MAXIFS(存条明细!B:B,存条明细!C:C,$B16,存条明细!D:D,$C16),_xlfn.MAXIFS(出库明细!B:B,出库明细!C:C,$B16,出库明细!D:D,$C16)))</f>
        <v>46201.0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15" customHeight="1" s="71">
      <c r="A17" s="14">
        <f>IF(B17="","",ROW()-3)</f>
        <v>14</v>
      </c>
      <c r="B17" s="14" t="str">
        <f>IF(_辅助!$B17="","",IF(_辅助!$B17&lt;=1000,INDEX(存条明细!$C$4:$C$1003,_辅助!$B17),INDEX(出库明细!$C$4:$C$3003,_辅助!$B17-1000)))</f>
        <v>桐心源</v>
      </c>
      <c r="C17" s="14" t="str">
        <f>IF(_辅助!$B17="","",IF(_辅助!$B17&lt;=1000,INDEX(存条明细!$D$4:$D$1003,_辅助!$B17),INDEX(出库明细!$D$4:$D$3003,_辅助!$B17-1000)))</f>
        <v>大东鹏</v>
      </c>
      <c r="D17" s="14">
        <f>IF($B17="","",IFERROR(SUMIFS(存条明细!E:E,存条明细!C:C,$B17,存条明细!D:D,$C17),0))</f>
        <v>6531</v>
      </c>
      <c r="E17" s="156">
        <f>IF(OR($B17="",N(D17)=0),"",ROUND(F17/D17,2))</f>
        <v>90</v>
      </c>
      <c r="F17" s="156">
        <f>IF($B17="","",IFERROR(SUMIFS(存条明细!G:G,存条明细!C:C,$B17,存条明细!D:D,$C17),0))</f>
        <v>587790</v>
      </c>
      <c r="G17" s="14">
        <f>IF($B17="","",IFERROR(SUMIFS(出库明细!E:E,出库明细!C:C,$B17,出库明细!D:D,$C17),0))</f>
        <v>2000</v>
      </c>
      <c r="H17" s="156">
        <f>IF($B17="","",IFERROR(SUMIFS(出库明细!G:G,出库明细!C:C,$B17,出库明细!D:D,$C17),0))</f>
        <v>180000</v>
      </c>
      <c r="I17" s="14">
        <f>IF($B17="","",D17-G17)</f>
        <v>4531</v>
      </c>
      <c r="J17" s="156">
        <f>IF($B17="","",F17-H17)</f>
        <v>407790</v>
      </c>
      <c r="K17" s="179">
        <f>IF($B17="","",MAX(_xlfn.MAXIFS(存条明细!B:B,存条明细!C:C,$B17,存条明细!D:D,$C17),_xlfn.MAXIFS(出库明细!B:B,出库明细!C:C,$B17,出库明细!D:D,$C17)))</f>
        <v>46260.0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15" customHeight="1" s="71">
      <c r="A18" s="14">
        <f>IF(B18="","",ROW()-3)</f>
        <v>15</v>
      </c>
      <c r="B18" s="14" t="str">
        <f>IF(_辅助!$B18="","",IF(_辅助!$B18&lt;=1000,INDEX(存条明细!$C$4:$C$1003,_辅助!$B18),INDEX(出库明细!$C$4:$C$3003,_辅助!$B18-1000)))</f>
        <v>桐心源</v>
      </c>
      <c r="C18" s="14" t="str">
        <f>IF(_辅助!$B18="","",IF(_辅助!$B18&lt;=1000,INDEX(存条明细!$D$4:$D$1003,_辅助!$B18),INDEX(出库明细!$D$4:$D$3003,_辅助!$B18-1000)))</f>
        <v>555补水</v>
      </c>
      <c r="D18" s="14">
        <f>IF($B18="","",IFERROR(SUMIFS(存条明细!E:E,存条明细!C:C,$B18,存条明细!D:D,$C18),0))</f>
        <v>1154</v>
      </c>
      <c r="E18" s="156">
        <f>IF(OR($B18="",N(D18)=0),"",ROUND(F18/D18,2))</f>
        <v>62.18</v>
      </c>
      <c r="F18" s="156">
        <f>IF($B18="","",IFERROR(SUMIFS(存条明细!G:G,存条明细!C:C,$B18,存条明细!D:D,$C18),0))</f>
        <v>71760</v>
      </c>
      <c r="G18" s="14">
        <f>IF($B18="","",IFERROR(SUMIFS(出库明细!E:E,出库明细!C:C,$B18,出库明细!D:D,$C18),0))</f>
        <v>710</v>
      </c>
      <c r="H18" s="156">
        <f>IF($B18="","",IFERROR(SUMIFS(出库明细!G:G,出库明细!C:C,$B18,出库明细!D:D,$C18),0))</f>
        <v>46150</v>
      </c>
      <c r="I18" s="14">
        <f>IF($B18="","",D18-G18)</f>
        <v>444</v>
      </c>
      <c r="J18" s="156">
        <f>IF($B18="","",F18-H18)</f>
        <v>25610</v>
      </c>
      <c r="K18" s="179">
        <f>IF($B18="","",MAX(_xlfn.MAXIFS(存条明细!B:B,存条明细!C:C,$B18,存条明细!D:D,$C18),_xlfn.MAXIFS(出库明细!B:B,出库明细!C:C,$B18,出库明细!D:D,$C18)))</f>
        <v>46283.0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15" customHeight="1" s="71">
      <c r="A19" s="14">
        <f>IF(B19="","",ROW()-3)</f>
        <v>16</v>
      </c>
      <c r="B19" s="14" t="str">
        <f>IF(_辅助!$B19="","",IF(_辅助!$B19&lt;=1000,INDEX(存条明细!$C$4:$C$1003,_辅助!$B19),INDEX(出库明细!$C$4:$C$3003,_辅助!$B19-1000)))</f>
        <v>桐心源</v>
      </c>
      <c r="C19" s="14" t="str">
        <f>IF(_辅助!$B19="","",IF(_辅助!$B19&lt;=1000,INDEX(存条明细!$D$4:$D$1003,_辅助!$B19),INDEX(出库明细!$D$4:$D$3003,_辅助!$B19-1000)))</f>
        <v>1L补水</v>
      </c>
      <c r="D19" s="14">
        <f>IF($B19="","",IFERROR(SUMIFS(存条明细!E:E,存条明细!C:C,$B19,存条明细!D:D,$C19),0))</f>
        <v>625</v>
      </c>
      <c r="E19" s="156">
        <f>IF(OR($B19="",N(D19)=0),"",ROUND(F19/D19,2))</f>
        <v>55</v>
      </c>
      <c r="F19" s="156">
        <f>IF($B19="","",IFERROR(SUMIFS(存条明细!G:G,存条明细!C:C,$B19,存条明细!D:D,$C19),0))</f>
        <v>34375</v>
      </c>
      <c r="G19" s="14">
        <f>IF($B19="","",IFERROR(SUMIFS(出库明细!E:E,出库明细!C:C,$B19,出库明细!D:D,$C19),0))</f>
        <v>490</v>
      </c>
      <c r="H19" s="156">
        <f>IF($B19="","",IFERROR(SUMIFS(出库明细!G:G,出库明细!C:C,$B19,出库明细!D:D,$C19),0))</f>
        <v>26950</v>
      </c>
      <c r="I19" s="14">
        <f>IF($B19="","",D19-G19)</f>
        <v>135</v>
      </c>
      <c r="J19" s="156">
        <f>IF($B19="","",F19-H19)</f>
        <v>7425</v>
      </c>
      <c r="K19" s="179">
        <f>IF($B19="","",MAX(_xlfn.MAXIFS(存条明细!B:B,存条明细!C:C,$B19,存条明细!D:D,$C19),_xlfn.MAXIFS(出库明细!B:B,出库明细!C:C,$B19,出库明细!D:D,$C19)))</f>
        <v>46259.0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15" customHeight="1" s="71">
      <c r="A20" s="14">
        <f>IF(B20="","",ROW()-3)</f>
        <v>17</v>
      </c>
      <c r="B20" s="14" t="str">
        <f>IF(_辅助!$B20="","",IF(_辅助!$B20&lt;=1000,INDEX(存条明细!$C$4:$C$1003,_辅助!$B20),INDEX(出库明细!$C$4:$C$3003,_辅助!$B20-1000)))</f>
        <v>桐心源</v>
      </c>
      <c r="C20" s="14" t="str">
        <f>IF(_辅助!$B20="","",IF(_辅助!$B20&lt;=1000,INDEX(存条明细!$D$4:$D$1003,_辅助!$B20),INDEX(出库明细!$D$4:$D$3003,_辅助!$B20-1000)))</f>
        <v>小果之茶</v>
      </c>
      <c r="D20" s="14">
        <f>IF($B20="","",IFERROR(SUMIFS(存条明细!E:E,存条明细!C:C,$B20,存条明细!D:D,$C20),0))</f>
        <v>1530</v>
      </c>
      <c r="E20" s="156">
        <f>IF(OR($B20="",N(D20)=0),"",ROUND(F20/D20,2))</f>
        <v>46.26</v>
      </c>
      <c r="F20" s="156">
        <f>IF($B20="","",IFERROR(SUMIFS(存条明细!G:G,存条明细!C:C,$B20,存条明细!D:D,$C20),0))</f>
        <v>70782</v>
      </c>
      <c r="G20" s="14">
        <f>IF($B20="","",IFERROR(SUMIFS(出库明细!E:E,出库明细!C:C,$B20,出库明细!D:D,$C20),0))</f>
        <v>1632</v>
      </c>
      <c r="H20" s="156">
        <f>IF($B20="","",IFERROR(SUMIFS(出库明细!G:G,出库明细!C:C,$B20,出库明细!D:D,$C20),0))</f>
        <v>76704</v>
      </c>
      <c r="I20" s="14">
        <f>IF($B20="","",D20-G20)</f>
        <v>-102</v>
      </c>
      <c r="J20" s="156">
        <f>IF($B20="","",F20-H20)</f>
        <v>-5922</v>
      </c>
      <c r="K20" s="179">
        <f>IF($B20="","",MAX(_xlfn.MAXIFS(存条明细!B:B,存条明细!C:C,$B20,存条明细!D:D,$C20),_xlfn.MAXIFS(出库明细!B:B,出库明细!C:C,$B20,出库明细!D:D,$C20)))</f>
        <v>46283.0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15" customHeight="1" s="71">
      <c r="A21" s="14">
        <f>IF(B21="","",ROW()-3)</f>
        <v>18</v>
      </c>
      <c r="B21" s="14" t="str">
        <f>IF(_辅助!$B21="","",IF(_辅助!$B21&lt;=1000,INDEX(存条明细!$C$4:$C$1003,_辅助!$B21),INDEX(出库明细!$C$4:$C$3003,_辅助!$B21-1000)))</f>
        <v>桐心源</v>
      </c>
      <c r="C21" s="14" t="str">
        <f>IF(_辅助!$B21="","",IF(_辅助!$B21&lt;=1000,INDEX(存条明细!$D$4:$D$1003,_辅助!$B21),INDEX(出库明细!$D$4:$D$3003,_辅助!$B21-1000)))</f>
        <v>1L果之茶</v>
      </c>
      <c r="D21" s="14">
        <f>IF($B21="","",IFERROR(SUMIFS(存条明细!E:E,存条明细!C:C,$B21,存条明细!D:D,$C21),0))</f>
        <v>494</v>
      </c>
      <c r="E21" s="156">
        <f>IF(OR($B21="",N(D21)=0),"",ROUND(F21/D21,2))</f>
        <v>41.61</v>
      </c>
      <c r="F21" s="156">
        <f>IF($B21="","",IFERROR(SUMIFS(存条明细!G:G,存条明细!C:C,$B21,存条明细!D:D,$C21),0))</f>
        <v>20554</v>
      </c>
      <c r="G21" s="14">
        <f>IF($B21="","",IFERROR(SUMIFS(出库明细!E:E,出库明细!C:C,$B21,出库明细!D:D,$C21),0))</f>
        <v>195</v>
      </c>
      <c r="H21" s="156">
        <f>IF($B21="","",IFERROR(SUMIFS(出库明细!G:G,出库明细!C:C,$B21,出库明细!D:D,$C21),0))</f>
        <v>8385</v>
      </c>
      <c r="I21" s="14">
        <f>IF($B21="","",D21-G21)</f>
        <v>299</v>
      </c>
      <c r="J21" s="156">
        <f>IF($B21="","",F21-H21)</f>
        <v>12169</v>
      </c>
      <c r="K21" s="179">
        <f>IF($B21="","",MAX(_xlfn.MAXIFS(存条明细!B:B,存条明细!C:C,$B21,存条明细!D:D,$C21),_xlfn.MAXIFS(出库明细!B:B,出库明细!C:C,$B21,出库明细!D:D,$C21)))</f>
        <v>46255.0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15" customHeight="1" s="71">
      <c r="A22" s="14">
        <f>IF(B22="","",ROW()-3)</f>
        <v>19</v>
      </c>
      <c r="B22" s="14" t="str">
        <f>IF(_辅助!$B22="","",IF(_辅助!$B22&lt;=1000,INDEX(存条明细!$C$4:$C$1003,_辅助!$B22),INDEX(出库明细!$C$4:$C$3003,_辅助!$B22-1000)))</f>
        <v>桐心源</v>
      </c>
      <c r="C22" s="14" t="str">
        <f>IF(_辅助!$B22="","",IF(_辅助!$B22&lt;=1000,INDEX(存条明细!$D$4:$D$1003,_辅助!$B22),INDEX(出库明细!$D$4:$D$3003,_辅助!$B22-1000)))</f>
        <v>港式奶茶</v>
      </c>
      <c r="D22" s="14">
        <f>IF($B22="","",IFERROR(SUMIFS(存条明细!E:E,存条明细!C:C,$B22,存条明细!D:D,$C22),0))</f>
        <v>152</v>
      </c>
      <c r="E22" s="156">
        <f>IF(OR($B22="",N(D22)=0),"",ROUND(F22/D22,2))</f>
        <v>69</v>
      </c>
      <c r="F22" s="156">
        <f>IF($B22="","",IFERROR(SUMIFS(存条明细!G:G,存条明细!C:C,$B22,存条明细!D:D,$C22),0))</f>
        <v>10488</v>
      </c>
      <c r="G22" s="14">
        <f>IF($B22="","",IFERROR(SUMIFS(出库明细!E:E,出库明细!C:C,$B22,出库明细!D:D,$C22),0))</f>
        <v>20</v>
      </c>
      <c r="H22" s="156">
        <f>IF($B22="","",IFERROR(SUMIFS(出库明细!G:G,出库明细!C:C,$B22,出库明细!D:D,$C22),0))</f>
        <v>1380</v>
      </c>
      <c r="I22" s="14">
        <f>IF($B22="","",D22-G22)</f>
        <v>132</v>
      </c>
      <c r="J22" s="156">
        <f>IF($B22="","",F22-H22)</f>
        <v>9108</v>
      </c>
      <c r="K22" s="179">
        <f>IF($B22="","",MAX(_xlfn.MAXIFS(存条明细!B:B,存条明细!C:C,$B22,存条明细!D:D,$C22),_xlfn.MAXIFS(出库明细!B:B,出库明细!C:C,$B22,出库明细!D:D,$C22)))</f>
        <v>46237.0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 ht="15" customHeight="1" s="71">
      <c r="A23" s="14">
        <f>IF(B23="","",ROW()-3)</f>
        <v>20</v>
      </c>
      <c r="B23" s="14" t="str">
        <f>IF(_辅助!$B23="","",IF(_辅助!$B23&lt;=1000,INDEX(存条明细!$C$4:$C$1003,_辅助!$B23),INDEX(出库明细!$C$4:$C$3003,_辅助!$B23-1000)))</f>
        <v>桐心源</v>
      </c>
      <c r="C23" s="14" t="str">
        <f>IF(_辅助!$B23="","",IF(_辅助!$B23&lt;=1000,INDEX(存条明细!$D$4:$D$1003,_辅助!$B23),INDEX(出库明细!$D$4:$D$3003,_辅助!$B23-1000)))</f>
        <v>大咖</v>
      </c>
      <c r="D23" s="14">
        <f>IF($B23="","",IFERROR(SUMIFS(存条明细!E:E,存条明细!C:C,$B23,存条明细!D:D,$C23),0))</f>
        <v>236</v>
      </c>
      <c r="E23" s="156">
        <f>IF(OR($B23="",N(D23)=0),"",ROUND(F23/D23,2))</f>
        <v>83</v>
      </c>
      <c r="F23" s="156">
        <f>IF($B23="","",IFERROR(SUMIFS(存条明细!G:G,存条明细!C:C,$B23,存条明细!D:D,$C23),0))</f>
        <v>19588</v>
      </c>
      <c r="G23" s="14">
        <f>IF($B23="","",IFERROR(SUMIFS(出库明细!E:E,出库明细!C:C,$B23,出库明细!D:D,$C23),0))</f>
        <v>50</v>
      </c>
      <c r="H23" s="156">
        <f>IF($B23="","",IFERROR(SUMIFS(出库明细!G:G,出库明细!C:C,$B23,出库明细!D:D,$C23),0))</f>
        <v>4150</v>
      </c>
      <c r="I23" s="14">
        <f>IF($B23="","",D23-G23)</f>
        <v>186</v>
      </c>
      <c r="J23" s="156">
        <f>IF($B23="","",F23-H23)</f>
        <v>15438</v>
      </c>
      <c r="K23" s="179">
        <f>IF($B23="","",MAX(_xlfn.MAXIFS(存条明细!B:B,存条明细!C:C,$B23,存条明细!D:D,$C23),_xlfn.MAXIFS(出库明细!B:B,出库明细!C:C,$B23,出库明细!D:D,$C23)))</f>
        <v>46226.0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 ht="15" customHeight="1" s="71">
      <c r="A24" s="14">
        <f>IF(B24="","",ROW()-3)</f>
        <v>21</v>
      </c>
      <c r="B24" s="14" t="str">
        <f>IF(_辅助!$B24="","",IF(_辅助!$B24&lt;=1000,INDEX(存条明细!$C$4:$C$1003,_辅助!$B24),INDEX(出库明细!$C$4:$C$3003,_辅助!$B24-1000)))</f>
        <v>桐心源</v>
      </c>
      <c r="C24" s="14" t="str">
        <f>IF(_辅助!$B24="","",IF(_辅助!$B24&lt;=1000,INDEX(存条明细!$D$4:$D$1003,_辅助!$B24),INDEX(出库明细!$D$4:$D$3003,_辅助!$B24-1000)))</f>
        <v>330大咖</v>
      </c>
      <c r="D24" s="14">
        <f>IF($B24="","",IFERROR(SUMIFS(存条明细!E:E,存条明细!C:C,$B24,存条明细!D:D,$C24),0))</f>
        <v>134</v>
      </c>
      <c r="E24" s="156">
        <f>IF(OR($B24="",N(D24)=0),"",ROUND(F24/D24,2))</f>
        <v>90</v>
      </c>
      <c r="F24" s="156">
        <f>IF($B24="","",IFERROR(SUMIFS(存条明细!G:G,存条明细!C:C,$B24,存条明细!D:D,$C24),0))</f>
        <v>12060</v>
      </c>
      <c r="G24" s="14">
        <f>IF($B24="","",IFERROR(SUMIFS(出库明细!E:E,出库明细!C:C,$B24,出库明细!D:D,$C24),0))</f>
        <v>30</v>
      </c>
      <c r="H24" s="156">
        <f>IF($B24="","",IFERROR(SUMIFS(出库明细!G:G,出库明细!C:C,$B24,出库明细!D:D,$C24),0))</f>
        <v>2700</v>
      </c>
      <c r="I24" s="14">
        <f>IF($B24="","",D24-G24)</f>
        <v>104</v>
      </c>
      <c r="J24" s="156">
        <f>IF($B24="","",F24-H24)</f>
        <v>9360</v>
      </c>
      <c r="K24" s="179">
        <f>IF($B24="","",MAX(_xlfn.MAXIFS(存条明细!B:B,存条明细!C:C,$B24,存条明细!D:D,$C24),_xlfn.MAXIFS(出库明细!B:B,出库明细!C:C,$B24,出库明细!D:D,$C24)))</f>
        <v>46226.0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 ht="15" customHeight="1" s="71">
      <c r="A25" s="14">
        <f>IF(B25="","",ROW()-3)</f>
        <v>22</v>
      </c>
      <c r="B25" s="14" t="str">
        <f>IF(_辅助!$B25="","",IF(_辅助!$B25&lt;=1000,INDEX(存条明细!$C$4:$C$1003,_辅助!$B25),INDEX(出库明细!$C$4:$C$3003,_辅助!$B25-1000)))</f>
        <v>桐心源</v>
      </c>
      <c r="C25" s="14" t="str">
        <f>IF(_辅助!$B25="","",IF(_辅助!$B25&lt;=1000,INDEX(存条明细!$D$4:$D$1003,_辅助!$B25),INDEX(出库明细!$D$4:$D$3003,_辅助!$B25-1000)))</f>
        <v>小海岛椰</v>
      </c>
      <c r="D25" s="14">
        <f>IF($B25="","",IFERROR(SUMIFS(存条明细!E:E,存条明细!C:C,$B25,存条明细!D:D,$C25),0))</f>
        <v>30</v>
      </c>
      <c r="E25" s="156">
        <f>IF(OR($B25="",N(D25)=0),"",ROUND(F25/D25,2))</f>
        <v>32</v>
      </c>
      <c r="F25" s="156">
        <f>IF($B25="","",IFERROR(SUMIFS(存条明细!G:G,存条明细!C:C,$B25,存条明细!D:D,$C25),0))</f>
        <v>960</v>
      </c>
      <c r="G25" s="14">
        <f>IF($B25="","",IFERROR(SUMIFS(出库明细!E:E,出库明细!C:C,$B25,出库明细!D:D,$C25),0))</f>
        <v>10</v>
      </c>
      <c r="H25" s="156">
        <f>IF($B25="","",IFERROR(SUMIFS(出库明细!G:G,出库明细!C:C,$B25,出库明细!D:D,$C25),0))</f>
        <v>320</v>
      </c>
      <c r="I25" s="14">
        <f>IF($B25="","",D25-G25)</f>
        <v>20</v>
      </c>
      <c r="J25" s="156">
        <f>IF($B25="","",F25-H25)</f>
        <v>640</v>
      </c>
      <c r="K25" s="179">
        <f>IF($B25="","",MAX(_xlfn.MAXIFS(存条明细!B:B,存条明细!C:C,$B25,存条明细!D:D,$C25),_xlfn.MAXIFS(出库明细!B:B,出库明细!C:C,$B25,出库明细!D:D,$C25)))</f>
        <v>46237.0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 ht="15" customHeight="1" s="71">
      <c r="A26" s="14">
        <f>IF(B26="","",ROW()-3)</f>
        <v>23</v>
      </c>
      <c r="B26" s="14" t="str">
        <f>IF(_辅助!$B26="","",IF(_辅助!$B26&lt;=1000,INDEX(存条明细!$C$4:$C$1003,_辅助!$B26),INDEX(出库明细!$C$4:$C$3003,_辅助!$B26-1000)))</f>
        <v>桐心源</v>
      </c>
      <c r="C26" s="14" t="str">
        <f>IF(_辅助!$B26="","",IF(_辅助!$B26&lt;=1000,INDEX(存条明细!$D$4:$D$1003,_辅助!$B26),INDEX(出库明细!$D$4:$D$3003,_辅助!$B26-1000)))</f>
        <v>1.25海岛椰</v>
      </c>
      <c r="D26" s="14">
        <f>IF($B26="","",IFERROR(SUMIFS(存条明细!E:E,存条明细!C:C,$B26,存条明细!D:D,$C26),0))</f>
        <v>45</v>
      </c>
      <c r="E26" s="156">
        <f>IF(OR($B26="",N(D26)=0),"",ROUND(F26/D26,2))</f>
        <v>51</v>
      </c>
      <c r="F26" s="156">
        <f>IF($B26="","",IFERROR(SUMIFS(存条明细!G:G,存条明细!C:C,$B26,存条明细!D:D,$C26),0))</f>
        <v>2295</v>
      </c>
      <c r="G26" s="14">
        <f>IF($B26="","",IFERROR(SUMIFS(出库明细!E:E,出库明细!C:C,$B26,出库明细!D:D,$C26),0))</f>
        <v>0</v>
      </c>
      <c r="H26" s="156">
        <f>IF($B26="","",IFERROR(SUMIFS(出库明细!G:G,出库明细!C:C,$B26,出库明细!D:D,$C26),0))</f>
        <v>0</v>
      </c>
      <c r="I26" s="14">
        <f>IF($B26="","",D26-G26)</f>
        <v>45</v>
      </c>
      <c r="J26" s="156">
        <f>IF($B26="","",F26-H26)</f>
        <v>2295</v>
      </c>
      <c r="K26" s="179">
        <f>IF($B26="","",MAX(_xlfn.MAXIFS(存条明细!B:B,存条明细!C:C,$B26,存条明细!D:D,$C26),_xlfn.MAXIFS(出库明细!B:B,出库明细!C:C,$B26,出库明细!D:D,$C26)))</f>
        <v>46198.0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 ht="15" customHeight="1" s="71">
      <c r="A27" s="14">
        <f>IF(B27="","",ROW()-3)</f>
        <v>24</v>
      </c>
      <c r="B27" s="14" t="str">
        <f>IF(_辅助!$B27="","",IF(_辅助!$B27&lt;=1000,INDEX(存条明细!$C$4:$C$1003,_辅助!$B27),INDEX(出库明细!$C$4:$C$3003,_辅助!$B27-1000)))</f>
        <v>桐心源</v>
      </c>
      <c r="C27" s="14" t="str">
        <f>IF(_辅助!$B27="","",IF(_辅助!$B27&lt;=1000,INDEX(存条明细!$D$4:$D$1003,_辅助!$B27),INDEX(出库明细!$D$4:$D$3003,_辅助!$B27-1000)))</f>
        <v>东鹏椰子水</v>
      </c>
      <c r="D27" s="14">
        <f>IF($B27="","",IFERROR(SUMIFS(存条明细!E:E,存条明细!C:C,$B27,存条明细!D:D,$C27),0))</f>
        <v>104</v>
      </c>
      <c r="E27" s="156">
        <f>IF(OR($B27="",N(D27)=0),"",ROUND(F27/D27,2))</f>
        <v>86.54</v>
      </c>
      <c r="F27" s="156">
        <f>IF($B27="","",IFERROR(SUMIFS(存条明细!G:G,存条明细!C:C,$B27,存条明细!D:D,$C27),0))</f>
        <v>9000</v>
      </c>
      <c r="G27" s="14">
        <f>IF($B27="","",IFERROR(SUMIFS(出库明细!E:E,出库明细!C:C,$B27,出库明细!D:D,$C27),0))</f>
        <v>54</v>
      </c>
      <c r="H27" s="156">
        <f>IF($B27="","",IFERROR(SUMIFS(出库明细!G:G,出库明细!C:C,$B27,出库明细!D:D,$C27),0))</f>
        <v>4500</v>
      </c>
      <c r="I27" s="14">
        <f>IF($B27="","",D27-G27)</f>
        <v>50</v>
      </c>
      <c r="J27" s="156">
        <f>IF($B27="","",F27-H27)</f>
        <v>4500</v>
      </c>
      <c r="K27" s="179">
        <f>IF($B27="","",MAX(_xlfn.MAXIFS(存条明细!B:B,存条明细!C:C,$B27,存条明细!D:D,$C27),_xlfn.MAXIFS(出库明细!B:B,出库明细!C:C,$B27,出库明细!D:D,$C27)))</f>
        <v>46221.0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 ht="15" customHeight="1" s="71">
      <c r="A28" s="14">
        <f>IF(B28="","",ROW()-3)</f>
        <v>25</v>
      </c>
      <c r="B28" s="14" t="str">
        <f>IF(_辅助!$B28="","",IF(_辅助!$B28&lt;=1000,INDEX(存条明细!$C$4:$C$1003,_辅助!$B28),INDEX(出库明细!$C$4:$C$3003,_辅助!$B28-1000)))</f>
        <v>桐心源</v>
      </c>
      <c r="C28" s="14" t="str">
        <f>IF(_辅助!$B28="","",IF(_辅助!$B28&lt;=1000,INDEX(存条明细!$D$4:$D$1003,_辅助!$B28),INDEX(出库明细!$D$4:$D$3003,_辅助!$B28-1000)))</f>
        <v>500农夫饮料</v>
      </c>
      <c r="D28" s="14">
        <f>IF($B28="","",IFERROR(SUMIFS(存条明细!E:E,存条明细!C:C,$B28,存条明细!D:D,$C28),0))</f>
        <v>720</v>
      </c>
      <c r="E28" s="156">
        <f>IF(OR($B28="",N(D28)=0),"",ROUND(F28/D28,2))</f>
        <v>52</v>
      </c>
      <c r="F28" s="156">
        <f>IF($B28="","",IFERROR(SUMIFS(存条明细!G:G,存条明细!C:C,$B28,存条明细!D:D,$C28),0))</f>
        <v>37440</v>
      </c>
      <c r="G28" s="14">
        <f>IF($B28="","",IFERROR(SUMIFS(出库明细!E:E,出库明细!C:C,$B28,出库明细!D:D,$C28),0))</f>
        <v>1062</v>
      </c>
      <c r="H28" s="156">
        <f>IF($B28="","",IFERROR(SUMIFS(出库明细!G:G,出库明细!C:C,$B28,出库明细!D:D,$C28),0))</f>
        <v>55800</v>
      </c>
      <c r="I28" s="14">
        <f>IF($B28="","",D28-G28)</f>
        <v>-342</v>
      </c>
      <c r="J28" s="156">
        <f>IF($B28="","",F28-H28)</f>
        <v>-18360</v>
      </c>
      <c r="K28" s="179">
        <f>IF($B28="","",MAX(_xlfn.MAXIFS(存条明细!B:B,存条明细!C:C,$B28,存条明细!D:D,$C28),_xlfn.MAXIFS(出库明细!B:B,出库明细!C:C,$B28,出库明细!D:D,$C28)))</f>
        <v>46288.0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 ht="15" customHeight="1" s="71">
      <c r="A29" s="14">
        <f>IF(B29="","",ROW()-3)</f>
        <v>26</v>
      </c>
      <c r="B29" s="14" t="str">
        <f>IF(_辅助!$B29="","",IF(_辅助!$B29&lt;=1000,INDEX(存条明细!$C$4:$C$1003,_辅助!$B29),INDEX(出库明细!$C$4:$C$3003,_辅助!$B29-1000)))</f>
        <v>桐心源</v>
      </c>
      <c r="C29" s="14" t="str">
        <f>IF(_辅助!$B29="","",IF(_辅助!$B29&lt;=1000,INDEX(存条明细!$D$4:$D$1003,_辅助!$B29),INDEX(出库明细!$D$4:$D$3003,_辅助!$B29-1000)))</f>
        <v>900农夫饮料</v>
      </c>
      <c r="D29" s="14">
        <f>IF($B29="","",IFERROR(SUMIFS(存条明细!E:E,存条明细!C:C,$B29,存条明细!D:D,$C29),0))</f>
        <v>56</v>
      </c>
      <c r="E29" s="156">
        <f>IF(OR($B29="",N(D29)=0),"",ROUND(F29/D29,2))</f>
        <v>60</v>
      </c>
      <c r="F29" s="156">
        <f>IF($B29="","",IFERROR(SUMIFS(存条明细!G:G,存条明细!C:C,$B29,存条明细!D:D,$C29),0))</f>
        <v>3360</v>
      </c>
      <c r="G29" s="14">
        <f>IF($B29="","",IFERROR(SUMIFS(出库明细!E:E,出库明细!C:C,$B29,出库明细!D:D,$C29),0))</f>
        <v>98</v>
      </c>
      <c r="H29" s="156">
        <f>IF($B29="","",IFERROR(SUMIFS(出库明细!G:G,出库明细!C:C,$B29,出库明细!D:D,$C29),0))</f>
        <v>6016</v>
      </c>
      <c r="I29" s="14">
        <f>IF($B29="","",D29-G29)</f>
        <v>-42</v>
      </c>
      <c r="J29" s="156">
        <f>IF($B29="","",F29-H29)</f>
        <v>-2656</v>
      </c>
      <c r="K29" s="179">
        <f>IF($B29="","",MAX(_xlfn.MAXIFS(存条明细!B:B,存条明细!C:C,$B29,存条明细!D:D,$C29),_xlfn.MAXIFS(出库明细!B:B,出库明细!C:C,$B29,出库明细!D:D,$C29)))</f>
        <v>46288.0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 ht="15" customHeight="1" s="71">
      <c r="A30" s="14">
        <f>IF(B30="","",ROW()-3)</f>
        <v>27</v>
      </c>
      <c r="B30" s="14" t="str">
        <f>IF(_辅助!$B30="","",IF(_辅助!$B30&lt;=1000,INDEX(存条明细!$C$4:$C$1003,_辅助!$B30),INDEX(出库明细!$C$4:$C$3003,_辅助!$B30-1000)))</f>
        <v>桐心源</v>
      </c>
      <c r="C30" s="14" t="str">
        <f>IF(_辅助!$B30="","",IF(_辅助!$B30&lt;=1000,INDEX(存条明细!$D$4:$D$1003,_辅助!$B30),INDEX(出库明细!$D$4:$D$3003,_辅助!$B30-1000)))</f>
        <v>550农夫水</v>
      </c>
      <c r="D30" s="14">
        <f>IF($B30="","",IFERROR(SUMIFS(存条明细!E:E,存条明细!C:C,$B30,存条明细!D:D,$C30),0))</f>
        <v>278</v>
      </c>
      <c r="E30" s="156">
        <f>IF(OR($B30="",N(D30)=0),"",ROUND(F30/D30,2))</f>
        <v>20</v>
      </c>
      <c r="F30" s="156">
        <f>IF($B30="","",IFERROR(SUMIFS(存条明细!G:G,存条明细!C:C,$B30,存条明细!D:D,$C30),0))</f>
        <v>5560</v>
      </c>
      <c r="G30" s="14">
        <f>IF($B30="","",IFERROR(SUMIFS(出库明细!E:E,出库明细!C:C,$B30,出库明细!D:D,$C30),0))</f>
        <v>178</v>
      </c>
      <c r="H30" s="156">
        <f>IF($B30="","",IFERROR(SUMIFS(出库明细!G:G,出库明细!C:C,$B30,出库明细!D:D,$C30),0))</f>
        <v>3640</v>
      </c>
      <c r="I30" s="14">
        <f>IF($B30="","",D30-G30)</f>
        <v>100</v>
      </c>
      <c r="J30" s="156">
        <f>IF($B30="","",F30-H30)</f>
        <v>1920</v>
      </c>
      <c r="K30" s="179">
        <f>IF($B30="","",MAX(_xlfn.MAXIFS(存条明细!B:B,存条明细!C:C,$B30,存条明细!D:D,$C30),_xlfn.MAXIFS(出库明细!B:B,出库明细!C:C,$B30,出库明细!D:D,$C30)))</f>
        <v>46281.0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 ht="15" customHeight="1" s="71">
      <c r="A31" s="14">
        <f>IF(B31="","",ROW()-3)</f>
        <v>28</v>
      </c>
      <c r="B31" s="14" t="str">
        <f>IF(_辅助!$B31="","",IF(_辅助!$B31&lt;=1000,INDEX(存条明细!$C$4:$C$1003,_辅助!$B31),INDEX(出库明细!$C$4:$C$3003,_辅助!$B31-1000)))</f>
        <v>阿东副食</v>
      </c>
      <c r="C31" s="14" t="str">
        <f>IF(_辅助!$B31="","",IF(_辅助!$B31&lt;=1000,INDEX(存条明细!$D$4:$D$1003,_辅助!$B31),INDEX(出库明细!$D$4:$D$3003,_辅助!$B31-1000)))</f>
        <v>大东鹏</v>
      </c>
      <c r="D31" s="14">
        <f>IF($B31="","",IFERROR(SUMIFS(存条明细!E:E,存条明细!C:C,$B31,存条明细!D:D,$C31),0))</f>
        <v>4275</v>
      </c>
      <c r="E31" s="156">
        <f>IF(OR($B31="",N(D31)=0),"",ROUND(F31/D31,2))</f>
        <v>90</v>
      </c>
      <c r="F31" s="156">
        <f>IF($B31="","",IFERROR(SUMIFS(存条明细!G:G,存条明细!C:C,$B31,存条明细!D:D,$C31),0))</f>
        <v>384750</v>
      </c>
      <c r="G31" s="14">
        <f>IF($B31="","",IFERROR(SUMIFS(出库明细!E:E,出库明细!C:C,$B31,出库明细!D:D,$C31),0))</f>
        <v>600</v>
      </c>
      <c r="H31" s="156">
        <f>IF($B31="","",IFERROR(SUMIFS(出库明细!G:G,出库明细!C:C,$B31,出库明细!D:D,$C31),0))</f>
        <v>54000</v>
      </c>
      <c r="I31" s="14">
        <f>IF($B31="","",D31-G31)</f>
        <v>3675</v>
      </c>
      <c r="J31" s="156">
        <f>IF($B31="","",F31-H31)</f>
        <v>330750</v>
      </c>
      <c r="K31" s="179">
        <f>IF($B31="","",MAX(_xlfn.MAXIFS(存条明细!B:B,存条明细!C:C,$B31,存条明细!D:D,$C31),_xlfn.MAXIFS(出库明细!B:B,出库明细!C:C,$B31,出库明细!D:D,$C31)))</f>
        <v>46288.0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 ht="15" customHeight="1" s="71">
      <c r="A32" s="14">
        <f>IF(B32="","",ROW()-3)</f>
        <v>29</v>
      </c>
      <c r="B32" s="14" t="str">
        <f>IF(_辅助!$B32="","",IF(_辅助!$B32&lt;=1000,INDEX(存条明细!$C$4:$C$1003,_辅助!$B32),INDEX(出库明细!$C$4:$C$3003,_辅助!$B32-1000)))</f>
        <v>阿东副食</v>
      </c>
      <c r="C32" s="14" t="str">
        <f>IF(_辅助!$B32="","",IF(_辅助!$B32&lt;=1000,INDEX(存条明细!$D$4:$D$1003,_辅助!$B32),INDEX(出库明细!$D$4:$D$3003,_辅助!$B32-1000)))</f>
        <v>555补水</v>
      </c>
      <c r="D32" s="14">
        <f>IF($B32="","",IFERROR(SUMIFS(存条明细!E:E,存条明细!C:C,$B32,存条明细!D:D,$C32),0))</f>
        <v>1232</v>
      </c>
      <c r="E32" s="156">
        <f>IF(OR($B32="",N(D32)=0),"",ROUND(F32/D32,2))</f>
        <v>62.89</v>
      </c>
      <c r="F32" s="156">
        <f>IF($B32="","",IFERROR(SUMIFS(存条明细!G:G,存条明细!C:C,$B32,存条明细!D:D,$C32),0))</f>
        <v>77480</v>
      </c>
      <c r="G32" s="14">
        <f>IF($B32="","",IFERROR(SUMIFS(出库明细!E:E,出库明细!C:C,$B32,出库明细!D:D,$C32),0))</f>
        <v>416</v>
      </c>
      <c r="H32" s="156">
        <f>IF($B32="","",IFERROR(SUMIFS(出库明细!G:G,出库明细!C:C,$B32,出库明细!D:D,$C32),0))</f>
        <v>25740</v>
      </c>
      <c r="I32" s="14">
        <f>IF($B32="","",D32-G32)</f>
        <v>816</v>
      </c>
      <c r="J32" s="156">
        <f>IF($B32="","",F32-H32)</f>
        <v>51740</v>
      </c>
      <c r="K32" s="179">
        <f>IF($B32="","",MAX(_xlfn.MAXIFS(存条明细!B:B,存条明细!C:C,$B32,存条明细!D:D,$C32),_xlfn.MAXIFS(出库明细!B:B,出库明细!C:C,$B32,出库明细!D:D,$C32)))</f>
        <v>46283.0</v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 ht="15" customHeight="1" s="71">
      <c r="A33" s="14">
        <f>IF(B33="","",ROW()-3)</f>
        <v>30</v>
      </c>
      <c r="B33" s="14" t="str">
        <f>IF(_辅助!$B33="","",IF(_辅助!$B33&lt;=1000,INDEX(存条明细!$C$4:$C$1003,_辅助!$B33),INDEX(出库明细!$C$4:$C$3003,_辅助!$B33-1000)))</f>
        <v>阿东副食</v>
      </c>
      <c r="C33" s="14" t="str">
        <f>IF(_辅助!$B33="","",IF(_辅助!$B33&lt;=1000,INDEX(存条明细!$D$4:$D$1003,_辅助!$B33),INDEX(出库明细!$D$4:$D$3003,_辅助!$B33-1000)))</f>
        <v>1L补水</v>
      </c>
      <c r="D33" s="14">
        <f>IF($B33="","",IFERROR(SUMIFS(存条明细!E:E,存条明细!C:C,$B33,存条明细!D:D,$C33),0))</f>
        <v>1506</v>
      </c>
      <c r="E33" s="156">
        <f>IF(OR($B33="",N(D33)=0),"",ROUND(F33/D33,2))</f>
        <v>55</v>
      </c>
      <c r="F33" s="156">
        <f>IF($B33="","",IFERROR(SUMIFS(存条明细!G:G,存条明细!C:C,$B33,存条明细!D:D,$C33),0))</f>
        <v>82830</v>
      </c>
      <c r="G33" s="14">
        <f>IF($B33="","",IFERROR(SUMIFS(出库明细!E:E,出库明细!C:C,$B33,出库明细!D:D,$C33),0))</f>
        <v>180</v>
      </c>
      <c r="H33" s="156">
        <f>IF($B33="","",IFERROR(SUMIFS(出库明细!G:G,出库明细!C:C,$B33,出库明细!D:D,$C33),0))</f>
        <v>10320</v>
      </c>
      <c r="I33" s="14">
        <f>IF($B33="","",D33-G33)</f>
        <v>1326</v>
      </c>
      <c r="J33" s="156">
        <f>IF($B33="","",F33-H33)</f>
        <v>72510</v>
      </c>
      <c r="K33" s="179">
        <f>IF($B33="","",MAX(_xlfn.MAXIFS(存条明细!B:B,存条明细!C:C,$B33,存条明细!D:D,$C33),_xlfn.MAXIFS(出库明细!B:B,出库明细!C:C,$B33,出库明细!D:D,$C33)))</f>
        <v>46265.0</v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 ht="15" customHeight="1" s="71">
      <c r="A34" s="14">
        <f>IF(B34="","",ROW()-3)</f>
        <v>31</v>
      </c>
      <c r="B34" s="14" t="str">
        <f>IF(_辅助!$B34="","",IF(_辅助!$B34&lt;=1000,INDEX(存条明细!$C$4:$C$1003,_辅助!$B34),INDEX(出库明细!$C$4:$C$3003,_辅助!$B34-1000)))</f>
        <v>阿东副食</v>
      </c>
      <c r="C34" s="14" t="str">
        <f>IF(_辅助!$B34="","",IF(_辅助!$B34&lt;=1000,INDEX(存条明细!$D$4:$D$1003,_辅助!$B34),INDEX(出库明细!$D$4:$D$3003,_辅助!$B34-1000)))</f>
        <v>小果之茶</v>
      </c>
      <c r="D34" s="14">
        <f>IF($B34="","",IFERROR(SUMIFS(存条明细!E:E,存条明细!C:C,$B34,存条明细!D:D,$C34),0))</f>
        <v>998</v>
      </c>
      <c r="E34" s="156">
        <f>IF(OR($B34="",N(D34)=0),"",ROUND(F34/D34,2))</f>
        <v>45.49</v>
      </c>
      <c r="F34" s="156">
        <f>IF($B34="","",IFERROR(SUMIFS(存条明细!G:G,存条明细!C:C,$B34,存条明细!D:D,$C34),0))</f>
        <v>45402</v>
      </c>
      <c r="G34" s="14">
        <f>IF($B34="","",IFERROR(SUMIFS(出库明细!E:E,出库明细!C:C,$B34,出库明细!D:D,$C34),0))</f>
        <v>1456</v>
      </c>
      <c r="H34" s="156">
        <f>IF($B34="","",IFERROR(SUMIFS(出库明细!G:G,出库明细!C:C,$B34,出库明细!D:D,$C34),0))</f>
        <v>68432</v>
      </c>
      <c r="I34" s="14">
        <f>IF($B34="","",D34-G34)</f>
        <v>-458</v>
      </c>
      <c r="J34" s="156">
        <f>IF($B34="","",F34-H34)</f>
        <v>-23030</v>
      </c>
      <c r="K34" s="179">
        <f>IF($B34="","",MAX(_xlfn.MAXIFS(存条明细!B:B,存条明细!C:C,$B34,存条明细!D:D,$C34),_xlfn.MAXIFS(出库明细!B:B,出库明细!C:C,$B34,出库明细!D:D,$C34)))</f>
        <v>46288.0</v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 ht="15" customHeight="1" s="71">
      <c r="A35" s="14">
        <f>IF(B35="","",ROW()-3)</f>
        <v>32</v>
      </c>
      <c r="B35" s="14" t="str">
        <f>IF(_辅助!$B35="","",IF(_辅助!$B35&lt;=1000,INDEX(存条明细!$C$4:$C$1003,_辅助!$B35),INDEX(出库明细!$C$4:$C$3003,_辅助!$B35-1000)))</f>
        <v>阿东副食</v>
      </c>
      <c r="C35" s="14" t="str">
        <f>IF(_辅助!$B35="","",IF(_辅助!$B35&lt;=1000,INDEX(存条明细!$D$4:$D$1003,_辅助!$B35),INDEX(出库明细!$D$4:$D$3003,_辅助!$B35-1000)))</f>
        <v>1L果之茶</v>
      </c>
      <c r="D35" s="14">
        <f>IF($B35="","",IFERROR(SUMIFS(存条明细!E:E,存条明细!C:C,$B35,存条明细!D:D,$C35),0))</f>
        <v>418</v>
      </c>
      <c r="E35" s="156">
        <f>IF(OR($B35="",N(D35)=0),"",ROUND(F35/D35,2))</f>
        <v>42.59</v>
      </c>
      <c r="F35" s="156">
        <f>IF($B35="","",IFERROR(SUMIFS(存条明细!G:G,存条明细!C:C,$B35,存条明细!D:D,$C35),0))</f>
        <v>17802</v>
      </c>
      <c r="G35" s="14">
        <f>IF($B35="","",IFERROR(SUMIFS(出库明细!E:E,出库明细!C:C,$B35,出库明细!D:D,$C35),0))</f>
        <v>190</v>
      </c>
      <c r="H35" s="156">
        <f>IF($B35="","",IFERROR(SUMIFS(出库明细!G:G,出库明细!C:C,$B35,出库明细!D:D,$C35),0))</f>
        <v>8170</v>
      </c>
      <c r="I35" s="14">
        <f>IF($B35="","",D35-G35)</f>
        <v>228</v>
      </c>
      <c r="J35" s="156">
        <f>IF($B35="","",F35-H35)</f>
        <v>9632</v>
      </c>
      <c r="K35" s="179">
        <f>IF($B35="","",MAX(_xlfn.MAXIFS(存条明细!B:B,存条明细!C:C,$B35,存条明细!D:D,$C35),_xlfn.MAXIFS(出库明细!B:B,出库明细!C:C,$B35,出库明细!D:D,$C35)))</f>
        <v>46288.0</v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 ht="15" customHeight="1" s="71">
      <c r="A36" s="14">
        <f>IF(B36="","",ROW()-3)</f>
        <v>33</v>
      </c>
      <c r="B36" s="14" t="str">
        <f>IF(_辅助!$B36="","",IF(_辅助!$B36&lt;=1000,INDEX(存条明细!$C$4:$C$1003,_辅助!$B36),INDEX(出库明细!$C$4:$C$3003,_辅助!$B36-1000)))</f>
        <v>阿东副食</v>
      </c>
      <c r="C36" s="14" t="str">
        <f>IF(_辅助!$B36="","",IF(_辅助!$B36&lt;=1000,INDEX(存条明细!$D$4:$D$1003,_辅助!$B36),INDEX(出库明细!$D$4:$D$3003,_辅助!$B36-1000)))</f>
        <v>港式奶茶</v>
      </c>
      <c r="D36" s="14">
        <f>IF($B36="","",IFERROR(SUMIFS(存条明细!E:E,存条明细!C:C,$B36,存条明细!D:D,$C36),0))</f>
        <v>442</v>
      </c>
      <c r="E36" s="156">
        <f>IF(OR($B36="",N(D36)=0),"",ROUND(F36/D36,2))</f>
        <v>69</v>
      </c>
      <c r="F36" s="156">
        <f>IF($B36="","",IFERROR(SUMIFS(存条明细!G:G,存条明细!C:C,$B36,存条明细!D:D,$C36),0))</f>
        <v>30498</v>
      </c>
      <c r="G36" s="14">
        <f>IF($B36="","",IFERROR(SUMIFS(出库明细!E:E,出库明细!C:C,$B36,出库明细!D:D,$C36),0))</f>
        <v>0</v>
      </c>
      <c r="H36" s="156">
        <f>IF($B36="","",IFERROR(SUMIFS(出库明细!G:G,出库明细!C:C,$B36,出库明细!D:D,$C36),0))</f>
        <v>0</v>
      </c>
      <c r="I36" s="14">
        <f>IF($B36="","",D36-G36)</f>
        <v>442</v>
      </c>
      <c r="J36" s="156">
        <f>IF($B36="","",F36-H36)</f>
        <v>30498</v>
      </c>
      <c r="K36" s="179">
        <f>IF($B36="","",MAX(_xlfn.MAXIFS(存条明细!B:B,存条明细!C:C,$B36,存条明细!D:D,$C36),_xlfn.MAXIFS(出库明细!B:B,出库明细!C:C,$B36,出库明细!D:D,$C36)))</f>
        <v>46198.0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 ht="15" customHeight="1" s="71">
      <c r="A37" s="14">
        <f>IF(B37="","",ROW()-3)</f>
        <v>34</v>
      </c>
      <c r="B37" s="14" t="str">
        <f>IF(_辅助!$B37="","",IF(_辅助!$B37&lt;=1000,INDEX(存条明细!$C$4:$C$1003,_辅助!$B37),INDEX(出库明细!$C$4:$C$3003,_辅助!$B37-1000)))</f>
        <v>阿东副食</v>
      </c>
      <c r="C37" s="14" t="str">
        <f>IF(_辅助!$B37="","",IF(_辅助!$B37&lt;=1000,INDEX(存条明细!$D$4:$D$1003,_辅助!$B37),INDEX(出库明细!$D$4:$D$3003,_辅助!$B37-1000)))</f>
        <v>大咖</v>
      </c>
      <c r="D37" s="14">
        <f>IF($B37="","",IFERROR(SUMIFS(存条明细!E:E,存条明细!C:C,$B37,存条明细!D:D,$C37),0))</f>
        <v>306</v>
      </c>
      <c r="E37" s="156">
        <f>IF(OR($B37="",N(D37)=0),"",ROUND(F37/D37,2))</f>
        <v>83</v>
      </c>
      <c r="F37" s="156">
        <f>IF($B37="","",IFERROR(SUMIFS(存条明细!G:G,存条明细!C:C,$B37,存条明细!D:D,$C37),0))</f>
        <v>25398</v>
      </c>
      <c r="G37" s="14">
        <f>IF($B37="","",IFERROR(SUMIFS(出库明细!E:E,出库明细!C:C,$B37,出库明细!D:D,$C37),0))</f>
        <v>100</v>
      </c>
      <c r="H37" s="156">
        <f>IF($B37="","",IFERROR(SUMIFS(出库明细!G:G,出库明细!C:C,$B37,出库明细!D:D,$C37),0))</f>
        <v>8300</v>
      </c>
      <c r="I37" s="14">
        <f>IF($B37="","",D37-G37)</f>
        <v>206</v>
      </c>
      <c r="J37" s="156">
        <f>IF($B37="","",F37-H37)</f>
        <v>17098</v>
      </c>
      <c r="K37" s="179">
        <f>IF($B37="","",MAX(_xlfn.MAXIFS(存条明细!B:B,存条明细!C:C,$B37,存条明细!D:D,$C37),_xlfn.MAXIFS(出库明细!B:B,出库明细!C:C,$B37,出库明细!D:D,$C37)))</f>
        <v>46258.0</v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 ht="15" customHeight="1" s="71">
      <c r="A38" s="14">
        <f>IF(B38="","",ROW()-3)</f>
        <v>35</v>
      </c>
      <c r="B38" s="14" t="str">
        <f>IF(_辅助!$B38="","",IF(_辅助!$B38&lt;=1000,INDEX(存条明细!$C$4:$C$1003,_辅助!$B38),INDEX(出库明细!$C$4:$C$3003,_辅助!$B38-1000)))</f>
        <v>阿东副食</v>
      </c>
      <c r="C38" s="14" t="str">
        <f>IF(_辅助!$B38="","",IF(_辅助!$B38&lt;=1000,INDEX(存条明细!$D$4:$D$1003,_辅助!$B38),INDEX(出库明细!$D$4:$D$3003,_辅助!$B38-1000)))</f>
        <v>330大咖</v>
      </c>
      <c r="D38" s="14">
        <f>IF($B38="","",IFERROR(SUMIFS(存条明细!E:E,存条明细!C:C,$B38,存条明细!D:D,$C38),0))</f>
        <v>0</v>
      </c>
      <c r="E38" s="156">
        <f>IF(OR($B38="",N(D38)=0),"",ROUND(F38/D38,2))</f>
      </c>
      <c r="F38" s="156">
        <f>IF($B38="","",IFERROR(SUMIFS(存条明细!G:G,存条明细!C:C,$B38,存条明细!D:D,$C38),0))</f>
        <v>0</v>
      </c>
      <c r="G38" s="14">
        <f>IF($B38="","",IFERROR(SUMIFS(出库明细!E:E,出库明细!C:C,$B38,出库明细!D:D,$C38),0))</f>
        <v>20</v>
      </c>
      <c r="H38" s="156">
        <f>IF($B38="","",IFERROR(SUMIFS(出库明细!G:G,出库明细!C:C,$B38,出库明细!D:D,$C38),0))</f>
        <v>1800</v>
      </c>
      <c r="I38" s="14">
        <f>IF($B38="","",D38-G38)</f>
        <v>-20</v>
      </c>
      <c r="J38" s="156">
        <f>IF($B38="","",F38-H38)</f>
        <v>-1800</v>
      </c>
      <c r="K38" s="179">
        <f>IF($B38="","",MAX(_xlfn.MAXIFS(存条明细!B:B,存条明细!C:C,$B38,存条明细!D:D,$C38),_xlfn.MAXIFS(出库明细!B:B,出库明细!C:C,$B38,出库明细!D:D,$C38)))</f>
        <v>46225.0</v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 ht="15" customHeight="1" s="71">
      <c r="A39" s="14">
        <f>IF(B39="","",ROW()-3)</f>
        <v>36</v>
      </c>
      <c r="B39" s="14" t="str">
        <f>IF(_辅助!$B39="","",IF(_辅助!$B39&lt;=1000,INDEX(存条明细!$C$4:$C$1003,_辅助!$B39),INDEX(出库明细!$C$4:$C$3003,_辅助!$B39-1000)))</f>
        <v>阿东副食</v>
      </c>
      <c r="C39" s="14" t="str">
        <f>IF(_辅助!$B39="","",IF(_辅助!$B39&lt;=1000,INDEX(存条明细!$D$4:$D$1003,_辅助!$B39),INDEX(出库明细!$D$4:$D$3003,_辅助!$B39-1000)))</f>
        <v>小咖</v>
      </c>
      <c r="D39" s="14">
        <f>IF($B39="","",IFERROR(SUMIFS(存条明细!E:E,存条明细!C:C,$B39,存条明细!D:D,$C39),0))</f>
        <v>132</v>
      </c>
      <c r="E39" s="156">
        <f>IF(OR($B39="",N(D39)=0),"",ROUND(F39/D39,2))</f>
        <v>90</v>
      </c>
      <c r="F39" s="156">
        <f>IF($B39="","",IFERROR(SUMIFS(存条明细!G:G,存条明细!C:C,$B39,存条明细!D:D,$C39),0))</f>
        <v>11880</v>
      </c>
      <c r="G39" s="14">
        <f>IF($B39="","",IFERROR(SUMIFS(出库明细!E:E,出库明细!C:C,$B39,出库明细!D:D,$C39),0))</f>
        <v>0</v>
      </c>
      <c r="H39" s="156">
        <f>IF($B39="","",IFERROR(SUMIFS(出库明细!G:G,出库明细!C:C,$B39,出库明细!D:D,$C39),0))</f>
        <v>0</v>
      </c>
      <c r="I39" s="14">
        <f>IF($B39="","",D39-G39)</f>
        <v>132</v>
      </c>
      <c r="J39" s="156">
        <f>IF($B39="","",F39-H39)</f>
        <v>11880</v>
      </c>
      <c r="K39" s="179">
        <f>IF($B39="","",MAX(_xlfn.MAXIFS(存条明细!B:B,存条明细!C:C,$B39,存条明细!D:D,$C39),_xlfn.MAXIFS(出库明细!B:B,出库明细!C:C,$B39,出库明细!D:D,$C39)))</f>
        <v>46198.0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 ht="15" customHeight="1" s="71">
      <c r="A40" s="14">
        <f>IF(B40="","",ROW()-3)</f>
        <v>37</v>
      </c>
      <c r="B40" s="14" t="str">
        <f>IF(_辅助!$B40="","",IF(_辅助!$B40&lt;=1000,INDEX(存条明细!$C$4:$C$1003,_辅助!$B40),INDEX(出库明细!$C$4:$C$3003,_辅助!$B40-1000)))</f>
        <v>阿东副食</v>
      </c>
      <c r="C40" s="14" t="str">
        <f>IF(_辅助!$B40="","",IF(_辅助!$B40&lt;=1000,INDEX(存条明细!$D$4:$D$1003,_辅助!$B40),INDEX(出库明细!$D$4:$D$3003,_辅助!$B40-1000)))</f>
        <v>小海岛椰</v>
      </c>
      <c r="D40" s="14">
        <f>IF($B40="","",IFERROR(SUMIFS(存条明细!E:E,存条明细!C:C,$B40,存条明细!D:D,$C40),0))</f>
        <v>30</v>
      </c>
      <c r="E40" s="156">
        <f>IF(OR($B40="",N(D40)=0),"",ROUND(F40/D40,2))</f>
        <v>33</v>
      </c>
      <c r="F40" s="156">
        <f>IF($B40="","",IFERROR(SUMIFS(存条明细!G:G,存条明细!C:C,$B40,存条明细!D:D,$C40),0))</f>
        <v>990</v>
      </c>
      <c r="G40" s="14">
        <f>IF($B40="","",IFERROR(SUMIFS(出库明细!E:E,出库明细!C:C,$B40,出库明细!D:D,$C40),0))</f>
        <v>0</v>
      </c>
      <c r="H40" s="156">
        <f>IF($B40="","",IFERROR(SUMIFS(出库明细!G:G,出库明细!C:C,$B40,出库明细!D:D,$C40),0))</f>
        <v>0</v>
      </c>
      <c r="I40" s="14">
        <f>IF($B40="","",D40-G40)</f>
        <v>30</v>
      </c>
      <c r="J40" s="156">
        <f>IF($B40="","",F40-H40)</f>
        <v>990</v>
      </c>
      <c r="K40" s="179">
        <f>IF($B40="","",MAX(_xlfn.MAXIFS(存条明细!B:B,存条明细!C:C,$B40,存条明细!D:D,$C40),_xlfn.MAXIFS(出库明细!B:B,出库明细!C:C,$B40,出库明细!D:D,$C40)))</f>
        <v>46198.0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15" customHeight="1" s="71">
      <c r="A41" s="14">
        <f>IF(B41="","",ROW()-3)</f>
        <v>38</v>
      </c>
      <c r="B41" s="14" t="str">
        <f>IF(_辅助!$B41="","",IF(_辅助!$B41&lt;=1000,INDEX(存条明细!$C$4:$C$1003,_辅助!$B41),INDEX(出库明细!$C$4:$C$3003,_辅助!$B41-1000)))</f>
        <v>阿东副食</v>
      </c>
      <c r="C41" s="14" t="str">
        <f>IF(_辅助!$B41="","",IF(_辅助!$B41&lt;=1000,INDEX(存条明细!$D$4:$D$1003,_辅助!$B41),INDEX(出库明细!$D$4:$D$3003,_辅助!$B41-1000)))</f>
        <v>东鹏椰子水</v>
      </c>
      <c r="D41" s="14">
        <f>IF($B41="","",IFERROR(SUMIFS(存条明细!E:E,存条明细!C:C,$B41,存条明细!D:D,$C41),0))</f>
        <v>104</v>
      </c>
      <c r="E41" s="156">
        <f>IF(OR($B41="",N(D41)=0),"",ROUND(F41/D41,2))</f>
        <v>86.54</v>
      </c>
      <c r="F41" s="156">
        <f>IF($B41="","",IFERROR(SUMIFS(存条明细!G:G,存条明细!C:C,$B41,存条明细!D:D,$C41),0))</f>
        <v>9000</v>
      </c>
      <c r="G41" s="14">
        <f>IF($B41="","",IFERROR(SUMIFS(出库明细!E:E,出库明细!C:C,$B41,出库明细!D:D,$C41),0))</f>
        <v>30</v>
      </c>
      <c r="H41" s="156">
        <f>IF($B41="","",IFERROR(SUMIFS(出库明细!G:G,出库明细!C:C,$B41,出库明细!D:D,$C41),0))</f>
        <v>2700</v>
      </c>
      <c r="I41" s="14">
        <f>IF($B41="","",D41-G41)</f>
        <v>74</v>
      </c>
      <c r="J41" s="156">
        <f>IF($B41="","",F41-H41)</f>
        <v>6300</v>
      </c>
      <c r="K41" s="179">
        <f>IF($B41="","",MAX(_xlfn.MAXIFS(存条明细!B:B,存条明细!C:C,$B41,存条明细!D:D,$C41),_xlfn.MAXIFS(出库明细!B:B,出库明细!C:C,$B41,出库明细!D:D,$C41)))</f>
        <v>46220.0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15" customHeight="1" s="71">
      <c r="A42" s="14">
        <f>IF(B42="","",ROW()-3)</f>
        <v>39</v>
      </c>
      <c r="B42" s="14" t="str">
        <f>IF(_辅助!$B42="","",IF(_辅助!$B42&lt;=1000,INDEX(存条明细!$C$4:$C$1003,_辅助!$B42),INDEX(出库明细!$C$4:$C$3003,_辅助!$B42-1000)))</f>
        <v>阿东副食</v>
      </c>
      <c r="C42" s="14" t="str">
        <f>IF(_辅助!$B42="","",IF(_辅助!$B42&lt;=1000,INDEX(存条明细!$D$4:$D$1003,_辅助!$B42),INDEX(出库明细!$D$4:$D$3003,_辅助!$B42-1000)))</f>
        <v>555椰子水</v>
      </c>
      <c r="D42" s="14">
        <f>IF($B42="","",IFERROR(SUMIFS(存条明细!E:E,存条明细!C:C,$B42,存条明细!D:D,$C42),0))</f>
        <v>0</v>
      </c>
      <c r="E42" s="156">
        <f>IF(OR($B42="",N(D42)=0),"",ROUND(F42/D42,2))</f>
      </c>
      <c r="F42" s="156">
        <f>IF($B42="","",IFERROR(SUMIFS(存条明细!G:G,存条明细!C:C,$B42,存条明细!D:D,$C42),0))</f>
        <v>0</v>
      </c>
      <c r="G42" s="14">
        <f>IF($B42="","",IFERROR(SUMIFS(出库明细!E:E,出库明细!C:C,$B42,出库明细!D:D,$C42),0))</f>
        <v>20</v>
      </c>
      <c r="H42" s="156">
        <f>IF($B42="","",IFERROR(SUMIFS(出库明细!G:G,出库明细!C:C,$B42,出库明细!D:D,$C42),0))</f>
        <v>1830</v>
      </c>
      <c r="I42" s="14">
        <f>IF($B42="","",D42-G42)</f>
        <v>-20</v>
      </c>
      <c r="J42" s="156">
        <f>IF($B42="","",F42-H42)</f>
        <v>-1830</v>
      </c>
      <c r="K42" s="179">
        <f>IF($B42="","",MAX(_xlfn.MAXIFS(存条明细!B:B,存条明细!C:C,$B42,存条明细!D:D,$C42),_xlfn.MAXIFS(出库明细!B:B,出库明细!C:C,$B42,出库明细!D:D,$C42)))</f>
        <v>46274.0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15" customHeight="1" s="71">
      <c r="A43" s="14">
        <f>IF(B43="","",ROW()-3)</f>
        <v>40</v>
      </c>
      <c r="B43" s="14" t="str">
        <f>IF(_辅助!$B43="","",IF(_辅助!$B43&lt;=1000,INDEX(存条明细!$C$4:$C$1003,_辅助!$B43),INDEX(出库明细!$C$4:$C$3003,_辅助!$B43-1000)))</f>
        <v>阿东副食</v>
      </c>
      <c r="C43" s="14" t="str">
        <f>IF(_辅助!$B43="","",IF(_辅助!$B43&lt;=1000,INDEX(存条明细!$D$4:$D$1003,_辅助!$B43),INDEX(出库明细!$D$4:$D$3003,_辅助!$B43-1000)))</f>
        <v>九制陈皮</v>
      </c>
      <c r="D43" s="14">
        <f>IF($B43="","",IFERROR(SUMIFS(存条明细!E:E,存条明细!C:C,$B43,存条明细!D:D,$C43),0))</f>
        <v>40</v>
      </c>
      <c r="E43" s="156">
        <f>IF(OR($B43="",N(D43)=0),"",ROUND(F43/D43,2))</f>
        <v>47</v>
      </c>
      <c r="F43" s="156">
        <f>IF($B43="","",IFERROR(SUMIFS(存条明细!G:G,存条明细!C:C,$B43,存条明细!D:D,$C43),0))</f>
        <v>1880</v>
      </c>
      <c r="G43" s="14">
        <f>IF($B43="","",IFERROR(SUMIFS(出库明细!E:E,出库明细!C:C,$B43,出库明细!D:D,$C43),0))</f>
        <v>0</v>
      </c>
      <c r="H43" s="156">
        <f>IF($B43="","",IFERROR(SUMIFS(出库明细!G:G,出库明细!C:C,$B43,出库明细!D:D,$C43),0))</f>
        <v>0</v>
      </c>
      <c r="I43" s="14">
        <f>IF($B43="","",D43-G43)</f>
        <v>40</v>
      </c>
      <c r="J43" s="156">
        <f>IF($B43="","",F43-H43)</f>
        <v>1880</v>
      </c>
      <c r="K43" s="179">
        <f>IF($B43="","",MAX(_xlfn.MAXIFS(存条明细!B:B,存条明细!C:C,$B43,存条明细!D:D,$C43),_xlfn.MAXIFS(出库明细!B:B,出库明细!C:C,$B43,出库明细!D:D,$C43)))</f>
        <v>46198.0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15" customHeight="1" s="71">
      <c r="A44" s="14">
        <f>IF(B44="","",ROW()-3)</f>
        <v>41</v>
      </c>
      <c r="B44" s="14" t="str">
        <f>IF(_辅助!$B44="","",IF(_辅助!$B44&lt;=1000,INDEX(存条明细!$C$4:$C$1003,_辅助!$B44),INDEX(出库明细!$C$4:$C$3003,_辅助!$B44-1000)))</f>
        <v>阿东副食</v>
      </c>
      <c r="C44" s="14" t="str">
        <f>IF(_辅助!$B44="","",IF(_辅助!$B44&lt;=1000,INDEX(存条明细!$D$4:$D$1003,_辅助!$B44),INDEX(出库明细!$D$4:$D$3003,_辅助!$B44-1000)))</f>
        <v>小焙好茶</v>
      </c>
      <c r="D44" s="14">
        <f>IF($B44="","",IFERROR(SUMIFS(存条明细!E:E,存条明细!C:C,$B44,存条明细!D:D,$C44),0))</f>
        <v>114</v>
      </c>
      <c r="E44" s="156">
        <f>IF(OR($B44="",N(D44)=0),"",ROUND(F44/D44,2))</f>
        <v>48</v>
      </c>
      <c r="F44" s="156">
        <f>IF($B44="","",IFERROR(SUMIFS(存条明细!G:G,存条明细!C:C,$B44,存条明细!D:D,$C44),0))</f>
        <v>5472</v>
      </c>
      <c r="G44" s="14">
        <f>IF($B44="","",IFERROR(SUMIFS(出库明细!E:E,出库明细!C:C,$B44,出库明细!D:D,$C44),0))</f>
        <v>40</v>
      </c>
      <c r="H44" s="156">
        <f>IF($B44="","",IFERROR(SUMIFS(出库明细!G:G,出库明细!C:C,$B44,出库明细!D:D,$C44),0))</f>
        <v>1920</v>
      </c>
      <c r="I44" s="14">
        <f>IF($B44="","",D44-G44)</f>
        <v>74</v>
      </c>
      <c r="J44" s="156">
        <f>IF($B44="","",F44-H44)</f>
        <v>3552</v>
      </c>
      <c r="K44" s="179">
        <f>IF($B44="","",MAX(_xlfn.MAXIFS(存条明细!B:B,存条明细!C:C,$B44,存条明细!D:D,$C44),_xlfn.MAXIFS(出库明细!B:B,出库明细!C:C,$B44,出库明细!D:D,$C44)))</f>
        <v>46220.0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15" customHeight="1" s="71">
      <c r="A45" s="14">
        <f>IF(B45="","",ROW()-3)</f>
        <v>42</v>
      </c>
      <c r="B45" s="14" t="str">
        <f>IF(_辅助!$B45="","",IF(_辅助!$B45&lt;=1000,INDEX(存条明细!$C$4:$C$1003,_辅助!$B45),INDEX(出库明细!$C$4:$C$3003,_辅助!$B45-1000)))</f>
        <v>阿东副食</v>
      </c>
      <c r="C45" s="14" t="str">
        <f>IF(_辅助!$B45="","",IF(_辅助!$B45&lt;=1000,INDEX(存条明细!$D$4:$D$1003,_辅助!$B45),INDEX(出库明细!$D$4:$D$3003,_辅助!$B45-1000)))</f>
        <v>1L焙好茶</v>
      </c>
      <c r="D45" s="14">
        <f>IF($B45="","",IFERROR(SUMIFS(存条明细!E:E,存条明细!C:C,$B45,存条明细!D:D,$C45),0))</f>
        <v>0</v>
      </c>
      <c r="E45" s="156">
        <f>IF(OR($B45="",N(D45)=0),"",ROUND(F45/D45,2))</f>
      </c>
      <c r="F45" s="156">
        <f>IF($B45="","",IFERROR(SUMIFS(存条明细!G:G,存条明细!C:C,$B45,存条明细!D:D,$C45),0))</f>
        <v>0</v>
      </c>
      <c r="G45" s="14">
        <f>IF($B45="","",IFERROR(SUMIFS(出库明细!E:E,出库明细!C:C,$B45,出库明细!D:D,$C45),0))</f>
        <v>20</v>
      </c>
      <c r="H45" s="156">
        <f>IF($B45="","",IFERROR(SUMIFS(出库明细!G:G,出库明细!C:C,$B45,出库明细!D:D,$C45),0))</f>
        <v>860</v>
      </c>
      <c r="I45" s="14">
        <f>IF($B45="","",D45-G45)</f>
        <v>-20</v>
      </c>
      <c r="J45" s="156">
        <f>IF($B45="","",F45-H45)</f>
        <v>-860</v>
      </c>
      <c r="K45" s="179">
        <f>IF($B45="","",MAX(_xlfn.MAXIFS(存条明细!B:B,存条明细!C:C,$B45,存条明细!D:D,$C45),_xlfn.MAXIFS(出库明细!B:B,出库明细!C:C,$B45,出库明细!D:D,$C45)))</f>
        <v>46257.0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t="15" customHeight="1" s="71">
      <c r="A46" s="14">
        <f>IF(B46="","",ROW()-3)</f>
        <v>43</v>
      </c>
      <c r="B46" s="14" t="str">
        <f>IF(_辅助!$B46="","",IF(_辅助!$B46&lt;=1000,INDEX(存条明细!$C$4:$C$1003,_辅助!$B46),INDEX(出库明细!$C$4:$C$3003,_辅助!$B46-1000)))</f>
        <v>阿东副食</v>
      </c>
      <c r="C46" s="14" t="str">
        <f>IF(_辅助!$B46="","",IF(_辅助!$B46&lt;=1000,INDEX(存条明细!$D$4:$D$1003,_辅助!$B46),INDEX(出库明细!$D$4:$D$3003,_辅助!$B46-1000)))</f>
        <v>清爽</v>
      </c>
      <c r="D46" s="14">
        <f>IF($B46="","",IFERROR(SUMIFS(存条明细!E:E,存条明细!C:C,$B46,存条明细!D:D,$C46),0))</f>
        <v>50</v>
      </c>
      <c r="E46" s="156">
        <f>IF(OR($B46="",N(D46)=0),"",ROUND(F46/D46,2))</f>
        <v>42</v>
      </c>
      <c r="F46" s="156">
        <f>IF($B46="","",IFERROR(SUMIFS(存条明细!G:G,存条明细!C:C,$B46,存条明细!D:D,$C46),0))</f>
        <v>2100</v>
      </c>
      <c r="G46" s="14">
        <f>IF($B46="","",IFERROR(SUMIFS(出库明细!E:E,出库明细!C:C,$B46,出库明细!D:D,$C46),0))</f>
        <v>0</v>
      </c>
      <c r="H46" s="156">
        <f>IF($B46="","",IFERROR(SUMIFS(出库明细!G:G,出库明细!C:C,$B46,出库明细!D:D,$C46),0))</f>
        <v>0</v>
      </c>
      <c r="I46" s="14">
        <f>IF($B46="","",D46-G46)</f>
        <v>50</v>
      </c>
      <c r="J46" s="156">
        <f>IF($B46="","",F46-H46)</f>
        <v>2100</v>
      </c>
      <c r="K46" s="179">
        <f>IF($B46="","",MAX(_xlfn.MAXIFS(存条明细!B:B,存条明细!C:C,$B46,存条明细!D:D,$C46),_xlfn.MAXIFS(出库明细!B:B,出库明细!C:C,$B46,出库明细!D:D,$C46)))</f>
        <v>46241.0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t="15" customHeight="1" s="71">
      <c r="A47" s="14">
        <f>IF(B47="","",ROW()-3)</f>
        <v>44</v>
      </c>
      <c r="B47" s="14" t="str">
        <f>IF(_辅助!$B47="","",IF(_辅助!$B47&lt;=1000,INDEX(存条明细!$C$4:$C$1003,_辅助!$B47),INDEX(出库明细!$C$4:$C$3003,_辅助!$B47-1000)))</f>
        <v>金凤副食</v>
      </c>
      <c r="C47" s="14" t="str">
        <f>IF(_辅助!$B47="","",IF(_辅助!$B47&lt;=1000,INDEX(存条明细!$D$4:$D$1003,_辅助!$B47),INDEX(出库明细!$D$4:$D$3003,_辅助!$B47-1000)))</f>
        <v>大东鹏</v>
      </c>
      <c r="D47" s="14">
        <f>IF($B47="","",IFERROR(SUMIFS(存条明细!E:E,存条明细!C:C,$B47,存条明细!D:D,$C47),0))</f>
        <v>0</v>
      </c>
      <c r="E47" s="156">
        <f>IF(OR($B47="",N(D47)=0),"",ROUND(F47/D47,2))</f>
      </c>
      <c r="F47" s="156">
        <f>IF($B47="","",IFERROR(SUMIFS(存条明细!G:G,存条明细!C:C,$B47,存条明细!D:D,$C47),0))</f>
        <v>0</v>
      </c>
      <c r="G47" s="14">
        <f>IF($B47="","",IFERROR(SUMIFS(出库明细!E:E,出库明细!C:C,$B47,出库明细!D:D,$C47),0))</f>
        <v>100</v>
      </c>
      <c r="H47" s="156">
        <f>IF($B47="","",IFERROR(SUMIFS(出库明细!G:G,出库明细!C:C,$B47,出库明细!D:D,$C47),0))</f>
        <v>9000</v>
      </c>
      <c r="I47" s="14">
        <f>IF($B47="","",D47-G47)</f>
        <v>-100</v>
      </c>
      <c r="J47" s="156">
        <f>IF($B47="","",F47-H47)</f>
        <v>-9000</v>
      </c>
      <c r="K47" s="179">
        <f>IF($B47="","",MAX(_xlfn.MAXIFS(存条明细!B:B,存条明细!C:C,$B47,存条明细!D:D,$C47),_xlfn.MAXIFS(出库明细!B:B,出库明细!C:C,$B47,出库明细!D:D,$C47)))</f>
        <v>46257.0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t="15" customHeight="1" s="71">
      <c r="A48" s="14">
        <f>IF(B48="","",ROW()-3)</f>
        <v>45</v>
      </c>
      <c r="B48" s="14" t="str">
        <f>IF(_辅助!$B48="","",IF(_辅助!$B48&lt;=1000,INDEX(存条明细!$C$4:$C$1003,_辅助!$B48),INDEX(出库明细!$C$4:$C$3003,_辅助!$B48-1000)))</f>
        <v>金凤副食</v>
      </c>
      <c r="C48" s="14" t="str">
        <f>IF(_辅助!$B48="","",IF(_辅助!$B48&lt;=1000,INDEX(存条明细!$D$4:$D$1003,_辅助!$B48),INDEX(出库明细!$D$4:$D$3003,_辅助!$B48-1000)))</f>
        <v>555补水</v>
      </c>
      <c r="D48" s="14">
        <f>IF($B48="","",IFERROR(SUMIFS(存条明细!E:E,存条明细!C:C,$B48,存条明细!D:D,$C48),0))</f>
        <v>0</v>
      </c>
      <c r="E48" s="156">
        <f>IF(OR($B48="",N(D48)=0),"",ROUND(F48/D48,2))</f>
      </c>
      <c r="F48" s="156">
        <f>IF($B48="","",IFERROR(SUMIFS(存条明细!G:G,存条明细!C:C,$B48,存条明细!D:D,$C48),0))</f>
        <v>0</v>
      </c>
      <c r="G48" s="14">
        <f>IF($B48="","",IFERROR(SUMIFS(出库明细!E:E,出库明细!C:C,$B48,出库明细!D:D,$C48),0))</f>
        <v>100</v>
      </c>
      <c r="H48" s="156">
        <f>IF($B48="","",IFERROR(SUMIFS(出库明细!G:G,出库明细!C:C,$B48,出库明细!D:D,$C48),0))</f>
        <v>6500</v>
      </c>
      <c r="I48" s="14">
        <f>IF($B48="","",D48-G48)</f>
        <v>-100</v>
      </c>
      <c r="J48" s="156">
        <f>IF($B48="","",F48-H48)</f>
        <v>-6500</v>
      </c>
      <c r="K48" s="179">
        <f>IF($B48="","",MAX(_xlfn.MAXIFS(存条明细!B:B,存条明细!C:C,$B48,存条明细!D:D,$C48),_xlfn.MAXIFS(出库明细!B:B,出库明细!C:C,$B48,出库明细!D:D,$C48)))</f>
        <v>46244.0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t="15" customHeight="1" s="71">
      <c r="A49" s="14">
        <f>IF(B49="","",ROW()-3)</f>
        <v>46</v>
      </c>
      <c r="B49" s="14" t="str">
        <f>IF(_辅助!$B49="","",IF(_辅助!$B49&lt;=1000,INDEX(存条明细!$C$4:$C$1003,_辅助!$B49),INDEX(出库明细!$C$4:$C$3003,_辅助!$B49-1000)))</f>
        <v>金凤副食</v>
      </c>
      <c r="C49" s="14" t="str">
        <f>IF(_辅助!$B49="","",IF(_辅助!$B49&lt;=1000,INDEX(存条明细!$D$4:$D$1003,_辅助!$B49),INDEX(出库明细!$D$4:$D$3003,_辅助!$B49-1000)))</f>
        <v>1L补水</v>
      </c>
      <c r="D49" s="14">
        <f>IF($B49="","",IFERROR(SUMIFS(存条明细!E:E,存条明细!C:C,$B49,存条明细!D:D,$C49),0))</f>
        <v>100</v>
      </c>
      <c r="E49" s="156">
        <f>IF(OR($B49="",N(D49)=0),"",ROUND(F49/D49,2))</f>
        <v>55</v>
      </c>
      <c r="F49" s="156">
        <f>IF($B49="","",IFERROR(SUMIFS(存条明细!G:G,存条明细!C:C,$B49,存条明细!D:D,$C49),0))</f>
        <v>5500</v>
      </c>
      <c r="G49" s="14">
        <f>IF($B49="","",IFERROR(SUMIFS(出库明细!E:E,出库明细!C:C,$B49,出库明细!D:D,$C49),0))</f>
        <v>100</v>
      </c>
      <c r="H49" s="156">
        <f>IF($B49="","",IFERROR(SUMIFS(出库明细!G:G,出库明细!C:C,$B49,出库明细!D:D,$C49),0))</f>
        <v>5500</v>
      </c>
      <c r="I49" s="14">
        <f>IF($B49="","",D49-G49)</f>
        <v>0</v>
      </c>
      <c r="J49" s="156">
        <f>IF($B49="","",F49-H49)</f>
        <v>0</v>
      </c>
      <c r="K49" s="179">
        <f>IF($B49="","",MAX(_xlfn.MAXIFS(存条明细!B:B,存条明细!C:C,$B49,存条明细!D:D,$C49),_xlfn.MAXIFS(出库明细!B:B,出库明细!C:C,$B49,出库明细!D:D,$C49)))</f>
        <v>46275.0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t="15" customHeight="1" s="71">
      <c r="A50" s="14">
        <f>IF(B50="","",ROW()-3)</f>
        <v>47</v>
      </c>
      <c r="B50" s="14" t="str">
        <f>IF(_辅助!$B50="","",IF(_辅助!$B50&lt;=1000,INDEX(存条明细!$C$4:$C$1003,_辅助!$B50),INDEX(出库明细!$C$4:$C$3003,_辅助!$B50-1000)))</f>
        <v>金凤副食</v>
      </c>
      <c r="C50" s="14" t="str">
        <f>IF(_辅助!$B50="","",IF(_辅助!$B50&lt;=1000,INDEX(存条明细!$D$4:$D$1003,_辅助!$B50),INDEX(出库明细!$D$4:$D$3003,_辅助!$B50-1000)))</f>
        <v>小果之茶</v>
      </c>
      <c r="D50" s="14">
        <f>IF($B50="","",IFERROR(SUMIFS(存条明细!E:E,存条明细!C:C,$B50,存条明细!D:D,$C50),0))</f>
        <v>0</v>
      </c>
      <c r="E50" s="156">
        <f>IF(OR($B50="",N(D50)=0),"",ROUND(F50/D50,2))</f>
      </c>
      <c r="F50" s="156">
        <f>IF($B50="","",IFERROR(SUMIFS(存条明细!G:G,存条明细!C:C,$B50,存条明细!D:D,$C50),0))</f>
        <v>0</v>
      </c>
      <c r="G50" s="14">
        <f>IF($B50="","",IFERROR(SUMIFS(出库明细!E:E,出库明细!C:C,$B50,出库明细!D:D,$C50),0))</f>
        <v>450.5</v>
      </c>
      <c r="H50" s="156">
        <f>IF($B50="","",IFERROR(SUMIFS(出库明细!G:G,出库明细!C:C,$B50,出库明细!D:D,$C50),0))</f>
        <v>21173.5</v>
      </c>
      <c r="I50" s="14">
        <f>IF($B50="","",D50-G50)</f>
        <v>-450.5</v>
      </c>
      <c r="J50" s="156">
        <f>IF($B50="","",F50-H50)</f>
        <v>-21173.5</v>
      </c>
      <c r="K50" s="179">
        <f>IF($B50="","",MAX(_xlfn.MAXIFS(存条明细!B:B,存条明细!C:C,$B50,存条明细!D:D,$C50),_xlfn.MAXIFS(出库明细!B:B,出库明细!C:C,$B50,出库明细!D:D,$C50)))</f>
        <v>46288.0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t="15" customHeight="1" s="71">
      <c r="A51" s="14">
        <f>IF(B51="","",ROW()-3)</f>
        <v>48</v>
      </c>
      <c r="B51" s="14" t="str">
        <f>IF(_辅助!$B51="","",IF(_辅助!$B51&lt;=1000,INDEX(存条明细!$C$4:$C$1003,_辅助!$B51),INDEX(出库明细!$C$4:$C$3003,_辅助!$B51-1000)))</f>
        <v>金凤副食</v>
      </c>
      <c r="C51" s="14" t="str">
        <f>IF(_辅助!$B51="","",IF(_辅助!$B51&lt;=1000,INDEX(存条明细!$D$4:$D$1003,_辅助!$B51),INDEX(出库明细!$D$4:$D$3003,_辅助!$B51-1000)))</f>
        <v>1L果之茶</v>
      </c>
      <c r="D51" s="14">
        <f>IF($B51="","",IFERROR(SUMIFS(存条明细!E:E,存条明细!C:C,$B51,存条明细!D:D,$C51),0))</f>
        <v>0</v>
      </c>
      <c r="E51" s="156">
        <f>IF(OR($B51="",N(D51)=0),"",ROUND(F51/D51,2))</f>
      </c>
      <c r="F51" s="156">
        <f>IF($B51="","",IFERROR(SUMIFS(存条明细!G:G,存条明细!C:C,$B51,存条明细!D:D,$C51),0))</f>
        <v>0</v>
      </c>
      <c r="G51" s="14">
        <f>IF($B51="","",IFERROR(SUMIFS(出库明细!E:E,出库明细!C:C,$B51,出库明细!D:D,$C51),0))</f>
        <v>50.5</v>
      </c>
      <c r="H51" s="156">
        <f>IF($B51="","",IFERROR(SUMIFS(出库明细!G:G,出库明细!C:C,$B51,出库明细!D:D,$C51),0))</f>
        <v>2171.5</v>
      </c>
      <c r="I51" s="14">
        <f>IF($B51="","",D51-G51)</f>
        <v>-50.5</v>
      </c>
      <c r="J51" s="156">
        <f>IF($B51="","",F51-H51)</f>
        <v>-2171.5</v>
      </c>
      <c r="K51" s="179">
        <f>IF($B51="","",MAX(_xlfn.MAXIFS(存条明细!B:B,存条明细!C:C,$B51,存条明细!D:D,$C51),_xlfn.MAXIFS(出库明细!B:B,出库明细!C:C,$B51,出库明细!D:D,$C51)))</f>
        <v>46257.0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t="15" customHeight="1" s="71">
      <c r="A52" s="14">
        <f>IF(B52="","",ROW()-3)</f>
        <v>49</v>
      </c>
      <c r="B52" s="14" t="str">
        <f>IF(_辅助!$B52="","",IF(_辅助!$B52&lt;=1000,INDEX(存条明细!$C$4:$C$1003,_辅助!$B52),INDEX(出库明细!$C$4:$C$3003,_辅助!$B52-1000)))</f>
        <v>金凤副食</v>
      </c>
      <c r="C52" s="14" t="str">
        <f>IF(_辅助!$B52="","",IF(_辅助!$B52&lt;=1000,INDEX(存条明细!$D$4:$D$1003,_辅助!$B52),INDEX(出库明细!$D$4:$D$3003,_辅助!$B52-1000)))</f>
        <v>港式奶茶</v>
      </c>
      <c r="D52" s="14">
        <f>IF($B52="","",IFERROR(SUMIFS(存条明细!E:E,存条明细!C:C,$B52,存条明细!D:D,$C52),0))</f>
        <v>50</v>
      </c>
      <c r="E52" s="156">
        <f>IF(OR($B52="",N(D52)=0),"",ROUND(F52/D52,2))</f>
        <v>69</v>
      </c>
      <c r="F52" s="156">
        <f>IF($B52="","",IFERROR(SUMIFS(存条明细!G:G,存条明细!C:C,$B52,存条明细!D:D,$C52),0))</f>
        <v>3450</v>
      </c>
      <c r="G52" s="14">
        <f>IF($B52="","",IFERROR(SUMIFS(出库明细!E:E,出库明细!C:C,$B52,出库明细!D:D,$C52),0))</f>
        <v>39</v>
      </c>
      <c r="H52" s="156">
        <f>IF($B52="","",IFERROR(SUMIFS(出库明细!G:G,出库明细!C:C,$B52,出库明细!D:D,$C52),0))</f>
        <v>2734.2</v>
      </c>
      <c r="I52" s="14">
        <f>IF($B52="","",D52-G52)</f>
        <v>11</v>
      </c>
      <c r="J52" s="156">
        <f>IF($B52="","",F52-H52)</f>
        <v>715.8</v>
      </c>
      <c r="K52" s="179">
        <f>IF($B52="","",MAX(_xlfn.MAXIFS(存条明细!B:B,存条明细!C:C,$B52,存条明细!D:D,$C52),_xlfn.MAXIFS(出库明细!B:B,出库明细!C:C,$B52,出库明细!D:D,$C52)))</f>
        <v>46275.0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5" customHeight="1" s="71">
      <c r="A53" s="14">
        <f>IF(B53="","",ROW()-3)</f>
        <v>50</v>
      </c>
      <c r="B53" s="14" t="str">
        <f>IF(_辅助!$B53="","",IF(_辅助!$B53&lt;=1000,INDEX(存条明细!$C$4:$C$1003,_辅助!$B53),INDEX(出库明细!$C$4:$C$3003,_辅助!$B53-1000)))</f>
        <v>致发商行</v>
      </c>
      <c r="C53" s="14" t="str">
        <f>IF(_辅助!$B53="","",IF(_辅助!$B53&lt;=1000,INDEX(存条明细!$D$4:$D$1003,_辅助!$B53),INDEX(出库明细!$D$4:$D$3003,_辅助!$B53-1000)))</f>
        <v>大东鹏</v>
      </c>
      <c r="D53" s="14">
        <f>IF($B53="","",IFERROR(SUMIFS(存条明细!E:E,存条明细!C:C,$B53,存条明细!D:D,$C53),0))</f>
        <v>3600</v>
      </c>
      <c r="E53" s="156">
        <f>IF(OR($B53="",N(D53)=0),"",ROUND(F53/D53,2))</f>
        <v>90</v>
      </c>
      <c r="F53" s="156">
        <f>IF($B53="","",IFERROR(SUMIFS(存条明细!G:G,存条明细!C:C,$B53,存条明细!D:D,$C53),0))</f>
        <v>324000</v>
      </c>
      <c r="G53" s="14">
        <f>IF($B53="","",IFERROR(SUMIFS(出库明细!E:E,出库明细!C:C,$B53,出库明细!D:D,$C53),0))</f>
        <v>800</v>
      </c>
      <c r="H53" s="156">
        <f>IF($B53="","",IFERROR(SUMIFS(出库明细!G:G,出库明细!C:C,$B53,出库明细!D:D,$C53),0))</f>
        <v>72000</v>
      </c>
      <c r="I53" s="14">
        <f>IF($B53="","",D53-G53)</f>
        <v>2800</v>
      </c>
      <c r="J53" s="156">
        <f>IF($B53="","",F53-H53)</f>
        <v>252000</v>
      </c>
      <c r="K53" s="179">
        <f>IF($B53="","",MAX(_xlfn.MAXIFS(存条明细!B:B,存条明细!C:C,$B53,存条明细!D:D,$C53),_xlfn.MAXIFS(出库明细!B:B,出库明细!C:C,$B53,出库明细!D:D,$C53)))</f>
        <v>46254.0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5" customHeight="1" s="71">
      <c r="A54" s="14">
        <f>IF(B54="","",ROW()-3)</f>
        <v>51</v>
      </c>
      <c r="B54" s="14" t="str">
        <f>IF(_辅助!$B54="","",IF(_辅助!$B54&lt;=1000,INDEX(存条明细!$C$4:$C$1003,_辅助!$B54),INDEX(出库明细!$C$4:$C$3003,_辅助!$B54-1000)))</f>
        <v>致发商行</v>
      </c>
      <c r="C54" s="14" t="str">
        <f>IF(_辅助!$B54="","",IF(_辅助!$B54&lt;=1000,INDEX(存条明细!$D$4:$D$1003,_辅助!$B54),INDEX(出库明细!$D$4:$D$3003,_辅助!$B54-1000)))</f>
        <v>555补水</v>
      </c>
      <c r="D54" s="14">
        <f>IF($B54="","",IFERROR(SUMIFS(存条明细!E:E,存条明细!C:C,$B54,存条明细!D:D,$C54),0))</f>
        <v>230</v>
      </c>
      <c r="E54" s="156">
        <f>IF(OR($B54="",N(D54)=0),"",ROUND(F54/D54,2))</f>
        <v>65</v>
      </c>
      <c r="F54" s="156">
        <f>IF($B54="","",IFERROR(SUMIFS(存条明细!G:G,存条明细!C:C,$B54,存条明细!D:D,$C54),0))</f>
        <v>14950</v>
      </c>
      <c r="G54" s="14">
        <f>IF($B54="","",IFERROR(SUMIFS(出库明细!E:E,出库明细!C:C,$B54,出库明细!D:D,$C54),0))</f>
        <v>415</v>
      </c>
      <c r="H54" s="156">
        <f>IF($B54="","",IFERROR(SUMIFS(出库明细!G:G,出库明细!C:C,$B54,出库明细!D:D,$C54),0))</f>
        <v>26975</v>
      </c>
      <c r="I54" s="14">
        <f>IF($B54="","",D54-G54)</f>
        <v>-185</v>
      </c>
      <c r="J54" s="156">
        <f>IF($B54="","",F54-H54)</f>
        <v>-12025</v>
      </c>
      <c r="K54" s="179">
        <f>IF($B54="","",MAX(_xlfn.MAXIFS(存条明细!B:B,存条明细!C:C,$B54,存条明细!D:D,$C54),_xlfn.MAXIFS(出库明细!B:B,出库明细!C:C,$B54,出库明细!D:D,$C54)))</f>
        <v>46288.0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15" customHeight="1" s="71">
      <c r="A55" s="14">
        <f>IF(B55="","",ROW()-3)</f>
        <v>52</v>
      </c>
      <c r="B55" s="14" t="str">
        <f>IF(_辅助!$B55="","",IF(_辅助!$B55&lt;=1000,INDEX(存条明细!$C$4:$C$1003,_辅助!$B55),INDEX(出库明细!$C$4:$C$3003,_辅助!$B55-1000)))</f>
        <v>致发商行</v>
      </c>
      <c r="C55" s="14" t="str">
        <f>IF(_辅助!$B55="","",IF(_辅助!$B55&lt;=1000,INDEX(存条明细!$D$4:$D$1003,_辅助!$B55),INDEX(出库明细!$D$4:$D$3003,_辅助!$B55-1000)))</f>
        <v>1L补水</v>
      </c>
      <c r="D55" s="14">
        <f>IF($B55="","",IFERROR(SUMIFS(存条明细!E:E,存条明细!C:C,$B55,存条明细!D:D,$C55),0))</f>
        <v>695</v>
      </c>
      <c r="E55" s="156">
        <f>IF(OR($B55="",N(D55)=0),"",ROUND(F55/D55,2))</f>
        <v>55</v>
      </c>
      <c r="F55" s="156">
        <f>IF($B55="","",IFERROR(SUMIFS(存条明细!G:G,存条明细!C:C,$B55,存条明细!D:D,$C55),0))</f>
        <v>38225</v>
      </c>
      <c r="G55" s="14">
        <f>IF($B55="","",IFERROR(SUMIFS(出库明细!E:E,出库明细!C:C,$B55,出库明细!D:D,$C55),0))</f>
        <v>125</v>
      </c>
      <c r="H55" s="156">
        <f>IF($B55="","",IFERROR(SUMIFS(出库明细!G:G,出库明细!C:C,$B55,出库明细!D:D,$C55),0))</f>
        <v>6875</v>
      </c>
      <c r="I55" s="14">
        <f>IF($B55="","",D55-G55)</f>
        <v>570</v>
      </c>
      <c r="J55" s="156">
        <f>IF($B55="","",F55-H55)</f>
        <v>31350</v>
      </c>
      <c r="K55" s="179">
        <f>IF($B55="","",MAX(_xlfn.MAXIFS(存条明细!B:B,存条明细!C:C,$B55,存条明细!D:D,$C55),_xlfn.MAXIFS(出库明细!B:B,出库明细!C:C,$B55,出库明细!D:D,$C55)))</f>
        <v>46244.0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t="15" customHeight="1" s="71">
      <c r="A56" s="14">
        <f>IF(B56="","",ROW()-3)</f>
        <v>53</v>
      </c>
      <c r="B56" s="14" t="str">
        <f>IF(_辅助!$B56="","",IF(_辅助!$B56&lt;=1000,INDEX(存条明细!$C$4:$C$1003,_辅助!$B56),INDEX(出库明细!$C$4:$C$3003,_辅助!$B56-1000)))</f>
        <v>致发商行</v>
      </c>
      <c r="C56" s="14" t="str">
        <f>IF(_辅助!$B56="","",IF(_辅助!$B56&lt;=1000,INDEX(存条明细!$D$4:$D$1003,_辅助!$B56),INDEX(出库明细!$D$4:$D$3003,_辅助!$B56-1000)))</f>
        <v>小果之茶</v>
      </c>
      <c r="D56" s="14">
        <f>IF($B56="","",IFERROR(SUMIFS(存条明细!E:E,存条明细!C:C,$B56,存条明细!D:D,$C56),0))</f>
        <v>730</v>
      </c>
      <c r="E56" s="156">
        <f>IF(OR($B56="",N(D56)=0),"",ROUND(F56/D56,2))</f>
        <v>44.42</v>
      </c>
      <c r="F56" s="156">
        <f>IF($B56="","",IFERROR(SUMIFS(存条明细!G:G,存条明细!C:C,$B56,存条明细!D:D,$C56),0))</f>
        <v>32430</v>
      </c>
      <c r="G56" s="14">
        <f>IF($B56="","",IFERROR(SUMIFS(出库明细!E:E,出库明细!C:C,$B56,出库明细!D:D,$C56),0))</f>
        <v>828</v>
      </c>
      <c r="H56" s="156">
        <f>IF($B56="","",IFERROR(SUMIFS(出库明细!G:G,出库明细!C:C,$B56,出库明细!D:D,$C56),0))</f>
        <v>38916</v>
      </c>
      <c r="I56" s="14">
        <f>IF($B56="","",D56-G56)</f>
        <v>-98</v>
      </c>
      <c r="J56" s="156">
        <f>IF($B56="","",F56-H56)</f>
        <v>-6486</v>
      </c>
      <c r="K56" s="179">
        <f>IF($B56="","",MAX(_xlfn.MAXIFS(存条明细!B:B,存条明细!C:C,$B56,存条明细!D:D,$C56),_xlfn.MAXIFS(出库明细!B:B,出库明细!C:C,$B56,出库明细!D:D,$C56)))</f>
        <v>46288.0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t="15" customHeight="1" s="71">
      <c r="A57" s="14">
        <f>IF(B57="","",ROW()-3)</f>
        <v>54</v>
      </c>
      <c r="B57" s="14" t="str">
        <f>IF(_辅助!$B57="","",IF(_辅助!$B57&lt;=1000,INDEX(存条明细!$C$4:$C$1003,_辅助!$B57),INDEX(出库明细!$C$4:$C$3003,_辅助!$B57-1000)))</f>
        <v>致发商行</v>
      </c>
      <c r="C57" s="14" t="str">
        <f>IF(_辅助!$B57="","",IF(_辅助!$B57&lt;=1000,INDEX(存条明细!$D$4:$D$1003,_辅助!$B57),INDEX(出库明细!$D$4:$D$3003,_辅助!$B57-1000)))</f>
        <v>1L果之茶</v>
      </c>
      <c r="D57" s="14">
        <f>IF($B57="","",IFERROR(SUMIFS(存条明细!E:E,存条明细!C:C,$B57,存条明细!D:D,$C57),0))</f>
        <v>158</v>
      </c>
      <c r="E57" s="156">
        <f>IF(OR($B57="",N(D57)=0),"",ROUND(F57/D57,2))</f>
        <v>40.82</v>
      </c>
      <c r="F57" s="156">
        <f>IF($B57="","",IFERROR(SUMIFS(存条明细!G:G,存条明细!C:C,$B57,存条明细!D:D,$C57),0))</f>
        <v>6450</v>
      </c>
      <c r="G57" s="14">
        <f>IF($B57="","",IFERROR(SUMIFS(出库明细!E:E,出库明细!C:C,$B57,出库明细!D:D,$C57),0))</f>
        <v>268</v>
      </c>
      <c r="H57" s="156">
        <f>IF($B57="","",IFERROR(SUMIFS(出库明细!G:G,出库明细!C:C,$B57,出库明细!D:D,$C57),0))</f>
        <v>11524</v>
      </c>
      <c r="I57" s="14">
        <f>IF($B57="","",D57-G57)</f>
        <v>-110</v>
      </c>
      <c r="J57" s="156">
        <f>IF($B57="","",F57-H57)</f>
        <v>-5074</v>
      </c>
      <c r="K57" s="179">
        <f>IF($B57="","",MAX(_xlfn.MAXIFS(存条明细!B:B,存条明细!C:C,$B57,存条明细!D:D,$C57),_xlfn.MAXIFS(出库明细!B:B,出库明细!C:C,$B57,出库明细!D:D,$C57)))</f>
        <v>46280.0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 ht="15" customHeight="1" s="71">
      <c r="A58" s="14">
        <f>IF(B58="","",ROW()-3)</f>
        <v>55</v>
      </c>
      <c r="B58" s="14" t="str">
        <f>IF(_辅助!$B58="","",IF(_辅助!$B58&lt;=1000,INDEX(存条明细!$C$4:$C$1003,_辅助!$B58),INDEX(出库明细!$C$4:$C$3003,_辅助!$B58-1000)))</f>
        <v>致发商行</v>
      </c>
      <c r="C58" s="14" t="str">
        <f>IF(_辅助!$B58="","",IF(_辅助!$B58&lt;=1000,INDEX(存条明细!$D$4:$D$1003,_辅助!$B58),INDEX(出库明细!$D$4:$D$3003,_辅助!$B58-1000)))</f>
        <v>港式奶茶</v>
      </c>
      <c r="D58" s="14">
        <f>IF($B58="","",IFERROR(SUMIFS(存条明细!E:E,存条明细!C:C,$B58,存条明细!D:D,$C58),0))</f>
        <v>70</v>
      </c>
      <c r="E58" s="156">
        <f>IF(OR($B58="",N(D58)=0),"",ROUND(F58/D58,2))</f>
        <v>69</v>
      </c>
      <c r="F58" s="156">
        <f>IF($B58="","",IFERROR(SUMIFS(存条明细!G:G,存条明细!C:C,$B58,存条明细!D:D,$C58),0))</f>
        <v>4830</v>
      </c>
      <c r="G58" s="14">
        <f>IF($B58="","",IFERROR(SUMIFS(出库明细!E:E,出库明细!C:C,$B58,出库明细!D:D,$C58),0))</f>
        <v>10</v>
      </c>
      <c r="H58" s="156">
        <f>IF($B58="","",IFERROR(SUMIFS(出库明细!G:G,出库明细!C:C,$B58,出库明细!D:D,$C58),0))</f>
        <v>690</v>
      </c>
      <c r="I58" s="14">
        <f>IF($B58="","",D58-G58)</f>
        <v>60</v>
      </c>
      <c r="J58" s="156">
        <f>IF($B58="","",F58-H58)</f>
        <v>4140</v>
      </c>
      <c r="K58" s="179">
        <f>IF($B58="","",MAX(_xlfn.MAXIFS(存条明细!B:B,存条明细!C:C,$B58,存条明细!D:D,$C58),_xlfn.MAXIFS(出库明细!B:B,出库明细!C:C,$B58,出库明细!D:D,$C58)))</f>
        <v>46221.0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15" customHeight="1" s="71">
      <c r="A59" s="14">
        <f>IF(B59="","",ROW()-3)</f>
        <v>56</v>
      </c>
      <c r="B59" s="14" t="str">
        <f>IF(_辅助!$B59="","",IF(_辅助!$B59&lt;=1000,INDEX(存条明细!$C$4:$C$1003,_辅助!$B59),INDEX(出库明细!$C$4:$C$3003,_辅助!$B59-1000)))</f>
        <v>致发商行</v>
      </c>
      <c r="C59" s="14" t="str">
        <f>IF(_辅助!$B59="","",IF(_辅助!$B59&lt;=1000,INDEX(存条明细!$D$4:$D$1003,_辅助!$B59),INDEX(出库明细!$D$4:$D$3003,_辅助!$B59-1000)))</f>
        <v>大咖</v>
      </c>
      <c r="D59" s="14">
        <f>IF($B59="","",IFERROR(SUMIFS(存条明细!E:E,存条明细!C:C,$B59,存条明细!D:D,$C59),0))</f>
        <v>208</v>
      </c>
      <c r="E59" s="156">
        <f>IF(OR($B59="",N(D59)=0),"",ROUND(F59/D59,2))</f>
        <v>79.81</v>
      </c>
      <c r="F59" s="156">
        <f>IF($B59="","",IFERROR(SUMIFS(存条明细!G:G,存条明细!C:C,$B59,存条明细!D:D,$C59),0))</f>
        <v>16600</v>
      </c>
      <c r="G59" s="14">
        <f>IF($B59="","",IFERROR(SUMIFS(出库明细!E:E,出库明细!C:C,$B59,出库明细!D:D,$C59),0))</f>
        <v>80</v>
      </c>
      <c r="H59" s="156">
        <f>IF($B59="","",IFERROR(SUMIFS(出库明细!G:G,出库明细!C:C,$B59,出库明细!D:D,$C59),0))</f>
        <v>6640</v>
      </c>
      <c r="I59" s="14">
        <f>IF($B59="","",D59-G59)</f>
        <v>128</v>
      </c>
      <c r="J59" s="156">
        <f>IF($B59="","",F59-H59)</f>
        <v>9960</v>
      </c>
      <c r="K59" s="179">
        <f>IF($B59="","",MAX(_xlfn.MAXIFS(存条明细!B:B,存条明细!C:C,$B59,存条明细!D:D,$C59),_xlfn.MAXIFS(出库明细!B:B,出库明细!C:C,$B59,出库明细!D:D,$C59)))</f>
        <v>46226.0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 ht="15" customHeight="1" s="71">
      <c r="A60" s="14">
        <f>IF(B60="","",ROW()-3)</f>
        <v>57</v>
      </c>
      <c r="B60" s="14" t="str">
        <f>IF(_辅助!$B60="","",IF(_辅助!$B60&lt;=1000,INDEX(存条明细!$C$4:$C$1003,_辅助!$B60),INDEX(出库明细!$C$4:$C$3003,_辅助!$B60-1000)))</f>
        <v>致发商行</v>
      </c>
      <c r="C60" s="14" t="str">
        <f>IF(_辅助!$B60="","",IF(_辅助!$B60&lt;=1000,INDEX(存条明细!$D$4:$D$1003,_辅助!$B60),INDEX(出库明细!$D$4:$D$3003,_辅助!$B60-1000)))</f>
        <v>小焙好茶</v>
      </c>
      <c r="D60" s="14">
        <f>IF($B60="","",IFERROR(SUMIFS(存条明细!E:E,存条明细!C:C,$B60,存条明细!D:D,$C60),0))</f>
        <v>10</v>
      </c>
      <c r="E60" s="156">
        <f>IF(OR($B60="",N(D60)=0),"",ROUND(F60/D60,2))</f>
        <v>48</v>
      </c>
      <c r="F60" s="156">
        <f>IF($B60="","",IFERROR(SUMIFS(存条明细!G:G,存条明细!C:C,$B60,存条明细!D:D,$C60),0))</f>
        <v>480</v>
      </c>
      <c r="G60" s="14">
        <f>IF($B60="","",IFERROR(SUMIFS(出库明细!E:E,出库明细!C:C,$B60,出库明细!D:D,$C60),0))</f>
        <v>10</v>
      </c>
      <c r="H60" s="156">
        <f>IF($B60="","",IFERROR(SUMIFS(出库明细!G:G,出库明细!C:C,$B60,出库明细!D:D,$C60),0))</f>
        <v>480</v>
      </c>
      <c r="I60" s="14">
        <f>IF($B60="","",D60-G60)</f>
        <v>0</v>
      </c>
      <c r="J60" s="156">
        <f>IF($B60="","",F60-H60)</f>
        <v>0</v>
      </c>
      <c r="K60" s="179">
        <f>IF($B60="","",MAX(_xlfn.MAXIFS(存条明细!B:B,存条明细!C:C,$B60,存条明细!D:D,$C60),_xlfn.MAXIFS(出库明细!B:B,出库明细!C:C,$B60,出库明细!D:D,$C60)))</f>
        <v>46199.0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 ht="15" customHeight="1" s="71">
      <c r="A61" s="14">
        <f>IF(B61="","",ROW()-3)</f>
        <v>58</v>
      </c>
      <c r="B61" s="14" t="str">
        <f>IF(_辅助!$B61="","",IF(_辅助!$B61&lt;=1000,INDEX(存条明细!$C$4:$C$1003,_辅助!$B61),INDEX(出库明细!$C$4:$C$3003,_辅助!$B61-1000)))</f>
        <v>家家兴超市</v>
      </c>
      <c r="C61" s="14" t="str">
        <f>IF(_辅助!$B61="","",IF(_辅助!$B61&lt;=1000,INDEX(存条明细!$D$4:$D$1003,_辅助!$B61),INDEX(出库明细!$D$4:$D$3003,_辅助!$B61-1000)))</f>
        <v>大东鹏</v>
      </c>
      <c r="D61" s="14">
        <f>IF($B61="","",IFERROR(SUMIFS(存条明细!E:E,存条明细!C:C,$B61,存条明细!D:D,$C61),0))</f>
        <v>0</v>
      </c>
      <c r="E61" s="156">
        <f>IF(OR($B61="",N(D61)=0),"",ROUND(F61/D61,2))</f>
      </c>
      <c r="F61" s="156">
        <f>IF($B61="","",IFERROR(SUMIFS(存条明细!G:G,存条明细!C:C,$B61,存条明细!D:D,$C61),0))</f>
        <v>0</v>
      </c>
      <c r="G61" s="14">
        <f>IF($B61="","",IFERROR(SUMIFS(出库明细!E:E,出库明细!C:C,$B61,出库明细!D:D,$C61),0))</f>
        <v>100</v>
      </c>
      <c r="H61" s="156">
        <f>IF($B61="","",IFERROR(SUMIFS(出库明细!G:G,出库明细!C:C,$B61,出库明细!D:D,$C61),0))</f>
        <v>9500</v>
      </c>
      <c r="I61" s="14">
        <f>IF($B61="","",D61-G61)</f>
        <v>-100</v>
      </c>
      <c r="J61" s="156">
        <f>IF($B61="","",F61-H61)</f>
        <v>-9500</v>
      </c>
      <c r="K61" s="179">
        <f>IF($B61="","",MAX(_xlfn.MAXIFS(存条明细!B:B,存条明细!C:C,$B61,存条明细!D:D,$C61),_xlfn.MAXIFS(出库明细!B:B,出库明细!C:C,$B61,出库明细!D:D,$C61)))</f>
        <v>46207.0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 ht="15" customHeight="1" s="71">
      <c r="A62" s="14">
        <f>IF(B62="","",ROW()-3)</f>
        <v>59</v>
      </c>
      <c r="B62" s="14" t="str">
        <f>IF(_辅助!$B62="","",IF(_辅助!$B62&lt;=1000,INDEX(存条明细!$C$4:$C$1003,_辅助!$B62),INDEX(出库明细!$C$4:$C$3003,_辅助!$B62-1000)))</f>
        <v>家家兴超市</v>
      </c>
      <c r="C62" s="14" t="str">
        <f>IF(_辅助!$B62="","",IF(_辅助!$B62&lt;=1000,INDEX(存条明细!$D$4:$D$1003,_辅助!$B62),INDEX(出库明细!$D$4:$D$3003,_辅助!$B62-1000)))</f>
        <v>500农夫饮料</v>
      </c>
      <c r="D62" s="14">
        <f>IF($B62="","",IFERROR(SUMIFS(存条明细!E:E,存条明细!C:C,$B62,存条明细!D:D,$C62),0))</f>
        <v>0</v>
      </c>
      <c r="E62" s="156">
        <f>IF(OR($B62="",N(D62)=0),"",ROUND(F62/D62,2))</f>
      </c>
      <c r="F62" s="156">
        <f>IF($B62="","",IFERROR(SUMIFS(存条明细!G:G,存条明细!C:C,$B62,存条明细!D:D,$C62),0))</f>
        <v>0</v>
      </c>
      <c r="G62" s="14">
        <f>IF($B62="","",IFERROR(SUMIFS(出库明细!E:E,出库明细!C:C,$B62,出库明细!D:D,$C62),0))</f>
        <v>75</v>
      </c>
      <c r="H62" s="156">
        <f>IF($B62="","",IFERROR(SUMIFS(出库明细!G:G,出库明细!C:C,$B62,出库明细!D:D,$C62),0))</f>
        <v>4050</v>
      </c>
      <c r="I62" s="14">
        <f>IF($B62="","",D62-G62)</f>
        <v>-75</v>
      </c>
      <c r="J62" s="156">
        <f>IF($B62="","",F62-H62)</f>
        <v>-4050</v>
      </c>
      <c r="K62" s="179">
        <f>IF($B62="","",MAX(_xlfn.MAXIFS(存条明细!B:B,存条明细!C:C,$B62,存条明细!D:D,$C62),_xlfn.MAXIFS(出库明细!B:B,出库明细!C:C,$B62,出库明细!D:D,$C62)))</f>
        <v>46287.0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 ht="15" customHeight="1" s="71">
      <c r="A63" s="14">
        <f>IF(B63="","",ROW()-3)</f>
        <v>60</v>
      </c>
      <c r="B63" s="14" t="str">
        <f>IF(_辅助!$B63="","",IF(_辅助!$B63&lt;=1000,INDEX(存条明细!$C$4:$C$1003,_辅助!$B63),INDEX(出库明细!$C$4:$C$3003,_辅助!$B63-1000)))</f>
        <v>家家兴超市</v>
      </c>
      <c r="C63" s="14" t="str">
        <f>IF(_辅助!$B63="","",IF(_辅助!$B63&lt;=1000,INDEX(存条明细!$D$4:$D$1003,_辅助!$B63),INDEX(出库明细!$D$4:$D$3003,_辅助!$B63-1000)))</f>
        <v>900农夫饮料</v>
      </c>
      <c r="D63" s="14">
        <f>IF($B63="","",IFERROR(SUMIFS(存条明细!E:E,存条明细!C:C,$B63,存条明细!D:D,$C63),0))</f>
        <v>0</v>
      </c>
      <c r="E63" s="156">
        <f>IF(OR($B63="",N(D63)=0),"",ROUND(F63/D63,2))</f>
      </c>
      <c r="F63" s="156">
        <f>IF($B63="","",IFERROR(SUMIFS(存条明细!G:G,存条明细!C:C,$B63,存条明细!D:D,$C63),0))</f>
        <v>0</v>
      </c>
      <c r="G63" s="14">
        <f>IF($B63="","",IFERROR(SUMIFS(出库明细!E:E,出库明细!C:C,$B63,出库明细!D:D,$C63),0))</f>
        <v>4</v>
      </c>
      <c r="H63" s="156">
        <f>IF($B63="","",IFERROR(SUMIFS(出库明细!G:G,出库明细!C:C,$B63,出库明细!D:D,$C63),0))</f>
        <v>260</v>
      </c>
      <c r="I63" s="14">
        <f>IF($B63="","",D63-G63)</f>
        <v>-4</v>
      </c>
      <c r="J63" s="156">
        <f>IF($B63="","",F63-H63)</f>
        <v>-260</v>
      </c>
      <c r="K63" s="179">
        <f>IF($B63="","",MAX(_xlfn.MAXIFS(存条明细!B:B,存条明细!C:C,$B63,存条明细!D:D,$C63),_xlfn.MAXIFS(出库明细!B:B,出库明细!C:C,$B63,出库明细!D:D,$C63)))</f>
        <v>46210.0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 ht="15" customHeight="1" s="71">
      <c r="A64" s="14">
        <f>IF(B64="","",ROW()-3)</f>
        <v>61</v>
      </c>
      <c r="B64" s="14" t="str">
        <f>IF(_辅助!$B64="","",IF(_辅助!$B64&lt;=1000,INDEX(存条明细!$C$4:$C$1003,_辅助!$B64),INDEX(出库明细!$C$4:$C$3003,_辅助!$B64-1000)))</f>
        <v>家家兴超市</v>
      </c>
      <c r="C64" s="14" t="str">
        <f>IF(_辅助!$B64="","",IF(_辅助!$B64&lt;=1000,INDEX(存条明细!$D$4:$D$1003,_辅助!$B64),INDEX(出库明细!$D$4:$D$3003,_辅助!$B64-1000)))</f>
        <v>550农夫水</v>
      </c>
      <c r="D64" s="14">
        <f>IF($B64="","",IFERROR(SUMIFS(存条明细!E:E,存条明细!C:C,$B64,存条明细!D:D,$C64),0))</f>
        <v>0</v>
      </c>
      <c r="E64" s="156">
        <f>IF(OR($B64="",N(D64)=0),"",ROUND(F64/D64,2))</f>
      </c>
      <c r="F64" s="156">
        <f>IF($B64="","",IFERROR(SUMIFS(存条明细!G:G,存条明细!C:C,$B64,存条明细!D:D,$C64),0))</f>
        <v>0</v>
      </c>
      <c r="G64" s="14">
        <f>IF($B64="","",IFERROR(SUMIFS(出库明细!E:E,出库明细!C:C,$B64,出库明细!D:D,$C64),0))</f>
        <v>8.5</v>
      </c>
      <c r="H64" s="156">
        <f>IF($B64="","",IFERROR(SUMIFS(出库明细!G:G,出库明细!C:C,$B64,出库明细!D:D,$C64),0))</f>
        <v>147.5</v>
      </c>
      <c r="I64" s="14">
        <f>IF($B64="","",D64-G64)</f>
        <v>-8.5</v>
      </c>
      <c r="J64" s="156">
        <f>IF($B64="","",F64-H64)</f>
        <v>-147.5</v>
      </c>
      <c r="K64" s="179">
        <f>IF($B64="","",MAX(_xlfn.MAXIFS(存条明细!B:B,存条明细!C:C,$B64,存条明细!D:D,$C64),_xlfn.MAXIFS(出库明细!B:B,出库明细!C:C,$B64,出库明细!D:D,$C64)))</f>
        <v>46274.0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 ht="15" customHeight="1" s="71">
      <c r="A65" s="14">
        <f>IF(B65="","",ROW()-3)</f>
        <v>62</v>
      </c>
      <c r="B65" s="14" t="str">
        <f>IF(_辅助!$B65="","",IF(_辅助!$B65&lt;=1000,INDEX(存条明细!$C$4:$C$1003,_辅助!$B65),INDEX(出库明细!$C$4:$C$3003,_辅助!$B65-1000)))</f>
        <v>家家兴超市</v>
      </c>
      <c r="C65" s="14" t="str">
        <f>IF(_辅助!$B65="","",IF(_辅助!$B65&lt;=1000,INDEX(存条明细!$D$4:$D$1003,_辅助!$B65),INDEX(出库明细!$D$4:$D$3003,_辅助!$B65-1000)))</f>
        <v>550农夫纯净水</v>
      </c>
      <c r="D65" s="14">
        <f>IF($B65="","",IFERROR(SUMIFS(存条明细!E:E,存条明细!C:C,$B65,存条明细!D:D,$C65),0))</f>
        <v>0</v>
      </c>
      <c r="E65" s="156">
        <f>IF(OR($B65="",N(D65)=0),"",ROUND(F65/D65,2))</f>
      </c>
      <c r="F65" s="156">
        <f>IF($B65="","",IFERROR(SUMIFS(存条明细!G:G,存条明细!C:C,$B65,存条明细!D:D,$C65),0))</f>
        <v>0</v>
      </c>
      <c r="G65" s="14">
        <f>IF($B65="","",IFERROR(SUMIFS(出库明细!E:E,出库明细!C:C,$B65,出库明细!D:D,$C65),0))</f>
        <v>43.5</v>
      </c>
      <c r="H65" s="156">
        <f>IF($B65="","",IFERROR(SUMIFS(出库明细!G:G,出库明细!C:C,$B65,出库明细!D:D,$C65),0))</f>
        <v>609</v>
      </c>
      <c r="I65" s="14">
        <f>IF($B65="","",D65-G65)</f>
        <v>-43.5</v>
      </c>
      <c r="J65" s="156">
        <f>IF($B65="","",F65-H65)</f>
        <v>-609</v>
      </c>
      <c r="K65" s="179">
        <f>IF($B65="","",MAX(_xlfn.MAXIFS(存条明细!B:B,存条明细!C:C,$B65,存条明细!D:D,$C65),_xlfn.MAXIFS(出库明细!B:B,出库明细!C:C,$B65,出库明细!D:D,$C65)))</f>
        <v>46204.0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 ht="15" customHeight="1" s="71">
      <c r="A66" s="14">
        <f>IF(B66="","",ROW()-3)</f>
        <v>63</v>
      </c>
      <c r="B66" s="14" t="str">
        <f>IF(_辅助!$B66="","",IF(_辅助!$B66&lt;=1000,INDEX(存条明细!$C$4:$C$1003,_辅助!$B66),INDEX(出库明细!$C$4:$C$3003,_辅助!$B66-1000)))</f>
        <v>家家兴超市</v>
      </c>
      <c r="C66" s="14" t="str">
        <f>IF(_辅助!$B66="","",IF(_辅助!$B66&lt;=1000,INDEX(存条明细!$D$4:$D$1003,_辅助!$B66),INDEX(出库明细!$D$4:$D$3003,_辅助!$B66-1000)))</f>
        <v>1.5L水</v>
      </c>
      <c r="D66" s="14">
        <f>IF($B66="","",IFERROR(SUMIFS(存条明细!E:E,存条明细!C:C,$B66,存条明细!D:D,$C66),0))</f>
        <v>0</v>
      </c>
      <c r="E66" s="156">
        <f>IF(OR($B66="",N(D66)=0),"",ROUND(F66/D66,2))</f>
      </c>
      <c r="F66" s="156">
        <f>IF($B66="","",IFERROR(SUMIFS(存条明细!G:G,存条明细!C:C,$B66,存条明细!D:D,$C66),0))</f>
        <v>0</v>
      </c>
      <c r="G66" s="14">
        <f>IF($B66="","",IFERROR(SUMIFS(出库明细!E:E,出库明细!C:C,$B66,出库明细!D:D,$C66),0))</f>
        <v>2</v>
      </c>
      <c r="H66" s="156">
        <f>IF($B66="","",IFERROR(SUMIFS(出库明细!G:G,出库明细!C:C,$B66,出库明细!D:D,$C66),0))</f>
        <v>50</v>
      </c>
      <c r="I66" s="14">
        <f>IF($B66="","",D66-G66)</f>
        <v>-2</v>
      </c>
      <c r="J66" s="156">
        <f>IF($B66="","",F66-H66)</f>
        <v>-50</v>
      </c>
      <c r="K66" s="179">
        <f>IF($B66="","",MAX(_xlfn.MAXIFS(存条明细!B:B,存条明细!C:C,$B66,存条明细!D:D,$C66),_xlfn.MAXIFS(出库明细!B:B,出库明细!C:C,$B66,出库明细!D:D,$C66)))</f>
        <v>46203.0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 ht="15" customHeight="1" s="71">
      <c r="A67" s="14">
        <f>IF(B67="","",ROW()-3)</f>
        <v>64</v>
      </c>
      <c r="B67" s="14" t="str">
        <f>IF(_辅助!$B67="","",IF(_辅助!$B67&lt;=1000,INDEX(存条明细!$C$4:$C$1003,_辅助!$B67),INDEX(出库明细!$C$4:$C$3003,_辅助!$B67-1000)))</f>
        <v>通达商行</v>
      </c>
      <c r="C67" s="14" t="str">
        <f>IF(_辅助!$B67="","",IF(_辅助!$B67&lt;=1000,INDEX(存条明细!$D$4:$D$1003,_辅助!$B67),INDEX(出库明细!$D$4:$D$3003,_辅助!$B67-1000)))</f>
        <v>大东鹏</v>
      </c>
      <c r="D67" s="14">
        <f>IF($B67="","",IFERROR(SUMIFS(存条明细!E:E,存条明细!C:C,$B67,存条明细!D:D,$C67),0))</f>
        <v>200</v>
      </c>
      <c r="E67" s="156">
        <f>IF(OR($B67="",N(D67)=0),"",ROUND(F67/D67,2))</f>
        <v>90</v>
      </c>
      <c r="F67" s="156">
        <f>IF($B67="","",IFERROR(SUMIFS(存条明细!G:G,存条明细!C:C,$B67,存条明细!D:D,$C67),0))</f>
        <v>18000</v>
      </c>
      <c r="G67" s="14">
        <f>IF($B67="","",IFERROR(SUMIFS(出库明细!E:E,出库明细!C:C,$B67,出库明细!D:D,$C67),0))</f>
        <v>200</v>
      </c>
      <c r="H67" s="156">
        <f>IF($B67="","",IFERROR(SUMIFS(出库明细!G:G,出库明细!C:C,$B67,出库明细!D:D,$C67),0))</f>
        <v>18000</v>
      </c>
      <c r="I67" s="14">
        <f>IF($B67="","",D67-G67)</f>
        <v>0</v>
      </c>
      <c r="J67" s="156">
        <f>IF($B67="","",F67-H67)</f>
        <v>0</v>
      </c>
      <c r="K67" s="179">
        <f>IF($B67="","",MAX(_xlfn.MAXIFS(存条明细!B:B,存条明细!C:C,$B67,存条明细!D:D,$C67),_xlfn.MAXIFS(出库明细!B:B,出库明细!C:C,$B67,出库明细!D:D,$C67)))</f>
        <v>46265.0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 ht="15" customHeight="1" s="71">
      <c r="A68" s="14">
        <f>IF(B68="","",ROW()-3)</f>
        <v>65</v>
      </c>
      <c r="B68" s="14" t="str">
        <f>IF(_辅助!$B68="","",IF(_辅助!$B68&lt;=1000,INDEX(存条明细!$C$4:$C$1003,_辅助!$B68),INDEX(出库明细!$C$4:$C$3003,_辅助!$B68-1000)))</f>
        <v>宜兴粮油</v>
      </c>
      <c r="C68" s="14" t="str">
        <f>IF(_辅助!$B68="","",IF(_辅助!$B68&lt;=1000,INDEX(存条明细!$D$4:$D$1003,_辅助!$B68),INDEX(出库明细!$D$4:$D$3003,_辅助!$B68-1000)))</f>
        <v>大东鹏</v>
      </c>
      <c r="D68" s="14">
        <f>IF($B68="","",IFERROR(SUMIFS(存条明细!E:E,存条明细!C:C,$B68,存条明细!D:D,$C68),0))</f>
        <v>615</v>
      </c>
      <c r="E68" s="156">
        <f>IF(OR($B68="",N(D68)=0),"",ROUND(F68/D68,2))</f>
        <v>87.8</v>
      </c>
      <c r="F68" s="156">
        <f>IF($B68="","",IFERROR(SUMIFS(存条明细!G:G,存条明细!C:C,$B68,存条明细!D:D,$C68),0))</f>
        <v>54000</v>
      </c>
      <c r="G68" s="14">
        <f>IF($B68="","",IFERROR(SUMIFS(出库明细!E:E,出库明细!C:C,$B68,出库明细!D:D,$C68),0))</f>
        <v>615</v>
      </c>
      <c r="H68" s="156">
        <f>IF($B68="","",IFERROR(SUMIFS(出库明细!G:G,出库明细!C:C,$B68,出库明细!D:D,$C68),0))</f>
        <v>54877</v>
      </c>
      <c r="I68" s="14">
        <f>IF($B68="","",D68-G68)</f>
        <v>0</v>
      </c>
      <c r="J68" s="156">
        <f>IF($B68="","",F68-H68)</f>
        <v>-877</v>
      </c>
      <c r="K68" s="179">
        <f>IF($B68="","",MAX(_xlfn.MAXIFS(存条明细!B:B,存条明细!C:C,$B68,存条明细!D:D,$C68),_xlfn.MAXIFS(出库明细!B:B,出库明细!C:C,$B68,出库明细!D:D,$C68)))</f>
        <v>46268.0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 ht="15" customHeight="1" s="71">
      <c r="A69" s="14">
        <f>IF(B69="","",ROW()-3)</f>
        <v>66</v>
      </c>
      <c r="B69" s="14" t="str">
        <f>IF(_辅助!$B69="","",IF(_辅助!$B69&lt;=1000,INDEX(存条明细!$C$4:$C$1003,_辅助!$B69),INDEX(出库明细!$C$4:$C$3003,_辅助!$B69-1000)))</f>
        <v>宜兴粮油</v>
      </c>
      <c r="C69" s="14" t="str">
        <f>IF(_辅助!$B69="","",IF(_辅助!$B69&lt;=1000,INDEX(存条明细!$D$4:$D$1003,_辅助!$B69),INDEX(出库明细!$D$4:$D$3003,_辅助!$B69-1000)))</f>
        <v>555补水</v>
      </c>
      <c r="D69" s="14">
        <f>IF($B69="","",IFERROR(SUMIFS(存条明细!E:E,存条明细!C:C,$B69,存条明细!D:D,$C69),0))</f>
        <v>71</v>
      </c>
      <c r="E69" s="156">
        <f>IF(OR($B69="",N(D69)=0),"",ROUND(F69/D69,2))</f>
        <v>54.93</v>
      </c>
      <c r="F69" s="156">
        <f>IF($B69="","",IFERROR(SUMIFS(存条明细!G:G,存条明细!C:C,$B69,存条明细!D:D,$C69),0))</f>
        <v>3900</v>
      </c>
      <c r="G69" s="14">
        <f>IF($B69="","",IFERROR(SUMIFS(出库明细!E:E,出库明细!C:C,$B69,出库明细!D:D,$C69),0))</f>
        <v>76</v>
      </c>
      <c r="H69" s="156">
        <f>IF($B69="","",IFERROR(SUMIFS(出库明细!G:G,出库明细!C:C,$B69,出库明细!D:D,$C69),0))</f>
        <v>3900</v>
      </c>
      <c r="I69" s="14">
        <f>IF($B69="","",D69-G69)</f>
        <v>-5</v>
      </c>
      <c r="J69" s="156">
        <f>IF($B69="","",F69-H69)</f>
        <v>0</v>
      </c>
      <c r="K69" s="179">
        <f>IF($B69="","",MAX(_xlfn.MAXIFS(存条明细!B:B,存条明细!C:C,$B69,存条明细!D:D,$C69),_xlfn.MAXIFS(出库明细!B:B,出库明细!C:C,$B69,出库明细!D:D,$C69)))</f>
        <v>46227.0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 ht="15" customHeight="1" s="71">
      <c r="A70" s="14">
        <f>IF(B70="","",ROW()-3)</f>
        <v>67</v>
      </c>
      <c r="B70" s="14" t="str">
        <f>IF(_辅助!$B70="","",IF(_辅助!$B70&lt;=1000,INDEX(存条明细!$C$4:$C$1003,_辅助!$B70),INDEX(出库明细!$C$4:$C$3003,_辅助!$B70-1000)))</f>
        <v>宜兴粮油</v>
      </c>
      <c r="C70" s="14" t="str">
        <f>IF(_辅助!$B70="","",IF(_辅助!$B70&lt;=1000,INDEX(存条明细!$D$4:$D$1003,_辅助!$B70),INDEX(出库明细!$D$4:$D$3003,_辅助!$B70-1000)))</f>
        <v>小果之茶</v>
      </c>
      <c r="D70" s="14">
        <f>IF($B70="","",IFERROR(SUMIFS(存条明细!E:E,存条明细!C:C,$B70,存条明细!D:D,$C70),0))</f>
        <v>139</v>
      </c>
      <c r="E70" s="156">
        <f>IF(OR($B70="",N(D70)=0),"",ROUND(F70/D70,2))</f>
        <v>45.65</v>
      </c>
      <c r="F70" s="156">
        <f>IF($B70="","",IFERROR(SUMIFS(存条明细!G:G,存条明细!C:C,$B70,存条明细!D:D,$C70),0))</f>
        <v>6345</v>
      </c>
      <c r="G70" s="14">
        <f>IF($B70="","",IFERROR(SUMIFS(出库明细!E:E,出库明细!C:C,$B70,出库明细!D:D,$C70),0))</f>
        <v>89</v>
      </c>
      <c r="H70" s="156">
        <f>IF($B70="","",IFERROR(SUMIFS(出库明细!G:G,出库明细!C:C,$B70,出库明细!D:D,$C70),0))</f>
        <v>3995</v>
      </c>
      <c r="I70" s="14">
        <f>IF($B70="","",D70-G70)</f>
        <v>50</v>
      </c>
      <c r="J70" s="156">
        <f>IF($B70="","",F70-H70)</f>
        <v>2350</v>
      </c>
      <c r="K70" s="179">
        <f>IF($B70="","",MAX(_xlfn.MAXIFS(存条明细!B:B,存条明细!C:C,$B70,存条明细!D:D,$C70),_xlfn.MAXIFS(出库明细!B:B,出库明细!C:C,$B70,出库明细!D:D,$C70)))</f>
        <v>46242.0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15" customHeight="1" s="71">
      <c r="A71" s="14">
        <f>IF(B71="","",ROW()-3)</f>
        <v>68</v>
      </c>
      <c r="B71" s="14" t="str">
        <f>IF(_辅助!$B71="","",IF(_辅助!$B71&lt;=1000,INDEX(存条明细!$C$4:$C$1003,_辅助!$B71),INDEX(出库明细!$C$4:$C$3003,_辅助!$B71-1000)))</f>
        <v>宜兴粮油</v>
      </c>
      <c r="C71" s="14" t="str">
        <f>IF(_辅助!$B71="","",IF(_辅助!$B71&lt;=1000,INDEX(存条明细!$D$4:$D$1003,_辅助!$B71),INDEX(出库明细!$D$4:$D$3003,_辅助!$B71-1000)))</f>
        <v>1L果之茶</v>
      </c>
      <c r="D71" s="14">
        <f>IF($B71="","",IFERROR(SUMIFS(存条明细!E:E,存条明细!C:C,$B71,存条明细!D:D,$C71),0))</f>
        <v>52</v>
      </c>
      <c r="E71" s="156">
        <f>IF(OR($B71="",N(D71)=0),"",ROUND(F71/D71,2))</f>
        <v>41.76</v>
      </c>
      <c r="F71" s="156">
        <f>IF($B71="","",IFERROR(SUMIFS(存条明细!G:G,存条明细!C:C,$B71,存条明细!D:D,$C71),0))</f>
        <v>2171.5</v>
      </c>
      <c r="G71" s="14">
        <f>IF($B71="","",IFERROR(SUMIFS(出库明细!E:E,出库明细!C:C,$B71,出库明细!D:D,$C71),0))</f>
        <v>52</v>
      </c>
      <c r="H71" s="156">
        <f>IF($B71="","",IFERROR(SUMIFS(出库明细!G:G,出库明细!C:C,$B71,出库明细!D:D,$C71),0))</f>
        <v>2171.5</v>
      </c>
      <c r="I71" s="14">
        <f>IF($B71="","",D71-G71)</f>
        <v>0</v>
      </c>
      <c r="J71" s="156">
        <f>IF($B71="","",F71-H71)</f>
        <v>0</v>
      </c>
      <c r="K71" s="179">
        <f>IF($B71="","",MAX(_xlfn.MAXIFS(存条明细!B:B,存条明细!C:C,$B71,存条明细!D:D,$C71),_xlfn.MAXIFS(出库明细!B:B,出库明细!C:C,$B71,出库明细!D:D,$C71)))</f>
        <v>46217.0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 ht="15" customHeight="1" s="71">
      <c r="A72" s="14">
        <f>IF(B72="","",ROW()-3)</f>
        <v>69</v>
      </c>
      <c r="B72" s="14" t="str">
        <f>IF(_辅助!$B72="","",IF(_辅助!$B72&lt;=1000,INDEX(存条明细!$C$4:$C$1003,_辅助!$B72),INDEX(出库明细!$C$4:$C$3003,_辅助!$B72-1000)))</f>
        <v>马路下小卖部</v>
      </c>
      <c r="C72" s="14" t="str">
        <f>IF(_辅助!$B72="","",IF(_辅助!$B72&lt;=1000,INDEX(存条明细!$D$4:$D$1003,_辅助!$B72),INDEX(出库明细!$D$4:$D$3003,_辅助!$B72-1000)))</f>
        <v>大东鹏</v>
      </c>
      <c r="D72" s="14">
        <f>IF($B72="","",IFERROR(SUMIFS(存条明细!E:E,存条明细!C:C,$B72,存条明细!D:D,$C72),0))</f>
        <v>200</v>
      </c>
      <c r="E72" s="156">
        <f>IF(OR($B72="",N(D72)=0),"",ROUND(F72/D72,2))</f>
        <v>93</v>
      </c>
      <c r="F72" s="156">
        <f>IF($B72="","",IFERROR(SUMIFS(存条明细!G:G,存条明细!C:C,$B72,存条明细!D:D,$C72),0))</f>
        <v>18600</v>
      </c>
      <c r="G72" s="14">
        <f>IF($B72="","",IFERROR(SUMIFS(出库明细!E:E,出库明细!C:C,$B72,出库明细!D:D,$C72),0))</f>
        <v>50</v>
      </c>
      <c r="H72" s="156">
        <f>IF($B72="","",IFERROR(SUMIFS(出库明细!G:G,出库明细!C:C,$B72,出库明细!D:D,$C72),0))</f>
        <v>4650</v>
      </c>
      <c r="I72" s="14">
        <f>IF($B72="","",D72-G72)</f>
        <v>150</v>
      </c>
      <c r="J72" s="156">
        <f>IF($B72="","",F72-H72)</f>
        <v>13950</v>
      </c>
      <c r="K72" s="179">
        <f>IF($B72="","",MAX(_xlfn.MAXIFS(存条明细!B:B,存条明细!C:C,$B72,存条明细!D:D,$C72),_xlfn.MAXIFS(出库明细!B:B,出库明细!C:C,$B72,出库明细!D:D,$C72)))</f>
        <v>46274.0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15" customHeight="1" s="71">
      <c r="A73" s="14">
        <f>IF(B73="","",ROW()-3)</f>
        <v>70</v>
      </c>
      <c r="B73" s="14" t="str">
        <f>IF(_辅助!$B73="","",IF(_辅助!$B73&lt;=1000,INDEX(存条明细!$C$4:$C$1003,_辅助!$B73),INDEX(出库明细!$C$4:$C$3003,_辅助!$B73-1000)))</f>
        <v>马路下小卖部</v>
      </c>
      <c r="C73" s="14" t="str">
        <f>IF(_辅助!$B73="","",IF(_辅助!$B73&lt;=1000,INDEX(存条明细!$D$4:$D$1003,_辅助!$B73),INDEX(出库明细!$D$4:$D$3003,_辅助!$B73-1000)))</f>
        <v>555补水</v>
      </c>
      <c r="D73" s="14">
        <f>IF($B73="","",IFERROR(SUMIFS(存条明细!E:E,存条明细!C:C,$B73,存条明细!D:D,$C73),0))</f>
        <v>0</v>
      </c>
      <c r="E73" s="156">
        <f>IF(OR($B73="",N(D73)=0),"",ROUND(F73/D73,2))</f>
      </c>
      <c r="F73" s="156">
        <f>IF($B73="","",IFERROR(SUMIFS(存条明细!G:G,存条明细!C:C,$B73,存条明细!D:D,$C73),0))</f>
        <v>0</v>
      </c>
      <c r="G73" s="14">
        <f>IF($B73="","",IFERROR(SUMIFS(出库明细!E:E,出库明细!C:C,$B73,出库明细!D:D,$C73),0))</f>
        <v>2</v>
      </c>
      <c r="H73" s="156">
        <f>IF($B73="","",IFERROR(SUMIFS(出库明细!G:G,出库明细!C:C,$B73,出库明细!D:D,$C73),0))</f>
        <v>136</v>
      </c>
      <c r="I73" s="14">
        <f>IF($B73="","",D73-G73)</f>
        <v>-2</v>
      </c>
      <c r="J73" s="156">
        <f>IF($B73="","",F73-H73)</f>
        <v>-136</v>
      </c>
      <c r="K73" s="179">
        <f>IF($B73="","",MAX(_xlfn.MAXIFS(存条明细!B:B,存条明细!C:C,$B73,存条明细!D:D,$C73),_xlfn.MAXIFS(出库明细!B:B,出库明细!C:C,$B73,出库明细!D:D,$C73)))</f>
        <v>46210.0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15" customHeight="1" s="71">
      <c r="A74" s="14">
        <f>IF(B74="","",ROW()-3)</f>
        <v>71</v>
      </c>
      <c r="B74" s="14" t="str">
        <f>IF(_辅助!$B74="","",IF(_辅助!$B74&lt;=1000,INDEX(存条明细!$C$4:$C$1003,_辅助!$B74),INDEX(出库明细!$C$4:$C$3003,_辅助!$B74-1000)))</f>
        <v>马路下小卖部</v>
      </c>
      <c r="C74" s="14" t="str">
        <f>IF(_辅助!$B74="","",IF(_辅助!$B74&lt;=1000,INDEX(存条明细!$D$4:$D$1003,_辅助!$B74),INDEX(出库明细!$D$4:$D$3003,_辅助!$B74-1000)))</f>
        <v>小果之茶</v>
      </c>
      <c r="D74" s="14">
        <f>IF($B74="","",IFERROR(SUMIFS(存条明细!E:E,存条明细!C:C,$B74,存条明细!D:D,$C74),0))</f>
        <v>0</v>
      </c>
      <c r="E74" s="156">
        <f>IF(OR($B74="",N(D74)=0),"",ROUND(F74/D74,2))</f>
      </c>
      <c r="F74" s="156">
        <f>IF($B74="","",IFERROR(SUMIFS(存条明细!G:G,存条明细!C:C,$B74,存条明细!D:D,$C74),0))</f>
        <v>0</v>
      </c>
      <c r="G74" s="14">
        <f>IF($B74="","",IFERROR(SUMIFS(出库明细!E:E,出库明细!C:C,$B74,出库明细!D:D,$C74),0))</f>
        <v>4</v>
      </c>
      <c r="H74" s="156">
        <f>IF($B74="","",IFERROR(SUMIFS(出库明细!G:G,出库明细!C:C,$B74,出库明细!D:D,$C74),0))</f>
        <v>200</v>
      </c>
      <c r="I74" s="14">
        <f>IF($B74="","",D74-G74)</f>
        <v>-4</v>
      </c>
      <c r="J74" s="156">
        <f>IF($B74="","",F74-H74)</f>
        <v>-200</v>
      </c>
      <c r="K74" s="179">
        <f>IF($B74="","",MAX(_xlfn.MAXIFS(存条明细!B:B,存条明细!C:C,$B74,存条明细!D:D,$C74),_xlfn.MAXIFS(出库明细!B:B,出库明细!C:C,$B74,出库明细!D:D,$C74)))</f>
        <v>46210.0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15" customHeight="1" s="71">
      <c r="A75" s="14">
        <f>IF(B75="","",ROW()-3)</f>
        <v>72</v>
      </c>
      <c r="B75" s="14" t="str">
        <f>IF(_辅助!$B75="","",IF(_辅助!$B75&lt;=1000,INDEX(存条明细!$C$4:$C$1003,_辅助!$B75),INDEX(出库明细!$C$4:$C$3003,_辅助!$B75-1000)))</f>
        <v>兴莲隆兴商行</v>
      </c>
      <c r="C75" s="14" t="str">
        <f>IF(_辅助!$B75="","",IF(_辅助!$B75&lt;=1000,INDEX(存条明细!$D$4:$D$1003,_辅助!$B75),INDEX(出库明细!$D$4:$D$3003,_辅助!$B75-1000)))</f>
        <v>大东鹏</v>
      </c>
      <c r="D75" s="14">
        <f>IF($B75="","",IFERROR(SUMIFS(存条明细!E:E,存条明细!C:C,$B75,存条明细!D:D,$C75),0))</f>
        <v>162</v>
      </c>
      <c r="E75" s="156">
        <f>IF(OR($B75="",N(D75)=0),"",ROUND(F75/D75,2))</f>
        <v>90</v>
      </c>
      <c r="F75" s="156">
        <f>IF($B75="","",IFERROR(SUMIFS(存条明细!G:G,存条明细!C:C,$B75,存条明细!D:D,$C75),0))</f>
        <v>14580</v>
      </c>
      <c r="G75" s="14">
        <f>IF($B75="","",IFERROR(SUMIFS(出库明细!E:E,出库明细!C:C,$B75,出库明细!D:D,$C75),0))</f>
        <v>162</v>
      </c>
      <c r="H75" s="156">
        <f>IF($B75="","",IFERROR(SUMIFS(出库明细!G:G,出库明细!C:C,$B75,出库明细!D:D,$C75),0))</f>
        <v>14580</v>
      </c>
      <c r="I75" s="14">
        <f>IF($B75="","",D75-G75)</f>
        <v>0</v>
      </c>
      <c r="J75" s="156">
        <f>IF($B75="","",F75-H75)</f>
        <v>0</v>
      </c>
      <c r="K75" s="179">
        <f>IF($B75="","",MAX(_xlfn.MAXIFS(存条明细!B:B,存条明细!C:C,$B75,存条明细!D:D,$C75),_xlfn.MAXIFS(出库明细!B:B,出库明细!C:C,$B75,出库明细!D:D,$C75)))</f>
        <v>46216.0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 ht="15" customHeight="1" s="71">
      <c r="A76" s="14">
        <f>IF(B76="","",ROW()-3)</f>
        <v>73</v>
      </c>
      <c r="B76" s="14" t="str">
        <f>IF(_辅助!$B76="","",IF(_辅助!$B76&lt;=1000,INDEX(存条明细!$C$4:$C$1003,_辅助!$B76),INDEX(出库明细!$C$4:$C$3003,_辅助!$B76-1000)))</f>
        <v>兴莲隆兴商行</v>
      </c>
      <c r="C76" s="14" t="str">
        <f>IF(_辅助!$B76="","",IF(_辅助!$B76&lt;=1000,INDEX(存条明细!$D$4:$D$1003,_辅助!$B76),INDEX(出库明细!$D$4:$D$3003,_辅助!$B76-1000)))</f>
        <v>小东鹏</v>
      </c>
      <c r="D76" s="14">
        <f>IF($B76="","",IFERROR(SUMIFS(存条明细!E:E,存条明细!C:C,$B76,存条明细!D:D,$C76),0))</f>
        <v>0</v>
      </c>
      <c r="E76" s="156">
        <f>IF(OR($B76="",N(D76)=0),"",ROUND(F76/D76,2))</f>
      </c>
      <c r="F76" s="156">
        <f>IF($B76="","",IFERROR(SUMIFS(存条明细!G:G,存条明细!C:C,$B76,存条明细!D:D,$C76),0))</f>
        <v>0</v>
      </c>
      <c r="G76" s="14">
        <f>IF($B76="","",IFERROR(SUMIFS(出库明细!E:E,出库明细!C:C,$B76,出库明细!D:D,$C76),0))</f>
        <v>103</v>
      </c>
      <c r="H76" s="156">
        <f>IF($B76="","",IFERROR(SUMIFS(出库明细!G:G,出库明细!C:C,$B76,出库明细!D:D,$C76),0))</f>
        <v>5100</v>
      </c>
      <c r="I76" s="14">
        <f>IF($B76="","",D76-G76)</f>
        <v>-103</v>
      </c>
      <c r="J76" s="156">
        <f>IF($B76="","",F76-H76)</f>
        <v>-5100</v>
      </c>
      <c r="K76" s="179">
        <f>IF($B76="","",MAX(_xlfn.MAXIFS(存条明细!B:B,存条明细!C:C,$B76,存条明细!D:D,$C76),_xlfn.MAXIFS(出库明细!B:B,出库明细!C:C,$B76,出库明细!D:D,$C76)))</f>
        <v>46260.0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15" customHeight="1" s="71">
      <c r="A77" s="14">
        <f>IF(B77="","",ROW()-3)</f>
        <v>74</v>
      </c>
      <c r="B77" s="14" t="str">
        <f>IF(_辅助!$B77="","",IF(_辅助!$B77&lt;=1000,INDEX(存条明细!$C$4:$C$1003,_辅助!$B77),INDEX(出库明细!$C$4:$C$3003,_辅助!$B77-1000)))</f>
        <v>兴莲隆兴商行</v>
      </c>
      <c r="C77" s="14" t="str">
        <f>IF(_辅助!$B77="","",IF(_辅助!$B77&lt;=1000,INDEX(存条明细!$D$4:$D$1003,_辅助!$B77),INDEX(出库明细!$D$4:$D$3003,_辅助!$B77-1000)))</f>
        <v>555补水</v>
      </c>
      <c r="D77" s="14">
        <f>IF($B77="","",IFERROR(SUMIFS(存条明细!E:E,存条明细!C:C,$B77,存条明细!D:D,$C77),0))</f>
        <v>23</v>
      </c>
      <c r="E77" s="156">
        <f>IF(OR($B77="",N(D77)=0),"",ROUND(F77/D77,2))</f>
        <v>65</v>
      </c>
      <c r="F77" s="156">
        <f>IF($B77="","",IFERROR(SUMIFS(存条明细!G:G,存条明细!C:C,$B77,存条明细!D:D,$C77),0))</f>
        <v>1495</v>
      </c>
      <c r="G77" s="14">
        <f>IF($B77="","",IFERROR(SUMIFS(出库明细!E:E,出库明细!C:C,$B77,出库明细!D:D,$C77),0))</f>
        <v>59</v>
      </c>
      <c r="H77" s="156">
        <f>IF($B77="","",IFERROR(SUMIFS(出库明细!G:G,出库明细!C:C,$B77,出库明细!D:D,$C77),0))</f>
        <v>3770</v>
      </c>
      <c r="I77" s="14">
        <f>IF($B77="","",D77-G77)</f>
        <v>-36</v>
      </c>
      <c r="J77" s="156">
        <f>IF($B77="","",F77-H77)</f>
        <v>-2275</v>
      </c>
      <c r="K77" s="179">
        <f>IF($B77="","",MAX(_xlfn.MAXIFS(存条明细!B:B,存条明细!C:C,$B77,存条明细!D:D,$C77),_xlfn.MAXIFS(出库明细!B:B,出库明细!C:C,$B77,出库明细!D:D,$C77)))</f>
        <v>46260.0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 ht="15" customHeight="1" s="71">
      <c r="A78" s="14">
        <f>IF(B78="","",ROW()-3)</f>
        <v>75</v>
      </c>
      <c r="B78" s="14" t="str">
        <f>IF(_辅助!$B78="","",IF(_辅助!$B78&lt;=1000,INDEX(存条明细!$C$4:$C$1003,_辅助!$B78),INDEX(出库明细!$C$4:$C$3003,_辅助!$B78-1000)))</f>
        <v>兴莲隆兴商行</v>
      </c>
      <c r="C78" s="14" t="str">
        <f>IF(_辅助!$B78="","",IF(_辅助!$B78&lt;=1000,INDEX(存条明细!$D$4:$D$1003,_辅助!$B78),INDEX(出库明细!$D$4:$D$3003,_辅助!$B78-1000)))</f>
        <v>1L补水</v>
      </c>
      <c r="D78" s="14">
        <f>IF($B78="","",IFERROR(SUMIFS(存条明细!E:E,存条明细!C:C,$B78,存条明细!D:D,$C78),0))</f>
        <v>23</v>
      </c>
      <c r="E78" s="156">
        <f>IF(OR($B78="",N(D78)=0),"",ROUND(F78/D78,2))</f>
        <v>55</v>
      </c>
      <c r="F78" s="156">
        <f>IF($B78="","",IFERROR(SUMIFS(存条明细!G:G,存条明细!C:C,$B78,存条明细!D:D,$C78),0))</f>
        <v>1265</v>
      </c>
      <c r="G78" s="14">
        <f>IF($B78="","",IFERROR(SUMIFS(出库明细!E:E,出库明细!C:C,$B78,出库明细!D:D,$C78),0))</f>
        <v>23</v>
      </c>
      <c r="H78" s="156">
        <f>IF($B78="","",IFERROR(SUMIFS(出库明细!G:G,出库明细!C:C,$B78,出库明细!D:D,$C78),0))</f>
        <v>1265</v>
      </c>
      <c r="I78" s="14">
        <f>IF($B78="","",D78-G78)</f>
        <v>0</v>
      </c>
      <c r="J78" s="156">
        <f>IF($B78="","",F78-H78)</f>
        <v>0</v>
      </c>
      <c r="K78" s="179">
        <f>IF($B78="","",MAX(_xlfn.MAXIFS(存条明细!B:B,存条明细!C:C,$B78,存条明细!D:D,$C78),_xlfn.MAXIFS(出库明细!B:B,出库明细!C:C,$B78,出库明细!D:D,$C78)))</f>
        <v>46223.0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 ht="15" customHeight="1" s="71">
      <c r="A79" s="14">
        <f>IF(B79="","",ROW()-3)</f>
        <v>76</v>
      </c>
      <c r="B79" s="14" t="str">
        <f>IF(_辅助!$B79="","",IF(_辅助!$B79&lt;=1000,INDEX(存条明细!$C$4:$C$1003,_辅助!$B79),INDEX(出库明细!$C$4:$C$3003,_辅助!$B79-1000)))</f>
        <v>兴莲隆兴商行</v>
      </c>
      <c r="C79" s="14" t="str">
        <f>IF(_辅助!$B79="","",IF(_辅助!$B79&lt;=1000,INDEX(存条明细!$D$4:$D$1003,_辅助!$B79),INDEX(出库明细!$D$4:$D$3003,_辅助!$B79-1000)))</f>
        <v>1L果之茶</v>
      </c>
      <c r="D79" s="14">
        <f>IF($B79="","",IFERROR(SUMIFS(存条明细!E:E,存条明细!C:C,$B79,存条明细!D:D,$C79),0))</f>
        <v>0</v>
      </c>
      <c r="E79" s="156">
        <f>IF(OR($B79="",N(D79)=0),"",ROUND(F79/D79,2))</f>
      </c>
      <c r="F79" s="156">
        <f>IF($B79="","",IFERROR(SUMIFS(存条明细!G:G,存条明细!C:C,$B79,存条明细!D:D,$C79),0))</f>
        <v>0</v>
      </c>
      <c r="G79" s="14">
        <f>IF($B79="","",IFERROR(SUMIFS(出库明细!E:E,出库明细!C:C,$B79,出库明细!D:D,$C79),0))</f>
        <v>36</v>
      </c>
      <c r="H79" s="156">
        <f>IF($B79="","",IFERROR(SUMIFS(出库明细!G:G,出库明细!C:C,$B79,出库明细!D:D,$C79),0))</f>
        <v>1505</v>
      </c>
      <c r="I79" s="14">
        <f>IF($B79="","",D79-G79)</f>
        <v>-36</v>
      </c>
      <c r="J79" s="156">
        <f>IF($B79="","",F79-H79)</f>
        <v>-1505</v>
      </c>
      <c r="K79" s="179">
        <f>IF($B79="","",MAX(_xlfn.MAXIFS(存条明细!B:B,存条明细!C:C,$B79,存条明细!D:D,$C79),_xlfn.MAXIFS(出库明细!B:B,出库明细!C:C,$B79,出库明细!D:D,$C79)))</f>
        <v>46260.0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 ht="15" customHeight="1" s="71">
      <c r="A80" s="14">
        <f>IF(B80="","",ROW()-3)</f>
        <v>77</v>
      </c>
      <c r="B80" s="14" t="str">
        <f>IF(_辅助!$B80="","",IF(_辅助!$B80&lt;=1000,INDEX(存条明细!$C$4:$C$1003,_辅助!$B80),INDEX(出库明细!$C$4:$C$3003,_辅助!$B80-1000)))</f>
        <v>兴莲隆兴商行</v>
      </c>
      <c r="C80" s="14" t="str">
        <f>IF(_辅助!$B80="","",IF(_辅助!$B80&lt;=1000,INDEX(存条明细!$D$4:$D$1003,_辅助!$B80),INDEX(出库明细!$D$4:$D$3003,_辅助!$B80-1000)))</f>
        <v>港式奶茶</v>
      </c>
      <c r="D80" s="14">
        <f>IF($B80="","",IFERROR(SUMIFS(存条明细!E:E,存条明细!C:C,$B80,存条明细!D:D,$C80),0))</f>
        <v>11</v>
      </c>
      <c r="E80" s="156">
        <f>IF(OR($B80="",N(D80)=0),"",ROUND(F80/D80,2))</f>
        <v>69</v>
      </c>
      <c r="F80" s="156">
        <f>IF($B80="","",IFERROR(SUMIFS(存条明细!G:G,存条明细!C:C,$B80,存条明细!D:D,$C80),0))</f>
        <v>759</v>
      </c>
      <c r="G80" s="14">
        <f>IF($B80="","",IFERROR(SUMIFS(出库明细!E:E,出库明细!C:C,$B80,出库明细!D:D,$C80),0))</f>
        <v>0</v>
      </c>
      <c r="H80" s="156">
        <f>IF($B80="","",IFERROR(SUMIFS(出库明细!G:G,出库明细!C:C,$B80,出库明细!D:D,$C80),0))</f>
        <v>0</v>
      </c>
      <c r="I80" s="14">
        <f>IF($B80="","",D80-G80)</f>
        <v>11</v>
      </c>
      <c r="J80" s="156">
        <f>IF($B80="","",F80-H80)</f>
        <v>759</v>
      </c>
      <c r="K80" s="179">
        <f>IF($B80="","",MAX(_xlfn.MAXIFS(存条明细!B:B,存条明细!C:C,$B80,存条明细!D:D,$C80),_xlfn.MAXIFS(出库明细!B:B,出库明细!C:C,$B80,出库明细!D:D,$C80)))</f>
        <v>46200.0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 ht="15" customHeight="1" s="71">
      <c r="A81" s="14">
        <f>IF(B81="","",ROW()-3)</f>
        <v>78</v>
      </c>
      <c r="B81" s="14" t="str">
        <f>IF(_辅助!$B81="","",IF(_辅助!$B81&lt;=1000,INDEX(存条明细!$C$4:$C$1003,_辅助!$B81),INDEX(出库明细!$C$4:$C$3003,_辅助!$B81-1000)))</f>
        <v>兴莲隆兴商行</v>
      </c>
      <c r="C81" s="14" t="str">
        <f>IF(_辅助!$B81="","",IF(_辅助!$B81&lt;=1000,INDEX(存条明细!$D$4:$D$1003,_辅助!$B81),INDEX(出库明细!$D$4:$D$3003,_辅助!$B81-1000)))</f>
        <v>大咖</v>
      </c>
      <c r="D81" s="14">
        <f>IF($B81="","",IFERROR(SUMIFS(存条明细!E:E,存条明细!C:C,$B81,存条明细!D:D,$C81),0))</f>
        <v>68</v>
      </c>
      <c r="E81" s="156">
        <f>IF(OR($B81="",N(D81)=0),"",ROUND(F81/D81,2))</f>
        <v>83</v>
      </c>
      <c r="F81" s="156">
        <f>IF($B81="","",IFERROR(SUMIFS(存条明细!G:G,存条明细!C:C,$B81,存条明细!D:D,$C81),0))</f>
        <v>5644</v>
      </c>
      <c r="G81" s="14">
        <f>IF($B81="","",IFERROR(SUMIFS(出库明细!E:E,出库明细!C:C,$B81,出库明细!D:D,$C81),0))</f>
        <v>10</v>
      </c>
      <c r="H81" s="156">
        <f>IF($B81="","",IFERROR(SUMIFS(出库明细!G:G,出库明细!C:C,$B81,出库明细!D:D,$C81),0))</f>
        <v>830</v>
      </c>
      <c r="I81" s="14">
        <f>IF($B81="","",D81-G81)</f>
        <v>58</v>
      </c>
      <c r="J81" s="156">
        <f>IF($B81="","",F81-H81)</f>
        <v>4814</v>
      </c>
      <c r="K81" s="179">
        <f>IF($B81="","",MAX(_xlfn.MAXIFS(存条明细!B:B,存条明细!C:C,$B81,存条明细!D:D,$C81),_xlfn.MAXIFS(出库明细!B:B,出库明细!C:C,$B81,出库明细!D:D,$C81)))</f>
        <v>46274.0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 ht="15" customHeight="1" s="71">
      <c r="A82" s="14">
        <f>IF(B82="","",ROW()-3)</f>
        <v>79</v>
      </c>
      <c r="B82" s="14" t="str">
        <f>IF(_辅助!$B82="","",IF(_辅助!$B82&lt;=1000,INDEX(存条明细!$C$4:$C$1003,_辅助!$B82),INDEX(出库明细!$C$4:$C$3003,_辅助!$B82-1000)))</f>
        <v>诚信粮油</v>
      </c>
      <c r="C82" s="14" t="str">
        <f>IF(_辅助!$B82="","",IF(_辅助!$B82&lt;=1000,INDEX(存条明细!$D$4:$D$1003,_辅助!$B82),INDEX(出库明细!$D$4:$D$3003,_辅助!$B82-1000)))</f>
        <v>大东鹏</v>
      </c>
      <c r="D82" s="14">
        <f>IF($B82="","",IFERROR(SUMIFS(存条明细!E:E,存条明细!C:C,$B82,存条明细!D:D,$C82),0))</f>
        <v>300</v>
      </c>
      <c r="E82" s="156">
        <f>IF(OR($B82="",N(D82)=0),"",ROUND(F82/D82,2))</f>
        <v>90</v>
      </c>
      <c r="F82" s="156">
        <f>IF($B82="","",IFERROR(SUMIFS(存条明细!G:G,存条明细!C:C,$B82,存条明细!D:D,$C82),0))</f>
        <v>27000</v>
      </c>
      <c r="G82" s="14">
        <f>IF($B82="","",IFERROR(SUMIFS(出库明细!E:E,出库明细!C:C,$B82,出库明细!D:D,$C82),0))</f>
        <v>300</v>
      </c>
      <c r="H82" s="156">
        <f>IF($B82="","",IFERROR(SUMIFS(出库明细!G:G,出库明细!C:C,$B82,出库明细!D:D,$C82),0))</f>
        <v>27000</v>
      </c>
      <c r="I82" s="14">
        <f>IF($B82="","",D82-G82)</f>
        <v>0</v>
      </c>
      <c r="J82" s="156">
        <f>IF($B82="","",F82-H82)</f>
        <v>0</v>
      </c>
      <c r="K82" s="179">
        <f>IF($B82="","",MAX(_xlfn.MAXIFS(存条明细!B:B,存条明细!C:C,$B82,存条明细!D:D,$C82),_xlfn.MAXIFS(出库明细!B:B,出库明细!C:C,$B82,出库明细!D:D,$C82)))</f>
        <v>46238.0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 ht="15" customHeight="1" s="71">
      <c r="A83" s="14">
        <f>IF(B83="","",ROW()-3)</f>
        <v>80</v>
      </c>
      <c r="B83" s="14" t="str">
        <f>IF(_辅助!$B83="","",IF(_辅助!$B83&lt;=1000,INDEX(存条明细!$C$4:$C$1003,_辅助!$B83),INDEX(出库明细!$C$4:$C$3003,_辅助!$B83-1000)))</f>
        <v>诚信粮油</v>
      </c>
      <c r="C83" s="14" t="str">
        <f>IF(_辅助!$B83="","",IF(_辅助!$B83&lt;=1000,INDEX(存条明细!$D$4:$D$1003,_辅助!$B83),INDEX(出库明细!$D$4:$D$3003,_辅助!$B83-1000)))</f>
        <v>555补水</v>
      </c>
      <c r="D83" s="14">
        <f>IF($B83="","",IFERROR(SUMIFS(存条明细!E:E,存条明细!C:C,$B83,存条明细!D:D,$C83),0))</f>
        <v>0</v>
      </c>
      <c r="E83" s="156">
        <f>IF(OR($B83="",N(D83)=0),"",ROUND(F83/D83,2))</f>
      </c>
      <c r="F83" s="156">
        <f>IF($B83="","",IFERROR(SUMIFS(存条明细!G:G,存条明细!C:C,$B83,存条明细!D:D,$C83),0))</f>
        <v>0</v>
      </c>
      <c r="G83" s="14">
        <f>IF($B83="","",IFERROR(SUMIFS(出库明细!E:E,出库明细!C:C,$B83,出库明细!D:D,$C83),0))</f>
        <v>15</v>
      </c>
      <c r="H83" s="156">
        <f>IF($B83="","",IFERROR(SUMIFS(出库明细!G:G,出库明细!C:C,$B83,出库明细!D:D,$C83),0))</f>
        <v>975</v>
      </c>
      <c r="I83" s="14">
        <f>IF($B83="","",D83-G83)</f>
        <v>-15</v>
      </c>
      <c r="J83" s="156">
        <f>IF($B83="","",F83-H83)</f>
        <v>-975</v>
      </c>
      <c r="K83" s="179">
        <f>IF($B83="","",MAX(_xlfn.MAXIFS(存条明细!B:B,存条明细!C:C,$B83,存条明细!D:D,$C83),_xlfn.MAXIFS(出库明细!B:B,出库明细!C:C,$B83,出库明细!D:D,$C83)))</f>
        <v>46212.0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 ht="15" customHeight="1" s="71">
      <c r="A84" s="14">
        <f>IF(B84="","",ROW()-3)</f>
        <v>81</v>
      </c>
      <c r="B84" s="14" t="str">
        <f>IF(_辅助!$B84="","",IF(_辅助!$B84&lt;=1000,INDEX(存条明细!$C$4:$C$1003,_辅助!$B84),INDEX(出库明细!$C$4:$C$3003,_辅助!$B84-1000)))</f>
        <v>诚信粮油</v>
      </c>
      <c r="C84" s="14" t="str">
        <f>IF(_辅助!$B84="","",IF(_辅助!$B84&lt;=1000,INDEX(存条明细!$D$4:$D$1003,_辅助!$B84),INDEX(出库明细!$D$4:$D$3003,_辅助!$B84-1000)))</f>
        <v>1L补水</v>
      </c>
      <c r="D84" s="14">
        <f>IF($B84="","",IFERROR(SUMIFS(存条明细!E:E,存条明细!C:C,$B84,存条明细!D:D,$C84),0))</f>
        <v>0</v>
      </c>
      <c r="E84" s="156">
        <f>IF(OR($B84="",N(D84)=0),"",ROUND(F84/D84,2))</f>
      </c>
      <c r="F84" s="156">
        <f>IF($B84="","",IFERROR(SUMIFS(存条明细!G:G,存条明细!C:C,$B84,存条明细!D:D,$C84),0))</f>
        <v>0</v>
      </c>
      <c r="G84" s="14">
        <f>IF($B84="","",IFERROR(SUMIFS(出库明细!E:E,出库明细!C:C,$B84,出库明细!D:D,$C84),0))</f>
        <v>35</v>
      </c>
      <c r="H84" s="156">
        <f>IF($B84="","",IFERROR(SUMIFS(出库明细!G:G,出库明细!C:C,$B84,出库明细!D:D,$C84),0))</f>
        <v>1925</v>
      </c>
      <c r="I84" s="14">
        <f>IF($B84="","",D84-G84)</f>
        <v>-35</v>
      </c>
      <c r="J84" s="156">
        <f>IF($B84="","",F84-H84)</f>
        <v>-1925</v>
      </c>
      <c r="K84" s="179">
        <f>IF($B84="","",MAX(_xlfn.MAXIFS(存条明细!B:B,存条明细!C:C,$B84,存条明细!D:D,$C84),_xlfn.MAXIFS(出库明细!B:B,出库明细!C:C,$B84,出库明细!D:D,$C84)))</f>
        <v>46212.0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 ht="15" customHeight="1" s="71">
      <c r="A85" s="14">
        <f>IF(B85="","",ROW()-3)</f>
        <v>82</v>
      </c>
      <c r="B85" s="14" t="str">
        <f>IF(_辅助!$B85="","",IF(_辅助!$B85&lt;=1000,INDEX(存条明细!$C$4:$C$1003,_辅助!$B85),INDEX(出库明细!$C$4:$C$3003,_辅助!$B85-1000)))</f>
        <v>李记副食</v>
      </c>
      <c r="C85" s="14" t="str">
        <f>IF(_辅助!$B85="","",IF(_辅助!$B85&lt;=1000,INDEX(存条明细!$D$4:$D$1003,_辅助!$B85),INDEX(出库明细!$D$4:$D$3003,_辅助!$B85-1000)))</f>
        <v>大东鹏</v>
      </c>
      <c r="D85" s="14">
        <f>IF($B85="","",IFERROR(SUMIFS(存条明细!E:E,存条明细!C:C,$B85,存条明细!D:D,$C85),0))</f>
        <v>0</v>
      </c>
      <c r="E85" s="156">
        <f>IF(OR($B85="",N(D85)=0),"",ROUND(F85/D85,2))</f>
      </c>
      <c r="F85" s="156">
        <f>IF($B85="","",IFERROR(SUMIFS(存条明细!G:G,存条明细!C:C,$B85,存条明细!D:D,$C85),0))</f>
        <v>0</v>
      </c>
      <c r="G85" s="14">
        <f>IF($B85="","",IFERROR(SUMIFS(出库明细!E:E,出库明细!C:C,$B85,出库明细!D:D,$C85),0))</f>
        <v>50</v>
      </c>
      <c r="H85" s="156">
        <f>IF($B85="","",IFERROR(SUMIFS(出库明细!G:G,出库明细!C:C,$B85,出库明细!D:D,$C85),0))</f>
        <v>4650</v>
      </c>
      <c r="I85" s="14">
        <f>IF($B85="","",D85-G85)</f>
        <v>-50</v>
      </c>
      <c r="J85" s="156">
        <f>IF($B85="","",F85-H85)</f>
        <v>-4650</v>
      </c>
      <c r="K85" s="179">
        <f>IF($B85="","",MAX(_xlfn.MAXIFS(存条明细!B:B,存条明细!C:C,$B85,存条明细!D:D,$C85),_xlfn.MAXIFS(出库明细!B:B,出库明细!C:C,$B85,出库明细!D:D,$C85)))</f>
        <v>46262.0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 ht="15" customHeight="1" s="71">
      <c r="A86" s="14">
        <f>IF(B86="","",ROW()-3)</f>
        <v>83</v>
      </c>
      <c r="B86" s="14" t="str">
        <f>IF(_辅助!$B86="","",IF(_辅助!$B86&lt;=1000,INDEX(存条明细!$C$4:$C$1003,_辅助!$B86),INDEX(出库明细!$C$4:$C$3003,_辅助!$B86-1000)))</f>
        <v>李记副食</v>
      </c>
      <c r="C86" s="14" t="str">
        <f>IF(_辅助!$B86="","",IF(_辅助!$B86&lt;=1000,INDEX(存条明细!$D$4:$D$1003,_辅助!$B86),INDEX(出库明细!$D$4:$D$3003,_辅助!$B86-1000)))</f>
        <v>小东鹏</v>
      </c>
      <c r="D86" s="14">
        <f>IF($B86="","",IFERROR(SUMIFS(存条明细!E:E,存条明细!C:C,$B86,存条明细!D:D,$C86),0))</f>
        <v>0</v>
      </c>
      <c r="E86" s="156">
        <f>IF(OR($B86="",N(D86)=0),"",ROUND(F86/D86,2))</f>
      </c>
      <c r="F86" s="156">
        <f>IF($B86="","",IFERROR(SUMIFS(存条明细!G:G,存条明细!C:C,$B86,存条明细!D:D,$C86),0))</f>
        <v>0</v>
      </c>
      <c r="G86" s="14">
        <f>IF($B86="","",IFERROR(SUMIFS(出库明细!E:E,出库明细!C:C,$B86,出库明细!D:D,$C86),0))</f>
        <v>5</v>
      </c>
      <c r="H86" s="156">
        <f>IF($B86="","",IFERROR(SUMIFS(出库明细!G:G,出库明细!C:C,$B86,出库明细!D:D,$C86),0))</f>
        <v>255</v>
      </c>
      <c r="I86" s="14">
        <f>IF($B86="","",D86-G86)</f>
        <v>-5</v>
      </c>
      <c r="J86" s="156">
        <f>IF($B86="","",F86-H86)</f>
        <v>-255</v>
      </c>
      <c r="K86" s="179">
        <f>IF($B86="","",MAX(_xlfn.MAXIFS(存条明细!B:B,存条明细!C:C,$B86,存条明细!D:D,$C86),_xlfn.MAXIFS(出库明细!B:B,出库明细!C:C,$B86,出库明细!D:D,$C86)))</f>
        <v>46226.0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 ht="15" customHeight="1" s="71">
      <c r="A87" s="14">
        <f>IF(B87="","",ROW()-3)</f>
        <v>84</v>
      </c>
      <c r="B87" s="14" t="str">
        <f>IF(_辅助!$B87="","",IF(_辅助!$B87&lt;=1000,INDEX(存条明细!$C$4:$C$1003,_辅助!$B87),INDEX(出库明细!$C$4:$C$3003,_辅助!$B87-1000)))</f>
        <v>李记副食</v>
      </c>
      <c r="C87" s="14" t="str">
        <f>IF(_辅助!$B87="","",IF(_辅助!$B87&lt;=1000,INDEX(存条明细!$D$4:$D$1003,_辅助!$B87),INDEX(出库明细!$D$4:$D$3003,_辅助!$B87-1000)))</f>
        <v>555补水</v>
      </c>
      <c r="D87" s="14">
        <f>IF($B87="","",IFERROR(SUMIFS(存条明细!E:E,存条明细!C:C,$B87,存条明细!D:D,$C87),0))</f>
        <v>0</v>
      </c>
      <c r="E87" s="156">
        <f>IF(OR($B87="",N(D87)=0),"",ROUND(F87/D87,2))</f>
      </c>
      <c r="F87" s="156">
        <f>IF($B87="","",IFERROR(SUMIFS(存条明细!G:G,存条明细!C:C,$B87,存条明细!D:D,$C87),0))</f>
        <v>0</v>
      </c>
      <c r="G87" s="14">
        <f>IF($B87="","",IFERROR(SUMIFS(出库明细!E:E,出库明细!C:C,$B87,出库明细!D:D,$C87),0))</f>
        <v>25.5</v>
      </c>
      <c r="H87" s="156">
        <f>IF($B87="","",IFERROR(SUMIFS(出库明细!G:G,出库明细!C:C,$B87,出库明细!D:D,$C87),0))</f>
        <v>1657.5</v>
      </c>
      <c r="I87" s="14">
        <f>IF($B87="","",D87-G87)</f>
        <v>-25.5</v>
      </c>
      <c r="J87" s="156">
        <f>IF($B87="","",F87-H87)</f>
        <v>-1657.5</v>
      </c>
      <c r="K87" s="179">
        <f>IF($B87="","",MAX(_xlfn.MAXIFS(存条明细!B:B,存条明细!C:C,$B87,存条明细!D:D,$C87),_xlfn.MAXIFS(出库明细!B:B,出库明细!C:C,$B87,出库明细!D:D,$C87)))</f>
        <v>46255.0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15" customHeight="1" s="71">
      <c r="A88" s="14">
        <f>IF(B88="","",ROW()-3)</f>
        <v>85</v>
      </c>
      <c r="B88" s="14" t="str">
        <f>IF(_辅助!$B88="","",IF(_辅助!$B88&lt;=1000,INDEX(存条明细!$C$4:$C$1003,_辅助!$B88),INDEX(出库明细!$C$4:$C$3003,_辅助!$B88-1000)))</f>
        <v>吕维春</v>
      </c>
      <c r="C88" s="14" t="str">
        <f>IF(_辅助!$B88="","",IF(_辅助!$B88&lt;=1000,INDEX(存条明细!$D$4:$D$1003,_辅助!$B88),INDEX(出库明细!$D$4:$D$3003,_辅助!$B88-1000)))</f>
        <v>大东鹏</v>
      </c>
      <c r="D88" s="14">
        <f>IF($B88="","",IFERROR(SUMIFS(存条明细!E:E,存条明细!C:C,$B88,存条明细!D:D,$C88),0))</f>
        <v>250</v>
      </c>
      <c r="E88" s="156">
        <f>IF(OR($B88="",N(D88)=0),"",ROUND(F88/D88,2))</f>
        <v>90</v>
      </c>
      <c r="F88" s="156">
        <f>IF($B88="","",IFERROR(SUMIFS(存条明细!G:G,存条明细!C:C,$B88,存条明细!D:D,$C88),0))</f>
        <v>22500</v>
      </c>
      <c r="G88" s="14">
        <f>IF($B88="","",IFERROR(SUMIFS(出库明细!E:E,出库明细!C:C,$B88,出库明细!D:D,$C88),0))</f>
        <v>130</v>
      </c>
      <c r="H88" s="156">
        <f>IF($B88="","",IFERROR(SUMIFS(出库明细!G:G,出库明细!C:C,$B88,出库明细!D:D,$C88),0))</f>
        <v>11700</v>
      </c>
      <c r="I88" s="14">
        <f>IF($B88="","",D88-G88)</f>
        <v>120</v>
      </c>
      <c r="J88" s="156">
        <f>IF($B88="","",F88-H88)</f>
        <v>10800</v>
      </c>
      <c r="K88" s="179">
        <f>IF($B88="","",MAX(_xlfn.MAXIFS(存条明细!B:B,存条明细!C:C,$B88,存条明细!D:D,$C88),_xlfn.MAXIFS(出库明细!B:B,出库明细!C:C,$B88,出库明细!D:D,$C88)))</f>
        <v>46254.0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15" customHeight="1" s="71">
      <c r="A89" s="14">
        <f>IF(B89="","",ROW()-3)</f>
        <v>86</v>
      </c>
      <c r="B89" s="14" t="str">
        <f>IF(_辅助!$B89="","",IF(_辅助!$B89&lt;=1000,INDEX(存条明细!$C$4:$C$1003,_辅助!$B89),INDEX(出库明细!$C$4:$C$3003,_辅助!$B89-1000)))</f>
        <v>吕维春</v>
      </c>
      <c r="C89" s="14" t="str">
        <f>IF(_辅助!$B89="","",IF(_辅助!$B89&lt;=1000,INDEX(存条明细!$D$4:$D$1003,_辅助!$B89),INDEX(出库明细!$D$4:$D$3003,_辅助!$B89-1000)))</f>
        <v>1L补水</v>
      </c>
      <c r="D89" s="14">
        <f>IF($B89="","",IFERROR(SUMIFS(存条明细!E:E,存条明细!C:C,$B89,存条明细!D:D,$C89),0))</f>
        <v>150</v>
      </c>
      <c r="E89" s="156">
        <f>IF(OR($B89="",N(D89)=0),"",ROUND(F89/D89,2))</f>
        <v>55</v>
      </c>
      <c r="F89" s="156">
        <f>IF($B89="","",IFERROR(SUMIFS(存条明细!G:G,存条明细!C:C,$B89,存条明细!D:D,$C89),0))</f>
        <v>8250</v>
      </c>
      <c r="G89" s="14">
        <f>IF($B89="","",IFERROR(SUMIFS(出库明细!E:E,出库明细!C:C,$B89,出库明细!D:D,$C89),0))</f>
        <v>0</v>
      </c>
      <c r="H89" s="156">
        <f>IF($B89="","",IFERROR(SUMIFS(出库明细!G:G,出库明细!C:C,$B89,出库明细!D:D,$C89),0))</f>
        <v>0</v>
      </c>
      <c r="I89" s="14">
        <f>IF($B89="","",D89-G89)</f>
        <v>150</v>
      </c>
      <c r="J89" s="156">
        <f>IF($B89="","",F89-H89)</f>
        <v>8250</v>
      </c>
      <c r="K89" s="179">
        <f>IF($B89="","",MAX(_xlfn.MAXIFS(存条明细!B:B,存条明细!C:C,$B89,存条明细!D:D,$C89),_xlfn.MAXIFS(出库明细!B:B,出库明细!C:C,$B89,出库明细!D:D,$C89)))</f>
        <v>46200.0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15" customHeight="1" s="71">
      <c r="A90" s="14">
        <f>IF(B90="","",ROW()-3)</f>
        <v>87</v>
      </c>
      <c r="B90" s="14" t="str">
        <f>IF(_辅助!$B90="","",IF(_辅助!$B90&lt;=1000,INDEX(存条明细!$C$4:$C$1003,_辅助!$B90),INDEX(出库明细!$C$4:$C$3003,_辅助!$B90-1000)))</f>
        <v>吕维春</v>
      </c>
      <c r="C90" s="14" t="str">
        <f>IF(_辅助!$B90="","",IF(_辅助!$B90&lt;=1000,INDEX(存条明细!$D$4:$D$1003,_辅助!$B90),INDEX(出库明细!$D$4:$D$3003,_辅助!$B90-1000)))</f>
        <v>小果之茶</v>
      </c>
      <c r="D90" s="14">
        <f>IF($B90="","",IFERROR(SUMIFS(存条明细!E:E,存条明细!C:C,$B90,存条明细!D:D,$C90),0))</f>
        <v>0</v>
      </c>
      <c r="E90" s="156">
        <f>IF(OR($B90="",N(D90)=0),"",ROUND(F90/D90,2))</f>
      </c>
      <c r="F90" s="156">
        <f>IF($B90="","",IFERROR(SUMIFS(存条明细!G:G,存条明细!C:C,$B90,存条明细!D:D,$C90),0))</f>
        <v>0</v>
      </c>
      <c r="G90" s="14">
        <f>IF($B90="","",IFERROR(SUMIFS(出库明细!E:E,出库明细!C:C,$B90,出库明细!D:D,$C90),0))</f>
        <v>100</v>
      </c>
      <c r="H90" s="156">
        <f>IF($B90="","",IFERROR(SUMIFS(出库明细!G:G,出库明细!C:C,$B90,出库明细!D:D,$C90),0))</f>
        <v>4700</v>
      </c>
      <c r="I90" s="14">
        <f>IF($B90="","",D90-G90)</f>
        <v>-100</v>
      </c>
      <c r="J90" s="156">
        <f>IF($B90="","",F90-H90)</f>
        <v>-4700</v>
      </c>
      <c r="K90" s="179">
        <f>IF($B90="","",MAX(_xlfn.MAXIFS(存条明细!B:B,存条明细!C:C,$B90,存条明细!D:D,$C90),_xlfn.MAXIFS(出库明细!B:B,出库明细!C:C,$B90,出库明细!D:D,$C90)))</f>
        <v>46282.0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15" customHeight="1" s="71">
      <c r="A91" s="14">
        <f>IF(B91="","",ROW()-3)</f>
        <v>88</v>
      </c>
      <c r="B91" s="14" t="str">
        <f>IF(_辅助!$B91="","",IF(_辅助!$B91&lt;=1000,INDEX(存条明细!$C$4:$C$1003,_辅助!$B91),INDEX(出库明细!$C$4:$C$3003,_辅助!$B91-1000)))</f>
        <v>吕维春</v>
      </c>
      <c r="C91" s="14" t="str">
        <f>IF(_辅助!$B91="","",IF(_辅助!$B91&lt;=1000,INDEX(存条明细!$D$4:$D$1003,_辅助!$B91),INDEX(出库明细!$D$4:$D$3003,_辅助!$B91-1000)))</f>
        <v>1L果之茶</v>
      </c>
      <c r="D91" s="14">
        <f>IF($B91="","",IFERROR(SUMIFS(存条明细!E:E,存条明细!C:C,$B91,存条明细!D:D,$C91),0))</f>
        <v>20</v>
      </c>
      <c r="E91" s="156">
        <f>IF(OR($B91="",N(D91)=0),"",ROUND(F91/D91,2))</f>
        <v>43</v>
      </c>
      <c r="F91" s="156">
        <f>IF($B91="","",IFERROR(SUMIFS(存条明细!G:G,存条明细!C:C,$B91,存条明细!D:D,$C91),0))</f>
        <v>860</v>
      </c>
      <c r="G91" s="14">
        <f>IF($B91="","",IFERROR(SUMIFS(出库明细!E:E,出库明细!C:C,$B91,出库明细!D:D,$C91),0))</f>
        <v>0</v>
      </c>
      <c r="H91" s="156">
        <f>IF($B91="","",IFERROR(SUMIFS(出库明细!G:G,出库明细!C:C,$B91,出库明细!D:D,$C91),0))</f>
        <v>0</v>
      </c>
      <c r="I91" s="14">
        <f>IF($B91="","",D91-G91)</f>
        <v>20</v>
      </c>
      <c r="J91" s="156">
        <f>IF($B91="","",F91-H91)</f>
        <v>860</v>
      </c>
      <c r="K91" s="179">
        <f>IF($B91="","",MAX(_xlfn.MAXIFS(存条明细!B:B,存条明细!C:C,$B91,存条明细!D:D,$C91),_xlfn.MAXIFS(出库明细!B:B,出库明细!C:C,$B91,出库明细!D:D,$C91)))</f>
        <v>46200.0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15" customHeight="1" s="71">
      <c r="A92" s="14">
        <f>IF(B92="","",ROW()-3)</f>
        <v>89</v>
      </c>
      <c r="B92" s="14" t="str">
        <f>IF(_辅助!$B92="","",IF(_辅助!$B92&lt;=1000,INDEX(存条明细!$C$4:$C$1003,_辅助!$B92),INDEX(出库明细!$C$4:$C$3003,_辅助!$B92-1000)))</f>
        <v>吕维春</v>
      </c>
      <c r="C92" s="14" t="str">
        <f>IF(_辅助!$B92="","",IF(_辅助!$B92&lt;=1000,INDEX(存条明细!$D$4:$D$1003,_辅助!$B92),INDEX(出库明细!$D$4:$D$3003,_辅助!$B92-1000)))</f>
        <v>大咖</v>
      </c>
      <c r="D92" s="14">
        <f>IF($B92="","",IFERROR(SUMIFS(存条明细!E:E,存条明细!C:C,$B92,存条明细!D:D,$C92),0))</f>
        <v>10</v>
      </c>
      <c r="E92" s="156">
        <f>IF(OR($B92="",N(D92)=0),"",ROUND(F92/D92,2))</f>
        <v>83</v>
      </c>
      <c r="F92" s="156">
        <f>IF($B92="","",IFERROR(SUMIFS(存条明细!G:G,存条明细!C:C,$B92,存条明细!D:D,$C92),0))</f>
        <v>830</v>
      </c>
      <c r="G92" s="14">
        <f>IF($B92="","",IFERROR(SUMIFS(出库明细!E:E,出库明细!C:C,$B92,出库明细!D:D,$C92),0))</f>
        <v>0</v>
      </c>
      <c r="H92" s="156">
        <f>IF($B92="","",IFERROR(SUMIFS(出库明细!G:G,出库明细!C:C,$B92,出库明细!D:D,$C92),0))</f>
        <v>0</v>
      </c>
      <c r="I92" s="14">
        <f>IF($B92="","",D92-G92)</f>
        <v>10</v>
      </c>
      <c r="J92" s="156">
        <f>IF($B92="","",F92-H92)</f>
        <v>830</v>
      </c>
      <c r="K92" s="179">
        <f>IF($B92="","",MAX(_xlfn.MAXIFS(存条明细!B:B,存条明细!C:C,$B92,存条明细!D:D,$C92),_xlfn.MAXIFS(出库明细!B:B,出库明细!C:C,$B92,出库明细!D:D,$C92)))</f>
        <v>46200.0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15" customHeight="1" s="71">
      <c r="A93" s="14">
        <f>IF(B93="","",ROW()-3)</f>
        <v>90</v>
      </c>
      <c r="B93" s="14" t="str">
        <f>IF(_辅助!$B93="","",IF(_辅助!$B93&lt;=1000,INDEX(存条明细!$C$4:$C$1003,_辅助!$B93),INDEX(出库明细!$C$4:$C$3003,_辅助!$B93-1000)))</f>
        <v>兴发商行</v>
      </c>
      <c r="C93" s="14" t="str">
        <f>IF(_辅助!$B93="","",IF(_辅助!$B93&lt;=1000,INDEX(存条明细!$D$4:$D$1003,_辅助!$B93),INDEX(出库明细!$D$4:$D$3003,_辅助!$B93-1000)))</f>
        <v>大东鹏</v>
      </c>
      <c r="D93" s="14">
        <f>IF($B93="","",IFERROR(SUMIFS(存条明细!E:E,存条明细!C:C,$B93,存条明细!D:D,$C93),0))</f>
        <v>170</v>
      </c>
      <c r="E93" s="156">
        <f>IF(OR($B93="",N(D93)=0),"",ROUND(F93/D93,2))</f>
        <v>90</v>
      </c>
      <c r="F93" s="156">
        <f>IF($B93="","",IFERROR(SUMIFS(存条明细!G:G,存条明细!C:C,$B93,存条明细!D:D,$C93),0))</f>
        <v>15300</v>
      </c>
      <c r="G93" s="14">
        <f>IF($B93="","",IFERROR(SUMIFS(出库明细!E:E,出库明细!C:C,$B93,出库明细!D:D,$C93),0))</f>
        <v>90</v>
      </c>
      <c r="H93" s="156">
        <f>IF($B93="","",IFERROR(SUMIFS(出库明细!G:G,出库明细!C:C,$B93,出库明细!D:D,$C93),0))</f>
        <v>8100</v>
      </c>
      <c r="I93" s="14">
        <f>IF($B93="","",D93-G93)</f>
        <v>80</v>
      </c>
      <c r="J93" s="156">
        <f>IF($B93="","",F93-H93)</f>
        <v>7200</v>
      </c>
      <c r="K93" s="179">
        <f>IF($B93="","",MAX(_xlfn.MAXIFS(存条明细!B:B,存条明细!C:C,$B93,存条明细!D:D,$C93),_xlfn.MAXIFS(出库明细!B:B,出库明细!C:C,$B93,出库明细!D:D,$C93)))</f>
        <v>46263.0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15" customHeight="1" s="71">
      <c r="A94" s="14">
        <f>IF(B94="","",ROW()-3)</f>
        <v>91</v>
      </c>
      <c r="B94" s="14" t="str">
        <f>IF(_辅助!$B94="","",IF(_辅助!$B94&lt;=1000,INDEX(存条明细!$C$4:$C$1003,_辅助!$B94),INDEX(出库明细!$C$4:$C$3003,_辅助!$B94-1000)))</f>
        <v>兴发商行</v>
      </c>
      <c r="C94" s="14" t="str">
        <f>IF(_辅助!$B94="","",IF(_辅助!$B94&lt;=1000,INDEX(存条明细!$D$4:$D$1003,_辅助!$B94),INDEX(出库明细!$D$4:$D$3003,_辅助!$B94-1000)))</f>
        <v>555补水</v>
      </c>
      <c r="D94" s="14">
        <f>IF($B94="","",IFERROR(SUMIFS(存条明细!E:E,存条明细!C:C,$B94,存条明细!D:D,$C94),0))</f>
        <v>18</v>
      </c>
      <c r="E94" s="156">
        <f>IF(OR($B94="",N(D94)=0),"",ROUND(F94/D94,2))</f>
        <v>63.19</v>
      </c>
      <c r="F94" s="156">
        <f>IF($B94="","",IFERROR(SUMIFS(存条明细!G:G,存条明细!C:C,$B94,存条明细!D:D,$C94),0))</f>
        <v>1137.5</v>
      </c>
      <c r="G94" s="14">
        <f>IF($B94="","",IFERROR(SUMIFS(出库明细!E:E,出库明细!C:C,$B94,出库明细!D:D,$C94),0))</f>
        <v>18</v>
      </c>
      <c r="H94" s="156">
        <f>IF($B94="","",IFERROR(SUMIFS(出库明细!G:G,出库明细!C:C,$B94,出库明细!D:D,$C94),0))</f>
        <v>1170</v>
      </c>
      <c r="I94" s="14">
        <f>IF($B94="","",D94-G94)</f>
        <v>0</v>
      </c>
      <c r="J94" s="156">
        <f>IF($B94="","",F94-H94)</f>
        <v>-32.5</v>
      </c>
      <c r="K94" s="179">
        <f>IF($B94="","",MAX(_xlfn.MAXIFS(存条明细!B:B,存条明细!C:C,$B94,存条明细!D:D,$C94),_xlfn.MAXIFS(出库明细!B:B,出库明细!C:C,$B94,出库明细!D:D,$C94)))</f>
        <v>46254.0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15" customHeight="1" s="71">
      <c r="A95" s="14">
        <f>IF(B95="","",ROW()-3)</f>
        <v>92</v>
      </c>
      <c r="B95" s="14" t="str">
        <f>IF(_辅助!$B95="","",IF(_辅助!$B95&lt;=1000,INDEX(存条明细!$C$4:$C$1003,_辅助!$B95),INDEX(出库明细!$C$4:$C$3003,_辅助!$B95-1000)))</f>
        <v>城岗日日升超市</v>
      </c>
      <c r="C95" s="14" t="str">
        <f>IF(_辅助!$B95="","",IF(_辅助!$B95&lt;=1000,INDEX(存条明细!$D$4:$D$1003,_辅助!$B95),INDEX(出库明细!$D$4:$D$3003,_辅助!$B95-1000)))</f>
        <v>大东鹏</v>
      </c>
      <c r="D95" s="14">
        <f>IF($B95="","",IFERROR(SUMIFS(存条明细!E:E,存条明细!C:C,$B95,存条明细!D:D,$C95),0))</f>
        <v>464</v>
      </c>
      <c r="E95" s="156">
        <f>IF(OR($B95="",N(D95)=0),"",ROUND(F95/D95,2))</f>
        <v>90</v>
      </c>
      <c r="F95" s="156">
        <f>IF($B95="","",IFERROR(SUMIFS(存条明细!G:G,存条明细!C:C,$B95,存条明细!D:D,$C95),0))</f>
        <v>41760</v>
      </c>
      <c r="G95" s="14">
        <f>IF($B95="","",IFERROR(SUMIFS(出库明细!E:E,出库明细!C:C,$B95,出库明细!D:D,$C95),0))</f>
        <v>364</v>
      </c>
      <c r="H95" s="156">
        <f>IF($B95="","",IFERROR(SUMIFS(出库明细!G:G,出库明细!C:C,$B95,出库明细!D:D,$C95),0))</f>
        <v>32760</v>
      </c>
      <c r="I95" s="14">
        <f>IF($B95="","",D95-G95)</f>
        <v>100</v>
      </c>
      <c r="J95" s="156">
        <f>IF($B95="","",F95-H95)</f>
        <v>9000</v>
      </c>
      <c r="K95" s="179">
        <f>IF($B95="","",MAX(_xlfn.MAXIFS(存条明细!B:B,存条明细!C:C,$B95,存条明细!D:D,$C95),_xlfn.MAXIFS(出库明细!B:B,出库明细!C:C,$B95,出库明细!D:D,$C95)))</f>
        <v>46267.0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15" customHeight="1" s="71">
      <c r="A96" s="14">
        <f>IF(B96="","",ROW()-3)</f>
        <v>93</v>
      </c>
      <c r="B96" s="14" t="str">
        <f>IF(_辅助!$B96="","",IF(_辅助!$B96&lt;=1000,INDEX(存条明细!$C$4:$C$1003,_辅助!$B96),INDEX(出库明细!$C$4:$C$3003,_辅助!$B96-1000)))</f>
        <v>城岗日日升超市</v>
      </c>
      <c r="C96" s="14" t="str">
        <f>IF(_辅助!$B96="","",IF(_辅助!$B96&lt;=1000,INDEX(存条明细!$D$4:$D$1003,_辅助!$B96),INDEX(出库明细!$D$4:$D$3003,_辅助!$B96-1000)))</f>
        <v>小东鹏</v>
      </c>
      <c r="D96" s="14">
        <f>IF($B96="","",IFERROR(SUMIFS(存条明细!E:E,存条明细!C:C,$B96,存条明细!D:D,$C96),0))</f>
        <v>39</v>
      </c>
      <c r="E96" s="156">
        <f>IF(OR($B96="",N(D96)=0),"",ROUND(F96/D96,2))</f>
        <v>51</v>
      </c>
      <c r="F96" s="156">
        <f>IF($B96="","",IFERROR(SUMIFS(存条明细!G:G,存条明细!C:C,$B96,存条明细!D:D,$C96),0))</f>
        <v>1989</v>
      </c>
      <c r="G96" s="14">
        <f>IF($B96="","",IFERROR(SUMIFS(出库明细!E:E,出库明细!C:C,$B96,出库明细!D:D,$C96),0))</f>
        <v>20</v>
      </c>
      <c r="H96" s="156">
        <f>IF($B96="","",IFERROR(SUMIFS(出库明细!G:G,出库明细!C:C,$B96,出库明细!D:D,$C96),0))</f>
        <v>1020</v>
      </c>
      <c r="I96" s="14">
        <f>IF($B96="","",D96-G96)</f>
        <v>19</v>
      </c>
      <c r="J96" s="156">
        <f>IF($B96="","",F96-H96)</f>
        <v>969</v>
      </c>
      <c r="K96" s="179">
        <f>IF($B96="","",MAX(_xlfn.MAXIFS(存条明细!B:B,存条明细!C:C,$B96,存条明细!D:D,$C96),_xlfn.MAXIFS(出库明细!B:B,出库明细!C:C,$B96,出库明细!D:D,$C96)))</f>
        <v>46226.0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15" customHeight="1" s="71">
      <c r="A97" s="14">
        <f>IF(B97="","",ROW()-3)</f>
        <v>94</v>
      </c>
      <c r="B97" s="14" t="str">
        <f>IF(_辅助!$B97="","",IF(_辅助!$B97&lt;=1000,INDEX(存条明细!$C$4:$C$1003,_辅助!$B97),INDEX(出库明细!$C$4:$C$3003,_辅助!$B97-1000)))</f>
        <v>城岗日日升超市</v>
      </c>
      <c r="C97" s="14" t="str">
        <f>IF(_辅助!$B97="","",IF(_辅助!$B97&lt;=1000,INDEX(存条明细!$D$4:$D$1003,_辅助!$B97),INDEX(出库明细!$D$4:$D$3003,_辅助!$B97-1000)))</f>
        <v>555补水</v>
      </c>
      <c r="D97" s="14">
        <f>IF($B97="","",IFERROR(SUMIFS(存条明细!E:E,存条明细!C:C,$B97,存条明细!D:D,$C97),0))</f>
        <v>40</v>
      </c>
      <c r="E97" s="156">
        <f>IF(OR($B97="",N(D97)=0),"",ROUND(F97/D97,2))</f>
        <v>65</v>
      </c>
      <c r="F97" s="156">
        <f>IF($B97="","",IFERROR(SUMIFS(存条明细!G:G,存条明细!C:C,$B97,存条明细!D:D,$C97),0))</f>
        <v>2600</v>
      </c>
      <c r="G97" s="14">
        <f>IF($B97="","",IFERROR(SUMIFS(出库明细!E:E,出库明细!C:C,$B97,出库明细!D:D,$C97),0))</f>
        <v>20</v>
      </c>
      <c r="H97" s="156">
        <f>IF($B97="","",IFERROR(SUMIFS(出库明细!G:G,出库明细!C:C,$B97,出库明细!D:D,$C97),0))</f>
        <v>1300</v>
      </c>
      <c r="I97" s="14">
        <f>IF($B97="","",D97-G97)</f>
        <v>20</v>
      </c>
      <c r="J97" s="156">
        <f>IF($B97="","",F97-H97)</f>
        <v>1300</v>
      </c>
      <c r="K97" s="179">
        <f>IF($B97="","",MAX(_xlfn.MAXIFS(存条明细!B:B,存条明细!C:C,$B97,存条明细!D:D,$C97),_xlfn.MAXIFS(出库明细!B:B,出库明细!C:C,$B97,出库明细!D:D,$C97)))</f>
        <v>46226.0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15" customHeight="1" s="71">
      <c r="A98" s="14">
        <f>IF(B98="","",ROW()-3)</f>
        <v>95</v>
      </c>
      <c r="B98" s="14" t="str">
        <f>IF(_辅助!$B98="","",IF(_辅助!$B98&lt;=1000,INDEX(存条明细!$C$4:$C$1003,_辅助!$B98),INDEX(出库明细!$C$4:$C$3003,_辅助!$B98-1000)))</f>
        <v>城岗日日升超市</v>
      </c>
      <c r="C98" s="14" t="str">
        <f>IF(_辅助!$B98="","",IF(_辅助!$B98&lt;=1000,INDEX(存条明细!$D$4:$D$1003,_辅助!$B98),INDEX(出库明细!$D$4:$D$3003,_辅助!$B98-1000)))</f>
        <v>1L补水</v>
      </c>
      <c r="D98" s="14">
        <f>IF($B98="","",IFERROR(SUMIFS(存条明细!E:E,存条明细!C:C,$B98,存条明细!D:D,$C98),0))</f>
        <v>97</v>
      </c>
      <c r="E98" s="156">
        <f>IF(OR($B98="",N(D98)=0),"",ROUND(F98/D98,2))</f>
        <v>55</v>
      </c>
      <c r="F98" s="156">
        <f>IF($B98="","",IFERROR(SUMIFS(存条明细!G:G,存条明细!C:C,$B98,存条明细!D:D,$C98),0))</f>
        <v>5335</v>
      </c>
      <c r="G98" s="14">
        <f>IF($B98="","",IFERROR(SUMIFS(出库明细!E:E,出库明细!C:C,$B98,出库明细!D:D,$C98),0))</f>
        <v>50</v>
      </c>
      <c r="H98" s="156">
        <f>IF($B98="","",IFERROR(SUMIFS(出库明细!G:G,出库明细!C:C,$B98,出库明细!D:D,$C98),0))</f>
        <v>2750</v>
      </c>
      <c r="I98" s="14">
        <f>IF($B98="","",D98-G98)</f>
        <v>47</v>
      </c>
      <c r="J98" s="156">
        <f>IF($B98="","",F98-H98)</f>
        <v>2585</v>
      </c>
      <c r="K98" s="179">
        <f>IF($B98="","",MAX(_xlfn.MAXIFS(存条明细!B:B,存条明细!C:C,$B98,存条明细!D:D,$C98),_xlfn.MAXIFS(出库明细!B:B,出库明细!C:C,$B98,出库明细!D:D,$C98)))</f>
        <v>46226.0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15" customHeight="1" s="71">
      <c r="A99" s="14">
        <f>IF(B99="","",ROW()-3)</f>
        <v>96</v>
      </c>
      <c r="B99" s="14" t="str">
        <f>IF(_辅助!$B99="","",IF(_辅助!$B99&lt;=1000,INDEX(存条明细!$C$4:$C$1003,_辅助!$B99),INDEX(出库明细!$C$4:$C$3003,_辅助!$B99-1000)))</f>
        <v>城岗日日升超市</v>
      </c>
      <c r="C99" s="14" t="str">
        <f>IF(_辅助!$B99="","",IF(_辅助!$B99&lt;=1000,INDEX(存条明细!$D$4:$D$1003,_辅助!$B99),INDEX(出库明细!$D$4:$D$3003,_辅助!$B99-1000)))</f>
        <v>1L果之茶</v>
      </c>
      <c r="D99" s="14">
        <f>IF($B99="","",IFERROR(SUMIFS(存条明细!E:E,存条明细!C:C,$B99,存条明细!D:D,$C99),0))</f>
        <v>15.5</v>
      </c>
      <c r="E99" s="156">
        <f>IF(OR($B99="",N(D99)=0),"",ROUND(F99/D99,2))</f>
        <v>43</v>
      </c>
      <c r="F99" s="156">
        <f>IF($B99="","",IFERROR(SUMIFS(存条明细!G:G,存条明细!C:C,$B99,存条明细!D:D,$C99),0))</f>
        <v>666.5</v>
      </c>
      <c r="G99" s="14">
        <f>IF($B99="","",IFERROR(SUMIFS(出库明细!E:E,出库明细!C:C,$B99,出库明细!D:D,$C99),0))</f>
        <v>15.5</v>
      </c>
      <c r="H99" s="156">
        <f>IF($B99="","",IFERROR(SUMIFS(出库明细!G:G,出库明细!C:C,$B99,出库明细!D:D,$C99),0))</f>
        <v>666.5</v>
      </c>
      <c r="I99" s="14">
        <f>IF($B99="","",D99-G99)</f>
        <v>0</v>
      </c>
      <c r="J99" s="156">
        <f>IF($B99="","",F99-H99)</f>
        <v>0</v>
      </c>
      <c r="K99" s="179">
        <f>IF($B99="","",MAX(_xlfn.MAXIFS(存条明细!B:B,存条明细!C:C,$B99,存条明细!D:D,$C99),_xlfn.MAXIFS(出库明细!B:B,出库明细!C:C,$B99,出库明细!D:D,$C99)))</f>
        <v>46226.0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15" customHeight="1" s="71">
      <c r="A100" s="14">
        <f>IF(B100="","",ROW()-3)</f>
        <v>97</v>
      </c>
      <c r="B100" s="14" t="str">
        <f>IF(_辅助!$B100="","",IF(_辅助!$B100&lt;=1000,INDEX(存条明细!$C$4:$C$1003,_辅助!$B100),INDEX(出库明细!$C$4:$C$3003,_辅助!$B100-1000)))</f>
        <v>城岗日日升超市</v>
      </c>
      <c r="C100" s="14" t="str">
        <f>IF(_辅助!$B100="","",IF(_辅助!$B100&lt;=1000,INDEX(存条明细!$D$4:$D$1003,_辅助!$B100),INDEX(出库明细!$D$4:$D$3003,_辅助!$B100-1000)))</f>
        <v>港式奶茶</v>
      </c>
      <c r="D100" s="14">
        <f>IF($B100="","",IFERROR(SUMIFS(存条明细!E:E,存条明细!C:C,$B100,存条明细!D:D,$C100),0))</f>
        <v>64</v>
      </c>
      <c r="E100" s="156">
        <f>IF(OR($B100="",N(D100)=0),"",ROUND(F100/D100,2))</f>
        <v>69</v>
      </c>
      <c r="F100" s="156">
        <f>IF($B100="","",IFERROR(SUMIFS(存条明细!G:G,存条明细!C:C,$B100,存条明细!D:D,$C100),0))</f>
        <v>4416</v>
      </c>
      <c r="G100" s="14">
        <f>IF($B100="","",IFERROR(SUMIFS(出库明细!E:E,出库明细!C:C,$B100,出库明细!D:D,$C100),0))</f>
        <v>0</v>
      </c>
      <c r="H100" s="156">
        <f>IF($B100="","",IFERROR(SUMIFS(出库明细!G:G,出库明细!C:C,$B100,出库明细!D:D,$C100),0))</f>
        <v>0</v>
      </c>
      <c r="I100" s="14">
        <f>IF($B100="","",D100-G100)</f>
        <v>64</v>
      </c>
      <c r="J100" s="156">
        <f>IF($B100="","",F100-H100)</f>
        <v>4416</v>
      </c>
      <c r="K100" s="179">
        <f>IF($B100="","",MAX(_xlfn.MAXIFS(存条明细!B:B,存条明细!C:C,$B100,存条明细!D:D,$C100),_xlfn.MAXIFS(出库明细!B:B,出库明细!C:C,$B100,出库明细!D:D,$C100)))</f>
        <v>46200.0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 ht="15" customHeight="1" s="71">
      <c r="A101" s="14">
        <f>IF(B101="","",ROW()-3)</f>
        <v>98</v>
      </c>
      <c r="B101" s="14" t="str">
        <f>IF(_辅助!$B101="","",IF(_辅助!$B101&lt;=1000,INDEX(存条明细!$C$4:$C$1003,_辅助!$B101),INDEX(出库明细!$C$4:$C$3003,_辅助!$B101-1000)))</f>
        <v>城岗日日升超市</v>
      </c>
      <c r="C101" s="14" t="str">
        <f>IF(_辅助!$B101="","",IF(_辅助!$B101&lt;=1000,INDEX(存条明细!$D$4:$D$1003,_辅助!$B101),INDEX(出库明细!$D$4:$D$3003,_辅助!$B101-1000)))</f>
        <v>大咖</v>
      </c>
      <c r="D101" s="14">
        <f>IF($B101="","",IFERROR(SUMIFS(存条明细!E:E,存条明细!C:C,$B101,存条明细!D:D,$C101),0))</f>
        <v>19.5</v>
      </c>
      <c r="E101" s="156">
        <f>IF(OR($B101="",N(D101)=0),"",ROUND(F101/D101,2))</f>
        <v>83</v>
      </c>
      <c r="F101" s="156">
        <f>IF($B101="","",IFERROR(SUMIFS(存条明细!G:G,存条明细!C:C,$B101,存条明细!D:D,$C101),0))</f>
        <v>1618.5</v>
      </c>
      <c r="G101" s="14">
        <f>IF($B101="","",IFERROR(SUMIFS(出库明细!E:E,出库明细!C:C,$B101,出库明细!D:D,$C101),0))</f>
        <v>0</v>
      </c>
      <c r="H101" s="156">
        <f>IF($B101="","",IFERROR(SUMIFS(出库明细!G:G,出库明细!C:C,$B101,出库明细!D:D,$C101),0))</f>
        <v>0</v>
      </c>
      <c r="I101" s="14">
        <f>IF($B101="","",D101-G101)</f>
        <v>19.5</v>
      </c>
      <c r="J101" s="156">
        <f>IF($B101="","",F101-H101)</f>
        <v>1618.5</v>
      </c>
      <c r="K101" s="179">
        <f>IF($B101="","",MAX(_xlfn.MAXIFS(存条明细!B:B,存条明细!C:C,$B101,存条明细!D:D,$C101),_xlfn.MAXIFS(出库明细!B:B,出库明细!C:C,$B101,出库明细!D:D,$C101)))</f>
        <v>46200.0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 ht="15" customHeight="1" s="71">
      <c r="A102" s="14">
        <f>IF(B102="","",ROW()-3)</f>
        <v>99</v>
      </c>
      <c r="B102" s="14" t="str">
        <f>IF(_辅助!$B102="","",IF(_辅助!$B102&lt;=1000,INDEX(存条明细!$C$4:$C$1003,_辅助!$B102),INDEX(出库明细!$C$4:$C$3003,_辅助!$B102-1000)))</f>
        <v>城岗日日升超市</v>
      </c>
      <c r="C102" s="14" t="str">
        <f>IF(_辅助!$B102="","",IF(_辅助!$B102&lt;=1000,INDEX(存条明细!$D$4:$D$1003,_辅助!$B102),INDEX(出库明细!$D$4:$D$3003,_辅助!$B102-1000)))</f>
        <v>550农夫水</v>
      </c>
      <c r="D102" s="14">
        <f>IF($B102="","",IFERROR(SUMIFS(存条明细!E:E,存条明细!C:C,$B102,存条明细!D:D,$C102),0))</f>
        <v>275.5</v>
      </c>
      <c r="E102" s="156">
        <f>IF(OR($B102="",N(D102)=0),"",ROUND(F102/D102,2))</f>
        <v>20</v>
      </c>
      <c r="F102" s="156">
        <f>IF($B102="","",IFERROR(SUMIFS(存条明细!G:G,存条明细!C:C,$B102,存条明细!D:D,$C102),0))</f>
        <v>5510</v>
      </c>
      <c r="G102" s="14">
        <f>IF($B102="","",IFERROR(SUMIFS(出库明细!E:E,出库明细!C:C,$B102,出库明细!D:D,$C102),0))</f>
        <v>0</v>
      </c>
      <c r="H102" s="156">
        <f>IF($B102="","",IFERROR(SUMIFS(出库明细!G:G,出库明细!C:C,$B102,出库明细!D:D,$C102),0))</f>
        <v>0</v>
      </c>
      <c r="I102" s="14">
        <f>IF($B102="","",D102-G102)</f>
        <v>275.5</v>
      </c>
      <c r="J102" s="156">
        <f>IF($B102="","",F102-H102)</f>
        <v>5510</v>
      </c>
      <c r="K102" s="179">
        <f>IF($B102="","",MAX(_xlfn.MAXIFS(存条明细!B:B,存条明细!C:C,$B102,存条明细!D:D,$C102),_xlfn.MAXIFS(出库明细!B:B,出库明细!C:C,$B102,出库明细!D:D,$C102)))</f>
        <v>46200.0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 ht="15" customFormat="1" customHeight="1" s="16">
      <c r="A103" s="14">
        <f>IF(B103="","",ROW()-3)</f>
        <v>100</v>
      </c>
      <c r="B103" s="14" t="str">
        <f>IF(_辅助!$B103="","",IF(_辅助!$B103&lt;=1000,INDEX(存条明细!$C$4:$C$1003,_辅助!$B103),INDEX(出库明细!$C$4:$C$3003,_辅助!$B103-1000)))</f>
        <v>江背久明商行</v>
      </c>
      <c r="C103" s="14" t="str">
        <f>IF(_辅助!$B103="","",IF(_辅助!$B103&lt;=1000,INDEX(存条明细!$D$4:$D$1003,_辅助!$B103),INDEX(出库明细!$D$4:$D$3003,_辅助!$B103-1000)))</f>
        <v>大东鹏</v>
      </c>
      <c r="D103" s="14">
        <f>IF($B103="","",IFERROR(SUMIFS(存条明细!E:E,存条明细!C:C,$B103,存条明细!D:D,$C103),0))</f>
        <v>524</v>
      </c>
      <c r="E103" s="156">
        <f>IF(OR($B103="",N(D103)=0),"",ROUND(F103/D103,2))</f>
        <v>90</v>
      </c>
      <c r="F103" s="156">
        <f>IF($B103="","",IFERROR(SUMIFS(存条明细!G:G,存条明细!C:C,$B103,存条明细!D:D,$C103),0))</f>
        <v>47160</v>
      </c>
      <c r="G103" s="14">
        <f>IF($B103="","",IFERROR(SUMIFS(出库明细!E:E,出库明细!C:C,$B103,出库明细!D:D,$C103),0))</f>
        <v>524</v>
      </c>
      <c r="H103" s="156">
        <f>IF($B103="","",IFERROR(SUMIFS(出库明细!G:G,出库明细!C:C,$B103,出库明细!D:D,$C103),0))</f>
        <v>47160</v>
      </c>
      <c r="I103" s="14">
        <f>IF($B103="","",D103-G103)</f>
        <v>0</v>
      </c>
      <c r="J103" s="156">
        <f>IF($B103="","",F103-H103)</f>
        <v>0</v>
      </c>
      <c r="K103" s="179">
        <f>IF($B103="","",MAX(_xlfn.MAXIFS(存条明细!B:B,存条明细!C:C,$B103,存条明细!D:D,$C103),_xlfn.MAXIFS(出库明细!B:B,出库明细!C:C,$B103,出库明细!D:D,$C103)))</f>
        <v>46239.0</v>
      </c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</row>
    <row r="104" ht="15" customHeight="1" s="71">
      <c r="A104" s="14">
        <f>IF(B104="","",ROW()-3)</f>
        <v>101</v>
      </c>
      <c r="B104" s="14" t="str">
        <f>IF(_辅助!$B104="","",IF(_辅助!$B104&lt;=1000,INDEX(存条明细!$C$4:$C$1003,_辅助!$B104),INDEX(出库明细!$C$4:$C$3003,_辅助!$B104-1000)))</f>
        <v>江背久明商行</v>
      </c>
      <c r="C104" s="14" t="str">
        <f>IF(_辅助!$B104="","",IF(_辅助!$B104&lt;=1000,INDEX(存条明细!$D$4:$D$1003,_辅助!$B104),INDEX(出库明细!$D$4:$D$3003,_辅助!$B104-1000)))</f>
        <v>小果之茶</v>
      </c>
      <c r="D104" s="14">
        <f>IF($B104="","",IFERROR(SUMIFS(存条明细!E:E,存条明细!C:C,$B104,存条明细!D:D,$C104),0))</f>
        <v>30</v>
      </c>
      <c r="E104" s="156">
        <f>IF(OR($B104="",N(D104)=0),"",ROUND(F104/D104,2))</f>
        <v>47</v>
      </c>
      <c r="F104" s="156">
        <f>IF($B104="","",IFERROR(SUMIFS(存条明细!G:G,存条明细!C:C,$B104,存条明细!D:D,$C104),0))</f>
        <v>1410</v>
      </c>
      <c r="G104" s="14">
        <f>IF($B104="","",IFERROR(SUMIFS(出库明细!E:E,出库明细!C:C,$B104,出库明细!D:D,$C104),0))</f>
        <v>30</v>
      </c>
      <c r="H104" s="156">
        <f>IF($B104="","",IFERROR(SUMIFS(出库明细!G:G,出库明细!C:C,$B104,出库明细!D:D,$C104),0))</f>
        <v>1410</v>
      </c>
      <c r="I104" s="14">
        <f>IF($B104="","",D104-G104)</f>
        <v>0</v>
      </c>
      <c r="J104" s="156">
        <f>IF($B104="","",F104-H104)</f>
        <v>0</v>
      </c>
      <c r="K104" s="179">
        <f>IF($B104="","",MAX(_xlfn.MAXIFS(存条明细!B:B,存条明细!C:C,$B104,存条明细!D:D,$C104),_xlfn.MAXIFS(出库明细!B:B,出库明细!C:C,$B104,出库明细!D:D,$C104)))</f>
        <v>46211.0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 ht="15" customHeight="1" s="71">
      <c r="A105" s="14">
        <f>IF(B105="","",ROW()-3)</f>
        <v>102</v>
      </c>
      <c r="B105" s="14" t="str">
        <f>IF(_辅助!$B105="","",IF(_辅助!$B105&lt;=1000,INDEX(存条明细!$C$4:$C$1003,_辅助!$B105),INDEX(出库明细!$C$4:$C$3003,_辅助!$B105-1000)))</f>
        <v>江背久明商行</v>
      </c>
      <c r="C105" s="14" t="str">
        <f>IF(_辅助!$B105="","",IF(_辅助!$B105&lt;=1000,INDEX(存条明细!$D$4:$D$1003,_辅助!$B105),INDEX(出库明细!$D$4:$D$3003,_辅助!$B105-1000)))</f>
        <v>大咖</v>
      </c>
      <c r="D105" s="14">
        <f>IF($B105="","",IFERROR(SUMIFS(存条明细!E:E,存条明细!C:C,$B105,存条明细!D:D,$C105),0))</f>
        <v>80</v>
      </c>
      <c r="E105" s="156">
        <f>IF(OR($B105="",N(D105)=0),"",ROUND(F105/D105,2))</f>
        <v>83</v>
      </c>
      <c r="F105" s="156">
        <f>IF($B105="","",IFERROR(SUMIFS(存条明细!G:G,存条明细!C:C,$B105,存条明细!D:D,$C105),0))</f>
        <v>6640</v>
      </c>
      <c r="G105" s="14">
        <f>IF($B105="","",IFERROR(SUMIFS(出库明细!E:E,出库明细!C:C,$B105,出库明细!D:D,$C105),0))</f>
        <v>80</v>
      </c>
      <c r="H105" s="156">
        <f>IF($B105="","",IFERROR(SUMIFS(出库明细!G:G,出库明细!C:C,$B105,出库明细!D:D,$C105),0))</f>
        <v>6640</v>
      </c>
      <c r="I105" s="14">
        <f>IF($B105="","",D105-G105)</f>
        <v>0</v>
      </c>
      <c r="J105" s="156">
        <f>IF($B105="","",F105-H105)</f>
        <v>0</v>
      </c>
      <c r="K105" s="179">
        <f>IF($B105="","",MAX(_xlfn.MAXIFS(存条明细!B:B,存条明细!C:C,$B105,存条明细!D:D,$C105),_xlfn.MAXIFS(出库明细!B:B,出库明细!C:C,$B105,出库明细!D:D,$C105)))</f>
        <v>46226.0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 ht="15" customHeight="1" s="71">
      <c r="A106" s="14">
        <f>IF(B106="","",ROW()-3)</f>
        <v>103</v>
      </c>
      <c r="B106" s="14" t="str">
        <f>IF(_辅助!$B106="","",IF(_辅助!$B106&lt;=1000,INDEX(存条明细!$C$4:$C$1003,_辅助!$B106),INDEX(出库明细!$C$4:$C$3003,_辅助!$B106-1000)))</f>
        <v>江背久明商行</v>
      </c>
      <c r="C106" s="14" t="str">
        <f>IF(_辅助!$B106="","",IF(_辅助!$B106&lt;=1000,INDEX(存条明细!$D$4:$D$1003,_辅助!$B106),INDEX(出库明细!$D$4:$D$3003,_辅助!$B106-1000)))</f>
        <v>九制陈皮</v>
      </c>
      <c r="D106" s="14">
        <f>IF($B106="","",IFERROR(SUMIFS(存条明细!E:E,存条明细!C:C,$B106,存条明细!D:D,$C106),0))</f>
        <v>30</v>
      </c>
      <c r="E106" s="156">
        <f>IF(OR($B106="",N(D106)=0),"",ROUND(F106/D106,2))</f>
        <v>47</v>
      </c>
      <c r="F106" s="156">
        <f>IF($B106="","",IFERROR(SUMIFS(存条明细!G:G,存条明细!C:C,$B106,存条明细!D:D,$C106),0))</f>
        <v>1410</v>
      </c>
      <c r="G106" s="14">
        <f>IF($B106="","",IFERROR(SUMIFS(出库明细!E:E,出库明细!C:C,$B106,出库明细!D:D,$C106),0))</f>
        <v>30</v>
      </c>
      <c r="H106" s="156">
        <f>IF($B106="","",IFERROR(SUMIFS(出库明细!G:G,出库明细!C:C,$B106,出库明细!D:D,$C106),0))</f>
        <v>1410</v>
      </c>
      <c r="I106" s="14">
        <f>IF($B106="","",D106-G106)</f>
        <v>0</v>
      </c>
      <c r="J106" s="156">
        <f>IF($B106="","",F106-H106)</f>
        <v>0</v>
      </c>
      <c r="K106" s="179">
        <f>IF($B106="","",MAX(_xlfn.MAXIFS(存条明细!B:B,存条明细!C:C,$B106,存条明细!D:D,$C106),_xlfn.MAXIFS(出库明细!B:B,出库明细!C:C,$B106,出库明细!D:D,$C106)))</f>
        <v>46262.0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 ht="15" customHeight="1" s="71">
      <c r="A107" s="14">
        <f>IF(B107="","",ROW()-3)</f>
        <v>104</v>
      </c>
      <c r="B107" s="14" t="str">
        <f>IF(_辅助!$B107="","",IF(_辅助!$B107&lt;=1000,INDEX(存条明细!$C$4:$C$1003,_辅助!$B107),INDEX(出库明细!$C$4:$C$3003,_辅助!$B107-1000)))</f>
        <v>社富丽华超市</v>
      </c>
      <c r="C107" s="14" t="str">
        <f>IF(_辅助!$B107="","",IF(_辅助!$B107&lt;=1000,INDEX(存条明细!$D$4:$D$1003,_辅助!$B107),INDEX(出库明细!$D$4:$D$3003,_辅助!$B107-1000)))</f>
        <v>大东鹏</v>
      </c>
      <c r="D107" s="14">
        <f>IF($B107="","",IFERROR(SUMIFS(存条明细!E:E,存条明细!C:C,$B107,存条明细!D:D,$C107),0))</f>
        <v>90</v>
      </c>
      <c r="E107" s="156">
        <f>IF(OR($B107="",N(D107)=0),"",ROUND(F107/D107,2))</f>
        <v>90</v>
      </c>
      <c r="F107" s="156">
        <f>IF($B107="","",IFERROR(SUMIFS(存条明细!G:G,存条明细!C:C,$B107,存条明细!D:D,$C107),0))</f>
        <v>8100</v>
      </c>
      <c r="G107" s="14">
        <f>IF($B107="","",IFERROR(SUMIFS(出库明细!E:E,出库明细!C:C,$B107,出库明细!D:D,$C107),0))</f>
        <v>0</v>
      </c>
      <c r="H107" s="156">
        <f>IF($B107="","",IFERROR(SUMIFS(出库明细!G:G,出库明细!C:C,$B107,出库明细!D:D,$C107),0))</f>
        <v>0</v>
      </c>
      <c r="I107" s="14">
        <f>IF($B107="","",D107-G107)</f>
        <v>90</v>
      </c>
      <c r="J107" s="156">
        <f>IF($B107="","",F107-H107)</f>
        <v>8100</v>
      </c>
      <c r="K107" s="179">
        <f>IF($B107="","",MAX(_xlfn.MAXIFS(存条明细!B:B,存条明细!C:C,$B107,存条明细!D:D,$C107),_xlfn.MAXIFS(出库明细!B:B,出库明细!C:C,$B107,出库明细!D:D,$C107)))</f>
        <v>46200.0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 ht="15" customHeight="1" s="71">
      <c r="A108" s="14">
        <f>IF(B108="","",ROW()-3)</f>
        <v>105</v>
      </c>
      <c r="B108" s="14" t="str">
        <f>IF(_辅助!$B108="","",IF(_辅助!$B108&lt;=1000,INDEX(存条明细!$C$4:$C$1003,_辅助!$B108),INDEX(出库明细!$C$4:$C$3003,_辅助!$B108-1000)))</f>
        <v>九鑫粮油</v>
      </c>
      <c r="C108" s="14" t="str">
        <f>IF(_辅助!$B108="","",IF(_辅助!$B108&lt;=1000,INDEX(存条明细!$D$4:$D$1003,_辅助!$B108),INDEX(出库明细!$D$4:$D$3003,_辅助!$B108-1000)))</f>
        <v>大东鹏</v>
      </c>
      <c r="D108" s="14">
        <f>IF($B108="","",IFERROR(SUMIFS(存条明细!E:E,存条明细!C:C,$B108,存条明细!D:D,$C108),0))</f>
        <v>35</v>
      </c>
      <c r="E108" s="156">
        <f>IF(OR($B108="",N(D108)=0),"",ROUND(F108/D108,2))</f>
        <v>90</v>
      </c>
      <c r="F108" s="156">
        <f>IF($B108="","",IFERROR(SUMIFS(存条明细!G:G,存条明细!C:C,$B108,存条明细!D:D,$C108),0))</f>
        <v>3150</v>
      </c>
      <c r="G108" s="14">
        <f>IF($B108="","",IFERROR(SUMIFS(出库明细!E:E,出库明细!C:C,$B108,出库明细!D:D,$C108),0))</f>
        <v>67</v>
      </c>
      <c r="H108" s="156">
        <f>IF($B108="","",IFERROR(SUMIFS(出库明细!G:G,出库明细!C:C,$B108,出库明细!D:D,$C108),0))</f>
        <v>6030</v>
      </c>
      <c r="I108" s="14">
        <f>IF($B108="","",D108-G108)</f>
        <v>-32</v>
      </c>
      <c r="J108" s="156">
        <f>IF($B108="","",F108-H108)</f>
        <v>-2880</v>
      </c>
      <c r="K108" s="179">
        <f>IF($B108="","",MAX(_xlfn.MAXIFS(存条明细!B:B,存条明细!C:C,$B108,存条明细!D:D,$C108),_xlfn.MAXIFS(出库明细!B:B,出库明细!C:C,$B108,出库明细!D:D,$C108)))</f>
        <v>46248.0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 ht="15" customHeight="1" s="71">
      <c r="A109" s="14">
        <f>IF(B109="","",ROW()-3)</f>
        <v>106</v>
      </c>
      <c r="B109" s="14" t="str">
        <f>IF(_辅助!$B109="","",IF(_辅助!$B109&lt;=1000,INDEX(存条明细!$C$4:$C$1003,_辅助!$B109),INDEX(出库明细!$C$4:$C$3003,_辅助!$B109-1000)))</f>
        <v>鼎龙陈财超市</v>
      </c>
      <c r="C109" s="14" t="str">
        <f>IF(_辅助!$B109="","",IF(_辅助!$B109&lt;=1000,INDEX(存条明细!$D$4:$D$1003,_辅助!$B109),INDEX(出库明细!$D$4:$D$3003,_辅助!$B109-1000)))</f>
        <v>大东鹏</v>
      </c>
      <c r="D109" s="14">
        <f>IF($B109="","",IFERROR(SUMIFS(存条明细!E:E,存条明细!C:C,$B109,存条明细!D:D,$C109),0))</f>
        <v>1579</v>
      </c>
      <c r="E109" s="156">
        <f>IF(OR($B109="",N(D109)=0),"",ROUND(F109/D109,2))</f>
        <v>90</v>
      </c>
      <c r="F109" s="156">
        <f>IF($B109="","",IFERROR(SUMIFS(存条明细!G:G,存条明细!C:C,$B109,存条明细!D:D,$C109),0))</f>
        <v>142110</v>
      </c>
      <c r="G109" s="14">
        <f>IF($B109="","",IFERROR(SUMIFS(出库明细!E:E,出库明细!C:C,$B109,出库明细!D:D,$C109),0))</f>
        <v>100</v>
      </c>
      <c r="H109" s="156">
        <f>IF($B109="","",IFERROR(SUMIFS(出库明细!G:G,出库明细!C:C,$B109,出库明细!D:D,$C109),0))</f>
        <v>9000</v>
      </c>
      <c r="I109" s="14">
        <f>IF($B109="","",D109-G109)</f>
        <v>1479</v>
      </c>
      <c r="J109" s="156">
        <f>IF($B109="","",F109-H109)</f>
        <v>133110</v>
      </c>
      <c r="K109" s="179">
        <f>IF($B109="","",MAX(_xlfn.MAXIFS(存条明细!B:B,存条明细!C:C,$B109,存条明细!D:D,$C109),_xlfn.MAXIFS(出库明细!B:B,出库明细!C:C,$B109,出库明细!D:D,$C109)))</f>
        <v>46244.0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 ht="15" customHeight="1" s="71">
      <c r="A110" s="14">
        <f>IF(B110="","",ROW()-3)</f>
        <v>107</v>
      </c>
      <c r="B110" s="14" t="str">
        <f>IF(_辅助!$B110="","",IF(_辅助!$B110&lt;=1000,INDEX(存条明细!$C$4:$C$1003,_辅助!$B110),INDEX(出库明细!$C$4:$C$3003,_辅助!$B110-1000)))</f>
        <v>鼎龙陈财超市</v>
      </c>
      <c r="C110" s="14" t="str">
        <f>IF(_辅助!$B110="","",IF(_辅助!$B110&lt;=1000,INDEX(存条明细!$D$4:$D$1003,_辅助!$B110),INDEX(出库明细!$D$4:$D$3003,_辅助!$B110-1000)))</f>
        <v>小东鹏</v>
      </c>
      <c r="D110" s="14">
        <f>IF($B110="","",IFERROR(SUMIFS(存条明细!E:E,存条明细!C:C,$B110,存条明细!D:D,$C110),0))</f>
        <v>20</v>
      </c>
      <c r="E110" s="156">
        <f>IF(OR($B110="",N(D110)=0),"",ROUND(F110/D110,2))</f>
        <v>51</v>
      </c>
      <c r="F110" s="156">
        <f>IF($B110="","",IFERROR(SUMIFS(存条明细!G:G,存条明细!C:C,$B110,存条明细!D:D,$C110),0))</f>
        <v>1020</v>
      </c>
      <c r="G110" s="14">
        <f>IF($B110="","",IFERROR(SUMIFS(出库明细!E:E,出库明细!C:C,$B110,出库明细!D:D,$C110),0))</f>
        <v>0</v>
      </c>
      <c r="H110" s="156">
        <f>IF($B110="","",IFERROR(SUMIFS(出库明细!G:G,出库明细!C:C,$B110,出库明细!D:D,$C110),0))</f>
        <v>0</v>
      </c>
      <c r="I110" s="14">
        <f>IF($B110="","",D110-G110)</f>
        <v>20</v>
      </c>
      <c r="J110" s="156">
        <f>IF($B110="","",F110-H110)</f>
        <v>1020</v>
      </c>
      <c r="K110" s="179">
        <f>IF($B110="","",MAX(_xlfn.MAXIFS(存条明细!B:B,存条明细!C:C,$B110,存条明细!D:D,$C110),_xlfn.MAXIFS(出库明细!B:B,出库明细!C:C,$B110,出库明细!D:D,$C110)))</f>
        <v>46200.0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 ht="15" customHeight="1" s="71">
      <c r="A111" s="14">
        <f>IF(B111="","",ROW()-3)</f>
        <v>108</v>
      </c>
      <c r="B111" s="14" t="str">
        <f>IF(_辅助!$B111="","",IF(_辅助!$B111&lt;=1000,INDEX(存条明细!$C$4:$C$1003,_辅助!$B111),INDEX(出库明细!$C$4:$C$3003,_辅助!$B111-1000)))</f>
        <v>鼎龙陈财超市</v>
      </c>
      <c r="C111" s="14" t="str">
        <f>IF(_辅助!$B111="","",IF(_辅助!$B111&lt;=1000,INDEX(存条明细!$D$4:$D$1003,_辅助!$B111),INDEX(出库明细!$D$4:$D$3003,_辅助!$B111-1000)))</f>
        <v>555补水</v>
      </c>
      <c r="D111" s="14">
        <f>IF($B111="","",IFERROR(SUMIFS(存条明细!E:E,存条明细!C:C,$B111,存条明细!D:D,$C111),0))</f>
        <v>214.5</v>
      </c>
      <c r="E111" s="156">
        <f>IF(OR($B111="",N(D111)=0),"",ROUND(F111/D111,2))</f>
        <v>65</v>
      </c>
      <c r="F111" s="156">
        <f>IF($B111="","",IFERROR(SUMIFS(存条明细!G:G,存条明细!C:C,$B111,存条明细!D:D,$C111),0))</f>
        <v>13942.5</v>
      </c>
      <c r="G111" s="14">
        <f>IF($B111="","",IFERROR(SUMIFS(出库明细!E:E,出库明细!C:C,$B111,出库明细!D:D,$C111),0))</f>
        <v>0</v>
      </c>
      <c r="H111" s="156">
        <f>IF($B111="","",IFERROR(SUMIFS(出库明细!G:G,出库明细!C:C,$B111,出库明细!D:D,$C111),0))</f>
        <v>0</v>
      </c>
      <c r="I111" s="14">
        <f>IF($B111="","",D111-G111)</f>
        <v>214.5</v>
      </c>
      <c r="J111" s="156">
        <f>IF($B111="","",F111-H111)</f>
        <v>13942.5</v>
      </c>
      <c r="K111" s="179">
        <f>IF($B111="","",MAX(_xlfn.MAXIFS(存条明细!B:B,存条明细!C:C,$B111,存条明细!D:D,$C111),_xlfn.MAXIFS(出库明细!B:B,出库明细!C:C,$B111,出库明细!D:D,$C111)))</f>
        <v>46200.0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 ht="15" customHeight="1" s="71">
      <c r="A112" s="14">
        <f>IF(B112="","",ROW()-3)</f>
        <v>109</v>
      </c>
      <c r="B112" s="14" t="str">
        <f>IF(_辅助!$B112="","",IF(_辅助!$B112&lt;=1000,INDEX(存条明细!$C$4:$C$1003,_辅助!$B112),INDEX(出库明细!$C$4:$C$3003,_辅助!$B112-1000)))</f>
        <v>鼎龙陈财超市</v>
      </c>
      <c r="C112" s="14" t="str">
        <f>IF(_辅助!$B112="","",IF(_辅助!$B112&lt;=1000,INDEX(存条明细!$D$4:$D$1003,_辅助!$B112),INDEX(出库明细!$D$4:$D$3003,_辅助!$B112-1000)))</f>
        <v>1L补水</v>
      </c>
      <c r="D112" s="14">
        <f>IF($B112="","",IFERROR(SUMIFS(存条明细!E:E,存条明细!C:C,$B112,存条明细!D:D,$C112),0))</f>
        <v>270</v>
      </c>
      <c r="E112" s="156">
        <f>IF(OR($B112="",N(D112)=0),"",ROUND(F112/D112,2))</f>
        <v>55</v>
      </c>
      <c r="F112" s="156">
        <f>IF($B112="","",IFERROR(SUMIFS(存条明细!G:G,存条明细!C:C,$B112,存条明细!D:D,$C112),0))</f>
        <v>14850</v>
      </c>
      <c r="G112" s="14">
        <f>IF($B112="","",IFERROR(SUMIFS(出库明细!E:E,出库明细!C:C,$B112,出库明细!D:D,$C112),0))</f>
        <v>0</v>
      </c>
      <c r="H112" s="156">
        <f>IF($B112="","",IFERROR(SUMIFS(出库明细!G:G,出库明细!C:C,$B112,出库明细!D:D,$C112),0))</f>
        <v>0</v>
      </c>
      <c r="I112" s="14">
        <f>IF($B112="","",D112-G112)</f>
        <v>270</v>
      </c>
      <c r="J112" s="156">
        <f>IF($B112="","",F112-H112)</f>
        <v>14850</v>
      </c>
      <c r="K112" s="179">
        <f>IF($B112="","",MAX(_xlfn.MAXIFS(存条明细!B:B,存条明细!C:C,$B112,存条明细!D:D,$C112),_xlfn.MAXIFS(出库明细!B:B,出库明细!C:C,$B112,出库明细!D:D,$C112)))</f>
        <v>46200.0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 ht="15" customHeight="1" s="71">
      <c r="A113" s="14">
        <f>IF(B113="","",ROW()-3)</f>
        <v>110</v>
      </c>
      <c r="B113" s="14" t="str">
        <f>IF(_辅助!$B113="","",IF(_辅助!$B113&lt;=1000,INDEX(存条明细!$C$4:$C$1003,_辅助!$B113),INDEX(出库明细!$C$4:$C$3003,_辅助!$B113-1000)))</f>
        <v>鼎龙陈财超市</v>
      </c>
      <c r="C113" s="14" t="str">
        <f>IF(_辅助!$B113="","",IF(_辅助!$B113&lt;=1000,INDEX(存条明细!$D$4:$D$1003,_辅助!$B113),INDEX(出库明细!$D$4:$D$3003,_辅助!$B113-1000)))</f>
        <v>港式奶茶</v>
      </c>
      <c r="D113" s="14">
        <f>IF($B113="","",IFERROR(SUMIFS(存条明细!E:E,存条明细!C:C,$B113,存条明细!D:D,$C113),0))</f>
        <v>150</v>
      </c>
      <c r="E113" s="156">
        <f>IF(OR($B113="",N(D113)=0),"",ROUND(F113/D113,2))</f>
        <v>69</v>
      </c>
      <c r="F113" s="156">
        <f>IF($B113="","",IFERROR(SUMIFS(存条明细!G:G,存条明细!C:C,$B113,存条明细!D:D,$C113),0))</f>
        <v>10350</v>
      </c>
      <c r="G113" s="14">
        <f>IF($B113="","",IFERROR(SUMIFS(出库明细!E:E,出库明细!C:C,$B113,出库明细!D:D,$C113),0))</f>
        <v>0</v>
      </c>
      <c r="H113" s="156">
        <f>IF($B113="","",IFERROR(SUMIFS(出库明细!G:G,出库明细!C:C,$B113,出库明细!D:D,$C113),0))</f>
        <v>0</v>
      </c>
      <c r="I113" s="14">
        <f>IF($B113="","",D113-G113)</f>
        <v>150</v>
      </c>
      <c r="J113" s="156">
        <f>IF($B113="","",F113-H113)</f>
        <v>10350</v>
      </c>
      <c r="K113" s="179">
        <f>IF($B113="","",MAX(_xlfn.MAXIFS(存条明细!B:B,存条明细!C:C,$B113,存条明细!D:D,$C113),_xlfn.MAXIFS(出库明细!B:B,出库明细!C:C,$B113,出库明细!D:D,$C113)))</f>
        <v>46200.0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 ht="15" customHeight="1" s="71">
      <c r="A114" s="14">
        <f>IF(B114="","",ROW()-3)</f>
        <v>111</v>
      </c>
      <c r="B114" s="14" t="str">
        <f>IF(_辅助!$B114="","",IF(_辅助!$B114&lt;=1000,INDEX(存条明细!$C$4:$C$1003,_辅助!$B114),INDEX(出库明细!$C$4:$C$3003,_辅助!$B114-1000)))</f>
        <v>鼎龙陈财超市</v>
      </c>
      <c r="C114" s="14" t="str">
        <f>IF(_辅助!$B114="","",IF(_辅助!$B114&lt;=1000,INDEX(存条明细!$D$4:$D$1003,_辅助!$B114),INDEX(出库明细!$D$4:$D$3003,_辅助!$B114-1000)))</f>
        <v>大咖</v>
      </c>
      <c r="D114" s="14">
        <f>IF($B114="","",IFERROR(SUMIFS(存条明细!E:E,存条明细!C:C,$B114,存条明细!D:D,$C114),0))</f>
        <v>70</v>
      </c>
      <c r="E114" s="156">
        <f>IF(OR($B114="",N(D114)=0),"",ROUND(F114/D114,2))</f>
        <v>83</v>
      </c>
      <c r="F114" s="156">
        <f>IF($B114="","",IFERROR(SUMIFS(存条明细!G:G,存条明细!C:C,$B114,存条明细!D:D,$C114),0))</f>
        <v>5810</v>
      </c>
      <c r="G114" s="14">
        <f>IF($B114="","",IFERROR(SUMIFS(出库明细!E:E,出库明细!C:C,$B114,出库明细!D:D,$C114),0))</f>
        <v>20</v>
      </c>
      <c r="H114" s="156">
        <f>IF($B114="","",IFERROR(SUMIFS(出库明细!G:G,出库明细!C:C,$B114,出库明细!D:D,$C114),0))</f>
        <v>1660</v>
      </c>
      <c r="I114" s="14">
        <f>IF($B114="","",D114-G114)</f>
        <v>50</v>
      </c>
      <c r="J114" s="156">
        <f>IF($B114="","",F114-H114)</f>
        <v>4150</v>
      </c>
      <c r="K114" s="179">
        <f>IF($B114="","",MAX(_xlfn.MAXIFS(存条明细!B:B,存条明细!C:C,$B114,存条明细!D:D,$C114),_xlfn.MAXIFS(出库明细!B:B,出库明细!C:C,$B114,出库明细!D:D,$C114)))</f>
        <v>46259.0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 ht="15" customHeight="1" s="71">
      <c r="A115" s="14">
        <f>IF(B115="","",ROW()-3)</f>
        <v>112</v>
      </c>
      <c r="B115" s="14" t="str">
        <f>IF(_辅助!$B115="","",IF(_辅助!$B115&lt;=1000,INDEX(存条明细!$C$4:$C$1003,_辅助!$B115),INDEX(出库明细!$C$4:$C$3003,_辅助!$B115-1000)))</f>
        <v>洪门美群商行</v>
      </c>
      <c r="C115" s="14" t="str">
        <f>IF(_辅助!$B115="","",IF(_辅助!$B115&lt;=1000,INDEX(存条明细!$D$4:$D$1003,_辅助!$B115),INDEX(出库明细!$D$4:$D$3003,_辅助!$B115-1000)))</f>
        <v>大东鹏</v>
      </c>
      <c r="D115" s="14">
        <f>IF($B115="","",IFERROR(SUMIFS(存条明细!E:E,存条明细!C:C,$B115,存条明细!D:D,$C115),0))</f>
        <v>50</v>
      </c>
      <c r="E115" s="156">
        <f>IF(OR($B115="",N(D115)=0),"",ROUND(F115/D115,2))</f>
        <v>90</v>
      </c>
      <c r="F115" s="156">
        <f>IF($B115="","",IFERROR(SUMIFS(存条明细!G:G,存条明细!C:C,$B115,存条明细!D:D,$C115),0))</f>
        <v>4500</v>
      </c>
      <c r="G115" s="14">
        <f>IF($B115="","",IFERROR(SUMIFS(出库明细!E:E,出库明细!C:C,$B115,出库明细!D:D,$C115),0))</f>
        <v>0</v>
      </c>
      <c r="H115" s="156">
        <f>IF($B115="","",IFERROR(SUMIFS(出库明细!G:G,出库明细!C:C,$B115,出库明细!D:D,$C115),0))</f>
        <v>0</v>
      </c>
      <c r="I115" s="14">
        <f>IF($B115="","",D115-G115)</f>
        <v>50</v>
      </c>
      <c r="J115" s="156">
        <f>IF($B115="","",F115-H115)</f>
        <v>4500</v>
      </c>
      <c r="K115" s="179">
        <f>IF($B115="","",MAX(_xlfn.MAXIFS(存条明细!B:B,存条明细!C:C,$B115,存条明细!D:D,$C115),_xlfn.MAXIFS(出库明细!B:B,出库明细!C:C,$B115,出库明细!D:D,$C115)))</f>
        <v>46200.0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 ht="15" customHeight="1" s="71">
      <c r="A116" s="14">
        <f>IF(B116="","",ROW()-3)</f>
        <v>113</v>
      </c>
      <c r="B116" s="14" t="str">
        <f>IF(_辅助!$B116="","",IF(_辅助!$B116&lt;=1000,INDEX(存条明细!$C$4:$C$1003,_辅助!$B116),INDEX(出库明细!$C$4:$C$3003,_辅助!$B116-1000)))</f>
        <v>兴江家源超市</v>
      </c>
      <c r="C116" s="14" t="str">
        <f>IF(_辅助!$B116="","",IF(_辅助!$B116&lt;=1000,INDEX(存条明细!$D$4:$D$1003,_辅助!$B116),INDEX(出库明细!$D$4:$D$3003,_辅助!$B116-1000)))</f>
        <v>大东鹏</v>
      </c>
      <c r="D116" s="14">
        <f>IF($B116="","",IFERROR(SUMIFS(存条明细!E:E,存条明细!C:C,$B116,存条明细!D:D,$C116),0))</f>
        <v>20</v>
      </c>
      <c r="E116" s="156">
        <f>IF(OR($B116="",N(D116)=0),"",ROUND(F116/D116,2))</f>
        <v>90</v>
      </c>
      <c r="F116" s="156">
        <f>IF($B116="","",IFERROR(SUMIFS(存条明细!G:G,存条明细!C:C,$B116,存条明细!D:D,$C116),0))</f>
        <v>1800</v>
      </c>
      <c r="G116" s="14">
        <f>IF($B116="","",IFERROR(SUMIFS(出库明细!E:E,出库明细!C:C,$B116,出库明细!D:D,$C116),0))</f>
        <v>0</v>
      </c>
      <c r="H116" s="156">
        <f>IF($B116="","",IFERROR(SUMIFS(出库明细!G:G,出库明细!C:C,$B116,出库明细!D:D,$C116),0))</f>
        <v>0</v>
      </c>
      <c r="I116" s="14">
        <f>IF($B116="","",D116-G116)</f>
        <v>20</v>
      </c>
      <c r="J116" s="156">
        <f>IF($B116="","",F116-H116)</f>
        <v>1800</v>
      </c>
      <c r="K116" s="179">
        <f>IF($B116="","",MAX(_xlfn.MAXIFS(存条明细!B:B,存条明细!C:C,$B116,存条明细!D:D,$C116),_xlfn.MAXIFS(出库明细!B:B,出库明细!C:C,$B116,出库明细!D:D,$C116)))</f>
        <v>46200.0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 ht="15" customHeight="1" s="71">
      <c r="A117" s="14">
        <f>IF(B117="","",ROW()-3)</f>
        <v>114</v>
      </c>
      <c r="B117" s="14" t="str">
        <f>IF(_辅助!$B117="","",IF(_辅助!$B117&lt;=1000,INDEX(存条明细!$C$4:$C$1003,_辅助!$B117),INDEX(出库明细!$C$4:$C$3003,_辅助!$B117-1000)))</f>
        <v>枫边德华超市</v>
      </c>
      <c r="C117" s="14" t="str">
        <f>IF(_辅助!$B117="","",IF(_辅助!$B117&lt;=1000,INDEX(存条明细!$D$4:$D$1003,_辅助!$B117),INDEX(出库明细!$D$4:$D$3003,_辅助!$B117-1000)))</f>
        <v>大东鹏</v>
      </c>
      <c r="D117" s="14">
        <f>IF($B117="","",IFERROR(SUMIFS(存条明细!E:E,存条明细!C:C,$B117,存条明细!D:D,$C117),0))</f>
        <v>100</v>
      </c>
      <c r="E117" s="156">
        <f>IF(OR($B117="",N(D117)=0),"",ROUND(F117/D117,2))</f>
        <v>90</v>
      </c>
      <c r="F117" s="156">
        <f>IF($B117="","",IFERROR(SUMIFS(存条明细!G:G,存条明细!C:C,$B117,存条明细!D:D,$C117),0))</f>
        <v>9000</v>
      </c>
      <c r="G117" s="14">
        <f>IF($B117="","",IFERROR(SUMIFS(出库明细!E:E,出库明细!C:C,$B117,出库明细!D:D,$C117),0))</f>
        <v>100</v>
      </c>
      <c r="H117" s="156">
        <f>IF($B117="","",IFERROR(SUMIFS(出库明细!G:G,出库明细!C:C,$B117,出库明细!D:D,$C117),0))</f>
        <v>9000</v>
      </c>
      <c r="I117" s="14">
        <f>IF($B117="","",D117-G117)</f>
        <v>0</v>
      </c>
      <c r="J117" s="156">
        <f>IF($B117="","",F117-H117)</f>
        <v>0</v>
      </c>
      <c r="K117" s="179">
        <f>IF($B117="","",MAX(_xlfn.MAXIFS(存条明细!B:B,存条明细!C:C,$B117,存条明细!D:D,$C117),_xlfn.MAXIFS(出库明细!B:B,出库明细!C:C,$B117,出库明细!D:D,$C117)))</f>
        <v>46221.0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 ht="15" customHeight="1" s="71">
      <c r="A118" s="14">
        <f>IF(B118="","",ROW()-3)</f>
        <v>115</v>
      </c>
      <c r="B118" s="14" t="str">
        <f>IF(_辅助!$B118="","",IF(_辅助!$B118&lt;=1000,INDEX(存条明细!$C$4:$C$1003,_辅助!$B118),INDEX(出库明细!$C$4:$C$3003,_辅助!$B118-1000)))</f>
        <v>枫边德华超市</v>
      </c>
      <c r="C118" s="14" t="str">
        <f>IF(_辅助!$B118="","",IF(_辅助!$B118&lt;=1000,INDEX(存条明细!$D$4:$D$1003,_辅助!$B118),INDEX(出库明细!$D$4:$D$3003,_辅助!$B118-1000)))</f>
        <v>555补水</v>
      </c>
      <c r="D118" s="14">
        <f>IF($B118="","",IFERROR(SUMIFS(存条明细!E:E,存条明细!C:C,$B118,存条明细!D:D,$C118),0))</f>
        <v>80</v>
      </c>
      <c r="E118" s="156">
        <f>IF(OR($B118="",N(D118)=0),"",ROUND(F118/D118,2))</f>
        <v>65</v>
      </c>
      <c r="F118" s="156">
        <f>IF($B118="","",IFERROR(SUMIFS(存条明细!G:G,存条明细!C:C,$B118,存条明细!D:D,$C118),0))</f>
        <v>5200</v>
      </c>
      <c r="G118" s="14">
        <f>IF($B118="","",IFERROR(SUMIFS(出库明细!E:E,出库明细!C:C,$B118,出库明细!D:D,$C118),0))</f>
        <v>30</v>
      </c>
      <c r="H118" s="156">
        <f>IF($B118="","",IFERROR(SUMIFS(出库明细!G:G,出库明细!C:C,$B118,出库明细!D:D,$C118),0))</f>
        <v>1950</v>
      </c>
      <c r="I118" s="14">
        <f>IF($B118="","",D118-G118)</f>
        <v>50</v>
      </c>
      <c r="J118" s="156">
        <f>IF($B118="","",F118-H118)</f>
        <v>3250</v>
      </c>
      <c r="K118" s="179">
        <f>IF($B118="","",MAX(_xlfn.MAXIFS(存条明细!B:B,存条明细!C:C,$B118,存条明细!D:D,$C118),_xlfn.MAXIFS(出库明细!B:B,出库明细!C:C,$B118,出库明细!D:D,$C118)))</f>
        <v>46200.0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 ht="15" customHeight="1" s="71">
      <c r="A119" s="14">
        <f>IF(B119="","",ROW()-3)</f>
        <v>116</v>
      </c>
      <c r="B119" s="14" t="str">
        <f>IF(_辅助!$B119="","",IF(_辅助!$B119&lt;=1000,INDEX(存条明细!$C$4:$C$1003,_辅助!$B119),INDEX(出库明细!$C$4:$C$3003,_辅助!$B119-1000)))</f>
        <v>枫边德华超市</v>
      </c>
      <c r="C119" s="14" t="str">
        <f>IF(_辅助!$B119="","",IF(_辅助!$B119&lt;=1000,INDEX(存条明细!$D$4:$D$1003,_辅助!$B119),INDEX(出库明细!$D$4:$D$3003,_辅助!$B119-1000)))</f>
        <v>1L补水</v>
      </c>
      <c r="D119" s="14">
        <f>IF($B119="","",IFERROR(SUMIFS(存条明细!E:E,存条明细!C:C,$B119,存条明细!D:D,$C119),0))</f>
        <v>80</v>
      </c>
      <c r="E119" s="156">
        <f>IF(OR($B119="",N(D119)=0),"",ROUND(F119/D119,2))</f>
        <v>55</v>
      </c>
      <c r="F119" s="156">
        <f>IF($B119="","",IFERROR(SUMIFS(存条明细!G:G,存条明细!C:C,$B119,存条明细!D:D,$C119),0))</f>
        <v>4400</v>
      </c>
      <c r="G119" s="14">
        <f>IF($B119="","",IFERROR(SUMIFS(出库明细!E:E,出库明细!C:C,$B119,出库明细!D:D,$C119),0))</f>
        <v>0</v>
      </c>
      <c r="H119" s="156">
        <f>IF($B119="","",IFERROR(SUMIFS(出库明细!G:G,出库明细!C:C,$B119,出库明细!D:D,$C119),0))</f>
        <v>0</v>
      </c>
      <c r="I119" s="14">
        <f>IF($B119="","",D119-G119)</f>
        <v>80</v>
      </c>
      <c r="J119" s="156">
        <f>IF($B119="","",F119-H119)</f>
        <v>4400</v>
      </c>
      <c r="K119" s="179">
        <f>IF($B119="","",MAX(_xlfn.MAXIFS(存条明细!B:B,存条明细!C:C,$B119,存条明细!D:D,$C119),_xlfn.MAXIFS(出库明细!B:B,出库明细!C:C,$B119,出库明细!D:D,$C119)))</f>
        <v>46200.0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 ht="15" customHeight="1" s="71">
      <c r="A120" s="14">
        <f>IF(B120="","",ROW()-3)</f>
        <v>117</v>
      </c>
      <c r="B120" s="14" t="str">
        <f>IF(_辅助!$B120="","",IF(_辅助!$B120&lt;=1000,INDEX(存条明细!$C$4:$C$1003,_辅助!$B120),INDEX(出库明细!$C$4:$C$3003,_辅助!$B120-1000)))</f>
        <v>枫边德华超市</v>
      </c>
      <c r="C120" s="14" t="str">
        <f>IF(_辅助!$B120="","",IF(_辅助!$B120&lt;=1000,INDEX(存条明细!$D$4:$D$1003,_辅助!$B120),INDEX(出库明细!$D$4:$D$3003,_辅助!$B120-1000)))</f>
        <v>小果之茶</v>
      </c>
      <c r="D120" s="14">
        <f>IF($B120="","",IFERROR(SUMIFS(存条明细!E:E,存条明细!C:C,$B120,存条明细!D:D,$C120),0))</f>
        <v>40</v>
      </c>
      <c r="E120" s="156">
        <f>IF(OR($B120="",N(D120)=0),"",ROUND(F120/D120,2))</f>
        <v>47</v>
      </c>
      <c r="F120" s="156">
        <f>IF($B120="","",IFERROR(SUMIFS(存条明细!G:G,存条明细!C:C,$B120,存条明细!D:D,$C120),0))</f>
        <v>1880</v>
      </c>
      <c r="G120" s="14">
        <f>IF($B120="","",IFERROR(SUMIFS(出库明细!E:E,出库明细!C:C,$B120,出库明细!D:D,$C120),0))</f>
        <v>20</v>
      </c>
      <c r="H120" s="156">
        <f>IF($B120="","",IFERROR(SUMIFS(出库明细!G:G,出库明细!C:C,$B120,出库明细!D:D,$C120),0))</f>
        <v>940</v>
      </c>
      <c r="I120" s="14">
        <f>IF($B120="","",D120-G120)</f>
        <v>20</v>
      </c>
      <c r="J120" s="156">
        <f>IF($B120="","",F120-H120)</f>
        <v>940</v>
      </c>
      <c r="K120" s="179">
        <f>IF($B120="","",MAX(_xlfn.MAXIFS(存条明细!B:B,存条明细!C:C,$B120,存条明细!D:D,$C120),_xlfn.MAXIFS(出库明细!B:B,出库明细!C:C,$B120,出库明细!D:D,$C120)))</f>
        <v>46255.0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 ht="15" customHeight="1" s="71">
      <c r="A121" s="14">
        <f>IF(B121="","",ROW()-3)</f>
        <v>118</v>
      </c>
      <c r="B121" s="14" t="str">
        <f>IF(_辅助!$B121="","",IF(_辅助!$B121&lt;=1000,INDEX(存条明细!$C$4:$C$1003,_辅助!$B121),INDEX(出库明细!$C$4:$C$3003,_辅助!$B121-1000)))</f>
        <v>枫边德华超市</v>
      </c>
      <c r="C121" s="14" t="str">
        <f>IF(_辅助!$B121="","",IF(_辅助!$B121&lt;=1000,INDEX(存条明细!$D$4:$D$1003,_辅助!$B121),INDEX(出库明细!$D$4:$D$3003,_辅助!$B121-1000)))</f>
        <v>1L果之茶</v>
      </c>
      <c r="D121" s="14">
        <f>IF($B121="","",IFERROR(SUMIFS(存条明细!E:E,存条明细!C:C,$B121,存条明细!D:D,$C121),0))</f>
        <v>80</v>
      </c>
      <c r="E121" s="156">
        <f>IF(OR($B121="",N(D121)=0),"",ROUND(F121/D121,2))</f>
        <v>46</v>
      </c>
      <c r="F121" s="156">
        <f>IF($B121="","",IFERROR(SUMIFS(存条明细!G:G,存条明细!C:C,$B121,存条明细!D:D,$C121),0))</f>
        <v>3680</v>
      </c>
      <c r="G121" s="14">
        <f>IF($B121="","",IFERROR(SUMIFS(出库明细!E:E,出库明细!C:C,$B121,出库明细!D:D,$C121),0))</f>
        <v>80</v>
      </c>
      <c r="H121" s="156">
        <f>IF($B121="","",IFERROR(SUMIFS(出库明细!G:G,出库明细!C:C,$B121,出库明细!D:D,$C121),0))</f>
        <v>3440</v>
      </c>
      <c r="I121" s="14">
        <f>IF($B121="","",D121-G121)</f>
        <v>0</v>
      </c>
      <c r="J121" s="156">
        <f>IF($B121="","",F121-H121)</f>
        <v>240</v>
      </c>
      <c r="K121" s="179">
        <f>IF($B121="","",MAX(_xlfn.MAXIFS(存条明细!B:B,存条明细!C:C,$B121,存条明细!D:D,$C121),_xlfn.MAXIFS(出库明细!B:B,出库明细!C:C,$B121,出库明细!D:D,$C121)))</f>
        <v>46255.0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 ht="15" customHeight="1" s="71">
      <c r="A122" s="14">
        <f>IF(B122="","",ROW()-3)</f>
        <v>119</v>
      </c>
      <c r="B122" s="14" t="str">
        <f>IF(_辅助!$B122="","",IF(_辅助!$B122&lt;=1000,INDEX(存条明细!$C$4:$C$1003,_辅助!$B122),INDEX(出库明细!$C$4:$C$3003,_辅助!$B122-1000)))</f>
        <v>枫边德华超市</v>
      </c>
      <c r="C122" s="14" t="str">
        <f>IF(_辅助!$B122="","",IF(_辅助!$B122&lt;=1000,INDEX(存条明细!$D$4:$D$1003,_辅助!$B122),INDEX(出库明细!$D$4:$D$3003,_辅助!$B122-1000)))</f>
        <v>港式奶茶</v>
      </c>
      <c r="D122" s="14">
        <f>IF($B122="","",IFERROR(SUMIFS(存条明细!E:E,存条明细!C:C,$B122,存条明细!D:D,$C122),0))</f>
        <v>80</v>
      </c>
      <c r="E122" s="156">
        <f>IF(OR($B122="",N(D122)=0),"",ROUND(F122/D122,2))</f>
        <v>69</v>
      </c>
      <c r="F122" s="156">
        <f>IF($B122="","",IFERROR(SUMIFS(存条明细!G:G,存条明细!C:C,$B122,存条明细!D:D,$C122),0))</f>
        <v>5520</v>
      </c>
      <c r="G122" s="14">
        <f>IF($B122="","",IFERROR(SUMIFS(出库明细!E:E,出库明细!C:C,$B122,出库明细!D:D,$C122),0))</f>
        <v>80</v>
      </c>
      <c r="H122" s="156">
        <f>IF($B122="","",IFERROR(SUMIFS(出库明细!G:G,出库明细!C:C,$B122,出库明细!D:D,$C122),0))</f>
        <v>5520</v>
      </c>
      <c r="I122" s="14">
        <f>IF($B122="","",D122-G122)</f>
        <v>0</v>
      </c>
      <c r="J122" s="156">
        <f>IF($B122="","",F122-H122)</f>
        <v>0</v>
      </c>
      <c r="K122" s="179">
        <f>IF($B122="","",MAX(_xlfn.MAXIFS(存条明细!B:B,存条明细!C:C,$B122,存条明细!D:D,$C122),_xlfn.MAXIFS(出库明细!B:B,出库明细!C:C,$B122,出库明细!D:D,$C122)))</f>
        <v>46255.0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 ht="15" customHeight="1" s="71">
      <c r="A123" s="14">
        <f>IF(B123="","",ROW()-3)</f>
        <v>120</v>
      </c>
      <c r="B123" s="14" t="str">
        <f>IF(_辅助!$B123="","",IF(_辅助!$B123&lt;=1000,INDEX(存条明细!$C$4:$C$1003,_辅助!$B123),INDEX(出库明细!$C$4:$C$3003,_辅助!$B123-1000)))</f>
        <v>枫边德华超市</v>
      </c>
      <c r="C123" s="14" t="str">
        <f>IF(_辅助!$B123="","",IF(_辅助!$B123&lt;=1000,INDEX(存条明细!$D$4:$D$1003,_辅助!$B123),INDEX(出库明细!$D$4:$D$3003,_辅助!$B123-1000)))</f>
        <v>大咖</v>
      </c>
      <c r="D123" s="14">
        <f>IF($B123="","",IFERROR(SUMIFS(存条明细!E:E,存条明细!C:C,$B123,存条明细!D:D,$C123),0))</f>
        <v>80</v>
      </c>
      <c r="E123" s="156">
        <f>IF(OR($B123="",N(D123)=0),"",ROUND(F123/D123,2))</f>
        <v>86</v>
      </c>
      <c r="F123" s="156">
        <f>IF($B123="","",IFERROR(SUMIFS(存条明细!G:G,存条明细!C:C,$B123,存条明细!D:D,$C123),0))</f>
        <v>6880</v>
      </c>
      <c r="G123" s="14">
        <f>IF($B123="","",IFERROR(SUMIFS(出库明细!E:E,出库明细!C:C,$B123,出库明细!D:D,$C123),0))</f>
        <v>80</v>
      </c>
      <c r="H123" s="156">
        <f>IF($B123="","",IFERROR(SUMIFS(出库明细!G:G,出库明细!C:C,$B123,出库明细!D:D,$C123),0))</f>
        <v>6640</v>
      </c>
      <c r="I123" s="14">
        <f>IF($B123="","",D123-G123)</f>
        <v>0</v>
      </c>
      <c r="J123" s="156">
        <f>IF($B123="","",F123-H123)</f>
        <v>240</v>
      </c>
      <c r="K123" s="179">
        <f>IF($B123="","",MAX(_xlfn.MAXIFS(存条明细!B:B,存条明细!C:C,$B123,存条明细!D:D,$C123),_xlfn.MAXIFS(出库明细!B:B,出库明细!C:C,$B123,出库明细!D:D,$C123)))</f>
        <v>46255.0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 ht="15" customHeight="1" s="71">
      <c r="A124" s="14">
        <f>IF(B124="","",ROW()-3)</f>
        <v>121</v>
      </c>
      <c r="B124" s="14" t="str">
        <f>IF(_辅助!$B124="","",IF(_辅助!$B124&lt;=1000,INDEX(存条明细!$C$4:$C$1003,_辅助!$B124),INDEX(出库明细!$C$4:$C$3003,_辅助!$B124-1000)))</f>
        <v>枫边德华超市</v>
      </c>
      <c r="C124" s="14" t="str">
        <f>IF(_辅助!$B124="","",IF(_辅助!$B124&lt;=1000,INDEX(存条明细!$D$4:$D$1003,_辅助!$B124),INDEX(出库明细!$D$4:$D$3003,_辅助!$B124-1000)))</f>
        <v>九制陈皮</v>
      </c>
      <c r="D124" s="14">
        <f>IF($B124="","",IFERROR(SUMIFS(存条明细!E:E,存条明细!C:C,$B124,存条明细!D:D,$C124),0))</f>
        <v>40</v>
      </c>
      <c r="E124" s="156">
        <f>IF(OR($B124="",N(D124)=0),"",ROUND(F124/D124,2))</f>
        <v>47</v>
      </c>
      <c r="F124" s="156">
        <f>IF($B124="","",IFERROR(SUMIFS(存条明细!G:G,存条明细!C:C,$B124,存条明细!D:D,$C124),0))</f>
        <v>1880</v>
      </c>
      <c r="G124" s="14">
        <f>IF($B124="","",IFERROR(SUMIFS(出库明细!E:E,出库明细!C:C,$B124,出库明细!D:D,$C124),0))</f>
        <v>0</v>
      </c>
      <c r="H124" s="156">
        <f>IF($B124="","",IFERROR(SUMIFS(出库明细!G:G,出库明细!C:C,$B124,出库明细!D:D,$C124),0))</f>
        <v>0</v>
      </c>
      <c r="I124" s="14">
        <f>IF($B124="","",D124-G124)</f>
        <v>40</v>
      </c>
      <c r="J124" s="156">
        <f>IF($B124="","",F124-H124)</f>
        <v>1880</v>
      </c>
      <c r="K124" s="179">
        <f>IF($B124="","",MAX(_xlfn.MAXIFS(存条明细!B:B,存条明细!C:C,$B124,存条明细!D:D,$C124),_xlfn.MAXIFS(出库明细!B:B,出库明细!C:C,$B124,出库明细!D:D,$C124)))</f>
        <v>46200.0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 ht="15" customHeight="1" s="71">
      <c r="A125" s="14">
        <f>IF(B125="","",ROW()-3)</f>
        <v>122</v>
      </c>
      <c r="B125" s="14" t="str">
        <f>IF(_辅助!$B125="","",IF(_辅助!$B125&lt;=1000,INDEX(存条明细!$C$4:$C$1003,_辅助!$B125),INDEX(出库明细!$C$4:$C$3003,_辅助!$B125-1000)))</f>
        <v>梅窖建军批发</v>
      </c>
      <c r="C125" s="14" t="str">
        <f>IF(_辅助!$B125="","",IF(_辅助!$B125&lt;=1000,INDEX(存条明细!$D$4:$D$1003,_辅助!$B125),INDEX(出库明细!$D$4:$D$3003,_辅助!$B125-1000)))</f>
        <v>555补水</v>
      </c>
      <c r="D125" s="14">
        <f>IF($B125="","",IFERROR(SUMIFS(存条明细!E:E,存条明细!C:C,$B125,存条明细!D:D,$C125),0))</f>
        <v>60</v>
      </c>
      <c r="E125" s="156">
        <f>IF(OR($B125="",N(D125)=0),"",ROUND(F125/D125,2))</f>
        <v>65</v>
      </c>
      <c r="F125" s="156">
        <f>IF($B125="","",IFERROR(SUMIFS(存条明细!G:G,存条明细!C:C,$B125,存条明细!D:D,$C125),0))</f>
        <v>3900</v>
      </c>
      <c r="G125" s="14">
        <f>IF($B125="","",IFERROR(SUMIFS(出库明细!E:E,出库明细!C:C,$B125,出库明细!D:D,$C125),0))</f>
        <v>50</v>
      </c>
      <c r="H125" s="156">
        <f>IF($B125="","",IFERROR(SUMIFS(出库明细!G:G,出库明细!C:C,$B125,出库明细!D:D,$C125),0))</f>
        <v>3250</v>
      </c>
      <c r="I125" s="14">
        <f>IF($B125="","",D125-G125)</f>
        <v>10</v>
      </c>
      <c r="J125" s="156">
        <f>IF($B125="","",F125-H125)</f>
        <v>650</v>
      </c>
      <c r="K125" s="179">
        <f>IF($B125="","",MAX(_xlfn.MAXIFS(存条明细!B:B,存条明细!C:C,$B125,存条明细!D:D,$C125),_xlfn.MAXIFS(出库明细!B:B,出库明细!C:C,$B125,出库明细!D:D,$C125)))</f>
        <v>46237.0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 ht="15" customHeight="1" s="71">
      <c r="A126" s="14">
        <f>IF(B126="","",ROW()-3)</f>
        <v>123</v>
      </c>
      <c r="B126" s="14" t="str">
        <f>IF(_辅助!$B126="","",IF(_辅助!$B126&lt;=1000,INDEX(存条明细!$C$4:$C$1003,_辅助!$B126),INDEX(出库明细!$C$4:$C$3003,_辅助!$B126-1000)))</f>
        <v>梅窖建军批发</v>
      </c>
      <c r="C126" s="14" t="str">
        <f>IF(_辅助!$B126="","",IF(_辅助!$B126&lt;=1000,INDEX(存条明细!$D$4:$D$1003,_辅助!$B126),INDEX(出库明细!$D$4:$D$3003,_辅助!$B126-1000)))</f>
        <v>1L补水</v>
      </c>
      <c r="D126" s="14">
        <f>IF($B126="","",IFERROR(SUMIFS(存条明细!E:E,存条明细!C:C,$B126,存条明细!D:D,$C126),0))</f>
        <v>80</v>
      </c>
      <c r="E126" s="156">
        <f>IF(OR($B126="",N(D126)=0),"",ROUND(F126/D126,2))</f>
        <v>55</v>
      </c>
      <c r="F126" s="156">
        <f>IF($B126="","",IFERROR(SUMIFS(存条明细!G:G,存条明细!C:C,$B126,存条明细!D:D,$C126),0))</f>
        <v>4400</v>
      </c>
      <c r="G126" s="14">
        <f>IF($B126="","",IFERROR(SUMIFS(出库明细!E:E,出库明细!C:C,$B126,出库明细!D:D,$C126),0))</f>
        <v>40</v>
      </c>
      <c r="H126" s="156">
        <f>IF($B126="","",IFERROR(SUMIFS(出库明细!G:G,出库明细!C:C,$B126,出库明细!D:D,$C126),0))</f>
        <v>2200</v>
      </c>
      <c r="I126" s="14">
        <f>IF($B126="","",D126-G126)</f>
        <v>40</v>
      </c>
      <c r="J126" s="156">
        <f>IF($B126="","",F126-H126)</f>
        <v>2200</v>
      </c>
      <c r="K126" s="179">
        <f>IF($B126="","",MAX(_xlfn.MAXIFS(存条明细!B:B,存条明细!C:C,$B126,存条明细!D:D,$C126),_xlfn.MAXIFS(出库明细!B:B,出库明细!C:C,$B126,出库明细!D:D,$C126)))</f>
        <v>46237.0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 ht="15" customHeight="1" s="71">
      <c r="A127" s="14">
        <f>IF(B127="","",ROW()-3)</f>
        <v>124</v>
      </c>
      <c r="B127" s="14" t="str">
        <f>IF(_辅助!$B127="","",IF(_辅助!$B127&lt;=1000,INDEX(存条明细!$C$4:$C$1003,_辅助!$B127),INDEX(出库明细!$C$4:$C$3003,_辅助!$B127-1000)))</f>
        <v>梅窖建军批发</v>
      </c>
      <c r="C127" s="14" t="str">
        <f>IF(_辅助!$B127="","",IF(_辅助!$B127&lt;=1000,INDEX(存条明细!$D$4:$D$1003,_辅助!$B127),INDEX(出库明细!$D$4:$D$3003,_辅助!$B127-1000)))</f>
        <v>小果之茶</v>
      </c>
      <c r="D127" s="14">
        <f>IF($B127="","",IFERROR(SUMIFS(存条明细!E:E,存条明细!C:C,$B127,存条明细!D:D,$C127),0))</f>
        <v>0</v>
      </c>
      <c r="E127" s="156">
        <f>IF(OR($B127="",N(D127)=0),"",ROUND(F127/D127,2))</f>
      </c>
      <c r="F127" s="156">
        <f>IF($B127="","",IFERROR(SUMIFS(存条明细!G:G,存条明细!C:C,$B127,存条明细!D:D,$C127),0))</f>
        <v>0</v>
      </c>
      <c r="G127" s="14">
        <f>IF($B127="","",IFERROR(SUMIFS(出库明细!E:E,出库明细!C:C,$B127,出库明细!D:D,$C127),0))</f>
        <v>10</v>
      </c>
      <c r="H127" s="156">
        <f>IF($B127="","",IFERROR(SUMIFS(出库明细!G:G,出库明细!C:C,$B127,出库明细!D:D,$C127),0))</f>
        <v>470</v>
      </c>
      <c r="I127" s="14">
        <f>IF($B127="","",D127-G127)</f>
        <v>-10</v>
      </c>
      <c r="J127" s="156">
        <f>IF($B127="","",F127-H127)</f>
        <v>-470</v>
      </c>
      <c r="K127" s="179">
        <f>IF($B127="","",MAX(_xlfn.MAXIFS(存条明细!B:B,存条明细!C:C,$B127,存条明细!D:D,$C127),_xlfn.MAXIFS(出库明细!B:B,出库明细!C:C,$B127,出库明细!D:D,$C127)))</f>
        <v>46273.0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 ht="15" customHeight="1" s="71">
      <c r="A128" s="14">
        <f>IF(B128="","",ROW()-3)</f>
        <v>125</v>
      </c>
      <c r="B128" s="14" t="str">
        <f>IF(_辅助!$B128="","",IF(_辅助!$B128&lt;=1000,INDEX(存条明细!$C$4:$C$1003,_辅助!$B128),INDEX(出库明细!$C$4:$C$3003,_辅助!$B128-1000)))</f>
        <v>梅窖建军批发</v>
      </c>
      <c r="C128" s="14" t="str">
        <f>IF(_辅助!$B128="","",IF(_辅助!$B128&lt;=1000,INDEX(存条明细!$D$4:$D$1003,_辅助!$B128),INDEX(出库明细!$D$4:$D$3003,_辅助!$B128-1000)))</f>
        <v>1L果之茶</v>
      </c>
      <c r="D128" s="14">
        <f>IF($B128="","",IFERROR(SUMIFS(存条明细!E:E,存条明细!C:C,$B128,存条明细!D:D,$C128),0))</f>
        <v>80</v>
      </c>
      <c r="E128" s="156">
        <f>IF(OR($B128="",N(D128)=0),"",ROUND(F128/D128,2))</f>
        <v>43</v>
      </c>
      <c r="F128" s="156">
        <f>IF($B128="","",IFERROR(SUMIFS(存条明细!G:G,存条明细!C:C,$B128,存条明细!D:D,$C128),0))</f>
        <v>3440</v>
      </c>
      <c r="G128" s="14">
        <f>IF($B128="","",IFERROR(SUMIFS(出库明细!E:E,出库明细!C:C,$B128,出库明细!D:D,$C128),0))</f>
        <v>60</v>
      </c>
      <c r="H128" s="156">
        <f>IF($B128="","",IFERROR(SUMIFS(出库明细!G:G,出库明细!C:C,$B128,出库明细!D:D,$C128),0))</f>
        <v>2580</v>
      </c>
      <c r="I128" s="14">
        <f>IF($B128="","",D128-G128)</f>
        <v>20</v>
      </c>
      <c r="J128" s="156">
        <f>IF($B128="","",F128-H128)</f>
        <v>860</v>
      </c>
      <c r="K128" s="179">
        <f>IF($B128="","",MAX(_xlfn.MAXIFS(存条明细!B:B,存条明细!C:C,$B128,存条明细!D:D,$C128),_xlfn.MAXIFS(出库明细!B:B,出库明细!C:C,$B128,出库明细!D:D,$C128)))</f>
        <v>46259.0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 ht="15" customHeight="1" s="71">
      <c r="A129" s="14">
        <f>IF(B129="","",ROW()-3)</f>
        <v>126</v>
      </c>
      <c r="B129" s="14" t="str">
        <f>IF(_辅助!$B129="","",IF(_辅助!$B129&lt;=1000,INDEX(存条明细!$C$4:$C$1003,_辅助!$B129),INDEX(出库明细!$C$4:$C$3003,_辅助!$B129-1000)))</f>
        <v>高兴美宜佳</v>
      </c>
      <c r="C129" s="14" t="str">
        <f>IF(_辅助!$B129="","",IF(_辅助!$B129&lt;=1000,INDEX(存条明细!$D$4:$D$1003,_辅助!$B129),INDEX(出库明细!$D$4:$D$3003,_辅助!$B129-1000)))</f>
        <v>大东鹏</v>
      </c>
      <c r="D129" s="14">
        <f>IF($B129="","",IFERROR(SUMIFS(存条明细!E:E,存条明细!C:C,$B129,存条明细!D:D,$C129),0))</f>
        <v>100</v>
      </c>
      <c r="E129" s="156">
        <f>IF(OR($B129="",N(D129)=0),"",ROUND(F129/D129,2))</f>
        <v>90</v>
      </c>
      <c r="F129" s="156">
        <f>IF($B129="","",IFERROR(SUMIFS(存条明细!G:G,存条明细!C:C,$B129,存条明细!D:D,$C129),0))</f>
        <v>9000</v>
      </c>
      <c r="G129" s="14">
        <f>IF($B129="","",IFERROR(SUMIFS(出库明细!E:E,出库明细!C:C,$B129,出库明细!D:D,$C129),0))</f>
        <v>100</v>
      </c>
      <c r="H129" s="156">
        <f>IF($B129="","",IFERROR(SUMIFS(出库明细!G:G,出库明细!C:C,$B129,出库明细!D:D,$C129),0))</f>
        <v>9000</v>
      </c>
      <c r="I129" s="14">
        <f>IF($B129="","",D129-G129)</f>
        <v>0</v>
      </c>
      <c r="J129" s="156">
        <f>IF($B129="","",F129-H129)</f>
        <v>0</v>
      </c>
      <c r="K129" s="179">
        <f>IF($B129="","",MAX(_xlfn.MAXIFS(存条明细!B:B,存条明细!C:C,$B129,存条明细!D:D,$C129),_xlfn.MAXIFS(出库明细!B:B,出库明细!C:C,$B129,出库明细!D:D,$C129)))</f>
        <v>46263.0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 ht="15" customHeight="1" s="71">
      <c r="A130" s="14">
        <f>IF(B130="","",ROW()-3)</f>
        <v>127</v>
      </c>
      <c r="B130" s="14" t="str">
        <f>IF(_辅助!$B130="","",IF(_辅助!$B130&lt;=1000,INDEX(存条明细!$C$4:$C$1003,_辅助!$B130),INDEX(出库明细!$C$4:$C$3003,_辅助!$B130-1000)))</f>
        <v>永丰焦溪兰兰副食</v>
      </c>
      <c r="C130" s="14" t="str">
        <f>IF(_辅助!$B130="","",IF(_辅助!$B130&lt;=1000,INDEX(存条明细!$D$4:$D$1003,_辅助!$B130),INDEX(出库明细!$D$4:$D$3003,_辅助!$B130-1000)))</f>
        <v>1L补水</v>
      </c>
      <c r="D130" s="14">
        <f>IF($B130="","",IFERROR(SUMIFS(存条明细!E:E,存条明细!C:C,$B130,存条明细!D:D,$C130),0))</f>
        <v>0</v>
      </c>
      <c r="E130" s="156">
        <f>IF(OR($B130="",N(D130)=0),"",ROUND(F130/D130,2))</f>
      </c>
      <c r="F130" s="156">
        <f>IF($B130="","",IFERROR(SUMIFS(存条明细!G:G,存条明细!C:C,$B130,存条明细!D:D,$C130),0))</f>
        <v>0</v>
      </c>
      <c r="G130" s="14">
        <f>IF($B130="","",IFERROR(SUMIFS(出库明细!E:E,出库明细!C:C,$B130,出库明细!D:D,$C130),0))</f>
        <v>3</v>
      </c>
      <c r="H130" s="156">
        <f>IF($B130="","",IFERROR(SUMIFS(出库明细!G:G,出库明细!C:C,$B130,出库明细!D:D,$C130),0))</f>
        <v>174</v>
      </c>
      <c r="I130" s="14">
        <f>IF($B130="","",D130-G130)</f>
        <v>-3</v>
      </c>
      <c r="J130" s="156">
        <f>IF($B130="","",F130-H130)</f>
        <v>-174</v>
      </c>
      <c r="K130" s="179">
        <f>IF($B130="","",MAX(_xlfn.MAXIFS(存条明细!B:B,存条明细!C:C,$B130,存条明细!D:D,$C130),_xlfn.MAXIFS(出库明细!B:B,出库明细!C:C,$B130,出库明细!D:D,$C130)))</f>
        <v>46273.0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 ht="15" customHeight="1" s="71">
      <c r="A131" s="14">
        <f>IF(B131="","",ROW()-3)</f>
        <v>128</v>
      </c>
      <c r="B131" s="14" t="str">
        <f>IF(_辅助!$B131="","",IF(_辅助!$B131&lt;=1000,INDEX(存条明细!$C$4:$C$1003,_辅助!$B131),INDEX(出库明细!$C$4:$C$3003,_辅助!$B131-1000)))</f>
        <v>永丰焦溪兰兰副食</v>
      </c>
      <c r="C131" s="14" t="str">
        <f>IF(_辅助!$B131="","",IF(_辅助!$B131&lt;=1000,INDEX(存条明细!$D$4:$D$1003,_辅助!$B131),INDEX(出库明细!$D$4:$D$3003,_辅助!$B131-1000)))</f>
        <v>小果之茶</v>
      </c>
      <c r="D131" s="14">
        <f>IF($B131="","",IFERROR(SUMIFS(存条明细!E:E,存条明细!C:C,$B131,存条明细!D:D,$C131),0))</f>
        <v>0</v>
      </c>
      <c r="E131" s="156">
        <f>IF(OR($B131="",N(D131)=0),"",ROUND(F131/D131,2))</f>
      </c>
      <c r="F131" s="156">
        <f>IF($B131="","",IFERROR(SUMIFS(存条明细!G:G,存条明细!C:C,$B131,存条明细!D:D,$C131),0))</f>
        <v>0</v>
      </c>
      <c r="G131" s="14">
        <f>IF($B131="","",IFERROR(SUMIFS(出库明细!E:E,出库明细!C:C,$B131,出库明细!D:D,$C131),0))</f>
        <v>6</v>
      </c>
      <c r="H131" s="156">
        <f>IF($B131="","",IFERROR(SUMIFS(出库明细!G:G,出库明细!C:C,$B131,出库明细!D:D,$C131),0))</f>
        <v>300</v>
      </c>
      <c r="I131" s="14">
        <f>IF($B131="","",D131-G131)</f>
        <v>-6</v>
      </c>
      <c r="J131" s="156">
        <f>IF($B131="","",F131-H131)</f>
        <v>-300</v>
      </c>
      <c r="K131" s="179">
        <f>IF($B131="","",MAX(_xlfn.MAXIFS(存条明细!B:B,存条明细!C:C,$B131,存条明细!D:D,$C131),_xlfn.MAXIFS(出库明细!B:B,出库明细!C:C,$B131,出库明细!D:D,$C131)))</f>
        <v>46246.0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 ht="15" customHeight="1" s="71">
      <c r="A132" s="14">
        <f>IF(B132="","",ROW()-3)</f>
        <v>129</v>
      </c>
      <c r="B132" s="14" t="str">
        <f>IF(_辅助!$B132="","",IF(_辅助!$B132&lt;=1000,INDEX(存条明细!$C$4:$C$1003,_辅助!$B132),INDEX(出库明细!$C$4:$C$3003,_辅助!$B132-1000)))</f>
        <v>永丰焦溪兰兰副食</v>
      </c>
      <c r="C132" s="14" t="str">
        <f>IF(_辅助!$B132="","",IF(_辅助!$B132&lt;=1000,INDEX(存条明细!$D$4:$D$1003,_辅助!$B132),INDEX(出库明细!$D$4:$D$3003,_辅助!$B132-1000)))</f>
        <v>1L果之茶</v>
      </c>
      <c r="D132" s="14">
        <f>IF($B132="","",IFERROR(SUMIFS(存条明细!E:E,存条明细!C:C,$B132,存条明细!D:D,$C132),0))</f>
        <v>0</v>
      </c>
      <c r="E132" s="156">
        <f>IF(OR($B132="",N(D132)=0),"",ROUND(F132/D132,2))</f>
      </c>
      <c r="F132" s="156">
        <f>IF($B132="","",IFERROR(SUMIFS(存条明细!G:G,存条明细!C:C,$B132,存条明细!D:D,$C132),0))</f>
        <v>0</v>
      </c>
      <c r="G132" s="14">
        <f>IF($B132="","",IFERROR(SUMIFS(出库明细!E:E,出库明细!C:C,$B132,出库明细!D:D,$C132),0))</f>
        <v>1</v>
      </c>
      <c r="H132" s="156">
        <f>IF($B132="","",IFERROR(SUMIFS(出库明细!G:G,出库明细!C:C,$B132,出库明细!D:D,$C132),0))</f>
        <v>46</v>
      </c>
      <c r="I132" s="14">
        <f>IF($B132="","",D132-G132)</f>
        <v>-1</v>
      </c>
      <c r="J132" s="156">
        <f>IF($B132="","",F132-H132)</f>
        <v>-46</v>
      </c>
      <c r="K132" s="179">
        <f>IF($B132="","",MAX(_xlfn.MAXIFS(存条明细!B:B,存条明细!C:C,$B132,存条明细!D:D,$C132),_xlfn.MAXIFS(出库明细!B:B,出库明细!C:C,$B132,出库明细!D:D,$C132)))</f>
        <v>46273.0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 ht="15" customHeight="1" s="71">
      <c r="A133" s="14">
        <f>IF(B133="","",ROW()-3)</f>
        <v>130</v>
      </c>
      <c r="B133" s="14" t="str">
        <f>IF(_辅助!$B133="","",IF(_辅助!$B133&lt;=1000,INDEX(存条明细!$C$4:$C$1003,_辅助!$B133),INDEX(出库明细!$C$4:$C$3003,_辅助!$B133-1000)))</f>
        <v>永丰焦溪兰兰副食</v>
      </c>
      <c r="C133" s="14" t="str">
        <f>IF(_辅助!$B133="","",IF(_辅助!$B133&lt;=1000,INDEX(存条明细!$D$4:$D$1003,_辅助!$B133),INDEX(出库明细!$D$4:$D$3003,_辅助!$B133-1000)))</f>
        <v>大咖</v>
      </c>
      <c r="D133" s="14">
        <f>IF($B133="","",IFERROR(SUMIFS(存条明细!E:E,存条明细!C:C,$B133,存条明细!D:D,$C133),0))</f>
        <v>0</v>
      </c>
      <c r="E133" s="156">
        <f>IF(OR($B133="",N(D133)=0),"",ROUND(F133/D133,2))</f>
      </c>
      <c r="F133" s="156">
        <f>IF($B133="","",IFERROR(SUMIFS(存条明细!G:G,存条明细!C:C,$B133,存条明细!D:D,$C133),0))</f>
        <v>0</v>
      </c>
      <c r="G133" s="14">
        <f>IF($B133="","",IFERROR(SUMIFS(出库明细!E:E,出库明细!C:C,$B133,出库明细!D:D,$C133),0))</f>
        <v>1</v>
      </c>
      <c r="H133" s="156">
        <f>IF($B133="","",IFERROR(SUMIFS(出库明细!G:G,出库明细!C:C,$B133,出库明细!D:D,$C133),0))</f>
        <v>86</v>
      </c>
      <c r="I133" s="14">
        <f>IF($B133="","",D133-G133)</f>
        <v>-1</v>
      </c>
      <c r="J133" s="156">
        <f>IF($B133="","",F133-H133)</f>
        <v>-86</v>
      </c>
      <c r="K133" s="179">
        <f>IF($B133="","",MAX(_xlfn.MAXIFS(存条明细!B:B,存条明细!C:C,$B133,存条明细!D:D,$C133),_xlfn.MAXIFS(出库明细!B:B,出库明细!C:C,$B133,出库明细!D:D,$C133)))</f>
        <v>46273.0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 ht="15" customHeight="1" s="71">
      <c r="A134" s="14">
        <f>IF(B134="","",ROW()-3)</f>
        <v>131</v>
      </c>
      <c r="B134" s="14" t="str">
        <f>IF(_辅助!$B134="","",IF(_辅助!$B134&lt;=1000,INDEX(存条明细!$C$4:$C$1003,_辅助!$B134),INDEX(出库明细!$C$4:$C$3003,_辅助!$B134-1000)))</f>
        <v>永丰焦溪兰兰副食</v>
      </c>
      <c r="C134" s="14" t="str">
        <f>IF(_辅助!$B134="","",IF(_辅助!$B134&lt;=1000,INDEX(存条明细!$D$4:$D$1003,_辅助!$B134),INDEX(出库明细!$D$4:$D$3003,_辅助!$B134-1000)))</f>
        <v>1L焙好茶</v>
      </c>
      <c r="D134" s="14">
        <f>IF($B134="","",IFERROR(SUMIFS(存条明细!E:E,存条明细!C:C,$B134,存条明细!D:D,$C134),0))</f>
        <v>0</v>
      </c>
      <c r="E134" s="156">
        <f>IF(OR($B134="",N(D134)=0),"",ROUND(F134/D134,2))</f>
      </c>
      <c r="F134" s="156">
        <f>IF($B134="","",IFERROR(SUMIFS(存条明细!G:G,存条明细!C:C,$B134,存条明细!D:D,$C134),0))</f>
        <v>0</v>
      </c>
      <c r="G134" s="14">
        <f>IF($B134="","",IFERROR(SUMIFS(出库明细!E:E,出库明细!C:C,$B134,出库明细!D:D,$C134),0))</f>
        <v>1</v>
      </c>
      <c r="H134" s="156">
        <f>IF($B134="","",IFERROR(SUMIFS(出库明细!G:G,出库明细!C:C,$B134,出库明细!D:D,$C134),0))</f>
        <v>46</v>
      </c>
      <c r="I134" s="14">
        <f>IF($B134="","",D134-G134)</f>
        <v>-1</v>
      </c>
      <c r="J134" s="156">
        <f>IF($B134="","",F134-H134)</f>
        <v>-46</v>
      </c>
      <c r="K134" s="179">
        <f>IF($B134="","",MAX(_xlfn.MAXIFS(存条明细!B:B,存条明细!C:C,$B134,存条明细!D:D,$C134),_xlfn.MAXIFS(出库明细!B:B,出库明细!C:C,$B134,出库明细!D:D,$C134)))</f>
        <v>46273.0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 ht="15" customHeight="1" s="71">
      <c r="A135" s="14">
        <f>IF(B135="","",ROW()-3)</f>
        <v>132</v>
      </c>
      <c r="B135" s="14" t="str">
        <f>IF(_辅助!$B135="","",IF(_辅助!$B135&lt;=1000,INDEX(存条明细!$C$4:$C$1003,_辅助!$B135),INDEX(出库明细!$C$4:$C$3003,_辅助!$B135-1000)))</f>
        <v>永丰焦溪兰兰副食</v>
      </c>
      <c r="C135" s="14" t="str">
        <f>IF(_辅助!$B135="","",IF(_辅助!$B135&lt;=1000,INDEX(存条明细!$D$4:$D$1003,_辅助!$B135),INDEX(出库明细!$D$4:$D$3003,_辅助!$B135-1000)))</f>
        <v>大鹏</v>
      </c>
      <c r="D135" s="14">
        <f>IF($B135="","",IFERROR(SUMIFS(存条明细!E:E,存条明细!C:C,$B135,存条明细!D:D,$C135),0))</f>
        <v>0</v>
      </c>
      <c r="E135" s="156">
        <f>IF(OR($B135="",N(D135)=0),"",ROUND(F135/D135,2))</f>
      </c>
      <c r="F135" s="156">
        <f>IF($B135="","",IFERROR(SUMIFS(存条明细!G:G,存条明细!C:C,$B135,存条明细!D:D,$C135),0))</f>
        <v>0</v>
      </c>
      <c r="G135" s="14">
        <f>IF($B135="","",IFERROR(SUMIFS(出库明细!E:E,出库明细!C:C,$B135,出库明细!D:D,$C135),0))</f>
        <v>1</v>
      </c>
      <c r="H135" s="156">
        <f>IF($B135="","",IFERROR(SUMIFS(出库明细!G:G,出库明细!C:C,$B135,出库明细!D:D,$C135),0))</f>
        <v>86</v>
      </c>
      <c r="I135" s="14">
        <f>IF($B135="","",D135-G135)</f>
        <v>-1</v>
      </c>
      <c r="J135" s="156">
        <f>IF($B135="","",F135-H135)</f>
        <v>-86</v>
      </c>
      <c r="K135" s="179">
        <f>IF($B135="","",MAX(_xlfn.MAXIFS(存条明细!B:B,存条明细!C:C,$B135,存条明细!D:D,$C135),_xlfn.MAXIFS(出库明细!B:B,出库明细!C:C,$B135,出库明细!D:D,$C135)))</f>
        <v>46273.0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 ht="15" customHeight="1" s="71">
      <c r="A136" s="14">
        <f>IF(B136="","",ROW()-3)</f>
        <v>133</v>
      </c>
      <c r="B136" s="14" t="str">
        <f>IF(_辅助!$B136="","",IF(_辅助!$B136&lt;=1000,INDEX(存条明细!$C$4:$C$1003,_辅助!$B136),INDEX(出库明细!$C$4:$C$3003,_辅助!$B136-1000)))</f>
        <v>高兴枫树平价超市</v>
      </c>
      <c r="C136" s="14" t="str">
        <f>IF(_辅助!$B136="","",IF(_辅助!$B136&lt;=1000,INDEX(存条明细!$D$4:$D$1003,_辅助!$B136),INDEX(出库明细!$D$4:$D$3003,_辅助!$B136-1000)))</f>
        <v>555补水</v>
      </c>
      <c r="D136" s="14">
        <f>IF($B136="","",IFERROR(SUMIFS(存条明细!E:E,存条明细!C:C,$B136,存条明细!D:D,$C136),0))</f>
        <v>0</v>
      </c>
      <c r="E136" s="156">
        <f>IF(OR($B136="",N(D136)=0),"",ROUND(F136/D136,2))</f>
      </c>
      <c r="F136" s="156">
        <f>IF($B136="","",IFERROR(SUMIFS(存条明细!G:G,存条明细!C:C,$B136,存条明细!D:D,$C136),0))</f>
        <v>0</v>
      </c>
      <c r="G136" s="14">
        <f>IF($B136="","",IFERROR(SUMIFS(出库明细!E:E,出库明细!C:C,$B136,出库明细!D:D,$C136),0))</f>
        <v>5</v>
      </c>
      <c r="H136" s="156">
        <f>IF($B136="","",IFERROR(SUMIFS(出库明细!G:G,出库明细!C:C,$B136,出库明细!D:D,$C136),0))</f>
        <v>209</v>
      </c>
      <c r="I136" s="14">
        <f>IF($B136="","",D136-G136)</f>
        <v>-5</v>
      </c>
      <c r="J136" s="156">
        <f>IF($B136="","",F136-H136)</f>
        <v>-209</v>
      </c>
      <c r="K136" s="179">
        <f>IF($B136="","",MAX(_xlfn.MAXIFS(存条明细!B:B,存条明细!C:C,$B136,存条明细!D:D,$C136),_xlfn.MAXIFS(出库明细!B:B,出库明细!C:C,$B136,出库明细!D:D,$C136)))</f>
        <v>46274.0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 ht="15" customHeight="1" s="71">
      <c r="A137" s="14">
        <f>IF(B137="","",ROW()-3)</f>
        <v>134</v>
      </c>
      <c r="B137" s="14" t="str">
        <f>IF(_辅助!$B137="","",IF(_辅助!$B137&lt;=1000,INDEX(存条明细!$C$4:$C$1003,_辅助!$B137),INDEX(出库明细!$C$4:$C$3003,_辅助!$B137-1000)))</f>
        <v>高兴枫树平价超市</v>
      </c>
      <c r="C137" s="14" t="str">
        <f>IF(_辅助!$B137="","",IF(_辅助!$B137&lt;=1000,INDEX(存条明细!$D$4:$D$1003,_辅助!$B137),INDEX(出库明细!$D$4:$D$3003,_辅助!$B137-1000)))</f>
        <v>1L补水</v>
      </c>
      <c r="D137" s="14">
        <f>IF($B137="","",IFERROR(SUMIFS(存条明细!E:E,存条明细!C:C,$B137,存条明细!D:D,$C137),0))</f>
        <v>0</v>
      </c>
      <c r="E137" s="156">
        <f>IF(OR($B137="",N(D137)=0),"",ROUND(F137/D137,2))</f>
      </c>
      <c r="F137" s="156">
        <f>IF($B137="","",IFERROR(SUMIFS(存条明细!G:G,存条明细!C:C,$B137,存条明细!D:D,$C137),0))</f>
        <v>0</v>
      </c>
      <c r="G137" s="14">
        <f>IF($B137="","",IFERROR(SUMIFS(出库明细!E:E,出库明细!C:C,$B137,出库明细!D:D,$C137),0))</f>
        <v>2</v>
      </c>
      <c r="H137" s="156">
        <f>IF($B137="","",IFERROR(SUMIFS(出库明细!G:G,出库明细!C:C,$B137,出库明细!D:D,$C137),0))</f>
        <v>116</v>
      </c>
      <c r="I137" s="14">
        <f>IF($B137="","",D137-G137)</f>
        <v>-2</v>
      </c>
      <c r="J137" s="156">
        <f>IF($B137="","",F137-H137)</f>
        <v>-116</v>
      </c>
      <c r="K137" s="179">
        <f>IF($B137="","",MAX(_xlfn.MAXIFS(存条明细!B:B,存条明细!C:C,$B137,存条明细!D:D,$C137),_xlfn.MAXIFS(出库明细!B:B,出库明细!C:C,$B137,出库明细!D:D,$C137)))</f>
        <v>46210.0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 ht="15" customHeight="1" s="71">
      <c r="A138" s="14">
        <f>IF(B138="","",ROW()-3)</f>
        <v>135</v>
      </c>
      <c r="B138" s="14" t="str">
        <f>IF(_辅助!$B138="","",IF(_辅助!$B138&lt;=1000,INDEX(存条明细!$C$4:$C$1003,_辅助!$B138),INDEX(出库明细!$C$4:$C$3003,_辅助!$B138-1000)))</f>
        <v>高兴枫树平价超市</v>
      </c>
      <c r="C138" s="14" t="str">
        <f>IF(_辅助!$B138="","",IF(_辅助!$B138&lt;=1000,INDEX(存条明细!$D$4:$D$1003,_辅助!$B138),INDEX(出库明细!$D$4:$D$3003,_辅助!$B138-1000)))</f>
        <v>小果之茶</v>
      </c>
      <c r="D138" s="14">
        <f>IF($B138="","",IFERROR(SUMIFS(存条明细!E:E,存条明细!C:C,$B138,存条明细!D:D,$C138),0))</f>
        <v>0</v>
      </c>
      <c r="E138" s="156">
        <f>IF(OR($B138="",N(D138)=0),"",ROUND(F138/D138,2))</f>
      </c>
      <c r="F138" s="156">
        <f>IF($B138="","",IFERROR(SUMIFS(存条明细!G:G,存条明细!C:C,$B138,存条明细!D:D,$C138),0))</f>
        <v>0</v>
      </c>
      <c r="G138" s="14">
        <f>IF($B138="","",IFERROR(SUMIFS(出库明细!E:E,出库明细!C:C,$B138,出库明细!D:D,$C138),0))</f>
        <v>6</v>
      </c>
      <c r="H138" s="156">
        <f>IF($B138="","",IFERROR(SUMIFS(出库明细!G:G,出库明细!C:C,$B138,出库明细!D:D,$C138),0))</f>
        <v>300</v>
      </c>
      <c r="I138" s="14">
        <f>IF($B138="","",D138-G138)</f>
        <v>-6</v>
      </c>
      <c r="J138" s="156">
        <f>IF($B138="","",F138-H138)</f>
        <v>-300</v>
      </c>
      <c r="K138" s="179">
        <f>IF($B138="","",MAX(_xlfn.MAXIFS(存条明细!B:B,存条明细!C:C,$B138,存条明细!D:D,$C138),_xlfn.MAXIFS(出库明细!B:B,出库明细!C:C,$B138,出库明细!D:D,$C138)))</f>
        <v>46254.0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 ht="15" customHeight="1" s="71">
      <c r="A139" s="14">
        <f>IF(B139="","",ROW()-3)</f>
        <v>136</v>
      </c>
      <c r="B139" s="14" t="str">
        <f>IF(_辅助!$B139="","",IF(_辅助!$B139&lt;=1000,INDEX(存条明细!$C$4:$C$1003,_辅助!$B139),INDEX(出库明细!$C$4:$C$3003,_辅助!$B139-1000)))</f>
        <v>高兴枫树平价超市</v>
      </c>
      <c r="C139" s="14" t="str">
        <f>IF(_辅助!$B139="","",IF(_辅助!$B139&lt;=1000,INDEX(存条明细!$D$4:$D$1003,_辅助!$B139),INDEX(出库明细!$D$4:$D$3003,_辅助!$B139-1000)))</f>
        <v>1L果之茶</v>
      </c>
      <c r="D139" s="14">
        <f>IF($B139="","",IFERROR(SUMIFS(存条明细!E:E,存条明细!C:C,$B139,存条明细!D:D,$C139),0))</f>
        <v>0</v>
      </c>
      <c r="E139" s="156">
        <f>IF(OR($B139="",N(D139)=0),"",ROUND(F139/D139,2))</f>
      </c>
      <c r="F139" s="156">
        <f>IF($B139="","",IFERROR(SUMIFS(存条明细!G:G,存条明细!C:C,$B139,存条明细!D:D,$C139),0))</f>
        <v>0</v>
      </c>
      <c r="G139" s="14">
        <f>IF($B139="","",IFERROR(SUMIFS(出库明细!E:E,出库明细!C:C,$B139,出库明细!D:D,$C139),0))</f>
        <v>6</v>
      </c>
      <c r="H139" s="156">
        <f>IF($B139="","",IFERROR(SUMIFS(出库明细!G:G,出库明细!C:C,$B139,出库明细!D:D,$C139),0))</f>
        <v>276</v>
      </c>
      <c r="I139" s="14">
        <f>IF($B139="","",D139-G139)</f>
        <v>-6</v>
      </c>
      <c r="J139" s="156">
        <f>IF($B139="","",F139-H139)</f>
        <v>-276</v>
      </c>
      <c r="K139" s="179">
        <f>IF($B139="","",MAX(_xlfn.MAXIFS(存条明细!B:B,存条明细!C:C,$B139,存条明细!D:D,$C139),_xlfn.MAXIFS(出库明细!B:B,出库明细!C:C,$B139,出库明细!D:D,$C139)))</f>
        <v>46254.0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 ht="15" customHeight="1" s="71">
      <c r="A140" s="14">
        <f>IF(B140="","",ROW()-3)</f>
        <v>137</v>
      </c>
      <c r="B140" s="14" t="str">
        <f>IF(_辅助!$B140="","",IF(_辅助!$B140&lt;=1000,INDEX(存条明细!$C$4:$C$1003,_辅助!$B140),INDEX(出库明细!$C$4:$C$3003,_辅助!$B140-1000)))</f>
        <v>高兴枫树平价超市</v>
      </c>
      <c r="C140" s="14" t="str">
        <f>IF(_辅助!$B140="","",IF(_辅助!$B140&lt;=1000,INDEX(存条明细!$D$4:$D$1003,_辅助!$B140),INDEX(出库明细!$D$4:$D$3003,_辅助!$B140-1000)))</f>
        <v>大咖</v>
      </c>
      <c r="D140" s="14">
        <f>IF($B140="","",IFERROR(SUMIFS(存条明细!E:E,存条明细!C:C,$B140,存条明细!D:D,$C140),0))</f>
        <v>0</v>
      </c>
      <c r="E140" s="156">
        <f>IF(OR($B140="",N(D140)=0),"",ROUND(F140/D140,2))</f>
      </c>
      <c r="F140" s="156">
        <f>IF($B140="","",IFERROR(SUMIFS(存条明细!G:G,存条明细!C:C,$B140,存条明细!D:D,$C140),0))</f>
        <v>0</v>
      </c>
      <c r="G140" s="14">
        <f>IF($B140="","",IFERROR(SUMIFS(出库明细!E:E,出库明细!C:C,$B140,出库明细!D:D,$C140),0))</f>
        <v>1</v>
      </c>
      <c r="H140" s="156">
        <f>IF($B140="","",IFERROR(SUMIFS(出库明细!G:G,出库明细!C:C,$B140,出库明细!D:D,$C140),0))</f>
        <v>86</v>
      </c>
      <c r="I140" s="14">
        <f>IF($B140="","",D140-G140)</f>
        <v>-1</v>
      </c>
      <c r="J140" s="156">
        <f>IF($B140="","",F140-H140)</f>
        <v>-86</v>
      </c>
      <c r="K140" s="179">
        <f>IF($B140="","",MAX(_xlfn.MAXIFS(存条明细!B:B,存条明细!C:C,$B140,存条明细!D:D,$C140),_xlfn.MAXIFS(出库明细!B:B,出库明细!C:C,$B140,出库明细!D:D,$C140)))</f>
        <v>46274.0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 ht="15" customHeight="1" s="71">
      <c r="A141" s="14">
        <f>IF(B141="","",ROW()-3)</f>
        <v>138</v>
      </c>
      <c r="B141" s="14" t="str">
        <f>IF(_辅助!$B141="","",IF(_辅助!$B141&lt;=1000,INDEX(存条明细!$C$4:$C$1003,_辅助!$B141),INDEX(出库明细!$C$4:$C$3003,_辅助!$B141-1000)))</f>
        <v>高兴枫树平价超市</v>
      </c>
      <c r="C141" s="14" t="str">
        <f>IF(_辅助!$B141="","",IF(_辅助!$B141&lt;=1000,INDEX(存条明细!$D$4:$D$1003,_辅助!$B141),INDEX(出库明细!$D$4:$D$3003,_辅助!$B141-1000)))</f>
        <v>555椰子水</v>
      </c>
      <c r="D141" s="14">
        <f>IF($B141="","",IFERROR(SUMIFS(存条明细!E:E,存条明细!C:C,$B141,存条明细!D:D,$C141),0))</f>
        <v>0</v>
      </c>
      <c r="E141" s="156">
        <f>IF(OR($B141="",N(D141)=0),"",ROUND(F141/D141,2))</f>
      </c>
      <c r="F141" s="156">
        <f>IF($B141="","",IFERROR(SUMIFS(存条明细!G:G,存条明细!C:C,$B141,存条明细!D:D,$C141),0))</f>
        <v>0</v>
      </c>
      <c r="G141" s="14">
        <f>IF($B141="","",IFERROR(SUMIFS(出库明细!E:E,出库明细!C:C,$B141,出库明细!D:D,$C141),0))</f>
        <v>1</v>
      </c>
      <c r="H141" s="156">
        <f>IF($B141="","",IFERROR(SUMIFS(出库明细!G:G,出库明细!C:C,$B141,出库明细!D:D,$C141),0))</f>
        <v>93</v>
      </c>
      <c r="I141" s="14">
        <f>IF($B141="","",D141-G141)</f>
        <v>-1</v>
      </c>
      <c r="J141" s="156">
        <f>IF($B141="","",F141-H141)</f>
        <v>-93</v>
      </c>
      <c r="K141" s="179">
        <f>IF($B141="","",MAX(_xlfn.MAXIFS(存条明细!B:B,存条明细!C:C,$B141,存条明细!D:D,$C141),_xlfn.MAXIFS(出库明细!B:B,出库明细!C:C,$B141,出库明细!D:D,$C141)))</f>
        <v>46274.0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 ht="15" customHeight="1" s="71">
      <c r="A142" s="14">
        <f>IF(B142="","",ROW()-3)</f>
        <v>139</v>
      </c>
      <c r="B142" s="14" t="str">
        <f>IF(_辅助!$B142="","",IF(_辅助!$B142&lt;=1000,INDEX(存条明细!$C$4:$C$1003,_辅助!$B142),INDEX(出库明细!$C$4:$C$3003,_辅助!$B142-1000)))</f>
        <v>高兴枫树平价超市</v>
      </c>
      <c r="C142" s="14" t="str">
        <f>IF(_辅助!$B142="","",IF(_辅助!$B142&lt;=1000,INDEX(存条明细!$D$4:$D$1003,_辅助!$B142),INDEX(出库明细!$D$4:$D$3003,_辅助!$B142-1000)))</f>
        <v>1L焙好茶</v>
      </c>
      <c r="D142" s="14">
        <f>IF($B142="","",IFERROR(SUMIFS(存条明细!E:E,存条明细!C:C,$B142,存条明细!D:D,$C142),0))</f>
        <v>0</v>
      </c>
      <c r="E142" s="156">
        <f>IF(OR($B142="",N(D142)=0),"",ROUND(F142/D142,2))</f>
      </c>
      <c r="F142" s="156">
        <f>IF($B142="","",IFERROR(SUMIFS(存条明细!G:G,存条明细!C:C,$B142,存条明细!D:D,$C142),0))</f>
        <v>0</v>
      </c>
      <c r="G142" s="14">
        <f>IF($B142="","",IFERROR(SUMIFS(出库明细!E:E,出库明细!C:C,$B142,出库明细!D:D,$C142),0))</f>
        <v>1</v>
      </c>
      <c r="H142" s="156">
        <f>IF($B142="","",IFERROR(SUMIFS(出库明细!G:G,出库明细!C:C,$B142,出库明细!D:D,$C142),0))</f>
        <v>46</v>
      </c>
      <c r="I142" s="14">
        <f>IF($B142="","",D142-G142)</f>
        <v>-1</v>
      </c>
      <c r="J142" s="156">
        <f>IF($B142="","",F142-H142)</f>
        <v>-46</v>
      </c>
      <c r="K142" s="179">
        <f>IF($B142="","",MAX(_xlfn.MAXIFS(存条明细!B:B,存条明细!C:C,$B142,存条明细!D:D,$C142),_xlfn.MAXIFS(出库明细!B:B,出库明细!C:C,$B142,出库明细!D:D,$C142)))</f>
        <v>46254.0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 ht="15" customHeight="1" s="71">
      <c r="A143" s="14">
        <f>IF(B143="","",ROW()-3)</f>
        <v>140</v>
      </c>
      <c r="B143" s="14" t="str">
        <f>IF(_辅助!$B143="","",IF(_辅助!$B143&lt;=1000,INDEX(存条明细!$C$4:$C$1003,_辅助!$B143),INDEX(出库明细!$C$4:$C$3003,_辅助!$B143-1000)))</f>
        <v>洪门兴诚超市</v>
      </c>
      <c r="C143" s="14" t="str">
        <f>IF(_辅助!$B143="","",IF(_辅助!$B143&lt;=1000,INDEX(存条明细!$D$4:$D$1003,_辅助!$B143),INDEX(出库明细!$D$4:$D$3003,_辅助!$B143-1000)))</f>
        <v>大东鹏</v>
      </c>
      <c r="D143" s="14">
        <f>IF($B143="","",IFERROR(SUMIFS(存条明细!E:E,存条明细!C:C,$B143,存条明细!D:D,$C143),0))</f>
        <v>500</v>
      </c>
      <c r="E143" s="156">
        <f>IF(OR($B143="",N(D143)=0),"",ROUND(F143/D143,2))</f>
        <v>90</v>
      </c>
      <c r="F143" s="156">
        <f>IF($B143="","",IFERROR(SUMIFS(存条明细!G:G,存条明细!C:C,$B143,存条明细!D:D,$C143),0))</f>
        <v>45000</v>
      </c>
      <c r="G143" s="14">
        <f>IF($B143="","",IFERROR(SUMIFS(出库明细!E:E,出库明细!C:C,$B143,出库明细!D:D,$C143),0))</f>
        <v>300</v>
      </c>
      <c r="H143" s="156">
        <f>IF($B143="","",IFERROR(SUMIFS(出库明细!G:G,出库明细!C:C,$B143,出库明细!D:D,$C143),0))</f>
        <v>27000</v>
      </c>
      <c r="I143" s="14">
        <f>IF($B143="","",D143-G143)</f>
        <v>200</v>
      </c>
      <c r="J143" s="156">
        <f>IF($B143="","",F143-H143)</f>
        <v>18000</v>
      </c>
      <c r="K143" s="179">
        <f>IF($B143="","",MAX(_xlfn.MAXIFS(存条明细!B:B,存条明细!C:C,$B143,存条明细!D:D,$C143),_xlfn.MAXIFS(出库明细!B:B,出库明细!C:C,$B143,出库明细!D:D,$C143)))</f>
        <v>46260.0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 ht="15" customHeight="1" s="71">
      <c r="A144" s="14">
        <f>IF(B144="","",ROW()-3)</f>
        <v>141</v>
      </c>
      <c r="B144" s="14" t="str">
        <f>IF(_辅助!$B144="","",IF(_辅助!$B144&lt;=1000,INDEX(存条明细!$C$4:$C$1003,_辅助!$B144),INDEX(出库明细!$C$4:$C$3003,_辅助!$B144-1000)))</f>
        <v>洪门兴诚超市</v>
      </c>
      <c r="C144" s="14" t="str">
        <f>IF(_辅助!$B144="","",IF(_辅助!$B144&lt;=1000,INDEX(存条明细!$D$4:$D$1003,_辅助!$B144),INDEX(出库明细!$D$4:$D$3003,_辅助!$B144-1000)))</f>
        <v>555补水</v>
      </c>
      <c r="D144" s="14">
        <f>IF($B144="","",IFERROR(SUMIFS(存条明细!E:E,存条明细!C:C,$B144,存条明细!D:D,$C144),0))</f>
        <v>0</v>
      </c>
      <c r="E144" s="156">
        <f>IF(OR($B144="",N(D144)=0),"",ROUND(F144/D144,2))</f>
      </c>
      <c r="F144" s="156">
        <f>IF($B144="","",IFERROR(SUMIFS(存条明细!G:G,存条明细!C:C,$B144,存条明细!D:D,$C144),0))</f>
        <v>0</v>
      </c>
      <c r="G144" s="14">
        <f>IF($B144="","",IFERROR(SUMIFS(出库明细!E:E,出库明细!C:C,$B144,出库明细!D:D,$C144),0))</f>
        <v>17.5</v>
      </c>
      <c r="H144" s="156">
        <f>IF($B144="","",IFERROR(SUMIFS(出库明细!G:G,出库明细!C:C,$B144,出库明细!D:D,$C144),0))</f>
        <v>1137.5</v>
      </c>
      <c r="I144" s="14">
        <f>IF($B144="","",D144-G144)</f>
        <v>-17.5</v>
      </c>
      <c r="J144" s="156">
        <f>IF($B144="","",F144-H144)</f>
        <v>-1137.5</v>
      </c>
      <c r="K144" s="179">
        <f>IF($B144="","",MAX(_xlfn.MAXIFS(存条明细!B:B,存条明细!C:C,$B144,存条明细!D:D,$C144),_xlfn.MAXIFS(出库明细!B:B,出库明细!C:C,$B144,出库明细!D:D,$C144)))</f>
        <v>46260.0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 ht="15" customHeight="1" s="71">
      <c r="A145" s="14">
        <f>IF(B145="","",ROW()-3)</f>
        <v>142</v>
      </c>
      <c r="B145" s="14" t="str">
        <f>IF(_辅助!$B145="","",IF(_辅助!$B145&lt;=1000,INDEX(存条明细!$C$4:$C$1003,_辅助!$B145),INDEX(出库明细!$C$4:$C$3003,_辅助!$B145-1000)))</f>
        <v>洪门兴诚超市</v>
      </c>
      <c r="C145" s="14" t="str">
        <f>IF(_辅助!$B145="","",IF(_辅助!$B145&lt;=1000,INDEX(存条明细!$D$4:$D$1003,_辅助!$B145),INDEX(出库明细!$D$4:$D$3003,_辅助!$B145-1000)))</f>
        <v>1L补水</v>
      </c>
      <c r="D145" s="14">
        <f>IF($B145="","",IFERROR(SUMIFS(存条明细!E:E,存条明细!C:C,$B145,存条明细!D:D,$C145),0))</f>
        <v>0</v>
      </c>
      <c r="E145" s="156">
        <f>IF(OR($B145="",N(D145)=0),"",ROUND(F145/D145,2))</f>
      </c>
      <c r="F145" s="156">
        <f>IF($B145="","",IFERROR(SUMIFS(存条明细!G:G,存条明细!C:C,$B145,存条明细!D:D,$C145),0))</f>
        <v>0</v>
      </c>
      <c r="G145" s="14">
        <f>IF($B145="","",IFERROR(SUMIFS(出库明细!E:E,出库明细!C:C,$B145,出库明细!D:D,$C145),0))</f>
        <v>20.5</v>
      </c>
      <c r="H145" s="156">
        <f>IF($B145="","",IFERROR(SUMIFS(出库明细!G:G,出库明细!C:C,$B145,出库明细!D:D,$C145),0))</f>
        <v>1127.5</v>
      </c>
      <c r="I145" s="14">
        <f>IF($B145="","",D145-G145)</f>
        <v>-20.5</v>
      </c>
      <c r="J145" s="156">
        <f>IF($B145="","",F145-H145)</f>
        <v>-1127.5</v>
      </c>
      <c r="K145" s="179">
        <f>IF($B145="","",MAX(_xlfn.MAXIFS(存条明细!B:B,存条明细!C:C,$B145,存条明细!D:D,$C145),_xlfn.MAXIFS(出库明细!B:B,出库明细!C:C,$B145,出库明细!D:D,$C145)))</f>
        <v>46248.0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 ht="15" customHeight="1" s="71">
      <c r="A146" s="14">
        <f>IF(B146="","",ROW()-3)</f>
        <v>143</v>
      </c>
      <c r="B146" s="14" t="str">
        <f>IF(_辅助!$B146="","",IF(_辅助!$B146&lt;=1000,INDEX(存条明细!$C$4:$C$1003,_辅助!$B146),INDEX(出库明细!$C$4:$C$3003,_辅助!$B146-1000)))</f>
        <v>洪门兴诚超市</v>
      </c>
      <c r="C146" s="14" t="str">
        <f>IF(_辅助!$B146="","",IF(_辅助!$B146&lt;=1000,INDEX(存条明细!$D$4:$D$1003,_辅助!$B146),INDEX(出库明细!$D$4:$D$3003,_辅助!$B146-1000)))</f>
        <v>小果之茶</v>
      </c>
      <c r="D146" s="14">
        <f>IF($B146="","",IFERROR(SUMIFS(存条明细!E:E,存条明细!C:C,$B146,存条明细!D:D,$C146),0))</f>
        <v>0</v>
      </c>
      <c r="E146" s="156">
        <f>IF(OR($B146="",N(D146)=0),"",ROUND(F146/D146,2))</f>
      </c>
      <c r="F146" s="156">
        <f>IF($B146="","",IFERROR(SUMIFS(存条明细!G:G,存条明细!C:C,$B146,存条明细!D:D,$C146),0))</f>
        <v>0</v>
      </c>
      <c r="G146" s="14">
        <f>IF($B146="","",IFERROR(SUMIFS(出库明细!E:E,出库明细!C:C,$B146,出库明细!D:D,$C146),0))</f>
        <v>38</v>
      </c>
      <c r="H146" s="156">
        <f>IF($B146="","",IFERROR(SUMIFS(出库明细!G:G,出库明细!C:C,$B146,出库明细!D:D,$C146),0))</f>
        <v>1786</v>
      </c>
      <c r="I146" s="14">
        <f>IF($B146="","",D146-G146)</f>
        <v>-38</v>
      </c>
      <c r="J146" s="156">
        <f>IF($B146="","",F146-H146)</f>
        <v>-1786</v>
      </c>
      <c r="K146" s="179">
        <f>IF($B146="","",MAX(_xlfn.MAXIFS(存条明细!B:B,存条明细!C:C,$B146,存条明细!D:D,$C146),_xlfn.MAXIFS(出库明细!B:B,出库明细!C:C,$B146,出库明细!D:D,$C146)))</f>
        <v>46284.0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 ht="15" customHeight="1" s="71">
      <c r="A147" s="14">
        <f>IF(B147="","",ROW()-3)</f>
        <v>144</v>
      </c>
      <c r="B147" s="14" t="str">
        <f>IF(_辅助!$B147="","",IF(_辅助!$B147&lt;=1000,INDEX(存条明细!$C$4:$C$1003,_辅助!$B147),INDEX(出库明细!$C$4:$C$3003,_辅助!$B147-1000)))</f>
        <v>洪门兴诚超市</v>
      </c>
      <c r="C147" s="14" t="str">
        <f>IF(_辅助!$B147="","",IF(_辅助!$B147&lt;=1000,INDEX(存条明细!$D$4:$D$1003,_辅助!$B147),INDEX(出库明细!$D$4:$D$3003,_辅助!$B147-1000)))</f>
        <v>1L果之茶</v>
      </c>
      <c r="D147" s="14">
        <f>IF($B147="","",IFERROR(SUMIFS(存条明细!E:E,存条明细!C:C,$B147,存条明细!D:D,$C147),0))</f>
        <v>0</v>
      </c>
      <c r="E147" s="156">
        <f>IF(OR($B147="",N(D147)=0),"",ROUND(F147/D147,2))</f>
      </c>
      <c r="F147" s="156">
        <f>IF($B147="","",IFERROR(SUMIFS(存条明细!G:G,存条明细!C:C,$B147,存条明细!D:D,$C147),0))</f>
        <v>0</v>
      </c>
      <c r="G147" s="14">
        <f>IF($B147="","",IFERROR(SUMIFS(出库明细!E:E,出库明细!C:C,$B147,出库明细!D:D,$C147),0))</f>
        <v>24.5</v>
      </c>
      <c r="H147" s="156">
        <f>IF($B147="","",IFERROR(SUMIFS(出库明细!G:G,出库明细!C:C,$B147,出库明细!D:D,$C147),0))</f>
        <v>1088.5</v>
      </c>
      <c r="I147" s="14">
        <f>IF($B147="","",D147-G147)</f>
        <v>-24.5</v>
      </c>
      <c r="J147" s="156">
        <f>IF($B147="","",F147-H147)</f>
        <v>-1088.5</v>
      </c>
      <c r="K147" s="179">
        <f>IF($B147="","",MAX(_xlfn.MAXIFS(存条明细!B:B,存条明细!C:C,$B147,存条明细!D:D,$C147),_xlfn.MAXIFS(出库明细!B:B,出库明细!C:C,$B147,出库明细!D:D,$C147)))</f>
        <v>46248.0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 ht="15" customHeight="1" s="71">
      <c r="A148" s="14">
        <f>IF(B148="","",ROW()-3)</f>
        <v>145</v>
      </c>
      <c r="B148" s="14" t="str">
        <f>IF(_辅助!$B148="","",IF(_辅助!$B148&lt;=1000,INDEX(存条明细!$C$4:$C$1003,_辅助!$B148),INDEX(出库明细!$C$4:$C$3003,_辅助!$B148-1000)))</f>
        <v>洪门兴诚超市</v>
      </c>
      <c r="C148" s="14" t="str">
        <f>IF(_辅助!$B148="","",IF(_辅助!$B148&lt;=1000,INDEX(存条明细!$D$4:$D$1003,_辅助!$B148),INDEX(出库明细!$D$4:$D$3003,_辅助!$B148-1000)))</f>
        <v>九制陈皮</v>
      </c>
      <c r="D148" s="14">
        <f>IF($B148="","",IFERROR(SUMIFS(存条明细!E:E,存条明细!C:C,$B148,存条明细!D:D,$C148),0))</f>
        <v>0</v>
      </c>
      <c r="E148" s="156">
        <f>IF(OR($B148="",N(D148)=0),"",ROUND(F148/D148,2))</f>
      </c>
      <c r="F148" s="156">
        <f>IF($B148="","",IFERROR(SUMIFS(存条明细!G:G,存条明细!C:C,$B148,存条明细!D:D,$C148),0))</f>
        <v>0</v>
      </c>
      <c r="G148" s="14">
        <f>IF($B148="","",IFERROR(SUMIFS(出库明细!E:E,出库明细!C:C,$B148,出库明细!D:D,$C148),0))</f>
        <v>1</v>
      </c>
      <c r="H148" s="156">
        <f>IF($B148="","",IFERROR(SUMIFS(出库明细!G:G,出库明细!C:C,$B148,出库明细!D:D,$C148),0))</f>
        <v>47</v>
      </c>
      <c r="I148" s="14">
        <f>IF($B148="","",D148-G148)</f>
        <v>-1</v>
      </c>
      <c r="J148" s="156">
        <f>IF($B148="","",F148-H148)</f>
        <v>-47</v>
      </c>
      <c r="K148" s="179">
        <f>IF($B148="","",MAX(_xlfn.MAXIFS(存条明细!B:B,存条明细!C:C,$B148,存条明细!D:D,$C148),_xlfn.MAXIFS(出库明细!B:B,出库明细!C:C,$B148,出库明细!D:D,$C148)))</f>
        <v>46225.0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 ht="15" customHeight="1" s="71">
      <c r="A149" s="14">
        <f>IF(B149="","",ROW()-3)</f>
        <v>146</v>
      </c>
      <c r="B149" s="14" t="str">
        <f>IF(_辅助!$B149="","",IF(_辅助!$B149&lt;=1000,INDEX(存条明细!$C$4:$C$1003,_辅助!$B149),INDEX(出库明细!$C$4:$C$3003,_辅助!$B149-1000)))</f>
        <v>洪门兴诚超市</v>
      </c>
      <c r="C149" s="14" t="str">
        <f>IF(_辅助!$B149="","",IF(_辅助!$B149&lt;=1000,INDEX(存条明细!$D$4:$D$1003,_辅助!$B149),INDEX(出库明细!$D$4:$D$3003,_辅助!$B149-1000)))</f>
        <v>清爽</v>
      </c>
      <c r="D149" s="14">
        <f>IF($B149="","",IFERROR(SUMIFS(存条明细!E:E,存条明细!C:C,$B149,存条明细!D:D,$C149),0))</f>
        <v>50</v>
      </c>
      <c r="E149" s="156">
        <f>IF(OR($B149="",N(D149)=0),"",ROUND(F149/D149,2))</f>
        <v>42</v>
      </c>
      <c r="F149" s="156">
        <f>IF($B149="","",IFERROR(SUMIFS(存条明细!G:G,存条明细!C:C,$B149,存条明细!D:D,$C149),0))</f>
        <v>2100</v>
      </c>
      <c r="G149" s="14">
        <f>IF($B149="","",IFERROR(SUMIFS(出库明细!E:E,出库明细!C:C,$B149,出库明细!D:D,$C149),0))</f>
        <v>0</v>
      </c>
      <c r="H149" s="156">
        <f>IF($B149="","",IFERROR(SUMIFS(出库明细!G:G,出库明细!C:C,$B149,出库明细!D:D,$C149),0))</f>
        <v>0</v>
      </c>
      <c r="I149" s="14">
        <f>IF($B149="","",D149-G149)</f>
        <v>50</v>
      </c>
      <c r="J149" s="156">
        <f>IF($B149="","",F149-H149)</f>
        <v>2100</v>
      </c>
      <c r="K149" s="179">
        <f>IF($B149="","",MAX(_xlfn.MAXIFS(存条明细!B:B,存条明细!C:C,$B149,存条明细!D:D,$C149),_xlfn.MAXIFS(出库明细!B:B,出库明细!C:C,$B149,出库明细!D:D,$C149)))</f>
        <v>46252.0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 ht="15" customHeight="1" s="71">
      <c r="A150" s="14">
        <f>IF(B150="","",ROW()-3)</f>
        <v>147</v>
      </c>
      <c r="B150" s="14" t="str">
        <f>IF(_辅助!$B150="","",IF(_辅助!$B150&lt;=1000,INDEX(存条明细!$C$4:$C$1003,_辅助!$B150),INDEX(出库明细!$C$4:$C$3003,_辅助!$B150-1000)))</f>
        <v>和睦公园百顺</v>
      </c>
      <c r="C150" s="14" t="str">
        <f>IF(_辅助!$B150="","",IF(_辅助!$B150&lt;=1000,INDEX(存条明细!$D$4:$D$1003,_辅助!$B150),INDEX(出库明细!$D$4:$D$3003,_辅助!$B150-1000)))</f>
        <v>大东鹏</v>
      </c>
      <c r="D150" s="14">
        <f>IF($B150="","",IFERROR(SUMIFS(存条明细!E:E,存条明细!C:C,$B150,存条明细!D:D,$C150),0))</f>
        <v>300</v>
      </c>
      <c r="E150" s="156">
        <f>IF(OR($B150="",N(D150)=0),"",ROUND(F150/D150,2))</f>
        <v>90</v>
      </c>
      <c r="F150" s="156">
        <f>IF($B150="","",IFERROR(SUMIFS(存条明细!G:G,存条明细!C:C,$B150,存条明细!D:D,$C150),0))</f>
        <v>27000</v>
      </c>
      <c r="G150" s="14">
        <f>IF($B150="","",IFERROR(SUMIFS(出库明细!E:E,出库明细!C:C,$B150,出库明细!D:D,$C150),0))</f>
        <v>300</v>
      </c>
      <c r="H150" s="156">
        <f>IF($B150="","",IFERROR(SUMIFS(出库明细!G:G,出库明细!C:C,$B150,出库明细!D:D,$C150),0))</f>
        <v>27000</v>
      </c>
      <c r="I150" s="14">
        <f>IF($B150="","",D150-G150)</f>
        <v>0</v>
      </c>
      <c r="J150" s="156">
        <f>IF($B150="","",F150-H150)</f>
        <v>0</v>
      </c>
      <c r="K150" s="179">
        <f>IF($B150="","",MAX(_xlfn.MAXIFS(存条明细!B:B,存条明细!C:C,$B150,存条明细!D:D,$C150),_xlfn.MAXIFS(出库明细!B:B,出库明细!C:C,$B150,出库明细!D:D,$C150)))</f>
        <v>46241.0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 ht="15" customHeight="1" s="71">
      <c r="A151" s="14">
        <f>IF(B151="","",ROW()-3)</f>
        <v>148</v>
      </c>
      <c r="B151" s="14" t="str">
        <f>IF(_辅助!$B151="","",IF(_辅助!$B151&lt;=1000,INDEX(存条明细!$C$4:$C$1003,_辅助!$B151),INDEX(出库明细!$C$4:$C$3003,_辅助!$B151-1000)))</f>
        <v>和睦公园百顺</v>
      </c>
      <c r="C151" s="14" t="str">
        <f>IF(_辅助!$B151="","",IF(_辅助!$B151&lt;=1000,INDEX(存条明细!$D$4:$D$1003,_辅助!$B151),INDEX(出库明细!$D$4:$D$3003,_辅助!$B151-1000)))</f>
        <v>1L补水</v>
      </c>
      <c r="D151" s="14">
        <f>IF($B151="","",IFERROR(SUMIFS(存条明细!E:E,存条明细!C:C,$B151,存条明细!D:D,$C151),0))</f>
        <v>103</v>
      </c>
      <c r="E151" s="156">
        <f>IF(OR($B151="",N(D151)=0),"",ROUND(F151/D151,2))</f>
        <v>53.4</v>
      </c>
      <c r="F151" s="156">
        <f>IF($B151="","",IFERROR(SUMIFS(存条明细!G:G,存条明细!C:C,$B151,存条明细!D:D,$C151),0))</f>
        <v>5500</v>
      </c>
      <c r="G151" s="14">
        <f>IF($B151="","",IFERROR(SUMIFS(出库明细!E:E,出库明细!C:C,$B151,出库明细!D:D,$C151),0))</f>
        <v>100</v>
      </c>
      <c r="H151" s="156">
        <f>IF($B151="","",IFERROR(SUMIFS(出库明细!G:G,出库明细!C:C,$B151,出库明细!D:D,$C151),0))</f>
        <v>5500</v>
      </c>
      <c r="I151" s="14">
        <f>IF($B151="","",D151-G151)</f>
        <v>3</v>
      </c>
      <c r="J151" s="156">
        <f>IF($B151="","",F151-H151)</f>
        <v>0</v>
      </c>
      <c r="K151" s="179">
        <f>IF($B151="","",MAX(_xlfn.MAXIFS(存条明细!B:B,存条明细!C:C,$B151,存条明细!D:D,$C151),_xlfn.MAXIFS(出库明细!B:B,出库明细!C:C,$B151,出库明细!D:D,$C151)))</f>
        <v>46276.0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 ht="15" customHeight="1" s="71">
      <c r="A152" s="14">
        <f>IF(B152="","",ROW()-3)</f>
        <v>149</v>
      </c>
      <c r="B152" s="14" t="str">
        <f>IF(_辅助!$B152="","",IF(_辅助!$B152&lt;=1000,INDEX(存条明细!$C$4:$C$1003,_辅助!$B152),INDEX(出库明细!$C$4:$C$3003,_辅助!$B152-1000)))</f>
        <v>和睦公园百顺</v>
      </c>
      <c r="C152" s="14" t="str">
        <f>IF(_辅助!$B152="","",IF(_辅助!$B152&lt;=1000,INDEX(存条明细!$D$4:$D$1003,_辅助!$B152),INDEX(出库明细!$D$4:$D$3003,_辅助!$B152-1000)))</f>
        <v>小果之茶</v>
      </c>
      <c r="D152" s="14">
        <f>IF($B152="","",IFERROR(SUMIFS(存条明细!E:E,存条明细!C:C,$B152,存条明细!D:D,$C152),0))</f>
        <v>103</v>
      </c>
      <c r="E152" s="156">
        <f>IF(OR($B152="",N(D152)=0),"",ROUND(F152/D152,2))</f>
        <v>45.63</v>
      </c>
      <c r="F152" s="156">
        <f>IF($B152="","",IFERROR(SUMIFS(存条明细!G:G,存条明细!C:C,$B152,存条明细!D:D,$C152),0))</f>
        <v>4700</v>
      </c>
      <c r="G152" s="14">
        <f>IF($B152="","",IFERROR(SUMIFS(出库明细!E:E,出库明细!C:C,$B152,出库明细!D:D,$C152),0))</f>
        <v>100</v>
      </c>
      <c r="H152" s="156">
        <f>IF($B152="","",IFERROR(SUMIFS(出库明细!G:G,出库明细!C:C,$B152,出库明细!D:D,$C152),0))</f>
        <v>4700</v>
      </c>
      <c r="I152" s="14">
        <f>IF($B152="","",D152-G152)</f>
        <v>3</v>
      </c>
      <c r="J152" s="156">
        <f>IF($B152="","",F152-H152)</f>
        <v>0</v>
      </c>
      <c r="K152" s="179">
        <f>IF($B152="","",MAX(_xlfn.MAXIFS(存条明细!B:B,存条明细!C:C,$B152,存条明细!D:D,$C152),_xlfn.MAXIFS(出库明细!B:B,出库明细!C:C,$B152,出库明细!D:D,$C152)))</f>
        <v>46276.0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 ht="15" customHeight="1" s="71">
      <c r="A153" s="14">
        <f>IF(B153="","",ROW()-3)</f>
        <v>150</v>
      </c>
      <c r="B153" s="14" t="str">
        <f>IF(_辅助!$B153="","",IF(_辅助!$B153&lt;=1000,INDEX(存条明细!$C$4:$C$1003,_辅助!$B153),INDEX(出库明细!$C$4:$C$3003,_辅助!$B153-1000)))</f>
        <v>和睦公园百顺</v>
      </c>
      <c r="C153" s="14" t="str">
        <f>IF(_辅助!$B153="","",IF(_辅助!$B153&lt;=1000,INDEX(存条明细!$D$4:$D$1003,_辅助!$B153),INDEX(出库明细!$D$4:$D$3003,_辅助!$B153-1000)))</f>
        <v>1L果之茶</v>
      </c>
      <c r="D153" s="14">
        <f>IF($B153="","",IFERROR(SUMIFS(存条明细!E:E,存条明细!C:C,$B153,存条明细!D:D,$C153),0))</f>
        <v>36</v>
      </c>
      <c r="E153" s="156">
        <f>IF(OR($B153="",N(D153)=0),"",ROUND(F153/D153,2))</f>
        <v>41.81</v>
      </c>
      <c r="F153" s="156">
        <f>IF($B153="","",IFERROR(SUMIFS(存条明细!G:G,存条明细!C:C,$B153,存条明细!D:D,$C153),0))</f>
        <v>1505</v>
      </c>
      <c r="G153" s="14">
        <f>IF($B153="","",IFERROR(SUMIFS(出库明细!E:E,出库明细!C:C,$B153,出库明细!D:D,$C153),0))</f>
        <v>43</v>
      </c>
      <c r="H153" s="156">
        <f>IF($B153="","",IFERROR(SUMIFS(出库明细!G:G,出库明细!C:C,$B153,出库明细!D:D,$C153),0))</f>
        <v>1849</v>
      </c>
      <c r="I153" s="14">
        <f>IF($B153="","",D153-G153)</f>
        <v>-7</v>
      </c>
      <c r="J153" s="156">
        <f>IF($B153="","",F153-H153)</f>
        <v>-344</v>
      </c>
      <c r="K153" s="179">
        <f>IF($B153="","",MAX(_xlfn.MAXIFS(存条明细!B:B,存条明细!C:C,$B153,存条明细!D:D,$C153),_xlfn.MAXIFS(出库明细!B:B,出库明细!C:C,$B153,出库明细!D:D,$C153)))</f>
        <v>46276.0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 ht="15" customHeight="1" s="71">
      <c r="A154" s="14">
        <f>IF(B154="","",ROW()-3)</f>
        <v>151</v>
      </c>
      <c r="B154" s="14" t="str">
        <f>IF(_辅助!$B154="","",IF(_辅助!$B154&lt;=1000,INDEX(存条明细!$C$4:$C$1003,_辅助!$B154),INDEX(出库明细!$C$4:$C$3003,_辅助!$B154-1000)))</f>
        <v>福旺家优购</v>
      </c>
      <c r="C154" s="14" t="str">
        <f>IF(_辅助!$B154="","",IF(_辅助!$B154&lt;=1000,INDEX(存条明细!$D$4:$D$1003,_辅助!$B154),INDEX(出库明细!$D$4:$D$3003,_辅助!$B154-1000)))</f>
        <v>大东鹏</v>
      </c>
      <c r="D154" s="14">
        <f>IF($B154="","",IFERROR(SUMIFS(存条明细!E:E,存条明细!C:C,$B154,存条明细!D:D,$C154),0))</f>
        <v>255</v>
      </c>
      <c r="E154" s="156">
        <f>IF(OR($B154="",N(D154)=0),"",ROUND(F154/D154,2))</f>
        <v>88.24</v>
      </c>
      <c r="F154" s="156">
        <f>IF($B154="","",IFERROR(SUMIFS(存条明细!G:G,存条明细!C:C,$B154,存条明细!D:D,$C154),0))</f>
        <v>22500</v>
      </c>
      <c r="G154" s="14">
        <f>IF($B154="","",IFERROR(SUMIFS(出库明细!E:E,出库明细!C:C,$B154,出库明细!D:D,$C154),0))</f>
        <v>105</v>
      </c>
      <c r="H154" s="156">
        <f>IF($B154="","",IFERROR(SUMIFS(出库明细!G:G,出库明细!C:C,$B154,出库明细!D:D,$C154),0))</f>
        <v>9765</v>
      </c>
      <c r="I154" s="14">
        <f>IF($B154="","",D154-G154)</f>
        <v>150</v>
      </c>
      <c r="J154" s="156">
        <f>IF($B154="","",F154-H154)</f>
        <v>12735</v>
      </c>
      <c r="K154" s="179">
        <f>IF($B154="","",MAX(_xlfn.MAXIFS(存条明细!B:B,存条明细!C:C,$B154,存条明细!D:D,$C154),_xlfn.MAXIFS(出库明细!B:B,出库明细!C:C,$B154,出库明细!D:D,$C154)))</f>
        <v>46270.0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 ht="15" customHeight="1" s="71">
      <c r="A155" s="14">
        <f>IF(B155="","",ROW()-3)</f>
        <v>152</v>
      </c>
      <c r="B155" s="14" t="str">
        <f>IF(_辅助!$B155="","",IF(_辅助!$B155&lt;=1000,INDEX(存条明细!$C$4:$C$1003,_辅助!$B155),INDEX(出库明细!$C$4:$C$3003,_辅助!$B155-1000)))</f>
        <v>福旺家优购</v>
      </c>
      <c r="C155" s="14" t="str">
        <f>IF(_辅助!$B155="","",IF(_辅助!$B155&lt;=1000,INDEX(存条明细!$D$4:$D$1003,_辅助!$B155),INDEX(出库明细!$D$4:$D$3003,_辅助!$B155-1000)))</f>
        <v>555补水</v>
      </c>
      <c r="D155" s="14">
        <f>IF($B155="","",IFERROR(SUMIFS(存条明细!E:E,存条明细!C:C,$B155,存条明细!D:D,$C155),0))</f>
        <v>22</v>
      </c>
      <c r="E155" s="156">
        <f>IF(OR($B155="",N(D155)=0),"",ROUND(F155/D155,2))</f>
        <v>61.82</v>
      </c>
      <c r="F155" s="156">
        <f>IF($B155="","",IFERROR(SUMIFS(存条明细!G:G,存条明细!C:C,$B155,存条明细!D:D,$C155),0))</f>
        <v>1360</v>
      </c>
      <c r="G155" s="14">
        <f>IF($B155="","",IFERROR(SUMIFS(出库明细!E:E,出库明细!C:C,$B155,出库明细!D:D,$C155),0))</f>
        <v>22</v>
      </c>
      <c r="H155" s="156">
        <f>IF($B155="","",IFERROR(SUMIFS(出库明细!G:G,出库明细!C:C,$B155,出库明细!D:D,$C155),0))</f>
        <v>1496</v>
      </c>
      <c r="I155" s="14">
        <f>IF($B155="","",D155-G155)</f>
        <v>0</v>
      </c>
      <c r="J155" s="156">
        <f>IF($B155="","",F155-H155)</f>
        <v>-136</v>
      </c>
      <c r="K155" s="179">
        <f>IF($B155="","",MAX(_xlfn.MAXIFS(存条明细!B:B,存条明细!C:C,$B155,存条明细!D:D,$C155),_xlfn.MAXIFS(出库明细!B:B,出库明细!C:C,$B155,出库明细!D:D,$C155)))</f>
        <v>46246.0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 ht="15" customHeight="1" s="71">
      <c r="A156" s="14">
        <f>IF(B156="","",ROW()-3)</f>
        <v>153</v>
      </c>
      <c r="B156" s="14" t="str">
        <f>IF(_辅助!$B156="","",IF(_辅助!$B156&lt;=1000,INDEX(存条明细!$C$4:$C$1003,_辅助!$B156),INDEX(出库明细!$C$4:$C$3003,_辅助!$B156-1000)))</f>
        <v>福旺家优购</v>
      </c>
      <c r="C156" s="14" t="str">
        <f>IF(_辅助!$B156="","",IF(_辅助!$B156&lt;=1000,INDEX(存条明细!$D$4:$D$1003,_辅助!$B156),INDEX(出库明细!$D$4:$D$3003,_辅助!$B156-1000)))</f>
        <v>1L补水</v>
      </c>
      <c r="D156" s="14">
        <f>IF($B156="","",IFERROR(SUMIFS(存条明细!E:E,存条明细!C:C,$B156,存条明细!D:D,$C156),0))</f>
        <v>15</v>
      </c>
      <c r="E156" s="156">
        <f>IF(OR($B156="",N(D156)=0),"",ROUND(F156/D156,2))</f>
        <v>58</v>
      </c>
      <c r="F156" s="156">
        <f>IF($B156="","",IFERROR(SUMIFS(存条明细!G:G,存条明细!C:C,$B156,存条明细!D:D,$C156),0))</f>
        <v>870</v>
      </c>
      <c r="G156" s="14">
        <f>IF($B156="","",IFERROR(SUMIFS(出库明细!E:E,出库明细!C:C,$B156,出库明细!D:D,$C156),0))</f>
        <v>15</v>
      </c>
      <c r="H156" s="156">
        <f>IF($B156="","",IFERROR(SUMIFS(出库明细!G:G,出库明细!C:C,$B156,出库明细!D:D,$C156),0))</f>
        <v>870</v>
      </c>
      <c r="I156" s="14">
        <f>IF($B156="","",D156-G156)</f>
        <v>0</v>
      </c>
      <c r="J156" s="156">
        <f>IF($B156="","",F156-H156)</f>
        <v>0</v>
      </c>
      <c r="K156" s="179">
        <f>IF($B156="","",MAX(_xlfn.MAXIFS(存条明细!B:B,存条明细!C:C,$B156,存条明细!D:D,$C156),_xlfn.MAXIFS(出库明细!B:B,出库明细!C:C,$B156,出库明细!D:D,$C156)))</f>
        <v>46222.0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 ht="15" customHeight="1" s="71">
      <c r="A157" s="14">
        <f>IF(B157="","",ROW()-3)</f>
        <v>154</v>
      </c>
      <c r="B157" s="14" t="str">
        <f>IF(_辅助!$B157="","",IF(_辅助!$B157&lt;=1000,INDEX(存条明细!$C$4:$C$1003,_辅助!$B157),INDEX(出库明细!$C$4:$C$3003,_辅助!$B157-1000)))</f>
        <v>福旺家优购</v>
      </c>
      <c r="C157" s="14" t="str">
        <f>IF(_辅助!$B157="","",IF(_辅助!$B157&lt;=1000,INDEX(存条明细!$D$4:$D$1003,_辅助!$B157),INDEX(出库明细!$D$4:$D$3003,_辅助!$B157-1000)))</f>
        <v>小果之茶</v>
      </c>
      <c r="D157" s="14">
        <f>IF($B157="","",IFERROR(SUMIFS(存条明细!E:E,存条明细!C:C,$B157,存条明细!D:D,$C157),0))</f>
        <v>17</v>
      </c>
      <c r="E157" s="156">
        <f>IF(OR($B157="",N(D157)=0),"",ROUND(F157/D157,2))</f>
        <v>44.12</v>
      </c>
      <c r="F157" s="156">
        <f>IF($B157="","",IFERROR(SUMIFS(存条明细!G:G,存条明细!C:C,$B157,存条明细!D:D,$C157),0))</f>
        <v>750</v>
      </c>
      <c r="G157" s="14">
        <f>IF($B157="","",IFERROR(SUMIFS(出库明细!E:E,出库明细!C:C,$B157,出库明细!D:D,$C157),0))</f>
        <v>8</v>
      </c>
      <c r="H157" s="156">
        <f>IF($B157="","",IFERROR(SUMIFS(出库明细!G:G,出库明细!C:C,$B157,出库明细!D:D,$C157),0))</f>
        <v>400</v>
      </c>
      <c r="I157" s="14">
        <f>IF($B157="","",D157-G157)</f>
        <v>9</v>
      </c>
      <c r="J157" s="156">
        <f>IF($B157="","",F157-H157)</f>
        <v>350</v>
      </c>
      <c r="K157" s="179">
        <f>IF($B157="","",MAX(_xlfn.MAXIFS(存条明细!B:B,存条明细!C:C,$B157,存条明细!D:D,$C157),_xlfn.MAXIFS(出库明细!B:B,出库明细!C:C,$B157,出库明细!D:D,$C157)))</f>
        <v>46236.0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 ht="15" customHeight="1" s="71">
      <c r="A158" s="14">
        <f>IF(B158="","",ROW()-3)</f>
        <v>155</v>
      </c>
      <c r="B158" s="14" t="str">
        <f>IF(_辅助!$B158="","",IF(_辅助!$B158&lt;=1000,INDEX(存条明细!$C$4:$C$1003,_辅助!$B158),INDEX(出库明细!$C$4:$C$3003,_辅助!$B158-1000)))</f>
        <v>福旺家优购</v>
      </c>
      <c r="C158" s="14" t="str">
        <f>IF(_辅助!$B158="","",IF(_辅助!$B158&lt;=1000,INDEX(存条明细!$D$4:$D$1003,_辅助!$B158),INDEX(出库明细!$D$4:$D$3003,_辅助!$B158-1000)))</f>
        <v>1L果之茶</v>
      </c>
      <c r="D158" s="14">
        <f>IF($B158="","",IFERROR(SUMIFS(存条明细!E:E,存条明细!C:C,$B158,存条明细!D:D,$C158),0))</f>
        <v>10</v>
      </c>
      <c r="E158" s="156">
        <f>IF(OR($B158="",N(D158)=0),"",ROUND(F158/D158,2))</f>
        <v>46</v>
      </c>
      <c r="F158" s="156">
        <f>IF($B158="","",IFERROR(SUMIFS(存条明细!G:G,存条明细!C:C,$B158,存条明细!D:D,$C158),0))</f>
        <v>460</v>
      </c>
      <c r="G158" s="14">
        <f>IF($B158="","",IFERROR(SUMIFS(出库明细!E:E,出库明细!C:C,$B158,出库明细!D:D,$C158),0))</f>
        <v>10</v>
      </c>
      <c r="H158" s="156">
        <f>IF($B158="","",IFERROR(SUMIFS(出库明细!G:G,出库明细!C:C,$B158,出库明细!D:D,$C158),0))</f>
        <v>460</v>
      </c>
      <c r="I158" s="14">
        <f>IF($B158="","",D158-G158)</f>
        <v>0</v>
      </c>
      <c r="J158" s="156">
        <f>IF($B158="","",F158-H158)</f>
        <v>0</v>
      </c>
      <c r="K158" s="179">
        <f>IF($B158="","",MAX(_xlfn.MAXIFS(存条明细!B:B,存条明细!C:C,$B158,存条明细!D:D,$C158),_xlfn.MAXIFS(出库明细!B:B,出库明细!C:C,$B158,出库明细!D:D,$C158)))</f>
        <v>46222.0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 ht="15" customHeight="1" s="71">
      <c r="A159" s="14">
        <f>IF(B159="","",ROW()-3)</f>
        <v>156</v>
      </c>
      <c r="B159" s="14" t="str">
        <f>IF(_辅助!$B159="","",IF(_辅助!$B159&lt;=1000,INDEX(存条明细!$C$4:$C$1003,_辅助!$B159),INDEX(出库明细!$C$4:$C$3003,_辅助!$B159-1000)))</f>
        <v>福旺家优购</v>
      </c>
      <c r="C159" s="14" t="str">
        <f>IF(_辅助!$B159="","",IF(_辅助!$B159&lt;=1000,INDEX(存条明细!$D$4:$D$1003,_辅助!$B159),INDEX(出库明细!$D$4:$D$3003,_辅助!$B159-1000)))</f>
        <v>港式奶茶</v>
      </c>
      <c r="D159" s="14">
        <f>IF($B159="","",IFERROR(SUMIFS(存条明细!E:E,存条明细!C:C,$B159,存条明细!D:D,$C159),0))</f>
        <v>2</v>
      </c>
      <c r="E159" s="156">
        <f>IF(OR($B159="",N(D159)=0),"",ROUND(F159/D159,2))</f>
        <v>72</v>
      </c>
      <c r="F159" s="156">
        <f>IF($B159="","",IFERROR(SUMIFS(存条明细!G:G,存条明细!C:C,$B159,存条明细!D:D,$C159),0))</f>
        <v>144</v>
      </c>
      <c r="G159" s="14">
        <f>IF($B159="","",IFERROR(SUMIFS(出库明细!E:E,出库明细!C:C,$B159,出库明细!D:D,$C159),0))</f>
        <v>2</v>
      </c>
      <c r="H159" s="156">
        <f>IF($B159="","",IFERROR(SUMIFS(出库明细!G:G,出库明细!C:C,$B159,出库明细!D:D,$C159),0))</f>
        <v>144</v>
      </c>
      <c r="I159" s="14">
        <f>IF($B159="","",D159-G159)</f>
        <v>0</v>
      </c>
      <c r="J159" s="156">
        <f>IF($B159="","",F159-H159)</f>
        <v>0</v>
      </c>
      <c r="K159" s="179">
        <f>IF($B159="","",MAX(_xlfn.MAXIFS(存条明细!B:B,存条明细!C:C,$B159,存条明细!D:D,$C159),_xlfn.MAXIFS(出库明细!B:B,出库明细!C:C,$B159,出库明细!D:D,$C159)))</f>
        <v>46219.0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 ht="15" customHeight="1" s="71">
      <c r="A160" s="14">
        <f>IF(B160="","",ROW()-3)</f>
        <v>157</v>
      </c>
      <c r="B160" s="14" t="str">
        <f>IF(_辅助!$B160="","",IF(_辅助!$B160&lt;=1000,INDEX(存条明细!$C$4:$C$1003,_辅助!$B160),INDEX(出库明细!$C$4:$C$3003,_辅助!$B160-1000)))</f>
        <v>福旺家优购</v>
      </c>
      <c r="C160" s="14" t="str">
        <f>IF(_辅助!$B160="","",IF(_辅助!$B160&lt;=1000,INDEX(存条明细!$D$4:$D$1003,_辅助!$B160),INDEX(出库明细!$D$4:$D$3003,_辅助!$B160-1000)))</f>
        <v>大咖</v>
      </c>
      <c r="D160" s="14">
        <f>IF($B160="","",IFERROR(SUMIFS(存条明细!E:E,存条明细!C:C,$B160,存条明细!D:D,$C160),0))</f>
        <v>0</v>
      </c>
      <c r="E160" s="156">
        <f>IF(OR($B160="",N(D160)=0),"",ROUND(F160/D160,2))</f>
      </c>
      <c r="F160" s="156">
        <f>IF($B160="","",IFERROR(SUMIFS(存条明细!G:G,存条明细!C:C,$B160,存条明细!D:D,$C160),0))</f>
        <v>0</v>
      </c>
      <c r="G160" s="14">
        <f>IF($B160="","",IFERROR(SUMIFS(出库明细!E:E,出库明细!C:C,$B160,出库明细!D:D,$C160),0))</f>
        <v>6</v>
      </c>
      <c r="H160" s="156">
        <f>IF($B160="","",IFERROR(SUMIFS(出库明细!G:G,出库明细!C:C,$B160,出库明细!D:D,$C160),0))</f>
        <v>516</v>
      </c>
      <c r="I160" s="14">
        <f>IF($B160="","",D160-G160)</f>
        <v>-6</v>
      </c>
      <c r="J160" s="156">
        <f>IF($B160="","",F160-H160)</f>
        <v>-516</v>
      </c>
      <c r="K160" s="179">
        <f>IF($B160="","",MAX(_xlfn.MAXIFS(存条明细!B:B,存条明细!C:C,$B160,存条明细!D:D,$C160),_xlfn.MAXIFS(出库明细!B:B,出库明细!C:C,$B160,出库明细!D:D,$C160)))</f>
        <v>46262.0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 ht="15" customHeight="1" s="71">
      <c r="A161" s="14">
        <f>IF(B161="","",ROW()-3)</f>
        <v>158</v>
      </c>
      <c r="B161" s="14" t="str">
        <f>IF(_辅助!$B161="","",IF(_辅助!$B161&lt;=1000,INDEX(存条明细!$C$4:$C$1003,_辅助!$B161),INDEX(出库明细!$C$4:$C$3003,_辅助!$B161-1000)))</f>
        <v>福旺家优购</v>
      </c>
      <c r="C161" s="14" t="str">
        <f>IF(_辅助!$B161="","",IF(_辅助!$B161&lt;=1000,INDEX(存条明细!$D$4:$D$1003,_辅助!$B161),INDEX(出库明细!$D$4:$D$3003,_辅助!$B161-1000)))</f>
        <v>九制陈皮</v>
      </c>
      <c r="D161" s="14">
        <f>IF($B161="","",IFERROR(SUMIFS(存条明细!E:E,存条明细!C:C,$B161,存条明细!D:D,$C161),0))</f>
        <v>2</v>
      </c>
      <c r="E161" s="156">
        <f>IF(OR($B161="",N(D161)=0),"",ROUND(F161/D161,2))</f>
        <v>50</v>
      </c>
      <c r="F161" s="156">
        <f>IF($B161="","",IFERROR(SUMIFS(存条明细!G:G,存条明细!C:C,$B161,存条明细!D:D,$C161),0))</f>
        <v>100</v>
      </c>
      <c r="G161" s="14">
        <f>IF($B161="","",IFERROR(SUMIFS(出库明细!E:E,出库明细!C:C,$B161,出库明细!D:D,$C161),0))</f>
        <v>2</v>
      </c>
      <c r="H161" s="156">
        <f>IF($B161="","",IFERROR(SUMIFS(出库明细!G:G,出库明细!C:C,$B161,出库明细!D:D,$C161),0))</f>
        <v>100</v>
      </c>
      <c r="I161" s="14">
        <f>IF($B161="","",D161-G161)</f>
        <v>0</v>
      </c>
      <c r="J161" s="156">
        <f>IF($B161="","",F161-H161)</f>
        <v>0</v>
      </c>
      <c r="K161" s="179">
        <f>IF($B161="","",MAX(_xlfn.MAXIFS(存条明细!B:B,存条明细!C:C,$B161,存条明细!D:D,$C161),_xlfn.MAXIFS(出库明细!B:B,出库明细!C:C,$B161,出库明细!D:D,$C161)))</f>
        <v>46219.0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 ht="15" customHeight="1" s="71">
      <c r="A162" s="14">
        <f>IF(B162="","",ROW()-3)</f>
        <v>159</v>
      </c>
      <c r="B162" s="14" t="str">
        <f>IF(_辅助!$B162="","",IF(_辅助!$B162&lt;=1000,INDEX(存条明细!$C$4:$C$1003,_辅助!$B162),INDEX(出库明细!$C$4:$C$3003,_辅助!$B162-1000)))</f>
        <v>福旺家优购</v>
      </c>
      <c r="C162" s="14" t="str">
        <f>IF(_辅助!$B162="","",IF(_辅助!$B162&lt;=1000,INDEX(存条明细!$D$4:$D$1003,_辅助!$B162),INDEX(出库明细!$D$4:$D$3003,_辅助!$B162-1000)))</f>
        <v>小焙好茶</v>
      </c>
      <c r="D162" s="14">
        <f>IF($B162="","",IFERROR(SUMIFS(存条明细!E:E,存条明细!C:C,$B162,存条明细!D:D,$C162),0))</f>
        <v>2</v>
      </c>
      <c r="E162" s="156">
        <f>IF(OR($B162="",N(D162)=0),"",ROUND(F162/D162,2))</f>
        <v>51</v>
      </c>
      <c r="F162" s="156">
        <f>IF($B162="","",IFERROR(SUMIFS(存条明细!G:G,存条明细!C:C,$B162,存条明细!D:D,$C162),0))</f>
        <v>102</v>
      </c>
      <c r="G162" s="14">
        <f>IF($B162="","",IFERROR(SUMIFS(出库明细!E:E,出库明细!C:C,$B162,出库明细!D:D,$C162),0))</f>
        <v>2</v>
      </c>
      <c r="H162" s="156">
        <f>IF($B162="","",IFERROR(SUMIFS(出库明细!G:G,出库明细!C:C,$B162,出库明细!D:D,$C162),0))</f>
        <v>102</v>
      </c>
      <c r="I162" s="14">
        <f>IF($B162="","",D162-G162)</f>
        <v>0</v>
      </c>
      <c r="J162" s="156">
        <f>IF($B162="","",F162-H162)</f>
        <v>0</v>
      </c>
      <c r="K162" s="179">
        <f>IF($B162="","",MAX(_xlfn.MAXIFS(存条明细!B:B,存条明细!C:C,$B162,存条明细!D:D,$C162),_xlfn.MAXIFS(出库明细!B:B,出库明细!C:C,$B162,出库明细!D:D,$C162)))</f>
        <v>46219.0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 ht="15" customHeight="1" s="71">
      <c r="A163" s="14">
        <f>IF(B163="","",ROW()-3)</f>
        <v>160</v>
      </c>
      <c r="B163" s="14" t="str">
        <f>IF(_辅助!$B163="","",IF(_辅助!$B163&lt;=1000,INDEX(存条明细!$C$4:$C$1003,_辅助!$B163),INDEX(出库明细!$C$4:$C$3003,_辅助!$B163-1000)))</f>
        <v>福旺家优购</v>
      </c>
      <c r="C163" s="14" t="str">
        <f>IF(_辅助!$B163="","",IF(_辅助!$B163&lt;=1000,INDEX(存条明细!$D$4:$D$1003,_辅助!$B163),INDEX(出库明细!$D$4:$D$3003,_辅助!$B163-1000)))</f>
        <v>1L焙好茶</v>
      </c>
      <c r="D163" s="14">
        <f>IF($B163="","",IFERROR(SUMIFS(存条明细!E:E,存条明细!C:C,$B163,存条明细!D:D,$C163),0))</f>
        <v>4</v>
      </c>
      <c r="E163" s="156">
        <f>IF(OR($B163="",N(D163)=0),"",ROUND(F163/D163,2))</f>
        <v>46</v>
      </c>
      <c r="F163" s="156">
        <f>IF($B163="","",IFERROR(SUMIFS(存条明细!G:G,存条明细!C:C,$B163,存条明细!D:D,$C163),0))</f>
        <v>184</v>
      </c>
      <c r="G163" s="14">
        <f>IF($B163="","",IFERROR(SUMIFS(出库明细!E:E,出库明细!C:C,$B163,出库明细!D:D,$C163),0))</f>
        <v>4</v>
      </c>
      <c r="H163" s="156">
        <f>IF($B163="","",IFERROR(SUMIFS(出库明细!G:G,出库明细!C:C,$B163,出库明细!D:D,$C163),0))</f>
        <v>184</v>
      </c>
      <c r="I163" s="14">
        <f>IF($B163="","",D163-G163)</f>
        <v>0</v>
      </c>
      <c r="J163" s="156">
        <f>IF($B163="","",F163-H163)</f>
        <v>0</v>
      </c>
      <c r="K163" s="179">
        <f>IF($B163="","",MAX(_xlfn.MAXIFS(存条明细!B:B,存条明细!C:C,$B163,存条明细!D:D,$C163),_xlfn.MAXIFS(出库明细!B:B,出库明细!C:C,$B163,出库明细!D:D,$C163)))</f>
        <v>46219.0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 ht="15" customHeight="1" s="71">
      <c r="A164" s="14">
        <f>IF(B164="","",ROW()-3)</f>
        <v>161</v>
      </c>
      <c r="B164" s="14" t="str">
        <f>IF(_辅助!$B164="","",IF(_辅助!$B164&lt;=1000,INDEX(存条明细!$C$4:$C$1003,_辅助!$B164),INDEX(出库明细!$C$4:$C$3003,_辅助!$B164-1000)))</f>
        <v>红军路怡品折扣店</v>
      </c>
      <c r="C164" s="14" t="str">
        <f>IF(_辅助!$B164="","",IF(_辅助!$B164&lt;=1000,INDEX(存条明细!$D$4:$D$1003,_辅助!$B164),INDEX(出库明细!$D$4:$D$3003,_辅助!$B164-1000)))</f>
        <v>大东鹏</v>
      </c>
      <c r="D164" s="14">
        <f>IF($B164="","",IFERROR(SUMIFS(存条明细!E:E,存条明细!C:C,$B164,存条明细!D:D,$C164),0))</f>
        <v>60</v>
      </c>
      <c r="E164" s="156">
        <f>IF(OR($B164="",N(D164)=0),"",ROUND(F164/D164,2))</f>
        <v>90</v>
      </c>
      <c r="F164" s="156">
        <f>IF($B164="","",IFERROR(SUMIFS(存条明细!G:G,存条明细!C:C,$B164,存条明细!D:D,$C164),0))</f>
        <v>5400</v>
      </c>
      <c r="G164" s="14">
        <f>IF($B164="","",IFERROR(SUMIFS(出库明细!E:E,出库明细!C:C,$B164,出库明细!D:D,$C164),0))</f>
        <v>60</v>
      </c>
      <c r="H164" s="156">
        <f>IF($B164="","",IFERROR(SUMIFS(出库明细!G:G,出库明细!C:C,$B164,出库明细!D:D,$C164),0))</f>
        <v>5400</v>
      </c>
      <c r="I164" s="14">
        <f>IF($B164="","",D164-G164)</f>
        <v>0</v>
      </c>
      <c r="J164" s="156">
        <f>IF($B164="","",F164-H164)</f>
        <v>0</v>
      </c>
      <c r="K164" s="179">
        <f>IF($B164="","",MAX(_xlfn.MAXIFS(存条明细!B:B,存条明细!C:C,$B164,存条明细!D:D,$C164),_xlfn.MAXIFS(出库明细!B:B,出库明细!C:C,$B164,出库明细!D:D,$C164)))</f>
        <v>46247.0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 ht="15" customHeight="1" s="71">
      <c r="A165" s="14">
        <f>IF(B165="","",ROW()-3)</f>
        <v>162</v>
      </c>
      <c r="B165" s="14" t="str">
        <f>IF(_辅助!$B165="","",IF(_辅助!$B165&lt;=1000,INDEX(存条明细!$C$4:$C$1003,_辅助!$B165),INDEX(出库明细!$C$4:$C$3003,_辅助!$B165-1000)))</f>
        <v>贸易广场老吴副食</v>
      </c>
      <c r="C165" s="14" t="str">
        <f>IF(_辅助!$B165="","",IF(_辅助!$B165&lt;=1000,INDEX(存条明细!$D$4:$D$1003,_辅助!$B165),INDEX(出库明细!$D$4:$D$3003,_辅助!$B165-1000)))</f>
        <v>大东鹏</v>
      </c>
      <c r="D165" s="14">
        <f>IF($B165="","",IFERROR(SUMIFS(存条明细!E:E,存条明细!C:C,$B165,存条明细!D:D,$C165),0))</f>
        <v>50</v>
      </c>
      <c r="E165" s="156">
        <f>IF(OR($B165="",N(D165)=0),"",ROUND(F165/D165,2))</f>
        <v>90</v>
      </c>
      <c r="F165" s="156">
        <f>IF($B165="","",IFERROR(SUMIFS(存条明细!G:G,存条明细!C:C,$B165,存条明细!D:D,$C165),0))</f>
        <v>4500</v>
      </c>
      <c r="G165" s="14">
        <f>IF($B165="","",IFERROR(SUMIFS(出库明细!E:E,出库明细!C:C,$B165,出库明细!D:D,$C165),0))</f>
        <v>80</v>
      </c>
      <c r="H165" s="156">
        <f>IF($B165="","",IFERROR(SUMIFS(出库明细!G:G,出库明细!C:C,$B165,出库明细!D:D,$C165),0))</f>
        <v>7200</v>
      </c>
      <c r="I165" s="14">
        <f>IF($B165="","",D165-G165)</f>
        <v>-30</v>
      </c>
      <c r="J165" s="156">
        <f>IF($B165="","",F165-H165)</f>
        <v>-2700</v>
      </c>
      <c r="K165" s="179">
        <f>IF($B165="","",MAX(_xlfn.MAXIFS(存条明细!B:B,存条明细!C:C,$B165,存条明细!D:D,$C165),_xlfn.MAXIFS(出库明细!B:B,出库明细!C:C,$B165,出库明细!D:D,$C165)))</f>
        <v>46287.0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 ht="15" customHeight="1" s="71">
      <c r="A166" s="14">
        <f>IF(B166="","",ROW()-3)</f>
        <v>163</v>
      </c>
      <c r="B166" s="14" t="str">
        <f>IF(_辅助!$B166="","",IF(_辅助!$B166&lt;=1000,INDEX(存条明细!$C$4:$C$1003,_辅助!$B166),INDEX(出库明细!$C$4:$C$3003,_辅助!$B166-1000)))</f>
        <v>贸易广场老吴副食</v>
      </c>
      <c r="C166" s="14" t="str">
        <f>IF(_辅助!$B166="","",IF(_辅助!$B166&lt;=1000,INDEX(存条明细!$D$4:$D$1003,_辅助!$B166),INDEX(出库明细!$D$4:$D$3003,_辅助!$B166-1000)))</f>
        <v>555补水</v>
      </c>
      <c r="D166" s="14">
        <f>IF($B166="","",IFERROR(SUMIFS(存条明细!E:E,存条明细!C:C,$B166,存条明细!D:D,$C166),0))</f>
        <v>0</v>
      </c>
      <c r="E166" s="156">
        <f>IF(OR($B166="",N(D166)=0),"",ROUND(F166/D166,2))</f>
      </c>
      <c r="F166" s="156">
        <f>IF($B166="","",IFERROR(SUMIFS(存条明细!G:G,存条明细!C:C,$B166,存条明细!D:D,$C166),0))</f>
        <v>0</v>
      </c>
      <c r="G166" s="14">
        <f>IF($B166="","",IFERROR(SUMIFS(出库明细!E:E,出库明细!C:C,$B166,出库明细!D:D,$C166),0))</f>
        <v>17.5</v>
      </c>
      <c r="H166" s="156">
        <f>IF($B166="","",IFERROR(SUMIFS(出库明细!G:G,出库明细!C:C,$B166,出库明细!D:D,$C166),0))</f>
        <v>1137.5</v>
      </c>
      <c r="I166" s="14">
        <f>IF($B166="","",D166-G166)</f>
        <v>-17.5</v>
      </c>
      <c r="J166" s="156">
        <f>IF($B166="","",F166-H166)</f>
        <v>-1137.5</v>
      </c>
      <c r="K166" s="179">
        <f>IF($B166="","",MAX(_xlfn.MAXIFS(存条明细!B:B,存条明细!C:C,$B166,存条明细!D:D,$C166),_xlfn.MAXIFS(出库明细!B:B,出库明细!C:C,$B166,出库明细!D:D,$C166)))</f>
        <v>46281.0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 ht="15" customHeight="1" s="71">
      <c r="A167" s="14">
        <f>IF(B167="","",ROW()-3)</f>
        <v>164</v>
      </c>
      <c r="B167" s="14" t="str">
        <f>IF(_辅助!$B167="","",IF(_辅助!$B167&lt;=1000,INDEX(存条明细!$C$4:$C$1003,_辅助!$B167),INDEX(出库明细!$C$4:$C$3003,_辅助!$B167-1000)))</f>
        <v>贸易广场老吴副食</v>
      </c>
      <c r="C167" s="14" t="str">
        <f>IF(_辅助!$B167="","",IF(_辅助!$B167&lt;=1000,INDEX(存条明细!$D$4:$D$1003,_辅助!$B167),INDEX(出库明细!$D$4:$D$3003,_辅助!$B167-1000)))</f>
        <v>1L补水</v>
      </c>
      <c r="D167" s="14">
        <f>IF($B167="","",IFERROR(SUMIFS(存条明细!E:E,存条明细!C:C,$B167,存条明细!D:D,$C167),0))</f>
        <v>0</v>
      </c>
      <c r="E167" s="156">
        <f>IF(OR($B167="",N(D167)=0),"",ROUND(F167/D167,2))</f>
      </c>
      <c r="F167" s="156">
        <f>IF($B167="","",IFERROR(SUMIFS(存条明细!G:G,存条明细!C:C,$B167,存条明细!D:D,$C167),0))</f>
        <v>0</v>
      </c>
      <c r="G167" s="14">
        <f>IF($B167="","",IFERROR(SUMIFS(出库明细!E:E,出库明细!C:C,$B167,出库明细!D:D,$C167),0))</f>
        <v>17.5</v>
      </c>
      <c r="H167" s="156">
        <f>IF($B167="","",IFERROR(SUMIFS(出库明细!G:G,出库明细!C:C,$B167,出库明细!D:D,$C167),0))</f>
        <v>962.5</v>
      </c>
      <c r="I167" s="14">
        <f>IF($B167="","",D167-G167)</f>
        <v>-17.5</v>
      </c>
      <c r="J167" s="156">
        <f>IF($B167="","",F167-H167)</f>
        <v>-962.5</v>
      </c>
      <c r="K167" s="179">
        <f>IF($B167="","",MAX(_xlfn.MAXIFS(存条明细!B:B,存条明细!C:C,$B167,存条明细!D:D,$C167),_xlfn.MAXIFS(出库明细!B:B,出库明细!C:C,$B167,出库明细!D:D,$C167)))</f>
        <v>46281.0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 ht="15" customHeight="1" s="71">
      <c r="A168" s="14">
        <f>IF(B168="","",ROW()-3)</f>
        <v>165</v>
      </c>
      <c r="B168" s="14" t="str">
        <f>IF(_辅助!$B168="","",IF(_辅助!$B168&lt;=1000,INDEX(存条明细!$C$4:$C$1003,_辅助!$B168),INDEX(出库明细!$C$4:$C$3003,_辅助!$B168-1000)))</f>
        <v>贸易广场老吴副食</v>
      </c>
      <c r="C168" s="14" t="str">
        <f>IF(_辅助!$B168="","",IF(_辅助!$B168&lt;=1000,INDEX(存条明细!$D$4:$D$1003,_辅助!$B168),INDEX(出库明细!$D$4:$D$3003,_辅助!$B168-1000)))</f>
        <v>小果之茶</v>
      </c>
      <c r="D168" s="14">
        <f>IF($B168="","",IFERROR(SUMIFS(存条明细!E:E,存条明细!C:C,$B168,存条明细!D:D,$C168),0))</f>
        <v>0</v>
      </c>
      <c r="E168" s="156">
        <f>IF(OR($B168="",N(D168)=0),"",ROUND(F168/D168,2))</f>
      </c>
      <c r="F168" s="156">
        <f>IF($B168="","",IFERROR(SUMIFS(存条明细!G:G,存条明细!C:C,$B168,存条明细!D:D,$C168),0))</f>
        <v>0</v>
      </c>
      <c r="G168" s="14">
        <f>IF($B168="","",IFERROR(SUMIFS(出库明细!E:E,出库明细!C:C,$B168,出库明细!D:D,$C168),0))</f>
        <v>436</v>
      </c>
      <c r="H168" s="156">
        <f>IF($B168="","",IFERROR(SUMIFS(出库明细!G:G,出库明细!C:C,$B168,出库明细!D:D,$C168),0))</f>
        <v>24722</v>
      </c>
      <c r="I168" s="14">
        <f>IF($B168="","",D168-G168)</f>
        <v>-436</v>
      </c>
      <c r="J168" s="156">
        <f>IF($B168="","",F168-H168)</f>
        <v>-24722</v>
      </c>
      <c r="K168" s="179">
        <f>IF($B168="","",MAX(_xlfn.MAXIFS(存条明细!B:B,存条明细!C:C,$B168,存条明细!D:D,$C168),_xlfn.MAXIFS(出库明细!B:B,出库明细!C:C,$B168,出库明细!D:D,$C168)))</f>
        <v>46287.0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 ht="15" customHeight="1" s="71">
      <c r="A169" s="14">
        <f>IF(B169="","",ROW()-3)</f>
        <v>166</v>
      </c>
      <c r="B169" s="14" t="str">
        <f>IF(_辅助!$B169="","",IF(_辅助!$B169&lt;=1000,INDEX(存条明细!$C$4:$C$1003,_辅助!$B169),INDEX(出库明细!$C$4:$C$3003,_辅助!$B169-1000)))</f>
        <v>贸易广场老吴副食</v>
      </c>
      <c r="C169" s="14" t="str">
        <f>IF(_辅助!$B169="","",IF(_辅助!$B169&lt;=1000,INDEX(存条明细!$D$4:$D$1003,_辅助!$B169),INDEX(出库明细!$D$4:$D$3003,_辅助!$B169-1000)))</f>
        <v>1L果之茶</v>
      </c>
      <c r="D169" s="14">
        <f>IF($B169="","",IFERROR(SUMIFS(存条明细!E:E,存条明细!C:C,$B169,存条明细!D:D,$C169),0))</f>
        <v>0</v>
      </c>
      <c r="E169" s="156">
        <f>IF(OR($B169="",N(D169)=0),"",ROUND(F169/D169,2))</f>
      </c>
      <c r="F169" s="156">
        <f>IF($B169="","",IFERROR(SUMIFS(存条明细!G:G,存条明细!C:C,$B169,存条明细!D:D,$C169),0))</f>
        <v>0</v>
      </c>
      <c r="G169" s="14">
        <f>IF($B169="","",IFERROR(SUMIFS(出库明细!E:E,出库明细!C:C,$B169,出库明细!D:D,$C169),0))</f>
        <v>35</v>
      </c>
      <c r="H169" s="156">
        <f>IF($B169="","",IFERROR(SUMIFS(出库明细!G:G,出库明细!C:C,$B169,出库明细!D:D,$C169),0))</f>
        <v>1505</v>
      </c>
      <c r="I169" s="14">
        <f>IF($B169="","",D169-G169)</f>
        <v>-35</v>
      </c>
      <c r="J169" s="156">
        <f>IF($B169="","",F169-H169)</f>
        <v>-1505</v>
      </c>
      <c r="K169" s="179">
        <f>IF($B169="","",MAX(_xlfn.MAXIFS(存条明细!B:B,存条明细!C:C,$B169,存条明细!D:D,$C169),_xlfn.MAXIFS(出库明细!B:B,出库明细!C:C,$B169,出库明细!D:D,$C169)))</f>
        <v>46265.0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 ht="15" customHeight="1" s="71">
      <c r="A170" s="14">
        <f>IF(B170="","",ROW()-3)</f>
        <v>167</v>
      </c>
      <c r="B170" s="14" t="str">
        <f>IF(_辅助!$B170="","",IF(_辅助!$B170&lt;=1000,INDEX(存条明细!$C$4:$C$1003,_辅助!$B170),INDEX(出库明细!$C$4:$C$3003,_辅助!$B170-1000)))</f>
        <v>均村桃姐水果店</v>
      </c>
      <c r="C170" s="14" t="str">
        <f>IF(_辅助!$B170="","",IF(_辅助!$B170&lt;=1000,INDEX(存条明细!$D$4:$D$1003,_辅助!$B170),INDEX(出库明细!$D$4:$D$3003,_辅助!$B170-1000)))</f>
        <v>小果之茶</v>
      </c>
      <c r="D170" s="14">
        <f>IF($B170="","",IFERROR(SUMIFS(存条明细!E:E,存条明细!C:C,$B170,存条明细!D:D,$C170),0))</f>
        <v>0</v>
      </c>
      <c r="E170" s="156">
        <f>IF(OR($B170="",N(D170)=0),"",ROUND(F170/D170,2))</f>
      </c>
      <c r="F170" s="156">
        <f>IF($B170="","",IFERROR(SUMIFS(存条明细!G:G,存条明细!C:C,$B170,存条明细!D:D,$C170),0))</f>
        <v>0</v>
      </c>
      <c r="G170" s="14">
        <f>IF($B170="","",IFERROR(SUMIFS(出库明细!E:E,出库明细!C:C,$B170,出库明细!D:D,$C170),0))</f>
        <v>35</v>
      </c>
      <c r="H170" s="156">
        <f>IF($B170="","",IFERROR(SUMIFS(出库明细!G:G,出库明细!C:C,$B170,出库明细!D:D,$C170),0))</f>
        <v>1750</v>
      </c>
      <c r="I170" s="14">
        <f>IF($B170="","",D170-G170)</f>
        <v>-35</v>
      </c>
      <c r="J170" s="156">
        <f>IF($B170="","",F170-H170)</f>
        <v>-1750</v>
      </c>
      <c r="K170" s="179">
        <f>IF($B170="","",MAX(_xlfn.MAXIFS(存条明细!B:B,存条明细!C:C,$B170,存条明细!D:D,$C170),_xlfn.MAXIFS(出库明细!B:B,出库明细!C:C,$B170,出库明细!D:D,$C170)))</f>
        <v>46279.0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 ht="15" customHeight="1" s="71">
      <c r="A171" s="14">
        <f>IF(B171="","",ROW()-3)</f>
        <v>168</v>
      </c>
      <c r="B171" s="14" t="str">
        <f>IF(_辅助!$B171="","",IF(_辅助!$B171&lt;=1000,INDEX(存条明细!$C$4:$C$1003,_辅助!$B171),INDEX(出库明细!$C$4:$C$3003,_辅助!$B171-1000)))</f>
        <v>均村桃姐水果店</v>
      </c>
      <c r="C171" s="14" t="str">
        <f>IF(_辅助!$B171="","",IF(_辅助!$B171&lt;=1000,INDEX(存条明细!$D$4:$D$1003,_辅助!$B171),INDEX(出库明细!$D$4:$D$3003,_辅助!$B171-1000)))</f>
        <v>1L果之茶</v>
      </c>
      <c r="D171" s="14">
        <f>IF($B171="","",IFERROR(SUMIFS(存条明细!E:E,存条明细!C:C,$B171,存条明细!D:D,$C171),0))</f>
        <v>0</v>
      </c>
      <c r="E171" s="156">
        <f>IF(OR($B171="",N(D171)=0),"",ROUND(F171/D171,2))</f>
      </c>
      <c r="F171" s="156">
        <f>IF($B171="","",IFERROR(SUMIFS(存条明细!G:G,存条明细!C:C,$B171,存条明细!D:D,$C171),0))</f>
        <v>0</v>
      </c>
      <c r="G171" s="14">
        <f>IF($B171="","",IFERROR(SUMIFS(出库明细!E:E,出库明细!C:C,$B171,出库明细!D:D,$C171),0))</f>
        <v>4</v>
      </c>
      <c r="H171" s="156">
        <f>IF($B171="","",IFERROR(SUMIFS(出库明细!G:G,出库明细!C:C,$B171,出库明细!D:D,$C171),0))</f>
        <v>184</v>
      </c>
      <c r="I171" s="14">
        <f>IF($B171="","",D171-G171)</f>
        <v>-4</v>
      </c>
      <c r="J171" s="156">
        <f>IF($B171="","",F171-H171)</f>
        <v>-184</v>
      </c>
      <c r="K171" s="179">
        <f>IF($B171="","",MAX(_xlfn.MAXIFS(存条明细!B:B,存条明细!C:C,$B171,存条明细!D:D,$C171),_xlfn.MAXIFS(出库明细!B:B,出库明细!C:C,$B171,出库明细!D:D,$C171)))</f>
        <v>46241.0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 ht="15" customHeight="1" s="71">
      <c r="A172" s="14">
        <f>IF(B172="","",ROW()-3)</f>
        <v>169</v>
      </c>
      <c r="B172" s="14" t="str">
        <f>IF(_辅助!$B172="","",IF(_辅助!$B172&lt;=1000,INDEX(存条明细!$C$4:$C$1003,_辅助!$B172),INDEX(出库明细!$C$4:$C$3003,_辅助!$B172-1000)))</f>
        <v>小梅商行</v>
      </c>
      <c r="C172" s="14" t="str">
        <f>IF(_辅助!$B172="","",IF(_辅助!$B172&lt;=1000,INDEX(存条明细!$D$4:$D$1003,_辅助!$B172),INDEX(出库明细!$D$4:$D$3003,_辅助!$B172-1000)))</f>
        <v>大东鹏</v>
      </c>
      <c r="D172" s="14">
        <f>IF($B172="","",IFERROR(SUMIFS(存条明细!E:E,存条明细!C:C,$B172,存条明细!D:D,$C172),0))</f>
        <v>4000</v>
      </c>
      <c r="E172" s="156">
        <f>IF(OR($B172="",N(D172)=0),"",ROUND(F172/D172,2))</f>
        <v>90</v>
      </c>
      <c r="F172" s="156">
        <f>IF($B172="","",IFERROR(SUMIFS(存条明细!G:G,存条明细!C:C,$B172,存条明细!D:D,$C172),0))</f>
        <v>360000</v>
      </c>
      <c r="G172" s="14">
        <f>IF($B172="","",IFERROR(SUMIFS(出库明细!E:E,出库明细!C:C,$B172,出库明细!D:D,$C172),0))</f>
        <v>1550</v>
      </c>
      <c r="H172" s="156">
        <f>IF($B172="","",IFERROR(SUMIFS(出库明细!G:G,出库明细!C:C,$B172,出库明细!D:D,$C172),0))</f>
        <v>139500</v>
      </c>
      <c r="I172" s="14">
        <f>IF($B172="","",D172-G172)</f>
        <v>2450</v>
      </c>
      <c r="J172" s="156">
        <f>IF($B172="","",F172-H172)</f>
        <v>220500</v>
      </c>
      <c r="K172" s="179">
        <f>IF($B172="","",MAX(_xlfn.MAXIFS(存条明细!B:B,存条明细!C:C,$B172,存条明细!D:D,$C172),_xlfn.MAXIFS(出库明细!B:B,出库明细!C:C,$B172,出库明细!D:D,$C172)))</f>
        <v>46275.0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 ht="15" customHeight="1" s="71">
      <c r="A173" s="14">
        <f>IF(B173="","",ROW()-3)</f>
        <v>170</v>
      </c>
      <c r="B173" s="14" t="str">
        <f>IF(_辅助!$B173="","",IF(_辅助!$B173&lt;=1000,INDEX(存条明细!$C$4:$C$1003,_辅助!$B173),INDEX(出库明细!$C$4:$C$3003,_辅助!$B173-1000)))</f>
        <v>小梅商行</v>
      </c>
      <c r="C173" s="14" t="str">
        <f>IF(_辅助!$B173="","",IF(_辅助!$B173&lt;=1000,INDEX(存条明细!$D$4:$D$1003,_辅助!$B173),INDEX(出库明细!$D$4:$D$3003,_辅助!$B173-1000)))</f>
        <v>555补水</v>
      </c>
      <c r="D173" s="14">
        <f>IF($B173="","",IFERROR(SUMIFS(存条明细!E:E,存条明细!C:C,$B173,存条明细!D:D,$C173),0))</f>
        <v>220</v>
      </c>
      <c r="E173" s="156">
        <f>IF(OR($B173="",N(D173)=0),"",ROUND(F173/D173,2))</f>
        <v>59.09</v>
      </c>
      <c r="F173" s="156">
        <f>IF($B173="","",IFERROR(SUMIFS(存条明细!G:G,存条明细!C:C,$B173,存条明细!D:D,$C173),0))</f>
        <v>13000</v>
      </c>
      <c r="G173" s="14">
        <f>IF($B173="","",IFERROR(SUMIFS(出库明细!E:E,出库明细!C:C,$B173,出库明细!D:D,$C173),0))</f>
        <v>0</v>
      </c>
      <c r="H173" s="156">
        <f>IF($B173="","",IFERROR(SUMIFS(出库明细!G:G,出库明细!C:C,$B173,出库明细!D:D,$C173),0))</f>
        <v>0</v>
      </c>
      <c r="I173" s="14">
        <f>IF($B173="","",D173-G173)</f>
        <v>220</v>
      </c>
      <c r="J173" s="156">
        <f>IF($B173="","",F173-H173)</f>
        <v>13000</v>
      </c>
      <c r="K173" s="179">
        <f>IF($B173="","",MAX(_xlfn.MAXIFS(存条明细!B:B,存条明细!C:C,$B173,存条明细!D:D,$C173),_xlfn.MAXIFS(出库明细!B:B,出库明细!C:C,$B173,出库明细!D:D,$C173)))</f>
        <v>46251.0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 ht="15" customHeight="1" s="71">
      <c r="A174" s="14">
        <f>IF(B174="","",ROW()-3)</f>
        <v>171</v>
      </c>
      <c r="B174" s="14" t="str">
        <f>IF(_辅助!$B174="","",IF(_辅助!$B174&lt;=1000,INDEX(存条明细!$C$4:$C$1003,_辅助!$B174),INDEX(出库明细!$C$4:$C$3003,_辅助!$B174-1000)))</f>
        <v>小梅商行</v>
      </c>
      <c r="C174" s="14" t="str">
        <f>IF(_辅助!$B174="","",IF(_辅助!$B174&lt;=1000,INDEX(存条明细!$D$4:$D$1003,_辅助!$B174),INDEX(出库明细!$D$4:$D$3003,_辅助!$B174-1000)))</f>
        <v>1L补水</v>
      </c>
      <c r="D174" s="14">
        <f>IF($B174="","",IFERROR(SUMIFS(存条明细!E:E,存条明细!C:C,$B174,存条明细!D:D,$C174),0))</f>
        <v>624</v>
      </c>
      <c r="E174" s="156">
        <f>IF(OR($B174="",N(D174)=0),"",ROUND(F174/D174,2))</f>
        <v>52.88</v>
      </c>
      <c r="F174" s="156">
        <f>IF($B174="","",IFERROR(SUMIFS(存条明细!G:G,存条明细!C:C,$B174,存条明细!D:D,$C174),0))</f>
        <v>33000</v>
      </c>
      <c r="G174" s="14">
        <f>IF($B174="","",IFERROR(SUMIFS(出库明细!E:E,出库明细!C:C,$B174,出库明细!D:D,$C174),0))</f>
        <v>203</v>
      </c>
      <c r="H174" s="156">
        <f>IF($B174="","",IFERROR(SUMIFS(出库明细!G:G,出库明细!C:C,$B174,出库明细!D:D,$C174),0))</f>
        <v>11165</v>
      </c>
      <c r="I174" s="14">
        <f>IF($B174="","",D174-G174)</f>
        <v>421</v>
      </c>
      <c r="J174" s="156">
        <f>IF($B174="","",F174-H174)</f>
        <v>21835</v>
      </c>
      <c r="K174" s="179">
        <f>IF($B174="","",MAX(_xlfn.MAXIFS(存条明细!B:B,存条明细!C:C,$B174,存条明细!D:D,$C174),_xlfn.MAXIFS(出库明细!B:B,出库明细!C:C,$B174,出库明细!D:D,$C174)))</f>
        <v>46263.0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 ht="15" customHeight="1" s="71">
      <c r="A175" s="14">
        <f>IF(B175="","",ROW()-3)</f>
        <v>172</v>
      </c>
      <c r="B175" s="14" t="str">
        <f>IF(_辅助!$B175="","",IF(_辅助!$B175&lt;=1000,INDEX(存条明细!$C$4:$C$1003,_辅助!$B175),INDEX(出库明细!$C$4:$C$3003,_辅助!$B175-1000)))</f>
        <v>小梅商行</v>
      </c>
      <c r="C175" s="14" t="str">
        <f>IF(_辅助!$B175="","",IF(_辅助!$B175&lt;=1000,INDEX(存条明细!$D$4:$D$1003,_辅助!$B175),INDEX(出库明细!$D$4:$D$3003,_辅助!$B175-1000)))</f>
        <v>小果之茶</v>
      </c>
      <c r="D175" s="14">
        <f>IF($B175="","",IFERROR(SUMIFS(存条明细!E:E,存条明细!C:C,$B175,存条明细!D:D,$C175),0))</f>
        <v>520</v>
      </c>
      <c r="E175" s="156">
        <f>IF(OR($B175="",N(D175)=0),"",ROUND(F175/D175,2))</f>
        <v>46.15</v>
      </c>
      <c r="F175" s="156">
        <f>IF($B175="","",IFERROR(SUMIFS(存条明细!G:G,存条明细!C:C,$B175,存条明细!D:D,$C175),0))</f>
        <v>24000</v>
      </c>
      <c r="G175" s="14">
        <f>IF($B175="","",IFERROR(SUMIFS(出库明细!E:E,出库明细!C:C,$B175,出库明细!D:D,$C175),0))</f>
        <v>150</v>
      </c>
      <c r="H175" s="156">
        <f>IF($B175="","",IFERROR(SUMIFS(出库明细!G:G,出库明细!C:C,$B175,出库明细!D:D,$C175),0))</f>
        <v>7050</v>
      </c>
      <c r="I175" s="14">
        <f>IF($B175="","",D175-G175)</f>
        <v>370</v>
      </c>
      <c r="J175" s="156">
        <f>IF($B175="","",F175-H175)</f>
        <v>16950</v>
      </c>
      <c r="K175" s="179">
        <f>IF($B175="","",MAX(_xlfn.MAXIFS(存条明细!B:B,存条明细!C:C,$B175,存条明细!D:D,$C175),_xlfn.MAXIFS(出库明细!B:B,出库明细!C:C,$B175,出库明细!D:D,$C175)))</f>
        <v>46272.0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 ht="15" customHeight="1" s="71">
      <c r="A176" s="14">
        <f>IF(B176="","",ROW()-3)</f>
        <v>173</v>
      </c>
      <c r="B176" s="14" t="str">
        <f>IF(_辅助!$B176="","",IF(_辅助!$B176&lt;=1000,INDEX(存条明细!$C$4:$C$1003,_辅助!$B176),INDEX(出库明细!$C$4:$C$3003,_辅助!$B176-1000)))</f>
        <v>小梅商行</v>
      </c>
      <c r="C176" s="14" t="str">
        <f>IF(_辅助!$B176="","",IF(_辅助!$B176&lt;=1000,INDEX(存条明细!$D$4:$D$1003,_辅助!$B176),INDEX(出库明细!$D$4:$D$3003,_辅助!$B176-1000)))</f>
        <v>1L果之茶</v>
      </c>
      <c r="D176" s="14">
        <f>IF($B176="","",IFERROR(SUMIFS(存条明细!E:E,存条明细!C:C,$B176,存条明细!D:D,$C176),0))</f>
        <v>624</v>
      </c>
      <c r="E176" s="156">
        <f>IF(OR($B176="",N(D176)=0),"",ROUND(F176/D176,2))</f>
        <v>41.35</v>
      </c>
      <c r="F176" s="156">
        <f>IF($B176="","",IFERROR(SUMIFS(存条明细!G:G,存条明细!C:C,$B176,存条明细!D:D,$C176),0))</f>
        <v>25800</v>
      </c>
      <c r="G176" s="14">
        <f>IF($B176="","",IFERROR(SUMIFS(出库明细!E:E,出库明细!C:C,$B176,出库明细!D:D,$C176),0))</f>
        <v>0</v>
      </c>
      <c r="H176" s="156">
        <f>IF($B176="","",IFERROR(SUMIFS(出库明细!G:G,出库明细!C:C,$B176,出库明细!D:D,$C176),0))</f>
        <v>0</v>
      </c>
      <c r="I176" s="14">
        <f>IF($B176="","",D176-G176)</f>
        <v>624</v>
      </c>
      <c r="J176" s="156">
        <f>IF($B176="","",F176-H176)</f>
        <v>25800</v>
      </c>
      <c r="K176" s="179">
        <f>IF($B176="","",MAX(_xlfn.MAXIFS(存条明细!B:B,存条明细!C:C,$B176,存条明细!D:D,$C176),_xlfn.MAXIFS(出库明细!B:B,出库明细!C:C,$B176,出库明细!D:D,$C176)))</f>
        <v>46251.0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 ht="15" customHeight="1" s="71">
      <c r="A177" s="14">
        <f>IF(B177="","",ROW()-3)</f>
        <v>174</v>
      </c>
      <c r="B177" s="14" t="str">
        <f>IF(_辅助!$B177="","",IF(_辅助!$B177&lt;=1000,INDEX(存条明细!$C$4:$C$1003,_辅助!$B177),INDEX(出库明细!$C$4:$C$3003,_辅助!$B177-1000)))</f>
        <v>小梅商行</v>
      </c>
      <c r="C177" s="14" t="str">
        <f>IF(_辅助!$B177="","",IF(_辅助!$B177&lt;=1000,INDEX(存条明细!$D$4:$D$1003,_辅助!$B177),INDEX(出库明细!$D$4:$D$3003,_辅助!$B177-1000)))</f>
        <v>大咖</v>
      </c>
      <c r="D177" s="14">
        <f>IF($B177="","",IFERROR(SUMIFS(存条明细!E:E,存条明细!C:C,$B177,存条明细!D:D,$C177),0))</f>
        <v>104</v>
      </c>
      <c r="E177" s="156">
        <f>IF(OR($B177="",N(D177)=0),"",ROUND(F177/D177,2))</f>
        <v>79.81</v>
      </c>
      <c r="F177" s="156">
        <f>IF($B177="","",IFERROR(SUMIFS(存条明细!G:G,存条明细!C:C,$B177,存条明细!D:D,$C177),0))</f>
        <v>8300</v>
      </c>
      <c r="G177" s="14">
        <f>IF($B177="","",IFERROR(SUMIFS(出库明细!E:E,出库明细!C:C,$B177,出库明细!D:D,$C177),0))</f>
        <v>0</v>
      </c>
      <c r="H177" s="156">
        <f>IF($B177="","",IFERROR(SUMIFS(出库明细!G:G,出库明细!C:C,$B177,出库明细!D:D,$C177),0))</f>
        <v>0</v>
      </c>
      <c r="I177" s="14">
        <f>IF($B177="","",D177-G177)</f>
        <v>104</v>
      </c>
      <c r="J177" s="156">
        <f>IF($B177="","",F177-H177)</f>
        <v>8300</v>
      </c>
      <c r="K177" s="179">
        <f>IF($B177="","",MAX(_xlfn.MAXIFS(存条明细!B:B,存条明细!C:C,$B177,存条明细!D:D,$C177),_xlfn.MAXIFS(出库明细!B:B,出库明细!C:C,$B177,出库明细!D:D,$C177)))</f>
        <v>46251.0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 ht="15" customHeight="1" s="71">
      <c r="A178" s="14">
        <f>IF(B178="","",ROW()-3)</f>
        <v>175</v>
      </c>
      <c r="B178" s="14" t="str">
        <f>IF(_辅助!$B178="","",IF(_辅助!$B178&lt;=1000,INDEX(存条明细!$C$4:$C$1003,_辅助!$B178),INDEX(出库明细!$C$4:$C$3003,_辅助!$B178-1000)))</f>
        <v>崇贤三角超市</v>
      </c>
      <c r="C178" s="14" t="str">
        <f>IF(_辅助!$B178="","",IF(_辅助!$B178&lt;=1000,INDEX(存条明细!$D$4:$D$1003,_辅助!$B178),INDEX(出库明细!$D$4:$D$3003,_辅助!$B178-1000)))</f>
        <v>大东鹏</v>
      </c>
      <c r="D178" s="14">
        <f>IF($B178="","",IFERROR(SUMIFS(存条明细!E:E,存条明细!C:C,$B178,存条明细!D:D,$C178),0))</f>
        <v>25</v>
      </c>
      <c r="E178" s="156">
        <f>IF(OR($B178="",N(D178)=0),"",ROUND(F178/D178,2))</f>
        <v>93</v>
      </c>
      <c r="F178" s="156">
        <f>IF($B178="","",IFERROR(SUMIFS(存条明细!G:G,存条明细!C:C,$B178,存条明细!D:D,$C178),0))</f>
        <v>2325</v>
      </c>
      <c r="G178" s="14">
        <f>IF($B178="","",IFERROR(SUMIFS(出库明细!E:E,出库明细!C:C,$B178,出库明细!D:D,$C178),0))</f>
        <v>25</v>
      </c>
      <c r="H178" s="156">
        <f>IF($B178="","",IFERROR(SUMIFS(出库明细!G:G,出库明细!C:C,$B178,出库明细!D:D,$C178),0))</f>
        <v>2325</v>
      </c>
      <c r="I178" s="14">
        <f>IF($B178="","",D178-G178)</f>
        <v>0</v>
      </c>
      <c r="J178" s="156">
        <f>IF($B178="","",F178-H178)</f>
        <v>0</v>
      </c>
      <c r="K178" s="179">
        <f>IF($B178="","",MAX(_xlfn.MAXIFS(存条明细!B:B,存条明细!C:C,$B178,存条明细!D:D,$C178),_xlfn.MAXIFS(出库明细!B:B,出库明细!C:C,$B178,出库明细!D:D,$C178)))</f>
        <v>46254.0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 ht="15" customHeight="1" s="71">
      <c r="A179" s="14">
        <f>IF(B179="","",ROW()-3)</f>
        <v>176</v>
      </c>
      <c r="B179" s="14" t="str">
        <f>IF(_辅助!$B179="","",IF(_辅助!$B179&lt;=1000,INDEX(存条明细!$C$4:$C$1003,_辅助!$B179),INDEX(出库明细!$C$4:$C$3003,_辅助!$B179-1000)))</f>
        <v>崇贤三角超市</v>
      </c>
      <c r="C179" s="14" t="str">
        <f>IF(_辅助!$B179="","",IF(_辅助!$B179&lt;=1000,INDEX(存条明细!$D$4:$D$1003,_辅助!$B179),INDEX(出库明细!$D$4:$D$3003,_辅助!$B179-1000)))</f>
        <v>555补水</v>
      </c>
      <c r="D179" s="14">
        <f>IF($B179="","",IFERROR(SUMIFS(存条明细!E:E,存条明细!C:C,$B179,存条明细!D:D,$C179),0))</f>
        <v>5</v>
      </c>
      <c r="E179" s="156">
        <f>IF(OR($B179="",N(D179)=0),"",ROUND(F179/D179,2))</f>
        <v>68</v>
      </c>
      <c r="F179" s="156">
        <f>IF($B179="","",IFERROR(SUMIFS(存条明细!G:G,存条明细!C:C,$B179,存条明细!D:D,$C179),0))</f>
        <v>340</v>
      </c>
      <c r="G179" s="14">
        <f>IF($B179="","",IFERROR(SUMIFS(出库明细!E:E,出库明细!C:C,$B179,出库明细!D:D,$C179),0))</f>
        <v>5</v>
      </c>
      <c r="H179" s="156">
        <f>IF($B179="","",IFERROR(SUMIFS(出库明细!G:G,出库明细!C:C,$B179,出库明细!D:D,$C179),0))</f>
        <v>340</v>
      </c>
      <c r="I179" s="14">
        <f>IF($B179="","",D179-G179)</f>
        <v>0</v>
      </c>
      <c r="J179" s="156">
        <f>IF($B179="","",F179-H179)</f>
        <v>0</v>
      </c>
      <c r="K179" s="179">
        <f>IF($B179="","",MAX(_xlfn.MAXIFS(存条明细!B:B,存条明细!C:C,$B179,存条明细!D:D,$C179),_xlfn.MAXIFS(出库明细!B:B,出库明细!C:C,$B179,出库明细!D:D,$C179)))</f>
        <v>46254.0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 ht="15" customHeight="1" s="71">
      <c r="A180" s="14">
        <f>IF(B180="","",ROW()-3)</f>
        <v>177</v>
      </c>
      <c r="B180" s="14" t="str">
        <f>IF(_辅助!$B180="","",IF(_辅助!$B180&lt;=1000,INDEX(存条明细!$C$4:$C$1003,_辅助!$B180),INDEX(出库明细!$C$4:$C$3003,_辅助!$B180-1000)))</f>
        <v>崇贤三角超市</v>
      </c>
      <c r="C180" s="14" t="str">
        <f>IF(_辅助!$B180="","",IF(_辅助!$B180&lt;=1000,INDEX(存条明细!$D$4:$D$1003,_辅助!$B180),INDEX(出库明细!$D$4:$D$3003,_辅助!$B180-1000)))</f>
        <v>1L补水</v>
      </c>
      <c r="D180" s="14">
        <f>IF($B180="","",IFERROR(SUMIFS(存条明细!E:E,存条明细!C:C,$B180,存条明细!D:D,$C180),0))</f>
        <v>5</v>
      </c>
      <c r="E180" s="156">
        <f>IF(OR($B180="",N(D180)=0),"",ROUND(F180/D180,2))</f>
        <v>58</v>
      </c>
      <c r="F180" s="156">
        <f>IF($B180="","",IFERROR(SUMIFS(存条明细!G:G,存条明细!C:C,$B180,存条明细!D:D,$C180),0))</f>
        <v>290</v>
      </c>
      <c r="G180" s="14">
        <f>IF($B180="","",IFERROR(SUMIFS(出库明细!E:E,出库明细!C:C,$B180,出库明细!D:D,$C180),0))</f>
        <v>5</v>
      </c>
      <c r="H180" s="156">
        <f>IF($B180="","",IFERROR(SUMIFS(出库明细!G:G,出库明细!C:C,$B180,出库明细!D:D,$C180),0))</f>
        <v>290</v>
      </c>
      <c r="I180" s="14">
        <f>IF($B180="","",D180-G180)</f>
        <v>0</v>
      </c>
      <c r="J180" s="156">
        <f>IF($B180="","",F180-H180)</f>
        <v>0</v>
      </c>
      <c r="K180" s="179">
        <f>IF($B180="","",MAX(_xlfn.MAXIFS(存条明细!B:B,存条明细!C:C,$B180,存条明细!D:D,$C180),_xlfn.MAXIFS(出库明细!B:B,出库明细!C:C,$B180,出库明细!D:D,$C180)))</f>
        <v>46221.0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 ht="15" customHeight="1" s="71">
      <c r="A181" s="14">
        <f>IF(B181="","",ROW()-3)</f>
        <v>178</v>
      </c>
      <c r="B181" s="14" t="str">
        <f>IF(_辅助!$B181="","",IF(_辅助!$B181&lt;=1000,INDEX(存条明细!$C$4:$C$1003,_辅助!$B181),INDEX(出库明细!$C$4:$C$3003,_辅助!$B181-1000)))</f>
        <v>财源批发</v>
      </c>
      <c r="C181" s="14" t="str">
        <f>IF(_辅助!$B181="","",IF(_辅助!$B181&lt;=1000,INDEX(存条明细!$D$4:$D$1003,_辅助!$B181),INDEX(出库明细!$D$4:$D$3003,_辅助!$B181-1000)))</f>
        <v>大东鹏</v>
      </c>
      <c r="D181" s="14">
        <f>IF($B181="","",IFERROR(SUMIFS(存条明细!E:E,存条明细!C:C,$B181,存条明细!D:D,$C181),0))</f>
        <v>50</v>
      </c>
      <c r="E181" s="156">
        <f>IF(OR($B181="",N(D181)=0),"",ROUND(F181/D181,2))</f>
        <v>90</v>
      </c>
      <c r="F181" s="156">
        <f>IF($B181="","",IFERROR(SUMIFS(存条明细!G:G,存条明细!C:C,$B181,存条明细!D:D,$C181),0))</f>
        <v>4500</v>
      </c>
      <c r="G181" s="14">
        <f>IF($B181="","",IFERROR(SUMIFS(出库明细!E:E,出库明细!C:C,$B181,出库明细!D:D,$C181),0))</f>
        <v>50</v>
      </c>
      <c r="H181" s="156">
        <f>IF($B181="","",IFERROR(SUMIFS(出库明细!G:G,出库明细!C:C,$B181,出库明细!D:D,$C181),0))</f>
        <v>4500</v>
      </c>
      <c r="I181" s="14">
        <f>IF($B181="","",D181-G181)</f>
        <v>0</v>
      </c>
      <c r="J181" s="156">
        <f>IF($B181="","",F181-H181)</f>
        <v>0</v>
      </c>
      <c r="K181" s="179">
        <f>IF($B181="","",MAX(_xlfn.MAXIFS(存条明细!B:B,存条明细!C:C,$B181,存条明细!D:D,$C181),_xlfn.MAXIFS(出库明细!B:B,出库明细!C:C,$B181,出库明细!D:D,$C181)))</f>
        <v>46247.0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 ht="15" customHeight="1" s="71">
      <c r="A182" s="14">
        <f>IF(B182="","",ROW()-3)</f>
        <v>179</v>
      </c>
      <c r="B182" s="14" t="str">
        <f>IF(_辅助!$B182="","",IF(_辅助!$B182&lt;=1000,INDEX(存条明细!$C$4:$C$1003,_辅助!$B182),INDEX(出库明细!$C$4:$C$3003,_辅助!$B182-1000)))</f>
        <v>标哥副食</v>
      </c>
      <c r="C182" s="14" t="str">
        <f>IF(_辅助!$B182="","",IF(_辅助!$B182&lt;=1000,INDEX(存条明细!$D$4:$D$1003,_辅助!$B182),INDEX(出库明细!$D$4:$D$3003,_辅助!$B182-1000)))</f>
        <v>大东鹏</v>
      </c>
      <c r="D182" s="14">
        <f>IF($B182="","",IFERROR(SUMIFS(存条明细!E:E,存条明细!C:C,$B182,存条明细!D:D,$C182),0))</f>
        <v>15.5</v>
      </c>
      <c r="E182" s="156">
        <f>IF(OR($B182="",N(D182)=0),"",ROUND(F182/D182,2))</f>
        <v>93</v>
      </c>
      <c r="F182" s="156">
        <f>IF($B182="","",IFERROR(SUMIFS(存条明细!G:G,存条明细!C:C,$B182,存条明细!D:D,$C182),0))</f>
        <v>1441.5</v>
      </c>
      <c r="G182" s="14">
        <f>IF($B182="","",IFERROR(SUMIFS(出库明细!E:E,出库明细!C:C,$B182,出库明细!D:D,$C182),0))</f>
        <v>15.5</v>
      </c>
      <c r="H182" s="156">
        <f>IF($B182="","",IFERROR(SUMIFS(出库明细!G:G,出库明细!C:C,$B182,出库明细!D:D,$C182),0))</f>
        <v>1441.5</v>
      </c>
      <c r="I182" s="14">
        <f>IF($B182="","",D182-G182)</f>
        <v>0</v>
      </c>
      <c r="J182" s="156">
        <f>IF($B182="","",F182-H182)</f>
        <v>0</v>
      </c>
      <c r="K182" s="179">
        <f>IF($B182="","",MAX(_xlfn.MAXIFS(存条明细!B:B,存条明细!C:C,$B182,存条明细!D:D,$C182),_xlfn.MAXIFS(出库明细!B:B,出库明细!C:C,$B182,出库明细!D:D,$C182)))</f>
        <v>46254.0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 ht="15" customHeight="1" s="71">
      <c r="A183" s="14">
        <f>IF(B183="","",ROW()-3)</f>
        <v>180</v>
      </c>
      <c r="B183" s="14" t="str">
        <f>IF(_辅助!$B183="","",IF(_辅助!$B183&lt;=1000,INDEX(存条明细!$C$4:$C$1003,_辅助!$B183),INDEX(出库明细!$C$4:$C$3003,_辅助!$B183-1000)))</f>
        <v>标哥副食</v>
      </c>
      <c r="C183" s="14" t="str">
        <f>IF(_辅助!$B183="","",IF(_辅助!$B183&lt;=1000,INDEX(存条明细!$D$4:$D$1003,_辅助!$B183),INDEX(出库明细!$D$4:$D$3003,_辅助!$B183-1000)))</f>
        <v>555补水</v>
      </c>
      <c r="D183" s="14">
        <f>IF($B183="","",IFERROR(SUMIFS(存条明细!E:E,存条明细!C:C,$B183,存条明细!D:D,$C183),0))</f>
        <v>2.5</v>
      </c>
      <c r="E183" s="156">
        <f>IF(OR($B183="",N(D183)=0),"",ROUND(F183/D183,2))</f>
        <v>68</v>
      </c>
      <c r="F183" s="156">
        <f>IF($B183="","",IFERROR(SUMIFS(存条明细!G:G,存条明细!C:C,$B183,存条明细!D:D,$C183),0))</f>
        <v>170</v>
      </c>
      <c r="G183" s="14">
        <f>IF($B183="","",IFERROR(SUMIFS(出库明细!E:E,出库明细!C:C,$B183,出库明细!D:D,$C183),0))</f>
        <v>2.5</v>
      </c>
      <c r="H183" s="156">
        <f>IF($B183="","",IFERROR(SUMIFS(出库明细!G:G,出库明细!C:C,$B183,出库明细!D:D,$C183),0))</f>
        <v>170</v>
      </c>
      <c r="I183" s="14">
        <f>IF($B183="","",D183-G183)</f>
        <v>0</v>
      </c>
      <c r="J183" s="156">
        <f>IF($B183="","",F183-H183)</f>
        <v>0</v>
      </c>
      <c r="K183" s="179">
        <f>IF($B183="","",MAX(_xlfn.MAXIFS(存条明细!B:B,存条明细!C:C,$B183,存条明细!D:D,$C183),_xlfn.MAXIFS(出库明细!B:B,出库明细!C:C,$B183,出库明细!D:D,$C183)))</f>
        <v>46254.0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 ht="15" customHeight="1" s="71">
      <c r="A184" s="14">
        <f>IF(B184="","",ROW()-3)</f>
        <v>181</v>
      </c>
      <c r="B184" s="14" t="str">
        <f>IF(_辅助!$B184="","",IF(_辅助!$B184&lt;=1000,INDEX(存条明细!$C$4:$C$1003,_辅助!$B184),INDEX(出库明细!$C$4:$C$3003,_辅助!$B184-1000)))</f>
        <v>标哥副食</v>
      </c>
      <c r="C184" s="14" t="str">
        <f>IF(_辅助!$B184="","",IF(_辅助!$B184&lt;=1000,INDEX(存条明细!$D$4:$D$1003,_辅助!$B184),INDEX(出库明细!$D$4:$D$3003,_辅助!$B184-1000)))</f>
        <v>1L补水</v>
      </c>
      <c r="D184" s="14">
        <f>IF($B184="","",IFERROR(SUMIFS(存条明细!E:E,存条明细!C:C,$B184,存条明细!D:D,$C184),0))</f>
        <v>1</v>
      </c>
      <c r="E184" s="156">
        <f>IF(OR($B184="",N(D184)=0),"",ROUND(F184/D184,2))</f>
        <v>58</v>
      </c>
      <c r="F184" s="156">
        <f>IF($B184="","",IFERROR(SUMIFS(存条明细!G:G,存条明细!C:C,$B184,存条明细!D:D,$C184),0))</f>
        <v>58</v>
      </c>
      <c r="G184" s="14">
        <f>IF($B184="","",IFERROR(SUMIFS(出库明细!E:E,出库明细!C:C,$B184,出库明细!D:D,$C184),0))</f>
        <v>1</v>
      </c>
      <c r="H184" s="156">
        <f>IF($B184="","",IFERROR(SUMIFS(出库明细!G:G,出库明细!C:C,$B184,出库明细!D:D,$C184),0))</f>
        <v>58</v>
      </c>
      <c r="I184" s="14">
        <f>IF($B184="","",D184-G184)</f>
        <v>0</v>
      </c>
      <c r="J184" s="156">
        <f>IF($B184="","",F184-H184)</f>
        <v>0</v>
      </c>
      <c r="K184" s="179">
        <f>IF($B184="","",MAX(_xlfn.MAXIFS(存条明细!B:B,存条明细!C:C,$B184,存条明细!D:D,$C184),_xlfn.MAXIFS(出库明细!B:B,出库明细!C:C,$B184,出库明细!D:D,$C184)))</f>
        <v>46254.0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 ht="15" customHeight="1" s="71">
      <c r="A185" s="14">
        <f>IF(B185="","",ROW()-3)</f>
        <v>182</v>
      </c>
      <c r="B185" s="14" t="str">
        <f>IF(_辅助!$B185="","",IF(_辅助!$B185&lt;=1000,INDEX(存条明细!$C$4:$C$1003,_辅助!$B185),INDEX(出库明细!$C$4:$C$3003,_辅助!$B185-1000)))</f>
        <v>标哥副食</v>
      </c>
      <c r="C185" s="14" t="str">
        <f>IF(_辅助!$B185="","",IF(_辅助!$B185&lt;=1000,INDEX(存条明细!$D$4:$D$1003,_辅助!$B185),INDEX(出库明细!$D$4:$D$3003,_辅助!$B185-1000)))</f>
        <v>小果之茶</v>
      </c>
      <c r="D185" s="14">
        <f>IF($B185="","",IFERROR(SUMIFS(存条明细!E:E,存条明细!C:C,$B185,存条明细!D:D,$C185),0))</f>
        <v>1</v>
      </c>
      <c r="E185" s="156">
        <f>IF(OR($B185="",N(D185)=0),"",ROUND(F185/D185,2))</f>
        <v>50</v>
      </c>
      <c r="F185" s="156">
        <f>IF($B185="","",IFERROR(SUMIFS(存条明细!G:G,存条明细!C:C,$B185,存条明细!D:D,$C185),0))</f>
        <v>50</v>
      </c>
      <c r="G185" s="14">
        <f>IF($B185="","",IFERROR(SUMIFS(出库明细!E:E,出库明细!C:C,$B185,出库明细!D:D,$C185),0))</f>
        <v>1</v>
      </c>
      <c r="H185" s="156">
        <f>IF($B185="","",IFERROR(SUMIFS(出库明细!G:G,出库明细!C:C,$B185,出库明细!D:D,$C185),0))</f>
        <v>50</v>
      </c>
      <c r="I185" s="14">
        <f>IF($B185="","",D185-G185)</f>
        <v>0</v>
      </c>
      <c r="J185" s="156">
        <f>IF($B185="","",F185-H185)</f>
        <v>0</v>
      </c>
      <c r="K185" s="179">
        <f>IF($B185="","",MAX(_xlfn.MAXIFS(存条明细!B:B,存条明细!C:C,$B185,存条明细!D:D,$C185),_xlfn.MAXIFS(出库明细!B:B,出库明细!C:C,$B185,出库明细!D:D,$C185)))</f>
        <v>46254.0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 ht="15" customHeight="1" s="71">
      <c r="A186" s="14">
        <f>IF(B186="","",ROW()-3)</f>
        <v>183</v>
      </c>
      <c r="B186" s="14" t="str">
        <f>IF(_辅助!$B186="","",IF(_辅助!$B186&lt;=1000,INDEX(存条明细!$C$4:$C$1003,_辅助!$B186),INDEX(出库明细!$C$4:$C$3003,_辅助!$B186-1000)))</f>
        <v>标哥副食</v>
      </c>
      <c r="C186" s="14" t="str">
        <f>IF(_辅助!$B186="","",IF(_辅助!$B186&lt;=1000,INDEX(存条明细!$D$4:$D$1003,_辅助!$B186),INDEX(出库明细!$D$4:$D$3003,_辅助!$B186-1000)))</f>
        <v>1L果之茶</v>
      </c>
      <c r="D186" s="14">
        <f>IF($B186="","",IFERROR(SUMIFS(存条明细!E:E,存条明细!C:C,$B186,存条明细!D:D,$C186),0))</f>
        <v>5</v>
      </c>
      <c r="E186" s="156">
        <f>IF(OR($B186="",N(D186)=0),"",ROUND(F186/D186,2))</f>
        <v>46</v>
      </c>
      <c r="F186" s="156">
        <f>IF($B186="","",IFERROR(SUMIFS(存条明细!G:G,存条明细!C:C,$B186,存条明细!D:D,$C186),0))</f>
        <v>230</v>
      </c>
      <c r="G186" s="14">
        <f>IF($B186="","",IFERROR(SUMIFS(出库明细!E:E,出库明细!C:C,$B186,出库明细!D:D,$C186),0))</f>
        <v>5</v>
      </c>
      <c r="H186" s="156">
        <f>IF($B186="","",IFERROR(SUMIFS(出库明细!G:G,出库明细!C:C,$B186,出库明细!D:D,$C186),0))</f>
        <v>230</v>
      </c>
      <c r="I186" s="14">
        <f>IF($B186="","",D186-G186)</f>
        <v>0</v>
      </c>
      <c r="J186" s="156">
        <f>IF($B186="","",F186-H186)</f>
        <v>0</v>
      </c>
      <c r="K186" s="179">
        <f>IF($B186="","",MAX(_xlfn.MAXIFS(存条明细!B:B,存条明细!C:C,$B186,存条明细!D:D,$C186),_xlfn.MAXIFS(出库明细!B:B,出库明细!C:C,$B186,出库明细!D:D,$C186)))</f>
        <v>46254.0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 ht="15" customHeight="1" s="71">
      <c r="A187" s="14">
        <f>IF(B187="","",ROW()-3)</f>
        <v>184</v>
      </c>
      <c r="B187" s="14" t="str">
        <f>IF(_辅助!$B187="","",IF(_辅助!$B187&lt;=1000,INDEX(存条明细!$C$4:$C$1003,_辅助!$B187),INDEX(出库明细!$C$4:$C$3003,_辅助!$B187-1000)))</f>
        <v>标哥副食</v>
      </c>
      <c r="C187" s="14" t="str">
        <f>IF(_辅助!$B187="","",IF(_辅助!$B187&lt;=1000,INDEX(存条明细!$D$4:$D$1003,_辅助!$B187),INDEX(出库明细!$D$4:$D$3003,_辅助!$B187-1000)))</f>
        <v>港式奶茶</v>
      </c>
      <c r="D187" s="14">
        <f>IF($B187="","",IFERROR(SUMIFS(存条明细!E:E,存条明细!C:C,$B187,存条明细!D:D,$C187),0))</f>
        <v>1</v>
      </c>
      <c r="E187" s="156">
        <f>IF(OR($B187="",N(D187)=0),"",ROUND(F187/D187,2))</f>
        <v>72</v>
      </c>
      <c r="F187" s="156">
        <f>IF($B187="","",IFERROR(SUMIFS(存条明细!G:G,存条明细!C:C,$B187,存条明细!D:D,$C187),0))</f>
        <v>72</v>
      </c>
      <c r="G187" s="14">
        <f>IF($B187="","",IFERROR(SUMIFS(出库明细!E:E,出库明细!C:C,$B187,出库明细!D:D,$C187),0))</f>
        <v>1</v>
      </c>
      <c r="H187" s="156">
        <f>IF($B187="","",IFERROR(SUMIFS(出库明细!G:G,出库明细!C:C,$B187,出库明细!D:D,$C187),0))</f>
        <v>72</v>
      </c>
      <c r="I187" s="14">
        <f>IF($B187="","",D187-G187)</f>
        <v>0</v>
      </c>
      <c r="J187" s="156">
        <f>IF($B187="","",F187-H187)</f>
        <v>0</v>
      </c>
      <c r="K187" s="179">
        <f>IF($B187="","",MAX(_xlfn.MAXIFS(存条明细!B:B,存条明细!C:C,$B187,存条明细!D:D,$C187),_xlfn.MAXIFS(出库明细!B:B,出库明细!C:C,$B187,出库明细!D:D,$C187)))</f>
        <v>46254.0</v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 ht="15" customHeight="1" s="71">
      <c r="A188" s="14">
        <f>IF(B188="","",ROW()-3)</f>
        <v>185</v>
      </c>
      <c r="B188" s="14" t="str">
        <f>IF(_辅助!$B188="","",IF(_辅助!$B188&lt;=1000,INDEX(存条明细!$C$4:$C$1003,_辅助!$B188),INDEX(出库明细!$C$4:$C$3003,_辅助!$B188-1000)))</f>
        <v>标哥副食</v>
      </c>
      <c r="C188" s="14" t="str">
        <f>IF(_辅助!$B188="","",IF(_辅助!$B188&lt;=1000,INDEX(存条明细!$D$4:$D$1003,_辅助!$B188),INDEX(出库明细!$D$4:$D$3003,_辅助!$B188-1000)))</f>
        <v>大咖</v>
      </c>
      <c r="D188" s="14">
        <f>IF($B188="","",IFERROR(SUMIFS(存条明细!E:E,存条明细!C:C,$B188,存条明细!D:D,$C188),0))</f>
        <v>1</v>
      </c>
      <c r="E188" s="156">
        <f>IF(OR($B188="",N(D188)=0),"",ROUND(F188/D188,2))</f>
        <v>86</v>
      </c>
      <c r="F188" s="156">
        <f>IF($B188="","",IFERROR(SUMIFS(存条明细!G:G,存条明细!C:C,$B188,存条明细!D:D,$C188),0))</f>
        <v>86</v>
      </c>
      <c r="G188" s="14">
        <f>IF($B188="","",IFERROR(SUMIFS(出库明细!E:E,出库明细!C:C,$B188,出库明细!D:D,$C188),0))</f>
        <v>1</v>
      </c>
      <c r="H188" s="156">
        <f>IF($B188="","",IFERROR(SUMIFS(出库明细!G:G,出库明细!C:C,$B188,出库明细!D:D,$C188),0))</f>
        <v>86</v>
      </c>
      <c r="I188" s="14">
        <f>IF($B188="","",D188-G188)</f>
        <v>0</v>
      </c>
      <c r="J188" s="156">
        <f>IF($B188="","",F188-H188)</f>
        <v>0</v>
      </c>
      <c r="K188" s="179">
        <f>IF($B188="","",MAX(_xlfn.MAXIFS(存条明细!B:B,存条明细!C:C,$B188,存条明细!D:D,$C188),_xlfn.MAXIFS(出库明细!B:B,出库明细!C:C,$B188,出库明细!D:D,$C188)))</f>
        <v>46254.0</v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 ht="15" customHeight="1" s="71">
      <c r="A189" s="14">
        <f>IF(B189="","",ROW()-3)</f>
        <v>186</v>
      </c>
      <c r="B189" s="14" t="str">
        <f>IF(_辅助!$B189="","",IF(_辅助!$B189&lt;=1000,INDEX(存条明细!$C$4:$C$1003,_辅助!$B189),INDEX(出库明细!$C$4:$C$3003,_辅助!$B189-1000)))</f>
        <v>标哥副食</v>
      </c>
      <c r="C189" s="14" t="str">
        <f>IF(_辅助!$B189="","",IF(_辅助!$B189&lt;=1000,INDEX(存条明细!$D$4:$D$1003,_辅助!$B189),INDEX(出库明细!$D$4:$D$3003,_辅助!$B189-1000)))</f>
        <v>330海岛椰</v>
      </c>
      <c r="D189" s="14">
        <f>IF($B189="","",IFERROR(SUMIFS(存条明细!E:E,存条明细!C:C,$B189,存条明细!D:D,$C189),0))</f>
        <v>5</v>
      </c>
      <c r="E189" s="156">
        <f>IF(OR($B189="",N(D189)=0),"",ROUND(F189/D189,2))</f>
        <v>36</v>
      </c>
      <c r="F189" s="156">
        <f>IF($B189="","",IFERROR(SUMIFS(存条明细!G:G,存条明细!C:C,$B189,存条明细!D:D,$C189),0))</f>
        <v>180</v>
      </c>
      <c r="G189" s="14">
        <f>IF($B189="","",IFERROR(SUMIFS(出库明细!E:E,出库明细!C:C,$B189,出库明细!D:D,$C189),0))</f>
        <v>5</v>
      </c>
      <c r="H189" s="156">
        <f>IF($B189="","",IFERROR(SUMIFS(出库明细!G:G,出库明细!C:C,$B189,出库明细!D:D,$C189),0))</f>
        <v>180</v>
      </c>
      <c r="I189" s="14">
        <f>IF($B189="","",D189-G189)</f>
        <v>0</v>
      </c>
      <c r="J189" s="156">
        <f>IF($B189="","",F189-H189)</f>
        <v>0</v>
      </c>
      <c r="K189" s="179">
        <f>IF($B189="","",MAX(_xlfn.MAXIFS(存条明细!B:B,存条明细!C:C,$B189,存条明细!D:D,$C189),_xlfn.MAXIFS(出库明细!B:B,出库明细!C:C,$B189,出库明细!D:D,$C189)))</f>
        <v>46254.0</v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 ht="15" customHeight="1" s="71">
      <c r="A190" s="14">
        <f>IF(B190="","",ROW()-3)</f>
        <v>187</v>
      </c>
      <c r="B190" s="14" t="str">
        <f>IF(_辅助!$B190="","",IF(_辅助!$B190&lt;=1000,INDEX(存条明细!$C$4:$C$1003,_辅助!$B190),INDEX(出库明细!$C$4:$C$3003,_辅助!$B190-1000)))</f>
        <v>标哥副食</v>
      </c>
      <c r="C190" s="14" t="str">
        <f>IF(_辅助!$B190="","",IF(_辅助!$B190&lt;=1000,INDEX(存条明细!$D$4:$D$1003,_辅助!$B190),INDEX(出库明细!$D$4:$D$3003,_辅助!$B190-1000)))</f>
        <v>555椰子水</v>
      </c>
      <c r="D190" s="14">
        <f>IF($B190="","",IFERROR(SUMIFS(存条明细!E:E,存条明细!C:C,$B190,存条明细!D:D,$C190),0))</f>
        <v>1</v>
      </c>
      <c r="E190" s="156">
        <f>IF(OR($B190="",N(D190)=0),"",ROUND(F190/D190,2))</f>
        <v>93</v>
      </c>
      <c r="F190" s="156">
        <f>IF($B190="","",IFERROR(SUMIFS(存条明细!G:G,存条明细!C:C,$B190,存条明细!D:D,$C190),0))</f>
        <v>93</v>
      </c>
      <c r="G190" s="14">
        <f>IF($B190="","",IFERROR(SUMIFS(出库明细!E:E,出库明细!C:C,$B190,出库明细!D:D,$C190),0))</f>
        <v>1</v>
      </c>
      <c r="H190" s="156">
        <f>IF($B190="","",IFERROR(SUMIFS(出库明细!G:G,出库明细!C:C,$B190,出库明细!D:D,$C190),0))</f>
        <v>93</v>
      </c>
      <c r="I190" s="14">
        <f>IF($B190="","",D190-G190)</f>
        <v>0</v>
      </c>
      <c r="J190" s="156">
        <f>IF($B190="","",F190-H190)</f>
        <v>0</v>
      </c>
      <c r="K190" s="179">
        <f>IF($B190="","",MAX(_xlfn.MAXIFS(存条明细!B:B,存条明细!C:C,$B190,存条明细!D:D,$C190),_xlfn.MAXIFS(出库明细!B:B,出库明细!C:C,$B190,出库明细!D:D,$C190)))</f>
        <v>46254.0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 ht="15" customHeight="1" s="71">
      <c r="A191" s="14">
        <f>IF(B191="","",ROW()-3)</f>
        <v>188</v>
      </c>
      <c r="B191" s="14" t="str">
        <f>IF(_辅助!$B191="","",IF(_辅助!$B191&lt;=1000,INDEX(存条明细!$C$4:$C$1003,_辅助!$B191),INDEX(出库明细!$C$4:$C$3003,_辅助!$B191-1000)))</f>
        <v>标哥副食</v>
      </c>
      <c r="C191" s="14" t="str">
        <f>IF(_辅助!$B191="","",IF(_辅助!$B191&lt;=1000,INDEX(存条明细!$D$4:$D$1003,_辅助!$B191),INDEX(出库明细!$D$4:$D$3003,_辅助!$B191-1000)))</f>
        <v>九制陈皮</v>
      </c>
      <c r="D191" s="14">
        <f>IF($B191="","",IFERROR(SUMIFS(存条明细!E:E,存条明细!C:C,$B191,存条明细!D:D,$C191),0))</f>
        <v>2</v>
      </c>
      <c r="E191" s="156">
        <f>IF(OR($B191="",N(D191)=0),"",ROUND(F191/D191,2))</f>
        <v>50</v>
      </c>
      <c r="F191" s="156">
        <f>IF($B191="","",IFERROR(SUMIFS(存条明细!G:G,存条明细!C:C,$B191,存条明细!D:D,$C191),0))</f>
        <v>100</v>
      </c>
      <c r="G191" s="14">
        <f>IF($B191="","",IFERROR(SUMIFS(出库明细!E:E,出库明细!C:C,$B191,出库明细!D:D,$C191),0))</f>
        <v>2</v>
      </c>
      <c r="H191" s="156">
        <f>IF($B191="","",IFERROR(SUMIFS(出库明细!G:G,出库明细!C:C,$B191,出库明细!D:D,$C191),0))</f>
        <v>100</v>
      </c>
      <c r="I191" s="14">
        <f>IF($B191="","",D191-G191)</f>
        <v>0</v>
      </c>
      <c r="J191" s="156">
        <f>IF($B191="","",F191-H191)</f>
        <v>0</v>
      </c>
      <c r="K191" s="179">
        <f>IF($B191="","",MAX(_xlfn.MAXIFS(存条明细!B:B,存条明细!C:C,$B191,存条明细!D:D,$C191),_xlfn.MAXIFS(出库明细!B:B,出库明细!C:C,$B191,出库明细!D:D,$C191)))</f>
        <v>46254.0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 ht="15" customHeight="1" s="71">
      <c r="A192" s="14">
        <f>IF(B192="","",ROW()-3)</f>
        <v>189</v>
      </c>
      <c r="B192" s="14" t="str">
        <f>IF(_辅助!$B192="","",IF(_辅助!$B192&lt;=1000,INDEX(存条明细!$C$4:$C$1003,_辅助!$B192),INDEX(出库明细!$C$4:$C$3003,_辅助!$B192-1000)))</f>
        <v>标哥副食</v>
      </c>
      <c r="C192" s="14" t="str">
        <f>IF(_辅助!$B192="","",IF(_辅助!$B192&lt;=1000,INDEX(存条明细!$D$4:$D$1003,_辅助!$B192),INDEX(出库明细!$D$4:$D$3003,_辅助!$B192-1000)))</f>
        <v>1L焙好茶</v>
      </c>
      <c r="D192" s="14">
        <f>IF($B192="","",IFERROR(SUMIFS(存条明细!E:E,存条明细!C:C,$B192,存条明细!D:D,$C192),0))</f>
        <v>1</v>
      </c>
      <c r="E192" s="156">
        <f>IF(OR($B192="",N(D192)=0),"",ROUND(F192/D192,2))</f>
        <v>46</v>
      </c>
      <c r="F192" s="156">
        <f>IF($B192="","",IFERROR(SUMIFS(存条明细!G:G,存条明细!C:C,$B192,存条明细!D:D,$C192),0))</f>
        <v>46</v>
      </c>
      <c r="G192" s="14">
        <f>IF($B192="","",IFERROR(SUMIFS(出库明细!E:E,出库明细!C:C,$B192,出库明细!D:D,$C192),0))</f>
        <v>1</v>
      </c>
      <c r="H192" s="156">
        <f>IF($B192="","",IFERROR(SUMIFS(出库明细!G:G,出库明细!C:C,$B192,出库明细!D:D,$C192),0))</f>
        <v>46</v>
      </c>
      <c r="I192" s="14">
        <f>IF($B192="","",D192-G192)</f>
        <v>0</v>
      </c>
      <c r="J192" s="156">
        <f>IF($B192="","",F192-H192)</f>
        <v>0</v>
      </c>
      <c r="K192" s="179">
        <f>IF($B192="","",MAX(_xlfn.MAXIFS(存条明细!B:B,存条明细!C:C,$B192,存条明细!D:D,$C192),_xlfn.MAXIFS(出库明细!B:B,出库明细!C:C,$B192,出库明细!D:D,$C192)))</f>
        <v>46254.0</v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 ht="15" customHeight="1" s="71">
      <c r="A193" s="14">
        <f>IF(B193="","",ROW()-3)</f>
        <v>190</v>
      </c>
      <c r="B193" s="14" t="str">
        <f>IF(_辅助!$B193="","",IF(_辅助!$B193&lt;=1000,INDEX(存条明细!$C$4:$C$1003,_辅助!$B193),INDEX(出库明细!$C$4:$C$3003,_辅助!$B193-1000)))</f>
        <v>春萌副食</v>
      </c>
      <c r="C193" s="14" t="str">
        <f>IF(_辅助!$B193="","",IF(_辅助!$B193&lt;=1000,INDEX(存条明细!$D$4:$D$1003,_辅助!$B193),INDEX(出库明细!$D$4:$D$3003,_辅助!$B193-1000)))</f>
        <v>大东鹏</v>
      </c>
      <c r="D193" s="14">
        <f>IF($B193="","",IFERROR(SUMIFS(存条明细!E:E,存条明细!C:C,$B193,存条明细!D:D,$C193),0))</f>
        <v>25</v>
      </c>
      <c r="E193" s="156">
        <f>IF(OR($B193="",N(D193)=0),"",ROUND(F193/D193,2))</f>
        <v>93</v>
      </c>
      <c r="F193" s="156">
        <f>IF($B193="","",IFERROR(SUMIFS(存条明细!G:G,存条明细!C:C,$B193,存条明细!D:D,$C193),0))</f>
        <v>2325</v>
      </c>
      <c r="G193" s="14">
        <f>IF($B193="","",IFERROR(SUMIFS(出库明细!E:E,出库明细!C:C,$B193,出库明细!D:D,$C193),0))</f>
        <v>25</v>
      </c>
      <c r="H193" s="156">
        <f>IF($B193="","",IFERROR(SUMIFS(出库明细!G:G,出库明细!C:C,$B193,出库明细!D:D,$C193),0))</f>
        <v>2325</v>
      </c>
      <c r="I193" s="14">
        <f>IF($B193="","",D193-G193)</f>
        <v>0</v>
      </c>
      <c r="J193" s="156">
        <f>IF($B193="","",F193-H193)</f>
        <v>0</v>
      </c>
      <c r="K193" s="179">
        <f>IF($B193="","",MAX(_xlfn.MAXIFS(存条明细!B:B,存条明细!C:C,$B193,存条明细!D:D,$C193),_xlfn.MAXIFS(出库明细!B:B,出库明细!C:C,$B193,出库明细!D:D,$C193)))</f>
        <v>46246.0</v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 ht="15" customHeight="1" s="71">
      <c r="A194" s="14">
        <f>IF(B194="","",ROW()-3)</f>
        <v>191</v>
      </c>
      <c r="B194" s="14" t="str">
        <f>IF(_辅助!$B194="","",IF(_辅助!$B194&lt;=1000,INDEX(存条明细!$C$4:$C$1003,_辅助!$B194),INDEX(出库明细!$C$4:$C$3003,_辅助!$B194-1000)))</f>
        <v>城西街福临门超市</v>
      </c>
      <c r="C194" s="14" t="str">
        <f>IF(_辅助!$B194="","",IF(_辅助!$B194&lt;=1000,INDEX(存条明细!$D$4:$D$1003,_辅助!$B194),INDEX(出库明细!$D$4:$D$3003,_辅助!$B194-1000)))</f>
        <v>大东鹏</v>
      </c>
      <c r="D194" s="14">
        <f>IF($B194="","",IFERROR(SUMIFS(存条明细!E:E,存条明细!C:C,$B194,存条明细!D:D,$C194),0))</f>
        <v>22</v>
      </c>
      <c r="E194" s="156">
        <f>IF(OR($B194="",N(D194)=0),"",ROUND(F194/D194,2))</f>
        <v>93</v>
      </c>
      <c r="F194" s="156">
        <f>IF($B194="","",IFERROR(SUMIFS(存条明细!G:G,存条明细!C:C,$B194,存条明细!D:D,$C194),0))</f>
        <v>2046</v>
      </c>
      <c r="G194" s="14">
        <f>IF($B194="","",IFERROR(SUMIFS(出库明细!E:E,出库明细!C:C,$B194,出库明细!D:D,$C194),0))</f>
        <v>5</v>
      </c>
      <c r="H194" s="156">
        <f>IF($B194="","",IFERROR(SUMIFS(出库明细!G:G,出库明细!C:C,$B194,出库明细!D:D,$C194),0))</f>
        <v>465</v>
      </c>
      <c r="I194" s="14">
        <f>IF($B194="","",D194-G194)</f>
        <v>17</v>
      </c>
      <c r="J194" s="156">
        <f>IF($B194="","",F194-H194)</f>
        <v>1581</v>
      </c>
      <c r="K194" s="179">
        <f>IF($B194="","",MAX(_xlfn.MAXIFS(存条明细!B:B,存条明细!C:C,$B194,存条明细!D:D,$C194),_xlfn.MAXIFS(出库明细!B:B,出库明细!C:C,$B194,出库明细!D:D,$C194)))</f>
        <v>46246.0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 ht="15" customHeight="1" s="71">
      <c r="A195" s="14">
        <f>IF(B195="","",ROW()-3)</f>
        <v>192</v>
      </c>
      <c r="B195" s="14" t="str">
        <f>IF(_辅助!$B195="","",IF(_辅助!$B195&lt;=1000,INDEX(存条明细!$C$4:$C$1003,_辅助!$B195),INDEX(出库明细!$C$4:$C$3003,_辅助!$B195-1000)))</f>
        <v>滨江路莲花便利店</v>
      </c>
      <c r="C195" s="14" t="str">
        <f>IF(_辅助!$B195="","",IF(_辅助!$B195&lt;=1000,INDEX(存条明细!$D$4:$D$1003,_辅助!$B195),INDEX(出库明细!$D$4:$D$3003,_辅助!$B195-1000)))</f>
        <v>大东鹏</v>
      </c>
      <c r="D195" s="14">
        <f>IF($B195="","",IFERROR(SUMIFS(存条明细!E:E,存条明细!C:C,$B195,存条明细!D:D,$C195),0))</f>
        <v>0</v>
      </c>
      <c r="E195" s="156">
        <f>IF(OR($B195="",N(D195)=0),"",ROUND(F195/D195,2))</f>
      </c>
      <c r="F195" s="156">
        <f>IF($B195="","",IFERROR(SUMIFS(存条明细!G:G,存条明细!C:C,$B195,存条明细!D:D,$C195),0))</f>
        <v>0</v>
      </c>
      <c r="G195" s="14">
        <f>IF($B195="","",IFERROR(SUMIFS(出库明细!E:E,出库明细!C:C,$B195,出库明细!D:D,$C195),0))</f>
        <v>15</v>
      </c>
      <c r="H195" s="156">
        <f>IF($B195="","",IFERROR(SUMIFS(出库明细!G:G,出库明细!C:C,$B195,出库明细!D:D,$C195),0))</f>
        <v>1395</v>
      </c>
      <c r="I195" s="14">
        <f>IF($B195="","",D195-G195)</f>
        <v>-15</v>
      </c>
      <c r="J195" s="156">
        <f>IF($B195="","",F195-H195)</f>
        <v>-1395</v>
      </c>
      <c r="K195" s="179">
        <f>IF($B195="","",MAX(_xlfn.MAXIFS(存条明细!B:B,存条明细!C:C,$B195,存条明细!D:D,$C195),_xlfn.MAXIFS(出库明细!B:B,出库明细!C:C,$B195,出库明细!D:D,$C195)))</f>
        <v>46279.0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 ht="15" customHeight="1" s="71">
      <c r="A196" s="14">
        <f>IF(B196="","",ROW()-3)</f>
        <v>193</v>
      </c>
      <c r="B196" s="14" t="str">
        <f>IF(_辅助!$B196="","",IF(_辅助!$B196&lt;=1000,INDEX(存条明细!$C$4:$C$1003,_辅助!$B196),INDEX(出库明细!$C$4:$C$3003,_辅助!$B196-1000)))</f>
        <v>滨江路莲花便利店</v>
      </c>
      <c r="C196" s="14" t="str">
        <f>IF(_辅助!$B196="","",IF(_辅助!$B196&lt;=1000,INDEX(存条明细!$D$4:$D$1003,_辅助!$B196),INDEX(出库明细!$D$4:$D$3003,_辅助!$B196-1000)))</f>
        <v>1L补水</v>
      </c>
      <c r="D196" s="14">
        <f>IF($B196="","",IFERROR(SUMIFS(存条明细!E:E,存条明细!C:C,$B196,存条明细!D:D,$C196),0))</f>
        <v>3</v>
      </c>
      <c r="E196" s="156">
        <f>IF(OR($B196="",N(D196)=0),"",ROUND(F196/D196,2))</f>
        <v>58</v>
      </c>
      <c r="F196" s="156">
        <f>IF($B196="","",IFERROR(SUMIFS(存条明细!G:G,存条明细!C:C,$B196,存条明细!D:D,$C196),0))</f>
        <v>174</v>
      </c>
      <c r="G196" s="14">
        <f>IF($B196="","",IFERROR(SUMIFS(出库明细!E:E,出库明细!C:C,$B196,出库明细!D:D,$C196),0))</f>
        <v>3</v>
      </c>
      <c r="H196" s="156">
        <f>IF($B196="","",IFERROR(SUMIFS(出库明细!G:G,出库明细!C:C,$B196,出库明细!D:D,$C196),0))</f>
        <v>174</v>
      </c>
      <c r="I196" s="14">
        <f>IF($B196="","",D196-G196)</f>
        <v>0</v>
      </c>
      <c r="J196" s="156">
        <f>IF($B196="","",F196-H196)</f>
        <v>0</v>
      </c>
      <c r="K196" s="179">
        <f>IF($B196="","",MAX(_xlfn.MAXIFS(存条明细!B:B,存条明细!C:C,$B196,存条明细!D:D,$C196),_xlfn.MAXIFS(出库明细!B:B,出库明细!C:C,$B196,出库明细!D:D,$C196)))</f>
        <v>46240.0</v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 ht="15" customHeight="1" s="71">
      <c r="A197" s="14">
        <f>IF(B197="","",ROW()-3)</f>
        <v>194</v>
      </c>
      <c r="B197" s="14" t="str">
        <f>IF(_辅助!$B197="","",IF(_辅助!$B197&lt;=1000,INDEX(存条明细!$C$4:$C$1003,_辅助!$B197),INDEX(出库明细!$C$4:$C$3003,_辅助!$B197-1000)))</f>
        <v>滨江路莲花便利店</v>
      </c>
      <c r="C197" s="14" t="str">
        <f>IF(_辅助!$B197="","",IF(_辅助!$B197&lt;=1000,INDEX(存条明细!$D$4:$D$1003,_辅助!$B197),INDEX(出库明细!$D$4:$D$3003,_辅助!$B197-1000)))</f>
        <v>小果之茶</v>
      </c>
      <c r="D197" s="14">
        <f>IF($B197="","",IFERROR(SUMIFS(存条明细!E:E,存条明细!C:C,$B197,存条明细!D:D,$C197),0))</f>
        <v>23</v>
      </c>
      <c r="E197" s="156">
        <f>IF(OR($B197="",N(D197)=0),"",ROUND(F197/D197,2))</f>
        <v>50</v>
      </c>
      <c r="F197" s="156">
        <f>IF($B197="","",IFERROR(SUMIFS(存条明细!G:G,存条明细!C:C,$B197,存条明细!D:D,$C197),0))</f>
        <v>1150</v>
      </c>
      <c r="G197" s="14">
        <f>IF($B197="","",IFERROR(SUMIFS(出库明细!E:E,出库明细!C:C,$B197,出库明细!D:D,$C197),0))</f>
        <v>12</v>
      </c>
      <c r="H197" s="156">
        <f>IF($B197="","",IFERROR(SUMIFS(出库明细!G:G,出库明细!C:C,$B197,出库明细!D:D,$C197),0))</f>
        <v>600</v>
      </c>
      <c r="I197" s="14">
        <f>IF($B197="","",D197-G197)</f>
        <v>11</v>
      </c>
      <c r="J197" s="156">
        <f>IF($B197="","",F197-H197)</f>
        <v>550</v>
      </c>
      <c r="K197" s="179">
        <f>IF($B197="","",MAX(_xlfn.MAXIFS(存条明细!B:B,存条明细!C:C,$B197,存条明细!D:D,$C197),_xlfn.MAXIFS(出库明细!B:B,出库明细!C:C,$B197,出库明细!D:D,$C197)))</f>
        <v>46288.0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 ht="15" customHeight="1" s="71">
      <c r="A198" s="14">
        <f>IF(B198="","",ROW()-3)</f>
        <v>195</v>
      </c>
      <c r="B198" s="14" t="str">
        <f>IF(_辅助!$B198="","",IF(_辅助!$B198&lt;=1000,INDEX(存条明细!$C$4:$C$1003,_辅助!$B198),INDEX(出库明细!$C$4:$C$3003,_辅助!$B198-1000)))</f>
        <v>滨江路莲花便利店</v>
      </c>
      <c r="C198" s="14" t="str">
        <f>IF(_辅助!$B198="","",IF(_辅助!$B198&lt;=1000,INDEX(存条明细!$D$4:$D$1003,_辅助!$B198),INDEX(出库明细!$D$4:$D$3003,_辅助!$B198-1000)))</f>
        <v>大咖</v>
      </c>
      <c r="D198" s="14">
        <f>IF($B198="","",IFERROR(SUMIFS(存条明细!E:E,存条明细!C:C,$B198,存条明细!D:D,$C198),0))</f>
        <v>3</v>
      </c>
      <c r="E198" s="156">
        <f>IF(OR($B198="",N(D198)=0),"",ROUND(F198/D198,2))</f>
        <v>86</v>
      </c>
      <c r="F198" s="156">
        <f>IF($B198="","",IFERROR(SUMIFS(存条明细!G:G,存条明细!C:C,$B198,存条明细!D:D,$C198),0))</f>
        <v>258</v>
      </c>
      <c r="G198" s="14">
        <f>IF($B198="","",IFERROR(SUMIFS(出库明细!E:E,出库明细!C:C,$B198,出库明细!D:D,$C198),0))</f>
        <v>3</v>
      </c>
      <c r="H198" s="156">
        <f>IF($B198="","",IFERROR(SUMIFS(出库明细!G:G,出库明细!C:C,$B198,出库明细!D:D,$C198),0))</f>
        <v>258</v>
      </c>
      <c r="I198" s="14">
        <f>IF($B198="","",D198-G198)</f>
        <v>0</v>
      </c>
      <c r="J198" s="156">
        <f>IF($B198="","",F198-H198)</f>
        <v>0</v>
      </c>
      <c r="K198" s="179">
        <f>IF($B198="","",MAX(_xlfn.MAXIFS(存条明细!B:B,存条明细!C:C,$B198,存条明细!D:D,$C198),_xlfn.MAXIFS(出库明细!B:B,出库明细!C:C,$B198,出库明细!D:D,$C198)))</f>
        <v>46241.0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 ht="15" customHeight="1" s="71">
      <c r="A199" s="14">
        <f>IF(B199="","",ROW()-3)</f>
        <v>196</v>
      </c>
      <c r="B199" s="14" t="str">
        <f>IF(_辅助!$B199="","",IF(_辅助!$B199&lt;=1000,INDEX(存条明细!$C$4:$C$1003,_辅助!$B199),INDEX(出库明细!$C$4:$C$3003,_辅助!$B199-1000)))</f>
        <v>好帮手</v>
      </c>
      <c r="C199" s="14" t="str">
        <f>IF(_辅助!$B199="","",IF(_辅助!$B199&lt;=1000,INDEX(存条明细!$D$4:$D$1003,_辅助!$B199),INDEX(出库明细!$D$4:$D$3003,_辅助!$B199-1000)))</f>
        <v>大东鹏</v>
      </c>
      <c r="D199" s="14">
        <f>IF($B199="","",IFERROR(SUMIFS(存条明细!E:E,存条明细!C:C,$B199,存条明细!D:D,$C199),0))</f>
        <v>0</v>
      </c>
      <c r="E199" s="156">
        <f>IF(OR($B199="",N(D199)=0),"",ROUND(F199/D199,2))</f>
      </c>
      <c r="F199" s="156">
        <f>IF($B199="","",IFERROR(SUMIFS(存条明细!G:G,存条明细!C:C,$B199,存条明细!D:D,$C199),0))</f>
        <v>0</v>
      </c>
      <c r="G199" s="14">
        <f>IF($B199="","",IFERROR(SUMIFS(出库明细!E:E,出库明细!C:C,$B199,出库明细!D:D,$C199),0))</f>
        <v>100</v>
      </c>
      <c r="H199" s="156">
        <f>IF($B199="","",IFERROR(SUMIFS(出库明细!G:G,出库明细!C:C,$B199,出库明细!D:D,$C199),0))</f>
        <v>9000</v>
      </c>
      <c r="I199" s="14">
        <f>IF($B199="","",D199-G199)</f>
        <v>-100</v>
      </c>
      <c r="J199" s="156">
        <f>IF($B199="","",F199-H199)</f>
        <v>-9000</v>
      </c>
      <c r="K199" s="179">
        <f>IF($B199="","",MAX(_xlfn.MAXIFS(存条明细!B:B,存条明细!C:C,$B199,存条明细!D:D,$C199),_xlfn.MAXIFS(出库明细!B:B,出库明细!C:C,$B199,出库明细!D:D,$C199)))</f>
        <v>46241.0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 ht="15" customHeight="1" s="71">
      <c r="A200" s="14">
        <f>IF(B200="","",ROW()-3)</f>
        <v>197</v>
      </c>
      <c r="B200" s="14" t="str">
        <f>IF(_辅助!$B200="","",IF(_辅助!$B200&lt;=1000,INDEX(存条明细!$C$4:$C$1003,_辅助!$B200),INDEX(出库明细!$C$4:$C$3003,_辅助!$B200-1000)))</f>
        <v>好帮手</v>
      </c>
      <c r="C200" s="14" t="str">
        <f>IF(_辅助!$B200="","",IF(_辅助!$B200&lt;=1000,INDEX(存条明细!$D$4:$D$1003,_辅助!$B200),INDEX(出库明细!$D$4:$D$3003,_辅助!$B200-1000)))</f>
        <v>小东鹏</v>
      </c>
      <c r="D200" s="14">
        <f>IF($B200="","",IFERROR(SUMIFS(存条明细!E:E,存条明细!C:C,$B200,存条明细!D:D,$C200),0))</f>
        <v>0</v>
      </c>
      <c r="E200" s="156">
        <f>IF(OR($B200="",N(D200)=0),"",ROUND(F200/D200,2))</f>
      </c>
      <c r="F200" s="156">
        <f>IF($B200="","",IFERROR(SUMIFS(存条明细!G:G,存条明细!C:C,$B200,存条明细!D:D,$C200),0))</f>
        <v>0</v>
      </c>
      <c r="G200" s="14">
        <f>IF($B200="","",IFERROR(SUMIFS(出库明细!E:E,出库明细!C:C,$B200,出库明细!D:D,$C200),0))</f>
        <v>52.5</v>
      </c>
      <c r="H200" s="156">
        <f>IF($B200="","",IFERROR(SUMIFS(出库明细!G:G,出库明细!C:C,$B200,出库明细!D:D,$C200),0))</f>
        <v>2677.5</v>
      </c>
      <c r="I200" s="14">
        <f>IF($B200="","",D200-G200)</f>
        <v>-52.5</v>
      </c>
      <c r="J200" s="156">
        <f>IF($B200="","",F200-H200)</f>
        <v>-2677.5</v>
      </c>
      <c r="K200" s="179">
        <f>IF($B200="","",MAX(_xlfn.MAXIFS(存条明细!B:B,存条明细!C:C,$B200,存条明细!D:D,$C200),_xlfn.MAXIFS(出库明细!B:B,出库明细!C:C,$B200,出库明细!D:D,$C200)))</f>
        <v>46245.0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 ht="15" customHeight="1" s="71">
      <c r="A201" s="14">
        <f>IF(B201="","",ROW()-3)</f>
        <v>198</v>
      </c>
      <c r="B201" s="14" t="str">
        <f>IF(_辅助!$B201="","",IF(_辅助!$B201&lt;=1000,INDEX(存条明细!$C$4:$C$1003,_辅助!$B201),INDEX(出库明细!$C$4:$C$3003,_辅助!$B201-1000)))</f>
        <v>好帮手</v>
      </c>
      <c r="C201" s="14" t="str">
        <f>IF(_辅助!$B201="","",IF(_辅助!$B201&lt;=1000,INDEX(存条明细!$D$4:$D$1003,_辅助!$B201),INDEX(出库明细!$D$4:$D$3003,_辅助!$B201-1000)))</f>
        <v>555补水</v>
      </c>
      <c r="D201" s="14">
        <f>IF($B201="","",IFERROR(SUMIFS(存条明细!E:E,存条明细!C:C,$B201,存条明细!D:D,$C201),0))</f>
        <v>0</v>
      </c>
      <c r="E201" s="156">
        <f>IF(OR($B201="",N(D201)=0),"",ROUND(F201/D201,2))</f>
      </c>
      <c r="F201" s="156">
        <f>IF($B201="","",IFERROR(SUMIFS(存条明细!G:G,存条明细!C:C,$B201,存条明细!D:D,$C201),0))</f>
        <v>0</v>
      </c>
      <c r="G201" s="14">
        <f>IF($B201="","",IFERROR(SUMIFS(出库明细!E:E,出库明细!C:C,$B201,出库明细!D:D,$C201),0))</f>
        <v>10</v>
      </c>
      <c r="H201" s="156">
        <f>IF($B201="","",IFERROR(SUMIFS(出库明细!G:G,出库明细!C:C,$B201,出库明细!D:D,$C201),0))</f>
        <v>650</v>
      </c>
      <c r="I201" s="14">
        <f>IF($B201="","",D201-G201)</f>
        <v>-10</v>
      </c>
      <c r="J201" s="156">
        <f>IF($B201="","",F201-H201)</f>
        <v>-650</v>
      </c>
      <c r="K201" s="179">
        <f>IF($B201="","",MAX(_xlfn.MAXIFS(存条明细!B:B,存条明细!C:C,$B201,存条明细!D:D,$C201),_xlfn.MAXIFS(出库明细!B:B,出库明细!C:C,$B201,出库明细!D:D,$C201)))</f>
        <v>46226.0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  <row r="202" ht="15" customHeight="1" s="71">
      <c r="A202" s="14">
        <f>IF(B202="","",ROW()-3)</f>
        <v>199</v>
      </c>
      <c r="B202" s="14" t="str">
        <f>IF(_辅助!$B202="","",IF(_辅助!$B202&lt;=1000,INDEX(存条明细!$C$4:$C$1003,_辅助!$B202),INDEX(出库明细!$C$4:$C$3003,_辅助!$B202-1000)))</f>
        <v>优生副食</v>
      </c>
      <c r="C202" s="14" t="str">
        <f>IF(_辅助!$B202="","",IF(_辅助!$B202&lt;=1000,INDEX(存条明细!$D$4:$D$1003,_辅助!$B202),INDEX(出库明细!$D$4:$D$3003,_辅助!$B202-1000)))</f>
        <v>555补水</v>
      </c>
      <c r="D202" s="14">
        <f>IF($B202="","",IFERROR(SUMIFS(存条明细!E:E,存条明细!C:C,$B202,存条明细!D:D,$C202),0))</f>
        <v>0</v>
      </c>
      <c r="E202" s="156">
        <f>IF(OR($B202="",N(D202)=0),"",ROUND(F202/D202,2))</f>
      </c>
      <c r="F202" s="156">
        <f>IF($B202="","",IFERROR(SUMIFS(存条明细!G:G,存条明细!C:C,$B202,存条明细!D:D,$C202),0))</f>
        <v>0</v>
      </c>
      <c r="G202" s="14">
        <f>IF($B202="","",IFERROR(SUMIFS(出库明细!E:E,出库明细!C:C,$B202,出库明细!D:D,$C202),0))</f>
        <v>6</v>
      </c>
      <c r="H202" s="156">
        <f>IF($B202="","",IFERROR(SUMIFS(出库明细!G:G,出库明细!C:C,$B202,出库明细!D:D,$C202),0))</f>
        <v>390</v>
      </c>
      <c r="I202" s="14">
        <f>IF($B202="","",D202-G202)</f>
        <v>-6</v>
      </c>
      <c r="J202" s="156">
        <f>IF($B202="","",F202-H202)</f>
        <v>-390</v>
      </c>
      <c r="K202" s="179">
        <f>IF($B202="","",MAX(_xlfn.MAXIFS(存条明细!B:B,存条明细!C:C,$B202,存条明细!D:D,$C202),_xlfn.MAXIFS(出库明细!B:B,出库明细!C:C,$B202,出库明细!D:D,$C202)))</f>
        <v>46224.0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 ht="15" customHeight="1" s="71">
      <c r="A203" s="14">
        <f>IF(B203="","",ROW()-3)</f>
        <v>200</v>
      </c>
      <c r="B203" s="14" t="str">
        <f>IF(_辅助!$B203="","",IF(_辅助!$B203&lt;=1000,INDEX(存条明细!$C$4:$C$1003,_辅助!$B203),INDEX(出库明细!$C$4:$C$3003,_辅助!$B203-1000)))</f>
        <v>优生副食</v>
      </c>
      <c r="C203" s="14" t="str">
        <f>IF(_辅助!$B203="","",IF(_辅助!$B203&lt;=1000,INDEX(存条明细!$D$4:$D$1003,_辅助!$B203),INDEX(出库明细!$D$4:$D$3003,_辅助!$B203-1000)))</f>
        <v>1L补水</v>
      </c>
      <c r="D203" s="14">
        <f>IF($B203="","",IFERROR(SUMIFS(存条明细!E:E,存条明细!C:C,$B203,存条明细!D:D,$C203),0))</f>
        <v>0</v>
      </c>
      <c r="E203" s="156">
        <f>IF(OR($B203="",N(D203)=0),"",ROUND(F203/D203,2))</f>
      </c>
      <c r="F203" s="156">
        <f>IF($B203="","",IFERROR(SUMIFS(存条明细!G:G,存条明细!C:C,$B203,存条明细!D:D,$C203),0))</f>
        <v>0</v>
      </c>
      <c r="G203" s="14">
        <f>IF($B203="","",IFERROR(SUMIFS(出库明细!E:E,出库明细!C:C,$B203,出库明细!D:D,$C203),0))</f>
        <v>6</v>
      </c>
      <c r="H203" s="156">
        <f>IF($B203="","",IFERROR(SUMIFS(出库明细!G:G,出库明细!C:C,$B203,出库明细!D:D,$C203),0))</f>
        <v>330</v>
      </c>
      <c r="I203" s="14">
        <f>IF($B203="","",D203-G203)</f>
        <v>-6</v>
      </c>
      <c r="J203" s="156">
        <f>IF($B203="","",F203-H203)</f>
        <v>-330</v>
      </c>
      <c r="K203" s="179">
        <f>IF($B203="","",MAX(_xlfn.MAXIFS(存条明细!B:B,存条明细!C:C,$B203,存条明细!D:D,$C203),_xlfn.MAXIFS(出库明细!B:B,出库明细!C:C,$B203,出库明细!D:D,$C203)))</f>
        <v>46224.0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</row>
    <row r="204" ht="15" customHeight="1" s="71">
      <c r="A204" s="14">
        <f>IF(B204="","",ROW()-3)</f>
        <v>201</v>
      </c>
      <c r="B204" s="14" t="str">
        <f>IF(_辅助!$B204="","",IF(_辅助!$B204&lt;=1000,INDEX(存条明细!$C$4:$C$1003,_辅助!$B204),INDEX(出库明细!$C$4:$C$3003,_辅助!$B204-1000)))</f>
        <v>龙岗好又全超市</v>
      </c>
      <c r="C204" s="14" t="str">
        <f>IF(_辅助!$B204="","",IF(_辅助!$B204&lt;=1000,INDEX(存条明细!$D$4:$D$1003,_辅助!$B204),INDEX(出库明细!$D$4:$D$3003,_辅助!$B204-1000)))</f>
        <v>大东鹏</v>
      </c>
      <c r="D204" s="14">
        <f>IF($B204="","",IFERROR(SUMIFS(存条明细!E:E,存条明细!C:C,$B204,存条明细!D:D,$C204),0))</f>
        <v>578</v>
      </c>
      <c r="E204" s="156">
        <f>IF(OR($B204="",N(D204)=0),"",ROUND(F204/D204,2))</f>
        <v>90</v>
      </c>
      <c r="F204" s="156">
        <f>IF($B204="","",IFERROR(SUMIFS(存条明细!G:G,存条明细!C:C,$B204,存条明细!D:D,$C204),0))</f>
        <v>52020</v>
      </c>
      <c r="G204" s="14">
        <f>IF($B204="","",IFERROR(SUMIFS(出库明细!E:E,出库明细!C:C,$B204,出库明细!D:D,$C204),0))</f>
        <v>0</v>
      </c>
      <c r="H204" s="156">
        <f>IF($B204="","",IFERROR(SUMIFS(出库明细!G:G,出库明细!C:C,$B204,出库明细!D:D,$C204),0))</f>
        <v>0</v>
      </c>
      <c r="I204" s="14">
        <f>IF($B204="","",D204-G204)</f>
        <v>578</v>
      </c>
      <c r="J204" s="156">
        <f>IF($B204="","",F204-H204)</f>
        <v>52020</v>
      </c>
      <c r="K204" s="179">
        <f>IF($B204="","",MAX(_xlfn.MAXIFS(存条明细!B:B,存条明细!C:C,$B204,存条明细!D:D,$C204),_xlfn.MAXIFS(出库明细!B:B,出库明细!C:C,$B204,出库明细!D:D,$C204)))</f>
        <v>46200.0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 ht="15" customHeight="1" s="71">
      <c r="A205" s="14">
        <f>IF(B205="","",ROW()-3)</f>
        <v>202</v>
      </c>
      <c r="B205" s="14" t="str">
        <f>IF(_辅助!$B205="","",IF(_辅助!$B205&lt;=1000,INDEX(存条明细!$C$4:$C$1003,_辅助!$B205),INDEX(出库明细!$C$4:$C$3003,_辅助!$B205-1000)))</f>
        <v>龙岗好又全超市</v>
      </c>
      <c r="C205" s="14" t="str">
        <f>IF(_辅助!$B205="","",IF(_辅助!$B205&lt;=1000,INDEX(存条明细!$D$4:$D$1003,_辅助!$B205),INDEX(出库明细!$D$4:$D$3003,_辅助!$B205-1000)))</f>
        <v>小东鹏</v>
      </c>
      <c r="D205" s="14">
        <f>IF($B205="","",IFERROR(SUMIFS(存条明细!E:E,存条明细!C:C,$B205,存条明细!D:D,$C205),0))</f>
        <v>50</v>
      </c>
      <c r="E205" s="156">
        <f>IF(OR($B205="",N(D205)=0),"",ROUND(F205/D205,2))</f>
        <v>51</v>
      </c>
      <c r="F205" s="156">
        <f>IF($B205="","",IFERROR(SUMIFS(存条明细!G:G,存条明细!C:C,$B205,存条明细!D:D,$C205),0))</f>
        <v>2550</v>
      </c>
      <c r="G205" s="14">
        <f>IF($B205="","",IFERROR(SUMIFS(出库明细!E:E,出库明细!C:C,$B205,出库明细!D:D,$C205),0))</f>
        <v>0</v>
      </c>
      <c r="H205" s="156">
        <f>IF($B205="","",IFERROR(SUMIFS(出库明细!G:G,出库明细!C:C,$B205,出库明细!D:D,$C205),0))</f>
        <v>0</v>
      </c>
      <c r="I205" s="14">
        <f>IF($B205="","",D205-G205)</f>
        <v>50</v>
      </c>
      <c r="J205" s="156">
        <f>IF($B205="","",F205-H205)</f>
        <v>2550</v>
      </c>
      <c r="K205" s="179">
        <f>IF($B205="","",MAX(_xlfn.MAXIFS(存条明细!B:B,存条明细!C:C,$B205,存条明细!D:D,$C205),_xlfn.MAXIFS(出库明细!B:B,出库明细!C:C,$B205,出库明细!D:D,$C205)))</f>
        <v>46200.0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</row>
    <row r="206" ht="15" customHeight="1" s="71">
      <c r="A206" s="14">
        <f>IF(B206="","",ROW()-3)</f>
        <v>203</v>
      </c>
      <c r="B206" s="14" t="str">
        <f>IF(_辅助!$B206="","",IF(_辅助!$B206&lt;=1000,INDEX(存条明细!$C$4:$C$1003,_辅助!$B206),INDEX(出库明细!$C$4:$C$3003,_辅助!$B206-1000)))</f>
        <v>龙岗好又全超市</v>
      </c>
      <c r="C206" s="14" t="str">
        <f>IF(_辅助!$B206="","",IF(_辅助!$B206&lt;=1000,INDEX(存条明细!$D$4:$D$1003,_辅助!$B206),INDEX(出库明细!$D$4:$D$3003,_辅助!$B206-1000)))</f>
        <v>555补水</v>
      </c>
      <c r="D206" s="14">
        <f>IF($B206="","",IFERROR(SUMIFS(存条明细!E:E,存条明细!C:C,$B206,存条明细!D:D,$C206),0))</f>
        <v>458</v>
      </c>
      <c r="E206" s="156">
        <f>IF(OR($B206="",N(D206)=0),"",ROUND(F206/D206,2))</f>
        <v>65</v>
      </c>
      <c r="F206" s="156">
        <f>IF($B206="","",IFERROR(SUMIFS(存条明细!G:G,存条明细!C:C,$B206,存条明细!D:D,$C206),0))</f>
        <v>29770</v>
      </c>
      <c r="G206" s="14">
        <f>IF($B206="","",IFERROR(SUMIFS(出库明细!E:E,出库明细!C:C,$B206,出库明细!D:D,$C206),0))</f>
        <v>150</v>
      </c>
      <c r="H206" s="156">
        <f>IF($B206="","",IFERROR(SUMIFS(出库明细!G:G,出库明细!C:C,$B206,出库明细!D:D,$C206),0))</f>
        <v>9750</v>
      </c>
      <c r="I206" s="14">
        <f>IF($B206="","",D206-G206)</f>
        <v>308</v>
      </c>
      <c r="J206" s="156">
        <f>IF($B206="","",F206-H206)</f>
        <v>20020</v>
      </c>
      <c r="K206" s="179">
        <f>IF($B206="","",MAX(_xlfn.MAXIFS(存条明细!B:B,存条明细!C:C,$B206,存条明细!D:D,$C206),_xlfn.MAXIFS(出库明细!B:B,出库明细!C:C,$B206,出库明细!D:D,$C206)))</f>
        <v>46252.0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 ht="15" customHeight="1" s="71">
      <c r="A207" s="14">
        <f>IF(B207="","",ROW()-3)</f>
        <v>204</v>
      </c>
      <c r="B207" s="14" t="str">
        <f>IF(_辅助!$B207="","",IF(_辅助!$B207&lt;=1000,INDEX(存条明细!$C$4:$C$1003,_辅助!$B207),INDEX(出库明细!$C$4:$C$3003,_辅助!$B207-1000)))</f>
        <v>龙岗好又全超市</v>
      </c>
      <c r="C207" s="14" t="str">
        <f>IF(_辅助!$B207="","",IF(_辅助!$B207&lt;=1000,INDEX(存条明细!$D$4:$D$1003,_辅助!$B207),INDEX(出库明细!$D$4:$D$3003,_辅助!$B207-1000)))</f>
        <v>1L补水</v>
      </c>
      <c r="D207" s="14">
        <f>IF($B207="","",IFERROR(SUMIFS(存条明细!E:E,存条明细!C:C,$B207,存条明细!D:D,$C207),0))</f>
        <v>476</v>
      </c>
      <c r="E207" s="156">
        <f>IF(OR($B207="",N(D207)=0),"",ROUND(F207/D207,2))</f>
        <v>55</v>
      </c>
      <c r="F207" s="156">
        <f>IF($B207="","",IFERROR(SUMIFS(存条明细!G:G,存条明细!C:C,$B207,存条明细!D:D,$C207),0))</f>
        <v>26180</v>
      </c>
      <c r="G207" s="14">
        <f>IF($B207="","",IFERROR(SUMIFS(出库明细!E:E,出库明细!C:C,$B207,出库明细!D:D,$C207),0))</f>
        <v>150</v>
      </c>
      <c r="H207" s="156">
        <f>IF($B207="","",IFERROR(SUMIFS(出库明细!G:G,出库明细!C:C,$B207,出库明细!D:D,$C207),0))</f>
        <v>8250</v>
      </c>
      <c r="I207" s="14">
        <f>IF($B207="","",D207-G207)</f>
        <v>326</v>
      </c>
      <c r="J207" s="156">
        <f>IF($B207="","",F207-H207)</f>
        <v>17930</v>
      </c>
      <c r="K207" s="179">
        <f>IF($B207="","",MAX(_xlfn.MAXIFS(存条明细!B:B,存条明细!C:C,$B207,存条明细!D:D,$C207),_xlfn.MAXIFS(出库明细!B:B,出库明细!C:C,$B207,出库明细!D:D,$C207)))</f>
        <v>46252.0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 ht="15" customHeight="1" s="71">
      <c r="A208" s="14">
        <f>IF(B208="","",ROW()-3)</f>
        <v>205</v>
      </c>
      <c r="B208" s="14" t="str">
        <f>IF(_辅助!$B208="","",IF(_辅助!$B208&lt;=1000,INDEX(存条明细!$C$4:$C$1003,_辅助!$B208),INDEX(出库明细!$C$4:$C$3003,_辅助!$B208-1000)))</f>
        <v>龙岗好又全超市</v>
      </c>
      <c r="C208" s="14" t="str">
        <f>IF(_辅助!$B208="","",IF(_辅助!$B208&lt;=1000,INDEX(存条明细!$D$4:$D$1003,_辅助!$B208),INDEX(出库明细!$D$4:$D$3003,_辅助!$B208-1000)))</f>
        <v>1L果之茶</v>
      </c>
      <c r="D208" s="14">
        <f>IF($B208="","",IFERROR(SUMIFS(存条明细!E:E,存条明细!C:C,$B208,存条明细!D:D,$C208),0))</f>
        <v>54</v>
      </c>
      <c r="E208" s="156">
        <f>IF(OR($B208="",N(D208)=0),"",ROUND(F208/D208,2))</f>
        <v>43</v>
      </c>
      <c r="F208" s="156">
        <f>IF($B208="","",IFERROR(SUMIFS(存条明细!G:G,存条明细!C:C,$B208,存条明细!D:D,$C208),0))</f>
        <v>2322</v>
      </c>
      <c r="G208" s="14">
        <f>IF($B208="","",IFERROR(SUMIFS(出库明细!E:E,出库明细!C:C,$B208,出库明细!D:D,$C208),0))</f>
        <v>50</v>
      </c>
      <c r="H208" s="156">
        <f>IF($B208="","",IFERROR(SUMIFS(出库明细!G:G,出库明细!C:C,$B208,出库明细!D:D,$C208),0))</f>
        <v>2150</v>
      </c>
      <c r="I208" s="14">
        <f>IF($B208="","",D208-G208)</f>
        <v>4</v>
      </c>
      <c r="J208" s="156">
        <f>IF($B208="","",F208-H208)</f>
        <v>172</v>
      </c>
      <c r="K208" s="179">
        <f>IF($B208="","",MAX(_xlfn.MAXIFS(存条明细!B:B,存条明细!C:C,$B208,存条明细!D:D,$C208),_xlfn.MAXIFS(出库明细!B:B,出库明细!C:C,$B208,出库明细!D:D,$C208)))</f>
        <v>46227.0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 ht="15" customHeight="1" s="71">
      <c r="A209" s="14">
        <f>IF(B209="","",ROW()-3)</f>
        <v>206</v>
      </c>
      <c r="B209" s="14" t="str">
        <f>IF(_辅助!$B209="","",IF(_辅助!$B209&lt;=1000,INDEX(存条明细!$C$4:$C$1003,_辅助!$B209),INDEX(出库明细!$C$4:$C$3003,_辅助!$B209-1000)))</f>
        <v>龙岗好又全超市</v>
      </c>
      <c r="C209" s="14" t="str">
        <f>IF(_辅助!$B209="","",IF(_辅助!$B209&lt;=1000,INDEX(存条明细!$D$4:$D$1003,_辅助!$B209),INDEX(出库明细!$D$4:$D$3003,_辅助!$B209-1000)))</f>
        <v>港式奶茶</v>
      </c>
      <c r="D209" s="14">
        <f>IF($B209="","",IFERROR(SUMIFS(存条明细!E:E,存条明细!C:C,$B209,存条明细!D:D,$C209),0))</f>
        <v>262</v>
      </c>
      <c r="E209" s="156">
        <f>IF(OR($B209="",N(D209)=0),"",ROUND(F209/D209,2))</f>
        <v>69</v>
      </c>
      <c r="F209" s="156">
        <f>IF($B209="","",IFERROR(SUMIFS(存条明细!G:G,存条明细!C:C,$B209,存条明细!D:D,$C209),0))</f>
        <v>18078</v>
      </c>
      <c r="G209" s="14">
        <f>IF($B209="","",IFERROR(SUMIFS(出库明细!E:E,出库明细!C:C,$B209,出库明细!D:D,$C209),0))</f>
        <v>0</v>
      </c>
      <c r="H209" s="156">
        <f>IF($B209="","",IFERROR(SUMIFS(出库明细!G:G,出库明细!C:C,$B209,出库明细!D:D,$C209),0))</f>
        <v>0</v>
      </c>
      <c r="I209" s="14">
        <f>IF($B209="","",D209-G209)</f>
        <v>262</v>
      </c>
      <c r="J209" s="156">
        <f>IF($B209="","",F209-H209)</f>
        <v>18078</v>
      </c>
      <c r="K209" s="179">
        <f>IF($B209="","",MAX(_xlfn.MAXIFS(存条明细!B:B,存条明细!C:C,$B209,存条明细!D:D,$C209),_xlfn.MAXIFS(出库明细!B:B,出库明细!C:C,$B209,出库明细!D:D,$C209)))</f>
        <v>46200.0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 ht="15" customHeight="1" s="71">
      <c r="A210" s="14">
        <f>IF(B210="","",ROW()-3)</f>
        <v>207</v>
      </c>
      <c r="B210" s="14" t="str">
        <f>IF(_辅助!$B210="","",IF(_辅助!$B210&lt;=1000,INDEX(存条明细!$C$4:$C$1003,_辅助!$B210),INDEX(出库明细!$C$4:$C$3003,_辅助!$B210-1000)))</f>
        <v>龙岗好又全超市</v>
      </c>
      <c r="C210" s="14" t="str">
        <f>IF(_辅助!$B210="","",IF(_辅助!$B210&lt;=1000,INDEX(存条明细!$D$4:$D$1003,_辅助!$B210),INDEX(出库明细!$D$4:$D$3003,_辅助!$B210-1000)))</f>
        <v>大咖</v>
      </c>
      <c r="D210" s="14">
        <f>IF($B210="","",IFERROR(SUMIFS(存条明细!E:E,存条明细!C:C,$B210,存条明细!D:D,$C210),0))</f>
        <v>64</v>
      </c>
      <c r="E210" s="156">
        <f>IF(OR($B210="",N(D210)=0),"",ROUND(F210/D210,2))</f>
        <v>83</v>
      </c>
      <c r="F210" s="156">
        <f>IF($B210="","",IFERROR(SUMIFS(存条明细!G:G,存条明细!C:C,$B210,存条明细!D:D,$C210),0))</f>
        <v>5312</v>
      </c>
      <c r="G210" s="14">
        <f>IF($B210="","",IFERROR(SUMIFS(出库明细!E:E,出库明细!C:C,$B210,出库明细!D:D,$C210),0))</f>
        <v>44</v>
      </c>
      <c r="H210" s="156">
        <f>IF($B210="","",IFERROR(SUMIFS(出库明细!G:G,出库明细!C:C,$B210,出库明细!D:D,$C210),0))</f>
        <v>3652</v>
      </c>
      <c r="I210" s="14">
        <f>IF($B210="","",D210-G210)</f>
        <v>20</v>
      </c>
      <c r="J210" s="156">
        <f>IF($B210="","",F210-H210)</f>
        <v>1660</v>
      </c>
      <c r="K210" s="179">
        <f>IF($B210="","",MAX(_xlfn.MAXIFS(存条明细!B:B,存条明细!C:C,$B210,存条明细!D:D,$C210),_xlfn.MAXIFS(出库明细!B:B,出库明细!C:C,$B210,出库明细!D:D,$C210)))</f>
        <v>46259.0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 ht="15" customHeight="1" s="71">
      <c r="A211" s="14">
        <f>IF(B211="","",ROW()-3)</f>
        <v>208</v>
      </c>
      <c r="B211" s="14" t="str">
        <f>IF(_辅助!$B211="","",IF(_辅助!$B211&lt;=1000,INDEX(存条明细!$C$4:$C$1003,_辅助!$B211),INDEX(出库明细!$C$4:$C$3003,_辅助!$B211-1000)))</f>
        <v>龙岗好又全超市</v>
      </c>
      <c r="C211" s="14" t="str">
        <f>IF(_辅助!$B211="","",IF(_辅助!$B211&lt;=1000,INDEX(存条明细!$D$4:$D$1003,_辅助!$B211),INDEX(出库明细!$D$4:$D$3003,_辅助!$B211-1000)))</f>
        <v>330大咖</v>
      </c>
      <c r="D211" s="14">
        <f>IF($B211="","",IFERROR(SUMIFS(存条明细!E:E,存条明细!C:C,$B211,存条明细!D:D,$C211),0))</f>
        <v>0</v>
      </c>
      <c r="E211" s="156">
        <f>IF(OR($B211="",N(D211)=0),"",ROUND(F211/D211,2))</f>
      </c>
      <c r="F211" s="156">
        <f>IF($B211="","",IFERROR(SUMIFS(存条明细!G:G,存条明细!C:C,$B211,存条明细!D:D,$C211),0))</f>
        <v>0</v>
      </c>
      <c r="G211" s="14">
        <f>IF($B211="","",IFERROR(SUMIFS(出库明细!E:E,出库明细!C:C,$B211,出库明细!D:D,$C211),0))</f>
        <v>5</v>
      </c>
      <c r="H211" s="156">
        <f>IF($B211="","",IFERROR(SUMIFS(出库明细!G:G,出库明细!C:C,$B211,出库明细!D:D,$C211),0))</f>
        <v>450</v>
      </c>
      <c r="I211" s="14">
        <f>IF($B211="","",D211-G211)</f>
        <v>-5</v>
      </c>
      <c r="J211" s="156">
        <f>IF($B211="","",F211-H211)</f>
        <v>-450</v>
      </c>
      <c r="K211" s="179">
        <f>IF($B211="","",MAX(_xlfn.MAXIFS(存条明细!B:B,存条明细!C:C,$B211,存条明细!D:D,$C211),_xlfn.MAXIFS(出库明细!B:B,出库明细!C:C,$B211,出库明细!D:D,$C211)))</f>
        <v>46252.0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 ht="15" customHeight="1" s="71">
      <c r="A212" s="14">
        <f>IF(B212="","",ROW()-3)</f>
        <v>209</v>
      </c>
      <c r="B212" s="14" t="str">
        <f>IF(_辅助!$B212="","",IF(_辅助!$B212&lt;=1000,INDEX(存条明细!$C$4:$C$1003,_辅助!$B212),INDEX(出库明细!$C$4:$C$3003,_辅助!$B212-1000)))</f>
        <v>龙岗好又全超市</v>
      </c>
      <c r="C212" s="14" t="str">
        <f>IF(_辅助!$B212="","",IF(_辅助!$B212&lt;=1000,INDEX(存条明细!$D$4:$D$1003,_辅助!$B212),INDEX(出库明细!$D$4:$D$3003,_辅助!$B212-1000)))</f>
        <v>1.25海岛椰</v>
      </c>
      <c r="D212" s="14">
        <f>IF($B212="","",IFERROR(SUMIFS(存条明细!E:E,存条明细!C:C,$B212,存条明细!D:D,$C212),0))</f>
        <v>30</v>
      </c>
      <c r="E212" s="156">
        <f>IF(OR($B212="",N(D212)=0),"",ROUND(F212/D212,2))</f>
        <v>50</v>
      </c>
      <c r="F212" s="156">
        <f>IF($B212="","",IFERROR(SUMIFS(存条明细!G:G,存条明细!C:C,$B212,存条明细!D:D,$C212),0))</f>
        <v>1500</v>
      </c>
      <c r="G212" s="14">
        <f>IF($B212="","",IFERROR(SUMIFS(出库明细!E:E,出库明细!C:C,$B212,出库明细!D:D,$C212),0))</f>
        <v>0</v>
      </c>
      <c r="H212" s="156">
        <f>IF($B212="","",IFERROR(SUMIFS(出库明细!G:G,出库明细!C:C,$B212,出库明细!D:D,$C212),0))</f>
        <v>0</v>
      </c>
      <c r="I212" s="14">
        <f>IF($B212="","",D212-G212)</f>
        <v>30</v>
      </c>
      <c r="J212" s="156">
        <f>IF($B212="","",F212-H212)</f>
        <v>1500</v>
      </c>
      <c r="K212" s="179">
        <f>IF($B212="","",MAX(_xlfn.MAXIFS(存条明细!B:B,存条明细!C:C,$B212,存条明细!D:D,$C212),_xlfn.MAXIFS(出库明细!B:B,出库明细!C:C,$B212,出库明细!D:D,$C212)))</f>
        <v>46200.0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 ht="15" customHeight="1" s="71">
      <c r="A213" s="14">
        <f>IF(B213="","",ROW()-3)</f>
        <v>210</v>
      </c>
      <c r="B213" s="14" t="str">
        <f>IF(_辅助!$B213="","",IF(_辅助!$B213&lt;=1000,INDEX(存条明细!$C$4:$C$1003,_辅助!$B213),INDEX(出库明细!$C$4:$C$3003,_辅助!$B213-1000)))</f>
        <v>友兰商行</v>
      </c>
      <c r="C213" s="14" t="str">
        <f>IF(_辅助!$B213="","",IF(_辅助!$B213&lt;=1000,INDEX(存条明细!$D$4:$D$1003,_辅助!$B213),INDEX(出库明细!$D$4:$D$3003,_辅助!$B213-1000)))</f>
        <v>大东鹏</v>
      </c>
      <c r="D213" s="14">
        <f>IF($B213="","",IFERROR(SUMIFS(存条明细!E:E,存条明细!C:C,$B213,存条明细!D:D,$C213),0))</f>
        <v>50</v>
      </c>
      <c r="E213" s="156">
        <f>IF(OR($B213="",N(D213)=0),"",ROUND(F213/D213,2))</f>
        <v>93</v>
      </c>
      <c r="F213" s="156">
        <f>IF($B213="","",IFERROR(SUMIFS(存条明细!G:G,存条明细!C:C,$B213,存条明细!D:D,$C213),0))</f>
        <v>4650</v>
      </c>
      <c r="G213" s="14">
        <f>IF($B213="","",IFERROR(SUMIFS(出库明细!E:E,出库明细!C:C,$B213,出库明细!D:D,$C213),0))</f>
        <v>50</v>
      </c>
      <c r="H213" s="156">
        <f>IF($B213="","",IFERROR(SUMIFS(出库明细!G:G,出库明细!C:C,$B213,出库明细!D:D,$C213),0))</f>
        <v>4650</v>
      </c>
      <c r="I213" s="14">
        <f>IF($B213="","",D213-G213)</f>
        <v>0</v>
      </c>
      <c r="J213" s="156">
        <f>IF($B213="","",F213-H213)</f>
        <v>0</v>
      </c>
      <c r="K213" s="179">
        <f>IF($B213="","",MAX(_xlfn.MAXIFS(存条明细!B:B,存条明细!C:C,$B213,存条明细!D:D,$C213),_xlfn.MAXIFS(出库明细!B:B,出库明细!C:C,$B213,出库明细!D:D,$C213)))</f>
        <v>46246.0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 ht="15" customHeight="1" s="71">
      <c r="A214" s="14">
        <f>IF(B214="","",ROW()-3)</f>
        <v>211</v>
      </c>
      <c r="B214" s="14" t="str">
        <f>IF(_辅助!$B214="","",IF(_辅助!$B214&lt;=1000,INDEX(存条明细!$C$4:$C$1003,_辅助!$B214),INDEX(出库明细!$C$4:$C$3003,_辅助!$B214-1000)))</f>
        <v>友兰商行</v>
      </c>
      <c r="C214" s="14" t="str">
        <f>IF(_辅助!$B214="","",IF(_辅助!$B214&lt;=1000,INDEX(存条明细!$D$4:$D$1003,_辅助!$B214),INDEX(出库明细!$D$4:$D$3003,_辅助!$B214-1000)))</f>
        <v>大咖</v>
      </c>
      <c r="D214" s="14">
        <f>IF($B214="","",IFERROR(SUMIFS(存条明细!E:E,存条明细!C:C,$B214,存条明细!D:D,$C214),0))</f>
        <v>7</v>
      </c>
      <c r="E214" s="156">
        <f>IF(OR($B214="",N(D214)=0),"",ROUND(F214/D214,2))</f>
        <v>86</v>
      </c>
      <c r="F214" s="156">
        <f>IF($B214="","",IFERROR(SUMIFS(存条明细!G:G,存条明细!C:C,$B214,存条明细!D:D,$C214),0))</f>
        <v>602</v>
      </c>
      <c r="G214" s="14">
        <f>IF($B214="","",IFERROR(SUMIFS(出库明细!E:E,出库明细!C:C,$B214,出库明细!D:D,$C214),0))</f>
        <v>7</v>
      </c>
      <c r="H214" s="156">
        <f>IF($B214="","",IFERROR(SUMIFS(出库明细!G:G,出库明细!C:C,$B214,出库明细!D:D,$C214),0))</f>
        <v>602</v>
      </c>
      <c r="I214" s="14">
        <f>IF($B214="","",D214-G214)</f>
        <v>0</v>
      </c>
      <c r="J214" s="156">
        <f>IF($B214="","",F214-H214)</f>
        <v>0</v>
      </c>
      <c r="K214" s="179">
        <f>IF($B214="","",MAX(_xlfn.MAXIFS(存条明细!B:B,存条明细!C:C,$B214,存条明细!D:D,$C214),_xlfn.MAXIFS(出库明细!B:B,出库明细!C:C,$B214,出库明细!D:D,$C214)))</f>
        <v>46258.0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 ht="15" customHeight="1" s="71">
      <c r="A215" s="14">
        <f>IF(B215="","",ROW()-3)</f>
        <v>212</v>
      </c>
      <c r="B215" s="14" t="str">
        <f>IF(_辅助!$B215="","",IF(_辅助!$B215&lt;=1000,INDEX(存条明细!$C$4:$C$1003,_辅助!$B215),INDEX(出库明细!$C$4:$C$3003,_辅助!$B215-1000)))</f>
        <v>隆坪美林副食</v>
      </c>
      <c r="C215" s="14" t="str">
        <f>IF(_辅助!$B215="","",IF(_辅助!$B215&lt;=1000,INDEX(存条明细!$D$4:$D$1003,_辅助!$B215),INDEX(出库明细!$D$4:$D$3003,_辅助!$B215-1000)))</f>
        <v>大东鹏</v>
      </c>
      <c r="D215" s="14">
        <f>IF($B215="","",IFERROR(SUMIFS(存条明细!E:E,存条明细!C:C,$B215,存条明细!D:D,$C215),0))</f>
        <v>0</v>
      </c>
      <c r="E215" s="156">
        <f>IF(OR($B215="",N(D215)=0),"",ROUND(F215/D215,2))</f>
      </c>
      <c r="F215" s="156">
        <f>IF($B215="","",IFERROR(SUMIFS(存条明细!G:G,存条明细!C:C,$B215,存条明细!D:D,$C215),0))</f>
        <v>0</v>
      </c>
      <c r="G215" s="14">
        <f>IF($B215="","",IFERROR(SUMIFS(出库明细!E:E,出库明细!C:C,$B215,出库明细!D:D,$C215),0))</f>
        <v>5</v>
      </c>
      <c r="H215" s="156">
        <f>IF($B215="","",IFERROR(SUMIFS(出库明细!G:G,出库明细!C:C,$B215,出库明细!D:D,$C215),0))</f>
        <v>465</v>
      </c>
      <c r="I215" s="14">
        <f>IF($B215="","",D215-G215)</f>
        <v>-5</v>
      </c>
      <c r="J215" s="156">
        <f>IF($B215="","",F215-H215)</f>
        <v>-465</v>
      </c>
      <c r="K215" s="179">
        <f>IF($B215="","",MAX(_xlfn.MAXIFS(存条明细!B:B,存条明细!C:C,$B215,存条明细!D:D,$C215),_xlfn.MAXIFS(出库明细!B:B,出库明细!C:C,$B215,出库明细!D:D,$C215)))</f>
        <v>46256.0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 ht="15" customHeight="1" s="71">
      <c r="A216" s="14">
        <f>IF(B216="","",ROW()-3)</f>
        <v>213</v>
      </c>
      <c r="B216" s="14" t="str">
        <f>IF(_辅助!$B216="","",IF(_辅助!$B216&lt;=1000,INDEX(存条明细!$C$4:$C$1003,_辅助!$B216),INDEX(出库明细!$C$4:$C$3003,_辅助!$B216-1000)))</f>
        <v>隆坪美林副食</v>
      </c>
      <c r="C216" s="14" t="str">
        <f>IF(_辅助!$B216="","",IF(_辅助!$B216&lt;=1000,INDEX(存条明细!$D$4:$D$1003,_辅助!$B216),INDEX(出库明细!$D$4:$D$3003,_辅助!$B216-1000)))</f>
        <v>555补水</v>
      </c>
      <c r="D216" s="14">
        <f>IF($B216="","",IFERROR(SUMIFS(存条明细!E:E,存条明细!C:C,$B216,存条明细!D:D,$C216),0))</f>
        <v>0</v>
      </c>
      <c r="E216" s="156">
        <f>IF(OR($B216="",N(D216)=0),"",ROUND(F216/D216,2))</f>
      </c>
      <c r="F216" s="156">
        <f>IF($B216="","",IFERROR(SUMIFS(存条明细!G:G,存条明细!C:C,$B216,存条明细!D:D,$C216),0))</f>
        <v>0</v>
      </c>
      <c r="G216" s="14">
        <f>IF($B216="","",IFERROR(SUMIFS(出库明细!E:E,出库明细!C:C,$B216,出库明细!D:D,$C216),0))</f>
        <v>11</v>
      </c>
      <c r="H216" s="156">
        <f>IF($B216="","",IFERROR(SUMIFS(出库明细!G:G,出库明细!C:C,$B216,出库明细!D:D,$C216),0))</f>
        <v>680</v>
      </c>
      <c r="I216" s="14">
        <f>IF($B216="","",D216-G216)</f>
        <v>-11</v>
      </c>
      <c r="J216" s="156">
        <f>IF($B216="","",F216-H216)</f>
        <v>-680</v>
      </c>
      <c r="K216" s="179">
        <f>IF($B216="","",MAX(_xlfn.MAXIFS(存条明细!B:B,存条明细!C:C,$B216,存条明细!D:D,$C216),_xlfn.MAXIFS(出库明细!B:B,出库明细!C:C,$B216,出库明细!D:D,$C216)))</f>
        <v>46219.0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 ht="15" customHeight="1" s="71">
      <c r="A217" s="14">
        <f>IF(B217="","",ROW()-3)</f>
        <v>214</v>
      </c>
      <c r="B217" s="14" t="str">
        <f>IF(_辅助!$B217="","",IF(_辅助!$B217&lt;=1000,INDEX(存条明细!$C$4:$C$1003,_辅助!$B217),INDEX(出库明细!$C$4:$C$3003,_辅助!$B217-1000)))</f>
        <v>隆坪美林副食</v>
      </c>
      <c r="C217" s="14" t="str">
        <f>IF(_辅助!$B217="","",IF(_辅助!$B217&lt;=1000,INDEX(存条明细!$D$4:$D$1003,_辅助!$B217),INDEX(出库明细!$D$4:$D$3003,_辅助!$B217-1000)))</f>
        <v>1L补水</v>
      </c>
      <c r="D217" s="14">
        <f>IF($B217="","",IFERROR(SUMIFS(存条明细!E:E,存条明细!C:C,$B217,存条明细!D:D,$C217),0))</f>
        <v>0</v>
      </c>
      <c r="E217" s="156">
        <f>IF(OR($B217="",N(D217)=0),"",ROUND(F217/D217,2))</f>
      </c>
      <c r="F217" s="156">
        <f>IF($B217="","",IFERROR(SUMIFS(存条明细!G:G,存条明细!C:C,$B217,存条明细!D:D,$C217),0))</f>
        <v>0</v>
      </c>
      <c r="G217" s="14">
        <f>IF($B217="","",IFERROR(SUMIFS(出库明细!E:E,出库明细!C:C,$B217,出库明细!D:D,$C217),0))</f>
        <v>4</v>
      </c>
      <c r="H217" s="156">
        <f>IF($B217="","",IFERROR(SUMIFS(出库明细!G:G,出库明细!C:C,$B217,出库明细!D:D,$C217),0))</f>
        <v>232</v>
      </c>
      <c r="I217" s="14">
        <f>IF($B217="","",D217-G217)</f>
        <v>-4</v>
      </c>
      <c r="J217" s="156">
        <f>IF($B217="","",F217-H217)</f>
        <v>-232</v>
      </c>
      <c r="K217" s="179">
        <f>IF($B217="","",MAX(_xlfn.MAXIFS(存条明细!B:B,存条明细!C:C,$B217,存条明细!D:D,$C217),_xlfn.MAXIFS(出库明细!B:B,出库明细!C:C,$B217,出库明细!D:D,$C217)))</f>
        <v>46219.0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</row>
    <row r="218" ht="15" customHeight="1" s="71">
      <c r="A218" s="14">
        <f>IF(B218="","",ROW()-3)</f>
        <v>215</v>
      </c>
      <c r="B218" s="14" t="str">
        <f>IF(_辅助!$B218="","",IF(_辅助!$B218&lt;=1000,INDEX(存条明细!$C$4:$C$1003,_辅助!$B218),INDEX(出库明细!$C$4:$C$3003,_辅助!$B218-1000)))</f>
        <v>隆坪美林副食</v>
      </c>
      <c r="C218" s="14" t="str">
        <f>IF(_辅助!$B218="","",IF(_辅助!$B218&lt;=1000,INDEX(存条明细!$D$4:$D$1003,_辅助!$B218),INDEX(出库明细!$D$4:$D$3003,_辅助!$B218-1000)))</f>
        <v>小果之茶</v>
      </c>
      <c r="D218" s="14">
        <f>IF($B218="","",IFERROR(SUMIFS(存条明细!E:E,存条明细!C:C,$B218,存条明细!D:D,$C218),0))</f>
        <v>0</v>
      </c>
      <c r="E218" s="156">
        <f>IF(OR($B218="",N(D218)=0),"",ROUND(F218/D218,2))</f>
      </c>
      <c r="F218" s="156">
        <f>IF($B218="","",IFERROR(SUMIFS(存条明细!G:G,存条明细!C:C,$B218,存条明细!D:D,$C218),0))</f>
        <v>0</v>
      </c>
      <c r="G218" s="14">
        <f>IF($B218="","",IFERROR(SUMIFS(出库明细!E:E,出库明细!C:C,$B218,出库明细!D:D,$C218),0))</f>
        <v>19</v>
      </c>
      <c r="H218" s="156">
        <f>IF($B218="","",IFERROR(SUMIFS(出库明细!G:G,出库明细!C:C,$B218,出库明细!D:D,$C218),0))</f>
        <v>950</v>
      </c>
      <c r="I218" s="14">
        <f>IF($B218="","",D218-G218)</f>
        <v>-19</v>
      </c>
      <c r="J218" s="156">
        <f>IF($B218="","",F218-H218)</f>
        <v>-950</v>
      </c>
      <c r="K218" s="179">
        <f>IF($B218="","",MAX(_xlfn.MAXIFS(存条明细!B:B,存条明细!C:C,$B218,存条明细!D:D,$C218),_xlfn.MAXIFS(出库明细!B:B,出库明细!C:C,$B218,出库明细!D:D,$C218)))</f>
        <v>46256.0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 ht="15" customHeight="1" s="71">
      <c r="A219" s="14">
        <f>IF(B219="","",ROW()-3)</f>
        <v>216</v>
      </c>
      <c r="B219" s="14" t="str">
        <f>IF(_辅助!$B219="","",IF(_辅助!$B219&lt;=1000,INDEX(存条明细!$C$4:$C$1003,_辅助!$B219),INDEX(出库明细!$C$4:$C$3003,_辅助!$B219-1000)))</f>
        <v>隆坪美林副食</v>
      </c>
      <c r="C219" s="14" t="str">
        <f>IF(_辅助!$B219="","",IF(_辅助!$B219&lt;=1000,INDEX(存条明细!$D$4:$D$1003,_辅助!$B219),INDEX(出库明细!$D$4:$D$3003,_辅助!$B219-1000)))</f>
        <v>1L果之茶</v>
      </c>
      <c r="D219" s="14">
        <f>IF($B219="","",IFERROR(SUMIFS(存条明细!E:E,存条明细!C:C,$B219,存条明细!D:D,$C219),0))</f>
        <v>0</v>
      </c>
      <c r="E219" s="156">
        <f>IF(OR($B219="",N(D219)=0),"",ROUND(F219/D219,2))</f>
      </c>
      <c r="F219" s="156">
        <f>IF($B219="","",IFERROR(SUMIFS(存条明细!G:G,存条明细!C:C,$B219,存条明细!D:D,$C219),0))</f>
        <v>0</v>
      </c>
      <c r="G219" s="14">
        <f>IF($B219="","",IFERROR(SUMIFS(出库明细!E:E,出库明细!C:C,$B219,出库明细!D:D,$C219),0))</f>
        <v>10</v>
      </c>
      <c r="H219" s="156">
        <f>IF($B219="","",IFERROR(SUMIFS(出库明细!G:G,出库明细!C:C,$B219,出库明细!D:D,$C219),0))</f>
        <v>460</v>
      </c>
      <c r="I219" s="14">
        <f>IF($B219="","",D219-G219)</f>
        <v>-10</v>
      </c>
      <c r="J219" s="156">
        <f>IF($B219="","",F219-H219)</f>
        <v>-460</v>
      </c>
      <c r="K219" s="179">
        <f>IF($B219="","",MAX(_xlfn.MAXIFS(存条明细!B:B,存条明细!C:C,$B219,存条明细!D:D,$C219),_xlfn.MAXIFS(出库明细!B:B,出库明细!C:C,$B219,出库明细!D:D,$C219)))</f>
        <v>46256.0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</row>
    <row r="220" ht="15" customHeight="1" s="71">
      <c r="A220" s="14">
        <f>IF(B220="","",ROW()-3)</f>
        <v>217</v>
      </c>
      <c r="B220" s="14" t="str">
        <f>IF(_辅助!$B220="","",IF(_辅助!$B220&lt;=1000,INDEX(存条明细!$C$4:$C$1003,_辅助!$B220),INDEX(出库明细!$C$4:$C$3003,_辅助!$B220-1000)))</f>
        <v>隆坪美林副食</v>
      </c>
      <c r="C220" s="14" t="str">
        <f>IF(_辅助!$B220="","",IF(_辅助!$B220&lt;=1000,INDEX(存条明细!$D$4:$D$1003,_辅助!$B220),INDEX(出库明细!$D$4:$D$3003,_辅助!$B220-1000)))</f>
        <v>1L焙好茶</v>
      </c>
      <c r="D220" s="14">
        <f>IF($B220="","",IFERROR(SUMIFS(存条明细!E:E,存条明细!C:C,$B220,存条明细!D:D,$C220),0))</f>
        <v>0</v>
      </c>
      <c r="E220" s="156">
        <f>IF(OR($B220="",N(D220)=0),"",ROUND(F220/D220,2))</f>
      </c>
      <c r="F220" s="156">
        <f>IF($B220="","",IFERROR(SUMIFS(存条明细!G:G,存条明细!C:C,$B220,存条明细!D:D,$C220),0))</f>
        <v>0</v>
      </c>
      <c r="G220" s="14">
        <f>IF($B220="","",IFERROR(SUMIFS(出库明细!E:E,出库明细!C:C,$B220,出库明细!D:D,$C220),0))</f>
        <v>1</v>
      </c>
      <c r="H220" s="156">
        <f>IF($B220="","",IFERROR(SUMIFS(出库明细!G:G,出库明细!C:C,$B220,出库明细!D:D,$C220),0))</f>
        <v>46</v>
      </c>
      <c r="I220" s="14">
        <f>IF($B220="","",D220-G220)</f>
        <v>-1</v>
      </c>
      <c r="J220" s="156">
        <f>IF($B220="","",F220-H220)</f>
        <v>-46</v>
      </c>
      <c r="K220" s="179">
        <f>IF($B220="","",MAX(_xlfn.MAXIFS(存条明细!B:B,存条明细!C:C,$B220,存条明细!D:D,$C220),_xlfn.MAXIFS(出库明细!B:B,出库明细!C:C,$B220,出库明细!D:D,$C220)))</f>
        <v>46227.0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 ht="15" customHeight="1" s="71">
      <c r="A221" s="14">
        <f>IF(B221="","",ROW()-3)</f>
        <v>218</v>
      </c>
      <c r="B221" s="14" t="str">
        <f>IF(_辅助!$B221="","",IF(_辅助!$B221&lt;=1000,INDEX(存条明细!$C$4:$C$1003,_辅助!$B221),INDEX(出库明细!$C$4:$C$3003,_辅助!$B221-1000)))</f>
        <v>高兴四季春副食</v>
      </c>
      <c r="C221" s="14" t="str">
        <f>IF(_辅助!$B221="","",IF(_辅助!$B221&lt;=1000,INDEX(存条明细!$D$4:$D$1003,_辅助!$B221),INDEX(出库明细!$D$4:$D$3003,_辅助!$B221-1000)))</f>
        <v>大东鹏</v>
      </c>
      <c r="D221" s="14">
        <f>IF($B221="","",IFERROR(SUMIFS(存条明细!E:E,存条明细!C:C,$B221,存条明细!D:D,$C221),0))</f>
        <v>26</v>
      </c>
      <c r="E221" s="156">
        <f>IF(OR($B221="",N(D221)=0),"",ROUND(F221/D221,2))</f>
        <v>89.42</v>
      </c>
      <c r="F221" s="156">
        <f>IF($B221="","",IFERROR(SUMIFS(存条明细!G:G,存条明细!C:C,$B221,存条明细!D:D,$C221),0))</f>
        <v>2325</v>
      </c>
      <c r="G221" s="14">
        <f>IF($B221="","",IFERROR(SUMIFS(出库明细!E:E,出库明细!C:C,$B221,出库明细!D:D,$C221),0))</f>
        <v>16</v>
      </c>
      <c r="H221" s="156">
        <f>IF($B221="","",IFERROR(SUMIFS(出库明细!G:G,出库明细!C:C,$B221,出库明细!D:D,$C221),0))</f>
        <v>23808</v>
      </c>
      <c r="I221" s="14">
        <f>IF($B221="","",D221-G221)</f>
        <v>10</v>
      </c>
      <c r="J221" s="156">
        <f>IF($B221="","",F221-H221)</f>
        <v>-21483</v>
      </c>
      <c r="K221" s="179">
        <f>IF($B221="","",MAX(_xlfn.MAXIFS(存条明细!B:B,存条明细!C:C,$B221,存条明细!D:D,$C221),_xlfn.MAXIFS(出库明细!B:B,出库明细!C:C,$B221,出库明细!D:D,$C221)))</f>
        <v>46254.0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</row>
    <row r="222" ht="15" customHeight="1" s="71">
      <c r="A222" s="14">
        <f>IF(B222="","",ROW()-3)</f>
        <v>219</v>
      </c>
      <c r="B222" s="14" t="str">
        <f>IF(_辅助!$B222="","",IF(_辅助!$B222&lt;=1000,INDEX(存条明细!$C$4:$C$1003,_辅助!$B222),INDEX(出库明细!$C$4:$C$3003,_辅助!$B222-1000)))</f>
        <v>高兴四季春副食</v>
      </c>
      <c r="C222" s="14" t="str">
        <f>IF(_辅助!$B222="","",IF(_辅助!$B222&lt;=1000,INDEX(存条明细!$D$4:$D$1003,_辅助!$B222),INDEX(出库明细!$D$4:$D$3003,_辅助!$B222-1000)))</f>
        <v>小果之茶</v>
      </c>
      <c r="D222" s="14">
        <f>IF($B222="","",IFERROR(SUMIFS(存条明细!E:E,存条明细!C:C,$B222,存条明细!D:D,$C222),0))</f>
        <v>4</v>
      </c>
      <c r="E222" s="156">
        <f>IF(OR($B222="",N(D222)=0),"",ROUND(F222/D222,2))</f>
        <v>50</v>
      </c>
      <c r="F222" s="156">
        <f>IF($B222="","",IFERROR(SUMIFS(存条明细!G:G,存条明细!C:C,$B222,存条明细!D:D,$C222),0))</f>
        <v>200</v>
      </c>
      <c r="G222" s="14">
        <f>IF($B222="","",IFERROR(SUMIFS(出库明细!E:E,出库明细!C:C,$B222,出库明细!D:D,$C222),0))</f>
        <v>4</v>
      </c>
      <c r="H222" s="156">
        <f>IF($B222="","",IFERROR(SUMIFS(出库明细!G:G,出库明细!C:C,$B222,出库明细!D:D,$C222),0))</f>
        <v>200</v>
      </c>
      <c r="I222" s="14">
        <f>IF($B222="","",D222-G222)</f>
        <v>0</v>
      </c>
      <c r="J222" s="156">
        <f>IF($B222="","",F222-H222)</f>
        <v>0</v>
      </c>
      <c r="K222" s="179">
        <f>IF($B222="","",MAX(_xlfn.MAXIFS(存条明细!B:B,存条明细!C:C,$B222,存条明细!D:D,$C222),_xlfn.MAXIFS(出库明细!B:B,出库明细!C:C,$B222,出库明细!D:D,$C222)))</f>
        <v>46260.0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 ht="15" customHeight="1" s="71">
      <c r="A223" s="14">
        <f>IF(B223="","",ROW()-3)</f>
        <v>220</v>
      </c>
      <c r="B223" s="14" t="str">
        <f>IF(_辅助!$B223="","",IF(_辅助!$B223&lt;=1000,INDEX(存条明细!$C$4:$C$1003,_辅助!$B223),INDEX(出库明细!$C$4:$C$3003,_辅助!$B223-1000)))</f>
        <v>高兴四季春副食</v>
      </c>
      <c r="C223" s="14" t="str">
        <f>IF(_辅助!$B223="","",IF(_辅助!$B223&lt;=1000,INDEX(存条明细!$D$4:$D$1003,_辅助!$B223),INDEX(出库明细!$D$4:$D$3003,_辅助!$B223-1000)))</f>
        <v>大咖</v>
      </c>
      <c r="D223" s="14">
        <f>IF($B223="","",IFERROR(SUMIFS(存条明细!E:E,存条明细!C:C,$B223,存条明细!D:D,$C223),0))</f>
        <v>2</v>
      </c>
      <c r="E223" s="156">
        <f>IF(OR($B223="",N(D223)=0),"",ROUND(F223/D223,2))</f>
        <v>86</v>
      </c>
      <c r="F223" s="156">
        <f>IF($B223="","",IFERROR(SUMIFS(存条明细!G:G,存条明细!C:C,$B223,存条明细!D:D,$C223),0))</f>
        <v>172</v>
      </c>
      <c r="G223" s="14">
        <f>IF($B223="","",IFERROR(SUMIFS(出库明细!E:E,出库明细!C:C,$B223,出库明细!D:D,$C223),0))</f>
        <v>2</v>
      </c>
      <c r="H223" s="156">
        <f>IF($B223="","",IFERROR(SUMIFS(出库明细!G:G,出库明细!C:C,$B223,出库明细!D:D,$C223),0))</f>
        <v>172</v>
      </c>
      <c r="I223" s="14">
        <f>IF($B223="","",D223-G223)</f>
        <v>0</v>
      </c>
      <c r="J223" s="156">
        <f>IF($B223="","",F223-H223)</f>
        <v>0</v>
      </c>
      <c r="K223" s="179">
        <f>IF($B223="","",MAX(_xlfn.MAXIFS(存条明细!B:B,存条明细!C:C,$B223,存条明细!D:D,$C223),_xlfn.MAXIFS(出库明细!B:B,出库明细!C:C,$B223,出库明细!D:D,$C223)))</f>
        <v>46260.0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</row>
    <row r="224" ht="15" customHeight="1" s="71">
      <c r="A224" s="14">
        <f>IF(B224="","",ROW()-3)</f>
        <v>221</v>
      </c>
      <c r="B224" s="14" t="str">
        <f>IF(_辅助!$B224="","",IF(_辅助!$B224&lt;=1000,INDEX(存条明细!$C$4:$C$1003,_辅助!$B224),INDEX(出库明细!$C$4:$C$3003,_辅助!$B224-1000)))</f>
        <v>崇贤高平副食</v>
      </c>
      <c r="C224" s="14" t="str">
        <f>IF(_辅助!$B224="","",IF(_辅助!$B224&lt;=1000,INDEX(存条明细!$D$4:$D$1003,_辅助!$B224),INDEX(出库明细!$D$4:$D$3003,_辅助!$B224-1000)))</f>
        <v>大东鹏</v>
      </c>
      <c r="D224" s="14">
        <f>IF($B224="","",IFERROR(SUMIFS(存条明细!E:E,存条明细!C:C,$B224,存条明细!D:D,$C224),0))</f>
        <v>25</v>
      </c>
      <c r="E224" s="156">
        <f>IF(OR($B224="",N(D224)=0),"",ROUND(F224/D224,2))</f>
        <v>93</v>
      </c>
      <c r="F224" s="156">
        <f>IF($B224="","",IFERROR(SUMIFS(存条明细!G:G,存条明细!C:C,$B224,存条明细!D:D,$C224),0))</f>
        <v>2325</v>
      </c>
      <c r="G224" s="14">
        <f>IF($B224="","",IFERROR(SUMIFS(出库明细!E:E,出库明细!C:C,$B224,出库明细!D:D,$C224),0))</f>
        <v>15</v>
      </c>
      <c r="H224" s="156">
        <f>IF($B224="","",IFERROR(SUMIFS(出库明细!G:G,出库明细!C:C,$B224,出库明细!D:D,$C224),0))</f>
        <v>1395</v>
      </c>
      <c r="I224" s="14">
        <f>IF($B224="","",D224-G224)</f>
        <v>10</v>
      </c>
      <c r="J224" s="156">
        <f>IF($B224="","",F224-H224)</f>
        <v>930</v>
      </c>
      <c r="K224" s="179">
        <f>IF($B224="","",MAX(_xlfn.MAXIFS(存条明细!B:B,存条明细!C:C,$B224,存条明细!D:D,$C224),_xlfn.MAXIFS(出库明细!B:B,出库明细!C:C,$B224,出库明细!D:D,$C224)))</f>
        <v>46266.0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 ht="15" customHeight="1" s="71">
      <c r="A225" s="14">
        <f>IF(B225="","",ROW()-3)</f>
        <v>222</v>
      </c>
      <c r="B225" s="14" t="str">
        <f>IF(_辅助!$B225="","",IF(_辅助!$B225&lt;=1000,INDEX(存条明细!$C$4:$C$1003,_辅助!$B225),INDEX(出库明细!$C$4:$C$3003,_辅助!$B225-1000)))</f>
        <v>高兴张声英</v>
      </c>
      <c r="C225" s="14" t="str">
        <f>IF(_辅助!$B225="","",IF(_辅助!$B225&lt;=1000,INDEX(存条明细!$D$4:$D$1003,_辅助!$B225),INDEX(出库明细!$D$4:$D$3003,_辅助!$B225-1000)))</f>
        <v>大东鹏</v>
      </c>
      <c r="D225" s="14">
        <f>IF($B225="","",IFERROR(SUMIFS(存条明细!E:E,存条明细!C:C,$B225,存条明细!D:D,$C225),0))</f>
        <v>25</v>
      </c>
      <c r="E225" s="156">
        <f>IF(OR($B225="",N(D225)=0),"",ROUND(F225/D225,2))</f>
        <v>93</v>
      </c>
      <c r="F225" s="156">
        <f>IF($B225="","",IFERROR(SUMIFS(存条明细!G:G,存条明细!C:C,$B225,存条明细!D:D,$C225),0))</f>
        <v>2325</v>
      </c>
      <c r="G225" s="14">
        <f>IF($B225="","",IFERROR(SUMIFS(出库明细!E:E,出库明细!C:C,$B225,出库明细!D:D,$C225),0))</f>
        <v>0</v>
      </c>
      <c r="H225" s="156">
        <f>IF($B225="","",IFERROR(SUMIFS(出库明细!G:G,出库明细!C:C,$B225,出库明细!D:D,$C225),0))</f>
        <v>0</v>
      </c>
      <c r="I225" s="14">
        <f>IF($B225="","",D225-G225)</f>
        <v>25</v>
      </c>
      <c r="J225" s="156">
        <f>IF($B225="","",F225-H225)</f>
        <v>2325</v>
      </c>
      <c r="K225" s="179">
        <f>IF($B225="","",MAX(_xlfn.MAXIFS(存条明细!B:B,存条明细!C:C,$B225,存条明细!D:D,$C225),_xlfn.MAXIFS(出库明细!B:B,出库明细!C:C,$B225,出库明细!D:D,$C225)))</f>
        <v>46211.0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</row>
    <row r="226" ht="15" customHeight="1" s="71">
      <c r="A226" s="14">
        <f>IF(B226="","",ROW()-3)</f>
        <v>223</v>
      </c>
      <c r="B226" s="14" t="str">
        <f>IF(_辅助!$B226="","",IF(_辅助!$B226&lt;=1000,INDEX(存条明细!$C$4:$C$1003,_辅助!$B226),INDEX(出库明细!$C$4:$C$3003,_辅助!$B226-1000)))</f>
        <v>崇贤粤客隆</v>
      </c>
      <c r="C226" s="14" t="str">
        <f>IF(_辅助!$B226="","",IF(_辅助!$B226&lt;=1000,INDEX(存条明细!$D$4:$D$1003,_辅助!$B226),INDEX(出库明细!$D$4:$D$3003,_辅助!$B226-1000)))</f>
        <v>大东鹏</v>
      </c>
      <c r="D226" s="14">
        <f>IF($B226="","",IFERROR(SUMIFS(存条明细!E:E,存条明细!C:C,$B226,存条明细!D:D,$C226),0))</f>
        <v>25</v>
      </c>
      <c r="E226" s="156">
        <f>IF(OR($B226="",N(D226)=0),"",ROUND(F226/D226,2))</f>
        <v>93</v>
      </c>
      <c r="F226" s="156">
        <f>IF($B226="","",IFERROR(SUMIFS(存条明细!G:G,存条明细!C:C,$B226,存条明细!D:D,$C226),0))</f>
        <v>2325</v>
      </c>
      <c r="G226" s="14">
        <f>IF($B226="","",IFERROR(SUMIFS(出库明细!E:E,出库明细!C:C,$B226,出库明细!D:D,$C226),0))</f>
        <v>25</v>
      </c>
      <c r="H226" s="156">
        <f>IF($B226="","",IFERROR(SUMIFS(出库明细!G:G,出库明细!C:C,$B226,出库明细!D:D,$C226),0))</f>
        <v>2325</v>
      </c>
      <c r="I226" s="14">
        <f>IF($B226="","",D226-G226)</f>
        <v>0</v>
      </c>
      <c r="J226" s="156">
        <f>IF($B226="","",F226-H226)</f>
        <v>0</v>
      </c>
      <c r="K226" s="179">
        <f>IF($B226="","",MAX(_xlfn.MAXIFS(存条明细!B:B,存条明细!C:C,$B226,存条明细!D:D,$C226),_xlfn.MAXIFS(出库明细!B:B,出库明细!C:C,$B226,出库明细!D:D,$C226)))</f>
        <v>46254.0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 ht="15" customHeight="1" s="71">
      <c r="A227" s="14">
        <f>IF(B227="","",ROW()-3)</f>
        <v>224</v>
      </c>
      <c r="B227" s="14" t="str">
        <f>IF(_辅助!$B227="","",IF(_辅助!$B227&lt;=1000,INDEX(存条明细!$C$4:$C$1003,_辅助!$B227),INDEX(出库明细!$C$4:$C$3003,_辅助!$B227-1000)))</f>
        <v>火车站关新平</v>
      </c>
      <c r="C227" s="14" t="str">
        <f>IF(_辅助!$B227="","",IF(_辅助!$B227&lt;=1000,INDEX(存条明细!$D$4:$D$1003,_辅助!$B227),INDEX(出库明细!$D$4:$D$3003,_辅助!$B227-1000)))</f>
        <v>大东鹏</v>
      </c>
      <c r="D227" s="14">
        <f>IF($B227="","",IFERROR(SUMIFS(存条明细!E:E,存条明细!C:C,$B227,存条明细!D:D,$C227),0))</f>
        <v>50</v>
      </c>
      <c r="E227" s="156">
        <f>IF(OR($B227="",N(D227)=0),"",ROUND(F227/D227,2))</f>
        <v>93</v>
      </c>
      <c r="F227" s="156">
        <f>IF($B227="","",IFERROR(SUMIFS(存条明细!G:G,存条明细!C:C,$B227,存条明细!D:D,$C227),0))</f>
        <v>4650</v>
      </c>
      <c r="G227" s="14">
        <f>IF($B227="","",IFERROR(SUMIFS(出库明细!E:E,出库明细!C:C,$B227,出库明细!D:D,$C227),0))</f>
        <v>30</v>
      </c>
      <c r="H227" s="156">
        <f>IF($B227="","",IFERROR(SUMIFS(出库明细!G:G,出库明细!C:C,$B227,出库明细!D:D,$C227),0))</f>
        <v>2790</v>
      </c>
      <c r="I227" s="14">
        <f>IF($B227="","",D227-G227)</f>
        <v>20</v>
      </c>
      <c r="J227" s="156">
        <f>IF($B227="","",F227-H227)</f>
        <v>1860</v>
      </c>
      <c r="K227" s="179">
        <f>IF($B227="","",MAX(_xlfn.MAXIFS(存条明细!B:B,存条明细!C:C,$B227,存条明细!D:D,$C227),_xlfn.MAXIFS(出库明细!B:B,出库明细!C:C,$B227,出库明细!D:D,$C227)))</f>
        <v>46284.0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</row>
    <row r="228" ht="15" customHeight="1" s="71">
      <c r="A228" s="14">
        <f>IF(B228="","",ROW()-3)</f>
        <v>225</v>
      </c>
      <c r="B228" s="14" t="str">
        <f>IF(_辅助!$B228="","",IF(_辅助!$B228&lt;=1000,INDEX(存条明细!$C$4:$C$1003,_辅助!$B228),INDEX(出库明细!$C$4:$C$3003,_辅助!$B228-1000)))</f>
        <v>火车站关新平</v>
      </c>
      <c r="C228" s="14" t="str">
        <f>IF(_辅助!$B228="","",IF(_辅助!$B228&lt;=1000,INDEX(存条明细!$D$4:$D$1003,_辅助!$B228),INDEX(出库明细!$D$4:$D$3003,_辅助!$B228-1000)))</f>
        <v>555补水</v>
      </c>
      <c r="D228" s="14">
        <f>IF($B228="","",IFERROR(SUMIFS(存条明细!E:E,存条明细!C:C,$B228,存条明细!D:D,$C228),0))</f>
        <v>10</v>
      </c>
      <c r="E228" s="156">
        <f>IF(OR($B228="",N(D228)=0),"",ROUND(F228/D228,2))</f>
        <v>68</v>
      </c>
      <c r="F228" s="156">
        <f>IF($B228="","",IFERROR(SUMIFS(存条明细!G:G,存条明细!C:C,$B228,存条明细!D:D,$C228),0))</f>
        <v>680</v>
      </c>
      <c r="G228" s="14">
        <f>IF($B228="","",IFERROR(SUMIFS(出库明细!E:E,出库明细!C:C,$B228,出库明细!D:D,$C228),0))</f>
        <v>10</v>
      </c>
      <c r="H228" s="156">
        <f>IF($B228="","",IFERROR(SUMIFS(出库明细!G:G,出库明细!C:C,$B228,出库明细!D:D,$C228),0))</f>
        <v>680</v>
      </c>
      <c r="I228" s="14">
        <f>IF($B228="","",D228-G228)</f>
        <v>0</v>
      </c>
      <c r="J228" s="156">
        <f>IF($B228="","",F228-H228)</f>
        <v>0</v>
      </c>
      <c r="K228" s="179">
        <f>IF($B228="","",MAX(_xlfn.MAXIFS(存条明细!B:B,存条明细!C:C,$B228,存条明细!D:D,$C228),_xlfn.MAXIFS(出库明细!B:B,出库明细!C:C,$B228,出库明细!D:D,$C228)))</f>
        <v>46252.0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 ht="15" customHeight="1" s="71">
      <c r="A229" s="14">
        <f>IF(B229="","",ROW()-3)</f>
        <v>226</v>
      </c>
      <c r="B229" s="14" t="str">
        <f>IF(_辅助!$B229="","",IF(_辅助!$B229&lt;=1000,INDEX(存条明细!$C$4:$C$1003,_辅助!$B229),INDEX(出库明细!$C$4:$C$3003,_辅助!$B229-1000)))</f>
        <v>洪门五香副食</v>
      </c>
      <c r="C229" s="14" t="str">
        <f>IF(_辅助!$B229="","",IF(_辅助!$B229&lt;=1000,INDEX(存条明细!$D$4:$D$1003,_辅助!$B229),INDEX(出库明细!$D$4:$D$3003,_辅助!$B229-1000)))</f>
        <v>大东鹏</v>
      </c>
      <c r="D229" s="14">
        <f>IF($B229="","",IFERROR(SUMIFS(存条明细!E:E,存条明细!C:C,$B229,存条明细!D:D,$C229),0))</f>
        <v>10</v>
      </c>
      <c r="E229" s="156">
        <f>IF(OR($B229="",N(D229)=0),"",ROUND(F229/D229,2))</f>
        <v>93</v>
      </c>
      <c r="F229" s="156">
        <f>IF($B229="","",IFERROR(SUMIFS(存条明细!G:G,存条明细!C:C,$B229,存条明细!D:D,$C229),0))</f>
        <v>930</v>
      </c>
      <c r="G229" s="14">
        <f>IF($B229="","",IFERROR(SUMIFS(出库明细!E:E,出库明细!C:C,$B229,出库明细!D:D,$C229),0))</f>
        <v>0</v>
      </c>
      <c r="H229" s="156">
        <f>IF($B229="","",IFERROR(SUMIFS(出库明细!G:G,出库明细!C:C,$B229,出库明细!D:D,$C229),0))</f>
        <v>0</v>
      </c>
      <c r="I229" s="14">
        <f>IF($B229="","",D229-G229)</f>
        <v>10</v>
      </c>
      <c r="J229" s="156">
        <f>IF($B229="","",F229-H229)</f>
        <v>930</v>
      </c>
      <c r="K229" s="179">
        <f>IF($B229="","",MAX(_xlfn.MAXIFS(存条明细!B:B,存条明细!C:C,$B229,存条明细!D:D,$C229),_xlfn.MAXIFS(出库明细!B:B,出库明细!C:C,$B229,出库明细!D:D,$C229)))</f>
        <v>46220.0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</row>
    <row r="230" ht="15" customHeight="1" s="71">
      <c r="A230" s="14">
        <f>IF(B230="","",ROW()-3)</f>
        <v>227</v>
      </c>
      <c r="B230" s="14" t="str">
        <f>IF(_辅助!$B230="","",IF(_辅助!$B230&lt;=1000,INDEX(存条明细!$C$4:$C$1003,_辅助!$B230),INDEX(出库明细!$C$4:$C$3003,_辅助!$B230-1000)))</f>
        <v>良村万家欢超市</v>
      </c>
      <c r="C230" s="14" t="str">
        <f>IF(_辅助!$B230="","",IF(_辅助!$B230&lt;=1000,INDEX(存条明细!$D$4:$D$1003,_辅助!$B230),INDEX(出库明细!$D$4:$D$3003,_辅助!$B230-1000)))</f>
        <v>大东鹏</v>
      </c>
      <c r="D230" s="14">
        <f>IF($B230="","",IFERROR(SUMIFS(存条明细!E:E,存条明细!C:C,$B230,存条明细!D:D,$C230),0))</f>
        <v>15</v>
      </c>
      <c r="E230" s="156">
        <f>IF(OR($B230="",N(D230)=0),"",ROUND(F230/D230,2))</f>
        <v>93</v>
      </c>
      <c r="F230" s="156">
        <f>IF($B230="","",IFERROR(SUMIFS(存条明细!G:G,存条明细!C:C,$B230,存条明细!D:D,$C230),0))</f>
        <v>1395</v>
      </c>
      <c r="G230" s="14">
        <f>IF($B230="","",IFERROR(SUMIFS(出库明细!E:E,出库明细!C:C,$B230,出库明细!D:D,$C230),0))</f>
        <v>15</v>
      </c>
      <c r="H230" s="156">
        <f>IF($B230="","",IFERROR(SUMIFS(出库明细!G:G,出库明细!C:C,$B230,出库明细!D:D,$C230),0))</f>
        <v>1395</v>
      </c>
      <c r="I230" s="14">
        <f>IF($B230="","",D230-G230)</f>
        <v>0</v>
      </c>
      <c r="J230" s="156">
        <f>IF($B230="","",F230-H230)</f>
        <v>0</v>
      </c>
      <c r="K230" s="179">
        <f>IF($B230="","",MAX(_xlfn.MAXIFS(存条明细!B:B,存条明细!C:C,$B230,存条明细!D:D,$C230),_xlfn.MAXIFS(出库明细!B:B,出库明细!C:C,$B230,出库明细!D:D,$C230)))</f>
        <v>46280.0</v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 ht="15" customHeight="1" s="71">
      <c r="A231" s="14">
        <f>IF(B231="","",ROW()-3)</f>
        <v>228</v>
      </c>
      <c r="B231" s="14" t="str">
        <f>IF(_辅助!$B231="","",IF(_辅助!$B231&lt;=1000,INDEX(存条明细!$C$4:$C$1003,_辅助!$B231),INDEX(出库明细!$C$4:$C$3003,_辅助!$B231-1000)))</f>
        <v>滨江路小红花便利店</v>
      </c>
      <c r="C231" s="14" t="str">
        <f>IF(_辅助!$B231="","",IF(_辅助!$B231&lt;=1000,INDEX(存条明细!$D$4:$D$1003,_辅助!$B231),INDEX(出库明细!$D$4:$D$3003,_辅助!$B231-1000)))</f>
        <v>555补水</v>
      </c>
      <c r="D231" s="14">
        <f>IF($B231="","",IFERROR(SUMIFS(存条明细!E:E,存条明细!C:C,$B231,存条明细!D:D,$C231),0))</f>
        <v>11</v>
      </c>
      <c r="E231" s="156">
        <f>IF(OR($B231="",N(D231)=0),"",ROUND(F231/D231,2))</f>
        <v>61.82</v>
      </c>
      <c r="F231" s="156">
        <f>IF($B231="","",IFERROR(SUMIFS(存条明细!G:G,存条明细!C:C,$B231,存条明细!D:D,$C231),0))</f>
        <v>680</v>
      </c>
      <c r="G231" s="14">
        <f>IF($B231="","",IFERROR(SUMIFS(出库明细!E:E,出库明细!C:C,$B231,出库明细!D:D,$C231),0))</f>
        <v>4</v>
      </c>
      <c r="H231" s="156">
        <f>IF($B231="","",IFERROR(SUMIFS(出库明细!G:G,出库明细!C:C,$B231,出库明细!D:D,$C231),0))</f>
        <v>272</v>
      </c>
      <c r="I231" s="14">
        <f>IF($B231="","",D231-G231)</f>
        <v>7</v>
      </c>
      <c r="J231" s="156">
        <f>IF($B231="","",F231-H231)</f>
        <v>408</v>
      </c>
      <c r="K231" s="179">
        <f>IF($B231="","",MAX(_xlfn.MAXIFS(存条明细!B:B,存条明细!C:C,$B231,存条明细!D:D,$C231),_xlfn.MAXIFS(出库明细!B:B,出库明细!C:C,$B231,出库明细!D:D,$C231)))</f>
        <v>46281.0</v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</row>
    <row r="232" ht="15" customHeight="1" s="71">
      <c r="A232" s="14">
        <f>IF(B232="","",ROW()-3)</f>
        <v>229</v>
      </c>
      <c r="B232" s="14" t="str">
        <f>IF(_辅助!$B232="","",IF(_辅助!$B232&lt;=1000,INDEX(存条明细!$C$4:$C$1003,_辅助!$B232),INDEX(出库明细!$C$4:$C$3003,_辅助!$B232-1000)))</f>
        <v>滨江路小红花便利店</v>
      </c>
      <c r="C232" s="14" t="str">
        <f>IF(_辅助!$B232="","",IF(_辅助!$B232&lt;=1000,INDEX(存条明细!$D$4:$D$1003,_辅助!$B232),INDEX(出库明细!$D$4:$D$3003,_辅助!$B232-1000)))</f>
        <v>1L补水</v>
      </c>
      <c r="D232" s="14">
        <f>IF($B232="","",IFERROR(SUMIFS(存条明细!E:E,存条明细!C:C,$B232,存条明细!D:D,$C232),0))</f>
        <v>10</v>
      </c>
      <c r="E232" s="156">
        <f>IF(OR($B232="",N(D232)=0),"",ROUND(F232/D232,2))</f>
        <v>58</v>
      </c>
      <c r="F232" s="156">
        <f>IF($B232="","",IFERROR(SUMIFS(存条明细!G:G,存条明细!C:C,$B232,存条明细!D:D,$C232),0))</f>
        <v>580</v>
      </c>
      <c r="G232" s="14">
        <f>IF($B232="","",IFERROR(SUMIFS(出库明细!E:E,出库明细!C:C,$B232,出库明细!D:D,$C232),0))</f>
        <v>3</v>
      </c>
      <c r="H232" s="156">
        <f>IF($B232="","",IFERROR(SUMIFS(出库明细!G:G,出库明细!C:C,$B232,出库明细!D:D,$C232),0))</f>
        <v>174</v>
      </c>
      <c r="I232" s="14">
        <f>IF($B232="","",D232-G232)</f>
        <v>7</v>
      </c>
      <c r="J232" s="156">
        <f>IF($B232="","",F232-H232)</f>
        <v>406</v>
      </c>
      <c r="K232" s="179">
        <f>IF($B232="","",MAX(_xlfn.MAXIFS(存条明细!B:B,存条明细!C:C,$B232,存条明细!D:D,$C232),_xlfn.MAXIFS(出库明细!B:B,出库明细!C:C,$B232,出库明细!D:D,$C232)))</f>
        <v>46265.0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 ht="15" customHeight="1" s="71">
      <c r="A233" s="14">
        <f>IF(B233="","",ROW()-3)</f>
        <v>230</v>
      </c>
      <c r="B233" s="14" t="str">
        <f>IF(_辅助!$B233="","",IF(_辅助!$B233&lt;=1000,INDEX(存条明细!$C$4:$C$1003,_辅助!$B233),INDEX(出库明细!$C$4:$C$3003,_辅助!$B233-1000)))</f>
        <v>滨江路小红花便利店</v>
      </c>
      <c r="C233" s="14" t="str">
        <f>IF(_辅助!$B233="","",IF(_辅助!$B233&lt;=1000,INDEX(存条明细!$D$4:$D$1003,_辅助!$B233),INDEX(出库明细!$D$4:$D$3003,_辅助!$B233-1000)))</f>
        <v>小果之茶</v>
      </c>
      <c r="D233" s="14">
        <f>IF($B233="","",IFERROR(SUMIFS(存条明细!E:E,存条明细!C:C,$B233,存条明细!D:D,$C233),0))</f>
        <v>27</v>
      </c>
      <c r="E233" s="156">
        <f>IF(OR($B233="",N(D233)=0),"",ROUND(F233/D233,2))</f>
        <v>46.3</v>
      </c>
      <c r="F233" s="156">
        <f>IF($B233="","",IFERROR(SUMIFS(存条明细!G:G,存条明细!C:C,$B233,存条明细!D:D,$C233),0))</f>
        <v>1250</v>
      </c>
      <c r="G233" s="14">
        <f>IF($B233="","",IFERROR(SUMIFS(出库明细!E:E,出库明细!C:C,$B233,出库明细!D:D,$C233),0))</f>
        <v>35</v>
      </c>
      <c r="H233" s="156">
        <f>IF($B233="","",IFERROR(SUMIFS(出库明细!G:G,出库明细!C:C,$B233,出库明细!D:D,$C233),0))</f>
        <v>1750</v>
      </c>
      <c r="I233" s="14">
        <f>IF($B233="","",D233-G233)</f>
        <v>-8</v>
      </c>
      <c r="J233" s="156">
        <f>IF($B233="","",F233-H233)</f>
        <v>-500</v>
      </c>
      <c r="K233" s="179">
        <f>IF($B233="","",MAX(_xlfn.MAXIFS(存条明细!B:B,存条明细!C:C,$B233,存条明细!D:D,$C233),_xlfn.MAXIFS(出库明细!B:B,出库明细!C:C,$B233,出库明细!D:D,$C233)))</f>
        <v>46287.0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</row>
    <row r="234" ht="15" customHeight="1" s="71">
      <c r="A234" s="14">
        <f>IF(B234="","",ROW()-3)</f>
        <v>231</v>
      </c>
      <c r="B234" s="14" t="str">
        <f>IF(_辅助!$B234="","",IF(_辅助!$B234&lt;=1000,INDEX(存条明细!$C$4:$C$1003,_辅助!$B234),INDEX(出库明细!$C$4:$C$3003,_辅助!$B234-1000)))</f>
        <v>滨江路小红花便利店</v>
      </c>
      <c r="C234" s="14" t="str">
        <f>IF(_辅助!$B234="","",IF(_辅助!$B234&lt;=1000,INDEX(存条明细!$D$4:$D$1003,_辅助!$B234),INDEX(出库明细!$D$4:$D$3003,_辅助!$B234-1000)))</f>
        <v>1L果之茶</v>
      </c>
      <c r="D234" s="14">
        <f>IF($B234="","",IFERROR(SUMIFS(存条明细!E:E,存条明细!C:C,$B234,存条明细!D:D,$C234),0))</f>
        <v>15</v>
      </c>
      <c r="E234" s="156">
        <f>IF(OR($B234="",N(D234)=0),"",ROUND(F234/D234,2))</f>
        <v>46</v>
      </c>
      <c r="F234" s="156">
        <f>IF($B234="","",IFERROR(SUMIFS(存条明细!G:G,存条明细!C:C,$B234,存条明细!D:D,$C234),0))</f>
        <v>690</v>
      </c>
      <c r="G234" s="14">
        <f>IF($B234="","",IFERROR(SUMIFS(出库明细!E:E,出库明细!C:C,$B234,出库明细!D:D,$C234),0))</f>
        <v>5</v>
      </c>
      <c r="H234" s="156">
        <f>IF($B234="","",IFERROR(SUMIFS(出库明细!G:G,出库明细!C:C,$B234,出库明细!D:D,$C234),0))</f>
        <v>230</v>
      </c>
      <c r="I234" s="14">
        <f>IF($B234="","",D234-G234)</f>
        <v>10</v>
      </c>
      <c r="J234" s="156">
        <f>IF($B234="","",F234-H234)</f>
        <v>460</v>
      </c>
      <c r="K234" s="179">
        <f>IF($B234="","",MAX(_xlfn.MAXIFS(存条明细!B:B,存条明细!C:C,$B234,存条明细!D:D,$C234),_xlfn.MAXIFS(出库明细!B:B,出库明细!C:C,$B234,出库明细!D:D,$C234)))</f>
        <v>46265.0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 ht="15" customHeight="1" s="71">
      <c r="A235" s="14">
        <f>IF(B235="","",ROW()-3)</f>
        <v>232</v>
      </c>
      <c r="B235" s="14" t="str">
        <f>IF(_辅助!$B235="","",IF(_辅助!$B235&lt;=1000,INDEX(存条明细!$C$4:$C$1003,_辅助!$B235),INDEX(出库明细!$C$4:$C$3003,_辅助!$B235-1000)))</f>
        <v>滨江荣香副食</v>
      </c>
      <c r="C235" s="14" t="str">
        <f>IF(_辅助!$B235="","",IF(_辅助!$B235&lt;=1000,INDEX(存条明细!$D$4:$D$1003,_辅助!$B235),INDEX(出库明细!$D$4:$D$3003,_辅助!$B235-1000)))</f>
        <v>555补水</v>
      </c>
      <c r="D235" s="14">
        <f>IF($B235="","",IFERROR(SUMIFS(存条明细!E:E,存条明细!C:C,$B235,存条明细!D:D,$C235),0))</f>
        <v>11</v>
      </c>
      <c r="E235" s="156">
        <f>IF(OR($B235="",N(D235)=0),"",ROUND(F235/D235,2))</f>
        <v>61.82</v>
      </c>
      <c r="F235" s="156">
        <f>IF($B235="","",IFERROR(SUMIFS(存条明细!G:G,存条明细!C:C,$B235,存条明细!D:D,$C235),0))</f>
        <v>680</v>
      </c>
      <c r="G235" s="14">
        <f>IF($B235="","",IFERROR(SUMIFS(出库明细!E:E,出库明细!C:C,$B235,出库明细!D:D,$C235),0))</f>
        <v>6</v>
      </c>
      <c r="H235" s="156">
        <f>IF($B235="","",IFERROR(SUMIFS(出库明细!G:G,出库明细!C:C,$B235,出库明细!D:D,$C235),0))</f>
        <v>408</v>
      </c>
      <c r="I235" s="14">
        <f>IF($B235="","",D235-G235)</f>
        <v>5</v>
      </c>
      <c r="J235" s="156">
        <f>IF($B235="","",F235-H235)</f>
        <v>272</v>
      </c>
      <c r="K235" s="179">
        <f>IF($B235="","",MAX(_xlfn.MAXIFS(存条明细!B:B,存条明细!C:C,$B235,存条明细!D:D,$C235),_xlfn.MAXIFS(出库明细!B:B,出库明细!C:C,$B235,出库明细!D:D,$C235)))</f>
        <v>46218.0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</row>
    <row r="236" ht="15" customHeight="1" s="71">
      <c r="A236" s="14">
        <f>IF(B236="","",ROW()-3)</f>
        <v>233</v>
      </c>
      <c r="B236" s="14" t="str">
        <f>IF(_辅助!$B236="","",IF(_辅助!$B236&lt;=1000,INDEX(存条明细!$C$4:$C$1003,_辅助!$B236),INDEX(出库明细!$C$4:$C$3003,_辅助!$B236-1000)))</f>
        <v>滨江荣香副食</v>
      </c>
      <c r="C236" s="14" t="str">
        <f>IF(_辅助!$B236="","",IF(_辅助!$B236&lt;=1000,INDEX(存条明细!$D$4:$D$1003,_辅助!$B236),INDEX(出库明细!$D$4:$D$3003,_辅助!$B236-1000)))</f>
        <v>1L补水</v>
      </c>
      <c r="D236" s="14">
        <f>IF($B236="","",IFERROR(SUMIFS(存条明细!E:E,存条明细!C:C,$B236,存条明细!D:D,$C236),0))</f>
        <v>15</v>
      </c>
      <c r="E236" s="156">
        <f>IF(OR($B236="",N(D236)=0),"",ROUND(F236/D236,2))</f>
        <v>58</v>
      </c>
      <c r="F236" s="156">
        <f>IF($B236="","",IFERROR(SUMIFS(存条明细!G:G,存条明细!C:C,$B236,存条明细!D:D,$C236),0))</f>
        <v>870</v>
      </c>
      <c r="G236" s="14">
        <f>IF($B236="","",IFERROR(SUMIFS(出库明细!E:E,出库明细!C:C,$B236,出库明细!D:D,$C236),0))</f>
        <v>3</v>
      </c>
      <c r="H236" s="156">
        <f>IF($B236="","",IFERROR(SUMIFS(出库明细!G:G,出库明细!C:C,$B236,出库明细!D:D,$C236),0))</f>
        <v>174</v>
      </c>
      <c r="I236" s="14">
        <f>IF($B236="","",D236-G236)</f>
        <v>12</v>
      </c>
      <c r="J236" s="156">
        <f>IF($B236="","",F236-H236)</f>
        <v>696</v>
      </c>
      <c r="K236" s="179">
        <f>IF($B236="","",MAX(_xlfn.MAXIFS(存条明细!B:B,存条明细!C:C,$B236,存条明细!D:D,$C236),_xlfn.MAXIFS(出库明细!B:B,出库明细!C:C,$B236,出库明细!D:D,$C236)))</f>
        <v>46218.0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 ht="15" customHeight="1" s="71">
      <c r="A237" s="14">
        <f>IF(B237="","",ROW()-3)</f>
        <v>234</v>
      </c>
      <c r="B237" s="14" t="str">
        <f>IF(_辅助!$B237="","",IF(_辅助!$B237&lt;=1000,INDEX(存条明细!$C$4:$C$1003,_辅助!$B237),INDEX(出库明细!$C$4:$C$3003,_辅助!$B237-1000)))</f>
        <v>滨江荣香副食</v>
      </c>
      <c r="C237" s="14" t="str">
        <f>IF(_辅助!$B237="","",IF(_辅助!$B237&lt;=1000,INDEX(存条明细!$D$4:$D$1003,_辅助!$B237),INDEX(出库明细!$D$4:$D$3003,_辅助!$B237-1000)))</f>
        <v>小果之茶</v>
      </c>
      <c r="D237" s="14">
        <f>IF($B237="","",IFERROR(SUMIFS(存条明细!E:E,存条明细!C:C,$B237,存条明细!D:D,$C237),0))</f>
        <v>27</v>
      </c>
      <c r="E237" s="156">
        <f>IF(OR($B237="",N(D237)=0),"",ROUND(F237/D237,2))</f>
        <v>46.3</v>
      </c>
      <c r="F237" s="156">
        <f>IF($B237="","",IFERROR(SUMIFS(存条明细!G:G,存条明细!C:C,$B237,存条明细!D:D,$C237),0))</f>
        <v>1250</v>
      </c>
      <c r="G237" s="14">
        <f>IF($B237="","",IFERROR(SUMIFS(出库明细!E:E,出库明细!C:C,$B237,出库明细!D:D,$C237),0))</f>
        <v>20</v>
      </c>
      <c r="H237" s="156">
        <f>IF($B237="","",IFERROR(SUMIFS(出库明细!G:G,出库明细!C:C,$B237,出库明细!D:D,$C237),0))</f>
        <v>1000</v>
      </c>
      <c r="I237" s="14">
        <f>IF($B237="","",D237-G237)</f>
        <v>7</v>
      </c>
      <c r="J237" s="156">
        <f>IF($B237="","",F237-H237)</f>
        <v>250</v>
      </c>
      <c r="K237" s="179">
        <f>IF($B237="","",MAX(_xlfn.MAXIFS(存条明细!B:B,存条明细!C:C,$B237,存条明细!D:D,$C237),_xlfn.MAXIFS(出库明细!B:B,出库明细!C:C,$B237,出库明细!D:D,$C237)))</f>
        <v>46279.0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</row>
    <row r="238" ht="15" customHeight="1" s="71">
      <c r="A238" s="14">
        <f>IF(B238="","",ROW()-3)</f>
        <v>235</v>
      </c>
      <c r="B238" s="14" t="str">
        <f>IF(_辅助!$B238="","",IF(_辅助!$B238&lt;=1000,INDEX(存条明细!$C$4:$C$1003,_辅助!$B238),INDEX(出库明细!$C$4:$C$3003,_辅助!$B238-1000)))</f>
        <v>滨江荣香副食</v>
      </c>
      <c r="C238" s="14" t="str">
        <f>IF(_辅助!$B238="","",IF(_辅助!$B238&lt;=1000,INDEX(存条明细!$D$4:$D$1003,_辅助!$B238),INDEX(出库明细!$D$4:$D$3003,_辅助!$B238-1000)))</f>
        <v>1L果之茶</v>
      </c>
      <c r="D238" s="14">
        <f>IF($B238="","",IFERROR(SUMIFS(存条明细!E:E,存条明细!C:C,$B238,存条明细!D:D,$C238),0))</f>
        <v>7</v>
      </c>
      <c r="E238" s="156">
        <f>IF(OR($B238="",N(D238)=0),"",ROUND(F238/D238,2))</f>
        <v>46</v>
      </c>
      <c r="F238" s="156">
        <f>IF($B238="","",IFERROR(SUMIFS(存条明细!G:G,存条明细!C:C,$B238,存条明细!D:D,$C238),0))</f>
        <v>322</v>
      </c>
      <c r="G238" s="14">
        <f>IF($B238="","",IFERROR(SUMIFS(出库明细!E:E,出库明细!C:C,$B238,出库明细!D:D,$C238),0))</f>
        <v>2</v>
      </c>
      <c r="H238" s="156">
        <f>IF($B238="","",IFERROR(SUMIFS(出库明细!G:G,出库明细!C:C,$B238,出库明细!D:D,$C238),0))</f>
        <v>92</v>
      </c>
      <c r="I238" s="14">
        <f>IF($B238="","",D238-G238)</f>
        <v>5</v>
      </c>
      <c r="J238" s="156">
        <f>IF($B238="","",F238-H238)</f>
        <v>230</v>
      </c>
      <c r="K238" s="179">
        <f>IF($B238="","",MAX(_xlfn.MAXIFS(存条明细!B:B,存条明细!C:C,$B238,存条明细!D:D,$C238),_xlfn.MAXIFS(出库明细!B:B,出库明细!C:C,$B238,出库明细!D:D,$C238)))</f>
        <v>46241.0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 ht="15" customHeight="1" s="71">
      <c r="A239" s="14">
        <f>IF(B239="","",ROW()-3)</f>
        <v>236</v>
      </c>
      <c r="B239" s="14" t="str">
        <f>IF(_辅助!$B239="","",IF(_辅助!$B239&lt;=1000,INDEX(存条明细!$C$4:$C$1003,_辅助!$B239),INDEX(出库明细!$C$4:$C$3003,_辅助!$B239-1000)))</f>
        <v>滨江荣香副食</v>
      </c>
      <c r="C239" s="14" t="str">
        <f>IF(_辅助!$B239="","",IF(_辅助!$B239&lt;=1000,INDEX(存条明细!$D$4:$D$1003,_辅助!$B239),INDEX(出库明细!$D$4:$D$3003,_辅助!$B239-1000)))</f>
        <v>大咖</v>
      </c>
      <c r="D239" s="14">
        <f>IF($B239="","",IFERROR(SUMIFS(存条明细!E:E,存条明细!C:C,$B239,存条明细!D:D,$C239),0))</f>
        <v>3</v>
      </c>
      <c r="E239" s="156">
        <f>IF(OR($B239="",N(D239)=0),"",ROUND(F239/D239,2))</f>
        <v>86</v>
      </c>
      <c r="F239" s="156">
        <f>IF($B239="","",IFERROR(SUMIFS(存条明细!G:G,存条明细!C:C,$B239,存条明细!D:D,$C239),0))</f>
        <v>258</v>
      </c>
      <c r="G239" s="14">
        <f>IF($B239="","",IFERROR(SUMIFS(出库明细!E:E,出库明细!C:C,$B239,出库明细!D:D,$C239),0))</f>
        <v>3</v>
      </c>
      <c r="H239" s="156">
        <f>IF($B239="","",IFERROR(SUMIFS(出库明细!G:G,出库明细!C:C,$B239,出库明细!D:D,$C239),0))</f>
        <v>258</v>
      </c>
      <c r="I239" s="14">
        <f>IF($B239="","",D239-G239)</f>
        <v>0</v>
      </c>
      <c r="J239" s="156">
        <f>IF($B239="","",F239-H239)</f>
        <v>0</v>
      </c>
      <c r="K239" s="179">
        <f>IF($B239="","",MAX(_xlfn.MAXIFS(存条明细!B:B,存条明细!C:C,$B239,存条明细!D:D,$C239),_xlfn.MAXIFS(出库明细!B:B,出库明细!C:C,$B239,出库明细!D:D,$C239)))</f>
        <v>46270.0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</row>
    <row r="240" ht="15" customHeight="1" s="71">
      <c r="A240" s="14">
        <f>IF(B240="","",ROW()-3)</f>
        <v>237</v>
      </c>
      <c r="B240" s="14" t="str">
        <f>IF(_辅助!$B240="","",IF(_辅助!$B240&lt;=1000,INDEX(存条明细!$C$4:$C$1003,_辅助!$B240),INDEX(出库明细!$C$4:$C$3003,_辅助!$B240-1000)))</f>
        <v>埠头凤岗万家乐超市</v>
      </c>
      <c r="C240" s="14" t="str">
        <f>IF(_辅助!$B240="","",IF(_辅助!$B240&lt;=1000,INDEX(存条明细!$D$4:$D$1003,_辅助!$B240),INDEX(出库明细!$D$4:$D$3003,_辅助!$B240-1000)))</f>
        <v>大东鹏</v>
      </c>
      <c r="D240" s="14">
        <f>IF($B240="","",IFERROR(SUMIFS(存条明细!E:E,存条明细!C:C,$B240,存条明细!D:D,$C240),0))</f>
        <v>10</v>
      </c>
      <c r="E240" s="156">
        <f>IF(OR($B240="",N(D240)=0),"",ROUND(F240/D240,2))</f>
        <v>93</v>
      </c>
      <c r="F240" s="156">
        <f>IF($B240="","",IFERROR(SUMIFS(存条明细!G:G,存条明细!C:C,$B240,存条明细!D:D,$C240),0))</f>
        <v>930</v>
      </c>
      <c r="G240" s="14">
        <f>IF($B240="","",IFERROR(SUMIFS(出库明细!E:E,出库明细!C:C,$B240,出库明细!D:D,$C240),0))</f>
        <v>10</v>
      </c>
      <c r="H240" s="156">
        <f>IF($B240="","",IFERROR(SUMIFS(出库明细!G:G,出库明细!C:C,$B240,出库明细!D:D,$C240),0))</f>
        <v>930</v>
      </c>
      <c r="I240" s="14">
        <f>IF($B240="","",D240-G240)</f>
        <v>0</v>
      </c>
      <c r="J240" s="156">
        <f>IF($B240="","",F240-H240)</f>
        <v>0</v>
      </c>
      <c r="K240" s="179">
        <f>IF($B240="","",MAX(_xlfn.MAXIFS(存条明细!B:B,存条明细!C:C,$B240,存条明细!D:D,$C240),_xlfn.MAXIFS(出库明细!B:B,出库明细!C:C,$B240,出库明细!D:D,$C240)))</f>
        <v>46234.0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 ht="15" customHeight="1" s="71">
      <c r="A241" s="14">
        <f>IF(B241="","",ROW()-3)</f>
        <v>238</v>
      </c>
      <c r="B241" s="14" t="str">
        <f>IF(_辅助!$B241="","",IF(_辅助!$B241&lt;=1000,INDEX(存条明细!$C$4:$C$1003,_辅助!$B241),INDEX(出库明细!$C$4:$C$3003,_辅助!$B241-1000)))</f>
        <v>方太青华百货</v>
      </c>
      <c r="C241" s="14" t="str">
        <f>IF(_辅助!$B241="","",IF(_辅助!$B241&lt;=1000,INDEX(存条明细!$D$4:$D$1003,_辅助!$B241),INDEX(出库明细!$D$4:$D$3003,_辅助!$B241-1000)))</f>
        <v>大东鹏</v>
      </c>
      <c r="D241" s="14">
        <f>IF($B241="","",IFERROR(SUMIFS(存条明细!E:E,存条明细!C:C,$B241,存条明细!D:D,$C241),0))</f>
        <v>15</v>
      </c>
      <c r="E241" s="156">
        <f>IF(OR($B241="",N(D241)=0),"",ROUND(F241/D241,2))</f>
        <v>93</v>
      </c>
      <c r="F241" s="156">
        <f>IF($B241="","",IFERROR(SUMIFS(存条明细!G:G,存条明细!C:C,$B241,存条明细!D:D,$C241),0))</f>
        <v>1395</v>
      </c>
      <c r="G241" s="14">
        <f>IF($B241="","",IFERROR(SUMIFS(出库明细!E:E,出库明细!C:C,$B241,出库明细!D:D,$C241),0))</f>
        <v>0</v>
      </c>
      <c r="H241" s="156">
        <f>IF($B241="","",IFERROR(SUMIFS(出库明细!G:G,出库明细!C:C,$B241,出库明细!D:D,$C241),0))</f>
        <v>0</v>
      </c>
      <c r="I241" s="14">
        <f>IF($B241="","",D241-G241)</f>
        <v>15</v>
      </c>
      <c r="J241" s="156">
        <f>IF($B241="","",F241-H241)</f>
        <v>1395</v>
      </c>
      <c r="K241" s="179">
        <f>IF($B241="","",MAX(_xlfn.MAXIFS(存条明细!B:B,存条明细!C:C,$B241,存条明细!D:D,$C241),_xlfn.MAXIFS(出库明细!B:B,出库明细!C:C,$B241,出库明细!D:D,$C241)))</f>
        <v>46215.0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</row>
    <row r="242" ht="15" customHeight="1" s="71">
      <c r="A242" s="14">
        <f>IF(B242="","",ROW()-3)</f>
        <v>239</v>
      </c>
      <c r="B242" s="14" t="str">
        <f>IF(_辅助!$B242="","",IF(_辅助!$B242&lt;=1000,INDEX(存条明细!$C$4:$C$1003,_辅助!$B242),INDEX(出库明细!$C$4:$C$3003,_辅助!$B242-1000)))</f>
        <v>城北街隆兴商行</v>
      </c>
      <c r="C242" s="14" t="str">
        <f>IF(_辅助!$B242="","",IF(_辅助!$B242&lt;=1000,INDEX(存条明细!$D$4:$D$1003,_辅助!$B242),INDEX(出库明细!$D$4:$D$3003,_辅助!$B242-1000)))</f>
        <v>大东鹏</v>
      </c>
      <c r="D242" s="14">
        <f>IF($B242="","",IFERROR(SUMIFS(存条明细!E:E,存条明细!C:C,$B242,存条明细!D:D,$C242),0))</f>
        <v>26</v>
      </c>
      <c r="E242" s="156">
        <f>IF(OR($B242="",N(D242)=0),"",ROUND(F242/D242,2))</f>
        <v>89.42</v>
      </c>
      <c r="F242" s="156">
        <f>IF($B242="","",IFERROR(SUMIFS(存条明细!G:G,存条明细!C:C,$B242,存条明细!D:D,$C242),0))</f>
        <v>2325</v>
      </c>
      <c r="G242" s="14">
        <f>IF($B242="","",IFERROR(SUMIFS(出库明细!E:E,出库明细!C:C,$B242,出库明细!D:D,$C242),0))</f>
        <v>26</v>
      </c>
      <c r="H242" s="156">
        <f>IF($B242="","",IFERROR(SUMIFS(出库明细!G:G,出库明细!C:C,$B242,出库明细!D:D,$C242),0))</f>
        <v>2325</v>
      </c>
      <c r="I242" s="14">
        <f>IF($B242="","",D242-G242)</f>
        <v>0</v>
      </c>
      <c r="J242" s="156">
        <f>IF($B242="","",F242-H242)</f>
        <v>0</v>
      </c>
      <c r="K242" s="179">
        <f>IF($B242="","",MAX(_xlfn.MAXIFS(存条明细!B:B,存条明细!C:C,$B242,存条明细!D:D,$C242),_xlfn.MAXIFS(出库明细!B:B,出库明细!C:C,$B242,出库明细!D:D,$C242)))</f>
        <v>46268.0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 ht="15" customHeight="1" s="71">
      <c r="A243" s="14">
        <f>IF(B243="","",ROW()-3)</f>
        <v>240</v>
      </c>
      <c r="B243" s="14" t="str">
        <f>IF(_辅助!$B243="","",IF(_辅助!$B243&lt;=1000,INDEX(存条明细!$C$4:$C$1003,_辅助!$B243),INDEX(出库明细!$C$4:$C$3003,_辅助!$B243-1000)))</f>
        <v>城北街隆兴商行</v>
      </c>
      <c r="C243" s="14" t="str">
        <f>IF(_辅助!$B243="","",IF(_辅助!$B243&lt;=1000,INDEX(存条明细!$D$4:$D$1003,_辅助!$B243),INDEX(出库明细!$D$4:$D$3003,_辅助!$B243-1000)))</f>
        <v>555补水</v>
      </c>
      <c r="D243" s="14">
        <f>IF($B243="","",IFERROR(SUMIFS(存条明细!E:E,存条明细!C:C,$B243,存条明细!D:D,$C243),0))</f>
        <v>11</v>
      </c>
      <c r="E243" s="156">
        <f>IF(OR($B243="",N(D243)=0),"",ROUND(F243/D243,2))</f>
        <v>61.82</v>
      </c>
      <c r="F243" s="156">
        <f>IF($B243="","",IFERROR(SUMIFS(存条明细!G:G,存条明细!C:C,$B243,存条明细!D:D,$C243),0))</f>
        <v>680</v>
      </c>
      <c r="G243" s="14">
        <f>IF($B243="","",IFERROR(SUMIFS(出库明细!E:E,出库明细!C:C,$B243,出库明细!D:D,$C243),0))</f>
        <v>8</v>
      </c>
      <c r="H243" s="156">
        <f>IF($B243="","",IFERROR(SUMIFS(出库明细!G:G,出库明细!C:C,$B243,出库明细!D:D,$C243),0))</f>
        <v>476</v>
      </c>
      <c r="I243" s="14">
        <f>IF($B243="","",D243-G243)</f>
        <v>3</v>
      </c>
      <c r="J243" s="156">
        <f>IF($B243="","",F243-H243)</f>
        <v>204</v>
      </c>
      <c r="K243" s="179">
        <f>IF($B243="","",MAX(_xlfn.MAXIFS(存条明细!B:B,存条明细!C:C,$B243,存条明细!D:D,$C243),_xlfn.MAXIFS(出库明细!B:B,出库明细!C:C,$B243,出库明细!D:D,$C243)))</f>
        <v>46268.0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</row>
    <row r="244" ht="15" customHeight="1" s="71">
      <c r="A244" s="14">
        <f>IF(B244="","",ROW()-3)</f>
        <v>241</v>
      </c>
      <c r="B244" s="14" t="str">
        <f>IF(_辅助!$B244="","",IF(_辅助!$B244&lt;=1000,INDEX(存条明细!$C$4:$C$1003,_辅助!$B244),INDEX(出库明细!$C$4:$C$3003,_辅助!$B244-1000)))</f>
        <v>均村好惠多超市</v>
      </c>
      <c r="C244" s="14" t="str">
        <f>IF(_辅助!$B244="","",IF(_辅助!$B244&lt;=1000,INDEX(存条明细!$D$4:$D$1003,_辅助!$B244),INDEX(出库明细!$D$4:$D$3003,_辅助!$B244-1000)))</f>
        <v>大东鹏</v>
      </c>
      <c r="D244" s="14">
        <f>IF($B244="","",IFERROR(SUMIFS(存条明细!E:E,存条明细!C:C,$B244,存条明细!D:D,$C244),0))</f>
        <v>15</v>
      </c>
      <c r="E244" s="156">
        <f>IF(OR($B244="",N(D244)=0),"",ROUND(F244/D244,2))</f>
        <v>93</v>
      </c>
      <c r="F244" s="156">
        <f>IF($B244="","",IFERROR(SUMIFS(存条明细!G:G,存条明细!C:C,$B244,存条明细!D:D,$C244),0))</f>
        <v>1395</v>
      </c>
      <c r="G244" s="14">
        <f>IF($B244="","",IFERROR(SUMIFS(出库明细!E:E,出库明细!C:C,$B244,出库明细!D:D,$C244),0))</f>
        <v>0</v>
      </c>
      <c r="H244" s="156">
        <f>IF($B244="","",IFERROR(SUMIFS(出库明细!G:G,出库明细!C:C,$B244,出库明细!D:D,$C244),0))</f>
        <v>0</v>
      </c>
      <c r="I244" s="14">
        <f>IF($B244="","",D244-G244)</f>
        <v>15</v>
      </c>
      <c r="J244" s="156">
        <f>IF($B244="","",F244-H244)</f>
        <v>1395</v>
      </c>
      <c r="K244" s="179">
        <f>IF($B244="","",MAX(_xlfn.MAXIFS(存条明细!B:B,存条明细!C:C,$B244,存条明细!D:D,$C244),_xlfn.MAXIFS(出库明细!B:B,出库明细!C:C,$B244,出库明细!D:D,$C244)))</f>
        <v>46213.0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 ht="15" customHeight="1" s="71">
      <c r="A245" s="14">
        <f>IF(B245="","",ROW()-3)</f>
        <v>242</v>
      </c>
      <c r="B245" s="14" t="str">
        <f>IF(_辅助!$B245="","",IF(_辅助!$B245&lt;=1000,INDEX(存条明细!$C$4:$C$1003,_辅助!$B245),INDEX(出库明细!$C$4:$C$3003,_辅助!$B245-1000)))</f>
        <v>龙口利客副食</v>
      </c>
      <c r="C245" s="14" t="str">
        <f>IF(_辅助!$B245="","",IF(_辅助!$B245&lt;=1000,INDEX(存条明细!$D$4:$D$1003,_辅助!$B245),INDEX(出库明细!$D$4:$D$3003,_辅助!$B245-1000)))</f>
        <v>大东鹏</v>
      </c>
      <c r="D245" s="14">
        <f>IF($B245="","",IFERROR(SUMIFS(存条明细!E:E,存条明细!C:C,$B245,存条明细!D:D,$C245),0))</f>
        <v>25</v>
      </c>
      <c r="E245" s="156">
        <f>IF(OR($B245="",N(D245)=0),"",ROUND(F245/D245,2))</f>
        <v>93</v>
      </c>
      <c r="F245" s="156">
        <f>IF($B245="","",IFERROR(SUMIFS(存条明细!G:G,存条明细!C:C,$B245,存条明细!D:D,$C245),0))</f>
        <v>2325</v>
      </c>
      <c r="G245" s="14">
        <f>IF($B245="","",IFERROR(SUMIFS(出库明细!E:E,出库明细!C:C,$B245,出库明细!D:D,$C245),0))</f>
        <v>25</v>
      </c>
      <c r="H245" s="156">
        <f>IF($B245="","",IFERROR(SUMIFS(出库明细!G:G,出库明细!C:C,$B245,出库明细!D:D,$C245),0))</f>
        <v>2325</v>
      </c>
      <c r="I245" s="14">
        <f>IF($B245="","",D245-G245)</f>
        <v>0</v>
      </c>
      <c r="J245" s="156">
        <f>IF($B245="","",F245-H245)</f>
        <v>0</v>
      </c>
      <c r="K245" s="179">
        <f>IF($B245="","",MAX(_xlfn.MAXIFS(存条明细!B:B,存条明细!C:C,$B245,存条明细!D:D,$C245),_xlfn.MAXIFS(出库明细!B:B,出库明细!C:C,$B245,出库明细!D:D,$C245)))</f>
        <v>46246.0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</row>
    <row r="246" ht="15" customHeight="1" s="71">
      <c r="A246" s="14">
        <f>IF(B246="","",ROW()-3)</f>
        <v>243</v>
      </c>
      <c r="B246" s="14" t="str">
        <f>IF(_辅助!$B246="","",IF(_辅助!$B246&lt;=1000,INDEX(存条明细!$C$4:$C$1003,_辅助!$B246),INDEX(出库明细!$C$4:$C$3003,_辅助!$B246-1000)))</f>
        <v>长岗愉清副食</v>
      </c>
      <c r="C246" s="14" t="str">
        <f>IF(_辅助!$B246="","",IF(_辅助!$B246&lt;=1000,INDEX(存条明细!$D$4:$D$1003,_辅助!$B246),INDEX(出库明细!$D$4:$D$3003,_辅助!$B246-1000)))</f>
        <v>大东鹏</v>
      </c>
      <c r="D246" s="14">
        <f>IF($B246="","",IFERROR(SUMIFS(存条明细!E:E,存条明细!C:C,$B246,存条明细!D:D,$C246),0))</f>
        <v>15</v>
      </c>
      <c r="E246" s="156">
        <f>IF(OR($B246="",N(D246)=0),"",ROUND(F246/D246,2))</f>
        <v>93</v>
      </c>
      <c r="F246" s="156">
        <f>IF($B246="","",IFERROR(SUMIFS(存条明细!G:G,存条明细!C:C,$B246,存条明细!D:D,$C246),0))</f>
        <v>1395</v>
      </c>
      <c r="G246" s="14">
        <f>IF($B246="","",IFERROR(SUMIFS(出库明细!E:E,出库明细!C:C,$B246,出库明细!D:D,$C246),0))</f>
        <v>0</v>
      </c>
      <c r="H246" s="156">
        <f>IF($B246="","",IFERROR(SUMIFS(出库明细!G:G,出库明细!C:C,$B246,出库明细!D:D,$C246),0))</f>
        <v>0</v>
      </c>
      <c r="I246" s="14">
        <f>IF($B246="","",D246-G246)</f>
        <v>15</v>
      </c>
      <c r="J246" s="156">
        <f>IF($B246="","",F246-H246)</f>
        <v>1395</v>
      </c>
      <c r="K246" s="179">
        <f>IF($B246="","",MAX(_xlfn.MAXIFS(存条明细!B:B,存条明细!C:C,$B246,存条明细!D:D,$C246),_xlfn.MAXIFS(出库明细!B:B,出库明细!C:C,$B246,出库明细!D:D,$C246)))</f>
        <v>46212.0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 ht="15" customHeight="1" s="71">
      <c r="A247" s="14">
        <f>IF(B247="","",ROW()-3)</f>
        <v>244</v>
      </c>
      <c r="B247" s="14" t="str">
        <f>IF(_辅助!$B247="","",IF(_辅助!$B247&lt;=1000,INDEX(存条明细!$C$4:$C$1003,_辅助!$B247),INDEX(出库明细!$C$4:$C$3003,_辅助!$B247-1000)))</f>
        <v>长岗愉清副食</v>
      </c>
      <c r="C247" s="14" t="str">
        <f>IF(_辅助!$B247="","",IF(_辅助!$B247&lt;=1000,INDEX(存条明细!$D$4:$D$1003,_辅助!$B247),INDEX(出库明细!$D$4:$D$3003,_辅助!$B247-1000)))</f>
        <v>555补水</v>
      </c>
      <c r="D247" s="14">
        <f>IF($B247="","",IFERROR(SUMIFS(存条明细!E:E,存条明细!C:C,$B247,存条明细!D:D,$C247),0))</f>
        <v>11</v>
      </c>
      <c r="E247" s="156">
        <f>IF(OR($B247="",N(D247)=0),"",ROUND(F247/D247,2))</f>
        <v>61.82</v>
      </c>
      <c r="F247" s="156">
        <f>IF($B247="","",IFERROR(SUMIFS(存条明细!G:G,存条明细!C:C,$B247,存条明细!D:D,$C247),0))</f>
        <v>680</v>
      </c>
      <c r="G247" s="14">
        <f>IF($B247="","",IFERROR(SUMIFS(出库明细!E:E,出库明细!C:C,$B247,出库明细!D:D,$C247),0))</f>
        <v>1</v>
      </c>
      <c r="H247" s="156">
        <f>IF($B247="","",IFERROR(SUMIFS(出库明细!G:G,出库明细!C:C,$B247,出库明细!D:D,$C247),0))</f>
        <v>0</v>
      </c>
      <c r="I247" s="14">
        <f>IF($B247="","",D247-G247)</f>
        <v>10</v>
      </c>
      <c r="J247" s="156">
        <f>IF($B247="","",F247-H247)</f>
        <v>680</v>
      </c>
      <c r="K247" s="179">
        <f>IF($B247="","",MAX(_xlfn.MAXIFS(存条明细!B:B,存条明细!C:C,$B247,存条明细!D:D,$C247),_xlfn.MAXIFS(出库明细!B:B,出库明细!C:C,$B247,出库明细!D:D,$C247)))</f>
        <v>46212.0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</row>
    <row r="248" ht="15" customHeight="1" s="71">
      <c r="A248" s="14">
        <f>IF(B248="","",ROW()-3)</f>
        <v>245</v>
      </c>
      <c r="B248" s="14" t="str">
        <f>IF(_辅助!$B248="","",IF(_辅助!$B248&lt;=1000,INDEX(存条明细!$C$4:$C$1003,_辅助!$B248),INDEX(出库明细!$C$4:$C$3003,_辅助!$B248-1000)))</f>
        <v>长岗愉清副食</v>
      </c>
      <c r="C248" s="14" t="str">
        <f>IF(_辅助!$B248="","",IF(_辅助!$B248&lt;=1000,INDEX(存条明细!$D$4:$D$1003,_辅助!$B248),INDEX(出库明细!$D$4:$D$3003,_辅助!$B248-1000)))</f>
        <v>小果之茶</v>
      </c>
      <c r="D248" s="14">
        <f>IF($B248="","",IFERROR(SUMIFS(存条明细!E:E,存条明细!C:C,$B248,存条明细!D:D,$C248),0))</f>
        <v>11</v>
      </c>
      <c r="E248" s="156">
        <f>IF(OR($B248="",N(D248)=0),"",ROUND(F248/D248,2))</f>
        <v>45.45</v>
      </c>
      <c r="F248" s="156">
        <f>IF($B248="","",IFERROR(SUMIFS(存条明细!G:G,存条明细!C:C,$B248,存条明细!D:D,$C248),0))</f>
        <v>500</v>
      </c>
      <c r="G248" s="14">
        <f>IF($B248="","",IFERROR(SUMIFS(出库明细!E:E,出库明细!C:C,$B248,出库明细!D:D,$C248),0))</f>
        <v>7</v>
      </c>
      <c r="H248" s="156">
        <f>IF($B248="","",IFERROR(SUMIFS(出库明细!G:G,出库明细!C:C,$B248,出库明细!D:D,$C248),0))</f>
        <v>300</v>
      </c>
      <c r="I248" s="14">
        <f>IF($B248="","",D248-G248)</f>
        <v>4</v>
      </c>
      <c r="J248" s="156">
        <f>IF($B248="","",F248-H248)</f>
        <v>200</v>
      </c>
      <c r="K248" s="179">
        <f>IF($B248="","",MAX(_xlfn.MAXIFS(存条明细!B:B,存条明细!C:C,$B248,存条明细!D:D,$C248),_xlfn.MAXIFS(出库明细!B:B,出库明细!C:C,$B248,出库明细!D:D,$C248)))</f>
        <v>46212.0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 ht="15" customHeight="1" s="71">
      <c r="A249" s="14">
        <f>IF(B249="","",ROW()-3)</f>
        <v>246</v>
      </c>
      <c r="B249" s="14" t="str">
        <f>IF(_辅助!$B249="","",IF(_辅助!$B249&lt;=1000,INDEX(存条明细!$C$4:$C$1003,_辅助!$B249),INDEX(出库明细!$C$4:$C$3003,_辅助!$B249-1000)))</f>
        <v>长岗愉清副食</v>
      </c>
      <c r="C249" s="14" t="str">
        <f>IF(_辅助!$B249="","",IF(_辅助!$B249&lt;=1000,INDEX(存条明细!$D$4:$D$1003,_辅助!$B249),INDEX(出库明细!$D$4:$D$3003,_辅助!$B249-1000)))</f>
        <v>1L果之茶</v>
      </c>
      <c r="D249" s="14">
        <f>IF($B249="","",IFERROR(SUMIFS(存条明细!E:E,存条明细!C:C,$B249,存条明细!D:D,$C249),0))</f>
        <v>10</v>
      </c>
      <c r="E249" s="156">
        <f>IF(OR($B249="",N(D249)=0),"",ROUND(F249/D249,2))</f>
        <v>46</v>
      </c>
      <c r="F249" s="156">
        <f>IF($B249="","",IFERROR(SUMIFS(存条明细!G:G,存条明细!C:C,$B249,存条明细!D:D,$C249),0))</f>
        <v>460</v>
      </c>
      <c r="G249" s="14">
        <f>IF($B249="","",IFERROR(SUMIFS(出库明细!E:E,出库明细!C:C,$B249,出库明细!D:D,$C249),0))</f>
        <v>6</v>
      </c>
      <c r="H249" s="156">
        <f>IF($B249="","",IFERROR(SUMIFS(出库明细!G:G,出库明细!C:C,$B249,出库明细!D:D,$C249),0))</f>
        <v>276</v>
      </c>
      <c r="I249" s="14">
        <f>IF($B249="","",D249-G249)</f>
        <v>4</v>
      </c>
      <c r="J249" s="156">
        <f>IF($B249="","",F249-H249)</f>
        <v>184</v>
      </c>
      <c r="K249" s="179">
        <f>IF($B249="","",MAX(_xlfn.MAXIFS(存条明细!B:B,存条明细!C:C,$B249,存条明细!D:D,$C249),_xlfn.MAXIFS(出库明细!B:B,出库明细!C:C,$B249,出库明细!D:D,$C249)))</f>
        <v>46212.0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</row>
    <row r="250" ht="15" customHeight="1" s="71">
      <c r="A250" s="14">
        <f>IF(B250="","",ROW()-3)</f>
        <v>247</v>
      </c>
      <c r="B250" s="14" t="str">
        <f>IF(_辅助!$B250="","",IF(_辅助!$B250&lt;=1000,INDEX(存条明细!$C$4:$C$1003,_辅助!$B250),INDEX(出库明细!$C$4:$C$3003,_辅助!$B250-1000)))</f>
        <v>高兴小春王均平</v>
      </c>
      <c r="C250" s="14" t="str">
        <f>IF(_辅助!$B250="","",IF(_辅助!$B250&lt;=1000,INDEX(存条明细!$D$4:$D$1003,_辅助!$B250),INDEX(出库明细!$D$4:$D$3003,_辅助!$B250-1000)))</f>
        <v>大东鹏</v>
      </c>
      <c r="D250" s="14">
        <f>IF($B250="","",IFERROR(SUMIFS(存条明细!E:E,存条明细!C:C,$B250,存条明细!D:D,$C250),0))</f>
        <v>25</v>
      </c>
      <c r="E250" s="156">
        <f>IF(OR($B250="",N(D250)=0),"",ROUND(F250/D250,2))</f>
        <v>93</v>
      </c>
      <c r="F250" s="156">
        <f>IF($B250="","",IFERROR(SUMIFS(存条明细!G:G,存条明细!C:C,$B250,存条明细!D:D,$C250),0))</f>
        <v>2325</v>
      </c>
      <c r="G250" s="14">
        <f>IF($B250="","",IFERROR(SUMIFS(出库明细!E:E,出库明细!C:C,$B250,出库明细!D:D,$C250),0))</f>
        <v>0</v>
      </c>
      <c r="H250" s="156">
        <f>IF($B250="","",IFERROR(SUMIFS(出库明细!G:G,出库明细!C:C,$B250,出库明细!D:D,$C250),0))</f>
        <v>0</v>
      </c>
      <c r="I250" s="14">
        <f>IF($B250="","",D250-G250)</f>
        <v>25</v>
      </c>
      <c r="J250" s="156">
        <f>IF($B250="","",F250-H250)</f>
        <v>2325</v>
      </c>
      <c r="K250" s="179">
        <f>IF($B250="","",MAX(_xlfn.MAXIFS(存条明细!B:B,存条明细!C:C,$B250,存条明细!D:D,$C250),_xlfn.MAXIFS(出库明细!B:B,出库明细!C:C,$B250,出库明细!D:D,$C250)))</f>
        <v>46212.0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 ht="15" customHeight="1" s="71">
      <c r="A251" s="14">
        <f>IF(B251="","",ROW()-3)</f>
        <v>248</v>
      </c>
      <c r="B251" s="14" t="str">
        <f>IF(_辅助!$B251="","",IF(_辅助!$B251&lt;=1000,INDEX(存条明细!$C$4:$C$1003,_辅助!$B251),INDEX(出库明细!$C$4:$C$3003,_辅助!$B251-1000)))</f>
        <v>高兴小春王均平</v>
      </c>
      <c r="C251" s="14" t="str">
        <f>IF(_辅助!$B251="","",IF(_辅助!$B251&lt;=1000,INDEX(存条明细!$D$4:$D$1003,_辅助!$B251),INDEX(出库明细!$D$4:$D$3003,_辅助!$B251-1000)))</f>
        <v>555补水</v>
      </c>
      <c r="D251" s="14">
        <f>IF($B251="","",IFERROR(SUMIFS(存条明细!E:E,存条明细!C:C,$B251,存条明细!D:D,$C251),0))</f>
        <v>5</v>
      </c>
      <c r="E251" s="156">
        <f>IF(OR($B251="",N(D251)=0),"",ROUND(F251/D251,2))</f>
        <v>68</v>
      </c>
      <c r="F251" s="156">
        <f>IF($B251="","",IFERROR(SUMIFS(存条明细!G:G,存条明细!C:C,$B251,存条明细!D:D,$C251),0))</f>
        <v>340</v>
      </c>
      <c r="G251" s="14">
        <f>IF($B251="","",IFERROR(SUMIFS(出库明细!E:E,出库明细!C:C,$B251,出库明细!D:D,$C251),0))</f>
        <v>0</v>
      </c>
      <c r="H251" s="156">
        <f>IF($B251="","",IFERROR(SUMIFS(出库明细!G:G,出库明细!C:C,$B251,出库明细!D:D,$C251),0))</f>
        <v>0</v>
      </c>
      <c r="I251" s="14">
        <f>IF($B251="","",D251-G251)</f>
        <v>5</v>
      </c>
      <c r="J251" s="156">
        <f>IF($B251="","",F251-H251)</f>
        <v>340</v>
      </c>
      <c r="K251" s="179">
        <f>IF($B251="","",MAX(_xlfn.MAXIFS(存条明细!B:B,存条明细!C:C,$B251,存条明细!D:D,$C251),_xlfn.MAXIFS(出库明细!B:B,出库明细!C:C,$B251,出库明细!D:D,$C251)))</f>
        <v>46212.0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</row>
    <row r="252" ht="15" customHeight="1" s="71">
      <c r="A252" s="14">
        <f>IF(B252="","",ROW()-3)</f>
        <v>249</v>
      </c>
      <c r="B252" s="14" t="str">
        <f>IF(_辅助!$B252="","",IF(_辅助!$B252&lt;=1000,INDEX(存条明细!$C$4:$C$1003,_辅助!$B252),INDEX(出库明细!$C$4:$C$3003,_辅助!$B252-1000)))</f>
        <v>高兴小春王均平</v>
      </c>
      <c r="C252" s="14" t="str">
        <f>IF(_辅助!$B252="","",IF(_辅助!$B252&lt;=1000,INDEX(存条明细!$D$4:$D$1003,_辅助!$B252),INDEX(出库明细!$D$4:$D$3003,_辅助!$B252-1000)))</f>
        <v>小果之茶</v>
      </c>
      <c r="D252" s="14">
        <f>IF($B252="","",IFERROR(SUMIFS(存条明细!E:E,存条明细!C:C,$B252,存条明细!D:D,$C252),0))</f>
        <v>3</v>
      </c>
      <c r="E252" s="156">
        <f>IF(OR($B252="",N(D252)=0),"",ROUND(F252/D252,2))</f>
        <v>50</v>
      </c>
      <c r="F252" s="156">
        <f>IF($B252="","",IFERROR(SUMIFS(存条明细!G:G,存条明细!C:C,$B252,存条明细!D:D,$C252),0))</f>
        <v>150</v>
      </c>
      <c r="G252" s="14">
        <f>IF($B252="","",IFERROR(SUMIFS(出库明细!E:E,出库明细!C:C,$B252,出库明细!D:D,$C252),0))</f>
        <v>3</v>
      </c>
      <c r="H252" s="156">
        <f>IF($B252="","",IFERROR(SUMIFS(出库明细!G:G,出库明细!C:C,$B252,出库明细!D:D,$C252),0))</f>
        <v>150</v>
      </c>
      <c r="I252" s="14">
        <f>IF($B252="","",D252-G252)</f>
        <v>0</v>
      </c>
      <c r="J252" s="156">
        <f>IF($B252="","",F252-H252)</f>
        <v>0</v>
      </c>
      <c r="K252" s="179">
        <f>IF($B252="","",MAX(_xlfn.MAXIFS(存条明细!B:B,存条明细!C:C,$B252,存条明细!D:D,$C252),_xlfn.MAXIFS(出库明细!B:B,出库明细!C:C,$B252,出库明细!D:D,$C252)))</f>
        <v>46212.0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 ht="15" customHeight="1" s="71">
      <c r="A253" s="14">
        <f>IF(B253="","",ROW()-3)</f>
        <v>250</v>
      </c>
      <c r="B253" s="14" t="str">
        <f>IF(_辅助!$B253="","",IF(_辅助!$B253&lt;=1000,INDEX(存条明细!$C$4:$C$1003,_辅助!$B253),INDEX(出库明细!$C$4:$C$3003,_辅助!$B253-1000)))</f>
        <v>高兴小春王均平</v>
      </c>
      <c r="C253" s="14" t="str">
        <f>IF(_辅助!$B253="","",IF(_辅助!$B253&lt;=1000,INDEX(存条明细!$D$4:$D$1003,_辅助!$B253),INDEX(出库明细!$D$4:$D$3003,_辅助!$B253-1000)))</f>
        <v>1L果之茶</v>
      </c>
      <c r="D253" s="14">
        <f>IF($B253="","",IFERROR(SUMIFS(存条明细!E:E,存条明细!C:C,$B253,存条明细!D:D,$C253),0))</f>
        <v>2</v>
      </c>
      <c r="E253" s="156">
        <f>IF(OR($B253="",N(D253)=0),"",ROUND(F253/D253,2))</f>
        <v>46</v>
      </c>
      <c r="F253" s="156">
        <f>IF($B253="","",IFERROR(SUMIFS(存条明细!G:G,存条明细!C:C,$B253,存条明细!D:D,$C253),0))</f>
        <v>92</v>
      </c>
      <c r="G253" s="14">
        <f>IF($B253="","",IFERROR(SUMIFS(出库明细!E:E,出库明细!C:C,$B253,出库明细!D:D,$C253),0))</f>
        <v>2</v>
      </c>
      <c r="H253" s="156">
        <f>IF($B253="","",IFERROR(SUMIFS(出库明细!G:G,出库明细!C:C,$B253,出库明细!D:D,$C253),0))</f>
        <v>92</v>
      </c>
      <c r="I253" s="14">
        <f>IF($B253="","",D253-G253)</f>
        <v>0</v>
      </c>
      <c r="J253" s="156">
        <f>IF($B253="","",F253-H253)</f>
        <v>0</v>
      </c>
      <c r="K253" s="179">
        <f>IF($B253="","",MAX(_xlfn.MAXIFS(存条明细!B:B,存条明细!C:C,$B253,存条明细!D:D,$C253),_xlfn.MAXIFS(出库明细!B:B,出库明细!C:C,$B253,出库明细!D:D,$C253)))</f>
        <v>46212.0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</row>
    <row r="254" ht="15" customHeight="1" s="71">
      <c r="A254" s="14">
        <f>IF(B254="","",ROW()-3)</f>
        <v>251</v>
      </c>
      <c r="B254" s="14" t="str">
        <f>IF(_辅助!$B254="","",IF(_辅助!$B254&lt;=1000,INDEX(存条明细!$C$4:$C$1003,_辅助!$B254),INDEX(出库明细!$C$4:$C$3003,_辅助!$B254-1000)))</f>
        <v>高兴蒙山超市</v>
      </c>
      <c r="C254" s="14" t="str">
        <f>IF(_辅助!$B254="","",IF(_辅助!$B254&lt;=1000,INDEX(存条明细!$D$4:$D$1003,_辅助!$B254),INDEX(出库明细!$D$4:$D$3003,_辅助!$B254-1000)))</f>
        <v>大东鹏</v>
      </c>
      <c r="D254" s="14">
        <f>IF($B254="","",IFERROR(SUMIFS(存条明细!E:E,存条明细!C:C,$B254,存条明细!D:D,$C254),0))</f>
        <v>15</v>
      </c>
      <c r="E254" s="156">
        <f>IF(OR($B254="",N(D254)=0),"",ROUND(F254/D254,2))</f>
        <v>93</v>
      </c>
      <c r="F254" s="156">
        <f>IF($B254="","",IFERROR(SUMIFS(存条明细!G:G,存条明细!C:C,$B254,存条明细!D:D,$C254),0))</f>
        <v>1395</v>
      </c>
      <c r="G254" s="14">
        <f>IF($B254="","",IFERROR(SUMIFS(出库明细!E:E,出库明细!C:C,$B254,出库明细!D:D,$C254),0))</f>
        <v>15</v>
      </c>
      <c r="H254" s="156">
        <f>IF($B254="","",IFERROR(SUMIFS(出库明细!G:G,出库明细!C:C,$B254,出库明细!D:D,$C254),0))</f>
        <v>1395</v>
      </c>
      <c r="I254" s="14">
        <f>IF($B254="","",D254-G254)</f>
        <v>0</v>
      </c>
      <c r="J254" s="156">
        <f>IF($B254="","",F254-H254)</f>
        <v>0</v>
      </c>
      <c r="K254" s="179">
        <f>IF($B254="","",MAX(_xlfn.MAXIFS(存条明细!B:B,存条明细!C:C,$B254,存条明细!D:D,$C254),_xlfn.MAXIFS(出库明细!B:B,出库明细!C:C,$B254,出库明细!D:D,$C254)))</f>
        <v>46263.0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 ht="15" customHeight="1" s="71">
      <c r="A255" s="14">
        <f>IF(B255="","",ROW()-3)</f>
        <v>252</v>
      </c>
      <c r="B255" s="14" t="str">
        <f>IF(_辅助!$B255="","",IF(_辅助!$B255&lt;=1000,INDEX(存条明细!$C$4:$C$1003,_辅助!$B255),INDEX(出库明细!$C$4:$C$3003,_辅助!$B255-1000)))</f>
        <v>高兴蒙山超市</v>
      </c>
      <c r="C255" s="14" t="str">
        <f>IF(_辅助!$B255="","",IF(_辅助!$B255&lt;=1000,INDEX(存条明细!$D$4:$D$1003,_辅助!$B255),INDEX(出库明细!$D$4:$D$3003,_辅助!$B255-1000)))</f>
        <v>大咖</v>
      </c>
      <c r="D255" s="14">
        <f>IF($B255="","",IFERROR(SUMIFS(存条明细!E:E,存条明细!C:C,$B255,存条明细!D:D,$C255),0))</f>
        <v>2</v>
      </c>
      <c r="E255" s="156">
        <f>IF(OR($B255="",N(D255)=0),"",ROUND(F255/D255,2))</f>
        <v>86</v>
      </c>
      <c r="F255" s="156">
        <f>IF($B255="","",IFERROR(SUMIFS(存条明细!G:G,存条明细!C:C,$B255,存条明细!D:D,$C255),0))</f>
        <v>172</v>
      </c>
      <c r="G255" s="14">
        <f>IF($B255="","",IFERROR(SUMIFS(出库明细!E:E,出库明细!C:C,$B255,出库明细!D:D,$C255),0))</f>
        <v>2</v>
      </c>
      <c r="H255" s="156">
        <f>IF($B255="","",IFERROR(SUMIFS(出库明细!G:G,出库明细!C:C,$B255,出库明细!D:D,$C255),0))</f>
        <v>172</v>
      </c>
      <c r="I255" s="14">
        <f>IF($B255="","",D255-G255)</f>
        <v>0</v>
      </c>
      <c r="J255" s="156">
        <f>IF($B255="","",F255-H255)</f>
        <v>0</v>
      </c>
      <c r="K255" s="179">
        <f>IF($B255="","",MAX(_xlfn.MAXIFS(存条明细!B:B,存条明细!C:C,$B255,存条明细!D:D,$C255),_xlfn.MAXIFS(出库明细!B:B,出库明细!C:C,$B255,出库明细!D:D,$C255)))</f>
        <v>46263.0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 ht="15" customHeight="1" s="71">
      <c r="A256" s="14">
        <f>IF(B256="","",ROW()-3)</f>
        <v>253</v>
      </c>
      <c r="B256" s="14" t="str">
        <f>IF(_辅助!$B256="","",IF(_辅助!$B256&lt;=1000,INDEX(存条明细!$C$4:$C$1003,_辅助!$B256),INDEX(出库明细!$C$4:$C$3003,_辅助!$B256-1000)))</f>
        <v>良村小杜批发</v>
      </c>
      <c r="C256" s="14" t="str">
        <f>IF(_辅助!$B256="","",IF(_辅助!$B256&lt;=1000,INDEX(存条明细!$D$4:$D$1003,_辅助!$B256),INDEX(出库明细!$D$4:$D$3003,_辅助!$B256-1000)))</f>
        <v>大东鹏</v>
      </c>
      <c r="D256" s="14">
        <f>IF($B256="","",IFERROR(SUMIFS(存条明细!E:E,存条明细!C:C,$B256,存条明细!D:D,$C256),0))</f>
        <v>50</v>
      </c>
      <c r="E256" s="156">
        <f>IF(OR($B256="",N(D256)=0),"",ROUND(F256/D256,2))</f>
        <v>90</v>
      </c>
      <c r="F256" s="156">
        <f>IF($B256="","",IFERROR(SUMIFS(存条明细!G:G,存条明细!C:C,$B256,存条明细!D:D,$C256),0))</f>
        <v>4500</v>
      </c>
      <c r="G256" s="14">
        <f>IF($B256="","",IFERROR(SUMIFS(出库明细!E:E,出库明细!C:C,$B256,出库明细!D:D,$C256),0))</f>
        <v>0</v>
      </c>
      <c r="H256" s="156">
        <f>IF($B256="","",IFERROR(SUMIFS(出库明细!G:G,出库明细!C:C,$B256,出库明细!D:D,$C256),0))</f>
        <v>0</v>
      </c>
      <c r="I256" s="14">
        <f>IF($B256="","",D256-G256)</f>
        <v>50</v>
      </c>
      <c r="J256" s="156">
        <f>IF($B256="","",F256-H256)</f>
        <v>4500</v>
      </c>
      <c r="K256" s="179">
        <f>IF($B256="","",MAX(_xlfn.MAXIFS(存条明细!B:B,存条明细!C:C,$B256,存条明细!D:D,$C256),_xlfn.MAXIFS(出库明细!B:B,出库明细!C:C,$B256,出库明细!D:D,$C256)))</f>
        <v>46223.0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 ht="15" customHeight="1" s="71">
      <c r="A257" s="14">
        <f>IF(B257="","",ROW()-3)</f>
        <v>254</v>
      </c>
      <c r="B257" s="14" t="str">
        <f>IF(_辅助!$B257="","",IF(_辅助!$B257&lt;=1000,INDEX(存条明细!$C$4:$C$1003,_辅助!$B257),INDEX(出库明细!$C$4:$C$3003,_辅助!$B257-1000)))</f>
        <v>洪门C区李记商行</v>
      </c>
      <c r="C257" s="14" t="str">
        <f>IF(_辅助!$B257="","",IF(_辅助!$B257&lt;=1000,INDEX(存条明细!$D$4:$D$1003,_辅助!$B257),INDEX(出库明细!$D$4:$D$3003,_辅助!$B257-1000)))</f>
        <v>大东鹏</v>
      </c>
      <c r="D257" s="14">
        <f>IF($B257="","",IFERROR(SUMIFS(存条明细!E:E,存条明细!C:C,$B257,存条明细!D:D,$C257),0))</f>
        <v>100</v>
      </c>
      <c r="E257" s="156">
        <f>IF(OR($B257="",N(D257)=0),"",ROUND(F257/D257,2))</f>
        <v>90</v>
      </c>
      <c r="F257" s="156">
        <f>IF($B257="","",IFERROR(SUMIFS(存条明细!G:G,存条明细!C:C,$B257,存条明细!D:D,$C257),0))</f>
        <v>9000</v>
      </c>
      <c r="G257" s="14">
        <f>IF($B257="","",IFERROR(SUMIFS(出库明细!E:E,出库明细!C:C,$B257,出库明细!D:D,$C257),0))</f>
        <v>50</v>
      </c>
      <c r="H257" s="156">
        <f>IF($B257="","",IFERROR(SUMIFS(出库明细!G:G,出库明细!C:C,$B257,出库明细!D:D,$C257),0))</f>
        <v>4500</v>
      </c>
      <c r="I257" s="14">
        <f>IF($B257="","",D257-G257)</f>
        <v>50</v>
      </c>
      <c r="J257" s="156">
        <f>IF($B257="","",F257-H257)</f>
        <v>4500</v>
      </c>
      <c r="K257" s="179">
        <f>IF($B257="","",MAX(_xlfn.MAXIFS(存条明细!B:B,存条明细!C:C,$B257,存条明细!D:D,$C257),_xlfn.MAXIFS(出库明细!B:B,出库明细!C:C,$B257,出库明细!D:D,$C257)))</f>
        <v>46287.0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</row>
    <row r="258" ht="15" customHeight="1" s="71">
      <c r="A258" s="14">
        <f>IF(B258="","",ROW()-3)</f>
        <v>255</v>
      </c>
      <c r="B258" s="14" t="str">
        <f>IF(_辅助!$B258="","",IF(_辅助!$B258&lt;=1000,INDEX(存条明细!$C$4:$C$1003,_辅助!$B258),INDEX(出库明细!$C$4:$C$3003,_辅助!$B258-1000)))</f>
        <v>小陈副食</v>
      </c>
      <c r="C258" s="14" t="str">
        <f>IF(_辅助!$B258="","",IF(_辅助!$B258&lt;=1000,INDEX(存条明细!$D$4:$D$1003,_辅助!$B258),INDEX(出库明细!$D$4:$D$3003,_辅助!$B258-1000)))</f>
        <v>大东鹏</v>
      </c>
      <c r="D258" s="14">
        <f>IF($B258="","",IFERROR(SUMIFS(存条明细!E:E,存条明细!C:C,$B258,存条明细!D:D,$C258),0))</f>
        <v>0</v>
      </c>
      <c r="E258" s="156">
        <f>IF(OR($B258="",N(D258)=0),"",ROUND(F258/D258,2))</f>
      </c>
      <c r="F258" s="156">
        <f>IF($B258="","",IFERROR(SUMIFS(存条明细!G:G,存条明细!C:C,$B258,存条明细!D:D,$C258),0))</f>
        <v>0</v>
      </c>
      <c r="G258" s="14">
        <f>IF($B258="","",IFERROR(SUMIFS(出库明细!E:E,出库明细!C:C,$B258,出库明细!D:D,$C258),0))</f>
        <v>100</v>
      </c>
      <c r="H258" s="156">
        <f>IF($B258="","",IFERROR(SUMIFS(出库明细!G:G,出库明细!C:C,$B258,出库明细!D:D,$C258),0))</f>
        <v>9000</v>
      </c>
      <c r="I258" s="14">
        <f>IF($B258="","",D258-G258)</f>
        <v>-100</v>
      </c>
      <c r="J258" s="156">
        <f>IF($B258="","",F258-H258)</f>
        <v>-9000</v>
      </c>
      <c r="K258" s="179">
        <f>IF($B258="","",MAX(_xlfn.MAXIFS(存条明细!B:B,存条明细!C:C,$B258,存条明细!D:D,$C258),_xlfn.MAXIFS(出库明细!B:B,出库明细!C:C,$B258,出库明细!D:D,$C258)))</f>
        <v>46235.0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 ht="15" customHeight="1" s="71">
      <c r="A259" s="14">
        <f>IF(B259="","",ROW()-3)</f>
        <v>256</v>
      </c>
      <c r="B259" s="14" t="str">
        <f>IF(_辅助!$B259="","",IF(_辅助!$B259&lt;=1000,INDEX(存条明细!$C$4:$C$1003,_辅助!$B259),INDEX(出库明细!$C$4:$C$3003,_辅助!$B259-1000)))</f>
        <v>小陈副食</v>
      </c>
      <c r="C259" s="14" t="str">
        <f>IF(_辅助!$B259="","",IF(_辅助!$B259&lt;=1000,INDEX(存条明细!$D$4:$D$1003,_辅助!$B259),INDEX(出库明细!$D$4:$D$3003,_辅助!$B259-1000)))</f>
        <v>555补水</v>
      </c>
      <c r="D259" s="14">
        <f>IF($B259="","",IFERROR(SUMIFS(存条明细!E:E,存条明细!C:C,$B259,存条明细!D:D,$C259),0))</f>
        <v>0</v>
      </c>
      <c r="E259" s="156">
        <f>IF(OR($B259="",N(D259)=0),"",ROUND(F259/D259,2))</f>
      </c>
      <c r="F259" s="156">
        <f>IF($B259="","",IFERROR(SUMIFS(存条明细!G:G,存条明细!C:C,$B259,存条明细!D:D,$C259),0))</f>
        <v>0</v>
      </c>
      <c r="G259" s="14">
        <f>IF($B259="","",IFERROR(SUMIFS(出库明细!E:E,出库明细!C:C,$B259,出库明细!D:D,$C259),0))</f>
        <v>10</v>
      </c>
      <c r="H259" s="156">
        <f>IF($B259="","",IFERROR(SUMIFS(出库明细!G:G,出库明细!C:C,$B259,出库明细!D:D,$C259),0))</f>
        <v>650</v>
      </c>
      <c r="I259" s="14">
        <f>IF($B259="","",D259-G259)</f>
        <v>-10</v>
      </c>
      <c r="J259" s="156">
        <f>IF($B259="","",F259-H259)</f>
        <v>-650</v>
      </c>
      <c r="K259" s="179">
        <f>IF($B259="","",MAX(_xlfn.MAXIFS(存条明细!B:B,存条明细!C:C,$B259,存条明细!D:D,$C259),_xlfn.MAXIFS(出库明细!B:B,出库明细!C:C,$B259,出库明细!D:D,$C259)))</f>
        <v>46235.0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</row>
    <row r="260" ht="15" customHeight="1" s="71">
      <c r="A260" s="14">
        <f>IF(B260="","",ROW()-3)</f>
        <v>257</v>
      </c>
      <c r="B260" s="14" t="str">
        <f>IF(_辅助!$B260="","",IF(_辅助!$B260&lt;=1000,INDEX(存条明细!$C$4:$C$1003,_辅助!$B260),INDEX(出库明细!$C$4:$C$3003,_辅助!$B260-1000)))</f>
        <v>小陈副食</v>
      </c>
      <c r="C260" s="14" t="str">
        <f>IF(_辅助!$B260="","",IF(_辅助!$B260&lt;=1000,INDEX(存条明细!$D$4:$D$1003,_辅助!$B260),INDEX(出库明细!$D$4:$D$3003,_辅助!$B260-1000)))</f>
        <v>小果之茶</v>
      </c>
      <c r="D260" s="14">
        <f>IF($B260="","",IFERROR(SUMIFS(存条明细!E:E,存条明细!C:C,$B260,存条明细!D:D,$C260),0))</f>
        <v>0</v>
      </c>
      <c r="E260" s="156">
        <f>IF(OR($B260="",N(D260)=0),"",ROUND(F260/D260,2))</f>
      </c>
      <c r="F260" s="156">
        <f>IF($B260="","",IFERROR(SUMIFS(存条明细!G:G,存条明细!C:C,$B260,存条明细!D:D,$C260),0))</f>
        <v>0</v>
      </c>
      <c r="G260" s="14">
        <f>IF($B260="","",IFERROR(SUMIFS(出库明细!E:E,出库明细!C:C,$B260,出库明细!D:D,$C260),0))</f>
        <v>17.5</v>
      </c>
      <c r="H260" s="156">
        <f>IF($B260="","",IFERROR(SUMIFS(出库明细!G:G,出库明细!C:C,$B260,出库明细!D:D,$C260),0))</f>
        <v>822.5</v>
      </c>
      <c r="I260" s="14">
        <f>IF($B260="","",D260-G260)</f>
        <v>-17.5</v>
      </c>
      <c r="J260" s="156">
        <f>IF($B260="","",F260-H260)</f>
        <v>-822.5</v>
      </c>
      <c r="K260" s="179">
        <f>IF($B260="","",MAX(_xlfn.MAXIFS(存条明细!B:B,存条明细!C:C,$B260,存条明细!D:D,$C260),_xlfn.MAXIFS(出库明细!B:B,出库明细!C:C,$B260,出库明细!D:D,$C260)))</f>
        <v>46235.0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 ht="15" customHeight="1" s="71">
      <c r="A261" s="14">
        <f>IF(B261="","",ROW()-3)</f>
        <v>258</v>
      </c>
      <c r="B261" s="14" t="str">
        <f>IF(_辅助!$B261="","",IF(_辅助!$B261&lt;=1000,INDEX(存条明细!$C$4:$C$1003,_辅助!$B261),INDEX(出库明细!$C$4:$C$3003,_辅助!$B261-1000)))</f>
        <v>埠头鑫鑫文具</v>
      </c>
      <c r="C261" s="14" t="str">
        <f>IF(_辅助!$B261="","",IF(_辅助!$B261&lt;=1000,INDEX(存条明细!$D$4:$D$1003,_辅助!$B261),INDEX(出库明细!$D$4:$D$3003,_辅助!$B261-1000)))</f>
        <v>大东鹏</v>
      </c>
      <c r="D261" s="14">
        <f>IF($B261="","",IFERROR(SUMIFS(存条明细!E:E,存条明细!C:C,$B261,存条明细!D:D,$C261),0))</f>
        <v>25</v>
      </c>
      <c r="E261" s="156">
        <f>IF(OR($B261="",N(D261)=0),"",ROUND(F261/D261,2))</f>
        <v>93</v>
      </c>
      <c r="F261" s="156">
        <f>IF($B261="","",IFERROR(SUMIFS(存条明细!G:G,存条明细!C:C,$B261,存条明细!D:D,$C261),0))</f>
        <v>2325</v>
      </c>
      <c r="G261" s="14">
        <f>IF($B261="","",IFERROR(SUMIFS(出库明细!E:E,出库明细!C:C,$B261,出库明细!D:D,$C261),0))</f>
        <v>25</v>
      </c>
      <c r="H261" s="156">
        <f>IF($B261="","",IFERROR(SUMIFS(出库明细!G:G,出库明细!C:C,$B261,出库明细!D:D,$C261),0))</f>
        <v>2325</v>
      </c>
      <c r="I261" s="14">
        <f>IF($B261="","",D261-G261)</f>
        <v>0</v>
      </c>
      <c r="J261" s="156">
        <f>IF($B261="","",F261-H261)</f>
        <v>0</v>
      </c>
      <c r="K261" s="179">
        <f>IF($B261="","",MAX(_xlfn.MAXIFS(存条明细!B:B,存条明细!C:C,$B261,存条明细!D:D,$C261),_xlfn.MAXIFS(出库明细!B:B,出库明细!C:C,$B261,出库明细!D:D,$C261)))</f>
        <v>46241.0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</row>
    <row r="262" ht="15" customHeight="1" s="71">
      <c r="A262" s="14">
        <f>IF(B262="","",ROW()-3)</f>
        <v>259</v>
      </c>
      <c r="B262" s="14" t="str">
        <f>IF(_辅助!$B262="","",IF(_辅助!$B262&lt;=1000,INDEX(存条明细!$C$4:$C$1003,_辅助!$B262),INDEX(出库明细!$C$4:$C$3003,_辅助!$B262-1000)))</f>
        <v>南区长裕商行</v>
      </c>
      <c r="C262" s="14" t="str">
        <f>IF(_辅助!$B262="","",IF(_辅助!$B262&lt;=1000,INDEX(存条明细!$D$4:$D$1003,_辅助!$B262),INDEX(出库明细!$D$4:$D$3003,_辅助!$B262-1000)))</f>
        <v>大东鹏</v>
      </c>
      <c r="D262" s="14">
        <f>IF($B262="","",IFERROR(SUMIFS(存条明细!E:E,存条明细!C:C,$B262,存条明细!D:D,$C262),0))</f>
        <v>20</v>
      </c>
      <c r="E262" s="156">
        <f>IF(OR($B262="",N(D262)=0),"",ROUND(F262/D262,2))</f>
        <v>93</v>
      </c>
      <c r="F262" s="156">
        <f>IF($B262="","",IFERROR(SUMIFS(存条明细!G:G,存条明细!C:C,$B262,存条明细!D:D,$C262),0))</f>
        <v>1860</v>
      </c>
      <c r="G262" s="14">
        <f>IF($B262="","",IFERROR(SUMIFS(出库明细!E:E,出库明细!C:C,$B262,出库明细!D:D,$C262),0))</f>
        <v>20</v>
      </c>
      <c r="H262" s="156">
        <f>IF($B262="","",IFERROR(SUMIFS(出库明细!G:G,出库明细!C:C,$B262,出库明细!D:D,$C262),0))</f>
        <v>1860</v>
      </c>
      <c r="I262" s="14">
        <f>IF($B262="","",D262-G262)</f>
        <v>0</v>
      </c>
      <c r="J262" s="156">
        <f>IF($B262="","",F262-H262)</f>
        <v>0</v>
      </c>
      <c r="K262" s="179">
        <f>IF($B262="","",MAX(_xlfn.MAXIFS(存条明细!B:B,存条明细!C:C,$B262,存条明细!D:D,$C262),_xlfn.MAXIFS(出库明细!B:B,出库明细!C:C,$B262,出库明细!D:D,$C262)))</f>
        <v>46254.0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 ht="15" customHeight="1" s="71">
      <c r="A263" s="14">
        <f>IF(B263="","",ROW()-3)</f>
        <v>260</v>
      </c>
      <c r="B263" s="14" t="str">
        <f>IF(_辅助!$B263="","",IF(_辅助!$B263&lt;=1000,INDEX(存条明细!$C$4:$C$1003,_辅助!$B263),INDEX(出库明细!$C$4:$C$3003,_辅助!$B263-1000)))</f>
        <v>洪门永信商行</v>
      </c>
      <c r="C263" s="14" t="str">
        <f>IF(_辅助!$B263="","",IF(_辅助!$B263&lt;=1000,INDEX(存条明细!$D$4:$D$1003,_辅助!$B263),INDEX(出库明细!$D$4:$D$3003,_辅助!$B263-1000)))</f>
        <v>大东鹏</v>
      </c>
      <c r="D263" s="14">
        <f>IF($B263="","",IFERROR(SUMIFS(存条明细!E:E,存条明细!C:C,$B263,存条明细!D:D,$C263),0))</f>
        <v>50</v>
      </c>
      <c r="E263" s="156">
        <f>IF(OR($B263="",N(D263)=0),"",ROUND(F263/D263,2))</f>
        <v>90</v>
      </c>
      <c r="F263" s="156">
        <f>IF($B263="","",IFERROR(SUMIFS(存条明细!G:G,存条明细!C:C,$B263,存条明细!D:D,$C263),0))</f>
        <v>4500</v>
      </c>
      <c r="G263" s="14">
        <f>IF($B263="","",IFERROR(SUMIFS(出库明细!E:E,出库明细!C:C,$B263,出库明细!D:D,$C263),0))</f>
        <v>0</v>
      </c>
      <c r="H263" s="156">
        <f>IF($B263="","",IFERROR(SUMIFS(出库明细!G:G,出库明细!C:C,$B263,出库明细!D:D,$C263),0))</f>
        <v>0</v>
      </c>
      <c r="I263" s="14">
        <f>IF($B263="","",D263-G263)</f>
        <v>50</v>
      </c>
      <c r="J263" s="156">
        <f>IF($B263="","",F263-H263)</f>
        <v>4500</v>
      </c>
      <c r="K263" s="179">
        <f>IF($B263="","",MAX(_xlfn.MAXIFS(存条明细!B:B,存条明细!C:C,$B263,存条明细!D:D,$C263),_xlfn.MAXIFS(出库明细!B:B,出库明细!C:C,$B263,出库明细!D:D,$C263)))</f>
        <v>46232.0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</row>
    <row r="264" ht="15" customHeight="1" s="71">
      <c r="A264" s="14">
        <f>IF(B264="","",ROW()-3)</f>
        <v>261</v>
      </c>
      <c r="B264" s="14" t="str">
        <f>IF(_辅助!$B264="","",IF(_辅助!$B264&lt;=1000,INDEX(存条明细!$C$4:$C$1003,_辅助!$B264),INDEX(出库明细!$C$4:$C$3003,_辅助!$B264-1000)))</f>
        <v>均村喜乐多</v>
      </c>
      <c r="C264" s="14" t="str">
        <f>IF(_辅助!$B264="","",IF(_辅助!$B264&lt;=1000,INDEX(存条明细!$D$4:$D$1003,_辅助!$B264),INDEX(出库明细!$D$4:$D$3003,_辅助!$B264-1000)))</f>
        <v>555补水</v>
      </c>
      <c r="D264" s="14">
        <f>IF($B264="","",IFERROR(SUMIFS(存条明细!E:E,存条明细!C:C,$B264,存条明细!D:D,$C264),0))</f>
        <v>10</v>
      </c>
      <c r="E264" s="156">
        <f>IF(OR($B264="",N(D264)=0),"",ROUND(F264/D264,2))</f>
        <v>68</v>
      </c>
      <c r="F264" s="156">
        <f>IF($B264="","",IFERROR(SUMIFS(存条明细!G:G,存条明细!C:C,$B264,存条明细!D:D,$C264),0))</f>
        <v>680</v>
      </c>
      <c r="G264" s="14">
        <f>IF($B264="","",IFERROR(SUMIFS(出库明细!E:E,出库明细!C:C,$B264,出库明细!D:D,$C264),0))</f>
        <v>0</v>
      </c>
      <c r="H264" s="156">
        <f>IF($B264="","",IFERROR(SUMIFS(出库明细!G:G,出库明细!C:C,$B264,出库明细!D:D,$C264),0))</f>
        <v>0</v>
      </c>
      <c r="I264" s="14">
        <f>IF($B264="","",D264-G264)</f>
        <v>10</v>
      </c>
      <c r="J264" s="156">
        <f>IF($B264="","",F264-H264)</f>
        <v>680</v>
      </c>
      <c r="K264" s="179">
        <f>IF($B264="","",MAX(_xlfn.MAXIFS(存条明细!B:B,存条明细!C:C,$B264,存条明细!D:D,$C264),_xlfn.MAXIFS(出库明细!B:B,出库明细!C:C,$B264,出库明细!D:D,$C264)))</f>
        <v>46241.0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 ht="15" customHeight="1" s="71">
      <c r="A265" s="14">
        <f>IF(B265="","",ROW()-3)</f>
        <v>262</v>
      </c>
      <c r="B265" s="14" t="str">
        <f>IF(_辅助!$B265="","",IF(_辅助!$B265&lt;=1000,INDEX(存条明细!$C$4:$C$1003,_辅助!$B265),INDEX(出库明细!$C$4:$C$3003,_辅助!$B265-1000)))</f>
        <v>均村喜乐多</v>
      </c>
      <c r="C265" s="14" t="str">
        <f>IF(_辅助!$B265="","",IF(_辅助!$B265&lt;=1000,INDEX(存条明细!$D$4:$D$1003,_辅助!$B265),INDEX(出库明细!$D$4:$D$3003,_辅助!$B265-1000)))</f>
        <v>小果之茶</v>
      </c>
      <c r="D265" s="14">
        <f>IF($B265="","",IFERROR(SUMIFS(存条明细!E:E,存条明细!C:C,$B265,存条明细!D:D,$C265),0))</f>
        <v>10</v>
      </c>
      <c r="E265" s="156">
        <f>IF(OR($B265="",N(D265)=0),"",ROUND(F265/D265,2))</f>
        <v>50</v>
      </c>
      <c r="F265" s="156">
        <f>IF($B265="","",IFERROR(SUMIFS(存条明细!G:G,存条明细!C:C,$B265,存条明细!D:D,$C265),0))</f>
        <v>500</v>
      </c>
      <c r="G265" s="14">
        <f>IF($B265="","",IFERROR(SUMIFS(出库明细!E:E,出库明细!C:C,$B265,出库明细!D:D,$C265),0))</f>
        <v>0</v>
      </c>
      <c r="H265" s="156">
        <f>IF($B265="","",IFERROR(SUMIFS(出库明细!G:G,出库明细!C:C,$B265,出库明细!D:D,$C265),0))</f>
        <v>0</v>
      </c>
      <c r="I265" s="14">
        <f>IF($B265="","",D265-G265)</f>
        <v>10</v>
      </c>
      <c r="J265" s="156">
        <f>IF($B265="","",F265-H265)</f>
        <v>500</v>
      </c>
      <c r="K265" s="179">
        <f>IF($B265="","",MAX(_xlfn.MAXIFS(存条明细!B:B,存条明细!C:C,$B265,存条明细!D:D,$C265),_xlfn.MAXIFS(出库明细!B:B,出库明细!C:C,$B265,出库明细!D:D,$C265)))</f>
        <v>46241.0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</row>
    <row r="266" ht="15" customHeight="1" s="71">
      <c r="A266" s="14">
        <f>IF(B266="","",ROW()-3)</f>
        <v>263</v>
      </c>
      <c r="B266" s="14" t="str">
        <f>IF(_辅助!$B266="","",IF(_辅助!$B266&lt;=1000,INDEX(存条明细!$C$4:$C$1003,_辅助!$B266),INDEX(出库明细!$C$4:$C$3003,_辅助!$B266-1000)))</f>
        <v>均村喜乐多</v>
      </c>
      <c r="C266" s="14" t="str">
        <f>IF(_辅助!$B266="","",IF(_辅助!$B266&lt;=1000,INDEX(存条明细!$D$4:$D$1003,_辅助!$B266),INDEX(出库明细!$D$4:$D$3003,_辅助!$B266-1000)))</f>
        <v>1L果之茶</v>
      </c>
      <c r="D266" s="14">
        <f>IF($B266="","",IFERROR(SUMIFS(存条明细!E:E,存条明细!C:C,$B266,存条明细!D:D,$C266),0))</f>
        <v>10</v>
      </c>
      <c r="E266" s="156">
        <f>IF(OR($B266="",N(D266)=0),"",ROUND(F266/D266,2))</f>
        <v>46</v>
      </c>
      <c r="F266" s="156">
        <f>IF($B266="","",IFERROR(SUMIFS(存条明细!G:G,存条明细!C:C,$B266,存条明细!D:D,$C266),0))</f>
        <v>460</v>
      </c>
      <c r="G266" s="14">
        <f>IF($B266="","",IFERROR(SUMIFS(出库明细!E:E,出库明细!C:C,$B266,出库明细!D:D,$C266),0))</f>
        <v>0</v>
      </c>
      <c r="H266" s="156">
        <f>IF($B266="","",IFERROR(SUMIFS(出库明细!G:G,出库明细!C:C,$B266,出库明细!D:D,$C266),0))</f>
        <v>0</v>
      </c>
      <c r="I266" s="14">
        <f>IF($B266="","",D266-G266)</f>
        <v>10</v>
      </c>
      <c r="J266" s="156">
        <f>IF($B266="","",F266-H266)</f>
        <v>460</v>
      </c>
      <c r="K266" s="179">
        <f>IF($B266="","",MAX(_xlfn.MAXIFS(存条明细!B:B,存条明细!C:C,$B266,存条明细!D:D,$C266),_xlfn.MAXIFS(出库明细!B:B,出库明细!C:C,$B266,出库明细!D:D,$C266)))</f>
        <v>46241.0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</row>
    <row r="267" ht="15" customHeight="1" s="71">
      <c r="A267" s="14">
        <f>IF(B267="","",ROW()-3)</f>
        <v>264</v>
      </c>
      <c r="B267" s="14" t="str">
        <f>IF(_辅助!$B267="","",IF(_辅助!$B267&lt;=1000,INDEX(存条明细!$C$4:$C$1003,_辅助!$B267),INDEX(出库明细!$C$4:$C$3003,_辅助!$B267-1000)))</f>
        <v>埠头如愿超市</v>
      </c>
      <c r="C267" s="14" t="str">
        <f>IF(_辅助!$B267="","",IF(_辅助!$B267&lt;=1000,INDEX(存条明细!$D$4:$D$1003,_辅助!$B267),INDEX(出库明细!$D$4:$D$3003,_辅助!$B267-1000)))</f>
        <v>大东鹏</v>
      </c>
      <c r="D267" s="14">
        <f>IF($B267="","",IFERROR(SUMIFS(存条明细!E:E,存条明细!C:C,$B267,存条明细!D:D,$C267),0))</f>
        <v>25</v>
      </c>
      <c r="E267" s="156">
        <f>IF(OR($B267="",N(D267)=0),"",ROUND(F267/D267,2))</f>
        <v>93</v>
      </c>
      <c r="F267" s="156">
        <f>IF($B267="","",IFERROR(SUMIFS(存条明细!G:G,存条明细!C:C,$B267,存条明细!D:D,$C267),0))</f>
        <v>2325</v>
      </c>
      <c r="G267" s="14">
        <f>IF($B267="","",IFERROR(SUMIFS(出库明细!E:E,出库明细!C:C,$B267,出库明细!D:D,$C267),0))</f>
        <v>25</v>
      </c>
      <c r="H267" s="156">
        <f>IF($B267="","",IFERROR(SUMIFS(出库明细!G:G,出库明细!C:C,$B267,出库明细!D:D,$C267),0))</f>
        <v>2325</v>
      </c>
      <c r="I267" s="14">
        <f>IF($B267="","",D267-G267)</f>
        <v>0</v>
      </c>
      <c r="J267" s="156">
        <f>IF($B267="","",F267-H267)</f>
        <v>0</v>
      </c>
      <c r="K267" s="179">
        <f>IF($B267="","",MAX(_xlfn.MAXIFS(存条明细!B:B,存条明细!C:C,$B267,存条明细!D:D,$C267),_xlfn.MAXIFS(出库明细!B:B,出库明细!C:C,$B267,出库明细!D:D,$C267)))</f>
        <v>46284.0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</row>
    <row r="268" ht="15" customHeight="1" s="71">
      <c r="A268" s="14">
        <f>IF(B268="","",ROW()-3)</f>
        <v>265</v>
      </c>
      <c r="B268" s="14" t="str">
        <f>IF(_辅助!$B268="","",IF(_辅助!$B268&lt;=1000,INDEX(存条明细!$C$4:$C$1003,_辅助!$B268),INDEX(出库明细!$C$4:$C$3003,_辅助!$B268-1000)))</f>
        <v>七中阳光鲜奶</v>
      </c>
      <c r="C268" s="14" t="str">
        <f>IF(_辅助!$B268="","",IF(_辅助!$B268&lt;=1000,INDEX(存条明细!$D$4:$D$1003,_辅助!$B268),INDEX(出库明细!$D$4:$D$3003,_辅助!$B268-1000)))</f>
        <v>550农夫水</v>
      </c>
      <c r="D268" s="14">
        <f>IF($B268="","",IFERROR(SUMIFS(存条明细!E:E,存条明细!C:C,$B268,存条明细!D:D,$C268),0))</f>
        <v>5</v>
      </c>
      <c r="E268" s="156">
        <f>IF(OR($B268="",N(D268)=0),"",ROUND(F268/D268,2))</f>
        <v>21.5</v>
      </c>
      <c r="F268" s="156">
        <f>IF($B268="","",IFERROR(SUMIFS(存条明细!G:G,存条明细!C:C,$B268,存条明细!D:D,$C268),0))</f>
        <v>107.5</v>
      </c>
      <c r="G268" s="14">
        <f>IF($B268="","",IFERROR(SUMIFS(出库明细!E:E,出库明细!C:C,$B268,出库明细!D:D,$C268),0))</f>
        <v>0</v>
      </c>
      <c r="H268" s="156">
        <f>IF($B268="","",IFERROR(SUMIFS(出库明细!G:G,出库明细!C:C,$B268,出库明细!D:D,$C268),0))</f>
        <v>0</v>
      </c>
      <c r="I268" s="14">
        <f>IF($B268="","",D268-G268)</f>
        <v>5</v>
      </c>
      <c r="J268" s="156">
        <f>IF($B268="","",F268-H268)</f>
        <v>107.5</v>
      </c>
      <c r="K268" s="179">
        <f>IF($B268="","",MAX(_xlfn.MAXIFS(存条明细!B:B,存条明细!C:C,$B268,存条明细!D:D,$C268),_xlfn.MAXIFS(出库明细!B:B,出库明细!C:C,$B268,出库明细!D:D,$C268)))</f>
        <v>46246.0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 ht="15" customHeight="1" s="71">
      <c r="A269" s="14">
        <f>IF(B269="","",ROW()-3)</f>
        <v>266</v>
      </c>
      <c r="B269" s="14" t="str">
        <f>IF(_辅助!$B269="","",IF(_辅助!$B269&lt;=1000,INDEX(存条明细!$C$4:$C$1003,_辅助!$B269),INDEX(出库明细!$C$4:$C$3003,_辅助!$B269-1000)))</f>
        <v>长岗岭万家乐超市</v>
      </c>
      <c r="C269" s="14" t="str">
        <f>IF(_辅助!$B269="","",IF(_辅助!$B269&lt;=1000,INDEX(存条明细!$D$4:$D$1003,_辅助!$B269),INDEX(出库明细!$D$4:$D$3003,_辅助!$B269-1000)))</f>
        <v>大东鹏</v>
      </c>
      <c r="D269" s="14">
        <f>IF($B269="","",IFERROR(SUMIFS(存条明细!E:E,存条明细!C:C,$B269,存条明细!D:D,$C269),0))</f>
        <v>30</v>
      </c>
      <c r="E269" s="156">
        <f>IF(OR($B269="",N(D269)=0),"",ROUND(F269/D269,2))</f>
        <v>93</v>
      </c>
      <c r="F269" s="156">
        <f>IF($B269="","",IFERROR(SUMIFS(存条明细!G:G,存条明细!C:C,$B269,存条明细!D:D,$C269),0))</f>
        <v>2790</v>
      </c>
      <c r="G269" s="14">
        <f>IF($B269="","",IFERROR(SUMIFS(出库明细!E:E,出库明细!C:C,$B269,出库明细!D:D,$C269),0))</f>
        <v>0</v>
      </c>
      <c r="H269" s="156">
        <f>IF($B269="","",IFERROR(SUMIFS(出库明细!G:G,出库明细!C:C,$B269,出库明细!D:D,$C269),0))</f>
        <v>0</v>
      </c>
      <c r="I269" s="14">
        <f>IF($B269="","",D269-G269)</f>
        <v>30</v>
      </c>
      <c r="J269" s="156">
        <f>IF($B269="","",F269-H269)</f>
        <v>2790</v>
      </c>
      <c r="K269" s="179">
        <f>IF($B269="","",MAX(_xlfn.MAXIFS(存条明细!B:B,存条明细!C:C,$B269,存条明细!D:D,$C269),_xlfn.MAXIFS(出库明细!B:B,出库明细!C:C,$B269,出库明细!D:D,$C269)))</f>
        <v>46252.0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</row>
    <row r="270" ht="15" customHeight="1" s="71">
      <c r="A270" s="14">
        <f>IF(B270="","",ROW()-3)</f>
        <v>267</v>
      </c>
      <c r="B270" s="14" t="str">
        <f>IF(_辅助!$B270="","",IF(_辅助!$B270&lt;=1000,INDEX(存条明细!$C$4:$C$1003,_辅助!$B270),INDEX(出库明细!$C$4:$C$3003,_辅助!$B270-1000)))</f>
        <v>龙岗荣鑫商行</v>
      </c>
      <c r="C270" s="14" t="str">
        <f>IF(_辅助!$B270="","",IF(_辅助!$B270&lt;=1000,INDEX(存条明细!$D$4:$D$1003,_辅助!$B270),INDEX(出库明细!$D$4:$D$3003,_辅助!$B270-1000)))</f>
        <v>大东鹏</v>
      </c>
      <c r="D270" s="14">
        <f>IF($B270="","",IFERROR(SUMIFS(存条明细!E:E,存条明细!C:C,$B270,存条明细!D:D,$C270),0))</f>
        <v>50</v>
      </c>
      <c r="E270" s="156">
        <f>IF(OR($B270="",N(D270)=0),"",ROUND(F270/D270,2))</f>
        <v>90</v>
      </c>
      <c r="F270" s="156">
        <f>IF($B270="","",IFERROR(SUMIFS(存条明细!G:G,存条明细!C:C,$B270,存条明细!D:D,$C270),0))</f>
        <v>4500</v>
      </c>
      <c r="G270" s="14">
        <f>IF($B270="","",IFERROR(SUMIFS(出库明细!E:E,出库明细!C:C,$B270,出库明细!D:D,$C270),0))</f>
        <v>0</v>
      </c>
      <c r="H270" s="156">
        <f>IF($B270="","",IFERROR(SUMIFS(出库明细!G:G,出库明细!C:C,$B270,出库明细!D:D,$C270),0))</f>
        <v>0</v>
      </c>
      <c r="I270" s="14">
        <f>IF($B270="","",D270-G270)</f>
        <v>50</v>
      </c>
      <c r="J270" s="156">
        <f>IF($B270="","",F270-H270)</f>
        <v>4500</v>
      </c>
      <c r="K270" s="179">
        <f>IF($B270="","",MAX(_xlfn.MAXIFS(存条明细!B:B,存条明细!C:C,$B270,存条明细!D:D,$C270),_xlfn.MAXIFS(出库明细!B:B,出库明细!C:C,$B270,出库明细!D:D,$C270)))</f>
        <v>46254.0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 ht="15" customHeight="1" s="71">
      <c r="A271" s="14">
        <f>IF(B271="","",ROW()-3)</f>
        <v>268</v>
      </c>
      <c r="B271" s="14" t="str">
        <f>IF(_辅助!$B271="","",IF(_辅助!$B271&lt;=1000,INDEX(存条明细!$C$4:$C$1003,_辅助!$B271),INDEX(出库明细!$C$4:$C$3003,_辅助!$B271-1000)))</f>
        <v>城岗老石商行</v>
      </c>
      <c r="C271" s="14" t="str">
        <f>IF(_辅助!$B271="","",IF(_辅助!$B271&lt;=1000,INDEX(存条明细!$D$4:$D$1003,_辅助!$B271),INDEX(出库明细!$D$4:$D$3003,_辅助!$B271-1000)))</f>
        <v>大东鹏</v>
      </c>
      <c r="D271" s="14">
        <f>IF($B271="","",IFERROR(SUMIFS(存条明细!E:E,存条明细!C:C,$B271,存条明细!D:D,$C271),0))</f>
        <v>30</v>
      </c>
      <c r="E271" s="156">
        <f>IF(OR($B271="",N(D271)=0),"",ROUND(F271/D271,2))</f>
        <v>90</v>
      </c>
      <c r="F271" s="156">
        <f>IF($B271="","",IFERROR(SUMIFS(存条明细!G:G,存条明细!C:C,$B271,存条明细!D:D,$C271),0))</f>
        <v>2700</v>
      </c>
      <c r="G271" s="14">
        <f>IF($B271="","",IFERROR(SUMIFS(出库明细!E:E,出库明细!C:C,$B271,出库明细!D:D,$C271),0))</f>
        <v>0</v>
      </c>
      <c r="H271" s="156">
        <f>IF($B271="","",IFERROR(SUMIFS(出库明细!G:G,出库明细!C:C,$B271,出库明细!D:D,$C271),0))</f>
        <v>0</v>
      </c>
      <c r="I271" s="14">
        <f>IF($B271="","",D271-G271)</f>
        <v>30</v>
      </c>
      <c r="J271" s="156">
        <f>IF($B271="","",F271-H271)</f>
        <v>2700</v>
      </c>
      <c r="K271" s="179">
        <f>IF($B271="","",MAX(_xlfn.MAXIFS(存条明细!B:B,存条明细!C:C,$B271,存条明细!D:D,$C271),_xlfn.MAXIFS(出库明细!B:B,出库明细!C:C,$B271,出库明细!D:D,$C271)))</f>
        <v>46272.0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</row>
    <row r="272" ht="15" customHeight="1" s="71">
      <c r="A272" s="14">
        <f>IF(B272="","",ROW()-3)</f>
        <v>269</v>
      </c>
      <c r="B272" s="14" t="str">
        <f>IF(_辅助!$B272="","",IF(_辅助!$B272&lt;=1000,INDEX(存条明细!$C$4:$C$1003,_辅助!$B272),INDEX(出库明细!$C$4:$C$3003,_辅助!$B272-1000)))</f>
        <v>埠头万客欢</v>
      </c>
      <c r="C272" s="14" t="str">
        <f>IF(_辅助!$B272="","",IF(_辅助!$B272&lt;=1000,INDEX(存条明细!$D$4:$D$1003,_辅助!$B272),INDEX(出库明细!$D$4:$D$3003,_辅助!$B272-1000)))</f>
        <v>550纯净水12入</v>
      </c>
      <c r="D272" s="14">
        <f>IF($B272="","",IFERROR(SUMIFS(存条明细!E:E,存条明细!C:C,$B272,存条明细!D:D,$C272),0))</f>
        <v>250</v>
      </c>
      <c r="E272" s="156">
        <f>IF(OR($B272="",N(D272)=0),"",ROUND(F272/D272,2))</f>
        <v>7.6</v>
      </c>
      <c r="F272" s="156">
        <f>IF($B272="","",IFERROR(SUMIFS(存条明细!G:G,存条明细!C:C,$B272,存条明细!D:D,$C272),0))</f>
        <v>1900</v>
      </c>
      <c r="G272" s="14">
        <f>IF($B272="","",IFERROR(SUMIFS(出库明细!E:E,出库明细!C:C,$B272,出库明细!D:D,$C272),0))</f>
        <v>0</v>
      </c>
      <c r="H272" s="156">
        <f>IF($B272="","",IFERROR(SUMIFS(出库明细!G:G,出库明细!C:C,$B272,出库明细!D:D,$C272),0))</f>
        <v>0</v>
      </c>
      <c r="I272" s="14">
        <f>IF($B272="","",D272-G272)</f>
        <v>250</v>
      </c>
      <c r="J272" s="156">
        <f>IF($B272="","",F272-H272)</f>
        <v>1900</v>
      </c>
      <c r="K272" s="179">
        <f>IF($B272="","",MAX(_xlfn.MAXIFS(存条明细!B:B,存条明细!C:C,$B272,存条明细!D:D,$C272),_xlfn.MAXIFS(出库明细!B:B,出库明细!C:C,$B272,出库明细!D:D,$C272)))</f>
        <v>46248.0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 ht="15" customHeight="1" s="71">
      <c r="A273" s="14">
        <f>IF(B273="","",ROW()-3)</f>
        <v>270</v>
      </c>
      <c r="B273" s="14" t="str">
        <f>IF(_辅助!$B273="","",IF(_辅助!$B273&lt;=1000,INDEX(存条明细!$C$4:$C$1003,_辅助!$B273),INDEX(出库明细!$C$4:$C$3003,_辅助!$B273-1000)))</f>
        <v>竹坝鸿禄食品</v>
      </c>
      <c r="C273" s="14" t="str">
        <f>IF(_辅助!$B273="","",IF(_辅助!$B273&lt;=1000,INDEX(存条明细!$D$4:$D$1003,_辅助!$B273),INDEX(出库明细!$D$4:$D$3003,_辅助!$B273-1000)))</f>
        <v>大东鹏</v>
      </c>
      <c r="D273" s="14">
        <f>IF($B273="","",IFERROR(SUMIFS(存条明细!E:E,存条明细!C:C,$B273,存条明细!D:D,$C273),0))</f>
        <v>100</v>
      </c>
      <c r="E273" s="156">
        <f>IF(OR($B273="",N(D273)=0),"",ROUND(F273/D273,2))</f>
        <v>90</v>
      </c>
      <c r="F273" s="156">
        <f>IF($B273="","",IFERROR(SUMIFS(存条明细!G:G,存条明细!C:C,$B273,存条明细!D:D,$C273),0))</f>
        <v>9000</v>
      </c>
      <c r="G273" s="14">
        <f>IF($B273="","",IFERROR(SUMIFS(出库明细!E:E,出库明细!C:C,$B273,出库明细!D:D,$C273),0))</f>
        <v>0</v>
      </c>
      <c r="H273" s="156">
        <f>IF($B273="","",IFERROR(SUMIFS(出库明细!G:G,出库明细!C:C,$B273,出库明细!D:D,$C273),0))</f>
        <v>0</v>
      </c>
      <c r="I273" s="14">
        <f>IF($B273="","",D273-G273)</f>
        <v>100</v>
      </c>
      <c r="J273" s="156">
        <f>IF($B273="","",F273-H273)</f>
        <v>9000</v>
      </c>
      <c r="K273" s="179">
        <f>IF($B273="","",MAX(_xlfn.MAXIFS(存条明细!B:B,存条明细!C:C,$B273,存条明细!D:D,$C273),_xlfn.MAXIFS(出库明细!B:B,出库明细!C:C,$B273,出库明细!D:D,$C273)))</f>
        <v>46233.0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</row>
    <row r="274" ht="15" customHeight="1" s="71">
      <c r="A274" s="14">
        <f>IF(B274="","",ROW()-3)</f>
        <v>271</v>
      </c>
      <c r="B274" s="14" t="str">
        <f>IF(_辅助!$B274="","",IF(_辅助!$B274&lt;=1000,INDEX(存条明细!$C$4:$C$1003,_辅助!$B274),INDEX(出库明细!$C$4:$C$3003,_辅助!$B274-1000)))</f>
        <v>竹坝鸿禄食品</v>
      </c>
      <c r="C274" s="14" t="str">
        <f>IF(_辅助!$B274="","",IF(_辅助!$B274&lt;=1000,INDEX(存条明细!$D$4:$D$1003,_辅助!$B274),INDEX(出库明细!$D$4:$D$3003,_辅助!$B274-1000)))</f>
        <v>1L补水</v>
      </c>
      <c r="D274" s="14">
        <f>IF($B274="","",IFERROR(SUMIFS(存条明细!E:E,存条明细!C:C,$B274,存条明细!D:D,$C274),0))</f>
        <v>20</v>
      </c>
      <c r="E274" s="156">
        <f>IF(OR($B274="",N(D274)=0),"",ROUND(F274/D274,2))</f>
        <v>55</v>
      </c>
      <c r="F274" s="156">
        <f>IF($B274="","",IFERROR(SUMIFS(存条明细!G:G,存条明细!C:C,$B274,存条明细!D:D,$C274),0))</f>
        <v>1100</v>
      </c>
      <c r="G274" s="14">
        <f>IF($B274="","",IFERROR(SUMIFS(出库明细!E:E,出库明细!C:C,$B274,出库明细!D:D,$C274),0))</f>
        <v>0</v>
      </c>
      <c r="H274" s="156">
        <f>IF($B274="","",IFERROR(SUMIFS(出库明细!G:G,出库明细!C:C,$B274,出库明细!D:D,$C274),0))</f>
        <v>0</v>
      </c>
      <c r="I274" s="14">
        <f>IF($B274="","",D274-G274)</f>
        <v>20</v>
      </c>
      <c r="J274" s="156">
        <f>IF($B274="","",F274-H274)</f>
        <v>1100</v>
      </c>
      <c r="K274" s="179">
        <f>IF($B274="","",MAX(_xlfn.MAXIFS(存条明细!B:B,存条明细!C:C,$B274,存条明细!D:D,$C274),_xlfn.MAXIFS(出库明细!B:B,出库明细!C:C,$B274,出库明细!D:D,$C274)))</f>
        <v>46233.0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 ht="15" customHeight="1" s="71">
      <c r="A275" s="14">
        <f>IF(B275="","",ROW()-3)</f>
      </c>
      <c r="B275" s="14">
        <f>IF(_辅助!$B275="","",IF(_辅助!$B275&lt;=1000,INDEX(存条明细!$C$4:$C$1003,_辅助!$B275),INDEX(出库明细!$C$4:$C$3003,_辅助!$B275-1000)))</f>
      </c>
      <c r="C275" s="14">
        <f>IF(_辅助!$B275="","",IF(_辅助!$B275&lt;=1000,INDEX(存条明细!$D$4:$D$1003,_辅助!$B275),INDEX(出库明细!$D$4:$D$3003,_辅助!$B275-1000)))</f>
      </c>
      <c r="D275" s="14">
        <f>IF($B275="","",IFERROR(SUMIFS(存条明细!E:E,存条明细!C:C,$B275,存条明细!D:D,$C275),0))</f>
      </c>
      <c r="E275" s="156">
        <f>IF(OR($B275="",N(D275)=0),"",ROUND(F275/D275,2))</f>
      </c>
      <c r="F275" s="156">
        <f>IF($B275="","",IFERROR(SUMIFS(存条明细!G:G,存条明细!C:C,$B275,存条明细!D:D,$C275),0))</f>
      </c>
      <c r="G275" s="14">
        <f>IF($B275="","",IFERROR(SUMIFS(出库明细!E:E,出库明细!C:C,$B275,出库明细!D:D,$C275),0))</f>
      </c>
      <c r="H275" s="156">
        <f>IF($B275="","",IFERROR(SUMIFS(出库明细!G:G,出库明细!C:C,$B275,出库明细!D:D,$C275),0))</f>
      </c>
      <c r="I275" s="14">
        <f>IF($B275="","",D275-G275)</f>
      </c>
      <c r="J275" s="156">
        <f>IF($B275="","",F275-H275)</f>
      </c>
      <c r="K275" s="179">
        <f>IF($B275="","",MAX(_xlfn.MAXIFS(存条明细!B:B,存条明细!C:C,$B275,存条明细!D:D,$C275),_xlfn.MAXIFS(出库明细!B:B,出库明细!C:C,$B275,出库明细!D:D,$C275)))</f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</row>
    <row r="276" ht="15" customHeight="1" s="71">
      <c r="A276" s="14">
        <f>IF(B276="","",ROW()-3)</f>
      </c>
      <c r="B276" s="14">
        <f>IF(_辅助!$B276="","",IF(_辅助!$B276&lt;=1000,INDEX(存条明细!$C$4:$C$1003,_辅助!$B276),INDEX(出库明细!$C$4:$C$3003,_辅助!$B276-1000)))</f>
      </c>
      <c r="C276" s="14">
        <f>IF(_辅助!$B276="","",IF(_辅助!$B276&lt;=1000,INDEX(存条明细!$D$4:$D$1003,_辅助!$B276),INDEX(出库明细!$D$4:$D$3003,_辅助!$B276-1000)))</f>
      </c>
      <c r="D276" s="14">
        <f>IF($B276="","",IFERROR(SUMIFS(存条明细!E:E,存条明细!C:C,$B276,存条明细!D:D,$C276),0))</f>
      </c>
      <c r="E276" s="156">
        <f>IF(OR($B276="",N(D276)=0),"",ROUND(F276/D276,2))</f>
      </c>
      <c r="F276" s="156">
        <f>IF($B276="","",IFERROR(SUMIFS(存条明细!G:G,存条明细!C:C,$B276,存条明细!D:D,$C276),0))</f>
      </c>
      <c r="G276" s="14">
        <f>IF($B276="","",IFERROR(SUMIFS(出库明细!E:E,出库明细!C:C,$B276,出库明细!D:D,$C276),0))</f>
      </c>
      <c r="H276" s="156">
        <f>IF($B276="","",IFERROR(SUMIFS(出库明细!G:G,出库明细!C:C,$B276,出库明细!D:D,$C276),0))</f>
      </c>
      <c r="I276" s="14">
        <f>IF($B276="","",D276-G276)</f>
      </c>
      <c r="J276" s="156">
        <f>IF($B276="","",F276-H276)</f>
      </c>
      <c r="K276" s="179">
        <f>IF($B276="","",MAX(_xlfn.MAXIFS(存条明细!B:B,存条明细!C:C,$B276,存条明细!D:D,$C276),_xlfn.MAXIFS(出库明细!B:B,出库明细!C:C,$B276,出库明细!D:D,$C276)))</f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 ht="15" customHeight="1" s="71">
      <c r="A277" s="14">
        <f>IF(B277="","",ROW()-3)</f>
      </c>
      <c r="B277" s="14">
        <f>IF(_辅助!$B277="","",IF(_辅助!$B277&lt;=1000,INDEX(存条明细!$C$4:$C$1003,_辅助!$B277),INDEX(出库明细!$C$4:$C$3003,_辅助!$B277-1000)))</f>
      </c>
      <c r="C277" s="14">
        <f>IF(_辅助!$B277="","",IF(_辅助!$B277&lt;=1000,INDEX(存条明细!$D$4:$D$1003,_辅助!$B277),INDEX(出库明细!$D$4:$D$3003,_辅助!$B277-1000)))</f>
      </c>
      <c r="D277" s="14">
        <f>IF($B277="","",IFERROR(SUMIFS(存条明细!E:E,存条明细!C:C,$B277,存条明细!D:D,$C277),0))</f>
      </c>
      <c r="E277" s="156">
        <f>IF(OR($B277="",N(D277)=0),"",ROUND(F277/D277,2))</f>
      </c>
      <c r="F277" s="156">
        <f>IF($B277="","",IFERROR(SUMIFS(存条明细!G:G,存条明细!C:C,$B277,存条明细!D:D,$C277),0))</f>
      </c>
      <c r="G277" s="14">
        <f>IF($B277="","",IFERROR(SUMIFS(出库明细!E:E,出库明细!C:C,$B277,出库明细!D:D,$C277),0))</f>
      </c>
      <c r="H277" s="156">
        <f>IF($B277="","",IFERROR(SUMIFS(出库明细!G:G,出库明细!C:C,$B277,出库明细!D:D,$C277),0))</f>
      </c>
      <c r="I277" s="14">
        <f>IF($B277="","",D277-G277)</f>
      </c>
      <c r="J277" s="156">
        <f>IF($B277="","",F277-H277)</f>
      </c>
      <c r="K277" s="179">
        <f>IF($B277="","",MAX(_xlfn.MAXIFS(存条明细!B:B,存条明细!C:C,$B277,存条明细!D:D,$C277),_xlfn.MAXIFS(出库明细!B:B,出库明细!C:C,$B277,出库明细!D:D,$C277)))</f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</row>
    <row r="278" ht="15" customHeight="1" s="71">
      <c r="A278" s="14">
        <f>IF(B278="","",ROW()-3)</f>
      </c>
      <c r="B278" s="14">
        <f>IF(_辅助!$B278="","",IF(_辅助!$B278&lt;=1000,INDEX(存条明细!$C$4:$C$1003,_辅助!$B278),INDEX(出库明细!$C$4:$C$3003,_辅助!$B278-1000)))</f>
      </c>
      <c r="C278" s="14">
        <f>IF(_辅助!$B278="","",IF(_辅助!$B278&lt;=1000,INDEX(存条明细!$D$4:$D$1003,_辅助!$B278),INDEX(出库明细!$D$4:$D$3003,_辅助!$B278-1000)))</f>
      </c>
      <c r="D278" s="14">
        <f>IF($B278="","",IFERROR(SUMIFS(存条明细!E:E,存条明细!C:C,$B278,存条明细!D:D,$C278),0))</f>
      </c>
      <c r="E278" s="156">
        <f>IF(OR($B278="",N(D278)=0),"",ROUND(F278/D278,2))</f>
      </c>
      <c r="F278" s="156">
        <f>IF($B278="","",IFERROR(SUMIFS(存条明细!G:G,存条明细!C:C,$B278,存条明细!D:D,$C278),0))</f>
      </c>
      <c r="G278" s="14">
        <f>IF($B278="","",IFERROR(SUMIFS(出库明细!E:E,出库明细!C:C,$B278,出库明细!D:D,$C278),0))</f>
      </c>
      <c r="H278" s="156">
        <f>IF($B278="","",IFERROR(SUMIFS(出库明细!G:G,出库明细!C:C,$B278,出库明细!D:D,$C278),0))</f>
      </c>
      <c r="I278" s="14">
        <f>IF($B278="","",D278-G278)</f>
      </c>
      <c r="J278" s="156">
        <f>IF($B278="","",F278-H278)</f>
      </c>
      <c r="K278" s="179">
        <f>IF($B278="","",MAX(_xlfn.MAXIFS(存条明细!B:B,存条明细!C:C,$B278,存条明细!D:D,$C278),_xlfn.MAXIFS(出库明细!B:B,出库明细!C:C,$B278,出库明细!D:D,$C278)))</f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 ht="15" customHeight="1" s="71">
      <c r="A279" s="14">
        <f>IF(B279="","",ROW()-3)</f>
      </c>
      <c r="B279" s="14">
        <f>IF(_辅助!$B279="","",IF(_辅助!$B279&lt;=1000,INDEX(存条明细!$C$4:$C$1003,_辅助!$B279),INDEX(出库明细!$C$4:$C$3003,_辅助!$B279-1000)))</f>
      </c>
      <c r="C279" s="14">
        <f>IF(_辅助!$B279="","",IF(_辅助!$B279&lt;=1000,INDEX(存条明细!$D$4:$D$1003,_辅助!$B279),INDEX(出库明细!$D$4:$D$3003,_辅助!$B279-1000)))</f>
      </c>
      <c r="D279" s="14">
        <f>IF($B279="","",IFERROR(SUMIFS(存条明细!E:E,存条明细!C:C,$B279,存条明细!D:D,$C279),0))</f>
      </c>
      <c r="E279" s="156">
        <f>IF(OR($B279="",N(D279)=0),"",ROUND(F279/D279,2))</f>
      </c>
      <c r="F279" s="156">
        <f>IF($B279="","",IFERROR(SUMIFS(存条明细!G:G,存条明细!C:C,$B279,存条明细!D:D,$C279),0))</f>
      </c>
      <c r="G279" s="14">
        <f>IF($B279="","",IFERROR(SUMIFS(出库明细!E:E,出库明细!C:C,$B279,出库明细!D:D,$C279),0))</f>
      </c>
      <c r="H279" s="156">
        <f>IF($B279="","",IFERROR(SUMIFS(出库明细!G:G,出库明细!C:C,$B279,出库明细!D:D,$C279),0))</f>
      </c>
      <c r="I279" s="14">
        <f>IF($B279="","",D279-G279)</f>
      </c>
      <c r="J279" s="156">
        <f>IF($B279="","",F279-H279)</f>
      </c>
      <c r="K279" s="179">
        <f>IF($B279="","",MAX(_xlfn.MAXIFS(存条明细!B:B,存条明细!C:C,$B279,存条明细!D:D,$C279),_xlfn.MAXIFS(出库明细!B:B,出库明细!C:C,$B279,出库明细!D:D,$C279)))</f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 ht="15" customHeight="1" s="71">
      <c r="A280" s="14">
        <f>IF(B280="","",ROW()-3)</f>
      </c>
      <c r="B280" s="14">
        <f>IF(_辅助!$B280="","",IF(_辅助!$B280&lt;=1000,INDEX(存条明细!$C$4:$C$1003,_辅助!$B280),INDEX(出库明细!$C$4:$C$3003,_辅助!$B280-1000)))</f>
      </c>
      <c r="C280" s="14">
        <f>IF(_辅助!$B280="","",IF(_辅助!$B280&lt;=1000,INDEX(存条明细!$D$4:$D$1003,_辅助!$B280),INDEX(出库明细!$D$4:$D$3003,_辅助!$B280-1000)))</f>
      </c>
      <c r="D280" s="14">
        <f>IF($B280="","",IFERROR(SUMIFS(存条明细!E:E,存条明细!C:C,$B280,存条明细!D:D,$C280),0))</f>
      </c>
      <c r="E280" s="156">
        <f>IF(OR($B280="",N(D280)=0),"",ROUND(F280/D280,2))</f>
      </c>
      <c r="F280" s="156">
        <f>IF($B280="","",IFERROR(SUMIFS(存条明细!G:G,存条明细!C:C,$B280,存条明细!D:D,$C280),0))</f>
      </c>
      <c r="G280" s="14">
        <f>IF($B280="","",IFERROR(SUMIFS(出库明细!E:E,出库明细!C:C,$B280,出库明细!D:D,$C280),0))</f>
      </c>
      <c r="H280" s="156">
        <f>IF($B280="","",IFERROR(SUMIFS(出库明细!G:G,出库明细!C:C,$B280,出库明细!D:D,$C280),0))</f>
      </c>
      <c r="I280" s="14">
        <f>IF($B280="","",D280-G280)</f>
      </c>
      <c r="J280" s="156">
        <f>IF($B280="","",F280-H280)</f>
      </c>
      <c r="K280" s="179">
        <f>IF($B280="","",MAX(_xlfn.MAXIFS(存条明细!B:B,存条明细!C:C,$B280,存条明细!D:D,$C280),_xlfn.MAXIFS(出库明细!B:B,出库明细!C:C,$B280,出库明细!D:D,$C280)))</f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 ht="15" customHeight="1" s="71">
      <c r="A281" s="14">
        <f>IF(B281="","",ROW()-3)</f>
      </c>
      <c r="B281" s="14">
        <f>IF(_辅助!$B281="","",IF(_辅助!$B281&lt;=1000,INDEX(存条明细!$C$4:$C$1003,_辅助!$B281),INDEX(出库明细!$C$4:$C$3003,_辅助!$B281-1000)))</f>
      </c>
      <c r="C281" s="14">
        <f>IF(_辅助!$B281="","",IF(_辅助!$B281&lt;=1000,INDEX(存条明细!$D$4:$D$1003,_辅助!$B281),INDEX(出库明细!$D$4:$D$3003,_辅助!$B281-1000)))</f>
      </c>
      <c r="D281" s="14">
        <f>IF($B281="","",IFERROR(SUMIFS(存条明细!E:E,存条明细!C:C,$B281,存条明细!D:D,$C281),0))</f>
      </c>
      <c r="E281" s="156">
        <f>IF(OR($B281="",N(D281)=0),"",ROUND(F281/D281,2))</f>
      </c>
      <c r="F281" s="156">
        <f>IF($B281="","",IFERROR(SUMIFS(存条明细!G:G,存条明细!C:C,$B281,存条明细!D:D,$C281),0))</f>
      </c>
      <c r="G281" s="14">
        <f>IF($B281="","",IFERROR(SUMIFS(出库明细!E:E,出库明细!C:C,$B281,出库明细!D:D,$C281),0))</f>
      </c>
      <c r="H281" s="156">
        <f>IF($B281="","",IFERROR(SUMIFS(出库明细!G:G,出库明细!C:C,$B281,出库明细!D:D,$C281),0))</f>
      </c>
      <c r="I281" s="14">
        <f>IF($B281="","",D281-G281)</f>
      </c>
      <c r="J281" s="156">
        <f>IF($B281="","",F281-H281)</f>
      </c>
      <c r="K281" s="179">
        <f>IF($B281="","",MAX(_xlfn.MAXIFS(存条明细!B:B,存条明细!C:C,$B281,存条明细!D:D,$C281),_xlfn.MAXIFS(出库明细!B:B,出库明细!C:C,$B281,出库明细!D:D,$C281)))</f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 ht="15" customHeight="1" s="71">
      <c r="A282" s="14">
        <f>IF(B282="","",ROW()-3)</f>
      </c>
      <c r="B282" s="14">
        <f>IF(_辅助!$B282="","",IF(_辅助!$B282&lt;=1000,INDEX(存条明细!$C$4:$C$1003,_辅助!$B282),INDEX(出库明细!$C$4:$C$3003,_辅助!$B282-1000)))</f>
      </c>
      <c r="C282" s="14">
        <f>IF(_辅助!$B282="","",IF(_辅助!$B282&lt;=1000,INDEX(存条明细!$D$4:$D$1003,_辅助!$B282),INDEX(出库明细!$D$4:$D$3003,_辅助!$B282-1000)))</f>
      </c>
      <c r="D282" s="14">
        <f>IF($B282="","",IFERROR(SUMIFS(存条明细!E:E,存条明细!C:C,$B282,存条明细!D:D,$C282),0))</f>
      </c>
      <c r="E282" s="156">
        <f>IF(OR($B282="",N(D282)=0),"",ROUND(F282/D282,2))</f>
      </c>
      <c r="F282" s="156">
        <f>IF($B282="","",IFERROR(SUMIFS(存条明细!G:G,存条明细!C:C,$B282,存条明细!D:D,$C282),0))</f>
      </c>
      <c r="G282" s="14">
        <f>IF($B282="","",IFERROR(SUMIFS(出库明细!E:E,出库明细!C:C,$B282,出库明细!D:D,$C282),0))</f>
      </c>
      <c r="H282" s="156">
        <f>IF($B282="","",IFERROR(SUMIFS(出库明细!G:G,出库明细!C:C,$B282,出库明细!D:D,$C282),0))</f>
      </c>
      <c r="I282" s="14">
        <f>IF($B282="","",D282-G282)</f>
      </c>
      <c r="J282" s="156">
        <f>IF($B282="","",F282-H282)</f>
      </c>
      <c r="K282" s="179">
        <f>IF($B282="","",MAX(_xlfn.MAXIFS(存条明细!B:B,存条明细!C:C,$B282,存条明细!D:D,$C282),_xlfn.MAXIFS(出库明细!B:B,出库明细!C:C,$B282,出库明细!D:D,$C282)))</f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 ht="15" customHeight="1" s="71">
      <c r="A283" s="14">
        <f>IF(B283="","",ROW()-3)</f>
      </c>
      <c r="B283" s="14">
        <f>IF(_辅助!$B283="","",IF(_辅助!$B283&lt;=1000,INDEX(存条明细!$C$4:$C$1003,_辅助!$B283),INDEX(出库明细!$C$4:$C$3003,_辅助!$B283-1000)))</f>
      </c>
      <c r="C283" s="14">
        <f>IF(_辅助!$B283="","",IF(_辅助!$B283&lt;=1000,INDEX(存条明细!$D$4:$D$1003,_辅助!$B283),INDEX(出库明细!$D$4:$D$3003,_辅助!$B283-1000)))</f>
      </c>
      <c r="D283" s="14">
        <f>IF($B283="","",IFERROR(SUMIFS(存条明细!E:E,存条明细!C:C,$B283,存条明细!D:D,$C283),0))</f>
      </c>
      <c r="E283" s="156">
        <f>IF(OR($B283="",N(D283)=0),"",ROUND(F283/D283,2))</f>
      </c>
      <c r="F283" s="156">
        <f>IF($B283="","",IFERROR(SUMIFS(存条明细!G:G,存条明细!C:C,$B283,存条明细!D:D,$C283),0))</f>
      </c>
      <c r="G283" s="14">
        <f>IF($B283="","",IFERROR(SUMIFS(出库明细!E:E,出库明细!C:C,$B283,出库明细!D:D,$C283),0))</f>
      </c>
      <c r="H283" s="156">
        <f>IF($B283="","",IFERROR(SUMIFS(出库明细!G:G,出库明细!C:C,$B283,出库明细!D:D,$C283),0))</f>
      </c>
      <c r="I283" s="14">
        <f>IF($B283="","",D283-G283)</f>
      </c>
      <c r="J283" s="156">
        <f>IF($B283="","",F283-H283)</f>
      </c>
      <c r="K283" s="179">
        <f>IF($B283="","",MAX(_xlfn.MAXIFS(存条明细!B:B,存条明细!C:C,$B283,存条明细!D:D,$C283),_xlfn.MAXIFS(出库明细!B:B,出库明细!C:C,$B283,出库明细!D:D,$C283)))</f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 ht="15" customHeight="1" s="71">
      <c r="A284" s="14">
        <f>IF(B284="","",ROW()-3)</f>
      </c>
      <c r="B284" s="14">
        <f>IF(_辅助!$B284="","",IF(_辅助!$B284&lt;=1000,INDEX(存条明细!$C$4:$C$1003,_辅助!$B284),INDEX(出库明细!$C$4:$C$3003,_辅助!$B284-1000)))</f>
      </c>
      <c r="C284" s="14">
        <f>IF(_辅助!$B284="","",IF(_辅助!$B284&lt;=1000,INDEX(存条明细!$D$4:$D$1003,_辅助!$B284),INDEX(出库明细!$D$4:$D$3003,_辅助!$B284-1000)))</f>
      </c>
      <c r="D284" s="14">
        <f>IF($B284="","",IFERROR(SUMIFS(存条明细!E:E,存条明细!C:C,$B284,存条明细!D:D,$C284),0))</f>
      </c>
      <c r="E284" s="156">
        <f>IF(OR($B284="",N(D284)=0),"",ROUND(F284/D284,2))</f>
      </c>
      <c r="F284" s="156">
        <f>IF($B284="","",IFERROR(SUMIFS(存条明细!G:G,存条明细!C:C,$B284,存条明细!D:D,$C284),0))</f>
      </c>
      <c r="G284" s="14">
        <f>IF($B284="","",IFERROR(SUMIFS(出库明细!E:E,出库明细!C:C,$B284,出库明细!D:D,$C284),0))</f>
      </c>
      <c r="H284" s="156">
        <f>IF($B284="","",IFERROR(SUMIFS(出库明细!G:G,出库明细!C:C,$B284,出库明细!D:D,$C284),0))</f>
      </c>
      <c r="I284" s="14">
        <f>IF($B284="","",D284-G284)</f>
      </c>
      <c r="J284" s="156">
        <f>IF($B284="","",F284-H284)</f>
      </c>
      <c r="K284" s="179">
        <f>IF($B284="","",MAX(_xlfn.MAXIFS(存条明细!B:B,存条明细!C:C,$B284,存条明细!D:D,$C284),_xlfn.MAXIFS(出库明细!B:B,出库明细!C:C,$B284,出库明细!D:D,$C284)))</f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 ht="15" customHeight="1" s="71">
      <c r="A285" s="14">
        <f>IF(B285="","",ROW()-3)</f>
      </c>
      <c r="B285" s="14">
        <f>IF(_辅助!$B285="","",IF(_辅助!$B285&lt;=1000,INDEX(存条明细!$C$4:$C$1003,_辅助!$B285),INDEX(出库明细!$C$4:$C$3003,_辅助!$B285-1000)))</f>
      </c>
      <c r="C285" s="14">
        <f>IF(_辅助!$B285="","",IF(_辅助!$B285&lt;=1000,INDEX(存条明细!$D$4:$D$1003,_辅助!$B285),INDEX(出库明细!$D$4:$D$3003,_辅助!$B285-1000)))</f>
      </c>
      <c r="D285" s="14">
        <f>IF($B285="","",IFERROR(SUMIFS(存条明细!E:E,存条明细!C:C,$B285,存条明细!D:D,$C285),0))</f>
      </c>
      <c r="E285" s="156">
        <f>IF(OR($B285="",N(D285)=0),"",ROUND(F285/D285,2))</f>
      </c>
      <c r="F285" s="156">
        <f>IF($B285="","",IFERROR(SUMIFS(存条明细!G:G,存条明细!C:C,$B285,存条明细!D:D,$C285),0))</f>
      </c>
      <c r="G285" s="14">
        <f>IF($B285="","",IFERROR(SUMIFS(出库明细!E:E,出库明细!C:C,$B285,出库明细!D:D,$C285),0))</f>
      </c>
      <c r="H285" s="156">
        <f>IF($B285="","",IFERROR(SUMIFS(出库明细!G:G,出库明细!C:C,$B285,出库明细!D:D,$C285),0))</f>
      </c>
      <c r="I285" s="14">
        <f>IF($B285="","",D285-G285)</f>
      </c>
      <c r="J285" s="156">
        <f>IF($B285="","",F285-H285)</f>
      </c>
      <c r="K285" s="179">
        <f>IF($B285="","",MAX(_xlfn.MAXIFS(存条明细!B:B,存条明细!C:C,$B285,存条明细!D:D,$C285),_xlfn.MAXIFS(出库明细!B:B,出库明细!C:C,$B285,出库明细!D:D,$C285)))</f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 ht="15" customHeight="1" s="71">
      <c r="A286" s="14">
        <f>IF(B286="","",ROW()-3)</f>
      </c>
      <c r="B286" s="14">
        <f>IF(_辅助!$B286="","",IF(_辅助!$B286&lt;=1000,INDEX(存条明细!$C$4:$C$1003,_辅助!$B286),INDEX(出库明细!$C$4:$C$3003,_辅助!$B286-1000)))</f>
      </c>
      <c r="C286" s="14">
        <f>IF(_辅助!$B286="","",IF(_辅助!$B286&lt;=1000,INDEX(存条明细!$D$4:$D$1003,_辅助!$B286),INDEX(出库明细!$D$4:$D$3003,_辅助!$B286-1000)))</f>
      </c>
      <c r="D286" s="14">
        <f>IF($B286="","",IFERROR(SUMIFS(存条明细!E:E,存条明细!C:C,$B286,存条明细!D:D,$C286),0))</f>
      </c>
      <c r="E286" s="156">
        <f>IF(OR($B286="",N(D286)=0),"",ROUND(F286/D286,2))</f>
      </c>
      <c r="F286" s="156">
        <f>IF($B286="","",IFERROR(SUMIFS(存条明细!G:G,存条明细!C:C,$B286,存条明细!D:D,$C286),0))</f>
      </c>
      <c r="G286" s="14">
        <f>IF($B286="","",IFERROR(SUMIFS(出库明细!E:E,出库明细!C:C,$B286,出库明细!D:D,$C286),0))</f>
      </c>
      <c r="H286" s="156">
        <f>IF($B286="","",IFERROR(SUMIFS(出库明细!G:G,出库明细!C:C,$B286,出库明细!D:D,$C286),0))</f>
      </c>
      <c r="I286" s="14">
        <f>IF($B286="","",D286-G286)</f>
      </c>
      <c r="J286" s="156">
        <f>IF($B286="","",F286-H286)</f>
      </c>
      <c r="K286" s="179">
        <f>IF($B286="","",MAX(_xlfn.MAXIFS(存条明细!B:B,存条明细!C:C,$B286,存条明细!D:D,$C286),_xlfn.MAXIFS(出库明细!B:B,出库明细!C:C,$B286,出库明细!D:D,$C286)))</f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 ht="15" customHeight="1" s="71">
      <c r="A287" s="14">
        <f>IF(B287="","",ROW()-3)</f>
      </c>
      <c r="B287" s="14">
        <f>IF(_辅助!$B287="","",IF(_辅助!$B287&lt;=1000,INDEX(存条明细!$C$4:$C$1003,_辅助!$B287),INDEX(出库明细!$C$4:$C$3003,_辅助!$B287-1000)))</f>
      </c>
      <c r="C287" s="14">
        <f>IF(_辅助!$B287="","",IF(_辅助!$B287&lt;=1000,INDEX(存条明细!$D$4:$D$1003,_辅助!$B287),INDEX(出库明细!$D$4:$D$3003,_辅助!$B287-1000)))</f>
      </c>
      <c r="D287" s="14">
        <f>IF($B287="","",IFERROR(SUMIFS(存条明细!E:E,存条明细!C:C,$B287,存条明细!D:D,$C287),0))</f>
      </c>
      <c r="E287" s="156">
        <f>IF(OR($B287="",N(D287)=0),"",ROUND(F287/D287,2))</f>
      </c>
      <c r="F287" s="156">
        <f>IF($B287="","",IFERROR(SUMIFS(存条明细!G:G,存条明细!C:C,$B287,存条明细!D:D,$C287),0))</f>
      </c>
      <c r="G287" s="14">
        <f>IF($B287="","",IFERROR(SUMIFS(出库明细!E:E,出库明细!C:C,$B287,出库明细!D:D,$C287),0))</f>
      </c>
      <c r="H287" s="156">
        <f>IF($B287="","",IFERROR(SUMIFS(出库明细!G:G,出库明细!C:C,$B287,出库明细!D:D,$C287),0))</f>
      </c>
      <c r="I287" s="14">
        <f>IF($B287="","",D287-G287)</f>
      </c>
      <c r="J287" s="156">
        <f>IF($B287="","",F287-H287)</f>
      </c>
      <c r="K287" s="179">
        <f>IF($B287="","",MAX(_xlfn.MAXIFS(存条明细!B:B,存条明细!C:C,$B287,存条明细!D:D,$C287),_xlfn.MAXIFS(出库明细!B:B,出库明细!C:C,$B287,出库明细!D:D,$C287)))</f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</row>
    <row r="288" ht="15" customHeight="1" s="71">
      <c r="A288" s="14">
        <f>IF(B288="","",ROW()-3)</f>
      </c>
      <c r="B288" s="14">
        <f>IF(_辅助!$B288="","",IF(_辅助!$B288&lt;=1000,INDEX(存条明细!$C$4:$C$1003,_辅助!$B288),INDEX(出库明细!$C$4:$C$3003,_辅助!$B288-1000)))</f>
      </c>
      <c r="C288" s="14">
        <f>IF(_辅助!$B288="","",IF(_辅助!$B288&lt;=1000,INDEX(存条明细!$D$4:$D$1003,_辅助!$B288),INDEX(出库明细!$D$4:$D$3003,_辅助!$B288-1000)))</f>
      </c>
      <c r="D288" s="14">
        <f>IF($B288="","",IFERROR(SUMIFS(存条明细!E:E,存条明细!C:C,$B288,存条明细!D:D,$C288),0))</f>
      </c>
      <c r="E288" s="156">
        <f>IF(OR($B288="",N(D288)=0),"",ROUND(F288/D288,2))</f>
      </c>
      <c r="F288" s="156">
        <f>IF($B288="","",IFERROR(SUMIFS(存条明细!G:G,存条明细!C:C,$B288,存条明细!D:D,$C288),0))</f>
      </c>
      <c r="G288" s="14">
        <f>IF($B288="","",IFERROR(SUMIFS(出库明细!E:E,出库明细!C:C,$B288,出库明细!D:D,$C288),0))</f>
      </c>
      <c r="H288" s="156">
        <f>IF($B288="","",IFERROR(SUMIFS(出库明细!G:G,出库明细!C:C,$B288,出库明细!D:D,$C288),0))</f>
      </c>
      <c r="I288" s="14">
        <f>IF($B288="","",D288-G288)</f>
      </c>
      <c r="J288" s="156">
        <f>IF($B288="","",F288-H288)</f>
      </c>
      <c r="K288" s="179">
        <f>IF($B288="","",MAX(_xlfn.MAXIFS(存条明细!B:B,存条明细!C:C,$B288,存条明细!D:D,$C288),_xlfn.MAXIFS(出库明细!B:B,出库明细!C:C,$B288,出库明细!D:D,$C288)))</f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 ht="15" customHeight="1" s="71">
      <c r="A289" s="14">
        <f>IF(B289="","",ROW()-3)</f>
      </c>
      <c r="B289" s="14">
        <f>IF(_辅助!$B289="","",IF(_辅助!$B289&lt;=1000,INDEX(存条明细!$C$4:$C$1003,_辅助!$B289),INDEX(出库明细!$C$4:$C$3003,_辅助!$B289-1000)))</f>
      </c>
      <c r="C289" s="14">
        <f>IF(_辅助!$B289="","",IF(_辅助!$B289&lt;=1000,INDEX(存条明细!$D$4:$D$1003,_辅助!$B289),INDEX(出库明细!$D$4:$D$3003,_辅助!$B289-1000)))</f>
      </c>
      <c r="D289" s="14">
        <f>IF($B289="","",IFERROR(SUMIFS(存条明细!E:E,存条明细!C:C,$B289,存条明细!D:D,$C289),0))</f>
      </c>
      <c r="E289" s="156">
        <f>IF(OR($B289="",N(D289)=0),"",ROUND(F289/D289,2))</f>
      </c>
      <c r="F289" s="156">
        <f>IF($B289="","",IFERROR(SUMIFS(存条明细!G:G,存条明细!C:C,$B289,存条明细!D:D,$C289),0))</f>
      </c>
      <c r="G289" s="14">
        <f>IF($B289="","",IFERROR(SUMIFS(出库明细!E:E,出库明细!C:C,$B289,出库明细!D:D,$C289),0))</f>
      </c>
      <c r="H289" s="156">
        <f>IF($B289="","",IFERROR(SUMIFS(出库明细!G:G,出库明细!C:C,$B289,出库明细!D:D,$C289),0))</f>
      </c>
      <c r="I289" s="14">
        <f>IF($B289="","",D289-G289)</f>
      </c>
      <c r="J289" s="156">
        <f>IF($B289="","",F289-H289)</f>
      </c>
      <c r="K289" s="179">
        <f>IF($B289="","",MAX(_xlfn.MAXIFS(存条明细!B:B,存条明细!C:C,$B289,存条明细!D:D,$C289),_xlfn.MAXIFS(出库明细!B:B,出库明细!C:C,$B289,出库明细!D:D,$C289)))</f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 ht="15" customHeight="1" s="71">
      <c r="A290" s="14">
        <f>IF(B290="","",ROW()-3)</f>
      </c>
      <c r="B290" s="14">
        <f>IF(_辅助!$B290="","",IF(_辅助!$B290&lt;=1000,INDEX(存条明细!$C$4:$C$1003,_辅助!$B290),INDEX(出库明细!$C$4:$C$3003,_辅助!$B290-1000)))</f>
      </c>
      <c r="C290" s="14">
        <f>IF(_辅助!$B290="","",IF(_辅助!$B290&lt;=1000,INDEX(存条明细!$D$4:$D$1003,_辅助!$B290),INDEX(出库明细!$D$4:$D$3003,_辅助!$B290-1000)))</f>
      </c>
      <c r="D290" s="14">
        <f>IF($B290="","",IFERROR(SUMIFS(存条明细!E:E,存条明细!C:C,$B290,存条明细!D:D,$C290),0))</f>
      </c>
      <c r="E290" s="156">
        <f>IF(OR($B290="",N(D290)=0),"",ROUND(F290/D290,2))</f>
      </c>
      <c r="F290" s="156">
        <f>IF($B290="","",IFERROR(SUMIFS(存条明细!G:G,存条明细!C:C,$B290,存条明细!D:D,$C290),0))</f>
      </c>
      <c r="G290" s="14">
        <f>IF($B290="","",IFERROR(SUMIFS(出库明细!E:E,出库明细!C:C,$B290,出库明细!D:D,$C290),0))</f>
      </c>
      <c r="H290" s="156">
        <f>IF($B290="","",IFERROR(SUMIFS(出库明细!G:G,出库明细!C:C,$B290,出库明细!D:D,$C290),0))</f>
      </c>
      <c r="I290" s="14">
        <f>IF($B290="","",D290-G290)</f>
      </c>
      <c r="J290" s="156">
        <f>IF($B290="","",F290-H290)</f>
      </c>
      <c r="K290" s="179">
        <f>IF($B290="","",MAX(_xlfn.MAXIFS(存条明细!B:B,存条明细!C:C,$B290,存条明细!D:D,$C290),_xlfn.MAXIFS(出库明细!B:B,出库明细!C:C,$B290,出库明细!D:D,$C290)))</f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 ht="15" customHeight="1" s="71">
      <c r="A291" s="14">
        <f>IF(B291="","",ROW()-3)</f>
      </c>
      <c r="B291" s="14">
        <f>IF(_辅助!$B291="","",IF(_辅助!$B291&lt;=1000,INDEX(存条明细!$C$4:$C$1003,_辅助!$B291),INDEX(出库明细!$C$4:$C$3003,_辅助!$B291-1000)))</f>
      </c>
      <c r="C291" s="14">
        <f>IF(_辅助!$B291="","",IF(_辅助!$B291&lt;=1000,INDEX(存条明细!$D$4:$D$1003,_辅助!$B291),INDEX(出库明细!$D$4:$D$3003,_辅助!$B291-1000)))</f>
      </c>
      <c r="D291" s="14">
        <f>IF($B291="","",IFERROR(SUMIFS(存条明细!E:E,存条明细!C:C,$B291,存条明细!D:D,$C291),0))</f>
      </c>
      <c r="E291" s="156">
        <f>IF(OR($B291="",N(D291)=0),"",ROUND(F291/D291,2))</f>
      </c>
      <c r="F291" s="156">
        <f>IF($B291="","",IFERROR(SUMIFS(存条明细!G:G,存条明细!C:C,$B291,存条明细!D:D,$C291),0))</f>
      </c>
      <c r="G291" s="14">
        <f>IF($B291="","",IFERROR(SUMIFS(出库明细!E:E,出库明细!C:C,$B291,出库明细!D:D,$C291),0))</f>
      </c>
      <c r="H291" s="156">
        <f>IF($B291="","",IFERROR(SUMIFS(出库明细!G:G,出库明细!C:C,$B291,出库明细!D:D,$C291),0))</f>
      </c>
      <c r="I291" s="14">
        <f>IF($B291="","",D291-G291)</f>
      </c>
      <c r="J291" s="156">
        <f>IF($B291="","",F291-H291)</f>
      </c>
      <c r="K291" s="179">
        <f>IF($B291="","",MAX(_xlfn.MAXIFS(存条明细!B:B,存条明细!C:C,$B291,存条明细!D:D,$C291),_xlfn.MAXIFS(出库明细!B:B,出库明细!C:C,$B291,出库明细!D:D,$C291)))</f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</row>
    <row r="292" ht="15" customHeight="1" s="71">
      <c r="A292" s="14">
        <f>IF(B292="","",ROW()-3)</f>
      </c>
      <c r="B292" s="14">
        <f>IF(_辅助!$B292="","",IF(_辅助!$B292&lt;=1000,INDEX(存条明细!$C$4:$C$1003,_辅助!$B292),INDEX(出库明细!$C$4:$C$3003,_辅助!$B292-1000)))</f>
      </c>
      <c r="C292" s="14">
        <f>IF(_辅助!$B292="","",IF(_辅助!$B292&lt;=1000,INDEX(存条明细!$D$4:$D$1003,_辅助!$B292),INDEX(出库明细!$D$4:$D$3003,_辅助!$B292-1000)))</f>
      </c>
      <c r="D292" s="14">
        <f>IF($B292="","",IFERROR(SUMIFS(存条明细!E:E,存条明细!C:C,$B292,存条明细!D:D,$C292),0))</f>
      </c>
      <c r="E292" s="156">
        <f>IF(OR($B292="",N(D292)=0),"",ROUND(F292/D292,2))</f>
      </c>
      <c r="F292" s="156">
        <f>IF($B292="","",IFERROR(SUMIFS(存条明细!G:G,存条明细!C:C,$B292,存条明细!D:D,$C292),0))</f>
      </c>
      <c r="G292" s="14">
        <f>IF($B292="","",IFERROR(SUMIFS(出库明细!E:E,出库明细!C:C,$B292,出库明细!D:D,$C292),0))</f>
      </c>
      <c r="H292" s="156">
        <f>IF($B292="","",IFERROR(SUMIFS(出库明细!G:G,出库明细!C:C,$B292,出库明细!D:D,$C292),0))</f>
      </c>
      <c r="I292" s="14">
        <f>IF($B292="","",D292-G292)</f>
      </c>
      <c r="J292" s="156">
        <f>IF($B292="","",F292-H292)</f>
      </c>
      <c r="K292" s="179">
        <f>IF($B292="","",MAX(_xlfn.MAXIFS(存条明细!B:B,存条明细!C:C,$B292,存条明细!D:D,$C292),_xlfn.MAXIFS(出库明细!B:B,出库明细!C:C,$B292,出库明细!D:D,$C292)))</f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</row>
    <row r="293" ht="15" customHeight="1" s="71">
      <c r="A293" s="14">
        <f>IF(B293="","",ROW()-3)</f>
      </c>
      <c r="B293" s="14">
        <f>IF(_辅助!$B293="","",IF(_辅助!$B293&lt;=1000,INDEX(存条明细!$C$4:$C$1003,_辅助!$B293),INDEX(出库明细!$C$4:$C$3003,_辅助!$B293-1000)))</f>
      </c>
      <c r="C293" s="14">
        <f>IF(_辅助!$B293="","",IF(_辅助!$B293&lt;=1000,INDEX(存条明细!$D$4:$D$1003,_辅助!$B293),INDEX(出库明细!$D$4:$D$3003,_辅助!$B293-1000)))</f>
      </c>
      <c r="D293" s="14">
        <f>IF($B293="","",IFERROR(SUMIFS(存条明细!E:E,存条明细!C:C,$B293,存条明细!D:D,$C293),0))</f>
      </c>
      <c r="E293" s="156">
        <f>IF(OR($B293="",N(D293)=0),"",ROUND(F293/D293,2))</f>
      </c>
      <c r="F293" s="156">
        <f>IF($B293="","",IFERROR(SUMIFS(存条明细!G:G,存条明细!C:C,$B293,存条明细!D:D,$C293),0))</f>
      </c>
      <c r="G293" s="14">
        <f>IF($B293="","",IFERROR(SUMIFS(出库明细!E:E,出库明细!C:C,$B293,出库明细!D:D,$C293),0))</f>
      </c>
      <c r="H293" s="156">
        <f>IF($B293="","",IFERROR(SUMIFS(出库明细!G:G,出库明细!C:C,$B293,出库明细!D:D,$C293),0))</f>
      </c>
      <c r="I293" s="14">
        <f>IF($B293="","",D293-G293)</f>
      </c>
      <c r="J293" s="156">
        <f>IF($B293="","",F293-H293)</f>
      </c>
      <c r="K293" s="179">
        <f>IF($B293="","",MAX(_xlfn.MAXIFS(存条明细!B:B,存条明细!C:C,$B293,存条明细!D:D,$C293),_xlfn.MAXIFS(出库明细!B:B,出库明细!C:C,$B293,出库明细!D:D,$C293)))</f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</row>
    <row r="294" ht="15" customHeight="1" s="71">
      <c r="A294" s="14">
        <f>IF(B294="","",ROW()-3)</f>
      </c>
      <c r="B294" s="14">
        <f>IF(_辅助!$B294="","",IF(_辅助!$B294&lt;=1000,INDEX(存条明细!$C$4:$C$1003,_辅助!$B294),INDEX(出库明细!$C$4:$C$3003,_辅助!$B294-1000)))</f>
      </c>
      <c r="C294" s="14">
        <f>IF(_辅助!$B294="","",IF(_辅助!$B294&lt;=1000,INDEX(存条明细!$D$4:$D$1003,_辅助!$B294),INDEX(出库明细!$D$4:$D$3003,_辅助!$B294-1000)))</f>
      </c>
      <c r="D294" s="14">
        <f>IF($B294="","",IFERROR(SUMIFS(存条明细!E:E,存条明细!C:C,$B294,存条明细!D:D,$C294),0))</f>
      </c>
      <c r="E294" s="156">
        <f>IF(OR($B294="",N(D294)=0),"",ROUND(F294/D294,2))</f>
      </c>
      <c r="F294" s="156">
        <f>IF($B294="","",IFERROR(SUMIFS(存条明细!G:G,存条明细!C:C,$B294,存条明细!D:D,$C294),0))</f>
      </c>
      <c r="G294" s="14">
        <f>IF($B294="","",IFERROR(SUMIFS(出库明细!E:E,出库明细!C:C,$B294,出库明细!D:D,$C294),0))</f>
      </c>
      <c r="H294" s="156">
        <f>IF($B294="","",IFERROR(SUMIFS(出库明细!G:G,出库明细!C:C,$B294,出库明细!D:D,$C294),0))</f>
      </c>
      <c r="I294" s="14">
        <f>IF($B294="","",D294-G294)</f>
      </c>
      <c r="J294" s="156">
        <f>IF($B294="","",F294-H294)</f>
      </c>
      <c r="K294" s="179">
        <f>IF($B294="","",MAX(_xlfn.MAXIFS(存条明细!B:B,存条明细!C:C,$B294,存条明细!D:D,$C294),_xlfn.MAXIFS(出库明细!B:B,出库明细!C:C,$B294,出库明细!D:D,$C294)))</f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 ht="15" customHeight="1" s="71">
      <c r="A295" s="14">
        <f>IF(B295="","",ROW()-3)</f>
      </c>
      <c r="B295" s="14">
        <f>IF(_辅助!$B295="","",IF(_辅助!$B295&lt;=1000,INDEX(存条明细!$C$4:$C$1003,_辅助!$B295),INDEX(出库明细!$C$4:$C$3003,_辅助!$B295-1000)))</f>
      </c>
      <c r="C295" s="14">
        <f>IF(_辅助!$B295="","",IF(_辅助!$B295&lt;=1000,INDEX(存条明细!$D$4:$D$1003,_辅助!$B295),INDEX(出库明细!$D$4:$D$3003,_辅助!$B295-1000)))</f>
      </c>
      <c r="D295" s="14">
        <f>IF($B295="","",IFERROR(SUMIFS(存条明细!E:E,存条明细!C:C,$B295,存条明细!D:D,$C295),0))</f>
      </c>
      <c r="E295" s="156">
        <f>IF(OR($B295="",N(D295)=0),"",ROUND(F295/D295,2))</f>
      </c>
      <c r="F295" s="156">
        <f>IF($B295="","",IFERROR(SUMIFS(存条明细!G:G,存条明细!C:C,$B295,存条明细!D:D,$C295),0))</f>
      </c>
      <c r="G295" s="14">
        <f>IF($B295="","",IFERROR(SUMIFS(出库明细!E:E,出库明细!C:C,$B295,出库明细!D:D,$C295),0))</f>
      </c>
      <c r="H295" s="156">
        <f>IF($B295="","",IFERROR(SUMIFS(出库明细!G:G,出库明细!C:C,$B295,出库明细!D:D,$C295),0))</f>
      </c>
      <c r="I295" s="14">
        <f>IF($B295="","",D295-G295)</f>
      </c>
      <c r="J295" s="156">
        <f>IF($B295="","",F295-H295)</f>
      </c>
      <c r="K295" s="179">
        <f>IF($B295="","",MAX(_xlfn.MAXIFS(存条明细!B:B,存条明细!C:C,$B295,存条明细!D:D,$C295),_xlfn.MAXIFS(出库明细!B:B,出库明细!C:C,$B295,出库明细!D:D,$C295)))</f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</row>
    <row r="296" ht="15" customHeight="1" s="71">
      <c r="A296" s="14">
        <f>IF(B296="","",ROW()-3)</f>
      </c>
      <c r="B296" s="14">
        <f>IF(_辅助!$B296="","",IF(_辅助!$B296&lt;=1000,INDEX(存条明细!$C$4:$C$1003,_辅助!$B296),INDEX(出库明细!$C$4:$C$3003,_辅助!$B296-1000)))</f>
      </c>
      <c r="C296" s="14">
        <f>IF(_辅助!$B296="","",IF(_辅助!$B296&lt;=1000,INDEX(存条明细!$D$4:$D$1003,_辅助!$B296),INDEX(出库明细!$D$4:$D$3003,_辅助!$B296-1000)))</f>
      </c>
      <c r="D296" s="14">
        <f>IF($B296="","",IFERROR(SUMIFS(存条明细!E:E,存条明细!C:C,$B296,存条明细!D:D,$C296),0))</f>
      </c>
      <c r="E296" s="156">
        <f>IF(OR($B296="",N(D296)=0),"",ROUND(F296/D296,2))</f>
      </c>
      <c r="F296" s="156">
        <f>IF($B296="","",IFERROR(SUMIFS(存条明细!G:G,存条明细!C:C,$B296,存条明细!D:D,$C296),0))</f>
      </c>
      <c r="G296" s="14">
        <f>IF($B296="","",IFERROR(SUMIFS(出库明细!E:E,出库明细!C:C,$B296,出库明细!D:D,$C296),0))</f>
      </c>
      <c r="H296" s="156">
        <f>IF($B296="","",IFERROR(SUMIFS(出库明细!G:G,出库明细!C:C,$B296,出库明细!D:D,$C296),0))</f>
      </c>
      <c r="I296" s="14">
        <f>IF($B296="","",D296-G296)</f>
      </c>
      <c r="J296" s="156">
        <f>IF($B296="","",F296-H296)</f>
      </c>
      <c r="K296" s="179">
        <f>IF($B296="","",MAX(_xlfn.MAXIFS(存条明细!B:B,存条明细!C:C,$B296,存条明细!D:D,$C296),_xlfn.MAXIFS(出库明细!B:B,出库明细!C:C,$B296,出库明细!D:D,$C296)))</f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</row>
    <row r="297" ht="15" customHeight="1" s="71">
      <c r="A297" s="14">
        <f>IF(B297="","",ROW()-3)</f>
      </c>
      <c r="B297" s="14">
        <f>IF(_辅助!$B297="","",IF(_辅助!$B297&lt;=1000,INDEX(存条明细!$C$4:$C$1003,_辅助!$B297),INDEX(出库明细!$C$4:$C$3003,_辅助!$B297-1000)))</f>
      </c>
      <c r="C297" s="14">
        <f>IF(_辅助!$B297="","",IF(_辅助!$B297&lt;=1000,INDEX(存条明细!$D$4:$D$1003,_辅助!$B297),INDEX(出库明细!$D$4:$D$3003,_辅助!$B297-1000)))</f>
      </c>
      <c r="D297" s="14">
        <f>IF($B297="","",IFERROR(SUMIFS(存条明细!E:E,存条明细!C:C,$B297,存条明细!D:D,$C297),0))</f>
      </c>
      <c r="E297" s="156">
        <f>IF(OR($B297="",N(D297)=0),"",ROUND(F297/D297,2))</f>
      </c>
      <c r="F297" s="156">
        <f>IF($B297="","",IFERROR(SUMIFS(存条明细!G:G,存条明细!C:C,$B297,存条明细!D:D,$C297),0))</f>
      </c>
      <c r="G297" s="14">
        <f>IF($B297="","",IFERROR(SUMIFS(出库明细!E:E,出库明细!C:C,$B297,出库明细!D:D,$C297),0))</f>
      </c>
      <c r="H297" s="156">
        <f>IF($B297="","",IFERROR(SUMIFS(出库明细!G:G,出库明细!C:C,$B297,出库明细!D:D,$C297),0))</f>
      </c>
      <c r="I297" s="14">
        <f>IF($B297="","",D297-G297)</f>
      </c>
      <c r="J297" s="156">
        <f>IF($B297="","",F297-H297)</f>
      </c>
      <c r="K297" s="179">
        <f>IF($B297="","",MAX(_xlfn.MAXIFS(存条明细!B:B,存条明细!C:C,$B297,存条明细!D:D,$C297),_xlfn.MAXIFS(出库明细!B:B,出库明细!C:C,$B297,出库明细!D:D,$C297)))</f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</row>
    <row r="298" ht="15" customHeight="1" s="71">
      <c r="A298" s="14">
        <f>IF(B298="","",ROW()-3)</f>
      </c>
      <c r="B298" s="14">
        <f>IF(_辅助!$B298="","",IF(_辅助!$B298&lt;=1000,INDEX(存条明细!$C$4:$C$1003,_辅助!$B298),INDEX(出库明细!$C$4:$C$3003,_辅助!$B298-1000)))</f>
      </c>
      <c r="C298" s="14">
        <f>IF(_辅助!$B298="","",IF(_辅助!$B298&lt;=1000,INDEX(存条明细!$D$4:$D$1003,_辅助!$B298),INDEX(出库明细!$D$4:$D$3003,_辅助!$B298-1000)))</f>
      </c>
      <c r="D298" s="14">
        <f>IF($B298="","",IFERROR(SUMIFS(存条明细!E:E,存条明细!C:C,$B298,存条明细!D:D,$C298),0))</f>
      </c>
      <c r="E298" s="156">
        <f>IF(OR($B298="",N(D298)=0),"",ROUND(F298/D298,2))</f>
      </c>
      <c r="F298" s="156">
        <f>IF($B298="","",IFERROR(SUMIFS(存条明细!G:G,存条明细!C:C,$B298,存条明细!D:D,$C298),0))</f>
      </c>
      <c r="G298" s="14">
        <f>IF($B298="","",IFERROR(SUMIFS(出库明细!E:E,出库明细!C:C,$B298,出库明细!D:D,$C298),0))</f>
      </c>
      <c r="H298" s="156">
        <f>IF($B298="","",IFERROR(SUMIFS(出库明细!G:G,出库明细!C:C,$B298,出库明细!D:D,$C298),0))</f>
      </c>
      <c r="I298" s="14">
        <f>IF($B298="","",D298-G298)</f>
      </c>
      <c r="J298" s="156">
        <f>IF($B298="","",F298-H298)</f>
      </c>
      <c r="K298" s="179">
        <f>IF($B298="","",MAX(_xlfn.MAXIFS(存条明细!B:B,存条明细!C:C,$B298,存条明细!D:D,$C298),_xlfn.MAXIFS(出库明细!B:B,出库明细!C:C,$B298,出库明细!D:D,$C298)))</f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 ht="15" customHeight="1" s="71">
      <c r="A299" s="14">
        <f>IF(B299="","",ROW()-3)</f>
      </c>
      <c r="B299" s="14">
        <f>IF(_辅助!$B299="","",IF(_辅助!$B299&lt;=1000,INDEX(存条明细!$C$4:$C$1003,_辅助!$B299),INDEX(出库明细!$C$4:$C$3003,_辅助!$B299-1000)))</f>
      </c>
      <c r="C299" s="14">
        <f>IF(_辅助!$B299="","",IF(_辅助!$B299&lt;=1000,INDEX(存条明细!$D$4:$D$1003,_辅助!$B299),INDEX(出库明细!$D$4:$D$3003,_辅助!$B299-1000)))</f>
      </c>
      <c r="D299" s="14">
        <f>IF($B299="","",IFERROR(SUMIFS(存条明细!E:E,存条明细!C:C,$B299,存条明细!D:D,$C299),0))</f>
      </c>
      <c r="E299" s="156">
        <f>IF(OR($B299="",N(D299)=0),"",ROUND(F299/D299,2))</f>
      </c>
      <c r="F299" s="156">
        <f>IF($B299="","",IFERROR(SUMIFS(存条明细!G:G,存条明细!C:C,$B299,存条明细!D:D,$C299),0))</f>
      </c>
      <c r="G299" s="14">
        <f>IF($B299="","",IFERROR(SUMIFS(出库明细!E:E,出库明细!C:C,$B299,出库明细!D:D,$C299),0))</f>
      </c>
      <c r="H299" s="156">
        <f>IF($B299="","",IFERROR(SUMIFS(出库明细!G:G,出库明细!C:C,$B299,出库明细!D:D,$C299),0))</f>
      </c>
      <c r="I299" s="14">
        <f>IF($B299="","",D299-G299)</f>
      </c>
      <c r="J299" s="156">
        <f>IF($B299="","",F299-H299)</f>
      </c>
      <c r="K299" s="179">
        <f>IF($B299="","",MAX(_xlfn.MAXIFS(存条明细!B:B,存条明细!C:C,$B299,存条明细!D:D,$C299),_xlfn.MAXIFS(出库明细!B:B,出库明细!C:C,$B299,出库明细!D:D,$C299)))</f>
      </c>
    </row>
    <row r="300" ht="15" customHeight="1" s="71">
      <c r="A300" s="14">
        <f>IF(B300="","",ROW()-3)</f>
      </c>
      <c r="B300" s="14">
        <f>IF(_辅助!$B300="","",IF(_辅助!$B300&lt;=1000,INDEX(存条明细!$C$4:$C$1003,_辅助!$B300),INDEX(出库明细!$C$4:$C$3003,_辅助!$B300-1000)))</f>
      </c>
      <c r="C300" s="14">
        <f>IF(_辅助!$B300="","",IF(_辅助!$B300&lt;=1000,INDEX(存条明细!$D$4:$D$1003,_辅助!$B300),INDEX(出库明细!$D$4:$D$3003,_辅助!$B300-1000)))</f>
      </c>
      <c r="D300" s="14">
        <f>IF($B300="","",IFERROR(SUMIFS(存条明细!E:E,存条明细!C:C,$B300,存条明细!D:D,$C300),0))</f>
      </c>
      <c r="E300" s="156">
        <f>IF(OR($B300="",N(D300)=0),"",ROUND(F300/D300,2))</f>
      </c>
      <c r="F300" s="156">
        <f>IF($B300="","",IFERROR(SUMIFS(存条明细!G:G,存条明细!C:C,$B300,存条明细!D:D,$C300),0))</f>
      </c>
      <c r="G300" s="14">
        <f>IF($B300="","",IFERROR(SUMIFS(出库明细!E:E,出库明细!C:C,$B300,出库明细!D:D,$C300),0))</f>
      </c>
      <c r="H300" s="156">
        <f>IF($B300="","",IFERROR(SUMIFS(出库明细!G:G,出库明细!C:C,$B300,出库明细!D:D,$C300),0))</f>
      </c>
      <c r="I300" s="14">
        <f>IF($B300="","",D300-G300)</f>
      </c>
      <c r="J300" s="156">
        <f>IF($B300="","",F300-H300)</f>
      </c>
      <c r="K300" s="179">
        <f>IF($B300="","",MAX(_xlfn.MAXIFS(存条明细!B:B,存条明细!C:C,$B300,存条明细!D:D,$C300),_xlfn.MAXIFS(出库明细!B:B,出库明细!C:C,$B300,出库明细!D:D,$C300)))</f>
      </c>
    </row>
    <row r="301" ht="15" customHeight="1" s="71">
      <c r="A301" s="14">
        <f>IF(B301="","",ROW()-3)</f>
      </c>
      <c r="B301" s="14">
        <f>IF(_辅助!$B301="","",IF(_辅助!$B301&lt;=1000,INDEX(存条明细!$C$4:$C$1003,_辅助!$B301),INDEX(出库明细!$C$4:$C$3003,_辅助!$B301-1000)))</f>
      </c>
      <c r="C301" s="14">
        <f>IF(_辅助!$B301="","",IF(_辅助!$B301&lt;=1000,INDEX(存条明细!$D$4:$D$1003,_辅助!$B301),INDEX(出库明细!$D$4:$D$3003,_辅助!$B301-1000)))</f>
      </c>
      <c r="D301" s="14">
        <f>IF($B301="","",IFERROR(SUMIFS(存条明细!E:E,存条明细!C:C,$B301,存条明细!D:D,$C301),0))</f>
      </c>
      <c r="E301" s="156">
        <f>IF(OR($B301="",N(D301)=0),"",ROUND(F301/D301,2))</f>
      </c>
      <c r="F301" s="156">
        <f>IF($B301="","",IFERROR(SUMIFS(存条明细!G:G,存条明细!C:C,$B301,存条明细!D:D,$C301),0))</f>
      </c>
      <c r="G301" s="14">
        <f>IF($B301="","",IFERROR(SUMIFS(出库明细!E:E,出库明细!C:C,$B301,出库明细!D:D,$C301),0))</f>
      </c>
      <c r="H301" s="156">
        <f>IF($B301="","",IFERROR(SUMIFS(出库明细!G:G,出库明细!C:C,$B301,出库明细!D:D,$C301),0))</f>
      </c>
      <c r="I301" s="14">
        <f>IF($B301="","",D301-G301)</f>
      </c>
      <c r="J301" s="156">
        <f>IF($B301="","",F301-H301)</f>
      </c>
      <c r="K301" s="179">
        <f>IF($B301="","",MAX(_xlfn.MAXIFS(存条明细!B:B,存条明细!C:C,$B301,存条明细!D:D,$C301),_xlfn.MAXIFS(出库明细!B:B,出库明细!C:C,$B301,出库明细!D:D,$C301)))</f>
      </c>
    </row>
    <row r="302" ht="15" customHeight="1" s="71">
      <c r="A302" s="14">
        <f>IF(B302="","",ROW()-3)</f>
      </c>
      <c r="B302" s="14">
        <f>IF(_辅助!$B302="","",IF(_辅助!$B302&lt;=1000,INDEX(存条明细!$C$4:$C$1003,_辅助!$B302),INDEX(出库明细!$C$4:$C$3003,_辅助!$B302-1000)))</f>
      </c>
      <c r="C302" s="14">
        <f>IF(_辅助!$B302="","",IF(_辅助!$B302&lt;=1000,INDEX(存条明细!$D$4:$D$1003,_辅助!$B302),INDEX(出库明细!$D$4:$D$3003,_辅助!$B302-1000)))</f>
      </c>
      <c r="D302" s="14">
        <f>IF($B302="","",IFERROR(SUMIFS(存条明细!E:E,存条明细!C:C,$B302,存条明细!D:D,$C302),0))</f>
      </c>
      <c r="E302" s="156">
        <f>IF(OR($B302="",N(D302)=0),"",ROUND(F302/D302,2))</f>
      </c>
      <c r="F302" s="156">
        <f>IF($B302="","",IFERROR(SUMIFS(存条明细!G:G,存条明细!C:C,$B302,存条明细!D:D,$C302),0))</f>
      </c>
      <c r="G302" s="14">
        <f>IF($B302="","",IFERROR(SUMIFS(出库明细!E:E,出库明细!C:C,$B302,出库明细!D:D,$C302),0))</f>
      </c>
      <c r="H302" s="156">
        <f>IF($B302="","",IFERROR(SUMIFS(出库明细!G:G,出库明细!C:C,$B302,出库明细!D:D,$C302),0))</f>
      </c>
      <c r="I302" s="14">
        <f>IF($B302="","",D302-G302)</f>
      </c>
      <c r="J302" s="156">
        <f>IF($B302="","",F302-H302)</f>
      </c>
      <c r="K302" s="179">
        <f>IF($B302="","",MAX(_xlfn.MAXIFS(存条明细!B:B,存条明细!C:C,$B302,存条明细!D:D,$C302),_xlfn.MAXIFS(出库明细!B:B,出库明细!C:C,$B302,出库明细!D:D,$C302)))</f>
      </c>
    </row>
    <row r="303" ht="15" customHeight="1" s="71">
      <c r="A303" s="14">
        <f>IF(B303="","",ROW()-3)</f>
      </c>
      <c r="B303" s="14">
        <f>IF(_辅助!$B303="","",IF(_辅助!$B303&lt;=1000,INDEX(存条明细!$C$4:$C$1003,_辅助!$B303),INDEX(出库明细!$C$4:$C$3003,_辅助!$B303-1000)))</f>
      </c>
      <c r="C303" s="14">
        <f>IF(_辅助!$B303="","",IF(_辅助!$B303&lt;=1000,INDEX(存条明细!$D$4:$D$1003,_辅助!$B303),INDEX(出库明细!$D$4:$D$3003,_辅助!$B303-1000)))</f>
      </c>
      <c r="D303" s="14">
        <f>IF($B303="","",IFERROR(SUMIFS(存条明细!E:E,存条明细!C:C,$B303,存条明细!D:D,$C303),0))</f>
      </c>
      <c r="E303" s="156">
        <f>IF(OR($B303="",N(D303)=0),"",ROUND(F303/D303,2))</f>
      </c>
      <c r="F303" s="156">
        <f>IF($B303="","",IFERROR(SUMIFS(存条明细!G:G,存条明细!C:C,$B303,存条明细!D:D,$C303),0))</f>
      </c>
      <c r="G303" s="14">
        <f>IF($B303="","",IFERROR(SUMIFS(出库明细!E:E,出库明细!C:C,$B303,出库明细!D:D,$C303),0))</f>
      </c>
      <c r="H303" s="156">
        <f>IF($B303="","",IFERROR(SUMIFS(出库明细!G:G,出库明细!C:C,$B303,出库明细!D:D,$C303),0))</f>
      </c>
      <c r="I303" s="14">
        <f>IF($B303="","",D303-G303)</f>
      </c>
      <c r="J303" s="156">
        <f>IF($B303="","",F303-H303)</f>
      </c>
      <c r="K303" s="179">
        <f>IF($B303="","",MAX(_xlfn.MAXIFS(存条明细!B:B,存条明细!C:C,$B303,存条明细!D:D,$C303),_xlfn.MAXIFS(出库明细!B:B,出库明细!C:C,$B303,出库明细!D:D,$C303)))</f>
      </c>
    </row>
    <row r="304" ht="15" customHeight="1" s="71">
      <c r="A304" s="14">
        <f>IF(B304="","",ROW()-3)</f>
      </c>
      <c r="B304" s="14">
        <f>IF(_辅助!$B304="","",IF(_辅助!$B304&lt;=1000,INDEX(存条明细!$C$4:$C$1003,_辅助!$B304),INDEX(出库明细!$C$4:$C$3003,_辅助!$B304-1000)))</f>
      </c>
      <c r="C304" s="14">
        <f>IF(_辅助!$B304="","",IF(_辅助!$B304&lt;=1000,INDEX(存条明细!$D$4:$D$1003,_辅助!$B304),INDEX(出库明细!$D$4:$D$3003,_辅助!$B304-1000)))</f>
      </c>
      <c r="D304" s="14">
        <f>IF($B304="","",IFERROR(SUMIFS(存条明细!E:E,存条明细!C:C,$B304,存条明细!D:D,$C304),0))</f>
      </c>
      <c r="E304" s="156">
        <f>IF(OR($B304="",N(D304)=0),"",ROUND(F304/D304,2))</f>
      </c>
      <c r="F304" s="156">
        <f>IF($B304="","",IFERROR(SUMIFS(存条明细!G:G,存条明细!C:C,$B304,存条明细!D:D,$C304),0))</f>
      </c>
      <c r="G304" s="14">
        <f>IF($B304="","",IFERROR(SUMIFS(出库明细!E:E,出库明细!C:C,$B304,出库明细!D:D,$C304),0))</f>
      </c>
      <c r="H304" s="156">
        <f>IF($B304="","",IFERROR(SUMIFS(出库明细!G:G,出库明细!C:C,$B304,出库明细!D:D,$C304),0))</f>
      </c>
      <c r="I304" s="14">
        <f>IF($B304="","",D304-G304)</f>
      </c>
      <c r="J304" s="156">
        <f>IF($B304="","",F304-H304)</f>
      </c>
      <c r="K304" s="179">
        <f>IF($B304="","",MAX(_xlfn.MAXIFS(存条明细!B:B,存条明细!C:C,$B304,存条明细!D:D,$C304),_xlfn.MAXIFS(出库明细!B:B,出库明细!C:C,$B304,出库明细!D:D,$C304)))</f>
      </c>
    </row>
    <row r="305" ht="15" customHeight="1" s="71">
      <c r="A305" s="14">
        <f>IF(B305="","",ROW()-3)</f>
      </c>
      <c r="B305" s="14">
        <f>IF(_辅助!$B305="","",IF(_辅助!$B305&lt;=1000,INDEX(存条明细!$C$4:$C$1003,_辅助!$B305),INDEX(出库明细!$C$4:$C$3003,_辅助!$B305-1000)))</f>
      </c>
      <c r="C305" s="14">
        <f>IF(_辅助!$B305="","",IF(_辅助!$B305&lt;=1000,INDEX(存条明细!$D$4:$D$1003,_辅助!$B305),INDEX(出库明细!$D$4:$D$3003,_辅助!$B305-1000)))</f>
      </c>
      <c r="D305" s="14">
        <f>IF($B305="","",IFERROR(SUMIFS(存条明细!E:E,存条明细!C:C,$B305,存条明细!D:D,$C305),0))</f>
      </c>
      <c r="E305" s="156">
        <f>IF(OR($B305="",N(D305)=0),"",ROUND(F305/D305,2))</f>
      </c>
      <c r="F305" s="156">
        <f>IF($B305="","",IFERROR(SUMIFS(存条明细!G:G,存条明细!C:C,$B305,存条明细!D:D,$C305),0))</f>
      </c>
      <c r="G305" s="14">
        <f>IF($B305="","",IFERROR(SUMIFS(出库明细!E:E,出库明细!C:C,$B305,出库明细!D:D,$C305),0))</f>
      </c>
      <c r="H305" s="156">
        <f>IF($B305="","",IFERROR(SUMIFS(出库明细!G:G,出库明细!C:C,$B305,出库明细!D:D,$C305),0))</f>
      </c>
      <c r="I305" s="14">
        <f>IF($B305="","",D305-G305)</f>
      </c>
      <c r="J305" s="156">
        <f>IF($B305="","",F305-H305)</f>
      </c>
      <c r="K305" s="179">
        <f>IF($B305="","",MAX(_xlfn.MAXIFS(存条明细!B:B,存条明细!C:C,$B305,存条明细!D:D,$C305),_xlfn.MAXIFS(出库明细!B:B,出库明细!C:C,$B305,出库明细!D:D,$C305)))</f>
      </c>
    </row>
    <row r="306" ht="15" customHeight="1" s="71">
      <c r="A306" s="14">
        <f>IF(B306="","",ROW()-3)</f>
      </c>
      <c r="B306" s="14">
        <f>IF(_辅助!$B306="","",IF(_辅助!$B306&lt;=1000,INDEX(存条明细!$C$4:$C$1003,_辅助!$B306),INDEX(出库明细!$C$4:$C$3003,_辅助!$B306-1000)))</f>
      </c>
      <c r="C306" s="14">
        <f>IF(_辅助!$B306="","",IF(_辅助!$B306&lt;=1000,INDEX(存条明细!$D$4:$D$1003,_辅助!$B306),INDEX(出库明细!$D$4:$D$3003,_辅助!$B306-1000)))</f>
      </c>
      <c r="D306" s="14">
        <f>IF($B306="","",IFERROR(SUMIFS(存条明细!E:E,存条明细!C:C,$B306,存条明细!D:D,$C306),0))</f>
      </c>
      <c r="E306" s="156">
        <f>IF(OR($B306="",N(D306)=0),"",ROUND(F306/D306,2))</f>
      </c>
      <c r="F306" s="156">
        <f>IF($B306="","",IFERROR(SUMIFS(存条明细!G:G,存条明细!C:C,$B306,存条明细!D:D,$C306),0))</f>
      </c>
      <c r="G306" s="14">
        <f>IF($B306="","",IFERROR(SUMIFS(出库明细!E:E,出库明细!C:C,$B306,出库明细!D:D,$C306),0))</f>
      </c>
      <c r="H306" s="156">
        <f>IF($B306="","",IFERROR(SUMIFS(出库明细!G:G,出库明细!C:C,$B306,出库明细!D:D,$C306),0))</f>
      </c>
      <c r="I306" s="14">
        <f>IF($B306="","",D306-G306)</f>
      </c>
      <c r="J306" s="156">
        <f>IF($B306="","",F306-H306)</f>
      </c>
      <c r="K306" s="179">
        <f>IF($B306="","",MAX(_xlfn.MAXIFS(存条明细!B:B,存条明细!C:C,$B306,存条明细!D:D,$C306),_xlfn.MAXIFS(出库明细!B:B,出库明细!C:C,$B306,出库明细!D:D,$C306)))</f>
      </c>
    </row>
    <row r="307" ht="15" customHeight="1" s="71">
      <c r="A307" s="14">
        <f>IF(B307="","",ROW()-3)</f>
      </c>
      <c r="B307" s="14">
        <f>IF(_辅助!$B307="","",IF(_辅助!$B307&lt;=1000,INDEX(存条明细!$C$4:$C$1003,_辅助!$B307),INDEX(出库明细!$C$4:$C$3003,_辅助!$B307-1000)))</f>
      </c>
      <c r="C307" s="14">
        <f>IF(_辅助!$B307="","",IF(_辅助!$B307&lt;=1000,INDEX(存条明细!$D$4:$D$1003,_辅助!$B307),INDEX(出库明细!$D$4:$D$3003,_辅助!$B307-1000)))</f>
      </c>
      <c r="D307" s="14">
        <f>IF($B307="","",IFERROR(SUMIFS(存条明细!E:E,存条明细!C:C,$B307,存条明细!D:D,$C307),0))</f>
      </c>
      <c r="E307" s="156">
        <f>IF(OR($B307="",N(D307)=0),"",ROUND(F307/D307,2))</f>
      </c>
      <c r="F307" s="156">
        <f>IF($B307="","",IFERROR(SUMIFS(存条明细!G:G,存条明细!C:C,$B307,存条明细!D:D,$C307),0))</f>
      </c>
      <c r="G307" s="14">
        <f>IF($B307="","",IFERROR(SUMIFS(出库明细!E:E,出库明细!C:C,$B307,出库明细!D:D,$C307),0))</f>
      </c>
      <c r="H307" s="156">
        <f>IF($B307="","",IFERROR(SUMIFS(出库明细!G:G,出库明细!C:C,$B307,出库明细!D:D,$C307),0))</f>
      </c>
      <c r="I307" s="14">
        <f>IF($B307="","",D307-G307)</f>
      </c>
      <c r="J307" s="156">
        <f>IF($B307="","",F307-H307)</f>
      </c>
      <c r="K307" s="179">
        <f>IF($B307="","",MAX(_xlfn.MAXIFS(存条明细!B:B,存条明细!C:C,$B307,存条明细!D:D,$C307),_xlfn.MAXIFS(出库明细!B:B,出库明细!C:C,$B307,出库明细!D:D,$C307)))</f>
      </c>
    </row>
    <row r="308" ht="15" customHeight="1" s="71">
      <c r="A308" s="14">
        <f>IF(B308="","",ROW()-3)</f>
      </c>
      <c r="B308" s="14">
        <f>IF(_辅助!$B308="","",IF(_辅助!$B308&lt;=1000,INDEX(存条明细!$C$4:$C$1003,_辅助!$B308),INDEX(出库明细!$C$4:$C$3003,_辅助!$B308-1000)))</f>
      </c>
      <c r="C308" s="14">
        <f>IF(_辅助!$B308="","",IF(_辅助!$B308&lt;=1000,INDEX(存条明细!$D$4:$D$1003,_辅助!$B308),INDEX(出库明细!$D$4:$D$3003,_辅助!$B308-1000)))</f>
      </c>
      <c r="D308" s="14">
        <f>IF($B308="","",IFERROR(SUMIFS(存条明细!E:E,存条明细!C:C,$B308,存条明细!D:D,$C308),0))</f>
      </c>
      <c r="E308" s="156">
        <f>IF(OR($B308="",N(D308)=0),"",ROUND(F308/D308,2))</f>
      </c>
      <c r="F308" s="156">
        <f>IF($B308="","",IFERROR(SUMIFS(存条明细!G:G,存条明细!C:C,$B308,存条明细!D:D,$C308),0))</f>
      </c>
      <c r="G308" s="14">
        <f>IF($B308="","",IFERROR(SUMIFS(出库明细!E:E,出库明细!C:C,$B308,出库明细!D:D,$C308),0))</f>
      </c>
      <c r="H308" s="156">
        <f>IF($B308="","",IFERROR(SUMIFS(出库明细!G:G,出库明细!C:C,$B308,出库明细!D:D,$C308),0))</f>
      </c>
      <c r="I308" s="14">
        <f>IF($B308="","",D308-G308)</f>
      </c>
      <c r="J308" s="156">
        <f>IF($B308="","",F308-H308)</f>
      </c>
      <c r="K308" s="179">
        <f>IF($B308="","",MAX(_xlfn.MAXIFS(存条明细!B:B,存条明细!C:C,$B308,存条明细!D:D,$C308),_xlfn.MAXIFS(出库明细!B:B,出库明细!C:C,$B308,出库明细!D:D,$C308)))</f>
      </c>
    </row>
    <row r="309" ht="15" customHeight="1" s="71">
      <c r="A309" s="14">
        <f>IF(B309="","",ROW()-3)</f>
      </c>
      <c r="B309" s="14">
        <f>IF(_辅助!$B309="","",IF(_辅助!$B309&lt;=1000,INDEX(存条明细!$C$4:$C$1003,_辅助!$B309),INDEX(出库明细!$C$4:$C$3003,_辅助!$B309-1000)))</f>
      </c>
      <c r="C309" s="14">
        <f>IF(_辅助!$B309="","",IF(_辅助!$B309&lt;=1000,INDEX(存条明细!$D$4:$D$1003,_辅助!$B309),INDEX(出库明细!$D$4:$D$3003,_辅助!$B309-1000)))</f>
      </c>
      <c r="D309" s="14">
        <f>IF($B309="","",IFERROR(SUMIFS(存条明细!E:E,存条明细!C:C,$B309,存条明细!D:D,$C309),0))</f>
      </c>
      <c r="E309" s="156">
        <f>IF(OR($B309="",N(D309)=0),"",ROUND(F309/D309,2))</f>
      </c>
      <c r="F309" s="156">
        <f>IF($B309="","",IFERROR(SUMIFS(存条明细!G:G,存条明细!C:C,$B309,存条明细!D:D,$C309),0))</f>
      </c>
      <c r="G309" s="14">
        <f>IF($B309="","",IFERROR(SUMIFS(出库明细!E:E,出库明细!C:C,$B309,出库明细!D:D,$C309),0))</f>
      </c>
      <c r="H309" s="156">
        <f>IF($B309="","",IFERROR(SUMIFS(出库明细!G:G,出库明细!C:C,$B309,出库明细!D:D,$C309),0))</f>
      </c>
      <c r="I309" s="14">
        <f>IF($B309="","",D309-G309)</f>
      </c>
      <c r="J309" s="156">
        <f>IF($B309="","",F309-H309)</f>
      </c>
      <c r="K309" s="179">
        <f>IF($B309="","",MAX(_xlfn.MAXIFS(存条明细!B:B,存条明细!C:C,$B309,存条明细!D:D,$C309),_xlfn.MAXIFS(出库明细!B:B,出库明细!C:C,$B309,出库明细!D:D,$C309)))</f>
      </c>
    </row>
    <row r="310" ht="15" customHeight="1" s="71">
      <c r="A310" s="14">
        <f>IF(B310="","",ROW()-3)</f>
      </c>
      <c r="B310" s="14">
        <f>IF(_辅助!$B310="","",IF(_辅助!$B310&lt;=1000,INDEX(存条明细!$C$4:$C$1003,_辅助!$B310),INDEX(出库明细!$C$4:$C$3003,_辅助!$B310-1000)))</f>
      </c>
      <c r="C310" s="14">
        <f>IF(_辅助!$B310="","",IF(_辅助!$B310&lt;=1000,INDEX(存条明细!$D$4:$D$1003,_辅助!$B310),INDEX(出库明细!$D$4:$D$3003,_辅助!$B310-1000)))</f>
      </c>
      <c r="D310" s="14">
        <f>IF($B310="","",IFERROR(SUMIFS(存条明细!E:E,存条明细!C:C,$B310,存条明细!D:D,$C310),0))</f>
      </c>
      <c r="E310" s="156">
        <f>IF(OR($B310="",N(D310)=0),"",ROUND(F310/D310,2))</f>
      </c>
      <c r="F310" s="156">
        <f>IF($B310="","",IFERROR(SUMIFS(存条明细!G:G,存条明细!C:C,$B310,存条明细!D:D,$C310),0))</f>
      </c>
      <c r="G310" s="14">
        <f>IF($B310="","",IFERROR(SUMIFS(出库明细!E:E,出库明细!C:C,$B310,出库明细!D:D,$C310),0))</f>
      </c>
      <c r="H310" s="156">
        <f>IF($B310="","",IFERROR(SUMIFS(出库明细!G:G,出库明细!C:C,$B310,出库明细!D:D,$C310),0))</f>
      </c>
      <c r="I310" s="14">
        <f>IF($B310="","",D310-G310)</f>
      </c>
      <c r="J310" s="156">
        <f>IF($B310="","",F310-H310)</f>
      </c>
      <c r="K310" s="179">
        <f>IF($B310="","",MAX(_xlfn.MAXIFS(存条明细!B:B,存条明细!C:C,$B310,存条明细!D:D,$C310),_xlfn.MAXIFS(出库明细!B:B,出库明细!C:C,$B310,出库明细!D:D,$C310)))</f>
      </c>
    </row>
    <row r="311" ht="15" customHeight="1" s="71">
      <c r="A311" s="14">
        <f>IF(B311="","",ROW()-3)</f>
      </c>
      <c r="B311" s="14">
        <f>IF(_辅助!$B311="","",IF(_辅助!$B311&lt;=1000,INDEX(存条明细!$C$4:$C$1003,_辅助!$B311),INDEX(出库明细!$C$4:$C$3003,_辅助!$B311-1000)))</f>
      </c>
      <c r="C311" s="14">
        <f>IF(_辅助!$B311="","",IF(_辅助!$B311&lt;=1000,INDEX(存条明细!$D$4:$D$1003,_辅助!$B311),INDEX(出库明细!$D$4:$D$3003,_辅助!$B311-1000)))</f>
      </c>
      <c r="D311" s="14">
        <f>IF($B311="","",IFERROR(SUMIFS(存条明细!E:E,存条明细!C:C,$B311,存条明细!D:D,$C311),0))</f>
      </c>
      <c r="E311" s="156">
        <f>IF(OR($B311="",N(D311)=0),"",ROUND(F311/D311,2))</f>
      </c>
      <c r="F311" s="156">
        <f>IF($B311="","",IFERROR(SUMIFS(存条明细!G:G,存条明细!C:C,$B311,存条明细!D:D,$C311),0))</f>
      </c>
      <c r="G311" s="14">
        <f>IF($B311="","",IFERROR(SUMIFS(出库明细!E:E,出库明细!C:C,$B311,出库明细!D:D,$C311),0))</f>
      </c>
      <c r="H311" s="156">
        <f>IF($B311="","",IFERROR(SUMIFS(出库明细!G:G,出库明细!C:C,$B311,出库明细!D:D,$C311),0))</f>
      </c>
      <c r="I311" s="14">
        <f>IF($B311="","",D311-G311)</f>
      </c>
      <c r="J311" s="156">
        <f>IF($B311="","",F311-H311)</f>
      </c>
      <c r="K311" s="179">
        <f>IF($B311="","",MAX(_xlfn.MAXIFS(存条明细!B:B,存条明细!C:C,$B311,存条明细!D:D,$C311),_xlfn.MAXIFS(出库明细!B:B,出库明细!C:C,$B311,出库明细!D:D,$C311)))</f>
      </c>
    </row>
    <row r="312" ht="15" customHeight="1" s="71">
      <c r="A312" s="14">
        <f>IF(B312="","",ROW()-3)</f>
      </c>
      <c r="B312" s="14">
        <f>IF(_辅助!$B312="","",IF(_辅助!$B312&lt;=1000,INDEX(存条明细!$C$4:$C$1003,_辅助!$B312),INDEX(出库明细!$C$4:$C$3003,_辅助!$B312-1000)))</f>
      </c>
      <c r="C312" s="14">
        <f>IF(_辅助!$B312="","",IF(_辅助!$B312&lt;=1000,INDEX(存条明细!$D$4:$D$1003,_辅助!$B312),INDEX(出库明细!$D$4:$D$3003,_辅助!$B312-1000)))</f>
      </c>
      <c r="D312" s="14">
        <f>IF($B312="","",IFERROR(SUMIFS(存条明细!E:E,存条明细!C:C,$B312,存条明细!D:D,$C312),0))</f>
      </c>
      <c r="E312" s="156">
        <f>IF(OR($B312="",N(D312)=0),"",ROUND(F312/D312,2))</f>
      </c>
      <c r="F312" s="156">
        <f>IF($B312="","",IFERROR(SUMIFS(存条明细!G:G,存条明细!C:C,$B312,存条明细!D:D,$C312),0))</f>
      </c>
      <c r="G312" s="14">
        <f>IF($B312="","",IFERROR(SUMIFS(出库明细!E:E,出库明细!C:C,$B312,出库明细!D:D,$C312),0))</f>
      </c>
      <c r="H312" s="156">
        <f>IF($B312="","",IFERROR(SUMIFS(出库明细!G:G,出库明细!C:C,$B312,出库明细!D:D,$C312),0))</f>
      </c>
      <c r="I312" s="14">
        <f>IF($B312="","",D312-G312)</f>
      </c>
      <c r="J312" s="156">
        <f>IF($B312="","",F312-H312)</f>
      </c>
      <c r="K312" s="179">
        <f>IF($B312="","",MAX(_xlfn.MAXIFS(存条明细!B:B,存条明细!C:C,$B312,存条明细!D:D,$C312),_xlfn.MAXIFS(出库明细!B:B,出库明细!C:C,$B312,出库明细!D:D,$C312)))</f>
      </c>
    </row>
    <row r="313" ht="15" customHeight="1" s="71">
      <c r="A313" s="14">
        <f>IF(B313="","",ROW()-3)</f>
      </c>
      <c r="B313" s="14">
        <f>IF(_辅助!$B313="","",IF(_辅助!$B313&lt;=1000,INDEX(存条明细!$C$4:$C$1003,_辅助!$B313),INDEX(出库明细!$C$4:$C$3003,_辅助!$B313-1000)))</f>
      </c>
      <c r="C313" s="14">
        <f>IF(_辅助!$B313="","",IF(_辅助!$B313&lt;=1000,INDEX(存条明细!$D$4:$D$1003,_辅助!$B313),INDEX(出库明细!$D$4:$D$3003,_辅助!$B313-1000)))</f>
      </c>
      <c r="D313" s="14">
        <f>IF($B313="","",IFERROR(SUMIFS(存条明细!E:E,存条明细!C:C,$B313,存条明细!D:D,$C313),0))</f>
      </c>
      <c r="E313" s="156">
        <f>IF(OR($B313="",N(D313)=0),"",ROUND(F313/D313,2))</f>
      </c>
      <c r="F313" s="156">
        <f>IF($B313="","",IFERROR(SUMIFS(存条明细!G:G,存条明细!C:C,$B313,存条明细!D:D,$C313),0))</f>
      </c>
      <c r="G313" s="14">
        <f>IF($B313="","",IFERROR(SUMIFS(出库明细!E:E,出库明细!C:C,$B313,出库明细!D:D,$C313),0))</f>
      </c>
      <c r="H313" s="156">
        <f>IF($B313="","",IFERROR(SUMIFS(出库明细!G:G,出库明细!C:C,$B313,出库明细!D:D,$C313),0))</f>
      </c>
      <c r="I313" s="14">
        <f>IF($B313="","",D313-G313)</f>
      </c>
      <c r="J313" s="156">
        <f>IF($B313="","",F313-H313)</f>
      </c>
      <c r="K313" s="179">
        <f>IF($B313="","",MAX(_xlfn.MAXIFS(存条明细!B:B,存条明细!C:C,$B313,存条明细!D:D,$C313),_xlfn.MAXIFS(出库明细!B:B,出库明细!C:C,$B313,出库明细!D:D,$C313)))</f>
      </c>
    </row>
    <row r="314" ht="15" customHeight="1" s="71">
      <c r="A314" s="14">
        <f>IF(B314="","",ROW()-3)</f>
      </c>
      <c r="B314" s="14">
        <f>IF(_辅助!$B314="","",IF(_辅助!$B314&lt;=1000,INDEX(存条明细!$C$4:$C$1003,_辅助!$B314),INDEX(出库明细!$C$4:$C$3003,_辅助!$B314-1000)))</f>
      </c>
      <c r="C314" s="14">
        <f>IF(_辅助!$B314="","",IF(_辅助!$B314&lt;=1000,INDEX(存条明细!$D$4:$D$1003,_辅助!$B314),INDEX(出库明细!$D$4:$D$3003,_辅助!$B314-1000)))</f>
      </c>
      <c r="D314" s="14">
        <f>IF($B314="","",IFERROR(SUMIFS(存条明细!E:E,存条明细!C:C,$B314,存条明细!D:D,$C314),0))</f>
      </c>
      <c r="E314" s="156">
        <f>IF(OR($B314="",N(D314)=0),"",ROUND(F314/D314,2))</f>
      </c>
      <c r="F314" s="156">
        <f>IF($B314="","",IFERROR(SUMIFS(存条明细!G:G,存条明细!C:C,$B314,存条明细!D:D,$C314),0))</f>
      </c>
      <c r="G314" s="14">
        <f>IF($B314="","",IFERROR(SUMIFS(出库明细!E:E,出库明细!C:C,$B314,出库明细!D:D,$C314),0))</f>
      </c>
      <c r="H314" s="156">
        <f>IF($B314="","",IFERROR(SUMIFS(出库明细!G:G,出库明细!C:C,$B314,出库明细!D:D,$C314),0))</f>
      </c>
      <c r="I314" s="14">
        <f>IF($B314="","",D314-G314)</f>
      </c>
      <c r="J314" s="156">
        <f>IF($B314="","",F314-H314)</f>
      </c>
      <c r="K314" s="179">
        <f>IF($B314="","",MAX(_xlfn.MAXIFS(存条明细!B:B,存条明细!C:C,$B314,存条明细!D:D,$C314),_xlfn.MAXIFS(出库明细!B:B,出库明细!C:C,$B314,出库明细!D:D,$C314)))</f>
      </c>
    </row>
    <row r="315" ht="15" customHeight="1" s="71">
      <c r="A315" s="14">
        <f>IF(B315="","",ROW()-3)</f>
      </c>
      <c r="B315" s="14">
        <f>IF(_辅助!$B315="","",IF(_辅助!$B315&lt;=1000,INDEX(存条明细!$C$4:$C$1003,_辅助!$B315),INDEX(出库明细!$C$4:$C$3003,_辅助!$B315-1000)))</f>
      </c>
      <c r="C315" s="14">
        <f>IF(_辅助!$B315="","",IF(_辅助!$B315&lt;=1000,INDEX(存条明细!$D$4:$D$1003,_辅助!$B315),INDEX(出库明细!$D$4:$D$3003,_辅助!$B315-1000)))</f>
      </c>
      <c r="D315" s="14">
        <f>IF($B315="","",IFERROR(SUMIFS(存条明细!E:E,存条明细!C:C,$B315,存条明细!D:D,$C315),0))</f>
      </c>
      <c r="E315" s="156">
        <f>IF(OR($B315="",N(D315)=0),"",ROUND(F315/D315,2))</f>
      </c>
      <c r="F315" s="156">
        <f>IF($B315="","",IFERROR(SUMIFS(存条明细!G:G,存条明细!C:C,$B315,存条明细!D:D,$C315),0))</f>
      </c>
      <c r="G315" s="14">
        <f>IF($B315="","",IFERROR(SUMIFS(出库明细!E:E,出库明细!C:C,$B315,出库明细!D:D,$C315),0))</f>
      </c>
      <c r="H315" s="156">
        <f>IF($B315="","",IFERROR(SUMIFS(出库明细!G:G,出库明细!C:C,$B315,出库明细!D:D,$C315),0))</f>
      </c>
      <c r="I315" s="14">
        <f>IF($B315="","",D315-G315)</f>
      </c>
      <c r="J315" s="156">
        <f>IF($B315="","",F315-H315)</f>
      </c>
      <c r="K315" s="179">
        <f>IF($B315="","",MAX(_xlfn.MAXIFS(存条明细!B:B,存条明细!C:C,$B315,存条明细!D:D,$C315),_xlfn.MAXIFS(出库明细!B:B,出库明细!C:C,$B315,出库明细!D:D,$C315)))</f>
      </c>
    </row>
    <row r="316" ht="15" customHeight="1" s="71">
      <c r="A316" s="14">
        <f>IF(B316="","",ROW()-3)</f>
      </c>
      <c r="B316" s="14">
        <f>IF(_辅助!$B316="","",IF(_辅助!$B316&lt;=1000,INDEX(存条明细!$C$4:$C$1003,_辅助!$B316),INDEX(出库明细!$C$4:$C$3003,_辅助!$B316-1000)))</f>
      </c>
      <c r="C316" s="14">
        <f>IF(_辅助!$B316="","",IF(_辅助!$B316&lt;=1000,INDEX(存条明细!$D$4:$D$1003,_辅助!$B316),INDEX(出库明细!$D$4:$D$3003,_辅助!$B316-1000)))</f>
      </c>
      <c r="D316" s="14">
        <f>IF($B316="","",IFERROR(SUMIFS(存条明细!E:E,存条明细!C:C,$B316,存条明细!D:D,$C316),0))</f>
      </c>
      <c r="E316" s="156">
        <f>IF(OR($B316="",N(D316)=0),"",ROUND(F316/D316,2))</f>
      </c>
      <c r="F316" s="156">
        <f>IF($B316="","",IFERROR(SUMIFS(存条明细!G:G,存条明细!C:C,$B316,存条明细!D:D,$C316),0))</f>
      </c>
      <c r="G316" s="14">
        <f>IF($B316="","",IFERROR(SUMIFS(出库明细!E:E,出库明细!C:C,$B316,出库明细!D:D,$C316),0))</f>
      </c>
      <c r="H316" s="156">
        <f>IF($B316="","",IFERROR(SUMIFS(出库明细!G:G,出库明细!C:C,$B316,出库明细!D:D,$C316),0))</f>
      </c>
      <c r="I316" s="14">
        <f>IF($B316="","",D316-G316)</f>
      </c>
      <c r="J316" s="156">
        <f>IF($B316="","",F316-H316)</f>
      </c>
      <c r="K316" s="179">
        <f>IF($B316="","",MAX(_xlfn.MAXIFS(存条明细!B:B,存条明细!C:C,$B316,存条明细!D:D,$C316),_xlfn.MAXIFS(出库明细!B:B,出库明细!C:C,$B316,出库明细!D:D,$C316)))</f>
      </c>
    </row>
    <row r="317" ht="15" customHeight="1" s="71">
      <c r="A317" s="14">
        <f>IF(B317="","",ROW()-3)</f>
      </c>
      <c r="B317" s="14">
        <f>IF(_辅助!$B317="","",IF(_辅助!$B317&lt;=1000,INDEX(存条明细!$C$4:$C$1003,_辅助!$B317),INDEX(出库明细!$C$4:$C$3003,_辅助!$B317-1000)))</f>
      </c>
      <c r="C317" s="14">
        <f>IF(_辅助!$B317="","",IF(_辅助!$B317&lt;=1000,INDEX(存条明细!$D$4:$D$1003,_辅助!$B317),INDEX(出库明细!$D$4:$D$3003,_辅助!$B317-1000)))</f>
      </c>
      <c r="D317" s="14">
        <f>IF($B317="","",IFERROR(SUMIFS(存条明细!E:E,存条明细!C:C,$B317,存条明细!D:D,$C317),0))</f>
      </c>
      <c r="E317" s="156">
        <f>IF(OR($B317="",N(D317)=0),"",ROUND(F317/D317,2))</f>
      </c>
      <c r="F317" s="156">
        <f>IF($B317="","",IFERROR(SUMIFS(存条明细!G:G,存条明细!C:C,$B317,存条明细!D:D,$C317),0))</f>
      </c>
      <c r="G317" s="14">
        <f>IF($B317="","",IFERROR(SUMIFS(出库明细!E:E,出库明细!C:C,$B317,出库明细!D:D,$C317),0))</f>
      </c>
      <c r="H317" s="156">
        <f>IF($B317="","",IFERROR(SUMIFS(出库明细!G:G,出库明细!C:C,$B317,出库明细!D:D,$C317),0))</f>
      </c>
      <c r="I317" s="14">
        <f>IF($B317="","",D317-G317)</f>
      </c>
      <c r="J317" s="156">
        <f>IF($B317="","",F317-H317)</f>
      </c>
      <c r="K317" s="179">
        <f>IF($B317="","",MAX(_xlfn.MAXIFS(存条明细!B:B,存条明细!C:C,$B317,存条明细!D:D,$C317),_xlfn.MAXIFS(出库明细!B:B,出库明细!C:C,$B317,出库明细!D:D,$C317)))</f>
      </c>
    </row>
    <row r="318" ht="15" customHeight="1" s="71">
      <c r="A318" s="14">
        <f>IF(B318="","",ROW()-3)</f>
      </c>
      <c r="B318" s="14">
        <f>IF(_辅助!$B318="","",IF(_辅助!$B318&lt;=1000,INDEX(存条明细!$C$4:$C$1003,_辅助!$B318),INDEX(出库明细!$C$4:$C$3003,_辅助!$B318-1000)))</f>
      </c>
      <c r="C318" s="14">
        <f>IF(_辅助!$B318="","",IF(_辅助!$B318&lt;=1000,INDEX(存条明细!$D$4:$D$1003,_辅助!$B318),INDEX(出库明细!$D$4:$D$3003,_辅助!$B318-1000)))</f>
      </c>
      <c r="D318" s="14">
        <f>IF($B318="","",IFERROR(SUMIFS(存条明细!E:E,存条明细!C:C,$B318,存条明细!D:D,$C318),0))</f>
      </c>
      <c r="E318" s="156">
        <f>IF(OR($B318="",N(D318)=0),"",ROUND(F318/D318,2))</f>
      </c>
      <c r="F318" s="156">
        <f>IF($B318="","",IFERROR(SUMIFS(存条明细!G:G,存条明细!C:C,$B318,存条明细!D:D,$C318),0))</f>
      </c>
      <c r="G318" s="14">
        <f>IF($B318="","",IFERROR(SUMIFS(出库明细!E:E,出库明细!C:C,$B318,出库明细!D:D,$C318),0))</f>
      </c>
      <c r="H318" s="156">
        <f>IF($B318="","",IFERROR(SUMIFS(出库明细!G:G,出库明细!C:C,$B318,出库明细!D:D,$C318),0))</f>
      </c>
      <c r="I318" s="14">
        <f>IF($B318="","",D318-G318)</f>
      </c>
      <c r="J318" s="156">
        <f>IF($B318="","",F318-H318)</f>
      </c>
      <c r="K318" s="179">
        <f>IF($B318="","",MAX(_xlfn.MAXIFS(存条明细!B:B,存条明细!C:C,$B318,存条明细!D:D,$C318),_xlfn.MAXIFS(出库明细!B:B,出库明细!C:C,$B318,出库明细!D:D,$C318)))</f>
      </c>
    </row>
    <row r="319" ht="15" customHeight="1" s="71">
      <c r="A319" s="14">
        <f>IF(B319="","",ROW()-3)</f>
      </c>
      <c r="B319" s="14">
        <f>IF(_辅助!$B319="","",IF(_辅助!$B319&lt;=1000,INDEX(存条明细!$C$4:$C$1003,_辅助!$B319),INDEX(出库明细!$C$4:$C$3003,_辅助!$B319-1000)))</f>
      </c>
      <c r="C319" s="14">
        <f>IF(_辅助!$B319="","",IF(_辅助!$B319&lt;=1000,INDEX(存条明细!$D$4:$D$1003,_辅助!$B319),INDEX(出库明细!$D$4:$D$3003,_辅助!$B319-1000)))</f>
      </c>
      <c r="D319" s="14">
        <f>IF($B319="","",IFERROR(SUMIFS(存条明细!E:E,存条明细!C:C,$B319,存条明细!D:D,$C319),0))</f>
      </c>
      <c r="E319" s="156">
        <f>IF(OR($B319="",N(D319)=0),"",ROUND(F319/D319,2))</f>
      </c>
      <c r="F319" s="156">
        <f>IF($B319="","",IFERROR(SUMIFS(存条明细!G:G,存条明细!C:C,$B319,存条明细!D:D,$C319),0))</f>
      </c>
      <c r="G319" s="14">
        <f>IF($B319="","",IFERROR(SUMIFS(出库明细!E:E,出库明细!C:C,$B319,出库明细!D:D,$C319),0))</f>
      </c>
      <c r="H319" s="156">
        <f>IF($B319="","",IFERROR(SUMIFS(出库明细!G:G,出库明细!C:C,$B319,出库明细!D:D,$C319),0))</f>
      </c>
      <c r="I319" s="14">
        <f>IF($B319="","",D319-G319)</f>
      </c>
      <c r="J319" s="156">
        <f>IF($B319="","",F319-H319)</f>
      </c>
      <c r="K319" s="179">
        <f>IF($B319="","",MAX(_xlfn.MAXIFS(存条明细!B:B,存条明细!C:C,$B319,存条明细!D:D,$C319),_xlfn.MAXIFS(出库明细!B:B,出库明细!C:C,$B319,出库明细!D:D,$C319)))</f>
      </c>
    </row>
    <row r="320" ht="15" customHeight="1" s="71">
      <c r="A320" s="14">
        <f>IF(B320="","",ROW()-3)</f>
      </c>
      <c r="B320" s="14">
        <f>IF(_辅助!$B320="","",IF(_辅助!$B320&lt;=1000,INDEX(存条明细!$C$4:$C$1003,_辅助!$B320),INDEX(出库明细!$C$4:$C$3003,_辅助!$B320-1000)))</f>
      </c>
      <c r="C320" s="14">
        <f>IF(_辅助!$B320="","",IF(_辅助!$B320&lt;=1000,INDEX(存条明细!$D$4:$D$1003,_辅助!$B320),INDEX(出库明细!$D$4:$D$3003,_辅助!$B320-1000)))</f>
      </c>
      <c r="D320" s="14">
        <f>IF($B320="","",IFERROR(SUMIFS(存条明细!E:E,存条明细!C:C,$B320,存条明细!D:D,$C320),0))</f>
      </c>
      <c r="E320" s="156">
        <f>IF(OR($B320="",N(D320)=0),"",ROUND(F320/D320,2))</f>
      </c>
      <c r="F320" s="156">
        <f>IF($B320="","",IFERROR(SUMIFS(存条明细!G:G,存条明细!C:C,$B320,存条明细!D:D,$C320),0))</f>
      </c>
      <c r="G320" s="14">
        <f>IF($B320="","",IFERROR(SUMIFS(出库明细!E:E,出库明细!C:C,$B320,出库明细!D:D,$C320),0))</f>
      </c>
      <c r="H320" s="156">
        <f>IF($B320="","",IFERROR(SUMIFS(出库明细!G:G,出库明细!C:C,$B320,出库明细!D:D,$C320),0))</f>
      </c>
      <c r="I320" s="14">
        <f>IF($B320="","",D320-G320)</f>
      </c>
      <c r="J320" s="156">
        <f>IF($B320="","",F320-H320)</f>
      </c>
      <c r="K320" s="179">
        <f>IF($B320="","",MAX(_xlfn.MAXIFS(存条明细!B:B,存条明细!C:C,$B320,存条明细!D:D,$C320),_xlfn.MAXIFS(出库明细!B:B,出库明细!C:C,$B320,出库明细!D:D,$C320)))</f>
      </c>
    </row>
    <row r="321" ht="15" customHeight="1" s="71">
      <c r="A321" s="14">
        <f>IF(B321="","",ROW()-3)</f>
      </c>
      <c r="B321" s="14">
        <f>IF(_辅助!$B321="","",IF(_辅助!$B321&lt;=1000,INDEX(存条明细!$C$4:$C$1003,_辅助!$B321),INDEX(出库明细!$C$4:$C$3003,_辅助!$B321-1000)))</f>
      </c>
      <c r="C321" s="14">
        <f>IF(_辅助!$B321="","",IF(_辅助!$B321&lt;=1000,INDEX(存条明细!$D$4:$D$1003,_辅助!$B321),INDEX(出库明细!$D$4:$D$3003,_辅助!$B321-1000)))</f>
      </c>
      <c r="D321" s="14">
        <f>IF($B321="","",IFERROR(SUMIFS(存条明细!E:E,存条明细!C:C,$B321,存条明细!D:D,$C321),0))</f>
      </c>
      <c r="E321" s="156">
        <f>IF(OR($B321="",N(D321)=0),"",ROUND(F321/D321,2))</f>
      </c>
      <c r="F321" s="156">
        <f>IF($B321="","",IFERROR(SUMIFS(存条明细!G:G,存条明细!C:C,$B321,存条明细!D:D,$C321),0))</f>
      </c>
      <c r="G321" s="14">
        <f>IF($B321="","",IFERROR(SUMIFS(出库明细!E:E,出库明细!C:C,$B321,出库明细!D:D,$C321),0))</f>
      </c>
      <c r="H321" s="156">
        <f>IF($B321="","",IFERROR(SUMIFS(出库明细!G:G,出库明细!C:C,$B321,出库明细!D:D,$C321),0))</f>
      </c>
      <c r="I321" s="14">
        <f>IF($B321="","",D321-G321)</f>
      </c>
      <c r="J321" s="156">
        <f>IF($B321="","",F321-H321)</f>
      </c>
      <c r="K321" s="179">
        <f>IF($B321="","",MAX(_xlfn.MAXIFS(存条明细!B:B,存条明细!C:C,$B321,存条明细!D:D,$C321),_xlfn.MAXIFS(出库明细!B:B,出库明细!C:C,$B321,出库明细!D:D,$C321)))</f>
      </c>
    </row>
    <row r="322" ht="15" customHeight="1" s="71">
      <c r="A322" s="14">
        <f>IF(B322="","",ROW()-3)</f>
      </c>
      <c r="B322" s="14">
        <f>IF(_辅助!$B322="","",IF(_辅助!$B322&lt;=1000,INDEX(存条明细!$C$4:$C$1003,_辅助!$B322),INDEX(出库明细!$C$4:$C$3003,_辅助!$B322-1000)))</f>
      </c>
      <c r="C322" s="14">
        <f>IF(_辅助!$B322="","",IF(_辅助!$B322&lt;=1000,INDEX(存条明细!$D$4:$D$1003,_辅助!$B322),INDEX(出库明细!$D$4:$D$3003,_辅助!$B322-1000)))</f>
      </c>
      <c r="D322" s="14">
        <f>IF($B322="","",IFERROR(SUMIFS(存条明细!E:E,存条明细!C:C,$B322,存条明细!D:D,$C322),0))</f>
      </c>
      <c r="E322" s="156">
        <f>IF(OR($B322="",N(D322)=0),"",ROUND(F322/D322,2))</f>
      </c>
      <c r="F322" s="156">
        <f>IF($B322="","",IFERROR(SUMIFS(存条明细!G:G,存条明细!C:C,$B322,存条明细!D:D,$C322),0))</f>
      </c>
      <c r="G322" s="14">
        <f>IF($B322="","",IFERROR(SUMIFS(出库明细!E:E,出库明细!C:C,$B322,出库明细!D:D,$C322),0))</f>
      </c>
      <c r="H322" s="156">
        <f>IF($B322="","",IFERROR(SUMIFS(出库明细!G:G,出库明细!C:C,$B322,出库明细!D:D,$C322),0))</f>
      </c>
      <c r="I322" s="14">
        <f>IF($B322="","",D322-G322)</f>
      </c>
      <c r="J322" s="156">
        <f>IF($B322="","",F322-H322)</f>
      </c>
      <c r="K322" s="179">
        <f>IF($B322="","",MAX(_xlfn.MAXIFS(存条明细!B:B,存条明细!C:C,$B322,存条明细!D:D,$C322),_xlfn.MAXIFS(出库明细!B:B,出库明细!C:C,$B322,出库明细!D:D,$C322)))</f>
      </c>
    </row>
    <row r="323" ht="15" customHeight="1" s="71">
      <c r="A323" s="14">
        <f>IF(B323="","",ROW()-3)</f>
      </c>
      <c r="B323" s="14">
        <f>IF(_辅助!$B323="","",IF(_辅助!$B323&lt;=1000,INDEX(存条明细!$C$4:$C$1003,_辅助!$B323),INDEX(出库明细!$C$4:$C$3003,_辅助!$B323-1000)))</f>
      </c>
      <c r="C323" s="14">
        <f>IF(_辅助!$B323="","",IF(_辅助!$B323&lt;=1000,INDEX(存条明细!$D$4:$D$1003,_辅助!$B323),INDEX(出库明细!$D$4:$D$3003,_辅助!$B323-1000)))</f>
      </c>
      <c r="D323" s="14">
        <f>IF($B323="","",IFERROR(SUMIFS(存条明细!E:E,存条明细!C:C,$B323,存条明细!D:D,$C323),0))</f>
      </c>
      <c r="E323" s="156">
        <f>IF(OR($B323="",N(D323)=0),"",ROUND(F323/D323,2))</f>
      </c>
      <c r="F323" s="156">
        <f>IF($B323="","",IFERROR(SUMIFS(存条明细!G:G,存条明细!C:C,$B323,存条明细!D:D,$C323),0))</f>
      </c>
      <c r="G323" s="14">
        <f>IF($B323="","",IFERROR(SUMIFS(出库明细!E:E,出库明细!C:C,$B323,出库明细!D:D,$C323),0))</f>
      </c>
      <c r="H323" s="156">
        <f>IF($B323="","",IFERROR(SUMIFS(出库明细!G:G,出库明细!C:C,$B323,出库明细!D:D,$C323),0))</f>
      </c>
      <c r="I323" s="14">
        <f>IF($B323="","",D323-G323)</f>
      </c>
      <c r="J323" s="156">
        <f>IF($B323="","",F323-H323)</f>
      </c>
      <c r="K323" s="179">
        <f>IF($B323="","",MAX(_xlfn.MAXIFS(存条明细!B:B,存条明细!C:C,$B323,存条明细!D:D,$C323),_xlfn.MAXIFS(出库明细!B:B,出库明细!C:C,$B323,出库明细!D:D,$C323)))</f>
      </c>
    </row>
    <row r="324" ht="15" customHeight="1" s="71">
      <c r="A324" s="14">
        <f>IF(B324="","",ROW()-3)</f>
      </c>
      <c r="B324" s="14">
        <f>IF(_辅助!$B324="","",IF(_辅助!$B324&lt;=1000,INDEX(存条明细!$C$4:$C$1003,_辅助!$B324),INDEX(出库明细!$C$4:$C$3003,_辅助!$B324-1000)))</f>
      </c>
      <c r="C324" s="14">
        <f>IF(_辅助!$B324="","",IF(_辅助!$B324&lt;=1000,INDEX(存条明细!$D$4:$D$1003,_辅助!$B324),INDEX(出库明细!$D$4:$D$3003,_辅助!$B324-1000)))</f>
      </c>
      <c r="D324" s="14">
        <f>IF($B324="","",IFERROR(SUMIFS(存条明细!E:E,存条明细!C:C,$B324,存条明细!D:D,$C324),0))</f>
      </c>
      <c r="E324" s="156">
        <f>IF(OR($B324="",N(D324)=0),"",ROUND(F324/D324,2))</f>
      </c>
      <c r="F324" s="156">
        <f>IF($B324="","",IFERROR(SUMIFS(存条明细!G:G,存条明细!C:C,$B324,存条明细!D:D,$C324),0))</f>
      </c>
      <c r="G324" s="14">
        <f>IF($B324="","",IFERROR(SUMIFS(出库明细!E:E,出库明细!C:C,$B324,出库明细!D:D,$C324),0))</f>
      </c>
      <c r="H324" s="156">
        <f>IF($B324="","",IFERROR(SUMIFS(出库明细!G:G,出库明细!C:C,$B324,出库明细!D:D,$C324),0))</f>
      </c>
      <c r="I324" s="14">
        <f>IF($B324="","",D324-G324)</f>
      </c>
      <c r="J324" s="156">
        <f>IF($B324="","",F324-H324)</f>
      </c>
      <c r="K324" s="179">
        <f>IF($B324="","",MAX(_xlfn.MAXIFS(存条明细!B:B,存条明细!C:C,$B324,存条明细!D:D,$C324),_xlfn.MAXIFS(出库明细!B:B,出库明细!C:C,$B324,出库明细!D:D,$C324)))</f>
      </c>
    </row>
    <row r="325" ht="15" customHeight="1" s="71">
      <c r="A325" s="14">
        <f>IF(B325="","",ROW()-3)</f>
      </c>
      <c r="B325" s="14">
        <f>IF(_辅助!$B325="","",IF(_辅助!$B325&lt;=1000,INDEX(存条明细!$C$4:$C$1003,_辅助!$B325),INDEX(出库明细!$C$4:$C$3003,_辅助!$B325-1000)))</f>
      </c>
      <c r="C325" s="14">
        <f>IF(_辅助!$B325="","",IF(_辅助!$B325&lt;=1000,INDEX(存条明细!$D$4:$D$1003,_辅助!$B325),INDEX(出库明细!$D$4:$D$3003,_辅助!$B325-1000)))</f>
      </c>
      <c r="D325" s="14">
        <f>IF($B325="","",IFERROR(SUMIFS(存条明细!E:E,存条明细!C:C,$B325,存条明细!D:D,$C325),0))</f>
      </c>
      <c r="E325" s="156">
        <f>IF(OR($B325="",N(D325)=0),"",ROUND(F325/D325,2))</f>
      </c>
      <c r="F325" s="156">
        <f>IF($B325="","",IFERROR(SUMIFS(存条明细!G:G,存条明细!C:C,$B325,存条明细!D:D,$C325),0))</f>
      </c>
      <c r="G325" s="14">
        <f>IF($B325="","",IFERROR(SUMIFS(出库明细!E:E,出库明细!C:C,$B325,出库明细!D:D,$C325),0))</f>
      </c>
      <c r="H325" s="156">
        <f>IF($B325="","",IFERROR(SUMIFS(出库明细!G:G,出库明细!C:C,$B325,出库明细!D:D,$C325),0))</f>
      </c>
      <c r="I325" s="14">
        <f>IF($B325="","",D325-G325)</f>
      </c>
      <c r="J325" s="156">
        <f>IF($B325="","",F325-H325)</f>
      </c>
      <c r="K325" s="179">
        <f>IF($B325="","",MAX(_xlfn.MAXIFS(存条明细!B:B,存条明细!C:C,$B325,存条明细!D:D,$C325),_xlfn.MAXIFS(出库明细!B:B,出库明细!C:C,$B325,出库明细!D:D,$C325)))</f>
      </c>
    </row>
    <row r="326" ht="15" customHeight="1" s="71">
      <c r="A326" s="14">
        <f>IF(B326="","",ROW()-3)</f>
      </c>
      <c r="B326" s="14">
        <f>IF(_辅助!$B326="","",IF(_辅助!$B326&lt;=1000,INDEX(存条明细!$C$4:$C$1003,_辅助!$B326),INDEX(出库明细!$C$4:$C$3003,_辅助!$B326-1000)))</f>
      </c>
      <c r="C326" s="14">
        <f>IF(_辅助!$B326="","",IF(_辅助!$B326&lt;=1000,INDEX(存条明细!$D$4:$D$1003,_辅助!$B326),INDEX(出库明细!$D$4:$D$3003,_辅助!$B326-1000)))</f>
      </c>
      <c r="D326" s="14">
        <f>IF($B326="","",IFERROR(SUMIFS(存条明细!E:E,存条明细!C:C,$B326,存条明细!D:D,$C326),0))</f>
      </c>
      <c r="E326" s="156">
        <f>IF(OR($B326="",N(D326)=0),"",ROUND(F326/D326,2))</f>
      </c>
      <c r="F326" s="156">
        <f>IF($B326="","",IFERROR(SUMIFS(存条明细!G:G,存条明细!C:C,$B326,存条明细!D:D,$C326),0))</f>
      </c>
      <c r="G326" s="14">
        <f>IF($B326="","",IFERROR(SUMIFS(出库明细!E:E,出库明细!C:C,$B326,出库明细!D:D,$C326),0))</f>
      </c>
      <c r="H326" s="156">
        <f>IF($B326="","",IFERROR(SUMIFS(出库明细!G:G,出库明细!C:C,$B326,出库明细!D:D,$C326),0))</f>
      </c>
      <c r="I326" s="14">
        <f>IF($B326="","",D326-G326)</f>
      </c>
      <c r="J326" s="156">
        <f>IF($B326="","",F326-H326)</f>
      </c>
      <c r="K326" s="179">
        <f>IF($B326="","",MAX(_xlfn.MAXIFS(存条明细!B:B,存条明细!C:C,$B326,存条明细!D:D,$C326),_xlfn.MAXIFS(出库明细!B:B,出库明细!C:C,$B326,出库明细!D:D,$C326)))</f>
      </c>
    </row>
    <row r="327" ht="15" customHeight="1" s="71">
      <c r="A327" s="14">
        <f>IF(B327="","",ROW()-3)</f>
      </c>
      <c r="B327" s="14">
        <f>IF(_辅助!$B327="","",IF(_辅助!$B327&lt;=1000,INDEX(存条明细!$C$4:$C$1003,_辅助!$B327),INDEX(出库明细!$C$4:$C$3003,_辅助!$B327-1000)))</f>
      </c>
      <c r="C327" s="14">
        <f>IF(_辅助!$B327="","",IF(_辅助!$B327&lt;=1000,INDEX(存条明细!$D$4:$D$1003,_辅助!$B327),INDEX(出库明细!$D$4:$D$3003,_辅助!$B327-1000)))</f>
      </c>
      <c r="D327" s="14">
        <f>IF($B327="","",IFERROR(SUMIFS(存条明细!E:E,存条明细!C:C,$B327,存条明细!D:D,$C327),0))</f>
      </c>
      <c r="E327" s="156">
        <f>IF(OR($B327="",N(D327)=0),"",ROUND(F327/D327,2))</f>
      </c>
      <c r="F327" s="156">
        <f>IF($B327="","",IFERROR(SUMIFS(存条明细!G:G,存条明细!C:C,$B327,存条明细!D:D,$C327),0))</f>
      </c>
      <c r="G327" s="14">
        <f>IF($B327="","",IFERROR(SUMIFS(出库明细!E:E,出库明细!C:C,$B327,出库明细!D:D,$C327),0))</f>
      </c>
      <c r="H327" s="156">
        <f>IF($B327="","",IFERROR(SUMIFS(出库明细!G:G,出库明细!C:C,$B327,出库明细!D:D,$C327),0))</f>
      </c>
      <c r="I327" s="14">
        <f>IF($B327="","",D327-G327)</f>
      </c>
      <c r="J327" s="156">
        <f>IF($B327="","",F327-H327)</f>
      </c>
      <c r="K327" s="179">
        <f>IF($B327="","",MAX(_xlfn.MAXIFS(存条明细!B:B,存条明细!C:C,$B327,存条明细!D:D,$C327),_xlfn.MAXIFS(出库明细!B:B,出库明细!C:C,$B327,出库明细!D:D,$C327)))</f>
      </c>
    </row>
    <row r="328" ht="15" customHeight="1" s="71">
      <c r="A328" s="14">
        <f>IF(B328="","",ROW()-3)</f>
      </c>
      <c r="B328" s="14">
        <f>IF(_辅助!$B328="","",IF(_辅助!$B328&lt;=1000,INDEX(存条明细!$C$4:$C$1003,_辅助!$B328),INDEX(出库明细!$C$4:$C$3003,_辅助!$B328-1000)))</f>
      </c>
      <c r="C328" s="14">
        <f>IF(_辅助!$B328="","",IF(_辅助!$B328&lt;=1000,INDEX(存条明细!$D$4:$D$1003,_辅助!$B328),INDEX(出库明细!$D$4:$D$3003,_辅助!$B328-1000)))</f>
      </c>
      <c r="D328" s="14">
        <f>IF($B328="","",IFERROR(SUMIFS(存条明细!E:E,存条明细!C:C,$B328,存条明细!D:D,$C328),0))</f>
      </c>
      <c r="E328" s="156">
        <f>IF(OR($B328="",N(D328)=0),"",ROUND(F328/D328,2))</f>
      </c>
      <c r="F328" s="156">
        <f>IF($B328="","",IFERROR(SUMIFS(存条明细!G:G,存条明细!C:C,$B328,存条明细!D:D,$C328),0))</f>
      </c>
      <c r="G328" s="14">
        <f>IF($B328="","",IFERROR(SUMIFS(出库明细!E:E,出库明细!C:C,$B328,出库明细!D:D,$C328),0))</f>
      </c>
      <c r="H328" s="156">
        <f>IF($B328="","",IFERROR(SUMIFS(出库明细!G:G,出库明细!C:C,$B328,出库明细!D:D,$C328),0))</f>
      </c>
      <c r="I328" s="14">
        <f>IF($B328="","",D328-G328)</f>
      </c>
      <c r="J328" s="156">
        <f>IF($B328="","",F328-H328)</f>
      </c>
      <c r="K328" s="179">
        <f>IF($B328="","",MAX(_xlfn.MAXIFS(存条明细!B:B,存条明细!C:C,$B328,存条明细!D:D,$C328),_xlfn.MAXIFS(出库明细!B:B,出库明细!C:C,$B328,出库明细!D:D,$C328)))</f>
      </c>
    </row>
    <row r="329" ht="15" customHeight="1" s="71">
      <c r="A329" s="14">
        <f>IF(B329="","",ROW()-3)</f>
      </c>
      <c r="B329" s="14">
        <f>IF(_辅助!$B329="","",IF(_辅助!$B329&lt;=1000,INDEX(存条明细!$C$4:$C$1003,_辅助!$B329),INDEX(出库明细!$C$4:$C$3003,_辅助!$B329-1000)))</f>
      </c>
      <c r="C329" s="14">
        <f>IF(_辅助!$B329="","",IF(_辅助!$B329&lt;=1000,INDEX(存条明细!$D$4:$D$1003,_辅助!$B329),INDEX(出库明细!$D$4:$D$3003,_辅助!$B329-1000)))</f>
      </c>
      <c r="D329" s="14">
        <f>IF($B329="","",IFERROR(SUMIFS(存条明细!E:E,存条明细!C:C,$B329,存条明细!D:D,$C329),0))</f>
      </c>
      <c r="E329" s="156">
        <f>IF(OR($B329="",N(D329)=0),"",ROUND(F329/D329,2))</f>
      </c>
      <c r="F329" s="156">
        <f>IF($B329="","",IFERROR(SUMIFS(存条明细!G:G,存条明细!C:C,$B329,存条明细!D:D,$C329),0))</f>
      </c>
      <c r="G329" s="14">
        <f>IF($B329="","",IFERROR(SUMIFS(出库明细!E:E,出库明细!C:C,$B329,出库明细!D:D,$C329),0))</f>
      </c>
      <c r="H329" s="156">
        <f>IF($B329="","",IFERROR(SUMIFS(出库明细!G:G,出库明细!C:C,$B329,出库明细!D:D,$C329),0))</f>
      </c>
      <c r="I329" s="14">
        <f>IF($B329="","",D329-G329)</f>
      </c>
      <c r="J329" s="156">
        <f>IF($B329="","",F329-H329)</f>
      </c>
      <c r="K329" s="179">
        <f>IF($B329="","",MAX(_xlfn.MAXIFS(存条明细!B:B,存条明细!C:C,$B329,存条明细!D:D,$C329),_xlfn.MAXIFS(出库明细!B:B,出库明细!C:C,$B329,出库明细!D:D,$C329)))</f>
      </c>
    </row>
    <row r="330" ht="15" customHeight="1" s="71">
      <c r="A330" s="14">
        <f>IF(B330="","",ROW()-3)</f>
      </c>
      <c r="B330" s="14">
        <f>IF(_辅助!$B330="","",IF(_辅助!$B330&lt;=1000,INDEX(存条明细!$C$4:$C$1003,_辅助!$B330),INDEX(出库明细!$C$4:$C$3003,_辅助!$B330-1000)))</f>
      </c>
      <c r="C330" s="14">
        <f>IF(_辅助!$B330="","",IF(_辅助!$B330&lt;=1000,INDEX(存条明细!$D$4:$D$1003,_辅助!$B330),INDEX(出库明细!$D$4:$D$3003,_辅助!$B330-1000)))</f>
      </c>
      <c r="D330" s="14">
        <f>IF($B330="","",IFERROR(SUMIFS(存条明细!E:E,存条明细!C:C,$B330,存条明细!D:D,$C330),0))</f>
      </c>
      <c r="E330" s="156">
        <f>IF(OR($B330="",N(D330)=0),"",ROUND(F330/D330,2))</f>
      </c>
      <c r="F330" s="156">
        <f>IF($B330="","",IFERROR(SUMIFS(存条明细!G:G,存条明细!C:C,$B330,存条明细!D:D,$C330),0))</f>
      </c>
      <c r="G330" s="14">
        <f>IF($B330="","",IFERROR(SUMIFS(出库明细!E:E,出库明细!C:C,$B330,出库明细!D:D,$C330),0))</f>
      </c>
      <c r="H330" s="156">
        <f>IF($B330="","",IFERROR(SUMIFS(出库明细!G:G,出库明细!C:C,$B330,出库明细!D:D,$C330),0))</f>
      </c>
      <c r="I330" s="14">
        <f>IF($B330="","",D330-G330)</f>
      </c>
      <c r="J330" s="156">
        <f>IF($B330="","",F330-H330)</f>
      </c>
      <c r="K330" s="179">
        <f>IF($B330="","",MAX(_xlfn.MAXIFS(存条明细!B:B,存条明细!C:C,$B330,存条明细!D:D,$C330),_xlfn.MAXIFS(出库明细!B:B,出库明细!C:C,$B330,出库明细!D:D,$C330)))</f>
      </c>
    </row>
    <row r="331" ht="15" customHeight="1" s="71">
      <c r="A331" s="14">
        <f>IF(B331="","",ROW()-3)</f>
      </c>
      <c r="B331" s="14">
        <f>IF(_辅助!$B331="","",IF(_辅助!$B331&lt;=1000,INDEX(存条明细!$C$4:$C$1003,_辅助!$B331),INDEX(出库明细!$C$4:$C$3003,_辅助!$B331-1000)))</f>
      </c>
      <c r="C331" s="14">
        <f>IF(_辅助!$B331="","",IF(_辅助!$B331&lt;=1000,INDEX(存条明细!$D$4:$D$1003,_辅助!$B331),INDEX(出库明细!$D$4:$D$3003,_辅助!$B331-1000)))</f>
      </c>
      <c r="D331" s="14">
        <f>IF($B331="","",IFERROR(SUMIFS(存条明细!E:E,存条明细!C:C,$B331,存条明细!D:D,$C331),0))</f>
      </c>
      <c r="E331" s="156">
        <f>IF(OR($B331="",N(D331)=0),"",ROUND(F331/D331,2))</f>
      </c>
      <c r="F331" s="156">
        <f>IF($B331="","",IFERROR(SUMIFS(存条明细!G:G,存条明细!C:C,$B331,存条明细!D:D,$C331),0))</f>
      </c>
      <c r="G331" s="14">
        <f>IF($B331="","",IFERROR(SUMIFS(出库明细!E:E,出库明细!C:C,$B331,出库明细!D:D,$C331),0))</f>
      </c>
      <c r="H331" s="156">
        <f>IF($B331="","",IFERROR(SUMIFS(出库明细!G:G,出库明细!C:C,$B331,出库明细!D:D,$C331),0))</f>
      </c>
      <c r="I331" s="14">
        <f>IF($B331="","",D331-G331)</f>
      </c>
      <c r="J331" s="156">
        <f>IF($B331="","",F331-H331)</f>
      </c>
      <c r="K331" s="179">
        <f>IF($B331="","",MAX(_xlfn.MAXIFS(存条明细!B:B,存条明细!C:C,$B331,存条明细!D:D,$C331),_xlfn.MAXIFS(出库明细!B:B,出库明细!C:C,$B331,出库明细!D:D,$C331)))</f>
      </c>
    </row>
    <row r="332" ht="15" customHeight="1" s="71">
      <c r="A332" s="14">
        <f>IF(B332="","",ROW()-3)</f>
      </c>
      <c r="B332" s="14">
        <f>IF(_辅助!$B332="","",IF(_辅助!$B332&lt;=1000,INDEX(存条明细!$C$4:$C$1003,_辅助!$B332),INDEX(出库明细!$C$4:$C$3003,_辅助!$B332-1000)))</f>
      </c>
      <c r="C332" s="14">
        <f>IF(_辅助!$B332="","",IF(_辅助!$B332&lt;=1000,INDEX(存条明细!$D$4:$D$1003,_辅助!$B332),INDEX(出库明细!$D$4:$D$3003,_辅助!$B332-1000)))</f>
      </c>
      <c r="D332" s="14">
        <f>IF($B332="","",IFERROR(SUMIFS(存条明细!E:E,存条明细!C:C,$B332,存条明细!D:D,$C332),0))</f>
      </c>
      <c r="E332" s="156">
        <f>IF(OR($B332="",N(D332)=0),"",ROUND(F332/D332,2))</f>
      </c>
      <c r="F332" s="156">
        <f>IF($B332="","",IFERROR(SUMIFS(存条明细!G:G,存条明细!C:C,$B332,存条明细!D:D,$C332),0))</f>
      </c>
      <c r="G332" s="14">
        <f>IF($B332="","",IFERROR(SUMIFS(出库明细!E:E,出库明细!C:C,$B332,出库明细!D:D,$C332),0))</f>
      </c>
      <c r="H332" s="156">
        <f>IF($B332="","",IFERROR(SUMIFS(出库明细!G:G,出库明细!C:C,$B332,出库明细!D:D,$C332),0))</f>
      </c>
      <c r="I332" s="14">
        <f>IF($B332="","",D332-G332)</f>
      </c>
      <c r="J332" s="156">
        <f>IF($B332="","",F332-H332)</f>
      </c>
      <c r="K332" s="179">
        <f>IF($B332="","",MAX(_xlfn.MAXIFS(存条明细!B:B,存条明细!C:C,$B332,存条明细!D:D,$C332),_xlfn.MAXIFS(出库明细!B:B,出库明细!C:C,$B332,出库明细!D:D,$C332)))</f>
      </c>
    </row>
    <row r="333" ht="15" customHeight="1" s="71">
      <c r="A333" s="14">
        <f>IF(B333="","",ROW()-3)</f>
      </c>
      <c r="B333" s="14">
        <f>IF(_辅助!$B333="","",IF(_辅助!$B333&lt;=1000,INDEX(存条明细!$C$4:$C$1003,_辅助!$B333),INDEX(出库明细!$C$4:$C$3003,_辅助!$B333-1000)))</f>
      </c>
      <c r="C333" s="14">
        <f>IF(_辅助!$B333="","",IF(_辅助!$B333&lt;=1000,INDEX(存条明细!$D$4:$D$1003,_辅助!$B333),INDEX(出库明细!$D$4:$D$3003,_辅助!$B333-1000)))</f>
      </c>
      <c r="D333" s="14">
        <f>IF($B333="","",IFERROR(SUMIFS(存条明细!E:E,存条明细!C:C,$B333,存条明细!D:D,$C333),0))</f>
      </c>
      <c r="E333" s="156">
        <f>IF(OR($B333="",N(D333)=0),"",ROUND(F333/D333,2))</f>
      </c>
      <c r="F333" s="156">
        <f>IF($B333="","",IFERROR(SUMIFS(存条明细!G:G,存条明细!C:C,$B333,存条明细!D:D,$C333),0))</f>
      </c>
      <c r="G333" s="14">
        <f>IF($B333="","",IFERROR(SUMIFS(出库明细!E:E,出库明细!C:C,$B333,出库明细!D:D,$C333),0))</f>
      </c>
      <c r="H333" s="156">
        <f>IF($B333="","",IFERROR(SUMIFS(出库明细!G:G,出库明细!C:C,$B333,出库明细!D:D,$C333),0))</f>
      </c>
      <c r="I333" s="14">
        <f>IF($B333="","",D333-G333)</f>
      </c>
      <c r="J333" s="156">
        <f>IF($B333="","",F333-H333)</f>
      </c>
      <c r="K333" s="179">
        <f>IF($B333="","",MAX(_xlfn.MAXIFS(存条明细!B:B,存条明细!C:C,$B333,存条明细!D:D,$C333),_xlfn.MAXIFS(出库明细!B:B,出库明细!C:C,$B333,出库明细!D:D,$C333)))</f>
      </c>
    </row>
    <row r="334" ht="15" customHeight="1" s="71">
      <c r="A334" s="14">
        <f>IF(B334="","",ROW()-3)</f>
      </c>
      <c r="B334" s="14">
        <f>IF(_辅助!$B334="","",IF(_辅助!$B334&lt;=1000,INDEX(存条明细!$C$4:$C$1003,_辅助!$B334),INDEX(出库明细!$C$4:$C$3003,_辅助!$B334-1000)))</f>
      </c>
      <c r="C334" s="14">
        <f>IF(_辅助!$B334="","",IF(_辅助!$B334&lt;=1000,INDEX(存条明细!$D$4:$D$1003,_辅助!$B334),INDEX(出库明细!$D$4:$D$3003,_辅助!$B334-1000)))</f>
      </c>
      <c r="D334" s="14">
        <f>IF($B334="","",IFERROR(SUMIFS(存条明细!E:E,存条明细!C:C,$B334,存条明细!D:D,$C334),0))</f>
      </c>
      <c r="E334" s="156">
        <f>IF(OR($B334="",N(D334)=0),"",ROUND(F334/D334,2))</f>
      </c>
      <c r="F334" s="156">
        <f>IF($B334="","",IFERROR(SUMIFS(存条明细!G:G,存条明细!C:C,$B334,存条明细!D:D,$C334),0))</f>
      </c>
      <c r="G334" s="14">
        <f>IF($B334="","",IFERROR(SUMIFS(出库明细!E:E,出库明细!C:C,$B334,出库明细!D:D,$C334),0))</f>
      </c>
      <c r="H334" s="156">
        <f>IF($B334="","",IFERROR(SUMIFS(出库明细!G:G,出库明细!C:C,$B334,出库明细!D:D,$C334),0))</f>
      </c>
      <c r="I334" s="14">
        <f>IF($B334="","",D334-G334)</f>
      </c>
      <c r="J334" s="156">
        <f>IF($B334="","",F334-H334)</f>
      </c>
      <c r="K334" s="179">
        <f>IF($B334="","",MAX(_xlfn.MAXIFS(存条明细!B:B,存条明细!C:C,$B334,存条明细!D:D,$C334),_xlfn.MAXIFS(出库明细!B:B,出库明细!C:C,$B334,出库明细!D:D,$C334)))</f>
      </c>
    </row>
    <row r="335" ht="15" customHeight="1" s="71">
      <c r="A335" s="14">
        <f>IF(B335="","",ROW()-3)</f>
      </c>
      <c r="B335" s="14">
        <f>IF(_辅助!$B335="","",IF(_辅助!$B335&lt;=1000,INDEX(存条明细!$C$4:$C$1003,_辅助!$B335),INDEX(出库明细!$C$4:$C$3003,_辅助!$B335-1000)))</f>
      </c>
      <c r="C335" s="14">
        <f>IF(_辅助!$B335="","",IF(_辅助!$B335&lt;=1000,INDEX(存条明细!$D$4:$D$1003,_辅助!$B335),INDEX(出库明细!$D$4:$D$3003,_辅助!$B335-1000)))</f>
      </c>
      <c r="D335" s="14">
        <f>IF($B335="","",IFERROR(SUMIFS(存条明细!E:E,存条明细!C:C,$B335,存条明细!D:D,$C335),0))</f>
      </c>
      <c r="E335" s="156">
        <f>IF(OR($B335="",N(D335)=0),"",ROUND(F335/D335,2))</f>
      </c>
      <c r="F335" s="156">
        <f>IF($B335="","",IFERROR(SUMIFS(存条明细!G:G,存条明细!C:C,$B335,存条明细!D:D,$C335),0))</f>
      </c>
      <c r="G335" s="14">
        <f>IF($B335="","",IFERROR(SUMIFS(出库明细!E:E,出库明细!C:C,$B335,出库明细!D:D,$C335),0))</f>
      </c>
      <c r="H335" s="156">
        <f>IF($B335="","",IFERROR(SUMIFS(出库明细!G:G,出库明细!C:C,$B335,出库明细!D:D,$C335),0))</f>
      </c>
      <c r="I335" s="14">
        <f>IF($B335="","",D335-G335)</f>
      </c>
      <c r="J335" s="156">
        <f>IF($B335="","",F335-H335)</f>
      </c>
      <c r="K335" s="179">
        <f>IF($B335="","",MAX(_xlfn.MAXIFS(存条明细!B:B,存条明细!C:C,$B335,存条明细!D:D,$C335),_xlfn.MAXIFS(出库明细!B:B,出库明细!C:C,$B335,出库明细!D:D,$C335)))</f>
      </c>
    </row>
    <row r="336" ht="15" customHeight="1" s="71">
      <c r="A336" s="14">
        <f>IF(B336="","",ROW()-3)</f>
      </c>
      <c r="B336" s="14">
        <f>IF(_辅助!$B336="","",IF(_辅助!$B336&lt;=1000,INDEX(存条明细!$C$4:$C$1003,_辅助!$B336),INDEX(出库明细!$C$4:$C$3003,_辅助!$B336-1000)))</f>
      </c>
      <c r="C336" s="14">
        <f>IF(_辅助!$B336="","",IF(_辅助!$B336&lt;=1000,INDEX(存条明细!$D$4:$D$1003,_辅助!$B336),INDEX(出库明细!$D$4:$D$3003,_辅助!$B336-1000)))</f>
      </c>
      <c r="D336" s="14">
        <f>IF($B336="","",IFERROR(SUMIFS(存条明细!E:E,存条明细!C:C,$B336,存条明细!D:D,$C336),0))</f>
      </c>
      <c r="E336" s="156">
        <f>IF(OR($B336="",N(D336)=0),"",ROUND(F336/D336,2))</f>
      </c>
      <c r="F336" s="156">
        <f>IF($B336="","",IFERROR(SUMIFS(存条明细!G:G,存条明细!C:C,$B336,存条明细!D:D,$C336),0))</f>
      </c>
      <c r="G336" s="14">
        <f>IF($B336="","",IFERROR(SUMIFS(出库明细!E:E,出库明细!C:C,$B336,出库明细!D:D,$C336),0))</f>
      </c>
      <c r="H336" s="156">
        <f>IF($B336="","",IFERROR(SUMIFS(出库明细!G:G,出库明细!C:C,$B336,出库明细!D:D,$C336),0))</f>
      </c>
      <c r="I336" s="14">
        <f>IF($B336="","",D336-G336)</f>
      </c>
      <c r="J336" s="156">
        <f>IF($B336="","",F336-H336)</f>
      </c>
      <c r="K336" s="179">
        <f>IF($B336="","",MAX(_xlfn.MAXIFS(存条明细!B:B,存条明细!C:C,$B336,存条明细!D:D,$C336),_xlfn.MAXIFS(出库明细!B:B,出库明细!C:C,$B336,出库明细!D:D,$C336)))</f>
      </c>
    </row>
    <row r="337" ht="15" customHeight="1" s="71">
      <c r="A337" s="14">
        <f>IF(B337="","",ROW()-3)</f>
      </c>
      <c r="B337" s="14">
        <f>IF(_辅助!$B337="","",IF(_辅助!$B337&lt;=1000,INDEX(存条明细!$C$4:$C$1003,_辅助!$B337),INDEX(出库明细!$C$4:$C$3003,_辅助!$B337-1000)))</f>
      </c>
      <c r="C337" s="14">
        <f>IF(_辅助!$B337="","",IF(_辅助!$B337&lt;=1000,INDEX(存条明细!$D$4:$D$1003,_辅助!$B337),INDEX(出库明细!$D$4:$D$3003,_辅助!$B337-1000)))</f>
      </c>
      <c r="D337" s="14">
        <f>IF($B337="","",IFERROR(SUMIFS(存条明细!E:E,存条明细!C:C,$B337,存条明细!D:D,$C337),0))</f>
      </c>
      <c r="E337" s="156">
        <f>IF(OR($B337="",N(D337)=0),"",ROUND(F337/D337,2))</f>
      </c>
      <c r="F337" s="156">
        <f>IF($B337="","",IFERROR(SUMIFS(存条明细!G:G,存条明细!C:C,$B337,存条明细!D:D,$C337),0))</f>
      </c>
      <c r="G337" s="14">
        <f>IF($B337="","",IFERROR(SUMIFS(出库明细!E:E,出库明细!C:C,$B337,出库明细!D:D,$C337),0))</f>
      </c>
      <c r="H337" s="156">
        <f>IF($B337="","",IFERROR(SUMIFS(出库明细!G:G,出库明细!C:C,$B337,出库明细!D:D,$C337),0))</f>
      </c>
      <c r="I337" s="14">
        <f>IF($B337="","",D337-G337)</f>
      </c>
      <c r="J337" s="156">
        <f>IF($B337="","",F337-H337)</f>
      </c>
      <c r="K337" s="179">
        <f>IF($B337="","",MAX(_xlfn.MAXIFS(存条明细!B:B,存条明细!C:C,$B337,存条明细!D:D,$C337),_xlfn.MAXIFS(出库明细!B:B,出库明细!C:C,$B337,出库明细!D:D,$C337)))</f>
      </c>
    </row>
    <row r="338" ht="15" customHeight="1" s="71">
      <c r="A338" s="14">
        <f>IF(B338="","",ROW()-3)</f>
      </c>
      <c r="B338" s="14">
        <f>IF(_辅助!$B338="","",IF(_辅助!$B338&lt;=1000,INDEX(存条明细!$C$4:$C$1003,_辅助!$B338),INDEX(出库明细!$C$4:$C$3003,_辅助!$B338-1000)))</f>
      </c>
      <c r="C338" s="14">
        <f>IF(_辅助!$B338="","",IF(_辅助!$B338&lt;=1000,INDEX(存条明细!$D$4:$D$1003,_辅助!$B338),INDEX(出库明细!$D$4:$D$3003,_辅助!$B338-1000)))</f>
      </c>
      <c r="D338" s="14">
        <f>IF($B338="","",IFERROR(SUMIFS(存条明细!E:E,存条明细!C:C,$B338,存条明细!D:D,$C338),0))</f>
      </c>
      <c r="E338" s="156">
        <f>IF(OR($B338="",N(D338)=0),"",ROUND(F338/D338,2))</f>
      </c>
      <c r="F338" s="156">
        <f>IF($B338="","",IFERROR(SUMIFS(存条明细!G:G,存条明细!C:C,$B338,存条明细!D:D,$C338),0))</f>
      </c>
      <c r="G338" s="14">
        <f>IF($B338="","",IFERROR(SUMIFS(出库明细!E:E,出库明细!C:C,$B338,出库明细!D:D,$C338),0))</f>
      </c>
      <c r="H338" s="156">
        <f>IF($B338="","",IFERROR(SUMIFS(出库明细!G:G,出库明细!C:C,$B338,出库明细!D:D,$C338),0))</f>
      </c>
      <c r="I338" s="14">
        <f>IF($B338="","",D338-G338)</f>
      </c>
      <c r="J338" s="156">
        <f>IF($B338="","",F338-H338)</f>
      </c>
      <c r="K338" s="179">
        <f>IF($B338="","",MAX(_xlfn.MAXIFS(存条明细!B:B,存条明细!C:C,$B338,存条明细!D:D,$C338),_xlfn.MAXIFS(出库明细!B:B,出库明细!C:C,$B338,出库明细!D:D,$C338)))</f>
      </c>
    </row>
    <row r="339" ht="15" customHeight="1" s="71">
      <c r="A339" s="14">
        <f>IF(B339="","",ROW()-3)</f>
      </c>
      <c r="B339" s="14">
        <f>IF(_辅助!$B339="","",IF(_辅助!$B339&lt;=1000,INDEX(存条明细!$C$4:$C$1003,_辅助!$B339),INDEX(出库明细!$C$4:$C$3003,_辅助!$B339-1000)))</f>
      </c>
      <c r="C339" s="14">
        <f>IF(_辅助!$B339="","",IF(_辅助!$B339&lt;=1000,INDEX(存条明细!$D$4:$D$1003,_辅助!$B339),INDEX(出库明细!$D$4:$D$3003,_辅助!$B339-1000)))</f>
      </c>
      <c r="D339" s="14">
        <f>IF($B339="","",IFERROR(SUMIFS(存条明细!E:E,存条明细!C:C,$B339,存条明细!D:D,$C339),0))</f>
      </c>
      <c r="E339" s="156">
        <f>IF(OR($B339="",N(D339)=0),"",ROUND(F339/D339,2))</f>
      </c>
      <c r="F339" s="156">
        <f>IF($B339="","",IFERROR(SUMIFS(存条明细!G:G,存条明细!C:C,$B339,存条明细!D:D,$C339),0))</f>
      </c>
      <c r="G339" s="14">
        <f>IF($B339="","",IFERROR(SUMIFS(出库明细!E:E,出库明细!C:C,$B339,出库明细!D:D,$C339),0))</f>
      </c>
      <c r="H339" s="156">
        <f>IF($B339="","",IFERROR(SUMIFS(出库明细!G:G,出库明细!C:C,$B339,出库明细!D:D,$C339),0))</f>
      </c>
      <c r="I339" s="14">
        <f>IF($B339="","",D339-G339)</f>
      </c>
      <c r="J339" s="156">
        <f>IF($B339="","",F339-H339)</f>
      </c>
      <c r="K339" s="179">
        <f>IF($B339="","",MAX(_xlfn.MAXIFS(存条明细!B:B,存条明细!C:C,$B339,存条明细!D:D,$C339),_xlfn.MAXIFS(出库明细!B:B,出库明细!C:C,$B339,出库明细!D:D,$C339)))</f>
      </c>
    </row>
    <row r="340" ht="15" customHeight="1" s="71">
      <c r="A340" s="14">
        <f>IF(B340="","",ROW()-3)</f>
      </c>
      <c r="B340" s="14">
        <f>IF(_辅助!$B340="","",IF(_辅助!$B340&lt;=1000,INDEX(存条明细!$C$4:$C$1003,_辅助!$B340),INDEX(出库明细!$C$4:$C$3003,_辅助!$B340-1000)))</f>
      </c>
      <c r="C340" s="14">
        <f>IF(_辅助!$B340="","",IF(_辅助!$B340&lt;=1000,INDEX(存条明细!$D$4:$D$1003,_辅助!$B340),INDEX(出库明细!$D$4:$D$3003,_辅助!$B340-1000)))</f>
      </c>
      <c r="D340" s="14">
        <f>IF($B340="","",IFERROR(SUMIFS(存条明细!E:E,存条明细!C:C,$B340,存条明细!D:D,$C340),0))</f>
      </c>
      <c r="E340" s="156">
        <f>IF(OR($B340="",N(D340)=0),"",ROUND(F340/D340,2))</f>
      </c>
      <c r="F340" s="156">
        <f>IF($B340="","",IFERROR(SUMIFS(存条明细!G:G,存条明细!C:C,$B340,存条明细!D:D,$C340),0))</f>
      </c>
      <c r="G340" s="14">
        <f>IF($B340="","",IFERROR(SUMIFS(出库明细!E:E,出库明细!C:C,$B340,出库明细!D:D,$C340),0))</f>
      </c>
      <c r="H340" s="156">
        <f>IF($B340="","",IFERROR(SUMIFS(出库明细!G:G,出库明细!C:C,$B340,出库明细!D:D,$C340),0))</f>
      </c>
      <c r="I340" s="14">
        <f>IF($B340="","",D340-G340)</f>
      </c>
      <c r="J340" s="156">
        <f>IF($B340="","",F340-H340)</f>
      </c>
      <c r="K340" s="179">
        <f>IF($B340="","",MAX(_xlfn.MAXIFS(存条明细!B:B,存条明细!C:C,$B340,存条明细!D:D,$C340),_xlfn.MAXIFS(出库明细!B:B,出库明细!C:C,$B340,出库明细!D:D,$C340)))</f>
      </c>
    </row>
    <row r="341" ht="15" customHeight="1" s="71">
      <c r="A341" s="14">
        <f>IF(B341="","",ROW()-3)</f>
      </c>
      <c r="B341" s="14">
        <f>IF(_辅助!$B341="","",IF(_辅助!$B341&lt;=1000,INDEX(存条明细!$C$4:$C$1003,_辅助!$B341),INDEX(出库明细!$C$4:$C$3003,_辅助!$B341-1000)))</f>
      </c>
      <c r="C341" s="14">
        <f>IF(_辅助!$B341="","",IF(_辅助!$B341&lt;=1000,INDEX(存条明细!$D$4:$D$1003,_辅助!$B341),INDEX(出库明细!$D$4:$D$3003,_辅助!$B341-1000)))</f>
      </c>
      <c r="D341" s="14">
        <f>IF($B341="","",IFERROR(SUMIFS(存条明细!E:E,存条明细!C:C,$B341,存条明细!D:D,$C341),0))</f>
      </c>
      <c r="E341" s="156">
        <f>IF(OR($B341="",N(D341)=0),"",ROUND(F341/D341,2))</f>
      </c>
      <c r="F341" s="156">
        <f>IF($B341="","",IFERROR(SUMIFS(存条明细!G:G,存条明细!C:C,$B341,存条明细!D:D,$C341),0))</f>
      </c>
      <c r="G341" s="14">
        <f>IF($B341="","",IFERROR(SUMIFS(出库明细!E:E,出库明细!C:C,$B341,出库明细!D:D,$C341),0))</f>
      </c>
      <c r="H341" s="156">
        <f>IF($B341="","",IFERROR(SUMIFS(出库明细!G:G,出库明细!C:C,$B341,出库明细!D:D,$C341),0))</f>
      </c>
      <c r="I341" s="14">
        <f>IF($B341="","",D341-G341)</f>
      </c>
      <c r="J341" s="156">
        <f>IF($B341="","",F341-H341)</f>
      </c>
      <c r="K341" s="179">
        <f>IF($B341="","",MAX(_xlfn.MAXIFS(存条明细!B:B,存条明细!C:C,$B341,存条明细!D:D,$C341),_xlfn.MAXIFS(出库明细!B:B,出库明细!C:C,$B341,出库明细!D:D,$C341)))</f>
      </c>
    </row>
    <row r="342" ht="15" customHeight="1" s="71">
      <c r="A342" s="14">
        <f>IF(B342="","",ROW()-3)</f>
      </c>
      <c r="B342" s="14">
        <f>IF(_辅助!$B342="","",IF(_辅助!$B342&lt;=1000,INDEX(存条明细!$C$4:$C$1003,_辅助!$B342),INDEX(出库明细!$C$4:$C$3003,_辅助!$B342-1000)))</f>
      </c>
      <c r="C342" s="14">
        <f>IF(_辅助!$B342="","",IF(_辅助!$B342&lt;=1000,INDEX(存条明细!$D$4:$D$1003,_辅助!$B342),INDEX(出库明细!$D$4:$D$3003,_辅助!$B342-1000)))</f>
      </c>
      <c r="D342" s="14">
        <f>IF($B342="","",IFERROR(SUMIFS(存条明细!E:E,存条明细!C:C,$B342,存条明细!D:D,$C342),0))</f>
      </c>
      <c r="E342" s="156">
        <f>IF(OR($B342="",N(D342)=0),"",ROUND(F342/D342,2))</f>
      </c>
      <c r="F342" s="156">
        <f>IF($B342="","",IFERROR(SUMIFS(存条明细!G:G,存条明细!C:C,$B342,存条明细!D:D,$C342),0))</f>
      </c>
      <c r="G342" s="14">
        <f>IF($B342="","",IFERROR(SUMIFS(出库明细!E:E,出库明细!C:C,$B342,出库明细!D:D,$C342),0))</f>
      </c>
      <c r="H342" s="156">
        <f>IF($B342="","",IFERROR(SUMIFS(出库明细!G:G,出库明细!C:C,$B342,出库明细!D:D,$C342),0))</f>
      </c>
      <c r="I342" s="14">
        <f>IF($B342="","",D342-G342)</f>
      </c>
      <c r="J342" s="156">
        <f>IF($B342="","",F342-H342)</f>
      </c>
      <c r="K342" s="179">
        <f>IF($B342="","",MAX(_xlfn.MAXIFS(存条明细!B:B,存条明细!C:C,$B342,存条明细!D:D,$C342),_xlfn.MAXIFS(出库明细!B:B,出库明细!C:C,$B342,出库明细!D:D,$C342)))</f>
      </c>
    </row>
    <row r="343" ht="15" customHeight="1" s="71">
      <c r="A343" s="14">
        <f>IF(B343="","",ROW()-3)</f>
      </c>
      <c r="B343" s="14">
        <f>IF(_辅助!$B343="","",IF(_辅助!$B343&lt;=1000,INDEX(存条明细!$C$4:$C$1003,_辅助!$B343),INDEX(出库明细!$C$4:$C$3003,_辅助!$B343-1000)))</f>
      </c>
      <c r="C343" s="14">
        <f>IF(_辅助!$B343="","",IF(_辅助!$B343&lt;=1000,INDEX(存条明细!$D$4:$D$1003,_辅助!$B343),INDEX(出库明细!$D$4:$D$3003,_辅助!$B343-1000)))</f>
      </c>
      <c r="D343" s="14">
        <f>IF($B343="","",IFERROR(SUMIFS(存条明细!E:E,存条明细!C:C,$B343,存条明细!D:D,$C343),0))</f>
      </c>
      <c r="E343" s="156">
        <f>IF(OR($B343="",N(D343)=0),"",ROUND(F343/D343,2))</f>
      </c>
      <c r="F343" s="156">
        <f>IF($B343="","",IFERROR(SUMIFS(存条明细!G:G,存条明细!C:C,$B343,存条明细!D:D,$C343),0))</f>
      </c>
      <c r="G343" s="14">
        <f>IF($B343="","",IFERROR(SUMIFS(出库明细!E:E,出库明细!C:C,$B343,出库明细!D:D,$C343),0))</f>
      </c>
      <c r="H343" s="156">
        <f>IF($B343="","",IFERROR(SUMIFS(出库明细!G:G,出库明细!C:C,$B343,出库明细!D:D,$C343),0))</f>
      </c>
      <c r="I343" s="14">
        <f>IF($B343="","",D343-G343)</f>
      </c>
      <c r="J343" s="156">
        <f>IF($B343="","",F343-H343)</f>
      </c>
      <c r="K343" s="179">
        <f>IF($B343="","",MAX(_xlfn.MAXIFS(存条明细!B:B,存条明细!C:C,$B343,存条明细!D:D,$C343),_xlfn.MAXIFS(出库明细!B:B,出库明细!C:C,$B343,出库明细!D:D,$C343)))</f>
      </c>
    </row>
    <row r="344" ht="15" customHeight="1" s="71">
      <c r="A344" s="14">
        <f>IF(B344="","",ROW()-3)</f>
      </c>
      <c r="B344" s="14">
        <f>IF(_辅助!$B344="","",IF(_辅助!$B344&lt;=1000,INDEX(存条明细!$C$4:$C$1003,_辅助!$B344),INDEX(出库明细!$C$4:$C$3003,_辅助!$B344-1000)))</f>
      </c>
      <c r="C344" s="14">
        <f>IF(_辅助!$B344="","",IF(_辅助!$B344&lt;=1000,INDEX(存条明细!$D$4:$D$1003,_辅助!$B344),INDEX(出库明细!$D$4:$D$3003,_辅助!$B344-1000)))</f>
      </c>
      <c r="D344" s="14">
        <f>IF($B344="","",IFERROR(SUMIFS(存条明细!E:E,存条明细!C:C,$B344,存条明细!D:D,$C344),0))</f>
      </c>
      <c r="E344" s="156">
        <f>IF(OR($B344="",N(D344)=0),"",ROUND(F344/D344,2))</f>
      </c>
      <c r="F344" s="156">
        <f>IF($B344="","",IFERROR(SUMIFS(存条明细!G:G,存条明细!C:C,$B344,存条明细!D:D,$C344),0))</f>
      </c>
      <c r="G344" s="14">
        <f>IF($B344="","",IFERROR(SUMIFS(出库明细!E:E,出库明细!C:C,$B344,出库明细!D:D,$C344),0))</f>
      </c>
      <c r="H344" s="156">
        <f>IF($B344="","",IFERROR(SUMIFS(出库明细!G:G,出库明细!C:C,$B344,出库明细!D:D,$C344),0))</f>
      </c>
      <c r="I344" s="14">
        <f>IF($B344="","",D344-G344)</f>
      </c>
      <c r="J344" s="156">
        <f>IF($B344="","",F344-H344)</f>
      </c>
      <c r="K344" s="179">
        <f>IF($B344="","",MAX(_xlfn.MAXIFS(存条明细!B:B,存条明细!C:C,$B344,存条明细!D:D,$C344),_xlfn.MAXIFS(出库明细!B:B,出库明细!C:C,$B344,出库明细!D:D,$C344)))</f>
      </c>
    </row>
    <row r="345" ht="15" customHeight="1" s="71">
      <c r="A345" s="14">
        <f>IF(B345="","",ROW()-3)</f>
      </c>
      <c r="B345" s="14">
        <f>IF(_辅助!$B345="","",IF(_辅助!$B345&lt;=1000,INDEX(存条明细!$C$4:$C$1003,_辅助!$B345),INDEX(出库明细!$C$4:$C$3003,_辅助!$B345-1000)))</f>
      </c>
      <c r="C345" s="14">
        <f>IF(_辅助!$B345="","",IF(_辅助!$B345&lt;=1000,INDEX(存条明细!$D$4:$D$1003,_辅助!$B345),INDEX(出库明细!$D$4:$D$3003,_辅助!$B345-1000)))</f>
      </c>
      <c r="D345" s="14">
        <f>IF($B345="","",IFERROR(SUMIFS(存条明细!E:E,存条明细!C:C,$B345,存条明细!D:D,$C345),0))</f>
      </c>
      <c r="E345" s="156">
        <f>IF(OR($B345="",N(D345)=0),"",ROUND(F345/D345,2))</f>
      </c>
      <c r="F345" s="156">
        <f>IF($B345="","",IFERROR(SUMIFS(存条明细!G:G,存条明细!C:C,$B345,存条明细!D:D,$C345),0))</f>
      </c>
      <c r="G345" s="14">
        <f>IF($B345="","",IFERROR(SUMIFS(出库明细!E:E,出库明细!C:C,$B345,出库明细!D:D,$C345),0))</f>
      </c>
      <c r="H345" s="156">
        <f>IF($B345="","",IFERROR(SUMIFS(出库明细!G:G,出库明细!C:C,$B345,出库明细!D:D,$C345),0))</f>
      </c>
      <c r="I345" s="14">
        <f>IF($B345="","",D345-G345)</f>
      </c>
      <c r="J345" s="156">
        <f>IF($B345="","",F345-H345)</f>
      </c>
      <c r="K345" s="179">
        <f>IF($B345="","",MAX(_xlfn.MAXIFS(存条明细!B:B,存条明细!C:C,$B345,存条明细!D:D,$C345),_xlfn.MAXIFS(出库明细!B:B,出库明细!C:C,$B345,出库明细!D:D,$C345)))</f>
      </c>
    </row>
    <row r="346" ht="15" customHeight="1" s="71">
      <c r="A346" s="14">
        <f>IF(B346="","",ROW()-3)</f>
      </c>
      <c r="B346" s="14">
        <f>IF(_辅助!$B346="","",IF(_辅助!$B346&lt;=1000,INDEX(存条明细!$C$4:$C$1003,_辅助!$B346),INDEX(出库明细!$C$4:$C$3003,_辅助!$B346-1000)))</f>
      </c>
      <c r="C346" s="14">
        <f>IF(_辅助!$B346="","",IF(_辅助!$B346&lt;=1000,INDEX(存条明细!$D$4:$D$1003,_辅助!$B346),INDEX(出库明细!$D$4:$D$3003,_辅助!$B346-1000)))</f>
      </c>
      <c r="D346" s="14">
        <f>IF($B346="","",IFERROR(SUMIFS(存条明细!E:E,存条明细!C:C,$B346,存条明细!D:D,$C346),0))</f>
      </c>
      <c r="E346" s="156">
        <f>IF(OR($B346="",N(D346)=0),"",ROUND(F346/D346,2))</f>
      </c>
      <c r="F346" s="156">
        <f>IF($B346="","",IFERROR(SUMIFS(存条明细!G:G,存条明细!C:C,$B346,存条明细!D:D,$C346),0))</f>
      </c>
      <c r="G346" s="14">
        <f>IF($B346="","",IFERROR(SUMIFS(出库明细!E:E,出库明细!C:C,$B346,出库明细!D:D,$C346),0))</f>
      </c>
      <c r="H346" s="156">
        <f>IF($B346="","",IFERROR(SUMIFS(出库明细!G:G,出库明细!C:C,$B346,出库明细!D:D,$C346),0))</f>
      </c>
      <c r="I346" s="14">
        <f>IF($B346="","",D346-G346)</f>
      </c>
      <c r="J346" s="156">
        <f>IF($B346="","",F346-H346)</f>
      </c>
      <c r="K346" s="179">
        <f>IF($B346="","",MAX(_xlfn.MAXIFS(存条明细!B:B,存条明细!C:C,$B346,存条明细!D:D,$C346),_xlfn.MAXIFS(出库明细!B:B,出库明细!C:C,$B346,出库明细!D:D,$C346)))</f>
      </c>
    </row>
    <row r="347" ht="15" customHeight="1" s="71">
      <c r="A347" s="14">
        <f>IF(B347="","",ROW()-3)</f>
      </c>
      <c r="B347" s="14">
        <f>IF(_辅助!$B347="","",IF(_辅助!$B347&lt;=1000,INDEX(存条明细!$C$4:$C$1003,_辅助!$B347),INDEX(出库明细!$C$4:$C$3003,_辅助!$B347-1000)))</f>
      </c>
      <c r="C347" s="14">
        <f>IF(_辅助!$B347="","",IF(_辅助!$B347&lt;=1000,INDEX(存条明细!$D$4:$D$1003,_辅助!$B347),INDEX(出库明细!$D$4:$D$3003,_辅助!$B347-1000)))</f>
      </c>
      <c r="D347" s="14">
        <f>IF($B347="","",IFERROR(SUMIFS(存条明细!E:E,存条明细!C:C,$B347,存条明细!D:D,$C347),0))</f>
      </c>
      <c r="E347" s="156">
        <f>IF(OR($B347="",N(D347)=0),"",ROUND(F347/D347,2))</f>
      </c>
      <c r="F347" s="156">
        <f>IF($B347="","",IFERROR(SUMIFS(存条明细!G:G,存条明细!C:C,$B347,存条明细!D:D,$C347),0))</f>
      </c>
      <c r="G347" s="14">
        <f>IF($B347="","",IFERROR(SUMIFS(出库明细!E:E,出库明细!C:C,$B347,出库明细!D:D,$C347),0))</f>
      </c>
      <c r="H347" s="156">
        <f>IF($B347="","",IFERROR(SUMIFS(出库明细!G:G,出库明细!C:C,$B347,出库明细!D:D,$C347),0))</f>
      </c>
      <c r="I347" s="14">
        <f>IF($B347="","",D347-G347)</f>
      </c>
      <c r="J347" s="156">
        <f>IF($B347="","",F347-H347)</f>
      </c>
      <c r="K347" s="179">
        <f>IF($B347="","",MAX(_xlfn.MAXIFS(存条明细!B:B,存条明细!C:C,$B347,存条明细!D:D,$C347),_xlfn.MAXIFS(出库明细!B:B,出库明细!C:C,$B347,出库明细!D:D,$C347)))</f>
      </c>
    </row>
    <row r="348" ht="15" customHeight="1" s="71">
      <c r="A348" s="14">
        <f>IF(B348="","",ROW()-3)</f>
      </c>
      <c r="B348" s="14">
        <f>IF(_辅助!$B348="","",IF(_辅助!$B348&lt;=1000,INDEX(存条明细!$C$4:$C$1003,_辅助!$B348),INDEX(出库明细!$C$4:$C$3003,_辅助!$B348-1000)))</f>
      </c>
      <c r="C348" s="14">
        <f>IF(_辅助!$B348="","",IF(_辅助!$B348&lt;=1000,INDEX(存条明细!$D$4:$D$1003,_辅助!$B348),INDEX(出库明细!$D$4:$D$3003,_辅助!$B348-1000)))</f>
      </c>
      <c r="D348" s="14">
        <f>IF($B348="","",IFERROR(SUMIFS(存条明细!E:E,存条明细!C:C,$B348,存条明细!D:D,$C348),0))</f>
      </c>
      <c r="E348" s="156">
        <f>IF(OR($B348="",N(D348)=0),"",ROUND(F348/D348,2))</f>
      </c>
      <c r="F348" s="156">
        <f>IF($B348="","",IFERROR(SUMIFS(存条明细!G:G,存条明细!C:C,$B348,存条明细!D:D,$C348),0))</f>
      </c>
      <c r="G348" s="14">
        <f>IF($B348="","",IFERROR(SUMIFS(出库明细!E:E,出库明细!C:C,$B348,出库明细!D:D,$C348),0))</f>
      </c>
      <c r="H348" s="156">
        <f>IF($B348="","",IFERROR(SUMIFS(出库明细!G:G,出库明细!C:C,$B348,出库明细!D:D,$C348),0))</f>
      </c>
      <c r="I348" s="14">
        <f>IF($B348="","",D348-G348)</f>
      </c>
      <c r="J348" s="156">
        <f>IF($B348="","",F348-H348)</f>
      </c>
      <c r="K348" s="179">
        <f>IF($B348="","",MAX(_xlfn.MAXIFS(存条明细!B:B,存条明细!C:C,$B348,存条明细!D:D,$C348),_xlfn.MAXIFS(出库明细!B:B,出库明细!C:C,$B348,出库明细!D:D,$C348)))</f>
      </c>
    </row>
    <row r="349" ht="15" customHeight="1" s="71">
      <c r="A349" s="14">
        <f>IF(B349="","",ROW()-3)</f>
      </c>
      <c r="B349" s="14">
        <f>IF(_辅助!$B349="","",IF(_辅助!$B349&lt;=1000,INDEX(存条明细!$C$4:$C$1003,_辅助!$B349),INDEX(出库明细!$C$4:$C$3003,_辅助!$B349-1000)))</f>
      </c>
      <c r="C349" s="14">
        <f>IF(_辅助!$B349="","",IF(_辅助!$B349&lt;=1000,INDEX(存条明细!$D$4:$D$1003,_辅助!$B349),INDEX(出库明细!$D$4:$D$3003,_辅助!$B349-1000)))</f>
      </c>
      <c r="D349" s="14">
        <f>IF($B349="","",IFERROR(SUMIFS(存条明细!E:E,存条明细!C:C,$B349,存条明细!D:D,$C349),0))</f>
      </c>
      <c r="E349" s="156">
        <f>IF(OR($B349="",N(D349)=0),"",ROUND(F349/D349,2))</f>
      </c>
      <c r="F349" s="156">
        <f>IF($B349="","",IFERROR(SUMIFS(存条明细!G:G,存条明细!C:C,$B349,存条明细!D:D,$C349),0))</f>
      </c>
      <c r="G349" s="14">
        <f>IF($B349="","",IFERROR(SUMIFS(出库明细!E:E,出库明细!C:C,$B349,出库明细!D:D,$C349),0))</f>
      </c>
      <c r="H349" s="156">
        <f>IF($B349="","",IFERROR(SUMIFS(出库明细!G:G,出库明细!C:C,$B349,出库明细!D:D,$C349),0))</f>
      </c>
      <c r="I349" s="14">
        <f>IF($B349="","",D349-G349)</f>
      </c>
      <c r="J349" s="156">
        <f>IF($B349="","",F349-H349)</f>
      </c>
      <c r="K349" s="179">
        <f>IF($B349="","",MAX(_xlfn.MAXIFS(存条明细!B:B,存条明细!C:C,$B349,存条明细!D:D,$C349),_xlfn.MAXIFS(出库明细!B:B,出库明细!C:C,$B349,出库明细!D:D,$C349)))</f>
      </c>
    </row>
    <row r="350" ht="15" customHeight="1" s="71">
      <c r="A350" s="14">
        <f>IF(B350="","",ROW()-3)</f>
      </c>
      <c r="B350" s="14">
        <f>IF(_辅助!$B350="","",IF(_辅助!$B350&lt;=1000,INDEX(存条明细!$C$4:$C$1003,_辅助!$B350),INDEX(出库明细!$C$4:$C$3003,_辅助!$B350-1000)))</f>
      </c>
      <c r="C350" s="14">
        <f>IF(_辅助!$B350="","",IF(_辅助!$B350&lt;=1000,INDEX(存条明细!$D$4:$D$1003,_辅助!$B350),INDEX(出库明细!$D$4:$D$3003,_辅助!$B350-1000)))</f>
      </c>
      <c r="D350" s="14">
        <f>IF($B350="","",IFERROR(SUMIFS(存条明细!E:E,存条明细!C:C,$B350,存条明细!D:D,$C350),0))</f>
      </c>
      <c r="E350" s="156">
        <f>IF(OR($B350="",N(D350)=0),"",ROUND(F350/D350,2))</f>
      </c>
      <c r="F350" s="156">
        <f>IF($B350="","",IFERROR(SUMIFS(存条明细!G:G,存条明细!C:C,$B350,存条明细!D:D,$C350),0))</f>
      </c>
      <c r="G350" s="14">
        <f>IF($B350="","",IFERROR(SUMIFS(出库明细!E:E,出库明细!C:C,$B350,出库明细!D:D,$C350),0))</f>
      </c>
      <c r="H350" s="156">
        <f>IF($B350="","",IFERROR(SUMIFS(出库明细!G:G,出库明细!C:C,$B350,出库明细!D:D,$C350),0))</f>
      </c>
      <c r="I350" s="14">
        <f>IF($B350="","",D350-G350)</f>
      </c>
      <c r="J350" s="156">
        <f>IF($B350="","",F350-H350)</f>
      </c>
      <c r="K350" s="179">
        <f>IF($B350="","",MAX(_xlfn.MAXIFS(存条明细!B:B,存条明细!C:C,$B350,存条明细!D:D,$C350),_xlfn.MAXIFS(出库明细!B:B,出库明细!C:C,$B350,出库明细!D:D,$C350)))</f>
      </c>
    </row>
    <row r="351" ht="15" customHeight="1" s="71">
      <c r="A351" s="14">
        <f>IF(B351="","",ROW()-3)</f>
      </c>
      <c r="B351" s="14">
        <f>IF(_辅助!$B351="","",IF(_辅助!$B351&lt;=1000,INDEX(存条明细!$C$4:$C$1003,_辅助!$B351),INDEX(出库明细!$C$4:$C$3003,_辅助!$B351-1000)))</f>
      </c>
      <c r="C351" s="14">
        <f>IF(_辅助!$B351="","",IF(_辅助!$B351&lt;=1000,INDEX(存条明细!$D$4:$D$1003,_辅助!$B351),INDEX(出库明细!$D$4:$D$3003,_辅助!$B351-1000)))</f>
      </c>
      <c r="D351" s="14">
        <f>IF($B351="","",IFERROR(SUMIFS(存条明细!E:E,存条明细!C:C,$B351,存条明细!D:D,$C351),0))</f>
      </c>
      <c r="E351" s="156">
        <f>IF(OR($B351="",N(D351)=0),"",ROUND(F351/D351,2))</f>
      </c>
      <c r="F351" s="156">
        <f>IF($B351="","",IFERROR(SUMIFS(存条明细!G:G,存条明细!C:C,$B351,存条明细!D:D,$C351),0))</f>
      </c>
      <c r="G351" s="14">
        <f>IF($B351="","",IFERROR(SUMIFS(出库明细!E:E,出库明细!C:C,$B351,出库明细!D:D,$C351),0))</f>
      </c>
      <c r="H351" s="156">
        <f>IF($B351="","",IFERROR(SUMIFS(出库明细!G:G,出库明细!C:C,$B351,出库明细!D:D,$C351),0))</f>
      </c>
      <c r="I351" s="14">
        <f>IF($B351="","",D351-G351)</f>
      </c>
      <c r="J351" s="156">
        <f>IF($B351="","",F351-H351)</f>
      </c>
      <c r="K351" s="179">
        <f>IF($B351="","",MAX(_xlfn.MAXIFS(存条明细!B:B,存条明细!C:C,$B351,存条明细!D:D,$C351),_xlfn.MAXIFS(出库明细!B:B,出库明细!C:C,$B351,出库明细!D:D,$C351)))</f>
      </c>
    </row>
    <row r="352" ht="15" customHeight="1" s="71">
      <c r="A352" s="14">
        <f>IF(B352="","",ROW()-3)</f>
      </c>
      <c r="B352" s="14">
        <f>IF(_辅助!$B352="","",IF(_辅助!$B352&lt;=1000,INDEX(存条明细!$C$4:$C$1003,_辅助!$B352),INDEX(出库明细!$C$4:$C$3003,_辅助!$B352-1000)))</f>
      </c>
      <c r="C352" s="14">
        <f>IF(_辅助!$B352="","",IF(_辅助!$B352&lt;=1000,INDEX(存条明细!$D$4:$D$1003,_辅助!$B352),INDEX(出库明细!$D$4:$D$3003,_辅助!$B352-1000)))</f>
      </c>
      <c r="D352" s="14">
        <f>IF($B352="","",IFERROR(SUMIFS(存条明细!E:E,存条明细!C:C,$B352,存条明细!D:D,$C352),0))</f>
      </c>
      <c r="E352" s="156">
        <f>IF(OR($B352="",N(D352)=0),"",ROUND(F352/D352,2))</f>
      </c>
      <c r="F352" s="156">
        <f>IF($B352="","",IFERROR(SUMIFS(存条明细!G:G,存条明细!C:C,$B352,存条明细!D:D,$C352),0))</f>
      </c>
      <c r="G352" s="14">
        <f>IF($B352="","",IFERROR(SUMIFS(出库明细!E:E,出库明细!C:C,$B352,出库明细!D:D,$C352),0))</f>
      </c>
      <c r="H352" s="156">
        <f>IF($B352="","",IFERROR(SUMIFS(出库明细!G:G,出库明细!C:C,$B352,出库明细!D:D,$C352),0))</f>
      </c>
      <c r="I352" s="14">
        <f>IF($B352="","",D352-G352)</f>
      </c>
      <c r="J352" s="156">
        <f>IF($B352="","",F352-H352)</f>
      </c>
      <c r="K352" s="179">
        <f>IF($B352="","",MAX(_xlfn.MAXIFS(存条明细!B:B,存条明细!C:C,$B352,存条明细!D:D,$C352),_xlfn.MAXIFS(出库明细!B:B,出库明细!C:C,$B352,出库明细!D:D,$C352)))</f>
      </c>
    </row>
    <row r="353" ht="15" customHeight="1" s="71">
      <c r="A353" s="14">
        <f>IF(B353="","",ROW()-3)</f>
      </c>
      <c r="B353" s="14">
        <f>IF(_辅助!$B353="","",IF(_辅助!$B353&lt;=1000,INDEX(存条明细!$C$4:$C$1003,_辅助!$B353),INDEX(出库明细!$C$4:$C$3003,_辅助!$B353-1000)))</f>
      </c>
      <c r="C353" s="14">
        <f>IF(_辅助!$B353="","",IF(_辅助!$B353&lt;=1000,INDEX(存条明细!$D$4:$D$1003,_辅助!$B353),INDEX(出库明细!$D$4:$D$3003,_辅助!$B353-1000)))</f>
      </c>
      <c r="D353" s="14">
        <f>IF($B353="","",IFERROR(SUMIFS(存条明细!E:E,存条明细!C:C,$B353,存条明细!D:D,$C353),0))</f>
      </c>
      <c r="E353" s="156">
        <f>IF(OR($B353="",N(D353)=0),"",ROUND(F353/D353,2))</f>
      </c>
      <c r="F353" s="156">
        <f>IF($B353="","",IFERROR(SUMIFS(存条明细!G:G,存条明细!C:C,$B353,存条明细!D:D,$C353),0))</f>
      </c>
      <c r="G353" s="14">
        <f>IF($B353="","",IFERROR(SUMIFS(出库明细!E:E,出库明细!C:C,$B353,出库明细!D:D,$C353),0))</f>
      </c>
      <c r="H353" s="156">
        <f>IF($B353="","",IFERROR(SUMIFS(出库明细!G:G,出库明细!C:C,$B353,出库明细!D:D,$C353),0))</f>
      </c>
      <c r="I353" s="14">
        <f>IF($B353="","",D353-G353)</f>
      </c>
      <c r="J353" s="156">
        <f>IF($B353="","",F353-H353)</f>
      </c>
      <c r="K353" s="179">
        <f>IF($B353="","",MAX(_xlfn.MAXIFS(存条明细!B:B,存条明细!C:C,$B353,存条明细!D:D,$C353),_xlfn.MAXIFS(出库明细!B:B,出库明细!C:C,$B353,出库明细!D:D,$C353)))</f>
      </c>
    </row>
    <row r="354" ht="15" customHeight="1" s="71">
      <c r="A354" s="14">
        <f>IF(B354="","",ROW()-3)</f>
      </c>
      <c r="B354" s="14">
        <f>IF(_辅助!$B354="","",IF(_辅助!$B354&lt;=1000,INDEX(存条明细!$C$4:$C$1003,_辅助!$B354),INDEX(出库明细!$C$4:$C$3003,_辅助!$B354-1000)))</f>
      </c>
      <c r="C354" s="14">
        <f>IF(_辅助!$B354="","",IF(_辅助!$B354&lt;=1000,INDEX(存条明细!$D$4:$D$1003,_辅助!$B354),INDEX(出库明细!$D$4:$D$3003,_辅助!$B354-1000)))</f>
      </c>
      <c r="D354" s="14">
        <f>IF($B354="","",IFERROR(SUMIFS(存条明细!E:E,存条明细!C:C,$B354,存条明细!D:D,$C354),0))</f>
      </c>
      <c r="E354" s="156">
        <f>IF(OR($B354="",N(D354)=0),"",ROUND(F354/D354,2))</f>
      </c>
      <c r="F354" s="156">
        <f>IF($B354="","",IFERROR(SUMIFS(存条明细!G:G,存条明细!C:C,$B354,存条明细!D:D,$C354),0))</f>
      </c>
      <c r="G354" s="14">
        <f>IF($B354="","",IFERROR(SUMIFS(出库明细!E:E,出库明细!C:C,$B354,出库明细!D:D,$C354),0))</f>
      </c>
      <c r="H354" s="156">
        <f>IF($B354="","",IFERROR(SUMIFS(出库明细!G:G,出库明细!C:C,$B354,出库明细!D:D,$C354),0))</f>
      </c>
      <c r="I354" s="14">
        <f>IF($B354="","",D354-G354)</f>
      </c>
      <c r="J354" s="156">
        <f>IF($B354="","",F354-H354)</f>
      </c>
      <c r="K354" s="179">
        <f>IF($B354="","",MAX(_xlfn.MAXIFS(存条明细!B:B,存条明细!C:C,$B354,存条明细!D:D,$C354),_xlfn.MAXIFS(出库明细!B:B,出库明细!C:C,$B354,出库明细!D:D,$C354)))</f>
      </c>
    </row>
    <row r="355" ht="15" customHeight="1" s="71">
      <c r="A355" s="14">
        <f>IF(B355="","",ROW()-3)</f>
      </c>
      <c r="B355" s="14">
        <f>IF(_辅助!$B355="","",IF(_辅助!$B355&lt;=1000,INDEX(存条明细!$C$4:$C$1003,_辅助!$B355),INDEX(出库明细!$C$4:$C$3003,_辅助!$B355-1000)))</f>
      </c>
      <c r="C355" s="14">
        <f>IF(_辅助!$B355="","",IF(_辅助!$B355&lt;=1000,INDEX(存条明细!$D$4:$D$1003,_辅助!$B355),INDEX(出库明细!$D$4:$D$3003,_辅助!$B355-1000)))</f>
      </c>
      <c r="D355" s="14">
        <f>IF($B355="","",IFERROR(SUMIFS(存条明细!E:E,存条明细!C:C,$B355,存条明细!D:D,$C355),0))</f>
      </c>
      <c r="E355" s="156">
        <f>IF(OR($B355="",N(D355)=0),"",ROUND(F355/D355,2))</f>
      </c>
      <c r="F355" s="156">
        <f>IF($B355="","",IFERROR(SUMIFS(存条明细!G:G,存条明细!C:C,$B355,存条明细!D:D,$C355),0))</f>
      </c>
      <c r="G355" s="14">
        <f>IF($B355="","",IFERROR(SUMIFS(出库明细!E:E,出库明细!C:C,$B355,出库明细!D:D,$C355),0))</f>
      </c>
      <c r="H355" s="156">
        <f>IF($B355="","",IFERROR(SUMIFS(出库明细!G:G,出库明细!C:C,$B355,出库明细!D:D,$C355),0))</f>
      </c>
      <c r="I355" s="14">
        <f>IF($B355="","",D355-G355)</f>
      </c>
      <c r="J355" s="156">
        <f>IF($B355="","",F355-H355)</f>
      </c>
      <c r="K355" s="179">
        <f>IF($B355="","",MAX(_xlfn.MAXIFS(存条明细!B:B,存条明细!C:C,$B355,存条明细!D:D,$C355),_xlfn.MAXIFS(出库明细!B:B,出库明细!C:C,$B355,出库明细!D:D,$C355)))</f>
      </c>
    </row>
    <row r="356" ht="15" customHeight="1" s="71">
      <c r="A356" s="14">
        <f>IF(B356="","",ROW()-3)</f>
      </c>
      <c r="B356" s="14">
        <f>IF(_辅助!$B356="","",IF(_辅助!$B356&lt;=1000,INDEX(存条明细!$C$4:$C$1003,_辅助!$B356),INDEX(出库明细!$C$4:$C$3003,_辅助!$B356-1000)))</f>
      </c>
      <c r="C356" s="14">
        <f>IF(_辅助!$B356="","",IF(_辅助!$B356&lt;=1000,INDEX(存条明细!$D$4:$D$1003,_辅助!$B356),INDEX(出库明细!$D$4:$D$3003,_辅助!$B356-1000)))</f>
      </c>
      <c r="D356" s="14">
        <f>IF($B356="","",IFERROR(SUMIFS(存条明细!E:E,存条明细!C:C,$B356,存条明细!D:D,$C356),0))</f>
      </c>
      <c r="E356" s="156">
        <f>IF(OR($B356="",N(D356)=0),"",ROUND(F356/D356,2))</f>
      </c>
      <c r="F356" s="156">
        <f>IF($B356="","",IFERROR(SUMIFS(存条明细!G:G,存条明细!C:C,$B356,存条明细!D:D,$C356),0))</f>
      </c>
      <c r="G356" s="14">
        <f>IF($B356="","",IFERROR(SUMIFS(出库明细!E:E,出库明细!C:C,$B356,出库明细!D:D,$C356),0))</f>
      </c>
      <c r="H356" s="156">
        <f>IF($B356="","",IFERROR(SUMIFS(出库明细!G:G,出库明细!C:C,$B356,出库明细!D:D,$C356),0))</f>
      </c>
      <c r="I356" s="14">
        <f>IF($B356="","",D356-G356)</f>
      </c>
      <c r="J356" s="156">
        <f>IF($B356="","",F356-H356)</f>
      </c>
      <c r="K356" s="179">
        <f>IF($B356="","",MAX(_xlfn.MAXIFS(存条明细!B:B,存条明细!C:C,$B356,存条明细!D:D,$C356),_xlfn.MAXIFS(出库明细!B:B,出库明细!C:C,$B356,出库明细!D:D,$C356)))</f>
      </c>
    </row>
    <row r="357" ht="15" customHeight="1" s="71">
      <c r="A357" s="14">
        <f>IF(B357="","",ROW()-3)</f>
      </c>
      <c r="B357" s="14">
        <f>IF(_辅助!$B357="","",IF(_辅助!$B357&lt;=1000,INDEX(存条明细!$C$4:$C$1003,_辅助!$B357),INDEX(出库明细!$C$4:$C$3003,_辅助!$B357-1000)))</f>
      </c>
      <c r="C357" s="14">
        <f>IF(_辅助!$B357="","",IF(_辅助!$B357&lt;=1000,INDEX(存条明细!$D$4:$D$1003,_辅助!$B357),INDEX(出库明细!$D$4:$D$3003,_辅助!$B357-1000)))</f>
      </c>
      <c r="D357" s="14">
        <f>IF($B357="","",IFERROR(SUMIFS(存条明细!E:E,存条明细!C:C,$B357,存条明细!D:D,$C357),0))</f>
      </c>
      <c r="E357" s="156">
        <f>IF(OR($B357="",N(D357)=0),"",ROUND(F357/D357,2))</f>
      </c>
      <c r="F357" s="156">
        <f>IF($B357="","",IFERROR(SUMIFS(存条明细!G:G,存条明细!C:C,$B357,存条明细!D:D,$C357),0))</f>
      </c>
      <c r="G357" s="14">
        <f>IF($B357="","",IFERROR(SUMIFS(出库明细!E:E,出库明细!C:C,$B357,出库明细!D:D,$C357),0))</f>
      </c>
      <c r="H357" s="156">
        <f>IF($B357="","",IFERROR(SUMIFS(出库明细!G:G,出库明细!C:C,$B357,出库明细!D:D,$C357),0))</f>
      </c>
      <c r="I357" s="14">
        <f>IF($B357="","",D357-G357)</f>
      </c>
      <c r="J357" s="156">
        <f>IF($B357="","",F357-H357)</f>
      </c>
      <c r="K357" s="179">
        <f>IF($B357="","",MAX(_xlfn.MAXIFS(存条明细!B:B,存条明细!C:C,$B357,存条明细!D:D,$C357),_xlfn.MAXIFS(出库明细!B:B,出库明细!C:C,$B357,出库明细!D:D,$C357)))</f>
      </c>
    </row>
    <row r="358" ht="15" customHeight="1" s="71">
      <c r="A358" s="14">
        <f>IF(B358="","",ROW()-3)</f>
      </c>
      <c r="B358" s="14">
        <f>IF(_辅助!$B358="","",IF(_辅助!$B358&lt;=1000,INDEX(存条明细!$C$4:$C$1003,_辅助!$B358),INDEX(出库明细!$C$4:$C$3003,_辅助!$B358-1000)))</f>
      </c>
      <c r="C358" s="14">
        <f>IF(_辅助!$B358="","",IF(_辅助!$B358&lt;=1000,INDEX(存条明细!$D$4:$D$1003,_辅助!$B358),INDEX(出库明细!$D$4:$D$3003,_辅助!$B358-1000)))</f>
      </c>
      <c r="D358" s="14">
        <f>IF($B358="","",IFERROR(SUMIFS(存条明细!E:E,存条明细!C:C,$B358,存条明细!D:D,$C358),0))</f>
      </c>
      <c r="E358" s="156">
        <f>IF(OR($B358="",N(D358)=0),"",ROUND(F358/D358,2))</f>
      </c>
      <c r="F358" s="156">
        <f>IF($B358="","",IFERROR(SUMIFS(存条明细!G:G,存条明细!C:C,$B358,存条明细!D:D,$C358),0))</f>
      </c>
      <c r="G358" s="14">
        <f>IF($B358="","",IFERROR(SUMIFS(出库明细!E:E,出库明细!C:C,$B358,出库明细!D:D,$C358),0))</f>
      </c>
      <c r="H358" s="156">
        <f>IF($B358="","",IFERROR(SUMIFS(出库明细!G:G,出库明细!C:C,$B358,出库明细!D:D,$C358),0))</f>
      </c>
      <c r="I358" s="14">
        <f>IF($B358="","",D358-G358)</f>
      </c>
      <c r="J358" s="156">
        <f>IF($B358="","",F358-H358)</f>
      </c>
      <c r="K358" s="179">
        <f>IF($B358="","",MAX(_xlfn.MAXIFS(存条明细!B:B,存条明细!C:C,$B358,存条明细!D:D,$C358),_xlfn.MAXIFS(出库明细!B:B,出库明细!C:C,$B358,出库明细!D:D,$C358)))</f>
      </c>
    </row>
    <row r="359" ht="15" customHeight="1" s="71">
      <c r="A359" s="14">
        <f>IF(B359="","",ROW()-3)</f>
      </c>
      <c r="B359" s="14">
        <f>IF(_辅助!$B359="","",IF(_辅助!$B359&lt;=1000,INDEX(存条明细!$C$4:$C$1003,_辅助!$B359),INDEX(出库明细!$C$4:$C$3003,_辅助!$B359-1000)))</f>
      </c>
      <c r="C359" s="14">
        <f>IF(_辅助!$B359="","",IF(_辅助!$B359&lt;=1000,INDEX(存条明细!$D$4:$D$1003,_辅助!$B359),INDEX(出库明细!$D$4:$D$3003,_辅助!$B359-1000)))</f>
      </c>
      <c r="D359" s="14">
        <f>IF($B359="","",IFERROR(SUMIFS(存条明细!E:E,存条明细!C:C,$B359,存条明细!D:D,$C359),0))</f>
      </c>
      <c r="E359" s="156">
        <f>IF(OR($B359="",N(D359)=0),"",ROUND(F359/D359,2))</f>
      </c>
      <c r="F359" s="156">
        <f>IF($B359="","",IFERROR(SUMIFS(存条明细!G:G,存条明细!C:C,$B359,存条明细!D:D,$C359),0))</f>
      </c>
      <c r="G359" s="14">
        <f>IF($B359="","",IFERROR(SUMIFS(出库明细!E:E,出库明细!C:C,$B359,出库明细!D:D,$C359),0))</f>
      </c>
      <c r="H359" s="156">
        <f>IF($B359="","",IFERROR(SUMIFS(出库明细!G:G,出库明细!C:C,$B359,出库明细!D:D,$C359),0))</f>
      </c>
      <c r="I359" s="14">
        <f>IF($B359="","",D359-G359)</f>
      </c>
      <c r="J359" s="156">
        <f>IF($B359="","",F359-H359)</f>
      </c>
      <c r="K359" s="179">
        <f>IF($B359="","",MAX(_xlfn.MAXIFS(存条明细!B:B,存条明细!C:C,$B359,存条明细!D:D,$C359),_xlfn.MAXIFS(出库明细!B:B,出库明细!C:C,$B359,出库明细!D:D,$C359)))</f>
      </c>
    </row>
    <row r="360" ht="15" customHeight="1" s="71">
      <c r="A360" s="14">
        <f>IF(B360="","",ROW()-3)</f>
      </c>
      <c r="B360" s="14">
        <f>IF(_辅助!$B360="","",IF(_辅助!$B360&lt;=1000,INDEX(存条明细!$C$4:$C$1003,_辅助!$B360),INDEX(出库明细!$C$4:$C$3003,_辅助!$B360-1000)))</f>
      </c>
      <c r="C360" s="14">
        <f>IF(_辅助!$B360="","",IF(_辅助!$B360&lt;=1000,INDEX(存条明细!$D$4:$D$1003,_辅助!$B360),INDEX(出库明细!$D$4:$D$3003,_辅助!$B360-1000)))</f>
      </c>
      <c r="D360" s="14">
        <f>IF($B360="","",IFERROR(SUMIFS(存条明细!E:E,存条明细!C:C,$B360,存条明细!D:D,$C360),0))</f>
      </c>
      <c r="E360" s="156">
        <f>IF(OR($B360="",N(D360)=0),"",ROUND(F360/D360,2))</f>
      </c>
      <c r="F360" s="156">
        <f>IF($B360="","",IFERROR(SUMIFS(存条明细!G:G,存条明细!C:C,$B360,存条明细!D:D,$C360),0))</f>
      </c>
      <c r="G360" s="14">
        <f>IF($B360="","",IFERROR(SUMIFS(出库明细!E:E,出库明细!C:C,$B360,出库明细!D:D,$C360),0))</f>
      </c>
      <c r="H360" s="156">
        <f>IF($B360="","",IFERROR(SUMIFS(出库明细!G:G,出库明细!C:C,$B360,出库明细!D:D,$C360),0))</f>
      </c>
      <c r="I360" s="14">
        <f>IF($B360="","",D360-G360)</f>
      </c>
      <c r="J360" s="156">
        <f>IF($B360="","",F360-H360)</f>
      </c>
      <c r="K360" s="179">
        <f>IF($B360="","",MAX(_xlfn.MAXIFS(存条明细!B:B,存条明细!C:C,$B360,存条明细!D:D,$C360),_xlfn.MAXIFS(出库明细!B:B,出库明细!C:C,$B360,出库明细!D:D,$C360)))</f>
      </c>
    </row>
    <row r="361" ht="15" customHeight="1" s="71">
      <c r="A361" s="14">
        <f>IF(B361="","",ROW()-3)</f>
      </c>
      <c r="B361" s="14">
        <f>IF(_辅助!$B361="","",IF(_辅助!$B361&lt;=1000,INDEX(存条明细!$C$4:$C$1003,_辅助!$B361),INDEX(出库明细!$C$4:$C$3003,_辅助!$B361-1000)))</f>
      </c>
      <c r="C361" s="14">
        <f>IF(_辅助!$B361="","",IF(_辅助!$B361&lt;=1000,INDEX(存条明细!$D$4:$D$1003,_辅助!$B361),INDEX(出库明细!$D$4:$D$3003,_辅助!$B361-1000)))</f>
      </c>
      <c r="D361" s="14">
        <f>IF($B361="","",IFERROR(SUMIFS(存条明细!E:E,存条明细!C:C,$B361,存条明细!D:D,$C361),0))</f>
      </c>
      <c r="E361" s="156">
        <f>IF(OR($B361="",N(D361)=0),"",ROUND(F361/D361,2))</f>
      </c>
      <c r="F361" s="156">
        <f>IF($B361="","",IFERROR(SUMIFS(存条明细!G:G,存条明细!C:C,$B361,存条明细!D:D,$C361),0))</f>
      </c>
      <c r="G361" s="14">
        <f>IF($B361="","",IFERROR(SUMIFS(出库明细!E:E,出库明细!C:C,$B361,出库明细!D:D,$C361),0))</f>
      </c>
      <c r="H361" s="156">
        <f>IF($B361="","",IFERROR(SUMIFS(出库明细!G:G,出库明细!C:C,$B361,出库明细!D:D,$C361),0))</f>
      </c>
      <c r="I361" s="14">
        <f>IF($B361="","",D361-G361)</f>
      </c>
      <c r="J361" s="156">
        <f>IF($B361="","",F361-H361)</f>
      </c>
      <c r="K361" s="179">
        <f>IF($B361="","",MAX(_xlfn.MAXIFS(存条明细!B:B,存条明细!C:C,$B361,存条明细!D:D,$C361),_xlfn.MAXIFS(出库明细!B:B,出库明细!C:C,$B361,出库明细!D:D,$C361)))</f>
      </c>
    </row>
    <row r="362" ht="15" customHeight="1" s="71">
      <c r="A362" s="14">
        <f>IF(B362="","",ROW()-3)</f>
      </c>
      <c r="B362" s="14">
        <f>IF(_辅助!$B362="","",IF(_辅助!$B362&lt;=1000,INDEX(存条明细!$C$4:$C$1003,_辅助!$B362),INDEX(出库明细!$C$4:$C$3003,_辅助!$B362-1000)))</f>
      </c>
      <c r="C362" s="14">
        <f>IF(_辅助!$B362="","",IF(_辅助!$B362&lt;=1000,INDEX(存条明细!$D$4:$D$1003,_辅助!$B362),INDEX(出库明细!$D$4:$D$3003,_辅助!$B362-1000)))</f>
      </c>
      <c r="D362" s="14">
        <f>IF($B362="","",IFERROR(SUMIFS(存条明细!E:E,存条明细!C:C,$B362,存条明细!D:D,$C362),0))</f>
      </c>
      <c r="E362" s="156">
        <f>IF(OR($B362="",N(D362)=0),"",ROUND(F362/D362,2))</f>
      </c>
      <c r="F362" s="156">
        <f>IF($B362="","",IFERROR(SUMIFS(存条明细!G:G,存条明细!C:C,$B362,存条明细!D:D,$C362),0))</f>
      </c>
      <c r="G362" s="14">
        <f>IF($B362="","",IFERROR(SUMIFS(出库明细!E:E,出库明细!C:C,$B362,出库明细!D:D,$C362),0))</f>
      </c>
      <c r="H362" s="156">
        <f>IF($B362="","",IFERROR(SUMIFS(出库明细!G:G,出库明细!C:C,$B362,出库明细!D:D,$C362),0))</f>
      </c>
      <c r="I362" s="14">
        <f>IF($B362="","",D362-G362)</f>
      </c>
      <c r="J362" s="156">
        <f>IF($B362="","",F362-H362)</f>
      </c>
      <c r="K362" s="179">
        <f>IF($B362="","",MAX(_xlfn.MAXIFS(存条明细!B:B,存条明细!C:C,$B362,存条明细!D:D,$C362),_xlfn.MAXIFS(出库明细!B:B,出库明细!C:C,$B362,出库明细!D:D,$C362)))</f>
      </c>
    </row>
    <row r="363" ht="15" customHeight="1" s="71">
      <c r="A363" s="14">
        <f>IF(B363="","",ROW()-3)</f>
      </c>
      <c r="B363" s="14">
        <f>IF(_辅助!$B363="","",IF(_辅助!$B363&lt;=1000,INDEX(存条明细!$C$4:$C$1003,_辅助!$B363),INDEX(出库明细!$C$4:$C$3003,_辅助!$B363-1000)))</f>
      </c>
      <c r="C363" s="14">
        <f>IF(_辅助!$B363="","",IF(_辅助!$B363&lt;=1000,INDEX(存条明细!$D$4:$D$1003,_辅助!$B363),INDEX(出库明细!$D$4:$D$3003,_辅助!$B363-1000)))</f>
      </c>
      <c r="D363" s="14">
        <f>IF($B363="","",IFERROR(SUMIFS(存条明细!E:E,存条明细!C:C,$B363,存条明细!D:D,$C363),0))</f>
      </c>
      <c r="E363" s="156">
        <f>IF(OR($B363="",N(D363)=0),"",ROUND(F363/D363,2))</f>
      </c>
      <c r="F363" s="156">
        <f>IF($B363="","",IFERROR(SUMIFS(存条明细!G:G,存条明细!C:C,$B363,存条明细!D:D,$C363),0))</f>
      </c>
      <c r="G363" s="14">
        <f>IF($B363="","",IFERROR(SUMIFS(出库明细!E:E,出库明细!C:C,$B363,出库明细!D:D,$C363),0))</f>
      </c>
      <c r="H363" s="156">
        <f>IF($B363="","",IFERROR(SUMIFS(出库明细!G:G,出库明细!C:C,$B363,出库明细!D:D,$C363),0))</f>
      </c>
      <c r="I363" s="14">
        <f>IF($B363="","",D363-G363)</f>
      </c>
      <c r="J363" s="156">
        <f>IF($B363="","",F363-H363)</f>
      </c>
      <c r="K363" s="179">
        <f>IF($B363="","",MAX(_xlfn.MAXIFS(存条明细!B:B,存条明细!C:C,$B363,存条明细!D:D,$C363),_xlfn.MAXIFS(出库明细!B:B,出库明细!C:C,$B363,出库明细!D:D,$C363)))</f>
      </c>
    </row>
    <row r="364" ht="15" customHeight="1" s="71">
      <c r="A364" s="14">
        <f>IF(B364="","",ROW()-3)</f>
      </c>
      <c r="B364" s="14">
        <f>IF(_辅助!$B364="","",IF(_辅助!$B364&lt;=1000,INDEX(存条明细!$C$4:$C$1003,_辅助!$B364),INDEX(出库明细!$C$4:$C$3003,_辅助!$B364-1000)))</f>
      </c>
      <c r="C364" s="14">
        <f>IF(_辅助!$B364="","",IF(_辅助!$B364&lt;=1000,INDEX(存条明细!$D$4:$D$1003,_辅助!$B364),INDEX(出库明细!$D$4:$D$3003,_辅助!$B364-1000)))</f>
      </c>
      <c r="D364" s="14">
        <f>IF($B364="","",IFERROR(SUMIFS(存条明细!E:E,存条明细!C:C,$B364,存条明细!D:D,$C364),0))</f>
      </c>
      <c r="E364" s="156">
        <f>IF(OR($B364="",N(D364)=0),"",ROUND(F364/D364,2))</f>
      </c>
      <c r="F364" s="156">
        <f>IF($B364="","",IFERROR(SUMIFS(存条明细!G:G,存条明细!C:C,$B364,存条明细!D:D,$C364),0))</f>
      </c>
      <c r="G364" s="14">
        <f>IF($B364="","",IFERROR(SUMIFS(出库明细!E:E,出库明细!C:C,$B364,出库明细!D:D,$C364),0))</f>
      </c>
      <c r="H364" s="156">
        <f>IF($B364="","",IFERROR(SUMIFS(出库明细!G:G,出库明细!C:C,$B364,出库明细!D:D,$C364),0))</f>
      </c>
      <c r="I364" s="14">
        <f>IF($B364="","",D364-G364)</f>
      </c>
      <c r="J364" s="156">
        <f>IF($B364="","",F364-H364)</f>
      </c>
      <c r="K364" s="179">
        <f>IF($B364="","",MAX(_xlfn.MAXIFS(存条明细!B:B,存条明细!C:C,$B364,存条明细!D:D,$C364),_xlfn.MAXIFS(出库明细!B:B,出库明细!C:C,$B364,出库明细!D:D,$C364)))</f>
      </c>
    </row>
    <row r="365" ht="15" customHeight="1" s="71">
      <c r="A365" s="14">
        <f>IF(B365="","",ROW()-3)</f>
      </c>
      <c r="B365" s="14">
        <f>IF(_辅助!$B365="","",IF(_辅助!$B365&lt;=1000,INDEX(存条明细!$C$4:$C$1003,_辅助!$B365),INDEX(出库明细!$C$4:$C$3003,_辅助!$B365-1000)))</f>
      </c>
      <c r="C365" s="14">
        <f>IF(_辅助!$B365="","",IF(_辅助!$B365&lt;=1000,INDEX(存条明细!$D$4:$D$1003,_辅助!$B365),INDEX(出库明细!$D$4:$D$3003,_辅助!$B365-1000)))</f>
      </c>
      <c r="D365" s="14">
        <f>IF($B365="","",IFERROR(SUMIFS(存条明细!E:E,存条明细!C:C,$B365,存条明细!D:D,$C365),0))</f>
      </c>
      <c r="E365" s="156">
        <f>IF(OR($B365="",N(D365)=0),"",ROUND(F365/D365,2))</f>
      </c>
      <c r="F365" s="156">
        <f>IF($B365="","",IFERROR(SUMIFS(存条明细!G:G,存条明细!C:C,$B365,存条明细!D:D,$C365),0))</f>
      </c>
      <c r="G365" s="14">
        <f>IF($B365="","",IFERROR(SUMIFS(出库明细!E:E,出库明细!C:C,$B365,出库明细!D:D,$C365),0))</f>
      </c>
      <c r="H365" s="156">
        <f>IF($B365="","",IFERROR(SUMIFS(出库明细!G:G,出库明细!C:C,$B365,出库明细!D:D,$C365),0))</f>
      </c>
      <c r="I365" s="14">
        <f>IF($B365="","",D365-G365)</f>
      </c>
      <c r="J365" s="156">
        <f>IF($B365="","",F365-H365)</f>
      </c>
      <c r="K365" s="179">
        <f>IF($B365="","",MAX(_xlfn.MAXIFS(存条明细!B:B,存条明细!C:C,$B365,存条明细!D:D,$C365),_xlfn.MAXIFS(出库明细!B:B,出库明细!C:C,$B365,出库明细!D:D,$C365)))</f>
      </c>
    </row>
    <row r="366" ht="15" customHeight="1" s="71">
      <c r="A366" s="14">
        <f>IF(B366="","",ROW()-3)</f>
      </c>
      <c r="B366" s="14">
        <f>IF(_辅助!$B366="","",IF(_辅助!$B366&lt;=1000,INDEX(存条明细!$C$4:$C$1003,_辅助!$B366),INDEX(出库明细!$C$4:$C$3003,_辅助!$B366-1000)))</f>
      </c>
      <c r="C366" s="14">
        <f>IF(_辅助!$B366="","",IF(_辅助!$B366&lt;=1000,INDEX(存条明细!$D$4:$D$1003,_辅助!$B366),INDEX(出库明细!$D$4:$D$3003,_辅助!$B366-1000)))</f>
      </c>
      <c r="D366" s="14">
        <f>IF($B366="","",IFERROR(SUMIFS(存条明细!E:E,存条明细!C:C,$B366,存条明细!D:D,$C366),0))</f>
      </c>
      <c r="E366" s="156">
        <f>IF(OR($B366="",N(D366)=0),"",ROUND(F366/D366,2))</f>
      </c>
      <c r="F366" s="156">
        <f>IF($B366="","",IFERROR(SUMIFS(存条明细!G:G,存条明细!C:C,$B366,存条明细!D:D,$C366),0))</f>
      </c>
      <c r="G366" s="14">
        <f>IF($B366="","",IFERROR(SUMIFS(出库明细!E:E,出库明细!C:C,$B366,出库明细!D:D,$C366),0))</f>
      </c>
      <c r="H366" s="156">
        <f>IF($B366="","",IFERROR(SUMIFS(出库明细!G:G,出库明细!C:C,$B366,出库明细!D:D,$C366),0))</f>
      </c>
      <c r="I366" s="14">
        <f>IF($B366="","",D366-G366)</f>
      </c>
      <c r="J366" s="156">
        <f>IF($B366="","",F366-H366)</f>
      </c>
      <c r="K366" s="179">
        <f>IF($B366="","",MAX(_xlfn.MAXIFS(存条明细!B:B,存条明细!C:C,$B366,存条明细!D:D,$C366),_xlfn.MAXIFS(出库明细!B:B,出库明细!C:C,$B366,出库明细!D:D,$C366)))</f>
      </c>
    </row>
    <row r="367" ht="15" customHeight="1" s="71">
      <c r="A367" s="14">
        <f>IF(B367="","",ROW()-3)</f>
      </c>
      <c r="B367" s="14">
        <f>IF(_辅助!$B367="","",IF(_辅助!$B367&lt;=1000,INDEX(存条明细!$C$4:$C$1003,_辅助!$B367),INDEX(出库明细!$C$4:$C$3003,_辅助!$B367-1000)))</f>
      </c>
      <c r="C367" s="14">
        <f>IF(_辅助!$B367="","",IF(_辅助!$B367&lt;=1000,INDEX(存条明细!$D$4:$D$1003,_辅助!$B367),INDEX(出库明细!$D$4:$D$3003,_辅助!$B367-1000)))</f>
      </c>
      <c r="D367" s="14">
        <f>IF($B367="","",IFERROR(SUMIFS(存条明细!E:E,存条明细!C:C,$B367,存条明细!D:D,$C367),0))</f>
      </c>
      <c r="E367" s="156">
        <f>IF(OR($B367="",N(D367)=0),"",ROUND(F367/D367,2))</f>
      </c>
      <c r="F367" s="156">
        <f>IF($B367="","",IFERROR(SUMIFS(存条明细!G:G,存条明细!C:C,$B367,存条明细!D:D,$C367),0))</f>
      </c>
      <c r="G367" s="14">
        <f>IF($B367="","",IFERROR(SUMIFS(出库明细!E:E,出库明细!C:C,$B367,出库明细!D:D,$C367),0))</f>
      </c>
      <c r="H367" s="156">
        <f>IF($B367="","",IFERROR(SUMIFS(出库明细!G:G,出库明细!C:C,$B367,出库明细!D:D,$C367),0))</f>
      </c>
      <c r="I367" s="14">
        <f>IF($B367="","",D367-G367)</f>
      </c>
      <c r="J367" s="156">
        <f>IF($B367="","",F367-H367)</f>
      </c>
      <c r="K367" s="179">
        <f>IF($B367="","",MAX(_xlfn.MAXIFS(存条明细!B:B,存条明细!C:C,$B367,存条明细!D:D,$C367),_xlfn.MAXIFS(出库明细!B:B,出库明细!C:C,$B367,出库明细!D:D,$C367)))</f>
      </c>
    </row>
    <row r="368" ht="15" customHeight="1" s="71">
      <c r="A368" s="14">
        <f>IF(B368="","",ROW()-3)</f>
      </c>
      <c r="B368" s="14">
        <f>IF(_辅助!$B368="","",IF(_辅助!$B368&lt;=1000,INDEX(存条明细!$C$4:$C$1003,_辅助!$B368),INDEX(出库明细!$C$4:$C$3003,_辅助!$B368-1000)))</f>
      </c>
      <c r="C368" s="14">
        <f>IF(_辅助!$B368="","",IF(_辅助!$B368&lt;=1000,INDEX(存条明细!$D$4:$D$1003,_辅助!$B368),INDEX(出库明细!$D$4:$D$3003,_辅助!$B368-1000)))</f>
      </c>
      <c r="D368" s="14">
        <f>IF($B368="","",IFERROR(SUMIFS(存条明细!E:E,存条明细!C:C,$B368,存条明细!D:D,$C368),0))</f>
      </c>
      <c r="E368" s="156">
        <f>IF(OR($B368="",N(D368)=0),"",ROUND(F368/D368,2))</f>
      </c>
      <c r="F368" s="156">
        <f>IF($B368="","",IFERROR(SUMIFS(存条明细!G:G,存条明细!C:C,$B368,存条明细!D:D,$C368),0))</f>
      </c>
      <c r="G368" s="14">
        <f>IF($B368="","",IFERROR(SUMIFS(出库明细!E:E,出库明细!C:C,$B368,出库明细!D:D,$C368),0))</f>
      </c>
      <c r="H368" s="156">
        <f>IF($B368="","",IFERROR(SUMIFS(出库明细!G:G,出库明细!C:C,$B368,出库明细!D:D,$C368),0))</f>
      </c>
      <c r="I368" s="14">
        <f>IF($B368="","",D368-G368)</f>
      </c>
      <c r="J368" s="156">
        <f>IF($B368="","",F368-H368)</f>
      </c>
      <c r="K368" s="179">
        <f>IF($B368="","",MAX(_xlfn.MAXIFS(存条明细!B:B,存条明细!C:C,$B368,存条明细!D:D,$C368),_xlfn.MAXIFS(出库明细!B:B,出库明细!C:C,$B368,出库明细!D:D,$C368)))</f>
      </c>
    </row>
    <row r="369" ht="15" customHeight="1" s="71">
      <c r="A369" s="14">
        <f>IF(B369="","",ROW()-3)</f>
      </c>
      <c r="B369" s="14">
        <f>IF(_辅助!$B369="","",IF(_辅助!$B369&lt;=1000,INDEX(存条明细!$C$4:$C$1003,_辅助!$B369),INDEX(出库明细!$C$4:$C$3003,_辅助!$B369-1000)))</f>
      </c>
      <c r="C369" s="14">
        <f>IF(_辅助!$B369="","",IF(_辅助!$B369&lt;=1000,INDEX(存条明细!$D$4:$D$1003,_辅助!$B369),INDEX(出库明细!$D$4:$D$3003,_辅助!$B369-1000)))</f>
      </c>
      <c r="D369" s="14">
        <f>IF($B369="","",IFERROR(SUMIFS(存条明细!E:E,存条明细!C:C,$B369,存条明细!D:D,$C369),0))</f>
      </c>
      <c r="E369" s="156">
        <f>IF(OR($B369="",N(D369)=0),"",ROUND(F369/D369,2))</f>
      </c>
      <c r="F369" s="156">
        <f>IF($B369="","",IFERROR(SUMIFS(存条明细!G:G,存条明细!C:C,$B369,存条明细!D:D,$C369),0))</f>
      </c>
      <c r="G369" s="14">
        <f>IF($B369="","",IFERROR(SUMIFS(出库明细!E:E,出库明细!C:C,$B369,出库明细!D:D,$C369),0))</f>
      </c>
      <c r="H369" s="156">
        <f>IF($B369="","",IFERROR(SUMIFS(出库明细!G:G,出库明细!C:C,$B369,出库明细!D:D,$C369),0))</f>
      </c>
      <c r="I369" s="14">
        <f>IF($B369="","",D369-G369)</f>
      </c>
      <c r="J369" s="156">
        <f>IF($B369="","",F369-H369)</f>
      </c>
      <c r="K369" s="179">
        <f>IF($B369="","",MAX(_xlfn.MAXIFS(存条明细!B:B,存条明细!C:C,$B369,存条明细!D:D,$C369),_xlfn.MAXIFS(出库明细!B:B,出库明细!C:C,$B369,出库明细!D:D,$C369)))</f>
      </c>
    </row>
    <row r="370" ht="15" customHeight="1" s="71">
      <c r="A370" s="14">
        <f>IF(B370="","",ROW()-3)</f>
      </c>
      <c r="B370" s="14">
        <f>IF(_辅助!$B370="","",IF(_辅助!$B370&lt;=1000,INDEX(存条明细!$C$4:$C$1003,_辅助!$B370),INDEX(出库明细!$C$4:$C$3003,_辅助!$B370-1000)))</f>
      </c>
      <c r="C370" s="14">
        <f>IF(_辅助!$B370="","",IF(_辅助!$B370&lt;=1000,INDEX(存条明细!$D$4:$D$1003,_辅助!$B370),INDEX(出库明细!$D$4:$D$3003,_辅助!$B370-1000)))</f>
      </c>
      <c r="D370" s="14">
        <f>IF($B370="","",IFERROR(SUMIFS(存条明细!E:E,存条明细!C:C,$B370,存条明细!D:D,$C370),0))</f>
      </c>
      <c r="E370" s="156">
        <f>IF(OR($B370="",N(D370)=0),"",ROUND(F370/D370,2))</f>
      </c>
      <c r="F370" s="156">
        <f>IF($B370="","",IFERROR(SUMIFS(存条明细!G:G,存条明细!C:C,$B370,存条明细!D:D,$C370),0))</f>
      </c>
      <c r="G370" s="14">
        <f>IF($B370="","",IFERROR(SUMIFS(出库明细!E:E,出库明细!C:C,$B370,出库明细!D:D,$C370),0))</f>
      </c>
      <c r="H370" s="156">
        <f>IF($B370="","",IFERROR(SUMIFS(出库明细!G:G,出库明细!C:C,$B370,出库明细!D:D,$C370),0))</f>
      </c>
      <c r="I370" s="14">
        <f>IF($B370="","",D370-G370)</f>
      </c>
      <c r="J370" s="156">
        <f>IF($B370="","",F370-H370)</f>
      </c>
      <c r="K370" s="179">
        <f>IF($B370="","",MAX(_xlfn.MAXIFS(存条明细!B:B,存条明细!C:C,$B370,存条明细!D:D,$C370),_xlfn.MAXIFS(出库明细!B:B,出库明细!C:C,$B370,出库明细!D:D,$C370)))</f>
      </c>
    </row>
    <row r="371" ht="15" customHeight="1" s="71">
      <c r="A371" s="14">
        <f>IF(B371="","",ROW()-3)</f>
      </c>
      <c r="B371" s="14">
        <f>IF(_辅助!$B371="","",IF(_辅助!$B371&lt;=1000,INDEX(存条明细!$C$4:$C$1003,_辅助!$B371),INDEX(出库明细!$C$4:$C$3003,_辅助!$B371-1000)))</f>
      </c>
      <c r="C371" s="14">
        <f>IF(_辅助!$B371="","",IF(_辅助!$B371&lt;=1000,INDEX(存条明细!$D$4:$D$1003,_辅助!$B371),INDEX(出库明细!$D$4:$D$3003,_辅助!$B371-1000)))</f>
      </c>
      <c r="D371" s="14">
        <f>IF($B371="","",IFERROR(SUMIFS(存条明细!E:E,存条明细!C:C,$B371,存条明细!D:D,$C371),0))</f>
      </c>
      <c r="E371" s="156">
        <f>IF(OR($B371="",N(D371)=0),"",ROUND(F371/D371,2))</f>
      </c>
      <c r="F371" s="156">
        <f>IF($B371="","",IFERROR(SUMIFS(存条明细!G:G,存条明细!C:C,$B371,存条明细!D:D,$C371),0))</f>
      </c>
      <c r="G371" s="14">
        <f>IF($B371="","",IFERROR(SUMIFS(出库明细!E:E,出库明细!C:C,$B371,出库明细!D:D,$C371),0))</f>
      </c>
      <c r="H371" s="156">
        <f>IF($B371="","",IFERROR(SUMIFS(出库明细!G:G,出库明细!C:C,$B371,出库明细!D:D,$C371),0))</f>
      </c>
      <c r="I371" s="14">
        <f>IF($B371="","",D371-G371)</f>
      </c>
      <c r="J371" s="156">
        <f>IF($B371="","",F371-H371)</f>
      </c>
      <c r="K371" s="179">
        <f>IF($B371="","",MAX(_xlfn.MAXIFS(存条明细!B:B,存条明细!C:C,$B371,存条明细!D:D,$C371),_xlfn.MAXIFS(出库明细!B:B,出库明细!C:C,$B371,出库明细!D:D,$C371)))</f>
      </c>
    </row>
    <row r="372" ht="15" customHeight="1" s="71">
      <c r="A372" s="14">
        <f>IF(B372="","",ROW()-3)</f>
      </c>
      <c r="B372" s="14">
        <f>IF(_辅助!$B372="","",IF(_辅助!$B372&lt;=1000,INDEX(存条明细!$C$4:$C$1003,_辅助!$B372),INDEX(出库明细!$C$4:$C$3003,_辅助!$B372-1000)))</f>
      </c>
      <c r="C372" s="14">
        <f>IF(_辅助!$B372="","",IF(_辅助!$B372&lt;=1000,INDEX(存条明细!$D$4:$D$1003,_辅助!$B372),INDEX(出库明细!$D$4:$D$3003,_辅助!$B372-1000)))</f>
      </c>
      <c r="D372" s="14">
        <f>IF($B372="","",IFERROR(SUMIFS(存条明细!E:E,存条明细!C:C,$B372,存条明细!D:D,$C372),0))</f>
      </c>
      <c r="E372" s="156">
        <f>IF(OR($B372="",N(D372)=0),"",ROUND(F372/D372,2))</f>
      </c>
      <c r="F372" s="156">
        <f>IF($B372="","",IFERROR(SUMIFS(存条明细!G:G,存条明细!C:C,$B372,存条明细!D:D,$C372),0))</f>
      </c>
      <c r="G372" s="14">
        <f>IF($B372="","",IFERROR(SUMIFS(出库明细!E:E,出库明细!C:C,$B372,出库明细!D:D,$C372),0))</f>
      </c>
      <c r="H372" s="156">
        <f>IF($B372="","",IFERROR(SUMIFS(出库明细!G:G,出库明细!C:C,$B372,出库明细!D:D,$C372),0))</f>
      </c>
      <c r="I372" s="14">
        <f>IF($B372="","",D372-G372)</f>
      </c>
      <c r="J372" s="156">
        <f>IF($B372="","",F372-H372)</f>
      </c>
      <c r="K372" s="179">
        <f>IF($B372="","",MAX(_xlfn.MAXIFS(存条明细!B:B,存条明细!C:C,$B372,存条明细!D:D,$C372),_xlfn.MAXIFS(出库明细!B:B,出库明细!C:C,$B372,出库明细!D:D,$C372)))</f>
      </c>
    </row>
    <row r="373" ht="15" customHeight="1" s="71">
      <c r="A373" s="14">
        <f>IF(B373="","",ROW()-3)</f>
      </c>
      <c r="B373" s="14">
        <f>IF(_辅助!$B373="","",IF(_辅助!$B373&lt;=1000,INDEX(存条明细!$C$4:$C$1003,_辅助!$B373),INDEX(出库明细!$C$4:$C$3003,_辅助!$B373-1000)))</f>
      </c>
      <c r="C373" s="14">
        <f>IF(_辅助!$B373="","",IF(_辅助!$B373&lt;=1000,INDEX(存条明细!$D$4:$D$1003,_辅助!$B373),INDEX(出库明细!$D$4:$D$3003,_辅助!$B373-1000)))</f>
      </c>
      <c r="D373" s="14">
        <f>IF($B373="","",IFERROR(SUMIFS(存条明细!E:E,存条明细!C:C,$B373,存条明细!D:D,$C373),0))</f>
      </c>
      <c r="E373" s="156">
        <f>IF(OR($B373="",N(D373)=0),"",ROUND(F373/D373,2))</f>
      </c>
      <c r="F373" s="156">
        <f>IF($B373="","",IFERROR(SUMIFS(存条明细!G:G,存条明细!C:C,$B373,存条明细!D:D,$C373),0))</f>
      </c>
      <c r="G373" s="14">
        <f>IF($B373="","",IFERROR(SUMIFS(出库明细!E:E,出库明细!C:C,$B373,出库明细!D:D,$C373),0))</f>
      </c>
      <c r="H373" s="156">
        <f>IF($B373="","",IFERROR(SUMIFS(出库明细!G:G,出库明细!C:C,$B373,出库明细!D:D,$C373),0))</f>
      </c>
      <c r="I373" s="14">
        <f>IF($B373="","",D373-G373)</f>
      </c>
      <c r="J373" s="156">
        <f>IF($B373="","",F373-H373)</f>
      </c>
      <c r="K373" s="179">
        <f>IF($B373="","",MAX(_xlfn.MAXIFS(存条明细!B:B,存条明细!C:C,$B373,存条明细!D:D,$C373),_xlfn.MAXIFS(出库明细!B:B,出库明细!C:C,$B373,出库明细!D:D,$C373)))</f>
      </c>
    </row>
    <row r="374" ht="15" customHeight="1" s="71">
      <c r="A374" s="14">
        <f>IF(B374="","",ROW()-3)</f>
      </c>
      <c r="B374" s="14">
        <f>IF(_辅助!$B374="","",IF(_辅助!$B374&lt;=1000,INDEX(存条明细!$C$4:$C$1003,_辅助!$B374),INDEX(出库明细!$C$4:$C$3003,_辅助!$B374-1000)))</f>
      </c>
      <c r="C374" s="14">
        <f>IF(_辅助!$B374="","",IF(_辅助!$B374&lt;=1000,INDEX(存条明细!$D$4:$D$1003,_辅助!$B374),INDEX(出库明细!$D$4:$D$3003,_辅助!$B374-1000)))</f>
      </c>
      <c r="D374" s="14">
        <f>IF($B374="","",IFERROR(SUMIFS(存条明细!E:E,存条明细!C:C,$B374,存条明细!D:D,$C374),0))</f>
      </c>
      <c r="E374" s="156">
        <f>IF(OR($B374="",N(D374)=0),"",ROUND(F374/D374,2))</f>
      </c>
      <c r="F374" s="156">
        <f>IF($B374="","",IFERROR(SUMIFS(存条明细!G:G,存条明细!C:C,$B374,存条明细!D:D,$C374),0))</f>
      </c>
      <c r="G374" s="14">
        <f>IF($B374="","",IFERROR(SUMIFS(出库明细!E:E,出库明细!C:C,$B374,出库明细!D:D,$C374),0))</f>
      </c>
      <c r="H374" s="156">
        <f>IF($B374="","",IFERROR(SUMIFS(出库明细!G:G,出库明细!C:C,$B374,出库明细!D:D,$C374),0))</f>
      </c>
      <c r="I374" s="14">
        <f>IF($B374="","",D374-G374)</f>
      </c>
      <c r="J374" s="156">
        <f>IF($B374="","",F374-H374)</f>
      </c>
      <c r="K374" s="179">
        <f>IF($B374="","",MAX(_xlfn.MAXIFS(存条明细!B:B,存条明细!C:C,$B374,存条明细!D:D,$C374),_xlfn.MAXIFS(出库明细!B:B,出库明细!C:C,$B374,出库明细!D:D,$C374)))</f>
      </c>
    </row>
    <row r="375" ht="15" customHeight="1" s="71">
      <c r="A375" s="14">
        <f>IF(B375="","",ROW()-3)</f>
      </c>
      <c r="B375" s="14">
        <f>IF(_辅助!$B375="","",IF(_辅助!$B375&lt;=1000,INDEX(存条明细!$C$4:$C$1003,_辅助!$B375),INDEX(出库明细!$C$4:$C$3003,_辅助!$B375-1000)))</f>
      </c>
      <c r="C375" s="14">
        <f>IF(_辅助!$B375="","",IF(_辅助!$B375&lt;=1000,INDEX(存条明细!$D$4:$D$1003,_辅助!$B375),INDEX(出库明细!$D$4:$D$3003,_辅助!$B375-1000)))</f>
      </c>
      <c r="D375" s="14">
        <f>IF($B375="","",IFERROR(SUMIFS(存条明细!E:E,存条明细!C:C,$B375,存条明细!D:D,$C375),0))</f>
      </c>
      <c r="E375" s="156">
        <f>IF(OR($B375="",N(D375)=0),"",ROUND(F375/D375,2))</f>
      </c>
      <c r="F375" s="156">
        <f>IF($B375="","",IFERROR(SUMIFS(存条明细!G:G,存条明细!C:C,$B375,存条明细!D:D,$C375),0))</f>
      </c>
      <c r="G375" s="14">
        <f>IF($B375="","",IFERROR(SUMIFS(出库明细!E:E,出库明细!C:C,$B375,出库明细!D:D,$C375),0))</f>
      </c>
      <c r="H375" s="156">
        <f>IF($B375="","",IFERROR(SUMIFS(出库明细!G:G,出库明细!C:C,$B375,出库明细!D:D,$C375),0))</f>
      </c>
      <c r="I375" s="14">
        <f>IF($B375="","",D375-G375)</f>
      </c>
      <c r="J375" s="156">
        <f>IF($B375="","",F375-H375)</f>
      </c>
      <c r="K375" s="179">
        <f>IF($B375="","",MAX(_xlfn.MAXIFS(存条明细!B:B,存条明细!C:C,$B375,存条明细!D:D,$C375),_xlfn.MAXIFS(出库明细!B:B,出库明细!C:C,$B375,出库明细!D:D,$C375)))</f>
      </c>
    </row>
    <row r="376" ht="15" customHeight="1" s="71">
      <c r="A376" s="14">
        <f>IF(B376="","",ROW()-3)</f>
      </c>
      <c r="B376" s="14">
        <f>IF(_辅助!$B376="","",IF(_辅助!$B376&lt;=1000,INDEX(存条明细!$C$4:$C$1003,_辅助!$B376),INDEX(出库明细!$C$4:$C$3003,_辅助!$B376-1000)))</f>
      </c>
      <c r="C376" s="14">
        <f>IF(_辅助!$B376="","",IF(_辅助!$B376&lt;=1000,INDEX(存条明细!$D$4:$D$1003,_辅助!$B376),INDEX(出库明细!$D$4:$D$3003,_辅助!$B376-1000)))</f>
      </c>
      <c r="D376" s="14">
        <f>IF($B376="","",IFERROR(SUMIFS(存条明细!E:E,存条明细!C:C,$B376,存条明细!D:D,$C376),0))</f>
      </c>
      <c r="E376" s="156">
        <f>IF(OR($B376="",N(D376)=0),"",ROUND(F376/D376,2))</f>
      </c>
      <c r="F376" s="156">
        <f>IF($B376="","",IFERROR(SUMIFS(存条明细!G:G,存条明细!C:C,$B376,存条明细!D:D,$C376),0))</f>
      </c>
      <c r="G376" s="14">
        <f>IF($B376="","",IFERROR(SUMIFS(出库明细!E:E,出库明细!C:C,$B376,出库明细!D:D,$C376),0))</f>
      </c>
      <c r="H376" s="156">
        <f>IF($B376="","",IFERROR(SUMIFS(出库明细!G:G,出库明细!C:C,$B376,出库明细!D:D,$C376),0))</f>
      </c>
      <c r="I376" s="14">
        <f>IF($B376="","",D376-G376)</f>
      </c>
      <c r="J376" s="156">
        <f>IF($B376="","",F376-H376)</f>
      </c>
      <c r="K376" s="179">
        <f>IF($B376="","",MAX(_xlfn.MAXIFS(存条明细!B:B,存条明细!C:C,$B376,存条明细!D:D,$C376),_xlfn.MAXIFS(出库明细!B:B,出库明细!C:C,$B376,出库明细!D:D,$C376)))</f>
      </c>
    </row>
    <row r="377" ht="15" customHeight="1" s="71">
      <c r="A377" s="14">
        <f>IF(B377="","",ROW()-3)</f>
      </c>
      <c r="B377" s="14">
        <f>IF(_辅助!$B377="","",IF(_辅助!$B377&lt;=1000,INDEX(存条明细!$C$4:$C$1003,_辅助!$B377),INDEX(出库明细!$C$4:$C$3003,_辅助!$B377-1000)))</f>
      </c>
      <c r="C377" s="14">
        <f>IF(_辅助!$B377="","",IF(_辅助!$B377&lt;=1000,INDEX(存条明细!$D$4:$D$1003,_辅助!$B377),INDEX(出库明细!$D$4:$D$3003,_辅助!$B377-1000)))</f>
      </c>
      <c r="D377" s="14">
        <f>IF($B377="","",IFERROR(SUMIFS(存条明细!E:E,存条明细!C:C,$B377,存条明细!D:D,$C377),0))</f>
      </c>
      <c r="E377" s="156">
        <f>IF(OR($B377="",N(D377)=0),"",ROUND(F377/D377,2))</f>
      </c>
      <c r="F377" s="156">
        <f>IF($B377="","",IFERROR(SUMIFS(存条明细!G:G,存条明细!C:C,$B377,存条明细!D:D,$C377),0))</f>
      </c>
      <c r="G377" s="14">
        <f>IF($B377="","",IFERROR(SUMIFS(出库明细!E:E,出库明细!C:C,$B377,出库明细!D:D,$C377),0))</f>
      </c>
      <c r="H377" s="156">
        <f>IF($B377="","",IFERROR(SUMIFS(出库明细!G:G,出库明细!C:C,$B377,出库明细!D:D,$C377),0))</f>
      </c>
      <c r="I377" s="14">
        <f>IF($B377="","",D377-G377)</f>
      </c>
      <c r="J377" s="156">
        <f>IF($B377="","",F377-H377)</f>
      </c>
      <c r="K377" s="179">
        <f>IF($B377="","",MAX(_xlfn.MAXIFS(存条明细!B:B,存条明细!C:C,$B377,存条明细!D:D,$C377),_xlfn.MAXIFS(出库明细!B:B,出库明细!C:C,$B377,出库明细!D:D,$C377)))</f>
      </c>
    </row>
    <row r="378" ht="15" customHeight="1" s="71">
      <c r="A378" s="14">
        <f>IF(B378="","",ROW()-3)</f>
      </c>
      <c r="B378" s="14">
        <f>IF(_辅助!$B378="","",IF(_辅助!$B378&lt;=1000,INDEX(存条明细!$C$4:$C$1003,_辅助!$B378),INDEX(出库明细!$C$4:$C$3003,_辅助!$B378-1000)))</f>
      </c>
      <c r="C378" s="14">
        <f>IF(_辅助!$B378="","",IF(_辅助!$B378&lt;=1000,INDEX(存条明细!$D$4:$D$1003,_辅助!$B378),INDEX(出库明细!$D$4:$D$3003,_辅助!$B378-1000)))</f>
      </c>
      <c r="D378" s="14">
        <f>IF($B378="","",IFERROR(SUMIFS(存条明细!E:E,存条明细!C:C,$B378,存条明细!D:D,$C378),0))</f>
      </c>
      <c r="E378" s="156">
        <f>IF(OR($B378="",N(D378)=0),"",ROUND(F378/D378,2))</f>
      </c>
      <c r="F378" s="156">
        <f>IF($B378="","",IFERROR(SUMIFS(存条明细!G:G,存条明细!C:C,$B378,存条明细!D:D,$C378),0))</f>
      </c>
      <c r="G378" s="14">
        <f>IF($B378="","",IFERROR(SUMIFS(出库明细!E:E,出库明细!C:C,$B378,出库明细!D:D,$C378),0))</f>
      </c>
      <c r="H378" s="156">
        <f>IF($B378="","",IFERROR(SUMIFS(出库明细!G:G,出库明细!C:C,$B378,出库明细!D:D,$C378),0))</f>
      </c>
      <c r="I378" s="14">
        <f>IF($B378="","",D378-G378)</f>
      </c>
      <c r="J378" s="156">
        <f>IF($B378="","",F378-H378)</f>
      </c>
      <c r="K378" s="179">
        <f>IF($B378="","",MAX(_xlfn.MAXIFS(存条明细!B:B,存条明细!C:C,$B378,存条明细!D:D,$C378),_xlfn.MAXIFS(出库明细!B:B,出库明细!C:C,$B378,出库明细!D:D,$C378)))</f>
      </c>
    </row>
    <row r="379" ht="15" customHeight="1" s="71">
      <c r="A379" s="14">
        <f>IF(B379="","",ROW()-3)</f>
      </c>
      <c r="B379" s="14">
        <f>IF(_辅助!$B379="","",IF(_辅助!$B379&lt;=1000,INDEX(存条明细!$C$4:$C$1003,_辅助!$B379),INDEX(出库明细!$C$4:$C$3003,_辅助!$B379-1000)))</f>
      </c>
      <c r="C379" s="14">
        <f>IF(_辅助!$B379="","",IF(_辅助!$B379&lt;=1000,INDEX(存条明细!$D$4:$D$1003,_辅助!$B379),INDEX(出库明细!$D$4:$D$3003,_辅助!$B379-1000)))</f>
      </c>
      <c r="D379" s="14">
        <f>IF($B379="","",IFERROR(SUMIFS(存条明细!E:E,存条明细!C:C,$B379,存条明细!D:D,$C379),0))</f>
      </c>
      <c r="E379" s="156">
        <f>IF(OR($B379="",N(D379)=0),"",ROUND(F379/D379,2))</f>
      </c>
      <c r="F379" s="156">
        <f>IF($B379="","",IFERROR(SUMIFS(存条明细!G:G,存条明细!C:C,$B379,存条明细!D:D,$C379),0))</f>
      </c>
      <c r="G379" s="14">
        <f>IF($B379="","",IFERROR(SUMIFS(出库明细!E:E,出库明细!C:C,$B379,出库明细!D:D,$C379),0))</f>
      </c>
      <c r="H379" s="156">
        <f>IF($B379="","",IFERROR(SUMIFS(出库明细!G:G,出库明细!C:C,$B379,出库明细!D:D,$C379),0))</f>
      </c>
      <c r="I379" s="14">
        <f>IF($B379="","",D379-G379)</f>
      </c>
      <c r="J379" s="156">
        <f>IF($B379="","",F379-H379)</f>
      </c>
      <c r="K379" s="179">
        <f>IF($B379="","",MAX(_xlfn.MAXIFS(存条明细!B:B,存条明细!C:C,$B379,存条明细!D:D,$C379),_xlfn.MAXIFS(出库明细!B:B,出库明细!C:C,$B379,出库明细!D:D,$C379)))</f>
      </c>
    </row>
    <row r="380" ht="15" customHeight="1" s="71">
      <c r="A380" s="14">
        <f>IF(B380="","",ROW()-3)</f>
      </c>
      <c r="B380" s="14">
        <f>IF(_辅助!$B380="","",IF(_辅助!$B380&lt;=1000,INDEX(存条明细!$C$4:$C$1003,_辅助!$B380),INDEX(出库明细!$C$4:$C$3003,_辅助!$B380-1000)))</f>
      </c>
      <c r="C380" s="14">
        <f>IF(_辅助!$B380="","",IF(_辅助!$B380&lt;=1000,INDEX(存条明细!$D$4:$D$1003,_辅助!$B380),INDEX(出库明细!$D$4:$D$3003,_辅助!$B380-1000)))</f>
      </c>
      <c r="D380" s="14">
        <f>IF($B380="","",IFERROR(SUMIFS(存条明细!E:E,存条明细!C:C,$B380,存条明细!D:D,$C380),0))</f>
      </c>
      <c r="E380" s="156">
        <f>IF(OR($B380="",N(D380)=0),"",ROUND(F380/D380,2))</f>
      </c>
      <c r="F380" s="156">
        <f>IF($B380="","",IFERROR(SUMIFS(存条明细!G:G,存条明细!C:C,$B380,存条明细!D:D,$C380),0))</f>
      </c>
      <c r="G380" s="14">
        <f>IF($B380="","",IFERROR(SUMIFS(出库明细!E:E,出库明细!C:C,$B380,出库明细!D:D,$C380),0))</f>
      </c>
      <c r="H380" s="156">
        <f>IF($B380="","",IFERROR(SUMIFS(出库明细!G:G,出库明细!C:C,$B380,出库明细!D:D,$C380),0))</f>
      </c>
      <c r="I380" s="14">
        <f>IF($B380="","",D380-G380)</f>
      </c>
      <c r="J380" s="156">
        <f>IF($B380="","",F380-H380)</f>
      </c>
      <c r="K380" s="179">
        <f>IF($B380="","",MAX(_xlfn.MAXIFS(存条明细!B:B,存条明细!C:C,$B380,存条明细!D:D,$C380),_xlfn.MAXIFS(出库明细!B:B,出库明细!C:C,$B380,出库明细!D:D,$C380)))</f>
      </c>
    </row>
    <row r="381" ht="15" customHeight="1" s="71">
      <c r="A381" s="14">
        <f>IF(B381="","",ROW()-3)</f>
      </c>
      <c r="B381" s="14">
        <f>IF(_辅助!$B381="","",IF(_辅助!$B381&lt;=1000,INDEX(存条明细!$C$4:$C$1003,_辅助!$B381),INDEX(出库明细!$C$4:$C$3003,_辅助!$B381-1000)))</f>
      </c>
      <c r="C381" s="14">
        <f>IF(_辅助!$B381="","",IF(_辅助!$B381&lt;=1000,INDEX(存条明细!$D$4:$D$1003,_辅助!$B381),INDEX(出库明细!$D$4:$D$3003,_辅助!$B381-1000)))</f>
      </c>
      <c r="D381" s="14">
        <f>IF($B381="","",IFERROR(SUMIFS(存条明细!E:E,存条明细!C:C,$B381,存条明细!D:D,$C381),0))</f>
      </c>
      <c r="E381" s="156">
        <f>IF(OR($B381="",N(D381)=0),"",ROUND(F381/D381,2))</f>
      </c>
      <c r="F381" s="156">
        <f>IF($B381="","",IFERROR(SUMIFS(存条明细!G:G,存条明细!C:C,$B381,存条明细!D:D,$C381),0))</f>
      </c>
      <c r="G381" s="14">
        <f>IF($B381="","",IFERROR(SUMIFS(出库明细!E:E,出库明细!C:C,$B381,出库明细!D:D,$C381),0))</f>
      </c>
      <c r="H381" s="156">
        <f>IF($B381="","",IFERROR(SUMIFS(出库明细!G:G,出库明细!C:C,$B381,出库明细!D:D,$C381),0))</f>
      </c>
      <c r="I381" s="14">
        <f>IF($B381="","",D381-G381)</f>
      </c>
      <c r="J381" s="156">
        <f>IF($B381="","",F381-H381)</f>
      </c>
      <c r="K381" s="179">
        <f>IF($B381="","",MAX(_xlfn.MAXIFS(存条明细!B:B,存条明细!C:C,$B381,存条明细!D:D,$C381),_xlfn.MAXIFS(出库明细!B:B,出库明细!C:C,$B381,出库明细!D:D,$C381)))</f>
      </c>
    </row>
    <row r="382" ht="15" customHeight="1" s="71">
      <c r="A382" s="14">
        <f>IF(B382="","",ROW()-3)</f>
      </c>
      <c r="B382" s="14">
        <f>IF(_辅助!$B382="","",IF(_辅助!$B382&lt;=1000,INDEX(存条明细!$C$4:$C$1003,_辅助!$B382),INDEX(出库明细!$C$4:$C$3003,_辅助!$B382-1000)))</f>
      </c>
      <c r="C382" s="14">
        <f>IF(_辅助!$B382="","",IF(_辅助!$B382&lt;=1000,INDEX(存条明细!$D$4:$D$1003,_辅助!$B382),INDEX(出库明细!$D$4:$D$3003,_辅助!$B382-1000)))</f>
      </c>
      <c r="D382" s="14">
        <f>IF($B382="","",IFERROR(SUMIFS(存条明细!E:E,存条明细!C:C,$B382,存条明细!D:D,$C382),0))</f>
      </c>
      <c r="E382" s="156">
        <f>IF(OR($B382="",N(D382)=0),"",ROUND(F382/D382,2))</f>
      </c>
      <c r="F382" s="156">
        <f>IF($B382="","",IFERROR(SUMIFS(存条明细!G:G,存条明细!C:C,$B382,存条明细!D:D,$C382),0))</f>
      </c>
      <c r="G382" s="14">
        <f>IF($B382="","",IFERROR(SUMIFS(出库明细!E:E,出库明细!C:C,$B382,出库明细!D:D,$C382),0))</f>
      </c>
      <c r="H382" s="156">
        <f>IF($B382="","",IFERROR(SUMIFS(出库明细!G:G,出库明细!C:C,$B382,出库明细!D:D,$C382),0))</f>
      </c>
      <c r="I382" s="14">
        <f>IF($B382="","",D382-G382)</f>
      </c>
      <c r="J382" s="156">
        <f>IF($B382="","",F382-H382)</f>
      </c>
      <c r="K382" s="179">
        <f>IF($B382="","",MAX(_xlfn.MAXIFS(存条明细!B:B,存条明细!C:C,$B382,存条明细!D:D,$C382),_xlfn.MAXIFS(出库明细!B:B,出库明细!C:C,$B382,出库明细!D:D,$C382)))</f>
      </c>
    </row>
    <row r="383" ht="15" customHeight="1" s="71">
      <c r="A383" s="14">
        <f>IF(B383="","",ROW()-3)</f>
      </c>
      <c r="B383" s="14">
        <f>IF(_辅助!$B383="","",IF(_辅助!$B383&lt;=1000,INDEX(存条明细!$C$4:$C$1003,_辅助!$B383),INDEX(出库明细!$C$4:$C$3003,_辅助!$B383-1000)))</f>
      </c>
      <c r="C383" s="14">
        <f>IF(_辅助!$B383="","",IF(_辅助!$B383&lt;=1000,INDEX(存条明细!$D$4:$D$1003,_辅助!$B383),INDEX(出库明细!$D$4:$D$3003,_辅助!$B383-1000)))</f>
      </c>
      <c r="D383" s="14">
        <f>IF($B383="","",IFERROR(SUMIFS(存条明细!E:E,存条明细!C:C,$B383,存条明细!D:D,$C383),0))</f>
      </c>
      <c r="E383" s="156">
        <f>IF(OR($B383="",N(D383)=0),"",ROUND(F383/D383,2))</f>
      </c>
      <c r="F383" s="156">
        <f>IF($B383="","",IFERROR(SUMIFS(存条明细!G:G,存条明细!C:C,$B383,存条明细!D:D,$C383),0))</f>
      </c>
      <c r="G383" s="14">
        <f>IF($B383="","",IFERROR(SUMIFS(出库明细!E:E,出库明细!C:C,$B383,出库明细!D:D,$C383),0))</f>
      </c>
      <c r="H383" s="156">
        <f>IF($B383="","",IFERROR(SUMIFS(出库明细!G:G,出库明细!C:C,$B383,出库明细!D:D,$C383),0))</f>
      </c>
      <c r="I383" s="14">
        <f>IF($B383="","",D383-G383)</f>
      </c>
      <c r="J383" s="156">
        <f>IF($B383="","",F383-H383)</f>
      </c>
      <c r="K383" s="179">
        <f>IF($B383="","",MAX(_xlfn.MAXIFS(存条明细!B:B,存条明细!C:C,$B383,存条明细!D:D,$C383),_xlfn.MAXIFS(出库明细!B:B,出库明细!C:C,$B383,出库明细!D:D,$C383)))</f>
      </c>
    </row>
    <row r="384" ht="15" customHeight="1" s="71">
      <c r="A384" s="14">
        <f>IF(B384="","",ROW()-3)</f>
      </c>
      <c r="B384" s="14">
        <f>IF(_辅助!$B384="","",IF(_辅助!$B384&lt;=1000,INDEX(存条明细!$C$4:$C$1003,_辅助!$B384),INDEX(出库明细!$C$4:$C$3003,_辅助!$B384-1000)))</f>
      </c>
      <c r="C384" s="14">
        <f>IF(_辅助!$B384="","",IF(_辅助!$B384&lt;=1000,INDEX(存条明细!$D$4:$D$1003,_辅助!$B384),INDEX(出库明细!$D$4:$D$3003,_辅助!$B384-1000)))</f>
      </c>
      <c r="D384" s="14">
        <f>IF($B384="","",IFERROR(SUMIFS(存条明细!E:E,存条明细!C:C,$B384,存条明细!D:D,$C384),0))</f>
      </c>
      <c r="E384" s="156">
        <f>IF(OR($B384="",N(D384)=0),"",ROUND(F384/D384,2))</f>
      </c>
      <c r="F384" s="156">
        <f>IF($B384="","",IFERROR(SUMIFS(存条明细!G:G,存条明细!C:C,$B384,存条明细!D:D,$C384),0))</f>
      </c>
      <c r="G384" s="14">
        <f>IF($B384="","",IFERROR(SUMIFS(出库明细!E:E,出库明细!C:C,$B384,出库明细!D:D,$C384),0))</f>
      </c>
      <c r="H384" s="156">
        <f>IF($B384="","",IFERROR(SUMIFS(出库明细!G:G,出库明细!C:C,$B384,出库明细!D:D,$C384),0))</f>
      </c>
      <c r="I384" s="14">
        <f>IF($B384="","",D384-G384)</f>
      </c>
      <c r="J384" s="156">
        <f>IF($B384="","",F384-H384)</f>
      </c>
      <c r="K384" s="179">
        <f>IF($B384="","",MAX(_xlfn.MAXIFS(存条明细!B:B,存条明细!C:C,$B384,存条明细!D:D,$C384),_xlfn.MAXIFS(出库明细!B:B,出库明细!C:C,$B384,出库明细!D:D,$C384)))</f>
      </c>
    </row>
    <row r="385" ht="15" customHeight="1" s="71">
      <c r="A385" s="14">
        <f>IF(B385="","",ROW()-3)</f>
      </c>
      <c r="B385" s="14">
        <f>IF(_辅助!$B385="","",IF(_辅助!$B385&lt;=1000,INDEX(存条明细!$C$4:$C$1003,_辅助!$B385),INDEX(出库明细!$C$4:$C$3003,_辅助!$B385-1000)))</f>
      </c>
      <c r="C385" s="14">
        <f>IF(_辅助!$B385="","",IF(_辅助!$B385&lt;=1000,INDEX(存条明细!$D$4:$D$1003,_辅助!$B385),INDEX(出库明细!$D$4:$D$3003,_辅助!$B385-1000)))</f>
      </c>
      <c r="D385" s="14">
        <f>IF($B385="","",IFERROR(SUMIFS(存条明细!E:E,存条明细!C:C,$B385,存条明细!D:D,$C385),0))</f>
      </c>
      <c r="E385" s="156">
        <f>IF(OR($B385="",N(D385)=0),"",ROUND(F385/D385,2))</f>
      </c>
      <c r="F385" s="156">
        <f>IF($B385="","",IFERROR(SUMIFS(存条明细!G:G,存条明细!C:C,$B385,存条明细!D:D,$C385),0))</f>
      </c>
      <c r="G385" s="14">
        <f>IF($B385="","",IFERROR(SUMIFS(出库明细!E:E,出库明细!C:C,$B385,出库明细!D:D,$C385),0))</f>
      </c>
      <c r="H385" s="156">
        <f>IF($B385="","",IFERROR(SUMIFS(出库明细!G:G,出库明细!C:C,$B385,出库明细!D:D,$C385),0))</f>
      </c>
      <c r="I385" s="14">
        <f>IF($B385="","",D385-G385)</f>
      </c>
      <c r="J385" s="156">
        <f>IF($B385="","",F385-H385)</f>
      </c>
      <c r="K385" s="179">
        <f>IF($B385="","",MAX(_xlfn.MAXIFS(存条明细!B:B,存条明细!C:C,$B385,存条明细!D:D,$C385),_xlfn.MAXIFS(出库明细!B:B,出库明细!C:C,$B385,出库明细!D:D,$C385)))</f>
      </c>
    </row>
    <row r="386" ht="15" customHeight="1" s="71">
      <c r="A386" s="14">
        <f>IF(B386="","",ROW()-3)</f>
      </c>
      <c r="B386" s="14">
        <f>IF(_辅助!$B386="","",IF(_辅助!$B386&lt;=1000,INDEX(存条明细!$C$4:$C$1003,_辅助!$B386),INDEX(出库明细!$C$4:$C$3003,_辅助!$B386-1000)))</f>
      </c>
      <c r="C386" s="14">
        <f>IF(_辅助!$B386="","",IF(_辅助!$B386&lt;=1000,INDEX(存条明细!$D$4:$D$1003,_辅助!$B386),INDEX(出库明细!$D$4:$D$3003,_辅助!$B386-1000)))</f>
      </c>
      <c r="D386" s="14">
        <f>IF($B386="","",IFERROR(SUMIFS(存条明细!E:E,存条明细!C:C,$B386,存条明细!D:D,$C386),0))</f>
      </c>
      <c r="E386" s="156">
        <f>IF(OR($B386="",N(D386)=0),"",ROUND(F386/D386,2))</f>
      </c>
      <c r="F386" s="156">
        <f>IF($B386="","",IFERROR(SUMIFS(存条明细!G:G,存条明细!C:C,$B386,存条明细!D:D,$C386),0))</f>
      </c>
      <c r="G386" s="14">
        <f>IF($B386="","",IFERROR(SUMIFS(出库明细!E:E,出库明细!C:C,$B386,出库明细!D:D,$C386),0))</f>
      </c>
      <c r="H386" s="156">
        <f>IF($B386="","",IFERROR(SUMIFS(出库明细!G:G,出库明细!C:C,$B386,出库明细!D:D,$C386),0))</f>
      </c>
      <c r="I386" s="14">
        <f>IF($B386="","",D386-G386)</f>
      </c>
      <c r="J386" s="156">
        <f>IF($B386="","",F386-H386)</f>
      </c>
      <c r="K386" s="179">
        <f>IF($B386="","",MAX(_xlfn.MAXIFS(存条明细!B:B,存条明细!C:C,$B386,存条明细!D:D,$C386),_xlfn.MAXIFS(出库明细!B:B,出库明细!C:C,$B386,出库明细!D:D,$C386)))</f>
      </c>
    </row>
    <row r="387" ht="15" customHeight="1" s="71">
      <c r="A387" s="14">
        <f>IF(B387="","",ROW()-3)</f>
      </c>
      <c r="B387" s="14">
        <f>IF(_辅助!$B387="","",IF(_辅助!$B387&lt;=1000,INDEX(存条明细!$C$4:$C$1003,_辅助!$B387),INDEX(出库明细!$C$4:$C$3003,_辅助!$B387-1000)))</f>
      </c>
      <c r="C387" s="14">
        <f>IF(_辅助!$B387="","",IF(_辅助!$B387&lt;=1000,INDEX(存条明细!$D$4:$D$1003,_辅助!$B387),INDEX(出库明细!$D$4:$D$3003,_辅助!$B387-1000)))</f>
      </c>
      <c r="D387" s="14">
        <f>IF($B387="","",IFERROR(SUMIFS(存条明细!E:E,存条明细!C:C,$B387,存条明细!D:D,$C387),0))</f>
      </c>
      <c r="E387" s="156">
        <f>IF(OR($B387="",N(D387)=0),"",ROUND(F387/D387,2))</f>
      </c>
      <c r="F387" s="156">
        <f>IF($B387="","",IFERROR(SUMIFS(存条明细!G:G,存条明细!C:C,$B387,存条明细!D:D,$C387),0))</f>
      </c>
      <c r="G387" s="14">
        <f>IF($B387="","",IFERROR(SUMIFS(出库明细!E:E,出库明细!C:C,$B387,出库明细!D:D,$C387),0))</f>
      </c>
      <c r="H387" s="156">
        <f>IF($B387="","",IFERROR(SUMIFS(出库明细!G:G,出库明细!C:C,$B387,出库明细!D:D,$C387),0))</f>
      </c>
      <c r="I387" s="14">
        <f>IF($B387="","",D387-G387)</f>
      </c>
      <c r="J387" s="156">
        <f>IF($B387="","",F387-H387)</f>
      </c>
      <c r="K387" s="179">
        <f>IF($B387="","",MAX(_xlfn.MAXIFS(存条明细!B:B,存条明细!C:C,$B387,存条明细!D:D,$C387),_xlfn.MAXIFS(出库明细!B:B,出库明细!C:C,$B387,出库明细!D:D,$C387)))</f>
      </c>
    </row>
    <row r="388" ht="15" customHeight="1" s="71">
      <c r="A388" s="14">
        <f>IF(B388="","",ROW()-3)</f>
      </c>
      <c r="B388" s="14">
        <f>IF(_辅助!$B388="","",IF(_辅助!$B388&lt;=1000,INDEX(存条明细!$C$4:$C$1003,_辅助!$B388),INDEX(出库明细!$C$4:$C$3003,_辅助!$B388-1000)))</f>
      </c>
      <c r="C388" s="14">
        <f>IF(_辅助!$B388="","",IF(_辅助!$B388&lt;=1000,INDEX(存条明细!$D$4:$D$1003,_辅助!$B388),INDEX(出库明细!$D$4:$D$3003,_辅助!$B388-1000)))</f>
      </c>
      <c r="D388" s="14">
        <f>IF($B388="","",IFERROR(SUMIFS(存条明细!E:E,存条明细!C:C,$B388,存条明细!D:D,$C388),0))</f>
      </c>
      <c r="E388" s="156">
        <f>IF(OR($B388="",N(D388)=0),"",ROUND(F388/D388,2))</f>
      </c>
      <c r="F388" s="156">
        <f>IF($B388="","",IFERROR(SUMIFS(存条明细!G:G,存条明细!C:C,$B388,存条明细!D:D,$C388),0))</f>
      </c>
      <c r="G388" s="14">
        <f>IF($B388="","",IFERROR(SUMIFS(出库明细!E:E,出库明细!C:C,$B388,出库明细!D:D,$C388),0))</f>
      </c>
      <c r="H388" s="156">
        <f>IF($B388="","",IFERROR(SUMIFS(出库明细!G:G,出库明细!C:C,$B388,出库明细!D:D,$C388),0))</f>
      </c>
      <c r="I388" s="14">
        <f>IF($B388="","",D388-G388)</f>
      </c>
      <c r="J388" s="156">
        <f>IF($B388="","",F388-H388)</f>
      </c>
      <c r="K388" s="179">
        <f>IF($B388="","",MAX(_xlfn.MAXIFS(存条明细!B:B,存条明细!C:C,$B388,存条明细!D:D,$C388),_xlfn.MAXIFS(出库明细!B:B,出库明细!C:C,$B388,出库明细!D:D,$C388)))</f>
      </c>
    </row>
    <row r="389" ht="15" customHeight="1" s="71">
      <c r="A389" s="14">
        <f>IF(B389="","",ROW()-3)</f>
      </c>
      <c r="B389" s="14">
        <f>IF(_辅助!$B389="","",IF(_辅助!$B389&lt;=1000,INDEX(存条明细!$C$4:$C$1003,_辅助!$B389),INDEX(出库明细!$C$4:$C$3003,_辅助!$B389-1000)))</f>
      </c>
      <c r="C389" s="14">
        <f>IF(_辅助!$B389="","",IF(_辅助!$B389&lt;=1000,INDEX(存条明细!$D$4:$D$1003,_辅助!$B389),INDEX(出库明细!$D$4:$D$3003,_辅助!$B389-1000)))</f>
      </c>
      <c r="D389" s="14">
        <f>IF($B389="","",IFERROR(SUMIFS(存条明细!E:E,存条明细!C:C,$B389,存条明细!D:D,$C389),0))</f>
      </c>
      <c r="E389" s="156">
        <f>IF(OR($B389="",N(D389)=0),"",ROUND(F389/D389,2))</f>
      </c>
      <c r="F389" s="156">
        <f>IF($B389="","",IFERROR(SUMIFS(存条明细!G:G,存条明细!C:C,$B389,存条明细!D:D,$C389),0))</f>
      </c>
      <c r="G389" s="14">
        <f>IF($B389="","",IFERROR(SUMIFS(出库明细!E:E,出库明细!C:C,$B389,出库明细!D:D,$C389),0))</f>
      </c>
      <c r="H389" s="156">
        <f>IF($B389="","",IFERROR(SUMIFS(出库明细!G:G,出库明细!C:C,$B389,出库明细!D:D,$C389),0))</f>
      </c>
      <c r="I389" s="14">
        <f>IF($B389="","",D389-G389)</f>
      </c>
      <c r="J389" s="156">
        <f>IF($B389="","",F389-H389)</f>
      </c>
      <c r="K389" s="179">
        <f>IF($B389="","",MAX(_xlfn.MAXIFS(存条明细!B:B,存条明细!C:C,$B389,存条明细!D:D,$C389),_xlfn.MAXIFS(出库明细!B:B,出库明细!C:C,$B389,出库明细!D:D,$C389)))</f>
      </c>
    </row>
    <row r="390" ht="15" customHeight="1" s="71">
      <c r="A390" s="14">
        <f>IF(B390="","",ROW()-3)</f>
      </c>
      <c r="B390" s="14">
        <f>IF(_辅助!$B390="","",IF(_辅助!$B390&lt;=1000,INDEX(存条明细!$C$4:$C$1003,_辅助!$B390),INDEX(出库明细!$C$4:$C$3003,_辅助!$B390-1000)))</f>
      </c>
      <c r="C390" s="14">
        <f>IF(_辅助!$B390="","",IF(_辅助!$B390&lt;=1000,INDEX(存条明细!$D$4:$D$1003,_辅助!$B390),INDEX(出库明细!$D$4:$D$3003,_辅助!$B390-1000)))</f>
      </c>
      <c r="D390" s="14">
        <f>IF($B390="","",IFERROR(SUMIFS(存条明细!E:E,存条明细!C:C,$B390,存条明细!D:D,$C390),0))</f>
      </c>
      <c r="E390" s="156">
        <f>IF(OR($B390="",N(D390)=0),"",ROUND(F390/D390,2))</f>
      </c>
      <c r="F390" s="156">
        <f>IF($B390="","",IFERROR(SUMIFS(存条明细!G:G,存条明细!C:C,$B390,存条明细!D:D,$C390),0))</f>
      </c>
      <c r="G390" s="14">
        <f>IF($B390="","",IFERROR(SUMIFS(出库明细!E:E,出库明细!C:C,$B390,出库明细!D:D,$C390),0))</f>
      </c>
      <c r="H390" s="156">
        <f>IF($B390="","",IFERROR(SUMIFS(出库明细!G:G,出库明细!C:C,$B390,出库明细!D:D,$C390),0))</f>
      </c>
      <c r="I390" s="14">
        <f>IF($B390="","",D390-G390)</f>
      </c>
      <c r="J390" s="156">
        <f>IF($B390="","",F390-H390)</f>
      </c>
      <c r="K390" s="179">
        <f>IF($B390="","",MAX(_xlfn.MAXIFS(存条明细!B:B,存条明细!C:C,$B390,存条明细!D:D,$C390),_xlfn.MAXIFS(出库明细!B:B,出库明细!C:C,$B390,出库明细!D:D,$C390)))</f>
      </c>
    </row>
    <row r="391" ht="15" customHeight="1" s="71">
      <c r="A391" s="14">
        <f>IF(B391="","",ROW()-3)</f>
      </c>
      <c r="B391" s="14">
        <f>IF(_辅助!$B391="","",IF(_辅助!$B391&lt;=1000,INDEX(存条明细!$C$4:$C$1003,_辅助!$B391),INDEX(出库明细!$C$4:$C$3003,_辅助!$B391-1000)))</f>
      </c>
      <c r="C391" s="14">
        <f>IF(_辅助!$B391="","",IF(_辅助!$B391&lt;=1000,INDEX(存条明细!$D$4:$D$1003,_辅助!$B391),INDEX(出库明细!$D$4:$D$3003,_辅助!$B391-1000)))</f>
      </c>
      <c r="D391" s="14">
        <f>IF($B391="","",IFERROR(SUMIFS(存条明细!E:E,存条明细!C:C,$B391,存条明细!D:D,$C391),0))</f>
      </c>
      <c r="E391" s="156">
        <f>IF(OR($B391="",N(D391)=0),"",ROUND(F391/D391,2))</f>
      </c>
      <c r="F391" s="156">
        <f>IF($B391="","",IFERROR(SUMIFS(存条明细!G:G,存条明细!C:C,$B391,存条明细!D:D,$C391),0))</f>
      </c>
      <c r="G391" s="14">
        <f>IF($B391="","",IFERROR(SUMIFS(出库明细!E:E,出库明细!C:C,$B391,出库明细!D:D,$C391),0))</f>
      </c>
      <c r="H391" s="156">
        <f>IF($B391="","",IFERROR(SUMIFS(出库明细!G:G,出库明细!C:C,$B391,出库明细!D:D,$C391),0))</f>
      </c>
      <c r="I391" s="14">
        <f>IF($B391="","",D391-G391)</f>
      </c>
      <c r="J391" s="156">
        <f>IF($B391="","",F391-H391)</f>
      </c>
      <c r="K391" s="179">
        <f>IF($B391="","",MAX(_xlfn.MAXIFS(存条明细!B:B,存条明细!C:C,$B391,存条明细!D:D,$C391),_xlfn.MAXIFS(出库明细!B:B,出库明细!C:C,$B391,出库明细!D:D,$C391)))</f>
      </c>
    </row>
    <row r="392" ht="15" customHeight="1" s="71">
      <c r="A392" s="14">
        <f>IF(B392="","",ROW()-3)</f>
      </c>
      <c r="B392" s="14">
        <f>IF(_辅助!$B392="","",IF(_辅助!$B392&lt;=1000,INDEX(存条明细!$C$4:$C$1003,_辅助!$B392),INDEX(出库明细!$C$4:$C$3003,_辅助!$B392-1000)))</f>
      </c>
      <c r="C392" s="14">
        <f>IF(_辅助!$B392="","",IF(_辅助!$B392&lt;=1000,INDEX(存条明细!$D$4:$D$1003,_辅助!$B392),INDEX(出库明细!$D$4:$D$3003,_辅助!$B392-1000)))</f>
      </c>
      <c r="D392" s="14">
        <f>IF($B392="","",IFERROR(SUMIFS(存条明细!E:E,存条明细!C:C,$B392,存条明细!D:D,$C392),0))</f>
      </c>
      <c r="E392" s="156">
        <f>IF(OR($B392="",N(D392)=0),"",ROUND(F392/D392,2))</f>
      </c>
      <c r="F392" s="156">
        <f>IF($B392="","",IFERROR(SUMIFS(存条明细!G:G,存条明细!C:C,$B392,存条明细!D:D,$C392),0))</f>
      </c>
      <c r="G392" s="14">
        <f>IF($B392="","",IFERROR(SUMIFS(出库明细!E:E,出库明细!C:C,$B392,出库明细!D:D,$C392),0))</f>
      </c>
      <c r="H392" s="156">
        <f>IF($B392="","",IFERROR(SUMIFS(出库明细!G:G,出库明细!C:C,$B392,出库明细!D:D,$C392),0))</f>
      </c>
      <c r="I392" s="14">
        <f>IF($B392="","",D392-G392)</f>
      </c>
      <c r="J392" s="156">
        <f>IF($B392="","",F392-H392)</f>
      </c>
      <c r="K392" s="179">
        <f>IF($B392="","",MAX(_xlfn.MAXIFS(存条明细!B:B,存条明细!C:C,$B392,存条明细!D:D,$C392),_xlfn.MAXIFS(出库明细!B:B,出库明细!C:C,$B392,出库明细!D:D,$C392)))</f>
      </c>
    </row>
    <row r="393" ht="15" customHeight="1" s="71">
      <c r="A393" s="14">
        <f>IF(B393="","",ROW()-3)</f>
      </c>
      <c r="B393" s="14">
        <f>IF(_辅助!$B393="","",IF(_辅助!$B393&lt;=1000,INDEX(存条明细!$C$4:$C$1003,_辅助!$B393),INDEX(出库明细!$C$4:$C$3003,_辅助!$B393-1000)))</f>
      </c>
      <c r="C393" s="14">
        <f>IF(_辅助!$B393="","",IF(_辅助!$B393&lt;=1000,INDEX(存条明细!$D$4:$D$1003,_辅助!$B393),INDEX(出库明细!$D$4:$D$3003,_辅助!$B393-1000)))</f>
      </c>
      <c r="D393" s="14">
        <f>IF($B393="","",IFERROR(SUMIFS(存条明细!E:E,存条明细!C:C,$B393,存条明细!D:D,$C393),0))</f>
      </c>
      <c r="E393" s="156">
        <f>IF(OR($B393="",N(D393)=0),"",ROUND(F393/D393,2))</f>
      </c>
      <c r="F393" s="156">
        <f>IF($B393="","",IFERROR(SUMIFS(存条明细!G:G,存条明细!C:C,$B393,存条明细!D:D,$C393),0))</f>
      </c>
      <c r="G393" s="14">
        <f>IF($B393="","",IFERROR(SUMIFS(出库明细!E:E,出库明细!C:C,$B393,出库明细!D:D,$C393),0))</f>
      </c>
      <c r="H393" s="156">
        <f>IF($B393="","",IFERROR(SUMIFS(出库明细!G:G,出库明细!C:C,$B393,出库明细!D:D,$C393),0))</f>
      </c>
      <c r="I393" s="14">
        <f>IF($B393="","",D393-G393)</f>
      </c>
      <c r="J393" s="156">
        <f>IF($B393="","",F393-H393)</f>
      </c>
      <c r="K393" s="179">
        <f>IF($B393="","",MAX(_xlfn.MAXIFS(存条明细!B:B,存条明细!C:C,$B393,存条明细!D:D,$C393),_xlfn.MAXIFS(出库明细!B:B,出库明细!C:C,$B393,出库明细!D:D,$C393)))</f>
      </c>
    </row>
    <row r="394" ht="15" customHeight="1" s="71">
      <c r="A394" s="14">
        <f>IF(B394="","",ROW()-3)</f>
      </c>
      <c r="B394" s="14">
        <f>IF(_辅助!$B394="","",IF(_辅助!$B394&lt;=1000,INDEX(存条明细!$C$4:$C$1003,_辅助!$B394),INDEX(出库明细!$C$4:$C$3003,_辅助!$B394-1000)))</f>
      </c>
      <c r="C394" s="14">
        <f>IF(_辅助!$B394="","",IF(_辅助!$B394&lt;=1000,INDEX(存条明细!$D$4:$D$1003,_辅助!$B394),INDEX(出库明细!$D$4:$D$3003,_辅助!$B394-1000)))</f>
      </c>
      <c r="D394" s="14">
        <f>IF($B394="","",IFERROR(SUMIFS(存条明细!E:E,存条明细!C:C,$B394,存条明细!D:D,$C394),0))</f>
      </c>
      <c r="E394" s="156">
        <f>IF(OR($B394="",N(D394)=0),"",ROUND(F394/D394,2))</f>
      </c>
      <c r="F394" s="156">
        <f>IF($B394="","",IFERROR(SUMIFS(存条明细!G:G,存条明细!C:C,$B394,存条明细!D:D,$C394),0))</f>
      </c>
      <c r="G394" s="14">
        <f>IF($B394="","",IFERROR(SUMIFS(出库明细!E:E,出库明细!C:C,$B394,出库明细!D:D,$C394),0))</f>
      </c>
      <c r="H394" s="156">
        <f>IF($B394="","",IFERROR(SUMIFS(出库明细!G:G,出库明细!C:C,$B394,出库明细!D:D,$C394),0))</f>
      </c>
      <c r="I394" s="14">
        <f>IF($B394="","",D394-G394)</f>
      </c>
      <c r="J394" s="156">
        <f>IF($B394="","",F394-H394)</f>
      </c>
      <c r="K394" s="179">
        <f>IF($B394="","",MAX(_xlfn.MAXIFS(存条明细!B:B,存条明细!C:C,$B394,存条明细!D:D,$C394),_xlfn.MAXIFS(出库明细!B:B,出库明细!C:C,$B394,出库明细!D:D,$C394)))</f>
      </c>
    </row>
    <row r="395" ht="15" customHeight="1" s="71">
      <c r="A395" s="14">
        <f>IF(B395="","",ROW()-3)</f>
      </c>
      <c r="B395" s="14">
        <f>IF(_辅助!$B395="","",IF(_辅助!$B395&lt;=1000,INDEX(存条明细!$C$4:$C$1003,_辅助!$B395),INDEX(出库明细!$C$4:$C$3003,_辅助!$B395-1000)))</f>
      </c>
      <c r="C395" s="14">
        <f>IF(_辅助!$B395="","",IF(_辅助!$B395&lt;=1000,INDEX(存条明细!$D$4:$D$1003,_辅助!$B395),INDEX(出库明细!$D$4:$D$3003,_辅助!$B395-1000)))</f>
      </c>
      <c r="D395" s="14">
        <f>IF($B395="","",IFERROR(SUMIFS(存条明细!E:E,存条明细!C:C,$B395,存条明细!D:D,$C395),0))</f>
      </c>
      <c r="E395" s="156">
        <f>IF(OR($B395="",N(D395)=0),"",ROUND(F395/D395,2))</f>
      </c>
      <c r="F395" s="156">
        <f>IF($B395="","",IFERROR(SUMIFS(存条明细!G:G,存条明细!C:C,$B395,存条明细!D:D,$C395),0))</f>
      </c>
      <c r="G395" s="14">
        <f>IF($B395="","",IFERROR(SUMIFS(出库明细!E:E,出库明细!C:C,$B395,出库明细!D:D,$C395),0))</f>
      </c>
      <c r="H395" s="156">
        <f>IF($B395="","",IFERROR(SUMIFS(出库明细!G:G,出库明细!C:C,$B395,出库明细!D:D,$C395),0))</f>
      </c>
      <c r="I395" s="14">
        <f>IF($B395="","",D395-G395)</f>
      </c>
      <c r="J395" s="156">
        <f>IF($B395="","",F395-H395)</f>
      </c>
      <c r="K395" s="179">
        <f>IF($B395="","",MAX(_xlfn.MAXIFS(存条明细!B:B,存条明细!C:C,$B395,存条明细!D:D,$C395),_xlfn.MAXIFS(出库明细!B:B,出库明细!C:C,$B395,出库明细!D:D,$C395)))</f>
      </c>
    </row>
    <row r="396" ht="15" customHeight="1" s="71">
      <c r="A396" s="14">
        <f>IF(B396="","",ROW()-3)</f>
      </c>
      <c r="B396" s="14">
        <f>IF(_辅助!$B396="","",IF(_辅助!$B396&lt;=1000,INDEX(存条明细!$C$4:$C$1003,_辅助!$B396),INDEX(出库明细!$C$4:$C$3003,_辅助!$B396-1000)))</f>
      </c>
      <c r="C396" s="14">
        <f>IF(_辅助!$B396="","",IF(_辅助!$B396&lt;=1000,INDEX(存条明细!$D$4:$D$1003,_辅助!$B396),INDEX(出库明细!$D$4:$D$3003,_辅助!$B396-1000)))</f>
      </c>
      <c r="D396" s="14">
        <f>IF($B396="","",IFERROR(SUMIFS(存条明细!E:E,存条明细!C:C,$B396,存条明细!D:D,$C396),0))</f>
      </c>
      <c r="E396" s="156">
        <f>IF(OR($B396="",N(D396)=0),"",ROUND(F396/D396,2))</f>
      </c>
      <c r="F396" s="156">
        <f>IF($B396="","",IFERROR(SUMIFS(存条明细!G:G,存条明细!C:C,$B396,存条明细!D:D,$C396),0))</f>
      </c>
      <c r="G396" s="14">
        <f>IF($B396="","",IFERROR(SUMIFS(出库明细!E:E,出库明细!C:C,$B396,出库明细!D:D,$C396),0))</f>
      </c>
      <c r="H396" s="156">
        <f>IF($B396="","",IFERROR(SUMIFS(出库明细!G:G,出库明细!C:C,$B396,出库明细!D:D,$C396),0))</f>
      </c>
      <c r="I396" s="14">
        <f>IF($B396="","",D396-G396)</f>
      </c>
      <c r="J396" s="156">
        <f>IF($B396="","",F396-H396)</f>
      </c>
      <c r="K396" s="179">
        <f>IF($B396="","",MAX(_xlfn.MAXIFS(存条明细!B:B,存条明细!C:C,$B396,存条明细!D:D,$C396),_xlfn.MAXIFS(出库明细!B:B,出库明细!C:C,$B396,出库明细!D:D,$C396)))</f>
      </c>
    </row>
    <row r="397" ht="15" customHeight="1" s="71">
      <c r="A397" s="14">
        <f>IF(B397="","",ROW()-3)</f>
      </c>
      <c r="B397" s="14">
        <f>IF(_辅助!$B397="","",IF(_辅助!$B397&lt;=1000,INDEX(存条明细!$C$4:$C$1003,_辅助!$B397),INDEX(出库明细!$C$4:$C$3003,_辅助!$B397-1000)))</f>
      </c>
      <c r="C397" s="14">
        <f>IF(_辅助!$B397="","",IF(_辅助!$B397&lt;=1000,INDEX(存条明细!$D$4:$D$1003,_辅助!$B397),INDEX(出库明细!$D$4:$D$3003,_辅助!$B397-1000)))</f>
      </c>
      <c r="D397" s="14">
        <f>IF($B397="","",IFERROR(SUMIFS(存条明细!E:E,存条明细!C:C,$B397,存条明细!D:D,$C397),0))</f>
      </c>
      <c r="E397" s="156">
        <f>IF(OR($B397="",N(D397)=0),"",ROUND(F397/D397,2))</f>
      </c>
      <c r="F397" s="156">
        <f>IF($B397="","",IFERROR(SUMIFS(存条明细!G:G,存条明细!C:C,$B397,存条明细!D:D,$C397),0))</f>
      </c>
      <c r="G397" s="14">
        <f>IF($B397="","",IFERROR(SUMIFS(出库明细!E:E,出库明细!C:C,$B397,出库明细!D:D,$C397),0))</f>
      </c>
      <c r="H397" s="156">
        <f>IF($B397="","",IFERROR(SUMIFS(出库明细!G:G,出库明细!C:C,$B397,出库明细!D:D,$C397),0))</f>
      </c>
      <c r="I397" s="14">
        <f>IF($B397="","",D397-G397)</f>
      </c>
      <c r="J397" s="156">
        <f>IF($B397="","",F397-H397)</f>
      </c>
      <c r="K397" s="179">
        <f>IF($B397="","",MAX(_xlfn.MAXIFS(存条明细!B:B,存条明细!C:C,$B397,存条明细!D:D,$C397),_xlfn.MAXIFS(出库明细!B:B,出库明细!C:C,$B397,出库明细!D:D,$C397)))</f>
      </c>
    </row>
    <row r="398" ht="15" customHeight="1" s="71">
      <c r="A398" s="14">
        <f>IF(B398="","",ROW()-3)</f>
      </c>
      <c r="B398" s="14">
        <f>IF(_辅助!$B398="","",IF(_辅助!$B398&lt;=1000,INDEX(存条明细!$C$4:$C$1003,_辅助!$B398),INDEX(出库明细!$C$4:$C$3003,_辅助!$B398-1000)))</f>
      </c>
      <c r="C398" s="14">
        <f>IF(_辅助!$B398="","",IF(_辅助!$B398&lt;=1000,INDEX(存条明细!$D$4:$D$1003,_辅助!$B398),INDEX(出库明细!$D$4:$D$3003,_辅助!$B398-1000)))</f>
      </c>
      <c r="D398" s="14">
        <f>IF($B398="","",IFERROR(SUMIFS(存条明细!E:E,存条明细!C:C,$B398,存条明细!D:D,$C398),0))</f>
      </c>
      <c r="E398" s="156">
        <f>IF(OR($B398="",N(D398)=0),"",ROUND(F398/D398,2))</f>
      </c>
      <c r="F398" s="156">
        <f>IF($B398="","",IFERROR(SUMIFS(存条明细!G:G,存条明细!C:C,$B398,存条明细!D:D,$C398),0))</f>
      </c>
      <c r="G398" s="14">
        <f>IF($B398="","",IFERROR(SUMIFS(出库明细!E:E,出库明细!C:C,$B398,出库明细!D:D,$C398),0))</f>
      </c>
      <c r="H398" s="156">
        <f>IF($B398="","",IFERROR(SUMIFS(出库明细!G:G,出库明细!C:C,$B398,出库明细!D:D,$C398),0))</f>
      </c>
      <c r="I398" s="14">
        <f>IF($B398="","",D398-G398)</f>
      </c>
      <c r="J398" s="156">
        <f>IF($B398="","",F398-H398)</f>
      </c>
      <c r="K398" s="179">
        <f>IF($B398="","",MAX(_xlfn.MAXIFS(存条明细!B:B,存条明细!C:C,$B398,存条明细!D:D,$C398),_xlfn.MAXIFS(出库明细!B:B,出库明细!C:C,$B398,出库明细!D:D,$C398)))</f>
      </c>
    </row>
    <row r="399" ht="15" customHeight="1" s="71">
      <c r="A399" s="14">
        <f>IF(B399="","",ROW()-3)</f>
      </c>
      <c r="B399" s="14">
        <f>IF(_辅助!$B399="","",IF(_辅助!$B399&lt;=1000,INDEX(存条明细!$C$4:$C$1003,_辅助!$B399),INDEX(出库明细!$C$4:$C$3003,_辅助!$B399-1000)))</f>
      </c>
      <c r="C399" s="14">
        <f>IF(_辅助!$B399="","",IF(_辅助!$B399&lt;=1000,INDEX(存条明细!$D$4:$D$1003,_辅助!$B399),INDEX(出库明细!$D$4:$D$3003,_辅助!$B399-1000)))</f>
      </c>
      <c r="D399" s="14">
        <f>IF($B399="","",IFERROR(SUMIFS(存条明细!E:E,存条明细!C:C,$B399,存条明细!D:D,$C399),0))</f>
      </c>
      <c r="E399" s="156">
        <f>IF(OR($B399="",N(D399)=0),"",ROUND(F399/D399,2))</f>
      </c>
      <c r="F399" s="156">
        <f>IF($B399="","",IFERROR(SUMIFS(存条明细!G:G,存条明细!C:C,$B399,存条明细!D:D,$C399),0))</f>
      </c>
      <c r="G399" s="14">
        <f>IF($B399="","",IFERROR(SUMIFS(出库明细!E:E,出库明细!C:C,$B399,出库明细!D:D,$C399),0))</f>
      </c>
      <c r="H399" s="156">
        <f>IF($B399="","",IFERROR(SUMIFS(出库明细!G:G,出库明细!C:C,$B399,出库明细!D:D,$C399),0))</f>
      </c>
      <c r="I399" s="14">
        <f>IF($B399="","",D399-G399)</f>
      </c>
      <c r="J399" s="156">
        <f>IF($B399="","",F399-H399)</f>
      </c>
      <c r="K399" s="179">
        <f>IF($B399="","",MAX(_xlfn.MAXIFS(存条明细!B:B,存条明细!C:C,$B399,存条明细!D:D,$C399),_xlfn.MAXIFS(出库明细!B:B,出库明细!C:C,$B399,出库明细!D:D,$C399)))</f>
      </c>
    </row>
    <row r="400" ht="15" customHeight="1" s="71">
      <c r="A400" s="14">
        <f>IF(B400="","",ROW()-3)</f>
      </c>
      <c r="B400" s="14">
        <f>IF(_辅助!$B400="","",IF(_辅助!$B400&lt;=1000,INDEX(存条明细!$C$4:$C$1003,_辅助!$B400),INDEX(出库明细!$C$4:$C$3003,_辅助!$B400-1000)))</f>
      </c>
      <c r="C400" s="14">
        <f>IF(_辅助!$B400="","",IF(_辅助!$B400&lt;=1000,INDEX(存条明细!$D$4:$D$1003,_辅助!$B400),INDEX(出库明细!$D$4:$D$3003,_辅助!$B400-1000)))</f>
      </c>
      <c r="D400" s="14">
        <f>IF($B400="","",IFERROR(SUMIFS(存条明细!E:E,存条明细!C:C,$B400,存条明细!D:D,$C400),0))</f>
      </c>
      <c r="E400" s="156">
        <f>IF(OR($B400="",N(D400)=0),"",ROUND(F400/D400,2))</f>
      </c>
      <c r="F400" s="156">
        <f>IF($B400="","",IFERROR(SUMIFS(存条明细!G:G,存条明细!C:C,$B400,存条明细!D:D,$C400),0))</f>
      </c>
      <c r="G400" s="14">
        <f>IF($B400="","",IFERROR(SUMIFS(出库明细!E:E,出库明细!C:C,$B400,出库明细!D:D,$C400),0))</f>
      </c>
      <c r="H400" s="156">
        <f>IF($B400="","",IFERROR(SUMIFS(出库明细!G:G,出库明细!C:C,$B400,出库明细!D:D,$C400),0))</f>
      </c>
      <c r="I400" s="14">
        <f>IF($B400="","",D400-G400)</f>
      </c>
      <c r="J400" s="156">
        <f>IF($B400="","",F400-H400)</f>
      </c>
      <c r="K400" s="179">
        <f>IF($B400="","",MAX(_xlfn.MAXIFS(存条明细!B:B,存条明细!C:C,$B400,存条明细!D:D,$C400),_xlfn.MAXIFS(出库明细!B:B,出库明细!C:C,$B400,出库明细!D:D,$C400)))</f>
      </c>
    </row>
    <row r="401" ht="15" customHeight="1" s="71">
      <c r="A401" s="14">
        <f>IF(B401="","",ROW()-3)</f>
      </c>
      <c r="B401" s="14">
        <f>IF(_辅助!$B401="","",IF(_辅助!$B401&lt;=1000,INDEX(存条明细!$C$4:$C$1003,_辅助!$B401),INDEX(出库明细!$C$4:$C$3003,_辅助!$B401-1000)))</f>
      </c>
      <c r="C401" s="14">
        <f>IF(_辅助!$B401="","",IF(_辅助!$B401&lt;=1000,INDEX(存条明细!$D$4:$D$1003,_辅助!$B401),INDEX(出库明细!$D$4:$D$3003,_辅助!$B401-1000)))</f>
      </c>
      <c r="D401" s="14">
        <f>IF($B401="","",IFERROR(SUMIFS(存条明细!E:E,存条明细!C:C,$B401,存条明细!D:D,$C401),0))</f>
      </c>
      <c r="E401" s="156">
        <f>IF(OR($B401="",N(D401)=0),"",ROUND(F401/D401,2))</f>
      </c>
      <c r="F401" s="156">
        <f>IF($B401="","",IFERROR(SUMIFS(存条明细!G:G,存条明细!C:C,$B401,存条明细!D:D,$C401),0))</f>
      </c>
      <c r="G401" s="14">
        <f>IF($B401="","",IFERROR(SUMIFS(出库明细!E:E,出库明细!C:C,$B401,出库明细!D:D,$C401),0))</f>
      </c>
      <c r="H401" s="156">
        <f>IF($B401="","",IFERROR(SUMIFS(出库明细!G:G,出库明细!C:C,$B401,出库明细!D:D,$C401),0))</f>
      </c>
      <c r="I401" s="14">
        <f>IF($B401="","",D401-G401)</f>
      </c>
      <c r="J401" s="156">
        <f>IF($B401="","",F401-H401)</f>
      </c>
      <c r="K401" s="179">
        <f>IF($B401="","",MAX(_xlfn.MAXIFS(存条明细!B:B,存条明细!C:C,$B401,存条明细!D:D,$C401),_xlfn.MAXIFS(出库明细!B:B,出库明细!C:C,$B401,出库明细!D:D,$C401)))</f>
      </c>
    </row>
    <row r="402" ht="15" customHeight="1" s="71">
      <c r="A402" s="14">
        <f>IF(B402="","",ROW()-3)</f>
      </c>
      <c r="B402" s="14">
        <f>IF(_辅助!$B402="","",IF(_辅助!$B402&lt;=1000,INDEX(存条明细!$C$4:$C$1003,_辅助!$B402),INDEX(出库明细!$C$4:$C$3003,_辅助!$B402-1000)))</f>
      </c>
      <c r="C402" s="14">
        <f>IF(_辅助!$B402="","",IF(_辅助!$B402&lt;=1000,INDEX(存条明细!$D$4:$D$1003,_辅助!$B402),INDEX(出库明细!$D$4:$D$3003,_辅助!$B402-1000)))</f>
      </c>
      <c r="D402" s="14">
        <f>IF($B402="","",IFERROR(SUMIFS(存条明细!E:E,存条明细!C:C,$B402,存条明细!D:D,$C402),0))</f>
      </c>
      <c r="E402" s="156">
        <f>IF(OR($B402="",N(D402)=0),"",ROUND(F402/D402,2))</f>
      </c>
      <c r="F402" s="156">
        <f>IF($B402="","",IFERROR(SUMIFS(存条明细!G:G,存条明细!C:C,$B402,存条明细!D:D,$C402),0))</f>
      </c>
      <c r="G402" s="14">
        <f>IF($B402="","",IFERROR(SUMIFS(出库明细!E:E,出库明细!C:C,$B402,出库明细!D:D,$C402),0))</f>
      </c>
      <c r="H402" s="156">
        <f>IF($B402="","",IFERROR(SUMIFS(出库明细!G:G,出库明细!C:C,$B402,出库明细!D:D,$C402),0))</f>
      </c>
      <c r="I402" s="14">
        <f>IF($B402="","",D402-G402)</f>
      </c>
      <c r="J402" s="156">
        <f>IF($B402="","",F402-H402)</f>
      </c>
      <c r="K402" s="179">
        <f>IF($B402="","",MAX(_xlfn.MAXIFS(存条明细!B:B,存条明细!C:C,$B402,存条明细!D:D,$C402),_xlfn.MAXIFS(出库明细!B:B,出库明细!C:C,$B402,出库明细!D:D,$C402)))</f>
      </c>
    </row>
    <row r="403" ht="15" customHeight="1" s="71">
      <c r="A403" s="14">
        <f>IF(B403="","",ROW()-3)</f>
      </c>
      <c r="B403" s="14">
        <f>IF(_辅助!$B403="","",IF(_辅助!$B403&lt;=1000,INDEX(存条明细!$C$4:$C$1003,_辅助!$B403),INDEX(出库明细!$C$4:$C$3003,_辅助!$B403-1000)))</f>
      </c>
      <c r="C403" s="14">
        <f>IF(_辅助!$B403="","",IF(_辅助!$B403&lt;=1000,INDEX(存条明细!$D$4:$D$1003,_辅助!$B403),INDEX(出库明细!$D$4:$D$3003,_辅助!$B403-1000)))</f>
      </c>
      <c r="D403" s="14">
        <f>IF($B403="","",IFERROR(SUMIFS(存条明细!E:E,存条明细!C:C,$B403,存条明细!D:D,$C403),0))</f>
      </c>
      <c r="E403" s="156">
        <f>IF(OR($B403="",N(D403)=0),"",ROUND(F403/D403,2))</f>
      </c>
      <c r="F403" s="156">
        <f>IF($B403="","",IFERROR(SUMIFS(存条明细!G:G,存条明细!C:C,$B403,存条明细!D:D,$C403),0))</f>
      </c>
      <c r="G403" s="14">
        <f>IF($B403="","",IFERROR(SUMIFS(出库明细!E:E,出库明细!C:C,$B403,出库明细!D:D,$C403),0))</f>
      </c>
      <c r="H403" s="156">
        <f>IF($B403="","",IFERROR(SUMIFS(出库明细!G:G,出库明细!C:C,$B403,出库明细!D:D,$C403),0))</f>
      </c>
      <c r="I403" s="14">
        <f>IF($B403="","",D403-G403)</f>
      </c>
      <c r="J403" s="156">
        <f>IF($B403="","",F403-H403)</f>
      </c>
      <c r="K403" s="179">
        <f>IF($B403="","",MAX(_xlfn.MAXIFS(存条明细!B:B,存条明细!C:C,$B403,存条明细!D:D,$C403),_xlfn.MAXIFS(出库明细!B:B,出库明细!C:C,$B403,出库明细!D:D,$C403)))</f>
      </c>
    </row>
    <row r="404" ht="15" customHeight="1" s="71">
      <c r="A404" s="14">
        <f>IF(B404="","",ROW()-3)</f>
      </c>
      <c r="B404" s="14">
        <f>IF(_辅助!$B404="","",IF(_辅助!$B404&lt;=1000,INDEX(存条明细!$C$4:$C$1003,_辅助!$B404),INDEX(出库明细!$C$4:$C$3003,_辅助!$B404-1000)))</f>
      </c>
      <c r="C404" s="14">
        <f>IF(_辅助!$B404="","",IF(_辅助!$B404&lt;=1000,INDEX(存条明细!$D$4:$D$1003,_辅助!$B404),INDEX(出库明细!$D$4:$D$3003,_辅助!$B404-1000)))</f>
      </c>
      <c r="D404" s="14">
        <f>IF($B404="","",IFERROR(SUMIFS(存条明细!E:E,存条明细!C:C,$B404,存条明细!D:D,$C404),0))</f>
      </c>
      <c r="E404" s="156">
        <f>IF(OR($B404="",N(D404)=0),"",ROUND(F404/D404,2))</f>
      </c>
      <c r="F404" s="156">
        <f>IF($B404="","",IFERROR(SUMIFS(存条明细!G:G,存条明细!C:C,$B404,存条明细!D:D,$C404),0))</f>
      </c>
      <c r="G404" s="14">
        <f>IF($B404="","",IFERROR(SUMIFS(出库明细!E:E,出库明细!C:C,$B404,出库明细!D:D,$C404),0))</f>
      </c>
      <c r="H404" s="156">
        <f>IF($B404="","",IFERROR(SUMIFS(出库明细!G:G,出库明细!C:C,$B404,出库明细!D:D,$C404),0))</f>
      </c>
      <c r="I404" s="14">
        <f>IF($B404="","",D404-G404)</f>
      </c>
      <c r="J404" s="156">
        <f>IF($B404="","",F404-H404)</f>
      </c>
      <c r="K404" s="179">
        <f>IF($B404="","",MAX(_xlfn.MAXIFS(存条明细!B:B,存条明细!C:C,$B404,存条明细!D:D,$C404),_xlfn.MAXIFS(出库明细!B:B,出库明细!C:C,$B404,出库明细!D:D,$C404)))</f>
      </c>
    </row>
    <row r="405" ht="15" customHeight="1" s="71">
      <c r="A405" s="14">
        <f>IF(B405="","",ROW()-3)</f>
      </c>
      <c r="B405" s="14">
        <f>IF(_辅助!$B405="","",IF(_辅助!$B405&lt;=1000,INDEX(存条明细!$C$4:$C$1003,_辅助!$B405),INDEX(出库明细!$C$4:$C$3003,_辅助!$B405-1000)))</f>
      </c>
      <c r="C405" s="14">
        <f>IF(_辅助!$B405="","",IF(_辅助!$B405&lt;=1000,INDEX(存条明细!$D$4:$D$1003,_辅助!$B405),INDEX(出库明细!$D$4:$D$3003,_辅助!$B405-1000)))</f>
      </c>
      <c r="D405" s="14">
        <f>IF($B405="","",IFERROR(SUMIFS(存条明细!E:E,存条明细!C:C,$B405,存条明细!D:D,$C405),0))</f>
      </c>
      <c r="E405" s="156">
        <f>IF(OR($B405="",N(D405)=0),"",ROUND(F405/D405,2))</f>
      </c>
      <c r="F405" s="156">
        <f>IF($B405="","",IFERROR(SUMIFS(存条明细!G:G,存条明细!C:C,$B405,存条明细!D:D,$C405),0))</f>
      </c>
      <c r="G405" s="14">
        <f>IF($B405="","",IFERROR(SUMIFS(出库明细!E:E,出库明细!C:C,$B405,出库明细!D:D,$C405),0))</f>
      </c>
      <c r="H405" s="156">
        <f>IF($B405="","",IFERROR(SUMIFS(出库明细!G:G,出库明细!C:C,$B405,出库明细!D:D,$C405),0))</f>
      </c>
      <c r="I405" s="14">
        <f>IF($B405="","",D405-G405)</f>
      </c>
      <c r="J405" s="156">
        <f>IF($B405="","",F405-H405)</f>
      </c>
      <c r="K405" s="179">
        <f>IF($B405="","",MAX(_xlfn.MAXIFS(存条明细!B:B,存条明细!C:C,$B405,存条明细!D:D,$C405),_xlfn.MAXIFS(出库明细!B:B,出库明细!C:C,$B405,出库明细!D:D,$C405)))</f>
      </c>
    </row>
    <row r="406" ht="15" customHeight="1" s="71">
      <c r="A406" s="14">
        <f>IF(B406="","",ROW()-3)</f>
      </c>
      <c r="B406" s="14">
        <f>IF(_辅助!$B406="","",IF(_辅助!$B406&lt;=1000,INDEX(存条明细!$C$4:$C$1003,_辅助!$B406),INDEX(出库明细!$C$4:$C$3003,_辅助!$B406-1000)))</f>
      </c>
      <c r="C406" s="14">
        <f>IF(_辅助!$B406="","",IF(_辅助!$B406&lt;=1000,INDEX(存条明细!$D$4:$D$1003,_辅助!$B406),INDEX(出库明细!$D$4:$D$3003,_辅助!$B406-1000)))</f>
      </c>
      <c r="D406" s="14">
        <f>IF($B406="","",IFERROR(SUMIFS(存条明细!E:E,存条明细!C:C,$B406,存条明细!D:D,$C406),0))</f>
      </c>
      <c r="E406" s="156">
        <f>IF(OR($B406="",N(D406)=0),"",ROUND(F406/D406,2))</f>
      </c>
      <c r="F406" s="156">
        <f>IF($B406="","",IFERROR(SUMIFS(存条明细!G:G,存条明细!C:C,$B406,存条明细!D:D,$C406),0))</f>
      </c>
      <c r="G406" s="14">
        <f>IF($B406="","",IFERROR(SUMIFS(出库明细!E:E,出库明细!C:C,$B406,出库明细!D:D,$C406),0))</f>
      </c>
      <c r="H406" s="156">
        <f>IF($B406="","",IFERROR(SUMIFS(出库明细!G:G,出库明细!C:C,$B406,出库明细!D:D,$C406),0))</f>
      </c>
      <c r="I406" s="14">
        <f>IF($B406="","",D406-G406)</f>
      </c>
      <c r="J406" s="156">
        <f>IF($B406="","",F406-H406)</f>
      </c>
      <c r="K406" s="179">
        <f>IF($B406="","",MAX(_xlfn.MAXIFS(存条明细!B:B,存条明细!C:C,$B406,存条明细!D:D,$C406),_xlfn.MAXIFS(出库明细!B:B,出库明细!C:C,$B406,出库明细!D:D,$C406)))</f>
      </c>
    </row>
    <row r="407" ht="15" customHeight="1" s="71">
      <c r="A407" s="14">
        <f>IF(B407="","",ROW()-3)</f>
      </c>
      <c r="B407" s="14">
        <f>IF(_辅助!$B407="","",IF(_辅助!$B407&lt;=1000,INDEX(存条明细!$C$4:$C$1003,_辅助!$B407),INDEX(出库明细!$C$4:$C$3003,_辅助!$B407-1000)))</f>
      </c>
      <c r="C407" s="14">
        <f>IF(_辅助!$B407="","",IF(_辅助!$B407&lt;=1000,INDEX(存条明细!$D$4:$D$1003,_辅助!$B407),INDEX(出库明细!$D$4:$D$3003,_辅助!$B407-1000)))</f>
      </c>
      <c r="D407" s="14">
        <f>IF($B407="","",IFERROR(SUMIFS(存条明细!E:E,存条明细!C:C,$B407,存条明细!D:D,$C407),0))</f>
      </c>
      <c r="E407" s="156">
        <f>IF(OR($B407="",N(D407)=0),"",ROUND(F407/D407,2))</f>
      </c>
      <c r="F407" s="156">
        <f>IF($B407="","",IFERROR(SUMIFS(存条明细!G:G,存条明细!C:C,$B407,存条明细!D:D,$C407),0))</f>
      </c>
      <c r="G407" s="14">
        <f>IF($B407="","",IFERROR(SUMIFS(出库明细!E:E,出库明细!C:C,$B407,出库明细!D:D,$C407),0))</f>
      </c>
      <c r="H407" s="156">
        <f>IF($B407="","",IFERROR(SUMIFS(出库明细!G:G,出库明细!C:C,$B407,出库明细!D:D,$C407),0))</f>
      </c>
      <c r="I407" s="14">
        <f>IF($B407="","",D407-G407)</f>
      </c>
      <c r="J407" s="156">
        <f>IF($B407="","",F407-H407)</f>
      </c>
      <c r="K407" s="179">
        <f>IF($B407="","",MAX(_xlfn.MAXIFS(存条明细!B:B,存条明细!C:C,$B407,存条明细!D:D,$C407),_xlfn.MAXIFS(出库明细!B:B,出库明细!C:C,$B407,出库明细!D:D,$C407)))</f>
      </c>
    </row>
    <row r="408" ht="15" customHeight="1" s="71">
      <c r="A408" s="14">
        <f>IF(B408="","",ROW()-3)</f>
      </c>
      <c r="B408" s="14">
        <f>IF(_辅助!$B408="","",IF(_辅助!$B408&lt;=1000,INDEX(存条明细!$C$4:$C$1003,_辅助!$B408),INDEX(出库明细!$C$4:$C$3003,_辅助!$B408-1000)))</f>
      </c>
      <c r="C408" s="14">
        <f>IF(_辅助!$B408="","",IF(_辅助!$B408&lt;=1000,INDEX(存条明细!$D$4:$D$1003,_辅助!$B408),INDEX(出库明细!$D$4:$D$3003,_辅助!$B408-1000)))</f>
      </c>
      <c r="D408" s="14">
        <f>IF($B408="","",IFERROR(SUMIFS(存条明细!E:E,存条明细!C:C,$B408,存条明细!D:D,$C408),0))</f>
      </c>
      <c r="E408" s="156">
        <f>IF(OR($B408="",N(D408)=0),"",ROUND(F408/D408,2))</f>
      </c>
      <c r="F408" s="156">
        <f>IF($B408="","",IFERROR(SUMIFS(存条明细!G:G,存条明细!C:C,$B408,存条明细!D:D,$C408),0))</f>
      </c>
      <c r="G408" s="14">
        <f>IF($B408="","",IFERROR(SUMIFS(出库明细!E:E,出库明细!C:C,$B408,出库明细!D:D,$C408),0))</f>
      </c>
      <c r="H408" s="156">
        <f>IF($B408="","",IFERROR(SUMIFS(出库明细!G:G,出库明细!C:C,$B408,出库明细!D:D,$C408),0))</f>
      </c>
      <c r="I408" s="14">
        <f>IF($B408="","",D408-G408)</f>
      </c>
      <c r="J408" s="156">
        <f>IF($B408="","",F408-H408)</f>
      </c>
      <c r="K408" s="179">
        <f>IF($B408="","",MAX(_xlfn.MAXIFS(存条明细!B:B,存条明细!C:C,$B408,存条明细!D:D,$C408),_xlfn.MAXIFS(出库明细!B:B,出库明细!C:C,$B408,出库明细!D:D,$C408)))</f>
      </c>
    </row>
    <row r="409" ht="15" customHeight="1" s="71">
      <c r="A409" s="14">
        <f>IF(B409="","",ROW()-3)</f>
      </c>
      <c r="B409" s="14">
        <f>IF(_辅助!$B409="","",IF(_辅助!$B409&lt;=1000,INDEX(存条明细!$C$4:$C$1003,_辅助!$B409),INDEX(出库明细!$C$4:$C$3003,_辅助!$B409-1000)))</f>
      </c>
      <c r="C409" s="14">
        <f>IF(_辅助!$B409="","",IF(_辅助!$B409&lt;=1000,INDEX(存条明细!$D$4:$D$1003,_辅助!$B409),INDEX(出库明细!$D$4:$D$3003,_辅助!$B409-1000)))</f>
      </c>
      <c r="D409" s="14">
        <f>IF($B409="","",IFERROR(SUMIFS(存条明细!E:E,存条明细!C:C,$B409,存条明细!D:D,$C409),0))</f>
      </c>
      <c r="E409" s="156">
        <f>IF(OR($B409="",N(D409)=0),"",ROUND(F409/D409,2))</f>
      </c>
      <c r="F409" s="156">
        <f>IF($B409="","",IFERROR(SUMIFS(存条明细!G:G,存条明细!C:C,$B409,存条明细!D:D,$C409),0))</f>
      </c>
      <c r="G409" s="14">
        <f>IF($B409="","",IFERROR(SUMIFS(出库明细!E:E,出库明细!C:C,$B409,出库明细!D:D,$C409),0))</f>
      </c>
      <c r="H409" s="156">
        <f>IF($B409="","",IFERROR(SUMIFS(出库明细!G:G,出库明细!C:C,$B409,出库明细!D:D,$C409),0))</f>
      </c>
      <c r="I409" s="14">
        <f>IF($B409="","",D409-G409)</f>
      </c>
      <c r="J409" s="156">
        <f>IF($B409="","",F409-H409)</f>
      </c>
      <c r="K409" s="179">
        <f>IF($B409="","",MAX(_xlfn.MAXIFS(存条明细!B:B,存条明细!C:C,$B409,存条明细!D:D,$C409),_xlfn.MAXIFS(出库明细!B:B,出库明细!C:C,$B409,出库明细!D:D,$C409)))</f>
      </c>
    </row>
    <row r="410" ht="15" customHeight="1" s="71">
      <c r="A410" s="14">
        <f>IF(B410="","",ROW()-3)</f>
      </c>
      <c r="B410" s="14">
        <f>IF(_辅助!$B410="","",IF(_辅助!$B410&lt;=1000,INDEX(存条明细!$C$4:$C$1003,_辅助!$B410),INDEX(出库明细!$C$4:$C$3003,_辅助!$B410-1000)))</f>
      </c>
      <c r="C410" s="14">
        <f>IF(_辅助!$B410="","",IF(_辅助!$B410&lt;=1000,INDEX(存条明细!$D$4:$D$1003,_辅助!$B410),INDEX(出库明细!$D$4:$D$3003,_辅助!$B410-1000)))</f>
      </c>
      <c r="D410" s="14">
        <f>IF($B410="","",IFERROR(SUMIFS(存条明细!E:E,存条明细!C:C,$B410,存条明细!D:D,$C410),0))</f>
      </c>
      <c r="E410" s="156">
        <f>IF(OR($B410="",N(D410)=0),"",ROUND(F410/D410,2))</f>
      </c>
      <c r="F410" s="156">
        <f>IF($B410="","",IFERROR(SUMIFS(存条明细!G:G,存条明细!C:C,$B410,存条明细!D:D,$C410),0))</f>
      </c>
      <c r="G410" s="14">
        <f>IF($B410="","",IFERROR(SUMIFS(出库明细!E:E,出库明细!C:C,$B410,出库明细!D:D,$C410),0))</f>
      </c>
      <c r="H410" s="156">
        <f>IF($B410="","",IFERROR(SUMIFS(出库明细!G:G,出库明细!C:C,$B410,出库明细!D:D,$C410),0))</f>
      </c>
      <c r="I410" s="14">
        <f>IF($B410="","",D410-G410)</f>
      </c>
      <c r="J410" s="156">
        <f>IF($B410="","",F410-H410)</f>
      </c>
      <c r="K410" s="179">
        <f>IF($B410="","",MAX(_xlfn.MAXIFS(存条明细!B:B,存条明细!C:C,$B410,存条明细!D:D,$C410),_xlfn.MAXIFS(出库明细!B:B,出库明细!C:C,$B410,出库明细!D:D,$C410)))</f>
      </c>
    </row>
    <row r="411" ht="15" customHeight="1" s="71">
      <c r="A411" s="14">
        <f>IF(B411="","",ROW()-3)</f>
      </c>
      <c r="B411" s="14">
        <f>IF(_辅助!$B411="","",IF(_辅助!$B411&lt;=1000,INDEX(存条明细!$C$4:$C$1003,_辅助!$B411),INDEX(出库明细!$C$4:$C$3003,_辅助!$B411-1000)))</f>
      </c>
      <c r="C411" s="14">
        <f>IF(_辅助!$B411="","",IF(_辅助!$B411&lt;=1000,INDEX(存条明细!$D$4:$D$1003,_辅助!$B411),INDEX(出库明细!$D$4:$D$3003,_辅助!$B411-1000)))</f>
      </c>
      <c r="D411" s="14">
        <f>IF($B411="","",IFERROR(SUMIFS(存条明细!E:E,存条明细!C:C,$B411,存条明细!D:D,$C411),0))</f>
      </c>
      <c r="E411" s="156">
        <f>IF(OR($B411="",N(D411)=0),"",ROUND(F411/D411,2))</f>
      </c>
      <c r="F411" s="156">
        <f>IF($B411="","",IFERROR(SUMIFS(存条明细!G:G,存条明细!C:C,$B411,存条明细!D:D,$C411),0))</f>
      </c>
      <c r="G411" s="14">
        <f>IF($B411="","",IFERROR(SUMIFS(出库明细!E:E,出库明细!C:C,$B411,出库明细!D:D,$C411),0))</f>
      </c>
      <c r="H411" s="156">
        <f>IF($B411="","",IFERROR(SUMIFS(出库明细!G:G,出库明细!C:C,$B411,出库明细!D:D,$C411),0))</f>
      </c>
      <c r="I411" s="14">
        <f>IF($B411="","",D411-G411)</f>
      </c>
      <c r="J411" s="156">
        <f>IF($B411="","",F411-H411)</f>
      </c>
      <c r="K411" s="179">
        <f>IF($B411="","",MAX(_xlfn.MAXIFS(存条明细!B:B,存条明细!C:C,$B411,存条明细!D:D,$C411),_xlfn.MAXIFS(出库明细!B:B,出库明细!C:C,$B411,出库明细!D:D,$C411)))</f>
      </c>
    </row>
    <row r="412" ht="15" customHeight="1" s="71">
      <c r="A412" s="14">
        <f>IF(B412="","",ROW()-3)</f>
      </c>
      <c r="B412" s="14">
        <f>IF(_辅助!$B412="","",IF(_辅助!$B412&lt;=1000,INDEX(存条明细!$C$4:$C$1003,_辅助!$B412),INDEX(出库明细!$C$4:$C$3003,_辅助!$B412-1000)))</f>
      </c>
      <c r="C412" s="14">
        <f>IF(_辅助!$B412="","",IF(_辅助!$B412&lt;=1000,INDEX(存条明细!$D$4:$D$1003,_辅助!$B412),INDEX(出库明细!$D$4:$D$3003,_辅助!$B412-1000)))</f>
      </c>
      <c r="D412" s="14">
        <f>IF($B412="","",IFERROR(SUMIFS(存条明细!E:E,存条明细!C:C,$B412,存条明细!D:D,$C412),0))</f>
      </c>
      <c r="E412" s="156">
        <f>IF(OR($B412="",N(D412)=0),"",ROUND(F412/D412,2))</f>
      </c>
      <c r="F412" s="156">
        <f>IF($B412="","",IFERROR(SUMIFS(存条明细!G:G,存条明细!C:C,$B412,存条明细!D:D,$C412),0))</f>
      </c>
      <c r="G412" s="14">
        <f>IF($B412="","",IFERROR(SUMIFS(出库明细!E:E,出库明细!C:C,$B412,出库明细!D:D,$C412),0))</f>
      </c>
      <c r="H412" s="156">
        <f>IF($B412="","",IFERROR(SUMIFS(出库明细!G:G,出库明细!C:C,$B412,出库明细!D:D,$C412),0))</f>
      </c>
      <c r="I412" s="14">
        <f>IF($B412="","",D412-G412)</f>
      </c>
      <c r="J412" s="156">
        <f>IF($B412="","",F412-H412)</f>
      </c>
      <c r="K412" s="179">
        <f>IF($B412="","",MAX(_xlfn.MAXIFS(存条明细!B:B,存条明细!C:C,$B412,存条明细!D:D,$C412),_xlfn.MAXIFS(出库明细!B:B,出库明细!C:C,$B412,出库明细!D:D,$C412)))</f>
      </c>
    </row>
    <row r="413" ht="15" customHeight="1" s="71">
      <c r="A413" s="14">
        <f>IF(B413="","",ROW()-3)</f>
      </c>
      <c r="B413" s="14">
        <f>IF(_辅助!$B413="","",IF(_辅助!$B413&lt;=1000,INDEX(存条明细!$C$4:$C$1003,_辅助!$B413),INDEX(出库明细!$C$4:$C$3003,_辅助!$B413-1000)))</f>
      </c>
      <c r="C413" s="14">
        <f>IF(_辅助!$B413="","",IF(_辅助!$B413&lt;=1000,INDEX(存条明细!$D$4:$D$1003,_辅助!$B413),INDEX(出库明细!$D$4:$D$3003,_辅助!$B413-1000)))</f>
      </c>
      <c r="D413" s="14">
        <f>IF($B413="","",IFERROR(SUMIFS(存条明细!E:E,存条明细!C:C,$B413,存条明细!D:D,$C413),0))</f>
      </c>
      <c r="E413" s="156">
        <f>IF(OR($B413="",N(D413)=0),"",ROUND(F413/D413,2))</f>
      </c>
      <c r="F413" s="156">
        <f>IF($B413="","",IFERROR(SUMIFS(存条明细!G:G,存条明细!C:C,$B413,存条明细!D:D,$C413),0))</f>
      </c>
      <c r="G413" s="14">
        <f>IF($B413="","",IFERROR(SUMIFS(出库明细!E:E,出库明细!C:C,$B413,出库明细!D:D,$C413),0))</f>
      </c>
      <c r="H413" s="156">
        <f>IF($B413="","",IFERROR(SUMIFS(出库明细!G:G,出库明细!C:C,$B413,出库明细!D:D,$C413),0))</f>
      </c>
      <c r="I413" s="14">
        <f>IF($B413="","",D413-G413)</f>
      </c>
      <c r="J413" s="156">
        <f>IF($B413="","",F413-H413)</f>
      </c>
      <c r="K413" s="179">
        <f>IF($B413="","",MAX(_xlfn.MAXIFS(存条明细!B:B,存条明细!C:C,$B413,存条明细!D:D,$C413),_xlfn.MAXIFS(出库明细!B:B,出库明细!C:C,$B413,出库明细!D:D,$C413)))</f>
      </c>
    </row>
    <row r="414" ht="15" customHeight="1" s="71">
      <c r="A414" s="14">
        <f>IF(B414="","",ROW()-3)</f>
      </c>
      <c r="B414" s="14">
        <f>IF(_辅助!$B414="","",IF(_辅助!$B414&lt;=1000,INDEX(存条明细!$C$4:$C$1003,_辅助!$B414),INDEX(出库明细!$C$4:$C$3003,_辅助!$B414-1000)))</f>
      </c>
      <c r="C414" s="14">
        <f>IF(_辅助!$B414="","",IF(_辅助!$B414&lt;=1000,INDEX(存条明细!$D$4:$D$1003,_辅助!$B414),INDEX(出库明细!$D$4:$D$3003,_辅助!$B414-1000)))</f>
      </c>
      <c r="D414" s="14">
        <f>IF($B414="","",IFERROR(SUMIFS(存条明细!E:E,存条明细!C:C,$B414,存条明细!D:D,$C414),0))</f>
      </c>
      <c r="E414" s="156">
        <f>IF(OR($B414="",N(D414)=0),"",ROUND(F414/D414,2))</f>
      </c>
      <c r="F414" s="156">
        <f>IF($B414="","",IFERROR(SUMIFS(存条明细!G:G,存条明细!C:C,$B414,存条明细!D:D,$C414),0))</f>
      </c>
      <c r="G414" s="14">
        <f>IF($B414="","",IFERROR(SUMIFS(出库明细!E:E,出库明细!C:C,$B414,出库明细!D:D,$C414),0))</f>
      </c>
      <c r="H414" s="156">
        <f>IF($B414="","",IFERROR(SUMIFS(出库明细!G:G,出库明细!C:C,$B414,出库明细!D:D,$C414),0))</f>
      </c>
      <c r="I414" s="14">
        <f>IF($B414="","",D414-G414)</f>
      </c>
      <c r="J414" s="156">
        <f>IF($B414="","",F414-H414)</f>
      </c>
      <c r="K414" s="179">
        <f>IF($B414="","",MAX(_xlfn.MAXIFS(存条明细!B:B,存条明细!C:C,$B414,存条明细!D:D,$C414),_xlfn.MAXIFS(出库明细!B:B,出库明细!C:C,$B414,出库明细!D:D,$C414)))</f>
      </c>
    </row>
    <row r="415" ht="15" customHeight="1" s="71">
      <c r="A415" s="14">
        <f>IF(B415="","",ROW()-3)</f>
      </c>
      <c r="B415" s="14">
        <f>IF(_辅助!$B415="","",IF(_辅助!$B415&lt;=1000,INDEX(存条明细!$C$4:$C$1003,_辅助!$B415),INDEX(出库明细!$C$4:$C$3003,_辅助!$B415-1000)))</f>
      </c>
      <c r="C415" s="14">
        <f>IF(_辅助!$B415="","",IF(_辅助!$B415&lt;=1000,INDEX(存条明细!$D$4:$D$1003,_辅助!$B415),INDEX(出库明细!$D$4:$D$3003,_辅助!$B415-1000)))</f>
      </c>
      <c r="D415" s="14">
        <f>IF($B415="","",IFERROR(SUMIFS(存条明细!E:E,存条明细!C:C,$B415,存条明细!D:D,$C415),0))</f>
      </c>
      <c r="E415" s="156">
        <f>IF(OR($B415="",N(D415)=0),"",ROUND(F415/D415,2))</f>
      </c>
      <c r="F415" s="156">
        <f>IF($B415="","",IFERROR(SUMIFS(存条明细!G:G,存条明细!C:C,$B415,存条明细!D:D,$C415),0))</f>
      </c>
      <c r="G415" s="14">
        <f>IF($B415="","",IFERROR(SUMIFS(出库明细!E:E,出库明细!C:C,$B415,出库明细!D:D,$C415),0))</f>
      </c>
      <c r="H415" s="156">
        <f>IF($B415="","",IFERROR(SUMIFS(出库明细!G:G,出库明细!C:C,$B415,出库明细!D:D,$C415),0))</f>
      </c>
      <c r="I415" s="14">
        <f>IF($B415="","",D415-G415)</f>
      </c>
      <c r="J415" s="156">
        <f>IF($B415="","",F415-H415)</f>
      </c>
      <c r="K415" s="179">
        <f>IF($B415="","",MAX(_xlfn.MAXIFS(存条明细!B:B,存条明细!C:C,$B415,存条明细!D:D,$C415),_xlfn.MAXIFS(出库明细!B:B,出库明细!C:C,$B415,出库明细!D:D,$C415)))</f>
      </c>
    </row>
    <row r="416" ht="15" customHeight="1" s="71">
      <c r="A416" s="14">
        <f>IF(B416="","",ROW()-3)</f>
      </c>
      <c r="B416" s="14">
        <f>IF(_辅助!$B416="","",IF(_辅助!$B416&lt;=1000,INDEX(存条明细!$C$4:$C$1003,_辅助!$B416),INDEX(出库明细!$C$4:$C$3003,_辅助!$B416-1000)))</f>
      </c>
      <c r="C416" s="14">
        <f>IF(_辅助!$B416="","",IF(_辅助!$B416&lt;=1000,INDEX(存条明细!$D$4:$D$1003,_辅助!$B416),INDEX(出库明细!$D$4:$D$3003,_辅助!$B416-1000)))</f>
      </c>
      <c r="D416" s="14">
        <f>IF($B416="","",IFERROR(SUMIFS(存条明细!E:E,存条明细!C:C,$B416,存条明细!D:D,$C416),0))</f>
      </c>
      <c r="E416" s="156">
        <f>IF(OR($B416="",N(D416)=0),"",ROUND(F416/D416,2))</f>
      </c>
      <c r="F416" s="156">
        <f>IF($B416="","",IFERROR(SUMIFS(存条明细!G:G,存条明细!C:C,$B416,存条明细!D:D,$C416),0))</f>
      </c>
      <c r="G416" s="14">
        <f>IF($B416="","",IFERROR(SUMIFS(出库明细!E:E,出库明细!C:C,$B416,出库明细!D:D,$C416),0))</f>
      </c>
      <c r="H416" s="156">
        <f>IF($B416="","",IFERROR(SUMIFS(出库明细!G:G,出库明细!C:C,$B416,出库明细!D:D,$C416),0))</f>
      </c>
      <c r="I416" s="14">
        <f>IF($B416="","",D416-G416)</f>
      </c>
      <c r="J416" s="156">
        <f>IF($B416="","",F416-H416)</f>
      </c>
      <c r="K416" s="179">
        <f>IF($B416="","",MAX(_xlfn.MAXIFS(存条明细!B:B,存条明细!C:C,$B416,存条明细!D:D,$C416),_xlfn.MAXIFS(出库明细!B:B,出库明细!C:C,$B416,出库明细!D:D,$C416)))</f>
      </c>
    </row>
    <row r="417" ht="15" customHeight="1" s="71">
      <c r="A417" s="14">
        <f>IF(B417="","",ROW()-3)</f>
      </c>
      <c r="B417" s="14">
        <f>IF(_辅助!$B417="","",IF(_辅助!$B417&lt;=1000,INDEX(存条明细!$C$4:$C$1003,_辅助!$B417),INDEX(出库明细!$C$4:$C$3003,_辅助!$B417-1000)))</f>
      </c>
      <c r="C417" s="14">
        <f>IF(_辅助!$B417="","",IF(_辅助!$B417&lt;=1000,INDEX(存条明细!$D$4:$D$1003,_辅助!$B417),INDEX(出库明细!$D$4:$D$3003,_辅助!$B417-1000)))</f>
      </c>
      <c r="D417" s="14">
        <f>IF($B417="","",IFERROR(SUMIFS(存条明细!E:E,存条明细!C:C,$B417,存条明细!D:D,$C417),0))</f>
      </c>
      <c r="E417" s="156">
        <f>IF(OR($B417="",N(D417)=0),"",ROUND(F417/D417,2))</f>
      </c>
      <c r="F417" s="156">
        <f>IF($B417="","",IFERROR(SUMIFS(存条明细!G:G,存条明细!C:C,$B417,存条明细!D:D,$C417),0))</f>
      </c>
      <c r="G417" s="14">
        <f>IF($B417="","",IFERROR(SUMIFS(出库明细!E:E,出库明细!C:C,$B417,出库明细!D:D,$C417),0))</f>
      </c>
      <c r="H417" s="156">
        <f>IF($B417="","",IFERROR(SUMIFS(出库明细!G:G,出库明细!C:C,$B417,出库明细!D:D,$C417),0))</f>
      </c>
      <c r="I417" s="14">
        <f>IF($B417="","",D417-G417)</f>
      </c>
      <c r="J417" s="156">
        <f>IF($B417="","",F417-H417)</f>
      </c>
      <c r="K417" s="179">
        <f>IF($B417="","",MAX(_xlfn.MAXIFS(存条明细!B:B,存条明细!C:C,$B417,存条明细!D:D,$C417),_xlfn.MAXIFS(出库明细!B:B,出库明细!C:C,$B417,出库明细!D:D,$C417)))</f>
      </c>
    </row>
    <row r="418" ht="15" customHeight="1" s="71">
      <c r="A418" s="14">
        <f>IF(B418="","",ROW()-3)</f>
      </c>
      <c r="B418" s="14">
        <f>IF(_辅助!$B418="","",IF(_辅助!$B418&lt;=1000,INDEX(存条明细!$C$4:$C$1003,_辅助!$B418),INDEX(出库明细!$C$4:$C$3003,_辅助!$B418-1000)))</f>
      </c>
      <c r="C418" s="14">
        <f>IF(_辅助!$B418="","",IF(_辅助!$B418&lt;=1000,INDEX(存条明细!$D$4:$D$1003,_辅助!$B418),INDEX(出库明细!$D$4:$D$3003,_辅助!$B418-1000)))</f>
      </c>
      <c r="D418" s="14">
        <f>IF($B418="","",IFERROR(SUMIFS(存条明细!E:E,存条明细!C:C,$B418,存条明细!D:D,$C418),0))</f>
      </c>
      <c r="E418" s="156">
        <f>IF(OR($B418="",N(D418)=0),"",ROUND(F418/D418,2))</f>
      </c>
      <c r="F418" s="156">
        <f>IF($B418="","",IFERROR(SUMIFS(存条明细!G:G,存条明细!C:C,$B418,存条明细!D:D,$C418),0))</f>
      </c>
      <c r="G418" s="14">
        <f>IF($B418="","",IFERROR(SUMIFS(出库明细!E:E,出库明细!C:C,$B418,出库明细!D:D,$C418),0))</f>
      </c>
      <c r="H418" s="156">
        <f>IF($B418="","",IFERROR(SUMIFS(出库明细!G:G,出库明细!C:C,$B418,出库明细!D:D,$C418),0))</f>
      </c>
      <c r="I418" s="14">
        <f>IF($B418="","",D418-G418)</f>
      </c>
      <c r="J418" s="156">
        <f>IF($B418="","",F418-H418)</f>
      </c>
      <c r="K418" s="179">
        <f>IF($B418="","",MAX(_xlfn.MAXIFS(存条明细!B:B,存条明细!C:C,$B418,存条明细!D:D,$C418),_xlfn.MAXIFS(出库明细!B:B,出库明细!C:C,$B418,出库明细!D:D,$C418)))</f>
      </c>
    </row>
    <row r="419" ht="15" customHeight="1" s="71">
      <c r="A419" s="14">
        <f>IF(B419="","",ROW()-3)</f>
      </c>
      <c r="B419" s="14">
        <f>IF(_辅助!$B419="","",IF(_辅助!$B419&lt;=1000,INDEX(存条明细!$C$4:$C$1003,_辅助!$B419),INDEX(出库明细!$C$4:$C$3003,_辅助!$B419-1000)))</f>
      </c>
      <c r="C419" s="14">
        <f>IF(_辅助!$B419="","",IF(_辅助!$B419&lt;=1000,INDEX(存条明细!$D$4:$D$1003,_辅助!$B419),INDEX(出库明细!$D$4:$D$3003,_辅助!$B419-1000)))</f>
      </c>
      <c r="D419" s="14">
        <f>IF($B419="","",IFERROR(SUMIFS(存条明细!E:E,存条明细!C:C,$B419,存条明细!D:D,$C419),0))</f>
      </c>
      <c r="E419" s="156">
        <f>IF(OR($B419="",N(D419)=0),"",ROUND(F419/D419,2))</f>
      </c>
      <c r="F419" s="156">
        <f>IF($B419="","",IFERROR(SUMIFS(存条明细!G:G,存条明细!C:C,$B419,存条明细!D:D,$C419),0))</f>
      </c>
      <c r="G419" s="14">
        <f>IF($B419="","",IFERROR(SUMIFS(出库明细!E:E,出库明细!C:C,$B419,出库明细!D:D,$C419),0))</f>
      </c>
      <c r="H419" s="156">
        <f>IF($B419="","",IFERROR(SUMIFS(出库明细!G:G,出库明细!C:C,$B419,出库明细!D:D,$C419),0))</f>
      </c>
      <c r="I419" s="14">
        <f>IF($B419="","",D419-G419)</f>
      </c>
      <c r="J419" s="156">
        <f>IF($B419="","",F419-H419)</f>
      </c>
      <c r="K419" s="179">
        <f>IF($B419="","",MAX(_xlfn.MAXIFS(存条明细!B:B,存条明细!C:C,$B419,存条明细!D:D,$C419),_xlfn.MAXIFS(出库明细!B:B,出库明细!C:C,$B419,出库明细!D:D,$C419)))</f>
      </c>
    </row>
    <row r="420" ht="15" customHeight="1" s="71">
      <c r="A420" s="14">
        <f>IF(B420="","",ROW()-3)</f>
      </c>
      <c r="B420" s="14">
        <f>IF(_辅助!$B420="","",IF(_辅助!$B420&lt;=1000,INDEX(存条明细!$C$4:$C$1003,_辅助!$B420),INDEX(出库明细!$C$4:$C$3003,_辅助!$B420-1000)))</f>
      </c>
      <c r="C420" s="14">
        <f>IF(_辅助!$B420="","",IF(_辅助!$B420&lt;=1000,INDEX(存条明细!$D$4:$D$1003,_辅助!$B420),INDEX(出库明细!$D$4:$D$3003,_辅助!$B420-1000)))</f>
      </c>
      <c r="D420" s="14">
        <f>IF($B420="","",IFERROR(SUMIFS(存条明细!E:E,存条明细!C:C,$B420,存条明细!D:D,$C420),0))</f>
      </c>
      <c r="E420" s="156">
        <f>IF(OR($B420="",N(D420)=0),"",ROUND(F420/D420,2))</f>
      </c>
      <c r="F420" s="156">
        <f>IF($B420="","",IFERROR(SUMIFS(存条明细!G:G,存条明细!C:C,$B420,存条明细!D:D,$C420),0))</f>
      </c>
      <c r="G420" s="14">
        <f>IF($B420="","",IFERROR(SUMIFS(出库明细!E:E,出库明细!C:C,$B420,出库明细!D:D,$C420),0))</f>
      </c>
      <c r="H420" s="156">
        <f>IF($B420="","",IFERROR(SUMIFS(出库明细!G:G,出库明细!C:C,$B420,出库明细!D:D,$C420),0))</f>
      </c>
      <c r="I420" s="14">
        <f>IF($B420="","",D420-G420)</f>
      </c>
      <c r="J420" s="156">
        <f>IF($B420="","",F420-H420)</f>
      </c>
      <c r="K420" s="179">
        <f>IF($B420="","",MAX(_xlfn.MAXIFS(存条明细!B:B,存条明细!C:C,$B420,存条明细!D:D,$C420),_xlfn.MAXIFS(出库明细!B:B,出库明细!C:C,$B420,出库明细!D:D,$C420)))</f>
      </c>
    </row>
    <row r="421" ht="15" customHeight="1" s="71">
      <c r="A421" s="14">
        <f>IF(B421="","",ROW()-3)</f>
      </c>
      <c r="B421" s="14">
        <f>IF(_辅助!$B421="","",IF(_辅助!$B421&lt;=1000,INDEX(存条明细!$C$4:$C$1003,_辅助!$B421),INDEX(出库明细!$C$4:$C$3003,_辅助!$B421-1000)))</f>
      </c>
      <c r="C421" s="14">
        <f>IF(_辅助!$B421="","",IF(_辅助!$B421&lt;=1000,INDEX(存条明细!$D$4:$D$1003,_辅助!$B421),INDEX(出库明细!$D$4:$D$3003,_辅助!$B421-1000)))</f>
      </c>
      <c r="D421" s="14">
        <f>IF($B421="","",IFERROR(SUMIFS(存条明细!E:E,存条明细!C:C,$B421,存条明细!D:D,$C421),0))</f>
      </c>
      <c r="E421" s="156">
        <f>IF(OR($B421="",N(D421)=0),"",ROUND(F421/D421,2))</f>
      </c>
      <c r="F421" s="156">
        <f>IF($B421="","",IFERROR(SUMIFS(存条明细!G:G,存条明细!C:C,$B421,存条明细!D:D,$C421),0))</f>
      </c>
      <c r="G421" s="14">
        <f>IF($B421="","",IFERROR(SUMIFS(出库明细!E:E,出库明细!C:C,$B421,出库明细!D:D,$C421),0))</f>
      </c>
      <c r="H421" s="156">
        <f>IF($B421="","",IFERROR(SUMIFS(出库明细!G:G,出库明细!C:C,$B421,出库明细!D:D,$C421),0))</f>
      </c>
      <c r="I421" s="14">
        <f>IF($B421="","",D421-G421)</f>
      </c>
      <c r="J421" s="156">
        <f>IF($B421="","",F421-H421)</f>
      </c>
      <c r="K421" s="179">
        <f>IF($B421="","",MAX(_xlfn.MAXIFS(存条明细!B:B,存条明细!C:C,$B421,存条明细!D:D,$C421),_xlfn.MAXIFS(出库明细!B:B,出库明细!C:C,$B421,出库明细!D:D,$C421)))</f>
      </c>
    </row>
    <row r="422" ht="15" customHeight="1" s="71">
      <c r="A422" s="14">
        <f>IF(B422="","",ROW()-3)</f>
      </c>
      <c r="B422" s="14">
        <f>IF(_辅助!$B422="","",IF(_辅助!$B422&lt;=1000,INDEX(存条明细!$C$4:$C$1003,_辅助!$B422),INDEX(出库明细!$C$4:$C$3003,_辅助!$B422-1000)))</f>
      </c>
      <c r="C422" s="14">
        <f>IF(_辅助!$B422="","",IF(_辅助!$B422&lt;=1000,INDEX(存条明细!$D$4:$D$1003,_辅助!$B422),INDEX(出库明细!$D$4:$D$3003,_辅助!$B422-1000)))</f>
      </c>
      <c r="D422" s="14">
        <f>IF($B422="","",IFERROR(SUMIFS(存条明细!E:E,存条明细!C:C,$B422,存条明细!D:D,$C422),0))</f>
      </c>
      <c r="E422" s="156">
        <f>IF(OR($B422="",N(D422)=0),"",ROUND(F422/D422,2))</f>
      </c>
      <c r="F422" s="156">
        <f>IF($B422="","",IFERROR(SUMIFS(存条明细!G:G,存条明细!C:C,$B422,存条明细!D:D,$C422),0))</f>
      </c>
      <c r="G422" s="14">
        <f>IF($B422="","",IFERROR(SUMIFS(出库明细!E:E,出库明细!C:C,$B422,出库明细!D:D,$C422),0))</f>
      </c>
      <c r="H422" s="156">
        <f>IF($B422="","",IFERROR(SUMIFS(出库明细!G:G,出库明细!C:C,$B422,出库明细!D:D,$C422),0))</f>
      </c>
      <c r="I422" s="14">
        <f>IF($B422="","",D422-G422)</f>
      </c>
      <c r="J422" s="156">
        <f>IF($B422="","",F422-H422)</f>
      </c>
      <c r="K422" s="179">
        <f>IF($B422="","",MAX(_xlfn.MAXIFS(存条明细!B:B,存条明细!C:C,$B422,存条明细!D:D,$C422),_xlfn.MAXIFS(出库明细!B:B,出库明细!C:C,$B422,出库明细!D:D,$C422)))</f>
      </c>
    </row>
    <row r="423" ht="15" customHeight="1" s="71">
      <c r="A423" s="14">
        <f>IF(B423="","",ROW()-3)</f>
      </c>
      <c r="B423" s="14">
        <f>IF(_辅助!$B423="","",IF(_辅助!$B423&lt;=1000,INDEX(存条明细!$C$4:$C$1003,_辅助!$B423),INDEX(出库明细!$C$4:$C$3003,_辅助!$B423-1000)))</f>
      </c>
      <c r="C423" s="14">
        <f>IF(_辅助!$B423="","",IF(_辅助!$B423&lt;=1000,INDEX(存条明细!$D$4:$D$1003,_辅助!$B423),INDEX(出库明细!$D$4:$D$3003,_辅助!$B423-1000)))</f>
      </c>
      <c r="D423" s="14">
        <f>IF($B423="","",IFERROR(SUMIFS(存条明细!E:E,存条明细!C:C,$B423,存条明细!D:D,$C423),0))</f>
      </c>
      <c r="E423" s="156">
        <f>IF(OR($B423="",N(D423)=0),"",ROUND(F423/D423,2))</f>
      </c>
      <c r="F423" s="156">
        <f>IF($B423="","",IFERROR(SUMIFS(存条明细!G:G,存条明细!C:C,$B423,存条明细!D:D,$C423),0))</f>
      </c>
      <c r="G423" s="14">
        <f>IF($B423="","",IFERROR(SUMIFS(出库明细!E:E,出库明细!C:C,$B423,出库明细!D:D,$C423),0))</f>
      </c>
      <c r="H423" s="156">
        <f>IF($B423="","",IFERROR(SUMIFS(出库明细!G:G,出库明细!C:C,$B423,出库明细!D:D,$C423),0))</f>
      </c>
      <c r="I423" s="14">
        <f>IF($B423="","",D423-G423)</f>
      </c>
      <c r="J423" s="156">
        <f>IF($B423="","",F423-H423)</f>
      </c>
      <c r="K423" s="179">
        <f>IF($B423="","",MAX(_xlfn.MAXIFS(存条明细!B:B,存条明细!C:C,$B423,存条明细!D:D,$C423),_xlfn.MAXIFS(出库明细!B:B,出库明细!C:C,$B423,出库明细!D:D,$C423)))</f>
      </c>
    </row>
    <row r="424" ht="15" customHeight="1" s="71">
      <c r="A424" s="14">
        <f>IF(B424="","",ROW()-3)</f>
      </c>
      <c r="B424" s="14">
        <f>IF(_辅助!$B424="","",IF(_辅助!$B424&lt;=1000,INDEX(存条明细!$C$4:$C$1003,_辅助!$B424),INDEX(出库明细!$C$4:$C$3003,_辅助!$B424-1000)))</f>
      </c>
      <c r="C424" s="14">
        <f>IF(_辅助!$B424="","",IF(_辅助!$B424&lt;=1000,INDEX(存条明细!$D$4:$D$1003,_辅助!$B424),INDEX(出库明细!$D$4:$D$3003,_辅助!$B424-1000)))</f>
      </c>
      <c r="D424" s="14">
        <f>IF($B424="","",IFERROR(SUMIFS(存条明细!E:E,存条明细!C:C,$B424,存条明细!D:D,$C424),0))</f>
      </c>
      <c r="E424" s="156">
        <f>IF(OR($B424="",N(D424)=0),"",ROUND(F424/D424,2))</f>
      </c>
      <c r="F424" s="156">
        <f>IF($B424="","",IFERROR(SUMIFS(存条明细!G:G,存条明细!C:C,$B424,存条明细!D:D,$C424),0))</f>
      </c>
      <c r="G424" s="14">
        <f>IF($B424="","",IFERROR(SUMIFS(出库明细!E:E,出库明细!C:C,$B424,出库明细!D:D,$C424),0))</f>
      </c>
      <c r="H424" s="156">
        <f>IF($B424="","",IFERROR(SUMIFS(出库明细!G:G,出库明细!C:C,$B424,出库明细!D:D,$C424),0))</f>
      </c>
      <c r="I424" s="14">
        <f>IF($B424="","",D424-G424)</f>
      </c>
      <c r="J424" s="156">
        <f>IF($B424="","",F424-H424)</f>
      </c>
      <c r="K424" s="179">
        <f>IF($B424="","",MAX(_xlfn.MAXIFS(存条明细!B:B,存条明细!C:C,$B424,存条明细!D:D,$C424),_xlfn.MAXIFS(出库明细!B:B,出库明细!C:C,$B424,出库明细!D:D,$C424)))</f>
      </c>
    </row>
    <row r="425" ht="15" customHeight="1" s="71">
      <c r="A425" s="14">
        <f>IF(B425="","",ROW()-3)</f>
      </c>
      <c r="B425" s="14">
        <f>IF(_辅助!$B425="","",IF(_辅助!$B425&lt;=1000,INDEX(存条明细!$C$4:$C$1003,_辅助!$B425),INDEX(出库明细!$C$4:$C$3003,_辅助!$B425-1000)))</f>
      </c>
      <c r="C425" s="14">
        <f>IF(_辅助!$B425="","",IF(_辅助!$B425&lt;=1000,INDEX(存条明细!$D$4:$D$1003,_辅助!$B425),INDEX(出库明细!$D$4:$D$3003,_辅助!$B425-1000)))</f>
      </c>
      <c r="D425" s="14">
        <f>IF($B425="","",IFERROR(SUMIFS(存条明细!E:E,存条明细!C:C,$B425,存条明细!D:D,$C425),0))</f>
      </c>
      <c r="E425" s="156">
        <f>IF(OR($B425="",N(D425)=0),"",ROUND(F425/D425,2))</f>
      </c>
      <c r="F425" s="156">
        <f>IF($B425="","",IFERROR(SUMIFS(存条明细!G:G,存条明细!C:C,$B425,存条明细!D:D,$C425),0))</f>
      </c>
      <c r="G425" s="14">
        <f>IF($B425="","",IFERROR(SUMIFS(出库明细!E:E,出库明细!C:C,$B425,出库明细!D:D,$C425),0))</f>
      </c>
      <c r="H425" s="156">
        <f>IF($B425="","",IFERROR(SUMIFS(出库明细!G:G,出库明细!C:C,$B425,出库明细!D:D,$C425),0))</f>
      </c>
      <c r="I425" s="14">
        <f>IF($B425="","",D425-G425)</f>
      </c>
      <c r="J425" s="156">
        <f>IF($B425="","",F425-H425)</f>
      </c>
      <c r="K425" s="179">
        <f>IF($B425="","",MAX(_xlfn.MAXIFS(存条明细!B:B,存条明细!C:C,$B425,存条明细!D:D,$C425),_xlfn.MAXIFS(出库明细!B:B,出库明细!C:C,$B425,出库明细!D:D,$C425)))</f>
      </c>
    </row>
    <row r="426" ht="15" customHeight="1" s="71">
      <c r="A426" s="14">
        <f>IF(B426="","",ROW()-3)</f>
      </c>
      <c r="B426" s="14">
        <f>IF(_辅助!$B426="","",IF(_辅助!$B426&lt;=1000,INDEX(存条明细!$C$4:$C$1003,_辅助!$B426),INDEX(出库明细!$C$4:$C$3003,_辅助!$B426-1000)))</f>
      </c>
      <c r="C426" s="14">
        <f>IF(_辅助!$B426="","",IF(_辅助!$B426&lt;=1000,INDEX(存条明细!$D$4:$D$1003,_辅助!$B426),INDEX(出库明细!$D$4:$D$3003,_辅助!$B426-1000)))</f>
      </c>
      <c r="D426" s="14">
        <f>IF($B426="","",IFERROR(SUMIFS(存条明细!E:E,存条明细!C:C,$B426,存条明细!D:D,$C426),0))</f>
      </c>
      <c r="E426" s="156">
        <f>IF(OR($B426="",N(D426)=0),"",ROUND(F426/D426,2))</f>
      </c>
      <c r="F426" s="156">
        <f>IF($B426="","",IFERROR(SUMIFS(存条明细!G:G,存条明细!C:C,$B426,存条明细!D:D,$C426),0))</f>
      </c>
      <c r="G426" s="14">
        <f>IF($B426="","",IFERROR(SUMIFS(出库明细!E:E,出库明细!C:C,$B426,出库明细!D:D,$C426),0))</f>
      </c>
      <c r="H426" s="156">
        <f>IF($B426="","",IFERROR(SUMIFS(出库明细!G:G,出库明细!C:C,$B426,出库明细!D:D,$C426),0))</f>
      </c>
      <c r="I426" s="14">
        <f>IF($B426="","",D426-G426)</f>
      </c>
      <c r="J426" s="156">
        <f>IF($B426="","",F426-H426)</f>
      </c>
      <c r="K426" s="179">
        <f>IF($B426="","",MAX(_xlfn.MAXIFS(存条明细!B:B,存条明细!C:C,$B426,存条明细!D:D,$C426),_xlfn.MAXIFS(出库明细!B:B,出库明细!C:C,$B426,出库明细!D:D,$C426)))</f>
      </c>
    </row>
    <row r="427" ht="15" customHeight="1" s="71">
      <c r="A427" s="14">
        <f>IF(B427="","",ROW()-3)</f>
      </c>
      <c r="B427" s="14">
        <f>IF(_辅助!$B427="","",IF(_辅助!$B427&lt;=1000,INDEX(存条明细!$C$4:$C$1003,_辅助!$B427),INDEX(出库明细!$C$4:$C$3003,_辅助!$B427-1000)))</f>
      </c>
      <c r="C427" s="14">
        <f>IF(_辅助!$B427="","",IF(_辅助!$B427&lt;=1000,INDEX(存条明细!$D$4:$D$1003,_辅助!$B427),INDEX(出库明细!$D$4:$D$3003,_辅助!$B427-1000)))</f>
      </c>
      <c r="D427" s="14">
        <f>IF($B427="","",IFERROR(SUMIFS(存条明细!E:E,存条明细!C:C,$B427,存条明细!D:D,$C427),0))</f>
      </c>
      <c r="E427" s="156">
        <f>IF(OR($B427="",N(D427)=0),"",ROUND(F427/D427,2))</f>
      </c>
      <c r="F427" s="156">
        <f>IF($B427="","",IFERROR(SUMIFS(存条明细!G:G,存条明细!C:C,$B427,存条明细!D:D,$C427),0))</f>
      </c>
      <c r="G427" s="14">
        <f>IF($B427="","",IFERROR(SUMIFS(出库明细!E:E,出库明细!C:C,$B427,出库明细!D:D,$C427),0))</f>
      </c>
      <c r="H427" s="156">
        <f>IF($B427="","",IFERROR(SUMIFS(出库明细!G:G,出库明细!C:C,$B427,出库明细!D:D,$C427),0))</f>
      </c>
      <c r="I427" s="14">
        <f>IF($B427="","",D427-G427)</f>
      </c>
      <c r="J427" s="156">
        <f>IF($B427="","",F427-H427)</f>
      </c>
      <c r="K427" s="179">
        <f>IF($B427="","",MAX(_xlfn.MAXIFS(存条明细!B:B,存条明细!C:C,$B427,存条明细!D:D,$C427),_xlfn.MAXIFS(出库明细!B:B,出库明细!C:C,$B427,出库明细!D:D,$C427)))</f>
      </c>
    </row>
    <row r="428" ht="15" customHeight="1" s="71">
      <c r="A428" s="14">
        <f>IF(B428="","",ROW()-3)</f>
      </c>
      <c r="B428" s="14">
        <f>IF(_辅助!$B428="","",IF(_辅助!$B428&lt;=1000,INDEX(存条明细!$C$4:$C$1003,_辅助!$B428),INDEX(出库明细!$C$4:$C$3003,_辅助!$B428-1000)))</f>
      </c>
      <c r="C428" s="14">
        <f>IF(_辅助!$B428="","",IF(_辅助!$B428&lt;=1000,INDEX(存条明细!$D$4:$D$1003,_辅助!$B428),INDEX(出库明细!$D$4:$D$3003,_辅助!$B428-1000)))</f>
      </c>
      <c r="D428" s="14">
        <f>IF($B428="","",IFERROR(SUMIFS(存条明细!E:E,存条明细!C:C,$B428,存条明细!D:D,$C428),0))</f>
      </c>
      <c r="E428" s="156">
        <f>IF(OR($B428="",N(D428)=0),"",ROUND(F428/D428,2))</f>
      </c>
      <c r="F428" s="156">
        <f>IF($B428="","",IFERROR(SUMIFS(存条明细!G:G,存条明细!C:C,$B428,存条明细!D:D,$C428),0))</f>
      </c>
      <c r="G428" s="14">
        <f>IF($B428="","",IFERROR(SUMIFS(出库明细!E:E,出库明细!C:C,$B428,出库明细!D:D,$C428),0))</f>
      </c>
      <c r="H428" s="156">
        <f>IF($B428="","",IFERROR(SUMIFS(出库明细!G:G,出库明细!C:C,$B428,出库明细!D:D,$C428),0))</f>
      </c>
      <c r="I428" s="14">
        <f>IF($B428="","",D428-G428)</f>
      </c>
      <c r="J428" s="156">
        <f>IF($B428="","",F428-H428)</f>
      </c>
      <c r="K428" s="179">
        <f>IF($B428="","",MAX(_xlfn.MAXIFS(存条明细!B:B,存条明细!C:C,$B428,存条明细!D:D,$C428),_xlfn.MAXIFS(出库明细!B:B,出库明细!C:C,$B428,出库明细!D:D,$C428)))</f>
      </c>
    </row>
    <row r="429" ht="15" customHeight="1" s="71">
      <c r="A429" s="14">
        <f>IF(B429="","",ROW()-3)</f>
      </c>
      <c r="B429" s="14">
        <f>IF(_辅助!$B429="","",IF(_辅助!$B429&lt;=1000,INDEX(存条明细!$C$4:$C$1003,_辅助!$B429),INDEX(出库明细!$C$4:$C$3003,_辅助!$B429-1000)))</f>
      </c>
      <c r="C429" s="14">
        <f>IF(_辅助!$B429="","",IF(_辅助!$B429&lt;=1000,INDEX(存条明细!$D$4:$D$1003,_辅助!$B429),INDEX(出库明细!$D$4:$D$3003,_辅助!$B429-1000)))</f>
      </c>
      <c r="D429" s="14">
        <f>IF($B429="","",IFERROR(SUMIFS(存条明细!E:E,存条明细!C:C,$B429,存条明细!D:D,$C429),0))</f>
      </c>
      <c r="E429" s="156">
        <f>IF(OR($B429="",N(D429)=0),"",ROUND(F429/D429,2))</f>
      </c>
      <c r="F429" s="156">
        <f>IF($B429="","",IFERROR(SUMIFS(存条明细!G:G,存条明细!C:C,$B429,存条明细!D:D,$C429),0))</f>
      </c>
      <c r="G429" s="14">
        <f>IF($B429="","",IFERROR(SUMIFS(出库明细!E:E,出库明细!C:C,$B429,出库明细!D:D,$C429),0))</f>
      </c>
      <c r="H429" s="156">
        <f>IF($B429="","",IFERROR(SUMIFS(出库明细!G:G,出库明细!C:C,$B429,出库明细!D:D,$C429),0))</f>
      </c>
      <c r="I429" s="14">
        <f>IF($B429="","",D429-G429)</f>
      </c>
      <c r="J429" s="156">
        <f>IF($B429="","",F429-H429)</f>
      </c>
      <c r="K429" s="179">
        <f>IF($B429="","",MAX(_xlfn.MAXIFS(存条明细!B:B,存条明细!C:C,$B429,存条明细!D:D,$C429),_xlfn.MAXIFS(出库明细!B:B,出库明细!C:C,$B429,出库明细!D:D,$C429)))</f>
      </c>
    </row>
    <row r="430" ht="15" customHeight="1" s="71">
      <c r="A430" s="14">
        <f>IF(B430="","",ROW()-3)</f>
      </c>
      <c r="B430" s="14">
        <f>IF(_辅助!$B430="","",IF(_辅助!$B430&lt;=1000,INDEX(存条明细!$C$4:$C$1003,_辅助!$B430),INDEX(出库明细!$C$4:$C$3003,_辅助!$B430-1000)))</f>
      </c>
      <c r="C430" s="14">
        <f>IF(_辅助!$B430="","",IF(_辅助!$B430&lt;=1000,INDEX(存条明细!$D$4:$D$1003,_辅助!$B430),INDEX(出库明细!$D$4:$D$3003,_辅助!$B430-1000)))</f>
      </c>
      <c r="D430" s="14">
        <f>IF($B430="","",IFERROR(SUMIFS(存条明细!E:E,存条明细!C:C,$B430,存条明细!D:D,$C430),0))</f>
      </c>
      <c r="E430" s="156">
        <f>IF(OR($B430="",N(D430)=0),"",ROUND(F430/D430,2))</f>
      </c>
      <c r="F430" s="156">
        <f>IF($B430="","",IFERROR(SUMIFS(存条明细!G:G,存条明细!C:C,$B430,存条明细!D:D,$C430),0))</f>
      </c>
      <c r="G430" s="14">
        <f>IF($B430="","",IFERROR(SUMIFS(出库明细!E:E,出库明细!C:C,$B430,出库明细!D:D,$C430),0))</f>
      </c>
      <c r="H430" s="156">
        <f>IF($B430="","",IFERROR(SUMIFS(出库明细!G:G,出库明细!C:C,$B430,出库明细!D:D,$C430),0))</f>
      </c>
      <c r="I430" s="14">
        <f>IF($B430="","",D430-G430)</f>
      </c>
      <c r="J430" s="156">
        <f>IF($B430="","",F430-H430)</f>
      </c>
      <c r="K430" s="179">
        <f>IF($B430="","",MAX(_xlfn.MAXIFS(存条明细!B:B,存条明细!C:C,$B430,存条明细!D:D,$C430),_xlfn.MAXIFS(出库明细!B:B,出库明细!C:C,$B430,出库明细!D:D,$C430)))</f>
      </c>
    </row>
    <row r="431" ht="15" customHeight="1" s="71">
      <c r="A431" s="14">
        <f>IF(B431="","",ROW()-3)</f>
      </c>
      <c r="B431" s="14">
        <f>IF(_辅助!$B431="","",IF(_辅助!$B431&lt;=1000,INDEX(存条明细!$C$4:$C$1003,_辅助!$B431),INDEX(出库明细!$C$4:$C$3003,_辅助!$B431-1000)))</f>
      </c>
      <c r="C431" s="14">
        <f>IF(_辅助!$B431="","",IF(_辅助!$B431&lt;=1000,INDEX(存条明细!$D$4:$D$1003,_辅助!$B431),INDEX(出库明细!$D$4:$D$3003,_辅助!$B431-1000)))</f>
      </c>
      <c r="D431" s="14">
        <f>IF($B431="","",IFERROR(SUMIFS(存条明细!E:E,存条明细!C:C,$B431,存条明细!D:D,$C431),0))</f>
      </c>
      <c r="E431" s="156">
        <f>IF(OR($B431="",N(D431)=0),"",ROUND(F431/D431,2))</f>
      </c>
      <c r="F431" s="156">
        <f>IF($B431="","",IFERROR(SUMIFS(存条明细!G:G,存条明细!C:C,$B431,存条明细!D:D,$C431),0))</f>
      </c>
      <c r="G431" s="14">
        <f>IF($B431="","",IFERROR(SUMIFS(出库明细!E:E,出库明细!C:C,$B431,出库明细!D:D,$C431),0))</f>
      </c>
      <c r="H431" s="156">
        <f>IF($B431="","",IFERROR(SUMIFS(出库明细!G:G,出库明细!C:C,$B431,出库明细!D:D,$C431),0))</f>
      </c>
      <c r="I431" s="14">
        <f>IF($B431="","",D431-G431)</f>
      </c>
      <c r="J431" s="156">
        <f>IF($B431="","",F431-H431)</f>
      </c>
      <c r="K431" s="179">
        <f>IF($B431="","",MAX(_xlfn.MAXIFS(存条明细!B:B,存条明细!C:C,$B431,存条明细!D:D,$C431),_xlfn.MAXIFS(出库明细!B:B,出库明细!C:C,$B431,出库明细!D:D,$C431)))</f>
      </c>
    </row>
    <row r="432" ht="15" customHeight="1" s="71">
      <c r="A432" s="14">
        <f>IF(B432="","",ROW()-3)</f>
      </c>
      <c r="B432" s="14">
        <f>IF(_辅助!$B432="","",IF(_辅助!$B432&lt;=1000,INDEX(存条明细!$C$4:$C$1003,_辅助!$B432),INDEX(出库明细!$C$4:$C$3003,_辅助!$B432-1000)))</f>
      </c>
      <c r="C432" s="14">
        <f>IF(_辅助!$B432="","",IF(_辅助!$B432&lt;=1000,INDEX(存条明细!$D$4:$D$1003,_辅助!$B432),INDEX(出库明细!$D$4:$D$3003,_辅助!$B432-1000)))</f>
      </c>
      <c r="D432" s="14">
        <f>IF($B432="","",IFERROR(SUMIFS(存条明细!E:E,存条明细!C:C,$B432,存条明细!D:D,$C432),0))</f>
      </c>
      <c r="E432" s="156">
        <f>IF(OR($B432="",N(D432)=0),"",ROUND(F432/D432,2))</f>
      </c>
      <c r="F432" s="156">
        <f>IF($B432="","",IFERROR(SUMIFS(存条明细!G:G,存条明细!C:C,$B432,存条明细!D:D,$C432),0))</f>
      </c>
      <c r="G432" s="14">
        <f>IF($B432="","",IFERROR(SUMIFS(出库明细!E:E,出库明细!C:C,$B432,出库明细!D:D,$C432),0))</f>
      </c>
      <c r="H432" s="156">
        <f>IF($B432="","",IFERROR(SUMIFS(出库明细!G:G,出库明细!C:C,$B432,出库明细!D:D,$C432),0))</f>
      </c>
      <c r="I432" s="14">
        <f>IF($B432="","",D432-G432)</f>
      </c>
      <c r="J432" s="156">
        <f>IF($B432="","",F432-H432)</f>
      </c>
      <c r="K432" s="179">
        <f>IF($B432="","",MAX(_xlfn.MAXIFS(存条明细!B:B,存条明细!C:C,$B432,存条明细!D:D,$C432),_xlfn.MAXIFS(出库明细!B:B,出库明细!C:C,$B432,出库明细!D:D,$C432)))</f>
      </c>
    </row>
    <row r="433" ht="15" customHeight="1" s="71">
      <c r="A433" s="14">
        <f>IF(B433="","",ROW()-3)</f>
      </c>
      <c r="B433" s="14">
        <f>IF(_辅助!$B433="","",IF(_辅助!$B433&lt;=1000,INDEX(存条明细!$C$4:$C$1003,_辅助!$B433),INDEX(出库明细!$C$4:$C$3003,_辅助!$B433-1000)))</f>
      </c>
      <c r="C433" s="14">
        <f>IF(_辅助!$B433="","",IF(_辅助!$B433&lt;=1000,INDEX(存条明细!$D$4:$D$1003,_辅助!$B433),INDEX(出库明细!$D$4:$D$3003,_辅助!$B433-1000)))</f>
      </c>
      <c r="D433" s="14">
        <f>IF($B433="","",IFERROR(SUMIFS(存条明细!E:E,存条明细!C:C,$B433,存条明细!D:D,$C433),0))</f>
      </c>
      <c r="E433" s="156">
        <f>IF(OR($B433="",N(D433)=0),"",ROUND(F433/D433,2))</f>
      </c>
      <c r="F433" s="156">
        <f>IF($B433="","",IFERROR(SUMIFS(存条明细!G:G,存条明细!C:C,$B433,存条明细!D:D,$C433),0))</f>
      </c>
      <c r="G433" s="14">
        <f>IF($B433="","",IFERROR(SUMIFS(出库明细!E:E,出库明细!C:C,$B433,出库明细!D:D,$C433),0))</f>
      </c>
      <c r="H433" s="156">
        <f>IF($B433="","",IFERROR(SUMIFS(出库明细!G:G,出库明细!C:C,$B433,出库明细!D:D,$C433),0))</f>
      </c>
      <c r="I433" s="14">
        <f>IF($B433="","",D433-G433)</f>
      </c>
      <c r="J433" s="156">
        <f>IF($B433="","",F433-H433)</f>
      </c>
      <c r="K433" s="179">
        <f>IF($B433="","",MAX(_xlfn.MAXIFS(存条明细!B:B,存条明细!C:C,$B433,存条明细!D:D,$C433),_xlfn.MAXIFS(出库明细!B:B,出库明细!C:C,$B433,出库明细!D:D,$C433)))</f>
      </c>
    </row>
    <row r="434" ht="15" customHeight="1" s="71">
      <c r="A434" s="14">
        <f>IF(B434="","",ROW()-3)</f>
      </c>
      <c r="B434" s="14">
        <f>IF(_辅助!$B434="","",IF(_辅助!$B434&lt;=1000,INDEX(存条明细!$C$4:$C$1003,_辅助!$B434),INDEX(出库明细!$C$4:$C$3003,_辅助!$B434-1000)))</f>
      </c>
      <c r="C434" s="14">
        <f>IF(_辅助!$B434="","",IF(_辅助!$B434&lt;=1000,INDEX(存条明细!$D$4:$D$1003,_辅助!$B434),INDEX(出库明细!$D$4:$D$3003,_辅助!$B434-1000)))</f>
      </c>
      <c r="D434" s="14">
        <f>IF($B434="","",IFERROR(SUMIFS(存条明细!E:E,存条明细!C:C,$B434,存条明细!D:D,$C434),0))</f>
      </c>
      <c r="E434" s="156">
        <f>IF(OR($B434="",N(D434)=0),"",ROUND(F434/D434,2))</f>
      </c>
      <c r="F434" s="156">
        <f>IF($B434="","",IFERROR(SUMIFS(存条明细!G:G,存条明细!C:C,$B434,存条明细!D:D,$C434),0))</f>
      </c>
      <c r="G434" s="14">
        <f>IF($B434="","",IFERROR(SUMIFS(出库明细!E:E,出库明细!C:C,$B434,出库明细!D:D,$C434),0))</f>
      </c>
      <c r="H434" s="156">
        <f>IF($B434="","",IFERROR(SUMIFS(出库明细!G:G,出库明细!C:C,$B434,出库明细!D:D,$C434),0))</f>
      </c>
      <c r="I434" s="14">
        <f>IF($B434="","",D434-G434)</f>
      </c>
      <c r="J434" s="156">
        <f>IF($B434="","",F434-H434)</f>
      </c>
      <c r="K434" s="179">
        <f>IF($B434="","",MAX(_xlfn.MAXIFS(存条明细!B:B,存条明细!C:C,$B434,存条明细!D:D,$C434),_xlfn.MAXIFS(出库明细!B:B,出库明细!C:C,$B434,出库明细!D:D,$C434)))</f>
      </c>
    </row>
    <row r="435" ht="15" customHeight="1" s="71">
      <c r="A435" s="14">
        <f>IF(B435="","",ROW()-3)</f>
      </c>
      <c r="B435" s="14">
        <f>IF(_辅助!$B435="","",IF(_辅助!$B435&lt;=1000,INDEX(存条明细!$C$4:$C$1003,_辅助!$B435),INDEX(出库明细!$C$4:$C$3003,_辅助!$B435-1000)))</f>
      </c>
      <c r="C435" s="14">
        <f>IF(_辅助!$B435="","",IF(_辅助!$B435&lt;=1000,INDEX(存条明细!$D$4:$D$1003,_辅助!$B435),INDEX(出库明细!$D$4:$D$3003,_辅助!$B435-1000)))</f>
      </c>
      <c r="D435" s="14">
        <f>IF($B435="","",IFERROR(SUMIFS(存条明细!E:E,存条明细!C:C,$B435,存条明细!D:D,$C435),0))</f>
      </c>
      <c r="E435" s="156">
        <f>IF(OR($B435="",N(D435)=0),"",ROUND(F435/D435,2))</f>
      </c>
      <c r="F435" s="156">
        <f>IF($B435="","",IFERROR(SUMIFS(存条明细!G:G,存条明细!C:C,$B435,存条明细!D:D,$C435),0))</f>
      </c>
      <c r="G435" s="14">
        <f>IF($B435="","",IFERROR(SUMIFS(出库明细!E:E,出库明细!C:C,$B435,出库明细!D:D,$C435),0))</f>
      </c>
      <c r="H435" s="156">
        <f>IF($B435="","",IFERROR(SUMIFS(出库明细!G:G,出库明细!C:C,$B435,出库明细!D:D,$C435),0))</f>
      </c>
      <c r="I435" s="14">
        <f>IF($B435="","",D435-G435)</f>
      </c>
      <c r="J435" s="156">
        <f>IF($B435="","",F435-H435)</f>
      </c>
      <c r="K435" s="179">
        <f>IF($B435="","",MAX(_xlfn.MAXIFS(存条明细!B:B,存条明细!C:C,$B435,存条明细!D:D,$C435),_xlfn.MAXIFS(出库明细!B:B,出库明细!C:C,$B435,出库明细!D:D,$C435)))</f>
      </c>
    </row>
    <row r="436" ht="15" customHeight="1" s="71">
      <c r="A436" s="14">
        <f>IF(B436="","",ROW()-3)</f>
      </c>
      <c r="B436" s="14">
        <f>IF(_辅助!$B436="","",IF(_辅助!$B436&lt;=1000,INDEX(存条明细!$C$4:$C$1003,_辅助!$B436),INDEX(出库明细!$C$4:$C$3003,_辅助!$B436-1000)))</f>
      </c>
      <c r="C436" s="14">
        <f>IF(_辅助!$B436="","",IF(_辅助!$B436&lt;=1000,INDEX(存条明细!$D$4:$D$1003,_辅助!$B436),INDEX(出库明细!$D$4:$D$3003,_辅助!$B436-1000)))</f>
      </c>
      <c r="D436" s="14">
        <f>IF($B436="","",IFERROR(SUMIFS(存条明细!E:E,存条明细!C:C,$B436,存条明细!D:D,$C436),0))</f>
      </c>
      <c r="E436" s="156">
        <f>IF(OR($B436="",N(D436)=0),"",ROUND(F436/D436,2))</f>
      </c>
      <c r="F436" s="156">
        <f>IF($B436="","",IFERROR(SUMIFS(存条明细!G:G,存条明细!C:C,$B436,存条明细!D:D,$C436),0))</f>
      </c>
      <c r="G436" s="14">
        <f>IF($B436="","",IFERROR(SUMIFS(出库明细!E:E,出库明细!C:C,$B436,出库明细!D:D,$C436),0))</f>
      </c>
      <c r="H436" s="156">
        <f>IF($B436="","",IFERROR(SUMIFS(出库明细!G:G,出库明细!C:C,$B436,出库明细!D:D,$C436),0))</f>
      </c>
      <c r="I436" s="14">
        <f>IF($B436="","",D436-G436)</f>
      </c>
      <c r="J436" s="156">
        <f>IF($B436="","",F436-H436)</f>
      </c>
      <c r="K436" s="179">
        <f>IF($B436="","",MAX(_xlfn.MAXIFS(存条明细!B:B,存条明细!C:C,$B436,存条明细!D:D,$C436),_xlfn.MAXIFS(出库明细!B:B,出库明细!C:C,$B436,出库明细!D:D,$C436)))</f>
      </c>
    </row>
    <row r="437" ht="15" customHeight="1" s="71">
      <c r="A437" s="14">
        <f>IF(B437="","",ROW()-3)</f>
      </c>
      <c r="B437" s="14">
        <f>IF(_辅助!$B437="","",IF(_辅助!$B437&lt;=1000,INDEX(存条明细!$C$4:$C$1003,_辅助!$B437),INDEX(出库明细!$C$4:$C$3003,_辅助!$B437-1000)))</f>
      </c>
      <c r="C437" s="14">
        <f>IF(_辅助!$B437="","",IF(_辅助!$B437&lt;=1000,INDEX(存条明细!$D$4:$D$1003,_辅助!$B437),INDEX(出库明细!$D$4:$D$3003,_辅助!$B437-1000)))</f>
      </c>
      <c r="D437" s="14">
        <f>IF($B437="","",IFERROR(SUMIFS(存条明细!E:E,存条明细!C:C,$B437,存条明细!D:D,$C437),0))</f>
      </c>
      <c r="E437" s="156">
        <f>IF(OR($B437="",N(D437)=0),"",ROUND(F437/D437,2))</f>
      </c>
      <c r="F437" s="156">
        <f>IF($B437="","",IFERROR(SUMIFS(存条明细!G:G,存条明细!C:C,$B437,存条明细!D:D,$C437),0))</f>
      </c>
      <c r="G437" s="14">
        <f>IF($B437="","",IFERROR(SUMIFS(出库明细!E:E,出库明细!C:C,$B437,出库明细!D:D,$C437),0))</f>
      </c>
      <c r="H437" s="156">
        <f>IF($B437="","",IFERROR(SUMIFS(出库明细!G:G,出库明细!C:C,$B437,出库明细!D:D,$C437),0))</f>
      </c>
      <c r="I437" s="14">
        <f>IF($B437="","",D437-G437)</f>
      </c>
      <c r="J437" s="156">
        <f>IF($B437="","",F437-H437)</f>
      </c>
      <c r="K437" s="179">
        <f>IF($B437="","",MAX(_xlfn.MAXIFS(存条明细!B:B,存条明细!C:C,$B437,存条明细!D:D,$C437),_xlfn.MAXIFS(出库明细!B:B,出库明细!C:C,$B437,出库明细!D:D,$C437)))</f>
      </c>
    </row>
    <row r="438" ht="15" customHeight="1" s="71">
      <c r="A438" s="14">
        <f>IF(B438="","",ROW()-3)</f>
      </c>
      <c r="B438" s="14">
        <f>IF(_辅助!$B438="","",IF(_辅助!$B438&lt;=1000,INDEX(存条明细!$C$4:$C$1003,_辅助!$B438),INDEX(出库明细!$C$4:$C$3003,_辅助!$B438-1000)))</f>
      </c>
      <c r="C438" s="14">
        <f>IF(_辅助!$B438="","",IF(_辅助!$B438&lt;=1000,INDEX(存条明细!$D$4:$D$1003,_辅助!$B438),INDEX(出库明细!$D$4:$D$3003,_辅助!$B438-1000)))</f>
      </c>
      <c r="D438" s="14">
        <f>IF($B438="","",IFERROR(SUMIFS(存条明细!E:E,存条明细!C:C,$B438,存条明细!D:D,$C438),0))</f>
      </c>
      <c r="E438" s="156">
        <f>IF(OR($B438="",N(D438)=0),"",ROUND(F438/D438,2))</f>
      </c>
      <c r="F438" s="156">
        <f>IF($B438="","",IFERROR(SUMIFS(存条明细!G:G,存条明细!C:C,$B438,存条明细!D:D,$C438),0))</f>
      </c>
      <c r="G438" s="14">
        <f>IF($B438="","",IFERROR(SUMIFS(出库明细!E:E,出库明细!C:C,$B438,出库明细!D:D,$C438),0))</f>
      </c>
      <c r="H438" s="156">
        <f>IF($B438="","",IFERROR(SUMIFS(出库明细!G:G,出库明细!C:C,$B438,出库明细!D:D,$C438),0))</f>
      </c>
      <c r="I438" s="14">
        <f>IF($B438="","",D438-G438)</f>
      </c>
      <c r="J438" s="156">
        <f>IF($B438="","",F438-H438)</f>
      </c>
      <c r="K438" s="179">
        <f>IF($B438="","",MAX(_xlfn.MAXIFS(存条明细!B:B,存条明细!C:C,$B438,存条明细!D:D,$C438),_xlfn.MAXIFS(出库明细!B:B,出库明细!C:C,$B438,出库明细!D:D,$C438)))</f>
      </c>
    </row>
    <row r="439" ht="15" customHeight="1" s="71">
      <c r="A439" s="14">
        <f>IF(B439="","",ROW()-3)</f>
      </c>
      <c r="B439" s="14">
        <f>IF(_辅助!$B439="","",IF(_辅助!$B439&lt;=1000,INDEX(存条明细!$C$4:$C$1003,_辅助!$B439),INDEX(出库明细!$C$4:$C$3003,_辅助!$B439-1000)))</f>
      </c>
      <c r="C439" s="14">
        <f>IF(_辅助!$B439="","",IF(_辅助!$B439&lt;=1000,INDEX(存条明细!$D$4:$D$1003,_辅助!$B439),INDEX(出库明细!$D$4:$D$3003,_辅助!$B439-1000)))</f>
      </c>
      <c r="D439" s="14">
        <f>IF($B439="","",IFERROR(SUMIFS(存条明细!E:E,存条明细!C:C,$B439,存条明细!D:D,$C439),0))</f>
      </c>
      <c r="E439" s="156">
        <f>IF(OR($B439="",N(D439)=0),"",ROUND(F439/D439,2))</f>
      </c>
      <c r="F439" s="156">
        <f>IF($B439="","",IFERROR(SUMIFS(存条明细!G:G,存条明细!C:C,$B439,存条明细!D:D,$C439),0))</f>
      </c>
      <c r="G439" s="14">
        <f>IF($B439="","",IFERROR(SUMIFS(出库明细!E:E,出库明细!C:C,$B439,出库明细!D:D,$C439),0))</f>
      </c>
      <c r="H439" s="156">
        <f>IF($B439="","",IFERROR(SUMIFS(出库明细!G:G,出库明细!C:C,$B439,出库明细!D:D,$C439),0))</f>
      </c>
      <c r="I439" s="14">
        <f>IF($B439="","",D439-G439)</f>
      </c>
      <c r="J439" s="156">
        <f>IF($B439="","",F439-H439)</f>
      </c>
      <c r="K439" s="179">
        <f>IF($B439="","",MAX(_xlfn.MAXIFS(存条明细!B:B,存条明细!C:C,$B439,存条明细!D:D,$C439),_xlfn.MAXIFS(出库明细!B:B,出库明细!C:C,$B439,出库明细!D:D,$C439)))</f>
      </c>
    </row>
    <row r="440" ht="15" customHeight="1" s="71">
      <c r="A440" s="14">
        <f>IF(B440="","",ROW()-3)</f>
      </c>
      <c r="B440" s="14">
        <f>IF(_辅助!$B440="","",IF(_辅助!$B440&lt;=1000,INDEX(存条明细!$C$4:$C$1003,_辅助!$B440),INDEX(出库明细!$C$4:$C$3003,_辅助!$B440-1000)))</f>
      </c>
      <c r="C440" s="14">
        <f>IF(_辅助!$B440="","",IF(_辅助!$B440&lt;=1000,INDEX(存条明细!$D$4:$D$1003,_辅助!$B440),INDEX(出库明细!$D$4:$D$3003,_辅助!$B440-1000)))</f>
      </c>
      <c r="D440" s="14">
        <f>IF($B440="","",IFERROR(SUMIFS(存条明细!E:E,存条明细!C:C,$B440,存条明细!D:D,$C440),0))</f>
      </c>
      <c r="E440" s="156">
        <f>IF(OR($B440="",N(D440)=0),"",ROUND(F440/D440,2))</f>
      </c>
      <c r="F440" s="156">
        <f>IF($B440="","",IFERROR(SUMIFS(存条明细!G:G,存条明细!C:C,$B440,存条明细!D:D,$C440),0))</f>
      </c>
      <c r="G440" s="14">
        <f>IF($B440="","",IFERROR(SUMIFS(出库明细!E:E,出库明细!C:C,$B440,出库明细!D:D,$C440),0))</f>
      </c>
      <c r="H440" s="156">
        <f>IF($B440="","",IFERROR(SUMIFS(出库明细!G:G,出库明细!C:C,$B440,出库明细!D:D,$C440),0))</f>
      </c>
      <c r="I440" s="14">
        <f>IF($B440="","",D440-G440)</f>
      </c>
      <c r="J440" s="156">
        <f>IF($B440="","",F440-H440)</f>
      </c>
      <c r="K440" s="179">
        <f>IF($B440="","",MAX(_xlfn.MAXIFS(存条明细!B:B,存条明细!C:C,$B440,存条明细!D:D,$C440),_xlfn.MAXIFS(出库明细!B:B,出库明细!C:C,$B440,出库明细!D:D,$C440)))</f>
      </c>
    </row>
    <row r="441" ht="15" customHeight="1" s="71">
      <c r="A441" s="14">
        <f>IF(B441="","",ROW()-3)</f>
      </c>
      <c r="B441" s="14">
        <f>IF(_辅助!$B441="","",IF(_辅助!$B441&lt;=1000,INDEX(存条明细!$C$4:$C$1003,_辅助!$B441),INDEX(出库明细!$C$4:$C$3003,_辅助!$B441-1000)))</f>
      </c>
      <c r="C441" s="14">
        <f>IF(_辅助!$B441="","",IF(_辅助!$B441&lt;=1000,INDEX(存条明细!$D$4:$D$1003,_辅助!$B441),INDEX(出库明细!$D$4:$D$3003,_辅助!$B441-1000)))</f>
      </c>
      <c r="D441" s="14">
        <f>IF($B441="","",IFERROR(SUMIFS(存条明细!E:E,存条明细!C:C,$B441,存条明细!D:D,$C441),0))</f>
      </c>
      <c r="E441" s="156">
        <f>IF(OR($B441="",N(D441)=0),"",ROUND(F441/D441,2))</f>
      </c>
      <c r="F441" s="156">
        <f>IF($B441="","",IFERROR(SUMIFS(存条明细!G:G,存条明细!C:C,$B441,存条明细!D:D,$C441),0))</f>
      </c>
      <c r="G441" s="14">
        <f>IF($B441="","",IFERROR(SUMIFS(出库明细!E:E,出库明细!C:C,$B441,出库明细!D:D,$C441),0))</f>
      </c>
      <c r="H441" s="156">
        <f>IF($B441="","",IFERROR(SUMIFS(出库明细!G:G,出库明细!C:C,$B441,出库明细!D:D,$C441),0))</f>
      </c>
      <c r="I441" s="14">
        <f>IF($B441="","",D441-G441)</f>
      </c>
      <c r="J441" s="156">
        <f>IF($B441="","",F441-H441)</f>
      </c>
      <c r="K441" s="179">
        <f>IF($B441="","",MAX(_xlfn.MAXIFS(存条明细!B:B,存条明细!C:C,$B441,存条明细!D:D,$C441),_xlfn.MAXIFS(出库明细!B:B,出库明细!C:C,$B441,出库明细!D:D,$C441)))</f>
      </c>
    </row>
    <row r="442" ht="15" customHeight="1" s="71">
      <c r="A442" s="14">
        <f>IF(B442="","",ROW()-3)</f>
      </c>
      <c r="B442" s="14">
        <f>IF(_辅助!$B442="","",IF(_辅助!$B442&lt;=1000,INDEX(存条明细!$C$4:$C$1003,_辅助!$B442),INDEX(出库明细!$C$4:$C$3003,_辅助!$B442-1000)))</f>
      </c>
      <c r="C442" s="14">
        <f>IF(_辅助!$B442="","",IF(_辅助!$B442&lt;=1000,INDEX(存条明细!$D$4:$D$1003,_辅助!$B442),INDEX(出库明细!$D$4:$D$3003,_辅助!$B442-1000)))</f>
      </c>
      <c r="D442" s="14">
        <f>IF($B442="","",IFERROR(SUMIFS(存条明细!E:E,存条明细!C:C,$B442,存条明细!D:D,$C442),0))</f>
      </c>
      <c r="E442" s="156">
        <f>IF(OR($B442="",N(D442)=0),"",ROUND(F442/D442,2))</f>
      </c>
      <c r="F442" s="156">
        <f>IF($B442="","",IFERROR(SUMIFS(存条明细!G:G,存条明细!C:C,$B442,存条明细!D:D,$C442),0))</f>
      </c>
      <c r="G442" s="14">
        <f>IF($B442="","",IFERROR(SUMIFS(出库明细!E:E,出库明细!C:C,$B442,出库明细!D:D,$C442),0))</f>
      </c>
      <c r="H442" s="156">
        <f>IF($B442="","",IFERROR(SUMIFS(出库明细!G:G,出库明细!C:C,$B442,出库明细!D:D,$C442),0))</f>
      </c>
      <c r="I442" s="14">
        <f>IF($B442="","",D442-G442)</f>
      </c>
      <c r="J442" s="156">
        <f>IF($B442="","",F442-H442)</f>
      </c>
      <c r="K442" s="179">
        <f>IF($B442="","",MAX(_xlfn.MAXIFS(存条明细!B:B,存条明细!C:C,$B442,存条明细!D:D,$C442),_xlfn.MAXIFS(出库明细!B:B,出库明细!C:C,$B442,出库明细!D:D,$C442)))</f>
      </c>
    </row>
    <row r="443" ht="15" customHeight="1" s="71">
      <c r="A443" s="14">
        <f>IF(B443="","",ROW()-3)</f>
      </c>
      <c r="B443" s="14">
        <f>IF(_辅助!$B443="","",IF(_辅助!$B443&lt;=1000,INDEX(存条明细!$C$4:$C$1003,_辅助!$B443),INDEX(出库明细!$C$4:$C$3003,_辅助!$B443-1000)))</f>
      </c>
      <c r="C443" s="14">
        <f>IF(_辅助!$B443="","",IF(_辅助!$B443&lt;=1000,INDEX(存条明细!$D$4:$D$1003,_辅助!$B443),INDEX(出库明细!$D$4:$D$3003,_辅助!$B443-1000)))</f>
      </c>
      <c r="D443" s="14">
        <f>IF($B443="","",IFERROR(SUMIFS(存条明细!E:E,存条明细!C:C,$B443,存条明细!D:D,$C443),0))</f>
      </c>
      <c r="E443" s="156">
        <f>IF(OR($B443="",N(D443)=0),"",ROUND(F443/D443,2))</f>
      </c>
      <c r="F443" s="156">
        <f>IF($B443="","",IFERROR(SUMIFS(存条明细!G:G,存条明细!C:C,$B443,存条明细!D:D,$C443),0))</f>
      </c>
      <c r="G443" s="14">
        <f>IF($B443="","",IFERROR(SUMIFS(出库明细!E:E,出库明细!C:C,$B443,出库明细!D:D,$C443),0))</f>
      </c>
      <c r="H443" s="156">
        <f>IF($B443="","",IFERROR(SUMIFS(出库明细!G:G,出库明细!C:C,$B443,出库明细!D:D,$C443),0))</f>
      </c>
      <c r="I443" s="14">
        <f>IF($B443="","",D443-G443)</f>
      </c>
      <c r="J443" s="156">
        <f>IF($B443="","",F443-H443)</f>
      </c>
      <c r="K443" s="179">
        <f>IF($B443="","",MAX(_xlfn.MAXIFS(存条明细!B:B,存条明细!C:C,$B443,存条明细!D:D,$C443),_xlfn.MAXIFS(出库明细!B:B,出库明细!C:C,$B443,出库明细!D:D,$C443)))</f>
      </c>
    </row>
    <row r="444" ht="15" customHeight="1" s="71">
      <c r="A444" s="14">
        <f>IF(B444="","",ROW()-3)</f>
      </c>
      <c r="B444" s="14">
        <f>IF(_辅助!$B444="","",IF(_辅助!$B444&lt;=1000,INDEX(存条明细!$C$4:$C$1003,_辅助!$B444),INDEX(出库明细!$C$4:$C$3003,_辅助!$B444-1000)))</f>
      </c>
      <c r="C444" s="14">
        <f>IF(_辅助!$B444="","",IF(_辅助!$B444&lt;=1000,INDEX(存条明细!$D$4:$D$1003,_辅助!$B444),INDEX(出库明细!$D$4:$D$3003,_辅助!$B444-1000)))</f>
      </c>
      <c r="D444" s="14">
        <f>IF($B444="","",IFERROR(SUMIFS(存条明细!E:E,存条明细!C:C,$B444,存条明细!D:D,$C444),0))</f>
      </c>
      <c r="E444" s="156">
        <f>IF(OR($B444="",N(D444)=0),"",ROUND(F444/D444,2))</f>
      </c>
      <c r="F444" s="156">
        <f>IF($B444="","",IFERROR(SUMIFS(存条明细!G:G,存条明细!C:C,$B444,存条明细!D:D,$C444),0))</f>
      </c>
      <c r="G444" s="14">
        <f>IF($B444="","",IFERROR(SUMIFS(出库明细!E:E,出库明细!C:C,$B444,出库明细!D:D,$C444),0))</f>
      </c>
      <c r="H444" s="156">
        <f>IF($B444="","",IFERROR(SUMIFS(出库明细!G:G,出库明细!C:C,$B444,出库明细!D:D,$C444),0))</f>
      </c>
      <c r="I444" s="14">
        <f>IF($B444="","",D444-G444)</f>
      </c>
      <c r="J444" s="156">
        <f>IF($B444="","",F444-H444)</f>
      </c>
      <c r="K444" s="179">
        <f>IF($B444="","",MAX(_xlfn.MAXIFS(存条明细!B:B,存条明细!C:C,$B444,存条明细!D:D,$C444),_xlfn.MAXIFS(出库明细!B:B,出库明细!C:C,$B444,出库明细!D:D,$C444)))</f>
      </c>
    </row>
    <row r="445" ht="15" customHeight="1" s="71">
      <c r="A445" s="14">
        <f>IF(B445="","",ROW()-3)</f>
      </c>
      <c r="B445" s="14">
        <f>IF(_辅助!$B445="","",IF(_辅助!$B445&lt;=1000,INDEX(存条明细!$C$4:$C$1003,_辅助!$B445),INDEX(出库明细!$C$4:$C$3003,_辅助!$B445-1000)))</f>
      </c>
      <c r="C445" s="14">
        <f>IF(_辅助!$B445="","",IF(_辅助!$B445&lt;=1000,INDEX(存条明细!$D$4:$D$1003,_辅助!$B445),INDEX(出库明细!$D$4:$D$3003,_辅助!$B445-1000)))</f>
      </c>
      <c r="D445" s="14">
        <f>IF($B445="","",IFERROR(SUMIFS(存条明细!E:E,存条明细!C:C,$B445,存条明细!D:D,$C445),0))</f>
      </c>
      <c r="E445" s="156">
        <f>IF(OR($B445="",N(D445)=0),"",ROUND(F445/D445,2))</f>
      </c>
      <c r="F445" s="156">
        <f>IF($B445="","",IFERROR(SUMIFS(存条明细!G:G,存条明细!C:C,$B445,存条明细!D:D,$C445),0))</f>
      </c>
      <c r="G445" s="14">
        <f>IF($B445="","",IFERROR(SUMIFS(出库明细!E:E,出库明细!C:C,$B445,出库明细!D:D,$C445),0))</f>
      </c>
      <c r="H445" s="156">
        <f>IF($B445="","",IFERROR(SUMIFS(出库明细!G:G,出库明细!C:C,$B445,出库明细!D:D,$C445),0))</f>
      </c>
      <c r="I445" s="14">
        <f>IF($B445="","",D445-G445)</f>
      </c>
      <c r="J445" s="156">
        <f>IF($B445="","",F445-H445)</f>
      </c>
      <c r="K445" s="179">
        <f>IF($B445="","",MAX(_xlfn.MAXIFS(存条明细!B:B,存条明细!C:C,$B445,存条明细!D:D,$C445),_xlfn.MAXIFS(出库明细!B:B,出库明细!C:C,$B445,出库明细!D:D,$C445)))</f>
      </c>
    </row>
    <row r="446" ht="15" customHeight="1" s="71">
      <c r="A446" s="14">
        <f>IF(B446="","",ROW()-3)</f>
      </c>
      <c r="B446" s="14">
        <f>IF(_辅助!$B446="","",IF(_辅助!$B446&lt;=1000,INDEX(存条明细!$C$4:$C$1003,_辅助!$B446),INDEX(出库明细!$C$4:$C$3003,_辅助!$B446-1000)))</f>
      </c>
      <c r="C446" s="14">
        <f>IF(_辅助!$B446="","",IF(_辅助!$B446&lt;=1000,INDEX(存条明细!$D$4:$D$1003,_辅助!$B446),INDEX(出库明细!$D$4:$D$3003,_辅助!$B446-1000)))</f>
      </c>
      <c r="D446" s="14">
        <f>IF($B446="","",IFERROR(SUMIFS(存条明细!E:E,存条明细!C:C,$B446,存条明细!D:D,$C446),0))</f>
      </c>
      <c r="E446" s="156">
        <f>IF(OR($B446="",N(D446)=0),"",ROUND(F446/D446,2))</f>
      </c>
      <c r="F446" s="156">
        <f>IF($B446="","",IFERROR(SUMIFS(存条明细!G:G,存条明细!C:C,$B446,存条明细!D:D,$C446),0))</f>
      </c>
      <c r="G446" s="14">
        <f>IF($B446="","",IFERROR(SUMIFS(出库明细!E:E,出库明细!C:C,$B446,出库明细!D:D,$C446),0))</f>
      </c>
      <c r="H446" s="156">
        <f>IF($B446="","",IFERROR(SUMIFS(出库明细!G:G,出库明细!C:C,$B446,出库明细!D:D,$C446),0))</f>
      </c>
      <c r="I446" s="14">
        <f>IF($B446="","",D446-G446)</f>
      </c>
      <c r="J446" s="156">
        <f>IF($B446="","",F446-H446)</f>
      </c>
      <c r="K446" s="179">
        <f>IF($B446="","",MAX(_xlfn.MAXIFS(存条明细!B:B,存条明细!C:C,$B446,存条明细!D:D,$C446),_xlfn.MAXIFS(出库明细!B:B,出库明细!C:C,$B446,出库明细!D:D,$C446)))</f>
      </c>
    </row>
    <row r="447" ht="15" customHeight="1" s="71">
      <c r="A447" s="14">
        <f>IF(B447="","",ROW()-3)</f>
      </c>
      <c r="B447" s="14">
        <f>IF(_辅助!$B447="","",IF(_辅助!$B447&lt;=1000,INDEX(存条明细!$C$4:$C$1003,_辅助!$B447),INDEX(出库明细!$C$4:$C$3003,_辅助!$B447-1000)))</f>
      </c>
      <c r="C447" s="14">
        <f>IF(_辅助!$B447="","",IF(_辅助!$B447&lt;=1000,INDEX(存条明细!$D$4:$D$1003,_辅助!$B447),INDEX(出库明细!$D$4:$D$3003,_辅助!$B447-1000)))</f>
      </c>
      <c r="D447" s="14">
        <f>IF($B447="","",IFERROR(SUMIFS(存条明细!E:E,存条明细!C:C,$B447,存条明细!D:D,$C447),0))</f>
      </c>
      <c r="E447" s="156">
        <f>IF(OR($B447="",N(D447)=0),"",ROUND(F447/D447,2))</f>
      </c>
      <c r="F447" s="156">
        <f>IF($B447="","",IFERROR(SUMIFS(存条明细!G:G,存条明细!C:C,$B447,存条明细!D:D,$C447),0))</f>
      </c>
      <c r="G447" s="14">
        <f>IF($B447="","",IFERROR(SUMIFS(出库明细!E:E,出库明细!C:C,$B447,出库明细!D:D,$C447),0))</f>
      </c>
      <c r="H447" s="156">
        <f>IF($B447="","",IFERROR(SUMIFS(出库明细!G:G,出库明细!C:C,$B447,出库明细!D:D,$C447),0))</f>
      </c>
      <c r="I447" s="14">
        <f>IF($B447="","",D447-G447)</f>
      </c>
      <c r="J447" s="156">
        <f>IF($B447="","",F447-H447)</f>
      </c>
      <c r="K447" s="179">
        <f>IF($B447="","",MAX(_xlfn.MAXIFS(存条明细!B:B,存条明细!C:C,$B447,存条明细!D:D,$C447),_xlfn.MAXIFS(出库明细!B:B,出库明细!C:C,$B447,出库明细!D:D,$C447)))</f>
      </c>
    </row>
    <row r="448" ht="15" customHeight="1" s="71">
      <c r="A448" s="14">
        <f>IF(B448="","",ROW()-3)</f>
      </c>
      <c r="B448" s="14">
        <f>IF(_辅助!$B448="","",IF(_辅助!$B448&lt;=1000,INDEX(存条明细!$C$4:$C$1003,_辅助!$B448),INDEX(出库明细!$C$4:$C$3003,_辅助!$B448-1000)))</f>
      </c>
      <c r="C448" s="14">
        <f>IF(_辅助!$B448="","",IF(_辅助!$B448&lt;=1000,INDEX(存条明细!$D$4:$D$1003,_辅助!$B448),INDEX(出库明细!$D$4:$D$3003,_辅助!$B448-1000)))</f>
      </c>
      <c r="D448" s="14">
        <f>IF($B448="","",IFERROR(SUMIFS(存条明细!E:E,存条明细!C:C,$B448,存条明细!D:D,$C448),0))</f>
      </c>
      <c r="E448" s="156">
        <f>IF(OR($B448="",N(D448)=0),"",ROUND(F448/D448,2))</f>
      </c>
      <c r="F448" s="156">
        <f>IF($B448="","",IFERROR(SUMIFS(存条明细!G:G,存条明细!C:C,$B448,存条明细!D:D,$C448),0))</f>
      </c>
      <c r="G448" s="14">
        <f>IF($B448="","",IFERROR(SUMIFS(出库明细!E:E,出库明细!C:C,$B448,出库明细!D:D,$C448),0))</f>
      </c>
      <c r="H448" s="156">
        <f>IF($B448="","",IFERROR(SUMIFS(出库明细!G:G,出库明细!C:C,$B448,出库明细!D:D,$C448),0))</f>
      </c>
      <c r="I448" s="14">
        <f>IF($B448="","",D448-G448)</f>
      </c>
      <c r="J448" s="156">
        <f>IF($B448="","",F448-H448)</f>
      </c>
      <c r="K448" s="179">
        <f>IF($B448="","",MAX(_xlfn.MAXIFS(存条明细!B:B,存条明细!C:C,$B448,存条明细!D:D,$C448),_xlfn.MAXIFS(出库明细!B:B,出库明细!C:C,$B448,出库明细!D:D,$C448)))</f>
      </c>
    </row>
    <row r="449" ht="15" customHeight="1" s="71">
      <c r="A449" s="14">
        <f>IF(B449="","",ROW()-3)</f>
      </c>
      <c r="B449" s="14">
        <f>IF(_辅助!$B449="","",IF(_辅助!$B449&lt;=1000,INDEX(存条明细!$C$4:$C$1003,_辅助!$B449),INDEX(出库明细!$C$4:$C$3003,_辅助!$B449-1000)))</f>
      </c>
      <c r="C449" s="14">
        <f>IF(_辅助!$B449="","",IF(_辅助!$B449&lt;=1000,INDEX(存条明细!$D$4:$D$1003,_辅助!$B449),INDEX(出库明细!$D$4:$D$3003,_辅助!$B449-1000)))</f>
      </c>
      <c r="D449" s="14">
        <f>IF($B449="","",IFERROR(SUMIFS(存条明细!E:E,存条明细!C:C,$B449,存条明细!D:D,$C449),0))</f>
      </c>
      <c r="E449" s="156">
        <f>IF(OR($B449="",N(D449)=0),"",ROUND(F449/D449,2))</f>
      </c>
      <c r="F449" s="156">
        <f>IF($B449="","",IFERROR(SUMIFS(存条明细!G:G,存条明细!C:C,$B449,存条明细!D:D,$C449),0))</f>
      </c>
      <c r="G449" s="14">
        <f>IF($B449="","",IFERROR(SUMIFS(出库明细!E:E,出库明细!C:C,$B449,出库明细!D:D,$C449),0))</f>
      </c>
      <c r="H449" s="156">
        <f>IF($B449="","",IFERROR(SUMIFS(出库明细!G:G,出库明细!C:C,$B449,出库明细!D:D,$C449),0))</f>
      </c>
      <c r="I449" s="14">
        <f>IF($B449="","",D449-G449)</f>
      </c>
      <c r="J449" s="156">
        <f>IF($B449="","",F449-H449)</f>
      </c>
      <c r="K449" s="179">
        <f>IF($B449="","",MAX(_xlfn.MAXIFS(存条明细!B:B,存条明细!C:C,$B449,存条明细!D:D,$C449),_xlfn.MAXIFS(出库明细!B:B,出库明细!C:C,$B449,出库明细!D:D,$C449)))</f>
      </c>
    </row>
    <row r="450" ht="15" customHeight="1" s="71">
      <c r="A450" s="14">
        <f>IF(B450="","",ROW()-3)</f>
      </c>
      <c r="B450" s="14">
        <f>IF(_辅助!$B450="","",IF(_辅助!$B450&lt;=1000,INDEX(存条明细!$C$4:$C$1003,_辅助!$B450),INDEX(出库明细!$C$4:$C$3003,_辅助!$B450-1000)))</f>
      </c>
      <c r="C450" s="14">
        <f>IF(_辅助!$B450="","",IF(_辅助!$B450&lt;=1000,INDEX(存条明细!$D$4:$D$1003,_辅助!$B450),INDEX(出库明细!$D$4:$D$3003,_辅助!$B450-1000)))</f>
      </c>
      <c r="D450" s="14">
        <f>IF($B450="","",IFERROR(SUMIFS(存条明细!E:E,存条明细!C:C,$B450,存条明细!D:D,$C450),0))</f>
      </c>
      <c r="E450" s="156">
        <f>IF(OR($B450="",N(D450)=0),"",ROUND(F450/D450,2))</f>
      </c>
      <c r="F450" s="156">
        <f>IF($B450="","",IFERROR(SUMIFS(存条明细!G:G,存条明细!C:C,$B450,存条明细!D:D,$C450),0))</f>
      </c>
      <c r="G450" s="14">
        <f>IF($B450="","",IFERROR(SUMIFS(出库明细!E:E,出库明细!C:C,$B450,出库明细!D:D,$C450),0))</f>
      </c>
      <c r="H450" s="156">
        <f>IF($B450="","",IFERROR(SUMIFS(出库明细!G:G,出库明细!C:C,$B450,出库明细!D:D,$C450),0))</f>
      </c>
      <c r="I450" s="14">
        <f>IF($B450="","",D450-G450)</f>
      </c>
      <c r="J450" s="156">
        <f>IF($B450="","",F450-H450)</f>
      </c>
      <c r="K450" s="179">
        <f>IF($B450="","",MAX(_xlfn.MAXIFS(存条明细!B:B,存条明细!C:C,$B450,存条明细!D:D,$C450),_xlfn.MAXIFS(出库明细!B:B,出库明细!C:C,$B450,出库明细!D:D,$C450)))</f>
      </c>
    </row>
    <row r="451" ht="15" customHeight="1" s="71">
      <c r="A451" s="14">
        <f>IF(B451="","",ROW()-3)</f>
      </c>
      <c r="B451" s="14">
        <f>IF(_辅助!$B451="","",IF(_辅助!$B451&lt;=1000,INDEX(存条明细!$C$4:$C$1003,_辅助!$B451),INDEX(出库明细!$C$4:$C$3003,_辅助!$B451-1000)))</f>
      </c>
      <c r="C451" s="14">
        <f>IF(_辅助!$B451="","",IF(_辅助!$B451&lt;=1000,INDEX(存条明细!$D$4:$D$1003,_辅助!$B451),INDEX(出库明细!$D$4:$D$3003,_辅助!$B451-1000)))</f>
      </c>
      <c r="D451" s="14">
        <f>IF($B451="","",IFERROR(SUMIFS(存条明细!E:E,存条明细!C:C,$B451,存条明细!D:D,$C451),0))</f>
      </c>
      <c r="E451" s="156">
        <f>IF(OR($B451="",N(D451)=0),"",ROUND(F451/D451,2))</f>
      </c>
      <c r="F451" s="156">
        <f>IF($B451="","",IFERROR(SUMIFS(存条明细!G:G,存条明细!C:C,$B451,存条明细!D:D,$C451),0))</f>
      </c>
      <c r="G451" s="14">
        <f>IF($B451="","",IFERROR(SUMIFS(出库明细!E:E,出库明细!C:C,$B451,出库明细!D:D,$C451),0))</f>
      </c>
      <c r="H451" s="156">
        <f>IF($B451="","",IFERROR(SUMIFS(出库明细!G:G,出库明细!C:C,$B451,出库明细!D:D,$C451),0))</f>
      </c>
      <c r="I451" s="14">
        <f>IF($B451="","",D451-G451)</f>
      </c>
      <c r="J451" s="156">
        <f>IF($B451="","",F451-H451)</f>
      </c>
      <c r="K451" s="179">
        <f>IF($B451="","",MAX(_xlfn.MAXIFS(存条明细!B:B,存条明细!C:C,$B451,存条明细!D:D,$C451),_xlfn.MAXIFS(出库明细!B:B,出库明细!C:C,$B451,出库明细!D:D,$C451)))</f>
      </c>
    </row>
    <row r="452" ht="15" customHeight="1" s="71">
      <c r="A452" s="14">
        <f>IF(B452="","",ROW()-3)</f>
      </c>
      <c r="B452" s="14">
        <f>IF(_辅助!$B452="","",IF(_辅助!$B452&lt;=1000,INDEX(存条明细!$C$4:$C$1003,_辅助!$B452),INDEX(出库明细!$C$4:$C$3003,_辅助!$B452-1000)))</f>
      </c>
      <c r="C452" s="14">
        <f>IF(_辅助!$B452="","",IF(_辅助!$B452&lt;=1000,INDEX(存条明细!$D$4:$D$1003,_辅助!$B452),INDEX(出库明细!$D$4:$D$3003,_辅助!$B452-1000)))</f>
      </c>
      <c r="D452" s="14">
        <f>IF($B452="","",IFERROR(SUMIFS(存条明细!E:E,存条明细!C:C,$B452,存条明细!D:D,$C452),0))</f>
      </c>
      <c r="E452" s="156">
        <f>IF(OR($B452="",N(D452)=0),"",ROUND(F452/D452,2))</f>
      </c>
      <c r="F452" s="156">
        <f>IF($B452="","",IFERROR(SUMIFS(存条明细!G:G,存条明细!C:C,$B452,存条明细!D:D,$C452),0))</f>
      </c>
      <c r="G452" s="14">
        <f>IF($B452="","",IFERROR(SUMIFS(出库明细!E:E,出库明细!C:C,$B452,出库明细!D:D,$C452),0))</f>
      </c>
      <c r="H452" s="156">
        <f>IF($B452="","",IFERROR(SUMIFS(出库明细!G:G,出库明细!C:C,$B452,出库明细!D:D,$C452),0))</f>
      </c>
      <c r="I452" s="14">
        <f>IF($B452="","",D452-G452)</f>
      </c>
      <c r="J452" s="156">
        <f>IF($B452="","",F452-H452)</f>
      </c>
      <c r="K452" s="179">
        <f>IF($B452="","",MAX(_xlfn.MAXIFS(存条明细!B:B,存条明细!C:C,$B452,存条明细!D:D,$C452),_xlfn.MAXIFS(出库明细!B:B,出库明细!C:C,$B452,出库明细!D:D,$C452)))</f>
      </c>
    </row>
    <row r="453" ht="15" customHeight="1" s="71">
      <c r="A453" s="14">
        <f>IF(B453="","",ROW()-3)</f>
      </c>
      <c r="B453" s="14">
        <f>IF(_辅助!$B453="","",IF(_辅助!$B453&lt;=1000,INDEX(存条明细!$C$4:$C$1003,_辅助!$B453),INDEX(出库明细!$C$4:$C$3003,_辅助!$B453-1000)))</f>
      </c>
      <c r="C453" s="14">
        <f>IF(_辅助!$B453="","",IF(_辅助!$B453&lt;=1000,INDEX(存条明细!$D$4:$D$1003,_辅助!$B453),INDEX(出库明细!$D$4:$D$3003,_辅助!$B453-1000)))</f>
      </c>
      <c r="D453" s="14">
        <f>IF($B453="","",IFERROR(SUMIFS(存条明细!E:E,存条明细!C:C,$B453,存条明细!D:D,$C453),0))</f>
      </c>
      <c r="E453" s="156">
        <f>IF(OR($B453="",N(D453)=0),"",ROUND(F453/D453,2))</f>
      </c>
      <c r="F453" s="156">
        <f>IF($B453="","",IFERROR(SUMIFS(存条明细!G:G,存条明细!C:C,$B453,存条明细!D:D,$C453),0))</f>
      </c>
      <c r="G453" s="14">
        <f>IF($B453="","",IFERROR(SUMIFS(出库明细!E:E,出库明细!C:C,$B453,出库明细!D:D,$C453),0))</f>
      </c>
      <c r="H453" s="156">
        <f>IF($B453="","",IFERROR(SUMIFS(出库明细!G:G,出库明细!C:C,$B453,出库明细!D:D,$C453),0))</f>
      </c>
      <c r="I453" s="14">
        <f>IF($B453="","",D453-G453)</f>
      </c>
      <c r="J453" s="156">
        <f>IF($B453="","",F453-H453)</f>
      </c>
      <c r="K453" s="179">
        <f>IF($B453="","",MAX(_xlfn.MAXIFS(存条明细!B:B,存条明细!C:C,$B453,存条明细!D:D,$C453),_xlfn.MAXIFS(出库明细!B:B,出库明细!C:C,$B453,出库明细!D:D,$C453)))</f>
      </c>
    </row>
    <row r="454" ht="15" customHeight="1" s="71">
      <c r="A454" s="14">
        <f>IF(B454="","",ROW()-3)</f>
      </c>
      <c r="B454" s="14">
        <f>IF(_辅助!$B454="","",IF(_辅助!$B454&lt;=1000,INDEX(存条明细!$C$4:$C$1003,_辅助!$B454),INDEX(出库明细!$C$4:$C$3003,_辅助!$B454-1000)))</f>
      </c>
      <c r="C454" s="14">
        <f>IF(_辅助!$B454="","",IF(_辅助!$B454&lt;=1000,INDEX(存条明细!$D$4:$D$1003,_辅助!$B454),INDEX(出库明细!$D$4:$D$3003,_辅助!$B454-1000)))</f>
      </c>
      <c r="D454" s="14">
        <f>IF($B454="","",IFERROR(SUMIFS(存条明细!E:E,存条明细!C:C,$B454,存条明细!D:D,$C454),0))</f>
      </c>
      <c r="E454" s="156">
        <f>IF(OR($B454="",N(D454)=0),"",ROUND(F454/D454,2))</f>
      </c>
      <c r="F454" s="156">
        <f>IF($B454="","",IFERROR(SUMIFS(存条明细!G:G,存条明细!C:C,$B454,存条明细!D:D,$C454),0))</f>
      </c>
      <c r="G454" s="14">
        <f>IF($B454="","",IFERROR(SUMIFS(出库明细!E:E,出库明细!C:C,$B454,出库明细!D:D,$C454),0))</f>
      </c>
      <c r="H454" s="156">
        <f>IF($B454="","",IFERROR(SUMIFS(出库明细!G:G,出库明细!C:C,$B454,出库明细!D:D,$C454),0))</f>
      </c>
      <c r="I454" s="14">
        <f>IF($B454="","",D454-G454)</f>
      </c>
      <c r="J454" s="156">
        <f>IF($B454="","",F454-H454)</f>
      </c>
      <c r="K454" s="179">
        <f>IF($B454="","",MAX(_xlfn.MAXIFS(存条明细!B:B,存条明细!C:C,$B454,存条明细!D:D,$C454),_xlfn.MAXIFS(出库明细!B:B,出库明细!C:C,$B454,出库明细!D:D,$C454)))</f>
      </c>
    </row>
    <row r="455" ht="15" customHeight="1" s="71">
      <c r="A455" s="14">
        <f>IF(B455="","",ROW()-3)</f>
      </c>
      <c r="B455" s="14">
        <f>IF(_辅助!$B455="","",IF(_辅助!$B455&lt;=1000,INDEX(存条明细!$C$4:$C$1003,_辅助!$B455),INDEX(出库明细!$C$4:$C$3003,_辅助!$B455-1000)))</f>
      </c>
      <c r="C455" s="14">
        <f>IF(_辅助!$B455="","",IF(_辅助!$B455&lt;=1000,INDEX(存条明细!$D$4:$D$1003,_辅助!$B455),INDEX(出库明细!$D$4:$D$3003,_辅助!$B455-1000)))</f>
      </c>
      <c r="D455" s="14">
        <f>IF($B455="","",IFERROR(SUMIFS(存条明细!E:E,存条明细!C:C,$B455,存条明细!D:D,$C455),0))</f>
      </c>
      <c r="E455" s="156">
        <f>IF(OR($B455="",N(D455)=0),"",ROUND(F455/D455,2))</f>
      </c>
      <c r="F455" s="156">
        <f>IF($B455="","",IFERROR(SUMIFS(存条明细!G:G,存条明细!C:C,$B455,存条明细!D:D,$C455),0))</f>
      </c>
      <c r="G455" s="14">
        <f>IF($B455="","",IFERROR(SUMIFS(出库明细!E:E,出库明细!C:C,$B455,出库明细!D:D,$C455),0))</f>
      </c>
      <c r="H455" s="156">
        <f>IF($B455="","",IFERROR(SUMIFS(出库明细!G:G,出库明细!C:C,$B455,出库明细!D:D,$C455),0))</f>
      </c>
      <c r="I455" s="14">
        <f>IF($B455="","",D455-G455)</f>
      </c>
      <c r="J455" s="156">
        <f>IF($B455="","",F455-H455)</f>
      </c>
      <c r="K455" s="179">
        <f>IF($B455="","",MAX(_xlfn.MAXIFS(存条明细!B:B,存条明细!C:C,$B455,存条明细!D:D,$C455),_xlfn.MAXIFS(出库明细!B:B,出库明细!C:C,$B455,出库明细!D:D,$C455)))</f>
      </c>
    </row>
    <row r="456" ht="15" customHeight="1" s="71">
      <c r="A456" s="14">
        <f>IF(B456="","",ROW()-3)</f>
      </c>
      <c r="B456" s="14">
        <f>IF(_辅助!$B456="","",IF(_辅助!$B456&lt;=1000,INDEX(存条明细!$C$4:$C$1003,_辅助!$B456),INDEX(出库明细!$C$4:$C$3003,_辅助!$B456-1000)))</f>
      </c>
      <c r="C456" s="14">
        <f>IF(_辅助!$B456="","",IF(_辅助!$B456&lt;=1000,INDEX(存条明细!$D$4:$D$1003,_辅助!$B456),INDEX(出库明细!$D$4:$D$3003,_辅助!$B456-1000)))</f>
      </c>
      <c r="D456" s="14">
        <f>IF($B456="","",IFERROR(SUMIFS(存条明细!E:E,存条明细!C:C,$B456,存条明细!D:D,$C456),0))</f>
      </c>
      <c r="E456" s="156">
        <f>IF(OR($B456="",N(D456)=0),"",ROUND(F456/D456,2))</f>
      </c>
      <c r="F456" s="156">
        <f>IF($B456="","",IFERROR(SUMIFS(存条明细!G:G,存条明细!C:C,$B456,存条明细!D:D,$C456),0))</f>
      </c>
      <c r="G456" s="14">
        <f>IF($B456="","",IFERROR(SUMIFS(出库明细!E:E,出库明细!C:C,$B456,出库明细!D:D,$C456),0))</f>
      </c>
      <c r="H456" s="156">
        <f>IF($B456="","",IFERROR(SUMIFS(出库明细!G:G,出库明细!C:C,$B456,出库明细!D:D,$C456),0))</f>
      </c>
      <c r="I456" s="14">
        <f>IF($B456="","",D456-G456)</f>
      </c>
      <c r="J456" s="156">
        <f>IF($B456="","",F456-H456)</f>
      </c>
      <c r="K456" s="179">
        <f>IF($B456="","",MAX(_xlfn.MAXIFS(存条明细!B:B,存条明细!C:C,$B456,存条明细!D:D,$C456),_xlfn.MAXIFS(出库明细!B:B,出库明细!C:C,$B456,出库明细!D:D,$C456)))</f>
      </c>
    </row>
    <row r="457" ht="15" customHeight="1" s="71">
      <c r="A457" s="14">
        <f>IF(B457="","",ROW()-3)</f>
      </c>
      <c r="B457" s="14">
        <f>IF(_辅助!$B457="","",IF(_辅助!$B457&lt;=1000,INDEX(存条明细!$C$4:$C$1003,_辅助!$B457),INDEX(出库明细!$C$4:$C$3003,_辅助!$B457-1000)))</f>
      </c>
      <c r="C457" s="14">
        <f>IF(_辅助!$B457="","",IF(_辅助!$B457&lt;=1000,INDEX(存条明细!$D$4:$D$1003,_辅助!$B457),INDEX(出库明细!$D$4:$D$3003,_辅助!$B457-1000)))</f>
      </c>
      <c r="D457" s="14">
        <f>IF($B457="","",IFERROR(SUMIFS(存条明细!E:E,存条明细!C:C,$B457,存条明细!D:D,$C457),0))</f>
      </c>
      <c r="E457" s="156">
        <f>IF(OR($B457="",N(D457)=0),"",ROUND(F457/D457,2))</f>
      </c>
      <c r="F457" s="156">
        <f>IF($B457="","",IFERROR(SUMIFS(存条明细!G:G,存条明细!C:C,$B457,存条明细!D:D,$C457),0))</f>
      </c>
      <c r="G457" s="14">
        <f>IF($B457="","",IFERROR(SUMIFS(出库明细!E:E,出库明细!C:C,$B457,出库明细!D:D,$C457),0))</f>
      </c>
      <c r="H457" s="156">
        <f>IF($B457="","",IFERROR(SUMIFS(出库明细!G:G,出库明细!C:C,$B457,出库明细!D:D,$C457),0))</f>
      </c>
      <c r="I457" s="14">
        <f>IF($B457="","",D457-G457)</f>
      </c>
      <c r="J457" s="156">
        <f>IF($B457="","",F457-H457)</f>
      </c>
      <c r="K457" s="179">
        <f>IF($B457="","",MAX(_xlfn.MAXIFS(存条明细!B:B,存条明细!C:C,$B457,存条明细!D:D,$C457),_xlfn.MAXIFS(出库明细!B:B,出库明细!C:C,$B457,出库明细!D:D,$C457)))</f>
      </c>
    </row>
    <row r="458" ht="15" customHeight="1" s="71">
      <c r="A458" s="14">
        <f>IF(B458="","",ROW()-3)</f>
      </c>
      <c r="B458" s="14">
        <f>IF(_辅助!$B458="","",IF(_辅助!$B458&lt;=1000,INDEX(存条明细!$C$4:$C$1003,_辅助!$B458),INDEX(出库明细!$C$4:$C$3003,_辅助!$B458-1000)))</f>
      </c>
      <c r="C458" s="14">
        <f>IF(_辅助!$B458="","",IF(_辅助!$B458&lt;=1000,INDEX(存条明细!$D$4:$D$1003,_辅助!$B458),INDEX(出库明细!$D$4:$D$3003,_辅助!$B458-1000)))</f>
      </c>
      <c r="D458" s="14">
        <f>IF($B458="","",IFERROR(SUMIFS(存条明细!E:E,存条明细!C:C,$B458,存条明细!D:D,$C458),0))</f>
      </c>
      <c r="E458" s="156">
        <f>IF(OR($B458="",N(D458)=0),"",ROUND(F458/D458,2))</f>
      </c>
      <c r="F458" s="156">
        <f>IF($B458="","",IFERROR(SUMIFS(存条明细!G:G,存条明细!C:C,$B458,存条明细!D:D,$C458),0))</f>
      </c>
      <c r="G458" s="14">
        <f>IF($B458="","",IFERROR(SUMIFS(出库明细!E:E,出库明细!C:C,$B458,出库明细!D:D,$C458),0))</f>
      </c>
      <c r="H458" s="156">
        <f>IF($B458="","",IFERROR(SUMIFS(出库明细!G:G,出库明细!C:C,$B458,出库明细!D:D,$C458),0))</f>
      </c>
      <c r="I458" s="14">
        <f>IF($B458="","",D458-G458)</f>
      </c>
      <c r="J458" s="156">
        <f>IF($B458="","",F458-H458)</f>
      </c>
      <c r="K458" s="179">
        <f>IF($B458="","",MAX(_xlfn.MAXIFS(存条明细!B:B,存条明细!C:C,$B458,存条明细!D:D,$C458),_xlfn.MAXIFS(出库明细!B:B,出库明细!C:C,$B458,出库明细!D:D,$C458)))</f>
      </c>
    </row>
    <row r="459" ht="15" customHeight="1" s="71">
      <c r="A459" s="14">
        <f>IF(B459="","",ROW()-3)</f>
      </c>
      <c r="B459" s="14">
        <f>IF(_辅助!$B459="","",IF(_辅助!$B459&lt;=1000,INDEX(存条明细!$C$4:$C$1003,_辅助!$B459),INDEX(出库明细!$C$4:$C$3003,_辅助!$B459-1000)))</f>
      </c>
      <c r="C459" s="14">
        <f>IF(_辅助!$B459="","",IF(_辅助!$B459&lt;=1000,INDEX(存条明细!$D$4:$D$1003,_辅助!$B459),INDEX(出库明细!$D$4:$D$3003,_辅助!$B459-1000)))</f>
      </c>
      <c r="D459" s="14">
        <f>IF($B459="","",IFERROR(SUMIFS(存条明细!E:E,存条明细!C:C,$B459,存条明细!D:D,$C459),0))</f>
      </c>
      <c r="E459" s="156">
        <f>IF(OR($B459="",N(D459)=0),"",ROUND(F459/D459,2))</f>
      </c>
      <c r="F459" s="156">
        <f>IF($B459="","",IFERROR(SUMIFS(存条明细!G:G,存条明细!C:C,$B459,存条明细!D:D,$C459),0))</f>
      </c>
      <c r="G459" s="14">
        <f>IF($B459="","",IFERROR(SUMIFS(出库明细!E:E,出库明细!C:C,$B459,出库明细!D:D,$C459),0))</f>
      </c>
      <c r="H459" s="156">
        <f>IF($B459="","",IFERROR(SUMIFS(出库明细!G:G,出库明细!C:C,$B459,出库明细!D:D,$C459),0))</f>
      </c>
      <c r="I459" s="14">
        <f>IF($B459="","",D459-G459)</f>
      </c>
      <c r="J459" s="156">
        <f>IF($B459="","",F459-H459)</f>
      </c>
      <c r="K459" s="179">
        <f>IF($B459="","",MAX(_xlfn.MAXIFS(存条明细!B:B,存条明细!C:C,$B459,存条明细!D:D,$C459),_xlfn.MAXIFS(出库明细!B:B,出库明细!C:C,$B459,出库明细!D:D,$C459)))</f>
      </c>
    </row>
    <row r="460" ht="15" customHeight="1" s="71">
      <c r="A460" s="14">
        <f>IF(B460="","",ROW()-3)</f>
      </c>
      <c r="B460" s="14">
        <f>IF(_辅助!$B460="","",IF(_辅助!$B460&lt;=1000,INDEX(存条明细!$C$4:$C$1003,_辅助!$B460),INDEX(出库明细!$C$4:$C$3003,_辅助!$B460-1000)))</f>
      </c>
      <c r="C460" s="14">
        <f>IF(_辅助!$B460="","",IF(_辅助!$B460&lt;=1000,INDEX(存条明细!$D$4:$D$1003,_辅助!$B460),INDEX(出库明细!$D$4:$D$3003,_辅助!$B460-1000)))</f>
      </c>
      <c r="D460" s="14">
        <f>IF($B460="","",IFERROR(SUMIFS(存条明细!E:E,存条明细!C:C,$B460,存条明细!D:D,$C460),0))</f>
      </c>
      <c r="E460" s="156">
        <f>IF(OR($B460="",N(D460)=0),"",ROUND(F460/D460,2))</f>
      </c>
      <c r="F460" s="156">
        <f>IF($B460="","",IFERROR(SUMIFS(存条明细!G:G,存条明细!C:C,$B460,存条明细!D:D,$C460),0))</f>
      </c>
      <c r="G460" s="14">
        <f>IF($B460="","",IFERROR(SUMIFS(出库明细!E:E,出库明细!C:C,$B460,出库明细!D:D,$C460),0))</f>
      </c>
      <c r="H460" s="156">
        <f>IF($B460="","",IFERROR(SUMIFS(出库明细!G:G,出库明细!C:C,$B460,出库明细!D:D,$C460),0))</f>
      </c>
      <c r="I460" s="14">
        <f>IF($B460="","",D460-G460)</f>
      </c>
      <c r="J460" s="156">
        <f>IF($B460="","",F460-H460)</f>
      </c>
      <c r="K460" s="179">
        <f>IF($B460="","",MAX(_xlfn.MAXIFS(存条明细!B:B,存条明细!C:C,$B460,存条明细!D:D,$C460),_xlfn.MAXIFS(出库明细!B:B,出库明细!C:C,$B460,出库明细!D:D,$C460)))</f>
      </c>
    </row>
    <row r="461" ht="15" customHeight="1" s="71">
      <c r="A461" s="14">
        <f>IF(B461="","",ROW()-3)</f>
      </c>
      <c r="B461" s="14">
        <f>IF(_辅助!$B461="","",IF(_辅助!$B461&lt;=1000,INDEX(存条明细!$C$4:$C$1003,_辅助!$B461),INDEX(出库明细!$C$4:$C$3003,_辅助!$B461-1000)))</f>
      </c>
      <c r="C461" s="14">
        <f>IF(_辅助!$B461="","",IF(_辅助!$B461&lt;=1000,INDEX(存条明细!$D$4:$D$1003,_辅助!$B461),INDEX(出库明细!$D$4:$D$3003,_辅助!$B461-1000)))</f>
      </c>
      <c r="D461" s="14">
        <f>IF($B461="","",IFERROR(SUMIFS(存条明细!E:E,存条明细!C:C,$B461,存条明细!D:D,$C461),0))</f>
      </c>
      <c r="E461" s="156">
        <f>IF(OR($B461="",N(D461)=0),"",ROUND(F461/D461,2))</f>
      </c>
      <c r="F461" s="156">
        <f>IF($B461="","",IFERROR(SUMIFS(存条明细!G:G,存条明细!C:C,$B461,存条明细!D:D,$C461),0))</f>
      </c>
      <c r="G461" s="14">
        <f>IF($B461="","",IFERROR(SUMIFS(出库明细!E:E,出库明细!C:C,$B461,出库明细!D:D,$C461),0))</f>
      </c>
      <c r="H461" s="156">
        <f>IF($B461="","",IFERROR(SUMIFS(出库明细!G:G,出库明细!C:C,$B461,出库明细!D:D,$C461),0))</f>
      </c>
      <c r="I461" s="14">
        <f>IF($B461="","",D461-G461)</f>
      </c>
      <c r="J461" s="156">
        <f>IF($B461="","",F461-H461)</f>
      </c>
      <c r="K461" s="179">
        <f>IF($B461="","",MAX(_xlfn.MAXIFS(存条明细!B:B,存条明细!C:C,$B461,存条明细!D:D,$C461),_xlfn.MAXIFS(出库明细!B:B,出库明细!C:C,$B461,出库明细!D:D,$C461)))</f>
      </c>
    </row>
    <row r="462" ht="15" customHeight="1" s="71">
      <c r="A462" s="14">
        <f>IF(B462="","",ROW()-3)</f>
      </c>
      <c r="B462" s="14">
        <f>IF(_辅助!$B462="","",IF(_辅助!$B462&lt;=1000,INDEX(存条明细!$C$4:$C$1003,_辅助!$B462),INDEX(出库明细!$C$4:$C$3003,_辅助!$B462-1000)))</f>
      </c>
      <c r="C462" s="14">
        <f>IF(_辅助!$B462="","",IF(_辅助!$B462&lt;=1000,INDEX(存条明细!$D$4:$D$1003,_辅助!$B462),INDEX(出库明细!$D$4:$D$3003,_辅助!$B462-1000)))</f>
      </c>
      <c r="D462" s="14">
        <f>IF($B462="","",IFERROR(SUMIFS(存条明细!E:E,存条明细!C:C,$B462,存条明细!D:D,$C462),0))</f>
      </c>
      <c r="E462" s="156">
        <f>IF(OR($B462="",N(D462)=0),"",ROUND(F462/D462,2))</f>
      </c>
      <c r="F462" s="156">
        <f>IF($B462="","",IFERROR(SUMIFS(存条明细!G:G,存条明细!C:C,$B462,存条明细!D:D,$C462),0))</f>
      </c>
      <c r="G462" s="14">
        <f>IF($B462="","",IFERROR(SUMIFS(出库明细!E:E,出库明细!C:C,$B462,出库明细!D:D,$C462),0))</f>
      </c>
      <c r="H462" s="156">
        <f>IF($B462="","",IFERROR(SUMIFS(出库明细!G:G,出库明细!C:C,$B462,出库明细!D:D,$C462),0))</f>
      </c>
      <c r="I462" s="14">
        <f>IF($B462="","",D462-G462)</f>
      </c>
      <c r="J462" s="156">
        <f>IF($B462="","",F462-H462)</f>
      </c>
      <c r="K462" s="179">
        <f>IF($B462="","",MAX(_xlfn.MAXIFS(存条明细!B:B,存条明细!C:C,$B462,存条明细!D:D,$C462),_xlfn.MAXIFS(出库明细!B:B,出库明细!C:C,$B462,出库明细!D:D,$C462)))</f>
      </c>
    </row>
    <row r="463" ht="15" customHeight="1" s="71">
      <c r="A463" s="14">
        <f>IF(B463="","",ROW()-3)</f>
      </c>
      <c r="B463" s="14">
        <f>IF(_辅助!$B463="","",IF(_辅助!$B463&lt;=1000,INDEX(存条明细!$C$4:$C$1003,_辅助!$B463),INDEX(出库明细!$C$4:$C$3003,_辅助!$B463-1000)))</f>
      </c>
      <c r="C463" s="14">
        <f>IF(_辅助!$B463="","",IF(_辅助!$B463&lt;=1000,INDEX(存条明细!$D$4:$D$1003,_辅助!$B463),INDEX(出库明细!$D$4:$D$3003,_辅助!$B463-1000)))</f>
      </c>
      <c r="D463" s="14">
        <f>IF($B463="","",IFERROR(SUMIFS(存条明细!E:E,存条明细!C:C,$B463,存条明细!D:D,$C463),0))</f>
      </c>
      <c r="E463" s="156">
        <f>IF(OR($B463="",N(D463)=0),"",ROUND(F463/D463,2))</f>
      </c>
      <c r="F463" s="156">
        <f>IF($B463="","",IFERROR(SUMIFS(存条明细!G:G,存条明细!C:C,$B463,存条明细!D:D,$C463),0))</f>
      </c>
      <c r="G463" s="14">
        <f>IF($B463="","",IFERROR(SUMIFS(出库明细!E:E,出库明细!C:C,$B463,出库明细!D:D,$C463),0))</f>
      </c>
      <c r="H463" s="156">
        <f>IF($B463="","",IFERROR(SUMIFS(出库明细!G:G,出库明细!C:C,$B463,出库明细!D:D,$C463),0))</f>
      </c>
      <c r="I463" s="14">
        <f>IF($B463="","",D463-G463)</f>
      </c>
      <c r="J463" s="156">
        <f>IF($B463="","",F463-H463)</f>
      </c>
      <c r="K463" s="179">
        <f>IF($B463="","",MAX(_xlfn.MAXIFS(存条明细!B:B,存条明细!C:C,$B463,存条明细!D:D,$C463),_xlfn.MAXIFS(出库明细!B:B,出库明细!C:C,$B463,出库明细!D:D,$C463)))</f>
      </c>
    </row>
    <row r="464" ht="15" customHeight="1" s="71">
      <c r="A464" s="14">
        <f>IF(B464="","",ROW()-3)</f>
      </c>
      <c r="B464" s="14">
        <f>IF(_辅助!$B464="","",IF(_辅助!$B464&lt;=1000,INDEX(存条明细!$C$4:$C$1003,_辅助!$B464),INDEX(出库明细!$C$4:$C$3003,_辅助!$B464-1000)))</f>
      </c>
      <c r="C464" s="14">
        <f>IF(_辅助!$B464="","",IF(_辅助!$B464&lt;=1000,INDEX(存条明细!$D$4:$D$1003,_辅助!$B464),INDEX(出库明细!$D$4:$D$3003,_辅助!$B464-1000)))</f>
      </c>
      <c r="D464" s="14">
        <f>IF($B464="","",IFERROR(SUMIFS(存条明细!E:E,存条明细!C:C,$B464,存条明细!D:D,$C464),0))</f>
      </c>
      <c r="E464" s="156">
        <f>IF(OR($B464="",N(D464)=0),"",ROUND(F464/D464,2))</f>
      </c>
      <c r="F464" s="156">
        <f>IF($B464="","",IFERROR(SUMIFS(存条明细!G:G,存条明细!C:C,$B464,存条明细!D:D,$C464),0))</f>
      </c>
      <c r="G464" s="14">
        <f>IF($B464="","",IFERROR(SUMIFS(出库明细!E:E,出库明细!C:C,$B464,出库明细!D:D,$C464),0))</f>
      </c>
      <c r="H464" s="156">
        <f>IF($B464="","",IFERROR(SUMIFS(出库明细!G:G,出库明细!C:C,$B464,出库明细!D:D,$C464),0))</f>
      </c>
      <c r="I464" s="14">
        <f>IF($B464="","",D464-G464)</f>
      </c>
      <c r="J464" s="156">
        <f>IF($B464="","",F464-H464)</f>
      </c>
      <c r="K464" s="179">
        <f>IF($B464="","",MAX(_xlfn.MAXIFS(存条明细!B:B,存条明细!C:C,$B464,存条明细!D:D,$C464),_xlfn.MAXIFS(出库明细!B:B,出库明细!C:C,$B464,出库明细!D:D,$C464)))</f>
      </c>
    </row>
    <row r="465" ht="15" customHeight="1" s="71">
      <c r="A465" s="14">
        <f>IF(B465="","",ROW()-3)</f>
      </c>
      <c r="B465" s="14">
        <f>IF(_辅助!$B465="","",IF(_辅助!$B465&lt;=1000,INDEX(存条明细!$C$4:$C$1003,_辅助!$B465),INDEX(出库明细!$C$4:$C$3003,_辅助!$B465-1000)))</f>
      </c>
      <c r="C465" s="14">
        <f>IF(_辅助!$B465="","",IF(_辅助!$B465&lt;=1000,INDEX(存条明细!$D$4:$D$1003,_辅助!$B465),INDEX(出库明细!$D$4:$D$3003,_辅助!$B465-1000)))</f>
      </c>
      <c r="D465" s="14">
        <f>IF($B465="","",IFERROR(SUMIFS(存条明细!E:E,存条明细!C:C,$B465,存条明细!D:D,$C465),0))</f>
      </c>
      <c r="E465" s="156">
        <f>IF(OR($B465="",N(D465)=0),"",ROUND(F465/D465,2))</f>
      </c>
      <c r="F465" s="156">
        <f>IF($B465="","",IFERROR(SUMIFS(存条明细!G:G,存条明细!C:C,$B465,存条明细!D:D,$C465),0))</f>
      </c>
      <c r="G465" s="14">
        <f>IF($B465="","",IFERROR(SUMIFS(出库明细!E:E,出库明细!C:C,$B465,出库明细!D:D,$C465),0))</f>
      </c>
      <c r="H465" s="156">
        <f>IF($B465="","",IFERROR(SUMIFS(出库明细!G:G,出库明细!C:C,$B465,出库明细!D:D,$C465),0))</f>
      </c>
      <c r="I465" s="14">
        <f>IF($B465="","",D465-G465)</f>
      </c>
      <c r="J465" s="156">
        <f>IF($B465="","",F465-H465)</f>
      </c>
      <c r="K465" s="179">
        <f>IF($B465="","",MAX(_xlfn.MAXIFS(存条明细!B:B,存条明细!C:C,$B465,存条明细!D:D,$C465),_xlfn.MAXIFS(出库明细!B:B,出库明细!C:C,$B465,出库明细!D:D,$C465)))</f>
      </c>
    </row>
    <row r="466" ht="15" customHeight="1" s="71">
      <c r="A466" s="14">
        <f>IF(B466="","",ROW()-3)</f>
      </c>
      <c r="B466" s="14">
        <f>IF(_辅助!$B466="","",IF(_辅助!$B466&lt;=1000,INDEX(存条明细!$C$4:$C$1003,_辅助!$B466),INDEX(出库明细!$C$4:$C$3003,_辅助!$B466-1000)))</f>
      </c>
      <c r="C466" s="14">
        <f>IF(_辅助!$B466="","",IF(_辅助!$B466&lt;=1000,INDEX(存条明细!$D$4:$D$1003,_辅助!$B466),INDEX(出库明细!$D$4:$D$3003,_辅助!$B466-1000)))</f>
      </c>
      <c r="D466" s="14">
        <f>IF($B466="","",IFERROR(SUMIFS(存条明细!E:E,存条明细!C:C,$B466,存条明细!D:D,$C466),0))</f>
      </c>
      <c r="E466" s="156">
        <f>IF(OR($B466="",N(D466)=0),"",ROUND(F466/D466,2))</f>
      </c>
      <c r="F466" s="156">
        <f>IF($B466="","",IFERROR(SUMIFS(存条明细!G:G,存条明细!C:C,$B466,存条明细!D:D,$C466),0))</f>
      </c>
      <c r="G466" s="14">
        <f>IF($B466="","",IFERROR(SUMIFS(出库明细!E:E,出库明细!C:C,$B466,出库明细!D:D,$C466),0))</f>
      </c>
      <c r="H466" s="156">
        <f>IF($B466="","",IFERROR(SUMIFS(出库明细!G:G,出库明细!C:C,$B466,出库明细!D:D,$C466),0))</f>
      </c>
      <c r="I466" s="14">
        <f>IF($B466="","",D466-G466)</f>
      </c>
      <c r="J466" s="156">
        <f>IF($B466="","",F466-H466)</f>
      </c>
      <c r="K466" s="179">
        <f>IF($B466="","",MAX(_xlfn.MAXIFS(存条明细!B:B,存条明细!C:C,$B466,存条明细!D:D,$C466),_xlfn.MAXIFS(出库明细!B:B,出库明细!C:C,$B466,出库明细!D:D,$C466)))</f>
      </c>
    </row>
    <row r="467" ht="15" customHeight="1" s="71">
      <c r="A467" s="14">
        <f>IF(B467="","",ROW()-3)</f>
      </c>
      <c r="B467" s="14">
        <f>IF(_辅助!$B467="","",IF(_辅助!$B467&lt;=1000,INDEX(存条明细!$C$4:$C$1003,_辅助!$B467),INDEX(出库明细!$C$4:$C$3003,_辅助!$B467-1000)))</f>
      </c>
      <c r="C467" s="14">
        <f>IF(_辅助!$B467="","",IF(_辅助!$B467&lt;=1000,INDEX(存条明细!$D$4:$D$1003,_辅助!$B467),INDEX(出库明细!$D$4:$D$3003,_辅助!$B467-1000)))</f>
      </c>
      <c r="D467" s="14">
        <f>IF($B467="","",IFERROR(SUMIFS(存条明细!E:E,存条明细!C:C,$B467,存条明细!D:D,$C467),0))</f>
      </c>
      <c r="E467" s="156">
        <f>IF(OR($B467="",N(D467)=0),"",ROUND(F467/D467,2))</f>
      </c>
      <c r="F467" s="156">
        <f>IF($B467="","",IFERROR(SUMIFS(存条明细!G:G,存条明细!C:C,$B467,存条明细!D:D,$C467),0))</f>
      </c>
      <c r="G467" s="14">
        <f>IF($B467="","",IFERROR(SUMIFS(出库明细!E:E,出库明细!C:C,$B467,出库明细!D:D,$C467),0))</f>
      </c>
      <c r="H467" s="156">
        <f>IF($B467="","",IFERROR(SUMIFS(出库明细!G:G,出库明细!C:C,$B467,出库明细!D:D,$C467),0))</f>
      </c>
      <c r="I467" s="14">
        <f>IF($B467="","",D467-G467)</f>
      </c>
      <c r="J467" s="156">
        <f>IF($B467="","",F467-H467)</f>
      </c>
      <c r="K467" s="179">
        <f>IF($B467="","",MAX(_xlfn.MAXIFS(存条明细!B:B,存条明细!C:C,$B467,存条明细!D:D,$C467),_xlfn.MAXIFS(出库明细!B:B,出库明细!C:C,$B467,出库明细!D:D,$C467)))</f>
      </c>
    </row>
    <row r="468" ht="15" customHeight="1" s="71">
      <c r="A468" s="14">
        <f>IF(B468="","",ROW()-3)</f>
      </c>
      <c r="B468" s="14">
        <f>IF(_辅助!$B468="","",IF(_辅助!$B468&lt;=1000,INDEX(存条明细!$C$4:$C$1003,_辅助!$B468),INDEX(出库明细!$C$4:$C$3003,_辅助!$B468-1000)))</f>
      </c>
      <c r="C468" s="14">
        <f>IF(_辅助!$B468="","",IF(_辅助!$B468&lt;=1000,INDEX(存条明细!$D$4:$D$1003,_辅助!$B468),INDEX(出库明细!$D$4:$D$3003,_辅助!$B468-1000)))</f>
      </c>
      <c r="D468" s="14">
        <f>IF($B468="","",IFERROR(SUMIFS(存条明细!E:E,存条明细!C:C,$B468,存条明细!D:D,$C468),0))</f>
      </c>
      <c r="E468" s="156">
        <f>IF(OR($B468="",N(D468)=0),"",ROUND(F468/D468,2))</f>
      </c>
      <c r="F468" s="156">
        <f>IF($B468="","",IFERROR(SUMIFS(存条明细!G:G,存条明细!C:C,$B468,存条明细!D:D,$C468),0))</f>
      </c>
      <c r="G468" s="14">
        <f>IF($B468="","",IFERROR(SUMIFS(出库明细!E:E,出库明细!C:C,$B468,出库明细!D:D,$C468),0))</f>
      </c>
      <c r="H468" s="156">
        <f>IF($B468="","",IFERROR(SUMIFS(出库明细!G:G,出库明细!C:C,$B468,出库明细!D:D,$C468),0))</f>
      </c>
      <c r="I468" s="14">
        <f>IF($B468="","",D468-G468)</f>
      </c>
      <c r="J468" s="156">
        <f>IF($B468="","",F468-H468)</f>
      </c>
      <c r="K468" s="179">
        <f>IF($B468="","",MAX(_xlfn.MAXIFS(存条明细!B:B,存条明细!C:C,$B468,存条明细!D:D,$C468),_xlfn.MAXIFS(出库明细!B:B,出库明细!C:C,$B468,出库明细!D:D,$C468)))</f>
      </c>
    </row>
    <row r="469" ht="15" customHeight="1" s="71">
      <c r="A469" s="14">
        <f>IF(B469="","",ROW()-3)</f>
      </c>
      <c r="B469" s="14">
        <f>IF(_辅助!$B469="","",IF(_辅助!$B469&lt;=1000,INDEX(存条明细!$C$4:$C$1003,_辅助!$B469),INDEX(出库明细!$C$4:$C$3003,_辅助!$B469-1000)))</f>
      </c>
      <c r="C469" s="14">
        <f>IF(_辅助!$B469="","",IF(_辅助!$B469&lt;=1000,INDEX(存条明细!$D$4:$D$1003,_辅助!$B469),INDEX(出库明细!$D$4:$D$3003,_辅助!$B469-1000)))</f>
      </c>
      <c r="D469" s="14">
        <f>IF($B469="","",IFERROR(SUMIFS(存条明细!E:E,存条明细!C:C,$B469,存条明细!D:D,$C469),0))</f>
      </c>
      <c r="E469" s="156">
        <f>IF(OR($B469="",N(D469)=0),"",ROUND(F469/D469,2))</f>
      </c>
      <c r="F469" s="156">
        <f>IF($B469="","",IFERROR(SUMIFS(存条明细!G:G,存条明细!C:C,$B469,存条明细!D:D,$C469),0))</f>
      </c>
      <c r="G469" s="14">
        <f>IF($B469="","",IFERROR(SUMIFS(出库明细!E:E,出库明细!C:C,$B469,出库明细!D:D,$C469),0))</f>
      </c>
      <c r="H469" s="156">
        <f>IF($B469="","",IFERROR(SUMIFS(出库明细!G:G,出库明细!C:C,$B469,出库明细!D:D,$C469),0))</f>
      </c>
      <c r="I469" s="14">
        <f>IF($B469="","",D469-G469)</f>
      </c>
      <c r="J469" s="156">
        <f>IF($B469="","",F469-H469)</f>
      </c>
      <c r="K469" s="179">
        <f>IF($B469="","",MAX(_xlfn.MAXIFS(存条明细!B:B,存条明细!C:C,$B469,存条明细!D:D,$C469),_xlfn.MAXIFS(出库明细!B:B,出库明细!C:C,$B469,出库明细!D:D,$C469)))</f>
      </c>
    </row>
    <row r="470" ht="15" customHeight="1" s="71">
      <c r="A470" s="14">
        <f>IF(B470="","",ROW()-3)</f>
      </c>
      <c r="B470" s="14">
        <f>IF(_辅助!$B470="","",IF(_辅助!$B470&lt;=1000,INDEX(存条明细!$C$4:$C$1003,_辅助!$B470),INDEX(出库明细!$C$4:$C$3003,_辅助!$B470-1000)))</f>
      </c>
      <c r="C470" s="14">
        <f>IF(_辅助!$B470="","",IF(_辅助!$B470&lt;=1000,INDEX(存条明细!$D$4:$D$1003,_辅助!$B470),INDEX(出库明细!$D$4:$D$3003,_辅助!$B470-1000)))</f>
      </c>
      <c r="D470" s="14">
        <f>IF($B470="","",IFERROR(SUMIFS(存条明细!E:E,存条明细!C:C,$B470,存条明细!D:D,$C470),0))</f>
      </c>
      <c r="E470" s="156">
        <f>IF(OR($B470="",N(D470)=0),"",ROUND(F470/D470,2))</f>
      </c>
      <c r="F470" s="156">
        <f>IF($B470="","",IFERROR(SUMIFS(存条明细!G:G,存条明细!C:C,$B470,存条明细!D:D,$C470),0))</f>
      </c>
      <c r="G470" s="14">
        <f>IF($B470="","",IFERROR(SUMIFS(出库明细!E:E,出库明细!C:C,$B470,出库明细!D:D,$C470),0))</f>
      </c>
      <c r="H470" s="156">
        <f>IF($B470="","",IFERROR(SUMIFS(出库明细!G:G,出库明细!C:C,$B470,出库明细!D:D,$C470),0))</f>
      </c>
      <c r="I470" s="14">
        <f>IF($B470="","",D470-G470)</f>
      </c>
      <c r="J470" s="156">
        <f>IF($B470="","",F470-H470)</f>
      </c>
      <c r="K470" s="179">
        <f>IF($B470="","",MAX(_xlfn.MAXIFS(存条明细!B:B,存条明细!C:C,$B470,存条明细!D:D,$C470),_xlfn.MAXIFS(出库明细!B:B,出库明细!C:C,$B470,出库明细!D:D,$C470)))</f>
      </c>
    </row>
    <row r="471" ht="15" customHeight="1" s="71">
      <c r="A471" s="14">
        <f>IF(B471="","",ROW()-3)</f>
      </c>
      <c r="B471" s="14">
        <f>IF(_辅助!$B471="","",IF(_辅助!$B471&lt;=1000,INDEX(存条明细!$C$4:$C$1003,_辅助!$B471),INDEX(出库明细!$C$4:$C$3003,_辅助!$B471-1000)))</f>
      </c>
      <c r="C471" s="14">
        <f>IF(_辅助!$B471="","",IF(_辅助!$B471&lt;=1000,INDEX(存条明细!$D$4:$D$1003,_辅助!$B471),INDEX(出库明细!$D$4:$D$3003,_辅助!$B471-1000)))</f>
      </c>
      <c r="D471" s="14">
        <f>IF($B471="","",IFERROR(SUMIFS(存条明细!E:E,存条明细!C:C,$B471,存条明细!D:D,$C471),0))</f>
      </c>
      <c r="E471" s="156">
        <f>IF(OR($B471="",N(D471)=0),"",ROUND(F471/D471,2))</f>
      </c>
      <c r="F471" s="156">
        <f>IF($B471="","",IFERROR(SUMIFS(存条明细!G:G,存条明细!C:C,$B471,存条明细!D:D,$C471),0))</f>
      </c>
      <c r="G471" s="14">
        <f>IF($B471="","",IFERROR(SUMIFS(出库明细!E:E,出库明细!C:C,$B471,出库明细!D:D,$C471),0))</f>
      </c>
      <c r="H471" s="156">
        <f>IF($B471="","",IFERROR(SUMIFS(出库明细!G:G,出库明细!C:C,$B471,出库明细!D:D,$C471),0))</f>
      </c>
      <c r="I471" s="14">
        <f>IF($B471="","",D471-G471)</f>
      </c>
      <c r="J471" s="156">
        <f>IF($B471="","",F471-H471)</f>
      </c>
      <c r="K471" s="179">
        <f>IF($B471="","",MAX(_xlfn.MAXIFS(存条明细!B:B,存条明细!C:C,$B471,存条明细!D:D,$C471),_xlfn.MAXIFS(出库明细!B:B,出库明细!C:C,$B471,出库明细!D:D,$C471)))</f>
      </c>
    </row>
    <row r="472" ht="15" customHeight="1" s="71">
      <c r="A472" s="14">
        <f>IF(B472="","",ROW()-3)</f>
      </c>
      <c r="B472" s="14">
        <f>IF(_辅助!$B472="","",IF(_辅助!$B472&lt;=1000,INDEX(存条明细!$C$4:$C$1003,_辅助!$B472),INDEX(出库明细!$C$4:$C$3003,_辅助!$B472-1000)))</f>
      </c>
      <c r="C472" s="14">
        <f>IF(_辅助!$B472="","",IF(_辅助!$B472&lt;=1000,INDEX(存条明细!$D$4:$D$1003,_辅助!$B472),INDEX(出库明细!$D$4:$D$3003,_辅助!$B472-1000)))</f>
      </c>
      <c r="D472" s="14">
        <f>IF($B472="","",IFERROR(SUMIFS(存条明细!E:E,存条明细!C:C,$B472,存条明细!D:D,$C472),0))</f>
      </c>
      <c r="E472" s="156">
        <f>IF(OR($B472="",N(D472)=0),"",ROUND(F472/D472,2))</f>
      </c>
      <c r="F472" s="156">
        <f>IF($B472="","",IFERROR(SUMIFS(存条明细!G:G,存条明细!C:C,$B472,存条明细!D:D,$C472),0))</f>
      </c>
      <c r="G472" s="14">
        <f>IF($B472="","",IFERROR(SUMIFS(出库明细!E:E,出库明细!C:C,$B472,出库明细!D:D,$C472),0))</f>
      </c>
      <c r="H472" s="156">
        <f>IF($B472="","",IFERROR(SUMIFS(出库明细!G:G,出库明细!C:C,$B472,出库明细!D:D,$C472),0))</f>
      </c>
      <c r="I472" s="14">
        <f>IF($B472="","",D472-G472)</f>
      </c>
      <c r="J472" s="156">
        <f>IF($B472="","",F472-H472)</f>
      </c>
      <c r="K472" s="179">
        <f>IF($B472="","",MAX(_xlfn.MAXIFS(存条明细!B:B,存条明细!C:C,$B472,存条明细!D:D,$C472),_xlfn.MAXIFS(出库明细!B:B,出库明细!C:C,$B472,出库明细!D:D,$C472)))</f>
      </c>
    </row>
    <row r="473" ht="15" customHeight="1" s="71">
      <c r="A473" s="14">
        <f>IF(B473="","",ROW()-3)</f>
      </c>
      <c r="B473" s="14">
        <f>IF(_辅助!$B473="","",IF(_辅助!$B473&lt;=1000,INDEX(存条明细!$C$4:$C$1003,_辅助!$B473),INDEX(出库明细!$C$4:$C$3003,_辅助!$B473-1000)))</f>
      </c>
      <c r="C473" s="14">
        <f>IF(_辅助!$B473="","",IF(_辅助!$B473&lt;=1000,INDEX(存条明细!$D$4:$D$1003,_辅助!$B473),INDEX(出库明细!$D$4:$D$3003,_辅助!$B473-1000)))</f>
      </c>
      <c r="D473" s="14">
        <f>IF($B473="","",IFERROR(SUMIFS(存条明细!E:E,存条明细!C:C,$B473,存条明细!D:D,$C473),0))</f>
      </c>
      <c r="E473" s="156">
        <f>IF(OR($B473="",N(D473)=0),"",ROUND(F473/D473,2))</f>
      </c>
      <c r="F473" s="156">
        <f>IF($B473="","",IFERROR(SUMIFS(存条明细!G:G,存条明细!C:C,$B473,存条明细!D:D,$C473),0))</f>
      </c>
      <c r="G473" s="14">
        <f>IF($B473="","",IFERROR(SUMIFS(出库明细!E:E,出库明细!C:C,$B473,出库明细!D:D,$C473),0))</f>
      </c>
      <c r="H473" s="156">
        <f>IF($B473="","",IFERROR(SUMIFS(出库明细!G:G,出库明细!C:C,$B473,出库明细!D:D,$C473),0))</f>
      </c>
      <c r="I473" s="14">
        <f>IF($B473="","",D473-G473)</f>
      </c>
      <c r="J473" s="156">
        <f>IF($B473="","",F473-H473)</f>
      </c>
      <c r="K473" s="179">
        <f>IF($B473="","",MAX(_xlfn.MAXIFS(存条明细!B:B,存条明细!C:C,$B473,存条明细!D:D,$C473),_xlfn.MAXIFS(出库明细!B:B,出库明细!C:C,$B473,出库明细!D:D,$C473)))</f>
      </c>
    </row>
    <row r="474" ht="15" customHeight="1" s="71">
      <c r="A474" s="14">
        <f>IF(B474="","",ROW()-3)</f>
      </c>
      <c r="B474" s="14">
        <f>IF(_辅助!$B474="","",IF(_辅助!$B474&lt;=1000,INDEX(存条明细!$C$4:$C$1003,_辅助!$B474),INDEX(出库明细!$C$4:$C$3003,_辅助!$B474-1000)))</f>
      </c>
      <c r="C474" s="14">
        <f>IF(_辅助!$B474="","",IF(_辅助!$B474&lt;=1000,INDEX(存条明细!$D$4:$D$1003,_辅助!$B474),INDEX(出库明细!$D$4:$D$3003,_辅助!$B474-1000)))</f>
      </c>
      <c r="D474" s="14">
        <f>IF($B474="","",IFERROR(SUMIFS(存条明细!E:E,存条明细!C:C,$B474,存条明细!D:D,$C474),0))</f>
      </c>
      <c r="E474" s="156">
        <f>IF(OR($B474="",N(D474)=0),"",ROUND(F474/D474,2))</f>
      </c>
      <c r="F474" s="156">
        <f>IF($B474="","",IFERROR(SUMIFS(存条明细!G:G,存条明细!C:C,$B474,存条明细!D:D,$C474),0))</f>
      </c>
      <c r="G474" s="14">
        <f>IF($B474="","",IFERROR(SUMIFS(出库明细!E:E,出库明细!C:C,$B474,出库明细!D:D,$C474),0))</f>
      </c>
      <c r="H474" s="156">
        <f>IF($B474="","",IFERROR(SUMIFS(出库明细!G:G,出库明细!C:C,$B474,出库明细!D:D,$C474),0))</f>
      </c>
      <c r="I474" s="14">
        <f>IF($B474="","",D474-G474)</f>
      </c>
      <c r="J474" s="156">
        <f>IF($B474="","",F474-H474)</f>
      </c>
      <c r="K474" s="179">
        <f>IF($B474="","",MAX(_xlfn.MAXIFS(存条明细!B:B,存条明细!C:C,$B474,存条明细!D:D,$C474),_xlfn.MAXIFS(出库明细!B:B,出库明细!C:C,$B474,出库明细!D:D,$C474)))</f>
      </c>
    </row>
    <row r="475" ht="15" customHeight="1" s="71">
      <c r="A475" s="14">
        <f>IF(B475="","",ROW()-3)</f>
      </c>
      <c r="B475" s="14">
        <f>IF(_辅助!$B475="","",IF(_辅助!$B475&lt;=1000,INDEX(存条明细!$C$4:$C$1003,_辅助!$B475),INDEX(出库明细!$C$4:$C$3003,_辅助!$B475-1000)))</f>
      </c>
      <c r="C475" s="14">
        <f>IF(_辅助!$B475="","",IF(_辅助!$B475&lt;=1000,INDEX(存条明细!$D$4:$D$1003,_辅助!$B475),INDEX(出库明细!$D$4:$D$3003,_辅助!$B475-1000)))</f>
      </c>
      <c r="D475" s="14">
        <f>IF($B475="","",IFERROR(SUMIFS(存条明细!E:E,存条明细!C:C,$B475,存条明细!D:D,$C475),0))</f>
      </c>
      <c r="E475" s="156">
        <f>IF(OR($B475="",N(D475)=0),"",ROUND(F475/D475,2))</f>
      </c>
      <c r="F475" s="156">
        <f>IF($B475="","",IFERROR(SUMIFS(存条明细!G:G,存条明细!C:C,$B475,存条明细!D:D,$C475),0))</f>
      </c>
      <c r="G475" s="14">
        <f>IF($B475="","",IFERROR(SUMIFS(出库明细!E:E,出库明细!C:C,$B475,出库明细!D:D,$C475),0))</f>
      </c>
      <c r="H475" s="156">
        <f>IF($B475="","",IFERROR(SUMIFS(出库明细!G:G,出库明细!C:C,$B475,出库明细!D:D,$C475),0))</f>
      </c>
      <c r="I475" s="14">
        <f>IF($B475="","",D475-G475)</f>
      </c>
      <c r="J475" s="156">
        <f>IF($B475="","",F475-H475)</f>
      </c>
      <c r="K475" s="179">
        <f>IF($B475="","",MAX(_xlfn.MAXIFS(存条明细!B:B,存条明细!C:C,$B475,存条明细!D:D,$C475),_xlfn.MAXIFS(出库明细!B:B,出库明细!C:C,$B475,出库明细!D:D,$C475)))</f>
      </c>
    </row>
    <row r="476" ht="15" customHeight="1" s="71">
      <c r="A476" s="14">
        <f>IF(B476="","",ROW()-3)</f>
      </c>
      <c r="B476" s="14">
        <f>IF(_辅助!$B476="","",IF(_辅助!$B476&lt;=1000,INDEX(存条明细!$C$4:$C$1003,_辅助!$B476),INDEX(出库明细!$C$4:$C$3003,_辅助!$B476-1000)))</f>
      </c>
      <c r="C476" s="14">
        <f>IF(_辅助!$B476="","",IF(_辅助!$B476&lt;=1000,INDEX(存条明细!$D$4:$D$1003,_辅助!$B476),INDEX(出库明细!$D$4:$D$3003,_辅助!$B476-1000)))</f>
      </c>
      <c r="D476" s="14">
        <f>IF($B476="","",IFERROR(SUMIFS(存条明细!E:E,存条明细!C:C,$B476,存条明细!D:D,$C476),0))</f>
      </c>
      <c r="E476" s="156">
        <f>IF(OR($B476="",N(D476)=0),"",ROUND(F476/D476,2))</f>
      </c>
      <c r="F476" s="156">
        <f>IF($B476="","",IFERROR(SUMIFS(存条明细!G:G,存条明细!C:C,$B476,存条明细!D:D,$C476),0))</f>
      </c>
      <c r="G476" s="14">
        <f>IF($B476="","",IFERROR(SUMIFS(出库明细!E:E,出库明细!C:C,$B476,出库明细!D:D,$C476),0))</f>
      </c>
      <c r="H476" s="156">
        <f>IF($B476="","",IFERROR(SUMIFS(出库明细!G:G,出库明细!C:C,$B476,出库明细!D:D,$C476),0))</f>
      </c>
      <c r="I476" s="14">
        <f>IF($B476="","",D476-G476)</f>
      </c>
      <c r="J476" s="156">
        <f>IF($B476="","",F476-H476)</f>
      </c>
      <c r="K476" s="179">
        <f>IF($B476="","",MAX(_xlfn.MAXIFS(存条明细!B:B,存条明细!C:C,$B476,存条明细!D:D,$C476),_xlfn.MAXIFS(出库明细!B:B,出库明细!C:C,$B476,出库明细!D:D,$C476)))</f>
      </c>
    </row>
    <row r="477" ht="15" customHeight="1" s="71">
      <c r="A477" s="14">
        <f>IF(B477="","",ROW()-3)</f>
      </c>
      <c r="B477" s="14">
        <f>IF(_辅助!$B477="","",IF(_辅助!$B477&lt;=1000,INDEX(存条明细!$C$4:$C$1003,_辅助!$B477),INDEX(出库明细!$C$4:$C$3003,_辅助!$B477-1000)))</f>
      </c>
      <c r="C477" s="14">
        <f>IF(_辅助!$B477="","",IF(_辅助!$B477&lt;=1000,INDEX(存条明细!$D$4:$D$1003,_辅助!$B477),INDEX(出库明细!$D$4:$D$3003,_辅助!$B477-1000)))</f>
      </c>
      <c r="D477" s="14">
        <f>IF($B477="","",IFERROR(SUMIFS(存条明细!E:E,存条明细!C:C,$B477,存条明细!D:D,$C477),0))</f>
      </c>
      <c r="E477" s="156">
        <f>IF(OR($B477="",N(D477)=0),"",ROUND(F477/D477,2))</f>
      </c>
      <c r="F477" s="156">
        <f>IF($B477="","",IFERROR(SUMIFS(存条明细!G:G,存条明细!C:C,$B477,存条明细!D:D,$C477),0))</f>
      </c>
      <c r="G477" s="14">
        <f>IF($B477="","",IFERROR(SUMIFS(出库明细!E:E,出库明细!C:C,$B477,出库明细!D:D,$C477),0))</f>
      </c>
      <c r="H477" s="156">
        <f>IF($B477="","",IFERROR(SUMIFS(出库明细!G:G,出库明细!C:C,$B477,出库明细!D:D,$C477),0))</f>
      </c>
      <c r="I477" s="14">
        <f>IF($B477="","",D477-G477)</f>
      </c>
      <c r="J477" s="156">
        <f>IF($B477="","",F477-H477)</f>
      </c>
      <c r="K477" s="179">
        <f>IF($B477="","",MAX(_xlfn.MAXIFS(存条明细!B:B,存条明细!C:C,$B477,存条明细!D:D,$C477),_xlfn.MAXIFS(出库明细!B:B,出库明细!C:C,$B477,出库明细!D:D,$C477)))</f>
      </c>
    </row>
    <row r="478" ht="15" customHeight="1" s="71">
      <c r="A478" s="14">
        <f>IF(B478="","",ROW()-3)</f>
      </c>
      <c r="B478" s="14">
        <f>IF(_辅助!$B478="","",IF(_辅助!$B478&lt;=1000,INDEX(存条明细!$C$4:$C$1003,_辅助!$B478),INDEX(出库明细!$C$4:$C$3003,_辅助!$B478-1000)))</f>
      </c>
      <c r="C478" s="14">
        <f>IF(_辅助!$B478="","",IF(_辅助!$B478&lt;=1000,INDEX(存条明细!$D$4:$D$1003,_辅助!$B478),INDEX(出库明细!$D$4:$D$3003,_辅助!$B478-1000)))</f>
      </c>
      <c r="D478" s="14">
        <f>IF($B478="","",IFERROR(SUMIFS(存条明细!E:E,存条明细!C:C,$B478,存条明细!D:D,$C478),0))</f>
      </c>
      <c r="E478" s="156">
        <f>IF(OR($B478="",N(D478)=0),"",ROUND(F478/D478,2))</f>
      </c>
      <c r="F478" s="156">
        <f>IF($B478="","",IFERROR(SUMIFS(存条明细!G:G,存条明细!C:C,$B478,存条明细!D:D,$C478),0))</f>
      </c>
      <c r="G478" s="14">
        <f>IF($B478="","",IFERROR(SUMIFS(出库明细!E:E,出库明细!C:C,$B478,出库明细!D:D,$C478),0))</f>
      </c>
      <c r="H478" s="156">
        <f>IF($B478="","",IFERROR(SUMIFS(出库明细!G:G,出库明细!C:C,$B478,出库明细!D:D,$C478),0))</f>
      </c>
      <c r="I478" s="14">
        <f>IF($B478="","",D478-G478)</f>
      </c>
      <c r="J478" s="156">
        <f>IF($B478="","",F478-H478)</f>
      </c>
      <c r="K478" s="179">
        <f>IF($B478="","",MAX(_xlfn.MAXIFS(存条明细!B:B,存条明细!C:C,$B478,存条明细!D:D,$C478),_xlfn.MAXIFS(出库明细!B:B,出库明细!C:C,$B478,出库明细!D:D,$C478)))</f>
      </c>
    </row>
    <row r="479" ht="15" customHeight="1" s="71">
      <c r="A479" s="14">
        <f>IF(B479="","",ROW()-3)</f>
      </c>
      <c r="B479" s="14">
        <f>IF(_辅助!$B479="","",IF(_辅助!$B479&lt;=1000,INDEX(存条明细!$C$4:$C$1003,_辅助!$B479),INDEX(出库明细!$C$4:$C$3003,_辅助!$B479-1000)))</f>
      </c>
      <c r="C479" s="14">
        <f>IF(_辅助!$B479="","",IF(_辅助!$B479&lt;=1000,INDEX(存条明细!$D$4:$D$1003,_辅助!$B479),INDEX(出库明细!$D$4:$D$3003,_辅助!$B479-1000)))</f>
      </c>
      <c r="D479" s="14">
        <f>IF($B479="","",IFERROR(SUMIFS(存条明细!E:E,存条明细!C:C,$B479,存条明细!D:D,$C479),0))</f>
      </c>
      <c r="E479" s="156">
        <f>IF(OR($B479="",N(D479)=0),"",ROUND(F479/D479,2))</f>
      </c>
      <c r="F479" s="156">
        <f>IF($B479="","",IFERROR(SUMIFS(存条明细!G:G,存条明细!C:C,$B479,存条明细!D:D,$C479),0))</f>
      </c>
      <c r="G479" s="14">
        <f>IF($B479="","",IFERROR(SUMIFS(出库明细!E:E,出库明细!C:C,$B479,出库明细!D:D,$C479),0))</f>
      </c>
      <c r="H479" s="156">
        <f>IF($B479="","",IFERROR(SUMIFS(出库明细!G:G,出库明细!C:C,$B479,出库明细!D:D,$C479),0))</f>
      </c>
      <c r="I479" s="14">
        <f>IF($B479="","",D479-G479)</f>
      </c>
      <c r="J479" s="156">
        <f>IF($B479="","",F479-H479)</f>
      </c>
      <c r="K479" s="179">
        <f>IF($B479="","",MAX(_xlfn.MAXIFS(存条明细!B:B,存条明细!C:C,$B479,存条明细!D:D,$C479),_xlfn.MAXIFS(出库明细!B:B,出库明细!C:C,$B479,出库明细!D:D,$C479)))</f>
      </c>
    </row>
    <row r="480" ht="15" customHeight="1" s="71">
      <c r="A480" s="14">
        <f>IF(B480="","",ROW()-3)</f>
      </c>
      <c r="B480" s="14">
        <f>IF(_辅助!$B480="","",IF(_辅助!$B480&lt;=1000,INDEX(存条明细!$C$4:$C$1003,_辅助!$B480),INDEX(出库明细!$C$4:$C$3003,_辅助!$B480-1000)))</f>
      </c>
      <c r="C480" s="14">
        <f>IF(_辅助!$B480="","",IF(_辅助!$B480&lt;=1000,INDEX(存条明细!$D$4:$D$1003,_辅助!$B480),INDEX(出库明细!$D$4:$D$3003,_辅助!$B480-1000)))</f>
      </c>
      <c r="D480" s="14">
        <f>IF($B480="","",IFERROR(SUMIFS(存条明细!E:E,存条明细!C:C,$B480,存条明细!D:D,$C480),0))</f>
      </c>
      <c r="E480" s="156">
        <f>IF(OR($B480="",N(D480)=0),"",ROUND(F480/D480,2))</f>
      </c>
      <c r="F480" s="156">
        <f>IF($B480="","",IFERROR(SUMIFS(存条明细!G:G,存条明细!C:C,$B480,存条明细!D:D,$C480),0))</f>
      </c>
      <c r="G480" s="14">
        <f>IF($B480="","",IFERROR(SUMIFS(出库明细!E:E,出库明细!C:C,$B480,出库明细!D:D,$C480),0))</f>
      </c>
      <c r="H480" s="156">
        <f>IF($B480="","",IFERROR(SUMIFS(出库明细!G:G,出库明细!C:C,$B480,出库明细!D:D,$C480),0))</f>
      </c>
      <c r="I480" s="14">
        <f>IF($B480="","",D480-G480)</f>
      </c>
      <c r="J480" s="156">
        <f>IF($B480="","",F480-H480)</f>
      </c>
      <c r="K480" s="179">
        <f>IF($B480="","",MAX(_xlfn.MAXIFS(存条明细!B:B,存条明细!C:C,$B480,存条明细!D:D,$C480),_xlfn.MAXIFS(出库明细!B:B,出库明细!C:C,$B480,出库明细!D:D,$C480)))</f>
      </c>
    </row>
    <row r="481" ht="15" customHeight="1" s="71">
      <c r="A481" s="14">
        <f>IF(B481="","",ROW()-3)</f>
      </c>
      <c r="B481" s="14">
        <f>IF(_辅助!$B481="","",IF(_辅助!$B481&lt;=1000,INDEX(存条明细!$C$4:$C$1003,_辅助!$B481),INDEX(出库明细!$C$4:$C$3003,_辅助!$B481-1000)))</f>
      </c>
      <c r="C481" s="14">
        <f>IF(_辅助!$B481="","",IF(_辅助!$B481&lt;=1000,INDEX(存条明细!$D$4:$D$1003,_辅助!$B481),INDEX(出库明细!$D$4:$D$3003,_辅助!$B481-1000)))</f>
      </c>
      <c r="D481" s="14">
        <f>IF($B481="","",IFERROR(SUMIFS(存条明细!E:E,存条明细!C:C,$B481,存条明细!D:D,$C481),0))</f>
      </c>
      <c r="E481" s="156">
        <f>IF(OR($B481="",N(D481)=0),"",ROUND(F481/D481,2))</f>
      </c>
      <c r="F481" s="156">
        <f>IF($B481="","",IFERROR(SUMIFS(存条明细!G:G,存条明细!C:C,$B481,存条明细!D:D,$C481),0))</f>
      </c>
      <c r="G481" s="14">
        <f>IF($B481="","",IFERROR(SUMIFS(出库明细!E:E,出库明细!C:C,$B481,出库明细!D:D,$C481),0))</f>
      </c>
      <c r="H481" s="156">
        <f>IF($B481="","",IFERROR(SUMIFS(出库明细!G:G,出库明细!C:C,$B481,出库明细!D:D,$C481),0))</f>
      </c>
      <c r="I481" s="14">
        <f>IF($B481="","",D481-G481)</f>
      </c>
      <c r="J481" s="156">
        <f>IF($B481="","",F481-H481)</f>
      </c>
      <c r="K481" s="179">
        <f>IF($B481="","",MAX(_xlfn.MAXIFS(存条明细!B:B,存条明细!C:C,$B481,存条明细!D:D,$C481),_xlfn.MAXIFS(出库明细!B:B,出库明细!C:C,$B481,出库明细!D:D,$C481)))</f>
      </c>
    </row>
    <row r="482" ht="15" customHeight="1" s="71">
      <c r="A482" s="14">
        <f>IF(B482="","",ROW()-3)</f>
      </c>
      <c r="B482" s="14">
        <f>IF(_辅助!$B482="","",IF(_辅助!$B482&lt;=1000,INDEX(存条明细!$C$4:$C$1003,_辅助!$B482),INDEX(出库明细!$C$4:$C$3003,_辅助!$B482-1000)))</f>
      </c>
      <c r="C482" s="14">
        <f>IF(_辅助!$B482="","",IF(_辅助!$B482&lt;=1000,INDEX(存条明细!$D$4:$D$1003,_辅助!$B482),INDEX(出库明细!$D$4:$D$3003,_辅助!$B482-1000)))</f>
      </c>
      <c r="D482" s="14">
        <f>IF($B482="","",IFERROR(SUMIFS(存条明细!E:E,存条明细!C:C,$B482,存条明细!D:D,$C482),0))</f>
      </c>
      <c r="E482" s="156">
        <f>IF(OR($B482="",N(D482)=0),"",ROUND(F482/D482,2))</f>
      </c>
      <c r="F482" s="156">
        <f>IF($B482="","",IFERROR(SUMIFS(存条明细!G:G,存条明细!C:C,$B482,存条明细!D:D,$C482),0))</f>
      </c>
      <c r="G482" s="14">
        <f>IF($B482="","",IFERROR(SUMIFS(出库明细!E:E,出库明细!C:C,$B482,出库明细!D:D,$C482),0))</f>
      </c>
      <c r="H482" s="156">
        <f>IF($B482="","",IFERROR(SUMIFS(出库明细!G:G,出库明细!C:C,$B482,出库明细!D:D,$C482),0))</f>
      </c>
      <c r="I482" s="14">
        <f>IF($B482="","",D482-G482)</f>
      </c>
      <c r="J482" s="156">
        <f>IF($B482="","",F482-H482)</f>
      </c>
      <c r="K482" s="179">
        <f>IF($B482="","",MAX(_xlfn.MAXIFS(存条明细!B:B,存条明细!C:C,$B482,存条明细!D:D,$C482),_xlfn.MAXIFS(出库明细!B:B,出库明细!C:C,$B482,出库明细!D:D,$C482)))</f>
      </c>
    </row>
    <row r="483" ht="15" customHeight="1" s="71">
      <c r="A483" s="14">
        <f>IF(B483="","",ROW()-3)</f>
      </c>
      <c r="B483" s="14">
        <f>IF(_辅助!$B483="","",IF(_辅助!$B483&lt;=1000,INDEX(存条明细!$C$4:$C$1003,_辅助!$B483),INDEX(出库明细!$C$4:$C$3003,_辅助!$B483-1000)))</f>
      </c>
      <c r="C483" s="14">
        <f>IF(_辅助!$B483="","",IF(_辅助!$B483&lt;=1000,INDEX(存条明细!$D$4:$D$1003,_辅助!$B483),INDEX(出库明细!$D$4:$D$3003,_辅助!$B483-1000)))</f>
      </c>
      <c r="D483" s="14">
        <f>IF($B483="","",IFERROR(SUMIFS(存条明细!E:E,存条明细!C:C,$B483,存条明细!D:D,$C483),0))</f>
      </c>
      <c r="E483" s="156">
        <f>IF(OR($B483="",N(D483)=0),"",ROUND(F483/D483,2))</f>
      </c>
      <c r="F483" s="156">
        <f>IF($B483="","",IFERROR(SUMIFS(存条明细!G:G,存条明细!C:C,$B483,存条明细!D:D,$C483),0))</f>
      </c>
      <c r="G483" s="14">
        <f>IF($B483="","",IFERROR(SUMIFS(出库明细!E:E,出库明细!C:C,$B483,出库明细!D:D,$C483),0))</f>
      </c>
      <c r="H483" s="156">
        <f>IF($B483="","",IFERROR(SUMIFS(出库明细!G:G,出库明细!C:C,$B483,出库明细!D:D,$C483),0))</f>
      </c>
      <c r="I483" s="14">
        <f>IF($B483="","",D483-G483)</f>
      </c>
      <c r="J483" s="156">
        <f>IF($B483="","",F483-H483)</f>
      </c>
      <c r="K483" s="179">
        <f>IF($B483="","",MAX(_xlfn.MAXIFS(存条明细!B:B,存条明细!C:C,$B483,存条明细!D:D,$C483),_xlfn.MAXIFS(出库明细!B:B,出库明细!C:C,$B483,出库明细!D:D,$C483)))</f>
      </c>
    </row>
    <row r="484" ht="15" customHeight="1" s="71">
      <c r="A484" s="14">
        <f>IF(B484="","",ROW()-3)</f>
      </c>
      <c r="B484" s="14">
        <f>IF(_辅助!$B484="","",IF(_辅助!$B484&lt;=1000,INDEX(存条明细!$C$4:$C$1003,_辅助!$B484),INDEX(出库明细!$C$4:$C$3003,_辅助!$B484-1000)))</f>
      </c>
      <c r="C484" s="14">
        <f>IF(_辅助!$B484="","",IF(_辅助!$B484&lt;=1000,INDEX(存条明细!$D$4:$D$1003,_辅助!$B484),INDEX(出库明细!$D$4:$D$3003,_辅助!$B484-1000)))</f>
      </c>
      <c r="D484" s="14">
        <f>IF($B484="","",IFERROR(SUMIFS(存条明细!E:E,存条明细!C:C,$B484,存条明细!D:D,$C484),0))</f>
      </c>
      <c r="E484" s="156">
        <f>IF(OR($B484="",N(D484)=0),"",ROUND(F484/D484,2))</f>
      </c>
      <c r="F484" s="156">
        <f>IF($B484="","",IFERROR(SUMIFS(存条明细!G:G,存条明细!C:C,$B484,存条明细!D:D,$C484),0))</f>
      </c>
      <c r="G484" s="14">
        <f>IF($B484="","",IFERROR(SUMIFS(出库明细!E:E,出库明细!C:C,$B484,出库明细!D:D,$C484),0))</f>
      </c>
      <c r="H484" s="156">
        <f>IF($B484="","",IFERROR(SUMIFS(出库明细!G:G,出库明细!C:C,$B484,出库明细!D:D,$C484),0))</f>
      </c>
      <c r="I484" s="14">
        <f>IF($B484="","",D484-G484)</f>
      </c>
      <c r="J484" s="156">
        <f>IF($B484="","",F484-H484)</f>
      </c>
      <c r="K484" s="179">
        <f>IF($B484="","",MAX(_xlfn.MAXIFS(存条明细!B:B,存条明细!C:C,$B484,存条明细!D:D,$C484),_xlfn.MAXIFS(出库明细!B:B,出库明细!C:C,$B484,出库明细!D:D,$C484)))</f>
      </c>
    </row>
    <row r="485" ht="15" customHeight="1" s="71">
      <c r="A485" s="14">
        <f>IF(B485="","",ROW()-3)</f>
      </c>
      <c r="B485" s="14">
        <f>IF(_辅助!$B485="","",IF(_辅助!$B485&lt;=1000,INDEX(存条明细!$C$4:$C$1003,_辅助!$B485),INDEX(出库明细!$C$4:$C$3003,_辅助!$B485-1000)))</f>
      </c>
      <c r="C485" s="14">
        <f>IF(_辅助!$B485="","",IF(_辅助!$B485&lt;=1000,INDEX(存条明细!$D$4:$D$1003,_辅助!$B485),INDEX(出库明细!$D$4:$D$3003,_辅助!$B485-1000)))</f>
      </c>
      <c r="D485" s="14">
        <f>IF($B485="","",IFERROR(SUMIFS(存条明细!E:E,存条明细!C:C,$B485,存条明细!D:D,$C485),0))</f>
      </c>
      <c r="E485" s="156">
        <f>IF(OR($B485="",N(D485)=0),"",ROUND(F485/D485,2))</f>
      </c>
      <c r="F485" s="156">
        <f>IF($B485="","",IFERROR(SUMIFS(存条明细!G:G,存条明细!C:C,$B485,存条明细!D:D,$C485),0))</f>
      </c>
      <c r="G485" s="14">
        <f>IF($B485="","",IFERROR(SUMIFS(出库明细!E:E,出库明细!C:C,$B485,出库明细!D:D,$C485),0))</f>
      </c>
      <c r="H485" s="156">
        <f>IF($B485="","",IFERROR(SUMIFS(出库明细!G:G,出库明细!C:C,$B485,出库明细!D:D,$C485),0))</f>
      </c>
      <c r="I485" s="14">
        <f>IF($B485="","",D485-G485)</f>
      </c>
      <c r="J485" s="156">
        <f>IF($B485="","",F485-H485)</f>
      </c>
      <c r="K485" s="179">
        <f>IF($B485="","",MAX(_xlfn.MAXIFS(存条明细!B:B,存条明细!C:C,$B485,存条明细!D:D,$C485),_xlfn.MAXIFS(出库明细!B:B,出库明细!C:C,$B485,出库明细!D:D,$C485)))</f>
      </c>
    </row>
    <row r="486" ht="15" customHeight="1" s="71">
      <c r="A486" s="14">
        <f>IF(B486="","",ROW()-3)</f>
      </c>
      <c r="B486" s="14">
        <f>IF(_辅助!$B486="","",IF(_辅助!$B486&lt;=1000,INDEX(存条明细!$C$4:$C$1003,_辅助!$B486),INDEX(出库明细!$C$4:$C$3003,_辅助!$B486-1000)))</f>
      </c>
      <c r="C486" s="14">
        <f>IF(_辅助!$B486="","",IF(_辅助!$B486&lt;=1000,INDEX(存条明细!$D$4:$D$1003,_辅助!$B486),INDEX(出库明细!$D$4:$D$3003,_辅助!$B486-1000)))</f>
      </c>
      <c r="D486" s="14">
        <f>IF($B486="","",IFERROR(SUMIFS(存条明细!E:E,存条明细!C:C,$B486,存条明细!D:D,$C486),0))</f>
      </c>
      <c r="E486" s="156">
        <f>IF(OR($B486="",N(D486)=0),"",ROUND(F486/D486,2))</f>
      </c>
      <c r="F486" s="156">
        <f>IF($B486="","",IFERROR(SUMIFS(存条明细!G:G,存条明细!C:C,$B486,存条明细!D:D,$C486),0))</f>
      </c>
      <c r="G486" s="14">
        <f>IF($B486="","",IFERROR(SUMIFS(出库明细!E:E,出库明细!C:C,$B486,出库明细!D:D,$C486),0))</f>
      </c>
      <c r="H486" s="156">
        <f>IF($B486="","",IFERROR(SUMIFS(出库明细!G:G,出库明细!C:C,$B486,出库明细!D:D,$C486),0))</f>
      </c>
      <c r="I486" s="14">
        <f>IF($B486="","",D486-G486)</f>
      </c>
      <c r="J486" s="156">
        <f>IF($B486="","",F486-H486)</f>
      </c>
      <c r="K486" s="179">
        <f>IF($B486="","",MAX(_xlfn.MAXIFS(存条明细!B:B,存条明细!C:C,$B486,存条明细!D:D,$C486),_xlfn.MAXIFS(出库明细!B:B,出库明细!C:C,$B486,出库明细!D:D,$C486)))</f>
      </c>
    </row>
    <row r="487" ht="15" customHeight="1" s="71">
      <c r="A487" s="14">
        <f>IF(B487="","",ROW()-3)</f>
      </c>
      <c r="B487" s="14">
        <f>IF(_辅助!$B487="","",IF(_辅助!$B487&lt;=1000,INDEX(存条明细!$C$4:$C$1003,_辅助!$B487),INDEX(出库明细!$C$4:$C$3003,_辅助!$B487-1000)))</f>
      </c>
      <c r="C487" s="14">
        <f>IF(_辅助!$B487="","",IF(_辅助!$B487&lt;=1000,INDEX(存条明细!$D$4:$D$1003,_辅助!$B487),INDEX(出库明细!$D$4:$D$3003,_辅助!$B487-1000)))</f>
      </c>
      <c r="D487" s="14">
        <f>IF($B487="","",IFERROR(SUMIFS(存条明细!E:E,存条明细!C:C,$B487,存条明细!D:D,$C487),0))</f>
      </c>
      <c r="E487" s="156">
        <f>IF(OR($B487="",N(D487)=0),"",ROUND(F487/D487,2))</f>
      </c>
      <c r="F487" s="156">
        <f>IF($B487="","",IFERROR(SUMIFS(存条明细!G:G,存条明细!C:C,$B487,存条明细!D:D,$C487),0))</f>
      </c>
      <c r="G487" s="14">
        <f>IF($B487="","",IFERROR(SUMIFS(出库明细!E:E,出库明细!C:C,$B487,出库明细!D:D,$C487),0))</f>
      </c>
      <c r="H487" s="156">
        <f>IF($B487="","",IFERROR(SUMIFS(出库明细!G:G,出库明细!C:C,$B487,出库明细!D:D,$C487),0))</f>
      </c>
      <c r="I487" s="14">
        <f>IF($B487="","",D487-G487)</f>
      </c>
      <c r="J487" s="156">
        <f>IF($B487="","",F487-H487)</f>
      </c>
      <c r="K487" s="179">
        <f>IF($B487="","",MAX(_xlfn.MAXIFS(存条明细!B:B,存条明细!C:C,$B487,存条明细!D:D,$C487),_xlfn.MAXIFS(出库明细!B:B,出库明细!C:C,$B487,出库明细!D:D,$C487)))</f>
      </c>
    </row>
    <row r="488" ht="15" customHeight="1" s="71">
      <c r="A488" s="14">
        <f>IF(B488="","",ROW()-3)</f>
      </c>
      <c r="B488" s="14">
        <f>IF(_辅助!$B488="","",IF(_辅助!$B488&lt;=1000,INDEX(存条明细!$C$4:$C$1003,_辅助!$B488),INDEX(出库明细!$C$4:$C$3003,_辅助!$B488-1000)))</f>
      </c>
      <c r="C488" s="14">
        <f>IF(_辅助!$B488="","",IF(_辅助!$B488&lt;=1000,INDEX(存条明细!$D$4:$D$1003,_辅助!$B488),INDEX(出库明细!$D$4:$D$3003,_辅助!$B488-1000)))</f>
      </c>
      <c r="D488" s="14">
        <f>IF($B488="","",IFERROR(SUMIFS(存条明细!E:E,存条明细!C:C,$B488,存条明细!D:D,$C488),0))</f>
      </c>
      <c r="E488" s="156">
        <f>IF(OR($B488="",N(D488)=0),"",ROUND(F488/D488,2))</f>
      </c>
      <c r="F488" s="156">
        <f>IF($B488="","",IFERROR(SUMIFS(存条明细!G:G,存条明细!C:C,$B488,存条明细!D:D,$C488),0))</f>
      </c>
      <c r="G488" s="14">
        <f>IF($B488="","",IFERROR(SUMIFS(出库明细!E:E,出库明细!C:C,$B488,出库明细!D:D,$C488),0))</f>
      </c>
      <c r="H488" s="156">
        <f>IF($B488="","",IFERROR(SUMIFS(出库明细!G:G,出库明细!C:C,$B488,出库明细!D:D,$C488),0))</f>
      </c>
      <c r="I488" s="14">
        <f>IF($B488="","",D488-G488)</f>
      </c>
      <c r="J488" s="156">
        <f>IF($B488="","",F488-H488)</f>
      </c>
      <c r="K488" s="179">
        <f>IF($B488="","",MAX(_xlfn.MAXIFS(存条明细!B:B,存条明细!C:C,$B488,存条明细!D:D,$C488),_xlfn.MAXIFS(出库明细!B:B,出库明细!C:C,$B488,出库明细!D:D,$C488)))</f>
      </c>
    </row>
    <row r="489" ht="15" customHeight="1" s="71">
      <c r="A489" s="14">
        <f>IF(B489="","",ROW()-3)</f>
      </c>
      <c r="B489" s="14">
        <f>IF(_辅助!$B489="","",IF(_辅助!$B489&lt;=1000,INDEX(存条明细!$C$4:$C$1003,_辅助!$B489),INDEX(出库明细!$C$4:$C$3003,_辅助!$B489-1000)))</f>
      </c>
      <c r="C489" s="14">
        <f>IF(_辅助!$B489="","",IF(_辅助!$B489&lt;=1000,INDEX(存条明细!$D$4:$D$1003,_辅助!$B489),INDEX(出库明细!$D$4:$D$3003,_辅助!$B489-1000)))</f>
      </c>
      <c r="D489" s="14">
        <f>IF($B489="","",IFERROR(SUMIFS(存条明细!E:E,存条明细!C:C,$B489,存条明细!D:D,$C489),0))</f>
      </c>
      <c r="E489" s="156">
        <f>IF(OR($B489="",N(D489)=0),"",ROUND(F489/D489,2))</f>
      </c>
      <c r="F489" s="156">
        <f>IF($B489="","",IFERROR(SUMIFS(存条明细!G:G,存条明细!C:C,$B489,存条明细!D:D,$C489),0))</f>
      </c>
      <c r="G489" s="14">
        <f>IF($B489="","",IFERROR(SUMIFS(出库明细!E:E,出库明细!C:C,$B489,出库明细!D:D,$C489),0))</f>
      </c>
      <c r="H489" s="156">
        <f>IF($B489="","",IFERROR(SUMIFS(出库明细!G:G,出库明细!C:C,$B489,出库明细!D:D,$C489),0))</f>
      </c>
      <c r="I489" s="14">
        <f>IF($B489="","",D489-G489)</f>
      </c>
      <c r="J489" s="156">
        <f>IF($B489="","",F489-H489)</f>
      </c>
      <c r="K489" s="179">
        <f>IF($B489="","",MAX(_xlfn.MAXIFS(存条明细!B:B,存条明细!C:C,$B489,存条明细!D:D,$C489),_xlfn.MAXIFS(出库明细!B:B,出库明细!C:C,$B489,出库明细!D:D,$C489)))</f>
      </c>
    </row>
    <row r="490" ht="15" customHeight="1" s="71">
      <c r="A490" s="14">
        <f>IF(B490="","",ROW()-3)</f>
      </c>
      <c r="B490" s="14">
        <f>IF(_辅助!$B490="","",IF(_辅助!$B490&lt;=1000,INDEX(存条明细!$C$4:$C$1003,_辅助!$B490),INDEX(出库明细!$C$4:$C$3003,_辅助!$B490-1000)))</f>
      </c>
      <c r="C490" s="14">
        <f>IF(_辅助!$B490="","",IF(_辅助!$B490&lt;=1000,INDEX(存条明细!$D$4:$D$1003,_辅助!$B490),INDEX(出库明细!$D$4:$D$3003,_辅助!$B490-1000)))</f>
      </c>
      <c r="D490" s="14">
        <f>IF($B490="","",IFERROR(SUMIFS(存条明细!E:E,存条明细!C:C,$B490,存条明细!D:D,$C490),0))</f>
      </c>
      <c r="E490" s="156">
        <f>IF(OR($B490="",N(D490)=0),"",ROUND(F490/D490,2))</f>
      </c>
      <c r="F490" s="156">
        <f>IF($B490="","",IFERROR(SUMIFS(存条明细!G:G,存条明细!C:C,$B490,存条明细!D:D,$C490),0))</f>
      </c>
      <c r="G490" s="14">
        <f>IF($B490="","",IFERROR(SUMIFS(出库明细!E:E,出库明细!C:C,$B490,出库明细!D:D,$C490),0))</f>
      </c>
      <c r="H490" s="156">
        <f>IF($B490="","",IFERROR(SUMIFS(出库明细!G:G,出库明细!C:C,$B490,出库明细!D:D,$C490),0))</f>
      </c>
      <c r="I490" s="14">
        <f>IF($B490="","",D490-G490)</f>
      </c>
      <c r="J490" s="156">
        <f>IF($B490="","",F490-H490)</f>
      </c>
      <c r="K490" s="179">
        <f>IF($B490="","",MAX(_xlfn.MAXIFS(存条明细!B:B,存条明细!C:C,$B490,存条明细!D:D,$C490),_xlfn.MAXIFS(出库明细!B:B,出库明细!C:C,$B490,出库明细!D:D,$C490)))</f>
      </c>
    </row>
    <row r="491" ht="15" customHeight="1" s="71">
      <c r="A491" s="14">
        <f>IF(B491="","",ROW()-3)</f>
      </c>
      <c r="B491" s="14">
        <f>IF(_辅助!$B491="","",IF(_辅助!$B491&lt;=1000,INDEX(存条明细!$C$4:$C$1003,_辅助!$B491),INDEX(出库明细!$C$4:$C$3003,_辅助!$B491-1000)))</f>
      </c>
      <c r="C491" s="14">
        <f>IF(_辅助!$B491="","",IF(_辅助!$B491&lt;=1000,INDEX(存条明细!$D$4:$D$1003,_辅助!$B491),INDEX(出库明细!$D$4:$D$3003,_辅助!$B491-1000)))</f>
      </c>
      <c r="D491" s="14">
        <f>IF($B491="","",IFERROR(SUMIFS(存条明细!E:E,存条明细!C:C,$B491,存条明细!D:D,$C491),0))</f>
      </c>
      <c r="E491" s="156">
        <f>IF(OR($B491="",N(D491)=0),"",ROUND(F491/D491,2))</f>
      </c>
      <c r="F491" s="156">
        <f>IF($B491="","",IFERROR(SUMIFS(存条明细!G:G,存条明细!C:C,$B491,存条明细!D:D,$C491),0))</f>
      </c>
      <c r="G491" s="14">
        <f>IF($B491="","",IFERROR(SUMIFS(出库明细!E:E,出库明细!C:C,$B491,出库明细!D:D,$C491),0))</f>
      </c>
      <c r="H491" s="156">
        <f>IF($B491="","",IFERROR(SUMIFS(出库明细!G:G,出库明细!C:C,$B491,出库明细!D:D,$C491),0))</f>
      </c>
      <c r="I491" s="14">
        <f>IF($B491="","",D491-G491)</f>
      </c>
      <c r="J491" s="156">
        <f>IF($B491="","",F491-H491)</f>
      </c>
      <c r="K491" s="179">
        <f>IF($B491="","",MAX(_xlfn.MAXIFS(存条明细!B:B,存条明细!C:C,$B491,存条明细!D:D,$C491),_xlfn.MAXIFS(出库明细!B:B,出库明细!C:C,$B491,出库明细!D:D,$C491)))</f>
      </c>
    </row>
    <row r="492" ht="15" customHeight="1" s="71">
      <c r="A492" s="14">
        <f>IF(B492="","",ROW()-3)</f>
      </c>
      <c r="B492" s="14">
        <f>IF(_辅助!$B492="","",IF(_辅助!$B492&lt;=1000,INDEX(存条明细!$C$4:$C$1003,_辅助!$B492),INDEX(出库明细!$C$4:$C$3003,_辅助!$B492-1000)))</f>
      </c>
      <c r="C492" s="14">
        <f>IF(_辅助!$B492="","",IF(_辅助!$B492&lt;=1000,INDEX(存条明细!$D$4:$D$1003,_辅助!$B492),INDEX(出库明细!$D$4:$D$3003,_辅助!$B492-1000)))</f>
      </c>
      <c r="D492" s="14">
        <f>IF($B492="","",IFERROR(SUMIFS(存条明细!E:E,存条明细!C:C,$B492,存条明细!D:D,$C492),0))</f>
      </c>
      <c r="E492" s="156">
        <f>IF(OR($B492="",N(D492)=0),"",ROUND(F492/D492,2))</f>
      </c>
      <c r="F492" s="156">
        <f>IF($B492="","",IFERROR(SUMIFS(存条明细!G:G,存条明细!C:C,$B492,存条明细!D:D,$C492),0))</f>
      </c>
      <c r="G492" s="14">
        <f>IF($B492="","",IFERROR(SUMIFS(出库明细!E:E,出库明细!C:C,$B492,出库明细!D:D,$C492),0))</f>
      </c>
      <c r="H492" s="156">
        <f>IF($B492="","",IFERROR(SUMIFS(出库明细!G:G,出库明细!C:C,$B492,出库明细!D:D,$C492),0))</f>
      </c>
      <c r="I492" s="14">
        <f>IF($B492="","",D492-G492)</f>
      </c>
      <c r="J492" s="156">
        <f>IF($B492="","",F492-H492)</f>
      </c>
      <c r="K492" s="179">
        <f>IF($B492="","",MAX(_xlfn.MAXIFS(存条明细!B:B,存条明细!C:C,$B492,存条明细!D:D,$C492),_xlfn.MAXIFS(出库明细!B:B,出库明细!C:C,$B492,出库明细!D:D,$C492)))</f>
      </c>
    </row>
    <row r="493" ht="15" customHeight="1" s="71">
      <c r="A493" s="14">
        <f>IF(B493="","",ROW()-3)</f>
      </c>
      <c r="B493" s="14">
        <f>IF(_辅助!$B493="","",IF(_辅助!$B493&lt;=1000,INDEX(存条明细!$C$4:$C$1003,_辅助!$B493),INDEX(出库明细!$C$4:$C$3003,_辅助!$B493-1000)))</f>
      </c>
      <c r="C493" s="14">
        <f>IF(_辅助!$B493="","",IF(_辅助!$B493&lt;=1000,INDEX(存条明细!$D$4:$D$1003,_辅助!$B493),INDEX(出库明细!$D$4:$D$3003,_辅助!$B493-1000)))</f>
      </c>
      <c r="D493" s="14">
        <f>IF($B493="","",IFERROR(SUMIFS(存条明细!E:E,存条明细!C:C,$B493,存条明细!D:D,$C493),0))</f>
      </c>
      <c r="E493" s="156">
        <f>IF(OR($B493="",N(D493)=0),"",ROUND(F493/D493,2))</f>
      </c>
      <c r="F493" s="156">
        <f>IF($B493="","",IFERROR(SUMIFS(存条明细!G:G,存条明细!C:C,$B493,存条明细!D:D,$C493),0))</f>
      </c>
      <c r="G493" s="14">
        <f>IF($B493="","",IFERROR(SUMIFS(出库明细!E:E,出库明细!C:C,$B493,出库明细!D:D,$C493),0))</f>
      </c>
      <c r="H493" s="156">
        <f>IF($B493="","",IFERROR(SUMIFS(出库明细!G:G,出库明细!C:C,$B493,出库明细!D:D,$C493),0))</f>
      </c>
      <c r="I493" s="14">
        <f>IF($B493="","",D493-G493)</f>
      </c>
      <c r="J493" s="156">
        <f>IF($B493="","",F493-H493)</f>
      </c>
      <c r="K493" s="179">
        <f>IF($B493="","",MAX(_xlfn.MAXIFS(存条明细!B:B,存条明细!C:C,$B493,存条明细!D:D,$C493),_xlfn.MAXIFS(出库明细!B:B,出库明细!C:C,$B493,出库明细!D:D,$C493)))</f>
      </c>
    </row>
    <row r="494" ht="15" customHeight="1" s="71">
      <c r="A494" s="14">
        <f>IF(B494="","",ROW()-3)</f>
      </c>
      <c r="B494" s="14">
        <f>IF(_辅助!$B494="","",IF(_辅助!$B494&lt;=1000,INDEX(存条明细!$C$4:$C$1003,_辅助!$B494),INDEX(出库明细!$C$4:$C$3003,_辅助!$B494-1000)))</f>
      </c>
      <c r="C494" s="14">
        <f>IF(_辅助!$B494="","",IF(_辅助!$B494&lt;=1000,INDEX(存条明细!$D$4:$D$1003,_辅助!$B494),INDEX(出库明细!$D$4:$D$3003,_辅助!$B494-1000)))</f>
      </c>
      <c r="D494" s="14">
        <f>IF($B494="","",IFERROR(SUMIFS(存条明细!E:E,存条明细!C:C,$B494,存条明细!D:D,$C494),0))</f>
      </c>
      <c r="E494" s="156">
        <f>IF(OR($B494="",N(D494)=0),"",ROUND(F494/D494,2))</f>
      </c>
      <c r="F494" s="156">
        <f>IF($B494="","",IFERROR(SUMIFS(存条明细!G:G,存条明细!C:C,$B494,存条明细!D:D,$C494),0))</f>
      </c>
      <c r="G494" s="14">
        <f>IF($B494="","",IFERROR(SUMIFS(出库明细!E:E,出库明细!C:C,$B494,出库明细!D:D,$C494),0))</f>
      </c>
      <c r="H494" s="156">
        <f>IF($B494="","",IFERROR(SUMIFS(出库明细!G:G,出库明细!C:C,$B494,出库明细!D:D,$C494),0))</f>
      </c>
      <c r="I494" s="14">
        <f>IF($B494="","",D494-G494)</f>
      </c>
      <c r="J494" s="156">
        <f>IF($B494="","",F494-H494)</f>
      </c>
      <c r="K494" s="179">
        <f>IF($B494="","",MAX(_xlfn.MAXIFS(存条明细!B:B,存条明细!C:C,$B494,存条明细!D:D,$C494),_xlfn.MAXIFS(出库明细!B:B,出库明细!C:C,$B494,出库明细!D:D,$C494)))</f>
      </c>
    </row>
    <row r="495" ht="15" customHeight="1" s="71">
      <c r="A495" s="14">
        <f>IF(B495="","",ROW()-3)</f>
      </c>
      <c r="B495" s="14">
        <f>IF(_辅助!$B495="","",IF(_辅助!$B495&lt;=1000,INDEX(存条明细!$C$4:$C$1003,_辅助!$B495),INDEX(出库明细!$C$4:$C$3003,_辅助!$B495-1000)))</f>
      </c>
      <c r="C495" s="14">
        <f>IF(_辅助!$B495="","",IF(_辅助!$B495&lt;=1000,INDEX(存条明细!$D$4:$D$1003,_辅助!$B495),INDEX(出库明细!$D$4:$D$3003,_辅助!$B495-1000)))</f>
      </c>
      <c r="D495" s="14">
        <f>IF($B495="","",IFERROR(SUMIFS(存条明细!E:E,存条明细!C:C,$B495,存条明细!D:D,$C495),0))</f>
      </c>
      <c r="E495" s="156">
        <f>IF(OR($B495="",N(D495)=0),"",ROUND(F495/D495,2))</f>
      </c>
      <c r="F495" s="156">
        <f>IF($B495="","",IFERROR(SUMIFS(存条明细!G:G,存条明细!C:C,$B495,存条明细!D:D,$C495),0))</f>
      </c>
      <c r="G495" s="14">
        <f>IF($B495="","",IFERROR(SUMIFS(出库明细!E:E,出库明细!C:C,$B495,出库明细!D:D,$C495),0))</f>
      </c>
      <c r="H495" s="156">
        <f>IF($B495="","",IFERROR(SUMIFS(出库明细!G:G,出库明细!C:C,$B495,出库明细!D:D,$C495),0))</f>
      </c>
      <c r="I495" s="14">
        <f>IF($B495="","",D495-G495)</f>
      </c>
      <c r="J495" s="156">
        <f>IF($B495="","",F495-H495)</f>
      </c>
      <c r="K495" s="179">
        <f>IF($B495="","",MAX(_xlfn.MAXIFS(存条明细!B:B,存条明细!C:C,$B495,存条明细!D:D,$C495),_xlfn.MAXIFS(出库明细!B:B,出库明细!C:C,$B495,出库明细!D:D,$C495)))</f>
      </c>
    </row>
    <row r="496" ht="15" customHeight="1" s="71">
      <c r="A496" s="14">
        <f>IF(B496="","",ROW()-3)</f>
      </c>
      <c r="B496" s="14">
        <f>IF(_辅助!$B496="","",IF(_辅助!$B496&lt;=1000,INDEX(存条明细!$C$4:$C$1003,_辅助!$B496),INDEX(出库明细!$C$4:$C$3003,_辅助!$B496-1000)))</f>
      </c>
      <c r="C496" s="14">
        <f>IF(_辅助!$B496="","",IF(_辅助!$B496&lt;=1000,INDEX(存条明细!$D$4:$D$1003,_辅助!$B496),INDEX(出库明细!$D$4:$D$3003,_辅助!$B496-1000)))</f>
      </c>
      <c r="D496" s="14">
        <f>IF($B496="","",IFERROR(SUMIFS(存条明细!E:E,存条明细!C:C,$B496,存条明细!D:D,$C496),0))</f>
      </c>
      <c r="E496" s="156">
        <f>IF(OR($B496="",N(D496)=0),"",ROUND(F496/D496,2))</f>
      </c>
      <c r="F496" s="156">
        <f>IF($B496="","",IFERROR(SUMIFS(存条明细!G:G,存条明细!C:C,$B496,存条明细!D:D,$C496),0))</f>
      </c>
      <c r="G496" s="14">
        <f>IF($B496="","",IFERROR(SUMIFS(出库明细!E:E,出库明细!C:C,$B496,出库明细!D:D,$C496),0))</f>
      </c>
      <c r="H496" s="156">
        <f>IF($B496="","",IFERROR(SUMIFS(出库明细!G:G,出库明细!C:C,$B496,出库明细!D:D,$C496),0))</f>
      </c>
      <c r="I496" s="14">
        <f>IF($B496="","",D496-G496)</f>
      </c>
      <c r="J496" s="156">
        <f>IF($B496="","",F496-H496)</f>
      </c>
      <c r="K496" s="179">
        <f>IF($B496="","",MAX(_xlfn.MAXIFS(存条明细!B:B,存条明细!C:C,$B496,存条明细!D:D,$C496),_xlfn.MAXIFS(出库明细!B:B,出库明细!C:C,$B496,出库明细!D:D,$C496)))</f>
      </c>
    </row>
    <row r="497" ht="15" customHeight="1" s="71">
      <c r="A497" s="14">
        <f>IF(B497="","",ROW()-3)</f>
      </c>
      <c r="B497" s="14">
        <f>IF(_辅助!$B497="","",IF(_辅助!$B497&lt;=1000,INDEX(存条明细!$C$4:$C$1003,_辅助!$B497),INDEX(出库明细!$C$4:$C$3003,_辅助!$B497-1000)))</f>
      </c>
      <c r="C497" s="14">
        <f>IF(_辅助!$B497="","",IF(_辅助!$B497&lt;=1000,INDEX(存条明细!$D$4:$D$1003,_辅助!$B497),INDEX(出库明细!$D$4:$D$3003,_辅助!$B497-1000)))</f>
      </c>
      <c r="D497" s="14">
        <f>IF($B497="","",IFERROR(SUMIFS(存条明细!E:E,存条明细!C:C,$B497,存条明细!D:D,$C497),0))</f>
      </c>
      <c r="E497" s="156">
        <f>IF(OR($B497="",N(D497)=0),"",ROUND(F497/D497,2))</f>
      </c>
      <c r="F497" s="156">
        <f>IF($B497="","",IFERROR(SUMIFS(存条明细!G:G,存条明细!C:C,$B497,存条明细!D:D,$C497),0))</f>
      </c>
      <c r="G497" s="14">
        <f>IF($B497="","",IFERROR(SUMIFS(出库明细!E:E,出库明细!C:C,$B497,出库明细!D:D,$C497),0))</f>
      </c>
      <c r="H497" s="156">
        <f>IF($B497="","",IFERROR(SUMIFS(出库明细!G:G,出库明细!C:C,$B497,出库明细!D:D,$C497),0))</f>
      </c>
      <c r="I497" s="14">
        <f>IF($B497="","",D497-G497)</f>
      </c>
      <c r="J497" s="156">
        <f>IF($B497="","",F497-H497)</f>
      </c>
      <c r="K497" s="179">
        <f>IF($B497="","",MAX(_xlfn.MAXIFS(存条明细!B:B,存条明细!C:C,$B497,存条明细!D:D,$C497),_xlfn.MAXIFS(出库明细!B:B,出库明细!C:C,$B497,出库明细!D:D,$C497)))</f>
      </c>
    </row>
    <row r="498" ht="15" customHeight="1" s="71">
      <c r="A498" s="14">
        <f>IF(B498="","",ROW()-3)</f>
      </c>
      <c r="B498" s="14">
        <f>IF(_辅助!$B498="","",IF(_辅助!$B498&lt;=1000,INDEX(存条明细!$C$4:$C$1003,_辅助!$B498),INDEX(出库明细!$C$4:$C$3003,_辅助!$B498-1000)))</f>
      </c>
      <c r="C498" s="14">
        <f>IF(_辅助!$B498="","",IF(_辅助!$B498&lt;=1000,INDEX(存条明细!$D$4:$D$1003,_辅助!$B498),INDEX(出库明细!$D$4:$D$3003,_辅助!$B498-1000)))</f>
      </c>
      <c r="D498" s="14">
        <f>IF($B498="","",IFERROR(SUMIFS(存条明细!E:E,存条明细!C:C,$B498,存条明细!D:D,$C498),0))</f>
      </c>
      <c r="E498" s="156">
        <f>IF(OR($B498="",N(D498)=0),"",ROUND(F498/D498,2))</f>
      </c>
      <c r="F498" s="156">
        <f>IF($B498="","",IFERROR(SUMIFS(存条明细!G:G,存条明细!C:C,$B498,存条明细!D:D,$C498),0))</f>
      </c>
      <c r="G498" s="14">
        <f>IF($B498="","",IFERROR(SUMIFS(出库明细!E:E,出库明细!C:C,$B498,出库明细!D:D,$C498),0))</f>
      </c>
      <c r="H498" s="156">
        <f>IF($B498="","",IFERROR(SUMIFS(出库明细!G:G,出库明细!C:C,$B498,出库明细!D:D,$C498),0))</f>
      </c>
      <c r="I498" s="14">
        <f>IF($B498="","",D498-G498)</f>
      </c>
      <c r="J498" s="156">
        <f>IF($B498="","",F498-H498)</f>
      </c>
      <c r="K498" s="179">
        <f>IF($B498="","",MAX(_xlfn.MAXIFS(存条明细!B:B,存条明细!C:C,$B498,存条明细!D:D,$C498),_xlfn.MAXIFS(出库明细!B:B,出库明细!C:C,$B498,出库明细!D:D,$C498)))</f>
      </c>
    </row>
    <row r="499" ht="15" customHeight="1" s="71">
      <c r="A499" s="14">
        <f>IF(B499="","",ROW()-3)</f>
      </c>
      <c r="B499" s="14">
        <f>IF(_辅助!$B499="","",IF(_辅助!$B499&lt;=1000,INDEX(存条明细!$C$4:$C$1003,_辅助!$B499),INDEX(出库明细!$C$4:$C$3003,_辅助!$B499-1000)))</f>
      </c>
      <c r="C499" s="14">
        <f>IF(_辅助!$B499="","",IF(_辅助!$B499&lt;=1000,INDEX(存条明细!$D$4:$D$1003,_辅助!$B499),INDEX(出库明细!$D$4:$D$3003,_辅助!$B499-1000)))</f>
      </c>
      <c r="D499" s="14">
        <f>IF($B499="","",IFERROR(SUMIFS(存条明细!E:E,存条明细!C:C,$B499,存条明细!D:D,$C499),0))</f>
      </c>
      <c r="E499" s="156">
        <f>IF(OR($B499="",N(D499)=0),"",ROUND(F499/D499,2))</f>
      </c>
      <c r="F499" s="156">
        <f>IF($B499="","",IFERROR(SUMIFS(存条明细!G:G,存条明细!C:C,$B499,存条明细!D:D,$C499),0))</f>
      </c>
      <c r="G499" s="14">
        <f>IF($B499="","",IFERROR(SUMIFS(出库明细!E:E,出库明细!C:C,$B499,出库明细!D:D,$C499),0))</f>
      </c>
      <c r="H499" s="156">
        <f>IF($B499="","",IFERROR(SUMIFS(出库明细!G:G,出库明细!C:C,$B499,出库明细!D:D,$C499),0))</f>
      </c>
      <c r="I499" s="14">
        <f>IF($B499="","",D499-G499)</f>
      </c>
      <c r="J499" s="156">
        <f>IF($B499="","",F499-H499)</f>
      </c>
      <c r="K499" s="179">
        <f>IF($B499="","",MAX(_xlfn.MAXIFS(存条明细!B:B,存条明细!C:C,$B499,存条明细!D:D,$C499),_xlfn.MAXIFS(出库明细!B:B,出库明细!C:C,$B499,出库明细!D:D,$C499)))</f>
      </c>
    </row>
    <row r="500" ht="15" customHeight="1" s="71">
      <c r="A500" s="14">
        <f>IF(B500="","",ROW()-3)</f>
      </c>
      <c r="B500" s="14">
        <f>IF(_辅助!$B500="","",IF(_辅助!$B500&lt;=1000,INDEX(存条明细!$C$4:$C$1003,_辅助!$B500),INDEX(出库明细!$C$4:$C$3003,_辅助!$B500-1000)))</f>
      </c>
      <c r="C500" s="14">
        <f>IF(_辅助!$B500="","",IF(_辅助!$B500&lt;=1000,INDEX(存条明细!$D$4:$D$1003,_辅助!$B500),INDEX(出库明细!$D$4:$D$3003,_辅助!$B500-1000)))</f>
      </c>
      <c r="D500" s="14">
        <f>IF($B500="","",IFERROR(SUMIFS(存条明细!E:E,存条明细!C:C,$B500,存条明细!D:D,$C500),0))</f>
      </c>
      <c r="E500" s="156">
        <f>IF(OR($B500="",N(D500)=0),"",ROUND(F500/D500,2))</f>
      </c>
      <c r="F500" s="156">
        <f>IF($B500="","",IFERROR(SUMIFS(存条明细!G:G,存条明细!C:C,$B500,存条明细!D:D,$C500),0))</f>
      </c>
      <c r="G500" s="14">
        <f>IF($B500="","",IFERROR(SUMIFS(出库明细!E:E,出库明细!C:C,$B500,出库明细!D:D,$C500),0))</f>
      </c>
      <c r="H500" s="156">
        <f>IF($B500="","",IFERROR(SUMIFS(出库明细!G:G,出库明细!C:C,$B500,出库明细!D:D,$C500),0))</f>
      </c>
      <c r="I500" s="14">
        <f>IF($B500="","",D500-G500)</f>
      </c>
      <c r="J500" s="156">
        <f>IF($B500="","",F500-H500)</f>
      </c>
      <c r="K500" s="179">
        <f>IF($B500="","",MAX(_xlfn.MAXIFS(存条明细!B:B,存条明细!C:C,$B500,存条明细!D:D,$C500),_xlfn.MAXIFS(出库明细!B:B,出库明细!C:C,$B500,出库明细!D:D,$C500)))</f>
      </c>
    </row>
    <row r="501" ht="15" customHeight="1" s="71">
      <c r="A501" s="14">
        <f>IF(B501="","",ROW()-3)</f>
      </c>
      <c r="B501" s="14">
        <f>IF(_辅助!$B501="","",IF(_辅助!$B501&lt;=1000,INDEX(存条明细!$C$4:$C$1003,_辅助!$B501),INDEX(出库明细!$C$4:$C$3003,_辅助!$B501-1000)))</f>
      </c>
      <c r="C501" s="14">
        <f>IF(_辅助!$B501="","",IF(_辅助!$B501&lt;=1000,INDEX(存条明细!$D$4:$D$1003,_辅助!$B501),INDEX(出库明细!$D$4:$D$3003,_辅助!$B501-1000)))</f>
      </c>
      <c r="D501" s="14">
        <f>IF($B501="","",IFERROR(SUMIFS(存条明细!E:E,存条明细!C:C,$B501,存条明细!D:D,$C501),0))</f>
      </c>
      <c r="E501" s="156">
        <f>IF(OR($B501="",N(D501)=0),"",ROUND(F501/D501,2))</f>
      </c>
      <c r="F501" s="156">
        <f>IF($B501="","",IFERROR(SUMIFS(存条明细!G:G,存条明细!C:C,$B501,存条明细!D:D,$C501),0))</f>
      </c>
      <c r="G501" s="14">
        <f>IF($B501="","",IFERROR(SUMIFS(出库明细!E:E,出库明细!C:C,$B501,出库明细!D:D,$C501),0))</f>
      </c>
      <c r="H501" s="156">
        <f>IF($B501="","",IFERROR(SUMIFS(出库明细!G:G,出库明细!C:C,$B501,出库明细!D:D,$C501),0))</f>
      </c>
      <c r="I501" s="14">
        <f>IF($B501="","",D501-G501)</f>
      </c>
      <c r="J501" s="156">
        <f>IF($B501="","",F501-H501)</f>
      </c>
      <c r="K501" s="179">
        <f>IF($B501="","",MAX(_xlfn.MAXIFS(存条明细!B:B,存条明细!C:C,$B501,存条明细!D:D,$C501),_xlfn.MAXIFS(出库明细!B:B,出库明细!C:C,$B501,出库明细!D:D,$C501)))</f>
      </c>
    </row>
    <row r="502" ht="15" customHeight="1" s="71">
      <c r="A502" s="14">
        <f>IF(B502="","",ROW()-3)</f>
      </c>
      <c r="B502" s="14">
        <f>IF(_辅助!$B502="","",IF(_辅助!$B502&lt;=1000,INDEX(存条明细!$C$4:$C$1003,_辅助!$B502),INDEX(出库明细!$C$4:$C$3003,_辅助!$B502-1000)))</f>
      </c>
      <c r="C502" s="14">
        <f>IF(_辅助!$B502="","",IF(_辅助!$B502&lt;=1000,INDEX(存条明细!$D$4:$D$1003,_辅助!$B502),INDEX(出库明细!$D$4:$D$3003,_辅助!$B502-1000)))</f>
      </c>
      <c r="D502" s="14">
        <f>IF($B502="","",IFERROR(SUMIFS(存条明细!E:E,存条明细!C:C,$B502,存条明细!D:D,$C502),0))</f>
      </c>
      <c r="E502" s="156">
        <f>IF(OR($B502="",N(D502)=0),"",ROUND(F502/D502,2))</f>
      </c>
      <c r="F502" s="156">
        <f>IF($B502="","",IFERROR(SUMIFS(存条明细!G:G,存条明细!C:C,$B502,存条明细!D:D,$C502),0))</f>
      </c>
      <c r="G502" s="14">
        <f>IF($B502="","",IFERROR(SUMIFS(出库明细!E:E,出库明细!C:C,$B502,出库明细!D:D,$C502),0))</f>
      </c>
      <c r="H502" s="156">
        <f>IF($B502="","",IFERROR(SUMIFS(出库明细!G:G,出库明细!C:C,$B502,出库明细!D:D,$C502),0))</f>
      </c>
      <c r="I502" s="14">
        <f>IF($B502="","",D502-G502)</f>
      </c>
      <c r="J502" s="156">
        <f>IF($B502="","",F502-H502)</f>
      </c>
      <c r="K502" s="179">
        <f>IF($B502="","",MAX(_xlfn.MAXIFS(存条明细!B:B,存条明细!C:C,$B502,存条明细!D:D,$C502),_xlfn.MAXIFS(出库明细!B:B,出库明细!C:C,$B502,出库明细!D:D,$C502)))</f>
      </c>
    </row>
    <row r="503" ht="15" customHeight="1" s="71">
      <c r="A503" s="14">
        <f>IF(B503="","",ROW()-3)</f>
      </c>
      <c r="B503" s="14">
        <f>IF(_辅助!$B503="","",IF(_辅助!$B503&lt;=1000,INDEX(存条明细!$C$4:$C$1003,_辅助!$B503),INDEX(出库明细!$C$4:$C$3003,_辅助!$B503-1000)))</f>
      </c>
      <c r="C503" s="14">
        <f>IF(_辅助!$B503="","",IF(_辅助!$B503&lt;=1000,INDEX(存条明细!$D$4:$D$1003,_辅助!$B503),INDEX(出库明细!$D$4:$D$3003,_辅助!$B503-1000)))</f>
      </c>
      <c r="D503" s="14">
        <f>IF($B503="","",IFERROR(SUMIFS(存条明细!E:E,存条明细!C:C,$B503,存条明细!D:D,$C503),0))</f>
      </c>
      <c r="E503" s="156">
        <f>IF(OR($B503="",N(D503)=0),"",ROUND(F503/D503,2))</f>
      </c>
      <c r="F503" s="156">
        <f>IF($B503="","",IFERROR(SUMIFS(存条明细!G:G,存条明细!C:C,$B503,存条明细!D:D,$C503),0))</f>
      </c>
      <c r="G503" s="14">
        <f>IF($B503="","",IFERROR(SUMIFS(出库明细!E:E,出库明细!C:C,$B503,出库明细!D:D,$C503),0))</f>
      </c>
      <c r="H503" s="156">
        <f>IF($B503="","",IFERROR(SUMIFS(出库明细!G:G,出库明细!C:C,$B503,出库明细!D:D,$C503),0))</f>
      </c>
      <c r="I503" s="14">
        <f>IF($B503="","",D503-G503)</f>
      </c>
      <c r="J503" s="156">
        <f>IF($B503="","",F503-H503)</f>
      </c>
      <c r="K503" s="179">
        <f>IF($B503="","",MAX(_xlfn.MAXIFS(存条明细!B:B,存条明细!C:C,$B503,存条明细!D:D,$C503),_xlfn.MAXIFS(出库明细!B:B,出库明细!C:C,$B503,出库明细!D:D,$C503)))</f>
      </c>
    </row>
    <row r="504" ht="15" customHeight="1" s="71">
      <c r="A504" s="14">
        <f>IF(B504="","",ROW()-3)</f>
      </c>
      <c r="B504" s="14">
        <f>IF(_辅助!$B504="","",IF(_辅助!$B504&lt;=1000,INDEX(存条明细!$C$4:$C$1003,_辅助!$B504),INDEX(出库明细!$C$4:$C$3003,_辅助!$B504-1000)))</f>
      </c>
      <c r="C504" s="14">
        <f>IF(_辅助!$B504="","",IF(_辅助!$B504&lt;=1000,INDEX(存条明细!$D$4:$D$1003,_辅助!$B504),INDEX(出库明细!$D$4:$D$3003,_辅助!$B504-1000)))</f>
      </c>
      <c r="D504" s="14">
        <f>IF($B504="","",IFERROR(SUMIFS(存条明细!E:E,存条明细!C:C,$B504,存条明细!D:D,$C504),0))</f>
      </c>
      <c r="E504" s="156">
        <f>IF(OR($B504="",N(D504)=0),"",ROUND(F504/D504,2))</f>
      </c>
      <c r="F504" s="156">
        <f>IF($B504="","",IFERROR(SUMIFS(存条明细!G:G,存条明细!C:C,$B504,存条明细!D:D,$C504),0))</f>
      </c>
      <c r="G504" s="14">
        <f>IF($B504="","",IFERROR(SUMIFS(出库明细!E:E,出库明细!C:C,$B504,出库明细!D:D,$C504),0))</f>
      </c>
      <c r="H504" s="156">
        <f>IF($B504="","",IFERROR(SUMIFS(出库明细!G:G,出库明细!C:C,$B504,出库明细!D:D,$C504),0))</f>
      </c>
      <c r="I504" s="14">
        <f>IF($B504="","",D504-G504)</f>
      </c>
      <c r="J504" s="156">
        <f>IF($B504="","",F504-H504)</f>
      </c>
      <c r="K504" s="179">
        <f>IF($B504="","",MAX(_xlfn.MAXIFS(存条明细!B:B,存条明细!C:C,$B504,存条明细!D:D,$C504),_xlfn.MAXIFS(出库明细!B:B,出库明细!C:C,$B504,出库明细!D:D,$C504)))</f>
      </c>
    </row>
    <row r="505" ht="15" customHeight="1" s="71">
      <c r="A505" s="14">
        <f>IF(B505="","",ROW()-3)</f>
      </c>
      <c r="B505" s="14">
        <f>IF(_辅助!$B505="","",IF(_辅助!$B505&lt;=1000,INDEX(存条明细!$C$4:$C$1003,_辅助!$B505),INDEX(出库明细!$C$4:$C$3003,_辅助!$B505-1000)))</f>
      </c>
      <c r="C505" s="14">
        <f>IF(_辅助!$B505="","",IF(_辅助!$B505&lt;=1000,INDEX(存条明细!$D$4:$D$1003,_辅助!$B505),INDEX(出库明细!$D$4:$D$3003,_辅助!$B505-1000)))</f>
      </c>
      <c r="D505" s="14">
        <f>IF($B505="","",IFERROR(SUMIFS(存条明细!E:E,存条明细!C:C,$B505,存条明细!D:D,$C505),0))</f>
      </c>
      <c r="E505" s="156">
        <f>IF(OR($B505="",N(D505)=0),"",ROUND(F505/D505,2))</f>
      </c>
      <c r="F505" s="156">
        <f>IF($B505="","",IFERROR(SUMIFS(存条明细!G:G,存条明细!C:C,$B505,存条明细!D:D,$C505),0))</f>
      </c>
      <c r="G505" s="14">
        <f>IF($B505="","",IFERROR(SUMIFS(出库明细!E:E,出库明细!C:C,$B505,出库明细!D:D,$C505),0))</f>
      </c>
      <c r="H505" s="156">
        <f>IF($B505="","",IFERROR(SUMIFS(出库明细!G:G,出库明细!C:C,$B505,出库明细!D:D,$C505),0))</f>
      </c>
      <c r="I505" s="14">
        <f>IF($B505="","",D505-G505)</f>
      </c>
      <c r="J505" s="156">
        <f>IF($B505="","",F505-H505)</f>
      </c>
      <c r="K505" s="179">
        <f>IF($B505="","",MAX(_xlfn.MAXIFS(存条明细!B:B,存条明细!C:C,$B505,存条明细!D:D,$C505),_xlfn.MAXIFS(出库明细!B:B,出库明细!C:C,$B505,出库明细!D:D,$C505)))</f>
      </c>
    </row>
    <row r="506" ht="15" customHeight="1" s="71">
      <c r="A506" s="14">
        <f>IF(B506="","",ROW()-3)</f>
      </c>
      <c r="B506" s="14">
        <f>IF(_辅助!$B506="","",IF(_辅助!$B506&lt;=1000,INDEX(存条明细!$C$4:$C$1003,_辅助!$B506),INDEX(出库明细!$C$4:$C$3003,_辅助!$B506-1000)))</f>
      </c>
      <c r="C506" s="14">
        <f>IF(_辅助!$B506="","",IF(_辅助!$B506&lt;=1000,INDEX(存条明细!$D$4:$D$1003,_辅助!$B506),INDEX(出库明细!$D$4:$D$3003,_辅助!$B506-1000)))</f>
      </c>
      <c r="D506" s="14">
        <f>IF($B506="","",IFERROR(SUMIFS(存条明细!E:E,存条明细!C:C,$B506,存条明细!D:D,$C506),0))</f>
      </c>
      <c r="E506" s="156">
        <f>IF(OR($B506="",N(D506)=0),"",ROUND(F506/D506,2))</f>
      </c>
      <c r="F506" s="156">
        <f>IF($B506="","",IFERROR(SUMIFS(存条明细!G:G,存条明细!C:C,$B506,存条明细!D:D,$C506),0))</f>
      </c>
      <c r="G506" s="14">
        <f>IF($B506="","",IFERROR(SUMIFS(出库明细!E:E,出库明细!C:C,$B506,出库明细!D:D,$C506),0))</f>
      </c>
      <c r="H506" s="156">
        <f>IF($B506="","",IFERROR(SUMIFS(出库明细!G:G,出库明细!C:C,$B506,出库明细!D:D,$C506),0))</f>
      </c>
      <c r="I506" s="14">
        <f>IF($B506="","",D506-G506)</f>
      </c>
      <c r="J506" s="156">
        <f>IF($B506="","",F506-H506)</f>
      </c>
      <c r="K506" s="179">
        <f>IF($B506="","",MAX(_xlfn.MAXIFS(存条明细!B:B,存条明细!C:C,$B506,存条明细!D:D,$C506),_xlfn.MAXIFS(出库明细!B:B,出库明细!C:C,$B506,出库明细!D:D,$C506)))</f>
      </c>
    </row>
    <row r="507" ht="15" customHeight="1" s="71">
      <c r="A507" s="14">
        <f>IF(B507="","",ROW()-3)</f>
      </c>
      <c r="B507" s="14">
        <f>IF(_辅助!$B507="","",IF(_辅助!$B507&lt;=1000,INDEX(存条明细!$C$4:$C$1003,_辅助!$B507),INDEX(出库明细!$C$4:$C$3003,_辅助!$B507-1000)))</f>
      </c>
      <c r="C507" s="14">
        <f>IF(_辅助!$B507="","",IF(_辅助!$B507&lt;=1000,INDEX(存条明细!$D$4:$D$1003,_辅助!$B507),INDEX(出库明细!$D$4:$D$3003,_辅助!$B507-1000)))</f>
      </c>
      <c r="D507" s="14">
        <f>IF($B507="","",IFERROR(SUMIFS(存条明细!E:E,存条明细!C:C,$B507,存条明细!D:D,$C507),0))</f>
      </c>
      <c r="E507" s="156">
        <f>IF(OR($B507="",N(D507)=0),"",ROUND(F507/D507,2))</f>
      </c>
      <c r="F507" s="156">
        <f>IF($B507="","",IFERROR(SUMIFS(存条明细!G:G,存条明细!C:C,$B507,存条明细!D:D,$C507),0))</f>
      </c>
      <c r="G507" s="14">
        <f>IF($B507="","",IFERROR(SUMIFS(出库明细!E:E,出库明细!C:C,$B507,出库明细!D:D,$C507),0))</f>
      </c>
      <c r="H507" s="156">
        <f>IF($B507="","",IFERROR(SUMIFS(出库明细!G:G,出库明细!C:C,$B507,出库明细!D:D,$C507),0))</f>
      </c>
      <c r="I507" s="14">
        <f>IF($B507="","",D507-G507)</f>
      </c>
      <c r="J507" s="156">
        <f>IF($B507="","",F507-H507)</f>
      </c>
      <c r="K507" s="179">
        <f>IF($B507="","",MAX(_xlfn.MAXIFS(存条明细!B:B,存条明细!C:C,$B507,存条明细!D:D,$C507),_xlfn.MAXIFS(出库明细!B:B,出库明细!C:C,$B507,出库明细!D:D,$C507)))</f>
      </c>
    </row>
    <row r="508" ht="15" customHeight="1" s="71">
      <c r="A508" s="14">
        <f>IF(B508="","",ROW()-3)</f>
      </c>
      <c r="B508" s="14">
        <f>IF(_辅助!$B508="","",IF(_辅助!$B508&lt;=1000,INDEX(存条明细!$C$4:$C$1003,_辅助!$B508),INDEX(出库明细!$C$4:$C$3003,_辅助!$B508-1000)))</f>
      </c>
      <c r="C508" s="14">
        <f>IF(_辅助!$B508="","",IF(_辅助!$B508&lt;=1000,INDEX(存条明细!$D$4:$D$1003,_辅助!$B508),INDEX(出库明细!$D$4:$D$3003,_辅助!$B508-1000)))</f>
      </c>
      <c r="D508" s="14">
        <f>IF($B508="","",IFERROR(SUMIFS(存条明细!E:E,存条明细!C:C,$B508,存条明细!D:D,$C508),0))</f>
      </c>
      <c r="E508" s="156">
        <f>IF(OR($B508="",N(D508)=0),"",ROUND(F508/D508,2))</f>
      </c>
      <c r="F508" s="156">
        <f>IF($B508="","",IFERROR(SUMIFS(存条明细!G:G,存条明细!C:C,$B508,存条明细!D:D,$C508),0))</f>
      </c>
      <c r="G508" s="14">
        <f>IF($B508="","",IFERROR(SUMIFS(出库明细!E:E,出库明细!C:C,$B508,出库明细!D:D,$C508),0))</f>
      </c>
      <c r="H508" s="156">
        <f>IF($B508="","",IFERROR(SUMIFS(出库明细!G:G,出库明细!C:C,$B508,出库明细!D:D,$C508),0))</f>
      </c>
      <c r="I508" s="14">
        <f>IF($B508="","",D508-G508)</f>
      </c>
      <c r="J508" s="156">
        <f>IF($B508="","",F508-H508)</f>
      </c>
      <c r="K508" s="179">
        <f>IF($B508="","",MAX(_xlfn.MAXIFS(存条明细!B:B,存条明细!C:C,$B508,存条明细!D:D,$C508),_xlfn.MAXIFS(出库明细!B:B,出库明细!C:C,$B508,出库明细!D:D,$C508)))</f>
      </c>
    </row>
    <row r="509" ht="15" customHeight="1" s="71">
      <c r="A509" s="14">
        <f>IF(B509="","",ROW()-3)</f>
      </c>
      <c r="B509" s="14">
        <f>IF(_辅助!$B509="","",IF(_辅助!$B509&lt;=1000,INDEX(存条明细!$C$4:$C$1003,_辅助!$B509),INDEX(出库明细!$C$4:$C$3003,_辅助!$B509-1000)))</f>
      </c>
      <c r="C509" s="14">
        <f>IF(_辅助!$B509="","",IF(_辅助!$B509&lt;=1000,INDEX(存条明细!$D$4:$D$1003,_辅助!$B509),INDEX(出库明细!$D$4:$D$3003,_辅助!$B509-1000)))</f>
      </c>
      <c r="D509" s="14">
        <f>IF($B509="","",IFERROR(SUMIFS(存条明细!E:E,存条明细!C:C,$B509,存条明细!D:D,$C509),0))</f>
      </c>
      <c r="E509" s="156">
        <f>IF(OR($B509="",N(D509)=0),"",ROUND(F509/D509,2))</f>
      </c>
      <c r="F509" s="156">
        <f>IF($B509="","",IFERROR(SUMIFS(存条明细!G:G,存条明细!C:C,$B509,存条明细!D:D,$C509),0))</f>
      </c>
      <c r="G509" s="14">
        <f>IF($B509="","",IFERROR(SUMIFS(出库明细!E:E,出库明细!C:C,$B509,出库明细!D:D,$C509),0))</f>
      </c>
      <c r="H509" s="156">
        <f>IF($B509="","",IFERROR(SUMIFS(出库明细!G:G,出库明细!C:C,$B509,出库明细!D:D,$C509),0))</f>
      </c>
      <c r="I509" s="14">
        <f>IF($B509="","",D509-G509)</f>
      </c>
      <c r="J509" s="156">
        <f>IF($B509="","",F509-H509)</f>
      </c>
      <c r="K509" s="179">
        <f>IF($B509="","",MAX(_xlfn.MAXIFS(存条明细!B:B,存条明细!C:C,$B509,存条明细!D:D,$C509),_xlfn.MAXIFS(出库明细!B:B,出库明细!C:C,$B509,出库明细!D:D,$C509)))</f>
      </c>
    </row>
    <row r="510" ht="15" customHeight="1" s="71">
      <c r="A510" s="14">
        <f>IF(B510="","",ROW()-3)</f>
      </c>
      <c r="B510" s="14">
        <f>IF(_辅助!$B510="","",IF(_辅助!$B510&lt;=1000,INDEX(存条明细!$C$4:$C$1003,_辅助!$B510),INDEX(出库明细!$C$4:$C$3003,_辅助!$B510-1000)))</f>
      </c>
      <c r="C510" s="14">
        <f>IF(_辅助!$B510="","",IF(_辅助!$B510&lt;=1000,INDEX(存条明细!$D$4:$D$1003,_辅助!$B510),INDEX(出库明细!$D$4:$D$3003,_辅助!$B510-1000)))</f>
      </c>
      <c r="D510" s="14">
        <f>IF($B510="","",IFERROR(SUMIFS(存条明细!E:E,存条明细!C:C,$B510,存条明细!D:D,$C510),0))</f>
      </c>
      <c r="E510" s="156">
        <f>IF(OR($B510="",N(D510)=0),"",ROUND(F510/D510,2))</f>
      </c>
      <c r="F510" s="156">
        <f>IF($B510="","",IFERROR(SUMIFS(存条明细!G:G,存条明细!C:C,$B510,存条明细!D:D,$C510),0))</f>
      </c>
      <c r="G510" s="14">
        <f>IF($B510="","",IFERROR(SUMIFS(出库明细!E:E,出库明细!C:C,$B510,出库明细!D:D,$C510),0))</f>
      </c>
      <c r="H510" s="156">
        <f>IF($B510="","",IFERROR(SUMIFS(出库明细!G:G,出库明细!C:C,$B510,出库明细!D:D,$C510),0))</f>
      </c>
      <c r="I510" s="14">
        <f>IF($B510="","",D510-G510)</f>
      </c>
      <c r="J510" s="156">
        <f>IF($B510="","",F510-H510)</f>
      </c>
      <c r="K510" s="179">
        <f>IF($B510="","",MAX(_xlfn.MAXIFS(存条明细!B:B,存条明细!C:C,$B510,存条明细!D:D,$C510),_xlfn.MAXIFS(出库明细!B:B,出库明细!C:C,$B510,出库明细!D:D,$C510)))</f>
      </c>
    </row>
    <row r="511" ht="15" customHeight="1" s="71">
      <c r="A511" s="14">
        <f>IF(B511="","",ROW()-3)</f>
      </c>
      <c r="B511" s="14">
        <f>IF(_辅助!$B511="","",IF(_辅助!$B511&lt;=1000,INDEX(存条明细!$C$4:$C$1003,_辅助!$B511),INDEX(出库明细!$C$4:$C$3003,_辅助!$B511-1000)))</f>
      </c>
      <c r="C511" s="14">
        <f>IF(_辅助!$B511="","",IF(_辅助!$B511&lt;=1000,INDEX(存条明细!$D$4:$D$1003,_辅助!$B511),INDEX(出库明细!$D$4:$D$3003,_辅助!$B511-1000)))</f>
      </c>
      <c r="D511" s="14">
        <f>IF($B511="","",IFERROR(SUMIFS(存条明细!E:E,存条明细!C:C,$B511,存条明细!D:D,$C511),0))</f>
      </c>
      <c r="E511" s="156">
        <f>IF(OR($B511="",N(D511)=0),"",ROUND(F511/D511,2))</f>
      </c>
      <c r="F511" s="156">
        <f>IF($B511="","",IFERROR(SUMIFS(存条明细!G:G,存条明细!C:C,$B511,存条明细!D:D,$C511),0))</f>
      </c>
      <c r="G511" s="14">
        <f>IF($B511="","",IFERROR(SUMIFS(出库明细!E:E,出库明细!C:C,$B511,出库明细!D:D,$C511),0))</f>
      </c>
      <c r="H511" s="156">
        <f>IF($B511="","",IFERROR(SUMIFS(出库明细!G:G,出库明细!C:C,$B511,出库明细!D:D,$C511),0))</f>
      </c>
      <c r="I511" s="14">
        <f>IF($B511="","",D511-G511)</f>
      </c>
      <c r="J511" s="156">
        <f>IF($B511="","",F511-H511)</f>
      </c>
      <c r="K511" s="179">
        <f>IF($B511="","",MAX(_xlfn.MAXIFS(存条明细!B:B,存条明细!C:C,$B511,存条明细!D:D,$C511),_xlfn.MAXIFS(出库明细!B:B,出库明细!C:C,$B511,出库明细!D:D,$C511)))</f>
      </c>
    </row>
    <row r="512" ht="15" customHeight="1" s="71">
      <c r="A512" s="14">
        <f>IF(B512="","",ROW()-3)</f>
      </c>
      <c r="B512" s="14">
        <f>IF(_辅助!$B512="","",IF(_辅助!$B512&lt;=1000,INDEX(存条明细!$C$4:$C$1003,_辅助!$B512),INDEX(出库明细!$C$4:$C$3003,_辅助!$B512-1000)))</f>
      </c>
      <c r="C512" s="14">
        <f>IF(_辅助!$B512="","",IF(_辅助!$B512&lt;=1000,INDEX(存条明细!$D$4:$D$1003,_辅助!$B512),INDEX(出库明细!$D$4:$D$3003,_辅助!$B512-1000)))</f>
      </c>
      <c r="D512" s="14">
        <f>IF($B512="","",IFERROR(SUMIFS(存条明细!E:E,存条明细!C:C,$B512,存条明细!D:D,$C512),0))</f>
      </c>
      <c r="E512" s="156">
        <f>IF(OR($B512="",N(D512)=0),"",ROUND(F512/D512,2))</f>
      </c>
      <c r="F512" s="156">
        <f>IF($B512="","",IFERROR(SUMIFS(存条明细!G:G,存条明细!C:C,$B512,存条明细!D:D,$C512),0))</f>
      </c>
      <c r="G512" s="14">
        <f>IF($B512="","",IFERROR(SUMIFS(出库明细!E:E,出库明细!C:C,$B512,出库明细!D:D,$C512),0))</f>
      </c>
      <c r="H512" s="156">
        <f>IF($B512="","",IFERROR(SUMIFS(出库明细!G:G,出库明细!C:C,$B512,出库明细!D:D,$C512),0))</f>
      </c>
      <c r="I512" s="14">
        <f>IF($B512="","",D512-G512)</f>
      </c>
      <c r="J512" s="156">
        <f>IF($B512="","",F512-H512)</f>
      </c>
      <c r="K512" s="179">
        <f>IF($B512="","",MAX(_xlfn.MAXIFS(存条明细!B:B,存条明细!C:C,$B512,存条明细!D:D,$C512),_xlfn.MAXIFS(出库明细!B:B,出库明细!C:C,$B512,出库明细!D:D,$C512)))</f>
      </c>
    </row>
    <row r="513" ht="15" customHeight="1" s="71">
      <c r="A513" s="14">
        <f>IF(B513="","",ROW()-3)</f>
      </c>
      <c r="B513" s="14">
        <f>IF(_辅助!$B513="","",IF(_辅助!$B513&lt;=1000,INDEX(存条明细!$C$4:$C$1003,_辅助!$B513),INDEX(出库明细!$C$4:$C$3003,_辅助!$B513-1000)))</f>
      </c>
      <c r="C513" s="14">
        <f>IF(_辅助!$B513="","",IF(_辅助!$B513&lt;=1000,INDEX(存条明细!$D$4:$D$1003,_辅助!$B513),INDEX(出库明细!$D$4:$D$3003,_辅助!$B513-1000)))</f>
      </c>
      <c r="D513" s="14">
        <f>IF($B513="","",IFERROR(SUMIFS(存条明细!E:E,存条明细!C:C,$B513,存条明细!D:D,$C513),0))</f>
      </c>
      <c r="E513" s="156">
        <f>IF(OR($B513="",N(D513)=0),"",ROUND(F513/D513,2))</f>
      </c>
      <c r="F513" s="156">
        <f>IF($B513="","",IFERROR(SUMIFS(存条明细!G:G,存条明细!C:C,$B513,存条明细!D:D,$C513),0))</f>
      </c>
      <c r="G513" s="14">
        <f>IF($B513="","",IFERROR(SUMIFS(出库明细!E:E,出库明细!C:C,$B513,出库明细!D:D,$C513),0))</f>
      </c>
      <c r="H513" s="156">
        <f>IF($B513="","",IFERROR(SUMIFS(出库明细!G:G,出库明细!C:C,$B513,出库明细!D:D,$C513),0))</f>
      </c>
      <c r="I513" s="14">
        <f>IF($B513="","",D513-G513)</f>
      </c>
      <c r="J513" s="156">
        <f>IF($B513="","",F513-H513)</f>
      </c>
      <c r="K513" s="179">
        <f>IF($B513="","",MAX(_xlfn.MAXIFS(存条明细!B:B,存条明细!C:C,$B513,存条明细!D:D,$C513),_xlfn.MAXIFS(出库明细!B:B,出库明细!C:C,$B513,出库明细!D:D,$C513)))</f>
      </c>
    </row>
    <row r="514" ht="15" customHeight="1" s="71">
      <c r="A514" s="14">
        <f>IF(B514="","",ROW()-3)</f>
      </c>
      <c r="B514" s="14">
        <f>IF(_辅助!$B514="","",IF(_辅助!$B514&lt;=1000,INDEX(存条明细!$C$4:$C$1003,_辅助!$B514),INDEX(出库明细!$C$4:$C$3003,_辅助!$B514-1000)))</f>
      </c>
      <c r="C514" s="14">
        <f>IF(_辅助!$B514="","",IF(_辅助!$B514&lt;=1000,INDEX(存条明细!$D$4:$D$1003,_辅助!$B514),INDEX(出库明细!$D$4:$D$3003,_辅助!$B514-1000)))</f>
      </c>
      <c r="D514" s="14">
        <f>IF($B514="","",IFERROR(SUMIFS(存条明细!E:E,存条明细!C:C,$B514,存条明细!D:D,$C514),0))</f>
      </c>
      <c r="E514" s="156">
        <f>IF(OR($B514="",N(D514)=0),"",ROUND(F514/D514,2))</f>
      </c>
      <c r="F514" s="156">
        <f>IF($B514="","",IFERROR(SUMIFS(存条明细!G:G,存条明细!C:C,$B514,存条明细!D:D,$C514),0))</f>
      </c>
      <c r="G514" s="14">
        <f>IF($B514="","",IFERROR(SUMIFS(出库明细!E:E,出库明细!C:C,$B514,出库明细!D:D,$C514),0))</f>
      </c>
      <c r="H514" s="156">
        <f>IF($B514="","",IFERROR(SUMIFS(出库明细!G:G,出库明细!C:C,$B514,出库明细!D:D,$C514),0))</f>
      </c>
      <c r="I514" s="14">
        <f>IF($B514="","",D514-G514)</f>
      </c>
      <c r="J514" s="156">
        <f>IF($B514="","",F514-H514)</f>
      </c>
      <c r="K514" s="179">
        <f>IF($B514="","",MAX(_xlfn.MAXIFS(存条明细!B:B,存条明细!C:C,$B514,存条明细!D:D,$C514),_xlfn.MAXIFS(出库明细!B:B,出库明细!C:C,$B514,出库明细!D:D,$C514)))</f>
      </c>
    </row>
    <row r="515" ht="15" customHeight="1" s="71">
      <c r="A515" s="14">
        <f>IF(B515="","",ROW()-3)</f>
      </c>
      <c r="B515" s="14">
        <f>IF(_辅助!$B515="","",IF(_辅助!$B515&lt;=1000,INDEX(存条明细!$C$4:$C$1003,_辅助!$B515),INDEX(出库明细!$C$4:$C$3003,_辅助!$B515-1000)))</f>
      </c>
      <c r="C515" s="14">
        <f>IF(_辅助!$B515="","",IF(_辅助!$B515&lt;=1000,INDEX(存条明细!$D$4:$D$1003,_辅助!$B515),INDEX(出库明细!$D$4:$D$3003,_辅助!$B515-1000)))</f>
      </c>
      <c r="D515" s="14">
        <f>IF($B515="","",IFERROR(SUMIFS(存条明细!E:E,存条明细!C:C,$B515,存条明细!D:D,$C515),0))</f>
      </c>
      <c r="E515" s="156">
        <f>IF(OR($B515="",N(D515)=0),"",ROUND(F515/D515,2))</f>
      </c>
      <c r="F515" s="156">
        <f>IF($B515="","",IFERROR(SUMIFS(存条明细!G:G,存条明细!C:C,$B515,存条明细!D:D,$C515),0))</f>
      </c>
      <c r="G515" s="14">
        <f>IF($B515="","",IFERROR(SUMIFS(出库明细!E:E,出库明细!C:C,$B515,出库明细!D:D,$C515),0))</f>
      </c>
      <c r="H515" s="156">
        <f>IF($B515="","",IFERROR(SUMIFS(出库明细!G:G,出库明细!C:C,$B515,出库明细!D:D,$C515),0))</f>
      </c>
      <c r="I515" s="14">
        <f>IF($B515="","",D515-G515)</f>
      </c>
      <c r="J515" s="156">
        <f>IF($B515="","",F515-H515)</f>
      </c>
      <c r="K515" s="179">
        <f>IF($B515="","",MAX(_xlfn.MAXIFS(存条明细!B:B,存条明细!C:C,$B515,存条明细!D:D,$C515),_xlfn.MAXIFS(出库明细!B:B,出库明细!C:C,$B515,出库明细!D:D,$C515)))</f>
      </c>
    </row>
    <row r="516" ht="15" customHeight="1" s="71">
      <c r="A516" s="14">
        <f>IF(B516="","",ROW()-3)</f>
      </c>
      <c r="B516" s="14">
        <f>IF(_辅助!$B516="","",IF(_辅助!$B516&lt;=1000,INDEX(存条明细!$C$4:$C$1003,_辅助!$B516),INDEX(出库明细!$C$4:$C$3003,_辅助!$B516-1000)))</f>
      </c>
      <c r="C516" s="14">
        <f>IF(_辅助!$B516="","",IF(_辅助!$B516&lt;=1000,INDEX(存条明细!$D$4:$D$1003,_辅助!$B516),INDEX(出库明细!$D$4:$D$3003,_辅助!$B516-1000)))</f>
      </c>
      <c r="D516" s="14">
        <f>IF($B516="","",IFERROR(SUMIFS(存条明细!E:E,存条明细!C:C,$B516,存条明细!D:D,$C516),0))</f>
      </c>
      <c r="E516" s="156">
        <f>IF(OR($B516="",N(D516)=0),"",ROUND(F516/D516,2))</f>
      </c>
      <c r="F516" s="156">
        <f>IF($B516="","",IFERROR(SUMIFS(存条明细!G:G,存条明细!C:C,$B516,存条明细!D:D,$C516),0))</f>
      </c>
      <c r="G516" s="14">
        <f>IF($B516="","",IFERROR(SUMIFS(出库明细!E:E,出库明细!C:C,$B516,出库明细!D:D,$C516),0))</f>
      </c>
      <c r="H516" s="156">
        <f>IF($B516="","",IFERROR(SUMIFS(出库明细!G:G,出库明细!C:C,$B516,出库明细!D:D,$C516),0))</f>
      </c>
      <c r="I516" s="14">
        <f>IF($B516="","",D516-G516)</f>
      </c>
      <c r="J516" s="156">
        <f>IF($B516="","",F516-H516)</f>
      </c>
      <c r="K516" s="179">
        <f>IF($B516="","",MAX(_xlfn.MAXIFS(存条明细!B:B,存条明细!C:C,$B516,存条明细!D:D,$C516),_xlfn.MAXIFS(出库明细!B:B,出库明细!C:C,$B516,出库明细!D:D,$C516)))</f>
      </c>
    </row>
    <row r="517" ht="15" customHeight="1" s="71">
      <c r="A517" s="14">
        <f>IF(B517="","",ROW()-3)</f>
      </c>
      <c r="B517" s="14">
        <f>IF(_辅助!$B517="","",IF(_辅助!$B517&lt;=1000,INDEX(存条明细!$C$4:$C$1003,_辅助!$B517),INDEX(出库明细!$C$4:$C$3003,_辅助!$B517-1000)))</f>
      </c>
      <c r="C517" s="14">
        <f>IF(_辅助!$B517="","",IF(_辅助!$B517&lt;=1000,INDEX(存条明细!$D$4:$D$1003,_辅助!$B517),INDEX(出库明细!$D$4:$D$3003,_辅助!$B517-1000)))</f>
      </c>
      <c r="D517" s="14">
        <f>IF($B517="","",IFERROR(SUMIFS(存条明细!E:E,存条明细!C:C,$B517,存条明细!D:D,$C517),0))</f>
      </c>
      <c r="E517" s="156">
        <f>IF(OR($B517="",N(D517)=0),"",ROUND(F517/D517,2))</f>
      </c>
      <c r="F517" s="156">
        <f>IF($B517="","",IFERROR(SUMIFS(存条明细!G:G,存条明细!C:C,$B517,存条明细!D:D,$C517),0))</f>
      </c>
      <c r="G517" s="14">
        <f>IF($B517="","",IFERROR(SUMIFS(出库明细!E:E,出库明细!C:C,$B517,出库明细!D:D,$C517),0))</f>
      </c>
      <c r="H517" s="156">
        <f>IF($B517="","",IFERROR(SUMIFS(出库明细!G:G,出库明细!C:C,$B517,出库明细!D:D,$C517),0))</f>
      </c>
      <c r="I517" s="14">
        <f>IF($B517="","",D517-G517)</f>
      </c>
      <c r="J517" s="156">
        <f>IF($B517="","",F517-H517)</f>
      </c>
      <c r="K517" s="179">
        <f>IF($B517="","",MAX(_xlfn.MAXIFS(存条明细!B:B,存条明细!C:C,$B517,存条明细!D:D,$C517),_xlfn.MAXIFS(出库明细!B:B,出库明细!C:C,$B517,出库明细!D:D,$C517)))</f>
      </c>
    </row>
    <row r="518" ht="15" customHeight="1" s="71">
      <c r="A518" s="14">
        <f>IF(B518="","",ROW()-3)</f>
      </c>
      <c r="B518" s="14">
        <f>IF(_辅助!$B518="","",IF(_辅助!$B518&lt;=1000,INDEX(存条明细!$C$4:$C$1003,_辅助!$B518),INDEX(出库明细!$C$4:$C$3003,_辅助!$B518-1000)))</f>
      </c>
      <c r="C518" s="14">
        <f>IF(_辅助!$B518="","",IF(_辅助!$B518&lt;=1000,INDEX(存条明细!$D$4:$D$1003,_辅助!$B518),INDEX(出库明细!$D$4:$D$3003,_辅助!$B518-1000)))</f>
      </c>
      <c r="D518" s="14">
        <f>IF($B518="","",IFERROR(SUMIFS(存条明细!E:E,存条明细!C:C,$B518,存条明细!D:D,$C518),0))</f>
      </c>
      <c r="E518" s="156">
        <f>IF(OR($B518="",N(D518)=0),"",ROUND(F518/D518,2))</f>
      </c>
      <c r="F518" s="156">
        <f>IF($B518="","",IFERROR(SUMIFS(存条明细!G:G,存条明细!C:C,$B518,存条明细!D:D,$C518),0))</f>
      </c>
      <c r="G518" s="14">
        <f>IF($B518="","",IFERROR(SUMIFS(出库明细!E:E,出库明细!C:C,$B518,出库明细!D:D,$C518),0))</f>
      </c>
      <c r="H518" s="156">
        <f>IF($B518="","",IFERROR(SUMIFS(出库明细!G:G,出库明细!C:C,$B518,出库明细!D:D,$C518),0))</f>
      </c>
      <c r="I518" s="14">
        <f>IF($B518="","",D518-G518)</f>
      </c>
      <c r="J518" s="156">
        <f>IF($B518="","",F518-H518)</f>
      </c>
      <c r="K518" s="179">
        <f>IF($B518="","",MAX(_xlfn.MAXIFS(存条明细!B:B,存条明细!C:C,$B518,存条明细!D:D,$C518),_xlfn.MAXIFS(出库明细!B:B,出库明细!C:C,$B518,出库明细!D:D,$C518)))</f>
      </c>
    </row>
    <row r="519" ht="15" customHeight="1" s="71">
      <c r="A519" s="14">
        <f>IF(B519="","",ROW()-3)</f>
      </c>
      <c r="B519" s="14">
        <f>IF(_辅助!$B519="","",IF(_辅助!$B519&lt;=1000,INDEX(存条明细!$C$4:$C$1003,_辅助!$B519),INDEX(出库明细!$C$4:$C$3003,_辅助!$B519-1000)))</f>
      </c>
      <c r="C519" s="14">
        <f>IF(_辅助!$B519="","",IF(_辅助!$B519&lt;=1000,INDEX(存条明细!$D$4:$D$1003,_辅助!$B519),INDEX(出库明细!$D$4:$D$3003,_辅助!$B519-1000)))</f>
      </c>
      <c r="D519" s="14">
        <f>IF($B519="","",IFERROR(SUMIFS(存条明细!E:E,存条明细!C:C,$B519,存条明细!D:D,$C519),0))</f>
      </c>
      <c r="E519" s="156">
        <f>IF(OR($B519="",N(D519)=0),"",ROUND(F519/D519,2))</f>
      </c>
      <c r="F519" s="156">
        <f>IF($B519="","",IFERROR(SUMIFS(存条明细!G:G,存条明细!C:C,$B519,存条明细!D:D,$C519),0))</f>
      </c>
      <c r="G519" s="14">
        <f>IF($B519="","",IFERROR(SUMIFS(出库明细!E:E,出库明细!C:C,$B519,出库明细!D:D,$C519),0))</f>
      </c>
      <c r="H519" s="156">
        <f>IF($B519="","",IFERROR(SUMIFS(出库明细!G:G,出库明细!C:C,$B519,出库明细!D:D,$C519),0))</f>
      </c>
      <c r="I519" s="14">
        <f>IF($B519="","",D519-G519)</f>
      </c>
      <c r="J519" s="156">
        <f>IF($B519="","",F519-H519)</f>
      </c>
      <c r="K519" s="179">
        <f>IF($B519="","",MAX(_xlfn.MAXIFS(存条明细!B:B,存条明细!C:C,$B519,存条明细!D:D,$C519),_xlfn.MAXIFS(出库明细!B:B,出库明细!C:C,$B519,出库明细!D:D,$C519)))</f>
      </c>
    </row>
    <row r="520" ht="15" customHeight="1" s="71">
      <c r="A520" s="14">
        <f>IF(B520="","",ROW()-3)</f>
      </c>
      <c r="B520" s="14">
        <f>IF(_辅助!$B520="","",IF(_辅助!$B520&lt;=1000,INDEX(存条明细!$C$4:$C$1003,_辅助!$B520),INDEX(出库明细!$C$4:$C$3003,_辅助!$B520-1000)))</f>
      </c>
      <c r="C520" s="14">
        <f>IF(_辅助!$B520="","",IF(_辅助!$B520&lt;=1000,INDEX(存条明细!$D$4:$D$1003,_辅助!$B520),INDEX(出库明细!$D$4:$D$3003,_辅助!$B520-1000)))</f>
      </c>
      <c r="D520" s="14">
        <f>IF($B520="","",IFERROR(SUMIFS(存条明细!E:E,存条明细!C:C,$B520,存条明细!D:D,$C520),0))</f>
      </c>
      <c r="E520" s="156">
        <f>IF(OR($B520="",N(D520)=0),"",ROUND(F520/D520,2))</f>
      </c>
      <c r="F520" s="156">
        <f>IF($B520="","",IFERROR(SUMIFS(存条明细!G:G,存条明细!C:C,$B520,存条明细!D:D,$C520),0))</f>
      </c>
      <c r="G520" s="14">
        <f>IF($B520="","",IFERROR(SUMIFS(出库明细!E:E,出库明细!C:C,$B520,出库明细!D:D,$C520),0))</f>
      </c>
      <c r="H520" s="156">
        <f>IF($B520="","",IFERROR(SUMIFS(出库明细!G:G,出库明细!C:C,$B520,出库明细!D:D,$C520),0))</f>
      </c>
      <c r="I520" s="14">
        <f>IF($B520="","",D520-G520)</f>
      </c>
      <c r="J520" s="156">
        <f>IF($B520="","",F520-H520)</f>
      </c>
      <c r="K520" s="179">
        <f>IF($B520="","",MAX(_xlfn.MAXIFS(存条明细!B:B,存条明细!C:C,$B520,存条明细!D:D,$C520),_xlfn.MAXIFS(出库明细!B:B,出库明细!C:C,$B520,出库明细!D:D,$C520)))</f>
      </c>
    </row>
    <row r="521" ht="15" customHeight="1" s="71">
      <c r="A521" s="14">
        <f>IF(B521="","",ROW()-3)</f>
      </c>
      <c r="B521" s="14">
        <f>IF(_辅助!$B521="","",IF(_辅助!$B521&lt;=1000,INDEX(存条明细!$C$4:$C$1003,_辅助!$B521),INDEX(出库明细!$C$4:$C$3003,_辅助!$B521-1000)))</f>
      </c>
      <c r="C521" s="14">
        <f>IF(_辅助!$B521="","",IF(_辅助!$B521&lt;=1000,INDEX(存条明细!$D$4:$D$1003,_辅助!$B521),INDEX(出库明细!$D$4:$D$3003,_辅助!$B521-1000)))</f>
      </c>
      <c r="D521" s="14">
        <f>IF($B521="","",IFERROR(SUMIFS(存条明细!E:E,存条明细!C:C,$B521,存条明细!D:D,$C521),0))</f>
      </c>
      <c r="E521" s="156">
        <f>IF(OR($B521="",N(D521)=0),"",ROUND(F521/D521,2))</f>
      </c>
      <c r="F521" s="156">
        <f>IF($B521="","",IFERROR(SUMIFS(存条明细!G:G,存条明细!C:C,$B521,存条明细!D:D,$C521),0))</f>
      </c>
      <c r="G521" s="14">
        <f>IF($B521="","",IFERROR(SUMIFS(出库明细!E:E,出库明细!C:C,$B521,出库明细!D:D,$C521),0))</f>
      </c>
      <c r="H521" s="156">
        <f>IF($B521="","",IFERROR(SUMIFS(出库明细!G:G,出库明细!C:C,$B521,出库明细!D:D,$C521),0))</f>
      </c>
      <c r="I521" s="14">
        <f>IF($B521="","",D521-G521)</f>
      </c>
      <c r="J521" s="156">
        <f>IF($B521="","",F521-H521)</f>
      </c>
      <c r="K521" s="179">
        <f>IF($B521="","",MAX(_xlfn.MAXIFS(存条明细!B:B,存条明细!C:C,$B521,存条明细!D:D,$C521),_xlfn.MAXIFS(出库明细!B:B,出库明细!C:C,$B521,出库明细!D:D,$C521)))</f>
      </c>
    </row>
    <row r="522" ht="15" customHeight="1" s="71">
      <c r="A522" s="14">
        <f>IF(B522="","",ROW()-3)</f>
      </c>
      <c r="B522" s="14">
        <f>IF(_辅助!$B522="","",IF(_辅助!$B522&lt;=1000,INDEX(存条明细!$C$4:$C$1003,_辅助!$B522),INDEX(出库明细!$C$4:$C$3003,_辅助!$B522-1000)))</f>
      </c>
      <c r="C522" s="14">
        <f>IF(_辅助!$B522="","",IF(_辅助!$B522&lt;=1000,INDEX(存条明细!$D$4:$D$1003,_辅助!$B522),INDEX(出库明细!$D$4:$D$3003,_辅助!$B522-1000)))</f>
      </c>
      <c r="D522" s="14">
        <f>IF($B522="","",IFERROR(SUMIFS(存条明细!E:E,存条明细!C:C,$B522,存条明细!D:D,$C522),0))</f>
      </c>
      <c r="E522" s="156">
        <f>IF(OR($B522="",N(D522)=0),"",ROUND(F522/D522,2))</f>
      </c>
      <c r="F522" s="156">
        <f>IF($B522="","",IFERROR(SUMIFS(存条明细!G:G,存条明细!C:C,$B522,存条明细!D:D,$C522),0))</f>
      </c>
      <c r="G522" s="14">
        <f>IF($B522="","",IFERROR(SUMIFS(出库明细!E:E,出库明细!C:C,$B522,出库明细!D:D,$C522),0))</f>
      </c>
      <c r="H522" s="156">
        <f>IF($B522="","",IFERROR(SUMIFS(出库明细!G:G,出库明细!C:C,$B522,出库明细!D:D,$C522),0))</f>
      </c>
      <c r="I522" s="14">
        <f>IF($B522="","",D522-G522)</f>
      </c>
      <c r="J522" s="156">
        <f>IF($B522="","",F522-H522)</f>
      </c>
      <c r="K522" s="179">
        <f>IF($B522="","",MAX(_xlfn.MAXIFS(存条明细!B:B,存条明细!C:C,$B522,存条明细!D:D,$C522),_xlfn.MAXIFS(出库明细!B:B,出库明细!C:C,$B522,出库明细!D:D,$C522)))</f>
      </c>
    </row>
    <row r="523" ht="15" customHeight="1" s="71">
      <c r="A523" s="14">
        <f>IF(B523="","",ROW()-3)</f>
      </c>
      <c r="B523" s="14">
        <f>IF(_辅助!$B523="","",IF(_辅助!$B523&lt;=1000,INDEX(存条明细!$C$4:$C$1003,_辅助!$B523),INDEX(出库明细!$C$4:$C$3003,_辅助!$B523-1000)))</f>
      </c>
      <c r="C523" s="14">
        <f>IF(_辅助!$B523="","",IF(_辅助!$B523&lt;=1000,INDEX(存条明细!$D$4:$D$1003,_辅助!$B523),INDEX(出库明细!$D$4:$D$3003,_辅助!$B523-1000)))</f>
      </c>
      <c r="D523" s="14">
        <f>IF($B523="","",IFERROR(SUMIFS(存条明细!E:E,存条明细!C:C,$B523,存条明细!D:D,$C523),0))</f>
      </c>
      <c r="E523" s="156">
        <f>IF(OR($B523="",N(D523)=0),"",ROUND(F523/D523,2))</f>
      </c>
      <c r="F523" s="156">
        <f>IF($B523="","",IFERROR(SUMIFS(存条明细!G:G,存条明细!C:C,$B523,存条明细!D:D,$C523),0))</f>
      </c>
      <c r="G523" s="14">
        <f>IF($B523="","",IFERROR(SUMIFS(出库明细!E:E,出库明细!C:C,$B523,出库明细!D:D,$C523),0))</f>
      </c>
      <c r="H523" s="156">
        <f>IF($B523="","",IFERROR(SUMIFS(出库明细!G:G,出库明细!C:C,$B523,出库明细!D:D,$C523),0))</f>
      </c>
      <c r="I523" s="14">
        <f>IF($B523="","",D523-G523)</f>
      </c>
      <c r="J523" s="156">
        <f>IF($B523="","",F523-H523)</f>
      </c>
      <c r="K523" s="179">
        <f>IF($B523="","",MAX(_xlfn.MAXIFS(存条明细!B:B,存条明细!C:C,$B523,存条明细!D:D,$C523),_xlfn.MAXIFS(出库明细!B:B,出库明细!C:C,$B523,出库明细!D:D,$C523)))</f>
      </c>
    </row>
    <row r="524" ht="15" customHeight="1" s="71">
      <c r="A524" s="14">
        <f>IF(B524="","",ROW()-3)</f>
      </c>
      <c r="B524" s="14">
        <f>IF(_辅助!$B524="","",IF(_辅助!$B524&lt;=1000,INDEX(存条明细!$C$4:$C$1003,_辅助!$B524),INDEX(出库明细!$C$4:$C$3003,_辅助!$B524-1000)))</f>
      </c>
      <c r="C524" s="14">
        <f>IF(_辅助!$B524="","",IF(_辅助!$B524&lt;=1000,INDEX(存条明细!$D$4:$D$1003,_辅助!$B524),INDEX(出库明细!$D$4:$D$3003,_辅助!$B524-1000)))</f>
      </c>
      <c r="D524" s="14">
        <f>IF($B524="","",IFERROR(SUMIFS(存条明细!E:E,存条明细!C:C,$B524,存条明细!D:D,$C524),0))</f>
      </c>
      <c r="E524" s="156">
        <f>IF(OR($B524="",N(D524)=0),"",ROUND(F524/D524,2))</f>
      </c>
      <c r="F524" s="156">
        <f>IF($B524="","",IFERROR(SUMIFS(存条明细!G:G,存条明细!C:C,$B524,存条明细!D:D,$C524),0))</f>
      </c>
      <c r="G524" s="14">
        <f>IF($B524="","",IFERROR(SUMIFS(出库明细!E:E,出库明细!C:C,$B524,出库明细!D:D,$C524),0))</f>
      </c>
      <c r="H524" s="156">
        <f>IF($B524="","",IFERROR(SUMIFS(出库明细!G:G,出库明细!C:C,$B524,出库明细!D:D,$C524),0))</f>
      </c>
      <c r="I524" s="14">
        <f>IF($B524="","",D524-G524)</f>
      </c>
      <c r="J524" s="156">
        <f>IF($B524="","",F524-H524)</f>
      </c>
      <c r="K524" s="179">
        <f>IF($B524="","",MAX(_xlfn.MAXIFS(存条明细!B:B,存条明细!C:C,$B524,存条明细!D:D,$C524),_xlfn.MAXIFS(出库明细!B:B,出库明细!C:C,$B524,出库明细!D:D,$C524)))</f>
      </c>
    </row>
    <row r="525" ht="15" customHeight="1" s="71">
      <c r="A525" s="14">
        <f>IF(B525="","",ROW()-3)</f>
      </c>
      <c r="B525" s="14">
        <f>IF(_辅助!$B525="","",IF(_辅助!$B525&lt;=1000,INDEX(存条明细!$C$4:$C$1003,_辅助!$B525),INDEX(出库明细!$C$4:$C$3003,_辅助!$B525-1000)))</f>
      </c>
      <c r="C525" s="14">
        <f>IF(_辅助!$B525="","",IF(_辅助!$B525&lt;=1000,INDEX(存条明细!$D$4:$D$1003,_辅助!$B525),INDEX(出库明细!$D$4:$D$3003,_辅助!$B525-1000)))</f>
      </c>
      <c r="D525" s="14">
        <f>IF($B525="","",IFERROR(SUMIFS(存条明细!E:E,存条明细!C:C,$B525,存条明细!D:D,$C525),0))</f>
      </c>
      <c r="E525" s="156">
        <f>IF(OR($B525="",N(D525)=0),"",ROUND(F525/D525,2))</f>
      </c>
      <c r="F525" s="156">
        <f>IF($B525="","",IFERROR(SUMIFS(存条明细!G:G,存条明细!C:C,$B525,存条明细!D:D,$C525),0))</f>
      </c>
      <c r="G525" s="14">
        <f>IF($B525="","",IFERROR(SUMIFS(出库明细!E:E,出库明细!C:C,$B525,出库明细!D:D,$C525),0))</f>
      </c>
      <c r="H525" s="156">
        <f>IF($B525="","",IFERROR(SUMIFS(出库明细!G:G,出库明细!C:C,$B525,出库明细!D:D,$C525),0))</f>
      </c>
      <c r="I525" s="14">
        <f>IF($B525="","",D525-G525)</f>
      </c>
      <c r="J525" s="156">
        <f>IF($B525="","",F525-H525)</f>
      </c>
      <c r="K525" s="179">
        <f>IF($B525="","",MAX(_xlfn.MAXIFS(存条明细!B:B,存条明细!C:C,$B525,存条明细!D:D,$C525),_xlfn.MAXIFS(出库明细!B:B,出库明细!C:C,$B525,出库明细!D:D,$C525)))</f>
      </c>
    </row>
    <row r="526" ht="15" customHeight="1" s="71">
      <c r="A526" s="14">
        <f>IF(B526="","",ROW()-3)</f>
      </c>
      <c r="B526" s="14">
        <f>IF(_辅助!$B526="","",IF(_辅助!$B526&lt;=1000,INDEX(存条明细!$C$4:$C$1003,_辅助!$B526),INDEX(出库明细!$C$4:$C$3003,_辅助!$B526-1000)))</f>
      </c>
      <c r="C526" s="14">
        <f>IF(_辅助!$B526="","",IF(_辅助!$B526&lt;=1000,INDEX(存条明细!$D$4:$D$1003,_辅助!$B526),INDEX(出库明细!$D$4:$D$3003,_辅助!$B526-1000)))</f>
      </c>
      <c r="D526" s="14">
        <f>IF($B526="","",IFERROR(SUMIFS(存条明细!E:E,存条明细!C:C,$B526,存条明细!D:D,$C526),0))</f>
      </c>
      <c r="E526" s="156">
        <f>IF(OR($B526="",N(D526)=0),"",ROUND(F526/D526,2))</f>
      </c>
      <c r="F526" s="156">
        <f>IF($B526="","",IFERROR(SUMIFS(存条明细!G:G,存条明细!C:C,$B526,存条明细!D:D,$C526),0))</f>
      </c>
      <c r="G526" s="14">
        <f>IF($B526="","",IFERROR(SUMIFS(出库明细!E:E,出库明细!C:C,$B526,出库明细!D:D,$C526),0))</f>
      </c>
      <c r="H526" s="156">
        <f>IF($B526="","",IFERROR(SUMIFS(出库明细!G:G,出库明细!C:C,$B526,出库明细!D:D,$C526),0))</f>
      </c>
      <c r="I526" s="14">
        <f>IF($B526="","",D526-G526)</f>
      </c>
      <c r="J526" s="156">
        <f>IF($B526="","",F526-H526)</f>
      </c>
      <c r="K526" s="179">
        <f>IF($B526="","",MAX(_xlfn.MAXIFS(存条明细!B:B,存条明细!C:C,$B526,存条明细!D:D,$C526),_xlfn.MAXIFS(出库明细!B:B,出库明细!C:C,$B526,出库明细!D:D,$C526)))</f>
      </c>
    </row>
    <row r="527" ht="15" customHeight="1" s="71">
      <c r="A527" s="14">
        <f>IF(B527="","",ROW()-3)</f>
      </c>
      <c r="B527" s="14">
        <f>IF(_辅助!$B527="","",IF(_辅助!$B527&lt;=1000,INDEX(存条明细!$C$4:$C$1003,_辅助!$B527),INDEX(出库明细!$C$4:$C$3003,_辅助!$B527-1000)))</f>
      </c>
      <c r="C527" s="14">
        <f>IF(_辅助!$B527="","",IF(_辅助!$B527&lt;=1000,INDEX(存条明细!$D$4:$D$1003,_辅助!$B527),INDEX(出库明细!$D$4:$D$3003,_辅助!$B527-1000)))</f>
      </c>
      <c r="D527" s="14">
        <f>IF($B527="","",IFERROR(SUMIFS(存条明细!E:E,存条明细!C:C,$B527,存条明细!D:D,$C527),0))</f>
      </c>
      <c r="E527" s="156">
        <f>IF(OR($B527="",N(D527)=0),"",ROUND(F527/D527,2))</f>
      </c>
      <c r="F527" s="156">
        <f>IF($B527="","",IFERROR(SUMIFS(存条明细!G:G,存条明细!C:C,$B527,存条明细!D:D,$C527),0))</f>
      </c>
      <c r="G527" s="14">
        <f>IF($B527="","",IFERROR(SUMIFS(出库明细!E:E,出库明细!C:C,$B527,出库明细!D:D,$C527),0))</f>
      </c>
      <c r="H527" s="156">
        <f>IF($B527="","",IFERROR(SUMIFS(出库明细!G:G,出库明细!C:C,$B527,出库明细!D:D,$C527),0))</f>
      </c>
      <c r="I527" s="14">
        <f>IF($B527="","",D527-G527)</f>
      </c>
      <c r="J527" s="156">
        <f>IF($B527="","",F527-H527)</f>
      </c>
      <c r="K527" s="179">
        <f>IF($B527="","",MAX(_xlfn.MAXIFS(存条明细!B:B,存条明细!C:C,$B527,存条明细!D:D,$C527),_xlfn.MAXIFS(出库明细!B:B,出库明细!C:C,$B527,出库明细!D:D,$C527)))</f>
      </c>
    </row>
    <row r="528" ht="15" customHeight="1" s="71">
      <c r="A528" s="14">
        <f>IF(B528="","",ROW()-3)</f>
      </c>
      <c r="B528" s="14">
        <f>IF(_辅助!$B528="","",IF(_辅助!$B528&lt;=1000,INDEX(存条明细!$C$4:$C$1003,_辅助!$B528),INDEX(出库明细!$C$4:$C$3003,_辅助!$B528-1000)))</f>
      </c>
      <c r="C528" s="14">
        <f>IF(_辅助!$B528="","",IF(_辅助!$B528&lt;=1000,INDEX(存条明细!$D$4:$D$1003,_辅助!$B528),INDEX(出库明细!$D$4:$D$3003,_辅助!$B528-1000)))</f>
      </c>
      <c r="D528" s="14">
        <f>IF($B528="","",IFERROR(SUMIFS(存条明细!E:E,存条明细!C:C,$B528,存条明细!D:D,$C528),0))</f>
      </c>
      <c r="E528" s="156">
        <f>IF(OR($B528="",N(D528)=0),"",ROUND(F528/D528,2))</f>
      </c>
      <c r="F528" s="156">
        <f>IF($B528="","",IFERROR(SUMIFS(存条明细!G:G,存条明细!C:C,$B528,存条明细!D:D,$C528),0))</f>
      </c>
      <c r="G528" s="14">
        <f>IF($B528="","",IFERROR(SUMIFS(出库明细!E:E,出库明细!C:C,$B528,出库明细!D:D,$C528),0))</f>
      </c>
      <c r="H528" s="156">
        <f>IF($B528="","",IFERROR(SUMIFS(出库明细!G:G,出库明细!C:C,$B528,出库明细!D:D,$C528),0))</f>
      </c>
      <c r="I528" s="14">
        <f>IF($B528="","",D528-G528)</f>
      </c>
      <c r="J528" s="156">
        <f>IF($B528="","",F528-H528)</f>
      </c>
      <c r="K528" s="179">
        <f>IF($B528="","",MAX(_xlfn.MAXIFS(存条明细!B:B,存条明细!C:C,$B528,存条明细!D:D,$C528),_xlfn.MAXIFS(出库明细!B:B,出库明细!C:C,$B528,出库明细!D:D,$C528)))</f>
      </c>
    </row>
    <row r="529" ht="15" customHeight="1" s="71">
      <c r="A529" s="14">
        <f>IF(B529="","",ROW()-3)</f>
      </c>
      <c r="B529" s="14">
        <f>IF(_辅助!$B529="","",IF(_辅助!$B529&lt;=1000,INDEX(存条明细!$C$4:$C$1003,_辅助!$B529),INDEX(出库明细!$C$4:$C$3003,_辅助!$B529-1000)))</f>
      </c>
      <c r="C529" s="14">
        <f>IF(_辅助!$B529="","",IF(_辅助!$B529&lt;=1000,INDEX(存条明细!$D$4:$D$1003,_辅助!$B529),INDEX(出库明细!$D$4:$D$3003,_辅助!$B529-1000)))</f>
      </c>
      <c r="D529" s="14">
        <f>IF($B529="","",IFERROR(SUMIFS(存条明细!E:E,存条明细!C:C,$B529,存条明细!D:D,$C529),0))</f>
      </c>
      <c r="E529" s="156">
        <f>IF(OR($B529="",N(D529)=0),"",ROUND(F529/D529,2))</f>
      </c>
      <c r="F529" s="156">
        <f>IF($B529="","",IFERROR(SUMIFS(存条明细!G:G,存条明细!C:C,$B529,存条明细!D:D,$C529),0))</f>
      </c>
      <c r="G529" s="14">
        <f>IF($B529="","",IFERROR(SUMIFS(出库明细!E:E,出库明细!C:C,$B529,出库明细!D:D,$C529),0))</f>
      </c>
      <c r="H529" s="156">
        <f>IF($B529="","",IFERROR(SUMIFS(出库明细!G:G,出库明细!C:C,$B529,出库明细!D:D,$C529),0))</f>
      </c>
      <c r="I529" s="14">
        <f>IF($B529="","",D529-G529)</f>
      </c>
      <c r="J529" s="156">
        <f>IF($B529="","",F529-H529)</f>
      </c>
      <c r="K529" s="179">
        <f>IF($B529="","",MAX(_xlfn.MAXIFS(存条明细!B:B,存条明细!C:C,$B529,存条明细!D:D,$C529),_xlfn.MAXIFS(出库明细!B:B,出库明细!C:C,$B529,出库明细!D:D,$C529)))</f>
      </c>
    </row>
    <row r="530" ht="15" customHeight="1" s="71">
      <c r="A530" s="14">
        <f>IF(B530="","",ROW()-3)</f>
      </c>
      <c r="B530" s="14">
        <f>IF(_辅助!$B530="","",IF(_辅助!$B530&lt;=1000,INDEX(存条明细!$C$4:$C$1003,_辅助!$B530),INDEX(出库明细!$C$4:$C$3003,_辅助!$B530-1000)))</f>
      </c>
      <c r="C530" s="14">
        <f>IF(_辅助!$B530="","",IF(_辅助!$B530&lt;=1000,INDEX(存条明细!$D$4:$D$1003,_辅助!$B530),INDEX(出库明细!$D$4:$D$3003,_辅助!$B530-1000)))</f>
      </c>
      <c r="D530" s="14">
        <f>IF($B530="","",IFERROR(SUMIFS(存条明细!E:E,存条明细!C:C,$B530,存条明细!D:D,$C530),0))</f>
      </c>
      <c r="E530" s="156">
        <f>IF(OR($B530="",N(D530)=0),"",ROUND(F530/D530,2))</f>
      </c>
      <c r="F530" s="156">
        <f>IF($B530="","",IFERROR(SUMIFS(存条明细!G:G,存条明细!C:C,$B530,存条明细!D:D,$C530),0))</f>
      </c>
      <c r="G530" s="14">
        <f>IF($B530="","",IFERROR(SUMIFS(出库明细!E:E,出库明细!C:C,$B530,出库明细!D:D,$C530),0))</f>
      </c>
      <c r="H530" s="156">
        <f>IF($B530="","",IFERROR(SUMIFS(出库明细!G:G,出库明细!C:C,$B530,出库明细!D:D,$C530),0))</f>
      </c>
      <c r="I530" s="14">
        <f>IF($B530="","",D530-G530)</f>
      </c>
      <c r="J530" s="156">
        <f>IF($B530="","",F530-H530)</f>
      </c>
      <c r="K530" s="179">
        <f>IF($B530="","",MAX(_xlfn.MAXIFS(存条明细!B:B,存条明细!C:C,$B530,存条明细!D:D,$C530),_xlfn.MAXIFS(出库明细!B:B,出库明细!C:C,$B530,出库明细!D:D,$C530)))</f>
      </c>
    </row>
    <row r="531" ht="15" customHeight="1" s="71">
      <c r="A531" s="14">
        <f>IF(B531="","",ROW()-3)</f>
      </c>
      <c r="B531" s="14">
        <f>IF(_辅助!$B531="","",IF(_辅助!$B531&lt;=1000,INDEX(存条明细!$C$4:$C$1003,_辅助!$B531),INDEX(出库明细!$C$4:$C$3003,_辅助!$B531-1000)))</f>
      </c>
      <c r="C531" s="14">
        <f>IF(_辅助!$B531="","",IF(_辅助!$B531&lt;=1000,INDEX(存条明细!$D$4:$D$1003,_辅助!$B531),INDEX(出库明细!$D$4:$D$3003,_辅助!$B531-1000)))</f>
      </c>
      <c r="D531" s="14">
        <f>IF($B531="","",IFERROR(SUMIFS(存条明细!E:E,存条明细!C:C,$B531,存条明细!D:D,$C531),0))</f>
      </c>
      <c r="E531" s="156">
        <f>IF(OR($B531="",N(D531)=0),"",ROUND(F531/D531,2))</f>
      </c>
      <c r="F531" s="156">
        <f>IF($B531="","",IFERROR(SUMIFS(存条明细!G:G,存条明细!C:C,$B531,存条明细!D:D,$C531),0))</f>
      </c>
      <c r="G531" s="14">
        <f>IF($B531="","",IFERROR(SUMIFS(出库明细!E:E,出库明细!C:C,$B531,出库明细!D:D,$C531),0))</f>
      </c>
      <c r="H531" s="156">
        <f>IF($B531="","",IFERROR(SUMIFS(出库明细!G:G,出库明细!C:C,$B531,出库明细!D:D,$C531),0))</f>
      </c>
      <c r="I531" s="14">
        <f>IF($B531="","",D531-G531)</f>
      </c>
      <c r="J531" s="156">
        <f>IF($B531="","",F531-H531)</f>
      </c>
      <c r="K531" s="179">
        <f>IF($B531="","",MAX(_xlfn.MAXIFS(存条明细!B:B,存条明细!C:C,$B531,存条明细!D:D,$C531),_xlfn.MAXIFS(出库明细!B:B,出库明细!C:C,$B531,出库明细!D:D,$C531)))</f>
      </c>
    </row>
    <row r="532" ht="15" customHeight="1" s="71">
      <c r="A532" s="14">
        <f>IF(B532="","",ROW()-3)</f>
      </c>
      <c r="B532" s="14">
        <f>IF(_辅助!$B532="","",IF(_辅助!$B532&lt;=1000,INDEX(存条明细!$C$4:$C$1003,_辅助!$B532),INDEX(出库明细!$C$4:$C$3003,_辅助!$B532-1000)))</f>
      </c>
      <c r="C532" s="14">
        <f>IF(_辅助!$B532="","",IF(_辅助!$B532&lt;=1000,INDEX(存条明细!$D$4:$D$1003,_辅助!$B532),INDEX(出库明细!$D$4:$D$3003,_辅助!$B532-1000)))</f>
      </c>
      <c r="D532" s="14">
        <f>IF($B532="","",IFERROR(SUMIFS(存条明细!E:E,存条明细!C:C,$B532,存条明细!D:D,$C532),0))</f>
      </c>
      <c r="E532" s="156">
        <f>IF(OR($B532="",N(D532)=0),"",ROUND(F532/D532,2))</f>
      </c>
      <c r="F532" s="156">
        <f>IF($B532="","",IFERROR(SUMIFS(存条明细!G:G,存条明细!C:C,$B532,存条明细!D:D,$C532),0))</f>
      </c>
      <c r="G532" s="14">
        <f>IF($B532="","",IFERROR(SUMIFS(出库明细!E:E,出库明细!C:C,$B532,出库明细!D:D,$C532),0))</f>
      </c>
      <c r="H532" s="156">
        <f>IF($B532="","",IFERROR(SUMIFS(出库明细!G:G,出库明细!C:C,$B532,出库明细!D:D,$C532),0))</f>
      </c>
      <c r="I532" s="14">
        <f>IF($B532="","",D532-G532)</f>
      </c>
      <c r="J532" s="156">
        <f>IF($B532="","",F532-H532)</f>
      </c>
      <c r="K532" s="179">
        <f>IF($B532="","",MAX(_xlfn.MAXIFS(存条明细!B:B,存条明细!C:C,$B532,存条明细!D:D,$C532),_xlfn.MAXIFS(出库明细!B:B,出库明细!C:C,$B532,出库明细!D:D,$C532)))</f>
      </c>
    </row>
    <row r="533" ht="15" customHeight="1" s="71">
      <c r="A533" s="14">
        <f>IF(B533="","",ROW()-3)</f>
      </c>
      <c r="B533" s="14">
        <f>IF(_辅助!$B533="","",IF(_辅助!$B533&lt;=1000,INDEX(存条明细!$C$4:$C$1003,_辅助!$B533),INDEX(出库明细!$C$4:$C$3003,_辅助!$B533-1000)))</f>
      </c>
      <c r="C533" s="14">
        <f>IF(_辅助!$B533="","",IF(_辅助!$B533&lt;=1000,INDEX(存条明细!$D$4:$D$1003,_辅助!$B533),INDEX(出库明细!$D$4:$D$3003,_辅助!$B533-1000)))</f>
      </c>
      <c r="D533" s="14">
        <f>IF($B533="","",IFERROR(SUMIFS(存条明细!E:E,存条明细!C:C,$B533,存条明细!D:D,$C533),0))</f>
      </c>
      <c r="E533" s="156">
        <f>IF(OR($B533="",N(D533)=0),"",ROUND(F533/D533,2))</f>
      </c>
      <c r="F533" s="156">
        <f>IF($B533="","",IFERROR(SUMIFS(存条明细!G:G,存条明细!C:C,$B533,存条明细!D:D,$C533),0))</f>
      </c>
      <c r="G533" s="14">
        <f>IF($B533="","",IFERROR(SUMIFS(出库明细!E:E,出库明细!C:C,$B533,出库明细!D:D,$C533),0))</f>
      </c>
      <c r="H533" s="156">
        <f>IF($B533="","",IFERROR(SUMIFS(出库明细!G:G,出库明细!C:C,$B533,出库明细!D:D,$C533),0))</f>
      </c>
      <c r="I533" s="14">
        <f>IF($B533="","",D533-G533)</f>
      </c>
      <c r="J533" s="156">
        <f>IF($B533="","",F533-H533)</f>
      </c>
      <c r="K533" s="179">
        <f>IF($B533="","",MAX(_xlfn.MAXIFS(存条明细!B:B,存条明细!C:C,$B533,存条明细!D:D,$C533),_xlfn.MAXIFS(出库明细!B:B,出库明细!C:C,$B533,出库明细!D:D,$C533)))</f>
      </c>
    </row>
    <row r="534" ht="15" customHeight="1" s="71">
      <c r="A534" s="14">
        <f>IF(B534="","",ROW()-3)</f>
      </c>
      <c r="B534" s="14">
        <f>IF(_辅助!$B534="","",IF(_辅助!$B534&lt;=1000,INDEX(存条明细!$C$4:$C$1003,_辅助!$B534),INDEX(出库明细!$C$4:$C$3003,_辅助!$B534-1000)))</f>
      </c>
      <c r="C534" s="14">
        <f>IF(_辅助!$B534="","",IF(_辅助!$B534&lt;=1000,INDEX(存条明细!$D$4:$D$1003,_辅助!$B534),INDEX(出库明细!$D$4:$D$3003,_辅助!$B534-1000)))</f>
      </c>
      <c r="D534" s="14">
        <f>IF($B534="","",IFERROR(SUMIFS(存条明细!E:E,存条明细!C:C,$B534,存条明细!D:D,$C534),0))</f>
      </c>
      <c r="E534" s="156">
        <f>IF(OR($B534="",N(D534)=0),"",ROUND(F534/D534,2))</f>
      </c>
      <c r="F534" s="156">
        <f>IF($B534="","",IFERROR(SUMIFS(存条明细!G:G,存条明细!C:C,$B534,存条明细!D:D,$C534),0))</f>
      </c>
      <c r="G534" s="14">
        <f>IF($B534="","",IFERROR(SUMIFS(出库明细!E:E,出库明细!C:C,$B534,出库明细!D:D,$C534),0))</f>
      </c>
      <c r="H534" s="156">
        <f>IF($B534="","",IFERROR(SUMIFS(出库明细!G:G,出库明细!C:C,$B534,出库明细!D:D,$C534),0))</f>
      </c>
      <c r="I534" s="14">
        <f>IF($B534="","",D534-G534)</f>
      </c>
      <c r="J534" s="156">
        <f>IF($B534="","",F534-H534)</f>
      </c>
      <c r="K534" s="179">
        <f>IF($B534="","",MAX(_xlfn.MAXIFS(存条明细!B:B,存条明细!C:C,$B534,存条明细!D:D,$C534),_xlfn.MAXIFS(出库明细!B:B,出库明细!C:C,$B534,出库明细!D:D,$C534)))</f>
      </c>
    </row>
    <row r="535" ht="15" customHeight="1" s="71">
      <c r="A535" s="14">
        <f>IF(B535="","",ROW()-3)</f>
      </c>
      <c r="B535" s="14">
        <f>IF(_辅助!$B535="","",IF(_辅助!$B535&lt;=1000,INDEX(存条明细!$C$4:$C$1003,_辅助!$B535),INDEX(出库明细!$C$4:$C$3003,_辅助!$B535-1000)))</f>
      </c>
      <c r="C535" s="14">
        <f>IF(_辅助!$B535="","",IF(_辅助!$B535&lt;=1000,INDEX(存条明细!$D$4:$D$1003,_辅助!$B535),INDEX(出库明细!$D$4:$D$3003,_辅助!$B535-1000)))</f>
      </c>
      <c r="D535" s="14">
        <f>IF($B535="","",IFERROR(SUMIFS(存条明细!E:E,存条明细!C:C,$B535,存条明细!D:D,$C535),0))</f>
      </c>
      <c r="E535" s="156">
        <f>IF(OR($B535="",N(D535)=0),"",ROUND(F535/D535,2))</f>
      </c>
      <c r="F535" s="156">
        <f>IF($B535="","",IFERROR(SUMIFS(存条明细!G:G,存条明细!C:C,$B535,存条明细!D:D,$C535),0))</f>
      </c>
      <c r="G535" s="14">
        <f>IF($B535="","",IFERROR(SUMIFS(出库明细!E:E,出库明细!C:C,$B535,出库明细!D:D,$C535),0))</f>
      </c>
      <c r="H535" s="156">
        <f>IF($B535="","",IFERROR(SUMIFS(出库明细!G:G,出库明细!C:C,$B535,出库明细!D:D,$C535),0))</f>
      </c>
      <c r="I535" s="14">
        <f>IF($B535="","",D535-G535)</f>
      </c>
      <c r="J535" s="156">
        <f>IF($B535="","",F535-H535)</f>
      </c>
      <c r="K535" s="179">
        <f>IF($B535="","",MAX(_xlfn.MAXIFS(存条明细!B:B,存条明细!C:C,$B535,存条明细!D:D,$C535),_xlfn.MAXIFS(出库明细!B:B,出库明细!C:C,$B535,出库明细!D:D,$C535)))</f>
      </c>
    </row>
    <row r="536" ht="15" customHeight="1" s="71">
      <c r="A536" s="14">
        <f>IF(B536="","",ROW()-3)</f>
      </c>
      <c r="B536" s="14">
        <f>IF(_辅助!$B536="","",IF(_辅助!$B536&lt;=1000,INDEX(存条明细!$C$4:$C$1003,_辅助!$B536),INDEX(出库明细!$C$4:$C$3003,_辅助!$B536-1000)))</f>
      </c>
      <c r="C536" s="14">
        <f>IF(_辅助!$B536="","",IF(_辅助!$B536&lt;=1000,INDEX(存条明细!$D$4:$D$1003,_辅助!$B536),INDEX(出库明细!$D$4:$D$3003,_辅助!$B536-1000)))</f>
      </c>
      <c r="D536" s="14">
        <f>IF($B536="","",IFERROR(SUMIFS(存条明细!E:E,存条明细!C:C,$B536,存条明细!D:D,$C536),0))</f>
      </c>
      <c r="E536" s="156">
        <f>IF(OR($B536="",N(D536)=0),"",ROUND(F536/D536,2))</f>
      </c>
      <c r="F536" s="156">
        <f>IF($B536="","",IFERROR(SUMIFS(存条明细!G:G,存条明细!C:C,$B536,存条明细!D:D,$C536),0))</f>
      </c>
      <c r="G536" s="14">
        <f>IF($B536="","",IFERROR(SUMIFS(出库明细!E:E,出库明细!C:C,$B536,出库明细!D:D,$C536),0))</f>
      </c>
      <c r="H536" s="156">
        <f>IF($B536="","",IFERROR(SUMIFS(出库明细!G:G,出库明细!C:C,$B536,出库明细!D:D,$C536),0))</f>
      </c>
      <c r="I536" s="14">
        <f>IF($B536="","",D536-G536)</f>
      </c>
      <c r="J536" s="156">
        <f>IF($B536="","",F536-H536)</f>
      </c>
      <c r="K536" s="179">
        <f>IF($B536="","",MAX(_xlfn.MAXIFS(存条明细!B:B,存条明细!C:C,$B536,存条明细!D:D,$C536),_xlfn.MAXIFS(出库明细!B:B,出库明细!C:C,$B536,出库明细!D:D,$C536)))</f>
      </c>
    </row>
    <row r="537" ht="15" customHeight="1" s="71">
      <c r="A537" s="14">
        <f>IF(B537="","",ROW()-3)</f>
      </c>
      <c r="B537" s="14">
        <f>IF(_辅助!$B537="","",IF(_辅助!$B537&lt;=1000,INDEX(存条明细!$C$4:$C$1003,_辅助!$B537),INDEX(出库明细!$C$4:$C$3003,_辅助!$B537-1000)))</f>
      </c>
      <c r="C537" s="14">
        <f>IF(_辅助!$B537="","",IF(_辅助!$B537&lt;=1000,INDEX(存条明细!$D$4:$D$1003,_辅助!$B537),INDEX(出库明细!$D$4:$D$3003,_辅助!$B537-1000)))</f>
      </c>
      <c r="D537" s="14">
        <f>IF($B537="","",IFERROR(SUMIFS(存条明细!E:E,存条明细!C:C,$B537,存条明细!D:D,$C537),0))</f>
      </c>
      <c r="E537" s="156">
        <f>IF(OR($B537="",N(D537)=0),"",ROUND(F537/D537,2))</f>
      </c>
      <c r="F537" s="156">
        <f>IF($B537="","",IFERROR(SUMIFS(存条明细!G:G,存条明细!C:C,$B537,存条明细!D:D,$C537),0))</f>
      </c>
      <c r="G537" s="14">
        <f>IF($B537="","",IFERROR(SUMIFS(出库明细!E:E,出库明细!C:C,$B537,出库明细!D:D,$C537),0))</f>
      </c>
      <c r="H537" s="156">
        <f>IF($B537="","",IFERROR(SUMIFS(出库明细!G:G,出库明细!C:C,$B537,出库明细!D:D,$C537),0))</f>
      </c>
      <c r="I537" s="14">
        <f>IF($B537="","",D537-G537)</f>
      </c>
      <c r="J537" s="156">
        <f>IF($B537="","",F537-H537)</f>
      </c>
      <c r="K537" s="179">
        <f>IF($B537="","",MAX(_xlfn.MAXIFS(存条明细!B:B,存条明细!C:C,$B537,存条明细!D:D,$C537),_xlfn.MAXIFS(出库明细!B:B,出库明细!C:C,$B537,出库明细!D:D,$C537)))</f>
      </c>
    </row>
    <row r="538" ht="15" customHeight="1" s="71">
      <c r="A538" s="14">
        <f>IF(B538="","",ROW()-3)</f>
      </c>
      <c r="B538" s="14">
        <f>IF(_辅助!$B538="","",IF(_辅助!$B538&lt;=1000,INDEX(存条明细!$C$4:$C$1003,_辅助!$B538),INDEX(出库明细!$C$4:$C$3003,_辅助!$B538-1000)))</f>
      </c>
      <c r="C538" s="14">
        <f>IF(_辅助!$B538="","",IF(_辅助!$B538&lt;=1000,INDEX(存条明细!$D$4:$D$1003,_辅助!$B538),INDEX(出库明细!$D$4:$D$3003,_辅助!$B538-1000)))</f>
      </c>
      <c r="D538" s="14">
        <f>IF($B538="","",IFERROR(SUMIFS(存条明细!E:E,存条明细!C:C,$B538,存条明细!D:D,$C538),0))</f>
      </c>
      <c r="E538" s="156">
        <f>IF(OR($B538="",N(D538)=0),"",ROUND(F538/D538,2))</f>
      </c>
      <c r="F538" s="156">
        <f>IF($B538="","",IFERROR(SUMIFS(存条明细!G:G,存条明细!C:C,$B538,存条明细!D:D,$C538),0))</f>
      </c>
      <c r="G538" s="14">
        <f>IF($B538="","",IFERROR(SUMIFS(出库明细!E:E,出库明细!C:C,$B538,出库明细!D:D,$C538),0))</f>
      </c>
      <c r="H538" s="156">
        <f>IF($B538="","",IFERROR(SUMIFS(出库明细!G:G,出库明细!C:C,$B538,出库明细!D:D,$C538),0))</f>
      </c>
      <c r="I538" s="14">
        <f>IF($B538="","",D538-G538)</f>
      </c>
      <c r="J538" s="156">
        <f>IF($B538="","",F538-H538)</f>
      </c>
      <c r="K538" s="179">
        <f>IF($B538="","",MAX(_xlfn.MAXIFS(存条明细!B:B,存条明细!C:C,$B538,存条明细!D:D,$C538),_xlfn.MAXIFS(出库明细!B:B,出库明细!C:C,$B538,出库明细!D:D,$C538)))</f>
      </c>
    </row>
    <row r="539" ht="15" customHeight="1" s="71">
      <c r="A539" s="14">
        <f>IF(B539="","",ROW()-3)</f>
      </c>
      <c r="B539" s="14">
        <f>IF(_辅助!$B539="","",IF(_辅助!$B539&lt;=1000,INDEX(存条明细!$C$4:$C$1003,_辅助!$B539),INDEX(出库明细!$C$4:$C$3003,_辅助!$B539-1000)))</f>
      </c>
      <c r="C539" s="14">
        <f>IF(_辅助!$B539="","",IF(_辅助!$B539&lt;=1000,INDEX(存条明细!$D$4:$D$1003,_辅助!$B539),INDEX(出库明细!$D$4:$D$3003,_辅助!$B539-1000)))</f>
      </c>
      <c r="D539" s="14">
        <f>IF($B539="","",IFERROR(SUMIFS(存条明细!E:E,存条明细!C:C,$B539,存条明细!D:D,$C539),0))</f>
      </c>
      <c r="E539" s="156">
        <f>IF(OR($B539="",N(D539)=0),"",ROUND(F539/D539,2))</f>
      </c>
      <c r="F539" s="156">
        <f>IF($B539="","",IFERROR(SUMIFS(存条明细!G:G,存条明细!C:C,$B539,存条明细!D:D,$C539),0))</f>
      </c>
      <c r="G539" s="14">
        <f>IF($B539="","",IFERROR(SUMIFS(出库明细!E:E,出库明细!C:C,$B539,出库明细!D:D,$C539),0))</f>
      </c>
      <c r="H539" s="156">
        <f>IF($B539="","",IFERROR(SUMIFS(出库明细!G:G,出库明细!C:C,$B539,出库明细!D:D,$C539),0))</f>
      </c>
      <c r="I539" s="14">
        <f>IF($B539="","",D539-G539)</f>
      </c>
      <c r="J539" s="156">
        <f>IF($B539="","",F539-H539)</f>
      </c>
      <c r="K539" s="179">
        <f>IF($B539="","",MAX(_xlfn.MAXIFS(存条明细!B:B,存条明细!C:C,$B539,存条明细!D:D,$C539),_xlfn.MAXIFS(出库明细!B:B,出库明细!C:C,$B539,出库明细!D:D,$C539)))</f>
      </c>
    </row>
    <row r="540" ht="15" customHeight="1" s="71">
      <c r="A540" s="14">
        <f>IF(B540="","",ROW()-3)</f>
      </c>
      <c r="B540" s="14">
        <f>IF(_辅助!$B540="","",IF(_辅助!$B540&lt;=1000,INDEX(存条明细!$C$4:$C$1003,_辅助!$B540),INDEX(出库明细!$C$4:$C$3003,_辅助!$B540-1000)))</f>
      </c>
      <c r="C540" s="14">
        <f>IF(_辅助!$B540="","",IF(_辅助!$B540&lt;=1000,INDEX(存条明细!$D$4:$D$1003,_辅助!$B540),INDEX(出库明细!$D$4:$D$3003,_辅助!$B540-1000)))</f>
      </c>
      <c r="D540" s="14">
        <f>IF($B540="","",IFERROR(SUMIFS(存条明细!E:E,存条明细!C:C,$B540,存条明细!D:D,$C540),0))</f>
      </c>
      <c r="E540" s="156">
        <f>IF(OR($B540="",N(D540)=0),"",ROUND(F540/D540,2))</f>
      </c>
      <c r="F540" s="156">
        <f>IF($B540="","",IFERROR(SUMIFS(存条明细!G:G,存条明细!C:C,$B540,存条明细!D:D,$C540),0))</f>
      </c>
      <c r="G540" s="14">
        <f>IF($B540="","",IFERROR(SUMIFS(出库明细!E:E,出库明细!C:C,$B540,出库明细!D:D,$C540),0))</f>
      </c>
      <c r="H540" s="156">
        <f>IF($B540="","",IFERROR(SUMIFS(出库明细!G:G,出库明细!C:C,$B540,出库明细!D:D,$C540),0))</f>
      </c>
      <c r="I540" s="14">
        <f>IF($B540="","",D540-G540)</f>
      </c>
      <c r="J540" s="156">
        <f>IF($B540="","",F540-H540)</f>
      </c>
      <c r="K540" s="179">
        <f>IF($B540="","",MAX(_xlfn.MAXIFS(存条明细!B:B,存条明细!C:C,$B540,存条明细!D:D,$C540),_xlfn.MAXIFS(出库明细!B:B,出库明细!C:C,$B540,出库明细!D:D,$C540)))</f>
      </c>
    </row>
    <row r="541" ht="15" customHeight="1" s="71">
      <c r="A541" s="14">
        <f>IF(B541="","",ROW()-3)</f>
      </c>
      <c r="B541" s="14">
        <f>IF(_辅助!$B541="","",IF(_辅助!$B541&lt;=1000,INDEX(存条明细!$C$4:$C$1003,_辅助!$B541),INDEX(出库明细!$C$4:$C$3003,_辅助!$B541-1000)))</f>
      </c>
      <c r="C541" s="14">
        <f>IF(_辅助!$B541="","",IF(_辅助!$B541&lt;=1000,INDEX(存条明细!$D$4:$D$1003,_辅助!$B541),INDEX(出库明细!$D$4:$D$3003,_辅助!$B541-1000)))</f>
      </c>
      <c r="D541" s="14">
        <f>IF($B541="","",IFERROR(SUMIFS(存条明细!E:E,存条明细!C:C,$B541,存条明细!D:D,$C541),0))</f>
      </c>
      <c r="E541" s="156">
        <f>IF(OR($B541="",N(D541)=0),"",ROUND(F541/D541,2))</f>
      </c>
      <c r="F541" s="156">
        <f>IF($B541="","",IFERROR(SUMIFS(存条明细!G:G,存条明细!C:C,$B541,存条明细!D:D,$C541),0))</f>
      </c>
      <c r="G541" s="14">
        <f>IF($B541="","",IFERROR(SUMIFS(出库明细!E:E,出库明细!C:C,$B541,出库明细!D:D,$C541),0))</f>
      </c>
      <c r="H541" s="156">
        <f>IF($B541="","",IFERROR(SUMIFS(出库明细!G:G,出库明细!C:C,$B541,出库明细!D:D,$C541),0))</f>
      </c>
      <c r="I541" s="14">
        <f>IF($B541="","",D541-G541)</f>
      </c>
      <c r="J541" s="156">
        <f>IF($B541="","",F541-H541)</f>
      </c>
      <c r="K541" s="179">
        <f>IF($B541="","",MAX(_xlfn.MAXIFS(存条明细!B:B,存条明细!C:C,$B541,存条明细!D:D,$C541),_xlfn.MAXIFS(出库明细!B:B,出库明细!C:C,$B541,出库明细!D:D,$C541)))</f>
      </c>
    </row>
    <row r="542" ht="15" customHeight="1" s="71">
      <c r="A542" s="14">
        <f>IF(B542="","",ROW()-3)</f>
      </c>
      <c r="B542" s="14">
        <f>IF(_辅助!$B542="","",IF(_辅助!$B542&lt;=1000,INDEX(存条明细!$C$4:$C$1003,_辅助!$B542),INDEX(出库明细!$C$4:$C$3003,_辅助!$B542-1000)))</f>
      </c>
      <c r="C542" s="14">
        <f>IF(_辅助!$B542="","",IF(_辅助!$B542&lt;=1000,INDEX(存条明细!$D$4:$D$1003,_辅助!$B542),INDEX(出库明细!$D$4:$D$3003,_辅助!$B542-1000)))</f>
      </c>
      <c r="D542" s="14">
        <f>IF($B542="","",IFERROR(SUMIFS(存条明细!E:E,存条明细!C:C,$B542,存条明细!D:D,$C542),0))</f>
      </c>
      <c r="E542" s="156">
        <f>IF(OR($B542="",N(D542)=0),"",ROUND(F542/D542,2))</f>
      </c>
      <c r="F542" s="156">
        <f>IF($B542="","",IFERROR(SUMIFS(存条明细!G:G,存条明细!C:C,$B542,存条明细!D:D,$C542),0))</f>
      </c>
      <c r="G542" s="14">
        <f>IF($B542="","",IFERROR(SUMIFS(出库明细!E:E,出库明细!C:C,$B542,出库明细!D:D,$C542),0))</f>
      </c>
      <c r="H542" s="156">
        <f>IF($B542="","",IFERROR(SUMIFS(出库明细!G:G,出库明细!C:C,$B542,出库明细!D:D,$C542),0))</f>
      </c>
      <c r="I542" s="14">
        <f>IF($B542="","",D542-G542)</f>
      </c>
      <c r="J542" s="156">
        <f>IF($B542="","",F542-H542)</f>
      </c>
      <c r="K542" s="179">
        <f>IF($B542="","",MAX(_xlfn.MAXIFS(存条明细!B:B,存条明细!C:C,$B542,存条明细!D:D,$C542),_xlfn.MAXIFS(出库明细!B:B,出库明细!C:C,$B542,出库明细!D:D,$C542)))</f>
      </c>
    </row>
    <row r="543" ht="15" customHeight="1" s="71">
      <c r="A543" s="14">
        <f>IF(B543="","",ROW()-3)</f>
      </c>
      <c r="B543" s="14">
        <f>IF(_辅助!$B543="","",IF(_辅助!$B543&lt;=1000,INDEX(存条明细!$C$4:$C$1003,_辅助!$B543),INDEX(出库明细!$C$4:$C$3003,_辅助!$B543-1000)))</f>
      </c>
      <c r="C543" s="14">
        <f>IF(_辅助!$B543="","",IF(_辅助!$B543&lt;=1000,INDEX(存条明细!$D$4:$D$1003,_辅助!$B543),INDEX(出库明细!$D$4:$D$3003,_辅助!$B543-1000)))</f>
      </c>
      <c r="D543" s="14">
        <f>IF($B543="","",IFERROR(SUMIFS(存条明细!E:E,存条明细!C:C,$B543,存条明细!D:D,$C543),0))</f>
      </c>
      <c r="E543" s="156">
        <f>IF(OR($B543="",N(D543)=0),"",ROUND(F543/D543,2))</f>
      </c>
      <c r="F543" s="156">
        <f>IF($B543="","",IFERROR(SUMIFS(存条明细!G:G,存条明细!C:C,$B543,存条明细!D:D,$C543),0))</f>
      </c>
      <c r="G543" s="14">
        <f>IF($B543="","",IFERROR(SUMIFS(出库明细!E:E,出库明细!C:C,$B543,出库明细!D:D,$C543),0))</f>
      </c>
      <c r="H543" s="156">
        <f>IF($B543="","",IFERROR(SUMIFS(出库明细!G:G,出库明细!C:C,$B543,出库明细!D:D,$C543),0))</f>
      </c>
      <c r="I543" s="14">
        <f>IF($B543="","",D543-G543)</f>
      </c>
      <c r="J543" s="156">
        <f>IF($B543="","",F543-H543)</f>
      </c>
      <c r="K543" s="179">
        <f>IF($B543="","",MAX(_xlfn.MAXIFS(存条明细!B:B,存条明细!C:C,$B543,存条明细!D:D,$C543),_xlfn.MAXIFS(出库明细!B:B,出库明细!C:C,$B543,出库明细!D:D,$C543)))</f>
      </c>
    </row>
    <row r="544" ht="15" customHeight="1" s="71">
      <c r="A544" s="14">
        <f>IF(B544="","",ROW()-3)</f>
      </c>
      <c r="B544" s="14">
        <f>IF(_辅助!$B544="","",IF(_辅助!$B544&lt;=1000,INDEX(存条明细!$C$4:$C$1003,_辅助!$B544),INDEX(出库明细!$C$4:$C$3003,_辅助!$B544-1000)))</f>
      </c>
      <c r="C544" s="14">
        <f>IF(_辅助!$B544="","",IF(_辅助!$B544&lt;=1000,INDEX(存条明细!$D$4:$D$1003,_辅助!$B544),INDEX(出库明细!$D$4:$D$3003,_辅助!$B544-1000)))</f>
      </c>
      <c r="D544" s="14">
        <f>IF($B544="","",IFERROR(SUMIFS(存条明细!E:E,存条明细!C:C,$B544,存条明细!D:D,$C544),0))</f>
      </c>
      <c r="E544" s="156">
        <f>IF(OR($B544="",N(D544)=0),"",ROUND(F544/D544,2))</f>
      </c>
      <c r="F544" s="156">
        <f>IF($B544="","",IFERROR(SUMIFS(存条明细!G:G,存条明细!C:C,$B544,存条明细!D:D,$C544),0))</f>
      </c>
      <c r="G544" s="14">
        <f>IF($B544="","",IFERROR(SUMIFS(出库明细!E:E,出库明细!C:C,$B544,出库明细!D:D,$C544),0))</f>
      </c>
      <c r="H544" s="156">
        <f>IF($B544="","",IFERROR(SUMIFS(出库明细!G:G,出库明细!C:C,$B544,出库明细!D:D,$C544),0))</f>
      </c>
      <c r="I544" s="14">
        <f>IF($B544="","",D544-G544)</f>
      </c>
      <c r="J544" s="156">
        <f>IF($B544="","",F544-H544)</f>
      </c>
      <c r="K544" s="179">
        <f>IF($B544="","",MAX(_xlfn.MAXIFS(存条明细!B:B,存条明细!C:C,$B544,存条明细!D:D,$C544),_xlfn.MAXIFS(出库明细!B:B,出库明细!C:C,$B544,出库明细!D:D,$C544)))</f>
      </c>
    </row>
    <row r="545" ht="15" customHeight="1" s="71">
      <c r="A545" s="14">
        <f>IF(B545="","",ROW()-3)</f>
      </c>
      <c r="B545" s="14">
        <f>IF(_辅助!$B545="","",IF(_辅助!$B545&lt;=1000,INDEX(存条明细!$C$4:$C$1003,_辅助!$B545),INDEX(出库明细!$C$4:$C$3003,_辅助!$B545-1000)))</f>
      </c>
      <c r="C545" s="14">
        <f>IF(_辅助!$B545="","",IF(_辅助!$B545&lt;=1000,INDEX(存条明细!$D$4:$D$1003,_辅助!$B545),INDEX(出库明细!$D$4:$D$3003,_辅助!$B545-1000)))</f>
      </c>
      <c r="D545" s="14">
        <f>IF($B545="","",IFERROR(SUMIFS(存条明细!E:E,存条明细!C:C,$B545,存条明细!D:D,$C545),0))</f>
      </c>
      <c r="E545" s="156">
        <f>IF(OR($B545="",N(D545)=0),"",ROUND(F545/D545,2))</f>
      </c>
      <c r="F545" s="156">
        <f>IF($B545="","",IFERROR(SUMIFS(存条明细!G:G,存条明细!C:C,$B545,存条明细!D:D,$C545),0))</f>
      </c>
      <c r="G545" s="14">
        <f>IF($B545="","",IFERROR(SUMIFS(出库明细!E:E,出库明细!C:C,$B545,出库明细!D:D,$C545),0))</f>
      </c>
      <c r="H545" s="156">
        <f>IF($B545="","",IFERROR(SUMIFS(出库明细!G:G,出库明细!C:C,$B545,出库明细!D:D,$C545),0))</f>
      </c>
      <c r="I545" s="14">
        <f>IF($B545="","",D545-G545)</f>
      </c>
      <c r="J545" s="156">
        <f>IF($B545="","",F545-H545)</f>
      </c>
      <c r="K545" s="179">
        <f>IF($B545="","",MAX(_xlfn.MAXIFS(存条明细!B:B,存条明细!C:C,$B545,存条明细!D:D,$C545),_xlfn.MAXIFS(出库明细!B:B,出库明细!C:C,$B545,出库明细!D:D,$C545)))</f>
      </c>
    </row>
    <row r="546" ht="15" customHeight="1" s="71">
      <c r="A546" s="14">
        <f>IF(B546="","",ROW()-3)</f>
      </c>
      <c r="B546" s="14">
        <f>IF(_辅助!$B546="","",IF(_辅助!$B546&lt;=1000,INDEX(存条明细!$C$4:$C$1003,_辅助!$B546),INDEX(出库明细!$C$4:$C$3003,_辅助!$B546-1000)))</f>
      </c>
      <c r="C546" s="14">
        <f>IF(_辅助!$B546="","",IF(_辅助!$B546&lt;=1000,INDEX(存条明细!$D$4:$D$1003,_辅助!$B546),INDEX(出库明细!$D$4:$D$3003,_辅助!$B546-1000)))</f>
      </c>
      <c r="D546" s="14">
        <f>IF($B546="","",IFERROR(SUMIFS(存条明细!E:E,存条明细!C:C,$B546,存条明细!D:D,$C546),0))</f>
      </c>
      <c r="E546" s="156">
        <f>IF(OR($B546="",N(D546)=0),"",ROUND(F546/D546,2))</f>
      </c>
      <c r="F546" s="156">
        <f>IF($B546="","",IFERROR(SUMIFS(存条明细!G:G,存条明细!C:C,$B546,存条明细!D:D,$C546),0))</f>
      </c>
      <c r="G546" s="14">
        <f>IF($B546="","",IFERROR(SUMIFS(出库明细!E:E,出库明细!C:C,$B546,出库明细!D:D,$C546),0))</f>
      </c>
      <c r="H546" s="156">
        <f>IF($B546="","",IFERROR(SUMIFS(出库明细!G:G,出库明细!C:C,$B546,出库明细!D:D,$C546),0))</f>
      </c>
      <c r="I546" s="14">
        <f>IF($B546="","",D546-G546)</f>
      </c>
      <c r="J546" s="156">
        <f>IF($B546="","",F546-H546)</f>
      </c>
      <c r="K546" s="179">
        <f>IF($B546="","",MAX(_xlfn.MAXIFS(存条明细!B:B,存条明细!C:C,$B546,存条明细!D:D,$C546),_xlfn.MAXIFS(出库明细!B:B,出库明细!C:C,$B546,出库明细!D:D,$C546)))</f>
      </c>
    </row>
    <row r="547" ht="15" customHeight="1" s="71">
      <c r="A547" s="14">
        <f>IF(B547="","",ROW()-3)</f>
      </c>
      <c r="B547" s="14">
        <f>IF(_辅助!$B547="","",IF(_辅助!$B547&lt;=1000,INDEX(存条明细!$C$4:$C$1003,_辅助!$B547),INDEX(出库明细!$C$4:$C$3003,_辅助!$B547-1000)))</f>
      </c>
      <c r="C547" s="14">
        <f>IF(_辅助!$B547="","",IF(_辅助!$B547&lt;=1000,INDEX(存条明细!$D$4:$D$1003,_辅助!$B547),INDEX(出库明细!$D$4:$D$3003,_辅助!$B547-1000)))</f>
      </c>
      <c r="D547" s="14">
        <f>IF($B547="","",IFERROR(SUMIFS(存条明细!E:E,存条明细!C:C,$B547,存条明细!D:D,$C547),0))</f>
      </c>
      <c r="E547" s="156">
        <f>IF(OR($B547="",N(D547)=0),"",ROUND(F547/D547,2))</f>
      </c>
      <c r="F547" s="156">
        <f>IF($B547="","",IFERROR(SUMIFS(存条明细!G:G,存条明细!C:C,$B547,存条明细!D:D,$C547),0))</f>
      </c>
      <c r="G547" s="14">
        <f>IF($B547="","",IFERROR(SUMIFS(出库明细!E:E,出库明细!C:C,$B547,出库明细!D:D,$C547),0))</f>
      </c>
      <c r="H547" s="156">
        <f>IF($B547="","",IFERROR(SUMIFS(出库明细!G:G,出库明细!C:C,$B547,出库明细!D:D,$C547),0))</f>
      </c>
      <c r="I547" s="14">
        <f>IF($B547="","",D547-G547)</f>
      </c>
      <c r="J547" s="156">
        <f>IF($B547="","",F547-H547)</f>
      </c>
      <c r="K547" s="179">
        <f>IF($B547="","",MAX(_xlfn.MAXIFS(存条明细!B:B,存条明细!C:C,$B547,存条明细!D:D,$C547),_xlfn.MAXIFS(出库明细!B:B,出库明细!C:C,$B547,出库明细!D:D,$C547)))</f>
      </c>
    </row>
    <row r="548" ht="15" customHeight="1" s="71">
      <c r="A548" s="14">
        <f>IF(B548="","",ROW()-3)</f>
      </c>
      <c r="B548" s="14">
        <f>IF(_辅助!$B548="","",IF(_辅助!$B548&lt;=1000,INDEX(存条明细!$C$4:$C$1003,_辅助!$B548),INDEX(出库明细!$C$4:$C$3003,_辅助!$B548-1000)))</f>
      </c>
      <c r="C548" s="14">
        <f>IF(_辅助!$B548="","",IF(_辅助!$B548&lt;=1000,INDEX(存条明细!$D$4:$D$1003,_辅助!$B548),INDEX(出库明细!$D$4:$D$3003,_辅助!$B548-1000)))</f>
      </c>
      <c r="D548" s="14">
        <f>IF($B548="","",IFERROR(SUMIFS(存条明细!E:E,存条明细!C:C,$B548,存条明细!D:D,$C548),0))</f>
      </c>
      <c r="E548" s="156">
        <f>IF(OR($B548="",N(D548)=0),"",ROUND(F548/D548,2))</f>
      </c>
      <c r="F548" s="156">
        <f>IF($B548="","",IFERROR(SUMIFS(存条明细!G:G,存条明细!C:C,$B548,存条明细!D:D,$C548),0))</f>
      </c>
      <c r="G548" s="14">
        <f>IF($B548="","",IFERROR(SUMIFS(出库明细!E:E,出库明细!C:C,$B548,出库明细!D:D,$C548),0))</f>
      </c>
      <c r="H548" s="156">
        <f>IF($B548="","",IFERROR(SUMIFS(出库明细!G:G,出库明细!C:C,$B548,出库明细!D:D,$C548),0))</f>
      </c>
      <c r="I548" s="14">
        <f>IF($B548="","",D548-G548)</f>
      </c>
      <c r="J548" s="156">
        <f>IF($B548="","",F548-H548)</f>
      </c>
      <c r="K548" s="179">
        <f>IF($B548="","",MAX(_xlfn.MAXIFS(存条明细!B:B,存条明细!C:C,$B548,存条明细!D:D,$C548),_xlfn.MAXIFS(出库明细!B:B,出库明细!C:C,$B548,出库明细!D:D,$C548)))</f>
      </c>
    </row>
    <row r="549" ht="15" customHeight="1" s="71">
      <c r="A549" s="14">
        <f>IF(B549="","",ROW()-3)</f>
      </c>
      <c r="B549" s="14">
        <f>IF(_辅助!$B549="","",IF(_辅助!$B549&lt;=1000,INDEX(存条明细!$C$4:$C$1003,_辅助!$B549),INDEX(出库明细!$C$4:$C$3003,_辅助!$B549-1000)))</f>
      </c>
      <c r="C549" s="14">
        <f>IF(_辅助!$B549="","",IF(_辅助!$B549&lt;=1000,INDEX(存条明细!$D$4:$D$1003,_辅助!$B549),INDEX(出库明细!$D$4:$D$3003,_辅助!$B549-1000)))</f>
      </c>
      <c r="D549" s="14">
        <f>IF($B549="","",IFERROR(SUMIFS(存条明细!E:E,存条明细!C:C,$B549,存条明细!D:D,$C549),0))</f>
      </c>
      <c r="E549" s="156">
        <f>IF(OR($B549="",N(D549)=0),"",ROUND(F549/D549,2))</f>
      </c>
      <c r="F549" s="156">
        <f>IF($B549="","",IFERROR(SUMIFS(存条明细!G:G,存条明细!C:C,$B549,存条明细!D:D,$C549),0))</f>
      </c>
      <c r="G549" s="14">
        <f>IF($B549="","",IFERROR(SUMIFS(出库明细!E:E,出库明细!C:C,$B549,出库明细!D:D,$C549),0))</f>
      </c>
      <c r="H549" s="156">
        <f>IF($B549="","",IFERROR(SUMIFS(出库明细!G:G,出库明细!C:C,$B549,出库明细!D:D,$C549),0))</f>
      </c>
      <c r="I549" s="14">
        <f>IF($B549="","",D549-G549)</f>
      </c>
      <c r="J549" s="156">
        <f>IF($B549="","",F549-H549)</f>
      </c>
      <c r="K549" s="179">
        <f>IF($B549="","",MAX(_xlfn.MAXIFS(存条明细!B:B,存条明细!C:C,$B549,存条明细!D:D,$C549),_xlfn.MAXIFS(出库明细!B:B,出库明细!C:C,$B549,出库明细!D:D,$C549)))</f>
      </c>
    </row>
    <row r="550" ht="15" customHeight="1" s="71">
      <c r="A550" s="14">
        <f>IF(B550="","",ROW()-3)</f>
      </c>
      <c r="B550" s="14">
        <f>IF(_辅助!$B550="","",IF(_辅助!$B550&lt;=1000,INDEX(存条明细!$C$4:$C$1003,_辅助!$B550),INDEX(出库明细!$C$4:$C$3003,_辅助!$B550-1000)))</f>
      </c>
      <c r="C550" s="14">
        <f>IF(_辅助!$B550="","",IF(_辅助!$B550&lt;=1000,INDEX(存条明细!$D$4:$D$1003,_辅助!$B550),INDEX(出库明细!$D$4:$D$3003,_辅助!$B550-1000)))</f>
      </c>
      <c r="D550" s="14">
        <f>IF($B550="","",IFERROR(SUMIFS(存条明细!E:E,存条明细!C:C,$B550,存条明细!D:D,$C550),0))</f>
      </c>
      <c r="E550" s="156">
        <f>IF(OR($B550="",N(D550)=0),"",ROUND(F550/D550,2))</f>
      </c>
      <c r="F550" s="156">
        <f>IF($B550="","",IFERROR(SUMIFS(存条明细!G:G,存条明细!C:C,$B550,存条明细!D:D,$C550),0))</f>
      </c>
      <c r="G550" s="14">
        <f>IF($B550="","",IFERROR(SUMIFS(出库明细!E:E,出库明细!C:C,$B550,出库明细!D:D,$C550),0))</f>
      </c>
      <c r="H550" s="156">
        <f>IF($B550="","",IFERROR(SUMIFS(出库明细!G:G,出库明细!C:C,$B550,出库明细!D:D,$C550),0))</f>
      </c>
      <c r="I550" s="14">
        <f>IF($B550="","",D550-G550)</f>
      </c>
      <c r="J550" s="156">
        <f>IF($B550="","",F550-H550)</f>
      </c>
      <c r="K550" s="179">
        <f>IF($B550="","",MAX(_xlfn.MAXIFS(存条明细!B:B,存条明细!C:C,$B550,存条明细!D:D,$C550),_xlfn.MAXIFS(出库明细!B:B,出库明细!C:C,$B550,出库明细!D:D,$C550)))</f>
      </c>
    </row>
    <row r="551" ht="15" customHeight="1" s="71">
      <c r="A551" s="14">
        <f>IF(B551="","",ROW()-3)</f>
      </c>
      <c r="B551" s="14">
        <f>IF(_辅助!$B551="","",IF(_辅助!$B551&lt;=1000,INDEX(存条明细!$C$4:$C$1003,_辅助!$B551),INDEX(出库明细!$C$4:$C$3003,_辅助!$B551-1000)))</f>
      </c>
      <c r="C551" s="14">
        <f>IF(_辅助!$B551="","",IF(_辅助!$B551&lt;=1000,INDEX(存条明细!$D$4:$D$1003,_辅助!$B551),INDEX(出库明细!$D$4:$D$3003,_辅助!$B551-1000)))</f>
      </c>
      <c r="D551" s="14">
        <f>IF($B551="","",IFERROR(SUMIFS(存条明细!E:E,存条明细!C:C,$B551,存条明细!D:D,$C551),0))</f>
      </c>
      <c r="E551" s="156">
        <f>IF(OR($B551="",N(D551)=0),"",ROUND(F551/D551,2))</f>
      </c>
      <c r="F551" s="156">
        <f>IF($B551="","",IFERROR(SUMIFS(存条明细!G:G,存条明细!C:C,$B551,存条明细!D:D,$C551),0))</f>
      </c>
      <c r="G551" s="14">
        <f>IF($B551="","",IFERROR(SUMIFS(出库明细!E:E,出库明细!C:C,$B551,出库明细!D:D,$C551),0))</f>
      </c>
      <c r="H551" s="156">
        <f>IF($B551="","",IFERROR(SUMIFS(出库明细!G:G,出库明细!C:C,$B551,出库明细!D:D,$C551),0))</f>
      </c>
      <c r="I551" s="14">
        <f>IF($B551="","",D551-G551)</f>
      </c>
      <c r="J551" s="156">
        <f>IF($B551="","",F551-H551)</f>
      </c>
      <c r="K551" s="179">
        <f>IF($B551="","",MAX(_xlfn.MAXIFS(存条明细!B:B,存条明细!C:C,$B551,存条明细!D:D,$C551),_xlfn.MAXIFS(出库明细!B:B,出库明细!C:C,$B551,出库明细!D:D,$C551)))</f>
      </c>
    </row>
    <row r="552" ht="15" customHeight="1" s="71">
      <c r="A552" s="14">
        <f>IF(B552="","",ROW()-3)</f>
      </c>
      <c r="B552" s="14">
        <f>IF(_辅助!$B552="","",IF(_辅助!$B552&lt;=1000,INDEX(存条明细!$C$4:$C$1003,_辅助!$B552),INDEX(出库明细!$C$4:$C$3003,_辅助!$B552-1000)))</f>
      </c>
      <c r="C552" s="14">
        <f>IF(_辅助!$B552="","",IF(_辅助!$B552&lt;=1000,INDEX(存条明细!$D$4:$D$1003,_辅助!$B552),INDEX(出库明细!$D$4:$D$3003,_辅助!$B552-1000)))</f>
      </c>
      <c r="D552" s="14">
        <f>IF($B552="","",IFERROR(SUMIFS(存条明细!E:E,存条明细!C:C,$B552,存条明细!D:D,$C552),0))</f>
      </c>
      <c r="E552" s="156">
        <f>IF(OR($B552="",N(D552)=0),"",ROUND(F552/D552,2))</f>
      </c>
      <c r="F552" s="156">
        <f>IF($B552="","",IFERROR(SUMIFS(存条明细!G:G,存条明细!C:C,$B552,存条明细!D:D,$C552),0))</f>
      </c>
      <c r="G552" s="14">
        <f>IF($B552="","",IFERROR(SUMIFS(出库明细!E:E,出库明细!C:C,$B552,出库明细!D:D,$C552),0))</f>
      </c>
      <c r="H552" s="156">
        <f>IF($B552="","",IFERROR(SUMIFS(出库明细!G:G,出库明细!C:C,$B552,出库明细!D:D,$C552),0))</f>
      </c>
      <c r="I552" s="14">
        <f>IF($B552="","",D552-G552)</f>
      </c>
      <c r="J552" s="156">
        <f>IF($B552="","",F552-H552)</f>
      </c>
      <c r="K552" s="179">
        <f>IF($B552="","",MAX(_xlfn.MAXIFS(存条明细!B:B,存条明细!C:C,$B552,存条明细!D:D,$C552),_xlfn.MAXIFS(出库明细!B:B,出库明细!C:C,$B552,出库明细!D:D,$C552)))</f>
      </c>
    </row>
    <row r="553" ht="15" customHeight="1" s="71">
      <c r="A553" s="14">
        <f>IF(B553="","",ROW()-3)</f>
      </c>
      <c r="B553" s="14">
        <f>IF(_辅助!$B553="","",IF(_辅助!$B553&lt;=1000,INDEX(存条明细!$C$4:$C$1003,_辅助!$B553),INDEX(出库明细!$C$4:$C$3003,_辅助!$B553-1000)))</f>
      </c>
      <c r="C553" s="14">
        <f>IF(_辅助!$B553="","",IF(_辅助!$B553&lt;=1000,INDEX(存条明细!$D$4:$D$1003,_辅助!$B553),INDEX(出库明细!$D$4:$D$3003,_辅助!$B553-1000)))</f>
      </c>
      <c r="D553" s="14">
        <f>IF($B553="","",IFERROR(SUMIFS(存条明细!E:E,存条明细!C:C,$B553,存条明细!D:D,$C553),0))</f>
      </c>
      <c r="E553" s="156">
        <f>IF(OR($B553="",N(D553)=0),"",ROUND(F553/D553,2))</f>
      </c>
      <c r="F553" s="156">
        <f>IF($B553="","",IFERROR(SUMIFS(存条明细!G:G,存条明细!C:C,$B553,存条明细!D:D,$C553),0))</f>
      </c>
      <c r="G553" s="14">
        <f>IF($B553="","",IFERROR(SUMIFS(出库明细!E:E,出库明细!C:C,$B553,出库明细!D:D,$C553),0))</f>
      </c>
      <c r="H553" s="156">
        <f>IF($B553="","",IFERROR(SUMIFS(出库明细!G:G,出库明细!C:C,$B553,出库明细!D:D,$C553),0))</f>
      </c>
      <c r="I553" s="14">
        <f>IF($B553="","",D553-G553)</f>
      </c>
      <c r="J553" s="156">
        <f>IF($B553="","",F553-H553)</f>
      </c>
      <c r="K553" s="179">
        <f>IF($B553="","",MAX(_xlfn.MAXIFS(存条明细!B:B,存条明细!C:C,$B553,存条明细!D:D,$C553),_xlfn.MAXIFS(出库明细!B:B,出库明细!C:C,$B553,出库明细!D:D,$C553)))</f>
      </c>
    </row>
    <row r="554" ht="15" customHeight="1" s="71">
      <c r="A554" s="14">
        <f>IF(B554="","",ROW()-3)</f>
      </c>
      <c r="B554" s="14">
        <f>IF(_辅助!$B554="","",IF(_辅助!$B554&lt;=1000,INDEX(存条明细!$C$4:$C$1003,_辅助!$B554),INDEX(出库明细!$C$4:$C$3003,_辅助!$B554-1000)))</f>
      </c>
      <c r="C554" s="14">
        <f>IF(_辅助!$B554="","",IF(_辅助!$B554&lt;=1000,INDEX(存条明细!$D$4:$D$1003,_辅助!$B554),INDEX(出库明细!$D$4:$D$3003,_辅助!$B554-1000)))</f>
      </c>
      <c r="D554" s="14">
        <f>IF($B554="","",IFERROR(SUMIFS(存条明细!E:E,存条明细!C:C,$B554,存条明细!D:D,$C554),0))</f>
      </c>
      <c r="E554" s="156">
        <f>IF(OR($B554="",N(D554)=0),"",ROUND(F554/D554,2))</f>
      </c>
      <c r="F554" s="156">
        <f>IF($B554="","",IFERROR(SUMIFS(存条明细!G:G,存条明细!C:C,$B554,存条明细!D:D,$C554),0))</f>
      </c>
      <c r="G554" s="14">
        <f>IF($B554="","",IFERROR(SUMIFS(出库明细!E:E,出库明细!C:C,$B554,出库明细!D:D,$C554),0))</f>
      </c>
      <c r="H554" s="156">
        <f>IF($B554="","",IFERROR(SUMIFS(出库明细!G:G,出库明细!C:C,$B554,出库明细!D:D,$C554),0))</f>
      </c>
      <c r="I554" s="14">
        <f>IF($B554="","",D554-G554)</f>
      </c>
      <c r="J554" s="156">
        <f>IF($B554="","",F554-H554)</f>
      </c>
      <c r="K554" s="179">
        <f>IF($B554="","",MAX(_xlfn.MAXIFS(存条明细!B:B,存条明细!C:C,$B554,存条明细!D:D,$C554),_xlfn.MAXIFS(出库明细!B:B,出库明细!C:C,$B554,出库明细!D:D,$C554)))</f>
      </c>
    </row>
    <row r="555" ht="15" customHeight="1" s="71">
      <c r="A555" s="14">
        <f>IF(B555="","",ROW()-3)</f>
      </c>
      <c r="B555" s="14">
        <f>IF(_辅助!$B555="","",IF(_辅助!$B555&lt;=1000,INDEX(存条明细!$C$4:$C$1003,_辅助!$B555),INDEX(出库明细!$C$4:$C$3003,_辅助!$B555-1000)))</f>
      </c>
      <c r="C555" s="14">
        <f>IF(_辅助!$B555="","",IF(_辅助!$B555&lt;=1000,INDEX(存条明细!$D$4:$D$1003,_辅助!$B555),INDEX(出库明细!$D$4:$D$3003,_辅助!$B555-1000)))</f>
      </c>
      <c r="D555" s="14">
        <f>IF($B555="","",IFERROR(SUMIFS(存条明细!E:E,存条明细!C:C,$B555,存条明细!D:D,$C555),0))</f>
      </c>
      <c r="E555" s="156">
        <f>IF(OR($B555="",N(D555)=0),"",ROUND(F555/D555,2))</f>
      </c>
      <c r="F555" s="156">
        <f>IF($B555="","",IFERROR(SUMIFS(存条明细!G:G,存条明细!C:C,$B555,存条明细!D:D,$C555),0))</f>
      </c>
      <c r="G555" s="14">
        <f>IF($B555="","",IFERROR(SUMIFS(出库明细!E:E,出库明细!C:C,$B555,出库明细!D:D,$C555),0))</f>
      </c>
      <c r="H555" s="156">
        <f>IF($B555="","",IFERROR(SUMIFS(出库明细!G:G,出库明细!C:C,$B555,出库明细!D:D,$C555),0))</f>
      </c>
      <c r="I555" s="14">
        <f>IF($B555="","",D555-G555)</f>
      </c>
      <c r="J555" s="156">
        <f>IF($B555="","",F555-H555)</f>
      </c>
      <c r="K555" s="179">
        <f>IF($B555="","",MAX(_xlfn.MAXIFS(存条明细!B:B,存条明细!C:C,$B555,存条明细!D:D,$C555),_xlfn.MAXIFS(出库明细!B:B,出库明细!C:C,$B555,出库明细!D:D,$C555)))</f>
      </c>
    </row>
    <row r="556" ht="15" customHeight="1" s="71">
      <c r="A556" s="14">
        <f>IF(B556="","",ROW()-3)</f>
      </c>
      <c r="B556" s="14">
        <f>IF(_辅助!$B556="","",IF(_辅助!$B556&lt;=1000,INDEX(存条明细!$C$4:$C$1003,_辅助!$B556),INDEX(出库明细!$C$4:$C$3003,_辅助!$B556-1000)))</f>
      </c>
      <c r="C556" s="14">
        <f>IF(_辅助!$B556="","",IF(_辅助!$B556&lt;=1000,INDEX(存条明细!$D$4:$D$1003,_辅助!$B556),INDEX(出库明细!$D$4:$D$3003,_辅助!$B556-1000)))</f>
      </c>
      <c r="D556" s="14">
        <f>IF($B556="","",IFERROR(SUMIFS(存条明细!E:E,存条明细!C:C,$B556,存条明细!D:D,$C556),0))</f>
      </c>
      <c r="E556" s="156">
        <f>IF(OR($B556="",N(D556)=0),"",ROUND(F556/D556,2))</f>
      </c>
      <c r="F556" s="156">
        <f>IF($B556="","",IFERROR(SUMIFS(存条明细!G:G,存条明细!C:C,$B556,存条明细!D:D,$C556),0))</f>
      </c>
      <c r="G556" s="14">
        <f>IF($B556="","",IFERROR(SUMIFS(出库明细!E:E,出库明细!C:C,$B556,出库明细!D:D,$C556),0))</f>
      </c>
      <c r="H556" s="156">
        <f>IF($B556="","",IFERROR(SUMIFS(出库明细!G:G,出库明细!C:C,$B556,出库明细!D:D,$C556),0))</f>
      </c>
      <c r="I556" s="14">
        <f>IF($B556="","",D556-G556)</f>
      </c>
      <c r="J556" s="156">
        <f>IF($B556="","",F556-H556)</f>
      </c>
      <c r="K556" s="179">
        <f>IF($B556="","",MAX(_xlfn.MAXIFS(存条明细!B:B,存条明细!C:C,$B556,存条明细!D:D,$C556),_xlfn.MAXIFS(出库明细!B:B,出库明细!C:C,$B556,出库明细!D:D,$C556)))</f>
      </c>
    </row>
    <row r="557" ht="15" customHeight="1" s="71">
      <c r="A557" s="14">
        <f>IF(B557="","",ROW()-3)</f>
      </c>
      <c r="B557" s="14">
        <f>IF(_辅助!$B557="","",IF(_辅助!$B557&lt;=1000,INDEX(存条明细!$C$4:$C$1003,_辅助!$B557),INDEX(出库明细!$C$4:$C$3003,_辅助!$B557-1000)))</f>
      </c>
      <c r="C557" s="14">
        <f>IF(_辅助!$B557="","",IF(_辅助!$B557&lt;=1000,INDEX(存条明细!$D$4:$D$1003,_辅助!$B557),INDEX(出库明细!$D$4:$D$3003,_辅助!$B557-1000)))</f>
      </c>
      <c r="D557" s="14">
        <f>IF($B557="","",IFERROR(SUMIFS(存条明细!E:E,存条明细!C:C,$B557,存条明细!D:D,$C557),0))</f>
      </c>
      <c r="E557" s="156">
        <f>IF(OR($B557="",N(D557)=0),"",ROUND(F557/D557,2))</f>
      </c>
      <c r="F557" s="156">
        <f>IF($B557="","",IFERROR(SUMIFS(存条明细!G:G,存条明细!C:C,$B557,存条明细!D:D,$C557),0))</f>
      </c>
      <c r="G557" s="14">
        <f>IF($B557="","",IFERROR(SUMIFS(出库明细!E:E,出库明细!C:C,$B557,出库明细!D:D,$C557),0))</f>
      </c>
      <c r="H557" s="156">
        <f>IF($B557="","",IFERROR(SUMIFS(出库明细!G:G,出库明细!C:C,$B557,出库明细!D:D,$C557),0))</f>
      </c>
      <c r="I557" s="14">
        <f>IF($B557="","",D557-G557)</f>
      </c>
      <c r="J557" s="156">
        <f>IF($B557="","",F557-H557)</f>
      </c>
      <c r="K557" s="179">
        <f>IF($B557="","",MAX(_xlfn.MAXIFS(存条明细!B:B,存条明细!C:C,$B557,存条明细!D:D,$C557),_xlfn.MAXIFS(出库明细!B:B,出库明细!C:C,$B557,出库明细!D:D,$C557)))</f>
      </c>
    </row>
    <row r="558" ht="15" customHeight="1" s="71">
      <c r="A558" s="14">
        <f>IF(B558="","",ROW()-3)</f>
      </c>
      <c r="B558" s="14">
        <f>IF(_辅助!$B558="","",IF(_辅助!$B558&lt;=1000,INDEX(存条明细!$C$4:$C$1003,_辅助!$B558),INDEX(出库明细!$C$4:$C$3003,_辅助!$B558-1000)))</f>
      </c>
      <c r="C558" s="14">
        <f>IF(_辅助!$B558="","",IF(_辅助!$B558&lt;=1000,INDEX(存条明细!$D$4:$D$1003,_辅助!$B558),INDEX(出库明细!$D$4:$D$3003,_辅助!$B558-1000)))</f>
      </c>
      <c r="D558" s="14">
        <f>IF($B558="","",IFERROR(SUMIFS(存条明细!E:E,存条明细!C:C,$B558,存条明细!D:D,$C558),0))</f>
      </c>
      <c r="E558" s="156">
        <f>IF(OR($B558="",N(D558)=0),"",ROUND(F558/D558,2))</f>
      </c>
      <c r="F558" s="156">
        <f>IF($B558="","",IFERROR(SUMIFS(存条明细!G:G,存条明细!C:C,$B558,存条明细!D:D,$C558),0))</f>
      </c>
      <c r="G558" s="14">
        <f>IF($B558="","",IFERROR(SUMIFS(出库明细!E:E,出库明细!C:C,$B558,出库明细!D:D,$C558),0))</f>
      </c>
      <c r="H558" s="156">
        <f>IF($B558="","",IFERROR(SUMIFS(出库明细!G:G,出库明细!C:C,$B558,出库明细!D:D,$C558),0))</f>
      </c>
      <c r="I558" s="14">
        <f>IF($B558="","",D558-G558)</f>
      </c>
      <c r="J558" s="156">
        <f>IF($B558="","",F558-H558)</f>
      </c>
      <c r="K558" s="179">
        <f>IF($B558="","",MAX(_xlfn.MAXIFS(存条明细!B:B,存条明细!C:C,$B558,存条明细!D:D,$C558),_xlfn.MAXIFS(出库明细!B:B,出库明细!C:C,$B558,出库明细!D:D,$C558)))</f>
      </c>
    </row>
    <row r="559" ht="15" customHeight="1" s="71">
      <c r="A559" s="14">
        <f>IF(B559="","",ROW()-3)</f>
      </c>
      <c r="B559" s="14">
        <f>IF(_辅助!$B559="","",IF(_辅助!$B559&lt;=1000,INDEX(存条明细!$C$4:$C$1003,_辅助!$B559),INDEX(出库明细!$C$4:$C$3003,_辅助!$B559-1000)))</f>
      </c>
      <c r="C559" s="14">
        <f>IF(_辅助!$B559="","",IF(_辅助!$B559&lt;=1000,INDEX(存条明细!$D$4:$D$1003,_辅助!$B559),INDEX(出库明细!$D$4:$D$3003,_辅助!$B559-1000)))</f>
      </c>
      <c r="D559" s="14">
        <f>IF($B559="","",IFERROR(SUMIFS(存条明细!E:E,存条明细!C:C,$B559,存条明细!D:D,$C559),0))</f>
      </c>
      <c r="E559" s="156">
        <f>IF(OR($B559="",N(D559)=0),"",ROUND(F559/D559,2))</f>
      </c>
      <c r="F559" s="156">
        <f>IF($B559="","",IFERROR(SUMIFS(存条明细!G:G,存条明细!C:C,$B559,存条明细!D:D,$C559),0))</f>
      </c>
      <c r="G559" s="14">
        <f>IF($B559="","",IFERROR(SUMIFS(出库明细!E:E,出库明细!C:C,$B559,出库明细!D:D,$C559),0))</f>
      </c>
      <c r="H559" s="156">
        <f>IF($B559="","",IFERROR(SUMIFS(出库明细!G:G,出库明细!C:C,$B559,出库明细!D:D,$C559),0))</f>
      </c>
      <c r="I559" s="14">
        <f>IF($B559="","",D559-G559)</f>
      </c>
      <c r="J559" s="156">
        <f>IF($B559="","",F559-H559)</f>
      </c>
      <c r="K559" s="179">
        <f>IF($B559="","",MAX(_xlfn.MAXIFS(存条明细!B:B,存条明细!C:C,$B559,存条明细!D:D,$C559),_xlfn.MAXIFS(出库明细!B:B,出库明细!C:C,$B559,出库明细!D:D,$C559)))</f>
      </c>
    </row>
    <row r="560" ht="15" customHeight="1" s="71">
      <c r="A560" s="14">
        <f>IF(B560="","",ROW()-3)</f>
      </c>
      <c r="B560" s="14">
        <f>IF(_辅助!$B560="","",IF(_辅助!$B560&lt;=1000,INDEX(存条明细!$C$4:$C$1003,_辅助!$B560),INDEX(出库明细!$C$4:$C$3003,_辅助!$B560-1000)))</f>
      </c>
      <c r="C560" s="14">
        <f>IF(_辅助!$B560="","",IF(_辅助!$B560&lt;=1000,INDEX(存条明细!$D$4:$D$1003,_辅助!$B560),INDEX(出库明细!$D$4:$D$3003,_辅助!$B560-1000)))</f>
      </c>
      <c r="D560" s="14">
        <f>IF($B560="","",IFERROR(SUMIFS(存条明细!E:E,存条明细!C:C,$B560,存条明细!D:D,$C560),0))</f>
      </c>
      <c r="E560" s="156">
        <f>IF(OR($B560="",N(D560)=0),"",ROUND(F560/D560,2))</f>
      </c>
      <c r="F560" s="156">
        <f>IF($B560="","",IFERROR(SUMIFS(存条明细!G:G,存条明细!C:C,$B560,存条明细!D:D,$C560),0))</f>
      </c>
      <c r="G560" s="14">
        <f>IF($B560="","",IFERROR(SUMIFS(出库明细!E:E,出库明细!C:C,$B560,出库明细!D:D,$C560),0))</f>
      </c>
      <c r="H560" s="156">
        <f>IF($B560="","",IFERROR(SUMIFS(出库明细!G:G,出库明细!C:C,$B560,出库明细!D:D,$C560),0))</f>
      </c>
      <c r="I560" s="14">
        <f>IF($B560="","",D560-G560)</f>
      </c>
      <c r="J560" s="156">
        <f>IF($B560="","",F560-H560)</f>
      </c>
      <c r="K560" s="179">
        <f>IF($B560="","",MAX(_xlfn.MAXIFS(存条明细!B:B,存条明细!C:C,$B560,存条明细!D:D,$C560),_xlfn.MAXIFS(出库明细!B:B,出库明细!C:C,$B560,出库明细!D:D,$C560)))</f>
      </c>
    </row>
    <row r="561" ht="15" customHeight="1" s="71">
      <c r="A561" s="14">
        <f>IF(B561="","",ROW()-3)</f>
      </c>
      <c r="B561" s="14">
        <f>IF(_辅助!$B561="","",IF(_辅助!$B561&lt;=1000,INDEX(存条明细!$C$4:$C$1003,_辅助!$B561),INDEX(出库明细!$C$4:$C$3003,_辅助!$B561-1000)))</f>
      </c>
      <c r="C561" s="14">
        <f>IF(_辅助!$B561="","",IF(_辅助!$B561&lt;=1000,INDEX(存条明细!$D$4:$D$1003,_辅助!$B561),INDEX(出库明细!$D$4:$D$3003,_辅助!$B561-1000)))</f>
      </c>
      <c r="D561" s="14">
        <f>IF($B561="","",IFERROR(SUMIFS(存条明细!E:E,存条明细!C:C,$B561,存条明细!D:D,$C561),0))</f>
      </c>
      <c r="E561" s="156">
        <f>IF(OR($B561="",N(D561)=0),"",ROUND(F561/D561,2))</f>
      </c>
      <c r="F561" s="156">
        <f>IF($B561="","",IFERROR(SUMIFS(存条明细!G:G,存条明细!C:C,$B561,存条明细!D:D,$C561),0))</f>
      </c>
      <c r="G561" s="14">
        <f>IF($B561="","",IFERROR(SUMIFS(出库明细!E:E,出库明细!C:C,$B561,出库明细!D:D,$C561),0))</f>
      </c>
      <c r="H561" s="156">
        <f>IF($B561="","",IFERROR(SUMIFS(出库明细!G:G,出库明细!C:C,$B561,出库明细!D:D,$C561),0))</f>
      </c>
      <c r="I561" s="14">
        <f>IF($B561="","",D561-G561)</f>
      </c>
      <c r="J561" s="156">
        <f>IF($B561="","",F561-H561)</f>
      </c>
      <c r="K561" s="179">
        <f>IF($B561="","",MAX(_xlfn.MAXIFS(存条明细!B:B,存条明细!C:C,$B561,存条明细!D:D,$C561),_xlfn.MAXIFS(出库明细!B:B,出库明细!C:C,$B561,出库明细!D:D,$C561)))</f>
      </c>
    </row>
    <row r="562" ht="15" customHeight="1" s="71">
      <c r="A562" s="14">
        <f>IF(B562="","",ROW()-3)</f>
      </c>
      <c r="B562" s="14">
        <f>IF(_辅助!$B562="","",IF(_辅助!$B562&lt;=1000,INDEX(存条明细!$C$4:$C$1003,_辅助!$B562),INDEX(出库明细!$C$4:$C$3003,_辅助!$B562-1000)))</f>
      </c>
      <c r="C562" s="14">
        <f>IF(_辅助!$B562="","",IF(_辅助!$B562&lt;=1000,INDEX(存条明细!$D$4:$D$1003,_辅助!$B562),INDEX(出库明细!$D$4:$D$3003,_辅助!$B562-1000)))</f>
      </c>
      <c r="D562" s="14">
        <f>IF($B562="","",IFERROR(SUMIFS(存条明细!E:E,存条明细!C:C,$B562,存条明细!D:D,$C562),0))</f>
      </c>
      <c r="E562" s="156">
        <f>IF(OR($B562="",N(D562)=0),"",ROUND(F562/D562,2))</f>
      </c>
      <c r="F562" s="156">
        <f>IF($B562="","",IFERROR(SUMIFS(存条明细!G:G,存条明细!C:C,$B562,存条明细!D:D,$C562),0))</f>
      </c>
      <c r="G562" s="14">
        <f>IF($B562="","",IFERROR(SUMIFS(出库明细!E:E,出库明细!C:C,$B562,出库明细!D:D,$C562),0))</f>
      </c>
      <c r="H562" s="156">
        <f>IF($B562="","",IFERROR(SUMIFS(出库明细!G:G,出库明细!C:C,$B562,出库明细!D:D,$C562),0))</f>
      </c>
      <c r="I562" s="14">
        <f>IF($B562="","",D562-G562)</f>
      </c>
      <c r="J562" s="156">
        <f>IF($B562="","",F562-H562)</f>
      </c>
      <c r="K562" s="179">
        <f>IF($B562="","",MAX(_xlfn.MAXIFS(存条明细!B:B,存条明细!C:C,$B562,存条明细!D:D,$C562),_xlfn.MAXIFS(出库明细!B:B,出库明细!C:C,$B562,出库明细!D:D,$C562)))</f>
      </c>
    </row>
    <row r="563" ht="15" customHeight="1" s="71">
      <c r="A563" s="14">
        <f>IF(B563="","",ROW()-3)</f>
      </c>
      <c r="B563" s="14">
        <f>IF(_辅助!$B563="","",IF(_辅助!$B563&lt;=1000,INDEX(存条明细!$C$4:$C$1003,_辅助!$B563),INDEX(出库明细!$C$4:$C$3003,_辅助!$B563-1000)))</f>
      </c>
      <c r="C563" s="14">
        <f>IF(_辅助!$B563="","",IF(_辅助!$B563&lt;=1000,INDEX(存条明细!$D$4:$D$1003,_辅助!$B563),INDEX(出库明细!$D$4:$D$3003,_辅助!$B563-1000)))</f>
      </c>
      <c r="D563" s="14">
        <f>IF($B563="","",IFERROR(SUMIFS(存条明细!E:E,存条明细!C:C,$B563,存条明细!D:D,$C563),0))</f>
      </c>
      <c r="E563" s="156">
        <f>IF(OR($B563="",N(D563)=0),"",ROUND(F563/D563,2))</f>
      </c>
      <c r="F563" s="156">
        <f>IF($B563="","",IFERROR(SUMIFS(存条明细!G:G,存条明细!C:C,$B563,存条明细!D:D,$C563),0))</f>
      </c>
      <c r="G563" s="14">
        <f>IF($B563="","",IFERROR(SUMIFS(出库明细!E:E,出库明细!C:C,$B563,出库明细!D:D,$C563),0))</f>
      </c>
      <c r="H563" s="156">
        <f>IF($B563="","",IFERROR(SUMIFS(出库明细!G:G,出库明细!C:C,$B563,出库明细!D:D,$C563),0))</f>
      </c>
      <c r="I563" s="14">
        <f>IF($B563="","",D563-G563)</f>
      </c>
      <c r="J563" s="156">
        <f>IF($B563="","",F563-H563)</f>
      </c>
      <c r="K563" s="179">
        <f>IF($B563="","",MAX(_xlfn.MAXIFS(存条明细!B:B,存条明细!C:C,$B563,存条明细!D:D,$C563),_xlfn.MAXIFS(出库明细!B:B,出库明细!C:C,$B563,出库明细!D:D,$C563)))</f>
      </c>
    </row>
    <row r="564" ht="15" customHeight="1" s="71">
      <c r="A564" s="14">
        <f>IF(B564="","",ROW()-3)</f>
      </c>
      <c r="B564" s="14">
        <f>IF(_辅助!$B564="","",IF(_辅助!$B564&lt;=1000,INDEX(存条明细!$C$4:$C$1003,_辅助!$B564),INDEX(出库明细!$C$4:$C$3003,_辅助!$B564-1000)))</f>
      </c>
      <c r="C564" s="14">
        <f>IF(_辅助!$B564="","",IF(_辅助!$B564&lt;=1000,INDEX(存条明细!$D$4:$D$1003,_辅助!$B564),INDEX(出库明细!$D$4:$D$3003,_辅助!$B564-1000)))</f>
      </c>
      <c r="D564" s="14">
        <f>IF($B564="","",IFERROR(SUMIFS(存条明细!E:E,存条明细!C:C,$B564,存条明细!D:D,$C564),0))</f>
      </c>
      <c r="E564" s="156">
        <f>IF(OR($B564="",N(D564)=0),"",ROUND(F564/D564,2))</f>
      </c>
      <c r="F564" s="156">
        <f>IF($B564="","",IFERROR(SUMIFS(存条明细!G:G,存条明细!C:C,$B564,存条明细!D:D,$C564),0))</f>
      </c>
      <c r="G564" s="14">
        <f>IF($B564="","",IFERROR(SUMIFS(出库明细!E:E,出库明细!C:C,$B564,出库明细!D:D,$C564),0))</f>
      </c>
      <c r="H564" s="156">
        <f>IF($B564="","",IFERROR(SUMIFS(出库明细!G:G,出库明细!C:C,$B564,出库明细!D:D,$C564),0))</f>
      </c>
      <c r="I564" s="14">
        <f>IF($B564="","",D564-G564)</f>
      </c>
      <c r="J564" s="156">
        <f>IF($B564="","",F564-H564)</f>
      </c>
      <c r="K564" s="179">
        <f>IF($B564="","",MAX(_xlfn.MAXIFS(存条明细!B:B,存条明细!C:C,$B564,存条明细!D:D,$C564),_xlfn.MAXIFS(出库明细!B:B,出库明细!C:C,$B564,出库明细!D:D,$C564)))</f>
      </c>
    </row>
    <row r="565" ht="15" customHeight="1" s="71">
      <c r="A565" s="14">
        <f>IF(B565="","",ROW()-3)</f>
      </c>
      <c r="B565" s="14">
        <f>IF(_辅助!$B565="","",IF(_辅助!$B565&lt;=1000,INDEX(存条明细!$C$4:$C$1003,_辅助!$B565),INDEX(出库明细!$C$4:$C$3003,_辅助!$B565-1000)))</f>
      </c>
      <c r="C565" s="14">
        <f>IF(_辅助!$B565="","",IF(_辅助!$B565&lt;=1000,INDEX(存条明细!$D$4:$D$1003,_辅助!$B565),INDEX(出库明细!$D$4:$D$3003,_辅助!$B565-1000)))</f>
      </c>
      <c r="D565" s="14">
        <f>IF($B565="","",IFERROR(SUMIFS(存条明细!E:E,存条明细!C:C,$B565,存条明细!D:D,$C565),0))</f>
      </c>
      <c r="E565" s="156">
        <f>IF(OR($B565="",N(D565)=0),"",ROUND(F565/D565,2))</f>
      </c>
      <c r="F565" s="156">
        <f>IF($B565="","",IFERROR(SUMIFS(存条明细!G:G,存条明细!C:C,$B565,存条明细!D:D,$C565),0))</f>
      </c>
      <c r="G565" s="14">
        <f>IF($B565="","",IFERROR(SUMIFS(出库明细!E:E,出库明细!C:C,$B565,出库明细!D:D,$C565),0))</f>
      </c>
      <c r="H565" s="156">
        <f>IF($B565="","",IFERROR(SUMIFS(出库明细!G:G,出库明细!C:C,$B565,出库明细!D:D,$C565),0))</f>
      </c>
      <c r="I565" s="14">
        <f>IF($B565="","",D565-G565)</f>
      </c>
      <c r="J565" s="156">
        <f>IF($B565="","",F565-H565)</f>
      </c>
      <c r="K565" s="179">
        <f>IF($B565="","",MAX(_xlfn.MAXIFS(存条明细!B:B,存条明细!C:C,$B565,存条明细!D:D,$C565),_xlfn.MAXIFS(出库明细!B:B,出库明细!C:C,$B565,出库明细!D:D,$C565)))</f>
      </c>
    </row>
    <row r="566" ht="15" customHeight="1" s="71">
      <c r="A566" s="14">
        <f>IF(B566="","",ROW()-3)</f>
      </c>
      <c r="B566" s="14">
        <f>IF(_辅助!$B566="","",IF(_辅助!$B566&lt;=1000,INDEX(存条明细!$C$4:$C$1003,_辅助!$B566),INDEX(出库明细!$C$4:$C$3003,_辅助!$B566-1000)))</f>
      </c>
      <c r="C566" s="14">
        <f>IF(_辅助!$B566="","",IF(_辅助!$B566&lt;=1000,INDEX(存条明细!$D$4:$D$1003,_辅助!$B566),INDEX(出库明细!$D$4:$D$3003,_辅助!$B566-1000)))</f>
      </c>
      <c r="D566" s="14">
        <f>IF($B566="","",IFERROR(SUMIFS(存条明细!E:E,存条明细!C:C,$B566,存条明细!D:D,$C566),0))</f>
      </c>
      <c r="E566" s="156">
        <f>IF(OR($B566="",N(D566)=0),"",ROUND(F566/D566,2))</f>
      </c>
      <c r="F566" s="156">
        <f>IF($B566="","",IFERROR(SUMIFS(存条明细!G:G,存条明细!C:C,$B566,存条明细!D:D,$C566),0))</f>
      </c>
      <c r="G566" s="14">
        <f>IF($B566="","",IFERROR(SUMIFS(出库明细!E:E,出库明细!C:C,$B566,出库明细!D:D,$C566),0))</f>
      </c>
      <c r="H566" s="156">
        <f>IF($B566="","",IFERROR(SUMIFS(出库明细!G:G,出库明细!C:C,$B566,出库明细!D:D,$C566),0))</f>
      </c>
      <c r="I566" s="14">
        <f>IF($B566="","",D566-G566)</f>
      </c>
      <c r="J566" s="156">
        <f>IF($B566="","",F566-H566)</f>
      </c>
      <c r="K566" s="179">
        <f>IF($B566="","",MAX(_xlfn.MAXIFS(存条明细!B:B,存条明细!C:C,$B566,存条明细!D:D,$C566),_xlfn.MAXIFS(出库明细!B:B,出库明细!C:C,$B566,出库明细!D:D,$C566)))</f>
      </c>
    </row>
    <row r="567" ht="15" customHeight="1" s="71">
      <c r="A567" s="14">
        <f>IF(B567="","",ROW()-3)</f>
      </c>
      <c r="B567" s="14">
        <f>IF(_辅助!$B567="","",IF(_辅助!$B567&lt;=1000,INDEX(存条明细!$C$4:$C$1003,_辅助!$B567),INDEX(出库明细!$C$4:$C$3003,_辅助!$B567-1000)))</f>
      </c>
      <c r="C567" s="14">
        <f>IF(_辅助!$B567="","",IF(_辅助!$B567&lt;=1000,INDEX(存条明细!$D$4:$D$1003,_辅助!$B567),INDEX(出库明细!$D$4:$D$3003,_辅助!$B567-1000)))</f>
      </c>
      <c r="D567" s="14">
        <f>IF($B567="","",IFERROR(SUMIFS(存条明细!E:E,存条明细!C:C,$B567,存条明细!D:D,$C567),0))</f>
      </c>
      <c r="E567" s="156">
        <f>IF(OR($B567="",N(D567)=0),"",ROUND(F567/D567,2))</f>
      </c>
      <c r="F567" s="156">
        <f>IF($B567="","",IFERROR(SUMIFS(存条明细!G:G,存条明细!C:C,$B567,存条明细!D:D,$C567),0))</f>
      </c>
      <c r="G567" s="14">
        <f>IF($B567="","",IFERROR(SUMIFS(出库明细!E:E,出库明细!C:C,$B567,出库明细!D:D,$C567),0))</f>
      </c>
      <c r="H567" s="156">
        <f>IF($B567="","",IFERROR(SUMIFS(出库明细!G:G,出库明细!C:C,$B567,出库明细!D:D,$C567),0))</f>
      </c>
      <c r="I567" s="14">
        <f>IF($B567="","",D567-G567)</f>
      </c>
      <c r="J567" s="156">
        <f>IF($B567="","",F567-H567)</f>
      </c>
      <c r="K567" s="179">
        <f>IF($B567="","",MAX(_xlfn.MAXIFS(存条明细!B:B,存条明细!C:C,$B567,存条明细!D:D,$C567),_xlfn.MAXIFS(出库明细!B:B,出库明细!C:C,$B567,出库明细!D:D,$C567)))</f>
      </c>
    </row>
    <row r="568" ht="15" customHeight="1" s="71">
      <c r="A568" s="14">
        <f>IF(B568="","",ROW()-3)</f>
      </c>
      <c r="B568" s="14">
        <f>IF(_辅助!$B568="","",IF(_辅助!$B568&lt;=1000,INDEX(存条明细!$C$4:$C$1003,_辅助!$B568),INDEX(出库明细!$C$4:$C$3003,_辅助!$B568-1000)))</f>
      </c>
      <c r="C568" s="14">
        <f>IF(_辅助!$B568="","",IF(_辅助!$B568&lt;=1000,INDEX(存条明细!$D$4:$D$1003,_辅助!$B568),INDEX(出库明细!$D$4:$D$3003,_辅助!$B568-1000)))</f>
      </c>
      <c r="D568" s="14">
        <f>IF($B568="","",IFERROR(SUMIFS(存条明细!E:E,存条明细!C:C,$B568,存条明细!D:D,$C568),0))</f>
      </c>
      <c r="E568" s="156">
        <f>IF(OR($B568="",N(D568)=0),"",ROUND(F568/D568,2))</f>
      </c>
      <c r="F568" s="156">
        <f>IF($B568="","",IFERROR(SUMIFS(存条明细!G:G,存条明细!C:C,$B568,存条明细!D:D,$C568),0))</f>
      </c>
      <c r="G568" s="14">
        <f>IF($B568="","",IFERROR(SUMIFS(出库明细!E:E,出库明细!C:C,$B568,出库明细!D:D,$C568),0))</f>
      </c>
      <c r="H568" s="156">
        <f>IF($B568="","",IFERROR(SUMIFS(出库明细!G:G,出库明细!C:C,$B568,出库明细!D:D,$C568),0))</f>
      </c>
      <c r="I568" s="14">
        <f>IF($B568="","",D568-G568)</f>
      </c>
      <c r="J568" s="156">
        <f>IF($B568="","",F568-H568)</f>
      </c>
      <c r="K568" s="179">
        <f>IF($B568="","",MAX(_xlfn.MAXIFS(存条明细!B:B,存条明细!C:C,$B568,存条明细!D:D,$C568),_xlfn.MAXIFS(出库明细!B:B,出库明细!C:C,$B568,出库明细!D:D,$C568)))</f>
      </c>
    </row>
    <row r="569" ht="15" customHeight="1" s="71">
      <c r="A569" s="14">
        <f>IF(B569="","",ROW()-3)</f>
      </c>
      <c r="B569" s="14">
        <f>IF(_辅助!$B569="","",IF(_辅助!$B569&lt;=1000,INDEX(存条明细!$C$4:$C$1003,_辅助!$B569),INDEX(出库明细!$C$4:$C$3003,_辅助!$B569-1000)))</f>
      </c>
      <c r="C569" s="14">
        <f>IF(_辅助!$B569="","",IF(_辅助!$B569&lt;=1000,INDEX(存条明细!$D$4:$D$1003,_辅助!$B569),INDEX(出库明细!$D$4:$D$3003,_辅助!$B569-1000)))</f>
      </c>
      <c r="D569" s="14">
        <f>IF($B569="","",IFERROR(SUMIFS(存条明细!E:E,存条明细!C:C,$B569,存条明细!D:D,$C569),0))</f>
      </c>
      <c r="E569" s="156">
        <f>IF(OR($B569="",N(D569)=0),"",ROUND(F569/D569,2))</f>
      </c>
      <c r="F569" s="156">
        <f>IF($B569="","",IFERROR(SUMIFS(存条明细!G:G,存条明细!C:C,$B569,存条明细!D:D,$C569),0))</f>
      </c>
      <c r="G569" s="14">
        <f>IF($B569="","",IFERROR(SUMIFS(出库明细!E:E,出库明细!C:C,$B569,出库明细!D:D,$C569),0))</f>
      </c>
      <c r="H569" s="156">
        <f>IF($B569="","",IFERROR(SUMIFS(出库明细!G:G,出库明细!C:C,$B569,出库明细!D:D,$C569),0))</f>
      </c>
      <c r="I569" s="14">
        <f>IF($B569="","",D569-G569)</f>
      </c>
      <c r="J569" s="156">
        <f>IF($B569="","",F569-H569)</f>
      </c>
      <c r="K569" s="179">
        <f>IF($B569="","",MAX(_xlfn.MAXIFS(存条明细!B:B,存条明细!C:C,$B569,存条明细!D:D,$C569),_xlfn.MAXIFS(出库明细!B:B,出库明细!C:C,$B569,出库明细!D:D,$C569)))</f>
      </c>
    </row>
    <row r="570" ht="15" customHeight="1" s="71">
      <c r="A570" s="14">
        <f>IF(B570="","",ROW()-3)</f>
      </c>
      <c r="B570" s="14">
        <f>IF(_辅助!$B570="","",IF(_辅助!$B570&lt;=1000,INDEX(存条明细!$C$4:$C$1003,_辅助!$B570),INDEX(出库明细!$C$4:$C$3003,_辅助!$B570-1000)))</f>
      </c>
      <c r="C570" s="14">
        <f>IF(_辅助!$B570="","",IF(_辅助!$B570&lt;=1000,INDEX(存条明细!$D$4:$D$1003,_辅助!$B570),INDEX(出库明细!$D$4:$D$3003,_辅助!$B570-1000)))</f>
      </c>
      <c r="D570" s="14">
        <f>IF($B570="","",IFERROR(SUMIFS(存条明细!E:E,存条明细!C:C,$B570,存条明细!D:D,$C570),0))</f>
      </c>
      <c r="E570" s="156">
        <f>IF(OR($B570="",N(D570)=0),"",ROUND(F570/D570,2))</f>
      </c>
      <c r="F570" s="156">
        <f>IF($B570="","",IFERROR(SUMIFS(存条明细!G:G,存条明细!C:C,$B570,存条明细!D:D,$C570),0))</f>
      </c>
      <c r="G570" s="14">
        <f>IF($B570="","",IFERROR(SUMIFS(出库明细!E:E,出库明细!C:C,$B570,出库明细!D:D,$C570),0))</f>
      </c>
      <c r="H570" s="156">
        <f>IF($B570="","",IFERROR(SUMIFS(出库明细!G:G,出库明细!C:C,$B570,出库明细!D:D,$C570),0))</f>
      </c>
      <c r="I570" s="14">
        <f>IF($B570="","",D570-G570)</f>
      </c>
      <c r="J570" s="156">
        <f>IF($B570="","",F570-H570)</f>
      </c>
      <c r="K570" s="179">
        <f>IF($B570="","",MAX(_xlfn.MAXIFS(存条明细!B:B,存条明细!C:C,$B570,存条明细!D:D,$C570),_xlfn.MAXIFS(出库明细!B:B,出库明细!C:C,$B570,出库明细!D:D,$C570)))</f>
      </c>
    </row>
    <row r="571" ht="15" customHeight="1" s="71">
      <c r="A571" s="14">
        <f>IF(B571="","",ROW()-3)</f>
      </c>
      <c r="B571" s="14">
        <f>IF(_辅助!$B571="","",IF(_辅助!$B571&lt;=1000,INDEX(存条明细!$C$4:$C$1003,_辅助!$B571),INDEX(出库明细!$C$4:$C$3003,_辅助!$B571-1000)))</f>
      </c>
      <c r="C571" s="14">
        <f>IF(_辅助!$B571="","",IF(_辅助!$B571&lt;=1000,INDEX(存条明细!$D$4:$D$1003,_辅助!$B571),INDEX(出库明细!$D$4:$D$3003,_辅助!$B571-1000)))</f>
      </c>
      <c r="D571" s="14">
        <f>IF($B571="","",IFERROR(SUMIFS(存条明细!E:E,存条明细!C:C,$B571,存条明细!D:D,$C571),0))</f>
      </c>
      <c r="E571" s="156">
        <f>IF(OR($B571="",N(D571)=0),"",ROUND(F571/D571,2))</f>
      </c>
      <c r="F571" s="156">
        <f>IF($B571="","",IFERROR(SUMIFS(存条明细!G:G,存条明细!C:C,$B571,存条明细!D:D,$C571),0))</f>
      </c>
      <c r="G571" s="14">
        <f>IF($B571="","",IFERROR(SUMIFS(出库明细!E:E,出库明细!C:C,$B571,出库明细!D:D,$C571),0))</f>
      </c>
      <c r="H571" s="156">
        <f>IF($B571="","",IFERROR(SUMIFS(出库明细!G:G,出库明细!C:C,$B571,出库明细!D:D,$C571),0))</f>
      </c>
      <c r="I571" s="14">
        <f>IF($B571="","",D571-G571)</f>
      </c>
      <c r="J571" s="156">
        <f>IF($B571="","",F571-H571)</f>
      </c>
      <c r="K571" s="179">
        <f>IF($B571="","",MAX(_xlfn.MAXIFS(存条明细!B:B,存条明细!C:C,$B571,存条明细!D:D,$C571),_xlfn.MAXIFS(出库明细!B:B,出库明细!C:C,$B571,出库明细!D:D,$C571)))</f>
      </c>
    </row>
    <row r="572" ht="15" customHeight="1" s="71">
      <c r="A572" s="14">
        <f>IF(B572="","",ROW()-3)</f>
      </c>
      <c r="B572" s="14">
        <f>IF(_辅助!$B572="","",IF(_辅助!$B572&lt;=1000,INDEX(存条明细!$C$4:$C$1003,_辅助!$B572),INDEX(出库明细!$C$4:$C$3003,_辅助!$B572-1000)))</f>
      </c>
      <c r="C572" s="14">
        <f>IF(_辅助!$B572="","",IF(_辅助!$B572&lt;=1000,INDEX(存条明细!$D$4:$D$1003,_辅助!$B572),INDEX(出库明细!$D$4:$D$3003,_辅助!$B572-1000)))</f>
      </c>
      <c r="D572" s="14">
        <f>IF($B572="","",IFERROR(SUMIFS(存条明细!E:E,存条明细!C:C,$B572,存条明细!D:D,$C572),0))</f>
      </c>
      <c r="E572" s="156">
        <f>IF(OR($B572="",N(D572)=0),"",ROUND(F572/D572,2))</f>
      </c>
      <c r="F572" s="156">
        <f>IF($B572="","",IFERROR(SUMIFS(存条明细!G:G,存条明细!C:C,$B572,存条明细!D:D,$C572),0))</f>
      </c>
      <c r="G572" s="14">
        <f>IF($B572="","",IFERROR(SUMIFS(出库明细!E:E,出库明细!C:C,$B572,出库明细!D:D,$C572),0))</f>
      </c>
      <c r="H572" s="156">
        <f>IF($B572="","",IFERROR(SUMIFS(出库明细!G:G,出库明细!C:C,$B572,出库明细!D:D,$C572),0))</f>
      </c>
      <c r="I572" s="14">
        <f>IF($B572="","",D572-G572)</f>
      </c>
      <c r="J572" s="156">
        <f>IF($B572="","",F572-H572)</f>
      </c>
      <c r="K572" s="179">
        <f>IF($B572="","",MAX(_xlfn.MAXIFS(存条明细!B:B,存条明细!C:C,$B572,存条明细!D:D,$C572),_xlfn.MAXIFS(出库明细!B:B,出库明细!C:C,$B572,出库明细!D:D,$C572)))</f>
      </c>
    </row>
    <row r="573" ht="15" customHeight="1" s="71">
      <c r="A573" s="14">
        <f>IF(B573="","",ROW()-3)</f>
      </c>
      <c r="B573" s="14">
        <f>IF(_辅助!$B573="","",IF(_辅助!$B573&lt;=1000,INDEX(存条明细!$C$4:$C$1003,_辅助!$B573),INDEX(出库明细!$C$4:$C$3003,_辅助!$B573-1000)))</f>
      </c>
      <c r="C573" s="14">
        <f>IF(_辅助!$B573="","",IF(_辅助!$B573&lt;=1000,INDEX(存条明细!$D$4:$D$1003,_辅助!$B573),INDEX(出库明细!$D$4:$D$3003,_辅助!$B573-1000)))</f>
      </c>
      <c r="D573" s="14">
        <f>IF($B573="","",IFERROR(SUMIFS(存条明细!E:E,存条明细!C:C,$B573,存条明细!D:D,$C573),0))</f>
      </c>
      <c r="E573" s="156">
        <f>IF(OR($B573="",N(D573)=0),"",ROUND(F573/D573,2))</f>
      </c>
      <c r="F573" s="156">
        <f>IF($B573="","",IFERROR(SUMIFS(存条明细!G:G,存条明细!C:C,$B573,存条明细!D:D,$C573),0))</f>
      </c>
      <c r="G573" s="14">
        <f>IF($B573="","",IFERROR(SUMIFS(出库明细!E:E,出库明细!C:C,$B573,出库明细!D:D,$C573),0))</f>
      </c>
      <c r="H573" s="156">
        <f>IF($B573="","",IFERROR(SUMIFS(出库明细!G:G,出库明细!C:C,$B573,出库明细!D:D,$C573),0))</f>
      </c>
      <c r="I573" s="14">
        <f>IF($B573="","",D573-G573)</f>
      </c>
      <c r="J573" s="156">
        <f>IF($B573="","",F573-H573)</f>
      </c>
      <c r="K573" s="179">
        <f>IF($B573="","",MAX(_xlfn.MAXIFS(存条明细!B:B,存条明细!C:C,$B573,存条明细!D:D,$C573),_xlfn.MAXIFS(出库明细!B:B,出库明细!C:C,$B573,出库明细!D:D,$C573)))</f>
      </c>
    </row>
    <row r="574" ht="15" customHeight="1" s="71">
      <c r="A574" s="14">
        <f>IF(B574="","",ROW()-3)</f>
      </c>
      <c r="B574" s="14">
        <f>IF(_辅助!$B574="","",IF(_辅助!$B574&lt;=1000,INDEX(存条明细!$C$4:$C$1003,_辅助!$B574),INDEX(出库明细!$C$4:$C$3003,_辅助!$B574-1000)))</f>
      </c>
      <c r="C574" s="14">
        <f>IF(_辅助!$B574="","",IF(_辅助!$B574&lt;=1000,INDEX(存条明细!$D$4:$D$1003,_辅助!$B574),INDEX(出库明细!$D$4:$D$3003,_辅助!$B574-1000)))</f>
      </c>
      <c r="D574" s="14">
        <f>IF($B574="","",IFERROR(SUMIFS(存条明细!E:E,存条明细!C:C,$B574,存条明细!D:D,$C574),0))</f>
      </c>
      <c r="E574" s="156">
        <f>IF(OR($B574="",N(D574)=0),"",ROUND(F574/D574,2))</f>
      </c>
      <c r="F574" s="156">
        <f>IF($B574="","",IFERROR(SUMIFS(存条明细!G:G,存条明细!C:C,$B574,存条明细!D:D,$C574),0))</f>
      </c>
      <c r="G574" s="14">
        <f>IF($B574="","",IFERROR(SUMIFS(出库明细!E:E,出库明细!C:C,$B574,出库明细!D:D,$C574),0))</f>
      </c>
      <c r="H574" s="156">
        <f>IF($B574="","",IFERROR(SUMIFS(出库明细!G:G,出库明细!C:C,$B574,出库明细!D:D,$C574),0))</f>
      </c>
      <c r="I574" s="14">
        <f>IF($B574="","",D574-G574)</f>
      </c>
      <c r="J574" s="156">
        <f>IF($B574="","",F574-H574)</f>
      </c>
      <c r="K574" s="179">
        <f>IF($B574="","",MAX(_xlfn.MAXIFS(存条明细!B:B,存条明细!C:C,$B574,存条明细!D:D,$C574),_xlfn.MAXIFS(出库明细!B:B,出库明细!C:C,$B574,出库明细!D:D,$C574)))</f>
      </c>
    </row>
    <row r="575" ht="15" customHeight="1" s="71">
      <c r="A575" s="14">
        <f>IF(B575="","",ROW()-3)</f>
      </c>
      <c r="B575" s="14">
        <f>IF(_辅助!$B575="","",IF(_辅助!$B575&lt;=1000,INDEX(存条明细!$C$4:$C$1003,_辅助!$B575),INDEX(出库明细!$C$4:$C$3003,_辅助!$B575-1000)))</f>
      </c>
      <c r="C575" s="14">
        <f>IF(_辅助!$B575="","",IF(_辅助!$B575&lt;=1000,INDEX(存条明细!$D$4:$D$1003,_辅助!$B575),INDEX(出库明细!$D$4:$D$3003,_辅助!$B575-1000)))</f>
      </c>
      <c r="D575" s="14">
        <f>IF($B575="","",IFERROR(SUMIFS(存条明细!E:E,存条明细!C:C,$B575,存条明细!D:D,$C575),0))</f>
      </c>
      <c r="E575" s="156">
        <f>IF(OR($B575="",N(D575)=0),"",ROUND(F575/D575,2))</f>
      </c>
      <c r="F575" s="156">
        <f>IF($B575="","",IFERROR(SUMIFS(存条明细!G:G,存条明细!C:C,$B575,存条明细!D:D,$C575),0))</f>
      </c>
      <c r="G575" s="14">
        <f>IF($B575="","",IFERROR(SUMIFS(出库明细!E:E,出库明细!C:C,$B575,出库明细!D:D,$C575),0))</f>
      </c>
      <c r="H575" s="156">
        <f>IF($B575="","",IFERROR(SUMIFS(出库明细!G:G,出库明细!C:C,$B575,出库明细!D:D,$C575),0))</f>
      </c>
      <c r="I575" s="14">
        <f>IF($B575="","",D575-G575)</f>
      </c>
      <c r="J575" s="156">
        <f>IF($B575="","",F575-H575)</f>
      </c>
      <c r="K575" s="179">
        <f>IF($B575="","",MAX(_xlfn.MAXIFS(存条明细!B:B,存条明细!C:C,$B575,存条明细!D:D,$C575),_xlfn.MAXIFS(出库明细!B:B,出库明细!C:C,$B575,出库明细!D:D,$C575)))</f>
      </c>
    </row>
    <row r="576" ht="15" customHeight="1" s="71">
      <c r="A576" s="14">
        <f>IF(B576="","",ROW()-3)</f>
      </c>
      <c r="B576" s="14">
        <f>IF(_辅助!$B576="","",IF(_辅助!$B576&lt;=1000,INDEX(存条明细!$C$4:$C$1003,_辅助!$B576),INDEX(出库明细!$C$4:$C$3003,_辅助!$B576-1000)))</f>
      </c>
      <c r="C576" s="14">
        <f>IF(_辅助!$B576="","",IF(_辅助!$B576&lt;=1000,INDEX(存条明细!$D$4:$D$1003,_辅助!$B576),INDEX(出库明细!$D$4:$D$3003,_辅助!$B576-1000)))</f>
      </c>
      <c r="D576" s="14">
        <f>IF($B576="","",IFERROR(SUMIFS(存条明细!E:E,存条明细!C:C,$B576,存条明细!D:D,$C576),0))</f>
      </c>
      <c r="E576" s="156">
        <f>IF(OR($B576="",N(D576)=0),"",ROUND(F576/D576,2))</f>
      </c>
      <c r="F576" s="156">
        <f>IF($B576="","",IFERROR(SUMIFS(存条明细!G:G,存条明细!C:C,$B576,存条明细!D:D,$C576),0))</f>
      </c>
      <c r="G576" s="14">
        <f>IF($B576="","",IFERROR(SUMIFS(出库明细!E:E,出库明细!C:C,$B576,出库明细!D:D,$C576),0))</f>
      </c>
      <c r="H576" s="156">
        <f>IF($B576="","",IFERROR(SUMIFS(出库明细!G:G,出库明细!C:C,$B576,出库明细!D:D,$C576),0))</f>
      </c>
      <c r="I576" s="14">
        <f>IF($B576="","",D576-G576)</f>
      </c>
      <c r="J576" s="156">
        <f>IF($B576="","",F576-H576)</f>
      </c>
      <c r="K576" s="179">
        <f>IF($B576="","",MAX(_xlfn.MAXIFS(存条明细!B:B,存条明细!C:C,$B576,存条明细!D:D,$C576),_xlfn.MAXIFS(出库明细!B:B,出库明细!C:C,$B576,出库明细!D:D,$C576)))</f>
      </c>
    </row>
    <row r="577" ht="15" customHeight="1" s="71">
      <c r="A577" s="14">
        <f>IF(B577="","",ROW()-3)</f>
      </c>
      <c r="B577" s="14">
        <f>IF(_辅助!$B577="","",IF(_辅助!$B577&lt;=1000,INDEX(存条明细!$C$4:$C$1003,_辅助!$B577),INDEX(出库明细!$C$4:$C$3003,_辅助!$B577-1000)))</f>
      </c>
      <c r="C577" s="14">
        <f>IF(_辅助!$B577="","",IF(_辅助!$B577&lt;=1000,INDEX(存条明细!$D$4:$D$1003,_辅助!$B577),INDEX(出库明细!$D$4:$D$3003,_辅助!$B577-1000)))</f>
      </c>
      <c r="D577" s="14">
        <f>IF($B577="","",IFERROR(SUMIFS(存条明细!E:E,存条明细!C:C,$B577,存条明细!D:D,$C577),0))</f>
      </c>
      <c r="E577" s="156">
        <f>IF(OR($B577="",N(D577)=0),"",ROUND(F577/D577,2))</f>
      </c>
      <c r="F577" s="156">
        <f>IF($B577="","",IFERROR(SUMIFS(存条明细!G:G,存条明细!C:C,$B577,存条明细!D:D,$C577),0))</f>
      </c>
      <c r="G577" s="14">
        <f>IF($B577="","",IFERROR(SUMIFS(出库明细!E:E,出库明细!C:C,$B577,出库明细!D:D,$C577),0))</f>
      </c>
      <c r="H577" s="156">
        <f>IF($B577="","",IFERROR(SUMIFS(出库明细!G:G,出库明细!C:C,$B577,出库明细!D:D,$C577),0))</f>
      </c>
      <c r="I577" s="14">
        <f>IF($B577="","",D577-G577)</f>
      </c>
      <c r="J577" s="156">
        <f>IF($B577="","",F577-H577)</f>
      </c>
      <c r="K577" s="179">
        <f>IF($B577="","",MAX(_xlfn.MAXIFS(存条明细!B:B,存条明细!C:C,$B577,存条明细!D:D,$C577),_xlfn.MAXIFS(出库明细!B:B,出库明细!C:C,$B577,出库明细!D:D,$C577)))</f>
      </c>
    </row>
    <row r="578" ht="15" customHeight="1" s="71">
      <c r="A578" s="14">
        <f>IF(B578="","",ROW()-3)</f>
      </c>
      <c r="B578" s="14">
        <f>IF(_辅助!$B578="","",IF(_辅助!$B578&lt;=1000,INDEX(存条明细!$C$4:$C$1003,_辅助!$B578),INDEX(出库明细!$C$4:$C$3003,_辅助!$B578-1000)))</f>
      </c>
      <c r="C578" s="14">
        <f>IF(_辅助!$B578="","",IF(_辅助!$B578&lt;=1000,INDEX(存条明细!$D$4:$D$1003,_辅助!$B578),INDEX(出库明细!$D$4:$D$3003,_辅助!$B578-1000)))</f>
      </c>
      <c r="D578" s="14">
        <f>IF($B578="","",IFERROR(SUMIFS(存条明细!E:E,存条明细!C:C,$B578,存条明细!D:D,$C578),0))</f>
      </c>
      <c r="E578" s="156">
        <f>IF(OR($B578="",N(D578)=0),"",ROUND(F578/D578,2))</f>
      </c>
      <c r="F578" s="156">
        <f>IF($B578="","",IFERROR(SUMIFS(存条明细!G:G,存条明细!C:C,$B578,存条明细!D:D,$C578),0))</f>
      </c>
      <c r="G578" s="14">
        <f>IF($B578="","",IFERROR(SUMIFS(出库明细!E:E,出库明细!C:C,$B578,出库明细!D:D,$C578),0))</f>
      </c>
      <c r="H578" s="156">
        <f>IF($B578="","",IFERROR(SUMIFS(出库明细!G:G,出库明细!C:C,$B578,出库明细!D:D,$C578),0))</f>
      </c>
      <c r="I578" s="14">
        <f>IF($B578="","",D578-G578)</f>
      </c>
      <c r="J578" s="156">
        <f>IF($B578="","",F578-H578)</f>
      </c>
      <c r="K578" s="179">
        <f>IF($B578="","",MAX(_xlfn.MAXIFS(存条明细!B:B,存条明细!C:C,$B578,存条明细!D:D,$C578),_xlfn.MAXIFS(出库明细!B:B,出库明细!C:C,$B578,出库明细!D:D,$C578)))</f>
      </c>
    </row>
    <row r="579" ht="15" customHeight="1" s="71">
      <c r="A579" s="14">
        <f>IF(B579="","",ROW()-3)</f>
      </c>
      <c r="B579" s="14">
        <f>IF(_辅助!$B579="","",IF(_辅助!$B579&lt;=1000,INDEX(存条明细!$C$4:$C$1003,_辅助!$B579),INDEX(出库明细!$C$4:$C$3003,_辅助!$B579-1000)))</f>
      </c>
      <c r="C579" s="14">
        <f>IF(_辅助!$B579="","",IF(_辅助!$B579&lt;=1000,INDEX(存条明细!$D$4:$D$1003,_辅助!$B579),INDEX(出库明细!$D$4:$D$3003,_辅助!$B579-1000)))</f>
      </c>
      <c r="D579" s="14">
        <f>IF($B579="","",IFERROR(SUMIFS(存条明细!E:E,存条明细!C:C,$B579,存条明细!D:D,$C579),0))</f>
      </c>
      <c r="E579" s="156">
        <f>IF(OR($B579="",N(D579)=0),"",ROUND(F579/D579,2))</f>
      </c>
      <c r="F579" s="156">
        <f>IF($B579="","",IFERROR(SUMIFS(存条明细!G:G,存条明细!C:C,$B579,存条明细!D:D,$C579),0))</f>
      </c>
      <c r="G579" s="14">
        <f>IF($B579="","",IFERROR(SUMIFS(出库明细!E:E,出库明细!C:C,$B579,出库明细!D:D,$C579),0))</f>
      </c>
      <c r="H579" s="156">
        <f>IF($B579="","",IFERROR(SUMIFS(出库明细!G:G,出库明细!C:C,$B579,出库明细!D:D,$C579),0))</f>
      </c>
      <c r="I579" s="14">
        <f>IF($B579="","",D579-G579)</f>
      </c>
      <c r="J579" s="156">
        <f>IF($B579="","",F579-H579)</f>
      </c>
      <c r="K579" s="179">
        <f>IF($B579="","",MAX(_xlfn.MAXIFS(存条明细!B:B,存条明细!C:C,$B579,存条明细!D:D,$C579),_xlfn.MAXIFS(出库明细!B:B,出库明细!C:C,$B579,出库明细!D:D,$C579)))</f>
      </c>
    </row>
    <row r="580" ht="15" customHeight="1" s="71">
      <c r="A580" s="14">
        <f>IF(B580="","",ROW()-3)</f>
      </c>
      <c r="B580" s="14">
        <f>IF(_辅助!$B580="","",IF(_辅助!$B580&lt;=1000,INDEX(存条明细!$C$4:$C$1003,_辅助!$B580),INDEX(出库明细!$C$4:$C$3003,_辅助!$B580-1000)))</f>
      </c>
      <c r="C580" s="14">
        <f>IF(_辅助!$B580="","",IF(_辅助!$B580&lt;=1000,INDEX(存条明细!$D$4:$D$1003,_辅助!$B580),INDEX(出库明细!$D$4:$D$3003,_辅助!$B580-1000)))</f>
      </c>
      <c r="D580" s="14">
        <f>IF($B580="","",IFERROR(SUMIFS(存条明细!E:E,存条明细!C:C,$B580,存条明细!D:D,$C580),0))</f>
      </c>
      <c r="E580" s="156">
        <f>IF(OR($B580="",N(D580)=0),"",ROUND(F580/D580,2))</f>
      </c>
      <c r="F580" s="156">
        <f>IF($B580="","",IFERROR(SUMIFS(存条明细!G:G,存条明细!C:C,$B580,存条明细!D:D,$C580),0))</f>
      </c>
      <c r="G580" s="14">
        <f>IF($B580="","",IFERROR(SUMIFS(出库明细!E:E,出库明细!C:C,$B580,出库明细!D:D,$C580),0))</f>
      </c>
      <c r="H580" s="156">
        <f>IF($B580="","",IFERROR(SUMIFS(出库明细!G:G,出库明细!C:C,$B580,出库明细!D:D,$C580),0))</f>
      </c>
      <c r="I580" s="14">
        <f>IF($B580="","",D580-G580)</f>
      </c>
      <c r="J580" s="156">
        <f>IF($B580="","",F580-H580)</f>
      </c>
      <c r="K580" s="179">
        <f>IF($B580="","",MAX(_xlfn.MAXIFS(存条明细!B:B,存条明细!C:C,$B580,存条明细!D:D,$C580),_xlfn.MAXIFS(出库明细!B:B,出库明细!C:C,$B580,出库明细!D:D,$C580)))</f>
      </c>
    </row>
    <row r="581" ht="15" customHeight="1" s="71">
      <c r="A581" s="14">
        <f>IF(B581="","",ROW()-3)</f>
      </c>
      <c r="B581" s="14">
        <f>IF(_辅助!$B581="","",IF(_辅助!$B581&lt;=1000,INDEX(存条明细!$C$4:$C$1003,_辅助!$B581),INDEX(出库明细!$C$4:$C$3003,_辅助!$B581-1000)))</f>
      </c>
      <c r="C581" s="14">
        <f>IF(_辅助!$B581="","",IF(_辅助!$B581&lt;=1000,INDEX(存条明细!$D$4:$D$1003,_辅助!$B581),INDEX(出库明细!$D$4:$D$3003,_辅助!$B581-1000)))</f>
      </c>
      <c r="D581" s="14">
        <f>IF($B581="","",IFERROR(SUMIFS(存条明细!E:E,存条明细!C:C,$B581,存条明细!D:D,$C581),0))</f>
      </c>
      <c r="E581" s="156">
        <f>IF(OR($B581="",N(D581)=0),"",ROUND(F581/D581,2))</f>
      </c>
      <c r="F581" s="156">
        <f>IF($B581="","",IFERROR(SUMIFS(存条明细!G:G,存条明细!C:C,$B581,存条明细!D:D,$C581),0))</f>
      </c>
      <c r="G581" s="14">
        <f>IF($B581="","",IFERROR(SUMIFS(出库明细!E:E,出库明细!C:C,$B581,出库明细!D:D,$C581),0))</f>
      </c>
      <c r="H581" s="156">
        <f>IF($B581="","",IFERROR(SUMIFS(出库明细!G:G,出库明细!C:C,$B581,出库明细!D:D,$C581),0))</f>
      </c>
      <c r="I581" s="14">
        <f>IF($B581="","",D581-G581)</f>
      </c>
      <c r="J581" s="156">
        <f>IF($B581="","",F581-H581)</f>
      </c>
      <c r="K581" s="179">
        <f>IF($B581="","",MAX(_xlfn.MAXIFS(存条明细!B:B,存条明细!C:C,$B581,存条明细!D:D,$C581),_xlfn.MAXIFS(出库明细!B:B,出库明细!C:C,$B581,出库明细!D:D,$C581)))</f>
      </c>
    </row>
    <row r="582" ht="15" customHeight="1" s="71">
      <c r="A582" s="14">
        <f>IF(B582="","",ROW()-3)</f>
      </c>
      <c r="B582" s="14">
        <f>IF(_辅助!$B582="","",IF(_辅助!$B582&lt;=1000,INDEX(存条明细!$C$4:$C$1003,_辅助!$B582),INDEX(出库明细!$C$4:$C$3003,_辅助!$B582-1000)))</f>
      </c>
      <c r="C582" s="14">
        <f>IF(_辅助!$B582="","",IF(_辅助!$B582&lt;=1000,INDEX(存条明细!$D$4:$D$1003,_辅助!$B582),INDEX(出库明细!$D$4:$D$3003,_辅助!$B582-1000)))</f>
      </c>
      <c r="D582" s="14">
        <f>IF($B582="","",IFERROR(SUMIFS(存条明细!E:E,存条明细!C:C,$B582,存条明细!D:D,$C582),0))</f>
      </c>
      <c r="E582" s="156">
        <f>IF(OR($B582="",N(D582)=0),"",ROUND(F582/D582,2))</f>
      </c>
      <c r="F582" s="156">
        <f>IF($B582="","",IFERROR(SUMIFS(存条明细!G:G,存条明细!C:C,$B582,存条明细!D:D,$C582),0))</f>
      </c>
      <c r="G582" s="14">
        <f>IF($B582="","",IFERROR(SUMIFS(出库明细!E:E,出库明细!C:C,$B582,出库明细!D:D,$C582),0))</f>
      </c>
      <c r="H582" s="156">
        <f>IF($B582="","",IFERROR(SUMIFS(出库明细!G:G,出库明细!C:C,$B582,出库明细!D:D,$C582),0))</f>
      </c>
      <c r="I582" s="14">
        <f>IF($B582="","",D582-G582)</f>
      </c>
      <c r="J582" s="156">
        <f>IF($B582="","",F582-H582)</f>
      </c>
      <c r="K582" s="179">
        <f>IF($B582="","",MAX(_xlfn.MAXIFS(存条明细!B:B,存条明细!C:C,$B582,存条明细!D:D,$C582),_xlfn.MAXIFS(出库明细!B:B,出库明细!C:C,$B582,出库明细!D:D,$C582)))</f>
      </c>
    </row>
    <row r="583" ht="15" customHeight="1" s="71">
      <c r="A583" s="14">
        <f>IF(B583="","",ROW()-3)</f>
      </c>
      <c r="B583" s="14">
        <f>IF(_辅助!$B583="","",IF(_辅助!$B583&lt;=1000,INDEX(存条明细!$C$4:$C$1003,_辅助!$B583),INDEX(出库明细!$C$4:$C$3003,_辅助!$B583-1000)))</f>
      </c>
      <c r="C583" s="14">
        <f>IF(_辅助!$B583="","",IF(_辅助!$B583&lt;=1000,INDEX(存条明细!$D$4:$D$1003,_辅助!$B583),INDEX(出库明细!$D$4:$D$3003,_辅助!$B583-1000)))</f>
      </c>
      <c r="D583" s="14">
        <f>IF($B583="","",IFERROR(SUMIFS(存条明细!E:E,存条明细!C:C,$B583,存条明细!D:D,$C583),0))</f>
      </c>
      <c r="E583" s="156">
        <f>IF(OR($B583="",N(D583)=0),"",ROUND(F583/D583,2))</f>
      </c>
      <c r="F583" s="156">
        <f>IF($B583="","",IFERROR(SUMIFS(存条明细!G:G,存条明细!C:C,$B583,存条明细!D:D,$C583),0))</f>
      </c>
      <c r="G583" s="14">
        <f>IF($B583="","",IFERROR(SUMIFS(出库明细!E:E,出库明细!C:C,$B583,出库明细!D:D,$C583),0))</f>
      </c>
      <c r="H583" s="156">
        <f>IF($B583="","",IFERROR(SUMIFS(出库明细!G:G,出库明细!C:C,$B583,出库明细!D:D,$C583),0))</f>
      </c>
      <c r="I583" s="14">
        <f>IF($B583="","",D583-G583)</f>
      </c>
      <c r="J583" s="156">
        <f>IF($B583="","",F583-H583)</f>
      </c>
      <c r="K583" s="179">
        <f>IF($B583="","",MAX(_xlfn.MAXIFS(存条明细!B:B,存条明细!C:C,$B583,存条明细!D:D,$C583),_xlfn.MAXIFS(出库明细!B:B,出库明细!C:C,$B583,出库明细!D:D,$C583)))</f>
      </c>
    </row>
    <row r="584" ht="15" customHeight="1" s="71">
      <c r="A584" s="14">
        <f>IF(B584="","",ROW()-3)</f>
      </c>
      <c r="B584" s="14">
        <f>IF(_辅助!$B584="","",IF(_辅助!$B584&lt;=1000,INDEX(存条明细!$C$4:$C$1003,_辅助!$B584),INDEX(出库明细!$C$4:$C$3003,_辅助!$B584-1000)))</f>
      </c>
      <c r="C584" s="14">
        <f>IF(_辅助!$B584="","",IF(_辅助!$B584&lt;=1000,INDEX(存条明细!$D$4:$D$1003,_辅助!$B584),INDEX(出库明细!$D$4:$D$3003,_辅助!$B584-1000)))</f>
      </c>
      <c r="D584" s="14">
        <f>IF($B584="","",IFERROR(SUMIFS(存条明细!E:E,存条明细!C:C,$B584,存条明细!D:D,$C584),0))</f>
      </c>
      <c r="E584" s="156">
        <f>IF(OR($B584="",N(D584)=0),"",ROUND(F584/D584,2))</f>
      </c>
      <c r="F584" s="156">
        <f>IF($B584="","",IFERROR(SUMIFS(存条明细!G:G,存条明细!C:C,$B584,存条明细!D:D,$C584),0))</f>
      </c>
      <c r="G584" s="14">
        <f>IF($B584="","",IFERROR(SUMIFS(出库明细!E:E,出库明细!C:C,$B584,出库明细!D:D,$C584),0))</f>
      </c>
      <c r="H584" s="156">
        <f>IF($B584="","",IFERROR(SUMIFS(出库明细!G:G,出库明细!C:C,$B584,出库明细!D:D,$C584),0))</f>
      </c>
      <c r="I584" s="14">
        <f>IF($B584="","",D584-G584)</f>
      </c>
      <c r="J584" s="156">
        <f>IF($B584="","",F584-H584)</f>
      </c>
      <c r="K584" s="179">
        <f>IF($B584="","",MAX(_xlfn.MAXIFS(存条明细!B:B,存条明细!C:C,$B584,存条明细!D:D,$C584),_xlfn.MAXIFS(出库明细!B:B,出库明细!C:C,$B584,出库明细!D:D,$C584)))</f>
      </c>
    </row>
    <row r="585" ht="15" customHeight="1" s="71">
      <c r="A585" s="14">
        <f>IF(B585="","",ROW()-3)</f>
      </c>
      <c r="B585" s="14">
        <f>IF(_辅助!$B585="","",IF(_辅助!$B585&lt;=1000,INDEX(存条明细!$C$4:$C$1003,_辅助!$B585),INDEX(出库明细!$C$4:$C$3003,_辅助!$B585-1000)))</f>
      </c>
      <c r="C585" s="14">
        <f>IF(_辅助!$B585="","",IF(_辅助!$B585&lt;=1000,INDEX(存条明细!$D$4:$D$1003,_辅助!$B585),INDEX(出库明细!$D$4:$D$3003,_辅助!$B585-1000)))</f>
      </c>
      <c r="D585" s="14">
        <f>IF($B585="","",IFERROR(SUMIFS(存条明细!E:E,存条明细!C:C,$B585,存条明细!D:D,$C585),0))</f>
      </c>
      <c r="E585" s="156">
        <f>IF(OR($B585="",N(D585)=0),"",ROUND(F585/D585,2))</f>
      </c>
      <c r="F585" s="156">
        <f>IF($B585="","",IFERROR(SUMIFS(存条明细!G:G,存条明细!C:C,$B585,存条明细!D:D,$C585),0))</f>
      </c>
      <c r="G585" s="14">
        <f>IF($B585="","",IFERROR(SUMIFS(出库明细!E:E,出库明细!C:C,$B585,出库明细!D:D,$C585),0))</f>
      </c>
      <c r="H585" s="156">
        <f>IF($B585="","",IFERROR(SUMIFS(出库明细!G:G,出库明细!C:C,$B585,出库明细!D:D,$C585),0))</f>
      </c>
      <c r="I585" s="14">
        <f>IF($B585="","",D585-G585)</f>
      </c>
      <c r="J585" s="156">
        <f>IF($B585="","",F585-H585)</f>
      </c>
      <c r="K585" s="179">
        <f>IF($B585="","",MAX(_xlfn.MAXIFS(存条明细!B:B,存条明细!C:C,$B585,存条明细!D:D,$C585),_xlfn.MAXIFS(出库明细!B:B,出库明细!C:C,$B585,出库明细!D:D,$C585)))</f>
      </c>
    </row>
    <row r="586" ht="15" customHeight="1" s="71">
      <c r="A586" s="14">
        <f>IF(B586="","",ROW()-3)</f>
      </c>
      <c r="B586" s="14">
        <f>IF(_辅助!$B586="","",IF(_辅助!$B586&lt;=1000,INDEX(存条明细!$C$4:$C$1003,_辅助!$B586),INDEX(出库明细!$C$4:$C$3003,_辅助!$B586-1000)))</f>
      </c>
      <c r="C586" s="14">
        <f>IF(_辅助!$B586="","",IF(_辅助!$B586&lt;=1000,INDEX(存条明细!$D$4:$D$1003,_辅助!$B586),INDEX(出库明细!$D$4:$D$3003,_辅助!$B586-1000)))</f>
      </c>
      <c r="D586" s="14">
        <f>IF($B586="","",IFERROR(SUMIFS(存条明细!E:E,存条明细!C:C,$B586,存条明细!D:D,$C586),0))</f>
      </c>
      <c r="E586" s="156">
        <f>IF(OR($B586="",N(D586)=0),"",ROUND(F586/D586,2))</f>
      </c>
      <c r="F586" s="156">
        <f>IF($B586="","",IFERROR(SUMIFS(存条明细!G:G,存条明细!C:C,$B586,存条明细!D:D,$C586),0))</f>
      </c>
      <c r="G586" s="14">
        <f>IF($B586="","",IFERROR(SUMIFS(出库明细!E:E,出库明细!C:C,$B586,出库明细!D:D,$C586),0))</f>
      </c>
      <c r="H586" s="156">
        <f>IF($B586="","",IFERROR(SUMIFS(出库明细!G:G,出库明细!C:C,$B586,出库明细!D:D,$C586),0))</f>
      </c>
      <c r="I586" s="14">
        <f>IF($B586="","",D586-G586)</f>
      </c>
      <c r="J586" s="156">
        <f>IF($B586="","",F586-H586)</f>
      </c>
      <c r="K586" s="179">
        <f>IF($B586="","",MAX(_xlfn.MAXIFS(存条明细!B:B,存条明细!C:C,$B586,存条明细!D:D,$C586),_xlfn.MAXIFS(出库明细!B:B,出库明细!C:C,$B586,出库明细!D:D,$C586)))</f>
      </c>
    </row>
    <row r="587" ht="15" customHeight="1" s="71">
      <c r="A587" s="14">
        <f>IF(B587="","",ROW()-3)</f>
      </c>
      <c r="B587" s="14">
        <f>IF(_辅助!$B587="","",IF(_辅助!$B587&lt;=1000,INDEX(存条明细!$C$4:$C$1003,_辅助!$B587),INDEX(出库明细!$C$4:$C$3003,_辅助!$B587-1000)))</f>
      </c>
      <c r="C587" s="14">
        <f>IF(_辅助!$B587="","",IF(_辅助!$B587&lt;=1000,INDEX(存条明细!$D$4:$D$1003,_辅助!$B587),INDEX(出库明细!$D$4:$D$3003,_辅助!$B587-1000)))</f>
      </c>
      <c r="D587" s="14">
        <f>IF($B587="","",IFERROR(SUMIFS(存条明细!E:E,存条明细!C:C,$B587,存条明细!D:D,$C587),0))</f>
      </c>
      <c r="E587" s="156">
        <f>IF(OR($B587="",N(D587)=0),"",ROUND(F587/D587,2))</f>
      </c>
      <c r="F587" s="156">
        <f>IF($B587="","",IFERROR(SUMIFS(存条明细!G:G,存条明细!C:C,$B587,存条明细!D:D,$C587),0))</f>
      </c>
      <c r="G587" s="14">
        <f>IF($B587="","",IFERROR(SUMIFS(出库明细!E:E,出库明细!C:C,$B587,出库明细!D:D,$C587),0))</f>
      </c>
      <c r="H587" s="156">
        <f>IF($B587="","",IFERROR(SUMIFS(出库明细!G:G,出库明细!C:C,$B587,出库明细!D:D,$C587),0))</f>
      </c>
      <c r="I587" s="14">
        <f>IF($B587="","",D587-G587)</f>
      </c>
      <c r="J587" s="156">
        <f>IF($B587="","",F587-H587)</f>
      </c>
      <c r="K587" s="179">
        <f>IF($B587="","",MAX(_xlfn.MAXIFS(存条明细!B:B,存条明细!C:C,$B587,存条明细!D:D,$C587),_xlfn.MAXIFS(出库明细!B:B,出库明细!C:C,$B587,出库明细!D:D,$C587)))</f>
      </c>
    </row>
    <row r="588" ht="15" customHeight="1" s="71">
      <c r="A588" s="14">
        <f>IF(B588="","",ROW()-3)</f>
      </c>
      <c r="B588" s="14">
        <f>IF(_辅助!$B588="","",IF(_辅助!$B588&lt;=1000,INDEX(存条明细!$C$4:$C$1003,_辅助!$B588),INDEX(出库明细!$C$4:$C$3003,_辅助!$B588-1000)))</f>
      </c>
      <c r="C588" s="14">
        <f>IF(_辅助!$B588="","",IF(_辅助!$B588&lt;=1000,INDEX(存条明细!$D$4:$D$1003,_辅助!$B588),INDEX(出库明细!$D$4:$D$3003,_辅助!$B588-1000)))</f>
      </c>
      <c r="D588" s="14">
        <f>IF($B588="","",IFERROR(SUMIFS(存条明细!E:E,存条明细!C:C,$B588,存条明细!D:D,$C588),0))</f>
      </c>
      <c r="E588" s="156">
        <f>IF(OR($B588="",N(D588)=0),"",ROUND(F588/D588,2))</f>
      </c>
      <c r="F588" s="156">
        <f>IF($B588="","",IFERROR(SUMIFS(存条明细!G:G,存条明细!C:C,$B588,存条明细!D:D,$C588),0))</f>
      </c>
      <c r="G588" s="14">
        <f>IF($B588="","",IFERROR(SUMIFS(出库明细!E:E,出库明细!C:C,$B588,出库明细!D:D,$C588),0))</f>
      </c>
      <c r="H588" s="156">
        <f>IF($B588="","",IFERROR(SUMIFS(出库明细!G:G,出库明细!C:C,$B588,出库明细!D:D,$C588),0))</f>
      </c>
      <c r="I588" s="14">
        <f>IF($B588="","",D588-G588)</f>
      </c>
      <c r="J588" s="156">
        <f>IF($B588="","",F588-H588)</f>
      </c>
      <c r="K588" s="179">
        <f>IF($B588="","",MAX(_xlfn.MAXIFS(存条明细!B:B,存条明细!C:C,$B588,存条明细!D:D,$C588),_xlfn.MAXIFS(出库明细!B:B,出库明细!C:C,$B588,出库明细!D:D,$C588)))</f>
      </c>
    </row>
    <row r="589" ht="15" customHeight="1" s="71">
      <c r="A589" s="14">
        <f>IF(B589="","",ROW()-3)</f>
      </c>
      <c r="B589" s="14">
        <f>IF(_辅助!$B589="","",IF(_辅助!$B589&lt;=1000,INDEX(存条明细!$C$4:$C$1003,_辅助!$B589),INDEX(出库明细!$C$4:$C$3003,_辅助!$B589-1000)))</f>
      </c>
      <c r="C589" s="14">
        <f>IF(_辅助!$B589="","",IF(_辅助!$B589&lt;=1000,INDEX(存条明细!$D$4:$D$1003,_辅助!$B589),INDEX(出库明细!$D$4:$D$3003,_辅助!$B589-1000)))</f>
      </c>
      <c r="D589" s="14">
        <f>IF($B589="","",IFERROR(SUMIFS(存条明细!E:E,存条明细!C:C,$B589,存条明细!D:D,$C589),0))</f>
      </c>
      <c r="E589" s="156">
        <f>IF(OR($B589="",N(D589)=0),"",ROUND(F589/D589,2))</f>
      </c>
      <c r="F589" s="156">
        <f>IF($B589="","",IFERROR(SUMIFS(存条明细!G:G,存条明细!C:C,$B589,存条明细!D:D,$C589),0))</f>
      </c>
      <c r="G589" s="14">
        <f>IF($B589="","",IFERROR(SUMIFS(出库明细!E:E,出库明细!C:C,$B589,出库明细!D:D,$C589),0))</f>
      </c>
      <c r="H589" s="156">
        <f>IF($B589="","",IFERROR(SUMIFS(出库明细!G:G,出库明细!C:C,$B589,出库明细!D:D,$C589),0))</f>
      </c>
      <c r="I589" s="14">
        <f>IF($B589="","",D589-G589)</f>
      </c>
      <c r="J589" s="156">
        <f>IF($B589="","",F589-H589)</f>
      </c>
      <c r="K589" s="179">
        <f>IF($B589="","",MAX(_xlfn.MAXIFS(存条明细!B:B,存条明细!C:C,$B589,存条明细!D:D,$C589),_xlfn.MAXIFS(出库明细!B:B,出库明细!C:C,$B589,出库明细!D:D,$C589)))</f>
      </c>
    </row>
    <row r="590" ht="15" customHeight="1" s="71">
      <c r="A590" s="14">
        <f>IF(B590="","",ROW()-3)</f>
      </c>
      <c r="B590" s="14">
        <f>IF(_辅助!$B590="","",IF(_辅助!$B590&lt;=1000,INDEX(存条明细!$C$4:$C$1003,_辅助!$B590),INDEX(出库明细!$C$4:$C$3003,_辅助!$B590-1000)))</f>
      </c>
      <c r="C590" s="14">
        <f>IF(_辅助!$B590="","",IF(_辅助!$B590&lt;=1000,INDEX(存条明细!$D$4:$D$1003,_辅助!$B590),INDEX(出库明细!$D$4:$D$3003,_辅助!$B590-1000)))</f>
      </c>
      <c r="D590" s="14">
        <f>IF($B590="","",IFERROR(SUMIFS(存条明细!E:E,存条明细!C:C,$B590,存条明细!D:D,$C590),0))</f>
      </c>
      <c r="E590" s="156">
        <f>IF(OR($B590="",N(D590)=0),"",ROUND(F590/D590,2))</f>
      </c>
      <c r="F590" s="156">
        <f>IF($B590="","",IFERROR(SUMIFS(存条明细!G:G,存条明细!C:C,$B590,存条明细!D:D,$C590),0))</f>
      </c>
      <c r="G590" s="14">
        <f>IF($B590="","",IFERROR(SUMIFS(出库明细!E:E,出库明细!C:C,$B590,出库明细!D:D,$C590),0))</f>
      </c>
      <c r="H590" s="156">
        <f>IF($B590="","",IFERROR(SUMIFS(出库明细!G:G,出库明细!C:C,$B590,出库明细!D:D,$C590),0))</f>
      </c>
      <c r="I590" s="14">
        <f>IF($B590="","",D590-G590)</f>
      </c>
      <c r="J590" s="156">
        <f>IF($B590="","",F590-H590)</f>
      </c>
      <c r="K590" s="179">
        <f>IF($B590="","",MAX(_xlfn.MAXIFS(存条明细!B:B,存条明细!C:C,$B590,存条明细!D:D,$C590),_xlfn.MAXIFS(出库明细!B:B,出库明细!C:C,$B590,出库明细!D:D,$C590)))</f>
      </c>
    </row>
    <row r="591" ht="15" customHeight="1" s="71">
      <c r="A591" s="14">
        <f>IF(B591="","",ROW()-3)</f>
      </c>
      <c r="B591" s="14">
        <f>IF(_辅助!$B591="","",IF(_辅助!$B591&lt;=1000,INDEX(存条明细!$C$4:$C$1003,_辅助!$B591),INDEX(出库明细!$C$4:$C$3003,_辅助!$B591-1000)))</f>
      </c>
      <c r="C591" s="14">
        <f>IF(_辅助!$B591="","",IF(_辅助!$B591&lt;=1000,INDEX(存条明细!$D$4:$D$1003,_辅助!$B591),INDEX(出库明细!$D$4:$D$3003,_辅助!$B591-1000)))</f>
      </c>
      <c r="D591" s="14">
        <f>IF($B591="","",IFERROR(SUMIFS(存条明细!E:E,存条明细!C:C,$B591,存条明细!D:D,$C591),0))</f>
      </c>
      <c r="E591" s="156">
        <f>IF(OR($B591="",N(D591)=0),"",ROUND(F591/D591,2))</f>
      </c>
      <c r="F591" s="156">
        <f>IF($B591="","",IFERROR(SUMIFS(存条明细!G:G,存条明细!C:C,$B591,存条明细!D:D,$C591),0))</f>
      </c>
      <c r="G591" s="14">
        <f>IF($B591="","",IFERROR(SUMIFS(出库明细!E:E,出库明细!C:C,$B591,出库明细!D:D,$C591),0))</f>
      </c>
      <c r="H591" s="156">
        <f>IF($B591="","",IFERROR(SUMIFS(出库明细!G:G,出库明细!C:C,$B591,出库明细!D:D,$C591),0))</f>
      </c>
      <c r="I591" s="14">
        <f>IF($B591="","",D591-G591)</f>
      </c>
      <c r="J591" s="156">
        <f>IF($B591="","",F591-H591)</f>
      </c>
      <c r="K591" s="179">
        <f>IF($B591="","",MAX(_xlfn.MAXIFS(存条明细!B:B,存条明细!C:C,$B591,存条明细!D:D,$C591),_xlfn.MAXIFS(出库明细!B:B,出库明细!C:C,$B591,出库明细!D:D,$C591)))</f>
      </c>
    </row>
    <row r="592" ht="15" customHeight="1" s="71">
      <c r="A592" s="14">
        <f>IF(B592="","",ROW()-3)</f>
      </c>
      <c r="B592" s="14">
        <f>IF(_辅助!$B592="","",IF(_辅助!$B592&lt;=1000,INDEX(存条明细!$C$4:$C$1003,_辅助!$B592),INDEX(出库明细!$C$4:$C$3003,_辅助!$B592-1000)))</f>
      </c>
      <c r="C592" s="14">
        <f>IF(_辅助!$B592="","",IF(_辅助!$B592&lt;=1000,INDEX(存条明细!$D$4:$D$1003,_辅助!$B592),INDEX(出库明细!$D$4:$D$3003,_辅助!$B592-1000)))</f>
      </c>
      <c r="D592" s="14">
        <f>IF($B592="","",IFERROR(SUMIFS(存条明细!E:E,存条明细!C:C,$B592,存条明细!D:D,$C592),0))</f>
      </c>
      <c r="E592" s="156">
        <f>IF(OR($B592="",N(D592)=0),"",ROUND(F592/D592,2))</f>
      </c>
      <c r="F592" s="156">
        <f>IF($B592="","",IFERROR(SUMIFS(存条明细!G:G,存条明细!C:C,$B592,存条明细!D:D,$C592),0))</f>
      </c>
      <c r="G592" s="14">
        <f>IF($B592="","",IFERROR(SUMIFS(出库明细!E:E,出库明细!C:C,$B592,出库明细!D:D,$C592),0))</f>
      </c>
      <c r="H592" s="156">
        <f>IF($B592="","",IFERROR(SUMIFS(出库明细!G:G,出库明细!C:C,$B592,出库明细!D:D,$C592),0))</f>
      </c>
      <c r="I592" s="14">
        <f>IF($B592="","",D592-G592)</f>
      </c>
      <c r="J592" s="156">
        <f>IF($B592="","",F592-H592)</f>
      </c>
      <c r="K592" s="179">
        <f>IF($B592="","",MAX(_xlfn.MAXIFS(存条明细!B:B,存条明细!C:C,$B592,存条明细!D:D,$C592),_xlfn.MAXIFS(出库明细!B:B,出库明细!C:C,$B592,出库明细!D:D,$C592)))</f>
      </c>
    </row>
    <row r="593" ht="15" customHeight="1" s="71">
      <c r="A593" s="14">
        <f>IF(B593="","",ROW()-3)</f>
      </c>
      <c r="B593" s="14">
        <f>IF(_辅助!$B593="","",IF(_辅助!$B593&lt;=1000,INDEX(存条明细!$C$4:$C$1003,_辅助!$B593),INDEX(出库明细!$C$4:$C$3003,_辅助!$B593-1000)))</f>
      </c>
      <c r="C593" s="14">
        <f>IF(_辅助!$B593="","",IF(_辅助!$B593&lt;=1000,INDEX(存条明细!$D$4:$D$1003,_辅助!$B593),INDEX(出库明细!$D$4:$D$3003,_辅助!$B593-1000)))</f>
      </c>
      <c r="D593" s="14">
        <f>IF($B593="","",IFERROR(SUMIFS(存条明细!E:E,存条明细!C:C,$B593,存条明细!D:D,$C593),0))</f>
      </c>
      <c r="E593" s="156">
        <f>IF(OR($B593="",N(D593)=0),"",ROUND(F593/D593,2))</f>
      </c>
      <c r="F593" s="156">
        <f>IF($B593="","",IFERROR(SUMIFS(存条明细!G:G,存条明细!C:C,$B593,存条明细!D:D,$C593),0))</f>
      </c>
      <c r="G593" s="14">
        <f>IF($B593="","",IFERROR(SUMIFS(出库明细!E:E,出库明细!C:C,$B593,出库明细!D:D,$C593),0))</f>
      </c>
      <c r="H593" s="156">
        <f>IF($B593="","",IFERROR(SUMIFS(出库明细!G:G,出库明细!C:C,$B593,出库明细!D:D,$C593),0))</f>
      </c>
      <c r="I593" s="14">
        <f>IF($B593="","",D593-G593)</f>
      </c>
      <c r="J593" s="156">
        <f>IF($B593="","",F593-H593)</f>
      </c>
      <c r="K593" s="179">
        <f>IF($B593="","",MAX(_xlfn.MAXIFS(存条明细!B:B,存条明细!C:C,$B593,存条明细!D:D,$C593),_xlfn.MAXIFS(出库明细!B:B,出库明细!C:C,$B593,出库明细!D:D,$C593)))</f>
      </c>
    </row>
    <row r="594" ht="15" customHeight="1" s="71">
      <c r="A594" s="14">
        <f>IF(B594="","",ROW()-3)</f>
      </c>
      <c r="B594" s="14">
        <f>IF(_辅助!$B594="","",IF(_辅助!$B594&lt;=1000,INDEX(存条明细!$C$4:$C$1003,_辅助!$B594),INDEX(出库明细!$C$4:$C$3003,_辅助!$B594-1000)))</f>
      </c>
      <c r="C594" s="14">
        <f>IF(_辅助!$B594="","",IF(_辅助!$B594&lt;=1000,INDEX(存条明细!$D$4:$D$1003,_辅助!$B594),INDEX(出库明细!$D$4:$D$3003,_辅助!$B594-1000)))</f>
      </c>
      <c r="D594" s="14">
        <f>IF($B594="","",IFERROR(SUMIFS(存条明细!E:E,存条明细!C:C,$B594,存条明细!D:D,$C594),0))</f>
      </c>
      <c r="E594" s="156">
        <f>IF(OR($B594="",N(D594)=0),"",ROUND(F594/D594,2))</f>
      </c>
      <c r="F594" s="156">
        <f>IF($B594="","",IFERROR(SUMIFS(存条明细!G:G,存条明细!C:C,$B594,存条明细!D:D,$C594),0))</f>
      </c>
      <c r="G594" s="14">
        <f>IF($B594="","",IFERROR(SUMIFS(出库明细!E:E,出库明细!C:C,$B594,出库明细!D:D,$C594),0))</f>
      </c>
      <c r="H594" s="156">
        <f>IF($B594="","",IFERROR(SUMIFS(出库明细!G:G,出库明细!C:C,$B594,出库明细!D:D,$C594),0))</f>
      </c>
      <c r="I594" s="14">
        <f>IF($B594="","",D594-G594)</f>
      </c>
      <c r="J594" s="156">
        <f>IF($B594="","",F594-H594)</f>
      </c>
      <c r="K594" s="179">
        <f>IF($B594="","",MAX(_xlfn.MAXIFS(存条明细!B:B,存条明细!C:C,$B594,存条明细!D:D,$C594),_xlfn.MAXIFS(出库明细!B:B,出库明细!C:C,$B594,出库明细!D:D,$C594)))</f>
      </c>
    </row>
    <row r="595" ht="15" customHeight="1" s="71">
      <c r="A595" s="14">
        <f>IF(B595="","",ROW()-3)</f>
      </c>
      <c r="B595" s="14">
        <f>IF(_辅助!$B595="","",IF(_辅助!$B595&lt;=1000,INDEX(存条明细!$C$4:$C$1003,_辅助!$B595),INDEX(出库明细!$C$4:$C$3003,_辅助!$B595-1000)))</f>
      </c>
      <c r="C595" s="14">
        <f>IF(_辅助!$B595="","",IF(_辅助!$B595&lt;=1000,INDEX(存条明细!$D$4:$D$1003,_辅助!$B595),INDEX(出库明细!$D$4:$D$3003,_辅助!$B595-1000)))</f>
      </c>
      <c r="D595" s="14">
        <f>IF($B595="","",IFERROR(SUMIFS(存条明细!E:E,存条明细!C:C,$B595,存条明细!D:D,$C595),0))</f>
      </c>
      <c r="E595" s="156">
        <f>IF(OR($B595="",N(D595)=0),"",ROUND(F595/D595,2))</f>
      </c>
      <c r="F595" s="156">
        <f>IF($B595="","",IFERROR(SUMIFS(存条明细!G:G,存条明细!C:C,$B595,存条明细!D:D,$C595),0))</f>
      </c>
      <c r="G595" s="14">
        <f>IF($B595="","",IFERROR(SUMIFS(出库明细!E:E,出库明细!C:C,$B595,出库明细!D:D,$C595),0))</f>
      </c>
      <c r="H595" s="156">
        <f>IF($B595="","",IFERROR(SUMIFS(出库明细!G:G,出库明细!C:C,$B595,出库明细!D:D,$C595),0))</f>
      </c>
      <c r="I595" s="14">
        <f>IF($B595="","",D595-G595)</f>
      </c>
      <c r="J595" s="156">
        <f>IF($B595="","",F595-H595)</f>
      </c>
      <c r="K595" s="179">
        <f>IF($B595="","",MAX(_xlfn.MAXIFS(存条明细!B:B,存条明细!C:C,$B595,存条明细!D:D,$C595),_xlfn.MAXIFS(出库明细!B:B,出库明细!C:C,$B595,出库明细!D:D,$C595)))</f>
      </c>
    </row>
    <row r="596" ht="15" customHeight="1" s="71">
      <c r="A596" s="14">
        <f>IF(B596="","",ROW()-3)</f>
      </c>
      <c r="B596" s="14">
        <f>IF(_辅助!$B596="","",IF(_辅助!$B596&lt;=1000,INDEX(存条明细!$C$4:$C$1003,_辅助!$B596),INDEX(出库明细!$C$4:$C$3003,_辅助!$B596-1000)))</f>
      </c>
      <c r="C596" s="14">
        <f>IF(_辅助!$B596="","",IF(_辅助!$B596&lt;=1000,INDEX(存条明细!$D$4:$D$1003,_辅助!$B596),INDEX(出库明细!$D$4:$D$3003,_辅助!$B596-1000)))</f>
      </c>
      <c r="D596" s="14">
        <f>IF($B596="","",IFERROR(SUMIFS(存条明细!E:E,存条明细!C:C,$B596,存条明细!D:D,$C596),0))</f>
      </c>
      <c r="E596" s="156">
        <f>IF(OR($B596="",N(D596)=0),"",ROUND(F596/D596,2))</f>
      </c>
      <c r="F596" s="156">
        <f>IF($B596="","",IFERROR(SUMIFS(存条明细!G:G,存条明细!C:C,$B596,存条明细!D:D,$C596),0))</f>
      </c>
      <c r="G596" s="14">
        <f>IF($B596="","",IFERROR(SUMIFS(出库明细!E:E,出库明细!C:C,$B596,出库明细!D:D,$C596),0))</f>
      </c>
      <c r="H596" s="156">
        <f>IF($B596="","",IFERROR(SUMIFS(出库明细!G:G,出库明细!C:C,$B596,出库明细!D:D,$C596),0))</f>
      </c>
      <c r="I596" s="14">
        <f>IF($B596="","",D596-G596)</f>
      </c>
      <c r="J596" s="156">
        <f>IF($B596="","",F596-H596)</f>
      </c>
      <c r="K596" s="179">
        <f>IF($B596="","",MAX(_xlfn.MAXIFS(存条明细!B:B,存条明细!C:C,$B596,存条明细!D:D,$C596),_xlfn.MAXIFS(出库明细!B:B,出库明细!C:C,$B596,出库明细!D:D,$C596)))</f>
      </c>
    </row>
    <row r="597" ht="15" customHeight="1" s="71">
      <c r="A597" s="14">
        <f>IF(B597="","",ROW()-3)</f>
      </c>
      <c r="B597" s="14">
        <f>IF(_辅助!$B597="","",IF(_辅助!$B597&lt;=1000,INDEX(存条明细!$C$4:$C$1003,_辅助!$B597),INDEX(出库明细!$C$4:$C$3003,_辅助!$B597-1000)))</f>
      </c>
      <c r="C597" s="14">
        <f>IF(_辅助!$B597="","",IF(_辅助!$B597&lt;=1000,INDEX(存条明细!$D$4:$D$1003,_辅助!$B597),INDEX(出库明细!$D$4:$D$3003,_辅助!$B597-1000)))</f>
      </c>
      <c r="D597" s="14">
        <f>IF($B597="","",IFERROR(SUMIFS(存条明细!E:E,存条明细!C:C,$B597,存条明细!D:D,$C597),0))</f>
      </c>
      <c r="E597" s="156">
        <f>IF(OR($B597="",N(D597)=0),"",ROUND(F597/D597,2))</f>
      </c>
      <c r="F597" s="156">
        <f>IF($B597="","",IFERROR(SUMIFS(存条明细!G:G,存条明细!C:C,$B597,存条明细!D:D,$C597),0))</f>
      </c>
      <c r="G597" s="14">
        <f>IF($B597="","",IFERROR(SUMIFS(出库明细!E:E,出库明细!C:C,$B597,出库明细!D:D,$C597),0))</f>
      </c>
      <c r="H597" s="156">
        <f>IF($B597="","",IFERROR(SUMIFS(出库明细!G:G,出库明细!C:C,$B597,出库明细!D:D,$C597),0))</f>
      </c>
      <c r="I597" s="14">
        <f>IF($B597="","",D597-G597)</f>
      </c>
      <c r="J597" s="156">
        <f>IF($B597="","",F597-H597)</f>
      </c>
      <c r="K597" s="179">
        <f>IF($B597="","",MAX(_xlfn.MAXIFS(存条明细!B:B,存条明细!C:C,$B597,存条明细!D:D,$C597),_xlfn.MAXIFS(出库明细!B:B,出库明细!C:C,$B597,出库明细!D:D,$C597)))</f>
      </c>
    </row>
    <row r="598" ht="15" customHeight="1" s="71">
      <c r="A598" s="14">
        <f>IF(B598="","",ROW()-3)</f>
      </c>
      <c r="B598" s="14">
        <f>IF(_辅助!$B598="","",IF(_辅助!$B598&lt;=1000,INDEX(存条明细!$C$4:$C$1003,_辅助!$B598),INDEX(出库明细!$C$4:$C$3003,_辅助!$B598-1000)))</f>
      </c>
      <c r="C598" s="14">
        <f>IF(_辅助!$B598="","",IF(_辅助!$B598&lt;=1000,INDEX(存条明细!$D$4:$D$1003,_辅助!$B598),INDEX(出库明细!$D$4:$D$3003,_辅助!$B598-1000)))</f>
      </c>
      <c r="D598" s="14">
        <f>IF($B598="","",IFERROR(SUMIFS(存条明细!E:E,存条明细!C:C,$B598,存条明细!D:D,$C598),0))</f>
      </c>
      <c r="E598" s="156">
        <f>IF(OR($B598="",N(D598)=0),"",ROUND(F598/D598,2))</f>
      </c>
      <c r="F598" s="156">
        <f>IF($B598="","",IFERROR(SUMIFS(存条明细!G:G,存条明细!C:C,$B598,存条明细!D:D,$C598),0))</f>
      </c>
      <c r="G598" s="14">
        <f>IF($B598="","",IFERROR(SUMIFS(出库明细!E:E,出库明细!C:C,$B598,出库明细!D:D,$C598),0))</f>
      </c>
      <c r="H598" s="156">
        <f>IF($B598="","",IFERROR(SUMIFS(出库明细!G:G,出库明细!C:C,$B598,出库明细!D:D,$C598),0))</f>
      </c>
      <c r="I598" s="14">
        <f>IF($B598="","",D598-G598)</f>
      </c>
      <c r="J598" s="156">
        <f>IF($B598="","",F598-H598)</f>
      </c>
      <c r="K598" s="179">
        <f>IF($B598="","",MAX(_xlfn.MAXIFS(存条明细!B:B,存条明细!C:C,$B598,存条明细!D:D,$C598),_xlfn.MAXIFS(出库明细!B:B,出库明细!C:C,$B598,出库明细!D:D,$C598)))</f>
      </c>
    </row>
    <row r="599" ht="15" customHeight="1" s="71">
      <c r="A599" s="14">
        <f>IF(B599="","",ROW()-3)</f>
      </c>
      <c r="B599" s="14">
        <f>IF(_辅助!$B599="","",IF(_辅助!$B599&lt;=1000,INDEX(存条明细!$C$4:$C$1003,_辅助!$B599),INDEX(出库明细!$C$4:$C$3003,_辅助!$B599-1000)))</f>
      </c>
      <c r="C599" s="14">
        <f>IF(_辅助!$B599="","",IF(_辅助!$B599&lt;=1000,INDEX(存条明细!$D$4:$D$1003,_辅助!$B599),INDEX(出库明细!$D$4:$D$3003,_辅助!$B599-1000)))</f>
      </c>
      <c r="D599" s="14">
        <f>IF($B599="","",IFERROR(SUMIFS(存条明细!E:E,存条明细!C:C,$B599,存条明细!D:D,$C599),0))</f>
      </c>
      <c r="E599" s="156">
        <f>IF(OR($B599="",N(D599)=0),"",ROUND(F599/D599,2))</f>
      </c>
      <c r="F599" s="156">
        <f>IF($B599="","",IFERROR(SUMIFS(存条明细!G:G,存条明细!C:C,$B599,存条明细!D:D,$C599),0))</f>
      </c>
      <c r="G599" s="14">
        <f>IF($B599="","",IFERROR(SUMIFS(出库明细!E:E,出库明细!C:C,$B599,出库明细!D:D,$C599),0))</f>
      </c>
      <c r="H599" s="156">
        <f>IF($B599="","",IFERROR(SUMIFS(出库明细!G:G,出库明细!C:C,$B599,出库明细!D:D,$C599),0))</f>
      </c>
      <c r="I599" s="14">
        <f>IF($B599="","",D599-G599)</f>
      </c>
      <c r="J599" s="156">
        <f>IF($B599="","",F599-H599)</f>
      </c>
      <c r="K599" s="179">
        <f>IF($B599="","",MAX(_xlfn.MAXIFS(存条明细!B:B,存条明细!C:C,$B599,存条明细!D:D,$C599),_xlfn.MAXIFS(出库明细!B:B,出库明细!C:C,$B599,出库明细!D:D,$C599)))</f>
      </c>
    </row>
    <row r="600" ht="15" customHeight="1" s="71">
      <c r="A600" s="14">
        <f>IF(B600="","",ROW()-3)</f>
      </c>
      <c r="B600" s="14">
        <f>IF(_辅助!$B600="","",IF(_辅助!$B600&lt;=1000,INDEX(存条明细!$C$4:$C$1003,_辅助!$B600),INDEX(出库明细!$C$4:$C$3003,_辅助!$B600-1000)))</f>
      </c>
      <c r="C600" s="14">
        <f>IF(_辅助!$B600="","",IF(_辅助!$B600&lt;=1000,INDEX(存条明细!$D$4:$D$1003,_辅助!$B600),INDEX(出库明细!$D$4:$D$3003,_辅助!$B600-1000)))</f>
      </c>
      <c r="D600" s="14">
        <f>IF($B600="","",IFERROR(SUMIFS(存条明细!E:E,存条明细!C:C,$B600,存条明细!D:D,$C600),0))</f>
      </c>
      <c r="E600" s="156">
        <f>IF(OR($B600="",N(D600)=0),"",ROUND(F600/D600,2))</f>
      </c>
      <c r="F600" s="156">
        <f>IF($B600="","",IFERROR(SUMIFS(存条明细!G:G,存条明细!C:C,$B600,存条明细!D:D,$C600),0))</f>
      </c>
      <c r="G600" s="14">
        <f>IF($B600="","",IFERROR(SUMIFS(出库明细!E:E,出库明细!C:C,$B600,出库明细!D:D,$C600),0))</f>
      </c>
      <c r="H600" s="156">
        <f>IF($B600="","",IFERROR(SUMIFS(出库明细!G:G,出库明细!C:C,$B600,出库明细!D:D,$C600),0))</f>
      </c>
      <c r="I600" s="14">
        <f>IF($B600="","",D600-G600)</f>
      </c>
      <c r="J600" s="156">
        <f>IF($B600="","",F600-H600)</f>
      </c>
      <c r="K600" s="179">
        <f>IF($B600="","",MAX(_xlfn.MAXIFS(存条明细!B:B,存条明细!C:C,$B600,存条明细!D:D,$C600),_xlfn.MAXIFS(出库明细!B:B,出库明细!C:C,$B600,出库明细!D:D,$C600)))</f>
      </c>
    </row>
    <row r="601" ht="15" customHeight="1" s="71">
      <c r="A601" s="14">
        <f>IF(B601="","",ROW()-3)</f>
      </c>
      <c r="B601" s="14">
        <f>IF(_辅助!$B601="","",IF(_辅助!$B601&lt;=1000,INDEX(存条明细!$C$4:$C$1003,_辅助!$B601),INDEX(出库明细!$C$4:$C$3003,_辅助!$B601-1000)))</f>
      </c>
      <c r="C601" s="14">
        <f>IF(_辅助!$B601="","",IF(_辅助!$B601&lt;=1000,INDEX(存条明细!$D$4:$D$1003,_辅助!$B601),INDEX(出库明细!$D$4:$D$3003,_辅助!$B601-1000)))</f>
      </c>
      <c r="D601" s="14">
        <f>IF($B601="","",IFERROR(SUMIFS(存条明细!E:E,存条明细!C:C,$B601,存条明细!D:D,$C601),0))</f>
      </c>
      <c r="E601" s="156">
        <f>IF(OR($B601="",N(D601)=0),"",ROUND(F601/D601,2))</f>
      </c>
      <c r="F601" s="156">
        <f>IF($B601="","",IFERROR(SUMIFS(存条明细!G:G,存条明细!C:C,$B601,存条明细!D:D,$C601),0))</f>
      </c>
      <c r="G601" s="14">
        <f>IF($B601="","",IFERROR(SUMIFS(出库明细!E:E,出库明细!C:C,$B601,出库明细!D:D,$C601),0))</f>
      </c>
      <c r="H601" s="156">
        <f>IF($B601="","",IFERROR(SUMIFS(出库明细!G:G,出库明细!C:C,$B601,出库明细!D:D,$C601),0))</f>
      </c>
      <c r="I601" s="14">
        <f>IF($B601="","",D601-G601)</f>
      </c>
      <c r="J601" s="156">
        <f>IF($B601="","",F601-H601)</f>
      </c>
      <c r="K601" s="179">
        <f>IF($B601="","",MAX(_xlfn.MAXIFS(存条明细!B:B,存条明细!C:C,$B601,存条明细!D:D,$C601),_xlfn.MAXIFS(出库明细!B:B,出库明细!C:C,$B601,出库明细!D:D,$C601)))</f>
      </c>
    </row>
    <row r="602" ht="15" customHeight="1" s="71">
      <c r="A602" s="14">
        <f>IF(B602="","",ROW()-3)</f>
      </c>
      <c r="B602" s="14">
        <f>IF(_辅助!$B602="","",IF(_辅助!$B602&lt;=1000,INDEX(存条明细!$C$4:$C$1003,_辅助!$B602),INDEX(出库明细!$C$4:$C$3003,_辅助!$B602-1000)))</f>
      </c>
      <c r="C602" s="14">
        <f>IF(_辅助!$B602="","",IF(_辅助!$B602&lt;=1000,INDEX(存条明细!$D$4:$D$1003,_辅助!$B602),INDEX(出库明细!$D$4:$D$3003,_辅助!$B602-1000)))</f>
      </c>
      <c r="D602" s="14">
        <f>IF($B602="","",IFERROR(SUMIFS(存条明细!E:E,存条明细!C:C,$B602,存条明细!D:D,$C602),0))</f>
      </c>
      <c r="E602" s="156">
        <f>IF(OR($B602="",N(D602)=0),"",ROUND(F602/D602,2))</f>
      </c>
      <c r="F602" s="156">
        <f>IF($B602="","",IFERROR(SUMIFS(存条明细!G:G,存条明细!C:C,$B602,存条明细!D:D,$C602),0))</f>
      </c>
      <c r="G602" s="14">
        <f>IF($B602="","",IFERROR(SUMIFS(出库明细!E:E,出库明细!C:C,$B602,出库明细!D:D,$C602),0))</f>
      </c>
      <c r="H602" s="156">
        <f>IF($B602="","",IFERROR(SUMIFS(出库明细!G:G,出库明细!C:C,$B602,出库明细!D:D,$C602),0))</f>
      </c>
      <c r="I602" s="14">
        <f>IF($B602="","",D602-G602)</f>
      </c>
      <c r="J602" s="156">
        <f>IF($B602="","",F602-H602)</f>
      </c>
      <c r="K602" s="179">
        <f>IF($B602="","",MAX(_xlfn.MAXIFS(存条明细!B:B,存条明细!C:C,$B602,存条明细!D:D,$C602),_xlfn.MAXIFS(出库明细!B:B,出库明细!C:C,$B602,出库明细!D:D,$C602)))</f>
      </c>
    </row>
    <row r="603" ht="15" customHeight="1" s="71">
      <c r="A603" s="14">
        <f>IF(B603="","",ROW()-3)</f>
      </c>
      <c r="B603" s="14">
        <f>IF(_辅助!$B603="","",IF(_辅助!$B603&lt;=1000,INDEX(存条明细!$C$4:$C$1003,_辅助!$B603),INDEX(出库明细!$C$4:$C$3003,_辅助!$B603-1000)))</f>
      </c>
      <c r="C603" s="14">
        <f>IF(_辅助!$B603="","",IF(_辅助!$B603&lt;=1000,INDEX(存条明细!$D$4:$D$1003,_辅助!$B603),INDEX(出库明细!$D$4:$D$3003,_辅助!$B603-1000)))</f>
      </c>
      <c r="D603" s="14">
        <f>IF($B603="","",IFERROR(SUMIFS(存条明细!E:E,存条明细!C:C,$B603,存条明细!D:D,$C603),0))</f>
      </c>
      <c r="E603" s="156">
        <f>IF(OR($B603="",N(D603)=0),"",ROUND(F603/D603,2))</f>
      </c>
      <c r="F603" s="156">
        <f>IF($B603="","",IFERROR(SUMIFS(存条明细!G:G,存条明细!C:C,$B603,存条明细!D:D,$C603),0))</f>
      </c>
      <c r="G603" s="14">
        <f>IF($B603="","",IFERROR(SUMIFS(出库明细!E:E,出库明细!C:C,$B603,出库明细!D:D,$C603),0))</f>
      </c>
      <c r="H603" s="156">
        <f>IF($B603="","",IFERROR(SUMIFS(出库明细!G:G,出库明细!C:C,$B603,出库明细!D:D,$C603),0))</f>
      </c>
      <c r="I603" s="14">
        <f>IF($B603="","",D603-G603)</f>
      </c>
      <c r="J603" s="156">
        <f>IF($B603="","",F603-H603)</f>
      </c>
      <c r="K603" s="179">
        <f>IF($B603="","",MAX(_xlfn.MAXIFS(存条明细!B:B,存条明细!C:C,$B603,存条明细!D:D,$C603),_xlfn.MAXIFS(出库明细!B:B,出库明细!C:C,$B603,出库明细!D:D,$C603)))</f>
      </c>
    </row>
    <row r="604">
      <c r="A604" s="37" t="inlineStr">
        <is>
          <t>合计</t>
        </is>
      </c>
      <c r="D604" s="37">
        <f>SUM(D4:D603)</f>
        <v>49668</v>
      </c>
      <c r="E604" s="180" t="n"/>
      <c r="F604" s="159">
        <f>SUM(F4:F603)</f>
        <v>3700383.5</v>
      </c>
      <c r="G604" s="37">
        <f>SUM(G4:G603)</f>
        <v>24328</v>
      </c>
      <c r="H604" s="159">
        <f>SUM(H4:H603)</f>
        <v>1707307.7</v>
      </c>
      <c r="I604" s="37">
        <f>SUM(I4:I603)</f>
        <v>25340</v>
      </c>
      <c r="J604" s="159">
        <f>SUM(J4:J603)</f>
        <v>1993075.8</v>
      </c>
      <c r="K604" s="181" t="n"/>
    </row>
  </sheetData>
  <autoFilter ref="A3:K603"/>
  <mergeCells count="3">
    <mergeCell ref="A604:C604"/>
    <mergeCell ref="A1:J1"/>
    <mergeCell ref="A2:J2"/>
  </mergeCells>
  <conditionalFormatting sqref="A4:J603">
    <cfRule type="expression" priority="1" dxfId="6">
      <formula>AND($B4&lt;&gt;"",$B4&lt;&gt;$B3)</formula>
    </cfRule>
  </conditionalFormatting>
  <conditionalFormatting sqref="I4:J603">
    <cfRule type="expression" priority="2" dxfId="7">
      <formula>AND(ISNUMBER($I4),$I4&lt;0)</formula>
    </cfRule>
  </conditionalFormatting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200"/>
  <sheetViews>
    <sheetView tabSelected="0" workbookViewId="0">
      <selection activeCell="A1" sqref="A1:G1"/>
    </sheetView>
  </sheetViews>
  <sheetFormatPr baseColWidth="8" defaultColWidth="14" defaultRowHeight="12"/>
  <cols>
    <col width="17" customWidth="1" style="71" min="1" max="1"/>
    <col width="13" customWidth="1" style="71" min="2" max="2"/>
    <col width="15" customWidth="1" style="71" min="3" max="3"/>
    <col width="13" customWidth="1" style="71" min="4" max="4"/>
    <col width="15" customWidth="1" style="71" min="5" max="5"/>
    <col width="13" customWidth="1" style="71" min="6" max="6"/>
    <col width="15" customWidth="1" style="71" min="7" max="7"/>
    <col hidden="1" width="13" customWidth="1" style="71" min="9" max="9"/>
  </cols>
  <sheetData>
    <row r="1" ht="33" customHeight="1" s="71">
      <c r="A1" s="1" t="inlineStr">
        <is>
          <t>客户快速查询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 s="71">
      <c r="A2" s="3" t="inlineStr">
        <is>
          <t>💡 在黄色格子选客户名称（有下拉），自动显示该客户的货款和每个商品的存条库存；要打印对账单请到【客户对账单】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29" customHeight="1" s="71">
      <c r="A4" s="4" t="inlineStr">
        <is>
          <t>🔍 请输入客户名称：</t>
        </is>
      </c>
      <c r="B4" s="5" t="inlineStr">
        <is>
          <t>星海超市</t>
        </is>
      </c>
      <c r="E4" s="78" t="inlineStr">
        <is>
          <t>← 下拉选客户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</row>
    <row r="6" ht="26" customHeight="1" s="71">
      <c r="A6" s="6" t="inlineStr">
        <is>
          <t>💰 货款汇总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5" customHeight="1" s="71">
      <c r="A7" s="7" t="inlineStr">
        <is>
          <t>初始存条金额</t>
        </is>
      </c>
      <c r="B7" s="7" t="inlineStr">
        <is>
          <t>已领用金额</t>
        </is>
      </c>
      <c r="C7" s="7" t="inlineStr">
        <is>
          <t>剩余存条金额</t>
        </is>
      </c>
      <c r="D7" s="7" t="inlineStr">
        <is>
          <t>已付款金额</t>
        </is>
      </c>
      <c r="E7" s="7" t="inlineStr">
        <is>
          <t>未付货款</t>
        </is>
      </c>
      <c r="F7" s="7" t="inlineStr">
        <is>
          <t>状态</t>
        </is>
      </c>
      <c r="G7" s="7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15" customHeight="1" s="71">
      <c r="A8" s="182">
        <f>IFERROR(VLOOKUP($B$4,总览汇总!$B$5:$H$304,2,FALSE),"")</f>
        <v>39547</v>
      </c>
      <c r="B8" s="182">
        <f>IFERROR(VLOOKUP($B$4,总览汇总!$B$5:$H$304,3,FALSE),"")</f>
        <v>77322</v>
      </c>
      <c r="C8" s="182">
        <f>IFERROR(VLOOKUP($B$4,总览汇总!$B$5:$H$304,4,FALSE),"")</f>
        <v>-37775</v>
      </c>
      <c r="D8" s="182">
        <f>IFERROR(VLOOKUP($B$4,总览汇总!$B$5:$H$304,5,FALSE),"")</f>
        <v>148067</v>
      </c>
      <c r="E8" s="182">
        <f>IFERROR(VLOOKUP($B$4,总览汇总!$B$5:$H$304,6,FALSE),"")</f>
        <v>-70745</v>
      </c>
      <c r="F8" s="9" t="str">
        <f>IFERROR(VLOOKUP($B$4,总览汇总!$B$5:$H$304,7,FALSE),"")</f>
        <v>预存款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 ht="26" customHeight="1" s="71">
      <c r="A10" s="10" t="inlineStr">
        <is>
          <t>📦 商品库存明细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15" customHeight="1" s="71">
      <c r="A11" s="11" t="inlineStr">
        <is>
          <t>商品品类</t>
        </is>
      </c>
      <c r="B11" s="11" t="inlineStr">
        <is>
          <t>初始数量</t>
        </is>
      </c>
      <c r="C11" s="11" t="inlineStr">
        <is>
          <t>初始金额</t>
        </is>
      </c>
      <c r="D11" s="11" t="inlineStr">
        <is>
          <t>已领用数量</t>
        </is>
      </c>
      <c r="E11" s="11" t="inlineStr">
        <is>
          <t>已领用金额</t>
        </is>
      </c>
      <c r="F11" s="11" t="inlineStr">
        <is>
          <t>剩余数量</t>
        </is>
      </c>
      <c r="G11" s="11" t="inlineStr">
        <is>
          <t>剩余金额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" customHeight="1" s="71">
      <c r="A12" s="12" t="str">
        <f>IF($I12="","",INDEX(商品库存!$C$4:$C$603,$I12))</f>
        <v>大东鹏</v>
      </c>
      <c r="B12" s="12">
        <f>IF($I12="","",INDEX(商品库存!$D$4:$D$603,$I12))</f>
        <v>808</v>
      </c>
      <c r="C12" s="173">
        <f>IF($I12="","",INDEX(商品库存!$F$4:$F$603,$I12))</f>
        <v>72000</v>
      </c>
      <c r="D12" s="12">
        <f>IF($I12="","",INDEX(商品库存!$G$4:$G$603,$I12))</f>
        <v>500</v>
      </c>
      <c r="E12" s="173">
        <f>IF($I12="","",INDEX(商品库存!$H$4:$H$603,$I12))</f>
        <v>45000</v>
      </c>
      <c r="F12" s="12">
        <f>IF($I12="","",INDEX(商品库存!$I$4:$I$603,$I12))</f>
        <v>308</v>
      </c>
      <c r="G12" s="173">
        <f>IF($I12="","",INDEX(商品库存!$J$4:$J$603,$I12))</f>
        <v>27000</v>
      </c>
      <c r="H12" s="2" t="n"/>
      <c r="I12" s="2">
        <f>IFERROR(MATCH(1,_辅助!$D$4:$D$603,0),"")</f>
        <v>1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15" customHeight="1" s="71">
      <c r="A13" s="14" t="str">
        <f>IF($I13="","",INDEX(商品库存!$C$4:$C$603,$I13))</f>
        <v>小东鹏</v>
      </c>
      <c r="B13" s="14">
        <f>IF($I13="","",INDEX(商品库存!$D$4:$D$603,$I13))</f>
        <v>282</v>
      </c>
      <c r="C13" s="156">
        <f>IF($I13="","",INDEX(商品库存!$F$4:$F$603,$I13))</f>
        <v>14100</v>
      </c>
      <c r="D13" s="14">
        <f>IF($I13="","",INDEX(商品库存!$G$4:$G$603,$I13))</f>
        <v>182</v>
      </c>
      <c r="E13" s="156">
        <f>IF($I13="","",INDEX(商品库存!$H$4:$H$603,$I13))</f>
        <v>9282</v>
      </c>
      <c r="F13" s="14">
        <f>IF($I13="","",INDEX(商品库存!$I$4:$I$603,$I13))</f>
        <v>100</v>
      </c>
      <c r="G13" s="156">
        <f>IF($I13="","",INDEX(商品库存!$J$4:$J$603,$I13))</f>
        <v>4818</v>
      </c>
      <c r="H13" s="2" t="n"/>
      <c r="I13" s="2">
        <f>IFERROR(MATCH(2,_辅助!$D$4:$D$603,0),"")</f>
        <v>2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15" customHeight="1" s="71">
      <c r="A14" s="14" t="str">
        <f>IF($I14="","",INDEX(商品库存!$C$4:$C$603,$I14))</f>
        <v>555补水</v>
      </c>
      <c r="B14" s="14">
        <f>IF($I14="","",INDEX(商品库存!$D$4:$D$603,$I14))</f>
        <v>303</v>
      </c>
      <c r="C14" s="156">
        <f>IF($I14="","",INDEX(商品库存!$F$4:$F$603,$I14))</f>
        <v>18395</v>
      </c>
      <c r="D14" s="14">
        <f>IF($I14="","",INDEX(商品库存!$G$4:$G$603,$I14))</f>
        <v>100</v>
      </c>
      <c r="E14" s="156">
        <f>IF($I14="","",INDEX(商品库存!$H$4:$H$603,$I14))</f>
        <v>6500</v>
      </c>
      <c r="F14" s="14">
        <f>IF($I14="","",INDEX(商品库存!$I$4:$I$603,$I14))</f>
        <v>203</v>
      </c>
      <c r="G14" s="156">
        <f>IF($I14="","",INDEX(商品库存!$J$4:$J$603,$I14))</f>
        <v>11895</v>
      </c>
      <c r="H14" s="2" t="n"/>
      <c r="I14" s="2">
        <f>IFERROR(MATCH(3,_辅助!$D$4:$D$603,0),"")</f>
        <v>3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15" customHeight="1" s="71">
      <c r="A15" s="14" t="str">
        <f>IF($I15="","",INDEX(商品库存!$C$4:$C$603,$I15))</f>
        <v>1L补水</v>
      </c>
      <c r="B15" s="14">
        <f>IF($I15="","",INDEX(商品库存!$D$4:$D$603,$I15))</f>
        <v>142</v>
      </c>
      <c r="C15" s="156">
        <f>IF($I15="","",INDEX(商品库存!$F$4:$F$603,$I15))</f>
        <v>7810</v>
      </c>
      <c r="D15" s="14">
        <f>IF($I15="","",INDEX(商品库存!$G$4:$G$603,$I15))</f>
        <v>90</v>
      </c>
      <c r="E15" s="156">
        <f>IF($I15="","",INDEX(商品库存!$H$4:$H$603,$I15))</f>
        <v>4950</v>
      </c>
      <c r="F15" s="14">
        <f>IF($I15="","",INDEX(商品库存!$I$4:$I$603,$I15))</f>
        <v>52</v>
      </c>
      <c r="G15" s="156">
        <f>IF($I15="","",INDEX(商品库存!$J$4:$J$603,$I15))</f>
        <v>2860</v>
      </c>
      <c r="H15" s="2" t="n"/>
      <c r="I15" s="2">
        <f>IFERROR(MATCH(4,_辅助!$D$4:$D$603,0),"")</f>
        <v>4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15" customHeight="1" s="71">
      <c r="A16" s="14" t="str">
        <f>IF($I16="","",INDEX(商品库存!$C$4:$C$603,$I16))</f>
        <v>小果之茶</v>
      </c>
      <c r="B16" s="14">
        <f>IF($I16="","",INDEX(商品库存!$D$4:$D$603,$I16))</f>
        <v>416</v>
      </c>
      <c r="C16" s="156">
        <f>IF($I16="","",INDEX(商品库存!$F$4:$F$603,$I16))</f>
        <v>18800</v>
      </c>
      <c r="D16" s="14">
        <f>IF($I16="","",INDEX(商品库存!$G$4:$G$603,$I16))</f>
        <v>100</v>
      </c>
      <c r="E16" s="156">
        <f>IF($I16="","",INDEX(商品库存!$H$4:$H$603,$I16))</f>
        <v>4700</v>
      </c>
      <c r="F16" s="14">
        <f>IF($I16="","",INDEX(商品库存!$I$4:$I$603,$I16))</f>
        <v>316</v>
      </c>
      <c r="G16" s="156">
        <f>IF($I16="","",INDEX(商品库存!$J$4:$J$603,$I16))</f>
        <v>14100</v>
      </c>
      <c r="H16" s="2" t="n"/>
      <c r="I16" s="2">
        <f>IFERROR(MATCH(5,_辅助!$D$4:$D$603,0),"")</f>
        <v>5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15" customHeight="1" s="71">
      <c r="A17" s="14" t="str">
        <f>IF($I17="","",INDEX(商品库存!$C$4:$C$603,$I17))</f>
        <v>1L果之茶</v>
      </c>
      <c r="B17" s="14">
        <f>IF($I17="","",INDEX(商品库存!$D$4:$D$603,$I17))</f>
        <v>118</v>
      </c>
      <c r="C17" s="156">
        <f>IF($I17="","",INDEX(商品库存!$F$4:$F$603,$I17))</f>
        <v>5074</v>
      </c>
      <c r="D17" s="14">
        <f>IF($I17="","",INDEX(商品库存!$G$4:$G$603,$I17))</f>
        <v>80</v>
      </c>
      <c r="E17" s="156">
        <f>IF($I17="","",INDEX(商品库存!$H$4:$H$603,$I17))</f>
        <v>3440</v>
      </c>
      <c r="F17" s="14">
        <f>IF($I17="","",INDEX(商品库存!$I$4:$I$603,$I17))</f>
        <v>38</v>
      </c>
      <c r="G17" s="156">
        <f>IF($I17="","",INDEX(商品库存!$J$4:$J$603,$I17))</f>
        <v>1634</v>
      </c>
      <c r="H17" s="2" t="n"/>
      <c r="I17" s="2">
        <f>IFERROR(MATCH(6,_辅助!$D$4:$D$603,0),"")</f>
        <v>6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15" customHeight="1" s="71">
      <c r="A18" s="14" t="str">
        <f>IF($I18="","",INDEX(商品库存!$C$4:$C$603,$I18))</f>
        <v>港式奶茶</v>
      </c>
      <c r="B18" s="14">
        <f>IF($I18="","",INDEX(商品库存!$D$4:$D$603,$I18))</f>
        <v>96</v>
      </c>
      <c r="C18" s="156">
        <f>IF($I18="","",INDEX(商品库存!$F$4:$F$603,$I18))</f>
        <v>6624</v>
      </c>
      <c r="D18" s="14">
        <f>IF($I18="","",INDEX(商品库存!$G$4:$G$603,$I18))</f>
        <v>0</v>
      </c>
      <c r="E18" s="156">
        <f>IF($I18="","",INDEX(商品库存!$H$4:$H$603,$I18))</f>
        <v>0</v>
      </c>
      <c r="F18" s="14">
        <f>IF($I18="","",INDEX(商品库存!$I$4:$I$603,$I18))</f>
        <v>96</v>
      </c>
      <c r="G18" s="156">
        <f>IF($I18="","",INDEX(商品库存!$J$4:$J$603,$I18))</f>
        <v>6624</v>
      </c>
      <c r="H18" s="2" t="n"/>
      <c r="I18" s="2">
        <f>IFERROR(MATCH(7,_辅助!$D$4:$D$603,0),"")</f>
        <v>7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15" customHeight="1" s="71">
      <c r="A19" s="14" t="str">
        <f>IF($I19="","",INDEX(商品库存!$C$4:$C$603,$I19))</f>
        <v>大咖</v>
      </c>
      <c r="B19" s="14">
        <f>IF($I19="","",INDEX(商品库存!$D$4:$D$603,$I19))</f>
        <v>104</v>
      </c>
      <c r="C19" s="156">
        <f>IF($I19="","",INDEX(商品库存!$F$4:$F$603,$I19))</f>
        <v>8300</v>
      </c>
      <c r="D19" s="14">
        <f>IF($I19="","",INDEX(商品库存!$G$4:$G$603,$I19))</f>
        <v>30</v>
      </c>
      <c r="E19" s="156">
        <f>IF($I19="","",INDEX(商品库存!$H$4:$H$603,$I19))</f>
        <v>2490</v>
      </c>
      <c r="F19" s="14">
        <f>IF($I19="","",INDEX(商品库存!$I$4:$I$603,$I19))</f>
        <v>74</v>
      </c>
      <c r="G19" s="156">
        <f>IF($I19="","",INDEX(商品库存!$J$4:$J$603,$I19))</f>
        <v>5810</v>
      </c>
      <c r="H19" s="2" t="n"/>
      <c r="I19" s="2">
        <f>IFERROR(MATCH(8,_辅助!$D$4:$D$603,0),"")</f>
        <v>8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15" customHeight="1" s="71">
      <c r="A20" s="14" t="str">
        <f>IF($I20="","",INDEX(商品库存!$C$4:$C$603,$I20))</f>
        <v>小焙好茶</v>
      </c>
      <c r="B20" s="14">
        <f>IF($I20="","",INDEX(商品库存!$D$4:$D$603,$I20))</f>
        <v>0</v>
      </c>
      <c r="C20" s="156">
        <f>IF($I20="","",INDEX(商品库存!$F$4:$F$603,$I20))</f>
        <v>0</v>
      </c>
      <c r="D20" s="14">
        <f>IF($I20="","",INDEX(商品库存!$G$4:$G$603,$I20))</f>
        <v>20</v>
      </c>
      <c r="E20" s="156">
        <f>IF($I20="","",INDEX(商品库存!$H$4:$H$603,$I20))</f>
        <v>960</v>
      </c>
      <c r="F20" s="14">
        <f>IF($I20="","",INDEX(商品库存!$I$4:$I$603,$I20))</f>
        <v>-20</v>
      </c>
      <c r="G20" s="156">
        <f>IF($I20="","",INDEX(商品库存!$J$4:$J$603,$I20))</f>
        <v>-960</v>
      </c>
      <c r="H20" s="2" t="n"/>
      <c r="I20" s="2">
        <f>IFERROR(MATCH(9,_辅助!$D$4:$D$603,0),"")</f>
        <v>9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15" customHeight="1" s="71">
      <c r="A21" s="14">
        <f>IF($I21="","",INDEX(商品库存!$C$4:$C$603,$I21))</f>
      </c>
      <c r="B21" s="14">
        <f>IF($I21="","",INDEX(商品库存!$D$4:$D$603,$I21))</f>
      </c>
      <c r="C21" s="156">
        <f>IF($I21="","",INDEX(商品库存!$F$4:$F$603,$I21))</f>
      </c>
      <c r="D21" s="14">
        <f>IF($I21="","",INDEX(商品库存!$G$4:$G$603,$I21))</f>
      </c>
      <c r="E21" s="156">
        <f>IF($I21="","",INDEX(商品库存!$H$4:$H$603,$I21))</f>
      </c>
      <c r="F21" s="14">
        <f>IF($I21="","",INDEX(商品库存!$I$4:$I$603,$I21))</f>
      </c>
      <c r="G21" s="156">
        <f>IF($I21="","",INDEX(商品库存!$J$4:$J$603,$I21))</f>
      </c>
      <c r="H21" s="2" t="n"/>
      <c r="I21" s="2">
        <f>IFERROR(MATCH(10,_辅助!$D$4:$D$603,0),"")</f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15" customHeight="1" s="71">
      <c r="A22" s="14">
        <f>IF($I22="","",INDEX(商品库存!$C$4:$C$603,$I22))</f>
      </c>
      <c r="B22" s="14">
        <f>IF($I22="","",INDEX(商品库存!$D$4:$D$603,$I22))</f>
      </c>
      <c r="C22" s="156">
        <f>IF($I22="","",INDEX(商品库存!$F$4:$F$603,$I22))</f>
      </c>
      <c r="D22" s="14">
        <f>IF($I22="","",INDEX(商品库存!$G$4:$G$603,$I22))</f>
      </c>
      <c r="E22" s="156">
        <f>IF($I22="","",INDEX(商品库存!$H$4:$H$603,$I22))</f>
      </c>
      <c r="F22" s="14">
        <f>IF($I22="","",INDEX(商品库存!$I$4:$I$603,$I22))</f>
      </c>
      <c r="G22" s="156">
        <f>IF($I22="","",INDEX(商品库存!$J$4:$J$603,$I22))</f>
      </c>
      <c r="H22" s="2" t="n"/>
      <c r="I22" s="2">
        <f>IFERROR(MATCH(11,_辅助!$D$4:$D$603,0),"")</f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 ht="15" customHeight="1" s="71">
      <c r="A23" s="14">
        <f>IF($I23="","",INDEX(商品库存!$C$4:$C$603,$I23))</f>
      </c>
      <c r="B23" s="14">
        <f>IF($I23="","",INDEX(商品库存!$D$4:$D$603,$I23))</f>
      </c>
      <c r="C23" s="156">
        <f>IF($I23="","",INDEX(商品库存!$F$4:$F$603,$I23))</f>
      </c>
      <c r="D23" s="14">
        <f>IF($I23="","",INDEX(商品库存!$G$4:$G$603,$I23))</f>
      </c>
      <c r="E23" s="156">
        <f>IF($I23="","",INDEX(商品库存!$H$4:$H$603,$I23))</f>
      </c>
      <c r="F23" s="14">
        <f>IF($I23="","",INDEX(商品库存!$I$4:$I$603,$I23))</f>
      </c>
      <c r="G23" s="156">
        <f>IF($I23="","",INDEX(商品库存!$J$4:$J$603,$I23))</f>
      </c>
      <c r="H23" s="2" t="n"/>
      <c r="I23" s="2">
        <f>IFERROR(MATCH(12,_辅助!$D$4:$D$603,0),"")</f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 ht="15" customHeight="1" s="71">
      <c r="A24" s="14">
        <f>IF($I24="","",INDEX(商品库存!$C$4:$C$603,$I24))</f>
      </c>
      <c r="B24" s="14">
        <f>IF($I24="","",INDEX(商品库存!$D$4:$D$603,$I24))</f>
      </c>
      <c r="C24" s="156">
        <f>IF($I24="","",INDEX(商品库存!$F$4:$F$603,$I24))</f>
      </c>
      <c r="D24" s="14">
        <f>IF($I24="","",INDEX(商品库存!$G$4:$G$603,$I24))</f>
      </c>
      <c r="E24" s="156">
        <f>IF($I24="","",INDEX(商品库存!$H$4:$H$603,$I24))</f>
      </c>
      <c r="F24" s="14">
        <f>IF($I24="","",INDEX(商品库存!$I$4:$I$603,$I24))</f>
      </c>
      <c r="G24" s="156">
        <f>IF($I24="","",INDEX(商品库存!$J$4:$J$603,$I24))</f>
      </c>
      <c r="H24" s="2" t="n"/>
      <c r="I24" s="2">
        <f>IFERROR(MATCH(13,_辅助!$D$4:$D$603,0),"")</f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 ht="15" customHeight="1" s="71">
      <c r="A25" s="14">
        <f>IF($I25="","",INDEX(商品库存!$C$4:$C$603,$I25))</f>
      </c>
      <c r="B25" s="14">
        <f>IF($I25="","",INDEX(商品库存!$D$4:$D$603,$I25))</f>
      </c>
      <c r="C25" s="156">
        <f>IF($I25="","",INDEX(商品库存!$F$4:$F$603,$I25))</f>
      </c>
      <c r="D25" s="14">
        <f>IF($I25="","",INDEX(商品库存!$G$4:$G$603,$I25))</f>
      </c>
      <c r="E25" s="156">
        <f>IF($I25="","",INDEX(商品库存!$H$4:$H$603,$I25))</f>
      </c>
      <c r="F25" s="14">
        <f>IF($I25="","",INDEX(商品库存!$I$4:$I$603,$I25))</f>
      </c>
      <c r="G25" s="156">
        <f>IF($I25="","",INDEX(商品库存!$J$4:$J$603,$I25))</f>
      </c>
      <c r="H25" s="2" t="n"/>
      <c r="I25" s="2">
        <f>IFERROR(MATCH(14,_辅助!$D$4:$D$603,0),"")</f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 ht="15" customHeight="1" s="71">
      <c r="A26" s="14">
        <f>IF($I26="","",INDEX(商品库存!$C$4:$C$603,$I26))</f>
      </c>
      <c r="B26" s="14">
        <f>IF($I26="","",INDEX(商品库存!$D$4:$D$603,$I26))</f>
      </c>
      <c r="C26" s="156">
        <f>IF($I26="","",INDEX(商品库存!$F$4:$F$603,$I26))</f>
      </c>
      <c r="D26" s="14">
        <f>IF($I26="","",INDEX(商品库存!$G$4:$G$603,$I26))</f>
      </c>
      <c r="E26" s="156">
        <f>IF($I26="","",INDEX(商品库存!$H$4:$H$603,$I26))</f>
      </c>
      <c r="F26" s="14">
        <f>IF($I26="","",INDEX(商品库存!$I$4:$I$603,$I26))</f>
      </c>
      <c r="G26" s="156">
        <f>IF($I26="","",INDEX(商品库存!$J$4:$J$603,$I26))</f>
      </c>
      <c r="H26" s="2" t="n"/>
      <c r="I26" s="2">
        <f>IFERROR(MATCH(15,_辅助!$D$4:$D$603,0),"")</f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14">
        <f>IF($I27="","",INDEX(商品库存!$C$4:$C$603,$I27))</f>
      </c>
      <c r="B27" s="14">
        <f>IF($I27="","",INDEX(商品库存!$D$4:$D$603,$I27))</f>
      </c>
      <c r="C27" s="156">
        <f>IF($I27="","",INDEX(商品库存!$F$4:$F$603,$I27))</f>
      </c>
      <c r="D27" s="14">
        <f>IF($I27="","",INDEX(商品库存!$G$4:$G$603,$I27))</f>
      </c>
      <c r="E27" s="156">
        <f>IF($I27="","",INDEX(商品库存!$H$4:$H$603,$I27))</f>
      </c>
      <c r="F27" s="14">
        <f>IF($I27="","",INDEX(商品库存!$I$4:$I$603,$I27))</f>
      </c>
      <c r="G27" s="156">
        <f>IF($I27="","",INDEX(商品库存!$J$4:$J$603,$I27))</f>
      </c>
      <c r="I27">
        <f>IFERROR(MATCH(16,_辅助!$D$4:$D$603,0),"")</f>
      </c>
    </row>
    <row r="28">
      <c r="A28" s="14">
        <f>IF($I28="","",INDEX(商品库存!$C$4:$C$603,$I28))</f>
      </c>
      <c r="B28" s="14">
        <f>IF($I28="","",INDEX(商品库存!$D$4:$D$603,$I28))</f>
      </c>
      <c r="C28" s="156">
        <f>IF($I28="","",INDEX(商品库存!$F$4:$F$603,$I28))</f>
      </c>
      <c r="D28" s="14">
        <f>IF($I28="","",INDEX(商品库存!$G$4:$G$603,$I28))</f>
      </c>
      <c r="E28" s="156">
        <f>IF($I28="","",INDEX(商品库存!$H$4:$H$603,$I28))</f>
      </c>
      <c r="F28" s="14">
        <f>IF($I28="","",INDEX(商品库存!$I$4:$I$603,$I28))</f>
      </c>
      <c r="G28" s="156">
        <f>IF($I28="","",INDEX(商品库存!$J$4:$J$603,$I28))</f>
      </c>
      <c r="I28">
        <f>IFERROR(MATCH(17,_辅助!$D$4:$D$603,0),"")</f>
      </c>
    </row>
    <row r="29">
      <c r="A29" s="14">
        <f>IF($I29="","",INDEX(商品库存!$C$4:$C$603,$I29))</f>
      </c>
      <c r="B29" s="14">
        <f>IF($I29="","",INDEX(商品库存!$D$4:$D$603,$I29))</f>
      </c>
      <c r="C29" s="156">
        <f>IF($I29="","",INDEX(商品库存!$F$4:$F$603,$I29))</f>
      </c>
      <c r="D29" s="14">
        <f>IF($I29="","",INDEX(商品库存!$G$4:$G$603,$I29))</f>
      </c>
      <c r="E29" s="156">
        <f>IF($I29="","",INDEX(商品库存!$H$4:$H$603,$I29))</f>
      </c>
      <c r="F29" s="14">
        <f>IF($I29="","",INDEX(商品库存!$I$4:$I$603,$I29))</f>
      </c>
      <c r="G29" s="156">
        <f>IF($I29="","",INDEX(商品库存!$J$4:$J$603,$I29))</f>
      </c>
      <c r="I29">
        <f>IFERROR(MATCH(18,_辅助!$D$4:$D$603,0),"")</f>
      </c>
    </row>
    <row r="30">
      <c r="A30" s="14">
        <f>IF($I30="","",INDEX(商品库存!$C$4:$C$603,$I30))</f>
      </c>
      <c r="B30" s="14">
        <f>IF($I30="","",INDEX(商品库存!$D$4:$D$603,$I30))</f>
      </c>
      <c r="C30" s="156">
        <f>IF($I30="","",INDEX(商品库存!$F$4:$F$603,$I30))</f>
      </c>
      <c r="D30" s="14">
        <f>IF($I30="","",INDEX(商品库存!$G$4:$G$603,$I30))</f>
      </c>
      <c r="E30" s="156">
        <f>IF($I30="","",INDEX(商品库存!$H$4:$H$603,$I30))</f>
      </c>
      <c r="F30" s="14">
        <f>IF($I30="","",INDEX(商品库存!$I$4:$I$603,$I30))</f>
      </c>
      <c r="G30" s="156">
        <f>IF($I30="","",INDEX(商品库存!$J$4:$J$603,$I30))</f>
      </c>
      <c r="I30">
        <f>IFERROR(MATCH(19,_辅助!$D$4:$D$603,0),"")</f>
      </c>
    </row>
    <row r="31">
      <c r="A31" s="14">
        <f>IF($I31="","",INDEX(商品库存!$C$4:$C$603,$I31))</f>
      </c>
      <c r="B31" s="14">
        <f>IF($I31="","",INDEX(商品库存!$D$4:$D$603,$I31))</f>
      </c>
      <c r="C31" s="156">
        <f>IF($I31="","",INDEX(商品库存!$F$4:$F$603,$I31))</f>
      </c>
      <c r="D31" s="14">
        <f>IF($I31="","",INDEX(商品库存!$G$4:$G$603,$I31))</f>
      </c>
      <c r="E31" s="156">
        <f>IF($I31="","",INDEX(商品库存!$H$4:$H$603,$I31))</f>
      </c>
      <c r="F31" s="14">
        <f>IF($I31="","",INDEX(商品库存!$I$4:$I$603,$I31))</f>
      </c>
      <c r="G31" s="156">
        <f>IF($I31="","",INDEX(商品库存!$J$4:$J$603,$I31))</f>
      </c>
      <c r="I31">
        <f>IFERROR(MATCH(20,_辅助!$D$4:$D$603,0),"")</f>
      </c>
    </row>
    <row r="32">
      <c r="A32" s="14">
        <f>IF($I32="","",INDEX(商品库存!$C$4:$C$603,$I32))</f>
      </c>
      <c r="B32" s="14">
        <f>IF($I32="","",INDEX(商品库存!$D$4:$D$603,$I32))</f>
      </c>
      <c r="C32" s="156">
        <f>IF($I32="","",INDEX(商品库存!$F$4:$F$603,$I32))</f>
      </c>
      <c r="D32" s="14">
        <f>IF($I32="","",INDEX(商品库存!$G$4:$G$603,$I32))</f>
      </c>
      <c r="E32" s="156">
        <f>IF($I32="","",INDEX(商品库存!$H$4:$H$603,$I32))</f>
      </c>
      <c r="F32" s="14">
        <f>IF($I32="","",INDEX(商品库存!$I$4:$I$603,$I32))</f>
      </c>
      <c r="G32" s="156">
        <f>IF($I32="","",INDEX(商品库存!$J$4:$J$603,$I32))</f>
      </c>
      <c r="I32">
        <f>IFERROR(MATCH(21,_辅助!$D$4:$D$603,0),"")</f>
      </c>
    </row>
    <row r="33">
      <c r="A33" s="14">
        <f>IF($I33="","",INDEX(商品库存!$C$4:$C$603,$I33))</f>
      </c>
      <c r="B33" s="14">
        <f>IF($I33="","",INDEX(商品库存!$D$4:$D$603,$I33))</f>
      </c>
      <c r="C33" s="156">
        <f>IF($I33="","",INDEX(商品库存!$F$4:$F$603,$I33))</f>
      </c>
      <c r="D33" s="14">
        <f>IF($I33="","",INDEX(商品库存!$G$4:$G$603,$I33))</f>
      </c>
      <c r="E33" s="156">
        <f>IF($I33="","",INDEX(商品库存!$H$4:$H$603,$I33))</f>
      </c>
      <c r="F33" s="14">
        <f>IF($I33="","",INDEX(商品库存!$I$4:$I$603,$I33))</f>
      </c>
      <c r="G33" s="156">
        <f>IF($I33="","",INDEX(商品库存!$J$4:$J$603,$I33))</f>
      </c>
      <c r="I33">
        <f>IFERROR(MATCH(22,_辅助!$D$4:$D$603,0),"")</f>
      </c>
    </row>
    <row r="34">
      <c r="A34" s="14">
        <f>IF($I34="","",INDEX(商品库存!$C$4:$C$603,$I34))</f>
      </c>
      <c r="B34" s="14">
        <f>IF($I34="","",INDEX(商品库存!$D$4:$D$603,$I34))</f>
      </c>
      <c r="C34" s="156">
        <f>IF($I34="","",INDEX(商品库存!$F$4:$F$603,$I34))</f>
      </c>
      <c r="D34" s="14">
        <f>IF($I34="","",INDEX(商品库存!$G$4:$G$603,$I34))</f>
      </c>
      <c r="E34" s="156">
        <f>IF($I34="","",INDEX(商品库存!$H$4:$H$603,$I34))</f>
      </c>
      <c r="F34" s="14">
        <f>IF($I34="","",INDEX(商品库存!$I$4:$I$603,$I34))</f>
      </c>
      <c r="G34" s="156">
        <f>IF($I34="","",INDEX(商品库存!$J$4:$J$603,$I34))</f>
      </c>
      <c r="I34">
        <f>IFERROR(MATCH(23,_辅助!$D$4:$D$603,0),"")</f>
      </c>
    </row>
    <row r="35">
      <c r="A35" s="14">
        <f>IF($I35="","",INDEX(商品库存!$C$4:$C$603,$I35))</f>
      </c>
      <c r="B35" s="14">
        <f>IF($I35="","",INDEX(商品库存!$D$4:$D$603,$I35))</f>
      </c>
      <c r="C35" s="156">
        <f>IF($I35="","",INDEX(商品库存!$F$4:$F$603,$I35))</f>
      </c>
      <c r="D35" s="14">
        <f>IF($I35="","",INDEX(商品库存!$G$4:$G$603,$I35))</f>
      </c>
      <c r="E35" s="156">
        <f>IF($I35="","",INDEX(商品库存!$H$4:$H$603,$I35))</f>
      </c>
      <c r="F35" s="14">
        <f>IF($I35="","",INDEX(商品库存!$I$4:$I$603,$I35))</f>
      </c>
      <c r="G35" s="156">
        <f>IF($I35="","",INDEX(商品库存!$J$4:$J$603,$I35))</f>
      </c>
      <c r="I35">
        <f>IFERROR(MATCH(24,_辅助!$D$4:$D$603,0),"")</f>
      </c>
    </row>
    <row r="36">
      <c r="A36" s="14">
        <f>IF($I36="","",INDEX(商品库存!$C$4:$C$603,$I36))</f>
      </c>
      <c r="B36" s="14">
        <f>IF($I36="","",INDEX(商品库存!$D$4:$D$603,$I36))</f>
      </c>
      <c r="C36" s="156">
        <f>IF($I36="","",INDEX(商品库存!$F$4:$F$603,$I36))</f>
      </c>
      <c r="D36" s="14">
        <f>IF($I36="","",INDEX(商品库存!$G$4:$G$603,$I36))</f>
      </c>
      <c r="E36" s="156">
        <f>IF($I36="","",INDEX(商品库存!$H$4:$H$603,$I36))</f>
      </c>
      <c r="F36" s="14">
        <f>IF($I36="","",INDEX(商品库存!$I$4:$I$603,$I36))</f>
      </c>
      <c r="G36" s="156">
        <f>IF($I36="","",INDEX(商品库存!$J$4:$J$603,$I36))</f>
      </c>
      <c r="I36">
        <f>IFERROR(MATCH(25,_辅助!$D$4:$D$603,0),"")</f>
      </c>
    </row>
    <row r="37">
      <c r="A37" s="14">
        <f>IF($I37="","",INDEX(商品库存!$C$4:$C$603,$I37))</f>
      </c>
      <c r="B37" s="14">
        <f>IF($I37="","",INDEX(商品库存!$D$4:$D$603,$I37))</f>
      </c>
      <c r="C37" s="156">
        <f>IF($I37="","",INDEX(商品库存!$F$4:$F$603,$I37))</f>
      </c>
      <c r="D37" s="14">
        <f>IF($I37="","",INDEX(商品库存!$G$4:$G$603,$I37))</f>
      </c>
      <c r="E37" s="156">
        <f>IF($I37="","",INDEX(商品库存!$H$4:$H$603,$I37))</f>
      </c>
      <c r="F37" s="14">
        <f>IF($I37="","",INDEX(商品库存!$I$4:$I$603,$I37))</f>
      </c>
      <c r="G37" s="156">
        <f>IF($I37="","",INDEX(商品库存!$J$4:$J$603,$I37))</f>
      </c>
      <c r="I37">
        <f>IFERROR(MATCH(26,_辅助!$D$4:$D$603,0),"")</f>
      </c>
    </row>
    <row r="38">
      <c r="A38" s="14">
        <f>IF($I38="","",INDEX(商品库存!$C$4:$C$603,$I38))</f>
      </c>
      <c r="B38" s="14">
        <f>IF($I38="","",INDEX(商品库存!$D$4:$D$603,$I38))</f>
      </c>
      <c r="C38" s="156">
        <f>IF($I38="","",INDEX(商品库存!$F$4:$F$603,$I38))</f>
      </c>
      <c r="D38" s="14">
        <f>IF($I38="","",INDEX(商品库存!$G$4:$G$603,$I38))</f>
      </c>
      <c r="E38" s="156">
        <f>IF($I38="","",INDEX(商品库存!$H$4:$H$603,$I38))</f>
      </c>
      <c r="F38" s="14">
        <f>IF($I38="","",INDEX(商品库存!$I$4:$I$603,$I38))</f>
      </c>
      <c r="G38" s="156">
        <f>IF($I38="","",INDEX(商品库存!$J$4:$J$603,$I38))</f>
      </c>
      <c r="I38">
        <f>IFERROR(MATCH(27,_辅助!$D$4:$D$603,0),"")</f>
      </c>
    </row>
    <row r="39">
      <c r="A39" s="14">
        <f>IF($I39="","",INDEX(商品库存!$C$4:$C$603,$I39))</f>
      </c>
      <c r="B39" s="14">
        <f>IF($I39="","",INDEX(商品库存!$D$4:$D$603,$I39))</f>
      </c>
      <c r="C39" s="156">
        <f>IF($I39="","",INDEX(商品库存!$F$4:$F$603,$I39))</f>
      </c>
      <c r="D39" s="14">
        <f>IF($I39="","",INDEX(商品库存!$G$4:$G$603,$I39))</f>
      </c>
      <c r="E39" s="156">
        <f>IF($I39="","",INDEX(商品库存!$H$4:$H$603,$I39))</f>
      </c>
      <c r="F39" s="14">
        <f>IF($I39="","",INDEX(商品库存!$I$4:$I$603,$I39))</f>
      </c>
      <c r="G39" s="156">
        <f>IF($I39="","",INDEX(商品库存!$J$4:$J$603,$I39))</f>
      </c>
      <c r="I39">
        <f>IFERROR(MATCH(28,_辅助!$D$4:$D$603,0),"")</f>
      </c>
    </row>
    <row r="40">
      <c r="A40" s="14">
        <f>IF($I40="","",INDEX(商品库存!$C$4:$C$603,$I40))</f>
      </c>
      <c r="B40" s="14">
        <f>IF($I40="","",INDEX(商品库存!$D$4:$D$603,$I40))</f>
      </c>
      <c r="C40" s="156">
        <f>IF($I40="","",INDEX(商品库存!$F$4:$F$603,$I40))</f>
      </c>
      <c r="D40" s="14">
        <f>IF($I40="","",INDEX(商品库存!$G$4:$G$603,$I40))</f>
      </c>
      <c r="E40" s="156">
        <f>IF($I40="","",INDEX(商品库存!$H$4:$H$603,$I40))</f>
      </c>
      <c r="F40" s="14">
        <f>IF($I40="","",INDEX(商品库存!$I$4:$I$603,$I40))</f>
      </c>
      <c r="G40" s="156">
        <f>IF($I40="","",INDEX(商品库存!$J$4:$J$603,$I40))</f>
      </c>
      <c r="I40">
        <f>IFERROR(MATCH(29,_辅助!$D$4:$D$603,0),"")</f>
      </c>
    </row>
    <row r="41">
      <c r="A41" s="14">
        <f>IF($I41="","",INDEX(商品库存!$C$4:$C$603,$I41))</f>
      </c>
      <c r="B41" s="14">
        <f>IF($I41="","",INDEX(商品库存!$D$4:$D$603,$I41))</f>
      </c>
      <c r="C41" s="156">
        <f>IF($I41="","",INDEX(商品库存!$F$4:$F$603,$I41))</f>
      </c>
      <c r="D41" s="14">
        <f>IF($I41="","",INDEX(商品库存!$G$4:$G$603,$I41))</f>
      </c>
      <c r="E41" s="156">
        <f>IF($I41="","",INDEX(商品库存!$H$4:$H$603,$I41))</f>
      </c>
      <c r="F41" s="14">
        <f>IF($I41="","",INDEX(商品库存!$I$4:$I$603,$I41))</f>
      </c>
      <c r="G41" s="156">
        <f>IF($I41="","",INDEX(商品库存!$J$4:$J$603,$I41))</f>
      </c>
      <c r="I41">
        <f>IFERROR(MATCH(30,_辅助!$D$4:$D$603,0),"")</f>
      </c>
    </row>
    <row r="42">
      <c r="A42" s="14">
        <f>IF($I42="","",INDEX(商品库存!$C$4:$C$603,$I42))</f>
      </c>
      <c r="B42" s="14">
        <f>IF($I42="","",INDEX(商品库存!$D$4:$D$603,$I42))</f>
      </c>
      <c r="C42" s="156">
        <f>IF($I42="","",INDEX(商品库存!$F$4:$F$603,$I42))</f>
      </c>
      <c r="D42" s="14">
        <f>IF($I42="","",INDEX(商品库存!$G$4:$G$603,$I42))</f>
      </c>
      <c r="E42" s="156">
        <f>IF($I42="","",INDEX(商品库存!$H$4:$H$603,$I42))</f>
      </c>
      <c r="F42" s="14">
        <f>IF($I42="","",INDEX(商品库存!$I$4:$I$603,$I42))</f>
      </c>
      <c r="G42" s="156">
        <f>IF($I42="","",INDEX(商品库存!$J$4:$J$603,$I42))</f>
      </c>
      <c r="I42">
        <f>IFERROR(MATCH(31,_辅助!$D$4:$D$603,0),"")</f>
      </c>
    </row>
    <row r="43">
      <c r="A43" s="14">
        <f>IF($I43="","",INDEX(商品库存!$C$4:$C$603,$I43))</f>
      </c>
      <c r="B43" s="14">
        <f>IF($I43="","",INDEX(商品库存!$D$4:$D$603,$I43))</f>
      </c>
      <c r="C43" s="156">
        <f>IF($I43="","",INDEX(商品库存!$F$4:$F$603,$I43))</f>
      </c>
      <c r="D43" s="14">
        <f>IF($I43="","",INDEX(商品库存!$G$4:$G$603,$I43))</f>
      </c>
      <c r="E43" s="156">
        <f>IF($I43="","",INDEX(商品库存!$H$4:$H$603,$I43))</f>
      </c>
      <c r="F43" s="14">
        <f>IF($I43="","",INDEX(商品库存!$I$4:$I$603,$I43))</f>
      </c>
      <c r="G43" s="156">
        <f>IF($I43="","",INDEX(商品库存!$J$4:$J$603,$I43))</f>
      </c>
      <c r="I43">
        <f>IFERROR(MATCH(32,_辅助!$D$4:$D$603,0),"")</f>
      </c>
    </row>
    <row r="44">
      <c r="A44" s="14">
        <f>IF($I44="","",INDEX(商品库存!$C$4:$C$603,$I44))</f>
      </c>
      <c r="B44" s="14">
        <f>IF($I44="","",INDEX(商品库存!$D$4:$D$603,$I44))</f>
      </c>
      <c r="C44" s="156">
        <f>IF($I44="","",INDEX(商品库存!$F$4:$F$603,$I44))</f>
      </c>
      <c r="D44" s="14">
        <f>IF($I44="","",INDEX(商品库存!$G$4:$G$603,$I44))</f>
      </c>
      <c r="E44" s="156">
        <f>IF($I44="","",INDEX(商品库存!$H$4:$H$603,$I44))</f>
      </c>
      <c r="F44" s="14">
        <f>IF($I44="","",INDEX(商品库存!$I$4:$I$603,$I44))</f>
      </c>
      <c r="G44" s="156">
        <f>IF($I44="","",INDEX(商品库存!$J$4:$J$603,$I44))</f>
      </c>
      <c r="I44">
        <f>IFERROR(MATCH(33,_辅助!$D$4:$D$603,0),"")</f>
      </c>
    </row>
    <row r="45">
      <c r="A45" s="14">
        <f>IF($I45="","",INDEX(商品库存!$C$4:$C$603,$I45))</f>
      </c>
      <c r="B45" s="14">
        <f>IF($I45="","",INDEX(商品库存!$D$4:$D$603,$I45))</f>
      </c>
      <c r="C45" s="156">
        <f>IF($I45="","",INDEX(商品库存!$F$4:$F$603,$I45))</f>
      </c>
      <c r="D45" s="14">
        <f>IF($I45="","",INDEX(商品库存!$G$4:$G$603,$I45))</f>
      </c>
      <c r="E45" s="156">
        <f>IF($I45="","",INDEX(商品库存!$H$4:$H$603,$I45))</f>
      </c>
      <c r="F45" s="14">
        <f>IF($I45="","",INDEX(商品库存!$I$4:$I$603,$I45))</f>
      </c>
      <c r="G45" s="156">
        <f>IF($I45="","",INDEX(商品库存!$J$4:$J$603,$I45))</f>
      </c>
      <c r="I45">
        <f>IFERROR(MATCH(34,_辅助!$D$4:$D$603,0),"")</f>
      </c>
    </row>
    <row r="46">
      <c r="A46" s="14">
        <f>IF($I46="","",INDEX(商品库存!$C$4:$C$603,$I46))</f>
      </c>
      <c r="B46" s="14">
        <f>IF($I46="","",INDEX(商品库存!$D$4:$D$603,$I46))</f>
      </c>
      <c r="C46" s="156">
        <f>IF($I46="","",INDEX(商品库存!$F$4:$F$603,$I46))</f>
      </c>
      <c r="D46" s="14">
        <f>IF($I46="","",INDEX(商品库存!$G$4:$G$603,$I46))</f>
      </c>
      <c r="E46" s="156">
        <f>IF($I46="","",INDEX(商品库存!$H$4:$H$603,$I46))</f>
      </c>
      <c r="F46" s="14">
        <f>IF($I46="","",INDEX(商品库存!$I$4:$I$603,$I46))</f>
      </c>
      <c r="G46" s="156">
        <f>IF($I46="","",INDEX(商品库存!$J$4:$J$603,$I46))</f>
      </c>
      <c r="I46">
        <f>IFERROR(MATCH(35,_辅助!$D$4:$D$603,0),"")</f>
      </c>
    </row>
    <row r="47">
      <c r="A47" s="14">
        <f>IF($I47="","",INDEX(商品库存!$C$4:$C$603,$I47))</f>
      </c>
      <c r="B47" s="14">
        <f>IF($I47="","",INDEX(商品库存!$D$4:$D$603,$I47))</f>
      </c>
      <c r="C47" s="156">
        <f>IF($I47="","",INDEX(商品库存!$F$4:$F$603,$I47))</f>
      </c>
      <c r="D47" s="14">
        <f>IF($I47="","",INDEX(商品库存!$G$4:$G$603,$I47))</f>
      </c>
      <c r="E47" s="156">
        <f>IF($I47="","",INDEX(商品库存!$H$4:$H$603,$I47))</f>
      </c>
      <c r="F47" s="14">
        <f>IF($I47="","",INDEX(商品库存!$I$4:$I$603,$I47))</f>
      </c>
      <c r="G47" s="156">
        <f>IF($I47="","",INDEX(商品库存!$J$4:$J$603,$I47))</f>
      </c>
      <c r="I47">
        <f>IFERROR(MATCH(36,_辅助!$D$4:$D$603,0),"")</f>
      </c>
    </row>
    <row r="48">
      <c r="A48" s="14">
        <f>IF($I48="","",INDEX(商品库存!$C$4:$C$603,$I48))</f>
      </c>
      <c r="B48" s="14">
        <f>IF($I48="","",INDEX(商品库存!$D$4:$D$603,$I48))</f>
      </c>
      <c r="C48" s="156">
        <f>IF($I48="","",INDEX(商品库存!$F$4:$F$603,$I48))</f>
      </c>
      <c r="D48" s="14">
        <f>IF($I48="","",INDEX(商品库存!$G$4:$G$603,$I48))</f>
      </c>
      <c r="E48" s="156">
        <f>IF($I48="","",INDEX(商品库存!$H$4:$H$603,$I48))</f>
      </c>
      <c r="F48" s="14">
        <f>IF($I48="","",INDEX(商品库存!$I$4:$I$603,$I48))</f>
      </c>
      <c r="G48" s="156">
        <f>IF($I48="","",INDEX(商品库存!$J$4:$J$603,$I48))</f>
      </c>
      <c r="I48">
        <f>IFERROR(MATCH(37,_辅助!$D$4:$D$603,0),"")</f>
      </c>
    </row>
    <row r="49">
      <c r="A49" s="14">
        <f>IF($I49="","",INDEX(商品库存!$C$4:$C$603,$I49))</f>
      </c>
      <c r="B49" s="14">
        <f>IF($I49="","",INDEX(商品库存!$D$4:$D$603,$I49))</f>
      </c>
      <c r="C49" s="156">
        <f>IF($I49="","",INDEX(商品库存!$F$4:$F$603,$I49))</f>
      </c>
      <c r="D49" s="14">
        <f>IF($I49="","",INDEX(商品库存!$G$4:$G$603,$I49))</f>
      </c>
      <c r="E49" s="156">
        <f>IF($I49="","",INDEX(商品库存!$H$4:$H$603,$I49))</f>
      </c>
      <c r="F49" s="14">
        <f>IF($I49="","",INDEX(商品库存!$I$4:$I$603,$I49))</f>
      </c>
      <c r="G49" s="156">
        <f>IF($I49="","",INDEX(商品库存!$J$4:$J$603,$I49))</f>
      </c>
      <c r="I49">
        <f>IFERROR(MATCH(38,_辅助!$D$4:$D$603,0),"")</f>
      </c>
    </row>
    <row r="50">
      <c r="A50" s="14">
        <f>IF($I50="","",INDEX(商品库存!$C$4:$C$603,$I50))</f>
      </c>
      <c r="B50" s="14">
        <f>IF($I50="","",INDEX(商品库存!$D$4:$D$603,$I50))</f>
      </c>
      <c r="C50" s="156">
        <f>IF($I50="","",INDEX(商品库存!$F$4:$F$603,$I50))</f>
      </c>
      <c r="D50" s="14">
        <f>IF($I50="","",INDEX(商品库存!$G$4:$G$603,$I50))</f>
      </c>
      <c r="E50" s="156">
        <f>IF($I50="","",INDEX(商品库存!$H$4:$H$603,$I50))</f>
      </c>
      <c r="F50" s="14">
        <f>IF($I50="","",INDEX(商品库存!$I$4:$I$603,$I50))</f>
      </c>
      <c r="G50" s="156">
        <f>IF($I50="","",INDEX(商品库存!$J$4:$J$603,$I50))</f>
      </c>
      <c r="I50">
        <f>IFERROR(MATCH(39,_辅助!$D$4:$D$603,0),"")</f>
      </c>
    </row>
    <row r="51">
      <c r="A51" s="14">
        <f>IF($I51="","",INDEX(商品库存!$C$4:$C$603,$I51))</f>
      </c>
      <c r="B51" s="14">
        <f>IF($I51="","",INDEX(商品库存!$D$4:$D$603,$I51))</f>
      </c>
      <c r="C51" s="156">
        <f>IF($I51="","",INDEX(商品库存!$F$4:$F$603,$I51))</f>
      </c>
      <c r="D51" s="14">
        <f>IF($I51="","",INDEX(商品库存!$G$4:$G$603,$I51))</f>
      </c>
      <c r="E51" s="156">
        <f>IF($I51="","",INDEX(商品库存!$H$4:$H$603,$I51))</f>
      </c>
      <c r="F51" s="14">
        <f>IF($I51="","",INDEX(商品库存!$I$4:$I$603,$I51))</f>
      </c>
      <c r="G51" s="156">
        <f>IF($I51="","",INDEX(商品库存!$J$4:$J$603,$I51))</f>
      </c>
      <c r="I51">
        <f>IFERROR(MATCH(40,_辅助!$D$4:$D$603,0),"")</f>
      </c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</sheetData>
  <mergeCells count="5">
    <mergeCell ref="A1:G1"/>
    <mergeCell ref="A6:G6"/>
    <mergeCell ref="B4:D4"/>
    <mergeCell ref="A2:G2"/>
    <mergeCell ref="A10:G10"/>
  </mergeCells>
  <dataValidations count="1">
    <dataValidation sqref="B4" showDropDown="0" showInputMessage="1" showErrorMessage="1" allowBlank="1" errorTitle="不在清单里" error="请从下拉里选；清单里没有的，先到【基础资料】/【总览汇总】里登记" promptTitle="提示" prompt="选一个客户" type="list" errorStyle="stop">
      <formula1>=客户列表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1:Q324"/>
  <sheetViews>
    <sheetView tabSelected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style="71" min="1" max="1"/>
    <col width="16" customWidth="1" style="71" min="2" max="2"/>
    <col width="13" customWidth="1" style="71" min="3" max="3"/>
    <col width="13" customWidth="1" style="71" min="4" max="4"/>
    <col width="13" customWidth="1" style="71" min="5" max="5"/>
    <col width="13" customWidth="1" style="71" min="6" max="6"/>
    <col width="12" customWidth="1" style="71" min="7" max="7"/>
    <col width="12" customWidth="1" style="71" min="8" max="8"/>
    <col width="12" customWidth="1" style="71" min="9" max="9"/>
    <col width="12" customWidth="1" style="71" min="10" max="10"/>
    <col width="14" customWidth="1" style="71" min="11" max="11"/>
    <col width="13" customWidth="1" style="71" min="12" max="12"/>
    <col width="13" customWidth="1" style="71" min="13" max="13"/>
    <col width="13" customWidth="1" style="71" min="14" max="14"/>
    <col width="13" customWidth="1" style="71" min="15" max="15"/>
    <col width="11" customWidth="1" style="71" min="16" max="16"/>
    <col width="11" customWidth="1" style="71" min="17" max="17"/>
  </cols>
  <sheetData>
    <row r="1" ht="33" customHeight="1" s="71">
      <c r="A1" s="183" t="inlineStr">
        <is>
          <t>收付款汇总</t>
        </is>
      </c>
    </row>
    <row r="2" ht="24" customHeight="1" s="71">
      <c r="A2" s="73" t="inlineStr">
        <is>
          <t>💡 全自动：上面是本年度逐月的收付款（从【资金台帐】按收支项目分类汇总）；下面按客户、按供应商汇总「起止日期」内的往来，期末欠款＝期初＋本期领用/进货－本期收/付款。要看某一家的逐笔明细，去【客户对账单】【供应商对账单】。</t>
        </is>
      </c>
    </row>
    <row r="5" ht="26" customHeight="1" s="71">
      <c r="A5" s="184" t="inlineStr">
        <is>
          <t>📅 按月收付款汇总（本年度，不含内部转账）</t>
        </is>
      </c>
    </row>
    <row r="6" ht="34" customHeight="1" s="71">
      <c r="A6" s="103" t="inlineStr">
        <is>
          <t>月份</t>
        </is>
      </c>
      <c r="B6" s="103" t="inlineStr">
        <is>
          <t>客户回款</t>
        </is>
      </c>
      <c r="C6" s="103" t="inlineStr">
        <is>
          <t>付供应商货款</t>
        </is>
      </c>
      <c r="D6" s="103" t="inlineStr">
        <is>
          <t>费用支出</t>
        </is>
      </c>
      <c r="E6" s="103" t="inlineStr">
        <is>
          <t>厂家返利</t>
        </is>
      </c>
      <c r="F6" s="103" t="inlineStr">
        <is>
          <t>其他收入</t>
        </is>
      </c>
      <c r="G6" s="103" t="inlineStr">
        <is>
          <t>股东投入</t>
        </is>
      </c>
      <c r="H6" s="103" t="inlineStr">
        <is>
          <t>股东提取</t>
        </is>
      </c>
      <c r="I6" s="103" t="inlineStr">
        <is>
          <t>借款净额
(借入－归还)</t>
        </is>
      </c>
      <c r="J6" s="103" t="inlineStr">
        <is>
          <t>其他往来净额
(收－付)</t>
        </is>
      </c>
      <c r="K6" s="103" t="inlineStr">
        <is>
          <t>收入合计</t>
        </is>
      </c>
      <c r="L6" s="103" t="inlineStr">
        <is>
          <t>支出合计</t>
        </is>
      </c>
      <c r="M6" s="103" t="inlineStr">
        <is>
          <t>本月净额</t>
        </is>
      </c>
      <c r="N6" s="103" t="inlineStr">
        <is>
          <t>月末资金余额</t>
        </is>
      </c>
    </row>
    <row r="7">
      <c r="A7" s="185" t="n">
        <v>1</v>
      </c>
      <c r="B7" s="186">
        <f>SUMIFS(资金台帐!$S$7:$S$3006,资金台帐!$P$7:$P$3006,"应收",资金台帐!$B$7:$B$3006,"&gt;="&amp;DATE(年度,1,1),资金台帐!$B$7:$B$3006,"&lt;"&amp;DATE(年度,1+1,1))</f>
        <v>0</v>
      </c>
      <c r="C7" s="186">
        <f>-SUMIFS(资金台帐!$S$7:$S$3006,资金台帐!$P$7:$P$3006,"应付",资金台帐!$B$7:$B$3006,"&gt;="&amp;DATE(年度,1,1),资金台帐!$B$7:$B$3006,"&lt;"&amp;DATE(年度,1+1,1))</f>
        <v>0</v>
      </c>
      <c r="D7" s="186">
        <f>-SUMIFS(资金台帐!$S$7:$S$3006,资金台帐!$P$7:$P$3006,"费用",资金台帐!$B$7:$B$3006,"&gt;="&amp;DATE(年度,1,1),资金台帐!$B$7:$B$3006,"&lt;"&amp;DATE(年度,1+1,1))</f>
        <v>0</v>
      </c>
      <c r="E7" s="186">
        <f>SUMIFS(资金台帐!$S$7:$S$3006,资金台帐!$P$7:$P$3006,"返利收入",资金台帐!$B$7:$B$3006,"&gt;="&amp;DATE(年度,1,1),资金台帐!$B$7:$B$3006,"&lt;"&amp;DATE(年度,1+1,1))</f>
        <v>0</v>
      </c>
      <c r="F7" s="186">
        <f>SUMIFS(资金台帐!$S$7:$S$3006,资金台帐!$P$7:$P$3006,"其他收入",资金台帐!$B$7:$B$3006,"&gt;="&amp;DATE(年度,1,1),资金台帐!$B$7:$B$3006,"&lt;"&amp;DATE(年度,1+1,1))</f>
        <v>0</v>
      </c>
      <c r="G7" s="186">
        <f>SUMIFS(资金台帐!$S$7:$S$3006,资金台帐!$P$7:$P$3006,"投入",资金台帐!$B$7:$B$3006,"&gt;="&amp;DATE(年度,1,1),资金台帐!$B$7:$B$3006,"&lt;"&amp;DATE(年度,1+1,1))</f>
        <v>0</v>
      </c>
      <c r="H7" s="186">
        <f>-SUMIFS(资金台帐!$S$7:$S$3006,资金台帐!$P$7:$P$3006,"提取",资金台帐!$B$7:$B$3006,"&gt;="&amp;DATE(年度,1,1),资金台帐!$B$7:$B$3006,"&lt;"&amp;DATE(年度,1+1,1))</f>
        <v>0</v>
      </c>
      <c r="I7" s="186">
        <f>SUMIFS(资金台帐!$S$7:$S$3006,资金台帐!$P$7:$P$3006,"借款",资金台帐!$B$7:$B$3006,"&gt;="&amp;DATE(年度,1,1),资金台帐!$B$7:$B$3006,"&lt;"&amp;DATE(年度,1+1,1))</f>
        <v>0</v>
      </c>
      <c r="J7" s="186">
        <f>SUMIFS(资金台帐!$S$7:$S$3006,资金台帐!$P$7:$P$3006,"其他往来",资金台帐!$B$7:$B$3006,"&gt;="&amp;DATE(年度,1,1),资金台帐!$B$7:$B$3006,"&lt;"&amp;DATE(年度,1+1,1))</f>
        <v>0</v>
      </c>
      <c r="K7" s="187">
        <f>SUMIFS(资金台帐!$F$7:$F$3006,资金台帐!$B$7:$B$3006,"&gt;="&amp;DATE(年度,1,1),资金台帐!$B$7:$B$3006,"&lt;"&amp;DATE(年度,1+1,1),资金台帐!$P$7:$P$3006,"&lt;&gt;转账")</f>
        <v>0</v>
      </c>
      <c r="L7" s="187">
        <f>SUMIFS(资金台帐!$G$7:$G$3006,资金台帐!$B$7:$B$3006,"&gt;="&amp;DATE(年度,1,1),资金台帐!$B$7:$B$3006,"&lt;"&amp;DATE(年度,1+1,1),资金台帐!$P$7:$P$3006,"&lt;&gt;转账")</f>
        <v>0</v>
      </c>
      <c r="M7" s="187">
        <f>K7-L7</f>
        <v>0</v>
      </c>
      <c r="N7" s="187">
        <f>SUM(基础资料!$X$5:$X$24)+SUMIFS(资金台帐!$S$7:$S$3006,资金台帐!$B$7:$B$3006,"&gt;="&amp;年初日,资金台帐!$B$7:$B$3006,"&lt;"&amp;DATE(年度,1+1,1))</f>
        <v>0</v>
      </c>
    </row>
    <row r="8">
      <c r="A8" s="185" t="n">
        <v>2</v>
      </c>
      <c r="B8" s="186">
        <f>SUMIFS(资金台帐!$S$7:$S$3006,资金台帐!$P$7:$P$3006,"应收",资金台帐!$B$7:$B$3006,"&gt;="&amp;DATE(年度,2,1),资金台帐!$B$7:$B$3006,"&lt;"&amp;DATE(年度,2+1,1))</f>
        <v>0</v>
      </c>
      <c r="C8" s="186">
        <f>-SUMIFS(资金台帐!$S$7:$S$3006,资金台帐!$P$7:$P$3006,"应付",资金台帐!$B$7:$B$3006,"&gt;="&amp;DATE(年度,2,1),资金台帐!$B$7:$B$3006,"&lt;"&amp;DATE(年度,2+1,1))</f>
        <v>0</v>
      </c>
      <c r="D8" s="186">
        <f>-SUMIFS(资金台帐!$S$7:$S$3006,资金台帐!$P$7:$P$3006,"费用",资金台帐!$B$7:$B$3006,"&gt;="&amp;DATE(年度,2,1),资金台帐!$B$7:$B$3006,"&lt;"&amp;DATE(年度,2+1,1))</f>
        <v>0</v>
      </c>
      <c r="E8" s="186">
        <f>SUMIFS(资金台帐!$S$7:$S$3006,资金台帐!$P$7:$P$3006,"返利收入",资金台帐!$B$7:$B$3006,"&gt;="&amp;DATE(年度,2,1),资金台帐!$B$7:$B$3006,"&lt;"&amp;DATE(年度,2+1,1))</f>
        <v>0</v>
      </c>
      <c r="F8" s="186">
        <f>SUMIFS(资金台帐!$S$7:$S$3006,资金台帐!$P$7:$P$3006,"其他收入",资金台帐!$B$7:$B$3006,"&gt;="&amp;DATE(年度,2,1),资金台帐!$B$7:$B$3006,"&lt;"&amp;DATE(年度,2+1,1))</f>
        <v>0</v>
      </c>
      <c r="G8" s="186">
        <f>SUMIFS(资金台帐!$S$7:$S$3006,资金台帐!$P$7:$P$3006,"投入",资金台帐!$B$7:$B$3006,"&gt;="&amp;DATE(年度,2,1),资金台帐!$B$7:$B$3006,"&lt;"&amp;DATE(年度,2+1,1))</f>
        <v>0</v>
      </c>
      <c r="H8" s="186">
        <f>-SUMIFS(资金台帐!$S$7:$S$3006,资金台帐!$P$7:$P$3006,"提取",资金台帐!$B$7:$B$3006,"&gt;="&amp;DATE(年度,2,1),资金台帐!$B$7:$B$3006,"&lt;"&amp;DATE(年度,2+1,1))</f>
        <v>0</v>
      </c>
      <c r="I8" s="186">
        <f>SUMIFS(资金台帐!$S$7:$S$3006,资金台帐!$P$7:$P$3006,"借款",资金台帐!$B$7:$B$3006,"&gt;="&amp;DATE(年度,2,1),资金台帐!$B$7:$B$3006,"&lt;"&amp;DATE(年度,2+1,1))</f>
        <v>0</v>
      </c>
      <c r="J8" s="186">
        <f>SUMIFS(资金台帐!$S$7:$S$3006,资金台帐!$P$7:$P$3006,"其他往来",资金台帐!$B$7:$B$3006,"&gt;="&amp;DATE(年度,2,1),资金台帐!$B$7:$B$3006,"&lt;"&amp;DATE(年度,2+1,1))</f>
        <v>0</v>
      </c>
      <c r="K8" s="187">
        <f>SUMIFS(资金台帐!$F$7:$F$3006,资金台帐!$B$7:$B$3006,"&gt;="&amp;DATE(年度,2,1),资金台帐!$B$7:$B$3006,"&lt;"&amp;DATE(年度,2+1,1),资金台帐!$P$7:$P$3006,"&lt;&gt;转账")</f>
        <v>0</v>
      </c>
      <c r="L8" s="187">
        <f>SUMIFS(资金台帐!$G$7:$G$3006,资金台帐!$B$7:$B$3006,"&gt;="&amp;DATE(年度,2,1),资金台帐!$B$7:$B$3006,"&lt;"&amp;DATE(年度,2+1,1),资金台帐!$P$7:$P$3006,"&lt;&gt;转账")</f>
        <v>0</v>
      </c>
      <c r="M8" s="187">
        <f>K8-L8</f>
        <v>0</v>
      </c>
      <c r="N8" s="187">
        <f>SUM(基础资料!$X$5:$X$24)+SUMIFS(资金台帐!$S$7:$S$3006,资金台帐!$B$7:$B$3006,"&gt;="&amp;年初日,资金台帐!$B$7:$B$3006,"&lt;"&amp;DATE(年度,2+1,1))</f>
        <v>0</v>
      </c>
    </row>
    <row r="9">
      <c r="A9" s="185" t="n">
        <v>3</v>
      </c>
      <c r="B9" s="186">
        <f>SUMIFS(资金台帐!$S$7:$S$3006,资金台帐!$P$7:$P$3006,"应收",资金台帐!$B$7:$B$3006,"&gt;="&amp;DATE(年度,3,1),资金台帐!$B$7:$B$3006,"&lt;"&amp;DATE(年度,3+1,1))</f>
        <v>0</v>
      </c>
      <c r="C9" s="186">
        <f>-SUMIFS(资金台帐!$S$7:$S$3006,资金台帐!$P$7:$P$3006,"应付",资金台帐!$B$7:$B$3006,"&gt;="&amp;DATE(年度,3,1),资金台帐!$B$7:$B$3006,"&lt;"&amp;DATE(年度,3+1,1))</f>
        <v>0</v>
      </c>
      <c r="D9" s="186">
        <f>-SUMIFS(资金台帐!$S$7:$S$3006,资金台帐!$P$7:$P$3006,"费用",资金台帐!$B$7:$B$3006,"&gt;="&amp;DATE(年度,3,1),资金台帐!$B$7:$B$3006,"&lt;"&amp;DATE(年度,3+1,1))</f>
        <v>0</v>
      </c>
      <c r="E9" s="186">
        <f>SUMIFS(资金台帐!$S$7:$S$3006,资金台帐!$P$7:$P$3006,"返利收入",资金台帐!$B$7:$B$3006,"&gt;="&amp;DATE(年度,3,1),资金台帐!$B$7:$B$3006,"&lt;"&amp;DATE(年度,3+1,1))</f>
        <v>0</v>
      </c>
      <c r="F9" s="186">
        <f>SUMIFS(资金台帐!$S$7:$S$3006,资金台帐!$P$7:$P$3006,"其他收入",资金台帐!$B$7:$B$3006,"&gt;="&amp;DATE(年度,3,1),资金台帐!$B$7:$B$3006,"&lt;"&amp;DATE(年度,3+1,1))</f>
        <v>0</v>
      </c>
      <c r="G9" s="186">
        <f>SUMIFS(资金台帐!$S$7:$S$3006,资金台帐!$P$7:$P$3006,"投入",资金台帐!$B$7:$B$3006,"&gt;="&amp;DATE(年度,3,1),资金台帐!$B$7:$B$3006,"&lt;"&amp;DATE(年度,3+1,1))</f>
        <v>0</v>
      </c>
      <c r="H9" s="186">
        <f>-SUMIFS(资金台帐!$S$7:$S$3006,资金台帐!$P$7:$P$3006,"提取",资金台帐!$B$7:$B$3006,"&gt;="&amp;DATE(年度,3,1),资金台帐!$B$7:$B$3006,"&lt;"&amp;DATE(年度,3+1,1))</f>
        <v>0</v>
      </c>
      <c r="I9" s="186">
        <f>SUMIFS(资金台帐!$S$7:$S$3006,资金台帐!$P$7:$P$3006,"借款",资金台帐!$B$7:$B$3006,"&gt;="&amp;DATE(年度,3,1),资金台帐!$B$7:$B$3006,"&lt;"&amp;DATE(年度,3+1,1))</f>
        <v>0</v>
      </c>
      <c r="J9" s="186">
        <f>SUMIFS(资金台帐!$S$7:$S$3006,资金台帐!$P$7:$P$3006,"其他往来",资金台帐!$B$7:$B$3006,"&gt;="&amp;DATE(年度,3,1),资金台帐!$B$7:$B$3006,"&lt;"&amp;DATE(年度,3+1,1))</f>
        <v>0</v>
      </c>
      <c r="K9" s="187">
        <f>SUMIFS(资金台帐!$F$7:$F$3006,资金台帐!$B$7:$B$3006,"&gt;="&amp;DATE(年度,3,1),资金台帐!$B$7:$B$3006,"&lt;"&amp;DATE(年度,3+1,1),资金台帐!$P$7:$P$3006,"&lt;&gt;转账")</f>
        <v>0</v>
      </c>
      <c r="L9" s="187">
        <f>SUMIFS(资金台帐!$G$7:$G$3006,资金台帐!$B$7:$B$3006,"&gt;="&amp;DATE(年度,3,1),资金台帐!$B$7:$B$3006,"&lt;"&amp;DATE(年度,3+1,1),资金台帐!$P$7:$P$3006,"&lt;&gt;转账")</f>
        <v>0</v>
      </c>
      <c r="M9" s="187">
        <f>K9-L9</f>
        <v>0</v>
      </c>
      <c r="N9" s="187">
        <f>SUM(基础资料!$X$5:$X$24)+SUMIFS(资金台帐!$S$7:$S$3006,资金台帐!$B$7:$B$3006,"&gt;="&amp;年初日,资金台帐!$B$7:$B$3006,"&lt;"&amp;DATE(年度,3+1,1))</f>
        <v>0</v>
      </c>
    </row>
    <row r="10">
      <c r="A10" s="185" t="n">
        <v>4</v>
      </c>
      <c r="B10" s="186">
        <f>SUMIFS(资金台帐!$S$7:$S$3006,资金台帐!$P$7:$P$3006,"应收",资金台帐!$B$7:$B$3006,"&gt;="&amp;DATE(年度,4,1),资金台帐!$B$7:$B$3006,"&lt;"&amp;DATE(年度,4+1,1))</f>
        <v>0</v>
      </c>
      <c r="C10" s="186">
        <f>-SUMIFS(资金台帐!$S$7:$S$3006,资金台帐!$P$7:$P$3006,"应付",资金台帐!$B$7:$B$3006,"&gt;="&amp;DATE(年度,4,1),资金台帐!$B$7:$B$3006,"&lt;"&amp;DATE(年度,4+1,1))</f>
        <v>0</v>
      </c>
      <c r="D10" s="186">
        <f>-SUMIFS(资金台帐!$S$7:$S$3006,资金台帐!$P$7:$P$3006,"费用",资金台帐!$B$7:$B$3006,"&gt;="&amp;DATE(年度,4,1),资金台帐!$B$7:$B$3006,"&lt;"&amp;DATE(年度,4+1,1))</f>
        <v>0</v>
      </c>
      <c r="E10" s="186">
        <f>SUMIFS(资金台帐!$S$7:$S$3006,资金台帐!$P$7:$P$3006,"返利收入",资金台帐!$B$7:$B$3006,"&gt;="&amp;DATE(年度,4,1),资金台帐!$B$7:$B$3006,"&lt;"&amp;DATE(年度,4+1,1))</f>
        <v>0</v>
      </c>
      <c r="F10" s="186">
        <f>SUMIFS(资金台帐!$S$7:$S$3006,资金台帐!$P$7:$P$3006,"其他收入",资金台帐!$B$7:$B$3006,"&gt;="&amp;DATE(年度,4,1),资金台帐!$B$7:$B$3006,"&lt;"&amp;DATE(年度,4+1,1))</f>
        <v>0</v>
      </c>
      <c r="G10" s="186">
        <f>SUMIFS(资金台帐!$S$7:$S$3006,资金台帐!$P$7:$P$3006,"投入",资金台帐!$B$7:$B$3006,"&gt;="&amp;DATE(年度,4,1),资金台帐!$B$7:$B$3006,"&lt;"&amp;DATE(年度,4+1,1))</f>
        <v>0</v>
      </c>
      <c r="H10" s="186">
        <f>-SUMIFS(资金台帐!$S$7:$S$3006,资金台帐!$P$7:$P$3006,"提取",资金台帐!$B$7:$B$3006,"&gt;="&amp;DATE(年度,4,1),资金台帐!$B$7:$B$3006,"&lt;"&amp;DATE(年度,4+1,1))</f>
        <v>0</v>
      </c>
      <c r="I10" s="186">
        <f>SUMIFS(资金台帐!$S$7:$S$3006,资金台帐!$P$7:$P$3006,"借款",资金台帐!$B$7:$B$3006,"&gt;="&amp;DATE(年度,4,1),资金台帐!$B$7:$B$3006,"&lt;"&amp;DATE(年度,4+1,1))</f>
        <v>0</v>
      </c>
      <c r="J10" s="186">
        <f>SUMIFS(资金台帐!$S$7:$S$3006,资金台帐!$P$7:$P$3006,"其他往来",资金台帐!$B$7:$B$3006,"&gt;="&amp;DATE(年度,4,1),资金台帐!$B$7:$B$3006,"&lt;"&amp;DATE(年度,4+1,1))</f>
        <v>0</v>
      </c>
      <c r="K10" s="187">
        <f>SUMIFS(资金台帐!$F$7:$F$3006,资金台帐!$B$7:$B$3006,"&gt;="&amp;DATE(年度,4,1),资金台帐!$B$7:$B$3006,"&lt;"&amp;DATE(年度,4+1,1),资金台帐!$P$7:$P$3006,"&lt;&gt;转账")</f>
        <v>0</v>
      </c>
      <c r="L10" s="187">
        <f>SUMIFS(资金台帐!$G$7:$G$3006,资金台帐!$B$7:$B$3006,"&gt;="&amp;DATE(年度,4,1),资金台帐!$B$7:$B$3006,"&lt;"&amp;DATE(年度,4+1,1),资金台帐!$P$7:$P$3006,"&lt;&gt;转账")</f>
        <v>0</v>
      </c>
      <c r="M10" s="187">
        <f>K10-L10</f>
        <v>0</v>
      </c>
      <c r="N10" s="187">
        <f>SUM(基础资料!$X$5:$X$24)+SUMIFS(资金台帐!$S$7:$S$3006,资金台帐!$B$7:$B$3006,"&gt;="&amp;年初日,资金台帐!$B$7:$B$3006,"&lt;"&amp;DATE(年度,4+1,1))</f>
        <v>0</v>
      </c>
    </row>
    <row r="11">
      <c r="A11" s="185" t="n">
        <v>5</v>
      </c>
      <c r="B11" s="186">
        <f>SUMIFS(资金台帐!$S$7:$S$3006,资金台帐!$P$7:$P$3006,"应收",资金台帐!$B$7:$B$3006,"&gt;="&amp;DATE(年度,5,1),资金台帐!$B$7:$B$3006,"&lt;"&amp;DATE(年度,5+1,1))</f>
        <v>100000</v>
      </c>
      <c r="C11" s="186">
        <f>-SUMIFS(资金台帐!$S$7:$S$3006,资金台帐!$P$7:$P$3006,"应付",资金台帐!$B$7:$B$3006,"&gt;="&amp;DATE(年度,5,1),资金台帐!$B$7:$B$3006,"&lt;"&amp;DATE(年度,5+1,1))</f>
        <v>0</v>
      </c>
      <c r="D11" s="186">
        <f>-SUMIFS(资金台帐!$S$7:$S$3006,资金台帐!$P$7:$P$3006,"费用",资金台帐!$B$7:$B$3006,"&gt;="&amp;DATE(年度,5,1),资金台帐!$B$7:$B$3006,"&lt;"&amp;DATE(年度,5+1,1))</f>
        <v>0</v>
      </c>
      <c r="E11" s="186">
        <f>SUMIFS(资金台帐!$S$7:$S$3006,资金台帐!$P$7:$P$3006,"返利收入",资金台帐!$B$7:$B$3006,"&gt;="&amp;DATE(年度,5,1),资金台帐!$B$7:$B$3006,"&lt;"&amp;DATE(年度,5+1,1))</f>
        <v>0</v>
      </c>
      <c r="F11" s="186">
        <f>SUMIFS(资金台帐!$S$7:$S$3006,资金台帐!$P$7:$P$3006,"其他收入",资金台帐!$B$7:$B$3006,"&gt;="&amp;DATE(年度,5,1),资金台帐!$B$7:$B$3006,"&lt;"&amp;DATE(年度,5+1,1))</f>
        <v>0</v>
      </c>
      <c r="G11" s="186">
        <f>SUMIFS(资金台帐!$S$7:$S$3006,资金台帐!$P$7:$P$3006,"投入",资金台帐!$B$7:$B$3006,"&gt;="&amp;DATE(年度,5,1),资金台帐!$B$7:$B$3006,"&lt;"&amp;DATE(年度,5+1,1))</f>
        <v>0</v>
      </c>
      <c r="H11" s="186">
        <f>-SUMIFS(资金台帐!$S$7:$S$3006,资金台帐!$P$7:$P$3006,"提取",资金台帐!$B$7:$B$3006,"&gt;="&amp;DATE(年度,5,1),资金台帐!$B$7:$B$3006,"&lt;"&amp;DATE(年度,5+1,1))</f>
        <v>0</v>
      </c>
      <c r="I11" s="186">
        <f>SUMIFS(资金台帐!$S$7:$S$3006,资金台帐!$P$7:$P$3006,"借款",资金台帐!$B$7:$B$3006,"&gt;="&amp;DATE(年度,5,1),资金台帐!$B$7:$B$3006,"&lt;"&amp;DATE(年度,5+1,1))</f>
        <v>0</v>
      </c>
      <c r="J11" s="186">
        <f>SUMIFS(资金台帐!$S$7:$S$3006,资金台帐!$P$7:$P$3006,"其他往来",资金台帐!$B$7:$B$3006,"&gt;="&amp;DATE(年度,5,1),资金台帐!$B$7:$B$3006,"&lt;"&amp;DATE(年度,5+1,1))</f>
        <v>0</v>
      </c>
      <c r="K11" s="187">
        <f>SUMIFS(资金台帐!$F$7:$F$3006,资金台帐!$B$7:$B$3006,"&gt;="&amp;DATE(年度,5,1),资金台帐!$B$7:$B$3006,"&lt;"&amp;DATE(年度,5+1,1),资金台帐!$P$7:$P$3006,"&lt;&gt;转账")</f>
        <v>100000</v>
      </c>
      <c r="L11" s="187">
        <f>SUMIFS(资金台帐!$G$7:$G$3006,资金台帐!$B$7:$B$3006,"&gt;="&amp;DATE(年度,5,1),资金台帐!$B$7:$B$3006,"&lt;"&amp;DATE(年度,5+1,1),资金台帐!$P$7:$P$3006,"&lt;&gt;转账")</f>
        <v>0</v>
      </c>
      <c r="M11" s="187">
        <f>K11-L11</f>
        <v>100000</v>
      </c>
      <c r="N11" s="187">
        <f>SUM(基础资料!$X$5:$X$24)+SUMIFS(资金台帐!$S$7:$S$3006,资金台帐!$B$7:$B$3006,"&gt;="&amp;年初日,资金台帐!$B$7:$B$3006,"&lt;"&amp;DATE(年度,5+1,1))</f>
        <v>100000</v>
      </c>
    </row>
    <row r="12">
      <c r="A12" s="185" t="n">
        <v>6</v>
      </c>
      <c r="B12" s="186">
        <f>SUMIFS(资金台帐!$S$7:$S$3006,资金台帐!$P$7:$P$3006,"应收",资金台帐!$B$7:$B$3006,"&gt;="&amp;DATE(年度,6,1),资金台帐!$B$7:$B$3006,"&lt;"&amp;DATE(年度,6+1,1))</f>
        <v>2540133.19</v>
      </c>
      <c r="C12" s="186">
        <f>-SUMIFS(资金台帐!$S$7:$S$3006,资金台帐!$P$7:$P$3006,"应付",资金台帐!$B$7:$B$3006,"&gt;="&amp;DATE(年度,6,1),资金台帐!$B$7:$B$3006,"&lt;"&amp;DATE(年度,6+1,1))</f>
        <v>0</v>
      </c>
      <c r="D12" s="186">
        <f>-SUMIFS(资金台帐!$S$7:$S$3006,资金台帐!$P$7:$P$3006,"费用",资金台帐!$B$7:$B$3006,"&gt;="&amp;DATE(年度,6,1),资金台帐!$B$7:$B$3006,"&lt;"&amp;DATE(年度,6+1,1))</f>
        <v>0</v>
      </c>
      <c r="E12" s="186">
        <f>SUMIFS(资金台帐!$S$7:$S$3006,资金台帐!$P$7:$P$3006,"返利收入",资金台帐!$B$7:$B$3006,"&gt;="&amp;DATE(年度,6,1),资金台帐!$B$7:$B$3006,"&lt;"&amp;DATE(年度,6+1,1))</f>
        <v>0</v>
      </c>
      <c r="F12" s="186">
        <f>SUMIFS(资金台帐!$S$7:$S$3006,资金台帐!$P$7:$P$3006,"其他收入",资金台帐!$B$7:$B$3006,"&gt;="&amp;DATE(年度,6,1),资金台帐!$B$7:$B$3006,"&lt;"&amp;DATE(年度,6+1,1))</f>
        <v>0</v>
      </c>
      <c r="G12" s="186">
        <f>SUMIFS(资金台帐!$S$7:$S$3006,资金台帐!$P$7:$P$3006,"投入",资金台帐!$B$7:$B$3006,"&gt;="&amp;DATE(年度,6,1),资金台帐!$B$7:$B$3006,"&lt;"&amp;DATE(年度,6+1,1))</f>
        <v>0</v>
      </c>
      <c r="H12" s="186">
        <f>-SUMIFS(资金台帐!$S$7:$S$3006,资金台帐!$P$7:$P$3006,"提取",资金台帐!$B$7:$B$3006,"&gt;="&amp;DATE(年度,6,1),资金台帐!$B$7:$B$3006,"&lt;"&amp;DATE(年度,6+1,1))</f>
        <v>0</v>
      </c>
      <c r="I12" s="186">
        <f>SUMIFS(资金台帐!$S$7:$S$3006,资金台帐!$P$7:$P$3006,"借款",资金台帐!$B$7:$B$3006,"&gt;="&amp;DATE(年度,6,1),资金台帐!$B$7:$B$3006,"&lt;"&amp;DATE(年度,6+1,1))</f>
        <v>0</v>
      </c>
      <c r="J12" s="186">
        <f>SUMIFS(资金台帐!$S$7:$S$3006,资金台帐!$P$7:$P$3006,"其他往来",资金台帐!$B$7:$B$3006,"&gt;="&amp;DATE(年度,6,1),资金台帐!$B$7:$B$3006,"&lt;"&amp;DATE(年度,6+1,1))</f>
        <v>0</v>
      </c>
      <c r="K12" s="187">
        <f>SUMIFS(资金台帐!$F$7:$F$3006,资金台帐!$B$7:$B$3006,"&gt;="&amp;DATE(年度,6,1),资金台帐!$B$7:$B$3006,"&lt;"&amp;DATE(年度,6+1,1),资金台帐!$P$7:$P$3006,"&lt;&gt;转账")</f>
        <v>2540133.19</v>
      </c>
      <c r="L12" s="187">
        <f>SUMIFS(资金台帐!$G$7:$G$3006,资金台帐!$B$7:$B$3006,"&gt;="&amp;DATE(年度,6,1),资金台帐!$B$7:$B$3006,"&lt;"&amp;DATE(年度,6+1,1),资金台帐!$P$7:$P$3006,"&lt;&gt;转账")</f>
        <v>0</v>
      </c>
      <c r="M12" s="187">
        <f>K12-L12</f>
        <v>2540133.19</v>
      </c>
      <c r="N12" s="187">
        <f>SUM(基础资料!$X$5:$X$24)+SUMIFS(资金台帐!$S$7:$S$3006,资金台帐!$B$7:$B$3006,"&gt;="&amp;年初日,资金台帐!$B$7:$B$3006,"&lt;"&amp;DATE(年度,6+1,1))</f>
        <v>2640133.19</v>
      </c>
    </row>
    <row r="13">
      <c r="A13" s="185" t="n">
        <v>7</v>
      </c>
      <c r="B13" s="186">
        <f>SUMIFS(资金台帐!$S$7:$S$3006,资金台帐!$P$7:$P$3006,"应收",资金台帐!$B$7:$B$3006,"&gt;="&amp;DATE(年度,7,1),资金台帐!$B$7:$B$3006,"&lt;"&amp;DATE(年度,7+1,1))</f>
        <v>926799</v>
      </c>
      <c r="C13" s="186">
        <f>-SUMIFS(资金台帐!$S$7:$S$3006,资金台帐!$P$7:$P$3006,"应付",资金台帐!$B$7:$B$3006,"&gt;="&amp;DATE(年度,7,1),资金台帐!$B$7:$B$3006,"&lt;"&amp;DATE(年度,7+1,1))</f>
        <v>0</v>
      </c>
      <c r="D13" s="186">
        <f>-SUMIFS(资金台帐!$S$7:$S$3006,资金台帐!$P$7:$P$3006,"费用",资金台帐!$B$7:$B$3006,"&gt;="&amp;DATE(年度,7,1),资金台帐!$B$7:$B$3006,"&lt;"&amp;DATE(年度,7+1,1))</f>
        <v>0</v>
      </c>
      <c r="E13" s="186">
        <f>SUMIFS(资金台帐!$S$7:$S$3006,资金台帐!$P$7:$P$3006,"返利收入",资金台帐!$B$7:$B$3006,"&gt;="&amp;DATE(年度,7,1),资金台帐!$B$7:$B$3006,"&lt;"&amp;DATE(年度,7+1,1))</f>
        <v>0</v>
      </c>
      <c r="F13" s="186">
        <f>SUMIFS(资金台帐!$S$7:$S$3006,资金台帐!$P$7:$P$3006,"其他收入",资金台帐!$B$7:$B$3006,"&gt;="&amp;DATE(年度,7,1),资金台帐!$B$7:$B$3006,"&lt;"&amp;DATE(年度,7+1,1))</f>
        <v>0</v>
      </c>
      <c r="G13" s="186">
        <f>SUMIFS(资金台帐!$S$7:$S$3006,资金台帐!$P$7:$P$3006,"投入",资金台帐!$B$7:$B$3006,"&gt;="&amp;DATE(年度,7,1),资金台帐!$B$7:$B$3006,"&lt;"&amp;DATE(年度,7+1,1))</f>
        <v>0</v>
      </c>
      <c r="H13" s="186">
        <f>-SUMIFS(资金台帐!$S$7:$S$3006,资金台帐!$P$7:$P$3006,"提取",资金台帐!$B$7:$B$3006,"&gt;="&amp;DATE(年度,7,1),资金台帐!$B$7:$B$3006,"&lt;"&amp;DATE(年度,7+1,1))</f>
        <v>0</v>
      </c>
      <c r="I13" s="186">
        <f>SUMIFS(资金台帐!$S$7:$S$3006,资金台帐!$P$7:$P$3006,"借款",资金台帐!$B$7:$B$3006,"&gt;="&amp;DATE(年度,7,1),资金台帐!$B$7:$B$3006,"&lt;"&amp;DATE(年度,7+1,1))</f>
        <v>0</v>
      </c>
      <c r="J13" s="186">
        <f>SUMIFS(资金台帐!$S$7:$S$3006,资金台帐!$P$7:$P$3006,"其他往来",资金台帐!$B$7:$B$3006,"&gt;="&amp;DATE(年度,7,1),资金台帐!$B$7:$B$3006,"&lt;"&amp;DATE(年度,7+1,1))</f>
        <v>0</v>
      </c>
      <c r="K13" s="187">
        <f>SUMIFS(资金台帐!$F$7:$F$3006,资金台帐!$B$7:$B$3006,"&gt;="&amp;DATE(年度,7,1),资金台帐!$B$7:$B$3006,"&lt;"&amp;DATE(年度,7+1,1),资金台帐!$P$7:$P$3006,"&lt;&gt;转账")</f>
        <v>926799</v>
      </c>
      <c r="L13" s="187">
        <f>SUMIFS(资金台帐!$G$7:$G$3006,资金台帐!$B$7:$B$3006,"&gt;="&amp;DATE(年度,7,1),资金台帐!$B$7:$B$3006,"&lt;"&amp;DATE(年度,7+1,1),资金台帐!$P$7:$P$3006,"&lt;&gt;转账")</f>
        <v>0</v>
      </c>
      <c r="M13" s="187">
        <f>K13-L13</f>
        <v>926799</v>
      </c>
      <c r="N13" s="187">
        <f>SUM(基础资料!$X$5:$X$24)+SUMIFS(资金台帐!$S$7:$S$3006,资金台帐!$B$7:$B$3006,"&gt;="&amp;年初日,资金台帐!$B$7:$B$3006,"&lt;"&amp;DATE(年度,7+1,1))</f>
        <v>3566932.19</v>
      </c>
    </row>
    <row r="14">
      <c r="A14" s="185" t="n">
        <v>8</v>
      </c>
      <c r="B14" s="186">
        <f>SUMIFS(资金台帐!$S$7:$S$3006,资金台帐!$P$7:$P$3006,"应收",资金台帐!$B$7:$B$3006,"&gt;="&amp;DATE(年度,8,1),资金台帐!$B$7:$B$3006,"&lt;"&amp;DATE(年度,8+1,1))</f>
        <v>299677.5</v>
      </c>
      <c r="C14" s="186">
        <f>-SUMIFS(资金台帐!$S$7:$S$3006,资金台帐!$P$7:$P$3006,"应付",资金台帐!$B$7:$B$3006,"&gt;="&amp;DATE(年度,8,1),资金台帐!$B$7:$B$3006,"&lt;"&amp;DATE(年度,8+1,1))</f>
        <v>0</v>
      </c>
      <c r="D14" s="186">
        <f>-SUMIFS(资金台帐!$S$7:$S$3006,资金台帐!$P$7:$P$3006,"费用",资金台帐!$B$7:$B$3006,"&gt;="&amp;DATE(年度,8,1),资金台帐!$B$7:$B$3006,"&lt;"&amp;DATE(年度,8+1,1))</f>
        <v>0</v>
      </c>
      <c r="E14" s="186">
        <f>SUMIFS(资金台帐!$S$7:$S$3006,资金台帐!$P$7:$P$3006,"返利收入",资金台帐!$B$7:$B$3006,"&gt;="&amp;DATE(年度,8,1),资金台帐!$B$7:$B$3006,"&lt;"&amp;DATE(年度,8+1,1))</f>
        <v>0</v>
      </c>
      <c r="F14" s="186">
        <f>SUMIFS(资金台帐!$S$7:$S$3006,资金台帐!$P$7:$P$3006,"其他收入",资金台帐!$B$7:$B$3006,"&gt;="&amp;DATE(年度,8,1),资金台帐!$B$7:$B$3006,"&lt;"&amp;DATE(年度,8+1,1))</f>
        <v>0</v>
      </c>
      <c r="G14" s="186">
        <f>SUMIFS(资金台帐!$S$7:$S$3006,资金台帐!$P$7:$P$3006,"投入",资金台帐!$B$7:$B$3006,"&gt;="&amp;DATE(年度,8,1),资金台帐!$B$7:$B$3006,"&lt;"&amp;DATE(年度,8+1,1))</f>
        <v>0</v>
      </c>
      <c r="H14" s="186">
        <f>-SUMIFS(资金台帐!$S$7:$S$3006,资金台帐!$P$7:$P$3006,"提取",资金台帐!$B$7:$B$3006,"&gt;="&amp;DATE(年度,8,1),资金台帐!$B$7:$B$3006,"&lt;"&amp;DATE(年度,8+1,1))</f>
        <v>0</v>
      </c>
      <c r="I14" s="186">
        <f>SUMIFS(资金台帐!$S$7:$S$3006,资金台帐!$P$7:$P$3006,"借款",资金台帐!$B$7:$B$3006,"&gt;="&amp;DATE(年度,8,1),资金台帐!$B$7:$B$3006,"&lt;"&amp;DATE(年度,8+1,1))</f>
        <v>0</v>
      </c>
      <c r="J14" s="186">
        <f>SUMIFS(资金台帐!$S$7:$S$3006,资金台帐!$P$7:$P$3006,"其他往来",资金台帐!$B$7:$B$3006,"&gt;="&amp;DATE(年度,8,1),资金台帐!$B$7:$B$3006,"&lt;"&amp;DATE(年度,8+1,1))</f>
        <v>0</v>
      </c>
      <c r="K14" s="187">
        <f>SUMIFS(资金台帐!$F$7:$F$3006,资金台帐!$B$7:$B$3006,"&gt;="&amp;DATE(年度,8,1),资金台帐!$B$7:$B$3006,"&lt;"&amp;DATE(年度,8+1,1),资金台帐!$P$7:$P$3006,"&lt;&gt;转账")</f>
        <v>299677.5</v>
      </c>
      <c r="L14" s="187">
        <f>SUMIFS(资金台帐!$G$7:$G$3006,资金台帐!$B$7:$B$3006,"&gt;="&amp;DATE(年度,8,1),资金台帐!$B$7:$B$3006,"&lt;"&amp;DATE(年度,8+1,1),资金台帐!$P$7:$P$3006,"&lt;&gt;转账")</f>
        <v>0</v>
      </c>
      <c r="M14" s="187">
        <f>K14-L14</f>
        <v>299677.5</v>
      </c>
      <c r="N14" s="187">
        <f>SUM(基础资料!$X$5:$X$24)+SUMIFS(资金台帐!$S$7:$S$3006,资金台帐!$B$7:$B$3006,"&gt;="&amp;年初日,资金台帐!$B$7:$B$3006,"&lt;"&amp;DATE(年度,8+1,1))</f>
        <v>3866609.69</v>
      </c>
    </row>
    <row r="15">
      <c r="A15" s="185" t="n">
        <v>9</v>
      </c>
      <c r="B15" s="186">
        <f>SUMIFS(资金台帐!$S$7:$S$3006,资金台帐!$P$7:$P$3006,"应收",资金台帐!$B$7:$B$3006,"&gt;="&amp;DATE(年度,9,1),资金台帐!$B$7:$B$3006,"&lt;"&amp;DATE(年度,9+1,1))</f>
        <v>2700</v>
      </c>
      <c r="C15" s="186">
        <f>-SUMIFS(资金台帐!$S$7:$S$3006,资金台帐!$P$7:$P$3006,"应付",资金台帐!$B$7:$B$3006,"&gt;="&amp;DATE(年度,9,1),资金台帐!$B$7:$B$3006,"&lt;"&amp;DATE(年度,9+1,1))</f>
        <v>0</v>
      </c>
      <c r="D15" s="186">
        <f>-SUMIFS(资金台帐!$S$7:$S$3006,资金台帐!$P$7:$P$3006,"费用",资金台帐!$B$7:$B$3006,"&gt;="&amp;DATE(年度,9,1),资金台帐!$B$7:$B$3006,"&lt;"&amp;DATE(年度,9+1,1))</f>
        <v>0</v>
      </c>
      <c r="E15" s="186">
        <f>SUMIFS(资金台帐!$S$7:$S$3006,资金台帐!$P$7:$P$3006,"返利收入",资金台帐!$B$7:$B$3006,"&gt;="&amp;DATE(年度,9,1),资金台帐!$B$7:$B$3006,"&lt;"&amp;DATE(年度,9+1,1))</f>
        <v>0</v>
      </c>
      <c r="F15" s="186">
        <f>SUMIFS(资金台帐!$S$7:$S$3006,资金台帐!$P$7:$P$3006,"其他收入",资金台帐!$B$7:$B$3006,"&gt;="&amp;DATE(年度,9,1),资金台帐!$B$7:$B$3006,"&lt;"&amp;DATE(年度,9+1,1))</f>
        <v>0</v>
      </c>
      <c r="G15" s="186">
        <f>SUMIFS(资金台帐!$S$7:$S$3006,资金台帐!$P$7:$P$3006,"投入",资金台帐!$B$7:$B$3006,"&gt;="&amp;DATE(年度,9,1),资金台帐!$B$7:$B$3006,"&lt;"&amp;DATE(年度,9+1,1))</f>
        <v>0</v>
      </c>
      <c r="H15" s="186">
        <f>-SUMIFS(资金台帐!$S$7:$S$3006,资金台帐!$P$7:$P$3006,"提取",资金台帐!$B$7:$B$3006,"&gt;="&amp;DATE(年度,9,1),资金台帐!$B$7:$B$3006,"&lt;"&amp;DATE(年度,9+1,1))</f>
        <v>0</v>
      </c>
      <c r="I15" s="186">
        <f>SUMIFS(资金台帐!$S$7:$S$3006,资金台帐!$P$7:$P$3006,"借款",资金台帐!$B$7:$B$3006,"&gt;="&amp;DATE(年度,9,1),资金台帐!$B$7:$B$3006,"&lt;"&amp;DATE(年度,9+1,1))</f>
        <v>0</v>
      </c>
      <c r="J15" s="186">
        <f>SUMIFS(资金台帐!$S$7:$S$3006,资金台帐!$P$7:$P$3006,"其他往来",资金台帐!$B$7:$B$3006,"&gt;="&amp;DATE(年度,9,1),资金台帐!$B$7:$B$3006,"&lt;"&amp;DATE(年度,9+1,1))</f>
        <v>0</v>
      </c>
      <c r="K15" s="187">
        <f>SUMIFS(资金台帐!$F$7:$F$3006,资金台帐!$B$7:$B$3006,"&gt;="&amp;DATE(年度,9,1),资金台帐!$B$7:$B$3006,"&lt;"&amp;DATE(年度,9+1,1),资金台帐!$P$7:$P$3006,"&lt;&gt;转账")</f>
        <v>2700</v>
      </c>
      <c r="L15" s="187">
        <f>SUMIFS(资金台帐!$G$7:$G$3006,资金台帐!$B$7:$B$3006,"&gt;="&amp;DATE(年度,9,1),资金台帐!$B$7:$B$3006,"&lt;"&amp;DATE(年度,9+1,1),资金台帐!$P$7:$P$3006,"&lt;&gt;转账")</f>
        <v>0</v>
      </c>
      <c r="M15" s="187">
        <f>K15-L15</f>
        <v>2700</v>
      </c>
      <c r="N15" s="187">
        <f>SUM(基础资料!$X$5:$X$24)+SUMIFS(资金台帐!$S$7:$S$3006,资金台帐!$B$7:$B$3006,"&gt;="&amp;年初日,资金台帐!$B$7:$B$3006,"&lt;"&amp;DATE(年度,9+1,1))</f>
        <v>3869309.69</v>
      </c>
    </row>
    <row r="16">
      <c r="A16" s="185" t="n">
        <v>10</v>
      </c>
      <c r="B16" s="186">
        <f>SUMIFS(资金台帐!$S$7:$S$3006,资金台帐!$P$7:$P$3006,"应收",资金台帐!$B$7:$B$3006,"&gt;="&amp;DATE(年度,10,1),资金台帐!$B$7:$B$3006,"&lt;"&amp;DATE(年度,10+1,1))</f>
        <v>0</v>
      </c>
      <c r="C16" s="186">
        <f>-SUMIFS(资金台帐!$S$7:$S$3006,资金台帐!$P$7:$P$3006,"应付",资金台帐!$B$7:$B$3006,"&gt;="&amp;DATE(年度,10,1),资金台帐!$B$7:$B$3006,"&lt;"&amp;DATE(年度,10+1,1))</f>
        <v>0</v>
      </c>
      <c r="D16" s="186">
        <f>-SUMIFS(资金台帐!$S$7:$S$3006,资金台帐!$P$7:$P$3006,"费用",资金台帐!$B$7:$B$3006,"&gt;="&amp;DATE(年度,10,1),资金台帐!$B$7:$B$3006,"&lt;"&amp;DATE(年度,10+1,1))</f>
        <v>0</v>
      </c>
      <c r="E16" s="186">
        <f>SUMIFS(资金台帐!$S$7:$S$3006,资金台帐!$P$7:$P$3006,"返利收入",资金台帐!$B$7:$B$3006,"&gt;="&amp;DATE(年度,10,1),资金台帐!$B$7:$B$3006,"&lt;"&amp;DATE(年度,10+1,1))</f>
        <v>0</v>
      </c>
      <c r="F16" s="186">
        <f>SUMIFS(资金台帐!$S$7:$S$3006,资金台帐!$P$7:$P$3006,"其他收入",资金台帐!$B$7:$B$3006,"&gt;="&amp;DATE(年度,10,1),资金台帐!$B$7:$B$3006,"&lt;"&amp;DATE(年度,10+1,1))</f>
        <v>0</v>
      </c>
      <c r="G16" s="186">
        <f>SUMIFS(资金台帐!$S$7:$S$3006,资金台帐!$P$7:$P$3006,"投入",资金台帐!$B$7:$B$3006,"&gt;="&amp;DATE(年度,10,1),资金台帐!$B$7:$B$3006,"&lt;"&amp;DATE(年度,10+1,1))</f>
        <v>0</v>
      </c>
      <c r="H16" s="186">
        <f>-SUMIFS(资金台帐!$S$7:$S$3006,资金台帐!$P$7:$P$3006,"提取",资金台帐!$B$7:$B$3006,"&gt;="&amp;DATE(年度,10,1),资金台帐!$B$7:$B$3006,"&lt;"&amp;DATE(年度,10+1,1))</f>
        <v>0</v>
      </c>
      <c r="I16" s="186">
        <f>SUMIFS(资金台帐!$S$7:$S$3006,资金台帐!$P$7:$P$3006,"借款",资金台帐!$B$7:$B$3006,"&gt;="&amp;DATE(年度,10,1),资金台帐!$B$7:$B$3006,"&lt;"&amp;DATE(年度,10+1,1))</f>
        <v>0</v>
      </c>
      <c r="J16" s="186">
        <f>SUMIFS(资金台帐!$S$7:$S$3006,资金台帐!$P$7:$P$3006,"其他往来",资金台帐!$B$7:$B$3006,"&gt;="&amp;DATE(年度,10,1),资金台帐!$B$7:$B$3006,"&lt;"&amp;DATE(年度,10+1,1))</f>
        <v>0</v>
      </c>
      <c r="K16" s="187">
        <f>SUMIFS(资金台帐!$F$7:$F$3006,资金台帐!$B$7:$B$3006,"&gt;="&amp;DATE(年度,10,1),资金台帐!$B$7:$B$3006,"&lt;"&amp;DATE(年度,10+1,1),资金台帐!$P$7:$P$3006,"&lt;&gt;转账")</f>
        <v>0</v>
      </c>
      <c r="L16" s="187">
        <f>SUMIFS(资金台帐!$G$7:$G$3006,资金台帐!$B$7:$B$3006,"&gt;="&amp;DATE(年度,10,1),资金台帐!$B$7:$B$3006,"&lt;"&amp;DATE(年度,10+1,1),资金台帐!$P$7:$P$3006,"&lt;&gt;转账")</f>
        <v>0</v>
      </c>
      <c r="M16" s="187">
        <f>K16-L16</f>
        <v>0</v>
      </c>
      <c r="N16" s="187">
        <f>SUM(基础资料!$X$5:$X$24)+SUMIFS(资金台帐!$S$7:$S$3006,资金台帐!$B$7:$B$3006,"&gt;="&amp;年初日,资金台帐!$B$7:$B$3006,"&lt;"&amp;DATE(年度,10+1,1))</f>
        <v>3869309.69</v>
      </c>
    </row>
    <row r="17">
      <c r="A17" s="185" t="n">
        <v>11</v>
      </c>
      <c r="B17" s="186">
        <f>SUMIFS(资金台帐!$S$7:$S$3006,资金台帐!$P$7:$P$3006,"应收",资金台帐!$B$7:$B$3006,"&gt;="&amp;DATE(年度,11,1),资金台帐!$B$7:$B$3006,"&lt;"&amp;DATE(年度,11+1,1))</f>
        <v>0</v>
      </c>
      <c r="C17" s="186">
        <f>-SUMIFS(资金台帐!$S$7:$S$3006,资金台帐!$P$7:$P$3006,"应付",资金台帐!$B$7:$B$3006,"&gt;="&amp;DATE(年度,11,1),资金台帐!$B$7:$B$3006,"&lt;"&amp;DATE(年度,11+1,1))</f>
        <v>0</v>
      </c>
      <c r="D17" s="186">
        <f>-SUMIFS(资金台帐!$S$7:$S$3006,资金台帐!$P$7:$P$3006,"费用",资金台帐!$B$7:$B$3006,"&gt;="&amp;DATE(年度,11,1),资金台帐!$B$7:$B$3006,"&lt;"&amp;DATE(年度,11+1,1))</f>
        <v>0</v>
      </c>
      <c r="E17" s="186">
        <f>SUMIFS(资金台帐!$S$7:$S$3006,资金台帐!$P$7:$P$3006,"返利收入",资金台帐!$B$7:$B$3006,"&gt;="&amp;DATE(年度,11,1),资金台帐!$B$7:$B$3006,"&lt;"&amp;DATE(年度,11+1,1))</f>
        <v>0</v>
      </c>
      <c r="F17" s="186">
        <f>SUMIFS(资金台帐!$S$7:$S$3006,资金台帐!$P$7:$P$3006,"其他收入",资金台帐!$B$7:$B$3006,"&gt;="&amp;DATE(年度,11,1),资金台帐!$B$7:$B$3006,"&lt;"&amp;DATE(年度,11+1,1))</f>
        <v>0</v>
      </c>
      <c r="G17" s="186">
        <f>SUMIFS(资金台帐!$S$7:$S$3006,资金台帐!$P$7:$P$3006,"投入",资金台帐!$B$7:$B$3006,"&gt;="&amp;DATE(年度,11,1),资金台帐!$B$7:$B$3006,"&lt;"&amp;DATE(年度,11+1,1))</f>
        <v>0</v>
      </c>
      <c r="H17" s="186">
        <f>-SUMIFS(资金台帐!$S$7:$S$3006,资金台帐!$P$7:$P$3006,"提取",资金台帐!$B$7:$B$3006,"&gt;="&amp;DATE(年度,11,1),资金台帐!$B$7:$B$3006,"&lt;"&amp;DATE(年度,11+1,1))</f>
        <v>0</v>
      </c>
      <c r="I17" s="186">
        <f>SUMIFS(资金台帐!$S$7:$S$3006,资金台帐!$P$7:$P$3006,"借款",资金台帐!$B$7:$B$3006,"&gt;="&amp;DATE(年度,11,1),资金台帐!$B$7:$B$3006,"&lt;"&amp;DATE(年度,11+1,1))</f>
        <v>0</v>
      </c>
      <c r="J17" s="186">
        <f>SUMIFS(资金台帐!$S$7:$S$3006,资金台帐!$P$7:$P$3006,"其他往来",资金台帐!$B$7:$B$3006,"&gt;="&amp;DATE(年度,11,1),资金台帐!$B$7:$B$3006,"&lt;"&amp;DATE(年度,11+1,1))</f>
        <v>0</v>
      </c>
      <c r="K17" s="187">
        <f>SUMIFS(资金台帐!$F$7:$F$3006,资金台帐!$B$7:$B$3006,"&gt;="&amp;DATE(年度,11,1),资金台帐!$B$7:$B$3006,"&lt;"&amp;DATE(年度,11+1,1),资金台帐!$P$7:$P$3006,"&lt;&gt;转账")</f>
        <v>0</v>
      </c>
      <c r="L17" s="187">
        <f>SUMIFS(资金台帐!$G$7:$G$3006,资金台帐!$B$7:$B$3006,"&gt;="&amp;DATE(年度,11,1),资金台帐!$B$7:$B$3006,"&lt;"&amp;DATE(年度,11+1,1),资金台帐!$P$7:$P$3006,"&lt;&gt;转账")</f>
        <v>0</v>
      </c>
      <c r="M17" s="187">
        <f>K17-L17</f>
        <v>0</v>
      </c>
      <c r="N17" s="187">
        <f>SUM(基础资料!$X$5:$X$24)+SUMIFS(资金台帐!$S$7:$S$3006,资金台帐!$B$7:$B$3006,"&gt;="&amp;年初日,资金台帐!$B$7:$B$3006,"&lt;"&amp;DATE(年度,11+1,1))</f>
        <v>3869309.69</v>
      </c>
    </row>
    <row r="18">
      <c r="A18" s="185" t="n">
        <v>12</v>
      </c>
      <c r="B18" s="186">
        <f>SUMIFS(资金台帐!$S$7:$S$3006,资金台帐!$P$7:$P$3006,"应收",资金台帐!$B$7:$B$3006,"&gt;="&amp;DATE(年度,12,1),资金台帐!$B$7:$B$3006,"&lt;"&amp;DATE(年度,12+1,1))</f>
        <v>0</v>
      </c>
      <c r="C18" s="186">
        <f>-SUMIFS(资金台帐!$S$7:$S$3006,资金台帐!$P$7:$P$3006,"应付",资金台帐!$B$7:$B$3006,"&gt;="&amp;DATE(年度,12,1),资金台帐!$B$7:$B$3006,"&lt;"&amp;DATE(年度,12+1,1))</f>
        <v>0</v>
      </c>
      <c r="D18" s="186">
        <f>-SUMIFS(资金台帐!$S$7:$S$3006,资金台帐!$P$7:$P$3006,"费用",资金台帐!$B$7:$B$3006,"&gt;="&amp;DATE(年度,12,1),资金台帐!$B$7:$B$3006,"&lt;"&amp;DATE(年度,12+1,1))</f>
        <v>0</v>
      </c>
      <c r="E18" s="186">
        <f>SUMIFS(资金台帐!$S$7:$S$3006,资金台帐!$P$7:$P$3006,"返利收入",资金台帐!$B$7:$B$3006,"&gt;="&amp;DATE(年度,12,1),资金台帐!$B$7:$B$3006,"&lt;"&amp;DATE(年度,12+1,1))</f>
        <v>0</v>
      </c>
      <c r="F18" s="186">
        <f>SUMIFS(资金台帐!$S$7:$S$3006,资金台帐!$P$7:$P$3006,"其他收入",资金台帐!$B$7:$B$3006,"&gt;="&amp;DATE(年度,12,1),资金台帐!$B$7:$B$3006,"&lt;"&amp;DATE(年度,12+1,1))</f>
        <v>0</v>
      </c>
      <c r="G18" s="186">
        <f>SUMIFS(资金台帐!$S$7:$S$3006,资金台帐!$P$7:$P$3006,"投入",资金台帐!$B$7:$B$3006,"&gt;="&amp;DATE(年度,12,1),资金台帐!$B$7:$B$3006,"&lt;"&amp;DATE(年度,12+1,1))</f>
        <v>0</v>
      </c>
      <c r="H18" s="186">
        <f>-SUMIFS(资金台帐!$S$7:$S$3006,资金台帐!$P$7:$P$3006,"提取",资金台帐!$B$7:$B$3006,"&gt;="&amp;DATE(年度,12,1),资金台帐!$B$7:$B$3006,"&lt;"&amp;DATE(年度,12+1,1))</f>
        <v>0</v>
      </c>
      <c r="I18" s="186">
        <f>SUMIFS(资金台帐!$S$7:$S$3006,资金台帐!$P$7:$P$3006,"借款",资金台帐!$B$7:$B$3006,"&gt;="&amp;DATE(年度,12,1),资金台帐!$B$7:$B$3006,"&lt;"&amp;DATE(年度,12+1,1))</f>
        <v>0</v>
      </c>
      <c r="J18" s="186">
        <f>SUMIFS(资金台帐!$S$7:$S$3006,资金台帐!$P$7:$P$3006,"其他往来",资金台帐!$B$7:$B$3006,"&gt;="&amp;DATE(年度,12,1),资金台帐!$B$7:$B$3006,"&lt;"&amp;DATE(年度,12+1,1))</f>
        <v>0</v>
      </c>
      <c r="K18" s="187">
        <f>SUMIFS(资金台帐!$F$7:$F$3006,资金台帐!$B$7:$B$3006,"&gt;="&amp;DATE(年度,12,1),资金台帐!$B$7:$B$3006,"&lt;"&amp;DATE(年度,12+1,1),资金台帐!$P$7:$P$3006,"&lt;&gt;转账")</f>
        <v>0</v>
      </c>
      <c r="L18" s="187">
        <f>SUMIFS(资金台帐!$G$7:$G$3006,资金台帐!$B$7:$B$3006,"&gt;="&amp;DATE(年度,12,1),资金台帐!$B$7:$B$3006,"&lt;"&amp;DATE(年度,12+1,1),资金台帐!$P$7:$P$3006,"&lt;&gt;转账")</f>
        <v>0</v>
      </c>
      <c r="M18" s="187">
        <f>K18-L18</f>
        <v>0</v>
      </c>
      <c r="N18" s="187">
        <f>SUM(基础资料!$X$5:$X$24)+SUMIFS(资金台帐!$S$7:$S$3006,资金台帐!$B$7:$B$3006,"&gt;="&amp;年初日,资金台帐!$B$7:$B$3006,"&lt;"&amp;DATE(年度,12+1,1))</f>
        <v>3869309.69</v>
      </c>
    </row>
    <row r="19">
      <c r="A19" s="121" t="inlineStr">
        <is>
          <t>合计</t>
        </is>
      </c>
      <c r="B19" s="188">
        <f>SUM(B7:B18)</f>
        <v>3869309.69</v>
      </c>
      <c r="C19" s="188">
        <f>SUM(C7:C18)</f>
        <v>0</v>
      </c>
      <c r="D19" s="188">
        <f>SUM(D7:D18)</f>
        <v>0</v>
      </c>
      <c r="E19" s="188">
        <f>SUM(E7:E18)</f>
        <v>0</v>
      </c>
      <c r="F19" s="188">
        <f>SUM(F7:F18)</f>
        <v>0</v>
      </c>
      <c r="G19" s="188">
        <f>SUM(G7:G18)</f>
        <v>0</v>
      </c>
      <c r="H19" s="188">
        <f>SUM(H7:H18)</f>
        <v>0</v>
      </c>
      <c r="I19" s="188">
        <f>SUM(I7:I18)</f>
        <v>0</v>
      </c>
      <c r="J19" s="188">
        <f>SUM(J7:J18)</f>
        <v>0</v>
      </c>
      <c r="K19" s="188">
        <f>SUM(K7:K18)</f>
        <v>3869309.69</v>
      </c>
      <c r="L19" s="188">
        <f>SUM(L7:L18)</f>
        <v>0</v>
      </c>
      <c r="M19" s="188">
        <f>SUM(M7:M18)</f>
        <v>3869309.69</v>
      </c>
      <c r="N19" s="188">
        <f>N18</f>
        <v>3869309.69</v>
      </c>
    </row>
    <row r="21">
      <c r="A21" s="189" t="inlineStr">
        <is>
          <t>起始日期：</t>
        </is>
      </c>
      <c r="B21" s="190">
        <f>年初日</f>
        <v>46023.0</v>
      </c>
      <c r="C21" s="189" t="inlineStr">
        <is>
          <t>截止日期：</t>
        </is>
      </c>
      <c r="D21" s="190">
        <f>年末日</f>
        <v>46387.0</v>
      </c>
      <c r="E21" s="89" t="inlineStr">
        <is>
          <t>← 改这两格看任意一段时间（下面两块跟着变）</t>
        </is>
      </c>
    </row>
    <row r="22">
      <c r="A22" s="191" t="inlineStr">
        <is>
          <t>👥 客户收款汇总（按总览汇总的客户顺序）</t>
        </is>
      </c>
      <c r="J22" s="192" t="inlineStr">
        <is>
          <t>🏭 供应商付款汇总</t>
        </is>
      </c>
    </row>
    <row r="23" ht="30" customHeight="1" s="71">
      <c r="A23" s="193" t="inlineStr">
        <is>
          <t>序号</t>
        </is>
      </c>
      <c r="B23" s="193" t="inlineStr">
        <is>
          <t>客户</t>
        </is>
      </c>
      <c r="C23" s="193" t="inlineStr">
        <is>
          <t>期初欠款</t>
        </is>
      </c>
      <c r="D23" s="193" t="inlineStr">
        <is>
          <t>本期领用</t>
        </is>
      </c>
      <c r="E23" s="193" t="inlineStr">
        <is>
          <t>本期收款</t>
        </is>
      </c>
      <c r="F23" s="193" t="inlineStr">
        <is>
          <t>期末欠款</t>
        </is>
      </c>
      <c r="G23" s="193" t="inlineStr">
        <is>
          <t>状态</t>
        </is>
      </c>
      <c r="H23" s="193" t="inlineStr">
        <is>
          <t>最近收款日</t>
        </is>
      </c>
      <c r="J23" s="102" t="inlineStr">
        <is>
          <t>序号</t>
        </is>
      </c>
      <c r="K23" s="102" t="inlineStr">
        <is>
          <t>供应商</t>
        </is>
      </c>
      <c r="L23" s="102" t="inlineStr">
        <is>
          <t>期初应付</t>
        </is>
      </c>
      <c r="M23" s="102" t="inlineStr">
        <is>
          <t>本期进货</t>
        </is>
      </c>
      <c r="N23" s="102" t="inlineStr">
        <is>
          <t>本期付款</t>
        </is>
      </c>
      <c r="O23" s="102" t="inlineStr">
        <is>
          <t>期末应付</t>
        </is>
      </c>
      <c r="P23" s="102" t="inlineStr">
        <is>
          <t>状态</t>
        </is>
      </c>
      <c r="Q23" s="102" t="inlineStr">
        <is>
          <t>最近付款日</t>
        </is>
      </c>
    </row>
    <row r="24">
      <c r="A24" s="194">
        <f>IF(B24="","",1)</f>
        <v>1</v>
      </c>
      <c r="B24" s="141" t="str">
        <f>IF(总览汇总!B5="","",总览汇总!B5)</f>
        <v>星海超市</v>
      </c>
      <c r="C24" s="186">
        <f>IF($B24="","",N(总览汇总!K5)+SUMIFS(出库明细!$G$4:$G$3003,出库明细!$C$4:$C$3003,$B24,出库明细!$B$4:$B$3003,"&gt;="&amp;年初日,出库明细!$B$4:$B$3003,"&lt;"&amp;$B$21)-SUMIFS(资金台帐!$S$7:$S$3006,资金台帐!$J$7:$J$3006,$B24,资金台帐!$P$7:$P$3006,"应收",资金台帐!$B$7:$B$3006,"&gt;="&amp;年初日,资金台帐!$B$7:$B$3006,"&lt;"&amp;$B$21))</f>
        <v>0</v>
      </c>
      <c r="D24" s="186">
        <f>IF($B24="","",SUMIFS(出库明细!$G$4:$G$3003,出库明细!$C$4:$C$3003,$B24,出库明细!$B$4:$B$3003,"&gt;="&amp;$B$21,出库明细!$B$4:$B$3003,"&lt;="&amp;$D$21))</f>
        <v>77322</v>
      </c>
      <c r="E24" s="186">
        <f>IF($B24="","",SUMIFS(资金台帐!$S$7:$S$3006,资金台帐!$J$7:$J$3006,$B24,资金台帐!$P$7:$P$3006,"应收",资金台帐!$B$7:$B$3006,"&gt;="&amp;$B$21,资金台帐!$B$7:$B$3006,"&lt;="&amp;$D$21))</f>
        <v>148067</v>
      </c>
      <c r="F24" s="187">
        <f>IF($B24="","",C24+D24-E24)</f>
        <v>-70745</v>
      </c>
      <c r="G24" s="141" t="str">
        <f>IF($B24="","",IF(ROUND(F24,2)=0,"已结清",IF(F24&gt;0,"有欠款","预存款")))</f>
        <v>预存款</v>
      </c>
      <c r="H24" s="195">
        <f>IF($B24="","",_xlfn.MAXIFS(资金台帐!$B$7:$B$3006,资金台帐!$J$7:$J$3006,$B24,资金台帐!$P$7:$P$3006,"应收"))</f>
        <v>46234.0</v>
      </c>
      <c r="J24" s="194">
        <f>IF(K24="","",1)</f>
        <v>1</v>
      </c>
      <c r="K24" s="141" t="str">
        <f>IF(基础资料!Q5="","",基础资料!Q5)</f>
        <v>东鹏公司</v>
      </c>
      <c r="L24" s="186">
        <f>IF($K24="","",N(基础资料!R5)+SUMIFS(采购进货!$G$4:$G$1503,采购进货!$C$4:$C$1503,$K24,采购进货!$B$4:$B$1503,"&gt;="&amp;年初日,采购进货!$B$4:$B$1503,"&lt;"&amp;$B$21)+SUMIFS(资金台帐!$S$7:$S$3006,资金台帐!$K$7:$K$3006,$K24,资金台帐!$P$7:$P$3006,"应付",资金台帐!$B$7:$B$3006,"&gt;="&amp;年初日,资金台帐!$B$7:$B$3006,"&lt;"&amp;$B$21))</f>
        <v>0</v>
      </c>
      <c r="M24" s="186">
        <f>IF($K24="","",SUMIFS(采购进货!$G$4:$G$1503,采购进货!$C$4:$C$1503,$K24,采购进货!$B$4:$B$1503,"&gt;="&amp;$B$21,采购进货!$B$4:$B$1503,"&lt;="&amp;$D$21))</f>
        <v>0</v>
      </c>
      <c r="N24" s="186">
        <f>IF($K24="","",-SUMIFS(资金台帐!$S$7:$S$3006,资金台帐!$K$7:$K$3006,$K24,资金台帐!$P$7:$P$3006,"应付",资金台帐!$B$7:$B$3006,"&gt;="&amp;$B$21,资金台帐!$B$7:$B$3006,"&lt;="&amp;$D$21))</f>
        <v>0</v>
      </c>
      <c r="O24" s="187">
        <f>IF($K24="","",L24+M24-N24)</f>
        <v>0</v>
      </c>
      <c r="P24" s="141" t="str">
        <f>IF($K24="","",IF(ROUND(O24,2)=0,"已结清",IF(O24&gt;0,"我方欠款","我方预付")))</f>
        <v>已结清</v>
      </c>
      <c r="Q24" s="195">
        <f>IF($K24="","",_xlfn.MAXIFS(资金台帐!$B$7:$B$3006,资金台帐!$K$7:$K$3006,$K24,资金台帐!$P$7:$P$3006,"应付"))</f>
        <v>0.0</v>
      </c>
    </row>
    <row r="25">
      <c r="A25" s="194">
        <f>IF(B25="","",2)</f>
        <v>2</v>
      </c>
      <c r="B25" s="141" t="str">
        <f>IF(总览汇总!B6="","",总览汇总!B6)</f>
        <v>王玉琴</v>
      </c>
      <c r="C25" s="186">
        <f>IF($B25="","",N(总览汇总!K6)+SUMIFS(出库明细!$G$4:$G$3003,出库明细!$C$4:$C$3003,$B25,出库明细!$B$4:$B$3003,"&gt;="&amp;年初日,出库明细!$B$4:$B$3003,"&lt;"&amp;$B$21)-SUMIFS(资金台帐!$S$7:$S$3006,资金台帐!$J$7:$J$3006,$B25,资金台帐!$P$7:$P$3006,"应收",资金台帐!$B$7:$B$3006,"&gt;="&amp;年初日,资金台帐!$B$7:$B$3006,"&lt;"&amp;$B$21))</f>
        <v>0</v>
      </c>
      <c r="D25" s="186">
        <f>IF($B25="","",SUMIFS(出库明细!$G$4:$G$3003,出库明细!$C$4:$C$3003,$B25,出库明细!$B$4:$B$3003,"&gt;="&amp;$B$21,出库明细!$B$4:$B$3003,"&lt;="&amp;$D$21))</f>
        <v>54172.5</v>
      </c>
      <c r="E25" s="186">
        <f>IF($B25="","",SUMIFS(资金台帐!$S$7:$S$3006,资金台帐!$J$7:$J$3006,$B25,资金台帐!$P$7:$P$3006,"应收",资金台帐!$B$7:$B$3006,"&gt;="&amp;$B$21,资金台帐!$B$7:$B$3006,"&lt;="&amp;$D$21))</f>
        <v>106697</v>
      </c>
      <c r="F25" s="187">
        <f>IF($B25="","",C25+D25-E25)</f>
        <v>-52524.5</v>
      </c>
      <c r="G25" s="141" t="str">
        <f>IF($B25="","",IF(ROUND(F25,2)=0,"已结清",IF(F25&gt;0,"有欠款","预存款")))</f>
        <v>预存款</v>
      </c>
      <c r="H25" s="195">
        <f>IF($B25="","",_xlfn.MAXIFS(资金台帐!$B$7:$B$3006,资金台帐!$J$7:$J$3006,$B25,资金台帐!$P$7:$P$3006,"应收"))</f>
        <v>46201.0</v>
      </c>
      <c r="J25" s="194">
        <f>IF(K25="","",2)</f>
        <v>2</v>
      </c>
      <c r="K25" s="141" t="str">
        <f>IF(基础资料!Q6="","",基础资料!Q6)</f>
        <v>农夫山泉公司</v>
      </c>
      <c r="L25" s="186">
        <f>IF($K25="","",N(基础资料!R6)+SUMIFS(采购进货!$G$4:$G$1503,采购进货!$C$4:$C$1503,$K25,采购进货!$B$4:$B$1503,"&gt;="&amp;年初日,采购进货!$B$4:$B$1503,"&lt;"&amp;$B$21)+SUMIFS(资金台帐!$S$7:$S$3006,资金台帐!$K$7:$K$3006,$K25,资金台帐!$P$7:$P$3006,"应付",资金台帐!$B$7:$B$3006,"&gt;="&amp;年初日,资金台帐!$B$7:$B$3006,"&lt;"&amp;$B$21))</f>
        <v>0</v>
      </c>
      <c r="M25" s="186">
        <f>IF($K25="","",SUMIFS(采购进货!$G$4:$G$1503,采购进货!$C$4:$C$1503,$K25,采购进货!$B$4:$B$1503,"&gt;="&amp;$B$21,采购进货!$B$4:$B$1503,"&lt;="&amp;$D$21))</f>
        <v>0</v>
      </c>
      <c r="N25" s="186">
        <f>IF($K25="","",-SUMIFS(资金台帐!$S$7:$S$3006,资金台帐!$K$7:$K$3006,$K25,资金台帐!$P$7:$P$3006,"应付",资金台帐!$B$7:$B$3006,"&gt;="&amp;$B$21,资金台帐!$B$7:$B$3006,"&lt;="&amp;$D$21))</f>
        <v>0</v>
      </c>
      <c r="O25" s="187">
        <f>IF($K25="","",L25+M25-N25)</f>
        <v>0</v>
      </c>
      <c r="P25" s="141" t="str">
        <f>IF($K25="","",IF(ROUND(O25,2)=0,"已结清",IF(O25&gt;0,"我方欠款","我方预付")))</f>
        <v>已结清</v>
      </c>
      <c r="Q25" s="195">
        <f>IF($K25="","",_xlfn.MAXIFS(资金台帐!$B$7:$B$3006,资金台帐!$K$7:$K$3006,$K25,资金台帐!$P$7:$P$3006,"应付"))</f>
        <v>0.0</v>
      </c>
    </row>
    <row r="26">
      <c r="A26" s="194">
        <f>IF(B26="","",3)</f>
        <v>3</v>
      </c>
      <c r="B26" s="141" t="str">
        <f>IF(总览汇总!B7="","",总览汇总!B7)</f>
        <v>桐心源</v>
      </c>
      <c r="C26" s="186">
        <f>IF($B26="","",N(总览汇总!K7)+SUMIFS(出库明细!$G$4:$G$3003,出库明细!$C$4:$C$3003,$B26,出库明细!$B$4:$B$3003,"&gt;="&amp;年初日,出库明细!$B$4:$B$3003,"&lt;"&amp;$B$21)-SUMIFS(资金台帐!$S$7:$S$3006,资金台帐!$J$7:$J$3006,$B26,资金台帐!$P$7:$P$3006,"应收",资金台帐!$B$7:$B$3006,"&gt;="&amp;年初日,资金台帐!$B$7:$B$3006,"&lt;"&amp;$B$21))</f>
        <v>0</v>
      </c>
      <c r="D26" s="186">
        <f>IF($B26="","",SUMIFS(出库明细!$G$4:$G$3003,出库明细!$C$4:$C$3003,$B26,出库明细!$B$4:$B$3003,"&gt;="&amp;$B$21,出库明细!$B$4:$B$3003,"&lt;="&amp;$D$21))</f>
        <v>416695</v>
      </c>
      <c r="E26" s="186">
        <f>IF($B26="","",SUMIFS(资金台帐!$S$7:$S$3006,资金台帐!$J$7:$J$3006,$B26,资金台帐!$P$7:$P$3006,"应收",资金台帐!$B$7:$B$3006,"&gt;="&amp;$B$21,资金台帐!$B$7:$B$3006,"&lt;="&amp;$D$21))</f>
        <v>868551.47</v>
      </c>
      <c r="F26" s="187">
        <f>IF($B26="","",C26+D26-E26)</f>
        <v>-451856.47</v>
      </c>
      <c r="G26" s="141" t="str">
        <f>IF($B26="","",IF(ROUND(F26,2)=0,"已结清",IF(F26&gt;0,"有欠款","预存款")))</f>
        <v>预存款</v>
      </c>
      <c r="H26" s="195">
        <f>IF($B26="","",_xlfn.MAXIFS(资金台帐!$B$7:$B$3006,资金台帐!$J$7:$J$3006,$B26,资金台帐!$P$7:$P$3006,"应收"))</f>
        <v>46231.0</v>
      </c>
      <c r="J26" s="194">
        <f>IF(K26="","",3)</f>
        <v>3</v>
      </c>
      <c r="K26" s="141" t="str">
        <f>IF(基础资料!Q7="","",基础资料!Q7)</f>
        <v>青岛公司</v>
      </c>
      <c r="L26" s="186">
        <f>IF($K26="","",N(基础资料!R7)+SUMIFS(采购进货!$G$4:$G$1503,采购进货!$C$4:$C$1503,$K26,采购进货!$B$4:$B$1503,"&gt;="&amp;年初日,采购进货!$B$4:$B$1503,"&lt;"&amp;$B$21)+SUMIFS(资金台帐!$S$7:$S$3006,资金台帐!$K$7:$K$3006,$K26,资金台帐!$P$7:$P$3006,"应付",资金台帐!$B$7:$B$3006,"&gt;="&amp;年初日,资金台帐!$B$7:$B$3006,"&lt;"&amp;$B$21))</f>
        <v>0</v>
      </c>
      <c r="M26" s="186">
        <f>IF($K26="","",SUMIFS(采购进货!$G$4:$G$1503,采购进货!$C$4:$C$1503,$K26,采购进货!$B$4:$B$1503,"&gt;="&amp;$B$21,采购进货!$B$4:$B$1503,"&lt;="&amp;$D$21))</f>
        <v>0</v>
      </c>
      <c r="N26" s="186">
        <f>IF($K26="","",-SUMIFS(资金台帐!$S$7:$S$3006,资金台帐!$K$7:$K$3006,$K26,资金台帐!$P$7:$P$3006,"应付",资金台帐!$B$7:$B$3006,"&gt;="&amp;$B$21,资金台帐!$B$7:$B$3006,"&lt;="&amp;$D$21))</f>
        <v>0</v>
      </c>
      <c r="O26" s="187">
        <f>IF($K26="","",L26+M26-N26)</f>
        <v>0</v>
      </c>
      <c r="P26" s="141" t="str">
        <f>IF($K26="","",IF(ROUND(O26,2)=0,"已结清",IF(O26&gt;0,"我方欠款","我方预付")))</f>
        <v>已结清</v>
      </c>
      <c r="Q26" s="195">
        <f>IF($K26="","",_xlfn.MAXIFS(资金台帐!$B$7:$B$3006,资金台帐!$K$7:$K$3006,$K26,资金台帐!$P$7:$P$3006,"应付"))</f>
        <v>0.0</v>
      </c>
    </row>
    <row r="27">
      <c r="A27" s="194">
        <f>IF(B27="","",4)</f>
        <v>4</v>
      </c>
      <c r="B27" s="141" t="str">
        <f>IF(总览汇总!B8="","",总览汇总!B8)</f>
        <v>阿东副食</v>
      </c>
      <c r="C27" s="186">
        <f>IF($B27="","",N(总览汇总!K8)+SUMIFS(出库明细!$G$4:$G$3003,出库明细!$C$4:$C$3003,$B27,出库明细!$B$4:$B$3003,"&gt;="&amp;年初日,出库明细!$B$4:$B$3003,"&lt;"&amp;$B$21)-SUMIFS(资金台帐!$S$7:$S$3006,资金台帐!$J$7:$J$3006,$B27,资金台帐!$P$7:$P$3006,"应收",资金台帐!$B$7:$B$3006,"&gt;="&amp;年初日,资金台帐!$B$7:$B$3006,"&lt;"&amp;$B$21))</f>
        <v>0</v>
      </c>
      <c r="D27" s="186">
        <f>IF($B27="","",SUMIFS(出库明细!$G$4:$G$3003,出库明细!$C$4:$C$3003,$B27,出库明细!$B$4:$B$3003,"&gt;="&amp;$B$21,出库明细!$B$4:$B$3003,"&lt;="&amp;$D$21))</f>
        <v>184072</v>
      </c>
      <c r="E27" s="186">
        <f>IF($B27="","",SUMIFS(资金台帐!$S$7:$S$3006,资金台帐!$J$7:$J$3006,$B27,资金台帐!$P$7:$P$3006,"应收",资金台帐!$B$7:$B$3006,"&gt;="&amp;$B$21,资金台帐!$B$7:$B$3006,"&lt;="&amp;$D$21))</f>
        <v>649147.22</v>
      </c>
      <c r="F27" s="187">
        <f>IF($B27="","",C27+D27-E27)</f>
        <v>-465075.22</v>
      </c>
      <c r="G27" s="141" t="str">
        <f>IF($B27="","",IF(ROUND(F27,2)=0,"已结清",IF(F27&gt;0,"有欠款","预存款")))</f>
        <v>预存款</v>
      </c>
      <c r="H27" s="195">
        <f>IF($B27="","",_xlfn.MAXIFS(资金台帐!$B$7:$B$3006,资金台帐!$J$7:$J$3006,$B27,资金台帐!$P$7:$P$3006,"应收"))</f>
        <v>46241.0</v>
      </c>
      <c r="J27" s="194">
        <f>IF(K27="","",4)</f>
        <v>4</v>
      </c>
      <c r="K27" s="141" t="str">
        <f>IF(基础资料!Q8="","",基础资料!Q8)</f>
        <v>其他公司</v>
      </c>
      <c r="L27" s="186">
        <f>IF($K27="","",N(基础资料!R8)+SUMIFS(采购进货!$G$4:$G$1503,采购进货!$C$4:$C$1503,$K27,采购进货!$B$4:$B$1503,"&gt;="&amp;年初日,采购进货!$B$4:$B$1503,"&lt;"&amp;$B$21)+SUMIFS(资金台帐!$S$7:$S$3006,资金台帐!$K$7:$K$3006,$K27,资金台帐!$P$7:$P$3006,"应付",资金台帐!$B$7:$B$3006,"&gt;="&amp;年初日,资金台帐!$B$7:$B$3006,"&lt;"&amp;$B$21))</f>
        <v>0</v>
      </c>
      <c r="M27" s="186">
        <f>IF($K27="","",SUMIFS(采购进货!$G$4:$G$1503,采购进货!$C$4:$C$1503,$K27,采购进货!$B$4:$B$1503,"&gt;="&amp;$B$21,采购进货!$B$4:$B$1503,"&lt;="&amp;$D$21))</f>
        <v>0</v>
      </c>
      <c r="N27" s="186">
        <f>IF($K27="","",-SUMIFS(资金台帐!$S$7:$S$3006,资金台帐!$K$7:$K$3006,$K27,资金台帐!$P$7:$P$3006,"应付",资金台帐!$B$7:$B$3006,"&gt;="&amp;$B$21,资金台帐!$B$7:$B$3006,"&lt;="&amp;$D$21))</f>
        <v>0</v>
      </c>
      <c r="O27" s="187">
        <f>IF($K27="","",L27+M27-N27)</f>
        <v>0</v>
      </c>
      <c r="P27" s="141" t="str">
        <f>IF($K27="","",IF(ROUND(O27,2)=0,"已结清",IF(O27&gt;0,"我方欠款","我方预付")))</f>
        <v>已结清</v>
      </c>
      <c r="Q27" s="195">
        <f>IF($K27="","",_xlfn.MAXIFS(资金台帐!$B$7:$B$3006,资金台帐!$K$7:$K$3006,$K27,资金台帐!$P$7:$P$3006,"应付"))</f>
        <v>0.0</v>
      </c>
    </row>
    <row r="28">
      <c r="A28" s="194">
        <f>IF(B28="","",5)</f>
        <v>5</v>
      </c>
      <c r="B28" s="141" t="str">
        <f>IF(总览汇总!B9="","",总览汇总!B9)</f>
        <v>金凤副食</v>
      </c>
      <c r="C28" s="186">
        <f>IF($B28="","",N(总览汇总!K9)+SUMIFS(出库明细!$G$4:$G$3003,出库明细!$C$4:$C$3003,$B28,出库明细!$B$4:$B$3003,"&gt;="&amp;年初日,出库明细!$B$4:$B$3003,"&lt;"&amp;$B$21)-SUMIFS(资金台帐!$S$7:$S$3006,资金台帐!$J$7:$J$3006,$B28,资金台帐!$P$7:$P$3006,"应收",资金台帐!$B$7:$B$3006,"&gt;="&amp;年初日,资金台帐!$B$7:$B$3006,"&lt;"&amp;$B$21))</f>
        <v>0</v>
      </c>
      <c r="D28" s="186">
        <f>IF($B28="","",SUMIFS(出库明细!$G$4:$G$3003,出库明细!$C$4:$C$3003,$B28,出库明细!$B$4:$B$3003,"&gt;="&amp;$B$21,出库明细!$B$4:$B$3003,"&lt;="&amp;$D$21))</f>
        <v>47079.2</v>
      </c>
      <c r="E28" s="186">
        <f>IF($B28="","",SUMIFS(资金台帐!$S$7:$S$3006,资金台帐!$J$7:$J$3006,$B28,资金台帐!$P$7:$P$3006,"应收",资金台帐!$B$7:$B$3006,"&gt;="&amp;$B$21,资金台帐!$B$7:$B$3006,"&lt;="&amp;$D$21))</f>
        <v>56950</v>
      </c>
      <c r="F28" s="187">
        <f>IF($B28="","",C28+D28-E28)</f>
        <v>-9870.8</v>
      </c>
      <c r="G28" s="141" t="str">
        <f>IF($B28="","",IF(ROUND(F28,2)=0,"已结清",IF(F28&gt;0,"有欠款","预存款")))</f>
        <v>预存款</v>
      </c>
      <c r="H28" s="195">
        <f>IF($B28="","",_xlfn.MAXIFS(资金台帐!$B$7:$B$3006,资金台帐!$J$7:$J$3006,$B28,资金台帐!$P$7:$P$3006,"应收"))</f>
        <v>46219.0</v>
      </c>
      <c r="J28" s="194">
        <f>IF(K28="","",5)</f>
      </c>
      <c r="K28" s="141">
        <f>IF(基础资料!Q9="","",基础资料!Q9)</f>
      </c>
      <c r="L28" s="186">
        <f>IF($K28="","",N(基础资料!R9)+SUMIFS(采购进货!$G$4:$G$1503,采购进货!$C$4:$C$1503,$K28,采购进货!$B$4:$B$1503,"&gt;="&amp;年初日,采购进货!$B$4:$B$1503,"&lt;"&amp;$B$21)+SUMIFS(资金台帐!$S$7:$S$3006,资金台帐!$K$7:$K$3006,$K28,资金台帐!$P$7:$P$3006,"应付",资金台帐!$B$7:$B$3006,"&gt;="&amp;年初日,资金台帐!$B$7:$B$3006,"&lt;"&amp;$B$21))</f>
      </c>
      <c r="M28" s="186">
        <f>IF($K28="","",SUMIFS(采购进货!$G$4:$G$1503,采购进货!$C$4:$C$1503,$K28,采购进货!$B$4:$B$1503,"&gt;="&amp;$B$21,采购进货!$B$4:$B$1503,"&lt;="&amp;$D$21))</f>
      </c>
      <c r="N28" s="186">
        <f>IF($K28="","",-SUMIFS(资金台帐!$S$7:$S$3006,资金台帐!$K$7:$K$3006,$K28,资金台帐!$P$7:$P$3006,"应付",资金台帐!$B$7:$B$3006,"&gt;="&amp;$B$21,资金台帐!$B$7:$B$3006,"&lt;="&amp;$D$21))</f>
      </c>
      <c r="O28" s="187">
        <f>IF($K28="","",L28+M28-N28)</f>
      </c>
      <c r="P28" s="141">
        <f>IF($K28="","",IF(ROUND(O28,2)=0,"已结清",IF(O28&gt;0,"我方欠款","我方预付")))</f>
      </c>
      <c r="Q28" s="195">
        <f>IF($K28="","",_xlfn.MAXIFS(资金台帐!$B$7:$B$3006,资金台帐!$K$7:$K$3006,$K28,资金台帐!$P$7:$P$3006,"应付"))</f>
      </c>
    </row>
    <row r="29">
      <c r="A29" s="194">
        <f>IF(B29="","",6)</f>
        <v>6</v>
      </c>
      <c r="B29" s="141" t="str">
        <f>IF(总览汇总!B10="","",总览汇总!B10)</f>
        <v>致发商行</v>
      </c>
      <c r="C29" s="186">
        <f>IF($B29="","",N(总览汇总!K10)+SUMIFS(出库明细!$G$4:$G$3003,出库明细!$C$4:$C$3003,$B29,出库明细!$B$4:$B$3003,"&gt;="&amp;年初日,出库明细!$B$4:$B$3003,"&lt;"&amp;$B$21)-SUMIFS(资金台帐!$S$7:$S$3006,资金台帐!$J$7:$J$3006,$B29,资金台帐!$P$7:$P$3006,"应收",资金台帐!$B$7:$B$3006,"&gt;="&amp;年初日,资金台帐!$B$7:$B$3006,"&lt;"&amp;$B$21))</f>
        <v>0</v>
      </c>
      <c r="D29" s="186">
        <f>IF($B29="","",SUMIFS(出库明细!$G$4:$G$3003,出库明细!$C$4:$C$3003,$B29,出库明细!$B$4:$B$3003,"&gt;="&amp;$B$21,出库明细!$B$4:$B$3003,"&lt;="&amp;$D$21))</f>
        <v>164100</v>
      </c>
      <c r="E29" s="186">
        <f>IF($B29="","",SUMIFS(资金台帐!$S$7:$S$3006,资金台帐!$J$7:$J$3006,$B29,资金台帐!$P$7:$P$3006,"应收",资金台帐!$B$7:$B$3006,"&gt;="&amp;$B$21,资金台帐!$B$7:$B$3006,"&lt;="&amp;$D$21))</f>
        <v>437965</v>
      </c>
      <c r="F29" s="187">
        <f>IF($B29="","",C29+D29-E29)</f>
        <v>-273865</v>
      </c>
      <c r="G29" s="141" t="str">
        <f>IF($B29="","",IF(ROUND(F29,2)=0,"已结清",IF(F29&gt;0,"有欠款","预存款")))</f>
        <v>预存款</v>
      </c>
      <c r="H29" s="195">
        <f>IF($B29="","",_xlfn.MAXIFS(资金台帐!$B$7:$B$3006,资金台帐!$J$7:$J$3006,$B29,资金台帐!$P$7:$P$3006,"应收"))</f>
        <v>46199.0</v>
      </c>
      <c r="J29" s="194">
        <f>IF(K29="","",6)</f>
      </c>
      <c r="K29" s="141">
        <f>IF(基础资料!Q10="","",基础资料!Q10)</f>
      </c>
      <c r="L29" s="186">
        <f>IF($K29="","",N(基础资料!R10)+SUMIFS(采购进货!$G$4:$G$1503,采购进货!$C$4:$C$1503,$K29,采购进货!$B$4:$B$1503,"&gt;="&amp;年初日,采购进货!$B$4:$B$1503,"&lt;"&amp;$B$21)+SUMIFS(资金台帐!$S$7:$S$3006,资金台帐!$K$7:$K$3006,$K29,资金台帐!$P$7:$P$3006,"应付",资金台帐!$B$7:$B$3006,"&gt;="&amp;年初日,资金台帐!$B$7:$B$3006,"&lt;"&amp;$B$21))</f>
      </c>
      <c r="M29" s="186">
        <f>IF($K29="","",SUMIFS(采购进货!$G$4:$G$1503,采购进货!$C$4:$C$1503,$K29,采购进货!$B$4:$B$1503,"&gt;="&amp;$B$21,采购进货!$B$4:$B$1503,"&lt;="&amp;$D$21))</f>
      </c>
      <c r="N29" s="186">
        <f>IF($K29="","",-SUMIFS(资金台帐!$S$7:$S$3006,资金台帐!$K$7:$K$3006,$K29,资金台帐!$P$7:$P$3006,"应付",资金台帐!$B$7:$B$3006,"&gt;="&amp;$B$21,资金台帐!$B$7:$B$3006,"&lt;="&amp;$D$21))</f>
      </c>
      <c r="O29" s="187">
        <f>IF($K29="","",L29+M29-N29)</f>
      </c>
      <c r="P29" s="141">
        <f>IF($K29="","",IF(ROUND(O29,2)=0,"已结清",IF(O29&gt;0,"我方欠款","我方预付")))</f>
      </c>
      <c r="Q29" s="195">
        <f>IF($K29="","",_xlfn.MAXIFS(资金台帐!$B$7:$B$3006,资金台帐!$K$7:$K$3006,$K29,资金台帐!$P$7:$P$3006,"应付"))</f>
      </c>
    </row>
    <row r="30">
      <c r="A30" s="194">
        <f>IF(B30="","",7)</f>
        <v>7</v>
      </c>
      <c r="B30" s="141" t="str">
        <f>IF(总览汇总!B11="","",总览汇总!B11)</f>
        <v>家家兴超市</v>
      </c>
      <c r="C30" s="186">
        <f>IF($B30="","",N(总览汇总!K11)+SUMIFS(出库明细!$G$4:$G$3003,出库明细!$C$4:$C$3003,$B30,出库明细!$B$4:$B$3003,"&gt;="&amp;年初日,出库明细!$B$4:$B$3003,"&lt;"&amp;$B$21)-SUMIFS(资金台帐!$S$7:$S$3006,资金台帐!$J$7:$J$3006,$B30,资金台帐!$P$7:$P$3006,"应收",资金台帐!$B$7:$B$3006,"&gt;="&amp;年初日,资金台帐!$B$7:$B$3006,"&lt;"&amp;$B$21))</f>
        <v>0</v>
      </c>
      <c r="D30" s="186">
        <f>IF($B30="","",SUMIFS(出库明细!$G$4:$G$3003,出库明细!$C$4:$C$3003,$B30,出库明细!$B$4:$B$3003,"&gt;="&amp;$B$21,出库明细!$B$4:$B$3003,"&lt;="&amp;$D$21))</f>
        <v>14616.5</v>
      </c>
      <c r="E30" s="186">
        <f>IF($B30="","",SUMIFS(资金台帐!$S$7:$S$3006,资金台帐!$J$7:$J$3006,$B30,资金台帐!$P$7:$P$3006,"应收",资金台帐!$B$7:$B$3006,"&gt;="&amp;$B$21,资金台帐!$B$7:$B$3006,"&lt;="&amp;$D$21))</f>
        <v>12579</v>
      </c>
      <c r="F30" s="187">
        <f>IF($B30="","",C30+D30-E30)</f>
        <v>2037.5</v>
      </c>
      <c r="G30" s="141" t="str">
        <f>IF($B30="","",IF(ROUND(F30,2)=0,"已结清",IF(F30&gt;0,"有欠款","预存款")))</f>
        <v>有欠款</v>
      </c>
      <c r="H30" s="195">
        <f>IF($B30="","",_xlfn.MAXIFS(资金台帐!$B$7:$B$3006,资金台帐!$J$7:$J$3006,$B30,资金台帐!$P$7:$P$3006,"应收"))</f>
        <v>46205.0</v>
      </c>
      <c r="J30" s="194">
        <f>IF(K30="","",7)</f>
      </c>
      <c r="K30" s="141">
        <f>IF(基础资料!Q11="","",基础资料!Q11)</f>
      </c>
      <c r="L30" s="186">
        <f>IF($K30="","",N(基础资料!R11)+SUMIFS(采购进货!$G$4:$G$1503,采购进货!$C$4:$C$1503,$K30,采购进货!$B$4:$B$1503,"&gt;="&amp;年初日,采购进货!$B$4:$B$1503,"&lt;"&amp;$B$21)+SUMIFS(资金台帐!$S$7:$S$3006,资金台帐!$K$7:$K$3006,$K30,资金台帐!$P$7:$P$3006,"应付",资金台帐!$B$7:$B$3006,"&gt;="&amp;年初日,资金台帐!$B$7:$B$3006,"&lt;"&amp;$B$21))</f>
      </c>
      <c r="M30" s="186">
        <f>IF($K30="","",SUMIFS(采购进货!$G$4:$G$1503,采购进货!$C$4:$C$1503,$K30,采购进货!$B$4:$B$1503,"&gt;="&amp;$B$21,采购进货!$B$4:$B$1503,"&lt;="&amp;$D$21))</f>
      </c>
      <c r="N30" s="186">
        <f>IF($K30="","",-SUMIFS(资金台帐!$S$7:$S$3006,资金台帐!$K$7:$K$3006,$K30,资金台帐!$P$7:$P$3006,"应付",资金台帐!$B$7:$B$3006,"&gt;="&amp;$B$21,资金台帐!$B$7:$B$3006,"&lt;="&amp;$D$21))</f>
      </c>
      <c r="O30" s="187">
        <f>IF($K30="","",L30+M30-N30)</f>
      </c>
      <c r="P30" s="141">
        <f>IF($K30="","",IF(ROUND(O30,2)=0,"已结清",IF(O30&gt;0,"我方欠款","我方预付")))</f>
      </c>
      <c r="Q30" s="195">
        <f>IF($K30="","",_xlfn.MAXIFS(资金台帐!$B$7:$B$3006,资金台帐!$K$7:$K$3006,$K30,资金台帐!$P$7:$P$3006,"应付"))</f>
      </c>
    </row>
    <row r="31">
      <c r="A31" s="194">
        <f>IF(B31="","",8)</f>
        <v>8</v>
      </c>
      <c r="B31" s="141" t="str">
        <f>IF(总览汇总!B12="","",总览汇总!B12)</f>
        <v>通达商行</v>
      </c>
      <c r="C31" s="186">
        <f>IF($B31="","",N(总览汇总!K12)+SUMIFS(出库明细!$G$4:$G$3003,出库明细!$C$4:$C$3003,$B31,出库明细!$B$4:$B$3003,"&gt;="&amp;年初日,出库明细!$B$4:$B$3003,"&lt;"&amp;$B$21)-SUMIFS(资金台帐!$S$7:$S$3006,资金台帐!$J$7:$J$3006,$B31,资金台帐!$P$7:$P$3006,"应收",资金台帐!$B$7:$B$3006,"&gt;="&amp;年初日,资金台帐!$B$7:$B$3006,"&lt;"&amp;$B$21))</f>
        <v>0</v>
      </c>
      <c r="D31" s="186">
        <f>IF($B31="","",SUMIFS(出库明细!$G$4:$G$3003,出库明细!$C$4:$C$3003,$B31,出库明细!$B$4:$B$3003,"&gt;="&amp;$B$21,出库明细!$B$4:$B$3003,"&lt;="&amp;$D$21))</f>
        <v>18000</v>
      </c>
      <c r="E31" s="186">
        <f>IF($B31="","",SUMIFS(资金台帐!$S$7:$S$3006,资金台帐!$J$7:$J$3006,$B31,资金台帐!$P$7:$P$3006,"应收",资金台帐!$B$7:$B$3006,"&gt;="&amp;$B$21,资金台帐!$B$7:$B$3006,"&lt;="&amp;$D$21))</f>
        <v>18000</v>
      </c>
      <c r="F31" s="187">
        <f>IF($B31="","",C31+D31-E31)</f>
        <v>0</v>
      </c>
      <c r="G31" s="141" t="str">
        <f>IF($B31="","",IF(ROUND(F31,2)=0,"已结清",IF(F31&gt;0,"有欠款","预存款")))</f>
        <v>已结清</v>
      </c>
      <c r="H31" s="195">
        <f>IF($B31="","",_xlfn.MAXIFS(资金台帐!$B$7:$B$3006,资金台帐!$J$7:$J$3006,$B31,资金台帐!$P$7:$P$3006,"应收"))</f>
        <v>46199.0</v>
      </c>
      <c r="J31" s="194">
        <f>IF(K31="","",8)</f>
      </c>
      <c r="K31" s="141">
        <f>IF(基础资料!Q12="","",基础资料!Q12)</f>
      </c>
      <c r="L31" s="186">
        <f>IF($K31="","",N(基础资料!R12)+SUMIFS(采购进货!$G$4:$G$1503,采购进货!$C$4:$C$1503,$K31,采购进货!$B$4:$B$1503,"&gt;="&amp;年初日,采购进货!$B$4:$B$1503,"&lt;"&amp;$B$21)+SUMIFS(资金台帐!$S$7:$S$3006,资金台帐!$K$7:$K$3006,$K31,资金台帐!$P$7:$P$3006,"应付",资金台帐!$B$7:$B$3006,"&gt;="&amp;年初日,资金台帐!$B$7:$B$3006,"&lt;"&amp;$B$21))</f>
      </c>
      <c r="M31" s="186">
        <f>IF($K31="","",SUMIFS(采购进货!$G$4:$G$1503,采购进货!$C$4:$C$1503,$K31,采购进货!$B$4:$B$1503,"&gt;="&amp;$B$21,采购进货!$B$4:$B$1503,"&lt;="&amp;$D$21))</f>
      </c>
      <c r="N31" s="186">
        <f>IF($K31="","",-SUMIFS(资金台帐!$S$7:$S$3006,资金台帐!$K$7:$K$3006,$K31,资金台帐!$P$7:$P$3006,"应付",资金台帐!$B$7:$B$3006,"&gt;="&amp;$B$21,资金台帐!$B$7:$B$3006,"&lt;="&amp;$D$21))</f>
      </c>
      <c r="O31" s="187">
        <f>IF($K31="","",L31+M31-N31)</f>
      </c>
      <c r="P31" s="141">
        <f>IF($K31="","",IF(ROUND(O31,2)=0,"已结清",IF(O31&gt;0,"我方欠款","我方预付")))</f>
      </c>
      <c r="Q31" s="195">
        <f>IF($K31="","",_xlfn.MAXIFS(资金台帐!$B$7:$B$3006,资金台帐!$K$7:$K$3006,$K31,资金台帐!$P$7:$P$3006,"应付"))</f>
      </c>
    </row>
    <row r="32">
      <c r="A32" s="194">
        <f>IF(B32="","",9)</f>
        <v>9</v>
      </c>
      <c r="B32" s="141" t="str">
        <f>IF(总览汇总!B13="","",总览汇总!B13)</f>
        <v>宜兴粮油</v>
      </c>
      <c r="C32" s="186">
        <f>IF($B32="","",N(总览汇总!K13)+SUMIFS(出库明细!$G$4:$G$3003,出库明细!$C$4:$C$3003,$B32,出库明细!$B$4:$B$3003,"&gt;="&amp;年初日,出库明细!$B$4:$B$3003,"&lt;"&amp;$B$21)-SUMIFS(资金台帐!$S$7:$S$3006,资金台帐!$J$7:$J$3006,$B32,资金台帐!$P$7:$P$3006,"应收",资金台帐!$B$7:$B$3006,"&gt;="&amp;年初日,资金台帐!$B$7:$B$3006,"&lt;"&amp;$B$21))</f>
        <v>0</v>
      </c>
      <c r="D32" s="186">
        <f>IF($B32="","",SUMIFS(出库明细!$G$4:$G$3003,出库明细!$C$4:$C$3003,$B32,出库明细!$B$4:$B$3003,"&gt;="&amp;$B$21,出库明细!$B$4:$B$3003,"&lt;="&amp;$D$21))</f>
        <v>64943.5</v>
      </c>
      <c r="E32" s="186">
        <f>IF($B32="","",SUMIFS(资金台帐!$S$7:$S$3006,资金台帐!$J$7:$J$3006,$B32,资金台帐!$P$7:$P$3006,"应收",资金台帐!$B$7:$B$3006,"&gt;="&amp;$B$21,资金台帐!$B$7:$B$3006,"&lt;="&amp;$D$21))</f>
        <v>66416.5</v>
      </c>
      <c r="F32" s="187">
        <f>IF($B32="","",C32+D32-E32)</f>
        <v>-1473</v>
      </c>
      <c r="G32" s="141" t="str">
        <f>IF($B32="","",IF(ROUND(F32,2)=0,"已结清",IF(F32&gt;0,"有欠款","预存款")))</f>
        <v>预存款</v>
      </c>
      <c r="H32" s="195">
        <f>IF($B32="","",_xlfn.MAXIFS(资金台帐!$B$7:$B$3006,资金台帐!$J$7:$J$3006,$B32,资金台帐!$P$7:$P$3006,"应收"))</f>
        <v>46218.0</v>
      </c>
      <c r="J32" s="194">
        <f>IF(K32="","",9)</f>
      </c>
      <c r="K32" s="141">
        <f>IF(基础资料!Q13="","",基础资料!Q13)</f>
      </c>
      <c r="L32" s="186">
        <f>IF($K32="","",N(基础资料!R13)+SUMIFS(采购进货!$G$4:$G$1503,采购进货!$C$4:$C$1503,$K32,采购进货!$B$4:$B$1503,"&gt;="&amp;年初日,采购进货!$B$4:$B$1503,"&lt;"&amp;$B$21)+SUMIFS(资金台帐!$S$7:$S$3006,资金台帐!$K$7:$K$3006,$K32,资金台帐!$P$7:$P$3006,"应付",资金台帐!$B$7:$B$3006,"&gt;="&amp;年初日,资金台帐!$B$7:$B$3006,"&lt;"&amp;$B$21))</f>
      </c>
      <c r="M32" s="186">
        <f>IF($K32="","",SUMIFS(采购进货!$G$4:$G$1503,采购进货!$C$4:$C$1503,$K32,采购进货!$B$4:$B$1503,"&gt;="&amp;$B$21,采购进货!$B$4:$B$1503,"&lt;="&amp;$D$21))</f>
      </c>
      <c r="N32" s="186">
        <f>IF($K32="","",-SUMIFS(资金台帐!$S$7:$S$3006,资金台帐!$K$7:$K$3006,$K32,资金台帐!$P$7:$P$3006,"应付",资金台帐!$B$7:$B$3006,"&gt;="&amp;$B$21,资金台帐!$B$7:$B$3006,"&lt;="&amp;$D$21))</f>
      </c>
      <c r="O32" s="187">
        <f>IF($K32="","",L32+M32-N32)</f>
      </c>
      <c r="P32" s="141">
        <f>IF($K32="","",IF(ROUND(O32,2)=0,"已结清",IF(O32&gt;0,"我方欠款","我方预付")))</f>
      </c>
      <c r="Q32" s="195">
        <f>IF($K32="","",_xlfn.MAXIFS(资金台帐!$B$7:$B$3006,资金台帐!$K$7:$K$3006,$K32,资金台帐!$P$7:$P$3006,"应付"))</f>
      </c>
    </row>
    <row r="33">
      <c r="A33" s="194">
        <f>IF(B33="","",10)</f>
        <v>10</v>
      </c>
      <c r="B33" s="141" t="str">
        <f>IF(总览汇总!B14="","",总览汇总!B14)</f>
        <v>马路下小卖部</v>
      </c>
      <c r="C33" s="186">
        <f>IF($B33="","",N(总览汇总!K14)+SUMIFS(出库明细!$G$4:$G$3003,出库明细!$C$4:$C$3003,$B33,出库明细!$B$4:$B$3003,"&gt;="&amp;年初日,出库明细!$B$4:$B$3003,"&lt;"&amp;$B$21)-SUMIFS(资金台帐!$S$7:$S$3006,资金台帐!$J$7:$J$3006,$B33,资金台帐!$P$7:$P$3006,"应收",资金台帐!$B$7:$B$3006,"&gt;="&amp;年初日,资金台帐!$B$7:$B$3006,"&lt;"&amp;$B$21))</f>
        <v>0</v>
      </c>
      <c r="D33" s="186">
        <f>IF($B33="","",SUMIFS(出库明细!$G$4:$G$3003,出库明细!$C$4:$C$3003,$B33,出库明细!$B$4:$B$3003,"&gt;="&amp;$B$21,出库明细!$B$4:$B$3003,"&lt;="&amp;$D$21))</f>
        <v>4986</v>
      </c>
      <c r="E33" s="186">
        <f>IF($B33="","",SUMIFS(资金台帐!$S$7:$S$3006,资金台帐!$J$7:$J$3006,$B33,资金台帐!$P$7:$P$3006,"应收",资金台帐!$B$7:$B$3006,"&gt;="&amp;$B$21,资金台帐!$B$7:$B$3006,"&lt;="&amp;$D$21))</f>
        <v>19440</v>
      </c>
      <c r="F33" s="187">
        <f>IF($B33="","",C33+D33-E33)</f>
        <v>-14454</v>
      </c>
      <c r="G33" s="141" t="str">
        <f>IF($B33="","",IF(ROUND(F33,2)=0,"已结清",IF(F33&gt;0,"有欠款","预存款")))</f>
        <v>预存款</v>
      </c>
      <c r="H33" s="195">
        <f>IF($B33="","",_xlfn.MAXIFS(资金台帐!$B$7:$B$3006,资金台帐!$J$7:$J$3006,$B33,资金台帐!$P$7:$P$3006,"应收"))</f>
        <v>46227.0</v>
      </c>
      <c r="J33" s="194">
        <f>IF(K33="","",10)</f>
      </c>
      <c r="K33" s="141">
        <f>IF(基础资料!Q14="","",基础资料!Q14)</f>
      </c>
      <c r="L33" s="186">
        <f>IF($K33="","",N(基础资料!R14)+SUMIFS(采购进货!$G$4:$G$1503,采购进货!$C$4:$C$1503,$K33,采购进货!$B$4:$B$1503,"&gt;="&amp;年初日,采购进货!$B$4:$B$1503,"&lt;"&amp;$B$21)+SUMIFS(资金台帐!$S$7:$S$3006,资金台帐!$K$7:$K$3006,$K33,资金台帐!$P$7:$P$3006,"应付",资金台帐!$B$7:$B$3006,"&gt;="&amp;年初日,资金台帐!$B$7:$B$3006,"&lt;"&amp;$B$21))</f>
      </c>
      <c r="M33" s="186">
        <f>IF($K33="","",SUMIFS(采购进货!$G$4:$G$1503,采购进货!$C$4:$C$1503,$K33,采购进货!$B$4:$B$1503,"&gt;="&amp;$B$21,采购进货!$B$4:$B$1503,"&lt;="&amp;$D$21))</f>
      </c>
      <c r="N33" s="186">
        <f>IF($K33="","",-SUMIFS(资金台帐!$S$7:$S$3006,资金台帐!$K$7:$K$3006,$K33,资金台帐!$P$7:$P$3006,"应付",资金台帐!$B$7:$B$3006,"&gt;="&amp;$B$21,资金台帐!$B$7:$B$3006,"&lt;="&amp;$D$21))</f>
      </c>
      <c r="O33" s="187">
        <f>IF($K33="","",L33+M33-N33)</f>
      </c>
      <c r="P33" s="141">
        <f>IF($K33="","",IF(ROUND(O33,2)=0,"已结清",IF(O33&gt;0,"我方欠款","我方预付")))</f>
      </c>
      <c r="Q33" s="195">
        <f>IF($K33="","",_xlfn.MAXIFS(资金台帐!$B$7:$B$3006,资金台帐!$K$7:$K$3006,$K33,资金台帐!$P$7:$P$3006,"应付"))</f>
      </c>
    </row>
    <row r="34">
      <c r="A34" s="194">
        <f>IF(B34="","",11)</f>
        <v>11</v>
      </c>
      <c r="B34" s="141" t="str">
        <f>IF(总览汇总!B15="","",总览汇总!B15)</f>
        <v>兴莲隆兴商行</v>
      </c>
      <c r="C34" s="186">
        <f>IF($B34="","",N(总览汇总!K15)+SUMIFS(出库明细!$G$4:$G$3003,出库明细!$C$4:$C$3003,$B34,出库明细!$B$4:$B$3003,"&gt;="&amp;年初日,出库明细!$B$4:$B$3003,"&lt;"&amp;$B$21)-SUMIFS(资金台帐!$S$7:$S$3006,资金台帐!$J$7:$J$3006,$B34,资金台帐!$P$7:$P$3006,"应收",资金台帐!$B$7:$B$3006,"&gt;="&amp;年初日,资金台帐!$B$7:$B$3006,"&lt;"&amp;$B$21))</f>
        <v>0</v>
      </c>
      <c r="D34" s="186">
        <f>IF($B34="","",SUMIFS(出库明细!$G$4:$G$3003,出库明细!$C$4:$C$3003,$B34,出库明细!$B$4:$B$3003,"&gt;="&amp;$B$21,出库明细!$B$4:$B$3003,"&lt;="&amp;$D$21))</f>
        <v>27050</v>
      </c>
      <c r="E34" s="186">
        <f>IF($B34="","",SUMIFS(资金台帐!$S$7:$S$3006,资金台帐!$J$7:$J$3006,$B34,资金台帐!$P$7:$P$3006,"应收",资金台帐!$B$7:$B$3006,"&gt;="&amp;$B$21,资金台帐!$B$7:$B$3006,"&lt;="&amp;$D$21))</f>
        <v>39043</v>
      </c>
      <c r="F34" s="187">
        <f>IF($B34="","",C34+D34-E34)</f>
        <v>-11993</v>
      </c>
      <c r="G34" s="141" t="str">
        <f>IF($B34="","",IF(ROUND(F34,2)=0,"已结清",IF(F34&gt;0,"有欠款","预存款")))</f>
        <v>预存款</v>
      </c>
      <c r="H34" s="195">
        <f>IF($B34="","",_xlfn.MAXIFS(资金台帐!$B$7:$B$3006,资金台帐!$J$7:$J$3006,$B34,资金台帐!$P$7:$P$3006,"应收"))</f>
        <v>46243.0</v>
      </c>
      <c r="J34" s="194">
        <f>IF(K34="","",11)</f>
      </c>
      <c r="K34" s="141">
        <f>IF(基础资料!Q15="","",基础资料!Q15)</f>
      </c>
      <c r="L34" s="186">
        <f>IF($K34="","",N(基础资料!R15)+SUMIFS(采购进货!$G$4:$G$1503,采购进货!$C$4:$C$1503,$K34,采购进货!$B$4:$B$1503,"&gt;="&amp;年初日,采购进货!$B$4:$B$1503,"&lt;"&amp;$B$21)+SUMIFS(资金台帐!$S$7:$S$3006,资金台帐!$K$7:$K$3006,$K34,资金台帐!$P$7:$P$3006,"应付",资金台帐!$B$7:$B$3006,"&gt;="&amp;年初日,资金台帐!$B$7:$B$3006,"&lt;"&amp;$B$21))</f>
      </c>
      <c r="M34" s="186">
        <f>IF($K34="","",SUMIFS(采购进货!$G$4:$G$1503,采购进货!$C$4:$C$1503,$K34,采购进货!$B$4:$B$1503,"&gt;="&amp;$B$21,采购进货!$B$4:$B$1503,"&lt;="&amp;$D$21))</f>
      </c>
      <c r="N34" s="186">
        <f>IF($K34="","",-SUMIFS(资金台帐!$S$7:$S$3006,资金台帐!$K$7:$K$3006,$K34,资金台帐!$P$7:$P$3006,"应付",资金台帐!$B$7:$B$3006,"&gt;="&amp;$B$21,资金台帐!$B$7:$B$3006,"&lt;="&amp;$D$21))</f>
      </c>
      <c r="O34" s="187">
        <f>IF($K34="","",L34+M34-N34)</f>
      </c>
      <c r="P34" s="141">
        <f>IF($K34="","",IF(ROUND(O34,2)=0,"已结清",IF(O34&gt;0,"我方欠款","我方预付")))</f>
      </c>
      <c r="Q34" s="195">
        <f>IF($K34="","",_xlfn.MAXIFS(资金台帐!$B$7:$B$3006,资金台帐!$K$7:$K$3006,$K34,资金台帐!$P$7:$P$3006,"应付"))</f>
      </c>
    </row>
    <row r="35">
      <c r="A35" s="194">
        <f>IF(B35="","",12)</f>
        <v>12</v>
      </c>
      <c r="B35" s="141" t="str">
        <f>IF(总览汇总!B16="","",总览汇总!B16)</f>
        <v>诚信粮油</v>
      </c>
      <c r="C35" s="186">
        <f>IF($B35="","",N(总览汇总!K16)+SUMIFS(出库明细!$G$4:$G$3003,出库明细!$C$4:$C$3003,$B35,出库明细!$B$4:$B$3003,"&gt;="&amp;年初日,出库明细!$B$4:$B$3003,"&lt;"&amp;$B$21)-SUMIFS(资金台帐!$S$7:$S$3006,资金台帐!$J$7:$J$3006,$B35,资金台帐!$P$7:$P$3006,"应收",资金台帐!$B$7:$B$3006,"&gt;="&amp;年初日,资金台帐!$B$7:$B$3006,"&lt;"&amp;$B$21))</f>
        <v>0</v>
      </c>
      <c r="D35" s="186">
        <f>IF($B35="","",SUMIFS(出库明细!$G$4:$G$3003,出库明细!$C$4:$C$3003,$B35,出库明细!$B$4:$B$3003,"&gt;="&amp;$B$21,出库明细!$B$4:$B$3003,"&lt;="&amp;$D$21))</f>
        <v>29900</v>
      </c>
      <c r="E35" s="186">
        <f>IF($B35="","",SUMIFS(资金台帐!$S$7:$S$3006,资金台帐!$J$7:$J$3006,$B35,资金台帐!$P$7:$P$3006,"应收",资金台帐!$B$7:$B$3006,"&gt;="&amp;$B$21,资金台帐!$B$7:$B$3006,"&lt;="&amp;$D$21))</f>
        <v>79565</v>
      </c>
      <c r="F35" s="187">
        <f>IF($B35="","",C35+D35-E35)</f>
        <v>-49665</v>
      </c>
      <c r="G35" s="141" t="str">
        <f>IF($B35="","",IF(ROUND(F35,2)=0,"已结清",IF(F35&gt;0,"有欠款","预存款")))</f>
        <v>预存款</v>
      </c>
      <c r="H35" s="195">
        <f>IF($B35="","",_xlfn.MAXIFS(资金台帐!$B$7:$B$3006,资金台帐!$J$7:$J$3006,$B35,资金台帐!$P$7:$P$3006,"应收"))</f>
        <v>46243.0</v>
      </c>
      <c r="J35" s="194">
        <f>IF(K35="","",12)</f>
      </c>
      <c r="K35" s="141">
        <f>IF(基础资料!Q16="","",基础资料!Q16)</f>
      </c>
      <c r="L35" s="186">
        <f>IF($K35="","",N(基础资料!R16)+SUMIFS(采购进货!$G$4:$G$1503,采购进货!$C$4:$C$1503,$K35,采购进货!$B$4:$B$1503,"&gt;="&amp;年初日,采购进货!$B$4:$B$1503,"&lt;"&amp;$B$21)+SUMIFS(资金台帐!$S$7:$S$3006,资金台帐!$K$7:$K$3006,$K35,资金台帐!$P$7:$P$3006,"应付",资金台帐!$B$7:$B$3006,"&gt;="&amp;年初日,资金台帐!$B$7:$B$3006,"&lt;"&amp;$B$21))</f>
      </c>
      <c r="M35" s="186">
        <f>IF($K35="","",SUMIFS(采购进货!$G$4:$G$1503,采购进货!$C$4:$C$1503,$K35,采购进货!$B$4:$B$1503,"&gt;="&amp;$B$21,采购进货!$B$4:$B$1503,"&lt;="&amp;$D$21))</f>
      </c>
      <c r="N35" s="186">
        <f>IF($K35="","",-SUMIFS(资金台帐!$S$7:$S$3006,资金台帐!$K$7:$K$3006,$K35,资金台帐!$P$7:$P$3006,"应付",资金台帐!$B$7:$B$3006,"&gt;="&amp;$B$21,资金台帐!$B$7:$B$3006,"&lt;="&amp;$D$21))</f>
      </c>
      <c r="O35" s="187">
        <f>IF($K35="","",L35+M35-N35)</f>
      </c>
      <c r="P35" s="141">
        <f>IF($K35="","",IF(ROUND(O35,2)=0,"已结清",IF(O35&gt;0,"我方欠款","我方预付")))</f>
      </c>
      <c r="Q35" s="195">
        <f>IF($K35="","",_xlfn.MAXIFS(资金台帐!$B$7:$B$3006,资金台帐!$K$7:$K$3006,$K35,资金台帐!$P$7:$P$3006,"应付"))</f>
      </c>
    </row>
    <row r="36">
      <c r="A36" s="194">
        <f>IF(B36="","",13)</f>
        <v>13</v>
      </c>
      <c r="B36" s="141" t="str">
        <f>IF(总览汇总!B17="","",总览汇总!B17)</f>
        <v>李记副食</v>
      </c>
      <c r="C36" s="186">
        <f>IF($B36="","",N(总览汇总!K17)+SUMIFS(出库明细!$G$4:$G$3003,出库明细!$C$4:$C$3003,$B36,出库明细!$B$4:$B$3003,"&gt;="&amp;年初日,出库明细!$B$4:$B$3003,"&lt;"&amp;$B$21)-SUMIFS(资金台帐!$S$7:$S$3006,资金台帐!$J$7:$J$3006,$B36,资金台帐!$P$7:$P$3006,"应收",资金台帐!$B$7:$B$3006,"&gt;="&amp;年初日,资金台帐!$B$7:$B$3006,"&lt;"&amp;$B$21))</f>
        <v>0</v>
      </c>
      <c r="D36" s="186">
        <f>IF($B36="","",SUMIFS(出库明细!$G$4:$G$3003,出库明细!$C$4:$C$3003,$B36,出库明细!$B$4:$B$3003,"&gt;="&amp;$B$21,出库明细!$B$4:$B$3003,"&lt;="&amp;$D$21))</f>
        <v>6562.5</v>
      </c>
      <c r="E36" s="186">
        <f>IF($B36="","",SUMIFS(资金台帐!$S$7:$S$3006,资金台帐!$J$7:$J$3006,$B36,资金台帐!$P$7:$P$3006,"应收",资金台帐!$B$7:$B$3006,"&gt;="&amp;$B$21,资金台帐!$B$7:$B$3006,"&lt;="&amp;$D$21))</f>
        <v>6930</v>
      </c>
      <c r="F36" s="187">
        <f>IF($B36="","",C36+D36-E36)</f>
        <v>-367.5</v>
      </c>
      <c r="G36" s="141" t="str">
        <f>IF($B36="","",IF(ROUND(F36,2)=0,"已结清",IF(F36&gt;0,"有欠款","预存款")))</f>
        <v>预存款</v>
      </c>
      <c r="H36" s="195">
        <f>IF($B36="","",_xlfn.MAXIFS(资金台帐!$B$7:$B$3006,资金台帐!$J$7:$J$3006,$B36,资金台帐!$P$7:$P$3006,"应收"))</f>
        <v>46200.0</v>
      </c>
      <c r="J36" s="194">
        <f>IF(K36="","",13)</f>
      </c>
      <c r="K36" s="141">
        <f>IF(基础资料!Q17="","",基础资料!Q17)</f>
      </c>
      <c r="L36" s="186">
        <f>IF($K36="","",N(基础资料!R17)+SUMIFS(采购进货!$G$4:$G$1503,采购进货!$C$4:$C$1503,$K36,采购进货!$B$4:$B$1503,"&gt;="&amp;年初日,采购进货!$B$4:$B$1503,"&lt;"&amp;$B$21)+SUMIFS(资金台帐!$S$7:$S$3006,资金台帐!$K$7:$K$3006,$K36,资金台帐!$P$7:$P$3006,"应付",资金台帐!$B$7:$B$3006,"&gt;="&amp;年初日,资金台帐!$B$7:$B$3006,"&lt;"&amp;$B$21))</f>
      </c>
      <c r="M36" s="186">
        <f>IF($K36="","",SUMIFS(采购进货!$G$4:$G$1503,采购进货!$C$4:$C$1503,$K36,采购进货!$B$4:$B$1503,"&gt;="&amp;$B$21,采购进货!$B$4:$B$1503,"&lt;="&amp;$D$21))</f>
      </c>
      <c r="N36" s="186">
        <f>IF($K36="","",-SUMIFS(资金台帐!$S$7:$S$3006,资金台帐!$K$7:$K$3006,$K36,资金台帐!$P$7:$P$3006,"应付",资金台帐!$B$7:$B$3006,"&gt;="&amp;$B$21,资金台帐!$B$7:$B$3006,"&lt;="&amp;$D$21))</f>
      </c>
      <c r="O36" s="187">
        <f>IF($K36="","",L36+M36-N36)</f>
      </c>
      <c r="P36" s="141">
        <f>IF($K36="","",IF(ROUND(O36,2)=0,"已结清",IF(O36&gt;0,"我方欠款","我方预付")))</f>
      </c>
      <c r="Q36" s="195">
        <f>IF($K36="","",_xlfn.MAXIFS(资金台帐!$B$7:$B$3006,资金台帐!$K$7:$K$3006,$K36,资金台帐!$P$7:$P$3006,"应付"))</f>
      </c>
    </row>
    <row r="37">
      <c r="A37" s="194">
        <f>IF(B37="","",14)</f>
        <v>14</v>
      </c>
      <c r="B37" s="141" t="str">
        <f>IF(总览汇总!B18="","",总览汇总!B18)</f>
        <v>吕维春</v>
      </c>
      <c r="C37" s="186">
        <f>IF($B37="","",N(总览汇总!K18)+SUMIFS(出库明细!$G$4:$G$3003,出库明细!$C$4:$C$3003,$B37,出库明细!$B$4:$B$3003,"&gt;="&amp;年初日,出库明细!$B$4:$B$3003,"&lt;"&amp;$B$21)-SUMIFS(资金台帐!$S$7:$S$3006,资金台帐!$J$7:$J$3006,$B37,资金台帐!$P$7:$P$3006,"应收",资金台帐!$B$7:$B$3006,"&gt;="&amp;年初日,资金台帐!$B$7:$B$3006,"&lt;"&amp;$B$21))</f>
        <v>0</v>
      </c>
      <c r="D37" s="186">
        <f>IF($B37="","",SUMIFS(出库明细!$G$4:$G$3003,出库明细!$C$4:$C$3003,$B37,出库明细!$B$4:$B$3003,"&gt;="&amp;$B$21,出库明细!$B$4:$B$3003,"&lt;="&amp;$D$21))</f>
        <v>16400</v>
      </c>
      <c r="E37" s="186">
        <f>IF($B37="","",SUMIFS(资金台帐!$S$7:$S$3006,资金台帐!$J$7:$J$3006,$B37,资金台帐!$P$7:$P$3006,"应收",资金台帐!$B$7:$B$3006,"&gt;="&amp;$B$21,资金台帐!$B$7:$B$3006,"&lt;="&amp;$D$21))</f>
        <v>62440</v>
      </c>
      <c r="F37" s="187">
        <f>IF($B37="","",C37+D37-E37)</f>
        <v>-46040</v>
      </c>
      <c r="G37" s="141" t="str">
        <f>IF($B37="","",IF(ROUND(F37,2)=0,"已结清",IF(F37&gt;0,"有欠款","预存款")))</f>
        <v>预存款</v>
      </c>
      <c r="H37" s="195">
        <f>IF($B37="","",_xlfn.MAXIFS(资金台帐!$B$7:$B$3006,资金台帐!$J$7:$J$3006,$B37,资金台帐!$P$7:$P$3006,"应收"))</f>
        <v>46234.0</v>
      </c>
      <c r="J37" s="194">
        <f>IF(K37="","",14)</f>
      </c>
      <c r="K37" s="141">
        <f>IF(基础资料!Q18="","",基础资料!Q18)</f>
      </c>
      <c r="L37" s="186">
        <f>IF($K37="","",N(基础资料!R18)+SUMIFS(采购进货!$G$4:$G$1503,采购进货!$C$4:$C$1503,$K37,采购进货!$B$4:$B$1503,"&gt;="&amp;年初日,采购进货!$B$4:$B$1503,"&lt;"&amp;$B$21)+SUMIFS(资金台帐!$S$7:$S$3006,资金台帐!$K$7:$K$3006,$K37,资金台帐!$P$7:$P$3006,"应付",资金台帐!$B$7:$B$3006,"&gt;="&amp;年初日,资金台帐!$B$7:$B$3006,"&lt;"&amp;$B$21))</f>
      </c>
      <c r="M37" s="186">
        <f>IF($K37="","",SUMIFS(采购进货!$G$4:$G$1503,采购进货!$C$4:$C$1503,$K37,采购进货!$B$4:$B$1503,"&gt;="&amp;$B$21,采购进货!$B$4:$B$1503,"&lt;="&amp;$D$21))</f>
      </c>
      <c r="N37" s="186">
        <f>IF($K37="","",-SUMIFS(资金台帐!$S$7:$S$3006,资金台帐!$K$7:$K$3006,$K37,资金台帐!$P$7:$P$3006,"应付",资金台帐!$B$7:$B$3006,"&gt;="&amp;$B$21,资金台帐!$B$7:$B$3006,"&lt;="&amp;$D$21))</f>
      </c>
      <c r="O37" s="187">
        <f>IF($K37="","",L37+M37-N37)</f>
      </c>
      <c r="P37" s="141">
        <f>IF($K37="","",IF(ROUND(O37,2)=0,"已结清",IF(O37&gt;0,"我方欠款","我方预付")))</f>
      </c>
      <c r="Q37" s="195">
        <f>IF($K37="","",_xlfn.MAXIFS(资金台帐!$B$7:$B$3006,资金台帐!$K$7:$K$3006,$K37,资金台帐!$P$7:$P$3006,"应付"))</f>
      </c>
    </row>
    <row r="38">
      <c r="A38" s="194">
        <f>IF(B38="","",15)</f>
        <v>15</v>
      </c>
      <c r="B38" s="141" t="str">
        <f>IF(总览汇总!B19="","",总览汇总!B19)</f>
        <v>兴发商行</v>
      </c>
      <c r="C38" s="186">
        <f>IF($B38="","",N(总览汇总!K19)+SUMIFS(出库明细!$G$4:$G$3003,出库明细!$C$4:$C$3003,$B38,出库明细!$B$4:$B$3003,"&gt;="&amp;年初日,出库明细!$B$4:$B$3003,"&lt;"&amp;$B$21)-SUMIFS(资金台帐!$S$7:$S$3006,资金台帐!$J$7:$J$3006,$B38,资金台帐!$P$7:$P$3006,"应收",资金台帐!$B$7:$B$3006,"&gt;="&amp;年初日,资金台帐!$B$7:$B$3006,"&lt;"&amp;$B$21))</f>
        <v>0</v>
      </c>
      <c r="D38" s="186">
        <f>IF($B38="","",SUMIFS(出库明细!$G$4:$G$3003,出库明细!$C$4:$C$3003,$B38,出库明细!$B$4:$B$3003,"&gt;="&amp;$B$21,出库明细!$B$4:$B$3003,"&lt;="&amp;$D$21))</f>
        <v>9270</v>
      </c>
      <c r="E38" s="186">
        <f>IF($B38="","",SUMIFS(资金台帐!$S$7:$S$3006,资金台帐!$J$7:$J$3006,$B38,资金台帐!$P$7:$P$3006,"应收",资金台帐!$B$7:$B$3006,"&gt;="&amp;$B$21,资金台帐!$B$7:$B$3006,"&lt;="&amp;$D$21))</f>
        <v>16437.5</v>
      </c>
      <c r="F38" s="187">
        <f>IF($B38="","",C38+D38-E38)</f>
        <v>-7167.5</v>
      </c>
      <c r="G38" s="141" t="str">
        <f>IF($B38="","",IF(ROUND(F38,2)=0,"已结清",IF(F38&gt;0,"有欠款","预存款")))</f>
        <v>预存款</v>
      </c>
      <c r="H38" s="195">
        <f>IF($B38="","",_xlfn.MAXIFS(资金台帐!$B$7:$B$3006,资金台帐!$J$7:$J$3006,$B38,资金台帐!$P$7:$P$3006,"应收"))</f>
        <v>46247.0</v>
      </c>
      <c r="J38" s="194">
        <f>IF(K38="","",15)</f>
      </c>
      <c r="K38" s="141">
        <f>IF(基础资料!Q19="","",基础资料!Q19)</f>
      </c>
      <c r="L38" s="186">
        <f>IF($K38="","",N(基础资料!R19)+SUMIFS(采购进货!$G$4:$G$1503,采购进货!$C$4:$C$1503,$K38,采购进货!$B$4:$B$1503,"&gt;="&amp;年初日,采购进货!$B$4:$B$1503,"&lt;"&amp;$B$21)+SUMIFS(资金台帐!$S$7:$S$3006,资金台帐!$K$7:$K$3006,$K38,资金台帐!$P$7:$P$3006,"应付",资金台帐!$B$7:$B$3006,"&gt;="&amp;年初日,资金台帐!$B$7:$B$3006,"&lt;"&amp;$B$21))</f>
      </c>
      <c r="M38" s="186">
        <f>IF($K38="","",SUMIFS(采购进货!$G$4:$G$1503,采购进货!$C$4:$C$1503,$K38,采购进货!$B$4:$B$1503,"&gt;="&amp;$B$21,采购进货!$B$4:$B$1503,"&lt;="&amp;$D$21))</f>
      </c>
      <c r="N38" s="186">
        <f>IF($K38="","",-SUMIFS(资金台帐!$S$7:$S$3006,资金台帐!$K$7:$K$3006,$K38,资金台帐!$P$7:$P$3006,"应付",资金台帐!$B$7:$B$3006,"&gt;="&amp;$B$21,资金台帐!$B$7:$B$3006,"&lt;="&amp;$D$21))</f>
      </c>
      <c r="O38" s="187">
        <f>IF($K38="","",L38+M38-N38)</f>
      </c>
      <c r="P38" s="141">
        <f>IF($K38="","",IF(ROUND(O38,2)=0,"已结清",IF(O38&gt;0,"我方欠款","我方预付")))</f>
      </c>
      <c r="Q38" s="195">
        <f>IF($K38="","",_xlfn.MAXIFS(资金台帐!$B$7:$B$3006,资金台帐!$K$7:$K$3006,$K38,资金台帐!$P$7:$P$3006,"应付"))</f>
      </c>
    </row>
    <row r="39">
      <c r="A39" s="194">
        <f>IF(B39="","",16)</f>
        <v>16</v>
      </c>
      <c r="B39" s="141" t="str">
        <f>IF(总览汇总!B20="","",总览汇总!B20)</f>
        <v>城岗日日升超市</v>
      </c>
      <c r="C39" s="186">
        <f>IF($B39="","",N(总览汇总!K20)+SUMIFS(出库明细!$G$4:$G$3003,出库明细!$C$4:$C$3003,$B39,出库明细!$B$4:$B$3003,"&gt;="&amp;年初日,出库明细!$B$4:$B$3003,"&lt;"&amp;$B$21)-SUMIFS(资金台帐!$S$7:$S$3006,资金台帐!$J$7:$J$3006,$B39,资金台帐!$P$7:$P$3006,"应收",资金台帐!$B$7:$B$3006,"&gt;="&amp;年初日,资金台帐!$B$7:$B$3006,"&lt;"&amp;$B$21))</f>
        <v>0</v>
      </c>
      <c r="D39" s="186">
        <f>IF($B39="","",SUMIFS(出库明细!$G$4:$G$3003,出库明细!$C$4:$C$3003,$B39,出库明细!$B$4:$B$3003,"&gt;="&amp;$B$21,出库明细!$B$4:$B$3003,"&lt;="&amp;$D$21))</f>
        <v>38496.5</v>
      </c>
      <c r="E39" s="186">
        <f>IF($B39="","",SUMIFS(资金台帐!$S$7:$S$3006,资金台帐!$J$7:$J$3006,$B39,资金台帐!$P$7:$P$3006,"应收",资金台帐!$B$7:$B$3006,"&gt;="&amp;$B$21,资金台帐!$B$7:$B$3006,"&lt;="&amp;$D$21))</f>
        <v>63895</v>
      </c>
      <c r="F39" s="187">
        <f>IF($B39="","",C39+D39-E39)</f>
        <v>-25398.5</v>
      </c>
      <c r="G39" s="141" t="str">
        <f>IF($B39="","",IF(ROUND(F39,2)=0,"已结清",IF(F39&gt;0,"有欠款","预存款")))</f>
        <v>预存款</v>
      </c>
      <c r="H39" s="195">
        <f>IF($B39="","",_xlfn.MAXIFS(资金台帐!$B$7:$B$3006,资金台帐!$J$7:$J$3006,$B39,资金台帐!$P$7:$P$3006,"应收"))</f>
        <v>46227.0</v>
      </c>
      <c r="J39" s="194">
        <f>IF(K39="","",16)</f>
      </c>
      <c r="K39" s="141">
        <f>IF(基础资料!Q20="","",基础资料!Q20)</f>
      </c>
      <c r="L39" s="186">
        <f>IF($K39="","",N(基础资料!R20)+SUMIFS(采购进货!$G$4:$G$1503,采购进货!$C$4:$C$1503,$K39,采购进货!$B$4:$B$1503,"&gt;="&amp;年初日,采购进货!$B$4:$B$1503,"&lt;"&amp;$B$21)+SUMIFS(资金台帐!$S$7:$S$3006,资金台帐!$K$7:$K$3006,$K39,资金台帐!$P$7:$P$3006,"应付",资金台帐!$B$7:$B$3006,"&gt;="&amp;年初日,资金台帐!$B$7:$B$3006,"&lt;"&amp;$B$21))</f>
      </c>
      <c r="M39" s="186">
        <f>IF($K39="","",SUMIFS(采购进货!$G$4:$G$1503,采购进货!$C$4:$C$1503,$K39,采购进货!$B$4:$B$1503,"&gt;="&amp;$B$21,采购进货!$B$4:$B$1503,"&lt;="&amp;$D$21))</f>
      </c>
      <c r="N39" s="186">
        <f>IF($K39="","",-SUMIFS(资金台帐!$S$7:$S$3006,资金台帐!$K$7:$K$3006,$K39,资金台帐!$P$7:$P$3006,"应付",资金台帐!$B$7:$B$3006,"&gt;="&amp;$B$21,资金台帐!$B$7:$B$3006,"&lt;="&amp;$D$21))</f>
      </c>
      <c r="O39" s="187">
        <f>IF($K39="","",L39+M39-N39)</f>
      </c>
      <c r="P39" s="141">
        <f>IF($K39="","",IF(ROUND(O39,2)=0,"已结清",IF(O39&gt;0,"我方欠款","我方预付")))</f>
      </c>
      <c r="Q39" s="195">
        <f>IF($K39="","",_xlfn.MAXIFS(资金台帐!$B$7:$B$3006,资金台帐!$K$7:$K$3006,$K39,资金台帐!$P$7:$P$3006,"应付"))</f>
      </c>
    </row>
    <row r="40">
      <c r="A40" s="194">
        <f>IF(B40="","",17)</f>
        <v>17</v>
      </c>
      <c r="B40" s="141" t="str">
        <f>IF(总览汇总!B21="","",总览汇总!B21)</f>
        <v>江背久明商行</v>
      </c>
      <c r="C40" s="186">
        <f>IF($B40="","",N(总览汇总!K21)+SUMIFS(出库明细!$G$4:$G$3003,出库明细!$C$4:$C$3003,$B40,出库明细!$B$4:$B$3003,"&gt;="&amp;年初日,出库明细!$B$4:$B$3003,"&lt;"&amp;$B$21)-SUMIFS(资金台帐!$S$7:$S$3006,资金台帐!$J$7:$J$3006,$B40,资金台帐!$P$7:$P$3006,"应收",资金台帐!$B$7:$B$3006,"&gt;="&amp;年初日,资金台帐!$B$7:$B$3006,"&lt;"&amp;$B$21))</f>
        <v>0</v>
      </c>
      <c r="D40" s="186">
        <f>IF($B40="","",SUMIFS(出库明细!$G$4:$G$3003,出库明细!$C$4:$C$3003,$B40,出库明细!$B$4:$B$3003,"&gt;="&amp;$B$21,出库明细!$B$4:$B$3003,"&lt;="&amp;$D$21))</f>
        <v>56620</v>
      </c>
      <c r="E40" s="186">
        <f>IF($B40="","",SUMIFS(资金台帐!$S$7:$S$3006,资金台帐!$J$7:$J$3006,$B40,资金台帐!$P$7:$P$3006,"应收",资金台帐!$B$7:$B$3006,"&gt;="&amp;$B$21,资金台帐!$B$7:$B$3006,"&lt;="&amp;$D$21))</f>
        <v>21620</v>
      </c>
      <c r="F40" s="187">
        <f>IF($B40="","",C40+D40-E40)</f>
        <v>35000</v>
      </c>
      <c r="G40" s="141" t="str">
        <f>IF($B40="","",IF(ROUND(F40,2)=0,"已结清",IF(F40&gt;0,"有欠款","预存款")))</f>
        <v>有欠款</v>
      </c>
      <c r="H40" s="195">
        <f>IF($B40="","",_xlfn.MAXIFS(资金台帐!$B$7:$B$3006,资金台帐!$J$7:$J$3006,$B40,资金台帐!$P$7:$P$3006,"应收"))</f>
        <v>46200.0</v>
      </c>
      <c r="J40" s="194">
        <f>IF(K40="","",17)</f>
      </c>
      <c r="K40" s="141">
        <f>IF(基础资料!Q21="","",基础资料!Q21)</f>
      </c>
      <c r="L40" s="186">
        <f>IF($K40="","",N(基础资料!R21)+SUMIFS(采购进货!$G$4:$G$1503,采购进货!$C$4:$C$1503,$K40,采购进货!$B$4:$B$1503,"&gt;="&amp;年初日,采购进货!$B$4:$B$1503,"&lt;"&amp;$B$21)+SUMIFS(资金台帐!$S$7:$S$3006,资金台帐!$K$7:$K$3006,$K40,资金台帐!$P$7:$P$3006,"应付",资金台帐!$B$7:$B$3006,"&gt;="&amp;年初日,资金台帐!$B$7:$B$3006,"&lt;"&amp;$B$21))</f>
      </c>
      <c r="M40" s="186">
        <f>IF($K40="","",SUMIFS(采购进货!$G$4:$G$1503,采购进货!$C$4:$C$1503,$K40,采购进货!$B$4:$B$1503,"&gt;="&amp;$B$21,采购进货!$B$4:$B$1503,"&lt;="&amp;$D$21))</f>
      </c>
      <c r="N40" s="186">
        <f>IF($K40="","",-SUMIFS(资金台帐!$S$7:$S$3006,资金台帐!$K$7:$K$3006,$K40,资金台帐!$P$7:$P$3006,"应付",资金台帐!$B$7:$B$3006,"&gt;="&amp;$B$21,资金台帐!$B$7:$B$3006,"&lt;="&amp;$D$21))</f>
      </c>
      <c r="O40" s="187">
        <f>IF($K40="","",L40+M40-N40)</f>
      </c>
      <c r="P40" s="141">
        <f>IF($K40="","",IF(ROUND(O40,2)=0,"已结清",IF(O40&gt;0,"我方欠款","我方预付")))</f>
      </c>
      <c r="Q40" s="195">
        <f>IF($K40="","",_xlfn.MAXIFS(资金台帐!$B$7:$B$3006,资金台帐!$K$7:$K$3006,$K40,资金台帐!$P$7:$P$3006,"应付"))</f>
      </c>
    </row>
    <row r="41">
      <c r="A41" s="194">
        <f>IF(B41="","",18)</f>
        <v>18</v>
      </c>
      <c r="B41" s="141" t="str">
        <f>IF(总览汇总!B22="","",总览汇总!B22)</f>
        <v>社富丽华超市</v>
      </c>
      <c r="C41" s="186">
        <f>IF($B41="","",N(总览汇总!K22)+SUMIFS(出库明细!$G$4:$G$3003,出库明细!$C$4:$C$3003,$B41,出库明细!$B$4:$B$3003,"&gt;="&amp;年初日,出库明细!$B$4:$B$3003,"&lt;"&amp;$B$21)-SUMIFS(资金台帐!$S$7:$S$3006,资金台帐!$J$7:$J$3006,$B41,资金台帐!$P$7:$P$3006,"应收",资金台帐!$B$7:$B$3006,"&gt;="&amp;年初日,资金台帐!$B$7:$B$3006,"&lt;"&amp;$B$21))</f>
        <v>0</v>
      </c>
      <c r="D41" s="186">
        <f>IF($B41="","",SUMIFS(出库明细!$G$4:$G$3003,出库明细!$C$4:$C$3003,$B41,出库明细!$B$4:$B$3003,"&gt;="&amp;$B$21,出库明细!$B$4:$B$3003,"&lt;="&amp;$D$21))</f>
        <v>0</v>
      </c>
      <c r="E41" s="186">
        <f>IF($B41="","",SUMIFS(资金台帐!$S$7:$S$3006,资金台帐!$J$7:$J$3006,$B41,资金台帐!$P$7:$P$3006,"应收",资金台帐!$B$7:$B$3006,"&gt;="&amp;$B$21,资金台帐!$B$7:$B$3006,"&lt;="&amp;$D$21))</f>
        <v>8100</v>
      </c>
      <c r="F41" s="187">
        <f>IF($B41="","",C41+D41-E41)</f>
        <v>-8100</v>
      </c>
      <c r="G41" s="141" t="str">
        <f>IF($B41="","",IF(ROUND(F41,2)=0,"已结清",IF(F41&gt;0,"有欠款","预存款")))</f>
        <v>预存款</v>
      </c>
      <c r="H41" s="195">
        <f>IF($B41="","",_xlfn.MAXIFS(资金台帐!$B$7:$B$3006,资金台帐!$J$7:$J$3006,$B41,资金台帐!$P$7:$P$3006,"应收"))</f>
        <v>46200.0</v>
      </c>
      <c r="J41" s="194">
        <f>IF(K41="","",18)</f>
      </c>
      <c r="K41" s="141">
        <f>IF(基础资料!Q22="","",基础资料!Q22)</f>
      </c>
      <c r="L41" s="186">
        <f>IF($K41="","",N(基础资料!R22)+SUMIFS(采购进货!$G$4:$G$1503,采购进货!$C$4:$C$1503,$K41,采购进货!$B$4:$B$1503,"&gt;="&amp;年初日,采购进货!$B$4:$B$1503,"&lt;"&amp;$B$21)+SUMIFS(资金台帐!$S$7:$S$3006,资金台帐!$K$7:$K$3006,$K41,资金台帐!$P$7:$P$3006,"应付",资金台帐!$B$7:$B$3006,"&gt;="&amp;年初日,资金台帐!$B$7:$B$3006,"&lt;"&amp;$B$21))</f>
      </c>
      <c r="M41" s="186">
        <f>IF($K41="","",SUMIFS(采购进货!$G$4:$G$1503,采购进货!$C$4:$C$1503,$K41,采购进货!$B$4:$B$1503,"&gt;="&amp;$B$21,采购进货!$B$4:$B$1503,"&lt;="&amp;$D$21))</f>
      </c>
      <c r="N41" s="186">
        <f>IF($K41="","",-SUMIFS(资金台帐!$S$7:$S$3006,资金台帐!$K$7:$K$3006,$K41,资金台帐!$P$7:$P$3006,"应付",资金台帐!$B$7:$B$3006,"&gt;="&amp;$B$21,资金台帐!$B$7:$B$3006,"&lt;="&amp;$D$21))</f>
      </c>
      <c r="O41" s="187">
        <f>IF($K41="","",L41+M41-N41)</f>
      </c>
      <c r="P41" s="141">
        <f>IF($K41="","",IF(ROUND(O41,2)=0,"已结清",IF(O41&gt;0,"我方欠款","我方预付")))</f>
      </c>
      <c r="Q41" s="195">
        <f>IF($K41="","",_xlfn.MAXIFS(资金台帐!$B$7:$B$3006,资金台帐!$K$7:$K$3006,$K41,资金台帐!$P$7:$P$3006,"应付"))</f>
      </c>
    </row>
    <row r="42">
      <c r="A42" s="194">
        <f>IF(B42="","",19)</f>
        <v>19</v>
      </c>
      <c r="B42" s="141" t="str">
        <f>IF(总览汇总!B23="","",总览汇总!B23)</f>
        <v>九鑫粮油</v>
      </c>
      <c r="C42" s="186">
        <f>IF($B42="","",N(总览汇总!K23)+SUMIFS(出库明细!$G$4:$G$3003,出库明细!$C$4:$C$3003,$B42,出库明细!$B$4:$B$3003,"&gt;="&amp;年初日,出库明细!$B$4:$B$3003,"&lt;"&amp;$B$21)-SUMIFS(资金台帐!$S$7:$S$3006,资金台帐!$J$7:$J$3006,$B42,资金台帐!$P$7:$P$3006,"应收",资金台帐!$B$7:$B$3006,"&gt;="&amp;年初日,资金台帐!$B$7:$B$3006,"&lt;"&amp;$B$21))</f>
        <v>0</v>
      </c>
      <c r="D42" s="186">
        <f>IF($B42="","",SUMIFS(出库明细!$G$4:$G$3003,出库明细!$C$4:$C$3003,$B42,出库明细!$B$4:$B$3003,"&gt;="&amp;$B$21,出库明细!$B$4:$B$3003,"&lt;="&amp;$D$21))</f>
        <v>6030</v>
      </c>
      <c r="E42" s="186">
        <f>IF($B42="","",SUMIFS(资金台帐!$S$7:$S$3006,资金台帐!$J$7:$J$3006,$B42,资金台帐!$P$7:$P$3006,"应收",资金台帐!$B$7:$B$3006,"&gt;="&amp;$B$21,资金台帐!$B$7:$B$3006,"&lt;="&amp;$D$21))</f>
        <v>13150</v>
      </c>
      <c r="F42" s="187">
        <f>IF($B42="","",C42+D42-E42)</f>
        <v>-7120</v>
      </c>
      <c r="G42" s="141" t="str">
        <f>IF($B42="","",IF(ROUND(F42,2)=0,"已结清",IF(F42&gt;0,"有欠款","预存款")))</f>
        <v>预存款</v>
      </c>
      <c r="H42" s="195">
        <f>IF($B42="","",_xlfn.MAXIFS(资金台帐!$B$7:$B$3006,资金台帐!$J$7:$J$3006,$B42,资金台帐!$P$7:$P$3006,"应收"))</f>
        <v>46243.0</v>
      </c>
      <c r="J42" s="194">
        <f>IF(K42="","",19)</f>
      </c>
      <c r="K42" s="141">
        <f>IF(基础资料!Q23="","",基础资料!Q23)</f>
      </c>
      <c r="L42" s="186">
        <f>IF($K42="","",N(基础资料!R23)+SUMIFS(采购进货!$G$4:$G$1503,采购进货!$C$4:$C$1503,$K42,采购进货!$B$4:$B$1503,"&gt;="&amp;年初日,采购进货!$B$4:$B$1503,"&lt;"&amp;$B$21)+SUMIFS(资金台帐!$S$7:$S$3006,资金台帐!$K$7:$K$3006,$K42,资金台帐!$P$7:$P$3006,"应付",资金台帐!$B$7:$B$3006,"&gt;="&amp;年初日,资金台帐!$B$7:$B$3006,"&lt;"&amp;$B$21))</f>
      </c>
      <c r="M42" s="186">
        <f>IF($K42="","",SUMIFS(采购进货!$G$4:$G$1503,采购进货!$C$4:$C$1503,$K42,采购进货!$B$4:$B$1503,"&gt;="&amp;$B$21,采购进货!$B$4:$B$1503,"&lt;="&amp;$D$21))</f>
      </c>
      <c r="N42" s="186">
        <f>IF($K42="","",-SUMIFS(资金台帐!$S$7:$S$3006,资金台帐!$K$7:$K$3006,$K42,资金台帐!$P$7:$P$3006,"应付",资金台帐!$B$7:$B$3006,"&gt;="&amp;$B$21,资金台帐!$B$7:$B$3006,"&lt;="&amp;$D$21))</f>
      </c>
      <c r="O42" s="187">
        <f>IF($K42="","",L42+M42-N42)</f>
      </c>
      <c r="P42" s="141">
        <f>IF($K42="","",IF(ROUND(O42,2)=0,"已结清",IF(O42&gt;0,"我方欠款","我方预付")))</f>
      </c>
      <c r="Q42" s="195">
        <f>IF($K42="","",_xlfn.MAXIFS(资金台帐!$B$7:$B$3006,资金台帐!$K$7:$K$3006,$K42,资金台帐!$P$7:$P$3006,"应付"))</f>
      </c>
    </row>
    <row r="43">
      <c r="A43" s="194">
        <f>IF(B43="","",20)</f>
        <v>20</v>
      </c>
      <c r="B43" s="141" t="str">
        <f>IF(总览汇总!B24="","",总览汇总!B24)</f>
        <v>鼎龙陈财超市</v>
      </c>
      <c r="C43" s="186">
        <f>IF($B43="","",N(总览汇总!K24)+SUMIFS(出库明细!$G$4:$G$3003,出库明细!$C$4:$C$3003,$B43,出库明细!$B$4:$B$3003,"&gt;="&amp;年初日,出库明细!$B$4:$B$3003,"&lt;"&amp;$B$21)-SUMIFS(资金台帐!$S$7:$S$3006,资金台帐!$J$7:$J$3006,$B43,资金台帐!$P$7:$P$3006,"应收",资金台帐!$B$7:$B$3006,"&gt;="&amp;年初日,资金台帐!$B$7:$B$3006,"&lt;"&amp;$B$21))</f>
        <v>0</v>
      </c>
      <c r="D43" s="186">
        <f>IF($B43="","",SUMIFS(出库明细!$G$4:$G$3003,出库明细!$C$4:$C$3003,$B43,出库明细!$B$4:$B$3003,"&gt;="&amp;$B$21,出库明细!$B$4:$B$3003,"&lt;="&amp;$D$21))</f>
        <v>10660</v>
      </c>
      <c r="E43" s="186">
        <f>IF($B43="","",SUMIFS(资金台帐!$S$7:$S$3006,资金台帐!$J$7:$J$3006,$B43,资金台帐!$P$7:$P$3006,"应收",资金台帐!$B$7:$B$3006,"&gt;="&amp;$B$21,资金台帐!$B$7:$B$3006,"&lt;="&amp;$D$21))</f>
        <v>180682.5</v>
      </c>
      <c r="F43" s="187">
        <f>IF($B43="","",C43+D43-E43)</f>
        <v>-170022.5</v>
      </c>
      <c r="G43" s="141" t="str">
        <f>IF($B43="","",IF(ROUND(F43,2)=0,"已结清",IF(F43&gt;0,"有欠款","预存款")))</f>
        <v>预存款</v>
      </c>
      <c r="H43" s="195">
        <f>IF($B43="","",_xlfn.MAXIFS(资金台帐!$B$7:$B$3006,资金台帐!$J$7:$J$3006,$B43,资金台帐!$P$7:$P$3006,"应收"))</f>
        <v>46243.0</v>
      </c>
      <c r="J43" s="194">
        <f>IF(K43="","",20)</f>
      </c>
      <c r="K43" s="141">
        <f>IF(基础资料!Q24="","",基础资料!Q24)</f>
      </c>
      <c r="L43" s="186">
        <f>IF($K43="","",N(基础资料!R24)+SUMIFS(采购进货!$G$4:$G$1503,采购进货!$C$4:$C$1503,$K43,采购进货!$B$4:$B$1503,"&gt;="&amp;年初日,采购进货!$B$4:$B$1503,"&lt;"&amp;$B$21)+SUMIFS(资金台帐!$S$7:$S$3006,资金台帐!$K$7:$K$3006,$K43,资金台帐!$P$7:$P$3006,"应付",资金台帐!$B$7:$B$3006,"&gt;="&amp;年初日,资金台帐!$B$7:$B$3006,"&lt;"&amp;$B$21))</f>
      </c>
      <c r="M43" s="186">
        <f>IF($K43="","",SUMIFS(采购进货!$G$4:$G$1503,采购进货!$C$4:$C$1503,$K43,采购进货!$B$4:$B$1503,"&gt;="&amp;$B$21,采购进货!$B$4:$B$1503,"&lt;="&amp;$D$21))</f>
      </c>
      <c r="N43" s="186">
        <f>IF($K43="","",-SUMIFS(资金台帐!$S$7:$S$3006,资金台帐!$K$7:$K$3006,$K43,资金台帐!$P$7:$P$3006,"应付",资金台帐!$B$7:$B$3006,"&gt;="&amp;$B$21,资金台帐!$B$7:$B$3006,"&lt;="&amp;$D$21))</f>
      </c>
      <c r="O43" s="187">
        <f>IF($K43="","",L43+M43-N43)</f>
      </c>
      <c r="P43" s="141">
        <f>IF($K43="","",IF(ROUND(O43,2)=0,"已结清",IF(O43&gt;0,"我方欠款","我方预付")))</f>
      </c>
      <c r="Q43" s="195">
        <f>IF($K43="","",_xlfn.MAXIFS(资金台帐!$B$7:$B$3006,资金台帐!$K$7:$K$3006,$K43,资金台帐!$P$7:$P$3006,"应付"))</f>
      </c>
    </row>
    <row r="44">
      <c r="A44" s="194">
        <f>IF(B44="","",21)</f>
        <v>21</v>
      </c>
      <c r="B44" s="141" t="str">
        <f>IF(总览汇总!B25="","",总览汇总!B25)</f>
        <v>洪门美群商行</v>
      </c>
      <c r="C44" s="186">
        <f>IF($B44="","",N(总览汇总!K25)+SUMIFS(出库明细!$G$4:$G$3003,出库明细!$C$4:$C$3003,$B44,出库明细!$B$4:$B$3003,"&gt;="&amp;年初日,出库明细!$B$4:$B$3003,"&lt;"&amp;$B$21)-SUMIFS(资金台帐!$S$7:$S$3006,资金台帐!$J$7:$J$3006,$B44,资金台帐!$P$7:$P$3006,"应收",资金台帐!$B$7:$B$3006,"&gt;="&amp;年初日,资金台帐!$B$7:$B$3006,"&lt;"&amp;$B$21))</f>
        <v>0</v>
      </c>
      <c r="D44" s="186">
        <f>IF($B44="","",SUMIFS(出库明细!$G$4:$G$3003,出库明细!$C$4:$C$3003,$B44,出库明细!$B$4:$B$3003,"&gt;="&amp;$B$21,出库明细!$B$4:$B$3003,"&lt;="&amp;$D$21))</f>
        <v>0</v>
      </c>
      <c r="E44" s="186">
        <f>IF($B44="","",SUMIFS(资金台帐!$S$7:$S$3006,资金台帐!$J$7:$J$3006,$B44,资金台帐!$P$7:$P$3006,"应收",资金台帐!$B$7:$B$3006,"&gt;="&amp;$B$21,资金台帐!$B$7:$B$3006,"&lt;="&amp;$D$21))</f>
        <v>4500</v>
      </c>
      <c r="F44" s="187">
        <f>IF($B44="","",C44+D44-E44)</f>
        <v>-4500</v>
      </c>
      <c r="G44" s="141" t="str">
        <f>IF($B44="","",IF(ROUND(F44,2)=0,"已结清",IF(F44&gt;0,"有欠款","预存款")))</f>
        <v>预存款</v>
      </c>
      <c r="H44" s="195">
        <f>IF($B44="","",_xlfn.MAXIFS(资金台帐!$B$7:$B$3006,资金台帐!$J$7:$J$3006,$B44,资金台帐!$P$7:$P$3006,"应收"))</f>
        <v>46200.0</v>
      </c>
      <c r="J44" s="194">
        <f>IF(K44="","",21)</f>
      </c>
      <c r="K44" s="141">
        <f>IF(基础资料!Q25="","",基础资料!Q25)</f>
      </c>
      <c r="L44" s="186">
        <f>IF($K44="","",N(基础资料!R25)+SUMIFS(采购进货!$G$4:$G$1503,采购进货!$C$4:$C$1503,$K44,采购进货!$B$4:$B$1503,"&gt;="&amp;年初日,采购进货!$B$4:$B$1503,"&lt;"&amp;$B$21)+SUMIFS(资金台帐!$S$7:$S$3006,资金台帐!$K$7:$K$3006,$K44,资金台帐!$P$7:$P$3006,"应付",资金台帐!$B$7:$B$3006,"&gt;="&amp;年初日,资金台帐!$B$7:$B$3006,"&lt;"&amp;$B$21))</f>
      </c>
      <c r="M44" s="186">
        <f>IF($K44="","",SUMIFS(采购进货!$G$4:$G$1503,采购进货!$C$4:$C$1503,$K44,采购进货!$B$4:$B$1503,"&gt;="&amp;$B$21,采购进货!$B$4:$B$1503,"&lt;="&amp;$D$21))</f>
      </c>
      <c r="N44" s="186">
        <f>IF($K44="","",-SUMIFS(资金台帐!$S$7:$S$3006,资金台帐!$K$7:$K$3006,$K44,资金台帐!$P$7:$P$3006,"应付",资金台帐!$B$7:$B$3006,"&gt;="&amp;$B$21,资金台帐!$B$7:$B$3006,"&lt;="&amp;$D$21))</f>
      </c>
      <c r="O44" s="187">
        <f>IF($K44="","",L44+M44-N44)</f>
      </c>
      <c r="P44" s="141">
        <f>IF($K44="","",IF(ROUND(O44,2)=0,"已结清",IF(O44&gt;0,"我方欠款","我方预付")))</f>
      </c>
      <c r="Q44" s="195">
        <f>IF($K44="","",_xlfn.MAXIFS(资金台帐!$B$7:$B$3006,资金台帐!$K$7:$K$3006,$K44,资金台帐!$P$7:$P$3006,"应付"))</f>
      </c>
    </row>
    <row r="45">
      <c r="A45" s="194">
        <f>IF(B45="","",22)</f>
        <v>22</v>
      </c>
      <c r="B45" s="141" t="str">
        <f>IF(总览汇总!B26="","",总览汇总!B26)</f>
        <v>兴江家源超市</v>
      </c>
      <c r="C45" s="186">
        <f>IF($B45="","",N(总览汇总!K26)+SUMIFS(出库明细!$G$4:$G$3003,出库明细!$C$4:$C$3003,$B45,出库明细!$B$4:$B$3003,"&gt;="&amp;年初日,出库明细!$B$4:$B$3003,"&lt;"&amp;$B$21)-SUMIFS(资金台帐!$S$7:$S$3006,资金台帐!$J$7:$J$3006,$B45,资金台帐!$P$7:$P$3006,"应收",资金台帐!$B$7:$B$3006,"&gt;="&amp;年初日,资金台帐!$B$7:$B$3006,"&lt;"&amp;$B$21))</f>
        <v>0</v>
      </c>
      <c r="D45" s="186">
        <f>IF($B45="","",SUMIFS(出库明细!$G$4:$G$3003,出库明细!$C$4:$C$3003,$B45,出库明细!$B$4:$B$3003,"&gt;="&amp;$B$21,出库明细!$B$4:$B$3003,"&lt;="&amp;$D$21))</f>
        <v>0</v>
      </c>
      <c r="E45" s="186">
        <f>IF($B45="","",SUMIFS(资金台帐!$S$7:$S$3006,资金台帐!$J$7:$J$3006,$B45,资金台帐!$P$7:$P$3006,"应收",资金台帐!$B$7:$B$3006,"&gt;="&amp;$B$21,资金台帐!$B$7:$B$3006,"&lt;="&amp;$D$21))</f>
        <v>1800</v>
      </c>
      <c r="F45" s="187">
        <f>IF($B45="","",C45+D45-E45)</f>
        <v>-1800</v>
      </c>
      <c r="G45" s="141" t="str">
        <f>IF($B45="","",IF(ROUND(F45,2)=0,"已结清",IF(F45&gt;0,"有欠款","预存款")))</f>
        <v>预存款</v>
      </c>
      <c r="H45" s="195">
        <f>IF($B45="","",_xlfn.MAXIFS(资金台帐!$B$7:$B$3006,资金台帐!$J$7:$J$3006,$B45,资金台帐!$P$7:$P$3006,"应收"))</f>
        <v>46200.0</v>
      </c>
      <c r="J45" s="194">
        <f>IF(K45="","",22)</f>
      </c>
      <c r="K45" s="141">
        <f>IF(基础资料!Q26="","",基础资料!Q26)</f>
      </c>
      <c r="L45" s="186">
        <f>IF($K45="","",N(基础资料!R26)+SUMIFS(采购进货!$G$4:$G$1503,采购进货!$C$4:$C$1503,$K45,采购进货!$B$4:$B$1503,"&gt;="&amp;年初日,采购进货!$B$4:$B$1503,"&lt;"&amp;$B$21)+SUMIFS(资金台帐!$S$7:$S$3006,资金台帐!$K$7:$K$3006,$K45,资金台帐!$P$7:$P$3006,"应付",资金台帐!$B$7:$B$3006,"&gt;="&amp;年初日,资金台帐!$B$7:$B$3006,"&lt;"&amp;$B$21))</f>
      </c>
      <c r="M45" s="186">
        <f>IF($K45="","",SUMIFS(采购进货!$G$4:$G$1503,采购进货!$C$4:$C$1503,$K45,采购进货!$B$4:$B$1503,"&gt;="&amp;$B$21,采购进货!$B$4:$B$1503,"&lt;="&amp;$D$21))</f>
      </c>
      <c r="N45" s="186">
        <f>IF($K45="","",-SUMIFS(资金台帐!$S$7:$S$3006,资金台帐!$K$7:$K$3006,$K45,资金台帐!$P$7:$P$3006,"应付",资金台帐!$B$7:$B$3006,"&gt;="&amp;$B$21,资金台帐!$B$7:$B$3006,"&lt;="&amp;$D$21))</f>
      </c>
      <c r="O45" s="187">
        <f>IF($K45="","",L45+M45-N45)</f>
      </c>
      <c r="P45" s="141">
        <f>IF($K45="","",IF(ROUND(O45,2)=0,"已结清",IF(O45&gt;0,"我方欠款","我方预付")))</f>
      </c>
      <c r="Q45" s="195">
        <f>IF($K45="","",_xlfn.MAXIFS(资金台帐!$B$7:$B$3006,资金台帐!$K$7:$K$3006,$K45,资金台帐!$P$7:$P$3006,"应付"))</f>
      </c>
    </row>
    <row r="46">
      <c r="A46" s="194">
        <f>IF(B46="","",23)</f>
        <v>23</v>
      </c>
      <c r="B46" s="141" t="str">
        <f>IF(总览汇总!B27="","",总览汇总!B27)</f>
        <v>永丰橙丰购物</v>
      </c>
      <c r="C46" s="186">
        <f>IF($B46="","",N(总览汇总!K27)+SUMIFS(出库明细!$G$4:$G$3003,出库明细!$C$4:$C$3003,$B46,出库明细!$B$4:$B$3003,"&gt;="&amp;年初日,出库明细!$B$4:$B$3003,"&lt;"&amp;$B$21)-SUMIFS(资金台帐!$S$7:$S$3006,资金台帐!$J$7:$J$3006,$B46,资金台帐!$P$7:$P$3006,"应收",资金台帐!$B$7:$B$3006,"&gt;="&amp;年初日,资金台帐!$B$7:$B$3006,"&lt;"&amp;$B$21))</f>
        <v>0</v>
      </c>
      <c r="D46" s="186">
        <f>IF($B46="","",SUMIFS(出库明细!$G$4:$G$3003,出库明细!$C$4:$C$3003,$B46,出库明细!$B$4:$B$3003,"&gt;="&amp;$B$21,出库明细!$B$4:$B$3003,"&lt;="&amp;$D$21))</f>
        <v>0</v>
      </c>
      <c r="E46" s="186">
        <f>IF($B46="","",SUMIFS(资金台帐!$S$7:$S$3006,资金台帐!$J$7:$J$3006,$B46,资金台帐!$P$7:$P$3006,"应收",资金台帐!$B$7:$B$3006,"&gt;="&amp;$B$21,资金台帐!$B$7:$B$3006,"&lt;="&amp;$D$21))</f>
        <v>1067</v>
      </c>
      <c r="F46" s="187">
        <f>IF($B46="","",C46+D46-E46)</f>
        <v>-1067</v>
      </c>
      <c r="G46" s="141" t="str">
        <f>IF($B46="","",IF(ROUND(F46,2)=0,"已结清",IF(F46&gt;0,"有欠款","预存款")))</f>
        <v>预存款</v>
      </c>
      <c r="H46" s="195">
        <f>IF($B46="","",_xlfn.MAXIFS(资金台帐!$B$7:$B$3006,资金台帐!$J$7:$J$3006,$B46,资金台帐!$P$7:$P$3006,"应收"))</f>
        <v>46200.0</v>
      </c>
      <c r="J46" s="194">
        <f>IF(K46="","",23)</f>
      </c>
      <c r="K46" s="141">
        <f>IF(基础资料!Q27="","",基础资料!Q27)</f>
      </c>
      <c r="L46" s="186">
        <f>IF($K46="","",N(基础资料!R27)+SUMIFS(采购进货!$G$4:$G$1503,采购进货!$C$4:$C$1503,$K46,采购进货!$B$4:$B$1503,"&gt;="&amp;年初日,采购进货!$B$4:$B$1503,"&lt;"&amp;$B$21)+SUMIFS(资金台帐!$S$7:$S$3006,资金台帐!$K$7:$K$3006,$K46,资金台帐!$P$7:$P$3006,"应付",资金台帐!$B$7:$B$3006,"&gt;="&amp;年初日,资金台帐!$B$7:$B$3006,"&lt;"&amp;$B$21))</f>
      </c>
      <c r="M46" s="186">
        <f>IF($K46="","",SUMIFS(采购进货!$G$4:$G$1503,采购进货!$C$4:$C$1503,$K46,采购进货!$B$4:$B$1503,"&gt;="&amp;$B$21,采购进货!$B$4:$B$1503,"&lt;="&amp;$D$21))</f>
      </c>
      <c r="N46" s="186">
        <f>IF($K46="","",-SUMIFS(资金台帐!$S$7:$S$3006,资金台帐!$K$7:$K$3006,$K46,资金台帐!$P$7:$P$3006,"应付",资金台帐!$B$7:$B$3006,"&gt;="&amp;$B$21,资金台帐!$B$7:$B$3006,"&lt;="&amp;$D$21))</f>
      </c>
      <c r="O46" s="187">
        <f>IF($K46="","",L46+M46-N46)</f>
      </c>
      <c r="P46" s="141">
        <f>IF($K46="","",IF(ROUND(O46,2)=0,"已结清",IF(O46&gt;0,"我方欠款","我方预付")))</f>
      </c>
      <c r="Q46" s="195">
        <f>IF($K46="","",_xlfn.MAXIFS(资金台帐!$B$7:$B$3006,资金台帐!$K$7:$K$3006,$K46,资金台帐!$P$7:$P$3006,"应付"))</f>
      </c>
    </row>
    <row r="47">
      <c r="A47" s="194">
        <f>IF(B47="","",24)</f>
        <v>24</v>
      </c>
      <c r="B47" s="141" t="str">
        <f>IF(总览汇总!B28="","",总览汇总!B28)</f>
        <v>枫边德华超市</v>
      </c>
      <c r="C47" s="186">
        <f>IF($B47="","",N(总览汇总!K28)+SUMIFS(出库明细!$G$4:$G$3003,出库明细!$C$4:$C$3003,$B47,出库明细!$B$4:$B$3003,"&gt;="&amp;年初日,出库明细!$B$4:$B$3003,"&lt;"&amp;$B$21)-SUMIFS(资金台帐!$S$7:$S$3006,资金台帐!$J$7:$J$3006,$B47,资金台帐!$P$7:$P$3006,"应收",资金台帐!$B$7:$B$3006,"&gt;="&amp;年初日,资金台帐!$B$7:$B$3006,"&lt;"&amp;$B$21))</f>
        <v>0</v>
      </c>
      <c r="D47" s="186">
        <f>IF($B47="","",SUMIFS(出库明细!$G$4:$G$3003,出库明细!$C$4:$C$3003,$B47,出库明细!$B$4:$B$3003,"&gt;="&amp;$B$21,出库明细!$B$4:$B$3003,"&lt;="&amp;$D$21))</f>
        <v>27490</v>
      </c>
      <c r="E47" s="186">
        <f>IF($B47="","",SUMIFS(资金台帐!$S$7:$S$3006,资金台帐!$J$7:$J$3006,$B47,资金台帐!$P$7:$P$3006,"应收",资金台帐!$B$7:$B$3006,"&gt;="&amp;$B$21,资金台帐!$B$7:$B$3006,"&lt;="&amp;$D$21))</f>
        <v>38440</v>
      </c>
      <c r="F47" s="187">
        <f>IF($B47="","",C47+D47-E47)</f>
        <v>-10950</v>
      </c>
      <c r="G47" s="141" t="str">
        <f>IF($B47="","",IF(ROUND(F47,2)=0,"已结清",IF(F47&gt;0,"有欠款","预存款")))</f>
        <v>预存款</v>
      </c>
      <c r="H47" s="195">
        <f>IF($B47="","",_xlfn.MAXIFS(资金台帐!$B$7:$B$3006,资金台帐!$J$7:$J$3006,$B47,资金台帐!$P$7:$P$3006,"应收"))</f>
        <v>46200.0</v>
      </c>
      <c r="J47" s="194">
        <f>IF(K47="","",24)</f>
      </c>
      <c r="K47" s="141">
        <f>IF(基础资料!Q28="","",基础资料!Q28)</f>
      </c>
      <c r="L47" s="186">
        <f>IF($K47="","",N(基础资料!R28)+SUMIFS(采购进货!$G$4:$G$1503,采购进货!$C$4:$C$1503,$K47,采购进货!$B$4:$B$1503,"&gt;="&amp;年初日,采购进货!$B$4:$B$1503,"&lt;"&amp;$B$21)+SUMIFS(资金台帐!$S$7:$S$3006,资金台帐!$K$7:$K$3006,$K47,资金台帐!$P$7:$P$3006,"应付",资金台帐!$B$7:$B$3006,"&gt;="&amp;年初日,资金台帐!$B$7:$B$3006,"&lt;"&amp;$B$21))</f>
      </c>
      <c r="M47" s="186">
        <f>IF($K47="","",SUMIFS(采购进货!$G$4:$G$1503,采购进货!$C$4:$C$1503,$K47,采购进货!$B$4:$B$1503,"&gt;="&amp;$B$21,采购进货!$B$4:$B$1503,"&lt;="&amp;$D$21))</f>
      </c>
      <c r="N47" s="186">
        <f>IF($K47="","",-SUMIFS(资金台帐!$S$7:$S$3006,资金台帐!$K$7:$K$3006,$K47,资金台帐!$P$7:$P$3006,"应付",资金台帐!$B$7:$B$3006,"&gt;="&amp;$B$21,资金台帐!$B$7:$B$3006,"&lt;="&amp;$D$21))</f>
      </c>
      <c r="O47" s="187">
        <f>IF($K47="","",L47+M47-N47)</f>
      </c>
      <c r="P47" s="141">
        <f>IF($K47="","",IF(ROUND(O47,2)=0,"已结清",IF(O47&gt;0,"我方欠款","我方预付")))</f>
      </c>
      <c r="Q47" s="195">
        <f>IF($K47="","",_xlfn.MAXIFS(资金台帐!$B$7:$B$3006,资金台帐!$K$7:$K$3006,$K47,资金台帐!$P$7:$P$3006,"应付"))</f>
      </c>
    </row>
    <row r="48">
      <c r="A48" s="194">
        <f>IF(B48="","",25)</f>
        <v>25</v>
      </c>
      <c r="B48" s="141" t="str">
        <f>IF(总览汇总!B29="","",总览汇总!B29)</f>
        <v>梅窖建军批发</v>
      </c>
      <c r="C48" s="186">
        <f>IF($B48="","",N(总览汇总!K29)+SUMIFS(出库明细!$G$4:$G$3003,出库明细!$C$4:$C$3003,$B48,出库明细!$B$4:$B$3003,"&gt;="&amp;年初日,出库明细!$B$4:$B$3003,"&lt;"&amp;$B$21)-SUMIFS(资金台帐!$S$7:$S$3006,资金台帐!$J$7:$J$3006,$B48,资金台帐!$P$7:$P$3006,"应收",资金台帐!$B$7:$B$3006,"&gt;="&amp;年初日,资金台帐!$B$7:$B$3006,"&lt;"&amp;$B$21))</f>
        <v>0</v>
      </c>
      <c r="D48" s="186">
        <f>IF($B48="","",SUMIFS(出库明细!$G$4:$G$3003,出库明细!$C$4:$C$3003,$B48,出库明细!$B$4:$B$3003,"&gt;="&amp;$B$21,出库明细!$B$4:$B$3003,"&lt;="&amp;$D$21))</f>
        <v>8500</v>
      </c>
      <c r="E48" s="186">
        <f>IF($B48="","",SUMIFS(资金台帐!$S$7:$S$3006,资金台帐!$J$7:$J$3006,$B48,资金台帐!$P$7:$P$3006,"应收",资金台帐!$B$7:$B$3006,"&gt;="&amp;$B$21,资金台帐!$B$7:$B$3006,"&lt;="&amp;$D$21))</f>
        <v>11740</v>
      </c>
      <c r="F48" s="187">
        <f>IF($B48="","",C48+D48-E48)</f>
        <v>-3240</v>
      </c>
      <c r="G48" s="141" t="str">
        <f>IF($B48="","",IF(ROUND(F48,2)=0,"已结清",IF(F48&gt;0,"有欠款","预存款")))</f>
        <v>预存款</v>
      </c>
      <c r="H48" s="195">
        <f>IF($B48="","",_xlfn.MAXIFS(资金台帐!$B$7:$B$3006,资金台帐!$J$7:$J$3006,$B48,资金台帐!$P$7:$P$3006,"应收"))</f>
        <v>46200.0</v>
      </c>
      <c r="J48" s="194">
        <f>IF(K48="","",25)</f>
      </c>
      <c r="K48" s="141">
        <f>IF(基础资料!Q29="","",基础资料!Q29)</f>
      </c>
      <c r="L48" s="186">
        <f>IF($K48="","",N(基础资料!R29)+SUMIFS(采购进货!$G$4:$G$1503,采购进货!$C$4:$C$1503,$K48,采购进货!$B$4:$B$1503,"&gt;="&amp;年初日,采购进货!$B$4:$B$1503,"&lt;"&amp;$B$21)+SUMIFS(资金台帐!$S$7:$S$3006,资金台帐!$K$7:$K$3006,$K48,资金台帐!$P$7:$P$3006,"应付",资金台帐!$B$7:$B$3006,"&gt;="&amp;年初日,资金台帐!$B$7:$B$3006,"&lt;"&amp;$B$21))</f>
      </c>
      <c r="M48" s="186">
        <f>IF($K48="","",SUMIFS(采购进货!$G$4:$G$1503,采购进货!$C$4:$C$1503,$K48,采购进货!$B$4:$B$1503,"&gt;="&amp;$B$21,采购进货!$B$4:$B$1503,"&lt;="&amp;$D$21))</f>
      </c>
      <c r="N48" s="186">
        <f>IF($K48="","",-SUMIFS(资金台帐!$S$7:$S$3006,资金台帐!$K$7:$K$3006,$K48,资金台帐!$P$7:$P$3006,"应付",资金台帐!$B$7:$B$3006,"&gt;="&amp;$B$21,资金台帐!$B$7:$B$3006,"&lt;="&amp;$D$21))</f>
      </c>
      <c r="O48" s="187">
        <f>IF($K48="","",L48+M48-N48)</f>
      </c>
      <c r="P48" s="141">
        <f>IF($K48="","",IF(ROUND(O48,2)=0,"已结清",IF(O48&gt;0,"我方欠款","我方预付")))</f>
      </c>
      <c r="Q48" s="195">
        <f>IF($K48="","",_xlfn.MAXIFS(资金台帐!$B$7:$B$3006,资金台帐!$K$7:$K$3006,$K48,资金台帐!$P$7:$P$3006,"应付"))</f>
      </c>
    </row>
    <row r="49">
      <c r="A49" s="194">
        <f>IF(B49="","",26)</f>
        <v>26</v>
      </c>
      <c r="B49" s="141" t="str">
        <f>IF(总览汇总!B30="","",总览汇总!B30)</f>
        <v>高兴美宜佳</v>
      </c>
      <c r="C49" s="186">
        <f>IF($B49="","",N(总览汇总!K30)+SUMIFS(出库明细!$G$4:$G$3003,出库明细!$C$4:$C$3003,$B49,出库明细!$B$4:$B$3003,"&gt;="&amp;年初日,出库明细!$B$4:$B$3003,"&lt;"&amp;$B$21)-SUMIFS(资金台帐!$S$7:$S$3006,资金台帐!$J$7:$J$3006,$B49,资金台帐!$P$7:$P$3006,"应收",资金台帐!$B$7:$B$3006,"&gt;="&amp;年初日,资金台帐!$B$7:$B$3006,"&lt;"&amp;$B$21))</f>
        <v>0</v>
      </c>
      <c r="D49" s="186">
        <f>IF($B49="","",SUMIFS(出库明细!$G$4:$G$3003,出库明细!$C$4:$C$3003,$B49,出库明细!$B$4:$B$3003,"&gt;="&amp;$B$21,出库明细!$B$4:$B$3003,"&lt;="&amp;$D$21))</f>
        <v>9000</v>
      </c>
      <c r="E49" s="186">
        <f>IF($B49="","",SUMIFS(资金台帐!$S$7:$S$3006,资金台帐!$J$7:$J$3006,$B49,资金台帐!$P$7:$P$3006,"应收",资金台帐!$B$7:$B$3006,"&gt;="&amp;$B$21,资金台帐!$B$7:$B$3006,"&lt;="&amp;$D$21))</f>
        <v>9704</v>
      </c>
      <c r="F49" s="187">
        <f>IF($B49="","",C49+D49-E49)</f>
        <v>-704</v>
      </c>
      <c r="G49" s="141" t="str">
        <f>IF($B49="","",IF(ROUND(F49,2)=0,"已结清",IF(F49&gt;0,"有欠款","预存款")))</f>
        <v>预存款</v>
      </c>
      <c r="H49" s="195">
        <f>IF($B49="","",_xlfn.MAXIFS(资金台帐!$B$7:$B$3006,资金台帐!$J$7:$J$3006,$B49,资金台帐!$P$7:$P$3006,"应收"))</f>
        <v>46220.0</v>
      </c>
      <c r="J49" s="194">
        <f>IF(K49="","",26)</f>
      </c>
      <c r="K49" s="141">
        <f>IF(基础资料!Q30="","",基础资料!Q30)</f>
      </c>
      <c r="L49" s="186">
        <f>IF($K49="","",N(基础资料!R30)+SUMIFS(采购进货!$G$4:$G$1503,采购进货!$C$4:$C$1503,$K49,采购进货!$B$4:$B$1503,"&gt;="&amp;年初日,采购进货!$B$4:$B$1503,"&lt;"&amp;$B$21)+SUMIFS(资金台帐!$S$7:$S$3006,资金台帐!$K$7:$K$3006,$K49,资金台帐!$P$7:$P$3006,"应付",资金台帐!$B$7:$B$3006,"&gt;="&amp;年初日,资金台帐!$B$7:$B$3006,"&lt;"&amp;$B$21))</f>
      </c>
      <c r="M49" s="186">
        <f>IF($K49="","",SUMIFS(采购进货!$G$4:$G$1503,采购进货!$C$4:$C$1503,$K49,采购进货!$B$4:$B$1503,"&gt;="&amp;$B$21,采购进货!$B$4:$B$1503,"&lt;="&amp;$D$21))</f>
      </c>
      <c r="N49" s="186">
        <f>IF($K49="","",-SUMIFS(资金台帐!$S$7:$S$3006,资金台帐!$K$7:$K$3006,$K49,资金台帐!$P$7:$P$3006,"应付",资金台帐!$B$7:$B$3006,"&gt;="&amp;$B$21,资金台帐!$B$7:$B$3006,"&lt;="&amp;$D$21))</f>
      </c>
      <c r="O49" s="187">
        <f>IF($K49="","",L49+M49-N49)</f>
      </c>
      <c r="P49" s="141">
        <f>IF($K49="","",IF(ROUND(O49,2)=0,"已结清",IF(O49&gt;0,"我方欠款","我方预付")))</f>
      </c>
      <c r="Q49" s="195">
        <f>IF($K49="","",_xlfn.MAXIFS(资金台帐!$B$7:$B$3006,资金台帐!$K$7:$K$3006,$K49,资金台帐!$P$7:$P$3006,"应付"))</f>
      </c>
    </row>
    <row r="50">
      <c r="A50" s="194">
        <f>IF(B50="","",27)</f>
        <v>27</v>
      </c>
      <c r="B50" s="141" t="str">
        <f>IF(总览汇总!B31="","",总览汇总!B31)</f>
        <v>永丰焦溪兰兰副食</v>
      </c>
      <c r="C50" s="186">
        <f>IF($B50="","",N(总览汇总!K31)+SUMIFS(出库明细!$G$4:$G$3003,出库明细!$C$4:$C$3003,$B50,出库明细!$B$4:$B$3003,"&gt;="&amp;年初日,出库明细!$B$4:$B$3003,"&lt;"&amp;$B$21)-SUMIFS(资金台帐!$S$7:$S$3006,资金台帐!$J$7:$J$3006,$B50,资金台帐!$P$7:$P$3006,"应收",资金台帐!$B$7:$B$3006,"&gt;="&amp;年初日,资金台帐!$B$7:$B$3006,"&lt;"&amp;$B$21))</f>
        <v>0</v>
      </c>
      <c r="D50" s="186">
        <f>IF($B50="","",SUMIFS(出库明细!$G$4:$G$3003,出库明细!$C$4:$C$3003,$B50,出库明细!$B$4:$B$3003,"&gt;="&amp;$B$21,出库明细!$B$4:$B$3003,"&lt;="&amp;$D$21))</f>
        <v>738</v>
      </c>
      <c r="E50" s="186">
        <f>IF($B50="","",SUMIFS(资金台帐!$S$7:$S$3006,资金台帐!$J$7:$J$3006,$B50,资金台帐!$P$7:$P$3006,"应收",资金台帐!$B$7:$B$3006,"&gt;="&amp;$B$21,资金台帐!$B$7:$B$3006,"&lt;="&amp;$D$21))</f>
        <v>3244</v>
      </c>
      <c r="F50" s="187">
        <f>IF($B50="","",C50+D50-E50)</f>
        <v>-2506</v>
      </c>
      <c r="G50" s="141" t="str">
        <f>IF($B50="","",IF(ROUND(F50,2)=0,"已结清",IF(F50&gt;0,"有欠款","预存款")))</f>
        <v>预存款</v>
      </c>
      <c r="H50" s="195">
        <f>IF($B50="","",_xlfn.MAXIFS(资金台帐!$B$7:$B$3006,资金台帐!$J$7:$J$3006,$B50,资金台帐!$P$7:$P$3006,"应收"))</f>
        <v>46200.0</v>
      </c>
      <c r="J50" s="194">
        <f>IF(K50="","",27)</f>
      </c>
      <c r="K50" s="141">
        <f>IF(基础资料!Q31="","",基础资料!Q31)</f>
      </c>
      <c r="L50" s="186">
        <f>IF($K50="","",N(基础资料!R31)+SUMIFS(采购进货!$G$4:$G$1503,采购进货!$C$4:$C$1503,$K50,采购进货!$B$4:$B$1503,"&gt;="&amp;年初日,采购进货!$B$4:$B$1503,"&lt;"&amp;$B$21)+SUMIFS(资金台帐!$S$7:$S$3006,资金台帐!$K$7:$K$3006,$K50,资金台帐!$P$7:$P$3006,"应付",资金台帐!$B$7:$B$3006,"&gt;="&amp;年初日,资金台帐!$B$7:$B$3006,"&lt;"&amp;$B$21))</f>
      </c>
      <c r="M50" s="186">
        <f>IF($K50="","",SUMIFS(采购进货!$G$4:$G$1503,采购进货!$C$4:$C$1503,$K50,采购进货!$B$4:$B$1503,"&gt;="&amp;$B$21,采购进货!$B$4:$B$1503,"&lt;="&amp;$D$21))</f>
      </c>
      <c r="N50" s="186">
        <f>IF($K50="","",-SUMIFS(资金台帐!$S$7:$S$3006,资金台帐!$K$7:$K$3006,$K50,资金台帐!$P$7:$P$3006,"应付",资金台帐!$B$7:$B$3006,"&gt;="&amp;$B$21,资金台帐!$B$7:$B$3006,"&lt;="&amp;$D$21))</f>
      </c>
      <c r="O50" s="187">
        <f>IF($K50="","",L50+M50-N50)</f>
      </c>
      <c r="P50" s="141">
        <f>IF($K50="","",IF(ROUND(O50,2)=0,"已结清",IF(O50&gt;0,"我方欠款","我方预付")))</f>
      </c>
      <c r="Q50" s="195">
        <f>IF($K50="","",_xlfn.MAXIFS(资金台帐!$B$7:$B$3006,资金台帐!$K$7:$K$3006,$K50,资金台帐!$P$7:$P$3006,"应付"))</f>
      </c>
    </row>
    <row r="51">
      <c r="A51" s="194">
        <f>IF(B51="","",28)</f>
        <v>28</v>
      </c>
      <c r="B51" s="141" t="str">
        <f>IF(总览汇总!B32="","",总览汇总!B32)</f>
        <v>高兴枫树平价超市</v>
      </c>
      <c r="C51" s="186">
        <f>IF($B51="","",N(总览汇总!K32)+SUMIFS(出库明细!$G$4:$G$3003,出库明细!$C$4:$C$3003,$B51,出库明细!$B$4:$B$3003,"&gt;="&amp;年初日,出库明细!$B$4:$B$3003,"&lt;"&amp;$B$21)-SUMIFS(资金台帐!$S$7:$S$3006,资金台帐!$J$7:$J$3006,$B51,资金台帐!$P$7:$P$3006,"应收",资金台帐!$B$7:$B$3006,"&gt;="&amp;年初日,资金台帐!$B$7:$B$3006,"&lt;"&amp;$B$21))</f>
        <v>0</v>
      </c>
      <c r="D51" s="186">
        <f>IF($B51="","",SUMIFS(出库明细!$G$4:$G$3003,出库明细!$C$4:$C$3003,$B51,出库明细!$B$4:$B$3003,"&gt;="&amp;$B$21,出库明细!$B$4:$B$3003,"&lt;="&amp;$D$21))</f>
        <v>1126</v>
      </c>
      <c r="E51" s="186">
        <f>IF($B51="","",SUMIFS(资金台帐!$S$7:$S$3006,资金台帐!$J$7:$J$3006,$B51,资金台帐!$P$7:$P$3006,"应收",资金台帐!$B$7:$B$3006,"&gt;="&amp;$B$21,资金台帐!$B$7:$B$3006,"&lt;="&amp;$D$21))</f>
        <v>1126</v>
      </c>
      <c r="F51" s="187">
        <f>IF($B51="","",C51+D51-E51)</f>
        <v>0</v>
      </c>
      <c r="G51" s="141" t="str">
        <f>IF($B51="","",IF(ROUND(F51,2)=0,"已结清",IF(F51&gt;0,"有欠款","预存款")))</f>
        <v>已结清</v>
      </c>
      <c r="H51" s="195">
        <f>IF($B51="","",_xlfn.MAXIFS(资金台帐!$B$7:$B$3006,资金台帐!$J$7:$J$3006,$B51,资金台帐!$P$7:$P$3006,"应收"))</f>
        <v>46200.0</v>
      </c>
      <c r="J51" s="194">
        <f>IF(K51="","",28)</f>
      </c>
      <c r="K51" s="141">
        <f>IF(基础资料!Q32="","",基础资料!Q32)</f>
      </c>
      <c r="L51" s="186">
        <f>IF($K51="","",N(基础资料!R32)+SUMIFS(采购进货!$G$4:$G$1503,采购进货!$C$4:$C$1503,$K51,采购进货!$B$4:$B$1503,"&gt;="&amp;年初日,采购进货!$B$4:$B$1503,"&lt;"&amp;$B$21)+SUMIFS(资金台帐!$S$7:$S$3006,资金台帐!$K$7:$K$3006,$K51,资金台帐!$P$7:$P$3006,"应付",资金台帐!$B$7:$B$3006,"&gt;="&amp;年初日,资金台帐!$B$7:$B$3006,"&lt;"&amp;$B$21))</f>
      </c>
      <c r="M51" s="186">
        <f>IF($K51="","",SUMIFS(采购进货!$G$4:$G$1503,采购进货!$C$4:$C$1503,$K51,采购进货!$B$4:$B$1503,"&gt;="&amp;$B$21,采购进货!$B$4:$B$1503,"&lt;="&amp;$D$21))</f>
      </c>
      <c r="N51" s="186">
        <f>IF($K51="","",-SUMIFS(资金台帐!$S$7:$S$3006,资金台帐!$K$7:$K$3006,$K51,资金台帐!$P$7:$P$3006,"应付",资金台帐!$B$7:$B$3006,"&gt;="&amp;$B$21,资金台帐!$B$7:$B$3006,"&lt;="&amp;$D$21))</f>
      </c>
      <c r="O51" s="187">
        <f>IF($K51="","",L51+M51-N51)</f>
      </c>
      <c r="P51" s="141">
        <f>IF($K51="","",IF(ROUND(O51,2)=0,"已结清",IF(O51&gt;0,"我方欠款","我方预付")))</f>
      </c>
      <c r="Q51" s="195">
        <f>IF($K51="","",_xlfn.MAXIFS(资金台帐!$B$7:$B$3006,资金台帐!$K$7:$K$3006,$K51,资金台帐!$P$7:$P$3006,"应付"))</f>
      </c>
    </row>
    <row r="52">
      <c r="A52" s="194">
        <f>IF(B52="","",29)</f>
        <v>29</v>
      </c>
      <c r="B52" s="141" t="str">
        <f>IF(总览汇总!B33="","",总览汇总!B33)</f>
        <v>鼎龙众家乐超市</v>
      </c>
      <c r="C52" s="186">
        <f>IF($B52="","",N(总览汇总!K33)+SUMIFS(出库明细!$G$4:$G$3003,出库明细!$C$4:$C$3003,$B52,出库明细!$B$4:$B$3003,"&gt;="&amp;年初日,出库明细!$B$4:$B$3003,"&lt;"&amp;$B$21)-SUMIFS(资金台帐!$S$7:$S$3006,资金台帐!$J$7:$J$3006,$B52,资金台帐!$P$7:$P$3006,"应收",资金台帐!$B$7:$B$3006,"&gt;="&amp;年初日,资金台帐!$B$7:$B$3006,"&lt;"&amp;$B$21))</f>
        <v>0</v>
      </c>
      <c r="D52" s="186">
        <f>IF($B52="","",SUMIFS(出库明细!$G$4:$G$3003,出库明细!$C$4:$C$3003,$B52,出库明细!$B$4:$B$3003,"&gt;="&amp;$B$21,出库明细!$B$4:$B$3003,"&lt;="&amp;$D$21))</f>
        <v>0</v>
      </c>
      <c r="E52" s="186">
        <f>IF($B52="","",SUMIFS(资金台帐!$S$7:$S$3006,资金台帐!$J$7:$J$3006,$B52,资金台帐!$P$7:$P$3006,"应收",资金台帐!$B$7:$B$3006,"&gt;="&amp;$B$21,资金台帐!$B$7:$B$3006,"&lt;="&amp;$D$21))</f>
        <v>2182</v>
      </c>
      <c r="F52" s="187">
        <f>IF($B52="","",C52+D52-E52)</f>
        <v>-2182</v>
      </c>
      <c r="G52" s="141" t="str">
        <f>IF($B52="","",IF(ROUND(F52,2)=0,"已结清",IF(F52&gt;0,"有欠款","预存款")))</f>
        <v>预存款</v>
      </c>
      <c r="H52" s="195">
        <f>IF($B52="","",_xlfn.MAXIFS(资金台帐!$B$7:$B$3006,资金台帐!$J$7:$J$3006,$B52,资金台帐!$P$7:$P$3006,"应收"))</f>
        <v>46200.0</v>
      </c>
      <c r="J52" s="194">
        <f>IF(K52="","",29)</f>
      </c>
      <c r="K52" s="141">
        <f>IF(基础资料!Q33="","",基础资料!Q33)</f>
      </c>
      <c r="L52" s="186">
        <f>IF($K52="","",N(基础资料!R33)+SUMIFS(采购进货!$G$4:$G$1503,采购进货!$C$4:$C$1503,$K52,采购进货!$B$4:$B$1503,"&gt;="&amp;年初日,采购进货!$B$4:$B$1503,"&lt;"&amp;$B$21)+SUMIFS(资金台帐!$S$7:$S$3006,资金台帐!$K$7:$K$3006,$K52,资金台帐!$P$7:$P$3006,"应付",资金台帐!$B$7:$B$3006,"&gt;="&amp;年初日,资金台帐!$B$7:$B$3006,"&lt;"&amp;$B$21))</f>
      </c>
      <c r="M52" s="186">
        <f>IF($K52="","",SUMIFS(采购进货!$G$4:$G$1503,采购进货!$C$4:$C$1503,$K52,采购进货!$B$4:$B$1503,"&gt;="&amp;$B$21,采购进货!$B$4:$B$1503,"&lt;="&amp;$D$21))</f>
      </c>
      <c r="N52" s="186">
        <f>IF($K52="","",-SUMIFS(资金台帐!$S$7:$S$3006,资金台帐!$K$7:$K$3006,$K52,资金台帐!$P$7:$P$3006,"应付",资金台帐!$B$7:$B$3006,"&gt;="&amp;$B$21,资金台帐!$B$7:$B$3006,"&lt;="&amp;$D$21))</f>
      </c>
      <c r="O52" s="187">
        <f>IF($K52="","",L52+M52-N52)</f>
      </c>
      <c r="P52" s="141">
        <f>IF($K52="","",IF(ROUND(O52,2)=0,"已结清",IF(O52&gt;0,"我方欠款","我方预付")))</f>
      </c>
      <c r="Q52" s="195">
        <f>IF($K52="","",_xlfn.MAXIFS(资金台帐!$B$7:$B$3006,资金台帐!$K$7:$K$3006,$K52,资金台帐!$P$7:$P$3006,"应付"))</f>
      </c>
    </row>
    <row r="53">
      <c r="A53" s="194">
        <f>IF(B53="","",30)</f>
        <v>30</v>
      </c>
      <c r="B53" s="141" t="str">
        <f>IF(总览汇总!B34="","",总览汇总!B34)</f>
        <v>洪门兴诚超市</v>
      </c>
      <c r="C53" s="186">
        <f>IF($B53="","",N(总览汇总!K34)+SUMIFS(出库明细!$G$4:$G$3003,出库明细!$C$4:$C$3003,$B53,出库明细!$B$4:$B$3003,"&gt;="&amp;年初日,出库明细!$B$4:$B$3003,"&lt;"&amp;$B$21)-SUMIFS(资金台帐!$S$7:$S$3006,资金台帐!$J$7:$J$3006,$B53,资金台帐!$P$7:$P$3006,"应收",资金台帐!$B$7:$B$3006,"&gt;="&amp;年初日,资金台帐!$B$7:$B$3006,"&lt;"&amp;$B$21))</f>
        <v>0</v>
      </c>
      <c r="D53" s="186">
        <f>IF($B53="","",SUMIFS(出库明细!$G$4:$G$3003,出库明细!$C$4:$C$3003,$B53,出库明细!$B$4:$B$3003,"&gt;="&amp;$B$21,出库明细!$B$4:$B$3003,"&lt;="&amp;$D$21))</f>
        <v>32186.5</v>
      </c>
      <c r="E53" s="186">
        <f>IF($B53="","",SUMIFS(资金台帐!$S$7:$S$3006,资金台帐!$J$7:$J$3006,$B53,资金台帐!$P$7:$P$3006,"应收",资金台帐!$B$7:$B$3006,"&gt;="&amp;$B$21,资金台帐!$B$7:$B$3006,"&lt;="&amp;$D$21))</f>
        <v>53100</v>
      </c>
      <c r="F53" s="187">
        <f>IF($B53="","",C53+D53-E53)</f>
        <v>-20913.5</v>
      </c>
      <c r="G53" s="141" t="str">
        <f>IF($B53="","",IF(ROUND(F53,2)=0,"已结清",IF(F53&gt;0,"有欠款","预存款")))</f>
        <v>预存款</v>
      </c>
      <c r="H53" s="195">
        <f>IF($B53="","",_xlfn.MAXIFS(资金台帐!$B$7:$B$3006,资金台帐!$J$7:$J$3006,$B53,资金台帐!$P$7:$P$3006,"应收"))</f>
        <v>46252.0</v>
      </c>
      <c r="J53" s="194">
        <f>IF(K53="","",30)</f>
      </c>
      <c r="K53" s="141">
        <f>IF(基础资料!Q34="","",基础资料!Q34)</f>
      </c>
      <c r="L53" s="186">
        <f>IF($K53="","",N(基础资料!R34)+SUMIFS(采购进货!$G$4:$G$1503,采购进货!$C$4:$C$1503,$K53,采购进货!$B$4:$B$1503,"&gt;="&amp;年初日,采购进货!$B$4:$B$1503,"&lt;"&amp;$B$21)+SUMIFS(资金台帐!$S$7:$S$3006,资金台帐!$K$7:$K$3006,$K53,资金台帐!$P$7:$P$3006,"应付",资金台帐!$B$7:$B$3006,"&gt;="&amp;年初日,资金台帐!$B$7:$B$3006,"&lt;"&amp;$B$21))</f>
      </c>
      <c r="M53" s="186">
        <f>IF($K53="","",SUMIFS(采购进货!$G$4:$G$1503,采购进货!$C$4:$C$1503,$K53,采购进货!$B$4:$B$1503,"&gt;="&amp;$B$21,采购进货!$B$4:$B$1503,"&lt;="&amp;$D$21))</f>
      </c>
      <c r="N53" s="186">
        <f>IF($K53="","",-SUMIFS(资金台帐!$S$7:$S$3006,资金台帐!$K$7:$K$3006,$K53,资金台帐!$P$7:$P$3006,"应付",资金台帐!$B$7:$B$3006,"&gt;="&amp;$B$21,资金台帐!$B$7:$B$3006,"&lt;="&amp;$D$21))</f>
      </c>
      <c r="O53" s="187">
        <f>IF($K53="","",L53+M53-N53)</f>
      </c>
      <c r="P53" s="141">
        <f>IF($K53="","",IF(ROUND(O53,2)=0,"已结清",IF(O53&gt;0,"我方欠款","我方预付")))</f>
      </c>
      <c r="Q53" s="195">
        <f>IF($K53="","",_xlfn.MAXIFS(资金台帐!$B$7:$B$3006,资金台帐!$K$7:$K$3006,$K53,资金台帐!$P$7:$P$3006,"应付"))</f>
      </c>
    </row>
    <row r="54">
      <c r="A54" s="194">
        <f>IF(B54="","",31)</f>
        <v>31</v>
      </c>
      <c r="B54" s="141" t="str">
        <f>IF(总览汇总!B35="","",总览汇总!B35)</f>
        <v>兴江吴辉明</v>
      </c>
      <c r="C54" s="186">
        <f>IF($B54="","",N(总览汇总!K35)+SUMIFS(出库明细!$G$4:$G$3003,出库明细!$C$4:$C$3003,$B54,出库明细!$B$4:$B$3003,"&gt;="&amp;年初日,出库明细!$B$4:$B$3003,"&lt;"&amp;$B$21)-SUMIFS(资金台帐!$S$7:$S$3006,资金台帐!$J$7:$J$3006,$B54,资金台帐!$P$7:$P$3006,"应收",资金台帐!$B$7:$B$3006,"&gt;="&amp;年初日,资金台帐!$B$7:$B$3006,"&lt;"&amp;$B$21))</f>
        <v>0</v>
      </c>
      <c r="D54" s="186">
        <f>IF($B54="","",SUMIFS(出库明细!$G$4:$G$3003,出库明细!$C$4:$C$3003,$B54,出库明细!$B$4:$B$3003,"&gt;="&amp;$B$21,出库明细!$B$4:$B$3003,"&lt;="&amp;$D$21))</f>
        <v>0</v>
      </c>
      <c r="E54" s="186">
        <f>IF($B54="","",SUMIFS(资金台帐!$S$7:$S$3006,资金台帐!$J$7:$J$3006,$B54,资金台帐!$P$7:$P$3006,"应收",资金台帐!$B$7:$B$3006,"&gt;="&amp;$B$21,资金台帐!$B$7:$B$3006,"&lt;="&amp;$D$21))</f>
        <v>21135</v>
      </c>
      <c r="F54" s="187">
        <f>IF($B54="","",C54+D54-E54)</f>
        <v>-21135</v>
      </c>
      <c r="G54" s="141" t="str">
        <f>IF($B54="","",IF(ROUND(F54,2)=0,"已结清",IF(F54&gt;0,"有欠款","预存款")))</f>
        <v>预存款</v>
      </c>
      <c r="H54" s="195">
        <f>IF($B54="","",_xlfn.MAXIFS(资金台帐!$B$7:$B$3006,资金台帐!$J$7:$J$3006,$B54,资金台帐!$P$7:$P$3006,"应收"))</f>
        <v>46202.0</v>
      </c>
      <c r="J54" s="194">
        <f>IF(K54="","",31)</f>
      </c>
      <c r="K54" s="141">
        <f>IF(基础资料!Q35="","",基础资料!Q35)</f>
      </c>
      <c r="L54" s="186">
        <f>IF($K54="","",N(基础资料!R35)+SUMIFS(采购进货!$G$4:$G$1503,采购进货!$C$4:$C$1503,$K54,采购进货!$B$4:$B$1503,"&gt;="&amp;年初日,采购进货!$B$4:$B$1503,"&lt;"&amp;$B$21)+SUMIFS(资金台帐!$S$7:$S$3006,资金台帐!$K$7:$K$3006,$K54,资金台帐!$P$7:$P$3006,"应付",资金台帐!$B$7:$B$3006,"&gt;="&amp;年初日,资金台帐!$B$7:$B$3006,"&lt;"&amp;$B$21))</f>
      </c>
      <c r="M54" s="186">
        <f>IF($K54="","",SUMIFS(采购进货!$G$4:$G$1503,采购进货!$C$4:$C$1503,$K54,采购进货!$B$4:$B$1503,"&gt;="&amp;$B$21,采购进货!$B$4:$B$1503,"&lt;="&amp;$D$21))</f>
      </c>
      <c r="N54" s="186">
        <f>IF($K54="","",-SUMIFS(资金台帐!$S$7:$S$3006,资金台帐!$K$7:$K$3006,$K54,资金台帐!$P$7:$P$3006,"应付",资金台帐!$B$7:$B$3006,"&gt;="&amp;$B$21,资金台帐!$B$7:$B$3006,"&lt;="&amp;$D$21))</f>
      </c>
      <c r="O54" s="187">
        <f>IF($K54="","",L54+M54-N54)</f>
      </c>
      <c r="P54" s="141">
        <f>IF($K54="","",IF(ROUND(O54,2)=0,"已结清",IF(O54&gt;0,"我方欠款","我方预付")))</f>
      </c>
      <c r="Q54" s="195">
        <f>IF($K54="","",_xlfn.MAXIFS(资金台帐!$B$7:$B$3006,资金台帐!$K$7:$K$3006,$K54,资金台帐!$P$7:$P$3006,"应付"))</f>
      </c>
    </row>
    <row r="55">
      <c r="A55" s="194">
        <f>IF(B55="","",32)</f>
        <v>32</v>
      </c>
      <c r="B55" s="141" t="str">
        <f>IF(总览汇总!B36="","",总览汇总!B36)</f>
        <v>和睦公园百顺</v>
      </c>
      <c r="C55" s="186">
        <f>IF($B55="","",N(总览汇总!K36)+SUMIFS(出库明细!$G$4:$G$3003,出库明细!$C$4:$C$3003,$B55,出库明细!$B$4:$B$3003,"&gt;="&amp;年初日,出库明细!$B$4:$B$3003,"&lt;"&amp;$B$21)-SUMIFS(资金台帐!$S$7:$S$3006,资金台帐!$J$7:$J$3006,$B55,资金台帐!$P$7:$P$3006,"应收",资金台帐!$B$7:$B$3006,"&gt;="&amp;年初日,资金台帐!$B$7:$B$3006,"&lt;"&amp;$B$21))</f>
        <v>0</v>
      </c>
      <c r="D55" s="186">
        <f>IF($B55="","",SUMIFS(出库明细!$G$4:$G$3003,出库明细!$C$4:$C$3003,$B55,出库明细!$B$4:$B$3003,"&gt;="&amp;$B$21,出库明细!$B$4:$B$3003,"&lt;="&amp;$D$21))</f>
        <v>39049</v>
      </c>
      <c r="E55" s="186">
        <f>IF($B55="","",SUMIFS(资金台帐!$S$7:$S$3006,资金台帐!$J$7:$J$3006,$B55,资金台帐!$P$7:$P$3006,"应收",资金台帐!$B$7:$B$3006,"&gt;="&amp;$B$21,资金台帐!$B$7:$B$3006,"&lt;="&amp;$D$21))</f>
        <v>38705</v>
      </c>
      <c r="F55" s="187">
        <f>IF($B55="","",C55+D55-E55)</f>
        <v>344</v>
      </c>
      <c r="G55" s="141" t="str">
        <f>IF($B55="","",IF(ROUND(F55,2)=0,"已结清",IF(F55&gt;0,"有欠款","预存款")))</f>
        <v>有欠款</v>
      </c>
      <c r="H55" s="195">
        <f>IF($B55="","",_xlfn.MAXIFS(资金台帐!$B$7:$B$3006,资金台帐!$J$7:$J$3006,$B55,资金台帐!$P$7:$P$3006,"应收"))</f>
        <v>46230.0</v>
      </c>
      <c r="J55" s="194">
        <f>IF(K55="","",32)</f>
      </c>
      <c r="K55" s="141">
        <f>IF(基础资料!Q36="","",基础资料!Q36)</f>
      </c>
      <c r="L55" s="186">
        <f>IF($K55="","",N(基础资料!R36)+SUMIFS(采购进货!$G$4:$G$1503,采购进货!$C$4:$C$1503,$K55,采购进货!$B$4:$B$1503,"&gt;="&amp;年初日,采购进货!$B$4:$B$1503,"&lt;"&amp;$B$21)+SUMIFS(资金台帐!$S$7:$S$3006,资金台帐!$K$7:$K$3006,$K55,资金台帐!$P$7:$P$3006,"应付",资金台帐!$B$7:$B$3006,"&gt;="&amp;年初日,资金台帐!$B$7:$B$3006,"&lt;"&amp;$B$21))</f>
      </c>
      <c r="M55" s="186">
        <f>IF($K55="","",SUMIFS(采购进货!$G$4:$G$1503,采购进货!$C$4:$C$1503,$K55,采购进货!$B$4:$B$1503,"&gt;="&amp;$B$21,采购进货!$B$4:$B$1503,"&lt;="&amp;$D$21))</f>
      </c>
      <c r="N55" s="186">
        <f>IF($K55="","",-SUMIFS(资金台帐!$S$7:$S$3006,资金台帐!$K$7:$K$3006,$K55,资金台帐!$P$7:$P$3006,"应付",资金台帐!$B$7:$B$3006,"&gt;="&amp;$B$21,资金台帐!$B$7:$B$3006,"&lt;="&amp;$D$21))</f>
      </c>
      <c r="O55" s="187">
        <f>IF($K55="","",L55+M55-N55)</f>
      </c>
      <c r="P55" s="141">
        <f>IF($K55="","",IF(ROUND(O55,2)=0,"已结清",IF(O55&gt;0,"我方欠款","我方预付")))</f>
      </c>
      <c r="Q55" s="195">
        <f>IF($K55="","",_xlfn.MAXIFS(资金台帐!$B$7:$B$3006,资金台帐!$K$7:$K$3006,$K55,资金台帐!$P$7:$P$3006,"应付"))</f>
      </c>
    </row>
    <row r="56">
      <c r="A56" s="194">
        <f>IF(B56="","",33)</f>
        <v>33</v>
      </c>
      <c r="B56" s="141" t="str">
        <f>IF(总览汇总!B37="","",总览汇总!B37)</f>
        <v>福旺家优购</v>
      </c>
      <c r="C56" s="186">
        <f>IF($B56="","",N(总览汇总!K37)+SUMIFS(出库明细!$G$4:$G$3003,出库明细!$C$4:$C$3003,$B56,出库明细!$B$4:$B$3003,"&gt;="&amp;年初日,出库明细!$B$4:$B$3003,"&lt;"&amp;$B$21)-SUMIFS(资金台帐!$S$7:$S$3006,资金台帐!$J$7:$J$3006,$B56,资金台帐!$P$7:$P$3006,"应收",资金台帐!$B$7:$B$3006,"&gt;="&amp;年初日,资金台帐!$B$7:$B$3006,"&lt;"&amp;$B$21))</f>
        <v>0</v>
      </c>
      <c r="D56" s="186">
        <f>IF($B56="","",SUMIFS(出库明细!$G$4:$G$3003,出库明细!$C$4:$C$3003,$B56,出库明细!$B$4:$B$3003,"&gt;="&amp;$B$21,出库明细!$B$4:$B$3003,"&lt;="&amp;$D$21))</f>
        <v>14037</v>
      </c>
      <c r="E56" s="186">
        <f>IF($B56="","",SUMIFS(资金台帐!$S$7:$S$3006,资金台帐!$J$7:$J$3006,$B56,资金台帐!$P$7:$P$3006,"应收",资金台帐!$B$7:$B$3006,"&gt;="&amp;$B$21,资金台帐!$B$7:$B$3006,"&lt;="&amp;$D$21))</f>
        <v>27220</v>
      </c>
      <c r="F56" s="187">
        <f>IF($B56="","",C56+D56-E56)</f>
        <v>-13183</v>
      </c>
      <c r="G56" s="141" t="str">
        <f>IF($B56="","",IF(ROUND(F56,2)=0,"已结清",IF(F56&gt;0,"有欠款","预存款")))</f>
        <v>预存款</v>
      </c>
      <c r="H56" s="195">
        <f>IF($B56="","",_xlfn.MAXIFS(资金台帐!$B$7:$B$3006,资金台帐!$J$7:$J$3006,$B56,资金台帐!$P$7:$P$3006,"应收"))</f>
        <v>46219.0</v>
      </c>
      <c r="J56" s="194">
        <f>IF(K56="","",33)</f>
      </c>
      <c r="K56" s="141">
        <f>IF(基础资料!Q37="","",基础资料!Q37)</f>
      </c>
      <c r="L56" s="186">
        <f>IF($K56="","",N(基础资料!R37)+SUMIFS(采购进货!$G$4:$G$1503,采购进货!$C$4:$C$1503,$K56,采购进货!$B$4:$B$1503,"&gt;="&amp;年初日,采购进货!$B$4:$B$1503,"&lt;"&amp;$B$21)+SUMIFS(资金台帐!$S$7:$S$3006,资金台帐!$K$7:$K$3006,$K56,资金台帐!$P$7:$P$3006,"应付",资金台帐!$B$7:$B$3006,"&gt;="&amp;年初日,资金台帐!$B$7:$B$3006,"&lt;"&amp;$B$21))</f>
      </c>
      <c r="M56" s="186">
        <f>IF($K56="","",SUMIFS(采购进货!$G$4:$G$1503,采购进货!$C$4:$C$1503,$K56,采购进货!$B$4:$B$1503,"&gt;="&amp;$B$21,采购进货!$B$4:$B$1503,"&lt;="&amp;$D$21))</f>
      </c>
      <c r="N56" s="186">
        <f>IF($K56="","",-SUMIFS(资金台帐!$S$7:$S$3006,资金台帐!$K$7:$K$3006,$K56,资金台帐!$P$7:$P$3006,"应付",资金台帐!$B$7:$B$3006,"&gt;="&amp;$B$21,资金台帐!$B$7:$B$3006,"&lt;="&amp;$D$21))</f>
      </c>
      <c r="O56" s="187">
        <f>IF($K56="","",L56+M56-N56)</f>
      </c>
      <c r="P56" s="141">
        <f>IF($K56="","",IF(ROUND(O56,2)=0,"已结清",IF(O56&gt;0,"我方欠款","我方预付")))</f>
      </c>
      <c r="Q56" s="195">
        <f>IF($K56="","",_xlfn.MAXIFS(资金台帐!$B$7:$B$3006,资金台帐!$K$7:$K$3006,$K56,资金台帐!$P$7:$P$3006,"应付"))</f>
      </c>
    </row>
    <row r="57">
      <c r="A57" s="194">
        <f>IF(B57="","",34)</f>
        <v>34</v>
      </c>
      <c r="B57" s="141" t="str">
        <f>IF(总览汇总!B38="","",总览汇总!B38)</f>
        <v>红军路怡品折扣店</v>
      </c>
      <c r="C57" s="186">
        <f>IF($B57="","",N(总览汇总!K38)+SUMIFS(出库明细!$G$4:$G$3003,出库明细!$C$4:$C$3003,$B57,出库明细!$B$4:$B$3003,"&gt;="&amp;年初日,出库明细!$B$4:$B$3003,"&lt;"&amp;$B$21)-SUMIFS(资金台帐!$S$7:$S$3006,资金台帐!$J$7:$J$3006,$B57,资金台帐!$P$7:$P$3006,"应收",资金台帐!$B$7:$B$3006,"&gt;="&amp;年初日,资金台帐!$B$7:$B$3006,"&lt;"&amp;$B$21))</f>
        <v>0</v>
      </c>
      <c r="D57" s="186">
        <f>IF($B57="","",SUMIFS(出库明细!$G$4:$G$3003,出库明细!$C$4:$C$3003,$B57,出库明细!$B$4:$B$3003,"&gt;="&amp;$B$21,出库明细!$B$4:$B$3003,"&lt;="&amp;$D$21))</f>
        <v>5400</v>
      </c>
      <c r="E57" s="186">
        <f>IF($B57="","",SUMIFS(资金台帐!$S$7:$S$3006,资金台帐!$J$7:$J$3006,$B57,资金台帐!$P$7:$P$3006,"应收",资金台帐!$B$7:$B$3006,"&gt;="&amp;$B$21,资金台帐!$B$7:$B$3006,"&lt;="&amp;$D$21))</f>
        <v>5400</v>
      </c>
      <c r="F57" s="187">
        <f>IF($B57="","",C57+D57-E57)</f>
        <v>0</v>
      </c>
      <c r="G57" s="141" t="str">
        <f>IF($B57="","",IF(ROUND(F57,2)=0,"已结清",IF(F57&gt;0,"有欠款","预存款")))</f>
        <v>已结清</v>
      </c>
      <c r="H57" s="195">
        <f>IF($B57="","",_xlfn.MAXIFS(资金台帐!$B$7:$B$3006,资金台帐!$J$7:$J$3006,$B57,资金台帐!$P$7:$P$3006,"应收"))</f>
        <v>46204.0</v>
      </c>
      <c r="J57" s="194">
        <f>IF(K57="","",34)</f>
      </c>
      <c r="K57" s="141">
        <f>IF(基础资料!Q38="","",基础资料!Q38)</f>
      </c>
      <c r="L57" s="186">
        <f>IF($K57="","",N(基础资料!R38)+SUMIFS(采购进货!$G$4:$G$1503,采购进货!$C$4:$C$1503,$K57,采购进货!$B$4:$B$1503,"&gt;="&amp;年初日,采购进货!$B$4:$B$1503,"&lt;"&amp;$B$21)+SUMIFS(资金台帐!$S$7:$S$3006,资金台帐!$K$7:$K$3006,$K57,资金台帐!$P$7:$P$3006,"应付",资金台帐!$B$7:$B$3006,"&gt;="&amp;年初日,资金台帐!$B$7:$B$3006,"&lt;"&amp;$B$21))</f>
      </c>
      <c r="M57" s="186">
        <f>IF($K57="","",SUMIFS(采购进货!$G$4:$G$1503,采购进货!$C$4:$C$1503,$K57,采购进货!$B$4:$B$1503,"&gt;="&amp;$B$21,采购进货!$B$4:$B$1503,"&lt;="&amp;$D$21))</f>
      </c>
      <c r="N57" s="186">
        <f>IF($K57="","",-SUMIFS(资金台帐!$S$7:$S$3006,资金台帐!$K$7:$K$3006,$K57,资金台帐!$P$7:$P$3006,"应付",资金台帐!$B$7:$B$3006,"&gt;="&amp;$B$21,资金台帐!$B$7:$B$3006,"&lt;="&amp;$D$21))</f>
      </c>
      <c r="O57" s="187">
        <f>IF($K57="","",L57+M57-N57)</f>
      </c>
      <c r="P57" s="141">
        <f>IF($K57="","",IF(ROUND(O57,2)=0,"已结清",IF(O57&gt;0,"我方欠款","我方预付")))</f>
      </c>
      <c r="Q57" s="195">
        <f>IF($K57="","",_xlfn.MAXIFS(资金台帐!$B$7:$B$3006,资金台帐!$K$7:$K$3006,$K57,资金台帐!$P$7:$P$3006,"应付"))</f>
      </c>
    </row>
    <row r="58">
      <c r="A58" s="194">
        <f>IF(B58="","",35)</f>
        <v>35</v>
      </c>
      <c r="B58" s="141" t="str">
        <f>IF(总览汇总!B39="","",总览汇总!B39)</f>
        <v>贸易广场老吴副食</v>
      </c>
      <c r="C58" s="186">
        <f>IF($B58="","",N(总览汇总!K39)+SUMIFS(出库明细!$G$4:$G$3003,出库明细!$C$4:$C$3003,$B58,出库明细!$B$4:$B$3003,"&gt;="&amp;年初日,出库明细!$B$4:$B$3003,"&lt;"&amp;$B$21)-SUMIFS(资金台帐!$S$7:$S$3006,资金台帐!$J$7:$J$3006,$B58,资金台帐!$P$7:$P$3006,"应收",资金台帐!$B$7:$B$3006,"&gt;="&amp;年初日,资金台帐!$B$7:$B$3006,"&lt;"&amp;$B$21))</f>
        <v>0</v>
      </c>
      <c r="D58" s="186">
        <f>IF($B58="","",SUMIFS(出库明细!$G$4:$G$3003,出库明细!$C$4:$C$3003,$B58,出库明细!$B$4:$B$3003,"&gt;="&amp;$B$21,出库明细!$B$4:$B$3003,"&lt;="&amp;$D$21))</f>
        <v>35527</v>
      </c>
      <c r="E58" s="186">
        <f>IF($B58="","",SUMIFS(资金台帐!$S$7:$S$3006,资金台帐!$J$7:$J$3006,$B58,资金台帐!$P$7:$P$3006,"应收",资金台帐!$B$7:$B$3006,"&gt;="&amp;$B$21,资金台帐!$B$7:$B$3006,"&lt;="&amp;$D$21))</f>
        <v>34500</v>
      </c>
      <c r="F58" s="187">
        <f>IF($B58="","",C58+D58-E58)</f>
        <v>1027</v>
      </c>
      <c r="G58" s="141" t="str">
        <f>IF($B58="","",IF(ROUND(F58,2)=0,"已结清",IF(F58&gt;0,"有欠款","预存款")))</f>
        <v>有欠款</v>
      </c>
      <c r="H58" s="195">
        <f>IF($B58="","",_xlfn.MAXIFS(资金台帐!$B$7:$B$3006,资金台帐!$J$7:$J$3006,$B58,资金台帐!$P$7:$P$3006,"应收"))</f>
        <v>46254.0</v>
      </c>
      <c r="J58" s="194">
        <f>IF(K58="","",35)</f>
      </c>
      <c r="K58" s="141">
        <f>IF(基础资料!Q39="","",基础资料!Q39)</f>
      </c>
      <c r="L58" s="186">
        <f>IF($K58="","",N(基础资料!R39)+SUMIFS(采购进货!$G$4:$G$1503,采购进货!$C$4:$C$1503,$K58,采购进货!$B$4:$B$1503,"&gt;="&amp;年初日,采购进货!$B$4:$B$1503,"&lt;"&amp;$B$21)+SUMIFS(资金台帐!$S$7:$S$3006,资金台帐!$K$7:$K$3006,$K58,资金台帐!$P$7:$P$3006,"应付",资金台帐!$B$7:$B$3006,"&gt;="&amp;年初日,资金台帐!$B$7:$B$3006,"&lt;"&amp;$B$21))</f>
      </c>
      <c r="M58" s="186">
        <f>IF($K58="","",SUMIFS(采购进货!$G$4:$G$1503,采购进货!$C$4:$C$1503,$K58,采购进货!$B$4:$B$1503,"&gt;="&amp;$B$21,采购进货!$B$4:$B$1503,"&lt;="&amp;$D$21))</f>
      </c>
      <c r="N58" s="186">
        <f>IF($K58="","",-SUMIFS(资金台帐!$S$7:$S$3006,资金台帐!$K$7:$K$3006,$K58,资金台帐!$P$7:$P$3006,"应付",资金台帐!$B$7:$B$3006,"&gt;="&amp;$B$21,资金台帐!$B$7:$B$3006,"&lt;="&amp;$D$21))</f>
      </c>
      <c r="O58" s="187">
        <f>IF($K58="","",L58+M58-N58)</f>
      </c>
      <c r="P58" s="141">
        <f>IF($K58="","",IF(ROUND(O58,2)=0,"已结清",IF(O58&gt;0,"我方欠款","我方预付")))</f>
      </c>
      <c r="Q58" s="195">
        <f>IF($K58="","",_xlfn.MAXIFS(资金台帐!$B$7:$B$3006,资金台帐!$K$7:$K$3006,$K58,资金台帐!$P$7:$P$3006,"应付"))</f>
      </c>
    </row>
    <row r="59">
      <c r="A59" s="194">
        <f>IF(B59="","",36)</f>
        <v>36</v>
      </c>
      <c r="B59" s="141" t="str">
        <f>IF(总览汇总!B40="","",总览汇总!B40)</f>
        <v>均村桃姐水果店</v>
      </c>
      <c r="C59" s="186">
        <f>IF($B59="","",N(总览汇总!K40)+SUMIFS(出库明细!$G$4:$G$3003,出库明细!$C$4:$C$3003,$B59,出库明细!$B$4:$B$3003,"&gt;="&amp;年初日,出库明细!$B$4:$B$3003,"&lt;"&amp;$B$21)-SUMIFS(资金台帐!$S$7:$S$3006,资金台帐!$J$7:$J$3006,$B59,资金台帐!$P$7:$P$3006,"应收",资金台帐!$B$7:$B$3006,"&gt;="&amp;年初日,资金台帐!$B$7:$B$3006,"&lt;"&amp;$B$21))</f>
        <v>0</v>
      </c>
      <c r="D59" s="186">
        <f>IF($B59="","",SUMIFS(出库明细!$G$4:$G$3003,出库明细!$C$4:$C$3003,$B59,出库明细!$B$4:$B$3003,"&gt;="&amp;$B$21,出库明细!$B$4:$B$3003,"&lt;="&amp;$D$21))</f>
        <v>1934</v>
      </c>
      <c r="E59" s="186">
        <f>IF($B59="","",SUMIFS(资金台帐!$S$7:$S$3006,资金台帐!$J$7:$J$3006,$B59,资金台帐!$P$7:$P$3006,"应收",资金台帐!$B$7:$B$3006,"&gt;="&amp;$B$21,资金台帐!$B$7:$B$3006,"&lt;="&amp;$D$21))</f>
        <v>2325</v>
      </c>
      <c r="F59" s="187">
        <f>IF($B59="","",C59+D59-E59)</f>
        <v>-391</v>
      </c>
      <c r="G59" s="141" t="str">
        <f>IF($B59="","",IF(ROUND(F59,2)=0,"已结清",IF(F59&gt;0,"有欠款","预存款")))</f>
        <v>预存款</v>
      </c>
      <c r="H59" s="195">
        <f>IF($B59="","",_xlfn.MAXIFS(资金台帐!$B$7:$B$3006,资金台帐!$J$7:$J$3006,$B59,资金台帐!$P$7:$P$3006,"应收"))</f>
        <v>46207.0</v>
      </c>
      <c r="J59" s="194">
        <f>IF(K59="","",36)</f>
      </c>
      <c r="K59" s="141">
        <f>IF(基础资料!Q40="","",基础资料!Q40)</f>
      </c>
      <c r="L59" s="186">
        <f>IF($K59="","",N(基础资料!R40)+SUMIFS(采购进货!$G$4:$G$1503,采购进货!$C$4:$C$1503,$K59,采购进货!$B$4:$B$1503,"&gt;="&amp;年初日,采购进货!$B$4:$B$1503,"&lt;"&amp;$B$21)+SUMIFS(资金台帐!$S$7:$S$3006,资金台帐!$K$7:$K$3006,$K59,资金台帐!$P$7:$P$3006,"应付",资金台帐!$B$7:$B$3006,"&gt;="&amp;年初日,资金台帐!$B$7:$B$3006,"&lt;"&amp;$B$21))</f>
      </c>
      <c r="M59" s="186">
        <f>IF($K59="","",SUMIFS(采购进货!$G$4:$G$1503,采购进货!$C$4:$C$1503,$K59,采购进货!$B$4:$B$1503,"&gt;="&amp;$B$21,采购进货!$B$4:$B$1503,"&lt;="&amp;$D$21))</f>
      </c>
      <c r="N59" s="186">
        <f>IF($K59="","",-SUMIFS(资金台帐!$S$7:$S$3006,资金台帐!$K$7:$K$3006,$K59,资金台帐!$P$7:$P$3006,"应付",资金台帐!$B$7:$B$3006,"&gt;="&amp;$B$21,资金台帐!$B$7:$B$3006,"&lt;="&amp;$D$21))</f>
      </c>
      <c r="O59" s="187">
        <f>IF($K59="","",L59+M59-N59)</f>
      </c>
      <c r="P59" s="141">
        <f>IF($K59="","",IF(ROUND(O59,2)=0,"已结清",IF(O59&gt;0,"我方欠款","我方预付")))</f>
      </c>
      <c r="Q59" s="195">
        <f>IF($K59="","",_xlfn.MAXIFS(资金台帐!$B$7:$B$3006,资金台帐!$K$7:$K$3006,$K59,资金台帐!$P$7:$P$3006,"应付"))</f>
      </c>
    </row>
    <row r="60">
      <c r="A60" s="194">
        <f>IF(B60="","",37)</f>
        <v>37</v>
      </c>
      <c r="B60" s="141" t="str">
        <f>IF(总览汇总!B41="","",总览汇总!B41)</f>
        <v>小梅商行</v>
      </c>
      <c r="C60" s="186">
        <f>IF($B60="","",N(总览汇总!K41)+SUMIFS(出库明细!$G$4:$G$3003,出库明细!$C$4:$C$3003,$B60,出库明细!$B$4:$B$3003,"&gt;="&amp;年初日,出库明细!$B$4:$B$3003,"&lt;"&amp;$B$21)-SUMIFS(资金台帐!$S$7:$S$3006,资金台帐!$J$7:$J$3006,$B60,资金台帐!$P$7:$P$3006,"应收",资金台帐!$B$7:$B$3006,"&gt;="&amp;年初日,资金台帐!$B$7:$B$3006,"&lt;"&amp;$B$21))</f>
        <v>0</v>
      </c>
      <c r="D60" s="186">
        <f>IF($B60="","",SUMIFS(出库明细!$G$4:$G$3003,出库明细!$C$4:$C$3003,$B60,出库明细!$B$4:$B$3003,"&gt;="&amp;$B$21,出库明细!$B$4:$B$3003,"&lt;="&amp;$D$21))</f>
        <v>157715</v>
      </c>
      <c r="E60" s="186">
        <f>IF($B60="","",SUMIFS(资金台帐!$S$7:$S$3006,资金台帐!$J$7:$J$3006,$B60,资金台帐!$P$7:$P$3006,"应收",资金台帐!$B$7:$B$3006,"&gt;="&amp;$B$21,资金台帐!$B$7:$B$3006,"&lt;="&amp;$D$21))</f>
        <v>440000</v>
      </c>
      <c r="F60" s="187">
        <f>IF($B60="","",C60+D60-E60)</f>
        <v>-282285</v>
      </c>
      <c r="G60" s="141" t="str">
        <f>IF($B60="","",IF(ROUND(F60,2)=0,"已结清",IF(F60&gt;0,"有欠款","预存款")))</f>
        <v>预存款</v>
      </c>
      <c r="H60" s="195">
        <f>IF($B60="","",_xlfn.MAXIFS(资金台帐!$B$7:$B$3006,资金台帐!$J$7:$J$3006,$B60,资金台帐!$P$7:$P$3006,"应收"))</f>
        <v>46256.0</v>
      </c>
      <c r="J60" s="194">
        <f>IF(K60="","",37)</f>
      </c>
      <c r="K60" s="141">
        <f>IF(基础资料!Q41="","",基础资料!Q41)</f>
      </c>
      <c r="L60" s="186">
        <f>IF($K60="","",N(基础资料!R41)+SUMIFS(采购进货!$G$4:$G$1503,采购进货!$C$4:$C$1503,$K60,采购进货!$B$4:$B$1503,"&gt;="&amp;年初日,采购进货!$B$4:$B$1503,"&lt;"&amp;$B$21)+SUMIFS(资金台帐!$S$7:$S$3006,资金台帐!$K$7:$K$3006,$K60,资金台帐!$P$7:$P$3006,"应付",资金台帐!$B$7:$B$3006,"&gt;="&amp;年初日,资金台帐!$B$7:$B$3006,"&lt;"&amp;$B$21))</f>
      </c>
      <c r="M60" s="186">
        <f>IF($K60="","",SUMIFS(采购进货!$G$4:$G$1503,采购进货!$C$4:$C$1503,$K60,采购进货!$B$4:$B$1503,"&gt;="&amp;$B$21,采购进货!$B$4:$B$1503,"&lt;="&amp;$D$21))</f>
      </c>
      <c r="N60" s="186">
        <f>IF($K60="","",-SUMIFS(资金台帐!$S$7:$S$3006,资金台帐!$K$7:$K$3006,$K60,资金台帐!$P$7:$P$3006,"应付",资金台帐!$B$7:$B$3006,"&gt;="&amp;$B$21,资金台帐!$B$7:$B$3006,"&lt;="&amp;$D$21))</f>
      </c>
      <c r="O60" s="187">
        <f>IF($K60="","",L60+M60-N60)</f>
      </c>
      <c r="P60" s="141">
        <f>IF($K60="","",IF(ROUND(O60,2)=0,"已结清",IF(O60&gt;0,"我方欠款","我方预付")))</f>
      </c>
      <c r="Q60" s="195">
        <f>IF($K60="","",_xlfn.MAXIFS(资金台帐!$B$7:$B$3006,资金台帐!$K$7:$K$3006,$K60,资金台帐!$P$7:$P$3006,"应付"))</f>
      </c>
    </row>
    <row r="61">
      <c r="A61" s="194">
        <f>IF(B61="","",38)</f>
        <v>38</v>
      </c>
      <c r="B61" s="141" t="str">
        <f>IF(总览汇总!B42="","",总览汇总!B42)</f>
        <v>崇贤三角超市</v>
      </c>
      <c r="C61" s="186">
        <f>IF($B61="","",N(总览汇总!K42)+SUMIFS(出库明细!$G$4:$G$3003,出库明细!$C$4:$C$3003,$B61,出库明细!$B$4:$B$3003,"&gt;="&amp;年初日,出库明细!$B$4:$B$3003,"&lt;"&amp;$B$21)-SUMIFS(资金台帐!$S$7:$S$3006,资金台帐!$J$7:$J$3006,$B61,资金台帐!$P$7:$P$3006,"应收",资金台帐!$B$7:$B$3006,"&gt;="&amp;年初日,资金台帐!$B$7:$B$3006,"&lt;"&amp;$B$21))</f>
        <v>0</v>
      </c>
      <c r="D61" s="186">
        <f>IF($B61="","",SUMIFS(出库明细!$G$4:$G$3003,出库明细!$C$4:$C$3003,$B61,出库明细!$B$4:$B$3003,"&gt;="&amp;$B$21,出库明细!$B$4:$B$3003,"&lt;="&amp;$D$21))</f>
        <v>2955</v>
      </c>
      <c r="E61" s="186">
        <f>IF($B61="","",SUMIFS(资金台帐!$S$7:$S$3006,资金台帐!$J$7:$J$3006,$B61,资金台帐!$P$7:$P$3006,"应收",资金台帐!$B$7:$B$3006,"&gt;="&amp;$B$21,资金台帐!$B$7:$B$3006,"&lt;="&amp;$D$21))</f>
        <v>2955</v>
      </c>
      <c r="F61" s="187">
        <f>IF($B61="","",C61+D61-E61)</f>
        <v>0</v>
      </c>
      <c r="G61" s="141" t="str">
        <f>IF($B61="","",IF(ROUND(F61,2)=0,"已结清",IF(F61&gt;0,"有欠款","预存款")))</f>
        <v>已结清</v>
      </c>
      <c r="H61" s="195">
        <f>IF($B61="","",_xlfn.MAXIFS(资金台帐!$B$7:$B$3006,资金台帐!$J$7:$J$3006,$B61,资金台帐!$P$7:$P$3006,"应收"))</f>
        <v>46215.0</v>
      </c>
      <c r="J61" s="194">
        <f>IF(K61="","",38)</f>
      </c>
      <c r="K61" s="141">
        <f>IF(基础资料!Q42="","",基础资料!Q42)</f>
      </c>
      <c r="L61" s="186">
        <f>IF($K61="","",N(基础资料!R42)+SUMIFS(采购进货!$G$4:$G$1503,采购进货!$C$4:$C$1503,$K61,采购进货!$B$4:$B$1503,"&gt;="&amp;年初日,采购进货!$B$4:$B$1503,"&lt;"&amp;$B$21)+SUMIFS(资金台帐!$S$7:$S$3006,资金台帐!$K$7:$K$3006,$K61,资金台帐!$P$7:$P$3006,"应付",资金台帐!$B$7:$B$3006,"&gt;="&amp;年初日,资金台帐!$B$7:$B$3006,"&lt;"&amp;$B$21))</f>
      </c>
      <c r="M61" s="186">
        <f>IF($K61="","",SUMIFS(采购进货!$G$4:$G$1503,采购进货!$C$4:$C$1503,$K61,采购进货!$B$4:$B$1503,"&gt;="&amp;$B$21,采购进货!$B$4:$B$1503,"&lt;="&amp;$D$21))</f>
      </c>
      <c r="N61" s="186">
        <f>IF($K61="","",-SUMIFS(资金台帐!$S$7:$S$3006,资金台帐!$K$7:$K$3006,$K61,资金台帐!$P$7:$P$3006,"应付",资金台帐!$B$7:$B$3006,"&gt;="&amp;$B$21,资金台帐!$B$7:$B$3006,"&lt;="&amp;$D$21))</f>
      </c>
      <c r="O61" s="187">
        <f>IF($K61="","",L61+M61-N61)</f>
      </c>
      <c r="P61" s="141">
        <f>IF($K61="","",IF(ROUND(O61,2)=0,"已结清",IF(O61&gt;0,"我方欠款","我方预付")))</f>
      </c>
      <c r="Q61" s="195">
        <f>IF($K61="","",_xlfn.MAXIFS(资金台帐!$B$7:$B$3006,资金台帐!$K$7:$K$3006,$K61,资金台帐!$P$7:$P$3006,"应付"))</f>
      </c>
    </row>
    <row r="62">
      <c r="A62" s="194">
        <f>IF(B62="","",39)</f>
        <v>39</v>
      </c>
      <c r="B62" s="141" t="str">
        <f>IF(总览汇总!B43="","",总览汇总!B43)</f>
        <v>财源批发</v>
      </c>
      <c r="C62" s="186">
        <f>IF($B62="","",N(总览汇总!K43)+SUMIFS(出库明细!$G$4:$G$3003,出库明细!$C$4:$C$3003,$B62,出库明细!$B$4:$B$3003,"&gt;="&amp;年初日,出库明细!$B$4:$B$3003,"&lt;"&amp;$B$21)-SUMIFS(资金台帐!$S$7:$S$3006,资金台帐!$J$7:$J$3006,$B62,资金台帐!$P$7:$P$3006,"应收",资金台帐!$B$7:$B$3006,"&gt;="&amp;年初日,资金台帐!$B$7:$B$3006,"&lt;"&amp;$B$21))</f>
        <v>0</v>
      </c>
      <c r="D62" s="186">
        <f>IF($B62="","",SUMIFS(出库明细!$G$4:$G$3003,出库明细!$C$4:$C$3003,$B62,出库明细!$B$4:$B$3003,"&gt;="&amp;$B$21,出库明细!$B$4:$B$3003,"&lt;="&amp;$D$21))</f>
        <v>4500</v>
      </c>
      <c r="E62" s="186">
        <f>IF($B62="","",SUMIFS(资金台帐!$S$7:$S$3006,资金台帐!$J$7:$J$3006,$B62,资金台帐!$P$7:$P$3006,"应收",资金台帐!$B$7:$B$3006,"&gt;="&amp;$B$21,资金台帐!$B$7:$B$3006,"&lt;="&amp;$D$21))</f>
        <v>4500</v>
      </c>
      <c r="F62" s="187">
        <f>IF($B62="","",C62+D62-E62)</f>
        <v>0</v>
      </c>
      <c r="G62" s="141" t="str">
        <f>IF($B62="","",IF(ROUND(F62,2)=0,"已结清",IF(F62&gt;0,"有欠款","预存款")))</f>
        <v>已结清</v>
      </c>
      <c r="H62" s="195">
        <f>IF($B62="","",_xlfn.MAXIFS(资金台帐!$B$7:$B$3006,资金台帐!$J$7:$J$3006,$B62,资金台帐!$P$7:$P$3006,"应收"))</f>
        <v>46213.0</v>
      </c>
      <c r="J62" s="194">
        <f>IF(K62="","",39)</f>
      </c>
      <c r="K62" s="141">
        <f>IF(基础资料!Q43="","",基础资料!Q43)</f>
      </c>
      <c r="L62" s="186">
        <f>IF($K62="","",N(基础资料!R43)+SUMIFS(采购进货!$G$4:$G$1503,采购进货!$C$4:$C$1503,$K62,采购进货!$B$4:$B$1503,"&gt;="&amp;年初日,采购进货!$B$4:$B$1503,"&lt;"&amp;$B$21)+SUMIFS(资金台帐!$S$7:$S$3006,资金台帐!$K$7:$K$3006,$K62,资金台帐!$P$7:$P$3006,"应付",资金台帐!$B$7:$B$3006,"&gt;="&amp;年初日,资金台帐!$B$7:$B$3006,"&lt;"&amp;$B$21))</f>
      </c>
      <c r="M62" s="186">
        <f>IF($K62="","",SUMIFS(采购进货!$G$4:$G$1503,采购进货!$C$4:$C$1503,$K62,采购进货!$B$4:$B$1503,"&gt;="&amp;$B$21,采购进货!$B$4:$B$1503,"&lt;="&amp;$D$21))</f>
      </c>
      <c r="N62" s="186">
        <f>IF($K62="","",-SUMIFS(资金台帐!$S$7:$S$3006,资金台帐!$K$7:$K$3006,$K62,资金台帐!$P$7:$P$3006,"应付",资金台帐!$B$7:$B$3006,"&gt;="&amp;$B$21,资金台帐!$B$7:$B$3006,"&lt;="&amp;$D$21))</f>
      </c>
      <c r="O62" s="187">
        <f>IF($K62="","",L62+M62-N62)</f>
      </c>
      <c r="P62" s="141">
        <f>IF($K62="","",IF(ROUND(O62,2)=0,"已结清",IF(O62&gt;0,"我方欠款","我方预付")))</f>
      </c>
      <c r="Q62" s="195">
        <f>IF($K62="","",_xlfn.MAXIFS(资金台帐!$B$7:$B$3006,资金台帐!$K$7:$K$3006,$K62,资金台帐!$P$7:$P$3006,"应付"))</f>
      </c>
    </row>
    <row r="63">
      <c r="A63" s="194">
        <f>IF(B63="","",40)</f>
        <v>40</v>
      </c>
      <c r="B63" s="141" t="str">
        <f>IF(总览汇总!B44="","",总览汇总!B44)</f>
        <v>标哥副食</v>
      </c>
      <c r="C63" s="186">
        <f>IF($B63="","",N(总览汇总!K44)+SUMIFS(出库明细!$G$4:$G$3003,出库明细!$C$4:$C$3003,$B63,出库明细!$B$4:$B$3003,"&gt;="&amp;年初日,出库明细!$B$4:$B$3003,"&lt;"&amp;$B$21)-SUMIFS(资金台帐!$S$7:$S$3006,资金台帐!$J$7:$J$3006,$B63,资金台帐!$P$7:$P$3006,"应收",资金台帐!$B$7:$B$3006,"&gt;="&amp;年初日,资金台帐!$B$7:$B$3006,"&lt;"&amp;$B$21))</f>
        <v>0</v>
      </c>
      <c r="D63" s="186">
        <f>IF($B63="","",SUMIFS(出库明细!$G$4:$G$3003,出库明细!$C$4:$C$3003,$B63,出库明细!$B$4:$B$3003,"&gt;="&amp;$B$21,出库明细!$B$4:$B$3003,"&lt;="&amp;$D$21))</f>
        <v>2526.5</v>
      </c>
      <c r="E63" s="186">
        <f>IF($B63="","",SUMIFS(资金台帐!$S$7:$S$3006,资金台帐!$J$7:$J$3006,$B63,资金台帐!$P$7:$P$3006,"应收",资金台帐!$B$7:$B$3006,"&gt;="&amp;$B$21,资金台帐!$B$7:$B$3006,"&lt;="&amp;$D$21))</f>
        <v>2526.5</v>
      </c>
      <c r="F63" s="187">
        <f>IF($B63="","",C63+D63-E63)</f>
        <v>0</v>
      </c>
      <c r="G63" s="141" t="str">
        <f>IF($B63="","",IF(ROUND(F63,2)=0,"已结清",IF(F63&gt;0,"有欠款","预存款")))</f>
        <v>已结清</v>
      </c>
      <c r="H63" s="195">
        <f>IF($B63="","",_xlfn.MAXIFS(资金台帐!$B$7:$B$3006,资金台帐!$J$7:$J$3006,$B63,资金台帐!$P$7:$P$3006,"应收"))</f>
        <v>46221.0</v>
      </c>
      <c r="J63" s="194">
        <f>IF(K63="","",40)</f>
      </c>
      <c r="K63" s="141">
        <f>IF(基础资料!Q44="","",基础资料!Q44)</f>
      </c>
      <c r="L63" s="186">
        <f>IF($K63="","",N(基础资料!R44)+SUMIFS(采购进货!$G$4:$G$1503,采购进货!$C$4:$C$1503,$K63,采购进货!$B$4:$B$1503,"&gt;="&amp;年初日,采购进货!$B$4:$B$1503,"&lt;"&amp;$B$21)+SUMIFS(资金台帐!$S$7:$S$3006,资金台帐!$K$7:$K$3006,$K63,资金台帐!$P$7:$P$3006,"应付",资金台帐!$B$7:$B$3006,"&gt;="&amp;年初日,资金台帐!$B$7:$B$3006,"&lt;"&amp;$B$21))</f>
      </c>
      <c r="M63" s="186">
        <f>IF($K63="","",SUMIFS(采购进货!$G$4:$G$1503,采购进货!$C$4:$C$1503,$K63,采购进货!$B$4:$B$1503,"&gt;="&amp;$B$21,采购进货!$B$4:$B$1503,"&lt;="&amp;$D$21))</f>
      </c>
      <c r="N63" s="186">
        <f>IF($K63="","",-SUMIFS(资金台帐!$S$7:$S$3006,资金台帐!$K$7:$K$3006,$K63,资金台帐!$P$7:$P$3006,"应付",资金台帐!$B$7:$B$3006,"&gt;="&amp;$B$21,资金台帐!$B$7:$B$3006,"&lt;="&amp;$D$21))</f>
      </c>
      <c r="O63" s="187">
        <f>IF($K63="","",L63+M63-N63)</f>
      </c>
      <c r="P63" s="141">
        <f>IF($K63="","",IF(ROUND(O63,2)=0,"已结清",IF(O63&gt;0,"我方欠款","我方预付")))</f>
      </c>
      <c r="Q63" s="195">
        <f>IF($K63="","",_xlfn.MAXIFS(资金台帐!$B$7:$B$3006,资金台帐!$K$7:$K$3006,$K63,资金台帐!$P$7:$P$3006,"应付"))</f>
      </c>
    </row>
    <row r="64">
      <c r="A64" s="194">
        <f>IF(B64="","",41)</f>
        <v>41</v>
      </c>
      <c r="B64" s="141" t="str">
        <f>IF(总览汇总!B45="","",总览汇总!B45)</f>
        <v>春萌副食</v>
      </c>
      <c r="C64" s="186">
        <f>IF($B64="","",N(总览汇总!K45)+SUMIFS(出库明细!$G$4:$G$3003,出库明细!$C$4:$C$3003,$B64,出库明细!$B$4:$B$3003,"&gt;="&amp;年初日,出库明细!$B$4:$B$3003,"&lt;"&amp;$B$21)-SUMIFS(资金台帐!$S$7:$S$3006,资金台帐!$J$7:$J$3006,$B64,资金台帐!$P$7:$P$3006,"应收",资金台帐!$B$7:$B$3006,"&gt;="&amp;年初日,资金台帐!$B$7:$B$3006,"&lt;"&amp;$B$21))</f>
        <v>0</v>
      </c>
      <c r="D64" s="186">
        <f>IF($B64="","",SUMIFS(出库明细!$G$4:$G$3003,出库明细!$C$4:$C$3003,$B64,出库明细!$B$4:$B$3003,"&gt;="&amp;$B$21,出库明细!$B$4:$B$3003,"&lt;="&amp;$D$21))</f>
        <v>2325</v>
      </c>
      <c r="E64" s="186">
        <f>IF($B64="","",SUMIFS(资金台帐!$S$7:$S$3006,资金台帐!$J$7:$J$3006,$B64,资金台帐!$P$7:$P$3006,"应收",资金台帐!$B$7:$B$3006,"&gt;="&amp;$B$21,资金台帐!$B$7:$B$3006,"&lt;="&amp;$D$21))</f>
        <v>2325</v>
      </c>
      <c r="F64" s="187">
        <f>IF($B64="","",C64+D64-E64)</f>
        <v>0</v>
      </c>
      <c r="G64" s="141" t="str">
        <f>IF($B64="","",IF(ROUND(F64,2)=0,"已结清",IF(F64&gt;0,"有欠款","预存款")))</f>
        <v>已结清</v>
      </c>
      <c r="H64" s="195">
        <f>IF($B64="","",_xlfn.MAXIFS(资金台帐!$B$7:$B$3006,资金台帐!$J$7:$J$3006,$B64,资金台帐!$P$7:$P$3006,"应收"))</f>
        <v>46228.0</v>
      </c>
      <c r="J64" s="194">
        <f>IF(K64="","",41)</f>
      </c>
      <c r="K64" s="141">
        <f>IF(基础资料!Q45="","",基础资料!Q45)</f>
      </c>
      <c r="L64" s="186">
        <f>IF($K64="","",N(基础资料!R45)+SUMIFS(采购进货!$G$4:$G$1503,采购进货!$C$4:$C$1503,$K64,采购进货!$B$4:$B$1503,"&gt;="&amp;年初日,采购进货!$B$4:$B$1503,"&lt;"&amp;$B$21)+SUMIFS(资金台帐!$S$7:$S$3006,资金台帐!$K$7:$K$3006,$K64,资金台帐!$P$7:$P$3006,"应付",资金台帐!$B$7:$B$3006,"&gt;="&amp;年初日,资金台帐!$B$7:$B$3006,"&lt;"&amp;$B$21))</f>
      </c>
      <c r="M64" s="186">
        <f>IF($K64="","",SUMIFS(采购进货!$G$4:$G$1503,采购进货!$C$4:$C$1503,$K64,采购进货!$B$4:$B$1503,"&gt;="&amp;$B$21,采购进货!$B$4:$B$1503,"&lt;="&amp;$D$21))</f>
      </c>
      <c r="N64" s="186">
        <f>IF($K64="","",-SUMIFS(资金台帐!$S$7:$S$3006,资金台帐!$K$7:$K$3006,$K64,资金台帐!$P$7:$P$3006,"应付",资金台帐!$B$7:$B$3006,"&gt;="&amp;$B$21,资金台帐!$B$7:$B$3006,"&lt;="&amp;$D$21))</f>
      </c>
      <c r="O64" s="187">
        <f>IF($K64="","",L64+M64-N64)</f>
      </c>
      <c r="P64" s="141">
        <f>IF($K64="","",IF(ROUND(O64,2)=0,"已结清",IF(O64&gt;0,"我方欠款","我方预付")))</f>
      </c>
      <c r="Q64" s="195">
        <f>IF($K64="","",_xlfn.MAXIFS(资金台帐!$B$7:$B$3006,资金台帐!$K$7:$K$3006,$K64,资金台帐!$P$7:$P$3006,"应付"))</f>
      </c>
    </row>
    <row r="65">
      <c r="A65" s="194">
        <f>IF(B65="","",42)</f>
        <v>42</v>
      </c>
      <c r="B65" s="141" t="str">
        <f>IF(总览汇总!B46="","",总览汇总!B46)</f>
        <v>城西街福临门超市</v>
      </c>
      <c r="C65" s="186">
        <f>IF($B65="","",N(总览汇总!K46)+SUMIFS(出库明细!$G$4:$G$3003,出库明细!$C$4:$C$3003,$B65,出库明细!$B$4:$B$3003,"&gt;="&amp;年初日,出库明细!$B$4:$B$3003,"&lt;"&amp;$B$21)-SUMIFS(资金台帐!$S$7:$S$3006,资金台帐!$J$7:$J$3006,$B65,资金台帐!$P$7:$P$3006,"应收",资金台帐!$B$7:$B$3006,"&gt;="&amp;年初日,资金台帐!$B$7:$B$3006,"&lt;"&amp;$B$21))</f>
        <v>0</v>
      </c>
      <c r="D65" s="186">
        <f>IF($B65="","",SUMIFS(出库明细!$G$4:$G$3003,出库明细!$C$4:$C$3003,$B65,出库明细!$B$4:$B$3003,"&gt;="&amp;$B$21,出库明细!$B$4:$B$3003,"&lt;="&amp;$D$21))</f>
        <v>465</v>
      </c>
      <c r="E65" s="186">
        <f>IF($B65="","",SUMIFS(资金台帐!$S$7:$S$3006,资金台帐!$J$7:$J$3006,$B65,资金台帐!$P$7:$P$3006,"应收",资金台帐!$B$7:$B$3006,"&gt;="&amp;$B$21,资金台帐!$B$7:$B$3006,"&lt;="&amp;$D$21))</f>
        <v>2046</v>
      </c>
      <c r="F65" s="187">
        <f>IF($B65="","",C65+D65-E65)</f>
        <v>-1581</v>
      </c>
      <c r="G65" s="141" t="str">
        <f>IF($B65="","",IF(ROUND(F65,2)=0,"已结清",IF(F65&gt;0,"有欠款","预存款")))</f>
        <v>预存款</v>
      </c>
      <c r="H65" s="195">
        <f>IF($B65="","",_xlfn.MAXIFS(资金台帐!$B$7:$B$3006,资金台帐!$J$7:$J$3006,$B65,资金台帐!$P$7:$P$3006,"应收"))</f>
        <v>46227.0</v>
      </c>
      <c r="J65" s="194">
        <f>IF(K65="","",42)</f>
      </c>
      <c r="K65" s="141">
        <f>IF(基础资料!Q46="","",基础资料!Q46)</f>
      </c>
      <c r="L65" s="186">
        <f>IF($K65="","",N(基础资料!R46)+SUMIFS(采购进货!$G$4:$G$1503,采购进货!$C$4:$C$1503,$K65,采购进货!$B$4:$B$1503,"&gt;="&amp;年初日,采购进货!$B$4:$B$1503,"&lt;"&amp;$B$21)+SUMIFS(资金台帐!$S$7:$S$3006,资金台帐!$K$7:$K$3006,$K65,资金台帐!$P$7:$P$3006,"应付",资金台帐!$B$7:$B$3006,"&gt;="&amp;年初日,资金台帐!$B$7:$B$3006,"&lt;"&amp;$B$21))</f>
      </c>
      <c r="M65" s="186">
        <f>IF($K65="","",SUMIFS(采购进货!$G$4:$G$1503,采购进货!$C$4:$C$1503,$K65,采购进货!$B$4:$B$1503,"&gt;="&amp;$B$21,采购进货!$B$4:$B$1503,"&lt;="&amp;$D$21))</f>
      </c>
      <c r="N65" s="186">
        <f>IF($K65="","",-SUMIFS(资金台帐!$S$7:$S$3006,资金台帐!$K$7:$K$3006,$K65,资金台帐!$P$7:$P$3006,"应付",资金台帐!$B$7:$B$3006,"&gt;="&amp;$B$21,资金台帐!$B$7:$B$3006,"&lt;="&amp;$D$21))</f>
      </c>
      <c r="O65" s="187">
        <f>IF($K65="","",L65+M65-N65)</f>
      </c>
      <c r="P65" s="141">
        <f>IF($K65="","",IF(ROUND(O65,2)=0,"已结清",IF(O65&gt;0,"我方欠款","我方预付")))</f>
      </c>
      <c r="Q65" s="195">
        <f>IF($K65="","",_xlfn.MAXIFS(资金台帐!$B$7:$B$3006,资金台帐!$K$7:$K$3006,$K65,资金台帐!$P$7:$P$3006,"应付"))</f>
      </c>
    </row>
    <row r="66">
      <c r="A66" s="194">
        <f>IF(B66="","",43)</f>
        <v>43</v>
      </c>
      <c r="B66" s="141" t="str">
        <f>IF(总览汇总!B47="","",总览汇总!B47)</f>
        <v>滨江路莲花便利店</v>
      </c>
      <c r="C66" s="186">
        <f>IF($B66="","",N(总览汇总!K47)+SUMIFS(出库明细!$G$4:$G$3003,出库明细!$C$4:$C$3003,$B66,出库明细!$B$4:$B$3003,"&gt;="&amp;年初日,出库明细!$B$4:$B$3003,"&lt;"&amp;$B$21)-SUMIFS(资金台帐!$S$7:$S$3006,资金台帐!$J$7:$J$3006,$B66,资金台帐!$P$7:$P$3006,"应收",资金台帐!$B$7:$B$3006,"&gt;="&amp;年初日,资金台帐!$B$7:$B$3006,"&lt;"&amp;$B$21))</f>
        <v>0</v>
      </c>
      <c r="D66" s="186">
        <f>IF($B66="","",SUMIFS(出库明细!$G$4:$G$3003,出库明细!$C$4:$C$3003,$B66,出库明细!$B$4:$B$3003,"&gt;="&amp;$B$21,出库明细!$B$4:$B$3003,"&lt;="&amp;$D$21))</f>
        <v>2427</v>
      </c>
      <c r="E66" s="186">
        <f>IF($B66="","",SUMIFS(资金台帐!$S$7:$S$3006,资金台帐!$J$7:$J$3006,$B66,资金台帐!$P$7:$P$3006,"应收",资金台帐!$B$7:$B$3006,"&gt;="&amp;$B$21,资金台帐!$B$7:$B$3006,"&lt;="&amp;$D$21))</f>
        <v>1582</v>
      </c>
      <c r="F66" s="187">
        <f>IF($B66="","",C66+D66-E66)</f>
        <v>845</v>
      </c>
      <c r="G66" s="141" t="str">
        <f>IF($B66="","",IF(ROUND(F66,2)=0,"已结清",IF(F66&gt;0,"有欠款","预存款")))</f>
        <v>有欠款</v>
      </c>
      <c r="H66" s="195">
        <f>IF($B66="","",_xlfn.MAXIFS(资金台帐!$B$7:$B$3006,资金台帐!$J$7:$J$3006,$B66,资金台帐!$P$7:$P$3006,"应收"))</f>
        <v>46227.0</v>
      </c>
      <c r="J66" s="194">
        <f>IF(K66="","",43)</f>
      </c>
      <c r="K66" s="141">
        <f>IF(基础资料!Q47="","",基础资料!Q47)</f>
      </c>
      <c r="L66" s="186">
        <f>IF($K66="","",N(基础资料!R47)+SUMIFS(采购进货!$G$4:$G$1503,采购进货!$C$4:$C$1503,$K66,采购进货!$B$4:$B$1503,"&gt;="&amp;年初日,采购进货!$B$4:$B$1503,"&lt;"&amp;$B$21)+SUMIFS(资金台帐!$S$7:$S$3006,资金台帐!$K$7:$K$3006,$K66,资金台帐!$P$7:$P$3006,"应付",资金台帐!$B$7:$B$3006,"&gt;="&amp;年初日,资金台帐!$B$7:$B$3006,"&lt;"&amp;$B$21))</f>
      </c>
      <c r="M66" s="186">
        <f>IF($K66="","",SUMIFS(采购进货!$G$4:$G$1503,采购进货!$C$4:$C$1503,$K66,采购进货!$B$4:$B$1503,"&gt;="&amp;$B$21,采购进货!$B$4:$B$1503,"&lt;="&amp;$D$21))</f>
      </c>
      <c r="N66" s="186">
        <f>IF($K66="","",-SUMIFS(资金台帐!$S$7:$S$3006,资金台帐!$K$7:$K$3006,$K66,资金台帐!$P$7:$P$3006,"应付",资金台帐!$B$7:$B$3006,"&gt;="&amp;$B$21,资金台帐!$B$7:$B$3006,"&lt;="&amp;$D$21))</f>
      </c>
      <c r="O66" s="187">
        <f>IF($K66="","",L66+M66-N66)</f>
      </c>
      <c r="P66" s="141">
        <f>IF($K66="","",IF(ROUND(O66,2)=0,"已结清",IF(O66&gt;0,"我方欠款","我方预付")))</f>
      </c>
      <c r="Q66" s="195">
        <f>IF($K66="","",_xlfn.MAXIFS(资金台帐!$B$7:$B$3006,资金台帐!$K$7:$K$3006,$K66,资金台帐!$P$7:$P$3006,"应付"))</f>
      </c>
    </row>
    <row r="67">
      <c r="A67" s="194">
        <f>IF(B67="","",44)</f>
        <v>44</v>
      </c>
      <c r="B67" s="141" t="str">
        <f>IF(总览汇总!B48="","",总览汇总!B48)</f>
        <v>好帮手</v>
      </c>
      <c r="C67" s="186">
        <f>IF($B67="","",N(总览汇总!K48)+SUMIFS(出库明细!$G$4:$G$3003,出库明细!$C$4:$C$3003,$B67,出库明细!$B$4:$B$3003,"&gt;="&amp;年初日,出库明细!$B$4:$B$3003,"&lt;"&amp;$B$21)-SUMIFS(资金台帐!$S$7:$S$3006,资金台帐!$J$7:$J$3006,$B67,资金台帐!$P$7:$P$3006,"应收",资金台帐!$B$7:$B$3006,"&gt;="&amp;年初日,资金台帐!$B$7:$B$3006,"&lt;"&amp;$B$21))</f>
        <v>0</v>
      </c>
      <c r="D67" s="186">
        <f>IF($B67="","",SUMIFS(出库明细!$G$4:$G$3003,出库明细!$C$4:$C$3003,$B67,出库明细!$B$4:$B$3003,"&gt;="&amp;$B$21,出库明细!$B$4:$B$3003,"&lt;="&amp;$D$21))</f>
        <v>12327.5</v>
      </c>
      <c r="E67" s="186">
        <f>IF($B67="","",SUMIFS(资金台帐!$S$7:$S$3006,资金台帐!$J$7:$J$3006,$B67,资金台帐!$P$7:$P$3006,"应收",资金台帐!$B$7:$B$3006,"&gt;="&amp;$B$21,资金台帐!$B$7:$B$3006,"&lt;="&amp;$D$21))</f>
        <v>12327.5</v>
      </c>
      <c r="F67" s="187">
        <f>IF($B67="","",C67+D67-E67)</f>
        <v>0</v>
      </c>
      <c r="G67" s="141" t="str">
        <f>IF($B67="","",IF(ROUND(F67,2)=0,"已结清",IF(F67&gt;0,"有欠款","预存款")))</f>
        <v>已结清</v>
      </c>
      <c r="H67" s="195">
        <f>IF($B67="","",_xlfn.MAXIFS(资金台帐!$B$7:$B$3006,资金台帐!$J$7:$J$3006,$B67,资金台帐!$P$7:$P$3006,"应收"))</f>
        <v>46245.0</v>
      </c>
      <c r="J67" s="194">
        <f>IF(K67="","",44)</f>
      </c>
      <c r="K67" s="141">
        <f>IF(基础资料!Q48="","",基础资料!Q48)</f>
      </c>
      <c r="L67" s="186">
        <f>IF($K67="","",N(基础资料!R48)+SUMIFS(采购进货!$G$4:$G$1503,采购进货!$C$4:$C$1503,$K67,采购进货!$B$4:$B$1503,"&gt;="&amp;年初日,采购进货!$B$4:$B$1503,"&lt;"&amp;$B$21)+SUMIFS(资金台帐!$S$7:$S$3006,资金台帐!$K$7:$K$3006,$K67,资金台帐!$P$7:$P$3006,"应付",资金台帐!$B$7:$B$3006,"&gt;="&amp;年初日,资金台帐!$B$7:$B$3006,"&lt;"&amp;$B$21))</f>
      </c>
      <c r="M67" s="186">
        <f>IF($K67="","",SUMIFS(采购进货!$G$4:$G$1503,采购进货!$C$4:$C$1503,$K67,采购进货!$B$4:$B$1503,"&gt;="&amp;$B$21,采购进货!$B$4:$B$1503,"&lt;="&amp;$D$21))</f>
      </c>
      <c r="N67" s="186">
        <f>IF($K67="","",-SUMIFS(资金台帐!$S$7:$S$3006,资金台帐!$K$7:$K$3006,$K67,资金台帐!$P$7:$P$3006,"应付",资金台帐!$B$7:$B$3006,"&gt;="&amp;$B$21,资金台帐!$B$7:$B$3006,"&lt;="&amp;$D$21))</f>
      </c>
      <c r="O67" s="187">
        <f>IF($K67="","",L67+M67-N67)</f>
      </c>
      <c r="P67" s="141">
        <f>IF($K67="","",IF(ROUND(O67,2)=0,"已结清",IF(O67&gt;0,"我方欠款","我方预付")))</f>
      </c>
      <c r="Q67" s="195">
        <f>IF($K67="","",_xlfn.MAXIFS(资金台帐!$B$7:$B$3006,资金台帐!$K$7:$K$3006,$K67,资金台帐!$P$7:$P$3006,"应付"))</f>
      </c>
    </row>
    <row r="68">
      <c r="A68" s="194">
        <f>IF(B68="","",45)</f>
        <v>45</v>
      </c>
      <c r="B68" s="141" t="str">
        <f>IF(总览汇总!B49="","",总览汇总!B49)</f>
        <v>优生副食</v>
      </c>
      <c r="C68" s="186">
        <f>IF($B68="","",N(总览汇总!K49)+SUMIFS(出库明细!$G$4:$G$3003,出库明细!$C$4:$C$3003,$B68,出库明细!$B$4:$B$3003,"&gt;="&amp;年初日,出库明细!$B$4:$B$3003,"&lt;"&amp;$B$21)-SUMIFS(资金台帐!$S$7:$S$3006,资金台帐!$J$7:$J$3006,$B68,资金台帐!$P$7:$P$3006,"应收",资金台帐!$B$7:$B$3006,"&gt;="&amp;年初日,资金台帐!$B$7:$B$3006,"&lt;"&amp;$B$21))</f>
        <v>0</v>
      </c>
      <c r="D68" s="186">
        <f>IF($B68="","",SUMIFS(出库明细!$G$4:$G$3003,出库明细!$C$4:$C$3003,$B68,出库明细!$B$4:$B$3003,"&gt;="&amp;$B$21,出库明细!$B$4:$B$3003,"&lt;="&amp;$D$21))</f>
        <v>720</v>
      </c>
      <c r="E68" s="186">
        <f>IF($B68="","",SUMIFS(资金台帐!$S$7:$S$3006,资金台帐!$J$7:$J$3006,$B68,资金台帐!$P$7:$P$3006,"应收",资金台帐!$B$7:$B$3006,"&gt;="&amp;$B$21,资金台帐!$B$7:$B$3006,"&lt;="&amp;$D$21))</f>
        <v>0</v>
      </c>
      <c r="F68" s="187">
        <f>IF($B68="","",C68+D68-E68)</f>
        <v>720</v>
      </c>
      <c r="G68" s="141" t="str">
        <f>IF($B68="","",IF(ROUND(F68,2)=0,"已结清",IF(F68&gt;0,"有欠款","预存款")))</f>
        <v>有欠款</v>
      </c>
      <c r="H68" s="195">
        <f>IF($B68="","",_xlfn.MAXIFS(资金台帐!$B$7:$B$3006,资金台帐!$J$7:$J$3006,$B68,资金台帐!$P$7:$P$3006,"应收"))</f>
        <v>0.0</v>
      </c>
      <c r="J68" s="194">
        <f>IF(K68="","",45)</f>
      </c>
      <c r="K68" s="141">
        <f>IF(基础资料!Q49="","",基础资料!Q49)</f>
      </c>
      <c r="L68" s="186">
        <f>IF($K68="","",N(基础资料!R49)+SUMIFS(采购进货!$G$4:$G$1503,采购进货!$C$4:$C$1503,$K68,采购进货!$B$4:$B$1503,"&gt;="&amp;年初日,采购进货!$B$4:$B$1503,"&lt;"&amp;$B$21)+SUMIFS(资金台帐!$S$7:$S$3006,资金台帐!$K$7:$K$3006,$K68,资金台帐!$P$7:$P$3006,"应付",资金台帐!$B$7:$B$3006,"&gt;="&amp;年初日,资金台帐!$B$7:$B$3006,"&lt;"&amp;$B$21))</f>
      </c>
      <c r="M68" s="186">
        <f>IF($K68="","",SUMIFS(采购进货!$G$4:$G$1503,采购进货!$C$4:$C$1503,$K68,采购进货!$B$4:$B$1503,"&gt;="&amp;$B$21,采购进货!$B$4:$B$1503,"&lt;="&amp;$D$21))</f>
      </c>
      <c r="N68" s="186">
        <f>IF($K68="","",-SUMIFS(资金台帐!$S$7:$S$3006,资金台帐!$K$7:$K$3006,$K68,资金台帐!$P$7:$P$3006,"应付",资金台帐!$B$7:$B$3006,"&gt;="&amp;$B$21,资金台帐!$B$7:$B$3006,"&lt;="&amp;$D$21))</f>
      </c>
      <c r="O68" s="187">
        <f>IF($K68="","",L68+M68-N68)</f>
      </c>
      <c r="P68" s="141">
        <f>IF($K68="","",IF(ROUND(O68,2)=0,"已结清",IF(O68&gt;0,"我方欠款","我方预付")))</f>
      </c>
      <c r="Q68" s="195">
        <f>IF($K68="","",_xlfn.MAXIFS(资金台帐!$B$7:$B$3006,资金台帐!$K$7:$K$3006,$K68,资金台帐!$P$7:$P$3006,"应付"))</f>
      </c>
    </row>
    <row r="69">
      <c r="A69" s="194">
        <f>IF(B69="","",46)</f>
        <v>46</v>
      </c>
      <c r="B69" s="141" t="str">
        <f>IF(总览汇总!B50="","",总览汇总!B50)</f>
        <v>龙岗好又全超市</v>
      </c>
      <c r="C69" s="186">
        <f>IF($B69="","",N(总览汇总!K50)+SUMIFS(出库明细!$G$4:$G$3003,出库明细!$C$4:$C$3003,$B69,出库明细!$B$4:$B$3003,"&gt;="&amp;年初日,出库明细!$B$4:$B$3003,"&lt;"&amp;$B$21)-SUMIFS(资金台帐!$S$7:$S$3006,资金台帐!$J$7:$J$3006,$B69,资金台帐!$P$7:$P$3006,"应收",资金台帐!$B$7:$B$3006,"&gt;="&amp;年初日,资金台帐!$B$7:$B$3006,"&lt;"&amp;$B$21))</f>
        <v>0</v>
      </c>
      <c r="D69" s="186">
        <f>IF($B69="","",SUMIFS(出库明细!$G$4:$G$3003,出库明细!$C$4:$C$3003,$B69,出库明细!$B$4:$B$3003,"&gt;="&amp;$B$21,出库明细!$B$4:$B$3003,"&lt;="&amp;$D$21))</f>
        <v>24252</v>
      </c>
      <c r="E69" s="186">
        <f>IF($B69="","",SUMIFS(资金台帐!$S$7:$S$3006,资金台帐!$J$7:$J$3006,$B69,资金台帐!$P$7:$P$3006,"应收",资金台帐!$B$7:$B$3006,"&gt;="&amp;$B$21,资金台帐!$B$7:$B$3006,"&lt;="&amp;$D$21))</f>
        <v>152732</v>
      </c>
      <c r="F69" s="187">
        <f>IF($B69="","",C69+D69-E69)</f>
        <v>-128480</v>
      </c>
      <c r="G69" s="141" t="str">
        <f>IF($B69="","",IF(ROUND(F69,2)=0,"已结清",IF(F69&gt;0,"有欠款","预存款")))</f>
        <v>预存款</v>
      </c>
      <c r="H69" s="195">
        <f>IF($B69="","",_xlfn.MAXIFS(资金台帐!$B$7:$B$3006,资金台帐!$J$7:$J$3006,$B69,资金台帐!$P$7:$P$3006,"应收"))</f>
        <v>46243.0</v>
      </c>
      <c r="J69" s="194">
        <f>IF(K69="","",46)</f>
      </c>
      <c r="K69" s="141">
        <f>IF(基础资料!Q50="","",基础资料!Q50)</f>
      </c>
      <c r="L69" s="186">
        <f>IF($K69="","",N(基础资料!R50)+SUMIFS(采购进货!$G$4:$G$1503,采购进货!$C$4:$C$1503,$K69,采购进货!$B$4:$B$1503,"&gt;="&amp;年初日,采购进货!$B$4:$B$1503,"&lt;"&amp;$B$21)+SUMIFS(资金台帐!$S$7:$S$3006,资金台帐!$K$7:$K$3006,$K69,资金台帐!$P$7:$P$3006,"应付",资金台帐!$B$7:$B$3006,"&gt;="&amp;年初日,资金台帐!$B$7:$B$3006,"&lt;"&amp;$B$21))</f>
      </c>
      <c r="M69" s="186">
        <f>IF($K69="","",SUMIFS(采购进货!$G$4:$G$1503,采购进货!$C$4:$C$1503,$K69,采购进货!$B$4:$B$1503,"&gt;="&amp;$B$21,采购进货!$B$4:$B$1503,"&lt;="&amp;$D$21))</f>
      </c>
      <c r="N69" s="186">
        <f>IF($K69="","",-SUMIFS(资金台帐!$S$7:$S$3006,资金台帐!$K$7:$K$3006,$K69,资金台帐!$P$7:$P$3006,"应付",资金台帐!$B$7:$B$3006,"&gt;="&amp;$B$21,资金台帐!$B$7:$B$3006,"&lt;="&amp;$D$21))</f>
      </c>
      <c r="O69" s="187">
        <f>IF($K69="","",L69+M69-N69)</f>
      </c>
      <c r="P69" s="141">
        <f>IF($K69="","",IF(ROUND(O69,2)=0,"已结清",IF(O69&gt;0,"我方欠款","我方预付")))</f>
      </c>
      <c r="Q69" s="195">
        <f>IF($K69="","",_xlfn.MAXIFS(资金台帐!$B$7:$B$3006,资金台帐!$K$7:$K$3006,$K69,资金台帐!$P$7:$P$3006,"应付"))</f>
      </c>
    </row>
    <row r="70">
      <c r="A70" s="194">
        <f>IF(B70="","",47)</f>
        <v>47</v>
      </c>
      <c r="B70" s="141" t="str">
        <f>IF(总览汇总!B51="","",总览汇总!B51)</f>
        <v>友兰商行</v>
      </c>
      <c r="C70" s="186">
        <f>IF($B70="","",N(总览汇总!K51)+SUMIFS(出库明细!$G$4:$G$3003,出库明细!$C$4:$C$3003,$B70,出库明细!$B$4:$B$3003,"&gt;="&amp;年初日,出库明细!$B$4:$B$3003,"&lt;"&amp;$B$21)-SUMIFS(资金台帐!$S$7:$S$3006,资金台帐!$J$7:$J$3006,$B70,资金台帐!$P$7:$P$3006,"应收",资金台帐!$B$7:$B$3006,"&gt;="&amp;年初日,资金台帐!$B$7:$B$3006,"&lt;"&amp;$B$21))</f>
        <v>0</v>
      </c>
      <c r="D70" s="186">
        <f>IF($B70="","",SUMIFS(出库明细!$G$4:$G$3003,出库明细!$C$4:$C$3003,$B70,出库明细!$B$4:$B$3003,"&gt;="&amp;$B$21,出库明细!$B$4:$B$3003,"&lt;="&amp;$D$21))</f>
        <v>5252</v>
      </c>
      <c r="E70" s="186">
        <f>IF($B70="","",SUMIFS(资金台帐!$S$7:$S$3006,资金台帐!$J$7:$J$3006,$B70,资金台帐!$P$7:$P$3006,"应收",资金台帐!$B$7:$B$3006,"&gt;="&amp;$B$21,资金台帐!$B$7:$B$3006,"&lt;="&amp;$D$21))</f>
        <v>5252</v>
      </c>
      <c r="F70" s="187">
        <f>IF($B70="","",C70+D70-E70)</f>
        <v>0</v>
      </c>
      <c r="G70" s="141" t="str">
        <f>IF($B70="","",IF(ROUND(F70,2)=0,"已结清",IF(F70&gt;0,"有欠款","预存款")))</f>
        <v>已结清</v>
      </c>
      <c r="H70" s="195">
        <f>IF($B70="","",_xlfn.MAXIFS(资金台帐!$B$7:$B$3006,资金台帐!$J$7:$J$3006,$B70,资金台帐!$P$7:$P$3006,"应收"))</f>
        <v>46225.0</v>
      </c>
      <c r="J70" s="194">
        <f>IF(K70="","",47)</f>
      </c>
      <c r="K70" s="141">
        <f>IF(基础资料!Q51="","",基础资料!Q51)</f>
      </c>
      <c r="L70" s="186">
        <f>IF($K70="","",N(基础资料!R51)+SUMIFS(采购进货!$G$4:$G$1503,采购进货!$C$4:$C$1503,$K70,采购进货!$B$4:$B$1503,"&gt;="&amp;年初日,采购进货!$B$4:$B$1503,"&lt;"&amp;$B$21)+SUMIFS(资金台帐!$S$7:$S$3006,资金台帐!$K$7:$K$3006,$K70,资金台帐!$P$7:$P$3006,"应付",资金台帐!$B$7:$B$3006,"&gt;="&amp;年初日,资金台帐!$B$7:$B$3006,"&lt;"&amp;$B$21))</f>
      </c>
      <c r="M70" s="186">
        <f>IF($K70="","",SUMIFS(采购进货!$G$4:$G$1503,采购进货!$C$4:$C$1503,$K70,采购进货!$B$4:$B$1503,"&gt;="&amp;$B$21,采购进货!$B$4:$B$1503,"&lt;="&amp;$D$21))</f>
      </c>
      <c r="N70" s="186">
        <f>IF($K70="","",-SUMIFS(资金台帐!$S$7:$S$3006,资金台帐!$K$7:$K$3006,$K70,资金台帐!$P$7:$P$3006,"应付",资金台帐!$B$7:$B$3006,"&gt;="&amp;$B$21,资金台帐!$B$7:$B$3006,"&lt;="&amp;$D$21))</f>
      </c>
      <c r="O70" s="187">
        <f>IF($K70="","",L70+M70-N70)</f>
      </c>
      <c r="P70" s="141">
        <f>IF($K70="","",IF(ROUND(O70,2)=0,"已结清",IF(O70&gt;0,"我方欠款","我方预付")))</f>
      </c>
      <c r="Q70" s="195">
        <f>IF($K70="","",_xlfn.MAXIFS(资金台帐!$B$7:$B$3006,资金台帐!$K$7:$K$3006,$K70,资金台帐!$P$7:$P$3006,"应付"))</f>
      </c>
    </row>
    <row r="71">
      <c r="A71" s="194">
        <f>IF(B71="","",48)</f>
        <v>48</v>
      </c>
      <c r="B71" s="141" t="str">
        <f>IF(总览汇总!B52="","",总览汇总!B52)</f>
        <v>隆坪美林副食</v>
      </c>
      <c r="C71" s="186">
        <f>IF($B71="","",N(总览汇总!K52)+SUMIFS(出库明细!$G$4:$G$3003,出库明细!$C$4:$C$3003,$B71,出库明细!$B$4:$B$3003,"&gt;="&amp;年初日,出库明细!$B$4:$B$3003,"&lt;"&amp;$B$21)-SUMIFS(资金台帐!$S$7:$S$3006,资金台帐!$J$7:$J$3006,$B71,资金台帐!$P$7:$P$3006,"应收",资金台帐!$B$7:$B$3006,"&gt;="&amp;年初日,资金台帐!$B$7:$B$3006,"&lt;"&amp;$B$21))</f>
        <v>0</v>
      </c>
      <c r="D71" s="186">
        <f>IF($B71="","",SUMIFS(出库明细!$G$4:$G$3003,出库明细!$C$4:$C$3003,$B71,出库明细!$B$4:$B$3003,"&gt;="&amp;$B$21,出库明细!$B$4:$B$3003,"&lt;="&amp;$D$21))</f>
        <v>2833</v>
      </c>
      <c r="E71" s="186">
        <f>IF($B71="","",SUMIFS(资金台帐!$S$7:$S$3006,资金台帐!$J$7:$J$3006,$B71,资金台帐!$P$7:$P$3006,"应收",资金台帐!$B$7:$B$3006,"&gt;="&amp;$B$21,资金台帐!$B$7:$B$3006,"&lt;="&amp;$D$21))</f>
        <v>5386</v>
      </c>
      <c r="F71" s="187">
        <f>IF($B71="","",C71+D71-E71)</f>
        <v>-2553</v>
      </c>
      <c r="G71" s="141" t="str">
        <f>IF($B71="","",IF(ROUND(F71,2)=0,"已结清",IF(F71&gt;0,"有欠款","预存款")))</f>
        <v>预存款</v>
      </c>
      <c r="H71" s="195">
        <f>IF($B71="","",_xlfn.MAXIFS(资金台帐!$B$7:$B$3006,资金台帐!$J$7:$J$3006,$B71,资金台帐!$P$7:$P$3006,"应收"))</f>
        <v>46227.0</v>
      </c>
      <c r="J71" s="194">
        <f>IF(K71="","",48)</f>
      </c>
      <c r="K71" s="141">
        <f>IF(基础资料!Q52="","",基础资料!Q52)</f>
      </c>
      <c r="L71" s="186">
        <f>IF($K71="","",N(基础资料!R52)+SUMIFS(采购进货!$G$4:$G$1503,采购进货!$C$4:$C$1503,$K71,采购进货!$B$4:$B$1503,"&gt;="&amp;年初日,采购进货!$B$4:$B$1503,"&lt;"&amp;$B$21)+SUMIFS(资金台帐!$S$7:$S$3006,资金台帐!$K$7:$K$3006,$K71,资金台帐!$P$7:$P$3006,"应付",资金台帐!$B$7:$B$3006,"&gt;="&amp;年初日,资金台帐!$B$7:$B$3006,"&lt;"&amp;$B$21))</f>
      </c>
      <c r="M71" s="186">
        <f>IF($K71="","",SUMIFS(采购进货!$G$4:$G$1503,采购进货!$C$4:$C$1503,$K71,采购进货!$B$4:$B$1503,"&gt;="&amp;$B$21,采购进货!$B$4:$B$1503,"&lt;="&amp;$D$21))</f>
      </c>
      <c r="N71" s="186">
        <f>IF($K71="","",-SUMIFS(资金台帐!$S$7:$S$3006,资金台帐!$K$7:$K$3006,$K71,资金台帐!$P$7:$P$3006,"应付",资金台帐!$B$7:$B$3006,"&gt;="&amp;$B$21,资金台帐!$B$7:$B$3006,"&lt;="&amp;$D$21))</f>
      </c>
      <c r="O71" s="187">
        <f>IF($K71="","",L71+M71-N71)</f>
      </c>
      <c r="P71" s="141">
        <f>IF($K71="","",IF(ROUND(O71,2)=0,"已结清",IF(O71&gt;0,"我方欠款","我方预付")))</f>
      </c>
      <c r="Q71" s="195">
        <f>IF($K71="","",_xlfn.MAXIFS(资金台帐!$B$7:$B$3006,资金台帐!$K$7:$K$3006,$K71,资金台帐!$P$7:$P$3006,"应付"))</f>
      </c>
    </row>
    <row r="72">
      <c r="A72" s="194">
        <f>IF(B72="","",49)</f>
        <v>49</v>
      </c>
      <c r="B72" s="141" t="str">
        <f>IF(总览汇总!B53="","",总览汇总!B53)</f>
        <v>高兴四季春副食</v>
      </c>
      <c r="C72" s="186">
        <f>IF($B72="","",N(总览汇总!K53)+SUMIFS(出库明细!$G$4:$G$3003,出库明细!$C$4:$C$3003,$B72,出库明细!$B$4:$B$3003,"&gt;="&amp;年初日,出库明细!$B$4:$B$3003,"&lt;"&amp;$B$21)-SUMIFS(资金台帐!$S$7:$S$3006,资金台帐!$J$7:$J$3006,$B72,资金台帐!$P$7:$P$3006,"应收",资金台帐!$B$7:$B$3006,"&gt;="&amp;年初日,资金台帐!$B$7:$B$3006,"&lt;"&amp;$B$21))</f>
        <v>0</v>
      </c>
      <c r="D72" s="186">
        <f>IF($B72="","",SUMIFS(出库明细!$G$4:$G$3003,出库明细!$C$4:$C$3003,$B72,出库明细!$B$4:$B$3003,"&gt;="&amp;$B$21,出库明细!$B$4:$B$3003,"&lt;="&amp;$D$21))</f>
        <v>24180</v>
      </c>
      <c r="E72" s="186">
        <f>IF($B72="","",SUMIFS(资金台帐!$S$7:$S$3006,资金台帐!$J$7:$J$3006,$B72,资金台帐!$P$7:$P$3006,"应收",资金台帐!$B$7:$B$3006,"&gt;="&amp;$B$21,资金台帐!$B$7:$B$3006,"&lt;="&amp;$D$21))</f>
        <v>2697</v>
      </c>
      <c r="F72" s="187">
        <f>IF($B72="","",C72+D72-E72)</f>
        <v>21483</v>
      </c>
      <c r="G72" s="141" t="str">
        <f>IF($B72="","",IF(ROUND(F72,2)=0,"已结清",IF(F72&gt;0,"有欠款","预存款")))</f>
        <v>有欠款</v>
      </c>
      <c r="H72" s="195">
        <f>IF($B72="","",_xlfn.MAXIFS(资金台帐!$B$7:$B$3006,资金台帐!$J$7:$J$3006,$B72,资金台帐!$P$7:$P$3006,"应收"))</f>
        <v>46224.0</v>
      </c>
      <c r="J72" s="194">
        <f>IF(K72="","",49)</f>
      </c>
      <c r="K72" s="141">
        <f>IF(基础资料!Q53="","",基础资料!Q53)</f>
      </c>
      <c r="L72" s="186">
        <f>IF($K72="","",N(基础资料!R53)+SUMIFS(采购进货!$G$4:$G$1503,采购进货!$C$4:$C$1503,$K72,采购进货!$B$4:$B$1503,"&gt;="&amp;年初日,采购进货!$B$4:$B$1503,"&lt;"&amp;$B$21)+SUMIFS(资金台帐!$S$7:$S$3006,资金台帐!$K$7:$K$3006,$K72,资金台帐!$P$7:$P$3006,"应付",资金台帐!$B$7:$B$3006,"&gt;="&amp;年初日,资金台帐!$B$7:$B$3006,"&lt;"&amp;$B$21))</f>
      </c>
      <c r="M72" s="186">
        <f>IF($K72="","",SUMIFS(采购进货!$G$4:$G$1503,采购进货!$C$4:$C$1503,$K72,采购进货!$B$4:$B$1503,"&gt;="&amp;$B$21,采购进货!$B$4:$B$1503,"&lt;="&amp;$D$21))</f>
      </c>
      <c r="N72" s="186">
        <f>IF($K72="","",-SUMIFS(资金台帐!$S$7:$S$3006,资金台帐!$K$7:$K$3006,$K72,资金台帐!$P$7:$P$3006,"应付",资金台帐!$B$7:$B$3006,"&gt;="&amp;$B$21,资金台帐!$B$7:$B$3006,"&lt;="&amp;$D$21))</f>
      </c>
      <c r="O72" s="187">
        <f>IF($K72="","",L72+M72-N72)</f>
      </c>
      <c r="P72" s="141">
        <f>IF($K72="","",IF(ROUND(O72,2)=0,"已结清",IF(O72&gt;0,"我方欠款","我方预付")))</f>
      </c>
      <c r="Q72" s="195">
        <f>IF($K72="","",_xlfn.MAXIFS(资金台帐!$B$7:$B$3006,资金台帐!$K$7:$K$3006,$K72,资金台帐!$P$7:$P$3006,"应付"))</f>
      </c>
    </row>
    <row r="73">
      <c r="A73" s="194">
        <f>IF(B73="","",50)</f>
        <v>50</v>
      </c>
      <c r="B73" s="141" t="str">
        <f>IF(总览汇总!B54="","",总览汇总!B54)</f>
        <v>崇贤高平副食</v>
      </c>
      <c r="C73" s="186">
        <f>IF($B73="","",N(总览汇总!K54)+SUMIFS(出库明细!$G$4:$G$3003,出库明细!$C$4:$C$3003,$B73,出库明细!$B$4:$B$3003,"&gt;="&amp;年初日,出库明细!$B$4:$B$3003,"&lt;"&amp;$B$21)-SUMIFS(资金台帐!$S$7:$S$3006,资金台帐!$J$7:$J$3006,$B73,资金台帐!$P$7:$P$3006,"应收",资金台帐!$B$7:$B$3006,"&gt;="&amp;年初日,资金台帐!$B$7:$B$3006,"&lt;"&amp;$B$21))</f>
        <v>0</v>
      </c>
      <c r="D73" s="186">
        <f>IF($B73="","",SUMIFS(出库明细!$G$4:$G$3003,出库明细!$C$4:$C$3003,$B73,出库明细!$B$4:$B$3003,"&gt;="&amp;$B$21,出库明细!$B$4:$B$3003,"&lt;="&amp;$D$21))</f>
        <v>1395</v>
      </c>
      <c r="E73" s="186">
        <f>IF($B73="","",SUMIFS(资金台帐!$S$7:$S$3006,资金台帐!$J$7:$J$3006,$B73,资金台帐!$P$7:$P$3006,"应收",资金台帐!$B$7:$B$3006,"&gt;="&amp;$B$21,资金台帐!$B$7:$B$3006,"&lt;="&amp;$D$21))</f>
        <v>2325</v>
      </c>
      <c r="F73" s="187">
        <f>IF($B73="","",C73+D73-E73)</f>
        <v>-930</v>
      </c>
      <c r="G73" s="141" t="str">
        <f>IF($B73="","",IF(ROUND(F73,2)=0,"已结清",IF(F73&gt;0,"有欠款","预存款")))</f>
        <v>预存款</v>
      </c>
      <c r="H73" s="195">
        <f>IF($B73="","",_xlfn.MAXIFS(资金台帐!$B$7:$B$3006,资金台帐!$J$7:$J$3006,$B73,资金台帐!$P$7:$P$3006,"应收"))</f>
        <v>46211.0</v>
      </c>
      <c r="J73" s="194">
        <f>IF(K73="","",50)</f>
      </c>
      <c r="K73" s="141">
        <f>IF(基础资料!Q54="","",基础资料!Q54)</f>
      </c>
      <c r="L73" s="186">
        <f>IF($K73="","",N(基础资料!R54)+SUMIFS(采购进货!$G$4:$G$1503,采购进货!$C$4:$C$1503,$K73,采购进货!$B$4:$B$1503,"&gt;="&amp;年初日,采购进货!$B$4:$B$1503,"&lt;"&amp;$B$21)+SUMIFS(资金台帐!$S$7:$S$3006,资金台帐!$K$7:$K$3006,$K73,资金台帐!$P$7:$P$3006,"应付",资金台帐!$B$7:$B$3006,"&gt;="&amp;年初日,资金台帐!$B$7:$B$3006,"&lt;"&amp;$B$21))</f>
      </c>
      <c r="M73" s="186">
        <f>IF($K73="","",SUMIFS(采购进货!$G$4:$G$1503,采购进货!$C$4:$C$1503,$K73,采购进货!$B$4:$B$1503,"&gt;="&amp;$B$21,采购进货!$B$4:$B$1503,"&lt;="&amp;$D$21))</f>
      </c>
      <c r="N73" s="186">
        <f>IF($K73="","",-SUMIFS(资金台帐!$S$7:$S$3006,资金台帐!$K$7:$K$3006,$K73,资金台帐!$P$7:$P$3006,"应付",资金台帐!$B$7:$B$3006,"&gt;="&amp;$B$21,资金台帐!$B$7:$B$3006,"&lt;="&amp;$D$21))</f>
      </c>
      <c r="O73" s="187">
        <f>IF($K73="","",L73+M73-N73)</f>
      </c>
      <c r="P73" s="141">
        <f>IF($K73="","",IF(ROUND(O73,2)=0,"已结清",IF(O73&gt;0,"我方欠款","我方预付")))</f>
      </c>
      <c r="Q73" s="195">
        <f>IF($K73="","",_xlfn.MAXIFS(资金台帐!$B$7:$B$3006,资金台帐!$K$7:$K$3006,$K73,资金台帐!$P$7:$P$3006,"应付"))</f>
      </c>
    </row>
    <row r="74">
      <c r="A74" s="194">
        <f>IF(B74="","",51)</f>
        <v>51</v>
      </c>
      <c r="B74" s="141" t="str">
        <f>IF(总览汇总!B55="","",总览汇总!B55)</f>
        <v>高兴张声英</v>
      </c>
      <c r="C74" s="186">
        <f>IF($B74="","",N(总览汇总!K55)+SUMIFS(出库明细!$G$4:$G$3003,出库明细!$C$4:$C$3003,$B74,出库明细!$B$4:$B$3003,"&gt;="&amp;年初日,出库明细!$B$4:$B$3003,"&lt;"&amp;$B$21)-SUMIFS(资金台帐!$S$7:$S$3006,资金台帐!$J$7:$J$3006,$B74,资金台帐!$P$7:$P$3006,"应收",资金台帐!$B$7:$B$3006,"&gt;="&amp;年初日,资金台帐!$B$7:$B$3006,"&lt;"&amp;$B$21))</f>
        <v>0</v>
      </c>
      <c r="D74" s="186">
        <f>IF($B74="","",SUMIFS(出库明细!$G$4:$G$3003,出库明细!$C$4:$C$3003,$B74,出库明细!$B$4:$B$3003,"&gt;="&amp;$B$21,出库明细!$B$4:$B$3003,"&lt;="&amp;$D$21))</f>
        <v>0</v>
      </c>
      <c r="E74" s="186">
        <f>IF($B74="","",SUMIFS(资金台帐!$S$7:$S$3006,资金台帐!$J$7:$J$3006,$B74,资金台帐!$P$7:$P$3006,"应收",资金台帐!$B$7:$B$3006,"&gt;="&amp;$B$21,资金台帐!$B$7:$B$3006,"&lt;="&amp;$D$21))</f>
        <v>2325</v>
      </c>
      <c r="F74" s="187">
        <f>IF($B74="","",C74+D74-E74)</f>
        <v>-2325</v>
      </c>
      <c r="G74" s="141" t="str">
        <f>IF($B74="","",IF(ROUND(F74,2)=0,"已结清",IF(F74&gt;0,"有欠款","预存款")))</f>
        <v>预存款</v>
      </c>
      <c r="H74" s="195">
        <f>IF($B74="","",_xlfn.MAXIFS(资金台帐!$B$7:$B$3006,资金台帐!$J$7:$J$3006,$B74,资金台帐!$P$7:$P$3006,"应收"))</f>
        <v>46211.0</v>
      </c>
      <c r="K74" s="121" t="inlineStr">
        <is>
          <t>合计</t>
        </is>
      </c>
      <c r="L74" s="188">
        <f>SUM(L24:L73)</f>
        <v>0</v>
      </c>
      <c r="M74" s="188">
        <f>SUM(M24:M73)</f>
        <v>0</v>
      </c>
      <c r="N74" s="188">
        <f>SUM(N24:N73)</f>
        <v>0</v>
      </c>
      <c r="O74" s="188">
        <f>SUM(O24:O73)</f>
        <v>0</v>
      </c>
    </row>
    <row r="75">
      <c r="A75" s="194">
        <f>IF(B75="","",52)</f>
        <v>52</v>
      </c>
      <c r="B75" s="141" t="str">
        <f>IF(总览汇总!B56="","",总览汇总!B56)</f>
        <v>崇贤粤客隆</v>
      </c>
      <c r="C75" s="186">
        <f>IF($B75="","",N(总览汇总!K56)+SUMIFS(出库明细!$G$4:$G$3003,出库明细!$C$4:$C$3003,$B75,出库明细!$B$4:$B$3003,"&gt;="&amp;年初日,出库明细!$B$4:$B$3003,"&lt;"&amp;$B$21)-SUMIFS(资金台帐!$S$7:$S$3006,资金台帐!$J$7:$J$3006,$B75,资金台帐!$P$7:$P$3006,"应收",资金台帐!$B$7:$B$3006,"&gt;="&amp;年初日,资金台帐!$B$7:$B$3006,"&lt;"&amp;$B$21))</f>
        <v>0</v>
      </c>
      <c r="D75" s="186">
        <f>IF($B75="","",SUMIFS(出库明细!$G$4:$G$3003,出库明细!$C$4:$C$3003,$B75,出库明细!$B$4:$B$3003,"&gt;="&amp;$B$21,出库明细!$B$4:$B$3003,"&lt;="&amp;$D$21))</f>
        <v>2325</v>
      </c>
      <c r="E75" s="186">
        <f>IF($B75="","",SUMIFS(资金台帐!$S$7:$S$3006,资金台帐!$J$7:$J$3006,$B75,资金台帐!$P$7:$P$3006,"应收",资金台帐!$B$7:$B$3006,"&gt;="&amp;$B$21,资金台帐!$B$7:$B$3006,"&lt;="&amp;$D$21))</f>
        <v>2325</v>
      </c>
      <c r="F75" s="187">
        <f>IF($B75="","",C75+D75-E75)</f>
        <v>0</v>
      </c>
      <c r="G75" s="141" t="str">
        <f>IF($B75="","",IF(ROUND(F75,2)=0,"已结清",IF(F75&gt;0,"有欠款","预存款")))</f>
        <v>已结清</v>
      </c>
      <c r="H75" s="195">
        <f>IF($B75="","",_xlfn.MAXIFS(资金台帐!$B$7:$B$3006,资金台帐!$J$7:$J$3006,$B75,资金台帐!$P$7:$P$3006,"应收"))</f>
        <v>46211.0</v>
      </c>
    </row>
    <row r="76">
      <c r="A76" s="194">
        <f>IF(B76="","",53)</f>
        <v>53</v>
      </c>
      <c r="B76" s="141" t="str">
        <f>IF(总览汇总!B57="","",总览汇总!B57)</f>
        <v>火车站关新平</v>
      </c>
      <c r="C76" s="186">
        <f>IF($B76="","",N(总览汇总!K57)+SUMIFS(出库明细!$G$4:$G$3003,出库明细!$C$4:$C$3003,$B76,出库明细!$B$4:$B$3003,"&gt;="&amp;年初日,出库明细!$B$4:$B$3003,"&lt;"&amp;$B$21)-SUMIFS(资金台帐!$S$7:$S$3006,资金台帐!$J$7:$J$3006,$B76,资金台帐!$P$7:$P$3006,"应收",资金台帐!$B$7:$B$3006,"&gt;="&amp;年初日,资金台帐!$B$7:$B$3006,"&lt;"&amp;$B$21))</f>
        <v>0</v>
      </c>
      <c r="D76" s="186">
        <f>IF($B76="","",SUMIFS(出库明细!$G$4:$G$3003,出库明细!$C$4:$C$3003,$B76,出库明细!$B$4:$B$3003,"&gt;="&amp;$B$21,出库明细!$B$4:$B$3003,"&lt;="&amp;$D$21))</f>
        <v>3470</v>
      </c>
      <c r="E76" s="186">
        <f>IF($B76="","",SUMIFS(资金台帐!$S$7:$S$3006,资金台帐!$J$7:$J$3006,$B76,资金台帐!$P$7:$P$3006,"应收",资金台帐!$B$7:$B$3006,"&gt;="&amp;$B$21,资金台帐!$B$7:$B$3006,"&lt;="&amp;$D$21))</f>
        <v>5330</v>
      </c>
      <c r="F76" s="187">
        <f>IF($B76="","",C76+D76-E76)</f>
        <v>-1860</v>
      </c>
      <c r="G76" s="141" t="str">
        <f>IF($B76="","",IF(ROUND(F76,2)=0,"已结清",IF(F76&gt;0,"有欠款","预存款")))</f>
        <v>预存款</v>
      </c>
      <c r="H76" s="195">
        <f>IF($B76="","",_xlfn.MAXIFS(资金台帐!$B$7:$B$3006,资金台帐!$J$7:$J$3006,$B76,资金台帐!$P$7:$P$3006,"应收"))</f>
        <v>46211.0</v>
      </c>
    </row>
    <row r="77">
      <c r="A77" s="194">
        <f>IF(B77="","",54)</f>
        <v>54</v>
      </c>
      <c r="B77" s="141" t="str">
        <f>IF(总览汇总!B58="","",总览汇总!B58)</f>
        <v>洪门五香副食</v>
      </c>
      <c r="C77" s="186">
        <f>IF($B77="","",N(总览汇总!K58)+SUMIFS(出库明细!$G$4:$G$3003,出库明细!$C$4:$C$3003,$B77,出库明细!$B$4:$B$3003,"&gt;="&amp;年初日,出库明细!$B$4:$B$3003,"&lt;"&amp;$B$21)-SUMIFS(资金台帐!$S$7:$S$3006,资金台帐!$J$7:$J$3006,$B77,资金台帐!$P$7:$P$3006,"应收",资金台帐!$B$7:$B$3006,"&gt;="&amp;年初日,资金台帐!$B$7:$B$3006,"&lt;"&amp;$B$21))</f>
        <v>0</v>
      </c>
      <c r="D77" s="186">
        <f>IF($B77="","",SUMIFS(出库明细!$G$4:$G$3003,出库明细!$C$4:$C$3003,$B77,出库明细!$B$4:$B$3003,"&gt;="&amp;$B$21,出库明细!$B$4:$B$3003,"&lt;="&amp;$D$21))</f>
        <v>0</v>
      </c>
      <c r="E77" s="186">
        <f>IF($B77="","",SUMIFS(资金台帐!$S$7:$S$3006,资金台帐!$J$7:$J$3006,$B77,资金台帐!$P$7:$P$3006,"应收",资金台帐!$B$7:$B$3006,"&gt;="&amp;$B$21,资金台帐!$B$7:$B$3006,"&lt;="&amp;$D$21))</f>
        <v>930</v>
      </c>
      <c r="F77" s="187">
        <f>IF($B77="","",C77+D77-E77)</f>
        <v>-930</v>
      </c>
      <c r="G77" s="141" t="str">
        <f>IF($B77="","",IF(ROUND(F77,2)=0,"已结清",IF(F77&gt;0,"有欠款","预存款")))</f>
        <v>预存款</v>
      </c>
      <c r="H77" s="195">
        <f>IF($B77="","",_xlfn.MAXIFS(资金台帐!$B$7:$B$3006,资金台帐!$J$7:$J$3006,$B77,资金台帐!$P$7:$P$3006,"应收"))</f>
        <v>46211.0</v>
      </c>
    </row>
    <row r="78">
      <c r="A78" s="194">
        <f>IF(B78="","",55)</f>
        <v>55</v>
      </c>
      <c r="B78" s="141" t="str">
        <f>IF(总览汇总!B59="","",总览汇总!B59)</f>
        <v>良村万家欢超市</v>
      </c>
      <c r="C78" s="186">
        <f>IF($B78="","",N(总览汇总!K59)+SUMIFS(出库明细!$G$4:$G$3003,出库明细!$C$4:$C$3003,$B78,出库明细!$B$4:$B$3003,"&gt;="&amp;年初日,出库明细!$B$4:$B$3003,"&lt;"&amp;$B$21)-SUMIFS(资金台帐!$S$7:$S$3006,资金台帐!$J$7:$J$3006,$B78,资金台帐!$P$7:$P$3006,"应收",资金台帐!$B$7:$B$3006,"&gt;="&amp;年初日,资金台帐!$B$7:$B$3006,"&lt;"&amp;$B$21))</f>
        <v>0</v>
      </c>
      <c r="D78" s="186">
        <f>IF($B78="","",SUMIFS(出库明细!$G$4:$G$3003,出库明细!$C$4:$C$3003,$B78,出库明细!$B$4:$B$3003,"&gt;="&amp;$B$21,出库明细!$B$4:$B$3003,"&lt;="&amp;$D$21))</f>
        <v>1395</v>
      </c>
      <c r="E78" s="186">
        <f>IF($B78="","",SUMIFS(资金台帐!$S$7:$S$3006,资金台帐!$J$7:$J$3006,$B78,资金台帐!$P$7:$P$3006,"应收",资金台帐!$B$7:$B$3006,"&gt;="&amp;$B$21,资金台帐!$B$7:$B$3006,"&lt;="&amp;$D$21))</f>
        <v>1395</v>
      </c>
      <c r="F78" s="187">
        <f>IF($B78="","",C78+D78-E78)</f>
        <v>0</v>
      </c>
      <c r="G78" s="141" t="str">
        <f>IF($B78="","",IF(ROUND(F78,2)=0,"已结清",IF(F78&gt;0,"有欠款","预存款")))</f>
        <v>已结清</v>
      </c>
      <c r="H78" s="195">
        <f>IF($B78="","",_xlfn.MAXIFS(资金台帐!$B$7:$B$3006,资金台帐!$J$7:$J$3006,$B78,资金台帐!$P$7:$P$3006,"应收"))</f>
        <v>46218.0</v>
      </c>
    </row>
    <row r="79">
      <c r="A79" s="194">
        <f>IF(B79="","",56)</f>
        <v>56</v>
      </c>
      <c r="B79" s="141" t="str">
        <f>IF(总览汇总!B60="","",总览汇总!B60)</f>
        <v>滨江路小红花便利店</v>
      </c>
      <c r="C79" s="186">
        <f>IF($B79="","",N(总览汇总!K60)+SUMIFS(出库明细!$G$4:$G$3003,出库明细!$C$4:$C$3003,$B79,出库明细!$B$4:$B$3003,"&gt;="&amp;年初日,出库明细!$B$4:$B$3003,"&lt;"&amp;$B$21)-SUMIFS(资金台帐!$S$7:$S$3006,资金台帐!$J$7:$J$3006,$B79,资金台帐!$P$7:$P$3006,"应收",资金台帐!$B$7:$B$3006,"&gt;="&amp;年初日,资金台帐!$B$7:$B$3006,"&lt;"&amp;$B$21))</f>
        <v>0</v>
      </c>
      <c r="D79" s="186">
        <f>IF($B79="","",SUMIFS(出库明细!$G$4:$G$3003,出库明细!$C$4:$C$3003,$B79,出库明细!$B$4:$B$3003,"&gt;="&amp;$B$21,出库明细!$B$4:$B$3003,"&lt;="&amp;$D$21))</f>
        <v>2426</v>
      </c>
      <c r="E79" s="186">
        <f>IF($B79="","",SUMIFS(资金台帐!$S$7:$S$3006,资金台帐!$J$7:$J$3006,$B79,资金台帐!$P$7:$P$3006,"应收",资金台帐!$B$7:$B$3006,"&gt;="&amp;$B$21,资金台帐!$B$7:$B$3006,"&lt;="&amp;$D$21))</f>
        <v>3200</v>
      </c>
      <c r="F79" s="187">
        <f>IF($B79="","",C79+D79-E79)</f>
        <v>-774</v>
      </c>
      <c r="G79" s="141" t="str">
        <f>IF($B79="","",IF(ROUND(F79,2)=0,"已结清",IF(F79&gt;0,"有欠款","预存款")))</f>
        <v>预存款</v>
      </c>
      <c r="H79" s="195">
        <f>IF($B79="","",_xlfn.MAXIFS(资金台帐!$B$7:$B$3006,资金台帐!$J$7:$J$3006,$B79,资金台帐!$P$7:$P$3006,"应收"))</f>
        <v>46220.0</v>
      </c>
    </row>
    <row r="80">
      <c r="A80" s="194">
        <f>IF(B80="","",57)</f>
        <v>57</v>
      </c>
      <c r="B80" s="141" t="str">
        <f>IF(总览汇总!B61="","",总览汇总!B61)</f>
        <v>滨江荣香副食</v>
      </c>
      <c r="C80" s="186">
        <f>IF($B80="","",N(总览汇总!K61)+SUMIFS(出库明细!$G$4:$G$3003,出库明细!$C$4:$C$3003,$B80,出库明细!$B$4:$B$3003,"&gt;="&amp;年初日,出库明细!$B$4:$B$3003,"&lt;"&amp;$B$21)-SUMIFS(资金台帐!$S$7:$S$3006,资金台帐!$J$7:$J$3006,$B80,资金台帐!$P$7:$P$3006,"应收",资金台帐!$B$7:$B$3006,"&gt;="&amp;年初日,资金台帐!$B$7:$B$3006,"&lt;"&amp;$B$21))</f>
        <v>0</v>
      </c>
      <c r="D80" s="186">
        <f>IF($B80="","",SUMIFS(出库明细!$G$4:$G$3003,出库明细!$C$4:$C$3003,$B80,出库明细!$B$4:$B$3003,"&gt;="&amp;$B$21,出库明细!$B$4:$B$3003,"&lt;="&amp;$D$21))</f>
        <v>1932</v>
      </c>
      <c r="E80" s="186">
        <f>IF($B80="","",SUMIFS(资金台帐!$S$7:$S$3006,资金台帐!$J$7:$J$3006,$B80,资金台帐!$P$7:$P$3006,"应收",资金台帐!$B$7:$B$3006,"&gt;="&amp;$B$21,资金台帐!$B$7:$B$3006,"&lt;="&amp;$D$21))</f>
        <v>3380</v>
      </c>
      <c r="F80" s="187">
        <f>IF($B80="","",C80+D80-E80)</f>
        <v>-1448</v>
      </c>
      <c r="G80" s="141" t="str">
        <f>IF($B80="","",IF(ROUND(F80,2)=0,"已结清",IF(F80&gt;0,"有欠款","预存款")))</f>
        <v>预存款</v>
      </c>
      <c r="H80" s="195">
        <f>IF($B80="","",_xlfn.MAXIFS(资金台帐!$B$7:$B$3006,资金台帐!$J$7:$J$3006,$B80,资金台帐!$P$7:$P$3006,"应收"))</f>
        <v>46218.0</v>
      </c>
    </row>
    <row r="81">
      <c r="A81" s="194">
        <f>IF(B81="","",58)</f>
        <v>58</v>
      </c>
      <c r="B81" s="141" t="str">
        <f>IF(总览汇总!B62="","",总览汇总!B62)</f>
        <v>埠头凤岗万家乐超市</v>
      </c>
      <c r="C81" s="186">
        <f>IF($B81="","",N(总览汇总!K62)+SUMIFS(出库明细!$G$4:$G$3003,出库明细!$C$4:$C$3003,$B81,出库明细!$B$4:$B$3003,"&gt;="&amp;年初日,出库明细!$B$4:$B$3003,"&lt;"&amp;$B$21)-SUMIFS(资金台帐!$S$7:$S$3006,资金台帐!$J$7:$J$3006,$B81,资金台帐!$P$7:$P$3006,"应收",资金台帐!$B$7:$B$3006,"&gt;="&amp;年初日,资金台帐!$B$7:$B$3006,"&lt;"&amp;$B$21))</f>
        <v>0</v>
      </c>
      <c r="D81" s="186">
        <f>IF($B81="","",SUMIFS(出库明细!$G$4:$G$3003,出库明细!$C$4:$C$3003,$B81,出库明细!$B$4:$B$3003,"&gt;="&amp;$B$21,出库明细!$B$4:$B$3003,"&lt;="&amp;$D$21))</f>
        <v>930</v>
      </c>
      <c r="E81" s="186">
        <f>IF($B81="","",SUMIFS(资金台帐!$S$7:$S$3006,资金台帐!$J$7:$J$3006,$B81,资金台帐!$P$7:$P$3006,"应收",资金台帐!$B$7:$B$3006,"&gt;="&amp;$B$21,资金台帐!$B$7:$B$3006,"&lt;="&amp;$D$21))</f>
        <v>930</v>
      </c>
      <c r="F81" s="187">
        <f>IF($B81="","",C81+D81-E81)</f>
        <v>0</v>
      </c>
      <c r="G81" s="141" t="str">
        <f>IF($B81="","",IF(ROUND(F81,2)=0,"已结清",IF(F81&gt;0,"有欠款","预存款")))</f>
        <v>已结清</v>
      </c>
      <c r="H81" s="195">
        <f>IF($B81="","",_xlfn.MAXIFS(资金台帐!$B$7:$B$3006,资金台帐!$J$7:$J$3006,$B81,资金台帐!$P$7:$P$3006,"应收"))</f>
        <v>46217.0</v>
      </c>
    </row>
    <row r="82">
      <c r="A82" s="194">
        <f>IF(B82="","",59)</f>
        <v>59</v>
      </c>
      <c r="B82" s="141" t="str">
        <f>IF(总览汇总!B63="","",总览汇总!B63)</f>
        <v>方太青华百货</v>
      </c>
      <c r="C82" s="186">
        <f>IF($B82="","",N(总览汇总!K63)+SUMIFS(出库明细!$G$4:$G$3003,出库明细!$C$4:$C$3003,$B82,出库明细!$B$4:$B$3003,"&gt;="&amp;年初日,出库明细!$B$4:$B$3003,"&lt;"&amp;$B$21)-SUMIFS(资金台帐!$S$7:$S$3006,资金台帐!$J$7:$J$3006,$B82,资金台帐!$P$7:$P$3006,"应收",资金台帐!$B$7:$B$3006,"&gt;="&amp;年初日,资金台帐!$B$7:$B$3006,"&lt;"&amp;$B$21))</f>
        <v>0</v>
      </c>
      <c r="D82" s="186">
        <f>IF($B82="","",SUMIFS(出库明细!$G$4:$G$3003,出库明细!$C$4:$C$3003,$B82,出库明细!$B$4:$B$3003,"&gt;="&amp;$B$21,出库明细!$B$4:$B$3003,"&lt;="&amp;$D$21))</f>
        <v>0</v>
      </c>
      <c r="E82" s="186">
        <f>IF($B82="","",SUMIFS(资金台帐!$S$7:$S$3006,资金台帐!$J$7:$J$3006,$B82,资金台帐!$P$7:$P$3006,"应收",资金台帐!$B$7:$B$3006,"&gt;="&amp;$B$21,资金台帐!$B$7:$B$3006,"&lt;="&amp;$D$21))</f>
        <v>1395</v>
      </c>
      <c r="F82" s="187">
        <f>IF($B82="","",C82+D82-E82)</f>
        <v>-1395</v>
      </c>
      <c r="G82" s="141" t="str">
        <f>IF($B82="","",IF(ROUND(F82,2)=0,"已结清",IF(F82&gt;0,"有欠款","预存款")))</f>
        <v>预存款</v>
      </c>
      <c r="H82" s="195">
        <f>IF($B82="","",_xlfn.MAXIFS(资金台帐!$B$7:$B$3006,资金台帐!$J$7:$J$3006,$B82,资金台帐!$P$7:$P$3006,"应收"))</f>
        <v>46215.0</v>
      </c>
    </row>
    <row r="83">
      <c r="A83" s="194">
        <f>IF(B83="","",60)</f>
        <v>60</v>
      </c>
      <c r="B83" s="141" t="str">
        <f>IF(总览汇总!B64="","",总览汇总!B64)</f>
        <v>城北街隆兴商行</v>
      </c>
      <c r="C83" s="186">
        <f>IF($B83="","",N(总览汇总!K64)+SUMIFS(出库明细!$G$4:$G$3003,出库明细!$C$4:$C$3003,$B83,出库明细!$B$4:$B$3003,"&gt;="&amp;年初日,出库明细!$B$4:$B$3003,"&lt;"&amp;$B$21)-SUMIFS(资金台帐!$S$7:$S$3006,资金台帐!$J$7:$J$3006,$B83,资金台帐!$P$7:$P$3006,"应收",资金台帐!$B$7:$B$3006,"&gt;="&amp;年初日,资金台帐!$B$7:$B$3006,"&lt;"&amp;$B$21))</f>
        <v>0</v>
      </c>
      <c r="D83" s="186">
        <f>IF($B83="","",SUMIFS(出库明细!$G$4:$G$3003,出库明细!$C$4:$C$3003,$B83,出库明细!$B$4:$B$3003,"&gt;="&amp;$B$21,出库明细!$B$4:$B$3003,"&lt;="&amp;$D$21))</f>
        <v>2801</v>
      </c>
      <c r="E83" s="186">
        <f>IF($B83="","",SUMIFS(资金台帐!$S$7:$S$3006,资金台帐!$J$7:$J$3006,$B83,资金台帐!$P$7:$P$3006,"应收",资金台帐!$B$7:$B$3006,"&gt;="&amp;$B$21,资金台帐!$B$7:$B$3006,"&lt;="&amp;$D$21))</f>
        <v>3005</v>
      </c>
      <c r="F83" s="187">
        <f>IF($B83="","",C83+D83-E83)</f>
        <v>-204</v>
      </c>
      <c r="G83" s="141" t="str">
        <f>IF($B83="","",IF(ROUND(F83,2)=0,"已结清",IF(F83&gt;0,"有欠款","预存款")))</f>
        <v>预存款</v>
      </c>
      <c r="H83" s="195">
        <f>IF($B83="","",_xlfn.MAXIFS(资金台帐!$B$7:$B$3006,资金台帐!$J$7:$J$3006,$B83,资金台帐!$P$7:$P$3006,"应收"))</f>
        <v>46215.0</v>
      </c>
    </row>
    <row r="84">
      <c r="A84" s="194">
        <f>IF(B84="","",61)</f>
        <v>61</v>
      </c>
      <c r="B84" s="141" t="str">
        <f>IF(总览汇总!B65="","",总览汇总!B65)</f>
        <v>均村好惠多超市</v>
      </c>
      <c r="C84" s="186">
        <f>IF($B84="","",N(总览汇总!K65)+SUMIFS(出库明细!$G$4:$G$3003,出库明细!$C$4:$C$3003,$B84,出库明细!$B$4:$B$3003,"&gt;="&amp;年初日,出库明细!$B$4:$B$3003,"&lt;"&amp;$B$21)-SUMIFS(资金台帐!$S$7:$S$3006,资金台帐!$J$7:$J$3006,$B84,资金台帐!$P$7:$P$3006,"应收",资金台帐!$B$7:$B$3006,"&gt;="&amp;年初日,资金台帐!$B$7:$B$3006,"&lt;"&amp;$B$21))</f>
        <v>0</v>
      </c>
      <c r="D84" s="186">
        <f>IF($B84="","",SUMIFS(出库明细!$G$4:$G$3003,出库明细!$C$4:$C$3003,$B84,出库明细!$B$4:$B$3003,"&gt;="&amp;$B$21,出库明细!$B$4:$B$3003,"&lt;="&amp;$D$21))</f>
        <v>0</v>
      </c>
      <c r="E84" s="186">
        <f>IF($B84="","",SUMIFS(资金台帐!$S$7:$S$3006,资金台帐!$J$7:$J$3006,$B84,资金台帐!$P$7:$P$3006,"应收",资金台帐!$B$7:$B$3006,"&gt;="&amp;$B$21,资金台帐!$B$7:$B$3006,"&lt;="&amp;$D$21))</f>
        <v>1395</v>
      </c>
      <c r="F84" s="187">
        <f>IF($B84="","",C84+D84-E84)</f>
        <v>-1395</v>
      </c>
      <c r="G84" s="141" t="str">
        <f>IF($B84="","",IF(ROUND(F84,2)=0,"已结清",IF(F84&gt;0,"有欠款","预存款")))</f>
        <v>预存款</v>
      </c>
      <c r="H84" s="195">
        <f>IF($B84="","",_xlfn.MAXIFS(资金台帐!$B$7:$B$3006,资金台帐!$J$7:$J$3006,$B84,资金台帐!$P$7:$P$3006,"应收"))</f>
        <v>46213.0</v>
      </c>
    </row>
    <row r="85">
      <c r="A85" s="194">
        <f>IF(B85="","",62)</f>
        <v>62</v>
      </c>
      <c r="B85" s="141" t="str">
        <f>IF(总览汇总!B66="","",总览汇总!B66)</f>
        <v>龙口利客副食</v>
      </c>
      <c r="C85" s="186">
        <f>IF($B85="","",N(总览汇总!K66)+SUMIFS(出库明细!$G$4:$G$3003,出库明细!$C$4:$C$3003,$B85,出库明细!$B$4:$B$3003,"&gt;="&amp;年初日,出库明细!$B$4:$B$3003,"&lt;"&amp;$B$21)-SUMIFS(资金台帐!$S$7:$S$3006,资金台帐!$J$7:$J$3006,$B85,资金台帐!$P$7:$P$3006,"应收",资金台帐!$B$7:$B$3006,"&gt;="&amp;年初日,资金台帐!$B$7:$B$3006,"&lt;"&amp;$B$21))</f>
        <v>0</v>
      </c>
      <c r="D85" s="186">
        <f>IF($B85="","",SUMIFS(出库明细!$G$4:$G$3003,出库明细!$C$4:$C$3003,$B85,出库明细!$B$4:$B$3003,"&gt;="&amp;$B$21,出库明细!$B$4:$B$3003,"&lt;="&amp;$D$21))</f>
        <v>2325</v>
      </c>
      <c r="E85" s="186">
        <f>IF($B85="","",SUMIFS(资金台帐!$S$7:$S$3006,资金台帐!$J$7:$J$3006,$B85,资金台帐!$P$7:$P$3006,"应收",资金台帐!$B$7:$B$3006,"&gt;="&amp;$B$21,资金台帐!$B$7:$B$3006,"&lt;="&amp;$D$21))</f>
        <v>2325</v>
      </c>
      <c r="F85" s="187">
        <f>IF($B85="","",C85+D85-E85)</f>
        <v>0</v>
      </c>
      <c r="G85" s="141" t="str">
        <f>IF($B85="","",IF(ROUND(F85,2)=0,"已结清",IF(F85&gt;0,"有欠款","预存款")))</f>
        <v>已结清</v>
      </c>
      <c r="H85" s="195">
        <f>IF($B85="","",_xlfn.MAXIFS(资金台帐!$B$7:$B$3006,资金台帐!$J$7:$J$3006,$B85,资金台帐!$P$7:$P$3006,"应收"))</f>
        <v>46213.0</v>
      </c>
    </row>
    <row r="86">
      <c r="A86" s="194">
        <f>IF(B86="","",63)</f>
        <v>63</v>
      </c>
      <c r="B86" s="141" t="str">
        <f>IF(总览汇总!B67="","",总览汇总!B67)</f>
        <v>长岗愉清副食</v>
      </c>
      <c r="C86" s="186">
        <f>IF($B86="","",N(总览汇总!K67)+SUMIFS(出库明细!$G$4:$G$3003,出库明细!$C$4:$C$3003,$B86,出库明细!$B$4:$B$3003,"&gt;="&amp;年初日,出库明细!$B$4:$B$3003,"&lt;"&amp;$B$21)-SUMIFS(资金台帐!$S$7:$S$3006,资金台帐!$J$7:$J$3006,$B86,资金台帐!$P$7:$P$3006,"应收",资金台帐!$B$7:$B$3006,"&gt;="&amp;年初日,资金台帐!$B$7:$B$3006,"&lt;"&amp;$B$21))</f>
        <v>0</v>
      </c>
      <c r="D86" s="186">
        <f>IF($B86="","",SUMIFS(出库明细!$G$4:$G$3003,出库明细!$C$4:$C$3003,$B86,出库明细!$B$4:$B$3003,"&gt;="&amp;$B$21,出库明细!$B$4:$B$3003,"&lt;="&amp;$D$21))</f>
        <v>576</v>
      </c>
      <c r="E86" s="186">
        <f>IF($B86="","",SUMIFS(资金台帐!$S$7:$S$3006,资金台帐!$J$7:$J$3006,$B86,资金台帐!$P$7:$P$3006,"应收",资金台帐!$B$7:$B$3006,"&gt;="&amp;$B$21,资金台帐!$B$7:$B$3006,"&lt;="&amp;$D$21))</f>
        <v>3035</v>
      </c>
      <c r="F86" s="187">
        <f>IF($B86="","",C86+D86-E86)</f>
        <v>-2459</v>
      </c>
      <c r="G86" s="141" t="str">
        <f>IF($B86="","",IF(ROUND(F86,2)=0,"已结清",IF(F86&gt;0,"有欠款","预存款")))</f>
        <v>预存款</v>
      </c>
      <c r="H86" s="195">
        <f>IF($B86="","",_xlfn.MAXIFS(资金台帐!$B$7:$B$3006,资金台帐!$J$7:$J$3006,$B86,资金台帐!$P$7:$P$3006,"应收"))</f>
        <v>46212.0</v>
      </c>
    </row>
    <row r="87">
      <c r="A87" s="194">
        <f>IF(B87="","",64)</f>
        <v>64</v>
      </c>
      <c r="B87" s="141" t="str">
        <f>IF(总览汇总!B68="","",总览汇总!B68)</f>
        <v>高兴小春王均平</v>
      </c>
      <c r="C87" s="186">
        <f>IF($B87="","",N(总览汇总!K68)+SUMIFS(出库明细!$G$4:$G$3003,出库明细!$C$4:$C$3003,$B87,出库明细!$B$4:$B$3003,"&gt;="&amp;年初日,出库明细!$B$4:$B$3003,"&lt;"&amp;$B$21)-SUMIFS(资金台帐!$S$7:$S$3006,资金台帐!$J$7:$J$3006,$B87,资金台帐!$P$7:$P$3006,"应收",资金台帐!$B$7:$B$3006,"&gt;="&amp;年初日,资金台帐!$B$7:$B$3006,"&lt;"&amp;$B$21))</f>
        <v>0</v>
      </c>
      <c r="D87" s="186">
        <f>IF($B87="","",SUMIFS(出库明细!$G$4:$G$3003,出库明细!$C$4:$C$3003,$B87,出库明细!$B$4:$B$3003,"&gt;="&amp;$B$21,出库明细!$B$4:$B$3003,"&lt;="&amp;$D$21))</f>
        <v>242</v>
      </c>
      <c r="E87" s="186">
        <f>IF($B87="","",SUMIFS(资金台帐!$S$7:$S$3006,资金台帐!$J$7:$J$3006,$B87,资金台帐!$P$7:$P$3006,"应收",资金台帐!$B$7:$B$3006,"&gt;="&amp;$B$21,资金台帐!$B$7:$B$3006,"&lt;="&amp;$D$21))</f>
        <v>2907</v>
      </c>
      <c r="F87" s="187">
        <f>IF($B87="","",C87+D87-E87)</f>
        <v>-2665</v>
      </c>
      <c r="G87" s="141" t="str">
        <f>IF($B87="","",IF(ROUND(F87,2)=0,"已结清",IF(F87&gt;0,"有欠款","预存款")))</f>
        <v>预存款</v>
      </c>
      <c r="H87" s="195">
        <f>IF($B87="","",_xlfn.MAXIFS(资金台帐!$B$7:$B$3006,资金台帐!$J$7:$J$3006,$B87,资金台帐!$P$7:$P$3006,"应收"))</f>
        <v>46212.0</v>
      </c>
    </row>
    <row r="88">
      <c r="A88" s="194">
        <f>IF(B88="","",65)</f>
        <v>65</v>
      </c>
      <c r="B88" s="141" t="str">
        <f>IF(总览汇总!B69="","",总览汇总!B69)</f>
        <v>高兴蒙山超市</v>
      </c>
      <c r="C88" s="186">
        <f>IF($B88="","",N(总览汇总!K69)+SUMIFS(出库明细!$G$4:$G$3003,出库明细!$C$4:$C$3003,$B88,出库明细!$B$4:$B$3003,"&gt;="&amp;年初日,出库明细!$B$4:$B$3003,"&lt;"&amp;$B$21)-SUMIFS(资金台帐!$S$7:$S$3006,资金台帐!$J$7:$J$3006,$B88,资金台帐!$P$7:$P$3006,"应收",资金台帐!$B$7:$B$3006,"&gt;="&amp;年初日,资金台帐!$B$7:$B$3006,"&lt;"&amp;$B$21))</f>
        <v>0</v>
      </c>
      <c r="D88" s="186">
        <f>IF($B88="","",SUMIFS(出库明细!$G$4:$G$3003,出库明细!$C$4:$C$3003,$B88,出库明细!$B$4:$B$3003,"&gt;="&amp;$B$21,出库明细!$B$4:$B$3003,"&lt;="&amp;$D$21))</f>
        <v>1567</v>
      </c>
      <c r="E88" s="186">
        <f>IF($B88="","",SUMIFS(资金台帐!$S$7:$S$3006,资金台帐!$J$7:$J$3006,$B88,资金台帐!$P$7:$P$3006,"应收",资金台帐!$B$7:$B$3006,"&gt;="&amp;$B$21,资金台帐!$B$7:$B$3006,"&lt;="&amp;$D$21))</f>
        <v>1567</v>
      </c>
      <c r="F88" s="187">
        <f>IF($B88="","",C88+D88-E88)</f>
        <v>0</v>
      </c>
      <c r="G88" s="141" t="str">
        <f>IF($B88="","",IF(ROUND(F88,2)=0,"已结清",IF(F88&gt;0,"有欠款","预存款")))</f>
        <v>已结清</v>
      </c>
      <c r="H88" s="195">
        <f>IF($B88="","",_xlfn.MAXIFS(资金台帐!$B$7:$B$3006,资金台帐!$J$7:$J$3006,$B88,资金台帐!$P$7:$P$3006,"应收"))</f>
        <v>46212.0</v>
      </c>
    </row>
    <row r="89">
      <c r="A89" s="194">
        <f>IF(B89="","",66)</f>
        <v>66</v>
      </c>
      <c r="B89" s="141" t="str">
        <f>IF(总览汇总!B70="","",总览汇总!B70)</f>
        <v>良村小杜批发</v>
      </c>
      <c r="C89" s="186">
        <f>IF($B89="","",N(总览汇总!K70)+SUMIFS(出库明细!$G$4:$G$3003,出库明细!$C$4:$C$3003,$B89,出库明细!$B$4:$B$3003,"&gt;="&amp;年初日,出库明细!$B$4:$B$3003,"&lt;"&amp;$B$21)-SUMIFS(资金台帐!$S$7:$S$3006,资金台帐!$J$7:$J$3006,$B89,资金台帐!$P$7:$P$3006,"应收",资金台帐!$B$7:$B$3006,"&gt;="&amp;年初日,资金台帐!$B$7:$B$3006,"&lt;"&amp;$B$21))</f>
        <v>0</v>
      </c>
      <c r="D89" s="186">
        <f>IF($B89="","",SUMIFS(出库明细!$G$4:$G$3003,出库明细!$C$4:$C$3003,$B89,出库明细!$B$4:$B$3003,"&gt;="&amp;$B$21,出库明细!$B$4:$B$3003,"&lt;="&amp;$D$21))</f>
        <v>0</v>
      </c>
      <c r="E89" s="186">
        <f>IF($B89="","",SUMIFS(资金台帐!$S$7:$S$3006,资金台帐!$J$7:$J$3006,$B89,资金台帐!$P$7:$P$3006,"应收",资金台帐!$B$7:$B$3006,"&gt;="&amp;$B$21,资金台帐!$B$7:$B$3006,"&lt;="&amp;$D$21))</f>
        <v>4500</v>
      </c>
      <c r="F89" s="187">
        <f>IF($B89="","",C89+D89-E89)</f>
        <v>-4500</v>
      </c>
      <c r="G89" s="141" t="str">
        <f>IF($B89="","",IF(ROUND(F89,2)=0,"已结清",IF(F89&gt;0,"有欠款","预存款")))</f>
        <v>预存款</v>
      </c>
      <c r="H89" s="195">
        <f>IF($B89="","",_xlfn.MAXIFS(资金台帐!$B$7:$B$3006,资金台帐!$J$7:$J$3006,$B89,资金台帐!$P$7:$P$3006,"应收"))</f>
        <v>46223.0</v>
      </c>
    </row>
    <row r="90">
      <c r="A90" s="194">
        <f>IF(B90="","",67)</f>
        <v>67</v>
      </c>
      <c r="B90" s="141" t="str">
        <f>IF(总览汇总!B71="","",总览汇总!B71)</f>
        <v>洪门C区李记商行</v>
      </c>
      <c r="C90" s="186">
        <f>IF($B90="","",N(总览汇总!K71)+SUMIFS(出库明细!$G$4:$G$3003,出库明细!$C$4:$C$3003,$B90,出库明细!$B$4:$B$3003,"&gt;="&amp;年初日,出库明细!$B$4:$B$3003,"&lt;"&amp;$B$21)-SUMIFS(资金台帐!$S$7:$S$3006,资金台帐!$J$7:$J$3006,$B90,资金台帐!$P$7:$P$3006,"应收",资金台帐!$B$7:$B$3006,"&gt;="&amp;年初日,资金台帐!$B$7:$B$3006,"&lt;"&amp;$B$21))</f>
        <v>0</v>
      </c>
      <c r="D90" s="186">
        <f>IF($B90="","",SUMIFS(出库明细!$G$4:$G$3003,出库明细!$C$4:$C$3003,$B90,出库明细!$B$4:$B$3003,"&gt;="&amp;$B$21,出库明细!$B$4:$B$3003,"&lt;="&amp;$D$21))</f>
        <v>4500</v>
      </c>
      <c r="E90" s="186">
        <f>IF($B90="","",SUMIFS(资金台帐!$S$7:$S$3006,资金台帐!$J$7:$J$3006,$B90,资金台帐!$P$7:$P$3006,"应收",资金台帐!$B$7:$B$3006,"&gt;="&amp;$B$21,资金台帐!$B$7:$B$3006,"&lt;="&amp;$D$21))</f>
        <v>9000</v>
      </c>
      <c r="F90" s="187">
        <f>IF($B90="","",C90+D90-E90)</f>
        <v>-4500</v>
      </c>
      <c r="G90" s="141" t="str">
        <f>IF($B90="","",IF(ROUND(F90,2)=0,"已结清",IF(F90&gt;0,"有欠款","预存款")))</f>
        <v>预存款</v>
      </c>
      <c r="H90" s="195">
        <f>IF($B90="","",_xlfn.MAXIFS(资金台帐!$B$7:$B$3006,资金台帐!$J$7:$J$3006,$B90,资金台帐!$P$7:$P$3006,"应收"))</f>
        <v>46226.0</v>
      </c>
    </row>
    <row r="91">
      <c r="A91" s="194">
        <f>IF(B91="","",68)</f>
        <v>68</v>
      </c>
      <c r="B91" s="141" t="str">
        <f>IF(总览汇总!B72="","",总览汇总!B72)</f>
        <v>小陈副食</v>
      </c>
      <c r="C91" s="186">
        <f>IF($B91="","",N(总览汇总!K72)+SUMIFS(出库明细!$G$4:$G$3003,出库明细!$C$4:$C$3003,$B91,出库明细!$B$4:$B$3003,"&gt;="&amp;年初日,出库明细!$B$4:$B$3003,"&lt;"&amp;$B$21)-SUMIFS(资金台帐!$S$7:$S$3006,资金台帐!$J$7:$J$3006,$B91,资金台帐!$P$7:$P$3006,"应收",资金台帐!$B$7:$B$3006,"&gt;="&amp;年初日,资金台帐!$B$7:$B$3006,"&lt;"&amp;$B$21))</f>
        <v>0</v>
      </c>
      <c r="D91" s="186">
        <f>IF($B91="","",SUMIFS(出库明细!$G$4:$G$3003,出库明细!$C$4:$C$3003,$B91,出库明细!$B$4:$B$3003,"&gt;="&amp;$B$21,出库明细!$B$4:$B$3003,"&lt;="&amp;$D$21))</f>
        <v>10472.5</v>
      </c>
      <c r="E91" s="186">
        <f>IF($B91="","",SUMIFS(资金台帐!$S$7:$S$3006,资金台帐!$J$7:$J$3006,$B91,资金台帐!$P$7:$P$3006,"应收",资金台帐!$B$7:$B$3006,"&gt;="&amp;$B$21,资金台帐!$B$7:$B$3006,"&lt;="&amp;$D$21))</f>
        <v>12000</v>
      </c>
      <c r="F91" s="187">
        <f>IF($B91="","",C91+D91-E91)</f>
        <v>-1527.5</v>
      </c>
      <c r="G91" s="141" t="str">
        <f>IF($B91="","",IF(ROUND(F91,2)=0,"已结清",IF(F91&gt;0,"有欠款","预存款")))</f>
        <v>预存款</v>
      </c>
      <c r="H91" s="195">
        <f>IF($B91="","",_xlfn.MAXIFS(资金台帐!$B$7:$B$3006,资金台帐!$J$7:$J$3006,$B91,资金台帐!$P$7:$P$3006,"应收"))</f>
        <v>46235.0</v>
      </c>
    </row>
    <row r="92">
      <c r="A92" s="194">
        <f>IF(B92="","",69)</f>
        <v>69</v>
      </c>
      <c r="B92" s="141" t="str">
        <f>IF(总览汇总!B73="","",总览汇总!B73)</f>
        <v>埠头鑫鑫文具</v>
      </c>
      <c r="C92" s="186">
        <f>IF($B92="","",N(总览汇总!K73)+SUMIFS(出库明细!$G$4:$G$3003,出库明细!$C$4:$C$3003,$B92,出库明细!$B$4:$B$3003,"&gt;="&amp;年初日,出库明细!$B$4:$B$3003,"&lt;"&amp;$B$21)-SUMIFS(资金台帐!$S$7:$S$3006,资金台帐!$J$7:$J$3006,$B92,资金台帐!$P$7:$P$3006,"应收",资金台帐!$B$7:$B$3006,"&gt;="&amp;年初日,资金台帐!$B$7:$B$3006,"&lt;"&amp;$B$21))</f>
        <v>0</v>
      </c>
      <c r="D92" s="186">
        <f>IF($B92="","",SUMIFS(出库明细!$G$4:$G$3003,出库明细!$C$4:$C$3003,$B92,出库明细!$B$4:$B$3003,"&gt;="&amp;$B$21,出库明细!$B$4:$B$3003,"&lt;="&amp;$D$21))</f>
        <v>2325</v>
      </c>
      <c r="E92" s="186">
        <f>IF($B92="","",SUMIFS(资金台帐!$S$7:$S$3006,资金台帐!$J$7:$J$3006,$B92,资金台帐!$P$7:$P$3006,"应收",资金台帐!$B$7:$B$3006,"&gt;="&amp;$B$21,资金台帐!$B$7:$B$3006,"&lt;="&amp;$D$21))</f>
        <v>2325</v>
      </c>
      <c r="F92" s="187">
        <f>IF($B92="","",C92+D92-E92)</f>
        <v>0</v>
      </c>
      <c r="G92" s="141" t="str">
        <f>IF($B92="","",IF(ROUND(F92,2)=0,"已结清",IF(F92&gt;0,"有欠款","预存款")))</f>
        <v>已结清</v>
      </c>
      <c r="H92" s="195">
        <f>IF($B92="","",_xlfn.MAXIFS(资金台帐!$B$7:$B$3006,资金台帐!$J$7:$J$3006,$B92,资金台帐!$P$7:$P$3006,"应收"))</f>
        <v>46227.0</v>
      </c>
    </row>
    <row r="93">
      <c r="A93" s="194">
        <f>IF(B93="","",70)</f>
        <v>70</v>
      </c>
      <c r="B93" s="141" t="str">
        <f>IF(总览汇总!B74="","",总览汇总!B74)</f>
        <v>南区长裕商行</v>
      </c>
      <c r="C93" s="186">
        <f>IF($B93="","",N(总览汇总!K74)+SUMIFS(出库明细!$G$4:$G$3003,出库明细!$C$4:$C$3003,$B93,出库明细!$B$4:$B$3003,"&gt;="&amp;年初日,出库明细!$B$4:$B$3003,"&lt;"&amp;$B$21)-SUMIFS(资金台帐!$S$7:$S$3006,资金台帐!$J$7:$J$3006,$B93,资金台帐!$P$7:$P$3006,"应收",资金台帐!$B$7:$B$3006,"&gt;="&amp;年初日,资金台帐!$B$7:$B$3006,"&lt;"&amp;$B$21))</f>
        <v>0</v>
      </c>
      <c r="D93" s="186">
        <f>IF($B93="","",SUMIFS(出库明细!$G$4:$G$3003,出库明细!$C$4:$C$3003,$B93,出库明细!$B$4:$B$3003,"&gt;="&amp;$B$21,出库明细!$B$4:$B$3003,"&lt;="&amp;$D$21))</f>
        <v>1860</v>
      </c>
      <c r="E93" s="186">
        <f>IF($B93="","",SUMIFS(资金台帐!$S$7:$S$3006,资金台帐!$J$7:$J$3006,$B93,资金台帐!$P$7:$P$3006,"应收",资金台帐!$B$7:$B$3006,"&gt;="&amp;$B$21,资金台帐!$B$7:$B$3006,"&lt;="&amp;$D$21))</f>
        <v>1860</v>
      </c>
      <c r="F93" s="187">
        <f>IF($B93="","",C93+D93-E93)</f>
        <v>0</v>
      </c>
      <c r="G93" s="141" t="str">
        <f>IF($B93="","",IF(ROUND(F93,2)=0,"已结清",IF(F93&gt;0,"有欠款","预存款")))</f>
        <v>已结清</v>
      </c>
      <c r="H93" s="195">
        <f>IF($B93="","",_xlfn.MAXIFS(资金台帐!$B$7:$B$3006,资金台帐!$J$7:$J$3006,$B93,资金台帐!$P$7:$P$3006,"应收"))</f>
        <v>46230.0</v>
      </c>
    </row>
    <row r="94">
      <c r="A94" s="194">
        <f>IF(B94="","",71)</f>
        <v>71</v>
      </c>
      <c r="B94" s="141" t="str">
        <f>IF(总览汇总!B75="","",总览汇总!B75)</f>
        <v>洪门永信商行</v>
      </c>
      <c r="C94" s="186">
        <f>IF($B94="","",N(总览汇总!K75)+SUMIFS(出库明细!$G$4:$G$3003,出库明细!$C$4:$C$3003,$B94,出库明细!$B$4:$B$3003,"&gt;="&amp;年初日,出库明细!$B$4:$B$3003,"&lt;"&amp;$B$21)-SUMIFS(资金台帐!$S$7:$S$3006,资金台帐!$J$7:$J$3006,$B94,资金台帐!$P$7:$P$3006,"应收",资金台帐!$B$7:$B$3006,"&gt;="&amp;年初日,资金台帐!$B$7:$B$3006,"&lt;"&amp;$B$21))</f>
        <v>0</v>
      </c>
      <c r="D94" s="186">
        <f>IF($B94="","",SUMIFS(出库明细!$G$4:$G$3003,出库明细!$C$4:$C$3003,$B94,出库明细!$B$4:$B$3003,"&gt;="&amp;$B$21,出库明细!$B$4:$B$3003,"&lt;="&amp;$D$21))</f>
        <v>0</v>
      </c>
      <c r="E94" s="186">
        <f>IF($B94="","",SUMIFS(资金台帐!$S$7:$S$3006,资金台帐!$J$7:$J$3006,$B94,资金台帐!$P$7:$P$3006,"应收",资金台帐!$B$7:$B$3006,"&gt;="&amp;$B$21,资金台帐!$B$7:$B$3006,"&lt;="&amp;$D$21))</f>
        <v>4500</v>
      </c>
      <c r="F94" s="187">
        <f>IF($B94="","",C94+D94-E94)</f>
        <v>-4500</v>
      </c>
      <c r="G94" s="141" t="str">
        <f>IF($B94="","",IF(ROUND(F94,2)=0,"已结清",IF(F94&gt;0,"有欠款","预存款")))</f>
        <v>预存款</v>
      </c>
      <c r="H94" s="195">
        <f>IF($B94="","",_xlfn.MAXIFS(资金台帐!$B$7:$B$3006,资金台帐!$J$7:$J$3006,$B94,资金台帐!$P$7:$P$3006,"应收"))</f>
        <v>46232.0</v>
      </c>
    </row>
    <row r="95">
      <c r="A95" s="194">
        <f>IF(B95="","",72)</f>
        <v>72</v>
      </c>
      <c r="B95" s="141" t="str">
        <f>IF(总览汇总!B76="","",总览汇总!B76)</f>
        <v>均村喜乐多</v>
      </c>
      <c r="C95" s="186">
        <f>IF($B95="","",N(总览汇总!K76)+SUMIFS(出库明细!$G$4:$G$3003,出库明细!$C$4:$C$3003,$B95,出库明细!$B$4:$B$3003,"&gt;="&amp;年初日,出库明细!$B$4:$B$3003,"&lt;"&amp;$B$21)-SUMIFS(资金台帐!$S$7:$S$3006,资金台帐!$J$7:$J$3006,$B95,资金台帐!$P$7:$P$3006,"应收",资金台帐!$B$7:$B$3006,"&gt;="&amp;年初日,资金台帐!$B$7:$B$3006,"&lt;"&amp;$B$21))</f>
        <v>0</v>
      </c>
      <c r="D95" s="186">
        <f>IF($B95="","",SUMIFS(出库明细!$G$4:$G$3003,出库明细!$C$4:$C$3003,$B95,出库明细!$B$4:$B$3003,"&gt;="&amp;$B$21,出库明细!$B$4:$B$3003,"&lt;="&amp;$D$21))</f>
        <v>0</v>
      </c>
      <c r="E95" s="186">
        <f>IF($B95="","",SUMIFS(资金台帐!$S$7:$S$3006,资金台帐!$J$7:$J$3006,$B95,资金台帐!$P$7:$P$3006,"应收",资金台帐!$B$7:$B$3006,"&gt;="&amp;$B$21,资金台帐!$B$7:$B$3006,"&lt;="&amp;$D$21))</f>
        <v>1640</v>
      </c>
      <c r="F95" s="187">
        <f>IF($B95="","",C95+D95-E95)</f>
        <v>-1640</v>
      </c>
      <c r="G95" s="141" t="str">
        <f>IF($B95="","",IF(ROUND(F95,2)=0,"已结清",IF(F95&gt;0,"有欠款","预存款")))</f>
        <v>预存款</v>
      </c>
      <c r="H95" s="195">
        <f>IF($B95="","",_xlfn.MAXIFS(资金台帐!$B$7:$B$3006,资金台帐!$J$7:$J$3006,$B95,资金台帐!$P$7:$P$3006,"应收"))</f>
        <v>46241.0</v>
      </c>
    </row>
    <row r="96">
      <c r="A96" s="194">
        <f>IF(B96="","",73)</f>
        <v>73</v>
      </c>
      <c r="B96" s="141" t="str">
        <f>IF(总览汇总!B77="","",总览汇总!B77)</f>
        <v>埠头如愿超市</v>
      </c>
      <c r="C96" s="186">
        <f>IF($B96="","",N(总览汇总!K77)+SUMIFS(出库明细!$G$4:$G$3003,出库明细!$C$4:$C$3003,$B96,出库明细!$B$4:$B$3003,"&gt;="&amp;年初日,出库明细!$B$4:$B$3003,"&lt;"&amp;$B$21)-SUMIFS(资金台帐!$S$7:$S$3006,资金台帐!$J$7:$J$3006,$B96,资金台帐!$P$7:$P$3006,"应收",资金台帐!$B$7:$B$3006,"&gt;="&amp;年初日,资金台帐!$B$7:$B$3006,"&lt;"&amp;$B$21))</f>
        <v>0</v>
      </c>
      <c r="D96" s="186">
        <f>IF($B96="","",SUMIFS(出库明细!$G$4:$G$3003,出库明细!$C$4:$C$3003,$B96,出库明细!$B$4:$B$3003,"&gt;="&amp;$B$21,出库明细!$B$4:$B$3003,"&lt;="&amp;$D$21))</f>
        <v>2325</v>
      </c>
      <c r="E96" s="186">
        <f>IF($B96="","",SUMIFS(资金台帐!$S$7:$S$3006,资金台帐!$J$7:$J$3006,$B96,资金台帐!$P$7:$P$3006,"应收",资金台帐!$B$7:$B$3006,"&gt;="&amp;$B$21,资金台帐!$B$7:$B$3006,"&lt;="&amp;$D$21))</f>
        <v>2325</v>
      </c>
      <c r="F96" s="187">
        <f>IF($B96="","",C96+D96-E96)</f>
        <v>0</v>
      </c>
      <c r="G96" s="141" t="str">
        <f>IF($B96="","",IF(ROUND(F96,2)=0,"已结清",IF(F96&gt;0,"有欠款","预存款")))</f>
        <v>已结清</v>
      </c>
      <c r="H96" s="195">
        <f>IF($B96="","",_xlfn.MAXIFS(资金台帐!$B$7:$B$3006,资金台帐!$J$7:$J$3006,$B96,资金台帐!$P$7:$P$3006,"应收"))</f>
        <v>46241.0</v>
      </c>
    </row>
    <row r="97">
      <c r="A97" s="194">
        <f>IF(B97="","",74)</f>
        <v>74</v>
      </c>
      <c r="B97" s="141" t="str">
        <f>IF(总览汇总!B78="","",总览汇总!B78)</f>
        <v>七中阳光鲜奶</v>
      </c>
      <c r="C97" s="186">
        <f>IF($B97="","",N(总览汇总!K78)+SUMIFS(出库明细!$G$4:$G$3003,出库明细!$C$4:$C$3003,$B97,出库明细!$B$4:$B$3003,"&gt;="&amp;年初日,出库明细!$B$4:$B$3003,"&lt;"&amp;$B$21)-SUMIFS(资金台帐!$S$7:$S$3006,资金台帐!$J$7:$J$3006,$B97,资金台帐!$P$7:$P$3006,"应收",资金台帐!$B$7:$B$3006,"&gt;="&amp;年初日,资金台帐!$B$7:$B$3006,"&lt;"&amp;$B$21))</f>
        <v>0</v>
      </c>
      <c r="D97" s="186">
        <f>IF($B97="","",SUMIFS(出库明细!$G$4:$G$3003,出库明细!$C$4:$C$3003,$B97,出库明细!$B$4:$B$3003,"&gt;="&amp;$B$21,出库明细!$B$4:$B$3003,"&lt;="&amp;$D$21))</f>
        <v>0</v>
      </c>
      <c r="E97" s="186">
        <f>IF($B97="","",SUMIFS(资金台帐!$S$7:$S$3006,资金台帐!$J$7:$J$3006,$B97,资金台帐!$P$7:$P$3006,"应收",资金台帐!$B$7:$B$3006,"&gt;="&amp;$B$21,资金台帐!$B$7:$B$3006,"&lt;="&amp;$D$21))</f>
        <v>107.5</v>
      </c>
      <c r="F97" s="187">
        <f>IF($B97="","",C97+D97-E97)</f>
        <v>-107.5</v>
      </c>
      <c r="G97" s="141" t="str">
        <f>IF($B97="","",IF(ROUND(F97,2)=0,"已结清",IF(F97&gt;0,"有欠款","预存款")))</f>
        <v>预存款</v>
      </c>
      <c r="H97" s="195">
        <f>IF($B97="","",_xlfn.MAXIFS(资金台帐!$B$7:$B$3006,资金台帐!$J$7:$J$3006,$B97,资金台帐!$P$7:$P$3006,"应收"))</f>
        <v>46246.0</v>
      </c>
    </row>
    <row r="98">
      <c r="A98" s="194">
        <f>IF(B98="","",75)</f>
        <v>75</v>
      </c>
      <c r="B98" s="141" t="str">
        <f>IF(总览汇总!B79="","",总览汇总!B79)</f>
        <v>长岗岭万家乐超市</v>
      </c>
      <c r="C98" s="186">
        <f>IF($B98="","",N(总览汇总!K79)+SUMIFS(出库明细!$G$4:$G$3003,出库明细!$C$4:$C$3003,$B98,出库明细!$B$4:$B$3003,"&gt;="&amp;年初日,出库明细!$B$4:$B$3003,"&lt;"&amp;$B$21)-SUMIFS(资金台帐!$S$7:$S$3006,资金台帐!$J$7:$J$3006,$B98,资金台帐!$P$7:$P$3006,"应收",资金台帐!$B$7:$B$3006,"&gt;="&amp;年初日,资金台帐!$B$7:$B$3006,"&lt;"&amp;$B$21))</f>
        <v>0</v>
      </c>
      <c r="D98" s="186">
        <f>IF($B98="","",SUMIFS(出库明细!$G$4:$G$3003,出库明细!$C$4:$C$3003,$B98,出库明细!$B$4:$B$3003,"&gt;="&amp;$B$21,出库明细!$B$4:$B$3003,"&lt;="&amp;$D$21))</f>
        <v>0</v>
      </c>
      <c r="E98" s="186">
        <f>IF($B98="","",SUMIFS(资金台帐!$S$7:$S$3006,资金台帐!$J$7:$J$3006,$B98,资金台帐!$P$7:$P$3006,"应收",资金台帐!$B$7:$B$3006,"&gt;="&amp;$B$21,资金台帐!$B$7:$B$3006,"&lt;="&amp;$D$21))</f>
        <v>2790</v>
      </c>
      <c r="F98" s="187">
        <f>IF($B98="","",C98+D98-E98)</f>
        <v>-2790</v>
      </c>
      <c r="G98" s="141" t="str">
        <f>IF($B98="","",IF(ROUND(F98,2)=0,"已结清",IF(F98&gt;0,"有欠款","预存款")))</f>
        <v>预存款</v>
      </c>
      <c r="H98" s="195">
        <f>IF($B98="","",_xlfn.MAXIFS(资金台帐!$B$7:$B$3006,资金台帐!$J$7:$J$3006,$B98,资金台帐!$P$7:$P$3006,"应收"))</f>
        <v>46252.0</v>
      </c>
    </row>
    <row r="99">
      <c r="A99" s="194">
        <f>IF(B99="","",76)</f>
        <v>76</v>
      </c>
      <c r="B99" s="141" t="str">
        <f>IF(总览汇总!B80="","",总览汇总!B80)</f>
        <v>龙岗荣鑫商行</v>
      </c>
      <c r="C99" s="186">
        <f>IF($B99="","",N(总览汇总!K80)+SUMIFS(出库明细!$G$4:$G$3003,出库明细!$C$4:$C$3003,$B99,出库明细!$B$4:$B$3003,"&gt;="&amp;年初日,出库明细!$B$4:$B$3003,"&lt;"&amp;$B$21)-SUMIFS(资金台帐!$S$7:$S$3006,资金台帐!$J$7:$J$3006,$B99,资金台帐!$P$7:$P$3006,"应收",资金台帐!$B$7:$B$3006,"&gt;="&amp;年初日,资金台帐!$B$7:$B$3006,"&lt;"&amp;$B$21))</f>
        <v>0</v>
      </c>
      <c r="D99" s="186">
        <f>IF($B99="","",SUMIFS(出库明细!$G$4:$G$3003,出库明细!$C$4:$C$3003,$B99,出库明细!$B$4:$B$3003,"&gt;="&amp;$B$21,出库明细!$B$4:$B$3003,"&lt;="&amp;$D$21))</f>
        <v>0</v>
      </c>
      <c r="E99" s="186">
        <f>IF($B99="","",SUMIFS(资金台帐!$S$7:$S$3006,资金台帐!$J$7:$J$3006,$B99,资金台帐!$P$7:$P$3006,"应收",资金台帐!$B$7:$B$3006,"&gt;="&amp;$B$21,资金台帐!$B$7:$B$3006,"&lt;="&amp;$D$21))</f>
        <v>4500</v>
      </c>
      <c r="F99" s="187">
        <f>IF($B99="","",C99+D99-E99)</f>
        <v>-4500</v>
      </c>
      <c r="G99" s="141" t="str">
        <f>IF($B99="","",IF(ROUND(F99,2)=0,"已结清",IF(F99&gt;0,"有欠款","预存款")))</f>
        <v>预存款</v>
      </c>
      <c r="H99" s="195">
        <f>IF($B99="","",_xlfn.MAXIFS(资金台帐!$B$7:$B$3006,资金台帐!$J$7:$J$3006,$B99,资金台帐!$P$7:$P$3006,"应收"))</f>
        <v>46254.0</v>
      </c>
    </row>
    <row r="100">
      <c r="A100" s="194">
        <f>IF(B100="","",77)</f>
        <v>77</v>
      </c>
      <c r="B100" s="141" t="str">
        <f>IF(总览汇总!B81="","",总览汇总!B81)</f>
        <v>城岗老石商行</v>
      </c>
      <c r="C100" s="186">
        <f>IF($B100="","",N(总览汇总!K81)+SUMIFS(出库明细!$G$4:$G$3003,出库明细!$C$4:$C$3003,$B100,出库明细!$B$4:$B$3003,"&gt;="&amp;年初日,出库明细!$B$4:$B$3003,"&lt;"&amp;$B$21)-SUMIFS(资金台帐!$S$7:$S$3006,资金台帐!$J$7:$J$3006,$B100,资金台帐!$P$7:$P$3006,"应收",资金台帐!$B$7:$B$3006,"&gt;="&amp;年初日,资金台帐!$B$7:$B$3006,"&lt;"&amp;$B$21))</f>
        <v>0</v>
      </c>
      <c r="D100" s="186">
        <f>IF($B100="","",SUMIFS(出库明细!$G$4:$G$3003,出库明细!$C$4:$C$3003,$B100,出库明细!$B$4:$B$3003,"&gt;="&amp;$B$21,出库明细!$B$4:$B$3003,"&lt;="&amp;$D$21))</f>
        <v>0</v>
      </c>
      <c r="E100" s="186">
        <f>IF($B100="","",SUMIFS(资金台帐!$S$7:$S$3006,资金台帐!$J$7:$J$3006,$B100,资金台帐!$P$7:$P$3006,"应收",资金台帐!$B$7:$B$3006,"&gt;="&amp;$B$21,资金台帐!$B$7:$B$3006,"&lt;="&amp;$D$21))</f>
        <v>2700</v>
      </c>
      <c r="F100" s="187">
        <f>IF($B100="","",C100+D100-E100)</f>
        <v>-2700</v>
      </c>
      <c r="G100" s="141" t="str">
        <f>IF($B100="","",IF(ROUND(F100,2)=0,"已结清",IF(F100&gt;0,"有欠款","预存款")))</f>
        <v>预存款</v>
      </c>
      <c r="H100" s="195">
        <f>IF($B100="","",_xlfn.MAXIFS(资金台帐!$B$7:$B$3006,资金台帐!$J$7:$J$3006,$B100,资金台帐!$P$7:$P$3006,"应收"))</f>
        <v>46270.0</v>
      </c>
    </row>
    <row r="101">
      <c r="A101" s="194">
        <f>IF(B101="","",78)</f>
        <v>78</v>
      </c>
      <c r="B101" s="141" t="str">
        <f>IF(总览汇总!B82="","",总览汇总!B82)</f>
        <v>埠头万客欢</v>
      </c>
      <c r="C101" s="186">
        <f>IF($B101="","",N(总览汇总!K82)+SUMIFS(出库明细!$G$4:$G$3003,出库明细!$C$4:$C$3003,$B101,出库明细!$B$4:$B$3003,"&gt;="&amp;年初日,出库明细!$B$4:$B$3003,"&lt;"&amp;$B$21)-SUMIFS(资金台帐!$S$7:$S$3006,资金台帐!$J$7:$J$3006,$B101,资金台帐!$P$7:$P$3006,"应收",资金台帐!$B$7:$B$3006,"&gt;="&amp;年初日,资金台帐!$B$7:$B$3006,"&lt;"&amp;$B$21))</f>
        <v>0</v>
      </c>
      <c r="D101" s="186">
        <f>IF($B101="","",SUMIFS(出库明细!$G$4:$G$3003,出库明细!$C$4:$C$3003,$B101,出库明细!$B$4:$B$3003,"&gt;="&amp;$B$21,出库明细!$B$4:$B$3003,"&lt;="&amp;$D$21))</f>
        <v>0</v>
      </c>
      <c r="E101" s="186">
        <f>IF($B101="","",SUMIFS(资金台帐!$S$7:$S$3006,资金台帐!$J$7:$J$3006,$B101,资金台帐!$P$7:$P$3006,"应收",资金台帐!$B$7:$B$3006,"&gt;="&amp;$B$21,资金台帐!$B$7:$B$3006,"&lt;="&amp;$D$21))</f>
        <v>2750</v>
      </c>
      <c r="F101" s="187">
        <f>IF($B101="","",C101+D101-E101)</f>
        <v>-2750</v>
      </c>
      <c r="G101" s="141" t="str">
        <f>IF($B101="","",IF(ROUND(F101,2)=0,"已结清",IF(F101&gt;0,"有欠款","预存款")))</f>
        <v>预存款</v>
      </c>
      <c r="H101" s="195">
        <f>IF($B101="","",_xlfn.MAXIFS(资金台帐!$B$7:$B$3006,资金台帐!$J$7:$J$3006,$B101,资金台帐!$P$7:$P$3006,"应收"))</f>
        <v>46248.0</v>
      </c>
    </row>
    <row r="102">
      <c r="A102" s="194">
        <f>IF(B102="","",79)</f>
        <v>79</v>
      </c>
      <c r="B102" s="141" t="str">
        <f>IF(总览汇总!B83="","",总览汇总!B83)</f>
        <v>阳光超市</v>
      </c>
      <c r="C102" s="186">
        <f>IF($B102="","",N(总览汇总!K83)+SUMIFS(出库明细!$G$4:$G$3003,出库明细!$C$4:$C$3003,$B102,出库明细!$B$4:$B$3003,"&gt;="&amp;年初日,出库明细!$B$4:$B$3003,"&lt;"&amp;$B$21)-SUMIFS(资金台帐!$S$7:$S$3006,资金台帐!$J$7:$J$3006,$B102,资金台帐!$P$7:$P$3006,"应收",资金台帐!$B$7:$B$3006,"&gt;="&amp;年初日,资金台帐!$B$7:$B$3006,"&lt;"&amp;$B$21))</f>
        <v>0</v>
      </c>
      <c r="D102" s="186">
        <f>IF($B102="","",SUMIFS(出库明细!$G$4:$G$3003,出库明细!$C$4:$C$3003,$B102,出库明细!$B$4:$B$3003,"&gt;="&amp;$B$21,出库明细!$B$4:$B$3003,"&lt;="&amp;$D$21))</f>
        <v>0</v>
      </c>
      <c r="E102" s="186">
        <f>IF($B102="","",SUMIFS(资金台帐!$S$7:$S$3006,资金台帐!$J$7:$J$3006,$B102,资金台帐!$P$7:$P$3006,"应收",资金台帐!$B$7:$B$3006,"&gt;="&amp;$B$21,资金台帐!$B$7:$B$3006,"&lt;="&amp;$D$21))</f>
        <v>11350</v>
      </c>
      <c r="F102" s="187">
        <f>IF($B102="","",C102+D102-E102)</f>
        <v>-11350</v>
      </c>
      <c r="G102" s="141" t="str">
        <f>IF($B102="","",IF(ROUND(F102,2)=0,"已结清",IF(F102&gt;0,"有欠款","预存款")))</f>
        <v>预存款</v>
      </c>
      <c r="H102" s="195">
        <f>IF($B102="","",_xlfn.MAXIFS(资金台帐!$B$7:$B$3006,资金台帐!$J$7:$J$3006,$B102,资金台帐!$P$7:$P$3006,"应收"))</f>
        <v>46204.0</v>
      </c>
    </row>
    <row r="103">
      <c r="A103" s="194">
        <f>IF(B103="","",80)</f>
        <v>80</v>
      </c>
      <c r="B103" s="141" t="str">
        <f>IF(总览汇总!B84="","",总览汇总!B84)</f>
        <v>竹坝鸿禄食品</v>
      </c>
      <c r="C103" s="186">
        <f>IF($B103="","",N(总览汇总!K84)+SUMIFS(出库明细!$G$4:$G$3003,出库明细!$C$4:$C$3003,$B103,出库明细!$B$4:$B$3003,"&gt;="&amp;年初日,出库明细!$B$4:$B$3003,"&lt;"&amp;$B$21)-SUMIFS(资金台帐!$S$7:$S$3006,资金台帐!$J$7:$J$3006,$B103,资金台帐!$P$7:$P$3006,"应收",资金台帐!$B$7:$B$3006,"&gt;="&amp;年初日,资金台帐!$B$7:$B$3006,"&lt;"&amp;$B$21))</f>
        <v>0</v>
      </c>
      <c r="D103" s="186">
        <f>IF($B103="","",SUMIFS(出库明细!$G$4:$G$3003,出库明细!$C$4:$C$3003,$B103,出库明细!$B$4:$B$3003,"&gt;="&amp;$B$21,出库明细!$B$4:$B$3003,"&lt;="&amp;$D$21))</f>
        <v>0</v>
      </c>
      <c r="E103" s="186">
        <f>IF($B103="","",SUMIFS(资金台帐!$S$7:$S$3006,资金台帐!$J$7:$J$3006,$B103,资金台帐!$P$7:$P$3006,"应收",资金台帐!$B$7:$B$3006,"&gt;="&amp;$B$21,资金台帐!$B$7:$B$3006,"&lt;="&amp;$D$21))</f>
        <v>0</v>
      </c>
      <c r="F103" s="187">
        <f>IF($B103="","",C103+D103-E103)</f>
        <v>0</v>
      </c>
      <c r="G103" s="141" t="str">
        <f>IF($B103="","",IF(ROUND(F103,2)=0,"已结清",IF(F103&gt;0,"有欠款","预存款")))</f>
        <v>已结清</v>
      </c>
      <c r="H103" s="195">
        <f>IF($B103="","",_xlfn.MAXIFS(资金台帐!$B$7:$B$3006,资金台帐!$J$7:$J$3006,$B103,资金台帐!$P$7:$P$3006,"应收"))</f>
        <v>0.0</v>
      </c>
    </row>
    <row r="104">
      <c r="A104" s="194">
        <f>IF(B104="","",81)</f>
        <v>81</v>
      </c>
      <c r="B104" s="141" t="str">
        <f>IF(总览汇总!B85="","",总览汇总!B85)</f>
        <v>长岗万家欢</v>
      </c>
      <c r="C104" s="186">
        <f>IF($B104="","",N(总览汇总!K85)+SUMIFS(出库明细!$G$4:$G$3003,出库明细!$C$4:$C$3003,$B104,出库明细!$B$4:$B$3003,"&gt;="&amp;年初日,出库明细!$B$4:$B$3003,"&lt;"&amp;$B$21)-SUMIFS(资金台帐!$S$7:$S$3006,资金台帐!$J$7:$J$3006,$B104,资金台帐!$P$7:$P$3006,"应收",资金台帐!$B$7:$B$3006,"&gt;="&amp;年初日,资金台帐!$B$7:$B$3006,"&lt;"&amp;$B$21))</f>
        <v>0</v>
      </c>
      <c r="D104" s="186">
        <f>IF($B104="","",SUMIFS(出库明细!$G$4:$G$3003,出库明细!$C$4:$C$3003,$B104,出库明细!$B$4:$B$3003,"&gt;="&amp;$B$21,出库明细!$B$4:$B$3003,"&lt;="&amp;$D$21))</f>
        <v>0</v>
      </c>
      <c r="E104" s="186">
        <f>IF($B104="","",SUMIFS(资金台帐!$S$7:$S$3006,资金台帐!$J$7:$J$3006,$B104,资金台帐!$P$7:$P$3006,"应收",资金台帐!$B$7:$B$3006,"&gt;="&amp;$B$21,资金台帐!$B$7:$B$3006,"&lt;="&amp;$D$21))</f>
        <v>3000</v>
      </c>
      <c r="F104" s="187">
        <f>IF($B104="","",C104+D104-E104)</f>
        <v>-3000</v>
      </c>
      <c r="G104" s="141" t="str">
        <f>IF($B104="","",IF(ROUND(F104,2)=0,"已结清",IF(F104&gt;0,"有欠款","预存款")))</f>
        <v>预存款</v>
      </c>
      <c r="H104" s="195">
        <f>IF($B104="","",_xlfn.MAXIFS(资金台帐!$B$7:$B$3006,资金台帐!$J$7:$J$3006,$B104,资金台帐!$P$7:$P$3006,"应收"))</f>
        <v>46243.0</v>
      </c>
    </row>
    <row r="105">
      <c r="A105" s="194">
        <f>IF(B105="","",82)</f>
      </c>
      <c r="B105" s="141">
        <f>IF(总览汇总!B86="","",总览汇总!B86)</f>
      </c>
      <c r="C105" s="186">
        <f>IF($B105="","",N(总览汇总!K86)+SUMIFS(出库明细!$G$4:$G$3003,出库明细!$C$4:$C$3003,$B105,出库明细!$B$4:$B$3003,"&gt;="&amp;年初日,出库明细!$B$4:$B$3003,"&lt;"&amp;$B$21)-SUMIFS(资金台帐!$S$7:$S$3006,资金台帐!$J$7:$J$3006,$B105,资金台帐!$P$7:$P$3006,"应收",资金台帐!$B$7:$B$3006,"&gt;="&amp;年初日,资金台帐!$B$7:$B$3006,"&lt;"&amp;$B$21))</f>
      </c>
      <c r="D105" s="186">
        <f>IF($B105="","",SUMIFS(出库明细!$G$4:$G$3003,出库明细!$C$4:$C$3003,$B105,出库明细!$B$4:$B$3003,"&gt;="&amp;$B$21,出库明细!$B$4:$B$3003,"&lt;="&amp;$D$21))</f>
      </c>
      <c r="E105" s="186">
        <f>IF($B105="","",SUMIFS(资金台帐!$S$7:$S$3006,资金台帐!$J$7:$J$3006,$B105,资金台帐!$P$7:$P$3006,"应收",资金台帐!$B$7:$B$3006,"&gt;="&amp;$B$21,资金台帐!$B$7:$B$3006,"&lt;="&amp;$D$21))</f>
      </c>
      <c r="F105" s="187">
        <f>IF($B105="","",C105+D105-E105)</f>
      </c>
      <c r="G105" s="141">
        <f>IF($B105="","",IF(ROUND(F105,2)=0,"已结清",IF(F105&gt;0,"有欠款","预存款")))</f>
      </c>
      <c r="H105" s="195">
        <f>IF($B105="","",_xlfn.MAXIFS(资金台帐!$B$7:$B$3006,资金台帐!$J$7:$J$3006,$B105,资金台帐!$P$7:$P$3006,"应收"))</f>
      </c>
    </row>
    <row r="106">
      <c r="A106" s="194">
        <f>IF(B106="","",83)</f>
      </c>
      <c r="B106" s="141">
        <f>IF(总览汇总!B87="","",总览汇总!B87)</f>
      </c>
      <c r="C106" s="186">
        <f>IF($B106="","",N(总览汇总!K87)+SUMIFS(出库明细!$G$4:$G$3003,出库明细!$C$4:$C$3003,$B106,出库明细!$B$4:$B$3003,"&gt;="&amp;年初日,出库明细!$B$4:$B$3003,"&lt;"&amp;$B$21)-SUMIFS(资金台帐!$S$7:$S$3006,资金台帐!$J$7:$J$3006,$B106,资金台帐!$P$7:$P$3006,"应收",资金台帐!$B$7:$B$3006,"&gt;="&amp;年初日,资金台帐!$B$7:$B$3006,"&lt;"&amp;$B$21))</f>
      </c>
      <c r="D106" s="186">
        <f>IF($B106="","",SUMIFS(出库明细!$G$4:$G$3003,出库明细!$C$4:$C$3003,$B106,出库明细!$B$4:$B$3003,"&gt;="&amp;$B$21,出库明细!$B$4:$B$3003,"&lt;="&amp;$D$21))</f>
      </c>
      <c r="E106" s="186">
        <f>IF($B106="","",SUMIFS(资金台帐!$S$7:$S$3006,资金台帐!$J$7:$J$3006,$B106,资金台帐!$P$7:$P$3006,"应收",资金台帐!$B$7:$B$3006,"&gt;="&amp;$B$21,资金台帐!$B$7:$B$3006,"&lt;="&amp;$D$21))</f>
      </c>
      <c r="F106" s="187">
        <f>IF($B106="","",C106+D106-E106)</f>
      </c>
      <c r="G106" s="141">
        <f>IF($B106="","",IF(ROUND(F106,2)=0,"已结清",IF(F106&gt;0,"有欠款","预存款")))</f>
      </c>
      <c r="H106" s="195">
        <f>IF($B106="","",_xlfn.MAXIFS(资金台帐!$B$7:$B$3006,资金台帐!$J$7:$J$3006,$B106,资金台帐!$P$7:$P$3006,"应收"))</f>
      </c>
    </row>
    <row r="107">
      <c r="A107" s="194">
        <f>IF(B107="","",84)</f>
      </c>
      <c r="B107" s="141">
        <f>IF(总览汇总!B88="","",总览汇总!B88)</f>
      </c>
      <c r="C107" s="186">
        <f>IF($B107="","",N(总览汇总!K88)+SUMIFS(出库明细!$G$4:$G$3003,出库明细!$C$4:$C$3003,$B107,出库明细!$B$4:$B$3003,"&gt;="&amp;年初日,出库明细!$B$4:$B$3003,"&lt;"&amp;$B$21)-SUMIFS(资金台帐!$S$7:$S$3006,资金台帐!$J$7:$J$3006,$B107,资金台帐!$P$7:$P$3006,"应收",资金台帐!$B$7:$B$3006,"&gt;="&amp;年初日,资金台帐!$B$7:$B$3006,"&lt;"&amp;$B$21))</f>
      </c>
      <c r="D107" s="186">
        <f>IF($B107="","",SUMIFS(出库明细!$G$4:$G$3003,出库明细!$C$4:$C$3003,$B107,出库明细!$B$4:$B$3003,"&gt;="&amp;$B$21,出库明细!$B$4:$B$3003,"&lt;="&amp;$D$21))</f>
      </c>
      <c r="E107" s="186">
        <f>IF($B107="","",SUMIFS(资金台帐!$S$7:$S$3006,资金台帐!$J$7:$J$3006,$B107,资金台帐!$P$7:$P$3006,"应收",资金台帐!$B$7:$B$3006,"&gt;="&amp;$B$21,资金台帐!$B$7:$B$3006,"&lt;="&amp;$D$21))</f>
      </c>
      <c r="F107" s="187">
        <f>IF($B107="","",C107+D107-E107)</f>
      </c>
      <c r="G107" s="141">
        <f>IF($B107="","",IF(ROUND(F107,2)=0,"已结清",IF(F107&gt;0,"有欠款","预存款")))</f>
      </c>
      <c r="H107" s="195">
        <f>IF($B107="","",_xlfn.MAXIFS(资金台帐!$B$7:$B$3006,资金台帐!$J$7:$J$3006,$B107,资金台帐!$P$7:$P$3006,"应收"))</f>
      </c>
    </row>
    <row r="108">
      <c r="A108" s="194">
        <f>IF(B108="","",85)</f>
      </c>
      <c r="B108" s="141">
        <f>IF(总览汇总!B89="","",总览汇总!B89)</f>
      </c>
      <c r="C108" s="186">
        <f>IF($B108="","",N(总览汇总!K89)+SUMIFS(出库明细!$G$4:$G$3003,出库明细!$C$4:$C$3003,$B108,出库明细!$B$4:$B$3003,"&gt;="&amp;年初日,出库明细!$B$4:$B$3003,"&lt;"&amp;$B$21)-SUMIFS(资金台帐!$S$7:$S$3006,资金台帐!$J$7:$J$3006,$B108,资金台帐!$P$7:$P$3006,"应收",资金台帐!$B$7:$B$3006,"&gt;="&amp;年初日,资金台帐!$B$7:$B$3006,"&lt;"&amp;$B$21))</f>
      </c>
      <c r="D108" s="186">
        <f>IF($B108="","",SUMIFS(出库明细!$G$4:$G$3003,出库明细!$C$4:$C$3003,$B108,出库明细!$B$4:$B$3003,"&gt;="&amp;$B$21,出库明细!$B$4:$B$3003,"&lt;="&amp;$D$21))</f>
      </c>
      <c r="E108" s="186">
        <f>IF($B108="","",SUMIFS(资金台帐!$S$7:$S$3006,资金台帐!$J$7:$J$3006,$B108,资金台帐!$P$7:$P$3006,"应收",资金台帐!$B$7:$B$3006,"&gt;="&amp;$B$21,资金台帐!$B$7:$B$3006,"&lt;="&amp;$D$21))</f>
      </c>
      <c r="F108" s="187">
        <f>IF($B108="","",C108+D108-E108)</f>
      </c>
      <c r="G108" s="141">
        <f>IF($B108="","",IF(ROUND(F108,2)=0,"已结清",IF(F108&gt;0,"有欠款","预存款")))</f>
      </c>
      <c r="H108" s="195">
        <f>IF($B108="","",_xlfn.MAXIFS(资金台帐!$B$7:$B$3006,资金台帐!$J$7:$J$3006,$B108,资金台帐!$P$7:$P$3006,"应收"))</f>
      </c>
    </row>
    <row r="109">
      <c r="A109" s="194">
        <f>IF(B109="","",86)</f>
      </c>
      <c r="B109" s="141">
        <f>IF(总览汇总!B90="","",总览汇总!B90)</f>
      </c>
      <c r="C109" s="186">
        <f>IF($B109="","",N(总览汇总!K90)+SUMIFS(出库明细!$G$4:$G$3003,出库明细!$C$4:$C$3003,$B109,出库明细!$B$4:$B$3003,"&gt;="&amp;年初日,出库明细!$B$4:$B$3003,"&lt;"&amp;$B$21)-SUMIFS(资金台帐!$S$7:$S$3006,资金台帐!$J$7:$J$3006,$B109,资金台帐!$P$7:$P$3006,"应收",资金台帐!$B$7:$B$3006,"&gt;="&amp;年初日,资金台帐!$B$7:$B$3006,"&lt;"&amp;$B$21))</f>
      </c>
      <c r="D109" s="186">
        <f>IF($B109="","",SUMIFS(出库明细!$G$4:$G$3003,出库明细!$C$4:$C$3003,$B109,出库明细!$B$4:$B$3003,"&gt;="&amp;$B$21,出库明细!$B$4:$B$3003,"&lt;="&amp;$D$21))</f>
      </c>
      <c r="E109" s="186">
        <f>IF($B109="","",SUMIFS(资金台帐!$S$7:$S$3006,资金台帐!$J$7:$J$3006,$B109,资金台帐!$P$7:$P$3006,"应收",资金台帐!$B$7:$B$3006,"&gt;="&amp;$B$21,资金台帐!$B$7:$B$3006,"&lt;="&amp;$D$21))</f>
      </c>
      <c r="F109" s="187">
        <f>IF($B109="","",C109+D109-E109)</f>
      </c>
      <c r="G109" s="141">
        <f>IF($B109="","",IF(ROUND(F109,2)=0,"已结清",IF(F109&gt;0,"有欠款","预存款")))</f>
      </c>
      <c r="H109" s="195">
        <f>IF($B109="","",_xlfn.MAXIFS(资金台帐!$B$7:$B$3006,资金台帐!$J$7:$J$3006,$B109,资金台帐!$P$7:$P$3006,"应收"))</f>
      </c>
    </row>
    <row r="110">
      <c r="A110" s="194">
        <f>IF(B110="","",87)</f>
      </c>
      <c r="B110" s="141">
        <f>IF(总览汇总!B91="","",总览汇总!B91)</f>
      </c>
      <c r="C110" s="186">
        <f>IF($B110="","",N(总览汇总!K91)+SUMIFS(出库明细!$G$4:$G$3003,出库明细!$C$4:$C$3003,$B110,出库明细!$B$4:$B$3003,"&gt;="&amp;年初日,出库明细!$B$4:$B$3003,"&lt;"&amp;$B$21)-SUMIFS(资金台帐!$S$7:$S$3006,资金台帐!$J$7:$J$3006,$B110,资金台帐!$P$7:$P$3006,"应收",资金台帐!$B$7:$B$3006,"&gt;="&amp;年初日,资金台帐!$B$7:$B$3006,"&lt;"&amp;$B$21))</f>
      </c>
      <c r="D110" s="186">
        <f>IF($B110="","",SUMIFS(出库明细!$G$4:$G$3003,出库明细!$C$4:$C$3003,$B110,出库明细!$B$4:$B$3003,"&gt;="&amp;$B$21,出库明细!$B$4:$B$3003,"&lt;="&amp;$D$21))</f>
      </c>
      <c r="E110" s="186">
        <f>IF($B110="","",SUMIFS(资金台帐!$S$7:$S$3006,资金台帐!$J$7:$J$3006,$B110,资金台帐!$P$7:$P$3006,"应收",资金台帐!$B$7:$B$3006,"&gt;="&amp;$B$21,资金台帐!$B$7:$B$3006,"&lt;="&amp;$D$21))</f>
      </c>
      <c r="F110" s="187">
        <f>IF($B110="","",C110+D110-E110)</f>
      </c>
      <c r="G110" s="141">
        <f>IF($B110="","",IF(ROUND(F110,2)=0,"已结清",IF(F110&gt;0,"有欠款","预存款")))</f>
      </c>
      <c r="H110" s="195">
        <f>IF($B110="","",_xlfn.MAXIFS(资金台帐!$B$7:$B$3006,资金台帐!$J$7:$J$3006,$B110,资金台帐!$P$7:$P$3006,"应收"))</f>
      </c>
    </row>
    <row r="111">
      <c r="A111" s="194">
        <f>IF(B111="","",88)</f>
      </c>
      <c r="B111" s="141">
        <f>IF(总览汇总!B92="","",总览汇总!B92)</f>
      </c>
      <c r="C111" s="186">
        <f>IF($B111="","",N(总览汇总!K92)+SUMIFS(出库明细!$G$4:$G$3003,出库明细!$C$4:$C$3003,$B111,出库明细!$B$4:$B$3003,"&gt;="&amp;年初日,出库明细!$B$4:$B$3003,"&lt;"&amp;$B$21)-SUMIFS(资金台帐!$S$7:$S$3006,资金台帐!$J$7:$J$3006,$B111,资金台帐!$P$7:$P$3006,"应收",资金台帐!$B$7:$B$3006,"&gt;="&amp;年初日,资金台帐!$B$7:$B$3006,"&lt;"&amp;$B$21))</f>
      </c>
      <c r="D111" s="186">
        <f>IF($B111="","",SUMIFS(出库明细!$G$4:$G$3003,出库明细!$C$4:$C$3003,$B111,出库明细!$B$4:$B$3003,"&gt;="&amp;$B$21,出库明细!$B$4:$B$3003,"&lt;="&amp;$D$21))</f>
      </c>
      <c r="E111" s="186">
        <f>IF($B111="","",SUMIFS(资金台帐!$S$7:$S$3006,资金台帐!$J$7:$J$3006,$B111,资金台帐!$P$7:$P$3006,"应收",资金台帐!$B$7:$B$3006,"&gt;="&amp;$B$21,资金台帐!$B$7:$B$3006,"&lt;="&amp;$D$21))</f>
      </c>
      <c r="F111" s="187">
        <f>IF($B111="","",C111+D111-E111)</f>
      </c>
      <c r="G111" s="141">
        <f>IF($B111="","",IF(ROUND(F111,2)=0,"已结清",IF(F111&gt;0,"有欠款","预存款")))</f>
      </c>
      <c r="H111" s="195">
        <f>IF($B111="","",_xlfn.MAXIFS(资金台帐!$B$7:$B$3006,资金台帐!$J$7:$J$3006,$B111,资金台帐!$P$7:$P$3006,"应收"))</f>
      </c>
    </row>
    <row r="112">
      <c r="A112" s="194">
        <f>IF(B112="","",89)</f>
      </c>
      <c r="B112" s="141">
        <f>IF(总览汇总!B93="","",总览汇总!B93)</f>
      </c>
      <c r="C112" s="186">
        <f>IF($B112="","",N(总览汇总!K93)+SUMIFS(出库明细!$G$4:$G$3003,出库明细!$C$4:$C$3003,$B112,出库明细!$B$4:$B$3003,"&gt;="&amp;年初日,出库明细!$B$4:$B$3003,"&lt;"&amp;$B$21)-SUMIFS(资金台帐!$S$7:$S$3006,资金台帐!$J$7:$J$3006,$B112,资金台帐!$P$7:$P$3006,"应收",资金台帐!$B$7:$B$3006,"&gt;="&amp;年初日,资金台帐!$B$7:$B$3006,"&lt;"&amp;$B$21))</f>
      </c>
      <c r="D112" s="186">
        <f>IF($B112="","",SUMIFS(出库明细!$G$4:$G$3003,出库明细!$C$4:$C$3003,$B112,出库明细!$B$4:$B$3003,"&gt;="&amp;$B$21,出库明细!$B$4:$B$3003,"&lt;="&amp;$D$21))</f>
      </c>
      <c r="E112" s="186">
        <f>IF($B112="","",SUMIFS(资金台帐!$S$7:$S$3006,资金台帐!$J$7:$J$3006,$B112,资金台帐!$P$7:$P$3006,"应收",资金台帐!$B$7:$B$3006,"&gt;="&amp;$B$21,资金台帐!$B$7:$B$3006,"&lt;="&amp;$D$21))</f>
      </c>
      <c r="F112" s="187">
        <f>IF($B112="","",C112+D112-E112)</f>
      </c>
      <c r="G112" s="141">
        <f>IF($B112="","",IF(ROUND(F112,2)=0,"已结清",IF(F112&gt;0,"有欠款","预存款")))</f>
      </c>
      <c r="H112" s="195">
        <f>IF($B112="","",_xlfn.MAXIFS(资金台帐!$B$7:$B$3006,资金台帐!$J$7:$J$3006,$B112,资金台帐!$P$7:$P$3006,"应收"))</f>
      </c>
    </row>
    <row r="113">
      <c r="A113" s="194">
        <f>IF(B113="","",90)</f>
      </c>
      <c r="B113" s="141">
        <f>IF(总览汇总!B94="","",总览汇总!B94)</f>
      </c>
      <c r="C113" s="186">
        <f>IF($B113="","",N(总览汇总!K94)+SUMIFS(出库明细!$G$4:$G$3003,出库明细!$C$4:$C$3003,$B113,出库明细!$B$4:$B$3003,"&gt;="&amp;年初日,出库明细!$B$4:$B$3003,"&lt;"&amp;$B$21)-SUMIFS(资金台帐!$S$7:$S$3006,资金台帐!$J$7:$J$3006,$B113,资金台帐!$P$7:$P$3006,"应收",资金台帐!$B$7:$B$3006,"&gt;="&amp;年初日,资金台帐!$B$7:$B$3006,"&lt;"&amp;$B$21))</f>
      </c>
      <c r="D113" s="186">
        <f>IF($B113="","",SUMIFS(出库明细!$G$4:$G$3003,出库明细!$C$4:$C$3003,$B113,出库明细!$B$4:$B$3003,"&gt;="&amp;$B$21,出库明细!$B$4:$B$3003,"&lt;="&amp;$D$21))</f>
      </c>
      <c r="E113" s="186">
        <f>IF($B113="","",SUMIFS(资金台帐!$S$7:$S$3006,资金台帐!$J$7:$J$3006,$B113,资金台帐!$P$7:$P$3006,"应收",资金台帐!$B$7:$B$3006,"&gt;="&amp;$B$21,资金台帐!$B$7:$B$3006,"&lt;="&amp;$D$21))</f>
      </c>
      <c r="F113" s="187">
        <f>IF($B113="","",C113+D113-E113)</f>
      </c>
      <c r="G113" s="141">
        <f>IF($B113="","",IF(ROUND(F113,2)=0,"已结清",IF(F113&gt;0,"有欠款","预存款")))</f>
      </c>
      <c r="H113" s="195">
        <f>IF($B113="","",_xlfn.MAXIFS(资金台帐!$B$7:$B$3006,资金台帐!$J$7:$J$3006,$B113,资金台帐!$P$7:$P$3006,"应收"))</f>
      </c>
    </row>
    <row r="114">
      <c r="A114" s="194">
        <f>IF(B114="","",91)</f>
      </c>
      <c r="B114" s="141">
        <f>IF(总览汇总!B95="","",总览汇总!B95)</f>
      </c>
      <c r="C114" s="186">
        <f>IF($B114="","",N(总览汇总!K95)+SUMIFS(出库明细!$G$4:$G$3003,出库明细!$C$4:$C$3003,$B114,出库明细!$B$4:$B$3003,"&gt;="&amp;年初日,出库明细!$B$4:$B$3003,"&lt;"&amp;$B$21)-SUMIFS(资金台帐!$S$7:$S$3006,资金台帐!$J$7:$J$3006,$B114,资金台帐!$P$7:$P$3006,"应收",资金台帐!$B$7:$B$3006,"&gt;="&amp;年初日,资金台帐!$B$7:$B$3006,"&lt;"&amp;$B$21))</f>
      </c>
      <c r="D114" s="186">
        <f>IF($B114="","",SUMIFS(出库明细!$G$4:$G$3003,出库明细!$C$4:$C$3003,$B114,出库明细!$B$4:$B$3003,"&gt;="&amp;$B$21,出库明细!$B$4:$B$3003,"&lt;="&amp;$D$21))</f>
      </c>
      <c r="E114" s="186">
        <f>IF($B114="","",SUMIFS(资金台帐!$S$7:$S$3006,资金台帐!$J$7:$J$3006,$B114,资金台帐!$P$7:$P$3006,"应收",资金台帐!$B$7:$B$3006,"&gt;="&amp;$B$21,资金台帐!$B$7:$B$3006,"&lt;="&amp;$D$21))</f>
      </c>
      <c r="F114" s="187">
        <f>IF($B114="","",C114+D114-E114)</f>
      </c>
      <c r="G114" s="141">
        <f>IF($B114="","",IF(ROUND(F114,2)=0,"已结清",IF(F114&gt;0,"有欠款","预存款")))</f>
      </c>
      <c r="H114" s="195">
        <f>IF($B114="","",_xlfn.MAXIFS(资金台帐!$B$7:$B$3006,资金台帐!$J$7:$J$3006,$B114,资金台帐!$P$7:$P$3006,"应收"))</f>
      </c>
    </row>
    <row r="115">
      <c r="A115" s="194">
        <f>IF(B115="","",92)</f>
      </c>
      <c r="B115" s="141">
        <f>IF(总览汇总!B96="","",总览汇总!B96)</f>
      </c>
      <c r="C115" s="186">
        <f>IF($B115="","",N(总览汇总!K96)+SUMIFS(出库明细!$G$4:$G$3003,出库明细!$C$4:$C$3003,$B115,出库明细!$B$4:$B$3003,"&gt;="&amp;年初日,出库明细!$B$4:$B$3003,"&lt;"&amp;$B$21)-SUMIFS(资金台帐!$S$7:$S$3006,资金台帐!$J$7:$J$3006,$B115,资金台帐!$P$7:$P$3006,"应收",资金台帐!$B$7:$B$3006,"&gt;="&amp;年初日,资金台帐!$B$7:$B$3006,"&lt;"&amp;$B$21))</f>
      </c>
      <c r="D115" s="186">
        <f>IF($B115="","",SUMIFS(出库明细!$G$4:$G$3003,出库明细!$C$4:$C$3003,$B115,出库明细!$B$4:$B$3003,"&gt;="&amp;$B$21,出库明细!$B$4:$B$3003,"&lt;="&amp;$D$21))</f>
      </c>
      <c r="E115" s="186">
        <f>IF($B115="","",SUMIFS(资金台帐!$S$7:$S$3006,资金台帐!$J$7:$J$3006,$B115,资金台帐!$P$7:$P$3006,"应收",资金台帐!$B$7:$B$3006,"&gt;="&amp;$B$21,资金台帐!$B$7:$B$3006,"&lt;="&amp;$D$21))</f>
      </c>
      <c r="F115" s="187">
        <f>IF($B115="","",C115+D115-E115)</f>
      </c>
      <c r="G115" s="141">
        <f>IF($B115="","",IF(ROUND(F115,2)=0,"已结清",IF(F115&gt;0,"有欠款","预存款")))</f>
      </c>
      <c r="H115" s="195">
        <f>IF($B115="","",_xlfn.MAXIFS(资金台帐!$B$7:$B$3006,资金台帐!$J$7:$J$3006,$B115,资金台帐!$P$7:$P$3006,"应收"))</f>
      </c>
    </row>
    <row r="116">
      <c r="A116" s="194">
        <f>IF(B116="","",93)</f>
      </c>
      <c r="B116" s="141">
        <f>IF(总览汇总!B97="","",总览汇总!B97)</f>
      </c>
      <c r="C116" s="186">
        <f>IF($B116="","",N(总览汇总!K97)+SUMIFS(出库明细!$G$4:$G$3003,出库明细!$C$4:$C$3003,$B116,出库明细!$B$4:$B$3003,"&gt;="&amp;年初日,出库明细!$B$4:$B$3003,"&lt;"&amp;$B$21)-SUMIFS(资金台帐!$S$7:$S$3006,资金台帐!$J$7:$J$3006,$B116,资金台帐!$P$7:$P$3006,"应收",资金台帐!$B$7:$B$3006,"&gt;="&amp;年初日,资金台帐!$B$7:$B$3006,"&lt;"&amp;$B$21))</f>
      </c>
      <c r="D116" s="186">
        <f>IF($B116="","",SUMIFS(出库明细!$G$4:$G$3003,出库明细!$C$4:$C$3003,$B116,出库明细!$B$4:$B$3003,"&gt;="&amp;$B$21,出库明细!$B$4:$B$3003,"&lt;="&amp;$D$21))</f>
      </c>
      <c r="E116" s="186">
        <f>IF($B116="","",SUMIFS(资金台帐!$S$7:$S$3006,资金台帐!$J$7:$J$3006,$B116,资金台帐!$P$7:$P$3006,"应收",资金台帐!$B$7:$B$3006,"&gt;="&amp;$B$21,资金台帐!$B$7:$B$3006,"&lt;="&amp;$D$21))</f>
      </c>
      <c r="F116" s="187">
        <f>IF($B116="","",C116+D116-E116)</f>
      </c>
      <c r="G116" s="141">
        <f>IF($B116="","",IF(ROUND(F116,2)=0,"已结清",IF(F116&gt;0,"有欠款","预存款")))</f>
      </c>
      <c r="H116" s="195">
        <f>IF($B116="","",_xlfn.MAXIFS(资金台帐!$B$7:$B$3006,资金台帐!$J$7:$J$3006,$B116,资金台帐!$P$7:$P$3006,"应收"))</f>
      </c>
    </row>
    <row r="117">
      <c r="A117" s="194">
        <f>IF(B117="","",94)</f>
      </c>
      <c r="B117" s="141">
        <f>IF(总览汇总!B98="","",总览汇总!B98)</f>
      </c>
      <c r="C117" s="186">
        <f>IF($B117="","",N(总览汇总!K98)+SUMIFS(出库明细!$G$4:$G$3003,出库明细!$C$4:$C$3003,$B117,出库明细!$B$4:$B$3003,"&gt;="&amp;年初日,出库明细!$B$4:$B$3003,"&lt;"&amp;$B$21)-SUMIFS(资金台帐!$S$7:$S$3006,资金台帐!$J$7:$J$3006,$B117,资金台帐!$P$7:$P$3006,"应收",资金台帐!$B$7:$B$3006,"&gt;="&amp;年初日,资金台帐!$B$7:$B$3006,"&lt;"&amp;$B$21))</f>
      </c>
      <c r="D117" s="186">
        <f>IF($B117="","",SUMIFS(出库明细!$G$4:$G$3003,出库明细!$C$4:$C$3003,$B117,出库明细!$B$4:$B$3003,"&gt;="&amp;$B$21,出库明细!$B$4:$B$3003,"&lt;="&amp;$D$21))</f>
      </c>
      <c r="E117" s="186">
        <f>IF($B117="","",SUMIFS(资金台帐!$S$7:$S$3006,资金台帐!$J$7:$J$3006,$B117,资金台帐!$P$7:$P$3006,"应收",资金台帐!$B$7:$B$3006,"&gt;="&amp;$B$21,资金台帐!$B$7:$B$3006,"&lt;="&amp;$D$21))</f>
      </c>
      <c r="F117" s="187">
        <f>IF($B117="","",C117+D117-E117)</f>
      </c>
      <c r="G117" s="141">
        <f>IF($B117="","",IF(ROUND(F117,2)=0,"已结清",IF(F117&gt;0,"有欠款","预存款")))</f>
      </c>
      <c r="H117" s="195">
        <f>IF($B117="","",_xlfn.MAXIFS(资金台帐!$B$7:$B$3006,资金台帐!$J$7:$J$3006,$B117,资金台帐!$P$7:$P$3006,"应收"))</f>
      </c>
    </row>
    <row r="118">
      <c r="A118" s="194">
        <f>IF(B118="","",95)</f>
      </c>
      <c r="B118" s="141">
        <f>IF(总览汇总!B99="","",总览汇总!B99)</f>
      </c>
      <c r="C118" s="186">
        <f>IF($B118="","",N(总览汇总!K99)+SUMIFS(出库明细!$G$4:$G$3003,出库明细!$C$4:$C$3003,$B118,出库明细!$B$4:$B$3003,"&gt;="&amp;年初日,出库明细!$B$4:$B$3003,"&lt;"&amp;$B$21)-SUMIFS(资金台帐!$S$7:$S$3006,资金台帐!$J$7:$J$3006,$B118,资金台帐!$P$7:$P$3006,"应收",资金台帐!$B$7:$B$3006,"&gt;="&amp;年初日,资金台帐!$B$7:$B$3006,"&lt;"&amp;$B$21))</f>
      </c>
      <c r="D118" s="186">
        <f>IF($B118="","",SUMIFS(出库明细!$G$4:$G$3003,出库明细!$C$4:$C$3003,$B118,出库明细!$B$4:$B$3003,"&gt;="&amp;$B$21,出库明细!$B$4:$B$3003,"&lt;="&amp;$D$21))</f>
      </c>
      <c r="E118" s="186">
        <f>IF($B118="","",SUMIFS(资金台帐!$S$7:$S$3006,资金台帐!$J$7:$J$3006,$B118,资金台帐!$P$7:$P$3006,"应收",资金台帐!$B$7:$B$3006,"&gt;="&amp;$B$21,资金台帐!$B$7:$B$3006,"&lt;="&amp;$D$21))</f>
      </c>
      <c r="F118" s="187">
        <f>IF($B118="","",C118+D118-E118)</f>
      </c>
      <c r="G118" s="141">
        <f>IF($B118="","",IF(ROUND(F118,2)=0,"已结清",IF(F118&gt;0,"有欠款","预存款")))</f>
      </c>
      <c r="H118" s="195">
        <f>IF($B118="","",_xlfn.MAXIFS(资金台帐!$B$7:$B$3006,资金台帐!$J$7:$J$3006,$B118,资金台帐!$P$7:$P$3006,"应收"))</f>
      </c>
    </row>
    <row r="119">
      <c r="A119" s="194">
        <f>IF(B119="","",96)</f>
      </c>
      <c r="B119" s="141">
        <f>IF(总览汇总!B100="","",总览汇总!B100)</f>
      </c>
      <c r="C119" s="186">
        <f>IF($B119="","",N(总览汇总!K100)+SUMIFS(出库明细!$G$4:$G$3003,出库明细!$C$4:$C$3003,$B119,出库明细!$B$4:$B$3003,"&gt;="&amp;年初日,出库明细!$B$4:$B$3003,"&lt;"&amp;$B$21)-SUMIFS(资金台帐!$S$7:$S$3006,资金台帐!$J$7:$J$3006,$B119,资金台帐!$P$7:$P$3006,"应收",资金台帐!$B$7:$B$3006,"&gt;="&amp;年初日,资金台帐!$B$7:$B$3006,"&lt;"&amp;$B$21))</f>
      </c>
      <c r="D119" s="186">
        <f>IF($B119="","",SUMIFS(出库明细!$G$4:$G$3003,出库明细!$C$4:$C$3003,$B119,出库明细!$B$4:$B$3003,"&gt;="&amp;$B$21,出库明细!$B$4:$B$3003,"&lt;="&amp;$D$21))</f>
      </c>
      <c r="E119" s="186">
        <f>IF($B119="","",SUMIFS(资金台帐!$S$7:$S$3006,资金台帐!$J$7:$J$3006,$B119,资金台帐!$P$7:$P$3006,"应收",资金台帐!$B$7:$B$3006,"&gt;="&amp;$B$21,资金台帐!$B$7:$B$3006,"&lt;="&amp;$D$21))</f>
      </c>
      <c r="F119" s="187">
        <f>IF($B119="","",C119+D119-E119)</f>
      </c>
      <c r="G119" s="141">
        <f>IF($B119="","",IF(ROUND(F119,2)=0,"已结清",IF(F119&gt;0,"有欠款","预存款")))</f>
      </c>
      <c r="H119" s="195">
        <f>IF($B119="","",_xlfn.MAXIFS(资金台帐!$B$7:$B$3006,资金台帐!$J$7:$J$3006,$B119,资金台帐!$P$7:$P$3006,"应收"))</f>
      </c>
    </row>
    <row r="120">
      <c r="A120" s="194">
        <f>IF(B120="","",97)</f>
      </c>
      <c r="B120" s="141">
        <f>IF(总览汇总!B101="","",总览汇总!B101)</f>
      </c>
      <c r="C120" s="186">
        <f>IF($B120="","",N(总览汇总!K101)+SUMIFS(出库明细!$G$4:$G$3003,出库明细!$C$4:$C$3003,$B120,出库明细!$B$4:$B$3003,"&gt;="&amp;年初日,出库明细!$B$4:$B$3003,"&lt;"&amp;$B$21)-SUMIFS(资金台帐!$S$7:$S$3006,资金台帐!$J$7:$J$3006,$B120,资金台帐!$P$7:$P$3006,"应收",资金台帐!$B$7:$B$3006,"&gt;="&amp;年初日,资金台帐!$B$7:$B$3006,"&lt;"&amp;$B$21))</f>
      </c>
      <c r="D120" s="186">
        <f>IF($B120="","",SUMIFS(出库明细!$G$4:$G$3003,出库明细!$C$4:$C$3003,$B120,出库明细!$B$4:$B$3003,"&gt;="&amp;$B$21,出库明细!$B$4:$B$3003,"&lt;="&amp;$D$21))</f>
      </c>
      <c r="E120" s="186">
        <f>IF($B120="","",SUMIFS(资金台帐!$S$7:$S$3006,资金台帐!$J$7:$J$3006,$B120,资金台帐!$P$7:$P$3006,"应收",资金台帐!$B$7:$B$3006,"&gt;="&amp;$B$21,资金台帐!$B$7:$B$3006,"&lt;="&amp;$D$21))</f>
      </c>
      <c r="F120" s="187">
        <f>IF($B120="","",C120+D120-E120)</f>
      </c>
      <c r="G120" s="141">
        <f>IF($B120="","",IF(ROUND(F120,2)=0,"已结清",IF(F120&gt;0,"有欠款","预存款")))</f>
      </c>
      <c r="H120" s="195">
        <f>IF($B120="","",_xlfn.MAXIFS(资金台帐!$B$7:$B$3006,资金台帐!$J$7:$J$3006,$B120,资金台帐!$P$7:$P$3006,"应收"))</f>
      </c>
    </row>
    <row r="121">
      <c r="A121" s="194">
        <f>IF(B121="","",98)</f>
      </c>
      <c r="B121" s="141">
        <f>IF(总览汇总!B102="","",总览汇总!B102)</f>
      </c>
      <c r="C121" s="186">
        <f>IF($B121="","",N(总览汇总!K102)+SUMIFS(出库明细!$G$4:$G$3003,出库明细!$C$4:$C$3003,$B121,出库明细!$B$4:$B$3003,"&gt;="&amp;年初日,出库明细!$B$4:$B$3003,"&lt;"&amp;$B$21)-SUMIFS(资金台帐!$S$7:$S$3006,资金台帐!$J$7:$J$3006,$B121,资金台帐!$P$7:$P$3006,"应收",资金台帐!$B$7:$B$3006,"&gt;="&amp;年初日,资金台帐!$B$7:$B$3006,"&lt;"&amp;$B$21))</f>
      </c>
      <c r="D121" s="186">
        <f>IF($B121="","",SUMIFS(出库明细!$G$4:$G$3003,出库明细!$C$4:$C$3003,$B121,出库明细!$B$4:$B$3003,"&gt;="&amp;$B$21,出库明细!$B$4:$B$3003,"&lt;="&amp;$D$21))</f>
      </c>
      <c r="E121" s="186">
        <f>IF($B121="","",SUMIFS(资金台帐!$S$7:$S$3006,资金台帐!$J$7:$J$3006,$B121,资金台帐!$P$7:$P$3006,"应收",资金台帐!$B$7:$B$3006,"&gt;="&amp;$B$21,资金台帐!$B$7:$B$3006,"&lt;="&amp;$D$21))</f>
      </c>
      <c r="F121" s="187">
        <f>IF($B121="","",C121+D121-E121)</f>
      </c>
      <c r="G121" s="141">
        <f>IF($B121="","",IF(ROUND(F121,2)=0,"已结清",IF(F121&gt;0,"有欠款","预存款")))</f>
      </c>
      <c r="H121" s="195">
        <f>IF($B121="","",_xlfn.MAXIFS(资金台帐!$B$7:$B$3006,资金台帐!$J$7:$J$3006,$B121,资金台帐!$P$7:$P$3006,"应收"))</f>
      </c>
    </row>
    <row r="122">
      <c r="A122" s="194">
        <f>IF(B122="","",99)</f>
      </c>
      <c r="B122" s="141">
        <f>IF(总览汇总!B103="","",总览汇总!B103)</f>
      </c>
      <c r="C122" s="186">
        <f>IF($B122="","",N(总览汇总!K103)+SUMIFS(出库明细!$G$4:$G$3003,出库明细!$C$4:$C$3003,$B122,出库明细!$B$4:$B$3003,"&gt;="&amp;年初日,出库明细!$B$4:$B$3003,"&lt;"&amp;$B$21)-SUMIFS(资金台帐!$S$7:$S$3006,资金台帐!$J$7:$J$3006,$B122,资金台帐!$P$7:$P$3006,"应收",资金台帐!$B$7:$B$3006,"&gt;="&amp;年初日,资金台帐!$B$7:$B$3006,"&lt;"&amp;$B$21))</f>
      </c>
      <c r="D122" s="186">
        <f>IF($B122="","",SUMIFS(出库明细!$G$4:$G$3003,出库明细!$C$4:$C$3003,$B122,出库明细!$B$4:$B$3003,"&gt;="&amp;$B$21,出库明细!$B$4:$B$3003,"&lt;="&amp;$D$21))</f>
      </c>
      <c r="E122" s="186">
        <f>IF($B122="","",SUMIFS(资金台帐!$S$7:$S$3006,资金台帐!$J$7:$J$3006,$B122,资金台帐!$P$7:$P$3006,"应收",资金台帐!$B$7:$B$3006,"&gt;="&amp;$B$21,资金台帐!$B$7:$B$3006,"&lt;="&amp;$D$21))</f>
      </c>
      <c r="F122" s="187">
        <f>IF($B122="","",C122+D122-E122)</f>
      </c>
      <c r="G122" s="141">
        <f>IF($B122="","",IF(ROUND(F122,2)=0,"已结清",IF(F122&gt;0,"有欠款","预存款")))</f>
      </c>
      <c r="H122" s="195">
        <f>IF($B122="","",_xlfn.MAXIFS(资金台帐!$B$7:$B$3006,资金台帐!$J$7:$J$3006,$B122,资金台帐!$P$7:$P$3006,"应收"))</f>
      </c>
    </row>
    <row r="123">
      <c r="A123" s="194">
        <f>IF(B123="","",100)</f>
      </c>
      <c r="B123" s="141">
        <f>IF(总览汇总!B104="","",总览汇总!B104)</f>
      </c>
      <c r="C123" s="186">
        <f>IF($B123="","",N(总览汇总!K104)+SUMIFS(出库明细!$G$4:$G$3003,出库明细!$C$4:$C$3003,$B123,出库明细!$B$4:$B$3003,"&gt;="&amp;年初日,出库明细!$B$4:$B$3003,"&lt;"&amp;$B$21)-SUMIFS(资金台帐!$S$7:$S$3006,资金台帐!$J$7:$J$3006,$B123,资金台帐!$P$7:$P$3006,"应收",资金台帐!$B$7:$B$3006,"&gt;="&amp;年初日,资金台帐!$B$7:$B$3006,"&lt;"&amp;$B$21))</f>
      </c>
      <c r="D123" s="186">
        <f>IF($B123="","",SUMIFS(出库明细!$G$4:$G$3003,出库明细!$C$4:$C$3003,$B123,出库明细!$B$4:$B$3003,"&gt;="&amp;$B$21,出库明细!$B$4:$B$3003,"&lt;="&amp;$D$21))</f>
      </c>
      <c r="E123" s="186">
        <f>IF($B123="","",SUMIFS(资金台帐!$S$7:$S$3006,资金台帐!$J$7:$J$3006,$B123,资金台帐!$P$7:$P$3006,"应收",资金台帐!$B$7:$B$3006,"&gt;="&amp;$B$21,资金台帐!$B$7:$B$3006,"&lt;="&amp;$D$21))</f>
      </c>
      <c r="F123" s="187">
        <f>IF($B123="","",C123+D123-E123)</f>
      </c>
      <c r="G123" s="141">
        <f>IF($B123="","",IF(ROUND(F123,2)=0,"已结清",IF(F123&gt;0,"有欠款","预存款")))</f>
      </c>
      <c r="H123" s="195">
        <f>IF($B123="","",_xlfn.MAXIFS(资金台帐!$B$7:$B$3006,资金台帐!$J$7:$J$3006,$B123,资金台帐!$P$7:$P$3006,"应收"))</f>
      </c>
    </row>
    <row r="124">
      <c r="A124" s="194">
        <f>IF(B124="","",101)</f>
      </c>
      <c r="B124" s="141">
        <f>IF(总览汇总!B105="","",总览汇总!B105)</f>
      </c>
      <c r="C124" s="186">
        <f>IF($B124="","",N(总览汇总!K105)+SUMIFS(出库明细!$G$4:$G$3003,出库明细!$C$4:$C$3003,$B124,出库明细!$B$4:$B$3003,"&gt;="&amp;年初日,出库明细!$B$4:$B$3003,"&lt;"&amp;$B$21)-SUMIFS(资金台帐!$S$7:$S$3006,资金台帐!$J$7:$J$3006,$B124,资金台帐!$P$7:$P$3006,"应收",资金台帐!$B$7:$B$3006,"&gt;="&amp;年初日,资金台帐!$B$7:$B$3006,"&lt;"&amp;$B$21))</f>
      </c>
      <c r="D124" s="186">
        <f>IF($B124="","",SUMIFS(出库明细!$G$4:$G$3003,出库明细!$C$4:$C$3003,$B124,出库明细!$B$4:$B$3003,"&gt;="&amp;$B$21,出库明细!$B$4:$B$3003,"&lt;="&amp;$D$21))</f>
      </c>
      <c r="E124" s="186">
        <f>IF($B124="","",SUMIFS(资金台帐!$S$7:$S$3006,资金台帐!$J$7:$J$3006,$B124,资金台帐!$P$7:$P$3006,"应收",资金台帐!$B$7:$B$3006,"&gt;="&amp;$B$21,资金台帐!$B$7:$B$3006,"&lt;="&amp;$D$21))</f>
      </c>
      <c r="F124" s="187">
        <f>IF($B124="","",C124+D124-E124)</f>
      </c>
      <c r="G124" s="141">
        <f>IF($B124="","",IF(ROUND(F124,2)=0,"已结清",IF(F124&gt;0,"有欠款","预存款")))</f>
      </c>
      <c r="H124" s="195">
        <f>IF($B124="","",_xlfn.MAXIFS(资金台帐!$B$7:$B$3006,资金台帐!$J$7:$J$3006,$B124,资金台帐!$P$7:$P$3006,"应收"))</f>
      </c>
    </row>
    <row r="125">
      <c r="A125" s="194">
        <f>IF(B125="","",102)</f>
      </c>
      <c r="B125" s="141">
        <f>IF(总览汇总!B106="","",总览汇总!B106)</f>
      </c>
      <c r="C125" s="186">
        <f>IF($B125="","",N(总览汇总!K106)+SUMIFS(出库明细!$G$4:$G$3003,出库明细!$C$4:$C$3003,$B125,出库明细!$B$4:$B$3003,"&gt;="&amp;年初日,出库明细!$B$4:$B$3003,"&lt;"&amp;$B$21)-SUMIFS(资金台帐!$S$7:$S$3006,资金台帐!$J$7:$J$3006,$B125,资金台帐!$P$7:$P$3006,"应收",资金台帐!$B$7:$B$3006,"&gt;="&amp;年初日,资金台帐!$B$7:$B$3006,"&lt;"&amp;$B$21))</f>
      </c>
      <c r="D125" s="186">
        <f>IF($B125="","",SUMIFS(出库明细!$G$4:$G$3003,出库明细!$C$4:$C$3003,$B125,出库明细!$B$4:$B$3003,"&gt;="&amp;$B$21,出库明细!$B$4:$B$3003,"&lt;="&amp;$D$21))</f>
      </c>
      <c r="E125" s="186">
        <f>IF($B125="","",SUMIFS(资金台帐!$S$7:$S$3006,资金台帐!$J$7:$J$3006,$B125,资金台帐!$P$7:$P$3006,"应收",资金台帐!$B$7:$B$3006,"&gt;="&amp;$B$21,资金台帐!$B$7:$B$3006,"&lt;="&amp;$D$21))</f>
      </c>
      <c r="F125" s="187">
        <f>IF($B125="","",C125+D125-E125)</f>
      </c>
      <c r="G125" s="141">
        <f>IF($B125="","",IF(ROUND(F125,2)=0,"已结清",IF(F125&gt;0,"有欠款","预存款")))</f>
      </c>
      <c r="H125" s="195">
        <f>IF($B125="","",_xlfn.MAXIFS(资金台帐!$B$7:$B$3006,资金台帐!$J$7:$J$3006,$B125,资金台帐!$P$7:$P$3006,"应收"))</f>
      </c>
    </row>
    <row r="126">
      <c r="A126" s="194">
        <f>IF(B126="","",103)</f>
      </c>
      <c r="B126" s="141">
        <f>IF(总览汇总!B107="","",总览汇总!B107)</f>
      </c>
      <c r="C126" s="186">
        <f>IF($B126="","",N(总览汇总!K107)+SUMIFS(出库明细!$G$4:$G$3003,出库明细!$C$4:$C$3003,$B126,出库明细!$B$4:$B$3003,"&gt;="&amp;年初日,出库明细!$B$4:$B$3003,"&lt;"&amp;$B$21)-SUMIFS(资金台帐!$S$7:$S$3006,资金台帐!$J$7:$J$3006,$B126,资金台帐!$P$7:$P$3006,"应收",资金台帐!$B$7:$B$3006,"&gt;="&amp;年初日,资金台帐!$B$7:$B$3006,"&lt;"&amp;$B$21))</f>
      </c>
      <c r="D126" s="186">
        <f>IF($B126="","",SUMIFS(出库明细!$G$4:$G$3003,出库明细!$C$4:$C$3003,$B126,出库明细!$B$4:$B$3003,"&gt;="&amp;$B$21,出库明细!$B$4:$B$3003,"&lt;="&amp;$D$21))</f>
      </c>
      <c r="E126" s="186">
        <f>IF($B126="","",SUMIFS(资金台帐!$S$7:$S$3006,资金台帐!$J$7:$J$3006,$B126,资金台帐!$P$7:$P$3006,"应收",资金台帐!$B$7:$B$3006,"&gt;="&amp;$B$21,资金台帐!$B$7:$B$3006,"&lt;="&amp;$D$21))</f>
      </c>
      <c r="F126" s="187">
        <f>IF($B126="","",C126+D126-E126)</f>
      </c>
      <c r="G126" s="141">
        <f>IF($B126="","",IF(ROUND(F126,2)=0,"已结清",IF(F126&gt;0,"有欠款","预存款")))</f>
      </c>
      <c r="H126" s="195">
        <f>IF($B126="","",_xlfn.MAXIFS(资金台帐!$B$7:$B$3006,资金台帐!$J$7:$J$3006,$B126,资金台帐!$P$7:$P$3006,"应收"))</f>
      </c>
    </row>
    <row r="127">
      <c r="A127" s="194">
        <f>IF(B127="","",104)</f>
      </c>
      <c r="B127" s="141">
        <f>IF(总览汇总!B108="","",总览汇总!B108)</f>
      </c>
      <c r="C127" s="186">
        <f>IF($B127="","",N(总览汇总!K108)+SUMIFS(出库明细!$G$4:$G$3003,出库明细!$C$4:$C$3003,$B127,出库明细!$B$4:$B$3003,"&gt;="&amp;年初日,出库明细!$B$4:$B$3003,"&lt;"&amp;$B$21)-SUMIFS(资金台帐!$S$7:$S$3006,资金台帐!$J$7:$J$3006,$B127,资金台帐!$P$7:$P$3006,"应收",资金台帐!$B$7:$B$3006,"&gt;="&amp;年初日,资金台帐!$B$7:$B$3006,"&lt;"&amp;$B$21))</f>
      </c>
      <c r="D127" s="186">
        <f>IF($B127="","",SUMIFS(出库明细!$G$4:$G$3003,出库明细!$C$4:$C$3003,$B127,出库明细!$B$4:$B$3003,"&gt;="&amp;$B$21,出库明细!$B$4:$B$3003,"&lt;="&amp;$D$21))</f>
      </c>
      <c r="E127" s="186">
        <f>IF($B127="","",SUMIFS(资金台帐!$S$7:$S$3006,资金台帐!$J$7:$J$3006,$B127,资金台帐!$P$7:$P$3006,"应收",资金台帐!$B$7:$B$3006,"&gt;="&amp;$B$21,资金台帐!$B$7:$B$3006,"&lt;="&amp;$D$21))</f>
      </c>
      <c r="F127" s="187">
        <f>IF($B127="","",C127+D127-E127)</f>
      </c>
      <c r="G127" s="141">
        <f>IF($B127="","",IF(ROUND(F127,2)=0,"已结清",IF(F127&gt;0,"有欠款","预存款")))</f>
      </c>
      <c r="H127" s="195">
        <f>IF($B127="","",_xlfn.MAXIFS(资金台帐!$B$7:$B$3006,资金台帐!$J$7:$J$3006,$B127,资金台帐!$P$7:$P$3006,"应收"))</f>
      </c>
    </row>
    <row r="128">
      <c r="A128" s="194">
        <f>IF(B128="","",105)</f>
      </c>
      <c r="B128" s="141">
        <f>IF(总览汇总!B109="","",总览汇总!B109)</f>
      </c>
      <c r="C128" s="186">
        <f>IF($B128="","",N(总览汇总!K109)+SUMIFS(出库明细!$G$4:$G$3003,出库明细!$C$4:$C$3003,$B128,出库明细!$B$4:$B$3003,"&gt;="&amp;年初日,出库明细!$B$4:$B$3003,"&lt;"&amp;$B$21)-SUMIFS(资金台帐!$S$7:$S$3006,资金台帐!$J$7:$J$3006,$B128,资金台帐!$P$7:$P$3006,"应收",资金台帐!$B$7:$B$3006,"&gt;="&amp;年初日,资金台帐!$B$7:$B$3006,"&lt;"&amp;$B$21))</f>
      </c>
      <c r="D128" s="186">
        <f>IF($B128="","",SUMIFS(出库明细!$G$4:$G$3003,出库明细!$C$4:$C$3003,$B128,出库明细!$B$4:$B$3003,"&gt;="&amp;$B$21,出库明细!$B$4:$B$3003,"&lt;="&amp;$D$21))</f>
      </c>
      <c r="E128" s="186">
        <f>IF($B128="","",SUMIFS(资金台帐!$S$7:$S$3006,资金台帐!$J$7:$J$3006,$B128,资金台帐!$P$7:$P$3006,"应收",资金台帐!$B$7:$B$3006,"&gt;="&amp;$B$21,资金台帐!$B$7:$B$3006,"&lt;="&amp;$D$21))</f>
      </c>
      <c r="F128" s="187">
        <f>IF($B128="","",C128+D128-E128)</f>
      </c>
      <c r="G128" s="141">
        <f>IF($B128="","",IF(ROUND(F128,2)=0,"已结清",IF(F128&gt;0,"有欠款","预存款")))</f>
      </c>
      <c r="H128" s="195">
        <f>IF($B128="","",_xlfn.MAXIFS(资金台帐!$B$7:$B$3006,资金台帐!$J$7:$J$3006,$B128,资金台帐!$P$7:$P$3006,"应收"))</f>
      </c>
    </row>
    <row r="129">
      <c r="A129" s="194">
        <f>IF(B129="","",106)</f>
      </c>
      <c r="B129" s="141">
        <f>IF(总览汇总!B110="","",总览汇总!B110)</f>
      </c>
      <c r="C129" s="186">
        <f>IF($B129="","",N(总览汇总!K110)+SUMIFS(出库明细!$G$4:$G$3003,出库明细!$C$4:$C$3003,$B129,出库明细!$B$4:$B$3003,"&gt;="&amp;年初日,出库明细!$B$4:$B$3003,"&lt;"&amp;$B$21)-SUMIFS(资金台帐!$S$7:$S$3006,资金台帐!$J$7:$J$3006,$B129,资金台帐!$P$7:$P$3006,"应收",资金台帐!$B$7:$B$3006,"&gt;="&amp;年初日,资金台帐!$B$7:$B$3006,"&lt;"&amp;$B$21))</f>
      </c>
      <c r="D129" s="186">
        <f>IF($B129="","",SUMIFS(出库明细!$G$4:$G$3003,出库明细!$C$4:$C$3003,$B129,出库明细!$B$4:$B$3003,"&gt;="&amp;$B$21,出库明细!$B$4:$B$3003,"&lt;="&amp;$D$21))</f>
      </c>
      <c r="E129" s="186">
        <f>IF($B129="","",SUMIFS(资金台帐!$S$7:$S$3006,资金台帐!$J$7:$J$3006,$B129,资金台帐!$P$7:$P$3006,"应收",资金台帐!$B$7:$B$3006,"&gt;="&amp;$B$21,资金台帐!$B$7:$B$3006,"&lt;="&amp;$D$21))</f>
      </c>
      <c r="F129" s="187">
        <f>IF($B129="","",C129+D129-E129)</f>
      </c>
      <c r="G129" s="141">
        <f>IF($B129="","",IF(ROUND(F129,2)=0,"已结清",IF(F129&gt;0,"有欠款","预存款")))</f>
      </c>
      <c r="H129" s="195">
        <f>IF($B129="","",_xlfn.MAXIFS(资金台帐!$B$7:$B$3006,资金台帐!$J$7:$J$3006,$B129,资金台帐!$P$7:$P$3006,"应收"))</f>
      </c>
    </row>
    <row r="130">
      <c r="A130" s="194">
        <f>IF(B130="","",107)</f>
      </c>
      <c r="B130" s="141">
        <f>IF(总览汇总!B111="","",总览汇总!B111)</f>
      </c>
      <c r="C130" s="186">
        <f>IF($B130="","",N(总览汇总!K111)+SUMIFS(出库明细!$G$4:$G$3003,出库明细!$C$4:$C$3003,$B130,出库明细!$B$4:$B$3003,"&gt;="&amp;年初日,出库明细!$B$4:$B$3003,"&lt;"&amp;$B$21)-SUMIFS(资金台帐!$S$7:$S$3006,资金台帐!$J$7:$J$3006,$B130,资金台帐!$P$7:$P$3006,"应收",资金台帐!$B$7:$B$3006,"&gt;="&amp;年初日,资金台帐!$B$7:$B$3006,"&lt;"&amp;$B$21))</f>
      </c>
      <c r="D130" s="186">
        <f>IF($B130="","",SUMIFS(出库明细!$G$4:$G$3003,出库明细!$C$4:$C$3003,$B130,出库明细!$B$4:$B$3003,"&gt;="&amp;$B$21,出库明细!$B$4:$B$3003,"&lt;="&amp;$D$21))</f>
      </c>
      <c r="E130" s="186">
        <f>IF($B130="","",SUMIFS(资金台帐!$S$7:$S$3006,资金台帐!$J$7:$J$3006,$B130,资金台帐!$P$7:$P$3006,"应收",资金台帐!$B$7:$B$3006,"&gt;="&amp;$B$21,资金台帐!$B$7:$B$3006,"&lt;="&amp;$D$21))</f>
      </c>
      <c r="F130" s="187">
        <f>IF($B130="","",C130+D130-E130)</f>
      </c>
      <c r="G130" s="141">
        <f>IF($B130="","",IF(ROUND(F130,2)=0,"已结清",IF(F130&gt;0,"有欠款","预存款")))</f>
      </c>
      <c r="H130" s="195">
        <f>IF($B130="","",_xlfn.MAXIFS(资金台帐!$B$7:$B$3006,资金台帐!$J$7:$J$3006,$B130,资金台帐!$P$7:$P$3006,"应收"))</f>
      </c>
    </row>
    <row r="131">
      <c r="A131" s="194">
        <f>IF(B131="","",108)</f>
      </c>
      <c r="B131" s="141">
        <f>IF(总览汇总!B112="","",总览汇总!B112)</f>
      </c>
      <c r="C131" s="186">
        <f>IF($B131="","",N(总览汇总!K112)+SUMIFS(出库明细!$G$4:$G$3003,出库明细!$C$4:$C$3003,$B131,出库明细!$B$4:$B$3003,"&gt;="&amp;年初日,出库明细!$B$4:$B$3003,"&lt;"&amp;$B$21)-SUMIFS(资金台帐!$S$7:$S$3006,资金台帐!$J$7:$J$3006,$B131,资金台帐!$P$7:$P$3006,"应收",资金台帐!$B$7:$B$3006,"&gt;="&amp;年初日,资金台帐!$B$7:$B$3006,"&lt;"&amp;$B$21))</f>
      </c>
      <c r="D131" s="186">
        <f>IF($B131="","",SUMIFS(出库明细!$G$4:$G$3003,出库明细!$C$4:$C$3003,$B131,出库明细!$B$4:$B$3003,"&gt;="&amp;$B$21,出库明细!$B$4:$B$3003,"&lt;="&amp;$D$21))</f>
      </c>
      <c r="E131" s="186">
        <f>IF($B131="","",SUMIFS(资金台帐!$S$7:$S$3006,资金台帐!$J$7:$J$3006,$B131,资金台帐!$P$7:$P$3006,"应收",资金台帐!$B$7:$B$3006,"&gt;="&amp;$B$21,资金台帐!$B$7:$B$3006,"&lt;="&amp;$D$21))</f>
      </c>
      <c r="F131" s="187">
        <f>IF($B131="","",C131+D131-E131)</f>
      </c>
      <c r="G131" s="141">
        <f>IF($B131="","",IF(ROUND(F131,2)=0,"已结清",IF(F131&gt;0,"有欠款","预存款")))</f>
      </c>
      <c r="H131" s="195">
        <f>IF($B131="","",_xlfn.MAXIFS(资金台帐!$B$7:$B$3006,资金台帐!$J$7:$J$3006,$B131,资金台帐!$P$7:$P$3006,"应收"))</f>
      </c>
    </row>
    <row r="132">
      <c r="A132" s="194">
        <f>IF(B132="","",109)</f>
      </c>
      <c r="B132" s="141">
        <f>IF(总览汇总!B113="","",总览汇总!B113)</f>
      </c>
      <c r="C132" s="186">
        <f>IF($B132="","",N(总览汇总!K113)+SUMIFS(出库明细!$G$4:$G$3003,出库明细!$C$4:$C$3003,$B132,出库明细!$B$4:$B$3003,"&gt;="&amp;年初日,出库明细!$B$4:$B$3003,"&lt;"&amp;$B$21)-SUMIFS(资金台帐!$S$7:$S$3006,资金台帐!$J$7:$J$3006,$B132,资金台帐!$P$7:$P$3006,"应收",资金台帐!$B$7:$B$3006,"&gt;="&amp;年初日,资金台帐!$B$7:$B$3006,"&lt;"&amp;$B$21))</f>
      </c>
      <c r="D132" s="186">
        <f>IF($B132="","",SUMIFS(出库明细!$G$4:$G$3003,出库明细!$C$4:$C$3003,$B132,出库明细!$B$4:$B$3003,"&gt;="&amp;$B$21,出库明细!$B$4:$B$3003,"&lt;="&amp;$D$21))</f>
      </c>
      <c r="E132" s="186">
        <f>IF($B132="","",SUMIFS(资金台帐!$S$7:$S$3006,资金台帐!$J$7:$J$3006,$B132,资金台帐!$P$7:$P$3006,"应收",资金台帐!$B$7:$B$3006,"&gt;="&amp;$B$21,资金台帐!$B$7:$B$3006,"&lt;="&amp;$D$21))</f>
      </c>
      <c r="F132" s="187">
        <f>IF($B132="","",C132+D132-E132)</f>
      </c>
      <c r="G132" s="141">
        <f>IF($B132="","",IF(ROUND(F132,2)=0,"已结清",IF(F132&gt;0,"有欠款","预存款")))</f>
      </c>
      <c r="H132" s="195">
        <f>IF($B132="","",_xlfn.MAXIFS(资金台帐!$B$7:$B$3006,资金台帐!$J$7:$J$3006,$B132,资金台帐!$P$7:$P$3006,"应收"))</f>
      </c>
    </row>
    <row r="133">
      <c r="A133" s="194">
        <f>IF(B133="","",110)</f>
      </c>
      <c r="B133" s="141">
        <f>IF(总览汇总!B114="","",总览汇总!B114)</f>
      </c>
      <c r="C133" s="186">
        <f>IF($B133="","",N(总览汇总!K114)+SUMIFS(出库明细!$G$4:$G$3003,出库明细!$C$4:$C$3003,$B133,出库明细!$B$4:$B$3003,"&gt;="&amp;年初日,出库明细!$B$4:$B$3003,"&lt;"&amp;$B$21)-SUMIFS(资金台帐!$S$7:$S$3006,资金台帐!$J$7:$J$3006,$B133,资金台帐!$P$7:$P$3006,"应收",资金台帐!$B$7:$B$3006,"&gt;="&amp;年初日,资金台帐!$B$7:$B$3006,"&lt;"&amp;$B$21))</f>
      </c>
      <c r="D133" s="186">
        <f>IF($B133="","",SUMIFS(出库明细!$G$4:$G$3003,出库明细!$C$4:$C$3003,$B133,出库明细!$B$4:$B$3003,"&gt;="&amp;$B$21,出库明细!$B$4:$B$3003,"&lt;="&amp;$D$21))</f>
      </c>
      <c r="E133" s="186">
        <f>IF($B133="","",SUMIFS(资金台帐!$S$7:$S$3006,资金台帐!$J$7:$J$3006,$B133,资金台帐!$P$7:$P$3006,"应收",资金台帐!$B$7:$B$3006,"&gt;="&amp;$B$21,资金台帐!$B$7:$B$3006,"&lt;="&amp;$D$21))</f>
      </c>
      <c r="F133" s="187">
        <f>IF($B133="","",C133+D133-E133)</f>
      </c>
      <c r="G133" s="141">
        <f>IF($B133="","",IF(ROUND(F133,2)=0,"已结清",IF(F133&gt;0,"有欠款","预存款")))</f>
      </c>
      <c r="H133" s="195">
        <f>IF($B133="","",_xlfn.MAXIFS(资金台帐!$B$7:$B$3006,资金台帐!$J$7:$J$3006,$B133,资金台帐!$P$7:$P$3006,"应收"))</f>
      </c>
    </row>
    <row r="134">
      <c r="A134" s="194">
        <f>IF(B134="","",111)</f>
      </c>
      <c r="B134" s="141">
        <f>IF(总览汇总!B115="","",总览汇总!B115)</f>
      </c>
      <c r="C134" s="186">
        <f>IF($B134="","",N(总览汇总!K115)+SUMIFS(出库明细!$G$4:$G$3003,出库明细!$C$4:$C$3003,$B134,出库明细!$B$4:$B$3003,"&gt;="&amp;年初日,出库明细!$B$4:$B$3003,"&lt;"&amp;$B$21)-SUMIFS(资金台帐!$S$7:$S$3006,资金台帐!$J$7:$J$3006,$B134,资金台帐!$P$7:$P$3006,"应收",资金台帐!$B$7:$B$3006,"&gt;="&amp;年初日,资金台帐!$B$7:$B$3006,"&lt;"&amp;$B$21))</f>
      </c>
      <c r="D134" s="186">
        <f>IF($B134="","",SUMIFS(出库明细!$G$4:$G$3003,出库明细!$C$4:$C$3003,$B134,出库明细!$B$4:$B$3003,"&gt;="&amp;$B$21,出库明细!$B$4:$B$3003,"&lt;="&amp;$D$21))</f>
      </c>
      <c r="E134" s="186">
        <f>IF($B134="","",SUMIFS(资金台帐!$S$7:$S$3006,资金台帐!$J$7:$J$3006,$B134,资金台帐!$P$7:$P$3006,"应收",资金台帐!$B$7:$B$3006,"&gt;="&amp;$B$21,资金台帐!$B$7:$B$3006,"&lt;="&amp;$D$21))</f>
      </c>
      <c r="F134" s="187">
        <f>IF($B134="","",C134+D134-E134)</f>
      </c>
      <c r="G134" s="141">
        <f>IF($B134="","",IF(ROUND(F134,2)=0,"已结清",IF(F134&gt;0,"有欠款","预存款")))</f>
      </c>
      <c r="H134" s="195">
        <f>IF($B134="","",_xlfn.MAXIFS(资金台帐!$B$7:$B$3006,资金台帐!$J$7:$J$3006,$B134,资金台帐!$P$7:$P$3006,"应收"))</f>
      </c>
    </row>
    <row r="135">
      <c r="A135" s="194">
        <f>IF(B135="","",112)</f>
      </c>
      <c r="B135" s="141">
        <f>IF(总览汇总!B116="","",总览汇总!B116)</f>
      </c>
      <c r="C135" s="186">
        <f>IF($B135="","",N(总览汇总!K116)+SUMIFS(出库明细!$G$4:$G$3003,出库明细!$C$4:$C$3003,$B135,出库明细!$B$4:$B$3003,"&gt;="&amp;年初日,出库明细!$B$4:$B$3003,"&lt;"&amp;$B$21)-SUMIFS(资金台帐!$S$7:$S$3006,资金台帐!$J$7:$J$3006,$B135,资金台帐!$P$7:$P$3006,"应收",资金台帐!$B$7:$B$3006,"&gt;="&amp;年初日,资金台帐!$B$7:$B$3006,"&lt;"&amp;$B$21))</f>
      </c>
      <c r="D135" s="186">
        <f>IF($B135="","",SUMIFS(出库明细!$G$4:$G$3003,出库明细!$C$4:$C$3003,$B135,出库明细!$B$4:$B$3003,"&gt;="&amp;$B$21,出库明细!$B$4:$B$3003,"&lt;="&amp;$D$21))</f>
      </c>
      <c r="E135" s="186">
        <f>IF($B135="","",SUMIFS(资金台帐!$S$7:$S$3006,资金台帐!$J$7:$J$3006,$B135,资金台帐!$P$7:$P$3006,"应收",资金台帐!$B$7:$B$3006,"&gt;="&amp;$B$21,资金台帐!$B$7:$B$3006,"&lt;="&amp;$D$21))</f>
      </c>
      <c r="F135" s="187">
        <f>IF($B135="","",C135+D135-E135)</f>
      </c>
      <c r="G135" s="141">
        <f>IF($B135="","",IF(ROUND(F135,2)=0,"已结清",IF(F135&gt;0,"有欠款","预存款")))</f>
      </c>
      <c r="H135" s="195">
        <f>IF($B135="","",_xlfn.MAXIFS(资金台帐!$B$7:$B$3006,资金台帐!$J$7:$J$3006,$B135,资金台帐!$P$7:$P$3006,"应收"))</f>
      </c>
    </row>
    <row r="136">
      <c r="A136" s="194">
        <f>IF(B136="","",113)</f>
      </c>
      <c r="B136" s="141">
        <f>IF(总览汇总!B117="","",总览汇总!B117)</f>
      </c>
      <c r="C136" s="186">
        <f>IF($B136="","",N(总览汇总!K117)+SUMIFS(出库明细!$G$4:$G$3003,出库明细!$C$4:$C$3003,$B136,出库明细!$B$4:$B$3003,"&gt;="&amp;年初日,出库明细!$B$4:$B$3003,"&lt;"&amp;$B$21)-SUMIFS(资金台帐!$S$7:$S$3006,资金台帐!$J$7:$J$3006,$B136,资金台帐!$P$7:$P$3006,"应收",资金台帐!$B$7:$B$3006,"&gt;="&amp;年初日,资金台帐!$B$7:$B$3006,"&lt;"&amp;$B$21))</f>
      </c>
      <c r="D136" s="186">
        <f>IF($B136="","",SUMIFS(出库明细!$G$4:$G$3003,出库明细!$C$4:$C$3003,$B136,出库明细!$B$4:$B$3003,"&gt;="&amp;$B$21,出库明细!$B$4:$B$3003,"&lt;="&amp;$D$21))</f>
      </c>
      <c r="E136" s="186">
        <f>IF($B136="","",SUMIFS(资金台帐!$S$7:$S$3006,资金台帐!$J$7:$J$3006,$B136,资金台帐!$P$7:$P$3006,"应收",资金台帐!$B$7:$B$3006,"&gt;="&amp;$B$21,资金台帐!$B$7:$B$3006,"&lt;="&amp;$D$21))</f>
      </c>
      <c r="F136" s="187">
        <f>IF($B136="","",C136+D136-E136)</f>
      </c>
      <c r="G136" s="141">
        <f>IF($B136="","",IF(ROUND(F136,2)=0,"已结清",IF(F136&gt;0,"有欠款","预存款")))</f>
      </c>
      <c r="H136" s="195">
        <f>IF($B136="","",_xlfn.MAXIFS(资金台帐!$B$7:$B$3006,资金台帐!$J$7:$J$3006,$B136,资金台帐!$P$7:$P$3006,"应收"))</f>
      </c>
    </row>
    <row r="137">
      <c r="A137" s="194">
        <f>IF(B137="","",114)</f>
      </c>
      <c r="B137" s="141">
        <f>IF(总览汇总!B118="","",总览汇总!B118)</f>
      </c>
      <c r="C137" s="186">
        <f>IF($B137="","",N(总览汇总!K118)+SUMIFS(出库明细!$G$4:$G$3003,出库明细!$C$4:$C$3003,$B137,出库明细!$B$4:$B$3003,"&gt;="&amp;年初日,出库明细!$B$4:$B$3003,"&lt;"&amp;$B$21)-SUMIFS(资金台帐!$S$7:$S$3006,资金台帐!$J$7:$J$3006,$B137,资金台帐!$P$7:$P$3006,"应收",资金台帐!$B$7:$B$3006,"&gt;="&amp;年初日,资金台帐!$B$7:$B$3006,"&lt;"&amp;$B$21))</f>
      </c>
      <c r="D137" s="186">
        <f>IF($B137="","",SUMIFS(出库明细!$G$4:$G$3003,出库明细!$C$4:$C$3003,$B137,出库明细!$B$4:$B$3003,"&gt;="&amp;$B$21,出库明细!$B$4:$B$3003,"&lt;="&amp;$D$21))</f>
      </c>
      <c r="E137" s="186">
        <f>IF($B137="","",SUMIFS(资金台帐!$S$7:$S$3006,资金台帐!$J$7:$J$3006,$B137,资金台帐!$P$7:$P$3006,"应收",资金台帐!$B$7:$B$3006,"&gt;="&amp;$B$21,资金台帐!$B$7:$B$3006,"&lt;="&amp;$D$21))</f>
      </c>
      <c r="F137" s="187">
        <f>IF($B137="","",C137+D137-E137)</f>
      </c>
      <c r="G137" s="141">
        <f>IF($B137="","",IF(ROUND(F137,2)=0,"已结清",IF(F137&gt;0,"有欠款","预存款")))</f>
      </c>
      <c r="H137" s="195">
        <f>IF($B137="","",_xlfn.MAXIFS(资金台帐!$B$7:$B$3006,资金台帐!$J$7:$J$3006,$B137,资金台帐!$P$7:$P$3006,"应收"))</f>
      </c>
    </row>
    <row r="138">
      <c r="A138" s="194">
        <f>IF(B138="","",115)</f>
      </c>
      <c r="B138" s="141">
        <f>IF(总览汇总!B119="","",总览汇总!B119)</f>
      </c>
      <c r="C138" s="186">
        <f>IF($B138="","",N(总览汇总!K119)+SUMIFS(出库明细!$G$4:$G$3003,出库明细!$C$4:$C$3003,$B138,出库明细!$B$4:$B$3003,"&gt;="&amp;年初日,出库明细!$B$4:$B$3003,"&lt;"&amp;$B$21)-SUMIFS(资金台帐!$S$7:$S$3006,资金台帐!$J$7:$J$3006,$B138,资金台帐!$P$7:$P$3006,"应收",资金台帐!$B$7:$B$3006,"&gt;="&amp;年初日,资金台帐!$B$7:$B$3006,"&lt;"&amp;$B$21))</f>
      </c>
      <c r="D138" s="186">
        <f>IF($B138="","",SUMIFS(出库明细!$G$4:$G$3003,出库明细!$C$4:$C$3003,$B138,出库明细!$B$4:$B$3003,"&gt;="&amp;$B$21,出库明细!$B$4:$B$3003,"&lt;="&amp;$D$21))</f>
      </c>
      <c r="E138" s="186">
        <f>IF($B138="","",SUMIFS(资金台帐!$S$7:$S$3006,资金台帐!$J$7:$J$3006,$B138,资金台帐!$P$7:$P$3006,"应收",资金台帐!$B$7:$B$3006,"&gt;="&amp;$B$21,资金台帐!$B$7:$B$3006,"&lt;="&amp;$D$21))</f>
      </c>
      <c r="F138" s="187">
        <f>IF($B138="","",C138+D138-E138)</f>
      </c>
      <c r="G138" s="141">
        <f>IF($B138="","",IF(ROUND(F138,2)=0,"已结清",IF(F138&gt;0,"有欠款","预存款")))</f>
      </c>
      <c r="H138" s="195">
        <f>IF($B138="","",_xlfn.MAXIFS(资金台帐!$B$7:$B$3006,资金台帐!$J$7:$J$3006,$B138,资金台帐!$P$7:$P$3006,"应收"))</f>
      </c>
    </row>
    <row r="139">
      <c r="A139" s="194">
        <f>IF(B139="","",116)</f>
      </c>
      <c r="B139" s="141">
        <f>IF(总览汇总!B120="","",总览汇总!B120)</f>
      </c>
      <c r="C139" s="186">
        <f>IF($B139="","",N(总览汇总!K120)+SUMIFS(出库明细!$G$4:$G$3003,出库明细!$C$4:$C$3003,$B139,出库明细!$B$4:$B$3003,"&gt;="&amp;年初日,出库明细!$B$4:$B$3003,"&lt;"&amp;$B$21)-SUMIFS(资金台帐!$S$7:$S$3006,资金台帐!$J$7:$J$3006,$B139,资金台帐!$P$7:$P$3006,"应收",资金台帐!$B$7:$B$3006,"&gt;="&amp;年初日,资金台帐!$B$7:$B$3006,"&lt;"&amp;$B$21))</f>
      </c>
      <c r="D139" s="186">
        <f>IF($B139="","",SUMIFS(出库明细!$G$4:$G$3003,出库明细!$C$4:$C$3003,$B139,出库明细!$B$4:$B$3003,"&gt;="&amp;$B$21,出库明细!$B$4:$B$3003,"&lt;="&amp;$D$21))</f>
      </c>
      <c r="E139" s="186">
        <f>IF($B139="","",SUMIFS(资金台帐!$S$7:$S$3006,资金台帐!$J$7:$J$3006,$B139,资金台帐!$P$7:$P$3006,"应收",资金台帐!$B$7:$B$3006,"&gt;="&amp;$B$21,资金台帐!$B$7:$B$3006,"&lt;="&amp;$D$21))</f>
      </c>
      <c r="F139" s="187">
        <f>IF($B139="","",C139+D139-E139)</f>
      </c>
      <c r="G139" s="141">
        <f>IF($B139="","",IF(ROUND(F139,2)=0,"已结清",IF(F139&gt;0,"有欠款","预存款")))</f>
      </c>
      <c r="H139" s="195">
        <f>IF($B139="","",_xlfn.MAXIFS(资金台帐!$B$7:$B$3006,资金台帐!$J$7:$J$3006,$B139,资金台帐!$P$7:$P$3006,"应收"))</f>
      </c>
    </row>
    <row r="140">
      <c r="A140" s="194">
        <f>IF(B140="","",117)</f>
      </c>
      <c r="B140" s="141">
        <f>IF(总览汇总!B121="","",总览汇总!B121)</f>
      </c>
      <c r="C140" s="186">
        <f>IF($B140="","",N(总览汇总!K121)+SUMIFS(出库明细!$G$4:$G$3003,出库明细!$C$4:$C$3003,$B140,出库明细!$B$4:$B$3003,"&gt;="&amp;年初日,出库明细!$B$4:$B$3003,"&lt;"&amp;$B$21)-SUMIFS(资金台帐!$S$7:$S$3006,资金台帐!$J$7:$J$3006,$B140,资金台帐!$P$7:$P$3006,"应收",资金台帐!$B$7:$B$3006,"&gt;="&amp;年初日,资金台帐!$B$7:$B$3006,"&lt;"&amp;$B$21))</f>
      </c>
      <c r="D140" s="186">
        <f>IF($B140="","",SUMIFS(出库明细!$G$4:$G$3003,出库明细!$C$4:$C$3003,$B140,出库明细!$B$4:$B$3003,"&gt;="&amp;$B$21,出库明细!$B$4:$B$3003,"&lt;="&amp;$D$21))</f>
      </c>
      <c r="E140" s="186">
        <f>IF($B140="","",SUMIFS(资金台帐!$S$7:$S$3006,资金台帐!$J$7:$J$3006,$B140,资金台帐!$P$7:$P$3006,"应收",资金台帐!$B$7:$B$3006,"&gt;="&amp;$B$21,资金台帐!$B$7:$B$3006,"&lt;="&amp;$D$21))</f>
      </c>
      <c r="F140" s="187">
        <f>IF($B140="","",C140+D140-E140)</f>
      </c>
      <c r="G140" s="141">
        <f>IF($B140="","",IF(ROUND(F140,2)=0,"已结清",IF(F140&gt;0,"有欠款","预存款")))</f>
      </c>
      <c r="H140" s="195">
        <f>IF($B140="","",_xlfn.MAXIFS(资金台帐!$B$7:$B$3006,资金台帐!$J$7:$J$3006,$B140,资金台帐!$P$7:$P$3006,"应收"))</f>
      </c>
    </row>
    <row r="141">
      <c r="A141" s="194">
        <f>IF(B141="","",118)</f>
      </c>
      <c r="B141" s="141">
        <f>IF(总览汇总!B122="","",总览汇总!B122)</f>
      </c>
      <c r="C141" s="186">
        <f>IF($B141="","",N(总览汇总!K122)+SUMIFS(出库明细!$G$4:$G$3003,出库明细!$C$4:$C$3003,$B141,出库明细!$B$4:$B$3003,"&gt;="&amp;年初日,出库明细!$B$4:$B$3003,"&lt;"&amp;$B$21)-SUMIFS(资金台帐!$S$7:$S$3006,资金台帐!$J$7:$J$3006,$B141,资金台帐!$P$7:$P$3006,"应收",资金台帐!$B$7:$B$3006,"&gt;="&amp;年初日,资金台帐!$B$7:$B$3006,"&lt;"&amp;$B$21))</f>
      </c>
      <c r="D141" s="186">
        <f>IF($B141="","",SUMIFS(出库明细!$G$4:$G$3003,出库明细!$C$4:$C$3003,$B141,出库明细!$B$4:$B$3003,"&gt;="&amp;$B$21,出库明细!$B$4:$B$3003,"&lt;="&amp;$D$21))</f>
      </c>
      <c r="E141" s="186">
        <f>IF($B141="","",SUMIFS(资金台帐!$S$7:$S$3006,资金台帐!$J$7:$J$3006,$B141,资金台帐!$P$7:$P$3006,"应收",资金台帐!$B$7:$B$3006,"&gt;="&amp;$B$21,资金台帐!$B$7:$B$3006,"&lt;="&amp;$D$21))</f>
      </c>
      <c r="F141" s="187">
        <f>IF($B141="","",C141+D141-E141)</f>
      </c>
      <c r="G141" s="141">
        <f>IF($B141="","",IF(ROUND(F141,2)=0,"已结清",IF(F141&gt;0,"有欠款","预存款")))</f>
      </c>
      <c r="H141" s="195">
        <f>IF($B141="","",_xlfn.MAXIFS(资金台帐!$B$7:$B$3006,资金台帐!$J$7:$J$3006,$B141,资金台帐!$P$7:$P$3006,"应收"))</f>
      </c>
    </row>
    <row r="142">
      <c r="A142" s="194">
        <f>IF(B142="","",119)</f>
      </c>
      <c r="B142" s="141">
        <f>IF(总览汇总!B123="","",总览汇总!B123)</f>
      </c>
      <c r="C142" s="186">
        <f>IF($B142="","",N(总览汇总!K123)+SUMIFS(出库明细!$G$4:$G$3003,出库明细!$C$4:$C$3003,$B142,出库明细!$B$4:$B$3003,"&gt;="&amp;年初日,出库明细!$B$4:$B$3003,"&lt;"&amp;$B$21)-SUMIFS(资金台帐!$S$7:$S$3006,资金台帐!$J$7:$J$3006,$B142,资金台帐!$P$7:$P$3006,"应收",资金台帐!$B$7:$B$3006,"&gt;="&amp;年初日,资金台帐!$B$7:$B$3006,"&lt;"&amp;$B$21))</f>
      </c>
      <c r="D142" s="186">
        <f>IF($B142="","",SUMIFS(出库明细!$G$4:$G$3003,出库明细!$C$4:$C$3003,$B142,出库明细!$B$4:$B$3003,"&gt;="&amp;$B$21,出库明细!$B$4:$B$3003,"&lt;="&amp;$D$21))</f>
      </c>
      <c r="E142" s="186">
        <f>IF($B142="","",SUMIFS(资金台帐!$S$7:$S$3006,资金台帐!$J$7:$J$3006,$B142,资金台帐!$P$7:$P$3006,"应收",资金台帐!$B$7:$B$3006,"&gt;="&amp;$B$21,资金台帐!$B$7:$B$3006,"&lt;="&amp;$D$21))</f>
      </c>
      <c r="F142" s="187">
        <f>IF($B142="","",C142+D142-E142)</f>
      </c>
      <c r="G142" s="141">
        <f>IF($B142="","",IF(ROUND(F142,2)=0,"已结清",IF(F142&gt;0,"有欠款","预存款")))</f>
      </c>
      <c r="H142" s="195">
        <f>IF($B142="","",_xlfn.MAXIFS(资金台帐!$B$7:$B$3006,资金台帐!$J$7:$J$3006,$B142,资金台帐!$P$7:$P$3006,"应收"))</f>
      </c>
    </row>
    <row r="143">
      <c r="A143" s="194">
        <f>IF(B143="","",120)</f>
      </c>
      <c r="B143" s="141">
        <f>IF(总览汇总!B124="","",总览汇总!B124)</f>
      </c>
      <c r="C143" s="186">
        <f>IF($B143="","",N(总览汇总!K124)+SUMIFS(出库明细!$G$4:$G$3003,出库明细!$C$4:$C$3003,$B143,出库明细!$B$4:$B$3003,"&gt;="&amp;年初日,出库明细!$B$4:$B$3003,"&lt;"&amp;$B$21)-SUMIFS(资金台帐!$S$7:$S$3006,资金台帐!$J$7:$J$3006,$B143,资金台帐!$P$7:$P$3006,"应收",资金台帐!$B$7:$B$3006,"&gt;="&amp;年初日,资金台帐!$B$7:$B$3006,"&lt;"&amp;$B$21))</f>
      </c>
      <c r="D143" s="186">
        <f>IF($B143="","",SUMIFS(出库明细!$G$4:$G$3003,出库明细!$C$4:$C$3003,$B143,出库明细!$B$4:$B$3003,"&gt;="&amp;$B$21,出库明细!$B$4:$B$3003,"&lt;="&amp;$D$21))</f>
      </c>
      <c r="E143" s="186">
        <f>IF($B143="","",SUMIFS(资金台帐!$S$7:$S$3006,资金台帐!$J$7:$J$3006,$B143,资金台帐!$P$7:$P$3006,"应收",资金台帐!$B$7:$B$3006,"&gt;="&amp;$B$21,资金台帐!$B$7:$B$3006,"&lt;="&amp;$D$21))</f>
      </c>
      <c r="F143" s="187">
        <f>IF($B143="","",C143+D143-E143)</f>
      </c>
      <c r="G143" s="141">
        <f>IF($B143="","",IF(ROUND(F143,2)=0,"已结清",IF(F143&gt;0,"有欠款","预存款")))</f>
      </c>
      <c r="H143" s="195">
        <f>IF($B143="","",_xlfn.MAXIFS(资金台帐!$B$7:$B$3006,资金台帐!$J$7:$J$3006,$B143,资金台帐!$P$7:$P$3006,"应收"))</f>
      </c>
    </row>
    <row r="144">
      <c r="A144" s="194">
        <f>IF(B144="","",121)</f>
      </c>
      <c r="B144" s="141">
        <f>IF(总览汇总!B125="","",总览汇总!B125)</f>
      </c>
      <c r="C144" s="186">
        <f>IF($B144="","",N(总览汇总!K125)+SUMIFS(出库明细!$G$4:$G$3003,出库明细!$C$4:$C$3003,$B144,出库明细!$B$4:$B$3003,"&gt;="&amp;年初日,出库明细!$B$4:$B$3003,"&lt;"&amp;$B$21)-SUMIFS(资金台帐!$S$7:$S$3006,资金台帐!$J$7:$J$3006,$B144,资金台帐!$P$7:$P$3006,"应收",资金台帐!$B$7:$B$3006,"&gt;="&amp;年初日,资金台帐!$B$7:$B$3006,"&lt;"&amp;$B$21))</f>
      </c>
      <c r="D144" s="186">
        <f>IF($B144="","",SUMIFS(出库明细!$G$4:$G$3003,出库明细!$C$4:$C$3003,$B144,出库明细!$B$4:$B$3003,"&gt;="&amp;$B$21,出库明细!$B$4:$B$3003,"&lt;="&amp;$D$21))</f>
      </c>
      <c r="E144" s="186">
        <f>IF($B144="","",SUMIFS(资金台帐!$S$7:$S$3006,资金台帐!$J$7:$J$3006,$B144,资金台帐!$P$7:$P$3006,"应收",资金台帐!$B$7:$B$3006,"&gt;="&amp;$B$21,资金台帐!$B$7:$B$3006,"&lt;="&amp;$D$21))</f>
      </c>
      <c r="F144" s="187">
        <f>IF($B144="","",C144+D144-E144)</f>
      </c>
      <c r="G144" s="141">
        <f>IF($B144="","",IF(ROUND(F144,2)=0,"已结清",IF(F144&gt;0,"有欠款","预存款")))</f>
      </c>
      <c r="H144" s="195">
        <f>IF($B144="","",_xlfn.MAXIFS(资金台帐!$B$7:$B$3006,资金台帐!$J$7:$J$3006,$B144,资金台帐!$P$7:$P$3006,"应收"))</f>
      </c>
    </row>
    <row r="145">
      <c r="A145" s="194">
        <f>IF(B145="","",122)</f>
      </c>
      <c r="B145" s="141">
        <f>IF(总览汇总!B126="","",总览汇总!B126)</f>
      </c>
      <c r="C145" s="186">
        <f>IF($B145="","",N(总览汇总!K126)+SUMIFS(出库明细!$G$4:$G$3003,出库明细!$C$4:$C$3003,$B145,出库明细!$B$4:$B$3003,"&gt;="&amp;年初日,出库明细!$B$4:$B$3003,"&lt;"&amp;$B$21)-SUMIFS(资金台帐!$S$7:$S$3006,资金台帐!$J$7:$J$3006,$B145,资金台帐!$P$7:$P$3006,"应收",资金台帐!$B$7:$B$3006,"&gt;="&amp;年初日,资金台帐!$B$7:$B$3006,"&lt;"&amp;$B$21))</f>
      </c>
      <c r="D145" s="186">
        <f>IF($B145="","",SUMIFS(出库明细!$G$4:$G$3003,出库明细!$C$4:$C$3003,$B145,出库明细!$B$4:$B$3003,"&gt;="&amp;$B$21,出库明细!$B$4:$B$3003,"&lt;="&amp;$D$21))</f>
      </c>
      <c r="E145" s="186">
        <f>IF($B145="","",SUMIFS(资金台帐!$S$7:$S$3006,资金台帐!$J$7:$J$3006,$B145,资金台帐!$P$7:$P$3006,"应收",资金台帐!$B$7:$B$3006,"&gt;="&amp;$B$21,资金台帐!$B$7:$B$3006,"&lt;="&amp;$D$21))</f>
      </c>
      <c r="F145" s="187">
        <f>IF($B145="","",C145+D145-E145)</f>
      </c>
      <c r="G145" s="141">
        <f>IF($B145="","",IF(ROUND(F145,2)=0,"已结清",IF(F145&gt;0,"有欠款","预存款")))</f>
      </c>
      <c r="H145" s="195">
        <f>IF($B145="","",_xlfn.MAXIFS(资金台帐!$B$7:$B$3006,资金台帐!$J$7:$J$3006,$B145,资金台帐!$P$7:$P$3006,"应收"))</f>
      </c>
    </row>
    <row r="146">
      <c r="A146" s="194">
        <f>IF(B146="","",123)</f>
      </c>
      <c r="B146" s="141">
        <f>IF(总览汇总!B127="","",总览汇总!B127)</f>
      </c>
      <c r="C146" s="186">
        <f>IF($B146="","",N(总览汇总!K127)+SUMIFS(出库明细!$G$4:$G$3003,出库明细!$C$4:$C$3003,$B146,出库明细!$B$4:$B$3003,"&gt;="&amp;年初日,出库明细!$B$4:$B$3003,"&lt;"&amp;$B$21)-SUMIFS(资金台帐!$S$7:$S$3006,资金台帐!$J$7:$J$3006,$B146,资金台帐!$P$7:$P$3006,"应收",资金台帐!$B$7:$B$3006,"&gt;="&amp;年初日,资金台帐!$B$7:$B$3006,"&lt;"&amp;$B$21))</f>
      </c>
      <c r="D146" s="186">
        <f>IF($B146="","",SUMIFS(出库明细!$G$4:$G$3003,出库明细!$C$4:$C$3003,$B146,出库明细!$B$4:$B$3003,"&gt;="&amp;$B$21,出库明细!$B$4:$B$3003,"&lt;="&amp;$D$21))</f>
      </c>
      <c r="E146" s="186">
        <f>IF($B146="","",SUMIFS(资金台帐!$S$7:$S$3006,资金台帐!$J$7:$J$3006,$B146,资金台帐!$P$7:$P$3006,"应收",资金台帐!$B$7:$B$3006,"&gt;="&amp;$B$21,资金台帐!$B$7:$B$3006,"&lt;="&amp;$D$21))</f>
      </c>
      <c r="F146" s="187">
        <f>IF($B146="","",C146+D146-E146)</f>
      </c>
      <c r="G146" s="141">
        <f>IF($B146="","",IF(ROUND(F146,2)=0,"已结清",IF(F146&gt;0,"有欠款","预存款")))</f>
      </c>
      <c r="H146" s="195">
        <f>IF($B146="","",_xlfn.MAXIFS(资金台帐!$B$7:$B$3006,资金台帐!$J$7:$J$3006,$B146,资金台帐!$P$7:$P$3006,"应收"))</f>
      </c>
    </row>
    <row r="147">
      <c r="A147" s="194">
        <f>IF(B147="","",124)</f>
      </c>
      <c r="B147" s="141">
        <f>IF(总览汇总!B128="","",总览汇总!B128)</f>
      </c>
      <c r="C147" s="186">
        <f>IF($B147="","",N(总览汇总!K128)+SUMIFS(出库明细!$G$4:$G$3003,出库明细!$C$4:$C$3003,$B147,出库明细!$B$4:$B$3003,"&gt;="&amp;年初日,出库明细!$B$4:$B$3003,"&lt;"&amp;$B$21)-SUMIFS(资金台帐!$S$7:$S$3006,资金台帐!$J$7:$J$3006,$B147,资金台帐!$P$7:$P$3006,"应收",资金台帐!$B$7:$B$3006,"&gt;="&amp;年初日,资金台帐!$B$7:$B$3006,"&lt;"&amp;$B$21))</f>
      </c>
      <c r="D147" s="186">
        <f>IF($B147="","",SUMIFS(出库明细!$G$4:$G$3003,出库明细!$C$4:$C$3003,$B147,出库明细!$B$4:$B$3003,"&gt;="&amp;$B$21,出库明细!$B$4:$B$3003,"&lt;="&amp;$D$21))</f>
      </c>
      <c r="E147" s="186">
        <f>IF($B147="","",SUMIFS(资金台帐!$S$7:$S$3006,资金台帐!$J$7:$J$3006,$B147,资金台帐!$P$7:$P$3006,"应收",资金台帐!$B$7:$B$3006,"&gt;="&amp;$B$21,资金台帐!$B$7:$B$3006,"&lt;="&amp;$D$21))</f>
      </c>
      <c r="F147" s="187">
        <f>IF($B147="","",C147+D147-E147)</f>
      </c>
      <c r="G147" s="141">
        <f>IF($B147="","",IF(ROUND(F147,2)=0,"已结清",IF(F147&gt;0,"有欠款","预存款")))</f>
      </c>
      <c r="H147" s="195">
        <f>IF($B147="","",_xlfn.MAXIFS(资金台帐!$B$7:$B$3006,资金台帐!$J$7:$J$3006,$B147,资金台帐!$P$7:$P$3006,"应收"))</f>
      </c>
    </row>
    <row r="148">
      <c r="A148" s="194">
        <f>IF(B148="","",125)</f>
      </c>
      <c r="B148" s="141">
        <f>IF(总览汇总!B129="","",总览汇总!B129)</f>
      </c>
      <c r="C148" s="186">
        <f>IF($B148="","",N(总览汇总!K129)+SUMIFS(出库明细!$G$4:$G$3003,出库明细!$C$4:$C$3003,$B148,出库明细!$B$4:$B$3003,"&gt;="&amp;年初日,出库明细!$B$4:$B$3003,"&lt;"&amp;$B$21)-SUMIFS(资金台帐!$S$7:$S$3006,资金台帐!$J$7:$J$3006,$B148,资金台帐!$P$7:$P$3006,"应收",资金台帐!$B$7:$B$3006,"&gt;="&amp;年初日,资金台帐!$B$7:$B$3006,"&lt;"&amp;$B$21))</f>
      </c>
      <c r="D148" s="186">
        <f>IF($B148="","",SUMIFS(出库明细!$G$4:$G$3003,出库明细!$C$4:$C$3003,$B148,出库明细!$B$4:$B$3003,"&gt;="&amp;$B$21,出库明细!$B$4:$B$3003,"&lt;="&amp;$D$21))</f>
      </c>
      <c r="E148" s="186">
        <f>IF($B148="","",SUMIFS(资金台帐!$S$7:$S$3006,资金台帐!$J$7:$J$3006,$B148,资金台帐!$P$7:$P$3006,"应收",资金台帐!$B$7:$B$3006,"&gt;="&amp;$B$21,资金台帐!$B$7:$B$3006,"&lt;="&amp;$D$21))</f>
      </c>
      <c r="F148" s="187">
        <f>IF($B148="","",C148+D148-E148)</f>
      </c>
      <c r="G148" s="141">
        <f>IF($B148="","",IF(ROUND(F148,2)=0,"已结清",IF(F148&gt;0,"有欠款","预存款")))</f>
      </c>
      <c r="H148" s="195">
        <f>IF($B148="","",_xlfn.MAXIFS(资金台帐!$B$7:$B$3006,资金台帐!$J$7:$J$3006,$B148,资金台帐!$P$7:$P$3006,"应收"))</f>
      </c>
    </row>
    <row r="149">
      <c r="A149" s="194">
        <f>IF(B149="","",126)</f>
      </c>
      <c r="B149" s="141">
        <f>IF(总览汇总!B130="","",总览汇总!B130)</f>
      </c>
      <c r="C149" s="186">
        <f>IF($B149="","",N(总览汇总!K130)+SUMIFS(出库明细!$G$4:$G$3003,出库明细!$C$4:$C$3003,$B149,出库明细!$B$4:$B$3003,"&gt;="&amp;年初日,出库明细!$B$4:$B$3003,"&lt;"&amp;$B$21)-SUMIFS(资金台帐!$S$7:$S$3006,资金台帐!$J$7:$J$3006,$B149,资金台帐!$P$7:$P$3006,"应收",资金台帐!$B$7:$B$3006,"&gt;="&amp;年初日,资金台帐!$B$7:$B$3006,"&lt;"&amp;$B$21))</f>
      </c>
      <c r="D149" s="186">
        <f>IF($B149="","",SUMIFS(出库明细!$G$4:$G$3003,出库明细!$C$4:$C$3003,$B149,出库明细!$B$4:$B$3003,"&gt;="&amp;$B$21,出库明细!$B$4:$B$3003,"&lt;="&amp;$D$21))</f>
      </c>
      <c r="E149" s="186">
        <f>IF($B149="","",SUMIFS(资金台帐!$S$7:$S$3006,资金台帐!$J$7:$J$3006,$B149,资金台帐!$P$7:$P$3006,"应收",资金台帐!$B$7:$B$3006,"&gt;="&amp;$B$21,资金台帐!$B$7:$B$3006,"&lt;="&amp;$D$21))</f>
      </c>
      <c r="F149" s="187">
        <f>IF($B149="","",C149+D149-E149)</f>
      </c>
      <c r="G149" s="141">
        <f>IF($B149="","",IF(ROUND(F149,2)=0,"已结清",IF(F149&gt;0,"有欠款","预存款")))</f>
      </c>
      <c r="H149" s="195">
        <f>IF($B149="","",_xlfn.MAXIFS(资金台帐!$B$7:$B$3006,资金台帐!$J$7:$J$3006,$B149,资金台帐!$P$7:$P$3006,"应收"))</f>
      </c>
    </row>
    <row r="150">
      <c r="A150" s="194">
        <f>IF(B150="","",127)</f>
      </c>
      <c r="B150" s="141">
        <f>IF(总览汇总!B131="","",总览汇总!B131)</f>
      </c>
      <c r="C150" s="186">
        <f>IF($B150="","",N(总览汇总!K131)+SUMIFS(出库明细!$G$4:$G$3003,出库明细!$C$4:$C$3003,$B150,出库明细!$B$4:$B$3003,"&gt;="&amp;年初日,出库明细!$B$4:$B$3003,"&lt;"&amp;$B$21)-SUMIFS(资金台帐!$S$7:$S$3006,资金台帐!$J$7:$J$3006,$B150,资金台帐!$P$7:$P$3006,"应收",资金台帐!$B$7:$B$3006,"&gt;="&amp;年初日,资金台帐!$B$7:$B$3006,"&lt;"&amp;$B$21))</f>
      </c>
      <c r="D150" s="186">
        <f>IF($B150="","",SUMIFS(出库明细!$G$4:$G$3003,出库明细!$C$4:$C$3003,$B150,出库明细!$B$4:$B$3003,"&gt;="&amp;$B$21,出库明细!$B$4:$B$3003,"&lt;="&amp;$D$21))</f>
      </c>
      <c r="E150" s="186">
        <f>IF($B150="","",SUMIFS(资金台帐!$S$7:$S$3006,资金台帐!$J$7:$J$3006,$B150,资金台帐!$P$7:$P$3006,"应收",资金台帐!$B$7:$B$3006,"&gt;="&amp;$B$21,资金台帐!$B$7:$B$3006,"&lt;="&amp;$D$21))</f>
      </c>
      <c r="F150" s="187">
        <f>IF($B150="","",C150+D150-E150)</f>
      </c>
      <c r="G150" s="141">
        <f>IF($B150="","",IF(ROUND(F150,2)=0,"已结清",IF(F150&gt;0,"有欠款","预存款")))</f>
      </c>
      <c r="H150" s="195">
        <f>IF($B150="","",_xlfn.MAXIFS(资金台帐!$B$7:$B$3006,资金台帐!$J$7:$J$3006,$B150,资金台帐!$P$7:$P$3006,"应收"))</f>
      </c>
    </row>
    <row r="151">
      <c r="A151" s="194">
        <f>IF(B151="","",128)</f>
      </c>
      <c r="B151" s="141">
        <f>IF(总览汇总!B132="","",总览汇总!B132)</f>
      </c>
      <c r="C151" s="186">
        <f>IF($B151="","",N(总览汇总!K132)+SUMIFS(出库明细!$G$4:$G$3003,出库明细!$C$4:$C$3003,$B151,出库明细!$B$4:$B$3003,"&gt;="&amp;年初日,出库明细!$B$4:$B$3003,"&lt;"&amp;$B$21)-SUMIFS(资金台帐!$S$7:$S$3006,资金台帐!$J$7:$J$3006,$B151,资金台帐!$P$7:$P$3006,"应收",资金台帐!$B$7:$B$3006,"&gt;="&amp;年初日,资金台帐!$B$7:$B$3006,"&lt;"&amp;$B$21))</f>
      </c>
      <c r="D151" s="186">
        <f>IF($B151="","",SUMIFS(出库明细!$G$4:$G$3003,出库明细!$C$4:$C$3003,$B151,出库明细!$B$4:$B$3003,"&gt;="&amp;$B$21,出库明细!$B$4:$B$3003,"&lt;="&amp;$D$21))</f>
      </c>
      <c r="E151" s="186">
        <f>IF($B151="","",SUMIFS(资金台帐!$S$7:$S$3006,资金台帐!$J$7:$J$3006,$B151,资金台帐!$P$7:$P$3006,"应收",资金台帐!$B$7:$B$3006,"&gt;="&amp;$B$21,资金台帐!$B$7:$B$3006,"&lt;="&amp;$D$21))</f>
      </c>
      <c r="F151" s="187">
        <f>IF($B151="","",C151+D151-E151)</f>
      </c>
      <c r="G151" s="141">
        <f>IF($B151="","",IF(ROUND(F151,2)=0,"已结清",IF(F151&gt;0,"有欠款","预存款")))</f>
      </c>
      <c r="H151" s="195">
        <f>IF($B151="","",_xlfn.MAXIFS(资金台帐!$B$7:$B$3006,资金台帐!$J$7:$J$3006,$B151,资金台帐!$P$7:$P$3006,"应收"))</f>
      </c>
    </row>
    <row r="152">
      <c r="A152" s="194">
        <f>IF(B152="","",129)</f>
      </c>
      <c r="B152" s="141">
        <f>IF(总览汇总!B133="","",总览汇总!B133)</f>
      </c>
      <c r="C152" s="186">
        <f>IF($B152="","",N(总览汇总!K133)+SUMIFS(出库明细!$G$4:$G$3003,出库明细!$C$4:$C$3003,$B152,出库明细!$B$4:$B$3003,"&gt;="&amp;年初日,出库明细!$B$4:$B$3003,"&lt;"&amp;$B$21)-SUMIFS(资金台帐!$S$7:$S$3006,资金台帐!$J$7:$J$3006,$B152,资金台帐!$P$7:$P$3006,"应收",资金台帐!$B$7:$B$3006,"&gt;="&amp;年初日,资金台帐!$B$7:$B$3006,"&lt;"&amp;$B$21))</f>
      </c>
      <c r="D152" s="186">
        <f>IF($B152="","",SUMIFS(出库明细!$G$4:$G$3003,出库明细!$C$4:$C$3003,$B152,出库明细!$B$4:$B$3003,"&gt;="&amp;$B$21,出库明细!$B$4:$B$3003,"&lt;="&amp;$D$21))</f>
      </c>
      <c r="E152" s="186">
        <f>IF($B152="","",SUMIFS(资金台帐!$S$7:$S$3006,资金台帐!$J$7:$J$3006,$B152,资金台帐!$P$7:$P$3006,"应收",资金台帐!$B$7:$B$3006,"&gt;="&amp;$B$21,资金台帐!$B$7:$B$3006,"&lt;="&amp;$D$21))</f>
      </c>
      <c r="F152" s="187">
        <f>IF($B152="","",C152+D152-E152)</f>
      </c>
      <c r="G152" s="141">
        <f>IF($B152="","",IF(ROUND(F152,2)=0,"已结清",IF(F152&gt;0,"有欠款","预存款")))</f>
      </c>
      <c r="H152" s="195">
        <f>IF($B152="","",_xlfn.MAXIFS(资金台帐!$B$7:$B$3006,资金台帐!$J$7:$J$3006,$B152,资金台帐!$P$7:$P$3006,"应收"))</f>
      </c>
    </row>
    <row r="153">
      <c r="A153" s="194">
        <f>IF(B153="","",130)</f>
      </c>
      <c r="B153" s="141">
        <f>IF(总览汇总!B134="","",总览汇总!B134)</f>
      </c>
      <c r="C153" s="186">
        <f>IF($B153="","",N(总览汇总!K134)+SUMIFS(出库明细!$G$4:$G$3003,出库明细!$C$4:$C$3003,$B153,出库明细!$B$4:$B$3003,"&gt;="&amp;年初日,出库明细!$B$4:$B$3003,"&lt;"&amp;$B$21)-SUMIFS(资金台帐!$S$7:$S$3006,资金台帐!$J$7:$J$3006,$B153,资金台帐!$P$7:$P$3006,"应收",资金台帐!$B$7:$B$3006,"&gt;="&amp;年初日,资金台帐!$B$7:$B$3006,"&lt;"&amp;$B$21))</f>
      </c>
      <c r="D153" s="186">
        <f>IF($B153="","",SUMIFS(出库明细!$G$4:$G$3003,出库明细!$C$4:$C$3003,$B153,出库明细!$B$4:$B$3003,"&gt;="&amp;$B$21,出库明细!$B$4:$B$3003,"&lt;="&amp;$D$21))</f>
      </c>
      <c r="E153" s="186">
        <f>IF($B153="","",SUMIFS(资金台帐!$S$7:$S$3006,资金台帐!$J$7:$J$3006,$B153,资金台帐!$P$7:$P$3006,"应收",资金台帐!$B$7:$B$3006,"&gt;="&amp;$B$21,资金台帐!$B$7:$B$3006,"&lt;="&amp;$D$21))</f>
      </c>
      <c r="F153" s="187">
        <f>IF($B153="","",C153+D153-E153)</f>
      </c>
      <c r="G153" s="141">
        <f>IF($B153="","",IF(ROUND(F153,2)=0,"已结清",IF(F153&gt;0,"有欠款","预存款")))</f>
      </c>
      <c r="H153" s="195">
        <f>IF($B153="","",_xlfn.MAXIFS(资金台帐!$B$7:$B$3006,资金台帐!$J$7:$J$3006,$B153,资金台帐!$P$7:$P$3006,"应收"))</f>
      </c>
    </row>
    <row r="154">
      <c r="A154" s="194">
        <f>IF(B154="","",131)</f>
      </c>
      <c r="B154" s="141">
        <f>IF(总览汇总!B135="","",总览汇总!B135)</f>
      </c>
      <c r="C154" s="186">
        <f>IF($B154="","",N(总览汇总!K135)+SUMIFS(出库明细!$G$4:$G$3003,出库明细!$C$4:$C$3003,$B154,出库明细!$B$4:$B$3003,"&gt;="&amp;年初日,出库明细!$B$4:$B$3003,"&lt;"&amp;$B$21)-SUMIFS(资金台帐!$S$7:$S$3006,资金台帐!$J$7:$J$3006,$B154,资金台帐!$P$7:$P$3006,"应收",资金台帐!$B$7:$B$3006,"&gt;="&amp;年初日,资金台帐!$B$7:$B$3006,"&lt;"&amp;$B$21))</f>
      </c>
      <c r="D154" s="186">
        <f>IF($B154="","",SUMIFS(出库明细!$G$4:$G$3003,出库明细!$C$4:$C$3003,$B154,出库明细!$B$4:$B$3003,"&gt;="&amp;$B$21,出库明细!$B$4:$B$3003,"&lt;="&amp;$D$21))</f>
      </c>
      <c r="E154" s="186">
        <f>IF($B154="","",SUMIFS(资金台帐!$S$7:$S$3006,资金台帐!$J$7:$J$3006,$B154,资金台帐!$P$7:$P$3006,"应收",资金台帐!$B$7:$B$3006,"&gt;="&amp;$B$21,资金台帐!$B$7:$B$3006,"&lt;="&amp;$D$21))</f>
      </c>
      <c r="F154" s="187">
        <f>IF($B154="","",C154+D154-E154)</f>
      </c>
      <c r="G154" s="141">
        <f>IF($B154="","",IF(ROUND(F154,2)=0,"已结清",IF(F154&gt;0,"有欠款","预存款")))</f>
      </c>
      <c r="H154" s="195">
        <f>IF($B154="","",_xlfn.MAXIFS(资金台帐!$B$7:$B$3006,资金台帐!$J$7:$J$3006,$B154,资金台帐!$P$7:$P$3006,"应收"))</f>
      </c>
    </row>
    <row r="155">
      <c r="A155" s="194">
        <f>IF(B155="","",132)</f>
      </c>
      <c r="B155" s="141">
        <f>IF(总览汇总!B136="","",总览汇总!B136)</f>
      </c>
      <c r="C155" s="186">
        <f>IF($B155="","",N(总览汇总!K136)+SUMIFS(出库明细!$G$4:$G$3003,出库明细!$C$4:$C$3003,$B155,出库明细!$B$4:$B$3003,"&gt;="&amp;年初日,出库明细!$B$4:$B$3003,"&lt;"&amp;$B$21)-SUMIFS(资金台帐!$S$7:$S$3006,资金台帐!$J$7:$J$3006,$B155,资金台帐!$P$7:$P$3006,"应收",资金台帐!$B$7:$B$3006,"&gt;="&amp;年初日,资金台帐!$B$7:$B$3006,"&lt;"&amp;$B$21))</f>
      </c>
      <c r="D155" s="186">
        <f>IF($B155="","",SUMIFS(出库明细!$G$4:$G$3003,出库明细!$C$4:$C$3003,$B155,出库明细!$B$4:$B$3003,"&gt;="&amp;$B$21,出库明细!$B$4:$B$3003,"&lt;="&amp;$D$21))</f>
      </c>
      <c r="E155" s="186">
        <f>IF($B155="","",SUMIFS(资金台帐!$S$7:$S$3006,资金台帐!$J$7:$J$3006,$B155,资金台帐!$P$7:$P$3006,"应收",资金台帐!$B$7:$B$3006,"&gt;="&amp;$B$21,资金台帐!$B$7:$B$3006,"&lt;="&amp;$D$21))</f>
      </c>
      <c r="F155" s="187">
        <f>IF($B155="","",C155+D155-E155)</f>
      </c>
      <c r="G155" s="141">
        <f>IF($B155="","",IF(ROUND(F155,2)=0,"已结清",IF(F155&gt;0,"有欠款","预存款")))</f>
      </c>
      <c r="H155" s="195">
        <f>IF($B155="","",_xlfn.MAXIFS(资金台帐!$B$7:$B$3006,资金台帐!$J$7:$J$3006,$B155,资金台帐!$P$7:$P$3006,"应收"))</f>
      </c>
    </row>
    <row r="156">
      <c r="A156" s="194">
        <f>IF(B156="","",133)</f>
      </c>
      <c r="B156" s="141">
        <f>IF(总览汇总!B137="","",总览汇总!B137)</f>
      </c>
      <c r="C156" s="186">
        <f>IF($B156="","",N(总览汇总!K137)+SUMIFS(出库明细!$G$4:$G$3003,出库明细!$C$4:$C$3003,$B156,出库明细!$B$4:$B$3003,"&gt;="&amp;年初日,出库明细!$B$4:$B$3003,"&lt;"&amp;$B$21)-SUMIFS(资金台帐!$S$7:$S$3006,资金台帐!$J$7:$J$3006,$B156,资金台帐!$P$7:$P$3006,"应收",资金台帐!$B$7:$B$3006,"&gt;="&amp;年初日,资金台帐!$B$7:$B$3006,"&lt;"&amp;$B$21))</f>
      </c>
      <c r="D156" s="186">
        <f>IF($B156="","",SUMIFS(出库明细!$G$4:$G$3003,出库明细!$C$4:$C$3003,$B156,出库明细!$B$4:$B$3003,"&gt;="&amp;$B$21,出库明细!$B$4:$B$3003,"&lt;="&amp;$D$21))</f>
      </c>
      <c r="E156" s="186">
        <f>IF($B156="","",SUMIFS(资金台帐!$S$7:$S$3006,资金台帐!$J$7:$J$3006,$B156,资金台帐!$P$7:$P$3006,"应收",资金台帐!$B$7:$B$3006,"&gt;="&amp;$B$21,资金台帐!$B$7:$B$3006,"&lt;="&amp;$D$21))</f>
      </c>
      <c r="F156" s="187">
        <f>IF($B156="","",C156+D156-E156)</f>
      </c>
      <c r="G156" s="141">
        <f>IF($B156="","",IF(ROUND(F156,2)=0,"已结清",IF(F156&gt;0,"有欠款","预存款")))</f>
      </c>
      <c r="H156" s="195">
        <f>IF($B156="","",_xlfn.MAXIFS(资金台帐!$B$7:$B$3006,资金台帐!$J$7:$J$3006,$B156,资金台帐!$P$7:$P$3006,"应收"))</f>
      </c>
    </row>
    <row r="157">
      <c r="A157" s="194">
        <f>IF(B157="","",134)</f>
      </c>
      <c r="B157" s="141">
        <f>IF(总览汇总!B138="","",总览汇总!B138)</f>
      </c>
      <c r="C157" s="186">
        <f>IF($B157="","",N(总览汇总!K138)+SUMIFS(出库明细!$G$4:$G$3003,出库明细!$C$4:$C$3003,$B157,出库明细!$B$4:$B$3003,"&gt;="&amp;年初日,出库明细!$B$4:$B$3003,"&lt;"&amp;$B$21)-SUMIFS(资金台帐!$S$7:$S$3006,资金台帐!$J$7:$J$3006,$B157,资金台帐!$P$7:$P$3006,"应收",资金台帐!$B$7:$B$3006,"&gt;="&amp;年初日,资金台帐!$B$7:$B$3006,"&lt;"&amp;$B$21))</f>
      </c>
      <c r="D157" s="186">
        <f>IF($B157="","",SUMIFS(出库明细!$G$4:$G$3003,出库明细!$C$4:$C$3003,$B157,出库明细!$B$4:$B$3003,"&gt;="&amp;$B$21,出库明细!$B$4:$B$3003,"&lt;="&amp;$D$21))</f>
      </c>
      <c r="E157" s="186">
        <f>IF($B157="","",SUMIFS(资金台帐!$S$7:$S$3006,资金台帐!$J$7:$J$3006,$B157,资金台帐!$P$7:$P$3006,"应收",资金台帐!$B$7:$B$3006,"&gt;="&amp;$B$21,资金台帐!$B$7:$B$3006,"&lt;="&amp;$D$21))</f>
      </c>
      <c r="F157" s="187">
        <f>IF($B157="","",C157+D157-E157)</f>
      </c>
      <c r="G157" s="141">
        <f>IF($B157="","",IF(ROUND(F157,2)=0,"已结清",IF(F157&gt;0,"有欠款","预存款")))</f>
      </c>
      <c r="H157" s="195">
        <f>IF($B157="","",_xlfn.MAXIFS(资金台帐!$B$7:$B$3006,资金台帐!$J$7:$J$3006,$B157,资金台帐!$P$7:$P$3006,"应收"))</f>
      </c>
    </row>
    <row r="158">
      <c r="A158" s="194">
        <f>IF(B158="","",135)</f>
      </c>
      <c r="B158" s="141">
        <f>IF(总览汇总!B139="","",总览汇总!B139)</f>
      </c>
      <c r="C158" s="186">
        <f>IF($B158="","",N(总览汇总!K139)+SUMIFS(出库明细!$G$4:$G$3003,出库明细!$C$4:$C$3003,$B158,出库明细!$B$4:$B$3003,"&gt;="&amp;年初日,出库明细!$B$4:$B$3003,"&lt;"&amp;$B$21)-SUMIFS(资金台帐!$S$7:$S$3006,资金台帐!$J$7:$J$3006,$B158,资金台帐!$P$7:$P$3006,"应收",资金台帐!$B$7:$B$3006,"&gt;="&amp;年初日,资金台帐!$B$7:$B$3006,"&lt;"&amp;$B$21))</f>
      </c>
      <c r="D158" s="186">
        <f>IF($B158="","",SUMIFS(出库明细!$G$4:$G$3003,出库明细!$C$4:$C$3003,$B158,出库明细!$B$4:$B$3003,"&gt;="&amp;$B$21,出库明细!$B$4:$B$3003,"&lt;="&amp;$D$21))</f>
      </c>
      <c r="E158" s="186">
        <f>IF($B158="","",SUMIFS(资金台帐!$S$7:$S$3006,资金台帐!$J$7:$J$3006,$B158,资金台帐!$P$7:$P$3006,"应收",资金台帐!$B$7:$B$3006,"&gt;="&amp;$B$21,资金台帐!$B$7:$B$3006,"&lt;="&amp;$D$21))</f>
      </c>
      <c r="F158" s="187">
        <f>IF($B158="","",C158+D158-E158)</f>
      </c>
      <c r="G158" s="141">
        <f>IF($B158="","",IF(ROUND(F158,2)=0,"已结清",IF(F158&gt;0,"有欠款","预存款")))</f>
      </c>
      <c r="H158" s="195">
        <f>IF($B158="","",_xlfn.MAXIFS(资金台帐!$B$7:$B$3006,资金台帐!$J$7:$J$3006,$B158,资金台帐!$P$7:$P$3006,"应收"))</f>
      </c>
    </row>
    <row r="159">
      <c r="A159" s="194">
        <f>IF(B159="","",136)</f>
      </c>
      <c r="B159" s="141">
        <f>IF(总览汇总!B140="","",总览汇总!B140)</f>
      </c>
      <c r="C159" s="186">
        <f>IF($B159="","",N(总览汇总!K140)+SUMIFS(出库明细!$G$4:$G$3003,出库明细!$C$4:$C$3003,$B159,出库明细!$B$4:$B$3003,"&gt;="&amp;年初日,出库明细!$B$4:$B$3003,"&lt;"&amp;$B$21)-SUMIFS(资金台帐!$S$7:$S$3006,资金台帐!$J$7:$J$3006,$B159,资金台帐!$P$7:$P$3006,"应收",资金台帐!$B$7:$B$3006,"&gt;="&amp;年初日,资金台帐!$B$7:$B$3006,"&lt;"&amp;$B$21))</f>
      </c>
      <c r="D159" s="186">
        <f>IF($B159="","",SUMIFS(出库明细!$G$4:$G$3003,出库明细!$C$4:$C$3003,$B159,出库明细!$B$4:$B$3003,"&gt;="&amp;$B$21,出库明细!$B$4:$B$3003,"&lt;="&amp;$D$21))</f>
      </c>
      <c r="E159" s="186">
        <f>IF($B159="","",SUMIFS(资金台帐!$S$7:$S$3006,资金台帐!$J$7:$J$3006,$B159,资金台帐!$P$7:$P$3006,"应收",资金台帐!$B$7:$B$3006,"&gt;="&amp;$B$21,资金台帐!$B$7:$B$3006,"&lt;="&amp;$D$21))</f>
      </c>
      <c r="F159" s="187">
        <f>IF($B159="","",C159+D159-E159)</f>
      </c>
      <c r="G159" s="141">
        <f>IF($B159="","",IF(ROUND(F159,2)=0,"已结清",IF(F159&gt;0,"有欠款","预存款")))</f>
      </c>
      <c r="H159" s="195">
        <f>IF($B159="","",_xlfn.MAXIFS(资金台帐!$B$7:$B$3006,资金台帐!$J$7:$J$3006,$B159,资金台帐!$P$7:$P$3006,"应收"))</f>
      </c>
    </row>
    <row r="160">
      <c r="A160" s="194">
        <f>IF(B160="","",137)</f>
      </c>
      <c r="B160" s="141">
        <f>IF(总览汇总!B141="","",总览汇总!B141)</f>
      </c>
      <c r="C160" s="186">
        <f>IF($B160="","",N(总览汇总!K141)+SUMIFS(出库明细!$G$4:$G$3003,出库明细!$C$4:$C$3003,$B160,出库明细!$B$4:$B$3003,"&gt;="&amp;年初日,出库明细!$B$4:$B$3003,"&lt;"&amp;$B$21)-SUMIFS(资金台帐!$S$7:$S$3006,资金台帐!$J$7:$J$3006,$B160,资金台帐!$P$7:$P$3006,"应收",资金台帐!$B$7:$B$3006,"&gt;="&amp;年初日,资金台帐!$B$7:$B$3006,"&lt;"&amp;$B$21))</f>
      </c>
      <c r="D160" s="186">
        <f>IF($B160="","",SUMIFS(出库明细!$G$4:$G$3003,出库明细!$C$4:$C$3003,$B160,出库明细!$B$4:$B$3003,"&gt;="&amp;$B$21,出库明细!$B$4:$B$3003,"&lt;="&amp;$D$21))</f>
      </c>
      <c r="E160" s="186">
        <f>IF($B160="","",SUMIFS(资金台帐!$S$7:$S$3006,资金台帐!$J$7:$J$3006,$B160,资金台帐!$P$7:$P$3006,"应收",资金台帐!$B$7:$B$3006,"&gt;="&amp;$B$21,资金台帐!$B$7:$B$3006,"&lt;="&amp;$D$21))</f>
      </c>
      <c r="F160" s="187">
        <f>IF($B160="","",C160+D160-E160)</f>
      </c>
      <c r="G160" s="141">
        <f>IF($B160="","",IF(ROUND(F160,2)=0,"已结清",IF(F160&gt;0,"有欠款","预存款")))</f>
      </c>
      <c r="H160" s="195">
        <f>IF($B160="","",_xlfn.MAXIFS(资金台帐!$B$7:$B$3006,资金台帐!$J$7:$J$3006,$B160,资金台帐!$P$7:$P$3006,"应收"))</f>
      </c>
    </row>
    <row r="161">
      <c r="A161" s="194">
        <f>IF(B161="","",138)</f>
      </c>
      <c r="B161" s="141">
        <f>IF(总览汇总!B142="","",总览汇总!B142)</f>
      </c>
      <c r="C161" s="186">
        <f>IF($B161="","",N(总览汇总!K142)+SUMIFS(出库明细!$G$4:$G$3003,出库明细!$C$4:$C$3003,$B161,出库明细!$B$4:$B$3003,"&gt;="&amp;年初日,出库明细!$B$4:$B$3003,"&lt;"&amp;$B$21)-SUMIFS(资金台帐!$S$7:$S$3006,资金台帐!$J$7:$J$3006,$B161,资金台帐!$P$7:$P$3006,"应收",资金台帐!$B$7:$B$3006,"&gt;="&amp;年初日,资金台帐!$B$7:$B$3006,"&lt;"&amp;$B$21))</f>
      </c>
      <c r="D161" s="186">
        <f>IF($B161="","",SUMIFS(出库明细!$G$4:$G$3003,出库明细!$C$4:$C$3003,$B161,出库明细!$B$4:$B$3003,"&gt;="&amp;$B$21,出库明细!$B$4:$B$3003,"&lt;="&amp;$D$21))</f>
      </c>
      <c r="E161" s="186">
        <f>IF($B161="","",SUMIFS(资金台帐!$S$7:$S$3006,资金台帐!$J$7:$J$3006,$B161,资金台帐!$P$7:$P$3006,"应收",资金台帐!$B$7:$B$3006,"&gt;="&amp;$B$21,资金台帐!$B$7:$B$3006,"&lt;="&amp;$D$21))</f>
      </c>
      <c r="F161" s="187">
        <f>IF($B161="","",C161+D161-E161)</f>
      </c>
      <c r="G161" s="141">
        <f>IF($B161="","",IF(ROUND(F161,2)=0,"已结清",IF(F161&gt;0,"有欠款","预存款")))</f>
      </c>
      <c r="H161" s="195">
        <f>IF($B161="","",_xlfn.MAXIFS(资金台帐!$B$7:$B$3006,资金台帐!$J$7:$J$3006,$B161,资金台帐!$P$7:$P$3006,"应收"))</f>
      </c>
    </row>
    <row r="162">
      <c r="A162" s="194">
        <f>IF(B162="","",139)</f>
      </c>
      <c r="B162" s="141">
        <f>IF(总览汇总!B143="","",总览汇总!B143)</f>
      </c>
      <c r="C162" s="186">
        <f>IF($B162="","",N(总览汇总!K143)+SUMIFS(出库明细!$G$4:$G$3003,出库明细!$C$4:$C$3003,$B162,出库明细!$B$4:$B$3003,"&gt;="&amp;年初日,出库明细!$B$4:$B$3003,"&lt;"&amp;$B$21)-SUMIFS(资金台帐!$S$7:$S$3006,资金台帐!$J$7:$J$3006,$B162,资金台帐!$P$7:$P$3006,"应收",资金台帐!$B$7:$B$3006,"&gt;="&amp;年初日,资金台帐!$B$7:$B$3006,"&lt;"&amp;$B$21))</f>
      </c>
      <c r="D162" s="186">
        <f>IF($B162="","",SUMIFS(出库明细!$G$4:$G$3003,出库明细!$C$4:$C$3003,$B162,出库明细!$B$4:$B$3003,"&gt;="&amp;$B$21,出库明细!$B$4:$B$3003,"&lt;="&amp;$D$21))</f>
      </c>
      <c r="E162" s="186">
        <f>IF($B162="","",SUMIFS(资金台帐!$S$7:$S$3006,资金台帐!$J$7:$J$3006,$B162,资金台帐!$P$7:$P$3006,"应收",资金台帐!$B$7:$B$3006,"&gt;="&amp;$B$21,资金台帐!$B$7:$B$3006,"&lt;="&amp;$D$21))</f>
      </c>
      <c r="F162" s="187">
        <f>IF($B162="","",C162+D162-E162)</f>
      </c>
      <c r="G162" s="141">
        <f>IF($B162="","",IF(ROUND(F162,2)=0,"已结清",IF(F162&gt;0,"有欠款","预存款")))</f>
      </c>
      <c r="H162" s="195">
        <f>IF($B162="","",_xlfn.MAXIFS(资金台帐!$B$7:$B$3006,资金台帐!$J$7:$J$3006,$B162,资金台帐!$P$7:$P$3006,"应收"))</f>
      </c>
    </row>
    <row r="163">
      <c r="A163" s="194">
        <f>IF(B163="","",140)</f>
      </c>
      <c r="B163" s="141">
        <f>IF(总览汇总!B144="","",总览汇总!B144)</f>
      </c>
      <c r="C163" s="186">
        <f>IF($B163="","",N(总览汇总!K144)+SUMIFS(出库明细!$G$4:$G$3003,出库明细!$C$4:$C$3003,$B163,出库明细!$B$4:$B$3003,"&gt;="&amp;年初日,出库明细!$B$4:$B$3003,"&lt;"&amp;$B$21)-SUMIFS(资金台帐!$S$7:$S$3006,资金台帐!$J$7:$J$3006,$B163,资金台帐!$P$7:$P$3006,"应收",资金台帐!$B$7:$B$3006,"&gt;="&amp;年初日,资金台帐!$B$7:$B$3006,"&lt;"&amp;$B$21))</f>
      </c>
      <c r="D163" s="186">
        <f>IF($B163="","",SUMIFS(出库明细!$G$4:$G$3003,出库明细!$C$4:$C$3003,$B163,出库明细!$B$4:$B$3003,"&gt;="&amp;$B$21,出库明细!$B$4:$B$3003,"&lt;="&amp;$D$21))</f>
      </c>
      <c r="E163" s="186">
        <f>IF($B163="","",SUMIFS(资金台帐!$S$7:$S$3006,资金台帐!$J$7:$J$3006,$B163,资金台帐!$P$7:$P$3006,"应收",资金台帐!$B$7:$B$3006,"&gt;="&amp;$B$21,资金台帐!$B$7:$B$3006,"&lt;="&amp;$D$21))</f>
      </c>
      <c r="F163" s="187">
        <f>IF($B163="","",C163+D163-E163)</f>
      </c>
      <c r="G163" s="141">
        <f>IF($B163="","",IF(ROUND(F163,2)=0,"已结清",IF(F163&gt;0,"有欠款","预存款")))</f>
      </c>
      <c r="H163" s="195">
        <f>IF($B163="","",_xlfn.MAXIFS(资金台帐!$B$7:$B$3006,资金台帐!$J$7:$J$3006,$B163,资金台帐!$P$7:$P$3006,"应收"))</f>
      </c>
    </row>
    <row r="164">
      <c r="A164" s="194">
        <f>IF(B164="","",141)</f>
      </c>
      <c r="B164" s="141">
        <f>IF(总览汇总!B145="","",总览汇总!B145)</f>
      </c>
      <c r="C164" s="186">
        <f>IF($B164="","",N(总览汇总!K145)+SUMIFS(出库明细!$G$4:$G$3003,出库明细!$C$4:$C$3003,$B164,出库明细!$B$4:$B$3003,"&gt;="&amp;年初日,出库明细!$B$4:$B$3003,"&lt;"&amp;$B$21)-SUMIFS(资金台帐!$S$7:$S$3006,资金台帐!$J$7:$J$3006,$B164,资金台帐!$P$7:$P$3006,"应收",资金台帐!$B$7:$B$3006,"&gt;="&amp;年初日,资金台帐!$B$7:$B$3006,"&lt;"&amp;$B$21))</f>
      </c>
      <c r="D164" s="186">
        <f>IF($B164="","",SUMIFS(出库明细!$G$4:$G$3003,出库明细!$C$4:$C$3003,$B164,出库明细!$B$4:$B$3003,"&gt;="&amp;$B$21,出库明细!$B$4:$B$3003,"&lt;="&amp;$D$21))</f>
      </c>
      <c r="E164" s="186">
        <f>IF($B164="","",SUMIFS(资金台帐!$S$7:$S$3006,资金台帐!$J$7:$J$3006,$B164,资金台帐!$P$7:$P$3006,"应收",资金台帐!$B$7:$B$3006,"&gt;="&amp;$B$21,资金台帐!$B$7:$B$3006,"&lt;="&amp;$D$21))</f>
      </c>
      <c r="F164" s="187">
        <f>IF($B164="","",C164+D164-E164)</f>
      </c>
      <c r="G164" s="141">
        <f>IF($B164="","",IF(ROUND(F164,2)=0,"已结清",IF(F164&gt;0,"有欠款","预存款")))</f>
      </c>
      <c r="H164" s="195">
        <f>IF($B164="","",_xlfn.MAXIFS(资金台帐!$B$7:$B$3006,资金台帐!$J$7:$J$3006,$B164,资金台帐!$P$7:$P$3006,"应收"))</f>
      </c>
    </row>
    <row r="165">
      <c r="A165" s="194">
        <f>IF(B165="","",142)</f>
      </c>
      <c r="B165" s="141">
        <f>IF(总览汇总!B146="","",总览汇总!B146)</f>
      </c>
      <c r="C165" s="186">
        <f>IF($B165="","",N(总览汇总!K146)+SUMIFS(出库明细!$G$4:$G$3003,出库明细!$C$4:$C$3003,$B165,出库明细!$B$4:$B$3003,"&gt;="&amp;年初日,出库明细!$B$4:$B$3003,"&lt;"&amp;$B$21)-SUMIFS(资金台帐!$S$7:$S$3006,资金台帐!$J$7:$J$3006,$B165,资金台帐!$P$7:$P$3006,"应收",资金台帐!$B$7:$B$3006,"&gt;="&amp;年初日,资金台帐!$B$7:$B$3006,"&lt;"&amp;$B$21))</f>
      </c>
      <c r="D165" s="186">
        <f>IF($B165="","",SUMIFS(出库明细!$G$4:$G$3003,出库明细!$C$4:$C$3003,$B165,出库明细!$B$4:$B$3003,"&gt;="&amp;$B$21,出库明细!$B$4:$B$3003,"&lt;="&amp;$D$21))</f>
      </c>
      <c r="E165" s="186">
        <f>IF($B165="","",SUMIFS(资金台帐!$S$7:$S$3006,资金台帐!$J$7:$J$3006,$B165,资金台帐!$P$7:$P$3006,"应收",资金台帐!$B$7:$B$3006,"&gt;="&amp;$B$21,资金台帐!$B$7:$B$3006,"&lt;="&amp;$D$21))</f>
      </c>
      <c r="F165" s="187">
        <f>IF($B165="","",C165+D165-E165)</f>
      </c>
      <c r="G165" s="141">
        <f>IF($B165="","",IF(ROUND(F165,2)=0,"已结清",IF(F165&gt;0,"有欠款","预存款")))</f>
      </c>
      <c r="H165" s="195">
        <f>IF($B165="","",_xlfn.MAXIFS(资金台帐!$B$7:$B$3006,资金台帐!$J$7:$J$3006,$B165,资金台帐!$P$7:$P$3006,"应收"))</f>
      </c>
    </row>
    <row r="166">
      <c r="A166" s="194">
        <f>IF(B166="","",143)</f>
      </c>
      <c r="B166" s="141">
        <f>IF(总览汇总!B147="","",总览汇总!B147)</f>
      </c>
      <c r="C166" s="186">
        <f>IF($B166="","",N(总览汇总!K147)+SUMIFS(出库明细!$G$4:$G$3003,出库明细!$C$4:$C$3003,$B166,出库明细!$B$4:$B$3003,"&gt;="&amp;年初日,出库明细!$B$4:$B$3003,"&lt;"&amp;$B$21)-SUMIFS(资金台帐!$S$7:$S$3006,资金台帐!$J$7:$J$3006,$B166,资金台帐!$P$7:$P$3006,"应收",资金台帐!$B$7:$B$3006,"&gt;="&amp;年初日,资金台帐!$B$7:$B$3006,"&lt;"&amp;$B$21))</f>
      </c>
      <c r="D166" s="186">
        <f>IF($B166="","",SUMIFS(出库明细!$G$4:$G$3003,出库明细!$C$4:$C$3003,$B166,出库明细!$B$4:$B$3003,"&gt;="&amp;$B$21,出库明细!$B$4:$B$3003,"&lt;="&amp;$D$21))</f>
      </c>
      <c r="E166" s="186">
        <f>IF($B166="","",SUMIFS(资金台帐!$S$7:$S$3006,资金台帐!$J$7:$J$3006,$B166,资金台帐!$P$7:$P$3006,"应收",资金台帐!$B$7:$B$3006,"&gt;="&amp;$B$21,资金台帐!$B$7:$B$3006,"&lt;="&amp;$D$21))</f>
      </c>
      <c r="F166" s="187">
        <f>IF($B166="","",C166+D166-E166)</f>
      </c>
      <c r="G166" s="141">
        <f>IF($B166="","",IF(ROUND(F166,2)=0,"已结清",IF(F166&gt;0,"有欠款","预存款")))</f>
      </c>
      <c r="H166" s="195">
        <f>IF($B166="","",_xlfn.MAXIFS(资金台帐!$B$7:$B$3006,资金台帐!$J$7:$J$3006,$B166,资金台帐!$P$7:$P$3006,"应收"))</f>
      </c>
    </row>
    <row r="167">
      <c r="A167" s="194">
        <f>IF(B167="","",144)</f>
      </c>
      <c r="B167" s="141">
        <f>IF(总览汇总!B148="","",总览汇总!B148)</f>
      </c>
      <c r="C167" s="186">
        <f>IF($B167="","",N(总览汇总!K148)+SUMIFS(出库明细!$G$4:$G$3003,出库明细!$C$4:$C$3003,$B167,出库明细!$B$4:$B$3003,"&gt;="&amp;年初日,出库明细!$B$4:$B$3003,"&lt;"&amp;$B$21)-SUMIFS(资金台帐!$S$7:$S$3006,资金台帐!$J$7:$J$3006,$B167,资金台帐!$P$7:$P$3006,"应收",资金台帐!$B$7:$B$3006,"&gt;="&amp;年初日,资金台帐!$B$7:$B$3006,"&lt;"&amp;$B$21))</f>
      </c>
      <c r="D167" s="186">
        <f>IF($B167="","",SUMIFS(出库明细!$G$4:$G$3003,出库明细!$C$4:$C$3003,$B167,出库明细!$B$4:$B$3003,"&gt;="&amp;$B$21,出库明细!$B$4:$B$3003,"&lt;="&amp;$D$21))</f>
      </c>
      <c r="E167" s="186">
        <f>IF($B167="","",SUMIFS(资金台帐!$S$7:$S$3006,资金台帐!$J$7:$J$3006,$B167,资金台帐!$P$7:$P$3006,"应收",资金台帐!$B$7:$B$3006,"&gt;="&amp;$B$21,资金台帐!$B$7:$B$3006,"&lt;="&amp;$D$21))</f>
      </c>
      <c r="F167" s="187">
        <f>IF($B167="","",C167+D167-E167)</f>
      </c>
      <c r="G167" s="141">
        <f>IF($B167="","",IF(ROUND(F167,2)=0,"已结清",IF(F167&gt;0,"有欠款","预存款")))</f>
      </c>
      <c r="H167" s="195">
        <f>IF($B167="","",_xlfn.MAXIFS(资金台帐!$B$7:$B$3006,资金台帐!$J$7:$J$3006,$B167,资金台帐!$P$7:$P$3006,"应收"))</f>
      </c>
    </row>
    <row r="168">
      <c r="A168" s="194">
        <f>IF(B168="","",145)</f>
      </c>
      <c r="B168" s="141">
        <f>IF(总览汇总!B149="","",总览汇总!B149)</f>
      </c>
      <c r="C168" s="186">
        <f>IF($B168="","",N(总览汇总!K149)+SUMIFS(出库明细!$G$4:$G$3003,出库明细!$C$4:$C$3003,$B168,出库明细!$B$4:$B$3003,"&gt;="&amp;年初日,出库明细!$B$4:$B$3003,"&lt;"&amp;$B$21)-SUMIFS(资金台帐!$S$7:$S$3006,资金台帐!$J$7:$J$3006,$B168,资金台帐!$P$7:$P$3006,"应收",资金台帐!$B$7:$B$3006,"&gt;="&amp;年初日,资金台帐!$B$7:$B$3006,"&lt;"&amp;$B$21))</f>
      </c>
      <c r="D168" s="186">
        <f>IF($B168="","",SUMIFS(出库明细!$G$4:$G$3003,出库明细!$C$4:$C$3003,$B168,出库明细!$B$4:$B$3003,"&gt;="&amp;$B$21,出库明细!$B$4:$B$3003,"&lt;="&amp;$D$21))</f>
      </c>
      <c r="E168" s="186">
        <f>IF($B168="","",SUMIFS(资金台帐!$S$7:$S$3006,资金台帐!$J$7:$J$3006,$B168,资金台帐!$P$7:$P$3006,"应收",资金台帐!$B$7:$B$3006,"&gt;="&amp;$B$21,资金台帐!$B$7:$B$3006,"&lt;="&amp;$D$21))</f>
      </c>
      <c r="F168" s="187">
        <f>IF($B168="","",C168+D168-E168)</f>
      </c>
      <c r="G168" s="141">
        <f>IF($B168="","",IF(ROUND(F168,2)=0,"已结清",IF(F168&gt;0,"有欠款","预存款")))</f>
      </c>
      <c r="H168" s="195">
        <f>IF($B168="","",_xlfn.MAXIFS(资金台帐!$B$7:$B$3006,资金台帐!$J$7:$J$3006,$B168,资金台帐!$P$7:$P$3006,"应收"))</f>
      </c>
    </row>
    <row r="169">
      <c r="A169" s="194">
        <f>IF(B169="","",146)</f>
      </c>
      <c r="B169" s="141">
        <f>IF(总览汇总!B150="","",总览汇总!B150)</f>
      </c>
      <c r="C169" s="186">
        <f>IF($B169="","",N(总览汇总!K150)+SUMIFS(出库明细!$G$4:$G$3003,出库明细!$C$4:$C$3003,$B169,出库明细!$B$4:$B$3003,"&gt;="&amp;年初日,出库明细!$B$4:$B$3003,"&lt;"&amp;$B$21)-SUMIFS(资金台帐!$S$7:$S$3006,资金台帐!$J$7:$J$3006,$B169,资金台帐!$P$7:$P$3006,"应收",资金台帐!$B$7:$B$3006,"&gt;="&amp;年初日,资金台帐!$B$7:$B$3006,"&lt;"&amp;$B$21))</f>
      </c>
      <c r="D169" s="186">
        <f>IF($B169="","",SUMIFS(出库明细!$G$4:$G$3003,出库明细!$C$4:$C$3003,$B169,出库明细!$B$4:$B$3003,"&gt;="&amp;$B$21,出库明细!$B$4:$B$3003,"&lt;="&amp;$D$21))</f>
      </c>
      <c r="E169" s="186">
        <f>IF($B169="","",SUMIFS(资金台帐!$S$7:$S$3006,资金台帐!$J$7:$J$3006,$B169,资金台帐!$P$7:$P$3006,"应收",资金台帐!$B$7:$B$3006,"&gt;="&amp;$B$21,资金台帐!$B$7:$B$3006,"&lt;="&amp;$D$21))</f>
      </c>
      <c r="F169" s="187">
        <f>IF($B169="","",C169+D169-E169)</f>
      </c>
      <c r="G169" s="141">
        <f>IF($B169="","",IF(ROUND(F169,2)=0,"已结清",IF(F169&gt;0,"有欠款","预存款")))</f>
      </c>
      <c r="H169" s="195">
        <f>IF($B169="","",_xlfn.MAXIFS(资金台帐!$B$7:$B$3006,资金台帐!$J$7:$J$3006,$B169,资金台帐!$P$7:$P$3006,"应收"))</f>
      </c>
    </row>
    <row r="170">
      <c r="A170" s="194">
        <f>IF(B170="","",147)</f>
      </c>
      <c r="B170" s="141">
        <f>IF(总览汇总!B151="","",总览汇总!B151)</f>
      </c>
      <c r="C170" s="186">
        <f>IF($B170="","",N(总览汇总!K151)+SUMIFS(出库明细!$G$4:$G$3003,出库明细!$C$4:$C$3003,$B170,出库明细!$B$4:$B$3003,"&gt;="&amp;年初日,出库明细!$B$4:$B$3003,"&lt;"&amp;$B$21)-SUMIFS(资金台帐!$S$7:$S$3006,资金台帐!$J$7:$J$3006,$B170,资金台帐!$P$7:$P$3006,"应收",资金台帐!$B$7:$B$3006,"&gt;="&amp;年初日,资金台帐!$B$7:$B$3006,"&lt;"&amp;$B$21))</f>
      </c>
      <c r="D170" s="186">
        <f>IF($B170="","",SUMIFS(出库明细!$G$4:$G$3003,出库明细!$C$4:$C$3003,$B170,出库明细!$B$4:$B$3003,"&gt;="&amp;$B$21,出库明细!$B$4:$B$3003,"&lt;="&amp;$D$21))</f>
      </c>
      <c r="E170" s="186">
        <f>IF($B170="","",SUMIFS(资金台帐!$S$7:$S$3006,资金台帐!$J$7:$J$3006,$B170,资金台帐!$P$7:$P$3006,"应收",资金台帐!$B$7:$B$3006,"&gt;="&amp;$B$21,资金台帐!$B$7:$B$3006,"&lt;="&amp;$D$21))</f>
      </c>
      <c r="F170" s="187">
        <f>IF($B170="","",C170+D170-E170)</f>
      </c>
      <c r="G170" s="141">
        <f>IF($B170="","",IF(ROUND(F170,2)=0,"已结清",IF(F170&gt;0,"有欠款","预存款")))</f>
      </c>
      <c r="H170" s="195">
        <f>IF($B170="","",_xlfn.MAXIFS(资金台帐!$B$7:$B$3006,资金台帐!$J$7:$J$3006,$B170,资金台帐!$P$7:$P$3006,"应收"))</f>
      </c>
    </row>
    <row r="171">
      <c r="A171" s="194">
        <f>IF(B171="","",148)</f>
      </c>
      <c r="B171" s="141">
        <f>IF(总览汇总!B152="","",总览汇总!B152)</f>
      </c>
      <c r="C171" s="186">
        <f>IF($B171="","",N(总览汇总!K152)+SUMIFS(出库明细!$G$4:$G$3003,出库明细!$C$4:$C$3003,$B171,出库明细!$B$4:$B$3003,"&gt;="&amp;年初日,出库明细!$B$4:$B$3003,"&lt;"&amp;$B$21)-SUMIFS(资金台帐!$S$7:$S$3006,资金台帐!$J$7:$J$3006,$B171,资金台帐!$P$7:$P$3006,"应收",资金台帐!$B$7:$B$3006,"&gt;="&amp;年初日,资金台帐!$B$7:$B$3006,"&lt;"&amp;$B$21))</f>
      </c>
      <c r="D171" s="186">
        <f>IF($B171="","",SUMIFS(出库明细!$G$4:$G$3003,出库明细!$C$4:$C$3003,$B171,出库明细!$B$4:$B$3003,"&gt;="&amp;$B$21,出库明细!$B$4:$B$3003,"&lt;="&amp;$D$21))</f>
      </c>
      <c r="E171" s="186">
        <f>IF($B171="","",SUMIFS(资金台帐!$S$7:$S$3006,资金台帐!$J$7:$J$3006,$B171,资金台帐!$P$7:$P$3006,"应收",资金台帐!$B$7:$B$3006,"&gt;="&amp;$B$21,资金台帐!$B$7:$B$3006,"&lt;="&amp;$D$21))</f>
      </c>
      <c r="F171" s="187">
        <f>IF($B171="","",C171+D171-E171)</f>
      </c>
      <c r="G171" s="141">
        <f>IF($B171="","",IF(ROUND(F171,2)=0,"已结清",IF(F171&gt;0,"有欠款","预存款")))</f>
      </c>
      <c r="H171" s="195">
        <f>IF($B171="","",_xlfn.MAXIFS(资金台帐!$B$7:$B$3006,资金台帐!$J$7:$J$3006,$B171,资金台帐!$P$7:$P$3006,"应收"))</f>
      </c>
    </row>
    <row r="172">
      <c r="A172" s="194">
        <f>IF(B172="","",149)</f>
      </c>
      <c r="B172" s="141">
        <f>IF(总览汇总!B153="","",总览汇总!B153)</f>
      </c>
      <c r="C172" s="186">
        <f>IF($B172="","",N(总览汇总!K153)+SUMIFS(出库明细!$G$4:$G$3003,出库明细!$C$4:$C$3003,$B172,出库明细!$B$4:$B$3003,"&gt;="&amp;年初日,出库明细!$B$4:$B$3003,"&lt;"&amp;$B$21)-SUMIFS(资金台帐!$S$7:$S$3006,资金台帐!$J$7:$J$3006,$B172,资金台帐!$P$7:$P$3006,"应收",资金台帐!$B$7:$B$3006,"&gt;="&amp;年初日,资金台帐!$B$7:$B$3006,"&lt;"&amp;$B$21))</f>
      </c>
      <c r="D172" s="186">
        <f>IF($B172="","",SUMIFS(出库明细!$G$4:$G$3003,出库明细!$C$4:$C$3003,$B172,出库明细!$B$4:$B$3003,"&gt;="&amp;$B$21,出库明细!$B$4:$B$3003,"&lt;="&amp;$D$21))</f>
      </c>
      <c r="E172" s="186">
        <f>IF($B172="","",SUMIFS(资金台帐!$S$7:$S$3006,资金台帐!$J$7:$J$3006,$B172,资金台帐!$P$7:$P$3006,"应收",资金台帐!$B$7:$B$3006,"&gt;="&amp;$B$21,资金台帐!$B$7:$B$3006,"&lt;="&amp;$D$21))</f>
      </c>
      <c r="F172" s="187">
        <f>IF($B172="","",C172+D172-E172)</f>
      </c>
      <c r="G172" s="141">
        <f>IF($B172="","",IF(ROUND(F172,2)=0,"已结清",IF(F172&gt;0,"有欠款","预存款")))</f>
      </c>
      <c r="H172" s="195">
        <f>IF($B172="","",_xlfn.MAXIFS(资金台帐!$B$7:$B$3006,资金台帐!$J$7:$J$3006,$B172,资金台帐!$P$7:$P$3006,"应收"))</f>
      </c>
    </row>
    <row r="173">
      <c r="A173" s="194">
        <f>IF(B173="","",150)</f>
      </c>
      <c r="B173" s="141">
        <f>IF(总览汇总!B154="","",总览汇总!B154)</f>
      </c>
      <c r="C173" s="186">
        <f>IF($B173="","",N(总览汇总!K154)+SUMIFS(出库明细!$G$4:$G$3003,出库明细!$C$4:$C$3003,$B173,出库明细!$B$4:$B$3003,"&gt;="&amp;年初日,出库明细!$B$4:$B$3003,"&lt;"&amp;$B$21)-SUMIFS(资金台帐!$S$7:$S$3006,资金台帐!$J$7:$J$3006,$B173,资金台帐!$P$7:$P$3006,"应收",资金台帐!$B$7:$B$3006,"&gt;="&amp;年初日,资金台帐!$B$7:$B$3006,"&lt;"&amp;$B$21))</f>
      </c>
      <c r="D173" s="186">
        <f>IF($B173="","",SUMIFS(出库明细!$G$4:$G$3003,出库明细!$C$4:$C$3003,$B173,出库明细!$B$4:$B$3003,"&gt;="&amp;$B$21,出库明细!$B$4:$B$3003,"&lt;="&amp;$D$21))</f>
      </c>
      <c r="E173" s="186">
        <f>IF($B173="","",SUMIFS(资金台帐!$S$7:$S$3006,资金台帐!$J$7:$J$3006,$B173,资金台帐!$P$7:$P$3006,"应收",资金台帐!$B$7:$B$3006,"&gt;="&amp;$B$21,资金台帐!$B$7:$B$3006,"&lt;="&amp;$D$21))</f>
      </c>
      <c r="F173" s="187">
        <f>IF($B173="","",C173+D173-E173)</f>
      </c>
      <c r="G173" s="141">
        <f>IF($B173="","",IF(ROUND(F173,2)=0,"已结清",IF(F173&gt;0,"有欠款","预存款")))</f>
      </c>
      <c r="H173" s="195">
        <f>IF($B173="","",_xlfn.MAXIFS(资金台帐!$B$7:$B$3006,资金台帐!$J$7:$J$3006,$B173,资金台帐!$P$7:$P$3006,"应收"))</f>
      </c>
    </row>
    <row r="174">
      <c r="A174" s="194">
        <f>IF(B174="","",151)</f>
      </c>
      <c r="B174" s="141">
        <f>IF(总览汇总!B155="","",总览汇总!B155)</f>
      </c>
      <c r="C174" s="186">
        <f>IF($B174="","",N(总览汇总!K155)+SUMIFS(出库明细!$G$4:$G$3003,出库明细!$C$4:$C$3003,$B174,出库明细!$B$4:$B$3003,"&gt;="&amp;年初日,出库明细!$B$4:$B$3003,"&lt;"&amp;$B$21)-SUMIFS(资金台帐!$S$7:$S$3006,资金台帐!$J$7:$J$3006,$B174,资金台帐!$P$7:$P$3006,"应收",资金台帐!$B$7:$B$3006,"&gt;="&amp;年初日,资金台帐!$B$7:$B$3006,"&lt;"&amp;$B$21))</f>
      </c>
      <c r="D174" s="186">
        <f>IF($B174="","",SUMIFS(出库明细!$G$4:$G$3003,出库明细!$C$4:$C$3003,$B174,出库明细!$B$4:$B$3003,"&gt;="&amp;$B$21,出库明细!$B$4:$B$3003,"&lt;="&amp;$D$21))</f>
      </c>
      <c r="E174" s="186">
        <f>IF($B174="","",SUMIFS(资金台帐!$S$7:$S$3006,资金台帐!$J$7:$J$3006,$B174,资金台帐!$P$7:$P$3006,"应收",资金台帐!$B$7:$B$3006,"&gt;="&amp;$B$21,资金台帐!$B$7:$B$3006,"&lt;="&amp;$D$21))</f>
      </c>
      <c r="F174" s="187">
        <f>IF($B174="","",C174+D174-E174)</f>
      </c>
      <c r="G174" s="141">
        <f>IF($B174="","",IF(ROUND(F174,2)=0,"已结清",IF(F174&gt;0,"有欠款","预存款")))</f>
      </c>
      <c r="H174" s="195">
        <f>IF($B174="","",_xlfn.MAXIFS(资金台帐!$B$7:$B$3006,资金台帐!$J$7:$J$3006,$B174,资金台帐!$P$7:$P$3006,"应收"))</f>
      </c>
    </row>
    <row r="175">
      <c r="A175" s="194">
        <f>IF(B175="","",152)</f>
      </c>
      <c r="B175" s="141">
        <f>IF(总览汇总!B156="","",总览汇总!B156)</f>
      </c>
      <c r="C175" s="186">
        <f>IF($B175="","",N(总览汇总!K156)+SUMIFS(出库明细!$G$4:$G$3003,出库明细!$C$4:$C$3003,$B175,出库明细!$B$4:$B$3003,"&gt;="&amp;年初日,出库明细!$B$4:$B$3003,"&lt;"&amp;$B$21)-SUMIFS(资金台帐!$S$7:$S$3006,资金台帐!$J$7:$J$3006,$B175,资金台帐!$P$7:$P$3006,"应收",资金台帐!$B$7:$B$3006,"&gt;="&amp;年初日,资金台帐!$B$7:$B$3006,"&lt;"&amp;$B$21))</f>
      </c>
      <c r="D175" s="186">
        <f>IF($B175="","",SUMIFS(出库明细!$G$4:$G$3003,出库明细!$C$4:$C$3003,$B175,出库明细!$B$4:$B$3003,"&gt;="&amp;$B$21,出库明细!$B$4:$B$3003,"&lt;="&amp;$D$21))</f>
      </c>
      <c r="E175" s="186">
        <f>IF($B175="","",SUMIFS(资金台帐!$S$7:$S$3006,资金台帐!$J$7:$J$3006,$B175,资金台帐!$P$7:$P$3006,"应收",资金台帐!$B$7:$B$3006,"&gt;="&amp;$B$21,资金台帐!$B$7:$B$3006,"&lt;="&amp;$D$21))</f>
      </c>
      <c r="F175" s="187">
        <f>IF($B175="","",C175+D175-E175)</f>
      </c>
      <c r="G175" s="141">
        <f>IF($B175="","",IF(ROUND(F175,2)=0,"已结清",IF(F175&gt;0,"有欠款","预存款")))</f>
      </c>
      <c r="H175" s="195">
        <f>IF($B175="","",_xlfn.MAXIFS(资金台帐!$B$7:$B$3006,资金台帐!$J$7:$J$3006,$B175,资金台帐!$P$7:$P$3006,"应收"))</f>
      </c>
    </row>
    <row r="176">
      <c r="A176" s="194">
        <f>IF(B176="","",153)</f>
      </c>
      <c r="B176" s="141">
        <f>IF(总览汇总!B157="","",总览汇总!B157)</f>
      </c>
      <c r="C176" s="186">
        <f>IF($B176="","",N(总览汇总!K157)+SUMIFS(出库明细!$G$4:$G$3003,出库明细!$C$4:$C$3003,$B176,出库明细!$B$4:$B$3003,"&gt;="&amp;年初日,出库明细!$B$4:$B$3003,"&lt;"&amp;$B$21)-SUMIFS(资金台帐!$S$7:$S$3006,资金台帐!$J$7:$J$3006,$B176,资金台帐!$P$7:$P$3006,"应收",资金台帐!$B$7:$B$3006,"&gt;="&amp;年初日,资金台帐!$B$7:$B$3006,"&lt;"&amp;$B$21))</f>
      </c>
      <c r="D176" s="186">
        <f>IF($B176="","",SUMIFS(出库明细!$G$4:$G$3003,出库明细!$C$4:$C$3003,$B176,出库明细!$B$4:$B$3003,"&gt;="&amp;$B$21,出库明细!$B$4:$B$3003,"&lt;="&amp;$D$21))</f>
      </c>
      <c r="E176" s="186">
        <f>IF($B176="","",SUMIFS(资金台帐!$S$7:$S$3006,资金台帐!$J$7:$J$3006,$B176,资金台帐!$P$7:$P$3006,"应收",资金台帐!$B$7:$B$3006,"&gt;="&amp;$B$21,资金台帐!$B$7:$B$3006,"&lt;="&amp;$D$21))</f>
      </c>
      <c r="F176" s="187">
        <f>IF($B176="","",C176+D176-E176)</f>
      </c>
      <c r="G176" s="141">
        <f>IF($B176="","",IF(ROUND(F176,2)=0,"已结清",IF(F176&gt;0,"有欠款","预存款")))</f>
      </c>
      <c r="H176" s="195">
        <f>IF($B176="","",_xlfn.MAXIFS(资金台帐!$B$7:$B$3006,资金台帐!$J$7:$J$3006,$B176,资金台帐!$P$7:$P$3006,"应收"))</f>
      </c>
    </row>
    <row r="177">
      <c r="A177" s="194">
        <f>IF(B177="","",154)</f>
      </c>
      <c r="B177" s="141">
        <f>IF(总览汇总!B158="","",总览汇总!B158)</f>
      </c>
      <c r="C177" s="186">
        <f>IF($B177="","",N(总览汇总!K158)+SUMIFS(出库明细!$G$4:$G$3003,出库明细!$C$4:$C$3003,$B177,出库明细!$B$4:$B$3003,"&gt;="&amp;年初日,出库明细!$B$4:$B$3003,"&lt;"&amp;$B$21)-SUMIFS(资金台帐!$S$7:$S$3006,资金台帐!$J$7:$J$3006,$B177,资金台帐!$P$7:$P$3006,"应收",资金台帐!$B$7:$B$3006,"&gt;="&amp;年初日,资金台帐!$B$7:$B$3006,"&lt;"&amp;$B$21))</f>
      </c>
      <c r="D177" s="186">
        <f>IF($B177="","",SUMIFS(出库明细!$G$4:$G$3003,出库明细!$C$4:$C$3003,$B177,出库明细!$B$4:$B$3003,"&gt;="&amp;$B$21,出库明细!$B$4:$B$3003,"&lt;="&amp;$D$21))</f>
      </c>
      <c r="E177" s="186">
        <f>IF($B177="","",SUMIFS(资金台帐!$S$7:$S$3006,资金台帐!$J$7:$J$3006,$B177,资金台帐!$P$7:$P$3006,"应收",资金台帐!$B$7:$B$3006,"&gt;="&amp;$B$21,资金台帐!$B$7:$B$3006,"&lt;="&amp;$D$21))</f>
      </c>
      <c r="F177" s="187">
        <f>IF($B177="","",C177+D177-E177)</f>
      </c>
      <c r="G177" s="141">
        <f>IF($B177="","",IF(ROUND(F177,2)=0,"已结清",IF(F177&gt;0,"有欠款","预存款")))</f>
      </c>
      <c r="H177" s="195">
        <f>IF($B177="","",_xlfn.MAXIFS(资金台帐!$B$7:$B$3006,资金台帐!$J$7:$J$3006,$B177,资金台帐!$P$7:$P$3006,"应收"))</f>
      </c>
    </row>
    <row r="178">
      <c r="A178" s="194">
        <f>IF(B178="","",155)</f>
      </c>
      <c r="B178" s="141">
        <f>IF(总览汇总!B159="","",总览汇总!B159)</f>
      </c>
      <c r="C178" s="186">
        <f>IF($B178="","",N(总览汇总!K159)+SUMIFS(出库明细!$G$4:$G$3003,出库明细!$C$4:$C$3003,$B178,出库明细!$B$4:$B$3003,"&gt;="&amp;年初日,出库明细!$B$4:$B$3003,"&lt;"&amp;$B$21)-SUMIFS(资金台帐!$S$7:$S$3006,资金台帐!$J$7:$J$3006,$B178,资金台帐!$P$7:$P$3006,"应收",资金台帐!$B$7:$B$3006,"&gt;="&amp;年初日,资金台帐!$B$7:$B$3006,"&lt;"&amp;$B$21))</f>
      </c>
      <c r="D178" s="186">
        <f>IF($B178="","",SUMIFS(出库明细!$G$4:$G$3003,出库明细!$C$4:$C$3003,$B178,出库明细!$B$4:$B$3003,"&gt;="&amp;$B$21,出库明细!$B$4:$B$3003,"&lt;="&amp;$D$21))</f>
      </c>
      <c r="E178" s="186">
        <f>IF($B178="","",SUMIFS(资金台帐!$S$7:$S$3006,资金台帐!$J$7:$J$3006,$B178,资金台帐!$P$7:$P$3006,"应收",资金台帐!$B$7:$B$3006,"&gt;="&amp;$B$21,资金台帐!$B$7:$B$3006,"&lt;="&amp;$D$21))</f>
      </c>
      <c r="F178" s="187">
        <f>IF($B178="","",C178+D178-E178)</f>
      </c>
      <c r="G178" s="141">
        <f>IF($B178="","",IF(ROUND(F178,2)=0,"已结清",IF(F178&gt;0,"有欠款","预存款")))</f>
      </c>
      <c r="H178" s="195">
        <f>IF($B178="","",_xlfn.MAXIFS(资金台帐!$B$7:$B$3006,资金台帐!$J$7:$J$3006,$B178,资金台帐!$P$7:$P$3006,"应收"))</f>
      </c>
    </row>
    <row r="179">
      <c r="A179" s="194">
        <f>IF(B179="","",156)</f>
      </c>
      <c r="B179" s="141">
        <f>IF(总览汇总!B160="","",总览汇总!B160)</f>
      </c>
      <c r="C179" s="186">
        <f>IF($B179="","",N(总览汇总!K160)+SUMIFS(出库明细!$G$4:$G$3003,出库明细!$C$4:$C$3003,$B179,出库明细!$B$4:$B$3003,"&gt;="&amp;年初日,出库明细!$B$4:$B$3003,"&lt;"&amp;$B$21)-SUMIFS(资金台帐!$S$7:$S$3006,资金台帐!$J$7:$J$3006,$B179,资金台帐!$P$7:$P$3006,"应收",资金台帐!$B$7:$B$3006,"&gt;="&amp;年初日,资金台帐!$B$7:$B$3006,"&lt;"&amp;$B$21))</f>
      </c>
      <c r="D179" s="186">
        <f>IF($B179="","",SUMIFS(出库明细!$G$4:$G$3003,出库明细!$C$4:$C$3003,$B179,出库明细!$B$4:$B$3003,"&gt;="&amp;$B$21,出库明细!$B$4:$B$3003,"&lt;="&amp;$D$21))</f>
      </c>
      <c r="E179" s="186">
        <f>IF($B179="","",SUMIFS(资金台帐!$S$7:$S$3006,资金台帐!$J$7:$J$3006,$B179,资金台帐!$P$7:$P$3006,"应收",资金台帐!$B$7:$B$3006,"&gt;="&amp;$B$21,资金台帐!$B$7:$B$3006,"&lt;="&amp;$D$21))</f>
      </c>
      <c r="F179" s="187">
        <f>IF($B179="","",C179+D179-E179)</f>
      </c>
      <c r="G179" s="141">
        <f>IF($B179="","",IF(ROUND(F179,2)=0,"已结清",IF(F179&gt;0,"有欠款","预存款")))</f>
      </c>
      <c r="H179" s="195">
        <f>IF($B179="","",_xlfn.MAXIFS(资金台帐!$B$7:$B$3006,资金台帐!$J$7:$J$3006,$B179,资金台帐!$P$7:$P$3006,"应收"))</f>
      </c>
    </row>
    <row r="180">
      <c r="A180" s="194">
        <f>IF(B180="","",157)</f>
      </c>
      <c r="B180" s="141">
        <f>IF(总览汇总!B161="","",总览汇总!B161)</f>
      </c>
      <c r="C180" s="186">
        <f>IF($B180="","",N(总览汇总!K161)+SUMIFS(出库明细!$G$4:$G$3003,出库明细!$C$4:$C$3003,$B180,出库明细!$B$4:$B$3003,"&gt;="&amp;年初日,出库明细!$B$4:$B$3003,"&lt;"&amp;$B$21)-SUMIFS(资金台帐!$S$7:$S$3006,资金台帐!$J$7:$J$3006,$B180,资金台帐!$P$7:$P$3006,"应收",资金台帐!$B$7:$B$3006,"&gt;="&amp;年初日,资金台帐!$B$7:$B$3006,"&lt;"&amp;$B$21))</f>
      </c>
      <c r="D180" s="186">
        <f>IF($B180="","",SUMIFS(出库明细!$G$4:$G$3003,出库明细!$C$4:$C$3003,$B180,出库明细!$B$4:$B$3003,"&gt;="&amp;$B$21,出库明细!$B$4:$B$3003,"&lt;="&amp;$D$21))</f>
      </c>
      <c r="E180" s="186">
        <f>IF($B180="","",SUMIFS(资金台帐!$S$7:$S$3006,资金台帐!$J$7:$J$3006,$B180,资金台帐!$P$7:$P$3006,"应收",资金台帐!$B$7:$B$3006,"&gt;="&amp;$B$21,资金台帐!$B$7:$B$3006,"&lt;="&amp;$D$21))</f>
      </c>
      <c r="F180" s="187">
        <f>IF($B180="","",C180+D180-E180)</f>
      </c>
      <c r="G180" s="141">
        <f>IF($B180="","",IF(ROUND(F180,2)=0,"已结清",IF(F180&gt;0,"有欠款","预存款")))</f>
      </c>
      <c r="H180" s="195">
        <f>IF($B180="","",_xlfn.MAXIFS(资金台帐!$B$7:$B$3006,资金台帐!$J$7:$J$3006,$B180,资金台帐!$P$7:$P$3006,"应收"))</f>
      </c>
    </row>
    <row r="181">
      <c r="A181" s="194">
        <f>IF(B181="","",158)</f>
      </c>
      <c r="B181" s="141">
        <f>IF(总览汇总!B162="","",总览汇总!B162)</f>
      </c>
      <c r="C181" s="186">
        <f>IF($B181="","",N(总览汇总!K162)+SUMIFS(出库明细!$G$4:$G$3003,出库明细!$C$4:$C$3003,$B181,出库明细!$B$4:$B$3003,"&gt;="&amp;年初日,出库明细!$B$4:$B$3003,"&lt;"&amp;$B$21)-SUMIFS(资金台帐!$S$7:$S$3006,资金台帐!$J$7:$J$3006,$B181,资金台帐!$P$7:$P$3006,"应收",资金台帐!$B$7:$B$3006,"&gt;="&amp;年初日,资金台帐!$B$7:$B$3006,"&lt;"&amp;$B$21))</f>
      </c>
      <c r="D181" s="186">
        <f>IF($B181="","",SUMIFS(出库明细!$G$4:$G$3003,出库明细!$C$4:$C$3003,$B181,出库明细!$B$4:$B$3003,"&gt;="&amp;$B$21,出库明细!$B$4:$B$3003,"&lt;="&amp;$D$21))</f>
      </c>
      <c r="E181" s="186">
        <f>IF($B181="","",SUMIFS(资金台帐!$S$7:$S$3006,资金台帐!$J$7:$J$3006,$B181,资金台帐!$P$7:$P$3006,"应收",资金台帐!$B$7:$B$3006,"&gt;="&amp;$B$21,资金台帐!$B$7:$B$3006,"&lt;="&amp;$D$21))</f>
      </c>
      <c r="F181" s="187">
        <f>IF($B181="","",C181+D181-E181)</f>
      </c>
      <c r="G181" s="141">
        <f>IF($B181="","",IF(ROUND(F181,2)=0,"已结清",IF(F181&gt;0,"有欠款","预存款")))</f>
      </c>
      <c r="H181" s="195">
        <f>IF($B181="","",_xlfn.MAXIFS(资金台帐!$B$7:$B$3006,资金台帐!$J$7:$J$3006,$B181,资金台帐!$P$7:$P$3006,"应收"))</f>
      </c>
    </row>
    <row r="182">
      <c r="A182" s="194">
        <f>IF(B182="","",159)</f>
      </c>
      <c r="B182" s="141">
        <f>IF(总览汇总!B163="","",总览汇总!B163)</f>
      </c>
      <c r="C182" s="186">
        <f>IF($B182="","",N(总览汇总!K163)+SUMIFS(出库明细!$G$4:$G$3003,出库明细!$C$4:$C$3003,$B182,出库明细!$B$4:$B$3003,"&gt;="&amp;年初日,出库明细!$B$4:$B$3003,"&lt;"&amp;$B$21)-SUMIFS(资金台帐!$S$7:$S$3006,资金台帐!$J$7:$J$3006,$B182,资金台帐!$P$7:$P$3006,"应收",资金台帐!$B$7:$B$3006,"&gt;="&amp;年初日,资金台帐!$B$7:$B$3006,"&lt;"&amp;$B$21))</f>
      </c>
      <c r="D182" s="186">
        <f>IF($B182="","",SUMIFS(出库明细!$G$4:$G$3003,出库明细!$C$4:$C$3003,$B182,出库明细!$B$4:$B$3003,"&gt;="&amp;$B$21,出库明细!$B$4:$B$3003,"&lt;="&amp;$D$21))</f>
      </c>
      <c r="E182" s="186">
        <f>IF($B182="","",SUMIFS(资金台帐!$S$7:$S$3006,资金台帐!$J$7:$J$3006,$B182,资金台帐!$P$7:$P$3006,"应收",资金台帐!$B$7:$B$3006,"&gt;="&amp;$B$21,资金台帐!$B$7:$B$3006,"&lt;="&amp;$D$21))</f>
      </c>
      <c r="F182" s="187">
        <f>IF($B182="","",C182+D182-E182)</f>
      </c>
      <c r="G182" s="141">
        <f>IF($B182="","",IF(ROUND(F182,2)=0,"已结清",IF(F182&gt;0,"有欠款","预存款")))</f>
      </c>
      <c r="H182" s="195">
        <f>IF($B182="","",_xlfn.MAXIFS(资金台帐!$B$7:$B$3006,资金台帐!$J$7:$J$3006,$B182,资金台帐!$P$7:$P$3006,"应收"))</f>
      </c>
    </row>
    <row r="183">
      <c r="A183" s="194">
        <f>IF(B183="","",160)</f>
      </c>
      <c r="B183" s="141">
        <f>IF(总览汇总!B164="","",总览汇总!B164)</f>
      </c>
      <c r="C183" s="186">
        <f>IF($B183="","",N(总览汇总!K164)+SUMIFS(出库明细!$G$4:$G$3003,出库明细!$C$4:$C$3003,$B183,出库明细!$B$4:$B$3003,"&gt;="&amp;年初日,出库明细!$B$4:$B$3003,"&lt;"&amp;$B$21)-SUMIFS(资金台帐!$S$7:$S$3006,资金台帐!$J$7:$J$3006,$B183,资金台帐!$P$7:$P$3006,"应收",资金台帐!$B$7:$B$3006,"&gt;="&amp;年初日,资金台帐!$B$7:$B$3006,"&lt;"&amp;$B$21))</f>
      </c>
      <c r="D183" s="186">
        <f>IF($B183="","",SUMIFS(出库明细!$G$4:$G$3003,出库明细!$C$4:$C$3003,$B183,出库明细!$B$4:$B$3003,"&gt;="&amp;$B$21,出库明细!$B$4:$B$3003,"&lt;="&amp;$D$21))</f>
      </c>
      <c r="E183" s="186">
        <f>IF($B183="","",SUMIFS(资金台帐!$S$7:$S$3006,资金台帐!$J$7:$J$3006,$B183,资金台帐!$P$7:$P$3006,"应收",资金台帐!$B$7:$B$3006,"&gt;="&amp;$B$21,资金台帐!$B$7:$B$3006,"&lt;="&amp;$D$21))</f>
      </c>
      <c r="F183" s="187">
        <f>IF($B183="","",C183+D183-E183)</f>
      </c>
      <c r="G183" s="141">
        <f>IF($B183="","",IF(ROUND(F183,2)=0,"已结清",IF(F183&gt;0,"有欠款","预存款")))</f>
      </c>
      <c r="H183" s="195">
        <f>IF($B183="","",_xlfn.MAXIFS(资金台帐!$B$7:$B$3006,资金台帐!$J$7:$J$3006,$B183,资金台帐!$P$7:$P$3006,"应收"))</f>
      </c>
    </row>
    <row r="184">
      <c r="A184" s="194">
        <f>IF(B184="","",161)</f>
      </c>
      <c r="B184" s="141">
        <f>IF(总览汇总!B165="","",总览汇总!B165)</f>
      </c>
      <c r="C184" s="186">
        <f>IF($B184="","",N(总览汇总!K165)+SUMIFS(出库明细!$G$4:$G$3003,出库明细!$C$4:$C$3003,$B184,出库明细!$B$4:$B$3003,"&gt;="&amp;年初日,出库明细!$B$4:$B$3003,"&lt;"&amp;$B$21)-SUMIFS(资金台帐!$S$7:$S$3006,资金台帐!$J$7:$J$3006,$B184,资金台帐!$P$7:$P$3006,"应收",资金台帐!$B$7:$B$3006,"&gt;="&amp;年初日,资金台帐!$B$7:$B$3006,"&lt;"&amp;$B$21))</f>
      </c>
      <c r="D184" s="186">
        <f>IF($B184="","",SUMIFS(出库明细!$G$4:$G$3003,出库明细!$C$4:$C$3003,$B184,出库明细!$B$4:$B$3003,"&gt;="&amp;$B$21,出库明细!$B$4:$B$3003,"&lt;="&amp;$D$21))</f>
      </c>
      <c r="E184" s="186">
        <f>IF($B184="","",SUMIFS(资金台帐!$S$7:$S$3006,资金台帐!$J$7:$J$3006,$B184,资金台帐!$P$7:$P$3006,"应收",资金台帐!$B$7:$B$3006,"&gt;="&amp;$B$21,资金台帐!$B$7:$B$3006,"&lt;="&amp;$D$21))</f>
      </c>
      <c r="F184" s="187">
        <f>IF($B184="","",C184+D184-E184)</f>
      </c>
      <c r="G184" s="141">
        <f>IF($B184="","",IF(ROUND(F184,2)=0,"已结清",IF(F184&gt;0,"有欠款","预存款")))</f>
      </c>
      <c r="H184" s="195">
        <f>IF($B184="","",_xlfn.MAXIFS(资金台帐!$B$7:$B$3006,资金台帐!$J$7:$J$3006,$B184,资金台帐!$P$7:$P$3006,"应收"))</f>
      </c>
    </row>
    <row r="185">
      <c r="A185" s="194">
        <f>IF(B185="","",162)</f>
      </c>
      <c r="B185" s="141">
        <f>IF(总览汇总!B166="","",总览汇总!B166)</f>
      </c>
      <c r="C185" s="186">
        <f>IF($B185="","",N(总览汇总!K166)+SUMIFS(出库明细!$G$4:$G$3003,出库明细!$C$4:$C$3003,$B185,出库明细!$B$4:$B$3003,"&gt;="&amp;年初日,出库明细!$B$4:$B$3003,"&lt;"&amp;$B$21)-SUMIFS(资金台帐!$S$7:$S$3006,资金台帐!$J$7:$J$3006,$B185,资金台帐!$P$7:$P$3006,"应收",资金台帐!$B$7:$B$3006,"&gt;="&amp;年初日,资金台帐!$B$7:$B$3006,"&lt;"&amp;$B$21))</f>
      </c>
      <c r="D185" s="186">
        <f>IF($B185="","",SUMIFS(出库明细!$G$4:$G$3003,出库明细!$C$4:$C$3003,$B185,出库明细!$B$4:$B$3003,"&gt;="&amp;$B$21,出库明细!$B$4:$B$3003,"&lt;="&amp;$D$21))</f>
      </c>
      <c r="E185" s="186">
        <f>IF($B185="","",SUMIFS(资金台帐!$S$7:$S$3006,资金台帐!$J$7:$J$3006,$B185,资金台帐!$P$7:$P$3006,"应收",资金台帐!$B$7:$B$3006,"&gt;="&amp;$B$21,资金台帐!$B$7:$B$3006,"&lt;="&amp;$D$21))</f>
      </c>
      <c r="F185" s="187">
        <f>IF($B185="","",C185+D185-E185)</f>
      </c>
      <c r="G185" s="141">
        <f>IF($B185="","",IF(ROUND(F185,2)=0,"已结清",IF(F185&gt;0,"有欠款","预存款")))</f>
      </c>
      <c r="H185" s="195">
        <f>IF($B185="","",_xlfn.MAXIFS(资金台帐!$B$7:$B$3006,资金台帐!$J$7:$J$3006,$B185,资金台帐!$P$7:$P$3006,"应收"))</f>
      </c>
    </row>
    <row r="186">
      <c r="A186" s="194">
        <f>IF(B186="","",163)</f>
      </c>
      <c r="B186" s="141">
        <f>IF(总览汇总!B167="","",总览汇总!B167)</f>
      </c>
      <c r="C186" s="186">
        <f>IF($B186="","",N(总览汇总!K167)+SUMIFS(出库明细!$G$4:$G$3003,出库明细!$C$4:$C$3003,$B186,出库明细!$B$4:$B$3003,"&gt;="&amp;年初日,出库明细!$B$4:$B$3003,"&lt;"&amp;$B$21)-SUMIFS(资金台帐!$S$7:$S$3006,资金台帐!$J$7:$J$3006,$B186,资金台帐!$P$7:$P$3006,"应收",资金台帐!$B$7:$B$3006,"&gt;="&amp;年初日,资金台帐!$B$7:$B$3006,"&lt;"&amp;$B$21))</f>
      </c>
      <c r="D186" s="186">
        <f>IF($B186="","",SUMIFS(出库明细!$G$4:$G$3003,出库明细!$C$4:$C$3003,$B186,出库明细!$B$4:$B$3003,"&gt;="&amp;$B$21,出库明细!$B$4:$B$3003,"&lt;="&amp;$D$21))</f>
      </c>
      <c r="E186" s="186">
        <f>IF($B186="","",SUMIFS(资金台帐!$S$7:$S$3006,资金台帐!$J$7:$J$3006,$B186,资金台帐!$P$7:$P$3006,"应收",资金台帐!$B$7:$B$3006,"&gt;="&amp;$B$21,资金台帐!$B$7:$B$3006,"&lt;="&amp;$D$21))</f>
      </c>
      <c r="F186" s="187">
        <f>IF($B186="","",C186+D186-E186)</f>
      </c>
      <c r="G186" s="141">
        <f>IF($B186="","",IF(ROUND(F186,2)=0,"已结清",IF(F186&gt;0,"有欠款","预存款")))</f>
      </c>
      <c r="H186" s="195">
        <f>IF($B186="","",_xlfn.MAXIFS(资金台帐!$B$7:$B$3006,资金台帐!$J$7:$J$3006,$B186,资金台帐!$P$7:$P$3006,"应收"))</f>
      </c>
    </row>
    <row r="187">
      <c r="A187" s="194">
        <f>IF(B187="","",164)</f>
      </c>
      <c r="B187" s="141">
        <f>IF(总览汇总!B168="","",总览汇总!B168)</f>
      </c>
      <c r="C187" s="186">
        <f>IF($B187="","",N(总览汇总!K168)+SUMIFS(出库明细!$G$4:$G$3003,出库明细!$C$4:$C$3003,$B187,出库明细!$B$4:$B$3003,"&gt;="&amp;年初日,出库明细!$B$4:$B$3003,"&lt;"&amp;$B$21)-SUMIFS(资金台帐!$S$7:$S$3006,资金台帐!$J$7:$J$3006,$B187,资金台帐!$P$7:$P$3006,"应收",资金台帐!$B$7:$B$3006,"&gt;="&amp;年初日,资金台帐!$B$7:$B$3006,"&lt;"&amp;$B$21))</f>
      </c>
      <c r="D187" s="186">
        <f>IF($B187="","",SUMIFS(出库明细!$G$4:$G$3003,出库明细!$C$4:$C$3003,$B187,出库明细!$B$4:$B$3003,"&gt;="&amp;$B$21,出库明细!$B$4:$B$3003,"&lt;="&amp;$D$21))</f>
      </c>
      <c r="E187" s="186">
        <f>IF($B187="","",SUMIFS(资金台帐!$S$7:$S$3006,资金台帐!$J$7:$J$3006,$B187,资金台帐!$P$7:$P$3006,"应收",资金台帐!$B$7:$B$3006,"&gt;="&amp;$B$21,资金台帐!$B$7:$B$3006,"&lt;="&amp;$D$21))</f>
      </c>
      <c r="F187" s="187">
        <f>IF($B187="","",C187+D187-E187)</f>
      </c>
      <c r="G187" s="141">
        <f>IF($B187="","",IF(ROUND(F187,2)=0,"已结清",IF(F187&gt;0,"有欠款","预存款")))</f>
      </c>
      <c r="H187" s="195">
        <f>IF($B187="","",_xlfn.MAXIFS(资金台帐!$B$7:$B$3006,资金台帐!$J$7:$J$3006,$B187,资金台帐!$P$7:$P$3006,"应收"))</f>
      </c>
    </row>
    <row r="188">
      <c r="A188" s="194">
        <f>IF(B188="","",165)</f>
      </c>
      <c r="B188" s="141">
        <f>IF(总览汇总!B169="","",总览汇总!B169)</f>
      </c>
      <c r="C188" s="186">
        <f>IF($B188="","",N(总览汇总!K169)+SUMIFS(出库明细!$G$4:$G$3003,出库明细!$C$4:$C$3003,$B188,出库明细!$B$4:$B$3003,"&gt;="&amp;年初日,出库明细!$B$4:$B$3003,"&lt;"&amp;$B$21)-SUMIFS(资金台帐!$S$7:$S$3006,资金台帐!$J$7:$J$3006,$B188,资金台帐!$P$7:$P$3006,"应收",资金台帐!$B$7:$B$3006,"&gt;="&amp;年初日,资金台帐!$B$7:$B$3006,"&lt;"&amp;$B$21))</f>
      </c>
      <c r="D188" s="186">
        <f>IF($B188="","",SUMIFS(出库明细!$G$4:$G$3003,出库明细!$C$4:$C$3003,$B188,出库明细!$B$4:$B$3003,"&gt;="&amp;$B$21,出库明细!$B$4:$B$3003,"&lt;="&amp;$D$21))</f>
      </c>
      <c r="E188" s="186">
        <f>IF($B188="","",SUMIFS(资金台帐!$S$7:$S$3006,资金台帐!$J$7:$J$3006,$B188,资金台帐!$P$7:$P$3006,"应收",资金台帐!$B$7:$B$3006,"&gt;="&amp;$B$21,资金台帐!$B$7:$B$3006,"&lt;="&amp;$D$21))</f>
      </c>
      <c r="F188" s="187">
        <f>IF($B188="","",C188+D188-E188)</f>
      </c>
      <c r="G188" s="141">
        <f>IF($B188="","",IF(ROUND(F188,2)=0,"已结清",IF(F188&gt;0,"有欠款","预存款")))</f>
      </c>
      <c r="H188" s="195">
        <f>IF($B188="","",_xlfn.MAXIFS(资金台帐!$B$7:$B$3006,资金台帐!$J$7:$J$3006,$B188,资金台帐!$P$7:$P$3006,"应收"))</f>
      </c>
    </row>
    <row r="189">
      <c r="A189" s="194">
        <f>IF(B189="","",166)</f>
      </c>
      <c r="B189" s="141">
        <f>IF(总览汇总!B170="","",总览汇总!B170)</f>
      </c>
      <c r="C189" s="186">
        <f>IF($B189="","",N(总览汇总!K170)+SUMIFS(出库明细!$G$4:$G$3003,出库明细!$C$4:$C$3003,$B189,出库明细!$B$4:$B$3003,"&gt;="&amp;年初日,出库明细!$B$4:$B$3003,"&lt;"&amp;$B$21)-SUMIFS(资金台帐!$S$7:$S$3006,资金台帐!$J$7:$J$3006,$B189,资金台帐!$P$7:$P$3006,"应收",资金台帐!$B$7:$B$3006,"&gt;="&amp;年初日,资金台帐!$B$7:$B$3006,"&lt;"&amp;$B$21))</f>
      </c>
      <c r="D189" s="186">
        <f>IF($B189="","",SUMIFS(出库明细!$G$4:$G$3003,出库明细!$C$4:$C$3003,$B189,出库明细!$B$4:$B$3003,"&gt;="&amp;$B$21,出库明细!$B$4:$B$3003,"&lt;="&amp;$D$21))</f>
      </c>
      <c r="E189" s="186">
        <f>IF($B189="","",SUMIFS(资金台帐!$S$7:$S$3006,资金台帐!$J$7:$J$3006,$B189,资金台帐!$P$7:$P$3006,"应收",资金台帐!$B$7:$B$3006,"&gt;="&amp;$B$21,资金台帐!$B$7:$B$3006,"&lt;="&amp;$D$21))</f>
      </c>
      <c r="F189" s="187">
        <f>IF($B189="","",C189+D189-E189)</f>
      </c>
      <c r="G189" s="141">
        <f>IF($B189="","",IF(ROUND(F189,2)=0,"已结清",IF(F189&gt;0,"有欠款","预存款")))</f>
      </c>
      <c r="H189" s="195">
        <f>IF($B189="","",_xlfn.MAXIFS(资金台帐!$B$7:$B$3006,资金台帐!$J$7:$J$3006,$B189,资金台帐!$P$7:$P$3006,"应收"))</f>
      </c>
    </row>
    <row r="190">
      <c r="A190" s="194">
        <f>IF(B190="","",167)</f>
      </c>
      <c r="B190" s="141">
        <f>IF(总览汇总!B171="","",总览汇总!B171)</f>
      </c>
      <c r="C190" s="186">
        <f>IF($B190="","",N(总览汇总!K171)+SUMIFS(出库明细!$G$4:$G$3003,出库明细!$C$4:$C$3003,$B190,出库明细!$B$4:$B$3003,"&gt;="&amp;年初日,出库明细!$B$4:$B$3003,"&lt;"&amp;$B$21)-SUMIFS(资金台帐!$S$7:$S$3006,资金台帐!$J$7:$J$3006,$B190,资金台帐!$P$7:$P$3006,"应收",资金台帐!$B$7:$B$3006,"&gt;="&amp;年初日,资金台帐!$B$7:$B$3006,"&lt;"&amp;$B$21))</f>
      </c>
      <c r="D190" s="186">
        <f>IF($B190="","",SUMIFS(出库明细!$G$4:$G$3003,出库明细!$C$4:$C$3003,$B190,出库明细!$B$4:$B$3003,"&gt;="&amp;$B$21,出库明细!$B$4:$B$3003,"&lt;="&amp;$D$21))</f>
      </c>
      <c r="E190" s="186">
        <f>IF($B190="","",SUMIFS(资金台帐!$S$7:$S$3006,资金台帐!$J$7:$J$3006,$B190,资金台帐!$P$7:$P$3006,"应收",资金台帐!$B$7:$B$3006,"&gt;="&amp;$B$21,资金台帐!$B$7:$B$3006,"&lt;="&amp;$D$21))</f>
      </c>
      <c r="F190" s="187">
        <f>IF($B190="","",C190+D190-E190)</f>
      </c>
      <c r="G190" s="141">
        <f>IF($B190="","",IF(ROUND(F190,2)=0,"已结清",IF(F190&gt;0,"有欠款","预存款")))</f>
      </c>
      <c r="H190" s="195">
        <f>IF($B190="","",_xlfn.MAXIFS(资金台帐!$B$7:$B$3006,资金台帐!$J$7:$J$3006,$B190,资金台帐!$P$7:$P$3006,"应收"))</f>
      </c>
    </row>
    <row r="191">
      <c r="A191" s="194">
        <f>IF(B191="","",168)</f>
      </c>
      <c r="B191" s="141">
        <f>IF(总览汇总!B172="","",总览汇总!B172)</f>
      </c>
      <c r="C191" s="186">
        <f>IF($B191="","",N(总览汇总!K172)+SUMIFS(出库明细!$G$4:$G$3003,出库明细!$C$4:$C$3003,$B191,出库明细!$B$4:$B$3003,"&gt;="&amp;年初日,出库明细!$B$4:$B$3003,"&lt;"&amp;$B$21)-SUMIFS(资金台帐!$S$7:$S$3006,资金台帐!$J$7:$J$3006,$B191,资金台帐!$P$7:$P$3006,"应收",资金台帐!$B$7:$B$3006,"&gt;="&amp;年初日,资金台帐!$B$7:$B$3006,"&lt;"&amp;$B$21))</f>
      </c>
      <c r="D191" s="186">
        <f>IF($B191="","",SUMIFS(出库明细!$G$4:$G$3003,出库明细!$C$4:$C$3003,$B191,出库明细!$B$4:$B$3003,"&gt;="&amp;$B$21,出库明细!$B$4:$B$3003,"&lt;="&amp;$D$21))</f>
      </c>
      <c r="E191" s="186">
        <f>IF($B191="","",SUMIFS(资金台帐!$S$7:$S$3006,资金台帐!$J$7:$J$3006,$B191,资金台帐!$P$7:$P$3006,"应收",资金台帐!$B$7:$B$3006,"&gt;="&amp;$B$21,资金台帐!$B$7:$B$3006,"&lt;="&amp;$D$21))</f>
      </c>
      <c r="F191" s="187">
        <f>IF($B191="","",C191+D191-E191)</f>
      </c>
      <c r="G191" s="141">
        <f>IF($B191="","",IF(ROUND(F191,2)=0,"已结清",IF(F191&gt;0,"有欠款","预存款")))</f>
      </c>
      <c r="H191" s="195">
        <f>IF($B191="","",_xlfn.MAXIFS(资金台帐!$B$7:$B$3006,资金台帐!$J$7:$J$3006,$B191,资金台帐!$P$7:$P$3006,"应收"))</f>
      </c>
    </row>
    <row r="192">
      <c r="A192" s="194">
        <f>IF(B192="","",169)</f>
      </c>
      <c r="B192" s="141">
        <f>IF(总览汇总!B173="","",总览汇总!B173)</f>
      </c>
      <c r="C192" s="186">
        <f>IF($B192="","",N(总览汇总!K173)+SUMIFS(出库明细!$G$4:$G$3003,出库明细!$C$4:$C$3003,$B192,出库明细!$B$4:$B$3003,"&gt;="&amp;年初日,出库明细!$B$4:$B$3003,"&lt;"&amp;$B$21)-SUMIFS(资金台帐!$S$7:$S$3006,资金台帐!$J$7:$J$3006,$B192,资金台帐!$P$7:$P$3006,"应收",资金台帐!$B$7:$B$3006,"&gt;="&amp;年初日,资金台帐!$B$7:$B$3006,"&lt;"&amp;$B$21))</f>
      </c>
      <c r="D192" s="186">
        <f>IF($B192="","",SUMIFS(出库明细!$G$4:$G$3003,出库明细!$C$4:$C$3003,$B192,出库明细!$B$4:$B$3003,"&gt;="&amp;$B$21,出库明细!$B$4:$B$3003,"&lt;="&amp;$D$21))</f>
      </c>
      <c r="E192" s="186">
        <f>IF($B192="","",SUMIFS(资金台帐!$S$7:$S$3006,资金台帐!$J$7:$J$3006,$B192,资金台帐!$P$7:$P$3006,"应收",资金台帐!$B$7:$B$3006,"&gt;="&amp;$B$21,资金台帐!$B$7:$B$3006,"&lt;="&amp;$D$21))</f>
      </c>
      <c r="F192" s="187">
        <f>IF($B192="","",C192+D192-E192)</f>
      </c>
      <c r="G192" s="141">
        <f>IF($B192="","",IF(ROUND(F192,2)=0,"已结清",IF(F192&gt;0,"有欠款","预存款")))</f>
      </c>
      <c r="H192" s="195">
        <f>IF($B192="","",_xlfn.MAXIFS(资金台帐!$B$7:$B$3006,资金台帐!$J$7:$J$3006,$B192,资金台帐!$P$7:$P$3006,"应收"))</f>
      </c>
    </row>
    <row r="193">
      <c r="A193" s="194">
        <f>IF(B193="","",170)</f>
      </c>
      <c r="B193" s="141">
        <f>IF(总览汇总!B174="","",总览汇总!B174)</f>
      </c>
      <c r="C193" s="186">
        <f>IF($B193="","",N(总览汇总!K174)+SUMIFS(出库明细!$G$4:$G$3003,出库明细!$C$4:$C$3003,$B193,出库明细!$B$4:$B$3003,"&gt;="&amp;年初日,出库明细!$B$4:$B$3003,"&lt;"&amp;$B$21)-SUMIFS(资金台帐!$S$7:$S$3006,资金台帐!$J$7:$J$3006,$B193,资金台帐!$P$7:$P$3006,"应收",资金台帐!$B$7:$B$3006,"&gt;="&amp;年初日,资金台帐!$B$7:$B$3006,"&lt;"&amp;$B$21))</f>
      </c>
      <c r="D193" s="186">
        <f>IF($B193="","",SUMIFS(出库明细!$G$4:$G$3003,出库明细!$C$4:$C$3003,$B193,出库明细!$B$4:$B$3003,"&gt;="&amp;$B$21,出库明细!$B$4:$B$3003,"&lt;="&amp;$D$21))</f>
      </c>
      <c r="E193" s="186">
        <f>IF($B193="","",SUMIFS(资金台帐!$S$7:$S$3006,资金台帐!$J$7:$J$3006,$B193,资金台帐!$P$7:$P$3006,"应收",资金台帐!$B$7:$B$3006,"&gt;="&amp;$B$21,资金台帐!$B$7:$B$3006,"&lt;="&amp;$D$21))</f>
      </c>
      <c r="F193" s="187">
        <f>IF($B193="","",C193+D193-E193)</f>
      </c>
      <c r="G193" s="141">
        <f>IF($B193="","",IF(ROUND(F193,2)=0,"已结清",IF(F193&gt;0,"有欠款","预存款")))</f>
      </c>
      <c r="H193" s="195">
        <f>IF($B193="","",_xlfn.MAXIFS(资金台帐!$B$7:$B$3006,资金台帐!$J$7:$J$3006,$B193,资金台帐!$P$7:$P$3006,"应收"))</f>
      </c>
    </row>
    <row r="194">
      <c r="A194" s="194">
        <f>IF(B194="","",171)</f>
      </c>
      <c r="B194" s="141">
        <f>IF(总览汇总!B175="","",总览汇总!B175)</f>
      </c>
      <c r="C194" s="186">
        <f>IF($B194="","",N(总览汇总!K175)+SUMIFS(出库明细!$G$4:$G$3003,出库明细!$C$4:$C$3003,$B194,出库明细!$B$4:$B$3003,"&gt;="&amp;年初日,出库明细!$B$4:$B$3003,"&lt;"&amp;$B$21)-SUMIFS(资金台帐!$S$7:$S$3006,资金台帐!$J$7:$J$3006,$B194,资金台帐!$P$7:$P$3006,"应收",资金台帐!$B$7:$B$3006,"&gt;="&amp;年初日,资金台帐!$B$7:$B$3006,"&lt;"&amp;$B$21))</f>
      </c>
      <c r="D194" s="186">
        <f>IF($B194="","",SUMIFS(出库明细!$G$4:$G$3003,出库明细!$C$4:$C$3003,$B194,出库明细!$B$4:$B$3003,"&gt;="&amp;$B$21,出库明细!$B$4:$B$3003,"&lt;="&amp;$D$21))</f>
      </c>
      <c r="E194" s="186">
        <f>IF($B194="","",SUMIFS(资金台帐!$S$7:$S$3006,资金台帐!$J$7:$J$3006,$B194,资金台帐!$P$7:$P$3006,"应收",资金台帐!$B$7:$B$3006,"&gt;="&amp;$B$21,资金台帐!$B$7:$B$3006,"&lt;="&amp;$D$21))</f>
      </c>
      <c r="F194" s="187">
        <f>IF($B194="","",C194+D194-E194)</f>
      </c>
      <c r="G194" s="141">
        <f>IF($B194="","",IF(ROUND(F194,2)=0,"已结清",IF(F194&gt;0,"有欠款","预存款")))</f>
      </c>
      <c r="H194" s="195">
        <f>IF($B194="","",_xlfn.MAXIFS(资金台帐!$B$7:$B$3006,资金台帐!$J$7:$J$3006,$B194,资金台帐!$P$7:$P$3006,"应收"))</f>
      </c>
    </row>
    <row r="195">
      <c r="A195" s="194">
        <f>IF(B195="","",172)</f>
      </c>
      <c r="B195" s="141">
        <f>IF(总览汇总!B176="","",总览汇总!B176)</f>
      </c>
      <c r="C195" s="186">
        <f>IF($B195="","",N(总览汇总!K176)+SUMIFS(出库明细!$G$4:$G$3003,出库明细!$C$4:$C$3003,$B195,出库明细!$B$4:$B$3003,"&gt;="&amp;年初日,出库明细!$B$4:$B$3003,"&lt;"&amp;$B$21)-SUMIFS(资金台帐!$S$7:$S$3006,资金台帐!$J$7:$J$3006,$B195,资金台帐!$P$7:$P$3006,"应收",资金台帐!$B$7:$B$3006,"&gt;="&amp;年初日,资金台帐!$B$7:$B$3006,"&lt;"&amp;$B$21))</f>
      </c>
      <c r="D195" s="186">
        <f>IF($B195="","",SUMIFS(出库明细!$G$4:$G$3003,出库明细!$C$4:$C$3003,$B195,出库明细!$B$4:$B$3003,"&gt;="&amp;$B$21,出库明细!$B$4:$B$3003,"&lt;="&amp;$D$21))</f>
      </c>
      <c r="E195" s="186">
        <f>IF($B195="","",SUMIFS(资金台帐!$S$7:$S$3006,资金台帐!$J$7:$J$3006,$B195,资金台帐!$P$7:$P$3006,"应收",资金台帐!$B$7:$B$3006,"&gt;="&amp;$B$21,资金台帐!$B$7:$B$3006,"&lt;="&amp;$D$21))</f>
      </c>
      <c r="F195" s="187">
        <f>IF($B195="","",C195+D195-E195)</f>
      </c>
      <c r="G195" s="141">
        <f>IF($B195="","",IF(ROUND(F195,2)=0,"已结清",IF(F195&gt;0,"有欠款","预存款")))</f>
      </c>
      <c r="H195" s="195">
        <f>IF($B195="","",_xlfn.MAXIFS(资金台帐!$B$7:$B$3006,资金台帐!$J$7:$J$3006,$B195,资金台帐!$P$7:$P$3006,"应收"))</f>
      </c>
    </row>
    <row r="196">
      <c r="A196" s="194">
        <f>IF(B196="","",173)</f>
      </c>
      <c r="B196" s="141">
        <f>IF(总览汇总!B177="","",总览汇总!B177)</f>
      </c>
      <c r="C196" s="186">
        <f>IF($B196="","",N(总览汇总!K177)+SUMIFS(出库明细!$G$4:$G$3003,出库明细!$C$4:$C$3003,$B196,出库明细!$B$4:$B$3003,"&gt;="&amp;年初日,出库明细!$B$4:$B$3003,"&lt;"&amp;$B$21)-SUMIFS(资金台帐!$S$7:$S$3006,资金台帐!$J$7:$J$3006,$B196,资金台帐!$P$7:$P$3006,"应收",资金台帐!$B$7:$B$3006,"&gt;="&amp;年初日,资金台帐!$B$7:$B$3006,"&lt;"&amp;$B$21))</f>
      </c>
      <c r="D196" s="186">
        <f>IF($B196="","",SUMIFS(出库明细!$G$4:$G$3003,出库明细!$C$4:$C$3003,$B196,出库明细!$B$4:$B$3003,"&gt;="&amp;$B$21,出库明细!$B$4:$B$3003,"&lt;="&amp;$D$21))</f>
      </c>
      <c r="E196" s="186">
        <f>IF($B196="","",SUMIFS(资金台帐!$S$7:$S$3006,资金台帐!$J$7:$J$3006,$B196,资金台帐!$P$7:$P$3006,"应收",资金台帐!$B$7:$B$3006,"&gt;="&amp;$B$21,资金台帐!$B$7:$B$3006,"&lt;="&amp;$D$21))</f>
      </c>
      <c r="F196" s="187">
        <f>IF($B196="","",C196+D196-E196)</f>
      </c>
      <c r="G196" s="141">
        <f>IF($B196="","",IF(ROUND(F196,2)=0,"已结清",IF(F196&gt;0,"有欠款","预存款")))</f>
      </c>
      <c r="H196" s="195">
        <f>IF($B196="","",_xlfn.MAXIFS(资金台帐!$B$7:$B$3006,资金台帐!$J$7:$J$3006,$B196,资金台帐!$P$7:$P$3006,"应收"))</f>
      </c>
    </row>
    <row r="197">
      <c r="A197" s="194">
        <f>IF(B197="","",174)</f>
      </c>
      <c r="B197" s="141">
        <f>IF(总览汇总!B178="","",总览汇总!B178)</f>
      </c>
      <c r="C197" s="186">
        <f>IF($B197="","",N(总览汇总!K178)+SUMIFS(出库明细!$G$4:$G$3003,出库明细!$C$4:$C$3003,$B197,出库明细!$B$4:$B$3003,"&gt;="&amp;年初日,出库明细!$B$4:$B$3003,"&lt;"&amp;$B$21)-SUMIFS(资金台帐!$S$7:$S$3006,资金台帐!$J$7:$J$3006,$B197,资金台帐!$P$7:$P$3006,"应收",资金台帐!$B$7:$B$3006,"&gt;="&amp;年初日,资金台帐!$B$7:$B$3006,"&lt;"&amp;$B$21))</f>
      </c>
      <c r="D197" s="186">
        <f>IF($B197="","",SUMIFS(出库明细!$G$4:$G$3003,出库明细!$C$4:$C$3003,$B197,出库明细!$B$4:$B$3003,"&gt;="&amp;$B$21,出库明细!$B$4:$B$3003,"&lt;="&amp;$D$21))</f>
      </c>
      <c r="E197" s="186">
        <f>IF($B197="","",SUMIFS(资金台帐!$S$7:$S$3006,资金台帐!$J$7:$J$3006,$B197,资金台帐!$P$7:$P$3006,"应收",资金台帐!$B$7:$B$3006,"&gt;="&amp;$B$21,资金台帐!$B$7:$B$3006,"&lt;="&amp;$D$21))</f>
      </c>
      <c r="F197" s="187">
        <f>IF($B197="","",C197+D197-E197)</f>
      </c>
      <c r="G197" s="141">
        <f>IF($B197="","",IF(ROUND(F197,2)=0,"已结清",IF(F197&gt;0,"有欠款","预存款")))</f>
      </c>
      <c r="H197" s="195">
        <f>IF($B197="","",_xlfn.MAXIFS(资金台帐!$B$7:$B$3006,资金台帐!$J$7:$J$3006,$B197,资金台帐!$P$7:$P$3006,"应收"))</f>
      </c>
    </row>
    <row r="198">
      <c r="A198" s="194">
        <f>IF(B198="","",175)</f>
      </c>
      <c r="B198" s="141">
        <f>IF(总览汇总!B179="","",总览汇总!B179)</f>
      </c>
      <c r="C198" s="186">
        <f>IF($B198="","",N(总览汇总!K179)+SUMIFS(出库明细!$G$4:$G$3003,出库明细!$C$4:$C$3003,$B198,出库明细!$B$4:$B$3003,"&gt;="&amp;年初日,出库明细!$B$4:$B$3003,"&lt;"&amp;$B$21)-SUMIFS(资金台帐!$S$7:$S$3006,资金台帐!$J$7:$J$3006,$B198,资金台帐!$P$7:$P$3006,"应收",资金台帐!$B$7:$B$3006,"&gt;="&amp;年初日,资金台帐!$B$7:$B$3006,"&lt;"&amp;$B$21))</f>
      </c>
      <c r="D198" s="186">
        <f>IF($B198="","",SUMIFS(出库明细!$G$4:$G$3003,出库明细!$C$4:$C$3003,$B198,出库明细!$B$4:$B$3003,"&gt;="&amp;$B$21,出库明细!$B$4:$B$3003,"&lt;="&amp;$D$21))</f>
      </c>
      <c r="E198" s="186">
        <f>IF($B198="","",SUMIFS(资金台帐!$S$7:$S$3006,资金台帐!$J$7:$J$3006,$B198,资金台帐!$P$7:$P$3006,"应收",资金台帐!$B$7:$B$3006,"&gt;="&amp;$B$21,资金台帐!$B$7:$B$3006,"&lt;="&amp;$D$21))</f>
      </c>
      <c r="F198" s="187">
        <f>IF($B198="","",C198+D198-E198)</f>
      </c>
      <c r="G198" s="141">
        <f>IF($B198="","",IF(ROUND(F198,2)=0,"已结清",IF(F198&gt;0,"有欠款","预存款")))</f>
      </c>
      <c r="H198" s="195">
        <f>IF($B198="","",_xlfn.MAXIFS(资金台帐!$B$7:$B$3006,资金台帐!$J$7:$J$3006,$B198,资金台帐!$P$7:$P$3006,"应收"))</f>
      </c>
    </row>
    <row r="199">
      <c r="A199" s="194">
        <f>IF(B199="","",176)</f>
      </c>
      <c r="B199" s="141">
        <f>IF(总览汇总!B180="","",总览汇总!B180)</f>
      </c>
      <c r="C199" s="186">
        <f>IF($B199="","",N(总览汇总!K180)+SUMIFS(出库明细!$G$4:$G$3003,出库明细!$C$4:$C$3003,$B199,出库明细!$B$4:$B$3003,"&gt;="&amp;年初日,出库明细!$B$4:$B$3003,"&lt;"&amp;$B$21)-SUMIFS(资金台帐!$S$7:$S$3006,资金台帐!$J$7:$J$3006,$B199,资金台帐!$P$7:$P$3006,"应收",资金台帐!$B$7:$B$3006,"&gt;="&amp;年初日,资金台帐!$B$7:$B$3006,"&lt;"&amp;$B$21))</f>
      </c>
      <c r="D199" s="186">
        <f>IF($B199="","",SUMIFS(出库明细!$G$4:$G$3003,出库明细!$C$4:$C$3003,$B199,出库明细!$B$4:$B$3003,"&gt;="&amp;$B$21,出库明细!$B$4:$B$3003,"&lt;="&amp;$D$21))</f>
      </c>
      <c r="E199" s="186">
        <f>IF($B199="","",SUMIFS(资金台帐!$S$7:$S$3006,资金台帐!$J$7:$J$3006,$B199,资金台帐!$P$7:$P$3006,"应收",资金台帐!$B$7:$B$3006,"&gt;="&amp;$B$21,资金台帐!$B$7:$B$3006,"&lt;="&amp;$D$21))</f>
      </c>
      <c r="F199" s="187">
        <f>IF($B199="","",C199+D199-E199)</f>
      </c>
      <c r="G199" s="141">
        <f>IF($B199="","",IF(ROUND(F199,2)=0,"已结清",IF(F199&gt;0,"有欠款","预存款")))</f>
      </c>
      <c r="H199" s="195">
        <f>IF($B199="","",_xlfn.MAXIFS(资金台帐!$B$7:$B$3006,资金台帐!$J$7:$J$3006,$B199,资金台帐!$P$7:$P$3006,"应收"))</f>
      </c>
    </row>
    <row r="200">
      <c r="A200" s="194">
        <f>IF(B200="","",177)</f>
      </c>
      <c r="B200" s="141">
        <f>IF(总览汇总!B181="","",总览汇总!B181)</f>
      </c>
      <c r="C200" s="186">
        <f>IF($B200="","",N(总览汇总!K181)+SUMIFS(出库明细!$G$4:$G$3003,出库明细!$C$4:$C$3003,$B200,出库明细!$B$4:$B$3003,"&gt;="&amp;年初日,出库明细!$B$4:$B$3003,"&lt;"&amp;$B$21)-SUMIFS(资金台帐!$S$7:$S$3006,资金台帐!$J$7:$J$3006,$B200,资金台帐!$P$7:$P$3006,"应收",资金台帐!$B$7:$B$3006,"&gt;="&amp;年初日,资金台帐!$B$7:$B$3006,"&lt;"&amp;$B$21))</f>
      </c>
      <c r="D200" s="186">
        <f>IF($B200="","",SUMIFS(出库明细!$G$4:$G$3003,出库明细!$C$4:$C$3003,$B200,出库明细!$B$4:$B$3003,"&gt;="&amp;$B$21,出库明细!$B$4:$B$3003,"&lt;="&amp;$D$21))</f>
      </c>
      <c r="E200" s="186">
        <f>IF($B200="","",SUMIFS(资金台帐!$S$7:$S$3006,资金台帐!$J$7:$J$3006,$B200,资金台帐!$P$7:$P$3006,"应收",资金台帐!$B$7:$B$3006,"&gt;="&amp;$B$21,资金台帐!$B$7:$B$3006,"&lt;="&amp;$D$21))</f>
      </c>
      <c r="F200" s="187">
        <f>IF($B200="","",C200+D200-E200)</f>
      </c>
      <c r="G200" s="141">
        <f>IF($B200="","",IF(ROUND(F200,2)=0,"已结清",IF(F200&gt;0,"有欠款","预存款")))</f>
      </c>
      <c r="H200" s="195">
        <f>IF($B200="","",_xlfn.MAXIFS(资金台帐!$B$7:$B$3006,资金台帐!$J$7:$J$3006,$B200,资金台帐!$P$7:$P$3006,"应收"))</f>
      </c>
    </row>
    <row r="201">
      <c r="A201" s="194">
        <f>IF(B201="","",178)</f>
      </c>
      <c r="B201" s="141">
        <f>IF(总览汇总!B182="","",总览汇总!B182)</f>
      </c>
      <c r="C201" s="186">
        <f>IF($B201="","",N(总览汇总!K182)+SUMIFS(出库明细!$G$4:$G$3003,出库明细!$C$4:$C$3003,$B201,出库明细!$B$4:$B$3003,"&gt;="&amp;年初日,出库明细!$B$4:$B$3003,"&lt;"&amp;$B$21)-SUMIFS(资金台帐!$S$7:$S$3006,资金台帐!$J$7:$J$3006,$B201,资金台帐!$P$7:$P$3006,"应收",资金台帐!$B$7:$B$3006,"&gt;="&amp;年初日,资金台帐!$B$7:$B$3006,"&lt;"&amp;$B$21))</f>
      </c>
      <c r="D201" s="186">
        <f>IF($B201="","",SUMIFS(出库明细!$G$4:$G$3003,出库明细!$C$4:$C$3003,$B201,出库明细!$B$4:$B$3003,"&gt;="&amp;$B$21,出库明细!$B$4:$B$3003,"&lt;="&amp;$D$21))</f>
      </c>
      <c r="E201" s="186">
        <f>IF($B201="","",SUMIFS(资金台帐!$S$7:$S$3006,资金台帐!$J$7:$J$3006,$B201,资金台帐!$P$7:$P$3006,"应收",资金台帐!$B$7:$B$3006,"&gt;="&amp;$B$21,资金台帐!$B$7:$B$3006,"&lt;="&amp;$D$21))</f>
      </c>
      <c r="F201" s="187">
        <f>IF($B201="","",C201+D201-E201)</f>
      </c>
      <c r="G201" s="141">
        <f>IF($B201="","",IF(ROUND(F201,2)=0,"已结清",IF(F201&gt;0,"有欠款","预存款")))</f>
      </c>
      <c r="H201" s="195">
        <f>IF($B201="","",_xlfn.MAXIFS(资金台帐!$B$7:$B$3006,资金台帐!$J$7:$J$3006,$B201,资金台帐!$P$7:$P$3006,"应收"))</f>
      </c>
    </row>
    <row r="202">
      <c r="A202" s="194">
        <f>IF(B202="","",179)</f>
      </c>
      <c r="B202" s="141">
        <f>IF(总览汇总!B183="","",总览汇总!B183)</f>
      </c>
      <c r="C202" s="186">
        <f>IF($B202="","",N(总览汇总!K183)+SUMIFS(出库明细!$G$4:$G$3003,出库明细!$C$4:$C$3003,$B202,出库明细!$B$4:$B$3003,"&gt;="&amp;年初日,出库明细!$B$4:$B$3003,"&lt;"&amp;$B$21)-SUMIFS(资金台帐!$S$7:$S$3006,资金台帐!$J$7:$J$3006,$B202,资金台帐!$P$7:$P$3006,"应收",资金台帐!$B$7:$B$3006,"&gt;="&amp;年初日,资金台帐!$B$7:$B$3006,"&lt;"&amp;$B$21))</f>
      </c>
      <c r="D202" s="186">
        <f>IF($B202="","",SUMIFS(出库明细!$G$4:$G$3003,出库明细!$C$4:$C$3003,$B202,出库明细!$B$4:$B$3003,"&gt;="&amp;$B$21,出库明细!$B$4:$B$3003,"&lt;="&amp;$D$21))</f>
      </c>
      <c r="E202" s="186">
        <f>IF($B202="","",SUMIFS(资金台帐!$S$7:$S$3006,资金台帐!$J$7:$J$3006,$B202,资金台帐!$P$7:$P$3006,"应收",资金台帐!$B$7:$B$3006,"&gt;="&amp;$B$21,资金台帐!$B$7:$B$3006,"&lt;="&amp;$D$21))</f>
      </c>
      <c r="F202" s="187">
        <f>IF($B202="","",C202+D202-E202)</f>
      </c>
      <c r="G202" s="141">
        <f>IF($B202="","",IF(ROUND(F202,2)=0,"已结清",IF(F202&gt;0,"有欠款","预存款")))</f>
      </c>
      <c r="H202" s="195">
        <f>IF($B202="","",_xlfn.MAXIFS(资金台帐!$B$7:$B$3006,资金台帐!$J$7:$J$3006,$B202,资金台帐!$P$7:$P$3006,"应收"))</f>
      </c>
    </row>
    <row r="203">
      <c r="A203" s="194">
        <f>IF(B203="","",180)</f>
      </c>
      <c r="B203" s="141">
        <f>IF(总览汇总!B184="","",总览汇总!B184)</f>
      </c>
      <c r="C203" s="186">
        <f>IF($B203="","",N(总览汇总!K184)+SUMIFS(出库明细!$G$4:$G$3003,出库明细!$C$4:$C$3003,$B203,出库明细!$B$4:$B$3003,"&gt;="&amp;年初日,出库明细!$B$4:$B$3003,"&lt;"&amp;$B$21)-SUMIFS(资金台帐!$S$7:$S$3006,资金台帐!$J$7:$J$3006,$B203,资金台帐!$P$7:$P$3006,"应收",资金台帐!$B$7:$B$3006,"&gt;="&amp;年初日,资金台帐!$B$7:$B$3006,"&lt;"&amp;$B$21))</f>
      </c>
      <c r="D203" s="186">
        <f>IF($B203="","",SUMIFS(出库明细!$G$4:$G$3003,出库明细!$C$4:$C$3003,$B203,出库明细!$B$4:$B$3003,"&gt;="&amp;$B$21,出库明细!$B$4:$B$3003,"&lt;="&amp;$D$21))</f>
      </c>
      <c r="E203" s="186">
        <f>IF($B203="","",SUMIFS(资金台帐!$S$7:$S$3006,资金台帐!$J$7:$J$3006,$B203,资金台帐!$P$7:$P$3006,"应收",资金台帐!$B$7:$B$3006,"&gt;="&amp;$B$21,资金台帐!$B$7:$B$3006,"&lt;="&amp;$D$21))</f>
      </c>
      <c r="F203" s="187">
        <f>IF($B203="","",C203+D203-E203)</f>
      </c>
      <c r="G203" s="141">
        <f>IF($B203="","",IF(ROUND(F203,2)=0,"已结清",IF(F203&gt;0,"有欠款","预存款")))</f>
      </c>
      <c r="H203" s="195">
        <f>IF($B203="","",_xlfn.MAXIFS(资金台帐!$B$7:$B$3006,资金台帐!$J$7:$J$3006,$B203,资金台帐!$P$7:$P$3006,"应收"))</f>
      </c>
    </row>
    <row r="204">
      <c r="A204" s="194">
        <f>IF(B204="","",181)</f>
      </c>
      <c r="B204" s="141">
        <f>IF(总览汇总!B185="","",总览汇总!B185)</f>
      </c>
      <c r="C204" s="186">
        <f>IF($B204="","",N(总览汇总!K185)+SUMIFS(出库明细!$G$4:$G$3003,出库明细!$C$4:$C$3003,$B204,出库明细!$B$4:$B$3003,"&gt;="&amp;年初日,出库明细!$B$4:$B$3003,"&lt;"&amp;$B$21)-SUMIFS(资金台帐!$S$7:$S$3006,资金台帐!$J$7:$J$3006,$B204,资金台帐!$P$7:$P$3006,"应收",资金台帐!$B$7:$B$3006,"&gt;="&amp;年初日,资金台帐!$B$7:$B$3006,"&lt;"&amp;$B$21))</f>
      </c>
      <c r="D204" s="186">
        <f>IF($B204="","",SUMIFS(出库明细!$G$4:$G$3003,出库明细!$C$4:$C$3003,$B204,出库明细!$B$4:$B$3003,"&gt;="&amp;$B$21,出库明细!$B$4:$B$3003,"&lt;="&amp;$D$21))</f>
      </c>
      <c r="E204" s="186">
        <f>IF($B204="","",SUMIFS(资金台帐!$S$7:$S$3006,资金台帐!$J$7:$J$3006,$B204,资金台帐!$P$7:$P$3006,"应收",资金台帐!$B$7:$B$3006,"&gt;="&amp;$B$21,资金台帐!$B$7:$B$3006,"&lt;="&amp;$D$21))</f>
      </c>
      <c r="F204" s="187">
        <f>IF($B204="","",C204+D204-E204)</f>
      </c>
      <c r="G204" s="141">
        <f>IF($B204="","",IF(ROUND(F204,2)=0,"已结清",IF(F204&gt;0,"有欠款","预存款")))</f>
      </c>
      <c r="H204" s="195">
        <f>IF($B204="","",_xlfn.MAXIFS(资金台帐!$B$7:$B$3006,资金台帐!$J$7:$J$3006,$B204,资金台帐!$P$7:$P$3006,"应收"))</f>
      </c>
    </row>
    <row r="205">
      <c r="A205" s="194">
        <f>IF(B205="","",182)</f>
      </c>
      <c r="B205" s="141">
        <f>IF(总览汇总!B186="","",总览汇总!B186)</f>
      </c>
      <c r="C205" s="186">
        <f>IF($B205="","",N(总览汇总!K186)+SUMIFS(出库明细!$G$4:$G$3003,出库明细!$C$4:$C$3003,$B205,出库明细!$B$4:$B$3003,"&gt;="&amp;年初日,出库明细!$B$4:$B$3003,"&lt;"&amp;$B$21)-SUMIFS(资金台帐!$S$7:$S$3006,资金台帐!$J$7:$J$3006,$B205,资金台帐!$P$7:$P$3006,"应收",资金台帐!$B$7:$B$3006,"&gt;="&amp;年初日,资金台帐!$B$7:$B$3006,"&lt;"&amp;$B$21))</f>
      </c>
      <c r="D205" s="186">
        <f>IF($B205="","",SUMIFS(出库明细!$G$4:$G$3003,出库明细!$C$4:$C$3003,$B205,出库明细!$B$4:$B$3003,"&gt;="&amp;$B$21,出库明细!$B$4:$B$3003,"&lt;="&amp;$D$21))</f>
      </c>
      <c r="E205" s="186">
        <f>IF($B205="","",SUMIFS(资金台帐!$S$7:$S$3006,资金台帐!$J$7:$J$3006,$B205,资金台帐!$P$7:$P$3006,"应收",资金台帐!$B$7:$B$3006,"&gt;="&amp;$B$21,资金台帐!$B$7:$B$3006,"&lt;="&amp;$D$21))</f>
      </c>
      <c r="F205" s="187">
        <f>IF($B205="","",C205+D205-E205)</f>
      </c>
      <c r="G205" s="141">
        <f>IF($B205="","",IF(ROUND(F205,2)=0,"已结清",IF(F205&gt;0,"有欠款","预存款")))</f>
      </c>
      <c r="H205" s="195">
        <f>IF($B205="","",_xlfn.MAXIFS(资金台帐!$B$7:$B$3006,资金台帐!$J$7:$J$3006,$B205,资金台帐!$P$7:$P$3006,"应收"))</f>
      </c>
    </row>
    <row r="206">
      <c r="A206" s="194">
        <f>IF(B206="","",183)</f>
      </c>
      <c r="B206" s="141">
        <f>IF(总览汇总!B187="","",总览汇总!B187)</f>
      </c>
      <c r="C206" s="186">
        <f>IF($B206="","",N(总览汇总!K187)+SUMIFS(出库明细!$G$4:$G$3003,出库明细!$C$4:$C$3003,$B206,出库明细!$B$4:$B$3003,"&gt;="&amp;年初日,出库明细!$B$4:$B$3003,"&lt;"&amp;$B$21)-SUMIFS(资金台帐!$S$7:$S$3006,资金台帐!$J$7:$J$3006,$B206,资金台帐!$P$7:$P$3006,"应收",资金台帐!$B$7:$B$3006,"&gt;="&amp;年初日,资金台帐!$B$7:$B$3006,"&lt;"&amp;$B$21))</f>
      </c>
      <c r="D206" s="186">
        <f>IF($B206="","",SUMIFS(出库明细!$G$4:$G$3003,出库明细!$C$4:$C$3003,$B206,出库明细!$B$4:$B$3003,"&gt;="&amp;$B$21,出库明细!$B$4:$B$3003,"&lt;="&amp;$D$21))</f>
      </c>
      <c r="E206" s="186">
        <f>IF($B206="","",SUMIFS(资金台帐!$S$7:$S$3006,资金台帐!$J$7:$J$3006,$B206,资金台帐!$P$7:$P$3006,"应收",资金台帐!$B$7:$B$3006,"&gt;="&amp;$B$21,资金台帐!$B$7:$B$3006,"&lt;="&amp;$D$21))</f>
      </c>
      <c r="F206" s="187">
        <f>IF($B206="","",C206+D206-E206)</f>
      </c>
      <c r="G206" s="141">
        <f>IF($B206="","",IF(ROUND(F206,2)=0,"已结清",IF(F206&gt;0,"有欠款","预存款")))</f>
      </c>
      <c r="H206" s="195">
        <f>IF($B206="","",_xlfn.MAXIFS(资金台帐!$B$7:$B$3006,资金台帐!$J$7:$J$3006,$B206,资金台帐!$P$7:$P$3006,"应收"))</f>
      </c>
    </row>
    <row r="207">
      <c r="A207" s="194">
        <f>IF(B207="","",184)</f>
      </c>
      <c r="B207" s="141">
        <f>IF(总览汇总!B188="","",总览汇总!B188)</f>
      </c>
      <c r="C207" s="186">
        <f>IF($B207="","",N(总览汇总!K188)+SUMIFS(出库明细!$G$4:$G$3003,出库明细!$C$4:$C$3003,$B207,出库明细!$B$4:$B$3003,"&gt;="&amp;年初日,出库明细!$B$4:$B$3003,"&lt;"&amp;$B$21)-SUMIFS(资金台帐!$S$7:$S$3006,资金台帐!$J$7:$J$3006,$B207,资金台帐!$P$7:$P$3006,"应收",资金台帐!$B$7:$B$3006,"&gt;="&amp;年初日,资金台帐!$B$7:$B$3006,"&lt;"&amp;$B$21))</f>
      </c>
      <c r="D207" s="186">
        <f>IF($B207="","",SUMIFS(出库明细!$G$4:$G$3003,出库明细!$C$4:$C$3003,$B207,出库明细!$B$4:$B$3003,"&gt;="&amp;$B$21,出库明细!$B$4:$B$3003,"&lt;="&amp;$D$21))</f>
      </c>
      <c r="E207" s="186">
        <f>IF($B207="","",SUMIFS(资金台帐!$S$7:$S$3006,资金台帐!$J$7:$J$3006,$B207,资金台帐!$P$7:$P$3006,"应收",资金台帐!$B$7:$B$3006,"&gt;="&amp;$B$21,资金台帐!$B$7:$B$3006,"&lt;="&amp;$D$21))</f>
      </c>
      <c r="F207" s="187">
        <f>IF($B207="","",C207+D207-E207)</f>
      </c>
      <c r="G207" s="141">
        <f>IF($B207="","",IF(ROUND(F207,2)=0,"已结清",IF(F207&gt;0,"有欠款","预存款")))</f>
      </c>
      <c r="H207" s="195">
        <f>IF($B207="","",_xlfn.MAXIFS(资金台帐!$B$7:$B$3006,资金台帐!$J$7:$J$3006,$B207,资金台帐!$P$7:$P$3006,"应收"))</f>
      </c>
    </row>
    <row r="208">
      <c r="A208" s="194">
        <f>IF(B208="","",185)</f>
      </c>
      <c r="B208" s="141">
        <f>IF(总览汇总!B189="","",总览汇总!B189)</f>
      </c>
      <c r="C208" s="186">
        <f>IF($B208="","",N(总览汇总!K189)+SUMIFS(出库明细!$G$4:$G$3003,出库明细!$C$4:$C$3003,$B208,出库明细!$B$4:$B$3003,"&gt;="&amp;年初日,出库明细!$B$4:$B$3003,"&lt;"&amp;$B$21)-SUMIFS(资金台帐!$S$7:$S$3006,资金台帐!$J$7:$J$3006,$B208,资金台帐!$P$7:$P$3006,"应收",资金台帐!$B$7:$B$3006,"&gt;="&amp;年初日,资金台帐!$B$7:$B$3006,"&lt;"&amp;$B$21))</f>
      </c>
      <c r="D208" s="186">
        <f>IF($B208="","",SUMIFS(出库明细!$G$4:$G$3003,出库明细!$C$4:$C$3003,$B208,出库明细!$B$4:$B$3003,"&gt;="&amp;$B$21,出库明细!$B$4:$B$3003,"&lt;="&amp;$D$21))</f>
      </c>
      <c r="E208" s="186">
        <f>IF($B208="","",SUMIFS(资金台帐!$S$7:$S$3006,资金台帐!$J$7:$J$3006,$B208,资金台帐!$P$7:$P$3006,"应收",资金台帐!$B$7:$B$3006,"&gt;="&amp;$B$21,资金台帐!$B$7:$B$3006,"&lt;="&amp;$D$21))</f>
      </c>
      <c r="F208" s="187">
        <f>IF($B208="","",C208+D208-E208)</f>
      </c>
      <c r="G208" s="141">
        <f>IF($B208="","",IF(ROUND(F208,2)=0,"已结清",IF(F208&gt;0,"有欠款","预存款")))</f>
      </c>
      <c r="H208" s="195">
        <f>IF($B208="","",_xlfn.MAXIFS(资金台帐!$B$7:$B$3006,资金台帐!$J$7:$J$3006,$B208,资金台帐!$P$7:$P$3006,"应收"))</f>
      </c>
    </row>
    <row r="209">
      <c r="A209" s="194">
        <f>IF(B209="","",186)</f>
      </c>
      <c r="B209" s="141">
        <f>IF(总览汇总!B190="","",总览汇总!B190)</f>
      </c>
      <c r="C209" s="186">
        <f>IF($B209="","",N(总览汇总!K190)+SUMIFS(出库明细!$G$4:$G$3003,出库明细!$C$4:$C$3003,$B209,出库明细!$B$4:$B$3003,"&gt;="&amp;年初日,出库明细!$B$4:$B$3003,"&lt;"&amp;$B$21)-SUMIFS(资金台帐!$S$7:$S$3006,资金台帐!$J$7:$J$3006,$B209,资金台帐!$P$7:$P$3006,"应收",资金台帐!$B$7:$B$3006,"&gt;="&amp;年初日,资金台帐!$B$7:$B$3006,"&lt;"&amp;$B$21))</f>
      </c>
      <c r="D209" s="186">
        <f>IF($B209="","",SUMIFS(出库明细!$G$4:$G$3003,出库明细!$C$4:$C$3003,$B209,出库明细!$B$4:$B$3003,"&gt;="&amp;$B$21,出库明细!$B$4:$B$3003,"&lt;="&amp;$D$21))</f>
      </c>
      <c r="E209" s="186">
        <f>IF($B209="","",SUMIFS(资金台帐!$S$7:$S$3006,资金台帐!$J$7:$J$3006,$B209,资金台帐!$P$7:$P$3006,"应收",资金台帐!$B$7:$B$3006,"&gt;="&amp;$B$21,资金台帐!$B$7:$B$3006,"&lt;="&amp;$D$21))</f>
      </c>
      <c r="F209" s="187">
        <f>IF($B209="","",C209+D209-E209)</f>
      </c>
      <c r="G209" s="141">
        <f>IF($B209="","",IF(ROUND(F209,2)=0,"已结清",IF(F209&gt;0,"有欠款","预存款")))</f>
      </c>
      <c r="H209" s="195">
        <f>IF($B209="","",_xlfn.MAXIFS(资金台帐!$B$7:$B$3006,资金台帐!$J$7:$J$3006,$B209,资金台帐!$P$7:$P$3006,"应收"))</f>
      </c>
    </row>
    <row r="210">
      <c r="A210" s="194">
        <f>IF(B210="","",187)</f>
      </c>
      <c r="B210" s="141">
        <f>IF(总览汇总!B191="","",总览汇总!B191)</f>
      </c>
      <c r="C210" s="186">
        <f>IF($B210="","",N(总览汇总!K191)+SUMIFS(出库明细!$G$4:$G$3003,出库明细!$C$4:$C$3003,$B210,出库明细!$B$4:$B$3003,"&gt;="&amp;年初日,出库明细!$B$4:$B$3003,"&lt;"&amp;$B$21)-SUMIFS(资金台帐!$S$7:$S$3006,资金台帐!$J$7:$J$3006,$B210,资金台帐!$P$7:$P$3006,"应收",资金台帐!$B$7:$B$3006,"&gt;="&amp;年初日,资金台帐!$B$7:$B$3006,"&lt;"&amp;$B$21))</f>
      </c>
      <c r="D210" s="186">
        <f>IF($B210="","",SUMIFS(出库明细!$G$4:$G$3003,出库明细!$C$4:$C$3003,$B210,出库明细!$B$4:$B$3003,"&gt;="&amp;$B$21,出库明细!$B$4:$B$3003,"&lt;="&amp;$D$21))</f>
      </c>
      <c r="E210" s="186">
        <f>IF($B210="","",SUMIFS(资金台帐!$S$7:$S$3006,资金台帐!$J$7:$J$3006,$B210,资金台帐!$P$7:$P$3006,"应收",资金台帐!$B$7:$B$3006,"&gt;="&amp;$B$21,资金台帐!$B$7:$B$3006,"&lt;="&amp;$D$21))</f>
      </c>
      <c r="F210" s="187">
        <f>IF($B210="","",C210+D210-E210)</f>
      </c>
      <c r="G210" s="141">
        <f>IF($B210="","",IF(ROUND(F210,2)=0,"已结清",IF(F210&gt;0,"有欠款","预存款")))</f>
      </c>
      <c r="H210" s="195">
        <f>IF($B210="","",_xlfn.MAXIFS(资金台帐!$B$7:$B$3006,资金台帐!$J$7:$J$3006,$B210,资金台帐!$P$7:$P$3006,"应收"))</f>
      </c>
    </row>
    <row r="211">
      <c r="A211" s="194">
        <f>IF(B211="","",188)</f>
      </c>
      <c r="B211" s="141">
        <f>IF(总览汇总!B192="","",总览汇总!B192)</f>
      </c>
      <c r="C211" s="186">
        <f>IF($B211="","",N(总览汇总!K192)+SUMIFS(出库明细!$G$4:$G$3003,出库明细!$C$4:$C$3003,$B211,出库明细!$B$4:$B$3003,"&gt;="&amp;年初日,出库明细!$B$4:$B$3003,"&lt;"&amp;$B$21)-SUMIFS(资金台帐!$S$7:$S$3006,资金台帐!$J$7:$J$3006,$B211,资金台帐!$P$7:$P$3006,"应收",资金台帐!$B$7:$B$3006,"&gt;="&amp;年初日,资金台帐!$B$7:$B$3006,"&lt;"&amp;$B$21))</f>
      </c>
      <c r="D211" s="186">
        <f>IF($B211="","",SUMIFS(出库明细!$G$4:$G$3003,出库明细!$C$4:$C$3003,$B211,出库明细!$B$4:$B$3003,"&gt;="&amp;$B$21,出库明细!$B$4:$B$3003,"&lt;="&amp;$D$21))</f>
      </c>
      <c r="E211" s="186">
        <f>IF($B211="","",SUMIFS(资金台帐!$S$7:$S$3006,资金台帐!$J$7:$J$3006,$B211,资金台帐!$P$7:$P$3006,"应收",资金台帐!$B$7:$B$3006,"&gt;="&amp;$B$21,资金台帐!$B$7:$B$3006,"&lt;="&amp;$D$21))</f>
      </c>
      <c r="F211" s="187">
        <f>IF($B211="","",C211+D211-E211)</f>
      </c>
      <c r="G211" s="141">
        <f>IF($B211="","",IF(ROUND(F211,2)=0,"已结清",IF(F211&gt;0,"有欠款","预存款")))</f>
      </c>
      <c r="H211" s="195">
        <f>IF($B211="","",_xlfn.MAXIFS(资金台帐!$B$7:$B$3006,资金台帐!$J$7:$J$3006,$B211,资金台帐!$P$7:$P$3006,"应收"))</f>
      </c>
    </row>
    <row r="212">
      <c r="A212" s="194">
        <f>IF(B212="","",189)</f>
      </c>
      <c r="B212" s="141">
        <f>IF(总览汇总!B193="","",总览汇总!B193)</f>
      </c>
      <c r="C212" s="186">
        <f>IF($B212="","",N(总览汇总!K193)+SUMIFS(出库明细!$G$4:$G$3003,出库明细!$C$4:$C$3003,$B212,出库明细!$B$4:$B$3003,"&gt;="&amp;年初日,出库明细!$B$4:$B$3003,"&lt;"&amp;$B$21)-SUMIFS(资金台帐!$S$7:$S$3006,资金台帐!$J$7:$J$3006,$B212,资金台帐!$P$7:$P$3006,"应收",资金台帐!$B$7:$B$3006,"&gt;="&amp;年初日,资金台帐!$B$7:$B$3006,"&lt;"&amp;$B$21))</f>
      </c>
      <c r="D212" s="186">
        <f>IF($B212="","",SUMIFS(出库明细!$G$4:$G$3003,出库明细!$C$4:$C$3003,$B212,出库明细!$B$4:$B$3003,"&gt;="&amp;$B$21,出库明细!$B$4:$B$3003,"&lt;="&amp;$D$21))</f>
      </c>
      <c r="E212" s="186">
        <f>IF($B212="","",SUMIFS(资金台帐!$S$7:$S$3006,资金台帐!$J$7:$J$3006,$B212,资金台帐!$P$7:$P$3006,"应收",资金台帐!$B$7:$B$3006,"&gt;="&amp;$B$21,资金台帐!$B$7:$B$3006,"&lt;="&amp;$D$21))</f>
      </c>
      <c r="F212" s="187">
        <f>IF($B212="","",C212+D212-E212)</f>
      </c>
      <c r="G212" s="141">
        <f>IF($B212="","",IF(ROUND(F212,2)=0,"已结清",IF(F212&gt;0,"有欠款","预存款")))</f>
      </c>
      <c r="H212" s="195">
        <f>IF($B212="","",_xlfn.MAXIFS(资金台帐!$B$7:$B$3006,资金台帐!$J$7:$J$3006,$B212,资金台帐!$P$7:$P$3006,"应收"))</f>
      </c>
    </row>
    <row r="213">
      <c r="A213" s="194">
        <f>IF(B213="","",190)</f>
      </c>
      <c r="B213" s="141">
        <f>IF(总览汇总!B194="","",总览汇总!B194)</f>
      </c>
      <c r="C213" s="186">
        <f>IF($B213="","",N(总览汇总!K194)+SUMIFS(出库明细!$G$4:$G$3003,出库明细!$C$4:$C$3003,$B213,出库明细!$B$4:$B$3003,"&gt;="&amp;年初日,出库明细!$B$4:$B$3003,"&lt;"&amp;$B$21)-SUMIFS(资金台帐!$S$7:$S$3006,资金台帐!$J$7:$J$3006,$B213,资金台帐!$P$7:$P$3006,"应收",资金台帐!$B$7:$B$3006,"&gt;="&amp;年初日,资金台帐!$B$7:$B$3006,"&lt;"&amp;$B$21))</f>
      </c>
      <c r="D213" s="186">
        <f>IF($B213="","",SUMIFS(出库明细!$G$4:$G$3003,出库明细!$C$4:$C$3003,$B213,出库明细!$B$4:$B$3003,"&gt;="&amp;$B$21,出库明细!$B$4:$B$3003,"&lt;="&amp;$D$21))</f>
      </c>
      <c r="E213" s="186">
        <f>IF($B213="","",SUMIFS(资金台帐!$S$7:$S$3006,资金台帐!$J$7:$J$3006,$B213,资金台帐!$P$7:$P$3006,"应收",资金台帐!$B$7:$B$3006,"&gt;="&amp;$B$21,资金台帐!$B$7:$B$3006,"&lt;="&amp;$D$21))</f>
      </c>
      <c r="F213" s="187">
        <f>IF($B213="","",C213+D213-E213)</f>
      </c>
      <c r="G213" s="141">
        <f>IF($B213="","",IF(ROUND(F213,2)=0,"已结清",IF(F213&gt;0,"有欠款","预存款")))</f>
      </c>
      <c r="H213" s="195">
        <f>IF($B213="","",_xlfn.MAXIFS(资金台帐!$B$7:$B$3006,资金台帐!$J$7:$J$3006,$B213,资金台帐!$P$7:$P$3006,"应收"))</f>
      </c>
    </row>
    <row r="214">
      <c r="A214" s="194">
        <f>IF(B214="","",191)</f>
      </c>
      <c r="B214" s="141">
        <f>IF(总览汇总!B195="","",总览汇总!B195)</f>
      </c>
      <c r="C214" s="186">
        <f>IF($B214="","",N(总览汇总!K195)+SUMIFS(出库明细!$G$4:$G$3003,出库明细!$C$4:$C$3003,$B214,出库明细!$B$4:$B$3003,"&gt;="&amp;年初日,出库明细!$B$4:$B$3003,"&lt;"&amp;$B$21)-SUMIFS(资金台帐!$S$7:$S$3006,资金台帐!$J$7:$J$3006,$B214,资金台帐!$P$7:$P$3006,"应收",资金台帐!$B$7:$B$3006,"&gt;="&amp;年初日,资金台帐!$B$7:$B$3006,"&lt;"&amp;$B$21))</f>
      </c>
      <c r="D214" s="186">
        <f>IF($B214="","",SUMIFS(出库明细!$G$4:$G$3003,出库明细!$C$4:$C$3003,$B214,出库明细!$B$4:$B$3003,"&gt;="&amp;$B$21,出库明细!$B$4:$B$3003,"&lt;="&amp;$D$21))</f>
      </c>
      <c r="E214" s="186">
        <f>IF($B214="","",SUMIFS(资金台帐!$S$7:$S$3006,资金台帐!$J$7:$J$3006,$B214,资金台帐!$P$7:$P$3006,"应收",资金台帐!$B$7:$B$3006,"&gt;="&amp;$B$21,资金台帐!$B$7:$B$3006,"&lt;="&amp;$D$21))</f>
      </c>
      <c r="F214" s="187">
        <f>IF($B214="","",C214+D214-E214)</f>
      </c>
      <c r="G214" s="141">
        <f>IF($B214="","",IF(ROUND(F214,2)=0,"已结清",IF(F214&gt;0,"有欠款","预存款")))</f>
      </c>
      <c r="H214" s="195">
        <f>IF($B214="","",_xlfn.MAXIFS(资金台帐!$B$7:$B$3006,资金台帐!$J$7:$J$3006,$B214,资金台帐!$P$7:$P$3006,"应收"))</f>
      </c>
    </row>
    <row r="215">
      <c r="A215" s="194">
        <f>IF(B215="","",192)</f>
      </c>
      <c r="B215" s="141">
        <f>IF(总览汇总!B196="","",总览汇总!B196)</f>
      </c>
      <c r="C215" s="186">
        <f>IF($B215="","",N(总览汇总!K196)+SUMIFS(出库明细!$G$4:$G$3003,出库明细!$C$4:$C$3003,$B215,出库明细!$B$4:$B$3003,"&gt;="&amp;年初日,出库明细!$B$4:$B$3003,"&lt;"&amp;$B$21)-SUMIFS(资金台帐!$S$7:$S$3006,资金台帐!$J$7:$J$3006,$B215,资金台帐!$P$7:$P$3006,"应收",资金台帐!$B$7:$B$3006,"&gt;="&amp;年初日,资金台帐!$B$7:$B$3006,"&lt;"&amp;$B$21))</f>
      </c>
      <c r="D215" s="186">
        <f>IF($B215="","",SUMIFS(出库明细!$G$4:$G$3003,出库明细!$C$4:$C$3003,$B215,出库明细!$B$4:$B$3003,"&gt;="&amp;$B$21,出库明细!$B$4:$B$3003,"&lt;="&amp;$D$21))</f>
      </c>
      <c r="E215" s="186">
        <f>IF($B215="","",SUMIFS(资金台帐!$S$7:$S$3006,资金台帐!$J$7:$J$3006,$B215,资金台帐!$P$7:$P$3006,"应收",资金台帐!$B$7:$B$3006,"&gt;="&amp;$B$21,资金台帐!$B$7:$B$3006,"&lt;="&amp;$D$21))</f>
      </c>
      <c r="F215" s="187">
        <f>IF($B215="","",C215+D215-E215)</f>
      </c>
      <c r="G215" s="141">
        <f>IF($B215="","",IF(ROUND(F215,2)=0,"已结清",IF(F215&gt;0,"有欠款","预存款")))</f>
      </c>
      <c r="H215" s="195">
        <f>IF($B215="","",_xlfn.MAXIFS(资金台帐!$B$7:$B$3006,资金台帐!$J$7:$J$3006,$B215,资金台帐!$P$7:$P$3006,"应收"))</f>
      </c>
    </row>
    <row r="216">
      <c r="A216" s="194">
        <f>IF(B216="","",193)</f>
      </c>
      <c r="B216" s="141">
        <f>IF(总览汇总!B197="","",总览汇总!B197)</f>
      </c>
      <c r="C216" s="186">
        <f>IF($B216="","",N(总览汇总!K197)+SUMIFS(出库明细!$G$4:$G$3003,出库明细!$C$4:$C$3003,$B216,出库明细!$B$4:$B$3003,"&gt;="&amp;年初日,出库明细!$B$4:$B$3003,"&lt;"&amp;$B$21)-SUMIFS(资金台帐!$S$7:$S$3006,资金台帐!$J$7:$J$3006,$B216,资金台帐!$P$7:$P$3006,"应收",资金台帐!$B$7:$B$3006,"&gt;="&amp;年初日,资金台帐!$B$7:$B$3006,"&lt;"&amp;$B$21))</f>
      </c>
      <c r="D216" s="186">
        <f>IF($B216="","",SUMIFS(出库明细!$G$4:$G$3003,出库明细!$C$4:$C$3003,$B216,出库明细!$B$4:$B$3003,"&gt;="&amp;$B$21,出库明细!$B$4:$B$3003,"&lt;="&amp;$D$21))</f>
      </c>
      <c r="E216" s="186">
        <f>IF($B216="","",SUMIFS(资金台帐!$S$7:$S$3006,资金台帐!$J$7:$J$3006,$B216,资金台帐!$P$7:$P$3006,"应收",资金台帐!$B$7:$B$3006,"&gt;="&amp;$B$21,资金台帐!$B$7:$B$3006,"&lt;="&amp;$D$21))</f>
      </c>
      <c r="F216" s="187">
        <f>IF($B216="","",C216+D216-E216)</f>
      </c>
      <c r="G216" s="141">
        <f>IF($B216="","",IF(ROUND(F216,2)=0,"已结清",IF(F216&gt;0,"有欠款","预存款")))</f>
      </c>
      <c r="H216" s="195">
        <f>IF($B216="","",_xlfn.MAXIFS(资金台帐!$B$7:$B$3006,资金台帐!$J$7:$J$3006,$B216,资金台帐!$P$7:$P$3006,"应收"))</f>
      </c>
    </row>
    <row r="217">
      <c r="A217" s="194">
        <f>IF(B217="","",194)</f>
      </c>
      <c r="B217" s="141">
        <f>IF(总览汇总!B198="","",总览汇总!B198)</f>
      </c>
      <c r="C217" s="186">
        <f>IF($B217="","",N(总览汇总!K198)+SUMIFS(出库明细!$G$4:$G$3003,出库明细!$C$4:$C$3003,$B217,出库明细!$B$4:$B$3003,"&gt;="&amp;年初日,出库明细!$B$4:$B$3003,"&lt;"&amp;$B$21)-SUMIFS(资金台帐!$S$7:$S$3006,资金台帐!$J$7:$J$3006,$B217,资金台帐!$P$7:$P$3006,"应收",资金台帐!$B$7:$B$3006,"&gt;="&amp;年初日,资金台帐!$B$7:$B$3006,"&lt;"&amp;$B$21))</f>
      </c>
      <c r="D217" s="186">
        <f>IF($B217="","",SUMIFS(出库明细!$G$4:$G$3003,出库明细!$C$4:$C$3003,$B217,出库明细!$B$4:$B$3003,"&gt;="&amp;$B$21,出库明细!$B$4:$B$3003,"&lt;="&amp;$D$21))</f>
      </c>
      <c r="E217" s="186">
        <f>IF($B217="","",SUMIFS(资金台帐!$S$7:$S$3006,资金台帐!$J$7:$J$3006,$B217,资金台帐!$P$7:$P$3006,"应收",资金台帐!$B$7:$B$3006,"&gt;="&amp;$B$21,资金台帐!$B$7:$B$3006,"&lt;="&amp;$D$21))</f>
      </c>
      <c r="F217" s="187">
        <f>IF($B217="","",C217+D217-E217)</f>
      </c>
      <c r="G217" s="141">
        <f>IF($B217="","",IF(ROUND(F217,2)=0,"已结清",IF(F217&gt;0,"有欠款","预存款")))</f>
      </c>
      <c r="H217" s="195">
        <f>IF($B217="","",_xlfn.MAXIFS(资金台帐!$B$7:$B$3006,资金台帐!$J$7:$J$3006,$B217,资金台帐!$P$7:$P$3006,"应收"))</f>
      </c>
    </row>
    <row r="218">
      <c r="A218" s="194">
        <f>IF(B218="","",195)</f>
      </c>
      <c r="B218" s="141">
        <f>IF(总览汇总!B199="","",总览汇总!B199)</f>
      </c>
      <c r="C218" s="186">
        <f>IF($B218="","",N(总览汇总!K199)+SUMIFS(出库明细!$G$4:$G$3003,出库明细!$C$4:$C$3003,$B218,出库明细!$B$4:$B$3003,"&gt;="&amp;年初日,出库明细!$B$4:$B$3003,"&lt;"&amp;$B$21)-SUMIFS(资金台帐!$S$7:$S$3006,资金台帐!$J$7:$J$3006,$B218,资金台帐!$P$7:$P$3006,"应收",资金台帐!$B$7:$B$3006,"&gt;="&amp;年初日,资金台帐!$B$7:$B$3006,"&lt;"&amp;$B$21))</f>
      </c>
      <c r="D218" s="186">
        <f>IF($B218="","",SUMIFS(出库明细!$G$4:$G$3003,出库明细!$C$4:$C$3003,$B218,出库明细!$B$4:$B$3003,"&gt;="&amp;$B$21,出库明细!$B$4:$B$3003,"&lt;="&amp;$D$21))</f>
      </c>
      <c r="E218" s="186">
        <f>IF($B218="","",SUMIFS(资金台帐!$S$7:$S$3006,资金台帐!$J$7:$J$3006,$B218,资金台帐!$P$7:$P$3006,"应收",资金台帐!$B$7:$B$3006,"&gt;="&amp;$B$21,资金台帐!$B$7:$B$3006,"&lt;="&amp;$D$21))</f>
      </c>
      <c r="F218" s="187">
        <f>IF($B218="","",C218+D218-E218)</f>
      </c>
      <c r="G218" s="141">
        <f>IF($B218="","",IF(ROUND(F218,2)=0,"已结清",IF(F218&gt;0,"有欠款","预存款")))</f>
      </c>
      <c r="H218" s="195">
        <f>IF($B218="","",_xlfn.MAXIFS(资金台帐!$B$7:$B$3006,资金台帐!$J$7:$J$3006,$B218,资金台帐!$P$7:$P$3006,"应收"))</f>
      </c>
    </row>
    <row r="219">
      <c r="A219" s="194">
        <f>IF(B219="","",196)</f>
      </c>
      <c r="B219" s="141">
        <f>IF(总览汇总!B200="","",总览汇总!B200)</f>
      </c>
      <c r="C219" s="186">
        <f>IF($B219="","",N(总览汇总!K200)+SUMIFS(出库明细!$G$4:$G$3003,出库明细!$C$4:$C$3003,$B219,出库明细!$B$4:$B$3003,"&gt;="&amp;年初日,出库明细!$B$4:$B$3003,"&lt;"&amp;$B$21)-SUMIFS(资金台帐!$S$7:$S$3006,资金台帐!$J$7:$J$3006,$B219,资金台帐!$P$7:$P$3006,"应收",资金台帐!$B$7:$B$3006,"&gt;="&amp;年初日,资金台帐!$B$7:$B$3006,"&lt;"&amp;$B$21))</f>
      </c>
      <c r="D219" s="186">
        <f>IF($B219="","",SUMIFS(出库明细!$G$4:$G$3003,出库明细!$C$4:$C$3003,$B219,出库明细!$B$4:$B$3003,"&gt;="&amp;$B$21,出库明细!$B$4:$B$3003,"&lt;="&amp;$D$21))</f>
      </c>
      <c r="E219" s="186">
        <f>IF($B219="","",SUMIFS(资金台帐!$S$7:$S$3006,资金台帐!$J$7:$J$3006,$B219,资金台帐!$P$7:$P$3006,"应收",资金台帐!$B$7:$B$3006,"&gt;="&amp;$B$21,资金台帐!$B$7:$B$3006,"&lt;="&amp;$D$21))</f>
      </c>
      <c r="F219" s="187">
        <f>IF($B219="","",C219+D219-E219)</f>
      </c>
      <c r="G219" s="141">
        <f>IF($B219="","",IF(ROUND(F219,2)=0,"已结清",IF(F219&gt;0,"有欠款","预存款")))</f>
      </c>
      <c r="H219" s="195">
        <f>IF($B219="","",_xlfn.MAXIFS(资金台帐!$B$7:$B$3006,资金台帐!$J$7:$J$3006,$B219,资金台帐!$P$7:$P$3006,"应收"))</f>
      </c>
    </row>
    <row r="220">
      <c r="A220" s="194">
        <f>IF(B220="","",197)</f>
      </c>
      <c r="B220" s="141">
        <f>IF(总览汇总!B201="","",总览汇总!B201)</f>
      </c>
      <c r="C220" s="186">
        <f>IF($B220="","",N(总览汇总!K201)+SUMIFS(出库明细!$G$4:$G$3003,出库明细!$C$4:$C$3003,$B220,出库明细!$B$4:$B$3003,"&gt;="&amp;年初日,出库明细!$B$4:$B$3003,"&lt;"&amp;$B$21)-SUMIFS(资金台帐!$S$7:$S$3006,资金台帐!$J$7:$J$3006,$B220,资金台帐!$P$7:$P$3006,"应收",资金台帐!$B$7:$B$3006,"&gt;="&amp;年初日,资金台帐!$B$7:$B$3006,"&lt;"&amp;$B$21))</f>
      </c>
      <c r="D220" s="186">
        <f>IF($B220="","",SUMIFS(出库明细!$G$4:$G$3003,出库明细!$C$4:$C$3003,$B220,出库明细!$B$4:$B$3003,"&gt;="&amp;$B$21,出库明细!$B$4:$B$3003,"&lt;="&amp;$D$21))</f>
      </c>
      <c r="E220" s="186">
        <f>IF($B220="","",SUMIFS(资金台帐!$S$7:$S$3006,资金台帐!$J$7:$J$3006,$B220,资金台帐!$P$7:$P$3006,"应收",资金台帐!$B$7:$B$3006,"&gt;="&amp;$B$21,资金台帐!$B$7:$B$3006,"&lt;="&amp;$D$21))</f>
      </c>
      <c r="F220" s="187">
        <f>IF($B220="","",C220+D220-E220)</f>
      </c>
      <c r="G220" s="141">
        <f>IF($B220="","",IF(ROUND(F220,2)=0,"已结清",IF(F220&gt;0,"有欠款","预存款")))</f>
      </c>
      <c r="H220" s="195">
        <f>IF($B220="","",_xlfn.MAXIFS(资金台帐!$B$7:$B$3006,资金台帐!$J$7:$J$3006,$B220,资金台帐!$P$7:$P$3006,"应收"))</f>
      </c>
    </row>
    <row r="221">
      <c r="A221" s="194">
        <f>IF(B221="","",198)</f>
      </c>
      <c r="B221" s="141">
        <f>IF(总览汇总!B202="","",总览汇总!B202)</f>
      </c>
      <c r="C221" s="186">
        <f>IF($B221="","",N(总览汇总!K202)+SUMIFS(出库明细!$G$4:$G$3003,出库明细!$C$4:$C$3003,$B221,出库明细!$B$4:$B$3003,"&gt;="&amp;年初日,出库明细!$B$4:$B$3003,"&lt;"&amp;$B$21)-SUMIFS(资金台帐!$S$7:$S$3006,资金台帐!$J$7:$J$3006,$B221,资金台帐!$P$7:$P$3006,"应收",资金台帐!$B$7:$B$3006,"&gt;="&amp;年初日,资金台帐!$B$7:$B$3006,"&lt;"&amp;$B$21))</f>
      </c>
      <c r="D221" s="186">
        <f>IF($B221="","",SUMIFS(出库明细!$G$4:$G$3003,出库明细!$C$4:$C$3003,$B221,出库明细!$B$4:$B$3003,"&gt;="&amp;$B$21,出库明细!$B$4:$B$3003,"&lt;="&amp;$D$21))</f>
      </c>
      <c r="E221" s="186">
        <f>IF($B221="","",SUMIFS(资金台帐!$S$7:$S$3006,资金台帐!$J$7:$J$3006,$B221,资金台帐!$P$7:$P$3006,"应收",资金台帐!$B$7:$B$3006,"&gt;="&amp;$B$21,资金台帐!$B$7:$B$3006,"&lt;="&amp;$D$21))</f>
      </c>
      <c r="F221" s="187">
        <f>IF($B221="","",C221+D221-E221)</f>
      </c>
      <c r="G221" s="141">
        <f>IF($B221="","",IF(ROUND(F221,2)=0,"已结清",IF(F221&gt;0,"有欠款","预存款")))</f>
      </c>
      <c r="H221" s="195">
        <f>IF($B221="","",_xlfn.MAXIFS(资金台帐!$B$7:$B$3006,资金台帐!$J$7:$J$3006,$B221,资金台帐!$P$7:$P$3006,"应收"))</f>
      </c>
    </row>
    <row r="222">
      <c r="A222" s="194">
        <f>IF(B222="","",199)</f>
      </c>
      <c r="B222" s="141">
        <f>IF(总览汇总!B203="","",总览汇总!B203)</f>
      </c>
      <c r="C222" s="186">
        <f>IF($B222="","",N(总览汇总!K203)+SUMIFS(出库明细!$G$4:$G$3003,出库明细!$C$4:$C$3003,$B222,出库明细!$B$4:$B$3003,"&gt;="&amp;年初日,出库明细!$B$4:$B$3003,"&lt;"&amp;$B$21)-SUMIFS(资金台帐!$S$7:$S$3006,资金台帐!$J$7:$J$3006,$B222,资金台帐!$P$7:$P$3006,"应收",资金台帐!$B$7:$B$3006,"&gt;="&amp;年初日,资金台帐!$B$7:$B$3006,"&lt;"&amp;$B$21))</f>
      </c>
      <c r="D222" s="186">
        <f>IF($B222="","",SUMIFS(出库明细!$G$4:$G$3003,出库明细!$C$4:$C$3003,$B222,出库明细!$B$4:$B$3003,"&gt;="&amp;$B$21,出库明细!$B$4:$B$3003,"&lt;="&amp;$D$21))</f>
      </c>
      <c r="E222" s="186">
        <f>IF($B222="","",SUMIFS(资金台帐!$S$7:$S$3006,资金台帐!$J$7:$J$3006,$B222,资金台帐!$P$7:$P$3006,"应收",资金台帐!$B$7:$B$3006,"&gt;="&amp;$B$21,资金台帐!$B$7:$B$3006,"&lt;="&amp;$D$21))</f>
      </c>
      <c r="F222" s="187">
        <f>IF($B222="","",C222+D222-E222)</f>
      </c>
      <c r="G222" s="141">
        <f>IF($B222="","",IF(ROUND(F222,2)=0,"已结清",IF(F222&gt;0,"有欠款","预存款")))</f>
      </c>
      <c r="H222" s="195">
        <f>IF($B222="","",_xlfn.MAXIFS(资金台帐!$B$7:$B$3006,资金台帐!$J$7:$J$3006,$B222,资金台帐!$P$7:$P$3006,"应收"))</f>
      </c>
    </row>
    <row r="223">
      <c r="A223" s="194">
        <f>IF(B223="","",200)</f>
      </c>
      <c r="B223" s="141">
        <f>IF(总览汇总!B204="","",总览汇总!B204)</f>
      </c>
      <c r="C223" s="186">
        <f>IF($B223="","",N(总览汇总!K204)+SUMIFS(出库明细!$G$4:$G$3003,出库明细!$C$4:$C$3003,$B223,出库明细!$B$4:$B$3003,"&gt;="&amp;年初日,出库明细!$B$4:$B$3003,"&lt;"&amp;$B$21)-SUMIFS(资金台帐!$S$7:$S$3006,资金台帐!$J$7:$J$3006,$B223,资金台帐!$P$7:$P$3006,"应收",资金台帐!$B$7:$B$3006,"&gt;="&amp;年初日,资金台帐!$B$7:$B$3006,"&lt;"&amp;$B$21))</f>
      </c>
      <c r="D223" s="186">
        <f>IF($B223="","",SUMIFS(出库明细!$G$4:$G$3003,出库明细!$C$4:$C$3003,$B223,出库明细!$B$4:$B$3003,"&gt;="&amp;$B$21,出库明细!$B$4:$B$3003,"&lt;="&amp;$D$21))</f>
      </c>
      <c r="E223" s="186">
        <f>IF($B223="","",SUMIFS(资金台帐!$S$7:$S$3006,资金台帐!$J$7:$J$3006,$B223,资金台帐!$P$7:$P$3006,"应收",资金台帐!$B$7:$B$3006,"&gt;="&amp;$B$21,资金台帐!$B$7:$B$3006,"&lt;="&amp;$D$21))</f>
      </c>
      <c r="F223" s="187">
        <f>IF($B223="","",C223+D223-E223)</f>
      </c>
      <c r="G223" s="141">
        <f>IF($B223="","",IF(ROUND(F223,2)=0,"已结清",IF(F223&gt;0,"有欠款","预存款")))</f>
      </c>
      <c r="H223" s="195">
        <f>IF($B223="","",_xlfn.MAXIFS(资金台帐!$B$7:$B$3006,资金台帐!$J$7:$J$3006,$B223,资金台帐!$P$7:$P$3006,"应收"))</f>
      </c>
    </row>
    <row r="224">
      <c r="A224" s="194">
        <f>IF(B224="","",201)</f>
      </c>
      <c r="B224" s="141">
        <f>IF(总览汇总!B205="","",总览汇总!B205)</f>
      </c>
      <c r="C224" s="186">
        <f>IF($B224="","",N(总览汇总!K205)+SUMIFS(出库明细!$G$4:$G$3003,出库明细!$C$4:$C$3003,$B224,出库明细!$B$4:$B$3003,"&gt;="&amp;年初日,出库明细!$B$4:$B$3003,"&lt;"&amp;$B$21)-SUMIFS(资金台帐!$S$7:$S$3006,资金台帐!$J$7:$J$3006,$B224,资金台帐!$P$7:$P$3006,"应收",资金台帐!$B$7:$B$3006,"&gt;="&amp;年初日,资金台帐!$B$7:$B$3006,"&lt;"&amp;$B$21))</f>
      </c>
      <c r="D224" s="186">
        <f>IF($B224="","",SUMIFS(出库明细!$G$4:$G$3003,出库明细!$C$4:$C$3003,$B224,出库明细!$B$4:$B$3003,"&gt;="&amp;$B$21,出库明细!$B$4:$B$3003,"&lt;="&amp;$D$21))</f>
      </c>
      <c r="E224" s="186">
        <f>IF($B224="","",SUMIFS(资金台帐!$S$7:$S$3006,资金台帐!$J$7:$J$3006,$B224,资金台帐!$P$7:$P$3006,"应收",资金台帐!$B$7:$B$3006,"&gt;="&amp;$B$21,资金台帐!$B$7:$B$3006,"&lt;="&amp;$D$21))</f>
      </c>
      <c r="F224" s="187">
        <f>IF($B224="","",C224+D224-E224)</f>
      </c>
      <c r="G224" s="141">
        <f>IF($B224="","",IF(ROUND(F224,2)=0,"已结清",IF(F224&gt;0,"有欠款","预存款")))</f>
      </c>
      <c r="H224" s="195">
        <f>IF($B224="","",_xlfn.MAXIFS(资金台帐!$B$7:$B$3006,资金台帐!$J$7:$J$3006,$B224,资金台帐!$P$7:$P$3006,"应收"))</f>
      </c>
    </row>
    <row r="225">
      <c r="A225" s="194">
        <f>IF(B225="","",202)</f>
      </c>
      <c r="B225" s="141">
        <f>IF(总览汇总!B206="","",总览汇总!B206)</f>
      </c>
      <c r="C225" s="186">
        <f>IF($B225="","",N(总览汇总!K206)+SUMIFS(出库明细!$G$4:$G$3003,出库明细!$C$4:$C$3003,$B225,出库明细!$B$4:$B$3003,"&gt;="&amp;年初日,出库明细!$B$4:$B$3003,"&lt;"&amp;$B$21)-SUMIFS(资金台帐!$S$7:$S$3006,资金台帐!$J$7:$J$3006,$B225,资金台帐!$P$7:$P$3006,"应收",资金台帐!$B$7:$B$3006,"&gt;="&amp;年初日,资金台帐!$B$7:$B$3006,"&lt;"&amp;$B$21))</f>
      </c>
      <c r="D225" s="186">
        <f>IF($B225="","",SUMIFS(出库明细!$G$4:$G$3003,出库明细!$C$4:$C$3003,$B225,出库明细!$B$4:$B$3003,"&gt;="&amp;$B$21,出库明细!$B$4:$B$3003,"&lt;="&amp;$D$21))</f>
      </c>
      <c r="E225" s="186">
        <f>IF($B225="","",SUMIFS(资金台帐!$S$7:$S$3006,资金台帐!$J$7:$J$3006,$B225,资金台帐!$P$7:$P$3006,"应收",资金台帐!$B$7:$B$3006,"&gt;="&amp;$B$21,资金台帐!$B$7:$B$3006,"&lt;="&amp;$D$21))</f>
      </c>
      <c r="F225" s="187">
        <f>IF($B225="","",C225+D225-E225)</f>
      </c>
      <c r="G225" s="141">
        <f>IF($B225="","",IF(ROUND(F225,2)=0,"已结清",IF(F225&gt;0,"有欠款","预存款")))</f>
      </c>
      <c r="H225" s="195">
        <f>IF($B225="","",_xlfn.MAXIFS(资金台帐!$B$7:$B$3006,资金台帐!$J$7:$J$3006,$B225,资金台帐!$P$7:$P$3006,"应收"))</f>
      </c>
    </row>
    <row r="226">
      <c r="A226" s="194">
        <f>IF(B226="","",203)</f>
      </c>
      <c r="B226" s="141">
        <f>IF(总览汇总!B207="","",总览汇总!B207)</f>
      </c>
      <c r="C226" s="186">
        <f>IF($B226="","",N(总览汇总!K207)+SUMIFS(出库明细!$G$4:$G$3003,出库明细!$C$4:$C$3003,$B226,出库明细!$B$4:$B$3003,"&gt;="&amp;年初日,出库明细!$B$4:$B$3003,"&lt;"&amp;$B$21)-SUMIFS(资金台帐!$S$7:$S$3006,资金台帐!$J$7:$J$3006,$B226,资金台帐!$P$7:$P$3006,"应收",资金台帐!$B$7:$B$3006,"&gt;="&amp;年初日,资金台帐!$B$7:$B$3006,"&lt;"&amp;$B$21))</f>
      </c>
      <c r="D226" s="186">
        <f>IF($B226="","",SUMIFS(出库明细!$G$4:$G$3003,出库明细!$C$4:$C$3003,$B226,出库明细!$B$4:$B$3003,"&gt;="&amp;$B$21,出库明细!$B$4:$B$3003,"&lt;="&amp;$D$21))</f>
      </c>
      <c r="E226" s="186">
        <f>IF($B226="","",SUMIFS(资金台帐!$S$7:$S$3006,资金台帐!$J$7:$J$3006,$B226,资金台帐!$P$7:$P$3006,"应收",资金台帐!$B$7:$B$3006,"&gt;="&amp;$B$21,资金台帐!$B$7:$B$3006,"&lt;="&amp;$D$21))</f>
      </c>
      <c r="F226" s="187">
        <f>IF($B226="","",C226+D226-E226)</f>
      </c>
      <c r="G226" s="141">
        <f>IF($B226="","",IF(ROUND(F226,2)=0,"已结清",IF(F226&gt;0,"有欠款","预存款")))</f>
      </c>
      <c r="H226" s="195">
        <f>IF($B226="","",_xlfn.MAXIFS(资金台帐!$B$7:$B$3006,资金台帐!$J$7:$J$3006,$B226,资金台帐!$P$7:$P$3006,"应收"))</f>
      </c>
    </row>
    <row r="227">
      <c r="A227" s="194">
        <f>IF(B227="","",204)</f>
      </c>
      <c r="B227" s="141">
        <f>IF(总览汇总!B208="","",总览汇总!B208)</f>
      </c>
      <c r="C227" s="186">
        <f>IF($B227="","",N(总览汇总!K208)+SUMIFS(出库明细!$G$4:$G$3003,出库明细!$C$4:$C$3003,$B227,出库明细!$B$4:$B$3003,"&gt;="&amp;年初日,出库明细!$B$4:$B$3003,"&lt;"&amp;$B$21)-SUMIFS(资金台帐!$S$7:$S$3006,资金台帐!$J$7:$J$3006,$B227,资金台帐!$P$7:$P$3006,"应收",资金台帐!$B$7:$B$3006,"&gt;="&amp;年初日,资金台帐!$B$7:$B$3006,"&lt;"&amp;$B$21))</f>
      </c>
      <c r="D227" s="186">
        <f>IF($B227="","",SUMIFS(出库明细!$G$4:$G$3003,出库明细!$C$4:$C$3003,$B227,出库明细!$B$4:$B$3003,"&gt;="&amp;$B$21,出库明细!$B$4:$B$3003,"&lt;="&amp;$D$21))</f>
      </c>
      <c r="E227" s="186">
        <f>IF($B227="","",SUMIFS(资金台帐!$S$7:$S$3006,资金台帐!$J$7:$J$3006,$B227,资金台帐!$P$7:$P$3006,"应收",资金台帐!$B$7:$B$3006,"&gt;="&amp;$B$21,资金台帐!$B$7:$B$3006,"&lt;="&amp;$D$21))</f>
      </c>
      <c r="F227" s="187">
        <f>IF($B227="","",C227+D227-E227)</f>
      </c>
      <c r="G227" s="141">
        <f>IF($B227="","",IF(ROUND(F227,2)=0,"已结清",IF(F227&gt;0,"有欠款","预存款")))</f>
      </c>
      <c r="H227" s="195">
        <f>IF($B227="","",_xlfn.MAXIFS(资金台帐!$B$7:$B$3006,资金台帐!$J$7:$J$3006,$B227,资金台帐!$P$7:$P$3006,"应收"))</f>
      </c>
    </row>
    <row r="228">
      <c r="A228" s="194">
        <f>IF(B228="","",205)</f>
      </c>
      <c r="B228" s="141">
        <f>IF(总览汇总!B209="","",总览汇总!B209)</f>
      </c>
      <c r="C228" s="186">
        <f>IF($B228="","",N(总览汇总!K209)+SUMIFS(出库明细!$G$4:$G$3003,出库明细!$C$4:$C$3003,$B228,出库明细!$B$4:$B$3003,"&gt;="&amp;年初日,出库明细!$B$4:$B$3003,"&lt;"&amp;$B$21)-SUMIFS(资金台帐!$S$7:$S$3006,资金台帐!$J$7:$J$3006,$B228,资金台帐!$P$7:$P$3006,"应收",资金台帐!$B$7:$B$3006,"&gt;="&amp;年初日,资金台帐!$B$7:$B$3006,"&lt;"&amp;$B$21))</f>
      </c>
      <c r="D228" s="186">
        <f>IF($B228="","",SUMIFS(出库明细!$G$4:$G$3003,出库明细!$C$4:$C$3003,$B228,出库明细!$B$4:$B$3003,"&gt;="&amp;$B$21,出库明细!$B$4:$B$3003,"&lt;="&amp;$D$21))</f>
      </c>
      <c r="E228" s="186">
        <f>IF($B228="","",SUMIFS(资金台帐!$S$7:$S$3006,资金台帐!$J$7:$J$3006,$B228,资金台帐!$P$7:$P$3006,"应收",资金台帐!$B$7:$B$3006,"&gt;="&amp;$B$21,资金台帐!$B$7:$B$3006,"&lt;="&amp;$D$21))</f>
      </c>
      <c r="F228" s="187">
        <f>IF($B228="","",C228+D228-E228)</f>
      </c>
      <c r="G228" s="141">
        <f>IF($B228="","",IF(ROUND(F228,2)=0,"已结清",IF(F228&gt;0,"有欠款","预存款")))</f>
      </c>
      <c r="H228" s="195">
        <f>IF($B228="","",_xlfn.MAXIFS(资金台帐!$B$7:$B$3006,资金台帐!$J$7:$J$3006,$B228,资金台帐!$P$7:$P$3006,"应收"))</f>
      </c>
    </row>
    <row r="229">
      <c r="A229" s="194">
        <f>IF(B229="","",206)</f>
      </c>
      <c r="B229" s="141">
        <f>IF(总览汇总!B210="","",总览汇总!B210)</f>
      </c>
      <c r="C229" s="186">
        <f>IF($B229="","",N(总览汇总!K210)+SUMIFS(出库明细!$G$4:$G$3003,出库明细!$C$4:$C$3003,$B229,出库明细!$B$4:$B$3003,"&gt;="&amp;年初日,出库明细!$B$4:$B$3003,"&lt;"&amp;$B$21)-SUMIFS(资金台帐!$S$7:$S$3006,资金台帐!$J$7:$J$3006,$B229,资金台帐!$P$7:$P$3006,"应收",资金台帐!$B$7:$B$3006,"&gt;="&amp;年初日,资金台帐!$B$7:$B$3006,"&lt;"&amp;$B$21))</f>
      </c>
      <c r="D229" s="186">
        <f>IF($B229="","",SUMIFS(出库明细!$G$4:$G$3003,出库明细!$C$4:$C$3003,$B229,出库明细!$B$4:$B$3003,"&gt;="&amp;$B$21,出库明细!$B$4:$B$3003,"&lt;="&amp;$D$21))</f>
      </c>
      <c r="E229" s="186">
        <f>IF($B229="","",SUMIFS(资金台帐!$S$7:$S$3006,资金台帐!$J$7:$J$3006,$B229,资金台帐!$P$7:$P$3006,"应收",资金台帐!$B$7:$B$3006,"&gt;="&amp;$B$21,资金台帐!$B$7:$B$3006,"&lt;="&amp;$D$21))</f>
      </c>
      <c r="F229" s="187">
        <f>IF($B229="","",C229+D229-E229)</f>
      </c>
      <c r="G229" s="141">
        <f>IF($B229="","",IF(ROUND(F229,2)=0,"已结清",IF(F229&gt;0,"有欠款","预存款")))</f>
      </c>
      <c r="H229" s="195">
        <f>IF($B229="","",_xlfn.MAXIFS(资金台帐!$B$7:$B$3006,资金台帐!$J$7:$J$3006,$B229,资金台帐!$P$7:$P$3006,"应收"))</f>
      </c>
    </row>
    <row r="230">
      <c r="A230" s="194">
        <f>IF(B230="","",207)</f>
      </c>
      <c r="B230" s="141">
        <f>IF(总览汇总!B211="","",总览汇总!B211)</f>
      </c>
      <c r="C230" s="186">
        <f>IF($B230="","",N(总览汇总!K211)+SUMIFS(出库明细!$G$4:$G$3003,出库明细!$C$4:$C$3003,$B230,出库明细!$B$4:$B$3003,"&gt;="&amp;年初日,出库明细!$B$4:$B$3003,"&lt;"&amp;$B$21)-SUMIFS(资金台帐!$S$7:$S$3006,资金台帐!$J$7:$J$3006,$B230,资金台帐!$P$7:$P$3006,"应收",资金台帐!$B$7:$B$3006,"&gt;="&amp;年初日,资金台帐!$B$7:$B$3006,"&lt;"&amp;$B$21))</f>
      </c>
      <c r="D230" s="186">
        <f>IF($B230="","",SUMIFS(出库明细!$G$4:$G$3003,出库明细!$C$4:$C$3003,$B230,出库明细!$B$4:$B$3003,"&gt;="&amp;$B$21,出库明细!$B$4:$B$3003,"&lt;="&amp;$D$21))</f>
      </c>
      <c r="E230" s="186">
        <f>IF($B230="","",SUMIFS(资金台帐!$S$7:$S$3006,资金台帐!$J$7:$J$3006,$B230,资金台帐!$P$7:$P$3006,"应收",资金台帐!$B$7:$B$3006,"&gt;="&amp;$B$21,资金台帐!$B$7:$B$3006,"&lt;="&amp;$D$21))</f>
      </c>
      <c r="F230" s="187">
        <f>IF($B230="","",C230+D230-E230)</f>
      </c>
      <c r="G230" s="141">
        <f>IF($B230="","",IF(ROUND(F230,2)=0,"已结清",IF(F230&gt;0,"有欠款","预存款")))</f>
      </c>
      <c r="H230" s="195">
        <f>IF($B230="","",_xlfn.MAXIFS(资金台帐!$B$7:$B$3006,资金台帐!$J$7:$J$3006,$B230,资金台帐!$P$7:$P$3006,"应收"))</f>
      </c>
    </row>
    <row r="231">
      <c r="A231" s="194">
        <f>IF(B231="","",208)</f>
      </c>
      <c r="B231" s="141">
        <f>IF(总览汇总!B212="","",总览汇总!B212)</f>
      </c>
      <c r="C231" s="186">
        <f>IF($B231="","",N(总览汇总!K212)+SUMIFS(出库明细!$G$4:$G$3003,出库明细!$C$4:$C$3003,$B231,出库明细!$B$4:$B$3003,"&gt;="&amp;年初日,出库明细!$B$4:$B$3003,"&lt;"&amp;$B$21)-SUMIFS(资金台帐!$S$7:$S$3006,资金台帐!$J$7:$J$3006,$B231,资金台帐!$P$7:$P$3006,"应收",资金台帐!$B$7:$B$3006,"&gt;="&amp;年初日,资金台帐!$B$7:$B$3006,"&lt;"&amp;$B$21))</f>
      </c>
      <c r="D231" s="186">
        <f>IF($B231="","",SUMIFS(出库明细!$G$4:$G$3003,出库明细!$C$4:$C$3003,$B231,出库明细!$B$4:$B$3003,"&gt;="&amp;$B$21,出库明细!$B$4:$B$3003,"&lt;="&amp;$D$21))</f>
      </c>
      <c r="E231" s="186">
        <f>IF($B231="","",SUMIFS(资金台帐!$S$7:$S$3006,资金台帐!$J$7:$J$3006,$B231,资金台帐!$P$7:$P$3006,"应收",资金台帐!$B$7:$B$3006,"&gt;="&amp;$B$21,资金台帐!$B$7:$B$3006,"&lt;="&amp;$D$21))</f>
      </c>
      <c r="F231" s="187">
        <f>IF($B231="","",C231+D231-E231)</f>
      </c>
      <c r="G231" s="141">
        <f>IF($B231="","",IF(ROUND(F231,2)=0,"已结清",IF(F231&gt;0,"有欠款","预存款")))</f>
      </c>
      <c r="H231" s="195">
        <f>IF($B231="","",_xlfn.MAXIFS(资金台帐!$B$7:$B$3006,资金台帐!$J$7:$J$3006,$B231,资金台帐!$P$7:$P$3006,"应收"))</f>
      </c>
    </row>
    <row r="232">
      <c r="A232" s="194">
        <f>IF(B232="","",209)</f>
      </c>
      <c r="B232" s="141">
        <f>IF(总览汇总!B213="","",总览汇总!B213)</f>
      </c>
      <c r="C232" s="186">
        <f>IF($B232="","",N(总览汇总!K213)+SUMIFS(出库明细!$G$4:$G$3003,出库明细!$C$4:$C$3003,$B232,出库明细!$B$4:$B$3003,"&gt;="&amp;年初日,出库明细!$B$4:$B$3003,"&lt;"&amp;$B$21)-SUMIFS(资金台帐!$S$7:$S$3006,资金台帐!$J$7:$J$3006,$B232,资金台帐!$P$7:$P$3006,"应收",资金台帐!$B$7:$B$3006,"&gt;="&amp;年初日,资金台帐!$B$7:$B$3006,"&lt;"&amp;$B$21))</f>
      </c>
      <c r="D232" s="186">
        <f>IF($B232="","",SUMIFS(出库明细!$G$4:$G$3003,出库明细!$C$4:$C$3003,$B232,出库明细!$B$4:$B$3003,"&gt;="&amp;$B$21,出库明细!$B$4:$B$3003,"&lt;="&amp;$D$21))</f>
      </c>
      <c r="E232" s="186">
        <f>IF($B232="","",SUMIFS(资金台帐!$S$7:$S$3006,资金台帐!$J$7:$J$3006,$B232,资金台帐!$P$7:$P$3006,"应收",资金台帐!$B$7:$B$3006,"&gt;="&amp;$B$21,资金台帐!$B$7:$B$3006,"&lt;="&amp;$D$21))</f>
      </c>
      <c r="F232" s="187">
        <f>IF($B232="","",C232+D232-E232)</f>
      </c>
      <c r="G232" s="141">
        <f>IF($B232="","",IF(ROUND(F232,2)=0,"已结清",IF(F232&gt;0,"有欠款","预存款")))</f>
      </c>
      <c r="H232" s="195">
        <f>IF($B232="","",_xlfn.MAXIFS(资金台帐!$B$7:$B$3006,资金台帐!$J$7:$J$3006,$B232,资金台帐!$P$7:$P$3006,"应收"))</f>
      </c>
    </row>
    <row r="233">
      <c r="A233" s="194">
        <f>IF(B233="","",210)</f>
      </c>
      <c r="B233" s="141">
        <f>IF(总览汇总!B214="","",总览汇总!B214)</f>
      </c>
      <c r="C233" s="186">
        <f>IF($B233="","",N(总览汇总!K214)+SUMIFS(出库明细!$G$4:$G$3003,出库明细!$C$4:$C$3003,$B233,出库明细!$B$4:$B$3003,"&gt;="&amp;年初日,出库明细!$B$4:$B$3003,"&lt;"&amp;$B$21)-SUMIFS(资金台帐!$S$7:$S$3006,资金台帐!$J$7:$J$3006,$B233,资金台帐!$P$7:$P$3006,"应收",资金台帐!$B$7:$B$3006,"&gt;="&amp;年初日,资金台帐!$B$7:$B$3006,"&lt;"&amp;$B$21))</f>
      </c>
      <c r="D233" s="186">
        <f>IF($B233="","",SUMIFS(出库明细!$G$4:$G$3003,出库明细!$C$4:$C$3003,$B233,出库明细!$B$4:$B$3003,"&gt;="&amp;$B$21,出库明细!$B$4:$B$3003,"&lt;="&amp;$D$21))</f>
      </c>
      <c r="E233" s="186">
        <f>IF($B233="","",SUMIFS(资金台帐!$S$7:$S$3006,资金台帐!$J$7:$J$3006,$B233,资金台帐!$P$7:$P$3006,"应收",资金台帐!$B$7:$B$3006,"&gt;="&amp;$B$21,资金台帐!$B$7:$B$3006,"&lt;="&amp;$D$21))</f>
      </c>
      <c r="F233" s="187">
        <f>IF($B233="","",C233+D233-E233)</f>
      </c>
      <c r="G233" s="141">
        <f>IF($B233="","",IF(ROUND(F233,2)=0,"已结清",IF(F233&gt;0,"有欠款","预存款")))</f>
      </c>
      <c r="H233" s="195">
        <f>IF($B233="","",_xlfn.MAXIFS(资金台帐!$B$7:$B$3006,资金台帐!$J$7:$J$3006,$B233,资金台帐!$P$7:$P$3006,"应收"))</f>
      </c>
    </row>
    <row r="234">
      <c r="A234" s="194">
        <f>IF(B234="","",211)</f>
      </c>
      <c r="B234" s="141">
        <f>IF(总览汇总!B215="","",总览汇总!B215)</f>
      </c>
      <c r="C234" s="186">
        <f>IF($B234="","",N(总览汇总!K215)+SUMIFS(出库明细!$G$4:$G$3003,出库明细!$C$4:$C$3003,$B234,出库明细!$B$4:$B$3003,"&gt;="&amp;年初日,出库明细!$B$4:$B$3003,"&lt;"&amp;$B$21)-SUMIFS(资金台帐!$S$7:$S$3006,资金台帐!$J$7:$J$3006,$B234,资金台帐!$P$7:$P$3006,"应收",资金台帐!$B$7:$B$3006,"&gt;="&amp;年初日,资金台帐!$B$7:$B$3006,"&lt;"&amp;$B$21))</f>
      </c>
      <c r="D234" s="186">
        <f>IF($B234="","",SUMIFS(出库明细!$G$4:$G$3003,出库明细!$C$4:$C$3003,$B234,出库明细!$B$4:$B$3003,"&gt;="&amp;$B$21,出库明细!$B$4:$B$3003,"&lt;="&amp;$D$21))</f>
      </c>
      <c r="E234" s="186">
        <f>IF($B234="","",SUMIFS(资金台帐!$S$7:$S$3006,资金台帐!$J$7:$J$3006,$B234,资金台帐!$P$7:$P$3006,"应收",资金台帐!$B$7:$B$3006,"&gt;="&amp;$B$21,资金台帐!$B$7:$B$3006,"&lt;="&amp;$D$21))</f>
      </c>
      <c r="F234" s="187">
        <f>IF($B234="","",C234+D234-E234)</f>
      </c>
      <c r="G234" s="141">
        <f>IF($B234="","",IF(ROUND(F234,2)=0,"已结清",IF(F234&gt;0,"有欠款","预存款")))</f>
      </c>
      <c r="H234" s="195">
        <f>IF($B234="","",_xlfn.MAXIFS(资金台帐!$B$7:$B$3006,资金台帐!$J$7:$J$3006,$B234,资金台帐!$P$7:$P$3006,"应收"))</f>
      </c>
    </row>
    <row r="235">
      <c r="A235" s="194">
        <f>IF(B235="","",212)</f>
      </c>
      <c r="B235" s="141">
        <f>IF(总览汇总!B216="","",总览汇总!B216)</f>
      </c>
      <c r="C235" s="186">
        <f>IF($B235="","",N(总览汇总!K216)+SUMIFS(出库明细!$G$4:$G$3003,出库明细!$C$4:$C$3003,$B235,出库明细!$B$4:$B$3003,"&gt;="&amp;年初日,出库明细!$B$4:$B$3003,"&lt;"&amp;$B$21)-SUMIFS(资金台帐!$S$7:$S$3006,资金台帐!$J$7:$J$3006,$B235,资金台帐!$P$7:$P$3006,"应收",资金台帐!$B$7:$B$3006,"&gt;="&amp;年初日,资金台帐!$B$7:$B$3006,"&lt;"&amp;$B$21))</f>
      </c>
      <c r="D235" s="186">
        <f>IF($B235="","",SUMIFS(出库明细!$G$4:$G$3003,出库明细!$C$4:$C$3003,$B235,出库明细!$B$4:$B$3003,"&gt;="&amp;$B$21,出库明细!$B$4:$B$3003,"&lt;="&amp;$D$21))</f>
      </c>
      <c r="E235" s="186">
        <f>IF($B235="","",SUMIFS(资金台帐!$S$7:$S$3006,资金台帐!$J$7:$J$3006,$B235,资金台帐!$P$7:$P$3006,"应收",资金台帐!$B$7:$B$3006,"&gt;="&amp;$B$21,资金台帐!$B$7:$B$3006,"&lt;="&amp;$D$21))</f>
      </c>
      <c r="F235" s="187">
        <f>IF($B235="","",C235+D235-E235)</f>
      </c>
      <c r="G235" s="141">
        <f>IF($B235="","",IF(ROUND(F235,2)=0,"已结清",IF(F235&gt;0,"有欠款","预存款")))</f>
      </c>
      <c r="H235" s="195">
        <f>IF($B235="","",_xlfn.MAXIFS(资金台帐!$B$7:$B$3006,资金台帐!$J$7:$J$3006,$B235,资金台帐!$P$7:$P$3006,"应收"))</f>
      </c>
    </row>
    <row r="236">
      <c r="A236" s="194">
        <f>IF(B236="","",213)</f>
      </c>
      <c r="B236" s="141">
        <f>IF(总览汇总!B217="","",总览汇总!B217)</f>
      </c>
      <c r="C236" s="186">
        <f>IF($B236="","",N(总览汇总!K217)+SUMIFS(出库明细!$G$4:$G$3003,出库明细!$C$4:$C$3003,$B236,出库明细!$B$4:$B$3003,"&gt;="&amp;年初日,出库明细!$B$4:$B$3003,"&lt;"&amp;$B$21)-SUMIFS(资金台帐!$S$7:$S$3006,资金台帐!$J$7:$J$3006,$B236,资金台帐!$P$7:$P$3006,"应收",资金台帐!$B$7:$B$3006,"&gt;="&amp;年初日,资金台帐!$B$7:$B$3006,"&lt;"&amp;$B$21))</f>
      </c>
      <c r="D236" s="186">
        <f>IF($B236="","",SUMIFS(出库明细!$G$4:$G$3003,出库明细!$C$4:$C$3003,$B236,出库明细!$B$4:$B$3003,"&gt;="&amp;$B$21,出库明细!$B$4:$B$3003,"&lt;="&amp;$D$21))</f>
      </c>
      <c r="E236" s="186">
        <f>IF($B236="","",SUMIFS(资金台帐!$S$7:$S$3006,资金台帐!$J$7:$J$3006,$B236,资金台帐!$P$7:$P$3006,"应收",资金台帐!$B$7:$B$3006,"&gt;="&amp;$B$21,资金台帐!$B$7:$B$3006,"&lt;="&amp;$D$21))</f>
      </c>
      <c r="F236" s="187">
        <f>IF($B236="","",C236+D236-E236)</f>
      </c>
      <c r="G236" s="141">
        <f>IF($B236="","",IF(ROUND(F236,2)=0,"已结清",IF(F236&gt;0,"有欠款","预存款")))</f>
      </c>
      <c r="H236" s="195">
        <f>IF($B236="","",_xlfn.MAXIFS(资金台帐!$B$7:$B$3006,资金台帐!$J$7:$J$3006,$B236,资金台帐!$P$7:$P$3006,"应收"))</f>
      </c>
    </row>
    <row r="237">
      <c r="A237" s="194">
        <f>IF(B237="","",214)</f>
      </c>
      <c r="B237" s="141">
        <f>IF(总览汇总!B218="","",总览汇总!B218)</f>
      </c>
      <c r="C237" s="186">
        <f>IF($B237="","",N(总览汇总!K218)+SUMIFS(出库明细!$G$4:$G$3003,出库明细!$C$4:$C$3003,$B237,出库明细!$B$4:$B$3003,"&gt;="&amp;年初日,出库明细!$B$4:$B$3003,"&lt;"&amp;$B$21)-SUMIFS(资金台帐!$S$7:$S$3006,资金台帐!$J$7:$J$3006,$B237,资金台帐!$P$7:$P$3006,"应收",资金台帐!$B$7:$B$3006,"&gt;="&amp;年初日,资金台帐!$B$7:$B$3006,"&lt;"&amp;$B$21))</f>
      </c>
      <c r="D237" s="186">
        <f>IF($B237="","",SUMIFS(出库明细!$G$4:$G$3003,出库明细!$C$4:$C$3003,$B237,出库明细!$B$4:$B$3003,"&gt;="&amp;$B$21,出库明细!$B$4:$B$3003,"&lt;="&amp;$D$21))</f>
      </c>
      <c r="E237" s="186">
        <f>IF($B237="","",SUMIFS(资金台帐!$S$7:$S$3006,资金台帐!$J$7:$J$3006,$B237,资金台帐!$P$7:$P$3006,"应收",资金台帐!$B$7:$B$3006,"&gt;="&amp;$B$21,资金台帐!$B$7:$B$3006,"&lt;="&amp;$D$21))</f>
      </c>
      <c r="F237" s="187">
        <f>IF($B237="","",C237+D237-E237)</f>
      </c>
      <c r="G237" s="141">
        <f>IF($B237="","",IF(ROUND(F237,2)=0,"已结清",IF(F237&gt;0,"有欠款","预存款")))</f>
      </c>
      <c r="H237" s="195">
        <f>IF($B237="","",_xlfn.MAXIFS(资金台帐!$B$7:$B$3006,资金台帐!$J$7:$J$3006,$B237,资金台帐!$P$7:$P$3006,"应收"))</f>
      </c>
    </row>
    <row r="238">
      <c r="A238" s="194">
        <f>IF(B238="","",215)</f>
      </c>
      <c r="B238" s="141">
        <f>IF(总览汇总!B219="","",总览汇总!B219)</f>
      </c>
      <c r="C238" s="186">
        <f>IF($B238="","",N(总览汇总!K219)+SUMIFS(出库明细!$G$4:$G$3003,出库明细!$C$4:$C$3003,$B238,出库明细!$B$4:$B$3003,"&gt;="&amp;年初日,出库明细!$B$4:$B$3003,"&lt;"&amp;$B$21)-SUMIFS(资金台帐!$S$7:$S$3006,资金台帐!$J$7:$J$3006,$B238,资金台帐!$P$7:$P$3006,"应收",资金台帐!$B$7:$B$3006,"&gt;="&amp;年初日,资金台帐!$B$7:$B$3006,"&lt;"&amp;$B$21))</f>
      </c>
      <c r="D238" s="186">
        <f>IF($B238="","",SUMIFS(出库明细!$G$4:$G$3003,出库明细!$C$4:$C$3003,$B238,出库明细!$B$4:$B$3003,"&gt;="&amp;$B$21,出库明细!$B$4:$B$3003,"&lt;="&amp;$D$21))</f>
      </c>
      <c r="E238" s="186">
        <f>IF($B238="","",SUMIFS(资金台帐!$S$7:$S$3006,资金台帐!$J$7:$J$3006,$B238,资金台帐!$P$7:$P$3006,"应收",资金台帐!$B$7:$B$3006,"&gt;="&amp;$B$21,资金台帐!$B$7:$B$3006,"&lt;="&amp;$D$21))</f>
      </c>
      <c r="F238" s="187">
        <f>IF($B238="","",C238+D238-E238)</f>
      </c>
      <c r="G238" s="141">
        <f>IF($B238="","",IF(ROUND(F238,2)=0,"已结清",IF(F238&gt;0,"有欠款","预存款")))</f>
      </c>
      <c r="H238" s="195">
        <f>IF($B238="","",_xlfn.MAXIFS(资金台帐!$B$7:$B$3006,资金台帐!$J$7:$J$3006,$B238,资金台帐!$P$7:$P$3006,"应收"))</f>
      </c>
    </row>
    <row r="239">
      <c r="A239" s="194">
        <f>IF(B239="","",216)</f>
      </c>
      <c r="B239" s="141">
        <f>IF(总览汇总!B220="","",总览汇总!B220)</f>
      </c>
      <c r="C239" s="186">
        <f>IF($B239="","",N(总览汇总!K220)+SUMIFS(出库明细!$G$4:$G$3003,出库明细!$C$4:$C$3003,$B239,出库明细!$B$4:$B$3003,"&gt;="&amp;年初日,出库明细!$B$4:$B$3003,"&lt;"&amp;$B$21)-SUMIFS(资金台帐!$S$7:$S$3006,资金台帐!$J$7:$J$3006,$B239,资金台帐!$P$7:$P$3006,"应收",资金台帐!$B$7:$B$3006,"&gt;="&amp;年初日,资金台帐!$B$7:$B$3006,"&lt;"&amp;$B$21))</f>
      </c>
      <c r="D239" s="186">
        <f>IF($B239="","",SUMIFS(出库明细!$G$4:$G$3003,出库明细!$C$4:$C$3003,$B239,出库明细!$B$4:$B$3003,"&gt;="&amp;$B$21,出库明细!$B$4:$B$3003,"&lt;="&amp;$D$21))</f>
      </c>
      <c r="E239" s="186">
        <f>IF($B239="","",SUMIFS(资金台帐!$S$7:$S$3006,资金台帐!$J$7:$J$3006,$B239,资金台帐!$P$7:$P$3006,"应收",资金台帐!$B$7:$B$3006,"&gt;="&amp;$B$21,资金台帐!$B$7:$B$3006,"&lt;="&amp;$D$21))</f>
      </c>
      <c r="F239" s="187">
        <f>IF($B239="","",C239+D239-E239)</f>
      </c>
      <c r="G239" s="141">
        <f>IF($B239="","",IF(ROUND(F239,2)=0,"已结清",IF(F239&gt;0,"有欠款","预存款")))</f>
      </c>
      <c r="H239" s="195">
        <f>IF($B239="","",_xlfn.MAXIFS(资金台帐!$B$7:$B$3006,资金台帐!$J$7:$J$3006,$B239,资金台帐!$P$7:$P$3006,"应收"))</f>
      </c>
    </row>
    <row r="240">
      <c r="A240" s="194">
        <f>IF(B240="","",217)</f>
      </c>
      <c r="B240" s="141">
        <f>IF(总览汇总!B221="","",总览汇总!B221)</f>
      </c>
      <c r="C240" s="186">
        <f>IF($B240="","",N(总览汇总!K221)+SUMIFS(出库明细!$G$4:$G$3003,出库明细!$C$4:$C$3003,$B240,出库明细!$B$4:$B$3003,"&gt;="&amp;年初日,出库明细!$B$4:$B$3003,"&lt;"&amp;$B$21)-SUMIFS(资金台帐!$S$7:$S$3006,资金台帐!$J$7:$J$3006,$B240,资金台帐!$P$7:$P$3006,"应收",资金台帐!$B$7:$B$3006,"&gt;="&amp;年初日,资金台帐!$B$7:$B$3006,"&lt;"&amp;$B$21))</f>
      </c>
      <c r="D240" s="186">
        <f>IF($B240="","",SUMIFS(出库明细!$G$4:$G$3003,出库明细!$C$4:$C$3003,$B240,出库明细!$B$4:$B$3003,"&gt;="&amp;$B$21,出库明细!$B$4:$B$3003,"&lt;="&amp;$D$21))</f>
      </c>
      <c r="E240" s="186">
        <f>IF($B240="","",SUMIFS(资金台帐!$S$7:$S$3006,资金台帐!$J$7:$J$3006,$B240,资金台帐!$P$7:$P$3006,"应收",资金台帐!$B$7:$B$3006,"&gt;="&amp;$B$21,资金台帐!$B$7:$B$3006,"&lt;="&amp;$D$21))</f>
      </c>
      <c r="F240" s="187">
        <f>IF($B240="","",C240+D240-E240)</f>
      </c>
      <c r="G240" s="141">
        <f>IF($B240="","",IF(ROUND(F240,2)=0,"已结清",IF(F240&gt;0,"有欠款","预存款")))</f>
      </c>
      <c r="H240" s="195">
        <f>IF($B240="","",_xlfn.MAXIFS(资金台帐!$B$7:$B$3006,资金台帐!$J$7:$J$3006,$B240,资金台帐!$P$7:$P$3006,"应收"))</f>
      </c>
    </row>
    <row r="241">
      <c r="A241" s="194">
        <f>IF(B241="","",218)</f>
      </c>
      <c r="B241" s="141">
        <f>IF(总览汇总!B222="","",总览汇总!B222)</f>
      </c>
      <c r="C241" s="186">
        <f>IF($B241="","",N(总览汇总!K222)+SUMIFS(出库明细!$G$4:$G$3003,出库明细!$C$4:$C$3003,$B241,出库明细!$B$4:$B$3003,"&gt;="&amp;年初日,出库明细!$B$4:$B$3003,"&lt;"&amp;$B$21)-SUMIFS(资金台帐!$S$7:$S$3006,资金台帐!$J$7:$J$3006,$B241,资金台帐!$P$7:$P$3006,"应收",资金台帐!$B$7:$B$3006,"&gt;="&amp;年初日,资金台帐!$B$7:$B$3006,"&lt;"&amp;$B$21))</f>
      </c>
      <c r="D241" s="186">
        <f>IF($B241="","",SUMIFS(出库明细!$G$4:$G$3003,出库明细!$C$4:$C$3003,$B241,出库明细!$B$4:$B$3003,"&gt;="&amp;$B$21,出库明细!$B$4:$B$3003,"&lt;="&amp;$D$21))</f>
      </c>
      <c r="E241" s="186">
        <f>IF($B241="","",SUMIFS(资金台帐!$S$7:$S$3006,资金台帐!$J$7:$J$3006,$B241,资金台帐!$P$7:$P$3006,"应收",资金台帐!$B$7:$B$3006,"&gt;="&amp;$B$21,资金台帐!$B$7:$B$3006,"&lt;="&amp;$D$21))</f>
      </c>
      <c r="F241" s="187">
        <f>IF($B241="","",C241+D241-E241)</f>
      </c>
      <c r="G241" s="141">
        <f>IF($B241="","",IF(ROUND(F241,2)=0,"已结清",IF(F241&gt;0,"有欠款","预存款")))</f>
      </c>
      <c r="H241" s="195">
        <f>IF($B241="","",_xlfn.MAXIFS(资金台帐!$B$7:$B$3006,资金台帐!$J$7:$J$3006,$B241,资金台帐!$P$7:$P$3006,"应收"))</f>
      </c>
    </row>
    <row r="242">
      <c r="A242" s="194">
        <f>IF(B242="","",219)</f>
      </c>
      <c r="B242" s="141">
        <f>IF(总览汇总!B223="","",总览汇总!B223)</f>
      </c>
      <c r="C242" s="186">
        <f>IF($B242="","",N(总览汇总!K223)+SUMIFS(出库明细!$G$4:$G$3003,出库明细!$C$4:$C$3003,$B242,出库明细!$B$4:$B$3003,"&gt;="&amp;年初日,出库明细!$B$4:$B$3003,"&lt;"&amp;$B$21)-SUMIFS(资金台帐!$S$7:$S$3006,资金台帐!$J$7:$J$3006,$B242,资金台帐!$P$7:$P$3006,"应收",资金台帐!$B$7:$B$3006,"&gt;="&amp;年初日,资金台帐!$B$7:$B$3006,"&lt;"&amp;$B$21))</f>
      </c>
      <c r="D242" s="186">
        <f>IF($B242="","",SUMIFS(出库明细!$G$4:$G$3003,出库明细!$C$4:$C$3003,$B242,出库明细!$B$4:$B$3003,"&gt;="&amp;$B$21,出库明细!$B$4:$B$3003,"&lt;="&amp;$D$21))</f>
      </c>
      <c r="E242" s="186">
        <f>IF($B242="","",SUMIFS(资金台帐!$S$7:$S$3006,资金台帐!$J$7:$J$3006,$B242,资金台帐!$P$7:$P$3006,"应收",资金台帐!$B$7:$B$3006,"&gt;="&amp;$B$21,资金台帐!$B$7:$B$3006,"&lt;="&amp;$D$21))</f>
      </c>
      <c r="F242" s="187">
        <f>IF($B242="","",C242+D242-E242)</f>
      </c>
      <c r="G242" s="141">
        <f>IF($B242="","",IF(ROUND(F242,2)=0,"已结清",IF(F242&gt;0,"有欠款","预存款")))</f>
      </c>
      <c r="H242" s="195">
        <f>IF($B242="","",_xlfn.MAXIFS(资金台帐!$B$7:$B$3006,资金台帐!$J$7:$J$3006,$B242,资金台帐!$P$7:$P$3006,"应收"))</f>
      </c>
    </row>
    <row r="243">
      <c r="A243" s="194">
        <f>IF(B243="","",220)</f>
      </c>
      <c r="B243" s="141">
        <f>IF(总览汇总!B224="","",总览汇总!B224)</f>
      </c>
      <c r="C243" s="186">
        <f>IF($B243="","",N(总览汇总!K224)+SUMIFS(出库明细!$G$4:$G$3003,出库明细!$C$4:$C$3003,$B243,出库明细!$B$4:$B$3003,"&gt;="&amp;年初日,出库明细!$B$4:$B$3003,"&lt;"&amp;$B$21)-SUMIFS(资金台帐!$S$7:$S$3006,资金台帐!$J$7:$J$3006,$B243,资金台帐!$P$7:$P$3006,"应收",资金台帐!$B$7:$B$3006,"&gt;="&amp;年初日,资金台帐!$B$7:$B$3006,"&lt;"&amp;$B$21))</f>
      </c>
      <c r="D243" s="186">
        <f>IF($B243="","",SUMIFS(出库明细!$G$4:$G$3003,出库明细!$C$4:$C$3003,$B243,出库明细!$B$4:$B$3003,"&gt;="&amp;$B$21,出库明细!$B$4:$B$3003,"&lt;="&amp;$D$21))</f>
      </c>
      <c r="E243" s="186">
        <f>IF($B243="","",SUMIFS(资金台帐!$S$7:$S$3006,资金台帐!$J$7:$J$3006,$B243,资金台帐!$P$7:$P$3006,"应收",资金台帐!$B$7:$B$3006,"&gt;="&amp;$B$21,资金台帐!$B$7:$B$3006,"&lt;="&amp;$D$21))</f>
      </c>
      <c r="F243" s="187">
        <f>IF($B243="","",C243+D243-E243)</f>
      </c>
      <c r="G243" s="141">
        <f>IF($B243="","",IF(ROUND(F243,2)=0,"已结清",IF(F243&gt;0,"有欠款","预存款")))</f>
      </c>
      <c r="H243" s="195">
        <f>IF($B243="","",_xlfn.MAXIFS(资金台帐!$B$7:$B$3006,资金台帐!$J$7:$J$3006,$B243,资金台帐!$P$7:$P$3006,"应收"))</f>
      </c>
    </row>
    <row r="244">
      <c r="A244" s="194">
        <f>IF(B244="","",221)</f>
      </c>
      <c r="B244" s="141">
        <f>IF(总览汇总!B225="","",总览汇总!B225)</f>
      </c>
      <c r="C244" s="186">
        <f>IF($B244="","",N(总览汇总!K225)+SUMIFS(出库明细!$G$4:$G$3003,出库明细!$C$4:$C$3003,$B244,出库明细!$B$4:$B$3003,"&gt;="&amp;年初日,出库明细!$B$4:$B$3003,"&lt;"&amp;$B$21)-SUMIFS(资金台帐!$S$7:$S$3006,资金台帐!$J$7:$J$3006,$B244,资金台帐!$P$7:$P$3006,"应收",资金台帐!$B$7:$B$3006,"&gt;="&amp;年初日,资金台帐!$B$7:$B$3006,"&lt;"&amp;$B$21))</f>
      </c>
      <c r="D244" s="186">
        <f>IF($B244="","",SUMIFS(出库明细!$G$4:$G$3003,出库明细!$C$4:$C$3003,$B244,出库明细!$B$4:$B$3003,"&gt;="&amp;$B$21,出库明细!$B$4:$B$3003,"&lt;="&amp;$D$21))</f>
      </c>
      <c r="E244" s="186">
        <f>IF($B244="","",SUMIFS(资金台帐!$S$7:$S$3006,资金台帐!$J$7:$J$3006,$B244,资金台帐!$P$7:$P$3006,"应收",资金台帐!$B$7:$B$3006,"&gt;="&amp;$B$21,资金台帐!$B$7:$B$3006,"&lt;="&amp;$D$21))</f>
      </c>
      <c r="F244" s="187">
        <f>IF($B244="","",C244+D244-E244)</f>
      </c>
      <c r="G244" s="141">
        <f>IF($B244="","",IF(ROUND(F244,2)=0,"已结清",IF(F244&gt;0,"有欠款","预存款")))</f>
      </c>
      <c r="H244" s="195">
        <f>IF($B244="","",_xlfn.MAXIFS(资金台帐!$B$7:$B$3006,资金台帐!$J$7:$J$3006,$B244,资金台帐!$P$7:$P$3006,"应收"))</f>
      </c>
    </row>
    <row r="245">
      <c r="A245" s="194">
        <f>IF(B245="","",222)</f>
      </c>
      <c r="B245" s="141">
        <f>IF(总览汇总!B226="","",总览汇总!B226)</f>
      </c>
      <c r="C245" s="186">
        <f>IF($B245="","",N(总览汇总!K226)+SUMIFS(出库明细!$G$4:$G$3003,出库明细!$C$4:$C$3003,$B245,出库明细!$B$4:$B$3003,"&gt;="&amp;年初日,出库明细!$B$4:$B$3003,"&lt;"&amp;$B$21)-SUMIFS(资金台帐!$S$7:$S$3006,资金台帐!$J$7:$J$3006,$B245,资金台帐!$P$7:$P$3006,"应收",资金台帐!$B$7:$B$3006,"&gt;="&amp;年初日,资金台帐!$B$7:$B$3006,"&lt;"&amp;$B$21))</f>
      </c>
      <c r="D245" s="186">
        <f>IF($B245="","",SUMIFS(出库明细!$G$4:$G$3003,出库明细!$C$4:$C$3003,$B245,出库明细!$B$4:$B$3003,"&gt;="&amp;$B$21,出库明细!$B$4:$B$3003,"&lt;="&amp;$D$21))</f>
      </c>
      <c r="E245" s="186">
        <f>IF($B245="","",SUMIFS(资金台帐!$S$7:$S$3006,资金台帐!$J$7:$J$3006,$B245,资金台帐!$P$7:$P$3006,"应收",资金台帐!$B$7:$B$3006,"&gt;="&amp;$B$21,资金台帐!$B$7:$B$3006,"&lt;="&amp;$D$21))</f>
      </c>
      <c r="F245" s="187">
        <f>IF($B245="","",C245+D245-E245)</f>
      </c>
      <c r="G245" s="141">
        <f>IF($B245="","",IF(ROUND(F245,2)=0,"已结清",IF(F245&gt;0,"有欠款","预存款")))</f>
      </c>
      <c r="H245" s="195">
        <f>IF($B245="","",_xlfn.MAXIFS(资金台帐!$B$7:$B$3006,资金台帐!$J$7:$J$3006,$B245,资金台帐!$P$7:$P$3006,"应收"))</f>
      </c>
    </row>
    <row r="246">
      <c r="A246" s="194">
        <f>IF(B246="","",223)</f>
      </c>
      <c r="B246" s="141">
        <f>IF(总览汇总!B227="","",总览汇总!B227)</f>
      </c>
      <c r="C246" s="186">
        <f>IF($B246="","",N(总览汇总!K227)+SUMIFS(出库明细!$G$4:$G$3003,出库明细!$C$4:$C$3003,$B246,出库明细!$B$4:$B$3003,"&gt;="&amp;年初日,出库明细!$B$4:$B$3003,"&lt;"&amp;$B$21)-SUMIFS(资金台帐!$S$7:$S$3006,资金台帐!$J$7:$J$3006,$B246,资金台帐!$P$7:$P$3006,"应收",资金台帐!$B$7:$B$3006,"&gt;="&amp;年初日,资金台帐!$B$7:$B$3006,"&lt;"&amp;$B$21))</f>
      </c>
      <c r="D246" s="186">
        <f>IF($B246="","",SUMIFS(出库明细!$G$4:$G$3003,出库明细!$C$4:$C$3003,$B246,出库明细!$B$4:$B$3003,"&gt;="&amp;$B$21,出库明细!$B$4:$B$3003,"&lt;="&amp;$D$21))</f>
      </c>
      <c r="E246" s="186">
        <f>IF($B246="","",SUMIFS(资金台帐!$S$7:$S$3006,资金台帐!$J$7:$J$3006,$B246,资金台帐!$P$7:$P$3006,"应收",资金台帐!$B$7:$B$3006,"&gt;="&amp;$B$21,资金台帐!$B$7:$B$3006,"&lt;="&amp;$D$21))</f>
      </c>
      <c r="F246" s="187">
        <f>IF($B246="","",C246+D246-E246)</f>
      </c>
      <c r="G246" s="141">
        <f>IF($B246="","",IF(ROUND(F246,2)=0,"已结清",IF(F246&gt;0,"有欠款","预存款")))</f>
      </c>
      <c r="H246" s="195">
        <f>IF($B246="","",_xlfn.MAXIFS(资金台帐!$B$7:$B$3006,资金台帐!$J$7:$J$3006,$B246,资金台帐!$P$7:$P$3006,"应收"))</f>
      </c>
    </row>
    <row r="247">
      <c r="A247" s="194">
        <f>IF(B247="","",224)</f>
      </c>
      <c r="B247" s="141">
        <f>IF(总览汇总!B228="","",总览汇总!B228)</f>
      </c>
      <c r="C247" s="186">
        <f>IF($B247="","",N(总览汇总!K228)+SUMIFS(出库明细!$G$4:$G$3003,出库明细!$C$4:$C$3003,$B247,出库明细!$B$4:$B$3003,"&gt;="&amp;年初日,出库明细!$B$4:$B$3003,"&lt;"&amp;$B$21)-SUMIFS(资金台帐!$S$7:$S$3006,资金台帐!$J$7:$J$3006,$B247,资金台帐!$P$7:$P$3006,"应收",资金台帐!$B$7:$B$3006,"&gt;="&amp;年初日,资金台帐!$B$7:$B$3006,"&lt;"&amp;$B$21))</f>
      </c>
      <c r="D247" s="186">
        <f>IF($B247="","",SUMIFS(出库明细!$G$4:$G$3003,出库明细!$C$4:$C$3003,$B247,出库明细!$B$4:$B$3003,"&gt;="&amp;$B$21,出库明细!$B$4:$B$3003,"&lt;="&amp;$D$21))</f>
      </c>
      <c r="E247" s="186">
        <f>IF($B247="","",SUMIFS(资金台帐!$S$7:$S$3006,资金台帐!$J$7:$J$3006,$B247,资金台帐!$P$7:$P$3006,"应收",资金台帐!$B$7:$B$3006,"&gt;="&amp;$B$21,资金台帐!$B$7:$B$3006,"&lt;="&amp;$D$21))</f>
      </c>
      <c r="F247" s="187">
        <f>IF($B247="","",C247+D247-E247)</f>
      </c>
      <c r="G247" s="141">
        <f>IF($B247="","",IF(ROUND(F247,2)=0,"已结清",IF(F247&gt;0,"有欠款","预存款")))</f>
      </c>
      <c r="H247" s="195">
        <f>IF($B247="","",_xlfn.MAXIFS(资金台帐!$B$7:$B$3006,资金台帐!$J$7:$J$3006,$B247,资金台帐!$P$7:$P$3006,"应收"))</f>
      </c>
    </row>
    <row r="248">
      <c r="A248" s="194">
        <f>IF(B248="","",225)</f>
      </c>
      <c r="B248" s="141">
        <f>IF(总览汇总!B229="","",总览汇总!B229)</f>
      </c>
      <c r="C248" s="186">
        <f>IF($B248="","",N(总览汇总!K229)+SUMIFS(出库明细!$G$4:$G$3003,出库明细!$C$4:$C$3003,$B248,出库明细!$B$4:$B$3003,"&gt;="&amp;年初日,出库明细!$B$4:$B$3003,"&lt;"&amp;$B$21)-SUMIFS(资金台帐!$S$7:$S$3006,资金台帐!$J$7:$J$3006,$B248,资金台帐!$P$7:$P$3006,"应收",资金台帐!$B$7:$B$3006,"&gt;="&amp;年初日,资金台帐!$B$7:$B$3006,"&lt;"&amp;$B$21))</f>
      </c>
      <c r="D248" s="186">
        <f>IF($B248="","",SUMIFS(出库明细!$G$4:$G$3003,出库明细!$C$4:$C$3003,$B248,出库明细!$B$4:$B$3003,"&gt;="&amp;$B$21,出库明细!$B$4:$B$3003,"&lt;="&amp;$D$21))</f>
      </c>
      <c r="E248" s="186">
        <f>IF($B248="","",SUMIFS(资金台帐!$S$7:$S$3006,资金台帐!$J$7:$J$3006,$B248,资金台帐!$P$7:$P$3006,"应收",资金台帐!$B$7:$B$3006,"&gt;="&amp;$B$21,资金台帐!$B$7:$B$3006,"&lt;="&amp;$D$21))</f>
      </c>
      <c r="F248" s="187">
        <f>IF($B248="","",C248+D248-E248)</f>
      </c>
      <c r="G248" s="141">
        <f>IF($B248="","",IF(ROUND(F248,2)=0,"已结清",IF(F248&gt;0,"有欠款","预存款")))</f>
      </c>
      <c r="H248" s="195">
        <f>IF($B248="","",_xlfn.MAXIFS(资金台帐!$B$7:$B$3006,资金台帐!$J$7:$J$3006,$B248,资金台帐!$P$7:$P$3006,"应收"))</f>
      </c>
    </row>
    <row r="249">
      <c r="A249" s="194">
        <f>IF(B249="","",226)</f>
      </c>
      <c r="B249" s="141">
        <f>IF(总览汇总!B230="","",总览汇总!B230)</f>
      </c>
      <c r="C249" s="186">
        <f>IF($B249="","",N(总览汇总!K230)+SUMIFS(出库明细!$G$4:$G$3003,出库明细!$C$4:$C$3003,$B249,出库明细!$B$4:$B$3003,"&gt;="&amp;年初日,出库明细!$B$4:$B$3003,"&lt;"&amp;$B$21)-SUMIFS(资金台帐!$S$7:$S$3006,资金台帐!$J$7:$J$3006,$B249,资金台帐!$P$7:$P$3006,"应收",资金台帐!$B$7:$B$3006,"&gt;="&amp;年初日,资金台帐!$B$7:$B$3006,"&lt;"&amp;$B$21))</f>
      </c>
      <c r="D249" s="186">
        <f>IF($B249="","",SUMIFS(出库明细!$G$4:$G$3003,出库明细!$C$4:$C$3003,$B249,出库明细!$B$4:$B$3003,"&gt;="&amp;$B$21,出库明细!$B$4:$B$3003,"&lt;="&amp;$D$21))</f>
      </c>
      <c r="E249" s="186">
        <f>IF($B249="","",SUMIFS(资金台帐!$S$7:$S$3006,资金台帐!$J$7:$J$3006,$B249,资金台帐!$P$7:$P$3006,"应收",资金台帐!$B$7:$B$3006,"&gt;="&amp;$B$21,资金台帐!$B$7:$B$3006,"&lt;="&amp;$D$21))</f>
      </c>
      <c r="F249" s="187">
        <f>IF($B249="","",C249+D249-E249)</f>
      </c>
      <c r="G249" s="141">
        <f>IF($B249="","",IF(ROUND(F249,2)=0,"已结清",IF(F249&gt;0,"有欠款","预存款")))</f>
      </c>
      <c r="H249" s="195">
        <f>IF($B249="","",_xlfn.MAXIFS(资金台帐!$B$7:$B$3006,资金台帐!$J$7:$J$3006,$B249,资金台帐!$P$7:$P$3006,"应收"))</f>
      </c>
    </row>
    <row r="250">
      <c r="A250" s="194">
        <f>IF(B250="","",227)</f>
      </c>
      <c r="B250" s="141">
        <f>IF(总览汇总!B231="","",总览汇总!B231)</f>
      </c>
      <c r="C250" s="186">
        <f>IF($B250="","",N(总览汇总!K231)+SUMIFS(出库明细!$G$4:$G$3003,出库明细!$C$4:$C$3003,$B250,出库明细!$B$4:$B$3003,"&gt;="&amp;年初日,出库明细!$B$4:$B$3003,"&lt;"&amp;$B$21)-SUMIFS(资金台帐!$S$7:$S$3006,资金台帐!$J$7:$J$3006,$B250,资金台帐!$P$7:$P$3006,"应收",资金台帐!$B$7:$B$3006,"&gt;="&amp;年初日,资金台帐!$B$7:$B$3006,"&lt;"&amp;$B$21))</f>
      </c>
      <c r="D250" s="186">
        <f>IF($B250="","",SUMIFS(出库明细!$G$4:$G$3003,出库明细!$C$4:$C$3003,$B250,出库明细!$B$4:$B$3003,"&gt;="&amp;$B$21,出库明细!$B$4:$B$3003,"&lt;="&amp;$D$21))</f>
      </c>
      <c r="E250" s="186">
        <f>IF($B250="","",SUMIFS(资金台帐!$S$7:$S$3006,资金台帐!$J$7:$J$3006,$B250,资金台帐!$P$7:$P$3006,"应收",资金台帐!$B$7:$B$3006,"&gt;="&amp;$B$21,资金台帐!$B$7:$B$3006,"&lt;="&amp;$D$21))</f>
      </c>
      <c r="F250" s="187">
        <f>IF($B250="","",C250+D250-E250)</f>
      </c>
      <c r="G250" s="141">
        <f>IF($B250="","",IF(ROUND(F250,2)=0,"已结清",IF(F250&gt;0,"有欠款","预存款")))</f>
      </c>
      <c r="H250" s="195">
        <f>IF($B250="","",_xlfn.MAXIFS(资金台帐!$B$7:$B$3006,资金台帐!$J$7:$J$3006,$B250,资金台帐!$P$7:$P$3006,"应收"))</f>
      </c>
    </row>
    <row r="251">
      <c r="A251" s="194">
        <f>IF(B251="","",228)</f>
      </c>
      <c r="B251" s="141">
        <f>IF(总览汇总!B232="","",总览汇总!B232)</f>
      </c>
      <c r="C251" s="186">
        <f>IF($B251="","",N(总览汇总!K232)+SUMIFS(出库明细!$G$4:$G$3003,出库明细!$C$4:$C$3003,$B251,出库明细!$B$4:$B$3003,"&gt;="&amp;年初日,出库明细!$B$4:$B$3003,"&lt;"&amp;$B$21)-SUMIFS(资金台帐!$S$7:$S$3006,资金台帐!$J$7:$J$3006,$B251,资金台帐!$P$7:$P$3006,"应收",资金台帐!$B$7:$B$3006,"&gt;="&amp;年初日,资金台帐!$B$7:$B$3006,"&lt;"&amp;$B$21))</f>
      </c>
      <c r="D251" s="186">
        <f>IF($B251="","",SUMIFS(出库明细!$G$4:$G$3003,出库明细!$C$4:$C$3003,$B251,出库明细!$B$4:$B$3003,"&gt;="&amp;$B$21,出库明细!$B$4:$B$3003,"&lt;="&amp;$D$21))</f>
      </c>
      <c r="E251" s="186">
        <f>IF($B251="","",SUMIFS(资金台帐!$S$7:$S$3006,资金台帐!$J$7:$J$3006,$B251,资金台帐!$P$7:$P$3006,"应收",资金台帐!$B$7:$B$3006,"&gt;="&amp;$B$21,资金台帐!$B$7:$B$3006,"&lt;="&amp;$D$21))</f>
      </c>
      <c r="F251" s="187">
        <f>IF($B251="","",C251+D251-E251)</f>
      </c>
      <c r="G251" s="141">
        <f>IF($B251="","",IF(ROUND(F251,2)=0,"已结清",IF(F251&gt;0,"有欠款","预存款")))</f>
      </c>
      <c r="H251" s="195">
        <f>IF($B251="","",_xlfn.MAXIFS(资金台帐!$B$7:$B$3006,资金台帐!$J$7:$J$3006,$B251,资金台帐!$P$7:$P$3006,"应收"))</f>
      </c>
    </row>
    <row r="252">
      <c r="A252" s="194">
        <f>IF(B252="","",229)</f>
      </c>
      <c r="B252" s="141">
        <f>IF(总览汇总!B233="","",总览汇总!B233)</f>
      </c>
      <c r="C252" s="186">
        <f>IF($B252="","",N(总览汇总!K233)+SUMIFS(出库明细!$G$4:$G$3003,出库明细!$C$4:$C$3003,$B252,出库明细!$B$4:$B$3003,"&gt;="&amp;年初日,出库明细!$B$4:$B$3003,"&lt;"&amp;$B$21)-SUMIFS(资金台帐!$S$7:$S$3006,资金台帐!$J$7:$J$3006,$B252,资金台帐!$P$7:$P$3006,"应收",资金台帐!$B$7:$B$3006,"&gt;="&amp;年初日,资金台帐!$B$7:$B$3006,"&lt;"&amp;$B$21))</f>
      </c>
      <c r="D252" s="186">
        <f>IF($B252="","",SUMIFS(出库明细!$G$4:$G$3003,出库明细!$C$4:$C$3003,$B252,出库明细!$B$4:$B$3003,"&gt;="&amp;$B$21,出库明细!$B$4:$B$3003,"&lt;="&amp;$D$21))</f>
      </c>
      <c r="E252" s="186">
        <f>IF($B252="","",SUMIFS(资金台帐!$S$7:$S$3006,资金台帐!$J$7:$J$3006,$B252,资金台帐!$P$7:$P$3006,"应收",资金台帐!$B$7:$B$3006,"&gt;="&amp;$B$21,资金台帐!$B$7:$B$3006,"&lt;="&amp;$D$21))</f>
      </c>
      <c r="F252" s="187">
        <f>IF($B252="","",C252+D252-E252)</f>
      </c>
      <c r="G252" s="141">
        <f>IF($B252="","",IF(ROUND(F252,2)=0,"已结清",IF(F252&gt;0,"有欠款","预存款")))</f>
      </c>
      <c r="H252" s="195">
        <f>IF($B252="","",_xlfn.MAXIFS(资金台帐!$B$7:$B$3006,资金台帐!$J$7:$J$3006,$B252,资金台帐!$P$7:$P$3006,"应收"))</f>
      </c>
    </row>
    <row r="253">
      <c r="A253" s="194">
        <f>IF(B253="","",230)</f>
      </c>
      <c r="B253" s="141">
        <f>IF(总览汇总!B234="","",总览汇总!B234)</f>
      </c>
      <c r="C253" s="186">
        <f>IF($B253="","",N(总览汇总!K234)+SUMIFS(出库明细!$G$4:$G$3003,出库明细!$C$4:$C$3003,$B253,出库明细!$B$4:$B$3003,"&gt;="&amp;年初日,出库明细!$B$4:$B$3003,"&lt;"&amp;$B$21)-SUMIFS(资金台帐!$S$7:$S$3006,资金台帐!$J$7:$J$3006,$B253,资金台帐!$P$7:$P$3006,"应收",资金台帐!$B$7:$B$3006,"&gt;="&amp;年初日,资金台帐!$B$7:$B$3006,"&lt;"&amp;$B$21))</f>
      </c>
      <c r="D253" s="186">
        <f>IF($B253="","",SUMIFS(出库明细!$G$4:$G$3003,出库明细!$C$4:$C$3003,$B253,出库明细!$B$4:$B$3003,"&gt;="&amp;$B$21,出库明细!$B$4:$B$3003,"&lt;="&amp;$D$21))</f>
      </c>
      <c r="E253" s="186">
        <f>IF($B253="","",SUMIFS(资金台帐!$S$7:$S$3006,资金台帐!$J$7:$J$3006,$B253,资金台帐!$P$7:$P$3006,"应收",资金台帐!$B$7:$B$3006,"&gt;="&amp;$B$21,资金台帐!$B$7:$B$3006,"&lt;="&amp;$D$21))</f>
      </c>
      <c r="F253" s="187">
        <f>IF($B253="","",C253+D253-E253)</f>
      </c>
      <c r="G253" s="141">
        <f>IF($B253="","",IF(ROUND(F253,2)=0,"已结清",IF(F253&gt;0,"有欠款","预存款")))</f>
      </c>
      <c r="H253" s="195">
        <f>IF($B253="","",_xlfn.MAXIFS(资金台帐!$B$7:$B$3006,资金台帐!$J$7:$J$3006,$B253,资金台帐!$P$7:$P$3006,"应收"))</f>
      </c>
    </row>
    <row r="254">
      <c r="A254" s="194">
        <f>IF(B254="","",231)</f>
      </c>
      <c r="B254" s="141">
        <f>IF(总览汇总!B235="","",总览汇总!B235)</f>
      </c>
      <c r="C254" s="186">
        <f>IF($B254="","",N(总览汇总!K235)+SUMIFS(出库明细!$G$4:$G$3003,出库明细!$C$4:$C$3003,$B254,出库明细!$B$4:$B$3003,"&gt;="&amp;年初日,出库明细!$B$4:$B$3003,"&lt;"&amp;$B$21)-SUMIFS(资金台帐!$S$7:$S$3006,资金台帐!$J$7:$J$3006,$B254,资金台帐!$P$7:$P$3006,"应收",资金台帐!$B$7:$B$3006,"&gt;="&amp;年初日,资金台帐!$B$7:$B$3006,"&lt;"&amp;$B$21))</f>
      </c>
      <c r="D254" s="186">
        <f>IF($B254="","",SUMIFS(出库明细!$G$4:$G$3003,出库明细!$C$4:$C$3003,$B254,出库明细!$B$4:$B$3003,"&gt;="&amp;$B$21,出库明细!$B$4:$B$3003,"&lt;="&amp;$D$21))</f>
      </c>
      <c r="E254" s="186">
        <f>IF($B254="","",SUMIFS(资金台帐!$S$7:$S$3006,资金台帐!$J$7:$J$3006,$B254,资金台帐!$P$7:$P$3006,"应收",资金台帐!$B$7:$B$3006,"&gt;="&amp;$B$21,资金台帐!$B$7:$B$3006,"&lt;="&amp;$D$21))</f>
      </c>
      <c r="F254" s="187">
        <f>IF($B254="","",C254+D254-E254)</f>
      </c>
      <c r="G254" s="141">
        <f>IF($B254="","",IF(ROUND(F254,2)=0,"已结清",IF(F254&gt;0,"有欠款","预存款")))</f>
      </c>
      <c r="H254" s="195">
        <f>IF($B254="","",_xlfn.MAXIFS(资金台帐!$B$7:$B$3006,资金台帐!$J$7:$J$3006,$B254,资金台帐!$P$7:$P$3006,"应收"))</f>
      </c>
    </row>
    <row r="255">
      <c r="A255" s="194">
        <f>IF(B255="","",232)</f>
      </c>
      <c r="B255" s="141">
        <f>IF(总览汇总!B236="","",总览汇总!B236)</f>
      </c>
      <c r="C255" s="186">
        <f>IF($B255="","",N(总览汇总!K236)+SUMIFS(出库明细!$G$4:$G$3003,出库明细!$C$4:$C$3003,$B255,出库明细!$B$4:$B$3003,"&gt;="&amp;年初日,出库明细!$B$4:$B$3003,"&lt;"&amp;$B$21)-SUMIFS(资金台帐!$S$7:$S$3006,资金台帐!$J$7:$J$3006,$B255,资金台帐!$P$7:$P$3006,"应收",资金台帐!$B$7:$B$3006,"&gt;="&amp;年初日,资金台帐!$B$7:$B$3006,"&lt;"&amp;$B$21))</f>
      </c>
      <c r="D255" s="186">
        <f>IF($B255="","",SUMIFS(出库明细!$G$4:$G$3003,出库明细!$C$4:$C$3003,$B255,出库明细!$B$4:$B$3003,"&gt;="&amp;$B$21,出库明细!$B$4:$B$3003,"&lt;="&amp;$D$21))</f>
      </c>
      <c r="E255" s="186">
        <f>IF($B255="","",SUMIFS(资金台帐!$S$7:$S$3006,资金台帐!$J$7:$J$3006,$B255,资金台帐!$P$7:$P$3006,"应收",资金台帐!$B$7:$B$3006,"&gt;="&amp;$B$21,资金台帐!$B$7:$B$3006,"&lt;="&amp;$D$21))</f>
      </c>
      <c r="F255" s="187">
        <f>IF($B255="","",C255+D255-E255)</f>
      </c>
      <c r="G255" s="141">
        <f>IF($B255="","",IF(ROUND(F255,2)=0,"已结清",IF(F255&gt;0,"有欠款","预存款")))</f>
      </c>
      <c r="H255" s="195">
        <f>IF($B255="","",_xlfn.MAXIFS(资金台帐!$B$7:$B$3006,资金台帐!$J$7:$J$3006,$B255,资金台帐!$P$7:$P$3006,"应收"))</f>
      </c>
    </row>
    <row r="256">
      <c r="A256" s="194">
        <f>IF(B256="","",233)</f>
      </c>
      <c r="B256" s="141">
        <f>IF(总览汇总!B237="","",总览汇总!B237)</f>
      </c>
      <c r="C256" s="186">
        <f>IF($B256="","",N(总览汇总!K237)+SUMIFS(出库明细!$G$4:$G$3003,出库明细!$C$4:$C$3003,$B256,出库明细!$B$4:$B$3003,"&gt;="&amp;年初日,出库明细!$B$4:$B$3003,"&lt;"&amp;$B$21)-SUMIFS(资金台帐!$S$7:$S$3006,资金台帐!$J$7:$J$3006,$B256,资金台帐!$P$7:$P$3006,"应收",资金台帐!$B$7:$B$3006,"&gt;="&amp;年初日,资金台帐!$B$7:$B$3006,"&lt;"&amp;$B$21))</f>
      </c>
      <c r="D256" s="186">
        <f>IF($B256="","",SUMIFS(出库明细!$G$4:$G$3003,出库明细!$C$4:$C$3003,$B256,出库明细!$B$4:$B$3003,"&gt;="&amp;$B$21,出库明细!$B$4:$B$3003,"&lt;="&amp;$D$21))</f>
      </c>
      <c r="E256" s="186">
        <f>IF($B256="","",SUMIFS(资金台帐!$S$7:$S$3006,资金台帐!$J$7:$J$3006,$B256,资金台帐!$P$7:$P$3006,"应收",资金台帐!$B$7:$B$3006,"&gt;="&amp;$B$21,资金台帐!$B$7:$B$3006,"&lt;="&amp;$D$21))</f>
      </c>
      <c r="F256" s="187">
        <f>IF($B256="","",C256+D256-E256)</f>
      </c>
      <c r="G256" s="141">
        <f>IF($B256="","",IF(ROUND(F256,2)=0,"已结清",IF(F256&gt;0,"有欠款","预存款")))</f>
      </c>
      <c r="H256" s="195">
        <f>IF($B256="","",_xlfn.MAXIFS(资金台帐!$B$7:$B$3006,资金台帐!$J$7:$J$3006,$B256,资金台帐!$P$7:$P$3006,"应收"))</f>
      </c>
    </row>
    <row r="257">
      <c r="A257" s="194">
        <f>IF(B257="","",234)</f>
      </c>
      <c r="B257" s="141">
        <f>IF(总览汇总!B238="","",总览汇总!B238)</f>
      </c>
      <c r="C257" s="186">
        <f>IF($B257="","",N(总览汇总!K238)+SUMIFS(出库明细!$G$4:$G$3003,出库明细!$C$4:$C$3003,$B257,出库明细!$B$4:$B$3003,"&gt;="&amp;年初日,出库明细!$B$4:$B$3003,"&lt;"&amp;$B$21)-SUMIFS(资金台帐!$S$7:$S$3006,资金台帐!$J$7:$J$3006,$B257,资金台帐!$P$7:$P$3006,"应收",资金台帐!$B$7:$B$3006,"&gt;="&amp;年初日,资金台帐!$B$7:$B$3006,"&lt;"&amp;$B$21))</f>
      </c>
      <c r="D257" s="186">
        <f>IF($B257="","",SUMIFS(出库明细!$G$4:$G$3003,出库明细!$C$4:$C$3003,$B257,出库明细!$B$4:$B$3003,"&gt;="&amp;$B$21,出库明细!$B$4:$B$3003,"&lt;="&amp;$D$21))</f>
      </c>
      <c r="E257" s="186">
        <f>IF($B257="","",SUMIFS(资金台帐!$S$7:$S$3006,资金台帐!$J$7:$J$3006,$B257,资金台帐!$P$7:$P$3006,"应收",资金台帐!$B$7:$B$3006,"&gt;="&amp;$B$21,资金台帐!$B$7:$B$3006,"&lt;="&amp;$D$21))</f>
      </c>
      <c r="F257" s="187">
        <f>IF($B257="","",C257+D257-E257)</f>
      </c>
      <c r="G257" s="141">
        <f>IF($B257="","",IF(ROUND(F257,2)=0,"已结清",IF(F257&gt;0,"有欠款","预存款")))</f>
      </c>
      <c r="H257" s="195">
        <f>IF($B257="","",_xlfn.MAXIFS(资金台帐!$B$7:$B$3006,资金台帐!$J$7:$J$3006,$B257,资金台帐!$P$7:$P$3006,"应收"))</f>
      </c>
    </row>
    <row r="258">
      <c r="A258" s="194">
        <f>IF(B258="","",235)</f>
      </c>
      <c r="B258" s="141">
        <f>IF(总览汇总!B239="","",总览汇总!B239)</f>
      </c>
      <c r="C258" s="186">
        <f>IF($B258="","",N(总览汇总!K239)+SUMIFS(出库明细!$G$4:$G$3003,出库明细!$C$4:$C$3003,$B258,出库明细!$B$4:$B$3003,"&gt;="&amp;年初日,出库明细!$B$4:$B$3003,"&lt;"&amp;$B$21)-SUMIFS(资金台帐!$S$7:$S$3006,资金台帐!$J$7:$J$3006,$B258,资金台帐!$P$7:$P$3006,"应收",资金台帐!$B$7:$B$3006,"&gt;="&amp;年初日,资金台帐!$B$7:$B$3006,"&lt;"&amp;$B$21))</f>
      </c>
      <c r="D258" s="186">
        <f>IF($B258="","",SUMIFS(出库明细!$G$4:$G$3003,出库明细!$C$4:$C$3003,$B258,出库明细!$B$4:$B$3003,"&gt;="&amp;$B$21,出库明细!$B$4:$B$3003,"&lt;="&amp;$D$21))</f>
      </c>
      <c r="E258" s="186">
        <f>IF($B258="","",SUMIFS(资金台帐!$S$7:$S$3006,资金台帐!$J$7:$J$3006,$B258,资金台帐!$P$7:$P$3006,"应收",资金台帐!$B$7:$B$3006,"&gt;="&amp;$B$21,资金台帐!$B$7:$B$3006,"&lt;="&amp;$D$21))</f>
      </c>
      <c r="F258" s="187">
        <f>IF($B258="","",C258+D258-E258)</f>
      </c>
      <c r="G258" s="141">
        <f>IF($B258="","",IF(ROUND(F258,2)=0,"已结清",IF(F258&gt;0,"有欠款","预存款")))</f>
      </c>
      <c r="H258" s="195">
        <f>IF($B258="","",_xlfn.MAXIFS(资金台帐!$B$7:$B$3006,资金台帐!$J$7:$J$3006,$B258,资金台帐!$P$7:$P$3006,"应收"))</f>
      </c>
    </row>
    <row r="259">
      <c r="A259" s="194">
        <f>IF(B259="","",236)</f>
      </c>
      <c r="B259" s="141">
        <f>IF(总览汇总!B240="","",总览汇总!B240)</f>
      </c>
      <c r="C259" s="186">
        <f>IF($B259="","",N(总览汇总!K240)+SUMIFS(出库明细!$G$4:$G$3003,出库明细!$C$4:$C$3003,$B259,出库明细!$B$4:$B$3003,"&gt;="&amp;年初日,出库明细!$B$4:$B$3003,"&lt;"&amp;$B$21)-SUMIFS(资金台帐!$S$7:$S$3006,资金台帐!$J$7:$J$3006,$B259,资金台帐!$P$7:$P$3006,"应收",资金台帐!$B$7:$B$3006,"&gt;="&amp;年初日,资金台帐!$B$7:$B$3006,"&lt;"&amp;$B$21))</f>
      </c>
      <c r="D259" s="186">
        <f>IF($B259="","",SUMIFS(出库明细!$G$4:$G$3003,出库明细!$C$4:$C$3003,$B259,出库明细!$B$4:$B$3003,"&gt;="&amp;$B$21,出库明细!$B$4:$B$3003,"&lt;="&amp;$D$21))</f>
      </c>
      <c r="E259" s="186">
        <f>IF($B259="","",SUMIFS(资金台帐!$S$7:$S$3006,资金台帐!$J$7:$J$3006,$B259,资金台帐!$P$7:$P$3006,"应收",资金台帐!$B$7:$B$3006,"&gt;="&amp;$B$21,资金台帐!$B$7:$B$3006,"&lt;="&amp;$D$21))</f>
      </c>
      <c r="F259" s="187">
        <f>IF($B259="","",C259+D259-E259)</f>
      </c>
      <c r="G259" s="141">
        <f>IF($B259="","",IF(ROUND(F259,2)=0,"已结清",IF(F259&gt;0,"有欠款","预存款")))</f>
      </c>
      <c r="H259" s="195">
        <f>IF($B259="","",_xlfn.MAXIFS(资金台帐!$B$7:$B$3006,资金台帐!$J$7:$J$3006,$B259,资金台帐!$P$7:$P$3006,"应收"))</f>
      </c>
    </row>
    <row r="260">
      <c r="A260" s="194">
        <f>IF(B260="","",237)</f>
      </c>
      <c r="B260" s="141">
        <f>IF(总览汇总!B241="","",总览汇总!B241)</f>
      </c>
      <c r="C260" s="186">
        <f>IF($B260="","",N(总览汇总!K241)+SUMIFS(出库明细!$G$4:$G$3003,出库明细!$C$4:$C$3003,$B260,出库明细!$B$4:$B$3003,"&gt;="&amp;年初日,出库明细!$B$4:$B$3003,"&lt;"&amp;$B$21)-SUMIFS(资金台帐!$S$7:$S$3006,资金台帐!$J$7:$J$3006,$B260,资金台帐!$P$7:$P$3006,"应收",资金台帐!$B$7:$B$3006,"&gt;="&amp;年初日,资金台帐!$B$7:$B$3006,"&lt;"&amp;$B$21))</f>
      </c>
      <c r="D260" s="186">
        <f>IF($B260="","",SUMIFS(出库明细!$G$4:$G$3003,出库明细!$C$4:$C$3003,$B260,出库明细!$B$4:$B$3003,"&gt;="&amp;$B$21,出库明细!$B$4:$B$3003,"&lt;="&amp;$D$21))</f>
      </c>
      <c r="E260" s="186">
        <f>IF($B260="","",SUMIFS(资金台帐!$S$7:$S$3006,资金台帐!$J$7:$J$3006,$B260,资金台帐!$P$7:$P$3006,"应收",资金台帐!$B$7:$B$3006,"&gt;="&amp;$B$21,资金台帐!$B$7:$B$3006,"&lt;="&amp;$D$21))</f>
      </c>
      <c r="F260" s="187">
        <f>IF($B260="","",C260+D260-E260)</f>
      </c>
      <c r="G260" s="141">
        <f>IF($B260="","",IF(ROUND(F260,2)=0,"已结清",IF(F260&gt;0,"有欠款","预存款")))</f>
      </c>
      <c r="H260" s="195">
        <f>IF($B260="","",_xlfn.MAXIFS(资金台帐!$B$7:$B$3006,资金台帐!$J$7:$J$3006,$B260,资金台帐!$P$7:$P$3006,"应收"))</f>
      </c>
    </row>
    <row r="261">
      <c r="A261" s="194">
        <f>IF(B261="","",238)</f>
      </c>
      <c r="B261" s="141">
        <f>IF(总览汇总!B242="","",总览汇总!B242)</f>
      </c>
      <c r="C261" s="186">
        <f>IF($B261="","",N(总览汇总!K242)+SUMIFS(出库明细!$G$4:$G$3003,出库明细!$C$4:$C$3003,$B261,出库明细!$B$4:$B$3003,"&gt;="&amp;年初日,出库明细!$B$4:$B$3003,"&lt;"&amp;$B$21)-SUMIFS(资金台帐!$S$7:$S$3006,资金台帐!$J$7:$J$3006,$B261,资金台帐!$P$7:$P$3006,"应收",资金台帐!$B$7:$B$3006,"&gt;="&amp;年初日,资金台帐!$B$7:$B$3006,"&lt;"&amp;$B$21))</f>
      </c>
      <c r="D261" s="186">
        <f>IF($B261="","",SUMIFS(出库明细!$G$4:$G$3003,出库明细!$C$4:$C$3003,$B261,出库明细!$B$4:$B$3003,"&gt;="&amp;$B$21,出库明细!$B$4:$B$3003,"&lt;="&amp;$D$21))</f>
      </c>
      <c r="E261" s="186">
        <f>IF($B261="","",SUMIFS(资金台帐!$S$7:$S$3006,资金台帐!$J$7:$J$3006,$B261,资金台帐!$P$7:$P$3006,"应收",资金台帐!$B$7:$B$3006,"&gt;="&amp;$B$21,资金台帐!$B$7:$B$3006,"&lt;="&amp;$D$21))</f>
      </c>
      <c r="F261" s="187">
        <f>IF($B261="","",C261+D261-E261)</f>
      </c>
      <c r="G261" s="141">
        <f>IF($B261="","",IF(ROUND(F261,2)=0,"已结清",IF(F261&gt;0,"有欠款","预存款")))</f>
      </c>
      <c r="H261" s="195">
        <f>IF($B261="","",_xlfn.MAXIFS(资金台帐!$B$7:$B$3006,资金台帐!$J$7:$J$3006,$B261,资金台帐!$P$7:$P$3006,"应收"))</f>
      </c>
    </row>
    <row r="262">
      <c r="A262" s="194">
        <f>IF(B262="","",239)</f>
      </c>
      <c r="B262" s="141">
        <f>IF(总览汇总!B243="","",总览汇总!B243)</f>
      </c>
      <c r="C262" s="186">
        <f>IF($B262="","",N(总览汇总!K243)+SUMIFS(出库明细!$G$4:$G$3003,出库明细!$C$4:$C$3003,$B262,出库明细!$B$4:$B$3003,"&gt;="&amp;年初日,出库明细!$B$4:$B$3003,"&lt;"&amp;$B$21)-SUMIFS(资金台帐!$S$7:$S$3006,资金台帐!$J$7:$J$3006,$B262,资金台帐!$P$7:$P$3006,"应收",资金台帐!$B$7:$B$3006,"&gt;="&amp;年初日,资金台帐!$B$7:$B$3006,"&lt;"&amp;$B$21))</f>
      </c>
      <c r="D262" s="186">
        <f>IF($B262="","",SUMIFS(出库明细!$G$4:$G$3003,出库明细!$C$4:$C$3003,$B262,出库明细!$B$4:$B$3003,"&gt;="&amp;$B$21,出库明细!$B$4:$B$3003,"&lt;="&amp;$D$21))</f>
      </c>
      <c r="E262" s="186">
        <f>IF($B262="","",SUMIFS(资金台帐!$S$7:$S$3006,资金台帐!$J$7:$J$3006,$B262,资金台帐!$P$7:$P$3006,"应收",资金台帐!$B$7:$B$3006,"&gt;="&amp;$B$21,资金台帐!$B$7:$B$3006,"&lt;="&amp;$D$21))</f>
      </c>
      <c r="F262" s="187">
        <f>IF($B262="","",C262+D262-E262)</f>
      </c>
      <c r="G262" s="141">
        <f>IF($B262="","",IF(ROUND(F262,2)=0,"已结清",IF(F262&gt;0,"有欠款","预存款")))</f>
      </c>
      <c r="H262" s="195">
        <f>IF($B262="","",_xlfn.MAXIFS(资金台帐!$B$7:$B$3006,资金台帐!$J$7:$J$3006,$B262,资金台帐!$P$7:$P$3006,"应收"))</f>
      </c>
    </row>
    <row r="263">
      <c r="A263" s="194">
        <f>IF(B263="","",240)</f>
      </c>
      <c r="B263" s="141">
        <f>IF(总览汇总!B244="","",总览汇总!B244)</f>
      </c>
      <c r="C263" s="186">
        <f>IF($B263="","",N(总览汇总!K244)+SUMIFS(出库明细!$G$4:$G$3003,出库明细!$C$4:$C$3003,$B263,出库明细!$B$4:$B$3003,"&gt;="&amp;年初日,出库明细!$B$4:$B$3003,"&lt;"&amp;$B$21)-SUMIFS(资金台帐!$S$7:$S$3006,资金台帐!$J$7:$J$3006,$B263,资金台帐!$P$7:$P$3006,"应收",资金台帐!$B$7:$B$3006,"&gt;="&amp;年初日,资金台帐!$B$7:$B$3006,"&lt;"&amp;$B$21))</f>
      </c>
      <c r="D263" s="186">
        <f>IF($B263="","",SUMIFS(出库明细!$G$4:$G$3003,出库明细!$C$4:$C$3003,$B263,出库明细!$B$4:$B$3003,"&gt;="&amp;$B$21,出库明细!$B$4:$B$3003,"&lt;="&amp;$D$21))</f>
      </c>
      <c r="E263" s="186">
        <f>IF($B263="","",SUMIFS(资金台帐!$S$7:$S$3006,资金台帐!$J$7:$J$3006,$B263,资金台帐!$P$7:$P$3006,"应收",资金台帐!$B$7:$B$3006,"&gt;="&amp;$B$21,资金台帐!$B$7:$B$3006,"&lt;="&amp;$D$21))</f>
      </c>
      <c r="F263" s="187">
        <f>IF($B263="","",C263+D263-E263)</f>
      </c>
      <c r="G263" s="141">
        <f>IF($B263="","",IF(ROUND(F263,2)=0,"已结清",IF(F263&gt;0,"有欠款","预存款")))</f>
      </c>
      <c r="H263" s="195">
        <f>IF($B263="","",_xlfn.MAXIFS(资金台帐!$B$7:$B$3006,资金台帐!$J$7:$J$3006,$B263,资金台帐!$P$7:$P$3006,"应收"))</f>
      </c>
    </row>
    <row r="264">
      <c r="A264" s="194">
        <f>IF(B264="","",241)</f>
      </c>
      <c r="B264" s="141">
        <f>IF(总览汇总!B245="","",总览汇总!B245)</f>
      </c>
      <c r="C264" s="186">
        <f>IF($B264="","",N(总览汇总!K245)+SUMIFS(出库明细!$G$4:$G$3003,出库明细!$C$4:$C$3003,$B264,出库明细!$B$4:$B$3003,"&gt;="&amp;年初日,出库明细!$B$4:$B$3003,"&lt;"&amp;$B$21)-SUMIFS(资金台帐!$S$7:$S$3006,资金台帐!$J$7:$J$3006,$B264,资金台帐!$P$7:$P$3006,"应收",资金台帐!$B$7:$B$3006,"&gt;="&amp;年初日,资金台帐!$B$7:$B$3006,"&lt;"&amp;$B$21))</f>
      </c>
      <c r="D264" s="186">
        <f>IF($B264="","",SUMIFS(出库明细!$G$4:$G$3003,出库明细!$C$4:$C$3003,$B264,出库明细!$B$4:$B$3003,"&gt;="&amp;$B$21,出库明细!$B$4:$B$3003,"&lt;="&amp;$D$21))</f>
      </c>
      <c r="E264" s="186">
        <f>IF($B264="","",SUMIFS(资金台帐!$S$7:$S$3006,资金台帐!$J$7:$J$3006,$B264,资金台帐!$P$7:$P$3006,"应收",资金台帐!$B$7:$B$3006,"&gt;="&amp;$B$21,资金台帐!$B$7:$B$3006,"&lt;="&amp;$D$21))</f>
      </c>
      <c r="F264" s="187">
        <f>IF($B264="","",C264+D264-E264)</f>
      </c>
      <c r="G264" s="141">
        <f>IF($B264="","",IF(ROUND(F264,2)=0,"已结清",IF(F264&gt;0,"有欠款","预存款")))</f>
      </c>
      <c r="H264" s="195">
        <f>IF($B264="","",_xlfn.MAXIFS(资金台帐!$B$7:$B$3006,资金台帐!$J$7:$J$3006,$B264,资金台帐!$P$7:$P$3006,"应收"))</f>
      </c>
    </row>
    <row r="265">
      <c r="A265" s="194">
        <f>IF(B265="","",242)</f>
      </c>
      <c r="B265" s="141">
        <f>IF(总览汇总!B246="","",总览汇总!B246)</f>
      </c>
      <c r="C265" s="186">
        <f>IF($B265="","",N(总览汇总!K246)+SUMIFS(出库明细!$G$4:$G$3003,出库明细!$C$4:$C$3003,$B265,出库明细!$B$4:$B$3003,"&gt;="&amp;年初日,出库明细!$B$4:$B$3003,"&lt;"&amp;$B$21)-SUMIFS(资金台帐!$S$7:$S$3006,资金台帐!$J$7:$J$3006,$B265,资金台帐!$P$7:$P$3006,"应收",资金台帐!$B$7:$B$3006,"&gt;="&amp;年初日,资金台帐!$B$7:$B$3006,"&lt;"&amp;$B$21))</f>
      </c>
      <c r="D265" s="186">
        <f>IF($B265="","",SUMIFS(出库明细!$G$4:$G$3003,出库明细!$C$4:$C$3003,$B265,出库明细!$B$4:$B$3003,"&gt;="&amp;$B$21,出库明细!$B$4:$B$3003,"&lt;="&amp;$D$21))</f>
      </c>
      <c r="E265" s="186">
        <f>IF($B265="","",SUMIFS(资金台帐!$S$7:$S$3006,资金台帐!$J$7:$J$3006,$B265,资金台帐!$P$7:$P$3006,"应收",资金台帐!$B$7:$B$3006,"&gt;="&amp;$B$21,资金台帐!$B$7:$B$3006,"&lt;="&amp;$D$21))</f>
      </c>
      <c r="F265" s="187">
        <f>IF($B265="","",C265+D265-E265)</f>
      </c>
      <c r="G265" s="141">
        <f>IF($B265="","",IF(ROUND(F265,2)=0,"已结清",IF(F265&gt;0,"有欠款","预存款")))</f>
      </c>
      <c r="H265" s="195">
        <f>IF($B265="","",_xlfn.MAXIFS(资金台帐!$B$7:$B$3006,资金台帐!$J$7:$J$3006,$B265,资金台帐!$P$7:$P$3006,"应收"))</f>
      </c>
    </row>
    <row r="266">
      <c r="A266" s="194">
        <f>IF(B266="","",243)</f>
      </c>
      <c r="B266" s="141">
        <f>IF(总览汇总!B247="","",总览汇总!B247)</f>
      </c>
      <c r="C266" s="186">
        <f>IF($B266="","",N(总览汇总!K247)+SUMIFS(出库明细!$G$4:$G$3003,出库明细!$C$4:$C$3003,$B266,出库明细!$B$4:$B$3003,"&gt;="&amp;年初日,出库明细!$B$4:$B$3003,"&lt;"&amp;$B$21)-SUMIFS(资金台帐!$S$7:$S$3006,资金台帐!$J$7:$J$3006,$B266,资金台帐!$P$7:$P$3006,"应收",资金台帐!$B$7:$B$3006,"&gt;="&amp;年初日,资金台帐!$B$7:$B$3006,"&lt;"&amp;$B$21))</f>
      </c>
      <c r="D266" s="186">
        <f>IF($B266="","",SUMIFS(出库明细!$G$4:$G$3003,出库明细!$C$4:$C$3003,$B266,出库明细!$B$4:$B$3003,"&gt;="&amp;$B$21,出库明细!$B$4:$B$3003,"&lt;="&amp;$D$21))</f>
      </c>
      <c r="E266" s="186">
        <f>IF($B266="","",SUMIFS(资金台帐!$S$7:$S$3006,资金台帐!$J$7:$J$3006,$B266,资金台帐!$P$7:$P$3006,"应收",资金台帐!$B$7:$B$3006,"&gt;="&amp;$B$21,资金台帐!$B$7:$B$3006,"&lt;="&amp;$D$21))</f>
      </c>
      <c r="F266" s="187">
        <f>IF($B266="","",C266+D266-E266)</f>
      </c>
      <c r="G266" s="141">
        <f>IF($B266="","",IF(ROUND(F266,2)=0,"已结清",IF(F266&gt;0,"有欠款","预存款")))</f>
      </c>
      <c r="H266" s="195">
        <f>IF($B266="","",_xlfn.MAXIFS(资金台帐!$B$7:$B$3006,资金台帐!$J$7:$J$3006,$B266,资金台帐!$P$7:$P$3006,"应收"))</f>
      </c>
    </row>
    <row r="267">
      <c r="A267" s="194">
        <f>IF(B267="","",244)</f>
      </c>
      <c r="B267" s="141">
        <f>IF(总览汇总!B248="","",总览汇总!B248)</f>
      </c>
      <c r="C267" s="186">
        <f>IF($B267="","",N(总览汇总!K248)+SUMIFS(出库明细!$G$4:$G$3003,出库明细!$C$4:$C$3003,$B267,出库明细!$B$4:$B$3003,"&gt;="&amp;年初日,出库明细!$B$4:$B$3003,"&lt;"&amp;$B$21)-SUMIFS(资金台帐!$S$7:$S$3006,资金台帐!$J$7:$J$3006,$B267,资金台帐!$P$7:$P$3006,"应收",资金台帐!$B$7:$B$3006,"&gt;="&amp;年初日,资金台帐!$B$7:$B$3006,"&lt;"&amp;$B$21))</f>
      </c>
      <c r="D267" s="186">
        <f>IF($B267="","",SUMIFS(出库明细!$G$4:$G$3003,出库明细!$C$4:$C$3003,$B267,出库明细!$B$4:$B$3003,"&gt;="&amp;$B$21,出库明细!$B$4:$B$3003,"&lt;="&amp;$D$21))</f>
      </c>
      <c r="E267" s="186">
        <f>IF($B267="","",SUMIFS(资金台帐!$S$7:$S$3006,资金台帐!$J$7:$J$3006,$B267,资金台帐!$P$7:$P$3006,"应收",资金台帐!$B$7:$B$3006,"&gt;="&amp;$B$21,资金台帐!$B$7:$B$3006,"&lt;="&amp;$D$21))</f>
      </c>
      <c r="F267" s="187">
        <f>IF($B267="","",C267+D267-E267)</f>
      </c>
      <c r="G267" s="141">
        <f>IF($B267="","",IF(ROUND(F267,2)=0,"已结清",IF(F267&gt;0,"有欠款","预存款")))</f>
      </c>
      <c r="H267" s="195">
        <f>IF($B267="","",_xlfn.MAXIFS(资金台帐!$B$7:$B$3006,资金台帐!$J$7:$J$3006,$B267,资金台帐!$P$7:$P$3006,"应收"))</f>
      </c>
    </row>
    <row r="268">
      <c r="A268" s="194">
        <f>IF(B268="","",245)</f>
      </c>
      <c r="B268" s="141">
        <f>IF(总览汇总!B249="","",总览汇总!B249)</f>
      </c>
      <c r="C268" s="186">
        <f>IF($B268="","",N(总览汇总!K249)+SUMIFS(出库明细!$G$4:$G$3003,出库明细!$C$4:$C$3003,$B268,出库明细!$B$4:$B$3003,"&gt;="&amp;年初日,出库明细!$B$4:$B$3003,"&lt;"&amp;$B$21)-SUMIFS(资金台帐!$S$7:$S$3006,资金台帐!$J$7:$J$3006,$B268,资金台帐!$P$7:$P$3006,"应收",资金台帐!$B$7:$B$3006,"&gt;="&amp;年初日,资金台帐!$B$7:$B$3006,"&lt;"&amp;$B$21))</f>
      </c>
      <c r="D268" s="186">
        <f>IF($B268="","",SUMIFS(出库明细!$G$4:$G$3003,出库明细!$C$4:$C$3003,$B268,出库明细!$B$4:$B$3003,"&gt;="&amp;$B$21,出库明细!$B$4:$B$3003,"&lt;="&amp;$D$21))</f>
      </c>
      <c r="E268" s="186">
        <f>IF($B268="","",SUMIFS(资金台帐!$S$7:$S$3006,资金台帐!$J$7:$J$3006,$B268,资金台帐!$P$7:$P$3006,"应收",资金台帐!$B$7:$B$3006,"&gt;="&amp;$B$21,资金台帐!$B$7:$B$3006,"&lt;="&amp;$D$21))</f>
      </c>
      <c r="F268" s="187">
        <f>IF($B268="","",C268+D268-E268)</f>
      </c>
      <c r="G268" s="141">
        <f>IF($B268="","",IF(ROUND(F268,2)=0,"已结清",IF(F268&gt;0,"有欠款","预存款")))</f>
      </c>
      <c r="H268" s="195">
        <f>IF($B268="","",_xlfn.MAXIFS(资金台帐!$B$7:$B$3006,资金台帐!$J$7:$J$3006,$B268,资金台帐!$P$7:$P$3006,"应收"))</f>
      </c>
    </row>
    <row r="269">
      <c r="A269" s="194">
        <f>IF(B269="","",246)</f>
      </c>
      <c r="B269" s="141">
        <f>IF(总览汇总!B250="","",总览汇总!B250)</f>
      </c>
      <c r="C269" s="186">
        <f>IF($B269="","",N(总览汇总!K250)+SUMIFS(出库明细!$G$4:$G$3003,出库明细!$C$4:$C$3003,$B269,出库明细!$B$4:$B$3003,"&gt;="&amp;年初日,出库明细!$B$4:$B$3003,"&lt;"&amp;$B$21)-SUMIFS(资金台帐!$S$7:$S$3006,资金台帐!$J$7:$J$3006,$B269,资金台帐!$P$7:$P$3006,"应收",资金台帐!$B$7:$B$3006,"&gt;="&amp;年初日,资金台帐!$B$7:$B$3006,"&lt;"&amp;$B$21))</f>
      </c>
      <c r="D269" s="186">
        <f>IF($B269="","",SUMIFS(出库明细!$G$4:$G$3003,出库明细!$C$4:$C$3003,$B269,出库明细!$B$4:$B$3003,"&gt;="&amp;$B$21,出库明细!$B$4:$B$3003,"&lt;="&amp;$D$21))</f>
      </c>
      <c r="E269" s="186">
        <f>IF($B269="","",SUMIFS(资金台帐!$S$7:$S$3006,资金台帐!$J$7:$J$3006,$B269,资金台帐!$P$7:$P$3006,"应收",资金台帐!$B$7:$B$3006,"&gt;="&amp;$B$21,资金台帐!$B$7:$B$3006,"&lt;="&amp;$D$21))</f>
      </c>
      <c r="F269" s="187">
        <f>IF($B269="","",C269+D269-E269)</f>
      </c>
      <c r="G269" s="141">
        <f>IF($B269="","",IF(ROUND(F269,2)=0,"已结清",IF(F269&gt;0,"有欠款","预存款")))</f>
      </c>
      <c r="H269" s="195">
        <f>IF($B269="","",_xlfn.MAXIFS(资金台帐!$B$7:$B$3006,资金台帐!$J$7:$J$3006,$B269,资金台帐!$P$7:$P$3006,"应收"))</f>
      </c>
    </row>
    <row r="270">
      <c r="A270" s="194">
        <f>IF(B270="","",247)</f>
      </c>
      <c r="B270" s="141">
        <f>IF(总览汇总!B251="","",总览汇总!B251)</f>
      </c>
      <c r="C270" s="186">
        <f>IF($B270="","",N(总览汇总!K251)+SUMIFS(出库明细!$G$4:$G$3003,出库明细!$C$4:$C$3003,$B270,出库明细!$B$4:$B$3003,"&gt;="&amp;年初日,出库明细!$B$4:$B$3003,"&lt;"&amp;$B$21)-SUMIFS(资金台帐!$S$7:$S$3006,资金台帐!$J$7:$J$3006,$B270,资金台帐!$P$7:$P$3006,"应收",资金台帐!$B$7:$B$3006,"&gt;="&amp;年初日,资金台帐!$B$7:$B$3006,"&lt;"&amp;$B$21))</f>
      </c>
      <c r="D270" s="186">
        <f>IF($B270="","",SUMIFS(出库明细!$G$4:$G$3003,出库明细!$C$4:$C$3003,$B270,出库明细!$B$4:$B$3003,"&gt;="&amp;$B$21,出库明细!$B$4:$B$3003,"&lt;="&amp;$D$21))</f>
      </c>
      <c r="E270" s="186">
        <f>IF($B270="","",SUMIFS(资金台帐!$S$7:$S$3006,资金台帐!$J$7:$J$3006,$B270,资金台帐!$P$7:$P$3006,"应收",资金台帐!$B$7:$B$3006,"&gt;="&amp;$B$21,资金台帐!$B$7:$B$3006,"&lt;="&amp;$D$21))</f>
      </c>
      <c r="F270" s="187">
        <f>IF($B270="","",C270+D270-E270)</f>
      </c>
      <c r="G270" s="141">
        <f>IF($B270="","",IF(ROUND(F270,2)=0,"已结清",IF(F270&gt;0,"有欠款","预存款")))</f>
      </c>
      <c r="H270" s="195">
        <f>IF($B270="","",_xlfn.MAXIFS(资金台帐!$B$7:$B$3006,资金台帐!$J$7:$J$3006,$B270,资金台帐!$P$7:$P$3006,"应收"))</f>
      </c>
    </row>
    <row r="271">
      <c r="A271" s="194">
        <f>IF(B271="","",248)</f>
      </c>
      <c r="B271" s="141">
        <f>IF(总览汇总!B252="","",总览汇总!B252)</f>
      </c>
      <c r="C271" s="186">
        <f>IF($B271="","",N(总览汇总!K252)+SUMIFS(出库明细!$G$4:$G$3003,出库明细!$C$4:$C$3003,$B271,出库明细!$B$4:$B$3003,"&gt;="&amp;年初日,出库明细!$B$4:$B$3003,"&lt;"&amp;$B$21)-SUMIFS(资金台帐!$S$7:$S$3006,资金台帐!$J$7:$J$3006,$B271,资金台帐!$P$7:$P$3006,"应收",资金台帐!$B$7:$B$3006,"&gt;="&amp;年初日,资金台帐!$B$7:$B$3006,"&lt;"&amp;$B$21))</f>
      </c>
      <c r="D271" s="186">
        <f>IF($B271="","",SUMIFS(出库明细!$G$4:$G$3003,出库明细!$C$4:$C$3003,$B271,出库明细!$B$4:$B$3003,"&gt;="&amp;$B$21,出库明细!$B$4:$B$3003,"&lt;="&amp;$D$21))</f>
      </c>
      <c r="E271" s="186">
        <f>IF($B271="","",SUMIFS(资金台帐!$S$7:$S$3006,资金台帐!$J$7:$J$3006,$B271,资金台帐!$P$7:$P$3006,"应收",资金台帐!$B$7:$B$3006,"&gt;="&amp;$B$21,资金台帐!$B$7:$B$3006,"&lt;="&amp;$D$21))</f>
      </c>
      <c r="F271" s="187">
        <f>IF($B271="","",C271+D271-E271)</f>
      </c>
      <c r="G271" s="141">
        <f>IF($B271="","",IF(ROUND(F271,2)=0,"已结清",IF(F271&gt;0,"有欠款","预存款")))</f>
      </c>
      <c r="H271" s="195">
        <f>IF($B271="","",_xlfn.MAXIFS(资金台帐!$B$7:$B$3006,资金台帐!$J$7:$J$3006,$B271,资金台帐!$P$7:$P$3006,"应收"))</f>
      </c>
    </row>
    <row r="272">
      <c r="A272" s="194">
        <f>IF(B272="","",249)</f>
      </c>
      <c r="B272" s="141">
        <f>IF(总览汇总!B253="","",总览汇总!B253)</f>
      </c>
      <c r="C272" s="186">
        <f>IF($B272="","",N(总览汇总!K253)+SUMIFS(出库明细!$G$4:$G$3003,出库明细!$C$4:$C$3003,$B272,出库明细!$B$4:$B$3003,"&gt;="&amp;年初日,出库明细!$B$4:$B$3003,"&lt;"&amp;$B$21)-SUMIFS(资金台帐!$S$7:$S$3006,资金台帐!$J$7:$J$3006,$B272,资金台帐!$P$7:$P$3006,"应收",资金台帐!$B$7:$B$3006,"&gt;="&amp;年初日,资金台帐!$B$7:$B$3006,"&lt;"&amp;$B$21))</f>
      </c>
      <c r="D272" s="186">
        <f>IF($B272="","",SUMIFS(出库明细!$G$4:$G$3003,出库明细!$C$4:$C$3003,$B272,出库明细!$B$4:$B$3003,"&gt;="&amp;$B$21,出库明细!$B$4:$B$3003,"&lt;="&amp;$D$21))</f>
      </c>
      <c r="E272" s="186">
        <f>IF($B272="","",SUMIFS(资金台帐!$S$7:$S$3006,资金台帐!$J$7:$J$3006,$B272,资金台帐!$P$7:$P$3006,"应收",资金台帐!$B$7:$B$3006,"&gt;="&amp;$B$21,资金台帐!$B$7:$B$3006,"&lt;="&amp;$D$21))</f>
      </c>
      <c r="F272" s="187">
        <f>IF($B272="","",C272+D272-E272)</f>
      </c>
      <c r="G272" s="141">
        <f>IF($B272="","",IF(ROUND(F272,2)=0,"已结清",IF(F272&gt;0,"有欠款","预存款")))</f>
      </c>
      <c r="H272" s="195">
        <f>IF($B272="","",_xlfn.MAXIFS(资金台帐!$B$7:$B$3006,资金台帐!$J$7:$J$3006,$B272,资金台帐!$P$7:$P$3006,"应收"))</f>
      </c>
    </row>
    <row r="273">
      <c r="A273" s="194">
        <f>IF(B273="","",250)</f>
      </c>
      <c r="B273" s="141">
        <f>IF(总览汇总!B254="","",总览汇总!B254)</f>
      </c>
      <c r="C273" s="186">
        <f>IF($B273="","",N(总览汇总!K254)+SUMIFS(出库明细!$G$4:$G$3003,出库明细!$C$4:$C$3003,$B273,出库明细!$B$4:$B$3003,"&gt;="&amp;年初日,出库明细!$B$4:$B$3003,"&lt;"&amp;$B$21)-SUMIFS(资金台帐!$S$7:$S$3006,资金台帐!$J$7:$J$3006,$B273,资金台帐!$P$7:$P$3006,"应收",资金台帐!$B$7:$B$3006,"&gt;="&amp;年初日,资金台帐!$B$7:$B$3006,"&lt;"&amp;$B$21))</f>
      </c>
      <c r="D273" s="186">
        <f>IF($B273="","",SUMIFS(出库明细!$G$4:$G$3003,出库明细!$C$4:$C$3003,$B273,出库明细!$B$4:$B$3003,"&gt;="&amp;$B$21,出库明细!$B$4:$B$3003,"&lt;="&amp;$D$21))</f>
      </c>
      <c r="E273" s="186">
        <f>IF($B273="","",SUMIFS(资金台帐!$S$7:$S$3006,资金台帐!$J$7:$J$3006,$B273,资金台帐!$P$7:$P$3006,"应收",资金台帐!$B$7:$B$3006,"&gt;="&amp;$B$21,资金台帐!$B$7:$B$3006,"&lt;="&amp;$D$21))</f>
      </c>
      <c r="F273" s="187">
        <f>IF($B273="","",C273+D273-E273)</f>
      </c>
      <c r="G273" s="141">
        <f>IF($B273="","",IF(ROUND(F273,2)=0,"已结清",IF(F273&gt;0,"有欠款","预存款")))</f>
      </c>
      <c r="H273" s="195">
        <f>IF($B273="","",_xlfn.MAXIFS(资金台帐!$B$7:$B$3006,资金台帐!$J$7:$J$3006,$B273,资金台帐!$P$7:$P$3006,"应收"))</f>
      </c>
    </row>
    <row r="274">
      <c r="A274" s="194">
        <f>IF(B274="","",251)</f>
      </c>
      <c r="B274" s="141">
        <f>IF(总览汇总!B255="","",总览汇总!B255)</f>
      </c>
      <c r="C274" s="186">
        <f>IF($B274="","",N(总览汇总!K255)+SUMIFS(出库明细!$G$4:$G$3003,出库明细!$C$4:$C$3003,$B274,出库明细!$B$4:$B$3003,"&gt;="&amp;年初日,出库明细!$B$4:$B$3003,"&lt;"&amp;$B$21)-SUMIFS(资金台帐!$S$7:$S$3006,资金台帐!$J$7:$J$3006,$B274,资金台帐!$P$7:$P$3006,"应收",资金台帐!$B$7:$B$3006,"&gt;="&amp;年初日,资金台帐!$B$7:$B$3006,"&lt;"&amp;$B$21))</f>
      </c>
      <c r="D274" s="186">
        <f>IF($B274="","",SUMIFS(出库明细!$G$4:$G$3003,出库明细!$C$4:$C$3003,$B274,出库明细!$B$4:$B$3003,"&gt;="&amp;$B$21,出库明细!$B$4:$B$3003,"&lt;="&amp;$D$21))</f>
      </c>
      <c r="E274" s="186">
        <f>IF($B274="","",SUMIFS(资金台帐!$S$7:$S$3006,资金台帐!$J$7:$J$3006,$B274,资金台帐!$P$7:$P$3006,"应收",资金台帐!$B$7:$B$3006,"&gt;="&amp;$B$21,资金台帐!$B$7:$B$3006,"&lt;="&amp;$D$21))</f>
      </c>
      <c r="F274" s="187">
        <f>IF($B274="","",C274+D274-E274)</f>
      </c>
      <c r="G274" s="141">
        <f>IF($B274="","",IF(ROUND(F274,2)=0,"已结清",IF(F274&gt;0,"有欠款","预存款")))</f>
      </c>
      <c r="H274" s="195">
        <f>IF($B274="","",_xlfn.MAXIFS(资金台帐!$B$7:$B$3006,资金台帐!$J$7:$J$3006,$B274,资金台帐!$P$7:$P$3006,"应收"))</f>
      </c>
    </row>
    <row r="275">
      <c r="A275" s="194">
        <f>IF(B275="","",252)</f>
      </c>
      <c r="B275" s="141">
        <f>IF(总览汇总!B256="","",总览汇总!B256)</f>
      </c>
      <c r="C275" s="186">
        <f>IF($B275="","",N(总览汇总!K256)+SUMIFS(出库明细!$G$4:$G$3003,出库明细!$C$4:$C$3003,$B275,出库明细!$B$4:$B$3003,"&gt;="&amp;年初日,出库明细!$B$4:$B$3003,"&lt;"&amp;$B$21)-SUMIFS(资金台帐!$S$7:$S$3006,资金台帐!$J$7:$J$3006,$B275,资金台帐!$P$7:$P$3006,"应收",资金台帐!$B$7:$B$3006,"&gt;="&amp;年初日,资金台帐!$B$7:$B$3006,"&lt;"&amp;$B$21))</f>
      </c>
      <c r="D275" s="186">
        <f>IF($B275="","",SUMIFS(出库明细!$G$4:$G$3003,出库明细!$C$4:$C$3003,$B275,出库明细!$B$4:$B$3003,"&gt;="&amp;$B$21,出库明细!$B$4:$B$3003,"&lt;="&amp;$D$21))</f>
      </c>
      <c r="E275" s="186">
        <f>IF($B275="","",SUMIFS(资金台帐!$S$7:$S$3006,资金台帐!$J$7:$J$3006,$B275,资金台帐!$P$7:$P$3006,"应收",资金台帐!$B$7:$B$3006,"&gt;="&amp;$B$21,资金台帐!$B$7:$B$3006,"&lt;="&amp;$D$21))</f>
      </c>
      <c r="F275" s="187">
        <f>IF($B275="","",C275+D275-E275)</f>
      </c>
      <c r="G275" s="141">
        <f>IF($B275="","",IF(ROUND(F275,2)=0,"已结清",IF(F275&gt;0,"有欠款","预存款")))</f>
      </c>
      <c r="H275" s="195">
        <f>IF($B275="","",_xlfn.MAXIFS(资金台帐!$B$7:$B$3006,资金台帐!$J$7:$J$3006,$B275,资金台帐!$P$7:$P$3006,"应收"))</f>
      </c>
    </row>
    <row r="276">
      <c r="A276" s="194">
        <f>IF(B276="","",253)</f>
      </c>
      <c r="B276" s="141">
        <f>IF(总览汇总!B257="","",总览汇总!B257)</f>
      </c>
      <c r="C276" s="186">
        <f>IF($B276="","",N(总览汇总!K257)+SUMIFS(出库明细!$G$4:$G$3003,出库明细!$C$4:$C$3003,$B276,出库明细!$B$4:$B$3003,"&gt;="&amp;年初日,出库明细!$B$4:$B$3003,"&lt;"&amp;$B$21)-SUMIFS(资金台帐!$S$7:$S$3006,资金台帐!$J$7:$J$3006,$B276,资金台帐!$P$7:$P$3006,"应收",资金台帐!$B$7:$B$3006,"&gt;="&amp;年初日,资金台帐!$B$7:$B$3006,"&lt;"&amp;$B$21))</f>
      </c>
      <c r="D276" s="186">
        <f>IF($B276="","",SUMIFS(出库明细!$G$4:$G$3003,出库明细!$C$4:$C$3003,$B276,出库明细!$B$4:$B$3003,"&gt;="&amp;$B$21,出库明细!$B$4:$B$3003,"&lt;="&amp;$D$21))</f>
      </c>
      <c r="E276" s="186">
        <f>IF($B276="","",SUMIFS(资金台帐!$S$7:$S$3006,资金台帐!$J$7:$J$3006,$B276,资金台帐!$P$7:$P$3006,"应收",资金台帐!$B$7:$B$3006,"&gt;="&amp;$B$21,资金台帐!$B$7:$B$3006,"&lt;="&amp;$D$21))</f>
      </c>
      <c r="F276" s="187">
        <f>IF($B276="","",C276+D276-E276)</f>
      </c>
      <c r="G276" s="141">
        <f>IF($B276="","",IF(ROUND(F276,2)=0,"已结清",IF(F276&gt;0,"有欠款","预存款")))</f>
      </c>
      <c r="H276" s="195">
        <f>IF($B276="","",_xlfn.MAXIFS(资金台帐!$B$7:$B$3006,资金台帐!$J$7:$J$3006,$B276,资金台帐!$P$7:$P$3006,"应收"))</f>
      </c>
    </row>
    <row r="277">
      <c r="A277" s="194">
        <f>IF(B277="","",254)</f>
      </c>
      <c r="B277" s="141">
        <f>IF(总览汇总!B258="","",总览汇总!B258)</f>
      </c>
      <c r="C277" s="186">
        <f>IF($B277="","",N(总览汇总!K258)+SUMIFS(出库明细!$G$4:$G$3003,出库明细!$C$4:$C$3003,$B277,出库明细!$B$4:$B$3003,"&gt;="&amp;年初日,出库明细!$B$4:$B$3003,"&lt;"&amp;$B$21)-SUMIFS(资金台帐!$S$7:$S$3006,资金台帐!$J$7:$J$3006,$B277,资金台帐!$P$7:$P$3006,"应收",资金台帐!$B$7:$B$3006,"&gt;="&amp;年初日,资金台帐!$B$7:$B$3006,"&lt;"&amp;$B$21))</f>
      </c>
      <c r="D277" s="186">
        <f>IF($B277="","",SUMIFS(出库明细!$G$4:$G$3003,出库明细!$C$4:$C$3003,$B277,出库明细!$B$4:$B$3003,"&gt;="&amp;$B$21,出库明细!$B$4:$B$3003,"&lt;="&amp;$D$21))</f>
      </c>
      <c r="E277" s="186">
        <f>IF($B277="","",SUMIFS(资金台帐!$S$7:$S$3006,资金台帐!$J$7:$J$3006,$B277,资金台帐!$P$7:$P$3006,"应收",资金台帐!$B$7:$B$3006,"&gt;="&amp;$B$21,资金台帐!$B$7:$B$3006,"&lt;="&amp;$D$21))</f>
      </c>
      <c r="F277" s="187">
        <f>IF($B277="","",C277+D277-E277)</f>
      </c>
      <c r="G277" s="141">
        <f>IF($B277="","",IF(ROUND(F277,2)=0,"已结清",IF(F277&gt;0,"有欠款","预存款")))</f>
      </c>
      <c r="H277" s="195">
        <f>IF($B277="","",_xlfn.MAXIFS(资金台帐!$B$7:$B$3006,资金台帐!$J$7:$J$3006,$B277,资金台帐!$P$7:$P$3006,"应收"))</f>
      </c>
    </row>
    <row r="278">
      <c r="A278" s="194">
        <f>IF(B278="","",255)</f>
      </c>
      <c r="B278" s="141">
        <f>IF(总览汇总!B259="","",总览汇总!B259)</f>
      </c>
      <c r="C278" s="186">
        <f>IF($B278="","",N(总览汇总!K259)+SUMIFS(出库明细!$G$4:$G$3003,出库明细!$C$4:$C$3003,$B278,出库明细!$B$4:$B$3003,"&gt;="&amp;年初日,出库明细!$B$4:$B$3003,"&lt;"&amp;$B$21)-SUMIFS(资金台帐!$S$7:$S$3006,资金台帐!$J$7:$J$3006,$B278,资金台帐!$P$7:$P$3006,"应收",资金台帐!$B$7:$B$3006,"&gt;="&amp;年初日,资金台帐!$B$7:$B$3006,"&lt;"&amp;$B$21))</f>
      </c>
      <c r="D278" s="186">
        <f>IF($B278="","",SUMIFS(出库明细!$G$4:$G$3003,出库明细!$C$4:$C$3003,$B278,出库明细!$B$4:$B$3003,"&gt;="&amp;$B$21,出库明细!$B$4:$B$3003,"&lt;="&amp;$D$21))</f>
      </c>
      <c r="E278" s="186">
        <f>IF($B278="","",SUMIFS(资金台帐!$S$7:$S$3006,资金台帐!$J$7:$J$3006,$B278,资金台帐!$P$7:$P$3006,"应收",资金台帐!$B$7:$B$3006,"&gt;="&amp;$B$21,资金台帐!$B$7:$B$3006,"&lt;="&amp;$D$21))</f>
      </c>
      <c r="F278" s="187">
        <f>IF($B278="","",C278+D278-E278)</f>
      </c>
      <c r="G278" s="141">
        <f>IF($B278="","",IF(ROUND(F278,2)=0,"已结清",IF(F278&gt;0,"有欠款","预存款")))</f>
      </c>
      <c r="H278" s="195">
        <f>IF($B278="","",_xlfn.MAXIFS(资金台帐!$B$7:$B$3006,资金台帐!$J$7:$J$3006,$B278,资金台帐!$P$7:$P$3006,"应收"))</f>
      </c>
    </row>
    <row r="279">
      <c r="A279" s="194">
        <f>IF(B279="","",256)</f>
      </c>
      <c r="B279" s="141">
        <f>IF(总览汇总!B260="","",总览汇总!B260)</f>
      </c>
      <c r="C279" s="186">
        <f>IF($B279="","",N(总览汇总!K260)+SUMIFS(出库明细!$G$4:$G$3003,出库明细!$C$4:$C$3003,$B279,出库明细!$B$4:$B$3003,"&gt;="&amp;年初日,出库明细!$B$4:$B$3003,"&lt;"&amp;$B$21)-SUMIFS(资金台帐!$S$7:$S$3006,资金台帐!$J$7:$J$3006,$B279,资金台帐!$P$7:$P$3006,"应收",资金台帐!$B$7:$B$3006,"&gt;="&amp;年初日,资金台帐!$B$7:$B$3006,"&lt;"&amp;$B$21))</f>
      </c>
      <c r="D279" s="186">
        <f>IF($B279="","",SUMIFS(出库明细!$G$4:$G$3003,出库明细!$C$4:$C$3003,$B279,出库明细!$B$4:$B$3003,"&gt;="&amp;$B$21,出库明细!$B$4:$B$3003,"&lt;="&amp;$D$21))</f>
      </c>
      <c r="E279" s="186">
        <f>IF($B279="","",SUMIFS(资金台帐!$S$7:$S$3006,资金台帐!$J$7:$J$3006,$B279,资金台帐!$P$7:$P$3006,"应收",资金台帐!$B$7:$B$3006,"&gt;="&amp;$B$21,资金台帐!$B$7:$B$3006,"&lt;="&amp;$D$21))</f>
      </c>
      <c r="F279" s="187">
        <f>IF($B279="","",C279+D279-E279)</f>
      </c>
      <c r="G279" s="141">
        <f>IF($B279="","",IF(ROUND(F279,2)=0,"已结清",IF(F279&gt;0,"有欠款","预存款")))</f>
      </c>
      <c r="H279" s="195">
        <f>IF($B279="","",_xlfn.MAXIFS(资金台帐!$B$7:$B$3006,资金台帐!$J$7:$J$3006,$B279,资金台帐!$P$7:$P$3006,"应收"))</f>
      </c>
    </row>
    <row r="280">
      <c r="A280" s="194">
        <f>IF(B280="","",257)</f>
      </c>
      <c r="B280" s="141">
        <f>IF(总览汇总!B261="","",总览汇总!B261)</f>
      </c>
      <c r="C280" s="186">
        <f>IF($B280="","",N(总览汇总!K261)+SUMIFS(出库明细!$G$4:$G$3003,出库明细!$C$4:$C$3003,$B280,出库明细!$B$4:$B$3003,"&gt;="&amp;年初日,出库明细!$B$4:$B$3003,"&lt;"&amp;$B$21)-SUMIFS(资金台帐!$S$7:$S$3006,资金台帐!$J$7:$J$3006,$B280,资金台帐!$P$7:$P$3006,"应收",资金台帐!$B$7:$B$3006,"&gt;="&amp;年初日,资金台帐!$B$7:$B$3006,"&lt;"&amp;$B$21))</f>
      </c>
      <c r="D280" s="186">
        <f>IF($B280="","",SUMIFS(出库明细!$G$4:$G$3003,出库明细!$C$4:$C$3003,$B280,出库明细!$B$4:$B$3003,"&gt;="&amp;$B$21,出库明细!$B$4:$B$3003,"&lt;="&amp;$D$21))</f>
      </c>
      <c r="E280" s="186">
        <f>IF($B280="","",SUMIFS(资金台帐!$S$7:$S$3006,资金台帐!$J$7:$J$3006,$B280,资金台帐!$P$7:$P$3006,"应收",资金台帐!$B$7:$B$3006,"&gt;="&amp;$B$21,资金台帐!$B$7:$B$3006,"&lt;="&amp;$D$21))</f>
      </c>
      <c r="F280" s="187">
        <f>IF($B280="","",C280+D280-E280)</f>
      </c>
      <c r="G280" s="141">
        <f>IF($B280="","",IF(ROUND(F280,2)=0,"已结清",IF(F280&gt;0,"有欠款","预存款")))</f>
      </c>
      <c r="H280" s="195">
        <f>IF($B280="","",_xlfn.MAXIFS(资金台帐!$B$7:$B$3006,资金台帐!$J$7:$J$3006,$B280,资金台帐!$P$7:$P$3006,"应收"))</f>
      </c>
    </row>
    <row r="281">
      <c r="A281" s="194">
        <f>IF(B281="","",258)</f>
      </c>
      <c r="B281" s="141">
        <f>IF(总览汇总!B262="","",总览汇总!B262)</f>
      </c>
      <c r="C281" s="186">
        <f>IF($B281="","",N(总览汇总!K262)+SUMIFS(出库明细!$G$4:$G$3003,出库明细!$C$4:$C$3003,$B281,出库明细!$B$4:$B$3003,"&gt;="&amp;年初日,出库明细!$B$4:$B$3003,"&lt;"&amp;$B$21)-SUMIFS(资金台帐!$S$7:$S$3006,资金台帐!$J$7:$J$3006,$B281,资金台帐!$P$7:$P$3006,"应收",资金台帐!$B$7:$B$3006,"&gt;="&amp;年初日,资金台帐!$B$7:$B$3006,"&lt;"&amp;$B$21))</f>
      </c>
      <c r="D281" s="186">
        <f>IF($B281="","",SUMIFS(出库明细!$G$4:$G$3003,出库明细!$C$4:$C$3003,$B281,出库明细!$B$4:$B$3003,"&gt;="&amp;$B$21,出库明细!$B$4:$B$3003,"&lt;="&amp;$D$21))</f>
      </c>
      <c r="E281" s="186">
        <f>IF($B281="","",SUMIFS(资金台帐!$S$7:$S$3006,资金台帐!$J$7:$J$3006,$B281,资金台帐!$P$7:$P$3006,"应收",资金台帐!$B$7:$B$3006,"&gt;="&amp;$B$21,资金台帐!$B$7:$B$3006,"&lt;="&amp;$D$21))</f>
      </c>
      <c r="F281" s="187">
        <f>IF($B281="","",C281+D281-E281)</f>
      </c>
      <c r="G281" s="141">
        <f>IF($B281="","",IF(ROUND(F281,2)=0,"已结清",IF(F281&gt;0,"有欠款","预存款")))</f>
      </c>
      <c r="H281" s="195">
        <f>IF($B281="","",_xlfn.MAXIFS(资金台帐!$B$7:$B$3006,资金台帐!$J$7:$J$3006,$B281,资金台帐!$P$7:$P$3006,"应收"))</f>
      </c>
    </row>
    <row r="282">
      <c r="A282" s="194">
        <f>IF(B282="","",259)</f>
      </c>
      <c r="B282" s="141">
        <f>IF(总览汇总!B263="","",总览汇总!B263)</f>
      </c>
      <c r="C282" s="186">
        <f>IF($B282="","",N(总览汇总!K263)+SUMIFS(出库明细!$G$4:$G$3003,出库明细!$C$4:$C$3003,$B282,出库明细!$B$4:$B$3003,"&gt;="&amp;年初日,出库明细!$B$4:$B$3003,"&lt;"&amp;$B$21)-SUMIFS(资金台帐!$S$7:$S$3006,资金台帐!$J$7:$J$3006,$B282,资金台帐!$P$7:$P$3006,"应收",资金台帐!$B$7:$B$3006,"&gt;="&amp;年初日,资金台帐!$B$7:$B$3006,"&lt;"&amp;$B$21))</f>
      </c>
      <c r="D282" s="186">
        <f>IF($B282="","",SUMIFS(出库明细!$G$4:$G$3003,出库明细!$C$4:$C$3003,$B282,出库明细!$B$4:$B$3003,"&gt;="&amp;$B$21,出库明细!$B$4:$B$3003,"&lt;="&amp;$D$21))</f>
      </c>
      <c r="E282" s="186">
        <f>IF($B282="","",SUMIFS(资金台帐!$S$7:$S$3006,资金台帐!$J$7:$J$3006,$B282,资金台帐!$P$7:$P$3006,"应收",资金台帐!$B$7:$B$3006,"&gt;="&amp;$B$21,资金台帐!$B$7:$B$3006,"&lt;="&amp;$D$21))</f>
      </c>
      <c r="F282" s="187">
        <f>IF($B282="","",C282+D282-E282)</f>
      </c>
      <c r="G282" s="141">
        <f>IF($B282="","",IF(ROUND(F282,2)=0,"已结清",IF(F282&gt;0,"有欠款","预存款")))</f>
      </c>
      <c r="H282" s="195">
        <f>IF($B282="","",_xlfn.MAXIFS(资金台帐!$B$7:$B$3006,资金台帐!$J$7:$J$3006,$B282,资金台帐!$P$7:$P$3006,"应收"))</f>
      </c>
    </row>
    <row r="283">
      <c r="A283" s="194">
        <f>IF(B283="","",260)</f>
      </c>
      <c r="B283" s="141">
        <f>IF(总览汇总!B264="","",总览汇总!B264)</f>
      </c>
      <c r="C283" s="186">
        <f>IF($B283="","",N(总览汇总!K264)+SUMIFS(出库明细!$G$4:$G$3003,出库明细!$C$4:$C$3003,$B283,出库明细!$B$4:$B$3003,"&gt;="&amp;年初日,出库明细!$B$4:$B$3003,"&lt;"&amp;$B$21)-SUMIFS(资金台帐!$S$7:$S$3006,资金台帐!$J$7:$J$3006,$B283,资金台帐!$P$7:$P$3006,"应收",资金台帐!$B$7:$B$3006,"&gt;="&amp;年初日,资金台帐!$B$7:$B$3006,"&lt;"&amp;$B$21))</f>
      </c>
      <c r="D283" s="186">
        <f>IF($B283="","",SUMIFS(出库明细!$G$4:$G$3003,出库明细!$C$4:$C$3003,$B283,出库明细!$B$4:$B$3003,"&gt;="&amp;$B$21,出库明细!$B$4:$B$3003,"&lt;="&amp;$D$21))</f>
      </c>
      <c r="E283" s="186">
        <f>IF($B283="","",SUMIFS(资金台帐!$S$7:$S$3006,资金台帐!$J$7:$J$3006,$B283,资金台帐!$P$7:$P$3006,"应收",资金台帐!$B$7:$B$3006,"&gt;="&amp;$B$21,资金台帐!$B$7:$B$3006,"&lt;="&amp;$D$21))</f>
      </c>
      <c r="F283" s="187">
        <f>IF($B283="","",C283+D283-E283)</f>
      </c>
      <c r="G283" s="141">
        <f>IF($B283="","",IF(ROUND(F283,2)=0,"已结清",IF(F283&gt;0,"有欠款","预存款")))</f>
      </c>
      <c r="H283" s="195">
        <f>IF($B283="","",_xlfn.MAXIFS(资金台帐!$B$7:$B$3006,资金台帐!$J$7:$J$3006,$B283,资金台帐!$P$7:$P$3006,"应收"))</f>
      </c>
    </row>
    <row r="284">
      <c r="A284" s="194">
        <f>IF(B284="","",261)</f>
      </c>
      <c r="B284" s="141">
        <f>IF(总览汇总!B265="","",总览汇总!B265)</f>
      </c>
      <c r="C284" s="186">
        <f>IF($B284="","",N(总览汇总!K265)+SUMIFS(出库明细!$G$4:$G$3003,出库明细!$C$4:$C$3003,$B284,出库明细!$B$4:$B$3003,"&gt;="&amp;年初日,出库明细!$B$4:$B$3003,"&lt;"&amp;$B$21)-SUMIFS(资金台帐!$S$7:$S$3006,资金台帐!$J$7:$J$3006,$B284,资金台帐!$P$7:$P$3006,"应收",资金台帐!$B$7:$B$3006,"&gt;="&amp;年初日,资金台帐!$B$7:$B$3006,"&lt;"&amp;$B$21))</f>
      </c>
      <c r="D284" s="186">
        <f>IF($B284="","",SUMIFS(出库明细!$G$4:$G$3003,出库明细!$C$4:$C$3003,$B284,出库明细!$B$4:$B$3003,"&gt;="&amp;$B$21,出库明细!$B$4:$B$3003,"&lt;="&amp;$D$21))</f>
      </c>
      <c r="E284" s="186">
        <f>IF($B284="","",SUMIFS(资金台帐!$S$7:$S$3006,资金台帐!$J$7:$J$3006,$B284,资金台帐!$P$7:$P$3006,"应收",资金台帐!$B$7:$B$3006,"&gt;="&amp;$B$21,资金台帐!$B$7:$B$3006,"&lt;="&amp;$D$21))</f>
      </c>
      <c r="F284" s="187">
        <f>IF($B284="","",C284+D284-E284)</f>
      </c>
      <c r="G284" s="141">
        <f>IF($B284="","",IF(ROUND(F284,2)=0,"已结清",IF(F284&gt;0,"有欠款","预存款")))</f>
      </c>
      <c r="H284" s="195">
        <f>IF($B284="","",_xlfn.MAXIFS(资金台帐!$B$7:$B$3006,资金台帐!$J$7:$J$3006,$B284,资金台帐!$P$7:$P$3006,"应收"))</f>
      </c>
    </row>
    <row r="285">
      <c r="A285" s="194">
        <f>IF(B285="","",262)</f>
      </c>
      <c r="B285" s="141">
        <f>IF(总览汇总!B266="","",总览汇总!B266)</f>
      </c>
      <c r="C285" s="186">
        <f>IF($B285="","",N(总览汇总!K266)+SUMIFS(出库明细!$G$4:$G$3003,出库明细!$C$4:$C$3003,$B285,出库明细!$B$4:$B$3003,"&gt;="&amp;年初日,出库明细!$B$4:$B$3003,"&lt;"&amp;$B$21)-SUMIFS(资金台帐!$S$7:$S$3006,资金台帐!$J$7:$J$3006,$B285,资金台帐!$P$7:$P$3006,"应收",资金台帐!$B$7:$B$3006,"&gt;="&amp;年初日,资金台帐!$B$7:$B$3006,"&lt;"&amp;$B$21))</f>
      </c>
      <c r="D285" s="186">
        <f>IF($B285="","",SUMIFS(出库明细!$G$4:$G$3003,出库明细!$C$4:$C$3003,$B285,出库明细!$B$4:$B$3003,"&gt;="&amp;$B$21,出库明细!$B$4:$B$3003,"&lt;="&amp;$D$21))</f>
      </c>
      <c r="E285" s="186">
        <f>IF($B285="","",SUMIFS(资金台帐!$S$7:$S$3006,资金台帐!$J$7:$J$3006,$B285,资金台帐!$P$7:$P$3006,"应收",资金台帐!$B$7:$B$3006,"&gt;="&amp;$B$21,资金台帐!$B$7:$B$3006,"&lt;="&amp;$D$21))</f>
      </c>
      <c r="F285" s="187">
        <f>IF($B285="","",C285+D285-E285)</f>
      </c>
      <c r="G285" s="141">
        <f>IF($B285="","",IF(ROUND(F285,2)=0,"已结清",IF(F285&gt;0,"有欠款","预存款")))</f>
      </c>
      <c r="H285" s="195">
        <f>IF($B285="","",_xlfn.MAXIFS(资金台帐!$B$7:$B$3006,资金台帐!$J$7:$J$3006,$B285,资金台帐!$P$7:$P$3006,"应收"))</f>
      </c>
    </row>
    <row r="286">
      <c r="A286" s="194">
        <f>IF(B286="","",263)</f>
      </c>
      <c r="B286" s="141">
        <f>IF(总览汇总!B267="","",总览汇总!B267)</f>
      </c>
      <c r="C286" s="186">
        <f>IF($B286="","",N(总览汇总!K267)+SUMIFS(出库明细!$G$4:$G$3003,出库明细!$C$4:$C$3003,$B286,出库明细!$B$4:$B$3003,"&gt;="&amp;年初日,出库明细!$B$4:$B$3003,"&lt;"&amp;$B$21)-SUMIFS(资金台帐!$S$7:$S$3006,资金台帐!$J$7:$J$3006,$B286,资金台帐!$P$7:$P$3006,"应收",资金台帐!$B$7:$B$3006,"&gt;="&amp;年初日,资金台帐!$B$7:$B$3006,"&lt;"&amp;$B$21))</f>
      </c>
      <c r="D286" s="186">
        <f>IF($B286="","",SUMIFS(出库明细!$G$4:$G$3003,出库明细!$C$4:$C$3003,$B286,出库明细!$B$4:$B$3003,"&gt;="&amp;$B$21,出库明细!$B$4:$B$3003,"&lt;="&amp;$D$21))</f>
      </c>
      <c r="E286" s="186">
        <f>IF($B286="","",SUMIFS(资金台帐!$S$7:$S$3006,资金台帐!$J$7:$J$3006,$B286,资金台帐!$P$7:$P$3006,"应收",资金台帐!$B$7:$B$3006,"&gt;="&amp;$B$21,资金台帐!$B$7:$B$3006,"&lt;="&amp;$D$21))</f>
      </c>
      <c r="F286" s="187">
        <f>IF($B286="","",C286+D286-E286)</f>
      </c>
      <c r="G286" s="141">
        <f>IF($B286="","",IF(ROUND(F286,2)=0,"已结清",IF(F286&gt;0,"有欠款","预存款")))</f>
      </c>
      <c r="H286" s="195">
        <f>IF($B286="","",_xlfn.MAXIFS(资金台帐!$B$7:$B$3006,资金台帐!$J$7:$J$3006,$B286,资金台帐!$P$7:$P$3006,"应收"))</f>
      </c>
    </row>
    <row r="287">
      <c r="A287" s="194">
        <f>IF(B287="","",264)</f>
      </c>
      <c r="B287" s="141">
        <f>IF(总览汇总!B268="","",总览汇总!B268)</f>
      </c>
      <c r="C287" s="186">
        <f>IF($B287="","",N(总览汇总!K268)+SUMIFS(出库明细!$G$4:$G$3003,出库明细!$C$4:$C$3003,$B287,出库明细!$B$4:$B$3003,"&gt;="&amp;年初日,出库明细!$B$4:$B$3003,"&lt;"&amp;$B$21)-SUMIFS(资金台帐!$S$7:$S$3006,资金台帐!$J$7:$J$3006,$B287,资金台帐!$P$7:$P$3006,"应收",资金台帐!$B$7:$B$3006,"&gt;="&amp;年初日,资金台帐!$B$7:$B$3006,"&lt;"&amp;$B$21))</f>
      </c>
      <c r="D287" s="186">
        <f>IF($B287="","",SUMIFS(出库明细!$G$4:$G$3003,出库明细!$C$4:$C$3003,$B287,出库明细!$B$4:$B$3003,"&gt;="&amp;$B$21,出库明细!$B$4:$B$3003,"&lt;="&amp;$D$21))</f>
      </c>
      <c r="E287" s="186">
        <f>IF($B287="","",SUMIFS(资金台帐!$S$7:$S$3006,资金台帐!$J$7:$J$3006,$B287,资金台帐!$P$7:$P$3006,"应收",资金台帐!$B$7:$B$3006,"&gt;="&amp;$B$21,资金台帐!$B$7:$B$3006,"&lt;="&amp;$D$21))</f>
      </c>
      <c r="F287" s="187">
        <f>IF($B287="","",C287+D287-E287)</f>
      </c>
      <c r="G287" s="141">
        <f>IF($B287="","",IF(ROUND(F287,2)=0,"已结清",IF(F287&gt;0,"有欠款","预存款")))</f>
      </c>
      <c r="H287" s="195">
        <f>IF($B287="","",_xlfn.MAXIFS(资金台帐!$B$7:$B$3006,资金台帐!$J$7:$J$3006,$B287,资金台帐!$P$7:$P$3006,"应收"))</f>
      </c>
    </row>
    <row r="288">
      <c r="A288" s="194">
        <f>IF(B288="","",265)</f>
      </c>
      <c r="B288" s="141">
        <f>IF(总览汇总!B269="","",总览汇总!B269)</f>
      </c>
      <c r="C288" s="186">
        <f>IF($B288="","",N(总览汇总!K269)+SUMIFS(出库明细!$G$4:$G$3003,出库明细!$C$4:$C$3003,$B288,出库明细!$B$4:$B$3003,"&gt;="&amp;年初日,出库明细!$B$4:$B$3003,"&lt;"&amp;$B$21)-SUMIFS(资金台帐!$S$7:$S$3006,资金台帐!$J$7:$J$3006,$B288,资金台帐!$P$7:$P$3006,"应收",资金台帐!$B$7:$B$3006,"&gt;="&amp;年初日,资金台帐!$B$7:$B$3006,"&lt;"&amp;$B$21))</f>
      </c>
      <c r="D288" s="186">
        <f>IF($B288="","",SUMIFS(出库明细!$G$4:$G$3003,出库明细!$C$4:$C$3003,$B288,出库明细!$B$4:$B$3003,"&gt;="&amp;$B$21,出库明细!$B$4:$B$3003,"&lt;="&amp;$D$21))</f>
      </c>
      <c r="E288" s="186">
        <f>IF($B288="","",SUMIFS(资金台帐!$S$7:$S$3006,资金台帐!$J$7:$J$3006,$B288,资金台帐!$P$7:$P$3006,"应收",资金台帐!$B$7:$B$3006,"&gt;="&amp;$B$21,资金台帐!$B$7:$B$3006,"&lt;="&amp;$D$21))</f>
      </c>
      <c r="F288" s="187">
        <f>IF($B288="","",C288+D288-E288)</f>
      </c>
      <c r="G288" s="141">
        <f>IF($B288="","",IF(ROUND(F288,2)=0,"已结清",IF(F288&gt;0,"有欠款","预存款")))</f>
      </c>
      <c r="H288" s="195">
        <f>IF($B288="","",_xlfn.MAXIFS(资金台帐!$B$7:$B$3006,资金台帐!$J$7:$J$3006,$B288,资金台帐!$P$7:$P$3006,"应收"))</f>
      </c>
    </row>
    <row r="289">
      <c r="A289" s="194">
        <f>IF(B289="","",266)</f>
      </c>
      <c r="B289" s="141">
        <f>IF(总览汇总!B270="","",总览汇总!B270)</f>
      </c>
      <c r="C289" s="186">
        <f>IF($B289="","",N(总览汇总!K270)+SUMIFS(出库明细!$G$4:$G$3003,出库明细!$C$4:$C$3003,$B289,出库明细!$B$4:$B$3003,"&gt;="&amp;年初日,出库明细!$B$4:$B$3003,"&lt;"&amp;$B$21)-SUMIFS(资金台帐!$S$7:$S$3006,资金台帐!$J$7:$J$3006,$B289,资金台帐!$P$7:$P$3006,"应收",资金台帐!$B$7:$B$3006,"&gt;="&amp;年初日,资金台帐!$B$7:$B$3006,"&lt;"&amp;$B$21))</f>
      </c>
      <c r="D289" s="186">
        <f>IF($B289="","",SUMIFS(出库明细!$G$4:$G$3003,出库明细!$C$4:$C$3003,$B289,出库明细!$B$4:$B$3003,"&gt;="&amp;$B$21,出库明细!$B$4:$B$3003,"&lt;="&amp;$D$21))</f>
      </c>
      <c r="E289" s="186">
        <f>IF($B289="","",SUMIFS(资金台帐!$S$7:$S$3006,资金台帐!$J$7:$J$3006,$B289,资金台帐!$P$7:$P$3006,"应收",资金台帐!$B$7:$B$3006,"&gt;="&amp;$B$21,资金台帐!$B$7:$B$3006,"&lt;="&amp;$D$21))</f>
      </c>
      <c r="F289" s="187">
        <f>IF($B289="","",C289+D289-E289)</f>
      </c>
      <c r="G289" s="141">
        <f>IF($B289="","",IF(ROUND(F289,2)=0,"已结清",IF(F289&gt;0,"有欠款","预存款")))</f>
      </c>
      <c r="H289" s="195">
        <f>IF($B289="","",_xlfn.MAXIFS(资金台帐!$B$7:$B$3006,资金台帐!$J$7:$J$3006,$B289,资金台帐!$P$7:$P$3006,"应收"))</f>
      </c>
    </row>
    <row r="290">
      <c r="A290" s="194">
        <f>IF(B290="","",267)</f>
      </c>
      <c r="B290" s="141">
        <f>IF(总览汇总!B271="","",总览汇总!B271)</f>
      </c>
      <c r="C290" s="186">
        <f>IF($B290="","",N(总览汇总!K271)+SUMIFS(出库明细!$G$4:$G$3003,出库明细!$C$4:$C$3003,$B290,出库明细!$B$4:$B$3003,"&gt;="&amp;年初日,出库明细!$B$4:$B$3003,"&lt;"&amp;$B$21)-SUMIFS(资金台帐!$S$7:$S$3006,资金台帐!$J$7:$J$3006,$B290,资金台帐!$P$7:$P$3006,"应收",资金台帐!$B$7:$B$3006,"&gt;="&amp;年初日,资金台帐!$B$7:$B$3006,"&lt;"&amp;$B$21))</f>
      </c>
      <c r="D290" s="186">
        <f>IF($B290="","",SUMIFS(出库明细!$G$4:$G$3003,出库明细!$C$4:$C$3003,$B290,出库明细!$B$4:$B$3003,"&gt;="&amp;$B$21,出库明细!$B$4:$B$3003,"&lt;="&amp;$D$21))</f>
      </c>
      <c r="E290" s="186">
        <f>IF($B290="","",SUMIFS(资金台帐!$S$7:$S$3006,资金台帐!$J$7:$J$3006,$B290,资金台帐!$P$7:$P$3006,"应收",资金台帐!$B$7:$B$3006,"&gt;="&amp;$B$21,资金台帐!$B$7:$B$3006,"&lt;="&amp;$D$21))</f>
      </c>
      <c r="F290" s="187">
        <f>IF($B290="","",C290+D290-E290)</f>
      </c>
      <c r="G290" s="141">
        <f>IF($B290="","",IF(ROUND(F290,2)=0,"已结清",IF(F290&gt;0,"有欠款","预存款")))</f>
      </c>
      <c r="H290" s="195">
        <f>IF($B290="","",_xlfn.MAXIFS(资金台帐!$B$7:$B$3006,资金台帐!$J$7:$J$3006,$B290,资金台帐!$P$7:$P$3006,"应收"))</f>
      </c>
    </row>
    <row r="291">
      <c r="A291" s="194">
        <f>IF(B291="","",268)</f>
      </c>
      <c r="B291" s="141">
        <f>IF(总览汇总!B272="","",总览汇总!B272)</f>
      </c>
      <c r="C291" s="186">
        <f>IF($B291="","",N(总览汇总!K272)+SUMIFS(出库明细!$G$4:$G$3003,出库明细!$C$4:$C$3003,$B291,出库明细!$B$4:$B$3003,"&gt;="&amp;年初日,出库明细!$B$4:$B$3003,"&lt;"&amp;$B$21)-SUMIFS(资金台帐!$S$7:$S$3006,资金台帐!$J$7:$J$3006,$B291,资金台帐!$P$7:$P$3006,"应收",资金台帐!$B$7:$B$3006,"&gt;="&amp;年初日,资金台帐!$B$7:$B$3006,"&lt;"&amp;$B$21))</f>
      </c>
      <c r="D291" s="186">
        <f>IF($B291="","",SUMIFS(出库明细!$G$4:$G$3003,出库明细!$C$4:$C$3003,$B291,出库明细!$B$4:$B$3003,"&gt;="&amp;$B$21,出库明细!$B$4:$B$3003,"&lt;="&amp;$D$21))</f>
      </c>
      <c r="E291" s="186">
        <f>IF($B291="","",SUMIFS(资金台帐!$S$7:$S$3006,资金台帐!$J$7:$J$3006,$B291,资金台帐!$P$7:$P$3006,"应收",资金台帐!$B$7:$B$3006,"&gt;="&amp;$B$21,资金台帐!$B$7:$B$3006,"&lt;="&amp;$D$21))</f>
      </c>
      <c r="F291" s="187">
        <f>IF($B291="","",C291+D291-E291)</f>
      </c>
      <c r="G291" s="141">
        <f>IF($B291="","",IF(ROUND(F291,2)=0,"已结清",IF(F291&gt;0,"有欠款","预存款")))</f>
      </c>
      <c r="H291" s="195">
        <f>IF($B291="","",_xlfn.MAXIFS(资金台帐!$B$7:$B$3006,资金台帐!$J$7:$J$3006,$B291,资金台帐!$P$7:$P$3006,"应收"))</f>
      </c>
    </row>
    <row r="292">
      <c r="A292" s="194">
        <f>IF(B292="","",269)</f>
      </c>
      <c r="B292" s="141">
        <f>IF(总览汇总!B273="","",总览汇总!B273)</f>
      </c>
      <c r="C292" s="186">
        <f>IF($B292="","",N(总览汇总!K273)+SUMIFS(出库明细!$G$4:$G$3003,出库明细!$C$4:$C$3003,$B292,出库明细!$B$4:$B$3003,"&gt;="&amp;年初日,出库明细!$B$4:$B$3003,"&lt;"&amp;$B$21)-SUMIFS(资金台帐!$S$7:$S$3006,资金台帐!$J$7:$J$3006,$B292,资金台帐!$P$7:$P$3006,"应收",资金台帐!$B$7:$B$3006,"&gt;="&amp;年初日,资金台帐!$B$7:$B$3006,"&lt;"&amp;$B$21))</f>
      </c>
      <c r="D292" s="186">
        <f>IF($B292="","",SUMIFS(出库明细!$G$4:$G$3003,出库明细!$C$4:$C$3003,$B292,出库明细!$B$4:$B$3003,"&gt;="&amp;$B$21,出库明细!$B$4:$B$3003,"&lt;="&amp;$D$21))</f>
      </c>
      <c r="E292" s="186">
        <f>IF($B292="","",SUMIFS(资金台帐!$S$7:$S$3006,资金台帐!$J$7:$J$3006,$B292,资金台帐!$P$7:$P$3006,"应收",资金台帐!$B$7:$B$3006,"&gt;="&amp;$B$21,资金台帐!$B$7:$B$3006,"&lt;="&amp;$D$21))</f>
      </c>
      <c r="F292" s="187">
        <f>IF($B292="","",C292+D292-E292)</f>
      </c>
      <c r="G292" s="141">
        <f>IF($B292="","",IF(ROUND(F292,2)=0,"已结清",IF(F292&gt;0,"有欠款","预存款")))</f>
      </c>
      <c r="H292" s="195">
        <f>IF($B292="","",_xlfn.MAXIFS(资金台帐!$B$7:$B$3006,资金台帐!$J$7:$J$3006,$B292,资金台帐!$P$7:$P$3006,"应收"))</f>
      </c>
    </row>
    <row r="293">
      <c r="A293" s="194">
        <f>IF(B293="","",270)</f>
      </c>
      <c r="B293" s="141">
        <f>IF(总览汇总!B274="","",总览汇总!B274)</f>
      </c>
      <c r="C293" s="186">
        <f>IF($B293="","",N(总览汇总!K274)+SUMIFS(出库明细!$G$4:$G$3003,出库明细!$C$4:$C$3003,$B293,出库明细!$B$4:$B$3003,"&gt;="&amp;年初日,出库明细!$B$4:$B$3003,"&lt;"&amp;$B$21)-SUMIFS(资金台帐!$S$7:$S$3006,资金台帐!$J$7:$J$3006,$B293,资金台帐!$P$7:$P$3006,"应收",资金台帐!$B$7:$B$3006,"&gt;="&amp;年初日,资金台帐!$B$7:$B$3006,"&lt;"&amp;$B$21))</f>
      </c>
      <c r="D293" s="186">
        <f>IF($B293="","",SUMIFS(出库明细!$G$4:$G$3003,出库明细!$C$4:$C$3003,$B293,出库明细!$B$4:$B$3003,"&gt;="&amp;$B$21,出库明细!$B$4:$B$3003,"&lt;="&amp;$D$21))</f>
      </c>
      <c r="E293" s="186">
        <f>IF($B293="","",SUMIFS(资金台帐!$S$7:$S$3006,资金台帐!$J$7:$J$3006,$B293,资金台帐!$P$7:$P$3006,"应收",资金台帐!$B$7:$B$3006,"&gt;="&amp;$B$21,资金台帐!$B$7:$B$3006,"&lt;="&amp;$D$21))</f>
      </c>
      <c r="F293" s="187">
        <f>IF($B293="","",C293+D293-E293)</f>
      </c>
      <c r="G293" s="141">
        <f>IF($B293="","",IF(ROUND(F293,2)=0,"已结清",IF(F293&gt;0,"有欠款","预存款")))</f>
      </c>
      <c r="H293" s="195">
        <f>IF($B293="","",_xlfn.MAXIFS(资金台帐!$B$7:$B$3006,资金台帐!$J$7:$J$3006,$B293,资金台帐!$P$7:$P$3006,"应收"))</f>
      </c>
    </row>
    <row r="294">
      <c r="A294" s="194">
        <f>IF(B294="","",271)</f>
      </c>
      <c r="B294" s="141">
        <f>IF(总览汇总!B275="","",总览汇总!B275)</f>
      </c>
      <c r="C294" s="186">
        <f>IF($B294="","",N(总览汇总!K275)+SUMIFS(出库明细!$G$4:$G$3003,出库明细!$C$4:$C$3003,$B294,出库明细!$B$4:$B$3003,"&gt;="&amp;年初日,出库明细!$B$4:$B$3003,"&lt;"&amp;$B$21)-SUMIFS(资金台帐!$S$7:$S$3006,资金台帐!$J$7:$J$3006,$B294,资金台帐!$P$7:$P$3006,"应收",资金台帐!$B$7:$B$3006,"&gt;="&amp;年初日,资金台帐!$B$7:$B$3006,"&lt;"&amp;$B$21))</f>
      </c>
      <c r="D294" s="186">
        <f>IF($B294="","",SUMIFS(出库明细!$G$4:$G$3003,出库明细!$C$4:$C$3003,$B294,出库明细!$B$4:$B$3003,"&gt;="&amp;$B$21,出库明细!$B$4:$B$3003,"&lt;="&amp;$D$21))</f>
      </c>
      <c r="E294" s="186">
        <f>IF($B294="","",SUMIFS(资金台帐!$S$7:$S$3006,资金台帐!$J$7:$J$3006,$B294,资金台帐!$P$7:$P$3006,"应收",资金台帐!$B$7:$B$3006,"&gt;="&amp;$B$21,资金台帐!$B$7:$B$3006,"&lt;="&amp;$D$21))</f>
      </c>
      <c r="F294" s="187">
        <f>IF($B294="","",C294+D294-E294)</f>
      </c>
      <c r="G294" s="141">
        <f>IF($B294="","",IF(ROUND(F294,2)=0,"已结清",IF(F294&gt;0,"有欠款","预存款")))</f>
      </c>
      <c r="H294" s="195">
        <f>IF($B294="","",_xlfn.MAXIFS(资金台帐!$B$7:$B$3006,资金台帐!$J$7:$J$3006,$B294,资金台帐!$P$7:$P$3006,"应收"))</f>
      </c>
    </row>
    <row r="295">
      <c r="A295" s="194">
        <f>IF(B295="","",272)</f>
      </c>
      <c r="B295" s="141">
        <f>IF(总览汇总!B276="","",总览汇总!B276)</f>
      </c>
      <c r="C295" s="186">
        <f>IF($B295="","",N(总览汇总!K276)+SUMIFS(出库明细!$G$4:$G$3003,出库明细!$C$4:$C$3003,$B295,出库明细!$B$4:$B$3003,"&gt;="&amp;年初日,出库明细!$B$4:$B$3003,"&lt;"&amp;$B$21)-SUMIFS(资金台帐!$S$7:$S$3006,资金台帐!$J$7:$J$3006,$B295,资金台帐!$P$7:$P$3006,"应收",资金台帐!$B$7:$B$3006,"&gt;="&amp;年初日,资金台帐!$B$7:$B$3006,"&lt;"&amp;$B$21))</f>
      </c>
      <c r="D295" s="186">
        <f>IF($B295="","",SUMIFS(出库明细!$G$4:$G$3003,出库明细!$C$4:$C$3003,$B295,出库明细!$B$4:$B$3003,"&gt;="&amp;$B$21,出库明细!$B$4:$B$3003,"&lt;="&amp;$D$21))</f>
      </c>
      <c r="E295" s="186">
        <f>IF($B295="","",SUMIFS(资金台帐!$S$7:$S$3006,资金台帐!$J$7:$J$3006,$B295,资金台帐!$P$7:$P$3006,"应收",资金台帐!$B$7:$B$3006,"&gt;="&amp;$B$21,资金台帐!$B$7:$B$3006,"&lt;="&amp;$D$21))</f>
      </c>
      <c r="F295" s="187">
        <f>IF($B295="","",C295+D295-E295)</f>
      </c>
      <c r="G295" s="141">
        <f>IF($B295="","",IF(ROUND(F295,2)=0,"已结清",IF(F295&gt;0,"有欠款","预存款")))</f>
      </c>
      <c r="H295" s="195">
        <f>IF($B295="","",_xlfn.MAXIFS(资金台帐!$B$7:$B$3006,资金台帐!$J$7:$J$3006,$B295,资金台帐!$P$7:$P$3006,"应收"))</f>
      </c>
    </row>
    <row r="296">
      <c r="A296" s="194">
        <f>IF(B296="","",273)</f>
      </c>
      <c r="B296" s="141">
        <f>IF(总览汇总!B277="","",总览汇总!B277)</f>
      </c>
      <c r="C296" s="186">
        <f>IF($B296="","",N(总览汇总!K277)+SUMIFS(出库明细!$G$4:$G$3003,出库明细!$C$4:$C$3003,$B296,出库明细!$B$4:$B$3003,"&gt;="&amp;年初日,出库明细!$B$4:$B$3003,"&lt;"&amp;$B$21)-SUMIFS(资金台帐!$S$7:$S$3006,资金台帐!$J$7:$J$3006,$B296,资金台帐!$P$7:$P$3006,"应收",资金台帐!$B$7:$B$3006,"&gt;="&amp;年初日,资金台帐!$B$7:$B$3006,"&lt;"&amp;$B$21))</f>
      </c>
      <c r="D296" s="186">
        <f>IF($B296="","",SUMIFS(出库明细!$G$4:$G$3003,出库明细!$C$4:$C$3003,$B296,出库明细!$B$4:$B$3003,"&gt;="&amp;$B$21,出库明细!$B$4:$B$3003,"&lt;="&amp;$D$21))</f>
      </c>
      <c r="E296" s="186">
        <f>IF($B296="","",SUMIFS(资金台帐!$S$7:$S$3006,资金台帐!$J$7:$J$3006,$B296,资金台帐!$P$7:$P$3006,"应收",资金台帐!$B$7:$B$3006,"&gt;="&amp;$B$21,资金台帐!$B$7:$B$3006,"&lt;="&amp;$D$21))</f>
      </c>
      <c r="F296" s="187">
        <f>IF($B296="","",C296+D296-E296)</f>
      </c>
      <c r="G296" s="141">
        <f>IF($B296="","",IF(ROUND(F296,2)=0,"已结清",IF(F296&gt;0,"有欠款","预存款")))</f>
      </c>
      <c r="H296" s="195">
        <f>IF($B296="","",_xlfn.MAXIFS(资金台帐!$B$7:$B$3006,资金台帐!$J$7:$J$3006,$B296,资金台帐!$P$7:$P$3006,"应收"))</f>
      </c>
    </row>
    <row r="297">
      <c r="A297" s="194">
        <f>IF(B297="","",274)</f>
      </c>
      <c r="B297" s="141">
        <f>IF(总览汇总!B278="","",总览汇总!B278)</f>
      </c>
      <c r="C297" s="186">
        <f>IF($B297="","",N(总览汇总!K278)+SUMIFS(出库明细!$G$4:$G$3003,出库明细!$C$4:$C$3003,$B297,出库明细!$B$4:$B$3003,"&gt;="&amp;年初日,出库明细!$B$4:$B$3003,"&lt;"&amp;$B$21)-SUMIFS(资金台帐!$S$7:$S$3006,资金台帐!$J$7:$J$3006,$B297,资金台帐!$P$7:$P$3006,"应收",资金台帐!$B$7:$B$3006,"&gt;="&amp;年初日,资金台帐!$B$7:$B$3006,"&lt;"&amp;$B$21))</f>
      </c>
      <c r="D297" s="186">
        <f>IF($B297="","",SUMIFS(出库明细!$G$4:$G$3003,出库明细!$C$4:$C$3003,$B297,出库明细!$B$4:$B$3003,"&gt;="&amp;$B$21,出库明细!$B$4:$B$3003,"&lt;="&amp;$D$21))</f>
      </c>
      <c r="E297" s="186">
        <f>IF($B297="","",SUMIFS(资金台帐!$S$7:$S$3006,资金台帐!$J$7:$J$3006,$B297,资金台帐!$P$7:$P$3006,"应收",资金台帐!$B$7:$B$3006,"&gt;="&amp;$B$21,资金台帐!$B$7:$B$3006,"&lt;="&amp;$D$21))</f>
      </c>
      <c r="F297" s="187">
        <f>IF($B297="","",C297+D297-E297)</f>
      </c>
      <c r="G297" s="141">
        <f>IF($B297="","",IF(ROUND(F297,2)=0,"已结清",IF(F297&gt;0,"有欠款","预存款")))</f>
      </c>
      <c r="H297" s="195">
        <f>IF($B297="","",_xlfn.MAXIFS(资金台帐!$B$7:$B$3006,资金台帐!$J$7:$J$3006,$B297,资金台帐!$P$7:$P$3006,"应收"))</f>
      </c>
    </row>
    <row r="298">
      <c r="A298" s="194">
        <f>IF(B298="","",275)</f>
      </c>
      <c r="B298" s="141">
        <f>IF(总览汇总!B279="","",总览汇总!B279)</f>
      </c>
      <c r="C298" s="186">
        <f>IF($B298="","",N(总览汇总!K279)+SUMIFS(出库明细!$G$4:$G$3003,出库明细!$C$4:$C$3003,$B298,出库明细!$B$4:$B$3003,"&gt;="&amp;年初日,出库明细!$B$4:$B$3003,"&lt;"&amp;$B$21)-SUMIFS(资金台帐!$S$7:$S$3006,资金台帐!$J$7:$J$3006,$B298,资金台帐!$P$7:$P$3006,"应收",资金台帐!$B$7:$B$3006,"&gt;="&amp;年初日,资金台帐!$B$7:$B$3006,"&lt;"&amp;$B$21))</f>
      </c>
      <c r="D298" s="186">
        <f>IF($B298="","",SUMIFS(出库明细!$G$4:$G$3003,出库明细!$C$4:$C$3003,$B298,出库明细!$B$4:$B$3003,"&gt;="&amp;$B$21,出库明细!$B$4:$B$3003,"&lt;="&amp;$D$21))</f>
      </c>
      <c r="E298" s="186">
        <f>IF($B298="","",SUMIFS(资金台帐!$S$7:$S$3006,资金台帐!$J$7:$J$3006,$B298,资金台帐!$P$7:$P$3006,"应收",资金台帐!$B$7:$B$3006,"&gt;="&amp;$B$21,资金台帐!$B$7:$B$3006,"&lt;="&amp;$D$21))</f>
      </c>
      <c r="F298" s="187">
        <f>IF($B298="","",C298+D298-E298)</f>
      </c>
      <c r="G298" s="141">
        <f>IF($B298="","",IF(ROUND(F298,2)=0,"已结清",IF(F298&gt;0,"有欠款","预存款")))</f>
      </c>
      <c r="H298" s="195">
        <f>IF($B298="","",_xlfn.MAXIFS(资金台帐!$B$7:$B$3006,资金台帐!$J$7:$J$3006,$B298,资金台帐!$P$7:$P$3006,"应收"))</f>
      </c>
    </row>
    <row r="299">
      <c r="A299" s="194">
        <f>IF(B299="","",276)</f>
      </c>
      <c r="B299" s="141">
        <f>IF(总览汇总!B280="","",总览汇总!B280)</f>
      </c>
      <c r="C299" s="186">
        <f>IF($B299="","",N(总览汇总!K280)+SUMIFS(出库明细!$G$4:$G$3003,出库明细!$C$4:$C$3003,$B299,出库明细!$B$4:$B$3003,"&gt;="&amp;年初日,出库明细!$B$4:$B$3003,"&lt;"&amp;$B$21)-SUMIFS(资金台帐!$S$7:$S$3006,资金台帐!$J$7:$J$3006,$B299,资金台帐!$P$7:$P$3006,"应收",资金台帐!$B$7:$B$3006,"&gt;="&amp;年初日,资金台帐!$B$7:$B$3006,"&lt;"&amp;$B$21))</f>
      </c>
      <c r="D299" s="186">
        <f>IF($B299="","",SUMIFS(出库明细!$G$4:$G$3003,出库明细!$C$4:$C$3003,$B299,出库明细!$B$4:$B$3003,"&gt;="&amp;$B$21,出库明细!$B$4:$B$3003,"&lt;="&amp;$D$21))</f>
      </c>
      <c r="E299" s="186">
        <f>IF($B299="","",SUMIFS(资金台帐!$S$7:$S$3006,资金台帐!$J$7:$J$3006,$B299,资金台帐!$P$7:$P$3006,"应收",资金台帐!$B$7:$B$3006,"&gt;="&amp;$B$21,资金台帐!$B$7:$B$3006,"&lt;="&amp;$D$21))</f>
      </c>
      <c r="F299" s="187">
        <f>IF($B299="","",C299+D299-E299)</f>
      </c>
      <c r="G299" s="141">
        <f>IF($B299="","",IF(ROUND(F299,2)=0,"已结清",IF(F299&gt;0,"有欠款","预存款")))</f>
      </c>
      <c r="H299" s="195">
        <f>IF($B299="","",_xlfn.MAXIFS(资金台帐!$B$7:$B$3006,资金台帐!$J$7:$J$3006,$B299,资金台帐!$P$7:$P$3006,"应收"))</f>
      </c>
    </row>
    <row r="300">
      <c r="A300" s="194">
        <f>IF(B300="","",277)</f>
      </c>
      <c r="B300" s="141">
        <f>IF(总览汇总!B281="","",总览汇总!B281)</f>
      </c>
      <c r="C300" s="186">
        <f>IF($B300="","",N(总览汇总!K281)+SUMIFS(出库明细!$G$4:$G$3003,出库明细!$C$4:$C$3003,$B300,出库明细!$B$4:$B$3003,"&gt;="&amp;年初日,出库明细!$B$4:$B$3003,"&lt;"&amp;$B$21)-SUMIFS(资金台帐!$S$7:$S$3006,资金台帐!$J$7:$J$3006,$B300,资金台帐!$P$7:$P$3006,"应收",资金台帐!$B$7:$B$3006,"&gt;="&amp;年初日,资金台帐!$B$7:$B$3006,"&lt;"&amp;$B$21))</f>
      </c>
      <c r="D300" s="186">
        <f>IF($B300="","",SUMIFS(出库明细!$G$4:$G$3003,出库明细!$C$4:$C$3003,$B300,出库明细!$B$4:$B$3003,"&gt;="&amp;$B$21,出库明细!$B$4:$B$3003,"&lt;="&amp;$D$21))</f>
      </c>
      <c r="E300" s="186">
        <f>IF($B300="","",SUMIFS(资金台帐!$S$7:$S$3006,资金台帐!$J$7:$J$3006,$B300,资金台帐!$P$7:$P$3006,"应收",资金台帐!$B$7:$B$3006,"&gt;="&amp;$B$21,资金台帐!$B$7:$B$3006,"&lt;="&amp;$D$21))</f>
      </c>
      <c r="F300" s="187">
        <f>IF($B300="","",C300+D300-E300)</f>
      </c>
      <c r="G300" s="141">
        <f>IF($B300="","",IF(ROUND(F300,2)=0,"已结清",IF(F300&gt;0,"有欠款","预存款")))</f>
      </c>
      <c r="H300" s="195">
        <f>IF($B300="","",_xlfn.MAXIFS(资金台帐!$B$7:$B$3006,资金台帐!$J$7:$J$3006,$B300,资金台帐!$P$7:$P$3006,"应收"))</f>
      </c>
    </row>
    <row r="301">
      <c r="A301" s="194">
        <f>IF(B301="","",278)</f>
      </c>
      <c r="B301" s="141">
        <f>IF(总览汇总!B282="","",总览汇总!B282)</f>
      </c>
      <c r="C301" s="186">
        <f>IF($B301="","",N(总览汇总!K282)+SUMIFS(出库明细!$G$4:$G$3003,出库明细!$C$4:$C$3003,$B301,出库明细!$B$4:$B$3003,"&gt;="&amp;年初日,出库明细!$B$4:$B$3003,"&lt;"&amp;$B$21)-SUMIFS(资金台帐!$S$7:$S$3006,资金台帐!$J$7:$J$3006,$B301,资金台帐!$P$7:$P$3006,"应收",资金台帐!$B$7:$B$3006,"&gt;="&amp;年初日,资金台帐!$B$7:$B$3006,"&lt;"&amp;$B$21))</f>
      </c>
      <c r="D301" s="186">
        <f>IF($B301="","",SUMIFS(出库明细!$G$4:$G$3003,出库明细!$C$4:$C$3003,$B301,出库明细!$B$4:$B$3003,"&gt;="&amp;$B$21,出库明细!$B$4:$B$3003,"&lt;="&amp;$D$21))</f>
      </c>
      <c r="E301" s="186">
        <f>IF($B301="","",SUMIFS(资金台帐!$S$7:$S$3006,资金台帐!$J$7:$J$3006,$B301,资金台帐!$P$7:$P$3006,"应收",资金台帐!$B$7:$B$3006,"&gt;="&amp;$B$21,资金台帐!$B$7:$B$3006,"&lt;="&amp;$D$21))</f>
      </c>
      <c r="F301" s="187">
        <f>IF($B301="","",C301+D301-E301)</f>
      </c>
      <c r="G301" s="141">
        <f>IF($B301="","",IF(ROUND(F301,2)=0,"已结清",IF(F301&gt;0,"有欠款","预存款")))</f>
      </c>
      <c r="H301" s="195">
        <f>IF($B301="","",_xlfn.MAXIFS(资金台帐!$B$7:$B$3006,资金台帐!$J$7:$J$3006,$B301,资金台帐!$P$7:$P$3006,"应收"))</f>
      </c>
    </row>
    <row r="302">
      <c r="A302" s="194">
        <f>IF(B302="","",279)</f>
      </c>
      <c r="B302" s="141">
        <f>IF(总览汇总!B283="","",总览汇总!B283)</f>
      </c>
      <c r="C302" s="186">
        <f>IF($B302="","",N(总览汇总!K283)+SUMIFS(出库明细!$G$4:$G$3003,出库明细!$C$4:$C$3003,$B302,出库明细!$B$4:$B$3003,"&gt;="&amp;年初日,出库明细!$B$4:$B$3003,"&lt;"&amp;$B$21)-SUMIFS(资金台帐!$S$7:$S$3006,资金台帐!$J$7:$J$3006,$B302,资金台帐!$P$7:$P$3006,"应收",资金台帐!$B$7:$B$3006,"&gt;="&amp;年初日,资金台帐!$B$7:$B$3006,"&lt;"&amp;$B$21))</f>
      </c>
      <c r="D302" s="186">
        <f>IF($B302="","",SUMIFS(出库明细!$G$4:$G$3003,出库明细!$C$4:$C$3003,$B302,出库明细!$B$4:$B$3003,"&gt;="&amp;$B$21,出库明细!$B$4:$B$3003,"&lt;="&amp;$D$21))</f>
      </c>
      <c r="E302" s="186">
        <f>IF($B302="","",SUMIFS(资金台帐!$S$7:$S$3006,资金台帐!$J$7:$J$3006,$B302,资金台帐!$P$7:$P$3006,"应收",资金台帐!$B$7:$B$3006,"&gt;="&amp;$B$21,资金台帐!$B$7:$B$3006,"&lt;="&amp;$D$21))</f>
      </c>
      <c r="F302" s="187">
        <f>IF($B302="","",C302+D302-E302)</f>
      </c>
      <c r="G302" s="141">
        <f>IF($B302="","",IF(ROUND(F302,2)=0,"已结清",IF(F302&gt;0,"有欠款","预存款")))</f>
      </c>
      <c r="H302" s="195">
        <f>IF($B302="","",_xlfn.MAXIFS(资金台帐!$B$7:$B$3006,资金台帐!$J$7:$J$3006,$B302,资金台帐!$P$7:$P$3006,"应收"))</f>
      </c>
    </row>
    <row r="303">
      <c r="A303" s="194">
        <f>IF(B303="","",280)</f>
      </c>
      <c r="B303" s="141">
        <f>IF(总览汇总!B284="","",总览汇总!B284)</f>
      </c>
      <c r="C303" s="186">
        <f>IF($B303="","",N(总览汇总!K284)+SUMIFS(出库明细!$G$4:$G$3003,出库明细!$C$4:$C$3003,$B303,出库明细!$B$4:$B$3003,"&gt;="&amp;年初日,出库明细!$B$4:$B$3003,"&lt;"&amp;$B$21)-SUMIFS(资金台帐!$S$7:$S$3006,资金台帐!$J$7:$J$3006,$B303,资金台帐!$P$7:$P$3006,"应收",资金台帐!$B$7:$B$3006,"&gt;="&amp;年初日,资金台帐!$B$7:$B$3006,"&lt;"&amp;$B$21))</f>
      </c>
      <c r="D303" s="186">
        <f>IF($B303="","",SUMIFS(出库明细!$G$4:$G$3003,出库明细!$C$4:$C$3003,$B303,出库明细!$B$4:$B$3003,"&gt;="&amp;$B$21,出库明细!$B$4:$B$3003,"&lt;="&amp;$D$21))</f>
      </c>
      <c r="E303" s="186">
        <f>IF($B303="","",SUMIFS(资金台帐!$S$7:$S$3006,资金台帐!$J$7:$J$3006,$B303,资金台帐!$P$7:$P$3006,"应收",资金台帐!$B$7:$B$3006,"&gt;="&amp;$B$21,资金台帐!$B$7:$B$3006,"&lt;="&amp;$D$21))</f>
      </c>
      <c r="F303" s="187">
        <f>IF($B303="","",C303+D303-E303)</f>
      </c>
      <c r="G303" s="141">
        <f>IF($B303="","",IF(ROUND(F303,2)=0,"已结清",IF(F303&gt;0,"有欠款","预存款")))</f>
      </c>
      <c r="H303" s="195">
        <f>IF($B303="","",_xlfn.MAXIFS(资金台帐!$B$7:$B$3006,资金台帐!$J$7:$J$3006,$B303,资金台帐!$P$7:$P$3006,"应收"))</f>
      </c>
    </row>
    <row r="304">
      <c r="A304" s="194">
        <f>IF(B304="","",281)</f>
      </c>
      <c r="B304" s="141">
        <f>IF(总览汇总!B285="","",总览汇总!B285)</f>
      </c>
      <c r="C304" s="186">
        <f>IF($B304="","",N(总览汇总!K285)+SUMIFS(出库明细!$G$4:$G$3003,出库明细!$C$4:$C$3003,$B304,出库明细!$B$4:$B$3003,"&gt;="&amp;年初日,出库明细!$B$4:$B$3003,"&lt;"&amp;$B$21)-SUMIFS(资金台帐!$S$7:$S$3006,资金台帐!$J$7:$J$3006,$B304,资金台帐!$P$7:$P$3006,"应收",资金台帐!$B$7:$B$3006,"&gt;="&amp;年初日,资金台帐!$B$7:$B$3006,"&lt;"&amp;$B$21))</f>
      </c>
      <c r="D304" s="186">
        <f>IF($B304="","",SUMIFS(出库明细!$G$4:$G$3003,出库明细!$C$4:$C$3003,$B304,出库明细!$B$4:$B$3003,"&gt;="&amp;$B$21,出库明细!$B$4:$B$3003,"&lt;="&amp;$D$21))</f>
      </c>
      <c r="E304" s="186">
        <f>IF($B304="","",SUMIFS(资金台帐!$S$7:$S$3006,资金台帐!$J$7:$J$3006,$B304,资金台帐!$P$7:$P$3006,"应收",资金台帐!$B$7:$B$3006,"&gt;="&amp;$B$21,资金台帐!$B$7:$B$3006,"&lt;="&amp;$D$21))</f>
      </c>
      <c r="F304" s="187">
        <f>IF($B304="","",C304+D304-E304)</f>
      </c>
      <c r="G304" s="141">
        <f>IF($B304="","",IF(ROUND(F304,2)=0,"已结清",IF(F304&gt;0,"有欠款","预存款")))</f>
      </c>
      <c r="H304" s="195">
        <f>IF($B304="","",_xlfn.MAXIFS(资金台帐!$B$7:$B$3006,资金台帐!$J$7:$J$3006,$B304,资金台帐!$P$7:$P$3006,"应收"))</f>
      </c>
    </row>
    <row r="305">
      <c r="A305" s="194">
        <f>IF(B305="","",282)</f>
      </c>
      <c r="B305" s="141">
        <f>IF(总览汇总!B286="","",总览汇总!B286)</f>
      </c>
      <c r="C305" s="186">
        <f>IF($B305="","",N(总览汇总!K286)+SUMIFS(出库明细!$G$4:$G$3003,出库明细!$C$4:$C$3003,$B305,出库明细!$B$4:$B$3003,"&gt;="&amp;年初日,出库明细!$B$4:$B$3003,"&lt;"&amp;$B$21)-SUMIFS(资金台帐!$S$7:$S$3006,资金台帐!$J$7:$J$3006,$B305,资金台帐!$P$7:$P$3006,"应收",资金台帐!$B$7:$B$3006,"&gt;="&amp;年初日,资金台帐!$B$7:$B$3006,"&lt;"&amp;$B$21))</f>
      </c>
      <c r="D305" s="186">
        <f>IF($B305="","",SUMIFS(出库明细!$G$4:$G$3003,出库明细!$C$4:$C$3003,$B305,出库明细!$B$4:$B$3003,"&gt;="&amp;$B$21,出库明细!$B$4:$B$3003,"&lt;="&amp;$D$21))</f>
      </c>
      <c r="E305" s="186">
        <f>IF($B305="","",SUMIFS(资金台帐!$S$7:$S$3006,资金台帐!$J$7:$J$3006,$B305,资金台帐!$P$7:$P$3006,"应收",资金台帐!$B$7:$B$3006,"&gt;="&amp;$B$21,资金台帐!$B$7:$B$3006,"&lt;="&amp;$D$21))</f>
      </c>
      <c r="F305" s="187">
        <f>IF($B305="","",C305+D305-E305)</f>
      </c>
      <c r="G305" s="141">
        <f>IF($B305="","",IF(ROUND(F305,2)=0,"已结清",IF(F305&gt;0,"有欠款","预存款")))</f>
      </c>
      <c r="H305" s="195">
        <f>IF($B305="","",_xlfn.MAXIFS(资金台帐!$B$7:$B$3006,资金台帐!$J$7:$J$3006,$B305,资金台帐!$P$7:$P$3006,"应收"))</f>
      </c>
    </row>
    <row r="306">
      <c r="A306" s="194">
        <f>IF(B306="","",283)</f>
      </c>
      <c r="B306" s="141">
        <f>IF(总览汇总!B287="","",总览汇总!B287)</f>
      </c>
      <c r="C306" s="186">
        <f>IF($B306="","",N(总览汇总!K287)+SUMIFS(出库明细!$G$4:$G$3003,出库明细!$C$4:$C$3003,$B306,出库明细!$B$4:$B$3003,"&gt;="&amp;年初日,出库明细!$B$4:$B$3003,"&lt;"&amp;$B$21)-SUMIFS(资金台帐!$S$7:$S$3006,资金台帐!$J$7:$J$3006,$B306,资金台帐!$P$7:$P$3006,"应收",资金台帐!$B$7:$B$3006,"&gt;="&amp;年初日,资金台帐!$B$7:$B$3006,"&lt;"&amp;$B$21))</f>
      </c>
      <c r="D306" s="186">
        <f>IF($B306="","",SUMIFS(出库明细!$G$4:$G$3003,出库明细!$C$4:$C$3003,$B306,出库明细!$B$4:$B$3003,"&gt;="&amp;$B$21,出库明细!$B$4:$B$3003,"&lt;="&amp;$D$21))</f>
      </c>
      <c r="E306" s="186">
        <f>IF($B306="","",SUMIFS(资金台帐!$S$7:$S$3006,资金台帐!$J$7:$J$3006,$B306,资金台帐!$P$7:$P$3006,"应收",资金台帐!$B$7:$B$3006,"&gt;="&amp;$B$21,资金台帐!$B$7:$B$3006,"&lt;="&amp;$D$21))</f>
      </c>
      <c r="F306" s="187">
        <f>IF($B306="","",C306+D306-E306)</f>
      </c>
      <c r="G306" s="141">
        <f>IF($B306="","",IF(ROUND(F306,2)=0,"已结清",IF(F306&gt;0,"有欠款","预存款")))</f>
      </c>
      <c r="H306" s="195">
        <f>IF($B306="","",_xlfn.MAXIFS(资金台帐!$B$7:$B$3006,资金台帐!$J$7:$J$3006,$B306,资金台帐!$P$7:$P$3006,"应收"))</f>
      </c>
    </row>
    <row r="307">
      <c r="A307" s="194">
        <f>IF(B307="","",284)</f>
      </c>
      <c r="B307" s="141">
        <f>IF(总览汇总!B288="","",总览汇总!B288)</f>
      </c>
      <c r="C307" s="186">
        <f>IF($B307="","",N(总览汇总!K288)+SUMIFS(出库明细!$G$4:$G$3003,出库明细!$C$4:$C$3003,$B307,出库明细!$B$4:$B$3003,"&gt;="&amp;年初日,出库明细!$B$4:$B$3003,"&lt;"&amp;$B$21)-SUMIFS(资金台帐!$S$7:$S$3006,资金台帐!$J$7:$J$3006,$B307,资金台帐!$P$7:$P$3006,"应收",资金台帐!$B$7:$B$3006,"&gt;="&amp;年初日,资金台帐!$B$7:$B$3006,"&lt;"&amp;$B$21))</f>
      </c>
      <c r="D307" s="186">
        <f>IF($B307="","",SUMIFS(出库明细!$G$4:$G$3003,出库明细!$C$4:$C$3003,$B307,出库明细!$B$4:$B$3003,"&gt;="&amp;$B$21,出库明细!$B$4:$B$3003,"&lt;="&amp;$D$21))</f>
      </c>
      <c r="E307" s="186">
        <f>IF($B307="","",SUMIFS(资金台帐!$S$7:$S$3006,资金台帐!$J$7:$J$3006,$B307,资金台帐!$P$7:$P$3006,"应收",资金台帐!$B$7:$B$3006,"&gt;="&amp;$B$21,资金台帐!$B$7:$B$3006,"&lt;="&amp;$D$21))</f>
      </c>
      <c r="F307" s="187">
        <f>IF($B307="","",C307+D307-E307)</f>
      </c>
      <c r="G307" s="141">
        <f>IF($B307="","",IF(ROUND(F307,2)=0,"已结清",IF(F307&gt;0,"有欠款","预存款")))</f>
      </c>
      <c r="H307" s="195">
        <f>IF($B307="","",_xlfn.MAXIFS(资金台帐!$B$7:$B$3006,资金台帐!$J$7:$J$3006,$B307,资金台帐!$P$7:$P$3006,"应收"))</f>
      </c>
    </row>
    <row r="308">
      <c r="A308" s="194">
        <f>IF(B308="","",285)</f>
      </c>
      <c r="B308" s="141">
        <f>IF(总览汇总!B289="","",总览汇总!B289)</f>
      </c>
      <c r="C308" s="186">
        <f>IF($B308="","",N(总览汇总!K289)+SUMIFS(出库明细!$G$4:$G$3003,出库明细!$C$4:$C$3003,$B308,出库明细!$B$4:$B$3003,"&gt;="&amp;年初日,出库明细!$B$4:$B$3003,"&lt;"&amp;$B$21)-SUMIFS(资金台帐!$S$7:$S$3006,资金台帐!$J$7:$J$3006,$B308,资金台帐!$P$7:$P$3006,"应收",资金台帐!$B$7:$B$3006,"&gt;="&amp;年初日,资金台帐!$B$7:$B$3006,"&lt;"&amp;$B$21))</f>
      </c>
      <c r="D308" s="186">
        <f>IF($B308="","",SUMIFS(出库明细!$G$4:$G$3003,出库明细!$C$4:$C$3003,$B308,出库明细!$B$4:$B$3003,"&gt;="&amp;$B$21,出库明细!$B$4:$B$3003,"&lt;="&amp;$D$21))</f>
      </c>
      <c r="E308" s="186">
        <f>IF($B308="","",SUMIFS(资金台帐!$S$7:$S$3006,资金台帐!$J$7:$J$3006,$B308,资金台帐!$P$7:$P$3006,"应收",资金台帐!$B$7:$B$3006,"&gt;="&amp;$B$21,资金台帐!$B$7:$B$3006,"&lt;="&amp;$D$21))</f>
      </c>
      <c r="F308" s="187">
        <f>IF($B308="","",C308+D308-E308)</f>
      </c>
      <c r="G308" s="141">
        <f>IF($B308="","",IF(ROUND(F308,2)=0,"已结清",IF(F308&gt;0,"有欠款","预存款")))</f>
      </c>
      <c r="H308" s="195">
        <f>IF($B308="","",_xlfn.MAXIFS(资金台帐!$B$7:$B$3006,资金台帐!$J$7:$J$3006,$B308,资金台帐!$P$7:$P$3006,"应收"))</f>
      </c>
    </row>
    <row r="309">
      <c r="A309" s="194">
        <f>IF(B309="","",286)</f>
      </c>
      <c r="B309" s="141">
        <f>IF(总览汇总!B290="","",总览汇总!B290)</f>
      </c>
      <c r="C309" s="186">
        <f>IF($B309="","",N(总览汇总!K290)+SUMIFS(出库明细!$G$4:$G$3003,出库明细!$C$4:$C$3003,$B309,出库明细!$B$4:$B$3003,"&gt;="&amp;年初日,出库明细!$B$4:$B$3003,"&lt;"&amp;$B$21)-SUMIFS(资金台帐!$S$7:$S$3006,资金台帐!$J$7:$J$3006,$B309,资金台帐!$P$7:$P$3006,"应收",资金台帐!$B$7:$B$3006,"&gt;="&amp;年初日,资金台帐!$B$7:$B$3006,"&lt;"&amp;$B$21))</f>
      </c>
      <c r="D309" s="186">
        <f>IF($B309="","",SUMIFS(出库明细!$G$4:$G$3003,出库明细!$C$4:$C$3003,$B309,出库明细!$B$4:$B$3003,"&gt;="&amp;$B$21,出库明细!$B$4:$B$3003,"&lt;="&amp;$D$21))</f>
      </c>
      <c r="E309" s="186">
        <f>IF($B309="","",SUMIFS(资金台帐!$S$7:$S$3006,资金台帐!$J$7:$J$3006,$B309,资金台帐!$P$7:$P$3006,"应收",资金台帐!$B$7:$B$3006,"&gt;="&amp;$B$21,资金台帐!$B$7:$B$3006,"&lt;="&amp;$D$21))</f>
      </c>
      <c r="F309" s="187">
        <f>IF($B309="","",C309+D309-E309)</f>
      </c>
      <c r="G309" s="141">
        <f>IF($B309="","",IF(ROUND(F309,2)=0,"已结清",IF(F309&gt;0,"有欠款","预存款")))</f>
      </c>
      <c r="H309" s="195">
        <f>IF($B309="","",_xlfn.MAXIFS(资金台帐!$B$7:$B$3006,资金台帐!$J$7:$J$3006,$B309,资金台帐!$P$7:$P$3006,"应收"))</f>
      </c>
    </row>
    <row r="310">
      <c r="A310" s="194">
        <f>IF(B310="","",287)</f>
      </c>
      <c r="B310" s="141">
        <f>IF(总览汇总!B291="","",总览汇总!B291)</f>
      </c>
      <c r="C310" s="186">
        <f>IF($B310="","",N(总览汇总!K291)+SUMIFS(出库明细!$G$4:$G$3003,出库明细!$C$4:$C$3003,$B310,出库明细!$B$4:$B$3003,"&gt;="&amp;年初日,出库明细!$B$4:$B$3003,"&lt;"&amp;$B$21)-SUMIFS(资金台帐!$S$7:$S$3006,资金台帐!$J$7:$J$3006,$B310,资金台帐!$P$7:$P$3006,"应收",资金台帐!$B$7:$B$3006,"&gt;="&amp;年初日,资金台帐!$B$7:$B$3006,"&lt;"&amp;$B$21))</f>
      </c>
      <c r="D310" s="186">
        <f>IF($B310="","",SUMIFS(出库明细!$G$4:$G$3003,出库明细!$C$4:$C$3003,$B310,出库明细!$B$4:$B$3003,"&gt;="&amp;$B$21,出库明细!$B$4:$B$3003,"&lt;="&amp;$D$21))</f>
      </c>
      <c r="E310" s="186">
        <f>IF($B310="","",SUMIFS(资金台帐!$S$7:$S$3006,资金台帐!$J$7:$J$3006,$B310,资金台帐!$P$7:$P$3006,"应收",资金台帐!$B$7:$B$3006,"&gt;="&amp;$B$21,资金台帐!$B$7:$B$3006,"&lt;="&amp;$D$21))</f>
      </c>
      <c r="F310" s="187">
        <f>IF($B310="","",C310+D310-E310)</f>
      </c>
      <c r="G310" s="141">
        <f>IF($B310="","",IF(ROUND(F310,2)=0,"已结清",IF(F310&gt;0,"有欠款","预存款")))</f>
      </c>
      <c r="H310" s="195">
        <f>IF($B310="","",_xlfn.MAXIFS(资金台帐!$B$7:$B$3006,资金台帐!$J$7:$J$3006,$B310,资金台帐!$P$7:$P$3006,"应收"))</f>
      </c>
    </row>
    <row r="311">
      <c r="A311" s="194">
        <f>IF(B311="","",288)</f>
      </c>
      <c r="B311" s="141">
        <f>IF(总览汇总!B292="","",总览汇总!B292)</f>
      </c>
      <c r="C311" s="186">
        <f>IF($B311="","",N(总览汇总!K292)+SUMIFS(出库明细!$G$4:$G$3003,出库明细!$C$4:$C$3003,$B311,出库明细!$B$4:$B$3003,"&gt;="&amp;年初日,出库明细!$B$4:$B$3003,"&lt;"&amp;$B$21)-SUMIFS(资金台帐!$S$7:$S$3006,资金台帐!$J$7:$J$3006,$B311,资金台帐!$P$7:$P$3006,"应收",资金台帐!$B$7:$B$3006,"&gt;="&amp;年初日,资金台帐!$B$7:$B$3006,"&lt;"&amp;$B$21))</f>
      </c>
      <c r="D311" s="186">
        <f>IF($B311="","",SUMIFS(出库明细!$G$4:$G$3003,出库明细!$C$4:$C$3003,$B311,出库明细!$B$4:$B$3003,"&gt;="&amp;$B$21,出库明细!$B$4:$B$3003,"&lt;="&amp;$D$21))</f>
      </c>
      <c r="E311" s="186">
        <f>IF($B311="","",SUMIFS(资金台帐!$S$7:$S$3006,资金台帐!$J$7:$J$3006,$B311,资金台帐!$P$7:$P$3006,"应收",资金台帐!$B$7:$B$3006,"&gt;="&amp;$B$21,资金台帐!$B$7:$B$3006,"&lt;="&amp;$D$21))</f>
      </c>
      <c r="F311" s="187">
        <f>IF($B311="","",C311+D311-E311)</f>
      </c>
      <c r="G311" s="141">
        <f>IF($B311="","",IF(ROUND(F311,2)=0,"已结清",IF(F311&gt;0,"有欠款","预存款")))</f>
      </c>
      <c r="H311" s="195">
        <f>IF($B311="","",_xlfn.MAXIFS(资金台帐!$B$7:$B$3006,资金台帐!$J$7:$J$3006,$B311,资金台帐!$P$7:$P$3006,"应收"))</f>
      </c>
    </row>
    <row r="312">
      <c r="A312" s="194">
        <f>IF(B312="","",289)</f>
      </c>
      <c r="B312" s="141">
        <f>IF(总览汇总!B293="","",总览汇总!B293)</f>
      </c>
      <c r="C312" s="186">
        <f>IF($B312="","",N(总览汇总!K293)+SUMIFS(出库明细!$G$4:$G$3003,出库明细!$C$4:$C$3003,$B312,出库明细!$B$4:$B$3003,"&gt;="&amp;年初日,出库明细!$B$4:$B$3003,"&lt;"&amp;$B$21)-SUMIFS(资金台帐!$S$7:$S$3006,资金台帐!$J$7:$J$3006,$B312,资金台帐!$P$7:$P$3006,"应收",资金台帐!$B$7:$B$3006,"&gt;="&amp;年初日,资金台帐!$B$7:$B$3006,"&lt;"&amp;$B$21))</f>
      </c>
      <c r="D312" s="186">
        <f>IF($B312="","",SUMIFS(出库明细!$G$4:$G$3003,出库明细!$C$4:$C$3003,$B312,出库明细!$B$4:$B$3003,"&gt;="&amp;$B$21,出库明细!$B$4:$B$3003,"&lt;="&amp;$D$21))</f>
      </c>
      <c r="E312" s="186">
        <f>IF($B312="","",SUMIFS(资金台帐!$S$7:$S$3006,资金台帐!$J$7:$J$3006,$B312,资金台帐!$P$7:$P$3006,"应收",资金台帐!$B$7:$B$3006,"&gt;="&amp;$B$21,资金台帐!$B$7:$B$3006,"&lt;="&amp;$D$21))</f>
      </c>
      <c r="F312" s="187">
        <f>IF($B312="","",C312+D312-E312)</f>
      </c>
      <c r="G312" s="141">
        <f>IF($B312="","",IF(ROUND(F312,2)=0,"已结清",IF(F312&gt;0,"有欠款","预存款")))</f>
      </c>
      <c r="H312" s="195">
        <f>IF($B312="","",_xlfn.MAXIFS(资金台帐!$B$7:$B$3006,资金台帐!$J$7:$J$3006,$B312,资金台帐!$P$7:$P$3006,"应收"))</f>
      </c>
    </row>
    <row r="313">
      <c r="A313" s="194">
        <f>IF(B313="","",290)</f>
      </c>
      <c r="B313" s="141">
        <f>IF(总览汇总!B294="","",总览汇总!B294)</f>
      </c>
      <c r="C313" s="186">
        <f>IF($B313="","",N(总览汇总!K294)+SUMIFS(出库明细!$G$4:$G$3003,出库明细!$C$4:$C$3003,$B313,出库明细!$B$4:$B$3003,"&gt;="&amp;年初日,出库明细!$B$4:$B$3003,"&lt;"&amp;$B$21)-SUMIFS(资金台帐!$S$7:$S$3006,资金台帐!$J$7:$J$3006,$B313,资金台帐!$P$7:$P$3006,"应收",资金台帐!$B$7:$B$3006,"&gt;="&amp;年初日,资金台帐!$B$7:$B$3006,"&lt;"&amp;$B$21))</f>
      </c>
      <c r="D313" s="186">
        <f>IF($B313="","",SUMIFS(出库明细!$G$4:$G$3003,出库明细!$C$4:$C$3003,$B313,出库明细!$B$4:$B$3003,"&gt;="&amp;$B$21,出库明细!$B$4:$B$3003,"&lt;="&amp;$D$21))</f>
      </c>
      <c r="E313" s="186">
        <f>IF($B313="","",SUMIFS(资金台帐!$S$7:$S$3006,资金台帐!$J$7:$J$3006,$B313,资金台帐!$P$7:$P$3006,"应收",资金台帐!$B$7:$B$3006,"&gt;="&amp;$B$21,资金台帐!$B$7:$B$3006,"&lt;="&amp;$D$21))</f>
      </c>
      <c r="F313" s="187">
        <f>IF($B313="","",C313+D313-E313)</f>
      </c>
      <c r="G313" s="141">
        <f>IF($B313="","",IF(ROUND(F313,2)=0,"已结清",IF(F313&gt;0,"有欠款","预存款")))</f>
      </c>
      <c r="H313" s="195">
        <f>IF($B313="","",_xlfn.MAXIFS(资金台帐!$B$7:$B$3006,资金台帐!$J$7:$J$3006,$B313,资金台帐!$P$7:$P$3006,"应收"))</f>
      </c>
    </row>
    <row r="314">
      <c r="A314" s="194">
        <f>IF(B314="","",291)</f>
      </c>
      <c r="B314" s="141">
        <f>IF(总览汇总!B295="","",总览汇总!B295)</f>
      </c>
      <c r="C314" s="186">
        <f>IF($B314="","",N(总览汇总!K295)+SUMIFS(出库明细!$G$4:$G$3003,出库明细!$C$4:$C$3003,$B314,出库明细!$B$4:$B$3003,"&gt;="&amp;年初日,出库明细!$B$4:$B$3003,"&lt;"&amp;$B$21)-SUMIFS(资金台帐!$S$7:$S$3006,资金台帐!$J$7:$J$3006,$B314,资金台帐!$P$7:$P$3006,"应收",资金台帐!$B$7:$B$3006,"&gt;="&amp;年初日,资金台帐!$B$7:$B$3006,"&lt;"&amp;$B$21))</f>
      </c>
      <c r="D314" s="186">
        <f>IF($B314="","",SUMIFS(出库明细!$G$4:$G$3003,出库明细!$C$4:$C$3003,$B314,出库明细!$B$4:$B$3003,"&gt;="&amp;$B$21,出库明细!$B$4:$B$3003,"&lt;="&amp;$D$21))</f>
      </c>
      <c r="E314" s="186">
        <f>IF($B314="","",SUMIFS(资金台帐!$S$7:$S$3006,资金台帐!$J$7:$J$3006,$B314,资金台帐!$P$7:$P$3006,"应收",资金台帐!$B$7:$B$3006,"&gt;="&amp;$B$21,资金台帐!$B$7:$B$3006,"&lt;="&amp;$D$21))</f>
      </c>
      <c r="F314" s="187">
        <f>IF($B314="","",C314+D314-E314)</f>
      </c>
      <c r="G314" s="141">
        <f>IF($B314="","",IF(ROUND(F314,2)=0,"已结清",IF(F314&gt;0,"有欠款","预存款")))</f>
      </c>
      <c r="H314" s="195">
        <f>IF($B314="","",_xlfn.MAXIFS(资金台帐!$B$7:$B$3006,资金台帐!$J$7:$J$3006,$B314,资金台帐!$P$7:$P$3006,"应收"))</f>
      </c>
    </row>
    <row r="315">
      <c r="A315" s="194">
        <f>IF(B315="","",292)</f>
      </c>
      <c r="B315" s="141">
        <f>IF(总览汇总!B296="","",总览汇总!B296)</f>
      </c>
      <c r="C315" s="186">
        <f>IF($B315="","",N(总览汇总!K296)+SUMIFS(出库明细!$G$4:$G$3003,出库明细!$C$4:$C$3003,$B315,出库明细!$B$4:$B$3003,"&gt;="&amp;年初日,出库明细!$B$4:$B$3003,"&lt;"&amp;$B$21)-SUMIFS(资金台帐!$S$7:$S$3006,资金台帐!$J$7:$J$3006,$B315,资金台帐!$P$7:$P$3006,"应收",资金台帐!$B$7:$B$3006,"&gt;="&amp;年初日,资金台帐!$B$7:$B$3006,"&lt;"&amp;$B$21))</f>
      </c>
      <c r="D315" s="186">
        <f>IF($B315="","",SUMIFS(出库明细!$G$4:$G$3003,出库明细!$C$4:$C$3003,$B315,出库明细!$B$4:$B$3003,"&gt;="&amp;$B$21,出库明细!$B$4:$B$3003,"&lt;="&amp;$D$21))</f>
      </c>
      <c r="E315" s="186">
        <f>IF($B315="","",SUMIFS(资金台帐!$S$7:$S$3006,资金台帐!$J$7:$J$3006,$B315,资金台帐!$P$7:$P$3006,"应收",资金台帐!$B$7:$B$3006,"&gt;="&amp;$B$21,资金台帐!$B$7:$B$3006,"&lt;="&amp;$D$21))</f>
      </c>
      <c r="F315" s="187">
        <f>IF($B315="","",C315+D315-E315)</f>
      </c>
      <c r="G315" s="141">
        <f>IF($B315="","",IF(ROUND(F315,2)=0,"已结清",IF(F315&gt;0,"有欠款","预存款")))</f>
      </c>
      <c r="H315" s="195">
        <f>IF($B315="","",_xlfn.MAXIFS(资金台帐!$B$7:$B$3006,资金台帐!$J$7:$J$3006,$B315,资金台帐!$P$7:$P$3006,"应收"))</f>
      </c>
    </row>
    <row r="316">
      <c r="A316" s="194">
        <f>IF(B316="","",293)</f>
      </c>
      <c r="B316" s="141">
        <f>IF(总览汇总!B297="","",总览汇总!B297)</f>
      </c>
      <c r="C316" s="186">
        <f>IF($B316="","",N(总览汇总!K297)+SUMIFS(出库明细!$G$4:$G$3003,出库明细!$C$4:$C$3003,$B316,出库明细!$B$4:$B$3003,"&gt;="&amp;年初日,出库明细!$B$4:$B$3003,"&lt;"&amp;$B$21)-SUMIFS(资金台帐!$S$7:$S$3006,资金台帐!$J$7:$J$3006,$B316,资金台帐!$P$7:$P$3006,"应收",资金台帐!$B$7:$B$3006,"&gt;="&amp;年初日,资金台帐!$B$7:$B$3006,"&lt;"&amp;$B$21))</f>
      </c>
      <c r="D316" s="186">
        <f>IF($B316="","",SUMIFS(出库明细!$G$4:$G$3003,出库明细!$C$4:$C$3003,$B316,出库明细!$B$4:$B$3003,"&gt;="&amp;$B$21,出库明细!$B$4:$B$3003,"&lt;="&amp;$D$21))</f>
      </c>
      <c r="E316" s="186">
        <f>IF($B316="","",SUMIFS(资金台帐!$S$7:$S$3006,资金台帐!$J$7:$J$3006,$B316,资金台帐!$P$7:$P$3006,"应收",资金台帐!$B$7:$B$3006,"&gt;="&amp;$B$21,资金台帐!$B$7:$B$3006,"&lt;="&amp;$D$21))</f>
      </c>
      <c r="F316" s="187">
        <f>IF($B316="","",C316+D316-E316)</f>
      </c>
      <c r="G316" s="141">
        <f>IF($B316="","",IF(ROUND(F316,2)=0,"已结清",IF(F316&gt;0,"有欠款","预存款")))</f>
      </c>
      <c r="H316" s="195">
        <f>IF($B316="","",_xlfn.MAXIFS(资金台帐!$B$7:$B$3006,资金台帐!$J$7:$J$3006,$B316,资金台帐!$P$7:$P$3006,"应收"))</f>
      </c>
    </row>
    <row r="317">
      <c r="A317" s="194">
        <f>IF(B317="","",294)</f>
      </c>
      <c r="B317" s="141">
        <f>IF(总览汇总!B298="","",总览汇总!B298)</f>
      </c>
      <c r="C317" s="186">
        <f>IF($B317="","",N(总览汇总!K298)+SUMIFS(出库明细!$G$4:$G$3003,出库明细!$C$4:$C$3003,$B317,出库明细!$B$4:$B$3003,"&gt;="&amp;年初日,出库明细!$B$4:$B$3003,"&lt;"&amp;$B$21)-SUMIFS(资金台帐!$S$7:$S$3006,资金台帐!$J$7:$J$3006,$B317,资金台帐!$P$7:$P$3006,"应收",资金台帐!$B$7:$B$3006,"&gt;="&amp;年初日,资金台帐!$B$7:$B$3006,"&lt;"&amp;$B$21))</f>
      </c>
      <c r="D317" s="186">
        <f>IF($B317="","",SUMIFS(出库明细!$G$4:$G$3003,出库明细!$C$4:$C$3003,$B317,出库明细!$B$4:$B$3003,"&gt;="&amp;$B$21,出库明细!$B$4:$B$3003,"&lt;="&amp;$D$21))</f>
      </c>
      <c r="E317" s="186">
        <f>IF($B317="","",SUMIFS(资金台帐!$S$7:$S$3006,资金台帐!$J$7:$J$3006,$B317,资金台帐!$P$7:$P$3006,"应收",资金台帐!$B$7:$B$3006,"&gt;="&amp;$B$21,资金台帐!$B$7:$B$3006,"&lt;="&amp;$D$21))</f>
      </c>
      <c r="F317" s="187">
        <f>IF($B317="","",C317+D317-E317)</f>
      </c>
      <c r="G317" s="141">
        <f>IF($B317="","",IF(ROUND(F317,2)=0,"已结清",IF(F317&gt;0,"有欠款","预存款")))</f>
      </c>
      <c r="H317" s="195">
        <f>IF($B317="","",_xlfn.MAXIFS(资金台帐!$B$7:$B$3006,资金台帐!$J$7:$J$3006,$B317,资金台帐!$P$7:$P$3006,"应收"))</f>
      </c>
    </row>
    <row r="318">
      <c r="A318" s="194">
        <f>IF(B318="","",295)</f>
      </c>
      <c r="B318" s="141">
        <f>IF(总览汇总!B299="","",总览汇总!B299)</f>
      </c>
      <c r="C318" s="186">
        <f>IF($B318="","",N(总览汇总!K299)+SUMIFS(出库明细!$G$4:$G$3003,出库明细!$C$4:$C$3003,$B318,出库明细!$B$4:$B$3003,"&gt;="&amp;年初日,出库明细!$B$4:$B$3003,"&lt;"&amp;$B$21)-SUMIFS(资金台帐!$S$7:$S$3006,资金台帐!$J$7:$J$3006,$B318,资金台帐!$P$7:$P$3006,"应收",资金台帐!$B$7:$B$3006,"&gt;="&amp;年初日,资金台帐!$B$7:$B$3006,"&lt;"&amp;$B$21))</f>
      </c>
      <c r="D318" s="186">
        <f>IF($B318="","",SUMIFS(出库明细!$G$4:$G$3003,出库明细!$C$4:$C$3003,$B318,出库明细!$B$4:$B$3003,"&gt;="&amp;$B$21,出库明细!$B$4:$B$3003,"&lt;="&amp;$D$21))</f>
      </c>
      <c r="E318" s="186">
        <f>IF($B318="","",SUMIFS(资金台帐!$S$7:$S$3006,资金台帐!$J$7:$J$3006,$B318,资金台帐!$P$7:$P$3006,"应收",资金台帐!$B$7:$B$3006,"&gt;="&amp;$B$21,资金台帐!$B$7:$B$3006,"&lt;="&amp;$D$21))</f>
      </c>
      <c r="F318" s="187">
        <f>IF($B318="","",C318+D318-E318)</f>
      </c>
      <c r="G318" s="141">
        <f>IF($B318="","",IF(ROUND(F318,2)=0,"已结清",IF(F318&gt;0,"有欠款","预存款")))</f>
      </c>
      <c r="H318" s="195">
        <f>IF($B318="","",_xlfn.MAXIFS(资金台帐!$B$7:$B$3006,资金台帐!$J$7:$J$3006,$B318,资金台帐!$P$7:$P$3006,"应收"))</f>
      </c>
    </row>
    <row r="319">
      <c r="A319" s="194">
        <f>IF(B319="","",296)</f>
      </c>
      <c r="B319" s="141">
        <f>IF(总览汇总!B300="","",总览汇总!B300)</f>
      </c>
      <c r="C319" s="186">
        <f>IF($B319="","",N(总览汇总!K300)+SUMIFS(出库明细!$G$4:$G$3003,出库明细!$C$4:$C$3003,$B319,出库明细!$B$4:$B$3003,"&gt;="&amp;年初日,出库明细!$B$4:$B$3003,"&lt;"&amp;$B$21)-SUMIFS(资金台帐!$S$7:$S$3006,资金台帐!$J$7:$J$3006,$B319,资金台帐!$P$7:$P$3006,"应收",资金台帐!$B$7:$B$3006,"&gt;="&amp;年初日,资金台帐!$B$7:$B$3006,"&lt;"&amp;$B$21))</f>
      </c>
      <c r="D319" s="186">
        <f>IF($B319="","",SUMIFS(出库明细!$G$4:$G$3003,出库明细!$C$4:$C$3003,$B319,出库明细!$B$4:$B$3003,"&gt;="&amp;$B$21,出库明细!$B$4:$B$3003,"&lt;="&amp;$D$21))</f>
      </c>
      <c r="E319" s="186">
        <f>IF($B319="","",SUMIFS(资金台帐!$S$7:$S$3006,资金台帐!$J$7:$J$3006,$B319,资金台帐!$P$7:$P$3006,"应收",资金台帐!$B$7:$B$3006,"&gt;="&amp;$B$21,资金台帐!$B$7:$B$3006,"&lt;="&amp;$D$21))</f>
      </c>
      <c r="F319" s="187">
        <f>IF($B319="","",C319+D319-E319)</f>
      </c>
      <c r="G319" s="141">
        <f>IF($B319="","",IF(ROUND(F319,2)=0,"已结清",IF(F319&gt;0,"有欠款","预存款")))</f>
      </c>
      <c r="H319" s="195">
        <f>IF($B319="","",_xlfn.MAXIFS(资金台帐!$B$7:$B$3006,资金台帐!$J$7:$J$3006,$B319,资金台帐!$P$7:$P$3006,"应收"))</f>
      </c>
    </row>
    <row r="320">
      <c r="A320" s="194">
        <f>IF(B320="","",297)</f>
      </c>
      <c r="B320" s="141">
        <f>IF(总览汇总!B301="","",总览汇总!B301)</f>
      </c>
      <c r="C320" s="186">
        <f>IF($B320="","",N(总览汇总!K301)+SUMIFS(出库明细!$G$4:$G$3003,出库明细!$C$4:$C$3003,$B320,出库明细!$B$4:$B$3003,"&gt;="&amp;年初日,出库明细!$B$4:$B$3003,"&lt;"&amp;$B$21)-SUMIFS(资金台帐!$S$7:$S$3006,资金台帐!$J$7:$J$3006,$B320,资金台帐!$P$7:$P$3006,"应收",资金台帐!$B$7:$B$3006,"&gt;="&amp;年初日,资金台帐!$B$7:$B$3006,"&lt;"&amp;$B$21))</f>
      </c>
      <c r="D320" s="186">
        <f>IF($B320="","",SUMIFS(出库明细!$G$4:$G$3003,出库明细!$C$4:$C$3003,$B320,出库明细!$B$4:$B$3003,"&gt;="&amp;$B$21,出库明细!$B$4:$B$3003,"&lt;="&amp;$D$21))</f>
      </c>
      <c r="E320" s="186">
        <f>IF($B320="","",SUMIFS(资金台帐!$S$7:$S$3006,资金台帐!$J$7:$J$3006,$B320,资金台帐!$P$7:$P$3006,"应收",资金台帐!$B$7:$B$3006,"&gt;="&amp;$B$21,资金台帐!$B$7:$B$3006,"&lt;="&amp;$D$21))</f>
      </c>
      <c r="F320" s="187">
        <f>IF($B320="","",C320+D320-E320)</f>
      </c>
      <c r="G320" s="141">
        <f>IF($B320="","",IF(ROUND(F320,2)=0,"已结清",IF(F320&gt;0,"有欠款","预存款")))</f>
      </c>
      <c r="H320" s="195">
        <f>IF($B320="","",_xlfn.MAXIFS(资金台帐!$B$7:$B$3006,资金台帐!$J$7:$J$3006,$B320,资金台帐!$P$7:$P$3006,"应收"))</f>
      </c>
    </row>
    <row r="321">
      <c r="A321" s="194">
        <f>IF(B321="","",298)</f>
      </c>
      <c r="B321" s="141">
        <f>IF(总览汇总!B302="","",总览汇总!B302)</f>
      </c>
      <c r="C321" s="186">
        <f>IF($B321="","",N(总览汇总!K302)+SUMIFS(出库明细!$G$4:$G$3003,出库明细!$C$4:$C$3003,$B321,出库明细!$B$4:$B$3003,"&gt;="&amp;年初日,出库明细!$B$4:$B$3003,"&lt;"&amp;$B$21)-SUMIFS(资金台帐!$S$7:$S$3006,资金台帐!$J$7:$J$3006,$B321,资金台帐!$P$7:$P$3006,"应收",资金台帐!$B$7:$B$3006,"&gt;="&amp;年初日,资金台帐!$B$7:$B$3006,"&lt;"&amp;$B$21))</f>
      </c>
      <c r="D321" s="186">
        <f>IF($B321="","",SUMIFS(出库明细!$G$4:$G$3003,出库明细!$C$4:$C$3003,$B321,出库明细!$B$4:$B$3003,"&gt;="&amp;$B$21,出库明细!$B$4:$B$3003,"&lt;="&amp;$D$21))</f>
      </c>
      <c r="E321" s="186">
        <f>IF($B321="","",SUMIFS(资金台帐!$S$7:$S$3006,资金台帐!$J$7:$J$3006,$B321,资金台帐!$P$7:$P$3006,"应收",资金台帐!$B$7:$B$3006,"&gt;="&amp;$B$21,资金台帐!$B$7:$B$3006,"&lt;="&amp;$D$21))</f>
      </c>
      <c r="F321" s="187">
        <f>IF($B321="","",C321+D321-E321)</f>
      </c>
      <c r="G321" s="141">
        <f>IF($B321="","",IF(ROUND(F321,2)=0,"已结清",IF(F321&gt;0,"有欠款","预存款")))</f>
      </c>
      <c r="H321" s="195">
        <f>IF($B321="","",_xlfn.MAXIFS(资金台帐!$B$7:$B$3006,资金台帐!$J$7:$J$3006,$B321,资金台帐!$P$7:$P$3006,"应收"))</f>
      </c>
    </row>
    <row r="322">
      <c r="A322" s="194">
        <f>IF(B322="","",299)</f>
      </c>
      <c r="B322" s="141">
        <f>IF(总览汇总!B303="","",总览汇总!B303)</f>
      </c>
      <c r="C322" s="186">
        <f>IF($B322="","",N(总览汇总!K303)+SUMIFS(出库明细!$G$4:$G$3003,出库明细!$C$4:$C$3003,$B322,出库明细!$B$4:$B$3003,"&gt;="&amp;年初日,出库明细!$B$4:$B$3003,"&lt;"&amp;$B$21)-SUMIFS(资金台帐!$S$7:$S$3006,资金台帐!$J$7:$J$3006,$B322,资金台帐!$P$7:$P$3006,"应收",资金台帐!$B$7:$B$3006,"&gt;="&amp;年初日,资金台帐!$B$7:$B$3006,"&lt;"&amp;$B$21))</f>
      </c>
      <c r="D322" s="186">
        <f>IF($B322="","",SUMIFS(出库明细!$G$4:$G$3003,出库明细!$C$4:$C$3003,$B322,出库明细!$B$4:$B$3003,"&gt;="&amp;$B$21,出库明细!$B$4:$B$3003,"&lt;="&amp;$D$21))</f>
      </c>
      <c r="E322" s="186">
        <f>IF($B322="","",SUMIFS(资金台帐!$S$7:$S$3006,资金台帐!$J$7:$J$3006,$B322,资金台帐!$P$7:$P$3006,"应收",资金台帐!$B$7:$B$3006,"&gt;="&amp;$B$21,资金台帐!$B$7:$B$3006,"&lt;="&amp;$D$21))</f>
      </c>
      <c r="F322" s="187">
        <f>IF($B322="","",C322+D322-E322)</f>
      </c>
      <c r="G322" s="141">
        <f>IF($B322="","",IF(ROUND(F322,2)=0,"已结清",IF(F322&gt;0,"有欠款","预存款")))</f>
      </c>
      <c r="H322" s="195">
        <f>IF($B322="","",_xlfn.MAXIFS(资金台帐!$B$7:$B$3006,资金台帐!$J$7:$J$3006,$B322,资金台帐!$P$7:$P$3006,"应收"))</f>
      </c>
    </row>
    <row r="323">
      <c r="A323" s="194">
        <f>IF(B323="","",300)</f>
      </c>
      <c r="B323" s="141">
        <f>IF(总览汇总!B304="","",总览汇总!B304)</f>
      </c>
      <c r="C323" s="186">
        <f>IF($B323="","",N(总览汇总!K304)+SUMIFS(出库明细!$G$4:$G$3003,出库明细!$C$4:$C$3003,$B323,出库明细!$B$4:$B$3003,"&gt;="&amp;年初日,出库明细!$B$4:$B$3003,"&lt;"&amp;$B$21)-SUMIFS(资金台帐!$S$7:$S$3006,资金台帐!$J$7:$J$3006,$B323,资金台帐!$P$7:$P$3006,"应收",资金台帐!$B$7:$B$3006,"&gt;="&amp;年初日,资金台帐!$B$7:$B$3006,"&lt;"&amp;$B$21))</f>
      </c>
      <c r="D323" s="186">
        <f>IF($B323="","",SUMIFS(出库明细!$G$4:$G$3003,出库明细!$C$4:$C$3003,$B323,出库明细!$B$4:$B$3003,"&gt;="&amp;$B$21,出库明细!$B$4:$B$3003,"&lt;="&amp;$D$21))</f>
      </c>
      <c r="E323" s="186">
        <f>IF($B323="","",SUMIFS(资金台帐!$S$7:$S$3006,资金台帐!$J$7:$J$3006,$B323,资金台帐!$P$7:$P$3006,"应收",资金台帐!$B$7:$B$3006,"&gt;="&amp;$B$21,资金台帐!$B$7:$B$3006,"&lt;="&amp;$D$21))</f>
      </c>
      <c r="F323" s="187">
        <f>IF($B323="","",C323+D323-E323)</f>
      </c>
      <c r="G323" s="141">
        <f>IF($B323="","",IF(ROUND(F323,2)=0,"已结清",IF(F323&gt;0,"有欠款","预存款")))</f>
      </c>
      <c r="H323" s="195">
        <f>IF($B323="","",_xlfn.MAXIFS(资金台帐!$B$7:$B$3006,资金台帐!$J$7:$J$3006,$B323,资金台帐!$P$7:$P$3006,"应收"))</f>
      </c>
    </row>
    <row r="324">
      <c r="B324" s="121" t="inlineStr">
        <is>
          <t>合计</t>
        </is>
      </c>
      <c r="C324" s="188">
        <f>SUM(C24:C323)</f>
        <v>0</v>
      </c>
      <c r="D324" s="188">
        <f>SUM(D24:D323)</f>
        <v>1707307.7</v>
      </c>
      <c r="E324" s="188">
        <f>SUM(E24:E323)</f>
        <v>3869309.69</v>
      </c>
      <c r="F324" s="188">
        <f>SUM(F24:F323)</f>
        <v>-2162001.99</v>
      </c>
    </row>
  </sheetData>
  <mergeCells count="6">
    <mergeCell ref="E21:H21"/>
    <mergeCell ref="A2:Q2"/>
    <mergeCell ref="A5:N5"/>
    <mergeCell ref="J22:Q22"/>
    <mergeCell ref="A1:Q1"/>
    <mergeCell ref="A22:H22"/>
  </mergeCells>
  <conditionalFormatting sqref="F24:F323">
    <cfRule type="expression" priority="1" dxfId="7">
      <formula>AND(ISNUMBER(F24),F24&gt;0.005)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K339"/>
  <sheetViews>
    <sheetView tabSelected="0" workbookViewId="0">
      <selection activeCell="A1" sqref="A1"/>
    </sheetView>
  </sheetViews>
  <sheetFormatPr baseColWidth="8" defaultRowHeight="15"/>
  <cols>
    <col width="17" customWidth="1" style="71" min="1" max="1"/>
    <col width="13" customWidth="1" style="71" min="2" max="2"/>
    <col width="16" customWidth="1" style="71" min="3" max="3"/>
    <col width="14" customWidth="1" style="71" min="4" max="4"/>
    <col width="11" customWidth="1" style="71" min="5" max="5"/>
    <col width="13" customWidth="1" style="71" min="6" max="6"/>
    <col width="15" customWidth="1" style="71" min="7" max="7"/>
    <col width="14" customWidth="1" style="71" min="8" max="8"/>
    <col width="14" customWidth="1" style="71" min="9" max="9"/>
    <col width="20" customWidth="1" style="71" min="10" max="10"/>
    <col hidden="1" width="13" customWidth="1" style="71" min="11" max="11"/>
  </cols>
  <sheetData>
    <row r="1" ht="33" customHeight="1" s="71">
      <c r="A1" s="196" t="inlineStr">
        <is>
          <t>客户对账单</t>
        </is>
      </c>
    </row>
    <row r="2" ht="24" customHeight="1" s="71">
      <c r="A2" s="73" t="inlineStr">
        <is>
          <t>💡 在黄色格子选客户、起止日期，自动出对账单：货款汇总、存条商品结余、逐笔往来（出库领用和收款按日期排好）。直接打印给客户签字即可。数据来自【出库明细】【资金台帐】【商品库存】。</t>
        </is>
      </c>
    </row>
    <row r="4" ht="29" customHeight="1" s="71">
      <c r="A4" s="197" t="inlineStr">
        <is>
          <t>🔍 客户名称：</t>
        </is>
      </c>
      <c r="B4" s="198" t="inlineStr">
        <is>
          <t>星海超市</t>
        </is>
      </c>
      <c r="F4" s="199" t="inlineStr">
        <is>
          <t>起始日期：</t>
        </is>
      </c>
      <c r="G4" s="190">
        <f>年初日</f>
        <v>46023.0</v>
      </c>
      <c r="H4" s="199" t="inlineStr">
        <is>
          <t>截止日期：</t>
        </is>
      </c>
      <c r="I4" s="190">
        <f>年末日</f>
        <v>46387.0</v>
      </c>
    </row>
    <row r="5">
      <c r="A5" s="200" t="inlineStr">
        <is>
          <t>对账单位：</t>
        </is>
      </c>
      <c r="B5" s="88" t="str">
        <f>IF(基础资料!$B$6="","（在基础资料填公司名称）",基础资料!$B$6)</f>
        <v>（在基础资料填公司名称）</v>
      </c>
      <c r="F5" s="200" t="inlineStr">
        <is>
          <t>打印日期：</t>
        </is>
      </c>
      <c r="G5" s="201">
        <f>TODAY()</f>
        <v>46291.0</v>
      </c>
    </row>
    <row r="7" ht="26" customHeight="1" s="71">
      <c r="A7" s="202" t="inlineStr">
        <is>
          <t>💰 货款汇总</t>
        </is>
      </c>
    </row>
    <row r="8" ht="30" customHeight="1" s="71">
      <c r="A8" s="203" t="inlineStr">
        <is>
          <t>期初欠款</t>
        </is>
      </c>
      <c r="B8" s="203" t="inlineStr">
        <is>
          <t>本期领用金额</t>
        </is>
      </c>
      <c r="C8" s="203" t="inlineStr">
        <is>
          <t>本期收款</t>
        </is>
      </c>
      <c r="D8" s="203" t="inlineStr">
        <is>
          <t>期末欠款</t>
        </is>
      </c>
      <c r="E8" s="203" t="inlineStr">
        <is>
          <t>状态</t>
        </is>
      </c>
      <c r="F8" s="203" t="inlineStr">
        <is>
          <t>存条剩余数量(件)</t>
        </is>
      </c>
      <c r="G8" s="203" t="inlineStr">
        <is>
          <t>存条剩余金额</t>
        </is>
      </c>
    </row>
    <row r="9" ht="24" customHeight="1" s="71">
      <c r="A9" s="204">
        <f>SUMIF(总览汇总!$B$5:$B$304,$B$4,总览汇总!$K$5:$K$304)+SUMIFS(出库明细!$G$4:$G$3003,出库明细!$C$4:$C$3003,$B$4,出库明细!$B$4:$B$3003,"&gt;="&amp;年初日,出库明细!$B$4:$B$3003,"&lt;"&amp;$G$4)-SUMIFS(资金台帐!$S$7:$S$3006,资金台帐!$J$7:$J$3006,$B$4,资金台帐!$P$7:$P$3006,"应收",资金台帐!$B$7:$B$3006,"&gt;="&amp;年初日,资金台帐!$B$7:$B$3006,"&lt;"&amp;$G$4)</f>
        <v>0</v>
      </c>
      <c r="B9" s="204">
        <f>SUMIFS(出库明细!$G$4:$G$3003,出库明细!$C$4:$C$3003,$B$4,出库明细!$B$4:$B$3003,"&gt;="&amp;$G$4,出库明细!$B$4:$B$3003,"&lt;="&amp;$I$4)</f>
        <v>77322</v>
      </c>
      <c r="C9" s="204">
        <f>SUMIFS(资金台帐!$S$7:$S$3006,资金台帐!$J$7:$J$3006,$B$4,资金台帐!$P$7:$P$3006,"应收",资金台帐!$B$7:$B$3006,"&gt;="&amp;$G$4,资金台帐!$B$7:$B$3006,"&lt;="&amp;$I$4)</f>
        <v>148067</v>
      </c>
      <c r="D9" s="204">
        <f>A9+B9-C9</f>
        <v>-70745</v>
      </c>
      <c r="E9" s="205" t="str">
        <f>IF(ROUND(D9,2)=0,"已结清",IF(D9&gt;0,"有欠款","预存款"))</f>
        <v>预存款</v>
      </c>
      <c r="F9" s="206">
        <f>SUMIF(商品库存!$B$4:$B$603,$B$4,商品库存!$I$4:$I$603)</f>
        <v>1167</v>
      </c>
      <c r="G9" s="204">
        <f>SUMIF(商品库存!$B$4:$B$603,$B$4,商品库存!$J$4:$J$603)</f>
        <v>73781</v>
      </c>
    </row>
    <row r="10">
      <c r="A10" s="89" t="inlineStr">
        <is>
          <t>说明：欠款为正＝客户还欠我们；为负＝客户预存（存条款没用完）。</t>
        </is>
      </c>
    </row>
    <row r="11" ht="30" customHeight="1" s="71">
      <c r="A11" s="207" t="inlineStr">
        <is>
          <t>以上往来核对无误。客户签字（盖章）：</t>
        </is>
      </c>
      <c r="G11" s="200" t="inlineStr">
        <is>
          <t>日期：</t>
        </is>
      </c>
    </row>
    <row r="13" ht="26" customHeight="1" s="71">
      <c r="A13" s="208" t="inlineStr">
        <is>
          <t>📦 存条商品结余（截至目前，来自【商品库存】）</t>
        </is>
      </c>
    </row>
    <row r="14">
      <c r="A14" s="209" t="inlineStr">
        <is>
          <t>商品品类</t>
        </is>
      </c>
      <c r="B14" s="209" t="inlineStr">
        <is>
          <t>累计存条数量</t>
        </is>
      </c>
      <c r="C14" s="209" t="inlineStr">
        <is>
          <t>累计存条金额</t>
        </is>
      </c>
      <c r="D14" s="209" t="inlineStr">
        <is>
          <t>已领用数量</t>
        </is>
      </c>
      <c r="E14" s="209" t="inlineStr">
        <is>
          <t>已领用金额</t>
        </is>
      </c>
      <c r="F14" s="209" t="inlineStr">
        <is>
          <t>剩余数量</t>
        </is>
      </c>
      <c r="G14" s="209" t="inlineStr">
        <is>
          <t>剩余金额</t>
        </is>
      </c>
    </row>
    <row r="15">
      <c r="A15" s="141" t="str">
        <f>IF($K15="","",INDEX(商品库存!$C$4:$C$603,$K15))</f>
        <v>大东鹏</v>
      </c>
      <c r="B15" s="148">
        <f>IF($K15="","",INDEX(商品库存!$D$4:$D$603,$K15))</f>
        <v>808</v>
      </c>
      <c r="C15" s="210">
        <f>IF($K15="","",INDEX(商品库存!$F$4:$F$603,$K15))</f>
        <v>72000</v>
      </c>
      <c r="D15" s="148">
        <f>IF($K15="","",INDEX(商品库存!$G$4:$G$603,$K15))</f>
        <v>500</v>
      </c>
      <c r="E15" s="210">
        <f>IF($K15="","",INDEX(商品库存!$H$4:$H$603,$K15))</f>
        <v>45000</v>
      </c>
      <c r="F15" s="148">
        <f>IF($K15="","",INDEX(商品库存!$I$4:$I$603,$K15))</f>
        <v>308</v>
      </c>
      <c r="G15" s="210">
        <f>IF($K15="","",INDEX(商品库存!$J$4:$J$603,$K15))</f>
        <v>27000</v>
      </c>
      <c r="K15" s="78">
        <f>IFERROR(MATCH(1,_辅助!$E$4:$E$603,0),"")</f>
        <v>1</v>
      </c>
    </row>
    <row r="16">
      <c r="A16" s="141" t="str">
        <f>IF($K16="","",INDEX(商品库存!$C$4:$C$603,$K16))</f>
        <v>小东鹏</v>
      </c>
      <c r="B16" s="148">
        <f>IF($K16="","",INDEX(商品库存!$D$4:$D$603,$K16))</f>
        <v>282</v>
      </c>
      <c r="C16" s="210">
        <f>IF($K16="","",INDEX(商品库存!$F$4:$F$603,$K16))</f>
        <v>14100</v>
      </c>
      <c r="D16" s="148">
        <f>IF($K16="","",INDEX(商品库存!$G$4:$G$603,$K16))</f>
        <v>182</v>
      </c>
      <c r="E16" s="210">
        <f>IF($K16="","",INDEX(商品库存!$H$4:$H$603,$K16))</f>
        <v>9282</v>
      </c>
      <c r="F16" s="148">
        <f>IF($K16="","",INDEX(商品库存!$I$4:$I$603,$K16))</f>
        <v>100</v>
      </c>
      <c r="G16" s="210">
        <f>IF($K16="","",INDEX(商品库存!$J$4:$J$603,$K16))</f>
        <v>4818</v>
      </c>
      <c r="K16" s="78">
        <f>IFERROR(MATCH(2,_辅助!$E$4:$E$603,0),"")</f>
        <v>2</v>
      </c>
    </row>
    <row r="17">
      <c r="A17" s="141" t="str">
        <f>IF($K17="","",INDEX(商品库存!$C$4:$C$603,$K17))</f>
        <v>555补水</v>
      </c>
      <c r="B17" s="148">
        <f>IF($K17="","",INDEX(商品库存!$D$4:$D$603,$K17))</f>
        <v>303</v>
      </c>
      <c r="C17" s="210">
        <f>IF($K17="","",INDEX(商品库存!$F$4:$F$603,$K17))</f>
        <v>18395</v>
      </c>
      <c r="D17" s="148">
        <f>IF($K17="","",INDEX(商品库存!$G$4:$G$603,$K17))</f>
        <v>100</v>
      </c>
      <c r="E17" s="210">
        <f>IF($K17="","",INDEX(商品库存!$H$4:$H$603,$K17))</f>
        <v>6500</v>
      </c>
      <c r="F17" s="148">
        <f>IF($K17="","",INDEX(商品库存!$I$4:$I$603,$K17))</f>
        <v>203</v>
      </c>
      <c r="G17" s="210">
        <f>IF($K17="","",INDEX(商品库存!$J$4:$J$603,$K17))</f>
        <v>11895</v>
      </c>
      <c r="K17" s="78">
        <f>IFERROR(MATCH(3,_辅助!$E$4:$E$603,0),"")</f>
        <v>3</v>
      </c>
    </row>
    <row r="18">
      <c r="A18" s="141" t="str">
        <f>IF($K18="","",INDEX(商品库存!$C$4:$C$603,$K18))</f>
        <v>1L补水</v>
      </c>
      <c r="B18" s="148">
        <f>IF($K18="","",INDEX(商品库存!$D$4:$D$603,$K18))</f>
        <v>142</v>
      </c>
      <c r="C18" s="210">
        <f>IF($K18="","",INDEX(商品库存!$F$4:$F$603,$K18))</f>
        <v>7810</v>
      </c>
      <c r="D18" s="148">
        <f>IF($K18="","",INDEX(商品库存!$G$4:$G$603,$K18))</f>
        <v>90</v>
      </c>
      <c r="E18" s="210">
        <f>IF($K18="","",INDEX(商品库存!$H$4:$H$603,$K18))</f>
        <v>4950</v>
      </c>
      <c r="F18" s="148">
        <f>IF($K18="","",INDEX(商品库存!$I$4:$I$603,$K18))</f>
        <v>52</v>
      </c>
      <c r="G18" s="210">
        <f>IF($K18="","",INDEX(商品库存!$J$4:$J$603,$K18))</f>
        <v>2860</v>
      </c>
      <c r="K18" s="78">
        <f>IFERROR(MATCH(4,_辅助!$E$4:$E$603,0),"")</f>
        <v>4</v>
      </c>
    </row>
    <row r="19">
      <c r="A19" s="141" t="str">
        <f>IF($K19="","",INDEX(商品库存!$C$4:$C$603,$K19))</f>
        <v>小果之茶</v>
      </c>
      <c r="B19" s="148">
        <f>IF($K19="","",INDEX(商品库存!$D$4:$D$603,$K19))</f>
        <v>416</v>
      </c>
      <c r="C19" s="210">
        <f>IF($K19="","",INDEX(商品库存!$F$4:$F$603,$K19))</f>
        <v>18800</v>
      </c>
      <c r="D19" s="148">
        <f>IF($K19="","",INDEX(商品库存!$G$4:$G$603,$K19))</f>
        <v>100</v>
      </c>
      <c r="E19" s="210">
        <f>IF($K19="","",INDEX(商品库存!$H$4:$H$603,$K19))</f>
        <v>4700</v>
      </c>
      <c r="F19" s="148">
        <f>IF($K19="","",INDEX(商品库存!$I$4:$I$603,$K19))</f>
        <v>316</v>
      </c>
      <c r="G19" s="210">
        <f>IF($K19="","",INDEX(商品库存!$J$4:$J$603,$K19))</f>
        <v>14100</v>
      </c>
      <c r="K19" s="78">
        <f>IFERROR(MATCH(5,_辅助!$E$4:$E$603,0),"")</f>
        <v>5</v>
      </c>
    </row>
    <row r="20">
      <c r="A20" s="141" t="str">
        <f>IF($K20="","",INDEX(商品库存!$C$4:$C$603,$K20))</f>
        <v>1L果之茶</v>
      </c>
      <c r="B20" s="148">
        <f>IF($K20="","",INDEX(商品库存!$D$4:$D$603,$K20))</f>
        <v>118</v>
      </c>
      <c r="C20" s="210">
        <f>IF($K20="","",INDEX(商品库存!$F$4:$F$603,$K20))</f>
        <v>5074</v>
      </c>
      <c r="D20" s="148">
        <f>IF($K20="","",INDEX(商品库存!$G$4:$G$603,$K20))</f>
        <v>80</v>
      </c>
      <c r="E20" s="210">
        <f>IF($K20="","",INDEX(商品库存!$H$4:$H$603,$K20))</f>
        <v>3440</v>
      </c>
      <c r="F20" s="148">
        <f>IF($K20="","",INDEX(商品库存!$I$4:$I$603,$K20))</f>
        <v>38</v>
      </c>
      <c r="G20" s="210">
        <f>IF($K20="","",INDEX(商品库存!$J$4:$J$603,$K20))</f>
        <v>1634</v>
      </c>
      <c r="K20" s="78">
        <f>IFERROR(MATCH(6,_辅助!$E$4:$E$603,0),"")</f>
        <v>6</v>
      </c>
    </row>
    <row r="21">
      <c r="A21" s="141" t="str">
        <f>IF($K21="","",INDEX(商品库存!$C$4:$C$603,$K21))</f>
        <v>港式奶茶</v>
      </c>
      <c r="B21" s="148">
        <f>IF($K21="","",INDEX(商品库存!$D$4:$D$603,$K21))</f>
        <v>96</v>
      </c>
      <c r="C21" s="210">
        <f>IF($K21="","",INDEX(商品库存!$F$4:$F$603,$K21))</f>
        <v>6624</v>
      </c>
      <c r="D21" s="148">
        <f>IF($K21="","",INDEX(商品库存!$G$4:$G$603,$K21))</f>
        <v>0</v>
      </c>
      <c r="E21" s="210">
        <f>IF($K21="","",INDEX(商品库存!$H$4:$H$603,$K21))</f>
        <v>0</v>
      </c>
      <c r="F21" s="148">
        <f>IF($K21="","",INDEX(商品库存!$I$4:$I$603,$K21))</f>
        <v>96</v>
      </c>
      <c r="G21" s="210">
        <f>IF($K21="","",INDEX(商品库存!$J$4:$J$603,$K21))</f>
        <v>6624</v>
      </c>
      <c r="K21" s="78">
        <f>IFERROR(MATCH(7,_辅助!$E$4:$E$603,0),"")</f>
        <v>7</v>
      </c>
    </row>
    <row r="22">
      <c r="A22" s="141" t="str">
        <f>IF($K22="","",INDEX(商品库存!$C$4:$C$603,$K22))</f>
        <v>大咖</v>
      </c>
      <c r="B22" s="148">
        <f>IF($K22="","",INDEX(商品库存!$D$4:$D$603,$K22))</f>
        <v>104</v>
      </c>
      <c r="C22" s="210">
        <f>IF($K22="","",INDEX(商品库存!$F$4:$F$603,$K22))</f>
        <v>8300</v>
      </c>
      <c r="D22" s="148">
        <f>IF($K22="","",INDEX(商品库存!$G$4:$G$603,$K22))</f>
        <v>30</v>
      </c>
      <c r="E22" s="210">
        <f>IF($K22="","",INDEX(商品库存!$H$4:$H$603,$K22))</f>
        <v>2490</v>
      </c>
      <c r="F22" s="148">
        <f>IF($K22="","",INDEX(商品库存!$I$4:$I$603,$K22))</f>
        <v>74</v>
      </c>
      <c r="G22" s="210">
        <f>IF($K22="","",INDEX(商品库存!$J$4:$J$603,$K22))</f>
        <v>5810</v>
      </c>
      <c r="K22" s="78">
        <f>IFERROR(MATCH(8,_辅助!$E$4:$E$603,0),"")</f>
        <v>8</v>
      </c>
    </row>
    <row r="23">
      <c r="A23" s="141" t="str">
        <f>IF($K23="","",INDEX(商品库存!$C$4:$C$603,$K23))</f>
        <v>小焙好茶</v>
      </c>
      <c r="B23" s="148">
        <f>IF($K23="","",INDEX(商品库存!$D$4:$D$603,$K23))</f>
        <v>0</v>
      </c>
      <c r="C23" s="210">
        <f>IF($K23="","",INDEX(商品库存!$F$4:$F$603,$K23))</f>
        <v>0</v>
      </c>
      <c r="D23" s="148">
        <f>IF($K23="","",INDEX(商品库存!$G$4:$G$603,$K23))</f>
        <v>20</v>
      </c>
      <c r="E23" s="210">
        <f>IF($K23="","",INDEX(商品库存!$H$4:$H$603,$K23))</f>
        <v>960</v>
      </c>
      <c r="F23" s="148">
        <f>IF($K23="","",INDEX(商品库存!$I$4:$I$603,$K23))</f>
        <v>-20</v>
      </c>
      <c r="G23" s="210">
        <f>IF($K23="","",INDEX(商品库存!$J$4:$J$603,$K23))</f>
        <v>-960</v>
      </c>
      <c r="K23" s="78">
        <f>IFERROR(MATCH(9,_辅助!$E$4:$E$603,0),"")</f>
        <v>9</v>
      </c>
    </row>
    <row r="24">
      <c r="A24" s="141">
        <f>IF($K24="","",INDEX(商品库存!$C$4:$C$603,$K24))</f>
      </c>
      <c r="B24" s="148">
        <f>IF($K24="","",INDEX(商品库存!$D$4:$D$603,$K24))</f>
      </c>
      <c r="C24" s="210">
        <f>IF($K24="","",INDEX(商品库存!$F$4:$F$603,$K24))</f>
      </c>
      <c r="D24" s="148">
        <f>IF($K24="","",INDEX(商品库存!$G$4:$G$603,$K24))</f>
      </c>
      <c r="E24" s="210">
        <f>IF($K24="","",INDEX(商品库存!$H$4:$H$603,$K24))</f>
      </c>
      <c r="F24" s="148">
        <f>IF($K24="","",INDEX(商品库存!$I$4:$I$603,$K24))</f>
      </c>
      <c r="G24" s="210">
        <f>IF($K24="","",INDEX(商品库存!$J$4:$J$603,$K24))</f>
      </c>
      <c r="K24" s="78">
        <f>IFERROR(MATCH(10,_辅助!$E$4:$E$603,0),"")</f>
      </c>
    </row>
    <row r="25">
      <c r="A25" s="141">
        <f>IF($K25="","",INDEX(商品库存!$C$4:$C$603,$K25))</f>
      </c>
      <c r="B25" s="148">
        <f>IF($K25="","",INDEX(商品库存!$D$4:$D$603,$K25))</f>
      </c>
      <c r="C25" s="210">
        <f>IF($K25="","",INDEX(商品库存!$F$4:$F$603,$K25))</f>
      </c>
      <c r="D25" s="148">
        <f>IF($K25="","",INDEX(商品库存!$G$4:$G$603,$K25))</f>
      </c>
      <c r="E25" s="210">
        <f>IF($K25="","",INDEX(商品库存!$H$4:$H$603,$K25))</f>
      </c>
      <c r="F25" s="148">
        <f>IF($K25="","",INDEX(商品库存!$I$4:$I$603,$K25))</f>
      </c>
      <c r="G25" s="210">
        <f>IF($K25="","",INDEX(商品库存!$J$4:$J$603,$K25))</f>
      </c>
      <c r="K25" s="78">
        <f>IFERROR(MATCH(11,_辅助!$E$4:$E$603,0),"")</f>
      </c>
    </row>
    <row r="26">
      <c r="A26" s="141">
        <f>IF($K26="","",INDEX(商品库存!$C$4:$C$603,$K26))</f>
      </c>
      <c r="B26" s="148">
        <f>IF($K26="","",INDEX(商品库存!$D$4:$D$603,$K26))</f>
      </c>
      <c r="C26" s="210">
        <f>IF($K26="","",INDEX(商品库存!$F$4:$F$603,$K26))</f>
      </c>
      <c r="D26" s="148">
        <f>IF($K26="","",INDEX(商品库存!$G$4:$G$603,$K26))</f>
      </c>
      <c r="E26" s="210">
        <f>IF($K26="","",INDEX(商品库存!$H$4:$H$603,$K26))</f>
      </c>
      <c r="F26" s="148">
        <f>IF($K26="","",INDEX(商品库存!$I$4:$I$603,$K26))</f>
      </c>
      <c r="G26" s="210">
        <f>IF($K26="","",INDEX(商品库存!$J$4:$J$603,$K26))</f>
      </c>
      <c r="K26" s="78">
        <f>IFERROR(MATCH(12,_辅助!$E$4:$E$603,0),"")</f>
      </c>
    </row>
    <row r="27">
      <c r="A27" s="141">
        <f>IF($K27="","",INDEX(商品库存!$C$4:$C$603,$K27))</f>
      </c>
      <c r="B27" s="148">
        <f>IF($K27="","",INDEX(商品库存!$D$4:$D$603,$K27))</f>
      </c>
      <c r="C27" s="210">
        <f>IF($K27="","",INDEX(商品库存!$F$4:$F$603,$K27))</f>
      </c>
      <c r="D27" s="148">
        <f>IF($K27="","",INDEX(商品库存!$G$4:$G$603,$K27))</f>
      </c>
      <c r="E27" s="210">
        <f>IF($K27="","",INDEX(商品库存!$H$4:$H$603,$K27))</f>
      </c>
      <c r="F27" s="148">
        <f>IF($K27="","",INDEX(商品库存!$I$4:$I$603,$K27))</f>
      </c>
      <c r="G27" s="210">
        <f>IF($K27="","",INDEX(商品库存!$J$4:$J$603,$K27))</f>
      </c>
      <c r="K27" s="78">
        <f>IFERROR(MATCH(13,_辅助!$E$4:$E$603,0),"")</f>
      </c>
    </row>
    <row r="28">
      <c r="A28" s="141">
        <f>IF($K28="","",INDEX(商品库存!$C$4:$C$603,$K28))</f>
      </c>
      <c r="B28" s="148">
        <f>IF($K28="","",INDEX(商品库存!$D$4:$D$603,$K28))</f>
      </c>
      <c r="C28" s="210">
        <f>IF($K28="","",INDEX(商品库存!$F$4:$F$603,$K28))</f>
      </c>
      <c r="D28" s="148">
        <f>IF($K28="","",INDEX(商品库存!$G$4:$G$603,$K28))</f>
      </c>
      <c r="E28" s="210">
        <f>IF($K28="","",INDEX(商品库存!$H$4:$H$603,$K28))</f>
      </c>
      <c r="F28" s="148">
        <f>IF($K28="","",INDEX(商品库存!$I$4:$I$603,$K28))</f>
      </c>
      <c r="G28" s="210">
        <f>IF($K28="","",INDEX(商品库存!$J$4:$J$603,$K28))</f>
      </c>
      <c r="K28" s="78">
        <f>IFERROR(MATCH(14,_辅助!$E$4:$E$603,0),"")</f>
      </c>
    </row>
    <row r="29">
      <c r="A29" s="141">
        <f>IF($K29="","",INDEX(商品库存!$C$4:$C$603,$K29))</f>
      </c>
      <c r="B29" s="148">
        <f>IF($K29="","",INDEX(商品库存!$D$4:$D$603,$K29))</f>
      </c>
      <c r="C29" s="210">
        <f>IF($K29="","",INDEX(商品库存!$F$4:$F$603,$K29))</f>
      </c>
      <c r="D29" s="148">
        <f>IF($K29="","",INDEX(商品库存!$G$4:$G$603,$K29))</f>
      </c>
      <c r="E29" s="210">
        <f>IF($K29="","",INDEX(商品库存!$H$4:$H$603,$K29))</f>
      </c>
      <c r="F29" s="148">
        <f>IF($K29="","",INDEX(商品库存!$I$4:$I$603,$K29))</f>
      </c>
      <c r="G29" s="210">
        <f>IF($K29="","",INDEX(商品库存!$J$4:$J$603,$K29))</f>
      </c>
      <c r="K29" s="78">
        <f>IFERROR(MATCH(15,_辅助!$E$4:$E$603,0),"")</f>
      </c>
    </row>
    <row r="30">
      <c r="A30" s="141">
        <f>IF($K30="","",INDEX(商品库存!$C$4:$C$603,$K30))</f>
      </c>
      <c r="B30" s="148">
        <f>IF($K30="","",INDEX(商品库存!$D$4:$D$603,$K30))</f>
      </c>
      <c r="C30" s="210">
        <f>IF($K30="","",INDEX(商品库存!$F$4:$F$603,$K30))</f>
      </c>
      <c r="D30" s="148">
        <f>IF($K30="","",INDEX(商品库存!$G$4:$G$603,$K30))</f>
      </c>
      <c r="E30" s="210">
        <f>IF($K30="","",INDEX(商品库存!$H$4:$H$603,$K30))</f>
      </c>
      <c r="F30" s="148">
        <f>IF($K30="","",INDEX(商品库存!$I$4:$I$603,$K30))</f>
      </c>
      <c r="G30" s="210">
        <f>IF($K30="","",INDEX(商品库存!$J$4:$J$603,$K30))</f>
      </c>
      <c r="K30" s="78">
        <f>IFERROR(MATCH(16,_辅助!$E$4:$E$603,0),"")</f>
      </c>
    </row>
    <row r="31">
      <c r="A31" s="141">
        <f>IF($K31="","",INDEX(商品库存!$C$4:$C$603,$K31))</f>
      </c>
      <c r="B31" s="148">
        <f>IF($K31="","",INDEX(商品库存!$D$4:$D$603,$K31))</f>
      </c>
      <c r="C31" s="210">
        <f>IF($K31="","",INDEX(商品库存!$F$4:$F$603,$K31))</f>
      </c>
      <c r="D31" s="148">
        <f>IF($K31="","",INDEX(商品库存!$G$4:$G$603,$K31))</f>
      </c>
      <c r="E31" s="210">
        <f>IF($K31="","",INDEX(商品库存!$H$4:$H$603,$K31))</f>
      </c>
      <c r="F31" s="148">
        <f>IF($K31="","",INDEX(商品库存!$I$4:$I$603,$K31))</f>
      </c>
      <c r="G31" s="210">
        <f>IF($K31="","",INDEX(商品库存!$J$4:$J$603,$K31))</f>
      </c>
      <c r="K31" s="78">
        <f>IFERROR(MATCH(17,_辅助!$E$4:$E$603,0),"")</f>
      </c>
    </row>
    <row r="32">
      <c r="A32" s="141">
        <f>IF($K32="","",INDEX(商品库存!$C$4:$C$603,$K32))</f>
      </c>
      <c r="B32" s="148">
        <f>IF($K32="","",INDEX(商品库存!$D$4:$D$603,$K32))</f>
      </c>
      <c r="C32" s="210">
        <f>IF($K32="","",INDEX(商品库存!$F$4:$F$603,$K32))</f>
      </c>
      <c r="D32" s="148">
        <f>IF($K32="","",INDEX(商品库存!$G$4:$G$603,$K32))</f>
      </c>
      <c r="E32" s="210">
        <f>IF($K32="","",INDEX(商品库存!$H$4:$H$603,$K32))</f>
      </c>
      <c r="F32" s="148">
        <f>IF($K32="","",INDEX(商品库存!$I$4:$I$603,$K32))</f>
      </c>
      <c r="G32" s="210">
        <f>IF($K32="","",INDEX(商品库存!$J$4:$J$603,$K32))</f>
      </c>
      <c r="K32" s="78">
        <f>IFERROR(MATCH(18,_辅助!$E$4:$E$603,0),"")</f>
      </c>
    </row>
    <row r="33">
      <c r="A33" s="141">
        <f>IF($K33="","",INDEX(商品库存!$C$4:$C$603,$K33))</f>
      </c>
      <c r="B33" s="148">
        <f>IF($K33="","",INDEX(商品库存!$D$4:$D$603,$K33))</f>
      </c>
      <c r="C33" s="210">
        <f>IF($K33="","",INDEX(商品库存!$F$4:$F$603,$K33))</f>
      </c>
      <c r="D33" s="148">
        <f>IF($K33="","",INDEX(商品库存!$G$4:$G$603,$K33))</f>
      </c>
      <c r="E33" s="210">
        <f>IF($K33="","",INDEX(商品库存!$H$4:$H$603,$K33))</f>
      </c>
      <c r="F33" s="148">
        <f>IF($K33="","",INDEX(商品库存!$I$4:$I$603,$K33))</f>
      </c>
      <c r="G33" s="210">
        <f>IF($K33="","",INDEX(商品库存!$J$4:$J$603,$K33))</f>
      </c>
      <c r="K33" s="78">
        <f>IFERROR(MATCH(19,_辅助!$E$4:$E$603,0),"")</f>
      </c>
    </row>
    <row r="34">
      <c r="A34" s="141">
        <f>IF($K34="","",INDEX(商品库存!$C$4:$C$603,$K34))</f>
      </c>
      <c r="B34" s="148">
        <f>IF($K34="","",INDEX(商品库存!$D$4:$D$603,$K34))</f>
      </c>
      <c r="C34" s="210">
        <f>IF($K34="","",INDEX(商品库存!$F$4:$F$603,$K34))</f>
      </c>
      <c r="D34" s="148">
        <f>IF($K34="","",INDEX(商品库存!$G$4:$G$603,$K34))</f>
      </c>
      <c r="E34" s="210">
        <f>IF($K34="","",INDEX(商品库存!$H$4:$H$603,$K34))</f>
      </c>
      <c r="F34" s="148">
        <f>IF($K34="","",INDEX(商品库存!$I$4:$I$603,$K34))</f>
      </c>
      <c r="G34" s="210">
        <f>IF($K34="","",INDEX(商品库存!$J$4:$J$603,$K34))</f>
      </c>
      <c r="K34" s="78">
        <f>IFERROR(MATCH(20,_辅助!$E$4:$E$603,0),"")</f>
      </c>
    </row>
    <row r="35">
      <c r="A35" s="211">
        <f>IF(COUNT(_辅助!$E$4:$E$603)&gt;20,"⚠ 这个客户的存条商品超过 20 种，只列了前 20 种，完整的看【客户查询】","")</f>
      </c>
    </row>
    <row r="36">
      <c r="A36" s="211">
        <f>IF(COUNT(_辅助!$F$4:$F$6003)&gt;299,"⚠ 这段时间往来超过 299 笔，只列了前 299 笔，请把日期范围缩短","")</f>
      </c>
    </row>
    <row r="37" ht="26" customHeight="1" s="71">
      <c r="A37" s="212" t="inlineStr">
        <is>
          <t>📋 往来明细（按日期排）</t>
        </is>
      </c>
    </row>
    <row r="38" ht="28" customHeight="1" s="71">
      <c r="A38" s="101" t="inlineStr">
        <is>
          <t>序号</t>
        </is>
      </c>
      <c r="B38" s="101" t="inlineStr">
        <is>
          <t>日期</t>
        </is>
      </c>
      <c r="C38" s="101" t="inlineStr">
        <is>
          <t>摘要</t>
        </is>
      </c>
      <c r="D38" s="101" t="inlineStr">
        <is>
          <t>商品品类</t>
        </is>
      </c>
      <c r="E38" s="101" t="inlineStr">
        <is>
          <t>数量(件)</t>
        </is>
      </c>
      <c r="F38" s="101" t="inlineStr">
        <is>
          <t>单价</t>
        </is>
      </c>
      <c r="G38" s="101" t="inlineStr">
        <is>
          <t>领用金额</t>
        </is>
      </c>
      <c r="H38" s="101" t="inlineStr">
        <is>
          <t>收款金额</t>
        </is>
      </c>
      <c r="I38" s="101" t="inlineStr">
        <is>
          <t>欠款余额</t>
        </is>
      </c>
      <c r="J38" s="101" t="inlineStr">
        <is>
          <t>备注</t>
        </is>
      </c>
    </row>
    <row r="39">
      <c r="A39" s="84" t="n"/>
      <c r="B39" s="140">
        <f>$G$4</f>
        <v>46023.0</v>
      </c>
      <c r="C39" s="119" t="inlineStr">
        <is>
          <t>期初欠款</t>
        </is>
      </c>
      <c r="D39" s="84" t="n"/>
      <c r="E39" s="84" t="n"/>
      <c r="F39" s="84" t="n"/>
      <c r="G39" s="84" t="n"/>
      <c r="H39" s="84" t="n"/>
      <c r="I39" s="187">
        <f>A9</f>
        <v>0</v>
      </c>
      <c r="J39" s="84" t="n"/>
    </row>
    <row r="40">
      <c r="A40" s="141">
        <f>IF($K40="","",1)</f>
        <v>1</v>
      </c>
      <c r="B40" s="140">
        <f>IF($K40="","",IF($K40&lt;=3000,INDEX(出库明细!$B$4:$B$3003,$K40),INDEX(资金台帐!$B$7:$B$3006,$K40-3000)))</f>
        <v>46198.0</v>
      </c>
      <c r="C40" s="141" t="str">
        <f>IF($K40="","",IF($K40&lt;=3000,"出库领用",IF(INDEX(资金台帐!$S$7:$S$3006,$K40-3000)&gt;=0,"收款","退款")&amp;"（"&amp;INDEX(资金台帐!$C$7:$C$3006,$K40-3000)&amp;"）"))</f>
        <v>收款（收款码）</v>
      </c>
      <c r="D40" s="141">
        <f>IF($K40="","",IF($K40&lt;=3000,INDEX(出库明细!$D$4:$D$3003,$K40)&amp;"",""))</f>
      </c>
      <c r="E40" s="148">
        <f>IF($K40="","",IF($K40&lt;=3000,INDEX(出库明细!$E$4:$E$3003,$K40),""))</f>
      </c>
      <c r="F40" s="149">
        <f>IF($K40="","",IF($K40&lt;=3000,INDEX(出库明细!$F$4:$F$3003,$K40),""))</f>
      </c>
      <c r="G40" s="186">
        <f>IF($K40="","",IF($K40&lt;=3000,N(INDEX(出库明细!$G$4:$G$3003,$K40)),""))</f>
      </c>
      <c r="H40" s="186">
        <f>IF($K40="","",IF($K40&lt;=3000,"",INDEX(资金台帐!$S$7:$S$3006,$K40-3000)))</f>
        <v>39547</v>
      </c>
      <c r="I40" s="187">
        <f>IF($K40="","",I39+N(G40)-N(H40))</f>
        <v>-39547</v>
      </c>
      <c r="J40" s="213" t="str">
        <f>IF($K40="","",IF($K40&lt;=3000,INDEX(出库明细!$H$4:$H$3003,$K40)&amp;"",INDEX(资金台帐!$E$7:$E$3006,$K40-3000)&amp;""))</f>
        <v>收货款</v>
      </c>
      <c r="K40" s="78">
        <f>IFERROR(MATCH(SMALL(_辅助!$F$4:$F$6003,1),_辅助!$F$4:$F$6003,0),"")</f>
        <v>3002</v>
      </c>
    </row>
    <row r="41">
      <c r="A41" s="141">
        <f>IF($K41="","",2)</f>
        <v>2</v>
      </c>
      <c r="B41" s="140">
        <f>IF($K41="","",IF($K41&lt;=3000,INDEX(出库明细!$B$4:$B$3003,$K41),INDEX(资金台帐!$B$7:$B$3006,$K41-3000)))</f>
        <v>46200.0</v>
      </c>
      <c r="C41" s="141" t="str">
        <f>IF($K41="","",IF($K41&lt;=3000,"出库领用",IF(INDEX(资金台帐!$S$7:$S$3006,$K41-3000)&gt;=0,"收款","退款")&amp;"（"&amp;INDEX(资金台帐!$C$7:$C$3006,$K41-3000)&amp;"）"))</f>
        <v>出库领用</v>
      </c>
      <c r="D41" s="141" t="str">
        <f>IF($K41="","",IF($K41&lt;=3000,INDEX(出库明细!$D$4:$D$3003,$K41)&amp;"",""))</f>
        <v>小焙好茶</v>
      </c>
      <c r="E41" s="148">
        <f>IF($K41="","",IF($K41&lt;=3000,INDEX(出库明细!$E$4:$E$3003,$K41),""))</f>
        <v>20</v>
      </c>
      <c r="F41" s="149">
        <f>IF($K41="","",IF($K41&lt;=3000,INDEX(出库明细!$F$4:$F$3003,$K41),""))</f>
        <v>48</v>
      </c>
      <c r="G41" s="186">
        <f>IF($K41="","",IF($K41&lt;=3000,N(INDEX(出库明细!$G$4:$G$3003,$K41)),""))</f>
        <v>960</v>
      </c>
      <c r="H41" s="186">
        <f>IF($K41="","",IF($K41&lt;=3000,"",INDEX(资金台帐!$S$7:$S$3006,$K41-3000)))</f>
      </c>
      <c r="I41" s="187">
        <f>IF($K41="","",I40+N(G41)-N(H41))</f>
        <v>-38587</v>
      </c>
      <c r="J41" s="213">
        <f>IF($K41="","",IF($K41&lt;=3000,INDEX(出库明细!$H$4:$H$3003,$K41)&amp;"",INDEX(资金台帐!$E$7:$E$3006,$K41-3000)&amp;""))</f>
      </c>
      <c r="K41" s="78">
        <f>IFERROR(MATCH(SMALL(_辅助!$F$4:$F$6003,2),_辅助!$F$4:$F$6003,0),"")</f>
        <v>153</v>
      </c>
    </row>
    <row r="42">
      <c r="A42" s="141">
        <f>IF($K42="","",3)</f>
        <v>3</v>
      </c>
      <c r="B42" s="140">
        <f>IF($K42="","",IF($K42&lt;=3000,INDEX(出库明细!$B$4:$B$3003,$K42),INDEX(资金台帐!$B$7:$B$3006,$K42-3000)))</f>
        <v>46200.0</v>
      </c>
      <c r="C42" s="141" t="str">
        <f>IF($K42="","",IF($K42&lt;=3000,"出库领用",IF(INDEX(资金台帐!$S$7:$S$3006,$K42-3000)&gt;=0,"收款","退款")&amp;"（"&amp;INDEX(资金台帐!$C$7:$C$3006,$K42-3000)&amp;"）"))</f>
        <v>出库领用</v>
      </c>
      <c r="D42" s="141" t="str">
        <f>IF($K42="","",IF($K42&lt;=3000,INDEX(出库明细!$D$4:$D$3003,$K42)&amp;"",""))</f>
        <v>大咖</v>
      </c>
      <c r="E42" s="148">
        <f>IF($K42="","",IF($K42&lt;=3000,INDEX(出库明细!$E$4:$E$3003,$K42),""))</f>
        <v>10</v>
      </c>
      <c r="F42" s="149">
        <f>IF($K42="","",IF($K42&lt;=3000,INDEX(出库明细!$F$4:$F$3003,$K42),""))</f>
        <v>83</v>
      </c>
      <c r="G42" s="186">
        <f>IF($K42="","",IF($K42&lt;=3000,N(INDEX(出库明细!$G$4:$G$3003,$K42)),""))</f>
        <v>830</v>
      </c>
      <c r="H42" s="186">
        <f>IF($K42="","",IF($K42&lt;=3000,"",INDEX(资金台帐!$S$7:$S$3006,$K42-3000)))</f>
      </c>
      <c r="I42" s="187">
        <f>IF($K42="","",I41+N(G42)-N(H42))</f>
        <v>-37757</v>
      </c>
      <c r="J42" s="213">
        <f>IF($K42="","",IF($K42&lt;=3000,INDEX(出库明细!$H$4:$H$3003,$K42)&amp;"",INDEX(资金台帐!$E$7:$E$3006,$K42-3000)&amp;""))</f>
      </c>
      <c r="K42" s="78">
        <f>IFERROR(MATCH(SMALL(_辅助!$F$4:$F$6003,3),_辅助!$F$4:$F$6003,0),"")</f>
        <v>154</v>
      </c>
    </row>
    <row r="43">
      <c r="A43" s="141">
        <f>IF($K43="","",4)</f>
        <v>4</v>
      </c>
      <c r="B43" s="140">
        <f>IF($K43="","",IF($K43&lt;=3000,INDEX(出库明细!$B$4:$B$3003,$K43),INDEX(资金台帐!$B$7:$B$3006,$K43-3000)))</f>
        <v>46221.0</v>
      </c>
      <c r="C43" s="141" t="str">
        <f>IF($K43="","",IF($K43&lt;=3000,"出库领用",IF(INDEX(资金台帐!$S$7:$S$3006,$K43-3000)&gt;=0,"收款","退款")&amp;"（"&amp;INDEX(资金台帐!$C$7:$C$3006,$K43-3000)&amp;"）"))</f>
        <v>收款（收款码）</v>
      </c>
      <c r="D43" s="141">
        <f>IF($K43="","",IF($K43&lt;=3000,INDEX(出库明细!$D$4:$D$3003,$K43)&amp;"",""))</f>
      </c>
      <c r="E43" s="148">
        <f>IF($K43="","",IF($K43&lt;=3000,INDEX(出库明细!$E$4:$E$3003,$K43),""))</f>
      </c>
      <c r="F43" s="149">
        <f>IF($K43="","",IF($K43&lt;=3000,INDEX(出库明细!$F$4:$F$3003,$K43),""))</f>
      </c>
      <c r="G43" s="186">
        <f>IF($K43="","",IF($K43&lt;=3000,N(INDEX(出库明细!$G$4:$G$3003,$K43)),""))</f>
      </c>
      <c r="H43" s="186">
        <f>IF($K43="","",IF($K43&lt;=3000,"",INDEX(资金台帐!$S$7:$S$3006,$K43-3000)))</f>
        <v>50000</v>
      </c>
      <c r="I43" s="187">
        <f>IF($K43="","",I42+N(G43)-N(H43))</f>
        <v>-87757</v>
      </c>
      <c r="J43" s="213" t="str">
        <f>IF($K43="","",IF($K43&lt;=3000,INDEX(出库明细!$H$4:$H$3003,$K43)&amp;"",INDEX(资金台帐!$E$7:$E$3006,$K43-3000)&amp;""))</f>
        <v>收货款</v>
      </c>
      <c r="K43" s="78">
        <f>IFERROR(MATCH(SMALL(_辅助!$F$4:$F$6003,4),_辅助!$F$4:$F$6003,0),"")</f>
        <v>3071</v>
      </c>
    </row>
    <row r="44">
      <c r="A44" s="141">
        <f>IF($K44="","",5)</f>
        <v>5</v>
      </c>
      <c r="B44" s="140">
        <f>IF($K44="","",IF($K44&lt;=3000,INDEX(出库明细!$B$4:$B$3003,$K44),INDEX(资金台帐!$B$7:$B$3006,$K44-3000)))</f>
        <v>46225.0</v>
      </c>
      <c r="C44" s="141" t="str">
        <f>IF($K44="","",IF($K44&lt;=3000,"出库领用",IF(INDEX(资金台帐!$S$7:$S$3006,$K44-3000)&gt;=0,"收款","退款")&amp;"（"&amp;INDEX(资金台帐!$C$7:$C$3006,$K44-3000)&amp;"）"))</f>
        <v>出库领用</v>
      </c>
      <c r="D44" s="141" t="str">
        <f>IF($K44="","",IF($K44&lt;=3000,INDEX(出库明细!$D$4:$D$3003,$K44)&amp;"",""))</f>
        <v>1L补水</v>
      </c>
      <c r="E44" s="148">
        <f>IF($K44="","",IF($K44&lt;=3000,INDEX(出库明细!$E$4:$E$3003,$K44),""))</f>
        <v>90</v>
      </c>
      <c r="F44" s="149">
        <f>IF($K44="","",IF($K44&lt;=3000,INDEX(出库明细!$F$4:$F$3003,$K44),""))</f>
        <v>55</v>
      </c>
      <c r="G44" s="186">
        <f>IF($K44="","",IF($K44&lt;=3000,N(INDEX(出库明细!$G$4:$G$3003,$K44)),""))</f>
        <v>4950</v>
      </c>
      <c r="H44" s="186">
        <f>IF($K44="","",IF($K44&lt;=3000,"",INDEX(资金台帐!$S$7:$S$3006,$K44-3000)))</f>
      </c>
      <c r="I44" s="187">
        <f>IF($K44="","",I43+N(G44)-N(H44))</f>
        <v>-82807</v>
      </c>
      <c r="J44" s="213">
        <f>IF($K44="","",IF($K44&lt;=3000,INDEX(出库明细!$H$4:$H$3003,$K44)&amp;"",INDEX(资金台帐!$E$7:$E$3006,$K44-3000)&amp;""))</f>
      </c>
      <c r="K44" s="78">
        <f>IFERROR(MATCH(SMALL(_辅助!$F$4:$F$6003,5),_辅助!$F$4:$F$6003,0),"")</f>
        <v>155</v>
      </c>
    </row>
    <row r="45">
      <c r="A45" s="141">
        <f>IF($K45="","",6)</f>
        <v>6</v>
      </c>
      <c r="B45" s="140">
        <f>IF($K45="","",IF($K45&lt;=3000,INDEX(出库明细!$B$4:$B$3003,$K45),INDEX(资金台帐!$B$7:$B$3006,$K45-3000)))</f>
        <v>46225.0</v>
      </c>
      <c r="C45" s="141" t="str">
        <f>IF($K45="","",IF($K45&lt;=3000,"出库领用",IF(INDEX(资金台帐!$S$7:$S$3006,$K45-3000)&gt;=0,"收款","退款")&amp;"（"&amp;INDEX(资金台帐!$C$7:$C$3006,$K45-3000)&amp;"）"))</f>
        <v>出库领用</v>
      </c>
      <c r="D45" s="141" t="str">
        <f>IF($K45="","",IF($K45&lt;=3000,INDEX(出库明细!$D$4:$D$3003,$K45)&amp;"",""))</f>
        <v>555补水</v>
      </c>
      <c r="E45" s="148">
        <f>IF($K45="","",IF($K45&lt;=3000,INDEX(出库明细!$E$4:$E$3003,$K45),""))</f>
        <v>100</v>
      </c>
      <c r="F45" s="149">
        <f>IF($K45="","",IF($K45&lt;=3000,INDEX(出库明细!$F$4:$F$3003,$K45),""))</f>
        <v>65</v>
      </c>
      <c r="G45" s="186">
        <f>IF($K45="","",IF($K45&lt;=3000,N(INDEX(出库明细!$G$4:$G$3003,$K45)),""))</f>
        <v>6500</v>
      </c>
      <c r="H45" s="186">
        <f>IF($K45="","",IF($K45&lt;=3000,"",INDEX(资金台帐!$S$7:$S$3006,$K45-3000)))</f>
      </c>
      <c r="I45" s="187">
        <f>IF($K45="","",I44+N(G45)-N(H45))</f>
        <v>-76307</v>
      </c>
      <c r="J45" s="213">
        <f>IF($K45="","",IF($K45&lt;=3000,INDEX(出库明细!$H$4:$H$3003,$K45)&amp;"",INDEX(资金台帐!$E$7:$E$3006,$K45-3000)&amp;""))</f>
      </c>
      <c r="K45" s="78">
        <f>IFERROR(MATCH(SMALL(_辅助!$F$4:$F$6003,6),_辅助!$F$4:$F$6003,0),"")</f>
        <v>156</v>
      </c>
    </row>
    <row r="46">
      <c r="A46" s="141">
        <f>IF($K46="","",7)</f>
        <v>7</v>
      </c>
      <c r="B46" s="140">
        <f>IF($K46="","",IF($K46&lt;=3000,INDEX(出库明细!$B$4:$B$3003,$K46),INDEX(资金台帐!$B$7:$B$3006,$K46-3000)))</f>
        <v>46225.0</v>
      </c>
      <c r="C46" s="141" t="str">
        <f>IF($K46="","",IF($K46&lt;=3000,"出库领用",IF(INDEX(资金台帐!$S$7:$S$3006,$K46-3000)&gt;=0,"收款","退款")&amp;"（"&amp;INDEX(资金台帐!$C$7:$C$3006,$K46-3000)&amp;"）"))</f>
        <v>出库领用</v>
      </c>
      <c r="D46" s="141" t="str">
        <f>IF($K46="","",IF($K46&lt;=3000,INDEX(出库明细!$D$4:$D$3003,$K46)&amp;"",""))</f>
        <v>1L果之茶</v>
      </c>
      <c r="E46" s="148">
        <f>IF($K46="","",IF($K46&lt;=3000,INDEX(出库明细!$E$4:$E$3003,$K46),""))</f>
        <v>50</v>
      </c>
      <c r="F46" s="149">
        <f>IF($K46="","",IF($K46&lt;=3000,INDEX(出库明细!$F$4:$F$3003,$K46),""))</f>
        <v>43</v>
      </c>
      <c r="G46" s="186">
        <f>IF($K46="","",IF($K46&lt;=3000,N(INDEX(出库明细!$G$4:$G$3003,$K46)),""))</f>
        <v>2150</v>
      </c>
      <c r="H46" s="186">
        <f>IF($K46="","",IF($K46&lt;=3000,"",INDEX(资金台帐!$S$7:$S$3006,$K46-3000)))</f>
      </c>
      <c r="I46" s="187">
        <f>IF($K46="","",I45+N(G46)-N(H46))</f>
        <v>-74157</v>
      </c>
      <c r="J46" s="213">
        <f>IF($K46="","",IF($K46&lt;=3000,INDEX(出库明细!$H$4:$H$3003,$K46)&amp;"",INDEX(资金台帐!$E$7:$E$3006,$K46-3000)&amp;""))</f>
      </c>
      <c r="K46" s="78">
        <f>IFERROR(MATCH(SMALL(_辅助!$F$4:$F$6003,7),_辅助!$F$4:$F$6003,0),"")</f>
        <v>157</v>
      </c>
    </row>
    <row r="47">
      <c r="A47" s="141">
        <f>IF($K47="","",8)</f>
        <v>8</v>
      </c>
      <c r="B47" s="140">
        <f>IF($K47="","",IF($K47&lt;=3000,INDEX(出库明细!$B$4:$B$3003,$K47),INDEX(资金台帐!$B$7:$B$3006,$K47-3000)))</f>
        <v>46225.0</v>
      </c>
      <c r="C47" s="141" t="str">
        <f>IF($K47="","",IF($K47&lt;=3000,"出库领用",IF(INDEX(资金台帐!$S$7:$S$3006,$K47-3000)&gt;=0,"收款","退款")&amp;"（"&amp;INDEX(资金台帐!$C$7:$C$3006,$K47-3000)&amp;"）"))</f>
        <v>出库领用</v>
      </c>
      <c r="D47" s="141" t="str">
        <f>IF($K47="","",IF($K47&lt;=3000,INDEX(出库明细!$D$4:$D$3003,$K47)&amp;"",""))</f>
        <v>小果之茶</v>
      </c>
      <c r="E47" s="148">
        <f>IF($K47="","",IF($K47&lt;=3000,INDEX(出库明细!$E$4:$E$3003,$K47),""))</f>
        <v>100</v>
      </c>
      <c r="F47" s="149">
        <f>IF($K47="","",IF($K47&lt;=3000,INDEX(出库明细!$F$4:$F$3003,$K47),""))</f>
        <v>47</v>
      </c>
      <c r="G47" s="186">
        <f>IF($K47="","",IF($K47&lt;=3000,N(INDEX(出库明细!$G$4:$G$3003,$K47)),""))</f>
        <v>4700</v>
      </c>
      <c r="H47" s="186">
        <f>IF($K47="","",IF($K47&lt;=3000,"",INDEX(资金台帐!$S$7:$S$3006,$K47-3000)))</f>
      </c>
      <c r="I47" s="187">
        <f>IF($K47="","",I46+N(G47)-N(H47))</f>
        <v>-69457</v>
      </c>
      <c r="J47" s="213">
        <f>IF($K47="","",IF($K47&lt;=3000,INDEX(出库明细!$H$4:$H$3003,$K47)&amp;"",INDEX(资金台帐!$E$7:$E$3006,$K47-3000)&amp;""))</f>
      </c>
      <c r="K47" s="78">
        <f>IFERROR(MATCH(SMALL(_辅助!$F$4:$F$6003,8),_辅助!$F$4:$F$6003,0),"")</f>
        <v>158</v>
      </c>
    </row>
    <row r="48">
      <c r="A48" s="141">
        <f>IF($K48="","",9)</f>
        <v>9</v>
      </c>
      <c r="B48" s="140">
        <f>IF($K48="","",IF($K48&lt;=3000,INDEX(出库明细!$B$4:$B$3003,$K48),INDEX(资金台帐!$B$7:$B$3006,$K48-3000)))</f>
        <v>46225.0</v>
      </c>
      <c r="C48" s="141" t="str">
        <f>IF($K48="","",IF($K48&lt;=3000,"出库领用",IF(INDEX(资金台帐!$S$7:$S$3006,$K48-3000)&gt;=0,"收款","退款")&amp;"（"&amp;INDEX(资金台帐!$C$7:$C$3006,$K48-3000)&amp;"）"))</f>
        <v>出库领用</v>
      </c>
      <c r="D48" s="141" t="str">
        <f>IF($K48="","",IF($K48&lt;=3000,INDEX(出库明细!$D$4:$D$3003,$K48)&amp;"",""))</f>
        <v>大东鹏</v>
      </c>
      <c r="E48" s="148">
        <f>IF($K48="","",IF($K48&lt;=3000,INDEX(出库明细!$E$4:$E$3003,$K48),""))</f>
        <v>200</v>
      </c>
      <c r="F48" s="149">
        <f>IF($K48="","",IF($K48&lt;=3000,INDEX(出库明细!$F$4:$F$3003,$K48),""))</f>
        <v>90</v>
      </c>
      <c r="G48" s="186">
        <f>IF($K48="","",IF($K48&lt;=3000,N(INDEX(出库明细!$G$4:$G$3003,$K48)),""))</f>
        <v>18000</v>
      </c>
      <c r="H48" s="186">
        <f>IF($K48="","",IF($K48&lt;=3000,"",INDEX(资金台帐!$S$7:$S$3006,$K48-3000)))</f>
      </c>
      <c r="I48" s="187">
        <f>IF($K48="","",I47+N(G48)-N(H48))</f>
        <v>-51457</v>
      </c>
      <c r="J48" s="213">
        <f>IF($K48="","",IF($K48&lt;=3000,INDEX(出库明细!$H$4:$H$3003,$K48)&amp;"",INDEX(资金台帐!$E$7:$E$3006,$K48-3000)&amp;""))</f>
      </c>
      <c r="K48" s="78">
        <f>IFERROR(MATCH(SMALL(_辅助!$F$4:$F$6003,9),_辅助!$F$4:$F$6003,0),"")</f>
        <v>159</v>
      </c>
    </row>
    <row r="49">
      <c r="A49" s="141">
        <f>IF($K49="","",10)</f>
        <v>10</v>
      </c>
      <c r="B49" s="140">
        <f>IF($K49="","",IF($K49&lt;=3000,INDEX(出库明细!$B$4:$B$3003,$K49),INDEX(资金台帐!$B$7:$B$3006,$K49-3000)))</f>
        <v>46229.0</v>
      </c>
      <c r="C49" s="141" t="str">
        <f>IF($K49="","",IF($K49&lt;=3000,"出库领用",IF(INDEX(资金台帐!$S$7:$S$3006,$K49-3000)&gt;=0,"收款","退款")&amp;"（"&amp;INDEX(资金台帐!$C$7:$C$3006,$K49-3000)&amp;"）"))</f>
        <v>收款（收款码）</v>
      </c>
      <c r="D49" s="141">
        <f>IF($K49="","",IF($K49&lt;=3000,INDEX(出库明细!$D$4:$D$3003,$K49)&amp;"",""))</f>
      </c>
      <c r="E49" s="148">
        <f>IF($K49="","",IF($K49&lt;=3000,INDEX(出库明细!$E$4:$E$3003,$K49),""))</f>
      </c>
      <c r="F49" s="149">
        <f>IF($K49="","",IF($K49&lt;=3000,INDEX(出库明细!$F$4:$F$3003,$K49),""))</f>
      </c>
      <c r="G49" s="186">
        <f>IF($K49="","",IF($K49&lt;=3000,N(INDEX(出库明细!$G$4:$G$3003,$K49)),""))</f>
      </c>
      <c r="H49" s="186">
        <f>IF($K49="","",IF($K49&lt;=3000,"",INDEX(资金台帐!$S$7:$S$3006,$K49-3000)))</f>
        <v>40000</v>
      </c>
      <c r="I49" s="187">
        <f>IF($K49="","",I48+N(G49)-N(H49))</f>
        <v>-91457</v>
      </c>
      <c r="J49" s="213" t="str">
        <f>IF($K49="","",IF($K49&lt;=3000,INDEX(出库明细!$H$4:$H$3003,$K49)&amp;"",INDEX(资金台帐!$E$7:$E$3006,$K49-3000)&amp;""))</f>
        <v>收货款</v>
      </c>
      <c r="K49" s="78">
        <f>IFERROR(MATCH(SMALL(_辅助!$F$4:$F$6003,10),_辅助!$F$4:$F$6003,0),"")</f>
        <v>3085</v>
      </c>
    </row>
    <row r="50">
      <c r="A50" s="141">
        <f>IF($K50="","",11)</f>
        <v>11</v>
      </c>
      <c r="B50" s="140">
        <f>IF($K50="","",IF($K50&lt;=3000,INDEX(出库明细!$B$4:$B$3003,$K50),INDEX(资金台帐!$B$7:$B$3006,$K50-3000)))</f>
        <v>46232.0</v>
      </c>
      <c r="C50" s="141" t="str">
        <f>IF($K50="","",IF($K50&lt;=3000,"出库领用",IF(INDEX(资金台帐!$S$7:$S$3006,$K50-3000)&gt;=0,"收款","退款")&amp;"（"&amp;INDEX(资金台帐!$C$7:$C$3006,$K50-3000)&amp;"）"))</f>
        <v>收款（收款码）</v>
      </c>
      <c r="D50" s="141">
        <f>IF($K50="","",IF($K50&lt;=3000,INDEX(出库明细!$D$4:$D$3003,$K50)&amp;"",""))</f>
      </c>
      <c r="E50" s="148">
        <f>IF($K50="","",IF($K50&lt;=3000,INDEX(出库明细!$E$4:$E$3003,$K50),""))</f>
      </c>
      <c r="F50" s="149">
        <f>IF($K50="","",IF($K50&lt;=3000,INDEX(出库明细!$F$4:$F$3003,$K50),""))</f>
      </c>
      <c r="G50" s="186">
        <f>IF($K50="","",IF($K50&lt;=3000,N(INDEX(出库明细!$G$4:$G$3003,$K50)),""))</f>
      </c>
      <c r="H50" s="186">
        <f>IF($K50="","",IF($K50&lt;=3000,"",INDEX(资金台帐!$S$7:$S$3006,$K50-3000)))</f>
        <v>9860</v>
      </c>
      <c r="I50" s="187">
        <f>IF($K50="","",I49+N(G50)-N(H50))</f>
        <v>-101317</v>
      </c>
      <c r="J50" s="213" t="str">
        <f>IF($K50="","",IF($K50&lt;=3000,INDEX(出库明细!$H$4:$H$3003,$K50)&amp;"",INDEX(资金台帐!$E$7:$E$3006,$K50-3000)&amp;""))</f>
        <v>收货款</v>
      </c>
      <c r="K50" s="78">
        <f>IFERROR(MATCH(SMALL(_辅助!$F$4:$F$6003,11),_辅助!$F$4:$F$6003,0),"")</f>
        <v>3091</v>
      </c>
    </row>
    <row r="51">
      <c r="A51" s="141">
        <f>IF($K51="","",12)</f>
        <v>12</v>
      </c>
      <c r="B51" s="140">
        <f>IF($K51="","",IF($K51&lt;=3000,INDEX(出库明细!$B$4:$B$3003,$K51),INDEX(资金台帐!$B$7:$B$3006,$K51-3000)))</f>
        <v>46234.0</v>
      </c>
      <c r="C51" s="141" t="str">
        <f>IF($K51="","",IF($K51&lt;=3000,"出库领用",IF(INDEX(资金台帐!$S$7:$S$3006,$K51-3000)&gt;=0,"收款","退款")&amp;"（"&amp;INDEX(资金台帐!$C$7:$C$3006,$K51-3000)&amp;"）"))</f>
        <v>收款（收款码）</v>
      </c>
      <c r="D51" s="141">
        <f>IF($K51="","",IF($K51&lt;=3000,INDEX(出库明细!$D$4:$D$3003,$K51)&amp;"",""))</f>
      </c>
      <c r="E51" s="148">
        <f>IF($K51="","",IF($K51&lt;=3000,INDEX(出库明细!$E$4:$E$3003,$K51),""))</f>
      </c>
      <c r="F51" s="149">
        <f>IF($K51="","",IF($K51&lt;=3000,INDEX(出库明细!$F$4:$F$3003,$K51),""))</f>
      </c>
      <c r="G51" s="186">
        <f>IF($K51="","",IF($K51&lt;=3000,N(INDEX(出库明细!$G$4:$G$3003,$K51)),""))</f>
      </c>
      <c r="H51" s="186">
        <f>IF($K51="","",IF($K51&lt;=3000,"",INDEX(资金台帐!$S$7:$S$3006,$K51-3000)))</f>
        <v>8660</v>
      </c>
      <c r="I51" s="187">
        <f>IF($K51="","",I50+N(G51)-N(H51))</f>
        <v>-109977</v>
      </c>
      <c r="J51" s="213" t="str">
        <f>IF($K51="","",IF($K51&lt;=3000,INDEX(出库明细!$H$4:$H$3003,$K51)&amp;"",INDEX(资金台帐!$E$7:$E$3006,$K51-3000)&amp;""))</f>
        <v>收货款</v>
      </c>
      <c r="K51" s="78">
        <f>IFERROR(MATCH(SMALL(_辅助!$F$4:$F$6003,12),_辅助!$F$4:$F$6003,0),"")</f>
        <v>3093</v>
      </c>
    </row>
    <row r="52">
      <c r="A52" s="141">
        <f>IF($K52="","",13)</f>
        <v>13</v>
      </c>
      <c r="B52" s="140">
        <f>IF($K52="","",IF($K52&lt;=3000,INDEX(出库明细!$B$4:$B$3003,$K52),INDEX(资金台帐!$B$7:$B$3006,$K52-3000)))</f>
        <v>46237.0</v>
      </c>
      <c r="C52" s="141" t="str">
        <f>IF($K52="","",IF($K52&lt;=3000,"出库领用",IF(INDEX(资金台帐!$S$7:$S$3006,$K52-3000)&gt;=0,"收款","退款")&amp;"（"&amp;INDEX(资金台帐!$C$7:$C$3006,$K52-3000)&amp;"）"))</f>
        <v>出库领用</v>
      </c>
      <c r="D52" s="141" t="str">
        <f>IF($K52="","",IF($K52&lt;=3000,INDEX(出库明细!$D$4:$D$3003,$K52)&amp;"",""))</f>
        <v>小东鹏</v>
      </c>
      <c r="E52" s="148">
        <f>IF($K52="","",IF($K52&lt;=3000,INDEX(出库明细!$E$4:$E$3003,$K52),""))</f>
        <v>182</v>
      </c>
      <c r="F52" s="149">
        <f>IF($K52="","",IF($K52&lt;=3000,INDEX(出库明细!$F$4:$F$3003,$K52),""))</f>
        <v>51</v>
      </c>
      <c r="G52" s="186">
        <f>IF($K52="","",IF($K52&lt;=3000,N(INDEX(出库明细!$G$4:$G$3003,$K52)),""))</f>
        <v>9282</v>
      </c>
      <c r="H52" s="186">
        <f>IF($K52="","",IF($K52&lt;=3000,"",INDEX(资金台帐!$S$7:$S$3006,$K52-3000)))</f>
      </c>
      <c r="I52" s="187">
        <f>IF($K52="","",I51+N(G52)-N(H52))</f>
        <v>-100695</v>
      </c>
      <c r="J52" s="213">
        <f>IF($K52="","",IF($K52&lt;=3000,INDEX(出库明细!$H$4:$H$3003,$K52)&amp;"",INDEX(资金台帐!$E$7:$E$3006,$K52-3000)&amp;""))</f>
      </c>
      <c r="K52" s="78">
        <f>IFERROR(MATCH(SMALL(_辅助!$F$4:$F$6003,13),_辅助!$F$4:$F$6003,0),"")</f>
        <v>230</v>
      </c>
    </row>
    <row r="53">
      <c r="A53" s="141">
        <f>IF($K53="","",14)</f>
        <v>14</v>
      </c>
      <c r="B53" s="140">
        <f>IF($K53="","",IF($K53&lt;=3000,INDEX(出库明细!$B$4:$B$3003,$K53),INDEX(资金台帐!$B$7:$B$3006,$K53-3000)))</f>
        <v>46254.0</v>
      </c>
      <c r="C53" s="141" t="str">
        <f>IF($K53="","",IF($K53&lt;=3000,"出库领用",IF(INDEX(资金台帐!$S$7:$S$3006,$K53-3000)&gt;=0,"收款","退款")&amp;"（"&amp;INDEX(资金台帐!$C$7:$C$3006,$K53-3000)&amp;"）"))</f>
        <v>出库领用</v>
      </c>
      <c r="D53" s="141" t="str">
        <f>IF($K53="","",IF($K53&lt;=3000,INDEX(出库明细!$D$4:$D$3003,$K53)&amp;"",""))</f>
        <v>大东鹏</v>
      </c>
      <c r="E53" s="148">
        <f>IF($K53="","",IF($K53&lt;=3000,INDEX(出库明细!$E$4:$E$3003,$K53),""))</f>
        <v>100</v>
      </c>
      <c r="F53" s="149">
        <f>IF($K53="","",IF($K53&lt;=3000,INDEX(出库明细!$F$4:$F$3003,$K53),""))</f>
        <v>90</v>
      </c>
      <c r="G53" s="186">
        <f>IF($K53="","",IF($K53&lt;=3000,N(INDEX(出库明细!$G$4:$G$3003,$K53)),""))</f>
        <v>9000</v>
      </c>
      <c r="H53" s="186">
        <f>IF($K53="","",IF($K53&lt;=3000,"",INDEX(资金台帐!$S$7:$S$3006,$K53-3000)))</f>
      </c>
      <c r="I53" s="187">
        <f>IF($K53="","",I52+N(G53)-N(H53))</f>
        <v>-91695</v>
      </c>
      <c r="J53" s="213">
        <f>IF($K53="","",IF($K53&lt;=3000,INDEX(出库明细!$H$4:$H$3003,$K53)&amp;"",INDEX(资金台帐!$E$7:$E$3006,$K53-3000)&amp;""))</f>
      </c>
      <c r="K53" s="78">
        <f>IFERROR(MATCH(SMALL(_辅助!$F$4:$F$6003,14),_辅助!$F$4:$F$6003,0),"")</f>
        <v>320</v>
      </c>
    </row>
    <row r="54">
      <c r="A54" s="141">
        <f>IF($K54="","",15)</f>
        <v>15</v>
      </c>
      <c r="B54" s="140">
        <f>IF($K54="","",IF($K54&lt;=3000,INDEX(出库明细!$B$4:$B$3003,$K54),INDEX(资金台帐!$B$7:$B$3006,$K54-3000)))</f>
        <v>46256.0</v>
      </c>
      <c r="C54" s="141" t="str">
        <f>IF($K54="","",IF($K54&lt;=3000,"出库领用",IF(INDEX(资金台帐!$S$7:$S$3006,$K54-3000)&gt;=0,"收款","退款")&amp;"（"&amp;INDEX(资金台帐!$C$7:$C$3006,$K54-3000)&amp;"）"))</f>
        <v>出库领用</v>
      </c>
      <c r="D54" s="141" t="str">
        <f>IF($K54="","",IF($K54&lt;=3000,INDEX(出库明细!$D$4:$D$3003,$K54)&amp;"",""))</f>
        <v>大东鹏</v>
      </c>
      <c r="E54" s="148">
        <f>IF($K54="","",IF($K54&lt;=3000,INDEX(出库明细!$E$4:$E$3003,$K54),""))</f>
        <v>200</v>
      </c>
      <c r="F54" s="149">
        <f>IF($K54="","",IF($K54&lt;=3000,INDEX(出库明细!$F$4:$F$3003,$K54),""))</f>
        <v>90</v>
      </c>
      <c r="G54" s="186">
        <f>IF($K54="","",IF($K54&lt;=3000,N(INDEX(出库明细!$G$4:$G$3003,$K54)),""))</f>
        <v>18000</v>
      </c>
      <c r="H54" s="186">
        <f>IF($K54="","",IF($K54&lt;=3000,"",INDEX(资金台帐!$S$7:$S$3006,$K54-3000)))</f>
      </c>
      <c r="I54" s="187">
        <f>IF($K54="","",I53+N(G54)-N(H54))</f>
        <v>-73695</v>
      </c>
      <c r="J54" s="213">
        <f>IF($K54="","",IF($K54&lt;=3000,INDEX(出库明细!$H$4:$H$3003,$K54)&amp;"",INDEX(资金台帐!$E$7:$E$3006,$K54-3000)&amp;""))</f>
      </c>
      <c r="K54" s="78">
        <f>IFERROR(MATCH(SMALL(_辅助!$F$4:$F$6003,15),_辅助!$F$4:$F$6003,0),"")</f>
        <v>326</v>
      </c>
    </row>
    <row r="55">
      <c r="A55" s="141">
        <f>IF($K55="","",16)</f>
        <v>16</v>
      </c>
      <c r="B55" s="140">
        <f>IF($K55="","",IF($K55&lt;=3000,INDEX(出库明细!$B$4:$B$3003,$K55),INDEX(资金台帐!$B$7:$B$3006,$K55-3000)))</f>
        <v>46259.0</v>
      </c>
      <c r="C55" s="141" t="str">
        <f>IF($K55="","",IF($K55&lt;=3000,"出库领用",IF(INDEX(资金台帐!$S$7:$S$3006,$K55-3000)&gt;=0,"收款","退款")&amp;"（"&amp;INDEX(资金台帐!$C$7:$C$3006,$K55-3000)&amp;"）"))</f>
        <v>出库领用</v>
      </c>
      <c r="D55" s="141" t="str">
        <f>IF($K55="","",IF($K55&lt;=3000,INDEX(出库明细!$D$4:$D$3003,$K55)&amp;"",""))</f>
        <v>1L果之茶</v>
      </c>
      <c r="E55" s="148">
        <f>IF($K55="","",IF($K55&lt;=3000,INDEX(出库明细!$E$4:$E$3003,$K55),""))</f>
        <v>30</v>
      </c>
      <c r="F55" s="149">
        <f>IF($K55="","",IF($K55&lt;=3000,INDEX(出库明细!$F$4:$F$3003,$K55),""))</f>
        <v>43</v>
      </c>
      <c r="G55" s="186">
        <f>IF($K55="","",IF($K55&lt;=3000,N(INDEX(出库明细!$G$4:$G$3003,$K55)),""))</f>
        <v>1290</v>
      </c>
      <c r="H55" s="186">
        <f>IF($K55="","",IF($K55&lt;=3000,"",INDEX(资金台帐!$S$7:$S$3006,$K55-3000)))</f>
      </c>
      <c r="I55" s="187">
        <f>IF($K55="","",I54+N(G55)-N(H55))</f>
        <v>-72405</v>
      </c>
      <c r="J55" s="213">
        <f>IF($K55="","",IF($K55&lt;=3000,INDEX(出库明细!$H$4:$H$3003,$K55)&amp;"",INDEX(资金台帐!$E$7:$E$3006,$K55-3000)&amp;""))</f>
      </c>
      <c r="K55" s="78">
        <f>IFERROR(MATCH(SMALL(_辅助!$F$4:$F$6003,16),_辅助!$F$4:$F$6003,0),"")</f>
        <v>352</v>
      </c>
    </row>
    <row r="56">
      <c r="A56" s="141">
        <f>IF($K56="","",17)</f>
        <v>17</v>
      </c>
      <c r="B56" s="140">
        <f>IF($K56="","",IF($K56&lt;=3000,INDEX(出库明细!$B$4:$B$3003,$K56),INDEX(资金台帐!$B$7:$B$3006,$K56-3000)))</f>
        <v>46259.0</v>
      </c>
      <c r="C56" s="141" t="str">
        <f>IF($K56="","",IF($K56&lt;=3000,"出库领用",IF(INDEX(资金台帐!$S$7:$S$3006,$K56-3000)&gt;=0,"收款","退款")&amp;"（"&amp;INDEX(资金台帐!$C$7:$C$3006,$K56-3000)&amp;"）"))</f>
        <v>出库领用</v>
      </c>
      <c r="D56" s="141" t="str">
        <f>IF($K56="","",IF($K56&lt;=3000,INDEX(出库明细!$D$4:$D$3003,$K56)&amp;"",""))</f>
        <v>大咖</v>
      </c>
      <c r="E56" s="148">
        <f>IF($K56="","",IF($K56&lt;=3000,INDEX(出库明细!$E$4:$E$3003,$K56),""))</f>
        <v>20</v>
      </c>
      <c r="F56" s="149">
        <f>IF($K56="","",IF($K56&lt;=3000,INDEX(出库明细!$F$4:$F$3003,$K56),""))</f>
        <v>83</v>
      </c>
      <c r="G56" s="186">
        <f>IF($K56="","",IF($K56&lt;=3000,N(INDEX(出库明细!$G$4:$G$3003,$K56)),""))</f>
        <v>1660</v>
      </c>
      <c r="H56" s="186">
        <f>IF($K56="","",IF($K56&lt;=3000,"",INDEX(资金台帐!$S$7:$S$3006,$K56-3000)))</f>
      </c>
      <c r="I56" s="187">
        <f>IF($K56="","",I55+N(G56)-N(H56))</f>
        <v>-70745</v>
      </c>
      <c r="J56" s="213">
        <f>IF($K56="","",IF($K56&lt;=3000,INDEX(出库明细!$H$4:$H$3003,$K56)&amp;"",INDEX(资金台帐!$E$7:$E$3006,$K56-3000)&amp;""))</f>
      </c>
      <c r="K56" s="78">
        <f>IFERROR(MATCH(SMALL(_辅助!$F$4:$F$6003,17),_辅助!$F$4:$F$6003,0),"")</f>
        <v>353</v>
      </c>
    </row>
    <row r="57">
      <c r="A57" s="141">
        <f>IF($K57="","",18)</f>
      </c>
      <c r="B57" s="140">
        <f>IF($K57="","",IF($K57&lt;=3000,INDEX(出库明细!$B$4:$B$3003,$K57),INDEX(资金台帐!$B$7:$B$3006,$K57-3000)))</f>
      </c>
      <c r="C57" s="141">
        <f>IF($K57="","",IF($K57&lt;=3000,"出库领用",IF(INDEX(资金台帐!$S$7:$S$3006,$K57-3000)&gt;=0,"收款","退款")&amp;"（"&amp;INDEX(资金台帐!$C$7:$C$3006,$K57-3000)&amp;"）"))</f>
      </c>
      <c r="D57" s="141">
        <f>IF($K57="","",IF($K57&lt;=3000,INDEX(出库明细!$D$4:$D$3003,$K57)&amp;"",""))</f>
      </c>
      <c r="E57" s="148">
        <f>IF($K57="","",IF($K57&lt;=3000,INDEX(出库明细!$E$4:$E$3003,$K57),""))</f>
      </c>
      <c r="F57" s="149">
        <f>IF($K57="","",IF($K57&lt;=3000,INDEX(出库明细!$F$4:$F$3003,$K57),""))</f>
      </c>
      <c r="G57" s="186">
        <f>IF($K57="","",IF($K57&lt;=3000,N(INDEX(出库明细!$G$4:$G$3003,$K57)),""))</f>
      </c>
      <c r="H57" s="186">
        <f>IF($K57="","",IF($K57&lt;=3000,"",INDEX(资金台帐!$S$7:$S$3006,$K57-3000)))</f>
      </c>
      <c r="I57" s="187">
        <f>IF($K57="","",I56+N(G57)-N(H57))</f>
      </c>
      <c r="J57" s="213">
        <f>IF($K57="","",IF($K57&lt;=3000,INDEX(出库明细!$H$4:$H$3003,$K57)&amp;"",INDEX(资金台帐!$E$7:$E$3006,$K57-3000)&amp;""))</f>
      </c>
      <c r="K57" s="78">
        <f>IFERROR(MATCH(SMALL(_辅助!$F$4:$F$6003,18),_辅助!$F$4:$F$6003,0),"")</f>
      </c>
    </row>
    <row r="58">
      <c r="A58" s="141">
        <f>IF($K58="","",19)</f>
      </c>
      <c r="B58" s="140">
        <f>IF($K58="","",IF($K58&lt;=3000,INDEX(出库明细!$B$4:$B$3003,$K58),INDEX(资金台帐!$B$7:$B$3006,$K58-3000)))</f>
      </c>
      <c r="C58" s="141">
        <f>IF($K58="","",IF($K58&lt;=3000,"出库领用",IF(INDEX(资金台帐!$S$7:$S$3006,$K58-3000)&gt;=0,"收款","退款")&amp;"（"&amp;INDEX(资金台帐!$C$7:$C$3006,$K58-3000)&amp;"）"))</f>
      </c>
      <c r="D58" s="141">
        <f>IF($K58="","",IF($K58&lt;=3000,INDEX(出库明细!$D$4:$D$3003,$K58)&amp;"",""))</f>
      </c>
      <c r="E58" s="148">
        <f>IF($K58="","",IF($K58&lt;=3000,INDEX(出库明细!$E$4:$E$3003,$K58),""))</f>
      </c>
      <c r="F58" s="149">
        <f>IF($K58="","",IF($K58&lt;=3000,INDEX(出库明细!$F$4:$F$3003,$K58),""))</f>
      </c>
      <c r="G58" s="186">
        <f>IF($K58="","",IF($K58&lt;=3000,N(INDEX(出库明细!$G$4:$G$3003,$K58)),""))</f>
      </c>
      <c r="H58" s="186">
        <f>IF($K58="","",IF($K58&lt;=3000,"",INDEX(资金台帐!$S$7:$S$3006,$K58-3000)))</f>
      </c>
      <c r="I58" s="187">
        <f>IF($K58="","",I57+N(G58)-N(H58))</f>
      </c>
      <c r="J58" s="213">
        <f>IF($K58="","",IF($K58&lt;=3000,INDEX(出库明细!$H$4:$H$3003,$K58)&amp;"",INDEX(资金台帐!$E$7:$E$3006,$K58-3000)&amp;""))</f>
      </c>
      <c r="K58" s="78">
        <f>IFERROR(MATCH(SMALL(_辅助!$F$4:$F$6003,19),_辅助!$F$4:$F$6003,0),"")</f>
      </c>
    </row>
    <row r="59">
      <c r="A59" s="141">
        <f>IF($K59="","",20)</f>
      </c>
      <c r="B59" s="140">
        <f>IF($K59="","",IF($K59&lt;=3000,INDEX(出库明细!$B$4:$B$3003,$K59),INDEX(资金台帐!$B$7:$B$3006,$K59-3000)))</f>
      </c>
      <c r="C59" s="141">
        <f>IF($K59="","",IF($K59&lt;=3000,"出库领用",IF(INDEX(资金台帐!$S$7:$S$3006,$K59-3000)&gt;=0,"收款","退款")&amp;"（"&amp;INDEX(资金台帐!$C$7:$C$3006,$K59-3000)&amp;"）"))</f>
      </c>
      <c r="D59" s="141">
        <f>IF($K59="","",IF($K59&lt;=3000,INDEX(出库明细!$D$4:$D$3003,$K59)&amp;"",""))</f>
      </c>
      <c r="E59" s="148">
        <f>IF($K59="","",IF($K59&lt;=3000,INDEX(出库明细!$E$4:$E$3003,$K59),""))</f>
      </c>
      <c r="F59" s="149">
        <f>IF($K59="","",IF($K59&lt;=3000,INDEX(出库明细!$F$4:$F$3003,$K59),""))</f>
      </c>
      <c r="G59" s="186">
        <f>IF($K59="","",IF($K59&lt;=3000,N(INDEX(出库明细!$G$4:$G$3003,$K59)),""))</f>
      </c>
      <c r="H59" s="186">
        <f>IF($K59="","",IF($K59&lt;=3000,"",INDEX(资金台帐!$S$7:$S$3006,$K59-3000)))</f>
      </c>
      <c r="I59" s="187">
        <f>IF($K59="","",I58+N(G59)-N(H59))</f>
      </c>
      <c r="J59" s="213">
        <f>IF($K59="","",IF($K59&lt;=3000,INDEX(出库明细!$H$4:$H$3003,$K59)&amp;"",INDEX(资金台帐!$E$7:$E$3006,$K59-3000)&amp;""))</f>
      </c>
      <c r="K59" s="78">
        <f>IFERROR(MATCH(SMALL(_辅助!$F$4:$F$6003,20),_辅助!$F$4:$F$6003,0),"")</f>
      </c>
    </row>
    <row r="60">
      <c r="A60" s="141">
        <f>IF($K60="","",21)</f>
      </c>
      <c r="B60" s="140">
        <f>IF($K60="","",IF($K60&lt;=3000,INDEX(出库明细!$B$4:$B$3003,$K60),INDEX(资金台帐!$B$7:$B$3006,$K60-3000)))</f>
      </c>
      <c r="C60" s="141">
        <f>IF($K60="","",IF($K60&lt;=3000,"出库领用",IF(INDEX(资金台帐!$S$7:$S$3006,$K60-3000)&gt;=0,"收款","退款")&amp;"（"&amp;INDEX(资金台帐!$C$7:$C$3006,$K60-3000)&amp;"）"))</f>
      </c>
      <c r="D60" s="141">
        <f>IF($K60="","",IF($K60&lt;=3000,INDEX(出库明细!$D$4:$D$3003,$K60)&amp;"",""))</f>
      </c>
      <c r="E60" s="148">
        <f>IF($K60="","",IF($K60&lt;=3000,INDEX(出库明细!$E$4:$E$3003,$K60),""))</f>
      </c>
      <c r="F60" s="149">
        <f>IF($K60="","",IF($K60&lt;=3000,INDEX(出库明细!$F$4:$F$3003,$K60),""))</f>
      </c>
      <c r="G60" s="186">
        <f>IF($K60="","",IF($K60&lt;=3000,N(INDEX(出库明细!$G$4:$G$3003,$K60)),""))</f>
      </c>
      <c r="H60" s="186">
        <f>IF($K60="","",IF($K60&lt;=3000,"",INDEX(资金台帐!$S$7:$S$3006,$K60-3000)))</f>
      </c>
      <c r="I60" s="187">
        <f>IF($K60="","",I59+N(G60)-N(H60))</f>
      </c>
      <c r="J60" s="213">
        <f>IF($K60="","",IF($K60&lt;=3000,INDEX(出库明细!$H$4:$H$3003,$K60)&amp;"",INDEX(资金台帐!$E$7:$E$3006,$K60-3000)&amp;""))</f>
      </c>
      <c r="K60" s="78">
        <f>IFERROR(MATCH(SMALL(_辅助!$F$4:$F$6003,21),_辅助!$F$4:$F$6003,0),"")</f>
      </c>
    </row>
    <row r="61">
      <c r="A61" s="141">
        <f>IF($K61="","",22)</f>
      </c>
      <c r="B61" s="140">
        <f>IF($K61="","",IF($K61&lt;=3000,INDEX(出库明细!$B$4:$B$3003,$K61),INDEX(资金台帐!$B$7:$B$3006,$K61-3000)))</f>
      </c>
      <c r="C61" s="141">
        <f>IF($K61="","",IF($K61&lt;=3000,"出库领用",IF(INDEX(资金台帐!$S$7:$S$3006,$K61-3000)&gt;=0,"收款","退款")&amp;"（"&amp;INDEX(资金台帐!$C$7:$C$3006,$K61-3000)&amp;"）"))</f>
      </c>
      <c r="D61" s="141">
        <f>IF($K61="","",IF($K61&lt;=3000,INDEX(出库明细!$D$4:$D$3003,$K61)&amp;"",""))</f>
      </c>
      <c r="E61" s="148">
        <f>IF($K61="","",IF($K61&lt;=3000,INDEX(出库明细!$E$4:$E$3003,$K61),""))</f>
      </c>
      <c r="F61" s="149">
        <f>IF($K61="","",IF($K61&lt;=3000,INDEX(出库明细!$F$4:$F$3003,$K61),""))</f>
      </c>
      <c r="G61" s="186">
        <f>IF($K61="","",IF($K61&lt;=3000,N(INDEX(出库明细!$G$4:$G$3003,$K61)),""))</f>
      </c>
      <c r="H61" s="186">
        <f>IF($K61="","",IF($K61&lt;=3000,"",INDEX(资金台帐!$S$7:$S$3006,$K61-3000)))</f>
      </c>
      <c r="I61" s="187">
        <f>IF($K61="","",I60+N(G61)-N(H61))</f>
      </c>
      <c r="J61" s="213">
        <f>IF($K61="","",IF($K61&lt;=3000,INDEX(出库明细!$H$4:$H$3003,$K61)&amp;"",INDEX(资金台帐!$E$7:$E$3006,$K61-3000)&amp;""))</f>
      </c>
      <c r="K61" s="78">
        <f>IFERROR(MATCH(SMALL(_辅助!$F$4:$F$6003,22),_辅助!$F$4:$F$6003,0),"")</f>
      </c>
    </row>
    <row r="62">
      <c r="A62" s="141">
        <f>IF($K62="","",23)</f>
      </c>
      <c r="B62" s="140">
        <f>IF($K62="","",IF($K62&lt;=3000,INDEX(出库明细!$B$4:$B$3003,$K62),INDEX(资金台帐!$B$7:$B$3006,$K62-3000)))</f>
      </c>
      <c r="C62" s="141">
        <f>IF($K62="","",IF($K62&lt;=3000,"出库领用",IF(INDEX(资金台帐!$S$7:$S$3006,$K62-3000)&gt;=0,"收款","退款")&amp;"（"&amp;INDEX(资金台帐!$C$7:$C$3006,$K62-3000)&amp;"）"))</f>
      </c>
      <c r="D62" s="141">
        <f>IF($K62="","",IF($K62&lt;=3000,INDEX(出库明细!$D$4:$D$3003,$K62)&amp;"",""))</f>
      </c>
      <c r="E62" s="148">
        <f>IF($K62="","",IF($K62&lt;=3000,INDEX(出库明细!$E$4:$E$3003,$K62),""))</f>
      </c>
      <c r="F62" s="149">
        <f>IF($K62="","",IF($K62&lt;=3000,INDEX(出库明细!$F$4:$F$3003,$K62),""))</f>
      </c>
      <c r="G62" s="186">
        <f>IF($K62="","",IF($K62&lt;=3000,N(INDEX(出库明细!$G$4:$G$3003,$K62)),""))</f>
      </c>
      <c r="H62" s="186">
        <f>IF($K62="","",IF($K62&lt;=3000,"",INDEX(资金台帐!$S$7:$S$3006,$K62-3000)))</f>
      </c>
      <c r="I62" s="187">
        <f>IF($K62="","",I61+N(G62)-N(H62))</f>
      </c>
      <c r="J62" s="213">
        <f>IF($K62="","",IF($K62&lt;=3000,INDEX(出库明细!$H$4:$H$3003,$K62)&amp;"",INDEX(资金台帐!$E$7:$E$3006,$K62-3000)&amp;""))</f>
      </c>
      <c r="K62" s="78">
        <f>IFERROR(MATCH(SMALL(_辅助!$F$4:$F$6003,23),_辅助!$F$4:$F$6003,0),"")</f>
      </c>
    </row>
    <row r="63">
      <c r="A63" s="141">
        <f>IF($K63="","",24)</f>
      </c>
      <c r="B63" s="140">
        <f>IF($K63="","",IF($K63&lt;=3000,INDEX(出库明细!$B$4:$B$3003,$K63),INDEX(资金台帐!$B$7:$B$3006,$K63-3000)))</f>
      </c>
      <c r="C63" s="141">
        <f>IF($K63="","",IF($K63&lt;=3000,"出库领用",IF(INDEX(资金台帐!$S$7:$S$3006,$K63-3000)&gt;=0,"收款","退款")&amp;"（"&amp;INDEX(资金台帐!$C$7:$C$3006,$K63-3000)&amp;"）"))</f>
      </c>
      <c r="D63" s="141">
        <f>IF($K63="","",IF($K63&lt;=3000,INDEX(出库明细!$D$4:$D$3003,$K63)&amp;"",""))</f>
      </c>
      <c r="E63" s="148">
        <f>IF($K63="","",IF($K63&lt;=3000,INDEX(出库明细!$E$4:$E$3003,$K63),""))</f>
      </c>
      <c r="F63" s="149">
        <f>IF($K63="","",IF($K63&lt;=3000,INDEX(出库明细!$F$4:$F$3003,$K63),""))</f>
      </c>
      <c r="G63" s="186">
        <f>IF($K63="","",IF($K63&lt;=3000,N(INDEX(出库明细!$G$4:$G$3003,$K63)),""))</f>
      </c>
      <c r="H63" s="186">
        <f>IF($K63="","",IF($K63&lt;=3000,"",INDEX(资金台帐!$S$7:$S$3006,$K63-3000)))</f>
      </c>
      <c r="I63" s="187">
        <f>IF($K63="","",I62+N(G63)-N(H63))</f>
      </c>
      <c r="J63" s="213">
        <f>IF($K63="","",IF($K63&lt;=3000,INDEX(出库明细!$H$4:$H$3003,$K63)&amp;"",INDEX(资金台帐!$E$7:$E$3006,$K63-3000)&amp;""))</f>
      </c>
      <c r="K63" s="78">
        <f>IFERROR(MATCH(SMALL(_辅助!$F$4:$F$6003,24),_辅助!$F$4:$F$6003,0),"")</f>
      </c>
    </row>
    <row r="64">
      <c r="A64" s="141">
        <f>IF($K64="","",25)</f>
      </c>
      <c r="B64" s="140">
        <f>IF($K64="","",IF($K64&lt;=3000,INDEX(出库明细!$B$4:$B$3003,$K64),INDEX(资金台帐!$B$7:$B$3006,$K64-3000)))</f>
      </c>
      <c r="C64" s="141">
        <f>IF($K64="","",IF($K64&lt;=3000,"出库领用",IF(INDEX(资金台帐!$S$7:$S$3006,$K64-3000)&gt;=0,"收款","退款")&amp;"（"&amp;INDEX(资金台帐!$C$7:$C$3006,$K64-3000)&amp;"）"))</f>
      </c>
      <c r="D64" s="141">
        <f>IF($K64="","",IF($K64&lt;=3000,INDEX(出库明细!$D$4:$D$3003,$K64)&amp;"",""))</f>
      </c>
      <c r="E64" s="148">
        <f>IF($K64="","",IF($K64&lt;=3000,INDEX(出库明细!$E$4:$E$3003,$K64),""))</f>
      </c>
      <c r="F64" s="149">
        <f>IF($K64="","",IF($K64&lt;=3000,INDEX(出库明细!$F$4:$F$3003,$K64),""))</f>
      </c>
      <c r="G64" s="186">
        <f>IF($K64="","",IF($K64&lt;=3000,N(INDEX(出库明细!$G$4:$G$3003,$K64)),""))</f>
      </c>
      <c r="H64" s="186">
        <f>IF($K64="","",IF($K64&lt;=3000,"",INDEX(资金台帐!$S$7:$S$3006,$K64-3000)))</f>
      </c>
      <c r="I64" s="187">
        <f>IF($K64="","",I63+N(G64)-N(H64))</f>
      </c>
      <c r="J64" s="213">
        <f>IF($K64="","",IF($K64&lt;=3000,INDEX(出库明细!$H$4:$H$3003,$K64)&amp;"",INDEX(资金台帐!$E$7:$E$3006,$K64-3000)&amp;""))</f>
      </c>
      <c r="K64" s="78">
        <f>IFERROR(MATCH(SMALL(_辅助!$F$4:$F$6003,25),_辅助!$F$4:$F$6003,0),"")</f>
      </c>
    </row>
    <row r="65">
      <c r="A65" s="141">
        <f>IF($K65="","",26)</f>
      </c>
      <c r="B65" s="140">
        <f>IF($K65="","",IF($K65&lt;=3000,INDEX(出库明细!$B$4:$B$3003,$K65),INDEX(资金台帐!$B$7:$B$3006,$K65-3000)))</f>
      </c>
      <c r="C65" s="141">
        <f>IF($K65="","",IF($K65&lt;=3000,"出库领用",IF(INDEX(资金台帐!$S$7:$S$3006,$K65-3000)&gt;=0,"收款","退款")&amp;"（"&amp;INDEX(资金台帐!$C$7:$C$3006,$K65-3000)&amp;"）"))</f>
      </c>
      <c r="D65" s="141">
        <f>IF($K65="","",IF($K65&lt;=3000,INDEX(出库明细!$D$4:$D$3003,$K65)&amp;"",""))</f>
      </c>
      <c r="E65" s="148">
        <f>IF($K65="","",IF($K65&lt;=3000,INDEX(出库明细!$E$4:$E$3003,$K65),""))</f>
      </c>
      <c r="F65" s="149">
        <f>IF($K65="","",IF($K65&lt;=3000,INDEX(出库明细!$F$4:$F$3003,$K65),""))</f>
      </c>
      <c r="G65" s="186">
        <f>IF($K65="","",IF($K65&lt;=3000,N(INDEX(出库明细!$G$4:$G$3003,$K65)),""))</f>
      </c>
      <c r="H65" s="186">
        <f>IF($K65="","",IF($K65&lt;=3000,"",INDEX(资金台帐!$S$7:$S$3006,$K65-3000)))</f>
      </c>
      <c r="I65" s="187">
        <f>IF($K65="","",I64+N(G65)-N(H65))</f>
      </c>
      <c r="J65" s="213">
        <f>IF($K65="","",IF($K65&lt;=3000,INDEX(出库明细!$H$4:$H$3003,$K65)&amp;"",INDEX(资金台帐!$E$7:$E$3006,$K65-3000)&amp;""))</f>
      </c>
      <c r="K65" s="78">
        <f>IFERROR(MATCH(SMALL(_辅助!$F$4:$F$6003,26),_辅助!$F$4:$F$6003,0),"")</f>
      </c>
    </row>
    <row r="66">
      <c r="A66" s="141">
        <f>IF($K66="","",27)</f>
      </c>
      <c r="B66" s="140">
        <f>IF($K66="","",IF($K66&lt;=3000,INDEX(出库明细!$B$4:$B$3003,$K66),INDEX(资金台帐!$B$7:$B$3006,$K66-3000)))</f>
      </c>
      <c r="C66" s="141">
        <f>IF($K66="","",IF($K66&lt;=3000,"出库领用",IF(INDEX(资金台帐!$S$7:$S$3006,$K66-3000)&gt;=0,"收款","退款")&amp;"（"&amp;INDEX(资金台帐!$C$7:$C$3006,$K66-3000)&amp;"）"))</f>
      </c>
      <c r="D66" s="141">
        <f>IF($K66="","",IF($K66&lt;=3000,INDEX(出库明细!$D$4:$D$3003,$K66)&amp;"",""))</f>
      </c>
      <c r="E66" s="148">
        <f>IF($K66="","",IF($K66&lt;=3000,INDEX(出库明细!$E$4:$E$3003,$K66),""))</f>
      </c>
      <c r="F66" s="149">
        <f>IF($K66="","",IF($K66&lt;=3000,INDEX(出库明细!$F$4:$F$3003,$K66),""))</f>
      </c>
      <c r="G66" s="186">
        <f>IF($K66="","",IF($K66&lt;=3000,N(INDEX(出库明细!$G$4:$G$3003,$K66)),""))</f>
      </c>
      <c r="H66" s="186">
        <f>IF($K66="","",IF($K66&lt;=3000,"",INDEX(资金台帐!$S$7:$S$3006,$K66-3000)))</f>
      </c>
      <c r="I66" s="187">
        <f>IF($K66="","",I65+N(G66)-N(H66))</f>
      </c>
      <c r="J66" s="213">
        <f>IF($K66="","",IF($K66&lt;=3000,INDEX(出库明细!$H$4:$H$3003,$K66)&amp;"",INDEX(资金台帐!$E$7:$E$3006,$K66-3000)&amp;""))</f>
      </c>
      <c r="K66" s="78">
        <f>IFERROR(MATCH(SMALL(_辅助!$F$4:$F$6003,27),_辅助!$F$4:$F$6003,0),"")</f>
      </c>
    </row>
    <row r="67">
      <c r="A67" s="141">
        <f>IF($K67="","",28)</f>
      </c>
      <c r="B67" s="140">
        <f>IF($K67="","",IF($K67&lt;=3000,INDEX(出库明细!$B$4:$B$3003,$K67),INDEX(资金台帐!$B$7:$B$3006,$K67-3000)))</f>
      </c>
      <c r="C67" s="141">
        <f>IF($K67="","",IF($K67&lt;=3000,"出库领用",IF(INDEX(资金台帐!$S$7:$S$3006,$K67-3000)&gt;=0,"收款","退款")&amp;"（"&amp;INDEX(资金台帐!$C$7:$C$3006,$K67-3000)&amp;"）"))</f>
      </c>
      <c r="D67" s="141">
        <f>IF($K67="","",IF($K67&lt;=3000,INDEX(出库明细!$D$4:$D$3003,$K67)&amp;"",""))</f>
      </c>
      <c r="E67" s="148">
        <f>IF($K67="","",IF($K67&lt;=3000,INDEX(出库明细!$E$4:$E$3003,$K67),""))</f>
      </c>
      <c r="F67" s="149">
        <f>IF($K67="","",IF($K67&lt;=3000,INDEX(出库明细!$F$4:$F$3003,$K67),""))</f>
      </c>
      <c r="G67" s="186">
        <f>IF($K67="","",IF($K67&lt;=3000,N(INDEX(出库明细!$G$4:$G$3003,$K67)),""))</f>
      </c>
      <c r="H67" s="186">
        <f>IF($K67="","",IF($K67&lt;=3000,"",INDEX(资金台帐!$S$7:$S$3006,$K67-3000)))</f>
      </c>
      <c r="I67" s="187">
        <f>IF($K67="","",I66+N(G67)-N(H67))</f>
      </c>
      <c r="J67" s="213">
        <f>IF($K67="","",IF($K67&lt;=3000,INDEX(出库明细!$H$4:$H$3003,$K67)&amp;"",INDEX(资金台帐!$E$7:$E$3006,$K67-3000)&amp;""))</f>
      </c>
      <c r="K67" s="78">
        <f>IFERROR(MATCH(SMALL(_辅助!$F$4:$F$6003,28),_辅助!$F$4:$F$6003,0),"")</f>
      </c>
    </row>
    <row r="68">
      <c r="A68" s="141">
        <f>IF($K68="","",29)</f>
      </c>
      <c r="B68" s="140">
        <f>IF($K68="","",IF($K68&lt;=3000,INDEX(出库明细!$B$4:$B$3003,$K68),INDEX(资金台帐!$B$7:$B$3006,$K68-3000)))</f>
      </c>
      <c r="C68" s="141">
        <f>IF($K68="","",IF($K68&lt;=3000,"出库领用",IF(INDEX(资金台帐!$S$7:$S$3006,$K68-3000)&gt;=0,"收款","退款")&amp;"（"&amp;INDEX(资金台帐!$C$7:$C$3006,$K68-3000)&amp;"）"))</f>
      </c>
      <c r="D68" s="141">
        <f>IF($K68="","",IF($K68&lt;=3000,INDEX(出库明细!$D$4:$D$3003,$K68)&amp;"",""))</f>
      </c>
      <c r="E68" s="148">
        <f>IF($K68="","",IF($K68&lt;=3000,INDEX(出库明细!$E$4:$E$3003,$K68),""))</f>
      </c>
      <c r="F68" s="149">
        <f>IF($K68="","",IF($K68&lt;=3000,INDEX(出库明细!$F$4:$F$3003,$K68),""))</f>
      </c>
      <c r="G68" s="186">
        <f>IF($K68="","",IF($K68&lt;=3000,N(INDEX(出库明细!$G$4:$G$3003,$K68)),""))</f>
      </c>
      <c r="H68" s="186">
        <f>IF($K68="","",IF($K68&lt;=3000,"",INDEX(资金台帐!$S$7:$S$3006,$K68-3000)))</f>
      </c>
      <c r="I68" s="187">
        <f>IF($K68="","",I67+N(G68)-N(H68))</f>
      </c>
      <c r="J68" s="213">
        <f>IF($K68="","",IF($K68&lt;=3000,INDEX(出库明细!$H$4:$H$3003,$K68)&amp;"",INDEX(资金台帐!$E$7:$E$3006,$K68-3000)&amp;""))</f>
      </c>
      <c r="K68" s="78">
        <f>IFERROR(MATCH(SMALL(_辅助!$F$4:$F$6003,29),_辅助!$F$4:$F$6003,0),"")</f>
      </c>
    </row>
    <row r="69">
      <c r="A69" s="141">
        <f>IF($K69="","",30)</f>
      </c>
      <c r="B69" s="140">
        <f>IF($K69="","",IF($K69&lt;=3000,INDEX(出库明细!$B$4:$B$3003,$K69),INDEX(资金台帐!$B$7:$B$3006,$K69-3000)))</f>
      </c>
      <c r="C69" s="141">
        <f>IF($K69="","",IF($K69&lt;=3000,"出库领用",IF(INDEX(资金台帐!$S$7:$S$3006,$K69-3000)&gt;=0,"收款","退款")&amp;"（"&amp;INDEX(资金台帐!$C$7:$C$3006,$K69-3000)&amp;"）"))</f>
      </c>
      <c r="D69" s="141">
        <f>IF($K69="","",IF($K69&lt;=3000,INDEX(出库明细!$D$4:$D$3003,$K69)&amp;"",""))</f>
      </c>
      <c r="E69" s="148">
        <f>IF($K69="","",IF($K69&lt;=3000,INDEX(出库明细!$E$4:$E$3003,$K69),""))</f>
      </c>
      <c r="F69" s="149">
        <f>IF($K69="","",IF($K69&lt;=3000,INDEX(出库明细!$F$4:$F$3003,$K69),""))</f>
      </c>
      <c r="G69" s="186">
        <f>IF($K69="","",IF($K69&lt;=3000,N(INDEX(出库明细!$G$4:$G$3003,$K69)),""))</f>
      </c>
      <c r="H69" s="186">
        <f>IF($K69="","",IF($K69&lt;=3000,"",INDEX(资金台帐!$S$7:$S$3006,$K69-3000)))</f>
      </c>
      <c r="I69" s="187">
        <f>IF($K69="","",I68+N(G69)-N(H69))</f>
      </c>
      <c r="J69" s="213">
        <f>IF($K69="","",IF($K69&lt;=3000,INDEX(出库明细!$H$4:$H$3003,$K69)&amp;"",INDEX(资金台帐!$E$7:$E$3006,$K69-3000)&amp;""))</f>
      </c>
      <c r="K69" s="78">
        <f>IFERROR(MATCH(SMALL(_辅助!$F$4:$F$6003,30),_辅助!$F$4:$F$6003,0),"")</f>
      </c>
    </row>
    <row r="70">
      <c r="A70" s="141">
        <f>IF($K70="","",31)</f>
      </c>
      <c r="B70" s="140">
        <f>IF($K70="","",IF($K70&lt;=3000,INDEX(出库明细!$B$4:$B$3003,$K70),INDEX(资金台帐!$B$7:$B$3006,$K70-3000)))</f>
      </c>
      <c r="C70" s="141">
        <f>IF($K70="","",IF($K70&lt;=3000,"出库领用",IF(INDEX(资金台帐!$S$7:$S$3006,$K70-3000)&gt;=0,"收款","退款")&amp;"（"&amp;INDEX(资金台帐!$C$7:$C$3006,$K70-3000)&amp;"）"))</f>
      </c>
      <c r="D70" s="141">
        <f>IF($K70="","",IF($K70&lt;=3000,INDEX(出库明细!$D$4:$D$3003,$K70)&amp;"",""))</f>
      </c>
      <c r="E70" s="148">
        <f>IF($K70="","",IF($K70&lt;=3000,INDEX(出库明细!$E$4:$E$3003,$K70),""))</f>
      </c>
      <c r="F70" s="149">
        <f>IF($K70="","",IF($K70&lt;=3000,INDEX(出库明细!$F$4:$F$3003,$K70),""))</f>
      </c>
      <c r="G70" s="186">
        <f>IF($K70="","",IF($K70&lt;=3000,N(INDEX(出库明细!$G$4:$G$3003,$K70)),""))</f>
      </c>
      <c r="H70" s="186">
        <f>IF($K70="","",IF($K70&lt;=3000,"",INDEX(资金台帐!$S$7:$S$3006,$K70-3000)))</f>
      </c>
      <c r="I70" s="187">
        <f>IF($K70="","",I69+N(G70)-N(H70))</f>
      </c>
      <c r="J70" s="213">
        <f>IF($K70="","",IF($K70&lt;=3000,INDEX(出库明细!$H$4:$H$3003,$K70)&amp;"",INDEX(资金台帐!$E$7:$E$3006,$K70-3000)&amp;""))</f>
      </c>
      <c r="K70" s="78">
        <f>IFERROR(MATCH(SMALL(_辅助!$F$4:$F$6003,31),_辅助!$F$4:$F$6003,0),"")</f>
      </c>
    </row>
    <row r="71">
      <c r="A71" s="141">
        <f>IF($K71="","",32)</f>
      </c>
      <c r="B71" s="140">
        <f>IF($K71="","",IF($K71&lt;=3000,INDEX(出库明细!$B$4:$B$3003,$K71),INDEX(资金台帐!$B$7:$B$3006,$K71-3000)))</f>
      </c>
      <c r="C71" s="141">
        <f>IF($K71="","",IF($K71&lt;=3000,"出库领用",IF(INDEX(资金台帐!$S$7:$S$3006,$K71-3000)&gt;=0,"收款","退款")&amp;"（"&amp;INDEX(资金台帐!$C$7:$C$3006,$K71-3000)&amp;"）"))</f>
      </c>
      <c r="D71" s="141">
        <f>IF($K71="","",IF($K71&lt;=3000,INDEX(出库明细!$D$4:$D$3003,$K71)&amp;"",""))</f>
      </c>
      <c r="E71" s="148">
        <f>IF($K71="","",IF($K71&lt;=3000,INDEX(出库明细!$E$4:$E$3003,$K71),""))</f>
      </c>
      <c r="F71" s="149">
        <f>IF($K71="","",IF($K71&lt;=3000,INDEX(出库明细!$F$4:$F$3003,$K71),""))</f>
      </c>
      <c r="G71" s="186">
        <f>IF($K71="","",IF($K71&lt;=3000,N(INDEX(出库明细!$G$4:$G$3003,$K71)),""))</f>
      </c>
      <c r="H71" s="186">
        <f>IF($K71="","",IF($K71&lt;=3000,"",INDEX(资金台帐!$S$7:$S$3006,$K71-3000)))</f>
      </c>
      <c r="I71" s="187">
        <f>IF($K71="","",I70+N(G71)-N(H71))</f>
      </c>
      <c r="J71" s="213">
        <f>IF($K71="","",IF($K71&lt;=3000,INDEX(出库明细!$H$4:$H$3003,$K71)&amp;"",INDEX(资金台帐!$E$7:$E$3006,$K71-3000)&amp;""))</f>
      </c>
      <c r="K71" s="78">
        <f>IFERROR(MATCH(SMALL(_辅助!$F$4:$F$6003,32),_辅助!$F$4:$F$6003,0),"")</f>
      </c>
    </row>
    <row r="72">
      <c r="A72" s="141">
        <f>IF($K72="","",33)</f>
      </c>
      <c r="B72" s="140">
        <f>IF($K72="","",IF($K72&lt;=3000,INDEX(出库明细!$B$4:$B$3003,$K72),INDEX(资金台帐!$B$7:$B$3006,$K72-3000)))</f>
      </c>
      <c r="C72" s="141">
        <f>IF($K72="","",IF($K72&lt;=3000,"出库领用",IF(INDEX(资金台帐!$S$7:$S$3006,$K72-3000)&gt;=0,"收款","退款")&amp;"（"&amp;INDEX(资金台帐!$C$7:$C$3006,$K72-3000)&amp;"）"))</f>
      </c>
      <c r="D72" s="141">
        <f>IF($K72="","",IF($K72&lt;=3000,INDEX(出库明细!$D$4:$D$3003,$K72)&amp;"",""))</f>
      </c>
      <c r="E72" s="148">
        <f>IF($K72="","",IF($K72&lt;=3000,INDEX(出库明细!$E$4:$E$3003,$K72),""))</f>
      </c>
      <c r="F72" s="149">
        <f>IF($K72="","",IF($K72&lt;=3000,INDEX(出库明细!$F$4:$F$3003,$K72),""))</f>
      </c>
      <c r="G72" s="186">
        <f>IF($K72="","",IF($K72&lt;=3000,N(INDEX(出库明细!$G$4:$G$3003,$K72)),""))</f>
      </c>
      <c r="H72" s="186">
        <f>IF($K72="","",IF($K72&lt;=3000,"",INDEX(资金台帐!$S$7:$S$3006,$K72-3000)))</f>
      </c>
      <c r="I72" s="187">
        <f>IF($K72="","",I71+N(G72)-N(H72))</f>
      </c>
      <c r="J72" s="213">
        <f>IF($K72="","",IF($K72&lt;=3000,INDEX(出库明细!$H$4:$H$3003,$K72)&amp;"",INDEX(资金台帐!$E$7:$E$3006,$K72-3000)&amp;""))</f>
      </c>
      <c r="K72" s="78">
        <f>IFERROR(MATCH(SMALL(_辅助!$F$4:$F$6003,33),_辅助!$F$4:$F$6003,0),"")</f>
      </c>
    </row>
    <row r="73">
      <c r="A73" s="141">
        <f>IF($K73="","",34)</f>
      </c>
      <c r="B73" s="140">
        <f>IF($K73="","",IF($K73&lt;=3000,INDEX(出库明细!$B$4:$B$3003,$K73),INDEX(资金台帐!$B$7:$B$3006,$K73-3000)))</f>
      </c>
      <c r="C73" s="141">
        <f>IF($K73="","",IF($K73&lt;=3000,"出库领用",IF(INDEX(资金台帐!$S$7:$S$3006,$K73-3000)&gt;=0,"收款","退款")&amp;"（"&amp;INDEX(资金台帐!$C$7:$C$3006,$K73-3000)&amp;"）"))</f>
      </c>
      <c r="D73" s="141">
        <f>IF($K73="","",IF($K73&lt;=3000,INDEX(出库明细!$D$4:$D$3003,$K73)&amp;"",""))</f>
      </c>
      <c r="E73" s="148">
        <f>IF($K73="","",IF($K73&lt;=3000,INDEX(出库明细!$E$4:$E$3003,$K73),""))</f>
      </c>
      <c r="F73" s="149">
        <f>IF($K73="","",IF($K73&lt;=3000,INDEX(出库明细!$F$4:$F$3003,$K73),""))</f>
      </c>
      <c r="G73" s="186">
        <f>IF($K73="","",IF($K73&lt;=3000,N(INDEX(出库明细!$G$4:$G$3003,$K73)),""))</f>
      </c>
      <c r="H73" s="186">
        <f>IF($K73="","",IF($K73&lt;=3000,"",INDEX(资金台帐!$S$7:$S$3006,$K73-3000)))</f>
      </c>
      <c r="I73" s="187">
        <f>IF($K73="","",I72+N(G73)-N(H73))</f>
      </c>
      <c r="J73" s="213">
        <f>IF($K73="","",IF($K73&lt;=3000,INDEX(出库明细!$H$4:$H$3003,$K73)&amp;"",INDEX(资金台帐!$E$7:$E$3006,$K73-3000)&amp;""))</f>
      </c>
      <c r="K73" s="78">
        <f>IFERROR(MATCH(SMALL(_辅助!$F$4:$F$6003,34),_辅助!$F$4:$F$6003,0),"")</f>
      </c>
    </row>
    <row r="74">
      <c r="A74" s="141">
        <f>IF($K74="","",35)</f>
      </c>
      <c r="B74" s="140">
        <f>IF($K74="","",IF($K74&lt;=3000,INDEX(出库明细!$B$4:$B$3003,$K74),INDEX(资金台帐!$B$7:$B$3006,$K74-3000)))</f>
      </c>
      <c r="C74" s="141">
        <f>IF($K74="","",IF($K74&lt;=3000,"出库领用",IF(INDEX(资金台帐!$S$7:$S$3006,$K74-3000)&gt;=0,"收款","退款")&amp;"（"&amp;INDEX(资金台帐!$C$7:$C$3006,$K74-3000)&amp;"）"))</f>
      </c>
      <c r="D74" s="141">
        <f>IF($K74="","",IF($K74&lt;=3000,INDEX(出库明细!$D$4:$D$3003,$K74)&amp;"",""))</f>
      </c>
      <c r="E74" s="148">
        <f>IF($K74="","",IF($K74&lt;=3000,INDEX(出库明细!$E$4:$E$3003,$K74),""))</f>
      </c>
      <c r="F74" s="149">
        <f>IF($K74="","",IF($K74&lt;=3000,INDEX(出库明细!$F$4:$F$3003,$K74),""))</f>
      </c>
      <c r="G74" s="186">
        <f>IF($K74="","",IF($K74&lt;=3000,N(INDEX(出库明细!$G$4:$G$3003,$K74)),""))</f>
      </c>
      <c r="H74" s="186">
        <f>IF($K74="","",IF($K74&lt;=3000,"",INDEX(资金台帐!$S$7:$S$3006,$K74-3000)))</f>
      </c>
      <c r="I74" s="187">
        <f>IF($K74="","",I73+N(G74)-N(H74))</f>
      </c>
      <c r="J74" s="213">
        <f>IF($K74="","",IF($K74&lt;=3000,INDEX(出库明细!$H$4:$H$3003,$K74)&amp;"",INDEX(资金台帐!$E$7:$E$3006,$K74-3000)&amp;""))</f>
      </c>
      <c r="K74" s="78">
        <f>IFERROR(MATCH(SMALL(_辅助!$F$4:$F$6003,35),_辅助!$F$4:$F$6003,0),"")</f>
      </c>
    </row>
    <row r="75">
      <c r="A75" s="141">
        <f>IF($K75="","",36)</f>
      </c>
      <c r="B75" s="140">
        <f>IF($K75="","",IF($K75&lt;=3000,INDEX(出库明细!$B$4:$B$3003,$K75),INDEX(资金台帐!$B$7:$B$3006,$K75-3000)))</f>
      </c>
      <c r="C75" s="141">
        <f>IF($K75="","",IF($K75&lt;=3000,"出库领用",IF(INDEX(资金台帐!$S$7:$S$3006,$K75-3000)&gt;=0,"收款","退款")&amp;"（"&amp;INDEX(资金台帐!$C$7:$C$3006,$K75-3000)&amp;"）"))</f>
      </c>
      <c r="D75" s="141">
        <f>IF($K75="","",IF($K75&lt;=3000,INDEX(出库明细!$D$4:$D$3003,$K75)&amp;"",""))</f>
      </c>
      <c r="E75" s="148">
        <f>IF($K75="","",IF($K75&lt;=3000,INDEX(出库明细!$E$4:$E$3003,$K75),""))</f>
      </c>
      <c r="F75" s="149">
        <f>IF($K75="","",IF($K75&lt;=3000,INDEX(出库明细!$F$4:$F$3003,$K75),""))</f>
      </c>
      <c r="G75" s="186">
        <f>IF($K75="","",IF($K75&lt;=3000,N(INDEX(出库明细!$G$4:$G$3003,$K75)),""))</f>
      </c>
      <c r="H75" s="186">
        <f>IF($K75="","",IF($K75&lt;=3000,"",INDEX(资金台帐!$S$7:$S$3006,$K75-3000)))</f>
      </c>
      <c r="I75" s="187">
        <f>IF($K75="","",I74+N(G75)-N(H75))</f>
      </c>
      <c r="J75" s="213">
        <f>IF($K75="","",IF($K75&lt;=3000,INDEX(出库明细!$H$4:$H$3003,$K75)&amp;"",INDEX(资金台帐!$E$7:$E$3006,$K75-3000)&amp;""))</f>
      </c>
      <c r="K75" s="78">
        <f>IFERROR(MATCH(SMALL(_辅助!$F$4:$F$6003,36),_辅助!$F$4:$F$6003,0),"")</f>
      </c>
    </row>
    <row r="76">
      <c r="A76" s="141">
        <f>IF($K76="","",37)</f>
      </c>
      <c r="B76" s="140">
        <f>IF($K76="","",IF($K76&lt;=3000,INDEX(出库明细!$B$4:$B$3003,$K76),INDEX(资金台帐!$B$7:$B$3006,$K76-3000)))</f>
      </c>
      <c r="C76" s="141">
        <f>IF($K76="","",IF($K76&lt;=3000,"出库领用",IF(INDEX(资金台帐!$S$7:$S$3006,$K76-3000)&gt;=0,"收款","退款")&amp;"（"&amp;INDEX(资金台帐!$C$7:$C$3006,$K76-3000)&amp;"）"))</f>
      </c>
      <c r="D76" s="141">
        <f>IF($K76="","",IF($K76&lt;=3000,INDEX(出库明细!$D$4:$D$3003,$K76)&amp;"",""))</f>
      </c>
      <c r="E76" s="148">
        <f>IF($K76="","",IF($K76&lt;=3000,INDEX(出库明细!$E$4:$E$3003,$K76),""))</f>
      </c>
      <c r="F76" s="149">
        <f>IF($K76="","",IF($K76&lt;=3000,INDEX(出库明细!$F$4:$F$3003,$K76),""))</f>
      </c>
      <c r="G76" s="186">
        <f>IF($K76="","",IF($K76&lt;=3000,N(INDEX(出库明细!$G$4:$G$3003,$K76)),""))</f>
      </c>
      <c r="H76" s="186">
        <f>IF($K76="","",IF($K76&lt;=3000,"",INDEX(资金台帐!$S$7:$S$3006,$K76-3000)))</f>
      </c>
      <c r="I76" s="187">
        <f>IF($K76="","",I75+N(G76)-N(H76))</f>
      </c>
      <c r="J76" s="213">
        <f>IF($K76="","",IF($K76&lt;=3000,INDEX(出库明细!$H$4:$H$3003,$K76)&amp;"",INDEX(资金台帐!$E$7:$E$3006,$K76-3000)&amp;""))</f>
      </c>
      <c r="K76" s="78">
        <f>IFERROR(MATCH(SMALL(_辅助!$F$4:$F$6003,37),_辅助!$F$4:$F$6003,0),"")</f>
      </c>
    </row>
    <row r="77">
      <c r="A77" s="141">
        <f>IF($K77="","",38)</f>
      </c>
      <c r="B77" s="140">
        <f>IF($K77="","",IF($K77&lt;=3000,INDEX(出库明细!$B$4:$B$3003,$K77),INDEX(资金台帐!$B$7:$B$3006,$K77-3000)))</f>
      </c>
      <c r="C77" s="141">
        <f>IF($K77="","",IF($K77&lt;=3000,"出库领用",IF(INDEX(资金台帐!$S$7:$S$3006,$K77-3000)&gt;=0,"收款","退款")&amp;"（"&amp;INDEX(资金台帐!$C$7:$C$3006,$K77-3000)&amp;"）"))</f>
      </c>
      <c r="D77" s="141">
        <f>IF($K77="","",IF($K77&lt;=3000,INDEX(出库明细!$D$4:$D$3003,$K77)&amp;"",""))</f>
      </c>
      <c r="E77" s="148">
        <f>IF($K77="","",IF($K77&lt;=3000,INDEX(出库明细!$E$4:$E$3003,$K77),""))</f>
      </c>
      <c r="F77" s="149">
        <f>IF($K77="","",IF($K77&lt;=3000,INDEX(出库明细!$F$4:$F$3003,$K77),""))</f>
      </c>
      <c r="G77" s="186">
        <f>IF($K77="","",IF($K77&lt;=3000,N(INDEX(出库明细!$G$4:$G$3003,$K77)),""))</f>
      </c>
      <c r="H77" s="186">
        <f>IF($K77="","",IF($K77&lt;=3000,"",INDEX(资金台帐!$S$7:$S$3006,$K77-3000)))</f>
      </c>
      <c r="I77" s="187">
        <f>IF($K77="","",I76+N(G77)-N(H77))</f>
      </c>
      <c r="J77" s="213">
        <f>IF($K77="","",IF($K77&lt;=3000,INDEX(出库明细!$H$4:$H$3003,$K77)&amp;"",INDEX(资金台帐!$E$7:$E$3006,$K77-3000)&amp;""))</f>
      </c>
      <c r="K77" s="78">
        <f>IFERROR(MATCH(SMALL(_辅助!$F$4:$F$6003,38),_辅助!$F$4:$F$6003,0),"")</f>
      </c>
    </row>
    <row r="78">
      <c r="A78" s="141">
        <f>IF($K78="","",39)</f>
      </c>
      <c r="B78" s="140">
        <f>IF($K78="","",IF($K78&lt;=3000,INDEX(出库明细!$B$4:$B$3003,$K78),INDEX(资金台帐!$B$7:$B$3006,$K78-3000)))</f>
      </c>
      <c r="C78" s="141">
        <f>IF($K78="","",IF($K78&lt;=3000,"出库领用",IF(INDEX(资金台帐!$S$7:$S$3006,$K78-3000)&gt;=0,"收款","退款")&amp;"（"&amp;INDEX(资金台帐!$C$7:$C$3006,$K78-3000)&amp;"）"))</f>
      </c>
      <c r="D78" s="141">
        <f>IF($K78="","",IF($K78&lt;=3000,INDEX(出库明细!$D$4:$D$3003,$K78)&amp;"",""))</f>
      </c>
      <c r="E78" s="148">
        <f>IF($K78="","",IF($K78&lt;=3000,INDEX(出库明细!$E$4:$E$3003,$K78),""))</f>
      </c>
      <c r="F78" s="149">
        <f>IF($K78="","",IF($K78&lt;=3000,INDEX(出库明细!$F$4:$F$3003,$K78),""))</f>
      </c>
      <c r="G78" s="186">
        <f>IF($K78="","",IF($K78&lt;=3000,N(INDEX(出库明细!$G$4:$G$3003,$K78)),""))</f>
      </c>
      <c r="H78" s="186">
        <f>IF($K78="","",IF($K78&lt;=3000,"",INDEX(资金台帐!$S$7:$S$3006,$K78-3000)))</f>
      </c>
      <c r="I78" s="187">
        <f>IF($K78="","",I77+N(G78)-N(H78))</f>
      </c>
      <c r="J78" s="213">
        <f>IF($K78="","",IF($K78&lt;=3000,INDEX(出库明细!$H$4:$H$3003,$K78)&amp;"",INDEX(资金台帐!$E$7:$E$3006,$K78-3000)&amp;""))</f>
      </c>
      <c r="K78" s="78">
        <f>IFERROR(MATCH(SMALL(_辅助!$F$4:$F$6003,39),_辅助!$F$4:$F$6003,0),"")</f>
      </c>
    </row>
    <row r="79">
      <c r="A79" s="141">
        <f>IF($K79="","",40)</f>
      </c>
      <c r="B79" s="140">
        <f>IF($K79="","",IF($K79&lt;=3000,INDEX(出库明细!$B$4:$B$3003,$K79),INDEX(资金台帐!$B$7:$B$3006,$K79-3000)))</f>
      </c>
      <c r="C79" s="141">
        <f>IF($K79="","",IF($K79&lt;=3000,"出库领用",IF(INDEX(资金台帐!$S$7:$S$3006,$K79-3000)&gt;=0,"收款","退款")&amp;"（"&amp;INDEX(资金台帐!$C$7:$C$3006,$K79-3000)&amp;"）"))</f>
      </c>
      <c r="D79" s="141">
        <f>IF($K79="","",IF($K79&lt;=3000,INDEX(出库明细!$D$4:$D$3003,$K79)&amp;"",""))</f>
      </c>
      <c r="E79" s="148">
        <f>IF($K79="","",IF($K79&lt;=3000,INDEX(出库明细!$E$4:$E$3003,$K79),""))</f>
      </c>
      <c r="F79" s="149">
        <f>IF($K79="","",IF($K79&lt;=3000,INDEX(出库明细!$F$4:$F$3003,$K79),""))</f>
      </c>
      <c r="G79" s="186">
        <f>IF($K79="","",IF($K79&lt;=3000,N(INDEX(出库明细!$G$4:$G$3003,$K79)),""))</f>
      </c>
      <c r="H79" s="186">
        <f>IF($K79="","",IF($K79&lt;=3000,"",INDEX(资金台帐!$S$7:$S$3006,$K79-3000)))</f>
      </c>
      <c r="I79" s="187">
        <f>IF($K79="","",I78+N(G79)-N(H79))</f>
      </c>
      <c r="J79" s="213">
        <f>IF($K79="","",IF($K79&lt;=3000,INDEX(出库明细!$H$4:$H$3003,$K79)&amp;"",INDEX(资金台帐!$E$7:$E$3006,$K79-3000)&amp;""))</f>
      </c>
      <c r="K79" s="78">
        <f>IFERROR(MATCH(SMALL(_辅助!$F$4:$F$6003,40),_辅助!$F$4:$F$6003,0),"")</f>
      </c>
    </row>
    <row r="80">
      <c r="A80" s="141">
        <f>IF($K80="","",41)</f>
      </c>
      <c r="B80" s="140">
        <f>IF($K80="","",IF($K80&lt;=3000,INDEX(出库明细!$B$4:$B$3003,$K80),INDEX(资金台帐!$B$7:$B$3006,$K80-3000)))</f>
      </c>
      <c r="C80" s="141">
        <f>IF($K80="","",IF($K80&lt;=3000,"出库领用",IF(INDEX(资金台帐!$S$7:$S$3006,$K80-3000)&gt;=0,"收款","退款")&amp;"（"&amp;INDEX(资金台帐!$C$7:$C$3006,$K80-3000)&amp;"）"))</f>
      </c>
      <c r="D80" s="141">
        <f>IF($K80="","",IF($K80&lt;=3000,INDEX(出库明细!$D$4:$D$3003,$K80)&amp;"",""))</f>
      </c>
      <c r="E80" s="148">
        <f>IF($K80="","",IF($K80&lt;=3000,INDEX(出库明细!$E$4:$E$3003,$K80),""))</f>
      </c>
      <c r="F80" s="149">
        <f>IF($K80="","",IF($K80&lt;=3000,INDEX(出库明细!$F$4:$F$3003,$K80),""))</f>
      </c>
      <c r="G80" s="186">
        <f>IF($K80="","",IF($K80&lt;=3000,N(INDEX(出库明细!$G$4:$G$3003,$K80)),""))</f>
      </c>
      <c r="H80" s="186">
        <f>IF($K80="","",IF($K80&lt;=3000,"",INDEX(资金台帐!$S$7:$S$3006,$K80-3000)))</f>
      </c>
      <c r="I80" s="187">
        <f>IF($K80="","",I79+N(G80)-N(H80))</f>
      </c>
      <c r="J80" s="213">
        <f>IF($K80="","",IF($K80&lt;=3000,INDEX(出库明细!$H$4:$H$3003,$K80)&amp;"",INDEX(资金台帐!$E$7:$E$3006,$K80-3000)&amp;""))</f>
      </c>
      <c r="K80" s="78">
        <f>IFERROR(MATCH(SMALL(_辅助!$F$4:$F$6003,41),_辅助!$F$4:$F$6003,0),"")</f>
      </c>
    </row>
    <row r="81">
      <c r="A81" s="141">
        <f>IF($K81="","",42)</f>
      </c>
      <c r="B81" s="140">
        <f>IF($K81="","",IF($K81&lt;=3000,INDEX(出库明细!$B$4:$B$3003,$K81),INDEX(资金台帐!$B$7:$B$3006,$K81-3000)))</f>
      </c>
      <c r="C81" s="141">
        <f>IF($K81="","",IF($K81&lt;=3000,"出库领用",IF(INDEX(资金台帐!$S$7:$S$3006,$K81-3000)&gt;=0,"收款","退款")&amp;"（"&amp;INDEX(资金台帐!$C$7:$C$3006,$K81-3000)&amp;"）"))</f>
      </c>
      <c r="D81" s="141">
        <f>IF($K81="","",IF($K81&lt;=3000,INDEX(出库明细!$D$4:$D$3003,$K81)&amp;"",""))</f>
      </c>
      <c r="E81" s="148">
        <f>IF($K81="","",IF($K81&lt;=3000,INDEX(出库明细!$E$4:$E$3003,$K81),""))</f>
      </c>
      <c r="F81" s="149">
        <f>IF($K81="","",IF($K81&lt;=3000,INDEX(出库明细!$F$4:$F$3003,$K81),""))</f>
      </c>
      <c r="G81" s="186">
        <f>IF($K81="","",IF($K81&lt;=3000,N(INDEX(出库明细!$G$4:$G$3003,$K81)),""))</f>
      </c>
      <c r="H81" s="186">
        <f>IF($K81="","",IF($K81&lt;=3000,"",INDEX(资金台帐!$S$7:$S$3006,$K81-3000)))</f>
      </c>
      <c r="I81" s="187">
        <f>IF($K81="","",I80+N(G81)-N(H81))</f>
      </c>
      <c r="J81" s="213">
        <f>IF($K81="","",IF($K81&lt;=3000,INDEX(出库明细!$H$4:$H$3003,$K81)&amp;"",INDEX(资金台帐!$E$7:$E$3006,$K81-3000)&amp;""))</f>
      </c>
      <c r="K81" s="78">
        <f>IFERROR(MATCH(SMALL(_辅助!$F$4:$F$6003,42),_辅助!$F$4:$F$6003,0),"")</f>
      </c>
    </row>
    <row r="82">
      <c r="A82" s="141">
        <f>IF($K82="","",43)</f>
      </c>
      <c r="B82" s="140">
        <f>IF($K82="","",IF($K82&lt;=3000,INDEX(出库明细!$B$4:$B$3003,$K82),INDEX(资金台帐!$B$7:$B$3006,$K82-3000)))</f>
      </c>
      <c r="C82" s="141">
        <f>IF($K82="","",IF($K82&lt;=3000,"出库领用",IF(INDEX(资金台帐!$S$7:$S$3006,$K82-3000)&gt;=0,"收款","退款")&amp;"（"&amp;INDEX(资金台帐!$C$7:$C$3006,$K82-3000)&amp;"）"))</f>
      </c>
      <c r="D82" s="141">
        <f>IF($K82="","",IF($K82&lt;=3000,INDEX(出库明细!$D$4:$D$3003,$K82)&amp;"",""))</f>
      </c>
      <c r="E82" s="148">
        <f>IF($K82="","",IF($K82&lt;=3000,INDEX(出库明细!$E$4:$E$3003,$K82),""))</f>
      </c>
      <c r="F82" s="149">
        <f>IF($K82="","",IF($K82&lt;=3000,INDEX(出库明细!$F$4:$F$3003,$K82),""))</f>
      </c>
      <c r="G82" s="186">
        <f>IF($K82="","",IF($K82&lt;=3000,N(INDEX(出库明细!$G$4:$G$3003,$K82)),""))</f>
      </c>
      <c r="H82" s="186">
        <f>IF($K82="","",IF($K82&lt;=3000,"",INDEX(资金台帐!$S$7:$S$3006,$K82-3000)))</f>
      </c>
      <c r="I82" s="187">
        <f>IF($K82="","",I81+N(G82)-N(H82))</f>
      </c>
      <c r="J82" s="213">
        <f>IF($K82="","",IF($K82&lt;=3000,INDEX(出库明细!$H$4:$H$3003,$K82)&amp;"",INDEX(资金台帐!$E$7:$E$3006,$K82-3000)&amp;""))</f>
      </c>
      <c r="K82" s="78">
        <f>IFERROR(MATCH(SMALL(_辅助!$F$4:$F$6003,43),_辅助!$F$4:$F$6003,0),"")</f>
      </c>
    </row>
    <row r="83">
      <c r="A83" s="141">
        <f>IF($K83="","",44)</f>
      </c>
      <c r="B83" s="140">
        <f>IF($K83="","",IF($K83&lt;=3000,INDEX(出库明细!$B$4:$B$3003,$K83),INDEX(资金台帐!$B$7:$B$3006,$K83-3000)))</f>
      </c>
      <c r="C83" s="141">
        <f>IF($K83="","",IF($K83&lt;=3000,"出库领用",IF(INDEX(资金台帐!$S$7:$S$3006,$K83-3000)&gt;=0,"收款","退款")&amp;"（"&amp;INDEX(资金台帐!$C$7:$C$3006,$K83-3000)&amp;"）"))</f>
      </c>
      <c r="D83" s="141">
        <f>IF($K83="","",IF($K83&lt;=3000,INDEX(出库明细!$D$4:$D$3003,$K83)&amp;"",""))</f>
      </c>
      <c r="E83" s="148">
        <f>IF($K83="","",IF($K83&lt;=3000,INDEX(出库明细!$E$4:$E$3003,$K83),""))</f>
      </c>
      <c r="F83" s="149">
        <f>IF($K83="","",IF($K83&lt;=3000,INDEX(出库明细!$F$4:$F$3003,$K83),""))</f>
      </c>
      <c r="G83" s="186">
        <f>IF($K83="","",IF($K83&lt;=3000,N(INDEX(出库明细!$G$4:$G$3003,$K83)),""))</f>
      </c>
      <c r="H83" s="186">
        <f>IF($K83="","",IF($K83&lt;=3000,"",INDEX(资金台帐!$S$7:$S$3006,$K83-3000)))</f>
      </c>
      <c r="I83" s="187">
        <f>IF($K83="","",I82+N(G83)-N(H83))</f>
      </c>
      <c r="J83" s="213">
        <f>IF($K83="","",IF($K83&lt;=3000,INDEX(出库明细!$H$4:$H$3003,$K83)&amp;"",INDEX(资金台帐!$E$7:$E$3006,$K83-3000)&amp;""))</f>
      </c>
      <c r="K83" s="78">
        <f>IFERROR(MATCH(SMALL(_辅助!$F$4:$F$6003,44),_辅助!$F$4:$F$6003,0),"")</f>
      </c>
    </row>
    <row r="84">
      <c r="A84" s="141">
        <f>IF($K84="","",45)</f>
      </c>
      <c r="B84" s="140">
        <f>IF($K84="","",IF($K84&lt;=3000,INDEX(出库明细!$B$4:$B$3003,$K84),INDEX(资金台帐!$B$7:$B$3006,$K84-3000)))</f>
      </c>
      <c r="C84" s="141">
        <f>IF($K84="","",IF($K84&lt;=3000,"出库领用",IF(INDEX(资金台帐!$S$7:$S$3006,$K84-3000)&gt;=0,"收款","退款")&amp;"（"&amp;INDEX(资金台帐!$C$7:$C$3006,$K84-3000)&amp;"）"))</f>
      </c>
      <c r="D84" s="141">
        <f>IF($K84="","",IF($K84&lt;=3000,INDEX(出库明细!$D$4:$D$3003,$K84)&amp;"",""))</f>
      </c>
      <c r="E84" s="148">
        <f>IF($K84="","",IF($K84&lt;=3000,INDEX(出库明细!$E$4:$E$3003,$K84),""))</f>
      </c>
      <c r="F84" s="149">
        <f>IF($K84="","",IF($K84&lt;=3000,INDEX(出库明细!$F$4:$F$3003,$K84),""))</f>
      </c>
      <c r="G84" s="186">
        <f>IF($K84="","",IF($K84&lt;=3000,N(INDEX(出库明细!$G$4:$G$3003,$K84)),""))</f>
      </c>
      <c r="H84" s="186">
        <f>IF($K84="","",IF($K84&lt;=3000,"",INDEX(资金台帐!$S$7:$S$3006,$K84-3000)))</f>
      </c>
      <c r="I84" s="187">
        <f>IF($K84="","",I83+N(G84)-N(H84))</f>
      </c>
      <c r="J84" s="213">
        <f>IF($K84="","",IF($K84&lt;=3000,INDEX(出库明细!$H$4:$H$3003,$K84)&amp;"",INDEX(资金台帐!$E$7:$E$3006,$K84-3000)&amp;""))</f>
      </c>
      <c r="K84" s="78">
        <f>IFERROR(MATCH(SMALL(_辅助!$F$4:$F$6003,45),_辅助!$F$4:$F$6003,0),"")</f>
      </c>
    </row>
    <row r="85">
      <c r="A85" s="141">
        <f>IF($K85="","",46)</f>
      </c>
      <c r="B85" s="140">
        <f>IF($K85="","",IF($K85&lt;=3000,INDEX(出库明细!$B$4:$B$3003,$K85),INDEX(资金台帐!$B$7:$B$3006,$K85-3000)))</f>
      </c>
      <c r="C85" s="141">
        <f>IF($K85="","",IF($K85&lt;=3000,"出库领用",IF(INDEX(资金台帐!$S$7:$S$3006,$K85-3000)&gt;=0,"收款","退款")&amp;"（"&amp;INDEX(资金台帐!$C$7:$C$3006,$K85-3000)&amp;"）"))</f>
      </c>
      <c r="D85" s="141">
        <f>IF($K85="","",IF($K85&lt;=3000,INDEX(出库明细!$D$4:$D$3003,$K85)&amp;"",""))</f>
      </c>
      <c r="E85" s="148">
        <f>IF($K85="","",IF($K85&lt;=3000,INDEX(出库明细!$E$4:$E$3003,$K85),""))</f>
      </c>
      <c r="F85" s="149">
        <f>IF($K85="","",IF($K85&lt;=3000,INDEX(出库明细!$F$4:$F$3003,$K85),""))</f>
      </c>
      <c r="G85" s="186">
        <f>IF($K85="","",IF($K85&lt;=3000,N(INDEX(出库明细!$G$4:$G$3003,$K85)),""))</f>
      </c>
      <c r="H85" s="186">
        <f>IF($K85="","",IF($K85&lt;=3000,"",INDEX(资金台帐!$S$7:$S$3006,$K85-3000)))</f>
      </c>
      <c r="I85" s="187">
        <f>IF($K85="","",I84+N(G85)-N(H85))</f>
      </c>
      <c r="J85" s="213">
        <f>IF($K85="","",IF($K85&lt;=3000,INDEX(出库明细!$H$4:$H$3003,$K85)&amp;"",INDEX(资金台帐!$E$7:$E$3006,$K85-3000)&amp;""))</f>
      </c>
      <c r="K85" s="78">
        <f>IFERROR(MATCH(SMALL(_辅助!$F$4:$F$6003,46),_辅助!$F$4:$F$6003,0),"")</f>
      </c>
    </row>
    <row r="86">
      <c r="A86" s="141">
        <f>IF($K86="","",47)</f>
      </c>
      <c r="B86" s="140">
        <f>IF($K86="","",IF($K86&lt;=3000,INDEX(出库明细!$B$4:$B$3003,$K86),INDEX(资金台帐!$B$7:$B$3006,$K86-3000)))</f>
      </c>
      <c r="C86" s="141">
        <f>IF($K86="","",IF($K86&lt;=3000,"出库领用",IF(INDEX(资金台帐!$S$7:$S$3006,$K86-3000)&gt;=0,"收款","退款")&amp;"（"&amp;INDEX(资金台帐!$C$7:$C$3006,$K86-3000)&amp;"）"))</f>
      </c>
      <c r="D86" s="141">
        <f>IF($K86="","",IF($K86&lt;=3000,INDEX(出库明细!$D$4:$D$3003,$K86)&amp;"",""))</f>
      </c>
      <c r="E86" s="148">
        <f>IF($K86="","",IF($K86&lt;=3000,INDEX(出库明细!$E$4:$E$3003,$K86),""))</f>
      </c>
      <c r="F86" s="149">
        <f>IF($K86="","",IF($K86&lt;=3000,INDEX(出库明细!$F$4:$F$3003,$K86),""))</f>
      </c>
      <c r="G86" s="186">
        <f>IF($K86="","",IF($K86&lt;=3000,N(INDEX(出库明细!$G$4:$G$3003,$K86)),""))</f>
      </c>
      <c r="H86" s="186">
        <f>IF($K86="","",IF($K86&lt;=3000,"",INDEX(资金台帐!$S$7:$S$3006,$K86-3000)))</f>
      </c>
      <c r="I86" s="187">
        <f>IF($K86="","",I85+N(G86)-N(H86))</f>
      </c>
      <c r="J86" s="213">
        <f>IF($K86="","",IF($K86&lt;=3000,INDEX(出库明细!$H$4:$H$3003,$K86)&amp;"",INDEX(资金台帐!$E$7:$E$3006,$K86-3000)&amp;""))</f>
      </c>
      <c r="K86" s="78">
        <f>IFERROR(MATCH(SMALL(_辅助!$F$4:$F$6003,47),_辅助!$F$4:$F$6003,0),"")</f>
      </c>
    </row>
    <row r="87">
      <c r="A87" s="141">
        <f>IF($K87="","",48)</f>
      </c>
      <c r="B87" s="140">
        <f>IF($K87="","",IF($K87&lt;=3000,INDEX(出库明细!$B$4:$B$3003,$K87),INDEX(资金台帐!$B$7:$B$3006,$K87-3000)))</f>
      </c>
      <c r="C87" s="141">
        <f>IF($K87="","",IF($K87&lt;=3000,"出库领用",IF(INDEX(资金台帐!$S$7:$S$3006,$K87-3000)&gt;=0,"收款","退款")&amp;"（"&amp;INDEX(资金台帐!$C$7:$C$3006,$K87-3000)&amp;"）"))</f>
      </c>
      <c r="D87" s="141">
        <f>IF($K87="","",IF($K87&lt;=3000,INDEX(出库明细!$D$4:$D$3003,$K87)&amp;"",""))</f>
      </c>
      <c r="E87" s="148">
        <f>IF($K87="","",IF($K87&lt;=3000,INDEX(出库明细!$E$4:$E$3003,$K87),""))</f>
      </c>
      <c r="F87" s="149">
        <f>IF($K87="","",IF($K87&lt;=3000,INDEX(出库明细!$F$4:$F$3003,$K87),""))</f>
      </c>
      <c r="G87" s="186">
        <f>IF($K87="","",IF($K87&lt;=3000,N(INDEX(出库明细!$G$4:$G$3003,$K87)),""))</f>
      </c>
      <c r="H87" s="186">
        <f>IF($K87="","",IF($K87&lt;=3000,"",INDEX(资金台帐!$S$7:$S$3006,$K87-3000)))</f>
      </c>
      <c r="I87" s="187">
        <f>IF($K87="","",I86+N(G87)-N(H87))</f>
      </c>
      <c r="J87" s="213">
        <f>IF($K87="","",IF($K87&lt;=3000,INDEX(出库明细!$H$4:$H$3003,$K87)&amp;"",INDEX(资金台帐!$E$7:$E$3006,$K87-3000)&amp;""))</f>
      </c>
      <c r="K87" s="78">
        <f>IFERROR(MATCH(SMALL(_辅助!$F$4:$F$6003,48),_辅助!$F$4:$F$6003,0),"")</f>
      </c>
    </row>
    <row r="88">
      <c r="A88" s="141">
        <f>IF($K88="","",49)</f>
      </c>
      <c r="B88" s="140">
        <f>IF($K88="","",IF($K88&lt;=3000,INDEX(出库明细!$B$4:$B$3003,$K88),INDEX(资金台帐!$B$7:$B$3006,$K88-3000)))</f>
      </c>
      <c r="C88" s="141">
        <f>IF($K88="","",IF($K88&lt;=3000,"出库领用",IF(INDEX(资金台帐!$S$7:$S$3006,$K88-3000)&gt;=0,"收款","退款")&amp;"（"&amp;INDEX(资金台帐!$C$7:$C$3006,$K88-3000)&amp;"）"))</f>
      </c>
      <c r="D88" s="141">
        <f>IF($K88="","",IF($K88&lt;=3000,INDEX(出库明细!$D$4:$D$3003,$K88)&amp;"",""))</f>
      </c>
      <c r="E88" s="148">
        <f>IF($K88="","",IF($K88&lt;=3000,INDEX(出库明细!$E$4:$E$3003,$K88),""))</f>
      </c>
      <c r="F88" s="149">
        <f>IF($K88="","",IF($K88&lt;=3000,INDEX(出库明细!$F$4:$F$3003,$K88),""))</f>
      </c>
      <c r="G88" s="186">
        <f>IF($K88="","",IF($K88&lt;=3000,N(INDEX(出库明细!$G$4:$G$3003,$K88)),""))</f>
      </c>
      <c r="H88" s="186">
        <f>IF($K88="","",IF($K88&lt;=3000,"",INDEX(资金台帐!$S$7:$S$3006,$K88-3000)))</f>
      </c>
      <c r="I88" s="187">
        <f>IF($K88="","",I87+N(G88)-N(H88))</f>
      </c>
      <c r="J88" s="213">
        <f>IF($K88="","",IF($K88&lt;=3000,INDEX(出库明细!$H$4:$H$3003,$K88)&amp;"",INDEX(资金台帐!$E$7:$E$3006,$K88-3000)&amp;""))</f>
      </c>
      <c r="K88" s="78">
        <f>IFERROR(MATCH(SMALL(_辅助!$F$4:$F$6003,49),_辅助!$F$4:$F$6003,0),"")</f>
      </c>
    </row>
    <row r="89">
      <c r="A89" s="141">
        <f>IF($K89="","",50)</f>
      </c>
      <c r="B89" s="140">
        <f>IF($K89="","",IF($K89&lt;=3000,INDEX(出库明细!$B$4:$B$3003,$K89),INDEX(资金台帐!$B$7:$B$3006,$K89-3000)))</f>
      </c>
      <c r="C89" s="141">
        <f>IF($K89="","",IF($K89&lt;=3000,"出库领用",IF(INDEX(资金台帐!$S$7:$S$3006,$K89-3000)&gt;=0,"收款","退款")&amp;"（"&amp;INDEX(资金台帐!$C$7:$C$3006,$K89-3000)&amp;"）"))</f>
      </c>
      <c r="D89" s="141">
        <f>IF($K89="","",IF($K89&lt;=3000,INDEX(出库明细!$D$4:$D$3003,$K89)&amp;"",""))</f>
      </c>
      <c r="E89" s="148">
        <f>IF($K89="","",IF($K89&lt;=3000,INDEX(出库明细!$E$4:$E$3003,$K89),""))</f>
      </c>
      <c r="F89" s="149">
        <f>IF($K89="","",IF($K89&lt;=3000,INDEX(出库明细!$F$4:$F$3003,$K89),""))</f>
      </c>
      <c r="G89" s="186">
        <f>IF($K89="","",IF($K89&lt;=3000,N(INDEX(出库明细!$G$4:$G$3003,$K89)),""))</f>
      </c>
      <c r="H89" s="186">
        <f>IF($K89="","",IF($K89&lt;=3000,"",INDEX(资金台帐!$S$7:$S$3006,$K89-3000)))</f>
      </c>
      <c r="I89" s="187">
        <f>IF($K89="","",I88+N(G89)-N(H89))</f>
      </c>
      <c r="J89" s="213">
        <f>IF($K89="","",IF($K89&lt;=3000,INDEX(出库明细!$H$4:$H$3003,$K89)&amp;"",INDEX(资金台帐!$E$7:$E$3006,$K89-3000)&amp;""))</f>
      </c>
      <c r="K89" s="78">
        <f>IFERROR(MATCH(SMALL(_辅助!$F$4:$F$6003,50),_辅助!$F$4:$F$6003,0),"")</f>
      </c>
    </row>
    <row r="90">
      <c r="A90" s="141">
        <f>IF($K90="","",51)</f>
      </c>
      <c r="B90" s="140">
        <f>IF($K90="","",IF($K90&lt;=3000,INDEX(出库明细!$B$4:$B$3003,$K90),INDEX(资金台帐!$B$7:$B$3006,$K90-3000)))</f>
      </c>
      <c r="C90" s="141">
        <f>IF($K90="","",IF($K90&lt;=3000,"出库领用",IF(INDEX(资金台帐!$S$7:$S$3006,$K90-3000)&gt;=0,"收款","退款")&amp;"（"&amp;INDEX(资金台帐!$C$7:$C$3006,$K90-3000)&amp;"）"))</f>
      </c>
      <c r="D90" s="141">
        <f>IF($K90="","",IF($K90&lt;=3000,INDEX(出库明细!$D$4:$D$3003,$K90)&amp;"",""))</f>
      </c>
      <c r="E90" s="148">
        <f>IF($K90="","",IF($K90&lt;=3000,INDEX(出库明细!$E$4:$E$3003,$K90),""))</f>
      </c>
      <c r="F90" s="149">
        <f>IF($K90="","",IF($K90&lt;=3000,INDEX(出库明细!$F$4:$F$3003,$K90),""))</f>
      </c>
      <c r="G90" s="186">
        <f>IF($K90="","",IF($K90&lt;=3000,N(INDEX(出库明细!$G$4:$G$3003,$K90)),""))</f>
      </c>
      <c r="H90" s="186">
        <f>IF($K90="","",IF($K90&lt;=3000,"",INDEX(资金台帐!$S$7:$S$3006,$K90-3000)))</f>
      </c>
      <c r="I90" s="187">
        <f>IF($K90="","",I89+N(G90)-N(H90))</f>
      </c>
      <c r="J90" s="213">
        <f>IF($K90="","",IF($K90&lt;=3000,INDEX(出库明细!$H$4:$H$3003,$K90)&amp;"",INDEX(资金台帐!$E$7:$E$3006,$K90-3000)&amp;""))</f>
      </c>
      <c r="K90" s="78">
        <f>IFERROR(MATCH(SMALL(_辅助!$F$4:$F$6003,51),_辅助!$F$4:$F$6003,0),"")</f>
      </c>
    </row>
    <row r="91">
      <c r="A91" s="141">
        <f>IF($K91="","",52)</f>
      </c>
      <c r="B91" s="140">
        <f>IF($K91="","",IF($K91&lt;=3000,INDEX(出库明细!$B$4:$B$3003,$K91),INDEX(资金台帐!$B$7:$B$3006,$K91-3000)))</f>
      </c>
      <c r="C91" s="141">
        <f>IF($K91="","",IF($K91&lt;=3000,"出库领用",IF(INDEX(资金台帐!$S$7:$S$3006,$K91-3000)&gt;=0,"收款","退款")&amp;"（"&amp;INDEX(资金台帐!$C$7:$C$3006,$K91-3000)&amp;"）"))</f>
      </c>
      <c r="D91" s="141">
        <f>IF($K91="","",IF($K91&lt;=3000,INDEX(出库明细!$D$4:$D$3003,$K91)&amp;"",""))</f>
      </c>
      <c r="E91" s="148">
        <f>IF($K91="","",IF($K91&lt;=3000,INDEX(出库明细!$E$4:$E$3003,$K91),""))</f>
      </c>
      <c r="F91" s="149">
        <f>IF($K91="","",IF($K91&lt;=3000,INDEX(出库明细!$F$4:$F$3003,$K91),""))</f>
      </c>
      <c r="G91" s="186">
        <f>IF($K91="","",IF($K91&lt;=3000,N(INDEX(出库明细!$G$4:$G$3003,$K91)),""))</f>
      </c>
      <c r="H91" s="186">
        <f>IF($K91="","",IF($K91&lt;=3000,"",INDEX(资金台帐!$S$7:$S$3006,$K91-3000)))</f>
      </c>
      <c r="I91" s="187">
        <f>IF($K91="","",I90+N(G91)-N(H91))</f>
      </c>
      <c r="J91" s="213">
        <f>IF($K91="","",IF($K91&lt;=3000,INDEX(出库明细!$H$4:$H$3003,$K91)&amp;"",INDEX(资金台帐!$E$7:$E$3006,$K91-3000)&amp;""))</f>
      </c>
      <c r="K91" s="78">
        <f>IFERROR(MATCH(SMALL(_辅助!$F$4:$F$6003,52),_辅助!$F$4:$F$6003,0),"")</f>
      </c>
    </row>
    <row r="92">
      <c r="A92" s="141">
        <f>IF($K92="","",53)</f>
      </c>
      <c r="B92" s="140">
        <f>IF($K92="","",IF($K92&lt;=3000,INDEX(出库明细!$B$4:$B$3003,$K92),INDEX(资金台帐!$B$7:$B$3006,$K92-3000)))</f>
      </c>
      <c r="C92" s="141">
        <f>IF($K92="","",IF($K92&lt;=3000,"出库领用",IF(INDEX(资金台帐!$S$7:$S$3006,$K92-3000)&gt;=0,"收款","退款")&amp;"（"&amp;INDEX(资金台帐!$C$7:$C$3006,$K92-3000)&amp;"）"))</f>
      </c>
      <c r="D92" s="141">
        <f>IF($K92="","",IF($K92&lt;=3000,INDEX(出库明细!$D$4:$D$3003,$K92)&amp;"",""))</f>
      </c>
      <c r="E92" s="148">
        <f>IF($K92="","",IF($K92&lt;=3000,INDEX(出库明细!$E$4:$E$3003,$K92),""))</f>
      </c>
      <c r="F92" s="149">
        <f>IF($K92="","",IF($K92&lt;=3000,INDEX(出库明细!$F$4:$F$3003,$K92),""))</f>
      </c>
      <c r="G92" s="186">
        <f>IF($K92="","",IF($K92&lt;=3000,N(INDEX(出库明细!$G$4:$G$3003,$K92)),""))</f>
      </c>
      <c r="H92" s="186">
        <f>IF($K92="","",IF($K92&lt;=3000,"",INDEX(资金台帐!$S$7:$S$3006,$K92-3000)))</f>
      </c>
      <c r="I92" s="187">
        <f>IF($K92="","",I91+N(G92)-N(H92))</f>
      </c>
      <c r="J92" s="213">
        <f>IF($K92="","",IF($K92&lt;=3000,INDEX(出库明细!$H$4:$H$3003,$K92)&amp;"",INDEX(资金台帐!$E$7:$E$3006,$K92-3000)&amp;""))</f>
      </c>
      <c r="K92" s="78">
        <f>IFERROR(MATCH(SMALL(_辅助!$F$4:$F$6003,53),_辅助!$F$4:$F$6003,0),"")</f>
      </c>
    </row>
    <row r="93">
      <c r="A93" s="141">
        <f>IF($K93="","",54)</f>
      </c>
      <c r="B93" s="140">
        <f>IF($K93="","",IF($K93&lt;=3000,INDEX(出库明细!$B$4:$B$3003,$K93),INDEX(资金台帐!$B$7:$B$3006,$K93-3000)))</f>
      </c>
      <c r="C93" s="141">
        <f>IF($K93="","",IF($K93&lt;=3000,"出库领用",IF(INDEX(资金台帐!$S$7:$S$3006,$K93-3000)&gt;=0,"收款","退款")&amp;"（"&amp;INDEX(资金台帐!$C$7:$C$3006,$K93-3000)&amp;"）"))</f>
      </c>
      <c r="D93" s="141">
        <f>IF($K93="","",IF($K93&lt;=3000,INDEX(出库明细!$D$4:$D$3003,$K93)&amp;"",""))</f>
      </c>
      <c r="E93" s="148">
        <f>IF($K93="","",IF($K93&lt;=3000,INDEX(出库明细!$E$4:$E$3003,$K93),""))</f>
      </c>
      <c r="F93" s="149">
        <f>IF($K93="","",IF($K93&lt;=3000,INDEX(出库明细!$F$4:$F$3003,$K93),""))</f>
      </c>
      <c r="G93" s="186">
        <f>IF($K93="","",IF($K93&lt;=3000,N(INDEX(出库明细!$G$4:$G$3003,$K93)),""))</f>
      </c>
      <c r="H93" s="186">
        <f>IF($K93="","",IF($K93&lt;=3000,"",INDEX(资金台帐!$S$7:$S$3006,$K93-3000)))</f>
      </c>
      <c r="I93" s="187">
        <f>IF($K93="","",I92+N(G93)-N(H93))</f>
      </c>
      <c r="J93" s="213">
        <f>IF($K93="","",IF($K93&lt;=3000,INDEX(出库明细!$H$4:$H$3003,$K93)&amp;"",INDEX(资金台帐!$E$7:$E$3006,$K93-3000)&amp;""))</f>
      </c>
      <c r="K93" s="78">
        <f>IFERROR(MATCH(SMALL(_辅助!$F$4:$F$6003,54),_辅助!$F$4:$F$6003,0),"")</f>
      </c>
    </row>
    <row r="94">
      <c r="A94" s="141">
        <f>IF($K94="","",55)</f>
      </c>
      <c r="B94" s="140">
        <f>IF($K94="","",IF($K94&lt;=3000,INDEX(出库明细!$B$4:$B$3003,$K94),INDEX(资金台帐!$B$7:$B$3006,$K94-3000)))</f>
      </c>
      <c r="C94" s="141">
        <f>IF($K94="","",IF($K94&lt;=3000,"出库领用",IF(INDEX(资金台帐!$S$7:$S$3006,$K94-3000)&gt;=0,"收款","退款")&amp;"（"&amp;INDEX(资金台帐!$C$7:$C$3006,$K94-3000)&amp;"）"))</f>
      </c>
      <c r="D94" s="141">
        <f>IF($K94="","",IF($K94&lt;=3000,INDEX(出库明细!$D$4:$D$3003,$K94)&amp;"",""))</f>
      </c>
      <c r="E94" s="148">
        <f>IF($K94="","",IF($K94&lt;=3000,INDEX(出库明细!$E$4:$E$3003,$K94),""))</f>
      </c>
      <c r="F94" s="149">
        <f>IF($K94="","",IF($K94&lt;=3000,INDEX(出库明细!$F$4:$F$3003,$K94),""))</f>
      </c>
      <c r="G94" s="186">
        <f>IF($K94="","",IF($K94&lt;=3000,N(INDEX(出库明细!$G$4:$G$3003,$K94)),""))</f>
      </c>
      <c r="H94" s="186">
        <f>IF($K94="","",IF($K94&lt;=3000,"",INDEX(资金台帐!$S$7:$S$3006,$K94-3000)))</f>
      </c>
      <c r="I94" s="187">
        <f>IF($K94="","",I93+N(G94)-N(H94))</f>
      </c>
      <c r="J94" s="213">
        <f>IF($K94="","",IF($K94&lt;=3000,INDEX(出库明细!$H$4:$H$3003,$K94)&amp;"",INDEX(资金台帐!$E$7:$E$3006,$K94-3000)&amp;""))</f>
      </c>
      <c r="K94" s="78">
        <f>IFERROR(MATCH(SMALL(_辅助!$F$4:$F$6003,55),_辅助!$F$4:$F$6003,0),"")</f>
      </c>
    </row>
    <row r="95">
      <c r="A95" s="141">
        <f>IF($K95="","",56)</f>
      </c>
      <c r="B95" s="140">
        <f>IF($K95="","",IF($K95&lt;=3000,INDEX(出库明细!$B$4:$B$3003,$K95),INDEX(资金台帐!$B$7:$B$3006,$K95-3000)))</f>
      </c>
      <c r="C95" s="141">
        <f>IF($K95="","",IF($K95&lt;=3000,"出库领用",IF(INDEX(资金台帐!$S$7:$S$3006,$K95-3000)&gt;=0,"收款","退款")&amp;"（"&amp;INDEX(资金台帐!$C$7:$C$3006,$K95-3000)&amp;"）"))</f>
      </c>
      <c r="D95" s="141">
        <f>IF($K95="","",IF($K95&lt;=3000,INDEX(出库明细!$D$4:$D$3003,$K95)&amp;"",""))</f>
      </c>
      <c r="E95" s="148">
        <f>IF($K95="","",IF($K95&lt;=3000,INDEX(出库明细!$E$4:$E$3003,$K95),""))</f>
      </c>
      <c r="F95" s="149">
        <f>IF($K95="","",IF($K95&lt;=3000,INDEX(出库明细!$F$4:$F$3003,$K95),""))</f>
      </c>
      <c r="G95" s="186">
        <f>IF($K95="","",IF($K95&lt;=3000,N(INDEX(出库明细!$G$4:$G$3003,$K95)),""))</f>
      </c>
      <c r="H95" s="186">
        <f>IF($K95="","",IF($K95&lt;=3000,"",INDEX(资金台帐!$S$7:$S$3006,$K95-3000)))</f>
      </c>
      <c r="I95" s="187">
        <f>IF($K95="","",I94+N(G95)-N(H95))</f>
      </c>
      <c r="J95" s="213">
        <f>IF($K95="","",IF($K95&lt;=3000,INDEX(出库明细!$H$4:$H$3003,$K95)&amp;"",INDEX(资金台帐!$E$7:$E$3006,$K95-3000)&amp;""))</f>
      </c>
      <c r="K95" s="78">
        <f>IFERROR(MATCH(SMALL(_辅助!$F$4:$F$6003,56),_辅助!$F$4:$F$6003,0),"")</f>
      </c>
    </row>
    <row r="96">
      <c r="A96" s="141">
        <f>IF($K96="","",57)</f>
      </c>
      <c r="B96" s="140">
        <f>IF($K96="","",IF($K96&lt;=3000,INDEX(出库明细!$B$4:$B$3003,$K96),INDEX(资金台帐!$B$7:$B$3006,$K96-3000)))</f>
      </c>
      <c r="C96" s="141">
        <f>IF($K96="","",IF($K96&lt;=3000,"出库领用",IF(INDEX(资金台帐!$S$7:$S$3006,$K96-3000)&gt;=0,"收款","退款")&amp;"（"&amp;INDEX(资金台帐!$C$7:$C$3006,$K96-3000)&amp;"）"))</f>
      </c>
      <c r="D96" s="141">
        <f>IF($K96="","",IF($K96&lt;=3000,INDEX(出库明细!$D$4:$D$3003,$K96)&amp;"",""))</f>
      </c>
      <c r="E96" s="148">
        <f>IF($K96="","",IF($K96&lt;=3000,INDEX(出库明细!$E$4:$E$3003,$K96),""))</f>
      </c>
      <c r="F96" s="149">
        <f>IF($K96="","",IF($K96&lt;=3000,INDEX(出库明细!$F$4:$F$3003,$K96),""))</f>
      </c>
      <c r="G96" s="186">
        <f>IF($K96="","",IF($K96&lt;=3000,N(INDEX(出库明细!$G$4:$G$3003,$K96)),""))</f>
      </c>
      <c r="H96" s="186">
        <f>IF($K96="","",IF($K96&lt;=3000,"",INDEX(资金台帐!$S$7:$S$3006,$K96-3000)))</f>
      </c>
      <c r="I96" s="187">
        <f>IF($K96="","",I95+N(G96)-N(H96))</f>
      </c>
      <c r="J96" s="213">
        <f>IF($K96="","",IF($K96&lt;=3000,INDEX(出库明细!$H$4:$H$3003,$K96)&amp;"",INDEX(资金台帐!$E$7:$E$3006,$K96-3000)&amp;""))</f>
      </c>
      <c r="K96" s="78">
        <f>IFERROR(MATCH(SMALL(_辅助!$F$4:$F$6003,57),_辅助!$F$4:$F$6003,0),"")</f>
      </c>
    </row>
    <row r="97">
      <c r="A97" s="141">
        <f>IF($K97="","",58)</f>
      </c>
      <c r="B97" s="140">
        <f>IF($K97="","",IF($K97&lt;=3000,INDEX(出库明细!$B$4:$B$3003,$K97),INDEX(资金台帐!$B$7:$B$3006,$K97-3000)))</f>
      </c>
      <c r="C97" s="141">
        <f>IF($K97="","",IF($K97&lt;=3000,"出库领用",IF(INDEX(资金台帐!$S$7:$S$3006,$K97-3000)&gt;=0,"收款","退款")&amp;"（"&amp;INDEX(资金台帐!$C$7:$C$3006,$K97-3000)&amp;"）"))</f>
      </c>
      <c r="D97" s="141">
        <f>IF($K97="","",IF($K97&lt;=3000,INDEX(出库明细!$D$4:$D$3003,$K97)&amp;"",""))</f>
      </c>
      <c r="E97" s="148">
        <f>IF($K97="","",IF($K97&lt;=3000,INDEX(出库明细!$E$4:$E$3003,$K97),""))</f>
      </c>
      <c r="F97" s="149">
        <f>IF($K97="","",IF($K97&lt;=3000,INDEX(出库明细!$F$4:$F$3003,$K97),""))</f>
      </c>
      <c r="G97" s="186">
        <f>IF($K97="","",IF($K97&lt;=3000,N(INDEX(出库明细!$G$4:$G$3003,$K97)),""))</f>
      </c>
      <c r="H97" s="186">
        <f>IF($K97="","",IF($K97&lt;=3000,"",INDEX(资金台帐!$S$7:$S$3006,$K97-3000)))</f>
      </c>
      <c r="I97" s="187">
        <f>IF($K97="","",I96+N(G97)-N(H97))</f>
      </c>
      <c r="J97" s="213">
        <f>IF($K97="","",IF($K97&lt;=3000,INDEX(出库明细!$H$4:$H$3003,$K97)&amp;"",INDEX(资金台帐!$E$7:$E$3006,$K97-3000)&amp;""))</f>
      </c>
      <c r="K97" s="78">
        <f>IFERROR(MATCH(SMALL(_辅助!$F$4:$F$6003,58),_辅助!$F$4:$F$6003,0),"")</f>
      </c>
    </row>
    <row r="98">
      <c r="A98" s="141">
        <f>IF($K98="","",59)</f>
      </c>
      <c r="B98" s="140">
        <f>IF($K98="","",IF($K98&lt;=3000,INDEX(出库明细!$B$4:$B$3003,$K98),INDEX(资金台帐!$B$7:$B$3006,$K98-3000)))</f>
      </c>
      <c r="C98" s="141">
        <f>IF($K98="","",IF($K98&lt;=3000,"出库领用",IF(INDEX(资金台帐!$S$7:$S$3006,$K98-3000)&gt;=0,"收款","退款")&amp;"（"&amp;INDEX(资金台帐!$C$7:$C$3006,$K98-3000)&amp;"）"))</f>
      </c>
      <c r="D98" s="141">
        <f>IF($K98="","",IF($K98&lt;=3000,INDEX(出库明细!$D$4:$D$3003,$K98)&amp;"",""))</f>
      </c>
      <c r="E98" s="148">
        <f>IF($K98="","",IF($K98&lt;=3000,INDEX(出库明细!$E$4:$E$3003,$K98),""))</f>
      </c>
      <c r="F98" s="149">
        <f>IF($K98="","",IF($K98&lt;=3000,INDEX(出库明细!$F$4:$F$3003,$K98),""))</f>
      </c>
      <c r="G98" s="186">
        <f>IF($K98="","",IF($K98&lt;=3000,N(INDEX(出库明细!$G$4:$G$3003,$K98)),""))</f>
      </c>
      <c r="H98" s="186">
        <f>IF($K98="","",IF($K98&lt;=3000,"",INDEX(资金台帐!$S$7:$S$3006,$K98-3000)))</f>
      </c>
      <c r="I98" s="187">
        <f>IF($K98="","",I97+N(G98)-N(H98))</f>
      </c>
      <c r="J98" s="213">
        <f>IF($K98="","",IF($K98&lt;=3000,INDEX(出库明细!$H$4:$H$3003,$K98)&amp;"",INDEX(资金台帐!$E$7:$E$3006,$K98-3000)&amp;""))</f>
      </c>
      <c r="K98" s="78">
        <f>IFERROR(MATCH(SMALL(_辅助!$F$4:$F$6003,59),_辅助!$F$4:$F$6003,0),"")</f>
      </c>
    </row>
    <row r="99">
      <c r="A99" s="141">
        <f>IF($K99="","",60)</f>
      </c>
      <c r="B99" s="140">
        <f>IF($K99="","",IF($K99&lt;=3000,INDEX(出库明细!$B$4:$B$3003,$K99),INDEX(资金台帐!$B$7:$B$3006,$K99-3000)))</f>
      </c>
      <c r="C99" s="141">
        <f>IF($K99="","",IF($K99&lt;=3000,"出库领用",IF(INDEX(资金台帐!$S$7:$S$3006,$K99-3000)&gt;=0,"收款","退款")&amp;"（"&amp;INDEX(资金台帐!$C$7:$C$3006,$K99-3000)&amp;"）"))</f>
      </c>
      <c r="D99" s="141">
        <f>IF($K99="","",IF($K99&lt;=3000,INDEX(出库明细!$D$4:$D$3003,$K99)&amp;"",""))</f>
      </c>
      <c r="E99" s="148">
        <f>IF($K99="","",IF($K99&lt;=3000,INDEX(出库明细!$E$4:$E$3003,$K99),""))</f>
      </c>
      <c r="F99" s="149">
        <f>IF($K99="","",IF($K99&lt;=3000,INDEX(出库明细!$F$4:$F$3003,$K99),""))</f>
      </c>
      <c r="G99" s="186">
        <f>IF($K99="","",IF($K99&lt;=3000,N(INDEX(出库明细!$G$4:$G$3003,$K99)),""))</f>
      </c>
      <c r="H99" s="186">
        <f>IF($K99="","",IF($K99&lt;=3000,"",INDEX(资金台帐!$S$7:$S$3006,$K99-3000)))</f>
      </c>
      <c r="I99" s="187">
        <f>IF($K99="","",I98+N(G99)-N(H99))</f>
      </c>
      <c r="J99" s="213">
        <f>IF($K99="","",IF($K99&lt;=3000,INDEX(出库明细!$H$4:$H$3003,$K99)&amp;"",INDEX(资金台帐!$E$7:$E$3006,$K99-3000)&amp;""))</f>
      </c>
      <c r="K99" s="78">
        <f>IFERROR(MATCH(SMALL(_辅助!$F$4:$F$6003,60),_辅助!$F$4:$F$6003,0),"")</f>
      </c>
    </row>
    <row r="100">
      <c r="A100" s="141">
        <f>IF($K100="","",61)</f>
      </c>
      <c r="B100" s="140">
        <f>IF($K100="","",IF($K100&lt;=3000,INDEX(出库明细!$B$4:$B$3003,$K100),INDEX(资金台帐!$B$7:$B$3006,$K100-3000)))</f>
      </c>
      <c r="C100" s="141">
        <f>IF($K100="","",IF($K100&lt;=3000,"出库领用",IF(INDEX(资金台帐!$S$7:$S$3006,$K100-3000)&gt;=0,"收款","退款")&amp;"（"&amp;INDEX(资金台帐!$C$7:$C$3006,$K100-3000)&amp;"）"))</f>
      </c>
      <c r="D100" s="141">
        <f>IF($K100="","",IF($K100&lt;=3000,INDEX(出库明细!$D$4:$D$3003,$K100)&amp;"",""))</f>
      </c>
      <c r="E100" s="148">
        <f>IF($K100="","",IF($K100&lt;=3000,INDEX(出库明细!$E$4:$E$3003,$K100),""))</f>
      </c>
      <c r="F100" s="149">
        <f>IF($K100="","",IF($K100&lt;=3000,INDEX(出库明细!$F$4:$F$3003,$K100),""))</f>
      </c>
      <c r="G100" s="186">
        <f>IF($K100="","",IF($K100&lt;=3000,N(INDEX(出库明细!$G$4:$G$3003,$K100)),""))</f>
      </c>
      <c r="H100" s="186">
        <f>IF($K100="","",IF($K100&lt;=3000,"",INDEX(资金台帐!$S$7:$S$3006,$K100-3000)))</f>
      </c>
      <c r="I100" s="187">
        <f>IF($K100="","",I99+N(G100)-N(H100))</f>
      </c>
      <c r="J100" s="213">
        <f>IF($K100="","",IF($K100&lt;=3000,INDEX(出库明细!$H$4:$H$3003,$K100)&amp;"",INDEX(资金台帐!$E$7:$E$3006,$K100-3000)&amp;""))</f>
      </c>
      <c r="K100" s="78">
        <f>IFERROR(MATCH(SMALL(_辅助!$F$4:$F$6003,61),_辅助!$F$4:$F$6003,0),"")</f>
      </c>
    </row>
    <row r="101">
      <c r="A101" s="141">
        <f>IF($K101="","",62)</f>
      </c>
      <c r="B101" s="140">
        <f>IF($K101="","",IF($K101&lt;=3000,INDEX(出库明细!$B$4:$B$3003,$K101),INDEX(资金台帐!$B$7:$B$3006,$K101-3000)))</f>
      </c>
      <c r="C101" s="141">
        <f>IF($K101="","",IF($K101&lt;=3000,"出库领用",IF(INDEX(资金台帐!$S$7:$S$3006,$K101-3000)&gt;=0,"收款","退款")&amp;"（"&amp;INDEX(资金台帐!$C$7:$C$3006,$K101-3000)&amp;"）"))</f>
      </c>
      <c r="D101" s="141">
        <f>IF($K101="","",IF($K101&lt;=3000,INDEX(出库明细!$D$4:$D$3003,$K101)&amp;"",""))</f>
      </c>
      <c r="E101" s="148">
        <f>IF($K101="","",IF($K101&lt;=3000,INDEX(出库明细!$E$4:$E$3003,$K101),""))</f>
      </c>
      <c r="F101" s="149">
        <f>IF($K101="","",IF($K101&lt;=3000,INDEX(出库明细!$F$4:$F$3003,$K101),""))</f>
      </c>
      <c r="G101" s="186">
        <f>IF($K101="","",IF($K101&lt;=3000,N(INDEX(出库明细!$G$4:$G$3003,$K101)),""))</f>
      </c>
      <c r="H101" s="186">
        <f>IF($K101="","",IF($K101&lt;=3000,"",INDEX(资金台帐!$S$7:$S$3006,$K101-3000)))</f>
      </c>
      <c r="I101" s="187">
        <f>IF($K101="","",I100+N(G101)-N(H101))</f>
      </c>
      <c r="J101" s="213">
        <f>IF($K101="","",IF($K101&lt;=3000,INDEX(出库明细!$H$4:$H$3003,$K101)&amp;"",INDEX(资金台帐!$E$7:$E$3006,$K101-3000)&amp;""))</f>
      </c>
      <c r="K101" s="78">
        <f>IFERROR(MATCH(SMALL(_辅助!$F$4:$F$6003,62),_辅助!$F$4:$F$6003,0),"")</f>
      </c>
    </row>
    <row r="102">
      <c r="A102" s="141">
        <f>IF($K102="","",63)</f>
      </c>
      <c r="B102" s="140">
        <f>IF($K102="","",IF($K102&lt;=3000,INDEX(出库明细!$B$4:$B$3003,$K102),INDEX(资金台帐!$B$7:$B$3006,$K102-3000)))</f>
      </c>
      <c r="C102" s="141">
        <f>IF($K102="","",IF($K102&lt;=3000,"出库领用",IF(INDEX(资金台帐!$S$7:$S$3006,$K102-3000)&gt;=0,"收款","退款")&amp;"（"&amp;INDEX(资金台帐!$C$7:$C$3006,$K102-3000)&amp;"）"))</f>
      </c>
      <c r="D102" s="141">
        <f>IF($K102="","",IF($K102&lt;=3000,INDEX(出库明细!$D$4:$D$3003,$K102)&amp;"",""))</f>
      </c>
      <c r="E102" s="148">
        <f>IF($K102="","",IF($K102&lt;=3000,INDEX(出库明细!$E$4:$E$3003,$K102),""))</f>
      </c>
      <c r="F102" s="149">
        <f>IF($K102="","",IF($K102&lt;=3000,INDEX(出库明细!$F$4:$F$3003,$K102),""))</f>
      </c>
      <c r="G102" s="186">
        <f>IF($K102="","",IF($K102&lt;=3000,N(INDEX(出库明细!$G$4:$G$3003,$K102)),""))</f>
      </c>
      <c r="H102" s="186">
        <f>IF($K102="","",IF($K102&lt;=3000,"",INDEX(资金台帐!$S$7:$S$3006,$K102-3000)))</f>
      </c>
      <c r="I102" s="187">
        <f>IF($K102="","",I101+N(G102)-N(H102))</f>
      </c>
      <c r="J102" s="213">
        <f>IF($K102="","",IF($K102&lt;=3000,INDEX(出库明细!$H$4:$H$3003,$K102)&amp;"",INDEX(资金台帐!$E$7:$E$3006,$K102-3000)&amp;""))</f>
      </c>
      <c r="K102" s="78">
        <f>IFERROR(MATCH(SMALL(_辅助!$F$4:$F$6003,63),_辅助!$F$4:$F$6003,0),"")</f>
      </c>
    </row>
    <row r="103">
      <c r="A103" s="141">
        <f>IF($K103="","",64)</f>
      </c>
      <c r="B103" s="140">
        <f>IF($K103="","",IF($K103&lt;=3000,INDEX(出库明细!$B$4:$B$3003,$K103),INDEX(资金台帐!$B$7:$B$3006,$K103-3000)))</f>
      </c>
      <c r="C103" s="141">
        <f>IF($K103="","",IF($K103&lt;=3000,"出库领用",IF(INDEX(资金台帐!$S$7:$S$3006,$K103-3000)&gt;=0,"收款","退款")&amp;"（"&amp;INDEX(资金台帐!$C$7:$C$3006,$K103-3000)&amp;"）"))</f>
      </c>
      <c r="D103" s="141">
        <f>IF($K103="","",IF($K103&lt;=3000,INDEX(出库明细!$D$4:$D$3003,$K103)&amp;"",""))</f>
      </c>
      <c r="E103" s="148">
        <f>IF($K103="","",IF($K103&lt;=3000,INDEX(出库明细!$E$4:$E$3003,$K103),""))</f>
      </c>
      <c r="F103" s="149">
        <f>IF($K103="","",IF($K103&lt;=3000,INDEX(出库明细!$F$4:$F$3003,$K103),""))</f>
      </c>
      <c r="G103" s="186">
        <f>IF($K103="","",IF($K103&lt;=3000,N(INDEX(出库明细!$G$4:$G$3003,$K103)),""))</f>
      </c>
      <c r="H103" s="186">
        <f>IF($K103="","",IF($K103&lt;=3000,"",INDEX(资金台帐!$S$7:$S$3006,$K103-3000)))</f>
      </c>
      <c r="I103" s="187">
        <f>IF($K103="","",I102+N(G103)-N(H103))</f>
      </c>
      <c r="J103" s="213">
        <f>IF($K103="","",IF($K103&lt;=3000,INDEX(出库明细!$H$4:$H$3003,$K103)&amp;"",INDEX(资金台帐!$E$7:$E$3006,$K103-3000)&amp;""))</f>
      </c>
      <c r="K103" s="78">
        <f>IFERROR(MATCH(SMALL(_辅助!$F$4:$F$6003,64),_辅助!$F$4:$F$6003,0),"")</f>
      </c>
    </row>
    <row r="104">
      <c r="A104" s="141">
        <f>IF($K104="","",65)</f>
      </c>
      <c r="B104" s="140">
        <f>IF($K104="","",IF($K104&lt;=3000,INDEX(出库明细!$B$4:$B$3003,$K104),INDEX(资金台帐!$B$7:$B$3006,$K104-3000)))</f>
      </c>
      <c r="C104" s="141">
        <f>IF($K104="","",IF($K104&lt;=3000,"出库领用",IF(INDEX(资金台帐!$S$7:$S$3006,$K104-3000)&gt;=0,"收款","退款")&amp;"（"&amp;INDEX(资金台帐!$C$7:$C$3006,$K104-3000)&amp;"）"))</f>
      </c>
      <c r="D104" s="141">
        <f>IF($K104="","",IF($K104&lt;=3000,INDEX(出库明细!$D$4:$D$3003,$K104)&amp;"",""))</f>
      </c>
      <c r="E104" s="148">
        <f>IF($K104="","",IF($K104&lt;=3000,INDEX(出库明细!$E$4:$E$3003,$K104),""))</f>
      </c>
      <c r="F104" s="149">
        <f>IF($K104="","",IF($K104&lt;=3000,INDEX(出库明细!$F$4:$F$3003,$K104),""))</f>
      </c>
      <c r="G104" s="186">
        <f>IF($K104="","",IF($K104&lt;=3000,N(INDEX(出库明细!$G$4:$G$3003,$K104)),""))</f>
      </c>
      <c r="H104" s="186">
        <f>IF($K104="","",IF($K104&lt;=3000,"",INDEX(资金台帐!$S$7:$S$3006,$K104-3000)))</f>
      </c>
      <c r="I104" s="187">
        <f>IF($K104="","",I103+N(G104)-N(H104))</f>
      </c>
      <c r="J104" s="213">
        <f>IF($K104="","",IF($K104&lt;=3000,INDEX(出库明细!$H$4:$H$3003,$K104)&amp;"",INDEX(资金台帐!$E$7:$E$3006,$K104-3000)&amp;""))</f>
      </c>
      <c r="K104" s="78">
        <f>IFERROR(MATCH(SMALL(_辅助!$F$4:$F$6003,65),_辅助!$F$4:$F$6003,0),"")</f>
      </c>
    </row>
    <row r="105">
      <c r="A105" s="141">
        <f>IF($K105="","",66)</f>
      </c>
      <c r="B105" s="140">
        <f>IF($K105="","",IF($K105&lt;=3000,INDEX(出库明细!$B$4:$B$3003,$K105),INDEX(资金台帐!$B$7:$B$3006,$K105-3000)))</f>
      </c>
      <c r="C105" s="141">
        <f>IF($K105="","",IF($K105&lt;=3000,"出库领用",IF(INDEX(资金台帐!$S$7:$S$3006,$K105-3000)&gt;=0,"收款","退款")&amp;"（"&amp;INDEX(资金台帐!$C$7:$C$3006,$K105-3000)&amp;"）"))</f>
      </c>
      <c r="D105" s="141">
        <f>IF($K105="","",IF($K105&lt;=3000,INDEX(出库明细!$D$4:$D$3003,$K105)&amp;"",""))</f>
      </c>
      <c r="E105" s="148">
        <f>IF($K105="","",IF($K105&lt;=3000,INDEX(出库明细!$E$4:$E$3003,$K105),""))</f>
      </c>
      <c r="F105" s="149">
        <f>IF($K105="","",IF($K105&lt;=3000,INDEX(出库明细!$F$4:$F$3003,$K105),""))</f>
      </c>
      <c r="G105" s="186">
        <f>IF($K105="","",IF($K105&lt;=3000,N(INDEX(出库明细!$G$4:$G$3003,$K105)),""))</f>
      </c>
      <c r="H105" s="186">
        <f>IF($K105="","",IF($K105&lt;=3000,"",INDEX(资金台帐!$S$7:$S$3006,$K105-3000)))</f>
      </c>
      <c r="I105" s="187">
        <f>IF($K105="","",I104+N(G105)-N(H105))</f>
      </c>
      <c r="J105" s="213">
        <f>IF($K105="","",IF($K105&lt;=3000,INDEX(出库明细!$H$4:$H$3003,$K105)&amp;"",INDEX(资金台帐!$E$7:$E$3006,$K105-3000)&amp;""))</f>
      </c>
      <c r="K105" s="78">
        <f>IFERROR(MATCH(SMALL(_辅助!$F$4:$F$6003,66),_辅助!$F$4:$F$6003,0),"")</f>
      </c>
    </row>
    <row r="106">
      <c r="A106" s="141">
        <f>IF($K106="","",67)</f>
      </c>
      <c r="B106" s="140">
        <f>IF($K106="","",IF($K106&lt;=3000,INDEX(出库明细!$B$4:$B$3003,$K106),INDEX(资金台帐!$B$7:$B$3006,$K106-3000)))</f>
      </c>
      <c r="C106" s="141">
        <f>IF($K106="","",IF($K106&lt;=3000,"出库领用",IF(INDEX(资金台帐!$S$7:$S$3006,$K106-3000)&gt;=0,"收款","退款")&amp;"（"&amp;INDEX(资金台帐!$C$7:$C$3006,$K106-3000)&amp;"）"))</f>
      </c>
      <c r="D106" s="141">
        <f>IF($K106="","",IF($K106&lt;=3000,INDEX(出库明细!$D$4:$D$3003,$K106)&amp;"",""))</f>
      </c>
      <c r="E106" s="148">
        <f>IF($K106="","",IF($K106&lt;=3000,INDEX(出库明细!$E$4:$E$3003,$K106),""))</f>
      </c>
      <c r="F106" s="149">
        <f>IF($K106="","",IF($K106&lt;=3000,INDEX(出库明细!$F$4:$F$3003,$K106),""))</f>
      </c>
      <c r="G106" s="186">
        <f>IF($K106="","",IF($K106&lt;=3000,N(INDEX(出库明细!$G$4:$G$3003,$K106)),""))</f>
      </c>
      <c r="H106" s="186">
        <f>IF($K106="","",IF($K106&lt;=3000,"",INDEX(资金台帐!$S$7:$S$3006,$K106-3000)))</f>
      </c>
      <c r="I106" s="187">
        <f>IF($K106="","",I105+N(G106)-N(H106))</f>
      </c>
      <c r="J106" s="213">
        <f>IF($K106="","",IF($K106&lt;=3000,INDEX(出库明细!$H$4:$H$3003,$K106)&amp;"",INDEX(资金台帐!$E$7:$E$3006,$K106-3000)&amp;""))</f>
      </c>
      <c r="K106" s="78">
        <f>IFERROR(MATCH(SMALL(_辅助!$F$4:$F$6003,67),_辅助!$F$4:$F$6003,0),"")</f>
      </c>
    </row>
    <row r="107">
      <c r="A107" s="141">
        <f>IF($K107="","",68)</f>
      </c>
      <c r="B107" s="140">
        <f>IF($K107="","",IF($K107&lt;=3000,INDEX(出库明细!$B$4:$B$3003,$K107),INDEX(资金台帐!$B$7:$B$3006,$K107-3000)))</f>
      </c>
      <c r="C107" s="141">
        <f>IF($K107="","",IF($K107&lt;=3000,"出库领用",IF(INDEX(资金台帐!$S$7:$S$3006,$K107-3000)&gt;=0,"收款","退款")&amp;"（"&amp;INDEX(资金台帐!$C$7:$C$3006,$K107-3000)&amp;"）"))</f>
      </c>
      <c r="D107" s="141">
        <f>IF($K107="","",IF($K107&lt;=3000,INDEX(出库明细!$D$4:$D$3003,$K107)&amp;"",""))</f>
      </c>
      <c r="E107" s="148">
        <f>IF($K107="","",IF($K107&lt;=3000,INDEX(出库明细!$E$4:$E$3003,$K107),""))</f>
      </c>
      <c r="F107" s="149">
        <f>IF($K107="","",IF($K107&lt;=3000,INDEX(出库明细!$F$4:$F$3003,$K107),""))</f>
      </c>
      <c r="G107" s="186">
        <f>IF($K107="","",IF($K107&lt;=3000,N(INDEX(出库明细!$G$4:$G$3003,$K107)),""))</f>
      </c>
      <c r="H107" s="186">
        <f>IF($K107="","",IF($K107&lt;=3000,"",INDEX(资金台帐!$S$7:$S$3006,$K107-3000)))</f>
      </c>
      <c r="I107" s="187">
        <f>IF($K107="","",I106+N(G107)-N(H107))</f>
      </c>
      <c r="J107" s="213">
        <f>IF($K107="","",IF($K107&lt;=3000,INDEX(出库明细!$H$4:$H$3003,$K107)&amp;"",INDEX(资金台帐!$E$7:$E$3006,$K107-3000)&amp;""))</f>
      </c>
      <c r="K107" s="78">
        <f>IFERROR(MATCH(SMALL(_辅助!$F$4:$F$6003,68),_辅助!$F$4:$F$6003,0),"")</f>
      </c>
    </row>
    <row r="108">
      <c r="A108" s="141">
        <f>IF($K108="","",69)</f>
      </c>
      <c r="B108" s="140">
        <f>IF($K108="","",IF($K108&lt;=3000,INDEX(出库明细!$B$4:$B$3003,$K108),INDEX(资金台帐!$B$7:$B$3006,$K108-3000)))</f>
      </c>
      <c r="C108" s="141">
        <f>IF($K108="","",IF($K108&lt;=3000,"出库领用",IF(INDEX(资金台帐!$S$7:$S$3006,$K108-3000)&gt;=0,"收款","退款")&amp;"（"&amp;INDEX(资金台帐!$C$7:$C$3006,$K108-3000)&amp;"）"))</f>
      </c>
      <c r="D108" s="141">
        <f>IF($K108="","",IF($K108&lt;=3000,INDEX(出库明细!$D$4:$D$3003,$K108)&amp;"",""))</f>
      </c>
      <c r="E108" s="148">
        <f>IF($K108="","",IF($K108&lt;=3000,INDEX(出库明细!$E$4:$E$3003,$K108),""))</f>
      </c>
      <c r="F108" s="149">
        <f>IF($K108="","",IF($K108&lt;=3000,INDEX(出库明细!$F$4:$F$3003,$K108),""))</f>
      </c>
      <c r="G108" s="186">
        <f>IF($K108="","",IF($K108&lt;=3000,N(INDEX(出库明细!$G$4:$G$3003,$K108)),""))</f>
      </c>
      <c r="H108" s="186">
        <f>IF($K108="","",IF($K108&lt;=3000,"",INDEX(资金台帐!$S$7:$S$3006,$K108-3000)))</f>
      </c>
      <c r="I108" s="187">
        <f>IF($K108="","",I107+N(G108)-N(H108))</f>
      </c>
      <c r="J108" s="213">
        <f>IF($K108="","",IF($K108&lt;=3000,INDEX(出库明细!$H$4:$H$3003,$K108)&amp;"",INDEX(资金台帐!$E$7:$E$3006,$K108-3000)&amp;""))</f>
      </c>
      <c r="K108" s="78">
        <f>IFERROR(MATCH(SMALL(_辅助!$F$4:$F$6003,69),_辅助!$F$4:$F$6003,0),"")</f>
      </c>
    </row>
    <row r="109">
      <c r="A109" s="141">
        <f>IF($K109="","",70)</f>
      </c>
      <c r="B109" s="140">
        <f>IF($K109="","",IF($K109&lt;=3000,INDEX(出库明细!$B$4:$B$3003,$K109),INDEX(资金台帐!$B$7:$B$3006,$K109-3000)))</f>
      </c>
      <c r="C109" s="141">
        <f>IF($K109="","",IF($K109&lt;=3000,"出库领用",IF(INDEX(资金台帐!$S$7:$S$3006,$K109-3000)&gt;=0,"收款","退款")&amp;"（"&amp;INDEX(资金台帐!$C$7:$C$3006,$K109-3000)&amp;"）"))</f>
      </c>
      <c r="D109" s="141">
        <f>IF($K109="","",IF($K109&lt;=3000,INDEX(出库明细!$D$4:$D$3003,$K109)&amp;"",""))</f>
      </c>
      <c r="E109" s="148">
        <f>IF($K109="","",IF($K109&lt;=3000,INDEX(出库明细!$E$4:$E$3003,$K109),""))</f>
      </c>
      <c r="F109" s="149">
        <f>IF($K109="","",IF($K109&lt;=3000,INDEX(出库明细!$F$4:$F$3003,$K109),""))</f>
      </c>
      <c r="G109" s="186">
        <f>IF($K109="","",IF($K109&lt;=3000,N(INDEX(出库明细!$G$4:$G$3003,$K109)),""))</f>
      </c>
      <c r="H109" s="186">
        <f>IF($K109="","",IF($K109&lt;=3000,"",INDEX(资金台帐!$S$7:$S$3006,$K109-3000)))</f>
      </c>
      <c r="I109" s="187">
        <f>IF($K109="","",I108+N(G109)-N(H109))</f>
      </c>
      <c r="J109" s="213">
        <f>IF($K109="","",IF($K109&lt;=3000,INDEX(出库明细!$H$4:$H$3003,$K109)&amp;"",INDEX(资金台帐!$E$7:$E$3006,$K109-3000)&amp;""))</f>
      </c>
      <c r="K109" s="78">
        <f>IFERROR(MATCH(SMALL(_辅助!$F$4:$F$6003,70),_辅助!$F$4:$F$6003,0),"")</f>
      </c>
    </row>
    <row r="110">
      <c r="A110" s="141">
        <f>IF($K110="","",71)</f>
      </c>
      <c r="B110" s="140">
        <f>IF($K110="","",IF($K110&lt;=3000,INDEX(出库明细!$B$4:$B$3003,$K110),INDEX(资金台帐!$B$7:$B$3006,$K110-3000)))</f>
      </c>
      <c r="C110" s="141">
        <f>IF($K110="","",IF($K110&lt;=3000,"出库领用",IF(INDEX(资金台帐!$S$7:$S$3006,$K110-3000)&gt;=0,"收款","退款")&amp;"（"&amp;INDEX(资金台帐!$C$7:$C$3006,$K110-3000)&amp;"）"))</f>
      </c>
      <c r="D110" s="141">
        <f>IF($K110="","",IF($K110&lt;=3000,INDEX(出库明细!$D$4:$D$3003,$K110)&amp;"",""))</f>
      </c>
      <c r="E110" s="148">
        <f>IF($K110="","",IF($K110&lt;=3000,INDEX(出库明细!$E$4:$E$3003,$K110),""))</f>
      </c>
      <c r="F110" s="149">
        <f>IF($K110="","",IF($K110&lt;=3000,INDEX(出库明细!$F$4:$F$3003,$K110),""))</f>
      </c>
      <c r="G110" s="186">
        <f>IF($K110="","",IF($K110&lt;=3000,N(INDEX(出库明细!$G$4:$G$3003,$K110)),""))</f>
      </c>
      <c r="H110" s="186">
        <f>IF($K110="","",IF($K110&lt;=3000,"",INDEX(资金台帐!$S$7:$S$3006,$K110-3000)))</f>
      </c>
      <c r="I110" s="187">
        <f>IF($K110="","",I109+N(G110)-N(H110))</f>
      </c>
      <c r="J110" s="213">
        <f>IF($K110="","",IF($K110&lt;=3000,INDEX(出库明细!$H$4:$H$3003,$K110)&amp;"",INDEX(资金台帐!$E$7:$E$3006,$K110-3000)&amp;""))</f>
      </c>
      <c r="K110" s="78">
        <f>IFERROR(MATCH(SMALL(_辅助!$F$4:$F$6003,71),_辅助!$F$4:$F$6003,0),"")</f>
      </c>
    </row>
    <row r="111">
      <c r="A111" s="141">
        <f>IF($K111="","",72)</f>
      </c>
      <c r="B111" s="140">
        <f>IF($K111="","",IF($K111&lt;=3000,INDEX(出库明细!$B$4:$B$3003,$K111),INDEX(资金台帐!$B$7:$B$3006,$K111-3000)))</f>
      </c>
      <c r="C111" s="141">
        <f>IF($K111="","",IF($K111&lt;=3000,"出库领用",IF(INDEX(资金台帐!$S$7:$S$3006,$K111-3000)&gt;=0,"收款","退款")&amp;"（"&amp;INDEX(资金台帐!$C$7:$C$3006,$K111-3000)&amp;"）"))</f>
      </c>
      <c r="D111" s="141">
        <f>IF($K111="","",IF($K111&lt;=3000,INDEX(出库明细!$D$4:$D$3003,$K111)&amp;"",""))</f>
      </c>
      <c r="E111" s="148">
        <f>IF($K111="","",IF($K111&lt;=3000,INDEX(出库明细!$E$4:$E$3003,$K111),""))</f>
      </c>
      <c r="F111" s="149">
        <f>IF($K111="","",IF($K111&lt;=3000,INDEX(出库明细!$F$4:$F$3003,$K111),""))</f>
      </c>
      <c r="G111" s="186">
        <f>IF($K111="","",IF($K111&lt;=3000,N(INDEX(出库明细!$G$4:$G$3003,$K111)),""))</f>
      </c>
      <c r="H111" s="186">
        <f>IF($K111="","",IF($K111&lt;=3000,"",INDEX(资金台帐!$S$7:$S$3006,$K111-3000)))</f>
      </c>
      <c r="I111" s="187">
        <f>IF($K111="","",I110+N(G111)-N(H111))</f>
      </c>
      <c r="J111" s="213">
        <f>IF($K111="","",IF($K111&lt;=3000,INDEX(出库明细!$H$4:$H$3003,$K111)&amp;"",INDEX(资金台帐!$E$7:$E$3006,$K111-3000)&amp;""))</f>
      </c>
      <c r="K111" s="78">
        <f>IFERROR(MATCH(SMALL(_辅助!$F$4:$F$6003,72),_辅助!$F$4:$F$6003,0),"")</f>
      </c>
    </row>
    <row r="112">
      <c r="A112" s="141">
        <f>IF($K112="","",73)</f>
      </c>
      <c r="B112" s="140">
        <f>IF($K112="","",IF($K112&lt;=3000,INDEX(出库明细!$B$4:$B$3003,$K112),INDEX(资金台帐!$B$7:$B$3006,$K112-3000)))</f>
      </c>
      <c r="C112" s="141">
        <f>IF($K112="","",IF($K112&lt;=3000,"出库领用",IF(INDEX(资金台帐!$S$7:$S$3006,$K112-3000)&gt;=0,"收款","退款")&amp;"（"&amp;INDEX(资金台帐!$C$7:$C$3006,$K112-3000)&amp;"）"))</f>
      </c>
      <c r="D112" s="141">
        <f>IF($K112="","",IF($K112&lt;=3000,INDEX(出库明细!$D$4:$D$3003,$K112)&amp;"",""))</f>
      </c>
      <c r="E112" s="148">
        <f>IF($K112="","",IF($K112&lt;=3000,INDEX(出库明细!$E$4:$E$3003,$K112),""))</f>
      </c>
      <c r="F112" s="149">
        <f>IF($K112="","",IF($K112&lt;=3000,INDEX(出库明细!$F$4:$F$3003,$K112),""))</f>
      </c>
      <c r="G112" s="186">
        <f>IF($K112="","",IF($K112&lt;=3000,N(INDEX(出库明细!$G$4:$G$3003,$K112)),""))</f>
      </c>
      <c r="H112" s="186">
        <f>IF($K112="","",IF($K112&lt;=3000,"",INDEX(资金台帐!$S$7:$S$3006,$K112-3000)))</f>
      </c>
      <c r="I112" s="187">
        <f>IF($K112="","",I111+N(G112)-N(H112))</f>
      </c>
      <c r="J112" s="213">
        <f>IF($K112="","",IF($K112&lt;=3000,INDEX(出库明细!$H$4:$H$3003,$K112)&amp;"",INDEX(资金台帐!$E$7:$E$3006,$K112-3000)&amp;""))</f>
      </c>
      <c r="K112" s="78">
        <f>IFERROR(MATCH(SMALL(_辅助!$F$4:$F$6003,73),_辅助!$F$4:$F$6003,0),"")</f>
      </c>
    </row>
    <row r="113">
      <c r="A113" s="141">
        <f>IF($K113="","",74)</f>
      </c>
      <c r="B113" s="140">
        <f>IF($K113="","",IF($K113&lt;=3000,INDEX(出库明细!$B$4:$B$3003,$K113),INDEX(资金台帐!$B$7:$B$3006,$K113-3000)))</f>
      </c>
      <c r="C113" s="141">
        <f>IF($K113="","",IF($K113&lt;=3000,"出库领用",IF(INDEX(资金台帐!$S$7:$S$3006,$K113-3000)&gt;=0,"收款","退款")&amp;"（"&amp;INDEX(资金台帐!$C$7:$C$3006,$K113-3000)&amp;"）"))</f>
      </c>
      <c r="D113" s="141">
        <f>IF($K113="","",IF($K113&lt;=3000,INDEX(出库明细!$D$4:$D$3003,$K113)&amp;"",""))</f>
      </c>
      <c r="E113" s="148">
        <f>IF($K113="","",IF($K113&lt;=3000,INDEX(出库明细!$E$4:$E$3003,$K113),""))</f>
      </c>
      <c r="F113" s="149">
        <f>IF($K113="","",IF($K113&lt;=3000,INDEX(出库明细!$F$4:$F$3003,$K113),""))</f>
      </c>
      <c r="G113" s="186">
        <f>IF($K113="","",IF($K113&lt;=3000,N(INDEX(出库明细!$G$4:$G$3003,$K113)),""))</f>
      </c>
      <c r="H113" s="186">
        <f>IF($K113="","",IF($K113&lt;=3000,"",INDEX(资金台帐!$S$7:$S$3006,$K113-3000)))</f>
      </c>
      <c r="I113" s="187">
        <f>IF($K113="","",I112+N(G113)-N(H113))</f>
      </c>
      <c r="J113" s="213">
        <f>IF($K113="","",IF($K113&lt;=3000,INDEX(出库明细!$H$4:$H$3003,$K113)&amp;"",INDEX(资金台帐!$E$7:$E$3006,$K113-3000)&amp;""))</f>
      </c>
      <c r="K113" s="78">
        <f>IFERROR(MATCH(SMALL(_辅助!$F$4:$F$6003,74),_辅助!$F$4:$F$6003,0),"")</f>
      </c>
    </row>
    <row r="114">
      <c r="A114" s="141">
        <f>IF($K114="","",75)</f>
      </c>
      <c r="B114" s="140">
        <f>IF($K114="","",IF($K114&lt;=3000,INDEX(出库明细!$B$4:$B$3003,$K114),INDEX(资金台帐!$B$7:$B$3006,$K114-3000)))</f>
      </c>
      <c r="C114" s="141">
        <f>IF($K114="","",IF($K114&lt;=3000,"出库领用",IF(INDEX(资金台帐!$S$7:$S$3006,$K114-3000)&gt;=0,"收款","退款")&amp;"（"&amp;INDEX(资金台帐!$C$7:$C$3006,$K114-3000)&amp;"）"))</f>
      </c>
      <c r="D114" s="141">
        <f>IF($K114="","",IF($K114&lt;=3000,INDEX(出库明细!$D$4:$D$3003,$K114)&amp;"",""))</f>
      </c>
      <c r="E114" s="148">
        <f>IF($K114="","",IF($K114&lt;=3000,INDEX(出库明细!$E$4:$E$3003,$K114),""))</f>
      </c>
      <c r="F114" s="149">
        <f>IF($K114="","",IF($K114&lt;=3000,INDEX(出库明细!$F$4:$F$3003,$K114),""))</f>
      </c>
      <c r="G114" s="186">
        <f>IF($K114="","",IF($K114&lt;=3000,N(INDEX(出库明细!$G$4:$G$3003,$K114)),""))</f>
      </c>
      <c r="H114" s="186">
        <f>IF($K114="","",IF($K114&lt;=3000,"",INDEX(资金台帐!$S$7:$S$3006,$K114-3000)))</f>
      </c>
      <c r="I114" s="187">
        <f>IF($K114="","",I113+N(G114)-N(H114))</f>
      </c>
      <c r="J114" s="213">
        <f>IF($K114="","",IF($K114&lt;=3000,INDEX(出库明细!$H$4:$H$3003,$K114)&amp;"",INDEX(资金台帐!$E$7:$E$3006,$K114-3000)&amp;""))</f>
      </c>
      <c r="K114" s="78">
        <f>IFERROR(MATCH(SMALL(_辅助!$F$4:$F$6003,75),_辅助!$F$4:$F$6003,0),"")</f>
      </c>
    </row>
    <row r="115">
      <c r="A115" s="141">
        <f>IF($K115="","",76)</f>
      </c>
      <c r="B115" s="140">
        <f>IF($K115="","",IF($K115&lt;=3000,INDEX(出库明细!$B$4:$B$3003,$K115),INDEX(资金台帐!$B$7:$B$3006,$K115-3000)))</f>
      </c>
      <c r="C115" s="141">
        <f>IF($K115="","",IF($K115&lt;=3000,"出库领用",IF(INDEX(资金台帐!$S$7:$S$3006,$K115-3000)&gt;=0,"收款","退款")&amp;"（"&amp;INDEX(资金台帐!$C$7:$C$3006,$K115-3000)&amp;"）"))</f>
      </c>
      <c r="D115" s="141">
        <f>IF($K115="","",IF($K115&lt;=3000,INDEX(出库明细!$D$4:$D$3003,$K115)&amp;"",""))</f>
      </c>
      <c r="E115" s="148">
        <f>IF($K115="","",IF($K115&lt;=3000,INDEX(出库明细!$E$4:$E$3003,$K115),""))</f>
      </c>
      <c r="F115" s="149">
        <f>IF($K115="","",IF($K115&lt;=3000,INDEX(出库明细!$F$4:$F$3003,$K115),""))</f>
      </c>
      <c r="G115" s="186">
        <f>IF($K115="","",IF($K115&lt;=3000,N(INDEX(出库明细!$G$4:$G$3003,$K115)),""))</f>
      </c>
      <c r="H115" s="186">
        <f>IF($K115="","",IF($K115&lt;=3000,"",INDEX(资金台帐!$S$7:$S$3006,$K115-3000)))</f>
      </c>
      <c r="I115" s="187">
        <f>IF($K115="","",I114+N(G115)-N(H115))</f>
      </c>
      <c r="J115" s="213">
        <f>IF($K115="","",IF($K115&lt;=3000,INDEX(出库明细!$H$4:$H$3003,$K115)&amp;"",INDEX(资金台帐!$E$7:$E$3006,$K115-3000)&amp;""))</f>
      </c>
      <c r="K115" s="78">
        <f>IFERROR(MATCH(SMALL(_辅助!$F$4:$F$6003,76),_辅助!$F$4:$F$6003,0),"")</f>
      </c>
    </row>
    <row r="116">
      <c r="A116" s="141">
        <f>IF($K116="","",77)</f>
      </c>
      <c r="B116" s="140">
        <f>IF($K116="","",IF($K116&lt;=3000,INDEX(出库明细!$B$4:$B$3003,$K116),INDEX(资金台帐!$B$7:$B$3006,$K116-3000)))</f>
      </c>
      <c r="C116" s="141">
        <f>IF($K116="","",IF($K116&lt;=3000,"出库领用",IF(INDEX(资金台帐!$S$7:$S$3006,$K116-3000)&gt;=0,"收款","退款")&amp;"（"&amp;INDEX(资金台帐!$C$7:$C$3006,$K116-3000)&amp;"）"))</f>
      </c>
      <c r="D116" s="141">
        <f>IF($K116="","",IF($K116&lt;=3000,INDEX(出库明细!$D$4:$D$3003,$K116)&amp;"",""))</f>
      </c>
      <c r="E116" s="148">
        <f>IF($K116="","",IF($K116&lt;=3000,INDEX(出库明细!$E$4:$E$3003,$K116),""))</f>
      </c>
      <c r="F116" s="149">
        <f>IF($K116="","",IF($K116&lt;=3000,INDEX(出库明细!$F$4:$F$3003,$K116),""))</f>
      </c>
      <c r="G116" s="186">
        <f>IF($K116="","",IF($K116&lt;=3000,N(INDEX(出库明细!$G$4:$G$3003,$K116)),""))</f>
      </c>
      <c r="H116" s="186">
        <f>IF($K116="","",IF($K116&lt;=3000,"",INDEX(资金台帐!$S$7:$S$3006,$K116-3000)))</f>
      </c>
      <c r="I116" s="187">
        <f>IF($K116="","",I115+N(G116)-N(H116))</f>
      </c>
      <c r="J116" s="213">
        <f>IF($K116="","",IF($K116&lt;=3000,INDEX(出库明细!$H$4:$H$3003,$K116)&amp;"",INDEX(资金台帐!$E$7:$E$3006,$K116-3000)&amp;""))</f>
      </c>
      <c r="K116" s="78">
        <f>IFERROR(MATCH(SMALL(_辅助!$F$4:$F$6003,77),_辅助!$F$4:$F$6003,0),"")</f>
      </c>
    </row>
    <row r="117">
      <c r="A117" s="141">
        <f>IF($K117="","",78)</f>
      </c>
      <c r="B117" s="140">
        <f>IF($K117="","",IF($K117&lt;=3000,INDEX(出库明细!$B$4:$B$3003,$K117),INDEX(资金台帐!$B$7:$B$3006,$K117-3000)))</f>
      </c>
      <c r="C117" s="141">
        <f>IF($K117="","",IF($K117&lt;=3000,"出库领用",IF(INDEX(资金台帐!$S$7:$S$3006,$K117-3000)&gt;=0,"收款","退款")&amp;"（"&amp;INDEX(资金台帐!$C$7:$C$3006,$K117-3000)&amp;"）"))</f>
      </c>
      <c r="D117" s="141">
        <f>IF($K117="","",IF($K117&lt;=3000,INDEX(出库明细!$D$4:$D$3003,$K117)&amp;"",""))</f>
      </c>
      <c r="E117" s="148">
        <f>IF($K117="","",IF($K117&lt;=3000,INDEX(出库明细!$E$4:$E$3003,$K117),""))</f>
      </c>
      <c r="F117" s="149">
        <f>IF($K117="","",IF($K117&lt;=3000,INDEX(出库明细!$F$4:$F$3003,$K117),""))</f>
      </c>
      <c r="G117" s="186">
        <f>IF($K117="","",IF($K117&lt;=3000,N(INDEX(出库明细!$G$4:$G$3003,$K117)),""))</f>
      </c>
      <c r="H117" s="186">
        <f>IF($K117="","",IF($K117&lt;=3000,"",INDEX(资金台帐!$S$7:$S$3006,$K117-3000)))</f>
      </c>
      <c r="I117" s="187">
        <f>IF($K117="","",I116+N(G117)-N(H117))</f>
      </c>
      <c r="J117" s="213">
        <f>IF($K117="","",IF($K117&lt;=3000,INDEX(出库明细!$H$4:$H$3003,$K117)&amp;"",INDEX(资金台帐!$E$7:$E$3006,$K117-3000)&amp;""))</f>
      </c>
      <c r="K117" s="78">
        <f>IFERROR(MATCH(SMALL(_辅助!$F$4:$F$6003,78),_辅助!$F$4:$F$6003,0),"")</f>
      </c>
    </row>
    <row r="118">
      <c r="A118" s="141">
        <f>IF($K118="","",79)</f>
      </c>
      <c r="B118" s="140">
        <f>IF($K118="","",IF($K118&lt;=3000,INDEX(出库明细!$B$4:$B$3003,$K118),INDEX(资金台帐!$B$7:$B$3006,$K118-3000)))</f>
      </c>
      <c r="C118" s="141">
        <f>IF($K118="","",IF($K118&lt;=3000,"出库领用",IF(INDEX(资金台帐!$S$7:$S$3006,$K118-3000)&gt;=0,"收款","退款")&amp;"（"&amp;INDEX(资金台帐!$C$7:$C$3006,$K118-3000)&amp;"）"))</f>
      </c>
      <c r="D118" s="141">
        <f>IF($K118="","",IF($K118&lt;=3000,INDEX(出库明细!$D$4:$D$3003,$K118)&amp;"",""))</f>
      </c>
      <c r="E118" s="148">
        <f>IF($K118="","",IF($K118&lt;=3000,INDEX(出库明细!$E$4:$E$3003,$K118),""))</f>
      </c>
      <c r="F118" s="149">
        <f>IF($K118="","",IF($K118&lt;=3000,INDEX(出库明细!$F$4:$F$3003,$K118),""))</f>
      </c>
      <c r="G118" s="186">
        <f>IF($K118="","",IF($K118&lt;=3000,N(INDEX(出库明细!$G$4:$G$3003,$K118)),""))</f>
      </c>
      <c r="H118" s="186">
        <f>IF($K118="","",IF($K118&lt;=3000,"",INDEX(资金台帐!$S$7:$S$3006,$K118-3000)))</f>
      </c>
      <c r="I118" s="187">
        <f>IF($K118="","",I117+N(G118)-N(H118))</f>
      </c>
      <c r="J118" s="213">
        <f>IF($K118="","",IF($K118&lt;=3000,INDEX(出库明细!$H$4:$H$3003,$K118)&amp;"",INDEX(资金台帐!$E$7:$E$3006,$K118-3000)&amp;""))</f>
      </c>
      <c r="K118" s="78">
        <f>IFERROR(MATCH(SMALL(_辅助!$F$4:$F$6003,79),_辅助!$F$4:$F$6003,0),"")</f>
      </c>
    </row>
    <row r="119">
      <c r="A119" s="141">
        <f>IF($K119="","",80)</f>
      </c>
      <c r="B119" s="140">
        <f>IF($K119="","",IF($K119&lt;=3000,INDEX(出库明细!$B$4:$B$3003,$K119),INDEX(资金台帐!$B$7:$B$3006,$K119-3000)))</f>
      </c>
      <c r="C119" s="141">
        <f>IF($K119="","",IF($K119&lt;=3000,"出库领用",IF(INDEX(资金台帐!$S$7:$S$3006,$K119-3000)&gt;=0,"收款","退款")&amp;"（"&amp;INDEX(资金台帐!$C$7:$C$3006,$K119-3000)&amp;"）"))</f>
      </c>
      <c r="D119" s="141">
        <f>IF($K119="","",IF($K119&lt;=3000,INDEX(出库明细!$D$4:$D$3003,$K119)&amp;"",""))</f>
      </c>
      <c r="E119" s="148">
        <f>IF($K119="","",IF($K119&lt;=3000,INDEX(出库明细!$E$4:$E$3003,$K119),""))</f>
      </c>
      <c r="F119" s="149">
        <f>IF($K119="","",IF($K119&lt;=3000,INDEX(出库明细!$F$4:$F$3003,$K119),""))</f>
      </c>
      <c r="G119" s="186">
        <f>IF($K119="","",IF($K119&lt;=3000,N(INDEX(出库明细!$G$4:$G$3003,$K119)),""))</f>
      </c>
      <c r="H119" s="186">
        <f>IF($K119="","",IF($K119&lt;=3000,"",INDEX(资金台帐!$S$7:$S$3006,$K119-3000)))</f>
      </c>
      <c r="I119" s="187">
        <f>IF($K119="","",I118+N(G119)-N(H119))</f>
      </c>
      <c r="J119" s="213">
        <f>IF($K119="","",IF($K119&lt;=3000,INDEX(出库明细!$H$4:$H$3003,$K119)&amp;"",INDEX(资金台帐!$E$7:$E$3006,$K119-3000)&amp;""))</f>
      </c>
      <c r="K119" s="78">
        <f>IFERROR(MATCH(SMALL(_辅助!$F$4:$F$6003,80),_辅助!$F$4:$F$6003,0),"")</f>
      </c>
    </row>
    <row r="120">
      <c r="A120" s="141">
        <f>IF($K120="","",81)</f>
      </c>
      <c r="B120" s="140">
        <f>IF($K120="","",IF($K120&lt;=3000,INDEX(出库明细!$B$4:$B$3003,$K120),INDEX(资金台帐!$B$7:$B$3006,$K120-3000)))</f>
      </c>
      <c r="C120" s="141">
        <f>IF($K120="","",IF($K120&lt;=3000,"出库领用",IF(INDEX(资金台帐!$S$7:$S$3006,$K120-3000)&gt;=0,"收款","退款")&amp;"（"&amp;INDEX(资金台帐!$C$7:$C$3006,$K120-3000)&amp;"）"))</f>
      </c>
      <c r="D120" s="141">
        <f>IF($K120="","",IF($K120&lt;=3000,INDEX(出库明细!$D$4:$D$3003,$K120)&amp;"",""))</f>
      </c>
      <c r="E120" s="148">
        <f>IF($K120="","",IF($K120&lt;=3000,INDEX(出库明细!$E$4:$E$3003,$K120),""))</f>
      </c>
      <c r="F120" s="149">
        <f>IF($K120="","",IF($K120&lt;=3000,INDEX(出库明细!$F$4:$F$3003,$K120),""))</f>
      </c>
      <c r="G120" s="186">
        <f>IF($K120="","",IF($K120&lt;=3000,N(INDEX(出库明细!$G$4:$G$3003,$K120)),""))</f>
      </c>
      <c r="H120" s="186">
        <f>IF($K120="","",IF($K120&lt;=3000,"",INDEX(资金台帐!$S$7:$S$3006,$K120-3000)))</f>
      </c>
      <c r="I120" s="187">
        <f>IF($K120="","",I119+N(G120)-N(H120))</f>
      </c>
      <c r="J120" s="213">
        <f>IF($K120="","",IF($K120&lt;=3000,INDEX(出库明细!$H$4:$H$3003,$K120)&amp;"",INDEX(资金台帐!$E$7:$E$3006,$K120-3000)&amp;""))</f>
      </c>
      <c r="K120" s="78">
        <f>IFERROR(MATCH(SMALL(_辅助!$F$4:$F$6003,81),_辅助!$F$4:$F$6003,0),"")</f>
      </c>
    </row>
    <row r="121">
      <c r="A121" s="141">
        <f>IF($K121="","",82)</f>
      </c>
      <c r="B121" s="140">
        <f>IF($K121="","",IF($K121&lt;=3000,INDEX(出库明细!$B$4:$B$3003,$K121),INDEX(资金台帐!$B$7:$B$3006,$K121-3000)))</f>
      </c>
      <c r="C121" s="141">
        <f>IF($K121="","",IF($K121&lt;=3000,"出库领用",IF(INDEX(资金台帐!$S$7:$S$3006,$K121-3000)&gt;=0,"收款","退款")&amp;"（"&amp;INDEX(资金台帐!$C$7:$C$3006,$K121-3000)&amp;"）"))</f>
      </c>
      <c r="D121" s="141">
        <f>IF($K121="","",IF($K121&lt;=3000,INDEX(出库明细!$D$4:$D$3003,$K121)&amp;"",""))</f>
      </c>
      <c r="E121" s="148">
        <f>IF($K121="","",IF($K121&lt;=3000,INDEX(出库明细!$E$4:$E$3003,$K121),""))</f>
      </c>
      <c r="F121" s="149">
        <f>IF($K121="","",IF($K121&lt;=3000,INDEX(出库明细!$F$4:$F$3003,$K121),""))</f>
      </c>
      <c r="G121" s="186">
        <f>IF($K121="","",IF($K121&lt;=3000,N(INDEX(出库明细!$G$4:$G$3003,$K121)),""))</f>
      </c>
      <c r="H121" s="186">
        <f>IF($K121="","",IF($K121&lt;=3000,"",INDEX(资金台帐!$S$7:$S$3006,$K121-3000)))</f>
      </c>
      <c r="I121" s="187">
        <f>IF($K121="","",I120+N(G121)-N(H121))</f>
      </c>
      <c r="J121" s="213">
        <f>IF($K121="","",IF($K121&lt;=3000,INDEX(出库明细!$H$4:$H$3003,$K121)&amp;"",INDEX(资金台帐!$E$7:$E$3006,$K121-3000)&amp;""))</f>
      </c>
      <c r="K121" s="78">
        <f>IFERROR(MATCH(SMALL(_辅助!$F$4:$F$6003,82),_辅助!$F$4:$F$6003,0),"")</f>
      </c>
    </row>
    <row r="122">
      <c r="A122" s="141">
        <f>IF($K122="","",83)</f>
      </c>
      <c r="B122" s="140">
        <f>IF($K122="","",IF($K122&lt;=3000,INDEX(出库明细!$B$4:$B$3003,$K122),INDEX(资金台帐!$B$7:$B$3006,$K122-3000)))</f>
      </c>
      <c r="C122" s="141">
        <f>IF($K122="","",IF($K122&lt;=3000,"出库领用",IF(INDEX(资金台帐!$S$7:$S$3006,$K122-3000)&gt;=0,"收款","退款")&amp;"（"&amp;INDEX(资金台帐!$C$7:$C$3006,$K122-3000)&amp;"）"))</f>
      </c>
      <c r="D122" s="141">
        <f>IF($K122="","",IF($K122&lt;=3000,INDEX(出库明细!$D$4:$D$3003,$K122)&amp;"",""))</f>
      </c>
      <c r="E122" s="148">
        <f>IF($K122="","",IF($K122&lt;=3000,INDEX(出库明细!$E$4:$E$3003,$K122),""))</f>
      </c>
      <c r="F122" s="149">
        <f>IF($K122="","",IF($K122&lt;=3000,INDEX(出库明细!$F$4:$F$3003,$K122),""))</f>
      </c>
      <c r="G122" s="186">
        <f>IF($K122="","",IF($K122&lt;=3000,N(INDEX(出库明细!$G$4:$G$3003,$K122)),""))</f>
      </c>
      <c r="H122" s="186">
        <f>IF($K122="","",IF($K122&lt;=3000,"",INDEX(资金台帐!$S$7:$S$3006,$K122-3000)))</f>
      </c>
      <c r="I122" s="187">
        <f>IF($K122="","",I121+N(G122)-N(H122))</f>
      </c>
      <c r="J122" s="213">
        <f>IF($K122="","",IF($K122&lt;=3000,INDEX(出库明细!$H$4:$H$3003,$K122)&amp;"",INDEX(资金台帐!$E$7:$E$3006,$K122-3000)&amp;""))</f>
      </c>
      <c r="K122" s="78">
        <f>IFERROR(MATCH(SMALL(_辅助!$F$4:$F$6003,83),_辅助!$F$4:$F$6003,0),"")</f>
      </c>
    </row>
    <row r="123">
      <c r="A123" s="141">
        <f>IF($K123="","",84)</f>
      </c>
      <c r="B123" s="140">
        <f>IF($K123="","",IF($K123&lt;=3000,INDEX(出库明细!$B$4:$B$3003,$K123),INDEX(资金台帐!$B$7:$B$3006,$K123-3000)))</f>
      </c>
      <c r="C123" s="141">
        <f>IF($K123="","",IF($K123&lt;=3000,"出库领用",IF(INDEX(资金台帐!$S$7:$S$3006,$K123-3000)&gt;=0,"收款","退款")&amp;"（"&amp;INDEX(资金台帐!$C$7:$C$3006,$K123-3000)&amp;"）"))</f>
      </c>
      <c r="D123" s="141">
        <f>IF($K123="","",IF($K123&lt;=3000,INDEX(出库明细!$D$4:$D$3003,$K123)&amp;"",""))</f>
      </c>
      <c r="E123" s="148">
        <f>IF($K123="","",IF($K123&lt;=3000,INDEX(出库明细!$E$4:$E$3003,$K123),""))</f>
      </c>
      <c r="F123" s="149">
        <f>IF($K123="","",IF($K123&lt;=3000,INDEX(出库明细!$F$4:$F$3003,$K123),""))</f>
      </c>
      <c r="G123" s="186">
        <f>IF($K123="","",IF($K123&lt;=3000,N(INDEX(出库明细!$G$4:$G$3003,$K123)),""))</f>
      </c>
      <c r="H123" s="186">
        <f>IF($K123="","",IF($K123&lt;=3000,"",INDEX(资金台帐!$S$7:$S$3006,$K123-3000)))</f>
      </c>
      <c r="I123" s="187">
        <f>IF($K123="","",I122+N(G123)-N(H123))</f>
      </c>
      <c r="J123" s="213">
        <f>IF($K123="","",IF($K123&lt;=3000,INDEX(出库明细!$H$4:$H$3003,$K123)&amp;"",INDEX(资金台帐!$E$7:$E$3006,$K123-3000)&amp;""))</f>
      </c>
      <c r="K123" s="78">
        <f>IFERROR(MATCH(SMALL(_辅助!$F$4:$F$6003,84),_辅助!$F$4:$F$6003,0),"")</f>
      </c>
    </row>
    <row r="124">
      <c r="A124" s="141">
        <f>IF($K124="","",85)</f>
      </c>
      <c r="B124" s="140">
        <f>IF($K124="","",IF($K124&lt;=3000,INDEX(出库明细!$B$4:$B$3003,$K124),INDEX(资金台帐!$B$7:$B$3006,$K124-3000)))</f>
      </c>
      <c r="C124" s="141">
        <f>IF($K124="","",IF($K124&lt;=3000,"出库领用",IF(INDEX(资金台帐!$S$7:$S$3006,$K124-3000)&gt;=0,"收款","退款")&amp;"（"&amp;INDEX(资金台帐!$C$7:$C$3006,$K124-3000)&amp;"）"))</f>
      </c>
      <c r="D124" s="141">
        <f>IF($K124="","",IF($K124&lt;=3000,INDEX(出库明细!$D$4:$D$3003,$K124)&amp;"",""))</f>
      </c>
      <c r="E124" s="148">
        <f>IF($K124="","",IF($K124&lt;=3000,INDEX(出库明细!$E$4:$E$3003,$K124),""))</f>
      </c>
      <c r="F124" s="149">
        <f>IF($K124="","",IF($K124&lt;=3000,INDEX(出库明细!$F$4:$F$3003,$K124),""))</f>
      </c>
      <c r="G124" s="186">
        <f>IF($K124="","",IF($K124&lt;=3000,N(INDEX(出库明细!$G$4:$G$3003,$K124)),""))</f>
      </c>
      <c r="H124" s="186">
        <f>IF($K124="","",IF($K124&lt;=3000,"",INDEX(资金台帐!$S$7:$S$3006,$K124-3000)))</f>
      </c>
      <c r="I124" s="187">
        <f>IF($K124="","",I123+N(G124)-N(H124))</f>
      </c>
      <c r="J124" s="213">
        <f>IF($K124="","",IF($K124&lt;=3000,INDEX(出库明细!$H$4:$H$3003,$K124)&amp;"",INDEX(资金台帐!$E$7:$E$3006,$K124-3000)&amp;""))</f>
      </c>
      <c r="K124" s="78">
        <f>IFERROR(MATCH(SMALL(_辅助!$F$4:$F$6003,85),_辅助!$F$4:$F$6003,0),"")</f>
      </c>
    </row>
    <row r="125">
      <c r="A125" s="141">
        <f>IF($K125="","",86)</f>
      </c>
      <c r="B125" s="140">
        <f>IF($K125="","",IF($K125&lt;=3000,INDEX(出库明细!$B$4:$B$3003,$K125),INDEX(资金台帐!$B$7:$B$3006,$K125-3000)))</f>
      </c>
      <c r="C125" s="141">
        <f>IF($K125="","",IF($K125&lt;=3000,"出库领用",IF(INDEX(资金台帐!$S$7:$S$3006,$K125-3000)&gt;=0,"收款","退款")&amp;"（"&amp;INDEX(资金台帐!$C$7:$C$3006,$K125-3000)&amp;"）"))</f>
      </c>
      <c r="D125" s="141">
        <f>IF($K125="","",IF($K125&lt;=3000,INDEX(出库明细!$D$4:$D$3003,$K125)&amp;"",""))</f>
      </c>
      <c r="E125" s="148">
        <f>IF($K125="","",IF($K125&lt;=3000,INDEX(出库明细!$E$4:$E$3003,$K125),""))</f>
      </c>
      <c r="F125" s="149">
        <f>IF($K125="","",IF($K125&lt;=3000,INDEX(出库明细!$F$4:$F$3003,$K125),""))</f>
      </c>
      <c r="G125" s="186">
        <f>IF($K125="","",IF($K125&lt;=3000,N(INDEX(出库明细!$G$4:$G$3003,$K125)),""))</f>
      </c>
      <c r="H125" s="186">
        <f>IF($K125="","",IF($K125&lt;=3000,"",INDEX(资金台帐!$S$7:$S$3006,$K125-3000)))</f>
      </c>
      <c r="I125" s="187">
        <f>IF($K125="","",I124+N(G125)-N(H125))</f>
      </c>
      <c r="J125" s="213">
        <f>IF($K125="","",IF($K125&lt;=3000,INDEX(出库明细!$H$4:$H$3003,$K125)&amp;"",INDEX(资金台帐!$E$7:$E$3006,$K125-3000)&amp;""))</f>
      </c>
      <c r="K125" s="78">
        <f>IFERROR(MATCH(SMALL(_辅助!$F$4:$F$6003,86),_辅助!$F$4:$F$6003,0),"")</f>
      </c>
    </row>
    <row r="126">
      <c r="A126" s="141">
        <f>IF($K126="","",87)</f>
      </c>
      <c r="B126" s="140">
        <f>IF($K126="","",IF($K126&lt;=3000,INDEX(出库明细!$B$4:$B$3003,$K126),INDEX(资金台帐!$B$7:$B$3006,$K126-3000)))</f>
      </c>
      <c r="C126" s="141">
        <f>IF($K126="","",IF($K126&lt;=3000,"出库领用",IF(INDEX(资金台帐!$S$7:$S$3006,$K126-3000)&gt;=0,"收款","退款")&amp;"（"&amp;INDEX(资金台帐!$C$7:$C$3006,$K126-3000)&amp;"）"))</f>
      </c>
      <c r="D126" s="141">
        <f>IF($K126="","",IF($K126&lt;=3000,INDEX(出库明细!$D$4:$D$3003,$K126)&amp;"",""))</f>
      </c>
      <c r="E126" s="148">
        <f>IF($K126="","",IF($K126&lt;=3000,INDEX(出库明细!$E$4:$E$3003,$K126),""))</f>
      </c>
      <c r="F126" s="149">
        <f>IF($K126="","",IF($K126&lt;=3000,INDEX(出库明细!$F$4:$F$3003,$K126),""))</f>
      </c>
      <c r="G126" s="186">
        <f>IF($K126="","",IF($K126&lt;=3000,N(INDEX(出库明细!$G$4:$G$3003,$K126)),""))</f>
      </c>
      <c r="H126" s="186">
        <f>IF($K126="","",IF($K126&lt;=3000,"",INDEX(资金台帐!$S$7:$S$3006,$K126-3000)))</f>
      </c>
      <c r="I126" s="187">
        <f>IF($K126="","",I125+N(G126)-N(H126))</f>
      </c>
      <c r="J126" s="213">
        <f>IF($K126="","",IF($K126&lt;=3000,INDEX(出库明细!$H$4:$H$3003,$K126)&amp;"",INDEX(资金台帐!$E$7:$E$3006,$K126-3000)&amp;""))</f>
      </c>
      <c r="K126" s="78">
        <f>IFERROR(MATCH(SMALL(_辅助!$F$4:$F$6003,87),_辅助!$F$4:$F$6003,0),"")</f>
      </c>
    </row>
    <row r="127">
      <c r="A127" s="141">
        <f>IF($K127="","",88)</f>
      </c>
      <c r="B127" s="140">
        <f>IF($K127="","",IF($K127&lt;=3000,INDEX(出库明细!$B$4:$B$3003,$K127),INDEX(资金台帐!$B$7:$B$3006,$K127-3000)))</f>
      </c>
      <c r="C127" s="141">
        <f>IF($K127="","",IF($K127&lt;=3000,"出库领用",IF(INDEX(资金台帐!$S$7:$S$3006,$K127-3000)&gt;=0,"收款","退款")&amp;"（"&amp;INDEX(资金台帐!$C$7:$C$3006,$K127-3000)&amp;"）"))</f>
      </c>
      <c r="D127" s="141">
        <f>IF($K127="","",IF($K127&lt;=3000,INDEX(出库明细!$D$4:$D$3003,$K127)&amp;"",""))</f>
      </c>
      <c r="E127" s="148">
        <f>IF($K127="","",IF($K127&lt;=3000,INDEX(出库明细!$E$4:$E$3003,$K127),""))</f>
      </c>
      <c r="F127" s="149">
        <f>IF($K127="","",IF($K127&lt;=3000,INDEX(出库明细!$F$4:$F$3003,$K127),""))</f>
      </c>
      <c r="G127" s="186">
        <f>IF($K127="","",IF($K127&lt;=3000,N(INDEX(出库明细!$G$4:$G$3003,$K127)),""))</f>
      </c>
      <c r="H127" s="186">
        <f>IF($K127="","",IF($K127&lt;=3000,"",INDEX(资金台帐!$S$7:$S$3006,$K127-3000)))</f>
      </c>
      <c r="I127" s="187">
        <f>IF($K127="","",I126+N(G127)-N(H127))</f>
      </c>
      <c r="J127" s="213">
        <f>IF($K127="","",IF($K127&lt;=3000,INDEX(出库明细!$H$4:$H$3003,$K127)&amp;"",INDEX(资金台帐!$E$7:$E$3006,$K127-3000)&amp;""))</f>
      </c>
      <c r="K127" s="78">
        <f>IFERROR(MATCH(SMALL(_辅助!$F$4:$F$6003,88),_辅助!$F$4:$F$6003,0),"")</f>
      </c>
    </row>
    <row r="128">
      <c r="A128" s="141">
        <f>IF($K128="","",89)</f>
      </c>
      <c r="B128" s="140">
        <f>IF($K128="","",IF($K128&lt;=3000,INDEX(出库明细!$B$4:$B$3003,$K128),INDEX(资金台帐!$B$7:$B$3006,$K128-3000)))</f>
      </c>
      <c r="C128" s="141">
        <f>IF($K128="","",IF($K128&lt;=3000,"出库领用",IF(INDEX(资金台帐!$S$7:$S$3006,$K128-3000)&gt;=0,"收款","退款")&amp;"（"&amp;INDEX(资金台帐!$C$7:$C$3006,$K128-3000)&amp;"）"))</f>
      </c>
      <c r="D128" s="141">
        <f>IF($K128="","",IF($K128&lt;=3000,INDEX(出库明细!$D$4:$D$3003,$K128)&amp;"",""))</f>
      </c>
      <c r="E128" s="148">
        <f>IF($K128="","",IF($K128&lt;=3000,INDEX(出库明细!$E$4:$E$3003,$K128),""))</f>
      </c>
      <c r="F128" s="149">
        <f>IF($K128="","",IF($K128&lt;=3000,INDEX(出库明细!$F$4:$F$3003,$K128),""))</f>
      </c>
      <c r="G128" s="186">
        <f>IF($K128="","",IF($K128&lt;=3000,N(INDEX(出库明细!$G$4:$G$3003,$K128)),""))</f>
      </c>
      <c r="H128" s="186">
        <f>IF($K128="","",IF($K128&lt;=3000,"",INDEX(资金台帐!$S$7:$S$3006,$K128-3000)))</f>
      </c>
      <c r="I128" s="187">
        <f>IF($K128="","",I127+N(G128)-N(H128))</f>
      </c>
      <c r="J128" s="213">
        <f>IF($K128="","",IF($K128&lt;=3000,INDEX(出库明细!$H$4:$H$3003,$K128)&amp;"",INDEX(资金台帐!$E$7:$E$3006,$K128-3000)&amp;""))</f>
      </c>
      <c r="K128" s="78">
        <f>IFERROR(MATCH(SMALL(_辅助!$F$4:$F$6003,89),_辅助!$F$4:$F$6003,0),"")</f>
      </c>
    </row>
    <row r="129">
      <c r="A129" s="141">
        <f>IF($K129="","",90)</f>
      </c>
      <c r="B129" s="140">
        <f>IF($K129="","",IF($K129&lt;=3000,INDEX(出库明细!$B$4:$B$3003,$K129),INDEX(资金台帐!$B$7:$B$3006,$K129-3000)))</f>
      </c>
      <c r="C129" s="141">
        <f>IF($K129="","",IF($K129&lt;=3000,"出库领用",IF(INDEX(资金台帐!$S$7:$S$3006,$K129-3000)&gt;=0,"收款","退款")&amp;"（"&amp;INDEX(资金台帐!$C$7:$C$3006,$K129-3000)&amp;"）"))</f>
      </c>
      <c r="D129" s="141">
        <f>IF($K129="","",IF($K129&lt;=3000,INDEX(出库明细!$D$4:$D$3003,$K129)&amp;"",""))</f>
      </c>
      <c r="E129" s="148">
        <f>IF($K129="","",IF($K129&lt;=3000,INDEX(出库明细!$E$4:$E$3003,$K129),""))</f>
      </c>
      <c r="F129" s="149">
        <f>IF($K129="","",IF($K129&lt;=3000,INDEX(出库明细!$F$4:$F$3003,$K129),""))</f>
      </c>
      <c r="G129" s="186">
        <f>IF($K129="","",IF($K129&lt;=3000,N(INDEX(出库明细!$G$4:$G$3003,$K129)),""))</f>
      </c>
      <c r="H129" s="186">
        <f>IF($K129="","",IF($K129&lt;=3000,"",INDEX(资金台帐!$S$7:$S$3006,$K129-3000)))</f>
      </c>
      <c r="I129" s="187">
        <f>IF($K129="","",I128+N(G129)-N(H129))</f>
      </c>
      <c r="J129" s="213">
        <f>IF($K129="","",IF($K129&lt;=3000,INDEX(出库明细!$H$4:$H$3003,$K129)&amp;"",INDEX(资金台帐!$E$7:$E$3006,$K129-3000)&amp;""))</f>
      </c>
      <c r="K129" s="78">
        <f>IFERROR(MATCH(SMALL(_辅助!$F$4:$F$6003,90),_辅助!$F$4:$F$6003,0),"")</f>
      </c>
    </row>
    <row r="130">
      <c r="A130" s="141">
        <f>IF($K130="","",91)</f>
      </c>
      <c r="B130" s="140">
        <f>IF($K130="","",IF($K130&lt;=3000,INDEX(出库明细!$B$4:$B$3003,$K130),INDEX(资金台帐!$B$7:$B$3006,$K130-3000)))</f>
      </c>
      <c r="C130" s="141">
        <f>IF($K130="","",IF($K130&lt;=3000,"出库领用",IF(INDEX(资金台帐!$S$7:$S$3006,$K130-3000)&gt;=0,"收款","退款")&amp;"（"&amp;INDEX(资金台帐!$C$7:$C$3006,$K130-3000)&amp;"）"))</f>
      </c>
      <c r="D130" s="141">
        <f>IF($K130="","",IF($K130&lt;=3000,INDEX(出库明细!$D$4:$D$3003,$K130)&amp;"",""))</f>
      </c>
      <c r="E130" s="148">
        <f>IF($K130="","",IF($K130&lt;=3000,INDEX(出库明细!$E$4:$E$3003,$K130),""))</f>
      </c>
      <c r="F130" s="149">
        <f>IF($K130="","",IF($K130&lt;=3000,INDEX(出库明细!$F$4:$F$3003,$K130),""))</f>
      </c>
      <c r="G130" s="186">
        <f>IF($K130="","",IF($K130&lt;=3000,N(INDEX(出库明细!$G$4:$G$3003,$K130)),""))</f>
      </c>
      <c r="H130" s="186">
        <f>IF($K130="","",IF($K130&lt;=3000,"",INDEX(资金台帐!$S$7:$S$3006,$K130-3000)))</f>
      </c>
      <c r="I130" s="187">
        <f>IF($K130="","",I129+N(G130)-N(H130))</f>
      </c>
      <c r="J130" s="213">
        <f>IF($K130="","",IF($K130&lt;=3000,INDEX(出库明细!$H$4:$H$3003,$K130)&amp;"",INDEX(资金台帐!$E$7:$E$3006,$K130-3000)&amp;""))</f>
      </c>
      <c r="K130" s="78">
        <f>IFERROR(MATCH(SMALL(_辅助!$F$4:$F$6003,91),_辅助!$F$4:$F$6003,0),"")</f>
      </c>
    </row>
    <row r="131">
      <c r="A131" s="141">
        <f>IF($K131="","",92)</f>
      </c>
      <c r="B131" s="140">
        <f>IF($K131="","",IF($K131&lt;=3000,INDEX(出库明细!$B$4:$B$3003,$K131),INDEX(资金台帐!$B$7:$B$3006,$K131-3000)))</f>
      </c>
      <c r="C131" s="141">
        <f>IF($K131="","",IF($K131&lt;=3000,"出库领用",IF(INDEX(资金台帐!$S$7:$S$3006,$K131-3000)&gt;=0,"收款","退款")&amp;"（"&amp;INDEX(资金台帐!$C$7:$C$3006,$K131-3000)&amp;"）"))</f>
      </c>
      <c r="D131" s="141">
        <f>IF($K131="","",IF($K131&lt;=3000,INDEX(出库明细!$D$4:$D$3003,$K131)&amp;"",""))</f>
      </c>
      <c r="E131" s="148">
        <f>IF($K131="","",IF($K131&lt;=3000,INDEX(出库明细!$E$4:$E$3003,$K131),""))</f>
      </c>
      <c r="F131" s="149">
        <f>IF($K131="","",IF($K131&lt;=3000,INDEX(出库明细!$F$4:$F$3003,$K131),""))</f>
      </c>
      <c r="G131" s="186">
        <f>IF($K131="","",IF($K131&lt;=3000,N(INDEX(出库明细!$G$4:$G$3003,$K131)),""))</f>
      </c>
      <c r="H131" s="186">
        <f>IF($K131="","",IF($K131&lt;=3000,"",INDEX(资金台帐!$S$7:$S$3006,$K131-3000)))</f>
      </c>
      <c r="I131" s="187">
        <f>IF($K131="","",I130+N(G131)-N(H131))</f>
      </c>
      <c r="J131" s="213">
        <f>IF($K131="","",IF($K131&lt;=3000,INDEX(出库明细!$H$4:$H$3003,$K131)&amp;"",INDEX(资金台帐!$E$7:$E$3006,$K131-3000)&amp;""))</f>
      </c>
      <c r="K131" s="78">
        <f>IFERROR(MATCH(SMALL(_辅助!$F$4:$F$6003,92),_辅助!$F$4:$F$6003,0),"")</f>
      </c>
    </row>
    <row r="132">
      <c r="A132" s="141">
        <f>IF($K132="","",93)</f>
      </c>
      <c r="B132" s="140">
        <f>IF($K132="","",IF($K132&lt;=3000,INDEX(出库明细!$B$4:$B$3003,$K132),INDEX(资金台帐!$B$7:$B$3006,$K132-3000)))</f>
      </c>
      <c r="C132" s="141">
        <f>IF($K132="","",IF($K132&lt;=3000,"出库领用",IF(INDEX(资金台帐!$S$7:$S$3006,$K132-3000)&gt;=0,"收款","退款")&amp;"（"&amp;INDEX(资金台帐!$C$7:$C$3006,$K132-3000)&amp;"）"))</f>
      </c>
      <c r="D132" s="141">
        <f>IF($K132="","",IF($K132&lt;=3000,INDEX(出库明细!$D$4:$D$3003,$K132)&amp;"",""))</f>
      </c>
      <c r="E132" s="148">
        <f>IF($K132="","",IF($K132&lt;=3000,INDEX(出库明细!$E$4:$E$3003,$K132),""))</f>
      </c>
      <c r="F132" s="149">
        <f>IF($K132="","",IF($K132&lt;=3000,INDEX(出库明细!$F$4:$F$3003,$K132),""))</f>
      </c>
      <c r="G132" s="186">
        <f>IF($K132="","",IF($K132&lt;=3000,N(INDEX(出库明细!$G$4:$G$3003,$K132)),""))</f>
      </c>
      <c r="H132" s="186">
        <f>IF($K132="","",IF($K132&lt;=3000,"",INDEX(资金台帐!$S$7:$S$3006,$K132-3000)))</f>
      </c>
      <c r="I132" s="187">
        <f>IF($K132="","",I131+N(G132)-N(H132))</f>
      </c>
      <c r="J132" s="213">
        <f>IF($K132="","",IF($K132&lt;=3000,INDEX(出库明细!$H$4:$H$3003,$K132)&amp;"",INDEX(资金台帐!$E$7:$E$3006,$K132-3000)&amp;""))</f>
      </c>
      <c r="K132" s="78">
        <f>IFERROR(MATCH(SMALL(_辅助!$F$4:$F$6003,93),_辅助!$F$4:$F$6003,0),"")</f>
      </c>
    </row>
    <row r="133">
      <c r="A133" s="141">
        <f>IF($K133="","",94)</f>
      </c>
      <c r="B133" s="140">
        <f>IF($K133="","",IF($K133&lt;=3000,INDEX(出库明细!$B$4:$B$3003,$K133),INDEX(资金台帐!$B$7:$B$3006,$K133-3000)))</f>
      </c>
      <c r="C133" s="141">
        <f>IF($K133="","",IF($K133&lt;=3000,"出库领用",IF(INDEX(资金台帐!$S$7:$S$3006,$K133-3000)&gt;=0,"收款","退款")&amp;"（"&amp;INDEX(资金台帐!$C$7:$C$3006,$K133-3000)&amp;"）"))</f>
      </c>
      <c r="D133" s="141">
        <f>IF($K133="","",IF($K133&lt;=3000,INDEX(出库明细!$D$4:$D$3003,$K133)&amp;"",""))</f>
      </c>
      <c r="E133" s="148">
        <f>IF($K133="","",IF($K133&lt;=3000,INDEX(出库明细!$E$4:$E$3003,$K133),""))</f>
      </c>
      <c r="F133" s="149">
        <f>IF($K133="","",IF($K133&lt;=3000,INDEX(出库明细!$F$4:$F$3003,$K133),""))</f>
      </c>
      <c r="G133" s="186">
        <f>IF($K133="","",IF($K133&lt;=3000,N(INDEX(出库明细!$G$4:$G$3003,$K133)),""))</f>
      </c>
      <c r="H133" s="186">
        <f>IF($K133="","",IF($K133&lt;=3000,"",INDEX(资金台帐!$S$7:$S$3006,$K133-3000)))</f>
      </c>
      <c r="I133" s="187">
        <f>IF($K133="","",I132+N(G133)-N(H133))</f>
      </c>
      <c r="J133" s="213">
        <f>IF($K133="","",IF($K133&lt;=3000,INDEX(出库明细!$H$4:$H$3003,$K133)&amp;"",INDEX(资金台帐!$E$7:$E$3006,$K133-3000)&amp;""))</f>
      </c>
      <c r="K133" s="78">
        <f>IFERROR(MATCH(SMALL(_辅助!$F$4:$F$6003,94),_辅助!$F$4:$F$6003,0),"")</f>
      </c>
    </row>
    <row r="134">
      <c r="A134" s="141">
        <f>IF($K134="","",95)</f>
      </c>
      <c r="B134" s="140">
        <f>IF($K134="","",IF($K134&lt;=3000,INDEX(出库明细!$B$4:$B$3003,$K134),INDEX(资金台帐!$B$7:$B$3006,$K134-3000)))</f>
      </c>
      <c r="C134" s="141">
        <f>IF($K134="","",IF($K134&lt;=3000,"出库领用",IF(INDEX(资金台帐!$S$7:$S$3006,$K134-3000)&gt;=0,"收款","退款")&amp;"（"&amp;INDEX(资金台帐!$C$7:$C$3006,$K134-3000)&amp;"）"))</f>
      </c>
      <c r="D134" s="141">
        <f>IF($K134="","",IF($K134&lt;=3000,INDEX(出库明细!$D$4:$D$3003,$K134)&amp;"",""))</f>
      </c>
      <c r="E134" s="148">
        <f>IF($K134="","",IF($K134&lt;=3000,INDEX(出库明细!$E$4:$E$3003,$K134),""))</f>
      </c>
      <c r="F134" s="149">
        <f>IF($K134="","",IF($K134&lt;=3000,INDEX(出库明细!$F$4:$F$3003,$K134),""))</f>
      </c>
      <c r="G134" s="186">
        <f>IF($K134="","",IF($K134&lt;=3000,N(INDEX(出库明细!$G$4:$G$3003,$K134)),""))</f>
      </c>
      <c r="H134" s="186">
        <f>IF($K134="","",IF($K134&lt;=3000,"",INDEX(资金台帐!$S$7:$S$3006,$K134-3000)))</f>
      </c>
      <c r="I134" s="187">
        <f>IF($K134="","",I133+N(G134)-N(H134))</f>
      </c>
      <c r="J134" s="213">
        <f>IF($K134="","",IF($K134&lt;=3000,INDEX(出库明细!$H$4:$H$3003,$K134)&amp;"",INDEX(资金台帐!$E$7:$E$3006,$K134-3000)&amp;""))</f>
      </c>
      <c r="K134" s="78">
        <f>IFERROR(MATCH(SMALL(_辅助!$F$4:$F$6003,95),_辅助!$F$4:$F$6003,0),"")</f>
      </c>
    </row>
    <row r="135">
      <c r="A135" s="141">
        <f>IF($K135="","",96)</f>
      </c>
      <c r="B135" s="140">
        <f>IF($K135="","",IF($K135&lt;=3000,INDEX(出库明细!$B$4:$B$3003,$K135),INDEX(资金台帐!$B$7:$B$3006,$K135-3000)))</f>
      </c>
      <c r="C135" s="141">
        <f>IF($K135="","",IF($K135&lt;=3000,"出库领用",IF(INDEX(资金台帐!$S$7:$S$3006,$K135-3000)&gt;=0,"收款","退款")&amp;"（"&amp;INDEX(资金台帐!$C$7:$C$3006,$K135-3000)&amp;"）"))</f>
      </c>
      <c r="D135" s="141">
        <f>IF($K135="","",IF($K135&lt;=3000,INDEX(出库明细!$D$4:$D$3003,$K135)&amp;"",""))</f>
      </c>
      <c r="E135" s="148">
        <f>IF($K135="","",IF($K135&lt;=3000,INDEX(出库明细!$E$4:$E$3003,$K135),""))</f>
      </c>
      <c r="F135" s="149">
        <f>IF($K135="","",IF($K135&lt;=3000,INDEX(出库明细!$F$4:$F$3003,$K135),""))</f>
      </c>
      <c r="G135" s="186">
        <f>IF($K135="","",IF($K135&lt;=3000,N(INDEX(出库明细!$G$4:$G$3003,$K135)),""))</f>
      </c>
      <c r="H135" s="186">
        <f>IF($K135="","",IF($K135&lt;=3000,"",INDEX(资金台帐!$S$7:$S$3006,$K135-3000)))</f>
      </c>
      <c r="I135" s="187">
        <f>IF($K135="","",I134+N(G135)-N(H135))</f>
      </c>
      <c r="J135" s="213">
        <f>IF($K135="","",IF($K135&lt;=3000,INDEX(出库明细!$H$4:$H$3003,$K135)&amp;"",INDEX(资金台帐!$E$7:$E$3006,$K135-3000)&amp;""))</f>
      </c>
      <c r="K135" s="78">
        <f>IFERROR(MATCH(SMALL(_辅助!$F$4:$F$6003,96),_辅助!$F$4:$F$6003,0),"")</f>
      </c>
    </row>
    <row r="136">
      <c r="A136" s="141">
        <f>IF($K136="","",97)</f>
      </c>
      <c r="B136" s="140">
        <f>IF($K136="","",IF($K136&lt;=3000,INDEX(出库明细!$B$4:$B$3003,$K136),INDEX(资金台帐!$B$7:$B$3006,$K136-3000)))</f>
      </c>
      <c r="C136" s="141">
        <f>IF($K136="","",IF($K136&lt;=3000,"出库领用",IF(INDEX(资金台帐!$S$7:$S$3006,$K136-3000)&gt;=0,"收款","退款")&amp;"（"&amp;INDEX(资金台帐!$C$7:$C$3006,$K136-3000)&amp;"）"))</f>
      </c>
      <c r="D136" s="141">
        <f>IF($K136="","",IF($K136&lt;=3000,INDEX(出库明细!$D$4:$D$3003,$K136)&amp;"",""))</f>
      </c>
      <c r="E136" s="148">
        <f>IF($K136="","",IF($K136&lt;=3000,INDEX(出库明细!$E$4:$E$3003,$K136),""))</f>
      </c>
      <c r="F136" s="149">
        <f>IF($K136="","",IF($K136&lt;=3000,INDEX(出库明细!$F$4:$F$3003,$K136),""))</f>
      </c>
      <c r="G136" s="186">
        <f>IF($K136="","",IF($K136&lt;=3000,N(INDEX(出库明细!$G$4:$G$3003,$K136)),""))</f>
      </c>
      <c r="H136" s="186">
        <f>IF($K136="","",IF($K136&lt;=3000,"",INDEX(资金台帐!$S$7:$S$3006,$K136-3000)))</f>
      </c>
      <c r="I136" s="187">
        <f>IF($K136="","",I135+N(G136)-N(H136))</f>
      </c>
      <c r="J136" s="213">
        <f>IF($K136="","",IF($K136&lt;=3000,INDEX(出库明细!$H$4:$H$3003,$K136)&amp;"",INDEX(资金台帐!$E$7:$E$3006,$K136-3000)&amp;""))</f>
      </c>
      <c r="K136" s="78">
        <f>IFERROR(MATCH(SMALL(_辅助!$F$4:$F$6003,97),_辅助!$F$4:$F$6003,0),"")</f>
      </c>
    </row>
    <row r="137">
      <c r="A137" s="141">
        <f>IF($K137="","",98)</f>
      </c>
      <c r="B137" s="140">
        <f>IF($K137="","",IF($K137&lt;=3000,INDEX(出库明细!$B$4:$B$3003,$K137),INDEX(资金台帐!$B$7:$B$3006,$K137-3000)))</f>
      </c>
      <c r="C137" s="141">
        <f>IF($K137="","",IF($K137&lt;=3000,"出库领用",IF(INDEX(资金台帐!$S$7:$S$3006,$K137-3000)&gt;=0,"收款","退款")&amp;"（"&amp;INDEX(资金台帐!$C$7:$C$3006,$K137-3000)&amp;"）"))</f>
      </c>
      <c r="D137" s="141">
        <f>IF($K137="","",IF($K137&lt;=3000,INDEX(出库明细!$D$4:$D$3003,$K137)&amp;"",""))</f>
      </c>
      <c r="E137" s="148">
        <f>IF($K137="","",IF($K137&lt;=3000,INDEX(出库明细!$E$4:$E$3003,$K137),""))</f>
      </c>
      <c r="F137" s="149">
        <f>IF($K137="","",IF($K137&lt;=3000,INDEX(出库明细!$F$4:$F$3003,$K137),""))</f>
      </c>
      <c r="G137" s="186">
        <f>IF($K137="","",IF($K137&lt;=3000,N(INDEX(出库明细!$G$4:$G$3003,$K137)),""))</f>
      </c>
      <c r="H137" s="186">
        <f>IF($K137="","",IF($K137&lt;=3000,"",INDEX(资金台帐!$S$7:$S$3006,$K137-3000)))</f>
      </c>
      <c r="I137" s="187">
        <f>IF($K137="","",I136+N(G137)-N(H137))</f>
      </c>
      <c r="J137" s="213">
        <f>IF($K137="","",IF($K137&lt;=3000,INDEX(出库明细!$H$4:$H$3003,$K137)&amp;"",INDEX(资金台帐!$E$7:$E$3006,$K137-3000)&amp;""))</f>
      </c>
      <c r="K137" s="78">
        <f>IFERROR(MATCH(SMALL(_辅助!$F$4:$F$6003,98),_辅助!$F$4:$F$6003,0),"")</f>
      </c>
    </row>
    <row r="138">
      <c r="A138" s="141">
        <f>IF($K138="","",99)</f>
      </c>
      <c r="B138" s="140">
        <f>IF($K138="","",IF($K138&lt;=3000,INDEX(出库明细!$B$4:$B$3003,$K138),INDEX(资金台帐!$B$7:$B$3006,$K138-3000)))</f>
      </c>
      <c r="C138" s="141">
        <f>IF($K138="","",IF($K138&lt;=3000,"出库领用",IF(INDEX(资金台帐!$S$7:$S$3006,$K138-3000)&gt;=0,"收款","退款")&amp;"（"&amp;INDEX(资金台帐!$C$7:$C$3006,$K138-3000)&amp;"）"))</f>
      </c>
      <c r="D138" s="141">
        <f>IF($K138="","",IF($K138&lt;=3000,INDEX(出库明细!$D$4:$D$3003,$K138)&amp;"",""))</f>
      </c>
      <c r="E138" s="148">
        <f>IF($K138="","",IF($K138&lt;=3000,INDEX(出库明细!$E$4:$E$3003,$K138),""))</f>
      </c>
      <c r="F138" s="149">
        <f>IF($K138="","",IF($K138&lt;=3000,INDEX(出库明细!$F$4:$F$3003,$K138),""))</f>
      </c>
      <c r="G138" s="186">
        <f>IF($K138="","",IF($K138&lt;=3000,N(INDEX(出库明细!$G$4:$G$3003,$K138)),""))</f>
      </c>
      <c r="H138" s="186">
        <f>IF($K138="","",IF($K138&lt;=3000,"",INDEX(资金台帐!$S$7:$S$3006,$K138-3000)))</f>
      </c>
      <c r="I138" s="187">
        <f>IF($K138="","",I137+N(G138)-N(H138))</f>
      </c>
      <c r="J138" s="213">
        <f>IF($K138="","",IF($K138&lt;=3000,INDEX(出库明细!$H$4:$H$3003,$K138)&amp;"",INDEX(资金台帐!$E$7:$E$3006,$K138-3000)&amp;""))</f>
      </c>
      <c r="K138" s="78">
        <f>IFERROR(MATCH(SMALL(_辅助!$F$4:$F$6003,99),_辅助!$F$4:$F$6003,0),"")</f>
      </c>
    </row>
    <row r="139">
      <c r="A139" s="141">
        <f>IF($K139="","",100)</f>
      </c>
      <c r="B139" s="140">
        <f>IF($K139="","",IF($K139&lt;=3000,INDEX(出库明细!$B$4:$B$3003,$K139),INDEX(资金台帐!$B$7:$B$3006,$K139-3000)))</f>
      </c>
      <c r="C139" s="141">
        <f>IF($K139="","",IF($K139&lt;=3000,"出库领用",IF(INDEX(资金台帐!$S$7:$S$3006,$K139-3000)&gt;=0,"收款","退款")&amp;"（"&amp;INDEX(资金台帐!$C$7:$C$3006,$K139-3000)&amp;"）"))</f>
      </c>
      <c r="D139" s="141">
        <f>IF($K139="","",IF($K139&lt;=3000,INDEX(出库明细!$D$4:$D$3003,$K139)&amp;"",""))</f>
      </c>
      <c r="E139" s="148">
        <f>IF($K139="","",IF($K139&lt;=3000,INDEX(出库明细!$E$4:$E$3003,$K139),""))</f>
      </c>
      <c r="F139" s="149">
        <f>IF($K139="","",IF($K139&lt;=3000,INDEX(出库明细!$F$4:$F$3003,$K139),""))</f>
      </c>
      <c r="G139" s="186">
        <f>IF($K139="","",IF($K139&lt;=3000,N(INDEX(出库明细!$G$4:$G$3003,$K139)),""))</f>
      </c>
      <c r="H139" s="186">
        <f>IF($K139="","",IF($K139&lt;=3000,"",INDEX(资金台帐!$S$7:$S$3006,$K139-3000)))</f>
      </c>
      <c r="I139" s="187">
        <f>IF($K139="","",I138+N(G139)-N(H139))</f>
      </c>
      <c r="J139" s="213">
        <f>IF($K139="","",IF($K139&lt;=3000,INDEX(出库明细!$H$4:$H$3003,$K139)&amp;"",INDEX(资金台帐!$E$7:$E$3006,$K139-3000)&amp;""))</f>
      </c>
      <c r="K139" s="78">
        <f>IFERROR(MATCH(SMALL(_辅助!$F$4:$F$6003,100),_辅助!$F$4:$F$6003,0),"")</f>
      </c>
    </row>
    <row r="140">
      <c r="A140" s="141">
        <f>IF($K140="","",101)</f>
      </c>
      <c r="B140" s="140">
        <f>IF($K140="","",IF($K140&lt;=3000,INDEX(出库明细!$B$4:$B$3003,$K140),INDEX(资金台帐!$B$7:$B$3006,$K140-3000)))</f>
      </c>
      <c r="C140" s="141">
        <f>IF($K140="","",IF($K140&lt;=3000,"出库领用",IF(INDEX(资金台帐!$S$7:$S$3006,$K140-3000)&gt;=0,"收款","退款")&amp;"（"&amp;INDEX(资金台帐!$C$7:$C$3006,$K140-3000)&amp;"）"))</f>
      </c>
      <c r="D140" s="141">
        <f>IF($K140="","",IF($K140&lt;=3000,INDEX(出库明细!$D$4:$D$3003,$K140)&amp;"",""))</f>
      </c>
      <c r="E140" s="148">
        <f>IF($K140="","",IF($K140&lt;=3000,INDEX(出库明细!$E$4:$E$3003,$K140),""))</f>
      </c>
      <c r="F140" s="149">
        <f>IF($K140="","",IF($K140&lt;=3000,INDEX(出库明细!$F$4:$F$3003,$K140),""))</f>
      </c>
      <c r="G140" s="186">
        <f>IF($K140="","",IF($K140&lt;=3000,N(INDEX(出库明细!$G$4:$G$3003,$K140)),""))</f>
      </c>
      <c r="H140" s="186">
        <f>IF($K140="","",IF($K140&lt;=3000,"",INDEX(资金台帐!$S$7:$S$3006,$K140-3000)))</f>
      </c>
      <c r="I140" s="187">
        <f>IF($K140="","",I139+N(G140)-N(H140))</f>
      </c>
      <c r="J140" s="213">
        <f>IF($K140="","",IF($K140&lt;=3000,INDEX(出库明细!$H$4:$H$3003,$K140)&amp;"",INDEX(资金台帐!$E$7:$E$3006,$K140-3000)&amp;""))</f>
      </c>
      <c r="K140" s="78">
        <f>IFERROR(MATCH(SMALL(_辅助!$F$4:$F$6003,101),_辅助!$F$4:$F$6003,0),"")</f>
      </c>
    </row>
    <row r="141">
      <c r="A141" s="141">
        <f>IF($K141="","",102)</f>
      </c>
      <c r="B141" s="140">
        <f>IF($K141="","",IF($K141&lt;=3000,INDEX(出库明细!$B$4:$B$3003,$K141),INDEX(资金台帐!$B$7:$B$3006,$K141-3000)))</f>
      </c>
      <c r="C141" s="141">
        <f>IF($K141="","",IF($K141&lt;=3000,"出库领用",IF(INDEX(资金台帐!$S$7:$S$3006,$K141-3000)&gt;=0,"收款","退款")&amp;"（"&amp;INDEX(资金台帐!$C$7:$C$3006,$K141-3000)&amp;"）"))</f>
      </c>
      <c r="D141" s="141">
        <f>IF($K141="","",IF($K141&lt;=3000,INDEX(出库明细!$D$4:$D$3003,$K141)&amp;"",""))</f>
      </c>
      <c r="E141" s="148">
        <f>IF($K141="","",IF($K141&lt;=3000,INDEX(出库明细!$E$4:$E$3003,$K141),""))</f>
      </c>
      <c r="F141" s="149">
        <f>IF($K141="","",IF($K141&lt;=3000,INDEX(出库明细!$F$4:$F$3003,$K141),""))</f>
      </c>
      <c r="G141" s="186">
        <f>IF($K141="","",IF($K141&lt;=3000,N(INDEX(出库明细!$G$4:$G$3003,$K141)),""))</f>
      </c>
      <c r="H141" s="186">
        <f>IF($K141="","",IF($K141&lt;=3000,"",INDEX(资金台帐!$S$7:$S$3006,$K141-3000)))</f>
      </c>
      <c r="I141" s="187">
        <f>IF($K141="","",I140+N(G141)-N(H141))</f>
      </c>
      <c r="J141" s="213">
        <f>IF($K141="","",IF($K141&lt;=3000,INDEX(出库明细!$H$4:$H$3003,$K141)&amp;"",INDEX(资金台帐!$E$7:$E$3006,$K141-3000)&amp;""))</f>
      </c>
      <c r="K141" s="78">
        <f>IFERROR(MATCH(SMALL(_辅助!$F$4:$F$6003,102),_辅助!$F$4:$F$6003,0),"")</f>
      </c>
    </row>
    <row r="142">
      <c r="A142" s="141">
        <f>IF($K142="","",103)</f>
      </c>
      <c r="B142" s="140">
        <f>IF($K142="","",IF($K142&lt;=3000,INDEX(出库明细!$B$4:$B$3003,$K142),INDEX(资金台帐!$B$7:$B$3006,$K142-3000)))</f>
      </c>
      <c r="C142" s="141">
        <f>IF($K142="","",IF($K142&lt;=3000,"出库领用",IF(INDEX(资金台帐!$S$7:$S$3006,$K142-3000)&gt;=0,"收款","退款")&amp;"（"&amp;INDEX(资金台帐!$C$7:$C$3006,$K142-3000)&amp;"）"))</f>
      </c>
      <c r="D142" s="141">
        <f>IF($K142="","",IF($K142&lt;=3000,INDEX(出库明细!$D$4:$D$3003,$K142)&amp;"",""))</f>
      </c>
      <c r="E142" s="148">
        <f>IF($K142="","",IF($K142&lt;=3000,INDEX(出库明细!$E$4:$E$3003,$K142),""))</f>
      </c>
      <c r="F142" s="149">
        <f>IF($K142="","",IF($K142&lt;=3000,INDEX(出库明细!$F$4:$F$3003,$K142),""))</f>
      </c>
      <c r="G142" s="186">
        <f>IF($K142="","",IF($K142&lt;=3000,N(INDEX(出库明细!$G$4:$G$3003,$K142)),""))</f>
      </c>
      <c r="H142" s="186">
        <f>IF($K142="","",IF($K142&lt;=3000,"",INDEX(资金台帐!$S$7:$S$3006,$K142-3000)))</f>
      </c>
      <c r="I142" s="187">
        <f>IF($K142="","",I141+N(G142)-N(H142))</f>
      </c>
      <c r="J142" s="213">
        <f>IF($K142="","",IF($K142&lt;=3000,INDEX(出库明细!$H$4:$H$3003,$K142)&amp;"",INDEX(资金台帐!$E$7:$E$3006,$K142-3000)&amp;""))</f>
      </c>
      <c r="K142" s="78">
        <f>IFERROR(MATCH(SMALL(_辅助!$F$4:$F$6003,103),_辅助!$F$4:$F$6003,0),"")</f>
      </c>
    </row>
    <row r="143">
      <c r="A143" s="141">
        <f>IF($K143="","",104)</f>
      </c>
      <c r="B143" s="140">
        <f>IF($K143="","",IF($K143&lt;=3000,INDEX(出库明细!$B$4:$B$3003,$K143),INDEX(资金台帐!$B$7:$B$3006,$K143-3000)))</f>
      </c>
      <c r="C143" s="141">
        <f>IF($K143="","",IF($K143&lt;=3000,"出库领用",IF(INDEX(资金台帐!$S$7:$S$3006,$K143-3000)&gt;=0,"收款","退款")&amp;"（"&amp;INDEX(资金台帐!$C$7:$C$3006,$K143-3000)&amp;"）"))</f>
      </c>
      <c r="D143" s="141">
        <f>IF($K143="","",IF($K143&lt;=3000,INDEX(出库明细!$D$4:$D$3003,$K143)&amp;"",""))</f>
      </c>
      <c r="E143" s="148">
        <f>IF($K143="","",IF($K143&lt;=3000,INDEX(出库明细!$E$4:$E$3003,$K143),""))</f>
      </c>
      <c r="F143" s="149">
        <f>IF($K143="","",IF($K143&lt;=3000,INDEX(出库明细!$F$4:$F$3003,$K143),""))</f>
      </c>
      <c r="G143" s="186">
        <f>IF($K143="","",IF($K143&lt;=3000,N(INDEX(出库明细!$G$4:$G$3003,$K143)),""))</f>
      </c>
      <c r="H143" s="186">
        <f>IF($K143="","",IF($K143&lt;=3000,"",INDEX(资金台帐!$S$7:$S$3006,$K143-3000)))</f>
      </c>
      <c r="I143" s="187">
        <f>IF($K143="","",I142+N(G143)-N(H143))</f>
      </c>
      <c r="J143" s="213">
        <f>IF($K143="","",IF($K143&lt;=3000,INDEX(出库明细!$H$4:$H$3003,$K143)&amp;"",INDEX(资金台帐!$E$7:$E$3006,$K143-3000)&amp;""))</f>
      </c>
      <c r="K143" s="78">
        <f>IFERROR(MATCH(SMALL(_辅助!$F$4:$F$6003,104),_辅助!$F$4:$F$6003,0),"")</f>
      </c>
    </row>
    <row r="144">
      <c r="A144" s="141">
        <f>IF($K144="","",105)</f>
      </c>
      <c r="B144" s="140">
        <f>IF($K144="","",IF($K144&lt;=3000,INDEX(出库明细!$B$4:$B$3003,$K144),INDEX(资金台帐!$B$7:$B$3006,$K144-3000)))</f>
      </c>
      <c r="C144" s="141">
        <f>IF($K144="","",IF($K144&lt;=3000,"出库领用",IF(INDEX(资金台帐!$S$7:$S$3006,$K144-3000)&gt;=0,"收款","退款")&amp;"（"&amp;INDEX(资金台帐!$C$7:$C$3006,$K144-3000)&amp;"）"))</f>
      </c>
      <c r="D144" s="141">
        <f>IF($K144="","",IF($K144&lt;=3000,INDEX(出库明细!$D$4:$D$3003,$K144)&amp;"",""))</f>
      </c>
      <c r="E144" s="148">
        <f>IF($K144="","",IF($K144&lt;=3000,INDEX(出库明细!$E$4:$E$3003,$K144),""))</f>
      </c>
      <c r="F144" s="149">
        <f>IF($K144="","",IF($K144&lt;=3000,INDEX(出库明细!$F$4:$F$3003,$K144),""))</f>
      </c>
      <c r="G144" s="186">
        <f>IF($K144="","",IF($K144&lt;=3000,N(INDEX(出库明细!$G$4:$G$3003,$K144)),""))</f>
      </c>
      <c r="H144" s="186">
        <f>IF($K144="","",IF($K144&lt;=3000,"",INDEX(资金台帐!$S$7:$S$3006,$K144-3000)))</f>
      </c>
      <c r="I144" s="187">
        <f>IF($K144="","",I143+N(G144)-N(H144))</f>
      </c>
      <c r="J144" s="213">
        <f>IF($K144="","",IF($K144&lt;=3000,INDEX(出库明细!$H$4:$H$3003,$K144)&amp;"",INDEX(资金台帐!$E$7:$E$3006,$K144-3000)&amp;""))</f>
      </c>
      <c r="K144" s="78">
        <f>IFERROR(MATCH(SMALL(_辅助!$F$4:$F$6003,105),_辅助!$F$4:$F$6003,0),"")</f>
      </c>
    </row>
    <row r="145">
      <c r="A145" s="141">
        <f>IF($K145="","",106)</f>
      </c>
      <c r="B145" s="140">
        <f>IF($K145="","",IF($K145&lt;=3000,INDEX(出库明细!$B$4:$B$3003,$K145),INDEX(资金台帐!$B$7:$B$3006,$K145-3000)))</f>
      </c>
      <c r="C145" s="141">
        <f>IF($K145="","",IF($K145&lt;=3000,"出库领用",IF(INDEX(资金台帐!$S$7:$S$3006,$K145-3000)&gt;=0,"收款","退款")&amp;"（"&amp;INDEX(资金台帐!$C$7:$C$3006,$K145-3000)&amp;"）"))</f>
      </c>
      <c r="D145" s="141">
        <f>IF($K145="","",IF($K145&lt;=3000,INDEX(出库明细!$D$4:$D$3003,$K145)&amp;"",""))</f>
      </c>
      <c r="E145" s="148">
        <f>IF($K145="","",IF($K145&lt;=3000,INDEX(出库明细!$E$4:$E$3003,$K145),""))</f>
      </c>
      <c r="F145" s="149">
        <f>IF($K145="","",IF($K145&lt;=3000,INDEX(出库明细!$F$4:$F$3003,$K145),""))</f>
      </c>
      <c r="G145" s="186">
        <f>IF($K145="","",IF($K145&lt;=3000,N(INDEX(出库明细!$G$4:$G$3003,$K145)),""))</f>
      </c>
      <c r="H145" s="186">
        <f>IF($K145="","",IF($K145&lt;=3000,"",INDEX(资金台帐!$S$7:$S$3006,$K145-3000)))</f>
      </c>
      <c r="I145" s="187">
        <f>IF($K145="","",I144+N(G145)-N(H145))</f>
      </c>
      <c r="J145" s="213">
        <f>IF($K145="","",IF($K145&lt;=3000,INDEX(出库明细!$H$4:$H$3003,$K145)&amp;"",INDEX(资金台帐!$E$7:$E$3006,$K145-3000)&amp;""))</f>
      </c>
      <c r="K145" s="78">
        <f>IFERROR(MATCH(SMALL(_辅助!$F$4:$F$6003,106),_辅助!$F$4:$F$6003,0),"")</f>
      </c>
    </row>
    <row r="146">
      <c r="A146" s="141">
        <f>IF($K146="","",107)</f>
      </c>
      <c r="B146" s="140">
        <f>IF($K146="","",IF($K146&lt;=3000,INDEX(出库明细!$B$4:$B$3003,$K146),INDEX(资金台帐!$B$7:$B$3006,$K146-3000)))</f>
      </c>
      <c r="C146" s="141">
        <f>IF($K146="","",IF($K146&lt;=3000,"出库领用",IF(INDEX(资金台帐!$S$7:$S$3006,$K146-3000)&gt;=0,"收款","退款")&amp;"（"&amp;INDEX(资金台帐!$C$7:$C$3006,$K146-3000)&amp;"）"))</f>
      </c>
      <c r="D146" s="141">
        <f>IF($K146="","",IF($K146&lt;=3000,INDEX(出库明细!$D$4:$D$3003,$K146)&amp;"",""))</f>
      </c>
      <c r="E146" s="148">
        <f>IF($K146="","",IF($K146&lt;=3000,INDEX(出库明细!$E$4:$E$3003,$K146),""))</f>
      </c>
      <c r="F146" s="149">
        <f>IF($K146="","",IF($K146&lt;=3000,INDEX(出库明细!$F$4:$F$3003,$K146),""))</f>
      </c>
      <c r="G146" s="186">
        <f>IF($K146="","",IF($K146&lt;=3000,N(INDEX(出库明细!$G$4:$G$3003,$K146)),""))</f>
      </c>
      <c r="H146" s="186">
        <f>IF($K146="","",IF($K146&lt;=3000,"",INDEX(资金台帐!$S$7:$S$3006,$K146-3000)))</f>
      </c>
      <c r="I146" s="187">
        <f>IF($K146="","",I145+N(G146)-N(H146))</f>
      </c>
      <c r="J146" s="213">
        <f>IF($K146="","",IF($K146&lt;=3000,INDEX(出库明细!$H$4:$H$3003,$K146)&amp;"",INDEX(资金台帐!$E$7:$E$3006,$K146-3000)&amp;""))</f>
      </c>
      <c r="K146" s="78">
        <f>IFERROR(MATCH(SMALL(_辅助!$F$4:$F$6003,107),_辅助!$F$4:$F$6003,0),"")</f>
      </c>
    </row>
    <row r="147">
      <c r="A147" s="141">
        <f>IF($K147="","",108)</f>
      </c>
      <c r="B147" s="140">
        <f>IF($K147="","",IF($K147&lt;=3000,INDEX(出库明细!$B$4:$B$3003,$K147),INDEX(资金台帐!$B$7:$B$3006,$K147-3000)))</f>
      </c>
      <c r="C147" s="141">
        <f>IF($K147="","",IF($K147&lt;=3000,"出库领用",IF(INDEX(资金台帐!$S$7:$S$3006,$K147-3000)&gt;=0,"收款","退款")&amp;"（"&amp;INDEX(资金台帐!$C$7:$C$3006,$K147-3000)&amp;"）"))</f>
      </c>
      <c r="D147" s="141">
        <f>IF($K147="","",IF($K147&lt;=3000,INDEX(出库明细!$D$4:$D$3003,$K147)&amp;"",""))</f>
      </c>
      <c r="E147" s="148">
        <f>IF($K147="","",IF($K147&lt;=3000,INDEX(出库明细!$E$4:$E$3003,$K147),""))</f>
      </c>
      <c r="F147" s="149">
        <f>IF($K147="","",IF($K147&lt;=3000,INDEX(出库明细!$F$4:$F$3003,$K147),""))</f>
      </c>
      <c r="G147" s="186">
        <f>IF($K147="","",IF($K147&lt;=3000,N(INDEX(出库明细!$G$4:$G$3003,$K147)),""))</f>
      </c>
      <c r="H147" s="186">
        <f>IF($K147="","",IF($K147&lt;=3000,"",INDEX(资金台帐!$S$7:$S$3006,$K147-3000)))</f>
      </c>
      <c r="I147" s="187">
        <f>IF($K147="","",I146+N(G147)-N(H147))</f>
      </c>
      <c r="J147" s="213">
        <f>IF($K147="","",IF($K147&lt;=3000,INDEX(出库明细!$H$4:$H$3003,$K147)&amp;"",INDEX(资金台帐!$E$7:$E$3006,$K147-3000)&amp;""))</f>
      </c>
      <c r="K147" s="78">
        <f>IFERROR(MATCH(SMALL(_辅助!$F$4:$F$6003,108),_辅助!$F$4:$F$6003,0),"")</f>
      </c>
    </row>
    <row r="148">
      <c r="A148" s="141">
        <f>IF($K148="","",109)</f>
      </c>
      <c r="B148" s="140">
        <f>IF($K148="","",IF($K148&lt;=3000,INDEX(出库明细!$B$4:$B$3003,$K148),INDEX(资金台帐!$B$7:$B$3006,$K148-3000)))</f>
      </c>
      <c r="C148" s="141">
        <f>IF($K148="","",IF($K148&lt;=3000,"出库领用",IF(INDEX(资金台帐!$S$7:$S$3006,$K148-3000)&gt;=0,"收款","退款")&amp;"（"&amp;INDEX(资金台帐!$C$7:$C$3006,$K148-3000)&amp;"）"))</f>
      </c>
      <c r="D148" s="141">
        <f>IF($K148="","",IF($K148&lt;=3000,INDEX(出库明细!$D$4:$D$3003,$K148)&amp;"",""))</f>
      </c>
      <c r="E148" s="148">
        <f>IF($K148="","",IF($K148&lt;=3000,INDEX(出库明细!$E$4:$E$3003,$K148),""))</f>
      </c>
      <c r="F148" s="149">
        <f>IF($K148="","",IF($K148&lt;=3000,INDEX(出库明细!$F$4:$F$3003,$K148),""))</f>
      </c>
      <c r="G148" s="186">
        <f>IF($K148="","",IF($K148&lt;=3000,N(INDEX(出库明细!$G$4:$G$3003,$K148)),""))</f>
      </c>
      <c r="H148" s="186">
        <f>IF($K148="","",IF($K148&lt;=3000,"",INDEX(资金台帐!$S$7:$S$3006,$K148-3000)))</f>
      </c>
      <c r="I148" s="187">
        <f>IF($K148="","",I147+N(G148)-N(H148))</f>
      </c>
      <c r="J148" s="213">
        <f>IF($K148="","",IF($K148&lt;=3000,INDEX(出库明细!$H$4:$H$3003,$K148)&amp;"",INDEX(资金台帐!$E$7:$E$3006,$K148-3000)&amp;""))</f>
      </c>
      <c r="K148" s="78">
        <f>IFERROR(MATCH(SMALL(_辅助!$F$4:$F$6003,109),_辅助!$F$4:$F$6003,0),"")</f>
      </c>
    </row>
    <row r="149">
      <c r="A149" s="141">
        <f>IF($K149="","",110)</f>
      </c>
      <c r="B149" s="140">
        <f>IF($K149="","",IF($K149&lt;=3000,INDEX(出库明细!$B$4:$B$3003,$K149),INDEX(资金台帐!$B$7:$B$3006,$K149-3000)))</f>
      </c>
      <c r="C149" s="141">
        <f>IF($K149="","",IF($K149&lt;=3000,"出库领用",IF(INDEX(资金台帐!$S$7:$S$3006,$K149-3000)&gt;=0,"收款","退款")&amp;"（"&amp;INDEX(资金台帐!$C$7:$C$3006,$K149-3000)&amp;"）"))</f>
      </c>
      <c r="D149" s="141">
        <f>IF($K149="","",IF($K149&lt;=3000,INDEX(出库明细!$D$4:$D$3003,$K149)&amp;"",""))</f>
      </c>
      <c r="E149" s="148">
        <f>IF($K149="","",IF($K149&lt;=3000,INDEX(出库明细!$E$4:$E$3003,$K149),""))</f>
      </c>
      <c r="F149" s="149">
        <f>IF($K149="","",IF($K149&lt;=3000,INDEX(出库明细!$F$4:$F$3003,$K149),""))</f>
      </c>
      <c r="G149" s="186">
        <f>IF($K149="","",IF($K149&lt;=3000,N(INDEX(出库明细!$G$4:$G$3003,$K149)),""))</f>
      </c>
      <c r="H149" s="186">
        <f>IF($K149="","",IF($K149&lt;=3000,"",INDEX(资金台帐!$S$7:$S$3006,$K149-3000)))</f>
      </c>
      <c r="I149" s="187">
        <f>IF($K149="","",I148+N(G149)-N(H149))</f>
      </c>
      <c r="J149" s="213">
        <f>IF($K149="","",IF($K149&lt;=3000,INDEX(出库明细!$H$4:$H$3003,$K149)&amp;"",INDEX(资金台帐!$E$7:$E$3006,$K149-3000)&amp;""))</f>
      </c>
      <c r="K149" s="78">
        <f>IFERROR(MATCH(SMALL(_辅助!$F$4:$F$6003,110),_辅助!$F$4:$F$6003,0),"")</f>
      </c>
    </row>
    <row r="150">
      <c r="A150" s="141">
        <f>IF($K150="","",111)</f>
      </c>
      <c r="B150" s="140">
        <f>IF($K150="","",IF($K150&lt;=3000,INDEX(出库明细!$B$4:$B$3003,$K150),INDEX(资金台帐!$B$7:$B$3006,$K150-3000)))</f>
      </c>
      <c r="C150" s="141">
        <f>IF($K150="","",IF($K150&lt;=3000,"出库领用",IF(INDEX(资金台帐!$S$7:$S$3006,$K150-3000)&gt;=0,"收款","退款")&amp;"（"&amp;INDEX(资金台帐!$C$7:$C$3006,$K150-3000)&amp;"）"))</f>
      </c>
      <c r="D150" s="141">
        <f>IF($K150="","",IF($K150&lt;=3000,INDEX(出库明细!$D$4:$D$3003,$K150)&amp;"",""))</f>
      </c>
      <c r="E150" s="148">
        <f>IF($K150="","",IF($K150&lt;=3000,INDEX(出库明细!$E$4:$E$3003,$K150),""))</f>
      </c>
      <c r="F150" s="149">
        <f>IF($K150="","",IF($K150&lt;=3000,INDEX(出库明细!$F$4:$F$3003,$K150),""))</f>
      </c>
      <c r="G150" s="186">
        <f>IF($K150="","",IF($K150&lt;=3000,N(INDEX(出库明细!$G$4:$G$3003,$K150)),""))</f>
      </c>
      <c r="H150" s="186">
        <f>IF($K150="","",IF($K150&lt;=3000,"",INDEX(资金台帐!$S$7:$S$3006,$K150-3000)))</f>
      </c>
      <c r="I150" s="187">
        <f>IF($K150="","",I149+N(G150)-N(H150))</f>
      </c>
      <c r="J150" s="213">
        <f>IF($K150="","",IF($K150&lt;=3000,INDEX(出库明细!$H$4:$H$3003,$K150)&amp;"",INDEX(资金台帐!$E$7:$E$3006,$K150-3000)&amp;""))</f>
      </c>
      <c r="K150" s="78">
        <f>IFERROR(MATCH(SMALL(_辅助!$F$4:$F$6003,111),_辅助!$F$4:$F$6003,0),"")</f>
      </c>
    </row>
    <row r="151">
      <c r="A151" s="141">
        <f>IF($K151="","",112)</f>
      </c>
      <c r="B151" s="140">
        <f>IF($K151="","",IF($K151&lt;=3000,INDEX(出库明细!$B$4:$B$3003,$K151),INDEX(资金台帐!$B$7:$B$3006,$K151-3000)))</f>
      </c>
      <c r="C151" s="141">
        <f>IF($K151="","",IF($K151&lt;=3000,"出库领用",IF(INDEX(资金台帐!$S$7:$S$3006,$K151-3000)&gt;=0,"收款","退款")&amp;"（"&amp;INDEX(资金台帐!$C$7:$C$3006,$K151-3000)&amp;"）"))</f>
      </c>
      <c r="D151" s="141">
        <f>IF($K151="","",IF($K151&lt;=3000,INDEX(出库明细!$D$4:$D$3003,$K151)&amp;"",""))</f>
      </c>
      <c r="E151" s="148">
        <f>IF($K151="","",IF($K151&lt;=3000,INDEX(出库明细!$E$4:$E$3003,$K151),""))</f>
      </c>
      <c r="F151" s="149">
        <f>IF($K151="","",IF($K151&lt;=3000,INDEX(出库明细!$F$4:$F$3003,$K151),""))</f>
      </c>
      <c r="G151" s="186">
        <f>IF($K151="","",IF($K151&lt;=3000,N(INDEX(出库明细!$G$4:$G$3003,$K151)),""))</f>
      </c>
      <c r="H151" s="186">
        <f>IF($K151="","",IF($K151&lt;=3000,"",INDEX(资金台帐!$S$7:$S$3006,$K151-3000)))</f>
      </c>
      <c r="I151" s="187">
        <f>IF($K151="","",I150+N(G151)-N(H151))</f>
      </c>
      <c r="J151" s="213">
        <f>IF($K151="","",IF($K151&lt;=3000,INDEX(出库明细!$H$4:$H$3003,$K151)&amp;"",INDEX(资金台帐!$E$7:$E$3006,$K151-3000)&amp;""))</f>
      </c>
      <c r="K151" s="78">
        <f>IFERROR(MATCH(SMALL(_辅助!$F$4:$F$6003,112),_辅助!$F$4:$F$6003,0),"")</f>
      </c>
    </row>
    <row r="152">
      <c r="A152" s="141">
        <f>IF($K152="","",113)</f>
      </c>
      <c r="B152" s="140">
        <f>IF($K152="","",IF($K152&lt;=3000,INDEX(出库明细!$B$4:$B$3003,$K152),INDEX(资金台帐!$B$7:$B$3006,$K152-3000)))</f>
      </c>
      <c r="C152" s="141">
        <f>IF($K152="","",IF($K152&lt;=3000,"出库领用",IF(INDEX(资金台帐!$S$7:$S$3006,$K152-3000)&gt;=0,"收款","退款")&amp;"（"&amp;INDEX(资金台帐!$C$7:$C$3006,$K152-3000)&amp;"）"))</f>
      </c>
      <c r="D152" s="141">
        <f>IF($K152="","",IF($K152&lt;=3000,INDEX(出库明细!$D$4:$D$3003,$K152)&amp;"",""))</f>
      </c>
      <c r="E152" s="148">
        <f>IF($K152="","",IF($K152&lt;=3000,INDEX(出库明细!$E$4:$E$3003,$K152),""))</f>
      </c>
      <c r="F152" s="149">
        <f>IF($K152="","",IF($K152&lt;=3000,INDEX(出库明细!$F$4:$F$3003,$K152),""))</f>
      </c>
      <c r="G152" s="186">
        <f>IF($K152="","",IF($K152&lt;=3000,N(INDEX(出库明细!$G$4:$G$3003,$K152)),""))</f>
      </c>
      <c r="H152" s="186">
        <f>IF($K152="","",IF($K152&lt;=3000,"",INDEX(资金台帐!$S$7:$S$3006,$K152-3000)))</f>
      </c>
      <c r="I152" s="187">
        <f>IF($K152="","",I151+N(G152)-N(H152))</f>
      </c>
      <c r="J152" s="213">
        <f>IF($K152="","",IF($K152&lt;=3000,INDEX(出库明细!$H$4:$H$3003,$K152)&amp;"",INDEX(资金台帐!$E$7:$E$3006,$K152-3000)&amp;""))</f>
      </c>
      <c r="K152" s="78">
        <f>IFERROR(MATCH(SMALL(_辅助!$F$4:$F$6003,113),_辅助!$F$4:$F$6003,0),"")</f>
      </c>
    </row>
    <row r="153">
      <c r="A153" s="141">
        <f>IF($K153="","",114)</f>
      </c>
      <c r="B153" s="140">
        <f>IF($K153="","",IF($K153&lt;=3000,INDEX(出库明细!$B$4:$B$3003,$K153),INDEX(资金台帐!$B$7:$B$3006,$K153-3000)))</f>
      </c>
      <c r="C153" s="141">
        <f>IF($K153="","",IF($K153&lt;=3000,"出库领用",IF(INDEX(资金台帐!$S$7:$S$3006,$K153-3000)&gt;=0,"收款","退款")&amp;"（"&amp;INDEX(资金台帐!$C$7:$C$3006,$K153-3000)&amp;"）"))</f>
      </c>
      <c r="D153" s="141">
        <f>IF($K153="","",IF($K153&lt;=3000,INDEX(出库明细!$D$4:$D$3003,$K153)&amp;"",""))</f>
      </c>
      <c r="E153" s="148">
        <f>IF($K153="","",IF($K153&lt;=3000,INDEX(出库明细!$E$4:$E$3003,$K153),""))</f>
      </c>
      <c r="F153" s="149">
        <f>IF($K153="","",IF($K153&lt;=3000,INDEX(出库明细!$F$4:$F$3003,$K153),""))</f>
      </c>
      <c r="G153" s="186">
        <f>IF($K153="","",IF($K153&lt;=3000,N(INDEX(出库明细!$G$4:$G$3003,$K153)),""))</f>
      </c>
      <c r="H153" s="186">
        <f>IF($K153="","",IF($K153&lt;=3000,"",INDEX(资金台帐!$S$7:$S$3006,$K153-3000)))</f>
      </c>
      <c r="I153" s="187">
        <f>IF($K153="","",I152+N(G153)-N(H153))</f>
      </c>
      <c r="J153" s="213">
        <f>IF($K153="","",IF($K153&lt;=3000,INDEX(出库明细!$H$4:$H$3003,$K153)&amp;"",INDEX(资金台帐!$E$7:$E$3006,$K153-3000)&amp;""))</f>
      </c>
      <c r="K153" s="78">
        <f>IFERROR(MATCH(SMALL(_辅助!$F$4:$F$6003,114),_辅助!$F$4:$F$6003,0),"")</f>
      </c>
    </row>
    <row r="154">
      <c r="A154" s="141">
        <f>IF($K154="","",115)</f>
      </c>
      <c r="B154" s="140">
        <f>IF($K154="","",IF($K154&lt;=3000,INDEX(出库明细!$B$4:$B$3003,$K154),INDEX(资金台帐!$B$7:$B$3006,$K154-3000)))</f>
      </c>
      <c r="C154" s="141">
        <f>IF($K154="","",IF($K154&lt;=3000,"出库领用",IF(INDEX(资金台帐!$S$7:$S$3006,$K154-3000)&gt;=0,"收款","退款")&amp;"（"&amp;INDEX(资金台帐!$C$7:$C$3006,$K154-3000)&amp;"）"))</f>
      </c>
      <c r="D154" s="141">
        <f>IF($K154="","",IF($K154&lt;=3000,INDEX(出库明细!$D$4:$D$3003,$K154)&amp;"",""))</f>
      </c>
      <c r="E154" s="148">
        <f>IF($K154="","",IF($K154&lt;=3000,INDEX(出库明细!$E$4:$E$3003,$K154),""))</f>
      </c>
      <c r="F154" s="149">
        <f>IF($K154="","",IF($K154&lt;=3000,INDEX(出库明细!$F$4:$F$3003,$K154),""))</f>
      </c>
      <c r="G154" s="186">
        <f>IF($K154="","",IF($K154&lt;=3000,N(INDEX(出库明细!$G$4:$G$3003,$K154)),""))</f>
      </c>
      <c r="H154" s="186">
        <f>IF($K154="","",IF($K154&lt;=3000,"",INDEX(资金台帐!$S$7:$S$3006,$K154-3000)))</f>
      </c>
      <c r="I154" s="187">
        <f>IF($K154="","",I153+N(G154)-N(H154))</f>
      </c>
      <c r="J154" s="213">
        <f>IF($K154="","",IF($K154&lt;=3000,INDEX(出库明细!$H$4:$H$3003,$K154)&amp;"",INDEX(资金台帐!$E$7:$E$3006,$K154-3000)&amp;""))</f>
      </c>
      <c r="K154" s="78">
        <f>IFERROR(MATCH(SMALL(_辅助!$F$4:$F$6003,115),_辅助!$F$4:$F$6003,0),"")</f>
      </c>
    </row>
    <row r="155">
      <c r="A155" s="141">
        <f>IF($K155="","",116)</f>
      </c>
      <c r="B155" s="140">
        <f>IF($K155="","",IF($K155&lt;=3000,INDEX(出库明细!$B$4:$B$3003,$K155),INDEX(资金台帐!$B$7:$B$3006,$K155-3000)))</f>
      </c>
      <c r="C155" s="141">
        <f>IF($K155="","",IF($K155&lt;=3000,"出库领用",IF(INDEX(资金台帐!$S$7:$S$3006,$K155-3000)&gt;=0,"收款","退款")&amp;"（"&amp;INDEX(资金台帐!$C$7:$C$3006,$K155-3000)&amp;"）"))</f>
      </c>
      <c r="D155" s="141">
        <f>IF($K155="","",IF($K155&lt;=3000,INDEX(出库明细!$D$4:$D$3003,$K155)&amp;"",""))</f>
      </c>
      <c r="E155" s="148">
        <f>IF($K155="","",IF($K155&lt;=3000,INDEX(出库明细!$E$4:$E$3003,$K155),""))</f>
      </c>
      <c r="F155" s="149">
        <f>IF($K155="","",IF($K155&lt;=3000,INDEX(出库明细!$F$4:$F$3003,$K155),""))</f>
      </c>
      <c r="G155" s="186">
        <f>IF($K155="","",IF($K155&lt;=3000,N(INDEX(出库明细!$G$4:$G$3003,$K155)),""))</f>
      </c>
      <c r="H155" s="186">
        <f>IF($K155="","",IF($K155&lt;=3000,"",INDEX(资金台帐!$S$7:$S$3006,$K155-3000)))</f>
      </c>
      <c r="I155" s="187">
        <f>IF($K155="","",I154+N(G155)-N(H155))</f>
      </c>
      <c r="J155" s="213">
        <f>IF($K155="","",IF($K155&lt;=3000,INDEX(出库明细!$H$4:$H$3003,$K155)&amp;"",INDEX(资金台帐!$E$7:$E$3006,$K155-3000)&amp;""))</f>
      </c>
      <c r="K155" s="78">
        <f>IFERROR(MATCH(SMALL(_辅助!$F$4:$F$6003,116),_辅助!$F$4:$F$6003,0),"")</f>
      </c>
    </row>
    <row r="156">
      <c r="A156" s="141">
        <f>IF($K156="","",117)</f>
      </c>
      <c r="B156" s="140">
        <f>IF($K156="","",IF($K156&lt;=3000,INDEX(出库明细!$B$4:$B$3003,$K156),INDEX(资金台帐!$B$7:$B$3006,$K156-3000)))</f>
      </c>
      <c r="C156" s="141">
        <f>IF($K156="","",IF($K156&lt;=3000,"出库领用",IF(INDEX(资金台帐!$S$7:$S$3006,$K156-3000)&gt;=0,"收款","退款")&amp;"（"&amp;INDEX(资金台帐!$C$7:$C$3006,$K156-3000)&amp;"）"))</f>
      </c>
      <c r="D156" s="141">
        <f>IF($K156="","",IF($K156&lt;=3000,INDEX(出库明细!$D$4:$D$3003,$K156)&amp;"",""))</f>
      </c>
      <c r="E156" s="148">
        <f>IF($K156="","",IF($K156&lt;=3000,INDEX(出库明细!$E$4:$E$3003,$K156),""))</f>
      </c>
      <c r="F156" s="149">
        <f>IF($K156="","",IF($K156&lt;=3000,INDEX(出库明细!$F$4:$F$3003,$K156),""))</f>
      </c>
      <c r="G156" s="186">
        <f>IF($K156="","",IF($K156&lt;=3000,N(INDEX(出库明细!$G$4:$G$3003,$K156)),""))</f>
      </c>
      <c r="H156" s="186">
        <f>IF($K156="","",IF($K156&lt;=3000,"",INDEX(资金台帐!$S$7:$S$3006,$K156-3000)))</f>
      </c>
      <c r="I156" s="187">
        <f>IF($K156="","",I155+N(G156)-N(H156))</f>
      </c>
      <c r="J156" s="213">
        <f>IF($K156="","",IF($K156&lt;=3000,INDEX(出库明细!$H$4:$H$3003,$K156)&amp;"",INDEX(资金台帐!$E$7:$E$3006,$K156-3000)&amp;""))</f>
      </c>
      <c r="K156" s="78">
        <f>IFERROR(MATCH(SMALL(_辅助!$F$4:$F$6003,117),_辅助!$F$4:$F$6003,0),"")</f>
      </c>
    </row>
    <row r="157">
      <c r="A157" s="141">
        <f>IF($K157="","",118)</f>
      </c>
      <c r="B157" s="140">
        <f>IF($K157="","",IF($K157&lt;=3000,INDEX(出库明细!$B$4:$B$3003,$K157),INDEX(资金台帐!$B$7:$B$3006,$K157-3000)))</f>
      </c>
      <c r="C157" s="141">
        <f>IF($K157="","",IF($K157&lt;=3000,"出库领用",IF(INDEX(资金台帐!$S$7:$S$3006,$K157-3000)&gt;=0,"收款","退款")&amp;"（"&amp;INDEX(资金台帐!$C$7:$C$3006,$K157-3000)&amp;"）"))</f>
      </c>
      <c r="D157" s="141">
        <f>IF($K157="","",IF($K157&lt;=3000,INDEX(出库明细!$D$4:$D$3003,$K157)&amp;"",""))</f>
      </c>
      <c r="E157" s="148">
        <f>IF($K157="","",IF($K157&lt;=3000,INDEX(出库明细!$E$4:$E$3003,$K157),""))</f>
      </c>
      <c r="F157" s="149">
        <f>IF($K157="","",IF($K157&lt;=3000,INDEX(出库明细!$F$4:$F$3003,$K157),""))</f>
      </c>
      <c r="G157" s="186">
        <f>IF($K157="","",IF($K157&lt;=3000,N(INDEX(出库明细!$G$4:$G$3003,$K157)),""))</f>
      </c>
      <c r="H157" s="186">
        <f>IF($K157="","",IF($K157&lt;=3000,"",INDEX(资金台帐!$S$7:$S$3006,$K157-3000)))</f>
      </c>
      <c r="I157" s="187">
        <f>IF($K157="","",I156+N(G157)-N(H157))</f>
      </c>
      <c r="J157" s="213">
        <f>IF($K157="","",IF($K157&lt;=3000,INDEX(出库明细!$H$4:$H$3003,$K157)&amp;"",INDEX(资金台帐!$E$7:$E$3006,$K157-3000)&amp;""))</f>
      </c>
      <c r="K157" s="78">
        <f>IFERROR(MATCH(SMALL(_辅助!$F$4:$F$6003,118),_辅助!$F$4:$F$6003,0),"")</f>
      </c>
    </row>
    <row r="158">
      <c r="A158" s="141">
        <f>IF($K158="","",119)</f>
      </c>
      <c r="B158" s="140">
        <f>IF($K158="","",IF($K158&lt;=3000,INDEX(出库明细!$B$4:$B$3003,$K158),INDEX(资金台帐!$B$7:$B$3006,$K158-3000)))</f>
      </c>
      <c r="C158" s="141">
        <f>IF($K158="","",IF($K158&lt;=3000,"出库领用",IF(INDEX(资金台帐!$S$7:$S$3006,$K158-3000)&gt;=0,"收款","退款")&amp;"（"&amp;INDEX(资金台帐!$C$7:$C$3006,$K158-3000)&amp;"）"))</f>
      </c>
      <c r="D158" s="141">
        <f>IF($K158="","",IF($K158&lt;=3000,INDEX(出库明细!$D$4:$D$3003,$K158)&amp;"",""))</f>
      </c>
      <c r="E158" s="148">
        <f>IF($K158="","",IF($K158&lt;=3000,INDEX(出库明细!$E$4:$E$3003,$K158),""))</f>
      </c>
      <c r="F158" s="149">
        <f>IF($K158="","",IF($K158&lt;=3000,INDEX(出库明细!$F$4:$F$3003,$K158),""))</f>
      </c>
      <c r="G158" s="186">
        <f>IF($K158="","",IF($K158&lt;=3000,N(INDEX(出库明细!$G$4:$G$3003,$K158)),""))</f>
      </c>
      <c r="H158" s="186">
        <f>IF($K158="","",IF($K158&lt;=3000,"",INDEX(资金台帐!$S$7:$S$3006,$K158-3000)))</f>
      </c>
      <c r="I158" s="187">
        <f>IF($K158="","",I157+N(G158)-N(H158))</f>
      </c>
      <c r="J158" s="213">
        <f>IF($K158="","",IF($K158&lt;=3000,INDEX(出库明细!$H$4:$H$3003,$K158)&amp;"",INDEX(资金台帐!$E$7:$E$3006,$K158-3000)&amp;""))</f>
      </c>
      <c r="K158" s="78">
        <f>IFERROR(MATCH(SMALL(_辅助!$F$4:$F$6003,119),_辅助!$F$4:$F$6003,0),"")</f>
      </c>
    </row>
    <row r="159">
      <c r="A159" s="141">
        <f>IF($K159="","",120)</f>
      </c>
      <c r="B159" s="140">
        <f>IF($K159="","",IF($K159&lt;=3000,INDEX(出库明细!$B$4:$B$3003,$K159),INDEX(资金台帐!$B$7:$B$3006,$K159-3000)))</f>
      </c>
      <c r="C159" s="141">
        <f>IF($K159="","",IF($K159&lt;=3000,"出库领用",IF(INDEX(资金台帐!$S$7:$S$3006,$K159-3000)&gt;=0,"收款","退款")&amp;"（"&amp;INDEX(资金台帐!$C$7:$C$3006,$K159-3000)&amp;"）"))</f>
      </c>
      <c r="D159" s="141">
        <f>IF($K159="","",IF($K159&lt;=3000,INDEX(出库明细!$D$4:$D$3003,$K159)&amp;"",""))</f>
      </c>
      <c r="E159" s="148">
        <f>IF($K159="","",IF($K159&lt;=3000,INDEX(出库明细!$E$4:$E$3003,$K159),""))</f>
      </c>
      <c r="F159" s="149">
        <f>IF($K159="","",IF($K159&lt;=3000,INDEX(出库明细!$F$4:$F$3003,$K159),""))</f>
      </c>
      <c r="G159" s="186">
        <f>IF($K159="","",IF($K159&lt;=3000,N(INDEX(出库明细!$G$4:$G$3003,$K159)),""))</f>
      </c>
      <c r="H159" s="186">
        <f>IF($K159="","",IF($K159&lt;=3000,"",INDEX(资金台帐!$S$7:$S$3006,$K159-3000)))</f>
      </c>
      <c r="I159" s="187">
        <f>IF($K159="","",I158+N(G159)-N(H159))</f>
      </c>
      <c r="J159" s="213">
        <f>IF($K159="","",IF($K159&lt;=3000,INDEX(出库明细!$H$4:$H$3003,$K159)&amp;"",INDEX(资金台帐!$E$7:$E$3006,$K159-3000)&amp;""))</f>
      </c>
      <c r="K159" s="78">
        <f>IFERROR(MATCH(SMALL(_辅助!$F$4:$F$6003,120),_辅助!$F$4:$F$6003,0),"")</f>
      </c>
    </row>
    <row r="160">
      <c r="A160" s="141">
        <f>IF($K160="","",121)</f>
      </c>
      <c r="B160" s="140">
        <f>IF($K160="","",IF($K160&lt;=3000,INDEX(出库明细!$B$4:$B$3003,$K160),INDEX(资金台帐!$B$7:$B$3006,$K160-3000)))</f>
      </c>
      <c r="C160" s="141">
        <f>IF($K160="","",IF($K160&lt;=3000,"出库领用",IF(INDEX(资金台帐!$S$7:$S$3006,$K160-3000)&gt;=0,"收款","退款")&amp;"（"&amp;INDEX(资金台帐!$C$7:$C$3006,$K160-3000)&amp;"）"))</f>
      </c>
      <c r="D160" s="141">
        <f>IF($K160="","",IF($K160&lt;=3000,INDEX(出库明细!$D$4:$D$3003,$K160)&amp;"",""))</f>
      </c>
      <c r="E160" s="148">
        <f>IF($K160="","",IF($K160&lt;=3000,INDEX(出库明细!$E$4:$E$3003,$K160),""))</f>
      </c>
      <c r="F160" s="149">
        <f>IF($K160="","",IF($K160&lt;=3000,INDEX(出库明细!$F$4:$F$3003,$K160),""))</f>
      </c>
      <c r="G160" s="186">
        <f>IF($K160="","",IF($K160&lt;=3000,N(INDEX(出库明细!$G$4:$G$3003,$K160)),""))</f>
      </c>
      <c r="H160" s="186">
        <f>IF($K160="","",IF($K160&lt;=3000,"",INDEX(资金台帐!$S$7:$S$3006,$K160-3000)))</f>
      </c>
      <c r="I160" s="187">
        <f>IF($K160="","",I159+N(G160)-N(H160))</f>
      </c>
      <c r="J160" s="213">
        <f>IF($K160="","",IF($K160&lt;=3000,INDEX(出库明细!$H$4:$H$3003,$K160)&amp;"",INDEX(资金台帐!$E$7:$E$3006,$K160-3000)&amp;""))</f>
      </c>
      <c r="K160" s="78">
        <f>IFERROR(MATCH(SMALL(_辅助!$F$4:$F$6003,121),_辅助!$F$4:$F$6003,0),"")</f>
      </c>
    </row>
    <row r="161">
      <c r="A161" s="141">
        <f>IF($K161="","",122)</f>
      </c>
      <c r="B161" s="140">
        <f>IF($K161="","",IF($K161&lt;=3000,INDEX(出库明细!$B$4:$B$3003,$K161),INDEX(资金台帐!$B$7:$B$3006,$K161-3000)))</f>
      </c>
      <c r="C161" s="141">
        <f>IF($K161="","",IF($K161&lt;=3000,"出库领用",IF(INDEX(资金台帐!$S$7:$S$3006,$K161-3000)&gt;=0,"收款","退款")&amp;"（"&amp;INDEX(资金台帐!$C$7:$C$3006,$K161-3000)&amp;"）"))</f>
      </c>
      <c r="D161" s="141">
        <f>IF($K161="","",IF($K161&lt;=3000,INDEX(出库明细!$D$4:$D$3003,$K161)&amp;"",""))</f>
      </c>
      <c r="E161" s="148">
        <f>IF($K161="","",IF($K161&lt;=3000,INDEX(出库明细!$E$4:$E$3003,$K161),""))</f>
      </c>
      <c r="F161" s="149">
        <f>IF($K161="","",IF($K161&lt;=3000,INDEX(出库明细!$F$4:$F$3003,$K161),""))</f>
      </c>
      <c r="G161" s="186">
        <f>IF($K161="","",IF($K161&lt;=3000,N(INDEX(出库明细!$G$4:$G$3003,$K161)),""))</f>
      </c>
      <c r="H161" s="186">
        <f>IF($K161="","",IF($K161&lt;=3000,"",INDEX(资金台帐!$S$7:$S$3006,$K161-3000)))</f>
      </c>
      <c r="I161" s="187">
        <f>IF($K161="","",I160+N(G161)-N(H161))</f>
      </c>
      <c r="J161" s="213">
        <f>IF($K161="","",IF($K161&lt;=3000,INDEX(出库明细!$H$4:$H$3003,$K161)&amp;"",INDEX(资金台帐!$E$7:$E$3006,$K161-3000)&amp;""))</f>
      </c>
      <c r="K161" s="78">
        <f>IFERROR(MATCH(SMALL(_辅助!$F$4:$F$6003,122),_辅助!$F$4:$F$6003,0),"")</f>
      </c>
    </row>
    <row r="162">
      <c r="A162" s="141">
        <f>IF($K162="","",123)</f>
      </c>
      <c r="B162" s="140">
        <f>IF($K162="","",IF($K162&lt;=3000,INDEX(出库明细!$B$4:$B$3003,$K162),INDEX(资金台帐!$B$7:$B$3006,$K162-3000)))</f>
      </c>
      <c r="C162" s="141">
        <f>IF($K162="","",IF($K162&lt;=3000,"出库领用",IF(INDEX(资金台帐!$S$7:$S$3006,$K162-3000)&gt;=0,"收款","退款")&amp;"（"&amp;INDEX(资金台帐!$C$7:$C$3006,$K162-3000)&amp;"）"))</f>
      </c>
      <c r="D162" s="141">
        <f>IF($K162="","",IF($K162&lt;=3000,INDEX(出库明细!$D$4:$D$3003,$K162)&amp;"",""))</f>
      </c>
      <c r="E162" s="148">
        <f>IF($K162="","",IF($K162&lt;=3000,INDEX(出库明细!$E$4:$E$3003,$K162),""))</f>
      </c>
      <c r="F162" s="149">
        <f>IF($K162="","",IF($K162&lt;=3000,INDEX(出库明细!$F$4:$F$3003,$K162),""))</f>
      </c>
      <c r="G162" s="186">
        <f>IF($K162="","",IF($K162&lt;=3000,N(INDEX(出库明细!$G$4:$G$3003,$K162)),""))</f>
      </c>
      <c r="H162" s="186">
        <f>IF($K162="","",IF($K162&lt;=3000,"",INDEX(资金台帐!$S$7:$S$3006,$K162-3000)))</f>
      </c>
      <c r="I162" s="187">
        <f>IF($K162="","",I161+N(G162)-N(H162))</f>
      </c>
      <c r="J162" s="213">
        <f>IF($K162="","",IF($K162&lt;=3000,INDEX(出库明细!$H$4:$H$3003,$K162)&amp;"",INDEX(资金台帐!$E$7:$E$3006,$K162-3000)&amp;""))</f>
      </c>
      <c r="K162" s="78">
        <f>IFERROR(MATCH(SMALL(_辅助!$F$4:$F$6003,123),_辅助!$F$4:$F$6003,0),"")</f>
      </c>
    </row>
    <row r="163">
      <c r="A163" s="141">
        <f>IF($K163="","",124)</f>
      </c>
      <c r="B163" s="140">
        <f>IF($K163="","",IF($K163&lt;=3000,INDEX(出库明细!$B$4:$B$3003,$K163),INDEX(资金台帐!$B$7:$B$3006,$K163-3000)))</f>
      </c>
      <c r="C163" s="141">
        <f>IF($K163="","",IF($K163&lt;=3000,"出库领用",IF(INDEX(资金台帐!$S$7:$S$3006,$K163-3000)&gt;=0,"收款","退款")&amp;"（"&amp;INDEX(资金台帐!$C$7:$C$3006,$K163-3000)&amp;"）"))</f>
      </c>
      <c r="D163" s="141">
        <f>IF($K163="","",IF($K163&lt;=3000,INDEX(出库明细!$D$4:$D$3003,$K163)&amp;"",""))</f>
      </c>
      <c r="E163" s="148">
        <f>IF($K163="","",IF($K163&lt;=3000,INDEX(出库明细!$E$4:$E$3003,$K163),""))</f>
      </c>
      <c r="F163" s="149">
        <f>IF($K163="","",IF($K163&lt;=3000,INDEX(出库明细!$F$4:$F$3003,$K163),""))</f>
      </c>
      <c r="G163" s="186">
        <f>IF($K163="","",IF($K163&lt;=3000,N(INDEX(出库明细!$G$4:$G$3003,$K163)),""))</f>
      </c>
      <c r="H163" s="186">
        <f>IF($K163="","",IF($K163&lt;=3000,"",INDEX(资金台帐!$S$7:$S$3006,$K163-3000)))</f>
      </c>
      <c r="I163" s="187">
        <f>IF($K163="","",I162+N(G163)-N(H163))</f>
      </c>
      <c r="J163" s="213">
        <f>IF($K163="","",IF($K163&lt;=3000,INDEX(出库明细!$H$4:$H$3003,$K163)&amp;"",INDEX(资金台帐!$E$7:$E$3006,$K163-3000)&amp;""))</f>
      </c>
      <c r="K163" s="78">
        <f>IFERROR(MATCH(SMALL(_辅助!$F$4:$F$6003,124),_辅助!$F$4:$F$6003,0),"")</f>
      </c>
    </row>
    <row r="164">
      <c r="A164" s="141">
        <f>IF($K164="","",125)</f>
      </c>
      <c r="B164" s="140">
        <f>IF($K164="","",IF($K164&lt;=3000,INDEX(出库明细!$B$4:$B$3003,$K164),INDEX(资金台帐!$B$7:$B$3006,$K164-3000)))</f>
      </c>
      <c r="C164" s="141">
        <f>IF($K164="","",IF($K164&lt;=3000,"出库领用",IF(INDEX(资金台帐!$S$7:$S$3006,$K164-3000)&gt;=0,"收款","退款")&amp;"（"&amp;INDEX(资金台帐!$C$7:$C$3006,$K164-3000)&amp;"）"))</f>
      </c>
      <c r="D164" s="141">
        <f>IF($K164="","",IF($K164&lt;=3000,INDEX(出库明细!$D$4:$D$3003,$K164)&amp;"",""))</f>
      </c>
      <c r="E164" s="148">
        <f>IF($K164="","",IF($K164&lt;=3000,INDEX(出库明细!$E$4:$E$3003,$K164),""))</f>
      </c>
      <c r="F164" s="149">
        <f>IF($K164="","",IF($K164&lt;=3000,INDEX(出库明细!$F$4:$F$3003,$K164),""))</f>
      </c>
      <c r="G164" s="186">
        <f>IF($K164="","",IF($K164&lt;=3000,N(INDEX(出库明细!$G$4:$G$3003,$K164)),""))</f>
      </c>
      <c r="H164" s="186">
        <f>IF($K164="","",IF($K164&lt;=3000,"",INDEX(资金台帐!$S$7:$S$3006,$K164-3000)))</f>
      </c>
      <c r="I164" s="187">
        <f>IF($K164="","",I163+N(G164)-N(H164))</f>
      </c>
      <c r="J164" s="213">
        <f>IF($K164="","",IF($K164&lt;=3000,INDEX(出库明细!$H$4:$H$3003,$K164)&amp;"",INDEX(资金台帐!$E$7:$E$3006,$K164-3000)&amp;""))</f>
      </c>
      <c r="K164" s="78">
        <f>IFERROR(MATCH(SMALL(_辅助!$F$4:$F$6003,125),_辅助!$F$4:$F$6003,0),"")</f>
      </c>
    </row>
    <row r="165">
      <c r="A165" s="141">
        <f>IF($K165="","",126)</f>
      </c>
      <c r="B165" s="140">
        <f>IF($K165="","",IF($K165&lt;=3000,INDEX(出库明细!$B$4:$B$3003,$K165),INDEX(资金台帐!$B$7:$B$3006,$K165-3000)))</f>
      </c>
      <c r="C165" s="141">
        <f>IF($K165="","",IF($K165&lt;=3000,"出库领用",IF(INDEX(资金台帐!$S$7:$S$3006,$K165-3000)&gt;=0,"收款","退款")&amp;"（"&amp;INDEX(资金台帐!$C$7:$C$3006,$K165-3000)&amp;"）"))</f>
      </c>
      <c r="D165" s="141">
        <f>IF($K165="","",IF($K165&lt;=3000,INDEX(出库明细!$D$4:$D$3003,$K165)&amp;"",""))</f>
      </c>
      <c r="E165" s="148">
        <f>IF($K165="","",IF($K165&lt;=3000,INDEX(出库明细!$E$4:$E$3003,$K165),""))</f>
      </c>
      <c r="F165" s="149">
        <f>IF($K165="","",IF($K165&lt;=3000,INDEX(出库明细!$F$4:$F$3003,$K165),""))</f>
      </c>
      <c r="G165" s="186">
        <f>IF($K165="","",IF($K165&lt;=3000,N(INDEX(出库明细!$G$4:$G$3003,$K165)),""))</f>
      </c>
      <c r="H165" s="186">
        <f>IF($K165="","",IF($K165&lt;=3000,"",INDEX(资金台帐!$S$7:$S$3006,$K165-3000)))</f>
      </c>
      <c r="I165" s="187">
        <f>IF($K165="","",I164+N(G165)-N(H165))</f>
      </c>
      <c r="J165" s="213">
        <f>IF($K165="","",IF($K165&lt;=3000,INDEX(出库明细!$H$4:$H$3003,$K165)&amp;"",INDEX(资金台帐!$E$7:$E$3006,$K165-3000)&amp;""))</f>
      </c>
      <c r="K165" s="78">
        <f>IFERROR(MATCH(SMALL(_辅助!$F$4:$F$6003,126),_辅助!$F$4:$F$6003,0),"")</f>
      </c>
    </row>
    <row r="166">
      <c r="A166" s="141">
        <f>IF($K166="","",127)</f>
      </c>
      <c r="B166" s="140">
        <f>IF($K166="","",IF($K166&lt;=3000,INDEX(出库明细!$B$4:$B$3003,$K166),INDEX(资金台帐!$B$7:$B$3006,$K166-3000)))</f>
      </c>
      <c r="C166" s="141">
        <f>IF($K166="","",IF($K166&lt;=3000,"出库领用",IF(INDEX(资金台帐!$S$7:$S$3006,$K166-3000)&gt;=0,"收款","退款")&amp;"（"&amp;INDEX(资金台帐!$C$7:$C$3006,$K166-3000)&amp;"）"))</f>
      </c>
      <c r="D166" s="141">
        <f>IF($K166="","",IF($K166&lt;=3000,INDEX(出库明细!$D$4:$D$3003,$K166)&amp;"",""))</f>
      </c>
      <c r="E166" s="148">
        <f>IF($K166="","",IF($K166&lt;=3000,INDEX(出库明细!$E$4:$E$3003,$K166),""))</f>
      </c>
      <c r="F166" s="149">
        <f>IF($K166="","",IF($K166&lt;=3000,INDEX(出库明细!$F$4:$F$3003,$K166),""))</f>
      </c>
      <c r="G166" s="186">
        <f>IF($K166="","",IF($K166&lt;=3000,N(INDEX(出库明细!$G$4:$G$3003,$K166)),""))</f>
      </c>
      <c r="H166" s="186">
        <f>IF($K166="","",IF($K166&lt;=3000,"",INDEX(资金台帐!$S$7:$S$3006,$K166-3000)))</f>
      </c>
      <c r="I166" s="187">
        <f>IF($K166="","",I165+N(G166)-N(H166))</f>
      </c>
      <c r="J166" s="213">
        <f>IF($K166="","",IF($K166&lt;=3000,INDEX(出库明细!$H$4:$H$3003,$K166)&amp;"",INDEX(资金台帐!$E$7:$E$3006,$K166-3000)&amp;""))</f>
      </c>
      <c r="K166" s="78">
        <f>IFERROR(MATCH(SMALL(_辅助!$F$4:$F$6003,127),_辅助!$F$4:$F$6003,0),"")</f>
      </c>
    </row>
    <row r="167">
      <c r="A167" s="141">
        <f>IF($K167="","",128)</f>
      </c>
      <c r="B167" s="140">
        <f>IF($K167="","",IF($K167&lt;=3000,INDEX(出库明细!$B$4:$B$3003,$K167),INDEX(资金台帐!$B$7:$B$3006,$K167-3000)))</f>
      </c>
      <c r="C167" s="141">
        <f>IF($K167="","",IF($K167&lt;=3000,"出库领用",IF(INDEX(资金台帐!$S$7:$S$3006,$K167-3000)&gt;=0,"收款","退款")&amp;"（"&amp;INDEX(资金台帐!$C$7:$C$3006,$K167-3000)&amp;"）"))</f>
      </c>
      <c r="D167" s="141">
        <f>IF($K167="","",IF($K167&lt;=3000,INDEX(出库明细!$D$4:$D$3003,$K167)&amp;"",""))</f>
      </c>
      <c r="E167" s="148">
        <f>IF($K167="","",IF($K167&lt;=3000,INDEX(出库明细!$E$4:$E$3003,$K167),""))</f>
      </c>
      <c r="F167" s="149">
        <f>IF($K167="","",IF($K167&lt;=3000,INDEX(出库明细!$F$4:$F$3003,$K167),""))</f>
      </c>
      <c r="G167" s="186">
        <f>IF($K167="","",IF($K167&lt;=3000,N(INDEX(出库明细!$G$4:$G$3003,$K167)),""))</f>
      </c>
      <c r="H167" s="186">
        <f>IF($K167="","",IF($K167&lt;=3000,"",INDEX(资金台帐!$S$7:$S$3006,$K167-3000)))</f>
      </c>
      <c r="I167" s="187">
        <f>IF($K167="","",I166+N(G167)-N(H167))</f>
      </c>
      <c r="J167" s="213">
        <f>IF($K167="","",IF($K167&lt;=3000,INDEX(出库明细!$H$4:$H$3003,$K167)&amp;"",INDEX(资金台帐!$E$7:$E$3006,$K167-3000)&amp;""))</f>
      </c>
      <c r="K167" s="78">
        <f>IFERROR(MATCH(SMALL(_辅助!$F$4:$F$6003,128),_辅助!$F$4:$F$6003,0),"")</f>
      </c>
    </row>
    <row r="168">
      <c r="A168" s="141">
        <f>IF($K168="","",129)</f>
      </c>
      <c r="B168" s="140">
        <f>IF($K168="","",IF($K168&lt;=3000,INDEX(出库明细!$B$4:$B$3003,$K168),INDEX(资金台帐!$B$7:$B$3006,$K168-3000)))</f>
      </c>
      <c r="C168" s="141">
        <f>IF($K168="","",IF($K168&lt;=3000,"出库领用",IF(INDEX(资金台帐!$S$7:$S$3006,$K168-3000)&gt;=0,"收款","退款")&amp;"（"&amp;INDEX(资金台帐!$C$7:$C$3006,$K168-3000)&amp;"）"))</f>
      </c>
      <c r="D168" s="141">
        <f>IF($K168="","",IF($K168&lt;=3000,INDEX(出库明细!$D$4:$D$3003,$K168)&amp;"",""))</f>
      </c>
      <c r="E168" s="148">
        <f>IF($K168="","",IF($K168&lt;=3000,INDEX(出库明细!$E$4:$E$3003,$K168),""))</f>
      </c>
      <c r="F168" s="149">
        <f>IF($K168="","",IF($K168&lt;=3000,INDEX(出库明细!$F$4:$F$3003,$K168),""))</f>
      </c>
      <c r="G168" s="186">
        <f>IF($K168="","",IF($K168&lt;=3000,N(INDEX(出库明细!$G$4:$G$3003,$K168)),""))</f>
      </c>
      <c r="H168" s="186">
        <f>IF($K168="","",IF($K168&lt;=3000,"",INDEX(资金台帐!$S$7:$S$3006,$K168-3000)))</f>
      </c>
      <c r="I168" s="187">
        <f>IF($K168="","",I167+N(G168)-N(H168))</f>
      </c>
      <c r="J168" s="213">
        <f>IF($K168="","",IF($K168&lt;=3000,INDEX(出库明细!$H$4:$H$3003,$K168)&amp;"",INDEX(资金台帐!$E$7:$E$3006,$K168-3000)&amp;""))</f>
      </c>
      <c r="K168" s="78">
        <f>IFERROR(MATCH(SMALL(_辅助!$F$4:$F$6003,129),_辅助!$F$4:$F$6003,0),"")</f>
      </c>
    </row>
    <row r="169">
      <c r="A169" s="141">
        <f>IF($K169="","",130)</f>
      </c>
      <c r="B169" s="140">
        <f>IF($K169="","",IF($K169&lt;=3000,INDEX(出库明细!$B$4:$B$3003,$K169),INDEX(资金台帐!$B$7:$B$3006,$K169-3000)))</f>
      </c>
      <c r="C169" s="141">
        <f>IF($K169="","",IF($K169&lt;=3000,"出库领用",IF(INDEX(资金台帐!$S$7:$S$3006,$K169-3000)&gt;=0,"收款","退款")&amp;"（"&amp;INDEX(资金台帐!$C$7:$C$3006,$K169-3000)&amp;"）"))</f>
      </c>
      <c r="D169" s="141">
        <f>IF($K169="","",IF($K169&lt;=3000,INDEX(出库明细!$D$4:$D$3003,$K169)&amp;"",""))</f>
      </c>
      <c r="E169" s="148">
        <f>IF($K169="","",IF($K169&lt;=3000,INDEX(出库明细!$E$4:$E$3003,$K169),""))</f>
      </c>
      <c r="F169" s="149">
        <f>IF($K169="","",IF($K169&lt;=3000,INDEX(出库明细!$F$4:$F$3003,$K169),""))</f>
      </c>
      <c r="G169" s="186">
        <f>IF($K169="","",IF($K169&lt;=3000,N(INDEX(出库明细!$G$4:$G$3003,$K169)),""))</f>
      </c>
      <c r="H169" s="186">
        <f>IF($K169="","",IF($K169&lt;=3000,"",INDEX(资金台帐!$S$7:$S$3006,$K169-3000)))</f>
      </c>
      <c r="I169" s="187">
        <f>IF($K169="","",I168+N(G169)-N(H169))</f>
      </c>
      <c r="J169" s="213">
        <f>IF($K169="","",IF($K169&lt;=3000,INDEX(出库明细!$H$4:$H$3003,$K169)&amp;"",INDEX(资金台帐!$E$7:$E$3006,$K169-3000)&amp;""))</f>
      </c>
      <c r="K169" s="78">
        <f>IFERROR(MATCH(SMALL(_辅助!$F$4:$F$6003,130),_辅助!$F$4:$F$6003,0),"")</f>
      </c>
    </row>
    <row r="170">
      <c r="A170" s="141">
        <f>IF($K170="","",131)</f>
      </c>
      <c r="B170" s="140">
        <f>IF($K170="","",IF($K170&lt;=3000,INDEX(出库明细!$B$4:$B$3003,$K170),INDEX(资金台帐!$B$7:$B$3006,$K170-3000)))</f>
      </c>
      <c r="C170" s="141">
        <f>IF($K170="","",IF($K170&lt;=3000,"出库领用",IF(INDEX(资金台帐!$S$7:$S$3006,$K170-3000)&gt;=0,"收款","退款")&amp;"（"&amp;INDEX(资金台帐!$C$7:$C$3006,$K170-3000)&amp;"）"))</f>
      </c>
      <c r="D170" s="141">
        <f>IF($K170="","",IF($K170&lt;=3000,INDEX(出库明细!$D$4:$D$3003,$K170)&amp;"",""))</f>
      </c>
      <c r="E170" s="148">
        <f>IF($K170="","",IF($K170&lt;=3000,INDEX(出库明细!$E$4:$E$3003,$K170),""))</f>
      </c>
      <c r="F170" s="149">
        <f>IF($K170="","",IF($K170&lt;=3000,INDEX(出库明细!$F$4:$F$3003,$K170),""))</f>
      </c>
      <c r="G170" s="186">
        <f>IF($K170="","",IF($K170&lt;=3000,N(INDEX(出库明细!$G$4:$G$3003,$K170)),""))</f>
      </c>
      <c r="H170" s="186">
        <f>IF($K170="","",IF($K170&lt;=3000,"",INDEX(资金台帐!$S$7:$S$3006,$K170-3000)))</f>
      </c>
      <c r="I170" s="187">
        <f>IF($K170="","",I169+N(G170)-N(H170))</f>
      </c>
      <c r="J170" s="213">
        <f>IF($K170="","",IF($K170&lt;=3000,INDEX(出库明细!$H$4:$H$3003,$K170)&amp;"",INDEX(资金台帐!$E$7:$E$3006,$K170-3000)&amp;""))</f>
      </c>
      <c r="K170" s="78">
        <f>IFERROR(MATCH(SMALL(_辅助!$F$4:$F$6003,131),_辅助!$F$4:$F$6003,0),"")</f>
      </c>
    </row>
    <row r="171">
      <c r="A171" s="141">
        <f>IF($K171="","",132)</f>
      </c>
      <c r="B171" s="140">
        <f>IF($K171="","",IF($K171&lt;=3000,INDEX(出库明细!$B$4:$B$3003,$K171),INDEX(资金台帐!$B$7:$B$3006,$K171-3000)))</f>
      </c>
      <c r="C171" s="141">
        <f>IF($K171="","",IF($K171&lt;=3000,"出库领用",IF(INDEX(资金台帐!$S$7:$S$3006,$K171-3000)&gt;=0,"收款","退款")&amp;"（"&amp;INDEX(资金台帐!$C$7:$C$3006,$K171-3000)&amp;"）"))</f>
      </c>
      <c r="D171" s="141">
        <f>IF($K171="","",IF($K171&lt;=3000,INDEX(出库明细!$D$4:$D$3003,$K171)&amp;"",""))</f>
      </c>
      <c r="E171" s="148">
        <f>IF($K171="","",IF($K171&lt;=3000,INDEX(出库明细!$E$4:$E$3003,$K171),""))</f>
      </c>
      <c r="F171" s="149">
        <f>IF($K171="","",IF($K171&lt;=3000,INDEX(出库明细!$F$4:$F$3003,$K171),""))</f>
      </c>
      <c r="G171" s="186">
        <f>IF($K171="","",IF($K171&lt;=3000,N(INDEX(出库明细!$G$4:$G$3003,$K171)),""))</f>
      </c>
      <c r="H171" s="186">
        <f>IF($K171="","",IF($K171&lt;=3000,"",INDEX(资金台帐!$S$7:$S$3006,$K171-3000)))</f>
      </c>
      <c r="I171" s="187">
        <f>IF($K171="","",I170+N(G171)-N(H171))</f>
      </c>
      <c r="J171" s="213">
        <f>IF($K171="","",IF($K171&lt;=3000,INDEX(出库明细!$H$4:$H$3003,$K171)&amp;"",INDEX(资金台帐!$E$7:$E$3006,$K171-3000)&amp;""))</f>
      </c>
      <c r="K171" s="78">
        <f>IFERROR(MATCH(SMALL(_辅助!$F$4:$F$6003,132),_辅助!$F$4:$F$6003,0),"")</f>
      </c>
    </row>
    <row r="172">
      <c r="A172" s="141">
        <f>IF($K172="","",133)</f>
      </c>
      <c r="B172" s="140">
        <f>IF($K172="","",IF($K172&lt;=3000,INDEX(出库明细!$B$4:$B$3003,$K172),INDEX(资金台帐!$B$7:$B$3006,$K172-3000)))</f>
      </c>
      <c r="C172" s="141">
        <f>IF($K172="","",IF($K172&lt;=3000,"出库领用",IF(INDEX(资金台帐!$S$7:$S$3006,$K172-3000)&gt;=0,"收款","退款")&amp;"（"&amp;INDEX(资金台帐!$C$7:$C$3006,$K172-3000)&amp;"）"))</f>
      </c>
      <c r="D172" s="141">
        <f>IF($K172="","",IF($K172&lt;=3000,INDEX(出库明细!$D$4:$D$3003,$K172)&amp;"",""))</f>
      </c>
      <c r="E172" s="148">
        <f>IF($K172="","",IF($K172&lt;=3000,INDEX(出库明细!$E$4:$E$3003,$K172),""))</f>
      </c>
      <c r="F172" s="149">
        <f>IF($K172="","",IF($K172&lt;=3000,INDEX(出库明细!$F$4:$F$3003,$K172),""))</f>
      </c>
      <c r="G172" s="186">
        <f>IF($K172="","",IF($K172&lt;=3000,N(INDEX(出库明细!$G$4:$G$3003,$K172)),""))</f>
      </c>
      <c r="H172" s="186">
        <f>IF($K172="","",IF($K172&lt;=3000,"",INDEX(资金台帐!$S$7:$S$3006,$K172-3000)))</f>
      </c>
      <c r="I172" s="187">
        <f>IF($K172="","",I171+N(G172)-N(H172))</f>
      </c>
      <c r="J172" s="213">
        <f>IF($K172="","",IF($K172&lt;=3000,INDEX(出库明细!$H$4:$H$3003,$K172)&amp;"",INDEX(资金台帐!$E$7:$E$3006,$K172-3000)&amp;""))</f>
      </c>
      <c r="K172" s="78">
        <f>IFERROR(MATCH(SMALL(_辅助!$F$4:$F$6003,133),_辅助!$F$4:$F$6003,0),"")</f>
      </c>
    </row>
    <row r="173">
      <c r="A173" s="141">
        <f>IF($K173="","",134)</f>
      </c>
      <c r="B173" s="140">
        <f>IF($K173="","",IF($K173&lt;=3000,INDEX(出库明细!$B$4:$B$3003,$K173),INDEX(资金台帐!$B$7:$B$3006,$K173-3000)))</f>
      </c>
      <c r="C173" s="141">
        <f>IF($K173="","",IF($K173&lt;=3000,"出库领用",IF(INDEX(资金台帐!$S$7:$S$3006,$K173-3000)&gt;=0,"收款","退款")&amp;"（"&amp;INDEX(资金台帐!$C$7:$C$3006,$K173-3000)&amp;"）"))</f>
      </c>
      <c r="D173" s="141">
        <f>IF($K173="","",IF($K173&lt;=3000,INDEX(出库明细!$D$4:$D$3003,$K173)&amp;"",""))</f>
      </c>
      <c r="E173" s="148">
        <f>IF($K173="","",IF($K173&lt;=3000,INDEX(出库明细!$E$4:$E$3003,$K173),""))</f>
      </c>
      <c r="F173" s="149">
        <f>IF($K173="","",IF($K173&lt;=3000,INDEX(出库明细!$F$4:$F$3003,$K173),""))</f>
      </c>
      <c r="G173" s="186">
        <f>IF($K173="","",IF($K173&lt;=3000,N(INDEX(出库明细!$G$4:$G$3003,$K173)),""))</f>
      </c>
      <c r="H173" s="186">
        <f>IF($K173="","",IF($K173&lt;=3000,"",INDEX(资金台帐!$S$7:$S$3006,$K173-3000)))</f>
      </c>
      <c r="I173" s="187">
        <f>IF($K173="","",I172+N(G173)-N(H173))</f>
      </c>
      <c r="J173" s="213">
        <f>IF($K173="","",IF($K173&lt;=3000,INDEX(出库明细!$H$4:$H$3003,$K173)&amp;"",INDEX(资金台帐!$E$7:$E$3006,$K173-3000)&amp;""))</f>
      </c>
      <c r="K173" s="78">
        <f>IFERROR(MATCH(SMALL(_辅助!$F$4:$F$6003,134),_辅助!$F$4:$F$6003,0),"")</f>
      </c>
    </row>
    <row r="174">
      <c r="A174" s="141">
        <f>IF($K174="","",135)</f>
      </c>
      <c r="B174" s="140">
        <f>IF($K174="","",IF($K174&lt;=3000,INDEX(出库明细!$B$4:$B$3003,$K174),INDEX(资金台帐!$B$7:$B$3006,$K174-3000)))</f>
      </c>
      <c r="C174" s="141">
        <f>IF($K174="","",IF($K174&lt;=3000,"出库领用",IF(INDEX(资金台帐!$S$7:$S$3006,$K174-3000)&gt;=0,"收款","退款")&amp;"（"&amp;INDEX(资金台帐!$C$7:$C$3006,$K174-3000)&amp;"）"))</f>
      </c>
      <c r="D174" s="141">
        <f>IF($K174="","",IF($K174&lt;=3000,INDEX(出库明细!$D$4:$D$3003,$K174)&amp;"",""))</f>
      </c>
      <c r="E174" s="148">
        <f>IF($K174="","",IF($K174&lt;=3000,INDEX(出库明细!$E$4:$E$3003,$K174),""))</f>
      </c>
      <c r="F174" s="149">
        <f>IF($K174="","",IF($K174&lt;=3000,INDEX(出库明细!$F$4:$F$3003,$K174),""))</f>
      </c>
      <c r="G174" s="186">
        <f>IF($K174="","",IF($K174&lt;=3000,N(INDEX(出库明细!$G$4:$G$3003,$K174)),""))</f>
      </c>
      <c r="H174" s="186">
        <f>IF($K174="","",IF($K174&lt;=3000,"",INDEX(资金台帐!$S$7:$S$3006,$K174-3000)))</f>
      </c>
      <c r="I174" s="187">
        <f>IF($K174="","",I173+N(G174)-N(H174))</f>
      </c>
      <c r="J174" s="213">
        <f>IF($K174="","",IF($K174&lt;=3000,INDEX(出库明细!$H$4:$H$3003,$K174)&amp;"",INDEX(资金台帐!$E$7:$E$3006,$K174-3000)&amp;""))</f>
      </c>
      <c r="K174" s="78">
        <f>IFERROR(MATCH(SMALL(_辅助!$F$4:$F$6003,135),_辅助!$F$4:$F$6003,0),"")</f>
      </c>
    </row>
    <row r="175">
      <c r="A175" s="141">
        <f>IF($K175="","",136)</f>
      </c>
      <c r="B175" s="140">
        <f>IF($K175="","",IF($K175&lt;=3000,INDEX(出库明细!$B$4:$B$3003,$K175),INDEX(资金台帐!$B$7:$B$3006,$K175-3000)))</f>
      </c>
      <c r="C175" s="141">
        <f>IF($K175="","",IF($K175&lt;=3000,"出库领用",IF(INDEX(资金台帐!$S$7:$S$3006,$K175-3000)&gt;=0,"收款","退款")&amp;"（"&amp;INDEX(资金台帐!$C$7:$C$3006,$K175-3000)&amp;"）"))</f>
      </c>
      <c r="D175" s="141">
        <f>IF($K175="","",IF($K175&lt;=3000,INDEX(出库明细!$D$4:$D$3003,$K175)&amp;"",""))</f>
      </c>
      <c r="E175" s="148">
        <f>IF($K175="","",IF($K175&lt;=3000,INDEX(出库明细!$E$4:$E$3003,$K175),""))</f>
      </c>
      <c r="F175" s="149">
        <f>IF($K175="","",IF($K175&lt;=3000,INDEX(出库明细!$F$4:$F$3003,$K175),""))</f>
      </c>
      <c r="G175" s="186">
        <f>IF($K175="","",IF($K175&lt;=3000,N(INDEX(出库明细!$G$4:$G$3003,$K175)),""))</f>
      </c>
      <c r="H175" s="186">
        <f>IF($K175="","",IF($K175&lt;=3000,"",INDEX(资金台帐!$S$7:$S$3006,$K175-3000)))</f>
      </c>
      <c r="I175" s="187">
        <f>IF($K175="","",I174+N(G175)-N(H175))</f>
      </c>
      <c r="J175" s="213">
        <f>IF($K175="","",IF($K175&lt;=3000,INDEX(出库明细!$H$4:$H$3003,$K175)&amp;"",INDEX(资金台帐!$E$7:$E$3006,$K175-3000)&amp;""))</f>
      </c>
      <c r="K175" s="78">
        <f>IFERROR(MATCH(SMALL(_辅助!$F$4:$F$6003,136),_辅助!$F$4:$F$6003,0),"")</f>
      </c>
    </row>
    <row r="176">
      <c r="A176" s="141">
        <f>IF($K176="","",137)</f>
      </c>
      <c r="B176" s="140">
        <f>IF($K176="","",IF($K176&lt;=3000,INDEX(出库明细!$B$4:$B$3003,$K176),INDEX(资金台帐!$B$7:$B$3006,$K176-3000)))</f>
      </c>
      <c r="C176" s="141">
        <f>IF($K176="","",IF($K176&lt;=3000,"出库领用",IF(INDEX(资金台帐!$S$7:$S$3006,$K176-3000)&gt;=0,"收款","退款")&amp;"（"&amp;INDEX(资金台帐!$C$7:$C$3006,$K176-3000)&amp;"）"))</f>
      </c>
      <c r="D176" s="141">
        <f>IF($K176="","",IF($K176&lt;=3000,INDEX(出库明细!$D$4:$D$3003,$K176)&amp;"",""))</f>
      </c>
      <c r="E176" s="148">
        <f>IF($K176="","",IF($K176&lt;=3000,INDEX(出库明细!$E$4:$E$3003,$K176),""))</f>
      </c>
      <c r="F176" s="149">
        <f>IF($K176="","",IF($K176&lt;=3000,INDEX(出库明细!$F$4:$F$3003,$K176),""))</f>
      </c>
      <c r="G176" s="186">
        <f>IF($K176="","",IF($K176&lt;=3000,N(INDEX(出库明细!$G$4:$G$3003,$K176)),""))</f>
      </c>
      <c r="H176" s="186">
        <f>IF($K176="","",IF($K176&lt;=3000,"",INDEX(资金台帐!$S$7:$S$3006,$K176-3000)))</f>
      </c>
      <c r="I176" s="187">
        <f>IF($K176="","",I175+N(G176)-N(H176))</f>
      </c>
      <c r="J176" s="213">
        <f>IF($K176="","",IF($K176&lt;=3000,INDEX(出库明细!$H$4:$H$3003,$K176)&amp;"",INDEX(资金台帐!$E$7:$E$3006,$K176-3000)&amp;""))</f>
      </c>
      <c r="K176" s="78">
        <f>IFERROR(MATCH(SMALL(_辅助!$F$4:$F$6003,137),_辅助!$F$4:$F$6003,0),"")</f>
      </c>
    </row>
    <row r="177">
      <c r="A177" s="141">
        <f>IF($K177="","",138)</f>
      </c>
      <c r="B177" s="140">
        <f>IF($K177="","",IF($K177&lt;=3000,INDEX(出库明细!$B$4:$B$3003,$K177),INDEX(资金台帐!$B$7:$B$3006,$K177-3000)))</f>
      </c>
      <c r="C177" s="141">
        <f>IF($K177="","",IF($K177&lt;=3000,"出库领用",IF(INDEX(资金台帐!$S$7:$S$3006,$K177-3000)&gt;=0,"收款","退款")&amp;"（"&amp;INDEX(资金台帐!$C$7:$C$3006,$K177-3000)&amp;"）"))</f>
      </c>
      <c r="D177" s="141">
        <f>IF($K177="","",IF($K177&lt;=3000,INDEX(出库明细!$D$4:$D$3003,$K177)&amp;"",""))</f>
      </c>
      <c r="E177" s="148">
        <f>IF($K177="","",IF($K177&lt;=3000,INDEX(出库明细!$E$4:$E$3003,$K177),""))</f>
      </c>
      <c r="F177" s="149">
        <f>IF($K177="","",IF($K177&lt;=3000,INDEX(出库明细!$F$4:$F$3003,$K177),""))</f>
      </c>
      <c r="G177" s="186">
        <f>IF($K177="","",IF($K177&lt;=3000,N(INDEX(出库明细!$G$4:$G$3003,$K177)),""))</f>
      </c>
      <c r="H177" s="186">
        <f>IF($K177="","",IF($K177&lt;=3000,"",INDEX(资金台帐!$S$7:$S$3006,$K177-3000)))</f>
      </c>
      <c r="I177" s="187">
        <f>IF($K177="","",I176+N(G177)-N(H177))</f>
      </c>
      <c r="J177" s="213">
        <f>IF($K177="","",IF($K177&lt;=3000,INDEX(出库明细!$H$4:$H$3003,$K177)&amp;"",INDEX(资金台帐!$E$7:$E$3006,$K177-3000)&amp;""))</f>
      </c>
      <c r="K177" s="78">
        <f>IFERROR(MATCH(SMALL(_辅助!$F$4:$F$6003,138),_辅助!$F$4:$F$6003,0),"")</f>
      </c>
    </row>
    <row r="178">
      <c r="A178" s="141">
        <f>IF($K178="","",139)</f>
      </c>
      <c r="B178" s="140">
        <f>IF($K178="","",IF($K178&lt;=3000,INDEX(出库明细!$B$4:$B$3003,$K178),INDEX(资金台帐!$B$7:$B$3006,$K178-3000)))</f>
      </c>
      <c r="C178" s="141">
        <f>IF($K178="","",IF($K178&lt;=3000,"出库领用",IF(INDEX(资金台帐!$S$7:$S$3006,$K178-3000)&gt;=0,"收款","退款")&amp;"（"&amp;INDEX(资金台帐!$C$7:$C$3006,$K178-3000)&amp;"）"))</f>
      </c>
      <c r="D178" s="141">
        <f>IF($K178="","",IF($K178&lt;=3000,INDEX(出库明细!$D$4:$D$3003,$K178)&amp;"",""))</f>
      </c>
      <c r="E178" s="148">
        <f>IF($K178="","",IF($K178&lt;=3000,INDEX(出库明细!$E$4:$E$3003,$K178),""))</f>
      </c>
      <c r="F178" s="149">
        <f>IF($K178="","",IF($K178&lt;=3000,INDEX(出库明细!$F$4:$F$3003,$K178),""))</f>
      </c>
      <c r="G178" s="186">
        <f>IF($K178="","",IF($K178&lt;=3000,N(INDEX(出库明细!$G$4:$G$3003,$K178)),""))</f>
      </c>
      <c r="H178" s="186">
        <f>IF($K178="","",IF($K178&lt;=3000,"",INDEX(资金台帐!$S$7:$S$3006,$K178-3000)))</f>
      </c>
      <c r="I178" s="187">
        <f>IF($K178="","",I177+N(G178)-N(H178))</f>
      </c>
      <c r="J178" s="213">
        <f>IF($K178="","",IF($K178&lt;=3000,INDEX(出库明细!$H$4:$H$3003,$K178)&amp;"",INDEX(资金台帐!$E$7:$E$3006,$K178-3000)&amp;""))</f>
      </c>
      <c r="K178" s="78">
        <f>IFERROR(MATCH(SMALL(_辅助!$F$4:$F$6003,139),_辅助!$F$4:$F$6003,0),"")</f>
      </c>
    </row>
    <row r="179">
      <c r="A179" s="141">
        <f>IF($K179="","",140)</f>
      </c>
      <c r="B179" s="140">
        <f>IF($K179="","",IF($K179&lt;=3000,INDEX(出库明细!$B$4:$B$3003,$K179),INDEX(资金台帐!$B$7:$B$3006,$K179-3000)))</f>
      </c>
      <c r="C179" s="141">
        <f>IF($K179="","",IF($K179&lt;=3000,"出库领用",IF(INDEX(资金台帐!$S$7:$S$3006,$K179-3000)&gt;=0,"收款","退款")&amp;"（"&amp;INDEX(资金台帐!$C$7:$C$3006,$K179-3000)&amp;"）"))</f>
      </c>
      <c r="D179" s="141">
        <f>IF($K179="","",IF($K179&lt;=3000,INDEX(出库明细!$D$4:$D$3003,$K179)&amp;"",""))</f>
      </c>
      <c r="E179" s="148">
        <f>IF($K179="","",IF($K179&lt;=3000,INDEX(出库明细!$E$4:$E$3003,$K179),""))</f>
      </c>
      <c r="F179" s="149">
        <f>IF($K179="","",IF($K179&lt;=3000,INDEX(出库明细!$F$4:$F$3003,$K179),""))</f>
      </c>
      <c r="G179" s="186">
        <f>IF($K179="","",IF($K179&lt;=3000,N(INDEX(出库明细!$G$4:$G$3003,$K179)),""))</f>
      </c>
      <c r="H179" s="186">
        <f>IF($K179="","",IF($K179&lt;=3000,"",INDEX(资金台帐!$S$7:$S$3006,$K179-3000)))</f>
      </c>
      <c r="I179" s="187">
        <f>IF($K179="","",I178+N(G179)-N(H179))</f>
      </c>
      <c r="J179" s="213">
        <f>IF($K179="","",IF($K179&lt;=3000,INDEX(出库明细!$H$4:$H$3003,$K179)&amp;"",INDEX(资金台帐!$E$7:$E$3006,$K179-3000)&amp;""))</f>
      </c>
      <c r="K179" s="78">
        <f>IFERROR(MATCH(SMALL(_辅助!$F$4:$F$6003,140),_辅助!$F$4:$F$6003,0),"")</f>
      </c>
    </row>
    <row r="180">
      <c r="A180" s="141">
        <f>IF($K180="","",141)</f>
      </c>
      <c r="B180" s="140">
        <f>IF($K180="","",IF($K180&lt;=3000,INDEX(出库明细!$B$4:$B$3003,$K180),INDEX(资金台帐!$B$7:$B$3006,$K180-3000)))</f>
      </c>
      <c r="C180" s="141">
        <f>IF($K180="","",IF($K180&lt;=3000,"出库领用",IF(INDEX(资金台帐!$S$7:$S$3006,$K180-3000)&gt;=0,"收款","退款")&amp;"（"&amp;INDEX(资金台帐!$C$7:$C$3006,$K180-3000)&amp;"）"))</f>
      </c>
      <c r="D180" s="141">
        <f>IF($K180="","",IF($K180&lt;=3000,INDEX(出库明细!$D$4:$D$3003,$K180)&amp;"",""))</f>
      </c>
      <c r="E180" s="148">
        <f>IF($K180="","",IF($K180&lt;=3000,INDEX(出库明细!$E$4:$E$3003,$K180),""))</f>
      </c>
      <c r="F180" s="149">
        <f>IF($K180="","",IF($K180&lt;=3000,INDEX(出库明细!$F$4:$F$3003,$K180),""))</f>
      </c>
      <c r="G180" s="186">
        <f>IF($K180="","",IF($K180&lt;=3000,N(INDEX(出库明细!$G$4:$G$3003,$K180)),""))</f>
      </c>
      <c r="H180" s="186">
        <f>IF($K180="","",IF($K180&lt;=3000,"",INDEX(资金台帐!$S$7:$S$3006,$K180-3000)))</f>
      </c>
      <c r="I180" s="187">
        <f>IF($K180="","",I179+N(G180)-N(H180))</f>
      </c>
      <c r="J180" s="213">
        <f>IF($K180="","",IF($K180&lt;=3000,INDEX(出库明细!$H$4:$H$3003,$K180)&amp;"",INDEX(资金台帐!$E$7:$E$3006,$K180-3000)&amp;""))</f>
      </c>
      <c r="K180" s="78">
        <f>IFERROR(MATCH(SMALL(_辅助!$F$4:$F$6003,141),_辅助!$F$4:$F$6003,0),"")</f>
      </c>
    </row>
    <row r="181">
      <c r="A181" s="141">
        <f>IF($K181="","",142)</f>
      </c>
      <c r="B181" s="140">
        <f>IF($K181="","",IF($K181&lt;=3000,INDEX(出库明细!$B$4:$B$3003,$K181),INDEX(资金台帐!$B$7:$B$3006,$K181-3000)))</f>
      </c>
      <c r="C181" s="141">
        <f>IF($K181="","",IF($K181&lt;=3000,"出库领用",IF(INDEX(资金台帐!$S$7:$S$3006,$K181-3000)&gt;=0,"收款","退款")&amp;"（"&amp;INDEX(资金台帐!$C$7:$C$3006,$K181-3000)&amp;"）"))</f>
      </c>
      <c r="D181" s="141">
        <f>IF($K181="","",IF($K181&lt;=3000,INDEX(出库明细!$D$4:$D$3003,$K181)&amp;"",""))</f>
      </c>
      <c r="E181" s="148">
        <f>IF($K181="","",IF($K181&lt;=3000,INDEX(出库明细!$E$4:$E$3003,$K181),""))</f>
      </c>
      <c r="F181" s="149">
        <f>IF($K181="","",IF($K181&lt;=3000,INDEX(出库明细!$F$4:$F$3003,$K181),""))</f>
      </c>
      <c r="G181" s="186">
        <f>IF($K181="","",IF($K181&lt;=3000,N(INDEX(出库明细!$G$4:$G$3003,$K181)),""))</f>
      </c>
      <c r="H181" s="186">
        <f>IF($K181="","",IF($K181&lt;=3000,"",INDEX(资金台帐!$S$7:$S$3006,$K181-3000)))</f>
      </c>
      <c r="I181" s="187">
        <f>IF($K181="","",I180+N(G181)-N(H181))</f>
      </c>
      <c r="J181" s="213">
        <f>IF($K181="","",IF($K181&lt;=3000,INDEX(出库明细!$H$4:$H$3003,$K181)&amp;"",INDEX(资金台帐!$E$7:$E$3006,$K181-3000)&amp;""))</f>
      </c>
      <c r="K181" s="78">
        <f>IFERROR(MATCH(SMALL(_辅助!$F$4:$F$6003,142),_辅助!$F$4:$F$6003,0),"")</f>
      </c>
    </row>
    <row r="182">
      <c r="A182" s="141">
        <f>IF($K182="","",143)</f>
      </c>
      <c r="B182" s="140">
        <f>IF($K182="","",IF($K182&lt;=3000,INDEX(出库明细!$B$4:$B$3003,$K182),INDEX(资金台帐!$B$7:$B$3006,$K182-3000)))</f>
      </c>
      <c r="C182" s="141">
        <f>IF($K182="","",IF($K182&lt;=3000,"出库领用",IF(INDEX(资金台帐!$S$7:$S$3006,$K182-3000)&gt;=0,"收款","退款")&amp;"（"&amp;INDEX(资金台帐!$C$7:$C$3006,$K182-3000)&amp;"）"))</f>
      </c>
      <c r="D182" s="141">
        <f>IF($K182="","",IF($K182&lt;=3000,INDEX(出库明细!$D$4:$D$3003,$K182)&amp;"",""))</f>
      </c>
      <c r="E182" s="148">
        <f>IF($K182="","",IF($K182&lt;=3000,INDEX(出库明细!$E$4:$E$3003,$K182),""))</f>
      </c>
      <c r="F182" s="149">
        <f>IF($K182="","",IF($K182&lt;=3000,INDEX(出库明细!$F$4:$F$3003,$K182),""))</f>
      </c>
      <c r="G182" s="186">
        <f>IF($K182="","",IF($K182&lt;=3000,N(INDEX(出库明细!$G$4:$G$3003,$K182)),""))</f>
      </c>
      <c r="H182" s="186">
        <f>IF($K182="","",IF($K182&lt;=3000,"",INDEX(资金台帐!$S$7:$S$3006,$K182-3000)))</f>
      </c>
      <c r="I182" s="187">
        <f>IF($K182="","",I181+N(G182)-N(H182))</f>
      </c>
      <c r="J182" s="213">
        <f>IF($K182="","",IF($K182&lt;=3000,INDEX(出库明细!$H$4:$H$3003,$K182)&amp;"",INDEX(资金台帐!$E$7:$E$3006,$K182-3000)&amp;""))</f>
      </c>
      <c r="K182" s="78">
        <f>IFERROR(MATCH(SMALL(_辅助!$F$4:$F$6003,143),_辅助!$F$4:$F$6003,0),"")</f>
      </c>
    </row>
    <row r="183">
      <c r="A183" s="141">
        <f>IF($K183="","",144)</f>
      </c>
      <c r="B183" s="140">
        <f>IF($K183="","",IF($K183&lt;=3000,INDEX(出库明细!$B$4:$B$3003,$K183),INDEX(资金台帐!$B$7:$B$3006,$K183-3000)))</f>
      </c>
      <c r="C183" s="141">
        <f>IF($K183="","",IF($K183&lt;=3000,"出库领用",IF(INDEX(资金台帐!$S$7:$S$3006,$K183-3000)&gt;=0,"收款","退款")&amp;"（"&amp;INDEX(资金台帐!$C$7:$C$3006,$K183-3000)&amp;"）"))</f>
      </c>
      <c r="D183" s="141">
        <f>IF($K183="","",IF($K183&lt;=3000,INDEX(出库明细!$D$4:$D$3003,$K183)&amp;"",""))</f>
      </c>
      <c r="E183" s="148">
        <f>IF($K183="","",IF($K183&lt;=3000,INDEX(出库明细!$E$4:$E$3003,$K183),""))</f>
      </c>
      <c r="F183" s="149">
        <f>IF($K183="","",IF($K183&lt;=3000,INDEX(出库明细!$F$4:$F$3003,$K183),""))</f>
      </c>
      <c r="G183" s="186">
        <f>IF($K183="","",IF($K183&lt;=3000,N(INDEX(出库明细!$G$4:$G$3003,$K183)),""))</f>
      </c>
      <c r="H183" s="186">
        <f>IF($K183="","",IF($K183&lt;=3000,"",INDEX(资金台帐!$S$7:$S$3006,$K183-3000)))</f>
      </c>
      <c r="I183" s="187">
        <f>IF($K183="","",I182+N(G183)-N(H183))</f>
      </c>
      <c r="J183" s="213">
        <f>IF($K183="","",IF($K183&lt;=3000,INDEX(出库明细!$H$4:$H$3003,$K183)&amp;"",INDEX(资金台帐!$E$7:$E$3006,$K183-3000)&amp;""))</f>
      </c>
      <c r="K183" s="78">
        <f>IFERROR(MATCH(SMALL(_辅助!$F$4:$F$6003,144),_辅助!$F$4:$F$6003,0),"")</f>
      </c>
    </row>
    <row r="184">
      <c r="A184" s="141">
        <f>IF($K184="","",145)</f>
      </c>
      <c r="B184" s="140">
        <f>IF($K184="","",IF($K184&lt;=3000,INDEX(出库明细!$B$4:$B$3003,$K184),INDEX(资金台帐!$B$7:$B$3006,$K184-3000)))</f>
      </c>
      <c r="C184" s="141">
        <f>IF($K184="","",IF($K184&lt;=3000,"出库领用",IF(INDEX(资金台帐!$S$7:$S$3006,$K184-3000)&gt;=0,"收款","退款")&amp;"（"&amp;INDEX(资金台帐!$C$7:$C$3006,$K184-3000)&amp;"）"))</f>
      </c>
      <c r="D184" s="141">
        <f>IF($K184="","",IF($K184&lt;=3000,INDEX(出库明细!$D$4:$D$3003,$K184)&amp;"",""))</f>
      </c>
      <c r="E184" s="148">
        <f>IF($K184="","",IF($K184&lt;=3000,INDEX(出库明细!$E$4:$E$3003,$K184),""))</f>
      </c>
      <c r="F184" s="149">
        <f>IF($K184="","",IF($K184&lt;=3000,INDEX(出库明细!$F$4:$F$3003,$K184),""))</f>
      </c>
      <c r="G184" s="186">
        <f>IF($K184="","",IF($K184&lt;=3000,N(INDEX(出库明细!$G$4:$G$3003,$K184)),""))</f>
      </c>
      <c r="H184" s="186">
        <f>IF($K184="","",IF($K184&lt;=3000,"",INDEX(资金台帐!$S$7:$S$3006,$K184-3000)))</f>
      </c>
      <c r="I184" s="187">
        <f>IF($K184="","",I183+N(G184)-N(H184))</f>
      </c>
      <c r="J184" s="213">
        <f>IF($K184="","",IF($K184&lt;=3000,INDEX(出库明细!$H$4:$H$3003,$K184)&amp;"",INDEX(资金台帐!$E$7:$E$3006,$K184-3000)&amp;""))</f>
      </c>
      <c r="K184" s="78">
        <f>IFERROR(MATCH(SMALL(_辅助!$F$4:$F$6003,145),_辅助!$F$4:$F$6003,0),"")</f>
      </c>
    </row>
    <row r="185">
      <c r="A185" s="141">
        <f>IF($K185="","",146)</f>
      </c>
      <c r="B185" s="140">
        <f>IF($K185="","",IF($K185&lt;=3000,INDEX(出库明细!$B$4:$B$3003,$K185),INDEX(资金台帐!$B$7:$B$3006,$K185-3000)))</f>
      </c>
      <c r="C185" s="141">
        <f>IF($K185="","",IF($K185&lt;=3000,"出库领用",IF(INDEX(资金台帐!$S$7:$S$3006,$K185-3000)&gt;=0,"收款","退款")&amp;"（"&amp;INDEX(资金台帐!$C$7:$C$3006,$K185-3000)&amp;"）"))</f>
      </c>
      <c r="D185" s="141">
        <f>IF($K185="","",IF($K185&lt;=3000,INDEX(出库明细!$D$4:$D$3003,$K185)&amp;"",""))</f>
      </c>
      <c r="E185" s="148">
        <f>IF($K185="","",IF($K185&lt;=3000,INDEX(出库明细!$E$4:$E$3003,$K185),""))</f>
      </c>
      <c r="F185" s="149">
        <f>IF($K185="","",IF($K185&lt;=3000,INDEX(出库明细!$F$4:$F$3003,$K185),""))</f>
      </c>
      <c r="G185" s="186">
        <f>IF($K185="","",IF($K185&lt;=3000,N(INDEX(出库明细!$G$4:$G$3003,$K185)),""))</f>
      </c>
      <c r="H185" s="186">
        <f>IF($K185="","",IF($K185&lt;=3000,"",INDEX(资金台帐!$S$7:$S$3006,$K185-3000)))</f>
      </c>
      <c r="I185" s="187">
        <f>IF($K185="","",I184+N(G185)-N(H185))</f>
      </c>
      <c r="J185" s="213">
        <f>IF($K185="","",IF($K185&lt;=3000,INDEX(出库明细!$H$4:$H$3003,$K185)&amp;"",INDEX(资金台帐!$E$7:$E$3006,$K185-3000)&amp;""))</f>
      </c>
      <c r="K185" s="78">
        <f>IFERROR(MATCH(SMALL(_辅助!$F$4:$F$6003,146),_辅助!$F$4:$F$6003,0),"")</f>
      </c>
    </row>
    <row r="186">
      <c r="A186" s="141">
        <f>IF($K186="","",147)</f>
      </c>
      <c r="B186" s="140">
        <f>IF($K186="","",IF($K186&lt;=3000,INDEX(出库明细!$B$4:$B$3003,$K186),INDEX(资金台帐!$B$7:$B$3006,$K186-3000)))</f>
      </c>
      <c r="C186" s="141">
        <f>IF($K186="","",IF($K186&lt;=3000,"出库领用",IF(INDEX(资金台帐!$S$7:$S$3006,$K186-3000)&gt;=0,"收款","退款")&amp;"（"&amp;INDEX(资金台帐!$C$7:$C$3006,$K186-3000)&amp;"）"))</f>
      </c>
      <c r="D186" s="141">
        <f>IF($K186="","",IF($K186&lt;=3000,INDEX(出库明细!$D$4:$D$3003,$K186)&amp;"",""))</f>
      </c>
      <c r="E186" s="148">
        <f>IF($K186="","",IF($K186&lt;=3000,INDEX(出库明细!$E$4:$E$3003,$K186),""))</f>
      </c>
      <c r="F186" s="149">
        <f>IF($K186="","",IF($K186&lt;=3000,INDEX(出库明细!$F$4:$F$3003,$K186),""))</f>
      </c>
      <c r="G186" s="186">
        <f>IF($K186="","",IF($K186&lt;=3000,N(INDEX(出库明细!$G$4:$G$3003,$K186)),""))</f>
      </c>
      <c r="H186" s="186">
        <f>IF($K186="","",IF($K186&lt;=3000,"",INDEX(资金台帐!$S$7:$S$3006,$K186-3000)))</f>
      </c>
      <c r="I186" s="187">
        <f>IF($K186="","",I185+N(G186)-N(H186))</f>
      </c>
      <c r="J186" s="213">
        <f>IF($K186="","",IF($K186&lt;=3000,INDEX(出库明细!$H$4:$H$3003,$K186)&amp;"",INDEX(资金台帐!$E$7:$E$3006,$K186-3000)&amp;""))</f>
      </c>
      <c r="K186" s="78">
        <f>IFERROR(MATCH(SMALL(_辅助!$F$4:$F$6003,147),_辅助!$F$4:$F$6003,0),"")</f>
      </c>
    </row>
    <row r="187">
      <c r="A187" s="141">
        <f>IF($K187="","",148)</f>
      </c>
      <c r="B187" s="140">
        <f>IF($K187="","",IF($K187&lt;=3000,INDEX(出库明细!$B$4:$B$3003,$K187),INDEX(资金台帐!$B$7:$B$3006,$K187-3000)))</f>
      </c>
      <c r="C187" s="141">
        <f>IF($K187="","",IF($K187&lt;=3000,"出库领用",IF(INDEX(资金台帐!$S$7:$S$3006,$K187-3000)&gt;=0,"收款","退款")&amp;"（"&amp;INDEX(资金台帐!$C$7:$C$3006,$K187-3000)&amp;"）"))</f>
      </c>
      <c r="D187" s="141">
        <f>IF($K187="","",IF($K187&lt;=3000,INDEX(出库明细!$D$4:$D$3003,$K187)&amp;"",""))</f>
      </c>
      <c r="E187" s="148">
        <f>IF($K187="","",IF($K187&lt;=3000,INDEX(出库明细!$E$4:$E$3003,$K187),""))</f>
      </c>
      <c r="F187" s="149">
        <f>IF($K187="","",IF($K187&lt;=3000,INDEX(出库明细!$F$4:$F$3003,$K187),""))</f>
      </c>
      <c r="G187" s="186">
        <f>IF($K187="","",IF($K187&lt;=3000,N(INDEX(出库明细!$G$4:$G$3003,$K187)),""))</f>
      </c>
      <c r="H187" s="186">
        <f>IF($K187="","",IF($K187&lt;=3000,"",INDEX(资金台帐!$S$7:$S$3006,$K187-3000)))</f>
      </c>
      <c r="I187" s="187">
        <f>IF($K187="","",I186+N(G187)-N(H187))</f>
      </c>
      <c r="J187" s="213">
        <f>IF($K187="","",IF($K187&lt;=3000,INDEX(出库明细!$H$4:$H$3003,$K187)&amp;"",INDEX(资金台帐!$E$7:$E$3006,$K187-3000)&amp;""))</f>
      </c>
      <c r="K187" s="78">
        <f>IFERROR(MATCH(SMALL(_辅助!$F$4:$F$6003,148),_辅助!$F$4:$F$6003,0),"")</f>
      </c>
    </row>
    <row r="188">
      <c r="A188" s="141">
        <f>IF($K188="","",149)</f>
      </c>
      <c r="B188" s="140">
        <f>IF($K188="","",IF($K188&lt;=3000,INDEX(出库明细!$B$4:$B$3003,$K188),INDEX(资金台帐!$B$7:$B$3006,$K188-3000)))</f>
      </c>
      <c r="C188" s="141">
        <f>IF($K188="","",IF($K188&lt;=3000,"出库领用",IF(INDEX(资金台帐!$S$7:$S$3006,$K188-3000)&gt;=0,"收款","退款")&amp;"（"&amp;INDEX(资金台帐!$C$7:$C$3006,$K188-3000)&amp;"）"))</f>
      </c>
      <c r="D188" s="141">
        <f>IF($K188="","",IF($K188&lt;=3000,INDEX(出库明细!$D$4:$D$3003,$K188)&amp;"",""))</f>
      </c>
      <c r="E188" s="148">
        <f>IF($K188="","",IF($K188&lt;=3000,INDEX(出库明细!$E$4:$E$3003,$K188),""))</f>
      </c>
      <c r="F188" s="149">
        <f>IF($K188="","",IF($K188&lt;=3000,INDEX(出库明细!$F$4:$F$3003,$K188),""))</f>
      </c>
      <c r="G188" s="186">
        <f>IF($K188="","",IF($K188&lt;=3000,N(INDEX(出库明细!$G$4:$G$3003,$K188)),""))</f>
      </c>
      <c r="H188" s="186">
        <f>IF($K188="","",IF($K188&lt;=3000,"",INDEX(资金台帐!$S$7:$S$3006,$K188-3000)))</f>
      </c>
      <c r="I188" s="187">
        <f>IF($K188="","",I187+N(G188)-N(H188))</f>
      </c>
      <c r="J188" s="213">
        <f>IF($K188="","",IF($K188&lt;=3000,INDEX(出库明细!$H$4:$H$3003,$K188)&amp;"",INDEX(资金台帐!$E$7:$E$3006,$K188-3000)&amp;""))</f>
      </c>
      <c r="K188" s="78">
        <f>IFERROR(MATCH(SMALL(_辅助!$F$4:$F$6003,149),_辅助!$F$4:$F$6003,0),"")</f>
      </c>
    </row>
    <row r="189">
      <c r="A189" s="141">
        <f>IF($K189="","",150)</f>
      </c>
      <c r="B189" s="140">
        <f>IF($K189="","",IF($K189&lt;=3000,INDEX(出库明细!$B$4:$B$3003,$K189),INDEX(资金台帐!$B$7:$B$3006,$K189-3000)))</f>
      </c>
      <c r="C189" s="141">
        <f>IF($K189="","",IF($K189&lt;=3000,"出库领用",IF(INDEX(资金台帐!$S$7:$S$3006,$K189-3000)&gt;=0,"收款","退款")&amp;"（"&amp;INDEX(资金台帐!$C$7:$C$3006,$K189-3000)&amp;"）"))</f>
      </c>
      <c r="D189" s="141">
        <f>IF($K189="","",IF($K189&lt;=3000,INDEX(出库明细!$D$4:$D$3003,$K189)&amp;"",""))</f>
      </c>
      <c r="E189" s="148">
        <f>IF($K189="","",IF($K189&lt;=3000,INDEX(出库明细!$E$4:$E$3003,$K189),""))</f>
      </c>
      <c r="F189" s="149">
        <f>IF($K189="","",IF($K189&lt;=3000,INDEX(出库明细!$F$4:$F$3003,$K189),""))</f>
      </c>
      <c r="G189" s="186">
        <f>IF($K189="","",IF($K189&lt;=3000,N(INDEX(出库明细!$G$4:$G$3003,$K189)),""))</f>
      </c>
      <c r="H189" s="186">
        <f>IF($K189="","",IF($K189&lt;=3000,"",INDEX(资金台帐!$S$7:$S$3006,$K189-3000)))</f>
      </c>
      <c r="I189" s="187">
        <f>IF($K189="","",I188+N(G189)-N(H189))</f>
      </c>
      <c r="J189" s="213">
        <f>IF($K189="","",IF($K189&lt;=3000,INDEX(出库明细!$H$4:$H$3003,$K189)&amp;"",INDEX(资金台帐!$E$7:$E$3006,$K189-3000)&amp;""))</f>
      </c>
      <c r="K189" s="78">
        <f>IFERROR(MATCH(SMALL(_辅助!$F$4:$F$6003,150),_辅助!$F$4:$F$6003,0),"")</f>
      </c>
    </row>
    <row r="190">
      <c r="A190" s="141">
        <f>IF($K190="","",151)</f>
      </c>
      <c r="B190" s="140">
        <f>IF($K190="","",IF($K190&lt;=3000,INDEX(出库明细!$B$4:$B$3003,$K190),INDEX(资金台帐!$B$7:$B$3006,$K190-3000)))</f>
      </c>
      <c r="C190" s="141">
        <f>IF($K190="","",IF($K190&lt;=3000,"出库领用",IF(INDEX(资金台帐!$S$7:$S$3006,$K190-3000)&gt;=0,"收款","退款")&amp;"（"&amp;INDEX(资金台帐!$C$7:$C$3006,$K190-3000)&amp;"）"))</f>
      </c>
      <c r="D190" s="141">
        <f>IF($K190="","",IF($K190&lt;=3000,INDEX(出库明细!$D$4:$D$3003,$K190)&amp;"",""))</f>
      </c>
      <c r="E190" s="148">
        <f>IF($K190="","",IF($K190&lt;=3000,INDEX(出库明细!$E$4:$E$3003,$K190),""))</f>
      </c>
      <c r="F190" s="149">
        <f>IF($K190="","",IF($K190&lt;=3000,INDEX(出库明细!$F$4:$F$3003,$K190),""))</f>
      </c>
      <c r="G190" s="186">
        <f>IF($K190="","",IF($K190&lt;=3000,N(INDEX(出库明细!$G$4:$G$3003,$K190)),""))</f>
      </c>
      <c r="H190" s="186">
        <f>IF($K190="","",IF($K190&lt;=3000,"",INDEX(资金台帐!$S$7:$S$3006,$K190-3000)))</f>
      </c>
      <c r="I190" s="187">
        <f>IF($K190="","",I189+N(G190)-N(H190))</f>
      </c>
      <c r="J190" s="213">
        <f>IF($K190="","",IF($K190&lt;=3000,INDEX(出库明细!$H$4:$H$3003,$K190)&amp;"",INDEX(资金台帐!$E$7:$E$3006,$K190-3000)&amp;""))</f>
      </c>
      <c r="K190" s="78">
        <f>IFERROR(MATCH(SMALL(_辅助!$F$4:$F$6003,151),_辅助!$F$4:$F$6003,0),"")</f>
      </c>
    </row>
    <row r="191">
      <c r="A191" s="141">
        <f>IF($K191="","",152)</f>
      </c>
      <c r="B191" s="140">
        <f>IF($K191="","",IF($K191&lt;=3000,INDEX(出库明细!$B$4:$B$3003,$K191),INDEX(资金台帐!$B$7:$B$3006,$K191-3000)))</f>
      </c>
      <c r="C191" s="141">
        <f>IF($K191="","",IF($K191&lt;=3000,"出库领用",IF(INDEX(资金台帐!$S$7:$S$3006,$K191-3000)&gt;=0,"收款","退款")&amp;"（"&amp;INDEX(资金台帐!$C$7:$C$3006,$K191-3000)&amp;"）"))</f>
      </c>
      <c r="D191" s="141">
        <f>IF($K191="","",IF($K191&lt;=3000,INDEX(出库明细!$D$4:$D$3003,$K191)&amp;"",""))</f>
      </c>
      <c r="E191" s="148">
        <f>IF($K191="","",IF($K191&lt;=3000,INDEX(出库明细!$E$4:$E$3003,$K191),""))</f>
      </c>
      <c r="F191" s="149">
        <f>IF($K191="","",IF($K191&lt;=3000,INDEX(出库明细!$F$4:$F$3003,$K191),""))</f>
      </c>
      <c r="G191" s="186">
        <f>IF($K191="","",IF($K191&lt;=3000,N(INDEX(出库明细!$G$4:$G$3003,$K191)),""))</f>
      </c>
      <c r="H191" s="186">
        <f>IF($K191="","",IF($K191&lt;=3000,"",INDEX(资金台帐!$S$7:$S$3006,$K191-3000)))</f>
      </c>
      <c r="I191" s="187">
        <f>IF($K191="","",I190+N(G191)-N(H191))</f>
      </c>
      <c r="J191" s="213">
        <f>IF($K191="","",IF($K191&lt;=3000,INDEX(出库明细!$H$4:$H$3003,$K191)&amp;"",INDEX(资金台帐!$E$7:$E$3006,$K191-3000)&amp;""))</f>
      </c>
      <c r="K191" s="78">
        <f>IFERROR(MATCH(SMALL(_辅助!$F$4:$F$6003,152),_辅助!$F$4:$F$6003,0),"")</f>
      </c>
    </row>
    <row r="192">
      <c r="A192" s="141">
        <f>IF($K192="","",153)</f>
      </c>
      <c r="B192" s="140">
        <f>IF($K192="","",IF($K192&lt;=3000,INDEX(出库明细!$B$4:$B$3003,$K192),INDEX(资金台帐!$B$7:$B$3006,$K192-3000)))</f>
      </c>
      <c r="C192" s="141">
        <f>IF($K192="","",IF($K192&lt;=3000,"出库领用",IF(INDEX(资金台帐!$S$7:$S$3006,$K192-3000)&gt;=0,"收款","退款")&amp;"（"&amp;INDEX(资金台帐!$C$7:$C$3006,$K192-3000)&amp;"）"))</f>
      </c>
      <c r="D192" s="141">
        <f>IF($K192="","",IF($K192&lt;=3000,INDEX(出库明细!$D$4:$D$3003,$K192)&amp;"",""))</f>
      </c>
      <c r="E192" s="148">
        <f>IF($K192="","",IF($K192&lt;=3000,INDEX(出库明细!$E$4:$E$3003,$K192),""))</f>
      </c>
      <c r="F192" s="149">
        <f>IF($K192="","",IF($K192&lt;=3000,INDEX(出库明细!$F$4:$F$3003,$K192),""))</f>
      </c>
      <c r="G192" s="186">
        <f>IF($K192="","",IF($K192&lt;=3000,N(INDEX(出库明细!$G$4:$G$3003,$K192)),""))</f>
      </c>
      <c r="H192" s="186">
        <f>IF($K192="","",IF($K192&lt;=3000,"",INDEX(资金台帐!$S$7:$S$3006,$K192-3000)))</f>
      </c>
      <c r="I192" s="187">
        <f>IF($K192="","",I191+N(G192)-N(H192))</f>
      </c>
      <c r="J192" s="213">
        <f>IF($K192="","",IF($K192&lt;=3000,INDEX(出库明细!$H$4:$H$3003,$K192)&amp;"",INDEX(资金台帐!$E$7:$E$3006,$K192-3000)&amp;""))</f>
      </c>
      <c r="K192" s="78">
        <f>IFERROR(MATCH(SMALL(_辅助!$F$4:$F$6003,153),_辅助!$F$4:$F$6003,0),"")</f>
      </c>
    </row>
    <row r="193">
      <c r="A193" s="141">
        <f>IF($K193="","",154)</f>
      </c>
      <c r="B193" s="140">
        <f>IF($K193="","",IF($K193&lt;=3000,INDEX(出库明细!$B$4:$B$3003,$K193),INDEX(资金台帐!$B$7:$B$3006,$K193-3000)))</f>
      </c>
      <c r="C193" s="141">
        <f>IF($K193="","",IF($K193&lt;=3000,"出库领用",IF(INDEX(资金台帐!$S$7:$S$3006,$K193-3000)&gt;=0,"收款","退款")&amp;"（"&amp;INDEX(资金台帐!$C$7:$C$3006,$K193-3000)&amp;"）"))</f>
      </c>
      <c r="D193" s="141">
        <f>IF($K193="","",IF($K193&lt;=3000,INDEX(出库明细!$D$4:$D$3003,$K193)&amp;"",""))</f>
      </c>
      <c r="E193" s="148">
        <f>IF($K193="","",IF($K193&lt;=3000,INDEX(出库明细!$E$4:$E$3003,$K193),""))</f>
      </c>
      <c r="F193" s="149">
        <f>IF($K193="","",IF($K193&lt;=3000,INDEX(出库明细!$F$4:$F$3003,$K193),""))</f>
      </c>
      <c r="G193" s="186">
        <f>IF($K193="","",IF($K193&lt;=3000,N(INDEX(出库明细!$G$4:$G$3003,$K193)),""))</f>
      </c>
      <c r="H193" s="186">
        <f>IF($K193="","",IF($K193&lt;=3000,"",INDEX(资金台帐!$S$7:$S$3006,$K193-3000)))</f>
      </c>
      <c r="I193" s="187">
        <f>IF($K193="","",I192+N(G193)-N(H193))</f>
      </c>
      <c r="J193" s="213">
        <f>IF($K193="","",IF($K193&lt;=3000,INDEX(出库明细!$H$4:$H$3003,$K193)&amp;"",INDEX(资金台帐!$E$7:$E$3006,$K193-3000)&amp;""))</f>
      </c>
      <c r="K193" s="78">
        <f>IFERROR(MATCH(SMALL(_辅助!$F$4:$F$6003,154),_辅助!$F$4:$F$6003,0),"")</f>
      </c>
    </row>
    <row r="194">
      <c r="A194" s="141">
        <f>IF($K194="","",155)</f>
      </c>
      <c r="B194" s="140">
        <f>IF($K194="","",IF($K194&lt;=3000,INDEX(出库明细!$B$4:$B$3003,$K194),INDEX(资金台帐!$B$7:$B$3006,$K194-3000)))</f>
      </c>
      <c r="C194" s="141">
        <f>IF($K194="","",IF($K194&lt;=3000,"出库领用",IF(INDEX(资金台帐!$S$7:$S$3006,$K194-3000)&gt;=0,"收款","退款")&amp;"（"&amp;INDEX(资金台帐!$C$7:$C$3006,$K194-3000)&amp;"）"))</f>
      </c>
      <c r="D194" s="141">
        <f>IF($K194="","",IF($K194&lt;=3000,INDEX(出库明细!$D$4:$D$3003,$K194)&amp;"",""))</f>
      </c>
      <c r="E194" s="148">
        <f>IF($K194="","",IF($K194&lt;=3000,INDEX(出库明细!$E$4:$E$3003,$K194),""))</f>
      </c>
      <c r="F194" s="149">
        <f>IF($K194="","",IF($K194&lt;=3000,INDEX(出库明细!$F$4:$F$3003,$K194),""))</f>
      </c>
      <c r="G194" s="186">
        <f>IF($K194="","",IF($K194&lt;=3000,N(INDEX(出库明细!$G$4:$G$3003,$K194)),""))</f>
      </c>
      <c r="H194" s="186">
        <f>IF($K194="","",IF($K194&lt;=3000,"",INDEX(资金台帐!$S$7:$S$3006,$K194-3000)))</f>
      </c>
      <c r="I194" s="187">
        <f>IF($K194="","",I193+N(G194)-N(H194))</f>
      </c>
      <c r="J194" s="213">
        <f>IF($K194="","",IF($K194&lt;=3000,INDEX(出库明细!$H$4:$H$3003,$K194)&amp;"",INDEX(资金台帐!$E$7:$E$3006,$K194-3000)&amp;""))</f>
      </c>
      <c r="K194" s="78">
        <f>IFERROR(MATCH(SMALL(_辅助!$F$4:$F$6003,155),_辅助!$F$4:$F$6003,0),"")</f>
      </c>
    </row>
    <row r="195">
      <c r="A195" s="141">
        <f>IF($K195="","",156)</f>
      </c>
      <c r="B195" s="140">
        <f>IF($K195="","",IF($K195&lt;=3000,INDEX(出库明细!$B$4:$B$3003,$K195),INDEX(资金台帐!$B$7:$B$3006,$K195-3000)))</f>
      </c>
      <c r="C195" s="141">
        <f>IF($K195="","",IF($K195&lt;=3000,"出库领用",IF(INDEX(资金台帐!$S$7:$S$3006,$K195-3000)&gt;=0,"收款","退款")&amp;"（"&amp;INDEX(资金台帐!$C$7:$C$3006,$K195-3000)&amp;"）"))</f>
      </c>
      <c r="D195" s="141">
        <f>IF($K195="","",IF($K195&lt;=3000,INDEX(出库明细!$D$4:$D$3003,$K195)&amp;"",""))</f>
      </c>
      <c r="E195" s="148">
        <f>IF($K195="","",IF($K195&lt;=3000,INDEX(出库明细!$E$4:$E$3003,$K195),""))</f>
      </c>
      <c r="F195" s="149">
        <f>IF($K195="","",IF($K195&lt;=3000,INDEX(出库明细!$F$4:$F$3003,$K195),""))</f>
      </c>
      <c r="G195" s="186">
        <f>IF($K195="","",IF($K195&lt;=3000,N(INDEX(出库明细!$G$4:$G$3003,$K195)),""))</f>
      </c>
      <c r="H195" s="186">
        <f>IF($K195="","",IF($K195&lt;=3000,"",INDEX(资金台帐!$S$7:$S$3006,$K195-3000)))</f>
      </c>
      <c r="I195" s="187">
        <f>IF($K195="","",I194+N(G195)-N(H195))</f>
      </c>
      <c r="J195" s="213">
        <f>IF($K195="","",IF($K195&lt;=3000,INDEX(出库明细!$H$4:$H$3003,$K195)&amp;"",INDEX(资金台帐!$E$7:$E$3006,$K195-3000)&amp;""))</f>
      </c>
      <c r="K195" s="78">
        <f>IFERROR(MATCH(SMALL(_辅助!$F$4:$F$6003,156),_辅助!$F$4:$F$6003,0),"")</f>
      </c>
    </row>
    <row r="196">
      <c r="A196" s="141">
        <f>IF($K196="","",157)</f>
      </c>
      <c r="B196" s="140">
        <f>IF($K196="","",IF($K196&lt;=3000,INDEX(出库明细!$B$4:$B$3003,$K196),INDEX(资金台帐!$B$7:$B$3006,$K196-3000)))</f>
      </c>
      <c r="C196" s="141">
        <f>IF($K196="","",IF($K196&lt;=3000,"出库领用",IF(INDEX(资金台帐!$S$7:$S$3006,$K196-3000)&gt;=0,"收款","退款")&amp;"（"&amp;INDEX(资金台帐!$C$7:$C$3006,$K196-3000)&amp;"）"))</f>
      </c>
      <c r="D196" s="141">
        <f>IF($K196="","",IF($K196&lt;=3000,INDEX(出库明细!$D$4:$D$3003,$K196)&amp;"",""))</f>
      </c>
      <c r="E196" s="148">
        <f>IF($K196="","",IF($K196&lt;=3000,INDEX(出库明细!$E$4:$E$3003,$K196),""))</f>
      </c>
      <c r="F196" s="149">
        <f>IF($K196="","",IF($K196&lt;=3000,INDEX(出库明细!$F$4:$F$3003,$K196),""))</f>
      </c>
      <c r="G196" s="186">
        <f>IF($K196="","",IF($K196&lt;=3000,N(INDEX(出库明细!$G$4:$G$3003,$K196)),""))</f>
      </c>
      <c r="H196" s="186">
        <f>IF($K196="","",IF($K196&lt;=3000,"",INDEX(资金台帐!$S$7:$S$3006,$K196-3000)))</f>
      </c>
      <c r="I196" s="187">
        <f>IF($K196="","",I195+N(G196)-N(H196))</f>
      </c>
      <c r="J196" s="213">
        <f>IF($K196="","",IF($K196&lt;=3000,INDEX(出库明细!$H$4:$H$3003,$K196)&amp;"",INDEX(资金台帐!$E$7:$E$3006,$K196-3000)&amp;""))</f>
      </c>
      <c r="K196" s="78">
        <f>IFERROR(MATCH(SMALL(_辅助!$F$4:$F$6003,157),_辅助!$F$4:$F$6003,0),"")</f>
      </c>
    </row>
    <row r="197">
      <c r="A197" s="141">
        <f>IF($K197="","",158)</f>
      </c>
      <c r="B197" s="140">
        <f>IF($K197="","",IF($K197&lt;=3000,INDEX(出库明细!$B$4:$B$3003,$K197),INDEX(资金台帐!$B$7:$B$3006,$K197-3000)))</f>
      </c>
      <c r="C197" s="141">
        <f>IF($K197="","",IF($K197&lt;=3000,"出库领用",IF(INDEX(资金台帐!$S$7:$S$3006,$K197-3000)&gt;=0,"收款","退款")&amp;"（"&amp;INDEX(资金台帐!$C$7:$C$3006,$K197-3000)&amp;"）"))</f>
      </c>
      <c r="D197" s="141">
        <f>IF($K197="","",IF($K197&lt;=3000,INDEX(出库明细!$D$4:$D$3003,$K197)&amp;"",""))</f>
      </c>
      <c r="E197" s="148">
        <f>IF($K197="","",IF($K197&lt;=3000,INDEX(出库明细!$E$4:$E$3003,$K197),""))</f>
      </c>
      <c r="F197" s="149">
        <f>IF($K197="","",IF($K197&lt;=3000,INDEX(出库明细!$F$4:$F$3003,$K197),""))</f>
      </c>
      <c r="G197" s="186">
        <f>IF($K197="","",IF($K197&lt;=3000,N(INDEX(出库明细!$G$4:$G$3003,$K197)),""))</f>
      </c>
      <c r="H197" s="186">
        <f>IF($K197="","",IF($K197&lt;=3000,"",INDEX(资金台帐!$S$7:$S$3006,$K197-3000)))</f>
      </c>
      <c r="I197" s="187">
        <f>IF($K197="","",I196+N(G197)-N(H197))</f>
      </c>
      <c r="J197" s="213">
        <f>IF($K197="","",IF($K197&lt;=3000,INDEX(出库明细!$H$4:$H$3003,$K197)&amp;"",INDEX(资金台帐!$E$7:$E$3006,$K197-3000)&amp;""))</f>
      </c>
      <c r="K197" s="78">
        <f>IFERROR(MATCH(SMALL(_辅助!$F$4:$F$6003,158),_辅助!$F$4:$F$6003,0),"")</f>
      </c>
    </row>
    <row r="198">
      <c r="A198" s="141">
        <f>IF($K198="","",159)</f>
      </c>
      <c r="B198" s="140">
        <f>IF($K198="","",IF($K198&lt;=3000,INDEX(出库明细!$B$4:$B$3003,$K198),INDEX(资金台帐!$B$7:$B$3006,$K198-3000)))</f>
      </c>
      <c r="C198" s="141">
        <f>IF($K198="","",IF($K198&lt;=3000,"出库领用",IF(INDEX(资金台帐!$S$7:$S$3006,$K198-3000)&gt;=0,"收款","退款")&amp;"（"&amp;INDEX(资金台帐!$C$7:$C$3006,$K198-3000)&amp;"）"))</f>
      </c>
      <c r="D198" s="141">
        <f>IF($K198="","",IF($K198&lt;=3000,INDEX(出库明细!$D$4:$D$3003,$K198)&amp;"",""))</f>
      </c>
      <c r="E198" s="148">
        <f>IF($K198="","",IF($K198&lt;=3000,INDEX(出库明细!$E$4:$E$3003,$K198),""))</f>
      </c>
      <c r="F198" s="149">
        <f>IF($K198="","",IF($K198&lt;=3000,INDEX(出库明细!$F$4:$F$3003,$K198),""))</f>
      </c>
      <c r="G198" s="186">
        <f>IF($K198="","",IF($K198&lt;=3000,N(INDEX(出库明细!$G$4:$G$3003,$K198)),""))</f>
      </c>
      <c r="H198" s="186">
        <f>IF($K198="","",IF($K198&lt;=3000,"",INDEX(资金台帐!$S$7:$S$3006,$K198-3000)))</f>
      </c>
      <c r="I198" s="187">
        <f>IF($K198="","",I197+N(G198)-N(H198))</f>
      </c>
      <c r="J198" s="213">
        <f>IF($K198="","",IF($K198&lt;=3000,INDEX(出库明细!$H$4:$H$3003,$K198)&amp;"",INDEX(资金台帐!$E$7:$E$3006,$K198-3000)&amp;""))</f>
      </c>
      <c r="K198" s="78">
        <f>IFERROR(MATCH(SMALL(_辅助!$F$4:$F$6003,159),_辅助!$F$4:$F$6003,0),"")</f>
      </c>
    </row>
    <row r="199">
      <c r="A199" s="141">
        <f>IF($K199="","",160)</f>
      </c>
      <c r="B199" s="140">
        <f>IF($K199="","",IF($K199&lt;=3000,INDEX(出库明细!$B$4:$B$3003,$K199),INDEX(资金台帐!$B$7:$B$3006,$K199-3000)))</f>
      </c>
      <c r="C199" s="141">
        <f>IF($K199="","",IF($K199&lt;=3000,"出库领用",IF(INDEX(资金台帐!$S$7:$S$3006,$K199-3000)&gt;=0,"收款","退款")&amp;"（"&amp;INDEX(资金台帐!$C$7:$C$3006,$K199-3000)&amp;"）"))</f>
      </c>
      <c r="D199" s="141">
        <f>IF($K199="","",IF($K199&lt;=3000,INDEX(出库明细!$D$4:$D$3003,$K199)&amp;"",""))</f>
      </c>
      <c r="E199" s="148">
        <f>IF($K199="","",IF($K199&lt;=3000,INDEX(出库明细!$E$4:$E$3003,$K199),""))</f>
      </c>
      <c r="F199" s="149">
        <f>IF($K199="","",IF($K199&lt;=3000,INDEX(出库明细!$F$4:$F$3003,$K199),""))</f>
      </c>
      <c r="G199" s="186">
        <f>IF($K199="","",IF($K199&lt;=3000,N(INDEX(出库明细!$G$4:$G$3003,$K199)),""))</f>
      </c>
      <c r="H199" s="186">
        <f>IF($K199="","",IF($K199&lt;=3000,"",INDEX(资金台帐!$S$7:$S$3006,$K199-3000)))</f>
      </c>
      <c r="I199" s="187">
        <f>IF($K199="","",I198+N(G199)-N(H199))</f>
      </c>
      <c r="J199" s="213">
        <f>IF($K199="","",IF($K199&lt;=3000,INDEX(出库明细!$H$4:$H$3003,$K199)&amp;"",INDEX(资金台帐!$E$7:$E$3006,$K199-3000)&amp;""))</f>
      </c>
      <c r="K199" s="78">
        <f>IFERROR(MATCH(SMALL(_辅助!$F$4:$F$6003,160),_辅助!$F$4:$F$6003,0),"")</f>
      </c>
    </row>
    <row r="200">
      <c r="A200" s="141">
        <f>IF($K200="","",161)</f>
      </c>
      <c r="B200" s="140">
        <f>IF($K200="","",IF($K200&lt;=3000,INDEX(出库明细!$B$4:$B$3003,$K200),INDEX(资金台帐!$B$7:$B$3006,$K200-3000)))</f>
      </c>
      <c r="C200" s="141">
        <f>IF($K200="","",IF($K200&lt;=3000,"出库领用",IF(INDEX(资金台帐!$S$7:$S$3006,$K200-3000)&gt;=0,"收款","退款")&amp;"（"&amp;INDEX(资金台帐!$C$7:$C$3006,$K200-3000)&amp;"）"))</f>
      </c>
      <c r="D200" s="141">
        <f>IF($K200="","",IF($K200&lt;=3000,INDEX(出库明细!$D$4:$D$3003,$K200)&amp;"",""))</f>
      </c>
      <c r="E200" s="148">
        <f>IF($K200="","",IF($K200&lt;=3000,INDEX(出库明细!$E$4:$E$3003,$K200),""))</f>
      </c>
      <c r="F200" s="149">
        <f>IF($K200="","",IF($K200&lt;=3000,INDEX(出库明细!$F$4:$F$3003,$K200),""))</f>
      </c>
      <c r="G200" s="186">
        <f>IF($K200="","",IF($K200&lt;=3000,N(INDEX(出库明细!$G$4:$G$3003,$K200)),""))</f>
      </c>
      <c r="H200" s="186">
        <f>IF($K200="","",IF($K200&lt;=3000,"",INDEX(资金台帐!$S$7:$S$3006,$K200-3000)))</f>
      </c>
      <c r="I200" s="187">
        <f>IF($K200="","",I199+N(G200)-N(H200))</f>
      </c>
      <c r="J200" s="213">
        <f>IF($K200="","",IF($K200&lt;=3000,INDEX(出库明细!$H$4:$H$3003,$K200)&amp;"",INDEX(资金台帐!$E$7:$E$3006,$K200-3000)&amp;""))</f>
      </c>
      <c r="K200" s="78">
        <f>IFERROR(MATCH(SMALL(_辅助!$F$4:$F$6003,161),_辅助!$F$4:$F$6003,0),"")</f>
      </c>
    </row>
    <row r="201">
      <c r="A201" s="141">
        <f>IF($K201="","",162)</f>
      </c>
      <c r="B201" s="140">
        <f>IF($K201="","",IF($K201&lt;=3000,INDEX(出库明细!$B$4:$B$3003,$K201),INDEX(资金台帐!$B$7:$B$3006,$K201-3000)))</f>
      </c>
      <c r="C201" s="141">
        <f>IF($K201="","",IF($K201&lt;=3000,"出库领用",IF(INDEX(资金台帐!$S$7:$S$3006,$K201-3000)&gt;=0,"收款","退款")&amp;"（"&amp;INDEX(资金台帐!$C$7:$C$3006,$K201-3000)&amp;"）"))</f>
      </c>
      <c r="D201" s="141">
        <f>IF($K201="","",IF($K201&lt;=3000,INDEX(出库明细!$D$4:$D$3003,$K201)&amp;"",""))</f>
      </c>
      <c r="E201" s="148">
        <f>IF($K201="","",IF($K201&lt;=3000,INDEX(出库明细!$E$4:$E$3003,$K201),""))</f>
      </c>
      <c r="F201" s="149">
        <f>IF($K201="","",IF($K201&lt;=3000,INDEX(出库明细!$F$4:$F$3003,$K201),""))</f>
      </c>
      <c r="G201" s="186">
        <f>IF($K201="","",IF($K201&lt;=3000,N(INDEX(出库明细!$G$4:$G$3003,$K201)),""))</f>
      </c>
      <c r="H201" s="186">
        <f>IF($K201="","",IF($K201&lt;=3000,"",INDEX(资金台帐!$S$7:$S$3006,$K201-3000)))</f>
      </c>
      <c r="I201" s="187">
        <f>IF($K201="","",I200+N(G201)-N(H201))</f>
      </c>
      <c r="J201" s="213">
        <f>IF($K201="","",IF($K201&lt;=3000,INDEX(出库明细!$H$4:$H$3003,$K201)&amp;"",INDEX(资金台帐!$E$7:$E$3006,$K201-3000)&amp;""))</f>
      </c>
      <c r="K201" s="78">
        <f>IFERROR(MATCH(SMALL(_辅助!$F$4:$F$6003,162),_辅助!$F$4:$F$6003,0),"")</f>
      </c>
    </row>
    <row r="202">
      <c r="A202" s="141">
        <f>IF($K202="","",163)</f>
      </c>
      <c r="B202" s="140">
        <f>IF($K202="","",IF($K202&lt;=3000,INDEX(出库明细!$B$4:$B$3003,$K202),INDEX(资金台帐!$B$7:$B$3006,$K202-3000)))</f>
      </c>
      <c r="C202" s="141">
        <f>IF($K202="","",IF($K202&lt;=3000,"出库领用",IF(INDEX(资金台帐!$S$7:$S$3006,$K202-3000)&gt;=0,"收款","退款")&amp;"（"&amp;INDEX(资金台帐!$C$7:$C$3006,$K202-3000)&amp;"）"))</f>
      </c>
      <c r="D202" s="141">
        <f>IF($K202="","",IF($K202&lt;=3000,INDEX(出库明细!$D$4:$D$3003,$K202)&amp;"",""))</f>
      </c>
      <c r="E202" s="148">
        <f>IF($K202="","",IF($K202&lt;=3000,INDEX(出库明细!$E$4:$E$3003,$K202),""))</f>
      </c>
      <c r="F202" s="149">
        <f>IF($K202="","",IF($K202&lt;=3000,INDEX(出库明细!$F$4:$F$3003,$K202),""))</f>
      </c>
      <c r="G202" s="186">
        <f>IF($K202="","",IF($K202&lt;=3000,N(INDEX(出库明细!$G$4:$G$3003,$K202)),""))</f>
      </c>
      <c r="H202" s="186">
        <f>IF($K202="","",IF($K202&lt;=3000,"",INDEX(资金台帐!$S$7:$S$3006,$K202-3000)))</f>
      </c>
      <c r="I202" s="187">
        <f>IF($K202="","",I201+N(G202)-N(H202))</f>
      </c>
      <c r="J202" s="213">
        <f>IF($K202="","",IF($K202&lt;=3000,INDEX(出库明细!$H$4:$H$3003,$K202)&amp;"",INDEX(资金台帐!$E$7:$E$3006,$K202-3000)&amp;""))</f>
      </c>
      <c r="K202" s="78">
        <f>IFERROR(MATCH(SMALL(_辅助!$F$4:$F$6003,163),_辅助!$F$4:$F$6003,0),"")</f>
      </c>
    </row>
    <row r="203">
      <c r="A203" s="141">
        <f>IF($K203="","",164)</f>
      </c>
      <c r="B203" s="140">
        <f>IF($K203="","",IF($K203&lt;=3000,INDEX(出库明细!$B$4:$B$3003,$K203),INDEX(资金台帐!$B$7:$B$3006,$K203-3000)))</f>
      </c>
      <c r="C203" s="141">
        <f>IF($K203="","",IF($K203&lt;=3000,"出库领用",IF(INDEX(资金台帐!$S$7:$S$3006,$K203-3000)&gt;=0,"收款","退款")&amp;"（"&amp;INDEX(资金台帐!$C$7:$C$3006,$K203-3000)&amp;"）"))</f>
      </c>
      <c r="D203" s="141">
        <f>IF($K203="","",IF($K203&lt;=3000,INDEX(出库明细!$D$4:$D$3003,$K203)&amp;"",""))</f>
      </c>
      <c r="E203" s="148">
        <f>IF($K203="","",IF($K203&lt;=3000,INDEX(出库明细!$E$4:$E$3003,$K203),""))</f>
      </c>
      <c r="F203" s="149">
        <f>IF($K203="","",IF($K203&lt;=3000,INDEX(出库明细!$F$4:$F$3003,$K203),""))</f>
      </c>
      <c r="G203" s="186">
        <f>IF($K203="","",IF($K203&lt;=3000,N(INDEX(出库明细!$G$4:$G$3003,$K203)),""))</f>
      </c>
      <c r="H203" s="186">
        <f>IF($K203="","",IF($K203&lt;=3000,"",INDEX(资金台帐!$S$7:$S$3006,$K203-3000)))</f>
      </c>
      <c r="I203" s="187">
        <f>IF($K203="","",I202+N(G203)-N(H203))</f>
      </c>
      <c r="J203" s="213">
        <f>IF($K203="","",IF($K203&lt;=3000,INDEX(出库明细!$H$4:$H$3003,$K203)&amp;"",INDEX(资金台帐!$E$7:$E$3006,$K203-3000)&amp;""))</f>
      </c>
      <c r="K203" s="78">
        <f>IFERROR(MATCH(SMALL(_辅助!$F$4:$F$6003,164),_辅助!$F$4:$F$6003,0),"")</f>
      </c>
    </row>
    <row r="204">
      <c r="A204" s="141">
        <f>IF($K204="","",165)</f>
      </c>
      <c r="B204" s="140">
        <f>IF($K204="","",IF($K204&lt;=3000,INDEX(出库明细!$B$4:$B$3003,$K204),INDEX(资金台帐!$B$7:$B$3006,$K204-3000)))</f>
      </c>
      <c r="C204" s="141">
        <f>IF($K204="","",IF($K204&lt;=3000,"出库领用",IF(INDEX(资金台帐!$S$7:$S$3006,$K204-3000)&gt;=0,"收款","退款")&amp;"（"&amp;INDEX(资金台帐!$C$7:$C$3006,$K204-3000)&amp;"）"))</f>
      </c>
      <c r="D204" s="141">
        <f>IF($K204="","",IF($K204&lt;=3000,INDEX(出库明细!$D$4:$D$3003,$K204)&amp;"",""))</f>
      </c>
      <c r="E204" s="148">
        <f>IF($K204="","",IF($K204&lt;=3000,INDEX(出库明细!$E$4:$E$3003,$K204),""))</f>
      </c>
      <c r="F204" s="149">
        <f>IF($K204="","",IF($K204&lt;=3000,INDEX(出库明细!$F$4:$F$3003,$K204),""))</f>
      </c>
      <c r="G204" s="186">
        <f>IF($K204="","",IF($K204&lt;=3000,N(INDEX(出库明细!$G$4:$G$3003,$K204)),""))</f>
      </c>
      <c r="H204" s="186">
        <f>IF($K204="","",IF($K204&lt;=3000,"",INDEX(资金台帐!$S$7:$S$3006,$K204-3000)))</f>
      </c>
      <c r="I204" s="187">
        <f>IF($K204="","",I203+N(G204)-N(H204))</f>
      </c>
      <c r="J204" s="213">
        <f>IF($K204="","",IF($K204&lt;=3000,INDEX(出库明细!$H$4:$H$3003,$K204)&amp;"",INDEX(资金台帐!$E$7:$E$3006,$K204-3000)&amp;""))</f>
      </c>
      <c r="K204" s="78">
        <f>IFERROR(MATCH(SMALL(_辅助!$F$4:$F$6003,165),_辅助!$F$4:$F$6003,0),"")</f>
      </c>
    </row>
    <row r="205">
      <c r="A205" s="141">
        <f>IF($K205="","",166)</f>
      </c>
      <c r="B205" s="140">
        <f>IF($K205="","",IF($K205&lt;=3000,INDEX(出库明细!$B$4:$B$3003,$K205),INDEX(资金台帐!$B$7:$B$3006,$K205-3000)))</f>
      </c>
      <c r="C205" s="141">
        <f>IF($K205="","",IF($K205&lt;=3000,"出库领用",IF(INDEX(资金台帐!$S$7:$S$3006,$K205-3000)&gt;=0,"收款","退款")&amp;"（"&amp;INDEX(资金台帐!$C$7:$C$3006,$K205-3000)&amp;"）"))</f>
      </c>
      <c r="D205" s="141">
        <f>IF($K205="","",IF($K205&lt;=3000,INDEX(出库明细!$D$4:$D$3003,$K205)&amp;"",""))</f>
      </c>
      <c r="E205" s="148">
        <f>IF($K205="","",IF($K205&lt;=3000,INDEX(出库明细!$E$4:$E$3003,$K205),""))</f>
      </c>
      <c r="F205" s="149">
        <f>IF($K205="","",IF($K205&lt;=3000,INDEX(出库明细!$F$4:$F$3003,$K205),""))</f>
      </c>
      <c r="G205" s="186">
        <f>IF($K205="","",IF($K205&lt;=3000,N(INDEX(出库明细!$G$4:$G$3003,$K205)),""))</f>
      </c>
      <c r="H205" s="186">
        <f>IF($K205="","",IF($K205&lt;=3000,"",INDEX(资金台帐!$S$7:$S$3006,$K205-3000)))</f>
      </c>
      <c r="I205" s="187">
        <f>IF($K205="","",I204+N(G205)-N(H205))</f>
      </c>
      <c r="J205" s="213">
        <f>IF($K205="","",IF($K205&lt;=3000,INDEX(出库明细!$H$4:$H$3003,$K205)&amp;"",INDEX(资金台帐!$E$7:$E$3006,$K205-3000)&amp;""))</f>
      </c>
      <c r="K205" s="78">
        <f>IFERROR(MATCH(SMALL(_辅助!$F$4:$F$6003,166),_辅助!$F$4:$F$6003,0),"")</f>
      </c>
    </row>
    <row r="206">
      <c r="A206" s="141">
        <f>IF($K206="","",167)</f>
      </c>
      <c r="B206" s="140">
        <f>IF($K206="","",IF($K206&lt;=3000,INDEX(出库明细!$B$4:$B$3003,$K206),INDEX(资金台帐!$B$7:$B$3006,$K206-3000)))</f>
      </c>
      <c r="C206" s="141">
        <f>IF($K206="","",IF($K206&lt;=3000,"出库领用",IF(INDEX(资金台帐!$S$7:$S$3006,$K206-3000)&gt;=0,"收款","退款")&amp;"（"&amp;INDEX(资金台帐!$C$7:$C$3006,$K206-3000)&amp;"）"))</f>
      </c>
      <c r="D206" s="141">
        <f>IF($K206="","",IF($K206&lt;=3000,INDEX(出库明细!$D$4:$D$3003,$K206)&amp;"",""))</f>
      </c>
      <c r="E206" s="148">
        <f>IF($K206="","",IF($K206&lt;=3000,INDEX(出库明细!$E$4:$E$3003,$K206),""))</f>
      </c>
      <c r="F206" s="149">
        <f>IF($K206="","",IF($K206&lt;=3000,INDEX(出库明细!$F$4:$F$3003,$K206),""))</f>
      </c>
      <c r="G206" s="186">
        <f>IF($K206="","",IF($K206&lt;=3000,N(INDEX(出库明细!$G$4:$G$3003,$K206)),""))</f>
      </c>
      <c r="H206" s="186">
        <f>IF($K206="","",IF($K206&lt;=3000,"",INDEX(资金台帐!$S$7:$S$3006,$K206-3000)))</f>
      </c>
      <c r="I206" s="187">
        <f>IF($K206="","",I205+N(G206)-N(H206))</f>
      </c>
      <c r="J206" s="213">
        <f>IF($K206="","",IF($K206&lt;=3000,INDEX(出库明细!$H$4:$H$3003,$K206)&amp;"",INDEX(资金台帐!$E$7:$E$3006,$K206-3000)&amp;""))</f>
      </c>
      <c r="K206" s="78">
        <f>IFERROR(MATCH(SMALL(_辅助!$F$4:$F$6003,167),_辅助!$F$4:$F$6003,0),"")</f>
      </c>
    </row>
    <row r="207">
      <c r="A207" s="141">
        <f>IF($K207="","",168)</f>
      </c>
      <c r="B207" s="140">
        <f>IF($K207="","",IF($K207&lt;=3000,INDEX(出库明细!$B$4:$B$3003,$K207),INDEX(资金台帐!$B$7:$B$3006,$K207-3000)))</f>
      </c>
      <c r="C207" s="141">
        <f>IF($K207="","",IF($K207&lt;=3000,"出库领用",IF(INDEX(资金台帐!$S$7:$S$3006,$K207-3000)&gt;=0,"收款","退款")&amp;"（"&amp;INDEX(资金台帐!$C$7:$C$3006,$K207-3000)&amp;"）"))</f>
      </c>
      <c r="D207" s="141">
        <f>IF($K207="","",IF($K207&lt;=3000,INDEX(出库明细!$D$4:$D$3003,$K207)&amp;"",""))</f>
      </c>
      <c r="E207" s="148">
        <f>IF($K207="","",IF($K207&lt;=3000,INDEX(出库明细!$E$4:$E$3003,$K207),""))</f>
      </c>
      <c r="F207" s="149">
        <f>IF($K207="","",IF($K207&lt;=3000,INDEX(出库明细!$F$4:$F$3003,$K207),""))</f>
      </c>
      <c r="G207" s="186">
        <f>IF($K207="","",IF($K207&lt;=3000,N(INDEX(出库明细!$G$4:$G$3003,$K207)),""))</f>
      </c>
      <c r="H207" s="186">
        <f>IF($K207="","",IF($K207&lt;=3000,"",INDEX(资金台帐!$S$7:$S$3006,$K207-3000)))</f>
      </c>
      <c r="I207" s="187">
        <f>IF($K207="","",I206+N(G207)-N(H207))</f>
      </c>
      <c r="J207" s="213">
        <f>IF($K207="","",IF($K207&lt;=3000,INDEX(出库明细!$H$4:$H$3003,$K207)&amp;"",INDEX(资金台帐!$E$7:$E$3006,$K207-3000)&amp;""))</f>
      </c>
      <c r="K207" s="78">
        <f>IFERROR(MATCH(SMALL(_辅助!$F$4:$F$6003,168),_辅助!$F$4:$F$6003,0),"")</f>
      </c>
    </row>
    <row r="208">
      <c r="A208" s="141">
        <f>IF($K208="","",169)</f>
      </c>
      <c r="B208" s="140">
        <f>IF($K208="","",IF($K208&lt;=3000,INDEX(出库明细!$B$4:$B$3003,$K208),INDEX(资金台帐!$B$7:$B$3006,$K208-3000)))</f>
      </c>
      <c r="C208" s="141">
        <f>IF($K208="","",IF($K208&lt;=3000,"出库领用",IF(INDEX(资金台帐!$S$7:$S$3006,$K208-3000)&gt;=0,"收款","退款")&amp;"（"&amp;INDEX(资金台帐!$C$7:$C$3006,$K208-3000)&amp;"）"))</f>
      </c>
      <c r="D208" s="141">
        <f>IF($K208="","",IF($K208&lt;=3000,INDEX(出库明细!$D$4:$D$3003,$K208)&amp;"",""))</f>
      </c>
      <c r="E208" s="148">
        <f>IF($K208="","",IF($K208&lt;=3000,INDEX(出库明细!$E$4:$E$3003,$K208),""))</f>
      </c>
      <c r="F208" s="149">
        <f>IF($K208="","",IF($K208&lt;=3000,INDEX(出库明细!$F$4:$F$3003,$K208),""))</f>
      </c>
      <c r="G208" s="186">
        <f>IF($K208="","",IF($K208&lt;=3000,N(INDEX(出库明细!$G$4:$G$3003,$K208)),""))</f>
      </c>
      <c r="H208" s="186">
        <f>IF($K208="","",IF($K208&lt;=3000,"",INDEX(资金台帐!$S$7:$S$3006,$K208-3000)))</f>
      </c>
      <c r="I208" s="187">
        <f>IF($K208="","",I207+N(G208)-N(H208))</f>
      </c>
      <c r="J208" s="213">
        <f>IF($K208="","",IF($K208&lt;=3000,INDEX(出库明细!$H$4:$H$3003,$K208)&amp;"",INDEX(资金台帐!$E$7:$E$3006,$K208-3000)&amp;""))</f>
      </c>
      <c r="K208" s="78">
        <f>IFERROR(MATCH(SMALL(_辅助!$F$4:$F$6003,169),_辅助!$F$4:$F$6003,0),"")</f>
      </c>
    </row>
    <row r="209">
      <c r="A209" s="141">
        <f>IF($K209="","",170)</f>
      </c>
      <c r="B209" s="140">
        <f>IF($K209="","",IF($K209&lt;=3000,INDEX(出库明细!$B$4:$B$3003,$K209),INDEX(资金台帐!$B$7:$B$3006,$K209-3000)))</f>
      </c>
      <c r="C209" s="141">
        <f>IF($K209="","",IF($K209&lt;=3000,"出库领用",IF(INDEX(资金台帐!$S$7:$S$3006,$K209-3000)&gt;=0,"收款","退款")&amp;"（"&amp;INDEX(资金台帐!$C$7:$C$3006,$K209-3000)&amp;"）"))</f>
      </c>
      <c r="D209" s="141">
        <f>IF($K209="","",IF($K209&lt;=3000,INDEX(出库明细!$D$4:$D$3003,$K209)&amp;"",""))</f>
      </c>
      <c r="E209" s="148">
        <f>IF($K209="","",IF($K209&lt;=3000,INDEX(出库明细!$E$4:$E$3003,$K209),""))</f>
      </c>
      <c r="F209" s="149">
        <f>IF($K209="","",IF($K209&lt;=3000,INDEX(出库明细!$F$4:$F$3003,$K209),""))</f>
      </c>
      <c r="G209" s="186">
        <f>IF($K209="","",IF($K209&lt;=3000,N(INDEX(出库明细!$G$4:$G$3003,$K209)),""))</f>
      </c>
      <c r="H209" s="186">
        <f>IF($K209="","",IF($K209&lt;=3000,"",INDEX(资金台帐!$S$7:$S$3006,$K209-3000)))</f>
      </c>
      <c r="I209" s="187">
        <f>IF($K209="","",I208+N(G209)-N(H209))</f>
      </c>
      <c r="J209" s="213">
        <f>IF($K209="","",IF($K209&lt;=3000,INDEX(出库明细!$H$4:$H$3003,$K209)&amp;"",INDEX(资金台帐!$E$7:$E$3006,$K209-3000)&amp;""))</f>
      </c>
      <c r="K209" s="78">
        <f>IFERROR(MATCH(SMALL(_辅助!$F$4:$F$6003,170),_辅助!$F$4:$F$6003,0),"")</f>
      </c>
    </row>
    <row r="210">
      <c r="A210" s="141">
        <f>IF($K210="","",171)</f>
      </c>
      <c r="B210" s="140">
        <f>IF($K210="","",IF($K210&lt;=3000,INDEX(出库明细!$B$4:$B$3003,$K210),INDEX(资金台帐!$B$7:$B$3006,$K210-3000)))</f>
      </c>
      <c r="C210" s="141">
        <f>IF($K210="","",IF($K210&lt;=3000,"出库领用",IF(INDEX(资金台帐!$S$7:$S$3006,$K210-3000)&gt;=0,"收款","退款")&amp;"（"&amp;INDEX(资金台帐!$C$7:$C$3006,$K210-3000)&amp;"）"))</f>
      </c>
      <c r="D210" s="141">
        <f>IF($K210="","",IF($K210&lt;=3000,INDEX(出库明细!$D$4:$D$3003,$K210)&amp;"",""))</f>
      </c>
      <c r="E210" s="148">
        <f>IF($K210="","",IF($K210&lt;=3000,INDEX(出库明细!$E$4:$E$3003,$K210),""))</f>
      </c>
      <c r="F210" s="149">
        <f>IF($K210="","",IF($K210&lt;=3000,INDEX(出库明细!$F$4:$F$3003,$K210),""))</f>
      </c>
      <c r="G210" s="186">
        <f>IF($K210="","",IF($K210&lt;=3000,N(INDEX(出库明细!$G$4:$G$3003,$K210)),""))</f>
      </c>
      <c r="H210" s="186">
        <f>IF($K210="","",IF($K210&lt;=3000,"",INDEX(资金台帐!$S$7:$S$3006,$K210-3000)))</f>
      </c>
      <c r="I210" s="187">
        <f>IF($K210="","",I209+N(G210)-N(H210))</f>
      </c>
      <c r="J210" s="213">
        <f>IF($K210="","",IF($K210&lt;=3000,INDEX(出库明细!$H$4:$H$3003,$K210)&amp;"",INDEX(资金台帐!$E$7:$E$3006,$K210-3000)&amp;""))</f>
      </c>
      <c r="K210" s="78">
        <f>IFERROR(MATCH(SMALL(_辅助!$F$4:$F$6003,171),_辅助!$F$4:$F$6003,0),"")</f>
      </c>
    </row>
    <row r="211">
      <c r="A211" s="141">
        <f>IF($K211="","",172)</f>
      </c>
      <c r="B211" s="140">
        <f>IF($K211="","",IF($K211&lt;=3000,INDEX(出库明细!$B$4:$B$3003,$K211),INDEX(资金台帐!$B$7:$B$3006,$K211-3000)))</f>
      </c>
      <c r="C211" s="141">
        <f>IF($K211="","",IF($K211&lt;=3000,"出库领用",IF(INDEX(资金台帐!$S$7:$S$3006,$K211-3000)&gt;=0,"收款","退款")&amp;"（"&amp;INDEX(资金台帐!$C$7:$C$3006,$K211-3000)&amp;"）"))</f>
      </c>
      <c r="D211" s="141">
        <f>IF($K211="","",IF($K211&lt;=3000,INDEX(出库明细!$D$4:$D$3003,$K211)&amp;"",""))</f>
      </c>
      <c r="E211" s="148">
        <f>IF($K211="","",IF($K211&lt;=3000,INDEX(出库明细!$E$4:$E$3003,$K211),""))</f>
      </c>
      <c r="F211" s="149">
        <f>IF($K211="","",IF($K211&lt;=3000,INDEX(出库明细!$F$4:$F$3003,$K211),""))</f>
      </c>
      <c r="G211" s="186">
        <f>IF($K211="","",IF($K211&lt;=3000,N(INDEX(出库明细!$G$4:$G$3003,$K211)),""))</f>
      </c>
      <c r="H211" s="186">
        <f>IF($K211="","",IF($K211&lt;=3000,"",INDEX(资金台帐!$S$7:$S$3006,$K211-3000)))</f>
      </c>
      <c r="I211" s="187">
        <f>IF($K211="","",I210+N(G211)-N(H211))</f>
      </c>
      <c r="J211" s="213">
        <f>IF($K211="","",IF($K211&lt;=3000,INDEX(出库明细!$H$4:$H$3003,$K211)&amp;"",INDEX(资金台帐!$E$7:$E$3006,$K211-3000)&amp;""))</f>
      </c>
      <c r="K211" s="78">
        <f>IFERROR(MATCH(SMALL(_辅助!$F$4:$F$6003,172),_辅助!$F$4:$F$6003,0),"")</f>
      </c>
    </row>
    <row r="212">
      <c r="A212" s="141">
        <f>IF($K212="","",173)</f>
      </c>
      <c r="B212" s="140">
        <f>IF($K212="","",IF($K212&lt;=3000,INDEX(出库明细!$B$4:$B$3003,$K212),INDEX(资金台帐!$B$7:$B$3006,$K212-3000)))</f>
      </c>
      <c r="C212" s="141">
        <f>IF($K212="","",IF($K212&lt;=3000,"出库领用",IF(INDEX(资金台帐!$S$7:$S$3006,$K212-3000)&gt;=0,"收款","退款")&amp;"（"&amp;INDEX(资金台帐!$C$7:$C$3006,$K212-3000)&amp;"）"))</f>
      </c>
      <c r="D212" s="141">
        <f>IF($K212="","",IF($K212&lt;=3000,INDEX(出库明细!$D$4:$D$3003,$K212)&amp;"",""))</f>
      </c>
      <c r="E212" s="148">
        <f>IF($K212="","",IF($K212&lt;=3000,INDEX(出库明细!$E$4:$E$3003,$K212),""))</f>
      </c>
      <c r="F212" s="149">
        <f>IF($K212="","",IF($K212&lt;=3000,INDEX(出库明细!$F$4:$F$3003,$K212),""))</f>
      </c>
      <c r="G212" s="186">
        <f>IF($K212="","",IF($K212&lt;=3000,N(INDEX(出库明细!$G$4:$G$3003,$K212)),""))</f>
      </c>
      <c r="H212" s="186">
        <f>IF($K212="","",IF($K212&lt;=3000,"",INDEX(资金台帐!$S$7:$S$3006,$K212-3000)))</f>
      </c>
      <c r="I212" s="187">
        <f>IF($K212="","",I211+N(G212)-N(H212))</f>
      </c>
      <c r="J212" s="213">
        <f>IF($K212="","",IF($K212&lt;=3000,INDEX(出库明细!$H$4:$H$3003,$K212)&amp;"",INDEX(资金台帐!$E$7:$E$3006,$K212-3000)&amp;""))</f>
      </c>
      <c r="K212" s="78">
        <f>IFERROR(MATCH(SMALL(_辅助!$F$4:$F$6003,173),_辅助!$F$4:$F$6003,0),"")</f>
      </c>
    </row>
    <row r="213">
      <c r="A213" s="141">
        <f>IF($K213="","",174)</f>
      </c>
      <c r="B213" s="140">
        <f>IF($K213="","",IF($K213&lt;=3000,INDEX(出库明细!$B$4:$B$3003,$K213),INDEX(资金台帐!$B$7:$B$3006,$K213-3000)))</f>
      </c>
      <c r="C213" s="141">
        <f>IF($K213="","",IF($K213&lt;=3000,"出库领用",IF(INDEX(资金台帐!$S$7:$S$3006,$K213-3000)&gt;=0,"收款","退款")&amp;"（"&amp;INDEX(资金台帐!$C$7:$C$3006,$K213-3000)&amp;"）"))</f>
      </c>
      <c r="D213" s="141">
        <f>IF($K213="","",IF($K213&lt;=3000,INDEX(出库明细!$D$4:$D$3003,$K213)&amp;"",""))</f>
      </c>
      <c r="E213" s="148">
        <f>IF($K213="","",IF($K213&lt;=3000,INDEX(出库明细!$E$4:$E$3003,$K213),""))</f>
      </c>
      <c r="F213" s="149">
        <f>IF($K213="","",IF($K213&lt;=3000,INDEX(出库明细!$F$4:$F$3003,$K213),""))</f>
      </c>
      <c r="G213" s="186">
        <f>IF($K213="","",IF($K213&lt;=3000,N(INDEX(出库明细!$G$4:$G$3003,$K213)),""))</f>
      </c>
      <c r="H213" s="186">
        <f>IF($K213="","",IF($K213&lt;=3000,"",INDEX(资金台帐!$S$7:$S$3006,$K213-3000)))</f>
      </c>
      <c r="I213" s="187">
        <f>IF($K213="","",I212+N(G213)-N(H213))</f>
      </c>
      <c r="J213" s="213">
        <f>IF($K213="","",IF($K213&lt;=3000,INDEX(出库明细!$H$4:$H$3003,$K213)&amp;"",INDEX(资金台帐!$E$7:$E$3006,$K213-3000)&amp;""))</f>
      </c>
      <c r="K213" s="78">
        <f>IFERROR(MATCH(SMALL(_辅助!$F$4:$F$6003,174),_辅助!$F$4:$F$6003,0),"")</f>
      </c>
    </row>
    <row r="214">
      <c r="A214" s="141">
        <f>IF($K214="","",175)</f>
      </c>
      <c r="B214" s="140">
        <f>IF($K214="","",IF($K214&lt;=3000,INDEX(出库明细!$B$4:$B$3003,$K214),INDEX(资金台帐!$B$7:$B$3006,$K214-3000)))</f>
      </c>
      <c r="C214" s="141">
        <f>IF($K214="","",IF($K214&lt;=3000,"出库领用",IF(INDEX(资金台帐!$S$7:$S$3006,$K214-3000)&gt;=0,"收款","退款")&amp;"（"&amp;INDEX(资金台帐!$C$7:$C$3006,$K214-3000)&amp;"）"))</f>
      </c>
      <c r="D214" s="141">
        <f>IF($K214="","",IF($K214&lt;=3000,INDEX(出库明细!$D$4:$D$3003,$K214)&amp;"",""))</f>
      </c>
      <c r="E214" s="148">
        <f>IF($K214="","",IF($K214&lt;=3000,INDEX(出库明细!$E$4:$E$3003,$K214),""))</f>
      </c>
      <c r="F214" s="149">
        <f>IF($K214="","",IF($K214&lt;=3000,INDEX(出库明细!$F$4:$F$3003,$K214),""))</f>
      </c>
      <c r="G214" s="186">
        <f>IF($K214="","",IF($K214&lt;=3000,N(INDEX(出库明细!$G$4:$G$3003,$K214)),""))</f>
      </c>
      <c r="H214" s="186">
        <f>IF($K214="","",IF($K214&lt;=3000,"",INDEX(资金台帐!$S$7:$S$3006,$K214-3000)))</f>
      </c>
      <c r="I214" s="187">
        <f>IF($K214="","",I213+N(G214)-N(H214))</f>
      </c>
      <c r="J214" s="213">
        <f>IF($K214="","",IF($K214&lt;=3000,INDEX(出库明细!$H$4:$H$3003,$K214)&amp;"",INDEX(资金台帐!$E$7:$E$3006,$K214-3000)&amp;""))</f>
      </c>
      <c r="K214" s="78">
        <f>IFERROR(MATCH(SMALL(_辅助!$F$4:$F$6003,175),_辅助!$F$4:$F$6003,0),"")</f>
      </c>
    </row>
    <row r="215">
      <c r="A215" s="141">
        <f>IF($K215="","",176)</f>
      </c>
      <c r="B215" s="140">
        <f>IF($K215="","",IF($K215&lt;=3000,INDEX(出库明细!$B$4:$B$3003,$K215),INDEX(资金台帐!$B$7:$B$3006,$K215-3000)))</f>
      </c>
      <c r="C215" s="141">
        <f>IF($K215="","",IF($K215&lt;=3000,"出库领用",IF(INDEX(资金台帐!$S$7:$S$3006,$K215-3000)&gt;=0,"收款","退款")&amp;"（"&amp;INDEX(资金台帐!$C$7:$C$3006,$K215-3000)&amp;"）"))</f>
      </c>
      <c r="D215" s="141">
        <f>IF($K215="","",IF($K215&lt;=3000,INDEX(出库明细!$D$4:$D$3003,$K215)&amp;"",""))</f>
      </c>
      <c r="E215" s="148">
        <f>IF($K215="","",IF($K215&lt;=3000,INDEX(出库明细!$E$4:$E$3003,$K215),""))</f>
      </c>
      <c r="F215" s="149">
        <f>IF($K215="","",IF($K215&lt;=3000,INDEX(出库明细!$F$4:$F$3003,$K215),""))</f>
      </c>
      <c r="G215" s="186">
        <f>IF($K215="","",IF($K215&lt;=3000,N(INDEX(出库明细!$G$4:$G$3003,$K215)),""))</f>
      </c>
      <c r="H215" s="186">
        <f>IF($K215="","",IF($K215&lt;=3000,"",INDEX(资金台帐!$S$7:$S$3006,$K215-3000)))</f>
      </c>
      <c r="I215" s="187">
        <f>IF($K215="","",I214+N(G215)-N(H215))</f>
      </c>
      <c r="J215" s="213">
        <f>IF($K215="","",IF($K215&lt;=3000,INDEX(出库明细!$H$4:$H$3003,$K215)&amp;"",INDEX(资金台帐!$E$7:$E$3006,$K215-3000)&amp;""))</f>
      </c>
      <c r="K215" s="78">
        <f>IFERROR(MATCH(SMALL(_辅助!$F$4:$F$6003,176),_辅助!$F$4:$F$6003,0),"")</f>
      </c>
    </row>
    <row r="216">
      <c r="A216" s="141">
        <f>IF($K216="","",177)</f>
      </c>
      <c r="B216" s="140">
        <f>IF($K216="","",IF($K216&lt;=3000,INDEX(出库明细!$B$4:$B$3003,$K216),INDEX(资金台帐!$B$7:$B$3006,$K216-3000)))</f>
      </c>
      <c r="C216" s="141">
        <f>IF($K216="","",IF($K216&lt;=3000,"出库领用",IF(INDEX(资金台帐!$S$7:$S$3006,$K216-3000)&gt;=0,"收款","退款")&amp;"（"&amp;INDEX(资金台帐!$C$7:$C$3006,$K216-3000)&amp;"）"))</f>
      </c>
      <c r="D216" s="141">
        <f>IF($K216="","",IF($K216&lt;=3000,INDEX(出库明细!$D$4:$D$3003,$K216)&amp;"",""))</f>
      </c>
      <c r="E216" s="148">
        <f>IF($K216="","",IF($K216&lt;=3000,INDEX(出库明细!$E$4:$E$3003,$K216),""))</f>
      </c>
      <c r="F216" s="149">
        <f>IF($K216="","",IF($K216&lt;=3000,INDEX(出库明细!$F$4:$F$3003,$K216),""))</f>
      </c>
      <c r="G216" s="186">
        <f>IF($K216="","",IF($K216&lt;=3000,N(INDEX(出库明细!$G$4:$G$3003,$K216)),""))</f>
      </c>
      <c r="H216" s="186">
        <f>IF($K216="","",IF($K216&lt;=3000,"",INDEX(资金台帐!$S$7:$S$3006,$K216-3000)))</f>
      </c>
      <c r="I216" s="187">
        <f>IF($K216="","",I215+N(G216)-N(H216))</f>
      </c>
      <c r="J216" s="213">
        <f>IF($K216="","",IF($K216&lt;=3000,INDEX(出库明细!$H$4:$H$3003,$K216)&amp;"",INDEX(资金台帐!$E$7:$E$3006,$K216-3000)&amp;""))</f>
      </c>
      <c r="K216" s="78">
        <f>IFERROR(MATCH(SMALL(_辅助!$F$4:$F$6003,177),_辅助!$F$4:$F$6003,0),"")</f>
      </c>
    </row>
    <row r="217">
      <c r="A217" s="141">
        <f>IF($K217="","",178)</f>
      </c>
      <c r="B217" s="140">
        <f>IF($K217="","",IF($K217&lt;=3000,INDEX(出库明细!$B$4:$B$3003,$K217),INDEX(资金台帐!$B$7:$B$3006,$K217-3000)))</f>
      </c>
      <c r="C217" s="141">
        <f>IF($K217="","",IF($K217&lt;=3000,"出库领用",IF(INDEX(资金台帐!$S$7:$S$3006,$K217-3000)&gt;=0,"收款","退款")&amp;"（"&amp;INDEX(资金台帐!$C$7:$C$3006,$K217-3000)&amp;"）"))</f>
      </c>
      <c r="D217" s="141">
        <f>IF($K217="","",IF($K217&lt;=3000,INDEX(出库明细!$D$4:$D$3003,$K217)&amp;"",""))</f>
      </c>
      <c r="E217" s="148">
        <f>IF($K217="","",IF($K217&lt;=3000,INDEX(出库明细!$E$4:$E$3003,$K217),""))</f>
      </c>
      <c r="F217" s="149">
        <f>IF($K217="","",IF($K217&lt;=3000,INDEX(出库明细!$F$4:$F$3003,$K217),""))</f>
      </c>
      <c r="G217" s="186">
        <f>IF($K217="","",IF($K217&lt;=3000,N(INDEX(出库明细!$G$4:$G$3003,$K217)),""))</f>
      </c>
      <c r="H217" s="186">
        <f>IF($K217="","",IF($K217&lt;=3000,"",INDEX(资金台帐!$S$7:$S$3006,$K217-3000)))</f>
      </c>
      <c r="I217" s="187">
        <f>IF($K217="","",I216+N(G217)-N(H217))</f>
      </c>
      <c r="J217" s="213">
        <f>IF($K217="","",IF($K217&lt;=3000,INDEX(出库明细!$H$4:$H$3003,$K217)&amp;"",INDEX(资金台帐!$E$7:$E$3006,$K217-3000)&amp;""))</f>
      </c>
      <c r="K217" s="78">
        <f>IFERROR(MATCH(SMALL(_辅助!$F$4:$F$6003,178),_辅助!$F$4:$F$6003,0),"")</f>
      </c>
    </row>
    <row r="218">
      <c r="A218" s="141">
        <f>IF($K218="","",179)</f>
      </c>
      <c r="B218" s="140">
        <f>IF($K218="","",IF($K218&lt;=3000,INDEX(出库明细!$B$4:$B$3003,$K218),INDEX(资金台帐!$B$7:$B$3006,$K218-3000)))</f>
      </c>
      <c r="C218" s="141">
        <f>IF($K218="","",IF($K218&lt;=3000,"出库领用",IF(INDEX(资金台帐!$S$7:$S$3006,$K218-3000)&gt;=0,"收款","退款")&amp;"（"&amp;INDEX(资金台帐!$C$7:$C$3006,$K218-3000)&amp;"）"))</f>
      </c>
      <c r="D218" s="141">
        <f>IF($K218="","",IF($K218&lt;=3000,INDEX(出库明细!$D$4:$D$3003,$K218)&amp;"",""))</f>
      </c>
      <c r="E218" s="148">
        <f>IF($K218="","",IF($K218&lt;=3000,INDEX(出库明细!$E$4:$E$3003,$K218),""))</f>
      </c>
      <c r="F218" s="149">
        <f>IF($K218="","",IF($K218&lt;=3000,INDEX(出库明细!$F$4:$F$3003,$K218),""))</f>
      </c>
      <c r="G218" s="186">
        <f>IF($K218="","",IF($K218&lt;=3000,N(INDEX(出库明细!$G$4:$G$3003,$K218)),""))</f>
      </c>
      <c r="H218" s="186">
        <f>IF($K218="","",IF($K218&lt;=3000,"",INDEX(资金台帐!$S$7:$S$3006,$K218-3000)))</f>
      </c>
      <c r="I218" s="187">
        <f>IF($K218="","",I217+N(G218)-N(H218))</f>
      </c>
      <c r="J218" s="213">
        <f>IF($K218="","",IF($K218&lt;=3000,INDEX(出库明细!$H$4:$H$3003,$K218)&amp;"",INDEX(资金台帐!$E$7:$E$3006,$K218-3000)&amp;""))</f>
      </c>
      <c r="K218" s="78">
        <f>IFERROR(MATCH(SMALL(_辅助!$F$4:$F$6003,179),_辅助!$F$4:$F$6003,0),"")</f>
      </c>
    </row>
    <row r="219">
      <c r="A219" s="141">
        <f>IF($K219="","",180)</f>
      </c>
      <c r="B219" s="140">
        <f>IF($K219="","",IF($K219&lt;=3000,INDEX(出库明细!$B$4:$B$3003,$K219),INDEX(资金台帐!$B$7:$B$3006,$K219-3000)))</f>
      </c>
      <c r="C219" s="141">
        <f>IF($K219="","",IF($K219&lt;=3000,"出库领用",IF(INDEX(资金台帐!$S$7:$S$3006,$K219-3000)&gt;=0,"收款","退款")&amp;"（"&amp;INDEX(资金台帐!$C$7:$C$3006,$K219-3000)&amp;"）"))</f>
      </c>
      <c r="D219" s="141">
        <f>IF($K219="","",IF($K219&lt;=3000,INDEX(出库明细!$D$4:$D$3003,$K219)&amp;"",""))</f>
      </c>
      <c r="E219" s="148">
        <f>IF($K219="","",IF($K219&lt;=3000,INDEX(出库明细!$E$4:$E$3003,$K219),""))</f>
      </c>
      <c r="F219" s="149">
        <f>IF($K219="","",IF($K219&lt;=3000,INDEX(出库明细!$F$4:$F$3003,$K219),""))</f>
      </c>
      <c r="G219" s="186">
        <f>IF($K219="","",IF($K219&lt;=3000,N(INDEX(出库明细!$G$4:$G$3003,$K219)),""))</f>
      </c>
      <c r="H219" s="186">
        <f>IF($K219="","",IF($K219&lt;=3000,"",INDEX(资金台帐!$S$7:$S$3006,$K219-3000)))</f>
      </c>
      <c r="I219" s="187">
        <f>IF($K219="","",I218+N(G219)-N(H219))</f>
      </c>
      <c r="J219" s="213">
        <f>IF($K219="","",IF($K219&lt;=3000,INDEX(出库明细!$H$4:$H$3003,$K219)&amp;"",INDEX(资金台帐!$E$7:$E$3006,$K219-3000)&amp;""))</f>
      </c>
      <c r="K219" s="78">
        <f>IFERROR(MATCH(SMALL(_辅助!$F$4:$F$6003,180),_辅助!$F$4:$F$6003,0),"")</f>
      </c>
    </row>
    <row r="220">
      <c r="A220" s="141">
        <f>IF($K220="","",181)</f>
      </c>
      <c r="B220" s="140">
        <f>IF($K220="","",IF($K220&lt;=3000,INDEX(出库明细!$B$4:$B$3003,$K220),INDEX(资金台帐!$B$7:$B$3006,$K220-3000)))</f>
      </c>
      <c r="C220" s="141">
        <f>IF($K220="","",IF($K220&lt;=3000,"出库领用",IF(INDEX(资金台帐!$S$7:$S$3006,$K220-3000)&gt;=0,"收款","退款")&amp;"（"&amp;INDEX(资金台帐!$C$7:$C$3006,$K220-3000)&amp;"）"))</f>
      </c>
      <c r="D220" s="141">
        <f>IF($K220="","",IF($K220&lt;=3000,INDEX(出库明细!$D$4:$D$3003,$K220)&amp;"",""))</f>
      </c>
      <c r="E220" s="148">
        <f>IF($K220="","",IF($K220&lt;=3000,INDEX(出库明细!$E$4:$E$3003,$K220),""))</f>
      </c>
      <c r="F220" s="149">
        <f>IF($K220="","",IF($K220&lt;=3000,INDEX(出库明细!$F$4:$F$3003,$K220),""))</f>
      </c>
      <c r="G220" s="186">
        <f>IF($K220="","",IF($K220&lt;=3000,N(INDEX(出库明细!$G$4:$G$3003,$K220)),""))</f>
      </c>
      <c r="H220" s="186">
        <f>IF($K220="","",IF($K220&lt;=3000,"",INDEX(资金台帐!$S$7:$S$3006,$K220-3000)))</f>
      </c>
      <c r="I220" s="187">
        <f>IF($K220="","",I219+N(G220)-N(H220))</f>
      </c>
      <c r="J220" s="213">
        <f>IF($K220="","",IF($K220&lt;=3000,INDEX(出库明细!$H$4:$H$3003,$K220)&amp;"",INDEX(资金台帐!$E$7:$E$3006,$K220-3000)&amp;""))</f>
      </c>
      <c r="K220" s="78">
        <f>IFERROR(MATCH(SMALL(_辅助!$F$4:$F$6003,181),_辅助!$F$4:$F$6003,0),"")</f>
      </c>
    </row>
    <row r="221">
      <c r="A221" s="141">
        <f>IF($K221="","",182)</f>
      </c>
      <c r="B221" s="140">
        <f>IF($K221="","",IF($K221&lt;=3000,INDEX(出库明细!$B$4:$B$3003,$K221),INDEX(资金台帐!$B$7:$B$3006,$K221-3000)))</f>
      </c>
      <c r="C221" s="141">
        <f>IF($K221="","",IF($K221&lt;=3000,"出库领用",IF(INDEX(资金台帐!$S$7:$S$3006,$K221-3000)&gt;=0,"收款","退款")&amp;"（"&amp;INDEX(资金台帐!$C$7:$C$3006,$K221-3000)&amp;"）"))</f>
      </c>
      <c r="D221" s="141">
        <f>IF($K221="","",IF($K221&lt;=3000,INDEX(出库明细!$D$4:$D$3003,$K221)&amp;"",""))</f>
      </c>
      <c r="E221" s="148">
        <f>IF($K221="","",IF($K221&lt;=3000,INDEX(出库明细!$E$4:$E$3003,$K221),""))</f>
      </c>
      <c r="F221" s="149">
        <f>IF($K221="","",IF($K221&lt;=3000,INDEX(出库明细!$F$4:$F$3003,$K221),""))</f>
      </c>
      <c r="G221" s="186">
        <f>IF($K221="","",IF($K221&lt;=3000,N(INDEX(出库明细!$G$4:$G$3003,$K221)),""))</f>
      </c>
      <c r="H221" s="186">
        <f>IF($K221="","",IF($K221&lt;=3000,"",INDEX(资金台帐!$S$7:$S$3006,$K221-3000)))</f>
      </c>
      <c r="I221" s="187">
        <f>IF($K221="","",I220+N(G221)-N(H221))</f>
      </c>
      <c r="J221" s="213">
        <f>IF($K221="","",IF($K221&lt;=3000,INDEX(出库明细!$H$4:$H$3003,$K221)&amp;"",INDEX(资金台帐!$E$7:$E$3006,$K221-3000)&amp;""))</f>
      </c>
      <c r="K221" s="78">
        <f>IFERROR(MATCH(SMALL(_辅助!$F$4:$F$6003,182),_辅助!$F$4:$F$6003,0),"")</f>
      </c>
    </row>
    <row r="222">
      <c r="A222" s="141">
        <f>IF($K222="","",183)</f>
      </c>
      <c r="B222" s="140">
        <f>IF($K222="","",IF($K222&lt;=3000,INDEX(出库明细!$B$4:$B$3003,$K222),INDEX(资金台帐!$B$7:$B$3006,$K222-3000)))</f>
      </c>
      <c r="C222" s="141">
        <f>IF($K222="","",IF($K222&lt;=3000,"出库领用",IF(INDEX(资金台帐!$S$7:$S$3006,$K222-3000)&gt;=0,"收款","退款")&amp;"（"&amp;INDEX(资金台帐!$C$7:$C$3006,$K222-3000)&amp;"）"))</f>
      </c>
      <c r="D222" s="141">
        <f>IF($K222="","",IF($K222&lt;=3000,INDEX(出库明细!$D$4:$D$3003,$K222)&amp;"",""))</f>
      </c>
      <c r="E222" s="148">
        <f>IF($K222="","",IF($K222&lt;=3000,INDEX(出库明细!$E$4:$E$3003,$K222),""))</f>
      </c>
      <c r="F222" s="149">
        <f>IF($K222="","",IF($K222&lt;=3000,INDEX(出库明细!$F$4:$F$3003,$K222),""))</f>
      </c>
      <c r="G222" s="186">
        <f>IF($K222="","",IF($K222&lt;=3000,N(INDEX(出库明细!$G$4:$G$3003,$K222)),""))</f>
      </c>
      <c r="H222" s="186">
        <f>IF($K222="","",IF($K222&lt;=3000,"",INDEX(资金台帐!$S$7:$S$3006,$K222-3000)))</f>
      </c>
      <c r="I222" s="187">
        <f>IF($K222="","",I221+N(G222)-N(H222))</f>
      </c>
      <c r="J222" s="213">
        <f>IF($K222="","",IF($K222&lt;=3000,INDEX(出库明细!$H$4:$H$3003,$K222)&amp;"",INDEX(资金台帐!$E$7:$E$3006,$K222-3000)&amp;""))</f>
      </c>
      <c r="K222" s="78">
        <f>IFERROR(MATCH(SMALL(_辅助!$F$4:$F$6003,183),_辅助!$F$4:$F$6003,0),"")</f>
      </c>
    </row>
    <row r="223">
      <c r="A223" s="141">
        <f>IF($K223="","",184)</f>
      </c>
      <c r="B223" s="140">
        <f>IF($K223="","",IF($K223&lt;=3000,INDEX(出库明细!$B$4:$B$3003,$K223),INDEX(资金台帐!$B$7:$B$3006,$K223-3000)))</f>
      </c>
      <c r="C223" s="141">
        <f>IF($K223="","",IF($K223&lt;=3000,"出库领用",IF(INDEX(资金台帐!$S$7:$S$3006,$K223-3000)&gt;=0,"收款","退款")&amp;"（"&amp;INDEX(资金台帐!$C$7:$C$3006,$K223-3000)&amp;"）"))</f>
      </c>
      <c r="D223" s="141">
        <f>IF($K223="","",IF($K223&lt;=3000,INDEX(出库明细!$D$4:$D$3003,$K223)&amp;"",""))</f>
      </c>
      <c r="E223" s="148">
        <f>IF($K223="","",IF($K223&lt;=3000,INDEX(出库明细!$E$4:$E$3003,$K223),""))</f>
      </c>
      <c r="F223" s="149">
        <f>IF($K223="","",IF($K223&lt;=3000,INDEX(出库明细!$F$4:$F$3003,$K223),""))</f>
      </c>
      <c r="G223" s="186">
        <f>IF($K223="","",IF($K223&lt;=3000,N(INDEX(出库明细!$G$4:$G$3003,$K223)),""))</f>
      </c>
      <c r="H223" s="186">
        <f>IF($K223="","",IF($K223&lt;=3000,"",INDEX(资金台帐!$S$7:$S$3006,$K223-3000)))</f>
      </c>
      <c r="I223" s="187">
        <f>IF($K223="","",I222+N(G223)-N(H223))</f>
      </c>
      <c r="J223" s="213">
        <f>IF($K223="","",IF($K223&lt;=3000,INDEX(出库明细!$H$4:$H$3003,$K223)&amp;"",INDEX(资金台帐!$E$7:$E$3006,$K223-3000)&amp;""))</f>
      </c>
      <c r="K223" s="78">
        <f>IFERROR(MATCH(SMALL(_辅助!$F$4:$F$6003,184),_辅助!$F$4:$F$6003,0),"")</f>
      </c>
    </row>
    <row r="224">
      <c r="A224" s="141">
        <f>IF($K224="","",185)</f>
      </c>
      <c r="B224" s="140">
        <f>IF($K224="","",IF($K224&lt;=3000,INDEX(出库明细!$B$4:$B$3003,$K224),INDEX(资金台帐!$B$7:$B$3006,$K224-3000)))</f>
      </c>
      <c r="C224" s="141">
        <f>IF($K224="","",IF($K224&lt;=3000,"出库领用",IF(INDEX(资金台帐!$S$7:$S$3006,$K224-3000)&gt;=0,"收款","退款")&amp;"（"&amp;INDEX(资金台帐!$C$7:$C$3006,$K224-3000)&amp;"）"))</f>
      </c>
      <c r="D224" s="141">
        <f>IF($K224="","",IF($K224&lt;=3000,INDEX(出库明细!$D$4:$D$3003,$K224)&amp;"",""))</f>
      </c>
      <c r="E224" s="148">
        <f>IF($K224="","",IF($K224&lt;=3000,INDEX(出库明细!$E$4:$E$3003,$K224),""))</f>
      </c>
      <c r="F224" s="149">
        <f>IF($K224="","",IF($K224&lt;=3000,INDEX(出库明细!$F$4:$F$3003,$K224),""))</f>
      </c>
      <c r="G224" s="186">
        <f>IF($K224="","",IF($K224&lt;=3000,N(INDEX(出库明细!$G$4:$G$3003,$K224)),""))</f>
      </c>
      <c r="H224" s="186">
        <f>IF($K224="","",IF($K224&lt;=3000,"",INDEX(资金台帐!$S$7:$S$3006,$K224-3000)))</f>
      </c>
      <c r="I224" s="187">
        <f>IF($K224="","",I223+N(G224)-N(H224))</f>
      </c>
      <c r="J224" s="213">
        <f>IF($K224="","",IF($K224&lt;=3000,INDEX(出库明细!$H$4:$H$3003,$K224)&amp;"",INDEX(资金台帐!$E$7:$E$3006,$K224-3000)&amp;""))</f>
      </c>
      <c r="K224" s="78">
        <f>IFERROR(MATCH(SMALL(_辅助!$F$4:$F$6003,185),_辅助!$F$4:$F$6003,0),"")</f>
      </c>
    </row>
    <row r="225">
      <c r="A225" s="141">
        <f>IF($K225="","",186)</f>
      </c>
      <c r="B225" s="140">
        <f>IF($K225="","",IF($K225&lt;=3000,INDEX(出库明细!$B$4:$B$3003,$K225),INDEX(资金台帐!$B$7:$B$3006,$K225-3000)))</f>
      </c>
      <c r="C225" s="141">
        <f>IF($K225="","",IF($K225&lt;=3000,"出库领用",IF(INDEX(资金台帐!$S$7:$S$3006,$K225-3000)&gt;=0,"收款","退款")&amp;"（"&amp;INDEX(资金台帐!$C$7:$C$3006,$K225-3000)&amp;"）"))</f>
      </c>
      <c r="D225" s="141">
        <f>IF($K225="","",IF($K225&lt;=3000,INDEX(出库明细!$D$4:$D$3003,$K225)&amp;"",""))</f>
      </c>
      <c r="E225" s="148">
        <f>IF($K225="","",IF($K225&lt;=3000,INDEX(出库明细!$E$4:$E$3003,$K225),""))</f>
      </c>
      <c r="F225" s="149">
        <f>IF($K225="","",IF($K225&lt;=3000,INDEX(出库明细!$F$4:$F$3003,$K225),""))</f>
      </c>
      <c r="G225" s="186">
        <f>IF($K225="","",IF($K225&lt;=3000,N(INDEX(出库明细!$G$4:$G$3003,$K225)),""))</f>
      </c>
      <c r="H225" s="186">
        <f>IF($K225="","",IF($K225&lt;=3000,"",INDEX(资金台帐!$S$7:$S$3006,$K225-3000)))</f>
      </c>
      <c r="I225" s="187">
        <f>IF($K225="","",I224+N(G225)-N(H225))</f>
      </c>
      <c r="J225" s="213">
        <f>IF($K225="","",IF($K225&lt;=3000,INDEX(出库明细!$H$4:$H$3003,$K225)&amp;"",INDEX(资金台帐!$E$7:$E$3006,$K225-3000)&amp;""))</f>
      </c>
      <c r="K225" s="78">
        <f>IFERROR(MATCH(SMALL(_辅助!$F$4:$F$6003,186),_辅助!$F$4:$F$6003,0),"")</f>
      </c>
    </row>
    <row r="226">
      <c r="A226" s="141">
        <f>IF($K226="","",187)</f>
      </c>
      <c r="B226" s="140">
        <f>IF($K226="","",IF($K226&lt;=3000,INDEX(出库明细!$B$4:$B$3003,$K226),INDEX(资金台帐!$B$7:$B$3006,$K226-3000)))</f>
      </c>
      <c r="C226" s="141">
        <f>IF($K226="","",IF($K226&lt;=3000,"出库领用",IF(INDEX(资金台帐!$S$7:$S$3006,$K226-3000)&gt;=0,"收款","退款")&amp;"（"&amp;INDEX(资金台帐!$C$7:$C$3006,$K226-3000)&amp;"）"))</f>
      </c>
      <c r="D226" s="141">
        <f>IF($K226="","",IF($K226&lt;=3000,INDEX(出库明细!$D$4:$D$3003,$K226)&amp;"",""))</f>
      </c>
      <c r="E226" s="148">
        <f>IF($K226="","",IF($K226&lt;=3000,INDEX(出库明细!$E$4:$E$3003,$K226),""))</f>
      </c>
      <c r="F226" s="149">
        <f>IF($K226="","",IF($K226&lt;=3000,INDEX(出库明细!$F$4:$F$3003,$K226),""))</f>
      </c>
      <c r="G226" s="186">
        <f>IF($K226="","",IF($K226&lt;=3000,N(INDEX(出库明细!$G$4:$G$3003,$K226)),""))</f>
      </c>
      <c r="H226" s="186">
        <f>IF($K226="","",IF($K226&lt;=3000,"",INDEX(资金台帐!$S$7:$S$3006,$K226-3000)))</f>
      </c>
      <c r="I226" s="187">
        <f>IF($K226="","",I225+N(G226)-N(H226))</f>
      </c>
      <c r="J226" s="213">
        <f>IF($K226="","",IF($K226&lt;=3000,INDEX(出库明细!$H$4:$H$3003,$K226)&amp;"",INDEX(资金台帐!$E$7:$E$3006,$K226-3000)&amp;""))</f>
      </c>
      <c r="K226" s="78">
        <f>IFERROR(MATCH(SMALL(_辅助!$F$4:$F$6003,187),_辅助!$F$4:$F$6003,0),"")</f>
      </c>
    </row>
    <row r="227">
      <c r="A227" s="141">
        <f>IF($K227="","",188)</f>
      </c>
      <c r="B227" s="140">
        <f>IF($K227="","",IF($K227&lt;=3000,INDEX(出库明细!$B$4:$B$3003,$K227),INDEX(资金台帐!$B$7:$B$3006,$K227-3000)))</f>
      </c>
      <c r="C227" s="141">
        <f>IF($K227="","",IF($K227&lt;=3000,"出库领用",IF(INDEX(资金台帐!$S$7:$S$3006,$K227-3000)&gt;=0,"收款","退款")&amp;"（"&amp;INDEX(资金台帐!$C$7:$C$3006,$K227-3000)&amp;"）"))</f>
      </c>
      <c r="D227" s="141">
        <f>IF($K227="","",IF($K227&lt;=3000,INDEX(出库明细!$D$4:$D$3003,$K227)&amp;"",""))</f>
      </c>
      <c r="E227" s="148">
        <f>IF($K227="","",IF($K227&lt;=3000,INDEX(出库明细!$E$4:$E$3003,$K227),""))</f>
      </c>
      <c r="F227" s="149">
        <f>IF($K227="","",IF($K227&lt;=3000,INDEX(出库明细!$F$4:$F$3003,$K227),""))</f>
      </c>
      <c r="G227" s="186">
        <f>IF($K227="","",IF($K227&lt;=3000,N(INDEX(出库明细!$G$4:$G$3003,$K227)),""))</f>
      </c>
      <c r="H227" s="186">
        <f>IF($K227="","",IF($K227&lt;=3000,"",INDEX(资金台帐!$S$7:$S$3006,$K227-3000)))</f>
      </c>
      <c r="I227" s="187">
        <f>IF($K227="","",I226+N(G227)-N(H227))</f>
      </c>
      <c r="J227" s="213">
        <f>IF($K227="","",IF($K227&lt;=3000,INDEX(出库明细!$H$4:$H$3003,$K227)&amp;"",INDEX(资金台帐!$E$7:$E$3006,$K227-3000)&amp;""))</f>
      </c>
      <c r="K227" s="78">
        <f>IFERROR(MATCH(SMALL(_辅助!$F$4:$F$6003,188),_辅助!$F$4:$F$6003,0),"")</f>
      </c>
    </row>
    <row r="228">
      <c r="A228" s="141">
        <f>IF($K228="","",189)</f>
      </c>
      <c r="B228" s="140">
        <f>IF($K228="","",IF($K228&lt;=3000,INDEX(出库明细!$B$4:$B$3003,$K228),INDEX(资金台帐!$B$7:$B$3006,$K228-3000)))</f>
      </c>
      <c r="C228" s="141">
        <f>IF($K228="","",IF($K228&lt;=3000,"出库领用",IF(INDEX(资金台帐!$S$7:$S$3006,$K228-3000)&gt;=0,"收款","退款")&amp;"（"&amp;INDEX(资金台帐!$C$7:$C$3006,$K228-3000)&amp;"）"))</f>
      </c>
      <c r="D228" s="141">
        <f>IF($K228="","",IF($K228&lt;=3000,INDEX(出库明细!$D$4:$D$3003,$K228)&amp;"",""))</f>
      </c>
      <c r="E228" s="148">
        <f>IF($K228="","",IF($K228&lt;=3000,INDEX(出库明细!$E$4:$E$3003,$K228),""))</f>
      </c>
      <c r="F228" s="149">
        <f>IF($K228="","",IF($K228&lt;=3000,INDEX(出库明细!$F$4:$F$3003,$K228),""))</f>
      </c>
      <c r="G228" s="186">
        <f>IF($K228="","",IF($K228&lt;=3000,N(INDEX(出库明细!$G$4:$G$3003,$K228)),""))</f>
      </c>
      <c r="H228" s="186">
        <f>IF($K228="","",IF($K228&lt;=3000,"",INDEX(资金台帐!$S$7:$S$3006,$K228-3000)))</f>
      </c>
      <c r="I228" s="187">
        <f>IF($K228="","",I227+N(G228)-N(H228))</f>
      </c>
      <c r="J228" s="213">
        <f>IF($K228="","",IF($K228&lt;=3000,INDEX(出库明细!$H$4:$H$3003,$K228)&amp;"",INDEX(资金台帐!$E$7:$E$3006,$K228-3000)&amp;""))</f>
      </c>
      <c r="K228" s="78">
        <f>IFERROR(MATCH(SMALL(_辅助!$F$4:$F$6003,189),_辅助!$F$4:$F$6003,0),"")</f>
      </c>
    </row>
    <row r="229">
      <c r="A229" s="141">
        <f>IF($K229="","",190)</f>
      </c>
      <c r="B229" s="140">
        <f>IF($K229="","",IF($K229&lt;=3000,INDEX(出库明细!$B$4:$B$3003,$K229),INDEX(资金台帐!$B$7:$B$3006,$K229-3000)))</f>
      </c>
      <c r="C229" s="141">
        <f>IF($K229="","",IF($K229&lt;=3000,"出库领用",IF(INDEX(资金台帐!$S$7:$S$3006,$K229-3000)&gt;=0,"收款","退款")&amp;"（"&amp;INDEX(资金台帐!$C$7:$C$3006,$K229-3000)&amp;"）"))</f>
      </c>
      <c r="D229" s="141">
        <f>IF($K229="","",IF($K229&lt;=3000,INDEX(出库明细!$D$4:$D$3003,$K229)&amp;"",""))</f>
      </c>
      <c r="E229" s="148">
        <f>IF($K229="","",IF($K229&lt;=3000,INDEX(出库明细!$E$4:$E$3003,$K229),""))</f>
      </c>
      <c r="F229" s="149">
        <f>IF($K229="","",IF($K229&lt;=3000,INDEX(出库明细!$F$4:$F$3003,$K229),""))</f>
      </c>
      <c r="G229" s="186">
        <f>IF($K229="","",IF($K229&lt;=3000,N(INDEX(出库明细!$G$4:$G$3003,$K229)),""))</f>
      </c>
      <c r="H229" s="186">
        <f>IF($K229="","",IF($K229&lt;=3000,"",INDEX(资金台帐!$S$7:$S$3006,$K229-3000)))</f>
      </c>
      <c r="I229" s="187">
        <f>IF($K229="","",I228+N(G229)-N(H229))</f>
      </c>
      <c r="J229" s="213">
        <f>IF($K229="","",IF($K229&lt;=3000,INDEX(出库明细!$H$4:$H$3003,$K229)&amp;"",INDEX(资金台帐!$E$7:$E$3006,$K229-3000)&amp;""))</f>
      </c>
      <c r="K229" s="78">
        <f>IFERROR(MATCH(SMALL(_辅助!$F$4:$F$6003,190),_辅助!$F$4:$F$6003,0),"")</f>
      </c>
    </row>
    <row r="230">
      <c r="A230" s="141">
        <f>IF($K230="","",191)</f>
      </c>
      <c r="B230" s="140">
        <f>IF($K230="","",IF($K230&lt;=3000,INDEX(出库明细!$B$4:$B$3003,$K230),INDEX(资金台帐!$B$7:$B$3006,$K230-3000)))</f>
      </c>
      <c r="C230" s="141">
        <f>IF($K230="","",IF($K230&lt;=3000,"出库领用",IF(INDEX(资金台帐!$S$7:$S$3006,$K230-3000)&gt;=0,"收款","退款")&amp;"（"&amp;INDEX(资金台帐!$C$7:$C$3006,$K230-3000)&amp;"）"))</f>
      </c>
      <c r="D230" s="141">
        <f>IF($K230="","",IF($K230&lt;=3000,INDEX(出库明细!$D$4:$D$3003,$K230)&amp;"",""))</f>
      </c>
      <c r="E230" s="148">
        <f>IF($K230="","",IF($K230&lt;=3000,INDEX(出库明细!$E$4:$E$3003,$K230),""))</f>
      </c>
      <c r="F230" s="149">
        <f>IF($K230="","",IF($K230&lt;=3000,INDEX(出库明细!$F$4:$F$3003,$K230),""))</f>
      </c>
      <c r="G230" s="186">
        <f>IF($K230="","",IF($K230&lt;=3000,N(INDEX(出库明细!$G$4:$G$3003,$K230)),""))</f>
      </c>
      <c r="H230" s="186">
        <f>IF($K230="","",IF($K230&lt;=3000,"",INDEX(资金台帐!$S$7:$S$3006,$K230-3000)))</f>
      </c>
      <c r="I230" s="187">
        <f>IF($K230="","",I229+N(G230)-N(H230))</f>
      </c>
      <c r="J230" s="213">
        <f>IF($K230="","",IF($K230&lt;=3000,INDEX(出库明细!$H$4:$H$3003,$K230)&amp;"",INDEX(资金台帐!$E$7:$E$3006,$K230-3000)&amp;""))</f>
      </c>
      <c r="K230" s="78">
        <f>IFERROR(MATCH(SMALL(_辅助!$F$4:$F$6003,191),_辅助!$F$4:$F$6003,0),"")</f>
      </c>
    </row>
    <row r="231">
      <c r="A231" s="141">
        <f>IF($K231="","",192)</f>
      </c>
      <c r="B231" s="140">
        <f>IF($K231="","",IF($K231&lt;=3000,INDEX(出库明细!$B$4:$B$3003,$K231),INDEX(资金台帐!$B$7:$B$3006,$K231-3000)))</f>
      </c>
      <c r="C231" s="141">
        <f>IF($K231="","",IF($K231&lt;=3000,"出库领用",IF(INDEX(资金台帐!$S$7:$S$3006,$K231-3000)&gt;=0,"收款","退款")&amp;"（"&amp;INDEX(资金台帐!$C$7:$C$3006,$K231-3000)&amp;"）"))</f>
      </c>
      <c r="D231" s="141">
        <f>IF($K231="","",IF($K231&lt;=3000,INDEX(出库明细!$D$4:$D$3003,$K231)&amp;"",""))</f>
      </c>
      <c r="E231" s="148">
        <f>IF($K231="","",IF($K231&lt;=3000,INDEX(出库明细!$E$4:$E$3003,$K231),""))</f>
      </c>
      <c r="F231" s="149">
        <f>IF($K231="","",IF($K231&lt;=3000,INDEX(出库明细!$F$4:$F$3003,$K231),""))</f>
      </c>
      <c r="G231" s="186">
        <f>IF($K231="","",IF($K231&lt;=3000,N(INDEX(出库明细!$G$4:$G$3003,$K231)),""))</f>
      </c>
      <c r="H231" s="186">
        <f>IF($K231="","",IF($K231&lt;=3000,"",INDEX(资金台帐!$S$7:$S$3006,$K231-3000)))</f>
      </c>
      <c r="I231" s="187">
        <f>IF($K231="","",I230+N(G231)-N(H231))</f>
      </c>
      <c r="J231" s="213">
        <f>IF($K231="","",IF($K231&lt;=3000,INDEX(出库明细!$H$4:$H$3003,$K231)&amp;"",INDEX(资金台帐!$E$7:$E$3006,$K231-3000)&amp;""))</f>
      </c>
      <c r="K231" s="78">
        <f>IFERROR(MATCH(SMALL(_辅助!$F$4:$F$6003,192),_辅助!$F$4:$F$6003,0),"")</f>
      </c>
    </row>
    <row r="232">
      <c r="A232" s="141">
        <f>IF($K232="","",193)</f>
      </c>
      <c r="B232" s="140">
        <f>IF($K232="","",IF($K232&lt;=3000,INDEX(出库明细!$B$4:$B$3003,$K232),INDEX(资金台帐!$B$7:$B$3006,$K232-3000)))</f>
      </c>
      <c r="C232" s="141">
        <f>IF($K232="","",IF($K232&lt;=3000,"出库领用",IF(INDEX(资金台帐!$S$7:$S$3006,$K232-3000)&gt;=0,"收款","退款")&amp;"（"&amp;INDEX(资金台帐!$C$7:$C$3006,$K232-3000)&amp;"）"))</f>
      </c>
      <c r="D232" s="141">
        <f>IF($K232="","",IF($K232&lt;=3000,INDEX(出库明细!$D$4:$D$3003,$K232)&amp;"",""))</f>
      </c>
      <c r="E232" s="148">
        <f>IF($K232="","",IF($K232&lt;=3000,INDEX(出库明细!$E$4:$E$3003,$K232),""))</f>
      </c>
      <c r="F232" s="149">
        <f>IF($K232="","",IF($K232&lt;=3000,INDEX(出库明细!$F$4:$F$3003,$K232),""))</f>
      </c>
      <c r="G232" s="186">
        <f>IF($K232="","",IF($K232&lt;=3000,N(INDEX(出库明细!$G$4:$G$3003,$K232)),""))</f>
      </c>
      <c r="H232" s="186">
        <f>IF($K232="","",IF($K232&lt;=3000,"",INDEX(资金台帐!$S$7:$S$3006,$K232-3000)))</f>
      </c>
      <c r="I232" s="187">
        <f>IF($K232="","",I231+N(G232)-N(H232))</f>
      </c>
      <c r="J232" s="213">
        <f>IF($K232="","",IF($K232&lt;=3000,INDEX(出库明细!$H$4:$H$3003,$K232)&amp;"",INDEX(资金台帐!$E$7:$E$3006,$K232-3000)&amp;""))</f>
      </c>
      <c r="K232" s="78">
        <f>IFERROR(MATCH(SMALL(_辅助!$F$4:$F$6003,193),_辅助!$F$4:$F$6003,0),"")</f>
      </c>
    </row>
    <row r="233">
      <c r="A233" s="141">
        <f>IF($K233="","",194)</f>
      </c>
      <c r="B233" s="140">
        <f>IF($K233="","",IF($K233&lt;=3000,INDEX(出库明细!$B$4:$B$3003,$K233),INDEX(资金台帐!$B$7:$B$3006,$K233-3000)))</f>
      </c>
      <c r="C233" s="141">
        <f>IF($K233="","",IF($K233&lt;=3000,"出库领用",IF(INDEX(资金台帐!$S$7:$S$3006,$K233-3000)&gt;=0,"收款","退款")&amp;"（"&amp;INDEX(资金台帐!$C$7:$C$3006,$K233-3000)&amp;"）"))</f>
      </c>
      <c r="D233" s="141">
        <f>IF($K233="","",IF($K233&lt;=3000,INDEX(出库明细!$D$4:$D$3003,$K233)&amp;"",""))</f>
      </c>
      <c r="E233" s="148">
        <f>IF($K233="","",IF($K233&lt;=3000,INDEX(出库明细!$E$4:$E$3003,$K233),""))</f>
      </c>
      <c r="F233" s="149">
        <f>IF($K233="","",IF($K233&lt;=3000,INDEX(出库明细!$F$4:$F$3003,$K233),""))</f>
      </c>
      <c r="G233" s="186">
        <f>IF($K233="","",IF($K233&lt;=3000,N(INDEX(出库明细!$G$4:$G$3003,$K233)),""))</f>
      </c>
      <c r="H233" s="186">
        <f>IF($K233="","",IF($K233&lt;=3000,"",INDEX(资金台帐!$S$7:$S$3006,$K233-3000)))</f>
      </c>
      <c r="I233" s="187">
        <f>IF($K233="","",I232+N(G233)-N(H233))</f>
      </c>
      <c r="J233" s="213">
        <f>IF($K233="","",IF($K233&lt;=3000,INDEX(出库明细!$H$4:$H$3003,$K233)&amp;"",INDEX(资金台帐!$E$7:$E$3006,$K233-3000)&amp;""))</f>
      </c>
      <c r="K233" s="78">
        <f>IFERROR(MATCH(SMALL(_辅助!$F$4:$F$6003,194),_辅助!$F$4:$F$6003,0),"")</f>
      </c>
    </row>
    <row r="234">
      <c r="A234" s="141">
        <f>IF($K234="","",195)</f>
      </c>
      <c r="B234" s="140">
        <f>IF($K234="","",IF($K234&lt;=3000,INDEX(出库明细!$B$4:$B$3003,$K234),INDEX(资金台帐!$B$7:$B$3006,$K234-3000)))</f>
      </c>
      <c r="C234" s="141">
        <f>IF($K234="","",IF($K234&lt;=3000,"出库领用",IF(INDEX(资金台帐!$S$7:$S$3006,$K234-3000)&gt;=0,"收款","退款")&amp;"（"&amp;INDEX(资金台帐!$C$7:$C$3006,$K234-3000)&amp;"）"))</f>
      </c>
      <c r="D234" s="141">
        <f>IF($K234="","",IF($K234&lt;=3000,INDEX(出库明细!$D$4:$D$3003,$K234)&amp;"",""))</f>
      </c>
      <c r="E234" s="148">
        <f>IF($K234="","",IF($K234&lt;=3000,INDEX(出库明细!$E$4:$E$3003,$K234),""))</f>
      </c>
      <c r="F234" s="149">
        <f>IF($K234="","",IF($K234&lt;=3000,INDEX(出库明细!$F$4:$F$3003,$K234),""))</f>
      </c>
      <c r="G234" s="186">
        <f>IF($K234="","",IF($K234&lt;=3000,N(INDEX(出库明细!$G$4:$G$3003,$K234)),""))</f>
      </c>
      <c r="H234" s="186">
        <f>IF($K234="","",IF($K234&lt;=3000,"",INDEX(资金台帐!$S$7:$S$3006,$K234-3000)))</f>
      </c>
      <c r="I234" s="187">
        <f>IF($K234="","",I233+N(G234)-N(H234))</f>
      </c>
      <c r="J234" s="213">
        <f>IF($K234="","",IF($K234&lt;=3000,INDEX(出库明细!$H$4:$H$3003,$K234)&amp;"",INDEX(资金台帐!$E$7:$E$3006,$K234-3000)&amp;""))</f>
      </c>
      <c r="K234" s="78">
        <f>IFERROR(MATCH(SMALL(_辅助!$F$4:$F$6003,195),_辅助!$F$4:$F$6003,0),"")</f>
      </c>
    </row>
    <row r="235">
      <c r="A235" s="141">
        <f>IF($K235="","",196)</f>
      </c>
      <c r="B235" s="140">
        <f>IF($K235="","",IF($K235&lt;=3000,INDEX(出库明细!$B$4:$B$3003,$K235),INDEX(资金台帐!$B$7:$B$3006,$K235-3000)))</f>
      </c>
      <c r="C235" s="141">
        <f>IF($K235="","",IF($K235&lt;=3000,"出库领用",IF(INDEX(资金台帐!$S$7:$S$3006,$K235-3000)&gt;=0,"收款","退款")&amp;"（"&amp;INDEX(资金台帐!$C$7:$C$3006,$K235-3000)&amp;"）"))</f>
      </c>
      <c r="D235" s="141">
        <f>IF($K235="","",IF($K235&lt;=3000,INDEX(出库明细!$D$4:$D$3003,$K235)&amp;"",""))</f>
      </c>
      <c r="E235" s="148">
        <f>IF($K235="","",IF($K235&lt;=3000,INDEX(出库明细!$E$4:$E$3003,$K235),""))</f>
      </c>
      <c r="F235" s="149">
        <f>IF($K235="","",IF($K235&lt;=3000,INDEX(出库明细!$F$4:$F$3003,$K235),""))</f>
      </c>
      <c r="G235" s="186">
        <f>IF($K235="","",IF($K235&lt;=3000,N(INDEX(出库明细!$G$4:$G$3003,$K235)),""))</f>
      </c>
      <c r="H235" s="186">
        <f>IF($K235="","",IF($K235&lt;=3000,"",INDEX(资金台帐!$S$7:$S$3006,$K235-3000)))</f>
      </c>
      <c r="I235" s="187">
        <f>IF($K235="","",I234+N(G235)-N(H235))</f>
      </c>
      <c r="J235" s="213">
        <f>IF($K235="","",IF($K235&lt;=3000,INDEX(出库明细!$H$4:$H$3003,$K235)&amp;"",INDEX(资金台帐!$E$7:$E$3006,$K235-3000)&amp;""))</f>
      </c>
      <c r="K235" s="78">
        <f>IFERROR(MATCH(SMALL(_辅助!$F$4:$F$6003,196),_辅助!$F$4:$F$6003,0),"")</f>
      </c>
    </row>
    <row r="236">
      <c r="A236" s="141">
        <f>IF($K236="","",197)</f>
      </c>
      <c r="B236" s="140">
        <f>IF($K236="","",IF($K236&lt;=3000,INDEX(出库明细!$B$4:$B$3003,$K236),INDEX(资金台帐!$B$7:$B$3006,$K236-3000)))</f>
      </c>
      <c r="C236" s="141">
        <f>IF($K236="","",IF($K236&lt;=3000,"出库领用",IF(INDEX(资金台帐!$S$7:$S$3006,$K236-3000)&gt;=0,"收款","退款")&amp;"（"&amp;INDEX(资金台帐!$C$7:$C$3006,$K236-3000)&amp;"）"))</f>
      </c>
      <c r="D236" s="141">
        <f>IF($K236="","",IF($K236&lt;=3000,INDEX(出库明细!$D$4:$D$3003,$K236)&amp;"",""))</f>
      </c>
      <c r="E236" s="148">
        <f>IF($K236="","",IF($K236&lt;=3000,INDEX(出库明细!$E$4:$E$3003,$K236),""))</f>
      </c>
      <c r="F236" s="149">
        <f>IF($K236="","",IF($K236&lt;=3000,INDEX(出库明细!$F$4:$F$3003,$K236),""))</f>
      </c>
      <c r="G236" s="186">
        <f>IF($K236="","",IF($K236&lt;=3000,N(INDEX(出库明细!$G$4:$G$3003,$K236)),""))</f>
      </c>
      <c r="H236" s="186">
        <f>IF($K236="","",IF($K236&lt;=3000,"",INDEX(资金台帐!$S$7:$S$3006,$K236-3000)))</f>
      </c>
      <c r="I236" s="187">
        <f>IF($K236="","",I235+N(G236)-N(H236))</f>
      </c>
      <c r="J236" s="213">
        <f>IF($K236="","",IF($K236&lt;=3000,INDEX(出库明细!$H$4:$H$3003,$K236)&amp;"",INDEX(资金台帐!$E$7:$E$3006,$K236-3000)&amp;""))</f>
      </c>
      <c r="K236" s="78">
        <f>IFERROR(MATCH(SMALL(_辅助!$F$4:$F$6003,197),_辅助!$F$4:$F$6003,0),"")</f>
      </c>
    </row>
    <row r="237">
      <c r="A237" s="141">
        <f>IF($K237="","",198)</f>
      </c>
      <c r="B237" s="140">
        <f>IF($K237="","",IF($K237&lt;=3000,INDEX(出库明细!$B$4:$B$3003,$K237),INDEX(资金台帐!$B$7:$B$3006,$K237-3000)))</f>
      </c>
      <c r="C237" s="141">
        <f>IF($K237="","",IF($K237&lt;=3000,"出库领用",IF(INDEX(资金台帐!$S$7:$S$3006,$K237-3000)&gt;=0,"收款","退款")&amp;"（"&amp;INDEX(资金台帐!$C$7:$C$3006,$K237-3000)&amp;"）"))</f>
      </c>
      <c r="D237" s="141">
        <f>IF($K237="","",IF($K237&lt;=3000,INDEX(出库明细!$D$4:$D$3003,$K237)&amp;"",""))</f>
      </c>
      <c r="E237" s="148">
        <f>IF($K237="","",IF($K237&lt;=3000,INDEX(出库明细!$E$4:$E$3003,$K237),""))</f>
      </c>
      <c r="F237" s="149">
        <f>IF($K237="","",IF($K237&lt;=3000,INDEX(出库明细!$F$4:$F$3003,$K237),""))</f>
      </c>
      <c r="G237" s="186">
        <f>IF($K237="","",IF($K237&lt;=3000,N(INDEX(出库明细!$G$4:$G$3003,$K237)),""))</f>
      </c>
      <c r="H237" s="186">
        <f>IF($K237="","",IF($K237&lt;=3000,"",INDEX(资金台帐!$S$7:$S$3006,$K237-3000)))</f>
      </c>
      <c r="I237" s="187">
        <f>IF($K237="","",I236+N(G237)-N(H237))</f>
      </c>
      <c r="J237" s="213">
        <f>IF($K237="","",IF($K237&lt;=3000,INDEX(出库明细!$H$4:$H$3003,$K237)&amp;"",INDEX(资金台帐!$E$7:$E$3006,$K237-3000)&amp;""))</f>
      </c>
      <c r="K237" s="78">
        <f>IFERROR(MATCH(SMALL(_辅助!$F$4:$F$6003,198),_辅助!$F$4:$F$6003,0),"")</f>
      </c>
    </row>
    <row r="238">
      <c r="A238" s="141">
        <f>IF($K238="","",199)</f>
      </c>
      <c r="B238" s="140">
        <f>IF($K238="","",IF($K238&lt;=3000,INDEX(出库明细!$B$4:$B$3003,$K238),INDEX(资金台帐!$B$7:$B$3006,$K238-3000)))</f>
      </c>
      <c r="C238" s="141">
        <f>IF($K238="","",IF($K238&lt;=3000,"出库领用",IF(INDEX(资金台帐!$S$7:$S$3006,$K238-3000)&gt;=0,"收款","退款")&amp;"（"&amp;INDEX(资金台帐!$C$7:$C$3006,$K238-3000)&amp;"）"))</f>
      </c>
      <c r="D238" s="141">
        <f>IF($K238="","",IF($K238&lt;=3000,INDEX(出库明细!$D$4:$D$3003,$K238)&amp;"",""))</f>
      </c>
      <c r="E238" s="148">
        <f>IF($K238="","",IF($K238&lt;=3000,INDEX(出库明细!$E$4:$E$3003,$K238),""))</f>
      </c>
      <c r="F238" s="149">
        <f>IF($K238="","",IF($K238&lt;=3000,INDEX(出库明细!$F$4:$F$3003,$K238),""))</f>
      </c>
      <c r="G238" s="186">
        <f>IF($K238="","",IF($K238&lt;=3000,N(INDEX(出库明细!$G$4:$G$3003,$K238)),""))</f>
      </c>
      <c r="H238" s="186">
        <f>IF($K238="","",IF($K238&lt;=3000,"",INDEX(资金台帐!$S$7:$S$3006,$K238-3000)))</f>
      </c>
      <c r="I238" s="187">
        <f>IF($K238="","",I237+N(G238)-N(H238))</f>
      </c>
      <c r="J238" s="213">
        <f>IF($K238="","",IF($K238&lt;=3000,INDEX(出库明细!$H$4:$H$3003,$K238)&amp;"",INDEX(资金台帐!$E$7:$E$3006,$K238-3000)&amp;""))</f>
      </c>
      <c r="K238" s="78">
        <f>IFERROR(MATCH(SMALL(_辅助!$F$4:$F$6003,199),_辅助!$F$4:$F$6003,0),"")</f>
      </c>
    </row>
    <row r="239">
      <c r="A239" s="141">
        <f>IF($K239="","",200)</f>
      </c>
      <c r="B239" s="140">
        <f>IF($K239="","",IF($K239&lt;=3000,INDEX(出库明细!$B$4:$B$3003,$K239),INDEX(资金台帐!$B$7:$B$3006,$K239-3000)))</f>
      </c>
      <c r="C239" s="141">
        <f>IF($K239="","",IF($K239&lt;=3000,"出库领用",IF(INDEX(资金台帐!$S$7:$S$3006,$K239-3000)&gt;=0,"收款","退款")&amp;"（"&amp;INDEX(资金台帐!$C$7:$C$3006,$K239-3000)&amp;"）"))</f>
      </c>
      <c r="D239" s="141">
        <f>IF($K239="","",IF($K239&lt;=3000,INDEX(出库明细!$D$4:$D$3003,$K239)&amp;"",""))</f>
      </c>
      <c r="E239" s="148">
        <f>IF($K239="","",IF($K239&lt;=3000,INDEX(出库明细!$E$4:$E$3003,$K239),""))</f>
      </c>
      <c r="F239" s="149">
        <f>IF($K239="","",IF($K239&lt;=3000,INDEX(出库明细!$F$4:$F$3003,$K239),""))</f>
      </c>
      <c r="G239" s="186">
        <f>IF($K239="","",IF($K239&lt;=3000,N(INDEX(出库明细!$G$4:$G$3003,$K239)),""))</f>
      </c>
      <c r="H239" s="186">
        <f>IF($K239="","",IF($K239&lt;=3000,"",INDEX(资金台帐!$S$7:$S$3006,$K239-3000)))</f>
      </c>
      <c r="I239" s="187">
        <f>IF($K239="","",I238+N(G239)-N(H239))</f>
      </c>
      <c r="J239" s="213">
        <f>IF($K239="","",IF($K239&lt;=3000,INDEX(出库明细!$H$4:$H$3003,$K239)&amp;"",INDEX(资金台帐!$E$7:$E$3006,$K239-3000)&amp;""))</f>
      </c>
      <c r="K239" s="78">
        <f>IFERROR(MATCH(SMALL(_辅助!$F$4:$F$6003,200),_辅助!$F$4:$F$6003,0),"")</f>
      </c>
    </row>
    <row r="240">
      <c r="A240" s="141">
        <f>IF($K240="","",201)</f>
      </c>
      <c r="B240" s="140">
        <f>IF($K240="","",IF($K240&lt;=3000,INDEX(出库明细!$B$4:$B$3003,$K240),INDEX(资金台帐!$B$7:$B$3006,$K240-3000)))</f>
      </c>
      <c r="C240" s="141">
        <f>IF($K240="","",IF($K240&lt;=3000,"出库领用",IF(INDEX(资金台帐!$S$7:$S$3006,$K240-3000)&gt;=0,"收款","退款")&amp;"（"&amp;INDEX(资金台帐!$C$7:$C$3006,$K240-3000)&amp;"）"))</f>
      </c>
      <c r="D240" s="141">
        <f>IF($K240="","",IF($K240&lt;=3000,INDEX(出库明细!$D$4:$D$3003,$K240)&amp;"",""))</f>
      </c>
      <c r="E240" s="148">
        <f>IF($K240="","",IF($K240&lt;=3000,INDEX(出库明细!$E$4:$E$3003,$K240),""))</f>
      </c>
      <c r="F240" s="149">
        <f>IF($K240="","",IF($K240&lt;=3000,INDEX(出库明细!$F$4:$F$3003,$K240),""))</f>
      </c>
      <c r="G240" s="186">
        <f>IF($K240="","",IF($K240&lt;=3000,N(INDEX(出库明细!$G$4:$G$3003,$K240)),""))</f>
      </c>
      <c r="H240" s="186">
        <f>IF($K240="","",IF($K240&lt;=3000,"",INDEX(资金台帐!$S$7:$S$3006,$K240-3000)))</f>
      </c>
      <c r="I240" s="187">
        <f>IF($K240="","",I239+N(G240)-N(H240))</f>
      </c>
      <c r="J240" s="213">
        <f>IF($K240="","",IF($K240&lt;=3000,INDEX(出库明细!$H$4:$H$3003,$K240)&amp;"",INDEX(资金台帐!$E$7:$E$3006,$K240-3000)&amp;""))</f>
      </c>
      <c r="K240" s="78">
        <f>IFERROR(MATCH(SMALL(_辅助!$F$4:$F$6003,201),_辅助!$F$4:$F$6003,0),"")</f>
      </c>
    </row>
    <row r="241">
      <c r="A241" s="141">
        <f>IF($K241="","",202)</f>
      </c>
      <c r="B241" s="140">
        <f>IF($K241="","",IF($K241&lt;=3000,INDEX(出库明细!$B$4:$B$3003,$K241),INDEX(资金台帐!$B$7:$B$3006,$K241-3000)))</f>
      </c>
      <c r="C241" s="141">
        <f>IF($K241="","",IF($K241&lt;=3000,"出库领用",IF(INDEX(资金台帐!$S$7:$S$3006,$K241-3000)&gt;=0,"收款","退款")&amp;"（"&amp;INDEX(资金台帐!$C$7:$C$3006,$K241-3000)&amp;"）"))</f>
      </c>
      <c r="D241" s="141">
        <f>IF($K241="","",IF($K241&lt;=3000,INDEX(出库明细!$D$4:$D$3003,$K241)&amp;"",""))</f>
      </c>
      <c r="E241" s="148">
        <f>IF($K241="","",IF($K241&lt;=3000,INDEX(出库明细!$E$4:$E$3003,$K241),""))</f>
      </c>
      <c r="F241" s="149">
        <f>IF($K241="","",IF($K241&lt;=3000,INDEX(出库明细!$F$4:$F$3003,$K241),""))</f>
      </c>
      <c r="G241" s="186">
        <f>IF($K241="","",IF($K241&lt;=3000,N(INDEX(出库明细!$G$4:$G$3003,$K241)),""))</f>
      </c>
      <c r="H241" s="186">
        <f>IF($K241="","",IF($K241&lt;=3000,"",INDEX(资金台帐!$S$7:$S$3006,$K241-3000)))</f>
      </c>
      <c r="I241" s="187">
        <f>IF($K241="","",I240+N(G241)-N(H241))</f>
      </c>
      <c r="J241" s="213">
        <f>IF($K241="","",IF($K241&lt;=3000,INDEX(出库明细!$H$4:$H$3003,$K241)&amp;"",INDEX(资金台帐!$E$7:$E$3006,$K241-3000)&amp;""))</f>
      </c>
      <c r="K241" s="78">
        <f>IFERROR(MATCH(SMALL(_辅助!$F$4:$F$6003,202),_辅助!$F$4:$F$6003,0),"")</f>
      </c>
    </row>
    <row r="242">
      <c r="A242" s="141">
        <f>IF($K242="","",203)</f>
      </c>
      <c r="B242" s="140">
        <f>IF($K242="","",IF($K242&lt;=3000,INDEX(出库明细!$B$4:$B$3003,$K242),INDEX(资金台帐!$B$7:$B$3006,$K242-3000)))</f>
      </c>
      <c r="C242" s="141">
        <f>IF($K242="","",IF($K242&lt;=3000,"出库领用",IF(INDEX(资金台帐!$S$7:$S$3006,$K242-3000)&gt;=0,"收款","退款")&amp;"（"&amp;INDEX(资金台帐!$C$7:$C$3006,$K242-3000)&amp;"）"))</f>
      </c>
      <c r="D242" s="141">
        <f>IF($K242="","",IF($K242&lt;=3000,INDEX(出库明细!$D$4:$D$3003,$K242)&amp;"",""))</f>
      </c>
      <c r="E242" s="148">
        <f>IF($K242="","",IF($K242&lt;=3000,INDEX(出库明细!$E$4:$E$3003,$K242),""))</f>
      </c>
      <c r="F242" s="149">
        <f>IF($K242="","",IF($K242&lt;=3000,INDEX(出库明细!$F$4:$F$3003,$K242),""))</f>
      </c>
      <c r="G242" s="186">
        <f>IF($K242="","",IF($K242&lt;=3000,N(INDEX(出库明细!$G$4:$G$3003,$K242)),""))</f>
      </c>
      <c r="H242" s="186">
        <f>IF($K242="","",IF($K242&lt;=3000,"",INDEX(资金台帐!$S$7:$S$3006,$K242-3000)))</f>
      </c>
      <c r="I242" s="187">
        <f>IF($K242="","",I241+N(G242)-N(H242))</f>
      </c>
      <c r="J242" s="213">
        <f>IF($K242="","",IF($K242&lt;=3000,INDEX(出库明细!$H$4:$H$3003,$K242)&amp;"",INDEX(资金台帐!$E$7:$E$3006,$K242-3000)&amp;""))</f>
      </c>
      <c r="K242" s="78">
        <f>IFERROR(MATCH(SMALL(_辅助!$F$4:$F$6003,203),_辅助!$F$4:$F$6003,0),"")</f>
      </c>
    </row>
    <row r="243">
      <c r="A243" s="141">
        <f>IF($K243="","",204)</f>
      </c>
      <c r="B243" s="140">
        <f>IF($K243="","",IF($K243&lt;=3000,INDEX(出库明细!$B$4:$B$3003,$K243),INDEX(资金台帐!$B$7:$B$3006,$K243-3000)))</f>
      </c>
      <c r="C243" s="141">
        <f>IF($K243="","",IF($K243&lt;=3000,"出库领用",IF(INDEX(资金台帐!$S$7:$S$3006,$K243-3000)&gt;=0,"收款","退款")&amp;"（"&amp;INDEX(资金台帐!$C$7:$C$3006,$K243-3000)&amp;"）"))</f>
      </c>
      <c r="D243" s="141">
        <f>IF($K243="","",IF($K243&lt;=3000,INDEX(出库明细!$D$4:$D$3003,$K243)&amp;"",""))</f>
      </c>
      <c r="E243" s="148">
        <f>IF($K243="","",IF($K243&lt;=3000,INDEX(出库明细!$E$4:$E$3003,$K243),""))</f>
      </c>
      <c r="F243" s="149">
        <f>IF($K243="","",IF($K243&lt;=3000,INDEX(出库明细!$F$4:$F$3003,$K243),""))</f>
      </c>
      <c r="G243" s="186">
        <f>IF($K243="","",IF($K243&lt;=3000,N(INDEX(出库明细!$G$4:$G$3003,$K243)),""))</f>
      </c>
      <c r="H243" s="186">
        <f>IF($K243="","",IF($K243&lt;=3000,"",INDEX(资金台帐!$S$7:$S$3006,$K243-3000)))</f>
      </c>
      <c r="I243" s="187">
        <f>IF($K243="","",I242+N(G243)-N(H243))</f>
      </c>
      <c r="J243" s="213">
        <f>IF($K243="","",IF($K243&lt;=3000,INDEX(出库明细!$H$4:$H$3003,$K243)&amp;"",INDEX(资金台帐!$E$7:$E$3006,$K243-3000)&amp;""))</f>
      </c>
      <c r="K243" s="78">
        <f>IFERROR(MATCH(SMALL(_辅助!$F$4:$F$6003,204),_辅助!$F$4:$F$6003,0),"")</f>
      </c>
    </row>
    <row r="244">
      <c r="A244" s="141">
        <f>IF($K244="","",205)</f>
      </c>
      <c r="B244" s="140">
        <f>IF($K244="","",IF($K244&lt;=3000,INDEX(出库明细!$B$4:$B$3003,$K244),INDEX(资金台帐!$B$7:$B$3006,$K244-3000)))</f>
      </c>
      <c r="C244" s="141">
        <f>IF($K244="","",IF($K244&lt;=3000,"出库领用",IF(INDEX(资金台帐!$S$7:$S$3006,$K244-3000)&gt;=0,"收款","退款")&amp;"（"&amp;INDEX(资金台帐!$C$7:$C$3006,$K244-3000)&amp;"）"))</f>
      </c>
      <c r="D244" s="141">
        <f>IF($K244="","",IF($K244&lt;=3000,INDEX(出库明细!$D$4:$D$3003,$K244)&amp;"",""))</f>
      </c>
      <c r="E244" s="148">
        <f>IF($K244="","",IF($K244&lt;=3000,INDEX(出库明细!$E$4:$E$3003,$K244),""))</f>
      </c>
      <c r="F244" s="149">
        <f>IF($K244="","",IF($K244&lt;=3000,INDEX(出库明细!$F$4:$F$3003,$K244),""))</f>
      </c>
      <c r="G244" s="186">
        <f>IF($K244="","",IF($K244&lt;=3000,N(INDEX(出库明细!$G$4:$G$3003,$K244)),""))</f>
      </c>
      <c r="H244" s="186">
        <f>IF($K244="","",IF($K244&lt;=3000,"",INDEX(资金台帐!$S$7:$S$3006,$K244-3000)))</f>
      </c>
      <c r="I244" s="187">
        <f>IF($K244="","",I243+N(G244)-N(H244))</f>
      </c>
      <c r="J244" s="213">
        <f>IF($K244="","",IF($K244&lt;=3000,INDEX(出库明细!$H$4:$H$3003,$K244)&amp;"",INDEX(资金台帐!$E$7:$E$3006,$K244-3000)&amp;""))</f>
      </c>
      <c r="K244" s="78">
        <f>IFERROR(MATCH(SMALL(_辅助!$F$4:$F$6003,205),_辅助!$F$4:$F$6003,0),"")</f>
      </c>
    </row>
    <row r="245">
      <c r="A245" s="141">
        <f>IF($K245="","",206)</f>
      </c>
      <c r="B245" s="140">
        <f>IF($K245="","",IF($K245&lt;=3000,INDEX(出库明细!$B$4:$B$3003,$K245),INDEX(资金台帐!$B$7:$B$3006,$K245-3000)))</f>
      </c>
      <c r="C245" s="141">
        <f>IF($K245="","",IF($K245&lt;=3000,"出库领用",IF(INDEX(资金台帐!$S$7:$S$3006,$K245-3000)&gt;=0,"收款","退款")&amp;"（"&amp;INDEX(资金台帐!$C$7:$C$3006,$K245-3000)&amp;"）"))</f>
      </c>
      <c r="D245" s="141">
        <f>IF($K245="","",IF($K245&lt;=3000,INDEX(出库明细!$D$4:$D$3003,$K245)&amp;"",""))</f>
      </c>
      <c r="E245" s="148">
        <f>IF($K245="","",IF($K245&lt;=3000,INDEX(出库明细!$E$4:$E$3003,$K245),""))</f>
      </c>
      <c r="F245" s="149">
        <f>IF($K245="","",IF($K245&lt;=3000,INDEX(出库明细!$F$4:$F$3003,$K245),""))</f>
      </c>
      <c r="G245" s="186">
        <f>IF($K245="","",IF($K245&lt;=3000,N(INDEX(出库明细!$G$4:$G$3003,$K245)),""))</f>
      </c>
      <c r="H245" s="186">
        <f>IF($K245="","",IF($K245&lt;=3000,"",INDEX(资金台帐!$S$7:$S$3006,$K245-3000)))</f>
      </c>
      <c r="I245" s="187">
        <f>IF($K245="","",I244+N(G245)-N(H245))</f>
      </c>
      <c r="J245" s="213">
        <f>IF($K245="","",IF($K245&lt;=3000,INDEX(出库明细!$H$4:$H$3003,$K245)&amp;"",INDEX(资金台帐!$E$7:$E$3006,$K245-3000)&amp;""))</f>
      </c>
      <c r="K245" s="78">
        <f>IFERROR(MATCH(SMALL(_辅助!$F$4:$F$6003,206),_辅助!$F$4:$F$6003,0),"")</f>
      </c>
    </row>
    <row r="246">
      <c r="A246" s="141">
        <f>IF($K246="","",207)</f>
      </c>
      <c r="B246" s="140">
        <f>IF($K246="","",IF($K246&lt;=3000,INDEX(出库明细!$B$4:$B$3003,$K246),INDEX(资金台帐!$B$7:$B$3006,$K246-3000)))</f>
      </c>
      <c r="C246" s="141">
        <f>IF($K246="","",IF($K246&lt;=3000,"出库领用",IF(INDEX(资金台帐!$S$7:$S$3006,$K246-3000)&gt;=0,"收款","退款")&amp;"（"&amp;INDEX(资金台帐!$C$7:$C$3006,$K246-3000)&amp;"）"))</f>
      </c>
      <c r="D246" s="141">
        <f>IF($K246="","",IF($K246&lt;=3000,INDEX(出库明细!$D$4:$D$3003,$K246)&amp;"",""))</f>
      </c>
      <c r="E246" s="148">
        <f>IF($K246="","",IF($K246&lt;=3000,INDEX(出库明细!$E$4:$E$3003,$K246),""))</f>
      </c>
      <c r="F246" s="149">
        <f>IF($K246="","",IF($K246&lt;=3000,INDEX(出库明细!$F$4:$F$3003,$K246),""))</f>
      </c>
      <c r="G246" s="186">
        <f>IF($K246="","",IF($K246&lt;=3000,N(INDEX(出库明细!$G$4:$G$3003,$K246)),""))</f>
      </c>
      <c r="H246" s="186">
        <f>IF($K246="","",IF($K246&lt;=3000,"",INDEX(资金台帐!$S$7:$S$3006,$K246-3000)))</f>
      </c>
      <c r="I246" s="187">
        <f>IF($K246="","",I245+N(G246)-N(H246))</f>
      </c>
      <c r="J246" s="213">
        <f>IF($K246="","",IF($K246&lt;=3000,INDEX(出库明细!$H$4:$H$3003,$K246)&amp;"",INDEX(资金台帐!$E$7:$E$3006,$K246-3000)&amp;""))</f>
      </c>
      <c r="K246" s="78">
        <f>IFERROR(MATCH(SMALL(_辅助!$F$4:$F$6003,207),_辅助!$F$4:$F$6003,0),"")</f>
      </c>
    </row>
    <row r="247">
      <c r="A247" s="141">
        <f>IF($K247="","",208)</f>
      </c>
      <c r="B247" s="140">
        <f>IF($K247="","",IF($K247&lt;=3000,INDEX(出库明细!$B$4:$B$3003,$K247),INDEX(资金台帐!$B$7:$B$3006,$K247-3000)))</f>
      </c>
      <c r="C247" s="141">
        <f>IF($K247="","",IF($K247&lt;=3000,"出库领用",IF(INDEX(资金台帐!$S$7:$S$3006,$K247-3000)&gt;=0,"收款","退款")&amp;"（"&amp;INDEX(资金台帐!$C$7:$C$3006,$K247-3000)&amp;"）"))</f>
      </c>
      <c r="D247" s="141">
        <f>IF($K247="","",IF($K247&lt;=3000,INDEX(出库明细!$D$4:$D$3003,$K247)&amp;"",""))</f>
      </c>
      <c r="E247" s="148">
        <f>IF($K247="","",IF($K247&lt;=3000,INDEX(出库明细!$E$4:$E$3003,$K247),""))</f>
      </c>
      <c r="F247" s="149">
        <f>IF($K247="","",IF($K247&lt;=3000,INDEX(出库明细!$F$4:$F$3003,$K247),""))</f>
      </c>
      <c r="G247" s="186">
        <f>IF($K247="","",IF($K247&lt;=3000,N(INDEX(出库明细!$G$4:$G$3003,$K247)),""))</f>
      </c>
      <c r="H247" s="186">
        <f>IF($K247="","",IF($K247&lt;=3000,"",INDEX(资金台帐!$S$7:$S$3006,$K247-3000)))</f>
      </c>
      <c r="I247" s="187">
        <f>IF($K247="","",I246+N(G247)-N(H247))</f>
      </c>
      <c r="J247" s="213">
        <f>IF($K247="","",IF($K247&lt;=3000,INDEX(出库明细!$H$4:$H$3003,$K247)&amp;"",INDEX(资金台帐!$E$7:$E$3006,$K247-3000)&amp;""))</f>
      </c>
      <c r="K247" s="78">
        <f>IFERROR(MATCH(SMALL(_辅助!$F$4:$F$6003,208),_辅助!$F$4:$F$6003,0),"")</f>
      </c>
    </row>
    <row r="248">
      <c r="A248" s="141">
        <f>IF($K248="","",209)</f>
      </c>
      <c r="B248" s="140">
        <f>IF($K248="","",IF($K248&lt;=3000,INDEX(出库明细!$B$4:$B$3003,$K248),INDEX(资金台帐!$B$7:$B$3006,$K248-3000)))</f>
      </c>
      <c r="C248" s="141">
        <f>IF($K248="","",IF($K248&lt;=3000,"出库领用",IF(INDEX(资金台帐!$S$7:$S$3006,$K248-3000)&gt;=0,"收款","退款")&amp;"（"&amp;INDEX(资金台帐!$C$7:$C$3006,$K248-3000)&amp;"）"))</f>
      </c>
      <c r="D248" s="141">
        <f>IF($K248="","",IF($K248&lt;=3000,INDEX(出库明细!$D$4:$D$3003,$K248)&amp;"",""))</f>
      </c>
      <c r="E248" s="148">
        <f>IF($K248="","",IF($K248&lt;=3000,INDEX(出库明细!$E$4:$E$3003,$K248),""))</f>
      </c>
      <c r="F248" s="149">
        <f>IF($K248="","",IF($K248&lt;=3000,INDEX(出库明细!$F$4:$F$3003,$K248),""))</f>
      </c>
      <c r="G248" s="186">
        <f>IF($K248="","",IF($K248&lt;=3000,N(INDEX(出库明细!$G$4:$G$3003,$K248)),""))</f>
      </c>
      <c r="H248" s="186">
        <f>IF($K248="","",IF($K248&lt;=3000,"",INDEX(资金台帐!$S$7:$S$3006,$K248-3000)))</f>
      </c>
      <c r="I248" s="187">
        <f>IF($K248="","",I247+N(G248)-N(H248))</f>
      </c>
      <c r="J248" s="213">
        <f>IF($K248="","",IF($K248&lt;=3000,INDEX(出库明细!$H$4:$H$3003,$K248)&amp;"",INDEX(资金台帐!$E$7:$E$3006,$K248-3000)&amp;""))</f>
      </c>
      <c r="K248" s="78">
        <f>IFERROR(MATCH(SMALL(_辅助!$F$4:$F$6003,209),_辅助!$F$4:$F$6003,0),"")</f>
      </c>
    </row>
    <row r="249">
      <c r="A249" s="141">
        <f>IF($K249="","",210)</f>
      </c>
      <c r="B249" s="140">
        <f>IF($K249="","",IF($K249&lt;=3000,INDEX(出库明细!$B$4:$B$3003,$K249),INDEX(资金台帐!$B$7:$B$3006,$K249-3000)))</f>
      </c>
      <c r="C249" s="141">
        <f>IF($K249="","",IF($K249&lt;=3000,"出库领用",IF(INDEX(资金台帐!$S$7:$S$3006,$K249-3000)&gt;=0,"收款","退款")&amp;"（"&amp;INDEX(资金台帐!$C$7:$C$3006,$K249-3000)&amp;"）"))</f>
      </c>
      <c r="D249" s="141">
        <f>IF($K249="","",IF($K249&lt;=3000,INDEX(出库明细!$D$4:$D$3003,$K249)&amp;"",""))</f>
      </c>
      <c r="E249" s="148">
        <f>IF($K249="","",IF($K249&lt;=3000,INDEX(出库明细!$E$4:$E$3003,$K249),""))</f>
      </c>
      <c r="F249" s="149">
        <f>IF($K249="","",IF($K249&lt;=3000,INDEX(出库明细!$F$4:$F$3003,$K249),""))</f>
      </c>
      <c r="G249" s="186">
        <f>IF($K249="","",IF($K249&lt;=3000,N(INDEX(出库明细!$G$4:$G$3003,$K249)),""))</f>
      </c>
      <c r="H249" s="186">
        <f>IF($K249="","",IF($K249&lt;=3000,"",INDEX(资金台帐!$S$7:$S$3006,$K249-3000)))</f>
      </c>
      <c r="I249" s="187">
        <f>IF($K249="","",I248+N(G249)-N(H249))</f>
      </c>
      <c r="J249" s="213">
        <f>IF($K249="","",IF($K249&lt;=3000,INDEX(出库明细!$H$4:$H$3003,$K249)&amp;"",INDEX(资金台帐!$E$7:$E$3006,$K249-3000)&amp;""))</f>
      </c>
      <c r="K249" s="78">
        <f>IFERROR(MATCH(SMALL(_辅助!$F$4:$F$6003,210),_辅助!$F$4:$F$6003,0),"")</f>
      </c>
    </row>
    <row r="250">
      <c r="A250" s="141">
        <f>IF($K250="","",211)</f>
      </c>
      <c r="B250" s="140">
        <f>IF($K250="","",IF($K250&lt;=3000,INDEX(出库明细!$B$4:$B$3003,$K250),INDEX(资金台帐!$B$7:$B$3006,$K250-3000)))</f>
      </c>
      <c r="C250" s="141">
        <f>IF($K250="","",IF($K250&lt;=3000,"出库领用",IF(INDEX(资金台帐!$S$7:$S$3006,$K250-3000)&gt;=0,"收款","退款")&amp;"（"&amp;INDEX(资金台帐!$C$7:$C$3006,$K250-3000)&amp;"）"))</f>
      </c>
      <c r="D250" s="141">
        <f>IF($K250="","",IF($K250&lt;=3000,INDEX(出库明细!$D$4:$D$3003,$K250)&amp;"",""))</f>
      </c>
      <c r="E250" s="148">
        <f>IF($K250="","",IF($K250&lt;=3000,INDEX(出库明细!$E$4:$E$3003,$K250),""))</f>
      </c>
      <c r="F250" s="149">
        <f>IF($K250="","",IF($K250&lt;=3000,INDEX(出库明细!$F$4:$F$3003,$K250),""))</f>
      </c>
      <c r="G250" s="186">
        <f>IF($K250="","",IF($K250&lt;=3000,N(INDEX(出库明细!$G$4:$G$3003,$K250)),""))</f>
      </c>
      <c r="H250" s="186">
        <f>IF($K250="","",IF($K250&lt;=3000,"",INDEX(资金台帐!$S$7:$S$3006,$K250-3000)))</f>
      </c>
      <c r="I250" s="187">
        <f>IF($K250="","",I249+N(G250)-N(H250))</f>
      </c>
      <c r="J250" s="213">
        <f>IF($K250="","",IF($K250&lt;=3000,INDEX(出库明细!$H$4:$H$3003,$K250)&amp;"",INDEX(资金台帐!$E$7:$E$3006,$K250-3000)&amp;""))</f>
      </c>
      <c r="K250" s="78">
        <f>IFERROR(MATCH(SMALL(_辅助!$F$4:$F$6003,211),_辅助!$F$4:$F$6003,0),"")</f>
      </c>
    </row>
    <row r="251">
      <c r="A251" s="141">
        <f>IF($K251="","",212)</f>
      </c>
      <c r="B251" s="140">
        <f>IF($K251="","",IF($K251&lt;=3000,INDEX(出库明细!$B$4:$B$3003,$K251),INDEX(资金台帐!$B$7:$B$3006,$K251-3000)))</f>
      </c>
      <c r="C251" s="141">
        <f>IF($K251="","",IF($K251&lt;=3000,"出库领用",IF(INDEX(资金台帐!$S$7:$S$3006,$K251-3000)&gt;=0,"收款","退款")&amp;"（"&amp;INDEX(资金台帐!$C$7:$C$3006,$K251-3000)&amp;"）"))</f>
      </c>
      <c r="D251" s="141">
        <f>IF($K251="","",IF($K251&lt;=3000,INDEX(出库明细!$D$4:$D$3003,$K251)&amp;"",""))</f>
      </c>
      <c r="E251" s="148">
        <f>IF($K251="","",IF($K251&lt;=3000,INDEX(出库明细!$E$4:$E$3003,$K251),""))</f>
      </c>
      <c r="F251" s="149">
        <f>IF($K251="","",IF($K251&lt;=3000,INDEX(出库明细!$F$4:$F$3003,$K251),""))</f>
      </c>
      <c r="G251" s="186">
        <f>IF($K251="","",IF($K251&lt;=3000,N(INDEX(出库明细!$G$4:$G$3003,$K251)),""))</f>
      </c>
      <c r="H251" s="186">
        <f>IF($K251="","",IF($K251&lt;=3000,"",INDEX(资金台帐!$S$7:$S$3006,$K251-3000)))</f>
      </c>
      <c r="I251" s="187">
        <f>IF($K251="","",I250+N(G251)-N(H251))</f>
      </c>
      <c r="J251" s="213">
        <f>IF($K251="","",IF($K251&lt;=3000,INDEX(出库明细!$H$4:$H$3003,$K251)&amp;"",INDEX(资金台帐!$E$7:$E$3006,$K251-3000)&amp;""))</f>
      </c>
      <c r="K251" s="78">
        <f>IFERROR(MATCH(SMALL(_辅助!$F$4:$F$6003,212),_辅助!$F$4:$F$6003,0),"")</f>
      </c>
    </row>
    <row r="252">
      <c r="A252" s="141">
        <f>IF($K252="","",213)</f>
      </c>
      <c r="B252" s="140">
        <f>IF($K252="","",IF($K252&lt;=3000,INDEX(出库明细!$B$4:$B$3003,$K252),INDEX(资金台帐!$B$7:$B$3006,$K252-3000)))</f>
      </c>
      <c r="C252" s="141">
        <f>IF($K252="","",IF($K252&lt;=3000,"出库领用",IF(INDEX(资金台帐!$S$7:$S$3006,$K252-3000)&gt;=0,"收款","退款")&amp;"（"&amp;INDEX(资金台帐!$C$7:$C$3006,$K252-3000)&amp;"）"))</f>
      </c>
      <c r="D252" s="141">
        <f>IF($K252="","",IF($K252&lt;=3000,INDEX(出库明细!$D$4:$D$3003,$K252)&amp;"",""))</f>
      </c>
      <c r="E252" s="148">
        <f>IF($K252="","",IF($K252&lt;=3000,INDEX(出库明细!$E$4:$E$3003,$K252),""))</f>
      </c>
      <c r="F252" s="149">
        <f>IF($K252="","",IF($K252&lt;=3000,INDEX(出库明细!$F$4:$F$3003,$K252),""))</f>
      </c>
      <c r="G252" s="186">
        <f>IF($K252="","",IF($K252&lt;=3000,N(INDEX(出库明细!$G$4:$G$3003,$K252)),""))</f>
      </c>
      <c r="H252" s="186">
        <f>IF($K252="","",IF($K252&lt;=3000,"",INDEX(资金台帐!$S$7:$S$3006,$K252-3000)))</f>
      </c>
      <c r="I252" s="187">
        <f>IF($K252="","",I251+N(G252)-N(H252))</f>
      </c>
      <c r="J252" s="213">
        <f>IF($K252="","",IF($K252&lt;=3000,INDEX(出库明细!$H$4:$H$3003,$K252)&amp;"",INDEX(资金台帐!$E$7:$E$3006,$K252-3000)&amp;""))</f>
      </c>
      <c r="K252" s="78">
        <f>IFERROR(MATCH(SMALL(_辅助!$F$4:$F$6003,213),_辅助!$F$4:$F$6003,0),"")</f>
      </c>
    </row>
    <row r="253">
      <c r="A253" s="141">
        <f>IF($K253="","",214)</f>
      </c>
      <c r="B253" s="140">
        <f>IF($K253="","",IF($K253&lt;=3000,INDEX(出库明细!$B$4:$B$3003,$K253),INDEX(资金台帐!$B$7:$B$3006,$K253-3000)))</f>
      </c>
      <c r="C253" s="141">
        <f>IF($K253="","",IF($K253&lt;=3000,"出库领用",IF(INDEX(资金台帐!$S$7:$S$3006,$K253-3000)&gt;=0,"收款","退款")&amp;"（"&amp;INDEX(资金台帐!$C$7:$C$3006,$K253-3000)&amp;"）"))</f>
      </c>
      <c r="D253" s="141">
        <f>IF($K253="","",IF($K253&lt;=3000,INDEX(出库明细!$D$4:$D$3003,$K253)&amp;"",""))</f>
      </c>
      <c r="E253" s="148">
        <f>IF($K253="","",IF($K253&lt;=3000,INDEX(出库明细!$E$4:$E$3003,$K253),""))</f>
      </c>
      <c r="F253" s="149">
        <f>IF($K253="","",IF($K253&lt;=3000,INDEX(出库明细!$F$4:$F$3003,$K253),""))</f>
      </c>
      <c r="G253" s="186">
        <f>IF($K253="","",IF($K253&lt;=3000,N(INDEX(出库明细!$G$4:$G$3003,$K253)),""))</f>
      </c>
      <c r="H253" s="186">
        <f>IF($K253="","",IF($K253&lt;=3000,"",INDEX(资金台帐!$S$7:$S$3006,$K253-3000)))</f>
      </c>
      <c r="I253" s="187">
        <f>IF($K253="","",I252+N(G253)-N(H253))</f>
      </c>
      <c r="J253" s="213">
        <f>IF($K253="","",IF($K253&lt;=3000,INDEX(出库明细!$H$4:$H$3003,$K253)&amp;"",INDEX(资金台帐!$E$7:$E$3006,$K253-3000)&amp;""))</f>
      </c>
      <c r="K253" s="78">
        <f>IFERROR(MATCH(SMALL(_辅助!$F$4:$F$6003,214),_辅助!$F$4:$F$6003,0),"")</f>
      </c>
    </row>
    <row r="254">
      <c r="A254" s="141">
        <f>IF($K254="","",215)</f>
      </c>
      <c r="B254" s="140">
        <f>IF($K254="","",IF($K254&lt;=3000,INDEX(出库明细!$B$4:$B$3003,$K254),INDEX(资金台帐!$B$7:$B$3006,$K254-3000)))</f>
      </c>
      <c r="C254" s="141">
        <f>IF($K254="","",IF($K254&lt;=3000,"出库领用",IF(INDEX(资金台帐!$S$7:$S$3006,$K254-3000)&gt;=0,"收款","退款")&amp;"（"&amp;INDEX(资金台帐!$C$7:$C$3006,$K254-3000)&amp;"）"))</f>
      </c>
      <c r="D254" s="141">
        <f>IF($K254="","",IF($K254&lt;=3000,INDEX(出库明细!$D$4:$D$3003,$K254)&amp;"",""))</f>
      </c>
      <c r="E254" s="148">
        <f>IF($K254="","",IF($K254&lt;=3000,INDEX(出库明细!$E$4:$E$3003,$K254),""))</f>
      </c>
      <c r="F254" s="149">
        <f>IF($K254="","",IF($K254&lt;=3000,INDEX(出库明细!$F$4:$F$3003,$K254),""))</f>
      </c>
      <c r="G254" s="186">
        <f>IF($K254="","",IF($K254&lt;=3000,N(INDEX(出库明细!$G$4:$G$3003,$K254)),""))</f>
      </c>
      <c r="H254" s="186">
        <f>IF($K254="","",IF($K254&lt;=3000,"",INDEX(资金台帐!$S$7:$S$3006,$K254-3000)))</f>
      </c>
      <c r="I254" s="187">
        <f>IF($K254="","",I253+N(G254)-N(H254))</f>
      </c>
      <c r="J254" s="213">
        <f>IF($K254="","",IF($K254&lt;=3000,INDEX(出库明细!$H$4:$H$3003,$K254)&amp;"",INDEX(资金台帐!$E$7:$E$3006,$K254-3000)&amp;""))</f>
      </c>
      <c r="K254" s="78">
        <f>IFERROR(MATCH(SMALL(_辅助!$F$4:$F$6003,215),_辅助!$F$4:$F$6003,0),"")</f>
      </c>
    </row>
    <row r="255">
      <c r="A255" s="141">
        <f>IF($K255="","",216)</f>
      </c>
      <c r="B255" s="140">
        <f>IF($K255="","",IF($K255&lt;=3000,INDEX(出库明细!$B$4:$B$3003,$K255),INDEX(资金台帐!$B$7:$B$3006,$K255-3000)))</f>
      </c>
      <c r="C255" s="141">
        <f>IF($K255="","",IF($K255&lt;=3000,"出库领用",IF(INDEX(资金台帐!$S$7:$S$3006,$K255-3000)&gt;=0,"收款","退款")&amp;"（"&amp;INDEX(资金台帐!$C$7:$C$3006,$K255-3000)&amp;"）"))</f>
      </c>
      <c r="D255" s="141">
        <f>IF($K255="","",IF($K255&lt;=3000,INDEX(出库明细!$D$4:$D$3003,$K255)&amp;"",""))</f>
      </c>
      <c r="E255" s="148">
        <f>IF($K255="","",IF($K255&lt;=3000,INDEX(出库明细!$E$4:$E$3003,$K255),""))</f>
      </c>
      <c r="F255" s="149">
        <f>IF($K255="","",IF($K255&lt;=3000,INDEX(出库明细!$F$4:$F$3003,$K255),""))</f>
      </c>
      <c r="G255" s="186">
        <f>IF($K255="","",IF($K255&lt;=3000,N(INDEX(出库明细!$G$4:$G$3003,$K255)),""))</f>
      </c>
      <c r="H255" s="186">
        <f>IF($K255="","",IF($K255&lt;=3000,"",INDEX(资金台帐!$S$7:$S$3006,$K255-3000)))</f>
      </c>
      <c r="I255" s="187">
        <f>IF($K255="","",I254+N(G255)-N(H255))</f>
      </c>
      <c r="J255" s="213">
        <f>IF($K255="","",IF($K255&lt;=3000,INDEX(出库明细!$H$4:$H$3003,$K255)&amp;"",INDEX(资金台帐!$E$7:$E$3006,$K255-3000)&amp;""))</f>
      </c>
      <c r="K255" s="78">
        <f>IFERROR(MATCH(SMALL(_辅助!$F$4:$F$6003,216),_辅助!$F$4:$F$6003,0),"")</f>
      </c>
    </row>
    <row r="256">
      <c r="A256" s="141">
        <f>IF($K256="","",217)</f>
      </c>
      <c r="B256" s="140">
        <f>IF($K256="","",IF($K256&lt;=3000,INDEX(出库明细!$B$4:$B$3003,$K256),INDEX(资金台帐!$B$7:$B$3006,$K256-3000)))</f>
      </c>
      <c r="C256" s="141">
        <f>IF($K256="","",IF($K256&lt;=3000,"出库领用",IF(INDEX(资金台帐!$S$7:$S$3006,$K256-3000)&gt;=0,"收款","退款")&amp;"（"&amp;INDEX(资金台帐!$C$7:$C$3006,$K256-3000)&amp;"）"))</f>
      </c>
      <c r="D256" s="141">
        <f>IF($K256="","",IF($K256&lt;=3000,INDEX(出库明细!$D$4:$D$3003,$K256)&amp;"",""))</f>
      </c>
      <c r="E256" s="148">
        <f>IF($K256="","",IF($K256&lt;=3000,INDEX(出库明细!$E$4:$E$3003,$K256),""))</f>
      </c>
      <c r="F256" s="149">
        <f>IF($K256="","",IF($K256&lt;=3000,INDEX(出库明细!$F$4:$F$3003,$K256),""))</f>
      </c>
      <c r="G256" s="186">
        <f>IF($K256="","",IF($K256&lt;=3000,N(INDEX(出库明细!$G$4:$G$3003,$K256)),""))</f>
      </c>
      <c r="H256" s="186">
        <f>IF($K256="","",IF($K256&lt;=3000,"",INDEX(资金台帐!$S$7:$S$3006,$K256-3000)))</f>
      </c>
      <c r="I256" s="187">
        <f>IF($K256="","",I255+N(G256)-N(H256))</f>
      </c>
      <c r="J256" s="213">
        <f>IF($K256="","",IF($K256&lt;=3000,INDEX(出库明细!$H$4:$H$3003,$K256)&amp;"",INDEX(资金台帐!$E$7:$E$3006,$K256-3000)&amp;""))</f>
      </c>
      <c r="K256" s="78">
        <f>IFERROR(MATCH(SMALL(_辅助!$F$4:$F$6003,217),_辅助!$F$4:$F$6003,0),"")</f>
      </c>
    </row>
    <row r="257">
      <c r="A257" s="141">
        <f>IF($K257="","",218)</f>
      </c>
      <c r="B257" s="140">
        <f>IF($K257="","",IF($K257&lt;=3000,INDEX(出库明细!$B$4:$B$3003,$K257),INDEX(资金台帐!$B$7:$B$3006,$K257-3000)))</f>
      </c>
      <c r="C257" s="141">
        <f>IF($K257="","",IF($K257&lt;=3000,"出库领用",IF(INDEX(资金台帐!$S$7:$S$3006,$K257-3000)&gt;=0,"收款","退款")&amp;"（"&amp;INDEX(资金台帐!$C$7:$C$3006,$K257-3000)&amp;"）"))</f>
      </c>
      <c r="D257" s="141">
        <f>IF($K257="","",IF($K257&lt;=3000,INDEX(出库明细!$D$4:$D$3003,$K257)&amp;"",""))</f>
      </c>
      <c r="E257" s="148">
        <f>IF($K257="","",IF($K257&lt;=3000,INDEX(出库明细!$E$4:$E$3003,$K257),""))</f>
      </c>
      <c r="F257" s="149">
        <f>IF($K257="","",IF($K257&lt;=3000,INDEX(出库明细!$F$4:$F$3003,$K257),""))</f>
      </c>
      <c r="G257" s="186">
        <f>IF($K257="","",IF($K257&lt;=3000,N(INDEX(出库明细!$G$4:$G$3003,$K257)),""))</f>
      </c>
      <c r="H257" s="186">
        <f>IF($K257="","",IF($K257&lt;=3000,"",INDEX(资金台帐!$S$7:$S$3006,$K257-3000)))</f>
      </c>
      <c r="I257" s="187">
        <f>IF($K257="","",I256+N(G257)-N(H257))</f>
      </c>
      <c r="J257" s="213">
        <f>IF($K257="","",IF($K257&lt;=3000,INDEX(出库明细!$H$4:$H$3003,$K257)&amp;"",INDEX(资金台帐!$E$7:$E$3006,$K257-3000)&amp;""))</f>
      </c>
      <c r="K257" s="78">
        <f>IFERROR(MATCH(SMALL(_辅助!$F$4:$F$6003,218),_辅助!$F$4:$F$6003,0),"")</f>
      </c>
    </row>
    <row r="258">
      <c r="A258" s="141">
        <f>IF($K258="","",219)</f>
      </c>
      <c r="B258" s="140">
        <f>IF($K258="","",IF($K258&lt;=3000,INDEX(出库明细!$B$4:$B$3003,$K258),INDEX(资金台帐!$B$7:$B$3006,$K258-3000)))</f>
      </c>
      <c r="C258" s="141">
        <f>IF($K258="","",IF($K258&lt;=3000,"出库领用",IF(INDEX(资金台帐!$S$7:$S$3006,$K258-3000)&gt;=0,"收款","退款")&amp;"（"&amp;INDEX(资金台帐!$C$7:$C$3006,$K258-3000)&amp;"）"))</f>
      </c>
      <c r="D258" s="141">
        <f>IF($K258="","",IF($K258&lt;=3000,INDEX(出库明细!$D$4:$D$3003,$K258)&amp;"",""))</f>
      </c>
      <c r="E258" s="148">
        <f>IF($K258="","",IF($K258&lt;=3000,INDEX(出库明细!$E$4:$E$3003,$K258),""))</f>
      </c>
      <c r="F258" s="149">
        <f>IF($K258="","",IF($K258&lt;=3000,INDEX(出库明细!$F$4:$F$3003,$K258),""))</f>
      </c>
      <c r="G258" s="186">
        <f>IF($K258="","",IF($K258&lt;=3000,N(INDEX(出库明细!$G$4:$G$3003,$K258)),""))</f>
      </c>
      <c r="H258" s="186">
        <f>IF($K258="","",IF($K258&lt;=3000,"",INDEX(资金台帐!$S$7:$S$3006,$K258-3000)))</f>
      </c>
      <c r="I258" s="187">
        <f>IF($K258="","",I257+N(G258)-N(H258))</f>
      </c>
      <c r="J258" s="213">
        <f>IF($K258="","",IF($K258&lt;=3000,INDEX(出库明细!$H$4:$H$3003,$K258)&amp;"",INDEX(资金台帐!$E$7:$E$3006,$K258-3000)&amp;""))</f>
      </c>
      <c r="K258" s="78">
        <f>IFERROR(MATCH(SMALL(_辅助!$F$4:$F$6003,219),_辅助!$F$4:$F$6003,0),"")</f>
      </c>
    </row>
    <row r="259">
      <c r="A259" s="141">
        <f>IF($K259="","",220)</f>
      </c>
      <c r="B259" s="140">
        <f>IF($K259="","",IF($K259&lt;=3000,INDEX(出库明细!$B$4:$B$3003,$K259),INDEX(资金台帐!$B$7:$B$3006,$K259-3000)))</f>
      </c>
      <c r="C259" s="141">
        <f>IF($K259="","",IF($K259&lt;=3000,"出库领用",IF(INDEX(资金台帐!$S$7:$S$3006,$K259-3000)&gt;=0,"收款","退款")&amp;"（"&amp;INDEX(资金台帐!$C$7:$C$3006,$K259-3000)&amp;"）"))</f>
      </c>
      <c r="D259" s="141">
        <f>IF($K259="","",IF($K259&lt;=3000,INDEX(出库明细!$D$4:$D$3003,$K259)&amp;"",""))</f>
      </c>
      <c r="E259" s="148">
        <f>IF($K259="","",IF($K259&lt;=3000,INDEX(出库明细!$E$4:$E$3003,$K259),""))</f>
      </c>
      <c r="F259" s="149">
        <f>IF($K259="","",IF($K259&lt;=3000,INDEX(出库明细!$F$4:$F$3003,$K259),""))</f>
      </c>
      <c r="G259" s="186">
        <f>IF($K259="","",IF($K259&lt;=3000,N(INDEX(出库明细!$G$4:$G$3003,$K259)),""))</f>
      </c>
      <c r="H259" s="186">
        <f>IF($K259="","",IF($K259&lt;=3000,"",INDEX(资金台帐!$S$7:$S$3006,$K259-3000)))</f>
      </c>
      <c r="I259" s="187">
        <f>IF($K259="","",I258+N(G259)-N(H259))</f>
      </c>
      <c r="J259" s="213">
        <f>IF($K259="","",IF($K259&lt;=3000,INDEX(出库明细!$H$4:$H$3003,$K259)&amp;"",INDEX(资金台帐!$E$7:$E$3006,$K259-3000)&amp;""))</f>
      </c>
      <c r="K259" s="78">
        <f>IFERROR(MATCH(SMALL(_辅助!$F$4:$F$6003,220),_辅助!$F$4:$F$6003,0),"")</f>
      </c>
    </row>
    <row r="260">
      <c r="A260" s="141">
        <f>IF($K260="","",221)</f>
      </c>
      <c r="B260" s="140">
        <f>IF($K260="","",IF($K260&lt;=3000,INDEX(出库明细!$B$4:$B$3003,$K260),INDEX(资金台帐!$B$7:$B$3006,$K260-3000)))</f>
      </c>
      <c r="C260" s="141">
        <f>IF($K260="","",IF($K260&lt;=3000,"出库领用",IF(INDEX(资金台帐!$S$7:$S$3006,$K260-3000)&gt;=0,"收款","退款")&amp;"（"&amp;INDEX(资金台帐!$C$7:$C$3006,$K260-3000)&amp;"）"))</f>
      </c>
      <c r="D260" s="141">
        <f>IF($K260="","",IF($K260&lt;=3000,INDEX(出库明细!$D$4:$D$3003,$K260)&amp;"",""))</f>
      </c>
      <c r="E260" s="148">
        <f>IF($K260="","",IF($K260&lt;=3000,INDEX(出库明细!$E$4:$E$3003,$K260),""))</f>
      </c>
      <c r="F260" s="149">
        <f>IF($K260="","",IF($K260&lt;=3000,INDEX(出库明细!$F$4:$F$3003,$K260),""))</f>
      </c>
      <c r="G260" s="186">
        <f>IF($K260="","",IF($K260&lt;=3000,N(INDEX(出库明细!$G$4:$G$3003,$K260)),""))</f>
      </c>
      <c r="H260" s="186">
        <f>IF($K260="","",IF($K260&lt;=3000,"",INDEX(资金台帐!$S$7:$S$3006,$K260-3000)))</f>
      </c>
      <c r="I260" s="187">
        <f>IF($K260="","",I259+N(G260)-N(H260))</f>
      </c>
      <c r="J260" s="213">
        <f>IF($K260="","",IF($K260&lt;=3000,INDEX(出库明细!$H$4:$H$3003,$K260)&amp;"",INDEX(资金台帐!$E$7:$E$3006,$K260-3000)&amp;""))</f>
      </c>
      <c r="K260" s="78">
        <f>IFERROR(MATCH(SMALL(_辅助!$F$4:$F$6003,221),_辅助!$F$4:$F$6003,0),"")</f>
      </c>
    </row>
    <row r="261">
      <c r="A261" s="141">
        <f>IF($K261="","",222)</f>
      </c>
      <c r="B261" s="140">
        <f>IF($K261="","",IF($K261&lt;=3000,INDEX(出库明细!$B$4:$B$3003,$K261),INDEX(资金台帐!$B$7:$B$3006,$K261-3000)))</f>
      </c>
      <c r="C261" s="141">
        <f>IF($K261="","",IF($K261&lt;=3000,"出库领用",IF(INDEX(资金台帐!$S$7:$S$3006,$K261-3000)&gt;=0,"收款","退款")&amp;"（"&amp;INDEX(资金台帐!$C$7:$C$3006,$K261-3000)&amp;"）"))</f>
      </c>
      <c r="D261" s="141">
        <f>IF($K261="","",IF($K261&lt;=3000,INDEX(出库明细!$D$4:$D$3003,$K261)&amp;"",""))</f>
      </c>
      <c r="E261" s="148">
        <f>IF($K261="","",IF($K261&lt;=3000,INDEX(出库明细!$E$4:$E$3003,$K261),""))</f>
      </c>
      <c r="F261" s="149">
        <f>IF($K261="","",IF($K261&lt;=3000,INDEX(出库明细!$F$4:$F$3003,$K261),""))</f>
      </c>
      <c r="G261" s="186">
        <f>IF($K261="","",IF($K261&lt;=3000,N(INDEX(出库明细!$G$4:$G$3003,$K261)),""))</f>
      </c>
      <c r="H261" s="186">
        <f>IF($K261="","",IF($K261&lt;=3000,"",INDEX(资金台帐!$S$7:$S$3006,$K261-3000)))</f>
      </c>
      <c r="I261" s="187">
        <f>IF($K261="","",I260+N(G261)-N(H261))</f>
      </c>
      <c r="J261" s="213">
        <f>IF($K261="","",IF($K261&lt;=3000,INDEX(出库明细!$H$4:$H$3003,$K261)&amp;"",INDEX(资金台帐!$E$7:$E$3006,$K261-3000)&amp;""))</f>
      </c>
      <c r="K261" s="78">
        <f>IFERROR(MATCH(SMALL(_辅助!$F$4:$F$6003,222),_辅助!$F$4:$F$6003,0),"")</f>
      </c>
    </row>
    <row r="262">
      <c r="A262" s="141">
        <f>IF($K262="","",223)</f>
      </c>
      <c r="B262" s="140">
        <f>IF($K262="","",IF($K262&lt;=3000,INDEX(出库明细!$B$4:$B$3003,$K262),INDEX(资金台帐!$B$7:$B$3006,$K262-3000)))</f>
      </c>
      <c r="C262" s="141">
        <f>IF($K262="","",IF($K262&lt;=3000,"出库领用",IF(INDEX(资金台帐!$S$7:$S$3006,$K262-3000)&gt;=0,"收款","退款")&amp;"（"&amp;INDEX(资金台帐!$C$7:$C$3006,$K262-3000)&amp;"）"))</f>
      </c>
      <c r="D262" s="141">
        <f>IF($K262="","",IF($K262&lt;=3000,INDEX(出库明细!$D$4:$D$3003,$K262)&amp;"",""))</f>
      </c>
      <c r="E262" s="148">
        <f>IF($K262="","",IF($K262&lt;=3000,INDEX(出库明细!$E$4:$E$3003,$K262),""))</f>
      </c>
      <c r="F262" s="149">
        <f>IF($K262="","",IF($K262&lt;=3000,INDEX(出库明细!$F$4:$F$3003,$K262),""))</f>
      </c>
      <c r="G262" s="186">
        <f>IF($K262="","",IF($K262&lt;=3000,N(INDEX(出库明细!$G$4:$G$3003,$K262)),""))</f>
      </c>
      <c r="H262" s="186">
        <f>IF($K262="","",IF($K262&lt;=3000,"",INDEX(资金台帐!$S$7:$S$3006,$K262-3000)))</f>
      </c>
      <c r="I262" s="187">
        <f>IF($K262="","",I261+N(G262)-N(H262))</f>
      </c>
      <c r="J262" s="213">
        <f>IF($K262="","",IF($K262&lt;=3000,INDEX(出库明细!$H$4:$H$3003,$K262)&amp;"",INDEX(资金台帐!$E$7:$E$3006,$K262-3000)&amp;""))</f>
      </c>
      <c r="K262" s="78">
        <f>IFERROR(MATCH(SMALL(_辅助!$F$4:$F$6003,223),_辅助!$F$4:$F$6003,0),"")</f>
      </c>
    </row>
    <row r="263">
      <c r="A263" s="141">
        <f>IF($K263="","",224)</f>
      </c>
      <c r="B263" s="140">
        <f>IF($K263="","",IF($K263&lt;=3000,INDEX(出库明细!$B$4:$B$3003,$K263),INDEX(资金台帐!$B$7:$B$3006,$K263-3000)))</f>
      </c>
      <c r="C263" s="141">
        <f>IF($K263="","",IF($K263&lt;=3000,"出库领用",IF(INDEX(资金台帐!$S$7:$S$3006,$K263-3000)&gt;=0,"收款","退款")&amp;"（"&amp;INDEX(资金台帐!$C$7:$C$3006,$K263-3000)&amp;"）"))</f>
      </c>
      <c r="D263" s="141">
        <f>IF($K263="","",IF($K263&lt;=3000,INDEX(出库明细!$D$4:$D$3003,$K263)&amp;"",""))</f>
      </c>
      <c r="E263" s="148">
        <f>IF($K263="","",IF($K263&lt;=3000,INDEX(出库明细!$E$4:$E$3003,$K263),""))</f>
      </c>
      <c r="F263" s="149">
        <f>IF($K263="","",IF($K263&lt;=3000,INDEX(出库明细!$F$4:$F$3003,$K263),""))</f>
      </c>
      <c r="G263" s="186">
        <f>IF($K263="","",IF($K263&lt;=3000,N(INDEX(出库明细!$G$4:$G$3003,$K263)),""))</f>
      </c>
      <c r="H263" s="186">
        <f>IF($K263="","",IF($K263&lt;=3000,"",INDEX(资金台帐!$S$7:$S$3006,$K263-3000)))</f>
      </c>
      <c r="I263" s="187">
        <f>IF($K263="","",I262+N(G263)-N(H263))</f>
      </c>
      <c r="J263" s="213">
        <f>IF($K263="","",IF($K263&lt;=3000,INDEX(出库明细!$H$4:$H$3003,$K263)&amp;"",INDEX(资金台帐!$E$7:$E$3006,$K263-3000)&amp;""))</f>
      </c>
      <c r="K263" s="78">
        <f>IFERROR(MATCH(SMALL(_辅助!$F$4:$F$6003,224),_辅助!$F$4:$F$6003,0),"")</f>
      </c>
    </row>
    <row r="264">
      <c r="A264" s="141">
        <f>IF($K264="","",225)</f>
      </c>
      <c r="B264" s="140">
        <f>IF($K264="","",IF($K264&lt;=3000,INDEX(出库明细!$B$4:$B$3003,$K264),INDEX(资金台帐!$B$7:$B$3006,$K264-3000)))</f>
      </c>
      <c r="C264" s="141">
        <f>IF($K264="","",IF($K264&lt;=3000,"出库领用",IF(INDEX(资金台帐!$S$7:$S$3006,$K264-3000)&gt;=0,"收款","退款")&amp;"（"&amp;INDEX(资金台帐!$C$7:$C$3006,$K264-3000)&amp;"）"))</f>
      </c>
      <c r="D264" s="141">
        <f>IF($K264="","",IF($K264&lt;=3000,INDEX(出库明细!$D$4:$D$3003,$K264)&amp;"",""))</f>
      </c>
      <c r="E264" s="148">
        <f>IF($K264="","",IF($K264&lt;=3000,INDEX(出库明细!$E$4:$E$3003,$K264),""))</f>
      </c>
      <c r="F264" s="149">
        <f>IF($K264="","",IF($K264&lt;=3000,INDEX(出库明细!$F$4:$F$3003,$K264),""))</f>
      </c>
      <c r="G264" s="186">
        <f>IF($K264="","",IF($K264&lt;=3000,N(INDEX(出库明细!$G$4:$G$3003,$K264)),""))</f>
      </c>
      <c r="H264" s="186">
        <f>IF($K264="","",IF($K264&lt;=3000,"",INDEX(资金台帐!$S$7:$S$3006,$K264-3000)))</f>
      </c>
      <c r="I264" s="187">
        <f>IF($K264="","",I263+N(G264)-N(H264))</f>
      </c>
      <c r="J264" s="213">
        <f>IF($K264="","",IF($K264&lt;=3000,INDEX(出库明细!$H$4:$H$3003,$K264)&amp;"",INDEX(资金台帐!$E$7:$E$3006,$K264-3000)&amp;""))</f>
      </c>
      <c r="K264" s="78">
        <f>IFERROR(MATCH(SMALL(_辅助!$F$4:$F$6003,225),_辅助!$F$4:$F$6003,0),"")</f>
      </c>
    </row>
    <row r="265">
      <c r="A265" s="141">
        <f>IF($K265="","",226)</f>
      </c>
      <c r="B265" s="140">
        <f>IF($K265="","",IF($K265&lt;=3000,INDEX(出库明细!$B$4:$B$3003,$K265),INDEX(资金台帐!$B$7:$B$3006,$K265-3000)))</f>
      </c>
      <c r="C265" s="141">
        <f>IF($K265="","",IF($K265&lt;=3000,"出库领用",IF(INDEX(资金台帐!$S$7:$S$3006,$K265-3000)&gt;=0,"收款","退款")&amp;"（"&amp;INDEX(资金台帐!$C$7:$C$3006,$K265-3000)&amp;"）"))</f>
      </c>
      <c r="D265" s="141">
        <f>IF($K265="","",IF($K265&lt;=3000,INDEX(出库明细!$D$4:$D$3003,$K265)&amp;"",""))</f>
      </c>
      <c r="E265" s="148">
        <f>IF($K265="","",IF($K265&lt;=3000,INDEX(出库明细!$E$4:$E$3003,$K265),""))</f>
      </c>
      <c r="F265" s="149">
        <f>IF($K265="","",IF($K265&lt;=3000,INDEX(出库明细!$F$4:$F$3003,$K265),""))</f>
      </c>
      <c r="G265" s="186">
        <f>IF($K265="","",IF($K265&lt;=3000,N(INDEX(出库明细!$G$4:$G$3003,$K265)),""))</f>
      </c>
      <c r="H265" s="186">
        <f>IF($K265="","",IF($K265&lt;=3000,"",INDEX(资金台帐!$S$7:$S$3006,$K265-3000)))</f>
      </c>
      <c r="I265" s="187">
        <f>IF($K265="","",I264+N(G265)-N(H265))</f>
      </c>
      <c r="J265" s="213">
        <f>IF($K265="","",IF($K265&lt;=3000,INDEX(出库明细!$H$4:$H$3003,$K265)&amp;"",INDEX(资金台帐!$E$7:$E$3006,$K265-3000)&amp;""))</f>
      </c>
      <c r="K265" s="78">
        <f>IFERROR(MATCH(SMALL(_辅助!$F$4:$F$6003,226),_辅助!$F$4:$F$6003,0),"")</f>
      </c>
    </row>
    <row r="266">
      <c r="A266" s="141">
        <f>IF($K266="","",227)</f>
      </c>
      <c r="B266" s="140">
        <f>IF($K266="","",IF($K266&lt;=3000,INDEX(出库明细!$B$4:$B$3003,$K266),INDEX(资金台帐!$B$7:$B$3006,$K266-3000)))</f>
      </c>
      <c r="C266" s="141">
        <f>IF($K266="","",IF($K266&lt;=3000,"出库领用",IF(INDEX(资金台帐!$S$7:$S$3006,$K266-3000)&gt;=0,"收款","退款")&amp;"（"&amp;INDEX(资金台帐!$C$7:$C$3006,$K266-3000)&amp;"）"))</f>
      </c>
      <c r="D266" s="141">
        <f>IF($K266="","",IF($K266&lt;=3000,INDEX(出库明细!$D$4:$D$3003,$K266)&amp;"",""))</f>
      </c>
      <c r="E266" s="148">
        <f>IF($K266="","",IF($K266&lt;=3000,INDEX(出库明细!$E$4:$E$3003,$K266),""))</f>
      </c>
      <c r="F266" s="149">
        <f>IF($K266="","",IF($K266&lt;=3000,INDEX(出库明细!$F$4:$F$3003,$K266),""))</f>
      </c>
      <c r="G266" s="186">
        <f>IF($K266="","",IF($K266&lt;=3000,N(INDEX(出库明细!$G$4:$G$3003,$K266)),""))</f>
      </c>
      <c r="H266" s="186">
        <f>IF($K266="","",IF($K266&lt;=3000,"",INDEX(资金台帐!$S$7:$S$3006,$K266-3000)))</f>
      </c>
      <c r="I266" s="187">
        <f>IF($K266="","",I265+N(G266)-N(H266))</f>
      </c>
      <c r="J266" s="213">
        <f>IF($K266="","",IF($K266&lt;=3000,INDEX(出库明细!$H$4:$H$3003,$K266)&amp;"",INDEX(资金台帐!$E$7:$E$3006,$K266-3000)&amp;""))</f>
      </c>
      <c r="K266" s="78">
        <f>IFERROR(MATCH(SMALL(_辅助!$F$4:$F$6003,227),_辅助!$F$4:$F$6003,0),"")</f>
      </c>
    </row>
    <row r="267">
      <c r="A267" s="141">
        <f>IF($K267="","",228)</f>
      </c>
      <c r="B267" s="140">
        <f>IF($K267="","",IF($K267&lt;=3000,INDEX(出库明细!$B$4:$B$3003,$K267),INDEX(资金台帐!$B$7:$B$3006,$K267-3000)))</f>
      </c>
      <c r="C267" s="141">
        <f>IF($K267="","",IF($K267&lt;=3000,"出库领用",IF(INDEX(资金台帐!$S$7:$S$3006,$K267-3000)&gt;=0,"收款","退款")&amp;"（"&amp;INDEX(资金台帐!$C$7:$C$3006,$K267-3000)&amp;"）"))</f>
      </c>
      <c r="D267" s="141">
        <f>IF($K267="","",IF($K267&lt;=3000,INDEX(出库明细!$D$4:$D$3003,$K267)&amp;"",""))</f>
      </c>
      <c r="E267" s="148">
        <f>IF($K267="","",IF($K267&lt;=3000,INDEX(出库明细!$E$4:$E$3003,$K267),""))</f>
      </c>
      <c r="F267" s="149">
        <f>IF($K267="","",IF($K267&lt;=3000,INDEX(出库明细!$F$4:$F$3003,$K267),""))</f>
      </c>
      <c r="G267" s="186">
        <f>IF($K267="","",IF($K267&lt;=3000,N(INDEX(出库明细!$G$4:$G$3003,$K267)),""))</f>
      </c>
      <c r="H267" s="186">
        <f>IF($K267="","",IF($K267&lt;=3000,"",INDEX(资金台帐!$S$7:$S$3006,$K267-3000)))</f>
      </c>
      <c r="I267" s="187">
        <f>IF($K267="","",I266+N(G267)-N(H267))</f>
      </c>
      <c r="J267" s="213">
        <f>IF($K267="","",IF($K267&lt;=3000,INDEX(出库明细!$H$4:$H$3003,$K267)&amp;"",INDEX(资金台帐!$E$7:$E$3006,$K267-3000)&amp;""))</f>
      </c>
      <c r="K267" s="78">
        <f>IFERROR(MATCH(SMALL(_辅助!$F$4:$F$6003,228),_辅助!$F$4:$F$6003,0),"")</f>
      </c>
    </row>
    <row r="268">
      <c r="A268" s="141">
        <f>IF($K268="","",229)</f>
      </c>
      <c r="B268" s="140">
        <f>IF($K268="","",IF($K268&lt;=3000,INDEX(出库明细!$B$4:$B$3003,$K268),INDEX(资金台帐!$B$7:$B$3006,$K268-3000)))</f>
      </c>
      <c r="C268" s="141">
        <f>IF($K268="","",IF($K268&lt;=3000,"出库领用",IF(INDEX(资金台帐!$S$7:$S$3006,$K268-3000)&gt;=0,"收款","退款")&amp;"（"&amp;INDEX(资金台帐!$C$7:$C$3006,$K268-3000)&amp;"）"))</f>
      </c>
      <c r="D268" s="141">
        <f>IF($K268="","",IF($K268&lt;=3000,INDEX(出库明细!$D$4:$D$3003,$K268)&amp;"",""))</f>
      </c>
      <c r="E268" s="148">
        <f>IF($K268="","",IF($K268&lt;=3000,INDEX(出库明细!$E$4:$E$3003,$K268),""))</f>
      </c>
      <c r="F268" s="149">
        <f>IF($K268="","",IF($K268&lt;=3000,INDEX(出库明细!$F$4:$F$3003,$K268),""))</f>
      </c>
      <c r="G268" s="186">
        <f>IF($K268="","",IF($K268&lt;=3000,N(INDEX(出库明细!$G$4:$G$3003,$K268)),""))</f>
      </c>
      <c r="H268" s="186">
        <f>IF($K268="","",IF($K268&lt;=3000,"",INDEX(资金台帐!$S$7:$S$3006,$K268-3000)))</f>
      </c>
      <c r="I268" s="187">
        <f>IF($K268="","",I267+N(G268)-N(H268))</f>
      </c>
      <c r="J268" s="213">
        <f>IF($K268="","",IF($K268&lt;=3000,INDEX(出库明细!$H$4:$H$3003,$K268)&amp;"",INDEX(资金台帐!$E$7:$E$3006,$K268-3000)&amp;""))</f>
      </c>
      <c r="K268" s="78">
        <f>IFERROR(MATCH(SMALL(_辅助!$F$4:$F$6003,229),_辅助!$F$4:$F$6003,0),"")</f>
      </c>
    </row>
    <row r="269">
      <c r="A269" s="141">
        <f>IF($K269="","",230)</f>
      </c>
      <c r="B269" s="140">
        <f>IF($K269="","",IF($K269&lt;=3000,INDEX(出库明细!$B$4:$B$3003,$K269),INDEX(资金台帐!$B$7:$B$3006,$K269-3000)))</f>
      </c>
      <c r="C269" s="141">
        <f>IF($K269="","",IF($K269&lt;=3000,"出库领用",IF(INDEX(资金台帐!$S$7:$S$3006,$K269-3000)&gt;=0,"收款","退款")&amp;"（"&amp;INDEX(资金台帐!$C$7:$C$3006,$K269-3000)&amp;"）"))</f>
      </c>
      <c r="D269" s="141">
        <f>IF($K269="","",IF($K269&lt;=3000,INDEX(出库明细!$D$4:$D$3003,$K269)&amp;"",""))</f>
      </c>
      <c r="E269" s="148">
        <f>IF($K269="","",IF($K269&lt;=3000,INDEX(出库明细!$E$4:$E$3003,$K269),""))</f>
      </c>
      <c r="F269" s="149">
        <f>IF($K269="","",IF($K269&lt;=3000,INDEX(出库明细!$F$4:$F$3003,$K269),""))</f>
      </c>
      <c r="G269" s="186">
        <f>IF($K269="","",IF($K269&lt;=3000,N(INDEX(出库明细!$G$4:$G$3003,$K269)),""))</f>
      </c>
      <c r="H269" s="186">
        <f>IF($K269="","",IF($K269&lt;=3000,"",INDEX(资金台帐!$S$7:$S$3006,$K269-3000)))</f>
      </c>
      <c r="I269" s="187">
        <f>IF($K269="","",I268+N(G269)-N(H269))</f>
      </c>
      <c r="J269" s="213">
        <f>IF($K269="","",IF($K269&lt;=3000,INDEX(出库明细!$H$4:$H$3003,$K269)&amp;"",INDEX(资金台帐!$E$7:$E$3006,$K269-3000)&amp;""))</f>
      </c>
      <c r="K269" s="78">
        <f>IFERROR(MATCH(SMALL(_辅助!$F$4:$F$6003,230),_辅助!$F$4:$F$6003,0),"")</f>
      </c>
    </row>
    <row r="270">
      <c r="A270" s="141">
        <f>IF($K270="","",231)</f>
      </c>
      <c r="B270" s="140">
        <f>IF($K270="","",IF($K270&lt;=3000,INDEX(出库明细!$B$4:$B$3003,$K270),INDEX(资金台帐!$B$7:$B$3006,$K270-3000)))</f>
      </c>
      <c r="C270" s="141">
        <f>IF($K270="","",IF($K270&lt;=3000,"出库领用",IF(INDEX(资金台帐!$S$7:$S$3006,$K270-3000)&gt;=0,"收款","退款")&amp;"（"&amp;INDEX(资金台帐!$C$7:$C$3006,$K270-3000)&amp;"）"))</f>
      </c>
      <c r="D270" s="141">
        <f>IF($K270="","",IF($K270&lt;=3000,INDEX(出库明细!$D$4:$D$3003,$K270)&amp;"",""))</f>
      </c>
      <c r="E270" s="148">
        <f>IF($K270="","",IF($K270&lt;=3000,INDEX(出库明细!$E$4:$E$3003,$K270),""))</f>
      </c>
      <c r="F270" s="149">
        <f>IF($K270="","",IF($K270&lt;=3000,INDEX(出库明细!$F$4:$F$3003,$K270),""))</f>
      </c>
      <c r="G270" s="186">
        <f>IF($K270="","",IF($K270&lt;=3000,N(INDEX(出库明细!$G$4:$G$3003,$K270)),""))</f>
      </c>
      <c r="H270" s="186">
        <f>IF($K270="","",IF($K270&lt;=3000,"",INDEX(资金台帐!$S$7:$S$3006,$K270-3000)))</f>
      </c>
      <c r="I270" s="187">
        <f>IF($K270="","",I269+N(G270)-N(H270))</f>
      </c>
      <c r="J270" s="213">
        <f>IF($K270="","",IF($K270&lt;=3000,INDEX(出库明细!$H$4:$H$3003,$K270)&amp;"",INDEX(资金台帐!$E$7:$E$3006,$K270-3000)&amp;""))</f>
      </c>
      <c r="K270" s="78">
        <f>IFERROR(MATCH(SMALL(_辅助!$F$4:$F$6003,231),_辅助!$F$4:$F$6003,0),"")</f>
      </c>
    </row>
    <row r="271">
      <c r="A271" s="141">
        <f>IF($K271="","",232)</f>
      </c>
      <c r="B271" s="140">
        <f>IF($K271="","",IF($K271&lt;=3000,INDEX(出库明细!$B$4:$B$3003,$K271),INDEX(资金台帐!$B$7:$B$3006,$K271-3000)))</f>
      </c>
      <c r="C271" s="141">
        <f>IF($K271="","",IF($K271&lt;=3000,"出库领用",IF(INDEX(资金台帐!$S$7:$S$3006,$K271-3000)&gt;=0,"收款","退款")&amp;"（"&amp;INDEX(资金台帐!$C$7:$C$3006,$K271-3000)&amp;"）"))</f>
      </c>
      <c r="D271" s="141">
        <f>IF($K271="","",IF($K271&lt;=3000,INDEX(出库明细!$D$4:$D$3003,$K271)&amp;"",""))</f>
      </c>
      <c r="E271" s="148">
        <f>IF($K271="","",IF($K271&lt;=3000,INDEX(出库明细!$E$4:$E$3003,$K271),""))</f>
      </c>
      <c r="F271" s="149">
        <f>IF($K271="","",IF($K271&lt;=3000,INDEX(出库明细!$F$4:$F$3003,$K271),""))</f>
      </c>
      <c r="G271" s="186">
        <f>IF($K271="","",IF($K271&lt;=3000,N(INDEX(出库明细!$G$4:$G$3003,$K271)),""))</f>
      </c>
      <c r="H271" s="186">
        <f>IF($K271="","",IF($K271&lt;=3000,"",INDEX(资金台帐!$S$7:$S$3006,$K271-3000)))</f>
      </c>
      <c r="I271" s="187">
        <f>IF($K271="","",I270+N(G271)-N(H271))</f>
      </c>
      <c r="J271" s="213">
        <f>IF($K271="","",IF($K271&lt;=3000,INDEX(出库明细!$H$4:$H$3003,$K271)&amp;"",INDEX(资金台帐!$E$7:$E$3006,$K271-3000)&amp;""))</f>
      </c>
      <c r="K271" s="78">
        <f>IFERROR(MATCH(SMALL(_辅助!$F$4:$F$6003,232),_辅助!$F$4:$F$6003,0),"")</f>
      </c>
    </row>
    <row r="272">
      <c r="A272" s="141">
        <f>IF($K272="","",233)</f>
      </c>
      <c r="B272" s="140">
        <f>IF($K272="","",IF($K272&lt;=3000,INDEX(出库明细!$B$4:$B$3003,$K272),INDEX(资金台帐!$B$7:$B$3006,$K272-3000)))</f>
      </c>
      <c r="C272" s="141">
        <f>IF($K272="","",IF($K272&lt;=3000,"出库领用",IF(INDEX(资金台帐!$S$7:$S$3006,$K272-3000)&gt;=0,"收款","退款")&amp;"（"&amp;INDEX(资金台帐!$C$7:$C$3006,$K272-3000)&amp;"）"))</f>
      </c>
      <c r="D272" s="141">
        <f>IF($K272="","",IF($K272&lt;=3000,INDEX(出库明细!$D$4:$D$3003,$K272)&amp;"",""))</f>
      </c>
      <c r="E272" s="148">
        <f>IF($K272="","",IF($K272&lt;=3000,INDEX(出库明细!$E$4:$E$3003,$K272),""))</f>
      </c>
      <c r="F272" s="149">
        <f>IF($K272="","",IF($K272&lt;=3000,INDEX(出库明细!$F$4:$F$3003,$K272),""))</f>
      </c>
      <c r="G272" s="186">
        <f>IF($K272="","",IF($K272&lt;=3000,N(INDEX(出库明细!$G$4:$G$3003,$K272)),""))</f>
      </c>
      <c r="H272" s="186">
        <f>IF($K272="","",IF($K272&lt;=3000,"",INDEX(资金台帐!$S$7:$S$3006,$K272-3000)))</f>
      </c>
      <c r="I272" s="187">
        <f>IF($K272="","",I271+N(G272)-N(H272))</f>
      </c>
      <c r="J272" s="213">
        <f>IF($K272="","",IF($K272&lt;=3000,INDEX(出库明细!$H$4:$H$3003,$K272)&amp;"",INDEX(资金台帐!$E$7:$E$3006,$K272-3000)&amp;""))</f>
      </c>
      <c r="K272" s="78">
        <f>IFERROR(MATCH(SMALL(_辅助!$F$4:$F$6003,233),_辅助!$F$4:$F$6003,0),"")</f>
      </c>
    </row>
    <row r="273">
      <c r="A273" s="141">
        <f>IF($K273="","",234)</f>
      </c>
      <c r="B273" s="140">
        <f>IF($K273="","",IF($K273&lt;=3000,INDEX(出库明细!$B$4:$B$3003,$K273),INDEX(资金台帐!$B$7:$B$3006,$K273-3000)))</f>
      </c>
      <c r="C273" s="141">
        <f>IF($K273="","",IF($K273&lt;=3000,"出库领用",IF(INDEX(资金台帐!$S$7:$S$3006,$K273-3000)&gt;=0,"收款","退款")&amp;"（"&amp;INDEX(资金台帐!$C$7:$C$3006,$K273-3000)&amp;"）"))</f>
      </c>
      <c r="D273" s="141">
        <f>IF($K273="","",IF($K273&lt;=3000,INDEX(出库明细!$D$4:$D$3003,$K273)&amp;"",""))</f>
      </c>
      <c r="E273" s="148">
        <f>IF($K273="","",IF($K273&lt;=3000,INDEX(出库明细!$E$4:$E$3003,$K273),""))</f>
      </c>
      <c r="F273" s="149">
        <f>IF($K273="","",IF($K273&lt;=3000,INDEX(出库明细!$F$4:$F$3003,$K273),""))</f>
      </c>
      <c r="G273" s="186">
        <f>IF($K273="","",IF($K273&lt;=3000,N(INDEX(出库明细!$G$4:$G$3003,$K273)),""))</f>
      </c>
      <c r="H273" s="186">
        <f>IF($K273="","",IF($K273&lt;=3000,"",INDEX(资金台帐!$S$7:$S$3006,$K273-3000)))</f>
      </c>
      <c r="I273" s="187">
        <f>IF($K273="","",I272+N(G273)-N(H273))</f>
      </c>
      <c r="J273" s="213">
        <f>IF($K273="","",IF($K273&lt;=3000,INDEX(出库明细!$H$4:$H$3003,$K273)&amp;"",INDEX(资金台帐!$E$7:$E$3006,$K273-3000)&amp;""))</f>
      </c>
      <c r="K273" s="78">
        <f>IFERROR(MATCH(SMALL(_辅助!$F$4:$F$6003,234),_辅助!$F$4:$F$6003,0),"")</f>
      </c>
    </row>
    <row r="274">
      <c r="A274" s="141">
        <f>IF($K274="","",235)</f>
      </c>
      <c r="B274" s="140">
        <f>IF($K274="","",IF($K274&lt;=3000,INDEX(出库明细!$B$4:$B$3003,$K274),INDEX(资金台帐!$B$7:$B$3006,$K274-3000)))</f>
      </c>
      <c r="C274" s="141">
        <f>IF($K274="","",IF($K274&lt;=3000,"出库领用",IF(INDEX(资金台帐!$S$7:$S$3006,$K274-3000)&gt;=0,"收款","退款")&amp;"（"&amp;INDEX(资金台帐!$C$7:$C$3006,$K274-3000)&amp;"）"))</f>
      </c>
      <c r="D274" s="141">
        <f>IF($K274="","",IF($K274&lt;=3000,INDEX(出库明细!$D$4:$D$3003,$K274)&amp;"",""))</f>
      </c>
      <c r="E274" s="148">
        <f>IF($K274="","",IF($K274&lt;=3000,INDEX(出库明细!$E$4:$E$3003,$K274),""))</f>
      </c>
      <c r="F274" s="149">
        <f>IF($K274="","",IF($K274&lt;=3000,INDEX(出库明细!$F$4:$F$3003,$K274),""))</f>
      </c>
      <c r="G274" s="186">
        <f>IF($K274="","",IF($K274&lt;=3000,N(INDEX(出库明细!$G$4:$G$3003,$K274)),""))</f>
      </c>
      <c r="H274" s="186">
        <f>IF($K274="","",IF($K274&lt;=3000,"",INDEX(资金台帐!$S$7:$S$3006,$K274-3000)))</f>
      </c>
      <c r="I274" s="187">
        <f>IF($K274="","",I273+N(G274)-N(H274))</f>
      </c>
      <c r="J274" s="213">
        <f>IF($K274="","",IF($K274&lt;=3000,INDEX(出库明细!$H$4:$H$3003,$K274)&amp;"",INDEX(资金台帐!$E$7:$E$3006,$K274-3000)&amp;""))</f>
      </c>
      <c r="K274" s="78">
        <f>IFERROR(MATCH(SMALL(_辅助!$F$4:$F$6003,235),_辅助!$F$4:$F$6003,0),"")</f>
      </c>
    </row>
    <row r="275">
      <c r="A275" s="141">
        <f>IF($K275="","",236)</f>
      </c>
      <c r="B275" s="140">
        <f>IF($K275="","",IF($K275&lt;=3000,INDEX(出库明细!$B$4:$B$3003,$K275),INDEX(资金台帐!$B$7:$B$3006,$K275-3000)))</f>
      </c>
      <c r="C275" s="141">
        <f>IF($K275="","",IF($K275&lt;=3000,"出库领用",IF(INDEX(资金台帐!$S$7:$S$3006,$K275-3000)&gt;=0,"收款","退款")&amp;"（"&amp;INDEX(资金台帐!$C$7:$C$3006,$K275-3000)&amp;"）"))</f>
      </c>
      <c r="D275" s="141">
        <f>IF($K275="","",IF($K275&lt;=3000,INDEX(出库明细!$D$4:$D$3003,$K275)&amp;"",""))</f>
      </c>
      <c r="E275" s="148">
        <f>IF($K275="","",IF($K275&lt;=3000,INDEX(出库明细!$E$4:$E$3003,$K275),""))</f>
      </c>
      <c r="F275" s="149">
        <f>IF($K275="","",IF($K275&lt;=3000,INDEX(出库明细!$F$4:$F$3003,$K275),""))</f>
      </c>
      <c r="G275" s="186">
        <f>IF($K275="","",IF($K275&lt;=3000,N(INDEX(出库明细!$G$4:$G$3003,$K275)),""))</f>
      </c>
      <c r="H275" s="186">
        <f>IF($K275="","",IF($K275&lt;=3000,"",INDEX(资金台帐!$S$7:$S$3006,$K275-3000)))</f>
      </c>
      <c r="I275" s="187">
        <f>IF($K275="","",I274+N(G275)-N(H275))</f>
      </c>
      <c r="J275" s="213">
        <f>IF($K275="","",IF($K275&lt;=3000,INDEX(出库明细!$H$4:$H$3003,$K275)&amp;"",INDEX(资金台帐!$E$7:$E$3006,$K275-3000)&amp;""))</f>
      </c>
      <c r="K275" s="78">
        <f>IFERROR(MATCH(SMALL(_辅助!$F$4:$F$6003,236),_辅助!$F$4:$F$6003,0),"")</f>
      </c>
    </row>
    <row r="276">
      <c r="A276" s="141">
        <f>IF($K276="","",237)</f>
      </c>
      <c r="B276" s="140">
        <f>IF($K276="","",IF($K276&lt;=3000,INDEX(出库明细!$B$4:$B$3003,$K276),INDEX(资金台帐!$B$7:$B$3006,$K276-3000)))</f>
      </c>
      <c r="C276" s="141">
        <f>IF($K276="","",IF($K276&lt;=3000,"出库领用",IF(INDEX(资金台帐!$S$7:$S$3006,$K276-3000)&gt;=0,"收款","退款")&amp;"（"&amp;INDEX(资金台帐!$C$7:$C$3006,$K276-3000)&amp;"）"))</f>
      </c>
      <c r="D276" s="141">
        <f>IF($K276="","",IF($K276&lt;=3000,INDEX(出库明细!$D$4:$D$3003,$K276)&amp;"",""))</f>
      </c>
      <c r="E276" s="148">
        <f>IF($K276="","",IF($K276&lt;=3000,INDEX(出库明细!$E$4:$E$3003,$K276),""))</f>
      </c>
      <c r="F276" s="149">
        <f>IF($K276="","",IF($K276&lt;=3000,INDEX(出库明细!$F$4:$F$3003,$K276),""))</f>
      </c>
      <c r="G276" s="186">
        <f>IF($K276="","",IF($K276&lt;=3000,N(INDEX(出库明细!$G$4:$G$3003,$K276)),""))</f>
      </c>
      <c r="H276" s="186">
        <f>IF($K276="","",IF($K276&lt;=3000,"",INDEX(资金台帐!$S$7:$S$3006,$K276-3000)))</f>
      </c>
      <c r="I276" s="187">
        <f>IF($K276="","",I275+N(G276)-N(H276))</f>
      </c>
      <c r="J276" s="213">
        <f>IF($K276="","",IF($K276&lt;=3000,INDEX(出库明细!$H$4:$H$3003,$K276)&amp;"",INDEX(资金台帐!$E$7:$E$3006,$K276-3000)&amp;""))</f>
      </c>
      <c r="K276" s="78">
        <f>IFERROR(MATCH(SMALL(_辅助!$F$4:$F$6003,237),_辅助!$F$4:$F$6003,0),"")</f>
      </c>
    </row>
    <row r="277">
      <c r="A277" s="141">
        <f>IF($K277="","",238)</f>
      </c>
      <c r="B277" s="140">
        <f>IF($K277="","",IF($K277&lt;=3000,INDEX(出库明细!$B$4:$B$3003,$K277),INDEX(资金台帐!$B$7:$B$3006,$K277-3000)))</f>
      </c>
      <c r="C277" s="141">
        <f>IF($K277="","",IF($K277&lt;=3000,"出库领用",IF(INDEX(资金台帐!$S$7:$S$3006,$K277-3000)&gt;=0,"收款","退款")&amp;"（"&amp;INDEX(资金台帐!$C$7:$C$3006,$K277-3000)&amp;"）"))</f>
      </c>
      <c r="D277" s="141">
        <f>IF($K277="","",IF($K277&lt;=3000,INDEX(出库明细!$D$4:$D$3003,$K277)&amp;"",""))</f>
      </c>
      <c r="E277" s="148">
        <f>IF($K277="","",IF($K277&lt;=3000,INDEX(出库明细!$E$4:$E$3003,$K277),""))</f>
      </c>
      <c r="F277" s="149">
        <f>IF($K277="","",IF($K277&lt;=3000,INDEX(出库明细!$F$4:$F$3003,$K277),""))</f>
      </c>
      <c r="G277" s="186">
        <f>IF($K277="","",IF($K277&lt;=3000,N(INDEX(出库明细!$G$4:$G$3003,$K277)),""))</f>
      </c>
      <c r="H277" s="186">
        <f>IF($K277="","",IF($K277&lt;=3000,"",INDEX(资金台帐!$S$7:$S$3006,$K277-3000)))</f>
      </c>
      <c r="I277" s="187">
        <f>IF($K277="","",I276+N(G277)-N(H277))</f>
      </c>
      <c r="J277" s="213">
        <f>IF($K277="","",IF($K277&lt;=3000,INDEX(出库明细!$H$4:$H$3003,$K277)&amp;"",INDEX(资金台帐!$E$7:$E$3006,$K277-3000)&amp;""))</f>
      </c>
      <c r="K277" s="78">
        <f>IFERROR(MATCH(SMALL(_辅助!$F$4:$F$6003,238),_辅助!$F$4:$F$6003,0),"")</f>
      </c>
    </row>
    <row r="278">
      <c r="A278" s="141">
        <f>IF($K278="","",239)</f>
      </c>
      <c r="B278" s="140">
        <f>IF($K278="","",IF($K278&lt;=3000,INDEX(出库明细!$B$4:$B$3003,$K278),INDEX(资金台帐!$B$7:$B$3006,$K278-3000)))</f>
      </c>
      <c r="C278" s="141">
        <f>IF($K278="","",IF($K278&lt;=3000,"出库领用",IF(INDEX(资金台帐!$S$7:$S$3006,$K278-3000)&gt;=0,"收款","退款")&amp;"（"&amp;INDEX(资金台帐!$C$7:$C$3006,$K278-3000)&amp;"）"))</f>
      </c>
      <c r="D278" s="141">
        <f>IF($K278="","",IF($K278&lt;=3000,INDEX(出库明细!$D$4:$D$3003,$K278)&amp;"",""))</f>
      </c>
      <c r="E278" s="148">
        <f>IF($K278="","",IF($K278&lt;=3000,INDEX(出库明细!$E$4:$E$3003,$K278),""))</f>
      </c>
      <c r="F278" s="149">
        <f>IF($K278="","",IF($K278&lt;=3000,INDEX(出库明细!$F$4:$F$3003,$K278),""))</f>
      </c>
      <c r="G278" s="186">
        <f>IF($K278="","",IF($K278&lt;=3000,N(INDEX(出库明细!$G$4:$G$3003,$K278)),""))</f>
      </c>
      <c r="H278" s="186">
        <f>IF($K278="","",IF($K278&lt;=3000,"",INDEX(资金台帐!$S$7:$S$3006,$K278-3000)))</f>
      </c>
      <c r="I278" s="187">
        <f>IF($K278="","",I277+N(G278)-N(H278))</f>
      </c>
      <c r="J278" s="213">
        <f>IF($K278="","",IF($K278&lt;=3000,INDEX(出库明细!$H$4:$H$3003,$K278)&amp;"",INDEX(资金台帐!$E$7:$E$3006,$K278-3000)&amp;""))</f>
      </c>
      <c r="K278" s="78">
        <f>IFERROR(MATCH(SMALL(_辅助!$F$4:$F$6003,239),_辅助!$F$4:$F$6003,0),"")</f>
      </c>
    </row>
    <row r="279">
      <c r="A279" s="141">
        <f>IF($K279="","",240)</f>
      </c>
      <c r="B279" s="140">
        <f>IF($K279="","",IF($K279&lt;=3000,INDEX(出库明细!$B$4:$B$3003,$K279),INDEX(资金台帐!$B$7:$B$3006,$K279-3000)))</f>
      </c>
      <c r="C279" s="141">
        <f>IF($K279="","",IF($K279&lt;=3000,"出库领用",IF(INDEX(资金台帐!$S$7:$S$3006,$K279-3000)&gt;=0,"收款","退款")&amp;"（"&amp;INDEX(资金台帐!$C$7:$C$3006,$K279-3000)&amp;"）"))</f>
      </c>
      <c r="D279" s="141">
        <f>IF($K279="","",IF($K279&lt;=3000,INDEX(出库明细!$D$4:$D$3003,$K279)&amp;"",""))</f>
      </c>
      <c r="E279" s="148">
        <f>IF($K279="","",IF($K279&lt;=3000,INDEX(出库明细!$E$4:$E$3003,$K279),""))</f>
      </c>
      <c r="F279" s="149">
        <f>IF($K279="","",IF($K279&lt;=3000,INDEX(出库明细!$F$4:$F$3003,$K279),""))</f>
      </c>
      <c r="G279" s="186">
        <f>IF($K279="","",IF($K279&lt;=3000,N(INDEX(出库明细!$G$4:$G$3003,$K279)),""))</f>
      </c>
      <c r="H279" s="186">
        <f>IF($K279="","",IF($K279&lt;=3000,"",INDEX(资金台帐!$S$7:$S$3006,$K279-3000)))</f>
      </c>
      <c r="I279" s="187">
        <f>IF($K279="","",I278+N(G279)-N(H279))</f>
      </c>
      <c r="J279" s="213">
        <f>IF($K279="","",IF($K279&lt;=3000,INDEX(出库明细!$H$4:$H$3003,$K279)&amp;"",INDEX(资金台帐!$E$7:$E$3006,$K279-3000)&amp;""))</f>
      </c>
      <c r="K279" s="78">
        <f>IFERROR(MATCH(SMALL(_辅助!$F$4:$F$6003,240),_辅助!$F$4:$F$6003,0),"")</f>
      </c>
    </row>
    <row r="280">
      <c r="A280" s="141">
        <f>IF($K280="","",241)</f>
      </c>
      <c r="B280" s="140">
        <f>IF($K280="","",IF($K280&lt;=3000,INDEX(出库明细!$B$4:$B$3003,$K280),INDEX(资金台帐!$B$7:$B$3006,$K280-3000)))</f>
      </c>
      <c r="C280" s="141">
        <f>IF($K280="","",IF($K280&lt;=3000,"出库领用",IF(INDEX(资金台帐!$S$7:$S$3006,$K280-3000)&gt;=0,"收款","退款")&amp;"（"&amp;INDEX(资金台帐!$C$7:$C$3006,$K280-3000)&amp;"）"))</f>
      </c>
      <c r="D280" s="141">
        <f>IF($K280="","",IF($K280&lt;=3000,INDEX(出库明细!$D$4:$D$3003,$K280)&amp;"",""))</f>
      </c>
      <c r="E280" s="148">
        <f>IF($K280="","",IF($K280&lt;=3000,INDEX(出库明细!$E$4:$E$3003,$K280),""))</f>
      </c>
      <c r="F280" s="149">
        <f>IF($K280="","",IF($K280&lt;=3000,INDEX(出库明细!$F$4:$F$3003,$K280),""))</f>
      </c>
      <c r="G280" s="186">
        <f>IF($K280="","",IF($K280&lt;=3000,N(INDEX(出库明细!$G$4:$G$3003,$K280)),""))</f>
      </c>
      <c r="H280" s="186">
        <f>IF($K280="","",IF($K280&lt;=3000,"",INDEX(资金台帐!$S$7:$S$3006,$K280-3000)))</f>
      </c>
      <c r="I280" s="187">
        <f>IF($K280="","",I279+N(G280)-N(H280))</f>
      </c>
      <c r="J280" s="213">
        <f>IF($K280="","",IF($K280&lt;=3000,INDEX(出库明细!$H$4:$H$3003,$K280)&amp;"",INDEX(资金台帐!$E$7:$E$3006,$K280-3000)&amp;""))</f>
      </c>
      <c r="K280" s="78">
        <f>IFERROR(MATCH(SMALL(_辅助!$F$4:$F$6003,241),_辅助!$F$4:$F$6003,0),"")</f>
      </c>
    </row>
    <row r="281">
      <c r="A281" s="141">
        <f>IF($K281="","",242)</f>
      </c>
      <c r="B281" s="140">
        <f>IF($K281="","",IF($K281&lt;=3000,INDEX(出库明细!$B$4:$B$3003,$K281),INDEX(资金台帐!$B$7:$B$3006,$K281-3000)))</f>
      </c>
      <c r="C281" s="141">
        <f>IF($K281="","",IF($K281&lt;=3000,"出库领用",IF(INDEX(资金台帐!$S$7:$S$3006,$K281-3000)&gt;=0,"收款","退款")&amp;"（"&amp;INDEX(资金台帐!$C$7:$C$3006,$K281-3000)&amp;"）"))</f>
      </c>
      <c r="D281" s="141">
        <f>IF($K281="","",IF($K281&lt;=3000,INDEX(出库明细!$D$4:$D$3003,$K281)&amp;"",""))</f>
      </c>
      <c r="E281" s="148">
        <f>IF($K281="","",IF($K281&lt;=3000,INDEX(出库明细!$E$4:$E$3003,$K281),""))</f>
      </c>
      <c r="F281" s="149">
        <f>IF($K281="","",IF($K281&lt;=3000,INDEX(出库明细!$F$4:$F$3003,$K281),""))</f>
      </c>
      <c r="G281" s="186">
        <f>IF($K281="","",IF($K281&lt;=3000,N(INDEX(出库明细!$G$4:$G$3003,$K281)),""))</f>
      </c>
      <c r="H281" s="186">
        <f>IF($K281="","",IF($K281&lt;=3000,"",INDEX(资金台帐!$S$7:$S$3006,$K281-3000)))</f>
      </c>
      <c r="I281" s="187">
        <f>IF($K281="","",I280+N(G281)-N(H281))</f>
      </c>
      <c r="J281" s="213">
        <f>IF($K281="","",IF($K281&lt;=3000,INDEX(出库明细!$H$4:$H$3003,$K281)&amp;"",INDEX(资金台帐!$E$7:$E$3006,$K281-3000)&amp;""))</f>
      </c>
      <c r="K281" s="78">
        <f>IFERROR(MATCH(SMALL(_辅助!$F$4:$F$6003,242),_辅助!$F$4:$F$6003,0),"")</f>
      </c>
    </row>
    <row r="282">
      <c r="A282" s="141">
        <f>IF($K282="","",243)</f>
      </c>
      <c r="B282" s="140">
        <f>IF($K282="","",IF($K282&lt;=3000,INDEX(出库明细!$B$4:$B$3003,$K282),INDEX(资金台帐!$B$7:$B$3006,$K282-3000)))</f>
      </c>
      <c r="C282" s="141">
        <f>IF($K282="","",IF($K282&lt;=3000,"出库领用",IF(INDEX(资金台帐!$S$7:$S$3006,$K282-3000)&gt;=0,"收款","退款")&amp;"（"&amp;INDEX(资金台帐!$C$7:$C$3006,$K282-3000)&amp;"）"))</f>
      </c>
      <c r="D282" s="141">
        <f>IF($K282="","",IF($K282&lt;=3000,INDEX(出库明细!$D$4:$D$3003,$K282)&amp;"",""))</f>
      </c>
      <c r="E282" s="148">
        <f>IF($K282="","",IF($K282&lt;=3000,INDEX(出库明细!$E$4:$E$3003,$K282),""))</f>
      </c>
      <c r="F282" s="149">
        <f>IF($K282="","",IF($K282&lt;=3000,INDEX(出库明细!$F$4:$F$3003,$K282),""))</f>
      </c>
      <c r="G282" s="186">
        <f>IF($K282="","",IF($K282&lt;=3000,N(INDEX(出库明细!$G$4:$G$3003,$K282)),""))</f>
      </c>
      <c r="H282" s="186">
        <f>IF($K282="","",IF($K282&lt;=3000,"",INDEX(资金台帐!$S$7:$S$3006,$K282-3000)))</f>
      </c>
      <c r="I282" s="187">
        <f>IF($K282="","",I281+N(G282)-N(H282))</f>
      </c>
      <c r="J282" s="213">
        <f>IF($K282="","",IF($K282&lt;=3000,INDEX(出库明细!$H$4:$H$3003,$K282)&amp;"",INDEX(资金台帐!$E$7:$E$3006,$K282-3000)&amp;""))</f>
      </c>
      <c r="K282" s="78">
        <f>IFERROR(MATCH(SMALL(_辅助!$F$4:$F$6003,243),_辅助!$F$4:$F$6003,0),"")</f>
      </c>
    </row>
    <row r="283">
      <c r="A283" s="141">
        <f>IF($K283="","",244)</f>
      </c>
      <c r="B283" s="140">
        <f>IF($K283="","",IF($K283&lt;=3000,INDEX(出库明细!$B$4:$B$3003,$K283),INDEX(资金台帐!$B$7:$B$3006,$K283-3000)))</f>
      </c>
      <c r="C283" s="141">
        <f>IF($K283="","",IF($K283&lt;=3000,"出库领用",IF(INDEX(资金台帐!$S$7:$S$3006,$K283-3000)&gt;=0,"收款","退款")&amp;"（"&amp;INDEX(资金台帐!$C$7:$C$3006,$K283-3000)&amp;"）"))</f>
      </c>
      <c r="D283" s="141">
        <f>IF($K283="","",IF($K283&lt;=3000,INDEX(出库明细!$D$4:$D$3003,$K283)&amp;"",""))</f>
      </c>
      <c r="E283" s="148">
        <f>IF($K283="","",IF($K283&lt;=3000,INDEX(出库明细!$E$4:$E$3003,$K283),""))</f>
      </c>
      <c r="F283" s="149">
        <f>IF($K283="","",IF($K283&lt;=3000,INDEX(出库明细!$F$4:$F$3003,$K283),""))</f>
      </c>
      <c r="G283" s="186">
        <f>IF($K283="","",IF($K283&lt;=3000,N(INDEX(出库明细!$G$4:$G$3003,$K283)),""))</f>
      </c>
      <c r="H283" s="186">
        <f>IF($K283="","",IF($K283&lt;=3000,"",INDEX(资金台帐!$S$7:$S$3006,$K283-3000)))</f>
      </c>
      <c r="I283" s="187">
        <f>IF($K283="","",I282+N(G283)-N(H283))</f>
      </c>
      <c r="J283" s="213">
        <f>IF($K283="","",IF($K283&lt;=3000,INDEX(出库明细!$H$4:$H$3003,$K283)&amp;"",INDEX(资金台帐!$E$7:$E$3006,$K283-3000)&amp;""))</f>
      </c>
      <c r="K283" s="78">
        <f>IFERROR(MATCH(SMALL(_辅助!$F$4:$F$6003,244),_辅助!$F$4:$F$6003,0),"")</f>
      </c>
    </row>
    <row r="284">
      <c r="A284" s="141">
        <f>IF($K284="","",245)</f>
      </c>
      <c r="B284" s="140">
        <f>IF($K284="","",IF($K284&lt;=3000,INDEX(出库明细!$B$4:$B$3003,$K284),INDEX(资金台帐!$B$7:$B$3006,$K284-3000)))</f>
      </c>
      <c r="C284" s="141">
        <f>IF($K284="","",IF($K284&lt;=3000,"出库领用",IF(INDEX(资金台帐!$S$7:$S$3006,$K284-3000)&gt;=0,"收款","退款")&amp;"（"&amp;INDEX(资金台帐!$C$7:$C$3006,$K284-3000)&amp;"）"))</f>
      </c>
      <c r="D284" s="141">
        <f>IF($K284="","",IF($K284&lt;=3000,INDEX(出库明细!$D$4:$D$3003,$K284)&amp;"",""))</f>
      </c>
      <c r="E284" s="148">
        <f>IF($K284="","",IF($K284&lt;=3000,INDEX(出库明细!$E$4:$E$3003,$K284),""))</f>
      </c>
      <c r="F284" s="149">
        <f>IF($K284="","",IF($K284&lt;=3000,INDEX(出库明细!$F$4:$F$3003,$K284),""))</f>
      </c>
      <c r="G284" s="186">
        <f>IF($K284="","",IF($K284&lt;=3000,N(INDEX(出库明细!$G$4:$G$3003,$K284)),""))</f>
      </c>
      <c r="H284" s="186">
        <f>IF($K284="","",IF($K284&lt;=3000,"",INDEX(资金台帐!$S$7:$S$3006,$K284-3000)))</f>
      </c>
      <c r="I284" s="187">
        <f>IF($K284="","",I283+N(G284)-N(H284))</f>
      </c>
      <c r="J284" s="213">
        <f>IF($K284="","",IF($K284&lt;=3000,INDEX(出库明细!$H$4:$H$3003,$K284)&amp;"",INDEX(资金台帐!$E$7:$E$3006,$K284-3000)&amp;""))</f>
      </c>
      <c r="K284" s="78">
        <f>IFERROR(MATCH(SMALL(_辅助!$F$4:$F$6003,245),_辅助!$F$4:$F$6003,0),"")</f>
      </c>
    </row>
    <row r="285">
      <c r="A285" s="141">
        <f>IF($K285="","",246)</f>
      </c>
      <c r="B285" s="140">
        <f>IF($K285="","",IF($K285&lt;=3000,INDEX(出库明细!$B$4:$B$3003,$K285),INDEX(资金台帐!$B$7:$B$3006,$K285-3000)))</f>
      </c>
      <c r="C285" s="141">
        <f>IF($K285="","",IF($K285&lt;=3000,"出库领用",IF(INDEX(资金台帐!$S$7:$S$3006,$K285-3000)&gt;=0,"收款","退款")&amp;"（"&amp;INDEX(资金台帐!$C$7:$C$3006,$K285-3000)&amp;"）"))</f>
      </c>
      <c r="D285" s="141">
        <f>IF($K285="","",IF($K285&lt;=3000,INDEX(出库明细!$D$4:$D$3003,$K285)&amp;"",""))</f>
      </c>
      <c r="E285" s="148">
        <f>IF($K285="","",IF($K285&lt;=3000,INDEX(出库明细!$E$4:$E$3003,$K285),""))</f>
      </c>
      <c r="F285" s="149">
        <f>IF($K285="","",IF($K285&lt;=3000,INDEX(出库明细!$F$4:$F$3003,$K285),""))</f>
      </c>
      <c r="G285" s="186">
        <f>IF($K285="","",IF($K285&lt;=3000,N(INDEX(出库明细!$G$4:$G$3003,$K285)),""))</f>
      </c>
      <c r="H285" s="186">
        <f>IF($K285="","",IF($K285&lt;=3000,"",INDEX(资金台帐!$S$7:$S$3006,$K285-3000)))</f>
      </c>
      <c r="I285" s="187">
        <f>IF($K285="","",I284+N(G285)-N(H285))</f>
      </c>
      <c r="J285" s="213">
        <f>IF($K285="","",IF($K285&lt;=3000,INDEX(出库明细!$H$4:$H$3003,$K285)&amp;"",INDEX(资金台帐!$E$7:$E$3006,$K285-3000)&amp;""))</f>
      </c>
      <c r="K285" s="78">
        <f>IFERROR(MATCH(SMALL(_辅助!$F$4:$F$6003,246),_辅助!$F$4:$F$6003,0),"")</f>
      </c>
    </row>
    <row r="286">
      <c r="A286" s="141">
        <f>IF($K286="","",247)</f>
      </c>
      <c r="B286" s="140">
        <f>IF($K286="","",IF($K286&lt;=3000,INDEX(出库明细!$B$4:$B$3003,$K286),INDEX(资金台帐!$B$7:$B$3006,$K286-3000)))</f>
      </c>
      <c r="C286" s="141">
        <f>IF($K286="","",IF($K286&lt;=3000,"出库领用",IF(INDEX(资金台帐!$S$7:$S$3006,$K286-3000)&gt;=0,"收款","退款")&amp;"（"&amp;INDEX(资金台帐!$C$7:$C$3006,$K286-3000)&amp;"）"))</f>
      </c>
      <c r="D286" s="141">
        <f>IF($K286="","",IF($K286&lt;=3000,INDEX(出库明细!$D$4:$D$3003,$K286)&amp;"",""))</f>
      </c>
      <c r="E286" s="148">
        <f>IF($K286="","",IF($K286&lt;=3000,INDEX(出库明细!$E$4:$E$3003,$K286),""))</f>
      </c>
      <c r="F286" s="149">
        <f>IF($K286="","",IF($K286&lt;=3000,INDEX(出库明细!$F$4:$F$3003,$K286),""))</f>
      </c>
      <c r="G286" s="186">
        <f>IF($K286="","",IF($K286&lt;=3000,N(INDEX(出库明细!$G$4:$G$3003,$K286)),""))</f>
      </c>
      <c r="H286" s="186">
        <f>IF($K286="","",IF($K286&lt;=3000,"",INDEX(资金台帐!$S$7:$S$3006,$K286-3000)))</f>
      </c>
      <c r="I286" s="187">
        <f>IF($K286="","",I285+N(G286)-N(H286))</f>
      </c>
      <c r="J286" s="213">
        <f>IF($K286="","",IF($K286&lt;=3000,INDEX(出库明细!$H$4:$H$3003,$K286)&amp;"",INDEX(资金台帐!$E$7:$E$3006,$K286-3000)&amp;""))</f>
      </c>
      <c r="K286" s="78">
        <f>IFERROR(MATCH(SMALL(_辅助!$F$4:$F$6003,247),_辅助!$F$4:$F$6003,0),"")</f>
      </c>
    </row>
    <row r="287">
      <c r="A287" s="141">
        <f>IF($K287="","",248)</f>
      </c>
      <c r="B287" s="140">
        <f>IF($K287="","",IF($K287&lt;=3000,INDEX(出库明细!$B$4:$B$3003,$K287),INDEX(资金台帐!$B$7:$B$3006,$K287-3000)))</f>
      </c>
      <c r="C287" s="141">
        <f>IF($K287="","",IF($K287&lt;=3000,"出库领用",IF(INDEX(资金台帐!$S$7:$S$3006,$K287-3000)&gt;=0,"收款","退款")&amp;"（"&amp;INDEX(资金台帐!$C$7:$C$3006,$K287-3000)&amp;"）"))</f>
      </c>
      <c r="D287" s="141">
        <f>IF($K287="","",IF($K287&lt;=3000,INDEX(出库明细!$D$4:$D$3003,$K287)&amp;"",""))</f>
      </c>
      <c r="E287" s="148">
        <f>IF($K287="","",IF($K287&lt;=3000,INDEX(出库明细!$E$4:$E$3003,$K287),""))</f>
      </c>
      <c r="F287" s="149">
        <f>IF($K287="","",IF($K287&lt;=3000,INDEX(出库明细!$F$4:$F$3003,$K287),""))</f>
      </c>
      <c r="G287" s="186">
        <f>IF($K287="","",IF($K287&lt;=3000,N(INDEX(出库明细!$G$4:$G$3003,$K287)),""))</f>
      </c>
      <c r="H287" s="186">
        <f>IF($K287="","",IF($K287&lt;=3000,"",INDEX(资金台帐!$S$7:$S$3006,$K287-3000)))</f>
      </c>
      <c r="I287" s="187">
        <f>IF($K287="","",I286+N(G287)-N(H287))</f>
      </c>
      <c r="J287" s="213">
        <f>IF($K287="","",IF($K287&lt;=3000,INDEX(出库明细!$H$4:$H$3003,$K287)&amp;"",INDEX(资金台帐!$E$7:$E$3006,$K287-3000)&amp;""))</f>
      </c>
      <c r="K287" s="78">
        <f>IFERROR(MATCH(SMALL(_辅助!$F$4:$F$6003,248),_辅助!$F$4:$F$6003,0),"")</f>
      </c>
    </row>
    <row r="288">
      <c r="A288" s="141">
        <f>IF($K288="","",249)</f>
      </c>
      <c r="B288" s="140">
        <f>IF($K288="","",IF($K288&lt;=3000,INDEX(出库明细!$B$4:$B$3003,$K288),INDEX(资金台帐!$B$7:$B$3006,$K288-3000)))</f>
      </c>
      <c r="C288" s="141">
        <f>IF($K288="","",IF($K288&lt;=3000,"出库领用",IF(INDEX(资金台帐!$S$7:$S$3006,$K288-3000)&gt;=0,"收款","退款")&amp;"（"&amp;INDEX(资金台帐!$C$7:$C$3006,$K288-3000)&amp;"）"))</f>
      </c>
      <c r="D288" s="141">
        <f>IF($K288="","",IF($K288&lt;=3000,INDEX(出库明细!$D$4:$D$3003,$K288)&amp;"",""))</f>
      </c>
      <c r="E288" s="148">
        <f>IF($K288="","",IF($K288&lt;=3000,INDEX(出库明细!$E$4:$E$3003,$K288),""))</f>
      </c>
      <c r="F288" s="149">
        <f>IF($K288="","",IF($K288&lt;=3000,INDEX(出库明细!$F$4:$F$3003,$K288),""))</f>
      </c>
      <c r="G288" s="186">
        <f>IF($K288="","",IF($K288&lt;=3000,N(INDEX(出库明细!$G$4:$G$3003,$K288)),""))</f>
      </c>
      <c r="H288" s="186">
        <f>IF($K288="","",IF($K288&lt;=3000,"",INDEX(资金台帐!$S$7:$S$3006,$K288-3000)))</f>
      </c>
      <c r="I288" s="187">
        <f>IF($K288="","",I287+N(G288)-N(H288))</f>
      </c>
      <c r="J288" s="213">
        <f>IF($K288="","",IF($K288&lt;=3000,INDEX(出库明细!$H$4:$H$3003,$K288)&amp;"",INDEX(资金台帐!$E$7:$E$3006,$K288-3000)&amp;""))</f>
      </c>
      <c r="K288" s="78">
        <f>IFERROR(MATCH(SMALL(_辅助!$F$4:$F$6003,249),_辅助!$F$4:$F$6003,0),"")</f>
      </c>
    </row>
    <row r="289">
      <c r="A289" s="141">
        <f>IF($K289="","",250)</f>
      </c>
      <c r="B289" s="140">
        <f>IF($K289="","",IF($K289&lt;=3000,INDEX(出库明细!$B$4:$B$3003,$K289),INDEX(资金台帐!$B$7:$B$3006,$K289-3000)))</f>
      </c>
      <c r="C289" s="141">
        <f>IF($K289="","",IF($K289&lt;=3000,"出库领用",IF(INDEX(资金台帐!$S$7:$S$3006,$K289-3000)&gt;=0,"收款","退款")&amp;"（"&amp;INDEX(资金台帐!$C$7:$C$3006,$K289-3000)&amp;"）"))</f>
      </c>
      <c r="D289" s="141">
        <f>IF($K289="","",IF($K289&lt;=3000,INDEX(出库明细!$D$4:$D$3003,$K289)&amp;"",""))</f>
      </c>
      <c r="E289" s="148">
        <f>IF($K289="","",IF($K289&lt;=3000,INDEX(出库明细!$E$4:$E$3003,$K289),""))</f>
      </c>
      <c r="F289" s="149">
        <f>IF($K289="","",IF($K289&lt;=3000,INDEX(出库明细!$F$4:$F$3003,$K289),""))</f>
      </c>
      <c r="G289" s="186">
        <f>IF($K289="","",IF($K289&lt;=3000,N(INDEX(出库明细!$G$4:$G$3003,$K289)),""))</f>
      </c>
      <c r="H289" s="186">
        <f>IF($K289="","",IF($K289&lt;=3000,"",INDEX(资金台帐!$S$7:$S$3006,$K289-3000)))</f>
      </c>
      <c r="I289" s="187">
        <f>IF($K289="","",I288+N(G289)-N(H289))</f>
      </c>
      <c r="J289" s="213">
        <f>IF($K289="","",IF($K289&lt;=3000,INDEX(出库明细!$H$4:$H$3003,$K289)&amp;"",INDEX(资金台帐!$E$7:$E$3006,$K289-3000)&amp;""))</f>
      </c>
      <c r="K289" s="78">
        <f>IFERROR(MATCH(SMALL(_辅助!$F$4:$F$6003,250),_辅助!$F$4:$F$6003,0),"")</f>
      </c>
    </row>
    <row r="290">
      <c r="A290" s="141">
        <f>IF($K290="","",251)</f>
      </c>
      <c r="B290" s="140">
        <f>IF($K290="","",IF($K290&lt;=3000,INDEX(出库明细!$B$4:$B$3003,$K290),INDEX(资金台帐!$B$7:$B$3006,$K290-3000)))</f>
      </c>
      <c r="C290" s="141">
        <f>IF($K290="","",IF($K290&lt;=3000,"出库领用",IF(INDEX(资金台帐!$S$7:$S$3006,$K290-3000)&gt;=0,"收款","退款")&amp;"（"&amp;INDEX(资金台帐!$C$7:$C$3006,$K290-3000)&amp;"）"))</f>
      </c>
      <c r="D290" s="141">
        <f>IF($K290="","",IF($K290&lt;=3000,INDEX(出库明细!$D$4:$D$3003,$K290)&amp;"",""))</f>
      </c>
      <c r="E290" s="148">
        <f>IF($K290="","",IF($K290&lt;=3000,INDEX(出库明细!$E$4:$E$3003,$K290),""))</f>
      </c>
      <c r="F290" s="149">
        <f>IF($K290="","",IF($K290&lt;=3000,INDEX(出库明细!$F$4:$F$3003,$K290),""))</f>
      </c>
      <c r="G290" s="186">
        <f>IF($K290="","",IF($K290&lt;=3000,N(INDEX(出库明细!$G$4:$G$3003,$K290)),""))</f>
      </c>
      <c r="H290" s="186">
        <f>IF($K290="","",IF($K290&lt;=3000,"",INDEX(资金台帐!$S$7:$S$3006,$K290-3000)))</f>
      </c>
      <c r="I290" s="187">
        <f>IF($K290="","",I289+N(G290)-N(H290))</f>
      </c>
      <c r="J290" s="213">
        <f>IF($K290="","",IF($K290&lt;=3000,INDEX(出库明细!$H$4:$H$3003,$K290)&amp;"",INDEX(资金台帐!$E$7:$E$3006,$K290-3000)&amp;""))</f>
      </c>
      <c r="K290" s="78">
        <f>IFERROR(MATCH(SMALL(_辅助!$F$4:$F$6003,251),_辅助!$F$4:$F$6003,0),"")</f>
      </c>
    </row>
    <row r="291">
      <c r="A291" s="141">
        <f>IF($K291="","",252)</f>
      </c>
      <c r="B291" s="140">
        <f>IF($K291="","",IF($K291&lt;=3000,INDEX(出库明细!$B$4:$B$3003,$K291),INDEX(资金台帐!$B$7:$B$3006,$K291-3000)))</f>
      </c>
      <c r="C291" s="141">
        <f>IF($K291="","",IF($K291&lt;=3000,"出库领用",IF(INDEX(资金台帐!$S$7:$S$3006,$K291-3000)&gt;=0,"收款","退款")&amp;"（"&amp;INDEX(资金台帐!$C$7:$C$3006,$K291-3000)&amp;"）"))</f>
      </c>
      <c r="D291" s="141">
        <f>IF($K291="","",IF($K291&lt;=3000,INDEX(出库明细!$D$4:$D$3003,$K291)&amp;"",""))</f>
      </c>
      <c r="E291" s="148">
        <f>IF($K291="","",IF($K291&lt;=3000,INDEX(出库明细!$E$4:$E$3003,$K291),""))</f>
      </c>
      <c r="F291" s="149">
        <f>IF($K291="","",IF($K291&lt;=3000,INDEX(出库明细!$F$4:$F$3003,$K291),""))</f>
      </c>
      <c r="G291" s="186">
        <f>IF($K291="","",IF($K291&lt;=3000,N(INDEX(出库明细!$G$4:$G$3003,$K291)),""))</f>
      </c>
      <c r="H291" s="186">
        <f>IF($K291="","",IF($K291&lt;=3000,"",INDEX(资金台帐!$S$7:$S$3006,$K291-3000)))</f>
      </c>
      <c r="I291" s="187">
        <f>IF($K291="","",I290+N(G291)-N(H291))</f>
      </c>
      <c r="J291" s="213">
        <f>IF($K291="","",IF($K291&lt;=3000,INDEX(出库明细!$H$4:$H$3003,$K291)&amp;"",INDEX(资金台帐!$E$7:$E$3006,$K291-3000)&amp;""))</f>
      </c>
      <c r="K291" s="78">
        <f>IFERROR(MATCH(SMALL(_辅助!$F$4:$F$6003,252),_辅助!$F$4:$F$6003,0),"")</f>
      </c>
    </row>
    <row r="292">
      <c r="A292" s="141">
        <f>IF($K292="","",253)</f>
      </c>
      <c r="B292" s="140">
        <f>IF($K292="","",IF($K292&lt;=3000,INDEX(出库明细!$B$4:$B$3003,$K292),INDEX(资金台帐!$B$7:$B$3006,$K292-3000)))</f>
      </c>
      <c r="C292" s="141">
        <f>IF($K292="","",IF($K292&lt;=3000,"出库领用",IF(INDEX(资金台帐!$S$7:$S$3006,$K292-3000)&gt;=0,"收款","退款")&amp;"（"&amp;INDEX(资金台帐!$C$7:$C$3006,$K292-3000)&amp;"）"))</f>
      </c>
      <c r="D292" s="141">
        <f>IF($K292="","",IF($K292&lt;=3000,INDEX(出库明细!$D$4:$D$3003,$K292)&amp;"",""))</f>
      </c>
      <c r="E292" s="148">
        <f>IF($K292="","",IF($K292&lt;=3000,INDEX(出库明细!$E$4:$E$3003,$K292),""))</f>
      </c>
      <c r="F292" s="149">
        <f>IF($K292="","",IF($K292&lt;=3000,INDEX(出库明细!$F$4:$F$3003,$K292),""))</f>
      </c>
      <c r="G292" s="186">
        <f>IF($K292="","",IF($K292&lt;=3000,N(INDEX(出库明细!$G$4:$G$3003,$K292)),""))</f>
      </c>
      <c r="H292" s="186">
        <f>IF($K292="","",IF($K292&lt;=3000,"",INDEX(资金台帐!$S$7:$S$3006,$K292-3000)))</f>
      </c>
      <c r="I292" s="187">
        <f>IF($K292="","",I291+N(G292)-N(H292))</f>
      </c>
      <c r="J292" s="213">
        <f>IF($K292="","",IF($K292&lt;=3000,INDEX(出库明细!$H$4:$H$3003,$K292)&amp;"",INDEX(资金台帐!$E$7:$E$3006,$K292-3000)&amp;""))</f>
      </c>
      <c r="K292" s="78">
        <f>IFERROR(MATCH(SMALL(_辅助!$F$4:$F$6003,253),_辅助!$F$4:$F$6003,0),"")</f>
      </c>
    </row>
    <row r="293">
      <c r="A293" s="141">
        <f>IF($K293="","",254)</f>
      </c>
      <c r="B293" s="140">
        <f>IF($K293="","",IF($K293&lt;=3000,INDEX(出库明细!$B$4:$B$3003,$K293),INDEX(资金台帐!$B$7:$B$3006,$K293-3000)))</f>
      </c>
      <c r="C293" s="141">
        <f>IF($K293="","",IF($K293&lt;=3000,"出库领用",IF(INDEX(资金台帐!$S$7:$S$3006,$K293-3000)&gt;=0,"收款","退款")&amp;"（"&amp;INDEX(资金台帐!$C$7:$C$3006,$K293-3000)&amp;"）"))</f>
      </c>
      <c r="D293" s="141">
        <f>IF($K293="","",IF($K293&lt;=3000,INDEX(出库明细!$D$4:$D$3003,$K293)&amp;"",""))</f>
      </c>
      <c r="E293" s="148">
        <f>IF($K293="","",IF($K293&lt;=3000,INDEX(出库明细!$E$4:$E$3003,$K293),""))</f>
      </c>
      <c r="F293" s="149">
        <f>IF($K293="","",IF($K293&lt;=3000,INDEX(出库明细!$F$4:$F$3003,$K293),""))</f>
      </c>
      <c r="G293" s="186">
        <f>IF($K293="","",IF($K293&lt;=3000,N(INDEX(出库明细!$G$4:$G$3003,$K293)),""))</f>
      </c>
      <c r="H293" s="186">
        <f>IF($K293="","",IF($K293&lt;=3000,"",INDEX(资金台帐!$S$7:$S$3006,$K293-3000)))</f>
      </c>
      <c r="I293" s="187">
        <f>IF($K293="","",I292+N(G293)-N(H293))</f>
      </c>
      <c r="J293" s="213">
        <f>IF($K293="","",IF($K293&lt;=3000,INDEX(出库明细!$H$4:$H$3003,$K293)&amp;"",INDEX(资金台帐!$E$7:$E$3006,$K293-3000)&amp;""))</f>
      </c>
      <c r="K293" s="78">
        <f>IFERROR(MATCH(SMALL(_辅助!$F$4:$F$6003,254),_辅助!$F$4:$F$6003,0),"")</f>
      </c>
    </row>
    <row r="294">
      <c r="A294" s="141">
        <f>IF($K294="","",255)</f>
      </c>
      <c r="B294" s="140">
        <f>IF($K294="","",IF($K294&lt;=3000,INDEX(出库明细!$B$4:$B$3003,$K294),INDEX(资金台帐!$B$7:$B$3006,$K294-3000)))</f>
      </c>
      <c r="C294" s="141">
        <f>IF($K294="","",IF($K294&lt;=3000,"出库领用",IF(INDEX(资金台帐!$S$7:$S$3006,$K294-3000)&gt;=0,"收款","退款")&amp;"（"&amp;INDEX(资金台帐!$C$7:$C$3006,$K294-3000)&amp;"）"))</f>
      </c>
      <c r="D294" s="141">
        <f>IF($K294="","",IF($K294&lt;=3000,INDEX(出库明细!$D$4:$D$3003,$K294)&amp;"",""))</f>
      </c>
      <c r="E294" s="148">
        <f>IF($K294="","",IF($K294&lt;=3000,INDEX(出库明细!$E$4:$E$3003,$K294),""))</f>
      </c>
      <c r="F294" s="149">
        <f>IF($K294="","",IF($K294&lt;=3000,INDEX(出库明细!$F$4:$F$3003,$K294),""))</f>
      </c>
      <c r="G294" s="186">
        <f>IF($K294="","",IF($K294&lt;=3000,N(INDEX(出库明细!$G$4:$G$3003,$K294)),""))</f>
      </c>
      <c r="H294" s="186">
        <f>IF($K294="","",IF($K294&lt;=3000,"",INDEX(资金台帐!$S$7:$S$3006,$K294-3000)))</f>
      </c>
      <c r="I294" s="187">
        <f>IF($K294="","",I293+N(G294)-N(H294))</f>
      </c>
      <c r="J294" s="213">
        <f>IF($K294="","",IF($K294&lt;=3000,INDEX(出库明细!$H$4:$H$3003,$K294)&amp;"",INDEX(资金台帐!$E$7:$E$3006,$K294-3000)&amp;""))</f>
      </c>
      <c r="K294" s="78">
        <f>IFERROR(MATCH(SMALL(_辅助!$F$4:$F$6003,255),_辅助!$F$4:$F$6003,0),"")</f>
      </c>
    </row>
    <row r="295">
      <c r="A295" s="141">
        <f>IF($K295="","",256)</f>
      </c>
      <c r="B295" s="140">
        <f>IF($K295="","",IF($K295&lt;=3000,INDEX(出库明细!$B$4:$B$3003,$K295),INDEX(资金台帐!$B$7:$B$3006,$K295-3000)))</f>
      </c>
      <c r="C295" s="141">
        <f>IF($K295="","",IF($K295&lt;=3000,"出库领用",IF(INDEX(资金台帐!$S$7:$S$3006,$K295-3000)&gt;=0,"收款","退款")&amp;"（"&amp;INDEX(资金台帐!$C$7:$C$3006,$K295-3000)&amp;"）"))</f>
      </c>
      <c r="D295" s="141">
        <f>IF($K295="","",IF($K295&lt;=3000,INDEX(出库明细!$D$4:$D$3003,$K295)&amp;"",""))</f>
      </c>
      <c r="E295" s="148">
        <f>IF($K295="","",IF($K295&lt;=3000,INDEX(出库明细!$E$4:$E$3003,$K295),""))</f>
      </c>
      <c r="F295" s="149">
        <f>IF($K295="","",IF($K295&lt;=3000,INDEX(出库明细!$F$4:$F$3003,$K295),""))</f>
      </c>
      <c r="G295" s="186">
        <f>IF($K295="","",IF($K295&lt;=3000,N(INDEX(出库明细!$G$4:$G$3003,$K295)),""))</f>
      </c>
      <c r="H295" s="186">
        <f>IF($K295="","",IF($K295&lt;=3000,"",INDEX(资金台帐!$S$7:$S$3006,$K295-3000)))</f>
      </c>
      <c r="I295" s="187">
        <f>IF($K295="","",I294+N(G295)-N(H295))</f>
      </c>
      <c r="J295" s="213">
        <f>IF($K295="","",IF($K295&lt;=3000,INDEX(出库明细!$H$4:$H$3003,$K295)&amp;"",INDEX(资金台帐!$E$7:$E$3006,$K295-3000)&amp;""))</f>
      </c>
      <c r="K295" s="78">
        <f>IFERROR(MATCH(SMALL(_辅助!$F$4:$F$6003,256),_辅助!$F$4:$F$6003,0),"")</f>
      </c>
    </row>
    <row r="296">
      <c r="A296" s="141">
        <f>IF($K296="","",257)</f>
      </c>
      <c r="B296" s="140">
        <f>IF($K296="","",IF($K296&lt;=3000,INDEX(出库明细!$B$4:$B$3003,$K296),INDEX(资金台帐!$B$7:$B$3006,$K296-3000)))</f>
      </c>
      <c r="C296" s="141">
        <f>IF($K296="","",IF($K296&lt;=3000,"出库领用",IF(INDEX(资金台帐!$S$7:$S$3006,$K296-3000)&gt;=0,"收款","退款")&amp;"（"&amp;INDEX(资金台帐!$C$7:$C$3006,$K296-3000)&amp;"）"))</f>
      </c>
      <c r="D296" s="141">
        <f>IF($K296="","",IF($K296&lt;=3000,INDEX(出库明细!$D$4:$D$3003,$K296)&amp;"",""))</f>
      </c>
      <c r="E296" s="148">
        <f>IF($K296="","",IF($K296&lt;=3000,INDEX(出库明细!$E$4:$E$3003,$K296),""))</f>
      </c>
      <c r="F296" s="149">
        <f>IF($K296="","",IF($K296&lt;=3000,INDEX(出库明细!$F$4:$F$3003,$K296),""))</f>
      </c>
      <c r="G296" s="186">
        <f>IF($K296="","",IF($K296&lt;=3000,N(INDEX(出库明细!$G$4:$G$3003,$K296)),""))</f>
      </c>
      <c r="H296" s="186">
        <f>IF($K296="","",IF($K296&lt;=3000,"",INDEX(资金台帐!$S$7:$S$3006,$K296-3000)))</f>
      </c>
      <c r="I296" s="187">
        <f>IF($K296="","",I295+N(G296)-N(H296))</f>
      </c>
      <c r="J296" s="213">
        <f>IF($K296="","",IF($K296&lt;=3000,INDEX(出库明细!$H$4:$H$3003,$K296)&amp;"",INDEX(资金台帐!$E$7:$E$3006,$K296-3000)&amp;""))</f>
      </c>
      <c r="K296" s="78">
        <f>IFERROR(MATCH(SMALL(_辅助!$F$4:$F$6003,257),_辅助!$F$4:$F$6003,0),"")</f>
      </c>
    </row>
    <row r="297">
      <c r="A297" s="141">
        <f>IF($K297="","",258)</f>
      </c>
      <c r="B297" s="140">
        <f>IF($K297="","",IF($K297&lt;=3000,INDEX(出库明细!$B$4:$B$3003,$K297),INDEX(资金台帐!$B$7:$B$3006,$K297-3000)))</f>
      </c>
      <c r="C297" s="141">
        <f>IF($K297="","",IF($K297&lt;=3000,"出库领用",IF(INDEX(资金台帐!$S$7:$S$3006,$K297-3000)&gt;=0,"收款","退款")&amp;"（"&amp;INDEX(资金台帐!$C$7:$C$3006,$K297-3000)&amp;"）"))</f>
      </c>
      <c r="D297" s="141">
        <f>IF($K297="","",IF($K297&lt;=3000,INDEX(出库明细!$D$4:$D$3003,$K297)&amp;"",""))</f>
      </c>
      <c r="E297" s="148">
        <f>IF($K297="","",IF($K297&lt;=3000,INDEX(出库明细!$E$4:$E$3003,$K297),""))</f>
      </c>
      <c r="F297" s="149">
        <f>IF($K297="","",IF($K297&lt;=3000,INDEX(出库明细!$F$4:$F$3003,$K297),""))</f>
      </c>
      <c r="G297" s="186">
        <f>IF($K297="","",IF($K297&lt;=3000,N(INDEX(出库明细!$G$4:$G$3003,$K297)),""))</f>
      </c>
      <c r="H297" s="186">
        <f>IF($K297="","",IF($K297&lt;=3000,"",INDEX(资金台帐!$S$7:$S$3006,$K297-3000)))</f>
      </c>
      <c r="I297" s="187">
        <f>IF($K297="","",I296+N(G297)-N(H297))</f>
      </c>
      <c r="J297" s="213">
        <f>IF($K297="","",IF($K297&lt;=3000,INDEX(出库明细!$H$4:$H$3003,$K297)&amp;"",INDEX(资金台帐!$E$7:$E$3006,$K297-3000)&amp;""))</f>
      </c>
      <c r="K297" s="78">
        <f>IFERROR(MATCH(SMALL(_辅助!$F$4:$F$6003,258),_辅助!$F$4:$F$6003,0),"")</f>
      </c>
    </row>
    <row r="298">
      <c r="A298" s="141">
        <f>IF($K298="","",259)</f>
      </c>
      <c r="B298" s="140">
        <f>IF($K298="","",IF($K298&lt;=3000,INDEX(出库明细!$B$4:$B$3003,$K298),INDEX(资金台帐!$B$7:$B$3006,$K298-3000)))</f>
      </c>
      <c r="C298" s="141">
        <f>IF($K298="","",IF($K298&lt;=3000,"出库领用",IF(INDEX(资金台帐!$S$7:$S$3006,$K298-3000)&gt;=0,"收款","退款")&amp;"（"&amp;INDEX(资金台帐!$C$7:$C$3006,$K298-3000)&amp;"）"))</f>
      </c>
      <c r="D298" s="141">
        <f>IF($K298="","",IF($K298&lt;=3000,INDEX(出库明细!$D$4:$D$3003,$K298)&amp;"",""))</f>
      </c>
      <c r="E298" s="148">
        <f>IF($K298="","",IF($K298&lt;=3000,INDEX(出库明细!$E$4:$E$3003,$K298),""))</f>
      </c>
      <c r="F298" s="149">
        <f>IF($K298="","",IF($K298&lt;=3000,INDEX(出库明细!$F$4:$F$3003,$K298),""))</f>
      </c>
      <c r="G298" s="186">
        <f>IF($K298="","",IF($K298&lt;=3000,N(INDEX(出库明细!$G$4:$G$3003,$K298)),""))</f>
      </c>
      <c r="H298" s="186">
        <f>IF($K298="","",IF($K298&lt;=3000,"",INDEX(资金台帐!$S$7:$S$3006,$K298-3000)))</f>
      </c>
      <c r="I298" s="187">
        <f>IF($K298="","",I297+N(G298)-N(H298))</f>
      </c>
      <c r="J298" s="213">
        <f>IF($K298="","",IF($K298&lt;=3000,INDEX(出库明细!$H$4:$H$3003,$K298)&amp;"",INDEX(资金台帐!$E$7:$E$3006,$K298-3000)&amp;""))</f>
      </c>
      <c r="K298" s="78">
        <f>IFERROR(MATCH(SMALL(_辅助!$F$4:$F$6003,259),_辅助!$F$4:$F$6003,0),"")</f>
      </c>
    </row>
    <row r="299">
      <c r="A299" s="141">
        <f>IF($K299="","",260)</f>
      </c>
      <c r="B299" s="140">
        <f>IF($K299="","",IF($K299&lt;=3000,INDEX(出库明细!$B$4:$B$3003,$K299),INDEX(资金台帐!$B$7:$B$3006,$K299-3000)))</f>
      </c>
      <c r="C299" s="141">
        <f>IF($K299="","",IF($K299&lt;=3000,"出库领用",IF(INDEX(资金台帐!$S$7:$S$3006,$K299-3000)&gt;=0,"收款","退款")&amp;"（"&amp;INDEX(资金台帐!$C$7:$C$3006,$K299-3000)&amp;"）"))</f>
      </c>
      <c r="D299" s="141">
        <f>IF($K299="","",IF($K299&lt;=3000,INDEX(出库明细!$D$4:$D$3003,$K299)&amp;"",""))</f>
      </c>
      <c r="E299" s="148">
        <f>IF($K299="","",IF($K299&lt;=3000,INDEX(出库明细!$E$4:$E$3003,$K299),""))</f>
      </c>
      <c r="F299" s="149">
        <f>IF($K299="","",IF($K299&lt;=3000,INDEX(出库明细!$F$4:$F$3003,$K299),""))</f>
      </c>
      <c r="G299" s="186">
        <f>IF($K299="","",IF($K299&lt;=3000,N(INDEX(出库明细!$G$4:$G$3003,$K299)),""))</f>
      </c>
      <c r="H299" s="186">
        <f>IF($K299="","",IF($K299&lt;=3000,"",INDEX(资金台帐!$S$7:$S$3006,$K299-3000)))</f>
      </c>
      <c r="I299" s="187">
        <f>IF($K299="","",I298+N(G299)-N(H299))</f>
      </c>
      <c r="J299" s="213">
        <f>IF($K299="","",IF($K299&lt;=3000,INDEX(出库明细!$H$4:$H$3003,$K299)&amp;"",INDEX(资金台帐!$E$7:$E$3006,$K299-3000)&amp;""))</f>
      </c>
      <c r="K299" s="78">
        <f>IFERROR(MATCH(SMALL(_辅助!$F$4:$F$6003,260),_辅助!$F$4:$F$6003,0),"")</f>
      </c>
    </row>
    <row r="300">
      <c r="A300" s="141">
        <f>IF($K300="","",261)</f>
      </c>
      <c r="B300" s="140">
        <f>IF($K300="","",IF($K300&lt;=3000,INDEX(出库明细!$B$4:$B$3003,$K300),INDEX(资金台帐!$B$7:$B$3006,$K300-3000)))</f>
      </c>
      <c r="C300" s="141">
        <f>IF($K300="","",IF($K300&lt;=3000,"出库领用",IF(INDEX(资金台帐!$S$7:$S$3006,$K300-3000)&gt;=0,"收款","退款")&amp;"（"&amp;INDEX(资金台帐!$C$7:$C$3006,$K300-3000)&amp;"）"))</f>
      </c>
      <c r="D300" s="141">
        <f>IF($K300="","",IF($K300&lt;=3000,INDEX(出库明细!$D$4:$D$3003,$K300)&amp;"",""))</f>
      </c>
      <c r="E300" s="148">
        <f>IF($K300="","",IF($K300&lt;=3000,INDEX(出库明细!$E$4:$E$3003,$K300),""))</f>
      </c>
      <c r="F300" s="149">
        <f>IF($K300="","",IF($K300&lt;=3000,INDEX(出库明细!$F$4:$F$3003,$K300),""))</f>
      </c>
      <c r="G300" s="186">
        <f>IF($K300="","",IF($K300&lt;=3000,N(INDEX(出库明细!$G$4:$G$3003,$K300)),""))</f>
      </c>
      <c r="H300" s="186">
        <f>IF($K300="","",IF($K300&lt;=3000,"",INDEX(资金台帐!$S$7:$S$3006,$K300-3000)))</f>
      </c>
      <c r="I300" s="187">
        <f>IF($K300="","",I299+N(G300)-N(H300))</f>
      </c>
      <c r="J300" s="213">
        <f>IF($K300="","",IF($K300&lt;=3000,INDEX(出库明细!$H$4:$H$3003,$K300)&amp;"",INDEX(资金台帐!$E$7:$E$3006,$K300-3000)&amp;""))</f>
      </c>
      <c r="K300" s="78">
        <f>IFERROR(MATCH(SMALL(_辅助!$F$4:$F$6003,261),_辅助!$F$4:$F$6003,0),"")</f>
      </c>
    </row>
    <row r="301">
      <c r="A301" s="141">
        <f>IF($K301="","",262)</f>
      </c>
      <c r="B301" s="140">
        <f>IF($K301="","",IF($K301&lt;=3000,INDEX(出库明细!$B$4:$B$3003,$K301),INDEX(资金台帐!$B$7:$B$3006,$K301-3000)))</f>
      </c>
      <c r="C301" s="141">
        <f>IF($K301="","",IF($K301&lt;=3000,"出库领用",IF(INDEX(资金台帐!$S$7:$S$3006,$K301-3000)&gt;=0,"收款","退款")&amp;"（"&amp;INDEX(资金台帐!$C$7:$C$3006,$K301-3000)&amp;"）"))</f>
      </c>
      <c r="D301" s="141">
        <f>IF($K301="","",IF($K301&lt;=3000,INDEX(出库明细!$D$4:$D$3003,$K301)&amp;"",""))</f>
      </c>
      <c r="E301" s="148">
        <f>IF($K301="","",IF($K301&lt;=3000,INDEX(出库明细!$E$4:$E$3003,$K301),""))</f>
      </c>
      <c r="F301" s="149">
        <f>IF($K301="","",IF($K301&lt;=3000,INDEX(出库明细!$F$4:$F$3003,$K301),""))</f>
      </c>
      <c r="G301" s="186">
        <f>IF($K301="","",IF($K301&lt;=3000,N(INDEX(出库明细!$G$4:$G$3003,$K301)),""))</f>
      </c>
      <c r="H301" s="186">
        <f>IF($K301="","",IF($K301&lt;=3000,"",INDEX(资金台帐!$S$7:$S$3006,$K301-3000)))</f>
      </c>
      <c r="I301" s="187">
        <f>IF($K301="","",I300+N(G301)-N(H301))</f>
      </c>
      <c r="J301" s="213">
        <f>IF($K301="","",IF($K301&lt;=3000,INDEX(出库明细!$H$4:$H$3003,$K301)&amp;"",INDEX(资金台帐!$E$7:$E$3006,$K301-3000)&amp;""))</f>
      </c>
      <c r="K301" s="78">
        <f>IFERROR(MATCH(SMALL(_辅助!$F$4:$F$6003,262),_辅助!$F$4:$F$6003,0),"")</f>
      </c>
    </row>
    <row r="302">
      <c r="A302" s="141">
        <f>IF($K302="","",263)</f>
      </c>
      <c r="B302" s="140">
        <f>IF($K302="","",IF($K302&lt;=3000,INDEX(出库明细!$B$4:$B$3003,$K302),INDEX(资金台帐!$B$7:$B$3006,$K302-3000)))</f>
      </c>
      <c r="C302" s="141">
        <f>IF($K302="","",IF($K302&lt;=3000,"出库领用",IF(INDEX(资金台帐!$S$7:$S$3006,$K302-3000)&gt;=0,"收款","退款")&amp;"（"&amp;INDEX(资金台帐!$C$7:$C$3006,$K302-3000)&amp;"）"))</f>
      </c>
      <c r="D302" s="141">
        <f>IF($K302="","",IF($K302&lt;=3000,INDEX(出库明细!$D$4:$D$3003,$K302)&amp;"",""))</f>
      </c>
      <c r="E302" s="148">
        <f>IF($K302="","",IF($K302&lt;=3000,INDEX(出库明细!$E$4:$E$3003,$K302),""))</f>
      </c>
      <c r="F302" s="149">
        <f>IF($K302="","",IF($K302&lt;=3000,INDEX(出库明细!$F$4:$F$3003,$K302),""))</f>
      </c>
      <c r="G302" s="186">
        <f>IF($K302="","",IF($K302&lt;=3000,N(INDEX(出库明细!$G$4:$G$3003,$K302)),""))</f>
      </c>
      <c r="H302" s="186">
        <f>IF($K302="","",IF($K302&lt;=3000,"",INDEX(资金台帐!$S$7:$S$3006,$K302-3000)))</f>
      </c>
      <c r="I302" s="187">
        <f>IF($K302="","",I301+N(G302)-N(H302))</f>
      </c>
      <c r="J302" s="213">
        <f>IF($K302="","",IF($K302&lt;=3000,INDEX(出库明细!$H$4:$H$3003,$K302)&amp;"",INDEX(资金台帐!$E$7:$E$3006,$K302-3000)&amp;""))</f>
      </c>
      <c r="K302" s="78">
        <f>IFERROR(MATCH(SMALL(_辅助!$F$4:$F$6003,263),_辅助!$F$4:$F$6003,0),"")</f>
      </c>
    </row>
    <row r="303">
      <c r="A303" s="141">
        <f>IF($K303="","",264)</f>
      </c>
      <c r="B303" s="140">
        <f>IF($K303="","",IF($K303&lt;=3000,INDEX(出库明细!$B$4:$B$3003,$K303),INDEX(资金台帐!$B$7:$B$3006,$K303-3000)))</f>
      </c>
      <c r="C303" s="141">
        <f>IF($K303="","",IF($K303&lt;=3000,"出库领用",IF(INDEX(资金台帐!$S$7:$S$3006,$K303-3000)&gt;=0,"收款","退款")&amp;"（"&amp;INDEX(资金台帐!$C$7:$C$3006,$K303-3000)&amp;"）"))</f>
      </c>
      <c r="D303" s="141">
        <f>IF($K303="","",IF($K303&lt;=3000,INDEX(出库明细!$D$4:$D$3003,$K303)&amp;"",""))</f>
      </c>
      <c r="E303" s="148">
        <f>IF($K303="","",IF($K303&lt;=3000,INDEX(出库明细!$E$4:$E$3003,$K303),""))</f>
      </c>
      <c r="F303" s="149">
        <f>IF($K303="","",IF($K303&lt;=3000,INDEX(出库明细!$F$4:$F$3003,$K303),""))</f>
      </c>
      <c r="G303" s="186">
        <f>IF($K303="","",IF($K303&lt;=3000,N(INDEX(出库明细!$G$4:$G$3003,$K303)),""))</f>
      </c>
      <c r="H303" s="186">
        <f>IF($K303="","",IF($K303&lt;=3000,"",INDEX(资金台帐!$S$7:$S$3006,$K303-3000)))</f>
      </c>
      <c r="I303" s="187">
        <f>IF($K303="","",I302+N(G303)-N(H303))</f>
      </c>
      <c r="J303" s="213">
        <f>IF($K303="","",IF($K303&lt;=3000,INDEX(出库明细!$H$4:$H$3003,$K303)&amp;"",INDEX(资金台帐!$E$7:$E$3006,$K303-3000)&amp;""))</f>
      </c>
      <c r="K303" s="78">
        <f>IFERROR(MATCH(SMALL(_辅助!$F$4:$F$6003,264),_辅助!$F$4:$F$6003,0),"")</f>
      </c>
    </row>
    <row r="304">
      <c r="A304" s="141">
        <f>IF($K304="","",265)</f>
      </c>
      <c r="B304" s="140">
        <f>IF($K304="","",IF($K304&lt;=3000,INDEX(出库明细!$B$4:$B$3003,$K304),INDEX(资金台帐!$B$7:$B$3006,$K304-3000)))</f>
      </c>
      <c r="C304" s="141">
        <f>IF($K304="","",IF($K304&lt;=3000,"出库领用",IF(INDEX(资金台帐!$S$7:$S$3006,$K304-3000)&gt;=0,"收款","退款")&amp;"（"&amp;INDEX(资金台帐!$C$7:$C$3006,$K304-3000)&amp;"）"))</f>
      </c>
      <c r="D304" s="141">
        <f>IF($K304="","",IF($K304&lt;=3000,INDEX(出库明细!$D$4:$D$3003,$K304)&amp;"",""))</f>
      </c>
      <c r="E304" s="148">
        <f>IF($K304="","",IF($K304&lt;=3000,INDEX(出库明细!$E$4:$E$3003,$K304),""))</f>
      </c>
      <c r="F304" s="149">
        <f>IF($K304="","",IF($K304&lt;=3000,INDEX(出库明细!$F$4:$F$3003,$K304),""))</f>
      </c>
      <c r="G304" s="186">
        <f>IF($K304="","",IF($K304&lt;=3000,N(INDEX(出库明细!$G$4:$G$3003,$K304)),""))</f>
      </c>
      <c r="H304" s="186">
        <f>IF($K304="","",IF($K304&lt;=3000,"",INDEX(资金台帐!$S$7:$S$3006,$K304-3000)))</f>
      </c>
      <c r="I304" s="187">
        <f>IF($K304="","",I303+N(G304)-N(H304))</f>
      </c>
      <c r="J304" s="213">
        <f>IF($K304="","",IF($K304&lt;=3000,INDEX(出库明细!$H$4:$H$3003,$K304)&amp;"",INDEX(资金台帐!$E$7:$E$3006,$K304-3000)&amp;""))</f>
      </c>
      <c r="K304" s="78">
        <f>IFERROR(MATCH(SMALL(_辅助!$F$4:$F$6003,265),_辅助!$F$4:$F$6003,0),"")</f>
      </c>
    </row>
    <row r="305">
      <c r="A305" s="141">
        <f>IF($K305="","",266)</f>
      </c>
      <c r="B305" s="140">
        <f>IF($K305="","",IF($K305&lt;=3000,INDEX(出库明细!$B$4:$B$3003,$K305),INDEX(资金台帐!$B$7:$B$3006,$K305-3000)))</f>
      </c>
      <c r="C305" s="141">
        <f>IF($K305="","",IF($K305&lt;=3000,"出库领用",IF(INDEX(资金台帐!$S$7:$S$3006,$K305-3000)&gt;=0,"收款","退款")&amp;"（"&amp;INDEX(资金台帐!$C$7:$C$3006,$K305-3000)&amp;"）"))</f>
      </c>
      <c r="D305" s="141">
        <f>IF($K305="","",IF($K305&lt;=3000,INDEX(出库明细!$D$4:$D$3003,$K305)&amp;"",""))</f>
      </c>
      <c r="E305" s="148">
        <f>IF($K305="","",IF($K305&lt;=3000,INDEX(出库明细!$E$4:$E$3003,$K305),""))</f>
      </c>
      <c r="F305" s="149">
        <f>IF($K305="","",IF($K305&lt;=3000,INDEX(出库明细!$F$4:$F$3003,$K305),""))</f>
      </c>
      <c r="G305" s="186">
        <f>IF($K305="","",IF($K305&lt;=3000,N(INDEX(出库明细!$G$4:$G$3003,$K305)),""))</f>
      </c>
      <c r="H305" s="186">
        <f>IF($K305="","",IF($K305&lt;=3000,"",INDEX(资金台帐!$S$7:$S$3006,$K305-3000)))</f>
      </c>
      <c r="I305" s="187">
        <f>IF($K305="","",I304+N(G305)-N(H305))</f>
      </c>
      <c r="J305" s="213">
        <f>IF($K305="","",IF($K305&lt;=3000,INDEX(出库明细!$H$4:$H$3003,$K305)&amp;"",INDEX(资金台帐!$E$7:$E$3006,$K305-3000)&amp;""))</f>
      </c>
      <c r="K305" s="78">
        <f>IFERROR(MATCH(SMALL(_辅助!$F$4:$F$6003,266),_辅助!$F$4:$F$6003,0),"")</f>
      </c>
    </row>
    <row r="306">
      <c r="A306" s="141">
        <f>IF($K306="","",267)</f>
      </c>
      <c r="B306" s="140">
        <f>IF($K306="","",IF($K306&lt;=3000,INDEX(出库明细!$B$4:$B$3003,$K306),INDEX(资金台帐!$B$7:$B$3006,$K306-3000)))</f>
      </c>
      <c r="C306" s="141">
        <f>IF($K306="","",IF($K306&lt;=3000,"出库领用",IF(INDEX(资金台帐!$S$7:$S$3006,$K306-3000)&gt;=0,"收款","退款")&amp;"（"&amp;INDEX(资金台帐!$C$7:$C$3006,$K306-3000)&amp;"）"))</f>
      </c>
      <c r="D306" s="141">
        <f>IF($K306="","",IF($K306&lt;=3000,INDEX(出库明细!$D$4:$D$3003,$K306)&amp;"",""))</f>
      </c>
      <c r="E306" s="148">
        <f>IF($K306="","",IF($K306&lt;=3000,INDEX(出库明细!$E$4:$E$3003,$K306),""))</f>
      </c>
      <c r="F306" s="149">
        <f>IF($K306="","",IF($K306&lt;=3000,INDEX(出库明细!$F$4:$F$3003,$K306),""))</f>
      </c>
      <c r="G306" s="186">
        <f>IF($K306="","",IF($K306&lt;=3000,N(INDEX(出库明细!$G$4:$G$3003,$K306)),""))</f>
      </c>
      <c r="H306" s="186">
        <f>IF($K306="","",IF($K306&lt;=3000,"",INDEX(资金台帐!$S$7:$S$3006,$K306-3000)))</f>
      </c>
      <c r="I306" s="187">
        <f>IF($K306="","",I305+N(G306)-N(H306))</f>
      </c>
      <c r="J306" s="213">
        <f>IF($K306="","",IF($K306&lt;=3000,INDEX(出库明细!$H$4:$H$3003,$K306)&amp;"",INDEX(资金台帐!$E$7:$E$3006,$K306-3000)&amp;""))</f>
      </c>
      <c r="K306" s="78">
        <f>IFERROR(MATCH(SMALL(_辅助!$F$4:$F$6003,267),_辅助!$F$4:$F$6003,0),"")</f>
      </c>
    </row>
    <row r="307">
      <c r="A307" s="141">
        <f>IF($K307="","",268)</f>
      </c>
      <c r="B307" s="140">
        <f>IF($K307="","",IF($K307&lt;=3000,INDEX(出库明细!$B$4:$B$3003,$K307),INDEX(资金台帐!$B$7:$B$3006,$K307-3000)))</f>
      </c>
      <c r="C307" s="141">
        <f>IF($K307="","",IF($K307&lt;=3000,"出库领用",IF(INDEX(资金台帐!$S$7:$S$3006,$K307-3000)&gt;=0,"收款","退款")&amp;"（"&amp;INDEX(资金台帐!$C$7:$C$3006,$K307-3000)&amp;"）"))</f>
      </c>
      <c r="D307" s="141">
        <f>IF($K307="","",IF($K307&lt;=3000,INDEX(出库明细!$D$4:$D$3003,$K307)&amp;"",""))</f>
      </c>
      <c r="E307" s="148">
        <f>IF($K307="","",IF($K307&lt;=3000,INDEX(出库明细!$E$4:$E$3003,$K307),""))</f>
      </c>
      <c r="F307" s="149">
        <f>IF($K307="","",IF($K307&lt;=3000,INDEX(出库明细!$F$4:$F$3003,$K307),""))</f>
      </c>
      <c r="G307" s="186">
        <f>IF($K307="","",IF($K307&lt;=3000,N(INDEX(出库明细!$G$4:$G$3003,$K307)),""))</f>
      </c>
      <c r="H307" s="186">
        <f>IF($K307="","",IF($K307&lt;=3000,"",INDEX(资金台帐!$S$7:$S$3006,$K307-3000)))</f>
      </c>
      <c r="I307" s="187">
        <f>IF($K307="","",I306+N(G307)-N(H307))</f>
      </c>
      <c r="J307" s="213">
        <f>IF($K307="","",IF($K307&lt;=3000,INDEX(出库明细!$H$4:$H$3003,$K307)&amp;"",INDEX(资金台帐!$E$7:$E$3006,$K307-3000)&amp;""))</f>
      </c>
      <c r="K307" s="78">
        <f>IFERROR(MATCH(SMALL(_辅助!$F$4:$F$6003,268),_辅助!$F$4:$F$6003,0),"")</f>
      </c>
    </row>
    <row r="308">
      <c r="A308" s="141">
        <f>IF($K308="","",269)</f>
      </c>
      <c r="B308" s="140">
        <f>IF($K308="","",IF($K308&lt;=3000,INDEX(出库明细!$B$4:$B$3003,$K308),INDEX(资金台帐!$B$7:$B$3006,$K308-3000)))</f>
      </c>
      <c r="C308" s="141">
        <f>IF($K308="","",IF($K308&lt;=3000,"出库领用",IF(INDEX(资金台帐!$S$7:$S$3006,$K308-3000)&gt;=0,"收款","退款")&amp;"（"&amp;INDEX(资金台帐!$C$7:$C$3006,$K308-3000)&amp;"）"))</f>
      </c>
      <c r="D308" s="141">
        <f>IF($K308="","",IF($K308&lt;=3000,INDEX(出库明细!$D$4:$D$3003,$K308)&amp;"",""))</f>
      </c>
      <c r="E308" s="148">
        <f>IF($K308="","",IF($K308&lt;=3000,INDEX(出库明细!$E$4:$E$3003,$K308),""))</f>
      </c>
      <c r="F308" s="149">
        <f>IF($K308="","",IF($K308&lt;=3000,INDEX(出库明细!$F$4:$F$3003,$K308),""))</f>
      </c>
      <c r="G308" s="186">
        <f>IF($K308="","",IF($K308&lt;=3000,N(INDEX(出库明细!$G$4:$G$3003,$K308)),""))</f>
      </c>
      <c r="H308" s="186">
        <f>IF($K308="","",IF($K308&lt;=3000,"",INDEX(资金台帐!$S$7:$S$3006,$K308-3000)))</f>
      </c>
      <c r="I308" s="187">
        <f>IF($K308="","",I307+N(G308)-N(H308))</f>
      </c>
      <c r="J308" s="213">
        <f>IF($K308="","",IF($K308&lt;=3000,INDEX(出库明细!$H$4:$H$3003,$K308)&amp;"",INDEX(资金台帐!$E$7:$E$3006,$K308-3000)&amp;""))</f>
      </c>
      <c r="K308" s="78">
        <f>IFERROR(MATCH(SMALL(_辅助!$F$4:$F$6003,269),_辅助!$F$4:$F$6003,0),"")</f>
      </c>
    </row>
    <row r="309">
      <c r="A309" s="141">
        <f>IF($K309="","",270)</f>
      </c>
      <c r="B309" s="140">
        <f>IF($K309="","",IF($K309&lt;=3000,INDEX(出库明细!$B$4:$B$3003,$K309),INDEX(资金台帐!$B$7:$B$3006,$K309-3000)))</f>
      </c>
      <c r="C309" s="141">
        <f>IF($K309="","",IF($K309&lt;=3000,"出库领用",IF(INDEX(资金台帐!$S$7:$S$3006,$K309-3000)&gt;=0,"收款","退款")&amp;"（"&amp;INDEX(资金台帐!$C$7:$C$3006,$K309-3000)&amp;"）"))</f>
      </c>
      <c r="D309" s="141">
        <f>IF($K309="","",IF($K309&lt;=3000,INDEX(出库明细!$D$4:$D$3003,$K309)&amp;"",""))</f>
      </c>
      <c r="E309" s="148">
        <f>IF($K309="","",IF($K309&lt;=3000,INDEX(出库明细!$E$4:$E$3003,$K309),""))</f>
      </c>
      <c r="F309" s="149">
        <f>IF($K309="","",IF($K309&lt;=3000,INDEX(出库明细!$F$4:$F$3003,$K309),""))</f>
      </c>
      <c r="G309" s="186">
        <f>IF($K309="","",IF($K309&lt;=3000,N(INDEX(出库明细!$G$4:$G$3003,$K309)),""))</f>
      </c>
      <c r="H309" s="186">
        <f>IF($K309="","",IF($K309&lt;=3000,"",INDEX(资金台帐!$S$7:$S$3006,$K309-3000)))</f>
      </c>
      <c r="I309" s="187">
        <f>IF($K309="","",I308+N(G309)-N(H309))</f>
      </c>
      <c r="J309" s="213">
        <f>IF($K309="","",IF($K309&lt;=3000,INDEX(出库明细!$H$4:$H$3003,$K309)&amp;"",INDEX(资金台帐!$E$7:$E$3006,$K309-3000)&amp;""))</f>
      </c>
      <c r="K309" s="78">
        <f>IFERROR(MATCH(SMALL(_辅助!$F$4:$F$6003,270),_辅助!$F$4:$F$6003,0),"")</f>
      </c>
    </row>
    <row r="310">
      <c r="A310" s="141">
        <f>IF($K310="","",271)</f>
      </c>
      <c r="B310" s="140">
        <f>IF($K310="","",IF($K310&lt;=3000,INDEX(出库明细!$B$4:$B$3003,$K310),INDEX(资金台帐!$B$7:$B$3006,$K310-3000)))</f>
      </c>
      <c r="C310" s="141">
        <f>IF($K310="","",IF($K310&lt;=3000,"出库领用",IF(INDEX(资金台帐!$S$7:$S$3006,$K310-3000)&gt;=0,"收款","退款")&amp;"（"&amp;INDEX(资金台帐!$C$7:$C$3006,$K310-3000)&amp;"）"))</f>
      </c>
      <c r="D310" s="141">
        <f>IF($K310="","",IF($K310&lt;=3000,INDEX(出库明细!$D$4:$D$3003,$K310)&amp;"",""))</f>
      </c>
      <c r="E310" s="148">
        <f>IF($K310="","",IF($K310&lt;=3000,INDEX(出库明细!$E$4:$E$3003,$K310),""))</f>
      </c>
      <c r="F310" s="149">
        <f>IF($K310="","",IF($K310&lt;=3000,INDEX(出库明细!$F$4:$F$3003,$K310),""))</f>
      </c>
      <c r="G310" s="186">
        <f>IF($K310="","",IF($K310&lt;=3000,N(INDEX(出库明细!$G$4:$G$3003,$K310)),""))</f>
      </c>
      <c r="H310" s="186">
        <f>IF($K310="","",IF($K310&lt;=3000,"",INDEX(资金台帐!$S$7:$S$3006,$K310-3000)))</f>
      </c>
      <c r="I310" s="187">
        <f>IF($K310="","",I309+N(G310)-N(H310))</f>
      </c>
      <c r="J310" s="213">
        <f>IF($K310="","",IF($K310&lt;=3000,INDEX(出库明细!$H$4:$H$3003,$K310)&amp;"",INDEX(资金台帐!$E$7:$E$3006,$K310-3000)&amp;""))</f>
      </c>
      <c r="K310" s="78">
        <f>IFERROR(MATCH(SMALL(_辅助!$F$4:$F$6003,271),_辅助!$F$4:$F$6003,0),"")</f>
      </c>
    </row>
    <row r="311">
      <c r="A311" s="141">
        <f>IF($K311="","",272)</f>
      </c>
      <c r="B311" s="140">
        <f>IF($K311="","",IF($K311&lt;=3000,INDEX(出库明细!$B$4:$B$3003,$K311),INDEX(资金台帐!$B$7:$B$3006,$K311-3000)))</f>
      </c>
      <c r="C311" s="141">
        <f>IF($K311="","",IF($K311&lt;=3000,"出库领用",IF(INDEX(资金台帐!$S$7:$S$3006,$K311-3000)&gt;=0,"收款","退款")&amp;"（"&amp;INDEX(资金台帐!$C$7:$C$3006,$K311-3000)&amp;"）"))</f>
      </c>
      <c r="D311" s="141">
        <f>IF($K311="","",IF($K311&lt;=3000,INDEX(出库明细!$D$4:$D$3003,$K311)&amp;"",""))</f>
      </c>
      <c r="E311" s="148">
        <f>IF($K311="","",IF($K311&lt;=3000,INDEX(出库明细!$E$4:$E$3003,$K311),""))</f>
      </c>
      <c r="F311" s="149">
        <f>IF($K311="","",IF($K311&lt;=3000,INDEX(出库明细!$F$4:$F$3003,$K311),""))</f>
      </c>
      <c r="G311" s="186">
        <f>IF($K311="","",IF($K311&lt;=3000,N(INDEX(出库明细!$G$4:$G$3003,$K311)),""))</f>
      </c>
      <c r="H311" s="186">
        <f>IF($K311="","",IF($K311&lt;=3000,"",INDEX(资金台帐!$S$7:$S$3006,$K311-3000)))</f>
      </c>
      <c r="I311" s="187">
        <f>IF($K311="","",I310+N(G311)-N(H311))</f>
      </c>
      <c r="J311" s="213">
        <f>IF($K311="","",IF($K311&lt;=3000,INDEX(出库明细!$H$4:$H$3003,$K311)&amp;"",INDEX(资金台帐!$E$7:$E$3006,$K311-3000)&amp;""))</f>
      </c>
      <c r="K311" s="78">
        <f>IFERROR(MATCH(SMALL(_辅助!$F$4:$F$6003,272),_辅助!$F$4:$F$6003,0),"")</f>
      </c>
    </row>
    <row r="312">
      <c r="A312" s="141">
        <f>IF($K312="","",273)</f>
      </c>
      <c r="B312" s="140">
        <f>IF($K312="","",IF($K312&lt;=3000,INDEX(出库明细!$B$4:$B$3003,$K312),INDEX(资金台帐!$B$7:$B$3006,$K312-3000)))</f>
      </c>
      <c r="C312" s="141">
        <f>IF($K312="","",IF($K312&lt;=3000,"出库领用",IF(INDEX(资金台帐!$S$7:$S$3006,$K312-3000)&gt;=0,"收款","退款")&amp;"（"&amp;INDEX(资金台帐!$C$7:$C$3006,$K312-3000)&amp;"）"))</f>
      </c>
      <c r="D312" s="141">
        <f>IF($K312="","",IF($K312&lt;=3000,INDEX(出库明细!$D$4:$D$3003,$K312)&amp;"",""))</f>
      </c>
      <c r="E312" s="148">
        <f>IF($K312="","",IF($K312&lt;=3000,INDEX(出库明细!$E$4:$E$3003,$K312),""))</f>
      </c>
      <c r="F312" s="149">
        <f>IF($K312="","",IF($K312&lt;=3000,INDEX(出库明细!$F$4:$F$3003,$K312),""))</f>
      </c>
      <c r="G312" s="186">
        <f>IF($K312="","",IF($K312&lt;=3000,N(INDEX(出库明细!$G$4:$G$3003,$K312)),""))</f>
      </c>
      <c r="H312" s="186">
        <f>IF($K312="","",IF($K312&lt;=3000,"",INDEX(资金台帐!$S$7:$S$3006,$K312-3000)))</f>
      </c>
      <c r="I312" s="187">
        <f>IF($K312="","",I311+N(G312)-N(H312))</f>
      </c>
      <c r="J312" s="213">
        <f>IF($K312="","",IF($K312&lt;=3000,INDEX(出库明细!$H$4:$H$3003,$K312)&amp;"",INDEX(资金台帐!$E$7:$E$3006,$K312-3000)&amp;""))</f>
      </c>
      <c r="K312" s="78">
        <f>IFERROR(MATCH(SMALL(_辅助!$F$4:$F$6003,273),_辅助!$F$4:$F$6003,0),"")</f>
      </c>
    </row>
    <row r="313">
      <c r="A313" s="141">
        <f>IF($K313="","",274)</f>
      </c>
      <c r="B313" s="140">
        <f>IF($K313="","",IF($K313&lt;=3000,INDEX(出库明细!$B$4:$B$3003,$K313),INDEX(资金台帐!$B$7:$B$3006,$K313-3000)))</f>
      </c>
      <c r="C313" s="141">
        <f>IF($K313="","",IF($K313&lt;=3000,"出库领用",IF(INDEX(资金台帐!$S$7:$S$3006,$K313-3000)&gt;=0,"收款","退款")&amp;"（"&amp;INDEX(资金台帐!$C$7:$C$3006,$K313-3000)&amp;"）"))</f>
      </c>
      <c r="D313" s="141">
        <f>IF($K313="","",IF($K313&lt;=3000,INDEX(出库明细!$D$4:$D$3003,$K313)&amp;"",""))</f>
      </c>
      <c r="E313" s="148">
        <f>IF($K313="","",IF($K313&lt;=3000,INDEX(出库明细!$E$4:$E$3003,$K313),""))</f>
      </c>
      <c r="F313" s="149">
        <f>IF($K313="","",IF($K313&lt;=3000,INDEX(出库明细!$F$4:$F$3003,$K313),""))</f>
      </c>
      <c r="G313" s="186">
        <f>IF($K313="","",IF($K313&lt;=3000,N(INDEX(出库明细!$G$4:$G$3003,$K313)),""))</f>
      </c>
      <c r="H313" s="186">
        <f>IF($K313="","",IF($K313&lt;=3000,"",INDEX(资金台帐!$S$7:$S$3006,$K313-3000)))</f>
      </c>
      <c r="I313" s="187">
        <f>IF($K313="","",I312+N(G313)-N(H313))</f>
      </c>
      <c r="J313" s="213">
        <f>IF($K313="","",IF($K313&lt;=3000,INDEX(出库明细!$H$4:$H$3003,$K313)&amp;"",INDEX(资金台帐!$E$7:$E$3006,$K313-3000)&amp;""))</f>
      </c>
      <c r="K313" s="78">
        <f>IFERROR(MATCH(SMALL(_辅助!$F$4:$F$6003,274),_辅助!$F$4:$F$6003,0),"")</f>
      </c>
    </row>
    <row r="314">
      <c r="A314" s="141">
        <f>IF($K314="","",275)</f>
      </c>
      <c r="B314" s="140">
        <f>IF($K314="","",IF($K314&lt;=3000,INDEX(出库明细!$B$4:$B$3003,$K314),INDEX(资金台帐!$B$7:$B$3006,$K314-3000)))</f>
      </c>
      <c r="C314" s="141">
        <f>IF($K314="","",IF($K314&lt;=3000,"出库领用",IF(INDEX(资金台帐!$S$7:$S$3006,$K314-3000)&gt;=0,"收款","退款")&amp;"（"&amp;INDEX(资金台帐!$C$7:$C$3006,$K314-3000)&amp;"）"))</f>
      </c>
      <c r="D314" s="141">
        <f>IF($K314="","",IF($K314&lt;=3000,INDEX(出库明细!$D$4:$D$3003,$K314)&amp;"",""))</f>
      </c>
      <c r="E314" s="148">
        <f>IF($K314="","",IF($K314&lt;=3000,INDEX(出库明细!$E$4:$E$3003,$K314),""))</f>
      </c>
      <c r="F314" s="149">
        <f>IF($K314="","",IF($K314&lt;=3000,INDEX(出库明细!$F$4:$F$3003,$K314),""))</f>
      </c>
      <c r="G314" s="186">
        <f>IF($K314="","",IF($K314&lt;=3000,N(INDEX(出库明细!$G$4:$G$3003,$K314)),""))</f>
      </c>
      <c r="H314" s="186">
        <f>IF($K314="","",IF($K314&lt;=3000,"",INDEX(资金台帐!$S$7:$S$3006,$K314-3000)))</f>
      </c>
      <c r="I314" s="187">
        <f>IF($K314="","",I313+N(G314)-N(H314))</f>
      </c>
      <c r="J314" s="213">
        <f>IF($K314="","",IF($K314&lt;=3000,INDEX(出库明细!$H$4:$H$3003,$K314)&amp;"",INDEX(资金台帐!$E$7:$E$3006,$K314-3000)&amp;""))</f>
      </c>
      <c r="K314" s="78">
        <f>IFERROR(MATCH(SMALL(_辅助!$F$4:$F$6003,275),_辅助!$F$4:$F$6003,0),"")</f>
      </c>
    </row>
    <row r="315">
      <c r="A315" s="141">
        <f>IF($K315="","",276)</f>
      </c>
      <c r="B315" s="140">
        <f>IF($K315="","",IF($K315&lt;=3000,INDEX(出库明细!$B$4:$B$3003,$K315),INDEX(资金台帐!$B$7:$B$3006,$K315-3000)))</f>
      </c>
      <c r="C315" s="141">
        <f>IF($K315="","",IF($K315&lt;=3000,"出库领用",IF(INDEX(资金台帐!$S$7:$S$3006,$K315-3000)&gt;=0,"收款","退款")&amp;"（"&amp;INDEX(资金台帐!$C$7:$C$3006,$K315-3000)&amp;"）"))</f>
      </c>
      <c r="D315" s="141">
        <f>IF($K315="","",IF($K315&lt;=3000,INDEX(出库明细!$D$4:$D$3003,$K315)&amp;"",""))</f>
      </c>
      <c r="E315" s="148">
        <f>IF($K315="","",IF($K315&lt;=3000,INDEX(出库明细!$E$4:$E$3003,$K315),""))</f>
      </c>
      <c r="F315" s="149">
        <f>IF($K315="","",IF($K315&lt;=3000,INDEX(出库明细!$F$4:$F$3003,$K315),""))</f>
      </c>
      <c r="G315" s="186">
        <f>IF($K315="","",IF($K315&lt;=3000,N(INDEX(出库明细!$G$4:$G$3003,$K315)),""))</f>
      </c>
      <c r="H315" s="186">
        <f>IF($K315="","",IF($K315&lt;=3000,"",INDEX(资金台帐!$S$7:$S$3006,$K315-3000)))</f>
      </c>
      <c r="I315" s="187">
        <f>IF($K315="","",I314+N(G315)-N(H315))</f>
      </c>
      <c r="J315" s="213">
        <f>IF($K315="","",IF($K315&lt;=3000,INDEX(出库明细!$H$4:$H$3003,$K315)&amp;"",INDEX(资金台帐!$E$7:$E$3006,$K315-3000)&amp;""))</f>
      </c>
      <c r="K315" s="78">
        <f>IFERROR(MATCH(SMALL(_辅助!$F$4:$F$6003,276),_辅助!$F$4:$F$6003,0),"")</f>
      </c>
    </row>
    <row r="316">
      <c r="A316" s="141">
        <f>IF($K316="","",277)</f>
      </c>
      <c r="B316" s="140">
        <f>IF($K316="","",IF($K316&lt;=3000,INDEX(出库明细!$B$4:$B$3003,$K316),INDEX(资金台帐!$B$7:$B$3006,$K316-3000)))</f>
      </c>
      <c r="C316" s="141">
        <f>IF($K316="","",IF($K316&lt;=3000,"出库领用",IF(INDEX(资金台帐!$S$7:$S$3006,$K316-3000)&gt;=0,"收款","退款")&amp;"（"&amp;INDEX(资金台帐!$C$7:$C$3006,$K316-3000)&amp;"）"))</f>
      </c>
      <c r="D316" s="141">
        <f>IF($K316="","",IF($K316&lt;=3000,INDEX(出库明细!$D$4:$D$3003,$K316)&amp;"",""))</f>
      </c>
      <c r="E316" s="148">
        <f>IF($K316="","",IF($K316&lt;=3000,INDEX(出库明细!$E$4:$E$3003,$K316),""))</f>
      </c>
      <c r="F316" s="149">
        <f>IF($K316="","",IF($K316&lt;=3000,INDEX(出库明细!$F$4:$F$3003,$K316),""))</f>
      </c>
      <c r="G316" s="186">
        <f>IF($K316="","",IF($K316&lt;=3000,N(INDEX(出库明细!$G$4:$G$3003,$K316)),""))</f>
      </c>
      <c r="H316" s="186">
        <f>IF($K316="","",IF($K316&lt;=3000,"",INDEX(资金台帐!$S$7:$S$3006,$K316-3000)))</f>
      </c>
      <c r="I316" s="187">
        <f>IF($K316="","",I315+N(G316)-N(H316))</f>
      </c>
      <c r="J316" s="213">
        <f>IF($K316="","",IF($K316&lt;=3000,INDEX(出库明细!$H$4:$H$3003,$K316)&amp;"",INDEX(资金台帐!$E$7:$E$3006,$K316-3000)&amp;""))</f>
      </c>
      <c r="K316" s="78">
        <f>IFERROR(MATCH(SMALL(_辅助!$F$4:$F$6003,277),_辅助!$F$4:$F$6003,0),"")</f>
      </c>
    </row>
    <row r="317">
      <c r="A317" s="141">
        <f>IF($K317="","",278)</f>
      </c>
      <c r="B317" s="140">
        <f>IF($K317="","",IF($K317&lt;=3000,INDEX(出库明细!$B$4:$B$3003,$K317),INDEX(资金台帐!$B$7:$B$3006,$K317-3000)))</f>
      </c>
      <c r="C317" s="141">
        <f>IF($K317="","",IF($K317&lt;=3000,"出库领用",IF(INDEX(资金台帐!$S$7:$S$3006,$K317-3000)&gt;=0,"收款","退款")&amp;"（"&amp;INDEX(资金台帐!$C$7:$C$3006,$K317-3000)&amp;"）"))</f>
      </c>
      <c r="D317" s="141">
        <f>IF($K317="","",IF($K317&lt;=3000,INDEX(出库明细!$D$4:$D$3003,$K317)&amp;"",""))</f>
      </c>
      <c r="E317" s="148">
        <f>IF($K317="","",IF($K317&lt;=3000,INDEX(出库明细!$E$4:$E$3003,$K317),""))</f>
      </c>
      <c r="F317" s="149">
        <f>IF($K317="","",IF($K317&lt;=3000,INDEX(出库明细!$F$4:$F$3003,$K317),""))</f>
      </c>
      <c r="G317" s="186">
        <f>IF($K317="","",IF($K317&lt;=3000,N(INDEX(出库明细!$G$4:$G$3003,$K317)),""))</f>
      </c>
      <c r="H317" s="186">
        <f>IF($K317="","",IF($K317&lt;=3000,"",INDEX(资金台帐!$S$7:$S$3006,$K317-3000)))</f>
      </c>
      <c r="I317" s="187">
        <f>IF($K317="","",I316+N(G317)-N(H317))</f>
      </c>
      <c r="J317" s="213">
        <f>IF($K317="","",IF($K317&lt;=3000,INDEX(出库明细!$H$4:$H$3003,$K317)&amp;"",INDEX(资金台帐!$E$7:$E$3006,$K317-3000)&amp;""))</f>
      </c>
      <c r="K317" s="78">
        <f>IFERROR(MATCH(SMALL(_辅助!$F$4:$F$6003,278),_辅助!$F$4:$F$6003,0),"")</f>
      </c>
    </row>
    <row r="318">
      <c r="A318" s="141">
        <f>IF($K318="","",279)</f>
      </c>
      <c r="B318" s="140">
        <f>IF($K318="","",IF($K318&lt;=3000,INDEX(出库明细!$B$4:$B$3003,$K318),INDEX(资金台帐!$B$7:$B$3006,$K318-3000)))</f>
      </c>
      <c r="C318" s="141">
        <f>IF($K318="","",IF($K318&lt;=3000,"出库领用",IF(INDEX(资金台帐!$S$7:$S$3006,$K318-3000)&gt;=0,"收款","退款")&amp;"（"&amp;INDEX(资金台帐!$C$7:$C$3006,$K318-3000)&amp;"）"))</f>
      </c>
      <c r="D318" s="141">
        <f>IF($K318="","",IF($K318&lt;=3000,INDEX(出库明细!$D$4:$D$3003,$K318)&amp;"",""))</f>
      </c>
      <c r="E318" s="148">
        <f>IF($K318="","",IF($K318&lt;=3000,INDEX(出库明细!$E$4:$E$3003,$K318),""))</f>
      </c>
      <c r="F318" s="149">
        <f>IF($K318="","",IF($K318&lt;=3000,INDEX(出库明细!$F$4:$F$3003,$K318),""))</f>
      </c>
      <c r="G318" s="186">
        <f>IF($K318="","",IF($K318&lt;=3000,N(INDEX(出库明细!$G$4:$G$3003,$K318)),""))</f>
      </c>
      <c r="H318" s="186">
        <f>IF($K318="","",IF($K318&lt;=3000,"",INDEX(资金台帐!$S$7:$S$3006,$K318-3000)))</f>
      </c>
      <c r="I318" s="187">
        <f>IF($K318="","",I317+N(G318)-N(H318))</f>
      </c>
      <c r="J318" s="213">
        <f>IF($K318="","",IF($K318&lt;=3000,INDEX(出库明细!$H$4:$H$3003,$K318)&amp;"",INDEX(资金台帐!$E$7:$E$3006,$K318-3000)&amp;""))</f>
      </c>
      <c r="K318" s="78">
        <f>IFERROR(MATCH(SMALL(_辅助!$F$4:$F$6003,279),_辅助!$F$4:$F$6003,0),"")</f>
      </c>
    </row>
    <row r="319">
      <c r="A319" s="141">
        <f>IF($K319="","",280)</f>
      </c>
      <c r="B319" s="140">
        <f>IF($K319="","",IF($K319&lt;=3000,INDEX(出库明细!$B$4:$B$3003,$K319),INDEX(资金台帐!$B$7:$B$3006,$K319-3000)))</f>
      </c>
      <c r="C319" s="141">
        <f>IF($K319="","",IF($K319&lt;=3000,"出库领用",IF(INDEX(资金台帐!$S$7:$S$3006,$K319-3000)&gt;=0,"收款","退款")&amp;"（"&amp;INDEX(资金台帐!$C$7:$C$3006,$K319-3000)&amp;"）"))</f>
      </c>
      <c r="D319" s="141">
        <f>IF($K319="","",IF($K319&lt;=3000,INDEX(出库明细!$D$4:$D$3003,$K319)&amp;"",""))</f>
      </c>
      <c r="E319" s="148">
        <f>IF($K319="","",IF($K319&lt;=3000,INDEX(出库明细!$E$4:$E$3003,$K319),""))</f>
      </c>
      <c r="F319" s="149">
        <f>IF($K319="","",IF($K319&lt;=3000,INDEX(出库明细!$F$4:$F$3003,$K319),""))</f>
      </c>
      <c r="G319" s="186">
        <f>IF($K319="","",IF($K319&lt;=3000,N(INDEX(出库明细!$G$4:$G$3003,$K319)),""))</f>
      </c>
      <c r="H319" s="186">
        <f>IF($K319="","",IF($K319&lt;=3000,"",INDEX(资金台帐!$S$7:$S$3006,$K319-3000)))</f>
      </c>
      <c r="I319" s="187">
        <f>IF($K319="","",I318+N(G319)-N(H319))</f>
      </c>
      <c r="J319" s="213">
        <f>IF($K319="","",IF($K319&lt;=3000,INDEX(出库明细!$H$4:$H$3003,$K319)&amp;"",INDEX(资金台帐!$E$7:$E$3006,$K319-3000)&amp;""))</f>
      </c>
      <c r="K319" s="78">
        <f>IFERROR(MATCH(SMALL(_辅助!$F$4:$F$6003,280),_辅助!$F$4:$F$6003,0),"")</f>
      </c>
    </row>
    <row r="320">
      <c r="A320" s="141">
        <f>IF($K320="","",281)</f>
      </c>
      <c r="B320" s="140">
        <f>IF($K320="","",IF($K320&lt;=3000,INDEX(出库明细!$B$4:$B$3003,$K320),INDEX(资金台帐!$B$7:$B$3006,$K320-3000)))</f>
      </c>
      <c r="C320" s="141">
        <f>IF($K320="","",IF($K320&lt;=3000,"出库领用",IF(INDEX(资金台帐!$S$7:$S$3006,$K320-3000)&gt;=0,"收款","退款")&amp;"（"&amp;INDEX(资金台帐!$C$7:$C$3006,$K320-3000)&amp;"）"))</f>
      </c>
      <c r="D320" s="141">
        <f>IF($K320="","",IF($K320&lt;=3000,INDEX(出库明细!$D$4:$D$3003,$K320)&amp;"",""))</f>
      </c>
      <c r="E320" s="148">
        <f>IF($K320="","",IF($K320&lt;=3000,INDEX(出库明细!$E$4:$E$3003,$K320),""))</f>
      </c>
      <c r="F320" s="149">
        <f>IF($K320="","",IF($K320&lt;=3000,INDEX(出库明细!$F$4:$F$3003,$K320),""))</f>
      </c>
      <c r="G320" s="186">
        <f>IF($K320="","",IF($K320&lt;=3000,N(INDEX(出库明细!$G$4:$G$3003,$K320)),""))</f>
      </c>
      <c r="H320" s="186">
        <f>IF($K320="","",IF($K320&lt;=3000,"",INDEX(资金台帐!$S$7:$S$3006,$K320-3000)))</f>
      </c>
      <c r="I320" s="187">
        <f>IF($K320="","",I319+N(G320)-N(H320))</f>
      </c>
      <c r="J320" s="213">
        <f>IF($K320="","",IF($K320&lt;=3000,INDEX(出库明细!$H$4:$H$3003,$K320)&amp;"",INDEX(资金台帐!$E$7:$E$3006,$K320-3000)&amp;""))</f>
      </c>
      <c r="K320" s="78">
        <f>IFERROR(MATCH(SMALL(_辅助!$F$4:$F$6003,281),_辅助!$F$4:$F$6003,0),"")</f>
      </c>
    </row>
    <row r="321">
      <c r="A321" s="141">
        <f>IF($K321="","",282)</f>
      </c>
      <c r="B321" s="140">
        <f>IF($K321="","",IF($K321&lt;=3000,INDEX(出库明细!$B$4:$B$3003,$K321),INDEX(资金台帐!$B$7:$B$3006,$K321-3000)))</f>
      </c>
      <c r="C321" s="141">
        <f>IF($K321="","",IF($K321&lt;=3000,"出库领用",IF(INDEX(资金台帐!$S$7:$S$3006,$K321-3000)&gt;=0,"收款","退款")&amp;"（"&amp;INDEX(资金台帐!$C$7:$C$3006,$K321-3000)&amp;"）"))</f>
      </c>
      <c r="D321" s="141">
        <f>IF($K321="","",IF($K321&lt;=3000,INDEX(出库明细!$D$4:$D$3003,$K321)&amp;"",""))</f>
      </c>
      <c r="E321" s="148">
        <f>IF($K321="","",IF($K321&lt;=3000,INDEX(出库明细!$E$4:$E$3003,$K321),""))</f>
      </c>
      <c r="F321" s="149">
        <f>IF($K321="","",IF($K321&lt;=3000,INDEX(出库明细!$F$4:$F$3003,$K321),""))</f>
      </c>
      <c r="G321" s="186">
        <f>IF($K321="","",IF($K321&lt;=3000,N(INDEX(出库明细!$G$4:$G$3003,$K321)),""))</f>
      </c>
      <c r="H321" s="186">
        <f>IF($K321="","",IF($K321&lt;=3000,"",INDEX(资金台帐!$S$7:$S$3006,$K321-3000)))</f>
      </c>
      <c r="I321" s="187">
        <f>IF($K321="","",I320+N(G321)-N(H321))</f>
      </c>
      <c r="J321" s="213">
        <f>IF($K321="","",IF($K321&lt;=3000,INDEX(出库明细!$H$4:$H$3003,$K321)&amp;"",INDEX(资金台帐!$E$7:$E$3006,$K321-3000)&amp;""))</f>
      </c>
      <c r="K321" s="78">
        <f>IFERROR(MATCH(SMALL(_辅助!$F$4:$F$6003,282),_辅助!$F$4:$F$6003,0),"")</f>
      </c>
    </row>
    <row r="322">
      <c r="A322" s="141">
        <f>IF($K322="","",283)</f>
      </c>
      <c r="B322" s="140">
        <f>IF($K322="","",IF($K322&lt;=3000,INDEX(出库明细!$B$4:$B$3003,$K322),INDEX(资金台帐!$B$7:$B$3006,$K322-3000)))</f>
      </c>
      <c r="C322" s="141">
        <f>IF($K322="","",IF($K322&lt;=3000,"出库领用",IF(INDEX(资金台帐!$S$7:$S$3006,$K322-3000)&gt;=0,"收款","退款")&amp;"（"&amp;INDEX(资金台帐!$C$7:$C$3006,$K322-3000)&amp;"）"))</f>
      </c>
      <c r="D322" s="141">
        <f>IF($K322="","",IF($K322&lt;=3000,INDEX(出库明细!$D$4:$D$3003,$K322)&amp;"",""))</f>
      </c>
      <c r="E322" s="148">
        <f>IF($K322="","",IF($K322&lt;=3000,INDEX(出库明细!$E$4:$E$3003,$K322),""))</f>
      </c>
      <c r="F322" s="149">
        <f>IF($K322="","",IF($K322&lt;=3000,INDEX(出库明细!$F$4:$F$3003,$K322),""))</f>
      </c>
      <c r="G322" s="186">
        <f>IF($K322="","",IF($K322&lt;=3000,N(INDEX(出库明细!$G$4:$G$3003,$K322)),""))</f>
      </c>
      <c r="H322" s="186">
        <f>IF($K322="","",IF($K322&lt;=3000,"",INDEX(资金台帐!$S$7:$S$3006,$K322-3000)))</f>
      </c>
      <c r="I322" s="187">
        <f>IF($K322="","",I321+N(G322)-N(H322))</f>
      </c>
      <c r="J322" s="213">
        <f>IF($K322="","",IF($K322&lt;=3000,INDEX(出库明细!$H$4:$H$3003,$K322)&amp;"",INDEX(资金台帐!$E$7:$E$3006,$K322-3000)&amp;""))</f>
      </c>
      <c r="K322" s="78">
        <f>IFERROR(MATCH(SMALL(_辅助!$F$4:$F$6003,283),_辅助!$F$4:$F$6003,0),"")</f>
      </c>
    </row>
    <row r="323">
      <c r="A323" s="141">
        <f>IF($K323="","",284)</f>
      </c>
      <c r="B323" s="140">
        <f>IF($K323="","",IF($K323&lt;=3000,INDEX(出库明细!$B$4:$B$3003,$K323),INDEX(资金台帐!$B$7:$B$3006,$K323-3000)))</f>
      </c>
      <c r="C323" s="141">
        <f>IF($K323="","",IF($K323&lt;=3000,"出库领用",IF(INDEX(资金台帐!$S$7:$S$3006,$K323-3000)&gt;=0,"收款","退款")&amp;"（"&amp;INDEX(资金台帐!$C$7:$C$3006,$K323-3000)&amp;"）"))</f>
      </c>
      <c r="D323" s="141">
        <f>IF($K323="","",IF($K323&lt;=3000,INDEX(出库明细!$D$4:$D$3003,$K323)&amp;"",""))</f>
      </c>
      <c r="E323" s="148">
        <f>IF($K323="","",IF($K323&lt;=3000,INDEX(出库明细!$E$4:$E$3003,$K323),""))</f>
      </c>
      <c r="F323" s="149">
        <f>IF($K323="","",IF($K323&lt;=3000,INDEX(出库明细!$F$4:$F$3003,$K323),""))</f>
      </c>
      <c r="G323" s="186">
        <f>IF($K323="","",IF($K323&lt;=3000,N(INDEX(出库明细!$G$4:$G$3003,$K323)),""))</f>
      </c>
      <c r="H323" s="186">
        <f>IF($K323="","",IF($K323&lt;=3000,"",INDEX(资金台帐!$S$7:$S$3006,$K323-3000)))</f>
      </c>
      <c r="I323" s="187">
        <f>IF($K323="","",I322+N(G323)-N(H323))</f>
      </c>
      <c r="J323" s="213">
        <f>IF($K323="","",IF($K323&lt;=3000,INDEX(出库明细!$H$4:$H$3003,$K323)&amp;"",INDEX(资金台帐!$E$7:$E$3006,$K323-3000)&amp;""))</f>
      </c>
      <c r="K323" s="78">
        <f>IFERROR(MATCH(SMALL(_辅助!$F$4:$F$6003,284),_辅助!$F$4:$F$6003,0),"")</f>
      </c>
    </row>
    <row r="324">
      <c r="A324" s="141">
        <f>IF($K324="","",285)</f>
      </c>
      <c r="B324" s="140">
        <f>IF($K324="","",IF($K324&lt;=3000,INDEX(出库明细!$B$4:$B$3003,$K324),INDEX(资金台帐!$B$7:$B$3006,$K324-3000)))</f>
      </c>
      <c r="C324" s="141">
        <f>IF($K324="","",IF($K324&lt;=3000,"出库领用",IF(INDEX(资金台帐!$S$7:$S$3006,$K324-3000)&gt;=0,"收款","退款")&amp;"（"&amp;INDEX(资金台帐!$C$7:$C$3006,$K324-3000)&amp;"）"))</f>
      </c>
      <c r="D324" s="141">
        <f>IF($K324="","",IF($K324&lt;=3000,INDEX(出库明细!$D$4:$D$3003,$K324)&amp;"",""))</f>
      </c>
      <c r="E324" s="148">
        <f>IF($K324="","",IF($K324&lt;=3000,INDEX(出库明细!$E$4:$E$3003,$K324),""))</f>
      </c>
      <c r="F324" s="149">
        <f>IF($K324="","",IF($K324&lt;=3000,INDEX(出库明细!$F$4:$F$3003,$K324),""))</f>
      </c>
      <c r="G324" s="186">
        <f>IF($K324="","",IF($K324&lt;=3000,N(INDEX(出库明细!$G$4:$G$3003,$K324)),""))</f>
      </c>
      <c r="H324" s="186">
        <f>IF($K324="","",IF($K324&lt;=3000,"",INDEX(资金台帐!$S$7:$S$3006,$K324-3000)))</f>
      </c>
      <c r="I324" s="187">
        <f>IF($K324="","",I323+N(G324)-N(H324))</f>
      </c>
      <c r="J324" s="213">
        <f>IF($K324="","",IF($K324&lt;=3000,INDEX(出库明细!$H$4:$H$3003,$K324)&amp;"",INDEX(资金台帐!$E$7:$E$3006,$K324-3000)&amp;""))</f>
      </c>
      <c r="K324" s="78">
        <f>IFERROR(MATCH(SMALL(_辅助!$F$4:$F$6003,285),_辅助!$F$4:$F$6003,0),"")</f>
      </c>
    </row>
    <row r="325">
      <c r="A325" s="141">
        <f>IF($K325="","",286)</f>
      </c>
      <c r="B325" s="140">
        <f>IF($K325="","",IF($K325&lt;=3000,INDEX(出库明细!$B$4:$B$3003,$K325),INDEX(资金台帐!$B$7:$B$3006,$K325-3000)))</f>
      </c>
      <c r="C325" s="141">
        <f>IF($K325="","",IF($K325&lt;=3000,"出库领用",IF(INDEX(资金台帐!$S$7:$S$3006,$K325-3000)&gt;=0,"收款","退款")&amp;"（"&amp;INDEX(资金台帐!$C$7:$C$3006,$K325-3000)&amp;"）"))</f>
      </c>
      <c r="D325" s="141">
        <f>IF($K325="","",IF($K325&lt;=3000,INDEX(出库明细!$D$4:$D$3003,$K325)&amp;"",""))</f>
      </c>
      <c r="E325" s="148">
        <f>IF($K325="","",IF($K325&lt;=3000,INDEX(出库明细!$E$4:$E$3003,$K325),""))</f>
      </c>
      <c r="F325" s="149">
        <f>IF($K325="","",IF($K325&lt;=3000,INDEX(出库明细!$F$4:$F$3003,$K325),""))</f>
      </c>
      <c r="G325" s="186">
        <f>IF($K325="","",IF($K325&lt;=3000,N(INDEX(出库明细!$G$4:$G$3003,$K325)),""))</f>
      </c>
      <c r="H325" s="186">
        <f>IF($K325="","",IF($K325&lt;=3000,"",INDEX(资金台帐!$S$7:$S$3006,$K325-3000)))</f>
      </c>
      <c r="I325" s="187">
        <f>IF($K325="","",I324+N(G325)-N(H325))</f>
      </c>
      <c r="J325" s="213">
        <f>IF($K325="","",IF($K325&lt;=3000,INDEX(出库明细!$H$4:$H$3003,$K325)&amp;"",INDEX(资金台帐!$E$7:$E$3006,$K325-3000)&amp;""))</f>
      </c>
      <c r="K325" s="78">
        <f>IFERROR(MATCH(SMALL(_辅助!$F$4:$F$6003,286),_辅助!$F$4:$F$6003,0),"")</f>
      </c>
    </row>
    <row r="326">
      <c r="A326" s="141">
        <f>IF($K326="","",287)</f>
      </c>
      <c r="B326" s="140">
        <f>IF($K326="","",IF($K326&lt;=3000,INDEX(出库明细!$B$4:$B$3003,$K326),INDEX(资金台帐!$B$7:$B$3006,$K326-3000)))</f>
      </c>
      <c r="C326" s="141">
        <f>IF($K326="","",IF($K326&lt;=3000,"出库领用",IF(INDEX(资金台帐!$S$7:$S$3006,$K326-3000)&gt;=0,"收款","退款")&amp;"（"&amp;INDEX(资金台帐!$C$7:$C$3006,$K326-3000)&amp;"）"))</f>
      </c>
      <c r="D326" s="141">
        <f>IF($K326="","",IF($K326&lt;=3000,INDEX(出库明细!$D$4:$D$3003,$K326)&amp;"",""))</f>
      </c>
      <c r="E326" s="148">
        <f>IF($K326="","",IF($K326&lt;=3000,INDEX(出库明细!$E$4:$E$3003,$K326),""))</f>
      </c>
      <c r="F326" s="149">
        <f>IF($K326="","",IF($K326&lt;=3000,INDEX(出库明细!$F$4:$F$3003,$K326),""))</f>
      </c>
      <c r="G326" s="186">
        <f>IF($K326="","",IF($K326&lt;=3000,N(INDEX(出库明细!$G$4:$G$3003,$K326)),""))</f>
      </c>
      <c r="H326" s="186">
        <f>IF($K326="","",IF($K326&lt;=3000,"",INDEX(资金台帐!$S$7:$S$3006,$K326-3000)))</f>
      </c>
      <c r="I326" s="187">
        <f>IF($K326="","",I325+N(G326)-N(H326))</f>
      </c>
      <c r="J326" s="213">
        <f>IF($K326="","",IF($K326&lt;=3000,INDEX(出库明细!$H$4:$H$3003,$K326)&amp;"",INDEX(资金台帐!$E$7:$E$3006,$K326-3000)&amp;""))</f>
      </c>
      <c r="K326" s="78">
        <f>IFERROR(MATCH(SMALL(_辅助!$F$4:$F$6003,287),_辅助!$F$4:$F$6003,0),"")</f>
      </c>
    </row>
    <row r="327">
      <c r="A327" s="141">
        <f>IF($K327="","",288)</f>
      </c>
      <c r="B327" s="140">
        <f>IF($K327="","",IF($K327&lt;=3000,INDEX(出库明细!$B$4:$B$3003,$K327),INDEX(资金台帐!$B$7:$B$3006,$K327-3000)))</f>
      </c>
      <c r="C327" s="141">
        <f>IF($K327="","",IF($K327&lt;=3000,"出库领用",IF(INDEX(资金台帐!$S$7:$S$3006,$K327-3000)&gt;=0,"收款","退款")&amp;"（"&amp;INDEX(资金台帐!$C$7:$C$3006,$K327-3000)&amp;"）"))</f>
      </c>
      <c r="D327" s="141">
        <f>IF($K327="","",IF($K327&lt;=3000,INDEX(出库明细!$D$4:$D$3003,$K327)&amp;"",""))</f>
      </c>
      <c r="E327" s="148">
        <f>IF($K327="","",IF($K327&lt;=3000,INDEX(出库明细!$E$4:$E$3003,$K327),""))</f>
      </c>
      <c r="F327" s="149">
        <f>IF($K327="","",IF($K327&lt;=3000,INDEX(出库明细!$F$4:$F$3003,$K327),""))</f>
      </c>
      <c r="G327" s="186">
        <f>IF($K327="","",IF($K327&lt;=3000,N(INDEX(出库明细!$G$4:$G$3003,$K327)),""))</f>
      </c>
      <c r="H327" s="186">
        <f>IF($K327="","",IF($K327&lt;=3000,"",INDEX(资金台帐!$S$7:$S$3006,$K327-3000)))</f>
      </c>
      <c r="I327" s="187">
        <f>IF($K327="","",I326+N(G327)-N(H327))</f>
      </c>
      <c r="J327" s="213">
        <f>IF($K327="","",IF($K327&lt;=3000,INDEX(出库明细!$H$4:$H$3003,$K327)&amp;"",INDEX(资金台帐!$E$7:$E$3006,$K327-3000)&amp;""))</f>
      </c>
      <c r="K327" s="78">
        <f>IFERROR(MATCH(SMALL(_辅助!$F$4:$F$6003,288),_辅助!$F$4:$F$6003,0),"")</f>
      </c>
    </row>
    <row r="328">
      <c r="A328" s="141">
        <f>IF($K328="","",289)</f>
      </c>
      <c r="B328" s="140">
        <f>IF($K328="","",IF($K328&lt;=3000,INDEX(出库明细!$B$4:$B$3003,$K328),INDEX(资金台帐!$B$7:$B$3006,$K328-3000)))</f>
      </c>
      <c r="C328" s="141">
        <f>IF($K328="","",IF($K328&lt;=3000,"出库领用",IF(INDEX(资金台帐!$S$7:$S$3006,$K328-3000)&gt;=0,"收款","退款")&amp;"（"&amp;INDEX(资金台帐!$C$7:$C$3006,$K328-3000)&amp;"）"))</f>
      </c>
      <c r="D328" s="141">
        <f>IF($K328="","",IF($K328&lt;=3000,INDEX(出库明细!$D$4:$D$3003,$K328)&amp;"",""))</f>
      </c>
      <c r="E328" s="148">
        <f>IF($K328="","",IF($K328&lt;=3000,INDEX(出库明细!$E$4:$E$3003,$K328),""))</f>
      </c>
      <c r="F328" s="149">
        <f>IF($K328="","",IF($K328&lt;=3000,INDEX(出库明细!$F$4:$F$3003,$K328),""))</f>
      </c>
      <c r="G328" s="186">
        <f>IF($K328="","",IF($K328&lt;=3000,N(INDEX(出库明细!$G$4:$G$3003,$K328)),""))</f>
      </c>
      <c r="H328" s="186">
        <f>IF($K328="","",IF($K328&lt;=3000,"",INDEX(资金台帐!$S$7:$S$3006,$K328-3000)))</f>
      </c>
      <c r="I328" s="187">
        <f>IF($K328="","",I327+N(G328)-N(H328))</f>
      </c>
      <c r="J328" s="213">
        <f>IF($K328="","",IF($K328&lt;=3000,INDEX(出库明细!$H$4:$H$3003,$K328)&amp;"",INDEX(资金台帐!$E$7:$E$3006,$K328-3000)&amp;""))</f>
      </c>
      <c r="K328" s="78">
        <f>IFERROR(MATCH(SMALL(_辅助!$F$4:$F$6003,289),_辅助!$F$4:$F$6003,0),"")</f>
      </c>
    </row>
    <row r="329">
      <c r="A329" s="141">
        <f>IF($K329="","",290)</f>
      </c>
      <c r="B329" s="140">
        <f>IF($K329="","",IF($K329&lt;=3000,INDEX(出库明细!$B$4:$B$3003,$K329),INDEX(资金台帐!$B$7:$B$3006,$K329-3000)))</f>
      </c>
      <c r="C329" s="141">
        <f>IF($K329="","",IF($K329&lt;=3000,"出库领用",IF(INDEX(资金台帐!$S$7:$S$3006,$K329-3000)&gt;=0,"收款","退款")&amp;"（"&amp;INDEX(资金台帐!$C$7:$C$3006,$K329-3000)&amp;"）"))</f>
      </c>
      <c r="D329" s="141">
        <f>IF($K329="","",IF($K329&lt;=3000,INDEX(出库明细!$D$4:$D$3003,$K329)&amp;"",""))</f>
      </c>
      <c r="E329" s="148">
        <f>IF($K329="","",IF($K329&lt;=3000,INDEX(出库明细!$E$4:$E$3003,$K329),""))</f>
      </c>
      <c r="F329" s="149">
        <f>IF($K329="","",IF($K329&lt;=3000,INDEX(出库明细!$F$4:$F$3003,$K329),""))</f>
      </c>
      <c r="G329" s="186">
        <f>IF($K329="","",IF($K329&lt;=3000,N(INDEX(出库明细!$G$4:$G$3003,$K329)),""))</f>
      </c>
      <c r="H329" s="186">
        <f>IF($K329="","",IF($K329&lt;=3000,"",INDEX(资金台帐!$S$7:$S$3006,$K329-3000)))</f>
      </c>
      <c r="I329" s="187">
        <f>IF($K329="","",I328+N(G329)-N(H329))</f>
      </c>
      <c r="J329" s="213">
        <f>IF($K329="","",IF($K329&lt;=3000,INDEX(出库明细!$H$4:$H$3003,$K329)&amp;"",INDEX(资金台帐!$E$7:$E$3006,$K329-3000)&amp;""))</f>
      </c>
      <c r="K329" s="78">
        <f>IFERROR(MATCH(SMALL(_辅助!$F$4:$F$6003,290),_辅助!$F$4:$F$6003,0),"")</f>
      </c>
    </row>
    <row r="330">
      <c r="A330" s="141">
        <f>IF($K330="","",291)</f>
      </c>
      <c r="B330" s="140">
        <f>IF($K330="","",IF($K330&lt;=3000,INDEX(出库明细!$B$4:$B$3003,$K330),INDEX(资金台帐!$B$7:$B$3006,$K330-3000)))</f>
      </c>
      <c r="C330" s="141">
        <f>IF($K330="","",IF($K330&lt;=3000,"出库领用",IF(INDEX(资金台帐!$S$7:$S$3006,$K330-3000)&gt;=0,"收款","退款")&amp;"（"&amp;INDEX(资金台帐!$C$7:$C$3006,$K330-3000)&amp;"）"))</f>
      </c>
      <c r="D330" s="141">
        <f>IF($K330="","",IF($K330&lt;=3000,INDEX(出库明细!$D$4:$D$3003,$K330)&amp;"",""))</f>
      </c>
      <c r="E330" s="148">
        <f>IF($K330="","",IF($K330&lt;=3000,INDEX(出库明细!$E$4:$E$3003,$K330),""))</f>
      </c>
      <c r="F330" s="149">
        <f>IF($K330="","",IF($K330&lt;=3000,INDEX(出库明细!$F$4:$F$3003,$K330),""))</f>
      </c>
      <c r="G330" s="186">
        <f>IF($K330="","",IF($K330&lt;=3000,N(INDEX(出库明细!$G$4:$G$3003,$K330)),""))</f>
      </c>
      <c r="H330" s="186">
        <f>IF($K330="","",IF($K330&lt;=3000,"",INDEX(资金台帐!$S$7:$S$3006,$K330-3000)))</f>
      </c>
      <c r="I330" s="187">
        <f>IF($K330="","",I329+N(G330)-N(H330))</f>
      </c>
      <c r="J330" s="213">
        <f>IF($K330="","",IF($K330&lt;=3000,INDEX(出库明细!$H$4:$H$3003,$K330)&amp;"",INDEX(资金台帐!$E$7:$E$3006,$K330-3000)&amp;""))</f>
      </c>
      <c r="K330" s="78">
        <f>IFERROR(MATCH(SMALL(_辅助!$F$4:$F$6003,291),_辅助!$F$4:$F$6003,0),"")</f>
      </c>
    </row>
    <row r="331">
      <c r="A331" s="141">
        <f>IF($K331="","",292)</f>
      </c>
      <c r="B331" s="140">
        <f>IF($K331="","",IF($K331&lt;=3000,INDEX(出库明细!$B$4:$B$3003,$K331),INDEX(资金台帐!$B$7:$B$3006,$K331-3000)))</f>
      </c>
      <c r="C331" s="141">
        <f>IF($K331="","",IF($K331&lt;=3000,"出库领用",IF(INDEX(资金台帐!$S$7:$S$3006,$K331-3000)&gt;=0,"收款","退款")&amp;"（"&amp;INDEX(资金台帐!$C$7:$C$3006,$K331-3000)&amp;"）"))</f>
      </c>
      <c r="D331" s="141">
        <f>IF($K331="","",IF($K331&lt;=3000,INDEX(出库明细!$D$4:$D$3003,$K331)&amp;"",""))</f>
      </c>
      <c r="E331" s="148">
        <f>IF($K331="","",IF($K331&lt;=3000,INDEX(出库明细!$E$4:$E$3003,$K331),""))</f>
      </c>
      <c r="F331" s="149">
        <f>IF($K331="","",IF($K331&lt;=3000,INDEX(出库明细!$F$4:$F$3003,$K331),""))</f>
      </c>
      <c r="G331" s="186">
        <f>IF($K331="","",IF($K331&lt;=3000,N(INDEX(出库明细!$G$4:$G$3003,$K331)),""))</f>
      </c>
      <c r="H331" s="186">
        <f>IF($K331="","",IF($K331&lt;=3000,"",INDEX(资金台帐!$S$7:$S$3006,$K331-3000)))</f>
      </c>
      <c r="I331" s="187">
        <f>IF($K331="","",I330+N(G331)-N(H331))</f>
      </c>
      <c r="J331" s="213">
        <f>IF($K331="","",IF($K331&lt;=3000,INDEX(出库明细!$H$4:$H$3003,$K331)&amp;"",INDEX(资金台帐!$E$7:$E$3006,$K331-3000)&amp;""))</f>
      </c>
      <c r="K331" s="78">
        <f>IFERROR(MATCH(SMALL(_辅助!$F$4:$F$6003,292),_辅助!$F$4:$F$6003,0),"")</f>
      </c>
    </row>
    <row r="332">
      <c r="A332" s="141">
        <f>IF($K332="","",293)</f>
      </c>
      <c r="B332" s="140">
        <f>IF($K332="","",IF($K332&lt;=3000,INDEX(出库明细!$B$4:$B$3003,$K332),INDEX(资金台帐!$B$7:$B$3006,$K332-3000)))</f>
      </c>
      <c r="C332" s="141">
        <f>IF($K332="","",IF($K332&lt;=3000,"出库领用",IF(INDEX(资金台帐!$S$7:$S$3006,$K332-3000)&gt;=0,"收款","退款")&amp;"（"&amp;INDEX(资金台帐!$C$7:$C$3006,$K332-3000)&amp;"）"))</f>
      </c>
      <c r="D332" s="141">
        <f>IF($K332="","",IF($K332&lt;=3000,INDEX(出库明细!$D$4:$D$3003,$K332)&amp;"",""))</f>
      </c>
      <c r="E332" s="148">
        <f>IF($K332="","",IF($K332&lt;=3000,INDEX(出库明细!$E$4:$E$3003,$K332),""))</f>
      </c>
      <c r="F332" s="149">
        <f>IF($K332="","",IF($K332&lt;=3000,INDEX(出库明细!$F$4:$F$3003,$K332),""))</f>
      </c>
      <c r="G332" s="186">
        <f>IF($K332="","",IF($K332&lt;=3000,N(INDEX(出库明细!$G$4:$G$3003,$K332)),""))</f>
      </c>
      <c r="H332" s="186">
        <f>IF($K332="","",IF($K332&lt;=3000,"",INDEX(资金台帐!$S$7:$S$3006,$K332-3000)))</f>
      </c>
      <c r="I332" s="187">
        <f>IF($K332="","",I331+N(G332)-N(H332))</f>
      </c>
      <c r="J332" s="213">
        <f>IF($K332="","",IF($K332&lt;=3000,INDEX(出库明细!$H$4:$H$3003,$K332)&amp;"",INDEX(资金台帐!$E$7:$E$3006,$K332-3000)&amp;""))</f>
      </c>
      <c r="K332" s="78">
        <f>IFERROR(MATCH(SMALL(_辅助!$F$4:$F$6003,293),_辅助!$F$4:$F$6003,0),"")</f>
      </c>
    </row>
    <row r="333">
      <c r="A333" s="141">
        <f>IF($K333="","",294)</f>
      </c>
      <c r="B333" s="140">
        <f>IF($K333="","",IF($K333&lt;=3000,INDEX(出库明细!$B$4:$B$3003,$K333),INDEX(资金台帐!$B$7:$B$3006,$K333-3000)))</f>
      </c>
      <c r="C333" s="141">
        <f>IF($K333="","",IF($K333&lt;=3000,"出库领用",IF(INDEX(资金台帐!$S$7:$S$3006,$K333-3000)&gt;=0,"收款","退款")&amp;"（"&amp;INDEX(资金台帐!$C$7:$C$3006,$K333-3000)&amp;"）"))</f>
      </c>
      <c r="D333" s="141">
        <f>IF($K333="","",IF($K333&lt;=3000,INDEX(出库明细!$D$4:$D$3003,$K333)&amp;"",""))</f>
      </c>
      <c r="E333" s="148">
        <f>IF($K333="","",IF($K333&lt;=3000,INDEX(出库明细!$E$4:$E$3003,$K333),""))</f>
      </c>
      <c r="F333" s="149">
        <f>IF($K333="","",IF($K333&lt;=3000,INDEX(出库明细!$F$4:$F$3003,$K333),""))</f>
      </c>
      <c r="G333" s="186">
        <f>IF($K333="","",IF($K333&lt;=3000,N(INDEX(出库明细!$G$4:$G$3003,$K333)),""))</f>
      </c>
      <c r="H333" s="186">
        <f>IF($K333="","",IF($K333&lt;=3000,"",INDEX(资金台帐!$S$7:$S$3006,$K333-3000)))</f>
      </c>
      <c r="I333" s="187">
        <f>IF($K333="","",I332+N(G333)-N(H333))</f>
      </c>
      <c r="J333" s="213">
        <f>IF($K333="","",IF($K333&lt;=3000,INDEX(出库明细!$H$4:$H$3003,$K333)&amp;"",INDEX(资金台帐!$E$7:$E$3006,$K333-3000)&amp;""))</f>
      </c>
      <c r="K333" s="78">
        <f>IFERROR(MATCH(SMALL(_辅助!$F$4:$F$6003,294),_辅助!$F$4:$F$6003,0),"")</f>
      </c>
    </row>
    <row r="334">
      <c r="A334" s="141">
        <f>IF($K334="","",295)</f>
      </c>
      <c r="B334" s="140">
        <f>IF($K334="","",IF($K334&lt;=3000,INDEX(出库明细!$B$4:$B$3003,$K334),INDEX(资金台帐!$B$7:$B$3006,$K334-3000)))</f>
      </c>
      <c r="C334" s="141">
        <f>IF($K334="","",IF($K334&lt;=3000,"出库领用",IF(INDEX(资金台帐!$S$7:$S$3006,$K334-3000)&gt;=0,"收款","退款")&amp;"（"&amp;INDEX(资金台帐!$C$7:$C$3006,$K334-3000)&amp;"）"))</f>
      </c>
      <c r="D334" s="141">
        <f>IF($K334="","",IF($K334&lt;=3000,INDEX(出库明细!$D$4:$D$3003,$K334)&amp;"",""))</f>
      </c>
      <c r="E334" s="148">
        <f>IF($K334="","",IF($K334&lt;=3000,INDEX(出库明细!$E$4:$E$3003,$K334),""))</f>
      </c>
      <c r="F334" s="149">
        <f>IF($K334="","",IF($K334&lt;=3000,INDEX(出库明细!$F$4:$F$3003,$K334),""))</f>
      </c>
      <c r="G334" s="186">
        <f>IF($K334="","",IF($K334&lt;=3000,N(INDEX(出库明细!$G$4:$G$3003,$K334)),""))</f>
      </c>
      <c r="H334" s="186">
        <f>IF($K334="","",IF($K334&lt;=3000,"",INDEX(资金台帐!$S$7:$S$3006,$K334-3000)))</f>
      </c>
      <c r="I334" s="187">
        <f>IF($K334="","",I333+N(G334)-N(H334))</f>
      </c>
      <c r="J334" s="213">
        <f>IF($K334="","",IF($K334&lt;=3000,INDEX(出库明细!$H$4:$H$3003,$K334)&amp;"",INDEX(资金台帐!$E$7:$E$3006,$K334-3000)&amp;""))</f>
      </c>
      <c r="K334" s="78">
        <f>IFERROR(MATCH(SMALL(_辅助!$F$4:$F$6003,295),_辅助!$F$4:$F$6003,0),"")</f>
      </c>
    </row>
    <row r="335">
      <c r="A335" s="141">
        <f>IF($K335="","",296)</f>
      </c>
      <c r="B335" s="140">
        <f>IF($K335="","",IF($K335&lt;=3000,INDEX(出库明细!$B$4:$B$3003,$K335),INDEX(资金台帐!$B$7:$B$3006,$K335-3000)))</f>
      </c>
      <c r="C335" s="141">
        <f>IF($K335="","",IF($K335&lt;=3000,"出库领用",IF(INDEX(资金台帐!$S$7:$S$3006,$K335-3000)&gt;=0,"收款","退款")&amp;"（"&amp;INDEX(资金台帐!$C$7:$C$3006,$K335-3000)&amp;"）"))</f>
      </c>
      <c r="D335" s="141">
        <f>IF($K335="","",IF($K335&lt;=3000,INDEX(出库明细!$D$4:$D$3003,$K335)&amp;"",""))</f>
      </c>
      <c r="E335" s="148">
        <f>IF($K335="","",IF($K335&lt;=3000,INDEX(出库明细!$E$4:$E$3003,$K335),""))</f>
      </c>
      <c r="F335" s="149">
        <f>IF($K335="","",IF($K335&lt;=3000,INDEX(出库明细!$F$4:$F$3003,$K335),""))</f>
      </c>
      <c r="G335" s="186">
        <f>IF($K335="","",IF($K335&lt;=3000,N(INDEX(出库明细!$G$4:$G$3003,$K335)),""))</f>
      </c>
      <c r="H335" s="186">
        <f>IF($K335="","",IF($K335&lt;=3000,"",INDEX(资金台帐!$S$7:$S$3006,$K335-3000)))</f>
      </c>
      <c r="I335" s="187">
        <f>IF($K335="","",I334+N(G335)-N(H335))</f>
      </c>
      <c r="J335" s="213">
        <f>IF($K335="","",IF($K335&lt;=3000,INDEX(出库明细!$H$4:$H$3003,$K335)&amp;"",INDEX(资金台帐!$E$7:$E$3006,$K335-3000)&amp;""))</f>
      </c>
      <c r="K335" s="78">
        <f>IFERROR(MATCH(SMALL(_辅助!$F$4:$F$6003,296),_辅助!$F$4:$F$6003,0),"")</f>
      </c>
    </row>
    <row r="336">
      <c r="A336" s="141">
        <f>IF($K336="","",297)</f>
      </c>
      <c r="B336" s="140">
        <f>IF($K336="","",IF($K336&lt;=3000,INDEX(出库明细!$B$4:$B$3003,$K336),INDEX(资金台帐!$B$7:$B$3006,$K336-3000)))</f>
      </c>
      <c r="C336" s="141">
        <f>IF($K336="","",IF($K336&lt;=3000,"出库领用",IF(INDEX(资金台帐!$S$7:$S$3006,$K336-3000)&gt;=0,"收款","退款")&amp;"（"&amp;INDEX(资金台帐!$C$7:$C$3006,$K336-3000)&amp;"）"))</f>
      </c>
      <c r="D336" s="141">
        <f>IF($K336="","",IF($K336&lt;=3000,INDEX(出库明细!$D$4:$D$3003,$K336)&amp;"",""))</f>
      </c>
      <c r="E336" s="148">
        <f>IF($K336="","",IF($K336&lt;=3000,INDEX(出库明细!$E$4:$E$3003,$K336),""))</f>
      </c>
      <c r="F336" s="149">
        <f>IF($K336="","",IF($K336&lt;=3000,INDEX(出库明细!$F$4:$F$3003,$K336),""))</f>
      </c>
      <c r="G336" s="186">
        <f>IF($K336="","",IF($K336&lt;=3000,N(INDEX(出库明细!$G$4:$G$3003,$K336)),""))</f>
      </c>
      <c r="H336" s="186">
        <f>IF($K336="","",IF($K336&lt;=3000,"",INDEX(资金台帐!$S$7:$S$3006,$K336-3000)))</f>
      </c>
      <c r="I336" s="187">
        <f>IF($K336="","",I335+N(G336)-N(H336))</f>
      </c>
      <c r="J336" s="213">
        <f>IF($K336="","",IF($K336&lt;=3000,INDEX(出库明细!$H$4:$H$3003,$K336)&amp;"",INDEX(资金台帐!$E$7:$E$3006,$K336-3000)&amp;""))</f>
      </c>
      <c r="K336" s="78">
        <f>IFERROR(MATCH(SMALL(_辅助!$F$4:$F$6003,297),_辅助!$F$4:$F$6003,0),"")</f>
      </c>
    </row>
    <row r="337">
      <c r="A337" s="141">
        <f>IF($K337="","",298)</f>
      </c>
      <c r="B337" s="140">
        <f>IF($K337="","",IF($K337&lt;=3000,INDEX(出库明细!$B$4:$B$3003,$K337),INDEX(资金台帐!$B$7:$B$3006,$K337-3000)))</f>
      </c>
      <c r="C337" s="141">
        <f>IF($K337="","",IF($K337&lt;=3000,"出库领用",IF(INDEX(资金台帐!$S$7:$S$3006,$K337-3000)&gt;=0,"收款","退款")&amp;"（"&amp;INDEX(资金台帐!$C$7:$C$3006,$K337-3000)&amp;"）"))</f>
      </c>
      <c r="D337" s="141">
        <f>IF($K337="","",IF($K337&lt;=3000,INDEX(出库明细!$D$4:$D$3003,$K337)&amp;"",""))</f>
      </c>
      <c r="E337" s="148">
        <f>IF($K337="","",IF($K337&lt;=3000,INDEX(出库明细!$E$4:$E$3003,$K337),""))</f>
      </c>
      <c r="F337" s="149">
        <f>IF($K337="","",IF($K337&lt;=3000,INDEX(出库明细!$F$4:$F$3003,$K337),""))</f>
      </c>
      <c r="G337" s="186">
        <f>IF($K337="","",IF($K337&lt;=3000,N(INDEX(出库明细!$G$4:$G$3003,$K337)),""))</f>
      </c>
      <c r="H337" s="186">
        <f>IF($K337="","",IF($K337&lt;=3000,"",INDEX(资金台帐!$S$7:$S$3006,$K337-3000)))</f>
      </c>
      <c r="I337" s="187">
        <f>IF($K337="","",I336+N(G337)-N(H337))</f>
      </c>
      <c r="J337" s="213">
        <f>IF($K337="","",IF($K337&lt;=3000,INDEX(出库明细!$H$4:$H$3003,$K337)&amp;"",INDEX(资金台帐!$E$7:$E$3006,$K337-3000)&amp;""))</f>
      </c>
      <c r="K337" s="78">
        <f>IFERROR(MATCH(SMALL(_辅助!$F$4:$F$6003,298),_辅助!$F$4:$F$6003,0),"")</f>
      </c>
    </row>
    <row r="338">
      <c r="A338" s="141">
        <f>IF($K338="","",299)</f>
      </c>
      <c r="B338" s="140">
        <f>IF($K338="","",IF($K338&lt;=3000,INDEX(出库明细!$B$4:$B$3003,$K338),INDEX(资金台帐!$B$7:$B$3006,$K338-3000)))</f>
      </c>
      <c r="C338" s="141">
        <f>IF($K338="","",IF($K338&lt;=3000,"出库领用",IF(INDEX(资金台帐!$S$7:$S$3006,$K338-3000)&gt;=0,"收款","退款")&amp;"（"&amp;INDEX(资金台帐!$C$7:$C$3006,$K338-3000)&amp;"）"))</f>
      </c>
      <c r="D338" s="141">
        <f>IF($K338="","",IF($K338&lt;=3000,INDEX(出库明细!$D$4:$D$3003,$K338)&amp;"",""))</f>
      </c>
      <c r="E338" s="148">
        <f>IF($K338="","",IF($K338&lt;=3000,INDEX(出库明细!$E$4:$E$3003,$K338),""))</f>
      </c>
      <c r="F338" s="149">
        <f>IF($K338="","",IF($K338&lt;=3000,INDEX(出库明细!$F$4:$F$3003,$K338),""))</f>
      </c>
      <c r="G338" s="186">
        <f>IF($K338="","",IF($K338&lt;=3000,N(INDEX(出库明细!$G$4:$G$3003,$K338)),""))</f>
      </c>
      <c r="H338" s="186">
        <f>IF($K338="","",IF($K338&lt;=3000,"",INDEX(资金台帐!$S$7:$S$3006,$K338-3000)))</f>
      </c>
      <c r="I338" s="187">
        <f>IF($K338="","",I337+N(G338)-N(H338))</f>
      </c>
      <c r="J338" s="213">
        <f>IF($K338="","",IF($K338&lt;=3000,INDEX(出库明细!$H$4:$H$3003,$K338)&amp;"",INDEX(资金台帐!$E$7:$E$3006,$K338-3000)&amp;""))</f>
      </c>
      <c r="K338" s="78">
        <f>IFERROR(MATCH(SMALL(_辅助!$F$4:$F$6003,299),_辅助!$F$4:$F$6003,0),"")</f>
      </c>
    </row>
    <row r="339">
      <c r="A339" s="214" t="n"/>
      <c r="B339" s="214" t="n"/>
      <c r="C339" s="121" t="inlineStr">
        <is>
          <t>本期合计</t>
        </is>
      </c>
      <c r="D339" s="214" t="n"/>
      <c r="E339" s="215">
        <f>SUM(E39:E338)</f>
        <v>1102</v>
      </c>
      <c r="F339" s="214" t="n"/>
      <c r="G339" s="188">
        <f>SUM(G39:G338)</f>
        <v>77322</v>
      </c>
      <c r="H339" s="188">
        <f>SUM(H39:H338)</f>
        <v>148067</v>
      </c>
      <c r="I339" s="188">
        <f>D9</f>
        <v>-70745</v>
      </c>
      <c r="J339" s="214" t="n"/>
    </row>
  </sheetData>
  <mergeCells count="11">
    <mergeCell ref="A1:J1"/>
    <mergeCell ref="A37:J37"/>
    <mergeCell ref="B5:D5"/>
    <mergeCell ref="A36:J36"/>
    <mergeCell ref="B4:D4"/>
    <mergeCell ref="A11:E11"/>
    <mergeCell ref="A35:J35"/>
    <mergeCell ref="A7:J7"/>
    <mergeCell ref="A2:J2"/>
    <mergeCell ref="A10:J10"/>
    <mergeCell ref="A13:J13"/>
  </mergeCells>
  <conditionalFormatting sqref="A40:J338">
    <cfRule type="expression" priority="1" dxfId="8">
      <formula>AND($A40&lt;&gt;"",MOD($A40,2)=0)</formula>
    </cfRule>
  </conditionalFormatting>
  <conditionalFormatting sqref="C40:C338">
    <cfRule type="expression" priority="2" dxfId="3">
      <formula>LEFT($C40,2)="收款"</formula>
    </cfRule>
  </conditionalFormatting>
  <dataValidations count="1">
    <dataValidation sqref="B4" showDropDown="0" showInputMessage="1" showErrorMessage="1" allowBlank="1" errorTitle="不在清单里" error="请从下拉里选；清单里没有的，先到【基础资料】/【总览汇总】里登记" promptTitle="提示" prompt="下拉选" type="list" errorStyle="stop">
      <formula1>=客户列表</formula1>
    </dataValidation>
  </dataValidation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M339"/>
  <sheetViews>
    <sheetView tabSelected="0" workbookViewId="0">
      <selection activeCell="A1" sqref="A1"/>
    </sheetView>
  </sheetViews>
  <sheetFormatPr baseColWidth="8" defaultRowHeight="15"/>
  <cols>
    <col width="17" customWidth="1" style="71" min="1" max="1"/>
    <col width="13" customWidth="1" style="71" min="2" max="2"/>
    <col width="16" customWidth="1" style="71" min="3" max="3"/>
    <col width="14" customWidth="1" style="71" min="4" max="4"/>
    <col width="11" customWidth="1" style="71" min="5" max="5"/>
    <col width="13" customWidth="1" style="71" min="6" max="6"/>
    <col width="15" customWidth="1" style="71" min="7" max="7"/>
    <col width="14" customWidth="1" style="71" min="8" max="8"/>
    <col width="14" customWidth="1" style="71" min="9" max="9"/>
    <col width="22" customWidth="1" style="71" min="10" max="10"/>
    <col hidden="1" width="13" customWidth="1" style="71" min="11" max="11"/>
    <col hidden="1" width="13" customWidth="1" style="71" min="12" max="12"/>
    <col hidden="1" width="13" customWidth="1" style="71" min="13" max="13"/>
  </cols>
  <sheetData>
    <row r="1" ht="33" customHeight="1" s="71">
      <c r="A1" s="196" t="inlineStr">
        <is>
          <t>供应商对账单</t>
        </is>
      </c>
    </row>
    <row r="2" ht="24" customHeight="1" s="71">
      <c r="A2" s="73" t="inlineStr">
        <is>
          <t>💡 选供应商、起止日期，自动出和厂家的对账单：进了多少货、付了多少钱、还欠多少。数据来自【采购进货】【资金台帐】。</t>
        </is>
      </c>
    </row>
    <row r="4" ht="29" customHeight="1" s="71">
      <c r="A4" s="197" t="inlineStr">
        <is>
          <t>🔍 供应商：</t>
        </is>
      </c>
      <c r="B4" s="198" t="inlineStr">
        <is>
          <t>东鹏公司</t>
        </is>
      </c>
      <c r="F4" s="199" t="inlineStr">
        <is>
          <t>起始日期：</t>
        </is>
      </c>
      <c r="G4" s="190">
        <f>年初日</f>
        <v>46023.0</v>
      </c>
      <c r="H4" s="199" t="inlineStr">
        <is>
          <t>截止日期：</t>
        </is>
      </c>
      <c r="I4" s="190">
        <f>年末日</f>
        <v>46387.0</v>
      </c>
    </row>
    <row r="5">
      <c r="A5" s="200" t="inlineStr">
        <is>
          <t>对账单位：</t>
        </is>
      </c>
      <c r="B5" s="88" t="str">
        <f>IF(基础资料!$B$6="","（在基础资料填公司名称）",基础资料!$B$6)</f>
        <v>（在基础资料填公司名称）</v>
      </c>
      <c r="F5" s="200" t="inlineStr">
        <is>
          <t>打印日期：</t>
        </is>
      </c>
      <c r="G5" s="201">
        <f>TODAY()</f>
        <v>46291.0</v>
      </c>
    </row>
    <row r="7" ht="26" customHeight="1" s="71">
      <c r="A7" s="192" t="inlineStr">
        <is>
          <t>💰 货款汇总</t>
        </is>
      </c>
    </row>
    <row r="8" ht="30" customHeight="1" s="71">
      <c r="A8" s="102" t="inlineStr">
        <is>
          <t>期初应付</t>
        </is>
      </c>
      <c r="B8" s="102" t="inlineStr">
        <is>
          <t>本期进货金额</t>
        </is>
      </c>
      <c r="C8" s="102" t="inlineStr">
        <is>
          <t>本期付款</t>
        </is>
      </c>
      <c r="D8" s="102" t="inlineStr">
        <is>
          <t>期末应付</t>
        </is>
      </c>
      <c r="E8" s="102" t="inlineStr">
        <is>
          <t>状态</t>
        </is>
      </c>
      <c r="F8" s="102" t="inlineStr">
        <is>
          <t>本期进货数量(件)</t>
        </is>
      </c>
      <c r="G8" s="102" t="inlineStr">
        <is>
          <t>本期厂家返利(已收)</t>
        </is>
      </c>
    </row>
    <row r="9" ht="24" customHeight="1" s="71">
      <c r="A9" s="216">
        <f>SUMIF(基础资料!$Q$5:$Q$54,$B$4,基础资料!$R$5:$R$54)+SUMIFS(采购进货!$G$4:$G$1503,采购进货!$C$4:$C$1503,$B$4,采购进货!$B$4:$B$1503,"&gt;="&amp;年初日,采购进货!$B$4:$B$1503,"&lt;"&amp;$G$4)+SUMIFS(资金台帐!$S$7:$S$3006,资金台帐!$K$7:$K$3006,$B$4,资金台帐!$P$7:$P$3006,"应付",资金台帐!$B$7:$B$3006,"&gt;="&amp;年初日,资金台帐!$B$7:$B$3006,"&lt;"&amp;$G$4)</f>
        <v>0</v>
      </c>
      <c r="B9" s="216">
        <f>SUMIFS(采购进货!$G$4:$G$1503,采购进货!$C$4:$C$1503,$B$4,采购进货!$B$4:$B$1503,"&gt;="&amp;$G$4,采购进货!$B$4:$B$1503,"&lt;="&amp;$I$4)</f>
        <v>0</v>
      </c>
      <c r="C9" s="216">
        <f>-SUMIFS(资金台帐!$S$7:$S$3006,资金台帐!$K$7:$K$3006,$B$4,资金台帐!$P$7:$P$3006,"应付",资金台帐!$B$7:$B$3006,"&gt;="&amp;$G$4,资金台帐!$B$7:$B$3006,"&lt;="&amp;$I$4)</f>
        <v>0</v>
      </c>
      <c r="D9" s="216">
        <f>A9+B9-C9</f>
        <v>0</v>
      </c>
      <c r="E9" s="217" t="str">
        <f>IF(ROUND(D9,2)=0,"已结清",IF(D9&gt;0,"我方欠款","我方预付"))</f>
        <v>已结清</v>
      </c>
      <c r="F9" s="218">
        <f>SUMIFS(采购进货!$E$4:$E$1503,采购进货!$C$4:$C$1503,$B$4,采购进货!$B$4:$B$1503,"&gt;="&amp;$G$4,采购进货!$B$4:$B$1503,"&lt;="&amp;$I$4)+SUMIFS(采购进货!$H$4:$H$1503,采购进货!$C$4:$C$1503,$B$4,采购进货!$B$4:$B$1503,"&gt;="&amp;$G$4,采购进货!$B$4:$B$1503,"&lt;="&amp;$I$4)</f>
        <v>0</v>
      </c>
      <c r="G9" s="216">
        <f>SUMIFS(资金台帐!$S$7:$S$3006,资金台帐!$K$7:$K$3006,$B$4,资金台帐!$P$7:$P$3006,"返利收入",资金台帐!$B$7:$B$3006,"&gt;="&amp;$G$4,资金台帐!$B$7:$B$3006,"&lt;="&amp;$I$4)</f>
        <v>0</v>
      </c>
    </row>
    <row r="10">
      <c r="A10" s="89" t="inlineStr">
        <is>
          <t>说明：应付为正＝我们还欠厂家；为负＝我们预付了货款。进货数量含赠品。</t>
        </is>
      </c>
    </row>
    <row r="11" ht="30" customHeight="1" s="71">
      <c r="A11" s="207" t="inlineStr">
        <is>
          <t>以上往来核对无误。供应商签字（盖章）：</t>
        </is>
      </c>
      <c r="G11" s="200" t="inlineStr">
        <is>
          <t>日期：</t>
        </is>
      </c>
    </row>
    <row r="13" ht="26" customHeight="1" s="71">
      <c r="A13" s="208" t="inlineStr">
        <is>
          <t>📦 本期进货按商品小结</t>
        </is>
      </c>
    </row>
    <row r="14">
      <c r="A14" s="209" t="inlineStr">
        <is>
          <t>商品品类</t>
        </is>
      </c>
      <c r="B14" s="209" t="inlineStr">
        <is>
          <t>进货数量(件)</t>
        </is>
      </c>
      <c r="C14" s="209" t="inlineStr">
        <is>
          <t>赠品数量(件)</t>
        </is>
      </c>
      <c r="D14" s="209" t="inlineStr">
        <is>
          <t>进货金额</t>
        </is>
      </c>
      <c r="E14" s="209" t="inlineStr">
        <is>
          <t>平均进价</t>
        </is>
      </c>
    </row>
    <row r="15">
      <c r="A15" s="141">
        <f>IF($L15="","",INDEX(基础资料!$E$5:$E$104,$L15))</f>
      </c>
      <c r="B15" s="148">
        <f>IF($L15="","",SUMIFS(采购进货!$E$4:$E$1503,采购进货!$C$4:$C$1503,$B$4,采购进货!$D$4:$D$1503,INDEX(基础资料!$E$5:$E$104,$L15),采购进货!$B$4:$B$1503,"&gt;="&amp;$G$4,采购进货!$B$4:$B$1503,"&lt;="&amp;$I$4))</f>
      </c>
      <c r="C15" s="148">
        <f>IF($L15="","",SUMIFS(采购进货!$H$4:$H$1503,采购进货!$C$4:$C$1503,$B$4,采购进货!$D$4:$D$1503,INDEX(基础资料!$E$5:$E$104,$L15),采购进货!$B$4:$B$1503,"&gt;="&amp;$G$4,采购进货!$B$4:$B$1503,"&lt;="&amp;$I$4))</f>
      </c>
      <c r="D15" s="210">
        <f>IF($L15="","",SUMIFS(采购进货!$G$4:$G$1503,采购进货!$C$4:$C$1503,$B$4,采购进货!$D$4:$D$1503,INDEX(基础资料!$E$5:$E$104,$L15),采购进货!$B$4:$B$1503,"&gt;="&amp;$G$4,采购进货!$B$4:$B$1503,"&lt;="&amp;$I$4))</f>
      </c>
      <c r="E15" s="149">
        <f>IF(OR($L15="",N(B15)+N(C15)=0),"",D15/(B15+C15))</f>
      </c>
      <c r="L15" s="78">
        <f>IFERROR(SMALL($M$15:$M$114,1),"")</f>
      </c>
      <c r="M15" s="78">
        <f>IF(基础资料!$E$5="","",IF(SUMIFS(采购进货!$E$4:$E$1503,采购进货!$C$4:$C$1503,$B$4,采购进货!$D$4:$D$1503,基础资料!$E$5,采购进货!$B$4:$B$1503,"&gt;="&amp;$G$4,采购进货!$B$4:$B$1503,"&lt;="&amp;$I$4)+SUMIFS(采购进货!$H$4:$H$1503,采购进货!$C$4:$C$1503,$B$4,采购进货!$D$4:$D$1503,基础资料!$E$5,采购进货!$B$4:$B$1503,"&gt;="&amp;$G$4,采购进货!$B$4:$B$1503,"&lt;="&amp;$I$4)&lt;&gt;0,1,""))</f>
      </c>
    </row>
    <row r="16">
      <c r="A16" s="141">
        <f>IF($L16="","",INDEX(基础资料!$E$5:$E$104,$L16))</f>
      </c>
      <c r="B16" s="148">
        <f>IF($L16="","",SUMIFS(采购进货!$E$4:$E$1503,采购进货!$C$4:$C$1503,$B$4,采购进货!$D$4:$D$1503,INDEX(基础资料!$E$5:$E$104,$L16),采购进货!$B$4:$B$1503,"&gt;="&amp;$G$4,采购进货!$B$4:$B$1503,"&lt;="&amp;$I$4))</f>
      </c>
      <c r="C16" s="148">
        <f>IF($L16="","",SUMIFS(采购进货!$H$4:$H$1503,采购进货!$C$4:$C$1503,$B$4,采购进货!$D$4:$D$1503,INDEX(基础资料!$E$5:$E$104,$L16),采购进货!$B$4:$B$1503,"&gt;="&amp;$G$4,采购进货!$B$4:$B$1503,"&lt;="&amp;$I$4))</f>
      </c>
      <c r="D16" s="210">
        <f>IF($L16="","",SUMIFS(采购进货!$G$4:$G$1503,采购进货!$C$4:$C$1503,$B$4,采购进货!$D$4:$D$1503,INDEX(基础资料!$E$5:$E$104,$L16),采购进货!$B$4:$B$1503,"&gt;="&amp;$G$4,采购进货!$B$4:$B$1503,"&lt;="&amp;$I$4))</f>
      </c>
      <c r="E16" s="149">
        <f>IF(OR($L16="",N(B16)+N(C16)=0),"",D16/(B16+C16))</f>
      </c>
      <c r="L16" s="78">
        <f>IFERROR(SMALL($M$15:$M$114,2),"")</f>
      </c>
      <c r="M16" s="78">
        <f>IF(基础资料!$E$6="","",IF(SUMIFS(采购进货!$E$4:$E$1503,采购进货!$C$4:$C$1503,$B$4,采购进货!$D$4:$D$1503,基础资料!$E$6,采购进货!$B$4:$B$1503,"&gt;="&amp;$G$4,采购进货!$B$4:$B$1503,"&lt;="&amp;$I$4)+SUMIFS(采购进货!$H$4:$H$1503,采购进货!$C$4:$C$1503,$B$4,采购进货!$D$4:$D$1503,基础资料!$E$6,采购进货!$B$4:$B$1503,"&gt;="&amp;$G$4,采购进货!$B$4:$B$1503,"&lt;="&amp;$I$4)&lt;&gt;0,2,""))</f>
      </c>
    </row>
    <row r="17">
      <c r="A17" s="141">
        <f>IF($L17="","",INDEX(基础资料!$E$5:$E$104,$L17))</f>
      </c>
      <c r="B17" s="148">
        <f>IF($L17="","",SUMIFS(采购进货!$E$4:$E$1503,采购进货!$C$4:$C$1503,$B$4,采购进货!$D$4:$D$1503,INDEX(基础资料!$E$5:$E$104,$L17),采购进货!$B$4:$B$1503,"&gt;="&amp;$G$4,采购进货!$B$4:$B$1503,"&lt;="&amp;$I$4))</f>
      </c>
      <c r="C17" s="148">
        <f>IF($L17="","",SUMIFS(采购进货!$H$4:$H$1503,采购进货!$C$4:$C$1503,$B$4,采购进货!$D$4:$D$1503,INDEX(基础资料!$E$5:$E$104,$L17),采购进货!$B$4:$B$1503,"&gt;="&amp;$G$4,采购进货!$B$4:$B$1503,"&lt;="&amp;$I$4))</f>
      </c>
      <c r="D17" s="210">
        <f>IF($L17="","",SUMIFS(采购进货!$G$4:$G$1503,采购进货!$C$4:$C$1503,$B$4,采购进货!$D$4:$D$1503,INDEX(基础资料!$E$5:$E$104,$L17),采购进货!$B$4:$B$1503,"&gt;="&amp;$G$4,采购进货!$B$4:$B$1503,"&lt;="&amp;$I$4))</f>
      </c>
      <c r="E17" s="149">
        <f>IF(OR($L17="",N(B17)+N(C17)=0),"",D17/(B17+C17))</f>
      </c>
      <c r="L17" s="78">
        <f>IFERROR(SMALL($M$15:$M$114,3),"")</f>
      </c>
      <c r="M17" s="78">
        <f>IF(基础资料!$E$7="","",IF(SUMIFS(采购进货!$E$4:$E$1503,采购进货!$C$4:$C$1503,$B$4,采购进货!$D$4:$D$1503,基础资料!$E$7,采购进货!$B$4:$B$1503,"&gt;="&amp;$G$4,采购进货!$B$4:$B$1503,"&lt;="&amp;$I$4)+SUMIFS(采购进货!$H$4:$H$1503,采购进货!$C$4:$C$1503,$B$4,采购进货!$D$4:$D$1503,基础资料!$E$7,采购进货!$B$4:$B$1503,"&gt;="&amp;$G$4,采购进货!$B$4:$B$1503,"&lt;="&amp;$I$4)&lt;&gt;0,3,""))</f>
      </c>
    </row>
    <row r="18">
      <c r="A18" s="141">
        <f>IF($L18="","",INDEX(基础资料!$E$5:$E$104,$L18))</f>
      </c>
      <c r="B18" s="148">
        <f>IF($L18="","",SUMIFS(采购进货!$E$4:$E$1503,采购进货!$C$4:$C$1503,$B$4,采购进货!$D$4:$D$1503,INDEX(基础资料!$E$5:$E$104,$L18),采购进货!$B$4:$B$1503,"&gt;="&amp;$G$4,采购进货!$B$4:$B$1503,"&lt;="&amp;$I$4))</f>
      </c>
      <c r="C18" s="148">
        <f>IF($L18="","",SUMIFS(采购进货!$H$4:$H$1503,采购进货!$C$4:$C$1503,$B$4,采购进货!$D$4:$D$1503,INDEX(基础资料!$E$5:$E$104,$L18),采购进货!$B$4:$B$1503,"&gt;="&amp;$G$4,采购进货!$B$4:$B$1503,"&lt;="&amp;$I$4))</f>
      </c>
      <c r="D18" s="210">
        <f>IF($L18="","",SUMIFS(采购进货!$G$4:$G$1503,采购进货!$C$4:$C$1503,$B$4,采购进货!$D$4:$D$1503,INDEX(基础资料!$E$5:$E$104,$L18),采购进货!$B$4:$B$1503,"&gt;="&amp;$G$4,采购进货!$B$4:$B$1503,"&lt;="&amp;$I$4))</f>
      </c>
      <c r="E18" s="149">
        <f>IF(OR($L18="",N(B18)+N(C18)=0),"",D18/(B18+C18))</f>
      </c>
      <c r="L18" s="78">
        <f>IFERROR(SMALL($M$15:$M$114,4),"")</f>
      </c>
      <c r="M18" s="78">
        <f>IF(基础资料!$E$8="","",IF(SUMIFS(采购进货!$E$4:$E$1503,采购进货!$C$4:$C$1503,$B$4,采购进货!$D$4:$D$1503,基础资料!$E$8,采购进货!$B$4:$B$1503,"&gt;="&amp;$G$4,采购进货!$B$4:$B$1503,"&lt;="&amp;$I$4)+SUMIFS(采购进货!$H$4:$H$1503,采购进货!$C$4:$C$1503,$B$4,采购进货!$D$4:$D$1503,基础资料!$E$8,采购进货!$B$4:$B$1503,"&gt;="&amp;$G$4,采购进货!$B$4:$B$1503,"&lt;="&amp;$I$4)&lt;&gt;0,4,""))</f>
      </c>
    </row>
    <row r="19">
      <c r="A19" s="141">
        <f>IF($L19="","",INDEX(基础资料!$E$5:$E$104,$L19))</f>
      </c>
      <c r="B19" s="148">
        <f>IF($L19="","",SUMIFS(采购进货!$E$4:$E$1503,采购进货!$C$4:$C$1503,$B$4,采购进货!$D$4:$D$1503,INDEX(基础资料!$E$5:$E$104,$L19),采购进货!$B$4:$B$1503,"&gt;="&amp;$G$4,采购进货!$B$4:$B$1503,"&lt;="&amp;$I$4))</f>
      </c>
      <c r="C19" s="148">
        <f>IF($L19="","",SUMIFS(采购进货!$H$4:$H$1503,采购进货!$C$4:$C$1503,$B$4,采购进货!$D$4:$D$1503,INDEX(基础资料!$E$5:$E$104,$L19),采购进货!$B$4:$B$1503,"&gt;="&amp;$G$4,采购进货!$B$4:$B$1503,"&lt;="&amp;$I$4))</f>
      </c>
      <c r="D19" s="210">
        <f>IF($L19="","",SUMIFS(采购进货!$G$4:$G$1503,采购进货!$C$4:$C$1503,$B$4,采购进货!$D$4:$D$1503,INDEX(基础资料!$E$5:$E$104,$L19),采购进货!$B$4:$B$1503,"&gt;="&amp;$G$4,采购进货!$B$4:$B$1503,"&lt;="&amp;$I$4))</f>
      </c>
      <c r="E19" s="149">
        <f>IF(OR($L19="",N(B19)+N(C19)=0),"",D19/(B19+C19))</f>
      </c>
      <c r="L19" s="78">
        <f>IFERROR(SMALL($M$15:$M$114,5),"")</f>
      </c>
      <c r="M19" s="78">
        <f>IF(基础资料!$E$9="","",IF(SUMIFS(采购进货!$E$4:$E$1503,采购进货!$C$4:$C$1503,$B$4,采购进货!$D$4:$D$1503,基础资料!$E$9,采购进货!$B$4:$B$1503,"&gt;="&amp;$G$4,采购进货!$B$4:$B$1503,"&lt;="&amp;$I$4)+SUMIFS(采购进货!$H$4:$H$1503,采购进货!$C$4:$C$1503,$B$4,采购进货!$D$4:$D$1503,基础资料!$E$9,采购进货!$B$4:$B$1503,"&gt;="&amp;$G$4,采购进货!$B$4:$B$1503,"&lt;="&amp;$I$4)&lt;&gt;0,5,""))</f>
      </c>
    </row>
    <row r="20">
      <c r="A20" s="141">
        <f>IF($L20="","",INDEX(基础资料!$E$5:$E$104,$L20))</f>
      </c>
      <c r="B20" s="148">
        <f>IF($L20="","",SUMIFS(采购进货!$E$4:$E$1503,采购进货!$C$4:$C$1503,$B$4,采购进货!$D$4:$D$1503,INDEX(基础资料!$E$5:$E$104,$L20),采购进货!$B$4:$B$1503,"&gt;="&amp;$G$4,采购进货!$B$4:$B$1503,"&lt;="&amp;$I$4))</f>
      </c>
      <c r="C20" s="148">
        <f>IF($L20="","",SUMIFS(采购进货!$H$4:$H$1503,采购进货!$C$4:$C$1503,$B$4,采购进货!$D$4:$D$1503,INDEX(基础资料!$E$5:$E$104,$L20),采购进货!$B$4:$B$1503,"&gt;="&amp;$G$4,采购进货!$B$4:$B$1503,"&lt;="&amp;$I$4))</f>
      </c>
      <c r="D20" s="210">
        <f>IF($L20="","",SUMIFS(采购进货!$G$4:$G$1503,采购进货!$C$4:$C$1503,$B$4,采购进货!$D$4:$D$1503,INDEX(基础资料!$E$5:$E$104,$L20),采购进货!$B$4:$B$1503,"&gt;="&amp;$G$4,采购进货!$B$4:$B$1503,"&lt;="&amp;$I$4))</f>
      </c>
      <c r="E20" s="149">
        <f>IF(OR($L20="",N(B20)+N(C20)=0),"",D20/(B20+C20))</f>
      </c>
      <c r="L20" s="78">
        <f>IFERROR(SMALL($M$15:$M$114,6),"")</f>
      </c>
      <c r="M20" s="78">
        <f>IF(基础资料!$E$10="","",IF(SUMIFS(采购进货!$E$4:$E$1503,采购进货!$C$4:$C$1503,$B$4,采购进货!$D$4:$D$1503,基础资料!$E$10,采购进货!$B$4:$B$1503,"&gt;="&amp;$G$4,采购进货!$B$4:$B$1503,"&lt;="&amp;$I$4)+SUMIFS(采购进货!$H$4:$H$1503,采购进货!$C$4:$C$1503,$B$4,采购进货!$D$4:$D$1503,基础资料!$E$10,采购进货!$B$4:$B$1503,"&gt;="&amp;$G$4,采购进货!$B$4:$B$1503,"&lt;="&amp;$I$4)&lt;&gt;0,6,""))</f>
      </c>
    </row>
    <row r="21">
      <c r="A21" s="141">
        <f>IF($L21="","",INDEX(基础资料!$E$5:$E$104,$L21))</f>
      </c>
      <c r="B21" s="148">
        <f>IF($L21="","",SUMIFS(采购进货!$E$4:$E$1503,采购进货!$C$4:$C$1503,$B$4,采购进货!$D$4:$D$1503,INDEX(基础资料!$E$5:$E$104,$L21),采购进货!$B$4:$B$1503,"&gt;="&amp;$G$4,采购进货!$B$4:$B$1503,"&lt;="&amp;$I$4))</f>
      </c>
      <c r="C21" s="148">
        <f>IF($L21="","",SUMIFS(采购进货!$H$4:$H$1503,采购进货!$C$4:$C$1503,$B$4,采购进货!$D$4:$D$1503,INDEX(基础资料!$E$5:$E$104,$L21),采购进货!$B$4:$B$1503,"&gt;="&amp;$G$4,采购进货!$B$4:$B$1503,"&lt;="&amp;$I$4))</f>
      </c>
      <c r="D21" s="210">
        <f>IF($L21="","",SUMIFS(采购进货!$G$4:$G$1503,采购进货!$C$4:$C$1503,$B$4,采购进货!$D$4:$D$1503,INDEX(基础资料!$E$5:$E$104,$L21),采购进货!$B$4:$B$1503,"&gt;="&amp;$G$4,采购进货!$B$4:$B$1503,"&lt;="&amp;$I$4))</f>
      </c>
      <c r="E21" s="149">
        <f>IF(OR($L21="",N(B21)+N(C21)=0),"",D21/(B21+C21))</f>
      </c>
      <c r="L21" s="78">
        <f>IFERROR(SMALL($M$15:$M$114,7),"")</f>
      </c>
      <c r="M21" s="78">
        <f>IF(基础资料!$E$11="","",IF(SUMIFS(采购进货!$E$4:$E$1503,采购进货!$C$4:$C$1503,$B$4,采购进货!$D$4:$D$1503,基础资料!$E$11,采购进货!$B$4:$B$1503,"&gt;="&amp;$G$4,采购进货!$B$4:$B$1503,"&lt;="&amp;$I$4)+SUMIFS(采购进货!$H$4:$H$1503,采购进货!$C$4:$C$1503,$B$4,采购进货!$D$4:$D$1503,基础资料!$E$11,采购进货!$B$4:$B$1503,"&gt;="&amp;$G$4,采购进货!$B$4:$B$1503,"&lt;="&amp;$I$4)&lt;&gt;0,7,""))</f>
      </c>
    </row>
    <row r="22">
      <c r="A22" s="141">
        <f>IF($L22="","",INDEX(基础资料!$E$5:$E$104,$L22))</f>
      </c>
      <c r="B22" s="148">
        <f>IF($L22="","",SUMIFS(采购进货!$E$4:$E$1503,采购进货!$C$4:$C$1503,$B$4,采购进货!$D$4:$D$1503,INDEX(基础资料!$E$5:$E$104,$L22),采购进货!$B$4:$B$1503,"&gt;="&amp;$G$4,采购进货!$B$4:$B$1503,"&lt;="&amp;$I$4))</f>
      </c>
      <c r="C22" s="148">
        <f>IF($L22="","",SUMIFS(采购进货!$H$4:$H$1503,采购进货!$C$4:$C$1503,$B$4,采购进货!$D$4:$D$1503,INDEX(基础资料!$E$5:$E$104,$L22),采购进货!$B$4:$B$1503,"&gt;="&amp;$G$4,采购进货!$B$4:$B$1503,"&lt;="&amp;$I$4))</f>
      </c>
      <c r="D22" s="210">
        <f>IF($L22="","",SUMIFS(采购进货!$G$4:$G$1503,采购进货!$C$4:$C$1503,$B$4,采购进货!$D$4:$D$1503,INDEX(基础资料!$E$5:$E$104,$L22),采购进货!$B$4:$B$1503,"&gt;="&amp;$G$4,采购进货!$B$4:$B$1503,"&lt;="&amp;$I$4))</f>
      </c>
      <c r="E22" s="149">
        <f>IF(OR($L22="",N(B22)+N(C22)=0),"",D22/(B22+C22))</f>
      </c>
      <c r="L22" s="78">
        <f>IFERROR(SMALL($M$15:$M$114,8),"")</f>
      </c>
      <c r="M22" s="78">
        <f>IF(基础资料!$E$12="","",IF(SUMIFS(采购进货!$E$4:$E$1503,采购进货!$C$4:$C$1503,$B$4,采购进货!$D$4:$D$1503,基础资料!$E$12,采购进货!$B$4:$B$1503,"&gt;="&amp;$G$4,采购进货!$B$4:$B$1503,"&lt;="&amp;$I$4)+SUMIFS(采购进货!$H$4:$H$1503,采购进货!$C$4:$C$1503,$B$4,采购进货!$D$4:$D$1503,基础资料!$E$12,采购进货!$B$4:$B$1503,"&gt;="&amp;$G$4,采购进货!$B$4:$B$1503,"&lt;="&amp;$I$4)&lt;&gt;0,8,""))</f>
      </c>
    </row>
    <row r="23">
      <c r="A23" s="141">
        <f>IF($L23="","",INDEX(基础资料!$E$5:$E$104,$L23))</f>
      </c>
      <c r="B23" s="148">
        <f>IF($L23="","",SUMIFS(采购进货!$E$4:$E$1503,采购进货!$C$4:$C$1503,$B$4,采购进货!$D$4:$D$1503,INDEX(基础资料!$E$5:$E$104,$L23),采购进货!$B$4:$B$1503,"&gt;="&amp;$G$4,采购进货!$B$4:$B$1503,"&lt;="&amp;$I$4))</f>
      </c>
      <c r="C23" s="148">
        <f>IF($L23="","",SUMIFS(采购进货!$H$4:$H$1503,采购进货!$C$4:$C$1503,$B$4,采购进货!$D$4:$D$1503,INDEX(基础资料!$E$5:$E$104,$L23),采购进货!$B$4:$B$1503,"&gt;="&amp;$G$4,采购进货!$B$4:$B$1503,"&lt;="&amp;$I$4))</f>
      </c>
      <c r="D23" s="210">
        <f>IF($L23="","",SUMIFS(采购进货!$G$4:$G$1503,采购进货!$C$4:$C$1503,$B$4,采购进货!$D$4:$D$1503,INDEX(基础资料!$E$5:$E$104,$L23),采购进货!$B$4:$B$1503,"&gt;="&amp;$G$4,采购进货!$B$4:$B$1503,"&lt;="&amp;$I$4))</f>
      </c>
      <c r="E23" s="149">
        <f>IF(OR($L23="",N(B23)+N(C23)=0),"",D23/(B23+C23))</f>
      </c>
      <c r="L23" s="78">
        <f>IFERROR(SMALL($M$15:$M$114,9),"")</f>
      </c>
      <c r="M23" s="78">
        <f>IF(基础资料!$E$13="","",IF(SUMIFS(采购进货!$E$4:$E$1503,采购进货!$C$4:$C$1503,$B$4,采购进货!$D$4:$D$1503,基础资料!$E$13,采购进货!$B$4:$B$1503,"&gt;="&amp;$G$4,采购进货!$B$4:$B$1503,"&lt;="&amp;$I$4)+SUMIFS(采购进货!$H$4:$H$1503,采购进货!$C$4:$C$1503,$B$4,采购进货!$D$4:$D$1503,基础资料!$E$13,采购进货!$B$4:$B$1503,"&gt;="&amp;$G$4,采购进货!$B$4:$B$1503,"&lt;="&amp;$I$4)&lt;&gt;0,9,""))</f>
      </c>
    </row>
    <row r="24">
      <c r="A24" s="141">
        <f>IF($L24="","",INDEX(基础资料!$E$5:$E$104,$L24))</f>
      </c>
      <c r="B24" s="148">
        <f>IF($L24="","",SUMIFS(采购进货!$E$4:$E$1503,采购进货!$C$4:$C$1503,$B$4,采购进货!$D$4:$D$1503,INDEX(基础资料!$E$5:$E$104,$L24),采购进货!$B$4:$B$1503,"&gt;="&amp;$G$4,采购进货!$B$4:$B$1503,"&lt;="&amp;$I$4))</f>
      </c>
      <c r="C24" s="148">
        <f>IF($L24="","",SUMIFS(采购进货!$H$4:$H$1503,采购进货!$C$4:$C$1503,$B$4,采购进货!$D$4:$D$1503,INDEX(基础资料!$E$5:$E$104,$L24),采购进货!$B$4:$B$1503,"&gt;="&amp;$G$4,采购进货!$B$4:$B$1503,"&lt;="&amp;$I$4))</f>
      </c>
      <c r="D24" s="210">
        <f>IF($L24="","",SUMIFS(采购进货!$G$4:$G$1503,采购进货!$C$4:$C$1503,$B$4,采购进货!$D$4:$D$1503,INDEX(基础资料!$E$5:$E$104,$L24),采购进货!$B$4:$B$1503,"&gt;="&amp;$G$4,采购进货!$B$4:$B$1503,"&lt;="&amp;$I$4))</f>
      </c>
      <c r="E24" s="149">
        <f>IF(OR($L24="",N(B24)+N(C24)=0),"",D24/(B24+C24))</f>
      </c>
      <c r="L24" s="78">
        <f>IFERROR(SMALL($M$15:$M$114,10),"")</f>
      </c>
      <c r="M24" s="78">
        <f>IF(基础资料!$E$14="","",IF(SUMIFS(采购进货!$E$4:$E$1503,采购进货!$C$4:$C$1503,$B$4,采购进货!$D$4:$D$1503,基础资料!$E$14,采购进货!$B$4:$B$1503,"&gt;="&amp;$G$4,采购进货!$B$4:$B$1503,"&lt;="&amp;$I$4)+SUMIFS(采购进货!$H$4:$H$1503,采购进货!$C$4:$C$1503,$B$4,采购进货!$D$4:$D$1503,基础资料!$E$14,采购进货!$B$4:$B$1503,"&gt;="&amp;$G$4,采购进货!$B$4:$B$1503,"&lt;="&amp;$I$4)&lt;&gt;0,10,""))</f>
      </c>
    </row>
    <row r="25">
      <c r="A25" s="141">
        <f>IF($L25="","",INDEX(基础资料!$E$5:$E$104,$L25))</f>
      </c>
      <c r="B25" s="148">
        <f>IF($L25="","",SUMIFS(采购进货!$E$4:$E$1503,采购进货!$C$4:$C$1503,$B$4,采购进货!$D$4:$D$1503,INDEX(基础资料!$E$5:$E$104,$L25),采购进货!$B$4:$B$1503,"&gt;="&amp;$G$4,采购进货!$B$4:$B$1503,"&lt;="&amp;$I$4))</f>
      </c>
      <c r="C25" s="148">
        <f>IF($L25="","",SUMIFS(采购进货!$H$4:$H$1503,采购进货!$C$4:$C$1503,$B$4,采购进货!$D$4:$D$1503,INDEX(基础资料!$E$5:$E$104,$L25),采购进货!$B$4:$B$1503,"&gt;="&amp;$G$4,采购进货!$B$4:$B$1503,"&lt;="&amp;$I$4))</f>
      </c>
      <c r="D25" s="210">
        <f>IF($L25="","",SUMIFS(采购进货!$G$4:$G$1503,采购进货!$C$4:$C$1503,$B$4,采购进货!$D$4:$D$1503,INDEX(基础资料!$E$5:$E$104,$L25),采购进货!$B$4:$B$1503,"&gt;="&amp;$G$4,采购进货!$B$4:$B$1503,"&lt;="&amp;$I$4))</f>
      </c>
      <c r="E25" s="149">
        <f>IF(OR($L25="",N(B25)+N(C25)=0),"",D25/(B25+C25))</f>
      </c>
      <c r="L25" s="78">
        <f>IFERROR(SMALL($M$15:$M$114,11),"")</f>
      </c>
      <c r="M25" s="78">
        <f>IF(基础资料!$E$15="","",IF(SUMIFS(采购进货!$E$4:$E$1503,采购进货!$C$4:$C$1503,$B$4,采购进货!$D$4:$D$1503,基础资料!$E$15,采购进货!$B$4:$B$1503,"&gt;="&amp;$G$4,采购进货!$B$4:$B$1503,"&lt;="&amp;$I$4)+SUMIFS(采购进货!$H$4:$H$1503,采购进货!$C$4:$C$1503,$B$4,采购进货!$D$4:$D$1503,基础资料!$E$15,采购进货!$B$4:$B$1503,"&gt;="&amp;$G$4,采购进货!$B$4:$B$1503,"&lt;="&amp;$I$4)&lt;&gt;0,11,""))</f>
      </c>
    </row>
    <row r="26">
      <c r="A26" s="141">
        <f>IF($L26="","",INDEX(基础资料!$E$5:$E$104,$L26))</f>
      </c>
      <c r="B26" s="148">
        <f>IF($L26="","",SUMIFS(采购进货!$E$4:$E$1503,采购进货!$C$4:$C$1503,$B$4,采购进货!$D$4:$D$1503,INDEX(基础资料!$E$5:$E$104,$L26),采购进货!$B$4:$B$1503,"&gt;="&amp;$G$4,采购进货!$B$4:$B$1503,"&lt;="&amp;$I$4))</f>
      </c>
      <c r="C26" s="148">
        <f>IF($L26="","",SUMIFS(采购进货!$H$4:$H$1503,采购进货!$C$4:$C$1503,$B$4,采购进货!$D$4:$D$1503,INDEX(基础资料!$E$5:$E$104,$L26),采购进货!$B$4:$B$1503,"&gt;="&amp;$G$4,采购进货!$B$4:$B$1503,"&lt;="&amp;$I$4))</f>
      </c>
      <c r="D26" s="210">
        <f>IF($L26="","",SUMIFS(采购进货!$G$4:$G$1503,采购进货!$C$4:$C$1503,$B$4,采购进货!$D$4:$D$1503,INDEX(基础资料!$E$5:$E$104,$L26),采购进货!$B$4:$B$1503,"&gt;="&amp;$G$4,采购进货!$B$4:$B$1503,"&lt;="&amp;$I$4))</f>
      </c>
      <c r="E26" s="149">
        <f>IF(OR($L26="",N(B26)+N(C26)=0),"",D26/(B26+C26))</f>
      </c>
      <c r="L26" s="78">
        <f>IFERROR(SMALL($M$15:$M$114,12),"")</f>
      </c>
      <c r="M26" s="78">
        <f>IF(基础资料!$E$16="","",IF(SUMIFS(采购进货!$E$4:$E$1503,采购进货!$C$4:$C$1503,$B$4,采购进货!$D$4:$D$1503,基础资料!$E$16,采购进货!$B$4:$B$1503,"&gt;="&amp;$G$4,采购进货!$B$4:$B$1503,"&lt;="&amp;$I$4)+SUMIFS(采购进货!$H$4:$H$1503,采购进货!$C$4:$C$1503,$B$4,采购进货!$D$4:$D$1503,基础资料!$E$16,采购进货!$B$4:$B$1503,"&gt;="&amp;$G$4,采购进货!$B$4:$B$1503,"&lt;="&amp;$I$4)&lt;&gt;0,12,""))</f>
      </c>
    </row>
    <row r="27">
      <c r="A27" s="141">
        <f>IF($L27="","",INDEX(基础资料!$E$5:$E$104,$L27))</f>
      </c>
      <c r="B27" s="148">
        <f>IF($L27="","",SUMIFS(采购进货!$E$4:$E$1503,采购进货!$C$4:$C$1503,$B$4,采购进货!$D$4:$D$1503,INDEX(基础资料!$E$5:$E$104,$L27),采购进货!$B$4:$B$1503,"&gt;="&amp;$G$4,采购进货!$B$4:$B$1503,"&lt;="&amp;$I$4))</f>
      </c>
      <c r="C27" s="148">
        <f>IF($L27="","",SUMIFS(采购进货!$H$4:$H$1503,采购进货!$C$4:$C$1503,$B$4,采购进货!$D$4:$D$1503,INDEX(基础资料!$E$5:$E$104,$L27),采购进货!$B$4:$B$1503,"&gt;="&amp;$G$4,采购进货!$B$4:$B$1503,"&lt;="&amp;$I$4))</f>
      </c>
      <c r="D27" s="210">
        <f>IF($L27="","",SUMIFS(采购进货!$G$4:$G$1503,采购进货!$C$4:$C$1503,$B$4,采购进货!$D$4:$D$1503,INDEX(基础资料!$E$5:$E$104,$L27),采购进货!$B$4:$B$1503,"&gt;="&amp;$G$4,采购进货!$B$4:$B$1503,"&lt;="&amp;$I$4))</f>
      </c>
      <c r="E27" s="149">
        <f>IF(OR($L27="",N(B27)+N(C27)=0),"",D27/(B27+C27))</f>
      </c>
      <c r="L27" s="78">
        <f>IFERROR(SMALL($M$15:$M$114,13),"")</f>
      </c>
      <c r="M27" s="78">
        <f>IF(基础资料!$E$17="","",IF(SUMIFS(采购进货!$E$4:$E$1503,采购进货!$C$4:$C$1503,$B$4,采购进货!$D$4:$D$1503,基础资料!$E$17,采购进货!$B$4:$B$1503,"&gt;="&amp;$G$4,采购进货!$B$4:$B$1503,"&lt;="&amp;$I$4)+SUMIFS(采购进货!$H$4:$H$1503,采购进货!$C$4:$C$1503,$B$4,采购进货!$D$4:$D$1503,基础资料!$E$17,采购进货!$B$4:$B$1503,"&gt;="&amp;$G$4,采购进货!$B$4:$B$1503,"&lt;="&amp;$I$4)&lt;&gt;0,13,""))</f>
      </c>
    </row>
    <row r="28">
      <c r="A28" s="141">
        <f>IF($L28="","",INDEX(基础资料!$E$5:$E$104,$L28))</f>
      </c>
      <c r="B28" s="148">
        <f>IF($L28="","",SUMIFS(采购进货!$E$4:$E$1503,采购进货!$C$4:$C$1503,$B$4,采购进货!$D$4:$D$1503,INDEX(基础资料!$E$5:$E$104,$L28),采购进货!$B$4:$B$1503,"&gt;="&amp;$G$4,采购进货!$B$4:$B$1503,"&lt;="&amp;$I$4))</f>
      </c>
      <c r="C28" s="148">
        <f>IF($L28="","",SUMIFS(采购进货!$H$4:$H$1503,采购进货!$C$4:$C$1503,$B$4,采购进货!$D$4:$D$1503,INDEX(基础资料!$E$5:$E$104,$L28),采购进货!$B$4:$B$1503,"&gt;="&amp;$G$4,采购进货!$B$4:$B$1503,"&lt;="&amp;$I$4))</f>
      </c>
      <c r="D28" s="210">
        <f>IF($L28="","",SUMIFS(采购进货!$G$4:$G$1503,采购进货!$C$4:$C$1503,$B$4,采购进货!$D$4:$D$1503,INDEX(基础资料!$E$5:$E$104,$L28),采购进货!$B$4:$B$1503,"&gt;="&amp;$G$4,采购进货!$B$4:$B$1503,"&lt;="&amp;$I$4))</f>
      </c>
      <c r="E28" s="149">
        <f>IF(OR($L28="",N(B28)+N(C28)=0),"",D28/(B28+C28))</f>
      </c>
      <c r="L28" s="78">
        <f>IFERROR(SMALL($M$15:$M$114,14),"")</f>
      </c>
      <c r="M28" s="78">
        <f>IF(基础资料!$E$18="","",IF(SUMIFS(采购进货!$E$4:$E$1503,采购进货!$C$4:$C$1503,$B$4,采购进货!$D$4:$D$1503,基础资料!$E$18,采购进货!$B$4:$B$1503,"&gt;="&amp;$G$4,采购进货!$B$4:$B$1503,"&lt;="&amp;$I$4)+SUMIFS(采购进货!$H$4:$H$1503,采购进货!$C$4:$C$1503,$B$4,采购进货!$D$4:$D$1503,基础资料!$E$18,采购进货!$B$4:$B$1503,"&gt;="&amp;$G$4,采购进货!$B$4:$B$1503,"&lt;="&amp;$I$4)&lt;&gt;0,14,""))</f>
      </c>
    </row>
    <row r="29">
      <c r="A29" s="141">
        <f>IF($L29="","",INDEX(基础资料!$E$5:$E$104,$L29))</f>
      </c>
      <c r="B29" s="148">
        <f>IF($L29="","",SUMIFS(采购进货!$E$4:$E$1503,采购进货!$C$4:$C$1503,$B$4,采购进货!$D$4:$D$1503,INDEX(基础资料!$E$5:$E$104,$L29),采购进货!$B$4:$B$1503,"&gt;="&amp;$G$4,采购进货!$B$4:$B$1503,"&lt;="&amp;$I$4))</f>
      </c>
      <c r="C29" s="148">
        <f>IF($L29="","",SUMIFS(采购进货!$H$4:$H$1503,采购进货!$C$4:$C$1503,$B$4,采购进货!$D$4:$D$1503,INDEX(基础资料!$E$5:$E$104,$L29),采购进货!$B$4:$B$1503,"&gt;="&amp;$G$4,采购进货!$B$4:$B$1503,"&lt;="&amp;$I$4))</f>
      </c>
      <c r="D29" s="210">
        <f>IF($L29="","",SUMIFS(采购进货!$G$4:$G$1503,采购进货!$C$4:$C$1503,$B$4,采购进货!$D$4:$D$1503,INDEX(基础资料!$E$5:$E$104,$L29),采购进货!$B$4:$B$1503,"&gt;="&amp;$G$4,采购进货!$B$4:$B$1503,"&lt;="&amp;$I$4))</f>
      </c>
      <c r="E29" s="149">
        <f>IF(OR($L29="",N(B29)+N(C29)=0),"",D29/(B29+C29))</f>
      </c>
      <c r="L29" s="78">
        <f>IFERROR(SMALL($M$15:$M$114,15),"")</f>
      </c>
      <c r="M29" s="78">
        <f>IF(基础资料!$E$19="","",IF(SUMIFS(采购进货!$E$4:$E$1503,采购进货!$C$4:$C$1503,$B$4,采购进货!$D$4:$D$1503,基础资料!$E$19,采购进货!$B$4:$B$1503,"&gt;="&amp;$G$4,采购进货!$B$4:$B$1503,"&lt;="&amp;$I$4)+SUMIFS(采购进货!$H$4:$H$1503,采购进货!$C$4:$C$1503,$B$4,采购进货!$D$4:$D$1503,基础资料!$E$19,采购进货!$B$4:$B$1503,"&gt;="&amp;$G$4,采购进货!$B$4:$B$1503,"&lt;="&amp;$I$4)&lt;&gt;0,15,""))</f>
      </c>
    </row>
    <row r="30">
      <c r="A30" s="141">
        <f>IF($L30="","",INDEX(基础资料!$E$5:$E$104,$L30))</f>
      </c>
      <c r="B30" s="148">
        <f>IF($L30="","",SUMIFS(采购进货!$E$4:$E$1503,采购进货!$C$4:$C$1503,$B$4,采购进货!$D$4:$D$1503,INDEX(基础资料!$E$5:$E$104,$L30),采购进货!$B$4:$B$1503,"&gt;="&amp;$G$4,采购进货!$B$4:$B$1503,"&lt;="&amp;$I$4))</f>
      </c>
      <c r="C30" s="148">
        <f>IF($L30="","",SUMIFS(采购进货!$H$4:$H$1503,采购进货!$C$4:$C$1503,$B$4,采购进货!$D$4:$D$1503,INDEX(基础资料!$E$5:$E$104,$L30),采购进货!$B$4:$B$1503,"&gt;="&amp;$G$4,采购进货!$B$4:$B$1503,"&lt;="&amp;$I$4))</f>
      </c>
      <c r="D30" s="210">
        <f>IF($L30="","",SUMIFS(采购进货!$G$4:$G$1503,采购进货!$C$4:$C$1503,$B$4,采购进货!$D$4:$D$1503,INDEX(基础资料!$E$5:$E$104,$L30),采购进货!$B$4:$B$1503,"&gt;="&amp;$G$4,采购进货!$B$4:$B$1503,"&lt;="&amp;$I$4))</f>
      </c>
      <c r="E30" s="149">
        <f>IF(OR($L30="",N(B30)+N(C30)=0),"",D30/(B30+C30))</f>
      </c>
      <c r="L30" s="78">
        <f>IFERROR(SMALL($M$15:$M$114,16),"")</f>
      </c>
      <c r="M30" s="78">
        <f>IF(基础资料!$E$20="","",IF(SUMIFS(采购进货!$E$4:$E$1503,采购进货!$C$4:$C$1503,$B$4,采购进货!$D$4:$D$1503,基础资料!$E$20,采购进货!$B$4:$B$1503,"&gt;="&amp;$G$4,采购进货!$B$4:$B$1503,"&lt;="&amp;$I$4)+SUMIFS(采购进货!$H$4:$H$1503,采购进货!$C$4:$C$1503,$B$4,采购进货!$D$4:$D$1503,基础资料!$E$20,采购进货!$B$4:$B$1503,"&gt;="&amp;$G$4,采购进货!$B$4:$B$1503,"&lt;="&amp;$I$4)&lt;&gt;0,16,""))</f>
      </c>
    </row>
    <row r="31">
      <c r="A31" s="141">
        <f>IF($L31="","",INDEX(基础资料!$E$5:$E$104,$L31))</f>
      </c>
      <c r="B31" s="148">
        <f>IF($L31="","",SUMIFS(采购进货!$E$4:$E$1503,采购进货!$C$4:$C$1503,$B$4,采购进货!$D$4:$D$1503,INDEX(基础资料!$E$5:$E$104,$L31),采购进货!$B$4:$B$1503,"&gt;="&amp;$G$4,采购进货!$B$4:$B$1503,"&lt;="&amp;$I$4))</f>
      </c>
      <c r="C31" s="148">
        <f>IF($L31="","",SUMIFS(采购进货!$H$4:$H$1503,采购进货!$C$4:$C$1503,$B$4,采购进货!$D$4:$D$1503,INDEX(基础资料!$E$5:$E$104,$L31),采购进货!$B$4:$B$1503,"&gt;="&amp;$G$4,采购进货!$B$4:$B$1503,"&lt;="&amp;$I$4))</f>
      </c>
      <c r="D31" s="210">
        <f>IF($L31="","",SUMIFS(采购进货!$G$4:$G$1503,采购进货!$C$4:$C$1503,$B$4,采购进货!$D$4:$D$1503,INDEX(基础资料!$E$5:$E$104,$L31),采购进货!$B$4:$B$1503,"&gt;="&amp;$G$4,采购进货!$B$4:$B$1503,"&lt;="&amp;$I$4))</f>
      </c>
      <c r="E31" s="149">
        <f>IF(OR($L31="",N(B31)+N(C31)=0),"",D31/(B31+C31))</f>
      </c>
      <c r="L31" s="78">
        <f>IFERROR(SMALL($M$15:$M$114,17),"")</f>
      </c>
      <c r="M31" s="78">
        <f>IF(基础资料!$E$21="","",IF(SUMIFS(采购进货!$E$4:$E$1503,采购进货!$C$4:$C$1503,$B$4,采购进货!$D$4:$D$1503,基础资料!$E$21,采购进货!$B$4:$B$1503,"&gt;="&amp;$G$4,采购进货!$B$4:$B$1503,"&lt;="&amp;$I$4)+SUMIFS(采购进货!$H$4:$H$1503,采购进货!$C$4:$C$1503,$B$4,采购进货!$D$4:$D$1503,基础资料!$E$21,采购进货!$B$4:$B$1503,"&gt;="&amp;$G$4,采购进货!$B$4:$B$1503,"&lt;="&amp;$I$4)&lt;&gt;0,17,""))</f>
      </c>
    </row>
    <row r="32">
      <c r="A32" s="141">
        <f>IF($L32="","",INDEX(基础资料!$E$5:$E$104,$L32))</f>
      </c>
      <c r="B32" s="148">
        <f>IF($L32="","",SUMIFS(采购进货!$E$4:$E$1503,采购进货!$C$4:$C$1503,$B$4,采购进货!$D$4:$D$1503,INDEX(基础资料!$E$5:$E$104,$L32),采购进货!$B$4:$B$1503,"&gt;="&amp;$G$4,采购进货!$B$4:$B$1503,"&lt;="&amp;$I$4))</f>
      </c>
      <c r="C32" s="148">
        <f>IF($L32="","",SUMIFS(采购进货!$H$4:$H$1503,采购进货!$C$4:$C$1503,$B$4,采购进货!$D$4:$D$1503,INDEX(基础资料!$E$5:$E$104,$L32),采购进货!$B$4:$B$1503,"&gt;="&amp;$G$4,采购进货!$B$4:$B$1503,"&lt;="&amp;$I$4))</f>
      </c>
      <c r="D32" s="210">
        <f>IF($L32="","",SUMIFS(采购进货!$G$4:$G$1503,采购进货!$C$4:$C$1503,$B$4,采购进货!$D$4:$D$1503,INDEX(基础资料!$E$5:$E$104,$L32),采购进货!$B$4:$B$1503,"&gt;="&amp;$G$4,采购进货!$B$4:$B$1503,"&lt;="&amp;$I$4))</f>
      </c>
      <c r="E32" s="149">
        <f>IF(OR($L32="",N(B32)+N(C32)=0),"",D32/(B32+C32))</f>
      </c>
      <c r="L32" s="78">
        <f>IFERROR(SMALL($M$15:$M$114,18),"")</f>
      </c>
      <c r="M32" s="78">
        <f>IF(基础资料!$E$22="","",IF(SUMIFS(采购进货!$E$4:$E$1503,采购进货!$C$4:$C$1503,$B$4,采购进货!$D$4:$D$1503,基础资料!$E$22,采购进货!$B$4:$B$1503,"&gt;="&amp;$G$4,采购进货!$B$4:$B$1503,"&lt;="&amp;$I$4)+SUMIFS(采购进货!$H$4:$H$1503,采购进货!$C$4:$C$1503,$B$4,采购进货!$D$4:$D$1503,基础资料!$E$22,采购进货!$B$4:$B$1503,"&gt;="&amp;$G$4,采购进货!$B$4:$B$1503,"&lt;="&amp;$I$4)&lt;&gt;0,18,""))</f>
      </c>
    </row>
    <row r="33">
      <c r="A33" s="141">
        <f>IF($L33="","",INDEX(基础资料!$E$5:$E$104,$L33))</f>
      </c>
      <c r="B33" s="148">
        <f>IF($L33="","",SUMIFS(采购进货!$E$4:$E$1503,采购进货!$C$4:$C$1503,$B$4,采购进货!$D$4:$D$1503,INDEX(基础资料!$E$5:$E$104,$L33),采购进货!$B$4:$B$1503,"&gt;="&amp;$G$4,采购进货!$B$4:$B$1503,"&lt;="&amp;$I$4))</f>
      </c>
      <c r="C33" s="148">
        <f>IF($L33="","",SUMIFS(采购进货!$H$4:$H$1503,采购进货!$C$4:$C$1503,$B$4,采购进货!$D$4:$D$1503,INDEX(基础资料!$E$5:$E$104,$L33),采购进货!$B$4:$B$1503,"&gt;="&amp;$G$4,采购进货!$B$4:$B$1503,"&lt;="&amp;$I$4))</f>
      </c>
      <c r="D33" s="210">
        <f>IF($L33="","",SUMIFS(采购进货!$G$4:$G$1503,采购进货!$C$4:$C$1503,$B$4,采购进货!$D$4:$D$1503,INDEX(基础资料!$E$5:$E$104,$L33),采购进货!$B$4:$B$1503,"&gt;="&amp;$G$4,采购进货!$B$4:$B$1503,"&lt;="&amp;$I$4))</f>
      </c>
      <c r="E33" s="149">
        <f>IF(OR($L33="",N(B33)+N(C33)=0),"",D33/(B33+C33))</f>
      </c>
      <c r="L33" s="78">
        <f>IFERROR(SMALL($M$15:$M$114,19),"")</f>
      </c>
      <c r="M33" s="78">
        <f>IF(基础资料!$E$23="","",IF(SUMIFS(采购进货!$E$4:$E$1503,采购进货!$C$4:$C$1503,$B$4,采购进货!$D$4:$D$1503,基础资料!$E$23,采购进货!$B$4:$B$1503,"&gt;="&amp;$G$4,采购进货!$B$4:$B$1503,"&lt;="&amp;$I$4)+SUMIFS(采购进货!$H$4:$H$1503,采购进货!$C$4:$C$1503,$B$4,采购进货!$D$4:$D$1503,基础资料!$E$23,采购进货!$B$4:$B$1503,"&gt;="&amp;$G$4,采购进货!$B$4:$B$1503,"&lt;="&amp;$I$4)&lt;&gt;0,19,""))</f>
      </c>
    </row>
    <row r="34">
      <c r="A34" s="141">
        <f>IF($L34="","",INDEX(基础资料!$E$5:$E$104,$L34))</f>
      </c>
      <c r="B34" s="148">
        <f>IF($L34="","",SUMIFS(采购进货!$E$4:$E$1503,采购进货!$C$4:$C$1503,$B$4,采购进货!$D$4:$D$1503,INDEX(基础资料!$E$5:$E$104,$L34),采购进货!$B$4:$B$1503,"&gt;="&amp;$G$4,采购进货!$B$4:$B$1503,"&lt;="&amp;$I$4))</f>
      </c>
      <c r="C34" s="148">
        <f>IF($L34="","",SUMIFS(采购进货!$H$4:$H$1503,采购进货!$C$4:$C$1503,$B$4,采购进货!$D$4:$D$1503,INDEX(基础资料!$E$5:$E$104,$L34),采购进货!$B$4:$B$1503,"&gt;="&amp;$G$4,采购进货!$B$4:$B$1503,"&lt;="&amp;$I$4))</f>
      </c>
      <c r="D34" s="210">
        <f>IF($L34="","",SUMIFS(采购进货!$G$4:$G$1503,采购进货!$C$4:$C$1503,$B$4,采购进货!$D$4:$D$1503,INDEX(基础资料!$E$5:$E$104,$L34),采购进货!$B$4:$B$1503,"&gt;="&amp;$G$4,采购进货!$B$4:$B$1503,"&lt;="&amp;$I$4))</f>
      </c>
      <c r="E34" s="149">
        <f>IF(OR($L34="",N(B34)+N(C34)=0),"",D34/(B34+C34))</f>
      </c>
      <c r="L34" s="78">
        <f>IFERROR(SMALL($M$15:$M$114,20),"")</f>
      </c>
      <c r="M34" s="78">
        <f>IF(基础资料!$E$24="","",IF(SUMIFS(采购进货!$E$4:$E$1503,采购进货!$C$4:$C$1503,$B$4,采购进货!$D$4:$D$1503,基础资料!$E$24,采购进货!$B$4:$B$1503,"&gt;="&amp;$G$4,采购进货!$B$4:$B$1503,"&lt;="&amp;$I$4)+SUMIFS(采购进货!$H$4:$H$1503,采购进货!$C$4:$C$1503,$B$4,采购进货!$D$4:$D$1503,基础资料!$E$24,采购进货!$B$4:$B$1503,"&gt;="&amp;$G$4,采购进货!$B$4:$B$1503,"&lt;="&amp;$I$4)&lt;&gt;0,20,""))</f>
      </c>
    </row>
    <row r="35">
      <c r="M35" s="78">
        <f>IF(基础资料!$E$25="","",IF(SUMIFS(采购进货!$E$4:$E$1503,采购进货!$C$4:$C$1503,$B$4,采购进货!$D$4:$D$1503,基础资料!$E$25,采购进货!$B$4:$B$1503,"&gt;="&amp;$G$4,采购进货!$B$4:$B$1503,"&lt;="&amp;$I$4)+SUMIFS(采购进货!$H$4:$H$1503,采购进货!$C$4:$C$1503,$B$4,采购进货!$D$4:$D$1503,基础资料!$E$25,采购进货!$B$4:$B$1503,"&gt;="&amp;$G$4,采购进货!$B$4:$B$1503,"&lt;="&amp;$I$4)&lt;&gt;0,21,""))</f>
      </c>
    </row>
    <row r="36">
      <c r="A36" s="211">
        <f>IF(COUNT(_辅助!$H$4:$H$4503)&gt;299,"⚠ 这段时间往来超过 299 笔，只列了前 299 笔，请把日期范围缩短","")</f>
      </c>
      <c r="M36" s="78">
        <f>IF(基础资料!$E$26="","",IF(SUMIFS(采购进货!$E$4:$E$1503,采购进货!$C$4:$C$1503,$B$4,采购进货!$D$4:$D$1503,基础资料!$E$26,采购进货!$B$4:$B$1503,"&gt;="&amp;$G$4,采购进货!$B$4:$B$1503,"&lt;="&amp;$I$4)+SUMIFS(采购进货!$H$4:$H$1503,采购进货!$C$4:$C$1503,$B$4,采购进货!$D$4:$D$1503,基础资料!$E$26,采购进货!$B$4:$B$1503,"&gt;="&amp;$G$4,采购进货!$B$4:$B$1503,"&lt;="&amp;$I$4)&lt;&gt;0,22,""))</f>
      </c>
    </row>
    <row r="37" ht="26" customHeight="1" s="71">
      <c r="A37" s="212" t="inlineStr">
        <is>
          <t>📋 往来明细（按日期排）</t>
        </is>
      </c>
      <c r="M37" s="78">
        <f>IF(基础资料!$E$27="","",IF(SUMIFS(采购进货!$E$4:$E$1503,采购进货!$C$4:$C$1503,$B$4,采购进货!$D$4:$D$1503,基础资料!$E$27,采购进货!$B$4:$B$1503,"&gt;="&amp;$G$4,采购进货!$B$4:$B$1503,"&lt;="&amp;$I$4)+SUMIFS(采购进货!$H$4:$H$1503,采购进货!$C$4:$C$1503,$B$4,采购进货!$D$4:$D$1503,基础资料!$E$27,采购进货!$B$4:$B$1503,"&gt;="&amp;$G$4,采购进货!$B$4:$B$1503,"&lt;="&amp;$I$4)&lt;&gt;0,23,""))</f>
      </c>
    </row>
    <row r="38" ht="28" customHeight="1" s="71">
      <c r="A38" s="101" t="inlineStr">
        <is>
          <t>序号</t>
        </is>
      </c>
      <c r="B38" s="101" t="inlineStr">
        <is>
          <t>日期</t>
        </is>
      </c>
      <c r="C38" s="101" t="inlineStr">
        <is>
          <t>摘要</t>
        </is>
      </c>
      <c r="D38" s="101" t="inlineStr">
        <is>
          <t>商品品类</t>
        </is>
      </c>
      <c r="E38" s="101" t="inlineStr">
        <is>
          <t>数量(件)</t>
        </is>
      </c>
      <c r="F38" s="101" t="inlineStr">
        <is>
          <t>进价</t>
        </is>
      </c>
      <c r="G38" s="101" t="inlineStr">
        <is>
          <t>进货金额</t>
        </is>
      </c>
      <c r="H38" s="101" t="inlineStr">
        <is>
          <t>付款金额</t>
        </is>
      </c>
      <c r="I38" s="101" t="inlineStr">
        <is>
          <t>应付余额</t>
        </is>
      </c>
      <c r="J38" s="101" t="inlineStr">
        <is>
          <t>备注</t>
        </is>
      </c>
      <c r="M38" s="78">
        <f>IF(基础资料!$E$28="","",IF(SUMIFS(采购进货!$E$4:$E$1503,采购进货!$C$4:$C$1503,$B$4,采购进货!$D$4:$D$1503,基础资料!$E$28,采购进货!$B$4:$B$1503,"&gt;="&amp;$G$4,采购进货!$B$4:$B$1503,"&lt;="&amp;$I$4)+SUMIFS(采购进货!$H$4:$H$1503,采购进货!$C$4:$C$1503,$B$4,采购进货!$D$4:$D$1503,基础资料!$E$28,采购进货!$B$4:$B$1503,"&gt;="&amp;$G$4,采购进货!$B$4:$B$1503,"&lt;="&amp;$I$4)&lt;&gt;0,24,""))</f>
      </c>
    </row>
    <row r="39">
      <c r="A39" s="84" t="n"/>
      <c r="B39" s="140">
        <f>$G$4</f>
        <v>46023.0</v>
      </c>
      <c r="C39" s="119" t="inlineStr">
        <is>
          <t>期初应付</t>
        </is>
      </c>
      <c r="D39" s="84" t="n"/>
      <c r="E39" s="84" t="n"/>
      <c r="F39" s="84" t="n"/>
      <c r="G39" s="84" t="n"/>
      <c r="H39" s="84" t="n"/>
      <c r="I39" s="187">
        <f>A9</f>
        <v>0</v>
      </c>
      <c r="J39" s="84" t="n"/>
      <c r="M39" s="78">
        <f>IF(基础资料!$E$29="","",IF(SUMIFS(采购进货!$E$4:$E$1503,采购进货!$C$4:$C$1503,$B$4,采购进货!$D$4:$D$1503,基础资料!$E$29,采购进货!$B$4:$B$1503,"&gt;="&amp;$G$4,采购进货!$B$4:$B$1503,"&lt;="&amp;$I$4)+SUMIFS(采购进货!$H$4:$H$1503,采购进货!$C$4:$C$1503,$B$4,采购进货!$D$4:$D$1503,基础资料!$E$29,采购进货!$B$4:$B$1503,"&gt;="&amp;$G$4,采购进货!$B$4:$B$1503,"&lt;="&amp;$I$4)&lt;&gt;0,25,""))</f>
      </c>
    </row>
    <row r="40">
      <c r="A40" s="141">
        <f>IF($K40="","",1)</f>
      </c>
      <c r="B40" s="140">
        <f>IF($K40="","",IF($K40&lt;=1500,INDEX(采购进货!$B$4:$B$1503,$K40),INDEX(资金台帐!$B$7:$B$3006,$K40-1500)))</f>
      </c>
      <c r="C40" s="141">
        <f>IF($K40="","",IF($K40&lt;=1500,IF(N(INDEX(采购进货!$E$4:$E$1503,$K40))&lt;0,"退货","进货"),IF(INDEX(资金台帐!$S$7:$S$3006,$K40-1500)&lt;=0,"付款","退款")&amp;"（"&amp;INDEX(资金台帐!$C$7:$C$3006,$K40-1500)&amp;"）"))</f>
      </c>
      <c r="D40" s="141">
        <f>IF($K40="","",IF($K40&lt;=1500,INDEX(采购进货!$D$4:$D$1503,$K40)&amp;"",""))</f>
      </c>
      <c r="E40" s="148">
        <f>IF($K40="","",IF($K40&lt;=1500,N(INDEX(采购进货!$E$4:$E$1503,$K40))+N(INDEX(采购进货!$H$4:$H$1503,$K40)),""))</f>
      </c>
      <c r="F40" s="149">
        <f>IF($K40="","",IF($K40&lt;=1500,INDEX(采购进货!$F$4:$F$1503,$K40),""))</f>
      </c>
      <c r="G40" s="186">
        <f>IF($K40="","",IF($K40&lt;=1500,N(INDEX(采购进货!$G$4:$G$1503,$K40)),""))</f>
      </c>
      <c r="H40" s="186">
        <f>IF($K40="","",IF($K40&lt;=1500,"",-INDEX(资金台帐!$S$7:$S$3006,$K40-1500)))</f>
      </c>
      <c r="I40" s="187">
        <f>IF($K40="","",I39+N(G40)-N(H40))</f>
      </c>
      <c r="J40" s="213">
        <f>IF($K40="","",IF($K40&lt;=1500,IF(N(INDEX(采购进货!$H$4:$H$1503,$K40))&lt;&gt;0,"含赠品"&amp;INDEX(采购进货!$H$4:$H$1503,$K40)&amp;"件 ","")&amp;INDEX(采购进货!$I$4:$I$1503,$K40),INDEX(资金台帐!$E$7:$E$3006,$K40-1500)&amp;""))</f>
      </c>
      <c r="K40" s="78">
        <f>IFERROR(MATCH(SMALL(_辅助!$H$4:$H$4503,1),_辅助!$H$4:$H$4503,0),"")</f>
      </c>
      <c r="M40" s="78">
        <f>IF(基础资料!$E$30="","",IF(SUMIFS(采购进货!$E$4:$E$1503,采购进货!$C$4:$C$1503,$B$4,采购进货!$D$4:$D$1503,基础资料!$E$30,采购进货!$B$4:$B$1503,"&gt;="&amp;$G$4,采购进货!$B$4:$B$1503,"&lt;="&amp;$I$4)+SUMIFS(采购进货!$H$4:$H$1503,采购进货!$C$4:$C$1503,$B$4,采购进货!$D$4:$D$1503,基础资料!$E$30,采购进货!$B$4:$B$1503,"&gt;="&amp;$G$4,采购进货!$B$4:$B$1503,"&lt;="&amp;$I$4)&lt;&gt;0,26,""))</f>
      </c>
    </row>
    <row r="41">
      <c r="A41" s="141">
        <f>IF($K41="","",2)</f>
      </c>
      <c r="B41" s="140">
        <f>IF($K41="","",IF($K41&lt;=1500,INDEX(采购进货!$B$4:$B$1503,$K41),INDEX(资金台帐!$B$7:$B$3006,$K41-1500)))</f>
      </c>
      <c r="C41" s="141">
        <f>IF($K41="","",IF($K41&lt;=1500,IF(N(INDEX(采购进货!$E$4:$E$1503,$K41))&lt;0,"退货","进货"),IF(INDEX(资金台帐!$S$7:$S$3006,$K41-1500)&lt;=0,"付款","退款")&amp;"（"&amp;INDEX(资金台帐!$C$7:$C$3006,$K41-1500)&amp;"）"))</f>
      </c>
      <c r="D41" s="141">
        <f>IF($K41="","",IF($K41&lt;=1500,INDEX(采购进货!$D$4:$D$1503,$K41)&amp;"",""))</f>
      </c>
      <c r="E41" s="148">
        <f>IF($K41="","",IF($K41&lt;=1500,N(INDEX(采购进货!$E$4:$E$1503,$K41))+N(INDEX(采购进货!$H$4:$H$1503,$K41)),""))</f>
      </c>
      <c r="F41" s="149">
        <f>IF($K41="","",IF($K41&lt;=1500,INDEX(采购进货!$F$4:$F$1503,$K41),""))</f>
      </c>
      <c r="G41" s="186">
        <f>IF($K41="","",IF($K41&lt;=1500,N(INDEX(采购进货!$G$4:$G$1503,$K41)),""))</f>
      </c>
      <c r="H41" s="186">
        <f>IF($K41="","",IF($K41&lt;=1500,"",-INDEX(资金台帐!$S$7:$S$3006,$K41-1500)))</f>
      </c>
      <c r="I41" s="187">
        <f>IF($K41="","",I40+N(G41)-N(H41))</f>
      </c>
      <c r="J41" s="213">
        <f>IF($K41="","",IF($K41&lt;=1500,IF(N(INDEX(采购进货!$H$4:$H$1503,$K41))&lt;&gt;0,"含赠品"&amp;INDEX(采购进货!$H$4:$H$1503,$K41)&amp;"件 ","")&amp;INDEX(采购进货!$I$4:$I$1503,$K41),INDEX(资金台帐!$E$7:$E$3006,$K41-1500)&amp;""))</f>
      </c>
      <c r="K41" s="78">
        <f>IFERROR(MATCH(SMALL(_辅助!$H$4:$H$4503,2),_辅助!$H$4:$H$4503,0),"")</f>
      </c>
      <c r="M41" s="78">
        <f>IF(基础资料!$E$31="","",IF(SUMIFS(采购进货!$E$4:$E$1503,采购进货!$C$4:$C$1503,$B$4,采购进货!$D$4:$D$1503,基础资料!$E$31,采购进货!$B$4:$B$1503,"&gt;="&amp;$G$4,采购进货!$B$4:$B$1503,"&lt;="&amp;$I$4)+SUMIFS(采购进货!$H$4:$H$1503,采购进货!$C$4:$C$1503,$B$4,采购进货!$D$4:$D$1503,基础资料!$E$31,采购进货!$B$4:$B$1503,"&gt;="&amp;$G$4,采购进货!$B$4:$B$1503,"&lt;="&amp;$I$4)&lt;&gt;0,27,""))</f>
      </c>
    </row>
    <row r="42">
      <c r="A42" s="141">
        <f>IF($K42="","",3)</f>
      </c>
      <c r="B42" s="140">
        <f>IF($K42="","",IF($K42&lt;=1500,INDEX(采购进货!$B$4:$B$1503,$K42),INDEX(资金台帐!$B$7:$B$3006,$K42-1500)))</f>
      </c>
      <c r="C42" s="141">
        <f>IF($K42="","",IF($K42&lt;=1500,IF(N(INDEX(采购进货!$E$4:$E$1503,$K42))&lt;0,"退货","进货"),IF(INDEX(资金台帐!$S$7:$S$3006,$K42-1500)&lt;=0,"付款","退款")&amp;"（"&amp;INDEX(资金台帐!$C$7:$C$3006,$K42-1500)&amp;"）"))</f>
      </c>
      <c r="D42" s="141">
        <f>IF($K42="","",IF($K42&lt;=1500,INDEX(采购进货!$D$4:$D$1503,$K42)&amp;"",""))</f>
      </c>
      <c r="E42" s="148">
        <f>IF($K42="","",IF($K42&lt;=1500,N(INDEX(采购进货!$E$4:$E$1503,$K42))+N(INDEX(采购进货!$H$4:$H$1503,$K42)),""))</f>
      </c>
      <c r="F42" s="149">
        <f>IF($K42="","",IF($K42&lt;=1500,INDEX(采购进货!$F$4:$F$1503,$K42),""))</f>
      </c>
      <c r="G42" s="186">
        <f>IF($K42="","",IF($K42&lt;=1500,N(INDEX(采购进货!$G$4:$G$1503,$K42)),""))</f>
      </c>
      <c r="H42" s="186">
        <f>IF($K42="","",IF($K42&lt;=1500,"",-INDEX(资金台帐!$S$7:$S$3006,$K42-1500)))</f>
      </c>
      <c r="I42" s="187">
        <f>IF($K42="","",I41+N(G42)-N(H42))</f>
      </c>
      <c r="J42" s="213">
        <f>IF($K42="","",IF($K42&lt;=1500,IF(N(INDEX(采购进货!$H$4:$H$1503,$K42))&lt;&gt;0,"含赠品"&amp;INDEX(采购进货!$H$4:$H$1503,$K42)&amp;"件 ","")&amp;INDEX(采购进货!$I$4:$I$1503,$K42),INDEX(资金台帐!$E$7:$E$3006,$K42-1500)&amp;""))</f>
      </c>
      <c r="K42" s="78">
        <f>IFERROR(MATCH(SMALL(_辅助!$H$4:$H$4503,3),_辅助!$H$4:$H$4503,0),"")</f>
      </c>
      <c r="M42" s="78">
        <f>IF(基础资料!$E$32="","",IF(SUMIFS(采购进货!$E$4:$E$1503,采购进货!$C$4:$C$1503,$B$4,采购进货!$D$4:$D$1503,基础资料!$E$32,采购进货!$B$4:$B$1503,"&gt;="&amp;$G$4,采购进货!$B$4:$B$1503,"&lt;="&amp;$I$4)+SUMIFS(采购进货!$H$4:$H$1503,采购进货!$C$4:$C$1503,$B$4,采购进货!$D$4:$D$1503,基础资料!$E$32,采购进货!$B$4:$B$1503,"&gt;="&amp;$G$4,采购进货!$B$4:$B$1503,"&lt;="&amp;$I$4)&lt;&gt;0,28,""))</f>
      </c>
    </row>
    <row r="43">
      <c r="A43" s="141">
        <f>IF($K43="","",4)</f>
      </c>
      <c r="B43" s="140">
        <f>IF($K43="","",IF($K43&lt;=1500,INDEX(采购进货!$B$4:$B$1503,$K43),INDEX(资金台帐!$B$7:$B$3006,$K43-1500)))</f>
      </c>
      <c r="C43" s="141">
        <f>IF($K43="","",IF($K43&lt;=1500,IF(N(INDEX(采购进货!$E$4:$E$1503,$K43))&lt;0,"退货","进货"),IF(INDEX(资金台帐!$S$7:$S$3006,$K43-1500)&lt;=0,"付款","退款")&amp;"（"&amp;INDEX(资金台帐!$C$7:$C$3006,$K43-1500)&amp;"）"))</f>
      </c>
      <c r="D43" s="141">
        <f>IF($K43="","",IF($K43&lt;=1500,INDEX(采购进货!$D$4:$D$1503,$K43)&amp;"",""))</f>
      </c>
      <c r="E43" s="148">
        <f>IF($K43="","",IF($K43&lt;=1500,N(INDEX(采购进货!$E$4:$E$1503,$K43))+N(INDEX(采购进货!$H$4:$H$1503,$K43)),""))</f>
      </c>
      <c r="F43" s="149">
        <f>IF($K43="","",IF($K43&lt;=1500,INDEX(采购进货!$F$4:$F$1503,$K43),""))</f>
      </c>
      <c r="G43" s="186">
        <f>IF($K43="","",IF($K43&lt;=1500,N(INDEX(采购进货!$G$4:$G$1503,$K43)),""))</f>
      </c>
      <c r="H43" s="186">
        <f>IF($K43="","",IF($K43&lt;=1500,"",-INDEX(资金台帐!$S$7:$S$3006,$K43-1500)))</f>
      </c>
      <c r="I43" s="187">
        <f>IF($K43="","",I42+N(G43)-N(H43))</f>
      </c>
      <c r="J43" s="213">
        <f>IF($K43="","",IF($K43&lt;=1500,IF(N(INDEX(采购进货!$H$4:$H$1503,$K43))&lt;&gt;0,"含赠品"&amp;INDEX(采购进货!$H$4:$H$1503,$K43)&amp;"件 ","")&amp;INDEX(采购进货!$I$4:$I$1503,$K43),INDEX(资金台帐!$E$7:$E$3006,$K43-1500)&amp;""))</f>
      </c>
      <c r="K43" s="78">
        <f>IFERROR(MATCH(SMALL(_辅助!$H$4:$H$4503,4),_辅助!$H$4:$H$4503,0),"")</f>
      </c>
      <c r="M43" s="78">
        <f>IF(基础资料!$E$33="","",IF(SUMIFS(采购进货!$E$4:$E$1503,采购进货!$C$4:$C$1503,$B$4,采购进货!$D$4:$D$1503,基础资料!$E$33,采购进货!$B$4:$B$1503,"&gt;="&amp;$G$4,采购进货!$B$4:$B$1503,"&lt;="&amp;$I$4)+SUMIFS(采购进货!$H$4:$H$1503,采购进货!$C$4:$C$1503,$B$4,采购进货!$D$4:$D$1503,基础资料!$E$33,采购进货!$B$4:$B$1503,"&gt;="&amp;$G$4,采购进货!$B$4:$B$1503,"&lt;="&amp;$I$4)&lt;&gt;0,29,""))</f>
      </c>
    </row>
    <row r="44">
      <c r="A44" s="141">
        <f>IF($K44="","",5)</f>
      </c>
      <c r="B44" s="140">
        <f>IF($K44="","",IF($K44&lt;=1500,INDEX(采购进货!$B$4:$B$1503,$K44),INDEX(资金台帐!$B$7:$B$3006,$K44-1500)))</f>
      </c>
      <c r="C44" s="141">
        <f>IF($K44="","",IF($K44&lt;=1500,IF(N(INDEX(采购进货!$E$4:$E$1503,$K44))&lt;0,"退货","进货"),IF(INDEX(资金台帐!$S$7:$S$3006,$K44-1500)&lt;=0,"付款","退款")&amp;"（"&amp;INDEX(资金台帐!$C$7:$C$3006,$K44-1500)&amp;"）"))</f>
      </c>
      <c r="D44" s="141">
        <f>IF($K44="","",IF($K44&lt;=1500,INDEX(采购进货!$D$4:$D$1503,$K44)&amp;"",""))</f>
      </c>
      <c r="E44" s="148">
        <f>IF($K44="","",IF($K44&lt;=1500,N(INDEX(采购进货!$E$4:$E$1503,$K44))+N(INDEX(采购进货!$H$4:$H$1503,$K44)),""))</f>
      </c>
      <c r="F44" s="149">
        <f>IF($K44="","",IF($K44&lt;=1500,INDEX(采购进货!$F$4:$F$1503,$K44),""))</f>
      </c>
      <c r="G44" s="186">
        <f>IF($K44="","",IF($K44&lt;=1500,N(INDEX(采购进货!$G$4:$G$1503,$K44)),""))</f>
      </c>
      <c r="H44" s="186">
        <f>IF($K44="","",IF($K44&lt;=1500,"",-INDEX(资金台帐!$S$7:$S$3006,$K44-1500)))</f>
      </c>
      <c r="I44" s="187">
        <f>IF($K44="","",I43+N(G44)-N(H44))</f>
      </c>
      <c r="J44" s="213">
        <f>IF($K44="","",IF($K44&lt;=1500,IF(N(INDEX(采购进货!$H$4:$H$1503,$K44))&lt;&gt;0,"含赠品"&amp;INDEX(采购进货!$H$4:$H$1503,$K44)&amp;"件 ","")&amp;INDEX(采购进货!$I$4:$I$1503,$K44),INDEX(资金台帐!$E$7:$E$3006,$K44-1500)&amp;""))</f>
      </c>
      <c r="K44" s="78">
        <f>IFERROR(MATCH(SMALL(_辅助!$H$4:$H$4503,5),_辅助!$H$4:$H$4503,0),"")</f>
      </c>
      <c r="M44" s="78">
        <f>IF(基础资料!$E$34="","",IF(SUMIFS(采购进货!$E$4:$E$1503,采购进货!$C$4:$C$1503,$B$4,采购进货!$D$4:$D$1503,基础资料!$E$34,采购进货!$B$4:$B$1503,"&gt;="&amp;$G$4,采购进货!$B$4:$B$1503,"&lt;="&amp;$I$4)+SUMIFS(采购进货!$H$4:$H$1503,采购进货!$C$4:$C$1503,$B$4,采购进货!$D$4:$D$1503,基础资料!$E$34,采购进货!$B$4:$B$1503,"&gt;="&amp;$G$4,采购进货!$B$4:$B$1503,"&lt;="&amp;$I$4)&lt;&gt;0,30,""))</f>
      </c>
    </row>
    <row r="45">
      <c r="A45" s="141">
        <f>IF($K45="","",6)</f>
      </c>
      <c r="B45" s="140">
        <f>IF($K45="","",IF($K45&lt;=1500,INDEX(采购进货!$B$4:$B$1503,$K45),INDEX(资金台帐!$B$7:$B$3006,$K45-1500)))</f>
      </c>
      <c r="C45" s="141">
        <f>IF($K45="","",IF($K45&lt;=1500,IF(N(INDEX(采购进货!$E$4:$E$1503,$K45))&lt;0,"退货","进货"),IF(INDEX(资金台帐!$S$7:$S$3006,$K45-1500)&lt;=0,"付款","退款")&amp;"（"&amp;INDEX(资金台帐!$C$7:$C$3006,$K45-1500)&amp;"）"))</f>
      </c>
      <c r="D45" s="141">
        <f>IF($K45="","",IF($K45&lt;=1500,INDEX(采购进货!$D$4:$D$1503,$K45)&amp;"",""))</f>
      </c>
      <c r="E45" s="148">
        <f>IF($K45="","",IF($K45&lt;=1500,N(INDEX(采购进货!$E$4:$E$1503,$K45))+N(INDEX(采购进货!$H$4:$H$1503,$K45)),""))</f>
      </c>
      <c r="F45" s="149">
        <f>IF($K45="","",IF($K45&lt;=1500,INDEX(采购进货!$F$4:$F$1503,$K45),""))</f>
      </c>
      <c r="G45" s="186">
        <f>IF($K45="","",IF($K45&lt;=1500,N(INDEX(采购进货!$G$4:$G$1503,$K45)),""))</f>
      </c>
      <c r="H45" s="186">
        <f>IF($K45="","",IF($K45&lt;=1500,"",-INDEX(资金台帐!$S$7:$S$3006,$K45-1500)))</f>
      </c>
      <c r="I45" s="187">
        <f>IF($K45="","",I44+N(G45)-N(H45))</f>
      </c>
      <c r="J45" s="213">
        <f>IF($K45="","",IF($K45&lt;=1500,IF(N(INDEX(采购进货!$H$4:$H$1503,$K45))&lt;&gt;0,"含赠品"&amp;INDEX(采购进货!$H$4:$H$1503,$K45)&amp;"件 ","")&amp;INDEX(采购进货!$I$4:$I$1503,$K45),INDEX(资金台帐!$E$7:$E$3006,$K45-1500)&amp;""))</f>
      </c>
      <c r="K45" s="78">
        <f>IFERROR(MATCH(SMALL(_辅助!$H$4:$H$4503,6),_辅助!$H$4:$H$4503,0),"")</f>
      </c>
      <c r="M45" s="78">
        <f>IF(基础资料!$E$35="","",IF(SUMIFS(采购进货!$E$4:$E$1503,采购进货!$C$4:$C$1503,$B$4,采购进货!$D$4:$D$1503,基础资料!$E$35,采购进货!$B$4:$B$1503,"&gt;="&amp;$G$4,采购进货!$B$4:$B$1503,"&lt;="&amp;$I$4)+SUMIFS(采购进货!$H$4:$H$1503,采购进货!$C$4:$C$1503,$B$4,采购进货!$D$4:$D$1503,基础资料!$E$35,采购进货!$B$4:$B$1503,"&gt;="&amp;$G$4,采购进货!$B$4:$B$1503,"&lt;="&amp;$I$4)&lt;&gt;0,31,""))</f>
      </c>
    </row>
    <row r="46">
      <c r="A46" s="141">
        <f>IF($K46="","",7)</f>
      </c>
      <c r="B46" s="140">
        <f>IF($K46="","",IF($K46&lt;=1500,INDEX(采购进货!$B$4:$B$1503,$K46),INDEX(资金台帐!$B$7:$B$3006,$K46-1500)))</f>
      </c>
      <c r="C46" s="141">
        <f>IF($K46="","",IF($K46&lt;=1500,IF(N(INDEX(采购进货!$E$4:$E$1503,$K46))&lt;0,"退货","进货"),IF(INDEX(资金台帐!$S$7:$S$3006,$K46-1500)&lt;=0,"付款","退款")&amp;"（"&amp;INDEX(资金台帐!$C$7:$C$3006,$K46-1500)&amp;"）"))</f>
      </c>
      <c r="D46" s="141">
        <f>IF($K46="","",IF($K46&lt;=1500,INDEX(采购进货!$D$4:$D$1503,$K46)&amp;"",""))</f>
      </c>
      <c r="E46" s="148">
        <f>IF($K46="","",IF($K46&lt;=1500,N(INDEX(采购进货!$E$4:$E$1503,$K46))+N(INDEX(采购进货!$H$4:$H$1503,$K46)),""))</f>
      </c>
      <c r="F46" s="149">
        <f>IF($K46="","",IF($K46&lt;=1500,INDEX(采购进货!$F$4:$F$1503,$K46),""))</f>
      </c>
      <c r="G46" s="186">
        <f>IF($K46="","",IF($K46&lt;=1500,N(INDEX(采购进货!$G$4:$G$1503,$K46)),""))</f>
      </c>
      <c r="H46" s="186">
        <f>IF($K46="","",IF($K46&lt;=1500,"",-INDEX(资金台帐!$S$7:$S$3006,$K46-1500)))</f>
      </c>
      <c r="I46" s="187">
        <f>IF($K46="","",I45+N(G46)-N(H46))</f>
      </c>
      <c r="J46" s="213">
        <f>IF($K46="","",IF($K46&lt;=1500,IF(N(INDEX(采购进货!$H$4:$H$1503,$K46))&lt;&gt;0,"含赠品"&amp;INDEX(采购进货!$H$4:$H$1503,$K46)&amp;"件 ","")&amp;INDEX(采购进货!$I$4:$I$1503,$K46),INDEX(资金台帐!$E$7:$E$3006,$K46-1500)&amp;""))</f>
      </c>
      <c r="K46" s="78">
        <f>IFERROR(MATCH(SMALL(_辅助!$H$4:$H$4503,7),_辅助!$H$4:$H$4503,0),"")</f>
      </c>
      <c r="M46" s="78">
        <f>IF(基础资料!$E$36="","",IF(SUMIFS(采购进货!$E$4:$E$1503,采购进货!$C$4:$C$1503,$B$4,采购进货!$D$4:$D$1503,基础资料!$E$36,采购进货!$B$4:$B$1503,"&gt;="&amp;$G$4,采购进货!$B$4:$B$1503,"&lt;="&amp;$I$4)+SUMIFS(采购进货!$H$4:$H$1503,采购进货!$C$4:$C$1503,$B$4,采购进货!$D$4:$D$1503,基础资料!$E$36,采购进货!$B$4:$B$1503,"&gt;="&amp;$G$4,采购进货!$B$4:$B$1503,"&lt;="&amp;$I$4)&lt;&gt;0,32,""))</f>
      </c>
    </row>
    <row r="47">
      <c r="A47" s="141">
        <f>IF($K47="","",8)</f>
      </c>
      <c r="B47" s="140">
        <f>IF($K47="","",IF($K47&lt;=1500,INDEX(采购进货!$B$4:$B$1503,$K47),INDEX(资金台帐!$B$7:$B$3006,$K47-1500)))</f>
      </c>
      <c r="C47" s="141">
        <f>IF($K47="","",IF($K47&lt;=1500,IF(N(INDEX(采购进货!$E$4:$E$1503,$K47))&lt;0,"退货","进货"),IF(INDEX(资金台帐!$S$7:$S$3006,$K47-1500)&lt;=0,"付款","退款")&amp;"（"&amp;INDEX(资金台帐!$C$7:$C$3006,$K47-1500)&amp;"）"))</f>
      </c>
      <c r="D47" s="141">
        <f>IF($K47="","",IF($K47&lt;=1500,INDEX(采购进货!$D$4:$D$1503,$K47)&amp;"",""))</f>
      </c>
      <c r="E47" s="148">
        <f>IF($K47="","",IF($K47&lt;=1500,N(INDEX(采购进货!$E$4:$E$1503,$K47))+N(INDEX(采购进货!$H$4:$H$1503,$K47)),""))</f>
      </c>
      <c r="F47" s="149">
        <f>IF($K47="","",IF($K47&lt;=1500,INDEX(采购进货!$F$4:$F$1503,$K47),""))</f>
      </c>
      <c r="G47" s="186">
        <f>IF($K47="","",IF($K47&lt;=1500,N(INDEX(采购进货!$G$4:$G$1503,$K47)),""))</f>
      </c>
      <c r="H47" s="186">
        <f>IF($K47="","",IF($K47&lt;=1500,"",-INDEX(资金台帐!$S$7:$S$3006,$K47-1500)))</f>
      </c>
      <c r="I47" s="187">
        <f>IF($K47="","",I46+N(G47)-N(H47))</f>
      </c>
      <c r="J47" s="213">
        <f>IF($K47="","",IF($K47&lt;=1500,IF(N(INDEX(采购进货!$H$4:$H$1503,$K47))&lt;&gt;0,"含赠品"&amp;INDEX(采购进货!$H$4:$H$1503,$K47)&amp;"件 ","")&amp;INDEX(采购进货!$I$4:$I$1503,$K47),INDEX(资金台帐!$E$7:$E$3006,$K47-1500)&amp;""))</f>
      </c>
      <c r="K47" s="78">
        <f>IFERROR(MATCH(SMALL(_辅助!$H$4:$H$4503,8),_辅助!$H$4:$H$4503,0),"")</f>
      </c>
      <c r="M47" s="78">
        <f>IF(基础资料!$E$37="","",IF(SUMIFS(采购进货!$E$4:$E$1503,采购进货!$C$4:$C$1503,$B$4,采购进货!$D$4:$D$1503,基础资料!$E$37,采购进货!$B$4:$B$1503,"&gt;="&amp;$G$4,采购进货!$B$4:$B$1503,"&lt;="&amp;$I$4)+SUMIFS(采购进货!$H$4:$H$1503,采购进货!$C$4:$C$1503,$B$4,采购进货!$D$4:$D$1503,基础资料!$E$37,采购进货!$B$4:$B$1503,"&gt;="&amp;$G$4,采购进货!$B$4:$B$1503,"&lt;="&amp;$I$4)&lt;&gt;0,33,""))</f>
      </c>
    </row>
    <row r="48">
      <c r="A48" s="141">
        <f>IF($K48="","",9)</f>
      </c>
      <c r="B48" s="140">
        <f>IF($K48="","",IF($K48&lt;=1500,INDEX(采购进货!$B$4:$B$1503,$K48),INDEX(资金台帐!$B$7:$B$3006,$K48-1500)))</f>
      </c>
      <c r="C48" s="141">
        <f>IF($K48="","",IF($K48&lt;=1500,IF(N(INDEX(采购进货!$E$4:$E$1503,$K48))&lt;0,"退货","进货"),IF(INDEX(资金台帐!$S$7:$S$3006,$K48-1500)&lt;=0,"付款","退款")&amp;"（"&amp;INDEX(资金台帐!$C$7:$C$3006,$K48-1500)&amp;"）"))</f>
      </c>
      <c r="D48" s="141">
        <f>IF($K48="","",IF($K48&lt;=1500,INDEX(采购进货!$D$4:$D$1503,$K48)&amp;"",""))</f>
      </c>
      <c r="E48" s="148">
        <f>IF($K48="","",IF($K48&lt;=1500,N(INDEX(采购进货!$E$4:$E$1503,$K48))+N(INDEX(采购进货!$H$4:$H$1503,$K48)),""))</f>
      </c>
      <c r="F48" s="149">
        <f>IF($K48="","",IF($K48&lt;=1500,INDEX(采购进货!$F$4:$F$1503,$K48),""))</f>
      </c>
      <c r="G48" s="186">
        <f>IF($K48="","",IF($K48&lt;=1500,N(INDEX(采购进货!$G$4:$G$1503,$K48)),""))</f>
      </c>
      <c r="H48" s="186">
        <f>IF($K48="","",IF($K48&lt;=1500,"",-INDEX(资金台帐!$S$7:$S$3006,$K48-1500)))</f>
      </c>
      <c r="I48" s="187">
        <f>IF($K48="","",I47+N(G48)-N(H48))</f>
      </c>
      <c r="J48" s="213">
        <f>IF($K48="","",IF($K48&lt;=1500,IF(N(INDEX(采购进货!$H$4:$H$1503,$K48))&lt;&gt;0,"含赠品"&amp;INDEX(采购进货!$H$4:$H$1503,$K48)&amp;"件 ","")&amp;INDEX(采购进货!$I$4:$I$1503,$K48),INDEX(资金台帐!$E$7:$E$3006,$K48-1500)&amp;""))</f>
      </c>
      <c r="K48" s="78">
        <f>IFERROR(MATCH(SMALL(_辅助!$H$4:$H$4503,9),_辅助!$H$4:$H$4503,0),"")</f>
      </c>
      <c r="M48" s="78">
        <f>IF(基础资料!$E$38="","",IF(SUMIFS(采购进货!$E$4:$E$1503,采购进货!$C$4:$C$1503,$B$4,采购进货!$D$4:$D$1503,基础资料!$E$38,采购进货!$B$4:$B$1503,"&gt;="&amp;$G$4,采购进货!$B$4:$B$1503,"&lt;="&amp;$I$4)+SUMIFS(采购进货!$H$4:$H$1503,采购进货!$C$4:$C$1503,$B$4,采购进货!$D$4:$D$1503,基础资料!$E$38,采购进货!$B$4:$B$1503,"&gt;="&amp;$G$4,采购进货!$B$4:$B$1503,"&lt;="&amp;$I$4)&lt;&gt;0,34,""))</f>
      </c>
    </row>
    <row r="49">
      <c r="A49" s="141">
        <f>IF($K49="","",10)</f>
      </c>
      <c r="B49" s="140">
        <f>IF($K49="","",IF($K49&lt;=1500,INDEX(采购进货!$B$4:$B$1503,$K49),INDEX(资金台帐!$B$7:$B$3006,$K49-1500)))</f>
      </c>
      <c r="C49" s="141">
        <f>IF($K49="","",IF($K49&lt;=1500,IF(N(INDEX(采购进货!$E$4:$E$1503,$K49))&lt;0,"退货","进货"),IF(INDEX(资金台帐!$S$7:$S$3006,$K49-1500)&lt;=0,"付款","退款")&amp;"（"&amp;INDEX(资金台帐!$C$7:$C$3006,$K49-1500)&amp;"）"))</f>
      </c>
      <c r="D49" s="141">
        <f>IF($K49="","",IF($K49&lt;=1500,INDEX(采购进货!$D$4:$D$1503,$K49)&amp;"",""))</f>
      </c>
      <c r="E49" s="148">
        <f>IF($K49="","",IF($K49&lt;=1500,N(INDEX(采购进货!$E$4:$E$1503,$K49))+N(INDEX(采购进货!$H$4:$H$1503,$K49)),""))</f>
      </c>
      <c r="F49" s="149">
        <f>IF($K49="","",IF($K49&lt;=1500,INDEX(采购进货!$F$4:$F$1503,$K49),""))</f>
      </c>
      <c r="G49" s="186">
        <f>IF($K49="","",IF($K49&lt;=1500,N(INDEX(采购进货!$G$4:$G$1503,$K49)),""))</f>
      </c>
      <c r="H49" s="186">
        <f>IF($K49="","",IF($K49&lt;=1500,"",-INDEX(资金台帐!$S$7:$S$3006,$K49-1500)))</f>
      </c>
      <c r="I49" s="187">
        <f>IF($K49="","",I48+N(G49)-N(H49))</f>
      </c>
      <c r="J49" s="213">
        <f>IF($K49="","",IF($K49&lt;=1500,IF(N(INDEX(采购进货!$H$4:$H$1503,$K49))&lt;&gt;0,"含赠品"&amp;INDEX(采购进货!$H$4:$H$1503,$K49)&amp;"件 ","")&amp;INDEX(采购进货!$I$4:$I$1503,$K49),INDEX(资金台帐!$E$7:$E$3006,$K49-1500)&amp;""))</f>
      </c>
      <c r="K49" s="78">
        <f>IFERROR(MATCH(SMALL(_辅助!$H$4:$H$4503,10),_辅助!$H$4:$H$4503,0),"")</f>
      </c>
      <c r="M49" s="78">
        <f>IF(基础资料!$E$39="","",IF(SUMIFS(采购进货!$E$4:$E$1503,采购进货!$C$4:$C$1503,$B$4,采购进货!$D$4:$D$1503,基础资料!$E$39,采购进货!$B$4:$B$1503,"&gt;="&amp;$G$4,采购进货!$B$4:$B$1503,"&lt;="&amp;$I$4)+SUMIFS(采购进货!$H$4:$H$1503,采购进货!$C$4:$C$1503,$B$4,采购进货!$D$4:$D$1503,基础资料!$E$39,采购进货!$B$4:$B$1503,"&gt;="&amp;$G$4,采购进货!$B$4:$B$1503,"&lt;="&amp;$I$4)&lt;&gt;0,35,""))</f>
      </c>
    </row>
    <row r="50">
      <c r="A50" s="141">
        <f>IF($K50="","",11)</f>
      </c>
      <c r="B50" s="140">
        <f>IF($K50="","",IF($K50&lt;=1500,INDEX(采购进货!$B$4:$B$1503,$K50),INDEX(资金台帐!$B$7:$B$3006,$K50-1500)))</f>
      </c>
      <c r="C50" s="141">
        <f>IF($K50="","",IF($K50&lt;=1500,IF(N(INDEX(采购进货!$E$4:$E$1503,$K50))&lt;0,"退货","进货"),IF(INDEX(资金台帐!$S$7:$S$3006,$K50-1500)&lt;=0,"付款","退款")&amp;"（"&amp;INDEX(资金台帐!$C$7:$C$3006,$K50-1500)&amp;"）"))</f>
      </c>
      <c r="D50" s="141">
        <f>IF($K50="","",IF($K50&lt;=1500,INDEX(采购进货!$D$4:$D$1503,$K50)&amp;"",""))</f>
      </c>
      <c r="E50" s="148">
        <f>IF($K50="","",IF($K50&lt;=1500,N(INDEX(采购进货!$E$4:$E$1503,$K50))+N(INDEX(采购进货!$H$4:$H$1503,$K50)),""))</f>
      </c>
      <c r="F50" s="149">
        <f>IF($K50="","",IF($K50&lt;=1500,INDEX(采购进货!$F$4:$F$1503,$K50),""))</f>
      </c>
      <c r="G50" s="186">
        <f>IF($K50="","",IF($K50&lt;=1500,N(INDEX(采购进货!$G$4:$G$1503,$K50)),""))</f>
      </c>
      <c r="H50" s="186">
        <f>IF($K50="","",IF($K50&lt;=1500,"",-INDEX(资金台帐!$S$7:$S$3006,$K50-1500)))</f>
      </c>
      <c r="I50" s="187">
        <f>IF($K50="","",I49+N(G50)-N(H50))</f>
      </c>
      <c r="J50" s="213">
        <f>IF($K50="","",IF($K50&lt;=1500,IF(N(INDEX(采购进货!$H$4:$H$1503,$K50))&lt;&gt;0,"含赠品"&amp;INDEX(采购进货!$H$4:$H$1503,$K50)&amp;"件 ","")&amp;INDEX(采购进货!$I$4:$I$1503,$K50),INDEX(资金台帐!$E$7:$E$3006,$K50-1500)&amp;""))</f>
      </c>
      <c r="K50" s="78">
        <f>IFERROR(MATCH(SMALL(_辅助!$H$4:$H$4503,11),_辅助!$H$4:$H$4503,0),"")</f>
      </c>
      <c r="M50" s="78">
        <f>IF(基础资料!$E$40="","",IF(SUMIFS(采购进货!$E$4:$E$1503,采购进货!$C$4:$C$1503,$B$4,采购进货!$D$4:$D$1503,基础资料!$E$40,采购进货!$B$4:$B$1503,"&gt;="&amp;$G$4,采购进货!$B$4:$B$1503,"&lt;="&amp;$I$4)+SUMIFS(采购进货!$H$4:$H$1503,采购进货!$C$4:$C$1503,$B$4,采购进货!$D$4:$D$1503,基础资料!$E$40,采购进货!$B$4:$B$1503,"&gt;="&amp;$G$4,采购进货!$B$4:$B$1503,"&lt;="&amp;$I$4)&lt;&gt;0,36,""))</f>
      </c>
    </row>
    <row r="51">
      <c r="A51" s="141">
        <f>IF($K51="","",12)</f>
      </c>
      <c r="B51" s="140">
        <f>IF($K51="","",IF($K51&lt;=1500,INDEX(采购进货!$B$4:$B$1503,$K51),INDEX(资金台帐!$B$7:$B$3006,$K51-1500)))</f>
      </c>
      <c r="C51" s="141">
        <f>IF($K51="","",IF($K51&lt;=1500,IF(N(INDEX(采购进货!$E$4:$E$1503,$K51))&lt;0,"退货","进货"),IF(INDEX(资金台帐!$S$7:$S$3006,$K51-1500)&lt;=0,"付款","退款")&amp;"（"&amp;INDEX(资金台帐!$C$7:$C$3006,$K51-1500)&amp;"）"))</f>
      </c>
      <c r="D51" s="141">
        <f>IF($K51="","",IF($K51&lt;=1500,INDEX(采购进货!$D$4:$D$1503,$K51)&amp;"",""))</f>
      </c>
      <c r="E51" s="148">
        <f>IF($K51="","",IF($K51&lt;=1500,N(INDEX(采购进货!$E$4:$E$1503,$K51))+N(INDEX(采购进货!$H$4:$H$1503,$K51)),""))</f>
      </c>
      <c r="F51" s="149">
        <f>IF($K51="","",IF($K51&lt;=1500,INDEX(采购进货!$F$4:$F$1503,$K51),""))</f>
      </c>
      <c r="G51" s="186">
        <f>IF($K51="","",IF($K51&lt;=1500,N(INDEX(采购进货!$G$4:$G$1503,$K51)),""))</f>
      </c>
      <c r="H51" s="186">
        <f>IF($K51="","",IF($K51&lt;=1500,"",-INDEX(资金台帐!$S$7:$S$3006,$K51-1500)))</f>
      </c>
      <c r="I51" s="187">
        <f>IF($K51="","",I50+N(G51)-N(H51))</f>
      </c>
      <c r="J51" s="213">
        <f>IF($K51="","",IF($K51&lt;=1500,IF(N(INDEX(采购进货!$H$4:$H$1503,$K51))&lt;&gt;0,"含赠品"&amp;INDEX(采购进货!$H$4:$H$1503,$K51)&amp;"件 ","")&amp;INDEX(采购进货!$I$4:$I$1503,$K51),INDEX(资金台帐!$E$7:$E$3006,$K51-1500)&amp;""))</f>
      </c>
      <c r="K51" s="78">
        <f>IFERROR(MATCH(SMALL(_辅助!$H$4:$H$4503,12),_辅助!$H$4:$H$4503,0),"")</f>
      </c>
      <c r="M51" s="78">
        <f>IF(基础资料!$E$41="","",IF(SUMIFS(采购进货!$E$4:$E$1503,采购进货!$C$4:$C$1503,$B$4,采购进货!$D$4:$D$1503,基础资料!$E$41,采购进货!$B$4:$B$1503,"&gt;="&amp;$G$4,采购进货!$B$4:$B$1503,"&lt;="&amp;$I$4)+SUMIFS(采购进货!$H$4:$H$1503,采购进货!$C$4:$C$1503,$B$4,采购进货!$D$4:$D$1503,基础资料!$E$41,采购进货!$B$4:$B$1503,"&gt;="&amp;$G$4,采购进货!$B$4:$B$1503,"&lt;="&amp;$I$4)&lt;&gt;0,37,""))</f>
      </c>
    </row>
    <row r="52">
      <c r="A52" s="141">
        <f>IF($K52="","",13)</f>
      </c>
      <c r="B52" s="140">
        <f>IF($K52="","",IF($K52&lt;=1500,INDEX(采购进货!$B$4:$B$1503,$K52),INDEX(资金台帐!$B$7:$B$3006,$K52-1500)))</f>
      </c>
      <c r="C52" s="141">
        <f>IF($K52="","",IF($K52&lt;=1500,IF(N(INDEX(采购进货!$E$4:$E$1503,$K52))&lt;0,"退货","进货"),IF(INDEX(资金台帐!$S$7:$S$3006,$K52-1500)&lt;=0,"付款","退款")&amp;"（"&amp;INDEX(资金台帐!$C$7:$C$3006,$K52-1500)&amp;"）"))</f>
      </c>
      <c r="D52" s="141">
        <f>IF($K52="","",IF($K52&lt;=1500,INDEX(采购进货!$D$4:$D$1503,$K52)&amp;"",""))</f>
      </c>
      <c r="E52" s="148">
        <f>IF($K52="","",IF($K52&lt;=1500,N(INDEX(采购进货!$E$4:$E$1503,$K52))+N(INDEX(采购进货!$H$4:$H$1503,$K52)),""))</f>
      </c>
      <c r="F52" s="149">
        <f>IF($K52="","",IF($K52&lt;=1500,INDEX(采购进货!$F$4:$F$1503,$K52),""))</f>
      </c>
      <c r="G52" s="186">
        <f>IF($K52="","",IF($K52&lt;=1500,N(INDEX(采购进货!$G$4:$G$1503,$K52)),""))</f>
      </c>
      <c r="H52" s="186">
        <f>IF($K52="","",IF($K52&lt;=1500,"",-INDEX(资金台帐!$S$7:$S$3006,$K52-1500)))</f>
      </c>
      <c r="I52" s="187">
        <f>IF($K52="","",I51+N(G52)-N(H52))</f>
      </c>
      <c r="J52" s="213">
        <f>IF($K52="","",IF($K52&lt;=1500,IF(N(INDEX(采购进货!$H$4:$H$1503,$K52))&lt;&gt;0,"含赠品"&amp;INDEX(采购进货!$H$4:$H$1503,$K52)&amp;"件 ","")&amp;INDEX(采购进货!$I$4:$I$1503,$K52),INDEX(资金台帐!$E$7:$E$3006,$K52-1500)&amp;""))</f>
      </c>
      <c r="K52" s="78">
        <f>IFERROR(MATCH(SMALL(_辅助!$H$4:$H$4503,13),_辅助!$H$4:$H$4503,0),"")</f>
      </c>
      <c r="M52" s="78">
        <f>IF(基础资料!$E$42="","",IF(SUMIFS(采购进货!$E$4:$E$1503,采购进货!$C$4:$C$1503,$B$4,采购进货!$D$4:$D$1503,基础资料!$E$42,采购进货!$B$4:$B$1503,"&gt;="&amp;$G$4,采购进货!$B$4:$B$1503,"&lt;="&amp;$I$4)+SUMIFS(采购进货!$H$4:$H$1503,采购进货!$C$4:$C$1503,$B$4,采购进货!$D$4:$D$1503,基础资料!$E$42,采购进货!$B$4:$B$1503,"&gt;="&amp;$G$4,采购进货!$B$4:$B$1503,"&lt;="&amp;$I$4)&lt;&gt;0,38,""))</f>
      </c>
    </row>
    <row r="53">
      <c r="A53" s="141">
        <f>IF($K53="","",14)</f>
      </c>
      <c r="B53" s="140">
        <f>IF($K53="","",IF($K53&lt;=1500,INDEX(采购进货!$B$4:$B$1503,$K53),INDEX(资金台帐!$B$7:$B$3006,$K53-1500)))</f>
      </c>
      <c r="C53" s="141">
        <f>IF($K53="","",IF($K53&lt;=1500,IF(N(INDEX(采购进货!$E$4:$E$1503,$K53))&lt;0,"退货","进货"),IF(INDEX(资金台帐!$S$7:$S$3006,$K53-1500)&lt;=0,"付款","退款")&amp;"（"&amp;INDEX(资金台帐!$C$7:$C$3006,$K53-1500)&amp;"）"))</f>
      </c>
      <c r="D53" s="141">
        <f>IF($K53="","",IF($K53&lt;=1500,INDEX(采购进货!$D$4:$D$1503,$K53)&amp;"",""))</f>
      </c>
      <c r="E53" s="148">
        <f>IF($K53="","",IF($K53&lt;=1500,N(INDEX(采购进货!$E$4:$E$1503,$K53))+N(INDEX(采购进货!$H$4:$H$1503,$K53)),""))</f>
      </c>
      <c r="F53" s="149">
        <f>IF($K53="","",IF($K53&lt;=1500,INDEX(采购进货!$F$4:$F$1503,$K53),""))</f>
      </c>
      <c r="G53" s="186">
        <f>IF($K53="","",IF($K53&lt;=1500,N(INDEX(采购进货!$G$4:$G$1503,$K53)),""))</f>
      </c>
      <c r="H53" s="186">
        <f>IF($K53="","",IF($K53&lt;=1500,"",-INDEX(资金台帐!$S$7:$S$3006,$K53-1500)))</f>
      </c>
      <c r="I53" s="187">
        <f>IF($K53="","",I52+N(G53)-N(H53))</f>
      </c>
      <c r="J53" s="213">
        <f>IF($K53="","",IF($K53&lt;=1500,IF(N(INDEX(采购进货!$H$4:$H$1503,$K53))&lt;&gt;0,"含赠品"&amp;INDEX(采购进货!$H$4:$H$1503,$K53)&amp;"件 ","")&amp;INDEX(采购进货!$I$4:$I$1503,$K53),INDEX(资金台帐!$E$7:$E$3006,$K53-1500)&amp;""))</f>
      </c>
      <c r="K53" s="78">
        <f>IFERROR(MATCH(SMALL(_辅助!$H$4:$H$4503,14),_辅助!$H$4:$H$4503,0),"")</f>
      </c>
      <c r="M53" s="78">
        <f>IF(基础资料!$E$43="","",IF(SUMIFS(采购进货!$E$4:$E$1503,采购进货!$C$4:$C$1503,$B$4,采购进货!$D$4:$D$1503,基础资料!$E$43,采购进货!$B$4:$B$1503,"&gt;="&amp;$G$4,采购进货!$B$4:$B$1503,"&lt;="&amp;$I$4)+SUMIFS(采购进货!$H$4:$H$1503,采购进货!$C$4:$C$1503,$B$4,采购进货!$D$4:$D$1503,基础资料!$E$43,采购进货!$B$4:$B$1503,"&gt;="&amp;$G$4,采购进货!$B$4:$B$1503,"&lt;="&amp;$I$4)&lt;&gt;0,39,""))</f>
      </c>
    </row>
    <row r="54">
      <c r="A54" s="141">
        <f>IF($K54="","",15)</f>
      </c>
      <c r="B54" s="140">
        <f>IF($K54="","",IF($K54&lt;=1500,INDEX(采购进货!$B$4:$B$1503,$K54),INDEX(资金台帐!$B$7:$B$3006,$K54-1500)))</f>
      </c>
      <c r="C54" s="141">
        <f>IF($K54="","",IF($K54&lt;=1500,IF(N(INDEX(采购进货!$E$4:$E$1503,$K54))&lt;0,"退货","进货"),IF(INDEX(资金台帐!$S$7:$S$3006,$K54-1500)&lt;=0,"付款","退款")&amp;"（"&amp;INDEX(资金台帐!$C$7:$C$3006,$K54-1500)&amp;"）"))</f>
      </c>
      <c r="D54" s="141">
        <f>IF($K54="","",IF($K54&lt;=1500,INDEX(采购进货!$D$4:$D$1503,$K54)&amp;"",""))</f>
      </c>
      <c r="E54" s="148">
        <f>IF($K54="","",IF($K54&lt;=1500,N(INDEX(采购进货!$E$4:$E$1503,$K54))+N(INDEX(采购进货!$H$4:$H$1503,$K54)),""))</f>
      </c>
      <c r="F54" s="149">
        <f>IF($K54="","",IF($K54&lt;=1500,INDEX(采购进货!$F$4:$F$1503,$K54),""))</f>
      </c>
      <c r="G54" s="186">
        <f>IF($K54="","",IF($K54&lt;=1500,N(INDEX(采购进货!$G$4:$G$1503,$K54)),""))</f>
      </c>
      <c r="H54" s="186">
        <f>IF($K54="","",IF($K54&lt;=1500,"",-INDEX(资金台帐!$S$7:$S$3006,$K54-1500)))</f>
      </c>
      <c r="I54" s="187">
        <f>IF($K54="","",I53+N(G54)-N(H54))</f>
      </c>
      <c r="J54" s="213">
        <f>IF($K54="","",IF($K54&lt;=1500,IF(N(INDEX(采购进货!$H$4:$H$1503,$K54))&lt;&gt;0,"含赠品"&amp;INDEX(采购进货!$H$4:$H$1503,$K54)&amp;"件 ","")&amp;INDEX(采购进货!$I$4:$I$1503,$K54),INDEX(资金台帐!$E$7:$E$3006,$K54-1500)&amp;""))</f>
      </c>
      <c r="K54" s="78">
        <f>IFERROR(MATCH(SMALL(_辅助!$H$4:$H$4503,15),_辅助!$H$4:$H$4503,0),"")</f>
      </c>
      <c r="M54" s="78">
        <f>IF(基础资料!$E$44="","",IF(SUMIFS(采购进货!$E$4:$E$1503,采购进货!$C$4:$C$1503,$B$4,采购进货!$D$4:$D$1503,基础资料!$E$44,采购进货!$B$4:$B$1503,"&gt;="&amp;$G$4,采购进货!$B$4:$B$1503,"&lt;="&amp;$I$4)+SUMIFS(采购进货!$H$4:$H$1503,采购进货!$C$4:$C$1503,$B$4,采购进货!$D$4:$D$1503,基础资料!$E$44,采购进货!$B$4:$B$1503,"&gt;="&amp;$G$4,采购进货!$B$4:$B$1503,"&lt;="&amp;$I$4)&lt;&gt;0,40,""))</f>
      </c>
    </row>
    <row r="55">
      <c r="A55" s="141">
        <f>IF($K55="","",16)</f>
      </c>
      <c r="B55" s="140">
        <f>IF($K55="","",IF($K55&lt;=1500,INDEX(采购进货!$B$4:$B$1503,$K55),INDEX(资金台帐!$B$7:$B$3006,$K55-1500)))</f>
      </c>
      <c r="C55" s="141">
        <f>IF($K55="","",IF($K55&lt;=1500,IF(N(INDEX(采购进货!$E$4:$E$1503,$K55))&lt;0,"退货","进货"),IF(INDEX(资金台帐!$S$7:$S$3006,$K55-1500)&lt;=0,"付款","退款")&amp;"（"&amp;INDEX(资金台帐!$C$7:$C$3006,$K55-1500)&amp;"）"))</f>
      </c>
      <c r="D55" s="141">
        <f>IF($K55="","",IF($K55&lt;=1500,INDEX(采购进货!$D$4:$D$1503,$K55)&amp;"",""))</f>
      </c>
      <c r="E55" s="148">
        <f>IF($K55="","",IF($K55&lt;=1500,N(INDEX(采购进货!$E$4:$E$1503,$K55))+N(INDEX(采购进货!$H$4:$H$1503,$K55)),""))</f>
      </c>
      <c r="F55" s="149">
        <f>IF($K55="","",IF($K55&lt;=1500,INDEX(采购进货!$F$4:$F$1503,$K55),""))</f>
      </c>
      <c r="G55" s="186">
        <f>IF($K55="","",IF($K55&lt;=1500,N(INDEX(采购进货!$G$4:$G$1503,$K55)),""))</f>
      </c>
      <c r="H55" s="186">
        <f>IF($K55="","",IF($K55&lt;=1500,"",-INDEX(资金台帐!$S$7:$S$3006,$K55-1500)))</f>
      </c>
      <c r="I55" s="187">
        <f>IF($K55="","",I54+N(G55)-N(H55))</f>
      </c>
      <c r="J55" s="213">
        <f>IF($K55="","",IF($K55&lt;=1500,IF(N(INDEX(采购进货!$H$4:$H$1503,$K55))&lt;&gt;0,"含赠品"&amp;INDEX(采购进货!$H$4:$H$1503,$K55)&amp;"件 ","")&amp;INDEX(采购进货!$I$4:$I$1503,$K55),INDEX(资金台帐!$E$7:$E$3006,$K55-1500)&amp;""))</f>
      </c>
      <c r="K55" s="78">
        <f>IFERROR(MATCH(SMALL(_辅助!$H$4:$H$4503,16),_辅助!$H$4:$H$4503,0),"")</f>
      </c>
      <c r="M55" s="78">
        <f>IF(基础资料!$E$45="","",IF(SUMIFS(采购进货!$E$4:$E$1503,采购进货!$C$4:$C$1503,$B$4,采购进货!$D$4:$D$1503,基础资料!$E$45,采购进货!$B$4:$B$1503,"&gt;="&amp;$G$4,采购进货!$B$4:$B$1503,"&lt;="&amp;$I$4)+SUMIFS(采购进货!$H$4:$H$1503,采购进货!$C$4:$C$1503,$B$4,采购进货!$D$4:$D$1503,基础资料!$E$45,采购进货!$B$4:$B$1503,"&gt;="&amp;$G$4,采购进货!$B$4:$B$1503,"&lt;="&amp;$I$4)&lt;&gt;0,41,""))</f>
      </c>
    </row>
    <row r="56">
      <c r="A56" s="141">
        <f>IF($K56="","",17)</f>
      </c>
      <c r="B56" s="140">
        <f>IF($K56="","",IF($K56&lt;=1500,INDEX(采购进货!$B$4:$B$1503,$K56),INDEX(资金台帐!$B$7:$B$3006,$K56-1500)))</f>
      </c>
      <c r="C56" s="141">
        <f>IF($K56="","",IF($K56&lt;=1500,IF(N(INDEX(采购进货!$E$4:$E$1503,$K56))&lt;0,"退货","进货"),IF(INDEX(资金台帐!$S$7:$S$3006,$K56-1500)&lt;=0,"付款","退款")&amp;"（"&amp;INDEX(资金台帐!$C$7:$C$3006,$K56-1500)&amp;"）"))</f>
      </c>
      <c r="D56" s="141">
        <f>IF($K56="","",IF($K56&lt;=1500,INDEX(采购进货!$D$4:$D$1503,$K56)&amp;"",""))</f>
      </c>
      <c r="E56" s="148">
        <f>IF($K56="","",IF($K56&lt;=1500,N(INDEX(采购进货!$E$4:$E$1503,$K56))+N(INDEX(采购进货!$H$4:$H$1503,$K56)),""))</f>
      </c>
      <c r="F56" s="149">
        <f>IF($K56="","",IF($K56&lt;=1500,INDEX(采购进货!$F$4:$F$1503,$K56),""))</f>
      </c>
      <c r="G56" s="186">
        <f>IF($K56="","",IF($K56&lt;=1500,N(INDEX(采购进货!$G$4:$G$1503,$K56)),""))</f>
      </c>
      <c r="H56" s="186">
        <f>IF($K56="","",IF($K56&lt;=1500,"",-INDEX(资金台帐!$S$7:$S$3006,$K56-1500)))</f>
      </c>
      <c r="I56" s="187">
        <f>IF($K56="","",I55+N(G56)-N(H56))</f>
      </c>
      <c r="J56" s="213">
        <f>IF($K56="","",IF($K56&lt;=1500,IF(N(INDEX(采购进货!$H$4:$H$1503,$K56))&lt;&gt;0,"含赠品"&amp;INDEX(采购进货!$H$4:$H$1503,$K56)&amp;"件 ","")&amp;INDEX(采购进货!$I$4:$I$1503,$K56),INDEX(资金台帐!$E$7:$E$3006,$K56-1500)&amp;""))</f>
      </c>
      <c r="K56" s="78">
        <f>IFERROR(MATCH(SMALL(_辅助!$H$4:$H$4503,17),_辅助!$H$4:$H$4503,0),"")</f>
      </c>
      <c r="M56" s="78">
        <f>IF(基础资料!$E$46="","",IF(SUMIFS(采购进货!$E$4:$E$1503,采购进货!$C$4:$C$1503,$B$4,采购进货!$D$4:$D$1503,基础资料!$E$46,采购进货!$B$4:$B$1503,"&gt;="&amp;$G$4,采购进货!$B$4:$B$1503,"&lt;="&amp;$I$4)+SUMIFS(采购进货!$H$4:$H$1503,采购进货!$C$4:$C$1503,$B$4,采购进货!$D$4:$D$1503,基础资料!$E$46,采购进货!$B$4:$B$1503,"&gt;="&amp;$G$4,采购进货!$B$4:$B$1503,"&lt;="&amp;$I$4)&lt;&gt;0,42,""))</f>
      </c>
    </row>
    <row r="57">
      <c r="A57" s="141">
        <f>IF($K57="","",18)</f>
      </c>
      <c r="B57" s="140">
        <f>IF($K57="","",IF($K57&lt;=1500,INDEX(采购进货!$B$4:$B$1503,$K57),INDEX(资金台帐!$B$7:$B$3006,$K57-1500)))</f>
      </c>
      <c r="C57" s="141">
        <f>IF($K57="","",IF($K57&lt;=1500,IF(N(INDEX(采购进货!$E$4:$E$1503,$K57))&lt;0,"退货","进货"),IF(INDEX(资金台帐!$S$7:$S$3006,$K57-1500)&lt;=0,"付款","退款")&amp;"（"&amp;INDEX(资金台帐!$C$7:$C$3006,$K57-1500)&amp;"）"))</f>
      </c>
      <c r="D57" s="141">
        <f>IF($K57="","",IF($K57&lt;=1500,INDEX(采购进货!$D$4:$D$1503,$K57)&amp;"",""))</f>
      </c>
      <c r="E57" s="148">
        <f>IF($K57="","",IF($K57&lt;=1500,N(INDEX(采购进货!$E$4:$E$1503,$K57))+N(INDEX(采购进货!$H$4:$H$1503,$K57)),""))</f>
      </c>
      <c r="F57" s="149">
        <f>IF($K57="","",IF($K57&lt;=1500,INDEX(采购进货!$F$4:$F$1503,$K57),""))</f>
      </c>
      <c r="G57" s="186">
        <f>IF($K57="","",IF($K57&lt;=1500,N(INDEX(采购进货!$G$4:$G$1503,$K57)),""))</f>
      </c>
      <c r="H57" s="186">
        <f>IF($K57="","",IF($K57&lt;=1500,"",-INDEX(资金台帐!$S$7:$S$3006,$K57-1500)))</f>
      </c>
      <c r="I57" s="187">
        <f>IF($K57="","",I56+N(G57)-N(H57))</f>
      </c>
      <c r="J57" s="213">
        <f>IF($K57="","",IF($K57&lt;=1500,IF(N(INDEX(采购进货!$H$4:$H$1503,$K57))&lt;&gt;0,"含赠品"&amp;INDEX(采购进货!$H$4:$H$1503,$K57)&amp;"件 ","")&amp;INDEX(采购进货!$I$4:$I$1503,$K57),INDEX(资金台帐!$E$7:$E$3006,$K57-1500)&amp;""))</f>
      </c>
      <c r="K57" s="78">
        <f>IFERROR(MATCH(SMALL(_辅助!$H$4:$H$4503,18),_辅助!$H$4:$H$4503,0),"")</f>
      </c>
      <c r="M57" s="78">
        <f>IF(基础资料!$E$47="","",IF(SUMIFS(采购进货!$E$4:$E$1503,采购进货!$C$4:$C$1503,$B$4,采购进货!$D$4:$D$1503,基础资料!$E$47,采购进货!$B$4:$B$1503,"&gt;="&amp;$G$4,采购进货!$B$4:$B$1503,"&lt;="&amp;$I$4)+SUMIFS(采购进货!$H$4:$H$1503,采购进货!$C$4:$C$1503,$B$4,采购进货!$D$4:$D$1503,基础资料!$E$47,采购进货!$B$4:$B$1503,"&gt;="&amp;$G$4,采购进货!$B$4:$B$1503,"&lt;="&amp;$I$4)&lt;&gt;0,43,""))</f>
      </c>
    </row>
    <row r="58">
      <c r="A58" s="141">
        <f>IF($K58="","",19)</f>
      </c>
      <c r="B58" s="140">
        <f>IF($K58="","",IF($K58&lt;=1500,INDEX(采购进货!$B$4:$B$1503,$K58),INDEX(资金台帐!$B$7:$B$3006,$K58-1500)))</f>
      </c>
      <c r="C58" s="141">
        <f>IF($K58="","",IF($K58&lt;=1500,IF(N(INDEX(采购进货!$E$4:$E$1503,$K58))&lt;0,"退货","进货"),IF(INDEX(资金台帐!$S$7:$S$3006,$K58-1500)&lt;=0,"付款","退款")&amp;"（"&amp;INDEX(资金台帐!$C$7:$C$3006,$K58-1500)&amp;"）"))</f>
      </c>
      <c r="D58" s="141">
        <f>IF($K58="","",IF($K58&lt;=1500,INDEX(采购进货!$D$4:$D$1503,$K58)&amp;"",""))</f>
      </c>
      <c r="E58" s="148">
        <f>IF($K58="","",IF($K58&lt;=1500,N(INDEX(采购进货!$E$4:$E$1503,$K58))+N(INDEX(采购进货!$H$4:$H$1503,$K58)),""))</f>
      </c>
      <c r="F58" s="149">
        <f>IF($K58="","",IF($K58&lt;=1500,INDEX(采购进货!$F$4:$F$1503,$K58),""))</f>
      </c>
      <c r="G58" s="186">
        <f>IF($K58="","",IF($K58&lt;=1500,N(INDEX(采购进货!$G$4:$G$1503,$K58)),""))</f>
      </c>
      <c r="H58" s="186">
        <f>IF($K58="","",IF($K58&lt;=1500,"",-INDEX(资金台帐!$S$7:$S$3006,$K58-1500)))</f>
      </c>
      <c r="I58" s="187">
        <f>IF($K58="","",I57+N(G58)-N(H58))</f>
      </c>
      <c r="J58" s="213">
        <f>IF($K58="","",IF($K58&lt;=1500,IF(N(INDEX(采购进货!$H$4:$H$1503,$K58))&lt;&gt;0,"含赠品"&amp;INDEX(采购进货!$H$4:$H$1503,$K58)&amp;"件 ","")&amp;INDEX(采购进货!$I$4:$I$1503,$K58),INDEX(资金台帐!$E$7:$E$3006,$K58-1500)&amp;""))</f>
      </c>
      <c r="K58" s="78">
        <f>IFERROR(MATCH(SMALL(_辅助!$H$4:$H$4503,19),_辅助!$H$4:$H$4503,0),"")</f>
      </c>
      <c r="M58" s="78">
        <f>IF(基础资料!$E$48="","",IF(SUMIFS(采购进货!$E$4:$E$1503,采购进货!$C$4:$C$1503,$B$4,采购进货!$D$4:$D$1503,基础资料!$E$48,采购进货!$B$4:$B$1503,"&gt;="&amp;$G$4,采购进货!$B$4:$B$1503,"&lt;="&amp;$I$4)+SUMIFS(采购进货!$H$4:$H$1503,采购进货!$C$4:$C$1503,$B$4,采购进货!$D$4:$D$1503,基础资料!$E$48,采购进货!$B$4:$B$1503,"&gt;="&amp;$G$4,采购进货!$B$4:$B$1503,"&lt;="&amp;$I$4)&lt;&gt;0,44,""))</f>
      </c>
    </row>
    <row r="59">
      <c r="A59" s="141">
        <f>IF($K59="","",20)</f>
      </c>
      <c r="B59" s="140">
        <f>IF($K59="","",IF($K59&lt;=1500,INDEX(采购进货!$B$4:$B$1503,$K59),INDEX(资金台帐!$B$7:$B$3006,$K59-1500)))</f>
      </c>
      <c r="C59" s="141">
        <f>IF($K59="","",IF($K59&lt;=1500,IF(N(INDEX(采购进货!$E$4:$E$1503,$K59))&lt;0,"退货","进货"),IF(INDEX(资金台帐!$S$7:$S$3006,$K59-1500)&lt;=0,"付款","退款")&amp;"（"&amp;INDEX(资金台帐!$C$7:$C$3006,$K59-1500)&amp;"）"))</f>
      </c>
      <c r="D59" s="141">
        <f>IF($K59="","",IF($K59&lt;=1500,INDEX(采购进货!$D$4:$D$1503,$K59)&amp;"",""))</f>
      </c>
      <c r="E59" s="148">
        <f>IF($K59="","",IF($K59&lt;=1500,N(INDEX(采购进货!$E$4:$E$1503,$K59))+N(INDEX(采购进货!$H$4:$H$1503,$K59)),""))</f>
      </c>
      <c r="F59" s="149">
        <f>IF($K59="","",IF($K59&lt;=1500,INDEX(采购进货!$F$4:$F$1503,$K59),""))</f>
      </c>
      <c r="G59" s="186">
        <f>IF($K59="","",IF($K59&lt;=1500,N(INDEX(采购进货!$G$4:$G$1503,$K59)),""))</f>
      </c>
      <c r="H59" s="186">
        <f>IF($K59="","",IF($K59&lt;=1500,"",-INDEX(资金台帐!$S$7:$S$3006,$K59-1500)))</f>
      </c>
      <c r="I59" s="187">
        <f>IF($K59="","",I58+N(G59)-N(H59))</f>
      </c>
      <c r="J59" s="213">
        <f>IF($K59="","",IF($K59&lt;=1500,IF(N(INDEX(采购进货!$H$4:$H$1503,$K59))&lt;&gt;0,"含赠品"&amp;INDEX(采购进货!$H$4:$H$1503,$K59)&amp;"件 ","")&amp;INDEX(采购进货!$I$4:$I$1503,$K59),INDEX(资金台帐!$E$7:$E$3006,$K59-1500)&amp;""))</f>
      </c>
      <c r="K59" s="78">
        <f>IFERROR(MATCH(SMALL(_辅助!$H$4:$H$4503,20),_辅助!$H$4:$H$4503,0),"")</f>
      </c>
      <c r="M59" s="78">
        <f>IF(基础资料!$E$49="","",IF(SUMIFS(采购进货!$E$4:$E$1503,采购进货!$C$4:$C$1503,$B$4,采购进货!$D$4:$D$1503,基础资料!$E$49,采购进货!$B$4:$B$1503,"&gt;="&amp;$G$4,采购进货!$B$4:$B$1503,"&lt;="&amp;$I$4)+SUMIFS(采购进货!$H$4:$H$1503,采购进货!$C$4:$C$1503,$B$4,采购进货!$D$4:$D$1503,基础资料!$E$49,采购进货!$B$4:$B$1503,"&gt;="&amp;$G$4,采购进货!$B$4:$B$1503,"&lt;="&amp;$I$4)&lt;&gt;0,45,""))</f>
      </c>
    </row>
    <row r="60">
      <c r="A60" s="141">
        <f>IF($K60="","",21)</f>
      </c>
      <c r="B60" s="140">
        <f>IF($K60="","",IF($K60&lt;=1500,INDEX(采购进货!$B$4:$B$1503,$K60),INDEX(资金台帐!$B$7:$B$3006,$K60-1500)))</f>
      </c>
      <c r="C60" s="141">
        <f>IF($K60="","",IF($K60&lt;=1500,IF(N(INDEX(采购进货!$E$4:$E$1503,$K60))&lt;0,"退货","进货"),IF(INDEX(资金台帐!$S$7:$S$3006,$K60-1500)&lt;=0,"付款","退款")&amp;"（"&amp;INDEX(资金台帐!$C$7:$C$3006,$K60-1500)&amp;"）"))</f>
      </c>
      <c r="D60" s="141">
        <f>IF($K60="","",IF($K60&lt;=1500,INDEX(采购进货!$D$4:$D$1503,$K60)&amp;"",""))</f>
      </c>
      <c r="E60" s="148">
        <f>IF($K60="","",IF($K60&lt;=1500,N(INDEX(采购进货!$E$4:$E$1503,$K60))+N(INDEX(采购进货!$H$4:$H$1503,$K60)),""))</f>
      </c>
      <c r="F60" s="149">
        <f>IF($K60="","",IF($K60&lt;=1500,INDEX(采购进货!$F$4:$F$1503,$K60),""))</f>
      </c>
      <c r="G60" s="186">
        <f>IF($K60="","",IF($K60&lt;=1500,N(INDEX(采购进货!$G$4:$G$1503,$K60)),""))</f>
      </c>
      <c r="H60" s="186">
        <f>IF($K60="","",IF($K60&lt;=1500,"",-INDEX(资金台帐!$S$7:$S$3006,$K60-1500)))</f>
      </c>
      <c r="I60" s="187">
        <f>IF($K60="","",I59+N(G60)-N(H60))</f>
      </c>
      <c r="J60" s="213">
        <f>IF($K60="","",IF($K60&lt;=1500,IF(N(INDEX(采购进货!$H$4:$H$1503,$K60))&lt;&gt;0,"含赠品"&amp;INDEX(采购进货!$H$4:$H$1503,$K60)&amp;"件 ","")&amp;INDEX(采购进货!$I$4:$I$1503,$K60),INDEX(资金台帐!$E$7:$E$3006,$K60-1500)&amp;""))</f>
      </c>
      <c r="K60" s="78">
        <f>IFERROR(MATCH(SMALL(_辅助!$H$4:$H$4503,21),_辅助!$H$4:$H$4503,0),"")</f>
      </c>
      <c r="M60" s="78">
        <f>IF(基础资料!$E$50="","",IF(SUMIFS(采购进货!$E$4:$E$1503,采购进货!$C$4:$C$1503,$B$4,采购进货!$D$4:$D$1503,基础资料!$E$50,采购进货!$B$4:$B$1503,"&gt;="&amp;$G$4,采购进货!$B$4:$B$1503,"&lt;="&amp;$I$4)+SUMIFS(采购进货!$H$4:$H$1503,采购进货!$C$4:$C$1503,$B$4,采购进货!$D$4:$D$1503,基础资料!$E$50,采购进货!$B$4:$B$1503,"&gt;="&amp;$G$4,采购进货!$B$4:$B$1503,"&lt;="&amp;$I$4)&lt;&gt;0,46,""))</f>
      </c>
    </row>
    <row r="61">
      <c r="A61" s="141">
        <f>IF($K61="","",22)</f>
      </c>
      <c r="B61" s="140">
        <f>IF($K61="","",IF($K61&lt;=1500,INDEX(采购进货!$B$4:$B$1503,$K61),INDEX(资金台帐!$B$7:$B$3006,$K61-1500)))</f>
      </c>
      <c r="C61" s="141">
        <f>IF($K61="","",IF($K61&lt;=1500,IF(N(INDEX(采购进货!$E$4:$E$1503,$K61))&lt;0,"退货","进货"),IF(INDEX(资金台帐!$S$7:$S$3006,$K61-1500)&lt;=0,"付款","退款")&amp;"（"&amp;INDEX(资金台帐!$C$7:$C$3006,$K61-1500)&amp;"）"))</f>
      </c>
      <c r="D61" s="141">
        <f>IF($K61="","",IF($K61&lt;=1500,INDEX(采购进货!$D$4:$D$1503,$K61)&amp;"",""))</f>
      </c>
      <c r="E61" s="148">
        <f>IF($K61="","",IF($K61&lt;=1500,N(INDEX(采购进货!$E$4:$E$1503,$K61))+N(INDEX(采购进货!$H$4:$H$1503,$K61)),""))</f>
      </c>
      <c r="F61" s="149">
        <f>IF($K61="","",IF($K61&lt;=1500,INDEX(采购进货!$F$4:$F$1503,$K61),""))</f>
      </c>
      <c r="G61" s="186">
        <f>IF($K61="","",IF($K61&lt;=1500,N(INDEX(采购进货!$G$4:$G$1503,$K61)),""))</f>
      </c>
      <c r="H61" s="186">
        <f>IF($K61="","",IF($K61&lt;=1500,"",-INDEX(资金台帐!$S$7:$S$3006,$K61-1500)))</f>
      </c>
      <c r="I61" s="187">
        <f>IF($K61="","",I60+N(G61)-N(H61))</f>
      </c>
      <c r="J61" s="213">
        <f>IF($K61="","",IF($K61&lt;=1500,IF(N(INDEX(采购进货!$H$4:$H$1503,$K61))&lt;&gt;0,"含赠品"&amp;INDEX(采购进货!$H$4:$H$1503,$K61)&amp;"件 ","")&amp;INDEX(采购进货!$I$4:$I$1503,$K61),INDEX(资金台帐!$E$7:$E$3006,$K61-1500)&amp;""))</f>
      </c>
      <c r="K61" s="78">
        <f>IFERROR(MATCH(SMALL(_辅助!$H$4:$H$4503,22),_辅助!$H$4:$H$4503,0),"")</f>
      </c>
      <c r="M61" s="78">
        <f>IF(基础资料!$E$51="","",IF(SUMIFS(采购进货!$E$4:$E$1503,采购进货!$C$4:$C$1503,$B$4,采购进货!$D$4:$D$1503,基础资料!$E$51,采购进货!$B$4:$B$1503,"&gt;="&amp;$G$4,采购进货!$B$4:$B$1503,"&lt;="&amp;$I$4)+SUMIFS(采购进货!$H$4:$H$1503,采购进货!$C$4:$C$1503,$B$4,采购进货!$D$4:$D$1503,基础资料!$E$51,采购进货!$B$4:$B$1503,"&gt;="&amp;$G$4,采购进货!$B$4:$B$1503,"&lt;="&amp;$I$4)&lt;&gt;0,47,""))</f>
      </c>
    </row>
    <row r="62">
      <c r="A62" s="141">
        <f>IF($K62="","",23)</f>
      </c>
      <c r="B62" s="140">
        <f>IF($K62="","",IF($K62&lt;=1500,INDEX(采购进货!$B$4:$B$1503,$K62),INDEX(资金台帐!$B$7:$B$3006,$K62-1500)))</f>
      </c>
      <c r="C62" s="141">
        <f>IF($K62="","",IF($K62&lt;=1500,IF(N(INDEX(采购进货!$E$4:$E$1503,$K62))&lt;0,"退货","进货"),IF(INDEX(资金台帐!$S$7:$S$3006,$K62-1500)&lt;=0,"付款","退款")&amp;"（"&amp;INDEX(资金台帐!$C$7:$C$3006,$K62-1500)&amp;"）"))</f>
      </c>
      <c r="D62" s="141">
        <f>IF($K62="","",IF($K62&lt;=1500,INDEX(采购进货!$D$4:$D$1503,$K62)&amp;"",""))</f>
      </c>
      <c r="E62" s="148">
        <f>IF($K62="","",IF($K62&lt;=1500,N(INDEX(采购进货!$E$4:$E$1503,$K62))+N(INDEX(采购进货!$H$4:$H$1503,$K62)),""))</f>
      </c>
      <c r="F62" s="149">
        <f>IF($K62="","",IF($K62&lt;=1500,INDEX(采购进货!$F$4:$F$1503,$K62),""))</f>
      </c>
      <c r="G62" s="186">
        <f>IF($K62="","",IF($K62&lt;=1500,N(INDEX(采购进货!$G$4:$G$1503,$K62)),""))</f>
      </c>
      <c r="H62" s="186">
        <f>IF($K62="","",IF($K62&lt;=1500,"",-INDEX(资金台帐!$S$7:$S$3006,$K62-1500)))</f>
      </c>
      <c r="I62" s="187">
        <f>IF($K62="","",I61+N(G62)-N(H62))</f>
      </c>
      <c r="J62" s="213">
        <f>IF($K62="","",IF($K62&lt;=1500,IF(N(INDEX(采购进货!$H$4:$H$1503,$K62))&lt;&gt;0,"含赠品"&amp;INDEX(采购进货!$H$4:$H$1503,$K62)&amp;"件 ","")&amp;INDEX(采购进货!$I$4:$I$1503,$K62),INDEX(资金台帐!$E$7:$E$3006,$K62-1500)&amp;""))</f>
      </c>
      <c r="K62" s="78">
        <f>IFERROR(MATCH(SMALL(_辅助!$H$4:$H$4503,23),_辅助!$H$4:$H$4503,0),"")</f>
      </c>
      <c r="M62" s="78">
        <f>IF(基础资料!$E$52="","",IF(SUMIFS(采购进货!$E$4:$E$1503,采购进货!$C$4:$C$1503,$B$4,采购进货!$D$4:$D$1503,基础资料!$E$52,采购进货!$B$4:$B$1503,"&gt;="&amp;$G$4,采购进货!$B$4:$B$1503,"&lt;="&amp;$I$4)+SUMIFS(采购进货!$H$4:$H$1503,采购进货!$C$4:$C$1503,$B$4,采购进货!$D$4:$D$1503,基础资料!$E$52,采购进货!$B$4:$B$1503,"&gt;="&amp;$G$4,采购进货!$B$4:$B$1503,"&lt;="&amp;$I$4)&lt;&gt;0,48,""))</f>
      </c>
    </row>
    <row r="63">
      <c r="A63" s="141">
        <f>IF($K63="","",24)</f>
      </c>
      <c r="B63" s="140">
        <f>IF($K63="","",IF($K63&lt;=1500,INDEX(采购进货!$B$4:$B$1503,$K63),INDEX(资金台帐!$B$7:$B$3006,$K63-1500)))</f>
      </c>
      <c r="C63" s="141">
        <f>IF($K63="","",IF($K63&lt;=1500,IF(N(INDEX(采购进货!$E$4:$E$1503,$K63))&lt;0,"退货","进货"),IF(INDEX(资金台帐!$S$7:$S$3006,$K63-1500)&lt;=0,"付款","退款")&amp;"（"&amp;INDEX(资金台帐!$C$7:$C$3006,$K63-1500)&amp;"）"))</f>
      </c>
      <c r="D63" s="141">
        <f>IF($K63="","",IF($K63&lt;=1500,INDEX(采购进货!$D$4:$D$1503,$K63)&amp;"",""))</f>
      </c>
      <c r="E63" s="148">
        <f>IF($K63="","",IF($K63&lt;=1500,N(INDEX(采购进货!$E$4:$E$1503,$K63))+N(INDEX(采购进货!$H$4:$H$1503,$K63)),""))</f>
      </c>
      <c r="F63" s="149">
        <f>IF($K63="","",IF($K63&lt;=1500,INDEX(采购进货!$F$4:$F$1503,$K63),""))</f>
      </c>
      <c r="G63" s="186">
        <f>IF($K63="","",IF($K63&lt;=1500,N(INDEX(采购进货!$G$4:$G$1503,$K63)),""))</f>
      </c>
      <c r="H63" s="186">
        <f>IF($K63="","",IF($K63&lt;=1500,"",-INDEX(资金台帐!$S$7:$S$3006,$K63-1500)))</f>
      </c>
      <c r="I63" s="187">
        <f>IF($K63="","",I62+N(G63)-N(H63))</f>
      </c>
      <c r="J63" s="213">
        <f>IF($K63="","",IF($K63&lt;=1500,IF(N(INDEX(采购进货!$H$4:$H$1503,$K63))&lt;&gt;0,"含赠品"&amp;INDEX(采购进货!$H$4:$H$1503,$K63)&amp;"件 ","")&amp;INDEX(采购进货!$I$4:$I$1503,$K63),INDEX(资金台帐!$E$7:$E$3006,$K63-1500)&amp;""))</f>
      </c>
      <c r="K63" s="78">
        <f>IFERROR(MATCH(SMALL(_辅助!$H$4:$H$4503,24),_辅助!$H$4:$H$4503,0),"")</f>
      </c>
      <c r="M63" s="78">
        <f>IF(基础资料!$E$53="","",IF(SUMIFS(采购进货!$E$4:$E$1503,采购进货!$C$4:$C$1503,$B$4,采购进货!$D$4:$D$1503,基础资料!$E$53,采购进货!$B$4:$B$1503,"&gt;="&amp;$G$4,采购进货!$B$4:$B$1503,"&lt;="&amp;$I$4)+SUMIFS(采购进货!$H$4:$H$1503,采购进货!$C$4:$C$1503,$B$4,采购进货!$D$4:$D$1503,基础资料!$E$53,采购进货!$B$4:$B$1503,"&gt;="&amp;$G$4,采购进货!$B$4:$B$1503,"&lt;="&amp;$I$4)&lt;&gt;0,49,""))</f>
      </c>
    </row>
    <row r="64">
      <c r="A64" s="141">
        <f>IF($K64="","",25)</f>
      </c>
      <c r="B64" s="140">
        <f>IF($K64="","",IF($K64&lt;=1500,INDEX(采购进货!$B$4:$B$1503,$K64),INDEX(资金台帐!$B$7:$B$3006,$K64-1500)))</f>
      </c>
      <c r="C64" s="141">
        <f>IF($K64="","",IF($K64&lt;=1500,IF(N(INDEX(采购进货!$E$4:$E$1503,$K64))&lt;0,"退货","进货"),IF(INDEX(资金台帐!$S$7:$S$3006,$K64-1500)&lt;=0,"付款","退款")&amp;"（"&amp;INDEX(资金台帐!$C$7:$C$3006,$K64-1500)&amp;"）"))</f>
      </c>
      <c r="D64" s="141">
        <f>IF($K64="","",IF($K64&lt;=1500,INDEX(采购进货!$D$4:$D$1503,$K64)&amp;"",""))</f>
      </c>
      <c r="E64" s="148">
        <f>IF($K64="","",IF($K64&lt;=1500,N(INDEX(采购进货!$E$4:$E$1503,$K64))+N(INDEX(采购进货!$H$4:$H$1503,$K64)),""))</f>
      </c>
      <c r="F64" s="149">
        <f>IF($K64="","",IF($K64&lt;=1500,INDEX(采购进货!$F$4:$F$1503,$K64),""))</f>
      </c>
      <c r="G64" s="186">
        <f>IF($K64="","",IF($K64&lt;=1500,N(INDEX(采购进货!$G$4:$G$1503,$K64)),""))</f>
      </c>
      <c r="H64" s="186">
        <f>IF($K64="","",IF($K64&lt;=1500,"",-INDEX(资金台帐!$S$7:$S$3006,$K64-1500)))</f>
      </c>
      <c r="I64" s="187">
        <f>IF($K64="","",I63+N(G64)-N(H64))</f>
      </c>
      <c r="J64" s="213">
        <f>IF($K64="","",IF($K64&lt;=1500,IF(N(INDEX(采购进货!$H$4:$H$1503,$K64))&lt;&gt;0,"含赠品"&amp;INDEX(采购进货!$H$4:$H$1503,$K64)&amp;"件 ","")&amp;INDEX(采购进货!$I$4:$I$1503,$K64),INDEX(资金台帐!$E$7:$E$3006,$K64-1500)&amp;""))</f>
      </c>
      <c r="K64" s="78">
        <f>IFERROR(MATCH(SMALL(_辅助!$H$4:$H$4503,25),_辅助!$H$4:$H$4503,0),"")</f>
      </c>
      <c r="M64" s="78">
        <f>IF(基础资料!$E$54="","",IF(SUMIFS(采购进货!$E$4:$E$1503,采购进货!$C$4:$C$1503,$B$4,采购进货!$D$4:$D$1503,基础资料!$E$54,采购进货!$B$4:$B$1503,"&gt;="&amp;$G$4,采购进货!$B$4:$B$1503,"&lt;="&amp;$I$4)+SUMIFS(采购进货!$H$4:$H$1503,采购进货!$C$4:$C$1503,$B$4,采购进货!$D$4:$D$1503,基础资料!$E$54,采购进货!$B$4:$B$1503,"&gt;="&amp;$G$4,采购进货!$B$4:$B$1503,"&lt;="&amp;$I$4)&lt;&gt;0,50,""))</f>
      </c>
    </row>
    <row r="65">
      <c r="A65" s="141">
        <f>IF($K65="","",26)</f>
      </c>
      <c r="B65" s="140">
        <f>IF($K65="","",IF($K65&lt;=1500,INDEX(采购进货!$B$4:$B$1503,$K65),INDEX(资金台帐!$B$7:$B$3006,$K65-1500)))</f>
      </c>
      <c r="C65" s="141">
        <f>IF($K65="","",IF($K65&lt;=1500,IF(N(INDEX(采购进货!$E$4:$E$1503,$K65))&lt;0,"退货","进货"),IF(INDEX(资金台帐!$S$7:$S$3006,$K65-1500)&lt;=0,"付款","退款")&amp;"（"&amp;INDEX(资金台帐!$C$7:$C$3006,$K65-1500)&amp;"）"))</f>
      </c>
      <c r="D65" s="141">
        <f>IF($K65="","",IF($K65&lt;=1500,INDEX(采购进货!$D$4:$D$1503,$K65)&amp;"",""))</f>
      </c>
      <c r="E65" s="148">
        <f>IF($K65="","",IF($K65&lt;=1500,N(INDEX(采购进货!$E$4:$E$1503,$K65))+N(INDEX(采购进货!$H$4:$H$1503,$K65)),""))</f>
      </c>
      <c r="F65" s="149">
        <f>IF($K65="","",IF($K65&lt;=1500,INDEX(采购进货!$F$4:$F$1503,$K65),""))</f>
      </c>
      <c r="G65" s="186">
        <f>IF($K65="","",IF($K65&lt;=1500,N(INDEX(采购进货!$G$4:$G$1503,$K65)),""))</f>
      </c>
      <c r="H65" s="186">
        <f>IF($K65="","",IF($K65&lt;=1500,"",-INDEX(资金台帐!$S$7:$S$3006,$K65-1500)))</f>
      </c>
      <c r="I65" s="187">
        <f>IF($K65="","",I64+N(G65)-N(H65))</f>
      </c>
      <c r="J65" s="213">
        <f>IF($K65="","",IF($K65&lt;=1500,IF(N(INDEX(采购进货!$H$4:$H$1503,$K65))&lt;&gt;0,"含赠品"&amp;INDEX(采购进货!$H$4:$H$1503,$K65)&amp;"件 ","")&amp;INDEX(采购进货!$I$4:$I$1503,$K65),INDEX(资金台帐!$E$7:$E$3006,$K65-1500)&amp;""))</f>
      </c>
      <c r="K65" s="78">
        <f>IFERROR(MATCH(SMALL(_辅助!$H$4:$H$4503,26),_辅助!$H$4:$H$4503,0),"")</f>
      </c>
      <c r="M65" s="78">
        <f>IF(基础资料!$E$55="","",IF(SUMIFS(采购进货!$E$4:$E$1503,采购进货!$C$4:$C$1503,$B$4,采购进货!$D$4:$D$1503,基础资料!$E$55,采购进货!$B$4:$B$1503,"&gt;="&amp;$G$4,采购进货!$B$4:$B$1503,"&lt;="&amp;$I$4)+SUMIFS(采购进货!$H$4:$H$1503,采购进货!$C$4:$C$1503,$B$4,采购进货!$D$4:$D$1503,基础资料!$E$55,采购进货!$B$4:$B$1503,"&gt;="&amp;$G$4,采购进货!$B$4:$B$1503,"&lt;="&amp;$I$4)&lt;&gt;0,51,""))</f>
      </c>
    </row>
    <row r="66">
      <c r="A66" s="141">
        <f>IF($K66="","",27)</f>
      </c>
      <c r="B66" s="140">
        <f>IF($K66="","",IF($K66&lt;=1500,INDEX(采购进货!$B$4:$B$1503,$K66),INDEX(资金台帐!$B$7:$B$3006,$K66-1500)))</f>
      </c>
      <c r="C66" s="141">
        <f>IF($K66="","",IF($K66&lt;=1500,IF(N(INDEX(采购进货!$E$4:$E$1503,$K66))&lt;0,"退货","进货"),IF(INDEX(资金台帐!$S$7:$S$3006,$K66-1500)&lt;=0,"付款","退款")&amp;"（"&amp;INDEX(资金台帐!$C$7:$C$3006,$K66-1500)&amp;"）"))</f>
      </c>
      <c r="D66" s="141">
        <f>IF($K66="","",IF($K66&lt;=1500,INDEX(采购进货!$D$4:$D$1503,$K66)&amp;"",""))</f>
      </c>
      <c r="E66" s="148">
        <f>IF($K66="","",IF($K66&lt;=1500,N(INDEX(采购进货!$E$4:$E$1503,$K66))+N(INDEX(采购进货!$H$4:$H$1503,$K66)),""))</f>
      </c>
      <c r="F66" s="149">
        <f>IF($K66="","",IF($K66&lt;=1500,INDEX(采购进货!$F$4:$F$1503,$K66),""))</f>
      </c>
      <c r="G66" s="186">
        <f>IF($K66="","",IF($K66&lt;=1500,N(INDEX(采购进货!$G$4:$G$1503,$K66)),""))</f>
      </c>
      <c r="H66" s="186">
        <f>IF($K66="","",IF($K66&lt;=1500,"",-INDEX(资金台帐!$S$7:$S$3006,$K66-1500)))</f>
      </c>
      <c r="I66" s="187">
        <f>IF($K66="","",I65+N(G66)-N(H66))</f>
      </c>
      <c r="J66" s="213">
        <f>IF($K66="","",IF($K66&lt;=1500,IF(N(INDEX(采购进货!$H$4:$H$1503,$K66))&lt;&gt;0,"含赠品"&amp;INDEX(采购进货!$H$4:$H$1503,$K66)&amp;"件 ","")&amp;INDEX(采购进货!$I$4:$I$1503,$K66),INDEX(资金台帐!$E$7:$E$3006,$K66-1500)&amp;""))</f>
      </c>
      <c r="K66" s="78">
        <f>IFERROR(MATCH(SMALL(_辅助!$H$4:$H$4503,27),_辅助!$H$4:$H$4503,0),"")</f>
      </c>
      <c r="M66" s="78">
        <f>IF(基础资料!$E$56="","",IF(SUMIFS(采购进货!$E$4:$E$1503,采购进货!$C$4:$C$1503,$B$4,采购进货!$D$4:$D$1503,基础资料!$E$56,采购进货!$B$4:$B$1503,"&gt;="&amp;$G$4,采购进货!$B$4:$B$1503,"&lt;="&amp;$I$4)+SUMIFS(采购进货!$H$4:$H$1503,采购进货!$C$4:$C$1503,$B$4,采购进货!$D$4:$D$1503,基础资料!$E$56,采购进货!$B$4:$B$1503,"&gt;="&amp;$G$4,采购进货!$B$4:$B$1503,"&lt;="&amp;$I$4)&lt;&gt;0,52,""))</f>
      </c>
    </row>
    <row r="67">
      <c r="A67" s="141">
        <f>IF($K67="","",28)</f>
      </c>
      <c r="B67" s="140">
        <f>IF($K67="","",IF($K67&lt;=1500,INDEX(采购进货!$B$4:$B$1503,$K67),INDEX(资金台帐!$B$7:$B$3006,$K67-1500)))</f>
      </c>
      <c r="C67" s="141">
        <f>IF($K67="","",IF($K67&lt;=1500,IF(N(INDEX(采购进货!$E$4:$E$1503,$K67))&lt;0,"退货","进货"),IF(INDEX(资金台帐!$S$7:$S$3006,$K67-1500)&lt;=0,"付款","退款")&amp;"（"&amp;INDEX(资金台帐!$C$7:$C$3006,$K67-1500)&amp;"）"))</f>
      </c>
      <c r="D67" s="141">
        <f>IF($K67="","",IF($K67&lt;=1500,INDEX(采购进货!$D$4:$D$1503,$K67)&amp;"",""))</f>
      </c>
      <c r="E67" s="148">
        <f>IF($K67="","",IF($K67&lt;=1500,N(INDEX(采购进货!$E$4:$E$1503,$K67))+N(INDEX(采购进货!$H$4:$H$1503,$K67)),""))</f>
      </c>
      <c r="F67" s="149">
        <f>IF($K67="","",IF($K67&lt;=1500,INDEX(采购进货!$F$4:$F$1503,$K67),""))</f>
      </c>
      <c r="G67" s="186">
        <f>IF($K67="","",IF($K67&lt;=1500,N(INDEX(采购进货!$G$4:$G$1503,$K67)),""))</f>
      </c>
      <c r="H67" s="186">
        <f>IF($K67="","",IF($K67&lt;=1500,"",-INDEX(资金台帐!$S$7:$S$3006,$K67-1500)))</f>
      </c>
      <c r="I67" s="187">
        <f>IF($K67="","",I66+N(G67)-N(H67))</f>
      </c>
      <c r="J67" s="213">
        <f>IF($K67="","",IF($K67&lt;=1500,IF(N(INDEX(采购进货!$H$4:$H$1503,$K67))&lt;&gt;0,"含赠品"&amp;INDEX(采购进货!$H$4:$H$1503,$K67)&amp;"件 ","")&amp;INDEX(采购进货!$I$4:$I$1503,$K67),INDEX(资金台帐!$E$7:$E$3006,$K67-1500)&amp;""))</f>
      </c>
      <c r="K67" s="78">
        <f>IFERROR(MATCH(SMALL(_辅助!$H$4:$H$4503,28),_辅助!$H$4:$H$4503,0),"")</f>
      </c>
      <c r="M67" s="78">
        <f>IF(基础资料!$E$57="","",IF(SUMIFS(采购进货!$E$4:$E$1503,采购进货!$C$4:$C$1503,$B$4,采购进货!$D$4:$D$1503,基础资料!$E$57,采购进货!$B$4:$B$1503,"&gt;="&amp;$G$4,采购进货!$B$4:$B$1503,"&lt;="&amp;$I$4)+SUMIFS(采购进货!$H$4:$H$1503,采购进货!$C$4:$C$1503,$B$4,采购进货!$D$4:$D$1503,基础资料!$E$57,采购进货!$B$4:$B$1503,"&gt;="&amp;$G$4,采购进货!$B$4:$B$1503,"&lt;="&amp;$I$4)&lt;&gt;0,53,""))</f>
      </c>
    </row>
    <row r="68">
      <c r="A68" s="141">
        <f>IF($K68="","",29)</f>
      </c>
      <c r="B68" s="140">
        <f>IF($K68="","",IF($K68&lt;=1500,INDEX(采购进货!$B$4:$B$1503,$K68),INDEX(资金台帐!$B$7:$B$3006,$K68-1500)))</f>
      </c>
      <c r="C68" s="141">
        <f>IF($K68="","",IF($K68&lt;=1500,IF(N(INDEX(采购进货!$E$4:$E$1503,$K68))&lt;0,"退货","进货"),IF(INDEX(资金台帐!$S$7:$S$3006,$K68-1500)&lt;=0,"付款","退款")&amp;"（"&amp;INDEX(资金台帐!$C$7:$C$3006,$K68-1500)&amp;"）"))</f>
      </c>
      <c r="D68" s="141">
        <f>IF($K68="","",IF($K68&lt;=1500,INDEX(采购进货!$D$4:$D$1503,$K68)&amp;"",""))</f>
      </c>
      <c r="E68" s="148">
        <f>IF($K68="","",IF($K68&lt;=1500,N(INDEX(采购进货!$E$4:$E$1503,$K68))+N(INDEX(采购进货!$H$4:$H$1503,$K68)),""))</f>
      </c>
      <c r="F68" s="149">
        <f>IF($K68="","",IF($K68&lt;=1500,INDEX(采购进货!$F$4:$F$1503,$K68),""))</f>
      </c>
      <c r="G68" s="186">
        <f>IF($K68="","",IF($K68&lt;=1500,N(INDEX(采购进货!$G$4:$G$1503,$K68)),""))</f>
      </c>
      <c r="H68" s="186">
        <f>IF($K68="","",IF($K68&lt;=1500,"",-INDEX(资金台帐!$S$7:$S$3006,$K68-1500)))</f>
      </c>
      <c r="I68" s="187">
        <f>IF($K68="","",I67+N(G68)-N(H68))</f>
      </c>
      <c r="J68" s="213">
        <f>IF($K68="","",IF($K68&lt;=1500,IF(N(INDEX(采购进货!$H$4:$H$1503,$K68))&lt;&gt;0,"含赠品"&amp;INDEX(采购进货!$H$4:$H$1503,$K68)&amp;"件 ","")&amp;INDEX(采购进货!$I$4:$I$1503,$K68),INDEX(资金台帐!$E$7:$E$3006,$K68-1500)&amp;""))</f>
      </c>
      <c r="K68" s="78">
        <f>IFERROR(MATCH(SMALL(_辅助!$H$4:$H$4503,29),_辅助!$H$4:$H$4503,0),"")</f>
      </c>
      <c r="M68" s="78">
        <f>IF(基础资料!$E$58="","",IF(SUMIFS(采购进货!$E$4:$E$1503,采购进货!$C$4:$C$1503,$B$4,采购进货!$D$4:$D$1503,基础资料!$E$58,采购进货!$B$4:$B$1503,"&gt;="&amp;$G$4,采购进货!$B$4:$B$1503,"&lt;="&amp;$I$4)+SUMIFS(采购进货!$H$4:$H$1503,采购进货!$C$4:$C$1503,$B$4,采购进货!$D$4:$D$1503,基础资料!$E$58,采购进货!$B$4:$B$1503,"&gt;="&amp;$G$4,采购进货!$B$4:$B$1503,"&lt;="&amp;$I$4)&lt;&gt;0,54,""))</f>
      </c>
    </row>
    <row r="69">
      <c r="A69" s="141">
        <f>IF($K69="","",30)</f>
      </c>
      <c r="B69" s="140">
        <f>IF($K69="","",IF($K69&lt;=1500,INDEX(采购进货!$B$4:$B$1503,$K69),INDEX(资金台帐!$B$7:$B$3006,$K69-1500)))</f>
      </c>
      <c r="C69" s="141">
        <f>IF($K69="","",IF($K69&lt;=1500,IF(N(INDEX(采购进货!$E$4:$E$1503,$K69))&lt;0,"退货","进货"),IF(INDEX(资金台帐!$S$7:$S$3006,$K69-1500)&lt;=0,"付款","退款")&amp;"（"&amp;INDEX(资金台帐!$C$7:$C$3006,$K69-1500)&amp;"）"))</f>
      </c>
      <c r="D69" s="141">
        <f>IF($K69="","",IF($K69&lt;=1500,INDEX(采购进货!$D$4:$D$1503,$K69)&amp;"",""))</f>
      </c>
      <c r="E69" s="148">
        <f>IF($K69="","",IF($K69&lt;=1500,N(INDEX(采购进货!$E$4:$E$1503,$K69))+N(INDEX(采购进货!$H$4:$H$1503,$K69)),""))</f>
      </c>
      <c r="F69" s="149">
        <f>IF($K69="","",IF($K69&lt;=1500,INDEX(采购进货!$F$4:$F$1503,$K69),""))</f>
      </c>
      <c r="G69" s="186">
        <f>IF($K69="","",IF($K69&lt;=1500,N(INDEX(采购进货!$G$4:$G$1503,$K69)),""))</f>
      </c>
      <c r="H69" s="186">
        <f>IF($K69="","",IF($K69&lt;=1500,"",-INDEX(资金台帐!$S$7:$S$3006,$K69-1500)))</f>
      </c>
      <c r="I69" s="187">
        <f>IF($K69="","",I68+N(G69)-N(H69))</f>
      </c>
      <c r="J69" s="213">
        <f>IF($K69="","",IF($K69&lt;=1500,IF(N(INDEX(采购进货!$H$4:$H$1503,$K69))&lt;&gt;0,"含赠品"&amp;INDEX(采购进货!$H$4:$H$1503,$K69)&amp;"件 ","")&amp;INDEX(采购进货!$I$4:$I$1503,$K69),INDEX(资金台帐!$E$7:$E$3006,$K69-1500)&amp;""))</f>
      </c>
      <c r="K69" s="78">
        <f>IFERROR(MATCH(SMALL(_辅助!$H$4:$H$4503,30),_辅助!$H$4:$H$4503,0),"")</f>
      </c>
      <c r="M69" s="78">
        <f>IF(基础资料!$E$59="","",IF(SUMIFS(采购进货!$E$4:$E$1503,采购进货!$C$4:$C$1503,$B$4,采购进货!$D$4:$D$1503,基础资料!$E$59,采购进货!$B$4:$B$1503,"&gt;="&amp;$G$4,采购进货!$B$4:$B$1503,"&lt;="&amp;$I$4)+SUMIFS(采购进货!$H$4:$H$1503,采购进货!$C$4:$C$1503,$B$4,采购进货!$D$4:$D$1503,基础资料!$E$59,采购进货!$B$4:$B$1503,"&gt;="&amp;$G$4,采购进货!$B$4:$B$1503,"&lt;="&amp;$I$4)&lt;&gt;0,55,""))</f>
      </c>
    </row>
    <row r="70">
      <c r="A70" s="141">
        <f>IF($K70="","",31)</f>
      </c>
      <c r="B70" s="140">
        <f>IF($K70="","",IF($K70&lt;=1500,INDEX(采购进货!$B$4:$B$1503,$K70),INDEX(资金台帐!$B$7:$B$3006,$K70-1500)))</f>
      </c>
      <c r="C70" s="141">
        <f>IF($K70="","",IF($K70&lt;=1500,IF(N(INDEX(采购进货!$E$4:$E$1503,$K70))&lt;0,"退货","进货"),IF(INDEX(资金台帐!$S$7:$S$3006,$K70-1500)&lt;=0,"付款","退款")&amp;"（"&amp;INDEX(资金台帐!$C$7:$C$3006,$K70-1500)&amp;"）"))</f>
      </c>
      <c r="D70" s="141">
        <f>IF($K70="","",IF($K70&lt;=1500,INDEX(采购进货!$D$4:$D$1503,$K70)&amp;"",""))</f>
      </c>
      <c r="E70" s="148">
        <f>IF($K70="","",IF($K70&lt;=1500,N(INDEX(采购进货!$E$4:$E$1503,$K70))+N(INDEX(采购进货!$H$4:$H$1503,$K70)),""))</f>
      </c>
      <c r="F70" s="149">
        <f>IF($K70="","",IF($K70&lt;=1500,INDEX(采购进货!$F$4:$F$1503,$K70),""))</f>
      </c>
      <c r="G70" s="186">
        <f>IF($K70="","",IF($K70&lt;=1500,N(INDEX(采购进货!$G$4:$G$1503,$K70)),""))</f>
      </c>
      <c r="H70" s="186">
        <f>IF($K70="","",IF($K70&lt;=1500,"",-INDEX(资金台帐!$S$7:$S$3006,$K70-1500)))</f>
      </c>
      <c r="I70" s="187">
        <f>IF($K70="","",I69+N(G70)-N(H70))</f>
      </c>
      <c r="J70" s="213">
        <f>IF($K70="","",IF($K70&lt;=1500,IF(N(INDEX(采购进货!$H$4:$H$1503,$K70))&lt;&gt;0,"含赠品"&amp;INDEX(采购进货!$H$4:$H$1503,$K70)&amp;"件 ","")&amp;INDEX(采购进货!$I$4:$I$1503,$K70),INDEX(资金台帐!$E$7:$E$3006,$K70-1500)&amp;""))</f>
      </c>
      <c r="K70" s="78">
        <f>IFERROR(MATCH(SMALL(_辅助!$H$4:$H$4503,31),_辅助!$H$4:$H$4503,0),"")</f>
      </c>
      <c r="M70" s="78">
        <f>IF(基础资料!$E$60="","",IF(SUMIFS(采购进货!$E$4:$E$1503,采购进货!$C$4:$C$1503,$B$4,采购进货!$D$4:$D$1503,基础资料!$E$60,采购进货!$B$4:$B$1503,"&gt;="&amp;$G$4,采购进货!$B$4:$B$1503,"&lt;="&amp;$I$4)+SUMIFS(采购进货!$H$4:$H$1503,采购进货!$C$4:$C$1503,$B$4,采购进货!$D$4:$D$1503,基础资料!$E$60,采购进货!$B$4:$B$1503,"&gt;="&amp;$G$4,采购进货!$B$4:$B$1503,"&lt;="&amp;$I$4)&lt;&gt;0,56,""))</f>
      </c>
    </row>
    <row r="71">
      <c r="A71" s="141">
        <f>IF($K71="","",32)</f>
      </c>
      <c r="B71" s="140">
        <f>IF($K71="","",IF($K71&lt;=1500,INDEX(采购进货!$B$4:$B$1503,$K71),INDEX(资金台帐!$B$7:$B$3006,$K71-1500)))</f>
      </c>
      <c r="C71" s="141">
        <f>IF($K71="","",IF($K71&lt;=1500,IF(N(INDEX(采购进货!$E$4:$E$1503,$K71))&lt;0,"退货","进货"),IF(INDEX(资金台帐!$S$7:$S$3006,$K71-1500)&lt;=0,"付款","退款")&amp;"（"&amp;INDEX(资金台帐!$C$7:$C$3006,$K71-1500)&amp;"）"))</f>
      </c>
      <c r="D71" s="141">
        <f>IF($K71="","",IF($K71&lt;=1500,INDEX(采购进货!$D$4:$D$1503,$K71)&amp;"",""))</f>
      </c>
      <c r="E71" s="148">
        <f>IF($K71="","",IF($K71&lt;=1500,N(INDEX(采购进货!$E$4:$E$1503,$K71))+N(INDEX(采购进货!$H$4:$H$1503,$K71)),""))</f>
      </c>
      <c r="F71" s="149">
        <f>IF($K71="","",IF($K71&lt;=1500,INDEX(采购进货!$F$4:$F$1503,$K71),""))</f>
      </c>
      <c r="G71" s="186">
        <f>IF($K71="","",IF($K71&lt;=1500,N(INDEX(采购进货!$G$4:$G$1503,$K71)),""))</f>
      </c>
      <c r="H71" s="186">
        <f>IF($K71="","",IF($K71&lt;=1500,"",-INDEX(资金台帐!$S$7:$S$3006,$K71-1500)))</f>
      </c>
      <c r="I71" s="187">
        <f>IF($K71="","",I70+N(G71)-N(H71))</f>
      </c>
      <c r="J71" s="213">
        <f>IF($K71="","",IF($K71&lt;=1500,IF(N(INDEX(采购进货!$H$4:$H$1503,$K71))&lt;&gt;0,"含赠品"&amp;INDEX(采购进货!$H$4:$H$1503,$K71)&amp;"件 ","")&amp;INDEX(采购进货!$I$4:$I$1503,$K71),INDEX(资金台帐!$E$7:$E$3006,$K71-1500)&amp;""))</f>
      </c>
      <c r="K71" s="78">
        <f>IFERROR(MATCH(SMALL(_辅助!$H$4:$H$4503,32),_辅助!$H$4:$H$4503,0),"")</f>
      </c>
      <c r="M71" s="78">
        <f>IF(基础资料!$E$61="","",IF(SUMIFS(采购进货!$E$4:$E$1503,采购进货!$C$4:$C$1503,$B$4,采购进货!$D$4:$D$1503,基础资料!$E$61,采购进货!$B$4:$B$1503,"&gt;="&amp;$G$4,采购进货!$B$4:$B$1503,"&lt;="&amp;$I$4)+SUMIFS(采购进货!$H$4:$H$1503,采购进货!$C$4:$C$1503,$B$4,采购进货!$D$4:$D$1503,基础资料!$E$61,采购进货!$B$4:$B$1503,"&gt;="&amp;$G$4,采购进货!$B$4:$B$1503,"&lt;="&amp;$I$4)&lt;&gt;0,57,""))</f>
      </c>
    </row>
    <row r="72">
      <c r="A72" s="141">
        <f>IF($K72="","",33)</f>
      </c>
      <c r="B72" s="140">
        <f>IF($K72="","",IF($K72&lt;=1500,INDEX(采购进货!$B$4:$B$1503,$K72),INDEX(资金台帐!$B$7:$B$3006,$K72-1500)))</f>
      </c>
      <c r="C72" s="141">
        <f>IF($K72="","",IF($K72&lt;=1500,IF(N(INDEX(采购进货!$E$4:$E$1503,$K72))&lt;0,"退货","进货"),IF(INDEX(资金台帐!$S$7:$S$3006,$K72-1500)&lt;=0,"付款","退款")&amp;"（"&amp;INDEX(资金台帐!$C$7:$C$3006,$K72-1500)&amp;"）"))</f>
      </c>
      <c r="D72" s="141">
        <f>IF($K72="","",IF($K72&lt;=1500,INDEX(采购进货!$D$4:$D$1503,$K72)&amp;"",""))</f>
      </c>
      <c r="E72" s="148">
        <f>IF($K72="","",IF($K72&lt;=1500,N(INDEX(采购进货!$E$4:$E$1503,$K72))+N(INDEX(采购进货!$H$4:$H$1503,$K72)),""))</f>
      </c>
      <c r="F72" s="149">
        <f>IF($K72="","",IF($K72&lt;=1500,INDEX(采购进货!$F$4:$F$1503,$K72),""))</f>
      </c>
      <c r="G72" s="186">
        <f>IF($K72="","",IF($K72&lt;=1500,N(INDEX(采购进货!$G$4:$G$1503,$K72)),""))</f>
      </c>
      <c r="H72" s="186">
        <f>IF($K72="","",IF($K72&lt;=1500,"",-INDEX(资金台帐!$S$7:$S$3006,$K72-1500)))</f>
      </c>
      <c r="I72" s="187">
        <f>IF($K72="","",I71+N(G72)-N(H72))</f>
      </c>
      <c r="J72" s="213">
        <f>IF($K72="","",IF($K72&lt;=1500,IF(N(INDEX(采购进货!$H$4:$H$1503,$K72))&lt;&gt;0,"含赠品"&amp;INDEX(采购进货!$H$4:$H$1503,$K72)&amp;"件 ","")&amp;INDEX(采购进货!$I$4:$I$1503,$K72),INDEX(资金台帐!$E$7:$E$3006,$K72-1500)&amp;""))</f>
      </c>
      <c r="K72" s="78">
        <f>IFERROR(MATCH(SMALL(_辅助!$H$4:$H$4503,33),_辅助!$H$4:$H$4503,0),"")</f>
      </c>
      <c r="M72" s="78">
        <f>IF(基础资料!$E$62="","",IF(SUMIFS(采购进货!$E$4:$E$1503,采购进货!$C$4:$C$1503,$B$4,采购进货!$D$4:$D$1503,基础资料!$E$62,采购进货!$B$4:$B$1503,"&gt;="&amp;$G$4,采购进货!$B$4:$B$1503,"&lt;="&amp;$I$4)+SUMIFS(采购进货!$H$4:$H$1503,采购进货!$C$4:$C$1503,$B$4,采购进货!$D$4:$D$1503,基础资料!$E$62,采购进货!$B$4:$B$1503,"&gt;="&amp;$G$4,采购进货!$B$4:$B$1503,"&lt;="&amp;$I$4)&lt;&gt;0,58,""))</f>
      </c>
    </row>
    <row r="73">
      <c r="A73" s="141">
        <f>IF($K73="","",34)</f>
      </c>
      <c r="B73" s="140">
        <f>IF($K73="","",IF($K73&lt;=1500,INDEX(采购进货!$B$4:$B$1503,$K73),INDEX(资金台帐!$B$7:$B$3006,$K73-1500)))</f>
      </c>
      <c r="C73" s="141">
        <f>IF($K73="","",IF($K73&lt;=1500,IF(N(INDEX(采购进货!$E$4:$E$1503,$K73))&lt;0,"退货","进货"),IF(INDEX(资金台帐!$S$7:$S$3006,$K73-1500)&lt;=0,"付款","退款")&amp;"（"&amp;INDEX(资金台帐!$C$7:$C$3006,$K73-1500)&amp;"）"))</f>
      </c>
      <c r="D73" s="141">
        <f>IF($K73="","",IF($K73&lt;=1500,INDEX(采购进货!$D$4:$D$1503,$K73)&amp;"",""))</f>
      </c>
      <c r="E73" s="148">
        <f>IF($K73="","",IF($K73&lt;=1500,N(INDEX(采购进货!$E$4:$E$1503,$K73))+N(INDEX(采购进货!$H$4:$H$1503,$K73)),""))</f>
      </c>
      <c r="F73" s="149">
        <f>IF($K73="","",IF($K73&lt;=1500,INDEX(采购进货!$F$4:$F$1503,$K73),""))</f>
      </c>
      <c r="G73" s="186">
        <f>IF($K73="","",IF($K73&lt;=1500,N(INDEX(采购进货!$G$4:$G$1503,$K73)),""))</f>
      </c>
      <c r="H73" s="186">
        <f>IF($K73="","",IF($K73&lt;=1500,"",-INDEX(资金台帐!$S$7:$S$3006,$K73-1500)))</f>
      </c>
      <c r="I73" s="187">
        <f>IF($K73="","",I72+N(G73)-N(H73))</f>
      </c>
      <c r="J73" s="213">
        <f>IF($K73="","",IF($K73&lt;=1500,IF(N(INDEX(采购进货!$H$4:$H$1503,$K73))&lt;&gt;0,"含赠品"&amp;INDEX(采购进货!$H$4:$H$1503,$K73)&amp;"件 ","")&amp;INDEX(采购进货!$I$4:$I$1503,$K73),INDEX(资金台帐!$E$7:$E$3006,$K73-1500)&amp;""))</f>
      </c>
      <c r="K73" s="78">
        <f>IFERROR(MATCH(SMALL(_辅助!$H$4:$H$4503,34),_辅助!$H$4:$H$4503,0),"")</f>
      </c>
      <c r="M73" s="78">
        <f>IF(基础资料!$E$63="","",IF(SUMIFS(采购进货!$E$4:$E$1503,采购进货!$C$4:$C$1503,$B$4,采购进货!$D$4:$D$1503,基础资料!$E$63,采购进货!$B$4:$B$1503,"&gt;="&amp;$G$4,采购进货!$B$4:$B$1503,"&lt;="&amp;$I$4)+SUMIFS(采购进货!$H$4:$H$1503,采购进货!$C$4:$C$1503,$B$4,采购进货!$D$4:$D$1503,基础资料!$E$63,采购进货!$B$4:$B$1503,"&gt;="&amp;$G$4,采购进货!$B$4:$B$1503,"&lt;="&amp;$I$4)&lt;&gt;0,59,""))</f>
      </c>
    </row>
    <row r="74">
      <c r="A74" s="141">
        <f>IF($K74="","",35)</f>
      </c>
      <c r="B74" s="140">
        <f>IF($K74="","",IF($K74&lt;=1500,INDEX(采购进货!$B$4:$B$1503,$K74),INDEX(资金台帐!$B$7:$B$3006,$K74-1500)))</f>
      </c>
      <c r="C74" s="141">
        <f>IF($K74="","",IF($K74&lt;=1500,IF(N(INDEX(采购进货!$E$4:$E$1503,$K74))&lt;0,"退货","进货"),IF(INDEX(资金台帐!$S$7:$S$3006,$K74-1500)&lt;=0,"付款","退款")&amp;"（"&amp;INDEX(资金台帐!$C$7:$C$3006,$K74-1500)&amp;"）"))</f>
      </c>
      <c r="D74" s="141">
        <f>IF($K74="","",IF($K74&lt;=1500,INDEX(采购进货!$D$4:$D$1503,$K74)&amp;"",""))</f>
      </c>
      <c r="E74" s="148">
        <f>IF($K74="","",IF($K74&lt;=1500,N(INDEX(采购进货!$E$4:$E$1503,$K74))+N(INDEX(采购进货!$H$4:$H$1503,$K74)),""))</f>
      </c>
      <c r="F74" s="149">
        <f>IF($K74="","",IF($K74&lt;=1500,INDEX(采购进货!$F$4:$F$1503,$K74),""))</f>
      </c>
      <c r="G74" s="186">
        <f>IF($K74="","",IF($K74&lt;=1500,N(INDEX(采购进货!$G$4:$G$1503,$K74)),""))</f>
      </c>
      <c r="H74" s="186">
        <f>IF($K74="","",IF($K74&lt;=1500,"",-INDEX(资金台帐!$S$7:$S$3006,$K74-1500)))</f>
      </c>
      <c r="I74" s="187">
        <f>IF($K74="","",I73+N(G74)-N(H74))</f>
      </c>
      <c r="J74" s="213">
        <f>IF($K74="","",IF($K74&lt;=1500,IF(N(INDEX(采购进货!$H$4:$H$1503,$K74))&lt;&gt;0,"含赠品"&amp;INDEX(采购进货!$H$4:$H$1503,$K74)&amp;"件 ","")&amp;INDEX(采购进货!$I$4:$I$1503,$K74),INDEX(资金台帐!$E$7:$E$3006,$K74-1500)&amp;""))</f>
      </c>
      <c r="K74" s="78">
        <f>IFERROR(MATCH(SMALL(_辅助!$H$4:$H$4503,35),_辅助!$H$4:$H$4503,0),"")</f>
      </c>
      <c r="M74" s="78">
        <f>IF(基础资料!$E$64="","",IF(SUMIFS(采购进货!$E$4:$E$1503,采购进货!$C$4:$C$1503,$B$4,采购进货!$D$4:$D$1503,基础资料!$E$64,采购进货!$B$4:$B$1503,"&gt;="&amp;$G$4,采购进货!$B$4:$B$1503,"&lt;="&amp;$I$4)+SUMIFS(采购进货!$H$4:$H$1503,采购进货!$C$4:$C$1503,$B$4,采购进货!$D$4:$D$1503,基础资料!$E$64,采购进货!$B$4:$B$1503,"&gt;="&amp;$G$4,采购进货!$B$4:$B$1503,"&lt;="&amp;$I$4)&lt;&gt;0,60,""))</f>
      </c>
    </row>
    <row r="75">
      <c r="A75" s="141">
        <f>IF($K75="","",36)</f>
      </c>
      <c r="B75" s="140">
        <f>IF($K75="","",IF($K75&lt;=1500,INDEX(采购进货!$B$4:$B$1503,$K75),INDEX(资金台帐!$B$7:$B$3006,$K75-1500)))</f>
      </c>
      <c r="C75" s="141">
        <f>IF($K75="","",IF($K75&lt;=1500,IF(N(INDEX(采购进货!$E$4:$E$1503,$K75))&lt;0,"退货","进货"),IF(INDEX(资金台帐!$S$7:$S$3006,$K75-1500)&lt;=0,"付款","退款")&amp;"（"&amp;INDEX(资金台帐!$C$7:$C$3006,$K75-1500)&amp;"）"))</f>
      </c>
      <c r="D75" s="141">
        <f>IF($K75="","",IF($K75&lt;=1500,INDEX(采购进货!$D$4:$D$1503,$K75)&amp;"",""))</f>
      </c>
      <c r="E75" s="148">
        <f>IF($K75="","",IF($K75&lt;=1500,N(INDEX(采购进货!$E$4:$E$1503,$K75))+N(INDEX(采购进货!$H$4:$H$1503,$K75)),""))</f>
      </c>
      <c r="F75" s="149">
        <f>IF($K75="","",IF($K75&lt;=1500,INDEX(采购进货!$F$4:$F$1503,$K75),""))</f>
      </c>
      <c r="G75" s="186">
        <f>IF($K75="","",IF($K75&lt;=1500,N(INDEX(采购进货!$G$4:$G$1503,$K75)),""))</f>
      </c>
      <c r="H75" s="186">
        <f>IF($K75="","",IF($K75&lt;=1500,"",-INDEX(资金台帐!$S$7:$S$3006,$K75-1500)))</f>
      </c>
      <c r="I75" s="187">
        <f>IF($K75="","",I74+N(G75)-N(H75))</f>
      </c>
      <c r="J75" s="213">
        <f>IF($K75="","",IF($K75&lt;=1500,IF(N(INDEX(采购进货!$H$4:$H$1503,$K75))&lt;&gt;0,"含赠品"&amp;INDEX(采购进货!$H$4:$H$1503,$K75)&amp;"件 ","")&amp;INDEX(采购进货!$I$4:$I$1503,$K75),INDEX(资金台帐!$E$7:$E$3006,$K75-1500)&amp;""))</f>
      </c>
      <c r="K75" s="78">
        <f>IFERROR(MATCH(SMALL(_辅助!$H$4:$H$4503,36),_辅助!$H$4:$H$4503,0),"")</f>
      </c>
      <c r="M75" s="78">
        <f>IF(基础资料!$E$65="","",IF(SUMIFS(采购进货!$E$4:$E$1503,采购进货!$C$4:$C$1503,$B$4,采购进货!$D$4:$D$1503,基础资料!$E$65,采购进货!$B$4:$B$1503,"&gt;="&amp;$G$4,采购进货!$B$4:$B$1503,"&lt;="&amp;$I$4)+SUMIFS(采购进货!$H$4:$H$1503,采购进货!$C$4:$C$1503,$B$4,采购进货!$D$4:$D$1503,基础资料!$E$65,采购进货!$B$4:$B$1503,"&gt;="&amp;$G$4,采购进货!$B$4:$B$1503,"&lt;="&amp;$I$4)&lt;&gt;0,61,""))</f>
      </c>
    </row>
    <row r="76">
      <c r="A76" s="141">
        <f>IF($K76="","",37)</f>
      </c>
      <c r="B76" s="140">
        <f>IF($K76="","",IF($K76&lt;=1500,INDEX(采购进货!$B$4:$B$1503,$K76),INDEX(资金台帐!$B$7:$B$3006,$K76-1500)))</f>
      </c>
      <c r="C76" s="141">
        <f>IF($K76="","",IF($K76&lt;=1500,IF(N(INDEX(采购进货!$E$4:$E$1503,$K76))&lt;0,"退货","进货"),IF(INDEX(资金台帐!$S$7:$S$3006,$K76-1500)&lt;=0,"付款","退款")&amp;"（"&amp;INDEX(资金台帐!$C$7:$C$3006,$K76-1500)&amp;"）"))</f>
      </c>
      <c r="D76" s="141">
        <f>IF($K76="","",IF($K76&lt;=1500,INDEX(采购进货!$D$4:$D$1503,$K76)&amp;"",""))</f>
      </c>
      <c r="E76" s="148">
        <f>IF($K76="","",IF($K76&lt;=1500,N(INDEX(采购进货!$E$4:$E$1503,$K76))+N(INDEX(采购进货!$H$4:$H$1503,$K76)),""))</f>
      </c>
      <c r="F76" s="149">
        <f>IF($K76="","",IF($K76&lt;=1500,INDEX(采购进货!$F$4:$F$1503,$K76),""))</f>
      </c>
      <c r="G76" s="186">
        <f>IF($K76="","",IF($K76&lt;=1500,N(INDEX(采购进货!$G$4:$G$1503,$K76)),""))</f>
      </c>
      <c r="H76" s="186">
        <f>IF($K76="","",IF($K76&lt;=1500,"",-INDEX(资金台帐!$S$7:$S$3006,$K76-1500)))</f>
      </c>
      <c r="I76" s="187">
        <f>IF($K76="","",I75+N(G76)-N(H76))</f>
      </c>
      <c r="J76" s="213">
        <f>IF($K76="","",IF($K76&lt;=1500,IF(N(INDEX(采购进货!$H$4:$H$1503,$K76))&lt;&gt;0,"含赠品"&amp;INDEX(采购进货!$H$4:$H$1503,$K76)&amp;"件 ","")&amp;INDEX(采购进货!$I$4:$I$1503,$K76),INDEX(资金台帐!$E$7:$E$3006,$K76-1500)&amp;""))</f>
      </c>
      <c r="K76" s="78">
        <f>IFERROR(MATCH(SMALL(_辅助!$H$4:$H$4503,37),_辅助!$H$4:$H$4503,0),"")</f>
      </c>
      <c r="M76" s="78">
        <f>IF(基础资料!$E$66="","",IF(SUMIFS(采购进货!$E$4:$E$1503,采购进货!$C$4:$C$1503,$B$4,采购进货!$D$4:$D$1503,基础资料!$E$66,采购进货!$B$4:$B$1503,"&gt;="&amp;$G$4,采购进货!$B$4:$B$1503,"&lt;="&amp;$I$4)+SUMIFS(采购进货!$H$4:$H$1503,采购进货!$C$4:$C$1503,$B$4,采购进货!$D$4:$D$1503,基础资料!$E$66,采购进货!$B$4:$B$1503,"&gt;="&amp;$G$4,采购进货!$B$4:$B$1503,"&lt;="&amp;$I$4)&lt;&gt;0,62,""))</f>
      </c>
    </row>
    <row r="77">
      <c r="A77" s="141">
        <f>IF($K77="","",38)</f>
      </c>
      <c r="B77" s="140">
        <f>IF($K77="","",IF($K77&lt;=1500,INDEX(采购进货!$B$4:$B$1503,$K77),INDEX(资金台帐!$B$7:$B$3006,$K77-1500)))</f>
      </c>
      <c r="C77" s="141">
        <f>IF($K77="","",IF($K77&lt;=1500,IF(N(INDEX(采购进货!$E$4:$E$1503,$K77))&lt;0,"退货","进货"),IF(INDEX(资金台帐!$S$7:$S$3006,$K77-1500)&lt;=0,"付款","退款")&amp;"（"&amp;INDEX(资金台帐!$C$7:$C$3006,$K77-1500)&amp;"）"))</f>
      </c>
      <c r="D77" s="141">
        <f>IF($K77="","",IF($K77&lt;=1500,INDEX(采购进货!$D$4:$D$1503,$K77)&amp;"",""))</f>
      </c>
      <c r="E77" s="148">
        <f>IF($K77="","",IF($K77&lt;=1500,N(INDEX(采购进货!$E$4:$E$1503,$K77))+N(INDEX(采购进货!$H$4:$H$1503,$K77)),""))</f>
      </c>
      <c r="F77" s="149">
        <f>IF($K77="","",IF($K77&lt;=1500,INDEX(采购进货!$F$4:$F$1503,$K77),""))</f>
      </c>
      <c r="G77" s="186">
        <f>IF($K77="","",IF($K77&lt;=1500,N(INDEX(采购进货!$G$4:$G$1503,$K77)),""))</f>
      </c>
      <c r="H77" s="186">
        <f>IF($K77="","",IF($K77&lt;=1500,"",-INDEX(资金台帐!$S$7:$S$3006,$K77-1500)))</f>
      </c>
      <c r="I77" s="187">
        <f>IF($K77="","",I76+N(G77)-N(H77))</f>
      </c>
      <c r="J77" s="213">
        <f>IF($K77="","",IF($K77&lt;=1500,IF(N(INDEX(采购进货!$H$4:$H$1503,$K77))&lt;&gt;0,"含赠品"&amp;INDEX(采购进货!$H$4:$H$1503,$K77)&amp;"件 ","")&amp;INDEX(采购进货!$I$4:$I$1503,$K77),INDEX(资金台帐!$E$7:$E$3006,$K77-1500)&amp;""))</f>
      </c>
      <c r="K77" s="78">
        <f>IFERROR(MATCH(SMALL(_辅助!$H$4:$H$4503,38),_辅助!$H$4:$H$4503,0),"")</f>
      </c>
      <c r="M77" s="78">
        <f>IF(基础资料!$E$67="","",IF(SUMIFS(采购进货!$E$4:$E$1503,采购进货!$C$4:$C$1503,$B$4,采购进货!$D$4:$D$1503,基础资料!$E$67,采购进货!$B$4:$B$1503,"&gt;="&amp;$G$4,采购进货!$B$4:$B$1503,"&lt;="&amp;$I$4)+SUMIFS(采购进货!$H$4:$H$1503,采购进货!$C$4:$C$1503,$B$4,采购进货!$D$4:$D$1503,基础资料!$E$67,采购进货!$B$4:$B$1503,"&gt;="&amp;$G$4,采购进货!$B$4:$B$1503,"&lt;="&amp;$I$4)&lt;&gt;0,63,""))</f>
      </c>
    </row>
    <row r="78">
      <c r="A78" s="141">
        <f>IF($K78="","",39)</f>
      </c>
      <c r="B78" s="140">
        <f>IF($K78="","",IF($K78&lt;=1500,INDEX(采购进货!$B$4:$B$1503,$K78),INDEX(资金台帐!$B$7:$B$3006,$K78-1500)))</f>
      </c>
      <c r="C78" s="141">
        <f>IF($K78="","",IF($K78&lt;=1500,IF(N(INDEX(采购进货!$E$4:$E$1503,$K78))&lt;0,"退货","进货"),IF(INDEX(资金台帐!$S$7:$S$3006,$K78-1500)&lt;=0,"付款","退款")&amp;"（"&amp;INDEX(资金台帐!$C$7:$C$3006,$K78-1500)&amp;"）"))</f>
      </c>
      <c r="D78" s="141">
        <f>IF($K78="","",IF($K78&lt;=1500,INDEX(采购进货!$D$4:$D$1503,$K78)&amp;"",""))</f>
      </c>
      <c r="E78" s="148">
        <f>IF($K78="","",IF($K78&lt;=1500,N(INDEX(采购进货!$E$4:$E$1503,$K78))+N(INDEX(采购进货!$H$4:$H$1503,$K78)),""))</f>
      </c>
      <c r="F78" s="149">
        <f>IF($K78="","",IF($K78&lt;=1500,INDEX(采购进货!$F$4:$F$1503,$K78),""))</f>
      </c>
      <c r="G78" s="186">
        <f>IF($K78="","",IF($K78&lt;=1500,N(INDEX(采购进货!$G$4:$G$1503,$K78)),""))</f>
      </c>
      <c r="H78" s="186">
        <f>IF($K78="","",IF($K78&lt;=1500,"",-INDEX(资金台帐!$S$7:$S$3006,$K78-1500)))</f>
      </c>
      <c r="I78" s="187">
        <f>IF($K78="","",I77+N(G78)-N(H78))</f>
      </c>
      <c r="J78" s="213">
        <f>IF($K78="","",IF($K78&lt;=1500,IF(N(INDEX(采购进货!$H$4:$H$1503,$K78))&lt;&gt;0,"含赠品"&amp;INDEX(采购进货!$H$4:$H$1503,$K78)&amp;"件 ","")&amp;INDEX(采购进货!$I$4:$I$1503,$K78),INDEX(资金台帐!$E$7:$E$3006,$K78-1500)&amp;""))</f>
      </c>
      <c r="K78" s="78">
        <f>IFERROR(MATCH(SMALL(_辅助!$H$4:$H$4503,39),_辅助!$H$4:$H$4503,0),"")</f>
      </c>
      <c r="M78" s="78">
        <f>IF(基础资料!$E$68="","",IF(SUMIFS(采购进货!$E$4:$E$1503,采购进货!$C$4:$C$1503,$B$4,采购进货!$D$4:$D$1503,基础资料!$E$68,采购进货!$B$4:$B$1503,"&gt;="&amp;$G$4,采购进货!$B$4:$B$1503,"&lt;="&amp;$I$4)+SUMIFS(采购进货!$H$4:$H$1503,采购进货!$C$4:$C$1503,$B$4,采购进货!$D$4:$D$1503,基础资料!$E$68,采购进货!$B$4:$B$1503,"&gt;="&amp;$G$4,采购进货!$B$4:$B$1503,"&lt;="&amp;$I$4)&lt;&gt;0,64,""))</f>
      </c>
    </row>
    <row r="79">
      <c r="A79" s="141">
        <f>IF($K79="","",40)</f>
      </c>
      <c r="B79" s="140">
        <f>IF($K79="","",IF($K79&lt;=1500,INDEX(采购进货!$B$4:$B$1503,$K79),INDEX(资金台帐!$B$7:$B$3006,$K79-1500)))</f>
      </c>
      <c r="C79" s="141">
        <f>IF($K79="","",IF($K79&lt;=1500,IF(N(INDEX(采购进货!$E$4:$E$1503,$K79))&lt;0,"退货","进货"),IF(INDEX(资金台帐!$S$7:$S$3006,$K79-1500)&lt;=0,"付款","退款")&amp;"（"&amp;INDEX(资金台帐!$C$7:$C$3006,$K79-1500)&amp;"）"))</f>
      </c>
      <c r="D79" s="141">
        <f>IF($K79="","",IF($K79&lt;=1500,INDEX(采购进货!$D$4:$D$1503,$K79)&amp;"",""))</f>
      </c>
      <c r="E79" s="148">
        <f>IF($K79="","",IF($K79&lt;=1500,N(INDEX(采购进货!$E$4:$E$1503,$K79))+N(INDEX(采购进货!$H$4:$H$1503,$K79)),""))</f>
      </c>
      <c r="F79" s="149">
        <f>IF($K79="","",IF($K79&lt;=1500,INDEX(采购进货!$F$4:$F$1503,$K79),""))</f>
      </c>
      <c r="G79" s="186">
        <f>IF($K79="","",IF($K79&lt;=1500,N(INDEX(采购进货!$G$4:$G$1503,$K79)),""))</f>
      </c>
      <c r="H79" s="186">
        <f>IF($K79="","",IF($K79&lt;=1500,"",-INDEX(资金台帐!$S$7:$S$3006,$K79-1500)))</f>
      </c>
      <c r="I79" s="187">
        <f>IF($K79="","",I78+N(G79)-N(H79))</f>
      </c>
      <c r="J79" s="213">
        <f>IF($K79="","",IF($K79&lt;=1500,IF(N(INDEX(采购进货!$H$4:$H$1503,$K79))&lt;&gt;0,"含赠品"&amp;INDEX(采购进货!$H$4:$H$1503,$K79)&amp;"件 ","")&amp;INDEX(采购进货!$I$4:$I$1503,$K79),INDEX(资金台帐!$E$7:$E$3006,$K79-1500)&amp;""))</f>
      </c>
      <c r="K79" s="78">
        <f>IFERROR(MATCH(SMALL(_辅助!$H$4:$H$4503,40),_辅助!$H$4:$H$4503,0),"")</f>
      </c>
      <c r="M79" s="78">
        <f>IF(基础资料!$E$69="","",IF(SUMIFS(采购进货!$E$4:$E$1503,采购进货!$C$4:$C$1503,$B$4,采购进货!$D$4:$D$1503,基础资料!$E$69,采购进货!$B$4:$B$1503,"&gt;="&amp;$G$4,采购进货!$B$4:$B$1503,"&lt;="&amp;$I$4)+SUMIFS(采购进货!$H$4:$H$1503,采购进货!$C$4:$C$1503,$B$4,采购进货!$D$4:$D$1503,基础资料!$E$69,采购进货!$B$4:$B$1503,"&gt;="&amp;$G$4,采购进货!$B$4:$B$1503,"&lt;="&amp;$I$4)&lt;&gt;0,65,""))</f>
      </c>
    </row>
    <row r="80">
      <c r="A80" s="141">
        <f>IF($K80="","",41)</f>
      </c>
      <c r="B80" s="140">
        <f>IF($K80="","",IF($K80&lt;=1500,INDEX(采购进货!$B$4:$B$1503,$K80),INDEX(资金台帐!$B$7:$B$3006,$K80-1500)))</f>
      </c>
      <c r="C80" s="141">
        <f>IF($K80="","",IF($K80&lt;=1500,IF(N(INDEX(采购进货!$E$4:$E$1503,$K80))&lt;0,"退货","进货"),IF(INDEX(资金台帐!$S$7:$S$3006,$K80-1500)&lt;=0,"付款","退款")&amp;"（"&amp;INDEX(资金台帐!$C$7:$C$3006,$K80-1500)&amp;"）"))</f>
      </c>
      <c r="D80" s="141">
        <f>IF($K80="","",IF($K80&lt;=1500,INDEX(采购进货!$D$4:$D$1503,$K80)&amp;"",""))</f>
      </c>
      <c r="E80" s="148">
        <f>IF($K80="","",IF($K80&lt;=1500,N(INDEX(采购进货!$E$4:$E$1503,$K80))+N(INDEX(采购进货!$H$4:$H$1503,$K80)),""))</f>
      </c>
      <c r="F80" s="149">
        <f>IF($K80="","",IF($K80&lt;=1500,INDEX(采购进货!$F$4:$F$1503,$K80),""))</f>
      </c>
      <c r="G80" s="186">
        <f>IF($K80="","",IF($K80&lt;=1500,N(INDEX(采购进货!$G$4:$G$1503,$K80)),""))</f>
      </c>
      <c r="H80" s="186">
        <f>IF($K80="","",IF($K80&lt;=1500,"",-INDEX(资金台帐!$S$7:$S$3006,$K80-1500)))</f>
      </c>
      <c r="I80" s="187">
        <f>IF($K80="","",I79+N(G80)-N(H80))</f>
      </c>
      <c r="J80" s="213">
        <f>IF($K80="","",IF($K80&lt;=1500,IF(N(INDEX(采购进货!$H$4:$H$1503,$K80))&lt;&gt;0,"含赠品"&amp;INDEX(采购进货!$H$4:$H$1503,$K80)&amp;"件 ","")&amp;INDEX(采购进货!$I$4:$I$1503,$K80),INDEX(资金台帐!$E$7:$E$3006,$K80-1500)&amp;""))</f>
      </c>
      <c r="K80" s="78">
        <f>IFERROR(MATCH(SMALL(_辅助!$H$4:$H$4503,41),_辅助!$H$4:$H$4503,0),"")</f>
      </c>
      <c r="M80" s="78">
        <f>IF(基础资料!$E$70="","",IF(SUMIFS(采购进货!$E$4:$E$1503,采购进货!$C$4:$C$1503,$B$4,采购进货!$D$4:$D$1503,基础资料!$E$70,采购进货!$B$4:$B$1503,"&gt;="&amp;$G$4,采购进货!$B$4:$B$1503,"&lt;="&amp;$I$4)+SUMIFS(采购进货!$H$4:$H$1503,采购进货!$C$4:$C$1503,$B$4,采购进货!$D$4:$D$1503,基础资料!$E$70,采购进货!$B$4:$B$1503,"&gt;="&amp;$G$4,采购进货!$B$4:$B$1503,"&lt;="&amp;$I$4)&lt;&gt;0,66,""))</f>
      </c>
    </row>
    <row r="81">
      <c r="A81" s="141">
        <f>IF($K81="","",42)</f>
      </c>
      <c r="B81" s="140">
        <f>IF($K81="","",IF($K81&lt;=1500,INDEX(采购进货!$B$4:$B$1503,$K81),INDEX(资金台帐!$B$7:$B$3006,$K81-1500)))</f>
      </c>
      <c r="C81" s="141">
        <f>IF($K81="","",IF($K81&lt;=1500,IF(N(INDEX(采购进货!$E$4:$E$1503,$K81))&lt;0,"退货","进货"),IF(INDEX(资金台帐!$S$7:$S$3006,$K81-1500)&lt;=0,"付款","退款")&amp;"（"&amp;INDEX(资金台帐!$C$7:$C$3006,$K81-1500)&amp;"）"))</f>
      </c>
      <c r="D81" s="141">
        <f>IF($K81="","",IF($K81&lt;=1500,INDEX(采购进货!$D$4:$D$1503,$K81)&amp;"",""))</f>
      </c>
      <c r="E81" s="148">
        <f>IF($K81="","",IF($K81&lt;=1500,N(INDEX(采购进货!$E$4:$E$1503,$K81))+N(INDEX(采购进货!$H$4:$H$1503,$K81)),""))</f>
      </c>
      <c r="F81" s="149">
        <f>IF($K81="","",IF($K81&lt;=1500,INDEX(采购进货!$F$4:$F$1503,$K81),""))</f>
      </c>
      <c r="G81" s="186">
        <f>IF($K81="","",IF($K81&lt;=1500,N(INDEX(采购进货!$G$4:$G$1503,$K81)),""))</f>
      </c>
      <c r="H81" s="186">
        <f>IF($K81="","",IF($K81&lt;=1500,"",-INDEX(资金台帐!$S$7:$S$3006,$K81-1500)))</f>
      </c>
      <c r="I81" s="187">
        <f>IF($K81="","",I80+N(G81)-N(H81))</f>
      </c>
      <c r="J81" s="213">
        <f>IF($K81="","",IF($K81&lt;=1500,IF(N(INDEX(采购进货!$H$4:$H$1503,$K81))&lt;&gt;0,"含赠品"&amp;INDEX(采购进货!$H$4:$H$1503,$K81)&amp;"件 ","")&amp;INDEX(采购进货!$I$4:$I$1503,$K81),INDEX(资金台帐!$E$7:$E$3006,$K81-1500)&amp;""))</f>
      </c>
      <c r="K81" s="78">
        <f>IFERROR(MATCH(SMALL(_辅助!$H$4:$H$4503,42),_辅助!$H$4:$H$4503,0),"")</f>
      </c>
      <c r="M81" s="78">
        <f>IF(基础资料!$E$71="","",IF(SUMIFS(采购进货!$E$4:$E$1503,采购进货!$C$4:$C$1503,$B$4,采购进货!$D$4:$D$1503,基础资料!$E$71,采购进货!$B$4:$B$1503,"&gt;="&amp;$G$4,采购进货!$B$4:$B$1503,"&lt;="&amp;$I$4)+SUMIFS(采购进货!$H$4:$H$1503,采购进货!$C$4:$C$1503,$B$4,采购进货!$D$4:$D$1503,基础资料!$E$71,采购进货!$B$4:$B$1503,"&gt;="&amp;$G$4,采购进货!$B$4:$B$1503,"&lt;="&amp;$I$4)&lt;&gt;0,67,""))</f>
      </c>
    </row>
    <row r="82">
      <c r="A82" s="141">
        <f>IF($K82="","",43)</f>
      </c>
      <c r="B82" s="140">
        <f>IF($K82="","",IF($K82&lt;=1500,INDEX(采购进货!$B$4:$B$1503,$K82),INDEX(资金台帐!$B$7:$B$3006,$K82-1500)))</f>
      </c>
      <c r="C82" s="141">
        <f>IF($K82="","",IF($K82&lt;=1500,IF(N(INDEX(采购进货!$E$4:$E$1503,$K82))&lt;0,"退货","进货"),IF(INDEX(资金台帐!$S$7:$S$3006,$K82-1500)&lt;=0,"付款","退款")&amp;"（"&amp;INDEX(资金台帐!$C$7:$C$3006,$K82-1500)&amp;"）"))</f>
      </c>
      <c r="D82" s="141">
        <f>IF($K82="","",IF($K82&lt;=1500,INDEX(采购进货!$D$4:$D$1503,$K82)&amp;"",""))</f>
      </c>
      <c r="E82" s="148">
        <f>IF($K82="","",IF($K82&lt;=1500,N(INDEX(采购进货!$E$4:$E$1503,$K82))+N(INDEX(采购进货!$H$4:$H$1503,$K82)),""))</f>
      </c>
      <c r="F82" s="149">
        <f>IF($K82="","",IF($K82&lt;=1500,INDEX(采购进货!$F$4:$F$1503,$K82),""))</f>
      </c>
      <c r="G82" s="186">
        <f>IF($K82="","",IF($K82&lt;=1500,N(INDEX(采购进货!$G$4:$G$1503,$K82)),""))</f>
      </c>
      <c r="H82" s="186">
        <f>IF($K82="","",IF($K82&lt;=1500,"",-INDEX(资金台帐!$S$7:$S$3006,$K82-1500)))</f>
      </c>
      <c r="I82" s="187">
        <f>IF($K82="","",I81+N(G82)-N(H82))</f>
      </c>
      <c r="J82" s="213">
        <f>IF($K82="","",IF($K82&lt;=1500,IF(N(INDEX(采购进货!$H$4:$H$1503,$K82))&lt;&gt;0,"含赠品"&amp;INDEX(采购进货!$H$4:$H$1503,$K82)&amp;"件 ","")&amp;INDEX(采购进货!$I$4:$I$1503,$K82),INDEX(资金台帐!$E$7:$E$3006,$K82-1500)&amp;""))</f>
      </c>
      <c r="K82" s="78">
        <f>IFERROR(MATCH(SMALL(_辅助!$H$4:$H$4503,43),_辅助!$H$4:$H$4503,0),"")</f>
      </c>
      <c r="M82" s="78">
        <f>IF(基础资料!$E$72="","",IF(SUMIFS(采购进货!$E$4:$E$1503,采购进货!$C$4:$C$1503,$B$4,采购进货!$D$4:$D$1503,基础资料!$E$72,采购进货!$B$4:$B$1503,"&gt;="&amp;$G$4,采购进货!$B$4:$B$1503,"&lt;="&amp;$I$4)+SUMIFS(采购进货!$H$4:$H$1503,采购进货!$C$4:$C$1503,$B$4,采购进货!$D$4:$D$1503,基础资料!$E$72,采购进货!$B$4:$B$1503,"&gt;="&amp;$G$4,采购进货!$B$4:$B$1503,"&lt;="&amp;$I$4)&lt;&gt;0,68,""))</f>
      </c>
    </row>
    <row r="83">
      <c r="A83" s="141">
        <f>IF($K83="","",44)</f>
      </c>
      <c r="B83" s="140">
        <f>IF($K83="","",IF($K83&lt;=1500,INDEX(采购进货!$B$4:$B$1503,$K83),INDEX(资金台帐!$B$7:$B$3006,$K83-1500)))</f>
      </c>
      <c r="C83" s="141">
        <f>IF($K83="","",IF($K83&lt;=1500,IF(N(INDEX(采购进货!$E$4:$E$1503,$K83))&lt;0,"退货","进货"),IF(INDEX(资金台帐!$S$7:$S$3006,$K83-1500)&lt;=0,"付款","退款")&amp;"（"&amp;INDEX(资金台帐!$C$7:$C$3006,$K83-1500)&amp;"）"))</f>
      </c>
      <c r="D83" s="141">
        <f>IF($K83="","",IF($K83&lt;=1500,INDEX(采购进货!$D$4:$D$1503,$K83)&amp;"",""))</f>
      </c>
      <c r="E83" s="148">
        <f>IF($K83="","",IF($K83&lt;=1500,N(INDEX(采购进货!$E$4:$E$1503,$K83))+N(INDEX(采购进货!$H$4:$H$1503,$K83)),""))</f>
      </c>
      <c r="F83" s="149">
        <f>IF($K83="","",IF($K83&lt;=1500,INDEX(采购进货!$F$4:$F$1503,$K83),""))</f>
      </c>
      <c r="G83" s="186">
        <f>IF($K83="","",IF($K83&lt;=1500,N(INDEX(采购进货!$G$4:$G$1503,$K83)),""))</f>
      </c>
      <c r="H83" s="186">
        <f>IF($K83="","",IF($K83&lt;=1500,"",-INDEX(资金台帐!$S$7:$S$3006,$K83-1500)))</f>
      </c>
      <c r="I83" s="187">
        <f>IF($K83="","",I82+N(G83)-N(H83))</f>
      </c>
      <c r="J83" s="213">
        <f>IF($K83="","",IF($K83&lt;=1500,IF(N(INDEX(采购进货!$H$4:$H$1503,$K83))&lt;&gt;0,"含赠品"&amp;INDEX(采购进货!$H$4:$H$1503,$K83)&amp;"件 ","")&amp;INDEX(采购进货!$I$4:$I$1503,$K83),INDEX(资金台帐!$E$7:$E$3006,$K83-1500)&amp;""))</f>
      </c>
      <c r="K83" s="78">
        <f>IFERROR(MATCH(SMALL(_辅助!$H$4:$H$4503,44),_辅助!$H$4:$H$4503,0),"")</f>
      </c>
      <c r="M83" s="78">
        <f>IF(基础资料!$E$73="","",IF(SUMIFS(采购进货!$E$4:$E$1503,采购进货!$C$4:$C$1503,$B$4,采购进货!$D$4:$D$1503,基础资料!$E$73,采购进货!$B$4:$B$1503,"&gt;="&amp;$G$4,采购进货!$B$4:$B$1503,"&lt;="&amp;$I$4)+SUMIFS(采购进货!$H$4:$H$1503,采购进货!$C$4:$C$1503,$B$4,采购进货!$D$4:$D$1503,基础资料!$E$73,采购进货!$B$4:$B$1503,"&gt;="&amp;$G$4,采购进货!$B$4:$B$1503,"&lt;="&amp;$I$4)&lt;&gt;0,69,""))</f>
      </c>
    </row>
    <row r="84">
      <c r="A84" s="141">
        <f>IF($K84="","",45)</f>
      </c>
      <c r="B84" s="140">
        <f>IF($K84="","",IF($K84&lt;=1500,INDEX(采购进货!$B$4:$B$1503,$K84),INDEX(资金台帐!$B$7:$B$3006,$K84-1500)))</f>
      </c>
      <c r="C84" s="141">
        <f>IF($K84="","",IF($K84&lt;=1500,IF(N(INDEX(采购进货!$E$4:$E$1503,$K84))&lt;0,"退货","进货"),IF(INDEX(资金台帐!$S$7:$S$3006,$K84-1500)&lt;=0,"付款","退款")&amp;"（"&amp;INDEX(资金台帐!$C$7:$C$3006,$K84-1500)&amp;"）"))</f>
      </c>
      <c r="D84" s="141">
        <f>IF($K84="","",IF($K84&lt;=1500,INDEX(采购进货!$D$4:$D$1503,$K84)&amp;"",""))</f>
      </c>
      <c r="E84" s="148">
        <f>IF($K84="","",IF($K84&lt;=1500,N(INDEX(采购进货!$E$4:$E$1503,$K84))+N(INDEX(采购进货!$H$4:$H$1503,$K84)),""))</f>
      </c>
      <c r="F84" s="149">
        <f>IF($K84="","",IF($K84&lt;=1500,INDEX(采购进货!$F$4:$F$1503,$K84),""))</f>
      </c>
      <c r="G84" s="186">
        <f>IF($K84="","",IF($K84&lt;=1500,N(INDEX(采购进货!$G$4:$G$1503,$K84)),""))</f>
      </c>
      <c r="H84" s="186">
        <f>IF($K84="","",IF($K84&lt;=1500,"",-INDEX(资金台帐!$S$7:$S$3006,$K84-1500)))</f>
      </c>
      <c r="I84" s="187">
        <f>IF($K84="","",I83+N(G84)-N(H84))</f>
      </c>
      <c r="J84" s="213">
        <f>IF($K84="","",IF($K84&lt;=1500,IF(N(INDEX(采购进货!$H$4:$H$1503,$K84))&lt;&gt;0,"含赠品"&amp;INDEX(采购进货!$H$4:$H$1503,$K84)&amp;"件 ","")&amp;INDEX(采购进货!$I$4:$I$1503,$K84),INDEX(资金台帐!$E$7:$E$3006,$K84-1500)&amp;""))</f>
      </c>
      <c r="K84" s="78">
        <f>IFERROR(MATCH(SMALL(_辅助!$H$4:$H$4503,45),_辅助!$H$4:$H$4503,0),"")</f>
      </c>
      <c r="M84" s="78">
        <f>IF(基础资料!$E$74="","",IF(SUMIFS(采购进货!$E$4:$E$1503,采购进货!$C$4:$C$1503,$B$4,采购进货!$D$4:$D$1503,基础资料!$E$74,采购进货!$B$4:$B$1503,"&gt;="&amp;$G$4,采购进货!$B$4:$B$1503,"&lt;="&amp;$I$4)+SUMIFS(采购进货!$H$4:$H$1503,采购进货!$C$4:$C$1503,$B$4,采购进货!$D$4:$D$1503,基础资料!$E$74,采购进货!$B$4:$B$1503,"&gt;="&amp;$G$4,采购进货!$B$4:$B$1503,"&lt;="&amp;$I$4)&lt;&gt;0,70,""))</f>
      </c>
    </row>
    <row r="85">
      <c r="A85" s="141">
        <f>IF($K85="","",46)</f>
      </c>
      <c r="B85" s="140">
        <f>IF($K85="","",IF($K85&lt;=1500,INDEX(采购进货!$B$4:$B$1503,$K85),INDEX(资金台帐!$B$7:$B$3006,$K85-1500)))</f>
      </c>
      <c r="C85" s="141">
        <f>IF($K85="","",IF($K85&lt;=1500,IF(N(INDEX(采购进货!$E$4:$E$1503,$K85))&lt;0,"退货","进货"),IF(INDEX(资金台帐!$S$7:$S$3006,$K85-1500)&lt;=0,"付款","退款")&amp;"（"&amp;INDEX(资金台帐!$C$7:$C$3006,$K85-1500)&amp;"）"))</f>
      </c>
      <c r="D85" s="141">
        <f>IF($K85="","",IF($K85&lt;=1500,INDEX(采购进货!$D$4:$D$1503,$K85)&amp;"",""))</f>
      </c>
      <c r="E85" s="148">
        <f>IF($K85="","",IF($K85&lt;=1500,N(INDEX(采购进货!$E$4:$E$1503,$K85))+N(INDEX(采购进货!$H$4:$H$1503,$K85)),""))</f>
      </c>
      <c r="F85" s="149">
        <f>IF($K85="","",IF($K85&lt;=1500,INDEX(采购进货!$F$4:$F$1503,$K85),""))</f>
      </c>
      <c r="G85" s="186">
        <f>IF($K85="","",IF($K85&lt;=1500,N(INDEX(采购进货!$G$4:$G$1503,$K85)),""))</f>
      </c>
      <c r="H85" s="186">
        <f>IF($K85="","",IF($K85&lt;=1500,"",-INDEX(资金台帐!$S$7:$S$3006,$K85-1500)))</f>
      </c>
      <c r="I85" s="187">
        <f>IF($K85="","",I84+N(G85)-N(H85))</f>
      </c>
      <c r="J85" s="213">
        <f>IF($K85="","",IF($K85&lt;=1500,IF(N(INDEX(采购进货!$H$4:$H$1503,$K85))&lt;&gt;0,"含赠品"&amp;INDEX(采购进货!$H$4:$H$1503,$K85)&amp;"件 ","")&amp;INDEX(采购进货!$I$4:$I$1503,$K85),INDEX(资金台帐!$E$7:$E$3006,$K85-1500)&amp;""))</f>
      </c>
      <c r="K85" s="78">
        <f>IFERROR(MATCH(SMALL(_辅助!$H$4:$H$4503,46),_辅助!$H$4:$H$4503,0),"")</f>
      </c>
      <c r="M85" s="78">
        <f>IF(基础资料!$E$75="","",IF(SUMIFS(采购进货!$E$4:$E$1503,采购进货!$C$4:$C$1503,$B$4,采购进货!$D$4:$D$1503,基础资料!$E$75,采购进货!$B$4:$B$1503,"&gt;="&amp;$G$4,采购进货!$B$4:$B$1503,"&lt;="&amp;$I$4)+SUMIFS(采购进货!$H$4:$H$1503,采购进货!$C$4:$C$1503,$B$4,采购进货!$D$4:$D$1503,基础资料!$E$75,采购进货!$B$4:$B$1503,"&gt;="&amp;$G$4,采购进货!$B$4:$B$1503,"&lt;="&amp;$I$4)&lt;&gt;0,71,""))</f>
      </c>
    </row>
    <row r="86">
      <c r="A86" s="141">
        <f>IF($K86="","",47)</f>
      </c>
      <c r="B86" s="140">
        <f>IF($K86="","",IF($K86&lt;=1500,INDEX(采购进货!$B$4:$B$1503,$K86),INDEX(资金台帐!$B$7:$B$3006,$K86-1500)))</f>
      </c>
      <c r="C86" s="141">
        <f>IF($K86="","",IF($K86&lt;=1500,IF(N(INDEX(采购进货!$E$4:$E$1503,$K86))&lt;0,"退货","进货"),IF(INDEX(资金台帐!$S$7:$S$3006,$K86-1500)&lt;=0,"付款","退款")&amp;"（"&amp;INDEX(资金台帐!$C$7:$C$3006,$K86-1500)&amp;"）"))</f>
      </c>
      <c r="D86" s="141">
        <f>IF($K86="","",IF($K86&lt;=1500,INDEX(采购进货!$D$4:$D$1503,$K86)&amp;"",""))</f>
      </c>
      <c r="E86" s="148">
        <f>IF($K86="","",IF($K86&lt;=1500,N(INDEX(采购进货!$E$4:$E$1503,$K86))+N(INDEX(采购进货!$H$4:$H$1503,$K86)),""))</f>
      </c>
      <c r="F86" s="149">
        <f>IF($K86="","",IF($K86&lt;=1500,INDEX(采购进货!$F$4:$F$1503,$K86),""))</f>
      </c>
      <c r="G86" s="186">
        <f>IF($K86="","",IF($K86&lt;=1500,N(INDEX(采购进货!$G$4:$G$1503,$K86)),""))</f>
      </c>
      <c r="H86" s="186">
        <f>IF($K86="","",IF($K86&lt;=1500,"",-INDEX(资金台帐!$S$7:$S$3006,$K86-1500)))</f>
      </c>
      <c r="I86" s="187">
        <f>IF($K86="","",I85+N(G86)-N(H86))</f>
      </c>
      <c r="J86" s="213">
        <f>IF($K86="","",IF($K86&lt;=1500,IF(N(INDEX(采购进货!$H$4:$H$1503,$K86))&lt;&gt;0,"含赠品"&amp;INDEX(采购进货!$H$4:$H$1503,$K86)&amp;"件 ","")&amp;INDEX(采购进货!$I$4:$I$1503,$K86),INDEX(资金台帐!$E$7:$E$3006,$K86-1500)&amp;""))</f>
      </c>
      <c r="K86" s="78">
        <f>IFERROR(MATCH(SMALL(_辅助!$H$4:$H$4503,47),_辅助!$H$4:$H$4503,0),"")</f>
      </c>
      <c r="M86" s="78">
        <f>IF(基础资料!$E$76="","",IF(SUMIFS(采购进货!$E$4:$E$1503,采购进货!$C$4:$C$1503,$B$4,采购进货!$D$4:$D$1503,基础资料!$E$76,采购进货!$B$4:$B$1503,"&gt;="&amp;$G$4,采购进货!$B$4:$B$1503,"&lt;="&amp;$I$4)+SUMIFS(采购进货!$H$4:$H$1503,采购进货!$C$4:$C$1503,$B$4,采购进货!$D$4:$D$1503,基础资料!$E$76,采购进货!$B$4:$B$1503,"&gt;="&amp;$G$4,采购进货!$B$4:$B$1503,"&lt;="&amp;$I$4)&lt;&gt;0,72,""))</f>
      </c>
    </row>
    <row r="87">
      <c r="A87" s="141">
        <f>IF($K87="","",48)</f>
      </c>
      <c r="B87" s="140">
        <f>IF($K87="","",IF($K87&lt;=1500,INDEX(采购进货!$B$4:$B$1503,$K87),INDEX(资金台帐!$B$7:$B$3006,$K87-1500)))</f>
      </c>
      <c r="C87" s="141">
        <f>IF($K87="","",IF($K87&lt;=1500,IF(N(INDEX(采购进货!$E$4:$E$1503,$K87))&lt;0,"退货","进货"),IF(INDEX(资金台帐!$S$7:$S$3006,$K87-1500)&lt;=0,"付款","退款")&amp;"（"&amp;INDEX(资金台帐!$C$7:$C$3006,$K87-1500)&amp;"）"))</f>
      </c>
      <c r="D87" s="141">
        <f>IF($K87="","",IF($K87&lt;=1500,INDEX(采购进货!$D$4:$D$1503,$K87)&amp;"",""))</f>
      </c>
      <c r="E87" s="148">
        <f>IF($K87="","",IF($K87&lt;=1500,N(INDEX(采购进货!$E$4:$E$1503,$K87))+N(INDEX(采购进货!$H$4:$H$1503,$K87)),""))</f>
      </c>
      <c r="F87" s="149">
        <f>IF($K87="","",IF($K87&lt;=1500,INDEX(采购进货!$F$4:$F$1503,$K87),""))</f>
      </c>
      <c r="G87" s="186">
        <f>IF($K87="","",IF($K87&lt;=1500,N(INDEX(采购进货!$G$4:$G$1503,$K87)),""))</f>
      </c>
      <c r="H87" s="186">
        <f>IF($K87="","",IF($K87&lt;=1500,"",-INDEX(资金台帐!$S$7:$S$3006,$K87-1500)))</f>
      </c>
      <c r="I87" s="187">
        <f>IF($K87="","",I86+N(G87)-N(H87))</f>
      </c>
      <c r="J87" s="213">
        <f>IF($K87="","",IF($K87&lt;=1500,IF(N(INDEX(采购进货!$H$4:$H$1503,$K87))&lt;&gt;0,"含赠品"&amp;INDEX(采购进货!$H$4:$H$1503,$K87)&amp;"件 ","")&amp;INDEX(采购进货!$I$4:$I$1503,$K87),INDEX(资金台帐!$E$7:$E$3006,$K87-1500)&amp;""))</f>
      </c>
      <c r="K87" s="78">
        <f>IFERROR(MATCH(SMALL(_辅助!$H$4:$H$4503,48),_辅助!$H$4:$H$4503,0),"")</f>
      </c>
      <c r="M87" s="78">
        <f>IF(基础资料!$E$77="","",IF(SUMIFS(采购进货!$E$4:$E$1503,采购进货!$C$4:$C$1503,$B$4,采购进货!$D$4:$D$1503,基础资料!$E$77,采购进货!$B$4:$B$1503,"&gt;="&amp;$G$4,采购进货!$B$4:$B$1503,"&lt;="&amp;$I$4)+SUMIFS(采购进货!$H$4:$H$1503,采购进货!$C$4:$C$1503,$B$4,采购进货!$D$4:$D$1503,基础资料!$E$77,采购进货!$B$4:$B$1503,"&gt;="&amp;$G$4,采购进货!$B$4:$B$1503,"&lt;="&amp;$I$4)&lt;&gt;0,73,""))</f>
      </c>
    </row>
    <row r="88">
      <c r="A88" s="141">
        <f>IF($K88="","",49)</f>
      </c>
      <c r="B88" s="140">
        <f>IF($K88="","",IF($K88&lt;=1500,INDEX(采购进货!$B$4:$B$1503,$K88),INDEX(资金台帐!$B$7:$B$3006,$K88-1500)))</f>
      </c>
      <c r="C88" s="141">
        <f>IF($K88="","",IF($K88&lt;=1500,IF(N(INDEX(采购进货!$E$4:$E$1503,$K88))&lt;0,"退货","进货"),IF(INDEX(资金台帐!$S$7:$S$3006,$K88-1500)&lt;=0,"付款","退款")&amp;"（"&amp;INDEX(资金台帐!$C$7:$C$3006,$K88-1500)&amp;"）"))</f>
      </c>
      <c r="D88" s="141">
        <f>IF($K88="","",IF($K88&lt;=1500,INDEX(采购进货!$D$4:$D$1503,$K88)&amp;"",""))</f>
      </c>
      <c r="E88" s="148">
        <f>IF($K88="","",IF($K88&lt;=1500,N(INDEX(采购进货!$E$4:$E$1503,$K88))+N(INDEX(采购进货!$H$4:$H$1503,$K88)),""))</f>
      </c>
      <c r="F88" s="149">
        <f>IF($K88="","",IF($K88&lt;=1500,INDEX(采购进货!$F$4:$F$1503,$K88),""))</f>
      </c>
      <c r="G88" s="186">
        <f>IF($K88="","",IF($K88&lt;=1500,N(INDEX(采购进货!$G$4:$G$1503,$K88)),""))</f>
      </c>
      <c r="H88" s="186">
        <f>IF($K88="","",IF($K88&lt;=1500,"",-INDEX(资金台帐!$S$7:$S$3006,$K88-1500)))</f>
      </c>
      <c r="I88" s="187">
        <f>IF($K88="","",I87+N(G88)-N(H88))</f>
      </c>
      <c r="J88" s="213">
        <f>IF($K88="","",IF($K88&lt;=1500,IF(N(INDEX(采购进货!$H$4:$H$1503,$K88))&lt;&gt;0,"含赠品"&amp;INDEX(采购进货!$H$4:$H$1503,$K88)&amp;"件 ","")&amp;INDEX(采购进货!$I$4:$I$1503,$K88),INDEX(资金台帐!$E$7:$E$3006,$K88-1500)&amp;""))</f>
      </c>
      <c r="K88" s="78">
        <f>IFERROR(MATCH(SMALL(_辅助!$H$4:$H$4503,49),_辅助!$H$4:$H$4503,0),"")</f>
      </c>
      <c r="M88" s="78">
        <f>IF(基础资料!$E$78="","",IF(SUMIFS(采购进货!$E$4:$E$1503,采购进货!$C$4:$C$1503,$B$4,采购进货!$D$4:$D$1503,基础资料!$E$78,采购进货!$B$4:$B$1503,"&gt;="&amp;$G$4,采购进货!$B$4:$B$1503,"&lt;="&amp;$I$4)+SUMIFS(采购进货!$H$4:$H$1503,采购进货!$C$4:$C$1503,$B$4,采购进货!$D$4:$D$1503,基础资料!$E$78,采购进货!$B$4:$B$1503,"&gt;="&amp;$G$4,采购进货!$B$4:$B$1503,"&lt;="&amp;$I$4)&lt;&gt;0,74,""))</f>
      </c>
    </row>
    <row r="89">
      <c r="A89" s="141">
        <f>IF($K89="","",50)</f>
      </c>
      <c r="B89" s="140">
        <f>IF($K89="","",IF($K89&lt;=1500,INDEX(采购进货!$B$4:$B$1503,$K89),INDEX(资金台帐!$B$7:$B$3006,$K89-1500)))</f>
      </c>
      <c r="C89" s="141">
        <f>IF($K89="","",IF($K89&lt;=1500,IF(N(INDEX(采购进货!$E$4:$E$1503,$K89))&lt;0,"退货","进货"),IF(INDEX(资金台帐!$S$7:$S$3006,$K89-1500)&lt;=0,"付款","退款")&amp;"（"&amp;INDEX(资金台帐!$C$7:$C$3006,$K89-1500)&amp;"）"))</f>
      </c>
      <c r="D89" s="141">
        <f>IF($K89="","",IF($K89&lt;=1500,INDEX(采购进货!$D$4:$D$1503,$K89)&amp;"",""))</f>
      </c>
      <c r="E89" s="148">
        <f>IF($K89="","",IF($K89&lt;=1500,N(INDEX(采购进货!$E$4:$E$1503,$K89))+N(INDEX(采购进货!$H$4:$H$1503,$K89)),""))</f>
      </c>
      <c r="F89" s="149">
        <f>IF($K89="","",IF($K89&lt;=1500,INDEX(采购进货!$F$4:$F$1503,$K89),""))</f>
      </c>
      <c r="G89" s="186">
        <f>IF($K89="","",IF($K89&lt;=1500,N(INDEX(采购进货!$G$4:$G$1503,$K89)),""))</f>
      </c>
      <c r="H89" s="186">
        <f>IF($K89="","",IF($K89&lt;=1500,"",-INDEX(资金台帐!$S$7:$S$3006,$K89-1500)))</f>
      </c>
      <c r="I89" s="187">
        <f>IF($K89="","",I88+N(G89)-N(H89))</f>
      </c>
      <c r="J89" s="213">
        <f>IF($K89="","",IF($K89&lt;=1500,IF(N(INDEX(采购进货!$H$4:$H$1503,$K89))&lt;&gt;0,"含赠品"&amp;INDEX(采购进货!$H$4:$H$1503,$K89)&amp;"件 ","")&amp;INDEX(采购进货!$I$4:$I$1503,$K89),INDEX(资金台帐!$E$7:$E$3006,$K89-1500)&amp;""))</f>
      </c>
      <c r="K89" s="78">
        <f>IFERROR(MATCH(SMALL(_辅助!$H$4:$H$4503,50),_辅助!$H$4:$H$4503,0),"")</f>
      </c>
      <c r="M89" s="78">
        <f>IF(基础资料!$E$79="","",IF(SUMIFS(采购进货!$E$4:$E$1503,采购进货!$C$4:$C$1503,$B$4,采购进货!$D$4:$D$1503,基础资料!$E$79,采购进货!$B$4:$B$1503,"&gt;="&amp;$G$4,采购进货!$B$4:$B$1503,"&lt;="&amp;$I$4)+SUMIFS(采购进货!$H$4:$H$1503,采购进货!$C$4:$C$1503,$B$4,采购进货!$D$4:$D$1503,基础资料!$E$79,采购进货!$B$4:$B$1503,"&gt;="&amp;$G$4,采购进货!$B$4:$B$1503,"&lt;="&amp;$I$4)&lt;&gt;0,75,""))</f>
      </c>
    </row>
    <row r="90">
      <c r="A90" s="141">
        <f>IF($K90="","",51)</f>
      </c>
      <c r="B90" s="140">
        <f>IF($K90="","",IF($K90&lt;=1500,INDEX(采购进货!$B$4:$B$1503,$K90),INDEX(资金台帐!$B$7:$B$3006,$K90-1500)))</f>
      </c>
      <c r="C90" s="141">
        <f>IF($K90="","",IF($K90&lt;=1500,IF(N(INDEX(采购进货!$E$4:$E$1503,$K90))&lt;0,"退货","进货"),IF(INDEX(资金台帐!$S$7:$S$3006,$K90-1500)&lt;=0,"付款","退款")&amp;"（"&amp;INDEX(资金台帐!$C$7:$C$3006,$K90-1500)&amp;"）"))</f>
      </c>
      <c r="D90" s="141">
        <f>IF($K90="","",IF($K90&lt;=1500,INDEX(采购进货!$D$4:$D$1503,$K90)&amp;"",""))</f>
      </c>
      <c r="E90" s="148">
        <f>IF($K90="","",IF($K90&lt;=1500,N(INDEX(采购进货!$E$4:$E$1503,$K90))+N(INDEX(采购进货!$H$4:$H$1503,$K90)),""))</f>
      </c>
      <c r="F90" s="149">
        <f>IF($K90="","",IF($K90&lt;=1500,INDEX(采购进货!$F$4:$F$1503,$K90),""))</f>
      </c>
      <c r="G90" s="186">
        <f>IF($K90="","",IF($K90&lt;=1500,N(INDEX(采购进货!$G$4:$G$1503,$K90)),""))</f>
      </c>
      <c r="H90" s="186">
        <f>IF($K90="","",IF($K90&lt;=1500,"",-INDEX(资金台帐!$S$7:$S$3006,$K90-1500)))</f>
      </c>
      <c r="I90" s="187">
        <f>IF($K90="","",I89+N(G90)-N(H90))</f>
      </c>
      <c r="J90" s="213">
        <f>IF($K90="","",IF($K90&lt;=1500,IF(N(INDEX(采购进货!$H$4:$H$1503,$K90))&lt;&gt;0,"含赠品"&amp;INDEX(采购进货!$H$4:$H$1503,$K90)&amp;"件 ","")&amp;INDEX(采购进货!$I$4:$I$1503,$K90),INDEX(资金台帐!$E$7:$E$3006,$K90-1500)&amp;""))</f>
      </c>
      <c r="K90" s="78">
        <f>IFERROR(MATCH(SMALL(_辅助!$H$4:$H$4503,51),_辅助!$H$4:$H$4503,0),"")</f>
      </c>
      <c r="M90" s="78">
        <f>IF(基础资料!$E$80="","",IF(SUMIFS(采购进货!$E$4:$E$1503,采购进货!$C$4:$C$1503,$B$4,采购进货!$D$4:$D$1503,基础资料!$E$80,采购进货!$B$4:$B$1503,"&gt;="&amp;$G$4,采购进货!$B$4:$B$1503,"&lt;="&amp;$I$4)+SUMIFS(采购进货!$H$4:$H$1503,采购进货!$C$4:$C$1503,$B$4,采购进货!$D$4:$D$1503,基础资料!$E$80,采购进货!$B$4:$B$1503,"&gt;="&amp;$G$4,采购进货!$B$4:$B$1503,"&lt;="&amp;$I$4)&lt;&gt;0,76,""))</f>
      </c>
    </row>
    <row r="91">
      <c r="A91" s="141">
        <f>IF($K91="","",52)</f>
      </c>
      <c r="B91" s="140">
        <f>IF($K91="","",IF($K91&lt;=1500,INDEX(采购进货!$B$4:$B$1503,$K91),INDEX(资金台帐!$B$7:$B$3006,$K91-1500)))</f>
      </c>
      <c r="C91" s="141">
        <f>IF($K91="","",IF($K91&lt;=1500,IF(N(INDEX(采购进货!$E$4:$E$1503,$K91))&lt;0,"退货","进货"),IF(INDEX(资金台帐!$S$7:$S$3006,$K91-1500)&lt;=0,"付款","退款")&amp;"（"&amp;INDEX(资金台帐!$C$7:$C$3006,$K91-1500)&amp;"）"))</f>
      </c>
      <c r="D91" s="141">
        <f>IF($K91="","",IF($K91&lt;=1500,INDEX(采购进货!$D$4:$D$1503,$K91)&amp;"",""))</f>
      </c>
      <c r="E91" s="148">
        <f>IF($K91="","",IF($K91&lt;=1500,N(INDEX(采购进货!$E$4:$E$1503,$K91))+N(INDEX(采购进货!$H$4:$H$1503,$K91)),""))</f>
      </c>
      <c r="F91" s="149">
        <f>IF($K91="","",IF($K91&lt;=1500,INDEX(采购进货!$F$4:$F$1503,$K91),""))</f>
      </c>
      <c r="G91" s="186">
        <f>IF($K91="","",IF($K91&lt;=1500,N(INDEX(采购进货!$G$4:$G$1503,$K91)),""))</f>
      </c>
      <c r="H91" s="186">
        <f>IF($K91="","",IF($K91&lt;=1500,"",-INDEX(资金台帐!$S$7:$S$3006,$K91-1500)))</f>
      </c>
      <c r="I91" s="187">
        <f>IF($K91="","",I90+N(G91)-N(H91))</f>
      </c>
      <c r="J91" s="213">
        <f>IF($K91="","",IF($K91&lt;=1500,IF(N(INDEX(采购进货!$H$4:$H$1503,$K91))&lt;&gt;0,"含赠品"&amp;INDEX(采购进货!$H$4:$H$1503,$K91)&amp;"件 ","")&amp;INDEX(采购进货!$I$4:$I$1503,$K91),INDEX(资金台帐!$E$7:$E$3006,$K91-1500)&amp;""))</f>
      </c>
      <c r="K91" s="78">
        <f>IFERROR(MATCH(SMALL(_辅助!$H$4:$H$4503,52),_辅助!$H$4:$H$4503,0),"")</f>
      </c>
      <c r="M91" s="78">
        <f>IF(基础资料!$E$81="","",IF(SUMIFS(采购进货!$E$4:$E$1503,采购进货!$C$4:$C$1503,$B$4,采购进货!$D$4:$D$1503,基础资料!$E$81,采购进货!$B$4:$B$1503,"&gt;="&amp;$G$4,采购进货!$B$4:$B$1503,"&lt;="&amp;$I$4)+SUMIFS(采购进货!$H$4:$H$1503,采购进货!$C$4:$C$1503,$B$4,采购进货!$D$4:$D$1503,基础资料!$E$81,采购进货!$B$4:$B$1503,"&gt;="&amp;$G$4,采购进货!$B$4:$B$1503,"&lt;="&amp;$I$4)&lt;&gt;0,77,""))</f>
      </c>
    </row>
    <row r="92">
      <c r="A92" s="141">
        <f>IF($K92="","",53)</f>
      </c>
      <c r="B92" s="140">
        <f>IF($K92="","",IF($K92&lt;=1500,INDEX(采购进货!$B$4:$B$1503,$K92),INDEX(资金台帐!$B$7:$B$3006,$K92-1500)))</f>
      </c>
      <c r="C92" s="141">
        <f>IF($K92="","",IF($K92&lt;=1500,IF(N(INDEX(采购进货!$E$4:$E$1503,$K92))&lt;0,"退货","进货"),IF(INDEX(资金台帐!$S$7:$S$3006,$K92-1500)&lt;=0,"付款","退款")&amp;"（"&amp;INDEX(资金台帐!$C$7:$C$3006,$K92-1500)&amp;"）"))</f>
      </c>
      <c r="D92" s="141">
        <f>IF($K92="","",IF($K92&lt;=1500,INDEX(采购进货!$D$4:$D$1503,$K92)&amp;"",""))</f>
      </c>
      <c r="E92" s="148">
        <f>IF($K92="","",IF($K92&lt;=1500,N(INDEX(采购进货!$E$4:$E$1503,$K92))+N(INDEX(采购进货!$H$4:$H$1503,$K92)),""))</f>
      </c>
      <c r="F92" s="149">
        <f>IF($K92="","",IF($K92&lt;=1500,INDEX(采购进货!$F$4:$F$1503,$K92),""))</f>
      </c>
      <c r="G92" s="186">
        <f>IF($K92="","",IF($K92&lt;=1500,N(INDEX(采购进货!$G$4:$G$1503,$K92)),""))</f>
      </c>
      <c r="H92" s="186">
        <f>IF($K92="","",IF($K92&lt;=1500,"",-INDEX(资金台帐!$S$7:$S$3006,$K92-1500)))</f>
      </c>
      <c r="I92" s="187">
        <f>IF($K92="","",I91+N(G92)-N(H92))</f>
      </c>
      <c r="J92" s="213">
        <f>IF($K92="","",IF($K92&lt;=1500,IF(N(INDEX(采购进货!$H$4:$H$1503,$K92))&lt;&gt;0,"含赠品"&amp;INDEX(采购进货!$H$4:$H$1503,$K92)&amp;"件 ","")&amp;INDEX(采购进货!$I$4:$I$1503,$K92),INDEX(资金台帐!$E$7:$E$3006,$K92-1500)&amp;""))</f>
      </c>
      <c r="K92" s="78">
        <f>IFERROR(MATCH(SMALL(_辅助!$H$4:$H$4503,53),_辅助!$H$4:$H$4503,0),"")</f>
      </c>
      <c r="M92" s="78">
        <f>IF(基础资料!$E$82="","",IF(SUMIFS(采购进货!$E$4:$E$1503,采购进货!$C$4:$C$1503,$B$4,采购进货!$D$4:$D$1503,基础资料!$E$82,采购进货!$B$4:$B$1503,"&gt;="&amp;$G$4,采购进货!$B$4:$B$1503,"&lt;="&amp;$I$4)+SUMIFS(采购进货!$H$4:$H$1503,采购进货!$C$4:$C$1503,$B$4,采购进货!$D$4:$D$1503,基础资料!$E$82,采购进货!$B$4:$B$1503,"&gt;="&amp;$G$4,采购进货!$B$4:$B$1503,"&lt;="&amp;$I$4)&lt;&gt;0,78,""))</f>
      </c>
    </row>
    <row r="93">
      <c r="A93" s="141">
        <f>IF($K93="","",54)</f>
      </c>
      <c r="B93" s="140">
        <f>IF($K93="","",IF($K93&lt;=1500,INDEX(采购进货!$B$4:$B$1503,$K93),INDEX(资金台帐!$B$7:$B$3006,$K93-1500)))</f>
      </c>
      <c r="C93" s="141">
        <f>IF($K93="","",IF($K93&lt;=1500,IF(N(INDEX(采购进货!$E$4:$E$1503,$K93))&lt;0,"退货","进货"),IF(INDEX(资金台帐!$S$7:$S$3006,$K93-1500)&lt;=0,"付款","退款")&amp;"（"&amp;INDEX(资金台帐!$C$7:$C$3006,$K93-1500)&amp;"）"))</f>
      </c>
      <c r="D93" s="141">
        <f>IF($K93="","",IF($K93&lt;=1500,INDEX(采购进货!$D$4:$D$1503,$K93)&amp;"",""))</f>
      </c>
      <c r="E93" s="148">
        <f>IF($K93="","",IF($K93&lt;=1500,N(INDEX(采购进货!$E$4:$E$1503,$K93))+N(INDEX(采购进货!$H$4:$H$1503,$K93)),""))</f>
      </c>
      <c r="F93" s="149">
        <f>IF($K93="","",IF($K93&lt;=1500,INDEX(采购进货!$F$4:$F$1503,$K93),""))</f>
      </c>
      <c r="G93" s="186">
        <f>IF($K93="","",IF($K93&lt;=1500,N(INDEX(采购进货!$G$4:$G$1503,$K93)),""))</f>
      </c>
      <c r="H93" s="186">
        <f>IF($K93="","",IF($K93&lt;=1500,"",-INDEX(资金台帐!$S$7:$S$3006,$K93-1500)))</f>
      </c>
      <c r="I93" s="187">
        <f>IF($K93="","",I92+N(G93)-N(H93))</f>
      </c>
      <c r="J93" s="213">
        <f>IF($K93="","",IF($K93&lt;=1500,IF(N(INDEX(采购进货!$H$4:$H$1503,$K93))&lt;&gt;0,"含赠品"&amp;INDEX(采购进货!$H$4:$H$1503,$K93)&amp;"件 ","")&amp;INDEX(采购进货!$I$4:$I$1503,$K93),INDEX(资金台帐!$E$7:$E$3006,$K93-1500)&amp;""))</f>
      </c>
      <c r="K93" s="78">
        <f>IFERROR(MATCH(SMALL(_辅助!$H$4:$H$4503,54),_辅助!$H$4:$H$4503,0),"")</f>
      </c>
      <c r="M93" s="78">
        <f>IF(基础资料!$E$83="","",IF(SUMIFS(采购进货!$E$4:$E$1503,采购进货!$C$4:$C$1503,$B$4,采购进货!$D$4:$D$1503,基础资料!$E$83,采购进货!$B$4:$B$1503,"&gt;="&amp;$G$4,采购进货!$B$4:$B$1503,"&lt;="&amp;$I$4)+SUMIFS(采购进货!$H$4:$H$1503,采购进货!$C$4:$C$1503,$B$4,采购进货!$D$4:$D$1503,基础资料!$E$83,采购进货!$B$4:$B$1503,"&gt;="&amp;$G$4,采购进货!$B$4:$B$1503,"&lt;="&amp;$I$4)&lt;&gt;0,79,""))</f>
      </c>
    </row>
    <row r="94">
      <c r="A94" s="141">
        <f>IF($K94="","",55)</f>
      </c>
      <c r="B94" s="140">
        <f>IF($K94="","",IF($K94&lt;=1500,INDEX(采购进货!$B$4:$B$1503,$K94),INDEX(资金台帐!$B$7:$B$3006,$K94-1500)))</f>
      </c>
      <c r="C94" s="141">
        <f>IF($K94="","",IF($K94&lt;=1500,IF(N(INDEX(采购进货!$E$4:$E$1503,$K94))&lt;0,"退货","进货"),IF(INDEX(资金台帐!$S$7:$S$3006,$K94-1500)&lt;=0,"付款","退款")&amp;"（"&amp;INDEX(资金台帐!$C$7:$C$3006,$K94-1500)&amp;"）"))</f>
      </c>
      <c r="D94" s="141">
        <f>IF($K94="","",IF($K94&lt;=1500,INDEX(采购进货!$D$4:$D$1503,$K94)&amp;"",""))</f>
      </c>
      <c r="E94" s="148">
        <f>IF($K94="","",IF($K94&lt;=1500,N(INDEX(采购进货!$E$4:$E$1503,$K94))+N(INDEX(采购进货!$H$4:$H$1503,$K94)),""))</f>
      </c>
      <c r="F94" s="149">
        <f>IF($K94="","",IF($K94&lt;=1500,INDEX(采购进货!$F$4:$F$1503,$K94),""))</f>
      </c>
      <c r="G94" s="186">
        <f>IF($K94="","",IF($K94&lt;=1500,N(INDEX(采购进货!$G$4:$G$1503,$K94)),""))</f>
      </c>
      <c r="H94" s="186">
        <f>IF($K94="","",IF($K94&lt;=1500,"",-INDEX(资金台帐!$S$7:$S$3006,$K94-1500)))</f>
      </c>
      <c r="I94" s="187">
        <f>IF($K94="","",I93+N(G94)-N(H94))</f>
      </c>
      <c r="J94" s="213">
        <f>IF($K94="","",IF($K94&lt;=1500,IF(N(INDEX(采购进货!$H$4:$H$1503,$K94))&lt;&gt;0,"含赠品"&amp;INDEX(采购进货!$H$4:$H$1503,$K94)&amp;"件 ","")&amp;INDEX(采购进货!$I$4:$I$1503,$K94),INDEX(资金台帐!$E$7:$E$3006,$K94-1500)&amp;""))</f>
      </c>
      <c r="K94" s="78">
        <f>IFERROR(MATCH(SMALL(_辅助!$H$4:$H$4503,55),_辅助!$H$4:$H$4503,0),"")</f>
      </c>
      <c r="M94" s="78">
        <f>IF(基础资料!$E$84="","",IF(SUMIFS(采购进货!$E$4:$E$1503,采购进货!$C$4:$C$1503,$B$4,采购进货!$D$4:$D$1503,基础资料!$E$84,采购进货!$B$4:$B$1503,"&gt;="&amp;$G$4,采购进货!$B$4:$B$1503,"&lt;="&amp;$I$4)+SUMIFS(采购进货!$H$4:$H$1503,采购进货!$C$4:$C$1503,$B$4,采购进货!$D$4:$D$1503,基础资料!$E$84,采购进货!$B$4:$B$1503,"&gt;="&amp;$G$4,采购进货!$B$4:$B$1503,"&lt;="&amp;$I$4)&lt;&gt;0,80,""))</f>
      </c>
    </row>
    <row r="95">
      <c r="A95" s="141">
        <f>IF($K95="","",56)</f>
      </c>
      <c r="B95" s="140">
        <f>IF($K95="","",IF($K95&lt;=1500,INDEX(采购进货!$B$4:$B$1503,$K95),INDEX(资金台帐!$B$7:$B$3006,$K95-1500)))</f>
      </c>
      <c r="C95" s="141">
        <f>IF($K95="","",IF($K95&lt;=1500,IF(N(INDEX(采购进货!$E$4:$E$1503,$K95))&lt;0,"退货","进货"),IF(INDEX(资金台帐!$S$7:$S$3006,$K95-1500)&lt;=0,"付款","退款")&amp;"（"&amp;INDEX(资金台帐!$C$7:$C$3006,$K95-1500)&amp;"）"))</f>
      </c>
      <c r="D95" s="141">
        <f>IF($K95="","",IF($K95&lt;=1500,INDEX(采购进货!$D$4:$D$1503,$K95)&amp;"",""))</f>
      </c>
      <c r="E95" s="148">
        <f>IF($K95="","",IF($K95&lt;=1500,N(INDEX(采购进货!$E$4:$E$1503,$K95))+N(INDEX(采购进货!$H$4:$H$1503,$K95)),""))</f>
      </c>
      <c r="F95" s="149">
        <f>IF($K95="","",IF($K95&lt;=1500,INDEX(采购进货!$F$4:$F$1503,$K95),""))</f>
      </c>
      <c r="G95" s="186">
        <f>IF($K95="","",IF($K95&lt;=1500,N(INDEX(采购进货!$G$4:$G$1503,$K95)),""))</f>
      </c>
      <c r="H95" s="186">
        <f>IF($K95="","",IF($K95&lt;=1500,"",-INDEX(资金台帐!$S$7:$S$3006,$K95-1500)))</f>
      </c>
      <c r="I95" s="187">
        <f>IF($K95="","",I94+N(G95)-N(H95))</f>
      </c>
      <c r="J95" s="213">
        <f>IF($K95="","",IF($K95&lt;=1500,IF(N(INDEX(采购进货!$H$4:$H$1503,$K95))&lt;&gt;0,"含赠品"&amp;INDEX(采购进货!$H$4:$H$1503,$K95)&amp;"件 ","")&amp;INDEX(采购进货!$I$4:$I$1503,$K95),INDEX(资金台帐!$E$7:$E$3006,$K95-1500)&amp;""))</f>
      </c>
      <c r="K95" s="78">
        <f>IFERROR(MATCH(SMALL(_辅助!$H$4:$H$4503,56),_辅助!$H$4:$H$4503,0),"")</f>
      </c>
      <c r="M95" s="78">
        <f>IF(基础资料!$E$85="","",IF(SUMIFS(采购进货!$E$4:$E$1503,采购进货!$C$4:$C$1503,$B$4,采购进货!$D$4:$D$1503,基础资料!$E$85,采购进货!$B$4:$B$1503,"&gt;="&amp;$G$4,采购进货!$B$4:$B$1503,"&lt;="&amp;$I$4)+SUMIFS(采购进货!$H$4:$H$1503,采购进货!$C$4:$C$1503,$B$4,采购进货!$D$4:$D$1503,基础资料!$E$85,采购进货!$B$4:$B$1503,"&gt;="&amp;$G$4,采购进货!$B$4:$B$1503,"&lt;="&amp;$I$4)&lt;&gt;0,81,""))</f>
      </c>
    </row>
    <row r="96">
      <c r="A96" s="141">
        <f>IF($K96="","",57)</f>
      </c>
      <c r="B96" s="140">
        <f>IF($K96="","",IF($K96&lt;=1500,INDEX(采购进货!$B$4:$B$1503,$K96),INDEX(资金台帐!$B$7:$B$3006,$K96-1500)))</f>
      </c>
      <c r="C96" s="141">
        <f>IF($K96="","",IF($K96&lt;=1500,IF(N(INDEX(采购进货!$E$4:$E$1503,$K96))&lt;0,"退货","进货"),IF(INDEX(资金台帐!$S$7:$S$3006,$K96-1500)&lt;=0,"付款","退款")&amp;"（"&amp;INDEX(资金台帐!$C$7:$C$3006,$K96-1500)&amp;"）"))</f>
      </c>
      <c r="D96" s="141">
        <f>IF($K96="","",IF($K96&lt;=1500,INDEX(采购进货!$D$4:$D$1503,$K96)&amp;"",""))</f>
      </c>
      <c r="E96" s="148">
        <f>IF($K96="","",IF($K96&lt;=1500,N(INDEX(采购进货!$E$4:$E$1503,$K96))+N(INDEX(采购进货!$H$4:$H$1503,$K96)),""))</f>
      </c>
      <c r="F96" s="149">
        <f>IF($K96="","",IF($K96&lt;=1500,INDEX(采购进货!$F$4:$F$1503,$K96),""))</f>
      </c>
      <c r="G96" s="186">
        <f>IF($K96="","",IF($K96&lt;=1500,N(INDEX(采购进货!$G$4:$G$1503,$K96)),""))</f>
      </c>
      <c r="H96" s="186">
        <f>IF($K96="","",IF($K96&lt;=1500,"",-INDEX(资金台帐!$S$7:$S$3006,$K96-1500)))</f>
      </c>
      <c r="I96" s="187">
        <f>IF($K96="","",I95+N(G96)-N(H96))</f>
      </c>
      <c r="J96" s="213">
        <f>IF($K96="","",IF($K96&lt;=1500,IF(N(INDEX(采购进货!$H$4:$H$1503,$K96))&lt;&gt;0,"含赠品"&amp;INDEX(采购进货!$H$4:$H$1503,$K96)&amp;"件 ","")&amp;INDEX(采购进货!$I$4:$I$1503,$K96),INDEX(资金台帐!$E$7:$E$3006,$K96-1500)&amp;""))</f>
      </c>
      <c r="K96" s="78">
        <f>IFERROR(MATCH(SMALL(_辅助!$H$4:$H$4503,57),_辅助!$H$4:$H$4503,0),"")</f>
      </c>
      <c r="M96" s="78">
        <f>IF(基础资料!$E$86="","",IF(SUMIFS(采购进货!$E$4:$E$1503,采购进货!$C$4:$C$1503,$B$4,采购进货!$D$4:$D$1503,基础资料!$E$86,采购进货!$B$4:$B$1503,"&gt;="&amp;$G$4,采购进货!$B$4:$B$1503,"&lt;="&amp;$I$4)+SUMIFS(采购进货!$H$4:$H$1503,采购进货!$C$4:$C$1503,$B$4,采购进货!$D$4:$D$1503,基础资料!$E$86,采购进货!$B$4:$B$1503,"&gt;="&amp;$G$4,采购进货!$B$4:$B$1503,"&lt;="&amp;$I$4)&lt;&gt;0,82,""))</f>
      </c>
    </row>
    <row r="97">
      <c r="A97" s="141">
        <f>IF($K97="","",58)</f>
      </c>
      <c r="B97" s="140">
        <f>IF($K97="","",IF($K97&lt;=1500,INDEX(采购进货!$B$4:$B$1503,$K97),INDEX(资金台帐!$B$7:$B$3006,$K97-1500)))</f>
      </c>
      <c r="C97" s="141">
        <f>IF($K97="","",IF($K97&lt;=1500,IF(N(INDEX(采购进货!$E$4:$E$1503,$K97))&lt;0,"退货","进货"),IF(INDEX(资金台帐!$S$7:$S$3006,$K97-1500)&lt;=0,"付款","退款")&amp;"（"&amp;INDEX(资金台帐!$C$7:$C$3006,$K97-1500)&amp;"）"))</f>
      </c>
      <c r="D97" s="141">
        <f>IF($K97="","",IF($K97&lt;=1500,INDEX(采购进货!$D$4:$D$1503,$K97)&amp;"",""))</f>
      </c>
      <c r="E97" s="148">
        <f>IF($K97="","",IF($K97&lt;=1500,N(INDEX(采购进货!$E$4:$E$1503,$K97))+N(INDEX(采购进货!$H$4:$H$1503,$K97)),""))</f>
      </c>
      <c r="F97" s="149">
        <f>IF($K97="","",IF($K97&lt;=1500,INDEX(采购进货!$F$4:$F$1503,$K97),""))</f>
      </c>
      <c r="G97" s="186">
        <f>IF($K97="","",IF($K97&lt;=1500,N(INDEX(采购进货!$G$4:$G$1503,$K97)),""))</f>
      </c>
      <c r="H97" s="186">
        <f>IF($K97="","",IF($K97&lt;=1500,"",-INDEX(资金台帐!$S$7:$S$3006,$K97-1500)))</f>
      </c>
      <c r="I97" s="187">
        <f>IF($K97="","",I96+N(G97)-N(H97))</f>
      </c>
      <c r="J97" s="213">
        <f>IF($K97="","",IF($K97&lt;=1500,IF(N(INDEX(采购进货!$H$4:$H$1503,$K97))&lt;&gt;0,"含赠品"&amp;INDEX(采购进货!$H$4:$H$1503,$K97)&amp;"件 ","")&amp;INDEX(采购进货!$I$4:$I$1503,$K97),INDEX(资金台帐!$E$7:$E$3006,$K97-1500)&amp;""))</f>
      </c>
      <c r="K97" s="78">
        <f>IFERROR(MATCH(SMALL(_辅助!$H$4:$H$4503,58),_辅助!$H$4:$H$4503,0),"")</f>
      </c>
      <c r="M97" s="78">
        <f>IF(基础资料!$E$87="","",IF(SUMIFS(采购进货!$E$4:$E$1503,采购进货!$C$4:$C$1503,$B$4,采购进货!$D$4:$D$1503,基础资料!$E$87,采购进货!$B$4:$B$1503,"&gt;="&amp;$G$4,采购进货!$B$4:$B$1503,"&lt;="&amp;$I$4)+SUMIFS(采购进货!$H$4:$H$1503,采购进货!$C$4:$C$1503,$B$4,采购进货!$D$4:$D$1503,基础资料!$E$87,采购进货!$B$4:$B$1503,"&gt;="&amp;$G$4,采购进货!$B$4:$B$1503,"&lt;="&amp;$I$4)&lt;&gt;0,83,""))</f>
      </c>
    </row>
    <row r="98">
      <c r="A98" s="141">
        <f>IF($K98="","",59)</f>
      </c>
      <c r="B98" s="140">
        <f>IF($K98="","",IF($K98&lt;=1500,INDEX(采购进货!$B$4:$B$1503,$K98),INDEX(资金台帐!$B$7:$B$3006,$K98-1500)))</f>
      </c>
      <c r="C98" s="141">
        <f>IF($K98="","",IF($K98&lt;=1500,IF(N(INDEX(采购进货!$E$4:$E$1503,$K98))&lt;0,"退货","进货"),IF(INDEX(资金台帐!$S$7:$S$3006,$K98-1500)&lt;=0,"付款","退款")&amp;"（"&amp;INDEX(资金台帐!$C$7:$C$3006,$K98-1500)&amp;"）"))</f>
      </c>
      <c r="D98" s="141">
        <f>IF($K98="","",IF($K98&lt;=1500,INDEX(采购进货!$D$4:$D$1503,$K98)&amp;"",""))</f>
      </c>
      <c r="E98" s="148">
        <f>IF($K98="","",IF($K98&lt;=1500,N(INDEX(采购进货!$E$4:$E$1503,$K98))+N(INDEX(采购进货!$H$4:$H$1503,$K98)),""))</f>
      </c>
      <c r="F98" s="149">
        <f>IF($K98="","",IF($K98&lt;=1500,INDEX(采购进货!$F$4:$F$1503,$K98),""))</f>
      </c>
      <c r="G98" s="186">
        <f>IF($K98="","",IF($K98&lt;=1500,N(INDEX(采购进货!$G$4:$G$1503,$K98)),""))</f>
      </c>
      <c r="H98" s="186">
        <f>IF($K98="","",IF($K98&lt;=1500,"",-INDEX(资金台帐!$S$7:$S$3006,$K98-1500)))</f>
      </c>
      <c r="I98" s="187">
        <f>IF($K98="","",I97+N(G98)-N(H98))</f>
      </c>
      <c r="J98" s="213">
        <f>IF($K98="","",IF($K98&lt;=1500,IF(N(INDEX(采购进货!$H$4:$H$1503,$K98))&lt;&gt;0,"含赠品"&amp;INDEX(采购进货!$H$4:$H$1503,$K98)&amp;"件 ","")&amp;INDEX(采购进货!$I$4:$I$1503,$K98),INDEX(资金台帐!$E$7:$E$3006,$K98-1500)&amp;""))</f>
      </c>
      <c r="K98" s="78">
        <f>IFERROR(MATCH(SMALL(_辅助!$H$4:$H$4503,59),_辅助!$H$4:$H$4503,0),"")</f>
      </c>
      <c r="M98" s="78">
        <f>IF(基础资料!$E$88="","",IF(SUMIFS(采购进货!$E$4:$E$1503,采购进货!$C$4:$C$1503,$B$4,采购进货!$D$4:$D$1503,基础资料!$E$88,采购进货!$B$4:$B$1503,"&gt;="&amp;$G$4,采购进货!$B$4:$B$1503,"&lt;="&amp;$I$4)+SUMIFS(采购进货!$H$4:$H$1503,采购进货!$C$4:$C$1503,$B$4,采购进货!$D$4:$D$1503,基础资料!$E$88,采购进货!$B$4:$B$1503,"&gt;="&amp;$G$4,采购进货!$B$4:$B$1503,"&lt;="&amp;$I$4)&lt;&gt;0,84,""))</f>
      </c>
    </row>
    <row r="99">
      <c r="A99" s="141">
        <f>IF($K99="","",60)</f>
      </c>
      <c r="B99" s="140">
        <f>IF($K99="","",IF($K99&lt;=1500,INDEX(采购进货!$B$4:$B$1503,$K99),INDEX(资金台帐!$B$7:$B$3006,$K99-1500)))</f>
      </c>
      <c r="C99" s="141">
        <f>IF($K99="","",IF($K99&lt;=1500,IF(N(INDEX(采购进货!$E$4:$E$1503,$K99))&lt;0,"退货","进货"),IF(INDEX(资金台帐!$S$7:$S$3006,$K99-1500)&lt;=0,"付款","退款")&amp;"（"&amp;INDEX(资金台帐!$C$7:$C$3006,$K99-1500)&amp;"）"))</f>
      </c>
      <c r="D99" s="141">
        <f>IF($K99="","",IF($K99&lt;=1500,INDEX(采购进货!$D$4:$D$1503,$K99)&amp;"",""))</f>
      </c>
      <c r="E99" s="148">
        <f>IF($K99="","",IF($K99&lt;=1500,N(INDEX(采购进货!$E$4:$E$1503,$K99))+N(INDEX(采购进货!$H$4:$H$1503,$K99)),""))</f>
      </c>
      <c r="F99" s="149">
        <f>IF($K99="","",IF($K99&lt;=1500,INDEX(采购进货!$F$4:$F$1503,$K99),""))</f>
      </c>
      <c r="G99" s="186">
        <f>IF($K99="","",IF($K99&lt;=1500,N(INDEX(采购进货!$G$4:$G$1503,$K99)),""))</f>
      </c>
      <c r="H99" s="186">
        <f>IF($K99="","",IF($K99&lt;=1500,"",-INDEX(资金台帐!$S$7:$S$3006,$K99-1500)))</f>
      </c>
      <c r="I99" s="187">
        <f>IF($K99="","",I98+N(G99)-N(H99))</f>
      </c>
      <c r="J99" s="213">
        <f>IF($K99="","",IF($K99&lt;=1500,IF(N(INDEX(采购进货!$H$4:$H$1503,$K99))&lt;&gt;0,"含赠品"&amp;INDEX(采购进货!$H$4:$H$1503,$K99)&amp;"件 ","")&amp;INDEX(采购进货!$I$4:$I$1503,$K99),INDEX(资金台帐!$E$7:$E$3006,$K99-1500)&amp;""))</f>
      </c>
      <c r="K99" s="78">
        <f>IFERROR(MATCH(SMALL(_辅助!$H$4:$H$4503,60),_辅助!$H$4:$H$4503,0),"")</f>
      </c>
      <c r="M99" s="78">
        <f>IF(基础资料!$E$89="","",IF(SUMIFS(采购进货!$E$4:$E$1503,采购进货!$C$4:$C$1503,$B$4,采购进货!$D$4:$D$1503,基础资料!$E$89,采购进货!$B$4:$B$1503,"&gt;="&amp;$G$4,采购进货!$B$4:$B$1503,"&lt;="&amp;$I$4)+SUMIFS(采购进货!$H$4:$H$1503,采购进货!$C$4:$C$1503,$B$4,采购进货!$D$4:$D$1503,基础资料!$E$89,采购进货!$B$4:$B$1503,"&gt;="&amp;$G$4,采购进货!$B$4:$B$1503,"&lt;="&amp;$I$4)&lt;&gt;0,85,""))</f>
      </c>
    </row>
    <row r="100">
      <c r="A100" s="141">
        <f>IF($K100="","",61)</f>
      </c>
      <c r="B100" s="140">
        <f>IF($K100="","",IF($K100&lt;=1500,INDEX(采购进货!$B$4:$B$1503,$K100),INDEX(资金台帐!$B$7:$B$3006,$K100-1500)))</f>
      </c>
      <c r="C100" s="141">
        <f>IF($K100="","",IF($K100&lt;=1500,IF(N(INDEX(采购进货!$E$4:$E$1503,$K100))&lt;0,"退货","进货"),IF(INDEX(资金台帐!$S$7:$S$3006,$K100-1500)&lt;=0,"付款","退款")&amp;"（"&amp;INDEX(资金台帐!$C$7:$C$3006,$K100-1500)&amp;"）"))</f>
      </c>
      <c r="D100" s="141">
        <f>IF($K100="","",IF($K100&lt;=1500,INDEX(采购进货!$D$4:$D$1503,$K100)&amp;"",""))</f>
      </c>
      <c r="E100" s="148">
        <f>IF($K100="","",IF($K100&lt;=1500,N(INDEX(采购进货!$E$4:$E$1503,$K100))+N(INDEX(采购进货!$H$4:$H$1503,$K100)),""))</f>
      </c>
      <c r="F100" s="149">
        <f>IF($K100="","",IF($K100&lt;=1500,INDEX(采购进货!$F$4:$F$1503,$K100),""))</f>
      </c>
      <c r="G100" s="186">
        <f>IF($K100="","",IF($K100&lt;=1500,N(INDEX(采购进货!$G$4:$G$1503,$K100)),""))</f>
      </c>
      <c r="H100" s="186">
        <f>IF($K100="","",IF($K100&lt;=1500,"",-INDEX(资金台帐!$S$7:$S$3006,$K100-1500)))</f>
      </c>
      <c r="I100" s="187">
        <f>IF($K100="","",I99+N(G100)-N(H100))</f>
      </c>
      <c r="J100" s="213">
        <f>IF($K100="","",IF($K100&lt;=1500,IF(N(INDEX(采购进货!$H$4:$H$1503,$K100))&lt;&gt;0,"含赠品"&amp;INDEX(采购进货!$H$4:$H$1503,$K100)&amp;"件 ","")&amp;INDEX(采购进货!$I$4:$I$1503,$K100),INDEX(资金台帐!$E$7:$E$3006,$K100-1500)&amp;""))</f>
      </c>
      <c r="K100" s="78">
        <f>IFERROR(MATCH(SMALL(_辅助!$H$4:$H$4503,61),_辅助!$H$4:$H$4503,0),"")</f>
      </c>
      <c r="M100" s="78">
        <f>IF(基础资料!$E$90="","",IF(SUMIFS(采购进货!$E$4:$E$1503,采购进货!$C$4:$C$1503,$B$4,采购进货!$D$4:$D$1503,基础资料!$E$90,采购进货!$B$4:$B$1503,"&gt;="&amp;$G$4,采购进货!$B$4:$B$1503,"&lt;="&amp;$I$4)+SUMIFS(采购进货!$H$4:$H$1503,采购进货!$C$4:$C$1503,$B$4,采购进货!$D$4:$D$1503,基础资料!$E$90,采购进货!$B$4:$B$1503,"&gt;="&amp;$G$4,采购进货!$B$4:$B$1503,"&lt;="&amp;$I$4)&lt;&gt;0,86,""))</f>
      </c>
    </row>
    <row r="101">
      <c r="A101" s="141">
        <f>IF($K101="","",62)</f>
      </c>
      <c r="B101" s="140">
        <f>IF($K101="","",IF($K101&lt;=1500,INDEX(采购进货!$B$4:$B$1503,$K101),INDEX(资金台帐!$B$7:$B$3006,$K101-1500)))</f>
      </c>
      <c r="C101" s="141">
        <f>IF($K101="","",IF($K101&lt;=1500,IF(N(INDEX(采购进货!$E$4:$E$1503,$K101))&lt;0,"退货","进货"),IF(INDEX(资金台帐!$S$7:$S$3006,$K101-1500)&lt;=0,"付款","退款")&amp;"（"&amp;INDEX(资金台帐!$C$7:$C$3006,$K101-1500)&amp;"）"))</f>
      </c>
      <c r="D101" s="141">
        <f>IF($K101="","",IF($K101&lt;=1500,INDEX(采购进货!$D$4:$D$1503,$K101)&amp;"",""))</f>
      </c>
      <c r="E101" s="148">
        <f>IF($K101="","",IF($K101&lt;=1500,N(INDEX(采购进货!$E$4:$E$1503,$K101))+N(INDEX(采购进货!$H$4:$H$1503,$K101)),""))</f>
      </c>
      <c r="F101" s="149">
        <f>IF($K101="","",IF($K101&lt;=1500,INDEX(采购进货!$F$4:$F$1503,$K101),""))</f>
      </c>
      <c r="G101" s="186">
        <f>IF($K101="","",IF($K101&lt;=1500,N(INDEX(采购进货!$G$4:$G$1503,$K101)),""))</f>
      </c>
      <c r="H101" s="186">
        <f>IF($K101="","",IF($K101&lt;=1500,"",-INDEX(资金台帐!$S$7:$S$3006,$K101-1500)))</f>
      </c>
      <c r="I101" s="187">
        <f>IF($K101="","",I100+N(G101)-N(H101))</f>
      </c>
      <c r="J101" s="213">
        <f>IF($K101="","",IF($K101&lt;=1500,IF(N(INDEX(采购进货!$H$4:$H$1503,$K101))&lt;&gt;0,"含赠品"&amp;INDEX(采购进货!$H$4:$H$1503,$K101)&amp;"件 ","")&amp;INDEX(采购进货!$I$4:$I$1503,$K101),INDEX(资金台帐!$E$7:$E$3006,$K101-1500)&amp;""))</f>
      </c>
      <c r="K101" s="78">
        <f>IFERROR(MATCH(SMALL(_辅助!$H$4:$H$4503,62),_辅助!$H$4:$H$4503,0),"")</f>
      </c>
      <c r="M101" s="78">
        <f>IF(基础资料!$E$91="","",IF(SUMIFS(采购进货!$E$4:$E$1503,采购进货!$C$4:$C$1503,$B$4,采购进货!$D$4:$D$1503,基础资料!$E$91,采购进货!$B$4:$B$1503,"&gt;="&amp;$G$4,采购进货!$B$4:$B$1503,"&lt;="&amp;$I$4)+SUMIFS(采购进货!$H$4:$H$1503,采购进货!$C$4:$C$1503,$B$4,采购进货!$D$4:$D$1503,基础资料!$E$91,采购进货!$B$4:$B$1503,"&gt;="&amp;$G$4,采购进货!$B$4:$B$1503,"&lt;="&amp;$I$4)&lt;&gt;0,87,""))</f>
      </c>
    </row>
    <row r="102">
      <c r="A102" s="141">
        <f>IF($K102="","",63)</f>
      </c>
      <c r="B102" s="140">
        <f>IF($K102="","",IF($K102&lt;=1500,INDEX(采购进货!$B$4:$B$1503,$K102),INDEX(资金台帐!$B$7:$B$3006,$K102-1500)))</f>
      </c>
      <c r="C102" s="141">
        <f>IF($K102="","",IF($K102&lt;=1500,IF(N(INDEX(采购进货!$E$4:$E$1503,$K102))&lt;0,"退货","进货"),IF(INDEX(资金台帐!$S$7:$S$3006,$K102-1500)&lt;=0,"付款","退款")&amp;"（"&amp;INDEX(资金台帐!$C$7:$C$3006,$K102-1500)&amp;"）"))</f>
      </c>
      <c r="D102" s="141">
        <f>IF($K102="","",IF($K102&lt;=1500,INDEX(采购进货!$D$4:$D$1503,$K102)&amp;"",""))</f>
      </c>
      <c r="E102" s="148">
        <f>IF($K102="","",IF($K102&lt;=1500,N(INDEX(采购进货!$E$4:$E$1503,$K102))+N(INDEX(采购进货!$H$4:$H$1503,$K102)),""))</f>
      </c>
      <c r="F102" s="149">
        <f>IF($K102="","",IF($K102&lt;=1500,INDEX(采购进货!$F$4:$F$1503,$K102),""))</f>
      </c>
      <c r="G102" s="186">
        <f>IF($K102="","",IF($K102&lt;=1500,N(INDEX(采购进货!$G$4:$G$1503,$K102)),""))</f>
      </c>
      <c r="H102" s="186">
        <f>IF($K102="","",IF($K102&lt;=1500,"",-INDEX(资金台帐!$S$7:$S$3006,$K102-1500)))</f>
      </c>
      <c r="I102" s="187">
        <f>IF($K102="","",I101+N(G102)-N(H102))</f>
      </c>
      <c r="J102" s="213">
        <f>IF($K102="","",IF($K102&lt;=1500,IF(N(INDEX(采购进货!$H$4:$H$1503,$K102))&lt;&gt;0,"含赠品"&amp;INDEX(采购进货!$H$4:$H$1503,$K102)&amp;"件 ","")&amp;INDEX(采购进货!$I$4:$I$1503,$K102),INDEX(资金台帐!$E$7:$E$3006,$K102-1500)&amp;""))</f>
      </c>
      <c r="K102" s="78">
        <f>IFERROR(MATCH(SMALL(_辅助!$H$4:$H$4503,63),_辅助!$H$4:$H$4503,0),"")</f>
      </c>
      <c r="M102" s="78">
        <f>IF(基础资料!$E$92="","",IF(SUMIFS(采购进货!$E$4:$E$1503,采购进货!$C$4:$C$1503,$B$4,采购进货!$D$4:$D$1503,基础资料!$E$92,采购进货!$B$4:$B$1503,"&gt;="&amp;$G$4,采购进货!$B$4:$B$1503,"&lt;="&amp;$I$4)+SUMIFS(采购进货!$H$4:$H$1503,采购进货!$C$4:$C$1503,$B$4,采购进货!$D$4:$D$1503,基础资料!$E$92,采购进货!$B$4:$B$1503,"&gt;="&amp;$G$4,采购进货!$B$4:$B$1503,"&lt;="&amp;$I$4)&lt;&gt;0,88,""))</f>
      </c>
    </row>
    <row r="103">
      <c r="A103" s="141">
        <f>IF($K103="","",64)</f>
      </c>
      <c r="B103" s="140">
        <f>IF($K103="","",IF($K103&lt;=1500,INDEX(采购进货!$B$4:$B$1503,$K103),INDEX(资金台帐!$B$7:$B$3006,$K103-1500)))</f>
      </c>
      <c r="C103" s="141">
        <f>IF($K103="","",IF($K103&lt;=1500,IF(N(INDEX(采购进货!$E$4:$E$1503,$K103))&lt;0,"退货","进货"),IF(INDEX(资金台帐!$S$7:$S$3006,$K103-1500)&lt;=0,"付款","退款")&amp;"（"&amp;INDEX(资金台帐!$C$7:$C$3006,$K103-1500)&amp;"）"))</f>
      </c>
      <c r="D103" s="141">
        <f>IF($K103="","",IF($K103&lt;=1500,INDEX(采购进货!$D$4:$D$1503,$K103)&amp;"",""))</f>
      </c>
      <c r="E103" s="148">
        <f>IF($K103="","",IF($K103&lt;=1500,N(INDEX(采购进货!$E$4:$E$1503,$K103))+N(INDEX(采购进货!$H$4:$H$1503,$K103)),""))</f>
      </c>
      <c r="F103" s="149">
        <f>IF($K103="","",IF($K103&lt;=1500,INDEX(采购进货!$F$4:$F$1503,$K103),""))</f>
      </c>
      <c r="G103" s="186">
        <f>IF($K103="","",IF($K103&lt;=1500,N(INDEX(采购进货!$G$4:$G$1503,$K103)),""))</f>
      </c>
      <c r="H103" s="186">
        <f>IF($K103="","",IF($K103&lt;=1500,"",-INDEX(资金台帐!$S$7:$S$3006,$K103-1500)))</f>
      </c>
      <c r="I103" s="187">
        <f>IF($K103="","",I102+N(G103)-N(H103))</f>
      </c>
      <c r="J103" s="213">
        <f>IF($K103="","",IF($K103&lt;=1500,IF(N(INDEX(采购进货!$H$4:$H$1503,$K103))&lt;&gt;0,"含赠品"&amp;INDEX(采购进货!$H$4:$H$1503,$K103)&amp;"件 ","")&amp;INDEX(采购进货!$I$4:$I$1503,$K103),INDEX(资金台帐!$E$7:$E$3006,$K103-1500)&amp;""))</f>
      </c>
      <c r="K103" s="78">
        <f>IFERROR(MATCH(SMALL(_辅助!$H$4:$H$4503,64),_辅助!$H$4:$H$4503,0),"")</f>
      </c>
      <c r="M103" s="78">
        <f>IF(基础资料!$E$93="","",IF(SUMIFS(采购进货!$E$4:$E$1503,采购进货!$C$4:$C$1503,$B$4,采购进货!$D$4:$D$1503,基础资料!$E$93,采购进货!$B$4:$B$1503,"&gt;="&amp;$G$4,采购进货!$B$4:$B$1503,"&lt;="&amp;$I$4)+SUMIFS(采购进货!$H$4:$H$1503,采购进货!$C$4:$C$1503,$B$4,采购进货!$D$4:$D$1503,基础资料!$E$93,采购进货!$B$4:$B$1503,"&gt;="&amp;$G$4,采购进货!$B$4:$B$1503,"&lt;="&amp;$I$4)&lt;&gt;0,89,""))</f>
      </c>
    </row>
    <row r="104">
      <c r="A104" s="141">
        <f>IF($K104="","",65)</f>
      </c>
      <c r="B104" s="140">
        <f>IF($K104="","",IF($K104&lt;=1500,INDEX(采购进货!$B$4:$B$1503,$K104),INDEX(资金台帐!$B$7:$B$3006,$K104-1500)))</f>
      </c>
      <c r="C104" s="141">
        <f>IF($K104="","",IF($K104&lt;=1500,IF(N(INDEX(采购进货!$E$4:$E$1503,$K104))&lt;0,"退货","进货"),IF(INDEX(资金台帐!$S$7:$S$3006,$K104-1500)&lt;=0,"付款","退款")&amp;"（"&amp;INDEX(资金台帐!$C$7:$C$3006,$K104-1500)&amp;"）"))</f>
      </c>
      <c r="D104" s="141">
        <f>IF($K104="","",IF($K104&lt;=1500,INDEX(采购进货!$D$4:$D$1503,$K104)&amp;"",""))</f>
      </c>
      <c r="E104" s="148">
        <f>IF($K104="","",IF($K104&lt;=1500,N(INDEX(采购进货!$E$4:$E$1503,$K104))+N(INDEX(采购进货!$H$4:$H$1503,$K104)),""))</f>
      </c>
      <c r="F104" s="149">
        <f>IF($K104="","",IF($K104&lt;=1500,INDEX(采购进货!$F$4:$F$1503,$K104),""))</f>
      </c>
      <c r="G104" s="186">
        <f>IF($K104="","",IF($K104&lt;=1500,N(INDEX(采购进货!$G$4:$G$1503,$K104)),""))</f>
      </c>
      <c r="H104" s="186">
        <f>IF($K104="","",IF($K104&lt;=1500,"",-INDEX(资金台帐!$S$7:$S$3006,$K104-1500)))</f>
      </c>
      <c r="I104" s="187">
        <f>IF($K104="","",I103+N(G104)-N(H104))</f>
      </c>
      <c r="J104" s="213">
        <f>IF($K104="","",IF($K104&lt;=1500,IF(N(INDEX(采购进货!$H$4:$H$1503,$K104))&lt;&gt;0,"含赠品"&amp;INDEX(采购进货!$H$4:$H$1503,$K104)&amp;"件 ","")&amp;INDEX(采购进货!$I$4:$I$1503,$K104),INDEX(资金台帐!$E$7:$E$3006,$K104-1500)&amp;""))</f>
      </c>
      <c r="K104" s="78">
        <f>IFERROR(MATCH(SMALL(_辅助!$H$4:$H$4503,65),_辅助!$H$4:$H$4503,0),"")</f>
      </c>
      <c r="M104" s="78">
        <f>IF(基础资料!$E$94="","",IF(SUMIFS(采购进货!$E$4:$E$1503,采购进货!$C$4:$C$1503,$B$4,采购进货!$D$4:$D$1503,基础资料!$E$94,采购进货!$B$4:$B$1503,"&gt;="&amp;$G$4,采购进货!$B$4:$B$1503,"&lt;="&amp;$I$4)+SUMIFS(采购进货!$H$4:$H$1503,采购进货!$C$4:$C$1503,$B$4,采购进货!$D$4:$D$1503,基础资料!$E$94,采购进货!$B$4:$B$1503,"&gt;="&amp;$G$4,采购进货!$B$4:$B$1503,"&lt;="&amp;$I$4)&lt;&gt;0,90,""))</f>
      </c>
    </row>
    <row r="105">
      <c r="A105" s="141">
        <f>IF($K105="","",66)</f>
      </c>
      <c r="B105" s="140">
        <f>IF($K105="","",IF($K105&lt;=1500,INDEX(采购进货!$B$4:$B$1503,$K105),INDEX(资金台帐!$B$7:$B$3006,$K105-1500)))</f>
      </c>
      <c r="C105" s="141">
        <f>IF($K105="","",IF($K105&lt;=1500,IF(N(INDEX(采购进货!$E$4:$E$1503,$K105))&lt;0,"退货","进货"),IF(INDEX(资金台帐!$S$7:$S$3006,$K105-1500)&lt;=0,"付款","退款")&amp;"（"&amp;INDEX(资金台帐!$C$7:$C$3006,$K105-1500)&amp;"）"))</f>
      </c>
      <c r="D105" s="141">
        <f>IF($K105="","",IF($K105&lt;=1500,INDEX(采购进货!$D$4:$D$1503,$K105)&amp;"",""))</f>
      </c>
      <c r="E105" s="148">
        <f>IF($K105="","",IF($K105&lt;=1500,N(INDEX(采购进货!$E$4:$E$1503,$K105))+N(INDEX(采购进货!$H$4:$H$1503,$K105)),""))</f>
      </c>
      <c r="F105" s="149">
        <f>IF($K105="","",IF($K105&lt;=1500,INDEX(采购进货!$F$4:$F$1503,$K105),""))</f>
      </c>
      <c r="G105" s="186">
        <f>IF($K105="","",IF($K105&lt;=1500,N(INDEX(采购进货!$G$4:$G$1503,$K105)),""))</f>
      </c>
      <c r="H105" s="186">
        <f>IF($K105="","",IF($K105&lt;=1500,"",-INDEX(资金台帐!$S$7:$S$3006,$K105-1500)))</f>
      </c>
      <c r="I105" s="187">
        <f>IF($K105="","",I104+N(G105)-N(H105))</f>
      </c>
      <c r="J105" s="213">
        <f>IF($K105="","",IF($K105&lt;=1500,IF(N(INDEX(采购进货!$H$4:$H$1503,$K105))&lt;&gt;0,"含赠品"&amp;INDEX(采购进货!$H$4:$H$1503,$K105)&amp;"件 ","")&amp;INDEX(采购进货!$I$4:$I$1503,$K105),INDEX(资金台帐!$E$7:$E$3006,$K105-1500)&amp;""))</f>
      </c>
      <c r="K105" s="78">
        <f>IFERROR(MATCH(SMALL(_辅助!$H$4:$H$4503,66),_辅助!$H$4:$H$4503,0),"")</f>
      </c>
      <c r="M105" s="78">
        <f>IF(基础资料!$E$95="","",IF(SUMIFS(采购进货!$E$4:$E$1503,采购进货!$C$4:$C$1503,$B$4,采购进货!$D$4:$D$1503,基础资料!$E$95,采购进货!$B$4:$B$1503,"&gt;="&amp;$G$4,采购进货!$B$4:$B$1503,"&lt;="&amp;$I$4)+SUMIFS(采购进货!$H$4:$H$1503,采购进货!$C$4:$C$1503,$B$4,采购进货!$D$4:$D$1503,基础资料!$E$95,采购进货!$B$4:$B$1503,"&gt;="&amp;$G$4,采购进货!$B$4:$B$1503,"&lt;="&amp;$I$4)&lt;&gt;0,91,""))</f>
      </c>
    </row>
    <row r="106">
      <c r="A106" s="141">
        <f>IF($K106="","",67)</f>
      </c>
      <c r="B106" s="140">
        <f>IF($K106="","",IF($K106&lt;=1500,INDEX(采购进货!$B$4:$B$1503,$K106),INDEX(资金台帐!$B$7:$B$3006,$K106-1500)))</f>
      </c>
      <c r="C106" s="141">
        <f>IF($K106="","",IF($K106&lt;=1500,IF(N(INDEX(采购进货!$E$4:$E$1503,$K106))&lt;0,"退货","进货"),IF(INDEX(资金台帐!$S$7:$S$3006,$K106-1500)&lt;=0,"付款","退款")&amp;"（"&amp;INDEX(资金台帐!$C$7:$C$3006,$K106-1500)&amp;"）"))</f>
      </c>
      <c r="D106" s="141">
        <f>IF($K106="","",IF($K106&lt;=1500,INDEX(采购进货!$D$4:$D$1503,$K106)&amp;"",""))</f>
      </c>
      <c r="E106" s="148">
        <f>IF($K106="","",IF($K106&lt;=1500,N(INDEX(采购进货!$E$4:$E$1503,$K106))+N(INDEX(采购进货!$H$4:$H$1503,$K106)),""))</f>
      </c>
      <c r="F106" s="149">
        <f>IF($K106="","",IF($K106&lt;=1500,INDEX(采购进货!$F$4:$F$1503,$K106),""))</f>
      </c>
      <c r="G106" s="186">
        <f>IF($K106="","",IF($K106&lt;=1500,N(INDEX(采购进货!$G$4:$G$1503,$K106)),""))</f>
      </c>
      <c r="H106" s="186">
        <f>IF($K106="","",IF($K106&lt;=1500,"",-INDEX(资金台帐!$S$7:$S$3006,$K106-1500)))</f>
      </c>
      <c r="I106" s="187">
        <f>IF($K106="","",I105+N(G106)-N(H106))</f>
      </c>
      <c r="J106" s="213">
        <f>IF($K106="","",IF($K106&lt;=1500,IF(N(INDEX(采购进货!$H$4:$H$1503,$K106))&lt;&gt;0,"含赠品"&amp;INDEX(采购进货!$H$4:$H$1503,$K106)&amp;"件 ","")&amp;INDEX(采购进货!$I$4:$I$1503,$K106),INDEX(资金台帐!$E$7:$E$3006,$K106-1500)&amp;""))</f>
      </c>
      <c r="K106" s="78">
        <f>IFERROR(MATCH(SMALL(_辅助!$H$4:$H$4503,67),_辅助!$H$4:$H$4503,0),"")</f>
      </c>
      <c r="M106" s="78">
        <f>IF(基础资料!$E$96="","",IF(SUMIFS(采购进货!$E$4:$E$1503,采购进货!$C$4:$C$1503,$B$4,采购进货!$D$4:$D$1503,基础资料!$E$96,采购进货!$B$4:$B$1503,"&gt;="&amp;$G$4,采购进货!$B$4:$B$1503,"&lt;="&amp;$I$4)+SUMIFS(采购进货!$H$4:$H$1503,采购进货!$C$4:$C$1503,$B$4,采购进货!$D$4:$D$1503,基础资料!$E$96,采购进货!$B$4:$B$1503,"&gt;="&amp;$G$4,采购进货!$B$4:$B$1503,"&lt;="&amp;$I$4)&lt;&gt;0,92,""))</f>
      </c>
    </row>
    <row r="107">
      <c r="A107" s="141">
        <f>IF($K107="","",68)</f>
      </c>
      <c r="B107" s="140">
        <f>IF($K107="","",IF($K107&lt;=1500,INDEX(采购进货!$B$4:$B$1503,$K107),INDEX(资金台帐!$B$7:$B$3006,$K107-1500)))</f>
      </c>
      <c r="C107" s="141">
        <f>IF($K107="","",IF($K107&lt;=1500,IF(N(INDEX(采购进货!$E$4:$E$1503,$K107))&lt;0,"退货","进货"),IF(INDEX(资金台帐!$S$7:$S$3006,$K107-1500)&lt;=0,"付款","退款")&amp;"（"&amp;INDEX(资金台帐!$C$7:$C$3006,$K107-1500)&amp;"）"))</f>
      </c>
      <c r="D107" s="141">
        <f>IF($K107="","",IF($K107&lt;=1500,INDEX(采购进货!$D$4:$D$1503,$K107)&amp;"",""))</f>
      </c>
      <c r="E107" s="148">
        <f>IF($K107="","",IF($K107&lt;=1500,N(INDEX(采购进货!$E$4:$E$1503,$K107))+N(INDEX(采购进货!$H$4:$H$1503,$K107)),""))</f>
      </c>
      <c r="F107" s="149">
        <f>IF($K107="","",IF($K107&lt;=1500,INDEX(采购进货!$F$4:$F$1503,$K107),""))</f>
      </c>
      <c r="G107" s="186">
        <f>IF($K107="","",IF($K107&lt;=1500,N(INDEX(采购进货!$G$4:$G$1503,$K107)),""))</f>
      </c>
      <c r="H107" s="186">
        <f>IF($K107="","",IF($K107&lt;=1500,"",-INDEX(资金台帐!$S$7:$S$3006,$K107-1500)))</f>
      </c>
      <c r="I107" s="187">
        <f>IF($K107="","",I106+N(G107)-N(H107))</f>
      </c>
      <c r="J107" s="213">
        <f>IF($K107="","",IF($K107&lt;=1500,IF(N(INDEX(采购进货!$H$4:$H$1503,$K107))&lt;&gt;0,"含赠品"&amp;INDEX(采购进货!$H$4:$H$1503,$K107)&amp;"件 ","")&amp;INDEX(采购进货!$I$4:$I$1503,$K107),INDEX(资金台帐!$E$7:$E$3006,$K107-1500)&amp;""))</f>
      </c>
      <c r="K107" s="78">
        <f>IFERROR(MATCH(SMALL(_辅助!$H$4:$H$4503,68),_辅助!$H$4:$H$4503,0),"")</f>
      </c>
      <c r="M107" s="78">
        <f>IF(基础资料!$E$97="","",IF(SUMIFS(采购进货!$E$4:$E$1503,采购进货!$C$4:$C$1503,$B$4,采购进货!$D$4:$D$1503,基础资料!$E$97,采购进货!$B$4:$B$1503,"&gt;="&amp;$G$4,采购进货!$B$4:$B$1503,"&lt;="&amp;$I$4)+SUMIFS(采购进货!$H$4:$H$1503,采购进货!$C$4:$C$1503,$B$4,采购进货!$D$4:$D$1503,基础资料!$E$97,采购进货!$B$4:$B$1503,"&gt;="&amp;$G$4,采购进货!$B$4:$B$1503,"&lt;="&amp;$I$4)&lt;&gt;0,93,""))</f>
      </c>
    </row>
    <row r="108">
      <c r="A108" s="141">
        <f>IF($K108="","",69)</f>
      </c>
      <c r="B108" s="140">
        <f>IF($K108="","",IF($K108&lt;=1500,INDEX(采购进货!$B$4:$B$1503,$K108),INDEX(资金台帐!$B$7:$B$3006,$K108-1500)))</f>
      </c>
      <c r="C108" s="141">
        <f>IF($K108="","",IF($K108&lt;=1500,IF(N(INDEX(采购进货!$E$4:$E$1503,$K108))&lt;0,"退货","进货"),IF(INDEX(资金台帐!$S$7:$S$3006,$K108-1500)&lt;=0,"付款","退款")&amp;"（"&amp;INDEX(资金台帐!$C$7:$C$3006,$K108-1500)&amp;"）"))</f>
      </c>
      <c r="D108" s="141">
        <f>IF($K108="","",IF($K108&lt;=1500,INDEX(采购进货!$D$4:$D$1503,$K108)&amp;"",""))</f>
      </c>
      <c r="E108" s="148">
        <f>IF($K108="","",IF($K108&lt;=1500,N(INDEX(采购进货!$E$4:$E$1503,$K108))+N(INDEX(采购进货!$H$4:$H$1503,$K108)),""))</f>
      </c>
      <c r="F108" s="149">
        <f>IF($K108="","",IF($K108&lt;=1500,INDEX(采购进货!$F$4:$F$1503,$K108),""))</f>
      </c>
      <c r="G108" s="186">
        <f>IF($K108="","",IF($K108&lt;=1500,N(INDEX(采购进货!$G$4:$G$1503,$K108)),""))</f>
      </c>
      <c r="H108" s="186">
        <f>IF($K108="","",IF($K108&lt;=1500,"",-INDEX(资金台帐!$S$7:$S$3006,$K108-1500)))</f>
      </c>
      <c r="I108" s="187">
        <f>IF($K108="","",I107+N(G108)-N(H108))</f>
      </c>
      <c r="J108" s="213">
        <f>IF($K108="","",IF($K108&lt;=1500,IF(N(INDEX(采购进货!$H$4:$H$1503,$K108))&lt;&gt;0,"含赠品"&amp;INDEX(采购进货!$H$4:$H$1503,$K108)&amp;"件 ","")&amp;INDEX(采购进货!$I$4:$I$1503,$K108),INDEX(资金台帐!$E$7:$E$3006,$K108-1500)&amp;""))</f>
      </c>
      <c r="K108" s="78">
        <f>IFERROR(MATCH(SMALL(_辅助!$H$4:$H$4503,69),_辅助!$H$4:$H$4503,0),"")</f>
      </c>
      <c r="M108" s="78">
        <f>IF(基础资料!$E$98="","",IF(SUMIFS(采购进货!$E$4:$E$1503,采购进货!$C$4:$C$1503,$B$4,采购进货!$D$4:$D$1503,基础资料!$E$98,采购进货!$B$4:$B$1503,"&gt;="&amp;$G$4,采购进货!$B$4:$B$1503,"&lt;="&amp;$I$4)+SUMIFS(采购进货!$H$4:$H$1503,采购进货!$C$4:$C$1503,$B$4,采购进货!$D$4:$D$1503,基础资料!$E$98,采购进货!$B$4:$B$1503,"&gt;="&amp;$G$4,采购进货!$B$4:$B$1503,"&lt;="&amp;$I$4)&lt;&gt;0,94,""))</f>
      </c>
    </row>
    <row r="109">
      <c r="A109" s="141">
        <f>IF($K109="","",70)</f>
      </c>
      <c r="B109" s="140">
        <f>IF($K109="","",IF($K109&lt;=1500,INDEX(采购进货!$B$4:$B$1503,$K109),INDEX(资金台帐!$B$7:$B$3006,$K109-1500)))</f>
      </c>
      <c r="C109" s="141">
        <f>IF($K109="","",IF($K109&lt;=1500,IF(N(INDEX(采购进货!$E$4:$E$1503,$K109))&lt;0,"退货","进货"),IF(INDEX(资金台帐!$S$7:$S$3006,$K109-1500)&lt;=0,"付款","退款")&amp;"（"&amp;INDEX(资金台帐!$C$7:$C$3006,$K109-1500)&amp;"）"))</f>
      </c>
      <c r="D109" s="141">
        <f>IF($K109="","",IF($K109&lt;=1500,INDEX(采购进货!$D$4:$D$1503,$K109)&amp;"",""))</f>
      </c>
      <c r="E109" s="148">
        <f>IF($K109="","",IF($K109&lt;=1500,N(INDEX(采购进货!$E$4:$E$1503,$K109))+N(INDEX(采购进货!$H$4:$H$1503,$K109)),""))</f>
      </c>
      <c r="F109" s="149">
        <f>IF($K109="","",IF($K109&lt;=1500,INDEX(采购进货!$F$4:$F$1503,$K109),""))</f>
      </c>
      <c r="G109" s="186">
        <f>IF($K109="","",IF($K109&lt;=1500,N(INDEX(采购进货!$G$4:$G$1503,$K109)),""))</f>
      </c>
      <c r="H109" s="186">
        <f>IF($K109="","",IF($K109&lt;=1500,"",-INDEX(资金台帐!$S$7:$S$3006,$K109-1500)))</f>
      </c>
      <c r="I109" s="187">
        <f>IF($K109="","",I108+N(G109)-N(H109))</f>
      </c>
      <c r="J109" s="213">
        <f>IF($K109="","",IF($K109&lt;=1500,IF(N(INDEX(采购进货!$H$4:$H$1503,$K109))&lt;&gt;0,"含赠品"&amp;INDEX(采购进货!$H$4:$H$1503,$K109)&amp;"件 ","")&amp;INDEX(采购进货!$I$4:$I$1503,$K109),INDEX(资金台帐!$E$7:$E$3006,$K109-1500)&amp;""))</f>
      </c>
      <c r="K109" s="78">
        <f>IFERROR(MATCH(SMALL(_辅助!$H$4:$H$4503,70),_辅助!$H$4:$H$4503,0),"")</f>
      </c>
      <c r="M109" s="78">
        <f>IF(基础资料!$E$99="","",IF(SUMIFS(采购进货!$E$4:$E$1503,采购进货!$C$4:$C$1503,$B$4,采购进货!$D$4:$D$1503,基础资料!$E$99,采购进货!$B$4:$B$1503,"&gt;="&amp;$G$4,采购进货!$B$4:$B$1503,"&lt;="&amp;$I$4)+SUMIFS(采购进货!$H$4:$H$1503,采购进货!$C$4:$C$1503,$B$4,采购进货!$D$4:$D$1503,基础资料!$E$99,采购进货!$B$4:$B$1503,"&gt;="&amp;$G$4,采购进货!$B$4:$B$1503,"&lt;="&amp;$I$4)&lt;&gt;0,95,""))</f>
      </c>
    </row>
    <row r="110">
      <c r="A110" s="141">
        <f>IF($K110="","",71)</f>
      </c>
      <c r="B110" s="140">
        <f>IF($K110="","",IF($K110&lt;=1500,INDEX(采购进货!$B$4:$B$1503,$K110),INDEX(资金台帐!$B$7:$B$3006,$K110-1500)))</f>
      </c>
      <c r="C110" s="141">
        <f>IF($K110="","",IF($K110&lt;=1500,IF(N(INDEX(采购进货!$E$4:$E$1503,$K110))&lt;0,"退货","进货"),IF(INDEX(资金台帐!$S$7:$S$3006,$K110-1500)&lt;=0,"付款","退款")&amp;"（"&amp;INDEX(资金台帐!$C$7:$C$3006,$K110-1500)&amp;"）"))</f>
      </c>
      <c r="D110" s="141">
        <f>IF($K110="","",IF($K110&lt;=1500,INDEX(采购进货!$D$4:$D$1503,$K110)&amp;"",""))</f>
      </c>
      <c r="E110" s="148">
        <f>IF($K110="","",IF($K110&lt;=1500,N(INDEX(采购进货!$E$4:$E$1503,$K110))+N(INDEX(采购进货!$H$4:$H$1503,$K110)),""))</f>
      </c>
      <c r="F110" s="149">
        <f>IF($K110="","",IF($K110&lt;=1500,INDEX(采购进货!$F$4:$F$1503,$K110),""))</f>
      </c>
      <c r="G110" s="186">
        <f>IF($K110="","",IF($K110&lt;=1500,N(INDEX(采购进货!$G$4:$G$1503,$K110)),""))</f>
      </c>
      <c r="H110" s="186">
        <f>IF($K110="","",IF($K110&lt;=1500,"",-INDEX(资金台帐!$S$7:$S$3006,$K110-1500)))</f>
      </c>
      <c r="I110" s="187">
        <f>IF($K110="","",I109+N(G110)-N(H110))</f>
      </c>
      <c r="J110" s="213">
        <f>IF($K110="","",IF($K110&lt;=1500,IF(N(INDEX(采购进货!$H$4:$H$1503,$K110))&lt;&gt;0,"含赠品"&amp;INDEX(采购进货!$H$4:$H$1503,$K110)&amp;"件 ","")&amp;INDEX(采购进货!$I$4:$I$1503,$K110),INDEX(资金台帐!$E$7:$E$3006,$K110-1500)&amp;""))</f>
      </c>
      <c r="K110" s="78">
        <f>IFERROR(MATCH(SMALL(_辅助!$H$4:$H$4503,71),_辅助!$H$4:$H$4503,0),"")</f>
      </c>
      <c r="M110" s="78">
        <f>IF(基础资料!$E$100="","",IF(SUMIFS(采购进货!$E$4:$E$1503,采购进货!$C$4:$C$1503,$B$4,采购进货!$D$4:$D$1503,基础资料!$E$100,采购进货!$B$4:$B$1503,"&gt;="&amp;$G$4,采购进货!$B$4:$B$1503,"&lt;="&amp;$I$4)+SUMIFS(采购进货!$H$4:$H$1503,采购进货!$C$4:$C$1503,$B$4,采购进货!$D$4:$D$1503,基础资料!$E$100,采购进货!$B$4:$B$1503,"&gt;="&amp;$G$4,采购进货!$B$4:$B$1503,"&lt;="&amp;$I$4)&lt;&gt;0,96,""))</f>
      </c>
    </row>
    <row r="111">
      <c r="A111" s="141">
        <f>IF($K111="","",72)</f>
      </c>
      <c r="B111" s="140">
        <f>IF($K111="","",IF($K111&lt;=1500,INDEX(采购进货!$B$4:$B$1503,$K111),INDEX(资金台帐!$B$7:$B$3006,$K111-1500)))</f>
      </c>
      <c r="C111" s="141">
        <f>IF($K111="","",IF($K111&lt;=1500,IF(N(INDEX(采购进货!$E$4:$E$1503,$K111))&lt;0,"退货","进货"),IF(INDEX(资金台帐!$S$7:$S$3006,$K111-1500)&lt;=0,"付款","退款")&amp;"（"&amp;INDEX(资金台帐!$C$7:$C$3006,$K111-1500)&amp;"）"))</f>
      </c>
      <c r="D111" s="141">
        <f>IF($K111="","",IF($K111&lt;=1500,INDEX(采购进货!$D$4:$D$1503,$K111)&amp;"",""))</f>
      </c>
      <c r="E111" s="148">
        <f>IF($K111="","",IF($K111&lt;=1500,N(INDEX(采购进货!$E$4:$E$1503,$K111))+N(INDEX(采购进货!$H$4:$H$1503,$K111)),""))</f>
      </c>
      <c r="F111" s="149">
        <f>IF($K111="","",IF($K111&lt;=1500,INDEX(采购进货!$F$4:$F$1503,$K111),""))</f>
      </c>
      <c r="G111" s="186">
        <f>IF($K111="","",IF($K111&lt;=1500,N(INDEX(采购进货!$G$4:$G$1503,$K111)),""))</f>
      </c>
      <c r="H111" s="186">
        <f>IF($K111="","",IF($K111&lt;=1500,"",-INDEX(资金台帐!$S$7:$S$3006,$K111-1500)))</f>
      </c>
      <c r="I111" s="187">
        <f>IF($K111="","",I110+N(G111)-N(H111))</f>
      </c>
      <c r="J111" s="213">
        <f>IF($K111="","",IF($K111&lt;=1500,IF(N(INDEX(采购进货!$H$4:$H$1503,$K111))&lt;&gt;0,"含赠品"&amp;INDEX(采购进货!$H$4:$H$1503,$K111)&amp;"件 ","")&amp;INDEX(采购进货!$I$4:$I$1503,$K111),INDEX(资金台帐!$E$7:$E$3006,$K111-1500)&amp;""))</f>
      </c>
      <c r="K111" s="78">
        <f>IFERROR(MATCH(SMALL(_辅助!$H$4:$H$4503,72),_辅助!$H$4:$H$4503,0),"")</f>
      </c>
      <c r="M111" s="78">
        <f>IF(基础资料!$E$101="","",IF(SUMIFS(采购进货!$E$4:$E$1503,采购进货!$C$4:$C$1503,$B$4,采购进货!$D$4:$D$1503,基础资料!$E$101,采购进货!$B$4:$B$1503,"&gt;="&amp;$G$4,采购进货!$B$4:$B$1503,"&lt;="&amp;$I$4)+SUMIFS(采购进货!$H$4:$H$1503,采购进货!$C$4:$C$1503,$B$4,采购进货!$D$4:$D$1503,基础资料!$E$101,采购进货!$B$4:$B$1503,"&gt;="&amp;$G$4,采购进货!$B$4:$B$1503,"&lt;="&amp;$I$4)&lt;&gt;0,97,""))</f>
      </c>
    </row>
    <row r="112">
      <c r="A112" s="141">
        <f>IF($K112="","",73)</f>
      </c>
      <c r="B112" s="140">
        <f>IF($K112="","",IF($K112&lt;=1500,INDEX(采购进货!$B$4:$B$1503,$K112),INDEX(资金台帐!$B$7:$B$3006,$K112-1500)))</f>
      </c>
      <c r="C112" s="141">
        <f>IF($K112="","",IF($K112&lt;=1500,IF(N(INDEX(采购进货!$E$4:$E$1503,$K112))&lt;0,"退货","进货"),IF(INDEX(资金台帐!$S$7:$S$3006,$K112-1500)&lt;=0,"付款","退款")&amp;"（"&amp;INDEX(资金台帐!$C$7:$C$3006,$K112-1500)&amp;"）"))</f>
      </c>
      <c r="D112" s="141">
        <f>IF($K112="","",IF($K112&lt;=1500,INDEX(采购进货!$D$4:$D$1503,$K112)&amp;"",""))</f>
      </c>
      <c r="E112" s="148">
        <f>IF($K112="","",IF($K112&lt;=1500,N(INDEX(采购进货!$E$4:$E$1503,$K112))+N(INDEX(采购进货!$H$4:$H$1503,$K112)),""))</f>
      </c>
      <c r="F112" s="149">
        <f>IF($K112="","",IF($K112&lt;=1500,INDEX(采购进货!$F$4:$F$1503,$K112),""))</f>
      </c>
      <c r="G112" s="186">
        <f>IF($K112="","",IF($K112&lt;=1500,N(INDEX(采购进货!$G$4:$G$1503,$K112)),""))</f>
      </c>
      <c r="H112" s="186">
        <f>IF($K112="","",IF($K112&lt;=1500,"",-INDEX(资金台帐!$S$7:$S$3006,$K112-1500)))</f>
      </c>
      <c r="I112" s="187">
        <f>IF($K112="","",I111+N(G112)-N(H112))</f>
      </c>
      <c r="J112" s="213">
        <f>IF($K112="","",IF($K112&lt;=1500,IF(N(INDEX(采购进货!$H$4:$H$1503,$K112))&lt;&gt;0,"含赠品"&amp;INDEX(采购进货!$H$4:$H$1503,$K112)&amp;"件 ","")&amp;INDEX(采购进货!$I$4:$I$1503,$K112),INDEX(资金台帐!$E$7:$E$3006,$K112-1500)&amp;""))</f>
      </c>
      <c r="K112" s="78">
        <f>IFERROR(MATCH(SMALL(_辅助!$H$4:$H$4503,73),_辅助!$H$4:$H$4503,0),"")</f>
      </c>
      <c r="M112" s="78">
        <f>IF(基础资料!$E$102="","",IF(SUMIFS(采购进货!$E$4:$E$1503,采购进货!$C$4:$C$1503,$B$4,采购进货!$D$4:$D$1503,基础资料!$E$102,采购进货!$B$4:$B$1503,"&gt;="&amp;$G$4,采购进货!$B$4:$B$1503,"&lt;="&amp;$I$4)+SUMIFS(采购进货!$H$4:$H$1503,采购进货!$C$4:$C$1503,$B$4,采购进货!$D$4:$D$1503,基础资料!$E$102,采购进货!$B$4:$B$1503,"&gt;="&amp;$G$4,采购进货!$B$4:$B$1503,"&lt;="&amp;$I$4)&lt;&gt;0,98,""))</f>
      </c>
    </row>
    <row r="113">
      <c r="A113" s="141">
        <f>IF($K113="","",74)</f>
      </c>
      <c r="B113" s="140">
        <f>IF($K113="","",IF($K113&lt;=1500,INDEX(采购进货!$B$4:$B$1503,$K113),INDEX(资金台帐!$B$7:$B$3006,$K113-1500)))</f>
      </c>
      <c r="C113" s="141">
        <f>IF($K113="","",IF($K113&lt;=1500,IF(N(INDEX(采购进货!$E$4:$E$1503,$K113))&lt;0,"退货","进货"),IF(INDEX(资金台帐!$S$7:$S$3006,$K113-1500)&lt;=0,"付款","退款")&amp;"（"&amp;INDEX(资金台帐!$C$7:$C$3006,$K113-1500)&amp;"）"))</f>
      </c>
      <c r="D113" s="141">
        <f>IF($K113="","",IF($K113&lt;=1500,INDEX(采购进货!$D$4:$D$1503,$K113)&amp;"",""))</f>
      </c>
      <c r="E113" s="148">
        <f>IF($K113="","",IF($K113&lt;=1500,N(INDEX(采购进货!$E$4:$E$1503,$K113))+N(INDEX(采购进货!$H$4:$H$1503,$K113)),""))</f>
      </c>
      <c r="F113" s="149">
        <f>IF($K113="","",IF($K113&lt;=1500,INDEX(采购进货!$F$4:$F$1503,$K113),""))</f>
      </c>
      <c r="G113" s="186">
        <f>IF($K113="","",IF($K113&lt;=1500,N(INDEX(采购进货!$G$4:$G$1503,$K113)),""))</f>
      </c>
      <c r="H113" s="186">
        <f>IF($K113="","",IF($K113&lt;=1500,"",-INDEX(资金台帐!$S$7:$S$3006,$K113-1500)))</f>
      </c>
      <c r="I113" s="187">
        <f>IF($K113="","",I112+N(G113)-N(H113))</f>
      </c>
      <c r="J113" s="213">
        <f>IF($K113="","",IF($K113&lt;=1500,IF(N(INDEX(采购进货!$H$4:$H$1503,$K113))&lt;&gt;0,"含赠品"&amp;INDEX(采购进货!$H$4:$H$1503,$K113)&amp;"件 ","")&amp;INDEX(采购进货!$I$4:$I$1503,$K113),INDEX(资金台帐!$E$7:$E$3006,$K113-1500)&amp;""))</f>
      </c>
      <c r="K113" s="78">
        <f>IFERROR(MATCH(SMALL(_辅助!$H$4:$H$4503,74),_辅助!$H$4:$H$4503,0),"")</f>
      </c>
      <c r="M113" s="78">
        <f>IF(基础资料!$E$103="","",IF(SUMIFS(采购进货!$E$4:$E$1503,采购进货!$C$4:$C$1503,$B$4,采购进货!$D$4:$D$1503,基础资料!$E$103,采购进货!$B$4:$B$1503,"&gt;="&amp;$G$4,采购进货!$B$4:$B$1503,"&lt;="&amp;$I$4)+SUMIFS(采购进货!$H$4:$H$1503,采购进货!$C$4:$C$1503,$B$4,采购进货!$D$4:$D$1503,基础资料!$E$103,采购进货!$B$4:$B$1503,"&gt;="&amp;$G$4,采购进货!$B$4:$B$1503,"&lt;="&amp;$I$4)&lt;&gt;0,99,""))</f>
      </c>
    </row>
    <row r="114">
      <c r="A114" s="141">
        <f>IF($K114="","",75)</f>
      </c>
      <c r="B114" s="140">
        <f>IF($K114="","",IF($K114&lt;=1500,INDEX(采购进货!$B$4:$B$1503,$K114),INDEX(资金台帐!$B$7:$B$3006,$K114-1500)))</f>
      </c>
      <c r="C114" s="141">
        <f>IF($K114="","",IF($K114&lt;=1500,IF(N(INDEX(采购进货!$E$4:$E$1503,$K114))&lt;0,"退货","进货"),IF(INDEX(资金台帐!$S$7:$S$3006,$K114-1500)&lt;=0,"付款","退款")&amp;"（"&amp;INDEX(资金台帐!$C$7:$C$3006,$K114-1500)&amp;"）"))</f>
      </c>
      <c r="D114" s="141">
        <f>IF($K114="","",IF($K114&lt;=1500,INDEX(采购进货!$D$4:$D$1503,$K114)&amp;"",""))</f>
      </c>
      <c r="E114" s="148">
        <f>IF($K114="","",IF($K114&lt;=1500,N(INDEX(采购进货!$E$4:$E$1503,$K114))+N(INDEX(采购进货!$H$4:$H$1503,$K114)),""))</f>
      </c>
      <c r="F114" s="149">
        <f>IF($K114="","",IF($K114&lt;=1500,INDEX(采购进货!$F$4:$F$1503,$K114),""))</f>
      </c>
      <c r="G114" s="186">
        <f>IF($K114="","",IF($K114&lt;=1500,N(INDEX(采购进货!$G$4:$G$1503,$K114)),""))</f>
      </c>
      <c r="H114" s="186">
        <f>IF($K114="","",IF($K114&lt;=1500,"",-INDEX(资金台帐!$S$7:$S$3006,$K114-1500)))</f>
      </c>
      <c r="I114" s="187">
        <f>IF($K114="","",I113+N(G114)-N(H114))</f>
      </c>
      <c r="J114" s="213">
        <f>IF($K114="","",IF($K114&lt;=1500,IF(N(INDEX(采购进货!$H$4:$H$1503,$K114))&lt;&gt;0,"含赠品"&amp;INDEX(采购进货!$H$4:$H$1503,$K114)&amp;"件 ","")&amp;INDEX(采购进货!$I$4:$I$1503,$K114),INDEX(资金台帐!$E$7:$E$3006,$K114-1500)&amp;""))</f>
      </c>
      <c r="K114" s="78">
        <f>IFERROR(MATCH(SMALL(_辅助!$H$4:$H$4503,75),_辅助!$H$4:$H$4503,0),"")</f>
      </c>
      <c r="M114" s="78">
        <f>IF(基础资料!$E$104="","",IF(SUMIFS(采购进货!$E$4:$E$1503,采购进货!$C$4:$C$1503,$B$4,采购进货!$D$4:$D$1503,基础资料!$E$104,采购进货!$B$4:$B$1503,"&gt;="&amp;$G$4,采购进货!$B$4:$B$1503,"&lt;="&amp;$I$4)+SUMIFS(采购进货!$H$4:$H$1503,采购进货!$C$4:$C$1503,$B$4,采购进货!$D$4:$D$1503,基础资料!$E$104,采购进货!$B$4:$B$1503,"&gt;="&amp;$G$4,采购进货!$B$4:$B$1503,"&lt;="&amp;$I$4)&lt;&gt;0,100,""))</f>
      </c>
    </row>
    <row r="115">
      <c r="A115" s="141">
        <f>IF($K115="","",76)</f>
      </c>
      <c r="B115" s="140">
        <f>IF($K115="","",IF($K115&lt;=1500,INDEX(采购进货!$B$4:$B$1503,$K115),INDEX(资金台帐!$B$7:$B$3006,$K115-1500)))</f>
      </c>
      <c r="C115" s="141">
        <f>IF($K115="","",IF($K115&lt;=1500,IF(N(INDEX(采购进货!$E$4:$E$1503,$K115))&lt;0,"退货","进货"),IF(INDEX(资金台帐!$S$7:$S$3006,$K115-1500)&lt;=0,"付款","退款")&amp;"（"&amp;INDEX(资金台帐!$C$7:$C$3006,$K115-1500)&amp;"）"))</f>
      </c>
      <c r="D115" s="141">
        <f>IF($K115="","",IF($K115&lt;=1500,INDEX(采购进货!$D$4:$D$1503,$K115)&amp;"",""))</f>
      </c>
      <c r="E115" s="148">
        <f>IF($K115="","",IF($K115&lt;=1500,N(INDEX(采购进货!$E$4:$E$1503,$K115))+N(INDEX(采购进货!$H$4:$H$1503,$K115)),""))</f>
      </c>
      <c r="F115" s="149">
        <f>IF($K115="","",IF($K115&lt;=1500,INDEX(采购进货!$F$4:$F$1503,$K115),""))</f>
      </c>
      <c r="G115" s="186">
        <f>IF($K115="","",IF($K115&lt;=1500,N(INDEX(采购进货!$G$4:$G$1503,$K115)),""))</f>
      </c>
      <c r="H115" s="186">
        <f>IF($K115="","",IF($K115&lt;=1500,"",-INDEX(资金台帐!$S$7:$S$3006,$K115-1500)))</f>
      </c>
      <c r="I115" s="187">
        <f>IF($K115="","",I114+N(G115)-N(H115))</f>
      </c>
      <c r="J115" s="213">
        <f>IF($K115="","",IF($K115&lt;=1500,IF(N(INDEX(采购进货!$H$4:$H$1503,$K115))&lt;&gt;0,"含赠品"&amp;INDEX(采购进货!$H$4:$H$1503,$K115)&amp;"件 ","")&amp;INDEX(采购进货!$I$4:$I$1503,$K115),INDEX(资金台帐!$E$7:$E$3006,$K115-1500)&amp;""))</f>
      </c>
      <c r="K115" s="78">
        <f>IFERROR(MATCH(SMALL(_辅助!$H$4:$H$4503,76),_辅助!$H$4:$H$4503,0),"")</f>
      </c>
    </row>
    <row r="116">
      <c r="A116" s="141">
        <f>IF($K116="","",77)</f>
      </c>
      <c r="B116" s="140">
        <f>IF($K116="","",IF($K116&lt;=1500,INDEX(采购进货!$B$4:$B$1503,$K116),INDEX(资金台帐!$B$7:$B$3006,$K116-1500)))</f>
      </c>
      <c r="C116" s="141">
        <f>IF($K116="","",IF($K116&lt;=1500,IF(N(INDEX(采购进货!$E$4:$E$1503,$K116))&lt;0,"退货","进货"),IF(INDEX(资金台帐!$S$7:$S$3006,$K116-1500)&lt;=0,"付款","退款")&amp;"（"&amp;INDEX(资金台帐!$C$7:$C$3006,$K116-1500)&amp;"）"))</f>
      </c>
      <c r="D116" s="141">
        <f>IF($K116="","",IF($K116&lt;=1500,INDEX(采购进货!$D$4:$D$1503,$K116)&amp;"",""))</f>
      </c>
      <c r="E116" s="148">
        <f>IF($K116="","",IF($K116&lt;=1500,N(INDEX(采购进货!$E$4:$E$1503,$K116))+N(INDEX(采购进货!$H$4:$H$1503,$K116)),""))</f>
      </c>
      <c r="F116" s="149">
        <f>IF($K116="","",IF($K116&lt;=1500,INDEX(采购进货!$F$4:$F$1503,$K116),""))</f>
      </c>
      <c r="G116" s="186">
        <f>IF($K116="","",IF($K116&lt;=1500,N(INDEX(采购进货!$G$4:$G$1503,$K116)),""))</f>
      </c>
      <c r="H116" s="186">
        <f>IF($K116="","",IF($K116&lt;=1500,"",-INDEX(资金台帐!$S$7:$S$3006,$K116-1500)))</f>
      </c>
      <c r="I116" s="187">
        <f>IF($K116="","",I115+N(G116)-N(H116))</f>
      </c>
      <c r="J116" s="213">
        <f>IF($K116="","",IF($K116&lt;=1500,IF(N(INDEX(采购进货!$H$4:$H$1503,$K116))&lt;&gt;0,"含赠品"&amp;INDEX(采购进货!$H$4:$H$1503,$K116)&amp;"件 ","")&amp;INDEX(采购进货!$I$4:$I$1503,$K116),INDEX(资金台帐!$E$7:$E$3006,$K116-1500)&amp;""))</f>
      </c>
      <c r="K116" s="78">
        <f>IFERROR(MATCH(SMALL(_辅助!$H$4:$H$4503,77),_辅助!$H$4:$H$4503,0),"")</f>
      </c>
    </row>
    <row r="117">
      <c r="A117" s="141">
        <f>IF($K117="","",78)</f>
      </c>
      <c r="B117" s="140">
        <f>IF($K117="","",IF($K117&lt;=1500,INDEX(采购进货!$B$4:$B$1503,$K117),INDEX(资金台帐!$B$7:$B$3006,$K117-1500)))</f>
      </c>
      <c r="C117" s="141">
        <f>IF($K117="","",IF($K117&lt;=1500,IF(N(INDEX(采购进货!$E$4:$E$1503,$K117))&lt;0,"退货","进货"),IF(INDEX(资金台帐!$S$7:$S$3006,$K117-1500)&lt;=0,"付款","退款")&amp;"（"&amp;INDEX(资金台帐!$C$7:$C$3006,$K117-1500)&amp;"）"))</f>
      </c>
      <c r="D117" s="141">
        <f>IF($K117="","",IF($K117&lt;=1500,INDEX(采购进货!$D$4:$D$1503,$K117)&amp;"",""))</f>
      </c>
      <c r="E117" s="148">
        <f>IF($K117="","",IF($K117&lt;=1500,N(INDEX(采购进货!$E$4:$E$1503,$K117))+N(INDEX(采购进货!$H$4:$H$1503,$K117)),""))</f>
      </c>
      <c r="F117" s="149">
        <f>IF($K117="","",IF($K117&lt;=1500,INDEX(采购进货!$F$4:$F$1503,$K117),""))</f>
      </c>
      <c r="G117" s="186">
        <f>IF($K117="","",IF($K117&lt;=1500,N(INDEX(采购进货!$G$4:$G$1503,$K117)),""))</f>
      </c>
      <c r="H117" s="186">
        <f>IF($K117="","",IF($K117&lt;=1500,"",-INDEX(资金台帐!$S$7:$S$3006,$K117-1500)))</f>
      </c>
      <c r="I117" s="187">
        <f>IF($K117="","",I116+N(G117)-N(H117))</f>
      </c>
      <c r="J117" s="213">
        <f>IF($K117="","",IF($K117&lt;=1500,IF(N(INDEX(采购进货!$H$4:$H$1503,$K117))&lt;&gt;0,"含赠品"&amp;INDEX(采购进货!$H$4:$H$1503,$K117)&amp;"件 ","")&amp;INDEX(采购进货!$I$4:$I$1503,$K117),INDEX(资金台帐!$E$7:$E$3006,$K117-1500)&amp;""))</f>
      </c>
      <c r="K117" s="78">
        <f>IFERROR(MATCH(SMALL(_辅助!$H$4:$H$4503,78),_辅助!$H$4:$H$4503,0),"")</f>
      </c>
    </row>
    <row r="118">
      <c r="A118" s="141">
        <f>IF($K118="","",79)</f>
      </c>
      <c r="B118" s="140">
        <f>IF($K118="","",IF($K118&lt;=1500,INDEX(采购进货!$B$4:$B$1503,$K118),INDEX(资金台帐!$B$7:$B$3006,$K118-1500)))</f>
      </c>
      <c r="C118" s="141">
        <f>IF($K118="","",IF($K118&lt;=1500,IF(N(INDEX(采购进货!$E$4:$E$1503,$K118))&lt;0,"退货","进货"),IF(INDEX(资金台帐!$S$7:$S$3006,$K118-1500)&lt;=0,"付款","退款")&amp;"（"&amp;INDEX(资金台帐!$C$7:$C$3006,$K118-1500)&amp;"）"))</f>
      </c>
      <c r="D118" s="141">
        <f>IF($K118="","",IF($K118&lt;=1500,INDEX(采购进货!$D$4:$D$1503,$K118)&amp;"",""))</f>
      </c>
      <c r="E118" s="148">
        <f>IF($K118="","",IF($K118&lt;=1500,N(INDEX(采购进货!$E$4:$E$1503,$K118))+N(INDEX(采购进货!$H$4:$H$1503,$K118)),""))</f>
      </c>
      <c r="F118" s="149">
        <f>IF($K118="","",IF($K118&lt;=1500,INDEX(采购进货!$F$4:$F$1503,$K118),""))</f>
      </c>
      <c r="G118" s="186">
        <f>IF($K118="","",IF($K118&lt;=1500,N(INDEX(采购进货!$G$4:$G$1503,$K118)),""))</f>
      </c>
      <c r="H118" s="186">
        <f>IF($K118="","",IF($K118&lt;=1500,"",-INDEX(资金台帐!$S$7:$S$3006,$K118-1500)))</f>
      </c>
      <c r="I118" s="187">
        <f>IF($K118="","",I117+N(G118)-N(H118))</f>
      </c>
      <c r="J118" s="213">
        <f>IF($K118="","",IF($K118&lt;=1500,IF(N(INDEX(采购进货!$H$4:$H$1503,$K118))&lt;&gt;0,"含赠品"&amp;INDEX(采购进货!$H$4:$H$1503,$K118)&amp;"件 ","")&amp;INDEX(采购进货!$I$4:$I$1503,$K118),INDEX(资金台帐!$E$7:$E$3006,$K118-1500)&amp;""))</f>
      </c>
      <c r="K118" s="78">
        <f>IFERROR(MATCH(SMALL(_辅助!$H$4:$H$4503,79),_辅助!$H$4:$H$4503,0),"")</f>
      </c>
    </row>
    <row r="119">
      <c r="A119" s="141">
        <f>IF($K119="","",80)</f>
      </c>
      <c r="B119" s="140">
        <f>IF($K119="","",IF($K119&lt;=1500,INDEX(采购进货!$B$4:$B$1503,$K119),INDEX(资金台帐!$B$7:$B$3006,$K119-1500)))</f>
      </c>
      <c r="C119" s="141">
        <f>IF($K119="","",IF($K119&lt;=1500,IF(N(INDEX(采购进货!$E$4:$E$1503,$K119))&lt;0,"退货","进货"),IF(INDEX(资金台帐!$S$7:$S$3006,$K119-1500)&lt;=0,"付款","退款")&amp;"（"&amp;INDEX(资金台帐!$C$7:$C$3006,$K119-1500)&amp;"）"))</f>
      </c>
      <c r="D119" s="141">
        <f>IF($K119="","",IF($K119&lt;=1500,INDEX(采购进货!$D$4:$D$1503,$K119)&amp;"",""))</f>
      </c>
      <c r="E119" s="148">
        <f>IF($K119="","",IF($K119&lt;=1500,N(INDEX(采购进货!$E$4:$E$1503,$K119))+N(INDEX(采购进货!$H$4:$H$1503,$K119)),""))</f>
      </c>
      <c r="F119" s="149">
        <f>IF($K119="","",IF($K119&lt;=1500,INDEX(采购进货!$F$4:$F$1503,$K119),""))</f>
      </c>
      <c r="G119" s="186">
        <f>IF($K119="","",IF($K119&lt;=1500,N(INDEX(采购进货!$G$4:$G$1503,$K119)),""))</f>
      </c>
      <c r="H119" s="186">
        <f>IF($K119="","",IF($K119&lt;=1500,"",-INDEX(资金台帐!$S$7:$S$3006,$K119-1500)))</f>
      </c>
      <c r="I119" s="187">
        <f>IF($K119="","",I118+N(G119)-N(H119))</f>
      </c>
      <c r="J119" s="213">
        <f>IF($K119="","",IF($K119&lt;=1500,IF(N(INDEX(采购进货!$H$4:$H$1503,$K119))&lt;&gt;0,"含赠品"&amp;INDEX(采购进货!$H$4:$H$1503,$K119)&amp;"件 ","")&amp;INDEX(采购进货!$I$4:$I$1503,$K119),INDEX(资金台帐!$E$7:$E$3006,$K119-1500)&amp;""))</f>
      </c>
      <c r="K119" s="78">
        <f>IFERROR(MATCH(SMALL(_辅助!$H$4:$H$4503,80),_辅助!$H$4:$H$4503,0),"")</f>
      </c>
    </row>
    <row r="120">
      <c r="A120" s="141">
        <f>IF($K120="","",81)</f>
      </c>
      <c r="B120" s="140">
        <f>IF($K120="","",IF($K120&lt;=1500,INDEX(采购进货!$B$4:$B$1503,$K120),INDEX(资金台帐!$B$7:$B$3006,$K120-1500)))</f>
      </c>
      <c r="C120" s="141">
        <f>IF($K120="","",IF($K120&lt;=1500,IF(N(INDEX(采购进货!$E$4:$E$1503,$K120))&lt;0,"退货","进货"),IF(INDEX(资金台帐!$S$7:$S$3006,$K120-1500)&lt;=0,"付款","退款")&amp;"（"&amp;INDEX(资金台帐!$C$7:$C$3006,$K120-1500)&amp;"）"))</f>
      </c>
      <c r="D120" s="141">
        <f>IF($K120="","",IF($K120&lt;=1500,INDEX(采购进货!$D$4:$D$1503,$K120)&amp;"",""))</f>
      </c>
      <c r="E120" s="148">
        <f>IF($K120="","",IF($K120&lt;=1500,N(INDEX(采购进货!$E$4:$E$1503,$K120))+N(INDEX(采购进货!$H$4:$H$1503,$K120)),""))</f>
      </c>
      <c r="F120" s="149">
        <f>IF($K120="","",IF($K120&lt;=1500,INDEX(采购进货!$F$4:$F$1503,$K120),""))</f>
      </c>
      <c r="G120" s="186">
        <f>IF($K120="","",IF($K120&lt;=1500,N(INDEX(采购进货!$G$4:$G$1503,$K120)),""))</f>
      </c>
      <c r="H120" s="186">
        <f>IF($K120="","",IF($K120&lt;=1500,"",-INDEX(资金台帐!$S$7:$S$3006,$K120-1500)))</f>
      </c>
      <c r="I120" s="187">
        <f>IF($K120="","",I119+N(G120)-N(H120))</f>
      </c>
      <c r="J120" s="213">
        <f>IF($K120="","",IF($K120&lt;=1500,IF(N(INDEX(采购进货!$H$4:$H$1503,$K120))&lt;&gt;0,"含赠品"&amp;INDEX(采购进货!$H$4:$H$1503,$K120)&amp;"件 ","")&amp;INDEX(采购进货!$I$4:$I$1503,$K120),INDEX(资金台帐!$E$7:$E$3006,$K120-1500)&amp;""))</f>
      </c>
      <c r="K120" s="78">
        <f>IFERROR(MATCH(SMALL(_辅助!$H$4:$H$4503,81),_辅助!$H$4:$H$4503,0),"")</f>
      </c>
    </row>
    <row r="121">
      <c r="A121" s="141">
        <f>IF($K121="","",82)</f>
      </c>
      <c r="B121" s="140">
        <f>IF($K121="","",IF($K121&lt;=1500,INDEX(采购进货!$B$4:$B$1503,$K121),INDEX(资金台帐!$B$7:$B$3006,$K121-1500)))</f>
      </c>
      <c r="C121" s="141">
        <f>IF($K121="","",IF($K121&lt;=1500,IF(N(INDEX(采购进货!$E$4:$E$1503,$K121))&lt;0,"退货","进货"),IF(INDEX(资金台帐!$S$7:$S$3006,$K121-1500)&lt;=0,"付款","退款")&amp;"（"&amp;INDEX(资金台帐!$C$7:$C$3006,$K121-1500)&amp;"）"))</f>
      </c>
      <c r="D121" s="141">
        <f>IF($K121="","",IF($K121&lt;=1500,INDEX(采购进货!$D$4:$D$1503,$K121)&amp;"",""))</f>
      </c>
      <c r="E121" s="148">
        <f>IF($K121="","",IF($K121&lt;=1500,N(INDEX(采购进货!$E$4:$E$1503,$K121))+N(INDEX(采购进货!$H$4:$H$1503,$K121)),""))</f>
      </c>
      <c r="F121" s="149">
        <f>IF($K121="","",IF($K121&lt;=1500,INDEX(采购进货!$F$4:$F$1503,$K121),""))</f>
      </c>
      <c r="G121" s="186">
        <f>IF($K121="","",IF($K121&lt;=1500,N(INDEX(采购进货!$G$4:$G$1503,$K121)),""))</f>
      </c>
      <c r="H121" s="186">
        <f>IF($K121="","",IF($K121&lt;=1500,"",-INDEX(资金台帐!$S$7:$S$3006,$K121-1500)))</f>
      </c>
      <c r="I121" s="187">
        <f>IF($K121="","",I120+N(G121)-N(H121))</f>
      </c>
      <c r="J121" s="213">
        <f>IF($K121="","",IF($K121&lt;=1500,IF(N(INDEX(采购进货!$H$4:$H$1503,$K121))&lt;&gt;0,"含赠品"&amp;INDEX(采购进货!$H$4:$H$1503,$K121)&amp;"件 ","")&amp;INDEX(采购进货!$I$4:$I$1503,$K121),INDEX(资金台帐!$E$7:$E$3006,$K121-1500)&amp;""))</f>
      </c>
      <c r="K121" s="78">
        <f>IFERROR(MATCH(SMALL(_辅助!$H$4:$H$4503,82),_辅助!$H$4:$H$4503,0),"")</f>
      </c>
    </row>
    <row r="122">
      <c r="A122" s="141">
        <f>IF($K122="","",83)</f>
      </c>
      <c r="B122" s="140">
        <f>IF($K122="","",IF($K122&lt;=1500,INDEX(采购进货!$B$4:$B$1503,$K122),INDEX(资金台帐!$B$7:$B$3006,$K122-1500)))</f>
      </c>
      <c r="C122" s="141">
        <f>IF($K122="","",IF($K122&lt;=1500,IF(N(INDEX(采购进货!$E$4:$E$1503,$K122))&lt;0,"退货","进货"),IF(INDEX(资金台帐!$S$7:$S$3006,$K122-1500)&lt;=0,"付款","退款")&amp;"（"&amp;INDEX(资金台帐!$C$7:$C$3006,$K122-1500)&amp;"）"))</f>
      </c>
      <c r="D122" s="141">
        <f>IF($K122="","",IF($K122&lt;=1500,INDEX(采购进货!$D$4:$D$1503,$K122)&amp;"",""))</f>
      </c>
      <c r="E122" s="148">
        <f>IF($K122="","",IF($K122&lt;=1500,N(INDEX(采购进货!$E$4:$E$1503,$K122))+N(INDEX(采购进货!$H$4:$H$1503,$K122)),""))</f>
      </c>
      <c r="F122" s="149">
        <f>IF($K122="","",IF($K122&lt;=1500,INDEX(采购进货!$F$4:$F$1503,$K122),""))</f>
      </c>
      <c r="G122" s="186">
        <f>IF($K122="","",IF($K122&lt;=1500,N(INDEX(采购进货!$G$4:$G$1503,$K122)),""))</f>
      </c>
      <c r="H122" s="186">
        <f>IF($K122="","",IF($K122&lt;=1500,"",-INDEX(资金台帐!$S$7:$S$3006,$K122-1500)))</f>
      </c>
      <c r="I122" s="187">
        <f>IF($K122="","",I121+N(G122)-N(H122))</f>
      </c>
      <c r="J122" s="213">
        <f>IF($K122="","",IF($K122&lt;=1500,IF(N(INDEX(采购进货!$H$4:$H$1503,$K122))&lt;&gt;0,"含赠品"&amp;INDEX(采购进货!$H$4:$H$1503,$K122)&amp;"件 ","")&amp;INDEX(采购进货!$I$4:$I$1503,$K122),INDEX(资金台帐!$E$7:$E$3006,$K122-1500)&amp;""))</f>
      </c>
      <c r="K122" s="78">
        <f>IFERROR(MATCH(SMALL(_辅助!$H$4:$H$4503,83),_辅助!$H$4:$H$4503,0),"")</f>
      </c>
    </row>
    <row r="123">
      <c r="A123" s="141">
        <f>IF($K123="","",84)</f>
      </c>
      <c r="B123" s="140">
        <f>IF($K123="","",IF($K123&lt;=1500,INDEX(采购进货!$B$4:$B$1503,$K123),INDEX(资金台帐!$B$7:$B$3006,$K123-1500)))</f>
      </c>
      <c r="C123" s="141">
        <f>IF($K123="","",IF($K123&lt;=1500,IF(N(INDEX(采购进货!$E$4:$E$1503,$K123))&lt;0,"退货","进货"),IF(INDEX(资金台帐!$S$7:$S$3006,$K123-1500)&lt;=0,"付款","退款")&amp;"（"&amp;INDEX(资金台帐!$C$7:$C$3006,$K123-1500)&amp;"）"))</f>
      </c>
      <c r="D123" s="141">
        <f>IF($K123="","",IF($K123&lt;=1500,INDEX(采购进货!$D$4:$D$1503,$K123)&amp;"",""))</f>
      </c>
      <c r="E123" s="148">
        <f>IF($K123="","",IF($K123&lt;=1500,N(INDEX(采购进货!$E$4:$E$1503,$K123))+N(INDEX(采购进货!$H$4:$H$1503,$K123)),""))</f>
      </c>
      <c r="F123" s="149">
        <f>IF($K123="","",IF($K123&lt;=1500,INDEX(采购进货!$F$4:$F$1503,$K123),""))</f>
      </c>
      <c r="G123" s="186">
        <f>IF($K123="","",IF($K123&lt;=1500,N(INDEX(采购进货!$G$4:$G$1503,$K123)),""))</f>
      </c>
      <c r="H123" s="186">
        <f>IF($K123="","",IF($K123&lt;=1500,"",-INDEX(资金台帐!$S$7:$S$3006,$K123-1500)))</f>
      </c>
      <c r="I123" s="187">
        <f>IF($K123="","",I122+N(G123)-N(H123))</f>
      </c>
      <c r="J123" s="213">
        <f>IF($K123="","",IF($K123&lt;=1500,IF(N(INDEX(采购进货!$H$4:$H$1503,$K123))&lt;&gt;0,"含赠品"&amp;INDEX(采购进货!$H$4:$H$1503,$K123)&amp;"件 ","")&amp;INDEX(采购进货!$I$4:$I$1503,$K123),INDEX(资金台帐!$E$7:$E$3006,$K123-1500)&amp;""))</f>
      </c>
      <c r="K123" s="78">
        <f>IFERROR(MATCH(SMALL(_辅助!$H$4:$H$4503,84),_辅助!$H$4:$H$4503,0),"")</f>
      </c>
    </row>
    <row r="124">
      <c r="A124" s="141">
        <f>IF($K124="","",85)</f>
      </c>
      <c r="B124" s="140">
        <f>IF($K124="","",IF($K124&lt;=1500,INDEX(采购进货!$B$4:$B$1503,$K124),INDEX(资金台帐!$B$7:$B$3006,$K124-1500)))</f>
      </c>
      <c r="C124" s="141">
        <f>IF($K124="","",IF($K124&lt;=1500,IF(N(INDEX(采购进货!$E$4:$E$1503,$K124))&lt;0,"退货","进货"),IF(INDEX(资金台帐!$S$7:$S$3006,$K124-1500)&lt;=0,"付款","退款")&amp;"（"&amp;INDEX(资金台帐!$C$7:$C$3006,$K124-1500)&amp;"）"))</f>
      </c>
      <c r="D124" s="141">
        <f>IF($K124="","",IF($K124&lt;=1500,INDEX(采购进货!$D$4:$D$1503,$K124)&amp;"",""))</f>
      </c>
      <c r="E124" s="148">
        <f>IF($K124="","",IF($K124&lt;=1500,N(INDEX(采购进货!$E$4:$E$1503,$K124))+N(INDEX(采购进货!$H$4:$H$1503,$K124)),""))</f>
      </c>
      <c r="F124" s="149">
        <f>IF($K124="","",IF($K124&lt;=1500,INDEX(采购进货!$F$4:$F$1503,$K124),""))</f>
      </c>
      <c r="G124" s="186">
        <f>IF($K124="","",IF($K124&lt;=1500,N(INDEX(采购进货!$G$4:$G$1503,$K124)),""))</f>
      </c>
      <c r="H124" s="186">
        <f>IF($K124="","",IF($K124&lt;=1500,"",-INDEX(资金台帐!$S$7:$S$3006,$K124-1500)))</f>
      </c>
      <c r="I124" s="187">
        <f>IF($K124="","",I123+N(G124)-N(H124))</f>
      </c>
      <c r="J124" s="213">
        <f>IF($K124="","",IF($K124&lt;=1500,IF(N(INDEX(采购进货!$H$4:$H$1503,$K124))&lt;&gt;0,"含赠品"&amp;INDEX(采购进货!$H$4:$H$1503,$K124)&amp;"件 ","")&amp;INDEX(采购进货!$I$4:$I$1503,$K124),INDEX(资金台帐!$E$7:$E$3006,$K124-1500)&amp;""))</f>
      </c>
      <c r="K124" s="78">
        <f>IFERROR(MATCH(SMALL(_辅助!$H$4:$H$4503,85),_辅助!$H$4:$H$4503,0),"")</f>
      </c>
    </row>
    <row r="125">
      <c r="A125" s="141">
        <f>IF($K125="","",86)</f>
      </c>
      <c r="B125" s="140">
        <f>IF($K125="","",IF($K125&lt;=1500,INDEX(采购进货!$B$4:$B$1503,$K125),INDEX(资金台帐!$B$7:$B$3006,$K125-1500)))</f>
      </c>
      <c r="C125" s="141">
        <f>IF($K125="","",IF($K125&lt;=1500,IF(N(INDEX(采购进货!$E$4:$E$1503,$K125))&lt;0,"退货","进货"),IF(INDEX(资金台帐!$S$7:$S$3006,$K125-1500)&lt;=0,"付款","退款")&amp;"（"&amp;INDEX(资金台帐!$C$7:$C$3006,$K125-1500)&amp;"）"))</f>
      </c>
      <c r="D125" s="141">
        <f>IF($K125="","",IF($K125&lt;=1500,INDEX(采购进货!$D$4:$D$1503,$K125)&amp;"",""))</f>
      </c>
      <c r="E125" s="148">
        <f>IF($K125="","",IF($K125&lt;=1500,N(INDEX(采购进货!$E$4:$E$1503,$K125))+N(INDEX(采购进货!$H$4:$H$1503,$K125)),""))</f>
      </c>
      <c r="F125" s="149">
        <f>IF($K125="","",IF($K125&lt;=1500,INDEX(采购进货!$F$4:$F$1503,$K125),""))</f>
      </c>
      <c r="G125" s="186">
        <f>IF($K125="","",IF($K125&lt;=1500,N(INDEX(采购进货!$G$4:$G$1503,$K125)),""))</f>
      </c>
      <c r="H125" s="186">
        <f>IF($K125="","",IF($K125&lt;=1500,"",-INDEX(资金台帐!$S$7:$S$3006,$K125-1500)))</f>
      </c>
      <c r="I125" s="187">
        <f>IF($K125="","",I124+N(G125)-N(H125))</f>
      </c>
      <c r="J125" s="213">
        <f>IF($K125="","",IF($K125&lt;=1500,IF(N(INDEX(采购进货!$H$4:$H$1503,$K125))&lt;&gt;0,"含赠品"&amp;INDEX(采购进货!$H$4:$H$1503,$K125)&amp;"件 ","")&amp;INDEX(采购进货!$I$4:$I$1503,$K125),INDEX(资金台帐!$E$7:$E$3006,$K125-1500)&amp;""))</f>
      </c>
      <c r="K125" s="78">
        <f>IFERROR(MATCH(SMALL(_辅助!$H$4:$H$4503,86),_辅助!$H$4:$H$4503,0),"")</f>
      </c>
    </row>
    <row r="126">
      <c r="A126" s="141">
        <f>IF($K126="","",87)</f>
      </c>
      <c r="B126" s="140">
        <f>IF($K126="","",IF($K126&lt;=1500,INDEX(采购进货!$B$4:$B$1503,$K126),INDEX(资金台帐!$B$7:$B$3006,$K126-1500)))</f>
      </c>
      <c r="C126" s="141">
        <f>IF($K126="","",IF($K126&lt;=1500,IF(N(INDEX(采购进货!$E$4:$E$1503,$K126))&lt;0,"退货","进货"),IF(INDEX(资金台帐!$S$7:$S$3006,$K126-1500)&lt;=0,"付款","退款")&amp;"（"&amp;INDEX(资金台帐!$C$7:$C$3006,$K126-1500)&amp;"）"))</f>
      </c>
      <c r="D126" s="141">
        <f>IF($K126="","",IF($K126&lt;=1500,INDEX(采购进货!$D$4:$D$1503,$K126)&amp;"",""))</f>
      </c>
      <c r="E126" s="148">
        <f>IF($K126="","",IF($K126&lt;=1500,N(INDEX(采购进货!$E$4:$E$1503,$K126))+N(INDEX(采购进货!$H$4:$H$1503,$K126)),""))</f>
      </c>
      <c r="F126" s="149">
        <f>IF($K126="","",IF($K126&lt;=1500,INDEX(采购进货!$F$4:$F$1503,$K126),""))</f>
      </c>
      <c r="G126" s="186">
        <f>IF($K126="","",IF($K126&lt;=1500,N(INDEX(采购进货!$G$4:$G$1503,$K126)),""))</f>
      </c>
      <c r="H126" s="186">
        <f>IF($K126="","",IF($K126&lt;=1500,"",-INDEX(资金台帐!$S$7:$S$3006,$K126-1500)))</f>
      </c>
      <c r="I126" s="187">
        <f>IF($K126="","",I125+N(G126)-N(H126))</f>
      </c>
      <c r="J126" s="213">
        <f>IF($K126="","",IF($K126&lt;=1500,IF(N(INDEX(采购进货!$H$4:$H$1503,$K126))&lt;&gt;0,"含赠品"&amp;INDEX(采购进货!$H$4:$H$1503,$K126)&amp;"件 ","")&amp;INDEX(采购进货!$I$4:$I$1503,$K126),INDEX(资金台帐!$E$7:$E$3006,$K126-1500)&amp;""))</f>
      </c>
      <c r="K126" s="78">
        <f>IFERROR(MATCH(SMALL(_辅助!$H$4:$H$4503,87),_辅助!$H$4:$H$4503,0),"")</f>
      </c>
    </row>
    <row r="127">
      <c r="A127" s="141">
        <f>IF($K127="","",88)</f>
      </c>
      <c r="B127" s="140">
        <f>IF($K127="","",IF($K127&lt;=1500,INDEX(采购进货!$B$4:$B$1503,$K127),INDEX(资金台帐!$B$7:$B$3006,$K127-1500)))</f>
      </c>
      <c r="C127" s="141">
        <f>IF($K127="","",IF($K127&lt;=1500,IF(N(INDEX(采购进货!$E$4:$E$1503,$K127))&lt;0,"退货","进货"),IF(INDEX(资金台帐!$S$7:$S$3006,$K127-1500)&lt;=0,"付款","退款")&amp;"（"&amp;INDEX(资金台帐!$C$7:$C$3006,$K127-1500)&amp;"）"))</f>
      </c>
      <c r="D127" s="141">
        <f>IF($K127="","",IF($K127&lt;=1500,INDEX(采购进货!$D$4:$D$1503,$K127)&amp;"",""))</f>
      </c>
      <c r="E127" s="148">
        <f>IF($K127="","",IF($K127&lt;=1500,N(INDEX(采购进货!$E$4:$E$1503,$K127))+N(INDEX(采购进货!$H$4:$H$1503,$K127)),""))</f>
      </c>
      <c r="F127" s="149">
        <f>IF($K127="","",IF($K127&lt;=1500,INDEX(采购进货!$F$4:$F$1503,$K127),""))</f>
      </c>
      <c r="G127" s="186">
        <f>IF($K127="","",IF($K127&lt;=1500,N(INDEX(采购进货!$G$4:$G$1503,$K127)),""))</f>
      </c>
      <c r="H127" s="186">
        <f>IF($K127="","",IF($K127&lt;=1500,"",-INDEX(资金台帐!$S$7:$S$3006,$K127-1500)))</f>
      </c>
      <c r="I127" s="187">
        <f>IF($K127="","",I126+N(G127)-N(H127))</f>
      </c>
      <c r="J127" s="213">
        <f>IF($K127="","",IF($K127&lt;=1500,IF(N(INDEX(采购进货!$H$4:$H$1503,$K127))&lt;&gt;0,"含赠品"&amp;INDEX(采购进货!$H$4:$H$1503,$K127)&amp;"件 ","")&amp;INDEX(采购进货!$I$4:$I$1503,$K127),INDEX(资金台帐!$E$7:$E$3006,$K127-1500)&amp;""))</f>
      </c>
      <c r="K127" s="78">
        <f>IFERROR(MATCH(SMALL(_辅助!$H$4:$H$4503,88),_辅助!$H$4:$H$4503,0),"")</f>
      </c>
    </row>
    <row r="128">
      <c r="A128" s="141">
        <f>IF($K128="","",89)</f>
      </c>
      <c r="B128" s="140">
        <f>IF($K128="","",IF($K128&lt;=1500,INDEX(采购进货!$B$4:$B$1503,$K128),INDEX(资金台帐!$B$7:$B$3006,$K128-1500)))</f>
      </c>
      <c r="C128" s="141">
        <f>IF($K128="","",IF($K128&lt;=1500,IF(N(INDEX(采购进货!$E$4:$E$1503,$K128))&lt;0,"退货","进货"),IF(INDEX(资金台帐!$S$7:$S$3006,$K128-1500)&lt;=0,"付款","退款")&amp;"（"&amp;INDEX(资金台帐!$C$7:$C$3006,$K128-1500)&amp;"）"))</f>
      </c>
      <c r="D128" s="141">
        <f>IF($K128="","",IF($K128&lt;=1500,INDEX(采购进货!$D$4:$D$1503,$K128)&amp;"",""))</f>
      </c>
      <c r="E128" s="148">
        <f>IF($K128="","",IF($K128&lt;=1500,N(INDEX(采购进货!$E$4:$E$1503,$K128))+N(INDEX(采购进货!$H$4:$H$1503,$K128)),""))</f>
      </c>
      <c r="F128" s="149">
        <f>IF($K128="","",IF($K128&lt;=1500,INDEX(采购进货!$F$4:$F$1503,$K128),""))</f>
      </c>
      <c r="G128" s="186">
        <f>IF($K128="","",IF($K128&lt;=1500,N(INDEX(采购进货!$G$4:$G$1503,$K128)),""))</f>
      </c>
      <c r="H128" s="186">
        <f>IF($K128="","",IF($K128&lt;=1500,"",-INDEX(资金台帐!$S$7:$S$3006,$K128-1500)))</f>
      </c>
      <c r="I128" s="187">
        <f>IF($K128="","",I127+N(G128)-N(H128))</f>
      </c>
      <c r="J128" s="213">
        <f>IF($K128="","",IF($K128&lt;=1500,IF(N(INDEX(采购进货!$H$4:$H$1503,$K128))&lt;&gt;0,"含赠品"&amp;INDEX(采购进货!$H$4:$H$1503,$K128)&amp;"件 ","")&amp;INDEX(采购进货!$I$4:$I$1503,$K128),INDEX(资金台帐!$E$7:$E$3006,$K128-1500)&amp;""))</f>
      </c>
      <c r="K128" s="78">
        <f>IFERROR(MATCH(SMALL(_辅助!$H$4:$H$4503,89),_辅助!$H$4:$H$4503,0),"")</f>
      </c>
    </row>
    <row r="129">
      <c r="A129" s="141">
        <f>IF($K129="","",90)</f>
      </c>
      <c r="B129" s="140">
        <f>IF($K129="","",IF($K129&lt;=1500,INDEX(采购进货!$B$4:$B$1503,$K129),INDEX(资金台帐!$B$7:$B$3006,$K129-1500)))</f>
      </c>
      <c r="C129" s="141">
        <f>IF($K129="","",IF($K129&lt;=1500,IF(N(INDEX(采购进货!$E$4:$E$1503,$K129))&lt;0,"退货","进货"),IF(INDEX(资金台帐!$S$7:$S$3006,$K129-1500)&lt;=0,"付款","退款")&amp;"（"&amp;INDEX(资金台帐!$C$7:$C$3006,$K129-1500)&amp;"）"))</f>
      </c>
      <c r="D129" s="141">
        <f>IF($K129="","",IF($K129&lt;=1500,INDEX(采购进货!$D$4:$D$1503,$K129)&amp;"",""))</f>
      </c>
      <c r="E129" s="148">
        <f>IF($K129="","",IF($K129&lt;=1500,N(INDEX(采购进货!$E$4:$E$1503,$K129))+N(INDEX(采购进货!$H$4:$H$1503,$K129)),""))</f>
      </c>
      <c r="F129" s="149">
        <f>IF($K129="","",IF($K129&lt;=1500,INDEX(采购进货!$F$4:$F$1503,$K129),""))</f>
      </c>
      <c r="G129" s="186">
        <f>IF($K129="","",IF($K129&lt;=1500,N(INDEX(采购进货!$G$4:$G$1503,$K129)),""))</f>
      </c>
      <c r="H129" s="186">
        <f>IF($K129="","",IF($K129&lt;=1500,"",-INDEX(资金台帐!$S$7:$S$3006,$K129-1500)))</f>
      </c>
      <c r="I129" s="187">
        <f>IF($K129="","",I128+N(G129)-N(H129))</f>
      </c>
      <c r="J129" s="213">
        <f>IF($K129="","",IF($K129&lt;=1500,IF(N(INDEX(采购进货!$H$4:$H$1503,$K129))&lt;&gt;0,"含赠品"&amp;INDEX(采购进货!$H$4:$H$1503,$K129)&amp;"件 ","")&amp;INDEX(采购进货!$I$4:$I$1503,$K129),INDEX(资金台帐!$E$7:$E$3006,$K129-1500)&amp;""))</f>
      </c>
      <c r="K129" s="78">
        <f>IFERROR(MATCH(SMALL(_辅助!$H$4:$H$4503,90),_辅助!$H$4:$H$4503,0),"")</f>
      </c>
    </row>
    <row r="130">
      <c r="A130" s="141">
        <f>IF($K130="","",91)</f>
      </c>
      <c r="B130" s="140">
        <f>IF($K130="","",IF($K130&lt;=1500,INDEX(采购进货!$B$4:$B$1503,$K130),INDEX(资金台帐!$B$7:$B$3006,$K130-1500)))</f>
      </c>
      <c r="C130" s="141">
        <f>IF($K130="","",IF($K130&lt;=1500,IF(N(INDEX(采购进货!$E$4:$E$1503,$K130))&lt;0,"退货","进货"),IF(INDEX(资金台帐!$S$7:$S$3006,$K130-1500)&lt;=0,"付款","退款")&amp;"（"&amp;INDEX(资金台帐!$C$7:$C$3006,$K130-1500)&amp;"）"))</f>
      </c>
      <c r="D130" s="141">
        <f>IF($K130="","",IF($K130&lt;=1500,INDEX(采购进货!$D$4:$D$1503,$K130)&amp;"",""))</f>
      </c>
      <c r="E130" s="148">
        <f>IF($K130="","",IF($K130&lt;=1500,N(INDEX(采购进货!$E$4:$E$1503,$K130))+N(INDEX(采购进货!$H$4:$H$1503,$K130)),""))</f>
      </c>
      <c r="F130" s="149">
        <f>IF($K130="","",IF($K130&lt;=1500,INDEX(采购进货!$F$4:$F$1503,$K130),""))</f>
      </c>
      <c r="G130" s="186">
        <f>IF($K130="","",IF($K130&lt;=1500,N(INDEX(采购进货!$G$4:$G$1503,$K130)),""))</f>
      </c>
      <c r="H130" s="186">
        <f>IF($K130="","",IF($K130&lt;=1500,"",-INDEX(资金台帐!$S$7:$S$3006,$K130-1500)))</f>
      </c>
      <c r="I130" s="187">
        <f>IF($K130="","",I129+N(G130)-N(H130))</f>
      </c>
      <c r="J130" s="213">
        <f>IF($K130="","",IF($K130&lt;=1500,IF(N(INDEX(采购进货!$H$4:$H$1503,$K130))&lt;&gt;0,"含赠品"&amp;INDEX(采购进货!$H$4:$H$1503,$K130)&amp;"件 ","")&amp;INDEX(采购进货!$I$4:$I$1503,$K130),INDEX(资金台帐!$E$7:$E$3006,$K130-1500)&amp;""))</f>
      </c>
      <c r="K130" s="78">
        <f>IFERROR(MATCH(SMALL(_辅助!$H$4:$H$4503,91),_辅助!$H$4:$H$4503,0),"")</f>
      </c>
    </row>
    <row r="131">
      <c r="A131" s="141">
        <f>IF($K131="","",92)</f>
      </c>
      <c r="B131" s="140">
        <f>IF($K131="","",IF($K131&lt;=1500,INDEX(采购进货!$B$4:$B$1503,$K131),INDEX(资金台帐!$B$7:$B$3006,$K131-1500)))</f>
      </c>
      <c r="C131" s="141">
        <f>IF($K131="","",IF($K131&lt;=1500,IF(N(INDEX(采购进货!$E$4:$E$1503,$K131))&lt;0,"退货","进货"),IF(INDEX(资金台帐!$S$7:$S$3006,$K131-1500)&lt;=0,"付款","退款")&amp;"（"&amp;INDEX(资金台帐!$C$7:$C$3006,$K131-1500)&amp;"）"))</f>
      </c>
      <c r="D131" s="141">
        <f>IF($K131="","",IF($K131&lt;=1500,INDEX(采购进货!$D$4:$D$1503,$K131)&amp;"",""))</f>
      </c>
      <c r="E131" s="148">
        <f>IF($K131="","",IF($K131&lt;=1500,N(INDEX(采购进货!$E$4:$E$1503,$K131))+N(INDEX(采购进货!$H$4:$H$1503,$K131)),""))</f>
      </c>
      <c r="F131" s="149">
        <f>IF($K131="","",IF($K131&lt;=1500,INDEX(采购进货!$F$4:$F$1503,$K131),""))</f>
      </c>
      <c r="G131" s="186">
        <f>IF($K131="","",IF($K131&lt;=1500,N(INDEX(采购进货!$G$4:$G$1503,$K131)),""))</f>
      </c>
      <c r="H131" s="186">
        <f>IF($K131="","",IF($K131&lt;=1500,"",-INDEX(资金台帐!$S$7:$S$3006,$K131-1500)))</f>
      </c>
      <c r="I131" s="187">
        <f>IF($K131="","",I130+N(G131)-N(H131))</f>
      </c>
      <c r="J131" s="213">
        <f>IF($K131="","",IF($K131&lt;=1500,IF(N(INDEX(采购进货!$H$4:$H$1503,$K131))&lt;&gt;0,"含赠品"&amp;INDEX(采购进货!$H$4:$H$1503,$K131)&amp;"件 ","")&amp;INDEX(采购进货!$I$4:$I$1503,$K131),INDEX(资金台帐!$E$7:$E$3006,$K131-1500)&amp;""))</f>
      </c>
      <c r="K131" s="78">
        <f>IFERROR(MATCH(SMALL(_辅助!$H$4:$H$4503,92),_辅助!$H$4:$H$4503,0),"")</f>
      </c>
    </row>
    <row r="132">
      <c r="A132" s="141">
        <f>IF($K132="","",93)</f>
      </c>
      <c r="B132" s="140">
        <f>IF($K132="","",IF($K132&lt;=1500,INDEX(采购进货!$B$4:$B$1503,$K132),INDEX(资金台帐!$B$7:$B$3006,$K132-1500)))</f>
      </c>
      <c r="C132" s="141">
        <f>IF($K132="","",IF($K132&lt;=1500,IF(N(INDEX(采购进货!$E$4:$E$1503,$K132))&lt;0,"退货","进货"),IF(INDEX(资金台帐!$S$7:$S$3006,$K132-1500)&lt;=0,"付款","退款")&amp;"（"&amp;INDEX(资金台帐!$C$7:$C$3006,$K132-1500)&amp;"）"))</f>
      </c>
      <c r="D132" s="141">
        <f>IF($K132="","",IF($K132&lt;=1500,INDEX(采购进货!$D$4:$D$1503,$K132)&amp;"",""))</f>
      </c>
      <c r="E132" s="148">
        <f>IF($K132="","",IF($K132&lt;=1500,N(INDEX(采购进货!$E$4:$E$1503,$K132))+N(INDEX(采购进货!$H$4:$H$1503,$K132)),""))</f>
      </c>
      <c r="F132" s="149">
        <f>IF($K132="","",IF($K132&lt;=1500,INDEX(采购进货!$F$4:$F$1503,$K132),""))</f>
      </c>
      <c r="G132" s="186">
        <f>IF($K132="","",IF($K132&lt;=1500,N(INDEX(采购进货!$G$4:$G$1503,$K132)),""))</f>
      </c>
      <c r="H132" s="186">
        <f>IF($K132="","",IF($K132&lt;=1500,"",-INDEX(资金台帐!$S$7:$S$3006,$K132-1500)))</f>
      </c>
      <c r="I132" s="187">
        <f>IF($K132="","",I131+N(G132)-N(H132))</f>
      </c>
      <c r="J132" s="213">
        <f>IF($K132="","",IF($K132&lt;=1500,IF(N(INDEX(采购进货!$H$4:$H$1503,$K132))&lt;&gt;0,"含赠品"&amp;INDEX(采购进货!$H$4:$H$1503,$K132)&amp;"件 ","")&amp;INDEX(采购进货!$I$4:$I$1503,$K132),INDEX(资金台帐!$E$7:$E$3006,$K132-1500)&amp;""))</f>
      </c>
      <c r="K132" s="78">
        <f>IFERROR(MATCH(SMALL(_辅助!$H$4:$H$4503,93),_辅助!$H$4:$H$4503,0),"")</f>
      </c>
    </row>
    <row r="133">
      <c r="A133" s="141">
        <f>IF($K133="","",94)</f>
      </c>
      <c r="B133" s="140">
        <f>IF($K133="","",IF($K133&lt;=1500,INDEX(采购进货!$B$4:$B$1503,$K133),INDEX(资金台帐!$B$7:$B$3006,$K133-1500)))</f>
      </c>
      <c r="C133" s="141">
        <f>IF($K133="","",IF($K133&lt;=1500,IF(N(INDEX(采购进货!$E$4:$E$1503,$K133))&lt;0,"退货","进货"),IF(INDEX(资金台帐!$S$7:$S$3006,$K133-1500)&lt;=0,"付款","退款")&amp;"（"&amp;INDEX(资金台帐!$C$7:$C$3006,$K133-1500)&amp;"）"))</f>
      </c>
      <c r="D133" s="141">
        <f>IF($K133="","",IF($K133&lt;=1500,INDEX(采购进货!$D$4:$D$1503,$K133)&amp;"",""))</f>
      </c>
      <c r="E133" s="148">
        <f>IF($K133="","",IF($K133&lt;=1500,N(INDEX(采购进货!$E$4:$E$1503,$K133))+N(INDEX(采购进货!$H$4:$H$1503,$K133)),""))</f>
      </c>
      <c r="F133" s="149">
        <f>IF($K133="","",IF($K133&lt;=1500,INDEX(采购进货!$F$4:$F$1503,$K133),""))</f>
      </c>
      <c r="G133" s="186">
        <f>IF($K133="","",IF($K133&lt;=1500,N(INDEX(采购进货!$G$4:$G$1503,$K133)),""))</f>
      </c>
      <c r="H133" s="186">
        <f>IF($K133="","",IF($K133&lt;=1500,"",-INDEX(资金台帐!$S$7:$S$3006,$K133-1500)))</f>
      </c>
      <c r="I133" s="187">
        <f>IF($K133="","",I132+N(G133)-N(H133))</f>
      </c>
      <c r="J133" s="213">
        <f>IF($K133="","",IF($K133&lt;=1500,IF(N(INDEX(采购进货!$H$4:$H$1503,$K133))&lt;&gt;0,"含赠品"&amp;INDEX(采购进货!$H$4:$H$1503,$K133)&amp;"件 ","")&amp;INDEX(采购进货!$I$4:$I$1503,$K133),INDEX(资金台帐!$E$7:$E$3006,$K133-1500)&amp;""))</f>
      </c>
      <c r="K133" s="78">
        <f>IFERROR(MATCH(SMALL(_辅助!$H$4:$H$4503,94),_辅助!$H$4:$H$4503,0),"")</f>
      </c>
    </row>
    <row r="134">
      <c r="A134" s="141">
        <f>IF($K134="","",95)</f>
      </c>
      <c r="B134" s="140">
        <f>IF($K134="","",IF($K134&lt;=1500,INDEX(采购进货!$B$4:$B$1503,$K134),INDEX(资金台帐!$B$7:$B$3006,$K134-1500)))</f>
      </c>
      <c r="C134" s="141">
        <f>IF($K134="","",IF($K134&lt;=1500,IF(N(INDEX(采购进货!$E$4:$E$1503,$K134))&lt;0,"退货","进货"),IF(INDEX(资金台帐!$S$7:$S$3006,$K134-1500)&lt;=0,"付款","退款")&amp;"（"&amp;INDEX(资金台帐!$C$7:$C$3006,$K134-1500)&amp;"）"))</f>
      </c>
      <c r="D134" s="141">
        <f>IF($K134="","",IF($K134&lt;=1500,INDEX(采购进货!$D$4:$D$1503,$K134)&amp;"",""))</f>
      </c>
      <c r="E134" s="148">
        <f>IF($K134="","",IF($K134&lt;=1500,N(INDEX(采购进货!$E$4:$E$1503,$K134))+N(INDEX(采购进货!$H$4:$H$1503,$K134)),""))</f>
      </c>
      <c r="F134" s="149">
        <f>IF($K134="","",IF($K134&lt;=1500,INDEX(采购进货!$F$4:$F$1503,$K134),""))</f>
      </c>
      <c r="G134" s="186">
        <f>IF($K134="","",IF($K134&lt;=1500,N(INDEX(采购进货!$G$4:$G$1503,$K134)),""))</f>
      </c>
      <c r="H134" s="186">
        <f>IF($K134="","",IF($K134&lt;=1500,"",-INDEX(资金台帐!$S$7:$S$3006,$K134-1500)))</f>
      </c>
      <c r="I134" s="187">
        <f>IF($K134="","",I133+N(G134)-N(H134))</f>
      </c>
      <c r="J134" s="213">
        <f>IF($K134="","",IF($K134&lt;=1500,IF(N(INDEX(采购进货!$H$4:$H$1503,$K134))&lt;&gt;0,"含赠品"&amp;INDEX(采购进货!$H$4:$H$1503,$K134)&amp;"件 ","")&amp;INDEX(采购进货!$I$4:$I$1503,$K134),INDEX(资金台帐!$E$7:$E$3006,$K134-1500)&amp;""))</f>
      </c>
      <c r="K134" s="78">
        <f>IFERROR(MATCH(SMALL(_辅助!$H$4:$H$4503,95),_辅助!$H$4:$H$4503,0),"")</f>
      </c>
    </row>
    <row r="135">
      <c r="A135" s="141">
        <f>IF($K135="","",96)</f>
      </c>
      <c r="B135" s="140">
        <f>IF($K135="","",IF($K135&lt;=1500,INDEX(采购进货!$B$4:$B$1503,$K135),INDEX(资金台帐!$B$7:$B$3006,$K135-1500)))</f>
      </c>
      <c r="C135" s="141">
        <f>IF($K135="","",IF($K135&lt;=1500,IF(N(INDEX(采购进货!$E$4:$E$1503,$K135))&lt;0,"退货","进货"),IF(INDEX(资金台帐!$S$7:$S$3006,$K135-1500)&lt;=0,"付款","退款")&amp;"（"&amp;INDEX(资金台帐!$C$7:$C$3006,$K135-1500)&amp;"）"))</f>
      </c>
      <c r="D135" s="141">
        <f>IF($K135="","",IF($K135&lt;=1500,INDEX(采购进货!$D$4:$D$1503,$K135)&amp;"",""))</f>
      </c>
      <c r="E135" s="148">
        <f>IF($K135="","",IF($K135&lt;=1500,N(INDEX(采购进货!$E$4:$E$1503,$K135))+N(INDEX(采购进货!$H$4:$H$1503,$K135)),""))</f>
      </c>
      <c r="F135" s="149">
        <f>IF($K135="","",IF($K135&lt;=1500,INDEX(采购进货!$F$4:$F$1503,$K135),""))</f>
      </c>
      <c r="G135" s="186">
        <f>IF($K135="","",IF($K135&lt;=1500,N(INDEX(采购进货!$G$4:$G$1503,$K135)),""))</f>
      </c>
      <c r="H135" s="186">
        <f>IF($K135="","",IF($K135&lt;=1500,"",-INDEX(资金台帐!$S$7:$S$3006,$K135-1500)))</f>
      </c>
      <c r="I135" s="187">
        <f>IF($K135="","",I134+N(G135)-N(H135))</f>
      </c>
      <c r="J135" s="213">
        <f>IF($K135="","",IF($K135&lt;=1500,IF(N(INDEX(采购进货!$H$4:$H$1503,$K135))&lt;&gt;0,"含赠品"&amp;INDEX(采购进货!$H$4:$H$1503,$K135)&amp;"件 ","")&amp;INDEX(采购进货!$I$4:$I$1503,$K135),INDEX(资金台帐!$E$7:$E$3006,$K135-1500)&amp;""))</f>
      </c>
      <c r="K135" s="78">
        <f>IFERROR(MATCH(SMALL(_辅助!$H$4:$H$4503,96),_辅助!$H$4:$H$4503,0),"")</f>
      </c>
    </row>
    <row r="136">
      <c r="A136" s="141">
        <f>IF($K136="","",97)</f>
      </c>
      <c r="B136" s="140">
        <f>IF($K136="","",IF($K136&lt;=1500,INDEX(采购进货!$B$4:$B$1503,$K136),INDEX(资金台帐!$B$7:$B$3006,$K136-1500)))</f>
      </c>
      <c r="C136" s="141">
        <f>IF($K136="","",IF($K136&lt;=1500,IF(N(INDEX(采购进货!$E$4:$E$1503,$K136))&lt;0,"退货","进货"),IF(INDEX(资金台帐!$S$7:$S$3006,$K136-1500)&lt;=0,"付款","退款")&amp;"（"&amp;INDEX(资金台帐!$C$7:$C$3006,$K136-1500)&amp;"）"))</f>
      </c>
      <c r="D136" s="141">
        <f>IF($K136="","",IF($K136&lt;=1500,INDEX(采购进货!$D$4:$D$1503,$K136)&amp;"",""))</f>
      </c>
      <c r="E136" s="148">
        <f>IF($K136="","",IF($K136&lt;=1500,N(INDEX(采购进货!$E$4:$E$1503,$K136))+N(INDEX(采购进货!$H$4:$H$1503,$K136)),""))</f>
      </c>
      <c r="F136" s="149">
        <f>IF($K136="","",IF($K136&lt;=1500,INDEX(采购进货!$F$4:$F$1503,$K136),""))</f>
      </c>
      <c r="G136" s="186">
        <f>IF($K136="","",IF($K136&lt;=1500,N(INDEX(采购进货!$G$4:$G$1503,$K136)),""))</f>
      </c>
      <c r="H136" s="186">
        <f>IF($K136="","",IF($K136&lt;=1500,"",-INDEX(资金台帐!$S$7:$S$3006,$K136-1500)))</f>
      </c>
      <c r="I136" s="187">
        <f>IF($K136="","",I135+N(G136)-N(H136))</f>
      </c>
      <c r="J136" s="213">
        <f>IF($K136="","",IF($K136&lt;=1500,IF(N(INDEX(采购进货!$H$4:$H$1503,$K136))&lt;&gt;0,"含赠品"&amp;INDEX(采购进货!$H$4:$H$1503,$K136)&amp;"件 ","")&amp;INDEX(采购进货!$I$4:$I$1503,$K136),INDEX(资金台帐!$E$7:$E$3006,$K136-1500)&amp;""))</f>
      </c>
      <c r="K136" s="78">
        <f>IFERROR(MATCH(SMALL(_辅助!$H$4:$H$4503,97),_辅助!$H$4:$H$4503,0),"")</f>
      </c>
    </row>
    <row r="137">
      <c r="A137" s="141">
        <f>IF($K137="","",98)</f>
      </c>
      <c r="B137" s="140">
        <f>IF($K137="","",IF($K137&lt;=1500,INDEX(采购进货!$B$4:$B$1503,$K137),INDEX(资金台帐!$B$7:$B$3006,$K137-1500)))</f>
      </c>
      <c r="C137" s="141">
        <f>IF($K137="","",IF($K137&lt;=1500,IF(N(INDEX(采购进货!$E$4:$E$1503,$K137))&lt;0,"退货","进货"),IF(INDEX(资金台帐!$S$7:$S$3006,$K137-1500)&lt;=0,"付款","退款")&amp;"（"&amp;INDEX(资金台帐!$C$7:$C$3006,$K137-1500)&amp;"）"))</f>
      </c>
      <c r="D137" s="141">
        <f>IF($K137="","",IF($K137&lt;=1500,INDEX(采购进货!$D$4:$D$1503,$K137)&amp;"",""))</f>
      </c>
      <c r="E137" s="148">
        <f>IF($K137="","",IF($K137&lt;=1500,N(INDEX(采购进货!$E$4:$E$1503,$K137))+N(INDEX(采购进货!$H$4:$H$1503,$K137)),""))</f>
      </c>
      <c r="F137" s="149">
        <f>IF($K137="","",IF($K137&lt;=1500,INDEX(采购进货!$F$4:$F$1503,$K137),""))</f>
      </c>
      <c r="G137" s="186">
        <f>IF($K137="","",IF($K137&lt;=1500,N(INDEX(采购进货!$G$4:$G$1503,$K137)),""))</f>
      </c>
      <c r="H137" s="186">
        <f>IF($K137="","",IF($K137&lt;=1500,"",-INDEX(资金台帐!$S$7:$S$3006,$K137-1500)))</f>
      </c>
      <c r="I137" s="187">
        <f>IF($K137="","",I136+N(G137)-N(H137))</f>
      </c>
      <c r="J137" s="213">
        <f>IF($K137="","",IF($K137&lt;=1500,IF(N(INDEX(采购进货!$H$4:$H$1503,$K137))&lt;&gt;0,"含赠品"&amp;INDEX(采购进货!$H$4:$H$1503,$K137)&amp;"件 ","")&amp;INDEX(采购进货!$I$4:$I$1503,$K137),INDEX(资金台帐!$E$7:$E$3006,$K137-1500)&amp;""))</f>
      </c>
      <c r="K137" s="78">
        <f>IFERROR(MATCH(SMALL(_辅助!$H$4:$H$4503,98),_辅助!$H$4:$H$4503,0),"")</f>
      </c>
    </row>
    <row r="138">
      <c r="A138" s="141">
        <f>IF($K138="","",99)</f>
      </c>
      <c r="B138" s="140">
        <f>IF($K138="","",IF($K138&lt;=1500,INDEX(采购进货!$B$4:$B$1503,$K138),INDEX(资金台帐!$B$7:$B$3006,$K138-1500)))</f>
      </c>
      <c r="C138" s="141">
        <f>IF($K138="","",IF($K138&lt;=1500,IF(N(INDEX(采购进货!$E$4:$E$1503,$K138))&lt;0,"退货","进货"),IF(INDEX(资金台帐!$S$7:$S$3006,$K138-1500)&lt;=0,"付款","退款")&amp;"（"&amp;INDEX(资金台帐!$C$7:$C$3006,$K138-1500)&amp;"）"))</f>
      </c>
      <c r="D138" s="141">
        <f>IF($K138="","",IF($K138&lt;=1500,INDEX(采购进货!$D$4:$D$1503,$K138)&amp;"",""))</f>
      </c>
      <c r="E138" s="148">
        <f>IF($K138="","",IF($K138&lt;=1500,N(INDEX(采购进货!$E$4:$E$1503,$K138))+N(INDEX(采购进货!$H$4:$H$1503,$K138)),""))</f>
      </c>
      <c r="F138" s="149">
        <f>IF($K138="","",IF($K138&lt;=1500,INDEX(采购进货!$F$4:$F$1503,$K138),""))</f>
      </c>
      <c r="G138" s="186">
        <f>IF($K138="","",IF($K138&lt;=1500,N(INDEX(采购进货!$G$4:$G$1503,$K138)),""))</f>
      </c>
      <c r="H138" s="186">
        <f>IF($K138="","",IF($K138&lt;=1500,"",-INDEX(资金台帐!$S$7:$S$3006,$K138-1500)))</f>
      </c>
      <c r="I138" s="187">
        <f>IF($K138="","",I137+N(G138)-N(H138))</f>
      </c>
      <c r="J138" s="213">
        <f>IF($K138="","",IF($K138&lt;=1500,IF(N(INDEX(采购进货!$H$4:$H$1503,$K138))&lt;&gt;0,"含赠品"&amp;INDEX(采购进货!$H$4:$H$1503,$K138)&amp;"件 ","")&amp;INDEX(采购进货!$I$4:$I$1503,$K138),INDEX(资金台帐!$E$7:$E$3006,$K138-1500)&amp;""))</f>
      </c>
      <c r="K138" s="78">
        <f>IFERROR(MATCH(SMALL(_辅助!$H$4:$H$4503,99),_辅助!$H$4:$H$4503,0),"")</f>
      </c>
    </row>
    <row r="139">
      <c r="A139" s="141">
        <f>IF($K139="","",100)</f>
      </c>
      <c r="B139" s="140">
        <f>IF($K139="","",IF($K139&lt;=1500,INDEX(采购进货!$B$4:$B$1503,$K139),INDEX(资金台帐!$B$7:$B$3006,$K139-1500)))</f>
      </c>
      <c r="C139" s="141">
        <f>IF($K139="","",IF($K139&lt;=1500,IF(N(INDEX(采购进货!$E$4:$E$1503,$K139))&lt;0,"退货","进货"),IF(INDEX(资金台帐!$S$7:$S$3006,$K139-1500)&lt;=0,"付款","退款")&amp;"（"&amp;INDEX(资金台帐!$C$7:$C$3006,$K139-1500)&amp;"）"))</f>
      </c>
      <c r="D139" s="141">
        <f>IF($K139="","",IF($K139&lt;=1500,INDEX(采购进货!$D$4:$D$1503,$K139)&amp;"",""))</f>
      </c>
      <c r="E139" s="148">
        <f>IF($K139="","",IF($K139&lt;=1500,N(INDEX(采购进货!$E$4:$E$1503,$K139))+N(INDEX(采购进货!$H$4:$H$1503,$K139)),""))</f>
      </c>
      <c r="F139" s="149">
        <f>IF($K139="","",IF($K139&lt;=1500,INDEX(采购进货!$F$4:$F$1503,$K139),""))</f>
      </c>
      <c r="G139" s="186">
        <f>IF($K139="","",IF($K139&lt;=1500,N(INDEX(采购进货!$G$4:$G$1503,$K139)),""))</f>
      </c>
      <c r="H139" s="186">
        <f>IF($K139="","",IF($K139&lt;=1500,"",-INDEX(资金台帐!$S$7:$S$3006,$K139-1500)))</f>
      </c>
      <c r="I139" s="187">
        <f>IF($K139="","",I138+N(G139)-N(H139))</f>
      </c>
      <c r="J139" s="213">
        <f>IF($K139="","",IF($K139&lt;=1500,IF(N(INDEX(采购进货!$H$4:$H$1503,$K139))&lt;&gt;0,"含赠品"&amp;INDEX(采购进货!$H$4:$H$1503,$K139)&amp;"件 ","")&amp;INDEX(采购进货!$I$4:$I$1503,$K139),INDEX(资金台帐!$E$7:$E$3006,$K139-1500)&amp;""))</f>
      </c>
      <c r="K139" s="78">
        <f>IFERROR(MATCH(SMALL(_辅助!$H$4:$H$4503,100),_辅助!$H$4:$H$4503,0),"")</f>
      </c>
    </row>
    <row r="140">
      <c r="A140" s="141">
        <f>IF($K140="","",101)</f>
      </c>
      <c r="B140" s="140">
        <f>IF($K140="","",IF($K140&lt;=1500,INDEX(采购进货!$B$4:$B$1503,$K140),INDEX(资金台帐!$B$7:$B$3006,$K140-1500)))</f>
      </c>
      <c r="C140" s="141">
        <f>IF($K140="","",IF($K140&lt;=1500,IF(N(INDEX(采购进货!$E$4:$E$1503,$K140))&lt;0,"退货","进货"),IF(INDEX(资金台帐!$S$7:$S$3006,$K140-1500)&lt;=0,"付款","退款")&amp;"（"&amp;INDEX(资金台帐!$C$7:$C$3006,$K140-1500)&amp;"）"))</f>
      </c>
      <c r="D140" s="141">
        <f>IF($K140="","",IF($K140&lt;=1500,INDEX(采购进货!$D$4:$D$1503,$K140)&amp;"",""))</f>
      </c>
      <c r="E140" s="148">
        <f>IF($K140="","",IF($K140&lt;=1500,N(INDEX(采购进货!$E$4:$E$1503,$K140))+N(INDEX(采购进货!$H$4:$H$1503,$K140)),""))</f>
      </c>
      <c r="F140" s="149">
        <f>IF($K140="","",IF($K140&lt;=1500,INDEX(采购进货!$F$4:$F$1503,$K140),""))</f>
      </c>
      <c r="G140" s="186">
        <f>IF($K140="","",IF($K140&lt;=1500,N(INDEX(采购进货!$G$4:$G$1503,$K140)),""))</f>
      </c>
      <c r="H140" s="186">
        <f>IF($K140="","",IF($K140&lt;=1500,"",-INDEX(资金台帐!$S$7:$S$3006,$K140-1500)))</f>
      </c>
      <c r="I140" s="187">
        <f>IF($K140="","",I139+N(G140)-N(H140))</f>
      </c>
      <c r="J140" s="213">
        <f>IF($K140="","",IF($K140&lt;=1500,IF(N(INDEX(采购进货!$H$4:$H$1503,$K140))&lt;&gt;0,"含赠品"&amp;INDEX(采购进货!$H$4:$H$1503,$K140)&amp;"件 ","")&amp;INDEX(采购进货!$I$4:$I$1503,$K140),INDEX(资金台帐!$E$7:$E$3006,$K140-1500)&amp;""))</f>
      </c>
      <c r="K140" s="78">
        <f>IFERROR(MATCH(SMALL(_辅助!$H$4:$H$4503,101),_辅助!$H$4:$H$4503,0),"")</f>
      </c>
    </row>
    <row r="141">
      <c r="A141" s="141">
        <f>IF($K141="","",102)</f>
      </c>
      <c r="B141" s="140">
        <f>IF($K141="","",IF($K141&lt;=1500,INDEX(采购进货!$B$4:$B$1503,$K141),INDEX(资金台帐!$B$7:$B$3006,$K141-1500)))</f>
      </c>
      <c r="C141" s="141">
        <f>IF($K141="","",IF($K141&lt;=1500,IF(N(INDEX(采购进货!$E$4:$E$1503,$K141))&lt;0,"退货","进货"),IF(INDEX(资金台帐!$S$7:$S$3006,$K141-1500)&lt;=0,"付款","退款")&amp;"（"&amp;INDEX(资金台帐!$C$7:$C$3006,$K141-1500)&amp;"）"))</f>
      </c>
      <c r="D141" s="141">
        <f>IF($K141="","",IF($K141&lt;=1500,INDEX(采购进货!$D$4:$D$1503,$K141)&amp;"",""))</f>
      </c>
      <c r="E141" s="148">
        <f>IF($K141="","",IF($K141&lt;=1500,N(INDEX(采购进货!$E$4:$E$1503,$K141))+N(INDEX(采购进货!$H$4:$H$1503,$K141)),""))</f>
      </c>
      <c r="F141" s="149">
        <f>IF($K141="","",IF($K141&lt;=1500,INDEX(采购进货!$F$4:$F$1503,$K141),""))</f>
      </c>
      <c r="G141" s="186">
        <f>IF($K141="","",IF($K141&lt;=1500,N(INDEX(采购进货!$G$4:$G$1503,$K141)),""))</f>
      </c>
      <c r="H141" s="186">
        <f>IF($K141="","",IF($K141&lt;=1500,"",-INDEX(资金台帐!$S$7:$S$3006,$K141-1500)))</f>
      </c>
      <c r="I141" s="187">
        <f>IF($K141="","",I140+N(G141)-N(H141))</f>
      </c>
      <c r="J141" s="213">
        <f>IF($K141="","",IF($K141&lt;=1500,IF(N(INDEX(采购进货!$H$4:$H$1503,$K141))&lt;&gt;0,"含赠品"&amp;INDEX(采购进货!$H$4:$H$1503,$K141)&amp;"件 ","")&amp;INDEX(采购进货!$I$4:$I$1503,$K141),INDEX(资金台帐!$E$7:$E$3006,$K141-1500)&amp;""))</f>
      </c>
      <c r="K141" s="78">
        <f>IFERROR(MATCH(SMALL(_辅助!$H$4:$H$4503,102),_辅助!$H$4:$H$4503,0),"")</f>
      </c>
    </row>
    <row r="142">
      <c r="A142" s="141">
        <f>IF($K142="","",103)</f>
      </c>
      <c r="B142" s="140">
        <f>IF($K142="","",IF($K142&lt;=1500,INDEX(采购进货!$B$4:$B$1503,$K142),INDEX(资金台帐!$B$7:$B$3006,$K142-1500)))</f>
      </c>
      <c r="C142" s="141">
        <f>IF($K142="","",IF($K142&lt;=1500,IF(N(INDEX(采购进货!$E$4:$E$1503,$K142))&lt;0,"退货","进货"),IF(INDEX(资金台帐!$S$7:$S$3006,$K142-1500)&lt;=0,"付款","退款")&amp;"（"&amp;INDEX(资金台帐!$C$7:$C$3006,$K142-1500)&amp;"）"))</f>
      </c>
      <c r="D142" s="141">
        <f>IF($K142="","",IF($K142&lt;=1500,INDEX(采购进货!$D$4:$D$1503,$K142)&amp;"",""))</f>
      </c>
      <c r="E142" s="148">
        <f>IF($K142="","",IF($K142&lt;=1500,N(INDEX(采购进货!$E$4:$E$1503,$K142))+N(INDEX(采购进货!$H$4:$H$1503,$K142)),""))</f>
      </c>
      <c r="F142" s="149">
        <f>IF($K142="","",IF($K142&lt;=1500,INDEX(采购进货!$F$4:$F$1503,$K142),""))</f>
      </c>
      <c r="G142" s="186">
        <f>IF($K142="","",IF($K142&lt;=1500,N(INDEX(采购进货!$G$4:$G$1503,$K142)),""))</f>
      </c>
      <c r="H142" s="186">
        <f>IF($K142="","",IF($K142&lt;=1500,"",-INDEX(资金台帐!$S$7:$S$3006,$K142-1500)))</f>
      </c>
      <c r="I142" s="187">
        <f>IF($K142="","",I141+N(G142)-N(H142))</f>
      </c>
      <c r="J142" s="213">
        <f>IF($K142="","",IF($K142&lt;=1500,IF(N(INDEX(采购进货!$H$4:$H$1503,$K142))&lt;&gt;0,"含赠品"&amp;INDEX(采购进货!$H$4:$H$1503,$K142)&amp;"件 ","")&amp;INDEX(采购进货!$I$4:$I$1503,$K142),INDEX(资金台帐!$E$7:$E$3006,$K142-1500)&amp;""))</f>
      </c>
      <c r="K142" s="78">
        <f>IFERROR(MATCH(SMALL(_辅助!$H$4:$H$4503,103),_辅助!$H$4:$H$4503,0),"")</f>
      </c>
    </row>
    <row r="143">
      <c r="A143" s="141">
        <f>IF($K143="","",104)</f>
      </c>
      <c r="B143" s="140">
        <f>IF($K143="","",IF($K143&lt;=1500,INDEX(采购进货!$B$4:$B$1503,$K143),INDEX(资金台帐!$B$7:$B$3006,$K143-1500)))</f>
      </c>
      <c r="C143" s="141">
        <f>IF($K143="","",IF($K143&lt;=1500,IF(N(INDEX(采购进货!$E$4:$E$1503,$K143))&lt;0,"退货","进货"),IF(INDEX(资金台帐!$S$7:$S$3006,$K143-1500)&lt;=0,"付款","退款")&amp;"（"&amp;INDEX(资金台帐!$C$7:$C$3006,$K143-1500)&amp;"）"))</f>
      </c>
      <c r="D143" s="141">
        <f>IF($K143="","",IF($K143&lt;=1500,INDEX(采购进货!$D$4:$D$1503,$K143)&amp;"",""))</f>
      </c>
      <c r="E143" s="148">
        <f>IF($K143="","",IF($K143&lt;=1500,N(INDEX(采购进货!$E$4:$E$1503,$K143))+N(INDEX(采购进货!$H$4:$H$1503,$K143)),""))</f>
      </c>
      <c r="F143" s="149">
        <f>IF($K143="","",IF($K143&lt;=1500,INDEX(采购进货!$F$4:$F$1503,$K143),""))</f>
      </c>
      <c r="G143" s="186">
        <f>IF($K143="","",IF($K143&lt;=1500,N(INDEX(采购进货!$G$4:$G$1503,$K143)),""))</f>
      </c>
      <c r="H143" s="186">
        <f>IF($K143="","",IF($K143&lt;=1500,"",-INDEX(资金台帐!$S$7:$S$3006,$K143-1500)))</f>
      </c>
      <c r="I143" s="187">
        <f>IF($K143="","",I142+N(G143)-N(H143))</f>
      </c>
      <c r="J143" s="213">
        <f>IF($K143="","",IF($K143&lt;=1500,IF(N(INDEX(采购进货!$H$4:$H$1503,$K143))&lt;&gt;0,"含赠品"&amp;INDEX(采购进货!$H$4:$H$1503,$K143)&amp;"件 ","")&amp;INDEX(采购进货!$I$4:$I$1503,$K143),INDEX(资金台帐!$E$7:$E$3006,$K143-1500)&amp;""))</f>
      </c>
      <c r="K143" s="78">
        <f>IFERROR(MATCH(SMALL(_辅助!$H$4:$H$4503,104),_辅助!$H$4:$H$4503,0),"")</f>
      </c>
    </row>
    <row r="144">
      <c r="A144" s="141">
        <f>IF($K144="","",105)</f>
      </c>
      <c r="B144" s="140">
        <f>IF($K144="","",IF($K144&lt;=1500,INDEX(采购进货!$B$4:$B$1503,$K144),INDEX(资金台帐!$B$7:$B$3006,$K144-1500)))</f>
      </c>
      <c r="C144" s="141">
        <f>IF($K144="","",IF($K144&lt;=1500,IF(N(INDEX(采购进货!$E$4:$E$1503,$K144))&lt;0,"退货","进货"),IF(INDEX(资金台帐!$S$7:$S$3006,$K144-1500)&lt;=0,"付款","退款")&amp;"（"&amp;INDEX(资金台帐!$C$7:$C$3006,$K144-1500)&amp;"）"))</f>
      </c>
      <c r="D144" s="141">
        <f>IF($K144="","",IF($K144&lt;=1500,INDEX(采购进货!$D$4:$D$1503,$K144)&amp;"",""))</f>
      </c>
      <c r="E144" s="148">
        <f>IF($K144="","",IF($K144&lt;=1500,N(INDEX(采购进货!$E$4:$E$1503,$K144))+N(INDEX(采购进货!$H$4:$H$1503,$K144)),""))</f>
      </c>
      <c r="F144" s="149">
        <f>IF($K144="","",IF($K144&lt;=1500,INDEX(采购进货!$F$4:$F$1503,$K144),""))</f>
      </c>
      <c r="G144" s="186">
        <f>IF($K144="","",IF($K144&lt;=1500,N(INDEX(采购进货!$G$4:$G$1503,$K144)),""))</f>
      </c>
      <c r="H144" s="186">
        <f>IF($K144="","",IF($K144&lt;=1500,"",-INDEX(资金台帐!$S$7:$S$3006,$K144-1500)))</f>
      </c>
      <c r="I144" s="187">
        <f>IF($K144="","",I143+N(G144)-N(H144))</f>
      </c>
      <c r="J144" s="213">
        <f>IF($K144="","",IF($K144&lt;=1500,IF(N(INDEX(采购进货!$H$4:$H$1503,$K144))&lt;&gt;0,"含赠品"&amp;INDEX(采购进货!$H$4:$H$1503,$K144)&amp;"件 ","")&amp;INDEX(采购进货!$I$4:$I$1503,$K144),INDEX(资金台帐!$E$7:$E$3006,$K144-1500)&amp;""))</f>
      </c>
      <c r="K144" s="78">
        <f>IFERROR(MATCH(SMALL(_辅助!$H$4:$H$4503,105),_辅助!$H$4:$H$4503,0),"")</f>
      </c>
    </row>
    <row r="145">
      <c r="A145" s="141">
        <f>IF($K145="","",106)</f>
      </c>
      <c r="B145" s="140">
        <f>IF($K145="","",IF($K145&lt;=1500,INDEX(采购进货!$B$4:$B$1503,$K145),INDEX(资金台帐!$B$7:$B$3006,$K145-1500)))</f>
      </c>
      <c r="C145" s="141">
        <f>IF($K145="","",IF($K145&lt;=1500,IF(N(INDEX(采购进货!$E$4:$E$1503,$K145))&lt;0,"退货","进货"),IF(INDEX(资金台帐!$S$7:$S$3006,$K145-1500)&lt;=0,"付款","退款")&amp;"（"&amp;INDEX(资金台帐!$C$7:$C$3006,$K145-1500)&amp;"）"))</f>
      </c>
      <c r="D145" s="141">
        <f>IF($K145="","",IF($K145&lt;=1500,INDEX(采购进货!$D$4:$D$1503,$K145)&amp;"",""))</f>
      </c>
      <c r="E145" s="148">
        <f>IF($K145="","",IF($K145&lt;=1500,N(INDEX(采购进货!$E$4:$E$1503,$K145))+N(INDEX(采购进货!$H$4:$H$1503,$K145)),""))</f>
      </c>
      <c r="F145" s="149">
        <f>IF($K145="","",IF($K145&lt;=1500,INDEX(采购进货!$F$4:$F$1503,$K145),""))</f>
      </c>
      <c r="G145" s="186">
        <f>IF($K145="","",IF($K145&lt;=1500,N(INDEX(采购进货!$G$4:$G$1503,$K145)),""))</f>
      </c>
      <c r="H145" s="186">
        <f>IF($K145="","",IF($K145&lt;=1500,"",-INDEX(资金台帐!$S$7:$S$3006,$K145-1500)))</f>
      </c>
      <c r="I145" s="187">
        <f>IF($K145="","",I144+N(G145)-N(H145))</f>
      </c>
      <c r="J145" s="213">
        <f>IF($K145="","",IF($K145&lt;=1500,IF(N(INDEX(采购进货!$H$4:$H$1503,$K145))&lt;&gt;0,"含赠品"&amp;INDEX(采购进货!$H$4:$H$1503,$K145)&amp;"件 ","")&amp;INDEX(采购进货!$I$4:$I$1503,$K145),INDEX(资金台帐!$E$7:$E$3006,$K145-1500)&amp;""))</f>
      </c>
      <c r="K145" s="78">
        <f>IFERROR(MATCH(SMALL(_辅助!$H$4:$H$4503,106),_辅助!$H$4:$H$4503,0),"")</f>
      </c>
    </row>
    <row r="146">
      <c r="A146" s="141">
        <f>IF($K146="","",107)</f>
      </c>
      <c r="B146" s="140">
        <f>IF($K146="","",IF($K146&lt;=1500,INDEX(采购进货!$B$4:$B$1503,$K146),INDEX(资金台帐!$B$7:$B$3006,$K146-1500)))</f>
      </c>
      <c r="C146" s="141">
        <f>IF($K146="","",IF($K146&lt;=1500,IF(N(INDEX(采购进货!$E$4:$E$1503,$K146))&lt;0,"退货","进货"),IF(INDEX(资金台帐!$S$7:$S$3006,$K146-1500)&lt;=0,"付款","退款")&amp;"（"&amp;INDEX(资金台帐!$C$7:$C$3006,$K146-1500)&amp;"）"))</f>
      </c>
      <c r="D146" s="141">
        <f>IF($K146="","",IF($K146&lt;=1500,INDEX(采购进货!$D$4:$D$1503,$K146)&amp;"",""))</f>
      </c>
      <c r="E146" s="148">
        <f>IF($K146="","",IF($K146&lt;=1500,N(INDEX(采购进货!$E$4:$E$1503,$K146))+N(INDEX(采购进货!$H$4:$H$1503,$K146)),""))</f>
      </c>
      <c r="F146" s="149">
        <f>IF($K146="","",IF($K146&lt;=1500,INDEX(采购进货!$F$4:$F$1503,$K146),""))</f>
      </c>
      <c r="G146" s="186">
        <f>IF($K146="","",IF($K146&lt;=1500,N(INDEX(采购进货!$G$4:$G$1503,$K146)),""))</f>
      </c>
      <c r="H146" s="186">
        <f>IF($K146="","",IF($K146&lt;=1500,"",-INDEX(资金台帐!$S$7:$S$3006,$K146-1500)))</f>
      </c>
      <c r="I146" s="187">
        <f>IF($K146="","",I145+N(G146)-N(H146))</f>
      </c>
      <c r="J146" s="213">
        <f>IF($K146="","",IF($K146&lt;=1500,IF(N(INDEX(采购进货!$H$4:$H$1503,$K146))&lt;&gt;0,"含赠品"&amp;INDEX(采购进货!$H$4:$H$1503,$K146)&amp;"件 ","")&amp;INDEX(采购进货!$I$4:$I$1503,$K146),INDEX(资金台帐!$E$7:$E$3006,$K146-1500)&amp;""))</f>
      </c>
      <c r="K146" s="78">
        <f>IFERROR(MATCH(SMALL(_辅助!$H$4:$H$4503,107),_辅助!$H$4:$H$4503,0),"")</f>
      </c>
    </row>
    <row r="147">
      <c r="A147" s="141">
        <f>IF($K147="","",108)</f>
      </c>
      <c r="B147" s="140">
        <f>IF($K147="","",IF($K147&lt;=1500,INDEX(采购进货!$B$4:$B$1503,$K147),INDEX(资金台帐!$B$7:$B$3006,$K147-1500)))</f>
      </c>
      <c r="C147" s="141">
        <f>IF($K147="","",IF($K147&lt;=1500,IF(N(INDEX(采购进货!$E$4:$E$1503,$K147))&lt;0,"退货","进货"),IF(INDEX(资金台帐!$S$7:$S$3006,$K147-1500)&lt;=0,"付款","退款")&amp;"（"&amp;INDEX(资金台帐!$C$7:$C$3006,$K147-1500)&amp;"）"))</f>
      </c>
      <c r="D147" s="141">
        <f>IF($K147="","",IF($K147&lt;=1500,INDEX(采购进货!$D$4:$D$1503,$K147)&amp;"",""))</f>
      </c>
      <c r="E147" s="148">
        <f>IF($K147="","",IF($K147&lt;=1500,N(INDEX(采购进货!$E$4:$E$1503,$K147))+N(INDEX(采购进货!$H$4:$H$1503,$K147)),""))</f>
      </c>
      <c r="F147" s="149">
        <f>IF($K147="","",IF($K147&lt;=1500,INDEX(采购进货!$F$4:$F$1503,$K147),""))</f>
      </c>
      <c r="G147" s="186">
        <f>IF($K147="","",IF($K147&lt;=1500,N(INDEX(采购进货!$G$4:$G$1503,$K147)),""))</f>
      </c>
      <c r="H147" s="186">
        <f>IF($K147="","",IF($K147&lt;=1500,"",-INDEX(资金台帐!$S$7:$S$3006,$K147-1500)))</f>
      </c>
      <c r="I147" s="187">
        <f>IF($K147="","",I146+N(G147)-N(H147))</f>
      </c>
      <c r="J147" s="213">
        <f>IF($K147="","",IF($K147&lt;=1500,IF(N(INDEX(采购进货!$H$4:$H$1503,$K147))&lt;&gt;0,"含赠品"&amp;INDEX(采购进货!$H$4:$H$1503,$K147)&amp;"件 ","")&amp;INDEX(采购进货!$I$4:$I$1503,$K147),INDEX(资金台帐!$E$7:$E$3006,$K147-1500)&amp;""))</f>
      </c>
      <c r="K147" s="78">
        <f>IFERROR(MATCH(SMALL(_辅助!$H$4:$H$4503,108),_辅助!$H$4:$H$4503,0),"")</f>
      </c>
    </row>
    <row r="148">
      <c r="A148" s="141">
        <f>IF($K148="","",109)</f>
      </c>
      <c r="B148" s="140">
        <f>IF($K148="","",IF($K148&lt;=1500,INDEX(采购进货!$B$4:$B$1503,$K148),INDEX(资金台帐!$B$7:$B$3006,$K148-1500)))</f>
      </c>
      <c r="C148" s="141">
        <f>IF($K148="","",IF($K148&lt;=1500,IF(N(INDEX(采购进货!$E$4:$E$1503,$K148))&lt;0,"退货","进货"),IF(INDEX(资金台帐!$S$7:$S$3006,$K148-1500)&lt;=0,"付款","退款")&amp;"（"&amp;INDEX(资金台帐!$C$7:$C$3006,$K148-1500)&amp;"）"))</f>
      </c>
      <c r="D148" s="141">
        <f>IF($K148="","",IF($K148&lt;=1500,INDEX(采购进货!$D$4:$D$1503,$K148)&amp;"",""))</f>
      </c>
      <c r="E148" s="148">
        <f>IF($K148="","",IF($K148&lt;=1500,N(INDEX(采购进货!$E$4:$E$1503,$K148))+N(INDEX(采购进货!$H$4:$H$1503,$K148)),""))</f>
      </c>
      <c r="F148" s="149">
        <f>IF($K148="","",IF($K148&lt;=1500,INDEX(采购进货!$F$4:$F$1503,$K148),""))</f>
      </c>
      <c r="G148" s="186">
        <f>IF($K148="","",IF($K148&lt;=1500,N(INDEX(采购进货!$G$4:$G$1503,$K148)),""))</f>
      </c>
      <c r="H148" s="186">
        <f>IF($K148="","",IF($K148&lt;=1500,"",-INDEX(资金台帐!$S$7:$S$3006,$K148-1500)))</f>
      </c>
      <c r="I148" s="187">
        <f>IF($K148="","",I147+N(G148)-N(H148))</f>
      </c>
      <c r="J148" s="213">
        <f>IF($K148="","",IF($K148&lt;=1500,IF(N(INDEX(采购进货!$H$4:$H$1503,$K148))&lt;&gt;0,"含赠品"&amp;INDEX(采购进货!$H$4:$H$1503,$K148)&amp;"件 ","")&amp;INDEX(采购进货!$I$4:$I$1503,$K148),INDEX(资金台帐!$E$7:$E$3006,$K148-1500)&amp;""))</f>
      </c>
      <c r="K148" s="78">
        <f>IFERROR(MATCH(SMALL(_辅助!$H$4:$H$4503,109),_辅助!$H$4:$H$4503,0),"")</f>
      </c>
    </row>
    <row r="149">
      <c r="A149" s="141">
        <f>IF($K149="","",110)</f>
      </c>
      <c r="B149" s="140">
        <f>IF($K149="","",IF($K149&lt;=1500,INDEX(采购进货!$B$4:$B$1503,$K149),INDEX(资金台帐!$B$7:$B$3006,$K149-1500)))</f>
      </c>
      <c r="C149" s="141">
        <f>IF($K149="","",IF($K149&lt;=1500,IF(N(INDEX(采购进货!$E$4:$E$1503,$K149))&lt;0,"退货","进货"),IF(INDEX(资金台帐!$S$7:$S$3006,$K149-1500)&lt;=0,"付款","退款")&amp;"（"&amp;INDEX(资金台帐!$C$7:$C$3006,$K149-1500)&amp;"）"))</f>
      </c>
      <c r="D149" s="141">
        <f>IF($K149="","",IF($K149&lt;=1500,INDEX(采购进货!$D$4:$D$1503,$K149)&amp;"",""))</f>
      </c>
      <c r="E149" s="148">
        <f>IF($K149="","",IF($K149&lt;=1500,N(INDEX(采购进货!$E$4:$E$1503,$K149))+N(INDEX(采购进货!$H$4:$H$1503,$K149)),""))</f>
      </c>
      <c r="F149" s="149">
        <f>IF($K149="","",IF($K149&lt;=1500,INDEX(采购进货!$F$4:$F$1503,$K149),""))</f>
      </c>
      <c r="G149" s="186">
        <f>IF($K149="","",IF($K149&lt;=1500,N(INDEX(采购进货!$G$4:$G$1503,$K149)),""))</f>
      </c>
      <c r="H149" s="186">
        <f>IF($K149="","",IF($K149&lt;=1500,"",-INDEX(资金台帐!$S$7:$S$3006,$K149-1500)))</f>
      </c>
      <c r="I149" s="187">
        <f>IF($K149="","",I148+N(G149)-N(H149))</f>
      </c>
      <c r="J149" s="213">
        <f>IF($K149="","",IF($K149&lt;=1500,IF(N(INDEX(采购进货!$H$4:$H$1503,$K149))&lt;&gt;0,"含赠品"&amp;INDEX(采购进货!$H$4:$H$1503,$K149)&amp;"件 ","")&amp;INDEX(采购进货!$I$4:$I$1503,$K149),INDEX(资金台帐!$E$7:$E$3006,$K149-1500)&amp;""))</f>
      </c>
      <c r="K149" s="78">
        <f>IFERROR(MATCH(SMALL(_辅助!$H$4:$H$4503,110),_辅助!$H$4:$H$4503,0),"")</f>
      </c>
    </row>
    <row r="150">
      <c r="A150" s="141">
        <f>IF($K150="","",111)</f>
      </c>
      <c r="B150" s="140">
        <f>IF($K150="","",IF($K150&lt;=1500,INDEX(采购进货!$B$4:$B$1503,$K150),INDEX(资金台帐!$B$7:$B$3006,$K150-1500)))</f>
      </c>
      <c r="C150" s="141">
        <f>IF($K150="","",IF($K150&lt;=1500,IF(N(INDEX(采购进货!$E$4:$E$1503,$K150))&lt;0,"退货","进货"),IF(INDEX(资金台帐!$S$7:$S$3006,$K150-1500)&lt;=0,"付款","退款")&amp;"（"&amp;INDEX(资金台帐!$C$7:$C$3006,$K150-1500)&amp;"）"))</f>
      </c>
      <c r="D150" s="141">
        <f>IF($K150="","",IF($K150&lt;=1500,INDEX(采购进货!$D$4:$D$1503,$K150)&amp;"",""))</f>
      </c>
      <c r="E150" s="148">
        <f>IF($K150="","",IF($K150&lt;=1500,N(INDEX(采购进货!$E$4:$E$1503,$K150))+N(INDEX(采购进货!$H$4:$H$1503,$K150)),""))</f>
      </c>
      <c r="F150" s="149">
        <f>IF($K150="","",IF($K150&lt;=1500,INDEX(采购进货!$F$4:$F$1503,$K150),""))</f>
      </c>
      <c r="G150" s="186">
        <f>IF($K150="","",IF($K150&lt;=1500,N(INDEX(采购进货!$G$4:$G$1503,$K150)),""))</f>
      </c>
      <c r="H150" s="186">
        <f>IF($K150="","",IF($K150&lt;=1500,"",-INDEX(资金台帐!$S$7:$S$3006,$K150-1500)))</f>
      </c>
      <c r="I150" s="187">
        <f>IF($K150="","",I149+N(G150)-N(H150))</f>
      </c>
      <c r="J150" s="213">
        <f>IF($K150="","",IF($K150&lt;=1500,IF(N(INDEX(采购进货!$H$4:$H$1503,$K150))&lt;&gt;0,"含赠品"&amp;INDEX(采购进货!$H$4:$H$1503,$K150)&amp;"件 ","")&amp;INDEX(采购进货!$I$4:$I$1503,$K150),INDEX(资金台帐!$E$7:$E$3006,$K150-1500)&amp;""))</f>
      </c>
      <c r="K150" s="78">
        <f>IFERROR(MATCH(SMALL(_辅助!$H$4:$H$4503,111),_辅助!$H$4:$H$4503,0),"")</f>
      </c>
    </row>
    <row r="151">
      <c r="A151" s="141">
        <f>IF($K151="","",112)</f>
      </c>
      <c r="B151" s="140">
        <f>IF($K151="","",IF($K151&lt;=1500,INDEX(采购进货!$B$4:$B$1503,$K151),INDEX(资金台帐!$B$7:$B$3006,$K151-1500)))</f>
      </c>
      <c r="C151" s="141">
        <f>IF($K151="","",IF($K151&lt;=1500,IF(N(INDEX(采购进货!$E$4:$E$1503,$K151))&lt;0,"退货","进货"),IF(INDEX(资金台帐!$S$7:$S$3006,$K151-1500)&lt;=0,"付款","退款")&amp;"（"&amp;INDEX(资金台帐!$C$7:$C$3006,$K151-1500)&amp;"）"))</f>
      </c>
      <c r="D151" s="141">
        <f>IF($K151="","",IF($K151&lt;=1500,INDEX(采购进货!$D$4:$D$1503,$K151)&amp;"",""))</f>
      </c>
      <c r="E151" s="148">
        <f>IF($K151="","",IF($K151&lt;=1500,N(INDEX(采购进货!$E$4:$E$1503,$K151))+N(INDEX(采购进货!$H$4:$H$1503,$K151)),""))</f>
      </c>
      <c r="F151" s="149">
        <f>IF($K151="","",IF($K151&lt;=1500,INDEX(采购进货!$F$4:$F$1503,$K151),""))</f>
      </c>
      <c r="G151" s="186">
        <f>IF($K151="","",IF($K151&lt;=1500,N(INDEX(采购进货!$G$4:$G$1503,$K151)),""))</f>
      </c>
      <c r="H151" s="186">
        <f>IF($K151="","",IF($K151&lt;=1500,"",-INDEX(资金台帐!$S$7:$S$3006,$K151-1500)))</f>
      </c>
      <c r="I151" s="187">
        <f>IF($K151="","",I150+N(G151)-N(H151))</f>
      </c>
      <c r="J151" s="213">
        <f>IF($K151="","",IF($K151&lt;=1500,IF(N(INDEX(采购进货!$H$4:$H$1503,$K151))&lt;&gt;0,"含赠品"&amp;INDEX(采购进货!$H$4:$H$1503,$K151)&amp;"件 ","")&amp;INDEX(采购进货!$I$4:$I$1503,$K151),INDEX(资金台帐!$E$7:$E$3006,$K151-1500)&amp;""))</f>
      </c>
      <c r="K151" s="78">
        <f>IFERROR(MATCH(SMALL(_辅助!$H$4:$H$4503,112),_辅助!$H$4:$H$4503,0),"")</f>
      </c>
    </row>
    <row r="152">
      <c r="A152" s="141">
        <f>IF($K152="","",113)</f>
      </c>
      <c r="B152" s="140">
        <f>IF($K152="","",IF($K152&lt;=1500,INDEX(采购进货!$B$4:$B$1503,$K152),INDEX(资金台帐!$B$7:$B$3006,$K152-1500)))</f>
      </c>
      <c r="C152" s="141">
        <f>IF($K152="","",IF($K152&lt;=1500,IF(N(INDEX(采购进货!$E$4:$E$1503,$K152))&lt;0,"退货","进货"),IF(INDEX(资金台帐!$S$7:$S$3006,$K152-1500)&lt;=0,"付款","退款")&amp;"（"&amp;INDEX(资金台帐!$C$7:$C$3006,$K152-1500)&amp;"）"))</f>
      </c>
      <c r="D152" s="141">
        <f>IF($K152="","",IF($K152&lt;=1500,INDEX(采购进货!$D$4:$D$1503,$K152)&amp;"",""))</f>
      </c>
      <c r="E152" s="148">
        <f>IF($K152="","",IF($K152&lt;=1500,N(INDEX(采购进货!$E$4:$E$1503,$K152))+N(INDEX(采购进货!$H$4:$H$1503,$K152)),""))</f>
      </c>
      <c r="F152" s="149">
        <f>IF($K152="","",IF($K152&lt;=1500,INDEX(采购进货!$F$4:$F$1503,$K152),""))</f>
      </c>
      <c r="G152" s="186">
        <f>IF($K152="","",IF($K152&lt;=1500,N(INDEX(采购进货!$G$4:$G$1503,$K152)),""))</f>
      </c>
      <c r="H152" s="186">
        <f>IF($K152="","",IF($K152&lt;=1500,"",-INDEX(资金台帐!$S$7:$S$3006,$K152-1500)))</f>
      </c>
      <c r="I152" s="187">
        <f>IF($K152="","",I151+N(G152)-N(H152))</f>
      </c>
      <c r="J152" s="213">
        <f>IF($K152="","",IF($K152&lt;=1500,IF(N(INDEX(采购进货!$H$4:$H$1503,$K152))&lt;&gt;0,"含赠品"&amp;INDEX(采购进货!$H$4:$H$1503,$K152)&amp;"件 ","")&amp;INDEX(采购进货!$I$4:$I$1503,$K152),INDEX(资金台帐!$E$7:$E$3006,$K152-1500)&amp;""))</f>
      </c>
      <c r="K152" s="78">
        <f>IFERROR(MATCH(SMALL(_辅助!$H$4:$H$4503,113),_辅助!$H$4:$H$4503,0),"")</f>
      </c>
    </row>
    <row r="153">
      <c r="A153" s="141">
        <f>IF($K153="","",114)</f>
      </c>
      <c r="B153" s="140">
        <f>IF($K153="","",IF($K153&lt;=1500,INDEX(采购进货!$B$4:$B$1503,$K153),INDEX(资金台帐!$B$7:$B$3006,$K153-1500)))</f>
      </c>
      <c r="C153" s="141">
        <f>IF($K153="","",IF($K153&lt;=1500,IF(N(INDEX(采购进货!$E$4:$E$1503,$K153))&lt;0,"退货","进货"),IF(INDEX(资金台帐!$S$7:$S$3006,$K153-1500)&lt;=0,"付款","退款")&amp;"（"&amp;INDEX(资金台帐!$C$7:$C$3006,$K153-1500)&amp;"）"))</f>
      </c>
      <c r="D153" s="141">
        <f>IF($K153="","",IF($K153&lt;=1500,INDEX(采购进货!$D$4:$D$1503,$K153)&amp;"",""))</f>
      </c>
      <c r="E153" s="148">
        <f>IF($K153="","",IF($K153&lt;=1500,N(INDEX(采购进货!$E$4:$E$1503,$K153))+N(INDEX(采购进货!$H$4:$H$1503,$K153)),""))</f>
      </c>
      <c r="F153" s="149">
        <f>IF($K153="","",IF($K153&lt;=1500,INDEX(采购进货!$F$4:$F$1503,$K153),""))</f>
      </c>
      <c r="G153" s="186">
        <f>IF($K153="","",IF($K153&lt;=1500,N(INDEX(采购进货!$G$4:$G$1503,$K153)),""))</f>
      </c>
      <c r="H153" s="186">
        <f>IF($K153="","",IF($K153&lt;=1500,"",-INDEX(资金台帐!$S$7:$S$3006,$K153-1500)))</f>
      </c>
      <c r="I153" s="187">
        <f>IF($K153="","",I152+N(G153)-N(H153))</f>
      </c>
      <c r="J153" s="213">
        <f>IF($K153="","",IF($K153&lt;=1500,IF(N(INDEX(采购进货!$H$4:$H$1503,$K153))&lt;&gt;0,"含赠品"&amp;INDEX(采购进货!$H$4:$H$1503,$K153)&amp;"件 ","")&amp;INDEX(采购进货!$I$4:$I$1503,$K153),INDEX(资金台帐!$E$7:$E$3006,$K153-1500)&amp;""))</f>
      </c>
      <c r="K153" s="78">
        <f>IFERROR(MATCH(SMALL(_辅助!$H$4:$H$4503,114),_辅助!$H$4:$H$4503,0),"")</f>
      </c>
    </row>
    <row r="154">
      <c r="A154" s="141">
        <f>IF($K154="","",115)</f>
      </c>
      <c r="B154" s="140">
        <f>IF($K154="","",IF($K154&lt;=1500,INDEX(采购进货!$B$4:$B$1503,$K154),INDEX(资金台帐!$B$7:$B$3006,$K154-1500)))</f>
      </c>
      <c r="C154" s="141">
        <f>IF($K154="","",IF($K154&lt;=1500,IF(N(INDEX(采购进货!$E$4:$E$1503,$K154))&lt;0,"退货","进货"),IF(INDEX(资金台帐!$S$7:$S$3006,$K154-1500)&lt;=0,"付款","退款")&amp;"（"&amp;INDEX(资金台帐!$C$7:$C$3006,$K154-1500)&amp;"）"))</f>
      </c>
      <c r="D154" s="141">
        <f>IF($K154="","",IF($K154&lt;=1500,INDEX(采购进货!$D$4:$D$1503,$K154)&amp;"",""))</f>
      </c>
      <c r="E154" s="148">
        <f>IF($K154="","",IF($K154&lt;=1500,N(INDEX(采购进货!$E$4:$E$1503,$K154))+N(INDEX(采购进货!$H$4:$H$1503,$K154)),""))</f>
      </c>
      <c r="F154" s="149">
        <f>IF($K154="","",IF($K154&lt;=1500,INDEX(采购进货!$F$4:$F$1503,$K154),""))</f>
      </c>
      <c r="G154" s="186">
        <f>IF($K154="","",IF($K154&lt;=1500,N(INDEX(采购进货!$G$4:$G$1503,$K154)),""))</f>
      </c>
      <c r="H154" s="186">
        <f>IF($K154="","",IF($K154&lt;=1500,"",-INDEX(资金台帐!$S$7:$S$3006,$K154-1500)))</f>
      </c>
      <c r="I154" s="187">
        <f>IF($K154="","",I153+N(G154)-N(H154))</f>
      </c>
      <c r="J154" s="213">
        <f>IF($K154="","",IF($K154&lt;=1500,IF(N(INDEX(采购进货!$H$4:$H$1503,$K154))&lt;&gt;0,"含赠品"&amp;INDEX(采购进货!$H$4:$H$1503,$K154)&amp;"件 ","")&amp;INDEX(采购进货!$I$4:$I$1503,$K154),INDEX(资金台帐!$E$7:$E$3006,$K154-1500)&amp;""))</f>
      </c>
      <c r="K154" s="78">
        <f>IFERROR(MATCH(SMALL(_辅助!$H$4:$H$4503,115),_辅助!$H$4:$H$4503,0),"")</f>
      </c>
    </row>
    <row r="155">
      <c r="A155" s="141">
        <f>IF($K155="","",116)</f>
      </c>
      <c r="B155" s="140">
        <f>IF($K155="","",IF($K155&lt;=1500,INDEX(采购进货!$B$4:$B$1503,$K155),INDEX(资金台帐!$B$7:$B$3006,$K155-1500)))</f>
      </c>
      <c r="C155" s="141">
        <f>IF($K155="","",IF($K155&lt;=1500,IF(N(INDEX(采购进货!$E$4:$E$1503,$K155))&lt;0,"退货","进货"),IF(INDEX(资金台帐!$S$7:$S$3006,$K155-1500)&lt;=0,"付款","退款")&amp;"（"&amp;INDEX(资金台帐!$C$7:$C$3006,$K155-1500)&amp;"）"))</f>
      </c>
      <c r="D155" s="141">
        <f>IF($K155="","",IF($K155&lt;=1500,INDEX(采购进货!$D$4:$D$1503,$K155)&amp;"",""))</f>
      </c>
      <c r="E155" s="148">
        <f>IF($K155="","",IF($K155&lt;=1500,N(INDEX(采购进货!$E$4:$E$1503,$K155))+N(INDEX(采购进货!$H$4:$H$1503,$K155)),""))</f>
      </c>
      <c r="F155" s="149">
        <f>IF($K155="","",IF($K155&lt;=1500,INDEX(采购进货!$F$4:$F$1503,$K155),""))</f>
      </c>
      <c r="G155" s="186">
        <f>IF($K155="","",IF($K155&lt;=1500,N(INDEX(采购进货!$G$4:$G$1503,$K155)),""))</f>
      </c>
      <c r="H155" s="186">
        <f>IF($K155="","",IF($K155&lt;=1500,"",-INDEX(资金台帐!$S$7:$S$3006,$K155-1500)))</f>
      </c>
      <c r="I155" s="187">
        <f>IF($K155="","",I154+N(G155)-N(H155))</f>
      </c>
      <c r="J155" s="213">
        <f>IF($K155="","",IF($K155&lt;=1500,IF(N(INDEX(采购进货!$H$4:$H$1503,$K155))&lt;&gt;0,"含赠品"&amp;INDEX(采购进货!$H$4:$H$1503,$K155)&amp;"件 ","")&amp;INDEX(采购进货!$I$4:$I$1503,$K155),INDEX(资金台帐!$E$7:$E$3006,$K155-1500)&amp;""))</f>
      </c>
      <c r="K155" s="78">
        <f>IFERROR(MATCH(SMALL(_辅助!$H$4:$H$4503,116),_辅助!$H$4:$H$4503,0),"")</f>
      </c>
    </row>
    <row r="156">
      <c r="A156" s="141">
        <f>IF($K156="","",117)</f>
      </c>
      <c r="B156" s="140">
        <f>IF($K156="","",IF($K156&lt;=1500,INDEX(采购进货!$B$4:$B$1503,$K156),INDEX(资金台帐!$B$7:$B$3006,$K156-1500)))</f>
      </c>
      <c r="C156" s="141">
        <f>IF($K156="","",IF($K156&lt;=1500,IF(N(INDEX(采购进货!$E$4:$E$1503,$K156))&lt;0,"退货","进货"),IF(INDEX(资金台帐!$S$7:$S$3006,$K156-1500)&lt;=0,"付款","退款")&amp;"（"&amp;INDEX(资金台帐!$C$7:$C$3006,$K156-1500)&amp;"）"))</f>
      </c>
      <c r="D156" s="141">
        <f>IF($K156="","",IF($K156&lt;=1500,INDEX(采购进货!$D$4:$D$1503,$K156)&amp;"",""))</f>
      </c>
      <c r="E156" s="148">
        <f>IF($K156="","",IF($K156&lt;=1500,N(INDEX(采购进货!$E$4:$E$1503,$K156))+N(INDEX(采购进货!$H$4:$H$1503,$K156)),""))</f>
      </c>
      <c r="F156" s="149">
        <f>IF($K156="","",IF($K156&lt;=1500,INDEX(采购进货!$F$4:$F$1503,$K156),""))</f>
      </c>
      <c r="G156" s="186">
        <f>IF($K156="","",IF($K156&lt;=1500,N(INDEX(采购进货!$G$4:$G$1503,$K156)),""))</f>
      </c>
      <c r="H156" s="186">
        <f>IF($K156="","",IF($K156&lt;=1500,"",-INDEX(资金台帐!$S$7:$S$3006,$K156-1500)))</f>
      </c>
      <c r="I156" s="187">
        <f>IF($K156="","",I155+N(G156)-N(H156))</f>
      </c>
      <c r="J156" s="213">
        <f>IF($K156="","",IF($K156&lt;=1500,IF(N(INDEX(采购进货!$H$4:$H$1503,$K156))&lt;&gt;0,"含赠品"&amp;INDEX(采购进货!$H$4:$H$1503,$K156)&amp;"件 ","")&amp;INDEX(采购进货!$I$4:$I$1503,$K156),INDEX(资金台帐!$E$7:$E$3006,$K156-1500)&amp;""))</f>
      </c>
      <c r="K156" s="78">
        <f>IFERROR(MATCH(SMALL(_辅助!$H$4:$H$4503,117),_辅助!$H$4:$H$4503,0),"")</f>
      </c>
    </row>
    <row r="157">
      <c r="A157" s="141">
        <f>IF($K157="","",118)</f>
      </c>
      <c r="B157" s="140">
        <f>IF($K157="","",IF($K157&lt;=1500,INDEX(采购进货!$B$4:$B$1503,$K157),INDEX(资金台帐!$B$7:$B$3006,$K157-1500)))</f>
      </c>
      <c r="C157" s="141">
        <f>IF($K157="","",IF($K157&lt;=1500,IF(N(INDEX(采购进货!$E$4:$E$1503,$K157))&lt;0,"退货","进货"),IF(INDEX(资金台帐!$S$7:$S$3006,$K157-1500)&lt;=0,"付款","退款")&amp;"（"&amp;INDEX(资金台帐!$C$7:$C$3006,$K157-1500)&amp;"）"))</f>
      </c>
      <c r="D157" s="141">
        <f>IF($K157="","",IF($K157&lt;=1500,INDEX(采购进货!$D$4:$D$1503,$K157)&amp;"",""))</f>
      </c>
      <c r="E157" s="148">
        <f>IF($K157="","",IF($K157&lt;=1500,N(INDEX(采购进货!$E$4:$E$1503,$K157))+N(INDEX(采购进货!$H$4:$H$1503,$K157)),""))</f>
      </c>
      <c r="F157" s="149">
        <f>IF($K157="","",IF($K157&lt;=1500,INDEX(采购进货!$F$4:$F$1503,$K157),""))</f>
      </c>
      <c r="G157" s="186">
        <f>IF($K157="","",IF($K157&lt;=1500,N(INDEX(采购进货!$G$4:$G$1503,$K157)),""))</f>
      </c>
      <c r="H157" s="186">
        <f>IF($K157="","",IF($K157&lt;=1500,"",-INDEX(资金台帐!$S$7:$S$3006,$K157-1500)))</f>
      </c>
      <c r="I157" s="187">
        <f>IF($K157="","",I156+N(G157)-N(H157))</f>
      </c>
      <c r="J157" s="213">
        <f>IF($K157="","",IF($K157&lt;=1500,IF(N(INDEX(采购进货!$H$4:$H$1503,$K157))&lt;&gt;0,"含赠品"&amp;INDEX(采购进货!$H$4:$H$1503,$K157)&amp;"件 ","")&amp;INDEX(采购进货!$I$4:$I$1503,$K157),INDEX(资金台帐!$E$7:$E$3006,$K157-1500)&amp;""))</f>
      </c>
      <c r="K157" s="78">
        <f>IFERROR(MATCH(SMALL(_辅助!$H$4:$H$4503,118),_辅助!$H$4:$H$4503,0),"")</f>
      </c>
    </row>
    <row r="158">
      <c r="A158" s="141">
        <f>IF($K158="","",119)</f>
      </c>
      <c r="B158" s="140">
        <f>IF($K158="","",IF($K158&lt;=1500,INDEX(采购进货!$B$4:$B$1503,$K158),INDEX(资金台帐!$B$7:$B$3006,$K158-1500)))</f>
      </c>
      <c r="C158" s="141">
        <f>IF($K158="","",IF($K158&lt;=1500,IF(N(INDEX(采购进货!$E$4:$E$1503,$K158))&lt;0,"退货","进货"),IF(INDEX(资金台帐!$S$7:$S$3006,$K158-1500)&lt;=0,"付款","退款")&amp;"（"&amp;INDEX(资金台帐!$C$7:$C$3006,$K158-1500)&amp;"）"))</f>
      </c>
      <c r="D158" s="141">
        <f>IF($K158="","",IF($K158&lt;=1500,INDEX(采购进货!$D$4:$D$1503,$K158)&amp;"",""))</f>
      </c>
      <c r="E158" s="148">
        <f>IF($K158="","",IF($K158&lt;=1500,N(INDEX(采购进货!$E$4:$E$1503,$K158))+N(INDEX(采购进货!$H$4:$H$1503,$K158)),""))</f>
      </c>
      <c r="F158" s="149">
        <f>IF($K158="","",IF($K158&lt;=1500,INDEX(采购进货!$F$4:$F$1503,$K158),""))</f>
      </c>
      <c r="G158" s="186">
        <f>IF($K158="","",IF($K158&lt;=1500,N(INDEX(采购进货!$G$4:$G$1503,$K158)),""))</f>
      </c>
      <c r="H158" s="186">
        <f>IF($K158="","",IF($K158&lt;=1500,"",-INDEX(资金台帐!$S$7:$S$3006,$K158-1500)))</f>
      </c>
      <c r="I158" s="187">
        <f>IF($K158="","",I157+N(G158)-N(H158))</f>
      </c>
      <c r="J158" s="213">
        <f>IF($K158="","",IF($K158&lt;=1500,IF(N(INDEX(采购进货!$H$4:$H$1503,$K158))&lt;&gt;0,"含赠品"&amp;INDEX(采购进货!$H$4:$H$1503,$K158)&amp;"件 ","")&amp;INDEX(采购进货!$I$4:$I$1503,$K158),INDEX(资金台帐!$E$7:$E$3006,$K158-1500)&amp;""))</f>
      </c>
      <c r="K158" s="78">
        <f>IFERROR(MATCH(SMALL(_辅助!$H$4:$H$4503,119),_辅助!$H$4:$H$4503,0),"")</f>
      </c>
    </row>
    <row r="159">
      <c r="A159" s="141">
        <f>IF($K159="","",120)</f>
      </c>
      <c r="B159" s="140">
        <f>IF($K159="","",IF($K159&lt;=1500,INDEX(采购进货!$B$4:$B$1503,$K159),INDEX(资金台帐!$B$7:$B$3006,$K159-1500)))</f>
      </c>
      <c r="C159" s="141">
        <f>IF($K159="","",IF($K159&lt;=1500,IF(N(INDEX(采购进货!$E$4:$E$1503,$K159))&lt;0,"退货","进货"),IF(INDEX(资金台帐!$S$7:$S$3006,$K159-1500)&lt;=0,"付款","退款")&amp;"（"&amp;INDEX(资金台帐!$C$7:$C$3006,$K159-1500)&amp;"）"))</f>
      </c>
      <c r="D159" s="141">
        <f>IF($K159="","",IF($K159&lt;=1500,INDEX(采购进货!$D$4:$D$1503,$K159)&amp;"",""))</f>
      </c>
      <c r="E159" s="148">
        <f>IF($K159="","",IF($K159&lt;=1500,N(INDEX(采购进货!$E$4:$E$1503,$K159))+N(INDEX(采购进货!$H$4:$H$1503,$K159)),""))</f>
      </c>
      <c r="F159" s="149">
        <f>IF($K159="","",IF($K159&lt;=1500,INDEX(采购进货!$F$4:$F$1503,$K159),""))</f>
      </c>
      <c r="G159" s="186">
        <f>IF($K159="","",IF($K159&lt;=1500,N(INDEX(采购进货!$G$4:$G$1503,$K159)),""))</f>
      </c>
      <c r="H159" s="186">
        <f>IF($K159="","",IF($K159&lt;=1500,"",-INDEX(资金台帐!$S$7:$S$3006,$K159-1500)))</f>
      </c>
      <c r="I159" s="187">
        <f>IF($K159="","",I158+N(G159)-N(H159))</f>
      </c>
      <c r="J159" s="213">
        <f>IF($K159="","",IF($K159&lt;=1500,IF(N(INDEX(采购进货!$H$4:$H$1503,$K159))&lt;&gt;0,"含赠品"&amp;INDEX(采购进货!$H$4:$H$1503,$K159)&amp;"件 ","")&amp;INDEX(采购进货!$I$4:$I$1503,$K159),INDEX(资金台帐!$E$7:$E$3006,$K159-1500)&amp;""))</f>
      </c>
      <c r="K159" s="78">
        <f>IFERROR(MATCH(SMALL(_辅助!$H$4:$H$4503,120),_辅助!$H$4:$H$4503,0),"")</f>
      </c>
    </row>
    <row r="160">
      <c r="A160" s="141">
        <f>IF($K160="","",121)</f>
      </c>
      <c r="B160" s="140">
        <f>IF($K160="","",IF($K160&lt;=1500,INDEX(采购进货!$B$4:$B$1503,$K160),INDEX(资金台帐!$B$7:$B$3006,$K160-1500)))</f>
      </c>
      <c r="C160" s="141">
        <f>IF($K160="","",IF($K160&lt;=1500,IF(N(INDEX(采购进货!$E$4:$E$1503,$K160))&lt;0,"退货","进货"),IF(INDEX(资金台帐!$S$7:$S$3006,$K160-1500)&lt;=0,"付款","退款")&amp;"（"&amp;INDEX(资金台帐!$C$7:$C$3006,$K160-1500)&amp;"）"))</f>
      </c>
      <c r="D160" s="141">
        <f>IF($K160="","",IF($K160&lt;=1500,INDEX(采购进货!$D$4:$D$1503,$K160)&amp;"",""))</f>
      </c>
      <c r="E160" s="148">
        <f>IF($K160="","",IF($K160&lt;=1500,N(INDEX(采购进货!$E$4:$E$1503,$K160))+N(INDEX(采购进货!$H$4:$H$1503,$K160)),""))</f>
      </c>
      <c r="F160" s="149">
        <f>IF($K160="","",IF($K160&lt;=1500,INDEX(采购进货!$F$4:$F$1503,$K160),""))</f>
      </c>
      <c r="G160" s="186">
        <f>IF($K160="","",IF($K160&lt;=1500,N(INDEX(采购进货!$G$4:$G$1503,$K160)),""))</f>
      </c>
      <c r="H160" s="186">
        <f>IF($K160="","",IF($K160&lt;=1500,"",-INDEX(资金台帐!$S$7:$S$3006,$K160-1500)))</f>
      </c>
      <c r="I160" s="187">
        <f>IF($K160="","",I159+N(G160)-N(H160))</f>
      </c>
      <c r="J160" s="213">
        <f>IF($K160="","",IF($K160&lt;=1500,IF(N(INDEX(采购进货!$H$4:$H$1503,$K160))&lt;&gt;0,"含赠品"&amp;INDEX(采购进货!$H$4:$H$1503,$K160)&amp;"件 ","")&amp;INDEX(采购进货!$I$4:$I$1503,$K160),INDEX(资金台帐!$E$7:$E$3006,$K160-1500)&amp;""))</f>
      </c>
      <c r="K160" s="78">
        <f>IFERROR(MATCH(SMALL(_辅助!$H$4:$H$4503,121),_辅助!$H$4:$H$4503,0),"")</f>
      </c>
    </row>
    <row r="161">
      <c r="A161" s="141">
        <f>IF($K161="","",122)</f>
      </c>
      <c r="B161" s="140">
        <f>IF($K161="","",IF($K161&lt;=1500,INDEX(采购进货!$B$4:$B$1503,$K161),INDEX(资金台帐!$B$7:$B$3006,$K161-1500)))</f>
      </c>
      <c r="C161" s="141">
        <f>IF($K161="","",IF($K161&lt;=1500,IF(N(INDEX(采购进货!$E$4:$E$1503,$K161))&lt;0,"退货","进货"),IF(INDEX(资金台帐!$S$7:$S$3006,$K161-1500)&lt;=0,"付款","退款")&amp;"（"&amp;INDEX(资金台帐!$C$7:$C$3006,$K161-1500)&amp;"）"))</f>
      </c>
      <c r="D161" s="141">
        <f>IF($K161="","",IF($K161&lt;=1500,INDEX(采购进货!$D$4:$D$1503,$K161)&amp;"",""))</f>
      </c>
      <c r="E161" s="148">
        <f>IF($K161="","",IF($K161&lt;=1500,N(INDEX(采购进货!$E$4:$E$1503,$K161))+N(INDEX(采购进货!$H$4:$H$1503,$K161)),""))</f>
      </c>
      <c r="F161" s="149">
        <f>IF($K161="","",IF($K161&lt;=1500,INDEX(采购进货!$F$4:$F$1503,$K161),""))</f>
      </c>
      <c r="G161" s="186">
        <f>IF($K161="","",IF($K161&lt;=1500,N(INDEX(采购进货!$G$4:$G$1503,$K161)),""))</f>
      </c>
      <c r="H161" s="186">
        <f>IF($K161="","",IF($K161&lt;=1500,"",-INDEX(资金台帐!$S$7:$S$3006,$K161-1500)))</f>
      </c>
      <c r="I161" s="187">
        <f>IF($K161="","",I160+N(G161)-N(H161))</f>
      </c>
      <c r="J161" s="213">
        <f>IF($K161="","",IF($K161&lt;=1500,IF(N(INDEX(采购进货!$H$4:$H$1503,$K161))&lt;&gt;0,"含赠品"&amp;INDEX(采购进货!$H$4:$H$1503,$K161)&amp;"件 ","")&amp;INDEX(采购进货!$I$4:$I$1503,$K161),INDEX(资金台帐!$E$7:$E$3006,$K161-1500)&amp;""))</f>
      </c>
      <c r="K161" s="78">
        <f>IFERROR(MATCH(SMALL(_辅助!$H$4:$H$4503,122),_辅助!$H$4:$H$4503,0),"")</f>
      </c>
    </row>
    <row r="162">
      <c r="A162" s="141">
        <f>IF($K162="","",123)</f>
      </c>
      <c r="B162" s="140">
        <f>IF($K162="","",IF($K162&lt;=1500,INDEX(采购进货!$B$4:$B$1503,$K162),INDEX(资金台帐!$B$7:$B$3006,$K162-1500)))</f>
      </c>
      <c r="C162" s="141">
        <f>IF($K162="","",IF($K162&lt;=1500,IF(N(INDEX(采购进货!$E$4:$E$1503,$K162))&lt;0,"退货","进货"),IF(INDEX(资金台帐!$S$7:$S$3006,$K162-1500)&lt;=0,"付款","退款")&amp;"（"&amp;INDEX(资金台帐!$C$7:$C$3006,$K162-1500)&amp;"）"))</f>
      </c>
      <c r="D162" s="141">
        <f>IF($K162="","",IF($K162&lt;=1500,INDEX(采购进货!$D$4:$D$1503,$K162)&amp;"",""))</f>
      </c>
      <c r="E162" s="148">
        <f>IF($K162="","",IF($K162&lt;=1500,N(INDEX(采购进货!$E$4:$E$1503,$K162))+N(INDEX(采购进货!$H$4:$H$1503,$K162)),""))</f>
      </c>
      <c r="F162" s="149">
        <f>IF($K162="","",IF($K162&lt;=1500,INDEX(采购进货!$F$4:$F$1503,$K162),""))</f>
      </c>
      <c r="G162" s="186">
        <f>IF($K162="","",IF($K162&lt;=1500,N(INDEX(采购进货!$G$4:$G$1503,$K162)),""))</f>
      </c>
      <c r="H162" s="186">
        <f>IF($K162="","",IF($K162&lt;=1500,"",-INDEX(资金台帐!$S$7:$S$3006,$K162-1500)))</f>
      </c>
      <c r="I162" s="187">
        <f>IF($K162="","",I161+N(G162)-N(H162))</f>
      </c>
      <c r="J162" s="213">
        <f>IF($K162="","",IF($K162&lt;=1500,IF(N(INDEX(采购进货!$H$4:$H$1503,$K162))&lt;&gt;0,"含赠品"&amp;INDEX(采购进货!$H$4:$H$1503,$K162)&amp;"件 ","")&amp;INDEX(采购进货!$I$4:$I$1503,$K162),INDEX(资金台帐!$E$7:$E$3006,$K162-1500)&amp;""))</f>
      </c>
      <c r="K162" s="78">
        <f>IFERROR(MATCH(SMALL(_辅助!$H$4:$H$4503,123),_辅助!$H$4:$H$4503,0),"")</f>
      </c>
    </row>
    <row r="163">
      <c r="A163" s="141">
        <f>IF($K163="","",124)</f>
      </c>
      <c r="B163" s="140">
        <f>IF($K163="","",IF($K163&lt;=1500,INDEX(采购进货!$B$4:$B$1503,$K163),INDEX(资金台帐!$B$7:$B$3006,$K163-1500)))</f>
      </c>
      <c r="C163" s="141">
        <f>IF($K163="","",IF($K163&lt;=1500,IF(N(INDEX(采购进货!$E$4:$E$1503,$K163))&lt;0,"退货","进货"),IF(INDEX(资金台帐!$S$7:$S$3006,$K163-1500)&lt;=0,"付款","退款")&amp;"（"&amp;INDEX(资金台帐!$C$7:$C$3006,$K163-1500)&amp;"）"))</f>
      </c>
      <c r="D163" s="141">
        <f>IF($K163="","",IF($K163&lt;=1500,INDEX(采购进货!$D$4:$D$1503,$K163)&amp;"",""))</f>
      </c>
      <c r="E163" s="148">
        <f>IF($K163="","",IF($K163&lt;=1500,N(INDEX(采购进货!$E$4:$E$1503,$K163))+N(INDEX(采购进货!$H$4:$H$1503,$K163)),""))</f>
      </c>
      <c r="F163" s="149">
        <f>IF($K163="","",IF($K163&lt;=1500,INDEX(采购进货!$F$4:$F$1503,$K163),""))</f>
      </c>
      <c r="G163" s="186">
        <f>IF($K163="","",IF($K163&lt;=1500,N(INDEX(采购进货!$G$4:$G$1503,$K163)),""))</f>
      </c>
      <c r="H163" s="186">
        <f>IF($K163="","",IF($K163&lt;=1500,"",-INDEX(资金台帐!$S$7:$S$3006,$K163-1500)))</f>
      </c>
      <c r="I163" s="187">
        <f>IF($K163="","",I162+N(G163)-N(H163))</f>
      </c>
      <c r="J163" s="213">
        <f>IF($K163="","",IF($K163&lt;=1500,IF(N(INDEX(采购进货!$H$4:$H$1503,$K163))&lt;&gt;0,"含赠品"&amp;INDEX(采购进货!$H$4:$H$1503,$K163)&amp;"件 ","")&amp;INDEX(采购进货!$I$4:$I$1503,$K163),INDEX(资金台帐!$E$7:$E$3006,$K163-1500)&amp;""))</f>
      </c>
      <c r="K163" s="78">
        <f>IFERROR(MATCH(SMALL(_辅助!$H$4:$H$4503,124),_辅助!$H$4:$H$4503,0),"")</f>
      </c>
    </row>
    <row r="164">
      <c r="A164" s="141">
        <f>IF($K164="","",125)</f>
      </c>
      <c r="B164" s="140">
        <f>IF($K164="","",IF($K164&lt;=1500,INDEX(采购进货!$B$4:$B$1503,$K164),INDEX(资金台帐!$B$7:$B$3006,$K164-1500)))</f>
      </c>
      <c r="C164" s="141">
        <f>IF($K164="","",IF($K164&lt;=1500,IF(N(INDEX(采购进货!$E$4:$E$1503,$K164))&lt;0,"退货","进货"),IF(INDEX(资金台帐!$S$7:$S$3006,$K164-1500)&lt;=0,"付款","退款")&amp;"（"&amp;INDEX(资金台帐!$C$7:$C$3006,$K164-1500)&amp;"）"))</f>
      </c>
      <c r="D164" s="141">
        <f>IF($K164="","",IF($K164&lt;=1500,INDEX(采购进货!$D$4:$D$1503,$K164)&amp;"",""))</f>
      </c>
      <c r="E164" s="148">
        <f>IF($K164="","",IF($K164&lt;=1500,N(INDEX(采购进货!$E$4:$E$1503,$K164))+N(INDEX(采购进货!$H$4:$H$1503,$K164)),""))</f>
      </c>
      <c r="F164" s="149">
        <f>IF($K164="","",IF($K164&lt;=1500,INDEX(采购进货!$F$4:$F$1503,$K164),""))</f>
      </c>
      <c r="G164" s="186">
        <f>IF($K164="","",IF($K164&lt;=1500,N(INDEX(采购进货!$G$4:$G$1503,$K164)),""))</f>
      </c>
      <c r="H164" s="186">
        <f>IF($K164="","",IF($K164&lt;=1500,"",-INDEX(资金台帐!$S$7:$S$3006,$K164-1500)))</f>
      </c>
      <c r="I164" s="187">
        <f>IF($K164="","",I163+N(G164)-N(H164))</f>
      </c>
      <c r="J164" s="213">
        <f>IF($K164="","",IF($K164&lt;=1500,IF(N(INDEX(采购进货!$H$4:$H$1503,$K164))&lt;&gt;0,"含赠品"&amp;INDEX(采购进货!$H$4:$H$1503,$K164)&amp;"件 ","")&amp;INDEX(采购进货!$I$4:$I$1503,$K164),INDEX(资金台帐!$E$7:$E$3006,$K164-1500)&amp;""))</f>
      </c>
      <c r="K164" s="78">
        <f>IFERROR(MATCH(SMALL(_辅助!$H$4:$H$4503,125),_辅助!$H$4:$H$4503,0),"")</f>
      </c>
    </row>
    <row r="165">
      <c r="A165" s="141">
        <f>IF($K165="","",126)</f>
      </c>
      <c r="B165" s="140">
        <f>IF($K165="","",IF($K165&lt;=1500,INDEX(采购进货!$B$4:$B$1503,$K165),INDEX(资金台帐!$B$7:$B$3006,$K165-1500)))</f>
      </c>
      <c r="C165" s="141">
        <f>IF($K165="","",IF($K165&lt;=1500,IF(N(INDEX(采购进货!$E$4:$E$1503,$K165))&lt;0,"退货","进货"),IF(INDEX(资金台帐!$S$7:$S$3006,$K165-1500)&lt;=0,"付款","退款")&amp;"（"&amp;INDEX(资金台帐!$C$7:$C$3006,$K165-1500)&amp;"）"))</f>
      </c>
      <c r="D165" s="141">
        <f>IF($K165="","",IF($K165&lt;=1500,INDEX(采购进货!$D$4:$D$1503,$K165)&amp;"",""))</f>
      </c>
      <c r="E165" s="148">
        <f>IF($K165="","",IF($K165&lt;=1500,N(INDEX(采购进货!$E$4:$E$1503,$K165))+N(INDEX(采购进货!$H$4:$H$1503,$K165)),""))</f>
      </c>
      <c r="F165" s="149">
        <f>IF($K165="","",IF($K165&lt;=1500,INDEX(采购进货!$F$4:$F$1503,$K165),""))</f>
      </c>
      <c r="G165" s="186">
        <f>IF($K165="","",IF($K165&lt;=1500,N(INDEX(采购进货!$G$4:$G$1503,$K165)),""))</f>
      </c>
      <c r="H165" s="186">
        <f>IF($K165="","",IF($K165&lt;=1500,"",-INDEX(资金台帐!$S$7:$S$3006,$K165-1500)))</f>
      </c>
      <c r="I165" s="187">
        <f>IF($K165="","",I164+N(G165)-N(H165))</f>
      </c>
      <c r="J165" s="213">
        <f>IF($K165="","",IF($K165&lt;=1500,IF(N(INDEX(采购进货!$H$4:$H$1503,$K165))&lt;&gt;0,"含赠品"&amp;INDEX(采购进货!$H$4:$H$1503,$K165)&amp;"件 ","")&amp;INDEX(采购进货!$I$4:$I$1503,$K165),INDEX(资金台帐!$E$7:$E$3006,$K165-1500)&amp;""))</f>
      </c>
      <c r="K165" s="78">
        <f>IFERROR(MATCH(SMALL(_辅助!$H$4:$H$4503,126),_辅助!$H$4:$H$4503,0),"")</f>
      </c>
    </row>
    <row r="166">
      <c r="A166" s="141">
        <f>IF($K166="","",127)</f>
      </c>
      <c r="B166" s="140">
        <f>IF($K166="","",IF($K166&lt;=1500,INDEX(采购进货!$B$4:$B$1503,$K166),INDEX(资金台帐!$B$7:$B$3006,$K166-1500)))</f>
      </c>
      <c r="C166" s="141">
        <f>IF($K166="","",IF($K166&lt;=1500,IF(N(INDEX(采购进货!$E$4:$E$1503,$K166))&lt;0,"退货","进货"),IF(INDEX(资金台帐!$S$7:$S$3006,$K166-1500)&lt;=0,"付款","退款")&amp;"（"&amp;INDEX(资金台帐!$C$7:$C$3006,$K166-1500)&amp;"）"))</f>
      </c>
      <c r="D166" s="141">
        <f>IF($K166="","",IF($K166&lt;=1500,INDEX(采购进货!$D$4:$D$1503,$K166)&amp;"",""))</f>
      </c>
      <c r="E166" s="148">
        <f>IF($K166="","",IF($K166&lt;=1500,N(INDEX(采购进货!$E$4:$E$1503,$K166))+N(INDEX(采购进货!$H$4:$H$1503,$K166)),""))</f>
      </c>
      <c r="F166" s="149">
        <f>IF($K166="","",IF($K166&lt;=1500,INDEX(采购进货!$F$4:$F$1503,$K166),""))</f>
      </c>
      <c r="G166" s="186">
        <f>IF($K166="","",IF($K166&lt;=1500,N(INDEX(采购进货!$G$4:$G$1503,$K166)),""))</f>
      </c>
      <c r="H166" s="186">
        <f>IF($K166="","",IF($K166&lt;=1500,"",-INDEX(资金台帐!$S$7:$S$3006,$K166-1500)))</f>
      </c>
      <c r="I166" s="187">
        <f>IF($K166="","",I165+N(G166)-N(H166))</f>
      </c>
      <c r="J166" s="213">
        <f>IF($K166="","",IF($K166&lt;=1500,IF(N(INDEX(采购进货!$H$4:$H$1503,$K166))&lt;&gt;0,"含赠品"&amp;INDEX(采购进货!$H$4:$H$1503,$K166)&amp;"件 ","")&amp;INDEX(采购进货!$I$4:$I$1503,$K166),INDEX(资金台帐!$E$7:$E$3006,$K166-1500)&amp;""))</f>
      </c>
      <c r="K166" s="78">
        <f>IFERROR(MATCH(SMALL(_辅助!$H$4:$H$4503,127),_辅助!$H$4:$H$4503,0),"")</f>
      </c>
    </row>
    <row r="167">
      <c r="A167" s="141">
        <f>IF($K167="","",128)</f>
      </c>
      <c r="B167" s="140">
        <f>IF($K167="","",IF($K167&lt;=1500,INDEX(采购进货!$B$4:$B$1503,$K167),INDEX(资金台帐!$B$7:$B$3006,$K167-1500)))</f>
      </c>
      <c r="C167" s="141">
        <f>IF($K167="","",IF($K167&lt;=1500,IF(N(INDEX(采购进货!$E$4:$E$1503,$K167))&lt;0,"退货","进货"),IF(INDEX(资金台帐!$S$7:$S$3006,$K167-1500)&lt;=0,"付款","退款")&amp;"（"&amp;INDEX(资金台帐!$C$7:$C$3006,$K167-1500)&amp;"）"))</f>
      </c>
      <c r="D167" s="141">
        <f>IF($K167="","",IF($K167&lt;=1500,INDEX(采购进货!$D$4:$D$1503,$K167)&amp;"",""))</f>
      </c>
      <c r="E167" s="148">
        <f>IF($K167="","",IF($K167&lt;=1500,N(INDEX(采购进货!$E$4:$E$1503,$K167))+N(INDEX(采购进货!$H$4:$H$1503,$K167)),""))</f>
      </c>
      <c r="F167" s="149">
        <f>IF($K167="","",IF($K167&lt;=1500,INDEX(采购进货!$F$4:$F$1503,$K167),""))</f>
      </c>
      <c r="G167" s="186">
        <f>IF($K167="","",IF($K167&lt;=1500,N(INDEX(采购进货!$G$4:$G$1503,$K167)),""))</f>
      </c>
      <c r="H167" s="186">
        <f>IF($K167="","",IF($K167&lt;=1500,"",-INDEX(资金台帐!$S$7:$S$3006,$K167-1500)))</f>
      </c>
      <c r="I167" s="187">
        <f>IF($K167="","",I166+N(G167)-N(H167))</f>
      </c>
      <c r="J167" s="213">
        <f>IF($K167="","",IF($K167&lt;=1500,IF(N(INDEX(采购进货!$H$4:$H$1503,$K167))&lt;&gt;0,"含赠品"&amp;INDEX(采购进货!$H$4:$H$1503,$K167)&amp;"件 ","")&amp;INDEX(采购进货!$I$4:$I$1503,$K167),INDEX(资金台帐!$E$7:$E$3006,$K167-1500)&amp;""))</f>
      </c>
      <c r="K167" s="78">
        <f>IFERROR(MATCH(SMALL(_辅助!$H$4:$H$4503,128),_辅助!$H$4:$H$4503,0),"")</f>
      </c>
    </row>
    <row r="168">
      <c r="A168" s="141">
        <f>IF($K168="","",129)</f>
      </c>
      <c r="B168" s="140">
        <f>IF($K168="","",IF($K168&lt;=1500,INDEX(采购进货!$B$4:$B$1503,$K168),INDEX(资金台帐!$B$7:$B$3006,$K168-1500)))</f>
      </c>
      <c r="C168" s="141">
        <f>IF($K168="","",IF($K168&lt;=1500,IF(N(INDEX(采购进货!$E$4:$E$1503,$K168))&lt;0,"退货","进货"),IF(INDEX(资金台帐!$S$7:$S$3006,$K168-1500)&lt;=0,"付款","退款")&amp;"（"&amp;INDEX(资金台帐!$C$7:$C$3006,$K168-1500)&amp;"）"))</f>
      </c>
      <c r="D168" s="141">
        <f>IF($K168="","",IF($K168&lt;=1500,INDEX(采购进货!$D$4:$D$1503,$K168)&amp;"",""))</f>
      </c>
      <c r="E168" s="148">
        <f>IF($K168="","",IF($K168&lt;=1500,N(INDEX(采购进货!$E$4:$E$1503,$K168))+N(INDEX(采购进货!$H$4:$H$1503,$K168)),""))</f>
      </c>
      <c r="F168" s="149">
        <f>IF($K168="","",IF($K168&lt;=1500,INDEX(采购进货!$F$4:$F$1503,$K168),""))</f>
      </c>
      <c r="G168" s="186">
        <f>IF($K168="","",IF($K168&lt;=1500,N(INDEX(采购进货!$G$4:$G$1503,$K168)),""))</f>
      </c>
      <c r="H168" s="186">
        <f>IF($K168="","",IF($K168&lt;=1500,"",-INDEX(资金台帐!$S$7:$S$3006,$K168-1500)))</f>
      </c>
      <c r="I168" s="187">
        <f>IF($K168="","",I167+N(G168)-N(H168))</f>
      </c>
      <c r="J168" s="213">
        <f>IF($K168="","",IF($K168&lt;=1500,IF(N(INDEX(采购进货!$H$4:$H$1503,$K168))&lt;&gt;0,"含赠品"&amp;INDEX(采购进货!$H$4:$H$1503,$K168)&amp;"件 ","")&amp;INDEX(采购进货!$I$4:$I$1503,$K168),INDEX(资金台帐!$E$7:$E$3006,$K168-1500)&amp;""))</f>
      </c>
      <c r="K168" s="78">
        <f>IFERROR(MATCH(SMALL(_辅助!$H$4:$H$4503,129),_辅助!$H$4:$H$4503,0),"")</f>
      </c>
    </row>
    <row r="169">
      <c r="A169" s="141">
        <f>IF($K169="","",130)</f>
      </c>
      <c r="B169" s="140">
        <f>IF($K169="","",IF($K169&lt;=1500,INDEX(采购进货!$B$4:$B$1503,$K169),INDEX(资金台帐!$B$7:$B$3006,$K169-1500)))</f>
      </c>
      <c r="C169" s="141">
        <f>IF($K169="","",IF($K169&lt;=1500,IF(N(INDEX(采购进货!$E$4:$E$1503,$K169))&lt;0,"退货","进货"),IF(INDEX(资金台帐!$S$7:$S$3006,$K169-1500)&lt;=0,"付款","退款")&amp;"（"&amp;INDEX(资金台帐!$C$7:$C$3006,$K169-1500)&amp;"）"))</f>
      </c>
      <c r="D169" s="141">
        <f>IF($K169="","",IF($K169&lt;=1500,INDEX(采购进货!$D$4:$D$1503,$K169)&amp;"",""))</f>
      </c>
      <c r="E169" s="148">
        <f>IF($K169="","",IF($K169&lt;=1500,N(INDEX(采购进货!$E$4:$E$1503,$K169))+N(INDEX(采购进货!$H$4:$H$1503,$K169)),""))</f>
      </c>
      <c r="F169" s="149">
        <f>IF($K169="","",IF($K169&lt;=1500,INDEX(采购进货!$F$4:$F$1503,$K169),""))</f>
      </c>
      <c r="G169" s="186">
        <f>IF($K169="","",IF($K169&lt;=1500,N(INDEX(采购进货!$G$4:$G$1503,$K169)),""))</f>
      </c>
      <c r="H169" s="186">
        <f>IF($K169="","",IF($K169&lt;=1500,"",-INDEX(资金台帐!$S$7:$S$3006,$K169-1500)))</f>
      </c>
      <c r="I169" s="187">
        <f>IF($K169="","",I168+N(G169)-N(H169))</f>
      </c>
      <c r="J169" s="213">
        <f>IF($K169="","",IF($K169&lt;=1500,IF(N(INDEX(采购进货!$H$4:$H$1503,$K169))&lt;&gt;0,"含赠品"&amp;INDEX(采购进货!$H$4:$H$1503,$K169)&amp;"件 ","")&amp;INDEX(采购进货!$I$4:$I$1503,$K169),INDEX(资金台帐!$E$7:$E$3006,$K169-1500)&amp;""))</f>
      </c>
      <c r="K169" s="78">
        <f>IFERROR(MATCH(SMALL(_辅助!$H$4:$H$4503,130),_辅助!$H$4:$H$4503,0),"")</f>
      </c>
    </row>
    <row r="170">
      <c r="A170" s="141">
        <f>IF($K170="","",131)</f>
      </c>
      <c r="B170" s="140">
        <f>IF($K170="","",IF($K170&lt;=1500,INDEX(采购进货!$B$4:$B$1503,$K170),INDEX(资金台帐!$B$7:$B$3006,$K170-1500)))</f>
      </c>
      <c r="C170" s="141">
        <f>IF($K170="","",IF($K170&lt;=1500,IF(N(INDEX(采购进货!$E$4:$E$1503,$K170))&lt;0,"退货","进货"),IF(INDEX(资金台帐!$S$7:$S$3006,$K170-1500)&lt;=0,"付款","退款")&amp;"（"&amp;INDEX(资金台帐!$C$7:$C$3006,$K170-1500)&amp;"）"))</f>
      </c>
      <c r="D170" s="141">
        <f>IF($K170="","",IF($K170&lt;=1500,INDEX(采购进货!$D$4:$D$1503,$K170)&amp;"",""))</f>
      </c>
      <c r="E170" s="148">
        <f>IF($K170="","",IF($K170&lt;=1500,N(INDEX(采购进货!$E$4:$E$1503,$K170))+N(INDEX(采购进货!$H$4:$H$1503,$K170)),""))</f>
      </c>
      <c r="F170" s="149">
        <f>IF($K170="","",IF($K170&lt;=1500,INDEX(采购进货!$F$4:$F$1503,$K170),""))</f>
      </c>
      <c r="G170" s="186">
        <f>IF($K170="","",IF($K170&lt;=1500,N(INDEX(采购进货!$G$4:$G$1503,$K170)),""))</f>
      </c>
      <c r="H170" s="186">
        <f>IF($K170="","",IF($K170&lt;=1500,"",-INDEX(资金台帐!$S$7:$S$3006,$K170-1500)))</f>
      </c>
      <c r="I170" s="187">
        <f>IF($K170="","",I169+N(G170)-N(H170))</f>
      </c>
      <c r="J170" s="213">
        <f>IF($K170="","",IF($K170&lt;=1500,IF(N(INDEX(采购进货!$H$4:$H$1503,$K170))&lt;&gt;0,"含赠品"&amp;INDEX(采购进货!$H$4:$H$1503,$K170)&amp;"件 ","")&amp;INDEX(采购进货!$I$4:$I$1503,$K170),INDEX(资金台帐!$E$7:$E$3006,$K170-1500)&amp;""))</f>
      </c>
      <c r="K170" s="78">
        <f>IFERROR(MATCH(SMALL(_辅助!$H$4:$H$4503,131),_辅助!$H$4:$H$4503,0),"")</f>
      </c>
    </row>
    <row r="171">
      <c r="A171" s="141">
        <f>IF($K171="","",132)</f>
      </c>
      <c r="B171" s="140">
        <f>IF($K171="","",IF($K171&lt;=1500,INDEX(采购进货!$B$4:$B$1503,$K171),INDEX(资金台帐!$B$7:$B$3006,$K171-1500)))</f>
      </c>
      <c r="C171" s="141">
        <f>IF($K171="","",IF($K171&lt;=1500,IF(N(INDEX(采购进货!$E$4:$E$1503,$K171))&lt;0,"退货","进货"),IF(INDEX(资金台帐!$S$7:$S$3006,$K171-1500)&lt;=0,"付款","退款")&amp;"（"&amp;INDEX(资金台帐!$C$7:$C$3006,$K171-1500)&amp;"）"))</f>
      </c>
      <c r="D171" s="141">
        <f>IF($K171="","",IF($K171&lt;=1500,INDEX(采购进货!$D$4:$D$1503,$K171)&amp;"",""))</f>
      </c>
      <c r="E171" s="148">
        <f>IF($K171="","",IF($K171&lt;=1500,N(INDEX(采购进货!$E$4:$E$1503,$K171))+N(INDEX(采购进货!$H$4:$H$1503,$K171)),""))</f>
      </c>
      <c r="F171" s="149">
        <f>IF($K171="","",IF($K171&lt;=1500,INDEX(采购进货!$F$4:$F$1503,$K171),""))</f>
      </c>
      <c r="G171" s="186">
        <f>IF($K171="","",IF($K171&lt;=1500,N(INDEX(采购进货!$G$4:$G$1503,$K171)),""))</f>
      </c>
      <c r="H171" s="186">
        <f>IF($K171="","",IF($K171&lt;=1500,"",-INDEX(资金台帐!$S$7:$S$3006,$K171-1500)))</f>
      </c>
      <c r="I171" s="187">
        <f>IF($K171="","",I170+N(G171)-N(H171))</f>
      </c>
      <c r="J171" s="213">
        <f>IF($K171="","",IF($K171&lt;=1500,IF(N(INDEX(采购进货!$H$4:$H$1503,$K171))&lt;&gt;0,"含赠品"&amp;INDEX(采购进货!$H$4:$H$1503,$K171)&amp;"件 ","")&amp;INDEX(采购进货!$I$4:$I$1503,$K171),INDEX(资金台帐!$E$7:$E$3006,$K171-1500)&amp;""))</f>
      </c>
      <c r="K171" s="78">
        <f>IFERROR(MATCH(SMALL(_辅助!$H$4:$H$4503,132),_辅助!$H$4:$H$4503,0),"")</f>
      </c>
    </row>
    <row r="172">
      <c r="A172" s="141">
        <f>IF($K172="","",133)</f>
      </c>
      <c r="B172" s="140">
        <f>IF($K172="","",IF($K172&lt;=1500,INDEX(采购进货!$B$4:$B$1503,$K172),INDEX(资金台帐!$B$7:$B$3006,$K172-1500)))</f>
      </c>
      <c r="C172" s="141">
        <f>IF($K172="","",IF($K172&lt;=1500,IF(N(INDEX(采购进货!$E$4:$E$1503,$K172))&lt;0,"退货","进货"),IF(INDEX(资金台帐!$S$7:$S$3006,$K172-1500)&lt;=0,"付款","退款")&amp;"（"&amp;INDEX(资金台帐!$C$7:$C$3006,$K172-1500)&amp;"）"))</f>
      </c>
      <c r="D172" s="141">
        <f>IF($K172="","",IF($K172&lt;=1500,INDEX(采购进货!$D$4:$D$1503,$K172)&amp;"",""))</f>
      </c>
      <c r="E172" s="148">
        <f>IF($K172="","",IF($K172&lt;=1500,N(INDEX(采购进货!$E$4:$E$1503,$K172))+N(INDEX(采购进货!$H$4:$H$1503,$K172)),""))</f>
      </c>
      <c r="F172" s="149">
        <f>IF($K172="","",IF($K172&lt;=1500,INDEX(采购进货!$F$4:$F$1503,$K172),""))</f>
      </c>
      <c r="G172" s="186">
        <f>IF($K172="","",IF($K172&lt;=1500,N(INDEX(采购进货!$G$4:$G$1503,$K172)),""))</f>
      </c>
      <c r="H172" s="186">
        <f>IF($K172="","",IF($K172&lt;=1500,"",-INDEX(资金台帐!$S$7:$S$3006,$K172-1500)))</f>
      </c>
      <c r="I172" s="187">
        <f>IF($K172="","",I171+N(G172)-N(H172))</f>
      </c>
      <c r="J172" s="213">
        <f>IF($K172="","",IF($K172&lt;=1500,IF(N(INDEX(采购进货!$H$4:$H$1503,$K172))&lt;&gt;0,"含赠品"&amp;INDEX(采购进货!$H$4:$H$1503,$K172)&amp;"件 ","")&amp;INDEX(采购进货!$I$4:$I$1503,$K172),INDEX(资金台帐!$E$7:$E$3006,$K172-1500)&amp;""))</f>
      </c>
      <c r="K172" s="78">
        <f>IFERROR(MATCH(SMALL(_辅助!$H$4:$H$4503,133),_辅助!$H$4:$H$4503,0),"")</f>
      </c>
    </row>
    <row r="173">
      <c r="A173" s="141">
        <f>IF($K173="","",134)</f>
      </c>
      <c r="B173" s="140">
        <f>IF($K173="","",IF($K173&lt;=1500,INDEX(采购进货!$B$4:$B$1503,$K173),INDEX(资金台帐!$B$7:$B$3006,$K173-1500)))</f>
      </c>
      <c r="C173" s="141">
        <f>IF($K173="","",IF($K173&lt;=1500,IF(N(INDEX(采购进货!$E$4:$E$1503,$K173))&lt;0,"退货","进货"),IF(INDEX(资金台帐!$S$7:$S$3006,$K173-1500)&lt;=0,"付款","退款")&amp;"（"&amp;INDEX(资金台帐!$C$7:$C$3006,$K173-1500)&amp;"）"))</f>
      </c>
      <c r="D173" s="141">
        <f>IF($K173="","",IF($K173&lt;=1500,INDEX(采购进货!$D$4:$D$1503,$K173)&amp;"",""))</f>
      </c>
      <c r="E173" s="148">
        <f>IF($K173="","",IF($K173&lt;=1500,N(INDEX(采购进货!$E$4:$E$1503,$K173))+N(INDEX(采购进货!$H$4:$H$1503,$K173)),""))</f>
      </c>
      <c r="F173" s="149">
        <f>IF($K173="","",IF($K173&lt;=1500,INDEX(采购进货!$F$4:$F$1503,$K173),""))</f>
      </c>
      <c r="G173" s="186">
        <f>IF($K173="","",IF($K173&lt;=1500,N(INDEX(采购进货!$G$4:$G$1503,$K173)),""))</f>
      </c>
      <c r="H173" s="186">
        <f>IF($K173="","",IF($K173&lt;=1500,"",-INDEX(资金台帐!$S$7:$S$3006,$K173-1500)))</f>
      </c>
      <c r="I173" s="187">
        <f>IF($K173="","",I172+N(G173)-N(H173))</f>
      </c>
      <c r="J173" s="213">
        <f>IF($K173="","",IF($K173&lt;=1500,IF(N(INDEX(采购进货!$H$4:$H$1503,$K173))&lt;&gt;0,"含赠品"&amp;INDEX(采购进货!$H$4:$H$1503,$K173)&amp;"件 ","")&amp;INDEX(采购进货!$I$4:$I$1503,$K173),INDEX(资金台帐!$E$7:$E$3006,$K173-1500)&amp;""))</f>
      </c>
      <c r="K173" s="78">
        <f>IFERROR(MATCH(SMALL(_辅助!$H$4:$H$4503,134),_辅助!$H$4:$H$4503,0),"")</f>
      </c>
    </row>
    <row r="174">
      <c r="A174" s="141">
        <f>IF($K174="","",135)</f>
      </c>
      <c r="B174" s="140">
        <f>IF($K174="","",IF($K174&lt;=1500,INDEX(采购进货!$B$4:$B$1503,$K174),INDEX(资金台帐!$B$7:$B$3006,$K174-1500)))</f>
      </c>
      <c r="C174" s="141">
        <f>IF($K174="","",IF($K174&lt;=1500,IF(N(INDEX(采购进货!$E$4:$E$1503,$K174))&lt;0,"退货","进货"),IF(INDEX(资金台帐!$S$7:$S$3006,$K174-1500)&lt;=0,"付款","退款")&amp;"（"&amp;INDEX(资金台帐!$C$7:$C$3006,$K174-1500)&amp;"）"))</f>
      </c>
      <c r="D174" s="141">
        <f>IF($K174="","",IF($K174&lt;=1500,INDEX(采购进货!$D$4:$D$1503,$K174)&amp;"",""))</f>
      </c>
      <c r="E174" s="148">
        <f>IF($K174="","",IF($K174&lt;=1500,N(INDEX(采购进货!$E$4:$E$1503,$K174))+N(INDEX(采购进货!$H$4:$H$1503,$K174)),""))</f>
      </c>
      <c r="F174" s="149">
        <f>IF($K174="","",IF($K174&lt;=1500,INDEX(采购进货!$F$4:$F$1503,$K174),""))</f>
      </c>
      <c r="G174" s="186">
        <f>IF($K174="","",IF($K174&lt;=1500,N(INDEX(采购进货!$G$4:$G$1503,$K174)),""))</f>
      </c>
      <c r="H174" s="186">
        <f>IF($K174="","",IF($K174&lt;=1500,"",-INDEX(资金台帐!$S$7:$S$3006,$K174-1500)))</f>
      </c>
      <c r="I174" s="187">
        <f>IF($K174="","",I173+N(G174)-N(H174))</f>
      </c>
      <c r="J174" s="213">
        <f>IF($K174="","",IF($K174&lt;=1500,IF(N(INDEX(采购进货!$H$4:$H$1503,$K174))&lt;&gt;0,"含赠品"&amp;INDEX(采购进货!$H$4:$H$1503,$K174)&amp;"件 ","")&amp;INDEX(采购进货!$I$4:$I$1503,$K174),INDEX(资金台帐!$E$7:$E$3006,$K174-1500)&amp;""))</f>
      </c>
      <c r="K174" s="78">
        <f>IFERROR(MATCH(SMALL(_辅助!$H$4:$H$4503,135),_辅助!$H$4:$H$4503,0),"")</f>
      </c>
    </row>
    <row r="175">
      <c r="A175" s="141">
        <f>IF($K175="","",136)</f>
      </c>
      <c r="B175" s="140">
        <f>IF($K175="","",IF($K175&lt;=1500,INDEX(采购进货!$B$4:$B$1503,$K175),INDEX(资金台帐!$B$7:$B$3006,$K175-1500)))</f>
      </c>
      <c r="C175" s="141">
        <f>IF($K175="","",IF($K175&lt;=1500,IF(N(INDEX(采购进货!$E$4:$E$1503,$K175))&lt;0,"退货","进货"),IF(INDEX(资金台帐!$S$7:$S$3006,$K175-1500)&lt;=0,"付款","退款")&amp;"（"&amp;INDEX(资金台帐!$C$7:$C$3006,$K175-1500)&amp;"）"))</f>
      </c>
      <c r="D175" s="141">
        <f>IF($K175="","",IF($K175&lt;=1500,INDEX(采购进货!$D$4:$D$1503,$K175)&amp;"",""))</f>
      </c>
      <c r="E175" s="148">
        <f>IF($K175="","",IF($K175&lt;=1500,N(INDEX(采购进货!$E$4:$E$1503,$K175))+N(INDEX(采购进货!$H$4:$H$1503,$K175)),""))</f>
      </c>
      <c r="F175" s="149">
        <f>IF($K175="","",IF($K175&lt;=1500,INDEX(采购进货!$F$4:$F$1503,$K175),""))</f>
      </c>
      <c r="G175" s="186">
        <f>IF($K175="","",IF($K175&lt;=1500,N(INDEX(采购进货!$G$4:$G$1503,$K175)),""))</f>
      </c>
      <c r="H175" s="186">
        <f>IF($K175="","",IF($K175&lt;=1500,"",-INDEX(资金台帐!$S$7:$S$3006,$K175-1500)))</f>
      </c>
      <c r="I175" s="187">
        <f>IF($K175="","",I174+N(G175)-N(H175))</f>
      </c>
      <c r="J175" s="213">
        <f>IF($K175="","",IF($K175&lt;=1500,IF(N(INDEX(采购进货!$H$4:$H$1503,$K175))&lt;&gt;0,"含赠品"&amp;INDEX(采购进货!$H$4:$H$1503,$K175)&amp;"件 ","")&amp;INDEX(采购进货!$I$4:$I$1503,$K175),INDEX(资金台帐!$E$7:$E$3006,$K175-1500)&amp;""))</f>
      </c>
      <c r="K175" s="78">
        <f>IFERROR(MATCH(SMALL(_辅助!$H$4:$H$4503,136),_辅助!$H$4:$H$4503,0),"")</f>
      </c>
    </row>
    <row r="176">
      <c r="A176" s="141">
        <f>IF($K176="","",137)</f>
      </c>
      <c r="B176" s="140">
        <f>IF($K176="","",IF($K176&lt;=1500,INDEX(采购进货!$B$4:$B$1503,$K176),INDEX(资金台帐!$B$7:$B$3006,$K176-1500)))</f>
      </c>
      <c r="C176" s="141">
        <f>IF($K176="","",IF($K176&lt;=1500,IF(N(INDEX(采购进货!$E$4:$E$1503,$K176))&lt;0,"退货","进货"),IF(INDEX(资金台帐!$S$7:$S$3006,$K176-1500)&lt;=0,"付款","退款")&amp;"（"&amp;INDEX(资金台帐!$C$7:$C$3006,$K176-1500)&amp;"）"))</f>
      </c>
      <c r="D176" s="141">
        <f>IF($K176="","",IF($K176&lt;=1500,INDEX(采购进货!$D$4:$D$1503,$K176)&amp;"",""))</f>
      </c>
      <c r="E176" s="148">
        <f>IF($K176="","",IF($K176&lt;=1500,N(INDEX(采购进货!$E$4:$E$1503,$K176))+N(INDEX(采购进货!$H$4:$H$1503,$K176)),""))</f>
      </c>
      <c r="F176" s="149">
        <f>IF($K176="","",IF($K176&lt;=1500,INDEX(采购进货!$F$4:$F$1503,$K176),""))</f>
      </c>
      <c r="G176" s="186">
        <f>IF($K176="","",IF($K176&lt;=1500,N(INDEX(采购进货!$G$4:$G$1503,$K176)),""))</f>
      </c>
      <c r="H176" s="186">
        <f>IF($K176="","",IF($K176&lt;=1500,"",-INDEX(资金台帐!$S$7:$S$3006,$K176-1500)))</f>
      </c>
      <c r="I176" s="187">
        <f>IF($K176="","",I175+N(G176)-N(H176))</f>
      </c>
      <c r="J176" s="213">
        <f>IF($K176="","",IF($K176&lt;=1500,IF(N(INDEX(采购进货!$H$4:$H$1503,$K176))&lt;&gt;0,"含赠品"&amp;INDEX(采购进货!$H$4:$H$1503,$K176)&amp;"件 ","")&amp;INDEX(采购进货!$I$4:$I$1503,$K176),INDEX(资金台帐!$E$7:$E$3006,$K176-1500)&amp;""))</f>
      </c>
      <c r="K176" s="78">
        <f>IFERROR(MATCH(SMALL(_辅助!$H$4:$H$4503,137),_辅助!$H$4:$H$4503,0),"")</f>
      </c>
    </row>
    <row r="177">
      <c r="A177" s="141">
        <f>IF($K177="","",138)</f>
      </c>
      <c r="B177" s="140">
        <f>IF($K177="","",IF($K177&lt;=1500,INDEX(采购进货!$B$4:$B$1503,$K177),INDEX(资金台帐!$B$7:$B$3006,$K177-1500)))</f>
      </c>
      <c r="C177" s="141">
        <f>IF($K177="","",IF($K177&lt;=1500,IF(N(INDEX(采购进货!$E$4:$E$1503,$K177))&lt;0,"退货","进货"),IF(INDEX(资金台帐!$S$7:$S$3006,$K177-1500)&lt;=0,"付款","退款")&amp;"（"&amp;INDEX(资金台帐!$C$7:$C$3006,$K177-1500)&amp;"）"))</f>
      </c>
      <c r="D177" s="141">
        <f>IF($K177="","",IF($K177&lt;=1500,INDEX(采购进货!$D$4:$D$1503,$K177)&amp;"",""))</f>
      </c>
      <c r="E177" s="148">
        <f>IF($K177="","",IF($K177&lt;=1500,N(INDEX(采购进货!$E$4:$E$1503,$K177))+N(INDEX(采购进货!$H$4:$H$1503,$K177)),""))</f>
      </c>
      <c r="F177" s="149">
        <f>IF($K177="","",IF($K177&lt;=1500,INDEX(采购进货!$F$4:$F$1503,$K177),""))</f>
      </c>
      <c r="G177" s="186">
        <f>IF($K177="","",IF($K177&lt;=1500,N(INDEX(采购进货!$G$4:$G$1503,$K177)),""))</f>
      </c>
      <c r="H177" s="186">
        <f>IF($K177="","",IF($K177&lt;=1500,"",-INDEX(资金台帐!$S$7:$S$3006,$K177-1500)))</f>
      </c>
      <c r="I177" s="187">
        <f>IF($K177="","",I176+N(G177)-N(H177))</f>
      </c>
      <c r="J177" s="213">
        <f>IF($K177="","",IF($K177&lt;=1500,IF(N(INDEX(采购进货!$H$4:$H$1503,$K177))&lt;&gt;0,"含赠品"&amp;INDEX(采购进货!$H$4:$H$1503,$K177)&amp;"件 ","")&amp;INDEX(采购进货!$I$4:$I$1503,$K177),INDEX(资金台帐!$E$7:$E$3006,$K177-1500)&amp;""))</f>
      </c>
      <c r="K177" s="78">
        <f>IFERROR(MATCH(SMALL(_辅助!$H$4:$H$4503,138),_辅助!$H$4:$H$4503,0),"")</f>
      </c>
    </row>
    <row r="178">
      <c r="A178" s="141">
        <f>IF($K178="","",139)</f>
      </c>
      <c r="B178" s="140">
        <f>IF($K178="","",IF($K178&lt;=1500,INDEX(采购进货!$B$4:$B$1503,$K178),INDEX(资金台帐!$B$7:$B$3006,$K178-1500)))</f>
      </c>
      <c r="C178" s="141">
        <f>IF($K178="","",IF($K178&lt;=1500,IF(N(INDEX(采购进货!$E$4:$E$1503,$K178))&lt;0,"退货","进货"),IF(INDEX(资金台帐!$S$7:$S$3006,$K178-1500)&lt;=0,"付款","退款")&amp;"（"&amp;INDEX(资金台帐!$C$7:$C$3006,$K178-1500)&amp;"）"))</f>
      </c>
      <c r="D178" s="141">
        <f>IF($K178="","",IF($K178&lt;=1500,INDEX(采购进货!$D$4:$D$1503,$K178)&amp;"",""))</f>
      </c>
      <c r="E178" s="148">
        <f>IF($K178="","",IF($K178&lt;=1500,N(INDEX(采购进货!$E$4:$E$1503,$K178))+N(INDEX(采购进货!$H$4:$H$1503,$K178)),""))</f>
      </c>
      <c r="F178" s="149">
        <f>IF($K178="","",IF($K178&lt;=1500,INDEX(采购进货!$F$4:$F$1503,$K178),""))</f>
      </c>
      <c r="G178" s="186">
        <f>IF($K178="","",IF($K178&lt;=1500,N(INDEX(采购进货!$G$4:$G$1503,$K178)),""))</f>
      </c>
      <c r="H178" s="186">
        <f>IF($K178="","",IF($K178&lt;=1500,"",-INDEX(资金台帐!$S$7:$S$3006,$K178-1500)))</f>
      </c>
      <c r="I178" s="187">
        <f>IF($K178="","",I177+N(G178)-N(H178))</f>
      </c>
      <c r="J178" s="213">
        <f>IF($K178="","",IF($K178&lt;=1500,IF(N(INDEX(采购进货!$H$4:$H$1503,$K178))&lt;&gt;0,"含赠品"&amp;INDEX(采购进货!$H$4:$H$1503,$K178)&amp;"件 ","")&amp;INDEX(采购进货!$I$4:$I$1503,$K178),INDEX(资金台帐!$E$7:$E$3006,$K178-1500)&amp;""))</f>
      </c>
      <c r="K178" s="78">
        <f>IFERROR(MATCH(SMALL(_辅助!$H$4:$H$4503,139),_辅助!$H$4:$H$4503,0),"")</f>
      </c>
    </row>
    <row r="179">
      <c r="A179" s="141">
        <f>IF($K179="","",140)</f>
      </c>
      <c r="B179" s="140">
        <f>IF($K179="","",IF($K179&lt;=1500,INDEX(采购进货!$B$4:$B$1503,$K179),INDEX(资金台帐!$B$7:$B$3006,$K179-1500)))</f>
      </c>
      <c r="C179" s="141">
        <f>IF($K179="","",IF($K179&lt;=1500,IF(N(INDEX(采购进货!$E$4:$E$1503,$K179))&lt;0,"退货","进货"),IF(INDEX(资金台帐!$S$7:$S$3006,$K179-1500)&lt;=0,"付款","退款")&amp;"（"&amp;INDEX(资金台帐!$C$7:$C$3006,$K179-1500)&amp;"）"))</f>
      </c>
      <c r="D179" s="141">
        <f>IF($K179="","",IF($K179&lt;=1500,INDEX(采购进货!$D$4:$D$1503,$K179)&amp;"",""))</f>
      </c>
      <c r="E179" s="148">
        <f>IF($K179="","",IF($K179&lt;=1500,N(INDEX(采购进货!$E$4:$E$1503,$K179))+N(INDEX(采购进货!$H$4:$H$1503,$K179)),""))</f>
      </c>
      <c r="F179" s="149">
        <f>IF($K179="","",IF($K179&lt;=1500,INDEX(采购进货!$F$4:$F$1503,$K179),""))</f>
      </c>
      <c r="G179" s="186">
        <f>IF($K179="","",IF($K179&lt;=1500,N(INDEX(采购进货!$G$4:$G$1503,$K179)),""))</f>
      </c>
      <c r="H179" s="186">
        <f>IF($K179="","",IF($K179&lt;=1500,"",-INDEX(资金台帐!$S$7:$S$3006,$K179-1500)))</f>
      </c>
      <c r="I179" s="187">
        <f>IF($K179="","",I178+N(G179)-N(H179))</f>
      </c>
      <c r="J179" s="213">
        <f>IF($K179="","",IF($K179&lt;=1500,IF(N(INDEX(采购进货!$H$4:$H$1503,$K179))&lt;&gt;0,"含赠品"&amp;INDEX(采购进货!$H$4:$H$1503,$K179)&amp;"件 ","")&amp;INDEX(采购进货!$I$4:$I$1503,$K179),INDEX(资金台帐!$E$7:$E$3006,$K179-1500)&amp;""))</f>
      </c>
      <c r="K179" s="78">
        <f>IFERROR(MATCH(SMALL(_辅助!$H$4:$H$4503,140),_辅助!$H$4:$H$4503,0),"")</f>
      </c>
    </row>
    <row r="180">
      <c r="A180" s="141">
        <f>IF($K180="","",141)</f>
      </c>
      <c r="B180" s="140">
        <f>IF($K180="","",IF($K180&lt;=1500,INDEX(采购进货!$B$4:$B$1503,$K180),INDEX(资金台帐!$B$7:$B$3006,$K180-1500)))</f>
      </c>
      <c r="C180" s="141">
        <f>IF($K180="","",IF($K180&lt;=1500,IF(N(INDEX(采购进货!$E$4:$E$1503,$K180))&lt;0,"退货","进货"),IF(INDEX(资金台帐!$S$7:$S$3006,$K180-1500)&lt;=0,"付款","退款")&amp;"（"&amp;INDEX(资金台帐!$C$7:$C$3006,$K180-1500)&amp;"）"))</f>
      </c>
      <c r="D180" s="141">
        <f>IF($K180="","",IF($K180&lt;=1500,INDEX(采购进货!$D$4:$D$1503,$K180)&amp;"",""))</f>
      </c>
      <c r="E180" s="148">
        <f>IF($K180="","",IF($K180&lt;=1500,N(INDEX(采购进货!$E$4:$E$1503,$K180))+N(INDEX(采购进货!$H$4:$H$1503,$K180)),""))</f>
      </c>
      <c r="F180" s="149">
        <f>IF($K180="","",IF($K180&lt;=1500,INDEX(采购进货!$F$4:$F$1503,$K180),""))</f>
      </c>
      <c r="G180" s="186">
        <f>IF($K180="","",IF($K180&lt;=1500,N(INDEX(采购进货!$G$4:$G$1503,$K180)),""))</f>
      </c>
      <c r="H180" s="186">
        <f>IF($K180="","",IF($K180&lt;=1500,"",-INDEX(资金台帐!$S$7:$S$3006,$K180-1500)))</f>
      </c>
      <c r="I180" s="187">
        <f>IF($K180="","",I179+N(G180)-N(H180))</f>
      </c>
      <c r="J180" s="213">
        <f>IF($K180="","",IF($K180&lt;=1500,IF(N(INDEX(采购进货!$H$4:$H$1503,$K180))&lt;&gt;0,"含赠品"&amp;INDEX(采购进货!$H$4:$H$1503,$K180)&amp;"件 ","")&amp;INDEX(采购进货!$I$4:$I$1503,$K180),INDEX(资金台帐!$E$7:$E$3006,$K180-1500)&amp;""))</f>
      </c>
      <c r="K180" s="78">
        <f>IFERROR(MATCH(SMALL(_辅助!$H$4:$H$4503,141),_辅助!$H$4:$H$4503,0),"")</f>
      </c>
    </row>
    <row r="181">
      <c r="A181" s="141">
        <f>IF($K181="","",142)</f>
      </c>
      <c r="B181" s="140">
        <f>IF($K181="","",IF($K181&lt;=1500,INDEX(采购进货!$B$4:$B$1503,$K181),INDEX(资金台帐!$B$7:$B$3006,$K181-1500)))</f>
      </c>
      <c r="C181" s="141">
        <f>IF($K181="","",IF($K181&lt;=1500,IF(N(INDEX(采购进货!$E$4:$E$1503,$K181))&lt;0,"退货","进货"),IF(INDEX(资金台帐!$S$7:$S$3006,$K181-1500)&lt;=0,"付款","退款")&amp;"（"&amp;INDEX(资金台帐!$C$7:$C$3006,$K181-1500)&amp;"）"))</f>
      </c>
      <c r="D181" s="141">
        <f>IF($K181="","",IF($K181&lt;=1500,INDEX(采购进货!$D$4:$D$1503,$K181)&amp;"",""))</f>
      </c>
      <c r="E181" s="148">
        <f>IF($K181="","",IF($K181&lt;=1500,N(INDEX(采购进货!$E$4:$E$1503,$K181))+N(INDEX(采购进货!$H$4:$H$1503,$K181)),""))</f>
      </c>
      <c r="F181" s="149">
        <f>IF($K181="","",IF($K181&lt;=1500,INDEX(采购进货!$F$4:$F$1503,$K181),""))</f>
      </c>
      <c r="G181" s="186">
        <f>IF($K181="","",IF($K181&lt;=1500,N(INDEX(采购进货!$G$4:$G$1503,$K181)),""))</f>
      </c>
      <c r="H181" s="186">
        <f>IF($K181="","",IF($K181&lt;=1500,"",-INDEX(资金台帐!$S$7:$S$3006,$K181-1500)))</f>
      </c>
      <c r="I181" s="187">
        <f>IF($K181="","",I180+N(G181)-N(H181))</f>
      </c>
      <c r="J181" s="213">
        <f>IF($K181="","",IF($K181&lt;=1500,IF(N(INDEX(采购进货!$H$4:$H$1503,$K181))&lt;&gt;0,"含赠品"&amp;INDEX(采购进货!$H$4:$H$1503,$K181)&amp;"件 ","")&amp;INDEX(采购进货!$I$4:$I$1503,$K181),INDEX(资金台帐!$E$7:$E$3006,$K181-1500)&amp;""))</f>
      </c>
      <c r="K181" s="78">
        <f>IFERROR(MATCH(SMALL(_辅助!$H$4:$H$4503,142),_辅助!$H$4:$H$4503,0),"")</f>
      </c>
    </row>
    <row r="182">
      <c r="A182" s="141">
        <f>IF($K182="","",143)</f>
      </c>
      <c r="B182" s="140">
        <f>IF($K182="","",IF($K182&lt;=1500,INDEX(采购进货!$B$4:$B$1503,$K182),INDEX(资金台帐!$B$7:$B$3006,$K182-1500)))</f>
      </c>
      <c r="C182" s="141">
        <f>IF($K182="","",IF($K182&lt;=1500,IF(N(INDEX(采购进货!$E$4:$E$1503,$K182))&lt;0,"退货","进货"),IF(INDEX(资金台帐!$S$7:$S$3006,$K182-1500)&lt;=0,"付款","退款")&amp;"（"&amp;INDEX(资金台帐!$C$7:$C$3006,$K182-1500)&amp;"）"))</f>
      </c>
      <c r="D182" s="141">
        <f>IF($K182="","",IF($K182&lt;=1500,INDEX(采购进货!$D$4:$D$1503,$K182)&amp;"",""))</f>
      </c>
      <c r="E182" s="148">
        <f>IF($K182="","",IF($K182&lt;=1500,N(INDEX(采购进货!$E$4:$E$1503,$K182))+N(INDEX(采购进货!$H$4:$H$1503,$K182)),""))</f>
      </c>
      <c r="F182" s="149">
        <f>IF($K182="","",IF($K182&lt;=1500,INDEX(采购进货!$F$4:$F$1503,$K182),""))</f>
      </c>
      <c r="G182" s="186">
        <f>IF($K182="","",IF($K182&lt;=1500,N(INDEX(采购进货!$G$4:$G$1503,$K182)),""))</f>
      </c>
      <c r="H182" s="186">
        <f>IF($K182="","",IF($K182&lt;=1500,"",-INDEX(资金台帐!$S$7:$S$3006,$K182-1500)))</f>
      </c>
      <c r="I182" s="187">
        <f>IF($K182="","",I181+N(G182)-N(H182))</f>
      </c>
      <c r="J182" s="213">
        <f>IF($K182="","",IF($K182&lt;=1500,IF(N(INDEX(采购进货!$H$4:$H$1503,$K182))&lt;&gt;0,"含赠品"&amp;INDEX(采购进货!$H$4:$H$1503,$K182)&amp;"件 ","")&amp;INDEX(采购进货!$I$4:$I$1503,$K182),INDEX(资金台帐!$E$7:$E$3006,$K182-1500)&amp;""))</f>
      </c>
      <c r="K182" s="78">
        <f>IFERROR(MATCH(SMALL(_辅助!$H$4:$H$4503,143),_辅助!$H$4:$H$4503,0),"")</f>
      </c>
    </row>
    <row r="183">
      <c r="A183" s="141">
        <f>IF($K183="","",144)</f>
      </c>
      <c r="B183" s="140">
        <f>IF($K183="","",IF($K183&lt;=1500,INDEX(采购进货!$B$4:$B$1503,$K183),INDEX(资金台帐!$B$7:$B$3006,$K183-1500)))</f>
      </c>
      <c r="C183" s="141">
        <f>IF($K183="","",IF($K183&lt;=1500,IF(N(INDEX(采购进货!$E$4:$E$1503,$K183))&lt;0,"退货","进货"),IF(INDEX(资金台帐!$S$7:$S$3006,$K183-1500)&lt;=0,"付款","退款")&amp;"（"&amp;INDEX(资金台帐!$C$7:$C$3006,$K183-1500)&amp;"）"))</f>
      </c>
      <c r="D183" s="141">
        <f>IF($K183="","",IF($K183&lt;=1500,INDEX(采购进货!$D$4:$D$1503,$K183)&amp;"",""))</f>
      </c>
      <c r="E183" s="148">
        <f>IF($K183="","",IF($K183&lt;=1500,N(INDEX(采购进货!$E$4:$E$1503,$K183))+N(INDEX(采购进货!$H$4:$H$1503,$K183)),""))</f>
      </c>
      <c r="F183" s="149">
        <f>IF($K183="","",IF($K183&lt;=1500,INDEX(采购进货!$F$4:$F$1503,$K183),""))</f>
      </c>
      <c r="G183" s="186">
        <f>IF($K183="","",IF($K183&lt;=1500,N(INDEX(采购进货!$G$4:$G$1503,$K183)),""))</f>
      </c>
      <c r="H183" s="186">
        <f>IF($K183="","",IF($K183&lt;=1500,"",-INDEX(资金台帐!$S$7:$S$3006,$K183-1500)))</f>
      </c>
      <c r="I183" s="187">
        <f>IF($K183="","",I182+N(G183)-N(H183))</f>
      </c>
      <c r="J183" s="213">
        <f>IF($K183="","",IF($K183&lt;=1500,IF(N(INDEX(采购进货!$H$4:$H$1503,$K183))&lt;&gt;0,"含赠品"&amp;INDEX(采购进货!$H$4:$H$1503,$K183)&amp;"件 ","")&amp;INDEX(采购进货!$I$4:$I$1503,$K183),INDEX(资金台帐!$E$7:$E$3006,$K183-1500)&amp;""))</f>
      </c>
      <c r="K183" s="78">
        <f>IFERROR(MATCH(SMALL(_辅助!$H$4:$H$4503,144),_辅助!$H$4:$H$4503,0),"")</f>
      </c>
    </row>
    <row r="184">
      <c r="A184" s="141">
        <f>IF($K184="","",145)</f>
      </c>
      <c r="B184" s="140">
        <f>IF($K184="","",IF($K184&lt;=1500,INDEX(采购进货!$B$4:$B$1503,$K184),INDEX(资金台帐!$B$7:$B$3006,$K184-1500)))</f>
      </c>
      <c r="C184" s="141">
        <f>IF($K184="","",IF($K184&lt;=1500,IF(N(INDEX(采购进货!$E$4:$E$1503,$K184))&lt;0,"退货","进货"),IF(INDEX(资金台帐!$S$7:$S$3006,$K184-1500)&lt;=0,"付款","退款")&amp;"（"&amp;INDEX(资金台帐!$C$7:$C$3006,$K184-1500)&amp;"）"))</f>
      </c>
      <c r="D184" s="141">
        <f>IF($K184="","",IF($K184&lt;=1500,INDEX(采购进货!$D$4:$D$1503,$K184)&amp;"",""))</f>
      </c>
      <c r="E184" s="148">
        <f>IF($K184="","",IF($K184&lt;=1500,N(INDEX(采购进货!$E$4:$E$1503,$K184))+N(INDEX(采购进货!$H$4:$H$1503,$K184)),""))</f>
      </c>
      <c r="F184" s="149">
        <f>IF($K184="","",IF($K184&lt;=1500,INDEX(采购进货!$F$4:$F$1503,$K184),""))</f>
      </c>
      <c r="G184" s="186">
        <f>IF($K184="","",IF($K184&lt;=1500,N(INDEX(采购进货!$G$4:$G$1503,$K184)),""))</f>
      </c>
      <c r="H184" s="186">
        <f>IF($K184="","",IF($K184&lt;=1500,"",-INDEX(资金台帐!$S$7:$S$3006,$K184-1500)))</f>
      </c>
      <c r="I184" s="187">
        <f>IF($K184="","",I183+N(G184)-N(H184))</f>
      </c>
      <c r="J184" s="213">
        <f>IF($K184="","",IF($K184&lt;=1500,IF(N(INDEX(采购进货!$H$4:$H$1503,$K184))&lt;&gt;0,"含赠品"&amp;INDEX(采购进货!$H$4:$H$1503,$K184)&amp;"件 ","")&amp;INDEX(采购进货!$I$4:$I$1503,$K184),INDEX(资金台帐!$E$7:$E$3006,$K184-1500)&amp;""))</f>
      </c>
      <c r="K184" s="78">
        <f>IFERROR(MATCH(SMALL(_辅助!$H$4:$H$4503,145),_辅助!$H$4:$H$4503,0),"")</f>
      </c>
    </row>
    <row r="185">
      <c r="A185" s="141">
        <f>IF($K185="","",146)</f>
      </c>
      <c r="B185" s="140">
        <f>IF($K185="","",IF($K185&lt;=1500,INDEX(采购进货!$B$4:$B$1503,$K185),INDEX(资金台帐!$B$7:$B$3006,$K185-1500)))</f>
      </c>
      <c r="C185" s="141">
        <f>IF($K185="","",IF($K185&lt;=1500,IF(N(INDEX(采购进货!$E$4:$E$1503,$K185))&lt;0,"退货","进货"),IF(INDEX(资金台帐!$S$7:$S$3006,$K185-1500)&lt;=0,"付款","退款")&amp;"（"&amp;INDEX(资金台帐!$C$7:$C$3006,$K185-1500)&amp;"）"))</f>
      </c>
      <c r="D185" s="141">
        <f>IF($K185="","",IF($K185&lt;=1500,INDEX(采购进货!$D$4:$D$1503,$K185)&amp;"",""))</f>
      </c>
      <c r="E185" s="148">
        <f>IF($K185="","",IF($K185&lt;=1500,N(INDEX(采购进货!$E$4:$E$1503,$K185))+N(INDEX(采购进货!$H$4:$H$1503,$K185)),""))</f>
      </c>
      <c r="F185" s="149">
        <f>IF($K185="","",IF($K185&lt;=1500,INDEX(采购进货!$F$4:$F$1503,$K185),""))</f>
      </c>
      <c r="G185" s="186">
        <f>IF($K185="","",IF($K185&lt;=1500,N(INDEX(采购进货!$G$4:$G$1503,$K185)),""))</f>
      </c>
      <c r="H185" s="186">
        <f>IF($K185="","",IF($K185&lt;=1500,"",-INDEX(资金台帐!$S$7:$S$3006,$K185-1500)))</f>
      </c>
      <c r="I185" s="187">
        <f>IF($K185="","",I184+N(G185)-N(H185))</f>
      </c>
      <c r="J185" s="213">
        <f>IF($K185="","",IF($K185&lt;=1500,IF(N(INDEX(采购进货!$H$4:$H$1503,$K185))&lt;&gt;0,"含赠品"&amp;INDEX(采购进货!$H$4:$H$1503,$K185)&amp;"件 ","")&amp;INDEX(采购进货!$I$4:$I$1503,$K185),INDEX(资金台帐!$E$7:$E$3006,$K185-1500)&amp;""))</f>
      </c>
      <c r="K185" s="78">
        <f>IFERROR(MATCH(SMALL(_辅助!$H$4:$H$4503,146),_辅助!$H$4:$H$4503,0),"")</f>
      </c>
    </row>
    <row r="186">
      <c r="A186" s="141">
        <f>IF($K186="","",147)</f>
      </c>
      <c r="B186" s="140">
        <f>IF($K186="","",IF($K186&lt;=1500,INDEX(采购进货!$B$4:$B$1503,$K186),INDEX(资金台帐!$B$7:$B$3006,$K186-1500)))</f>
      </c>
      <c r="C186" s="141">
        <f>IF($K186="","",IF($K186&lt;=1500,IF(N(INDEX(采购进货!$E$4:$E$1503,$K186))&lt;0,"退货","进货"),IF(INDEX(资金台帐!$S$7:$S$3006,$K186-1500)&lt;=0,"付款","退款")&amp;"（"&amp;INDEX(资金台帐!$C$7:$C$3006,$K186-1500)&amp;"）"))</f>
      </c>
      <c r="D186" s="141">
        <f>IF($K186="","",IF($K186&lt;=1500,INDEX(采购进货!$D$4:$D$1503,$K186)&amp;"",""))</f>
      </c>
      <c r="E186" s="148">
        <f>IF($K186="","",IF($K186&lt;=1500,N(INDEX(采购进货!$E$4:$E$1503,$K186))+N(INDEX(采购进货!$H$4:$H$1503,$K186)),""))</f>
      </c>
      <c r="F186" s="149">
        <f>IF($K186="","",IF($K186&lt;=1500,INDEX(采购进货!$F$4:$F$1503,$K186),""))</f>
      </c>
      <c r="G186" s="186">
        <f>IF($K186="","",IF($K186&lt;=1500,N(INDEX(采购进货!$G$4:$G$1503,$K186)),""))</f>
      </c>
      <c r="H186" s="186">
        <f>IF($K186="","",IF($K186&lt;=1500,"",-INDEX(资金台帐!$S$7:$S$3006,$K186-1500)))</f>
      </c>
      <c r="I186" s="187">
        <f>IF($K186="","",I185+N(G186)-N(H186))</f>
      </c>
      <c r="J186" s="213">
        <f>IF($K186="","",IF($K186&lt;=1500,IF(N(INDEX(采购进货!$H$4:$H$1503,$K186))&lt;&gt;0,"含赠品"&amp;INDEX(采购进货!$H$4:$H$1503,$K186)&amp;"件 ","")&amp;INDEX(采购进货!$I$4:$I$1503,$K186),INDEX(资金台帐!$E$7:$E$3006,$K186-1500)&amp;""))</f>
      </c>
      <c r="K186" s="78">
        <f>IFERROR(MATCH(SMALL(_辅助!$H$4:$H$4503,147),_辅助!$H$4:$H$4503,0),"")</f>
      </c>
    </row>
    <row r="187">
      <c r="A187" s="141">
        <f>IF($K187="","",148)</f>
      </c>
      <c r="B187" s="140">
        <f>IF($K187="","",IF($K187&lt;=1500,INDEX(采购进货!$B$4:$B$1503,$K187),INDEX(资金台帐!$B$7:$B$3006,$K187-1500)))</f>
      </c>
      <c r="C187" s="141">
        <f>IF($K187="","",IF($K187&lt;=1500,IF(N(INDEX(采购进货!$E$4:$E$1503,$K187))&lt;0,"退货","进货"),IF(INDEX(资金台帐!$S$7:$S$3006,$K187-1500)&lt;=0,"付款","退款")&amp;"（"&amp;INDEX(资金台帐!$C$7:$C$3006,$K187-1500)&amp;"）"))</f>
      </c>
      <c r="D187" s="141">
        <f>IF($K187="","",IF($K187&lt;=1500,INDEX(采购进货!$D$4:$D$1503,$K187)&amp;"",""))</f>
      </c>
      <c r="E187" s="148">
        <f>IF($K187="","",IF($K187&lt;=1500,N(INDEX(采购进货!$E$4:$E$1503,$K187))+N(INDEX(采购进货!$H$4:$H$1503,$K187)),""))</f>
      </c>
      <c r="F187" s="149">
        <f>IF($K187="","",IF($K187&lt;=1500,INDEX(采购进货!$F$4:$F$1503,$K187),""))</f>
      </c>
      <c r="G187" s="186">
        <f>IF($K187="","",IF($K187&lt;=1500,N(INDEX(采购进货!$G$4:$G$1503,$K187)),""))</f>
      </c>
      <c r="H187" s="186">
        <f>IF($K187="","",IF($K187&lt;=1500,"",-INDEX(资金台帐!$S$7:$S$3006,$K187-1500)))</f>
      </c>
      <c r="I187" s="187">
        <f>IF($K187="","",I186+N(G187)-N(H187))</f>
      </c>
      <c r="J187" s="213">
        <f>IF($K187="","",IF($K187&lt;=1500,IF(N(INDEX(采购进货!$H$4:$H$1503,$K187))&lt;&gt;0,"含赠品"&amp;INDEX(采购进货!$H$4:$H$1503,$K187)&amp;"件 ","")&amp;INDEX(采购进货!$I$4:$I$1503,$K187),INDEX(资金台帐!$E$7:$E$3006,$K187-1500)&amp;""))</f>
      </c>
      <c r="K187" s="78">
        <f>IFERROR(MATCH(SMALL(_辅助!$H$4:$H$4503,148),_辅助!$H$4:$H$4503,0),"")</f>
      </c>
    </row>
    <row r="188">
      <c r="A188" s="141">
        <f>IF($K188="","",149)</f>
      </c>
      <c r="B188" s="140">
        <f>IF($K188="","",IF($K188&lt;=1500,INDEX(采购进货!$B$4:$B$1503,$K188),INDEX(资金台帐!$B$7:$B$3006,$K188-1500)))</f>
      </c>
      <c r="C188" s="141">
        <f>IF($K188="","",IF($K188&lt;=1500,IF(N(INDEX(采购进货!$E$4:$E$1503,$K188))&lt;0,"退货","进货"),IF(INDEX(资金台帐!$S$7:$S$3006,$K188-1500)&lt;=0,"付款","退款")&amp;"（"&amp;INDEX(资金台帐!$C$7:$C$3006,$K188-1500)&amp;"）"))</f>
      </c>
      <c r="D188" s="141">
        <f>IF($K188="","",IF($K188&lt;=1500,INDEX(采购进货!$D$4:$D$1503,$K188)&amp;"",""))</f>
      </c>
      <c r="E188" s="148">
        <f>IF($K188="","",IF($K188&lt;=1500,N(INDEX(采购进货!$E$4:$E$1503,$K188))+N(INDEX(采购进货!$H$4:$H$1503,$K188)),""))</f>
      </c>
      <c r="F188" s="149">
        <f>IF($K188="","",IF($K188&lt;=1500,INDEX(采购进货!$F$4:$F$1503,$K188),""))</f>
      </c>
      <c r="G188" s="186">
        <f>IF($K188="","",IF($K188&lt;=1500,N(INDEX(采购进货!$G$4:$G$1503,$K188)),""))</f>
      </c>
      <c r="H188" s="186">
        <f>IF($K188="","",IF($K188&lt;=1500,"",-INDEX(资金台帐!$S$7:$S$3006,$K188-1500)))</f>
      </c>
      <c r="I188" s="187">
        <f>IF($K188="","",I187+N(G188)-N(H188))</f>
      </c>
      <c r="J188" s="213">
        <f>IF($K188="","",IF($K188&lt;=1500,IF(N(INDEX(采购进货!$H$4:$H$1503,$K188))&lt;&gt;0,"含赠品"&amp;INDEX(采购进货!$H$4:$H$1503,$K188)&amp;"件 ","")&amp;INDEX(采购进货!$I$4:$I$1503,$K188),INDEX(资金台帐!$E$7:$E$3006,$K188-1500)&amp;""))</f>
      </c>
      <c r="K188" s="78">
        <f>IFERROR(MATCH(SMALL(_辅助!$H$4:$H$4503,149),_辅助!$H$4:$H$4503,0),"")</f>
      </c>
    </row>
    <row r="189">
      <c r="A189" s="141">
        <f>IF($K189="","",150)</f>
      </c>
      <c r="B189" s="140">
        <f>IF($K189="","",IF($K189&lt;=1500,INDEX(采购进货!$B$4:$B$1503,$K189),INDEX(资金台帐!$B$7:$B$3006,$K189-1500)))</f>
      </c>
      <c r="C189" s="141">
        <f>IF($K189="","",IF($K189&lt;=1500,IF(N(INDEX(采购进货!$E$4:$E$1503,$K189))&lt;0,"退货","进货"),IF(INDEX(资金台帐!$S$7:$S$3006,$K189-1500)&lt;=0,"付款","退款")&amp;"（"&amp;INDEX(资金台帐!$C$7:$C$3006,$K189-1500)&amp;"）"))</f>
      </c>
      <c r="D189" s="141">
        <f>IF($K189="","",IF($K189&lt;=1500,INDEX(采购进货!$D$4:$D$1503,$K189)&amp;"",""))</f>
      </c>
      <c r="E189" s="148">
        <f>IF($K189="","",IF($K189&lt;=1500,N(INDEX(采购进货!$E$4:$E$1503,$K189))+N(INDEX(采购进货!$H$4:$H$1503,$K189)),""))</f>
      </c>
      <c r="F189" s="149">
        <f>IF($K189="","",IF($K189&lt;=1500,INDEX(采购进货!$F$4:$F$1503,$K189),""))</f>
      </c>
      <c r="G189" s="186">
        <f>IF($K189="","",IF($K189&lt;=1500,N(INDEX(采购进货!$G$4:$G$1503,$K189)),""))</f>
      </c>
      <c r="H189" s="186">
        <f>IF($K189="","",IF($K189&lt;=1500,"",-INDEX(资金台帐!$S$7:$S$3006,$K189-1500)))</f>
      </c>
      <c r="I189" s="187">
        <f>IF($K189="","",I188+N(G189)-N(H189))</f>
      </c>
      <c r="J189" s="213">
        <f>IF($K189="","",IF($K189&lt;=1500,IF(N(INDEX(采购进货!$H$4:$H$1503,$K189))&lt;&gt;0,"含赠品"&amp;INDEX(采购进货!$H$4:$H$1503,$K189)&amp;"件 ","")&amp;INDEX(采购进货!$I$4:$I$1503,$K189),INDEX(资金台帐!$E$7:$E$3006,$K189-1500)&amp;""))</f>
      </c>
      <c r="K189" s="78">
        <f>IFERROR(MATCH(SMALL(_辅助!$H$4:$H$4503,150),_辅助!$H$4:$H$4503,0),"")</f>
      </c>
    </row>
    <row r="190">
      <c r="A190" s="141">
        <f>IF($K190="","",151)</f>
      </c>
      <c r="B190" s="140">
        <f>IF($K190="","",IF($K190&lt;=1500,INDEX(采购进货!$B$4:$B$1503,$K190),INDEX(资金台帐!$B$7:$B$3006,$K190-1500)))</f>
      </c>
      <c r="C190" s="141">
        <f>IF($K190="","",IF($K190&lt;=1500,IF(N(INDEX(采购进货!$E$4:$E$1503,$K190))&lt;0,"退货","进货"),IF(INDEX(资金台帐!$S$7:$S$3006,$K190-1500)&lt;=0,"付款","退款")&amp;"（"&amp;INDEX(资金台帐!$C$7:$C$3006,$K190-1500)&amp;"）"))</f>
      </c>
      <c r="D190" s="141">
        <f>IF($K190="","",IF($K190&lt;=1500,INDEX(采购进货!$D$4:$D$1503,$K190)&amp;"",""))</f>
      </c>
      <c r="E190" s="148">
        <f>IF($K190="","",IF($K190&lt;=1500,N(INDEX(采购进货!$E$4:$E$1503,$K190))+N(INDEX(采购进货!$H$4:$H$1503,$K190)),""))</f>
      </c>
      <c r="F190" s="149">
        <f>IF($K190="","",IF($K190&lt;=1500,INDEX(采购进货!$F$4:$F$1503,$K190),""))</f>
      </c>
      <c r="G190" s="186">
        <f>IF($K190="","",IF($K190&lt;=1500,N(INDEX(采购进货!$G$4:$G$1503,$K190)),""))</f>
      </c>
      <c r="H190" s="186">
        <f>IF($K190="","",IF($K190&lt;=1500,"",-INDEX(资金台帐!$S$7:$S$3006,$K190-1500)))</f>
      </c>
      <c r="I190" s="187">
        <f>IF($K190="","",I189+N(G190)-N(H190))</f>
      </c>
      <c r="J190" s="213">
        <f>IF($K190="","",IF($K190&lt;=1500,IF(N(INDEX(采购进货!$H$4:$H$1503,$K190))&lt;&gt;0,"含赠品"&amp;INDEX(采购进货!$H$4:$H$1503,$K190)&amp;"件 ","")&amp;INDEX(采购进货!$I$4:$I$1503,$K190),INDEX(资金台帐!$E$7:$E$3006,$K190-1500)&amp;""))</f>
      </c>
      <c r="K190" s="78">
        <f>IFERROR(MATCH(SMALL(_辅助!$H$4:$H$4503,151),_辅助!$H$4:$H$4503,0),"")</f>
      </c>
    </row>
    <row r="191">
      <c r="A191" s="141">
        <f>IF($K191="","",152)</f>
      </c>
      <c r="B191" s="140">
        <f>IF($K191="","",IF($K191&lt;=1500,INDEX(采购进货!$B$4:$B$1503,$K191),INDEX(资金台帐!$B$7:$B$3006,$K191-1500)))</f>
      </c>
      <c r="C191" s="141">
        <f>IF($K191="","",IF($K191&lt;=1500,IF(N(INDEX(采购进货!$E$4:$E$1503,$K191))&lt;0,"退货","进货"),IF(INDEX(资金台帐!$S$7:$S$3006,$K191-1500)&lt;=0,"付款","退款")&amp;"（"&amp;INDEX(资金台帐!$C$7:$C$3006,$K191-1500)&amp;"）"))</f>
      </c>
      <c r="D191" s="141">
        <f>IF($K191="","",IF($K191&lt;=1500,INDEX(采购进货!$D$4:$D$1503,$K191)&amp;"",""))</f>
      </c>
      <c r="E191" s="148">
        <f>IF($K191="","",IF($K191&lt;=1500,N(INDEX(采购进货!$E$4:$E$1503,$K191))+N(INDEX(采购进货!$H$4:$H$1503,$K191)),""))</f>
      </c>
      <c r="F191" s="149">
        <f>IF($K191="","",IF($K191&lt;=1500,INDEX(采购进货!$F$4:$F$1503,$K191),""))</f>
      </c>
      <c r="G191" s="186">
        <f>IF($K191="","",IF($K191&lt;=1500,N(INDEX(采购进货!$G$4:$G$1503,$K191)),""))</f>
      </c>
      <c r="H191" s="186">
        <f>IF($K191="","",IF($K191&lt;=1500,"",-INDEX(资金台帐!$S$7:$S$3006,$K191-1500)))</f>
      </c>
      <c r="I191" s="187">
        <f>IF($K191="","",I190+N(G191)-N(H191))</f>
      </c>
      <c r="J191" s="213">
        <f>IF($K191="","",IF($K191&lt;=1500,IF(N(INDEX(采购进货!$H$4:$H$1503,$K191))&lt;&gt;0,"含赠品"&amp;INDEX(采购进货!$H$4:$H$1503,$K191)&amp;"件 ","")&amp;INDEX(采购进货!$I$4:$I$1503,$K191),INDEX(资金台帐!$E$7:$E$3006,$K191-1500)&amp;""))</f>
      </c>
      <c r="K191" s="78">
        <f>IFERROR(MATCH(SMALL(_辅助!$H$4:$H$4503,152),_辅助!$H$4:$H$4503,0),"")</f>
      </c>
    </row>
    <row r="192">
      <c r="A192" s="141">
        <f>IF($K192="","",153)</f>
      </c>
      <c r="B192" s="140">
        <f>IF($K192="","",IF($K192&lt;=1500,INDEX(采购进货!$B$4:$B$1503,$K192),INDEX(资金台帐!$B$7:$B$3006,$K192-1500)))</f>
      </c>
      <c r="C192" s="141">
        <f>IF($K192="","",IF($K192&lt;=1500,IF(N(INDEX(采购进货!$E$4:$E$1503,$K192))&lt;0,"退货","进货"),IF(INDEX(资金台帐!$S$7:$S$3006,$K192-1500)&lt;=0,"付款","退款")&amp;"（"&amp;INDEX(资金台帐!$C$7:$C$3006,$K192-1500)&amp;"）"))</f>
      </c>
      <c r="D192" s="141">
        <f>IF($K192="","",IF($K192&lt;=1500,INDEX(采购进货!$D$4:$D$1503,$K192)&amp;"",""))</f>
      </c>
      <c r="E192" s="148">
        <f>IF($K192="","",IF($K192&lt;=1500,N(INDEX(采购进货!$E$4:$E$1503,$K192))+N(INDEX(采购进货!$H$4:$H$1503,$K192)),""))</f>
      </c>
      <c r="F192" s="149">
        <f>IF($K192="","",IF($K192&lt;=1500,INDEX(采购进货!$F$4:$F$1503,$K192),""))</f>
      </c>
      <c r="G192" s="186">
        <f>IF($K192="","",IF($K192&lt;=1500,N(INDEX(采购进货!$G$4:$G$1503,$K192)),""))</f>
      </c>
      <c r="H192" s="186">
        <f>IF($K192="","",IF($K192&lt;=1500,"",-INDEX(资金台帐!$S$7:$S$3006,$K192-1500)))</f>
      </c>
      <c r="I192" s="187">
        <f>IF($K192="","",I191+N(G192)-N(H192))</f>
      </c>
      <c r="J192" s="213">
        <f>IF($K192="","",IF($K192&lt;=1500,IF(N(INDEX(采购进货!$H$4:$H$1503,$K192))&lt;&gt;0,"含赠品"&amp;INDEX(采购进货!$H$4:$H$1503,$K192)&amp;"件 ","")&amp;INDEX(采购进货!$I$4:$I$1503,$K192),INDEX(资金台帐!$E$7:$E$3006,$K192-1500)&amp;""))</f>
      </c>
      <c r="K192" s="78">
        <f>IFERROR(MATCH(SMALL(_辅助!$H$4:$H$4503,153),_辅助!$H$4:$H$4503,0),"")</f>
      </c>
    </row>
    <row r="193">
      <c r="A193" s="141">
        <f>IF($K193="","",154)</f>
      </c>
      <c r="B193" s="140">
        <f>IF($K193="","",IF($K193&lt;=1500,INDEX(采购进货!$B$4:$B$1503,$K193),INDEX(资金台帐!$B$7:$B$3006,$K193-1500)))</f>
      </c>
      <c r="C193" s="141">
        <f>IF($K193="","",IF($K193&lt;=1500,IF(N(INDEX(采购进货!$E$4:$E$1503,$K193))&lt;0,"退货","进货"),IF(INDEX(资金台帐!$S$7:$S$3006,$K193-1500)&lt;=0,"付款","退款")&amp;"（"&amp;INDEX(资金台帐!$C$7:$C$3006,$K193-1500)&amp;"）"))</f>
      </c>
      <c r="D193" s="141">
        <f>IF($K193="","",IF($K193&lt;=1500,INDEX(采购进货!$D$4:$D$1503,$K193)&amp;"",""))</f>
      </c>
      <c r="E193" s="148">
        <f>IF($K193="","",IF($K193&lt;=1500,N(INDEX(采购进货!$E$4:$E$1503,$K193))+N(INDEX(采购进货!$H$4:$H$1503,$K193)),""))</f>
      </c>
      <c r="F193" s="149">
        <f>IF($K193="","",IF($K193&lt;=1500,INDEX(采购进货!$F$4:$F$1503,$K193),""))</f>
      </c>
      <c r="G193" s="186">
        <f>IF($K193="","",IF($K193&lt;=1500,N(INDEX(采购进货!$G$4:$G$1503,$K193)),""))</f>
      </c>
      <c r="H193" s="186">
        <f>IF($K193="","",IF($K193&lt;=1500,"",-INDEX(资金台帐!$S$7:$S$3006,$K193-1500)))</f>
      </c>
      <c r="I193" s="187">
        <f>IF($K193="","",I192+N(G193)-N(H193))</f>
      </c>
      <c r="J193" s="213">
        <f>IF($K193="","",IF($K193&lt;=1500,IF(N(INDEX(采购进货!$H$4:$H$1503,$K193))&lt;&gt;0,"含赠品"&amp;INDEX(采购进货!$H$4:$H$1503,$K193)&amp;"件 ","")&amp;INDEX(采购进货!$I$4:$I$1503,$K193),INDEX(资金台帐!$E$7:$E$3006,$K193-1500)&amp;""))</f>
      </c>
      <c r="K193" s="78">
        <f>IFERROR(MATCH(SMALL(_辅助!$H$4:$H$4503,154),_辅助!$H$4:$H$4503,0),"")</f>
      </c>
    </row>
    <row r="194">
      <c r="A194" s="141">
        <f>IF($K194="","",155)</f>
      </c>
      <c r="B194" s="140">
        <f>IF($K194="","",IF($K194&lt;=1500,INDEX(采购进货!$B$4:$B$1503,$K194),INDEX(资金台帐!$B$7:$B$3006,$K194-1500)))</f>
      </c>
      <c r="C194" s="141">
        <f>IF($K194="","",IF($K194&lt;=1500,IF(N(INDEX(采购进货!$E$4:$E$1503,$K194))&lt;0,"退货","进货"),IF(INDEX(资金台帐!$S$7:$S$3006,$K194-1500)&lt;=0,"付款","退款")&amp;"（"&amp;INDEX(资金台帐!$C$7:$C$3006,$K194-1500)&amp;"）"))</f>
      </c>
      <c r="D194" s="141">
        <f>IF($K194="","",IF($K194&lt;=1500,INDEX(采购进货!$D$4:$D$1503,$K194)&amp;"",""))</f>
      </c>
      <c r="E194" s="148">
        <f>IF($K194="","",IF($K194&lt;=1500,N(INDEX(采购进货!$E$4:$E$1503,$K194))+N(INDEX(采购进货!$H$4:$H$1503,$K194)),""))</f>
      </c>
      <c r="F194" s="149">
        <f>IF($K194="","",IF($K194&lt;=1500,INDEX(采购进货!$F$4:$F$1503,$K194),""))</f>
      </c>
      <c r="G194" s="186">
        <f>IF($K194="","",IF($K194&lt;=1500,N(INDEX(采购进货!$G$4:$G$1503,$K194)),""))</f>
      </c>
      <c r="H194" s="186">
        <f>IF($K194="","",IF($K194&lt;=1500,"",-INDEX(资金台帐!$S$7:$S$3006,$K194-1500)))</f>
      </c>
      <c r="I194" s="187">
        <f>IF($K194="","",I193+N(G194)-N(H194))</f>
      </c>
      <c r="J194" s="213">
        <f>IF($K194="","",IF($K194&lt;=1500,IF(N(INDEX(采购进货!$H$4:$H$1503,$K194))&lt;&gt;0,"含赠品"&amp;INDEX(采购进货!$H$4:$H$1503,$K194)&amp;"件 ","")&amp;INDEX(采购进货!$I$4:$I$1503,$K194),INDEX(资金台帐!$E$7:$E$3006,$K194-1500)&amp;""))</f>
      </c>
      <c r="K194" s="78">
        <f>IFERROR(MATCH(SMALL(_辅助!$H$4:$H$4503,155),_辅助!$H$4:$H$4503,0),"")</f>
      </c>
    </row>
    <row r="195">
      <c r="A195" s="141">
        <f>IF($K195="","",156)</f>
      </c>
      <c r="B195" s="140">
        <f>IF($K195="","",IF($K195&lt;=1500,INDEX(采购进货!$B$4:$B$1503,$K195),INDEX(资金台帐!$B$7:$B$3006,$K195-1500)))</f>
      </c>
      <c r="C195" s="141">
        <f>IF($K195="","",IF($K195&lt;=1500,IF(N(INDEX(采购进货!$E$4:$E$1503,$K195))&lt;0,"退货","进货"),IF(INDEX(资金台帐!$S$7:$S$3006,$K195-1500)&lt;=0,"付款","退款")&amp;"（"&amp;INDEX(资金台帐!$C$7:$C$3006,$K195-1500)&amp;"）"))</f>
      </c>
      <c r="D195" s="141">
        <f>IF($K195="","",IF($K195&lt;=1500,INDEX(采购进货!$D$4:$D$1503,$K195)&amp;"",""))</f>
      </c>
      <c r="E195" s="148">
        <f>IF($K195="","",IF($K195&lt;=1500,N(INDEX(采购进货!$E$4:$E$1503,$K195))+N(INDEX(采购进货!$H$4:$H$1503,$K195)),""))</f>
      </c>
      <c r="F195" s="149">
        <f>IF($K195="","",IF($K195&lt;=1500,INDEX(采购进货!$F$4:$F$1503,$K195),""))</f>
      </c>
      <c r="G195" s="186">
        <f>IF($K195="","",IF($K195&lt;=1500,N(INDEX(采购进货!$G$4:$G$1503,$K195)),""))</f>
      </c>
      <c r="H195" s="186">
        <f>IF($K195="","",IF($K195&lt;=1500,"",-INDEX(资金台帐!$S$7:$S$3006,$K195-1500)))</f>
      </c>
      <c r="I195" s="187">
        <f>IF($K195="","",I194+N(G195)-N(H195))</f>
      </c>
      <c r="J195" s="213">
        <f>IF($K195="","",IF($K195&lt;=1500,IF(N(INDEX(采购进货!$H$4:$H$1503,$K195))&lt;&gt;0,"含赠品"&amp;INDEX(采购进货!$H$4:$H$1503,$K195)&amp;"件 ","")&amp;INDEX(采购进货!$I$4:$I$1503,$K195),INDEX(资金台帐!$E$7:$E$3006,$K195-1500)&amp;""))</f>
      </c>
      <c r="K195" s="78">
        <f>IFERROR(MATCH(SMALL(_辅助!$H$4:$H$4503,156),_辅助!$H$4:$H$4503,0),"")</f>
      </c>
    </row>
    <row r="196">
      <c r="A196" s="141">
        <f>IF($K196="","",157)</f>
      </c>
      <c r="B196" s="140">
        <f>IF($K196="","",IF($K196&lt;=1500,INDEX(采购进货!$B$4:$B$1503,$K196),INDEX(资金台帐!$B$7:$B$3006,$K196-1500)))</f>
      </c>
      <c r="C196" s="141">
        <f>IF($K196="","",IF($K196&lt;=1500,IF(N(INDEX(采购进货!$E$4:$E$1503,$K196))&lt;0,"退货","进货"),IF(INDEX(资金台帐!$S$7:$S$3006,$K196-1500)&lt;=0,"付款","退款")&amp;"（"&amp;INDEX(资金台帐!$C$7:$C$3006,$K196-1500)&amp;"）"))</f>
      </c>
      <c r="D196" s="141">
        <f>IF($K196="","",IF($K196&lt;=1500,INDEX(采购进货!$D$4:$D$1503,$K196)&amp;"",""))</f>
      </c>
      <c r="E196" s="148">
        <f>IF($K196="","",IF($K196&lt;=1500,N(INDEX(采购进货!$E$4:$E$1503,$K196))+N(INDEX(采购进货!$H$4:$H$1503,$K196)),""))</f>
      </c>
      <c r="F196" s="149">
        <f>IF($K196="","",IF($K196&lt;=1500,INDEX(采购进货!$F$4:$F$1503,$K196),""))</f>
      </c>
      <c r="G196" s="186">
        <f>IF($K196="","",IF($K196&lt;=1500,N(INDEX(采购进货!$G$4:$G$1503,$K196)),""))</f>
      </c>
      <c r="H196" s="186">
        <f>IF($K196="","",IF($K196&lt;=1500,"",-INDEX(资金台帐!$S$7:$S$3006,$K196-1500)))</f>
      </c>
      <c r="I196" s="187">
        <f>IF($K196="","",I195+N(G196)-N(H196))</f>
      </c>
      <c r="J196" s="213">
        <f>IF($K196="","",IF($K196&lt;=1500,IF(N(INDEX(采购进货!$H$4:$H$1503,$K196))&lt;&gt;0,"含赠品"&amp;INDEX(采购进货!$H$4:$H$1503,$K196)&amp;"件 ","")&amp;INDEX(采购进货!$I$4:$I$1503,$K196),INDEX(资金台帐!$E$7:$E$3006,$K196-1500)&amp;""))</f>
      </c>
      <c r="K196" s="78">
        <f>IFERROR(MATCH(SMALL(_辅助!$H$4:$H$4503,157),_辅助!$H$4:$H$4503,0),"")</f>
      </c>
    </row>
    <row r="197">
      <c r="A197" s="141">
        <f>IF($K197="","",158)</f>
      </c>
      <c r="B197" s="140">
        <f>IF($K197="","",IF($K197&lt;=1500,INDEX(采购进货!$B$4:$B$1503,$K197),INDEX(资金台帐!$B$7:$B$3006,$K197-1500)))</f>
      </c>
      <c r="C197" s="141">
        <f>IF($K197="","",IF($K197&lt;=1500,IF(N(INDEX(采购进货!$E$4:$E$1503,$K197))&lt;0,"退货","进货"),IF(INDEX(资金台帐!$S$7:$S$3006,$K197-1500)&lt;=0,"付款","退款")&amp;"（"&amp;INDEX(资金台帐!$C$7:$C$3006,$K197-1500)&amp;"）"))</f>
      </c>
      <c r="D197" s="141">
        <f>IF($K197="","",IF($K197&lt;=1500,INDEX(采购进货!$D$4:$D$1503,$K197)&amp;"",""))</f>
      </c>
      <c r="E197" s="148">
        <f>IF($K197="","",IF($K197&lt;=1500,N(INDEX(采购进货!$E$4:$E$1503,$K197))+N(INDEX(采购进货!$H$4:$H$1503,$K197)),""))</f>
      </c>
      <c r="F197" s="149">
        <f>IF($K197="","",IF($K197&lt;=1500,INDEX(采购进货!$F$4:$F$1503,$K197),""))</f>
      </c>
      <c r="G197" s="186">
        <f>IF($K197="","",IF($K197&lt;=1500,N(INDEX(采购进货!$G$4:$G$1503,$K197)),""))</f>
      </c>
      <c r="H197" s="186">
        <f>IF($K197="","",IF($K197&lt;=1500,"",-INDEX(资金台帐!$S$7:$S$3006,$K197-1500)))</f>
      </c>
      <c r="I197" s="187">
        <f>IF($K197="","",I196+N(G197)-N(H197))</f>
      </c>
      <c r="J197" s="213">
        <f>IF($K197="","",IF($K197&lt;=1500,IF(N(INDEX(采购进货!$H$4:$H$1503,$K197))&lt;&gt;0,"含赠品"&amp;INDEX(采购进货!$H$4:$H$1503,$K197)&amp;"件 ","")&amp;INDEX(采购进货!$I$4:$I$1503,$K197),INDEX(资金台帐!$E$7:$E$3006,$K197-1500)&amp;""))</f>
      </c>
      <c r="K197" s="78">
        <f>IFERROR(MATCH(SMALL(_辅助!$H$4:$H$4503,158),_辅助!$H$4:$H$4503,0),"")</f>
      </c>
    </row>
    <row r="198">
      <c r="A198" s="141">
        <f>IF($K198="","",159)</f>
      </c>
      <c r="B198" s="140">
        <f>IF($K198="","",IF($K198&lt;=1500,INDEX(采购进货!$B$4:$B$1503,$K198),INDEX(资金台帐!$B$7:$B$3006,$K198-1500)))</f>
      </c>
      <c r="C198" s="141">
        <f>IF($K198="","",IF($K198&lt;=1500,IF(N(INDEX(采购进货!$E$4:$E$1503,$K198))&lt;0,"退货","进货"),IF(INDEX(资金台帐!$S$7:$S$3006,$K198-1500)&lt;=0,"付款","退款")&amp;"（"&amp;INDEX(资金台帐!$C$7:$C$3006,$K198-1500)&amp;"）"))</f>
      </c>
      <c r="D198" s="141">
        <f>IF($K198="","",IF($K198&lt;=1500,INDEX(采购进货!$D$4:$D$1503,$K198)&amp;"",""))</f>
      </c>
      <c r="E198" s="148">
        <f>IF($K198="","",IF($K198&lt;=1500,N(INDEX(采购进货!$E$4:$E$1503,$K198))+N(INDEX(采购进货!$H$4:$H$1503,$K198)),""))</f>
      </c>
      <c r="F198" s="149">
        <f>IF($K198="","",IF($K198&lt;=1500,INDEX(采购进货!$F$4:$F$1503,$K198),""))</f>
      </c>
      <c r="G198" s="186">
        <f>IF($K198="","",IF($K198&lt;=1500,N(INDEX(采购进货!$G$4:$G$1503,$K198)),""))</f>
      </c>
      <c r="H198" s="186">
        <f>IF($K198="","",IF($K198&lt;=1500,"",-INDEX(资金台帐!$S$7:$S$3006,$K198-1500)))</f>
      </c>
      <c r="I198" s="187">
        <f>IF($K198="","",I197+N(G198)-N(H198))</f>
      </c>
      <c r="J198" s="213">
        <f>IF($K198="","",IF($K198&lt;=1500,IF(N(INDEX(采购进货!$H$4:$H$1503,$K198))&lt;&gt;0,"含赠品"&amp;INDEX(采购进货!$H$4:$H$1503,$K198)&amp;"件 ","")&amp;INDEX(采购进货!$I$4:$I$1503,$K198),INDEX(资金台帐!$E$7:$E$3006,$K198-1500)&amp;""))</f>
      </c>
      <c r="K198" s="78">
        <f>IFERROR(MATCH(SMALL(_辅助!$H$4:$H$4503,159),_辅助!$H$4:$H$4503,0),"")</f>
      </c>
    </row>
    <row r="199">
      <c r="A199" s="141">
        <f>IF($K199="","",160)</f>
      </c>
      <c r="B199" s="140">
        <f>IF($K199="","",IF($K199&lt;=1500,INDEX(采购进货!$B$4:$B$1503,$K199),INDEX(资金台帐!$B$7:$B$3006,$K199-1500)))</f>
      </c>
      <c r="C199" s="141">
        <f>IF($K199="","",IF($K199&lt;=1500,IF(N(INDEX(采购进货!$E$4:$E$1503,$K199))&lt;0,"退货","进货"),IF(INDEX(资金台帐!$S$7:$S$3006,$K199-1500)&lt;=0,"付款","退款")&amp;"（"&amp;INDEX(资金台帐!$C$7:$C$3006,$K199-1500)&amp;"）"))</f>
      </c>
      <c r="D199" s="141">
        <f>IF($K199="","",IF($K199&lt;=1500,INDEX(采购进货!$D$4:$D$1503,$K199)&amp;"",""))</f>
      </c>
      <c r="E199" s="148">
        <f>IF($K199="","",IF($K199&lt;=1500,N(INDEX(采购进货!$E$4:$E$1503,$K199))+N(INDEX(采购进货!$H$4:$H$1503,$K199)),""))</f>
      </c>
      <c r="F199" s="149">
        <f>IF($K199="","",IF($K199&lt;=1500,INDEX(采购进货!$F$4:$F$1503,$K199),""))</f>
      </c>
      <c r="G199" s="186">
        <f>IF($K199="","",IF($K199&lt;=1500,N(INDEX(采购进货!$G$4:$G$1503,$K199)),""))</f>
      </c>
      <c r="H199" s="186">
        <f>IF($K199="","",IF($K199&lt;=1500,"",-INDEX(资金台帐!$S$7:$S$3006,$K199-1500)))</f>
      </c>
      <c r="I199" s="187">
        <f>IF($K199="","",I198+N(G199)-N(H199))</f>
      </c>
      <c r="J199" s="213">
        <f>IF($K199="","",IF($K199&lt;=1500,IF(N(INDEX(采购进货!$H$4:$H$1503,$K199))&lt;&gt;0,"含赠品"&amp;INDEX(采购进货!$H$4:$H$1503,$K199)&amp;"件 ","")&amp;INDEX(采购进货!$I$4:$I$1503,$K199),INDEX(资金台帐!$E$7:$E$3006,$K199-1500)&amp;""))</f>
      </c>
      <c r="K199" s="78">
        <f>IFERROR(MATCH(SMALL(_辅助!$H$4:$H$4503,160),_辅助!$H$4:$H$4503,0),"")</f>
      </c>
    </row>
    <row r="200">
      <c r="A200" s="141">
        <f>IF($K200="","",161)</f>
      </c>
      <c r="B200" s="140">
        <f>IF($K200="","",IF($K200&lt;=1500,INDEX(采购进货!$B$4:$B$1503,$K200),INDEX(资金台帐!$B$7:$B$3006,$K200-1500)))</f>
      </c>
      <c r="C200" s="141">
        <f>IF($K200="","",IF($K200&lt;=1500,IF(N(INDEX(采购进货!$E$4:$E$1503,$K200))&lt;0,"退货","进货"),IF(INDEX(资金台帐!$S$7:$S$3006,$K200-1500)&lt;=0,"付款","退款")&amp;"（"&amp;INDEX(资金台帐!$C$7:$C$3006,$K200-1500)&amp;"）"))</f>
      </c>
      <c r="D200" s="141">
        <f>IF($K200="","",IF($K200&lt;=1500,INDEX(采购进货!$D$4:$D$1503,$K200)&amp;"",""))</f>
      </c>
      <c r="E200" s="148">
        <f>IF($K200="","",IF($K200&lt;=1500,N(INDEX(采购进货!$E$4:$E$1503,$K200))+N(INDEX(采购进货!$H$4:$H$1503,$K200)),""))</f>
      </c>
      <c r="F200" s="149">
        <f>IF($K200="","",IF($K200&lt;=1500,INDEX(采购进货!$F$4:$F$1503,$K200),""))</f>
      </c>
      <c r="G200" s="186">
        <f>IF($K200="","",IF($K200&lt;=1500,N(INDEX(采购进货!$G$4:$G$1503,$K200)),""))</f>
      </c>
      <c r="H200" s="186">
        <f>IF($K200="","",IF($K200&lt;=1500,"",-INDEX(资金台帐!$S$7:$S$3006,$K200-1500)))</f>
      </c>
      <c r="I200" s="187">
        <f>IF($K200="","",I199+N(G200)-N(H200))</f>
      </c>
      <c r="J200" s="213">
        <f>IF($K200="","",IF($K200&lt;=1500,IF(N(INDEX(采购进货!$H$4:$H$1503,$K200))&lt;&gt;0,"含赠品"&amp;INDEX(采购进货!$H$4:$H$1503,$K200)&amp;"件 ","")&amp;INDEX(采购进货!$I$4:$I$1503,$K200),INDEX(资金台帐!$E$7:$E$3006,$K200-1500)&amp;""))</f>
      </c>
      <c r="K200" s="78">
        <f>IFERROR(MATCH(SMALL(_辅助!$H$4:$H$4503,161),_辅助!$H$4:$H$4503,0),"")</f>
      </c>
    </row>
    <row r="201">
      <c r="A201" s="141">
        <f>IF($K201="","",162)</f>
      </c>
      <c r="B201" s="140">
        <f>IF($K201="","",IF($K201&lt;=1500,INDEX(采购进货!$B$4:$B$1503,$K201),INDEX(资金台帐!$B$7:$B$3006,$K201-1500)))</f>
      </c>
      <c r="C201" s="141">
        <f>IF($K201="","",IF($K201&lt;=1500,IF(N(INDEX(采购进货!$E$4:$E$1503,$K201))&lt;0,"退货","进货"),IF(INDEX(资金台帐!$S$7:$S$3006,$K201-1500)&lt;=0,"付款","退款")&amp;"（"&amp;INDEX(资金台帐!$C$7:$C$3006,$K201-1500)&amp;"）"))</f>
      </c>
      <c r="D201" s="141">
        <f>IF($K201="","",IF($K201&lt;=1500,INDEX(采购进货!$D$4:$D$1503,$K201)&amp;"",""))</f>
      </c>
      <c r="E201" s="148">
        <f>IF($K201="","",IF($K201&lt;=1500,N(INDEX(采购进货!$E$4:$E$1503,$K201))+N(INDEX(采购进货!$H$4:$H$1503,$K201)),""))</f>
      </c>
      <c r="F201" s="149">
        <f>IF($K201="","",IF($K201&lt;=1500,INDEX(采购进货!$F$4:$F$1503,$K201),""))</f>
      </c>
      <c r="G201" s="186">
        <f>IF($K201="","",IF($K201&lt;=1500,N(INDEX(采购进货!$G$4:$G$1503,$K201)),""))</f>
      </c>
      <c r="H201" s="186">
        <f>IF($K201="","",IF($K201&lt;=1500,"",-INDEX(资金台帐!$S$7:$S$3006,$K201-1500)))</f>
      </c>
      <c r="I201" s="187">
        <f>IF($K201="","",I200+N(G201)-N(H201))</f>
      </c>
      <c r="J201" s="213">
        <f>IF($K201="","",IF($K201&lt;=1500,IF(N(INDEX(采购进货!$H$4:$H$1503,$K201))&lt;&gt;0,"含赠品"&amp;INDEX(采购进货!$H$4:$H$1503,$K201)&amp;"件 ","")&amp;INDEX(采购进货!$I$4:$I$1503,$K201),INDEX(资金台帐!$E$7:$E$3006,$K201-1500)&amp;""))</f>
      </c>
      <c r="K201" s="78">
        <f>IFERROR(MATCH(SMALL(_辅助!$H$4:$H$4503,162),_辅助!$H$4:$H$4503,0),"")</f>
      </c>
    </row>
    <row r="202">
      <c r="A202" s="141">
        <f>IF($K202="","",163)</f>
      </c>
      <c r="B202" s="140">
        <f>IF($K202="","",IF($K202&lt;=1500,INDEX(采购进货!$B$4:$B$1503,$K202),INDEX(资金台帐!$B$7:$B$3006,$K202-1500)))</f>
      </c>
      <c r="C202" s="141">
        <f>IF($K202="","",IF($K202&lt;=1500,IF(N(INDEX(采购进货!$E$4:$E$1503,$K202))&lt;0,"退货","进货"),IF(INDEX(资金台帐!$S$7:$S$3006,$K202-1500)&lt;=0,"付款","退款")&amp;"（"&amp;INDEX(资金台帐!$C$7:$C$3006,$K202-1500)&amp;"）"))</f>
      </c>
      <c r="D202" s="141">
        <f>IF($K202="","",IF($K202&lt;=1500,INDEX(采购进货!$D$4:$D$1503,$K202)&amp;"",""))</f>
      </c>
      <c r="E202" s="148">
        <f>IF($K202="","",IF($K202&lt;=1500,N(INDEX(采购进货!$E$4:$E$1503,$K202))+N(INDEX(采购进货!$H$4:$H$1503,$K202)),""))</f>
      </c>
      <c r="F202" s="149">
        <f>IF($K202="","",IF($K202&lt;=1500,INDEX(采购进货!$F$4:$F$1503,$K202),""))</f>
      </c>
      <c r="G202" s="186">
        <f>IF($K202="","",IF($K202&lt;=1500,N(INDEX(采购进货!$G$4:$G$1503,$K202)),""))</f>
      </c>
      <c r="H202" s="186">
        <f>IF($K202="","",IF($K202&lt;=1500,"",-INDEX(资金台帐!$S$7:$S$3006,$K202-1500)))</f>
      </c>
      <c r="I202" s="187">
        <f>IF($K202="","",I201+N(G202)-N(H202))</f>
      </c>
      <c r="J202" s="213">
        <f>IF($K202="","",IF($K202&lt;=1500,IF(N(INDEX(采购进货!$H$4:$H$1503,$K202))&lt;&gt;0,"含赠品"&amp;INDEX(采购进货!$H$4:$H$1503,$K202)&amp;"件 ","")&amp;INDEX(采购进货!$I$4:$I$1503,$K202),INDEX(资金台帐!$E$7:$E$3006,$K202-1500)&amp;""))</f>
      </c>
      <c r="K202" s="78">
        <f>IFERROR(MATCH(SMALL(_辅助!$H$4:$H$4503,163),_辅助!$H$4:$H$4503,0),"")</f>
      </c>
    </row>
    <row r="203">
      <c r="A203" s="141">
        <f>IF($K203="","",164)</f>
      </c>
      <c r="B203" s="140">
        <f>IF($K203="","",IF($K203&lt;=1500,INDEX(采购进货!$B$4:$B$1503,$K203),INDEX(资金台帐!$B$7:$B$3006,$K203-1500)))</f>
      </c>
      <c r="C203" s="141">
        <f>IF($K203="","",IF($K203&lt;=1500,IF(N(INDEX(采购进货!$E$4:$E$1503,$K203))&lt;0,"退货","进货"),IF(INDEX(资金台帐!$S$7:$S$3006,$K203-1500)&lt;=0,"付款","退款")&amp;"（"&amp;INDEX(资金台帐!$C$7:$C$3006,$K203-1500)&amp;"）"))</f>
      </c>
      <c r="D203" s="141">
        <f>IF($K203="","",IF($K203&lt;=1500,INDEX(采购进货!$D$4:$D$1503,$K203)&amp;"",""))</f>
      </c>
      <c r="E203" s="148">
        <f>IF($K203="","",IF($K203&lt;=1500,N(INDEX(采购进货!$E$4:$E$1503,$K203))+N(INDEX(采购进货!$H$4:$H$1503,$K203)),""))</f>
      </c>
      <c r="F203" s="149">
        <f>IF($K203="","",IF($K203&lt;=1500,INDEX(采购进货!$F$4:$F$1503,$K203),""))</f>
      </c>
      <c r="G203" s="186">
        <f>IF($K203="","",IF($K203&lt;=1500,N(INDEX(采购进货!$G$4:$G$1503,$K203)),""))</f>
      </c>
      <c r="H203" s="186">
        <f>IF($K203="","",IF($K203&lt;=1500,"",-INDEX(资金台帐!$S$7:$S$3006,$K203-1500)))</f>
      </c>
      <c r="I203" s="187">
        <f>IF($K203="","",I202+N(G203)-N(H203))</f>
      </c>
      <c r="J203" s="213">
        <f>IF($K203="","",IF($K203&lt;=1500,IF(N(INDEX(采购进货!$H$4:$H$1503,$K203))&lt;&gt;0,"含赠品"&amp;INDEX(采购进货!$H$4:$H$1503,$K203)&amp;"件 ","")&amp;INDEX(采购进货!$I$4:$I$1503,$K203),INDEX(资金台帐!$E$7:$E$3006,$K203-1500)&amp;""))</f>
      </c>
      <c r="K203" s="78">
        <f>IFERROR(MATCH(SMALL(_辅助!$H$4:$H$4503,164),_辅助!$H$4:$H$4503,0),"")</f>
      </c>
    </row>
    <row r="204">
      <c r="A204" s="141">
        <f>IF($K204="","",165)</f>
      </c>
      <c r="B204" s="140">
        <f>IF($K204="","",IF($K204&lt;=1500,INDEX(采购进货!$B$4:$B$1503,$K204),INDEX(资金台帐!$B$7:$B$3006,$K204-1500)))</f>
      </c>
      <c r="C204" s="141">
        <f>IF($K204="","",IF($K204&lt;=1500,IF(N(INDEX(采购进货!$E$4:$E$1503,$K204))&lt;0,"退货","进货"),IF(INDEX(资金台帐!$S$7:$S$3006,$K204-1500)&lt;=0,"付款","退款")&amp;"（"&amp;INDEX(资金台帐!$C$7:$C$3006,$K204-1500)&amp;"）"))</f>
      </c>
      <c r="D204" s="141">
        <f>IF($K204="","",IF($K204&lt;=1500,INDEX(采购进货!$D$4:$D$1503,$K204)&amp;"",""))</f>
      </c>
      <c r="E204" s="148">
        <f>IF($K204="","",IF($K204&lt;=1500,N(INDEX(采购进货!$E$4:$E$1503,$K204))+N(INDEX(采购进货!$H$4:$H$1503,$K204)),""))</f>
      </c>
      <c r="F204" s="149">
        <f>IF($K204="","",IF($K204&lt;=1500,INDEX(采购进货!$F$4:$F$1503,$K204),""))</f>
      </c>
      <c r="G204" s="186">
        <f>IF($K204="","",IF($K204&lt;=1500,N(INDEX(采购进货!$G$4:$G$1503,$K204)),""))</f>
      </c>
      <c r="H204" s="186">
        <f>IF($K204="","",IF($K204&lt;=1500,"",-INDEX(资金台帐!$S$7:$S$3006,$K204-1500)))</f>
      </c>
      <c r="I204" s="187">
        <f>IF($K204="","",I203+N(G204)-N(H204))</f>
      </c>
      <c r="J204" s="213">
        <f>IF($K204="","",IF($K204&lt;=1500,IF(N(INDEX(采购进货!$H$4:$H$1503,$K204))&lt;&gt;0,"含赠品"&amp;INDEX(采购进货!$H$4:$H$1503,$K204)&amp;"件 ","")&amp;INDEX(采购进货!$I$4:$I$1503,$K204),INDEX(资金台帐!$E$7:$E$3006,$K204-1500)&amp;""))</f>
      </c>
      <c r="K204" s="78">
        <f>IFERROR(MATCH(SMALL(_辅助!$H$4:$H$4503,165),_辅助!$H$4:$H$4503,0),"")</f>
      </c>
    </row>
    <row r="205">
      <c r="A205" s="141">
        <f>IF($K205="","",166)</f>
      </c>
      <c r="B205" s="140">
        <f>IF($K205="","",IF($K205&lt;=1500,INDEX(采购进货!$B$4:$B$1503,$K205),INDEX(资金台帐!$B$7:$B$3006,$K205-1500)))</f>
      </c>
      <c r="C205" s="141">
        <f>IF($K205="","",IF($K205&lt;=1500,IF(N(INDEX(采购进货!$E$4:$E$1503,$K205))&lt;0,"退货","进货"),IF(INDEX(资金台帐!$S$7:$S$3006,$K205-1500)&lt;=0,"付款","退款")&amp;"（"&amp;INDEX(资金台帐!$C$7:$C$3006,$K205-1500)&amp;"）"))</f>
      </c>
      <c r="D205" s="141">
        <f>IF($K205="","",IF($K205&lt;=1500,INDEX(采购进货!$D$4:$D$1503,$K205)&amp;"",""))</f>
      </c>
      <c r="E205" s="148">
        <f>IF($K205="","",IF($K205&lt;=1500,N(INDEX(采购进货!$E$4:$E$1503,$K205))+N(INDEX(采购进货!$H$4:$H$1503,$K205)),""))</f>
      </c>
      <c r="F205" s="149">
        <f>IF($K205="","",IF($K205&lt;=1500,INDEX(采购进货!$F$4:$F$1503,$K205),""))</f>
      </c>
      <c r="G205" s="186">
        <f>IF($K205="","",IF($K205&lt;=1500,N(INDEX(采购进货!$G$4:$G$1503,$K205)),""))</f>
      </c>
      <c r="H205" s="186">
        <f>IF($K205="","",IF($K205&lt;=1500,"",-INDEX(资金台帐!$S$7:$S$3006,$K205-1500)))</f>
      </c>
      <c r="I205" s="187">
        <f>IF($K205="","",I204+N(G205)-N(H205))</f>
      </c>
      <c r="J205" s="213">
        <f>IF($K205="","",IF($K205&lt;=1500,IF(N(INDEX(采购进货!$H$4:$H$1503,$K205))&lt;&gt;0,"含赠品"&amp;INDEX(采购进货!$H$4:$H$1503,$K205)&amp;"件 ","")&amp;INDEX(采购进货!$I$4:$I$1503,$K205),INDEX(资金台帐!$E$7:$E$3006,$K205-1500)&amp;""))</f>
      </c>
      <c r="K205" s="78">
        <f>IFERROR(MATCH(SMALL(_辅助!$H$4:$H$4503,166),_辅助!$H$4:$H$4503,0),"")</f>
      </c>
    </row>
    <row r="206">
      <c r="A206" s="141">
        <f>IF($K206="","",167)</f>
      </c>
      <c r="B206" s="140">
        <f>IF($K206="","",IF($K206&lt;=1500,INDEX(采购进货!$B$4:$B$1503,$K206),INDEX(资金台帐!$B$7:$B$3006,$K206-1500)))</f>
      </c>
      <c r="C206" s="141">
        <f>IF($K206="","",IF($K206&lt;=1500,IF(N(INDEX(采购进货!$E$4:$E$1503,$K206))&lt;0,"退货","进货"),IF(INDEX(资金台帐!$S$7:$S$3006,$K206-1500)&lt;=0,"付款","退款")&amp;"（"&amp;INDEX(资金台帐!$C$7:$C$3006,$K206-1500)&amp;"）"))</f>
      </c>
      <c r="D206" s="141">
        <f>IF($K206="","",IF($K206&lt;=1500,INDEX(采购进货!$D$4:$D$1503,$K206)&amp;"",""))</f>
      </c>
      <c r="E206" s="148">
        <f>IF($K206="","",IF($K206&lt;=1500,N(INDEX(采购进货!$E$4:$E$1503,$K206))+N(INDEX(采购进货!$H$4:$H$1503,$K206)),""))</f>
      </c>
      <c r="F206" s="149">
        <f>IF($K206="","",IF($K206&lt;=1500,INDEX(采购进货!$F$4:$F$1503,$K206),""))</f>
      </c>
      <c r="G206" s="186">
        <f>IF($K206="","",IF($K206&lt;=1500,N(INDEX(采购进货!$G$4:$G$1503,$K206)),""))</f>
      </c>
      <c r="H206" s="186">
        <f>IF($K206="","",IF($K206&lt;=1500,"",-INDEX(资金台帐!$S$7:$S$3006,$K206-1500)))</f>
      </c>
      <c r="I206" s="187">
        <f>IF($K206="","",I205+N(G206)-N(H206))</f>
      </c>
      <c r="J206" s="213">
        <f>IF($K206="","",IF($K206&lt;=1500,IF(N(INDEX(采购进货!$H$4:$H$1503,$K206))&lt;&gt;0,"含赠品"&amp;INDEX(采购进货!$H$4:$H$1503,$K206)&amp;"件 ","")&amp;INDEX(采购进货!$I$4:$I$1503,$K206),INDEX(资金台帐!$E$7:$E$3006,$K206-1500)&amp;""))</f>
      </c>
      <c r="K206" s="78">
        <f>IFERROR(MATCH(SMALL(_辅助!$H$4:$H$4503,167),_辅助!$H$4:$H$4503,0),"")</f>
      </c>
    </row>
    <row r="207">
      <c r="A207" s="141">
        <f>IF($K207="","",168)</f>
      </c>
      <c r="B207" s="140">
        <f>IF($K207="","",IF($K207&lt;=1500,INDEX(采购进货!$B$4:$B$1503,$K207),INDEX(资金台帐!$B$7:$B$3006,$K207-1500)))</f>
      </c>
      <c r="C207" s="141">
        <f>IF($K207="","",IF($K207&lt;=1500,IF(N(INDEX(采购进货!$E$4:$E$1503,$K207))&lt;0,"退货","进货"),IF(INDEX(资金台帐!$S$7:$S$3006,$K207-1500)&lt;=0,"付款","退款")&amp;"（"&amp;INDEX(资金台帐!$C$7:$C$3006,$K207-1500)&amp;"）"))</f>
      </c>
      <c r="D207" s="141">
        <f>IF($K207="","",IF($K207&lt;=1500,INDEX(采购进货!$D$4:$D$1503,$K207)&amp;"",""))</f>
      </c>
      <c r="E207" s="148">
        <f>IF($K207="","",IF($K207&lt;=1500,N(INDEX(采购进货!$E$4:$E$1503,$K207))+N(INDEX(采购进货!$H$4:$H$1503,$K207)),""))</f>
      </c>
      <c r="F207" s="149">
        <f>IF($K207="","",IF($K207&lt;=1500,INDEX(采购进货!$F$4:$F$1503,$K207),""))</f>
      </c>
      <c r="G207" s="186">
        <f>IF($K207="","",IF($K207&lt;=1500,N(INDEX(采购进货!$G$4:$G$1503,$K207)),""))</f>
      </c>
      <c r="H207" s="186">
        <f>IF($K207="","",IF($K207&lt;=1500,"",-INDEX(资金台帐!$S$7:$S$3006,$K207-1500)))</f>
      </c>
      <c r="I207" s="187">
        <f>IF($K207="","",I206+N(G207)-N(H207))</f>
      </c>
      <c r="J207" s="213">
        <f>IF($K207="","",IF($K207&lt;=1500,IF(N(INDEX(采购进货!$H$4:$H$1503,$K207))&lt;&gt;0,"含赠品"&amp;INDEX(采购进货!$H$4:$H$1503,$K207)&amp;"件 ","")&amp;INDEX(采购进货!$I$4:$I$1503,$K207),INDEX(资金台帐!$E$7:$E$3006,$K207-1500)&amp;""))</f>
      </c>
      <c r="K207" s="78">
        <f>IFERROR(MATCH(SMALL(_辅助!$H$4:$H$4503,168),_辅助!$H$4:$H$4503,0),"")</f>
      </c>
    </row>
    <row r="208">
      <c r="A208" s="141">
        <f>IF($K208="","",169)</f>
      </c>
      <c r="B208" s="140">
        <f>IF($K208="","",IF($K208&lt;=1500,INDEX(采购进货!$B$4:$B$1503,$K208),INDEX(资金台帐!$B$7:$B$3006,$K208-1500)))</f>
      </c>
      <c r="C208" s="141">
        <f>IF($K208="","",IF($K208&lt;=1500,IF(N(INDEX(采购进货!$E$4:$E$1503,$K208))&lt;0,"退货","进货"),IF(INDEX(资金台帐!$S$7:$S$3006,$K208-1500)&lt;=0,"付款","退款")&amp;"（"&amp;INDEX(资金台帐!$C$7:$C$3006,$K208-1500)&amp;"）"))</f>
      </c>
      <c r="D208" s="141">
        <f>IF($K208="","",IF($K208&lt;=1500,INDEX(采购进货!$D$4:$D$1503,$K208)&amp;"",""))</f>
      </c>
      <c r="E208" s="148">
        <f>IF($K208="","",IF($K208&lt;=1500,N(INDEX(采购进货!$E$4:$E$1503,$K208))+N(INDEX(采购进货!$H$4:$H$1503,$K208)),""))</f>
      </c>
      <c r="F208" s="149">
        <f>IF($K208="","",IF($K208&lt;=1500,INDEX(采购进货!$F$4:$F$1503,$K208),""))</f>
      </c>
      <c r="G208" s="186">
        <f>IF($K208="","",IF($K208&lt;=1500,N(INDEX(采购进货!$G$4:$G$1503,$K208)),""))</f>
      </c>
      <c r="H208" s="186">
        <f>IF($K208="","",IF($K208&lt;=1500,"",-INDEX(资金台帐!$S$7:$S$3006,$K208-1500)))</f>
      </c>
      <c r="I208" s="187">
        <f>IF($K208="","",I207+N(G208)-N(H208))</f>
      </c>
      <c r="J208" s="213">
        <f>IF($K208="","",IF($K208&lt;=1500,IF(N(INDEX(采购进货!$H$4:$H$1503,$K208))&lt;&gt;0,"含赠品"&amp;INDEX(采购进货!$H$4:$H$1503,$K208)&amp;"件 ","")&amp;INDEX(采购进货!$I$4:$I$1503,$K208),INDEX(资金台帐!$E$7:$E$3006,$K208-1500)&amp;""))</f>
      </c>
      <c r="K208" s="78">
        <f>IFERROR(MATCH(SMALL(_辅助!$H$4:$H$4503,169),_辅助!$H$4:$H$4503,0),"")</f>
      </c>
    </row>
    <row r="209">
      <c r="A209" s="141">
        <f>IF($K209="","",170)</f>
      </c>
      <c r="B209" s="140">
        <f>IF($K209="","",IF($K209&lt;=1500,INDEX(采购进货!$B$4:$B$1503,$K209),INDEX(资金台帐!$B$7:$B$3006,$K209-1500)))</f>
      </c>
      <c r="C209" s="141">
        <f>IF($K209="","",IF($K209&lt;=1500,IF(N(INDEX(采购进货!$E$4:$E$1503,$K209))&lt;0,"退货","进货"),IF(INDEX(资金台帐!$S$7:$S$3006,$K209-1500)&lt;=0,"付款","退款")&amp;"（"&amp;INDEX(资金台帐!$C$7:$C$3006,$K209-1500)&amp;"）"))</f>
      </c>
      <c r="D209" s="141">
        <f>IF($K209="","",IF($K209&lt;=1500,INDEX(采购进货!$D$4:$D$1503,$K209)&amp;"",""))</f>
      </c>
      <c r="E209" s="148">
        <f>IF($K209="","",IF($K209&lt;=1500,N(INDEX(采购进货!$E$4:$E$1503,$K209))+N(INDEX(采购进货!$H$4:$H$1503,$K209)),""))</f>
      </c>
      <c r="F209" s="149">
        <f>IF($K209="","",IF($K209&lt;=1500,INDEX(采购进货!$F$4:$F$1503,$K209),""))</f>
      </c>
      <c r="G209" s="186">
        <f>IF($K209="","",IF($K209&lt;=1500,N(INDEX(采购进货!$G$4:$G$1503,$K209)),""))</f>
      </c>
      <c r="H209" s="186">
        <f>IF($K209="","",IF($K209&lt;=1500,"",-INDEX(资金台帐!$S$7:$S$3006,$K209-1500)))</f>
      </c>
      <c r="I209" s="187">
        <f>IF($K209="","",I208+N(G209)-N(H209))</f>
      </c>
      <c r="J209" s="213">
        <f>IF($K209="","",IF($K209&lt;=1500,IF(N(INDEX(采购进货!$H$4:$H$1503,$K209))&lt;&gt;0,"含赠品"&amp;INDEX(采购进货!$H$4:$H$1503,$K209)&amp;"件 ","")&amp;INDEX(采购进货!$I$4:$I$1503,$K209),INDEX(资金台帐!$E$7:$E$3006,$K209-1500)&amp;""))</f>
      </c>
      <c r="K209" s="78">
        <f>IFERROR(MATCH(SMALL(_辅助!$H$4:$H$4503,170),_辅助!$H$4:$H$4503,0),"")</f>
      </c>
    </row>
    <row r="210">
      <c r="A210" s="141">
        <f>IF($K210="","",171)</f>
      </c>
      <c r="B210" s="140">
        <f>IF($K210="","",IF($K210&lt;=1500,INDEX(采购进货!$B$4:$B$1503,$K210),INDEX(资金台帐!$B$7:$B$3006,$K210-1500)))</f>
      </c>
      <c r="C210" s="141">
        <f>IF($K210="","",IF($K210&lt;=1500,IF(N(INDEX(采购进货!$E$4:$E$1503,$K210))&lt;0,"退货","进货"),IF(INDEX(资金台帐!$S$7:$S$3006,$K210-1500)&lt;=0,"付款","退款")&amp;"（"&amp;INDEX(资金台帐!$C$7:$C$3006,$K210-1500)&amp;"）"))</f>
      </c>
      <c r="D210" s="141">
        <f>IF($K210="","",IF($K210&lt;=1500,INDEX(采购进货!$D$4:$D$1503,$K210)&amp;"",""))</f>
      </c>
      <c r="E210" s="148">
        <f>IF($K210="","",IF($K210&lt;=1500,N(INDEX(采购进货!$E$4:$E$1503,$K210))+N(INDEX(采购进货!$H$4:$H$1503,$K210)),""))</f>
      </c>
      <c r="F210" s="149">
        <f>IF($K210="","",IF($K210&lt;=1500,INDEX(采购进货!$F$4:$F$1503,$K210),""))</f>
      </c>
      <c r="G210" s="186">
        <f>IF($K210="","",IF($K210&lt;=1500,N(INDEX(采购进货!$G$4:$G$1503,$K210)),""))</f>
      </c>
      <c r="H210" s="186">
        <f>IF($K210="","",IF($K210&lt;=1500,"",-INDEX(资金台帐!$S$7:$S$3006,$K210-1500)))</f>
      </c>
      <c r="I210" s="187">
        <f>IF($K210="","",I209+N(G210)-N(H210))</f>
      </c>
      <c r="J210" s="213">
        <f>IF($K210="","",IF($K210&lt;=1500,IF(N(INDEX(采购进货!$H$4:$H$1503,$K210))&lt;&gt;0,"含赠品"&amp;INDEX(采购进货!$H$4:$H$1503,$K210)&amp;"件 ","")&amp;INDEX(采购进货!$I$4:$I$1503,$K210),INDEX(资金台帐!$E$7:$E$3006,$K210-1500)&amp;""))</f>
      </c>
      <c r="K210" s="78">
        <f>IFERROR(MATCH(SMALL(_辅助!$H$4:$H$4503,171),_辅助!$H$4:$H$4503,0),"")</f>
      </c>
    </row>
    <row r="211">
      <c r="A211" s="141">
        <f>IF($K211="","",172)</f>
      </c>
      <c r="B211" s="140">
        <f>IF($K211="","",IF($K211&lt;=1500,INDEX(采购进货!$B$4:$B$1503,$K211),INDEX(资金台帐!$B$7:$B$3006,$K211-1500)))</f>
      </c>
      <c r="C211" s="141">
        <f>IF($K211="","",IF($K211&lt;=1500,IF(N(INDEX(采购进货!$E$4:$E$1503,$K211))&lt;0,"退货","进货"),IF(INDEX(资金台帐!$S$7:$S$3006,$K211-1500)&lt;=0,"付款","退款")&amp;"（"&amp;INDEX(资金台帐!$C$7:$C$3006,$K211-1500)&amp;"）"))</f>
      </c>
      <c r="D211" s="141">
        <f>IF($K211="","",IF($K211&lt;=1500,INDEX(采购进货!$D$4:$D$1503,$K211)&amp;"",""))</f>
      </c>
      <c r="E211" s="148">
        <f>IF($K211="","",IF($K211&lt;=1500,N(INDEX(采购进货!$E$4:$E$1503,$K211))+N(INDEX(采购进货!$H$4:$H$1503,$K211)),""))</f>
      </c>
      <c r="F211" s="149">
        <f>IF($K211="","",IF($K211&lt;=1500,INDEX(采购进货!$F$4:$F$1503,$K211),""))</f>
      </c>
      <c r="G211" s="186">
        <f>IF($K211="","",IF($K211&lt;=1500,N(INDEX(采购进货!$G$4:$G$1503,$K211)),""))</f>
      </c>
      <c r="H211" s="186">
        <f>IF($K211="","",IF($K211&lt;=1500,"",-INDEX(资金台帐!$S$7:$S$3006,$K211-1500)))</f>
      </c>
      <c r="I211" s="187">
        <f>IF($K211="","",I210+N(G211)-N(H211))</f>
      </c>
      <c r="J211" s="213">
        <f>IF($K211="","",IF($K211&lt;=1500,IF(N(INDEX(采购进货!$H$4:$H$1503,$K211))&lt;&gt;0,"含赠品"&amp;INDEX(采购进货!$H$4:$H$1503,$K211)&amp;"件 ","")&amp;INDEX(采购进货!$I$4:$I$1503,$K211),INDEX(资金台帐!$E$7:$E$3006,$K211-1500)&amp;""))</f>
      </c>
      <c r="K211" s="78">
        <f>IFERROR(MATCH(SMALL(_辅助!$H$4:$H$4503,172),_辅助!$H$4:$H$4503,0),"")</f>
      </c>
    </row>
    <row r="212">
      <c r="A212" s="141">
        <f>IF($K212="","",173)</f>
      </c>
      <c r="B212" s="140">
        <f>IF($K212="","",IF($K212&lt;=1500,INDEX(采购进货!$B$4:$B$1503,$K212),INDEX(资金台帐!$B$7:$B$3006,$K212-1500)))</f>
      </c>
      <c r="C212" s="141">
        <f>IF($K212="","",IF($K212&lt;=1500,IF(N(INDEX(采购进货!$E$4:$E$1503,$K212))&lt;0,"退货","进货"),IF(INDEX(资金台帐!$S$7:$S$3006,$K212-1500)&lt;=0,"付款","退款")&amp;"（"&amp;INDEX(资金台帐!$C$7:$C$3006,$K212-1500)&amp;"）"))</f>
      </c>
      <c r="D212" s="141">
        <f>IF($K212="","",IF($K212&lt;=1500,INDEX(采购进货!$D$4:$D$1503,$K212)&amp;"",""))</f>
      </c>
      <c r="E212" s="148">
        <f>IF($K212="","",IF($K212&lt;=1500,N(INDEX(采购进货!$E$4:$E$1503,$K212))+N(INDEX(采购进货!$H$4:$H$1503,$K212)),""))</f>
      </c>
      <c r="F212" s="149">
        <f>IF($K212="","",IF($K212&lt;=1500,INDEX(采购进货!$F$4:$F$1503,$K212),""))</f>
      </c>
      <c r="G212" s="186">
        <f>IF($K212="","",IF($K212&lt;=1500,N(INDEX(采购进货!$G$4:$G$1503,$K212)),""))</f>
      </c>
      <c r="H212" s="186">
        <f>IF($K212="","",IF($K212&lt;=1500,"",-INDEX(资金台帐!$S$7:$S$3006,$K212-1500)))</f>
      </c>
      <c r="I212" s="187">
        <f>IF($K212="","",I211+N(G212)-N(H212))</f>
      </c>
      <c r="J212" s="213">
        <f>IF($K212="","",IF($K212&lt;=1500,IF(N(INDEX(采购进货!$H$4:$H$1503,$K212))&lt;&gt;0,"含赠品"&amp;INDEX(采购进货!$H$4:$H$1503,$K212)&amp;"件 ","")&amp;INDEX(采购进货!$I$4:$I$1503,$K212),INDEX(资金台帐!$E$7:$E$3006,$K212-1500)&amp;""))</f>
      </c>
      <c r="K212" s="78">
        <f>IFERROR(MATCH(SMALL(_辅助!$H$4:$H$4503,173),_辅助!$H$4:$H$4503,0),"")</f>
      </c>
    </row>
    <row r="213">
      <c r="A213" s="141">
        <f>IF($K213="","",174)</f>
      </c>
      <c r="B213" s="140">
        <f>IF($K213="","",IF($K213&lt;=1500,INDEX(采购进货!$B$4:$B$1503,$K213),INDEX(资金台帐!$B$7:$B$3006,$K213-1500)))</f>
      </c>
      <c r="C213" s="141">
        <f>IF($K213="","",IF($K213&lt;=1500,IF(N(INDEX(采购进货!$E$4:$E$1503,$K213))&lt;0,"退货","进货"),IF(INDEX(资金台帐!$S$7:$S$3006,$K213-1500)&lt;=0,"付款","退款")&amp;"（"&amp;INDEX(资金台帐!$C$7:$C$3006,$K213-1500)&amp;"）"))</f>
      </c>
      <c r="D213" s="141">
        <f>IF($K213="","",IF($K213&lt;=1500,INDEX(采购进货!$D$4:$D$1503,$K213)&amp;"",""))</f>
      </c>
      <c r="E213" s="148">
        <f>IF($K213="","",IF($K213&lt;=1500,N(INDEX(采购进货!$E$4:$E$1503,$K213))+N(INDEX(采购进货!$H$4:$H$1503,$K213)),""))</f>
      </c>
      <c r="F213" s="149">
        <f>IF($K213="","",IF($K213&lt;=1500,INDEX(采购进货!$F$4:$F$1503,$K213),""))</f>
      </c>
      <c r="G213" s="186">
        <f>IF($K213="","",IF($K213&lt;=1500,N(INDEX(采购进货!$G$4:$G$1503,$K213)),""))</f>
      </c>
      <c r="H213" s="186">
        <f>IF($K213="","",IF($K213&lt;=1500,"",-INDEX(资金台帐!$S$7:$S$3006,$K213-1500)))</f>
      </c>
      <c r="I213" s="187">
        <f>IF($K213="","",I212+N(G213)-N(H213))</f>
      </c>
      <c r="J213" s="213">
        <f>IF($K213="","",IF($K213&lt;=1500,IF(N(INDEX(采购进货!$H$4:$H$1503,$K213))&lt;&gt;0,"含赠品"&amp;INDEX(采购进货!$H$4:$H$1503,$K213)&amp;"件 ","")&amp;INDEX(采购进货!$I$4:$I$1503,$K213),INDEX(资金台帐!$E$7:$E$3006,$K213-1500)&amp;""))</f>
      </c>
      <c r="K213" s="78">
        <f>IFERROR(MATCH(SMALL(_辅助!$H$4:$H$4503,174),_辅助!$H$4:$H$4503,0),"")</f>
      </c>
    </row>
    <row r="214">
      <c r="A214" s="141">
        <f>IF($K214="","",175)</f>
      </c>
      <c r="B214" s="140">
        <f>IF($K214="","",IF($K214&lt;=1500,INDEX(采购进货!$B$4:$B$1503,$K214),INDEX(资金台帐!$B$7:$B$3006,$K214-1500)))</f>
      </c>
      <c r="C214" s="141">
        <f>IF($K214="","",IF($K214&lt;=1500,IF(N(INDEX(采购进货!$E$4:$E$1503,$K214))&lt;0,"退货","进货"),IF(INDEX(资金台帐!$S$7:$S$3006,$K214-1500)&lt;=0,"付款","退款")&amp;"（"&amp;INDEX(资金台帐!$C$7:$C$3006,$K214-1500)&amp;"）"))</f>
      </c>
      <c r="D214" s="141">
        <f>IF($K214="","",IF($K214&lt;=1500,INDEX(采购进货!$D$4:$D$1503,$K214)&amp;"",""))</f>
      </c>
      <c r="E214" s="148">
        <f>IF($K214="","",IF($K214&lt;=1500,N(INDEX(采购进货!$E$4:$E$1503,$K214))+N(INDEX(采购进货!$H$4:$H$1503,$K214)),""))</f>
      </c>
      <c r="F214" s="149">
        <f>IF($K214="","",IF($K214&lt;=1500,INDEX(采购进货!$F$4:$F$1503,$K214),""))</f>
      </c>
      <c r="G214" s="186">
        <f>IF($K214="","",IF($K214&lt;=1500,N(INDEX(采购进货!$G$4:$G$1503,$K214)),""))</f>
      </c>
      <c r="H214" s="186">
        <f>IF($K214="","",IF($K214&lt;=1500,"",-INDEX(资金台帐!$S$7:$S$3006,$K214-1500)))</f>
      </c>
      <c r="I214" s="187">
        <f>IF($K214="","",I213+N(G214)-N(H214))</f>
      </c>
      <c r="J214" s="213">
        <f>IF($K214="","",IF($K214&lt;=1500,IF(N(INDEX(采购进货!$H$4:$H$1503,$K214))&lt;&gt;0,"含赠品"&amp;INDEX(采购进货!$H$4:$H$1503,$K214)&amp;"件 ","")&amp;INDEX(采购进货!$I$4:$I$1503,$K214),INDEX(资金台帐!$E$7:$E$3006,$K214-1500)&amp;""))</f>
      </c>
      <c r="K214" s="78">
        <f>IFERROR(MATCH(SMALL(_辅助!$H$4:$H$4503,175),_辅助!$H$4:$H$4503,0),"")</f>
      </c>
    </row>
    <row r="215">
      <c r="A215" s="141">
        <f>IF($K215="","",176)</f>
      </c>
      <c r="B215" s="140">
        <f>IF($K215="","",IF($K215&lt;=1500,INDEX(采购进货!$B$4:$B$1503,$K215),INDEX(资金台帐!$B$7:$B$3006,$K215-1500)))</f>
      </c>
      <c r="C215" s="141">
        <f>IF($K215="","",IF($K215&lt;=1500,IF(N(INDEX(采购进货!$E$4:$E$1503,$K215))&lt;0,"退货","进货"),IF(INDEX(资金台帐!$S$7:$S$3006,$K215-1500)&lt;=0,"付款","退款")&amp;"（"&amp;INDEX(资金台帐!$C$7:$C$3006,$K215-1500)&amp;"）"))</f>
      </c>
      <c r="D215" s="141">
        <f>IF($K215="","",IF($K215&lt;=1500,INDEX(采购进货!$D$4:$D$1503,$K215)&amp;"",""))</f>
      </c>
      <c r="E215" s="148">
        <f>IF($K215="","",IF($K215&lt;=1500,N(INDEX(采购进货!$E$4:$E$1503,$K215))+N(INDEX(采购进货!$H$4:$H$1503,$K215)),""))</f>
      </c>
      <c r="F215" s="149">
        <f>IF($K215="","",IF($K215&lt;=1500,INDEX(采购进货!$F$4:$F$1503,$K215),""))</f>
      </c>
      <c r="G215" s="186">
        <f>IF($K215="","",IF($K215&lt;=1500,N(INDEX(采购进货!$G$4:$G$1503,$K215)),""))</f>
      </c>
      <c r="H215" s="186">
        <f>IF($K215="","",IF($K215&lt;=1500,"",-INDEX(资金台帐!$S$7:$S$3006,$K215-1500)))</f>
      </c>
      <c r="I215" s="187">
        <f>IF($K215="","",I214+N(G215)-N(H215))</f>
      </c>
      <c r="J215" s="213">
        <f>IF($K215="","",IF($K215&lt;=1500,IF(N(INDEX(采购进货!$H$4:$H$1503,$K215))&lt;&gt;0,"含赠品"&amp;INDEX(采购进货!$H$4:$H$1503,$K215)&amp;"件 ","")&amp;INDEX(采购进货!$I$4:$I$1503,$K215),INDEX(资金台帐!$E$7:$E$3006,$K215-1500)&amp;""))</f>
      </c>
      <c r="K215" s="78">
        <f>IFERROR(MATCH(SMALL(_辅助!$H$4:$H$4503,176),_辅助!$H$4:$H$4503,0),"")</f>
      </c>
    </row>
    <row r="216">
      <c r="A216" s="141">
        <f>IF($K216="","",177)</f>
      </c>
      <c r="B216" s="140">
        <f>IF($K216="","",IF($K216&lt;=1500,INDEX(采购进货!$B$4:$B$1503,$K216),INDEX(资金台帐!$B$7:$B$3006,$K216-1500)))</f>
      </c>
      <c r="C216" s="141">
        <f>IF($K216="","",IF($K216&lt;=1500,IF(N(INDEX(采购进货!$E$4:$E$1503,$K216))&lt;0,"退货","进货"),IF(INDEX(资金台帐!$S$7:$S$3006,$K216-1500)&lt;=0,"付款","退款")&amp;"（"&amp;INDEX(资金台帐!$C$7:$C$3006,$K216-1500)&amp;"）"))</f>
      </c>
      <c r="D216" s="141">
        <f>IF($K216="","",IF($K216&lt;=1500,INDEX(采购进货!$D$4:$D$1503,$K216)&amp;"",""))</f>
      </c>
      <c r="E216" s="148">
        <f>IF($K216="","",IF($K216&lt;=1500,N(INDEX(采购进货!$E$4:$E$1503,$K216))+N(INDEX(采购进货!$H$4:$H$1503,$K216)),""))</f>
      </c>
      <c r="F216" s="149">
        <f>IF($K216="","",IF($K216&lt;=1500,INDEX(采购进货!$F$4:$F$1503,$K216),""))</f>
      </c>
      <c r="G216" s="186">
        <f>IF($K216="","",IF($K216&lt;=1500,N(INDEX(采购进货!$G$4:$G$1503,$K216)),""))</f>
      </c>
      <c r="H216" s="186">
        <f>IF($K216="","",IF($K216&lt;=1500,"",-INDEX(资金台帐!$S$7:$S$3006,$K216-1500)))</f>
      </c>
      <c r="I216" s="187">
        <f>IF($K216="","",I215+N(G216)-N(H216))</f>
      </c>
      <c r="J216" s="213">
        <f>IF($K216="","",IF($K216&lt;=1500,IF(N(INDEX(采购进货!$H$4:$H$1503,$K216))&lt;&gt;0,"含赠品"&amp;INDEX(采购进货!$H$4:$H$1503,$K216)&amp;"件 ","")&amp;INDEX(采购进货!$I$4:$I$1503,$K216),INDEX(资金台帐!$E$7:$E$3006,$K216-1500)&amp;""))</f>
      </c>
      <c r="K216" s="78">
        <f>IFERROR(MATCH(SMALL(_辅助!$H$4:$H$4503,177),_辅助!$H$4:$H$4503,0),"")</f>
      </c>
    </row>
    <row r="217">
      <c r="A217" s="141">
        <f>IF($K217="","",178)</f>
      </c>
      <c r="B217" s="140">
        <f>IF($K217="","",IF($K217&lt;=1500,INDEX(采购进货!$B$4:$B$1503,$K217),INDEX(资金台帐!$B$7:$B$3006,$K217-1500)))</f>
      </c>
      <c r="C217" s="141">
        <f>IF($K217="","",IF($K217&lt;=1500,IF(N(INDEX(采购进货!$E$4:$E$1503,$K217))&lt;0,"退货","进货"),IF(INDEX(资金台帐!$S$7:$S$3006,$K217-1500)&lt;=0,"付款","退款")&amp;"（"&amp;INDEX(资金台帐!$C$7:$C$3006,$K217-1500)&amp;"）"))</f>
      </c>
      <c r="D217" s="141">
        <f>IF($K217="","",IF($K217&lt;=1500,INDEX(采购进货!$D$4:$D$1503,$K217)&amp;"",""))</f>
      </c>
      <c r="E217" s="148">
        <f>IF($K217="","",IF($K217&lt;=1500,N(INDEX(采购进货!$E$4:$E$1503,$K217))+N(INDEX(采购进货!$H$4:$H$1503,$K217)),""))</f>
      </c>
      <c r="F217" s="149">
        <f>IF($K217="","",IF($K217&lt;=1500,INDEX(采购进货!$F$4:$F$1503,$K217),""))</f>
      </c>
      <c r="G217" s="186">
        <f>IF($K217="","",IF($K217&lt;=1500,N(INDEX(采购进货!$G$4:$G$1503,$K217)),""))</f>
      </c>
      <c r="H217" s="186">
        <f>IF($K217="","",IF($K217&lt;=1500,"",-INDEX(资金台帐!$S$7:$S$3006,$K217-1500)))</f>
      </c>
      <c r="I217" s="187">
        <f>IF($K217="","",I216+N(G217)-N(H217))</f>
      </c>
      <c r="J217" s="213">
        <f>IF($K217="","",IF($K217&lt;=1500,IF(N(INDEX(采购进货!$H$4:$H$1503,$K217))&lt;&gt;0,"含赠品"&amp;INDEX(采购进货!$H$4:$H$1503,$K217)&amp;"件 ","")&amp;INDEX(采购进货!$I$4:$I$1503,$K217),INDEX(资金台帐!$E$7:$E$3006,$K217-1500)&amp;""))</f>
      </c>
      <c r="K217" s="78">
        <f>IFERROR(MATCH(SMALL(_辅助!$H$4:$H$4503,178),_辅助!$H$4:$H$4503,0),"")</f>
      </c>
    </row>
    <row r="218">
      <c r="A218" s="141">
        <f>IF($K218="","",179)</f>
      </c>
      <c r="B218" s="140">
        <f>IF($K218="","",IF($K218&lt;=1500,INDEX(采购进货!$B$4:$B$1503,$K218),INDEX(资金台帐!$B$7:$B$3006,$K218-1500)))</f>
      </c>
      <c r="C218" s="141">
        <f>IF($K218="","",IF($K218&lt;=1500,IF(N(INDEX(采购进货!$E$4:$E$1503,$K218))&lt;0,"退货","进货"),IF(INDEX(资金台帐!$S$7:$S$3006,$K218-1500)&lt;=0,"付款","退款")&amp;"（"&amp;INDEX(资金台帐!$C$7:$C$3006,$K218-1500)&amp;"）"))</f>
      </c>
      <c r="D218" s="141">
        <f>IF($K218="","",IF($K218&lt;=1500,INDEX(采购进货!$D$4:$D$1503,$K218)&amp;"",""))</f>
      </c>
      <c r="E218" s="148">
        <f>IF($K218="","",IF($K218&lt;=1500,N(INDEX(采购进货!$E$4:$E$1503,$K218))+N(INDEX(采购进货!$H$4:$H$1503,$K218)),""))</f>
      </c>
      <c r="F218" s="149">
        <f>IF($K218="","",IF($K218&lt;=1500,INDEX(采购进货!$F$4:$F$1503,$K218),""))</f>
      </c>
      <c r="G218" s="186">
        <f>IF($K218="","",IF($K218&lt;=1500,N(INDEX(采购进货!$G$4:$G$1503,$K218)),""))</f>
      </c>
      <c r="H218" s="186">
        <f>IF($K218="","",IF($K218&lt;=1500,"",-INDEX(资金台帐!$S$7:$S$3006,$K218-1500)))</f>
      </c>
      <c r="I218" s="187">
        <f>IF($K218="","",I217+N(G218)-N(H218))</f>
      </c>
      <c r="J218" s="213">
        <f>IF($K218="","",IF($K218&lt;=1500,IF(N(INDEX(采购进货!$H$4:$H$1503,$K218))&lt;&gt;0,"含赠品"&amp;INDEX(采购进货!$H$4:$H$1503,$K218)&amp;"件 ","")&amp;INDEX(采购进货!$I$4:$I$1503,$K218),INDEX(资金台帐!$E$7:$E$3006,$K218-1500)&amp;""))</f>
      </c>
      <c r="K218" s="78">
        <f>IFERROR(MATCH(SMALL(_辅助!$H$4:$H$4503,179),_辅助!$H$4:$H$4503,0),"")</f>
      </c>
    </row>
    <row r="219">
      <c r="A219" s="141">
        <f>IF($K219="","",180)</f>
      </c>
      <c r="B219" s="140">
        <f>IF($K219="","",IF($K219&lt;=1500,INDEX(采购进货!$B$4:$B$1503,$K219),INDEX(资金台帐!$B$7:$B$3006,$K219-1500)))</f>
      </c>
      <c r="C219" s="141">
        <f>IF($K219="","",IF($K219&lt;=1500,IF(N(INDEX(采购进货!$E$4:$E$1503,$K219))&lt;0,"退货","进货"),IF(INDEX(资金台帐!$S$7:$S$3006,$K219-1500)&lt;=0,"付款","退款")&amp;"（"&amp;INDEX(资金台帐!$C$7:$C$3006,$K219-1500)&amp;"）"))</f>
      </c>
      <c r="D219" s="141">
        <f>IF($K219="","",IF($K219&lt;=1500,INDEX(采购进货!$D$4:$D$1503,$K219)&amp;"",""))</f>
      </c>
      <c r="E219" s="148">
        <f>IF($K219="","",IF($K219&lt;=1500,N(INDEX(采购进货!$E$4:$E$1503,$K219))+N(INDEX(采购进货!$H$4:$H$1503,$K219)),""))</f>
      </c>
      <c r="F219" s="149">
        <f>IF($K219="","",IF($K219&lt;=1500,INDEX(采购进货!$F$4:$F$1503,$K219),""))</f>
      </c>
      <c r="G219" s="186">
        <f>IF($K219="","",IF($K219&lt;=1500,N(INDEX(采购进货!$G$4:$G$1503,$K219)),""))</f>
      </c>
      <c r="H219" s="186">
        <f>IF($K219="","",IF($K219&lt;=1500,"",-INDEX(资金台帐!$S$7:$S$3006,$K219-1500)))</f>
      </c>
      <c r="I219" s="187">
        <f>IF($K219="","",I218+N(G219)-N(H219))</f>
      </c>
      <c r="J219" s="213">
        <f>IF($K219="","",IF($K219&lt;=1500,IF(N(INDEX(采购进货!$H$4:$H$1503,$K219))&lt;&gt;0,"含赠品"&amp;INDEX(采购进货!$H$4:$H$1503,$K219)&amp;"件 ","")&amp;INDEX(采购进货!$I$4:$I$1503,$K219),INDEX(资金台帐!$E$7:$E$3006,$K219-1500)&amp;""))</f>
      </c>
      <c r="K219" s="78">
        <f>IFERROR(MATCH(SMALL(_辅助!$H$4:$H$4503,180),_辅助!$H$4:$H$4503,0),"")</f>
      </c>
    </row>
    <row r="220">
      <c r="A220" s="141">
        <f>IF($K220="","",181)</f>
      </c>
      <c r="B220" s="140">
        <f>IF($K220="","",IF($K220&lt;=1500,INDEX(采购进货!$B$4:$B$1503,$K220),INDEX(资金台帐!$B$7:$B$3006,$K220-1500)))</f>
      </c>
      <c r="C220" s="141">
        <f>IF($K220="","",IF($K220&lt;=1500,IF(N(INDEX(采购进货!$E$4:$E$1503,$K220))&lt;0,"退货","进货"),IF(INDEX(资金台帐!$S$7:$S$3006,$K220-1500)&lt;=0,"付款","退款")&amp;"（"&amp;INDEX(资金台帐!$C$7:$C$3006,$K220-1500)&amp;"）"))</f>
      </c>
      <c r="D220" s="141">
        <f>IF($K220="","",IF($K220&lt;=1500,INDEX(采购进货!$D$4:$D$1503,$K220)&amp;"",""))</f>
      </c>
      <c r="E220" s="148">
        <f>IF($K220="","",IF($K220&lt;=1500,N(INDEX(采购进货!$E$4:$E$1503,$K220))+N(INDEX(采购进货!$H$4:$H$1503,$K220)),""))</f>
      </c>
      <c r="F220" s="149">
        <f>IF($K220="","",IF($K220&lt;=1500,INDEX(采购进货!$F$4:$F$1503,$K220),""))</f>
      </c>
      <c r="G220" s="186">
        <f>IF($K220="","",IF($K220&lt;=1500,N(INDEX(采购进货!$G$4:$G$1503,$K220)),""))</f>
      </c>
      <c r="H220" s="186">
        <f>IF($K220="","",IF($K220&lt;=1500,"",-INDEX(资金台帐!$S$7:$S$3006,$K220-1500)))</f>
      </c>
      <c r="I220" s="187">
        <f>IF($K220="","",I219+N(G220)-N(H220))</f>
      </c>
      <c r="J220" s="213">
        <f>IF($K220="","",IF($K220&lt;=1500,IF(N(INDEX(采购进货!$H$4:$H$1503,$K220))&lt;&gt;0,"含赠品"&amp;INDEX(采购进货!$H$4:$H$1503,$K220)&amp;"件 ","")&amp;INDEX(采购进货!$I$4:$I$1503,$K220),INDEX(资金台帐!$E$7:$E$3006,$K220-1500)&amp;""))</f>
      </c>
      <c r="K220" s="78">
        <f>IFERROR(MATCH(SMALL(_辅助!$H$4:$H$4503,181),_辅助!$H$4:$H$4503,0),"")</f>
      </c>
    </row>
    <row r="221">
      <c r="A221" s="141">
        <f>IF($K221="","",182)</f>
      </c>
      <c r="B221" s="140">
        <f>IF($K221="","",IF($K221&lt;=1500,INDEX(采购进货!$B$4:$B$1503,$K221),INDEX(资金台帐!$B$7:$B$3006,$K221-1500)))</f>
      </c>
      <c r="C221" s="141">
        <f>IF($K221="","",IF($K221&lt;=1500,IF(N(INDEX(采购进货!$E$4:$E$1503,$K221))&lt;0,"退货","进货"),IF(INDEX(资金台帐!$S$7:$S$3006,$K221-1500)&lt;=0,"付款","退款")&amp;"（"&amp;INDEX(资金台帐!$C$7:$C$3006,$K221-1500)&amp;"）"))</f>
      </c>
      <c r="D221" s="141">
        <f>IF($K221="","",IF($K221&lt;=1500,INDEX(采购进货!$D$4:$D$1503,$K221)&amp;"",""))</f>
      </c>
      <c r="E221" s="148">
        <f>IF($K221="","",IF($K221&lt;=1500,N(INDEX(采购进货!$E$4:$E$1503,$K221))+N(INDEX(采购进货!$H$4:$H$1503,$K221)),""))</f>
      </c>
      <c r="F221" s="149">
        <f>IF($K221="","",IF($K221&lt;=1500,INDEX(采购进货!$F$4:$F$1503,$K221),""))</f>
      </c>
      <c r="G221" s="186">
        <f>IF($K221="","",IF($K221&lt;=1500,N(INDEX(采购进货!$G$4:$G$1503,$K221)),""))</f>
      </c>
      <c r="H221" s="186">
        <f>IF($K221="","",IF($K221&lt;=1500,"",-INDEX(资金台帐!$S$7:$S$3006,$K221-1500)))</f>
      </c>
      <c r="I221" s="187">
        <f>IF($K221="","",I220+N(G221)-N(H221))</f>
      </c>
      <c r="J221" s="213">
        <f>IF($K221="","",IF($K221&lt;=1500,IF(N(INDEX(采购进货!$H$4:$H$1503,$K221))&lt;&gt;0,"含赠品"&amp;INDEX(采购进货!$H$4:$H$1503,$K221)&amp;"件 ","")&amp;INDEX(采购进货!$I$4:$I$1503,$K221),INDEX(资金台帐!$E$7:$E$3006,$K221-1500)&amp;""))</f>
      </c>
      <c r="K221" s="78">
        <f>IFERROR(MATCH(SMALL(_辅助!$H$4:$H$4503,182),_辅助!$H$4:$H$4503,0),"")</f>
      </c>
    </row>
    <row r="222">
      <c r="A222" s="141">
        <f>IF($K222="","",183)</f>
      </c>
      <c r="B222" s="140">
        <f>IF($K222="","",IF($K222&lt;=1500,INDEX(采购进货!$B$4:$B$1503,$K222),INDEX(资金台帐!$B$7:$B$3006,$K222-1500)))</f>
      </c>
      <c r="C222" s="141">
        <f>IF($K222="","",IF($K222&lt;=1500,IF(N(INDEX(采购进货!$E$4:$E$1503,$K222))&lt;0,"退货","进货"),IF(INDEX(资金台帐!$S$7:$S$3006,$K222-1500)&lt;=0,"付款","退款")&amp;"（"&amp;INDEX(资金台帐!$C$7:$C$3006,$K222-1500)&amp;"）"))</f>
      </c>
      <c r="D222" s="141">
        <f>IF($K222="","",IF($K222&lt;=1500,INDEX(采购进货!$D$4:$D$1503,$K222)&amp;"",""))</f>
      </c>
      <c r="E222" s="148">
        <f>IF($K222="","",IF($K222&lt;=1500,N(INDEX(采购进货!$E$4:$E$1503,$K222))+N(INDEX(采购进货!$H$4:$H$1503,$K222)),""))</f>
      </c>
      <c r="F222" s="149">
        <f>IF($K222="","",IF($K222&lt;=1500,INDEX(采购进货!$F$4:$F$1503,$K222),""))</f>
      </c>
      <c r="G222" s="186">
        <f>IF($K222="","",IF($K222&lt;=1500,N(INDEX(采购进货!$G$4:$G$1503,$K222)),""))</f>
      </c>
      <c r="H222" s="186">
        <f>IF($K222="","",IF($K222&lt;=1500,"",-INDEX(资金台帐!$S$7:$S$3006,$K222-1500)))</f>
      </c>
      <c r="I222" s="187">
        <f>IF($K222="","",I221+N(G222)-N(H222))</f>
      </c>
      <c r="J222" s="213">
        <f>IF($K222="","",IF($K222&lt;=1500,IF(N(INDEX(采购进货!$H$4:$H$1503,$K222))&lt;&gt;0,"含赠品"&amp;INDEX(采购进货!$H$4:$H$1503,$K222)&amp;"件 ","")&amp;INDEX(采购进货!$I$4:$I$1503,$K222),INDEX(资金台帐!$E$7:$E$3006,$K222-1500)&amp;""))</f>
      </c>
      <c r="K222" s="78">
        <f>IFERROR(MATCH(SMALL(_辅助!$H$4:$H$4503,183),_辅助!$H$4:$H$4503,0),"")</f>
      </c>
    </row>
    <row r="223">
      <c r="A223" s="141">
        <f>IF($K223="","",184)</f>
      </c>
      <c r="B223" s="140">
        <f>IF($K223="","",IF($K223&lt;=1500,INDEX(采购进货!$B$4:$B$1503,$K223),INDEX(资金台帐!$B$7:$B$3006,$K223-1500)))</f>
      </c>
      <c r="C223" s="141">
        <f>IF($K223="","",IF($K223&lt;=1500,IF(N(INDEX(采购进货!$E$4:$E$1503,$K223))&lt;0,"退货","进货"),IF(INDEX(资金台帐!$S$7:$S$3006,$K223-1500)&lt;=0,"付款","退款")&amp;"（"&amp;INDEX(资金台帐!$C$7:$C$3006,$K223-1500)&amp;"）"))</f>
      </c>
      <c r="D223" s="141">
        <f>IF($K223="","",IF($K223&lt;=1500,INDEX(采购进货!$D$4:$D$1503,$K223)&amp;"",""))</f>
      </c>
      <c r="E223" s="148">
        <f>IF($K223="","",IF($K223&lt;=1500,N(INDEX(采购进货!$E$4:$E$1503,$K223))+N(INDEX(采购进货!$H$4:$H$1503,$K223)),""))</f>
      </c>
      <c r="F223" s="149">
        <f>IF($K223="","",IF($K223&lt;=1500,INDEX(采购进货!$F$4:$F$1503,$K223),""))</f>
      </c>
      <c r="G223" s="186">
        <f>IF($K223="","",IF($K223&lt;=1500,N(INDEX(采购进货!$G$4:$G$1503,$K223)),""))</f>
      </c>
      <c r="H223" s="186">
        <f>IF($K223="","",IF($K223&lt;=1500,"",-INDEX(资金台帐!$S$7:$S$3006,$K223-1500)))</f>
      </c>
      <c r="I223" s="187">
        <f>IF($K223="","",I222+N(G223)-N(H223))</f>
      </c>
      <c r="J223" s="213">
        <f>IF($K223="","",IF($K223&lt;=1500,IF(N(INDEX(采购进货!$H$4:$H$1503,$K223))&lt;&gt;0,"含赠品"&amp;INDEX(采购进货!$H$4:$H$1503,$K223)&amp;"件 ","")&amp;INDEX(采购进货!$I$4:$I$1503,$K223),INDEX(资金台帐!$E$7:$E$3006,$K223-1500)&amp;""))</f>
      </c>
      <c r="K223" s="78">
        <f>IFERROR(MATCH(SMALL(_辅助!$H$4:$H$4503,184),_辅助!$H$4:$H$4503,0),"")</f>
      </c>
    </row>
    <row r="224">
      <c r="A224" s="141">
        <f>IF($K224="","",185)</f>
      </c>
      <c r="B224" s="140">
        <f>IF($K224="","",IF($K224&lt;=1500,INDEX(采购进货!$B$4:$B$1503,$K224),INDEX(资金台帐!$B$7:$B$3006,$K224-1500)))</f>
      </c>
      <c r="C224" s="141">
        <f>IF($K224="","",IF($K224&lt;=1500,IF(N(INDEX(采购进货!$E$4:$E$1503,$K224))&lt;0,"退货","进货"),IF(INDEX(资金台帐!$S$7:$S$3006,$K224-1500)&lt;=0,"付款","退款")&amp;"（"&amp;INDEX(资金台帐!$C$7:$C$3006,$K224-1500)&amp;"）"))</f>
      </c>
      <c r="D224" s="141">
        <f>IF($K224="","",IF($K224&lt;=1500,INDEX(采购进货!$D$4:$D$1503,$K224)&amp;"",""))</f>
      </c>
      <c r="E224" s="148">
        <f>IF($K224="","",IF($K224&lt;=1500,N(INDEX(采购进货!$E$4:$E$1503,$K224))+N(INDEX(采购进货!$H$4:$H$1503,$K224)),""))</f>
      </c>
      <c r="F224" s="149">
        <f>IF($K224="","",IF($K224&lt;=1500,INDEX(采购进货!$F$4:$F$1503,$K224),""))</f>
      </c>
      <c r="G224" s="186">
        <f>IF($K224="","",IF($K224&lt;=1500,N(INDEX(采购进货!$G$4:$G$1503,$K224)),""))</f>
      </c>
      <c r="H224" s="186">
        <f>IF($K224="","",IF($K224&lt;=1500,"",-INDEX(资金台帐!$S$7:$S$3006,$K224-1500)))</f>
      </c>
      <c r="I224" s="187">
        <f>IF($K224="","",I223+N(G224)-N(H224))</f>
      </c>
      <c r="J224" s="213">
        <f>IF($K224="","",IF($K224&lt;=1500,IF(N(INDEX(采购进货!$H$4:$H$1503,$K224))&lt;&gt;0,"含赠品"&amp;INDEX(采购进货!$H$4:$H$1503,$K224)&amp;"件 ","")&amp;INDEX(采购进货!$I$4:$I$1503,$K224),INDEX(资金台帐!$E$7:$E$3006,$K224-1500)&amp;""))</f>
      </c>
      <c r="K224" s="78">
        <f>IFERROR(MATCH(SMALL(_辅助!$H$4:$H$4503,185),_辅助!$H$4:$H$4503,0),"")</f>
      </c>
    </row>
    <row r="225">
      <c r="A225" s="141">
        <f>IF($K225="","",186)</f>
      </c>
      <c r="B225" s="140">
        <f>IF($K225="","",IF($K225&lt;=1500,INDEX(采购进货!$B$4:$B$1503,$K225),INDEX(资金台帐!$B$7:$B$3006,$K225-1500)))</f>
      </c>
      <c r="C225" s="141">
        <f>IF($K225="","",IF($K225&lt;=1500,IF(N(INDEX(采购进货!$E$4:$E$1503,$K225))&lt;0,"退货","进货"),IF(INDEX(资金台帐!$S$7:$S$3006,$K225-1500)&lt;=0,"付款","退款")&amp;"（"&amp;INDEX(资金台帐!$C$7:$C$3006,$K225-1500)&amp;"）"))</f>
      </c>
      <c r="D225" s="141">
        <f>IF($K225="","",IF($K225&lt;=1500,INDEX(采购进货!$D$4:$D$1503,$K225)&amp;"",""))</f>
      </c>
      <c r="E225" s="148">
        <f>IF($K225="","",IF($K225&lt;=1500,N(INDEX(采购进货!$E$4:$E$1503,$K225))+N(INDEX(采购进货!$H$4:$H$1503,$K225)),""))</f>
      </c>
      <c r="F225" s="149">
        <f>IF($K225="","",IF($K225&lt;=1500,INDEX(采购进货!$F$4:$F$1503,$K225),""))</f>
      </c>
      <c r="G225" s="186">
        <f>IF($K225="","",IF($K225&lt;=1500,N(INDEX(采购进货!$G$4:$G$1503,$K225)),""))</f>
      </c>
      <c r="H225" s="186">
        <f>IF($K225="","",IF($K225&lt;=1500,"",-INDEX(资金台帐!$S$7:$S$3006,$K225-1500)))</f>
      </c>
      <c r="I225" s="187">
        <f>IF($K225="","",I224+N(G225)-N(H225))</f>
      </c>
      <c r="J225" s="213">
        <f>IF($K225="","",IF($K225&lt;=1500,IF(N(INDEX(采购进货!$H$4:$H$1503,$K225))&lt;&gt;0,"含赠品"&amp;INDEX(采购进货!$H$4:$H$1503,$K225)&amp;"件 ","")&amp;INDEX(采购进货!$I$4:$I$1503,$K225),INDEX(资金台帐!$E$7:$E$3006,$K225-1500)&amp;""))</f>
      </c>
      <c r="K225" s="78">
        <f>IFERROR(MATCH(SMALL(_辅助!$H$4:$H$4503,186),_辅助!$H$4:$H$4503,0),"")</f>
      </c>
    </row>
    <row r="226">
      <c r="A226" s="141">
        <f>IF($K226="","",187)</f>
      </c>
      <c r="B226" s="140">
        <f>IF($K226="","",IF($K226&lt;=1500,INDEX(采购进货!$B$4:$B$1503,$K226),INDEX(资金台帐!$B$7:$B$3006,$K226-1500)))</f>
      </c>
      <c r="C226" s="141">
        <f>IF($K226="","",IF($K226&lt;=1500,IF(N(INDEX(采购进货!$E$4:$E$1503,$K226))&lt;0,"退货","进货"),IF(INDEX(资金台帐!$S$7:$S$3006,$K226-1500)&lt;=0,"付款","退款")&amp;"（"&amp;INDEX(资金台帐!$C$7:$C$3006,$K226-1500)&amp;"）"))</f>
      </c>
      <c r="D226" s="141">
        <f>IF($K226="","",IF($K226&lt;=1500,INDEX(采购进货!$D$4:$D$1503,$K226)&amp;"",""))</f>
      </c>
      <c r="E226" s="148">
        <f>IF($K226="","",IF($K226&lt;=1500,N(INDEX(采购进货!$E$4:$E$1503,$K226))+N(INDEX(采购进货!$H$4:$H$1503,$K226)),""))</f>
      </c>
      <c r="F226" s="149">
        <f>IF($K226="","",IF($K226&lt;=1500,INDEX(采购进货!$F$4:$F$1503,$K226),""))</f>
      </c>
      <c r="G226" s="186">
        <f>IF($K226="","",IF($K226&lt;=1500,N(INDEX(采购进货!$G$4:$G$1503,$K226)),""))</f>
      </c>
      <c r="H226" s="186">
        <f>IF($K226="","",IF($K226&lt;=1500,"",-INDEX(资金台帐!$S$7:$S$3006,$K226-1500)))</f>
      </c>
      <c r="I226" s="187">
        <f>IF($K226="","",I225+N(G226)-N(H226))</f>
      </c>
      <c r="J226" s="213">
        <f>IF($K226="","",IF($K226&lt;=1500,IF(N(INDEX(采购进货!$H$4:$H$1503,$K226))&lt;&gt;0,"含赠品"&amp;INDEX(采购进货!$H$4:$H$1503,$K226)&amp;"件 ","")&amp;INDEX(采购进货!$I$4:$I$1503,$K226),INDEX(资金台帐!$E$7:$E$3006,$K226-1500)&amp;""))</f>
      </c>
      <c r="K226" s="78">
        <f>IFERROR(MATCH(SMALL(_辅助!$H$4:$H$4503,187),_辅助!$H$4:$H$4503,0),"")</f>
      </c>
    </row>
    <row r="227">
      <c r="A227" s="141">
        <f>IF($K227="","",188)</f>
      </c>
      <c r="B227" s="140">
        <f>IF($K227="","",IF($K227&lt;=1500,INDEX(采购进货!$B$4:$B$1503,$K227),INDEX(资金台帐!$B$7:$B$3006,$K227-1500)))</f>
      </c>
      <c r="C227" s="141">
        <f>IF($K227="","",IF($K227&lt;=1500,IF(N(INDEX(采购进货!$E$4:$E$1503,$K227))&lt;0,"退货","进货"),IF(INDEX(资金台帐!$S$7:$S$3006,$K227-1500)&lt;=0,"付款","退款")&amp;"（"&amp;INDEX(资金台帐!$C$7:$C$3006,$K227-1500)&amp;"）"))</f>
      </c>
      <c r="D227" s="141">
        <f>IF($K227="","",IF($K227&lt;=1500,INDEX(采购进货!$D$4:$D$1503,$K227)&amp;"",""))</f>
      </c>
      <c r="E227" s="148">
        <f>IF($K227="","",IF($K227&lt;=1500,N(INDEX(采购进货!$E$4:$E$1503,$K227))+N(INDEX(采购进货!$H$4:$H$1503,$K227)),""))</f>
      </c>
      <c r="F227" s="149">
        <f>IF($K227="","",IF($K227&lt;=1500,INDEX(采购进货!$F$4:$F$1503,$K227),""))</f>
      </c>
      <c r="G227" s="186">
        <f>IF($K227="","",IF($K227&lt;=1500,N(INDEX(采购进货!$G$4:$G$1503,$K227)),""))</f>
      </c>
      <c r="H227" s="186">
        <f>IF($K227="","",IF($K227&lt;=1500,"",-INDEX(资金台帐!$S$7:$S$3006,$K227-1500)))</f>
      </c>
      <c r="I227" s="187">
        <f>IF($K227="","",I226+N(G227)-N(H227))</f>
      </c>
      <c r="J227" s="213">
        <f>IF($K227="","",IF($K227&lt;=1500,IF(N(INDEX(采购进货!$H$4:$H$1503,$K227))&lt;&gt;0,"含赠品"&amp;INDEX(采购进货!$H$4:$H$1503,$K227)&amp;"件 ","")&amp;INDEX(采购进货!$I$4:$I$1503,$K227),INDEX(资金台帐!$E$7:$E$3006,$K227-1500)&amp;""))</f>
      </c>
      <c r="K227" s="78">
        <f>IFERROR(MATCH(SMALL(_辅助!$H$4:$H$4503,188),_辅助!$H$4:$H$4503,0),"")</f>
      </c>
    </row>
    <row r="228">
      <c r="A228" s="141">
        <f>IF($K228="","",189)</f>
      </c>
      <c r="B228" s="140">
        <f>IF($K228="","",IF($K228&lt;=1500,INDEX(采购进货!$B$4:$B$1503,$K228),INDEX(资金台帐!$B$7:$B$3006,$K228-1500)))</f>
      </c>
      <c r="C228" s="141">
        <f>IF($K228="","",IF($K228&lt;=1500,IF(N(INDEX(采购进货!$E$4:$E$1503,$K228))&lt;0,"退货","进货"),IF(INDEX(资金台帐!$S$7:$S$3006,$K228-1500)&lt;=0,"付款","退款")&amp;"（"&amp;INDEX(资金台帐!$C$7:$C$3006,$K228-1500)&amp;"）"))</f>
      </c>
      <c r="D228" s="141">
        <f>IF($K228="","",IF($K228&lt;=1500,INDEX(采购进货!$D$4:$D$1503,$K228)&amp;"",""))</f>
      </c>
      <c r="E228" s="148">
        <f>IF($K228="","",IF($K228&lt;=1500,N(INDEX(采购进货!$E$4:$E$1503,$K228))+N(INDEX(采购进货!$H$4:$H$1503,$K228)),""))</f>
      </c>
      <c r="F228" s="149">
        <f>IF($K228="","",IF($K228&lt;=1500,INDEX(采购进货!$F$4:$F$1503,$K228),""))</f>
      </c>
      <c r="G228" s="186">
        <f>IF($K228="","",IF($K228&lt;=1500,N(INDEX(采购进货!$G$4:$G$1503,$K228)),""))</f>
      </c>
      <c r="H228" s="186">
        <f>IF($K228="","",IF($K228&lt;=1500,"",-INDEX(资金台帐!$S$7:$S$3006,$K228-1500)))</f>
      </c>
      <c r="I228" s="187">
        <f>IF($K228="","",I227+N(G228)-N(H228))</f>
      </c>
      <c r="J228" s="213">
        <f>IF($K228="","",IF($K228&lt;=1500,IF(N(INDEX(采购进货!$H$4:$H$1503,$K228))&lt;&gt;0,"含赠品"&amp;INDEX(采购进货!$H$4:$H$1503,$K228)&amp;"件 ","")&amp;INDEX(采购进货!$I$4:$I$1503,$K228),INDEX(资金台帐!$E$7:$E$3006,$K228-1500)&amp;""))</f>
      </c>
      <c r="K228" s="78">
        <f>IFERROR(MATCH(SMALL(_辅助!$H$4:$H$4503,189),_辅助!$H$4:$H$4503,0),"")</f>
      </c>
    </row>
    <row r="229">
      <c r="A229" s="141">
        <f>IF($K229="","",190)</f>
      </c>
      <c r="B229" s="140">
        <f>IF($K229="","",IF($K229&lt;=1500,INDEX(采购进货!$B$4:$B$1503,$K229),INDEX(资金台帐!$B$7:$B$3006,$K229-1500)))</f>
      </c>
      <c r="C229" s="141">
        <f>IF($K229="","",IF($K229&lt;=1500,IF(N(INDEX(采购进货!$E$4:$E$1503,$K229))&lt;0,"退货","进货"),IF(INDEX(资金台帐!$S$7:$S$3006,$K229-1500)&lt;=0,"付款","退款")&amp;"（"&amp;INDEX(资金台帐!$C$7:$C$3006,$K229-1500)&amp;"）"))</f>
      </c>
      <c r="D229" s="141">
        <f>IF($K229="","",IF($K229&lt;=1500,INDEX(采购进货!$D$4:$D$1503,$K229)&amp;"",""))</f>
      </c>
      <c r="E229" s="148">
        <f>IF($K229="","",IF($K229&lt;=1500,N(INDEX(采购进货!$E$4:$E$1503,$K229))+N(INDEX(采购进货!$H$4:$H$1503,$K229)),""))</f>
      </c>
      <c r="F229" s="149">
        <f>IF($K229="","",IF($K229&lt;=1500,INDEX(采购进货!$F$4:$F$1503,$K229),""))</f>
      </c>
      <c r="G229" s="186">
        <f>IF($K229="","",IF($K229&lt;=1500,N(INDEX(采购进货!$G$4:$G$1503,$K229)),""))</f>
      </c>
      <c r="H229" s="186">
        <f>IF($K229="","",IF($K229&lt;=1500,"",-INDEX(资金台帐!$S$7:$S$3006,$K229-1500)))</f>
      </c>
      <c r="I229" s="187">
        <f>IF($K229="","",I228+N(G229)-N(H229))</f>
      </c>
      <c r="J229" s="213">
        <f>IF($K229="","",IF($K229&lt;=1500,IF(N(INDEX(采购进货!$H$4:$H$1503,$K229))&lt;&gt;0,"含赠品"&amp;INDEX(采购进货!$H$4:$H$1503,$K229)&amp;"件 ","")&amp;INDEX(采购进货!$I$4:$I$1503,$K229),INDEX(资金台帐!$E$7:$E$3006,$K229-1500)&amp;""))</f>
      </c>
      <c r="K229" s="78">
        <f>IFERROR(MATCH(SMALL(_辅助!$H$4:$H$4503,190),_辅助!$H$4:$H$4503,0),"")</f>
      </c>
    </row>
    <row r="230">
      <c r="A230" s="141">
        <f>IF($K230="","",191)</f>
      </c>
      <c r="B230" s="140">
        <f>IF($K230="","",IF($K230&lt;=1500,INDEX(采购进货!$B$4:$B$1503,$K230),INDEX(资金台帐!$B$7:$B$3006,$K230-1500)))</f>
      </c>
      <c r="C230" s="141">
        <f>IF($K230="","",IF($K230&lt;=1500,IF(N(INDEX(采购进货!$E$4:$E$1503,$K230))&lt;0,"退货","进货"),IF(INDEX(资金台帐!$S$7:$S$3006,$K230-1500)&lt;=0,"付款","退款")&amp;"（"&amp;INDEX(资金台帐!$C$7:$C$3006,$K230-1500)&amp;"）"))</f>
      </c>
      <c r="D230" s="141">
        <f>IF($K230="","",IF($K230&lt;=1500,INDEX(采购进货!$D$4:$D$1503,$K230)&amp;"",""))</f>
      </c>
      <c r="E230" s="148">
        <f>IF($K230="","",IF($K230&lt;=1500,N(INDEX(采购进货!$E$4:$E$1503,$K230))+N(INDEX(采购进货!$H$4:$H$1503,$K230)),""))</f>
      </c>
      <c r="F230" s="149">
        <f>IF($K230="","",IF($K230&lt;=1500,INDEX(采购进货!$F$4:$F$1503,$K230),""))</f>
      </c>
      <c r="G230" s="186">
        <f>IF($K230="","",IF($K230&lt;=1500,N(INDEX(采购进货!$G$4:$G$1503,$K230)),""))</f>
      </c>
      <c r="H230" s="186">
        <f>IF($K230="","",IF($K230&lt;=1500,"",-INDEX(资金台帐!$S$7:$S$3006,$K230-1500)))</f>
      </c>
      <c r="I230" s="187">
        <f>IF($K230="","",I229+N(G230)-N(H230))</f>
      </c>
      <c r="J230" s="213">
        <f>IF($K230="","",IF($K230&lt;=1500,IF(N(INDEX(采购进货!$H$4:$H$1503,$K230))&lt;&gt;0,"含赠品"&amp;INDEX(采购进货!$H$4:$H$1503,$K230)&amp;"件 ","")&amp;INDEX(采购进货!$I$4:$I$1503,$K230),INDEX(资金台帐!$E$7:$E$3006,$K230-1500)&amp;""))</f>
      </c>
      <c r="K230" s="78">
        <f>IFERROR(MATCH(SMALL(_辅助!$H$4:$H$4503,191),_辅助!$H$4:$H$4503,0),"")</f>
      </c>
    </row>
    <row r="231">
      <c r="A231" s="141">
        <f>IF($K231="","",192)</f>
      </c>
      <c r="B231" s="140">
        <f>IF($K231="","",IF($K231&lt;=1500,INDEX(采购进货!$B$4:$B$1503,$K231),INDEX(资金台帐!$B$7:$B$3006,$K231-1500)))</f>
      </c>
      <c r="C231" s="141">
        <f>IF($K231="","",IF($K231&lt;=1500,IF(N(INDEX(采购进货!$E$4:$E$1503,$K231))&lt;0,"退货","进货"),IF(INDEX(资金台帐!$S$7:$S$3006,$K231-1500)&lt;=0,"付款","退款")&amp;"（"&amp;INDEX(资金台帐!$C$7:$C$3006,$K231-1500)&amp;"）"))</f>
      </c>
      <c r="D231" s="141">
        <f>IF($K231="","",IF($K231&lt;=1500,INDEX(采购进货!$D$4:$D$1503,$K231)&amp;"",""))</f>
      </c>
      <c r="E231" s="148">
        <f>IF($K231="","",IF($K231&lt;=1500,N(INDEX(采购进货!$E$4:$E$1503,$K231))+N(INDEX(采购进货!$H$4:$H$1503,$K231)),""))</f>
      </c>
      <c r="F231" s="149">
        <f>IF($K231="","",IF($K231&lt;=1500,INDEX(采购进货!$F$4:$F$1503,$K231),""))</f>
      </c>
      <c r="G231" s="186">
        <f>IF($K231="","",IF($K231&lt;=1500,N(INDEX(采购进货!$G$4:$G$1503,$K231)),""))</f>
      </c>
      <c r="H231" s="186">
        <f>IF($K231="","",IF($K231&lt;=1500,"",-INDEX(资金台帐!$S$7:$S$3006,$K231-1500)))</f>
      </c>
      <c r="I231" s="187">
        <f>IF($K231="","",I230+N(G231)-N(H231))</f>
      </c>
      <c r="J231" s="213">
        <f>IF($K231="","",IF($K231&lt;=1500,IF(N(INDEX(采购进货!$H$4:$H$1503,$K231))&lt;&gt;0,"含赠品"&amp;INDEX(采购进货!$H$4:$H$1503,$K231)&amp;"件 ","")&amp;INDEX(采购进货!$I$4:$I$1503,$K231),INDEX(资金台帐!$E$7:$E$3006,$K231-1500)&amp;""))</f>
      </c>
      <c r="K231" s="78">
        <f>IFERROR(MATCH(SMALL(_辅助!$H$4:$H$4503,192),_辅助!$H$4:$H$4503,0),"")</f>
      </c>
    </row>
    <row r="232">
      <c r="A232" s="141">
        <f>IF($K232="","",193)</f>
      </c>
      <c r="B232" s="140">
        <f>IF($K232="","",IF($K232&lt;=1500,INDEX(采购进货!$B$4:$B$1503,$K232),INDEX(资金台帐!$B$7:$B$3006,$K232-1500)))</f>
      </c>
      <c r="C232" s="141">
        <f>IF($K232="","",IF($K232&lt;=1500,IF(N(INDEX(采购进货!$E$4:$E$1503,$K232))&lt;0,"退货","进货"),IF(INDEX(资金台帐!$S$7:$S$3006,$K232-1500)&lt;=0,"付款","退款")&amp;"（"&amp;INDEX(资金台帐!$C$7:$C$3006,$K232-1500)&amp;"）"))</f>
      </c>
      <c r="D232" s="141">
        <f>IF($K232="","",IF($K232&lt;=1500,INDEX(采购进货!$D$4:$D$1503,$K232)&amp;"",""))</f>
      </c>
      <c r="E232" s="148">
        <f>IF($K232="","",IF($K232&lt;=1500,N(INDEX(采购进货!$E$4:$E$1503,$K232))+N(INDEX(采购进货!$H$4:$H$1503,$K232)),""))</f>
      </c>
      <c r="F232" s="149">
        <f>IF($K232="","",IF($K232&lt;=1500,INDEX(采购进货!$F$4:$F$1503,$K232),""))</f>
      </c>
      <c r="G232" s="186">
        <f>IF($K232="","",IF($K232&lt;=1500,N(INDEX(采购进货!$G$4:$G$1503,$K232)),""))</f>
      </c>
      <c r="H232" s="186">
        <f>IF($K232="","",IF($K232&lt;=1500,"",-INDEX(资金台帐!$S$7:$S$3006,$K232-1500)))</f>
      </c>
      <c r="I232" s="187">
        <f>IF($K232="","",I231+N(G232)-N(H232))</f>
      </c>
      <c r="J232" s="213">
        <f>IF($K232="","",IF($K232&lt;=1500,IF(N(INDEX(采购进货!$H$4:$H$1503,$K232))&lt;&gt;0,"含赠品"&amp;INDEX(采购进货!$H$4:$H$1503,$K232)&amp;"件 ","")&amp;INDEX(采购进货!$I$4:$I$1503,$K232),INDEX(资金台帐!$E$7:$E$3006,$K232-1500)&amp;""))</f>
      </c>
      <c r="K232" s="78">
        <f>IFERROR(MATCH(SMALL(_辅助!$H$4:$H$4503,193),_辅助!$H$4:$H$4503,0),"")</f>
      </c>
    </row>
    <row r="233">
      <c r="A233" s="141">
        <f>IF($K233="","",194)</f>
      </c>
      <c r="B233" s="140">
        <f>IF($K233="","",IF($K233&lt;=1500,INDEX(采购进货!$B$4:$B$1503,$K233),INDEX(资金台帐!$B$7:$B$3006,$K233-1500)))</f>
      </c>
      <c r="C233" s="141">
        <f>IF($K233="","",IF($K233&lt;=1500,IF(N(INDEX(采购进货!$E$4:$E$1503,$K233))&lt;0,"退货","进货"),IF(INDEX(资金台帐!$S$7:$S$3006,$K233-1500)&lt;=0,"付款","退款")&amp;"（"&amp;INDEX(资金台帐!$C$7:$C$3006,$K233-1500)&amp;"）"))</f>
      </c>
      <c r="D233" s="141">
        <f>IF($K233="","",IF($K233&lt;=1500,INDEX(采购进货!$D$4:$D$1503,$K233)&amp;"",""))</f>
      </c>
      <c r="E233" s="148">
        <f>IF($K233="","",IF($K233&lt;=1500,N(INDEX(采购进货!$E$4:$E$1503,$K233))+N(INDEX(采购进货!$H$4:$H$1503,$K233)),""))</f>
      </c>
      <c r="F233" s="149">
        <f>IF($K233="","",IF($K233&lt;=1500,INDEX(采购进货!$F$4:$F$1503,$K233),""))</f>
      </c>
      <c r="G233" s="186">
        <f>IF($K233="","",IF($K233&lt;=1500,N(INDEX(采购进货!$G$4:$G$1503,$K233)),""))</f>
      </c>
      <c r="H233" s="186">
        <f>IF($K233="","",IF($K233&lt;=1500,"",-INDEX(资金台帐!$S$7:$S$3006,$K233-1500)))</f>
      </c>
      <c r="I233" s="187">
        <f>IF($K233="","",I232+N(G233)-N(H233))</f>
      </c>
      <c r="J233" s="213">
        <f>IF($K233="","",IF($K233&lt;=1500,IF(N(INDEX(采购进货!$H$4:$H$1503,$K233))&lt;&gt;0,"含赠品"&amp;INDEX(采购进货!$H$4:$H$1503,$K233)&amp;"件 ","")&amp;INDEX(采购进货!$I$4:$I$1503,$K233),INDEX(资金台帐!$E$7:$E$3006,$K233-1500)&amp;""))</f>
      </c>
      <c r="K233" s="78">
        <f>IFERROR(MATCH(SMALL(_辅助!$H$4:$H$4503,194),_辅助!$H$4:$H$4503,0),"")</f>
      </c>
    </row>
    <row r="234">
      <c r="A234" s="141">
        <f>IF($K234="","",195)</f>
      </c>
      <c r="B234" s="140">
        <f>IF($K234="","",IF($K234&lt;=1500,INDEX(采购进货!$B$4:$B$1503,$K234),INDEX(资金台帐!$B$7:$B$3006,$K234-1500)))</f>
      </c>
      <c r="C234" s="141">
        <f>IF($K234="","",IF($K234&lt;=1500,IF(N(INDEX(采购进货!$E$4:$E$1503,$K234))&lt;0,"退货","进货"),IF(INDEX(资金台帐!$S$7:$S$3006,$K234-1500)&lt;=0,"付款","退款")&amp;"（"&amp;INDEX(资金台帐!$C$7:$C$3006,$K234-1500)&amp;"）"))</f>
      </c>
      <c r="D234" s="141">
        <f>IF($K234="","",IF($K234&lt;=1500,INDEX(采购进货!$D$4:$D$1503,$K234)&amp;"",""))</f>
      </c>
      <c r="E234" s="148">
        <f>IF($K234="","",IF($K234&lt;=1500,N(INDEX(采购进货!$E$4:$E$1503,$K234))+N(INDEX(采购进货!$H$4:$H$1503,$K234)),""))</f>
      </c>
      <c r="F234" s="149">
        <f>IF($K234="","",IF($K234&lt;=1500,INDEX(采购进货!$F$4:$F$1503,$K234),""))</f>
      </c>
      <c r="G234" s="186">
        <f>IF($K234="","",IF($K234&lt;=1500,N(INDEX(采购进货!$G$4:$G$1503,$K234)),""))</f>
      </c>
      <c r="H234" s="186">
        <f>IF($K234="","",IF($K234&lt;=1500,"",-INDEX(资金台帐!$S$7:$S$3006,$K234-1500)))</f>
      </c>
      <c r="I234" s="187">
        <f>IF($K234="","",I233+N(G234)-N(H234))</f>
      </c>
      <c r="J234" s="213">
        <f>IF($K234="","",IF($K234&lt;=1500,IF(N(INDEX(采购进货!$H$4:$H$1503,$K234))&lt;&gt;0,"含赠品"&amp;INDEX(采购进货!$H$4:$H$1503,$K234)&amp;"件 ","")&amp;INDEX(采购进货!$I$4:$I$1503,$K234),INDEX(资金台帐!$E$7:$E$3006,$K234-1500)&amp;""))</f>
      </c>
      <c r="K234" s="78">
        <f>IFERROR(MATCH(SMALL(_辅助!$H$4:$H$4503,195),_辅助!$H$4:$H$4503,0),"")</f>
      </c>
    </row>
    <row r="235">
      <c r="A235" s="141">
        <f>IF($K235="","",196)</f>
      </c>
      <c r="B235" s="140">
        <f>IF($K235="","",IF($K235&lt;=1500,INDEX(采购进货!$B$4:$B$1503,$K235),INDEX(资金台帐!$B$7:$B$3006,$K235-1500)))</f>
      </c>
      <c r="C235" s="141">
        <f>IF($K235="","",IF($K235&lt;=1500,IF(N(INDEX(采购进货!$E$4:$E$1503,$K235))&lt;0,"退货","进货"),IF(INDEX(资金台帐!$S$7:$S$3006,$K235-1500)&lt;=0,"付款","退款")&amp;"（"&amp;INDEX(资金台帐!$C$7:$C$3006,$K235-1500)&amp;"）"))</f>
      </c>
      <c r="D235" s="141">
        <f>IF($K235="","",IF($K235&lt;=1500,INDEX(采购进货!$D$4:$D$1503,$K235)&amp;"",""))</f>
      </c>
      <c r="E235" s="148">
        <f>IF($K235="","",IF($K235&lt;=1500,N(INDEX(采购进货!$E$4:$E$1503,$K235))+N(INDEX(采购进货!$H$4:$H$1503,$K235)),""))</f>
      </c>
      <c r="F235" s="149">
        <f>IF($K235="","",IF($K235&lt;=1500,INDEX(采购进货!$F$4:$F$1503,$K235),""))</f>
      </c>
      <c r="G235" s="186">
        <f>IF($K235="","",IF($K235&lt;=1500,N(INDEX(采购进货!$G$4:$G$1503,$K235)),""))</f>
      </c>
      <c r="H235" s="186">
        <f>IF($K235="","",IF($K235&lt;=1500,"",-INDEX(资金台帐!$S$7:$S$3006,$K235-1500)))</f>
      </c>
      <c r="I235" s="187">
        <f>IF($K235="","",I234+N(G235)-N(H235))</f>
      </c>
      <c r="J235" s="213">
        <f>IF($K235="","",IF($K235&lt;=1500,IF(N(INDEX(采购进货!$H$4:$H$1503,$K235))&lt;&gt;0,"含赠品"&amp;INDEX(采购进货!$H$4:$H$1503,$K235)&amp;"件 ","")&amp;INDEX(采购进货!$I$4:$I$1503,$K235),INDEX(资金台帐!$E$7:$E$3006,$K235-1500)&amp;""))</f>
      </c>
      <c r="K235" s="78">
        <f>IFERROR(MATCH(SMALL(_辅助!$H$4:$H$4503,196),_辅助!$H$4:$H$4503,0),"")</f>
      </c>
    </row>
    <row r="236">
      <c r="A236" s="141">
        <f>IF($K236="","",197)</f>
      </c>
      <c r="B236" s="140">
        <f>IF($K236="","",IF($K236&lt;=1500,INDEX(采购进货!$B$4:$B$1503,$K236),INDEX(资金台帐!$B$7:$B$3006,$K236-1500)))</f>
      </c>
      <c r="C236" s="141">
        <f>IF($K236="","",IF($K236&lt;=1500,IF(N(INDEX(采购进货!$E$4:$E$1503,$K236))&lt;0,"退货","进货"),IF(INDEX(资金台帐!$S$7:$S$3006,$K236-1500)&lt;=0,"付款","退款")&amp;"（"&amp;INDEX(资金台帐!$C$7:$C$3006,$K236-1500)&amp;"）"))</f>
      </c>
      <c r="D236" s="141">
        <f>IF($K236="","",IF($K236&lt;=1500,INDEX(采购进货!$D$4:$D$1503,$K236)&amp;"",""))</f>
      </c>
      <c r="E236" s="148">
        <f>IF($K236="","",IF($K236&lt;=1500,N(INDEX(采购进货!$E$4:$E$1503,$K236))+N(INDEX(采购进货!$H$4:$H$1503,$K236)),""))</f>
      </c>
      <c r="F236" s="149">
        <f>IF($K236="","",IF($K236&lt;=1500,INDEX(采购进货!$F$4:$F$1503,$K236),""))</f>
      </c>
      <c r="G236" s="186">
        <f>IF($K236="","",IF($K236&lt;=1500,N(INDEX(采购进货!$G$4:$G$1503,$K236)),""))</f>
      </c>
      <c r="H236" s="186">
        <f>IF($K236="","",IF($K236&lt;=1500,"",-INDEX(资金台帐!$S$7:$S$3006,$K236-1500)))</f>
      </c>
      <c r="I236" s="187">
        <f>IF($K236="","",I235+N(G236)-N(H236))</f>
      </c>
      <c r="J236" s="213">
        <f>IF($K236="","",IF($K236&lt;=1500,IF(N(INDEX(采购进货!$H$4:$H$1503,$K236))&lt;&gt;0,"含赠品"&amp;INDEX(采购进货!$H$4:$H$1503,$K236)&amp;"件 ","")&amp;INDEX(采购进货!$I$4:$I$1503,$K236),INDEX(资金台帐!$E$7:$E$3006,$K236-1500)&amp;""))</f>
      </c>
      <c r="K236" s="78">
        <f>IFERROR(MATCH(SMALL(_辅助!$H$4:$H$4503,197),_辅助!$H$4:$H$4503,0),"")</f>
      </c>
    </row>
    <row r="237">
      <c r="A237" s="141">
        <f>IF($K237="","",198)</f>
      </c>
      <c r="B237" s="140">
        <f>IF($K237="","",IF($K237&lt;=1500,INDEX(采购进货!$B$4:$B$1503,$K237),INDEX(资金台帐!$B$7:$B$3006,$K237-1500)))</f>
      </c>
      <c r="C237" s="141">
        <f>IF($K237="","",IF($K237&lt;=1500,IF(N(INDEX(采购进货!$E$4:$E$1503,$K237))&lt;0,"退货","进货"),IF(INDEX(资金台帐!$S$7:$S$3006,$K237-1500)&lt;=0,"付款","退款")&amp;"（"&amp;INDEX(资金台帐!$C$7:$C$3006,$K237-1500)&amp;"）"))</f>
      </c>
      <c r="D237" s="141">
        <f>IF($K237="","",IF($K237&lt;=1500,INDEX(采购进货!$D$4:$D$1503,$K237)&amp;"",""))</f>
      </c>
      <c r="E237" s="148">
        <f>IF($K237="","",IF($K237&lt;=1500,N(INDEX(采购进货!$E$4:$E$1503,$K237))+N(INDEX(采购进货!$H$4:$H$1503,$K237)),""))</f>
      </c>
      <c r="F237" s="149">
        <f>IF($K237="","",IF($K237&lt;=1500,INDEX(采购进货!$F$4:$F$1503,$K237),""))</f>
      </c>
      <c r="G237" s="186">
        <f>IF($K237="","",IF($K237&lt;=1500,N(INDEX(采购进货!$G$4:$G$1503,$K237)),""))</f>
      </c>
      <c r="H237" s="186">
        <f>IF($K237="","",IF($K237&lt;=1500,"",-INDEX(资金台帐!$S$7:$S$3006,$K237-1500)))</f>
      </c>
      <c r="I237" s="187">
        <f>IF($K237="","",I236+N(G237)-N(H237))</f>
      </c>
      <c r="J237" s="213">
        <f>IF($K237="","",IF($K237&lt;=1500,IF(N(INDEX(采购进货!$H$4:$H$1503,$K237))&lt;&gt;0,"含赠品"&amp;INDEX(采购进货!$H$4:$H$1503,$K237)&amp;"件 ","")&amp;INDEX(采购进货!$I$4:$I$1503,$K237),INDEX(资金台帐!$E$7:$E$3006,$K237-1500)&amp;""))</f>
      </c>
      <c r="K237" s="78">
        <f>IFERROR(MATCH(SMALL(_辅助!$H$4:$H$4503,198),_辅助!$H$4:$H$4503,0),"")</f>
      </c>
    </row>
    <row r="238">
      <c r="A238" s="141">
        <f>IF($K238="","",199)</f>
      </c>
      <c r="B238" s="140">
        <f>IF($K238="","",IF($K238&lt;=1500,INDEX(采购进货!$B$4:$B$1503,$K238),INDEX(资金台帐!$B$7:$B$3006,$K238-1500)))</f>
      </c>
      <c r="C238" s="141">
        <f>IF($K238="","",IF($K238&lt;=1500,IF(N(INDEX(采购进货!$E$4:$E$1503,$K238))&lt;0,"退货","进货"),IF(INDEX(资金台帐!$S$7:$S$3006,$K238-1500)&lt;=0,"付款","退款")&amp;"（"&amp;INDEX(资金台帐!$C$7:$C$3006,$K238-1500)&amp;"）"))</f>
      </c>
      <c r="D238" s="141">
        <f>IF($K238="","",IF($K238&lt;=1500,INDEX(采购进货!$D$4:$D$1503,$K238)&amp;"",""))</f>
      </c>
      <c r="E238" s="148">
        <f>IF($K238="","",IF($K238&lt;=1500,N(INDEX(采购进货!$E$4:$E$1503,$K238))+N(INDEX(采购进货!$H$4:$H$1503,$K238)),""))</f>
      </c>
      <c r="F238" s="149">
        <f>IF($K238="","",IF($K238&lt;=1500,INDEX(采购进货!$F$4:$F$1503,$K238),""))</f>
      </c>
      <c r="G238" s="186">
        <f>IF($K238="","",IF($K238&lt;=1500,N(INDEX(采购进货!$G$4:$G$1503,$K238)),""))</f>
      </c>
      <c r="H238" s="186">
        <f>IF($K238="","",IF($K238&lt;=1500,"",-INDEX(资金台帐!$S$7:$S$3006,$K238-1500)))</f>
      </c>
      <c r="I238" s="187">
        <f>IF($K238="","",I237+N(G238)-N(H238))</f>
      </c>
      <c r="J238" s="213">
        <f>IF($K238="","",IF($K238&lt;=1500,IF(N(INDEX(采购进货!$H$4:$H$1503,$K238))&lt;&gt;0,"含赠品"&amp;INDEX(采购进货!$H$4:$H$1503,$K238)&amp;"件 ","")&amp;INDEX(采购进货!$I$4:$I$1503,$K238),INDEX(资金台帐!$E$7:$E$3006,$K238-1500)&amp;""))</f>
      </c>
      <c r="K238" s="78">
        <f>IFERROR(MATCH(SMALL(_辅助!$H$4:$H$4503,199),_辅助!$H$4:$H$4503,0),"")</f>
      </c>
    </row>
    <row r="239">
      <c r="A239" s="141">
        <f>IF($K239="","",200)</f>
      </c>
      <c r="B239" s="140">
        <f>IF($K239="","",IF($K239&lt;=1500,INDEX(采购进货!$B$4:$B$1503,$K239),INDEX(资金台帐!$B$7:$B$3006,$K239-1500)))</f>
      </c>
      <c r="C239" s="141">
        <f>IF($K239="","",IF($K239&lt;=1500,IF(N(INDEX(采购进货!$E$4:$E$1503,$K239))&lt;0,"退货","进货"),IF(INDEX(资金台帐!$S$7:$S$3006,$K239-1500)&lt;=0,"付款","退款")&amp;"（"&amp;INDEX(资金台帐!$C$7:$C$3006,$K239-1500)&amp;"）"))</f>
      </c>
      <c r="D239" s="141">
        <f>IF($K239="","",IF($K239&lt;=1500,INDEX(采购进货!$D$4:$D$1503,$K239)&amp;"",""))</f>
      </c>
      <c r="E239" s="148">
        <f>IF($K239="","",IF($K239&lt;=1500,N(INDEX(采购进货!$E$4:$E$1503,$K239))+N(INDEX(采购进货!$H$4:$H$1503,$K239)),""))</f>
      </c>
      <c r="F239" s="149">
        <f>IF($K239="","",IF($K239&lt;=1500,INDEX(采购进货!$F$4:$F$1503,$K239),""))</f>
      </c>
      <c r="G239" s="186">
        <f>IF($K239="","",IF($K239&lt;=1500,N(INDEX(采购进货!$G$4:$G$1503,$K239)),""))</f>
      </c>
      <c r="H239" s="186">
        <f>IF($K239="","",IF($K239&lt;=1500,"",-INDEX(资金台帐!$S$7:$S$3006,$K239-1500)))</f>
      </c>
      <c r="I239" s="187">
        <f>IF($K239="","",I238+N(G239)-N(H239))</f>
      </c>
      <c r="J239" s="213">
        <f>IF($K239="","",IF($K239&lt;=1500,IF(N(INDEX(采购进货!$H$4:$H$1503,$K239))&lt;&gt;0,"含赠品"&amp;INDEX(采购进货!$H$4:$H$1503,$K239)&amp;"件 ","")&amp;INDEX(采购进货!$I$4:$I$1503,$K239),INDEX(资金台帐!$E$7:$E$3006,$K239-1500)&amp;""))</f>
      </c>
      <c r="K239" s="78">
        <f>IFERROR(MATCH(SMALL(_辅助!$H$4:$H$4503,200),_辅助!$H$4:$H$4503,0),"")</f>
      </c>
    </row>
    <row r="240">
      <c r="A240" s="141">
        <f>IF($K240="","",201)</f>
      </c>
      <c r="B240" s="140">
        <f>IF($K240="","",IF($K240&lt;=1500,INDEX(采购进货!$B$4:$B$1503,$K240),INDEX(资金台帐!$B$7:$B$3006,$K240-1500)))</f>
      </c>
      <c r="C240" s="141">
        <f>IF($K240="","",IF($K240&lt;=1500,IF(N(INDEX(采购进货!$E$4:$E$1503,$K240))&lt;0,"退货","进货"),IF(INDEX(资金台帐!$S$7:$S$3006,$K240-1500)&lt;=0,"付款","退款")&amp;"（"&amp;INDEX(资金台帐!$C$7:$C$3006,$K240-1500)&amp;"）"))</f>
      </c>
      <c r="D240" s="141">
        <f>IF($K240="","",IF($K240&lt;=1500,INDEX(采购进货!$D$4:$D$1503,$K240)&amp;"",""))</f>
      </c>
      <c r="E240" s="148">
        <f>IF($K240="","",IF($K240&lt;=1500,N(INDEX(采购进货!$E$4:$E$1503,$K240))+N(INDEX(采购进货!$H$4:$H$1503,$K240)),""))</f>
      </c>
      <c r="F240" s="149">
        <f>IF($K240="","",IF($K240&lt;=1500,INDEX(采购进货!$F$4:$F$1503,$K240),""))</f>
      </c>
      <c r="G240" s="186">
        <f>IF($K240="","",IF($K240&lt;=1500,N(INDEX(采购进货!$G$4:$G$1503,$K240)),""))</f>
      </c>
      <c r="H240" s="186">
        <f>IF($K240="","",IF($K240&lt;=1500,"",-INDEX(资金台帐!$S$7:$S$3006,$K240-1500)))</f>
      </c>
      <c r="I240" s="187">
        <f>IF($K240="","",I239+N(G240)-N(H240))</f>
      </c>
      <c r="J240" s="213">
        <f>IF($K240="","",IF($K240&lt;=1500,IF(N(INDEX(采购进货!$H$4:$H$1503,$K240))&lt;&gt;0,"含赠品"&amp;INDEX(采购进货!$H$4:$H$1503,$K240)&amp;"件 ","")&amp;INDEX(采购进货!$I$4:$I$1503,$K240),INDEX(资金台帐!$E$7:$E$3006,$K240-1500)&amp;""))</f>
      </c>
      <c r="K240" s="78">
        <f>IFERROR(MATCH(SMALL(_辅助!$H$4:$H$4503,201),_辅助!$H$4:$H$4503,0),"")</f>
      </c>
    </row>
    <row r="241">
      <c r="A241" s="141">
        <f>IF($K241="","",202)</f>
      </c>
      <c r="B241" s="140">
        <f>IF($K241="","",IF($K241&lt;=1500,INDEX(采购进货!$B$4:$B$1503,$K241),INDEX(资金台帐!$B$7:$B$3006,$K241-1500)))</f>
      </c>
      <c r="C241" s="141">
        <f>IF($K241="","",IF($K241&lt;=1500,IF(N(INDEX(采购进货!$E$4:$E$1503,$K241))&lt;0,"退货","进货"),IF(INDEX(资金台帐!$S$7:$S$3006,$K241-1500)&lt;=0,"付款","退款")&amp;"（"&amp;INDEX(资金台帐!$C$7:$C$3006,$K241-1500)&amp;"）"))</f>
      </c>
      <c r="D241" s="141">
        <f>IF($K241="","",IF($K241&lt;=1500,INDEX(采购进货!$D$4:$D$1503,$K241)&amp;"",""))</f>
      </c>
      <c r="E241" s="148">
        <f>IF($K241="","",IF($K241&lt;=1500,N(INDEX(采购进货!$E$4:$E$1503,$K241))+N(INDEX(采购进货!$H$4:$H$1503,$K241)),""))</f>
      </c>
      <c r="F241" s="149">
        <f>IF($K241="","",IF($K241&lt;=1500,INDEX(采购进货!$F$4:$F$1503,$K241),""))</f>
      </c>
      <c r="G241" s="186">
        <f>IF($K241="","",IF($K241&lt;=1500,N(INDEX(采购进货!$G$4:$G$1503,$K241)),""))</f>
      </c>
      <c r="H241" s="186">
        <f>IF($K241="","",IF($K241&lt;=1500,"",-INDEX(资金台帐!$S$7:$S$3006,$K241-1500)))</f>
      </c>
      <c r="I241" s="187">
        <f>IF($K241="","",I240+N(G241)-N(H241))</f>
      </c>
      <c r="J241" s="213">
        <f>IF($K241="","",IF($K241&lt;=1500,IF(N(INDEX(采购进货!$H$4:$H$1503,$K241))&lt;&gt;0,"含赠品"&amp;INDEX(采购进货!$H$4:$H$1503,$K241)&amp;"件 ","")&amp;INDEX(采购进货!$I$4:$I$1503,$K241),INDEX(资金台帐!$E$7:$E$3006,$K241-1500)&amp;""))</f>
      </c>
      <c r="K241" s="78">
        <f>IFERROR(MATCH(SMALL(_辅助!$H$4:$H$4503,202),_辅助!$H$4:$H$4503,0),"")</f>
      </c>
    </row>
    <row r="242">
      <c r="A242" s="141">
        <f>IF($K242="","",203)</f>
      </c>
      <c r="B242" s="140">
        <f>IF($K242="","",IF($K242&lt;=1500,INDEX(采购进货!$B$4:$B$1503,$K242),INDEX(资金台帐!$B$7:$B$3006,$K242-1500)))</f>
      </c>
      <c r="C242" s="141">
        <f>IF($K242="","",IF($K242&lt;=1500,IF(N(INDEX(采购进货!$E$4:$E$1503,$K242))&lt;0,"退货","进货"),IF(INDEX(资金台帐!$S$7:$S$3006,$K242-1500)&lt;=0,"付款","退款")&amp;"（"&amp;INDEX(资金台帐!$C$7:$C$3006,$K242-1500)&amp;"）"))</f>
      </c>
      <c r="D242" s="141">
        <f>IF($K242="","",IF($K242&lt;=1500,INDEX(采购进货!$D$4:$D$1503,$K242)&amp;"",""))</f>
      </c>
      <c r="E242" s="148">
        <f>IF($K242="","",IF($K242&lt;=1500,N(INDEX(采购进货!$E$4:$E$1503,$K242))+N(INDEX(采购进货!$H$4:$H$1503,$K242)),""))</f>
      </c>
      <c r="F242" s="149">
        <f>IF($K242="","",IF($K242&lt;=1500,INDEX(采购进货!$F$4:$F$1503,$K242),""))</f>
      </c>
      <c r="G242" s="186">
        <f>IF($K242="","",IF($K242&lt;=1500,N(INDEX(采购进货!$G$4:$G$1503,$K242)),""))</f>
      </c>
      <c r="H242" s="186">
        <f>IF($K242="","",IF($K242&lt;=1500,"",-INDEX(资金台帐!$S$7:$S$3006,$K242-1500)))</f>
      </c>
      <c r="I242" s="187">
        <f>IF($K242="","",I241+N(G242)-N(H242))</f>
      </c>
      <c r="J242" s="213">
        <f>IF($K242="","",IF($K242&lt;=1500,IF(N(INDEX(采购进货!$H$4:$H$1503,$K242))&lt;&gt;0,"含赠品"&amp;INDEX(采购进货!$H$4:$H$1503,$K242)&amp;"件 ","")&amp;INDEX(采购进货!$I$4:$I$1503,$K242),INDEX(资金台帐!$E$7:$E$3006,$K242-1500)&amp;""))</f>
      </c>
      <c r="K242" s="78">
        <f>IFERROR(MATCH(SMALL(_辅助!$H$4:$H$4503,203),_辅助!$H$4:$H$4503,0),"")</f>
      </c>
    </row>
    <row r="243">
      <c r="A243" s="141">
        <f>IF($K243="","",204)</f>
      </c>
      <c r="B243" s="140">
        <f>IF($K243="","",IF($K243&lt;=1500,INDEX(采购进货!$B$4:$B$1503,$K243),INDEX(资金台帐!$B$7:$B$3006,$K243-1500)))</f>
      </c>
      <c r="C243" s="141">
        <f>IF($K243="","",IF($K243&lt;=1500,IF(N(INDEX(采购进货!$E$4:$E$1503,$K243))&lt;0,"退货","进货"),IF(INDEX(资金台帐!$S$7:$S$3006,$K243-1500)&lt;=0,"付款","退款")&amp;"（"&amp;INDEX(资金台帐!$C$7:$C$3006,$K243-1500)&amp;"）"))</f>
      </c>
      <c r="D243" s="141">
        <f>IF($K243="","",IF($K243&lt;=1500,INDEX(采购进货!$D$4:$D$1503,$K243)&amp;"",""))</f>
      </c>
      <c r="E243" s="148">
        <f>IF($K243="","",IF($K243&lt;=1500,N(INDEX(采购进货!$E$4:$E$1503,$K243))+N(INDEX(采购进货!$H$4:$H$1503,$K243)),""))</f>
      </c>
      <c r="F243" s="149">
        <f>IF($K243="","",IF($K243&lt;=1500,INDEX(采购进货!$F$4:$F$1503,$K243),""))</f>
      </c>
      <c r="G243" s="186">
        <f>IF($K243="","",IF($K243&lt;=1500,N(INDEX(采购进货!$G$4:$G$1503,$K243)),""))</f>
      </c>
      <c r="H243" s="186">
        <f>IF($K243="","",IF($K243&lt;=1500,"",-INDEX(资金台帐!$S$7:$S$3006,$K243-1500)))</f>
      </c>
      <c r="I243" s="187">
        <f>IF($K243="","",I242+N(G243)-N(H243))</f>
      </c>
      <c r="J243" s="213">
        <f>IF($K243="","",IF($K243&lt;=1500,IF(N(INDEX(采购进货!$H$4:$H$1503,$K243))&lt;&gt;0,"含赠品"&amp;INDEX(采购进货!$H$4:$H$1503,$K243)&amp;"件 ","")&amp;INDEX(采购进货!$I$4:$I$1503,$K243),INDEX(资金台帐!$E$7:$E$3006,$K243-1500)&amp;""))</f>
      </c>
      <c r="K243" s="78">
        <f>IFERROR(MATCH(SMALL(_辅助!$H$4:$H$4503,204),_辅助!$H$4:$H$4503,0),"")</f>
      </c>
    </row>
    <row r="244">
      <c r="A244" s="141">
        <f>IF($K244="","",205)</f>
      </c>
      <c r="B244" s="140">
        <f>IF($K244="","",IF($K244&lt;=1500,INDEX(采购进货!$B$4:$B$1503,$K244),INDEX(资金台帐!$B$7:$B$3006,$K244-1500)))</f>
      </c>
      <c r="C244" s="141">
        <f>IF($K244="","",IF($K244&lt;=1500,IF(N(INDEX(采购进货!$E$4:$E$1503,$K244))&lt;0,"退货","进货"),IF(INDEX(资金台帐!$S$7:$S$3006,$K244-1500)&lt;=0,"付款","退款")&amp;"（"&amp;INDEX(资金台帐!$C$7:$C$3006,$K244-1500)&amp;"）"))</f>
      </c>
      <c r="D244" s="141">
        <f>IF($K244="","",IF($K244&lt;=1500,INDEX(采购进货!$D$4:$D$1503,$K244)&amp;"",""))</f>
      </c>
      <c r="E244" s="148">
        <f>IF($K244="","",IF($K244&lt;=1500,N(INDEX(采购进货!$E$4:$E$1503,$K244))+N(INDEX(采购进货!$H$4:$H$1503,$K244)),""))</f>
      </c>
      <c r="F244" s="149">
        <f>IF($K244="","",IF($K244&lt;=1500,INDEX(采购进货!$F$4:$F$1503,$K244),""))</f>
      </c>
      <c r="G244" s="186">
        <f>IF($K244="","",IF($K244&lt;=1500,N(INDEX(采购进货!$G$4:$G$1503,$K244)),""))</f>
      </c>
      <c r="H244" s="186">
        <f>IF($K244="","",IF($K244&lt;=1500,"",-INDEX(资金台帐!$S$7:$S$3006,$K244-1500)))</f>
      </c>
      <c r="I244" s="187">
        <f>IF($K244="","",I243+N(G244)-N(H244))</f>
      </c>
      <c r="J244" s="213">
        <f>IF($K244="","",IF($K244&lt;=1500,IF(N(INDEX(采购进货!$H$4:$H$1503,$K244))&lt;&gt;0,"含赠品"&amp;INDEX(采购进货!$H$4:$H$1503,$K244)&amp;"件 ","")&amp;INDEX(采购进货!$I$4:$I$1503,$K244),INDEX(资金台帐!$E$7:$E$3006,$K244-1500)&amp;""))</f>
      </c>
      <c r="K244" s="78">
        <f>IFERROR(MATCH(SMALL(_辅助!$H$4:$H$4503,205),_辅助!$H$4:$H$4503,0),"")</f>
      </c>
    </row>
    <row r="245">
      <c r="A245" s="141">
        <f>IF($K245="","",206)</f>
      </c>
      <c r="B245" s="140">
        <f>IF($K245="","",IF($K245&lt;=1500,INDEX(采购进货!$B$4:$B$1503,$K245),INDEX(资金台帐!$B$7:$B$3006,$K245-1500)))</f>
      </c>
      <c r="C245" s="141">
        <f>IF($K245="","",IF($K245&lt;=1500,IF(N(INDEX(采购进货!$E$4:$E$1503,$K245))&lt;0,"退货","进货"),IF(INDEX(资金台帐!$S$7:$S$3006,$K245-1500)&lt;=0,"付款","退款")&amp;"（"&amp;INDEX(资金台帐!$C$7:$C$3006,$K245-1500)&amp;"）"))</f>
      </c>
      <c r="D245" s="141">
        <f>IF($K245="","",IF($K245&lt;=1500,INDEX(采购进货!$D$4:$D$1503,$K245)&amp;"",""))</f>
      </c>
      <c r="E245" s="148">
        <f>IF($K245="","",IF($K245&lt;=1500,N(INDEX(采购进货!$E$4:$E$1503,$K245))+N(INDEX(采购进货!$H$4:$H$1503,$K245)),""))</f>
      </c>
      <c r="F245" s="149">
        <f>IF($K245="","",IF($K245&lt;=1500,INDEX(采购进货!$F$4:$F$1503,$K245),""))</f>
      </c>
      <c r="G245" s="186">
        <f>IF($K245="","",IF($K245&lt;=1500,N(INDEX(采购进货!$G$4:$G$1503,$K245)),""))</f>
      </c>
      <c r="H245" s="186">
        <f>IF($K245="","",IF($K245&lt;=1500,"",-INDEX(资金台帐!$S$7:$S$3006,$K245-1500)))</f>
      </c>
      <c r="I245" s="187">
        <f>IF($K245="","",I244+N(G245)-N(H245))</f>
      </c>
      <c r="J245" s="213">
        <f>IF($K245="","",IF($K245&lt;=1500,IF(N(INDEX(采购进货!$H$4:$H$1503,$K245))&lt;&gt;0,"含赠品"&amp;INDEX(采购进货!$H$4:$H$1503,$K245)&amp;"件 ","")&amp;INDEX(采购进货!$I$4:$I$1503,$K245),INDEX(资金台帐!$E$7:$E$3006,$K245-1500)&amp;""))</f>
      </c>
      <c r="K245" s="78">
        <f>IFERROR(MATCH(SMALL(_辅助!$H$4:$H$4503,206),_辅助!$H$4:$H$4503,0),"")</f>
      </c>
    </row>
    <row r="246">
      <c r="A246" s="141">
        <f>IF($K246="","",207)</f>
      </c>
      <c r="B246" s="140">
        <f>IF($K246="","",IF($K246&lt;=1500,INDEX(采购进货!$B$4:$B$1503,$K246),INDEX(资金台帐!$B$7:$B$3006,$K246-1500)))</f>
      </c>
      <c r="C246" s="141">
        <f>IF($K246="","",IF($K246&lt;=1500,IF(N(INDEX(采购进货!$E$4:$E$1503,$K246))&lt;0,"退货","进货"),IF(INDEX(资金台帐!$S$7:$S$3006,$K246-1500)&lt;=0,"付款","退款")&amp;"（"&amp;INDEX(资金台帐!$C$7:$C$3006,$K246-1500)&amp;"）"))</f>
      </c>
      <c r="D246" s="141">
        <f>IF($K246="","",IF($K246&lt;=1500,INDEX(采购进货!$D$4:$D$1503,$K246)&amp;"",""))</f>
      </c>
      <c r="E246" s="148">
        <f>IF($K246="","",IF($K246&lt;=1500,N(INDEX(采购进货!$E$4:$E$1503,$K246))+N(INDEX(采购进货!$H$4:$H$1503,$K246)),""))</f>
      </c>
      <c r="F246" s="149">
        <f>IF($K246="","",IF($K246&lt;=1500,INDEX(采购进货!$F$4:$F$1503,$K246),""))</f>
      </c>
      <c r="G246" s="186">
        <f>IF($K246="","",IF($K246&lt;=1500,N(INDEX(采购进货!$G$4:$G$1503,$K246)),""))</f>
      </c>
      <c r="H246" s="186">
        <f>IF($K246="","",IF($K246&lt;=1500,"",-INDEX(资金台帐!$S$7:$S$3006,$K246-1500)))</f>
      </c>
      <c r="I246" s="187">
        <f>IF($K246="","",I245+N(G246)-N(H246))</f>
      </c>
      <c r="J246" s="213">
        <f>IF($K246="","",IF($K246&lt;=1500,IF(N(INDEX(采购进货!$H$4:$H$1503,$K246))&lt;&gt;0,"含赠品"&amp;INDEX(采购进货!$H$4:$H$1503,$K246)&amp;"件 ","")&amp;INDEX(采购进货!$I$4:$I$1503,$K246),INDEX(资金台帐!$E$7:$E$3006,$K246-1500)&amp;""))</f>
      </c>
      <c r="K246" s="78">
        <f>IFERROR(MATCH(SMALL(_辅助!$H$4:$H$4503,207),_辅助!$H$4:$H$4503,0),"")</f>
      </c>
    </row>
    <row r="247">
      <c r="A247" s="141">
        <f>IF($K247="","",208)</f>
      </c>
      <c r="B247" s="140">
        <f>IF($K247="","",IF($K247&lt;=1500,INDEX(采购进货!$B$4:$B$1503,$K247),INDEX(资金台帐!$B$7:$B$3006,$K247-1500)))</f>
      </c>
      <c r="C247" s="141">
        <f>IF($K247="","",IF($K247&lt;=1500,IF(N(INDEX(采购进货!$E$4:$E$1503,$K247))&lt;0,"退货","进货"),IF(INDEX(资金台帐!$S$7:$S$3006,$K247-1500)&lt;=0,"付款","退款")&amp;"（"&amp;INDEX(资金台帐!$C$7:$C$3006,$K247-1500)&amp;"）"))</f>
      </c>
      <c r="D247" s="141">
        <f>IF($K247="","",IF($K247&lt;=1500,INDEX(采购进货!$D$4:$D$1503,$K247)&amp;"",""))</f>
      </c>
      <c r="E247" s="148">
        <f>IF($K247="","",IF($K247&lt;=1500,N(INDEX(采购进货!$E$4:$E$1503,$K247))+N(INDEX(采购进货!$H$4:$H$1503,$K247)),""))</f>
      </c>
      <c r="F247" s="149">
        <f>IF($K247="","",IF($K247&lt;=1500,INDEX(采购进货!$F$4:$F$1503,$K247),""))</f>
      </c>
      <c r="G247" s="186">
        <f>IF($K247="","",IF($K247&lt;=1500,N(INDEX(采购进货!$G$4:$G$1503,$K247)),""))</f>
      </c>
      <c r="H247" s="186">
        <f>IF($K247="","",IF($K247&lt;=1500,"",-INDEX(资金台帐!$S$7:$S$3006,$K247-1500)))</f>
      </c>
      <c r="I247" s="187">
        <f>IF($K247="","",I246+N(G247)-N(H247))</f>
      </c>
      <c r="J247" s="213">
        <f>IF($K247="","",IF($K247&lt;=1500,IF(N(INDEX(采购进货!$H$4:$H$1503,$K247))&lt;&gt;0,"含赠品"&amp;INDEX(采购进货!$H$4:$H$1503,$K247)&amp;"件 ","")&amp;INDEX(采购进货!$I$4:$I$1503,$K247),INDEX(资金台帐!$E$7:$E$3006,$K247-1500)&amp;""))</f>
      </c>
      <c r="K247" s="78">
        <f>IFERROR(MATCH(SMALL(_辅助!$H$4:$H$4503,208),_辅助!$H$4:$H$4503,0),"")</f>
      </c>
    </row>
    <row r="248">
      <c r="A248" s="141">
        <f>IF($K248="","",209)</f>
      </c>
      <c r="B248" s="140">
        <f>IF($K248="","",IF($K248&lt;=1500,INDEX(采购进货!$B$4:$B$1503,$K248),INDEX(资金台帐!$B$7:$B$3006,$K248-1500)))</f>
      </c>
      <c r="C248" s="141">
        <f>IF($K248="","",IF($K248&lt;=1500,IF(N(INDEX(采购进货!$E$4:$E$1503,$K248))&lt;0,"退货","进货"),IF(INDEX(资金台帐!$S$7:$S$3006,$K248-1500)&lt;=0,"付款","退款")&amp;"（"&amp;INDEX(资金台帐!$C$7:$C$3006,$K248-1500)&amp;"）"))</f>
      </c>
      <c r="D248" s="141">
        <f>IF($K248="","",IF($K248&lt;=1500,INDEX(采购进货!$D$4:$D$1503,$K248)&amp;"",""))</f>
      </c>
      <c r="E248" s="148">
        <f>IF($K248="","",IF($K248&lt;=1500,N(INDEX(采购进货!$E$4:$E$1503,$K248))+N(INDEX(采购进货!$H$4:$H$1503,$K248)),""))</f>
      </c>
      <c r="F248" s="149">
        <f>IF($K248="","",IF($K248&lt;=1500,INDEX(采购进货!$F$4:$F$1503,$K248),""))</f>
      </c>
      <c r="G248" s="186">
        <f>IF($K248="","",IF($K248&lt;=1500,N(INDEX(采购进货!$G$4:$G$1503,$K248)),""))</f>
      </c>
      <c r="H248" s="186">
        <f>IF($K248="","",IF($K248&lt;=1500,"",-INDEX(资金台帐!$S$7:$S$3006,$K248-1500)))</f>
      </c>
      <c r="I248" s="187">
        <f>IF($K248="","",I247+N(G248)-N(H248))</f>
      </c>
      <c r="J248" s="213">
        <f>IF($K248="","",IF($K248&lt;=1500,IF(N(INDEX(采购进货!$H$4:$H$1503,$K248))&lt;&gt;0,"含赠品"&amp;INDEX(采购进货!$H$4:$H$1503,$K248)&amp;"件 ","")&amp;INDEX(采购进货!$I$4:$I$1503,$K248),INDEX(资金台帐!$E$7:$E$3006,$K248-1500)&amp;""))</f>
      </c>
      <c r="K248" s="78">
        <f>IFERROR(MATCH(SMALL(_辅助!$H$4:$H$4503,209),_辅助!$H$4:$H$4503,0),"")</f>
      </c>
    </row>
    <row r="249">
      <c r="A249" s="141">
        <f>IF($K249="","",210)</f>
      </c>
      <c r="B249" s="140">
        <f>IF($K249="","",IF($K249&lt;=1500,INDEX(采购进货!$B$4:$B$1503,$K249),INDEX(资金台帐!$B$7:$B$3006,$K249-1500)))</f>
      </c>
      <c r="C249" s="141">
        <f>IF($K249="","",IF($K249&lt;=1500,IF(N(INDEX(采购进货!$E$4:$E$1503,$K249))&lt;0,"退货","进货"),IF(INDEX(资金台帐!$S$7:$S$3006,$K249-1500)&lt;=0,"付款","退款")&amp;"（"&amp;INDEX(资金台帐!$C$7:$C$3006,$K249-1500)&amp;"）"))</f>
      </c>
      <c r="D249" s="141">
        <f>IF($K249="","",IF($K249&lt;=1500,INDEX(采购进货!$D$4:$D$1503,$K249)&amp;"",""))</f>
      </c>
      <c r="E249" s="148">
        <f>IF($K249="","",IF($K249&lt;=1500,N(INDEX(采购进货!$E$4:$E$1503,$K249))+N(INDEX(采购进货!$H$4:$H$1503,$K249)),""))</f>
      </c>
      <c r="F249" s="149">
        <f>IF($K249="","",IF($K249&lt;=1500,INDEX(采购进货!$F$4:$F$1503,$K249),""))</f>
      </c>
      <c r="G249" s="186">
        <f>IF($K249="","",IF($K249&lt;=1500,N(INDEX(采购进货!$G$4:$G$1503,$K249)),""))</f>
      </c>
      <c r="H249" s="186">
        <f>IF($K249="","",IF($K249&lt;=1500,"",-INDEX(资金台帐!$S$7:$S$3006,$K249-1500)))</f>
      </c>
      <c r="I249" s="187">
        <f>IF($K249="","",I248+N(G249)-N(H249))</f>
      </c>
      <c r="J249" s="213">
        <f>IF($K249="","",IF($K249&lt;=1500,IF(N(INDEX(采购进货!$H$4:$H$1503,$K249))&lt;&gt;0,"含赠品"&amp;INDEX(采购进货!$H$4:$H$1503,$K249)&amp;"件 ","")&amp;INDEX(采购进货!$I$4:$I$1503,$K249),INDEX(资金台帐!$E$7:$E$3006,$K249-1500)&amp;""))</f>
      </c>
      <c r="K249" s="78">
        <f>IFERROR(MATCH(SMALL(_辅助!$H$4:$H$4503,210),_辅助!$H$4:$H$4503,0),"")</f>
      </c>
    </row>
    <row r="250">
      <c r="A250" s="141">
        <f>IF($K250="","",211)</f>
      </c>
      <c r="B250" s="140">
        <f>IF($K250="","",IF($K250&lt;=1500,INDEX(采购进货!$B$4:$B$1503,$K250),INDEX(资金台帐!$B$7:$B$3006,$K250-1500)))</f>
      </c>
      <c r="C250" s="141">
        <f>IF($K250="","",IF($K250&lt;=1500,IF(N(INDEX(采购进货!$E$4:$E$1503,$K250))&lt;0,"退货","进货"),IF(INDEX(资金台帐!$S$7:$S$3006,$K250-1500)&lt;=0,"付款","退款")&amp;"（"&amp;INDEX(资金台帐!$C$7:$C$3006,$K250-1500)&amp;"）"))</f>
      </c>
      <c r="D250" s="141">
        <f>IF($K250="","",IF($K250&lt;=1500,INDEX(采购进货!$D$4:$D$1503,$K250)&amp;"",""))</f>
      </c>
      <c r="E250" s="148">
        <f>IF($K250="","",IF($K250&lt;=1500,N(INDEX(采购进货!$E$4:$E$1503,$K250))+N(INDEX(采购进货!$H$4:$H$1503,$K250)),""))</f>
      </c>
      <c r="F250" s="149">
        <f>IF($K250="","",IF($K250&lt;=1500,INDEX(采购进货!$F$4:$F$1503,$K250),""))</f>
      </c>
      <c r="G250" s="186">
        <f>IF($K250="","",IF($K250&lt;=1500,N(INDEX(采购进货!$G$4:$G$1503,$K250)),""))</f>
      </c>
      <c r="H250" s="186">
        <f>IF($K250="","",IF($K250&lt;=1500,"",-INDEX(资金台帐!$S$7:$S$3006,$K250-1500)))</f>
      </c>
      <c r="I250" s="187">
        <f>IF($K250="","",I249+N(G250)-N(H250))</f>
      </c>
      <c r="J250" s="213">
        <f>IF($K250="","",IF($K250&lt;=1500,IF(N(INDEX(采购进货!$H$4:$H$1503,$K250))&lt;&gt;0,"含赠品"&amp;INDEX(采购进货!$H$4:$H$1503,$K250)&amp;"件 ","")&amp;INDEX(采购进货!$I$4:$I$1503,$K250),INDEX(资金台帐!$E$7:$E$3006,$K250-1500)&amp;""))</f>
      </c>
      <c r="K250" s="78">
        <f>IFERROR(MATCH(SMALL(_辅助!$H$4:$H$4503,211),_辅助!$H$4:$H$4503,0),"")</f>
      </c>
    </row>
    <row r="251">
      <c r="A251" s="141">
        <f>IF($K251="","",212)</f>
      </c>
      <c r="B251" s="140">
        <f>IF($K251="","",IF($K251&lt;=1500,INDEX(采购进货!$B$4:$B$1503,$K251),INDEX(资金台帐!$B$7:$B$3006,$K251-1500)))</f>
      </c>
      <c r="C251" s="141">
        <f>IF($K251="","",IF($K251&lt;=1500,IF(N(INDEX(采购进货!$E$4:$E$1503,$K251))&lt;0,"退货","进货"),IF(INDEX(资金台帐!$S$7:$S$3006,$K251-1500)&lt;=0,"付款","退款")&amp;"（"&amp;INDEX(资金台帐!$C$7:$C$3006,$K251-1500)&amp;"）"))</f>
      </c>
      <c r="D251" s="141">
        <f>IF($K251="","",IF($K251&lt;=1500,INDEX(采购进货!$D$4:$D$1503,$K251)&amp;"",""))</f>
      </c>
      <c r="E251" s="148">
        <f>IF($K251="","",IF($K251&lt;=1500,N(INDEX(采购进货!$E$4:$E$1503,$K251))+N(INDEX(采购进货!$H$4:$H$1503,$K251)),""))</f>
      </c>
      <c r="F251" s="149">
        <f>IF($K251="","",IF($K251&lt;=1500,INDEX(采购进货!$F$4:$F$1503,$K251),""))</f>
      </c>
      <c r="G251" s="186">
        <f>IF($K251="","",IF($K251&lt;=1500,N(INDEX(采购进货!$G$4:$G$1503,$K251)),""))</f>
      </c>
      <c r="H251" s="186">
        <f>IF($K251="","",IF($K251&lt;=1500,"",-INDEX(资金台帐!$S$7:$S$3006,$K251-1500)))</f>
      </c>
      <c r="I251" s="187">
        <f>IF($K251="","",I250+N(G251)-N(H251))</f>
      </c>
      <c r="J251" s="213">
        <f>IF($K251="","",IF($K251&lt;=1500,IF(N(INDEX(采购进货!$H$4:$H$1503,$K251))&lt;&gt;0,"含赠品"&amp;INDEX(采购进货!$H$4:$H$1503,$K251)&amp;"件 ","")&amp;INDEX(采购进货!$I$4:$I$1503,$K251),INDEX(资金台帐!$E$7:$E$3006,$K251-1500)&amp;""))</f>
      </c>
      <c r="K251" s="78">
        <f>IFERROR(MATCH(SMALL(_辅助!$H$4:$H$4503,212),_辅助!$H$4:$H$4503,0),"")</f>
      </c>
    </row>
    <row r="252">
      <c r="A252" s="141">
        <f>IF($K252="","",213)</f>
      </c>
      <c r="B252" s="140">
        <f>IF($K252="","",IF($K252&lt;=1500,INDEX(采购进货!$B$4:$B$1503,$K252),INDEX(资金台帐!$B$7:$B$3006,$K252-1500)))</f>
      </c>
      <c r="C252" s="141">
        <f>IF($K252="","",IF($K252&lt;=1500,IF(N(INDEX(采购进货!$E$4:$E$1503,$K252))&lt;0,"退货","进货"),IF(INDEX(资金台帐!$S$7:$S$3006,$K252-1500)&lt;=0,"付款","退款")&amp;"（"&amp;INDEX(资金台帐!$C$7:$C$3006,$K252-1500)&amp;"）"))</f>
      </c>
      <c r="D252" s="141">
        <f>IF($K252="","",IF($K252&lt;=1500,INDEX(采购进货!$D$4:$D$1503,$K252)&amp;"",""))</f>
      </c>
      <c r="E252" s="148">
        <f>IF($K252="","",IF($K252&lt;=1500,N(INDEX(采购进货!$E$4:$E$1503,$K252))+N(INDEX(采购进货!$H$4:$H$1503,$K252)),""))</f>
      </c>
      <c r="F252" s="149">
        <f>IF($K252="","",IF($K252&lt;=1500,INDEX(采购进货!$F$4:$F$1503,$K252),""))</f>
      </c>
      <c r="G252" s="186">
        <f>IF($K252="","",IF($K252&lt;=1500,N(INDEX(采购进货!$G$4:$G$1503,$K252)),""))</f>
      </c>
      <c r="H252" s="186">
        <f>IF($K252="","",IF($K252&lt;=1500,"",-INDEX(资金台帐!$S$7:$S$3006,$K252-1500)))</f>
      </c>
      <c r="I252" s="187">
        <f>IF($K252="","",I251+N(G252)-N(H252))</f>
      </c>
      <c r="J252" s="213">
        <f>IF($K252="","",IF($K252&lt;=1500,IF(N(INDEX(采购进货!$H$4:$H$1503,$K252))&lt;&gt;0,"含赠品"&amp;INDEX(采购进货!$H$4:$H$1503,$K252)&amp;"件 ","")&amp;INDEX(采购进货!$I$4:$I$1503,$K252),INDEX(资金台帐!$E$7:$E$3006,$K252-1500)&amp;""))</f>
      </c>
      <c r="K252" s="78">
        <f>IFERROR(MATCH(SMALL(_辅助!$H$4:$H$4503,213),_辅助!$H$4:$H$4503,0),"")</f>
      </c>
    </row>
    <row r="253">
      <c r="A253" s="141">
        <f>IF($K253="","",214)</f>
      </c>
      <c r="B253" s="140">
        <f>IF($K253="","",IF($K253&lt;=1500,INDEX(采购进货!$B$4:$B$1503,$K253),INDEX(资金台帐!$B$7:$B$3006,$K253-1500)))</f>
      </c>
      <c r="C253" s="141">
        <f>IF($K253="","",IF($K253&lt;=1500,IF(N(INDEX(采购进货!$E$4:$E$1503,$K253))&lt;0,"退货","进货"),IF(INDEX(资金台帐!$S$7:$S$3006,$K253-1500)&lt;=0,"付款","退款")&amp;"（"&amp;INDEX(资金台帐!$C$7:$C$3006,$K253-1500)&amp;"）"))</f>
      </c>
      <c r="D253" s="141">
        <f>IF($K253="","",IF($K253&lt;=1500,INDEX(采购进货!$D$4:$D$1503,$K253)&amp;"",""))</f>
      </c>
      <c r="E253" s="148">
        <f>IF($K253="","",IF($K253&lt;=1500,N(INDEX(采购进货!$E$4:$E$1503,$K253))+N(INDEX(采购进货!$H$4:$H$1503,$K253)),""))</f>
      </c>
      <c r="F253" s="149">
        <f>IF($K253="","",IF($K253&lt;=1500,INDEX(采购进货!$F$4:$F$1503,$K253),""))</f>
      </c>
      <c r="G253" s="186">
        <f>IF($K253="","",IF($K253&lt;=1500,N(INDEX(采购进货!$G$4:$G$1503,$K253)),""))</f>
      </c>
      <c r="H253" s="186">
        <f>IF($K253="","",IF($K253&lt;=1500,"",-INDEX(资金台帐!$S$7:$S$3006,$K253-1500)))</f>
      </c>
      <c r="I253" s="187">
        <f>IF($K253="","",I252+N(G253)-N(H253))</f>
      </c>
      <c r="J253" s="213">
        <f>IF($K253="","",IF($K253&lt;=1500,IF(N(INDEX(采购进货!$H$4:$H$1503,$K253))&lt;&gt;0,"含赠品"&amp;INDEX(采购进货!$H$4:$H$1503,$K253)&amp;"件 ","")&amp;INDEX(采购进货!$I$4:$I$1503,$K253),INDEX(资金台帐!$E$7:$E$3006,$K253-1500)&amp;""))</f>
      </c>
      <c r="K253" s="78">
        <f>IFERROR(MATCH(SMALL(_辅助!$H$4:$H$4503,214),_辅助!$H$4:$H$4503,0),"")</f>
      </c>
    </row>
    <row r="254">
      <c r="A254" s="141">
        <f>IF($K254="","",215)</f>
      </c>
      <c r="B254" s="140">
        <f>IF($K254="","",IF($K254&lt;=1500,INDEX(采购进货!$B$4:$B$1503,$K254),INDEX(资金台帐!$B$7:$B$3006,$K254-1500)))</f>
      </c>
      <c r="C254" s="141">
        <f>IF($K254="","",IF($K254&lt;=1500,IF(N(INDEX(采购进货!$E$4:$E$1503,$K254))&lt;0,"退货","进货"),IF(INDEX(资金台帐!$S$7:$S$3006,$K254-1500)&lt;=0,"付款","退款")&amp;"（"&amp;INDEX(资金台帐!$C$7:$C$3006,$K254-1500)&amp;"）"))</f>
      </c>
      <c r="D254" s="141">
        <f>IF($K254="","",IF($K254&lt;=1500,INDEX(采购进货!$D$4:$D$1503,$K254)&amp;"",""))</f>
      </c>
      <c r="E254" s="148">
        <f>IF($K254="","",IF($K254&lt;=1500,N(INDEX(采购进货!$E$4:$E$1503,$K254))+N(INDEX(采购进货!$H$4:$H$1503,$K254)),""))</f>
      </c>
      <c r="F254" s="149">
        <f>IF($K254="","",IF($K254&lt;=1500,INDEX(采购进货!$F$4:$F$1503,$K254),""))</f>
      </c>
      <c r="G254" s="186">
        <f>IF($K254="","",IF($K254&lt;=1500,N(INDEX(采购进货!$G$4:$G$1503,$K254)),""))</f>
      </c>
      <c r="H254" s="186">
        <f>IF($K254="","",IF($K254&lt;=1500,"",-INDEX(资金台帐!$S$7:$S$3006,$K254-1500)))</f>
      </c>
      <c r="I254" s="187">
        <f>IF($K254="","",I253+N(G254)-N(H254))</f>
      </c>
      <c r="J254" s="213">
        <f>IF($K254="","",IF($K254&lt;=1500,IF(N(INDEX(采购进货!$H$4:$H$1503,$K254))&lt;&gt;0,"含赠品"&amp;INDEX(采购进货!$H$4:$H$1503,$K254)&amp;"件 ","")&amp;INDEX(采购进货!$I$4:$I$1503,$K254),INDEX(资金台帐!$E$7:$E$3006,$K254-1500)&amp;""))</f>
      </c>
      <c r="K254" s="78">
        <f>IFERROR(MATCH(SMALL(_辅助!$H$4:$H$4503,215),_辅助!$H$4:$H$4503,0),"")</f>
      </c>
    </row>
    <row r="255">
      <c r="A255" s="141">
        <f>IF($K255="","",216)</f>
      </c>
      <c r="B255" s="140">
        <f>IF($K255="","",IF($K255&lt;=1500,INDEX(采购进货!$B$4:$B$1503,$K255),INDEX(资金台帐!$B$7:$B$3006,$K255-1500)))</f>
      </c>
      <c r="C255" s="141">
        <f>IF($K255="","",IF($K255&lt;=1500,IF(N(INDEX(采购进货!$E$4:$E$1503,$K255))&lt;0,"退货","进货"),IF(INDEX(资金台帐!$S$7:$S$3006,$K255-1500)&lt;=0,"付款","退款")&amp;"（"&amp;INDEX(资金台帐!$C$7:$C$3006,$K255-1500)&amp;"）"))</f>
      </c>
      <c r="D255" s="141">
        <f>IF($K255="","",IF($K255&lt;=1500,INDEX(采购进货!$D$4:$D$1503,$K255)&amp;"",""))</f>
      </c>
      <c r="E255" s="148">
        <f>IF($K255="","",IF($K255&lt;=1500,N(INDEX(采购进货!$E$4:$E$1503,$K255))+N(INDEX(采购进货!$H$4:$H$1503,$K255)),""))</f>
      </c>
      <c r="F255" s="149">
        <f>IF($K255="","",IF($K255&lt;=1500,INDEX(采购进货!$F$4:$F$1503,$K255),""))</f>
      </c>
      <c r="G255" s="186">
        <f>IF($K255="","",IF($K255&lt;=1500,N(INDEX(采购进货!$G$4:$G$1503,$K255)),""))</f>
      </c>
      <c r="H255" s="186">
        <f>IF($K255="","",IF($K255&lt;=1500,"",-INDEX(资金台帐!$S$7:$S$3006,$K255-1500)))</f>
      </c>
      <c r="I255" s="187">
        <f>IF($K255="","",I254+N(G255)-N(H255))</f>
      </c>
      <c r="J255" s="213">
        <f>IF($K255="","",IF($K255&lt;=1500,IF(N(INDEX(采购进货!$H$4:$H$1503,$K255))&lt;&gt;0,"含赠品"&amp;INDEX(采购进货!$H$4:$H$1503,$K255)&amp;"件 ","")&amp;INDEX(采购进货!$I$4:$I$1503,$K255),INDEX(资金台帐!$E$7:$E$3006,$K255-1500)&amp;""))</f>
      </c>
      <c r="K255" s="78">
        <f>IFERROR(MATCH(SMALL(_辅助!$H$4:$H$4503,216),_辅助!$H$4:$H$4503,0),"")</f>
      </c>
    </row>
    <row r="256">
      <c r="A256" s="141">
        <f>IF($K256="","",217)</f>
      </c>
      <c r="B256" s="140">
        <f>IF($K256="","",IF($K256&lt;=1500,INDEX(采购进货!$B$4:$B$1503,$K256),INDEX(资金台帐!$B$7:$B$3006,$K256-1500)))</f>
      </c>
      <c r="C256" s="141">
        <f>IF($K256="","",IF($K256&lt;=1500,IF(N(INDEX(采购进货!$E$4:$E$1503,$K256))&lt;0,"退货","进货"),IF(INDEX(资金台帐!$S$7:$S$3006,$K256-1500)&lt;=0,"付款","退款")&amp;"（"&amp;INDEX(资金台帐!$C$7:$C$3006,$K256-1500)&amp;"）"))</f>
      </c>
      <c r="D256" s="141">
        <f>IF($K256="","",IF($K256&lt;=1500,INDEX(采购进货!$D$4:$D$1503,$K256)&amp;"",""))</f>
      </c>
      <c r="E256" s="148">
        <f>IF($K256="","",IF($K256&lt;=1500,N(INDEX(采购进货!$E$4:$E$1503,$K256))+N(INDEX(采购进货!$H$4:$H$1503,$K256)),""))</f>
      </c>
      <c r="F256" s="149">
        <f>IF($K256="","",IF($K256&lt;=1500,INDEX(采购进货!$F$4:$F$1503,$K256),""))</f>
      </c>
      <c r="G256" s="186">
        <f>IF($K256="","",IF($K256&lt;=1500,N(INDEX(采购进货!$G$4:$G$1503,$K256)),""))</f>
      </c>
      <c r="H256" s="186">
        <f>IF($K256="","",IF($K256&lt;=1500,"",-INDEX(资金台帐!$S$7:$S$3006,$K256-1500)))</f>
      </c>
      <c r="I256" s="187">
        <f>IF($K256="","",I255+N(G256)-N(H256))</f>
      </c>
      <c r="J256" s="213">
        <f>IF($K256="","",IF($K256&lt;=1500,IF(N(INDEX(采购进货!$H$4:$H$1503,$K256))&lt;&gt;0,"含赠品"&amp;INDEX(采购进货!$H$4:$H$1503,$K256)&amp;"件 ","")&amp;INDEX(采购进货!$I$4:$I$1503,$K256),INDEX(资金台帐!$E$7:$E$3006,$K256-1500)&amp;""))</f>
      </c>
      <c r="K256" s="78">
        <f>IFERROR(MATCH(SMALL(_辅助!$H$4:$H$4503,217),_辅助!$H$4:$H$4503,0),"")</f>
      </c>
    </row>
    <row r="257">
      <c r="A257" s="141">
        <f>IF($K257="","",218)</f>
      </c>
      <c r="B257" s="140">
        <f>IF($K257="","",IF($K257&lt;=1500,INDEX(采购进货!$B$4:$B$1503,$K257),INDEX(资金台帐!$B$7:$B$3006,$K257-1500)))</f>
      </c>
      <c r="C257" s="141">
        <f>IF($K257="","",IF($K257&lt;=1500,IF(N(INDEX(采购进货!$E$4:$E$1503,$K257))&lt;0,"退货","进货"),IF(INDEX(资金台帐!$S$7:$S$3006,$K257-1500)&lt;=0,"付款","退款")&amp;"（"&amp;INDEX(资金台帐!$C$7:$C$3006,$K257-1500)&amp;"）"))</f>
      </c>
      <c r="D257" s="141">
        <f>IF($K257="","",IF($K257&lt;=1500,INDEX(采购进货!$D$4:$D$1503,$K257)&amp;"",""))</f>
      </c>
      <c r="E257" s="148">
        <f>IF($K257="","",IF($K257&lt;=1500,N(INDEX(采购进货!$E$4:$E$1503,$K257))+N(INDEX(采购进货!$H$4:$H$1503,$K257)),""))</f>
      </c>
      <c r="F257" s="149">
        <f>IF($K257="","",IF($K257&lt;=1500,INDEX(采购进货!$F$4:$F$1503,$K257),""))</f>
      </c>
      <c r="G257" s="186">
        <f>IF($K257="","",IF($K257&lt;=1500,N(INDEX(采购进货!$G$4:$G$1503,$K257)),""))</f>
      </c>
      <c r="H257" s="186">
        <f>IF($K257="","",IF($K257&lt;=1500,"",-INDEX(资金台帐!$S$7:$S$3006,$K257-1500)))</f>
      </c>
      <c r="I257" s="187">
        <f>IF($K257="","",I256+N(G257)-N(H257))</f>
      </c>
      <c r="J257" s="213">
        <f>IF($K257="","",IF($K257&lt;=1500,IF(N(INDEX(采购进货!$H$4:$H$1503,$K257))&lt;&gt;0,"含赠品"&amp;INDEX(采购进货!$H$4:$H$1503,$K257)&amp;"件 ","")&amp;INDEX(采购进货!$I$4:$I$1503,$K257),INDEX(资金台帐!$E$7:$E$3006,$K257-1500)&amp;""))</f>
      </c>
      <c r="K257" s="78">
        <f>IFERROR(MATCH(SMALL(_辅助!$H$4:$H$4503,218),_辅助!$H$4:$H$4503,0),"")</f>
      </c>
    </row>
    <row r="258">
      <c r="A258" s="141">
        <f>IF($K258="","",219)</f>
      </c>
      <c r="B258" s="140">
        <f>IF($K258="","",IF($K258&lt;=1500,INDEX(采购进货!$B$4:$B$1503,$K258),INDEX(资金台帐!$B$7:$B$3006,$K258-1500)))</f>
      </c>
      <c r="C258" s="141">
        <f>IF($K258="","",IF($K258&lt;=1500,IF(N(INDEX(采购进货!$E$4:$E$1503,$K258))&lt;0,"退货","进货"),IF(INDEX(资金台帐!$S$7:$S$3006,$K258-1500)&lt;=0,"付款","退款")&amp;"（"&amp;INDEX(资金台帐!$C$7:$C$3006,$K258-1500)&amp;"）"))</f>
      </c>
      <c r="D258" s="141">
        <f>IF($K258="","",IF($K258&lt;=1500,INDEX(采购进货!$D$4:$D$1503,$K258)&amp;"",""))</f>
      </c>
      <c r="E258" s="148">
        <f>IF($K258="","",IF($K258&lt;=1500,N(INDEX(采购进货!$E$4:$E$1503,$K258))+N(INDEX(采购进货!$H$4:$H$1503,$K258)),""))</f>
      </c>
      <c r="F258" s="149">
        <f>IF($K258="","",IF($K258&lt;=1500,INDEX(采购进货!$F$4:$F$1503,$K258),""))</f>
      </c>
      <c r="G258" s="186">
        <f>IF($K258="","",IF($K258&lt;=1500,N(INDEX(采购进货!$G$4:$G$1503,$K258)),""))</f>
      </c>
      <c r="H258" s="186">
        <f>IF($K258="","",IF($K258&lt;=1500,"",-INDEX(资金台帐!$S$7:$S$3006,$K258-1500)))</f>
      </c>
      <c r="I258" s="187">
        <f>IF($K258="","",I257+N(G258)-N(H258))</f>
      </c>
      <c r="J258" s="213">
        <f>IF($K258="","",IF($K258&lt;=1500,IF(N(INDEX(采购进货!$H$4:$H$1503,$K258))&lt;&gt;0,"含赠品"&amp;INDEX(采购进货!$H$4:$H$1503,$K258)&amp;"件 ","")&amp;INDEX(采购进货!$I$4:$I$1503,$K258),INDEX(资金台帐!$E$7:$E$3006,$K258-1500)&amp;""))</f>
      </c>
      <c r="K258" s="78">
        <f>IFERROR(MATCH(SMALL(_辅助!$H$4:$H$4503,219),_辅助!$H$4:$H$4503,0),"")</f>
      </c>
    </row>
    <row r="259">
      <c r="A259" s="141">
        <f>IF($K259="","",220)</f>
      </c>
      <c r="B259" s="140">
        <f>IF($K259="","",IF($K259&lt;=1500,INDEX(采购进货!$B$4:$B$1503,$K259),INDEX(资金台帐!$B$7:$B$3006,$K259-1500)))</f>
      </c>
      <c r="C259" s="141">
        <f>IF($K259="","",IF($K259&lt;=1500,IF(N(INDEX(采购进货!$E$4:$E$1503,$K259))&lt;0,"退货","进货"),IF(INDEX(资金台帐!$S$7:$S$3006,$K259-1500)&lt;=0,"付款","退款")&amp;"（"&amp;INDEX(资金台帐!$C$7:$C$3006,$K259-1500)&amp;"）"))</f>
      </c>
      <c r="D259" s="141">
        <f>IF($K259="","",IF($K259&lt;=1500,INDEX(采购进货!$D$4:$D$1503,$K259)&amp;"",""))</f>
      </c>
      <c r="E259" s="148">
        <f>IF($K259="","",IF($K259&lt;=1500,N(INDEX(采购进货!$E$4:$E$1503,$K259))+N(INDEX(采购进货!$H$4:$H$1503,$K259)),""))</f>
      </c>
      <c r="F259" s="149">
        <f>IF($K259="","",IF($K259&lt;=1500,INDEX(采购进货!$F$4:$F$1503,$K259),""))</f>
      </c>
      <c r="G259" s="186">
        <f>IF($K259="","",IF($K259&lt;=1500,N(INDEX(采购进货!$G$4:$G$1503,$K259)),""))</f>
      </c>
      <c r="H259" s="186">
        <f>IF($K259="","",IF($K259&lt;=1500,"",-INDEX(资金台帐!$S$7:$S$3006,$K259-1500)))</f>
      </c>
      <c r="I259" s="187">
        <f>IF($K259="","",I258+N(G259)-N(H259))</f>
      </c>
      <c r="J259" s="213">
        <f>IF($K259="","",IF($K259&lt;=1500,IF(N(INDEX(采购进货!$H$4:$H$1503,$K259))&lt;&gt;0,"含赠品"&amp;INDEX(采购进货!$H$4:$H$1503,$K259)&amp;"件 ","")&amp;INDEX(采购进货!$I$4:$I$1503,$K259),INDEX(资金台帐!$E$7:$E$3006,$K259-1500)&amp;""))</f>
      </c>
      <c r="K259" s="78">
        <f>IFERROR(MATCH(SMALL(_辅助!$H$4:$H$4503,220),_辅助!$H$4:$H$4503,0),"")</f>
      </c>
    </row>
    <row r="260">
      <c r="A260" s="141">
        <f>IF($K260="","",221)</f>
      </c>
      <c r="B260" s="140">
        <f>IF($K260="","",IF($K260&lt;=1500,INDEX(采购进货!$B$4:$B$1503,$K260),INDEX(资金台帐!$B$7:$B$3006,$K260-1500)))</f>
      </c>
      <c r="C260" s="141">
        <f>IF($K260="","",IF($K260&lt;=1500,IF(N(INDEX(采购进货!$E$4:$E$1503,$K260))&lt;0,"退货","进货"),IF(INDEX(资金台帐!$S$7:$S$3006,$K260-1500)&lt;=0,"付款","退款")&amp;"（"&amp;INDEX(资金台帐!$C$7:$C$3006,$K260-1500)&amp;"）"))</f>
      </c>
      <c r="D260" s="141">
        <f>IF($K260="","",IF($K260&lt;=1500,INDEX(采购进货!$D$4:$D$1503,$K260)&amp;"",""))</f>
      </c>
      <c r="E260" s="148">
        <f>IF($K260="","",IF($K260&lt;=1500,N(INDEX(采购进货!$E$4:$E$1503,$K260))+N(INDEX(采购进货!$H$4:$H$1503,$K260)),""))</f>
      </c>
      <c r="F260" s="149">
        <f>IF($K260="","",IF($K260&lt;=1500,INDEX(采购进货!$F$4:$F$1503,$K260),""))</f>
      </c>
      <c r="G260" s="186">
        <f>IF($K260="","",IF($K260&lt;=1500,N(INDEX(采购进货!$G$4:$G$1503,$K260)),""))</f>
      </c>
      <c r="H260" s="186">
        <f>IF($K260="","",IF($K260&lt;=1500,"",-INDEX(资金台帐!$S$7:$S$3006,$K260-1500)))</f>
      </c>
      <c r="I260" s="187">
        <f>IF($K260="","",I259+N(G260)-N(H260))</f>
      </c>
      <c r="J260" s="213">
        <f>IF($K260="","",IF($K260&lt;=1500,IF(N(INDEX(采购进货!$H$4:$H$1503,$K260))&lt;&gt;0,"含赠品"&amp;INDEX(采购进货!$H$4:$H$1503,$K260)&amp;"件 ","")&amp;INDEX(采购进货!$I$4:$I$1503,$K260),INDEX(资金台帐!$E$7:$E$3006,$K260-1500)&amp;""))</f>
      </c>
      <c r="K260" s="78">
        <f>IFERROR(MATCH(SMALL(_辅助!$H$4:$H$4503,221),_辅助!$H$4:$H$4503,0),"")</f>
      </c>
    </row>
    <row r="261">
      <c r="A261" s="141">
        <f>IF($K261="","",222)</f>
      </c>
      <c r="B261" s="140">
        <f>IF($K261="","",IF($K261&lt;=1500,INDEX(采购进货!$B$4:$B$1503,$K261),INDEX(资金台帐!$B$7:$B$3006,$K261-1500)))</f>
      </c>
      <c r="C261" s="141">
        <f>IF($K261="","",IF($K261&lt;=1500,IF(N(INDEX(采购进货!$E$4:$E$1503,$K261))&lt;0,"退货","进货"),IF(INDEX(资金台帐!$S$7:$S$3006,$K261-1500)&lt;=0,"付款","退款")&amp;"（"&amp;INDEX(资金台帐!$C$7:$C$3006,$K261-1500)&amp;"）"))</f>
      </c>
      <c r="D261" s="141">
        <f>IF($K261="","",IF($K261&lt;=1500,INDEX(采购进货!$D$4:$D$1503,$K261)&amp;"",""))</f>
      </c>
      <c r="E261" s="148">
        <f>IF($K261="","",IF($K261&lt;=1500,N(INDEX(采购进货!$E$4:$E$1503,$K261))+N(INDEX(采购进货!$H$4:$H$1503,$K261)),""))</f>
      </c>
      <c r="F261" s="149">
        <f>IF($K261="","",IF($K261&lt;=1500,INDEX(采购进货!$F$4:$F$1503,$K261),""))</f>
      </c>
      <c r="G261" s="186">
        <f>IF($K261="","",IF($K261&lt;=1500,N(INDEX(采购进货!$G$4:$G$1503,$K261)),""))</f>
      </c>
      <c r="H261" s="186">
        <f>IF($K261="","",IF($K261&lt;=1500,"",-INDEX(资金台帐!$S$7:$S$3006,$K261-1500)))</f>
      </c>
      <c r="I261" s="187">
        <f>IF($K261="","",I260+N(G261)-N(H261))</f>
      </c>
      <c r="J261" s="213">
        <f>IF($K261="","",IF($K261&lt;=1500,IF(N(INDEX(采购进货!$H$4:$H$1503,$K261))&lt;&gt;0,"含赠品"&amp;INDEX(采购进货!$H$4:$H$1503,$K261)&amp;"件 ","")&amp;INDEX(采购进货!$I$4:$I$1503,$K261),INDEX(资金台帐!$E$7:$E$3006,$K261-1500)&amp;""))</f>
      </c>
      <c r="K261" s="78">
        <f>IFERROR(MATCH(SMALL(_辅助!$H$4:$H$4503,222),_辅助!$H$4:$H$4503,0),"")</f>
      </c>
    </row>
    <row r="262">
      <c r="A262" s="141">
        <f>IF($K262="","",223)</f>
      </c>
      <c r="B262" s="140">
        <f>IF($K262="","",IF($K262&lt;=1500,INDEX(采购进货!$B$4:$B$1503,$K262),INDEX(资金台帐!$B$7:$B$3006,$K262-1500)))</f>
      </c>
      <c r="C262" s="141">
        <f>IF($K262="","",IF($K262&lt;=1500,IF(N(INDEX(采购进货!$E$4:$E$1503,$K262))&lt;0,"退货","进货"),IF(INDEX(资金台帐!$S$7:$S$3006,$K262-1500)&lt;=0,"付款","退款")&amp;"（"&amp;INDEX(资金台帐!$C$7:$C$3006,$K262-1500)&amp;"）"))</f>
      </c>
      <c r="D262" s="141">
        <f>IF($K262="","",IF($K262&lt;=1500,INDEX(采购进货!$D$4:$D$1503,$K262)&amp;"",""))</f>
      </c>
      <c r="E262" s="148">
        <f>IF($K262="","",IF($K262&lt;=1500,N(INDEX(采购进货!$E$4:$E$1503,$K262))+N(INDEX(采购进货!$H$4:$H$1503,$K262)),""))</f>
      </c>
      <c r="F262" s="149">
        <f>IF($K262="","",IF($K262&lt;=1500,INDEX(采购进货!$F$4:$F$1503,$K262),""))</f>
      </c>
      <c r="G262" s="186">
        <f>IF($K262="","",IF($K262&lt;=1500,N(INDEX(采购进货!$G$4:$G$1503,$K262)),""))</f>
      </c>
      <c r="H262" s="186">
        <f>IF($K262="","",IF($K262&lt;=1500,"",-INDEX(资金台帐!$S$7:$S$3006,$K262-1500)))</f>
      </c>
      <c r="I262" s="187">
        <f>IF($K262="","",I261+N(G262)-N(H262))</f>
      </c>
      <c r="J262" s="213">
        <f>IF($K262="","",IF($K262&lt;=1500,IF(N(INDEX(采购进货!$H$4:$H$1503,$K262))&lt;&gt;0,"含赠品"&amp;INDEX(采购进货!$H$4:$H$1503,$K262)&amp;"件 ","")&amp;INDEX(采购进货!$I$4:$I$1503,$K262),INDEX(资金台帐!$E$7:$E$3006,$K262-1500)&amp;""))</f>
      </c>
      <c r="K262" s="78">
        <f>IFERROR(MATCH(SMALL(_辅助!$H$4:$H$4503,223),_辅助!$H$4:$H$4503,0),"")</f>
      </c>
    </row>
    <row r="263">
      <c r="A263" s="141">
        <f>IF($K263="","",224)</f>
      </c>
      <c r="B263" s="140">
        <f>IF($K263="","",IF($K263&lt;=1500,INDEX(采购进货!$B$4:$B$1503,$K263),INDEX(资金台帐!$B$7:$B$3006,$K263-1500)))</f>
      </c>
      <c r="C263" s="141">
        <f>IF($K263="","",IF($K263&lt;=1500,IF(N(INDEX(采购进货!$E$4:$E$1503,$K263))&lt;0,"退货","进货"),IF(INDEX(资金台帐!$S$7:$S$3006,$K263-1500)&lt;=0,"付款","退款")&amp;"（"&amp;INDEX(资金台帐!$C$7:$C$3006,$K263-1500)&amp;"）"))</f>
      </c>
      <c r="D263" s="141">
        <f>IF($K263="","",IF($K263&lt;=1500,INDEX(采购进货!$D$4:$D$1503,$K263)&amp;"",""))</f>
      </c>
      <c r="E263" s="148">
        <f>IF($K263="","",IF($K263&lt;=1500,N(INDEX(采购进货!$E$4:$E$1503,$K263))+N(INDEX(采购进货!$H$4:$H$1503,$K263)),""))</f>
      </c>
      <c r="F263" s="149">
        <f>IF($K263="","",IF($K263&lt;=1500,INDEX(采购进货!$F$4:$F$1503,$K263),""))</f>
      </c>
      <c r="G263" s="186">
        <f>IF($K263="","",IF($K263&lt;=1500,N(INDEX(采购进货!$G$4:$G$1503,$K263)),""))</f>
      </c>
      <c r="H263" s="186">
        <f>IF($K263="","",IF($K263&lt;=1500,"",-INDEX(资金台帐!$S$7:$S$3006,$K263-1500)))</f>
      </c>
      <c r="I263" s="187">
        <f>IF($K263="","",I262+N(G263)-N(H263))</f>
      </c>
      <c r="J263" s="213">
        <f>IF($K263="","",IF($K263&lt;=1500,IF(N(INDEX(采购进货!$H$4:$H$1503,$K263))&lt;&gt;0,"含赠品"&amp;INDEX(采购进货!$H$4:$H$1503,$K263)&amp;"件 ","")&amp;INDEX(采购进货!$I$4:$I$1503,$K263),INDEX(资金台帐!$E$7:$E$3006,$K263-1500)&amp;""))</f>
      </c>
      <c r="K263" s="78">
        <f>IFERROR(MATCH(SMALL(_辅助!$H$4:$H$4503,224),_辅助!$H$4:$H$4503,0),"")</f>
      </c>
    </row>
    <row r="264">
      <c r="A264" s="141">
        <f>IF($K264="","",225)</f>
      </c>
      <c r="B264" s="140">
        <f>IF($K264="","",IF($K264&lt;=1500,INDEX(采购进货!$B$4:$B$1503,$K264),INDEX(资金台帐!$B$7:$B$3006,$K264-1500)))</f>
      </c>
      <c r="C264" s="141">
        <f>IF($K264="","",IF($K264&lt;=1500,IF(N(INDEX(采购进货!$E$4:$E$1503,$K264))&lt;0,"退货","进货"),IF(INDEX(资金台帐!$S$7:$S$3006,$K264-1500)&lt;=0,"付款","退款")&amp;"（"&amp;INDEX(资金台帐!$C$7:$C$3006,$K264-1500)&amp;"）"))</f>
      </c>
      <c r="D264" s="141">
        <f>IF($K264="","",IF($K264&lt;=1500,INDEX(采购进货!$D$4:$D$1503,$K264)&amp;"",""))</f>
      </c>
      <c r="E264" s="148">
        <f>IF($K264="","",IF($K264&lt;=1500,N(INDEX(采购进货!$E$4:$E$1503,$K264))+N(INDEX(采购进货!$H$4:$H$1503,$K264)),""))</f>
      </c>
      <c r="F264" s="149">
        <f>IF($K264="","",IF($K264&lt;=1500,INDEX(采购进货!$F$4:$F$1503,$K264),""))</f>
      </c>
      <c r="G264" s="186">
        <f>IF($K264="","",IF($K264&lt;=1500,N(INDEX(采购进货!$G$4:$G$1503,$K264)),""))</f>
      </c>
      <c r="H264" s="186">
        <f>IF($K264="","",IF($K264&lt;=1500,"",-INDEX(资金台帐!$S$7:$S$3006,$K264-1500)))</f>
      </c>
      <c r="I264" s="187">
        <f>IF($K264="","",I263+N(G264)-N(H264))</f>
      </c>
      <c r="J264" s="213">
        <f>IF($K264="","",IF($K264&lt;=1500,IF(N(INDEX(采购进货!$H$4:$H$1503,$K264))&lt;&gt;0,"含赠品"&amp;INDEX(采购进货!$H$4:$H$1503,$K264)&amp;"件 ","")&amp;INDEX(采购进货!$I$4:$I$1503,$K264),INDEX(资金台帐!$E$7:$E$3006,$K264-1500)&amp;""))</f>
      </c>
      <c r="K264" s="78">
        <f>IFERROR(MATCH(SMALL(_辅助!$H$4:$H$4503,225),_辅助!$H$4:$H$4503,0),"")</f>
      </c>
    </row>
    <row r="265">
      <c r="A265" s="141">
        <f>IF($K265="","",226)</f>
      </c>
      <c r="B265" s="140">
        <f>IF($K265="","",IF($K265&lt;=1500,INDEX(采购进货!$B$4:$B$1503,$K265),INDEX(资金台帐!$B$7:$B$3006,$K265-1500)))</f>
      </c>
      <c r="C265" s="141">
        <f>IF($K265="","",IF($K265&lt;=1500,IF(N(INDEX(采购进货!$E$4:$E$1503,$K265))&lt;0,"退货","进货"),IF(INDEX(资金台帐!$S$7:$S$3006,$K265-1500)&lt;=0,"付款","退款")&amp;"（"&amp;INDEX(资金台帐!$C$7:$C$3006,$K265-1500)&amp;"）"))</f>
      </c>
      <c r="D265" s="141">
        <f>IF($K265="","",IF($K265&lt;=1500,INDEX(采购进货!$D$4:$D$1503,$K265)&amp;"",""))</f>
      </c>
      <c r="E265" s="148">
        <f>IF($K265="","",IF($K265&lt;=1500,N(INDEX(采购进货!$E$4:$E$1503,$K265))+N(INDEX(采购进货!$H$4:$H$1503,$K265)),""))</f>
      </c>
      <c r="F265" s="149">
        <f>IF($K265="","",IF($K265&lt;=1500,INDEX(采购进货!$F$4:$F$1503,$K265),""))</f>
      </c>
      <c r="G265" s="186">
        <f>IF($K265="","",IF($K265&lt;=1500,N(INDEX(采购进货!$G$4:$G$1503,$K265)),""))</f>
      </c>
      <c r="H265" s="186">
        <f>IF($K265="","",IF($K265&lt;=1500,"",-INDEX(资金台帐!$S$7:$S$3006,$K265-1500)))</f>
      </c>
      <c r="I265" s="187">
        <f>IF($K265="","",I264+N(G265)-N(H265))</f>
      </c>
      <c r="J265" s="213">
        <f>IF($K265="","",IF($K265&lt;=1500,IF(N(INDEX(采购进货!$H$4:$H$1503,$K265))&lt;&gt;0,"含赠品"&amp;INDEX(采购进货!$H$4:$H$1503,$K265)&amp;"件 ","")&amp;INDEX(采购进货!$I$4:$I$1503,$K265),INDEX(资金台帐!$E$7:$E$3006,$K265-1500)&amp;""))</f>
      </c>
      <c r="K265" s="78">
        <f>IFERROR(MATCH(SMALL(_辅助!$H$4:$H$4503,226),_辅助!$H$4:$H$4503,0),"")</f>
      </c>
    </row>
    <row r="266">
      <c r="A266" s="141">
        <f>IF($K266="","",227)</f>
      </c>
      <c r="B266" s="140">
        <f>IF($K266="","",IF($K266&lt;=1500,INDEX(采购进货!$B$4:$B$1503,$K266),INDEX(资金台帐!$B$7:$B$3006,$K266-1500)))</f>
      </c>
      <c r="C266" s="141">
        <f>IF($K266="","",IF($K266&lt;=1500,IF(N(INDEX(采购进货!$E$4:$E$1503,$K266))&lt;0,"退货","进货"),IF(INDEX(资金台帐!$S$7:$S$3006,$K266-1500)&lt;=0,"付款","退款")&amp;"（"&amp;INDEX(资金台帐!$C$7:$C$3006,$K266-1500)&amp;"）"))</f>
      </c>
      <c r="D266" s="141">
        <f>IF($K266="","",IF($K266&lt;=1500,INDEX(采购进货!$D$4:$D$1503,$K266)&amp;"",""))</f>
      </c>
      <c r="E266" s="148">
        <f>IF($K266="","",IF($K266&lt;=1500,N(INDEX(采购进货!$E$4:$E$1503,$K266))+N(INDEX(采购进货!$H$4:$H$1503,$K266)),""))</f>
      </c>
      <c r="F266" s="149">
        <f>IF($K266="","",IF($K266&lt;=1500,INDEX(采购进货!$F$4:$F$1503,$K266),""))</f>
      </c>
      <c r="G266" s="186">
        <f>IF($K266="","",IF($K266&lt;=1500,N(INDEX(采购进货!$G$4:$G$1503,$K266)),""))</f>
      </c>
      <c r="H266" s="186">
        <f>IF($K266="","",IF($K266&lt;=1500,"",-INDEX(资金台帐!$S$7:$S$3006,$K266-1500)))</f>
      </c>
      <c r="I266" s="187">
        <f>IF($K266="","",I265+N(G266)-N(H266))</f>
      </c>
      <c r="J266" s="213">
        <f>IF($K266="","",IF($K266&lt;=1500,IF(N(INDEX(采购进货!$H$4:$H$1503,$K266))&lt;&gt;0,"含赠品"&amp;INDEX(采购进货!$H$4:$H$1503,$K266)&amp;"件 ","")&amp;INDEX(采购进货!$I$4:$I$1503,$K266),INDEX(资金台帐!$E$7:$E$3006,$K266-1500)&amp;""))</f>
      </c>
      <c r="K266" s="78">
        <f>IFERROR(MATCH(SMALL(_辅助!$H$4:$H$4503,227),_辅助!$H$4:$H$4503,0),"")</f>
      </c>
    </row>
    <row r="267">
      <c r="A267" s="141">
        <f>IF($K267="","",228)</f>
      </c>
      <c r="B267" s="140">
        <f>IF($K267="","",IF($K267&lt;=1500,INDEX(采购进货!$B$4:$B$1503,$K267),INDEX(资金台帐!$B$7:$B$3006,$K267-1500)))</f>
      </c>
      <c r="C267" s="141">
        <f>IF($K267="","",IF($K267&lt;=1500,IF(N(INDEX(采购进货!$E$4:$E$1503,$K267))&lt;0,"退货","进货"),IF(INDEX(资金台帐!$S$7:$S$3006,$K267-1500)&lt;=0,"付款","退款")&amp;"（"&amp;INDEX(资金台帐!$C$7:$C$3006,$K267-1500)&amp;"）"))</f>
      </c>
      <c r="D267" s="141">
        <f>IF($K267="","",IF($K267&lt;=1500,INDEX(采购进货!$D$4:$D$1503,$K267)&amp;"",""))</f>
      </c>
      <c r="E267" s="148">
        <f>IF($K267="","",IF($K267&lt;=1500,N(INDEX(采购进货!$E$4:$E$1503,$K267))+N(INDEX(采购进货!$H$4:$H$1503,$K267)),""))</f>
      </c>
      <c r="F267" s="149">
        <f>IF($K267="","",IF($K267&lt;=1500,INDEX(采购进货!$F$4:$F$1503,$K267),""))</f>
      </c>
      <c r="G267" s="186">
        <f>IF($K267="","",IF($K267&lt;=1500,N(INDEX(采购进货!$G$4:$G$1503,$K267)),""))</f>
      </c>
      <c r="H267" s="186">
        <f>IF($K267="","",IF($K267&lt;=1500,"",-INDEX(资金台帐!$S$7:$S$3006,$K267-1500)))</f>
      </c>
      <c r="I267" s="187">
        <f>IF($K267="","",I266+N(G267)-N(H267))</f>
      </c>
      <c r="J267" s="213">
        <f>IF($K267="","",IF($K267&lt;=1500,IF(N(INDEX(采购进货!$H$4:$H$1503,$K267))&lt;&gt;0,"含赠品"&amp;INDEX(采购进货!$H$4:$H$1503,$K267)&amp;"件 ","")&amp;INDEX(采购进货!$I$4:$I$1503,$K267),INDEX(资金台帐!$E$7:$E$3006,$K267-1500)&amp;""))</f>
      </c>
      <c r="K267" s="78">
        <f>IFERROR(MATCH(SMALL(_辅助!$H$4:$H$4503,228),_辅助!$H$4:$H$4503,0),"")</f>
      </c>
    </row>
    <row r="268">
      <c r="A268" s="141">
        <f>IF($K268="","",229)</f>
      </c>
      <c r="B268" s="140">
        <f>IF($K268="","",IF($K268&lt;=1500,INDEX(采购进货!$B$4:$B$1503,$K268),INDEX(资金台帐!$B$7:$B$3006,$K268-1500)))</f>
      </c>
      <c r="C268" s="141">
        <f>IF($K268="","",IF($K268&lt;=1500,IF(N(INDEX(采购进货!$E$4:$E$1503,$K268))&lt;0,"退货","进货"),IF(INDEX(资金台帐!$S$7:$S$3006,$K268-1500)&lt;=0,"付款","退款")&amp;"（"&amp;INDEX(资金台帐!$C$7:$C$3006,$K268-1500)&amp;"）"))</f>
      </c>
      <c r="D268" s="141">
        <f>IF($K268="","",IF($K268&lt;=1500,INDEX(采购进货!$D$4:$D$1503,$K268)&amp;"",""))</f>
      </c>
      <c r="E268" s="148">
        <f>IF($K268="","",IF($K268&lt;=1500,N(INDEX(采购进货!$E$4:$E$1503,$K268))+N(INDEX(采购进货!$H$4:$H$1503,$K268)),""))</f>
      </c>
      <c r="F268" s="149">
        <f>IF($K268="","",IF($K268&lt;=1500,INDEX(采购进货!$F$4:$F$1503,$K268),""))</f>
      </c>
      <c r="G268" s="186">
        <f>IF($K268="","",IF($K268&lt;=1500,N(INDEX(采购进货!$G$4:$G$1503,$K268)),""))</f>
      </c>
      <c r="H268" s="186">
        <f>IF($K268="","",IF($K268&lt;=1500,"",-INDEX(资金台帐!$S$7:$S$3006,$K268-1500)))</f>
      </c>
      <c r="I268" s="187">
        <f>IF($K268="","",I267+N(G268)-N(H268))</f>
      </c>
      <c r="J268" s="213">
        <f>IF($K268="","",IF($K268&lt;=1500,IF(N(INDEX(采购进货!$H$4:$H$1503,$K268))&lt;&gt;0,"含赠品"&amp;INDEX(采购进货!$H$4:$H$1503,$K268)&amp;"件 ","")&amp;INDEX(采购进货!$I$4:$I$1503,$K268),INDEX(资金台帐!$E$7:$E$3006,$K268-1500)&amp;""))</f>
      </c>
      <c r="K268" s="78">
        <f>IFERROR(MATCH(SMALL(_辅助!$H$4:$H$4503,229),_辅助!$H$4:$H$4503,0),"")</f>
      </c>
    </row>
    <row r="269">
      <c r="A269" s="141">
        <f>IF($K269="","",230)</f>
      </c>
      <c r="B269" s="140">
        <f>IF($K269="","",IF($K269&lt;=1500,INDEX(采购进货!$B$4:$B$1503,$K269),INDEX(资金台帐!$B$7:$B$3006,$K269-1500)))</f>
      </c>
      <c r="C269" s="141">
        <f>IF($K269="","",IF($K269&lt;=1500,IF(N(INDEX(采购进货!$E$4:$E$1503,$K269))&lt;0,"退货","进货"),IF(INDEX(资金台帐!$S$7:$S$3006,$K269-1500)&lt;=0,"付款","退款")&amp;"（"&amp;INDEX(资金台帐!$C$7:$C$3006,$K269-1500)&amp;"）"))</f>
      </c>
      <c r="D269" s="141">
        <f>IF($K269="","",IF($K269&lt;=1500,INDEX(采购进货!$D$4:$D$1503,$K269)&amp;"",""))</f>
      </c>
      <c r="E269" s="148">
        <f>IF($K269="","",IF($K269&lt;=1500,N(INDEX(采购进货!$E$4:$E$1503,$K269))+N(INDEX(采购进货!$H$4:$H$1503,$K269)),""))</f>
      </c>
      <c r="F269" s="149">
        <f>IF($K269="","",IF($K269&lt;=1500,INDEX(采购进货!$F$4:$F$1503,$K269),""))</f>
      </c>
      <c r="G269" s="186">
        <f>IF($K269="","",IF($K269&lt;=1500,N(INDEX(采购进货!$G$4:$G$1503,$K269)),""))</f>
      </c>
      <c r="H269" s="186">
        <f>IF($K269="","",IF($K269&lt;=1500,"",-INDEX(资金台帐!$S$7:$S$3006,$K269-1500)))</f>
      </c>
      <c r="I269" s="187">
        <f>IF($K269="","",I268+N(G269)-N(H269))</f>
      </c>
      <c r="J269" s="213">
        <f>IF($K269="","",IF($K269&lt;=1500,IF(N(INDEX(采购进货!$H$4:$H$1503,$K269))&lt;&gt;0,"含赠品"&amp;INDEX(采购进货!$H$4:$H$1503,$K269)&amp;"件 ","")&amp;INDEX(采购进货!$I$4:$I$1503,$K269),INDEX(资金台帐!$E$7:$E$3006,$K269-1500)&amp;""))</f>
      </c>
      <c r="K269" s="78">
        <f>IFERROR(MATCH(SMALL(_辅助!$H$4:$H$4503,230),_辅助!$H$4:$H$4503,0),"")</f>
      </c>
    </row>
    <row r="270">
      <c r="A270" s="141">
        <f>IF($K270="","",231)</f>
      </c>
      <c r="B270" s="140">
        <f>IF($K270="","",IF($K270&lt;=1500,INDEX(采购进货!$B$4:$B$1503,$K270),INDEX(资金台帐!$B$7:$B$3006,$K270-1500)))</f>
      </c>
      <c r="C270" s="141">
        <f>IF($K270="","",IF($K270&lt;=1500,IF(N(INDEX(采购进货!$E$4:$E$1503,$K270))&lt;0,"退货","进货"),IF(INDEX(资金台帐!$S$7:$S$3006,$K270-1500)&lt;=0,"付款","退款")&amp;"（"&amp;INDEX(资金台帐!$C$7:$C$3006,$K270-1500)&amp;"）"))</f>
      </c>
      <c r="D270" s="141">
        <f>IF($K270="","",IF($K270&lt;=1500,INDEX(采购进货!$D$4:$D$1503,$K270)&amp;"",""))</f>
      </c>
      <c r="E270" s="148">
        <f>IF($K270="","",IF($K270&lt;=1500,N(INDEX(采购进货!$E$4:$E$1503,$K270))+N(INDEX(采购进货!$H$4:$H$1503,$K270)),""))</f>
      </c>
      <c r="F270" s="149">
        <f>IF($K270="","",IF($K270&lt;=1500,INDEX(采购进货!$F$4:$F$1503,$K270),""))</f>
      </c>
      <c r="G270" s="186">
        <f>IF($K270="","",IF($K270&lt;=1500,N(INDEX(采购进货!$G$4:$G$1503,$K270)),""))</f>
      </c>
      <c r="H270" s="186">
        <f>IF($K270="","",IF($K270&lt;=1500,"",-INDEX(资金台帐!$S$7:$S$3006,$K270-1500)))</f>
      </c>
      <c r="I270" s="187">
        <f>IF($K270="","",I269+N(G270)-N(H270))</f>
      </c>
      <c r="J270" s="213">
        <f>IF($K270="","",IF($K270&lt;=1500,IF(N(INDEX(采购进货!$H$4:$H$1503,$K270))&lt;&gt;0,"含赠品"&amp;INDEX(采购进货!$H$4:$H$1503,$K270)&amp;"件 ","")&amp;INDEX(采购进货!$I$4:$I$1503,$K270),INDEX(资金台帐!$E$7:$E$3006,$K270-1500)&amp;""))</f>
      </c>
      <c r="K270" s="78">
        <f>IFERROR(MATCH(SMALL(_辅助!$H$4:$H$4503,231),_辅助!$H$4:$H$4503,0),"")</f>
      </c>
    </row>
    <row r="271">
      <c r="A271" s="141">
        <f>IF($K271="","",232)</f>
      </c>
      <c r="B271" s="140">
        <f>IF($K271="","",IF($K271&lt;=1500,INDEX(采购进货!$B$4:$B$1503,$K271),INDEX(资金台帐!$B$7:$B$3006,$K271-1500)))</f>
      </c>
      <c r="C271" s="141">
        <f>IF($K271="","",IF($K271&lt;=1500,IF(N(INDEX(采购进货!$E$4:$E$1503,$K271))&lt;0,"退货","进货"),IF(INDEX(资金台帐!$S$7:$S$3006,$K271-1500)&lt;=0,"付款","退款")&amp;"（"&amp;INDEX(资金台帐!$C$7:$C$3006,$K271-1500)&amp;"）"))</f>
      </c>
      <c r="D271" s="141">
        <f>IF($K271="","",IF($K271&lt;=1500,INDEX(采购进货!$D$4:$D$1503,$K271)&amp;"",""))</f>
      </c>
      <c r="E271" s="148">
        <f>IF($K271="","",IF($K271&lt;=1500,N(INDEX(采购进货!$E$4:$E$1503,$K271))+N(INDEX(采购进货!$H$4:$H$1503,$K271)),""))</f>
      </c>
      <c r="F271" s="149">
        <f>IF($K271="","",IF($K271&lt;=1500,INDEX(采购进货!$F$4:$F$1503,$K271),""))</f>
      </c>
      <c r="G271" s="186">
        <f>IF($K271="","",IF($K271&lt;=1500,N(INDEX(采购进货!$G$4:$G$1503,$K271)),""))</f>
      </c>
      <c r="H271" s="186">
        <f>IF($K271="","",IF($K271&lt;=1500,"",-INDEX(资金台帐!$S$7:$S$3006,$K271-1500)))</f>
      </c>
      <c r="I271" s="187">
        <f>IF($K271="","",I270+N(G271)-N(H271))</f>
      </c>
      <c r="J271" s="213">
        <f>IF($K271="","",IF($K271&lt;=1500,IF(N(INDEX(采购进货!$H$4:$H$1503,$K271))&lt;&gt;0,"含赠品"&amp;INDEX(采购进货!$H$4:$H$1503,$K271)&amp;"件 ","")&amp;INDEX(采购进货!$I$4:$I$1503,$K271),INDEX(资金台帐!$E$7:$E$3006,$K271-1500)&amp;""))</f>
      </c>
      <c r="K271" s="78">
        <f>IFERROR(MATCH(SMALL(_辅助!$H$4:$H$4503,232),_辅助!$H$4:$H$4503,0),"")</f>
      </c>
    </row>
    <row r="272">
      <c r="A272" s="141">
        <f>IF($K272="","",233)</f>
      </c>
      <c r="B272" s="140">
        <f>IF($K272="","",IF($K272&lt;=1500,INDEX(采购进货!$B$4:$B$1503,$K272),INDEX(资金台帐!$B$7:$B$3006,$K272-1500)))</f>
      </c>
      <c r="C272" s="141">
        <f>IF($K272="","",IF($K272&lt;=1500,IF(N(INDEX(采购进货!$E$4:$E$1503,$K272))&lt;0,"退货","进货"),IF(INDEX(资金台帐!$S$7:$S$3006,$K272-1500)&lt;=0,"付款","退款")&amp;"（"&amp;INDEX(资金台帐!$C$7:$C$3006,$K272-1500)&amp;"）"))</f>
      </c>
      <c r="D272" s="141">
        <f>IF($K272="","",IF($K272&lt;=1500,INDEX(采购进货!$D$4:$D$1503,$K272)&amp;"",""))</f>
      </c>
      <c r="E272" s="148">
        <f>IF($K272="","",IF($K272&lt;=1500,N(INDEX(采购进货!$E$4:$E$1503,$K272))+N(INDEX(采购进货!$H$4:$H$1503,$K272)),""))</f>
      </c>
      <c r="F272" s="149">
        <f>IF($K272="","",IF($K272&lt;=1500,INDEX(采购进货!$F$4:$F$1503,$K272),""))</f>
      </c>
      <c r="G272" s="186">
        <f>IF($K272="","",IF($K272&lt;=1500,N(INDEX(采购进货!$G$4:$G$1503,$K272)),""))</f>
      </c>
      <c r="H272" s="186">
        <f>IF($K272="","",IF($K272&lt;=1500,"",-INDEX(资金台帐!$S$7:$S$3006,$K272-1500)))</f>
      </c>
      <c r="I272" s="187">
        <f>IF($K272="","",I271+N(G272)-N(H272))</f>
      </c>
      <c r="J272" s="213">
        <f>IF($K272="","",IF($K272&lt;=1500,IF(N(INDEX(采购进货!$H$4:$H$1503,$K272))&lt;&gt;0,"含赠品"&amp;INDEX(采购进货!$H$4:$H$1503,$K272)&amp;"件 ","")&amp;INDEX(采购进货!$I$4:$I$1503,$K272),INDEX(资金台帐!$E$7:$E$3006,$K272-1500)&amp;""))</f>
      </c>
      <c r="K272" s="78">
        <f>IFERROR(MATCH(SMALL(_辅助!$H$4:$H$4503,233),_辅助!$H$4:$H$4503,0),"")</f>
      </c>
    </row>
    <row r="273">
      <c r="A273" s="141">
        <f>IF($K273="","",234)</f>
      </c>
      <c r="B273" s="140">
        <f>IF($K273="","",IF($K273&lt;=1500,INDEX(采购进货!$B$4:$B$1503,$K273),INDEX(资金台帐!$B$7:$B$3006,$K273-1500)))</f>
      </c>
      <c r="C273" s="141">
        <f>IF($K273="","",IF($K273&lt;=1500,IF(N(INDEX(采购进货!$E$4:$E$1503,$K273))&lt;0,"退货","进货"),IF(INDEX(资金台帐!$S$7:$S$3006,$K273-1500)&lt;=0,"付款","退款")&amp;"（"&amp;INDEX(资金台帐!$C$7:$C$3006,$K273-1500)&amp;"）"))</f>
      </c>
      <c r="D273" s="141">
        <f>IF($K273="","",IF($K273&lt;=1500,INDEX(采购进货!$D$4:$D$1503,$K273)&amp;"",""))</f>
      </c>
      <c r="E273" s="148">
        <f>IF($K273="","",IF($K273&lt;=1500,N(INDEX(采购进货!$E$4:$E$1503,$K273))+N(INDEX(采购进货!$H$4:$H$1503,$K273)),""))</f>
      </c>
      <c r="F273" s="149">
        <f>IF($K273="","",IF($K273&lt;=1500,INDEX(采购进货!$F$4:$F$1503,$K273),""))</f>
      </c>
      <c r="G273" s="186">
        <f>IF($K273="","",IF($K273&lt;=1500,N(INDEX(采购进货!$G$4:$G$1503,$K273)),""))</f>
      </c>
      <c r="H273" s="186">
        <f>IF($K273="","",IF($K273&lt;=1500,"",-INDEX(资金台帐!$S$7:$S$3006,$K273-1500)))</f>
      </c>
      <c r="I273" s="187">
        <f>IF($K273="","",I272+N(G273)-N(H273))</f>
      </c>
      <c r="J273" s="213">
        <f>IF($K273="","",IF($K273&lt;=1500,IF(N(INDEX(采购进货!$H$4:$H$1503,$K273))&lt;&gt;0,"含赠品"&amp;INDEX(采购进货!$H$4:$H$1503,$K273)&amp;"件 ","")&amp;INDEX(采购进货!$I$4:$I$1503,$K273),INDEX(资金台帐!$E$7:$E$3006,$K273-1500)&amp;""))</f>
      </c>
      <c r="K273" s="78">
        <f>IFERROR(MATCH(SMALL(_辅助!$H$4:$H$4503,234),_辅助!$H$4:$H$4503,0),"")</f>
      </c>
    </row>
    <row r="274">
      <c r="A274" s="141">
        <f>IF($K274="","",235)</f>
      </c>
      <c r="B274" s="140">
        <f>IF($K274="","",IF($K274&lt;=1500,INDEX(采购进货!$B$4:$B$1503,$K274),INDEX(资金台帐!$B$7:$B$3006,$K274-1500)))</f>
      </c>
      <c r="C274" s="141">
        <f>IF($K274="","",IF($K274&lt;=1500,IF(N(INDEX(采购进货!$E$4:$E$1503,$K274))&lt;0,"退货","进货"),IF(INDEX(资金台帐!$S$7:$S$3006,$K274-1500)&lt;=0,"付款","退款")&amp;"（"&amp;INDEX(资金台帐!$C$7:$C$3006,$K274-1500)&amp;"）"))</f>
      </c>
      <c r="D274" s="141">
        <f>IF($K274="","",IF($K274&lt;=1500,INDEX(采购进货!$D$4:$D$1503,$K274)&amp;"",""))</f>
      </c>
      <c r="E274" s="148">
        <f>IF($K274="","",IF($K274&lt;=1500,N(INDEX(采购进货!$E$4:$E$1503,$K274))+N(INDEX(采购进货!$H$4:$H$1503,$K274)),""))</f>
      </c>
      <c r="F274" s="149">
        <f>IF($K274="","",IF($K274&lt;=1500,INDEX(采购进货!$F$4:$F$1503,$K274),""))</f>
      </c>
      <c r="G274" s="186">
        <f>IF($K274="","",IF($K274&lt;=1500,N(INDEX(采购进货!$G$4:$G$1503,$K274)),""))</f>
      </c>
      <c r="H274" s="186">
        <f>IF($K274="","",IF($K274&lt;=1500,"",-INDEX(资金台帐!$S$7:$S$3006,$K274-1500)))</f>
      </c>
      <c r="I274" s="187">
        <f>IF($K274="","",I273+N(G274)-N(H274))</f>
      </c>
      <c r="J274" s="213">
        <f>IF($K274="","",IF($K274&lt;=1500,IF(N(INDEX(采购进货!$H$4:$H$1503,$K274))&lt;&gt;0,"含赠品"&amp;INDEX(采购进货!$H$4:$H$1503,$K274)&amp;"件 ","")&amp;INDEX(采购进货!$I$4:$I$1503,$K274),INDEX(资金台帐!$E$7:$E$3006,$K274-1500)&amp;""))</f>
      </c>
      <c r="K274" s="78">
        <f>IFERROR(MATCH(SMALL(_辅助!$H$4:$H$4503,235),_辅助!$H$4:$H$4503,0),"")</f>
      </c>
    </row>
    <row r="275">
      <c r="A275" s="141">
        <f>IF($K275="","",236)</f>
      </c>
      <c r="B275" s="140">
        <f>IF($K275="","",IF($K275&lt;=1500,INDEX(采购进货!$B$4:$B$1503,$K275),INDEX(资金台帐!$B$7:$B$3006,$K275-1500)))</f>
      </c>
      <c r="C275" s="141">
        <f>IF($K275="","",IF($K275&lt;=1500,IF(N(INDEX(采购进货!$E$4:$E$1503,$K275))&lt;0,"退货","进货"),IF(INDEX(资金台帐!$S$7:$S$3006,$K275-1500)&lt;=0,"付款","退款")&amp;"（"&amp;INDEX(资金台帐!$C$7:$C$3006,$K275-1500)&amp;"）"))</f>
      </c>
      <c r="D275" s="141">
        <f>IF($K275="","",IF($K275&lt;=1500,INDEX(采购进货!$D$4:$D$1503,$K275)&amp;"",""))</f>
      </c>
      <c r="E275" s="148">
        <f>IF($K275="","",IF($K275&lt;=1500,N(INDEX(采购进货!$E$4:$E$1503,$K275))+N(INDEX(采购进货!$H$4:$H$1503,$K275)),""))</f>
      </c>
      <c r="F275" s="149">
        <f>IF($K275="","",IF($K275&lt;=1500,INDEX(采购进货!$F$4:$F$1503,$K275),""))</f>
      </c>
      <c r="G275" s="186">
        <f>IF($K275="","",IF($K275&lt;=1500,N(INDEX(采购进货!$G$4:$G$1503,$K275)),""))</f>
      </c>
      <c r="H275" s="186">
        <f>IF($K275="","",IF($K275&lt;=1500,"",-INDEX(资金台帐!$S$7:$S$3006,$K275-1500)))</f>
      </c>
      <c r="I275" s="187">
        <f>IF($K275="","",I274+N(G275)-N(H275))</f>
      </c>
      <c r="J275" s="213">
        <f>IF($K275="","",IF($K275&lt;=1500,IF(N(INDEX(采购进货!$H$4:$H$1503,$K275))&lt;&gt;0,"含赠品"&amp;INDEX(采购进货!$H$4:$H$1503,$K275)&amp;"件 ","")&amp;INDEX(采购进货!$I$4:$I$1503,$K275),INDEX(资金台帐!$E$7:$E$3006,$K275-1500)&amp;""))</f>
      </c>
      <c r="K275" s="78">
        <f>IFERROR(MATCH(SMALL(_辅助!$H$4:$H$4503,236),_辅助!$H$4:$H$4503,0),"")</f>
      </c>
    </row>
    <row r="276">
      <c r="A276" s="141">
        <f>IF($K276="","",237)</f>
      </c>
      <c r="B276" s="140">
        <f>IF($K276="","",IF($K276&lt;=1500,INDEX(采购进货!$B$4:$B$1503,$K276),INDEX(资金台帐!$B$7:$B$3006,$K276-1500)))</f>
      </c>
      <c r="C276" s="141">
        <f>IF($K276="","",IF($K276&lt;=1500,IF(N(INDEX(采购进货!$E$4:$E$1503,$K276))&lt;0,"退货","进货"),IF(INDEX(资金台帐!$S$7:$S$3006,$K276-1500)&lt;=0,"付款","退款")&amp;"（"&amp;INDEX(资金台帐!$C$7:$C$3006,$K276-1500)&amp;"）"))</f>
      </c>
      <c r="D276" s="141">
        <f>IF($K276="","",IF($K276&lt;=1500,INDEX(采购进货!$D$4:$D$1503,$K276)&amp;"",""))</f>
      </c>
      <c r="E276" s="148">
        <f>IF($K276="","",IF($K276&lt;=1500,N(INDEX(采购进货!$E$4:$E$1503,$K276))+N(INDEX(采购进货!$H$4:$H$1503,$K276)),""))</f>
      </c>
      <c r="F276" s="149">
        <f>IF($K276="","",IF($K276&lt;=1500,INDEX(采购进货!$F$4:$F$1503,$K276),""))</f>
      </c>
      <c r="G276" s="186">
        <f>IF($K276="","",IF($K276&lt;=1500,N(INDEX(采购进货!$G$4:$G$1503,$K276)),""))</f>
      </c>
      <c r="H276" s="186">
        <f>IF($K276="","",IF($K276&lt;=1500,"",-INDEX(资金台帐!$S$7:$S$3006,$K276-1500)))</f>
      </c>
      <c r="I276" s="187">
        <f>IF($K276="","",I275+N(G276)-N(H276))</f>
      </c>
      <c r="J276" s="213">
        <f>IF($K276="","",IF($K276&lt;=1500,IF(N(INDEX(采购进货!$H$4:$H$1503,$K276))&lt;&gt;0,"含赠品"&amp;INDEX(采购进货!$H$4:$H$1503,$K276)&amp;"件 ","")&amp;INDEX(采购进货!$I$4:$I$1503,$K276),INDEX(资金台帐!$E$7:$E$3006,$K276-1500)&amp;""))</f>
      </c>
      <c r="K276" s="78">
        <f>IFERROR(MATCH(SMALL(_辅助!$H$4:$H$4503,237),_辅助!$H$4:$H$4503,0),"")</f>
      </c>
    </row>
    <row r="277">
      <c r="A277" s="141">
        <f>IF($K277="","",238)</f>
      </c>
      <c r="B277" s="140">
        <f>IF($K277="","",IF($K277&lt;=1500,INDEX(采购进货!$B$4:$B$1503,$K277),INDEX(资金台帐!$B$7:$B$3006,$K277-1500)))</f>
      </c>
      <c r="C277" s="141">
        <f>IF($K277="","",IF($K277&lt;=1500,IF(N(INDEX(采购进货!$E$4:$E$1503,$K277))&lt;0,"退货","进货"),IF(INDEX(资金台帐!$S$7:$S$3006,$K277-1500)&lt;=0,"付款","退款")&amp;"（"&amp;INDEX(资金台帐!$C$7:$C$3006,$K277-1500)&amp;"）"))</f>
      </c>
      <c r="D277" s="141">
        <f>IF($K277="","",IF($K277&lt;=1500,INDEX(采购进货!$D$4:$D$1503,$K277)&amp;"",""))</f>
      </c>
      <c r="E277" s="148">
        <f>IF($K277="","",IF($K277&lt;=1500,N(INDEX(采购进货!$E$4:$E$1503,$K277))+N(INDEX(采购进货!$H$4:$H$1503,$K277)),""))</f>
      </c>
      <c r="F277" s="149">
        <f>IF($K277="","",IF($K277&lt;=1500,INDEX(采购进货!$F$4:$F$1503,$K277),""))</f>
      </c>
      <c r="G277" s="186">
        <f>IF($K277="","",IF($K277&lt;=1500,N(INDEX(采购进货!$G$4:$G$1503,$K277)),""))</f>
      </c>
      <c r="H277" s="186">
        <f>IF($K277="","",IF($K277&lt;=1500,"",-INDEX(资金台帐!$S$7:$S$3006,$K277-1500)))</f>
      </c>
      <c r="I277" s="187">
        <f>IF($K277="","",I276+N(G277)-N(H277))</f>
      </c>
      <c r="J277" s="213">
        <f>IF($K277="","",IF($K277&lt;=1500,IF(N(INDEX(采购进货!$H$4:$H$1503,$K277))&lt;&gt;0,"含赠品"&amp;INDEX(采购进货!$H$4:$H$1503,$K277)&amp;"件 ","")&amp;INDEX(采购进货!$I$4:$I$1503,$K277),INDEX(资金台帐!$E$7:$E$3006,$K277-1500)&amp;""))</f>
      </c>
      <c r="K277" s="78">
        <f>IFERROR(MATCH(SMALL(_辅助!$H$4:$H$4503,238),_辅助!$H$4:$H$4503,0),"")</f>
      </c>
    </row>
    <row r="278">
      <c r="A278" s="141">
        <f>IF($K278="","",239)</f>
      </c>
      <c r="B278" s="140">
        <f>IF($K278="","",IF($K278&lt;=1500,INDEX(采购进货!$B$4:$B$1503,$K278),INDEX(资金台帐!$B$7:$B$3006,$K278-1500)))</f>
      </c>
      <c r="C278" s="141">
        <f>IF($K278="","",IF($K278&lt;=1500,IF(N(INDEX(采购进货!$E$4:$E$1503,$K278))&lt;0,"退货","进货"),IF(INDEX(资金台帐!$S$7:$S$3006,$K278-1500)&lt;=0,"付款","退款")&amp;"（"&amp;INDEX(资金台帐!$C$7:$C$3006,$K278-1500)&amp;"）"))</f>
      </c>
      <c r="D278" s="141">
        <f>IF($K278="","",IF($K278&lt;=1500,INDEX(采购进货!$D$4:$D$1503,$K278)&amp;"",""))</f>
      </c>
      <c r="E278" s="148">
        <f>IF($K278="","",IF($K278&lt;=1500,N(INDEX(采购进货!$E$4:$E$1503,$K278))+N(INDEX(采购进货!$H$4:$H$1503,$K278)),""))</f>
      </c>
      <c r="F278" s="149">
        <f>IF($K278="","",IF($K278&lt;=1500,INDEX(采购进货!$F$4:$F$1503,$K278),""))</f>
      </c>
      <c r="G278" s="186">
        <f>IF($K278="","",IF($K278&lt;=1500,N(INDEX(采购进货!$G$4:$G$1503,$K278)),""))</f>
      </c>
      <c r="H278" s="186">
        <f>IF($K278="","",IF($K278&lt;=1500,"",-INDEX(资金台帐!$S$7:$S$3006,$K278-1500)))</f>
      </c>
      <c r="I278" s="187">
        <f>IF($K278="","",I277+N(G278)-N(H278))</f>
      </c>
      <c r="J278" s="213">
        <f>IF($K278="","",IF($K278&lt;=1500,IF(N(INDEX(采购进货!$H$4:$H$1503,$K278))&lt;&gt;0,"含赠品"&amp;INDEX(采购进货!$H$4:$H$1503,$K278)&amp;"件 ","")&amp;INDEX(采购进货!$I$4:$I$1503,$K278),INDEX(资金台帐!$E$7:$E$3006,$K278-1500)&amp;""))</f>
      </c>
      <c r="K278" s="78">
        <f>IFERROR(MATCH(SMALL(_辅助!$H$4:$H$4503,239),_辅助!$H$4:$H$4503,0),"")</f>
      </c>
    </row>
    <row r="279">
      <c r="A279" s="141">
        <f>IF($K279="","",240)</f>
      </c>
      <c r="B279" s="140">
        <f>IF($K279="","",IF($K279&lt;=1500,INDEX(采购进货!$B$4:$B$1503,$K279),INDEX(资金台帐!$B$7:$B$3006,$K279-1500)))</f>
      </c>
      <c r="C279" s="141">
        <f>IF($K279="","",IF($K279&lt;=1500,IF(N(INDEX(采购进货!$E$4:$E$1503,$K279))&lt;0,"退货","进货"),IF(INDEX(资金台帐!$S$7:$S$3006,$K279-1500)&lt;=0,"付款","退款")&amp;"（"&amp;INDEX(资金台帐!$C$7:$C$3006,$K279-1500)&amp;"）"))</f>
      </c>
      <c r="D279" s="141">
        <f>IF($K279="","",IF($K279&lt;=1500,INDEX(采购进货!$D$4:$D$1503,$K279)&amp;"",""))</f>
      </c>
      <c r="E279" s="148">
        <f>IF($K279="","",IF($K279&lt;=1500,N(INDEX(采购进货!$E$4:$E$1503,$K279))+N(INDEX(采购进货!$H$4:$H$1503,$K279)),""))</f>
      </c>
      <c r="F279" s="149">
        <f>IF($K279="","",IF($K279&lt;=1500,INDEX(采购进货!$F$4:$F$1503,$K279),""))</f>
      </c>
      <c r="G279" s="186">
        <f>IF($K279="","",IF($K279&lt;=1500,N(INDEX(采购进货!$G$4:$G$1503,$K279)),""))</f>
      </c>
      <c r="H279" s="186">
        <f>IF($K279="","",IF($K279&lt;=1500,"",-INDEX(资金台帐!$S$7:$S$3006,$K279-1500)))</f>
      </c>
      <c r="I279" s="187">
        <f>IF($K279="","",I278+N(G279)-N(H279))</f>
      </c>
      <c r="J279" s="213">
        <f>IF($K279="","",IF($K279&lt;=1500,IF(N(INDEX(采购进货!$H$4:$H$1503,$K279))&lt;&gt;0,"含赠品"&amp;INDEX(采购进货!$H$4:$H$1503,$K279)&amp;"件 ","")&amp;INDEX(采购进货!$I$4:$I$1503,$K279),INDEX(资金台帐!$E$7:$E$3006,$K279-1500)&amp;""))</f>
      </c>
      <c r="K279" s="78">
        <f>IFERROR(MATCH(SMALL(_辅助!$H$4:$H$4503,240),_辅助!$H$4:$H$4503,0),"")</f>
      </c>
    </row>
    <row r="280">
      <c r="A280" s="141">
        <f>IF($K280="","",241)</f>
      </c>
      <c r="B280" s="140">
        <f>IF($K280="","",IF($K280&lt;=1500,INDEX(采购进货!$B$4:$B$1503,$K280),INDEX(资金台帐!$B$7:$B$3006,$K280-1500)))</f>
      </c>
      <c r="C280" s="141">
        <f>IF($K280="","",IF($K280&lt;=1500,IF(N(INDEX(采购进货!$E$4:$E$1503,$K280))&lt;0,"退货","进货"),IF(INDEX(资金台帐!$S$7:$S$3006,$K280-1500)&lt;=0,"付款","退款")&amp;"（"&amp;INDEX(资金台帐!$C$7:$C$3006,$K280-1500)&amp;"）"))</f>
      </c>
      <c r="D280" s="141">
        <f>IF($K280="","",IF($K280&lt;=1500,INDEX(采购进货!$D$4:$D$1503,$K280)&amp;"",""))</f>
      </c>
      <c r="E280" s="148">
        <f>IF($K280="","",IF($K280&lt;=1500,N(INDEX(采购进货!$E$4:$E$1503,$K280))+N(INDEX(采购进货!$H$4:$H$1503,$K280)),""))</f>
      </c>
      <c r="F280" s="149">
        <f>IF($K280="","",IF($K280&lt;=1500,INDEX(采购进货!$F$4:$F$1503,$K280),""))</f>
      </c>
      <c r="G280" s="186">
        <f>IF($K280="","",IF($K280&lt;=1500,N(INDEX(采购进货!$G$4:$G$1503,$K280)),""))</f>
      </c>
      <c r="H280" s="186">
        <f>IF($K280="","",IF($K280&lt;=1500,"",-INDEX(资金台帐!$S$7:$S$3006,$K280-1500)))</f>
      </c>
      <c r="I280" s="187">
        <f>IF($K280="","",I279+N(G280)-N(H280))</f>
      </c>
      <c r="J280" s="213">
        <f>IF($K280="","",IF($K280&lt;=1500,IF(N(INDEX(采购进货!$H$4:$H$1503,$K280))&lt;&gt;0,"含赠品"&amp;INDEX(采购进货!$H$4:$H$1503,$K280)&amp;"件 ","")&amp;INDEX(采购进货!$I$4:$I$1503,$K280),INDEX(资金台帐!$E$7:$E$3006,$K280-1500)&amp;""))</f>
      </c>
      <c r="K280" s="78">
        <f>IFERROR(MATCH(SMALL(_辅助!$H$4:$H$4503,241),_辅助!$H$4:$H$4503,0),"")</f>
      </c>
    </row>
    <row r="281">
      <c r="A281" s="141">
        <f>IF($K281="","",242)</f>
      </c>
      <c r="B281" s="140">
        <f>IF($K281="","",IF($K281&lt;=1500,INDEX(采购进货!$B$4:$B$1503,$K281),INDEX(资金台帐!$B$7:$B$3006,$K281-1500)))</f>
      </c>
      <c r="C281" s="141">
        <f>IF($K281="","",IF($K281&lt;=1500,IF(N(INDEX(采购进货!$E$4:$E$1503,$K281))&lt;0,"退货","进货"),IF(INDEX(资金台帐!$S$7:$S$3006,$K281-1500)&lt;=0,"付款","退款")&amp;"（"&amp;INDEX(资金台帐!$C$7:$C$3006,$K281-1500)&amp;"）"))</f>
      </c>
      <c r="D281" s="141">
        <f>IF($K281="","",IF($K281&lt;=1500,INDEX(采购进货!$D$4:$D$1503,$K281)&amp;"",""))</f>
      </c>
      <c r="E281" s="148">
        <f>IF($K281="","",IF($K281&lt;=1500,N(INDEX(采购进货!$E$4:$E$1503,$K281))+N(INDEX(采购进货!$H$4:$H$1503,$K281)),""))</f>
      </c>
      <c r="F281" s="149">
        <f>IF($K281="","",IF($K281&lt;=1500,INDEX(采购进货!$F$4:$F$1503,$K281),""))</f>
      </c>
      <c r="G281" s="186">
        <f>IF($K281="","",IF($K281&lt;=1500,N(INDEX(采购进货!$G$4:$G$1503,$K281)),""))</f>
      </c>
      <c r="H281" s="186">
        <f>IF($K281="","",IF($K281&lt;=1500,"",-INDEX(资金台帐!$S$7:$S$3006,$K281-1500)))</f>
      </c>
      <c r="I281" s="187">
        <f>IF($K281="","",I280+N(G281)-N(H281))</f>
      </c>
      <c r="J281" s="213">
        <f>IF($K281="","",IF($K281&lt;=1500,IF(N(INDEX(采购进货!$H$4:$H$1503,$K281))&lt;&gt;0,"含赠品"&amp;INDEX(采购进货!$H$4:$H$1503,$K281)&amp;"件 ","")&amp;INDEX(采购进货!$I$4:$I$1503,$K281),INDEX(资金台帐!$E$7:$E$3006,$K281-1500)&amp;""))</f>
      </c>
      <c r="K281" s="78">
        <f>IFERROR(MATCH(SMALL(_辅助!$H$4:$H$4503,242),_辅助!$H$4:$H$4503,0),"")</f>
      </c>
    </row>
    <row r="282">
      <c r="A282" s="141">
        <f>IF($K282="","",243)</f>
      </c>
      <c r="B282" s="140">
        <f>IF($K282="","",IF($K282&lt;=1500,INDEX(采购进货!$B$4:$B$1503,$K282),INDEX(资金台帐!$B$7:$B$3006,$K282-1500)))</f>
      </c>
      <c r="C282" s="141">
        <f>IF($K282="","",IF($K282&lt;=1500,IF(N(INDEX(采购进货!$E$4:$E$1503,$K282))&lt;0,"退货","进货"),IF(INDEX(资金台帐!$S$7:$S$3006,$K282-1500)&lt;=0,"付款","退款")&amp;"（"&amp;INDEX(资金台帐!$C$7:$C$3006,$K282-1500)&amp;"）"))</f>
      </c>
      <c r="D282" s="141">
        <f>IF($K282="","",IF($K282&lt;=1500,INDEX(采购进货!$D$4:$D$1503,$K282)&amp;"",""))</f>
      </c>
      <c r="E282" s="148">
        <f>IF($K282="","",IF($K282&lt;=1500,N(INDEX(采购进货!$E$4:$E$1503,$K282))+N(INDEX(采购进货!$H$4:$H$1503,$K282)),""))</f>
      </c>
      <c r="F282" s="149">
        <f>IF($K282="","",IF($K282&lt;=1500,INDEX(采购进货!$F$4:$F$1503,$K282),""))</f>
      </c>
      <c r="G282" s="186">
        <f>IF($K282="","",IF($K282&lt;=1500,N(INDEX(采购进货!$G$4:$G$1503,$K282)),""))</f>
      </c>
      <c r="H282" s="186">
        <f>IF($K282="","",IF($K282&lt;=1500,"",-INDEX(资金台帐!$S$7:$S$3006,$K282-1500)))</f>
      </c>
      <c r="I282" s="187">
        <f>IF($K282="","",I281+N(G282)-N(H282))</f>
      </c>
      <c r="J282" s="213">
        <f>IF($K282="","",IF($K282&lt;=1500,IF(N(INDEX(采购进货!$H$4:$H$1503,$K282))&lt;&gt;0,"含赠品"&amp;INDEX(采购进货!$H$4:$H$1503,$K282)&amp;"件 ","")&amp;INDEX(采购进货!$I$4:$I$1503,$K282),INDEX(资金台帐!$E$7:$E$3006,$K282-1500)&amp;""))</f>
      </c>
      <c r="K282" s="78">
        <f>IFERROR(MATCH(SMALL(_辅助!$H$4:$H$4503,243),_辅助!$H$4:$H$4503,0),"")</f>
      </c>
    </row>
    <row r="283">
      <c r="A283" s="141">
        <f>IF($K283="","",244)</f>
      </c>
      <c r="B283" s="140">
        <f>IF($K283="","",IF($K283&lt;=1500,INDEX(采购进货!$B$4:$B$1503,$K283),INDEX(资金台帐!$B$7:$B$3006,$K283-1500)))</f>
      </c>
      <c r="C283" s="141">
        <f>IF($K283="","",IF($K283&lt;=1500,IF(N(INDEX(采购进货!$E$4:$E$1503,$K283))&lt;0,"退货","进货"),IF(INDEX(资金台帐!$S$7:$S$3006,$K283-1500)&lt;=0,"付款","退款")&amp;"（"&amp;INDEX(资金台帐!$C$7:$C$3006,$K283-1500)&amp;"）"))</f>
      </c>
      <c r="D283" s="141">
        <f>IF($K283="","",IF($K283&lt;=1500,INDEX(采购进货!$D$4:$D$1503,$K283)&amp;"",""))</f>
      </c>
      <c r="E283" s="148">
        <f>IF($K283="","",IF($K283&lt;=1500,N(INDEX(采购进货!$E$4:$E$1503,$K283))+N(INDEX(采购进货!$H$4:$H$1503,$K283)),""))</f>
      </c>
      <c r="F283" s="149">
        <f>IF($K283="","",IF($K283&lt;=1500,INDEX(采购进货!$F$4:$F$1503,$K283),""))</f>
      </c>
      <c r="G283" s="186">
        <f>IF($K283="","",IF($K283&lt;=1500,N(INDEX(采购进货!$G$4:$G$1503,$K283)),""))</f>
      </c>
      <c r="H283" s="186">
        <f>IF($K283="","",IF($K283&lt;=1500,"",-INDEX(资金台帐!$S$7:$S$3006,$K283-1500)))</f>
      </c>
      <c r="I283" s="187">
        <f>IF($K283="","",I282+N(G283)-N(H283))</f>
      </c>
      <c r="J283" s="213">
        <f>IF($K283="","",IF($K283&lt;=1500,IF(N(INDEX(采购进货!$H$4:$H$1503,$K283))&lt;&gt;0,"含赠品"&amp;INDEX(采购进货!$H$4:$H$1503,$K283)&amp;"件 ","")&amp;INDEX(采购进货!$I$4:$I$1503,$K283),INDEX(资金台帐!$E$7:$E$3006,$K283-1500)&amp;""))</f>
      </c>
      <c r="K283" s="78">
        <f>IFERROR(MATCH(SMALL(_辅助!$H$4:$H$4503,244),_辅助!$H$4:$H$4503,0),"")</f>
      </c>
    </row>
    <row r="284">
      <c r="A284" s="141">
        <f>IF($K284="","",245)</f>
      </c>
      <c r="B284" s="140">
        <f>IF($K284="","",IF($K284&lt;=1500,INDEX(采购进货!$B$4:$B$1503,$K284),INDEX(资金台帐!$B$7:$B$3006,$K284-1500)))</f>
      </c>
      <c r="C284" s="141">
        <f>IF($K284="","",IF($K284&lt;=1500,IF(N(INDEX(采购进货!$E$4:$E$1503,$K284))&lt;0,"退货","进货"),IF(INDEX(资金台帐!$S$7:$S$3006,$K284-1500)&lt;=0,"付款","退款")&amp;"（"&amp;INDEX(资金台帐!$C$7:$C$3006,$K284-1500)&amp;"）"))</f>
      </c>
      <c r="D284" s="141">
        <f>IF($K284="","",IF($K284&lt;=1500,INDEX(采购进货!$D$4:$D$1503,$K284)&amp;"",""))</f>
      </c>
      <c r="E284" s="148">
        <f>IF($K284="","",IF($K284&lt;=1500,N(INDEX(采购进货!$E$4:$E$1503,$K284))+N(INDEX(采购进货!$H$4:$H$1503,$K284)),""))</f>
      </c>
      <c r="F284" s="149">
        <f>IF($K284="","",IF($K284&lt;=1500,INDEX(采购进货!$F$4:$F$1503,$K284),""))</f>
      </c>
      <c r="G284" s="186">
        <f>IF($K284="","",IF($K284&lt;=1500,N(INDEX(采购进货!$G$4:$G$1503,$K284)),""))</f>
      </c>
      <c r="H284" s="186">
        <f>IF($K284="","",IF($K284&lt;=1500,"",-INDEX(资金台帐!$S$7:$S$3006,$K284-1500)))</f>
      </c>
      <c r="I284" s="187">
        <f>IF($K284="","",I283+N(G284)-N(H284))</f>
      </c>
      <c r="J284" s="213">
        <f>IF($K284="","",IF($K284&lt;=1500,IF(N(INDEX(采购进货!$H$4:$H$1503,$K284))&lt;&gt;0,"含赠品"&amp;INDEX(采购进货!$H$4:$H$1503,$K284)&amp;"件 ","")&amp;INDEX(采购进货!$I$4:$I$1503,$K284),INDEX(资金台帐!$E$7:$E$3006,$K284-1500)&amp;""))</f>
      </c>
      <c r="K284" s="78">
        <f>IFERROR(MATCH(SMALL(_辅助!$H$4:$H$4503,245),_辅助!$H$4:$H$4503,0),"")</f>
      </c>
    </row>
    <row r="285">
      <c r="A285" s="141">
        <f>IF($K285="","",246)</f>
      </c>
      <c r="B285" s="140">
        <f>IF($K285="","",IF($K285&lt;=1500,INDEX(采购进货!$B$4:$B$1503,$K285),INDEX(资金台帐!$B$7:$B$3006,$K285-1500)))</f>
      </c>
      <c r="C285" s="141">
        <f>IF($K285="","",IF($K285&lt;=1500,IF(N(INDEX(采购进货!$E$4:$E$1503,$K285))&lt;0,"退货","进货"),IF(INDEX(资金台帐!$S$7:$S$3006,$K285-1500)&lt;=0,"付款","退款")&amp;"（"&amp;INDEX(资金台帐!$C$7:$C$3006,$K285-1500)&amp;"）"))</f>
      </c>
      <c r="D285" s="141">
        <f>IF($K285="","",IF($K285&lt;=1500,INDEX(采购进货!$D$4:$D$1503,$K285)&amp;"",""))</f>
      </c>
      <c r="E285" s="148">
        <f>IF($K285="","",IF($K285&lt;=1500,N(INDEX(采购进货!$E$4:$E$1503,$K285))+N(INDEX(采购进货!$H$4:$H$1503,$K285)),""))</f>
      </c>
      <c r="F285" s="149">
        <f>IF($K285="","",IF($K285&lt;=1500,INDEX(采购进货!$F$4:$F$1503,$K285),""))</f>
      </c>
      <c r="G285" s="186">
        <f>IF($K285="","",IF($K285&lt;=1500,N(INDEX(采购进货!$G$4:$G$1503,$K285)),""))</f>
      </c>
      <c r="H285" s="186">
        <f>IF($K285="","",IF($K285&lt;=1500,"",-INDEX(资金台帐!$S$7:$S$3006,$K285-1500)))</f>
      </c>
      <c r="I285" s="187">
        <f>IF($K285="","",I284+N(G285)-N(H285))</f>
      </c>
      <c r="J285" s="213">
        <f>IF($K285="","",IF($K285&lt;=1500,IF(N(INDEX(采购进货!$H$4:$H$1503,$K285))&lt;&gt;0,"含赠品"&amp;INDEX(采购进货!$H$4:$H$1503,$K285)&amp;"件 ","")&amp;INDEX(采购进货!$I$4:$I$1503,$K285),INDEX(资金台帐!$E$7:$E$3006,$K285-1500)&amp;""))</f>
      </c>
      <c r="K285" s="78">
        <f>IFERROR(MATCH(SMALL(_辅助!$H$4:$H$4503,246),_辅助!$H$4:$H$4503,0),"")</f>
      </c>
    </row>
    <row r="286">
      <c r="A286" s="141">
        <f>IF($K286="","",247)</f>
      </c>
      <c r="B286" s="140">
        <f>IF($K286="","",IF($K286&lt;=1500,INDEX(采购进货!$B$4:$B$1503,$K286),INDEX(资金台帐!$B$7:$B$3006,$K286-1500)))</f>
      </c>
      <c r="C286" s="141">
        <f>IF($K286="","",IF($K286&lt;=1500,IF(N(INDEX(采购进货!$E$4:$E$1503,$K286))&lt;0,"退货","进货"),IF(INDEX(资金台帐!$S$7:$S$3006,$K286-1500)&lt;=0,"付款","退款")&amp;"（"&amp;INDEX(资金台帐!$C$7:$C$3006,$K286-1500)&amp;"）"))</f>
      </c>
      <c r="D286" s="141">
        <f>IF($K286="","",IF($K286&lt;=1500,INDEX(采购进货!$D$4:$D$1503,$K286)&amp;"",""))</f>
      </c>
      <c r="E286" s="148">
        <f>IF($K286="","",IF($K286&lt;=1500,N(INDEX(采购进货!$E$4:$E$1503,$K286))+N(INDEX(采购进货!$H$4:$H$1503,$K286)),""))</f>
      </c>
      <c r="F286" s="149">
        <f>IF($K286="","",IF($K286&lt;=1500,INDEX(采购进货!$F$4:$F$1503,$K286),""))</f>
      </c>
      <c r="G286" s="186">
        <f>IF($K286="","",IF($K286&lt;=1500,N(INDEX(采购进货!$G$4:$G$1503,$K286)),""))</f>
      </c>
      <c r="H286" s="186">
        <f>IF($K286="","",IF($K286&lt;=1500,"",-INDEX(资金台帐!$S$7:$S$3006,$K286-1500)))</f>
      </c>
      <c r="I286" s="187">
        <f>IF($K286="","",I285+N(G286)-N(H286))</f>
      </c>
      <c r="J286" s="213">
        <f>IF($K286="","",IF($K286&lt;=1500,IF(N(INDEX(采购进货!$H$4:$H$1503,$K286))&lt;&gt;0,"含赠品"&amp;INDEX(采购进货!$H$4:$H$1503,$K286)&amp;"件 ","")&amp;INDEX(采购进货!$I$4:$I$1503,$K286),INDEX(资金台帐!$E$7:$E$3006,$K286-1500)&amp;""))</f>
      </c>
      <c r="K286" s="78">
        <f>IFERROR(MATCH(SMALL(_辅助!$H$4:$H$4503,247),_辅助!$H$4:$H$4503,0),"")</f>
      </c>
    </row>
    <row r="287">
      <c r="A287" s="141">
        <f>IF($K287="","",248)</f>
      </c>
      <c r="B287" s="140">
        <f>IF($K287="","",IF($K287&lt;=1500,INDEX(采购进货!$B$4:$B$1503,$K287),INDEX(资金台帐!$B$7:$B$3006,$K287-1500)))</f>
      </c>
      <c r="C287" s="141">
        <f>IF($K287="","",IF($K287&lt;=1500,IF(N(INDEX(采购进货!$E$4:$E$1503,$K287))&lt;0,"退货","进货"),IF(INDEX(资金台帐!$S$7:$S$3006,$K287-1500)&lt;=0,"付款","退款")&amp;"（"&amp;INDEX(资金台帐!$C$7:$C$3006,$K287-1500)&amp;"）"))</f>
      </c>
      <c r="D287" s="141">
        <f>IF($K287="","",IF($K287&lt;=1500,INDEX(采购进货!$D$4:$D$1503,$K287)&amp;"",""))</f>
      </c>
      <c r="E287" s="148">
        <f>IF($K287="","",IF($K287&lt;=1500,N(INDEX(采购进货!$E$4:$E$1503,$K287))+N(INDEX(采购进货!$H$4:$H$1503,$K287)),""))</f>
      </c>
      <c r="F287" s="149">
        <f>IF($K287="","",IF($K287&lt;=1500,INDEX(采购进货!$F$4:$F$1503,$K287),""))</f>
      </c>
      <c r="G287" s="186">
        <f>IF($K287="","",IF($K287&lt;=1500,N(INDEX(采购进货!$G$4:$G$1503,$K287)),""))</f>
      </c>
      <c r="H287" s="186">
        <f>IF($K287="","",IF($K287&lt;=1500,"",-INDEX(资金台帐!$S$7:$S$3006,$K287-1500)))</f>
      </c>
      <c r="I287" s="187">
        <f>IF($K287="","",I286+N(G287)-N(H287))</f>
      </c>
      <c r="J287" s="213">
        <f>IF($K287="","",IF($K287&lt;=1500,IF(N(INDEX(采购进货!$H$4:$H$1503,$K287))&lt;&gt;0,"含赠品"&amp;INDEX(采购进货!$H$4:$H$1503,$K287)&amp;"件 ","")&amp;INDEX(采购进货!$I$4:$I$1503,$K287),INDEX(资金台帐!$E$7:$E$3006,$K287-1500)&amp;""))</f>
      </c>
      <c r="K287" s="78">
        <f>IFERROR(MATCH(SMALL(_辅助!$H$4:$H$4503,248),_辅助!$H$4:$H$4503,0),"")</f>
      </c>
    </row>
    <row r="288">
      <c r="A288" s="141">
        <f>IF($K288="","",249)</f>
      </c>
      <c r="B288" s="140">
        <f>IF($K288="","",IF($K288&lt;=1500,INDEX(采购进货!$B$4:$B$1503,$K288),INDEX(资金台帐!$B$7:$B$3006,$K288-1500)))</f>
      </c>
      <c r="C288" s="141">
        <f>IF($K288="","",IF($K288&lt;=1500,IF(N(INDEX(采购进货!$E$4:$E$1503,$K288))&lt;0,"退货","进货"),IF(INDEX(资金台帐!$S$7:$S$3006,$K288-1500)&lt;=0,"付款","退款")&amp;"（"&amp;INDEX(资金台帐!$C$7:$C$3006,$K288-1500)&amp;"）"))</f>
      </c>
      <c r="D288" s="141">
        <f>IF($K288="","",IF($K288&lt;=1500,INDEX(采购进货!$D$4:$D$1503,$K288)&amp;"",""))</f>
      </c>
      <c r="E288" s="148">
        <f>IF($K288="","",IF($K288&lt;=1500,N(INDEX(采购进货!$E$4:$E$1503,$K288))+N(INDEX(采购进货!$H$4:$H$1503,$K288)),""))</f>
      </c>
      <c r="F288" s="149">
        <f>IF($K288="","",IF($K288&lt;=1500,INDEX(采购进货!$F$4:$F$1503,$K288),""))</f>
      </c>
      <c r="G288" s="186">
        <f>IF($K288="","",IF($K288&lt;=1500,N(INDEX(采购进货!$G$4:$G$1503,$K288)),""))</f>
      </c>
      <c r="H288" s="186">
        <f>IF($K288="","",IF($K288&lt;=1500,"",-INDEX(资金台帐!$S$7:$S$3006,$K288-1500)))</f>
      </c>
      <c r="I288" s="187">
        <f>IF($K288="","",I287+N(G288)-N(H288))</f>
      </c>
      <c r="J288" s="213">
        <f>IF($K288="","",IF($K288&lt;=1500,IF(N(INDEX(采购进货!$H$4:$H$1503,$K288))&lt;&gt;0,"含赠品"&amp;INDEX(采购进货!$H$4:$H$1503,$K288)&amp;"件 ","")&amp;INDEX(采购进货!$I$4:$I$1503,$K288),INDEX(资金台帐!$E$7:$E$3006,$K288-1500)&amp;""))</f>
      </c>
      <c r="K288" s="78">
        <f>IFERROR(MATCH(SMALL(_辅助!$H$4:$H$4503,249),_辅助!$H$4:$H$4503,0),"")</f>
      </c>
    </row>
    <row r="289">
      <c r="A289" s="141">
        <f>IF($K289="","",250)</f>
      </c>
      <c r="B289" s="140">
        <f>IF($K289="","",IF($K289&lt;=1500,INDEX(采购进货!$B$4:$B$1503,$K289),INDEX(资金台帐!$B$7:$B$3006,$K289-1500)))</f>
      </c>
      <c r="C289" s="141">
        <f>IF($K289="","",IF($K289&lt;=1500,IF(N(INDEX(采购进货!$E$4:$E$1503,$K289))&lt;0,"退货","进货"),IF(INDEX(资金台帐!$S$7:$S$3006,$K289-1500)&lt;=0,"付款","退款")&amp;"（"&amp;INDEX(资金台帐!$C$7:$C$3006,$K289-1500)&amp;"）"))</f>
      </c>
      <c r="D289" s="141">
        <f>IF($K289="","",IF($K289&lt;=1500,INDEX(采购进货!$D$4:$D$1503,$K289)&amp;"",""))</f>
      </c>
      <c r="E289" s="148">
        <f>IF($K289="","",IF($K289&lt;=1500,N(INDEX(采购进货!$E$4:$E$1503,$K289))+N(INDEX(采购进货!$H$4:$H$1503,$K289)),""))</f>
      </c>
      <c r="F289" s="149">
        <f>IF($K289="","",IF($K289&lt;=1500,INDEX(采购进货!$F$4:$F$1503,$K289),""))</f>
      </c>
      <c r="G289" s="186">
        <f>IF($K289="","",IF($K289&lt;=1500,N(INDEX(采购进货!$G$4:$G$1503,$K289)),""))</f>
      </c>
      <c r="H289" s="186">
        <f>IF($K289="","",IF($K289&lt;=1500,"",-INDEX(资金台帐!$S$7:$S$3006,$K289-1500)))</f>
      </c>
      <c r="I289" s="187">
        <f>IF($K289="","",I288+N(G289)-N(H289))</f>
      </c>
      <c r="J289" s="213">
        <f>IF($K289="","",IF($K289&lt;=1500,IF(N(INDEX(采购进货!$H$4:$H$1503,$K289))&lt;&gt;0,"含赠品"&amp;INDEX(采购进货!$H$4:$H$1503,$K289)&amp;"件 ","")&amp;INDEX(采购进货!$I$4:$I$1503,$K289),INDEX(资金台帐!$E$7:$E$3006,$K289-1500)&amp;""))</f>
      </c>
      <c r="K289" s="78">
        <f>IFERROR(MATCH(SMALL(_辅助!$H$4:$H$4503,250),_辅助!$H$4:$H$4503,0),"")</f>
      </c>
    </row>
    <row r="290">
      <c r="A290" s="141">
        <f>IF($K290="","",251)</f>
      </c>
      <c r="B290" s="140">
        <f>IF($K290="","",IF($K290&lt;=1500,INDEX(采购进货!$B$4:$B$1503,$K290),INDEX(资金台帐!$B$7:$B$3006,$K290-1500)))</f>
      </c>
      <c r="C290" s="141">
        <f>IF($K290="","",IF($K290&lt;=1500,IF(N(INDEX(采购进货!$E$4:$E$1503,$K290))&lt;0,"退货","进货"),IF(INDEX(资金台帐!$S$7:$S$3006,$K290-1500)&lt;=0,"付款","退款")&amp;"（"&amp;INDEX(资金台帐!$C$7:$C$3006,$K290-1500)&amp;"）"))</f>
      </c>
      <c r="D290" s="141">
        <f>IF($K290="","",IF($K290&lt;=1500,INDEX(采购进货!$D$4:$D$1503,$K290)&amp;"",""))</f>
      </c>
      <c r="E290" s="148">
        <f>IF($K290="","",IF($K290&lt;=1500,N(INDEX(采购进货!$E$4:$E$1503,$K290))+N(INDEX(采购进货!$H$4:$H$1503,$K290)),""))</f>
      </c>
      <c r="F290" s="149">
        <f>IF($K290="","",IF($K290&lt;=1500,INDEX(采购进货!$F$4:$F$1503,$K290),""))</f>
      </c>
      <c r="G290" s="186">
        <f>IF($K290="","",IF($K290&lt;=1500,N(INDEX(采购进货!$G$4:$G$1503,$K290)),""))</f>
      </c>
      <c r="H290" s="186">
        <f>IF($K290="","",IF($K290&lt;=1500,"",-INDEX(资金台帐!$S$7:$S$3006,$K290-1500)))</f>
      </c>
      <c r="I290" s="187">
        <f>IF($K290="","",I289+N(G290)-N(H290))</f>
      </c>
      <c r="J290" s="213">
        <f>IF($K290="","",IF($K290&lt;=1500,IF(N(INDEX(采购进货!$H$4:$H$1503,$K290))&lt;&gt;0,"含赠品"&amp;INDEX(采购进货!$H$4:$H$1503,$K290)&amp;"件 ","")&amp;INDEX(采购进货!$I$4:$I$1503,$K290),INDEX(资金台帐!$E$7:$E$3006,$K290-1500)&amp;""))</f>
      </c>
      <c r="K290" s="78">
        <f>IFERROR(MATCH(SMALL(_辅助!$H$4:$H$4503,251),_辅助!$H$4:$H$4503,0),"")</f>
      </c>
    </row>
    <row r="291">
      <c r="A291" s="141">
        <f>IF($K291="","",252)</f>
      </c>
      <c r="B291" s="140">
        <f>IF($K291="","",IF($K291&lt;=1500,INDEX(采购进货!$B$4:$B$1503,$K291),INDEX(资金台帐!$B$7:$B$3006,$K291-1500)))</f>
      </c>
      <c r="C291" s="141">
        <f>IF($K291="","",IF($K291&lt;=1500,IF(N(INDEX(采购进货!$E$4:$E$1503,$K291))&lt;0,"退货","进货"),IF(INDEX(资金台帐!$S$7:$S$3006,$K291-1500)&lt;=0,"付款","退款")&amp;"（"&amp;INDEX(资金台帐!$C$7:$C$3006,$K291-1500)&amp;"）"))</f>
      </c>
      <c r="D291" s="141">
        <f>IF($K291="","",IF($K291&lt;=1500,INDEX(采购进货!$D$4:$D$1503,$K291)&amp;"",""))</f>
      </c>
      <c r="E291" s="148">
        <f>IF($K291="","",IF($K291&lt;=1500,N(INDEX(采购进货!$E$4:$E$1503,$K291))+N(INDEX(采购进货!$H$4:$H$1503,$K291)),""))</f>
      </c>
      <c r="F291" s="149">
        <f>IF($K291="","",IF($K291&lt;=1500,INDEX(采购进货!$F$4:$F$1503,$K291),""))</f>
      </c>
      <c r="G291" s="186">
        <f>IF($K291="","",IF($K291&lt;=1500,N(INDEX(采购进货!$G$4:$G$1503,$K291)),""))</f>
      </c>
      <c r="H291" s="186">
        <f>IF($K291="","",IF($K291&lt;=1500,"",-INDEX(资金台帐!$S$7:$S$3006,$K291-1500)))</f>
      </c>
      <c r="I291" s="187">
        <f>IF($K291="","",I290+N(G291)-N(H291))</f>
      </c>
      <c r="J291" s="213">
        <f>IF($K291="","",IF($K291&lt;=1500,IF(N(INDEX(采购进货!$H$4:$H$1503,$K291))&lt;&gt;0,"含赠品"&amp;INDEX(采购进货!$H$4:$H$1503,$K291)&amp;"件 ","")&amp;INDEX(采购进货!$I$4:$I$1503,$K291),INDEX(资金台帐!$E$7:$E$3006,$K291-1500)&amp;""))</f>
      </c>
      <c r="K291" s="78">
        <f>IFERROR(MATCH(SMALL(_辅助!$H$4:$H$4503,252),_辅助!$H$4:$H$4503,0),"")</f>
      </c>
    </row>
    <row r="292">
      <c r="A292" s="141">
        <f>IF($K292="","",253)</f>
      </c>
      <c r="B292" s="140">
        <f>IF($K292="","",IF($K292&lt;=1500,INDEX(采购进货!$B$4:$B$1503,$K292),INDEX(资金台帐!$B$7:$B$3006,$K292-1500)))</f>
      </c>
      <c r="C292" s="141">
        <f>IF($K292="","",IF($K292&lt;=1500,IF(N(INDEX(采购进货!$E$4:$E$1503,$K292))&lt;0,"退货","进货"),IF(INDEX(资金台帐!$S$7:$S$3006,$K292-1500)&lt;=0,"付款","退款")&amp;"（"&amp;INDEX(资金台帐!$C$7:$C$3006,$K292-1500)&amp;"）"))</f>
      </c>
      <c r="D292" s="141">
        <f>IF($K292="","",IF($K292&lt;=1500,INDEX(采购进货!$D$4:$D$1503,$K292)&amp;"",""))</f>
      </c>
      <c r="E292" s="148">
        <f>IF($K292="","",IF($K292&lt;=1500,N(INDEX(采购进货!$E$4:$E$1503,$K292))+N(INDEX(采购进货!$H$4:$H$1503,$K292)),""))</f>
      </c>
      <c r="F292" s="149">
        <f>IF($K292="","",IF($K292&lt;=1500,INDEX(采购进货!$F$4:$F$1503,$K292),""))</f>
      </c>
      <c r="G292" s="186">
        <f>IF($K292="","",IF($K292&lt;=1500,N(INDEX(采购进货!$G$4:$G$1503,$K292)),""))</f>
      </c>
      <c r="H292" s="186">
        <f>IF($K292="","",IF($K292&lt;=1500,"",-INDEX(资金台帐!$S$7:$S$3006,$K292-1500)))</f>
      </c>
      <c r="I292" s="187">
        <f>IF($K292="","",I291+N(G292)-N(H292))</f>
      </c>
      <c r="J292" s="213">
        <f>IF($K292="","",IF($K292&lt;=1500,IF(N(INDEX(采购进货!$H$4:$H$1503,$K292))&lt;&gt;0,"含赠品"&amp;INDEX(采购进货!$H$4:$H$1503,$K292)&amp;"件 ","")&amp;INDEX(采购进货!$I$4:$I$1503,$K292),INDEX(资金台帐!$E$7:$E$3006,$K292-1500)&amp;""))</f>
      </c>
      <c r="K292" s="78">
        <f>IFERROR(MATCH(SMALL(_辅助!$H$4:$H$4503,253),_辅助!$H$4:$H$4503,0),"")</f>
      </c>
    </row>
    <row r="293">
      <c r="A293" s="141">
        <f>IF($K293="","",254)</f>
      </c>
      <c r="B293" s="140">
        <f>IF($K293="","",IF($K293&lt;=1500,INDEX(采购进货!$B$4:$B$1503,$K293),INDEX(资金台帐!$B$7:$B$3006,$K293-1500)))</f>
      </c>
      <c r="C293" s="141">
        <f>IF($K293="","",IF($K293&lt;=1500,IF(N(INDEX(采购进货!$E$4:$E$1503,$K293))&lt;0,"退货","进货"),IF(INDEX(资金台帐!$S$7:$S$3006,$K293-1500)&lt;=0,"付款","退款")&amp;"（"&amp;INDEX(资金台帐!$C$7:$C$3006,$K293-1500)&amp;"）"))</f>
      </c>
      <c r="D293" s="141">
        <f>IF($K293="","",IF($K293&lt;=1500,INDEX(采购进货!$D$4:$D$1503,$K293)&amp;"",""))</f>
      </c>
      <c r="E293" s="148">
        <f>IF($K293="","",IF($K293&lt;=1500,N(INDEX(采购进货!$E$4:$E$1503,$K293))+N(INDEX(采购进货!$H$4:$H$1503,$K293)),""))</f>
      </c>
      <c r="F293" s="149">
        <f>IF($K293="","",IF($K293&lt;=1500,INDEX(采购进货!$F$4:$F$1503,$K293),""))</f>
      </c>
      <c r="G293" s="186">
        <f>IF($K293="","",IF($K293&lt;=1500,N(INDEX(采购进货!$G$4:$G$1503,$K293)),""))</f>
      </c>
      <c r="H293" s="186">
        <f>IF($K293="","",IF($K293&lt;=1500,"",-INDEX(资金台帐!$S$7:$S$3006,$K293-1500)))</f>
      </c>
      <c r="I293" s="187">
        <f>IF($K293="","",I292+N(G293)-N(H293))</f>
      </c>
      <c r="J293" s="213">
        <f>IF($K293="","",IF($K293&lt;=1500,IF(N(INDEX(采购进货!$H$4:$H$1503,$K293))&lt;&gt;0,"含赠品"&amp;INDEX(采购进货!$H$4:$H$1503,$K293)&amp;"件 ","")&amp;INDEX(采购进货!$I$4:$I$1503,$K293),INDEX(资金台帐!$E$7:$E$3006,$K293-1500)&amp;""))</f>
      </c>
      <c r="K293" s="78">
        <f>IFERROR(MATCH(SMALL(_辅助!$H$4:$H$4503,254),_辅助!$H$4:$H$4503,0),"")</f>
      </c>
    </row>
    <row r="294">
      <c r="A294" s="141">
        <f>IF($K294="","",255)</f>
      </c>
      <c r="B294" s="140">
        <f>IF($K294="","",IF($K294&lt;=1500,INDEX(采购进货!$B$4:$B$1503,$K294),INDEX(资金台帐!$B$7:$B$3006,$K294-1500)))</f>
      </c>
      <c r="C294" s="141">
        <f>IF($K294="","",IF($K294&lt;=1500,IF(N(INDEX(采购进货!$E$4:$E$1503,$K294))&lt;0,"退货","进货"),IF(INDEX(资金台帐!$S$7:$S$3006,$K294-1500)&lt;=0,"付款","退款")&amp;"（"&amp;INDEX(资金台帐!$C$7:$C$3006,$K294-1500)&amp;"）"))</f>
      </c>
      <c r="D294" s="141">
        <f>IF($K294="","",IF($K294&lt;=1500,INDEX(采购进货!$D$4:$D$1503,$K294)&amp;"",""))</f>
      </c>
      <c r="E294" s="148">
        <f>IF($K294="","",IF($K294&lt;=1500,N(INDEX(采购进货!$E$4:$E$1503,$K294))+N(INDEX(采购进货!$H$4:$H$1503,$K294)),""))</f>
      </c>
      <c r="F294" s="149">
        <f>IF($K294="","",IF($K294&lt;=1500,INDEX(采购进货!$F$4:$F$1503,$K294),""))</f>
      </c>
      <c r="G294" s="186">
        <f>IF($K294="","",IF($K294&lt;=1500,N(INDEX(采购进货!$G$4:$G$1503,$K294)),""))</f>
      </c>
      <c r="H294" s="186">
        <f>IF($K294="","",IF($K294&lt;=1500,"",-INDEX(资金台帐!$S$7:$S$3006,$K294-1500)))</f>
      </c>
      <c r="I294" s="187">
        <f>IF($K294="","",I293+N(G294)-N(H294))</f>
      </c>
      <c r="J294" s="213">
        <f>IF($K294="","",IF($K294&lt;=1500,IF(N(INDEX(采购进货!$H$4:$H$1503,$K294))&lt;&gt;0,"含赠品"&amp;INDEX(采购进货!$H$4:$H$1503,$K294)&amp;"件 ","")&amp;INDEX(采购进货!$I$4:$I$1503,$K294),INDEX(资金台帐!$E$7:$E$3006,$K294-1500)&amp;""))</f>
      </c>
      <c r="K294" s="78">
        <f>IFERROR(MATCH(SMALL(_辅助!$H$4:$H$4503,255),_辅助!$H$4:$H$4503,0),"")</f>
      </c>
    </row>
    <row r="295">
      <c r="A295" s="141">
        <f>IF($K295="","",256)</f>
      </c>
      <c r="B295" s="140">
        <f>IF($K295="","",IF($K295&lt;=1500,INDEX(采购进货!$B$4:$B$1503,$K295),INDEX(资金台帐!$B$7:$B$3006,$K295-1500)))</f>
      </c>
      <c r="C295" s="141">
        <f>IF($K295="","",IF($K295&lt;=1500,IF(N(INDEX(采购进货!$E$4:$E$1503,$K295))&lt;0,"退货","进货"),IF(INDEX(资金台帐!$S$7:$S$3006,$K295-1500)&lt;=0,"付款","退款")&amp;"（"&amp;INDEX(资金台帐!$C$7:$C$3006,$K295-1500)&amp;"）"))</f>
      </c>
      <c r="D295" s="141">
        <f>IF($K295="","",IF($K295&lt;=1500,INDEX(采购进货!$D$4:$D$1503,$K295)&amp;"",""))</f>
      </c>
      <c r="E295" s="148">
        <f>IF($K295="","",IF($K295&lt;=1500,N(INDEX(采购进货!$E$4:$E$1503,$K295))+N(INDEX(采购进货!$H$4:$H$1503,$K295)),""))</f>
      </c>
      <c r="F295" s="149">
        <f>IF($K295="","",IF($K295&lt;=1500,INDEX(采购进货!$F$4:$F$1503,$K295),""))</f>
      </c>
      <c r="G295" s="186">
        <f>IF($K295="","",IF($K295&lt;=1500,N(INDEX(采购进货!$G$4:$G$1503,$K295)),""))</f>
      </c>
      <c r="H295" s="186">
        <f>IF($K295="","",IF($K295&lt;=1500,"",-INDEX(资金台帐!$S$7:$S$3006,$K295-1500)))</f>
      </c>
      <c r="I295" s="187">
        <f>IF($K295="","",I294+N(G295)-N(H295))</f>
      </c>
      <c r="J295" s="213">
        <f>IF($K295="","",IF($K295&lt;=1500,IF(N(INDEX(采购进货!$H$4:$H$1503,$K295))&lt;&gt;0,"含赠品"&amp;INDEX(采购进货!$H$4:$H$1503,$K295)&amp;"件 ","")&amp;INDEX(采购进货!$I$4:$I$1503,$K295),INDEX(资金台帐!$E$7:$E$3006,$K295-1500)&amp;""))</f>
      </c>
      <c r="K295" s="78">
        <f>IFERROR(MATCH(SMALL(_辅助!$H$4:$H$4503,256),_辅助!$H$4:$H$4503,0),"")</f>
      </c>
    </row>
    <row r="296">
      <c r="A296" s="141">
        <f>IF($K296="","",257)</f>
      </c>
      <c r="B296" s="140">
        <f>IF($K296="","",IF($K296&lt;=1500,INDEX(采购进货!$B$4:$B$1503,$K296),INDEX(资金台帐!$B$7:$B$3006,$K296-1500)))</f>
      </c>
      <c r="C296" s="141">
        <f>IF($K296="","",IF($K296&lt;=1500,IF(N(INDEX(采购进货!$E$4:$E$1503,$K296))&lt;0,"退货","进货"),IF(INDEX(资金台帐!$S$7:$S$3006,$K296-1500)&lt;=0,"付款","退款")&amp;"（"&amp;INDEX(资金台帐!$C$7:$C$3006,$K296-1500)&amp;"）"))</f>
      </c>
      <c r="D296" s="141">
        <f>IF($K296="","",IF($K296&lt;=1500,INDEX(采购进货!$D$4:$D$1503,$K296)&amp;"",""))</f>
      </c>
      <c r="E296" s="148">
        <f>IF($K296="","",IF($K296&lt;=1500,N(INDEX(采购进货!$E$4:$E$1503,$K296))+N(INDEX(采购进货!$H$4:$H$1503,$K296)),""))</f>
      </c>
      <c r="F296" s="149">
        <f>IF($K296="","",IF($K296&lt;=1500,INDEX(采购进货!$F$4:$F$1503,$K296),""))</f>
      </c>
      <c r="G296" s="186">
        <f>IF($K296="","",IF($K296&lt;=1500,N(INDEX(采购进货!$G$4:$G$1503,$K296)),""))</f>
      </c>
      <c r="H296" s="186">
        <f>IF($K296="","",IF($K296&lt;=1500,"",-INDEX(资金台帐!$S$7:$S$3006,$K296-1500)))</f>
      </c>
      <c r="I296" s="187">
        <f>IF($K296="","",I295+N(G296)-N(H296))</f>
      </c>
      <c r="J296" s="213">
        <f>IF($K296="","",IF($K296&lt;=1500,IF(N(INDEX(采购进货!$H$4:$H$1503,$K296))&lt;&gt;0,"含赠品"&amp;INDEX(采购进货!$H$4:$H$1503,$K296)&amp;"件 ","")&amp;INDEX(采购进货!$I$4:$I$1503,$K296),INDEX(资金台帐!$E$7:$E$3006,$K296-1500)&amp;""))</f>
      </c>
      <c r="K296" s="78">
        <f>IFERROR(MATCH(SMALL(_辅助!$H$4:$H$4503,257),_辅助!$H$4:$H$4503,0),"")</f>
      </c>
    </row>
    <row r="297">
      <c r="A297" s="141">
        <f>IF($K297="","",258)</f>
      </c>
      <c r="B297" s="140">
        <f>IF($K297="","",IF($K297&lt;=1500,INDEX(采购进货!$B$4:$B$1503,$K297),INDEX(资金台帐!$B$7:$B$3006,$K297-1500)))</f>
      </c>
      <c r="C297" s="141">
        <f>IF($K297="","",IF($K297&lt;=1500,IF(N(INDEX(采购进货!$E$4:$E$1503,$K297))&lt;0,"退货","进货"),IF(INDEX(资金台帐!$S$7:$S$3006,$K297-1500)&lt;=0,"付款","退款")&amp;"（"&amp;INDEX(资金台帐!$C$7:$C$3006,$K297-1500)&amp;"）"))</f>
      </c>
      <c r="D297" s="141">
        <f>IF($K297="","",IF($K297&lt;=1500,INDEX(采购进货!$D$4:$D$1503,$K297)&amp;"",""))</f>
      </c>
      <c r="E297" s="148">
        <f>IF($K297="","",IF($K297&lt;=1500,N(INDEX(采购进货!$E$4:$E$1503,$K297))+N(INDEX(采购进货!$H$4:$H$1503,$K297)),""))</f>
      </c>
      <c r="F297" s="149">
        <f>IF($K297="","",IF($K297&lt;=1500,INDEX(采购进货!$F$4:$F$1503,$K297),""))</f>
      </c>
      <c r="G297" s="186">
        <f>IF($K297="","",IF($K297&lt;=1500,N(INDEX(采购进货!$G$4:$G$1503,$K297)),""))</f>
      </c>
      <c r="H297" s="186">
        <f>IF($K297="","",IF($K297&lt;=1500,"",-INDEX(资金台帐!$S$7:$S$3006,$K297-1500)))</f>
      </c>
      <c r="I297" s="187">
        <f>IF($K297="","",I296+N(G297)-N(H297))</f>
      </c>
      <c r="J297" s="213">
        <f>IF($K297="","",IF($K297&lt;=1500,IF(N(INDEX(采购进货!$H$4:$H$1503,$K297))&lt;&gt;0,"含赠品"&amp;INDEX(采购进货!$H$4:$H$1503,$K297)&amp;"件 ","")&amp;INDEX(采购进货!$I$4:$I$1503,$K297),INDEX(资金台帐!$E$7:$E$3006,$K297-1500)&amp;""))</f>
      </c>
      <c r="K297" s="78">
        <f>IFERROR(MATCH(SMALL(_辅助!$H$4:$H$4503,258),_辅助!$H$4:$H$4503,0),"")</f>
      </c>
    </row>
    <row r="298">
      <c r="A298" s="141">
        <f>IF($K298="","",259)</f>
      </c>
      <c r="B298" s="140">
        <f>IF($K298="","",IF($K298&lt;=1500,INDEX(采购进货!$B$4:$B$1503,$K298),INDEX(资金台帐!$B$7:$B$3006,$K298-1500)))</f>
      </c>
      <c r="C298" s="141">
        <f>IF($K298="","",IF($K298&lt;=1500,IF(N(INDEX(采购进货!$E$4:$E$1503,$K298))&lt;0,"退货","进货"),IF(INDEX(资金台帐!$S$7:$S$3006,$K298-1500)&lt;=0,"付款","退款")&amp;"（"&amp;INDEX(资金台帐!$C$7:$C$3006,$K298-1500)&amp;"）"))</f>
      </c>
      <c r="D298" s="141">
        <f>IF($K298="","",IF($K298&lt;=1500,INDEX(采购进货!$D$4:$D$1503,$K298)&amp;"",""))</f>
      </c>
      <c r="E298" s="148">
        <f>IF($K298="","",IF($K298&lt;=1500,N(INDEX(采购进货!$E$4:$E$1503,$K298))+N(INDEX(采购进货!$H$4:$H$1503,$K298)),""))</f>
      </c>
      <c r="F298" s="149">
        <f>IF($K298="","",IF($K298&lt;=1500,INDEX(采购进货!$F$4:$F$1503,$K298),""))</f>
      </c>
      <c r="G298" s="186">
        <f>IF($K298="","",IF($K298&lt;=1500,N(INDEX(采购进货!$G$4:$G$1503,$K298)),""))</f>
      </c>
      <c r="H298" s="186">
        <f>IF($K298="","",IF($K298&lt;=1500,"",-INDEX(资金台帐!$S$7:$S$3006,$K298-1500)))</f>
      </c>
      <c r="I298" s="187">
        <f>IF($K298="","",I297+N(G298)-N(H298))</f>
      </c>
      <c r="J298" s="213">
        <f>IF($K298="","",IF($K298&lt;=1500,IF(N(INDEX(采购进货!$H$4:$H$1503,$K298))&lt;&gt;0,"含赠品"&amp;INDEX(采购进货!$H$4:$H$1503,$K298)&amp;"件 ","")&amp;INDEX(采购进货!$I$4:$I$1503,$K298),INDEX(资金台帐!$E$7:$E$3006,$K298-1500)&amp;""))</f>
      </c>
      <c r="K298" s="78">
        <f>IFERROR(MATCH(SMALL(_辅助!$H$4:$H$4503,259),_辅助!$H$4:$H$4503,0),"")</f>
      </c>
    </row>
    <row r="299">
      <c r="A299" s="141">
        <f>IF($K299="","",260)</f>
      </c>
      <c r="B299" s="140">
        <f>IF($K299="","",IF($K299&lt;=1500,INDEX(采购进货!$B$4:$B$1503,$K299),INDEX(资金台帐!$B$7:$B$3006,$K299-1500)))</f>
      </c>
      <c r="C299" s="141">
        <f>IF($K299="","",IF($K299&lt;=1500,IF(N(INDEX(采购进货!$E$4:$E$1503,$K299))&lt;0,"退货","进货"),IF(INDEX(资金台帐!$S$7:$S$3006,$K299-1500)&lt;=0,"付款","退款")&amp;"（"&amp;INDEX(资金台帐!$C$7:$C$3006,$K299-1500)&amp;"）"))</f>
      </c>
      <c r="D299" s="141">
        <f>IF($K299="","",IF($K299&lt;=1500,INDEX(采购进货!$D$4:$D$1503,$K299)&amp;"",""))</f>
      </c>
      <c r="E299" s="148">
        <f>IF($K299="","",IF($K299&lt;=1500,N(INDEX(采购进货!$E$4:$E$1503,$K299))+N(INDEX(采购进货!$H$4:$H$1503,$K299)),""))</f>
      </c>
      <c r="F299" s="149">
        <f>IF($K299="","",IF($K299&lt;=1500,INDEX(采购进货!$F$4:$F$1503,$K299),""))</f>
      </c>
      <c r="G299" s="186">
        <f>IF($K299="","",IF($K299&lt;=1500,N(INDEX(采购进货!$G$4:$G$1503,$K299)),""))</f>
      </c>
      <c r="H299" s="186">
        <f>IF($K299="","",IF($K299&lt;=1500,"",-INDEX(资金台帐!$S$7:$S$3006,$K299-1500)))</f>
      </c>
      <c r="I299" s="187">
        <f>IF($K299="","",I298+N(G299)-N(H299))</f>
      </c>
      <c r="J299" s="213">
        <f>IF($K299="","",IF($K299&lt;=1500,IF(N(INDEX(采购进货!$H$4:$H$1503,$K299))&lt;&gt;0,"含赠品"&amp;INDEX(采购进货!$H$4:$H$1503,$K299)&amp;"件 ","")&amp;INDEX(采购进货!$I$4:$I$1503,$K299),INDEX(资金台帐!$E$7:$E$3006,$K299-1500)&amp;""))</f>
      </c>
      <c r="K299" s="78">
        <f>IFERROR(MATCH(SMALL(_辅助!$H$4:$H$4503,260),_辅助!$H$4:$H$4503,0),"")</f>
      </c>
    </row>
    <row r="300">
      <c r="A300" s="141">
        <f>IF($K300="","",261)</f>
      </c>
      <c r="B300" s="140">
        <f>IF($K300="","",IF($K300&lt;=1500,INDEX(采购进货!$B$4:$B$1503,$K300),INDEX(资金台帐!$B$7:$B$3006,$K300-1500)))</f>
      </c>
      <c r="C300" s="141">
        <f>IF($K300="","",IF($K300&lt;=1500,IF(N(INDEX(采购进货!$E$4:$E$1503,$K300))&lt;0,"退货","进货"),IF(INDEX(资金台帐!$S$7:$S$3006,$K300-1500)&lt;=0,"付款","退款")&amp;"（"&amp;INDEX(资金台帐!$C$7:$C$3006,$K300-1500)&amp;"）"))</f>
      </c>
      <c r="D300" s="141">
        <f>IF($K300="","",IF($K300&lt;=1500,INDEX(采购进货!$D$4:$D$1503,$K300)&amp;"",""))</f>
      </c>
      <c r="E300" s="148">
        <f>IF($K300="","",IF($K300&lt;=1500,N(INDEX(采购进货!$E$4:$E$1503,$K300))+N(INDEX(采购进货!$H$4:$H$1503,$K300)),""))</f>
      </c>
      <c r="F300" s="149">
        <f>IF($K300="","",IF($K300&lt;=1500,INDEX(采购进货!$F$4:$F$1503,$K300),""))</f>
      </c>
      <c r="G300" s="186">
        <f>IF($K300="","",IF($K300&lt;=1500,N(INDEX(采购进货!$G$4:$G$1503,$K300)),""))</f>
      </c>
      <c r="H300" s="186">
        <f>IF($K300="","",IF($K300&lt;=1500,"",-INDEX(资金台帐!$S$7:$S$3006,$K300-1500)))</f>
      </c>
      <c r="I300" s="187">
        <f>IF($K300="","",I299+N(G300)-N(H300))</f>
      </c>
      <c r="J300" s="213">
        <f>IF($K300="","",IF($K300&lt;=1500,IF(N(INDEX(采购进货!$H$4:$H$1503,$K300))&lt;&gt;0,"含赠品"&amp;INDEX(采购进货!$H$4:$H$1503,$K300)&amp;"件 ","")&amp;INDEX(采购进货!$I$4:$I$1503,$K300),INDEX(资金台帐!$E$7:$E$3006,$K300-1500)&amp;""))</f>
      </c>
      <c r="K300" s="78">
        <f>IFERROR(MATCH(SMALL(_辅助!$H$4:$H$4503,261),_辅助!$H$4:$H$4503,0),"")</f>
      </c>
    </row>
    <row r="301">
      <c r="A301" s="141">
        <f>IF($K301="","",262)</f>
      </c>
      <c r="B301" s="140">
        <f>IF($K301="","",IF($K301&lt;=1500,INDEX(采购进货!$B$4:$B$1503,$K301),INDEX(资金台帐!$B$7:$B$3006,$K301-1500)))</f>
      </c>
      <c r="C301" s="141">
        <f>IF($K301="","",IF($K301&lt;=1500,IF(N(INDEX(采购进货!$E$4:$E$1503,$K301))&lt;0,"退货","进货"),IF(INDEX(资金台帐!$S$7:$S$3006,$K301-1500)&lt;=0,"付款","退款")&amp;"（"&amp;INDEX(资金台帐!$C$7:$C$3006,$K301-1500)&amp;"）"))</f>
      </c>
      <c r="D301" s="141">
        <f>IF($K301="","",IF($K301&lt;=1500,INDEX(采购进货!$D$4:$D$1503,$K301)&amp;"",""))</f>
      </c>
      <c r="E301" s="148">
        <f>IF($K301="","",IF($K301&lt;=1500,N(INDEX(采购进货!$E$4:$E$1503,$K301))+N(INDEX(采购进货!$H$4:$H$1503,$K301)),""))</f>
      </c>
      <c r="F301" s="149">
        <f>IF($K301="","",IF($K301&lt;=1500,INDEX(采购进货!$F$4:$F$1503,$K301),""))</f>
      </c>
      <c r="G301" s="186">
        <f>IF($K301="","",IF($K301&lt;=1500,N(INDEX(采购进货!$G$4:$G$1503,$K301)),""))</f>
      </c>
      <c r="H301" s="186">
        <f>IF($K301="","",IF($K301&lt;=1500,"",-INDEX(资金台帐!$S$7:$S$3006,$K301-1500)))</f>
      </c>
      <c r="I301" s="187">
        <f>IF($K301="","",I300+N(G301)-N(H301))</f>
      </c>
      <c r="J301" s="213">
        <f>IF($K301="","",IF($K301&lt;=1500,IF(N(INDEX(采购进货!$H$4:$H$1503,$K301))&lt;&gt;0,"含赠品"&amp;INDEX(采购进货!$H$4:$H$1503,$K301)&amp;"件 ","")&amp;INDEX(采购进货!$I$4:$I$1503,$K301),INDEX(资金台帐!$E$7:$E$3006,$K301-1500)&amp;""))</f>
      </c>
      <c r="K301" s="78">
        <f>IFERROR(MATCH(SMALL(_辅助!$H$4:$H$4503,262),_辅助!$H$4:$H$4503,0),"")</f>
      </c>
    </row>
    <row r="302">
      <c r="A302" s="141">
        <f>IF($K302="","",263)</f>
      </c>
      <c r="B302" s="140">
        <f>IF($K302="","",IF($K302&lt;=1500,INDEX(采购进货!$B$4:$B$1503,$K302),INDEX(资金台帐!$B$7:$B$3006,$K302-1500)))</f>
      </c>
      <c r="C302" s="141">
        <f>IF($K302="","",IF($K302&lt;=1500,IF(N(INDEX(采购进货!$E$4:$E$1503,$K302))&lt;0,"退货","进货"),IF(INDEX(资金台帐!$S$7:$S$3006,$K302-1500)&lt;=0,"付款","退款")&amp;"（"&amp;INDEX(资金台帐!$C$7:$C$3006,$K302-1500)&amp;"）"))</f>
      </c>
      <c r="D302" s="141">
        <f>IF($K302="","",IF($K302&lt;=1500,INDEX(采购进货!$D$4:$D$1503,$K302)&amp;"",""))</f>
      </c>
      <c r="E302" s="148">
        <f>IF($K302="","",IF($K302&lt;=1500,N(INDEX(采购进货!$E$4:$E$1503,$K302))+N(INDEX(采购进货!$H$4:$H$1503,$K302)),""))</f>
      </c>
      <c r="F302" s="149">
        <f>IF($K302="","",IF($K302&lt;=1500,INDEX(采购进货!$F$4:$F$1503,$K302),""))</f>
      </c>
      <c r="G302" s="186">
        <f>IF($K302="","",IF($K302&lt;=1500,N(INDEX(采购进货!$G$4:$G$1503,$K302)),""))</f>
      </c>
      <c r="H302" s="186">
        <f>IF($K302="","",IF($K302&lt;=1500,"",-INDEX(资金台帐!$S$7:$S$3006,$K302-1500)))</f>
      </c>
      <c r="I302" s="187">
        <f>IF($K302="","",I301+N(G302)-N(H302))</f>
      </c>
      <c r="J302" s="213">
        <f>IF($K302="","",IF($K302&lt;=1500,IF(N(INDEX(采购进货!$H$4:$H$1503,$K302))&lt;&gt;0,"含赠品"&amp;INDEX(采购进货!$H$4:$H$1503,$K302)&amp;"件 ","")&amp;INDEX(采购进货!$I$4:$I$1503,$K302),INDEX(资金台帐!$E$7:$E$3006,$K302-1500)&amp;""))</f>
      </c>
      <c r="K302" s="78">
        <f>IFERROR(MATCH(SMALL(_辅助!$H$4:$H$4503,263),_辅助!$H$4:$H$4503,0),"")</f>
      </c>
    </row>
    <row r="303">
      <c r="A303" s="141">
        <f>IF($K303="","",264)</f>
      </c>
      <c r="B303" s="140">
        <f>IF($K303="","",IF($K303&lt;=1500,INDEX(采购进货!$B$4:$B$1503,$K303),INDEX(资金台帐!$B$7:$B$3006,$K303-1500)))</f>
      </c>
      <c r="C303" s="141">
        <f>IF($K303="","",IF($K303&lt;=1500,IF(N(INDEX(采购进货!$E$4:$E$1503,$K303))&lt;0,"退货","进货"),IF(INDEX(资金台帐!$S$7:$S$3006,$K303-1500)&lt;=0,"付款","退款")&amp;"（"&amp;INDEX(资金台帐!$C$7:$C$3006,$K303-1500)&amp;"）"))</f>
      </c>
      <c r="D303" s="141">
        <f>IF($K303="","",IF($K303&lt;=1500,INDEX(采购进货!$D$4:$D$1503,$K303)&amp;"",""))</f>
      </c>
      <c r="E303" s="148">
        <f>IF($K303="","",IF($K303&lt;=1500,N(INDEX(采购进货!$E$4:$E$1503,$K303))+N(INDEX(采购进货!$H$4:$H$1503,$K303)),""))</f>
      </c>
      <c r="F303" s="149">
        <f>IF($K303="","",IF($K303&lt;=1500,INDEX(采购进货!$F$4:$F$1503,$K303),""))</f>
      </c>
      <c r="G303" s="186">
        <f>IF($K303="","",IF($K303&lt;=1500,N(INDEX(采购进货!$G$4:$G$1503,$K303)),""))</f>
      </c>
      <c r="H303" s="186">
        <f>IF($K303="","",IF($K303&lt;=1500,"",-INDEX(资金台帐!$S$7:$S$3006,$K303-1500)))</f>
      </c>
      <c r="I303" s="187">
        <f>IF($K303="","",I302+N(G303)-N(H303))</f>
      </c>
      <c r="J303" s="213">
        <f>IF($K303="","",IF($K303&lt;=1500,IF(N(INDEX(采购进货!$H$4:$H$1503,$K303))&lt;&gt;0,"含赠品"&amp;INDEX(采购进货!$H$4:$H$1503,$K303)&amp;"件 ","")&amp;INDEX(采购进货!$I$4:$I$1503,$K303),INDEX(资金台帐!$E$7:$E$3006,$K303-1500)&amp;""))</f>
      </c>
      <c r="K303" s="78">
        <f>IFERROR(MATCH(SMALL(_辅助!$H$4:$H$4503,264),_辅助!$H$4:$H$4503,0),"")</f>
      </c>
    </row>
    <row r="304">
      <c r="A304" s="141">
        <f>IF($K304="","",265)</f>
      </c>
      <c r="B304" s="140">
        <f>IF($K304="","",IF($K304&lt;=1500,INDEX(采购进货!$B$4:$B$1503,$K304),INDEX(资金台帐!$B$7:$B$3006,$K304-1500)))</f>
      </c>
      <c r="C304" s="141">
        <f>IF($K304="","",IF($K304&lt;=1500,IF(N(INDEX(采购进货!$E$4:$E$1503,$K304))&lt;0,"退货","进货"),IF(INDEX(资金台帐!$S$7:$S$3006,$K304-1500)&lt;=0,"付款","退款")&amp;"（"&amp;INDEX(资金台帐!$C$7:$C$3006,$K304-1500)&amp;"）"))</f>
      </c>
      <c r="D304" s="141">
        <f>IF($K304="","",IF($K304&lt;=1500,INDEX(采购进货!$D$4:$D$1503,$K304)&amp;"",""))</f>
      </c>
      <c r="E304" s="148">
        <f>IF($K304="","",IF($K304&lt;=1500,N(INDEX(采购进货!$E$4:$E$1503,$K304))+N(INDEX(采购进货!$H$4:$H$1503,$K304)),""))</f>
      </c>
      <c r="F304" s="149">
        <f>IF($K304="","",IF($K304&lt;=1500,INDEX(采购进货!$F$4:$F$1503,$K304),""))</f>
      </c>
      <c r="G304" s="186">
        <f>IF($K304="","",IF($K304&lt;=1500,N(INDEX(采购进货!$G$4:$G$1503,$K304)),""))</f>
      </c>
      <c r="H304" s="186">
        <f>IF($K304="","",IF($K304&lt;=1500,"",-INDEX(资金台帐!$S$7:$S$3006,$K304-1500)))</f>
      </c>
      <c r="I304" s="187">
        <f>IF($K304="","",I303+N(G304)-N(H304))</f>
      </c>
      <c r="J304" s="213">
        <f>IF($K304="","",IF($K304&lt;=1500,IF(N(INDEX(采购进货!$H$4:$H$1503,$K304))&lt;&gt;0,"含赠品"&amp;INDEX(采购进货!$H$4:$H$1503,$K304)&amp;"件 ","")&amp;INDEX(采购进货!$I$4:$I$1503,$K304),INDEX(资金台帐!$E$7:$E$3006,$K304-1500)&amp;""))</f>
      </c>
      <c r="K304" s="78">
        <f>IFERROR(MATCH(SMALL(_辅助!$H$4:$H$4503,265),_辅助!$H$4:$H$4503,0),"")</f>
      </c>
    </row>
    <row r="305">
      <c r="A305" s="141">
        <f>IF($K305="","",266)</f>
      </c>
      <c r="B305" s="140">
        <f>IF($K305="","",IF($K305&lt;=1500,INDEX(采购进货!$B$4:$B$1503,$K305),INDEX(资金台帐!$B$7:$B$3006,$K305-1500)))</f>
      </c>
      <c r="C305" s="141">
        <f>IF($K305="","",IF($K305&lt;=1500,IF(N(INDEX(采购进货!$E$4:$E$1503,$K305))&lt;0,"退货","进货"),IF(INDEX(资金台帐!$S$7:$S$3006,$K305-1500)&lt;=0,"付款","退款")&amp;"（"&amp;INDEX(资金台帐!$C$7:$C$3006,$K305-1500)&amp;"）"))</f>
      </c>
      <c r="D305" s="141">
        <f>IF($K305="","",IF($K305&lt;=1500,INDEX(采购进货!$D$4:$D$1503,$K305)&amp;"",""))</f>
      </c>
      <c r="E305" s="148">
        <f>IF($K305="","",IF($K305&lt;=1500,N(INDEX(采购进货!$E$4:$E$1503,$K305))+N(INDEX(采购进货!$H$4:$H$1503,$K305)),""))</f>
      </c>
      <c r="F305" s="149">
        <f>IF($K305="","",IF($K305&lt;=1500,INDEX(采购进货!$F$4:$F$1503,$K305),""))</f>
      </c>
      <c r="G305" s="186">
        <f>IF($K305="","",IF($K305&lt;=1500,N(INDEX(采购进货!$G$4:$G$1503,$K305)),""))</f>
      </c>
      <c r="H305" s="186">
        <f>IF($K305="","",IF($K305&lt;=1500,"",-INDEX(资金台帐!$S$7:$S$3006,$K305-1500)))</f>
      </c>
      <c r="I305" s="187">
        <f>IF($K305="","",I304+N(G305)-N(H305))</f>
      </c>
      <c r="J305" s="213">
        <f>IF($K305="","",IF($K305&lt;=1500,IF(N(INDEX(采购进货!$H$4:$H$1503,$K305))&lt;&gt;0,"含赠品"&amp;INDEX(采购进货!$H$4:$H$1503,$K305)&amp;"件 ","")&amp;INDEX(采购进货!$I$4:$I$1503,$K305),INDEX(资金台帐!$E$7:$E$3006,$K305-1500)&amp;""))</f>
      </c>
      <c r="K305" s="78">
        <f>IFERROR(MATCH(SMALL(_辅助!$H$4:$H$4503,266),_辅助!$H$4:$H$4503,0),"")</f>
      </c>
    </row>
    <row r="306">
      <c r="A306" s="141">
        <f>IF($K306="","",267)</f>
      </c>
      <c r="B306" s="140">
        <f>IF($K306="","",IF($K306&lt;=1500,INDEX(采购进货!$B$4:$B$1503,$K306),INDEX(资金台帐!$B$7:$B$3006,$K306-1500)))</f>
      </c>
      <c r="C306" s="141">
        <f>IF($K306="","",IF($K306&lt;=1500,IF(N(INDEX(采购进货!$E$4:$E$1503,$K306))&lt;0,"退货","进货"),IF(INDEX(资金台帐!$S$7:$S$3006,$K306-1500)&lt;=0,"付款","退款")&amp;"（"&amp;INDEX(资金台帐!$C$7:$C$3006,$K306-1500)&amp;"）"))</f>
      </c>
      <c r="D306" s="141">
        <f>IF($K306="","",IF($K306&lt;=1500,INDEX(采购进货!$D$4:$D$1503,$K306)&amp;"",""))</f>
      </c>
      <c r="E306" s="148">
        <f>IF($K306="","",IF($K306&lt;=1500,N(INDEX(采购进货!$E$4:$E$1503,$K306))+N(INDEX(采购进货!$H$4:$H$1503,$K306)),""))</f>
      </c>
      <c r="F306" s="149">
        <f>IF($K306="","",IF($K306&lt;=1500,INDEX(采购进货!$F$4:$F$1503,$K306),""))</f>
      </c>
      <c r="G306" s="186">
        <f>IF($K306="","",IF($K306&lt;=1500,N(INDEX(采购进货!$G$4:$G$1503,$K306)),""))</f>
      </c>
      <c r="H306" s="186">
        <f>IF($K306="","",IF($K306&lt;=1500,"",-INDEX(资金台帐!$S$7:$S$3006,$K306-1500)))</f>
      </c>
      <c r="I306" s="187">
        <f>IF($K306="","",I305+N(G306)-N(H306))</f>
      </c>
      <c r="J306" s="213">
        <f>IF($K306="","",IF($K306&lt;=1500,IF(N(INDEX(采购进货!$H$4:$H$1503,$K306))&lt;&gt;0,"含赠品"&amp;INDEX(采购进货!$H$4:$H$1503,$K306)&amp;"件 ","")&amp;INDEX(采购进货!$I$4:$I$1503,$K306),INDEX(资金台帐!$E$7:$E$3006,$K306-1500)&amp;""))</f>
      </c>
      <c r="K306" s="78">
        <f>IFERROR(MATCH(SMALL(_辅助!$H$4:$H$4503,267),_辅助!$H$4:$H$4503,0),"")</f>
      </c>
    </row>
    <row r="307">
      <c r="A307" s="141">
        <f>IF($K307="","",268)</f>
      </c>
      <c r="B307" s="140">
        <f>IF($K307="","",IF($K307&lt;=1500,INDEX(采购进货!$B$4:$B$1503,$K307),INDEX(资金台帐!$B$7:$B$3006,$K307-1500)))</f>
      </c>
      <c r="C307" s="141">
        <f>IF($K307="","",IF($K307&lt;=1500,IF(N(INDEX(采购进货!$E$4:$E$1503,$K307))&lt;0,"退货","进货"),IF(INDEX(资金台帐!$S$7:$S$3006,$K307-1500)&lt;=0,"付款","退款")&amp;"（"&amp;INDEX(资金台帐!$C$7:$C$3006,$K307-1500)&amp;"）"))</f>
      </c>
      <c r="D307" s="141">
        <f>IF($K307="","",IF($K307&lt;=1500,INDEX(采购进货!$D$4:$D$1503,$K307)&amp;"",""))</f>
      </c>
      <c r="E307" s="148">
        <f>IF($K307="","",IF($K307&lt;=1500,N(INDEX(采购进货!$E$4:$E$1503,$K307))+N(INDEX(采购进货!$H$4:$H$1503,$K307)),""))</f>
      </c>
      <c r="F307" s="149">
        <f>IF($K307="","",IF($K307&lt;=1500,INDEX(采购进货!$F$4:$F$1503,$K307),""))</f>
      </c>
      <c r="G307" s="186">
        <f>IF($K307="","",IF($K307&lt;=1500,N(INDEX(采购进货!$G$4:$G$1503,$K307)),""))</f>
      </c>
      <c r="H307" s="186">
        <f>IF($K307="","",IF($K307&lt;=1500,"",-INDEX(资金台帐!$S$7:$S$3006,$K307-1500)))</f>
      </c>
      <c r="I307" s="187">
        <f>IF($K307="","",I306+N(G307)-N(H307))</f>
      </c>
      <c r="J307" s="213">
        <f>IF($K307="","",IF($K307&lt;=1500,IF(N(INDEX(采购进货!$H$4:$H$1503,$K307))&lt;&gt;0,"含赠品"&amp;INDEX(采购进货!$H$4:$H$1503,$K307)&amp;"件 ","")&amp;INDEX(采购进货!$I$4:$I$1503,$K307),INDEX(资金台帐!$E$7:$E$3006,$K307-1500)&amp;""))</f>
      </c>
      <c r="K307" s="78">
        <f>IFERROR(MATCH(SMALL(_辅助!$H$4:$H$4503,268),_辅助!$H$4:$H$4503,0),"")</f>
      </c>
    </row>
    <row r="308">
      <c r="A308" s="141">
        <f>IF($K308="","",269)</f>
      </c>
      <c r="B308" s="140">
        <f>IF($K308="","",IF($K308&lt;=1500,INDEX(采购进货!$B$4:$B$1503,$K308),INDEX(资金台帐!$B$7:$B$3006,$K308-1500)))</f>
      </c>
      <c r="C308" s="141">
        <f>IF($K308="","",IF($K308&lt;=1500,IF(N(INDEX(采购进货!$E$4:$E$1503,$K308))&lt;0,"退货","进货"),IF(INDEX(资金台帐!$S$7:$S$3006,$K308-1500)&lt;=0,"付款","退款")&amp;"（"&amp;INDEX(资金台帐!$C$7:$C$3006,$K308-1500)&amp;"）"))</f>
      </c>
      <c r="D308" s="141">
        <f>IF($K308="","",IF($K308&lt;=1500,INDEX(采购进货!$D$4:$D$1503,$K308)&amp;"",""))</f>
      </c>
      <c r="E308" s="148">
        <f>IF($K308="","",IF($K308&lt;=1500,N(INDEX(采购进货!$E$4:$E$1503,$K308))+N(INDEX(采购进货!$H$4:$H$1503,$K308)),""))</f>
      </c>
      <c r="F308" s="149">
        <f>IF($K308="","",IF($K308&lt;=1500,INDEX(采购进货!$F$4:$F$1503,$K308),""))</f>
      </c>
      <c r="G308" s="186">
        <f>IF($K308="","",IF($K308&lt;=1500,N(INDEX(采购进货!$G$4:$G$1503,$K308)),""))</f>
      </c>
      <c r="H308" s="186">
        <f>IF($K308="","",IF($K308&lt;=1500,"",-INDEX(资金台帐!$S$7:$S$3006,$K308-1500)))</f>
      </c>
      <c r="I308" s="187">
        <f>IF($K308="","",I307+N(G308)-N(H308))</f>
      </c>
      <c r="J308" s="213">
        <f>IF($K308="","",IF($K308&lt;=1500,IF(N(INDEX(采购进货!$H$4:$H$1503,$K308))&lt;&gt;0,"含赠品"&amp;INDEX(采购进货!$H$4:$H$1503,$K308)&amp;"件 ","")&amp;INDEX(采购进货!$I$4:$I$1503,$K308),INDEX(资金台帐!$E$7:$E$3006,$K308-1500)&amp;""))</f>
      </c>
      <c r="K308" s="78">
        <f>IFERROR(MATCH(SMALL(_辅助!$H$4:$H$4503,269),_辅助!$H$4:$H$4503,0),"")</f>
      </c>
    </row>
    <row r="309">
      <c r="A309" s="141">
        <f>IF($K309="","",270)</f>
      </c>
      <c r="B309" s="140">
        <f>IF($K309="","",IF($K309&lt;=1500,INDEX(采购进货!$B$4:$B$1503,$K309),INDEX(资金台帐!$B$7:$B$3006,$K309-1500)))</f>
      </c>
      <c r="C309" s="141">
        <f>IF($K309="","",IF($K309&lt;=1500,IF(N(INDEX(采购进货!$E$4:$E$1503,$K309))&lt;0,"退货","进货"),IF(INDEX(资金台帐!$S$7:$S$3006,$K309-1500)&lt;=0,"付款","退款")&amp;"（"&amp;INDEX(资金台帐!$C$7:$C$3006,$K309-1500)&amp;"）"))</f>
      </c>
      <c r="D309" s="141">
        <f>IF($K309="","",IF($K309&lt;=1500,INDEX(采购进货!$D$4:$D$1503,$K309)&amp;"",""))</f>
      </c>
      <c r="E309" s="148">
        <f>IF($K309="","",IF($K309&lt;=1500,N(INDEX(采购进货!$E$4:$E$1503,$K309))+N(INDEX(采购进货!$H$4:$H$1503,$K309)),""))</f>
      </c>
      <c r="F309" s="149">
        <f>IF($K309="","",IF($K309&lt;=1500,INDEX(采购进货!$F$4:$F$1503,$K309),""))</f>
      </c>
      <c r="G309" s="186">
        <f>IF($K309="","",IF($K309&lt;=1500,N(INDEX(采购进货!$G$4:$G$1503,$K309)),""))</f>
      </c>
      <c r="H309" s="186">
        <f>IF($K309="","",IF($K309&lt;=1500,"",-INDEX(资金台帐!$S$7:$S$3006,$K309-1500)))</f>
      </c>
      <c r="I309" s="187">
        <f>IF($K309="","",I308+N(G309)-N(H309))</f>
      </c>
      <c r="J309" s="213">
        <f>IF($K309="","",IF($K309&lt;=1500,IF(N(INDEX(采购进货!$H$4:$H$1503,$K309))&lt;&gt;0,"含赠品"&amp;INDEX(采购进货!$H$4:$H$1503,$K309)&amp;"件 ","")&amp;INDEX(采购进货!$I$4:$I$1503,$K309),INDEX(资金台帐!$E$7:$E$3006,$K309-1500)&amp;""))</f>
      </c>
      <c r="K309" s="78">
        <f>IFERROR(MATCH(SMALL(_辅助!$H$4:$H$4503,270),_辅助!$H$4:$H$4503,0),"")</f>
      </c>
    </row>
    <row r="310">
      <c r="A310" s="141">
        <f>IF($K310="","",271)</f>
      </c>
      <c r="B310" s="140">
        <f>IF($K310="","",IF($K310&lt;=1500,INDEX(采购进货!$B$4:$B$1503,$K310),INDEX(资金台帐!$B$7:$B$3006,$K310-1500)))</f>
      </c>
      <c r="C310" s="141">
        <f>IF($K310="","",IF($K310&lt;=1500,IF(N(INDEX(采购进货!$E$4:$E$1503,$K310))&lt;0,"退货","进货"),IF(INDEX(资金台帐!$S$7:$S$3006,$K310-1500)&lt;=0,"付款","退款")&amp;"（"&amp;INDEX(资金台帐!$C$7:$C$3006,$K310-1500)&amp;"）"))</f>
      </c>
      <c r="D310" s="141">
        <f>IF($K310="","",IF($K310&lt;=1500,INDEX(采购进货!$D$4:$D$1503,$K310)&amp;"",""))</f>
      </c>
      <c r="E310" s="148">
        <f>IF($K310="","",IF($K310&lt;=1500,N(INDEX(采购进货!$E$4:$E$1503,$K310))+N(INDEX(采购进货!$H$4:$H$1503,$K310)),""))</f>
      </c>
      <c r="F310" s="149">
        <f>IF($K310="","",IF($K310&lt;=1500,INDEX(采购进货!$F$4:$F$1503,$K310),""))</f>
      </c>
      <c r="G310" s="186">
        <f>IF($K310="","",IF($K310&lt;=1500,N(INDEX(采购进货!$G$4:$G$1503,$K310)),""))</f>
      </c>
      <c r="H310" s="186">
        <f>IF($K310="","",IF($K310&lt;=1500,"",-INDEX(资金台帐!$S$7:$S$3006,$K310-1500)))</f>
      </c>
      <c r="I310" s="187">
        <f>IF($K310="","",I309+N(G310)-N(H310))</f>
      </c>
      <c r="J310" s="213">
        <f>IF($K310="","",IF($K310&lt;=1500,IF(N(INDEX(采购进货!$H$4:$H$1503,$K310))&lt;&gt;0,"含赠品"&amp;INDEX(采购进货!$H$4:$H$1503,$K310)&amp;"件 ","")&amp;INDEX(采购进货!$I$4:$I$1503,$K310),INDEX(资金台帐!$E$7:$E$3006,$K310-1500)&amp;""))</f>
      </c>
      <c r="K310" s="78">
        <f>IFERROR(MATCH(SMALL(_辅助!$H$4:$H$4503,271),_辅助!$H$4:$H$4503,0),"")</f>
      </c>
    </row>
    <row r="311">
      <c r="A311" s="141">
        <f>IF($K311="","",272)</f>
      </c>
      <c r="B311" s="140">
        <f>IF($K311="","",IF($K311&lt;=1500,INDEX(采购进货!$B$4:$B$1503,$K311),INDEX(资金台帐!$B$7:$B$3006,$K311-1500)))</f>
      </c>
      <c r="C311" s="141">
        <f>IF($K311="","",IF($K311&lt;=1500,IF(N(INDEX(采购进货!$E$4:$E$1503,$K311))&lt;0,"退货","进货"),IF(INDEX(资金台帐!$S$7:$S$3006,$K311-1500)&lt;=0,"付款","退款")&amp;"（"&amp;INDEX(资金台帐!$C$7:$C$3006,$K311-1500)&amp;"）"))</f>
      </c>
      <c r="D311" s="141">
        <f>IF($K311="","",IF($K311&lt;=1500,INDEX(采购进货!$D$4:$D$1503,$K311)&amp;"",""))</f>
      </c>
      <c r="E311" s="148">
        <f>IF($K311="","",IF($K311&lt;=1500,N(INDEX(采购进货!$E$4:$E$1503,$K311))+N(INDEX(采购进货!$H$4:$H$1503,$K311)),""))</f>
      </c>
      <c r="F311" s="149">
        <f>IF($K311="","",IF($K311&lt;=1500,INDEX(采购进货!$F$4:$F$1503,$K311),""))</f>
      </c>
      <c r="G311" s="186">
        <f>IF($K311="","",IF($K311&lt;=1500,N(INDEX(采购进货!$G$4:$G$1503,$K311)),""))</f>
      </c>
      <c r="H311" s="186">
        <f>IF($K311="","",IF($K311&lt;=1500,"",-INDEX(资金台帐!$S$7:$S$3006,$K311-1500)))</f>
      </c>
      <c r="I311" s="187">
        <f>IF($K311="","",I310+N(G311)-N(H311))</f>
      </c>
      <c r="J311" s="213">
        <f>IF($K311="","",IF($K311&lt;=1500,IF(N(INDEX(采购进货!$H$4:$H$1503,$K311))&lt;&gt;0,"含赠品"&amp;INDEX(采购进货!$H$4:$H$1503,$K311)&amp;"件 ","")&amp;INDEX(采购进货!$I$4:$I$1503,$K311),INDEX(资金台帐!$E$7:$E$3006,$K311-1500)&amp;""))</f>
      </c>
      <c r="K311" s="78">
        <f>IFERROR(MATCH(SMALL(_辅助!$H$4:$H$4503,272),_辅助!$H$4:$H$4503,0),"")</f>
      </c>
    </row>
    <row r="312">
      <c r="A312" s="141">
        <f>IF($K312="","",273)</f>
      </c>
      <c r="B312" s="140">
        <f>IF($K312="","",IF($K312&lt;=1500,INDEX(采购进货!$B$4:$B$1503,$K312),INDEX(资金台帐!$B$7:$B$3006,$K312-1500)))</f>
      </c>
      <c r="C312" s="141">
        <f>IF($K312="","",IF($K312&lt;=1500,IF(N(INDEX(采购进货!$E$4:$E$1503,$K312))&lt;0,"退货","进货"),IF(INDEX(资金台帐!$S$7:$S$3006,$K312-1500)&lt;=0,"付款","退款")&amp;"（"&amp;INDEX(资金台帐!$C$7:$C$3006,$K312-1500)&amp;"）"))</f>
      </c>
      <c r="D312" s="141">
        <f>IF($K312="","",IF($K312&lt;=1500,INDEX(采购进货!$D$4:$D$1503,$K312)&amp;"",""))</f>
      </c>
      <c r="E312" s="148">
        <f>IF($K312="","",IF($K312&lt;=1500,N(INDEX(采购进货!$E$4:$E$1503,$K312))+N(INDEX(采购进货!$H$4:$H$1503,$K312)),""))</f>
      </c>
      <c r="F312" s="149">
        <f>IF($K312="","",IF($K312&lt;=1500,INDEX(采购进货!$F$4:$F$1503,$K312),""))</f>
      </c>
      <c r="G312" s="186">
        <f>IF($K312="","",IF($K312&lt;=1500,N(INDEX(采购进货!$G$4:$G$1503,$K312)),""))</f>
      </c>
      <c r="H312" s="186">
        <f>IF($K312="","",IF($K312&lt;=1500,"",-INDEX(资金台帐!$S$7:$S$3006,$K312-1500)))</f>
      </c>
      <c r="I312" s="187">
        <f>IF($K312="","",I311+N(G312)-N(H312))</f>
      </c>
      <c r="J312" s="213">
        <f>IF($K312="","",IF($K312&lt;=1500,IF(N(INDEX(采购进货!$H$4:$H$1503,$K312))&lt;&gt;0,"含赠品"&amp;INDEX(采购进货!$H$4:$H$1503,$K312)&amp;"件 ","")&amp;INDEX(采购进货!$I$4:$I$1503,$K312),INDEX(资金台帐!$E$7:$E$3006,$K312-1500)&amp;""))</f>
      </c>
      <c r="K312" s="78">
        <f>IFERROR(MATCH(SMALL(_辅助!$H$4:$H$4503,273),_辅助!$H$4:$H$4503,0),"")</f>
      </c>
    </row>
    <row r="313">
      <c r="A313" s="141">
        <f>IF($K313="","",274)</f>
      </c>
      <c r="B313" s="140">
        <f>IF($K313="","",IF($K313&lt;=1500,INDEX(采购进货!$B$4:$B$1503,$K313),INDEX(资金台帐!$B$7:$B$3006,$K313-1500)))</f>
      </c>
      <c r="C313" s="141">
        <f>IF($K313="","",IF($K313&lt;=1500,IF(N(INDEX(采购进货!$E$4:$E$1503,$K313))&lt;0,"退货","进货"),IF(INDEX(资金台帐!$S$7:$S$3006,$K313-1500)&lt;=0,"付款","退款")&amp;"（"&amp;INDEX(资金台帐!$C$7:$C$3006,$K313-1500)&amp;"）"))</f>
      </c>
      <c r="D313" s="141">
        <f>IF($K313="","",IF($K313&lt;=1500,INDEX(采购进货!$D$4:$D$1503,$K313)&amp;"",""))</f>
      </c>
      <c r="E313" s="148">
        <f>IF($K313="","",IF($K313&lt;=1500,N(INDEX(采购进货!$E$4:$E$1503,$K313))+N(INDEX(采购进货!$H$4:$H$1503,$K313)),""))</f>
      </c>
      <c r="F313" s="149">
        <f>IF($K313="","",IF($K313&lt;=1500,INDEX(采购进货!$F$4:$F$1503,$K313),""))</f>
      </c>
      <c r="G313" s="186">
        <f>IF($K313="","",IF($K313&lt;=1500,N(INDEX(采购进货!$G$4:$G$1503,$K313)),""))</f>
      </c>
      <c r="H313" s="186">
        <f>IF($K313="","",IF($K313&lt;=1500,"",-INDEX(资金台帐!$S$7:$S$3006,$K313-1500)))</f>
      </c>
      <c r="I313" s="187">
        <f>IF($K313="","",I312+N(G313)-N(H313))</f>
      </c>
      <c r="J313" s="213">
        <f>IF($K313="","",IF($K313&lt;=1500,IF(N(INDEX(采购进货!$H$4:$H$1503,$K313))&lt;&gt;0,"含赠品"&amp;INDEX(采购进货!$H$4:$H$1503,$K313)&amp;"件 ","")&amp;INDEX(采购进货!$I$4:$I$1503,$K313),INDEX(资金台帐!$E$7:$E$3006,$K313-1500)&amp;""))</f>
      </c>
      <c r="K313" s="78">
        <f>IFERROR(MATCH(SMALL(_辅助!$H$4:$H$4503,274),_辅助!$H$4:$H$4503,0),"")</f>
      </c>
    </row>
    <row r="314">
      <c r="A314" s="141">
        <f>IF($K314="","",275)</f>
      </c>
      <c r="B314" s="140">
        <f>IF($K314="","",IF($K314&lt;=1500,INDEX(采购进货!$B$4:$B$1503,$K314),INDEX(资金台帐!$B$7:$B$3006,$K314-1500)))</f>
      </c>
      <c r="C314" s="141">
        <f>IF($K314="","",IF($K314&lt;=1500,IF(N(INDEX(采购进货!$E$4:$E$1503,$K314))&lt;0,"退货","进货"),IF(INDEX(资金台帐!$S$7:$S$3006,$K314-1500)&lt;=0,"付款","退款")&amp;"（"&amp;INDEX(资金台帐!$C$7:$C$3006,$K314-1500)&amp;"）"))</f>
      </c>
      <c r="D314" s="141">
        <f>IF($K314="","",IF($K314&lt;=1500,INDEX(采购进货!$D$4:$D$1503,$K314)&amp;"",""))</f>
      </c>
      <c r="E314" s="148">
        <f>IF($K314="","",IF($K314&lt;=1500,N(INDEX(采购进货!$E$4:$E$1503,$K314))+N(INDEX(采购进货!$H$4:$H$1503,$K314)),""))</f>
      </c>
      <c r="F314" s="149">
        <f>IF($K314="","",IF($K314&lt;=1500,INDEX(采购进货!$F$4:$F$1503,$K314),""))</f>
      </c>
      <c r="G314" s="186">
        <f>IF($K314="","",IF($K314&lt;=1500,N(INDEX(采购进货!$G$4:$G$1503,$K314)),""))</f>
      </c>
      <c r="H314" s="186">
        <f>IF($K314="","",IF($K314&lt;=1500,"",-INDEX(资金台帐!$S$7:$S$3006,$K314-1500)))</f>
      </c>
      <c r="I314" s="187">
        <f>IF($K314="","",I313+N(G314)-N(H314))</f>
      </c>
      <c r="J314" s="213">
        <f>IF($K314="","",IF($K314&lt;=1500,IF(N(INDEX(采购进货!$H$4:$H$1503,$K314))&lt;&gt;0,"含赠品"&amp;INDEX(采购进货!$H$4:$H$1503,$K314)&amp;"件 ","")&amp;INDEX(采购进货!$I$4:$I$1503,$K314),INDEX(资金台帐!$E$7:$E$3006,$K314-1500)&amp;""))</f>
      </c>
      <c r="K314" s="78">
        <f>IFERROR(MATCH(SMALL(_辅助!$H$4:$H$4503,275),_辅助!$H$4:$H$4503,0),"")</f>
      </c>
    </row>
    <row r="315">
      <c r="A315" s="141">
        <f>IF($K315="","",276)</f>
      </c>
      <c r="B315" s="140">
        <f>IF($K315="","",IF($K315&lt;=1500,INDEX(采购进货!$B$4:$B$1503,$K315),INDEX(资金台帐!$B$7:$B$3006,$K315-1500)))</f>
      </c>
      <c r="C315" s="141">
        <f>IF($K315="","",IF($K315&lt;=1500,IF(N(INDEX(采购进货!$E$4:$E$1503,$K315))&lt;0,"退货","进货"),IF(INDEX(资金台帐!$S$7:$S$3006,$K315-1500)&lt;=0,"付款","退款")&amp;"（"&amp;INDEX(资金台帐!$C$7:$C$3006,$K315-1500)&amp;"）"))</f>
      </c>
      <c r="D315" s="141">
        <f>IF($K315="","",IF($K315&lt;=1500,INDEX(采购进货!$D$4:$D$1503,$K315)&amp;"",""))</f>
      </c>
      <c r="E315" s="148">
        <f>IF($K315="","",IF($K315&lt;=1500,N(INDEX(采购进货!$E$4:$E$1503,$K315))+N(INDEX(采购进货!$H$4:$H$1503,$K315)),""))</f>
      </c>
      <c r="F315" s="149">
        <f>IF($K315="","",IF($K315&lt;=1500,INDEX(采购进货!$F$4:$F$1503,$K315),""))</f>
      </c>
      <c r="G315" s="186">
        <f>IF($K315="","",IF($K315&lt;=1500,N(INDEX(采购进货!$G$4:$G$1503,$K315)),""))</f>
      </c>
      <c r="H315" s="186">
        <f>IF($K315="","",IF($K315&lt;=1500,"",-INDEX(资金台帐!$S$7:$S$3006,$K315-1500)))</f>
      </c>
      <c r="I315" s="187">
        <f>IF($K315="","",I314+N(G315)-N(H315))</f>
      </c>
      <c r="J315" s="213">
        <f>IF($K315="","",IF($K315&lt;=1500,IF(N(INDEX(采购进货!$H$4:$H$1503,$K315))&lt;&gt;0,"含赠品"&amp;INDEX(采购进货!$H$4:$H$1503,$K315)&amp;"件 ","")&amp;INDEX(采购进货!$I$4:$I$1503,$K315),INDEX(资金台帐!$E$7:$E$3006,$K315-1500)&amp;""))</f>
      </c>
      <c r="K315" s="78">
        <f>IFERROR(MATCH(SMALL(_辅助!$H$4:$H$4503,276),_辅助!$H$4:$H$4503,0),"")</f>
      </c>
    </row>
    <row r="316">
      <c r="A316" s="141">
        <f>IF($K316="","",277)</f>
      </c>
      <c r="B316" s="140">
        <f>IF($K316="","",IF($K316&lt;=1500,INDEX(采购进货!$B$4:$B$1503,$K316),INDEX(资金台帐!$B$7:$B$3006,$K316-1500)))</f>
      </c>
      <c r="C316" s="141">
        <f>IF($K316="","",IF($K316&lt;=1500,IF(N(INDEX(采购进货!$E$4:$E$1503,$K316))&lt;0,"退货","进货"),IF(INDEX(资金台帐!$S$7:$S$3006,$K316-1500)&lt;=0,"付款","退款")&amp;"（"&amp;INDEX(资金台帐!$C$7:$C$3006,$K316-1500)&amp;"）"))</f>
      </c>
      <c r="D316" s="141">
        <f>IF($K316="","",IF($K316&lt;=1500,INDEX(采购进货!$D$4:$D$1503,$K316)&amp;"",""))</f>
      </c>
      <c r="E316" s="148">
        <f>IF($K316="","",IF($K316&lt;=1500,N(INDEX(采购进货!$E$4:$E$1503,$K316))+N(INDEX(采购进货!$H$4:$H$1503,$K316)),""))</f>
      </c>
      <c r="F316" s="149">
        <f>IF($K316="","",IF($K316&lt;=1500,INDEX(采购进货!$F$4:$F$1503,$K316),""))</f>
      </c>
      <c r="G316" s="186">
        <f>IF($K316="","",IF($K316&lt;=1500,N(INDEX(采购进货!$G$4:$G$1503,$K316)),""))</f>
      </c>
      <c r="H316" s="186">
        <f>IF($K316="","",IF($K316&lt;=1500,"",-INDEX(资金台帐!$S$7:$S$3006,$K316-1500)))</f>
      </c>
      <c r="I316" s="187">
        <f>IF($K316="","",I315+N(G316)-N(H316))</f>
      </c>
      <c r="J316" s="213">
        <f>IF($K316="","",IF($K316&lt;=1500,IF(N(INDEX(采购进货!$H$4:$H$1503,$K316))&lt;&gt;0,"含赠品"&amp;INDEX(采购进货!$H$4:$H$1503,$K316)&amp;"件 ","")&amp;INDEX(采购进货!$I$4:$I$1503,$K316),INDEX(资金台帐!$E$7:$E$3006,$K316-1500)&amp;""))</f>
      </c>
      <c r="K316" s="78">
        <f>IFERROR(MATCH(SMALL(_辅助!$H$4:$H$4503,277),_辅助!$H$4:$H$4503,0),"")</f>
      </c>
    </row>
    <row r="317">
      <c r="A317" s="141">
        <f>IF($K317="","",278)</f>
      </c>
      <c r="B317" s="140">
        <f>IF($K317="","",IF($K317&lt;=1500,INDEX(采购进货!$B$4:$B$1503,$K317),INDEX(资金台帐!$B$7:$B$3006,$K317-1500)))</f>
      </c>
      <c r="C317" s="141">
        <f>IF($K317="","",IF($K317&lt;=1500,IF(N(INDEX(采购进货!$E$4:$E$1503,$K317))&lt;0,"退货","进货"),IF(INDEX(资金台帐!$S$7:$S$3006,$K317-1500)&lt;=0,"付款","退款")&amp;"（"&amp;INDEX(资金台帐!$C$7:$C$3006,$K317-1500)&amp;"）"))</f>
      </c>
      <c r="D317" s="141">
        <f>IF($K317="","",IF($K317&lt;=1500,INDEX(采购进货!$D$4:$D$1503,$K317)&amp;"",""))</f>
      </c>
      <c r="E317" s="148">
        <f>IF($K317="","",IF($K317&lt;=1500,N(INDEX(采购进货!$E$4:$E$1503,$K317))+N(INDEX(采购进货!$H$4:$H$1503,$K317)),""))</f>
      </c>
      <c r="F317" s="149">
        <f>IF($K317="","",IF($K317&lt;=1500,INDEX(采购进货!$F$4:$F$1503,$K317),""))</f>
      </c>
      <c r="G317" s="186">
        <f>IF($K317="","",IF($K317&lt;=1500,N(INDEX(采购进货!$G$4:$G$1503,$K317)),""))</f>
      </c>
      <c r="H317" s="186">
        <f>IF($K317="","",IF($K317&lt;=1500,"",-INDEX(资金台帐!$S$7:$S$3006,$K317-1500)))</f>
      </c>
      <c r="I317" s="187">
        <f>IF($K317="","",I316+N(G317)-N(H317))</f>
      </c>
      <c r="J317" s="213">
        <f>IF($K317="","",IF($K317&lt;=1500,IF(N(INDEX(采购进货!$H$4:$H$1503,$K317))&lt;&gt;0,"含赠品"&amp;INDEX(采购进货!$H$4:$H$1503,$K317)&amp;"件 ","")&amp;INDEX(采购进货!$I$4:$I$1503,$K317),INDEX(资金台帐!$E$7:$E$3006,$K317-1500)&amp;""))</f>
      </c>
      <c r="K317" s="78">
        <f>IFERROR(MATCH(SMALL(_辅助!$H$4:$H$4503,278),_辅助!$H$4:$H$4503,0),"")</f>
      </c>
    </row>
    <row r="318">
      <c r="A318" s="141">
        <f>IF($K318="","",279)</f>
      </c>
      <c r="B318" s="140">
        <f>IF($K318="","",IF($K318&lt;=1500,INDEX(采购进货!$B$4:$B$1503,$K318),INDEX(资金台帐!$B$7:$B$3006,$K318-1500)))</f>
      </c>
      <c r="C318" s="141">
        <f>IF($K318="","",IF($K318&lt;=1500,IF(N(INDEX(采购进货!$E$4:$E$1503,$K318))&lt;0,"退货","进货"),IF(INDEX(资金台帐!$S$7:$S$3006,$K318-1500)&lt;=0,"付款","退款")&amp;"（"&amp;INDEX(资金台帐!$C$7:$C$3006,$K318-1500)&amp;"）"))</f>
      </c>
      <c r="D318" s="141">
        <f>IF($K318="","",IF($K318&lt;=1500,INDEX(采购进货!$D$4:$D$1503,$K318)&amp;"",""))</f>
      </c>
      <c r="E318" s="148">
        <f>IF($K318="","",IF($K318&lt;=1500,N(INDEX(采购进货!$E$4:$E$1503,$K318))+N(INDEX(采购进货!$H$4:$H$1503,$K318)),""))</f>
      </c>
      <c r="F318" s="149">
        <f>IF($K318="","",IF($K318&lt;=1500,INDEX(采购进货!$F$4:$F$1503,$K318),""))</f>
      </c>
      <c r="G318" s="186">
        <f>IF($K318="","",IF($K318&lt;=1500,N(INDEX(采购进货!$G$4:$G$1503,$K318)),""))</f>
      </c>
      <c r="H318" s="186">
        <f>IF($K318="","",IF($K318&lt;=1500,"",-INDEX(资金台帐!$S$7:$S$3006,$K318-1500)))</f>
      </c>
      <c r="I318" s="187">
        <f>IF($K318="","",I317+N(G318)-N(H318))</f>
      </c>
      <c r="J318" s="213">
        <f>IF($K318="","",IF($K318&lt;=1500,IF(N(INDEX(采购进货!$H$4:$H$1503,$K318))&lt;&gt;0,"含赠品"&amp;INDEX(采购进货!$H$4:$H$1503,$K318)&amp;"件 ","")&amp;INDEX(采购进货!$I$4:$I$1503,$K318),INDEX(资金台帐!$E$7:$E$3006,$K318-1500)&amp;""))</f>
      </c>
      <c r="K318" s="78">
        <f>IFERROR(MATCH(SMALL(_辅助!$H$4:$H$4503,279),_辅助!$H$4:$H$4503,0),"")</f>
      </c>
    </row>
    <row r="319">
      <c r="A319" s="141">
        <f>IF($K319="","",280)</f>
      </c>
      <c r="B319" s="140">
        <f>IF($K319="","",IF($K319&lt;=1500,INDEX(采购进货!$B$4:$B$1503,$K319),INDEX(资金台帐!$B$7:$B$3006,$K319-1500)))</f>
      </c>
      <c r="C319" s="141">
        <f>IF($K319="","",IF($K319&lt;=1500,IF(N(INDEX(采购进货!$E$4:$E$1503,$K319))&lt;0,"退货","进货"),IF(INDEX(资金台帐!$S$7:$S$3006,$K319-1500)&lt;=0,"付款","退款")&amp;"（"&amp;INDEX(资金台帐!$C$7:$C$3006,$K319-1500)&amp;"）"))</f>
      </c>
      <c r="D319" s="141">
        <f>IF($K319="","",IF($K319&lt;=1500,INDEX(采购进货!$D$4:$D$1503,$K319)&amp;"",""))</f>
      </c>
      <c r="E319" s="148">
        <f>IF($K319="","",IF($K319&lt;=1500,N(INDEX(采购进货!$E$4:$E$1503,$K319))+N(INDEX(采购进货!$H$4:$H$1503,$K319)),""))</f>
      </c>
      <c r="F319" s="149">
        <f>IF($K319="","",IF($K319&lt;=1500,INDEX(采购进货!$F$4:$F$1503,$K319),""))</f>
      </c>
      <c r="G319" s="186">
        <f>IF($K319="","",IF($K319&lt;=1500,N(INDEX(采购进货!$G$4:$G$1503,$K319)),""))</f>
      </c>
      <c r="H319" s="186">
        <f>IF($K319="","",IF($K319&lt;=1500,"",-INDEX(资金台帐!$S$7:$S$3006,$K319-1500)))</f>
      </c>
      <c r="I319" s="187">
        <f>IF($K319="","",I318+N(G319)-N(H319))</f>
      </c>
      <c r="J319" s="213">
        <f>IF($K319="","",IF($K319&lt;=1500,IF(N(INDEX(采购进货!$H$4:$H$1503,$K319))&lt;&gt;0,"含赠品"&amp;INDEX(采购进货!$H$4:$H$1503,$K319)&amp;"件 ","")&amp;INDEX(采购进货!$I$4:$I$1503,$K319),INDEX(资金台帐!$E$7:$E$3006,$K319-1500)&amp;""))</f>
      </c>
      <c r="K319" s="78">
        <f>IFERROR(MATCH(SMALL(_辅助!$H$4:$H$4503,280),_辅助!$H$4:$H$4503,0),"")</f>
      </c>
    </row>
    <row r="320">
      <c r="A320" s="141">
        <f>IF($K320="","",281)</f>
      </c>
      <c r="B320" s="140">
        <f>IF($K320="","",IF($K320&lt;=1500,INDEX(采购进货!$B$4:$B$1503,$K320),INDEX(资金台帐!$B$7:$B$3006,$K320-1500)))</f>
      </c>
      <c r="C320" s="141">
        <f>IF($K320="","",IF($K320&lt;=1500,IF(N(INDEX(采购进货!$E$4:$E$1503,$K320))&lt;0,"退货","进货"),IF(INDEX(资金台帐!$S$7:$S$3006,$K320-1500)&lt;=0,"付款","退款")&amp;"（"&amp;INDEX(资金台帐!$C$7:$C$3006,$K320-1500)&amp;"）"))</f>
      </c>
      <c r="D320" s="141">
        <f>IF($K320="","",IF($K320&lt;=1500,INDEX(采购进货!$D$4:$D$1503,$K320)&amp;"",""))</f>
      </c>
      <c r="E320" s="148">
        <f>IF($K320="","",IF($K320&lt;=1500,N(INDEX(采购进货!$E$4:$E$1503,$K320))+N(INDEX(采购进货!$H$4:$H$1503,$K320)),""))</f>
      </c>
      <c r="F320" s="149">
        <f>IF($K320="","",IF($K320&lt;=1500,INDEX(采购进货!$F$4:$F$1503,$K320),""))</f>
      </c>
      <c r="G320" s="186">
        <f>IF($K320="","",IF($K320&lt;=1500,N(INDEX(采购进货!$G$4:$G$1503,$K320)),""))</f>
      </c>
      <c r="H320" s="186">
        <f>IF($K320="","",IF($K320&lt;=1500,"",-INDEX(资金台帐!$S$7:$S$3006,$K320-1500)))</f>
      </c>
      <c r="I320" s="187">
        <f>IF($K320="","",I319+N(G320)-N(H320))</f>
      </c>
      <c r="J320" s="213">
        <f>IF($K320="","",IF($K320&lt;=1500,IF(N(INDEX(采购进货!$H$4:$H$1503,$K320))&lt;&gt;0,"含赠品"&amp;INDEX(采购进货!$H$4:$H$1503,$K320)&amp;"件 ","")&amp;INDEX(采购进货!$I$4:$I$1503,$K320),INDEX(资金台帐!$E$7:$E$3006,$K320-1500)&amp;""))</f>
      </c>
      <c r="K320" s="78">
        <f>IFERROR(MATCH(SMALL(_辅助!$H$4:$H$4503,281),_辅助!$H$4:$H$4503,0),"")</f>
      </c>
    </row>
    <row r="321">
      <c r="A321" s="141">
        <f>IF($K321="","",282)</f>
      </c>
      <c r="B321" s="140">
        <f>IF($K321="","",IF($K321&lt;=1500,INDEX(采购进货!$B$4:$B$1503,$K321),INDEX(资金台帐!$B$7:$B$3006,$K321-1500)))</f>
      </c>
      <c r="C321" s="141">
        <f>IF($K321="","",IF($K321&lt;=1500,IF(N(INDEX(采购进货!$E$4:$E$1503,$K321))&lt;0,"退货","进货"),IF(INDEX(资金台帐!$S$7:$S$3006,$K321-1500)&lt;=0,"付款","退款")&amp;"（"&amp;INDEX(资金台帐!$C$7:$C$3006,$K321-1500)&amp;"）"))</f>
      </c>
      <c r="D321" s="141">
        <f>IF($K321="","",IF($K321&lt;=1500,INDEX(采购进货!$D$4:$D$1503,$K321)&amp;"",""))</f>
      </c>
      <c r="E321" s="148">
        <f>IF($K321="","",IF($K321&lt;=1500,N(INDEX(采购进货!$E$4:$E$1503,$K321))+N(INDEX(采购进货!$H$4:$H$1503,$K321)),""))</f>
      </c>
      <c r="F321" s="149">
        <f>IF($K321="","",IF($K321&lt;=1500,INDEX(采购进货!$F$4:$F$1503,$K321),""))</f>
      </c>
      <c r="G321" s="186">
        <f>IF($K321="","",IF($K321&lt;=1500,N(INDEX(采购进货!$G$4:$G$1503,$K321)),""))</f>
      </c>
      <c r="H321" s="186">
        <f>IF($K321="","",IF($K321&lt;=1500,"",-INDEX(资金台帐!$S$7:$S$3006,$K321-1500)))</f>
      </c>
      <c r="I321" s="187">
        <f>IF($K321="","",I320+N(G321)-N(H321))</f>
      </c>
      <c r="J321" s="213">
        <f>IF($K321="","",IF($K321&lt;=1500,IF(N(INDEX(采购进货!$H$4:$H$1503,$K321))&lt;&gt;0,"含赠品"&amp;INDEX(采购进货!$H$4:$H$1503,$K321)&amp;"件 ","")&amp;INDEX(采购进货!$I$4:$I$1503,$K321),INDEX(资金台帐!$E$7:$E$3006,$K321-1500)&amp;""))</f>
      </c>
      <c r="K321" s="78">
        <f>IFERROR(MATCH(SMALL(_辅助!$H$4:$H$4503,282),_辅助!$H$4:$H$4503,0),"")</f>
      </c>
    </row>
    <row r="322">
      <c r="A322" s="141">
        <f>IF($K322="","",283)</f>
      </c>
      <c r="B322" s="140">
        <f>IF($K322="","",IF($K322&lt;=1500,INDEX(采购进货!$B$4:$B$1503,$K322),INDEX(资金台帐!$B$7:$B$3006,$K322-1500)))</f>
      </c>
      <c r="C322" s="141">
        <f>IF($K322="","",IF($K322&lt;=1500,IF(N(INDEX(采购进货!$E$4:$E$1503,$K322))&lt;0,"退货","进货"),IF(INDEX(资金台帐!$S$7:$S$3006,$K322-1500)&lt;=0,"付款","退款")&amp;"（"&amp;INDEX(资金台帐!$C$7:$C$3006,$K322-1500)&amp;"）"))</f>
      </c>
      <c r="D322" s="141">
        <f>IF($K322="","",IF($K322&lt;=1500,INDEX(采购进货!$D$4:$D$1503,$K322)&amp;"",""))</f>
      </c>
      <c r="E322" s="148">
        <f>IF($K322="","",IF($K322&lt;=1500,N(INDEX(采购进货!$E$4:$E$1503,$K322))+N(INDEX(采购进货!$H$4:$H$1503,$K322)),""))</f>
      </c>
      <c r="F322" s="149">
        <f>IF($K322="","",IF($K322&lt;=1500,INDEX(采购进货!$F$4:$F$1503,$K322),""))</f>
      </c>
      <c r="G322" s="186">
        <f>IF($K322="","",IF($K322&lt;=1500,N(INDEX(采购进货!$G$4:$G$1503,$K322)),""))</f>
      </c>
      <c r="H322" s="186">
        <f>IF($K322="","",IF($K322&lt;=1500,"",-INDEX(资金台帐!$S$7:$S$3006,$K322-1500)))</f>
      </c>
      <c r="I322" s="187">
        <f>IF($K322="","",I321+N(G322)-N(H322))</f>
      </c>
      <c r="J322" s="213">
        <f>IF($K322="","",IF($K322&lt;=1500,IF(N(INDEX(采购进货!$H$4:$H$1503,$K322))&lt;&gt;0,"含赠品"&amp;INDEX(采购进货!$H$4:$H$1503,$K322)&amp;"件 ","")&amp;INDEX(采购进货!$I$4:$I$1503,$K322),INDEX(资金台帐!$E$7:$E$3006,$K322-1500)&amp;""))</f>
      </c>
      <c r="K322" s="78">
        <f>IFERROR(MATCH(SMALL(_辅助!$H$4:$H$4503,283),_辅助!$H$4:$H$4503,0),"")</f>
      </c>
    </row>
    <row r="323">
      <c r="A323" s="141">
        <f>IF($K323="","",284)</f>
      </c>
      <c r="B323" s="140">
        <f>IF($K323="","",IF($K323&lt;=1500,INDEX(采购进货!$B$4:$B$1503,$K323),INDEX(资金台帐!$B$7:$B$3006,$K323-1500)))</f>
      </c>
      <c r="C323" s="141">
        <f>IF($K323="","",IF($K323&lt;=1500,IF(N(INDEX(采购进货!$E$4:$E$1503,$K323))&lt;0,"退货","进货"),IF(INDEX(资金台帐!$S$7:$S$3006,$K323-1500)&lt;=0,"付款","退款")&amp;"（"&amp;INDEX(资金台帐!$C$7:$C$3006,$K323-1500)&amp;"）"))</f>
      </c>
      <c r="D323" s="141">
        <f>IF($K323="","",IF($K323&lt;=1500,INDEX(采购进货!$D$4:$D$1503,$K323)&amp;"",""))</f>
      </c>
      <c r="E323" s="148">
        <f>IF($K323="","",IF($K323&lt;=1500,N(INDEX(采购进货!$E$4:$E$1503,$K323))+N(INDEX(采购进货!$H$4:$H$1503,$K323)),""))</f>
      </c>
      <c r="F323" s="149">
        <f>IF($K323="","",IF($K323&lt;=1500,INDEX(采购进货!$F$4:$F$1503,$K323),""))</f>
      </c>
      <c r="G323" s="186">
        <f>IF($K323="","",IF($K323&lt;=1500,N(INDEX(采购进货!$G$4:$G$1503,$K323)),""))</f>
      </c>
      <c r="H323" s="186">
        <f>IF($K323="","",IF($K323&lt;=1500,"",-INDEX(资金台帐!$S$7:$S$3006,$K323-1500)))</f>
      </c>
      <c r="I323" s="187">
        <f>IF($K323="","",I322+N(G323)-N(H323))</f>
      </c>
      <c r="J323" s="213">
        <f>IF($K323="","",IF($K323&lt;=1500,IF(N(INDEX(采购进货!$H$4:$H$1503,$K323))&lt;&gt;0,"含赠品"&amp;INDEX(采购进货!$H$4:$H$1503,$K323)&amp;"件 ","")&amp;INDEX(采购进货!$I$4:$I$1503,$K323),INDEX(资金台帐!$E$7:$E$3006,$K323-1500)&amp;""))</f>
      </c>
      <c r="K323" s="78">
        <f>IFERROR(MATCH(SMALL(_辅助!$H$4:$H$4503,284),_辅助!$H$4:$H$4503,0),"")</f>
      </c>
    </row>
    <row r="324">
      <c r="A324" s="141">
        <f>IF($K324="","",285)</f>
      </c>
      <c r="B324" s="140">
        <f>IF($K324="","",IF($K324&lt;=1500,INDEX(采购进货!$B$4:$B$1503,$K324),INDEX(资金台帐!$B$7:$B$3006,$K324-1500)))</f>
      </c>
      <c r="C324" s="141">
        <f>IF($K324="","",IF($K324&lt;=1500,IF(N(INDEX(采购进货!$E$4:$E$1503,$K324))&lt;0,"退货","进货"),IF(INDEX(资金台帐!$S$7:$S$3006,$K324-1500)&lt;=0,"付款","退款")&amp;"（"&amp;INDEX(资金台帐!$C$7:$C$3006,$K324-1500)&amp;"）"))</f>
      </c>
      <c r="D324" s="141">
        <f>IF($K324="","",IF($K324&lt;=1500,INDEX(采购进货!$D$4:$D$1503,$K324)&amp;"",""))</f>
      </c>
      <c r="E324" s="148">
        <f>IF($K324="","",IF($K324&lt;=1500,N(INDEX(采购进货!$E$4:$E$1503,$K324))+N(INDEX(采购进货!$H$4:$H$1503,$K324)),""))</f>
      </c>
      <c r="F324" s="149">
        <f>IF($K324="","",IF($K324&lt;=1500,INDEX(采购进货!$F$4:$F$1503,$K324),""))</f>
      </c>
      <c r="G324" s="186">
        <f>IF($K324="","",IF($K324&lt;=1500,N(INDEX(采购进货!$G$4:$G$1503,$K324)),""))</f>
      </c>
      <c r="H324" s="186">
        <f>IF($K324="","",IF($K324&lt;=1500,"",-INDEX(资金台帐!$S$7:$S$3006,$K324-1500)))</f>
      </c>
      <c r="I324" s="187">
        <f>IF($K324="","",I323+N(G324)-N(H324))</f>
      </c>
      <c r="J324" s="213">
        <f>IF($K324="","",IF($K324&lt;=1500,IF(N(INDEX(采购进货!$H$4:$H$1503,$K324))&lt;&gt;0,"含赠品"&amp;INDEX(采购进货!$H$4:$H$1503,$K324)&amp;"件 ","")&amp;INDEX(采购进货!$I$4:$I$1503,$K324),INDEX(资金台帐!$E$7:$E$3006,$K324-1500)&amp;""))</f>
      </c>
      <c r="K324" s="78">
        <f>IFERROR(MATCH(SMALL(_辅助!$H$4:$H$4503,285),_辅助!$H$4:$H$4503,0),"")</f>
      </c>
    </row>
    <row r="325">
      <c r="A325" s="141">
        <f>IF($K325="","",286)</f>
      </c>
      <c r="B325" s="140">
        <f>IF($K325="","",IF($K325&lt;=1500,INDEX(采购进货!$B$4:$B$1503,$K325),INDEX(资金台帐!$B$7:$B$3006,$K325-1500)))</f>
      </c>
      <c r="C325" s="141">
        <f>IF($K325="","",IF($K325&lt;=1500,IF(N(INDEX(采购进货!$E$4:$E$1503,$K325))&lt;0,"退货","进货"),IF(INDEX(资金台帐!$S$7:$S$3006,$K325-1500)&lt;=0,"付款","退款")&amp;"（"&amp;INDEX(资金台帐!$C$7:$C$3006,$K325-1500)&amp;"）"))</f>
      </c>
      <c r="D325" s="141">
        <f>IF($K325="","",IF($K325&lt;=1500,INDEX(采购进货!$D$4:$D$1503,$K325)&amp;"",""))</f>
      </c>
      <c r="E325" s="148">
        <f>IF($K325="","",IF($K325&lt;=1500,N(INDEX(采购进货!$E$4:$E$1503,$K325))+N(INDEX(采购进货!$H$4:$H$1503,$K325)),""))</f>
      </c>
      <c r="F325" s="149">
        <f>IF($K325="","",IF($K325&lt;=1500,INDEX(采购进货!$F$4:$F$1503,$K325),""))</f>
      </c>
      <c r="G325" s="186">
        <f>IF($K325="","",IF($K325&lt;=1500,N(INDEX(采购进货!$G$4:$G$1503,$K325)),""))</f>
      </c>
      <c r="H325" s="186">
        <f>IF($K325="","",IF($K325&lt;=1500,"",-INDEX(资金台帐!$S$7:$S$3006,$K325-1500)))</f>
      </c>
      <c r="I325" s="187">
        <f>IF($K325="","",I324+N(G325)-N(H325))</f>
      </c>
      <c r="J325" s="213">
        <f>IF($K325="","",IF($K325&lt;=1500,IF(N(INDEX(采购进货!$H$4:$H$1503,$K325))&lt;&gt;0,"含赠品"&amp;INDEX(采购进货!$H$4:$H$1503,$K325)&amp;"件 ","")&amp;INDEX(采购进货!$I$4:$I$1503,$K325),INDEX(资金台帐!$E$7:$E$3006,$K325-1500)&amp;""))</f>
      </c>
      <c r="K325" s="78">
        <f>IFERROR(MATCH(SMALL(_辅助!$H$4:$H$4503,286),_辅助!$H$4:$H$4503,0),"")</f>
      </c>
    </row>
    <row r="326">
      <c r="A326" s="141">
        <f>IF($K326="","",287)</f>
      </c>
      <c r="B326" s="140">
        <f>IF($K326="","",IF($K326&lt;=1500,INDEX(采购进货!$B$4:$B$1503,$K326),INDEX(资金台帐!$B$7:$B$3006,$K326-1500)))</f>
      </c>
      <c r="C326" s="141">
        <f>IF($K326="","",IF($K326&lt;=1500,IF(N(INDEX(采购进货!$E$4:$E$1503,$K326))&lt;0,"退货","进货"),IF(INDEX(资金台帐!$S$7:$S$3006,$K326-1500)&lt;=0,"付款","退款")&amp;"（"&amp;INDEX(资金台帐!$C$7:$C$3006,$K326-1500)&amp;"）"))</f>
      </c>
      <c r="D326" s="141">
        <f>IF($K326="","",IF($K326&lt;=1500,INDEX(采购进货!$D$4:$D$1503,$K326)&amp;"",""))</f>
      </c>
      <c r="E326" s="148">
        <f>IF($K326="","",IF($K326&lt;=1500,N(INDEX(采购进货!$E$4:$E$1503,$K326))+N(INDEX(采购进货!$H$4:$H$1503,$K326)),""))</f>
      </c>
      <c r="F326" s="149">
        <f>IF($K326="","",IF($K326&lt;=1500,INDEX(采购进货!$F$4:$F$1503,$K326),""))</f>
      </c>
      <c r="G326" s="186">
        <f>IF($K326="","",IF($K326&lt;=1500,N(INDEX(采购进货!$G$4:$G$1503,$K326)),""))</f>
      </c>
      <c r="H326" s="186">
        <f>IF($K326="","",IF($K326&lt;=1500,"",-INDEX(资金台帐!$S$7:$S$3006,$K326-1500)))</f>
      </c>
      <c r="I326" s="187">
        <f>IF($K326="","",I325+N(G326)-N(H326))</f>
      </c>
      <c r="J326" s="213">
        <f>IF($K326="","",IF($K326&lt;=1500,IF(N(INDEX(采购进货!$H$4:$H$1503,$K326))&lt;&gt;0,"含赠品"&amp;INDEX(采购进货!$H$4:$H$1503,$K326)&amp;"件 ","")&amp;INDEX(采购进货!$I$4:$I$1503,$K326),INDEX(资金台帐!$E$7:$E$3006,$K326-1500)&amp;""))</f>
      </c>
      <c r="K326" s="78">
        <f>IFERROR(MATCH(SMALL(_辅助!$H$4:$H$4503,287),_辅助!$H$4:$H$4503,0),"")</f>
      </c>
    </row>
    <row r="327">
      <c r="A327" s="141">
        <f>IF($K327="","",288)</f>
      </c>
      <c r="B327" s="140">
        <f>IF($K327="","",IF($K327&lt;=1500,INDEX(采购进货!$B$4:$B$1503,$K327),INDEX(资金台帐!$B$7:$B$3006,$K327-1500)))</f>
      </c>
      <c r="C327" s="141">
        <f>IF($K327="","",IF($K327&lt;=1500,IF(N(INDEX(采购进货!$E$4:$E$1503,$K327))&lt;0,"退货","进货"),IF(INDEX(资金台帐!$S$7:$S$3006,$K327-1500)&lt;=0,"付款","退款")&amp;"（"&amp;INDEX(资金台帐!$C$7:$C$3006,$K327-1500)&amp;"）"))</f>
      </c>
      <c r="D327" s="141">
        <f>IF($K327="","",IF($K327&lt;=1500,INDEX(采购进货!$D$4:$D$1503,$K327)&amp;"",""))</f>
      </c>
      <c r="E327" s="148">
        <f>IF($K327="","",IF($K327&lt;=1500,N(INDEX(采购进货!$E$4:$E$1503,$K327))+N(INDEX(采购进货!$H$4:$H$1503,$K327)),""))</f>
      </c>
      <c r="F327" s="149">
        <f>IF($K327="","",IF($K327&lt;=1500,INDEX(采购进货!$F$4:$F$1503,$K327),""))</f>
      </c>
      <c r="G327" s="186">
        <f>IF($K327="","",IF($K327&lt;=1500,N(INDEX(采购进货!$G$4:$G$1503,$K327)),""))</f>
      </c>
      <c r="H327" s="186">
        <f>IF($K327="","",IF($K327&lt;=1500,"",-INDEX(资金台帐!$S$7:$S$3006,$K327-1500)))</f>
      </c>
      <c r="I327" s="187">
        <f>IF($K327="","",I326+N(G327)-N(H327))</f>
      </c>
      <c r="J327" s="213">
        <f>IF($K327="","",IF($K327&lt;=1500,IF(N(INDEX(采购进货!$H$4:$H$1503,$K327))&lt;&gt;0,"含赠品"&amp;INDEX(采购进货!$H$4:$H$1503,$K327)&amp;"件 ","")&amp;INDEX(采购进货!$I$4:$I$1503,$K327),INDEX(资金台帐!$E$7:$E$3006,$K327-1500)&amp;""))</f>
      </c>
      <c r="K327" s="78">
        <f>IFERROR(MATCH(SMALL(_辅助!$H$4:$H$4503,288),_辅助!$H$4:$H$4503,0),"")</f>
      </c>
    </row>
    <row r="328">
      <c r="A328" s="141">
        <f>IF($K328="","",289)</f>
      </c>
      <c r="B328" s="140">
        <f>IF($K328="","",IF($K328&lt;=1500,INDEX(采购进货!$B$4:$B$1503,$K328),INDEX(资金台帐!$B$7:$B$3006,$K328-1500)))</f>
      </c>
      <c r="C328" s="141">
        <f>IF($K328="","",IF($K328&lt;=1500,IF(N(INDEX(采购进货!$E$4:$E$1503,$K328))&lt;0,"退货","进货"),IF(INDEX(资金台帐!$S$7:$S$3006,$K328-1500)&lt;=0,"付款","退款")&amp;"（"&amp;INDEX(资金台帐!$C$7:$C$3006,$K328-1500)&amp;"）"))</f>
      </c>
      <c r="D328" s="141">
        <f>IF($K328="","",IF($K328&lt;=1500,INDEX(采购进货!$D$4:$D$1503,$K328)&amp;"",""))</f>
      </c>
      <c r="E328" s="148">
        <f>IF($K328="","",IF($K328&lt;=1500,N(INDEX(采购进货!$E$4:$E$1503,$K328))+N(INDEX(采购进货!$H$4:$H$1503,$K328)),""))</f>
      </c>
      <c r="F328" s="149">
        <f>IF($K328="","",IF($K328&lt;=1500,INDEX(采购进货!$F$4:$F$1503,$K328),""))</f>
      </c>
      <c r="G328" s="186">
        <f>IF($K328="","",IF($K328&lt;=1500,N(INDEX(采购进货!$G$4:$G$1503,$K328)),""))</f>
      </c>
      <c r="H328" s="186">
        <f>IF($K328="","",IF($K328&lt;=1500,"",-INDEX(资金台帐!$S$7:$S$3006,$K328-1500)))</f>
      </c>
      <c r="I328" s="187">
        <f>IF($K328="","",I327+N(G328)-N(H328))</f>
      </c>
      <c r="J328" s="213">
        <f>IF($K328="","",IF($K328&lt;=1500,IF(N(INDEX(采购进货!$H$4:$H$1503,$K328))&lt;&gt;0,"含赠品"&amp;INDEX(采购进货!$H$4:$H$1503,$K328)&amp;"件 ","")&amp;INDEX(采购进货!$I$4:$I$1503,$K328),INDEX(资金台帐!$E$7:$E$3006,$K328-1500)&amp;""))</f>
      </c>
      <c r="K328" s="78">
        <f>IFERROR(MATCH(SMALL(_辅助!$H$4:$H$4503,289),_辅助!$H$4:$H$4503,0),"")</f>
      </c>
    </row>
    <row r="329">
      <c r="A329" s="141">
        <f>IF($K329="","",290)</f>
      </c>
      <c r="B329" s="140">
        <f>IF($K329="","",IF($K329&lt;=1500,INDEX(采购进货!$B$4:$B$1503,$K329),INDEX(资金台帐!$B$7:$B$3006,$K329-1500)))</f>
      </c>
      <c r="C329" s="141">
        <f>IF($K329="","",IF($K329&lt;=1500,IF(N(INDEX(采购进货!$E$4:$E$1503,$K329))&lt;0,"退货","进货"),IF(INDEX(资金台帐!$S$7:$S$3006,$K329-1500)&lt;=0,"付款","退款")&amp;"（"&amp;INDEX(资金台帐!$C$7:$C$3006,$K329-1500)&amp;"）"))</f>
      </c>
      <c r="D329" s="141">
        <f>IF($K329="","",IF($K329&lt;=1500,INDEX(采购进货!$D$4:$D$1503,$K329)&amp;"",""))</f>
      </c>
      <c r="E329" s="148">
        <f>IF($K329="","",IF($K329&lt;=1500,N(INDEX(采购进货!$E$4:$E$1503,$K329))+N(INDEX(采购进货!$H$4:$H$1503,$K329)),""))</f>
      </c>
      <c r="F329" s="149">
        <f>IF($K329="","",IF($K329&lt;=1500,INDEX(采购进货!$F$4:$F$1503,$K329),""))</f>
      </c>
      <c r="G329" s="186">
        <f>IF($K329="","",IF($K329&lt;=1500,N(INDEX(采购进货!$G$4:$G$1503,$K329)),""))</f>
      </c>
      <c r="H329" s="186">
        <f>IF($K329="","",IF($K329&lt;=1500,"",-INDEX(资金台帐!$S$7:$S$3006,$K329-1500)))</f>
      </c>
      <c r="I329" s="187">
        <f>IF($K329="","",I328+N(G329)-N(H329))</f>
      </c>
      <c r="J329" s="213">
        <f>IF($K329="","",IF($K329&lt;=1500,IF(N(INDEX(采购进货!$H$4:$H$1503,$K329))&lt;&gt;0,"含赠品"&amp;INDEX(采购进货!$H$4:$H$1503,$K329)&amp;"件 ","")&amp;INDEX(采购进货!$I$4:$I$1503,$K329),INDEX(资金台帐!$E$7:$E$3006,$K329-1500)&amp;""))</f>
      </c>
      <c r="K329" s="78">
        <f>IFERROR(MATCH(SMALL(_辅助!$H$4:$H$4503,290),_辅助!$H$4:$H$4503,0),"")</f>
      </c>
    </row>
    <row r="330">
      <c r="A330" s="141">
        <f>IF($K330="","",291)</f>
      </c>
      <c r="B330" s="140">
        <f>IF($K330="","",IF($K330&lt;=1500,INDEX(采购进货!$B$4:$B$1503,$K330),INDEX(资金台帐!$B$7:$B$3006,$K330-1500)))</f>
      </c>
      <c r="C330" s="141">
        <f>IF($K330="","",IF($K330&lt;=1500,IF(N(INDEX(采购进货!$E$4:$E$1503,$K330))&lt;0,"退货","进货"),IF(INDEX(资金台帐!$S$7:$S$3006,$K330-1500)&lt;=0,"付款","退款")&amp;"（"&amp;INDEX(资金台帐!$C$7:$C$3006,$K330-1500)&amp;"）"))</f>
      </c>
      <c r="D330" s="141">
        <f>IF($K330="","",IF($K330&lt;=1500,INDEX(采购进货!$D$4:$D$1503,$K330)&amp;"",""))</f>
      </c>
      <c r="E330" s="148">
        <f>IF($K330="","",IF($K330&lt;=1500,N(INDEX(采购进货!$E$4:$E$1503,$K330))+N(INDEX(采购进货!$H$4:$H$1503,$K330)),""))</f>
      </c>
      <c r="F330" s="149">
        <f>IF($K330="","",IF($K330&lt;=1500,INDEX(采购进货!$F$4:$F$1503,$K330),""))</f>
      </c>
      <c r="G330" s="186">
        <f>IF($K330="","",IF($K330&lt;=1500,N(INDEX(采购进货!$G$4:$G$1503,$K330)),""))</f>
      </c>
      <c r="H330" s="186">
        <f>IF($K330="","",IF($K330&lt;=1500,"",-INDEX(资金台帐!$S$7:$S$3006,$K330-1500)))</f>
      </c>
      <c r="I330" s="187">
        <f>IF($K330="","",I329+N(G330)-N(H330))</f>
      </c>
      <c r="J330" s="213">
        <f>IF($K330="","",IF($K330&lt;=1500,IF(N(INDEX(采购进货!$H$4:$H$1503,$K330))&lt;&gt;0,"含赠品"&amp;INDEX(采购进货!$H$4:$H$1503,$K330)&amp;"件 ","")&amp;INDEX(采购进货!$I$4:$I$1503,$K330),INDEX(资金台帐!$E$7:$E$3006,$K330-1500)&amp;""))</f>
      </c>
      <c r="K330" s="78">
        <f>IFERROR(MATCH(SMALL(_辅助!$H$4:$H$4503,291),_辅助!$H$4:$H$4503,0),"")</f>
      </c>
    </row>
    <row r="331">
      <c r="A331" s="141">
        <f>IF($K331="","",292)</f>
      </c>
      <c r="B331" s="140">
        <f>IF($K331="","",IF($K331&lt;=1500,INDEX(采购进货!$B$4:$B$1503,$K331),INDEX(资金台帐!$B$7:$B$3006,$K331-1500)))</f>
      </c>
      <c r="C331" s="141">
        <f>IF($K331="","",IF($K331&lt;=1500,IF(N(INDEX(采购进货!$E$4:$E$1503,$K331))&lt;0,"退货","进货"),IF(INDEX(资金台帐!$S$7:$S$3006,$K331-1500)&lt;=0,"付款","退款")&amp;"（"&amp;INDEX(资金台帐!$C$7:$C$3006,$K331-1500)&amp;"）"))</f>
      </c>
      <c r="D331" s="141">
        <f>IF($K331="","",IF($K331&lt;=1500,INDEX(采购进货!$D$4:$D$1503,$K331)&amp;"",""))</f>
      </c>
      <c r="E331" s="148">
        <f>IF($K331="","",IF($K331&lt;=1500,N(INDEX(采购进货!$E$4:$E$1503,$K331))+N(INDEX(采购进货!$H$4:$H$1503,$K331)),""))</f>
      </c>
      <c r="F331" s="149">
        <f>IF($K331="","",IF($K331&lt;=1500,INDEX(采购进货!$F$4:$F$1503,$K331),""))</f>
      </c>
      <c r="G331" s="186">
        <f>IF($K331="","",IF($K331&lt;=1500,N(INDEX(采购进货!$G$4:$G$1503,$K331)),""))</f>
      </c>
      <c r="H331" s="186">
        <f>IF($K331="","",IF($K331&lt;=1500,"",-INDEX(资金台帐!$S$7:$S$3006,$K331-1500)))</f>
      </c>
      <c r="I331" s="187">
        <f>IF($K331="","",I330+N(G331)-N(H331))</f>
      </c>
      <c r="J331" s="213">
        <f>IF($K331="","",IF($K331&lt;=1500,IF(N(INDEX(采购进货!$H$4:$H$1503,$K331))&lt;&gt;0,"含赠品"&amp;INDEX(采购进货!$H$4:$H$1503,$K331)&amp;"件 ","")&amp;INDEX(采购进货!$I$4:$I$1503,$K331),INDEX(资金台帐!$E$7:$E$3006,$K331-1500)&amp;""))</f>
      </c>
      <c r="K331" s="78">
        <f>IFERROR(MATCH(SMALL(_辅助!$H$4:$H$4503,292),_辅助!$H$4:$H$4503,0),"")</f>
      </c>
    </row>
    <row r="332">
      <c r="A332" s="141">
        <f>IF($K332="","",293)</f>
      </c>
      <c r="B332" s="140">
        <f>IF($K332="","",IF($K332&lt;=1500,INDEX(采购进货!$B$4:$B$1503,$K332),INDEX(资金台帐!$B$7:$B$3006,$K332-1500)))</f>
      </c>
      <c r="C332" s="141">
        <f>IF($K332="","",IF($K332&lt;=1500,IF(N(INDEX(采购进货!$E$4:$E$1503,$K332))&lt;0,"退货","进货"),IF(INDEX(资金台帐!$S$7:$S$3006,$K332-1500)&lt;=0,"付款","退款")&amp;"（"&amp;INDEX(资金台帐!$C$7:$C$3006,$K332-1500)&amp;"）"))</f>
      </c>
      <c r="D332" s="141">
        <f>IF($K332="","",IF($K332&lt;=1500,INDEX(采购进货!$D$4:$D$1503,$K332)&amp;"",""))</f>
      </c>
      <c r="E332" s="148">
        <f>IF($K332="","",IF($K332&lt;=1500,N(INDEX(采购进货!$E$4:$E$1503,$K332))+N(INDEX(采购进货!$H$4:$H$1503,$K332)),""))</f>
      </c>
      <c r="F332" s="149">
        <f>IF($K332="","",IF($K332&lt;=1500,INDEX(采购进货!$F$4:$F$1503,$K332),""))</f>
      </c>
      <c r="G332" s="186">
        <f>IF($K332="","",IF($K332&lt;=1500,N(INDEX(采购进货!$G$4:$G$1503,$K332)),""))</f>
      </c>
      <c r="H332" s="186">
        <f>IF($K332="","",IF($K332&lt;=1500,"",-INDEX(资金台帐!$S$7:$S$3006,$K332-1500)))</f>
      </c>
      <c r="I332" s="187">
        <f>IF($K332="","",I331+N(G332)-N(H332))</f>
      </c>
      <c r="J332" s="213">
        <f>IF($K332="","",IF($K332&lt;=1500,IF(N(INDEX(采购进货!$H$4:$H$1503,$K332))&lt;&gt;0,"含赠品"&amp;INDEX(采购进货!$H$4:$H$1503,$K332)&amp;"件 ","")&amp;INDEX(采购进货!$I$4:$I$1503,$K332),INDEX(资金台帐!$E$7:$E$3006,$K332-1500)&amp;""))</f>
      </c>
      <c r="K332" s="78">
        <f>IFERROR(MATCH(SMALL(_辅助!$H$4:$H$4503,293),_辅助!$H$4:$H$4503,0),"")</f>
      </c>
    </row>
    <row r="333">
      <c r="A333" s="141">
        <f>IF($K333="","",294)</f>
      </c>
      <c r="B333" s="140">
        <f>IF($K333="","",IF($K333&lt;=1500,INDEX(采购进货!$B$4:$B$1503,$K333),INDEX(资金台帐!$B$7:$B$3006,$K333-1500)))</f>
      </c>
      <c r="C333" s="141">
        <f>IF($K333="","",IF($K333&lt;=1500,IF(N(INDEX(采购进货!$E$4:$E$1503,$K333))&lt;0,"退货","进货"),IF(INDEX(资金台帐!$S$7:$S$3006,$K333-1500)&lt;=0,"付款","退款")&amp;"（"&amp;INDEX(资金台帐!$C$7:$C$3006,$K333-1500)&amp;"）"))</f>
      </c>
      <c r="D333" s="141">
        <f>IF($K333="","",IF($K333&lt;=1500,INDEX(采购进货!$D$4:$D$1503,$K333)&amp;"",""))</f>
      </c>
      <c r="E333" s="148">
        <f>IF($K333="","",IF($K333&lt;=1500,N(INDEX(采购进货!$E$4:$E$1503,$K333))+N(INDEX(采购进货!$H$4:$H$1503,$K333)),""))</f>
      </c>
      <c r="F333" s="149">
        <f>IF($K333="","",IF($K333&lt;=1500,INDEX(采购进货!$F$4:$F$1503,$K333),""))</f>
      </c>
      <c r="G333" s="186">
        <f>IF($K333="","",IF($K333&lt;=1500,N(INDEX(采购进货!$G$4:$G$1503,$K333)),""))</f>
      </c>
      <c r="H333" s="186">
        <f>IF($K333="","",IF($K333&lt;=1500,"",-INDEX(资金台帐!$S$7:$S$3006,$K333-1500)))</f>
      </c>
      <c r="I333" s="187">
        <f>IF($K333="","",I332+N(G333)-N(H333))</f>
      </c>
      <c r="J333" s="213">
        <f>IF($K333="","",IF($K333&lt;=1500,IF(N(INDEX(采购进货!$H$4:$H$1503,$K333))&lt;&gt;0,"含赠品"&amp;INDEX(采购进货!$H$4:$H$1503,$K333)&amp;"件 ","")&amp;INDEX(采购进货!$I$4:$I$1503,$K333),INDEX(资金台帐!$E$7:$E$3006,$K333-1500)&amp;""))</f>
      </c>
      <c r="K333" s="78">
        <f>IFERROR(MATCH(SMALL(_辅助!$H$4:$H$4503,294),_辅助!$H$4:$H$4503,0),"")</f>
      </c>
    </row>
    <row r="334">
      <c r="A334" s="141">
        <f>IF($K334="","",295)</f>
      </c>
      <c r="B334" s="140">
        <f>IF($K334="","",IF($K334&lt;=1500,INDEX(采购进货!$B$4:$B$1503,$K334),INDEX(资金台帐!$B$7:$B$3006,$K334-1500)))</f>
      </c>
      <c r="C334" s="141">
        <f>IF($K334="","",IF($K334&lt;=1500,IF(N(INDEX(采购进货!$E$4:$E$1503,$K334))&lt;0,"退货","进货"),IF(INDEX(资金台帐!$S$7:$S$3006,$K334-1500)&lt;=0,"付款","退款")&amp;"（"&amp;INDEX(资金台帐!$C$7:$C$3006,$K334-1500)&amp;"）"))</f>
      </c>
      <c r="D334" s="141">
        <f>IF($K334="","",IF($K334&lt;=1500,INDEX(采购进货!$D$4:$D$1503,$K334)&amp;"",""))</f>
      </c>
      <c r="E334" s="148">
        <f>IF($K334="","",IF($K334&lt;=1500,N(INDEX(采购进货!$E$4:$E$1503,$K334))+N(INDEX(采购进货!$H$4:$H$1503,$K334)),""))</f>
      </c>
      <c r="F334" s="149">
        <f>IF($K334="","",IF($K334&lt;=1500,INDEX(采购进货!$F$4:$F$1503,$K334),""))</f>
      </c>
      <c r="G334" s="186">
        <f>IF($K334="","",IF($K334&lt;=1500,N(INDEX(采购进货!$G$4:$G$1503,$K334)),""))</f>
      </c>
      <c r="H334" s="186">
        <f>IF($K334="","",IF($K334&lt;=1500,"",-INDEX(资金台帐!$S$7:$S$3006,$K334-1500)))</f>
      </c>
      <c r="I334" s="187">
        <f>IF($K334="","",I333+N(G334)-N(H334))</f>
      </c>
      <c r="J334" s="213">
        <f>IF($K334="","",IF($K334&lt;=1500,IF(N(INDEX(采购进货!$H$4:$H$1503,$K334))&lt;&gt;0,"含赠品"&amp;INDEX(采购进货!$H$4:$H$1503,$K334)&amp;"件 ","")&amp;INDEX(采购进货!$I$4:$I$1503,$K334),INDEX(资金台帐!$E$7:$E$3006,$K334-1500)&amp;""))</f>
      </c>
      <c r="K334" s="78">
        <f>IFERROR(MATCH(SMALL(_辅助!$H$4:$H$4503,295),_辅助!$H$4:$H$4503,0),"")</f>
      </c>
    </row>
    <row r="335">
      <c r="A335" s="141">
        <f>IF($K335="","",296)</f>
      </c>
      <c r="B335" s="140">
        <f>IF($K335="","",IF($K335&lt;=1500,INDEX(采购进货!$B$4:$B$1503,$K335),INDEX(资金台帐!$B$7:$B$3006,$K335-1500)))</f>
      </c>
      <c r="C335" s="141">
        <f>IF($K335="","",IF($K335&lt;=1500,IF(N(INDEX(采购进货!$E$4:$E$1503,$K335))&lt;0,"退货","进货"),IF(INDEX(资金台帐!$S$7:$S$3006,$K335-1500)&lt;=0,"付款","退款")&amp;"（"&amp;INDEX(资金台帐!$C$7:$C$3006,$K335-1500)&amp;"）"))</f>
      </c>
      <c r="D335" s="141">
        <f>IF($K335="","",IF($K335&lt;=1500,INDEX(采购进货!$D$4:$D$1503,$K335)&amp;"",""))</f>
      </c>
      <c r="E335" s="148">
        <f>IF($K335="","",IF($K335&lt;=1500,N(INDEX(采购进货!$E$4:$E$1503,$K335))+N(INDEX(采购进货!$H$4:$H$1503,$K335)),""))</f>
      </c>
      <c r="F335" s="149">
        <f>IF($K335="","",IF($K335&lt;=1500,INDEX(采购进货!$F$4:$F$1503,$K335),""))</f>
      </c>
      <c r="G335" s="186">
        <f>IF($K335="","",IF($K335&lt;=1500,N(INDEX(采购进货!$G$4:$G$1503,$K335)),""))</f>
      </c>
      <c r="H335" s="186">
        <f>IF($K335="","",IF($K335&lt;=1500,"",-INDEX(资金台帐!$S$7:$S$3006,$K335-1500)))</f>
      </c>
      <c r="I335" s="187">
        <f>IF($K335="","",I334+N(G335)-N(H335))</f>
      </c>
      <c r="J335" s="213">
        <f>IF($K335="","",IF($K335&lt;=1500,IF(N(INDEX(采购进货!$H$4:$H$1503,$K335))&lt;&gt;0,"含赠品"&amp;INDEX(采购进货!$H$4:$H$1503,$K335)&amp;"件 ","")&amp;INDEX(采购进货!$I$4:$I$1503,$K335),INDEX(资金台帐!$E$7:$E$3006,$K335-1500)&amp;""))</f>
      </c>
      <c r="K335" s="78">
        <f>IFERROR(MATCH(SMALL(_辅助!$H$4:$H$4503,296),_辅助!$H$4:$H$4503,0),"")</f>
      </c>
    </row>
    <row r="336">
      <c r="A336" s="141">
        <f>IF($K336="","",297)</f>
      </c>
      <c r="B336" s="140">
        <f>IF($K336="","",IF($K336&lt;=1500,INDEX(采购进货!$B$4:$B$1503,$K336),INDEX(资金台帐!$B$7:$B$3006,$K336-1500)))</f>
      </c>
      <c r="C336" s="141">
        <f>IF($K336="","",IF($K336&lt;=1500,IF(N(INDEX(采购进货!$E$4:$E$1503,$K336))&lt;0,"退货","进货"),IF(INDEX(资金台帐!$S$7:$S$3006,$K336-1500)&lt;=0,"付款","退款")&amp;"（"&amp;INDEX(资金台帐!$C$7:$C$3006,$K336-1500)&amp;"）"))</f>
      </c>
      <c r="D336" s="141">
        <f>IF($K336="","",IF($K336&lt;=1500,INDEX(采购进货!$D$4:$D$1503,$K336)&amp;"",""))</f>
      </c>
      <c r="E336" s="148">
        <f>IF($K336="","",IF($K336&lt;=1500,N(INDEX(采购进货!$E$4:$E$1503,$K336))+N(INDEX(采购进货!$H$4:$H$1503,$K336)),""))</f>
      </c>
      <c r="F336" s="149">
        <f>IF($K336="","",IF($K336&lt;=1500,INDEX(采购进货!$F$4:$F$1503,$K336),""))</f>
      </c>
      <c r="G336" s="186">
        <f>IF($K336="","",IF($K336&lt;=1500,N(INDEX(采购进货!$G$4:$G$1503,$K336)),""))</f>
      </c>
      <c r="H336" s="186">
        <f>IF($K336="","",IF($K336&lt;=1500,"",-INDEX(资金台帐!$S$7:$S$3006,$K336-1500)))</f>
      </c>
      <c r="I336" s="187">
        <f>IF($K336="","",I335+N(G336)-N(H336))</f>
      </c>
      <c r="J336" s="213">
        <f>IF($K336="","",IF($K336&lt;=1500,IF(N(INDEX(采购进货!$H$4:$H$1503,$K336))&lt;&gt;0,"含赠品"&amp;INDEX(采购进货!$H$4:$H$1503,$K336)&amp;"件 ","")&amp;INDEX(采购进货!$I$4:$I$1503,$K336),INDEX(资金台帐!$E$7:$E$3006,$K336-1500)&amp;""))</f>
      </c>
      <c r="K336" s="78">
        <f>IFERROR(MATCH(SMALL(_辅助!$H$4:$H$4503,297),_辅助!$H$4:$H$4503,0),"")</f>
      </c>
    </row>
    <row r="337">
      <c r="A337" s="141">
        <f>IF($K337="","",298)</f>
      </c>
      <c r="B337" s="140">
        <f>IF($K337="","",IF($K337&lt;=1500,INDEX(采购进货!$B$4:$B$1503,$K337),INDEX(资金台帐!$B$7:$B$3006,$K337-1500)))</f>
      </c>
      <c r="C337" s="141">
        <f>IF($K337="","",IF($K337&lt;=1500,IF(N(INDEX(采购进货!$E$4:$E$1503,$K337))&lt;0,"退货","进货"),IF(INDEX(资金台帐!$S$7:$S$3006,$K337-1500)&lt;=0,"付款","退款")&amp;"（"&amp;INDEX(资金台帐!$C$7:$C$3006,$K337-1500)&amp;"）"))</f>
      </c>
      <c r="D337" s="141">
        <f>IF($K337="","",IF($K337&lt;=1500,INDEX(采购进货!$D$4:$D$1503,$K337)&amp;"",""))</f>
      </c>
      <c r="E337" s="148">
        <f>IF($K337="","",IF($K337&lt;=1500,N(INDEX(采购进货!$E$4:$E$1503,$K337))+N(INDEX(采购进货!$H$4:$H$1503,$K337)),""))</f>
      </c>
      <c r="F337" s="149">
        <f>IF($K337="","",IF($K337&lt;=1500,INDEX(采购进货!$F$4:$F$1503,$K337),""))</f>
      </c>
      <c r="G337" s="186">
        <f>IF($K337="","",IF($K337&lt;=1500,N(INDEX(采购进货!$G$4:$G$1503,$K337)),""))</f>
      </c>
      <c r="H337" s="186">
        <f>IF($K337="","",IF($K337&lt;=1500,"",-INDEX(资金台帐!$S$7:$S$3006,$K337-1500)))</f>
      </c>
      <c r="I337" s="187">
        <f>IF($K337="","",I336+N(G337)-N(H337))</f>
      </c>
      <c r="J337" s="213">
        <f>IF($K337="","",IF($K337&lt;=1500,IF(N(INDEX(采购进货!$H$4:$H$1503,$K337))&lt;&gt;0,"含赠品"&amp;INDEX(采购进货!$H$4:$H$1503,$K337)&amp;"件 ","")&amp;INDEX(采购进货!$I$4:$I$1503,$K337),INDEX(资金台帐!$E$7:$E$3006,$K337-1500)&amp;""))</f>
      </c>
      <c r="K337" s="78">
        <f>IFERROR(MATCH(SMALL(_辅助!$H$4:$H$4503,298),_辅助!$H$4:$H$4503,0),"")</f>
      </c>
    </row>
    <row r="338">
      <c r="A338" s="141">
        <f>IF($K338="","",299)</f>
      </c>
      <c r="B338" s="140">
        <f>IF($K338="","",IF($K338&lt;=1500,INDEX(采购进货!$B$4:$B$1503,$K338),INDEX(资金台帐!$B$7:$B$3006,$K338-1500)))</f>
      </c>
      <c r="C338" s="141">
        <f>IF($K338="","",IF($K338&lt;=1500,IF(N(INDEX(采购进货!$E$4:$E$1503,$K338))&lt;0,"退货","进货"),IF(INDEX(资金台帐!$S$7:$S$3006,$K338-1500)&lt;=0,"付款","退款")&amp;"（"&amp;INDEX(资金台帐!$C$7:$C$3006,$K338-1500)&amp;"）"))</f>
      </c>
      <c r="D338" s="141">
        <f>IF($K338="","",IF($K338&lt;=1500,INDEX(采购进货!$D$4:$D$1503,$K338)&amp;"",""))</f>
      </c>
      <c r="E338" s="148">
        <f>IF($K338="","",IF($K338&lt;=1500,N(INDEX(采购进货!$E$4:$E$1503,$K338))+N(INDEX(采购进货!$H$4:$H$1503,$K338)),""))</f>
      </c>
      <c r="F338" s="149">
        <f>IF($K338="","",IF($K338&lt;=1500,INDEX(采购进货!$F$4:$F$1503,$K338),""))</f>
      </c>
      <c r="G338" s="186">
        <f>IF($K338="","",IF($K338&lt;=1500,N(INDEX(采购进货!$G$4:$G$1503,$K338)),""))</f>
      </c>
      <c r="H338" s="186">
        <f>IF($K338="","",IF($K338&lt;=1500,"",-INDEX(资金台帐!$S$7:$S$3006,$K338-1500)))</f>
      </c>
      <c r="I338" s="187">
        <f>IF($K338="","",I337+N(G338)-N(H338))</f>
      </c>
      <c r="J338" s="213">
        <f>IF($K338="","",IF($K338&lt;=1500,IF(N(INDEX(采购进货!$H$4:$H$1503,$K338))&lt;&gt;0,"含赠品"&amp;INDEX(采购进货!$H$4:$H$1503,$K338)&amp;"件 ","")&amp;INDEX(采购进货!$I$4:$I$1503,$K338),INDEX(资金台帐!$E$7:$E$3006,$K338-1500)&amp;""))</f>
      </c>
      <c r="K338" s="78">
        <f>IFERROR(MATCH(SMALL(_辅助!$H$4:$H$4503,299),_辅助!$H$4:$H$4503,0),"")</f>
      </c>
    </row>
    <row r="339">
      <c r="A339" s="214" t="n"/>
      <c r="B339" s="214" t="n"/>
      <c r="C339" s="121" t="inlineStr">
        <is>
          <t>本期合计</t>
        </is>
      </c>
      <c r="D339" s="214" t="n"/>
      <c r="E339" s="215">
        <f>SUM(E39:E338)</f>
        <v>0</v>
      </c>
      <c r="F339" s="214" t="n"/>
      <c r="G339" s="188">
        <f>SUM(G39:G338)</f>
        <v>0</v>
      </c>
      <c r="H339" s="188">
        <f>SUM(H39:H338)</f>
        <v>0</v>
      </c>
      <c r="I339" s="188">
        <f>D9</f>
        <v>0</v>
      </c>
      <c r="J339" s="214" t="n"/>
    </row>
  </sheetData>
  <mergeCells count="10">
    <mergeCell ref="A1:J1"/>
    <mergeCell ref="A37:J37"/>
    <mergeCell ref="B5:D5"/>
    <mergeCell ref="A36:J36"/>
    <mergeCell ref="B4:D4"/>
    <mergeCell ref="A11:E11"/>
    <mergeCell ref="A7:J7"/>
    <mergeCell ref="A2:J2"/>
    <mergeCell ref="A10:J10"/>
    <mergeCell ref="A13:J13"/>
  </mergeCells>
  <conditionalFormatting sqref="A40:J338">
    <cfRule type="expression" priority="1" dxfId="8">
      <formula>AND($A40&lt;&gt;"",MOD($A40,2)=0)</formula>
    </cfRule>
  </conditionalFormatting>
  <dataValidations count="1">
    <dataValidation sqref="B4" showDropDown="0" showInputMessage="1" showErrorMessage="1" allowBlank="1" errorTitle="不在清单里" error="请从下拉里选；清单里没有的，先到【基础资料】/【总览汇总】里登记" promptTitle="提示" prompt="下拉选" type="list" errorStyle="stop">
      <formula1>=供应商列表</formula1>
    </dataValidation>
  </dataValidation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/>
  </sheetPr>
  <dimension ref="A1:Q106"/>
  <sheetViews>
    <sheetView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71" min="1" max="1"/>
    <col width="15" customWidth="1" style="71" min="2" max="2"/>
    <col width="12" customWidth="1" style="71" min="3" max="3"/>
    <col width="9" customWidth="1" style="71" min="4" max="4"/>
    <col width="11" customWidth="1" style="71" min="5" max="5"/>
    <col width="10" customWidth="1" style="71" min="6" max="6"/>
    <col width="12" customWidth="1" style="71" min="7" max="7"/>
    <col width="10" customWidth="1" style="71" min="8" max="8"/>
    <col width="12" customWidth="1" style="71" min="9" max="9"/>
    <col width="9" customWidth="1" style="71" min="10" max="10"/>
    <col width="10" customWidth="1" style="71" min="11" max="11"/>
    <col width="10" customWidth="1" style="71" min="12" max="12"/>
    <col width="12" customWidth="1" style="71" min="13" max="13"/>
    <col width="9" customWidth="1" style="71" min="14" max="14"/>
    <col width="10" customWidth="1" style="71" min="15" max="15"/>
    <col width="11" customWidth="1" style="71" min="16" max="16"/>
    <col width="26" customWidth="1" style="71" min="17" max="17"/>
  </cols>
  <sheetData>
    <row r="1" ht="33" customHeight="1" s="71">
      <c r="A1" s="183" t="inlineStr">
        <is>
          <t>公司库存（进销存汇总 · 按商品）</t>
        </is>
      </c>
    </row>
    <row r="2" ht="24" customHeight="1" s="71">
      <c r="A2" s="73" t="inlineStr">
        <is>
          <t>💡 公司自己仓库里的货：期初＋采购进货－出库领用－报损＝结存。右边对比客户存条还没提走的数量——「扣除存条后可用」为负，说明仓库里的货不够兑现客户已付款的存条。选月份看截止到那个月底的数。</t>
        </is>
      </c>
    </row>
    <row r="3">
      <c r="A3" s="189" t="inlineStr">
        <is>
          <t>截止月份：</t>
        </is>
      </c>
      <c r="C3" s="125" t="n">
        <v>9</v>
      </c>
      <c r="D3" s="89" t="str">
        <f>TEXT(DATE(年度,C3+1,0),"yyyy年m月d日")&amp;" 止"</f>
        <v>2026年9月30日 止</v>
      </c>
    </row>
    <row r="5" ht="34" customHeight="1" s="71">
      <c r="A5" s="219" t="inlineStr">
        <is>
          <t>序号</t>
        </is>
      </c>
      <c r="B5" s="219" t="inlineStr">
        <is>
          <t>商品品类</t>
        </is>
      </c>
      <c r="C5" s="219" t="inlineStr">
        <is>
          <t>供应商</t>
        </is>
      </c>
      <c r="D5" s="219" t="inlineStr">
        <is>
          <t>期初数量</t>
        </is>
      </c>
      <c r="E5" s="219" t="inlineStr">
        <is>
          <t>期初金额</t>
        </is>
      </c>
      <c r="F5" s="219" t="inlineStr">
        <is>
          <t>采购数量
(含赠品)</t>
        </is>
      </c>
      <c r="G5" s="219" t="inlineStr">
        <is>
          <t>采购金额</t>
        </is>
      </c>
      <c r="H5" s="219" t="inlineStr">
        <is>
          <t>出库数量</t>
        </is>
      </c>
      <c r="I5" s="219" t="inlineStr">
        <is>
          <t>出库成本</t>
        </is>
      </c>
      <c r="J5" s="219" t="inlineStr">
        <is>
          <t>报损数量
(折件)</t>
        </is>
      </c>
      <c r="K5" s="219" t="inlineStr">
        <is>
          <t>报损金额</t>
        </is>
      </c>
      <c r="L5" s="219" t="inlineStr">
        <is>
          <t>结存数量</t>
        </is>
      </c>
      <c r="M5" s="219" t="inlineStr">
        <is>
          <t>结存金额</t>
        </is>
      </c>
      <c r="N5" s="219" t="inlineStr">
        <is>
          <t>平均单价</t>
        </is>
      </c>
      <c r="O5" s="219" t="inlineStr">
        <is>
          <t>客户存条
未提(件)</t>
        </is>
      </c>
      <c r="P5" s="219" t="inlineStr">
        <is>
          <t>扣除存条后
可用(件)</t>
        </is>
      </c>
      <c r="Q5" s="219" t="inlineStr">
        <is>
          <t>提示</t>
        </is>
      </c>
    </row>
    <row r="6">
      <c r="A6" s="194">
        <f>IF(B6="","",ROW()-5)</f>
        <v>1</v>
      </c>
      <c r="B6" s="141" t="str">
        <f>成本计算!B8</f>
        <v>大东鹏</v>
      </c>
      <c r="C6" s="141" t="str">
        <f>IF(B6="","",基础资料!F5&amp;"")</f>
        <v>东鹏公司</v>
      </c>
      <c r="D6" s="220">
        <f>IF(B6="","",成本计算!F8)</f>
        <v>0</v>
      </c>
      <c r="E6" s="186">
        <f>IF(B6="","",成本计算!G8)</f>
        <v>0</v>
      </c>
      <c r="F6" s="220">
        <f>IF(B6="","",SUMIFS(成本计算!$H8:$EU8,成本计算!$H$4:$EU$4,"&lt;="&amp;$C$3,成本计算!$H$6:$EU$6,"采购数量"))</f>
        <v>0</v>
      </c>
      <c r="G6" s="186">
        <f>IF(B6="","",SUMIFS(成本计算!$H8:$EU8,成本计算!$H$4:$EU$4,"&lt;="&amp;$C$3,成本计算!$H$6:$EU$6,"采购金额"))</f>
        <v>0</v>
      </c>
      <c r="H6" s="220">
        <f>IF(B6="","",SUMIFS(成本计算!$H8:$EU8,成本计算!$H$4:$EU$4,"&lt;="&amp;$C$3,成本计算!$H$6:$EU$6,"出库数量"))</f>
        <v>10584.5</v>
      </c>
      <c r="I6" s="186">
        <f>IF(B6="","",SUMIFS(成本计算!$H8:$EU8,成本计算!$H$4:$EU$4,"&lt;="&amp;$C$3,成本计算!$H$6:$EU$6,"出库成本"))</f>
        <v>820510.44</v>
      </c>
      <c r="J6" s="220">
        <f>IF(B6="","",SUMIFS(成本计算!$H8:$EU8,成本计算!$H$4:$EU$4,"&lt;="&amp;$C$3,成本计算!$H$6:$EU$6,"报损数量"))</f>
        <v>4.5</v>
      </c>
      <c r="K6" s="186">
        <f>IF(B6="","",SUMIFS(成本计算!$H8:$EU8,成本计算!$H$4:$EU$4,"&lt;="&amp;$C$3,成本计算!$H$6:$EU$6,"报损金额"))</f>
        <v>348.84</v>
      </c>
      <c r="L6" s="221">
        <f>IF(B6="","",INDEX(成本计算!$H8:$EU8,($C$3-1)*12+10))</f>
        <v>-10589</v>
      </c>
      <c r="M6" s="187">
        <f>IF(B6="","",INDEX(成本计算!$H8:$EU8,($C$3-1)*12+11))</f>
        <v>-820859.28</v>
      </c>
      <c r="N6" s="222">
        <f>IF(OR(B6="",N(L6)&lt;=0),"",M6/L6)</f>
      </c>
      <c r="O6" s="220">
        <f>IF(B6="","",SUMIF(商品库存!$C$4:$C$603,B6,商品库存!$I$4:$I$603))</f>
        <v>17321</v>
      </c>
      <c r="P6" s="221">
        <f>IF(B6="","",L6-O6)</f>
        <v>-27910</v>
      </c>
      <c r="Q6" s="223" t="str">
        <f>IF(B6="","",IF(L6&lt;0,"✗ 结存为负：进货没录全；","")&amp;IF(AND(N(H6)&gt;0,N(I6)=0),"⚠ 没有进价，成本按 0 算；","")&amp;IF(AND(L6&gt;=0,P6&lt;0),"⚠ 不够兑现客户存条",""))</f>
        <v>✗ 结存为负：进货没录全；</v>
      </c>
    </row>
    <row r="7">
      <c r="A7" s="194">
        <f>IF(B7="","",ROW()-5)</f>
        <v>2</v>
      </c>
      <c r="B7" s="141" t="str">
        <f>成本计算!B9</f>
        <v>小东鹏</v>
      </c>
      <c r="C7" s="141" t="str">
        <f>IF(B7="","",基础资料!F6&amp;"")</f>
        <v>东鹏公司</v>
      </c>
      <c r="D7" s="220">
        <f>IF(B7="","",成本计算!F9)</f>
        <v>0</v>
      </c>
      <c r="E7" s="186">
        <f>IF(B7="","",成本计算!G9)</f>
        <v>0</v>
      </c>
      <c r="F7" s="220">
        <f>IF(B7="","",SUMIFS(成本计算!$H9:$EU9,成本计算!$H$4:$EU$4,"&lt;="&amp;$C$3,成本计算!$H$6:$EU$6,"采购数量"))</f>
        <v>0</v>
      </c>
      <c r="G7" s="186">
        <f>IF(B7="","",SUMIFS(成本计算!$H9:$EU9,成本计算!$H$4:$EU$4,"&lt;="&amp;$C$3,成本计算!$H$6:$EU$6,"采购金额"))</f>
        <v>0</v>
      </c>
      <c r="H7" s="220">
        <f>IF(B7="","",SUMIFS(成本计算!$H9:$EU9,成本计算!$H$4:$EU$4,"&lt;="&amp;$C$3,成本计算!$H$6:$EU$6,"出库数量"))</f>
        <v>362.5</v>
      </c>
      <c r="I7" s="186">
        <f>IF(B7="","",SUMIFS(成本计算!$H9:$EU9,成本计算!$H$4:$EU$4,"&lt;="&amp;$C$3,成本计算!$H$6:$EU$6,"出库成本"))</f>
        <v>13746</v>
      </c>
      <c r="J7" s="220">
        <f>IF(B7="","",SUMIFS(成本计算!$H9:$EU9,成本计算!$H$4:$EU$4,"&lt;="&amp;$C$3,成本计算!$H$6:$EU$6,"报损数量"))</f>
        <v>27.875</v>
      </c>
      <c r="K7" s="186">
        <f>IF(B7="","",SUMIFS(成本计算!$H9:$EU9,成本计算!$H$4:$EU$4,"&lt;="&amp;$C$3,成本计算!$H$6:$EU$6,"报损金额"))</f>
        <v>1057.02</v>
      </c>
      <c r="L7" s="221">
        <f>IF(B7="","",INDEX(成本计算!$H9:$EU9,($C$3-1)*12+10))</f>
        <v>-390.375</v>
      </c>
      <c r="M7" s="187">
        <f>IF(B7="","",INDEX(成本计算!$H9:$EU9,($C$3-1)*12+11))</f>
        <v>-14803.02</v>
      </c>
      <c r="N7" s="222">
        <f>IF(OR(B7="",N(L7)&lt;=0),"",M7/L7)</f>
      </c>
      <c r="O7" s="220">
        <f>IF(B7="","",SUMIF(商品库存!$C$4:$C$603,B7,商品库存!$I$4:$I$603))</f>
        <v>28.5</v>
      </c>
      <c r="P7" s="221">
        <f>IF(B7="","",L7-O7)</f>
        <v>-418.875</v>
      </c>
      <c r="Q7" s="223" t="str">
        <f>IF(B7="","",IF(L7&lt;0,"✗ 结存为负：进货没录全；","")&amp;IF(AND(N(H7)&gt;0,N(I7)=0),"⚠ 没有进价，成本按 0 算；","")&amp;IF(AND(L7&gt;=0,P7&lt;0),"⚠ 不够兑现客户存条",""))</f>
        <v>✗ 结存为负：进货没录全；</v>
      </c>
    </row>
    <row r="8">
      <c r="A8" s="194">
        <f>IF(B8="","",ROW()-5)</f>
        <v>3</v>
      </c>
      <c r="B8" s="141" t="str">
        <f>成本计算!B10</f>
        <v>555补水</v>
      </c>
      <c r="C8" s="141" t="str">
        <f>IF(B8="","",基础资料!F7&amp;"")</f>
        <v>东鹏公司</v>
      </c>
      <c r="D8" s="220">
        <f>IF(B8="","",成本计算!F10)</f>
        <v>0</v>
      </c>
      <c r="E8" s="186">
        <f>IF(B8="","",成本计算!G10)</f>
        <v>0</v>
      </c>
      <c r="F8" s="220">
        <f>IF(B8="","",SUMIFS(成本计算!$H10:$EU10,成本计算!$H$4:$EU$4,"&lt;="&amp;$C$3,成本计算!$H$6:$EU$6,"采购数量"))</f>
        <v>0</v>
      </c>
      <c r="G8" s="186">
        <f>IF(B8="","",SUMIFS(成本计算!$H10:$EU10,成本计算!$H$4:$EU$4,"&lt;="&amp;$C$3,成本计算!$H$6:$EU$6,"采购金额"))</f>
        <v>0</v>
      </c>
      <c r="H8" s="220">
        <f>IF(B8="","",SUMIFS(成本计算!$H10:$EU10,成本计算!$H$4:$EU$4,"&lt;="&amp;$C$3,成本计算!$H$6:$EU$6,"出库数量"))</f>
        <v>2357</v>
      </c>
      <c r="I8" s="186">
        <f>IF(B8="","",SUMIFS(成本计算!$H10:$EU10,成本计算!$H$4:$EU$4,"&lt;="&amp;$C$3,成本计算!$H$6:$EU$6,"出库成本"))</f>
        <v>129201.312</v>
      </c>
      <c r="J8" s="220">
        <f>IF(B8="","",SUMIFS(成本计算!$H10:$EU10,成本计算!$H$4:$EU$4,"&lt;="&amp;$C$3,成本计算!$H$6:$EU$6,"报损数量"))</f>
        <v>1.375</v>
      </c>
      <c r="K8" s="186">
        <f>IF(B8="","",SUMIFS(成本计算!$H10:$EU10,成本计算!$H$4:$EU$4,"&lt;="&amp;$C$3,成本计算!$H$6:$EU$6,"报损金额"))</f>
        <v>75.372</v>
      </c>
      <c r="L8" s="221">
        <f>IF(B8="","",INDEX(成本计算!$H10:$EU10,($C$3-1)*12+10))</f>
        <v>-2358.375</v>
      </c>
      <c r="M8" s="187">
        <f>IF(B8="","",INDEX(成本计算!$H10:$EU10,($C$3-1)*12+11))</f>
        <v>-129276.684</v>
      </c>
      <c r="N8" s="222">
        <f>IF(OR(B8="",N(L8)&lt;=0),"",M8/L8)</f>
      </c>
      <c r="O8" s="220">
        <f>IF(B8="","",SUMIF(商品库存!$C$4:$C$603,B8,商品库存!$I$4:$I$603))</f>
        <v>1845</v>
      </c>
      <c r="P8" s="221">
        <f>IF(B8="","",L8-O8)</f>
        <v>-4203.375</v>
      </c>
      <c r="Q8" s="223" t="str">
        <f>IF(B8="","",IF(L8&lt;0,"✗ 结存为负：进货没录全；","")&amp;IF(AND(N(H8)&gt;0,N(I8)=0),"⚠ 没有进价，成本按 0 算；","")&amp;IF(AND(L8&gt;=0,P8&lt;0),"⚠ 不够兑现客户存条",""))</f>
        <v>✗ 结存为负：进货没录全；</v>
      </c>
    </row>
    <row r="9">
      <c r="A9" s="194">
        <f>IF(B9="","",ROW()-5)</f>
        <v>4</v>
      </c>
      <c r="B9" s="141" t="str">
        <f>成本计算!B11</f>
        <v>1L补水</v>
      </c>
      <c r="C9" s="141" t="str">
        <f>IF(B9="","",基础资料!F8&amp;"")</f>
        <v>东鹏公司</v>
      </c>
      <c r="D9" s="220">
        <f>IF(B9="","",成本计算!F11)</f>
        <v>0</v>
      </c>
      <c r="E9" s="186">
        <f>IF(B9="","",成本计算!G11)</f>
        <v>0</v>
      </c>
      <c r="F9" s="220">
        <f>IF(B9="","",SUMIFS(成本计算!$H11:$EU11,成本计算!$H$4:$EU$4,"&lt;="&amp;$C$3,成本计算!$H$6:$EU$6,"采购数量"))</f>
        <v>0</v>
      </c>
      <c r="G9" s="186">
        <f>IF(B9="","",SUMIFS(成本计算!$H11:$EU11,成本计算!$H$4:$EU$4,"&lt;="&amp;$C$3,成本计算!$H$6:$EU$6,"采购金额"))</f>
        <v>0</v>
      </c>
      <c r="H9" s="220">
        <f>IF(B9="","",SUMIFS(成本计算!$H11:$EU11,成本计算!$H$4:$EU$4,"&lt;="&amp;$C$3,成本计算!$H$6:$EU$6,"出库数量"))</f>
        <v>1669</v>
      </c>
      <c r="I9" s="186">
        <f>IF(B9="","",SUMIFS(成本计算!$H11:$EU11,成本计算!$H$4:$EU$4,"&lt;="&amp;$C$3,成本计算!$H$6:$EU$6,"出库成本"))</f>
        <v>72216.9624</v>
      </c>
      <c r="J9" s="220">
        <f>IF(B9="","",SUMIFS(成本计算!$H11:$EU11,成本计算!$H$4:$EU$4,"&lt;="&amp;$C$3,成本计算!$H$6:$EU$6,"报损数量"))</f>
        <v>0.333333333333333</v>
      </c>
      <c r="K9" s="186">
        <f>IF(B9="","",SUMIFS(成本计算!$H11:$EU11,成本计算!$H$4:$EU$4,"&lt;="&amp;$C$3,成本计算!$H$6:$EU$6,"报损金额"))</f>
        <v>14.4232</v>
      </c>
      <c r="L9" s="221">
        <f>IF(B9="","",INDEX(成本计算!$H11:$EU11,($C$3-1)*12+10))</f>
        <v>-1669.33333333333</v>
      </c>
      <c r="M9" s="187">
        <f>IF(B9="","",INDEX(成本计算!$H11:$EU11,($C$3-1)*12+11))</f>
        <v>-72231.3856</v>
      </c>
      <c r="N9" s="222">
        <f>IF(OR(B9="",N(L9)&lt;=0),"",M9/L9)</f>
      </c>
      <c r="O9" s="220">
        <f>IF(B9="","",SUMIF(商品库存!$C$4:$C$603,B9,商品库存!$I$4:$I$603))</f>
        <v>3371</v>
      </c>
      <c r="P9" s="221">
        <f>IF(B9="","",L9-O9)</f>
        <v>-5040.33333333333</v>
      </c>
      <c r="Q9" s="223" t="str">
        <f>IF(B9="","",IF(L9&lt;0,"✗ 结存为负：进货没录全；","")&amp;IF(AND(N(H9)&gt;0,N(I9)=0),"⚠ 没有进价，成本按 0 算；","")&amp;IF(AND(L9&gt;=0,P9&lt;0),"⚠ 不够兑现客户存条",""))</f>
        <v>✗ 结存为负：进货没录全；</v>
      </c>
    </row>
    <row r="10">
      <c r="A10" s="194">
        <f>IF(B10="","",ROW()-5)</f>
        <v>5</v>
      </c>
      <c r="B10" s="141" t="str">
        <f>成本计算!B12</f>
        <v>小果之茶</v>
      </c>
      <c r="C10" s="141" t="str">
        <f>IF(B10="","",基础资料!F9&amp;"")</f>
        <v>东鹏公司</v>
      </c>
      <c r="D10" s="220">
        <f>IF(B10="","",成本计算!F12)</f>
        <v>0</v>
      </c>
      <c r="E10" s="186">
        <f>IF(B10="","",成本计算!G12)</f>
        <v>0</v>
      </c>
      <c r="F10" s="220">
        <f>IF(B10="","",SUMIFS(成本计算!$H12:$EU12,成本计算!$H$4:$EU$4,"&lt;="&amp;$C$3,成本计算!$H$6:$EU$6,"采购数量"))</f>
        <v>0</v>
      </c>
      <c r="G10" s="186">
        <f>IF(B10="","",SUMIFS(成本计算!$H12:$EU12,成本计算!$H$4:$EU$4,"&lt;="&amp;$C$3,成本计算!$H$6:$EU$6,"采购金额"))</f>
        <v>0</v>
      </c>
      <c r="H10" s="220">
        <f>IF(B10="","",SUMIFS(成本计算!$H12:$EU12,成本计算!$H$4:$EU$4,"&lt;="&amp;$C$3,成本计算!$H$6:$EU$6,"出库数量"))</f>
        <v>5652</v>
      </c>
      <c r="I10" s="186">
        <f>IF(B10="","",SUMIFS(成本计算!$H12:$EU12,成本计算!$H$4:$EU$4,"&lt;="&amp;$C$3,成本计算!$H$6:$EU$6,"出库成本"))</f>
        <v>0</v>
      </c>
      <c r="J10" s="220">
        <f>IF(B10="","",SUMIFS(成本计算!$H12:$EU12,成本计算!$H$4:$EU$4,"&lt;="&amp;$C$3,成本计算!$H$6:$EU$6,"报损数量"))</f>
        <v>0</v>
      </c>
      <c r="K10" s="186">
        <f>IF(B10="","",SUMIFS(成本计算!$H12:$EU12,成本计算!$H$4:$EU$4,"&lt;="&amp;$C$3,成本计算!$H$6:$EU$6,"报损金额"))</f>
        <v>0</v>
      </c>
      <c r="L10" s="221">
        <f>IF(B10="","",INDEX(成本计算!$H12:$EU12,($C$3-1)*12+10))</f>
        <v>-5652</v>
      </c>
      <c r="M10" s="187">
        <f>IF(B10="","",INDEX(成本计算!$H12:$EU12,($C$3-1)*12+11))</f>
        <v>0</v>
      </c>
      <c r="N10" s="222">
        <f>IF(OR(B10="",N(L10)&lt;=0),"",M10/L10)</f>
      </c>
      <c r="O10" s="220">
        <f>IF(B10="","",SUMIF(商品库存!$C$4:$C$603,B10,商品库存!$I$4:$I$603))</f>
        <v>-1023</v>
      </c>
      <c r="P10" s="221">
        <f>IF(B10="","",L10-O10)</f>
        <v>-4629</v>
      </c>
      <c r="Q10" s="223" t="str">
        <f>IF(B10="","",IF(L10&lt;0,"✗ 结存为负：进货没录全；","")&amp;IF(AND(N(H10)&gt;0,N(I10)=0),"⚠ 没有进价，成本按 0 算；","")&amp;IF(AND(L10&gt;=0,P10&lt;0),"⚠ 不够兑现客户存条",""))</f>
        <v>✗ 结存为负：进货没录全；⚠ 没有进价，成本按 0 算；</v>
      </c>
    </row>
    <row r="11">
      <c r="A11" s="194">
        <f>IF(B11="","",ROW()-5)</f>
        <v>6</v>
      </c>
      <c r="B11" s="141" t="str">
        <f>成本计算!B13</f>
        <v>1L果之茶</v>
      </c>
      <c r="C11" s="141" t="str">
        <f>IF(B11="","",基础资料!F10&amp;"")</f>
        <v>东鹏公司</v>
      </c>
      <c r="D11" s="220">
        <f>IF(B11="","",成本计算!F13)</f>
        <v>0</v>
      </c>
      <c r="E11" s="186">
        <f>IF(B11="","",成本计算!G13)</f>
        <v>0</v>
      </c>
      <c r="F11" s="220">
        <f>IF(B11="","",SUMIFS(成本计算!$H13:$EU13,成本计算!$H$4:$EU$4,"&lt;="&amp;$C$3,成本计算!$H$6:$EU$6,"采购数量"))</f>
        <v>0</v>
      </c>
      <c r="G11" s="186">
        <f>IF(B11="","",SUMIFS(成本计算!$H13:$EU13,成本计算!$H$4:$EU$4,"&lt;="&amp;$C$3,成本计算!$H$6:$EU$6,"采购金额"))</f>
        <v>0</v>
      </c>
      <c r="H11" s="220">
        <f>IF(B11="","",SUMIFS(成本计算!$H13:$EU13,成本计算!$H$4:$EU$4,"&lt;="&amp;$C$3,成本计算!$H$6:$EU$6,"出库数量"))</f>
        <v>1248</v>
      </c>
      <c r="I11" s="186">
        <f>IF(B11="","",SUMIFS(成本计算!$H13:$EU13,成本计算!$H$4:$EU$4,"&lt;="&amp;$C$3,成本计算!$H$6:$EU$6,"出库成本"))</f>
        <v>0</v>
      </c>
      <c r="J11" s="220">
        <f>IF(B11="","",SUMIFS(成本计算!$H13:$EU13,成本计算!$H$4:$EU$4,"&lt;="&amp;$C$3,成本计算!$H$6:$EU$6,"报损数量"))</f>
        <v>0.25</v>
      </c>
      <c r="K11" s="186">
        <f>IF(B11="","",SUMIFS(成本计算!$H13:$EU13,成本计算!$H$4:$EU$4,"&lt;="&amp;$C$3,成本计算!$H$6:$EU$6,"报损金额"))</f>
        <v>0</v>
      </c>
      <c r="L11" s="221">
        <f>IF(B11="","",INDEX(成本计算!$H13:$EU13,($C$3-1)*12+10))</f>
        <v>-1248.25</v>
      </c>
      <c r="M11" s="187">
        <f>IF(B11="","",INDEX(成本计算!$H13:$EU13,($C$3-1)*12+11))</f>
        <v>0</v>
      </c>
      <c r="N11" s="222">
        <f>IF(OR(B11="",N(L11)&lt;=0),"",M11/L11)</f>
      </c>
      <c r="O11" s="220">
        <f>IF(B11="","",SUMIF(商品库存!$C$4:$C$603,B11,商品库存!$I$4:$I$603))</f>
        <v>960.5</v>
      </c>
      <c r="P11" s="221">
        <f>IF(B11="","",L11-O11)</f>
        <v>-2208.75</v>
      </c>
      <c r="Q11" s="223" t="str">
        <f>IF(B11="","",IF(L11&lt;0,"✗ 结存为负：进货没录全；","")&amp;IF(AND(N(H11)&gt;0,N(I11)=0),"⚠ 没有进价，成本按 0 算；","")&amp;IF(AND(L11&gt;=0,P11&lt;0),"⚠ 不够兑现客户存条",""))</f>
        <v>✗ 结存为负：进货没录全；⚠ 没有进价，成本按 0 算；</v>
      </c>
    </row>
    <row r="12">
      <c r="A12" s="194">
        <f>IF(B12="","",ROW()-5)</f>
        <v>7</v>
      </c>
      <c r="B12" s="141" t="str">
        <f>成本计算!B14</f>
        <v>港式奶茶</v>
      </c>
      <c r="C12" s="141" t="str">
        <f>IF(B12="","",基础资料!F11&amp;"")</f>
        <v>东鹏公司</v>
      </c>
      <c r="D12" s="220">
        <f>IF(B12="","",成本计算!F14)</f>
        <v>0</v>
      </c>
      <c r="E12" s="186">
        <f>IF(B12="","",成本计算!G14)</f>
        <v>0</v>
      </c>
      <c r="F12" s="220">
        <f>IF(B12="","",SUMIFS(成本计算!$H14:$EU14,成本计算!$H$4:$EU$4,"&lt;="&amp;$C$3,成本计算!$H$6:$EU$6,"采购数量"))</f>
        <v>0</v>
      </c>
      <c r="G12" s="186">
        <f>IF(B12="","",SUMIFS(成本计算!$H14:$EU14,成本计算!$H$4:$EU$4,"&lt;="&amp;$C$3,成本计算!$H$6:$EU$6,"采购金额"))</f>
        <v>0</v>
      </c>
      <c r="H12" s="220">
        <f>IF(B12="","",SUMIFS(成本计算!$H14:$EU14,成本计算!$H$4:$EU$4,"&lt;="&amp;$C$3,成本计算!$H$6:$EU$6,"出库数量"))</f>
        <v>152</v>
      </c>
      <c r="I12" s="186">
        <f>IF(B12="","",SUMIFS(成本计算!$H14:$EU14,成本计算!$H$4:$EU$4,"&lt;="&amp;$C$3,成本计算!$H$6:$EU$6,"出库成本"))</f>
        <v>0</v>
      </c>
      <c r="J12" s="220">
        <f>IF(B12="","",SUMIFS(成本计算!$H14:$EU14,成本计算!$H$4:$EU$4,"&lt;="&amp;$C$3,成本计算!$H$6:$EU$6,"报损数量"))</f>
        <v>87.25</v>
      </c>
      <c r="K12" s="186">
        <f>IF(B12="","",SUMIFS(成本计算!$H14:$EU14,成本计算!$H$4:$EU$4,"&lt;="&amp;$C$3,成本计算!$H$6:$EU$6,"报损金额"))</f>
        <v>0</v>
      </c>
      <c r="L12" s="221">
        <f>IF(B12="","",INDEX(成本计算!$H14:$EU14,($C$3-1)*12+10))</f>
        <v>-239.25</v>
      </c>
      <c r="M12" s="187">
        <f>IF(B12="","",INDEX(成本计算!$H14:$EU14,($C$3-1)*12+11))</f>
        <v>0</v>
      </c>
      <c r="N12" s="222">
        <f>IF(OR(B12="",N(L12)&lt;=0),"",M12/L12)</f>
      </c>
      <c r="O12" s="220">
        <f>IF(B12="","",SUMIF(商品库存!$C$4:$C$603,B12,商品库存!$I$4:$I$603))</f>
        <v>1228</v>
      </c>
      <c r="P12" s="221">
        <f>IF(B12="","",L12-O12)</f>
        <v>-1467.25</v>
      </c>
      <c r="Q12" s="223" t="str">
        <f>IF(B12="","",IF(L12&lt;0,"✗ 结存为负：进货没录全；","")&amp;IF(AND(N(H12)&gt;0,N(I12)=0),"⚠ 没有进价，成本按 0 算；","")&amp;IF(AND(L12&gt;=0,P12&lt;0),"⚠ 不够兑现客户存条",""))</f>
        <v>✗ 结存为负：进货没录全；⚠ 没有进价，成本按 0 算；</v>
      </c>
    </row>
    <row r="13">
      <c r="A13" s="194">
        <f>IF(B13="","",ROW()-5)</f>
        <v>8</v>
      </c>
      <c r="B13" s="141" t="str">
        <f>成本计算!B15</f>
        <v>大咖</v>
      </c>
      <c r="C13" s="141" t="str">
        <f>IF(B13="","",基础资料!F12&amp;"")</f>
        <v>东鹏公司</v>
      </c>
      <c r="D13" s="220">
        <f>IF(B13="","",成本计算!F15)</f>
        <v>0</v>
      </c>
      <c r="E13" s="186">
        <f>IF(B13="","",成本计算!G15)</f>
        <v>0</v>
      </c>
      <c r="F13" s="220">
        <f>IF(B13="","",SUMIFS(成本计算!$H15:$EU15,成本计算!$H$4:$EU$4,"&lt;="&amp;$C$3,成本计算!$H$6:$EU$6,"采购数量"))</f>
        <v>0</v>
      </c>
      <c r="G13" s="186">
        <f>IF(B13="","",SUMIFS(成本计算!$H15:$EU15,成本计算!$H$4:$EU$4,"&lt;="&amp;$C$3,成本计算!$H$6:$EU$6,"采购金额"))</f>
        <v>0</v>
      </c>
      <c r="H13" s="220">
        <f>IF(B13="","",SUMIFS(成本计算!$H15:$EU15,成本计算!$H$4:$EU$4,"&lt;="&amp;$C$3,成本计算!$H$6:$EU$6,"出库数量"))</f>
        <v>520</v>
      </c>
      <c r="I13" s="186">
        <f>IF(B13="","",SUMIFS(成本计算!$H15:$EU15,成本计算!$H$4:$EU$4,"&lt;="&amp;$C$3,成本计算!$H$6:$EU$6,"出库成本"))</f>
        <v>38001.6</v>
      </c>
      <c r="J13" s="220">
        <f>IF(B13="","",SUMIFS(成本计算!$H15:$EU15,成本计算!$H$4:$EU$4,"&lt;="&amp;$C$3,成本计算!$H$6:$EU$6,"报损数量"))</f>
        <v>0.933333333333333</v>
      </c>
      <c r="K13" s="186">
        <f>IF(B13="","",SUMIFS(成本计算!$H15:$EU15,成本计算!$H$4:$EU$4,"&lt;="&amp;$C$3,成本计算!$H$6:$EU$6,"报损金额"))</f>
        <v>68.208</v>
      </c>
      <c r="L13" s="221">
        <f>IF(B13="","",INDEX(成本计算!$H15:$EU15,($C$3-1)*12+10))</f>
        <v>-520.933333333333</v>
      </c>
      <c r="M13" s="187">
        <f>IF(B13="","",INDEX(成本计算!$H15:$EU15,($C$3-1)*12+11))</f>
        <v>-38069.808</v>
      </c>
      <c r="N13" s="222">
        <f>IF(OR(B13="",N(L13)&lt;=0),"",M13/L13)</f>
      </c>
      <c r="O13" s="220">
        <f>IF(B13="","",SUMIF(商品库存!$C$4:$C$603,B13,商品库存!$I$4:$I$603))</f>
        <v>847.5</v>
      </c>
      <c r="P13" s="221">
        <f>IF(B13="","",L13-O13)</f>
        <v>-1368.43333333333</v>
      </c>
      <c r="Q13" s="223" t="str">
        <f>IF(B13="","",IF(L13&lt;0,"✗ 结存为负：进货没录全；","")&amp;IF(AND(N(H13)&gt;0,N(I13)=0),"⚠ 没有进价，成本按 0 算；","")&amp;IF(AND(L13&gt;=0,P13&lt;0),"⚠ 不够兑现客户存条",""))</f>
        <v>✗ 结存为负：进货没录全；</v>
      </c>
    </row>
    <row r="14">
      <c r="A14" s="194">
        <f>IF(B14="","",ROW()-5)</f>
        <v>9</v>
      </c>
      <c r="B14" s="141" t="str">
        <f>成本计算!B16</f>
        <v>330大咖</v>
      </c>
      <c r="C14" s="141" t="str">
        <f>IF(B14="","",基础资料!F13&amp;"")</f>
        <v>东鹏公司</v>
      </c>
      <c r="D14" s="220">
        <f>IF(B14="","",成本计算!F16)</f>
        <v>0</v>
      </c>
      <c r="E14" s="186">
        <f>IF(B14="","",成本计算!G16)</f>
        <v>0</v>
      </c>
      <c r="F14" s="220">
        <f>IF(B14="","",SUMIFS(成本计算!$H16:$EU16,成本计算!$H$4:$EU$4,"&lt;="&amp;$C$3,成本计算!$H$6:$EU$6,"采购数量"))</f>
        <v>0</v>
      </c>
      <c r="G14" s="186">
        <f>IF(B14="","",SUMIFS(成本计算!$H16:$EU16,成本计算!$H$4:$EU$4,"&lt;="&amp;$C$3,成本计算!$H$6:$EU$6,"采购金额"))</f>
        <v>0</v>
      </c>
      <c r="H14" s="220">
        <f>IF(B14="","",SUMIFS(成本计算!$H16:$EU16,成本计算!$H$4:$EU$4,"&lt;="&amp;$C$3,成本计算!$H$6:$EU$6,"出库数量"))</f>
        <v>55</v>
      </c>
      <c r="I14" s="186">
        <f>IF(B14="","",SUMIFS(成本计算!$H16:$EU16,成本计算!$H$4:$EU$4,"&lt;="&amp;$C$3,成本计算!$H$6:$EU$6,"出库成本"))</f>
        <v>0</v>
      </c>
      <c r="J14" s="220">
        <f>IF(B14="","",SUMIFS(成本计算!$H16:$EU16,成本计算!$H$4:$EU$4,"&lt;="&amp;$C$3,成本计算!$H$6:$EU$6,"报损数量"))</f>
        <v>0</v>
      </c>
      <c r="K14" s="186">
        <f>IF(B14="","",SUMIFS(成本计算!$H16:$EU16,成本计算!$H$4:$EU$4,"&lt;="&amp;$C$3,成本计算!$H$6:$EU$6,"报损金额"))</f>
        <v>0</v>
      </c>
      <c r="L14" s="221">
        <f>IF(B14="","",INDEX(成本计算!$H16:$EU16,($C$3-1)*12+10))</f>
        <v>-55</v>
      </c>
      <c r="M14" s="187">
        <f>IF(B14="","",INDEX(成本计算!$H16:$EU16,($C$3-1)*12+11))</f>
        <v>0</v>
      </c>
      <c r="N14" s="222">
        <f>IF(OR(B14="",N(L14)&lt;=0),"",M14/L14)</f>
      </c>
      <c r="O14" s="220">
        <f>IF(B14="","",SUMIF(商品库存!$C$4:$C$603,B14,商品库存!$I$4:$I$603))</f>
        <v>79</v>
      </c>
      <c r="P14" s="221">
        <f>IF(B14="","",L14-O14)</f>
        <v>-134</v>
      </c>
      <c r="Q14" s="223" t="str">
        <f>IF(B14="","",IF(L14&lt;0,"✗ 结存为负：进货没录全；","")&amp;IF(AND(N(H14)&gt;0,N(I14)=0),"⚠ 没有进价，成本按 0 算；","")&amp;IF(AND(L14&gt;=0,P14&lt;0),"⚠ 不够兑现客户存条",""))</f>
        <v>✗ 结存为负：进货没录全；⚠ 没有进价，成本按 0 算；</v>
      </c>
    </row>
    <row r="15">
      <c r="A15" s="194">
        <f>IF(B15="","",ROW()-5)</f>
        <v>10</v>
      </c>
      <c r="B15" s="141" t="str">
        <f>成本计算!B17</f>
        <v>小咖</v>
      </c>
      <c r="C15" s="141" t="str">
        <f>IF(B15="","",基础资料!F14&amp;"")</f>
        <v>东鹏公司</v>
      </c>
      <c r="D15" s="220">
        <f>IF(B15="","",成本计算!F17)</f>
        <v>0</v>
      </c>
      <c r="E15" s="186">
        <f>IF(B15="","",成本计算!G17)</f>
        <v>0</v>
      </c>
      <c r="F15" s="220">
        <f>IF(B15="","",SUMIFS(成本计算!$H17:$EU17,成本计算!$H$4:$EU$4,"&lt;="&amp;$C$3,成本计算!$H$6:$EU$6,"采购数量"))</f>
        <v>0</v>
      </c>
      <c r="G15" s="186">
        <f>IF(B15="","",SUMIFS(成本计算!$H17:$EU17,成本计算!$H$4:$EU$4,"&lt;="&amp;$C$3,成本计算!$H$6:$EU$6,"采购金额"))</f>
        <v>0</v>
      </c>
      <c r="H15" s="220">
        <f>IF(B15="","",SUMIFS(成本计算!$H17:$EU17,成本计算!$H$4:$EU$4,"&lt;="&amp;$C$3,成本计算!$H$6:$EU$6,"出库数量"))</f>
        <v>0</v>
      </c>
      <c r="I15" s="186">
        <f>IF(B15="","",SUMIFS(成本计算!$H17:$EU17,成本计算!$H$4:$EU$4,"&lt;="&amp;$C$3,成本计算!$H$6:$EU$6,"出库成本"))</f>
        <v>0</v>
      </c>
      <c r="J15" s="220">
        <f>IF(B15="","",SUMIFS(成本计算!$H17:$EU17,成本计算!$H$4:$EU$4,"&lt;="&amp;$C$3,成本计算!$H$6:$EU$6,"报损数量"))</f>
        <v>0</v>
      </c>
      <c r="K15" s="186">
        <f>IF(B15="","",SUMIFS(成本计算!$H17:$EU17,成本计算!$H$4:$EU$4,"&lt;="&amp;$C$3,成本计算!$H$6:$EU$6,"报损金额"))</f>
        <v>0</v>
      </c>
      <c r="L15" s="221">
        <f>IF(B15="","",INDEX(成本计算!$H17:$EU17,($C$3-1)*12+10))</f>
        <v>0</v>
      </c>
      <c r="M15" s="187">
        <f>IF(B15="","",INDEX(成本计算!$H17:$EU17,($C$3-1)*12+11))</f>
        <v>0</v>
      </c>
      <c r="N15" s="222">
        <f>IF(OR(B15="",N(L15)&lt;=0),"",M15/L15)</f>
      </c>
      <c r="O15" s="220">
        <f>IF(B15="","",SUMIF(商品库存!$C$4:$C$603,B15,商品库存!$I$4:$I$603))</f>
        <v>132</v>
      </c>
      <c r="P15" s="221">
        <f>IF(B15="","",L15-O15)</f>
        <v>-132</v>
      </c>
      <c r="Q15" s="223" t="str">
        <f>IF(B15="","",IF(L15&lt;0,"✗ 结存为负：进货没录全；","")&amp;IF(AND(N(H15)&gt;0,N(I15)=0),"⚠ 没有进价，成本按 0 算；","")&amp;IF(AND(L15&gt;=0,P15&lt;0),"⚠ 不够兑现客户存条",""))</f>
        <v>⚠ 不够兑现客户存条</v>
      </c>
    </row>
    <row r="16">
      <c r="A16" s="194">
        <f>IF(B16="","",ROW()-5)</f>
        <v>11</v>
      </c>
      <c r="B16" s="141" t="str">
        <f>成本计算!B18</f>
        <v>小海岛椰</v>
      </c>
      <c r="C16" s="141" t="str">
        <f>IF(B16="","",基础资料!F15&amp;"")</f>
        <v>东鹏公司</v>
      </c>
      <c r="D16" s="220">
        <f>IF(B16="","",成本计算!F18)</f>
        <v>0</v>
      </c>
      <c r="E16" s="186">
        <f>IF(B16="","",成本计算!G18)</f>
        <v>0</v>
      </c>
      <c r="F16" s="220">
        <f>IF(B16="","",SUMIFS(成本计算!$H18:$EU18,成本计算!$H$4:$EU$4,"&lt;="&amp;$C$3,成本计算!$H$6:$EU$6,"采购数量"))</f>
        <v>0</v>
      </c>
      <c r="G16" s="186">
        <f>IF(B16="","",SUMIFS(成本计算!$H18:$EU18,成本计算!$H$4:$EU$4,"&lt;="&amp;$C$3,成本计算!$H$6:$EU$6,"采购金额"))</f>
        <v>0</v>
      </c>
      <c r="H16" s="220">
        <f>IF(B16="","",SUMIFS(成本计算!$H18:$EU18,成本计算!$H$4:$EU$4,"&lt;="&amp;$C$3,成本计算!$H$6:$EU$6,"出库数量"))</f>
        <v>10</v>
      </c>
      <c r="I16" s="186">
        <f>IF(B16="","",SUMIFS(成本计算!$H18:$EU18,成本计算!$H$4:$EU$4,"&lt;="&amp;$C$3,成本计算!$H$6:$EU$6,"出库成本"))</f>
        <v>295.2</v>
      </c>
      <c r="J16" s="220">
        <f>IF(B16="","",SUMIFS(成本计算!$H18:$EU18,成本计算!$H$4:$EU$4,"&lt;="&amp;$C$3,成本计算!$H$6:$EU$6,"报损数量"))</f>
        <v>2.5</v>
      </c>
      <c r="K16" s="186">
        <f>IF(B16="","",SUMIFS(成本计算!$H18:$EU18,成本计算!$H$4:$EU$4,"&lt;="&amp;$C$3,成本计算!$H$6:$EU$6,"报损金额"))</f>
        <v>73.8</v>
      </c>
      <c r="L16" s="221">
        <f>IF(B16="","",INDEX(成本计算!$H18:$EU18,($C$3-1)*12+10))</f>
        <v>-12.5</v>
      </c>
      <c r="M16" s="187">
        <f>IF(B16="","",INDEX(成本计算!$H18:$EU18,($C$3-1)*12+11))</f>
        <v>-369</v>
      </c>
      <c r="N16" s="222">
        <f>IF(OR(B16="",N(L16)&lt;=0),"",M16/L16)</f>
      </c>
      <c r="O16" s="220">
        <f>IF(B16="","",SUMIF(商品库存!$C$4:$C$603,B16,商品库存!$I$4:$I$603))</f>
        <v>50</v>
      </c>
      <c r="P16" s="221">
        <f>IF(B16="","",L16-O16)</f>
        <v>-62.5</v>
      </c>
      <c r="Q16" s="223" t="str">
        <f>IF(B16="","",IF(L16&lt;0,"✗ 结存为负：进货没录全；","")&amp;IF(AND(N(H16)&gt;0,N(I16)=0),"⚠ 没有进价，成本按 0 算；","")&amp;IF(AND(L16&gt;=0,P16&lt;0),"⚠ 不够兑现客户存条",""))</f>
        <v>✗ 结存为负：进货没录全；</v>
      </c>
    </row>
    <row r="17">
      <c r="A17" s="194">
        <f>IF(B17="","",ROW()-5)</f>
        <v>12</v>
      </c>
      <c r="B17" s="141" t="str">
        <f>成本计算!B19</f>
        <v>330海岛椰</v>
      </c>
      <c r="C17" s="141" t="str">
        <f>IF(B17="","",基础资料!F16&amp;"")</f>
        <v>东鹏公司</v>
      </c>
      <c r="D17" s="220">
        <f>IF(B17="","",成本计算!F19)</f>
        <v>0</v>
      </c>
      <c r="E17" s="186">
        <f>IF(B17="","",成本计算!G19)</f>
        <v>0</v>
      </c>
      <c r="F17" s="220">
        <f>IF(B17="","",SUMIFS(成本计算!$H19:$EU19,成本计算!$H$4:$EU$4,"&lt;="&amp;$C$3,成本计算!$H$6:$EU$6,"采购数量"))</f>
        <v>0</v>
      </c>
      <c r="G17" s="186">
        <f>IF(B17="","",SUMIFS(成本计算!$H19:$EU19,成本计算!$H$4:$EU$4,"&lt;="&amp;$C$3,成本计算!$H$6:$EU$6,"采购金额"))</f>
        <v>0</v>
      </c>
      <c r="H17" s="220">
        <f>IF(B17="","",SUMIFS(成本计算!$H19:$EU19,成本计算!$H$4:$EU$4,"&lt;="&amp;$C$3,成本计算!$H$6:$EU$6,"出库数量"))</f>
        <v>5</v>
      </c>
      <c r="I17" s="186">
        <f>IF(B17="","",SUMIFS(成本计算!$H19:$EU19,成本计算!$H$4:$EU$4,"&lt;="&amp;$C$3,成本计算!$H$6:$EU$6,"出库成本"))</f>
        <v>0</v>
      </c>
      <c r="J17" s="220">
        <f>IF(B17="","",SUMIFS(成本计算!$H19:$EU19,成本计算!$H$4:$EU$4,"&lt;="&amp;$C$3,成本计算!$H$6:$EU$6,"报损数量"))</f>
        <v>0</v>
      </c>
      <c r="K17" s="186">
        <f>IF(B17="","",SUMIFS(成本计算!$H19:$EU19,成本计算!$H$4:$EU$4,"&lt;="&amp;$C$3,成本计算!$H$6:$EU$6,"报损金额"))</f>
        <v>0</v>
      </c>
      <c r="L17" s="221">
        <f>IF(B17="","",INDEX(成本计算!$H19:$EU19,($C$3-1)*12+10))</f>
        <v>-5</v>
      </c>
      <c r="M17" s="187">
        <f>IF(B17="","",INDEX(成本计算!$H19:$EU19,($C$3-1)*12+11))</f>
        <v>0</v>
      </c>
      <c r="N17" s="222">
        <f>IF(OR(B17="",N(L17)&lt;=0),"",M17/L17)</f>
      </c>
      <c r="O17" s="220">
        <f>IF(B17="","",SUMIF(商品库存!$C$4:$C$603,B17,商品库存!$I$4:$I$603))</f>
        <v>0</v>
      </c>
      <c r="P17" s="221">
        <f>IF(B17="","",L17-O17)</f>
        <v>-5</v>
      </c>
      <c r="Q17" s="223" t="str">
        <f>IF(B17="","",IF(L17&lt;0,"✗ 结存为负：进货没录全；","")&amp;IF(AND(N(H17)&gt;0,N(I17)=0),"⚠ 没有进价，成本按 0 算；","")&amp;IF(AND(L17&gt;=0,P17&lt;0),"⚠ 不够兑现客户存条",""))</f>
        <v>✗ 结存为负：进货没录全；⚠ 没有进价，成本按 0 算；</v>
      </c>
    </row>
    <row r="18">
      <c r="A18" s="194">
        <f>IF(B18="","",ROW()-5)</f>
        <v>13</v>
      </c>
      <c r="B18" s="141" t="str">
        <f>成本计算!B20</f>
        <v>1.25海岛椰</v>
      </c>
      <c r="C18" s="141" t="str">
        <f>IF(B18="","",基础资料!F17&amp;"")</f>
        <v>东鹏公司</v>
      </c>
      <c r="D18" s="220">
        <f>IF(B18="","",成本计算!F20)</f>
        <v>0</v>
      </c>
      <c r="E18" s="186">
        <f>IF(B18="","",成本计算!G20)</f>
        <v>0</v>
      </c>
      <c r="F18" s="220">
        <f>IF(B18="","",SUMIFS(成本计算!$H20:$EU20,成本计算!$H$4:$EU$4,"&lt;="&amp;$C$3,成本计算!$H$6:$EU$6,"采购数量"))</f>
        <v>0</v>
      </c>
      <c r="G18" s="186">
        <f>IF(B18="","",SUMIFS(成本计算!$H20:$EU20,成本计算!$H$4:$EU$4,"&lt;="&amp;$C$3,成本计算!$H$6:$EU$6,"采购金额"))</f>
        <v>0</v>
      </c>
      <c r="H18" s="220">
        <f>IF(B18="","",SUMIFS(成本计算!$H20:$EU20,成本计算!$H$4:$EU$4,"&lt;="&amp;$C$3,成本计算!$H$6:$EU$6,"出库数量"))</f>
        <v>0</v>
      </c>
      <c r="I18" s="186">
        <f>IF(B18="","",SUMIFS(成本计算!$H20:$EU20,成本计算!$H$4:$EU$4,"&lt;="&amp;$C$3,成本计算!$H$6:$EU$6,"出库成本"))</f>
        <v>0</v>
      </c>
      <c r="J18" s="220">
        <f>IF(B18="","",SUMIFS(成本计算!$H20:$EU20,成本计算!$H$4:$EU$4,"&lt;="&amp;$C$3,成本计算!$H$6:$EU$6,"报损数量"))</f>
        <v>0</v>
      </c>
      <c r="K18" s="186">
        <f>IF(B18="","",SUMIFS(成本计算!$H20:$EU20,成本计算!$H$4:$EU$4,"&lt;="&amp;$C$3,成本计算!$H$6:$EU$6,"报损金额"))</f>
        <v>0</v>
      </c>
      <c r="L18" s="221">
        <f>IF(B18="","",INDEX(成本计算!$H20:$EU20,($C$3-1)*12+10))</f>
        <v>0</v>
      </c>
      <c r="M18" s="187">
        <f>IF(B18="","",INDEX(成本计算!$H20:$EU20,($C$3-1)*12+11))</f>
        <v>0</v>
      </c>
      <c r="N18" s="222">
        <f>IF(OR(B18="",N(L18)&lt;=0),"",M18/L18)</f>
      </c>
      <c r="O18" s="220">
        <f>IF(B18="","",SUMIF(商品库存!$C$4:$C$603,B18,商品库存!$I$4:$I$603))</f>
        <v>75</v>
      </c>
      <c r="P18" s="221">
        <f>IF(B18="","",L18-O18)</f>
        <v>-75</v>
      </c>
      <c r="Q18" s="223" t="str">
        <f>IF(B18="","",IF(L18&lt;0,"✗ 结存为负：进货没录全；","")&amp;IF(AND(N(H18)&gt;0,N(I18)=0),"⚠ 没有进价，成本按 0 算；","")&amp;IF(AND(L18&gt;=0,P18&lt;0),"⚠ 不够兑现客户存条",""))</f>
        <v>⚠ 不够兑现客户存条</v>
      </c>
    </row>
    <row r="19">
      <c r="A19" s="194">
        <f>IF(B19="","",ROW()-5)</f>
        <v>14</v>
      </c>
      <c r="B19" s="141" t="str">
        <f>成本计算!B21</f>
        <v>东鹏椰子水</v>
      </c>
      <c r="C19" s="141" t="str">
        <f>IF(B19="","",基础资料!F18&amp;"")</f>
        <v>东鹏公司</v>
      </c>
      <c r="D19" s="220">
        <f>IF(B19="","",成本计算!F21)</f>
        <v>0</v>
      </c>
      <c r="E19" s="186">
        <f>IF(B19="","",成本计算!G21)</f>
        <v>0</v>
      </c>
      <c r="F19" s="220">
        <f>IF(B19="","",SUMIFS(成本计算!$H21:$EU21,成本计算!$H$4:$EU$4,"&lt;="&amp;$C$3,成本计算!$H$6:$EU$6,"采购数量"))</f>
        <v>0</v>
      </c>
      <c r="G19" s="186">
        <f>IF(B19="","",SUMIFS(成本计算!$H21:$EU21,成本计算!$H$4:$EU$4,"&lt;="&amp;$C$3,成本计算!$H$6:$EU$6,"采购金额"))</f>
        <v>0</v>
      </c>
      <c r="H19" s="220">
        <f>IF(B19="","",SUMIFS(成本计算!$H21:$EU21,成本计算!$H$4:$EU$4,"&lt;="&amp;$C$3,成本计算!$H$6:$EU$6,"出库数量"))</f>
        <v>84</v>
      </c>
      <c r="I19" s="186">
        <f>IF(B19="","",SUMIFS(成本计算!$H21:$EU21,成本计算!$H$4:$EU$4,"&lt;="&amp;$C$3,成本计算!$H$6:$EU$6,"出库成本"))</f>
        <v>0</v>
      </c>
      <c r="J19" s="220">
        <f>IF(B19="","",SUMIFS(成本计算!$H21:$EU21,成本计算!$H$4:$EU$4,"&lt;="&amp;$C$3,成本计算!$H$6:$EU$6,"报损数量"))</f>
        <v>0</v>
      </c>
      <c r="K19" s="186">
        <f>IF(B19="","",SUMIFS(成本计算!$H21:$EU21,成本计算!$H$4:$EU$4,"&lt;="&amp;$C$3,成本计算!$H$6:$EU$6,"报损金额"))</f>
        <v>0</v>
      </c>
      <c r="L19" s="221">
        <f>IF(B19="","",INDEX(成本计算!$H21:$EU21,($C$3-1)*12+10))</f>
        <v>-84</v>
      </c>
      <c r="M19" s="187">
        <f>IF(B19="","",INDEX(成本计算!$H21:$EU21,($C$3-1)*12+11))</f>
        <v>0</v>
      </c>
      <c r="N19" s="222">
        <f>IF(OR(B19="",N(L19)&lt;=0),"",M19/L19)</f>
      </c>
      <c r="O19" s="220">
        <f>IF(B19="","",SUMIF(商品库存!$C$4:$C$603,B19,商品库存!$I$4:$I$603))</f>
        <v>124</v>
      </c>
      <c r="P19" s="221">
        <f>IF(B19="","",L19-O19)</f>
        <v>-208</v>
      </c>
      <c r="Q19" s="223" t="str">
        <f>IF(B19="","",IF(L19&lt;0,"✗ 结存为负：进货没录全；","")&amp;IF(AND(N(H19)&gt;0,N(I19)=0),"⚠ 没有进价，成本按 0 算；","")&amp;IF(AND(L19&gt;=0,P19&lt;0),"⚠ 不够兑现客户存条",""))</f>
        <v>✗ 结存为负：进货没录全；⚠ 没有进价，成本按 0 算；</v>
      </c>
    </row>
    <row r="20">
      <c r="A20" s="194">
        <f>IF(B20="","",ROW()-5)</f>
        <v>15</v>
      </c>
      <c r="B20" s="141" t="str">
        <f>成本计算!B22</f>
        <v>555椰子水</v>
      </c>
      <c r="C20" s="141" t="str">
        <f>IF(B20="","",基础资料!F19&amp;"")</f>
        <v>东鹏公司</v>
      </c>
      <c r="D20" s="220">
        <f>IF(B20="","",成本计算!F22)</f>
        <v>0</v>
      </c>
      <c r="E20" s="186">
        <f>IF(B20="","",成本计算!G22)</f>
        <v>0</v>
      </c>
      <c r="F20" s="220">
        <f>IF(B20="","",SUMIFS(成本计算!$H22:$EU22,成本计算!$H$4:$EU$4,"&lt;="&amp;$C$3,成本计算!$H$6:$EU$6,"采购数量"))</f>
        <v>0</v>
      </c>
      <c r="G20" s="186">
        <f>IF(B20="","",SUMIFS(成本计算!$H22:$EU22,成本计算!$H$4:$EU$4,"&lt;="&amp;$C$3,成本计算!$H$6:$EU$6,"采购金额"))</f>
        <v>0</v>
      </c>
      <c r="H20" s="220">
        <f>IF(B20="","",SUMIFS(成本计算!$H22:$EU22,成本计算!$H$4:$EU$4,"&lt;="&amp;$C$3,成本计算!$H$6:$EU$6,"出库数量"))</f>
        <v>22</v>
      </c>
      <c r="I20" s="186">
        <f>IF(B20="","",SUMIFS(成本计算!$H22:$EU22,成本计算!$H$4:$EU$4,"&lt;="&amp;$C$3,成本计算!$H$6:$EU$6,"出库成本"))</f>
        <v>0</v>
      </c>
      <c r="J20" s="220">
        <f>IF(B20="","",SUMIFS(成本计算!$H22:$EU22,成本计算!$H$4:$EU$4,"&lt;="&amp;$C$3,成本计算!$H$6:$EU$6,"报损数量"))</f>
        <v>0</v>
      </c>
      <c r="K20" s="186">
        <f>IF(B20="","",SUMIFS(成本计算!$H22:$EU22,成本计算!$H$4:$EU$4,"&lt;="&amp;$C$3,成本计算!$H$6:$EU$6,"报损金额"))</f>
        <v>0</v>
      </c>
      <c r="L20" s="221">
        <f>IF(B20="","",INDEX(成本计算!$H22:$EU22,($C$3-1)*12+10))</f>
        <v>-22</v>
      </c>
      <c r="M20" s="187">
        <f>IF(B20="","",INDEX(成本计算!$H22:$EU22,($C$3-1)*12+11))</f>
        <v>0</v>
      </c>
      <c r="N20" s="222">
        <f>IF(OR(B20="",N(L20)&lt;=0),"",M20/L20)</f>
      </c>
      <c r="O20" s="220">
        <f>IF(B20="","",SUMIF(商品库存!$C$4:$C$603,B20,商品库存!$I$4:$I$603))</f>
        <v>-21</v>
      </c>
      <c r="P20" s="221">
        <f>IF(B20="","",L20-O20)</f>
        <v>-1</v>
      </c>
      <c r="Q20" s="223" t="str">
        <f>IF(B20="","",IF(L20&lt;0,"✗ 结存为负：进货没录全；","")&amp;IF(AND(N(H20)&gt;0,N(I20)=0),"⚠ 没有进价，成本按 0 算；","")&amp;IF(AND(L20&gt;=0,P20&lt;0),"⚠ 不够兑现客户存条",""))</f>
        <v>✗ 结存为负：进货没录全；⚠ 没有进价，成本按 0 算；</v>
      </c>
    </row>
    <row r="21">
      <c r="A21" s="194">
        <f>IF(B21="","",ROW()-5)</f>
        <v>16</v>
      </c>
      <c r="B21" s="141" t="str">
        <f>成本计算!B23</f>
        <v>菊花茶</v>
      </c>
      <c r="C21" s="141" t="str">
        <f>IF(B21="","",基础资料!F20&amp;"")</f>
        <v>东鹏公司</v>
      </c>
      <c r="D21" s="220">
        <f>IF(B21="","",成本计算!F23)</f>
        <v>0</v>
      </c>
      <c r="E21" s="186">
        <f>IF(B21="","",成本计算!G23)</f>
        <v>0</v>
      </c>
      <c r="F21" s="220">
        <f>IF(B21="","",SUMIFS(成本计算!$H23:$EU23,成本计算!$H$4:$EU$4,"&lt;="&amp;$C$3,成本计算!$H$6:$EU$6,"采购数量"))</f>
        <v>0</v>
      </c>
      <c r="G21" s="186">
        <f>IF(B21="","",SUMIFS(成本计算!$H23:$EU23,成本计算!$H$4:$EU$4,"&lt;="&amp;$C$3,成本计算!$H$6:$EU$6,"采购金额"))</f>
        <v>0</v>
      </c>
      <c r="H21" s="220">
        <f>IF(B21="","",SUMIFS(成本计算!$H23:$EU23,成本计算!$H$4:$EU$4,"&lt;="&amp;$C$3,成本计算!$H$6:$EU$6,"出库数量"))</f>
        <v>0</v>
      </c>
      <c r="I21" s="186">
        <f>IF(B21="","",SUMIFS(成本计算!$H23:$EU23,成本计算!$H$4:$EU$4,"&lt;="&amp;$C$3,成本计算!$H$6:$EU$6,"出库成本"))</f>
        <v>0</v>
      </c>
      <c r="J21" s="220">
        <f>IF(B21="","",SUMIFS(成本计算!$H23:$EU23,成本计算!$H$4:$EU$4,"&lt;="&amp;$C$3,成本计算!$H$6:$EU$6,"报损数量"))</f>
        <v>92</v>
      </c>
      <c r="K21" s="186">
        <f>IF(B21="","",SUMIFS(成本计算!$H23:$EU23,成本计算!$H$4:$EU$4,"&lt;="&amp;$C$3,成本计算!$H$6:$EU$6,"报损金额"))</f>
        <v>5201.496</v>
      </c>
      <c r="L21" s="221">
        <f>IF(B21="","",INDEX(成本计算!$H23:$EU23,($C$3-1)*12+10))</f>
        <v>-92</v>
      </c>
      <c r="M21" s="187">
        <f>IF(B21="","",INDEX(成本计算!$H23:$EU23,($C$3-1)*12+11))</f>
        <v>-5201.496</v>
      </c>
      <c r="N21" s="222">
        <f>IF(OR(B21="",N(L21)&lt;=0),"",M21/L21)</f>
      </c>
      <c r="O21" s="220">
        <f>IF(B21="","",SUMIF(商品库存!$C$4:$C$603,B21,商品库存!$I$4:$I$603))</f>
        <v>0</v>
      </c>
      <c r="P21" s="221">
        <f>IF(B21="","",L21-O21)</f>
        <v>-92</v>
      </c>
      <c r="Q21" s="223" t="str">
        <f>IF(B21="","",IF(L21&lt;0,"✗ 结存为负：进货没录全；","")&amp;IF(AND(N(H21)&gt;0,N(I21)=0),"⚠ 没有进价，成本按 0 算；","")&amp;IF(AND(L21&gt;=0,P21&lt;0),"⚠ 不够兑现客户存条",""))</f>
        <v>✗ 结存为负：进货没录全；</v>
      </c>
    </row>
    <row r="22">
      <c r="A22" s="194">
        <f>IF(B22="","",ROW()-5)</f>
        <v>17</v>
      </c>
      <c r="B22" s="141" t="str">
        <f>成本计算!B24</f>
        <v>九制陈皮</v>
      </c>
      <c r="C22" s="141">
        <f>IF(B22="","",基础资料!F21&amp;"")</f>
      </c>
      <c r="D22" s="220">
        <f>IF(B22="","",成本计算!F24)</f>
        <v>0</v>
      </c>
      <c r="E22" s="186">
        <f>IF(B22="","",成本计算!G24)</f>
        <v>0</v>
      </c>
      <c r="F22" s="220">
        <f>IF(B22="","",SUMIFS(成本计算!$H24:$EU24,成本计算!$H$4:$EU$4,"&lt;="&amp;$C$3,成本计算!$H$6:$EU$6,"采购数量"))</f>
        <v>0</v>
      </c>
      <c r="G22" s="186">
        <f>IF(B22="","",SUMIFS(成本计算!$H24:$EU24,成本计算!$H$4:$EU$4,"&lt;="&amp;$C$3,成本计算!$H$6:$EU$6,"采购金额"))</f>
        <v>0</v>
      </c>
      <c r="H22" s="220">
        <f>IF(B22="","",SUMIFS(成本计算!$H24:$EU24,成本计算!$H$4:$EU$4,"&lt;="&amp;$C$3,成本计算!$H$6:$EU$6,"出库数量"))</f>
        <v>35</v>
      </c>
      <c r="I22" s="186">
        <f>IF(B22="","",SUMIFS(成本计算!$H24:$EU24,成本计算!$H$4:$EU$4,"&lt;="&amp;$C$3,成本计算!$H$6:$EU$6,"出库成本"))</f>
        <v>0</v>
      </c>
      <c r="J22" s="220">
        <f>IF(B22="","",SUMIFS(成本计算!$H24:$EU24,成本计算!$H$4:$EU$4,"&lt;="&amp;$C$3,成本计算!$H$6:$EU$6,"报损数量"))</f>
        <v>0</v>
      </c>
      <c r="K22" s="186">
        <f>IF(B22="","",SUMIFS(成本计算!$H24:$EU24,成本计算!$H$4:$EU$4,"&lt;="&amp;$C$3,成本计算!$H$6:$EU$6,"报损金额"))</f>
        <v>0</v>
      </c>
      <c r="L22" s="221">
        <f>IF(B22="","",INDEX(成本计算!$H24:$EU24,($C$3-1)*12+10))</f>
        <v>-35</v>
      </c>
      <c r="M22" s="187">
        <f>IF(B22="","",INDEX(成本计算!$H24:$EU24,($C$3-1)*12+11))</f>
        <v>0</v>
      </c>
      <c r="N22" s="222">
        <f>IF(OR(B22="",N(L22)&lt;=0),"",M22/L22)</f>
      </c>
      <c r="O22" s="220">
        <f>IF(B22="","",SUMIF(商品库存!$C$4:$C$603,B22,商品库存!$I$4:$I$603))</f>
        <v>79</v>
      </c>
      <c r="P22" s="221">
        <f>IF(B22="","",L22-O22)</f>
        <v>-114</v>
      </c>
      <c r="Q22" s="223" t="str">
        <f>IF(B22="","",IF(L22&lt;0,"✗ 结存为负：进货没录全；","")&amp;IF(AND(N(H22)&gt;0,N(I22)=0),"⚠ 没有进价，成本按 0 算；","")&amp;IF(AND(L22&gt;=0,P22&lt;0),"⚠ 不够兑现客户存条",""))</f>
        <v>✗ 结存为负：进货没录全；⚠ 没有进价，成本按 0 算；</v>
      </c>
    </row>
    <row r="23">
      <c r="A23" s="194">
        <f>IF(B23="","",ROW()-5)</f>
        <v>18</v>
      </c>
      <c r="B23" s="141" t="str">
        <f>成本计算!B25</f>
        <v>小焙好茶</v>
      </c>
      <c r="C23" s="141">
        <f>IF(B23="","",基础资料!F22&amp;"")</f>
      </c>
      <c r="D23" s="220">
        <f>IF(B23="","",成本计算!F25)</f>
        <v>0</v>
      </c>
      <c r="E23" s="186">
        <f>IF(B23="","",成本计算!G25)</f>
        <v>0</v>
      </c>
      <c r="F23" s="220">
        <f>IF(B23="","",SUMIFS(成本计算!$H25:$EU25,成本计算!$H$4:$EU$4,"&lt;="&amp;$C$3,成本计算!$H$6:$EU$6,"采购数量"))</f>
        <v>0</v>
      </c>
      <c r="G23" s="186">
        <f>IF(B23="","",SUMIFS(成本计算!$H25:$EU25,成本计算!$H$4:$EU$4,"&lt;="&amp;$C$3,成本计算!$H$6:$EU$6,"采购金额"))</f>
        <v>0</v>
      </c>
      <c r="H23" s="220">
        <f>IF(B23="","",SUMIFS(成本计算!$H25:$EU25,成本计算!$H$4:$EU$4,"&lt;="&amp;$C$3,成本计算!$H$6:$EU$6,"出库数量"))</f>
        <v>72</v>
      </c>
      <c r="I23" s="186">
        <f>IF(B23="","",SUMIFS(成本计算!$H25:$EU25,成本计算!$H$4:$EU$4,"&lt;="&amp;$C$3,成本计算!$H$6:$EU$6,"出库成本"))</f>
        <v>0</v>
      </c>
      <c r="J23" s="220">
        <f>IF(B23="","",SUMIFS(成本计算!$H25:$EU25,成本计算!$H$4:$EU$4,"&lt;="&amp;$C$3,成本计算!$H$6:$EU$6,"报损数量"))</f>
        <v>0</v>
      </c>
      <c r="K23" s="186">
        <f>IF(B23="","",SUMIFS(成本计算!$H25:$EU25,成本计算!$H$4:$EU$4,"&lt;="&amp;$C$3,成本计算!$H$6:$EU$6,"报损金额"))</f>
        <v>0</v>
      </c>
      <c r="L23" s="221">
        <f>IF(B23="","",INDEX(成本计算!$H25:$EU25,($C$3-1)*12+10))</f>
        <v>-72</v>
      </c>
      <c r="M23" s="187">
        <f>IF(B23="","",INDEX(成本计算!$H25:$EU25,($C$3-1)*12+11))</f>
        <v>0</v>
      </c>
      <c r="N23" s="222">
        <f>IF(OR(B23="",N(L23)&lt;=0),"",M23/L23)</f>
      </c>
      <c r="O23" s="220">
        <f>IF(B23="","",SUMIF(商品库存!$C$4:$C$603,B23,商品库存!$I$4:$I$603))</f>
        <v>54</v>
      </c>
      <c r="P23" s="221">
        <f>IF(B23="","",L23-O23)</f>
        <v>-126</v>
      </c>
      <c r="Q23" s="223" t="str">
        <f>IF(B23="","",IF(L23&lt;0,"✗ 结存为负：进货没录全；","")&amp;IF(AND(N(H23)&gt;0,N(I23)=0),"⚠ 没有进价，成本按 0 算；","")&amp;IF(AND(L23&gt;=0,P23&lt;0),"⚠ 不够兑现客户存条",""))</f>
        <v>✗ 结存为负：进货没录全；⚠ 没有进价，成本按 0 算；</v>
      </c>
    </row>
    <row r="24">
      <c r="A24" s="194">
        <f>IF(B24="","",ROW()-5)</f>
        <v>19</v>
      </c>
      <c r="B24" s="141" t="str">
        <f>成本计算!B26</f>
        <v>1L焙好茶</v>
      </c>
      <c r="C24" s="141">
        <f>IF(B24="","",基础资料!F23&amp;"")</f>
      </c>
      <c r="D24" s="220">
        <f>IF(B24="","",成本计算!F26)</f>
        <v>0</v>
      </c>
      <c r="E24" s="186">
        <f>IF(B24="","",成本计算!G26)</f>
        <v>0</v>
      </c>
      <c r="F24" s="220">
        <f>IF(B24="","",SUMIFS(成本计算!$H26:$EU26,成本计算!$H$4:$EU$4,"&lt;="&amp;$C$3,成本计算!$H$6:$EU$6,"采购数量"))</f>
        <v>0</v>
      </c>
      <c r="G24" s="186">
        <f>IF(B24="","",SUMIFS(成本计算!$H26:$EU26,成本计算!$H$4:$EU$4,"&lt;="&amp;$C$3,成本计算!$H$6:$EU$6,"采购金额"))</f>
        <v>0</v>
      </c>
      <c r="H24" s="220">
        <f>IF(B24="","",SUMIFS(成本计算!$H26:$EU26,成本计算!$H$4:$EU$4,"&lt;="&amp;$C$3,成本计算!$H$6:$EU$6,"出库数量"))</f>
        <v>28</v>
      </c>
      <c r="I24" s="186">
        <f>IF(B24="","",SUMIFS(成本计算!$H26:$EU26,成本计算!$H$4:$EU$4,"&lt;="&amp;$C$3,成本计算!$H$6:$EU$6,"出库成本"))</f>
        <v>0</v>
      </c>
      <c r="J24" s="220">
        <f>IF(B24="","",SUMIFS(成本计算!$H26:$EU26,成本计算!$H$4:$EU$4,"&lt;="&amp;$C$3,成本计算!$H$6:$EU$6,"报损数量"))</f>
        <v>0</v>
      </c>
      <c r="K24" s="186">
        <f>IF(B24="","",SUMIFS(成本计算!$H26:$EU26,成本计算!$H$4:$EU$4,"&lt;="&amp;$C$3,成本计算!$H$6:$EU$6,"报损金额"))</f>
        <v>0</v>
      </c>
      <c r="L24" s="221">
        <f>IF(B24="","",INDEX(成本计算!$H26:$EU26,($C$3-1)*12+10))</f>
        <v>-28</v>
      </c>
      <c r="M24" s="187">
        <f>IF(B24="","",INDEX(成本计算!$H26:$EU26,($C$3-1)*12+11))</f>
        <v>0</v>
      </c>
      <c r="N24" s="222">
        <f>IF(OR(B24="",N(L24)&lt;=0),"",M24/L24)</f>
      </c>
      <c r="O24" s="220">
        <f>IF(B24="","",SUMIF(商品库存!$C$4:$C$603,B24,商品库存!$I$4:$I$603))</f>
        <v>-23</v>
      </c>
      <c r="P24" s="221">
        <f>IF(B24="","",L24-O24)</f>
        <v>-5</v>
      </c>
      <c r="Q24" s="223" t="str">
        <f>IF(B24="","",IF(L24&lt;0,"✗ 结存为负：进货没录全；","")&amp;IF(AND(N(H24)&gt;0,N(I24)=0),"⚠ 没有进价，成本按 0 算；","")&amp;IF(AND(L24&gt;=0,P24&lt;0),"⚠ 不够兑现客户存条",""))</f>
        <v>✗ 结存为负：进货没录全；⚠ 没有进价，成本按 0 算；</v>
      </c>
    </row>
    <row r="25">
      <c r="A25" s="194">
        <f>IF(B25="","",ROW()-5)</f>
        <v>20</v>
      </c>
      <c r="B25" s="141" t="str">
        <f>成本计算!B27</f>
        <v>大鹏</v>
      </c>
      <c r="C25" s="141">
        <f>IF(B25="","",基础资料!F24&amp;"")</f>
      </c>
      <c r="D25" s="220">
        <f>IF(B25="","",成本计算!F27)</f>
        <v>0</v>
      </c>
      <c r="E25" s="186">
        <f>IF(B25="","",成本计算!G27)</f>
        <v>0</v>
      </c>
      <c r="F25" s="220">
        <f>IF(B25="","",SUMIFS(成本计算!$H27:$EU27,成本计算!$H$4:$EU$4,"&lt;="&amp;$C$3,成本计算!$H$6:$EU$6,"采购数量"))</f>
        <v>0</v>
      </c>
      <c r="G25" s="186">
        <f>IF(B25="","",SUMIFS(成本计算!$H27:$EU27,成本计算!$H$4:$EU$4,"&lt;="&amp;$C$3,成本计算!$H$6:$EU$6,"采购金额"))</f>
        <v>0</v>
      </c>
      <c r="H25" s="220">
        <f>IF(B25="","",SUMIFS(成本计算!$H27:$EU27,成本计算!$H$4:$EU$4,"&lt;="&amp;$C$3,成本计算!$H$6:$EU$6,"出库数量"))</f>
        <v>1</v>
      </c>
      <c r="I25" s="186">
        <f>IF(B25="","",SUMIFS(成本计算!$H27:$EU27,成本计算!$H$4:$EU$4,"&lt;="&amp;$C$3,成本计算!$H$6:$EU$6,"出库成本"))</f>
        <v>0</v>
      </c>
      <c r="J25" s="220">
        <f>IF(B25="","",SUMIFS(成本计算!$H27:$EU27,成本计算!$H$4:$EU$4,"&lt;="&amp;$C$3,成本计算!$H$6:$EU$6,"报损数量"))</f>
        <v>0</v>
      </c>
      <c r="K25" s="186">
        <f>IF(B25="","",SUMIFS(成本计算!$H27:$EU27,成本计算!$H$4:$EU$4,"&lt;="&amp;$C$3,成本计算!$H$6:$EU$6,"报损金额"))</f>
        <v>0</v>
      </c>
      <c r="L25" s="221">
        <f>IF(B25="","",INDEX(成本计算!$H27:$EU27,($C$3-1)*12+10))</f>
        <v>-1</v>
      </c>
      <c r="M25" s="187">
        <f>IF(B25="","",INDEX(成本计算!$H27:$EU27,($C$3-1)*12+11))</f>
        <v>0</v>
      </c>
      <c r="N25" s="222">
        <f>IF(OR(B25="",N(L25)&lt;=0),"",M25/L25)</f>
      </c>
      <c r="O25" s="220">
        <f>IF(B25="","",SUMIF(商品库存!$C$4:$C$603,B25,商品库存!$I$4:$I$603))</f>
        <v>-1</v>
      </c>
      <c r="P25" s="221">
        <f>IF(B25="","",L25-O25)</f>
        <v>0</v>
      </c>
      <c r="Q25" s="223" t="str">
        <f>IF(B25="","",IF(L25&lt;0,"✗ 结存为负：进货没录全；","")&amp;IF(AND(N(H25)&gt;0,N(I25)=0),"⚠ 没有进价，成本按 0 算；","")&amp;IF(AND(L25&gt;=0,P25&lt;0),"⚠ 不够兑现客户存条",""))</f>
        <v>✗ 结存为负：进货没录全；⚠ 没有进价，成本按 0 算；</v>
      </c>
    </row>
    <row r="26">
      <c r="A26" s="194">
        <f>IF(B26="","",ROW()-5)</f>
        <v>21</v>
      </c>
      <c r="B26" s="141" t="str">
        <f>成本计算!B28</f>
        <v>500农夫饮料</v>
      </c>
      <c r="C26" s="141" t="str">
        <f>IF(B26="","",基础资料!F25&amp;"")</f>
        <v>农夫山泉公司</v>
      </c>
      <c r="D26" s="220">
        <f>IF(B26="","",成本计算!F28)</f>
        <v>0</v>
      </c>
      <c r="E26" s="186">
        <f>IF(B26="","",成本计算!G28)</f>
        <v>0</v>
      </c>
      <c r="F26" s="220">
        <f>IF(B26="","",SUMIFS(成本计算!$H28:$EU28,成本计算!$H$4:$EU$4,"&lt;="&amp;$C$3,成本计算!$H$6:$EU$6,"采购数量"))</f>
        <v>0</v>
      </c>
      <c r="G26" s="186">
        <f>IF(B26="","",SUMIFS(成本计算!$H28:$EU28,成本计算!$H$4:$EU$4,"&lt;="&amp;$C$3,成本计算!$H$6:$EU$6,"采购金额"))</f>
        <v>0</v>
      </c>
      <c r="H26" s="220">
        <f>IF(B26="","",SUMIFS(成本计算!$H28:$EU28,成本计算!$H$4:$EU$4,"&lt;="&amp;$C$3,成本计算!$H$6:$EU$6,"出库数量"))</f>
        <v>1137</v>
      </c>
      <c r="I26" s="186">
        <f>IF(B26="","",SUMIFS(成本计算!$H28:$EU28,成本计算!$H$4:$EU$4,"&lt;="&amp;$C$3,成本计算!$H$6:$EU$6,"出库成本"))</f>
        <v>52307.685</v>
      </c>
      <c r="J26" s="220">
        <f>IF(B26="","",SUMIFS(成本计算!$H28:$EU28,成本计算!$H$4:$EU$4,"&lt;="&amp;$C$3,成本计算!$H$6:$EU$6,"报损数量"))</f>
        <v>152.866666666667</v>
      </c>
      <c r="K26" s="186">
        <f>IF(B26="","",SUMIFS(成本计算!$H28:$EU28,成本计算!$H$4:$EU$4,"&lt;="&amp;$C$3,成本计算!$H$6:$EU$6,"报损金额"))</f>
        <v>7032.631</v>
      </c>
      <c r="L26" s="221">
        <f>IF(B26="","",INDEX(成本计算!$H28:$EU28,($C$3-1)*12+10))</f>
        <v>-1289.86666666667</v>
      </c>
      <c r="M26" s="187">
        <f>IF(B26="","",INDEX(成本计算!$H28:$EU28,($C$3-1)*12+11))</f>
        <v>-59340.316</v>
      </c>
      <c r="N26" s="222">
        <f>IF(OR(B26="",N(L26)&lt;=0),"",M26/L26)</f>
      </c>
      <c r="O26" s="220">
        <f>IF(B26="","",SUMIF(商品库存!$C$4:$C$603,B26,商品库存!$I$4:$I$603))</f>
        <v>-417</v>
      </c>
      <c r="P26" s="221">
        <f>IF(B26="","",L26-O26)</f>
        <v>-872.866666666667</v>
      </c>
      <c r="Q26" s="223" t="str">
        <f>IF(B26="","",IF(L26&lt;0,"✗ 结存为负：进货没录全；","")&amp;IF(AND(N(H26)&gt;0,N(I26)=0),"⚠ 没有进价，成本按 0 算；","")&amp;IF(AND(L26&gt;=0,P26&lt;0),"⚠ 不够兑现客户存条",""))</f>
        <v>✗ 结存为负：进货没录全；</v>
      </c>
    </row>
    <row r="27">
      <c r="A27" s="194">
        <f>IF(B27="","",ROW()-5)</f>
        <v>22</v>
      </c>
      <c r="B27" s="141" t="str">
        <f>成本计算!B29</f>
        <v>900农夫饮料</v>
      </c>
      <c r="C27" s="141" t="str">
        <f>IF(B27="","",基础资料!F26&amp;"")</f>
        <v>农夫山泉公司</v>
      </c>
      <c r="D27" s="220">
        <f>IF(B27="","",成本计算!F29)</f>
        <v>0</v>
      </c>
      <c r="E27" s="186">
        <f>IF(B27="","",成本计算!G29)</f>
        <v>0</v>
      </c>
      <c r="F27" s="220">
        <f>IF(B27="","",SUMIFS(成本计算!$H29:$EU29,成本计算!$H$4:$EU$4,"&lt;="&amp;$C$3,成本计算!$H$6:$EU$6,"采购数量"))</f>
        <v>0</v>
      </c>
      <c r="G27" s="186">
        <f>IF(B27="","",SUMIFS(成本计算!$H29:$EU29,成本计算!$H$4:$EU$4,"&lt;="&amp;$C$3,成本计算!$H$6:$EU$6,"采购金额"))</f>
        <v>0</v>
      </c>
      <c r="H27" s="220">
        <f>IF(B27="","",SUMIFS(成本计算!$H29:$EU29,成本计算!$H$4:$EU$4,"&lt;="&amp;$C$3,成本计算!$H$6:$EU$6,"出库数量"))</f>
        <v>102</v>
      </c>
      <c r="I27" s="186">
        <f>IF(B27="","",SUMIFS(成本计算!$H29:$EU29,成本计算!$H$4:$EU$4,"&lt;="&amp;$C$3,成本计算!$H$6:$EU$6,"出库成本"))</f>
        <v>5104.08</v>
      </c>
      <c r="J27" s="220">
        <f>IF(B27="","",SUMIFS(成本计算!$H29:$EU29,成本计算!$H$4:$EU$4,"&lt;="&amp;$C$3,成本计算!$H$6:$EU$6,"报损数量"))</f>
        <v>20.4166666666667</v>
      </c>
      <c r="K27" s="186">
        <f>IF(B27="","",SUMIFS(成本计算!$H29:$EU29,成本计算!$H$4:$EU$4,"&lt;="&amp;$C$3,成本计算!$H$6:$EU$6,"报损金额"))</f>
        <v>1021.65</v>
      </c>
      <c r="L27" s="221">
        <f>IF(B27="","",INDEX(成本计算!$H29:$EU29,($C$3-1)*12+10))</f>
        <v>-122.416666666667</v>
      </c>
      <c r="M27" s="187">
        <f>IF(B27="","",INDEX(成本计算!$H29:$EU29,($C$3-1)*12+11))</f>
        <v>-6125.73</v>
      </c>
      <c r="N27" s="222">
        <f>IF(OR(B27="",N(L27)&lt;=0),"",M27/L27)</f>
      </c>
      <c r="O27" s="220">
        <f>IF(B27="","",SUMIF(商品库存!$C$4:$C$603,B27,商品库存!$I$4:$I$603))</f>
        <v>-46</v>
      </c>
      <c r="P27" s="221">
        <f>IF(B27="","",L27-O27)</f>
        <v>-76.4166666666667</v>
      </c>
      <c r="Q27" s="223" t="str">
        <f>IF(B27="","",IF(L27&lt;0,"✗ 结存为负：进货没录全；","")&amp;IF(AND(N(H27)&gt;0,N(I27)=0),"⚠ 没有进价，成本按 0 算；","")&amp;IF(AND(L27&gt;=0,P27&lt;0),"⚠ 不够兑现客户存条",""))</f>
        <v>✗ 结存为负：进货没录全；</v>
      </c>
    </row>
    <row r="28">
      <c r="A28" s="194">
        <f>IF(B28="","",ROW()-5)</f>
        <v>23</v>
      </c>
      <c r="B28" s="141" t="str">
        <f>成本计算!B30</f>
        <v>550农夫水</v>
      </c>
      <c r="C28" s="141" t="str">
        <f>IF(B28="","",基础资料!F27&amp;"")</f>
        <v>农夫山泉公司</v>
      </c>
      <c r="D28" s="220">
        <f>IF(B28="","",成本计算!F30)</f>
        <v>0</v>
      </c>
      <c r="E28" s="186">
        <f>IF(B28="","",成本计算!G30)</f>
        <v>0</v>
      </c>
      <c r="F28" s="220">
        <f>IF(B28="","",SUMIFS(成本计算!$H30:$EU30,成本计算!$H$4:$EU$4,"&lt;="&amp;$C$3,成本计算!$H$6:$EU$6,"采购数量"))</f>
        <v>0</v>
      </c>
      <c r="G28" s="186">
        <f>IF(B28="","",SUMIFS(成本计算!$H30:$EU30,成本计算!$H$4:$EU$4,"&lt;="&amp;$C$3,成本计算!$H$6:$EU$6,"采购金额"))</f>
        <v>0</v>
      </c>
      <c r="H28" s="220">
        <f>IF(B28="","",SUMIFS(成本计算!$H30:$EU30,成本计算!$H$4:$EU$4,"&lt;="&amp;$C$3,成本计算!$H$6:$EU$6,"出库数量"))</f>
        <v>186.5</v>
      </c>
      <c r="I28" s="186">
        <f>IF(B28="","",SUMIFS(成本计算!$H30:$EU30,成本计算!$H$4:$EU$4,"&lt;="&amp;$C$3,成本计算!$H$6:$EU$6,"出库成本"))</f>
        <v>3732.984</v>
      </c>
      <c r="J28" s="220">
        <f>IF(B28="","",SUMIFS(成本计算!$H30:$EU30,成本计算!$H$4:$EU$4,"&lt;="&amp;$C$3,成本计算!$H$6:$EU$6,"报损数量"))</f>
        <v>0.125</v>
      </c>
      <c r="K28" s="186">
        <f>IF(B28="","",SUMIFS(成本计算!$H30:$EU30,成本计算!$H$4:$EU$4,"&lt;="&amp;$C$3,成本计算!$H$6:$EU$6,"报损金额"))</f>
        <v>2.502</v>
      </c>
      <c r="L28" s="221">
        <f>IF(B28="","",INDEX(成本计算!$H30:$EU30,($C$3-1)*12+10))</f>
        <v>-186.625</v>
      </c>
      <c r="M28" s="187">
        <f>IF(B28="","",INDEX(成本计算!$H30:$EU30,($C$3-1)*12+11))</f>
        <v>-3735.486</v>
      </c>
      <c r="N28" s="222">
        <f>IF(OR(B28="",N(L28)&lt;=0),"",M28/L28)</f>
      </c>
      <c r="O28" s="220">
        <f>IF(B28="","",SUMIF(商品库存!$C$4:$C$603,B28,商品库存!$I$4:$I$603))</f>
        <v>372</v>
      </c>
      <c r="P28" s="221">
        <f>IF(B28="","",L28-O28)</f>
        <v>-558.625</v>
      </c>
      <c r="Q28" s="223" t="str">
        <f>IF(B28="","",IF(L28&lt;0,"✗ 结存为负：进货没录全；","")&amp;IF(AND(N(H28)&gt;0,N(I28)=0),"⚠ 没有进价，成本按 0 算；","")&amp;IF(AND(L28&gt;=0,P28&lt;0),"⚠ 不够兑现客户存条",""))</f>
        <v>✗ 结存为负：进货没录全；</v>
      </c>
    </row>
    <row r="29">
      <c r="A29" s="194">
        <f>IF(B29="","",ROW()-5)</f>
        <v>24</v>
      </c>
      <c r="B29" s="141" t="str">
        <f>成本计算!B31</f>
        <v>550农夫纯净水</v>
      </c>
      <c r="C29" s="141" t="str">
        <f>IF(B29="","",基础资料!F28&amp;"")</f>
        <v>农夫山泉公司</v>
      </c>
      <c r="D29" s="220">
        <f>IF(B29="","",成本计算!F31)</f>
        <v>0</v>
      </c>
      <c r="E29" s="186">
        <f>IF(B29="","",成本计算!G31)</f>
        <v>0</v>
      </c>
      <c r="F29" s="220">
        <f>IF(B29="","",SUMIFS(成本计算!$H31:$EU31,成本计算!$H$4:$EU$4,"&lt;="&amp;$C$3,成本计算!$H$6:$EU$6,"采购数量"))</f>
        <v>0</v>
      </c>
      <c r="G29" s="186">
        <f>IF(B29="","",SUMIFS(成本计算!$H31:$EU31,成本计算!$H$4:$EU$4,"&lt;="&amp;$C$3,成本计算!$H$6:$EU$6,"采购金额"))</f>
        <v>0</v>
      </c>
      <c r="H29" s="220">
        <f>IF(B29="","",SUMIFS(成本计算!$H31:$EU31,成本计算!$H$4:$EU$4,"&lt;="&amp;$C$3,成本计算!$H$6:$EU$6,"出库数量"))</f>
        <v>43.5</v>
      </c>
      <c r="I29" s="186">
        <f>IF(B29="","",SUMIFS(成本计算!$H31:$EU31,成本计算!$H$4:$EU$4,"&lt;="&amp;$C$3,成本计算!$H$6:$EU$6,"出库成本"))</f>
        <v>652.5</v>
      </c>
      <c r="J29" s="220">
        <f>IF(B29="","",SUMIFS(成本计算!$H31:$EU31,成本计算!$H$4:$EU$4,"&lt;="&amp;$C$3,成本计算!$H$6:$EU$6,"报损数量"))</f>
        <v>11.2916666666667</v>
      </c>
      <c r="K29" s="186">
        <f>IF(B29="","",SUMIFS(成本计算!$H31:$EU31,成本计算!$H$4:$EU$4,"&lt;="&amp;$C$3,成本计算!$H$6:$EU$6,"报损金额"))</f>
        <v>169.375</v>
      </c>
      <c r="L29" s="221">
        <f>IF(B29="","",INDEX(成本计算!$H31:$EU31,($C$3-1)*12+10))</f>
        <v>-54.7916666666667</v>
      </c>
      <c r="M29" s="187">
        <f>IF(B29="","",INDEX(成本计算!$H31:$EU31,($C$3-1)*12+11))</f>
        <v>-821.875</v>
      </c>
      <c r="N29" s="222">
        <f>IF(OR(B29="",N(L29)&lt;=0),"",M29/L29)</f>
      </c>
      <c r="O29" s="220">
        <f>IF(B29="","",SUMIF(商品库存!$C$4:$C$603,B29,商品库存!$I$4:$I$603))</f>
        <v>-43.5</v>
      </c>
      <c r="P29" s="221">
        <f>IF(B29="","",L29-O29)</f>
        <v>-11.2916666666667</v>
      </c>
      <c r="Q29" s="223" t="str">
        <f>IF(B29="","",IF(L29&lt;0,"✗ 结存为负：进货没录全；","")&amp;IF(AND(N(H29)&gt;0,N(I29)=0),"⚠ 没有进价，成本按 0 算；","")&amp;IF(AND(L29&gt;=0,P29&lt;0),"⚠ 不够兑现客户存条",""))</f>
        <v>✗ 结存为负：进货没录全；</v>
      </c>
    </row>
    <row r="30">
      <c r="A30" s="194">
        <f>IF(B30="","",ROW()-5)</f>
        <v>25</v>
      </c>
      <c r="B30" s="141" t="str">
        <f>成本计算!B32</f>
        <v>550纯净水12入</v>
      </c>
      <c r="C30" s="141" t="str">
        <f>IF(B30="","",基础资料!F29&amp;"")</f>
        <v>农夫山泉公司</v>
      </c>
      <c r="D30" s="220">
        <f>IF(B30="","",成本计算!F32)</f>
        <v>0</v>
      </c>
      <c r="E30" s="186">
        <f>IF(B30="","",成本计算!G32)</f>
        <v>0</v>
      </c>
      <c r="F30" s="220">
        <f>IF(B30="","",SUMIFS(成本计算!$H32:$EU32,成本计算!$H$4:$EU$4,"&lt;="&amp;$C$3,成本计算!$H$6:$EU$6,"采购数量"))</f>
        <v>0</v>
      </c>
      <c r="G30" s="186">
        <f>IF(B30="","",SUMIFS(成本计算!$H32:$EU32,成本计算!$H$4:$EU$4,"&lt;="&amp;$C$3,成本计算!$H$6:$EU$6,"采购金额"))</f>
        <v>0</v>
      </c>
      <c r="H30" s="220">
        <f>IF(B30="","",SUMIFS(成本计算!$H32:$EU32,成本计算!$H$4:$EU$4,"&lt;="&amp;$C$3,成本计算!$H$6:$EU$6,"出库数量"))</f>
        <v>0</v>
      </c>
      <c r="I30" s="186">
        <f>IF(B30="","",SUMIFS(成本计算!$H32:$EU32,成本计算!$H$4:$EU$4,"&lt;="&amp;$C$3,成本计算!$H$6:$EU$6,"出库成本"))</f>
        <v>0</v>
      </c>
      <c r="J30" s="220">
        <f>IF(B30="","",SUMIFS(成本计算!$H32:$EU32,成本计算!$H$4:$EU$4,"&lt;="&amp;$C$3,成本计算!$H$6:$EU$6,"报损数量"))</f>
        <v>0</v>
      </c>
      <c r="K30" s="186">
        <f>IF(B30="","",SUMIFS(成本计算!$H32:$EU32,成本计算!$H$4:$EU$4,"&lt;="&amp;$C$3,成本计算!$H$6:$EU$6,"报损金额"))</f>
        <v>0</v>
      </c>
      <c r="L30" s="221">
        <f>IF(B30="","",INDEX(成本计算!$H32:$EU32,($C$3-1)*12+10))</f>
        <v>0</v>
      </c>
      <c r="M30" s="187">
        <f>IF(B30="","",INDEX(成本计算!$H32:$EU32,($C$3-1)*12+11))</f>
        <v>0</v>
      </c>
      <c r="N30" s="222">
        <f>IF(OR(B30="",N(L30)&lt;=0),"",M30/L30)</f>
      </c>
      <c r="O30" s="220">
        <f>IF(B30="","",SUMIF(商品库存!$C$4:$C$603,B30,商品库存!$I$4:$I$603))</f>
        <v>250</v>
      </c>
      <c r="P30" s="221">
        <f>IF(B30="","",L30-O30)</f>
        <v>-250</v>
      </c>
      <c r="Q30" s="223" t="str">
        <f>IF(B30="","",IF(L30&lt;0,"✗ 结存为负：进货没录全；","")&amp;IF(AND(N(H30)&gt;0,N(I30)=0),"⚠ 没有进价，成本按 0 算；","")&amp;IF(AND(L30&gt;=0,P30&lt;0),"⚠ 不够兑现客户存条",""))</f>
        <v>⚠ 不够兑现客户存条</v>
      </c>
    </row>
    <row r="31">
      <c r="A31" s="194">
        <f>IF(B31="","",ROW()-5)</f>
        <v>26</v>
      </c>
      <c r="B31" s="141" t="str">
        <f>成本计算!B33</f>
        <v>1.5L水</v>
      </c>
      <c r="C31" s="141" t="str">
        <f>IF(B31="","",基础资料!F30&amp;"")</f>
        <v>农夫山泉公司</v>
      </c>
      <c r="D31" s="220">
        <f>IF(B31="","",成本计算!F33)</f>
        <v>0</v>
      </c>
      <c r="E31" s="186">
        <f>IF(B31="","",成本计算!G33)</f>
        <v>0</v>
      </c>
      <c r="F31" s="220">
        <f>IF(B31="","",SUMIFS(成本计算!$H33:$EU33,成本计算!$H$4:$EU$4,"&lt;="&amp;$C$3,成本计算!$H$6:$EU$6,"采购数量"))</f>
        <v>0</v>
      </c>
      <c r="G31" s="186">
        <f>IF(B31="","",SUMIFS(成本计算!$H33:$EU33,成本计算!$H$4:$EU$4,"&lt;="&amp;$C$3,成本计算!$H$6:$EU$6,"采购金额"))</f>
        <v>0</v>
      </c>
      <c r="H31" s="220">
        <f>IF(B31="","",SUMIFS(成本计算!$H33:$EU33,成本计算!$H$4:$EU$4,"&lt;="&amp;$C$3,成本计算!$H$6:$EU$6,"出库数量"))</f>
        <v>2</v>
      </c>
      <c r="I31" s="186">
        <f>IF(B31="","",SUMIFS(成本计算!$H33:$EU33,成本计算!$H$4:$EU$4,"&lt;="&amp;$C$3,成本计算!$H$6:$EU$6,"出库成本"))</f>
        <v>40.008</v>
      </c>
      <c r="J31" s="220">
        <f>IF(B31="","",SUMIFS(成本计算!$H33:$EU33,成本计算!$H$4:$EU$4,"&lt;="&amp;$C$3,成本计算!$H$6:$EU$6,"报损数量"))</f>
        <v>3</v>
      </c>
      <c r="K31" s="186">
        <f>IF(B31="","",SUMIFS(成本计算!$H33:$EU33,成本计算!$H$4:$EU$4,"&lt;="&amp;$C$3,成本计算!$H$6:$EU$6,"报损金额"))</f>
        <v>60.012</v>
      </c>
      <c r="L31" s="221">
        <f>IF(B31="","",INDEX(成本计算!$H33:$EU33,($C$3-1)*12+10))</f>
        <v>-5</v>
      </c>
      <c r="M31" s="187">
        <f>IF(B31="","",INDEX(成本计算!$H33:$EU33,($C$3-1)*12+11))</f>
        <v>-100.02</v>
      </c>
      <c r="N31" s="222">
        <f>IF(OR(B31="",N(L31)&lt;=0),"",M31/L31)</f>
      </c>
      <c r="O31" s="220">
        <f>IF(B31="","",SUMIF(商品库存!$C$4:$C$603,B31,商品库存!$I$4:$I$603))</f>
        <v>-2</v>
      </c>
      <c r="P31" s="221">
        <f>IF(B31="","",L31-O31)</f>
        <v>-3</v>
      </c>
      <c r="Q31" s="223" t="str">
        <f>IF(B31="","",IF(L31&lt;0,"✗ 结存为负：进货没录全；","")&amp;IF(AND(N(H31)&gt;0,N(I31)=0),"⚠ 没有进价，成本按 0 算；","")&amp;IF(AND(L31&gt;=0,P31&lt;0),"⚠ 不够兑现客户存条",""))</f>
        <v>✗ 结存为负：进货没录全；</v>
      </c>
    </row>
    <row r="32">
      <c r="A32" s="194">
        <f>IF(B32="","",ROW()-5)</f>
        <v>27</v>
      </c>
      <c r="B32" s="141" t="str">
        <f>成本计算!B34</f>
        <v>农夫苏打水</v>
      </c>
      <c r="C32" s="141" t="str">
        <f>IF(B32="","",基础资料!F31&amp;"")</f>
        <v>农夫山泉公司</v>
      </c>
      <c r="D32" s="220">
        <f>IF(B32="","",成本计算!F34)</f>
        <v>0</v>
      </c>
      <c r="E32" s="186">
        <f>IF(B32="","",成本计算!G34)</f>
        <v>0</v>
      </c>
      <c r="F32" s="220">
        <f>IF(B32="","",SUMIFS(成本计算!$H34:$EU34,成本计算!$H$4:$EU$4,"&lt;="&amp;$C$3,成本计算!$H$6:$EU$6,"采购数量"))</f>
        <v>0</v>
      </c>
      <c r="G32" s="186">
        <f>IF(B32="","",SUMIFS(成本计算!$H34:$EU34,成本计算!$H$4:$EU$4,"&lt;="&amp;$C$3,成本计算!$H$6:$EU$6,"采购金额"))</f>
        <v>0</v>
      </c>
      <c r="H32" s="220">
        <f>IF(B32="","",SUMIFS(成本计算!$H34:$EU34,成本计算!$H$4:$EU$4,"&lt;="&amp;$C$3,成本计算!$H$6:$EU$6,"出库数量"))</f>
        <v>0</v>
      </c>
      <c r="I32" s="186">
        <f>IF(B32="","",SUMIFS(成本计算!$H34:$EU34,成本计算!$H$4:$EU$4,"&lt;="&amp;$C$3,成本计算!$H$6:$EU$6,"出库成本"))</f>
        <v>0</v>
      </c>
      <c r="J32" s="220">
        <f>IF(B32="","",SUMIFS(成本计算!$H34:$EU34,成本计算!$H$4:$EU$4,"&lt;="&amp;$C$3,成本计算!$H$6:$EU$6,"报损数量"))</f>
        <v>4.8</v>
      </c>
      <c r="K32" s="186">
        <f>IF(B32="","",SUMIFS(成本计算!$H34:$EU34,成本计算!$H$4:$EU$4,"&lt;="&amp;$C$3,成本计算!$H$6:$EU$6,"报损金额"))</f>
        <v>163.44</v>
      </c>
      <c r="L32" s="221">
        <f>IF(B32="","",INDEX(成本计算!$H34:$EU34,($C$3-1)*12+10))</f>
        <v>-4.8</v>
      </c>
      <c r="M32" s="187">
        <f>IF(B32="","",INDEX(成本计算!$H34:$EU34,($C$3-1)*12+11))</f>
        <v>-163.44</v>
      </c>
      <c r="N32" s="222">
        <f>IF(OR(B32="",N(L32)&lt;=0),"",M32/L32)</f>
      </c>
      <c r="O32" s="220">
        <f>IF(B32="","",SUMIF(商品库存!$C$4:$C$603,B32,商品库存!$I$4:$I$603))</f>
        <v>0</v>
      </c>
      <c r="P32" s="221">
        <f>IF(B32="","",L32-O32)</f>
        <v>-4.8</v>
      </c>
      <c r="Q32" s="223" t="str">
        <f>IF(B32="","",IF(L32&lt;0,"✗ 结存为负：进货没录全；","")&amp;IF(AND(N(H32)&gt;0,N(I32)=0),"⚠ 没有进价，成本按 0 算；","")&amp;IF(AND(L32&gt;=0,P32&lt;0),"⚠ 不够兑现客户存条",""))</f>
        <v>✗ 结存为负：进货没录全；</v>
      </c>
    </row>
    <row r="33">
      <c r="A33" s="194">
        <f>IF(B33="","",ROW()-5)</f>
        <v>28</v>
      </c>
      <c r="B33" s="141" t="str">
        <f>成本计算!B35</f>
        <v>农夫2L水</v>
      </c>
      <c r="C33" s="141" t="str">
        <f>IF(B33="","",基础资料!F32&amp;"")</f>
        <v>农夫山泉公司</v>
      </c>
      <c r="D33" s="220">
        <f>IF(B33="","",成本计算!F35)</f>
        <v>0</v>
      </c>
      <c r="E33" s="186">
        <f>IF(B33="","",成本计算!G35)</f>
        <v>0</v>
      </c>
      <c r="F33" s="220">
        <f>IF(B33="","",SUMIFS(成本计算!$H35:$EU35,成本计算!$H$4:$EU$4,"&lt;="&amp;$C$3,成本计算!$H$6:$EU$6,"采购数量"))</f>
        <v>0</v>
      </c>
      <c r="G33" s="186">
        <f>IF(B33="","",SUMIFS(成本计算!$H35:$EU35,成本计算!$H$4:$EU$4,"&lt;="&amp;$C$3,成本计算!$H$6:$EU$6,"采购金额"))</f>
        <v>0</v>
      </c>
      <c r="H33" s="220">
        <f>IF(B33="","",SUMIFS(成本计算!$H35:$EU35,成本计算!$H$4:$EU$4,"&lt;="&amp;$C$3,成本计算!$H$6:$EU$6,"出库数量"))</f>
        <v>0</v>
      </c>
      <c r="I33" s="186">
        <f>IF(B33="","",SUMIFS(成本计算!$H35:$EU35,成本计算!$H$4:$EU$4,"&lt;="&amp;$C$3,成本计算!$H$6:$EU$6,"出库成本"))</f>
        <v>0</v>
      </c>
      <c r="J33" s="220">
        <f>IF(B33="","",SUMIFS(成本计算!$H35:$EU35,成本计算!$H$4:$EU$4,"&lt;="&amp;$C$3,成本计算!$H$6:$EU$6,"报损数量"))</f>
        <v>3.875</v>
      </c>
      <c r="K33" s="186">
        <f>IF(B33="","",SUMIFS(成本计算!$H35:$EU35,成本计算!$H$4:$EU$4,"&lt;="&amp;$C$3,成本计算!$H$6:$EU$6,"报损金额"))</f>
        <v>69.75</v>
      </c>
      <c r="L33" s="221">
        <f>IF(B33="","",INDEX(成本计算!$H35:$EU35,($C$3-1)*12+10))</f>
        <v>-3.875</v>
      </c>
      <c r="M33" s="187">
        <f>IF(B33="","",INDEX(成本计算!$H35:$EU35,($C$3-1)*12+11))</f>
        <v>-69.75</v>
      </c>
      <c r="N33" s="222">
        <f>IF(OR(B33="",N(L33)&lt;=0),"",M33/L33)</f>
      </c>
      <c r="O33" s="220">
        <f>IF(B33="","",SUMIF(商品库存!$C$4:$C$603,B33,商品库存!$I$4:$I$603))</f>
        <v>0</v>
      </c>
      <c r="P33" s="221">
        <f>IF(B33="","",L33-O33)</f>
        <v>-3.875</v>
      </c>
      <c r="Q33" s="223" t="str">
        <f>IF(B33="","",IF(L33&lt;0,"✗ 结存为负：进货没录全；","")&amp;IF(AND(N(H33)&gt;0,N(I33)=0),"⚠ 没有进价，成本按 0 算；","")&amp;IF(AND(L33&gt;=0,P33&lt;0),"⚠ 不够兑现客户存条",""))</f>
        <v>✗ 结存为负：进货没录全；</v>
      </c>
    </row>
    <row r="34">
      <c r="A34" s="194">
        <f>IF(B34="","",ROW()-5)</f>
        <v>29</v>
      </c>
      <c r="B34" s="141" t="str">
        <f>成本计算!B36</f>
        <v>农夫5L水</v>
      </c>
      <c r="C34" s="141" t="str">
        <f>IF(B34="","",基础资料!F33&amp;"")</f>
        <v>农夫山泉公司</v>
      </c>
      <c r="D34" s="220">
        <f>IF(B34="","",成本计算!F36)</f>
        <v>0</v>
      </c>
      <c r="E34" s="186">
        <f>IF(B34="","",成本计算!G36)</f>
        <v>0</v>
      </c>
      <c r="F34" s="220">
        <f>IF(B34="","",SUMIFS(成本计算!$H36:$EU36,成本计算!$H$4:$EU$4,"&lt;="&amp;$C$3,成本计算!$H$6:$EU$6,"采购数量"))</f>
        <v>0</v>
      </c>
      <c r="G34" s="186">
        <f>IF(B34="","",SUMIFS(成本计算!$H36:$EU36,成本计算!$H$4:$EU$4,"&lt;="&amp;$C$3,成本计算!$H$6:$EU$6,"采购金额"))</f>
        <v>0</v>
      </c>
      <c r="H34" s="220">
        <f>IF(B34="","",SUMIFS(成本计算!$H36:$EU36,成本计算!$H$4:$EU$4,"&lt;="&amp;$C$3,成本计算!$H$6:$EU$6,"出库数量"))</f>
        <v>0</v>
      </c>
      <c r="I34" s="186">
        <f>IF(B34="","",SUMIFS(成本计算!$H36:$EU36,成本计算!$H$4:$EU$4,"&lt;="&amp;$C$3,成本计算!$H$6:$EU$6,"出库成本"))</f>
        <v>0</v>
      </c>
      <c r="J34" s="220">
        <f>IF(B34="","",SUMIFS(成本计算!$H36:$EU36,成本计算!$H$4:$EU$4,"&lt;="&amp;$C$3,成本计算!$H$6:$EU$6,"报损数量"))</f>
        <v>0</v>
      </c>
      <c r="K34" s="186">
        <f>IF(B34="","",SUMIFS(成本计算!$H36:$EU36,成本计算!$H$4:$EU$4,"&lt;="&amp;$C$3,成本计算!$H$6:$EU$6,"报损金额"))</f>
        <v>0</v>
      </c>
      <c r="L34" s="221">
        <f>IF(B34="","",INDEX(成本计算!$H36:$EU36,($C$3-1)*12+10))</f>
        <v>0</v>
      </c>
      <c r="M34" s="187">
        <f>IF(B34="","",INDEX(成本计算!$H36:$EU36,($C$3-1)*12+11))</f>
        <v>0</v>
      </c>
      <c r="N34" s="222">
        <f>IF(OR(B34="",N(L34)&lt;=0),"",M34/L34)</f>
      </c>
      <c r="O34" s="220">
        <f>IF(B34="","",SUMIF(商品库存!$C$4:$C$603,B34,商品库存!$I$4:$I$603))</f>
        <v>0</v>
      </c>
      <c r="P34" s="221">
        <f>IF(B34="","",L34-O34)</f>
        <v>0</v>
      </c>
      <c r="Q34" s="223">
        <f>IF(B34="","",IF(L34&lt;0,"✗ 结存为负：进货没录全；","")&amp;IF(AND(N(H34)&gt;0,N(I34)=0),"⚠ 没有进价，成本按 0 算；","")&amp;IF(AND(L34&gt;=0,P34&lt;0),"⚠ 不够兑现客户存条",""))</f>
      </c>
    </row>
    <row r="35">
      <c r="A35" s="194">
        <f>IF(B35="","",ROW()-5)</f>
        <v>30</v>
      </c>
      <c r="B35" s="141" t="str">
        <f>成本计算!B37</f>
        <v>农夫12.9L水</v>
      </c>
      <c r="C35" s="141" t="str">
        <f>IF(B35="","",基础资料!F34&amp;"")</f>
        <v>农夫山泉公司</v>
      </c>
      <c r="D35" s="220">
        <f>IF(B35="","",成本计算!F37)</f>
        <v>0</v>
      </c>
      <c r="E35" s="186">
        <f>IF(B35="","",成本计算!G37)</f>
        <v>0</v>
      </c>
      <c r="F35" s="220">
        <f>IF(B35="","",SUMIFS(成本计算!$H37:$EU37,成本计算!$H$4:$EU$4,"&lt;="&amp;$C$3,成本计算!$H$6:$EU$6,"采购数量"))</f>
        <v>0</v>
      </c>
      <c r="G35" s="186">
        <f>IF(B35="","",SUMIFS(成本计算!$H37:$EU37,成本计算!$H$4:$EU$4,"&lt;="&amp;$C$3,成本计算!$H$6:$EU$6,"采购金额"))</f>
        <v>0</v>
      </c>
      <c r="H35" s="220">
        <f>IF(B35="","",SUMIFS(成本计算!$H37:$EU37,成本计算!$H$4:$EU$4,"&lt;="&amp;$C$3,成本计算!$H$6:$EU$6,"出库数量"))</f>
        <v>0</v>
      </c>
      <c r="I35" s="186">
        <f>IF(B35="","",SUMIFS(成本计算!$H37:$EU37,成本计算!$H$4:$EU$4,"&lt;="&amp;$C$3,成本计算!$H$6:$EU$6,"出库成本"))</f>
        <v>0</v>
      </c>
      <c r="J35" s="220">
        <f>IF(B35="","",SUMIFS(成本计算!$H37:$EU37,成本计算!$H$4:$EU$4,"&lt;="&amp;$C$3,成本计算!$H$6:$EU$6,"报损数量"))</f>
        <v>0</v>
      </c>
      <c r="K35" s="186">
        <f>IF(B35="","",SUMIFS(成本计算!$H37:$EU37,成本计算!$H$4:$EU$4,"&lt;="&amp;$C$3,成本计算!$H$6:$EU$6,"报损金额"))</f>
        <v>0</v>
      </c>
      <c r="L35" s="221">
        <f>IF(B35="","",INDEX(成本计算!$H37:$EU37,($C$3-1)*12+10))</f>
        <v>0</v>
      </c>
      <c r="M35" s="187">
        <f>IF(B35="","",INDEX(成本计算!$H37:$EU37,($C$3-1)*12+11))</f>
        <v>0</v>
      </c>
      <c r="N35" s="222">
        <f>IF(OR(B35="",N(L35)&lt;=0),"",M35/L35)</f>
      </c>
      <c r="O35" s="220">
        <f>IF(B35="","",SUMIF(商品库存!$C$4:$C$603,B35,商品库存!$I$4:$I$603))</f>
        <v>0</v>
      </c>
      <c r="P35" s="221">
        <f>IF(B35="","",L35-O35)</f>
        <v>0</v>
      </c>
      <c r="Q35" s="223">
        <f>IF(B35="","",IF(L35&lt;0,"✗ 结存为负：进货没录全；","")&amp;IF(AND(N(H35)&gt;0,N(I35)=0),"⚠ 没有进价，成本按 0 算；","")&amp;IF(AND(L35&gt;=0,P35&lt;0),"⚠ 不够兑现客户存条",""))</f>
      </c>
    </row>
    <row r="36">
      <c r="A36" s="194">
        <f>IF(B36="","",ROW()-5)</f>
        <v>31</v>
      </c>
      <c r="B36" s="141" t="str">
        <f>成本计算!B38</f>
        <v>农夫1.25L果园</v>
      </c>
      <c r="C36" s="141" t="str">
        <f>IF(B36="","",基础资料!F35&amp;"")</f>
        <v>农夫山泉公司</v>
      </c>
      <c r="D36" s="220">
        <f>IF(B36="","",成本计算!F38)</f>
        <v>0</v>
      </c>
      <c r="E36" s="186">
        <f>IF(B36="","",成本计算!G38)</f>
        <v>0</v>
      </c>
      <c r="F36" s="220">
        <f>IF(B36="","",SUMIFS(成本计算!$H38:$EU38,成本计算!$H$4:$EU$4,"&lt;="&amp;$C$3,成本计算!$H$6:$EU$6,"采购数量"))</f>
        <v>0</v>
      </c>
      <c r="G36" s="186">
        <f>IF(B36="","",SUMIFS(成本计算!$H38:$EU38,成本计算!$H$4:$EU$4,"&lt;="&amp;$C$3,成本计算!$H$6:$EU$6,"采购金额"))</f>
        <v>0</v>
      </c>
      <c r="H36" s="220">
        <f>IF(B36="","",SUMIFS(成本计算!$H38:$EU38,成本计算!$H$4:$EU$4,"&lt;="&amp;$C$3,成本计算!$H$6:$EU$6,"出库数量"))</f>
        <v>0</v>
      </c>
      <c r="I36" s="186">
        <f>IF(B36="","",SUMIFS(成本计算!$H38:$EU38,成本计算!$H$4:$EU$4,"&lt;="&amp;$C$3,成本计算!$H$6:$EU$6,"出库成本"))</f>
        <v>0</v>
      </c>
      <c r="J36" s="220">
        <f>IF(B36="","",SUMIFS(成本计算!$H38:$EU38,成本计算!$H$4:$EU$4,"&lt;="&amp;$C$3,成本计算!$H$6:$EU$6,"报损数量"))</f>
        <v>3.16666666666667</v>
      </c>
      <c r="K36" s="186">
        <f>IF(B36="","",SUMIFS(成本计算!$H38:$EU38,成本计算!$H$4:$EU$4,"&lt;="&amp;$C$3,成本计算!$H$6:$EU$6,"报损金额"))</f>
        <v>51.333336</v>
      </c>
      <c r="L36" s="221">
        <f>IF(B36="","",INDEX(成本计算!$H38:$EU38,($C$3-1)*12+10))</f>
        <v>-3.16666666666667</v>
      </c>
      <c r="M36" s="187">
        <f>IF(B36="","",INDEX(成本计算!$H38:$EU38,($C$3-1)*12+11))</f>
        <v>-51.333336</v>
      </c>
      <c r="N36" s="222">
        <f>IF(OR(B36="",N(L36)&lt;=0),"",M36/L36)</f>
      </c>
      <c r="O36" s="220">
        <f>IF(B36="","",SUMIF(商品库存!$C$4:$C$603,B36,商品库存!$I$4:$I$603))</f>
        <v>0</v>
      </c>
      <c r="P36" s="221">
        <f>IF(B36="","",L36-O36)</f>
        <v>-3.16666666666667</v>
      </c>
      <c r="Q36" s="223" t="str">
        <f>IF(B36="","",IF(L36&lt;0,"✗ 结存为负：进货没录全；","")&amp;IF(AND(N(H36)&gt;0,N(I36)=0),"⚠ 没有进价，成本按 0 算；","")&amp;IF(AND(L36&gt;=0,P36&lt;0),"⚠ 不够兑现客户存条",""))</f>
        <v>✗ 结存为负：进货没录全；</v>
      </c>
    </row>
    <row r="37">
      <c r="A37" s="194">
        <f>IF(B37="","",ROW()-5)</f>
        <v>32</v>
      </c>
      <c r="B37" s="141" t="str">
        <f>成本计算!B39</f>
        <v>农夫1.5L东方树叶</v>
      </c>
      <c r="C37" s="141" t="str">
        <f>IF(B37="","",基础资料!F36&amp;"")</f>
        <v>农夫山泉公司</v>
      </c>
      <c r="D37" s="220">
        <f>IF(B37="","",成本计算!F39)</f>
        <v>0</v>
      </c>
      <c r="E37" s="186">
        <f>IF(B37="","",成本计算!G39)</f>
        <v>0</v>
      </c>
      <c r="F37" s="220">
        <f>IF(B37="","",SUMIFS(成本计算!$H39:$EU39,成本计算!$H$4:$EU$4,"&lt;="&amp;$C$3,成本计算!$H$6:$EU$6,"采购数量"))</f>
        <v>0</v>
      </c>
      <c r="G37" s="186">
        <f>IF(B37="","",SUMIFS(成本计算!$H39:$EU39,成本计算!$H$4:$EU$4,"&lt;="&amp;$C$3,成本计算!$H$6:$EU$6,"采购金额"))</f>
        <v>0</v>
      </c>
      <c r="H37" s="220">
        <f>IF(B37="","",SUMIFS(成本计算!$H39:$EU39,成本计算!$H$4:$EU$4,"&lt;="&amp;$C$3,成本计算!$H$6:$EU$6,"出库数量"))</f>
        <v>0</v>
      </c>
      <c r="I37" s="186">
        <f>IF(B37="","",SUMIFS(成本计算!$H39:$EU39,成本计算!$H$4:$EU$4,"&lt;="&amp;$C$3,成本计算!$H$6:$EU$6,"出库成本"))</f>
        <v>0</v>
      </c>
      <c r="J37" s="220">
        <f>IF(B37="","",SUMIFS(成本计算!$H39:$EU39,成本计算!$H$4:$EU$4,"&lt;="&amp;$C$3,成本计算!$H$6:$EU$6,"报损数量"))</f>
        <v>4.83333333333333</v>
      </c>
      <c r="K37" s="186">
        <f>IF(B37="","",SUMIFS(成本计算!$H39:$EU39,成本计算!$H$4:$EU$4,"&lt;="&amp;$C$3,成本计算!$H$6:$EU$6,"报损金额"))</f>
        <v>196</v>
      </c>
      <c r="L37" s="221">
        <f>IF(B37="","",INDEX(成本计算!$H39:$EU39,($C$3-1)*12+10))</f>
        <v>-4.83333333333333</v>
      </c>
      <c r="M37" s="187">
        <f>IF(B37="","",INDEX(成本计算!$H39:$EU39,($C$3-1)*12+11))</f>
        <v>-196</v>
      </c>
      <c r="N37" s="222">
        <f>IF(OR(B37="",N(L37)&lt;=0),"",M37/L37)</f>
      </c>
      <c r="O37" s="220">
        <f>IF(B37="","",SUMIF(商品库存!$C$4:$C$603,B37,商品库存!$I$4:$I$603))</f>
        <v>0</v>
      </c>
      <c r="P37" s="221">
        <f>IF(B37="","",L37-O37)</f>
        <v>-4.83333333333333</v>
      </c>
      <c r="Q37" s="223" t="str">
        <f>IF(B37="","",IF(L37&lt;0,"✗ 结存为负：进货没录全；","")&amp;IF(AND(N(H37)&gt;0,N(I37)=0),"⚠ 没有进价，成本按 0 算；","")&amp;IF(AND(L37&gt;=0,P37&lt;0),"⚠ 不够兑现客户存条",""))</f>
        <v>✗ 结存为负：进货没录全；</v>
      </c>
    </row>
    <row r="38">
      <c r="A38" s="194">
        <f>IF(B38="","",ROW()-5)</f>
        <v>33</v>
      </c>
      <c r="B38" s="141" t="str">
        <f>成本计算!B40</f>
        <v>清爽</v>
      </c>
      <c r="C38" s="141" t="str">
        <f>IF(B38="","",基础资料!F37&amp;"")</f>
        <v>青岛公司</v>
      </c>
      <c r="D38" s="220">
        <f>IF(B38="","",成本计算!F40)</f>
        <v>0</v>
      </c>
      <c r="E38" s="186">
        <f>IF(B38="","",成本计算!G40)</f>
        <v>0</v>
      </c>
      <c r="F38" s="220">
        <f>IF(B38="","",SUMIFS(成本计算!$H40:$EU40,成本计算!$H$4:$EU$4,"&lt;="&amp;$C$3,成本计算!$H$6:$EU$6,"采购数量"))</f>
        <v>0</v>
      </c>
      <c r="G38" s="186">
        <f>IF(B38="","",SUMIFS(成本计算!$H40:$EU40,成本计算!$H$4:$EU$4,"&lt;="&amp;$C$3,成本计算!$H$6:$EU$6,"采购金额"))</f>
        <v>0</v>
      </c>
      <c r="H38" s="220">
        <f>IF(B38="","",SUMIFS(成本计算!$H40:$EU40,成本计算!$H$4:$EU$4,"&lt;="&amp;$C$3,成本计算!$H$6:$EU$6,"出库数量"))</f>
        <v>0</v>
      </c>
      <c r="I38" s="186">
        <f>IF(B38="","",SUMIFS(成本计算!$H40:$EU40,成本计算!$H$4:$EU$4,"&lt;="&amp;$C$3,成本计算!$H$6:$EU$6,"出库成本"))</f>
        <v>0</v>
      </c>
      <c r="J38" s="220">
        <f>IF(B38="","",SUMIFS(成本计算!$H40:$EU40,成本计算!$H$4:$EU$4,"&lt;="&amp;$C$3,成本计算!$H$6:$EU$6,"报损数量"))</f>
        <v>15.6666666666667</v>
      </c>
      <c r="K38" s="186">
        <f>IF(B38="","",SUMIFS(成本计算!$H40:$EU40,成本计算!$H$4:$EU$4,"&lt;="&amp;$C$3,成本计算!$H$6:$EU$6,"报损金额"))</f>
        <v>552.72</v>
      </c>
      <c r="L38" s="221">
        <f>IF(B38="","",INDEX(成本计算!$H40:$EU40,($C$3-1)*12+10))</f>
        <v>-15.6666666666667</v>
      </c>
      <c r="M38" s="187">
        <f>IF(B38="","",INDEX(成本计算!$H40:$EU40,($C$3-1)*12+11))</f>
        <v>-552.72</v>
      </c>
      <c r="N38" s="222">
        <f>IF(OR(B38="",N(L38)&lt;=0),"",M38/L38)</f>
      </c>
      <c r="O38" s="220">
        <f>IF(B38="","",SUMIF(商品库存!$C$4:$C$603,B38,商品库存!$I$4:$I$603))</f>
        <v>100</v>
      </c>
      <c r="P38" s="221">
        <f>IF(B38="","",L38-O38)</f>
        <v>-115.666666666667</v>
      </c>
      <c r="Q38" s="223" t="str">
        <f>IF(B38="","",IF(L38&lt;0,"✗ 结存为负：进货没录全；","")&amp;IF(AND(N(H38)&gt;0,N(I38)=0),"⚠ 没有进价，成本按 0 算；","")&amp;IF(AND(L38&gt;=0,P38&lt;0),"⚠ 不够兑现客户存条",""))</f>
        <v>✗ 结存为负：进货没录全；</v>
      </c>
    </row>
    <row r="39">
      <c r="A39" s="194">
        <f>IF(B39="","",ROW()-5)</f>
        <v>34</v>
      </c>
      <c r="B39" s="141" t="str">
        <f>成本计算!B41</f>
        <v>青岛清爽8奖盖过期</v>
      </c>
      <c r="C39" s="141" t="str">
        <f>IF(B39="","",基础资料!F38&amp;"")</f>
        <v>青岛公司</v>
      </c>
      <c r="D39" s="220">
        <f>IF(B39="","",成本计算!F41)</f>
        <v>0</v>
      </c>
      <c r="E39" s="186">
        <f>IF(B39="","",成本计算!G41)</f>
        <v>0</v>
      </c>
      <c r="F39" s="220">
        <f>IF(B39="","",SUMIFS(成本计算!$H41:$EU41,成本计算!$H$4:$EU$4,"&lt;="&amp;$C$3,成本计算!$H$6:$EU$6,"采购数量"))</f>
        <v>0</v>
      </c>
      <c r="G39" s="186">
        <f>IF(B39="","",SUMIFS(成本计算!$H41:$EU41,成本计算!$H$4:$EU$4,"&lt;="&amp;$C$3,成本计算!$H$6:$EU$6,"采购金额"))</f>
        <v>0</v>
      </c>
      <c r="H39" s="220">
        <f>IF(B39="","",SUMIFS(成本计算!$H41:$EU41,成本计算!$H$4:$EU$4,"&lt;="&amp;$C$3,成本计算!$H$6:$EU$6,"出库数量"))</f>
        <v>0</v>
      </c>
      <c r="I39" s="186">
        <f>IF(B39="","",SUMIFS(成本计算!$H41:$EU41,成本计算!$H$4:$EU$4,"&lt;="&amp;$C$3,成本计算!$H$6:$EU$6,"出库成本"))</f>
        <v>0</v>
      </c>
      <c r="J39" s="220">
        <f>IF(B39="","",SUMIFS(成本计算!$H41:$EU41,成本计算!$H$4:$EU$4,"&lt;="&amp;$C$3,成本计算!$H$6:$EU$6,"报损数量"))</f>
        <v>4.66666666666667</v>
      </c>
      <c r="K39" s="186">
        <f>IF(B39="","",SUMIFS(成本计算!$H41:$EU41,成本计算!$H$4:$EU$4,"&lt;="&amp;$C$3,成本计算!$H$6:$EU$6,"报损金额"))</f>
        <v>164.64</v>
      </c>
      <c r="L39" s="221">
        <f>IF(B39="","",INDEX(成本计算!$H41:$EU41,($C$3-1)*12+10))</f>
        <v>-4.66666666666667</v>
      </c>
      <c r="M39" s="187">
        <f>IF(B39="","",INDEX(成本计算!$H41:$EU41,($C$3-1)*12+11))</f>
        <v>-164.64</v>
      </c>
      <c r="N39" s="222">
        <f>IF(OR(B39="",N(L39)&lt;=0),"",M39/L39)</f>
      </c>
      <c r="O39" s="220">
        <f>IF(B39="","",SUMIF(商品库存!$C$4:$C$603,B39,商品库存!$I$4:$I$603))</f>
        <v>0</v>
      </c>
      <c r="P39" s="221">
        <f>IF(B39="","",L39-O39)</f>
        <v>-4.66666666666667</v>
      </c>
      <c r="Q39" s="223" t="str">
        <f>IF(B39="","",IF(L39&lt;0,"✗ 结存为负：进货没录全；","")&amp;IF(AND(N(H39)&gt;0,N(I39)=0),"⚠ 没有进价，成本按 0 算；","")&amp;IF(AND(L39&gt;=0,P39&lt;0),"⚠ 不够兑现客户存条",""))</f>
        <v>✗ 结存为负：进货没录全；</v>
      </c>
    </row>
    <row r="40">
      <c r="A40" s="194">
        <f>IF(B40="","",ROW()-5)</f>
        <v>35</v>
      </c>
      <c r="B40" s="141" t="str">
        <f>成本计算!B42</f>
        <v>青岛经典</v>
      </c>
      <c r="C40" s="141" t="str">
        <f>IF(B40="","",基础资料!F39&amp;"")</f>
        <v>青岛公司</v>
      </c>
      <c r="D40" s="220">
        <f>IF(B40="","",成本计算!F42)</f>
        <v>0</v>
      </c>
      <c r="E40" s="186">
        <f>IF(B40="","",成本计算!G42)</f>
        <v>0</v>
      </c>
      <c r="F40" s="220">
        <f>IF(B40="","",SUMIFS(成本计算!$H42:$EU42,成本计算!$H$4:$EU$4,"&lt;="&amp;$C$3,成本计算!$H$6:$EU$6,"采购数量"))</f>
        <v>0</v>
      </c>
      <c r="G40" s="186">
        <f>IF(B40="","",SUMIFS(成本计算!$H42:$EU42,成本计算!$H$4:$EU$4,"&lt;="&amp;$C$3,成本计算!$H$6:$EU$6,"采购金额"))</f>
        <v>0</v>
      </c>
      <c r="H40" s="220">
        <f>IF(B40="","",SUMIFS(成本计算!$H42:$EU42,成本计算!$H$4:$EU$4,"&lt;="&amp;$C$3,成本计算!$H$6:$EU$6,"出库数量"))</f>
        <v>0</v>
      </c>
      <c r="I40" s="186">
        <f>IF(B40="","",SUMIFS(成本计算!$H42:$EU42,成本计算!$H$4:$EU$4,"&lt;="&amp;$C$3,成本计算!$H$6:$EU$6,"出库成本"))</f>
        <v>0</v>
      </c>
      <c r="J40" s="220">
        <f>IF(B40="","",SUMIFS(成本计算!$H42:$EU42,成本计算!$H$4:$EU$4,"&lt;="&amp;$C$3,成本计算!$H$6:$EU$6,"报损数量"))</f>
        <v>3.33333333333333</v>
      </c>
      <c r="K40" s="186">
        <f>IF(B40="","",SUMIFS(成本计算!$H42:$EU42,成本计算!$H$4:$EU$4,"&lt;="&amp;$C$3,成本计算!$H$6:$EU$6,"报损金额"))</f>
        <v>166.8</v>
      </c>
      <c r="L40" s="221">
        <f>IF(B40="","",INDEX(成本计算!$H42:$EU42,($C$3-1)*12+10))</f>
        <v>-3.33333333333333</v>
      </c>
      <c r="M40" s="187">
        <f>IF(B40="","",INDEX(成本计算!$H42:$EU42,($C$3-1)*12+11))</f>
        <v>-166.8</v>
      </c>
      <c r="N40" s="222">
        <f>IF(OR(B40="",N(L40)&lt;=0),"",M40/L40)</f>
      </c>
      <c r="O40" s="220">
        <f>IF(B40="","",SUMIF(商品库存!$C$4:$C$603,B40,商品库存!$I$4:$I$603))</f>
        <v>0</v>
      </c>
      <c r="P40" s="221">
        <f>IF(B40="","",L40-O40)</f>
        <v>-3.33333333333333</v>
      </c>
      <c r="Q40" s="223" t="str">
        <f>IF(B40="","",IF(L40&lt;0,"✗ 结存为负：进货没录全；","")&amp;IF(AND(N(H40)&gt;0,N(I40)=0),"⚠ 没有进价，成本按 0 算；","")&amp;IF(AND(L40&gt;=0,P40&lt;0),"⚠ 不够兑现客户存条",""))</f>
        <v>✗ 结存为负：进货没录全；</v>
      </c>
    </row>
    <row r="41">
      <c r="A41" s="194">
        <f>IF(B41="","",ROW()-5)</f>
        <v>36</v>
      </c>
      <c r="B41" s="141" t="str">
        <f>成本计算!B43</f>
        <v>青岛崂山</v>
      </c>
      <c r="C41" s="141" t="str">
        <f>IF(B41="","",基础资料!F40&amp;"")</f>
        <v>青岛公司</v>
      </c>
      <c r="D41" s="220">
        <f>IF(B41="","",成本计算!F43)</f>
        <v>0</v>
      </c>
      <c r="E41" s="186">
        <f>IF(B41="","",成本计算!G43)</f>
        <v>0</v>
      </c>
      <c r="F41" s="220">
        <f>IF(B41="","",SUMIFS(成本计算!$H43:$EU43,成本计算!$H$4:$EU$4,"&lt;="&amp;$C$3,成本计算!$H$6:$EU$6,"采购数量"))</f>
        <v>0</v>
      </c>
      <c r="G41" s="186">
        <f>IF(B41="","",SUMIFS(成本计算!$H43:$EU43,成本计算!$H$4:$EU$4,"&lt;="&amp;$C$3,成本计算!$H$6:$EU$6,"采购金额"))</f>
        <v>0</v>
      </c>
      <c r="H41" s="220">
        <f>IF(B41="","",SUMIFS(成本计算!$H43:$EU43,成本计算!$H$4:$EU$4,"&lt;="&amp;$C$3,成本计算!$H$6:$EU$6,"出库数量"))</f>
        <v>0</v>
      </c>
      <c r="I41" s="186">
        <f>IF(B41="","",SUMIFS(成本计算!$H43:$EU43,成本计算!$H$4:$EU$4,"&lt;="&amp;$C$3,成本计算!$H$6:$EU$6,"出库成本"))</f>
        <v>0</v>
      </c>
      <c r="J41" s="220">
        <f>IF(B41="","",SUMIFS(成本计算!$H43:$EU43,成本计算!$H$4:$EU$4,"&lt;="&amp;$C$3,成本计算!$H$6:$EU$6,"报损数量"))</f>
        <v>2.5</v>
      </c>
      <c r="K41" s="186">
        <f>IF(B41="","",SUMIFS(成本计算!$H43:$EU43,成本计算!$H$4:$EU$4,"&lt;="&amp;$C$3,成本计算!$H$6:$EU$6,"报损金额"))</f>
        <v>60</v>
      </c>
      <c r="L41" s="221">
        <f>IF(B41="","",INDEX(成本计算!$H43:$EU43,($C$3-1)*12+10))</f>
        <v>-2.5</v>
      </c>
      <c r="M41" s="187">
        <f>IF(B41="","",INDEX(成本计算!$H43:$EU43,($C$3-1)*12+11))</f>
        <v>-60</v>
      </c>
      <c r="N41" s="222">
        <f>IF(OR(B41="",N(L41)&lt;=0),"",M41/L41)</f>
      </c>
      <c r="O41" s="220">
        <f>IF(B41="","",SUMIF(商品库存!$C$4:$C$603,B41,商品库存!$I$4:$I$603))</f>
        <v>0</v>
      </c>
      <c r="P41" s="221">
        <f>IF(B41="","",L41-O41)</f>
        <v>-2.5</v>
      </c>
      <c r="Q41" s="223" t="str">
        <f>IF(B41="","",IF(L41&lt;0,"✗ 结存为负：进货没录全；","")&amp;IF(AND(N(H41)&gt;0,N(I41)=0),"⚠ 没有进价，成本按 0 算；","")&amp;IF(AND(L41&gt;=0,P41&lt;0),"⚠ 不够兑现客户存条",""))</f>
        <v>✗ 结存为负：进货没录全；</v>
      </c>
    </row>
    <row r="42">
      <c r="A42" s="194">
        <f>IF(B42="","",ROW()-5)</f>
        <v>37</v>
      </c>
      <c r="B42" s="141" t="str">
        <f>成本计算!B44</f>
        <v>青岛白啤</v>
      </c>
      <c r="C42" s="141" t="str">
        <f>IF(B42="","",基础资料!F41&amp;"")</f>
        <v>青岛公司</v>
      </c>
      <c r="D42" s="220">
        <f>IF(B42="","",成本计算!F44)</f>
        <v>0</v>
      </c>
      <c r="E42" s="186">
        <f>IF(B42="","",成本计算!G44)</f>
        <v>0</v>
      </c>
      <c r="F42" s="220">
        <f>IF(B42="","",SUMIFS(成本计算!$H44:$EU44,成本计算!$H$4:$EU$4,"&lt;="&amp;$C$3,成本计算!$H$6:$EU$6,"采购数量"))</f>
        <v>0</v>
      </c>
      <c r="G42" s="186">
        <f>IF(B42="","",SUMIFS(成本计算!$H44:$EU44,成本计算!$H$4:$EU$4,"&lt;="&amp;$C$3,成本计算!$H$6:$EU$6,"采购金额"))</f>
        <v>0</v>
      </c>
      <c r="H42" s="220">
        <f>IF(B42="","",SUMIFS(成本计算!$H44:$EU44,成本计算!$H$4:$EU$4,"&lt;="&amp;$C$3,成本计算!$H$6:$EU$6,"出库数量"))</f>
        <v>0</v>
      </c>
      <c r="I42" s="186">
        <f>IF(B42="","",SUMIFS(成本计算!$H44:$EU44,成本计算!$H$4:$EU$4,"&lt;="&amp;$C$3,成本计算!$H$6:$EU$6,"出库成本"))</f>
        <v>0</v>
      </c>
      <c r="J42" s="220">
        <f>IF(B42="","",SUMIFS(成本计算!$H44:$EU44,成本计算!$H$4:$EU$4,"&lt;="&amp;$C$3,成本计算!$H$6:$EU$6,"报损数量"))</f>
        <v>1.16666666666667</v>
      </c>
      <c r="K42" s="186">
        <f>IF(B42="","",SUMIFS(成本计算!$H44:$EU44,成本计算!$H$4:$EU$4,"&lt;="&amp;$C$3,成本计算!$H$6:$EU$6,"报损金额"))</f>
        <v>72.38</v>
      </c>
      <c r="L42" s="221">
        <f>IF(B42="","",INDEX(成本计算!$H44:$EU44,($C$3-1)*12+10))</f>
        <v>-1.16666666666667</v>
      </c>
      <c r="M42" s="187">
        <f>IF(B42="","",INDEX(成本计算!$H44:$EU44,($C$3-1)*12+11))</f>
        <v>-72.38</v>
      </c>
      <c r="N42" s="222">
        <f>IF(OR(B42="",N(L42)&lt;=0),"",M42/L42)</f>
      </c>
      <c r="O42" s="220">
        <f>IF(B42="","",SUMIF(商品库存!$C$4:$C$603,B42,商品库存!$I$4:$I$603))</f>
        <v>0</v>
      </c>
      <c r="P42" s="221">
        <f>IF(B42="","",L42-O42)</f>
        <v>-1.16666666666667</v>
      </c>
      <c r="Q42" s="223" t="str">
        <f>IF(B42="","",IF(L42&lt;0,"✗ 结存为负：进货没录全；","")&amp;IF(AND(N(H42)&gt;0,N(I42)=0),"⚠ 没有进价，成本按 0 算；","")&amp;IF(AND(L42&gt;=0,P42&lt;0),"⚠ 不够兑现客户存条",""))</f>
        <v>✗ 结存为负：进货没录全；</v>
      </c>
    </row>
    <row r="43">
      <c r="A43" s="194">
        <f>IF(B43="","",ROW()-5)</f>
        <v>38</v>
      </c>
      <c r="B43" s="141" t="str">
        <f>成本计算!B45</f>
        <v>艾精隆155克瓜子</v>
      </c>
      <c r="C43" s="141" t="str">
        <f>IF(B43="","",基础资料!F42&amp;"")</f>
        <v>其他公司</v>
      </c>
      <c r="D43" s="220">
        <f>IF(B43="","",成本计算!F45)</f>
        <v>0</v>
      </c>
      <c r="E43" s="186">
        <f>IF(B43="","",成本计算!G45)</f>
        <v>0</v>
      </c>
      <c r="F43" s="220">
        <f>IF(B43="","",SUMIFS(成本计算!$H45:$EU45,成本计算!$H$4:$EU$4,"&lt;="&amp;$C$3,成本计算!$H$6:$EU$6,"采购数量"))</f>
        <v>0</v>
      </c>
      <c r="G43" s="186">
        <f>IF(B43="","",SUMIFS(成本计算!$H45:$EU45,成本计算!$H$4:$EU$4,"&lt;="&amp;$C$3,成本计算!$H$6:$EU$6,"采购金额"))</f>
        <v>0</v>
      </c>
      <c r="H43" s="220">
        <f>IF(B43="","",SUMIFS(成本计算!$H45:$EU45,成本计算!$H$4:$EU$4,"&lt;="&amp;$C$3,成本计算!$H$6:$EU$6,"出库数量"))</f>
        <v>0</v>
      </c>
      <c r="I43" s="186">
        <f>IF(B43="","",SUMIFS(成本计算!$H45:$EU45,成本计算!$H$4:$EU$4,"&lt;="&amp;$C$3,成本计算!$H$6:$EU$6,"出库成本"))</f>
        <v>0</v>
      </c>
      <c r="J43" s="220">
        <f>IF(B43="","",SUMIFS(成本计算!$H45:$EU45,成本计算!$H$4:$EU$4,"&lt;="&amp;$C$3,成本计算!$H$6:$EU$6,"报损数量"))</f>
        <v>1.46666666666667</v>
      </c>
      <c r="K43" s="186">
        <f>IF(B43="","",SUMIFS(成本计算!$H45:$EU45,成本计算!$H$4:$EU$4,"&lt;="&amp;$C$3,成本计算!$H$6:$EU$6,"报损金额"))</f>
        <v>140.8</v>
      </c>
      <c r="L43" s="221">
        <f>IF(B43="","",INDEX(成本计算!$H45:$EU45,($C$3-1)*12+10))</f>
        <v>-1.46666666666667</v>
      </c>
      <c r="M43" s="187">
        <f>IF(B43="","",INDEX(成本计算!$H45:$EU45,($C$3-1)*12+11))</f>
        <v>-140.8</v>
      </c>
      <c r="N43" s="222">
        <f>IF(OR(B43="",N(L43)&lt;=0),"",M43/L43)</f>
      </c>
      <c r="O43" s="220">
        <f>IF(B43="","",SUMIF(商品库存!$C$4:$C$603,B43,商品库存!$I$4:$I$603))</f>
        <v>0</v>
      </c>
      <c r="P43" s="221">
        <f>IF(B43="","",L43-O43)</f>
        <v>-1.46666666666667</v>
      </c>
      <c r="Q43" s="223" t="str">
        <f>IF(B43="","",IF(L43&lt;0,"✗ 结存为负：进货没录全；","")&amp;IF(AND(N(H43)&gt;0,N(I43)=0),"⚠ 没有进价，成本按 0 算；","")&amp;IF(AND(L43&gt;=0,P43&lt;0),"⚠ 不够兑现客户存条",""))</f>
        <v>✗ 结存为负：进货没录全；</v>
      </c>
    </row>
    <row r="44">
      <c r="A44" s="194">
        <f>IF(B44="","",ROW()-5)</f>
        <v>39</v>
      </c>
      <c r="B44" s="141" t="str">
        <f>成本计算!B46</f>
        <v>艾精隆60克香瓜子</v>
      </c>
      <c r="C44" s="141" t="str">
        <f>IF(B44="","",基础资料!F43&amp;"")</f>
        <v>其他公司</v>
      </c>
      <c r="D44" s="220">
        <f>IF(B44="","",成本计算!F46)</f>
        <v>0</v>
      </c>
      <c r="E44" s="186">
        <f>IF(B44="","",成本计算!G46)</f>
        <v>0</v>
      </c>
      <c r="F44" s="220">
        <f>IF(B44="","",SUMIFS(成本计算!$H46:$EU46,成本计算!$H$4:$EU$4,"&lt;="&amp;$C$3,成本计算!$H$6:$EU$6,"采购数量"))</f>
        <v>0</v>
      </c>
      <c r="G44" s="186">
        <f>IF(B44="","",SUMIFS(成本计算!$H46:$EU46,成本计算!$H$4:$EU$4,"&lt;="&amp;$C$3,成本计算!$H$6:$EU$6,"采购金额"))</f>
        <v>0</v>
      </c>
      <c r="H44" s="220">
        <f>IF(B44="","",SUMIFS(成本计算!$H46:$EU46,成本计算!$H$4:$EU$4,"&lt;="&amp;$C$3,成本计算!$H$6:$EU$6,"出库数量"))</f>
        <v>0</v>
      </c>
      <c r="I44" s="186">
        <f>IF(B44="","",SUMIFS(成本计算!$H46:$EU46,成本计算!$H$4:$EU$4,"&lt;="&amp;$C$3,成本计算!$H$6:$EU$6,"出库成本"))</f>
        <v>0</v>
      </c>
      <c r="J44" s="220">
        <f>IF(B44="","",SUMIFS(成本计算!$H46:$EU46,成本计算!$H$4:$EU$4,"&lt;="&amp;$C$3,成本计算!$H$6:$EU$6,"报损数量"))</f>
        <v>0.95</v>
      </c>
      <c r="K44" s="186">
        <f>IF(B44="","",SUMIFS(成本计算!$H46:$EU46,成本计算!$H$4:$EU$4,"&lt;="&amp;$C$3,成本计算!$H$6:$EU$6,"报损金额"))</f>
        <v>45.6</v>
      </c>
      <c r="L44" s="221">
        <f>IF(B44="","",INDEX(成本计算!$H46:$EU46,($C$3-1)*12+10))</f>
        <v>-0.95</v>
      </c>
      <c r="M44" s="187">
        <f>IF(B44="","",INDEX(成本计算!$H46:$EU46,($C$3-1)*12+11))</f>
        <v>-45.6</v>
      </c>
      <c r="N44" s="222">
        <f>IF(OR(B44="",N(L44)&lt;=0),"",M44/L44)</f>
      </c>
      <c r="O44" s="220">
        <f>IF(B44="","",SUMIF(商品库存!$C$4:$C$603,B44,商品库存!$I$4:$I$603))</f>
        <v>0</v>
      </c>
      <c r="P44" s="221">
        <f>IF(B44="","",L44-O44)</f>
        <v>-0.95</v>
      </c>
      <c r="Q44" s="223" t="str">
        <f>IF(B44="","",IF(L44&lt;0,"✗ 结存为负：进货没录全；","")&amp;IF(AND(N(H44)&gt;0,N(I44)=0),"⚠ 没有进价，成本按 0 算；","")&amp;IF(AND(L44&gt;=0,P44&lt;0),"⚠ 不够兑现客户存条",""))</f>
        <v>✗ 结存为负：进货没录全；</v>
      </c>
    </row>
    <row r="45">
      <c r="A45" s="194">
        <f>IF(B45="","",ROW()-5)</f>
        <v>40</v>
      </c>
      <c r="B45" s="141" t="str">
        <f>成本计算!B47</f>
        <v>艾精隆60克原味瓜子</v>
      </c>
      <c r="C45" s="141" t="str">
        <f>IF(B45="","",基础资料!F44&amp;"")</f>
        <v>其他公司</v>
      </c>
      <c r="D45" s="220">
        <f>IF(B45="","",成本计算!F47)</f>
        <v>0</v>
      </c>
      <c r="E45" s="186">
        <f>IF(B45="","",成本计算!G47)</f>
        <v>0</v>
      </c>
      <c r="F45" s="220">
        <f>IF(B45="","",SUMIFS(成本计算!$H47:$EU47,成本计算!$H$4:$EU$4,"&lt;="&amp;$C$3,成本计算!$H$6:$EU$6,"采购数量"))</f>
        <v>0</v>
      </c>
      <c r="G45" s="186">
        <f>IF(B45="","",SUMIFS(成本计算!$H47:$EU47,成本计算!$H$4:$EU$4,"&lt;="&amp;$C$3,成本计算!$H$6:$EU$6,"采购金额"))</f>
        <v>0</v>
      </c>
      <c r="H45" s="220">
        <f>IF(B45="","",SUMIFS(成本计算!$H47:$EU47,成本计算!$H$4:$EU$4,"&lt;="&amp;$C$3,成本计算!$H$6:$EU$6,"出库数量"))</f>
        <v>0</v>
      </c>
      <c r="I45" s="186">
        <f>IF(B45="","",SUMIFS(成本计算!$H47:$EU47,成本计算!$H$4:$EU$4,"&lt;="&amp;$C$3,成本计算!$H$6:$EU$6,"出库成本"))</f>
        <v>0</v>
      </c>
      <c r="J45" s="220">
        <f>IF(B45="","",SUMIFS(成本计算!$H47:$EU47,成本计算!$H$4:$EU$4,"&lt;="&amp;$C$3,成本计算!$H$6:$EU$6,"报损数量"))</f>
        <v>3.71428571428571</v>
      </c>
      <c r="K45" s="186">
        <f>IF(B45="","",SUMIFS(成本计算!$H47:$EU47,成本计算!$H$4:$EU$4,"&lt;="&amp;$C$3,成本计算!$H$6:$EU$6,"报损金额"))</f>
        <v>163.423</v>
      </c>
      <c r="L45" s="221">
        <f>IF(B45="","",INDEX(成本计算!$H47:$EU47,($C$3-1)*12+10))</f>
        <v>-3.71428571428571</v>
      </c>
      <c r="M45" s="187">
        <f>IF(B45="","",INDEX(成本计算!$H47:$EU47,($C$3-1)*12+11))</f>
        <v>-163.423</v>
      </c>
      <c r="N45" s="222">
        <f>IF(OR(B45="",N(L45)&lt;=0),"",M45/L45)</f>
      </c>
      <c r="O45" s="220">
        <f>IF(B45="","",SUMIF(商品库存!$C$4:$C$603,B45,商品库存!$I$4:$I$603))</f>
        <v>0</v>
      </c>
      <c r="P45" s="221">
        <f>IF(B45="","",L45-O45)</f>
        <v>-3.71428571428571</v>
      </c>
      <c r="Q45" s="223" t="str">
        <f>IF(B45="","",IF(L45&lt;0,"✗ 结存为负：进货没录全；","")&amp;IF(AND(N(H45)&gt;0,N(I45)=0),"⚠ 没有进价，成本按 0 算；","")&amp;IF(AND(L45&gt;=0,P45&lt;0),"⚠ 不够兑现客户存条",""))</f>
        <v>✗ 结存为负：进货没录全；</v>
      </c>
    </row>
    <row r="46">
      <c r="A46" s="194">
        <f>IF(B46="","",ROW()-5)</f>
        <v>41</v>
      </c>
      <c r="B46" s="141" t="str">
        <f>成本计算!B48</f>
        <v>艾精隆208克花生</v>
      </c>
      <c r="C46" s="141" t="str">
        <f>IF(B46="","",基础资料!F45&amp;"")</f>
        <v>其他公司</v>
      </c>
      <c r="D46" s="220">
        <f>IF(B46="","",成本计算!F48)</f>
        <v>0</v>
      </c>
      <c r="E46" s="186">
        <f>IF(B46="","",成本计算!G48)</f>
        <v>0</v>
      </c>
      <c r="F46" s="220">
        <f>IF(B46="","",SUMIFS(成本计算!$H48:$EU48,成本计算!$H$4:$EU$4,"&lt;="&amp;$C$3,成本计算!$H$6:$EU$6,"采购数量"))</f>
        <v>0</v>
      </c>
      <c r="G46" s="186">
        <f>IF(B46="","",SUMIFS(成本计算!$H48:$EU48,成本计算!$H$4:$EU$4,"&lt;="&amp;$C$3,成本计算!$H$6:$EU$6,"采购金额"))</f>
        <v>0</v>
      </c>
      <c r="H46" s="220">
        <f>IF(B46="","",SUMIFS(成本计算!$H48:$EU48,成本计算!$H$4:$EU$4,"&lt;="&amp;$C$3,成本计算!$H$6:$EU$6,"出库数量"))</f>
        <v>0</v>
      </c>
      <c r="I46" s="186">
        <f>IF(B46="","",SUMIFS(成本计算!$H48:$EU48,成本计算!$H$4:$EU$4,"&lt;="&amp;$C$3,成本计算!$H$6:$EU$6,"出库成本"))</f>
        <v>0</v>
      </c>
      <c r="J46" s="220">
        <f>IF(B46="","",SUMIFS(成本计算!$H48:$EU48,成本计算!$H$4:$EU$4,"&lt;="&amp;$C$3,成本计算!$H$6:$EU$6,"报损数量"))</f>
        <v>1.53333333333333</v>
      </c>
      <c r="K46" s="186">
        <f>IF(B46="","",SUMIFS(成本计算!$H48:$EU48,成本计算!$H$4:$EU$4,"&lt;="&amp;$C$3,成本计算!$H$6:$EU$6,"报损金额"))</f>
        <v>147.2</v>
      </c>
      <c r="L46" s="221">
        <f>IF(B46="","",INDEX(成本计算!$H48:$EU48,($C$3-1)*12+10))</f>
        <v>-1.53333333333333</v>
      </c>
      <c r="M46" s="187">
        <f>IF(B46="","",INDEX(成本计算!$H48:$EU48,($C$3-1)*12+11))</f>
        <v>-147.2</v>
      </c>
      <c r="N46" s="222">
        <f>IF(OR(B46="",N(L46)&lt;=0),"",M46/L46)</f>
      </c>
      <c r="O46" s="220">
        <f>IF(B46="","",SUMIF(商品库存!$C$4:$C$603,B46,商品库存!$I$4:$I$603))</f>
        <v>0</v>
      </c>
      <c r="P46" s="221">
        <f>IF(B46="","",L46-O46)</f>
        <v>-1.53333333333333</v>
      </c>
      <c r="Q46" s="223" t="str">
        <f>IF(B46="","",IF(L46&lt;0,"✗ 结存为负：进货没录全；","")&amp;IF(AND(N(H46)&gt;0,N(I46)=0),"⚠ 没有进价，成本按 0 算；","")&amp;IF(AND(L46&gt;=0,P46&lt;0),"⚠ 不够兑现客户存条",""))</f>
        <v>✗ 结存为负：进货没录全；</v>
      </c>
    </row>
    <row r="47">
      <c r="A47" s="194">
        <f>IF(B47="","",ROW()-5)</f>
        <v>42</v>
      </c>
      <c r="B47" s="141" t="str">
        <f>成本计算!B49</f>
        <v>艾精隆500克多味</v>
      </c>
      <c r="C47" s="141" t="str">
        <f>IF(B47="","",基础资料!F46&amp;"")</f>
        <v>其他公司</v>
      </c>
      <c r="D47" s="220">
        <f>IF(B47="","",成本计算!F49)</f>
        <v>0</v>
      </c>
      <c r="E47" s="186">
        <f>IF(B47="","",成本计算!G49)</f>
        <v>0</v>
      </c>
      <c r="F47" s="220">
        <f>IF(B47="","",SUMIFS(成本计算!$H49:$EU49,成本计算!$H$4:$EU$4,"&lt;="&amp;$C$3,成本计算!$H$6:$EU$6,"采购数量"))</f>
        <v>0</v>
      </c>
      <c r="G47" s="186">
        <f>IF(B47="","",SUMIFS(成本计算!$H49:$EU49,成本计算!$H$4:$EU$4,"&lt;="&amp;$C$3,成本计算!$H$6:$EU$6,"采购金额"))</f>
        <v>0</v>
      </c>
      <c r="H47" s="220">
        <f>IF(B47="","",SUMIFS(成本计算!$H49:$EU49,成本计算!$H$4:$EU$4,"&lt;="&amp;$C$3,成本计算!$H$6:$EU$6,"出库数量"))</f>
        <v>0</v>
      </c>
      <c r="I47" s="186">
        <f>IF(B47="","",SUMIFS(成本计算!$H49:$EU49,成本计算!$H$4:$EU$4,"&lt;="&amp;$C$3,成本计算!$H$6:$EU$6,"出库成本"))</f>
        <v>0</v>
      </c>
      <c r="J47" s="220">
        <f>IF(B47="","",SUMIFS(成本计算!$H49:$EU49,成本计算!$H$4:$EU$4,"&lt;="&amp;$C$3,成本计算!$H$6:$EU$6,"报损数量"))</f>
        <v>0.2</v>
      </c>
      <c r="K47" s="186">
        <f>IF(B47="","",SUMIFS(成本计算!$H49:$EU49,成本计算!$H$4:$EU$4,"&lt;="&amp;$C$3,成本计算!$H$6:$EU$6,"报损金额"))</f>
        <v>44</v>
      </c>
      <c r="L47" s="221">
        <f>IF(B47="","",INDEX(成本计算!$H49:$EU49,($C$3-1)*12+10))</f>
        <v>-0.2</v>
      </c>
      <c r="M47" s="187">
        <f>IF(B47="","",INDEX(成本计算!$H49:$EU49,($C$3-1)*12+11))</f>
        <v>-44</v>
      </c>
      <c r="N47" s="222">
        <f>IF(OR(B47="",N(L47)&lt;=0),"",M47/L47)</f>
      </c>
      <c r="O47" s="220">
        <f>IF(B47="","",SUMIF(商品库存!$C$4:$C$603,B47,商品库存!$I$4:$I$603))</f>
        <v>0</v>
      </c>
      <c r="P47" s="221">
        <f>IF(B47="","",L47-O47)</f>
        <v>-0.2</v>
      </c>
      <c r="Q47" s="223" t="str">
        <f>IF(B47="","",IF(L47&lt;0,"✗ 结存为负：进货没录全；","")&amp;IF(AND(N(H47)&gt;0,N(I47)=0),"⚠ 没有进价，成本按 0 算；","")&amp;IF(AND(L47&gt;=0,P47&lt;0),"⚠ 不够兑现客户存条",""))</f>
        <v>✗ 结存为负：进货没录全；</v>
      </c>
    </row>
    <row r="48">
      <c r="A48" s="194">
        <f>IF(B48="","",ROW()-5)</f>
        <v>43</v>
      </c>
      <c r="B48" s="141" t="str">
        <f>成本计算!B50</f>
        <v>艾精隆110克瓜子</v>
      </c>
      <c r="C48" s="141" t="str">
        <f>IF(B48="","",基础资料!F47&amp;"")</f>
        <v>其他公司</v>
      </c>
      <c r="D48" s="220">
        <f>IF(B48="","",成本计算!F50)</f>
        <v>0</v>
      </c>
      <c r="E48" s="186">
        <f>IF(B48="","",成本计算!G50)</f>
        <v>0</v>
      </c>
      <c r="F48" s="220">
        <f>IF(B48="","",SUMIFS(成本计算!$H50:$EU50,成本计算!$H$4:$EU$4,"&lt;="&amp;$C$3,成本计算!$H$6:$EU$6,"采购数量"))</f>
        <v>0</v>
      </c>
      <c r="G48" s="186">
        <f>IF(B48="","",SUMIFS(成本计算!$H50:$EU50,成本计算!$H$4:$EU$4,"&lt;="&amp;$C$3,成本计算!$H$6:$EU$6,"采购金额"))</f>
        <v>0</v>
      </c>
      <c r="H48" s="220">
        <f>IF(B48="","",SUMIFS(成本计算!$H50:$EU50,成本计算!$H$4:$EU$4,"&lt;="&amp;$C$3,成本计算!$H$6:$EU$6,"出库数量"))</f>
        <v>0</v>
      </c>
      <c r="I48" s="186">
        <f>IF(B48="","",SUMIFS(成本计算!$H50:$EU50,成本计算!$H$4:$EU$4,"&lt;="&amp;$C$3,成本计算!$H$6:$EU$6,"出库成本"))</f>
        <v>0</v>
      </c>
      <c r="J48" s="220">
        <f>IF(B48="","",SUMIFS(成本计算!$H50:$EU50,成本计算!$H$4:$EU$4,"&lt;="&amp;$C$3,成本计算!$H$6:$EU$6,"报损数量"))</f>
        <v>3.1</v>
      </c>
      <c r="K48" s="186">
        <f>IF(B48="","",SUMIFS(成本计算!$H50:$EU50,成本计算!$H$4:$EU$4,"&lt;="&amp;$C$3,成本计算!$H$6:$EU$6,"报损金额"))</f>
        <v>396.8</v>
      </c>
      <c r="L48" s="221">
        <f>IF(B48="","",INDEX(成本计算!$H50:$EU50,($C$3-1)*12+10))</f>
        <v>-3.1</v>
      </c>
      <c r="M48" s="187">
        <f>IF(B48="","",INDEX(成本计算!$H50:$EU50,($C$3-1)*12+11))</f>
        <v>-396.8</v>
      </c>
      <c r="N48" s="222">
        <f>IF(OR(B48="",N(L48)&lt;=0),"",M48/L48)</f>
      </c>
      <c r="O48" s="220">
        <f>IF(B48="","",SUMIF(商品库存!$C$4:$C$603,B48,商品库存!$I$4:$I$603))</f>
        <v>0</v>
      </c>
      <c r="P48" s="221">
        <f>IF(B48="","",L48-O48)</f>
        <v>-3.1</v>
      </c>
      <c r="Q48" s="223" t="str">
        <f>IF(B48="","",IF(L48&lt;0,"✗ 结存为负：进货没录全；","")&amp;IF(AND(N(H48)&gt;0,N(I48)=0),"⚠ 没有进价，成本按 0 算；","")&amp;IF(AND(L48&gt;=0,P48&lt;0),"⚠ 不够兑现客户存条",""))</f>
        <v>✗ 结存为负：进货没录全；</v>
      </c>
    </row>
    <row r="49">
      <c r="A49" s="194">
        <f>IF(B49="","",ROW()-5)</f>
        <v>44</v>
      </c>
      <c r="B49" s="141" t="str">
        <f>成本计算!B51</f>
        <v>艾精隆多味葵</v>
      </c>
      <c r="C49" s="141" t="str">
        <f>IF(B49="","",基础资料!F48&amp;"")</f>
        <v>其他公司</v>
      </c>
      <c r="D49" s="220">
        <f>IF(B49="","",成本计算!F51)</f>
        <v>0</v>
      </c>
      <c r="E49" s="186">
        <f>IF(B49="","",成本计算!G51)</f>
        <v>0</v>
      </c>
      <c r="F49" s="220">
        <f>IF(B49="","",SUMIFS(成本计算!$H51:$EU51,成本计算!$H$4:$EU$4,"&lt;="&amp;$C$3,成本计算!$H$6:$EU$6,"采购数量"))</f>
        <v>0</v>
      </c>
      <c r="G49" s="186">
        <f>IF(B49="","",SUMIFS(成本计算!$H51:$EU51,成本计算!$H$4:$EU$4,"&lt;="&amp;$C$3,成本计算!$H$6:$EU$6,"采购金额"))</f>
        <v>0</v>
      </c>
      <c r="H49" s="220">
        <f>IF(B49="","",SUMIFS(成本计算!$H51:$EU51,成本计算!$H$4:$EU$4,"&lt;="&amp;$C$3,成本计算!$H$6:$EU$6,"出库数量"))</f>
        <v>0</v>
      </c>
      <c r="I49" s="186">
        <f>IF(B49="","",SUMIFS(成本计算!$H51:$EU51,成本计算!$H$4:$EU$4,"&lt;="&amp;$C$3,成本计算!$H$6:$EU$6,"出库成本"))</f>
        <v>0</v>
      </c>
      <c r="J49" s="220">
        <f>IF(B49="","",SUMIFS(成本计算!$H51:$EU51,成本计算!$H$4:$EU$4,"&lt;="&amp;$C$3,成本计算!$H$6:$EU$6,"报损数量"))</f>
        <v>0.1</v>
      </c>
      <c r="K49" s="186">
        <f>IF(B49="","",SUMIFS(成本计算!$H51:$EU51,成本计算!$H$4:$EU$4,"&lt;="&amp;$C$3,成本计算!$H$6:$EU$6,"报损金额"))</f>
        <v>95</v>
      </c>
      <c r="L49" s="221">
        <f>IF(B49="","",INDEX(成本计算!$H51:$EU51,($C$3-1)*12+10))</f>
        <v>-0.1</v>
      </c>
      <c r="M49" s="187">
        <f>IF(B49="","",INDEX(成本计算!$H51:$EU51,($C$3-1)*12+11))</f>
        <v>-95</v>
      </c>
      <c r="N49" s="222">
        <f>IF(OR(B49="",N(L49)&lt;=0),"",M49/L49)</f>
      </c>
      <c r="O49" s="220">
        <f>IF(B49="","",SUMIF(商品库存!$C$4:$C$603,B49,商品库存!$I$4:$I$603))</f>
        <v>0</v>
      </c>
      <c r="P49" s="221">
        <f>IF(B49="","",L49-O49)</f>
        <v>-0.1</v>
      </c>
      <c r="Q49" s="223" t="str">
        <f>IF(B49="","",IF(L49&lt;0,"✗ 结存为负：进货没录全；","")&amp;IF(AND(N(H49)&gt;0,N(I49)=0),"⚠ 没有进价，成本按 0 算；","")&amp;IF(AND(L49&gt;=0,P49&lt;0),"⚠ 不够兑现客户存条",""))</f>
        <v>✗ 结存为负：进货没录全；</v>
      </c>
    </row>
    <row r="50">
      <c r="A50" s="194">
        <f>IF(B50="","",ROW()-5)</f>
      </c>
      <c r="B50" s="141">
        <f>成本计算!B52</f>
      </c>
      <c r="C50" s="141">
        <f>IF(B50="","",基础资料!F49&amp;"")</f>
      </c>
      <c r="D50" s="220">
        <f>IF(B50="","",成本计算!F52)</f>
      </c>
      <c r="E50" s="186">
        <f>IF(B50="","",成本计算!G52)</f>
      </c>
      <c r="F50" s="220">
        <f>IF(B50="","",SUMIFS(成本计算!$H52:$EU52,成本计算!$H$4:$EU$4,"&lt;="&amp;$C$3,成本计算!$H$6:$EU$6,"采购数量"))</f>
      </c>
      <c r="G50" s="186">
        <f>IF(B50="","",SUMIFS(成本计算!$H52:$EU52,成本计算!$H$4:$EU$4,"&lt;="&amp;$C$3,成本计算!$H$6:$EU$6,"采购金额"))</f>
      </c>
      <c r="H50" s="220">
        <f>IF(B50="","",SUMIFS(成本计算!$H52:$EU52,成本计算!$H$4:$EU$4,"&lt;="&amp;$C$3,成本计算!$H$6:$EU$6,"出库数量"))</f>
      </c>
      <c r="I50" s="186">
        <f>IF(B50="","",SUMIFS(成本计算!$H52:$EU52,成本计算!$H$4:$EU$4,"&lt;="&amp;$C$3,成本计算!$H$6:$EU$6,"出库成本"))</f>
      </c>
      <c r="J50" s="220">
        <f>IF(B50="","",SUMIFS(成本计算!$H52:$EU52,成本计算!$H$4:$EU$4,"&lt;="&amp;$C$3,成本计算!$H$6:$EU$6,"报损数量"))</f>
      </c>
      <c r="K50" s="186">
        <f>IF(B50="","",SUMIFS(成本计算!$H52:$EU52,成本计算!$H$4:$EU$4,"&lt;="&amp;$C$3,成本计算!$H$6:$EU$6,"报损金额"))</f>
      </c>
      <c r="L50" s="221">
        <f>IF(B50="","",INDEX(成本计算!$H52:$EU52,($C$3-1)*12+10))</f>
      </c>
      <c r="M50" s="187">
        <f>IF(B50="","",INDEX(成本计算!$H52:$EU52,($C$3-1)*12+11))</f>
      </c>
      <c r="N50" s="222">
        <f>IF(OR(B50="",N(L50)&lt;=0),"",M50/L50)</f>
      </c>
      <c r="O50" s="220">
        <f>IF(B50="","",SUMIF(商品库存!$C$4:$C$603,B50,商品库存!$I$4:$I$603))</f>
      </c>
      <c r="P50" s="221">
        <f>IF(B50="","",L50-O50)</f>
      </c>
      <c r="Q50" s="223">
        <f>IF(B50="","",IF(L50&lt;0,"✗ 结存为负：进货没录全；","")&amp;IF(AND(N(H50)&gt;0,N(I50)=0),"⚠ 没有进价，成本按 0 算；","")&amp;IF(AND(L50&gt;=0,P50&lt;0),"⚠ 不够兑现客户存条",""))</f>
      </c>
    </row>
    <row r="51">
      <c r="A51" s="194">
        <f>IF(B51="","",ROW()-5)</f>
      </c>
      <c r="B51" s="141">
        <f>成本计算!B53</f>
      </c>
      <c r="C51" s="141">
        <f>IF(B51="","",基础资料!F50&amp;"")</f>
      </c>
      <c r="D51" s="220">
        <f>IF(B51="","",成本计算!F53)</f>
      </c>
      <c r="E51" s="186">
        <f>IF(B51="","",成本计算!G53)</f>
      </c>
      <c r="F51" s="220">
        <f>IF(B51="","",SUMIFS(成本计算!$H53:$EU53,成本计算!$H$4:$EU$4,"&lt;="&amp;$C$3,成本计算!$H$6:$EU$6,"采购数量"))</f>
      </c>
      <c r="G51" s="186">
        <f>IF(B51="","",SUMIFS(成本计算!$H53:$EU53,成本计算!$H$4:$EU$4,"&lt;="&amp;$C$3,成本计算!$H$6:$EU$6,"采购金额"))</f>
      </c>
      <c r="H51" s="220">
        <f>IF(B51="","",SUMIFS(成本计算!$H53:$EU53,成本计算!$H$4:$EU$4,"&lt;="&amp;$C$3,成本计算!$H$6:$EU$6,"出库数量"))</f>
      </c>
      <c r="I51" s="186">
        <f>IF(B51="","",SUMIFS(成本计算!$H53:$EU53,成本计算!$H$4:$EU$4,"&lt;="&amp;$C$3,成本计算!$H$6:$EU$6,"出库成本"))</f>
      </c>
      <c r="J51" s="220">
        <f>IF(B51="","",SUMIFS(成本计算!$H53:$EU53,成本计算!$H$4:$EU$4,"&lt;="&amp;$C$3,成本计算!$H$6:$EU$6,"报损数量"))</f>
      </c>
      <c r="K51" s="186">
        <f>IF(B51="","",SUMIFS(成本计算!$H53:$EU53,成本计算!$H$4:$EU$4,"&lt;="&amp;$C$3,成本计算!$H$6:$EU$6,"报损金额"))</f>
      </c>
      <c r="L51" s="221">
        <f>IF(B51="","",INDEX(成本计算!$H53:$EU53,($C$3-1)*12+10))</f>
      </c>
      <c r="M51" s="187">
        <f>IF(B51="","",INDEX(成本计算!$H53:$EU53,($C$3-1)*12+11))</f>
      </c>
      <c r="N51" s="222">
        <f>IF(OR(B51="",N(L51)&lt;=0),"",M51/L51)</f>
      </c>
      <c r="O51" s="220">
        <f>IF(B51="","",SUMIF(商品库存!$C$4:$C$603,B51,商品库存!$I$4:$I$603))</f>
      </c>
      <c r="P51" s="221">
        <f>IF(B51="","",L51-O51)</f>
      </c>
      <c r="Q51" s="223">
        <f>IF(B51="","",IF(L51&lt;0,"✗ 结存为负：进货没录全；","")&amp;IF(AND(N(H51)&gt;0,N(I51)=0),"⚠ 没有进价，成本按 0 算；","")&amp;IF(AND(L51&gt;=0,P51&lt;0),"⚠ 不够兑现客户存条",""))</f>
      </c>
    </row>
    <row r="52">
      <c r="A52" s="194">
        <f>IF(B52="","",ROW()-5)</f>
      </c>
      <c r="B52" s="141">
        <f>成本计算!B54</f>
      </c>
      <c r="C52" s="141">
        <f>IF(B52="","",基础资料!F51&amp;"")</f>
      </c>
      <c r="D52" s="220">
        <f>IF(B52="","",成本计算!F54)</f>
      </c>
      <c r="E52" s="186">
        <f>IF(B52="","",成本计算!G54)</f>
      </c>
      <c r="F52" s="220">
        <f>IF(B52="","",SUMIFS(成本计算!$H54:$EU54,成本计算!$H$4:$EU$4,"&lt;="&amp;$C$3,成本计算!$H$6:$EU$6,"采购数量"))</f>
      </c>
      <c r="G52" s="186">
        <f>IF(B52="","",SUMIFS(成本计算!$H54:$EU54,成本计算!$H$4:$EU$4,"&lt;="&amp;$C$3,成本计算!$H$6:$EU$6,"采购金额"))</f>
      </c>
      <c r="H52" s="220">
        <f>IF(B52="","",SUMIFS(成本计算!$H54:$EU54,成本计算!$H$4:$EU$4,"&lt;="&amp;$C$3,成本计算!$H$6:$EU$6,"出库数量"))</f>
      </c>
      <c r="I52" s="186">
        <f>IF(B52="","",SUMIFS(成本计算!$H54:$EU54,成本计算!$H$4:$EU$4,"&lt;="&amp;$C$3,成本计算!$H$6:$EU$6,"出库成本"))</f>
      </c>
      <c r="J52" s="220">
        <f>IF(B52="","",SUMIFS(成本计算!$H54:$EU54,成本计算!$H$4:$EU$4,"&lt;="&amp;$C$3,成本计算!$H$6:$EU$6,"报损数量"))</f>
      </c>
      <c r="K52" s="186">
        <f>IF(B52="","",SUMIFS(成本计算!$H54:$EU54,成本计算!$H$4:$EU$4,"&lt;="&amp;$C$3,成本计算!$H$6:$EU$6,"报损金额"))</f>
      </c>
      <c r="L52" s="221">
        <f>IF(B52="","",INDEX(成本计算!$H54:$EU54,($C$3-1)*12+10))</f>
      </c>
      <c r="M52" s="187">
        <f>IF(B52="","",INDEX(成本计算!$H54:$EU54,($C$3-1)*12+11))</f>
      </c>
      <c r="N52" s="222">
        <f>IF(OR(B52="",N(L52)&lt;=0),"",M52/L52)</f>
      </c>
      <c r="O52" s="220">
        <f>IF(B52="","",SUMIF(商品库存!$C$4:$C$603,B52,商品库存!$I$4:$I$603))</f>
      </c>
      <c r="P52" s="221">
        <f>IF(B52="","",L52-O52)</f>
      </c>
      <c r="Q52" s="223">
        <f>IF(B52="","",IF(L52&lt;0,"✗ 结存为负：进货没录全；","")&amp;IF(AND(N(H52)&gt;0,N(I52)=0),"⚠ 没有进价，成本按 0 算；","")&amp;IF(AND(L52&gt;=0,P52&lt;0),"⚠ 不够兑现客户存条",""))</f>
      </c>
    </row>
    <row r="53">
      <c r="A53" s="194">
        <f>IF(B53="","",ROW()-5)</f>
      </c>
      <c r="B53" s="141">
        <f>成本计算!B55</f>
      </c>
      <c r="C53" s="141">
        <f>IF(B53="","",基础资料!F52&amp;"")</f>
      </c>
      <c r="D53" s="220">
        <f>IF(B53="","",成本计算!F55)</f>
      </c>
      <c r="E53" s="186">
        <f>IF(B53="","",成本计算!G55)</f>
      </c>
      <c r="F53" s="220">
        <f>IF(B53="","",SUMIFS(成本计算!$H55:$EU55,成本计算!$H$4:$EU$4,"&lt;="&amp;$C$3,成本计算!$H$6:$EU$6,"采购数量"))</f>
      </c>
      <c r="G53" s="186">
        <f>IF(B53="","",SUMIFS(成本计算!$H55:$EU55,成本计算!$H$4:$EU$4,"&lt;="&amp;$C$3,成本计算!$H$6:$EU$6,"采购金额"))</f>
      </c>
      <c r="H53" s="220">
        <f>IF(B53="","",SUMIFS(成本计算!$H55:$EU55,成本计算!$H$4:$EU$4,"&lt;="&amp;$C$3,成本计算!$H$6:$EU$6,"出库数量"))</f>
      </c>
      <c r="I53" s="186">
        <f>IF(B53="","",SUMIFS(成本计算!$H55:$EU55,成本计算!$H$4:$EU$4,"&lt;="&amp;$C$3,成本计算!$H$6:$EU$6,"出库成本"))</f>
      </c>
      <c r="J53" s="220">
        <f>IF(B53="","",SUMIFS(成本计算!$H55:$EU55,成本计算!$H$4:$EU$4,"&lt;="&amp;$C$3,成本计算!$H$6:$EU$6,"报损数量"))</f>
      </c>
      <c r="K53" s="186">
        <f>IF(B53="","",SUMIFS(成本计算!$H55:$EU55,成本计算!$H$4:$EU$4,"&lt;="&amp;$C$3,成本计算!$H$6:$EU$6,"报损金额"))</f>
      </c>
      <c r="L53" s="221">
        <f>IF(B53="","",INDEX(成本计算!$H55:$EU55,($C$3-1)*12+10))</f>
      </c>
      <c r="M53" s="187">
        <f>IF(B53="","",INDEX(成本计算!$H55:$EU55,($C$3-1)*12+11))</f>
      </c>
      <c r="N53" s="222">
        <f>IF(OR(B53="",N(L53)&lt;=0),"",M53/L53)</f>
      </c>
      <c r="O53" s="220">
        <f>IF(B53="","",SUMIF(商品库存!$C$4:$C$603,B53,商品库存!$I$4:$I$603))</f>
      </c>
      <c r="P53" s="221">
        <f>IF(B53="","",L53-O53)</f>
      </c>
      <c r="Q53" s="223">
        <f>IF(B53="","",IF(L53&lt;0,"✗ 结存为负：进货没录全；","")&amp;IF(AND(N(H53)&gt;0,N(I53)=0),"⚠ 没有进价，成本按 0 算；","")&amp;IF(AND(L53&gt;=0,P53&lt;0),"⚠ 不够兑现客户存条",""))</f>
      </c>
    </row>
    <row r="54">
      <c r="A54" s="194">
        <f>IF(B54="","",ROW()-5)</f>
      </c>
      <c r="B54" s="141">
        <f>成本计算!B56</f>
      </c>
      <c r="C54" s="141">
        <f>IF(B54="","",基础资料!F53&amp;"")</f>
      </c>
      <c r="D54" s="220">
        <f>IF(B54="","",成本计算!F56)</f>
      </c>
      <c r="E54" s="186">
        <f>IF(B54="","",成本计算!G56)</f>
      </c>
      <c r="F54" s="220">
        <f>IF(B54="","",SUMIFS(成本计算!$H56:$EU56,成本计算!$H$4:$EU$4,"&lt;="&amp;$C$3,成本计算!$H$6:$EU$6,"采购数量"))</f>
      </c>
      <c r="G54" s="186">
        <f>IF(B54="","",SUMIFS(成本计算!$H56:$EU56,成本计算!$H$4:$EU$4,"&lt;="&amp;$C$3,成本计算!$H$6:$EU$6,"采购金额"))</f>
      </c>
      <c r="H54" s="220">
        <f>IF(B54="","",SUMIFS(成本计算!$H56:$EU56,成本计算!$H$4:$EU$4,"&lt;="&amp;$C$3,成本计算!$H$6:$EU$6,"出库数量"))</f>
      </c>
      <c r="I54" s="186">
        <f>IF(B54="","",SUMIFS(成本计算!$H56:$EU56,成本计算!$H$4:$EU$4,"&lt;="&amp;$C$3,成本计算!$H$6:$EU$6,"出库成本"))</f>
      </c>
      <c r="J54" s="220">
        <f>IF(B54="","",SUMIFS(成本计算!$H56:$EU56,成本计算!$H$4:$EU$4,"&lt;="&amp;$C$3,成本计算!$H$6:$EU$6,"报损数量"))</f>
      </c>
      <c r="K54" s="186">
        <f>IF(B54="","",SUMIFS(成本计算!$H56:$EU56,成本计算!$H$4:$EU$4,"&lt;="&amp;$C$3,成本计算!$H$6:$EU$6,"报损金额"))</f>
      </c>
      <c r="L54" s="221">
        <f>IF(B54="","",INDEX(成本计算!$H56:$EU56,($C$3-1)*12+10))</f>
      </c>
      <c r="M54" s="187">
        <f>IF(B54="","",INDEX(成本计算!$H56:$EU56,($C$3-1)*12+11))</f>
      </c>
      <c r="N54" s="222">
        <f>IF(OR(B54="",N(L54)&lt;=0),"",M54/L54)</f>
      </c>
      <c r="O54" s="220">
        <f>IF(B54="","",SUMIF(商品库存!$C$4:$C$603,B54,商品库存!$I$4:$I$603))</f>
      </c>
      <c r="P54" s="221">
        <f>IF(B54="","",L54-O54)</f>
      </c>
      <c r="Q54" s="223">
        <f>IF(B54="","",IF(L54&lt;0,"✗ 结存为负：进货没录全；","")&amp;IF(AND(N(H54)&gt;0,N(I54)=0),"⚠ 没有进价，成本按 0 算；","")&amp;IF(AND(L54&gt;=0,P54&lt;0),"⚠ 不够兑现客户存条",""))</f>
      </c>
    </row>
    <row r="55">
      <c r="A55" s="194">
        <f>IF(B55="","",ROW()-5)</f>
      </c>
      <c r="B55" s="141">
        <f>成本计算!B57</f>
      </c>
      <c r="C55" s="141">
        <f>IF(B55="","",基础资料!F54&amp;"")</f>
      </c>
      <c r="D55" s="220">
        <f>IF(B55="","",成本计算!F57)</f>
      </c>
      <c r="E55" s="186">
        <f>IF(B55="","",成本计算!G57)</f>
      </c>
      <c r="F55" s="220">
        <f>IF(B55="","",SUMIFS(成本计算!$H57:$EU57,成本计算!$H$4:$EU$4,"&lt;="&amp;$C$3,成本计算!$H$6:$EU$6,"采购数量"))</f>
      </c>
      <c r="G55" s="186">
        <f>IF(B55="","",SUMIFS(成本计算!$H57:$EU57,成本计算!$H$4:$EU$4,"&lt;="&amp;$C$3,成本计算!$H$6:$EU$6,"采购金额"))</f>
      </c>
      <c r="H55" s="220">
        <f>IF(B55="","",SUMIFS(成本计算!$H57:$EU57,成本计算!$H$4:$EU$4,"&lt;="&amp;$C$3,成本计算!$H$6:$EU$6,"出库数量"))</f>
      </c>
      <c r="I55" s="186">
        <f>IF(B55="","",SUMIFS(成本计算!$H57:$EU57,成本计算!$H$4:$EU$4,"&lt;="&amp;$C$3,成本计算!$H$6:$EU$6,"出库成本"))</f>
      </c>
      <c r="J55" s="220">
        <f>IF(B55="","",SUMIFS(成本计算!$H57:$EU57,成本计算!$H$4:$EU$4,"&lt;="&amp;$C$3,成本计算!$H$6:$EU$6,"报损数量"))</f>
      </c>
      <c r="K55" s="186">
        <f>IF(B55="","",SUMIFS(成本计算!$H57:$EU57,成本计算!$H$4:$EU$4,"&lt;="&amp;$C$3,成本计算!$H$6:$EU$6,"报损金额"))</f>
      </c>
      <c r="L55" s="221">
        <f>IF(B55="","",INDEX(成本计算!$H57:$EU57,($C$3-1)*12+10))</f>
      </c>
      <c r="M55" s="187">
        <f>IF(B55="","",INDEX(成本计算!$H57:$EU57,($C$3-1)*12+11))</f>
      </c>
      <c r="N55" s="222">
        <f>IF(OR(B55="",N(L55)&lt;=0),"",M55/L55)</f>
      </c>
      <c r="O55" s="220">
        <f>IF(B55="","",SUMIF(商品库存!$C$4:$C$603,B55,商品库存!$I$4:$I$603))</f>
      </c>
      <c r="P55" s="221">
        <f>IF(B55="","",L55-O55)</f>
      </c>
      <c r="Q55" s="223">
        <f>IF(B55="","",IF(L55&lt;0,"✗ 结存为负：进货没录全；","")&amp;IF(AND(N(H55)&gt;0,N(I55)=0),"⚠ 没有进价，成本按 0 算；","")&amp;IF(AND(L55&gt;=0,P55&lt;0),"⚠ 不够兑现客户存条",""))</f>
      </c>
    </row>
    <row r="56">
      <c r="A56" s="194">
        <f>IF(B56="","",ROW()-5)</f>
      </c>
      <c r="B56" s="141">
        <f>成本计算!B58</f>
      </c>
      <c r="C56" s="141">
        <f>IF(B56="","",基础资料!F55&amp;"")</f>
      </c>
      <c r="D56" s="220">
        <f>IF(B56="","",成本计算!F58)</f>
      </c>
      <c r="E56" s="186">
        <f>IF(B56="","",成本计算!G58)</f>
      </c>
      <c r="F56" s="220">
        <f>IF(B56="","",SUMIFS(成本计算!$H58:$EU58,成本计算!$H$4:$EU$4,"&lt;="&amp;$C$3,成本计算!$H$6:$EU$6,"采购数量"))</f>
      </c>
      <c r="G56" s="186">
        <f>IF(B56="","",SUMIFS(成本计算!$H58:$EU58,成本计算!$H$4:$EU$4,"&lt;="&amp;$C$3,成本计算!$H$6:$EU$6,"采购金额"))</f>
      </c>
      <c r="H56" s="220">
        <f>IF(B56="","",SUMIFS(成本计算!$H58:$EU58,成本计算!$H$4:$EU$4,"&lt;="&amp;$C$3,成本计算!$H$6:$EU$6,"出库数量"))</f>
      </c>
      <c r="I56" s="186">
        <f>IF(B56="","",SUMIFS(成本计算!$H58:$EU58,成本计算!$H$4:$EU$4,"&lt;="&amp;$C$3,成本计算!$H$6:$EU$6,"出库成本"))</f>
      </c>
      <c r="J56" s="220">
        <f>IF(B56="","",SUMIFS(成本计算!$H58:$EU58,成本计算!$H$4:$EU$4,"&lt;="&amp;$C$3,成本计算!$H$6:$EU$6,"报损数量"))</f>
      </c>
      <c r="K56" s="186">
        <f>IF(B56="","",SUMIFS(成本计算!$H58:$EU58,成本计算!$H$4:$EU$4,"&lt;="&amp;$C$3,成本计算!$H$6:$EU$6,"报损金额"))</f>
      </c>
      <c r="L56" s="221">
        <f>IF(B56="","",INDEX(成本计算!$H58:$EU58,($C$3-1)*12+10))</f>
      </c>
      <c r="M56" s="187">
        <f>IF(B56="","",INDEX(成本计算!$H58:$EU58,($C$3-1)*12+11))</f>
      </c>
      <c r="N56" s="222">
        <f>IF(OR(B56="",N(L56)&lt;=0),"",M56/L56)</f>
      </c>
      <c r="O56" s="220">
        <f>IF(B56="","",SUMIF(商品库存!$C$4:$C$603,B56,商品库存!$I$4:$I$603))</f>
      </c>
      <c r="P56" s="221">
        <f>IF(B56="","",L56-O56)</f>
      </c>
      <c r="Q56" s="223">
        <f>IF(B56="","",IF(L56&lt;0,"✗ 结存为负：进货没录全；","")&amp;IF(AND(N(H56)&gt;0,N(I56)=0),"⚠ 没有进价，成本按 0 算；","")&amp;IF(AND(L56&gt;=0,P56&lt;0),"⚠ 不够兑现客户存条",""))</f>
      </c>
    </row>
    <row r="57">
      <c r="A57" s="194">
        <f>IF(B57="","",ROW()-5)</f>
      </c>
      <c r="B57" s="141">
        <f>成本计算!B59</f>
      </c>
      <c r="C57" s="141">
        <f>IF(B57="","",基础资料!F56&amp;"")</f>
      </c>
      <c r="D57" s="220">
        <f>IF(B57="","",成本计算!F59)</f>
      </c>
      <c r="E57" s="186">
        <f>IF(B57="","",成本计算!G59)</f>
      </c>
      <c r="F57" s="220">
        <f>IF(B57="","",SUMIFS(成本计算!$H59:$EU59,成本计算!$H$4:$EU$4,"&lt;="&amp;$C$3,成本计算!$H$6:$EU$6,"采购数量"))</f>
      </c>
      <c r="G57" s="186">
        <f>IF(B57="","",SUMIFS(成本计算!$H59:$EU59,成本计算!$H$4:$EU$4,"&lt;="&amp;$C$3,成本计算!$H$6:$EU$6,"采购金额"))</f>
      </c>
      <c r="H57" s="220">
        <f>IF(B57="","",SUMIFS(成本计算!$H59:$EU59,成本计算!$H$4:$EU$4,"&lt;="&amp;$C$3,成本计算!$H$6:$EU$6,"出库数量"))</f>
      </c>
      <c r="I57" s="186">
        <f>IF(B57="","",SUMIFS(成本计算!$H59:$EU59,成本计算!$H$4:$EU$4,"&lt;="&amp;$C$3,成本计算!$H$6:$EU$6,"出库成本"))</f>
      </c>
      <c r="J57" s="220">
        <f>IF(B57="","",SUMIFS(成本计算!$H59:$EU59,成本计算!$H$4:$EU$4,"&lt;="&amp;$C$3,成本计算!$H$6:$EU$6,"报损数量"))</f>
      </c>
      <c r="K57" s="186">
        <f>IF(B57="","",SUMIFS(成本计算!$H59:$EU59,成本计算!$H$4:$EU$4,"&lt;="&amp;$C$3,成本计算!$H$6:$EU$6,"报损金额"))</f>
      </c>
      <c r="L57" s="221">
        <f>IF(B57="","",INDEX(成本计算!$H59:$EU59,($C$3-1)*12+10))</f>
      </c>
      <c r="M57" s="187">
        <f>IF(B57="","",INDEX(成本计算!$H59:$EU59,($C$3-1)*12+11))</f>
      </c>
      <c r="N57" s="222">
        <f>IF(OR(B57="",N(L57)&lt;=0),"",M57/L57)</f>
      </c>
      <c r="O57" s="220">
        <f>IF(B57="","",SUMIF(商品库存!$C$4:$C$603,B57,商品库存!$I$4:$I$603))</f>
      </c>
      <c r="P57" s="221">
        <f>IF(B57="","",L57-O57)</f>
      </c>
      <c r="Q57" s="223">
        <f>IF(B57="","",IF(L57&lt;0,"✗ 结存为负：进货没录全；","")&amp;IF(AND(N(H57)&gt;0,N(I57)=0),"⚠ 没有进价，成本按 0 算；","")&amp;IF(AND(L57&gt;=0,P57&lt;0),"⚠ 不够兑现客户存条",""))</f>
      </c>
    </row>
    <row r="58">
      <c r="A58" s="194">
        <f>IF(B58="","",ROW()-5)</f>
      </c>
      <c r="B58" s="141">
        <f>成本计算!B60</f>
      </c>
      <c r="C58" s="141">
        <f>IF(B58="","",基础资料!F57&amp;"")</f>
      </c>
      <c r="D58" s="220">
        <f>IF(B58="","",成本计算!F60)</f>
      </c>
      <c r="E58" s="186">
        <f>IF(B58="","",成本计算!G60)</f>
      </c>
      <c r="F58" s="220">
        <f>IF(B58="","",SUMIFS(成本计算!$H60:$EU60,成本计算!$H$4:$EU$4,"&lt;="&amp;$C$3,成本计算!$H$6:$EU$6,"采购数量"))</f>
      </c>
      <c r="G58" s="186">
        <f>IF(B58="","",SUMIFS(成本计算!$H60:$EU60,成本计算!$H$4:$EU$4,"&lt;="&amp;$C$3,成本计算!$H$6:$EU$6,"采购金额"))</f>
      </c>
      <c r="H58" s="220">
        <f>IF(B58="","",SUMIFS(成本计算!$H60:$EU60,成本计算!$H$4:$EU$4,"&lt;="&amp;$C$3,成本计算!$H$6:$EU$6,"出库数量"))</f>
      </c>
      <c r="I58" s="186">
        <f>IF(B58="","",SUMIFS(成本计算!$H60:$EU60,成本计算!$H$4:$EU$4,"&lt;="&amp;$C$3,成本计算!$H$6:$EU$6,"出库成本"))</f>
      </c>
      <c r="J58" s="220">
        <f>IF(B58="","",SUMIFS(成本计算!$H60:$EU60,成本计算!$H$4:$EU$4,"&lt;="&amp;$C$3,成本计算!$H$6:$EU$6,"报损数量"))</f>
      </c>
      <c r="K58" s="186">
        <f>IF(B58="","",SUMIFS(成本计算!$H60:$EU60,成本计算!$H$4:$EU$4,"&lt;="&amp;$C$3,成本计算!$H$6:$EU$6,"报损金额"))</f>
      </c>
      <c r="L58" s="221">
        <f>IF(B58="","",INDEX(成本计算!$H60:$EU60,($C$3-1)*12+10))</f>
      </c>
      <c r="M58" s="187">
        <f>IF(B58="","",INDEX(成本计算!$H60:$EU60,($C$3-1)*12+11))</f>
      </c>
      <c r="N58" s="222">
        <f>IF(OR(B58="",N(L58)&lt;=0),"",M58/L58)</f>
      </c>
      <c r="O58" s="220">
        <f>IF(B58="","",SUMIF(商品库存!$C$4:$C$603,B58,商品库存!$I$4:$I$603))</f>
      </c>
      <c r="P58" s="221">
        <f>IF(B58="","",L58-O58)</f>
      </c>
      <c r="Q58" s="223">
        <f>IF(B58="","",IF(L58&lt;0,"✗ 结存为负：进货没录全；","")&amp;IF(AND(N(H58)&gt;0,N(I58)=0),"⚠ 没有进价，成本按 0 算；","")&amp;IF(AND(L58&gt;=0,P58&lt;0),"⚠ 不够兑现客户存条",""))</f>
      </c>
    </row>
    <row r="59">
      <c r="A59" s="194">
        <f>IF(B59="","",ROW()-5)</f>
      </c>
      <c r="B59" s="141">
        <f>成本计算!B61</f>
      </c>
      <c r="C59" s="141">
        <f>IF(B59="","",基础资料!F58&amp;"")</f>
      </c>
      <c r="D59" s="220">
        <f>IF(B59="","",成本计算!F61)</f>
      </c>
      <c r="E59" s="186">
        <f>IF(B59="","",成本计算!G61)</f>
      </c>
      <c r="F59" s="220">
        <f>IF(B59="","",SUMIFS(成本计算!$H61:$EU61,成本计算!$H$4:$EU$4,"&lt;="&amp;$C$3,成本计算!$H$6:$EU$6,"采购数量"))</f>
      </c>
      <c r="G59" s="186">
        <f>IF(B59="","",SUMIFS(成本计算!$H61:$EU61,成本计算!$H$4:$EU$4,"&lt;="&amp;$C$3,成本计算!$H$6:$EU$6,"采购金额"))</f>
      </c>
      <c r="H59" s="220">
        <f>IF(B59="","",SUMIFS(成本计算!$H61:$EU61,成本计算!$H$4:$EU$4,"&lt;="&amp;$C$3,成本计算!$H$6:$EU$6,"出库数量"))</f>
      </c>
      <c r="I59" s="186">
        <f>IF(B59="","",SUMIFS(成本计算!$H61:$EU61,成本计算!$H$4:$EU$4,"&lt;="&amp;$C$3,成本计算!$H$6:$EU$6,"出库成本"))</f>
      </c>
      <c r="J59" s="220">
        <f>IF(B59="","",SUMIFS(成本计算!$H61:$EU61,成本计算!$H$4:$EU$4,"&lt;="&amp;$C$3,成本计算!$H$6:$EU$6,"报损数量"))</f>
      </c>
      <c r="K59" s="186">
        <f>IF(B59="","",SUMIFS(成本计算!$H61:$EU61,成本计算!$H$4:$EU$4,"&lt;="&amp;$C$3,成本计算!$H$6:$EU$6,"报损金额"))</f>
      </c>
      <c r="L59" s="221">
        <f>IF(B59="","",INDEX(成本计算!$H61:$EU61,($C$3-1)*12+10))</f>
      </c>
      <c r="M59" s="187">
        <f>IF(B59="","",INDEX(成本计算!$H61:$EU61,($C$3-1)*12+11))</f>
      </c>
      <c r="N59" s="222">
        <f>IF(OR(B59="",N(L59)&lt;=0),"",M59/L59)</f>
      </c>
      <c r="O59" s="220">
        <f>IF(B59="","",SUMIF(商品库存!$C$4:$C$603,B59,商品库存!$I$4:$I$603))</f>
      </c>
      <c r="P59" s="221">
        <f>IF(B59="","",L59-O59)</f>
      </c>
      <c r="Q59" s="223">
        <f>IF(B59="","",IF(L59&lt;0,"✗ 结存为负：进货没录全；","")&amp;IF(AND(N(H59)&gt;0,N(I59)=0),"⚠ 没有进价，成本按 0 算；","")&amp;IF(AND(L59&gt;=0,P59&lt;0),"⚠ 不够兑现客户存条",""))</f>
      </c>
    </row>
    <row r="60">
      <c r="A60" s="194">
        <f>IF(B60="","",ROW()-5)</f>
      </c>
      <c r="B60" s="141">
        <f>成本计算!B62</f>
      </c>
      <c r="C60" s="141">
        <f>IF(B60="","",基础资料!F59&amp;"")</f>
      </c>
      <c r="D60" s="220">
        <f>IF(B60="","",成本计算!F62)</f>
      </c>
      <c r="E60" s="186">
        <f>IF(B60="","",成本计算!G62)</f>
      </c>
      <c r="F60" s="220">
        <f>IF(B60="","",SUMIFS(成本计算!$H62:$EU62,成本计算!$H$4:$EU$4,"&lt;="&amp;$C$3,成本计算!$H$6:$EU$6,"采购数量"))</f>
      </c>
      <c r="G60" s="186">
        <f>IF(B60="","",SUMIFS(成本计算!$H62:$EU62,成本计算!$H$4:$EU$4,"&lt;="&amp;$C$3,成本计算!$H$6:$EU$6,"采购金额"))</f>
      </c>
      <c r="H60" s="220">
        <f>IF(B60="","",SUMIFS(成本计算!$H62:$EU62,成本计算!$H$4:$EU$4,"&lt;="&amp;$C$3,成本计算!$H$6:$EU$6,"出库数量"))</f>
      </c>
      <c r="I60" s="186">
        <f>IF(B60="","",SUMIFS(成本计算!$H62:$EU62,成本计算!$H$4:$EU$4,"&lt;="&amp;$C$3,成本计算!$H$6:$EU$6,"出库成本"))</f>
      </c>
      <c r="J60" s="220">
        <f>IF(B60="","",SUMIFS(成本计算!$H62:$EU62,成本计算!$H$4:$EU$4,"&lt;="&amp;$C$3,成本计算!$H$6:$EU$6,"报损数量"))</f>
      </c>
      <c r="K60" s="186">
        <f>IF(B60="","",SUMIFS(成本计算!$H62:$EU62,成本计算!$H$4:$EU$4,"&lt;="&amp;$C$3,成本计算!$H$6:$EU$6,"报损金额"))</f>
      </c>
      <c r="L60" s="221">
        <f>IF(B60="","",INDEX(成本计算!$H62:$EU62,($C$3-1)*12+10))</f>
      </c>
      <c r="M60" s="187">
        <f>IF(B60="","",INDEX(成本计算!$H62:$EU62,($C$3-1)*12+11))</f>
      </c>
      <c r="N60" s="222">
        <f>IF(OR(B60="",N(L60)&lt;=0),"",M60/L60)</f>
      </c>
      <c r="O60" s="220">
        <f>IF(B60="","",SUMIF(商品库存!$C$4:$C$603,B60,商品库存!$I$4:$I$603))</f>
      </c>
      <c r="P60" s="221">
        <f>IF(B60="","",L60-O60)</f>
      </c>
      <c r="Q60" s="223">
        <f>IF(B60="","",IF(L60&lt;0,"✗ 结存为负：进货没录全；","")&amp;IF(AND(N(H60)&gt;0,N(I60)=0),"⚠ 没有进价，成本按 0 算；","")&amp;IF(AND(L60&gt;=0,P60&lt;0),"⚠ 不够兑现客户存条",""))</f>
      </c>
    </row>
    <row r="61">
      <c r="A61" s="194">
        <f>IF(B61="","",ROW()-5)</f>
      </c>
      <c r="B61" s="141">
        <f>成本计算!B63</f>
      </c>
      <c r="C61" s="141">
        <f>IF(B61="","",基础资料!F60&amp;"")</f>
      </c>
      <c r="D61" s="220">
        <f>IF(B61="","",成本计算!F63)</f>
      </c>
      <c r="E61" s="186">
        <f>IF(B61="","",成本计算!G63)</f>
      </c>
      <c r="F61" s="220">
        <f>IF(B61="","",SUMIFS(成本计算!$H63:$EU63,成本计算!$H$4:$EU$4,"&lt;="&amp;$C$3,成本计算!$H$6:$EU$6,"采购数量"))</f>
      </c>
      <c r="G61" s="186">
        <f>IF(B61="","",SUMIFS(成本计算!$H63:$EU63,成本计算!$H$4:$EU$4,"&lt;="&amp;$C$3,成本计算!$H$6:$EU$6,"采购金额"))</f>
      </c>
      <c r="H61" s="220">
        <f>IF(B61="","",SUMIFS(成本计算!$H63:$EU63,成本计算!$H$4:$EU$4,"&lt;="&amp;$C$3,成本计算!$H$6:$EU$6,"出库数量"))</f>
      </c>
      <c r="I61" s="186">
        <f>IF(B61="","",SUMIFS(成本计算!$H63:$EU63,成本计算!$H$4:$EU$4,"&lt;="&amp;$C$3,成本计算!$H$6:$EU$6,"出库成本"))</f>
      </c>
      <c r="J61" s="220">
        <f>IF(B61="","",SUMIFS(成本计算!$H63:$EU63,成本计算!$H$4:$EU$4,"&lt;="&amp;$C$3,成本计算!$H$6:$EU$6,"报损数量"))</f>
      </c>
      <c r="K61" s="186">
        <f>IF(B61="","",SUMIFS(成本计算!$H63:$EU63,成本计算!$H$4:$EU$4,"&lt;="&amp;$C$3,成本计算!$H$6:$EU$6,"报损金额"))</f>
      </c>
      <c r="L61" s="221">
        <f>IF(B61="","",INDEX(成本计算!$H63:$EU63,($C$3-1)*12+10))</f>
      </c>
      <c r="M61" s="187">
        <f>IF(B61="","",INDEX(成本计算!$H63:$EU63,($C$3-1)*12+11))</f>
      </c>
      <c r="N61" s="222">
        <f>IF(OR(B61="",N(L61)&lt;=0),"",M61/L61)</f>
      </c>
      <c r="O61" s="220">
        <f>IF(B61="","",SUMIF(商品库存!$C$4:$C$603,B61,商品库存!$I$4:$I$603))</f>
      </c>
      <c r="P61" s="221">
        <f>IF(B61="","",L61-O61)</f>
      </c>
      <c r="Q61" s="223">
        <f>IF(B61="","",IF(L61&lt;0,"✗ 结存为负：进货没录全；","")&amp;IF(AND(N(H61)&gt;0,N(I61)=0),"⚠ 没有进价，成本按 0 算；","")&amp;IF(AND(L61&gt;=0,P61&lt;0),"⚠ 不够兑现客户存条",""))</f>
      </c>
    </row>
    <row r="62">
      <c r="A62" s="194">
        <f>IF(B62="","",ROW()-5)</f>
      </c>
      <c r="B62" s="141">
        <f>成本计算!B64</f>
      </c>
      <c r="C62" s="141">
        <f>IF(B62="","",基础资料!F61&amp;"")</f>
      </c>
      <c r="D62" s="220">
        <f>IF(B62="","",成本计算!F64)</f>
      </c>
      <c r="E62" s="186">
        <f>IF(B62="","",成本计算!G64)</f>
      </c>
      <c r="F62" s="220">
        <f>IF(B62="","",SUMIFS(成本计算!$H64:$EU64,成本计算!$H$4:$EU$4,"&lt;="&amp;$C$3,成本计算!$H$6:$EU$6,"采购数量"))</f>
      </c>
      <c r="G62" s="186">
        <f>IF(B62="","",SUMIFS(成本计算!$H64:$EU64,成本计算!$H$4:$EU$4,"&lt;="&amp;$C$3,成本计算!$H$6:$EU$6,"采购金额"))</f>
      </c>
      <c r="H62" s="220">
        <f>IF(B62="","",SUMIFS(成本计算!$H64:$EU64,成本计算!$H$4:$EU$4,"&lt;="&amp;$C$3,成本计算!$H$6:$EU$6,"出库数量"))</f>
      </c>
      <c r="I62" s="186">
        <f>IF(B62="","",SUMIFS(成本计算!$H64:$EU64,成本计算!$H$4:$EU$4,"&lt;="&amp;$C$3,成本计算!$H$6:$EU$6,"出库成本"))</f>
      </c>
      <c r="J62" s="220">
        <f>IF(B62="","",SUMIFS(成本计算!$H64:$EU64,成本计算!$H$4:$EU$4,"&lt;="&amp;$C$3,成本计算!$H$6:$EU$6,"报损数量"))</f>
      </c>
      <c r="K62" s="186">
        <f>IF(B62="","",SUMIFS(成本计算!$H64:$EU64,成本计算!$H$4:$EU$4,"&lt;="&amp;$C$3,成本计算!$H$6:$EU$6,"报损金额"))</f>
      </c>
      <c r="L62" s="221">
        <f>IF(B62="","",INDEX(成本计算!$H64:$EU64,($C$3-1)*12+10))</f>
      </c>
      <c r="M62" s="187">
        <f>IF(B62="","",INDEX(成本计算!$H64:$EU64,($C$3-1)*12+11))</f>
      </c>
      <c r="N62" s="222">
        <f>IF(OR(B62="",N(L62)&lt;=0),"",M62/L62)</f>
      </c>
      <c r="O62" s="220">
        <f>IF(B62="","",SUMIF(商品库存!$C$4:$C$603,B62,商品库存!$I$4:$I$603))</f>
      </c>
      <c r="P62" s="221">
        <f>IF(B62="","",L62-O62)</f>
      </c>
      <c r="Q62" s="223">
        <f>IF(B62="","",IF(L62&lt;0,"✗ 结存为负：进货没录全；","")&amp;IF(AND(N(H62)&gt;0,N(I62)=0),"⚠ 没有进价，成本按 0 算；","")&amp;IF(AND(L62&gt;=0,P62&lt;0),"⚠ 不够兑现客户存条",""))</f>
      </c>
    </row>
    <row r="63">
      <c r="A63" s="194">
        <f>IF(B63="","",ROW()-5)</f>
      </c>
      <c r="B63" s="141">
        <f>成本计算!B65</f>
      </c>
      <c r="C63" s="141">
        <f>IF(B63="","",基础资料!F62&amp;"")</f>
      </c>
      <c r="D63" s="220">
        <f>IF(B63="","",成本计算!F65)</f>
      </c>
      <c r="E63" s="186">
        <f>IF(B63="","",成本计算!G65)</f>
      </c>
      <c r="F63" s="220">
        <f>IF(B63="","",SUMIFS(成本计算!$H65:$EU65,成本计算!$H$4:$EU$4,"&lt;="&amp;$C$3,成本计算!$H$6:$EU$6,"采购数量"))</f>
      </c>
      <c r="G63" s="186">
        <f>IF(B63="","",SUMIFS(成本计算!$H65:$EU65,成本计算!$H$4:$EU$4,"&lt;="&amp;$C$3,成本计算!$H$6:$EU$6,"采购金额"))</f>
      </c>
      <c r="H63" s="220">
        <f>IF(B63="","",SUMIFS(成本计算!$H65:$EU65,成本计算!$H$4:$EU$4,"&lt;="&amp;$C$3,成本计算!$H$6:$EU$6,"出库数量"))</f>
      </c>
      <c r="I63" s="186">
        <f>IF(B63="","",SUMIFS(成本计算!$H65:$EU65,成本计算!$H$4:$EU$4,"&lt;="&amp;$C$3,成本计算!$H$6:$EU$6,"出库成本"))</f>
      </c>
      <c r="J63" s="220">
        <f>IF(B63="","",SUMIFS(成本计算!$H65:$EU65,成本计算!$H$4:$EU$4,"&lt;="&amp;$C$3,成本计算!$H$6:$EU$6,"报损数量"))</f>
      </c>
      <c r="K63" s="186">
        <f>IF(B63="","",SUMIFS(成本计算!$H65:$EU65,成本计算!$H$4:$EU$4,"&lt;="&amp;$C$3,成本计算!$H$6:$EU$6,"报损金额"))</f>
      </c>
      <c r="L63" s="221">
        <f>IF(B63="","",INDEX(成本计算!$H65:$EU65,($C$3-1)*12+10))</f>
      </c>
      <c r="M63" s="187">
        <f>IF(B63="","",INDEX(成本计算!$H65:$EU65,($C$3-1)*12+11))</f>
      </c>
      <c r="N63" s="222">
        <f>IF(OR(B63="",N(L63)&lt;=0),"",M63/L63)</f>
      </c>
      <c r="O63" s="220">
        <f>IF(B63="","",SUMIF(商品库存!$C$4:$C$603,B63,商品库存!$I$4:$I$603))</f>
      </c>
      <c r="P63" s="221">
        <f>IF(B63="","",L63-O63)</f>
      </c>
      <c r="Q63" s="223">
        <f>IF(B63="","",IF(L63&lt;0,"✗ 结存为负：进货没录全；","")&amp;IF(AND(N(H63)&gt;0,N(I63)=0),"⚠ 没有进价，成本按 0 算；","")&amp;IF(AND(L63&gt;=0,P63&lt;0),"⚠ 不够兑现客户存条",""))</f>
      </c>
    </row>
    <row r="64">
      <c r="A64" s="194">
        <f>IF(B64="","",ROW()-5)</f>
      </c>
      <c r="B64" s="141">
        <f>成本计算!B66</f>
      </c>
      <c r="C64" s="141">
        <f>IF(B64="","",基础资料!F63&amp;"")</f>
      </c>
      <c r="D64" s="220">
        <f>IF(B64="","",成本计算!F66)</f>
      </c>
      <c r="E64" s="186">
        <f>IF(B64="","",成本计算!G66)</f>
      </c>
      <c r="F64" s="220">
        <f>IF(B64="","",SUMIFS(成本计算!$H66:$EU66,成本计算!$H$4:$EU$4,"&lt;="&amp;$C$3,成本计算!$H$6:$EU$6,"采购数量"))</f>
      </c>
      <c r="G64" s="186">
        <f>IF(B64="","",SUMIFS(成本计算!$H66:$EU66,成本计算!$H$4:$EU$4,"&lt;="&amp;$C$3,成本计算!$H$6:$EU$6,"采购金额"))</f>
      </c>
      <c r="H64" s="220">
        <f>IF(B64="","",SUMIFS(成本计算!$H66:$EU66,成本计算!$H$4:$EU$4,"&lt;="&amp;$C$3,成本计算!$H$6:$EU$6,"出库数量"))</f>
      </c>
      <c r="I64" s="186">
        <f>IF(B64="","",SUMIFS(成本计算!$H66:$EU66,成本计算!$H$4:$EU$4,"&lt;="&amp;$C$3,成本计算!$H$6:$EU$6,"出库成本"))</f>
      </c>
      <c r="J64" s="220">
        <f>IF(B64="","",SUMIFS(成本计算!$H66:$EU66,成本计算!$H$4:$EU$4,"&lt;="&amp;$C$3,成本计算!$H$6:$EU$6,"报损数量"))</f>
      </c>
      <c r="K64" s="186">
        <f>IF(B64="","",SUMIFS(成本计算!$H66:$EU66,成本计算!$H$4:$EU$4,"&lt;="&amp;$C$3,成本计算!$H$6:$EU$6,"报损金额"))</f>
      </c>
      <c r="L64" s="221">
        <f>IF(B64="","",INDEX(成本计算!$H66:$EU66,($C$3-1)*12+10))</f>
      </c>
      <c r="M64" s="187">
        <f>IF(B64="","",INDEX(成本计算!$H66:$EU66,($C$3-1)*12+11))</f>
      </c>
      <c r="N64" s="222">
        <f>IF(OR(B64="",N(L64)&lt;=0),"",M64/L64)</f>
      </c>
      <c r="O64" s="220">
        <f>IF(B64="","",SUMIF(商品库存!$C$4:$C$603,B64,商品库存!$I$4:$I$603))</f>
      </c>
      <c r="P64" s="221">
        <f>IF(B64="","",L64-O64)</f>
      </c>
      <c r="Q64" s="223">
        <f>IF(B64="","",IF(L64&lt;0,"✗ 结存为负：进货没录全；","")&amp;IF(AND(N(H64)&gt;0,N(I64)=0),"⚠ 没有进价，成本按 0 算；","")&amp;IF(AND(L64&gt;=0,P64&lt;0),"⚠ 不够兑现客户存条",""))</f>
      </c>
    </row>
    <row r="65">
      <c r="A65" s="194">
        <f>IF(B65="","",ROW()-5)</f>
      </c>
      <c r="B65" s="141">
        <f>成本计算!B67</f>
      </c>
      <c r="C65" s="141">
        <f>IF(B65="","",基础资料!F64&amp;"")</f>
      </c>
      <c r="D65" s="220">
        <f>IF(B65="","",成本计算!F67)</f>
      </c>
      <c r="E65" s="186">
        <f>IF(B65="","",成本计算!G67)</f>
      </c>
      <c r="F65" s="220">
        <f>IF(B65="","",SUMIFS(成本计算!$H67:$EU67,成本计算!$H$4:$EU$4,"&lt;="&amp;$C$3,成本计算!$H$6:$EU$6,"采购数量"))</f>
      </c>
      <c r="G65" s="186">
        <f>IF(B65="","",SUMIFS(成本计算!$H67:$EU67,成本计算!$H$4:$EU$4,"&lt;="&amp;$C$3,成本计算!$H$6:$EU$6,"采购金额"))</f>
      </c>
      <c r="H65" s="220">
        <f>IF(B65="","",SUMIFS(成本计算!$H67:$EU67,成本计算!$H$4:$EU$4,"&lt;="&amp;$C$3,成本计算!$H$6:$EU$6,"出库数量"))</f>
      </c>
      <c r="I65" s="186">
        <f>IF(B65="","",SUMIFS(成本计算!$H67:$EU67,成本计算!$H$4:$EU$4,"&lt;="&amp;$C$3,成本计算!$H$6:$EU$6,"出库成本"))</f>
      </c>
      <c r="J65" s="220">
        <f>IF(B65="","",SUMIFS(成本计算!$H67:$EU67,成本计算!$H$4:$EU$4,"&lt;="&amp;$C$3,成本计算!$H$6:$EU$6,"报损数量"))</f>
      </c>
      <c r="K65" s="186">
        <f>IF(B65="","",SUMIFS(成本计算!$H67:$EU67,成本计算!$H$4:$EU$4,"&lt;="&amp;$C$3,成本计算!$H$6:$EU$6,"报损金额"))</f>
      </c>
      <c r="L65" s="221">
        <f>IF(B65="","",INDEX(成本计算!$H67:$EU67,($C$3-1)*12+10))</f>
      </c>
      <c r="M65" s="187">
        <f>IF(B65="","",INDEX(成本计算!$H67:$EU67,($C$3-1)*12+11))</f>
      </c>
      <c r="N65" s="222">
        <f>IF(OR(B65="",N(L65)&lt;=0),"",M65/L65)</f>
      </c>
      <c r="O65" s="220">
        <f>IF(B65="","",SUMIF(商品库存!$C$4:$C$603,B65,商品库存!$I$4:$I$603))</f>
      </c>
      <c r="P65" s="221">
        <f>IF(B65="","",L65-O65)</f>
      </c>
      <c r="Q65" s="223">
        <f>IF(B65="","",IF(L65&lt;0,"✗ 结存为负：进货没录全；","")&amp;IF(AND(N(H65)&gt;0,N(I65)=0),"⚠ 没有进价，成本按 0 算；","")&amp;IF(AND(L65&gt;=0,P65&lt;0),"⚠ 不够兑现客户存条",""))</f>
      </c>
    </row>
    <row r="66">
      <c r="A66" s="194">
        <f>IF(B66="","",ROW()-5)</f>
      </c>
      <c r="B66" s="141">
        <f>成本计算!B68</f>
      </c>
      <c r="C66" s="141">
        <f>IF(B66="","",基础资料!F65&amp;"")</f>
      </c>
      <c r="D66" s="220">
        <f>IF(B66="","",成本计算!F68)</f>
      </c>
      <c r="E66" s="186">
        <f>IF(B66="","",成本计算!G68)</f>
      </c>
      <c r="F66" s="220">
        <f>IF(B66="","",SUMIFS(成本计算!$H68:$EU68,成本计算!$H$4:$EU$4,"&lt;="&amp;$C$3,成本计算!$H$6:$EU$6,"采购数量"))</f>
      </c>
      <c r="G66" s="186">
        <f>IF(B66="","",SUMIFS(成本计算!$H68:$EU68,成本计算!$H$4:$EU$4,"&lt;="&amp;$C$3,成本计算!$H$6:$EU$6,"采购金额"))</f>
      </c>
      <c r="H66" s="220">
        <f>IF(B66="","",SUMIFS(成本计算!$H68:$EU68,成本计算!$H$4:$EU$4,"&lt;="&amp;$C$3,成本计算!$H$6:$EU$6,"出库数量"))</f>
      </c>
      <c r="I66" s="186">
        <f>IF(B66="","",SUMIFS(成本计算!$H68:$EU68,成本计算!$H$4:$EU$4,"&lt;="&amp;$C$3,成本计算!$H$6:$EU$6,"出库成本"))</f>
      </c>
      <c r="J66" s="220">
        <f>IF(B66="","",SUMIFS(成本计算!$H68:$EU68,成本计算!$H$4:$EU$4,"&lt;="&amp;$C$3,成本计算!$H$6:$EU$6,"报损数量"))</f>
      </c>
      <c r="K66" s="186">
        <f>IF(B66="","",SUMIFS(成本计算!$H68:$EU68,成本计算!$H$4:$EU$4,"&lt;="&amp;$C$3,成本计算!$H$6:$EU$6,"报损金额"))</f>
      </c>
      <c r="L66" s="221">
        <f>IF(B66="","",INDEX(成本计算!$H68:$EU68,($C$3-1)*12+10))</f>
      </c>
      <c r="M66" s="187">
        <f>IF(B66="","",INDEX(成本计算!$H68:$EU68,($C$3-1)*12+11))</f>
      </c>
      <c r="N66" s="222">
        <f>IF(OR(B66="",N(L66)&lt;=0),"",M66/L66)</f>
      </c>
      <c r="O66" s="220">
        <f>IF(B66="","",SUMIF(商品库存!$C$4:$C$603,B66,商品库存!$I$4:$I$603))</f>
      </c>
      <c r="P66" s="221">
        <f>IF(B66="","",L66-O66)</f>
      </c>
      <c r="Q66" s="223">
        <f>IF(B66="","",IF(L66&lt;0,"✗ 结存为负：进货没录全；","")&amp;IF(AND(N(H66)&gt;0,N(I66)=0),"⚠ 没有进价，成本按 0 算；","")&amp;IF(AND(L66&gt;=0,P66&lt;0),"⚠ 不够兑现客户存条",""))</f>
      </c>
    </row>
    <row r="67">
      <c r="A67" s="194">
        <f>IF(B67="","",ROW()-5)</f>
      </c>
      <c r="B67" s="141">
        <f>成本计算!B69</f>
      </c>
      <c r="C67" s="141">
        <f>IF(B67="","",基础资料!F66&amp;"")</f>
      </c>
      <c r="D67" s="220">
        <f>IF(B67="","",成本计算!F69)</f>
      </c>
      <c r="E67" s="186">
        <f>IF(B67="","",成本计算!G69)</f>
      </c>
      <c r="F67" s="220">
        <f>IF(B67="","",SUMIFS(成本计算!$H69:$EU69,成本计算!$H$4:$EU$4,"&lt;="&amp;$C$3,成本计算!$H$6:$EU$6,"采购数量"))</f>
      </c>
      <c r="G67" s="186">
        <f>IF(B67="","",SUMIFS(成本计算!$H69:$EU69,成本计算!$H$4:$EU$4,"&lt;="&amp;$C$3,成本计算!$H$6:$EU$6,"采购金额"))</f>
      </c>
      <c r="H67" s="220">
        <f>IF(B67="","",SUMIFS(成本计算!$H69:$EU69,成本计算!$H$4:$EU$4,"&lt;="&amp;$C$3,成本计算!$H$6:$EU$6,"出库数量"))</f>
      </c>
      <c r="I67" s="186">
        <f>IF(B67="","",SUMIFS(成本计算!$H69:$EU69,成本计算!$H$4:$EU$4,"&lt;="&amp;$C$3,成本计算!$H$6:$EU$6,"出库成本"))</f>
      </c>
      <c r="J67" s="220">
        <f>IF(B67="","",SUMIFS(成本计算!$H69:$EU69,成本计算!$H$4:$EU$4,"&lt;="&amp;$C$3,成本计算!$H$6:$EU$6,"报损数量"))</f>
      </c>
      <c r="K67" s="186">
        <f>IF(B67="","",SUMIFS(成本计算!$H69:$EU69,成本计算!$H$4:$EU$4,"&lt;="&amp;$C$3,成本计算!$H$6:$EU$6,"报损金额"))</f>
      </c>
      <c r="L67" s="221">
        <f>IF(B67="","",INDEX(成本计算!$H69:$EU69,($C$3-1)*12+10))</f>
      </c>
      <c r="M67" s="187">
        <f>IF(B67="","",INDEX(成本计算!$H69:$EU69,($C$3-1)*12+11))</f>
      </c>
      <c r="N67" s="222">
        <f>IF(OR(B67="",N(L67)&lt;=0),"",M67/L67)</f>
      </c>
      <c r="O67" s="220">
        <f>IF(B67="","",SUMIF(商品库存!$C$4:$C$603,B67,商品库存!$I$4:$I$603))</f>
      </c>
      <c r="P67" s="221">
        <f>IF(B67="","",L67-O67)</f>
      </c>
      <c r="Q67" s="223">
        <f>IF(B67="","",IF(L67&lt;0,"✗ 结存为负：进货没录全；","")&amp;IF(AND(N(H67)&gt;0,N(I67)=0),"⚠ 没有进价，成本按 0 算；","")&amp;IF(AND(L67&gt;=0,P67&lt;0),"⚠ 不够兑现客户存条",""))</f>
      </c>
    </row>
    <row r="68">
      <c r="A68" s="194">
        <f>IF(B68="","",ROW()-5)</f>
      </c>
      <c r="B68" s="141">
        <f>成本计算!B70</f>
      </c>
      <c r="C68" s="141">
        <f>IF(B68="","",基础资料!F67&amp;"")</f>
      </c>
      <c r="D68" s="220">
        <f>IF(B68="","",成本计算!F70)</f>
      </c>
      <c r="E68" s="186">
        <f>IF(B68="","",成本计算!G70)</f>
      </c>
      <c r="F68" s="220">
        <f>IF(B68="","",SUMIFS(成本计算!$H70:$EU70,成本计算!$H$4:$EU$4,"&lt;="&amp;$C$3,成本计算!$H$6:$EU$6,"采购数量"))</f>
      </c>
      <c r="G68" s="186">
        <f>IF(B68="","",SUMIFS(成本计算!$H70:$EU70,成本计算!$H$4:$EU$4,"&lt;="&amp;$C$3,成本计算!$H$6:$EU$6,"采购金额"))</f>
      </c>
      <c r="H68" s="220">
        <f>IF(B68="","",SUMIFS(成本计算!$H70:$EU70,成本计算!$H$4:$EU$4,"&lt;="&amp;$C$3,成本计算!$H$6:$EU$6,"出库数量"))</f>
      </c>
      <c r="I68" s="186">
        <f>IF(B68="","",SUMIFS(成本计算!$H70:$EU70,成本计算!$H$4:$EU$4,"&lt;="&amp;$C$3,成本计算!$H$6:$EU$6,"出库成本"))</f>
      </c>
      <c r="J68" s="220">
        <f>IF(B68="","",SUMIFS(成本计算!$H70:$EU70,成本计算!$H$4:$EU$4,"&lt;="&amp;$C$3,成本计算!$H$6:$EU$6,"报损数量"))</f>
      </c>
      <c r="K68" s="186">
        <f>IF(B68="","",SUMIFS(成本计算!$H70:$EU70,成本计算!$H$4:$EU$4,"&lt;="&amp;$C$3,成本计算!$H$6:$EU$6,"报损金额"))</f>
      </c>
      <c r="L68" s="221">
        <f>IF(B68="","",INDEX(成本计算!$H70:$EU70,($C$3-1)*12+10))</f>
      </c>
      <c r="M68" s="187">
        <f>IF(B68="","",INDEX(成本计算!$H70:$EU70,($C$3-1)*12+11))</f>
      </c>
      <c r="N68" s="222">
        <f>IF(OR(B68="",N(L68)&lt;=0),"",M68/L68)</f>
      </c>
      <c r="O68" s="220">
        <f>IF(B68="","",SUMIF(商品库存!$C$4:$C$603,B68,商品库存!$I$4:$I$603))</f>
      </c>
      <c r="P68" s="221">
        <f>IF(B68="","",L68-O68)</f>
      </c>
      <c r="Q68" s="223">
        <f>IF(B68="","",IF(L68&lt;0,"✗ 结存为负：进货没录全；","")&amp;IF(AND(N(H68)&gt;0,N(I68)=0),"⚠ 没有进价，成本按 0 算；","")&amp;IF(AND(L68&gt;=0,P68&lt;0),"⚠ 不够兑现客户存条",""))</f>
      </c>
    </row>
    <row r="69">
      <c r="A69" s="194">
        <f>IF(B69="","",ROW()-5)</f>
      </c>
      <c r="B69" s="141">
        <f>成本计算!B71</f>
      </c>
      <c r="C69" s="141">
        <f>IF(B69="","",基础资料!F68&amp;"")</f>
      </c>
      <c r="D69" s="220">
        <f>IF(B69="","",成本计算!F71)</f>
      </c>
      <c r="E69" s="186">
        <f>IF(B69="","",成本计算!G71)</f>
      </c>
      <c r="F69" s="220">
        <f>IF(B69="","",SUMIFS(成本计算!$H71:$EU71,成本计算!$H$4:$EU$4,"&lt;="&amp;$C$3,成本计算!$H$6:$EU$6,"采购数量"))</f>
      </c>
      <c r="G69" s="186">
        <f>IF(B69="","",SUMIFS(成本计算!$H71:$EU71,成本计算!$H$4:$EU$4,"&lt;="&amp;$C$3,成本计算!$H$6:$EU$6,"采购金额"))</f>
      </c>
      <c r="H69" s="220">
        <f>IF(B69="","",SUMIFS(成本计算!$H71:$EU71,成本计算!$H$4:$EU$4,"&lt;="&amp;$C$3,成本计算!$H$6:$EU$6,"出库数量"))</f>
      </c>
      <c r="I69" s="186">
        <f>IF(B69="","",SUMIFS(成本计算!$H71:$EU71,成本计算!$H$4:$EU$4,"&lt;="&amp;$C$3,成本计算!$H$6:$EU$6,"出库成本"))</f>
      </c>
      <c r="J69" s="220">
        <f>IF(B69="","",SUMIFS(成本计算!$H71:$EU71,成本计算!$H$4:$EU$4,"&lt;="&amp;$C$3,成本计算!$H$6:$EU$6,"报损数量"))</f>
      </c>
      <c r="K69" s="186">
        <f>IF(B69="","",SUMIFS(成本计算!$H71:$EU71,成本计算!$H$4:$EU$4,"&lt;="&amp;$C$3,成本计算!$H$6:$EU$6,"报损金额"))</f>
      </c>
      <c r="L69" s="221">
        <f>IF(B69="","",INDEX(成本计算!$H71:$EU71,($C$3-1)*12+10))</f>
      </c>
      <c r="M69" s="187">
        <f>IF(B69="","",INDEX(成本计算!$H71:$EU71,($C$3-1)*12+11))</f>
      </c>
      <c r="N69" s="222">
        <f>IF(OR(B69="",N(L69)&lt;=0),"",M69/L69)</f>
      </c>
      <c r="O69" s="220">
        <f>IF(B69="","",SUMIF(商品库存!$C$4:$C$603,B69,商品库存!$I$4:$I$603))</f>
      </c>
      <c r="P69" s="221">
        <f>IF(B69="","",L69-O69)</f>
      </c>
      <c r="Q69" s="223">
        <f>IF(B69="","",IF(L69&lt;0,"✗ 结存为负：进货没录全；","")&amp;IF(AND(N(H69)&gt;0,N(I69)=0),"⚠ 没有进价，成本按 0 算；","")&amp;IF(AND(L69&gt;=0,P69&lt;0),"⚠ 不够兑现客户存条",""))</f>
      </c>
    </row>
    <row r="70">
      <c r="A70" s="194">
        <f>IF(B70="","",ROW()-5)</f>
      </c>
      <c r="B70" s="141">
        <f>成本计算!B72</f>
      </c>
      <c r="C70" s="141">
        <f>IF(B70="","",基础资料!F69&amp;"")</f>
      </c>
      <c r="D70" s="220">
        <f>IF(B70="","",成本计算!F72)</f>
      </c>
      <c r="E70" s="186">
        <f>IF(B70="","",成本计算!G72)</f>
      </c>
      <c r="F70" s="220">
        <f>IF(B70="","",SUMIFS(成本计算!$H72:$EU72,成本计算!$H$4:$EU$4,"&lt;="&amp;$C$3,成本计算!$H$6:$EU$6,"采购数量"))</f>
      </c>
      <c r="G70" s="186">
        <f>IF(B70="","",SUMIFS(成本计算!$H72:$EU72,成本计算!$H$4:$EU$4,"&lt;="&amp;$C$3,成本计算!$H$6:$EU$6,"采购金额"))</f>
      </c>
      <c r="H70" s="220">
        <f>IF(B70="","",SUMIFS(成本计算!$H72:$EU72,成本计算!$H$4:$EU$4,"&lt;="&amp;$C$3,成本计算!$H$6:$EU$6,"出库数量"))</f>
      </c>
      <c r="I70" s="186">
        <f>IF(B70="","",SUMIFS(成本计算!$H72:$EU72,成本计算!$H$4:$EU$4,"&lt;="&amp;$C$3,成本计算!$H$6:$EU$6,"出库成本"))</f>
      </c>
      <c r="J70" s="220">
        <f>IF(B70="","",SUMIFS(成本计算!$H72:$EU72,成本计算!$H$4:$EU$4,"&lt;="&amp;$C$3,成本计算!$H$6:$EU$6,"报损数量"))</f>
      </c>
      <c r="K70" s="186">
        <f>IF(B70="","",SUMIFS(成本计算!$H72:$EU72,成本计算!$H$4:$EU$4,"&lt;="&amp;$C$3,成本计算!$H$6:$EU$6,"报损金额"))</f>
      </c>
      <c r="L70" s="221">
        <f>IF(B70="","",INDEX(成本计算!$H72:$EU72,($C$3-1)*12+10))</f>
      </c>
      <c r="M70" s="187">
        <f>IF(B70="","",INDEX(成本计算!$H72:$EU72,($C$3-1)*12+11))</f>
      </c>
      <c r="N70" s="222">
        <f>IF(OR(B70="",N(L70)&lt;=0),"",M70/L70)</f>
      </c>
      <c r="O70" s="220">
        <f>IF(B70="","",SUMIF(商品库存!$C$4:$C$603,B70,商品库存!$I$4:$I$603))</f>
      </c>
      <c r="P70" s="221">
        <f>IF(B70="","",L70-O70)</f>
      </c>
      <c r="Q70" s="223">
        <f>IF(B70="","",IF(L70&lt;0,"✗ 结存为负：进货没录全；","")&amp;IF(AND(N(H70)&gt;0,N(I70)=0),"⚠ 没有进价，成本按 0 算；","")&amp;IF(AND(L70&gt;=0,P70&lt;0),"⚠ 不够兑现客户存条",""))</f>
      </c>
    </row>
    <row r="71">
      <c r="A71" s="194">
        <f>IF(B71="","",ROW()-5)</f>
      </c>
      <c r="B71" s="141">
        <f>成本计算!B73</f>
      </c>
      <c r="C71" s="141">
        <f>IF(B71="","",基础资料!F70&amp;"")</f>
      </c>
      <c r="D71" s="220">
        <f>IF(B71="","",成本计算!F73)</f>
      </c>
      <c r="E71" s="186">
        <f>IF(B71="","",成本计算!G73)</f>
      </c>
      <c r="F71" s="220">
        <f>IF(B71="","",SUMIFS(成本计算!$H73:$EU73,成本计算!$H$4:$EU$4,"&lt;="&amp;$C$3,成本计算!$H$6:$EU$6,"采购数量"))</f>
      </c>
      <c r="G71" s="186">
        <f>IF(B71="","",SUMIFS(成本计算!$H73:$EU73,成本计算!$H$4:$EU$4,"&lt;="&amp;$C$3,成本计算!$H$6:$EU$6,"采购金额"))</f>
      </c>
      <c r="H71" s="220">
        <f>IF(B71="","",SUMIFS(成本计算!$H73:$EU73,成本计算!$H$4:$EU$4,"&lt;="&amp;$C$3,成本计算!$H$6:$EU$6,"出库数量"))</f>
      </c>
      <c r="I71" s="186">
        <f>IF(B71="","",SUMIFS(成本计算!$H73:$EU73,成本计算!$H$4:$EU$4,"&lt;="&amp;$C$3,成本计算!$H$6:$EU$6,"出库成本"))</f>
      </c>
      <c r="J71" s="220">
        <f>IF(B71="","",SUMIFS(成本计算!$H73:$EU73,成本计算!$H$4:$EU$4,"&lt;="&amp;$C$3,成本计算!$H$6:$EU$6,"报损数量"))</f>
      </c>
      <c r="K71" s="186">
        <f>IF(B71="","",SUMIFS(成本计算!$H73:$EU73,成本计算!$H$4:$EU$4,"&lt;="&amp;$C$3,成本计算!$H$6:$EU$6,"报损金额"))</f>
      </c>
      <c r="L71" s="221">
        <f>IF(B71="","",INDEX(成本计算!$H73:$EU73,($C$3-1)*12+10))</f>
      </c>
      <c r="M71" s="187">
        <f>IF(B71="","",INDEX(成本计算!$H73:$EU73,($C$3-1)*12+11))</f>
      </c>
      <c r="N71" s="222">
        <f>IF(OR(B71="",N(L71)&lt;=0),"",M71/L71)</f>
      </c>
      <c r="O71" s="220">
        <f>IF(B71="","",SUMIF(商品库存!$C$4:$C$603,B71,商品库存!$I$4:$I$603))</f>
      </c>
      <c r="P71" s="221">
        <f>IF(B71="","",L71-O71)</f>
      </c>
      <c r="Q71" s="223">
        <f>IF(B71="","",IF(L71&lt;0,"✗ 结存为负：进货没录全；","")&amp;IF(AND(N(H71)&gt;0,N(I71)=0),"⚠ 没有进价，成本按 0 算；","")&amp;IF(AND(L71&gt;=0,P71&lt;0),"⚠ 不够兑现客户存条",""))</f>
      </c>
    </row>
    <row r="72">
      <c r="A72" s="194">
        <f>IF(B72="","",ROW()-5)</f>
      </c>
      <c r="B72" s="141">
        <f>成本计算!B74</f>
      </c>
      <c r="C72" s="141">
        <f>IF(B72="","",基础资料!F71&amp;"")</f>
      </c>
      <c r="D72" s="220">
        <f>IF(B72="","",成本计算!F74)</f>
      </c>
      <c r="E72" s="186">
        <f>IF(B72="","",成本计算!G74)</f>
      </c>
      <c r="F72" s="220">
        <f>IF(B72="","",SUMIFS(成本计算!$H74:$EU74,成本计算!$H$4:$EU$4,"&lt;="&amp;$C$3,成本计算!$H$6:$EU$6,"采购数量"))</f>
      </c>
      <c r="G72" s="186">
        <f>IF(B72="","",SUMIFS(成本计算!$H74:$EU74,成本计算!$H$4:$EU$4,"&lt;="&amp;$C$3,成本计算!$H$6:$EU$6,"采购金额"))</f>
      </c>
      <c r="H72" s="220">
        <f>IF(B72="","",SUMIFS(成本计算!$H74:$EU74,成本计算!$H$4:$EU$4,"&lt;="&amp;$C$3,成本计算!$H$6:$EU$6,"出库数量"))</f>
      </c>
      <c r="I72" s="186">
        <f>IF(B72="","",SUMIFS(成本计算!$H74:$EU74,成本计算!$H$4:$EU$4,"&lt;="&amp;$C$3,成本计算!$H$6:$EU$6,"出库成本"))</f>
      </c>
      <c r="J72" s="220">
        <f>IF(B72="","",SUMIFS(成本计算!$H74:$EU74,成本计算!$H$4:$EU$4,"&lt;="&amp;$C$3,成本计算!$H$6:$EU$6,"报损数量"))</f>
      </c>
      <c r="K72" s="186">
        <f>IF(B72="","",SUMIFS(成本计算!$H74:$EU74,成本计算!$H$4:$EU$4,"&lt;="&amp;$C$3,成本计算!$H$6:$EU$6,"报损金额"))</f>
      </c>
      <c r="L72" s="221">
        <f>IF(B72="","",INDEX(成本计算!$H74:$EU74,($C$3-1)*12+10))</f>
      </c>
      <c r="M72" s="187">
        <f>IF(B72="","",INDEX(成本计算!$H74:$EU74,($C$3-1)*12+11))</f>
      </c>
      <c r="N72" s="222">
        <f>IF(OR(B72="",N(L72)&lt;=0),"",M72/L72)</f>
      </c>
      <c r="O72" s="220">
        <f>IF(B72="","",SUMIF(商品库存!$C$4:$C$603,B72,商品库存!$I$4:$I$603))</f>
      </c>
      <c r="P72" s="221">
        <f>IF(B72="","",L72-O72)</f>
      </c>
      <c r="Q72" s="223">
        <f>IF(B72="","",IF(L72&lt;0,"✗ 结存为负：进货没录全；","")&amp;IF(AND(N(H72)&gt;0,N(I72)=0),"⚠ 没有进价，成本按 0 算；","")&amp;IF(AND(L72&gt;=0,P72&lt;0),"⚠ 不够兑现客户存条",""))</f>
      </c>
    </row>
    <row r="73">
      <c r="A73" s="194">
        <f>IF(B73="","",ROW()-5)</f>
      </c>
      <c r="B73" s="141">
        <f>成本计算!B75</f>
      </c>
      <c r="C73" s="141">
        <f>IF(B73="","",基础资料!F72&amp;"")</f>
      </c>
      <c r="D73" s="220">
        <f>IF(B73="","",成本计算!F75)</f>
      </c>
      <c r="E73" s="186">
        <f>IF(B73="","",成本计算!G75)</f>
      </c>
      <c r="F73" s="220">
        <f>IF(B73="","",SUMIFS(成本计算!$H75:$EU75,成本计算!$H$4:$EU$4,"&lt;="&amp;$C$3,成本计算!$H$6:$EU$6,"采购数量"))</f>
      </c>
      <c r="G73" s="186">
        <f>IF(B73="","",SUMIFS(成本计算!$H75:$EU75,成本计算!$H$4:$EU$4,"&lt;="&amp;$C$3,成本计算!$H$6:$EU$6,"采购金额"))</f>
      </c>
      <c r="H73" s="220">
        <f>IF(B73="","",SUMIFS(成本计算!$H75:$EU75,成本计算!$H$4:$EU$4,"&lt;="&amp;$C$3,成本计算!$H$6:$EU$6,"出库数量"))</f>
      </c>
      <c r="I73" s="186">
        <f>IF(B73="","",SUMIFS(成本计算!$H75:$EU75,成本计算!$H$4:$EU$4,"&lt;="&amp;$C$3,成本计算!$H$6:$EU$6,"出库成本"))</f>
      </c>
      <c r="J73" s="220">
        <f>IF(B73="","",SUMIFS(成本计算!$H75:$EU75,成本计算!$H$4:$EU$4,"&lt;="&amp;$C$3,成本计算!$H$6:$EU$6,"报损数量"))</f>
      </c>
      <c r="K73" s="186">
        <f>IF(B73="","",SUMIFS(成本计算!$H75:$EU75,成本计算!$H$4:$EU$4,"&lt;="&amp;$C$3,成本计算!$H$6:$EU$6,"报损金额"))</f>
      </c>
      <c r="L73" s="221">
        <f>IF(B73="","",INDEX(成本计算!$H75:$EU75,($C$3-1)*12+10))</f>
      </c>
      <c r="M73" s="187">
        <f>IF(B73="","",INDEX(成本计算!$H75:$EU75,($C$3-1)*12+11))</f>
      </c>
      <c r="N73" s="222">
        <f>IF(OR(B73="",N(L73)&lt;=0),"",M73/L73)</f>
      </c>
      <c r="O73" s="220">
        <f>IF(B73="","",SUMIF(商品库存!$C$4:$C$603,B73,商品库存!$I$4:$I$603))</f>
      </c>
      <c r="P73" s="221">
        <f>IF(B73="","",L73-O73)</f>
      </c>
      <c r="Q73" s="223">
        <f>IF(B73="","",IF(L73&lt;0,"✗ 结存为负：进货没录全；","")&amp;IF(AND(N(H73)&gt;0,N(I73)=0),"⚠ 没有进价，成本按 0 算；","")&amp;IF(AND(L73&gt;=0,P73&lt;0),"⚠ 不够兑现客户存条",""))</f>
      </c>
    </row>
    <row r="74">
      <c r="A74" s="194">
        <f>IF(B74="","",ROW()-5)</f>
      </c>
      <c r="B74" s="141">
        <f>成本计算!B76</f>
      </c>
      <c r="C74" s="141">
        <f>IF(B74="","",基础资料!F73&amp;"")</f>
      </c>
      <c r="D74" s="220">
        <f>IF(B74="","",成本计算!F76)</f>
      </c>
      <c r="E74" s="186">
        <f>IF(B74="","",成本计算!G76)</f>
      </c>
      <c r="F74" s="220">
        <f>IF(B74="","",SUMIFS(成本计算!$H76:$EU76,成本计算!$H$4:$EU$4,"&lt;="&amp;$C$3,成本计算!$H$6:$EU$6,"采购数量"))</f>
      </c>
      <c r="G74" s="186">
        <f>IF(B74="","",SUMIFS(成本计算!$H76:$EU76,成本计算!$H$4:$EU$4,"&lt;="&amp;$C$3,成本计算!$H$6:$EU$6,"采购金额"))</f>
      </c>
      <c r="H74" s="220">
        <f>IF(B74="","",SUMIFS(成本计算!$H76:$EU76,成本计算!$H$4:$EU$4,"&lt;="&amp;$C$3,成本计算!$H$6:$EU$6,"出库数量"))</f>
      </c>
      <c r="I74" s="186">
        <f>IF(B74="","",SUMIFS(成本计算!$H76:$EU76,成本计算!$H$4:$EU$4,"&lt;="&amp;$C$3,成本计算!$H$6:$EU$6,"出库成本"))</f>
      </c>
      <c r="J74" s="220">
        <f>IF(B74="","",SUMIFS(成本计算!$H76:$EU76,成本计算!$H$4:$EU$4,"&lt;="&amp;$C$3,成本计算!$H$6:$EU$6,"报损数量"))</f>
      </c>
      <c r="K74" s="186">
        <f>IF(B74="","",SUMIFS(成本计算!$H76:$EU76,成本计算!$H$4:$EU$4,"&lt;="&amp;$C$3,成本计算!$H$6:$EU$6,"报损金额"))</f>
      </c>
      <c r="L74" s="221">
        <f>IF(B74="","",INDEX(成本计算!$H76:$EU76,($C$3-1)*12+10))</f>
      </c>
      <c r="M74" s="187">
        <f>IF(B74="","",INDEX(成本计算!$H76:$EU76,($C$3-1)*12+11))</f>
      </c>
      <c r="N74" s="222">
        <f>IF(OR(B74="",N(L74)&lt;=0),"",M74/L74)</f>
      </c>
      <c r="O74" s="220">
        <f>IF(B74="","",SUMIF(商品库存!$C$4:$C$603,B74,商品库存!$I$4:$I$603))</f>
      </c>
      <c r="P74" s="221">
        <f>IF(B74="","",L74-O74)</f>
      </c>
      <c r="Q74" s="223">
        <f>IF(B74="","",IF(L74&lt;0,"✗ 结存为负：进货没录全；","")&amp;IF(AND(N(H74)&gt;0,N(I74)=0),"⚠ 没有进价，成本按 0 算；","")&amp;IF(AND(L74&gt;=0,P74&lt;0),"⚠ 不够兑现客户存条",""))</f>
      </c>
    </row>
    <row r="75">
      <c r="A75" s="194">
        <f>IF(B75="","",ROW()-5)</f>
      </c>
      <c r="B75" s="141">
        <f>成本计算!B77</f>
      </c>
      <c r="C75" s="141">
        <f>IF(B75="","",基础资料!F74&amp;"")</f>
      </c>
      <c r="D75" s="220">
        <f>IF(B75="","",成本计算!F77)</f>
      </c>
      <c r="E75" s="186">
        <f>IF(B75="","",成本计算!G77)</f>
      </c>
      <c r="F75" s="220">
        <f>IF(B75="","",SUMIFS(成本计算!$H77:$EU77,成本计算!$H$4:$EU$4,"&lt;="&amp;$C$3,成本计算!$H$6:$EU$6,"采购数量"))</f>
      </c>
      <c r="G75" s="186">
        <f>IF(B75="","",SUMIFS(成本计算!$H77:$EU77,成本计算!$H$4:$EU$4,"&lt;="&amp;$C$3,成本计算!$H$6:$EU$6,"采购金额"))</f>
      </c>
      <c r="H75" s="220">
        <f>IF(B75="","",SUMIFS(成本计算!$H77:$EU77,成本计算!$H$4:$EU$4,"&lt;="&amp;$C$3,成本计算!$H$6:$EU$6,"出库数量"))</f>
      </c>
      <c r="I75" s="186">
        <f>IF(B75="","",SUMIFS(成本计算!$H77:$EU77,成本计算!$H$4:$EU$4,"&lt;="&amp;$C$3,成本计算!$H$6:$EU$6,"出库成本"))</f>
      </c>
      <c r="J75" s="220">
        <f>IF(B75="","",SUMIFS(成本计算!$H77:$EU77,成本计算!$H$4:$EU$4,"&lt;="&amp;$C$3,成本计算!$H$6:$EU$6,"报损数量"))</f>
      </c>
      <c r="K75" s="186">
        <f>IF(B75="","",SUMIFS(成本计算!$H77:$EU77,成本计算!$H$4:$EU$4,"&lt;="&amp;$C$3,成本计算!$H$6:$EU$6,"报损金额"))</f>
      </c>
      <c r="L75" s="221">
        <f>IF(B75="","",INDEX(成本计算!$H77:$EU77,($C$3-1)*12+10))</f>
      </c>
      <c r="M75" s="187">
        <f>IF(B75="","",INDEX(成本计算!$H77:$EU77,($C$3-1)*12+11))</f>
      </c>
      <c r="N75" s="222">
        <f>IF(OR(B75="",N(L75)&lt;=0),"",M75/L75)</f>
      </c>
      <c r="O75" s="220">
        <f>IF(B75="","",SUMIF(商品库存!$C$4:$C$603,B75,商品库存!$I$4:$I$603))</f>
      </c>
      <c r="P75" s="221">
        <f>IF(B75="","",L75-O75)</f>
      </c>
      <c r="Q75" s="223">
        <f>IF(B75="","",IF(L75&lt;0,"✗ 结存为负：进货没录全；","")&amp;IF(AND(N(H75)&gt;0,N(I75)=0),"⚠ 没有进价，成本按 0 算；","")&amp;IF(AND(L75&gt;=0,P75&lt;0),"⚠ 不够兑现客户存条",""))</f>
      </c>
    </row>
    <row r="76">
      <c r="A76" s="194">
        <f>IF(B76="","",ROW()-5)</f>
      </c>
      <c r="B76" s="141">
        <f>成本计算!B78</f>
      </c>
      <c r="C76" s="141">
        <f>IF(B76="","",基础资料!F75&amp;"")</f>
      </c>
      <c r="D76" s="220">
        <f>IF(B76="","",成本计算!F78)</f>
      </c>
      <c r="E76" s="186">
        <f>IF(B76="","",成本计算!G78)</f>
      </c>
      <c r="F76" s="220">
        <f>IF(B76="","",SUMIFS(成本计算!$H78:$EU78,成本计算!$H$4:$EU$4,"&lt;="&amp;$C$3,成本计算!$H$6:$EU$6,"采购数量"))</f>
      </c>
      <c r="G76" s="186">
        <f>IF(B76="","",SUMIFS(成本计算!$H78:$EU78,成本计算!$H$4:$EU$4,"&lt;="&amp;$C$3,成本计算!$H$6:$EU$6,"采购金额"))</f>
      </c>
      <c r="H76" s="220">
        <f>IF(B76="","",SUMIFS(成本计算!$H78:$EU78,成本计算!$H$4:$EU$4,"&lt;="&amp;$C$3,成本计算!$H$6:$EU$6,"出库数量"))</f>
      </c>
      <c r="I76" s="186">
        <f>IF(B76="","",SUMIFS(成本计算!$H78:$EU78,成本计算!$H$4:$EU$4,"&lt;="&amp;$C$3,成本计算!$H$6:$EU$6,"出库成本"))</f>
      </c>
      <c r="J76" s="220">
        <f>IF(B76="","",SUMIFS(成本计算!$H78:$EU78,成本计算!$H$4:$EU$4,"&lt;="&amp;$C$3,成本计算!$H$6:$EU$6,"报损数量"))</f>
      </c>
      <c r="K76" s="186">
        <f>IF(B76="","",SUMIFS(成本计算!$H78:$EU78,成本计算!$H$4:$EU$4,"&lt;="&amp;$C$3,成本计算!$H$6:$EU$6,"报损金额"))</f>
      </c>
      <c r="L76" s="221">
        <f>IF(B76="","",INDEX(成本计算!$H78:$EU78,($C$3-1)*12+10))</f>
      </c>
      <c r="M76" s="187">
        <f>IF(B76="","",INDEX(成本计算!$H78:$EU78,($C$3-1)*12+11))</f>
      </c>
      <c r="N76" s="222">
        <f>IF(OR(B76="",N(L76)&lt;=0),"",M76/L76)</f>
      </c>
      <c r="O76" s="220">
        <f>IF(B76="","",SUMIF(商品库存!$C$4:$C$603,B76,商品库存!$I$4:$I$603))</f>
      </c>
      <c r="P76" s="221">
        <f>IF(B76="","",L76-O76)</f>
      </c>
      <c r="Q76" s="223">
        <f>IF(B76="","",IF(L76&lt;0,"✗ 结存为负：进货没录全；","")&amp;IF(AND(N(H76)&gt;0,N(I76)=0),"⚠ 没有进价，成本按 0 算；","")&amp;IF(AND(L76&gt;=0,P76&lt;0),"⚠ 不够兑现客户存条",""))</f>
      </c>
    </row>
    <row r="77">
      <c r="A77" s="194">
        <f>IF(B77="","",ROW()-5)</f>
      </c>
      <c r="B77" s="141">
        <f>成本计算!B79</f>
      </c>
      <c r="C77" s="141">
        <f>IF(B77="","",基础资料!F76&amp;"")</f>
      </c>
      <c r="D77" s="220">
        <f>IF(B77="","",成本计算!F79)</f>
      </c>
      <c r="E77" s="186">
        <f>IF(B77="","",成本计算!G79)</f>
      </c>
      <c r="F77" s="220">
        <f>IF(B77="","",SUMIFS(成本计算!$H79:$EU79,成本计算!$H$4:$EU$4,"&lt;="&amp;$C$3,成本计算!$H$6:$EU$6,"采购数量"))</f>
      </c>
      <c r="G77" s="186">
        <f>IF(B77="","",SUMIFS(成本计算!$H79:$EU79,成本计算!$H$4:$EU$4,"&lt;="&amp;$C$3,成本计算!$H$6:$EU$6,"采购金额"))</f>
      </c>
      <c r="H77" s="220">
        <f>IF(B77="","",SUMIFS(成本计算!$H79:$EU79,成本计算!$H$4:$EU$4,"&lt;="&amp;$C$3,成本计算!$H$6:$EU$6,"出库数量"))</f>
      </c>
      <c r="I77" s="186">
        <f>IF(B77="","",SUMIFS(成本计算!$H79:$EU79,成本计算!$H$4:$EU$4,"&lt;="&amp;$C$3,成本计算!$H$6:$EU$6,"出库成本"))</f>
      </c>
      <c r="J77" s="220">
        <f>IF(B77="","",SUMIFS(成本计算!$H79:$EU79,成本计算!$H$4:$EU$4,"&lt;="&amp;$C$3,成本计算!$H$6:$EU$6,"报损数量"))</f>
      </c>
      <c r="K77" s="186">
        <f>IF(B77="","",SUMIFS(成本计算!$H79:$EU79,成本计算!$H$4:$EU$4,"&lt;="&amp;$C$3,成本计算!$H$6:$EU$6,"报损金额"))</f>
      </c>
      <c r="L77" s="221">
        <f>IF(B77="","",INDEX(成本计算!$H79:$EU79,($C$3-1)*12+10))</f>
      </c>
      <c r="M77" s="187">
        <f>IF(B77="","",INDEX(成本计算!$H79:$EU79,($C$3-1)*12+11))</f>
      </c>
      <c r="N77" s="222">
        <f>IF(OR(B77="",N(L77)&lt;=0),"",M77/L77)</f>
      </c>
      <c r="O77" s="220">
        <f>IF(B77="","",SUMIF(商品库存!$C$4:$C$603,B77,商品库存!$I$4:$I$603))</f>
      </c>
      <c r="P77" s="221">
        <f>IF(B77="","",L77-O77)</f>
      </c>
      <c r="Q77" s="223">
        <f>IF(B77="","",IF(L77&lt;0,"✗ 结存为负：进货没录全；","")&amp;IF(AND(N(H77)&gt;0,N(I77)=0),"⚠ 没有进价，成本按 0 算；","")&amp;IF(AND(L77&gt;=0,P77&lt;0),"⚠ 不够兑现客户存条",""))</f>
      </c>
    </row>
    <row r="78">
      <c r="A78" s="194">
        <f>IF(B78="","",ROW()-5)</f>
      </c>
      <c r="B78" s="141">
        <f>成本计算!B80</f>
      </c>
      <c r="C78" s="141">
        <f>IF(B78="","",基础资料!F77&amp;"")</f>
      </c>
      <c r="D78" s="220">
        <f>IF(B78="","",成本计算!F80)</f>
      </c>
      <c r="E78" s="186">
        <f>IF(B78="","",成本计算!G80)</f>
      </c>
      <c r="F78" s="220">
        <f>IF(B78="","",SUMIFS(成本计算!$H80:$EU80,成本计算!$H$4:$EU$4,"&lt;="&amp;$C$3,成本计算!$H$6:$EU$6,"采购数量"))</f>
      </c>
      <c r="G78" s="186">
        <f>IF(B78="","",SUMIFS(成本计算!$H80:$EU80,成本计算!$H$4:$EU$4,"&lt;="&amp;$C$3,成本计算!$H$6:$EU$6,"采购金额"))</f>
      </c>
      <c r="H78" s="220">
        <f>IF(B78="","",SUMIFS(成本计算!$H80:$EU80,成本计算!$H$4:$EU$4,"&lt;="&amp;$C$3,成本计算!$H$6:$EU$6,"出库数量"))</f>
      </c>
      <c r="I78" s="186">
        <f>IF(B78="","",SUMIFS(成本计算!$H80:$EU80,成本计算!$H$4:$EU$4,"&lt;="&amp;$C$3,成本计算!$H$6:$EU$6,"出库成本"))</f>
      </c>
      <c r="J78" s="220">
        <f>IF(B78="","",SUMIFS(成本计算!$H80:$EU80,成本计算!$H$4:$EU$4,"&lt;="&amp;$C$3,成本计算!$H$6:$EU$6,"报损数量"))</f>
      </c>
      <c r="K78" s="186">
        <f>IF(B78="","",SUMIFS(成本计算!$H80:$EU80,成本计算!$H$4:$EU$4,"&lt;="&amp;$C$3,成本计算!$H$6:$EU$6,"报损金额"))</f>
      </c>
      <c r="L78" s="221">
        <f>IF(B78="","",INDEX(成本计算!$H80:$EU80,($C$3-1)*12+10))</f>
      </c>
      <c r="M78" s="187">
        <f>IF(B78="","",INDEX(成本计算!$H80:$EU80,($C$3-1)*12+11))</f>
      </c>
      <c r="N78" s="222">
        <f>IF(OR(B78="",N(L78)&lt;=0),"",M78/L78)</f>
      </c>
      <c r="O78" s="220">
        <f>IF(B78="","",SUMIF(商品库存!$C$4:$C$603,B78,商品库存!$I$4:$I$603))</f>
      </c>
      <c r="P78" s="221">
        <f>IF(B78="","",L78-O78)</f>
      </c>
      <c r="Q78" s="223">
        <f>IF(B78="","",IF(L78&lt;0,"✗ 结存为负：进货没录全；","")&amp;IF(AND(N(H78)&gt;0,N(I78)=0),"⚠ 没有进价，成本按 0 算；","")&amp;IF(AND(L78&gt;=0,P78&lt;0),"⚠ 不够兑现客户存条",""))</f>
      </c>
    </row>
    <row r="79">
      <c r="A79" s="194">
        <f>IF(B79="","",ROW()-5)</f>
      </c>
      <c r="B79" s="141">
        <f>成本计算!B81</f>
      </c>
      <c r="C79" s="141">
        <f>IF(B79="","",基础资料!F78&amp;"")</f>
      </c>
      <c r="D79" s="220">
        <f>IF(B79="","",成本计算!F81)</f>
      </c>
      <c r="E79" s="186">
        <f>IF(B79="","",成本计算!G81)</f>
      </c>
      <c r="F79" s="220">
        <f>IF(B79="","",SUMIFS(成本计算!$H81:$EU81,成本计算!$H$4:$EU$4,"&lt;="&amp;$C$3,成本计算!$H$6:$EU$6,"采购数量"))</f>
      </c>
      <c r="G79" s="186">
        <f>IF(B79="","",SUMIFS(成本计算!$H81:$EU81,成本计算!$H$4:$EU$4,"&lt;="&amp;$C$3,成本计算!$H$6:$EU$6,"采购金额"))</f>
      </c>
      <c r="H79" s="220">
        <f>IF(B79="","",SUMIFS(成本计算!$H81:$EU81,成本计算!$H$4:$EU$4,"&lt;="&amp;$C$3,成本计算!$H$6:$EU$6,"出库数量"))</f>
      </c>
      <c r="I79" s="186">
        <f>IF(B79="","",SUMIFS(成本计算!$H81:$EU81,成本计算!$H$4:$EU$4,"&lt;="&amp;$C$3,成本计算!$H$6:$EU$6,"出库成本"))</f>
      </c>
      <c r="J79" s="220">
        <f>IF(B79="","",SUMIFS(成本计算!$H81:$EU81,成本计算!$H$4:$EU$4,"&lt;="&amp;$C$3,成本计算!$H$6:$EU$6,"报损数量"))</f>
      </c>
      <c r="K79" s="186">
        <f>IF(B79="","",SUMIFS(成本计算!$H81:$EU81,成本计算!$H$4:$EU$4,"&lt;="&amp;$C$3,成本计算!$H$6:$EU$6,"报损金额"))</f>
      </c>
      <c r="L79" s="221">
        <f>IF(B79="","",INDEX(成本计算!$H81:$EU81,($C$3-1)*12+10))</f>
      </c>
      <c r="M79" s="187">
        <f>IF(B79="","",INDEX(成本计算!$H81:$EU81,($C$3-1)*12+11))</f>
      </c>
      <c r="N79" s="222">
        <f>IF(OR(B79="",N(L79)&lt;=0),"",M79/L79)</f>
      </c>
      <c r="O79" s="220">
        <f>IF(B79="","",SUMIF(商品库存!$C$4:$C$603,B79,商品库存!$I$4:$I$603))</f>
      </c>
      <c r="P79" s="221">
        <f>IF(B79="","",L79-O79)</f>
      </c>
      <c r="Q79" s="223">
        <f>IF(B79="","",IF(L79&lt;0,"✗ 结存为负：进货没录全；","")&amp;IF(AND(N(H79)&gt;0,N(I79)=0),"⚠ 没有进价，成本按 0 算；","")&amp;IF(AND(L79&gt;=0,P79&lt;0),"⚠ 不够兑现客户存条",""))</f>
      </c>
    </row>
    <row r="80">
      <c r="A80" s="194">
        <f>IF(B80="","",ROW()-5)</f>
      </c>
      <c r="B80" s="141">
        <f>成本计算!B82</f>
      </c>
      <c r="C80" s="141">
        <f>IF(B80="","",基础资料!F79&amp;"")</f>
      </c>
      <c r="D80" s="220">
        <f>IF(B80="","",成本计算!F82)</f>
      </c>
      <c r="E80" s="186">
        <f>IF(B80="","",成本计算!G82)</f>
      </c>
      <c r="F80" s="220">
        <f>IF(B80="","",SUMIFS(成本计算!$H82:$EU82,成本计算!$H$4:$EU$4,"&lt;="&amp;$C$3,成本计算!$H$6:$EU$6,"采购数量"))</f>
      </c>
      <c r="G80" s="186">
        <f>IF(B80="","",SUMIFS(成本计算!$H82:$EU82,成本计算!$H$4:$EU$4,"&lt;="&amp;$C$3,成本计算!$H$6:$EU$6,"采购金额"))</f>
      </c>
      <c r="H80" s="220">
        <f>IF(B80="","",SUMIFS(成本计算!$H82:$EU82,成本计算!$H$4:$EU$4,"&lt;="&amp;$C$3,成本计算!$H$6:$EU$6,"出库数量"))</f>
      </c>
      <c r="I80" s="186">
        <f>IF(B80="","",SUMIFS(成本计算!$H82:$EU82,成本计算!$H$4:$EU$4,"&lt;="&amp;$C$3,成本计算!$H$6:$EU$6,"出库成本"))</f>
      </c>
      <c r="J80" s="220">
        <f>IF(B80="","",SUMIFS(成本计算!$H82:$EU82,成本计算!$H$4:$EU$4,"&lt;="&amp;$C$3,成本计算!$H$6:$EU$6,"报损数量"))</f>
      </c>
      <c r="K80" s="186">
        <f>IF(B80="","",SUMIFS(成本计算!$H82:$EU82,成本计算!$H$4:$EU$4,"&lt;="&amp;$C$3,成本计算!$H$6:$EU$6,"报损金额"))</f>
      </c>
      <c r="L80" s="221">
        <f>IF(B80="","",INDEX(成本计算!$H82:$EU82,($C$3-1)*12+10))</f>
      </c>
      <c r="M80" s="187">
        <f>IF(B80="","",INDEX(成本计算!$H82:$EU82,($C$3-1)*12+11))</f>
      </c>
      <c r="N80" s="222">
        <f>IF(OR(B80="",N(L80)&lt;=0),"",M80/L80)</f>
      </c>
      <c r="O80" s="220">
        <f>IF(B80="","",SUMIF(商品库存!$C$4:$C$603,B80,商品库存!$I$4:$I$603))</f>
      </c>
      <c r="P80" s="221">
        <f>IF(B80="","",L80-O80)</f>
      </c>
      <c r="Q80" s="223">
        <f>IF(B80="","",IF(L80&lt;0,"✗ 结存为负：进货没录全；","")&amp;IF(AND(N(H80)&gt;0,N(I80)=0),"⚠ 没有进价，成本按 0 算；","")&amp;IF(AND(L80&gt;=0,P80&lt;0),"⚠ 不够兑现客户存条",""))</f>
      </c>
    </row>
    <row r="81">
      <c r="A81" s="194">
        <f>IF(B81="","",ROW()-5)</f>
      </c>
      <c r="B81" s="141">
        <f>成本计算!B83</f>
      </c>
      <c r="C81" s="141">
        <f>IF(B81="","",基础资料!F80&amp;"")</f>
      </c>
      <c r="D81" s="220">
        <f>IF(B81="","",成本计算!F83)</f>
      </c>
      <c r="E81" s="186">
        <f>IF(B81="","",成本计算!G83)</f>
      </c>
      <c r="F81" s="220">
        <f>IF(B81="","",SUMIFS(成本计算!$H83:$EU83,成本计算!$H$4:$EU$4,"&lt;="&amp;$C$3,成本计算!$H$6:$EU$6,"采购数量"))</f>
      </c>
      <c r="G81" s="186">
        <f>IF(B81="","",SUMIFS(成本计算!$H83:$EU83,成本计算!$H$4:$EU$4,"&lt;="&amp;$C$3,成本计算!$H$6:$EU$6,"采购金额"))</f>
      </c>
      <c r="H81" s="220">
        <f>IF(B81="","",SUMIFS(成本计算!$H83:$EU83,成本计算!$H$4:$EU$4,"&lt;="&amp;$C$3,成本计算!$H$6:$EU$6,"出库数量"))</f>
      </c>
      <c r="I81" s="186">
        <f>IF(B81="","",SUMIFS(成本计算!$H83:$EU83,成本计算!$H$4:$EU$4,"&lt;="&amp;$C$3,成本计算!$H$6:$EU$6,"出库成本"))</f>
      </c>
      <c r="J81" s="220">
        <f>IF(B81="","",SUMIFS(成本计算!$H83:$EU83,成本计算!$H$4:$EU$4,"&lt;="&amp;$C$3,成本计算!$H$6:$EU$6,"报损数量"))</f>
      </c>
      <c r="K81" s="186">
        <f>IF(B81="","",SUMIFS(成本计算!$H83:$EU83,成本计算!$H$4:$EU$4,"&lt;="&amp;$C$3,成本计算!$H$6:$EU$6,"报损金额"))</f>
      </c>
      <c r="L81" s="221">
        <f>IF(B81="","",INDEX(成本计算!$H83:$EU83,($C$3-1)*12+10))</f>
      </c>
      <c r="M81" s="187">
        <f>IF(B81="","",INDEX(成本计算!$H83:$EU83,($C$3-1)*12+11))</f>
      </c>
      <c r="N81" s="222">
        <f>IF(OR(B81="",N(L81)&lt;=0),"",M81/L81)</f>
      </c>
      <c r="O81" s="220">
        <f>IF(B81="","",SUMIF(商品库存!$C$4:$C$603,B81,商品库存!$I$4:$I$603))</f>
      </c>
      <c r="P81" s="221">
        <f>IF(B81="","",L81-O81)</f>
      </c>
      <c r="Q81" s="223">
        <f>IF(B81="","",IF(L81&lt;0,"✗ 结存为负：进货没录全；","")&amp;IF(AND(N(H81)&gt;0,N(I81)=0),"⚠ 没有进价，成本按 0 算；","")&amp;IF(AND(L81&gt;=0,P81&lt;0),"⚠ 不够兑现客户存条",""))</f>
      </c>
    </row>
    <row r="82">
      <c r="A82" s="194">
        <f>IF(B82="","",ROW()-5)</f>
      </c>
      <c r="B82" s="141">
        <f>成本计算!B84</f>
      </c>
      <c r="C82" s="141">
        <f>IF(B82="","",基础资料!F81&amp;"")</f>
      </c>
      <c r="D82" s="220">
        <f>IF(B82="","",成本计算!F84)</f>
      </c>
      <c r="E82" s="186">
        <f>IF(B82="","",成本计算!G84)</f>
      </c>
      <c r="F82" s="220">
        <f>IF(B82="","",SUMIFS(成本计算!$H84:$EU84,成本计算!$H$4:$EU$4,"&lt;="&amp;$C$3,成本计算!$H$6:$EU$6,"采购数量"))</f>
      </c>
      <c r="G82" s="186">
        <f>IF(B82="","",SUMIFS(成本计算!$H84:$EU84,成本计算!$H$4:$EU$4,"&lt;="&amp;$C$3,成本计算!$H$6:$EU$6,"采购金额"))</f>
      </c>
      <c r="H82" s="220">
        <f>IF(B82="","",SUMIFS(成本计算!$H84:$EU84,成本计算!$H$4:$EU$4,"&lt;="&amp;$C$3,成本计算!$H$6:$EU$6,"出库数量"))</f>
      </c>
      <c r="I82" s="186">
        <f>IF(B82="","",SUMIFS(成本计算!$H84:$EU84,成本计算!$H$4:$EU$4,"&lt;="&amp;$C$3,成本计算!$H$6:$EU$6,"出库成本"))</f>
      </c>
      <c r="J82" s="220">
        <f>IF(B82="","",SUMIFS(成本计算!$H84:$EU84,成本计算!$H$4:$EU$4,"&lt;="&amp;$C$3,成本计算!$H$6:$EU$6,"报损数量"))</f>
      </c>
      <c r="K82" s="186">
        <f>IF(B82="","",SUMIFS(成本计算!$H84:$EU84,成本计算!$H$4:$EU$4,"&lt;="&amp;$C$3,成本计算!$H$6:$EU$6,"报损金额"))</f>
      </c>
      <c r="L82" s="221">
        <f>IF(B82="","",INDEX(成本计算!$H84:$EU84,($C$3-1)*12+10))</f>
      </c>
      <c r="M82" s="187">
        <f>IF(B82="","",INDEX(成本计算!$H84:$EU84,($C$3-1)*12+11))</f>
      </c>
      <c r="N82" s="222">
        <f>IF(OR(B82="",N(L82)&lt;=0),"",M82/L82)</f>
      </c>
      <c r="O82" s="220">
        <f>IF(B82="","",SUMIF(商品库存!$C$4:$C$603,B82,商品库存!$I$4:$I$603))</f>
      </c>
      <c r="P82" s="221">
        <f>IF(B82="","",L82-O82)</f>
      </c>
      <c r="Q82" s="223">
        <f>IF(B82="","",IF(L82&lt;0,"✗ 结存为负：进货没录全；","")&amp;IF(AND(N(H82)&gt;0,N(I82)=0),"⚠ 没有进价，成本按 0 算；","")&amp;IF(AND(L82&gt;=0,P82&lt;0),"⚠ 不够兑现客户存条",""))</f>
      </c>
    </row>
    <row r="83">
      <c r="A83" s="194">
        <f>IF(B83="","",ROW()-5)</f>
      </c>
      <c r="B83" s="141">
        <f>成本计算!B85</f>
      </c>
      <c r="C83" s="141">
        <f>IF(B83="","",基础资料!F82&amp;"")</f>
      </c>
      <c r="D83" s="220">
        <f>IF(B83="","",成本计算!F85)</f>
      </c>
      <c r="E83" s="186">
        <f>IF(B83="","",成本计算!G85)</f>
      </c>
      <c r="F83" s="220">
        <f>IF(B83="","",SUMIFS(成本计算!$H85:$EU85,成本计算!$H$4:$EU$4,"&lt;="&amp;$C$3,成本计算!$H$6:$EU$6,"采购数量"))</f>
      </c>
      <c r="G83" s="186">
        <f>IF(B83="","",SUMIFS(成本计算!$H85:$EU85,成本计算!$H$4:$EU$4,"&lt;="&amp;$C$3,成本计算!$H$6:$EU$6,"采购金额"))</f>
      </c>
      <c r="H83" s="220">
        <f>IF(B83="","",SUMIFS(成本计算!$H85:$EU85,成本计算!$H$4:$EU$4,"&lt;="&amp;$C$3,成本计算!$H$6:$EU$6,"出库数量"))</f>
      </c>
      <c r="I83" s="186">
        <f>IF(B83="","",SUMIFS(成本计算!$H85:$EU85,成本计算!$H$4:$EU$4,"&lt;="&amp;$C$3,成本计算!$H$6:$EU$6,"出库成本"))</f>
      </c>
      <c r="J83" s="220">
        <f>IF(B83="","",SUMIFS(成本计算!$H85:$EU85,成本计算!$H$4:$EU$4,"&lt;="&amp;$C$3,成本计算!$H$6:$EU$6,"报损数量"))</f>
      </c>
      <c r="K83" s="186">
        <f>IF(B83="","",SUMIFS(成本计算!$H85:$EU85,成本计算!$H$4:$EU$4,"&lt;="&amp;$C$3,成本计算!$H$6:$EU$6,"报损金额"))</f>
      </c>
      <c r="L83" s="221">
        <f>IF(B83="","",INDEX(成本计算!$H85:$EU85,($C$3-1)*12+10))</f>
      </c>
      <c r="M83" s="187">
        <f>IF(B83="","",INDEX(成本计算!$H85:$EU85,($C$3-1)*12+11))</f>
      </c>
      <c r="N83" s="222">
        <f>IF(OR(B83="",N(L83)&lt;=0),"",M83/L83)</f>
      </c>
      <c r="O83" s="220">
        <f>IF(B83="","",SUMIF(商品库存!$C$4:$C$603,B83,商品库存!$I$4:$I$603))</f>
      </c>
      <c r="P83" s="221">
        <f>IF(B83="","",L83-O83)</f>
      </c>
      <c r="Q83" s="223">
        <f>IF(B83="","",IF(L83&lt;0,"✗ 结存为负：进货没录全；","")&amp;IF(AND(N(H83)&gt;0,N(I83)=0),"⚠ 没有进价，成本按 0 算；","")&amp;IF(AND(L83&gt;=0,P83&lt;0),"⚠ 不够兑现客户存条",""))</f>
      </c>
    </row>
    <row r="84">
      <c r="A84" s="194">
        <f>IF(B84="","",ROW()-5)</f>
      </c>
      <c r="B84" s="141">
        <f>成本计算!B86</f>
      </c>
      <c r="C84" s="141">
        <f>IF(B84="","",基础资料!F83&amp;"")</f>
      </c>
      <c r="D84" s="220">
        <f>IF(B84="","",成本计算!F86)</f>
      </c>
      <c r="E84" s="186">
        <f>IF(B84="","",成本计算!G86)</f>
      </c>
      <c r="F84" s="220">
        <f>IF(B84="","",SUMIFS(成本计算!$H86:$EU86,成本计算!$H$4:$EU$4,"&lt;="&amp;$C$3,成本计算!$H$6:$EU$6,"采购数量"))</f>
      </c>
      <c r="G84" s="186">
        <f>IF(B84="","",SUMIFS(成本计算!$H86:$EU86,成本计算!$H$4:$EU$4,"&lt;="&amp;$C$3,成本计算!$H$6:$EU$6,"采购金额"))</f>
      </c>
      <c r="H84" s="220">
        <f>IF(B84="","",SUMIFS(成本计算!$H86:$EU86,成本计算!$H$4:$EU$4,"&lt;="&amp;$C$3,成本计算!$H$6:$EU$6,"出库数量"))</f>
      </c>
      <c r="I84" s="186">
        <f>IF(B84="","",SUMIFS(成本计算!$H86:$EU86,成本计算!$H$4:$EU$4,"&lt;="&amp;$C$3,成本计算!$H$6:$EU$6,"出库成本"))</f>
      </c>
      <c r="J84" s="220">
        <f>IF(B84="","",SUMIFS(成本计算!$H86:$EU86,成本计算!$H$4:$EU$4,"&lt;="&amp;$C$3,成本计算!$H$6:$EU$6,"报损数量"))</f>
      </c>
      <c r="K84" s="186">
        <f>IF(B84="","",SUMIFS(成本计算!$H86:$EU86,成本计算!$H$4:$EU$4,"&lt;="&amp;$C$3,成本计算!$H$6:$EU$6,"报损金额"))</f>
      </c>
      <c r="L84" s="221">
        <f>IF(B84="","",INDEX(成本计算!$H86:$EU86,($C$3-1)*12+10))</f>
      </c>
      <c r="M84" s="187">
        <f>IF(B84="","",INDEX(成本计算!$H86:$EU86,($C$3-1)*12+11))</f>
      </c>
      <c r="N84" s="222">
        <f>IF(OR(B84="",N(L84)&lt;=0),"",M84/L84)</f>
      </c>
      <c r="O84" s="220">
        <f>IF(B84="","",SUMIF(商品库存!$C$4:$C$603,B84,商品库存!$I$4:$I$603))</f>
      </c>
      <c r="P84" s="221">
        <f>IF(B84="","",L84-O84)</f>
      </c>
      <c r="Q84" s="223">
        <f>IF(B84="","",IF(L84&lt;0,"✗ 结存为负：进货没录全；","")&amp;IF(AND(N(H84)&gt;0,N(I84)=0),"⚠ 没有进价，成本按 0 算；","")&amp;IF(AND(L84&gt;=0,P84&lt;0),"⚠ 不够兑现客户存条",""))</f>
      </c>
    </row>
    <row r="85">
      <c r="A85" s="194">
        <f>IF(B85="","",ROW()-5)</f>
      </c>
      <c r="B85" s="141">
        <f>成本计算!B87</f>
      </c>
      <c r="C85" s="141">
        <f>IF(B85="","",基础资料!F84&amp;"")</f>
      </c>
      <c r="D85" s="220">
        <f>IF(B85="","",成本计算!F87)</f>
      </c>
      <c r="E85" s="186">
        <f>IF(B85="","",成本计算!G87)</f>
      </c>
      <c r="F85" s="220">
        <f>IF(B85="","",SUMIFS(成本计算!$H87:$EU87,成本计算!$H$4:$EU$4,"&lt;="&amp;$C$3,成本计算!$H$6:$EU$6,"采购数量"))</f>
      </c>
      <c r="G85" s="186">
        <f>IF(B85="","",SUMIFS(成本计算!$H87:$EU87,成本计算!$H$4:$EU$4,"&lt;="&amp;$C$3,成本计算!$H$6:$EU$6,"采购金额"))</f>
      </c>
      <c r="H85" s="220">
        <f>IF(B85="","",SUMIFS(成本计算!$H87:$EU87,成本计算!$H$4:$EU$4,"&lt;="&amp;$C$3,成本计算!$H$6:$EU$6,"出库数量"))</f>
      </c>
      <c r="I85" s="186">
        <f>IF(B85="","",SUMIFS(成本计算!$H87:$EU87,成本计算!$H$4:$EU$4,"&lt;="&amp;$C$3,成本计算!$H$6:$EU$6,"出库成本"))</f>
      </c>
      <c r="J85" s="220">
        <f>IF(B85="","",SUMIFS(成本计算!$H87:$EU87,成本计算!$H$4:$EU$4,"&lt;="&amp;$C$3,成本计算!$H$6:$EU$6,"报损数量"))</f>
      </c>
      <c r="K85" s="186">
        <f>IF(B85="","",SUMIFS(成本计算!$H87:$EU87,成本计算!$H$4:$EU$4,"&lt;="&amp;$C$3,成本计算!$H$6:$EU$6,"报损金额"))</f>
      </c>
      <c r="L85" s="221">
        <f>IF(B85="","",INDEX(成本计算!$H87:$EU87,($C$3-1)*12+10))</f>
      </c>
      <c r="M85" s="187">
        <f>IF(B85="","",INDEX(成本计算!$H87:$EU87,($C$3-1)*12+11))</f>
      </c>
      <c r="N85" s="222">
        <f>IF(OR(B85="",N(L85)&lt;=0),"",M85/L85)</f>
      </c>
      <c r="O85" s="220">
        <f>IF(B85="","",SUMIF(商品库存!$C$4:$C$603,B85,商品库存!$I$4:$I$603))</f>
      </c>
      <c r="P85" s="221">
        <f>IF(B85="","",L85-O85)</f>
      </c>
      <c r="Q85" s="223">
        <f>IF(B85="","",IF(L85&lt;0,"✗ 结存为负：进货没录全；","")&amp;IF(AND(N(H85)&gt;0,N(I85)=0),"⚠ 没有进价，成本按 0 算；","")&amp;IF(AND(L85&gt;=0,P85&lt;0),"⚠ 不够兑现客户存条",""))</f>
      </c>
    </row>
    <row r="86">
      <c r="A86" s="194">
        <f>IF(B86="","",ROW()-5)</f>
      </c>
      <c r="B86" s="141">
        <f>成本计算!B88</f>
      </c>
      <c r="C86" s="141">
        <f>IF(B86="","",基础资料!F85&amp;"")</f>
      </c>
      <c r="D86" s="220">
        <f>IF(B86="","",成本计算!F88)</f>
      </c>
      <c r="E86" s="186">
        <f>IF(B86="","",成本计算!G88)</f>
      </c>
      <c r="F86" s="220">
        <f>IF(B86="","",SUMIFS(成本计算!$H88:$EU88,成本计算!$H$4:$EU$4,"&lt;="&amp;$C$3,成本计算!$H$6:$EU$6,"采购数量"))</f>
      </c>
      <c r="G86" s="186">
        <f>IF(B86="","",SUMIFS(成本计算!$H88:$EU88,成本计算!$H$4:$EU$4,"&lt;="&amp;$C$3,成本计算!$H$6:$EU$6,"采购金额"))</f>
      </c>
      <c r="H86" s="220">
        <f>IF(B86="","",SUMIFS(成本计算!$H88:$EU88,成本计算!$H$4:$EU$4,"&lt;="&amp;$C$3,成本计算!$H$6:$EU$6,"出库数量"))</f>
      </c>
      <c r="I86" s="186">
        <f>IF(B86="","",SUMIFS(成本计算!$H88:$EU88,成本计算!$H$4:$EU$4,"&lt;="&amp;$C$3,成本计算!$H$6:$EU$6,"出库成本"))</f>
      </c>
      <c r="J86" s="220">
        <f>IF(B86="","",SUMIFS(成本计算!$H88:$EU88,成本计算!$H$4:$EU$4,"&lt;="&amp;$C$3,成本计算!$H$6:$EU$6,"报损数量"))</f>
      </c>
      <c r="K86" s="186">
        <f>IF(B86="","",SUMIFS(成本计算!$H88:$EU88,成本计算!$H$4:$EU$4,"&lt;="&amp;$C$3,成本计算!$H$6:$EU$6,"报损金额"))</f>
      </c>
      <c r="L86" s="221">
        <f>IF(B86="","",INDEX(成本计算!$H88:$EU88,($C$3-1)*12+10))</f>
      </c>
      <c r="M86" s="187">
        <f>IF(B86="","",INDEX(成本计算!$H88:$EU88,($C$3-1)*12+11))</f>
      </c>
      <c r="N86" s="222">
        <f>IF(OR(B86="",N(L86)&lt;=0),"",M86/L86)</f>
      </c>
      <c r="O86" s="220">
        <f>IF(B86="","",SUMIF(商品库存!$C$4:$C$603,B86,商品库存!$I$4:$I$603))</f>
      </c>
      <c r="P86" s="221">
        <f>IF(B86="","",L86-O86)</f>
      </c>
      <c r="Q86" s="223">
        <f>IF(B86="","",IF(L86&lt;0,"✗ 结存为负：进货没录全；","")&amp;IF(AND(N(H86)&gt;0,N(I86)=0),"⚠ 没有进价，成本按 0 算；","")&amp;IF(AND(L86&gt;=0,P86&lt;0),"⚠ 不够兑现客户存条",""))</f>
      </c>
    </row>
    <row r="87">
      <c r="A87" s="194">
        <f>IF(B87="","",ROW()-5)</f>
      </c>
      <c r="B87" s="141">
        <f>成本计算!B89</f>
      </c>
      <c r="C87" s="141">
        <f>IF(B87="","",基础资料!F86&amp;"")</f>
      </c>
      <c r="D87" s="220">
        <f>IF(B87="","",成本计算!F89)</f>
      </c>
      <c r="E87" s="186">
        <f>IF(B87="","",成本计算!G89)</f>
      </c>
      <c r="F87" s="220">
        <f>IF(B87="","",SUMIFS(成本计算!$H89:$EU89,成本计算!$H$4:$EU$4,"&lt;="&amp;$C$3,成本计算!$H$6:$EU$6,"采购数量"))</f>
      </c>
      <c r="G87" s="186">
        <f>IF(B87="","",SUMIFS(成本计算!$H89:$EU89,成本计算!$H$4:$EU$4,"&lt;="&amp;$C$3,成本计算!$H$6:$EU$6,"采购金额"))</f>
      </c>
      <c r="H87" s="220">
        <f>IF(B87="","",SUMIFS(成本计算!$H89:$EU89,成本计算!$H$4:$EU$4,"&lt;="&amp;$C$3,成本计算!$H$6:$EU$6,"出库数量"))</f>
      </c>
      <c r="I87" s="186">
        <f>IF(B87="","",SUMIFS(成本计算!$H89:$EU89,成本计算!$H$4:$EU$4,"&lt;="&amp;$C$3,成本计算!$H$6:$EU$6,"出库成本"))</f>
      </c>
      <c r="J87" s="220">
        <f>IF(B87="","",SUMIFS(成本计算!$H89:$EU89,成本计算!$H$4:$EU$4,"&lt;="&amp;$C$3,成本计算!$H$6:$EU$6,"报损数量"))</f>
      </c>
      <c r="K87" s="186">
        <f>IF(B87="","",SUMIFS(成本计算!$H89:$EU89,成本计算!$H$4:$EU$4,"&lt;="&amp;$C$3,成本计算!$H$6:$EU$6,"报损金额"))</f>
      </c>
      <c r="L87" s="221">
        <f>IF(B87="","",INDEX(成本计算!$H89:$EU89,($C$3-1)*12+10))</f>
      </c>
      <c r="M87" s="187">
        <f>IF(B87="","",INDEX(成本计算!$H89:$EU89,($C$3-1)*12+11))</f>
      </c>
      <c r="N87" s="222">
        <f>IF(OR(B87="",N(L87)&lt;=0),"",M87/L87)</f>
      </c>
      <c r="O87" s="220">
        <f>IF(B87="","",SUMIF(商品库存!$C$4:$C$603,B87,商品库存!$I$4:$I$603))</f>
      </c>
      <c r="P87" s="221">
        <f>IF(B87="","",L87-O87)</f>
      </c>
      <c r="Q87" s="223">
        <f>IF(B87="","",IF(L87&lt;0,"✗ 结存为负：进货没录全；","")&amp;IF(AND(N(H87)&gt;0,N(I87)=0),"⚠ 没有进价，成本按 0 算；","")&amp;IF(AND(L87&gt;=0,P87&lt;0),"⚠ 不够兑现客户存条",""))</f>
      </c>
    </row>
    <row r="88">
      <c r="A88" s="194">
        <f>IF(B88="","",ROW()-5)</f>
      </c>
      <c r="B88" s="141">
        <f>成本计算!B90</f>
      </c>
      <c r="C88" s="141">
        <f>IF(B88="","",基础资料!F87&amp;"")</f>
      </c>
      <c r="D88" s="220">
        <f>IF(B88="","",成本计算!F90)</f>
      </c>
      <c r="E88" s="186">
        <f>IF(B88="","",成本计算!G90)</f>
      </c>
      <c r="F88" s="220">
        <f>IF(B88="","",SUMIFS(成本计算!$H90:$EU90,成本计算!$H$4:$EU$4,"&lt;="&amp;$C$3,成本计算!$H$6:$EU$6,"采购数量"))</f>
      </c>
      <c r="G88" s="186">
        <f>IF(B88="","",SUMIFS(成本计算!$H90:$EU90,成本计算!$H$4:$EU$4,"&lt;="&amp;$C$3,成本计算!$H$6:$EU$6,"采购金额"))</f>
      </c>
      <c r="H88" s="220">
        <f>IF(B88="","",SUMIFS(成本计算!$H90:$EU90,成本计算!$H$4:$EU$4,"&lt;="&amp;$C$3,成本计算!$H$6:$EU$6,"出库数量"))</f>
      </c>
      <c r="I88" s="186">
        <f>IF(B88="","",SUMIFS(成本计算!$H90:$EU90,成本计算!$H$4:$EU$4,"&lt;="&amp;$C$3,成本计算!$H$6:$EU$6,"出库成本"))</f>
      </c>
      <c r="J88" s="220">
        <f>IF(B88="","",SUMIFS(成本计算!$H90:$EU90,成本计算!$H$4:$EU$4,"&lt;="&amp;$C$3,成本计算!$H$6:$EU$6,"报损数量"))</f>
      </c>
      <c r="K88" s="186">
        <f>IF(B88="","",SUMIFS(成本计算!$H90:$EU90,成本计算!$H$4:$EU$4,"&lt;="&amp;$C$3,成本计算!$H$6:$EU$6,"报损金额"))</f>
      </c>
      <c r="L88" s="221">
        <f>IF(B88="","",INDEX(成本计算!$H90:$EU90,($C$3-1)*12+10))</f>
      </c>
      <c r="M88" s="187">
        <f>IF(B88="","",INDEX(成本计算!$H90:$EU90,($C$3-1)*12+11))</f>
      </c>
      <c r="N88" s="222">
        <f>IF(OR(B88="",N(L88)&lt;=0),"",M88/L88)</f>
      </c>
      <c r="O88" s="220">
        <f>IF(B88="","",SUMIF(商品库存!$C$4:$C$603,B88,商品库存!$I$4:$I$603))</f>
      </c>
      <c r="P88" s="221">
        <f>IF(B88="","",L88-O88)</f>
      </c>
      <c r="Q88" s="223">
        <f>IF(B88="","",IF(L88&lt;0,"✗ 结存为负：进货没录全；","")&amp;IF(AND(N(H88)&gt;0,N(I88)=0),"⚠ 没有进价，成本按 0 算；","")&amp;IF(AND(L88&gt;=0,P88&lt;0),"⚠ 不够兑现客户存条",""))</f>
      </c>
    </row>
    <row r="89">
      <c r="A89" s="194">
        <f>IF(B89="","",ROW()-5)</f>
      </c>
      <c r="B89" s="141">
        <f>成本计算!B91</f>
      </c>
      <c r="C89" s="141">
        <f>IF(B89="","",基础资料!F88&amp;"")</f>
      </c>
      <c r="D89" s="220">
        <f>IF(B89="","",成本计算!F91)</f>
      </c>
      <c r="E89" s="186">
        <f>IF(B89="","",成本计算!G91)</f>
      </c>
      <c r="F89" s="220">
        <f>IF(B89="","",SUMIFS(成本计算!$H91:$EU91,成本计算!$H$4:$EU$4,"&lt;="&amp;$C$3,成本计算!$H$6:$EU$6,"采购数量"))</f>
      </c>
      <c r="G89" s="186">
        <f>IF(B89="","",SUMIFS(成本计算!$H91:$EU91,成本计算!$H$4:$EU$4,"&lt;="&amp;$C$3,成本计算!$H$6:$EU$6,"采购金额"))</f>
      </c>
      <c r="H89" s="220">
        <f>IF(B89="","",SUMIFS(成本计算!$H91:$EU91,成本计算!$H$4:$EU$4,"&lt;="&amp;$C$3,成本计算!$H$6:$EU$6,"出库数量"))</f>
      </c>
      <c r="I89" s="186">
        <f>IF(B89="","",SUMIFS(成本计算!$H91:$EU91,成本计算!$H$4:$EU$4,"&lt;="&amp;$C$3,成本计算!$H$6:$EU$6,"出库成本"))</f>
      </c>
      <c r="J89" s="220">
        <f>IF(B89="","",SUMIFS(成本计算!$H91:$EU91,成本计算!$H$4:$EU$4,"&lt;="&amp;$C$3,成本计算!$H$6:$EU$6,"报损数量"))</f>
      </c>
      <c r="K89" s="186">
        <f>IF(B89="","",SUMIFS(成本计算!$H91:$EU91,成本计算!$H$4:$EU$4,"&lt;="&amp;$C$3,成本计算!$H$6:$EU$6,"报损金额"))</f>
      </c>
      <c r="L89" s="221">
        <f>IF(B89="","",INDEX(成本计算!$H91:$EU91,($C$3-1)*12+10))</f>
      </c>
      <c r="M89" s="187">
        <f>IF(B89="","",INDEX(成本计算!$H91:$EU91,($C$3-1)*12+11))</f>
      </c>
      <c r="N89" s="222">
        <f>IF(OR(B89="",N(L89)&lt;=0),"",M89/L89)</f>
      </c>
      <c r="O89" s="220">
        <f>IF(B89="","",SUMIF(商品库存!$C$4:$C$603,B89,商品库存!$I$4:$I$603))</f>
      </c>
      <c r="P89" s="221">
        <f>IF(B89="","",L89-O89)</f>
      </c>
      <c r="Q89" s="223">
        <f>IF(B89="","",IF(L89&lt;0,"✗ 结存为负：进货没录全；","")&amp;IF(AND(N(H89)&gt;0,N(I89)=0),"⚠ 没有进价，成本按 0 算；","")&amp;IF(AND(L89&gt;=0,P89&lt;0),"⚠ 不够兑现客户存条",""))</f>
      </c>
    </row>
    <row r="90">
      <c r="A90" s="194">
        <f>IF(B90="","",ROW()-5)</f>
      </c>
      <c r="B90" s="141">
        <f>成本计算!B92</f>
      </c>
      <c r="C90" s="141">
        <f>IF(B90="","",基础资料!F89&amp;"")</f>
      </c>
      <c r="D90" s="220">
        <f>IF(B90="","",成本计算!F92)</f>
      </c>
      <c r="E90" s="186">
        <f>IF(B90="","",成本计算!G92)</f>
      </c>
      <c r="F90" s="220">
        <f>IF(B90="","",SUMIFS(成本计算!$H92:$EU92,成本计算!$H$4:$EU$4,"&lt;="&amp;$C$3,成本计算!$H$6:$EU$6,"采购数量"))</f>
      </c>
      <c r="G90" s="186">
        <f>IF(B90="","",SUMIFS(成本计算!$H92:$EU92,成本计算!$H$4:$EU$4,"&lt;="&amp;$C$3,成本计算!$H$6:$EU$6,"采购金额"))</f>
      </c>
      <c r="H90" s="220">
        <f>IF(B90="","",SUMIFS(成本计算!$H92:$EU92,成本计算!$H$4:$EU$4,"&lt;="&amp;$C$3,成本计算!$H$6:$EU$6,"出库数量"))</f>
      </c>
      <c r="I90" s="186">
        <f>IF(B90="","",SUMIFS(成本计算!$H92:$EU92,成本计算!$H$4:$EU$4,"&lt;="&amp;$C$3,成本计算!$H$6:$EU$6,"出库成本"))</f>
      </c>
      <c r="J90" s="220">
        <f>IF(B90="","",SUMIFS(成本计算!$H92:$EU92,成本计算!$H$4:$EU$4,"&lt;="&amp;$C$3,成本计算!$H$6:$EU$6,"报损数量"))</f>
      </c>
      <c r="K90" s="186">
        <f>IF(B90="","",SUMIFS(成本计算!$H92:$EU92,成本计算!$H$4:$EU$4,"&lt;="&amp;$C$3,成本计算!$H$6:$EU$6,"报损金额"))</f>
      </c>
      <c r="L90" s="221">
        <f>IF(B90="","",INDEX(成本计算!$H92:$EU92,($C$3-1)*12+10))</f>
      </c>
      <c r="M90" s="187">
        <f>IF(B90="","",INDEX(成本计算!$H92:$EU92,($C$3-1)*12+11))</f>
      </c>
      <c r="N90" s="222">
        <f>IF(OR(B90="",N(L90)&lt;=0),"",M90/L90)</f>
      </c>
      <c r="O90" s="220">
        <f>IF(B90="","",SUMIF(商品库存!$C$4:$C$603,B90,商品库存!$I$4:$I$603))</f>
      </c>
      <c r="P90" s="221">
        <f>IF(B90="","",L90-O90)</f>
      </c>
      <c r="Q90" s="223">
        <f>IF(B90="","",IF(L90&lt;0,"✗ 结存为负：进货没录全；","")&amp;IF(AND(N(H90)&gt;0,N(I90)=0),"⚠ 没有进价，成本按 0 算；","")&amp;IF(AND(L90&gt;=0,P90&lt;0),"⚠ 不够兑现客户存条",""))</f>
      </c>
    </row>
    <row r="91">
      <c r="A91" s="194">
        <f>IF(B91="","",ROW()-5)</f>
      </c>
      <c r="B91" s="141">
        <f>成本计算!B93</f>
      </c>
      <c r="C91" s="141">
        <f>IF(B91="","",基础资料!F90&amp;"")</f>
      </c>
      <c r="D91" s="220">
        <f>IF(B91="","",成本计算!F93)</f>
      </c>
      <c r="E91" s="186">
        <f>IF(B91="","",成本计算!G93)</f>
      </c>
      <c r="F91" s="220">
        <f>IF(B91="","",SUMIFS(成本计算!$H93:$EU93,成本计算!$H$4:$EU$4,"&lt;="&amp;$C$3,成本计算!$H$6:$EU$6,"采购数量"))</f>
      </c>
      <c r="G91" s="186">
        <f>IF(B91="","",SUMIFS(成本计算!$H93:$EU93,成本计算!$H$4:$EU$4,"&lt;="&amp;$C$3,成本计算!$H$6:$EU$6,"采购金额"))</f>
      </c>
      <c r="H91" s="220">
        <f>IF(B91="","",SUMIFS(成本计算!$H93:$EU93,成本计算!$H$4:$EU$4,"&lt;="&amp;$C$3,成本计算!$H$6:$EU$6,"出库数量"))</f>
      </c>
      <c r="I91" s="186">
        <f>IF(B91="","",SUMIFS(成本计算!$H93:$EU93,成本计算!$H$4:$EU$4,"&lt;="&amp;$C$3,成本计算!$H$6:$EU$6,"出库成本"))</f>
      </c>
      <c r="J91" s="220">
        <f>IF(B91="","",SUMIFS(成本计算!$H93:$EU93,成本计算!$H$4:$EU$4,"&lt;="&amp;$C$3,成本计算!$H$6:$EU$6,"报损数量"))</f>
      </c>
      <c r="K91" s="186">
        <f>IF(B91="","",SUMIFS(成本计算!$H93:$EU93,成本计算!$H$4:$EU$4,"&lt;="&amp;$C$3,成本计算!$H$6:$EU$6,"报损金额"))</f>
      </c>
      <c r="L91" s="221">
        <f>IF(B91="","",INDEX(成本计算!$H93:$EU93,($C$3-1)*12+10))</f>
      </c>
      <c r="M91" s="187">
        <f>IF(B91="","",INDEX(成本计算!$H93:$EU93,($C$3-1)*12+11))</f>
      </c>
      <c r="N91" s="222">
        <f>IF(OR(B91="",N(L91)&lt;=0),"",M91/L91)</f>
      </c>
      <c r="O91" s="220">
        <f>IF(B91="","",SUMIF(商品库存!$C$4:$C$603,B91,商品库存!$I$4:$I$603))</f>
      </c>
      <c r="P91" s="221">
        <f>IF(B91="","",L91-O91)</f>
      </c>
      <c r="Q91" s="223">
        <f>IF(B91="","",IF(L91&lt;0,"✗ 结存为负：进货没录全；","")&amp;IF(AND(N(H91)&gt;0,N(I91)=0),"⚠ 没有进价，成本按 0 算；","")&amp;IF(AND(L91&gt;=0,P91&lt;0),"⚠ 不够兑现客户存条",""))</f>
      </c>
    </row>
    <row r="92">
      <c r="A92" s="194">
        <f>IF(B92="","",ROW()-5)</f>
      </c>
      <c r="B92" s="141">
        <f>成本计算!B94</f>
      </c>
      <c r="C92" s="141">
        <f>IF(B92="","",基础资料!F91&amp;"")</f>
      </c>
      <c r="D92" s="220">
        <f>IF(B92="","",成本计算!F94)</f>
      </c>
      <c r="E92" s="186">
        <f>IF(B92="","",成本计算!G94)</f>
      </c>
      <c r="F92" s="220">
        <f>IF(B92="","",SUMIFS(成本计算!$H94:$EU94,成本计算!$H$4:$EU$4,"&lt;="&amp;$C$3,成本计算!$H$6:$EU$6,"采购数量"))</f>
      </c>
      <c r="G92" s="186">
        <f>IF(B92="","",SUMIFS(成本计算!$H94:$EU94,成本计算!$H$4:$EU$4,"&lt;="&amp;$C$3,成本计算!$H$6:$EU$6,"采购金额"))</f>
      </c>
      <c r="H92" s="220">
        <f>IF(B92="","",SUMIFS(成本计算!$H94:$EU94,成本计算!$H$4:$EU$4,"&lt;="&amp;$C$3,成本计算!$H$6:$EU$6,"出库数量"))</f>
      </c>
      <c r="I92" s="186">
        <f>IF(B92="","",SUMIFS(成本计算!$H94:$EU94,成本计算!$H$4:$EU$4,"&lt;="&amp;$C$3,成本计算!$H$6:$EU$6,"出库成本"))</f>
      </c>
      <c r="J92" s="220">
        <f>IF(B92="","",SUMIFS(成本计算!$H94:$EU94,成本计算!$H$4:$EU$4,"&lt;="&amp;$C$3,成本计算!$H$6:$EU$6,"报损数量"))</f>
      </c>
      <c r="K92" s="186">
        <f>IF(B92="","",SUMIFS(成本计算!$H94:$EU94,成本计算!$H$4:$EU$4,"&lt;="&amp;$C$3,成本计算!$H$6:$EU$6,"报损金额"))</f>
      </c>
      <c r="L92" s="221">
        <f>IF(B92="","",INDEX(成本计算!$H94:$EU94,($C$3-1)*12+10))</f>
      </c>
      <c r="M92" s="187">
        <f>IF(B92="","",INDEX(成本计算!$H94:$EU94,($C$3-1)*12+11))</f>
      </c>
      <c r="N92" s="222">
        <f>IF(OR(B92="",N(L92)&lt;=0),"",M92/L92)</f>
      </c>
      <c r="O92" s="220">
        <f>IF(B92="","",SUMIF(商品库存!$C$4:$C$603,B92,商品库存!$I$4:$I$603))</f>
      </c>
      <c r="P92" s="221">
        <f>IF(B92="","",L92-O92)</f>
      </c>
      <c r="Q92" s="223">
        <f>IF(B92="","",IF(L92&lt;0,"✗ 结存为负：进货没录全；","")&amp;IF(AND(N(H92)&gt;0,N(I92)=0),"⚠ 没有进价，成本按 0 算；","")&amp;IF(AND(L92&gt;=0,P92&lt;0),"⚠ 不够兑现客户存条",""))</f>
      </c>
    </row>
    <row r="93">
      <c r="A93" s="194">
        <f>IF(B93="","",ROW()-5)</f>
      </c>
      <c r="B93" s="141">
        <f>成本计算!B95</f>
      </c>
      <c r="C93" s="141">
        <f>IF(B93="","",基础资料!F92&amp;"")</f>
      </c>
      <c r="D93" s="220">
        <f>IF(B93="","",成本计算!F95)</f>
      </c>
      <c r="E93" s="186">
        <f>IF(B93="","",成本计算!G95)</f>
      </c>
      <c r="F93" s="220">
        <f>IF(B93="","",SUMIFS(成本计算!$H95:$EU95,成本计算!$H$4:$EU$4,"&lt;="&amp;$C$3,成本计算!$H$6:$EU$6,"采购数量"))</f>
      </c>
      <c r="G93" s="186">
        <f>IF(B93="","",SUMIFS(成本计算!$H95:$EU95,成本计算!$H$4:$EU$4,"&lt;="&amp;$C$3,成本计算!$H$6:$EU$6,"采购金额"))</f>
      </c>
      <c r="H93" s="220">
        <f>IF(B93="","",SUMIFS(成本计算!$H95:$EU95,成本计算!$H$4:$EU$4,"&lt;="&amp;$C$3,成本计算!$H$6:$EU$6,"出库数量"))</f>
      </c>
      <c r="I93" s="186">
        <f>IF(B93="","",SUMIFS(成本计算!$H95:$EU95,成本计算!$H$4:$EU$4,"&lt;="&amp;$C$3,成本计算!$H$6:$EU$6,"出库成本"))</f>
      </c>
      <c r="J93" s="220">
        <f>IF(B93="","",SUMIFS(成本计算!$H95:$EU95,成本计算!$H$4:$EU$4,"&lt;="&amp;$C$3,成本计算!$H$6:$EU$6,"报损数量"))</f>
      </c>
      <c r="K93" s="186">
        <f>IF(B93="","",SUMIFS(成本计算!$H95:$EU95,成本计算!$H$4:$EU$4,"&lt;="&amp;$C$3,成本计算!$H$6:$EU$6,"报损金额"))</f>
      </c>
      <c r="L93" s="221">
        <f>IF(B93="","",INDEX(成本计算!$H95:$EU95,($C$3-1)*12+10))</f>
      </c>
      <c r="M93" s="187">
        <f>IF(B93="","",INDEX(成本计算!$H95:$EU95,($C$3-1)*12+11))</f>
      </c>
      <c r="N93" s="222">
        <f>IF(OR(B93="",N(L93)&lt;=0),"",M93/L93)</f>
      </c>
      <c r="O93" s="220">
        <f>IF(B93="","",SUMIF(商品库存!$C$4:$C$603,B93,商品库存!$I$4:$I$603))</f>
      </c>
      <c r="P93" s="221">
        <f>IF(B93="","",L93-O93)</f>
      </c>
      <c r="Q93" s="223">
        <f>IF(B93="","",IF(L93&lt;0,"✗ 结存为负：进货没录全；","")&amp;IF(AND(N(H93)&gt;0,N(I93)=0),"⚠ 没有进价，成本按 0 算；","")&amp;IF(AND(L93&gt;=0,P93&lt;0),"⚠ 不够兑现客户存条",""))</f>
      </c>
    </row>
    <row r="94">
      <c r="A94" s="194">
        <f>IF(B94="","",ROW()-5)</f>
      </c>
      <c r="B94" s="141">
        <f>成本计算!B96</f>
      </c>
      <c r="C94" s="141">
        <f>IF(B94="","",基础资料!F93&amp;"")</f>
      </c>
      <c r="D94" s="220">
        <f>IF(B94="","",成本计算!F96)</f>
      </c>
      <c r="E94" s="186">
        <f>IF(B94="","",成本计算!G96)</f>
      </c>
      <c r="F94" s="220">
        <f>IF(B94="","",SUMIFS(成本计算!$H96:$EU96,成本计算!$H$4:$EU$4,"&lt;="&amp;$C$3,成本计算!$H$6:$EU$6,"采购数量"))</f>
      </c>
      <c r="G94" s="186">
        <f>IF(B94="","",SUMIFS(成本计算!$H96:$EU96,成本计算!$H$4:$EU$4,"&lt;="&amp;$C$3,成本计算!$H$6:$EU$6,"采购金额"))</f>
      </c>
      <c r="H94" s="220">
        <f>IF(B94="","",SUMIFS(成本计算!$H96:$EU96,成本计算!$H$4:$EU$4,"&lt;="&amp;$C$3,成本计算!$H$6:$EU$6,"出库数量"))</f>
      </c>
      <c r="I94" s="186">
        <f>IF(B94="","",SUMIFS(成本计算!$H96:$EU96,成本计算!$H$4:$EU$4,"&lt;="&amp;$C$3,成本计算!$H$6:$EU$6,"出库成本"))</f>
      </c>
      <c r="J94" s="220">
        <f>IF(B94="","",SUMIFS(成本计算!$H96:$EU96,成本计算!$H$4:$EU$4,"&lt;="&amp;$C$3,成本计算!$H$6:$EU$6,"报损数量"))</f>
      </c>
      <c r="K94" s="186">
        <f>IF(B94="","",SUMIFS(成本计算!$H96:$EU96,成本计算!$H$4:$EU$4,"&lt;="&amp;$C$3,成本计算!$H$6:$EU$6,"报损金额"))</f>
      </c>
      <c r="L94" s="221">
        <f>IF(B94="","",INDEX(成本计算!$H96:$EU96,($C$3-1)*12+10))</f>
      </c>
      <c r="M94" s="187">
        <f>IF(B94="","",INDEX(成本计算!$H96:$EU96,($C$3-1)*12+11))</f>
      </c>
      <c r="N94" s="222">
        <f>IF(OR(B94="",N(L94)&lt;=0),"",M94/L94)</f>
      </c>
      <c r="O94" s="220">
        <f>IF(B94="","",SUMIF(商品库存!$C$4:$C$603,B94,商品库存!$I$4:$I$603))</f>
      </c>
      <c r="P94" s="221">
        <f>IF(B94="","",L94-O94)</f>
      </c>
      <c r="Q94" s="223">
        <f>IF(B94="","",IF(L94&lt;0,"✗ 结存为负：进货没录全；","")&amp;IF(AND(N(H94)&gt;0,N(I94)=0),"⚠ 没有进价，成本按 0 算；","")&amp;IF(AND(L94&gt;=0,P94&lt;0),"⚠ 不够兑现客户存条",""))</f>
      </c>
    </row>
    <row r="95">
      <c r="A95" s="194">
        <f>IF(B95="","",ROW()-5)</f>
      </c>
      <c r="B95" s="141">
        <f>成本计算!B97</f>
      </c>
      <c r="C95" s="141">
        <f>IF(B95="","",基础资料!F94&amp;"")</f>
      </c>
      <c r="D95" s="220">
        <f>IF(B95="","",成本计算!F97)</f>
      </c>
      <c r="E95" s="186">
        <f>IF(B95="","",成本计算!G97)</f>
      </c>
      <c r="F95" s="220">
        <f>IF(B95="","",SUMIFS(成本计算!$H97:$EU97,成本计算!$H$4:$EU$4,"&lt;="&amp;$C$3,成本计算!$H$6:$EU$6,"采购数量"))</f>
      </c>
      <c r="G95" s="186">
        <f>IF(B95="","",SUMIFS(成本计算!$H97:$EU97,成本计算!$H$4:$EU$4,"&lt;="&amp;$C$3,成本计算!$H$6:$EU$6,"采购金额"))</f>
      </c>
      <c r="H95" s="220">
        <f>IF(B95="","",SUMIFS(成本计算!$H97:$EU97,成本计算!$H$4:$EU$4,"&lt;="&amp;$C$3,成本计算!$H$6:$EU$6,"出库数量"))</f>
      </c>
      <c r="I95" s="186">
        <f>IF(B95="","",SUMIFS(成本计算!$H97:$EU97,成本计算!$H$4:$EU$4,"&lt;="&amp;$C$3,成本计算!$H$6:$EU$6,"出库成本"))</f>
      </c>
      <c r="J95" s="220">
        <f>IF(B95="","",SUMIFS(成本计算!$H97:$EU97,成本计算!$H$4:$EU$4,"&lt;="&amp;$C$3,成本计算!$H$6:$EU$6,"报损数量"))</f>
      </c>
      <c r="K95" s="186">
        <f>IF(B95="","",SUMIFS(成本计算!$H97:$EU97,成本计算!$H$4:$EU$4,"&lt;="&amp;$C$3,成本计算!$H$6:$EU$6,"报损金额"))</f>
      </c>
      <c r="L95" s="221">
        <f>IF(B95="","",INDEX(成本计算!$H97:$EU97,($C$3-1)*12+10))</f>
      </c>
      <c r="M95" s="187">
        <f>IF(B95="","",INDEX(成本计算!$H97:$EU97,($C$3-1)*12+11))</f>
      </c>
      <c r="N95" s="222">
        <f>IF(OR(B95="",N(L95)&lt;=0),"",M95/L95)</f>
      </c>
      <c r="O95" s="220">
        <f>IF(B95="","",SUMIF(商品库存!$C$4:$C$603,B95,商品库存!$I$4:$I$603))</f>
      </c>
      <c r="P95" s="221">
        <f>IF(B95="","",L95-O95)</f>
      </c>
      <c r="Q95" s="223">
        <f>IF(B95="","",IF(L95&lt;0,"✗ 结存为负：进货没录全；","")&amp;IF(AND(N(H95)&gt;0,N(I95)=0),"⚠ 没有进价，成本按 0 算；","")&amp;IF(AND(L95&gt;=0,P95&lt;0),"⚠ 不够兑现客户存条",""))</f>
      </c>
    </row>
    <row r="96">
      <c r="A96" s="194">
        <f>IF(B96="","",ROW()-5)</f>
      </c>
      <c r="B96" s="141">
        <f>成本计算!B98</f>
      </c>
      <c r="C96" s="141">
        <f>IF(B96="","",基础资料!F95&amp;"")</f>
      </c>
      <c r="D96" s="220">
        <f>IF(B96="","",成本计算!F98)</f>
      </c>
      <c r="E96" s="186">
        <f>IF(B96="","",成本计算!G98)</f>
      </c>
      <c r="F96" s="220">
        <f>IF(B96="","",SUMIFS(成本计算!$H98:$EU98,成本计算!$H$4:$EU$4,"&lt;="&amp;$C$3,成本计算!$H$6:$EU$6,"采购数量"))</f>
      </c>
      <c r="G96" s="186">
        <f>IF(B96="","",SUMIFS(成本计算!$H98:$EU98,成本计算!$H$4:$EU$4,"&lt;="&amp;$C$3,成本计算!$H$6:$EU$6,"采购金额"))</f>
      </c>
      <c r="H96" s="220">
        <f>IF(B96="","",SUMIFS(成本计算!$H98:$EU98,成本计算!$H$4:$EU$4,"&lt;="&amp;$C$3,成本计算!$H$6:$EU$6,"出库数量"))</f>
      </c>
      <c r="I96" s="186">
        <f>IF(B96="","",SUMIFS(成本计算!$H98:$EU98,成本计算!$H$4:$EU$4,"&lt;="&amp;$C$3,成本计算!$H$6:$EU$6,"出库成本"))</f>
      </c>
      <c r="J96" s="220">
        <f>IF(B96="","",SUMIFS(成本计算!$H98:$EU98,成本计算!$H$4:$EU$4,"&lt;="&amp;$C$3,成本计算!$H$6:$EU$6,"报损数量"))</f>
      </c>
      <c r="K96" s="186">
        <f>IF(B96="","",SUMIFS(成本计算!$H98:$EU98,成本计算!$H$4:$EU$4,"&lt;="&amp;$C$3,成本计算!$H$6:$EU$6,"报损金额"))</f>
      </c>
      <c r="L96" s="221">
        <f>IF(B96="","",INDEX(成本计算!$H98:$EU98,($C$3-1)*12+10))</f>
      </c>
      <c r="M96" s="187">
        <f>IF(B96="","",INDEX(成本计算!$H98:$EU98,($C$3-1)*12+11))</f>
      </c>
      <c r="N96" s="222">
        <f>IF(OR(B96="",N(L96)&lt;=0),"",M96/L96)</f>
      </c>
      <c r="O96" s="220">
        <f>IF(B96="","",SUMIF(商品库存!$C$4:$C$603,B96,商品库存!$I$4:$I$603))</f>
      </c>
      <c r="P96" s="221">
        <f>IF(B96="","",L96-O96)</f>
      </c>
      <c r="Q96" s="223">
        <f>IF(B96="","",IF(L96&lt;0,"✗ 结存为负：进货没录全；","")&amp;IF(AND(N(H96)&gt;0,N(I96)=0),"⚠ 没有进价，成本按 0 算；","")&amp;IF(AND(L96&gt;=0,P96&lt;0),"⚠ 不够兑现客户存条",""))</f>
      </c>
    </row>
    <row r="97">
      <c r="A97" s="194">
        <f>IF(B97="","",ROW()-5)</f>
      </c>
      <c r="B97" s="141">
        <f>成本计算!B99</f>
      </c>
      <c r="C97" s="141">
        <f>IF(B97="","",基础资料!F96&amp;"")</f>
      </c>
      <c r="D97" s="220">
        <f>IF(B97="","",成本计算!F99)</f>
      </c>
      <c r="E97" s="186">
        <f>IF(B97="","",成本计算!G99)</f>
      </c>
      <c r="F97" s="220">
        <f>IF(B97="","",SUMIFS(成本计算!$H99:$EU99,成本计算!$H$4:$EU$4,"&lt;="&amp;$C$3,成本计算!$H$6:$EU$6,"采购数量"))</f>
      </c>
      <c r="G97" s="186">
        <f>IF(B97="","",SUMIFS(成本计算!$H99:$EU99,成本计算!$H$4:$EU$4,"&lt;="&amp;$C$3,成本计算!$H$6:$EU$6,"采购金额"))</f>
      </c>
      <c r="H97" s="220">
        <f>IF(B97="","",SUMIFS(成本计算!$H99:$EU99,成本计算!$H$4:$EU$4,"&lt;="&amp;$C$3,成本计算!$H$6:$EU$6,"出库数量"))</f>
      </c>
      <c r="I97" s="186">
        <f>IF(B97="","",SUMIFS(成本计算!$H99:$EU99,成本计算!$H$4:$EU$4,"&lt;="&amp;$C$3,成本计算!$H$6:$EU$6,"出库成本"))</f>
      </c>
      <c r="J97" s="220">
        <f>IF(B97="","",SUMIFS(成本计算!$H99:$EU99,成本计算!$H$4:$EU$4,"&lt;="&amp;$C$3,成本计算!$H$6:$EU$6,"报损数量"))</f>
      </c>
      <c r="K97" s="186">
        <f>IF(B97="","",SUMIFS(成本计算!$H99:$EU99,成本计算!$H$4:$EU$4,"&lt;="&amp;$C$3,成本计算!$H$6:$EU$6,"报损金额"))</f>
      </c>
      <c r="L97" s="221">
        <f>IF(B97="","",INDEX(成本计算!$H99:$EU99,($C$3-1)*12+10))</f>
      </c>
      <c r="M97" s="187">
        <f>IF(B97="","",INDEX(成本计算!$H99:$EU99,($C$3-1)*12+11))</f>
      </c>
      <c r="N97" s="222">
        <f>IF(OR(B97="",N(L97)&lt;=0),"",M97/L97)</f>
      </c>
      <c r="O97" s="220">
        <f>IF(B97="","",SUMIF(商品库存!$C$4:$C$603,B97,商品库存!$I$4:$I$603))</f>
      </c>
      <c r="P97" s="221">
        <f>IF(B97="","",L97-O97)</f>
      </c>
      <c r="Q97" s="223">
        <f>IF(B97="","",IF(L97&lt;0,"✗ 结存为负：进货没录全；","")&amp;IF(AND(N(H97)&gt;0,N(I97)=0),"⚠ 没有进价，成本按 0 算；","")&amp;IF(AND(L97&gt;=0,P97&lt;0),"⚠ 不够兑现客户存条",""))</f>
      </c>
    </row>
    <row r="98">
      <c r="A98" s="194">
        <f>IF(B98="","",ROW()-5)</f>
      </c>
      <c r="B98" s="141">
        <f>成本计算!B100</f>
      </c>
      <c r="C98" s="141">
        <f>IF(B98="","",基础资料!F97&amp;"")</f>
      </c>
      <c r="D98" s="220">
        <f>IF(B98="","",成本计算!F100)</f>
      </c>
      <c r="E98" s="186">
        <f>IF(B98="","",成本计算!G100)</f>
      </c>
      <c r="F98" s="220">
        <f>IF(B98="","",SUMIFS(成本计算!$H100:$EU100,成本计算!$H$4:$EU$4,"&lt;="&amp;$C$3,成本计算!$H$6:$EU$6,"采购数量"))</f>
      </c>
      <c r="G98" s="186">
        <f>IF(B98="","",SUMIFS(成本计算!$H100:$EU100,成本计算!$H$4:$EU$4,"&lt;="&amp;$C$3,成本计算!$H$6:$EU$6,"采购金额"))</f>
      </c>
      <c r="H98" s="220">
        <f>IF(B98="","",SUMIFS(成本计算!$H100:$EU100,成本计算!$H$4:$EU$4,"&lt;="&amp;$C$3,成本计算!$H$6:$EU$6,"出库数量"))</f>
      </c>
      <c r="I98" s="186">
        <f>IF(B98="","",SUMIFS(成本计算!$H100:$EU100,成本计算!$H$4:$EU$4,"&lt;="&amp;$C$3,成本计算!$H$6:$EU$6,"出库成本"))</f>
      </c>
      <c r="J98" s="220">
        <f>IF(B98="","",SUMIFS(成本计算!$H100:$EU100,成本计算!$H$4:$EU$4,"&lt;="&amp;$C$3,成本计算!$H$6:$EU$6,"报损数量"))</f>
      </c>
      <c r="K98" s="186">
        <f>IF(B98="","",SUMIFS(成本计算!$H100:$EU100,成本计算!$H$4:$EU$4,"&lt;="&amp;$C$3,成本计算!$H$6:$EU$6,"报损金额"))</f>
      </c>
      <c r="L98" s="221">
        <f>IF(B98="","",INDEX(成本计算!$H100:$EU100,($C$3-1)*12+10))</f>
      </c>
      <c r="M98" s="187">
        <f>IF(B98="","",INDEX(成本计算!$H100:$EU100,($C$3-1)*12+11))</f>
      </c>
      <c r="N98" s="222">
        <f>IF(OR(B98="",N(L98)&lt;=0),"",M98/L98)</f>
      </c>
      <c r="O98" s="220">
        <f>IF(B98="","",SUMIF(商品库存!$C$4:$C$603,B98,商品库存!$I$4:$I$603))</f>
      </c>
      <c r="P98" s="221">
        <f>IF(B98="","",L98-O98)</f>
      </c>
      <c r="Q98" s="223">
        <f>IF(B98="","",IF(L98&lt;0,"✗ 结存为负：进货没录全；","")&amp;IF(AND(N(H98)&gt;0,N(I98)=0),"⚠ 没有进价，成本按 0 算；","")&amp;IF(AND(L98&gt;=0,P98&lt;0),"⚠ 不够兑现客户存条",""))</f>
      </c>
    </row>
    <row r="99">
      <c r="A99" s="194">
        <f>IF(B99="","",ROW()-5)</f>
      </c>
      <c r="B99" s="141">
        <f>成本计算!B101</f>
      </c>
      <c r="C99" s="141">
        <f>IF(B99="","",基础资料!F98&amp;"")</f>
      </c>
      <c r="D99" s="220">
        <f>IF(B99="","",成本计算!F101)</f>
      </c>
      <c r="E99" s="186">
        <f>IF(B99="","",成本计算!G101)</f>
      </c>
      <c r="F99" s="220">
        <f>IF(B99="","",SUMIFS(成本计算!$H101:$EU101,成本计算!$H$4:$EU$4,"&lt;="&amp;$C$3,成本计算!$H$6:$EU$6,"采购数量"))</f>
      </c>
      <c r="G99" s="186">
        <f>IF(B99="","",SUMIFS(成本计算!$H101:$EU101,成本计算!$H$4:$EU$4,"&lt;="&amp;$C$3,成本计算!$H$6:$EU$6,"采购金额"))</f>
      </c>
      <c r="H99" s="220">
        <f>IF(B99="","",SUMIFS(成本计算!$H101:$EU101,成本计算!$H$4:$EU$4,"&lt;="&amp;$C$3,成本计算!$H$6:$EU$6,"出库数量"))</f>
      </c>
      <c r="I99" s="186">
        <f>IF(B99="","",SUMIFS(成本计算!$H101:$EU101,成本计算!$H$4:$EU$4,"&lt;="&amp;$C$3,成本计算!$H$6:$EU$6,"出库成本"))</f>
      </c>
      <c r="J99" s="220">
        <f>IF(B99="","",SUMIFS(成本计算!$H101:$EU101,成本计算!$H$4:$EU$4,"&lt;="&amp;$C$3,成本计算!$H$6:$EU$6,"报损数量"))</f>
      </c>
      <c r="K99" s="186">
        <f>IF(B99="","",SUMIFS(成本计算!$H101:$EU101,成本计算!$H$4:$EU$4,"&lt;="&amp;$C$3,成本计算!$H$6:$EU$6,"报损金额"))</f>
      </c>
      <c r="L99" s="221">
        <f>IF(B99="","",INDEX(成本计算!$H101:$EU101,($C$3-1)*12+10))</f>
      </c>
      <c r="M99" s="187">
        <f>IF(B99="","",INDEX(成本计算!$H101:$EU101,($C$3-1)*12+11))</f>
      </c>
      <c r="N99" s="222">
        <f>IF(OR(B99="",N(L99)&lt;=0),"",M99/L99)</f>
      </c>
      <c r="O99" s="220">
        <f>IF(B99="","",SUMIF(商品库存!$C$4:$C$603,B99,商品库存!$I$4:$I$603))</f>
      </c>
      <c r="P99" s="221">
        <f>IF(B99="","",L99-O99)</f>
      </c>
      <c r="Q99" s="223">
        <f>IF(B99="","",IF(L99&lt;0,"✗ 结存为负：进货没录全；","")&amp;IF(AND(N(H99)&gt;0,N(I99)=0),"⚠ 没有进价，成本按 0 算；","")&amp;IF(AND(L99&gt;=0,P99&lt;0),"⚠ 不够兑现客户存条",""))</f>
      </c>
    </row>
    <row r="100">
      <c r="A100" s="194">
        <f>IF(B100="","",ROW()-5)</f>
      </c>
      <c r="B100" s="141">
        <f>成本计算!B102</f>
      </c>
      <c r="C100" s="141">
        <f>IF(B100="","",基础资料!F99&amp;"")</f>
      </c>
      <c r="D100" s="220">
        <f>IF(B100="","",成本计算!F102)</f>
      </c>
      <c r="E100" s="186">
        <f>IF(B100="","",成本计算!G102)</f>
      </c>
      <c r="F100" s="220">
        <f>IF(B100="","",SUMIFS(成本计算!$H102:$EU102,成本计算!$H$4:$EU$4,"&lt;="&amp;$C$3,成本计算!$H$6:$EU$6,"采购数量"))</f>
      </c>
      <c r="G100" s="186">
        <f>IF(B100="","",SUMIFS(成本计算!$H102:$EU102,成本计算!$H$4:$EU$4,"&lt;="&amp;$C$3,成本计算!$H$6:$EU$6,"采购金额"))</f>
      </c>
      <c r="H100" s="220">
        <f>IF(B100="","",SUMIFS(成本计算!$H102:$EU102,成本计算!$H$4:$EU$4,"&lt;="&amp;$C$3,成本计算!$H$6:$EU$6,"出库数量"))</f>
      </c>
      <c r="I100" s="186">
        <f>IF(B100="","",SUMIFS(成本计算!$H102:$EU102,成本计算!$H$4:$EU$4,"&lt;="&amp;$C$3,成本计算!$H$6:$EU$6,"出库成本"))</f>
      </c>
      <c r="J100" s="220">
        <f>IF(B100="","",SUMIFS(成本计算!$H102:$EU102,成本计算!$H$4:$EU$4,"&lt;="&amp;$C$3,成本计算!$H$6:$EU$6,"报损数量"))</f>
      </c>
      <c r="K100" s="186">
        <f>IF(B100="","",SUMIFS(成本计算!$H102:$EU102,成本计算!$H$4:$EU$4,"&lt;="&amp;$C$3,成本计算!$H$6:$EU$6,"报损金额"))</f>
      </c>
      <c r="L100" s="221">
        <f>IF(B100="","",INDEX(成本计算!$H102:$EU102,($C$3-1)*12+10))</f>
      </c>
      <c r="M100" s="187">
        <f>IF(B100="","",INDEX(成本计算!$H102:$EU102,($C$3-1)*12+11))</f>
      </c>
      <c r="N100" s="222">
        <f>IF(OR(B100="",N(L100)&lt;=0),"",M100/L100)</f>
      </c>
      <c r="O100" s="220">
        <f>IF(B100="","",SUMIF(商品库存!$C$4:$C$603,B100,商品库存!$I$4:$I$603))</f>
      </c>
      <c r="P100" s="221">
        <f>IF(B100="","",L100-O100)</f>
      </c>
      <c r="Q100" s="223">
        <f>IF(B100="","",IF(L100&lt;0,"✗ 结存为负：进货没录全；","")&amp;IF(AND(N(H100)&gt;0,N(I100)=0),"⚠ 没有进价，成本按 0 算；","")&amp;IF(AND(L100&gt;=0,P100&lt;0),"⚠ 不够兑现客户存条",""))</f>
      </c>
    </row>
    <row r="101">
      <c r="A101" s="194">
        <f>IF(B101="","",ROW()-5)</f>
      </c>
      <c r="B101" s="141">
        <f>成本计算!B103</f>
      </c>
      <c r="C101" s="141">
        <f>IF(B101="","",基础资料!F100&amp;"")</f>
      </c>
      <c r="D101" s="220">
        <f>IF(B101="","",成本计算!F103)</f>
      </c>
      <c r="E101" s="186">
        <f>IF(B101="","",成本计算!G103)</f>
      </c>
      <c r="F101" s="220">
        <f>IF(B101="","",SUMIFS(成本计算!$H103:$EU103,成本计算!$H$4:$EU$4,"&lt;="&amp;$C$3,成本计算!$H$6:$EU$6,"采购数量"))</f>
      </c>
      <c r="G101" s="186">
        <f>IF(B101="","",SUMIFS(成本计算!$H103:$EU103,成本计算!$H$4:$EU$4,"&lt;="&amp;$C$3,成本计算!$H$6:$EU$6,"采购金额"))</f>
      </c>
      <c r="H101" s="220">
        <f>IF(B101="","",SUMIFS(成本计算!$H103:$EU103,成本计算!$H$4:$EU$4,"&lt;="&amp;$C$3,成本计算!$H$6:$EU$6,"出库数量"))</f>
      </c>
      <c r="I101" s="186">
        <f>IF(B101="","",SUMIFS(成本计算!$H103:$EU103,成本计算!$H$4:$EU$4,"&lt;="&amp;$C$3,成本计算!$H$6:$EU$6,"出库成本"))</f>
      </c>
      <c r="J101" s="220">
        <f>IF(B101="","",SUMIFS(成本计算!$H103:$EU103,成本计算!$H$4:$EU$4,"&lt;="&amp;$C$3,成本计算!$H$6:$EU$6,"报损数量"))</f>
      </c>
      <c r="K101" s="186">
        <f>IF(B101="","",SUMIFS(成本计算!$H103:$EU103,成本计算!$H$4:$EU$4,"&lt;="&amp;$C$3,成本计算!$H$6:$EU$6,"报损金额"))</f>
      </c>
      <c r="L101" s="221">
        <f>IF(B101="","",INDEX(成本计算!$H103:$EU103,($C$3-1)*12+10))</f>
      </c>
      <c r="M101" s="187">
        <f>IF(B101="","",INDEX(成本计算!$H103:$EU103,($C$3-1)*12+11))</f>
      </c>
      <c r="N101" s="222">
        <f>IF(OR(B101="",N(L101)&lt;=0),"",M101/L101)</f>
      </c>
      <c r="O101" s="220">
        <f>IF(B101="","",SUMIF(商品库存!$C$4:$C$603,B101,商品库存!$I$4:$I$603))</f>
      </c>
      <c r="P101" s="221">
        <f>IF(B101="","",L101-O101)</f>
      </c>
      <c r="Q101" s="223">
        <f>IF(B101="","",IF(L101&lt;0,"✗ 结存为负：进货没录全；","")&amp;IF(AND(N(H101)&gt;0,N(I101)=0),"⚠ 没有进价，成本按 0 算；","")&amp;IF(AND(L101&gt;=0,P101&lt;0),"⚠ 不够兑现客户存条",""))</f>
      </c>
    </row>
    <row r="102">
      <c r="A102" s="194">
        <f>IF(B102="","",ROW()-5)</f>
      </c>
      <c r="B102" s="141">
        <f>成本计算!B104</f>
      </c>
      <c r="C102" s="141">
        <f>IF(B102="","",基础资料!F101&amp;"")</f>
      </c>
      <c r="D102" s="220">
        <f>IF(B102="","",成本计算!F104)</f>
      </c>
      <c r="E102" s="186">
        <f>IF(B102="","",成本计算!G104)</f>
      </c>
      <c r="F102" s="220">
        <f>IF(B102="","",SUMIFS(成本计算!$H104:$EU104,成本计算!$H$4:$EU$4,"&lt;="&amp;$C$3,成本计算!$H$6:$EU$6,"采购数量"))</f>
      </c>
      <c r="G102" s="186">
        <f>IF(B102="","",SUMIFS(成本计算!$H104:$EU104,成本计算!$H$4:$EU$4,"&lt;="&amp;$C$3,成本计算!$H$6:$EU$6,"采购金额"))</f>
      </c>
      <c r="H102" s="220">
        <f>IF(B102="","",SUMIFS(成本计算!$H104:$EU104,成本计算!$H$4:$EU$4,"&lt;="&amp;$C$3,成本计算!$H$6:$EU$6,"出库数量"))</f>
      </c>
      <c r="I102" s="186">
        <f>IF(B102="","",SUMIFS(成本计算!$H104:$EU104,成本计算!$H$4:$EU$4,"&lt;="&amp;$C$3,成本计算!$H$6:$EU$6,"出库成本"))</f>
      </c>
      <c r="J102" s="220">
        <f>IF(B102="","",SUMIFS(成本计算!$H104:$EU104,成本计算!$H$4:$EU$4,"&lt;="&amp;$C$3,成本计算!$H$6:$EU$6,"报损数量"))</f>
      </c>
      <c r="K102" s="186">
        <f>IF(B102="","",SUMIFS(成本计算!$H104:$EU104,成本计算!$H$4:$EU$4,"&lt;="&amp;$C$3,成本计算!$H$6:$EU$6,"报损金额"))</f>
      </c>
      <c r="L102" s="221">
        <f>IF(B102="","",INDEX(成本计算!$H104:$EU104,($C$3-1)*12+10))</f>
      </c>
      <c r="M102" s="187">
        <f>IF(B102="","",INDEX(成本计算!$H104:$EU104,($C$3-1)*12+11))</f>
      </c>
      <c r="N102" s="222">
        <f>IF(OR(B102="",N(L102)&lt;=0),"",M102/L102)</f>
      </c>
      <c r="O102" s="220">
        <f>IF(B102="","",SUMIF(商品库存!$C$4:$C$603,B102,商品库存!$I$4:$I$603))</f>
      </c>
      <c r="P102" s="221">
        <f>IF(B102="","",L102-O102)</f>
      </c>
      <c r="Q102" s="223">
        <f>IF(B102="","",IF(L102&lt;0,"✗ 结存为负：进货没录全；","")&amp;IF(AND(N(H102)&gt;0,N(I102)=0),"⚠ 没有进价，成本按 0 算；","")&amp;IF(AND(L102&gt;=0,P102&lt;0),"⚠ 不够兑现客户存条",""))</f>
      </c>
    </row>
    <row r="103">
      <c r="A103" s="194">
        <f>IF(B103="","",ROW()-5)</f>
      </c>
      <c r="B103" s="141">
        <f>成本计算!B105</f>
      </c>
      <c r="C103" s="141">
        <f>IF(B103="","",基础资料!F102&amp;"")</f>
      </c>
      <c r="D103" s="220">
        <f>IF(B103="","",成本计算!F105)</f>
      </c>
      <c r="E103" s="186">
        <f>IF(B103="","",成本计算!G105)</f>
      </c>
      <c r="F103" s="220">
        <f>IF(B103="","",SUMIFS(成本计算!$H105:$EU105,成本计算!$H$4:$EU$4,"&lt;="&amp;$C$3,成本计算!$H$6:$EU$6,"采购数量"))</f>
      </c>
      <c r="G103" s="186">
        <f>IF(B103="","",SUMIFS(成本计算!$H105:$EU105,成本计算!$H$4:$EU$4,"&lt;="&amp;$C$3,成本计算!$H$6:$EU$6,"采购金额"))</f>
      </c>
      <c r="H103" s="220">
        <f>IF(B103="","",SUMIFS(成本计算!$H105:$EU105,成本计算!$H$4:$EU$4,"&lt;="&amp;$C$3,成本计算!$H$6:$EU$6,"出库数量"))</f>
      </c>
      <c r="I103" s="186">
        <f>IF(B103="","",SUMIFS(成本计算!$H105:$EU105,成本计算!$H$4:$EU$4,"&lt;="&amp;$C$3,成本计算!$H$6:$EU$6,"出库成本"))</f>
      </c>
      <c r="J103" s="220">
        <f>IF(B103="","",SUMIFS(成本计算!$H105:$EU105,成本计算!$H$4:$EU$4,"&lt;="&amp;$C$3,成本计算!$H$6:$EU$6,"报损数量"))</f>
      </c>
      <c r="K103" s="186">
        <f>IF(B103="","",SUMIFS(成本计算!$H105:$EU105,成本计算!$H$4:$EU$4,"&lt;="&amp;$C$3,成本计算!$H$6:$EU$6,"报损金额"))</f>
      </c>
      <c r="L103" s="221">
        <f>IF(B103="","",INDEX(成本计算!$H105:$EU105,($C$3-1)*12+10))</f>
      </c>
      <c r="M103" s="187">
        <f>IF(B103="","",INDEX(成本计算!$H105:$EU105,($C$3-1)*12+11))</f>
      </c>
      <c r="N103" s="222">
        <f>IF(OR(B103="",N(L103)&lt;=0),"",M103/L103)</f>
      </c>
      <c r="O103" s="220">
        <f>IF(B103="","",SUMIF(商品库存!$C$4:$C$603,B103,商品库存!$I$4:$I$603))</f>
      </c>
      <c r="P103" s="221">
        <f>IF(B103="","",L103-O103)</f>
      </c>
      <c r="Q103" s="223">
        <f>IF(B103="","",IF(L103&lt;0,"✗ 结存为负：进货没录全；","")&amp;IF(AND(N(H103)&gt;0,N(I103)=0),"⚠ 没有进价，成本按 0 算；","")&amp;IF(AND(L103&gt;=0,P103&lt;0),"⚠ 不够兑现客户存条",""))</f>
      </c>
    </row>
    <row r="104">
      <c r="A104" s="194">
        <f>IF(B104="","",ROW()-5)</f>
      </c>
      <c r="B104" s="141">
        <f>成本计算!B106</f>
      </c>
      <c r="C104" s="141">
        <f>IF(B104="","",基础资料!F103&amp;"")</f>
      </c>
      <c r="D104" s="220">
        <f>IF(B104="","",成本计算!F106)</f>
      </c>
      <c r="E104" s="186">
        <f>IF(B104="","",成本计算!G106)</f>
      </c>
      <c r="F104" s="220">
        <f>IF(B104="","",SUMIFS(成本计算!$H106:$EU106,成本计算!$H$4:$EU$4,"&lt;="&amp;$C$3,成本计算!$H$6:$EU$6,"采购数量"))</f>
      </c>
      <c r="G104" s="186">
        <f>IF(B104="","",SUMIFS(成本计算!$H106:$EU106,成本计算!$H$4:$EU$4,"&lt;="&amp;$C$3,成本计算!$H$6:$EU$6,"采购金额"))</f>
      </c>
      <c r="H104" s="220">
        <f>IF(B104="","",SUMIFS(成本计算!$H106:$EU106,成本计算!$H$4:$EU$4,"&lt;="&amp;$C$3,成本计算!$H$6:$EU$6,"出库数量"))</f>
      </c>
      <c r="I104" s="186">
        <f>IF(B104="","",SUMIFS(成本计算!$H106:$EU106,成本计算!$H$4:$EU$4,"&lt;="&amp;$C$3,成本计算!$H$6:$EU$6,"出库成本"))</f>
      </c>
      <c r="J104" s="220">
        <f>IF(B104="","",SUMIFS(成本计算!$H106:$EU106,成本计算!$H$4:$EU$4,"&lt;="&amp;$C$3,成本计算!$H$6:$EU$6,"报损数量"))</f>
      </c>
      <c r="K104" s="186">
        <f>IF(B104="","",SUMIFS(成本计算!$H106:$EU106,成本计算!$H$4:$EU$4,"&lt;="&amp;$C$3,成本计算!$H$6:$EU$6,"报损金额"))</f>
      </c>
      <c r="L104" s="221">
        <f>IF(B104="","",INDEX(成本计算!$H106:$EU106,($C$3-1)*12+10))</f>
      </c>
      <c r="M104" s="187">
        <f>IF(B104="","",INDEX(成本计算!$H106:$EU106,($C$3-1)*12+11))</f>
      </c>
      <c r="N104" s="222">
        <f>IF(OR(B104="",N(L104)&lt;=0),"",M104/L104)</f>
      </c>
      <c r="O104" s="220">
        <f>IF(B104="","",SUMIF(商品库存!$C$4:$C$603,B104,商品库存!$I$4:$I$603))</f>
      </c>
      <c r="P104" s="221">
        <f>IF(B104="","",L104-O104)</f>
      </c>
      <c r="Q104" s="223">
        <f>IF(B104="","",IF(L104&lt;0,"✗ 结存为负：进货没录全；","")&amp;IF(AND(N(H104)&gt;0,N(I104)=0),"⚠ 没有进价，成本按 0 算；","")&amp;IF(AND(L104&gt;=0,P104&lt;0),"⚠ 不够兑现客户存条",""))</f>
      </c>
    </row>
    <row r="105">
      <c r="A105" s="194">
        <f>IF(B105="","",ROW()-5)</f>
      </c>
      <c r="B105" s="141">
        <f>成本计算!B107</f>
      </c>
      <c r="C105" s="141">
        <f>IF(B105="","",基础资料!F104&amp;"")</f>
      </c>
      <c r="D105" s="220">
        <f>IF(B105="","",成本计算!F107)</f>
      </c>
      <c r="E105" s="186">
        <f>IF(B105="","",成本计算!G107)</f>
      </c>
      <c r="F105" s="220">
        <f>IF(B105="","",SUMIFS(成本计算!$H107:$EU107,成本计算!$H$4:$EU$4,"&lt;="&amp;$C$3,成本计算!$H$6:$EU$6,"采购数量"))</f>
      </c>
      <c r="G105" s="186">
        <f>IF(B105="","",SUMIFS(成本计算!$H107:$EU107,成本计算!$H$4:$EU$4,"&lt;="&amp;$C$3,成本计算!$H$6:$EU$6,"采购金额"))</f>
      </c>
      <c r="H105" s="220">
        <f>IF(B105="","",SUMIFS(成本计算!$H107:$EU107,成本计算!$H$4:$EU$4,"&lt;="&amp;$C$3,成本计算!$H$6:$EU$6,"出库数量"))</f>
      </c>
      <c r="I105" s="186">
        <f>IF(B105="","",SUMIFS(成本计算!$H107:$EU107,成本计算!$H$4:$EU$4,"&lt;="&amp;$C$3,成本计算!$H$6:$EU$6,"出库成本"))</f>
      </c>
      <c r="J105" s="220">
        <f>IF(B105="","",SUMIFS(成本计算!$H107:$EU107,成本计算!$H$4:$EU$4,"&lt;="&amp;$C$3,成本计算!$H$6:$EU$6,"报损数量"))</f>
      </c>
      <c r="K105" s="186">
        <f>IF(B105="","",SUMIFS(成本计算!$H107:$EU107,成本计算!$H$4:$EU$4,"&lt;="&amp;$C$3,成本计算!$H$6:$EU$6,"报损金额"))</f>
      </c>
      <c r="L105" s="221">
        <f>IF(B105="","",INDEX(成本计算!$H107:$EU107,($C$3-1)*12+10))</f>
      </c>
      <c r="M105" s="187">
        <f>IF(B105="","",INDEX(成本计算!$H107:$EU107,($C$3-1)*12+11))</f>
      </c>
      <c r="N105" s="222">
        <f>IF(OR(B105="",N(L105)&lt;=0),"",M105/L105)</f>
      </c>
      <c r="O105" s="220">
        <f>IF(B105="","",SUMIF(商品库存!$C$4:$C$603,B105,商品库存!$I$4:$I$603))</f>
      </c>
      <c r="P105" s="221">
        <f>IF(B105="","",L105-O105)</f>
      </c>
      <c r="Q105" s="223">
        <f>IF(B105="","",IF(L105&lt;0,"✗ 结存为负：进货没录全；","")&amp;IF(AND(N(H105)&gt;0,N(I105)=0),"⚠ 没有进价，成本按 0 算；","")&amp;IF(AND(L105&gt;=0,P105&lt;0),"⚠ 不够兑现客户存条",""))</f>
      </c>
    </row>
    <row r="106">
      <c r="A106" s="224" t="n"/>
      <c r="B106" s="121" t="inlineStr">
        <is>
          <t>合计</t>
        </is>
      </c>
      <c r="C106" s="224" t="n"/>
      <c r="D106" s="225">
        <f>SUM(D6:D105)</f>
        <v>0</v>
      </c>
      <c r="E106" s="188">
        <f>SUM(E6:E105)</f>
        <v>0</v>
      </c>
      <c r="F106" s="225">
        <f>SUM(F6:F105)</f>
        <v>0</v>
      </c>
      <c r="G106" s="188">
        <f>SUM(G6:G105)</f>
        <v>0</v>
      </c>
      <c r="H106" s="225">
        <f>SUM(H6:H105)</f>
        <v>24328</v>
      </c>
      <c r="I106" s="188">
        <f>SUM(I6:I105)</f>
        <v>1135808.7714</v>
      </c>
      <c r="J106" s="225">
        <f>SUM(J6:J105)</f>
        <v>459.789285714286</v>
      </c>
      <c r="K106" s="188">
        <f>SUM(K6:K105)</f>
        <v>17655.215536</v>
      </c>
      <c r="L106" s="225">
        <f>SUM(L6:L105)</f>
        <v>-24787.7892857143</v>
      </c>
      <c r="M106" s="188">
        <f>SUM(M6:M105)</f>
        <v>-1153463.986936</v>
      </c>
      <c r="N106" s="224" t="n"/>
      <c r="O106" s="225">
        <f>SUM(O6:O105)</f>
        <v>25340</v>
      </c>
      <c r="P106" s="225">
        <f>SUM(P6:P105)</f>
        <v>-50127.7892857143</v>
      </c>
      <c r="Q106" s="224" t="n"/>
    </row>
  </sheetData>
  <autoFilter ref="A5:Q105"/>
  <mergeCells count="4">
    <mergeCell ref="A2:Q2"/>
    <mergeCell ref="A3:B3"/>
    <mergeCell ref="A1:Q1"/>
    <mergeCell ref="D3:F3"/>
  </mergeCells>
  <conditionalFormatting sqref="Q6:Q105">
    <cfRule type="expression" priority="1" dxfId="0">
      <formula>LEFT($Q6,1)="✗"</formula>
    </cfRule>
    <cfRule type="expression" priority="2" dxfId="2">
      <formula>LEFT($Q6,1)="⚠"</formula>
    </cfRule>
  </conditionalFormatting>
  <conditionalFormatting sqref="L6:L105">
    <cfRule type="expression" priority="3" dxfId="7">
      <formula>AND(ISNUMBER(L6),L6&lt;0)</formula>
    </cfRule>
  </conditionalFormatting>
  <dataValidations count="1">
    <dataValidation sqref="C3" showDropDown="0" showInputMessage="1" showErrorMessage="1" allowBlank="1" errorTitle="不在清单里" error="请从下拉里选；清单里没有的，先到【基础资料】/【总览汇总】里登记" promptTitle="提示" prompt="看截止到哪个月底" type="list" errorStyle="stop">
      <formula1>"1,2,3,4,5,6,7,8,9,10,11,12"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EU108"/>
  <sheetViews>
    <sheetView tabSelected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71" min="1" max="1"/>
    <col width="14" customWidth="1" style="71" min="2" max="2"/>
    <col width="15" customWidth="1" style="71" min="3" max="3"/>
    <col width="6" customWidth="1" style="71" min="4" max="4"/>
    <col width="9" customWidth="1" style="71" min="5" max="5"/>
    <col width="9" customWidth="1" style="71" min="6" max="6"/>
    <col width="11" customWidth="1" style="71" min="7" max="7"/>
    <col width="10" customWidth="1" style="71" min="8" max="8"/>
    <col width="10" customWidth="1" style="71" min="9" max="9"/>
    <col width="10" customWidth="1" style="71" min="10" max="10"/>
    <col width="10" customWidth="1" style="71" min="11" max="11"/>
    <col width="10" customWidth="1" style="71" min="12" max="12"/>
    <col width="10" customWidth="1" style="71" min="13" max="13"/>
    <col width="10" customWidth="1" style="71" min="14" max="14"/>
    <col width="10" customWidth="1" style="71" min="15" max="15"/>
    <col width="10" customWidth="1" style="71" min="16" max="16"/>
    <col width="10" customWidth="1" style="71" min="17" max="17"/>
    <col width="10" customWidth="1" style="71" min="18" max="18"/>
    <col width="9" customWidth="1" style="71" min="19" max="19"/>
    <col width="10" customWidth="1" style="71" min="20" max="20"/>
    <col width="10" customWidth="1" style="71" min="21" max="21"/>
    <col width="10" customWidth="1" style="71" min="22" max="22"/>
    <col width="10" customWidth="1" style="71" min="23" max="23"/>
    <col width="10" customWidth="1" style="71" min="24" max="24"/>
    <col width="10" customWidth="1" style="71" min="25" max="25"/>
    <col width="10" customWidth="1" style="71" min="26" max="26"/>
    <col width="10" customWidth="1" style="71" min="27" max="27"/>
    <col width="10" customWidth="1" style="71" min="28" max="28"/>
    <col width="10" customWidth="1" style="71" min="29" max="29"/>
    <col width="10" customWidth="1" style="71" min="30" max="30"/>
    <col width="9" customWidth="1" style="71" min="31" max="31"/>
    <col width="10" customWidth="1" style="71" min="32" max="32"/>
    <col width="10" customWidth="1" style="71" min="33" max="33"/>
    <col width="10" customWidth="1" style="71" min="34" max="34"/>
    <col width="10" customWidth="1" style="71" min="35" max="35"/>
    <col width="10" customWidth="1" style="71" min="36" max="36"/>
    <col width="10" customWidth="1" style="71" min="37" max="37"/>
    <col width="10" customWidth="1" style="71" min="38" max="38"/>
    <col width="10" customWidth="1" style="71" min="39" max="39"/>
    <col width="10" customWidth="1" style="71" min="40" max="40"/>
    <col width="10" customWidth="1" style="71" min="41" max="41"/>
    <col width="10" customWidth="1" style="71" min="42" max="42"/>
    <col width="9" customWidth="1" style="71" min="43" max="43"/>
    <col width="10" customWidth="1" style="71" min="44" max="44"/>
    <col width="10" customWidth="1" style="71" min="45" max="45"/>
    <col width="10" customWidth="1" style="71" min="46" max="46"/>
    <col width="10" customWidth="1" style="71" min="47" max="47"/>
    <col width="10" customWidth="1" style="71" min="48" max="48"/>
    <col width="10" customWidth="1" style="71" min="49" max="49"/>
    <col width="10" customWidth="1" style="71" min="50" max="50"/>
    <col width="10" customWidth="1" style="71" min="51" max="51"/>
    <col width="10" customWidth="1" style="71" min="52" max="52"/>
    <col width="10" customWidth="1" style="71" min="53" max="53"/>
    <col width="10" customWidth="1" style="71" min="54" max="54"/>
    <col width="9" customWidth="1" style="71" min="55" max="55"/>
    <col width="10" customWidth="1" style="71" min="56" max="56"/>
    <col width="10" customWidth="1" style="71" min="57" max="57"/>
    <col width="10" customWidth="1" style="71" min="58" max="58"/>
    <col width="10" customWidth="1" style="71" min="59" max="59"/>
    <col width="10" customWidth="1" style="71" min="60" max="60"/>
    <col width="10" customWidth="1" style="71" min="61" max="61"/>
    <col width="10" customWidth="1" style="71" min="62" max="62"/>
    <col width="10" customWidth="1" style="71" min="63" max="63"/>
    <col width="10" customWidth="1" style="71" min="64" max="64"/>
    <col width="10" customWidth="1" style="71" min="65" max="65"/>
    <col width="10" customWidth="1" style="71" min="66" max="66"/>
    <col width="9" customWidth="1" style="71" min="67" max="67"/>
    <col width="10" customWidth="1" style="71" min="68" max="68"/>
    <col width="10" customWidth="1" style="71" min="69" max="69"/>
    <col width="10" customWidth="1" style="71" min="70" max="70"/>
    <col width="10" customWidth="1" style="71" min="71" max="71"/>
    <col width="10" customWidth="1" style="71" min="72" max="72"/>
    <col width="10" customWidth="1" style="71" min="73" max="73"/>
    <col width="10" customWidth="1" style="71" min="74" max="74"/>
    <col width="10" customWidth="1" style="71" min="75" max="75"/>
    <col width="10" customWidth="1" style="71" min="76" max="76"/>
    <col width="10" customWidth="1" style="71" min="77" max="77"/>
    <col width="10" customWidth="1" style="71" min="78" max="78"/>
    <col width="9" customWidth="1" style="71" min="79" max="79"/>
    <col width="10" customWidth="1" style="71" min="80" max="80"/>
    <col width="10" customWidth="1" style="71" min="81" max="81"/>
    <col width="10" customWidth="1" style="71" min="82" max="82"/>
    <col width="10" customWidth="1" style="71" min="83" max="83"/>
    <col width="10" customWidth="1" style="71" min="84" max="84"/>
    <col width="10" customWidth="1" style="71" min="85" max="85"/>
    <col width="10" customWidth="1" style="71" min="86" max="86"/>
    <col width="10" customWidth="1" style="71" min="87" max="87"/>
    <col width="10" customWidth="1" style="71" min="88" max="88"/>
    <col width="10" customWidth="1" style="71" min="89" max="89"/>
    <col width="10" customWidth="1" style="71" min="90" max="90"/>
    <col width="9" customWidth="1" style="71" min="91" max="91"/>
    <col width="10" customWidth="1" style="71" min="92" max="92"/>
    <col width="10" customWidth="1" style="71" min="93" max="93"/>
    <col width="10" customWidth="1" style="71" min="94" max="94"/>
    <col width="10" customWidth="1" style="71" min="95" max="95"/>
    <col width="10" customWidth="1" style="71" min="96" max="96"/>
    <col width="10" customWidth="1" style="71" min="97" max="97"/>
    <col width="10" customWidth="1" style="71" min="98" max="98"/>
    <col width="10" customWidth="1" style="71" min="99" max="99"/>
    <col width="10" customWidth="1" style="71" min="100" max="100"/>
    <col width="10" customWidth="1" style="71" min="101" max="101"/>
    <col width="10" customWidth="1" style="71" min="102" max="102"/>
    <col width="9" customWidth="1" style="71" min="103" max="103"/>
    <col width="10" customWidth="1" style="71" min="104" max="104"/>
    <col width="10" customWidth="1" style="71" min="105" max="105"/>
    <col width="10" customWidth="1" style="71" min="106" max="106"/>
    <col width="10" customWidth="1" style="71" min="107" max="107"/>
    <col width="10" customWidth="1" style="71" min="108" max="108"/>
    <col width="10" customWidth="1" style="71" min="109" max="109"/>
    <col width="10" customWidth="1" style="71" min="110" max="110"/>
    <col width="10" customWidth="1" style="71" min="111" max="111"/>
    <col width="10" customWidth="1" style="71" min="112" max="112"/>
    <col width="10" customWidth="1" style="71" min="113" max="113"/>
    <col width="10" customWidth="1" style="71" min="114" max="114"/>
    <col width="9" customWidth="1" style="71" min="115" max="115"/>
    <col width="10" customWidth="1" style="71" min="116" max="116"/>
    <col width="10" customWidth="1" style="71" min="117" max="117"/>
    <col width="10" customWidth="1" style="71" min="118" max="118"/>
    <col width="10" customWidth="1" style="71" min="119" max="119"/>
    <col width="10" customWidth="1" style="71" min="120" max="120"/>
    <col width="10" customWidth="1" style="71" min="121" max="121"/>
    <col width="10" customWidth="1" style="71" min="122" max="122"/>
    <col width="10" customWidth="1" style="71" min="123" max="123"/>
    <col width="10" customWidth="1" style="71" min="124" max="124"/>
    <col width="10" customWidth="1" style="71" min="125" max="125"/>
    <col width="10" customWidth="1" style="71" min="126" max="126"/>
    <col width="9" customWidth="1" style="71" min="127" max="127"/>
    <col width="10" customWidth="1" style="71" min="128" max="128"/>
    <col width="10" customWidth="1" style="71" min="129" max="129"/>
    <col width="10" customWidth="1" style="71" min="130" max="130"/>
    <col width="10" customWidth="1" style="71" min="131" max="131"/>
    <col width="10" customWidth="1" style="71" min="132" max="132"/>
    <col width="10" customWidth="1" style="71" min="133" max="133"/>
    <col width="10" customWidth="1" style="71" min="134" max="134"/>
    <col width="10" customWidth="1" style="71" min="135" max="135"/>
    <col width="10" customWidth="1" style="71" min="136" max="136"/>
    <col width="10" customWidth="1" style="71" min="137" max="137"/>
    <col width="10" customWidth="1" style="71" min="138" max="138"/>
    <col width="9" customWidth="1" style="71" min="139" max="139"/>
    <col width="10" customWidth="1" style="71" min="140" max="140"/>
    <col width="10" customWidth="1" style="71" min="141" max="141"/>
    <col width="10" customWidth="1" style="71" min="142" max="142"/>
    <col width="10" customWidth="1" style="71" min="143" max="143"/>
    <col width="10" customWidth="1" style="71" min="144" max="144"/>
    <col width="10" customWidth="1" style="71" min="145" max="145"/>
    <col width="10" customWidth="1" style="71" min="146" max="146"/>
    <col width="10" customWidth="1" style="71" min="147" max="147"/>
    <col width="10" customWidth="1" style="71" min="148" max="148"/>
    <col width="10" customWidth="1" style="71" min="149" max="149"/>
    <col width="10" customWidth="1" style="71" min="150" max="150"/>
    <col width="9" customWidth="1" style="71" min="151" max="151"/>
  </cols>
  <sheetData>
    <row r="1" ht="33" customHeight="1" s="71">
      <c r="A1" s="226" t="inlineStr">
        <is>
          <t>成本计算（全月一次加权平均 · 全自动，不用填）</t>
        </is>
      </c>
    </row>
    <row r="2" ht="24" customHeight="1" s="71">
      <c r="A2" s="73" t="inlineStr">
        <is>
          <t>💡 每个商品每个月：可用＝上月结存＋本月进货；平均单价＝可用金额÷可用数量；出库成本＝出库数量×平均单价；报损按报损表金额冲减。当月没货可算（没录进货、也没期初）就先用【基础资料】的参考进价估算，「估算成本」一栏会标出来。</t>
        </is>
      </c>
    </row>
    <row r="4" hidden="1" s="71"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11</v>
      </c>
      <c r="DY4" t="n">
        <v>11</v>
      </c>
      <c r="DZ4" t="n">
        <v>11</v>
      </c>
      <c r="EA4" t="n">
        <v>11</v>
      </c>
      <c r="EB4" t="n">
        <v>11</v>
      </c>
      <c r="EC4" t="n">
        <v>11</v>
      </c>
      <c r="ED4" t="n">
        <v>11</v>
      </c>
      <c r="EE4" t="n">
        <v>11</v>
      </c>
      <c r="EF4" t="n">
        <v>11</v>
      </c>
      <c r="EG4" t="n">
        <v>11</v>
      </c>
      <c r="EH4" t="n">
        <v>11</v>
      </c>
      <c r="EI4" t="n">
        <v>11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</row>
    <row r="5">
      <c r="A5" s="100" t="inlineStr">
        <is>
          <t>序号</t>
        </is>
      </c>
      <c r="B5" s="100" t="inlineStr">
        <is>
          <t>商品品类</t>
        </is>
      </c>
      <c r="C5" s="100" t="inlineStr">
        <is>
          <t>报损表品名</t>
        </is>
      </c>
      <c r="D5" s="100" t="inlineStr">
        <is>
          <t>每件数量</t>
        </is>
      </c>
      <c r="E5" s="100" t="inlineStr">
        <is>
          <t>参考进价</t>
        </is>
      </c>
      <c r="F5" s="100" t="inlineStr">
        <is>
          <t>期初数量</t>
        </is>
      </c>
      <c r="G5" s="100" t="inlineStr">
        <is>
          <t>期初金额</t>
        </is>
      </c>
      <c r="H5" s="227" t="inlineStr">
        <is>
          <t>1月</t>
        </is>
      </c>
      <c r="T5" s="96" t="inlineStr">
        <is>
          <t>2月</t>
        </is>
      </c>
      <c r="AF5" s="227" t="inlineStr">
        <is>
          <t>3月</t>
        </is>
      </c>
      <c r="AR5" s="96" t="inlineStr">
        <is>
          <t>4月</t>
        </is>
      </c>
      <c r="BD5" s="227" t="inlineStr">
        <is>
          <t>5月</t>
        </is>
      </c>
      <c r="BP5" s="96" t="inlineStr">
        <is>
          <t>6月</t>
        </is>
      </c>
      <c r="CB5" s="227" t="inlineStr">
        <is>
          <t>7月</t>
        </is>
      </c>
      <c r="CN5" s="96" t="inlineStr">
        <is>
          <t>8月</t>
        </is>
      </c>
      <c r="CZ5" s="227" t="inlineStr">
        <is>
          <t>9月</t>
        </is>
      </c>
      <c r="DL5" s="96" t="inlineStr">
        <is>
          <t>10月</t>
        </is>
      </c>
      <c r="DX5" s="227" t="inlineStr">
        <is>
          <t>11月</t>
        </is>
      </c>
      <c r="EJ5" s="96" t="inlineStr">
        <is>
          <t>12月</t>
        </is>
      </c>
    </row>
    <row r="6" ht="30" customHeight="1" s="71">
      <c r="A6" s="228" t="n"/>
      <c r="B6" s="228" t="n"/>
      <c r="C6" s="228" t="n"/>
      <c r="D6" s="228" t="n"/>
      <c r="E6" s="228" t="n"/>
      <c r="F6" s="228" t="n"/>
      <c r="G6" s="228" t="n"/>
      <c r="H6" s="229" t="inlineStr">
        <is>
          <t>采购数量</t>
        </is>
      </c>
      <c r="I6" s="229" t="inlineStr">
        <is>
          <t>采购金额</t>
        </is>
      </c>
      <c r="J6" s="229" t="inlineStr">
        <is>
          <t>可用数量</t>
        </is>
      </c>
      <c r="K6" s="229" t="inlineStr">
        <is>
          <t>可用金额</t>
        </is>
      </c>
      <c r="L6" s="229" t="inlineStr">
        <is>
          <t>平均单价</t>
        </is>
      </c>
      <c r="M6" s="229" t="inlineStr">
        <is>
          <t>出库数量</t>
        </is>
      </c>
      <c r="N6" s="229" t="inlineStr">
        <is>
          <t>出库成本</t>
        </is>
      </c>
      <c r="O6" s="229" t="inlineStr">
        <is>
          <t>报损数量</t>
        </is>
      </c>
      <c r="P6" s="229" t="inlineStr">
        <is>
          <t>报损金额</t>
        </is>
      </c>
      <c r="Q6" s="229" t="inlineStr">
        <is>
          <t>结存数量</t>
        </is>
      </c>
      <c r="R6" s="229" t="inlineStr">
        <is>
          <t>结存金额</t>
        </is>
      </c>
      <c r="S6" s="229" t="inlineStr">
        <is>
          <t>估算成本</t>
        </is>
      </c>
      <c r="T6" s="103" t="inlineStr">
        <is>
          <t>采购数量</t>
        </is>
      </c>
      <c r="U6" s="103" t="inlineStr">
        <is>
          <t>采购金额</t>
        </is>
      </c>
      <c r="V6" s="103" t="inlineStr">
        <is>
          <t>可用数量</t>
        </is>
      </c>
      <c r="W6" s="103" t="inlineStr">
        <is>
          <t>可用金额</t>
        </is>
      </c>
      <c r="X6" s="103" t="inlineStr">
        <is>
          <t>平均单价</t>
        </is>
      </c>
      <c r="Y6" s="103" t="inlineStr">
        <is>
          <t>出库数量</t>
        </is>
      </c>
      <c r="Z6" s="103" t="inlineStr">
        <is>
          <t>出库成本</t>
        </is>
      </c>
      <c r="AA6" s="103" t="inlineStr">
        <is>
          <t>报损数量</t>
        </is>
      </c>
      <c r="AB6" s="103" t="inlineStr">
        <is>
          <t>报损金额</t>
        </is>
      </c>
      <c r="AC6" s="103" t="inlineStr">
        <is>
          <t>结存数量</t>
        </is>
      </c>
      <c r="AD6" s="103" t="inlineStr">
        <is>
          <t>结存金额</t>
        </is>
      </c>
      <c r="AE6" s="103" t="inlineStr">
        <is>
          <t>估算成本</t>
        </is>
      </c>
      <c r="AF6" s="229" t="inlineStr">
        <is>
          <t>采购数量</t>
        </is>
      </c>
      <c r="AG6" s="229" t="inlineStr">
        <is>
          <t>采购金额</t>
        </is>
      </c>
      <c r="AH6" s="229" t="inlineStr">
        <is>
          <t>可用数量</t>
        </is>
      </c>
      <c r="AI6" s="229" t="inlineStr">
        <is>
          <t>可用金额</t>
        </is>
      </c>
      <c r="AJ6" s="229" t="inlineStr">
        <is>
          <t>平均单价</t>
        </is>
      </c>
      <c r="AK6" s="229" t="inlineStr">
        <is>
          <t>出库数量</t>
        </is>
      </c>
      <c r="AL6" s="229" t="inlineStr">
        <is>
          <t>出库成本</t>
        </is>
      </c>
      <c r="AM6" s="229" t="inlineStr">
        <is>
          <t>报损数量</t>
        </is>
      </c>
      <c r="AN6" s="229" t="inlineStr">
        <is>
          <t>报损金额</t>
        </is>
      </c>
      <c r="AO6" s="229" t="inlineStr">
        <is>
          <t>结存数量</t>
        </is>
      </c>
      <c r="AP6" s="229" t="inlineStr">
        <is>
          <t>结存金额</t>
        </is>
      </c>
      <c r="AQ6" s="229" t="inlineStr">
        <is>
          <t>估算成本</t>
        </is>
      </c>
      <c r="AR6" s="103" t="inlineStr">
        <is>
          <t>采购数量</t>
        </is>
      </c>
      <c r="AS6" s="103" t="inlineStr">
        <is>
          <t>采购金额</t>
        </is>
      </c>
      <c r="AT6" s="103" t="inlineStr">
        <is>
          <t>可用数量</t>
        </is>
      </c>
      <c r="AU6" s="103" t="inlineStr">
        <is>
          <t>可用金额</t>
        </is>
      </c>
      <c r="AV6" s="103" t="inlineStr">
        <is>
          <t>平均单价</t>
        </is>
      </c>
      <c r="AW6" s="103" t="inlineStr">
        <is>
          <t>出库数量</t>
        </is>
      </c>
      <c r="AX6" s="103" t="inlineStr">
        <is>
          <t>出库成本</t>
        </is>
      </c>
      <c r="AY6" s="103" t="inlineStr">
        <is>
          <t>报损数量</t>
        </is>
      </c>
      <c r="AZ6" s="103" t="inlineStr">
        <is>
          <t>报损金额</t>
        </is>
      </c>
      <c r="BA6" s="103" t="inlineStr">
        <is>
          <t>结存数量</t>
        </is>
      </c>
      <c r="BB6" s="103" t="inlineStr">
        <is>
          <t>结存金额</t>
        </is>
      </c>
      <c r="BC6" s="103" t="inlineStr">
        <is>
          <t>估算成本</t>
        </is>
      </c>
      <c r="BD6" s="229" t="inlineStr">
        <is>
          <t>采购数量</t>
        </is>
      </c>
      <c r="BE6" s="229" t="inlineStr">
        <is>
          <t>采购金额</t>
        </is>
      </c>
      <c r="BF6" s="229" t="inlineStr">
        <is>
          <t>可用数量</t>
        </is>
      </c>
      <c r="BG6" s="229" t="inlineStr">
        <is>
          <t>可用金额</t>
        </is>
      </c>
      <c r="BH6" s="229" t="inlineStr">
        <is>
          <t>平均单价</t>
        </is>
      </c>
      <c r="BI6" s="229" t="inlineStr">
        <is>
          <t>出库数量</t>
        </is>
      </c>
      <c r="BJ6" s="229" t="inlineStr">
        <is>
          <t>出库成本</t>
        </is>
      </c>
      <c r="BK6" s="229" t="inlineStr">
        <is>
          <t>报损数量</t>
        </is>
      </c>
      <c r="BL6" s="229" t="inlineStr">
        <is>
          <t>报损金额</t>
        </is>
      </c>
      <c r="BM6" s="229" t="inlineStr">
        <is>
          <t>结存数量</t>
        </is>
      </c>
      <c r="BN6" s="229" t="inlineStr">
        <is>
          <t>结存金额</t>
        </is>
      </c>
      <c r="BO6" s="229" t="inlineStr">
        <is>
          <t>估算成本</t>
        </is>
      </c>
      <c r="BP6" s="103" t="inlineStr">
        <is>
          <t>采购数量</t>
        </is>
      </c>
      <c r="BQ6" s="103" t="inlineStr">
        <is>
          <t>采购金额</t>
        </is>
      </c>
      <c r="BR6" s="103" t="inlineStr">
        <is>
          <t>可用数量</t>
        </is>
      </c>
      <c r="BS6" s="103" t="inlineStr">
        <is>
          <t>可用金额</t>
        </is>
      </c>
      <c r="BT6" s="103" t="inlineStr">
        <is>
          <t>平均单价</t>
        </is>
      </c>
      <c r="BU6" s="103" t="inlineStr">
        <is>
          <t>出库数量</t>
        </is>
      </c>
      <c r="BV6" s="103" t="inlineStr">
        <is>
          <t>出库成本</t>
        </is>
      </c>
      <c r="BW6" s="103" t="inlineStr">
        <is>
          <t>报损数量</t>
        </is>
      </c>
      <c r="BX6" s="103" t="inlineStr">
        <is>
          <t>报损金额</t>
        </is>
      </c>
      <c r="BY6" s="103" t="inlineStr">
        <is>
          <t>结存数量</t>
        </is>
      </c>
      <c r="BZ6" s="103" t="inlineStr">
        <is>
          <t>结存金额</t>
        </is>
      </c>
      <c r="CA6" s="103" t="inlineStr">
        <is>
          <t>估算成本</t>
        </is>
      </c>
      <c r="CB6" s="229" t="inlineStr">
        <is>
          <t>采购数量</t>
        </is>
      </c>
      <c r="CC6" s="229" t="inlineStr">
        <is>
          <t>采购金额</t>
        </is>
      </c>
      <c r="CD6" s="229" t="inlineStr">
        <is>
          <t>可用数量</t>
        </is>
      </c>
      <c r="CE6" s="229" t="inlineStr">
        <is>
          <t>可用金额</t>
        </is>
      </c>
      <c r="CF6" s="229" t="inlineStr">
        <is>
          <t>平均单价</t>
        </is>
      </c>
      <c r="CG6" s="229" t="inlineStr">
        <is>
          <t>出库数量</t>
        </is>
      </c>
      <c r="CH6" s="229" t="inlineStr">
        <is>
          <t>出库成本</t>
        </is>
      </c>
      <c r="CI6" s="229" t="inlineStr">
        <is>
          <t>报损数量</t>
        </is>
      </c>
      <c r="CJ6" s="229" t="inlineStr">
        <is>
          <t>报损金额</t>
        </is>
      </c>
      <c r="CK6" s="229" t="inlineStr">
        <is>
          <t>结存数量</t>
        </is>
      </c>
      <c r="CL6" s="229" t="inlineStr">
        <is>
          <t>结存金额</t>
        </is>
      </c>
      <c r="CM6" s="229" t="inlineStr">
        <is>
          <t>估算成本</t>
        </is>
      </c>
      <c r="CN6" s="103" t="inlineStr">
        <is>
          <t>采购数量</t>
        </is>
      </c>
      <c r="CO6" s="103" t="inlineStr">
        <is>
          <t>采购金额</t>
        </is>
      </c>
      <c r="CP6" s="103" t="inlineStr">
        <is>
          <t>可用数量</t>
        </is>
      </c>
      <c r="CQ6" s="103" t="inlineStr">
        <is>
          <t>可用金额</t>
        </is>
      </c>
      <c r="CR6" s="103" t="inlineStr">
        <is>
          <t>平均单价</t>
        </is>
      </c>
      <c r="CS6" s="103" t="inlineStr">
        <is>
          <t>出库数量</t>
        </is>
      </c>
      <c r="CT6" s="103" t="inlineStr">
        <is>
          <t>出库成本</t>
        </is>
      </c>
      <c r="CU6" s="103" t="inlineStr">
        <is>
          <t>报损数量</t>
        </is>
      </c>
      <c r="CV6" s="103" t="inlineStr">
        <is>
          <t>报损金额</t>
        </is>
      </c>
      <c r="CW6" s="103" t="inlineStr">
        <is>
          <t>结存数量</t>
        </is>
      </c>
      <c r="CX6" s="103" t="inlineStr">
        <is>
          <t>结存金额</t>
        </is>
      </c>
      <c r="CY6" s="103" t="inlineStr">
        <is>
          <t>估算成本</t>
        </is>
      </c>
      <c r="CZ6" s="229" t="inlineStr">
        <is>
          <t>采购数量</t>
        </is>
      </c>
      <c r="DA6" s="229" t="inlineStr">
        <is>
          <t>采购金额</t>
        </is>
      </c>
      <c r="DB6" s="229" t="inlineStr">
        <is>
          <t>可用数量</t>
        </is>
      </c>
      <c r="DC6" s="229" t="inlineStr">
        <is>
          <t>可用金额</t>
        </is>
      </c>
      <c r="DD6" s="229" t="inlineStr">
        <is>
          <t>平均单价</t>
        </is>
      </c>
      <c r="DE6" s="229" t="inlineStr">
        <is>
          <t>出库数量</t>
        </is>
      </c>
      <c r="DF6" s="229" t="inlineStr">
        <is>
          <t>出库成本</t>
        </is>
      </c>
      <c r="DG6" s="229" t="inlineStr">
        <is>
          <t>报损数量</t>
        </is>
      </c>
      <c r="DH6" s="229" t="inlineStr">
        <is>
          <t>报损金额</t>
        </is>
      </c>
      <c r="DI6" s="229" t="inlineStr">
        <is>
          <t>结存数量</t>
        </is>
      </c>
      <c r="DJ6" s="229" t="inlineStr">
        <is>
          <t>结存金额</t>
        </is>
      </c>
      <c r="DK6" s="229" t="inlineStr">
        <is>
          <t>估算成本</t>
        </is>
      </c>
      <c r="DL6" s="103" t="inlineStr">
        <is>
          <t>采购数量</t>
        </is>
      </c>
      <c r="DM6" s="103" t="inlineStr">
        <is>
          <t>采购金额</t>
        </is>
      </c>
      <c r="DN6" s="103" t="inlineStr">
        <is>
          <t>可用数量</t>
        </is>
      </c>
      <c r="DO6" s="103" t="inlineStr">
        <is>
          <t>可用金额</t>
        </is>
      </c>
      <c r="DP6" s="103" t="inlineStr">
        <is>
          <t>平均单价</t>
        </is>
      </c>
      <c r="DQ6" s="103" t="inlineStr">
        <is>
          <t>出库数量</t>
        </is>
      </c>
      <c r="DR6" s="103" t="inlineStr">
        <is>
          <t>出库成本</t>
        </is>
      </c>
      <c r="DS6" s="103" t="inlineStr">
        <is>
          <t>报损数量</t>
        </is>
      </c>
      <c r="DT6" s="103" t="inlineStr">
        <is>
          <t>报损金额</t>
        </is>
      </c>
      <c r="DU6" s="103" t="inlineStr">
        <is>
          <t>结存数量</t>
        </is>
      </c>
      <c r="DV6" s="103" t="inlineStr">
        <is>
          <t>结存金额</t>
        </is>
      </c>
      <c r="DW6" s="103" t="inlineStr">
        <is>
          <t>估算成本</t>
        </is>
      </c>
      <c r="DX6" s="229" t="inlineStr">
        <is>
          <t>采购数量</t>
        </is>
      </c>
      <c r="DY6" s="229" t="inlineStr">
        <is>
          <t>采购金额</t>
        </is>
      </c>
      <c r="DZ6" s="229" t="inlineStr">
        <is>
          <t>可用数量</t>
        </is>
      </c>
      <c r="EA6" s="229" t="inlineStr">
        <is>
          <t>可用金额</t>
        </is>
      </c>
      <c r="EB6" s="229" t="inlineStr">
        <is>
          <t>平均单价</t>
        </is>
      </c>
      <c r="EC6" s="229" t="inlineStr">
        <is>
          <t>出库数量</t>
        </is>
      </c>
      <c r="ED6" s="229" t="inlineStr">
        <is>
          <t>出库成本</t>
        </is>
      </c>
      <c r="EE6" s="229" t="inlineStr">
        <is>
          <t>报损数量</t>
        </is>
      </c>
      <c r="EF6" s="229" t="inlineStr">
        <is>
          <t>报损金额</t>
        </is>
      </c>
      <c r="EG6" s="229" t="inlineStr">
        <is>
          <t>结存数量</t>
        </is>
      </c>
      <c r="EH6" s="229" t="inlineStr">
        <is>
          <t>结存金额</t>
        </is>
      </c>
      <c r="EI6" s="229" t="inlineStr">
        <is>
          <t>估算成本</t>
        </is>
      </c>
      <c r="EJ6" s="103" t="inlineStr">
        <is>
          <t>采购数量</t>
        </is>
      </c>
      <c r="EK6" s="103" t="inlineStr">
        <is>
          <t>采购金额</t>
        </is>
      </c>
      <c r="EL6" s="103" t="inlineStr">
        <is>
          <t>可用数量</t>
        </is>
      </c>
      <c r="EM6" s="103" t="inlineStr">
        <is>
          <t>可用金额</t>
        </is>
      </c>
      <c r="EN6" s="103" t="inlineStr">
        <is>
          <t>平均单价</t>
        </is>
      </c>
      <c r="EO6" s="103" t="inlineStr">
        <is>
          <t>出库数量</t>
        </is>
      </c>
      <c r="EP6" s="103" t="inlineStr">
        <is>
          <t>出库成本</t>
        </is>
      </c>
      <c r="EQ6" s="103" t="inlineStr">
        <is>
          <t>报损数量</t>
        </is>
      </c>
      <c r="ER6" s="103" t="inlineStr">
        <is>
          <t>报损金额</t>
        </is>
      </c>
      <c r="ES6" s="103" t="inlineStr">
        <is>
          <t>结存数量</t>
        </is>
      </c>
      <c r="ET6" s="103" t="inlineStr">
        <is>
          <t>结存金额</t>
        </is>
      </c>
      <c r="EU6" s="103" t="inlineStr">
        <is>
          <t>估算成本</t>
        </is>
      </c>
    </row>
    <row r="7">
      <c r="A7" s="171" t="inlineStr">
        <is>
          <t>单位</t>
        </is>
      </c>
      <c r="H7" s="171" t="inlineStr">
        <is>
          <t>件</t>
        </is>
      </c>
      <c r="I7" s="171" t="inlineStr">
        <is>
          <t>元</t>
        </is>
      </c>
      <c r="J7" s="171" t="inlineStr">
        <is>
          <t>件</t>
        </is>
      </c>
      <c r="K7" s="171" t="inlineStr">
        <is>
          <t>元</t>
        </is>
      </c>
      <c r="L7" s="171" t="inlineStr">
        <is>
          <t>元/件</t>
        </is>
      </c>
      <c r="M7" s="171" t="inlineStr">
        <is>
          <t>件</t>
        </is>
      </c>
      <c r="N7" s="171" t="inlineStr">
        <is>
          <t>元</t>
        </is>
      </c>
      <c r="O7" s="171" t="inlineStr">
        <is>
          <t>件</t>
        </is>
      </c>
      <c r="P7" s="171" t="inlineStr">
        <is>
          <t>元</t>
        </is>
      </c>
      <c r="Q7" s="171" t="inlineStr">
        <is>
          <t>件</t>
        </is>
      </c>
      <c r="R7" s="171" t="inlineStr">
        <is>
          <t>元</t>
        </is>
      </c>
      <c r="S7" s="171" t="inlineStr">
        <is>
          <t>元</t>
        </is>
      </c>
      <c r="T7" s="171" t="inlineStr">
        <is>
          <t>件</t>
        </is>
      </c>
      <c r="U7" s="171" t="inlineStr">
        <is>
          <t>元</t>
        </is>
      </c>
      <c r="V7" s="171" t="inlineStr">
        <is>
          <t>件</t>
        </is>
      </c>
      <c r="W7" s="171" t="inlineStr">
        <is>
          <t>元</t>
        </is>
      </c>
      <c r="X7" s="171" t="inlineStr">
        <is>
          <t>元/件</t>
        </is>
      </c>
      <c r="Y7" s="171" t="inlineStr">
        <is>
          <t>件</t>
        </is>
      </c>
      <c r="Z7" s="171" t="inlineStr">
        <is>
          <t>元</t>
        </is>
      </c>
      <c r="AA7" s="171" t="inlineStr">
        <is>
          <t>件</t>
        </is>
      </c>
      <c r="AB7" s="171" t="inlineStr">
        <is>
          <t>元</t>
        </is>
      </c>
      <c r="AC7" s="171" t="inlineStr">
        <is>
          <t>件</t>
        </is>
      </c>
      <c r="AD7" s="171" t="inlineStr">
        <is>
          <t>元</t>
        </is>
      </c>
      <c r="AE7" s="171" t="inlineStr">
        <is>
          <t>元</t>
        </is>
      </c>
      <c r="AF7" s="171" t="inlineStr">
        <is>
          <t>件</t>
        </is>
      </c>
      <c r="AG7" s="171" t="inlineStr">
        <is>
          <t>元</t>
        </is>
      </c>
      <c r="AH7" s="171" t="inlineStr">
        <is>
          <t>件</t>
        </is>
      </c>
      <c r="AI7" s="171" t="inlineStr">
        <is>
          <t>元</t>
        </is>
      </c>
      <c r="AJ7" s="171" t="inlineStr">
        <is>
          <t>元/件</t>
        </is>
      </c>
      <c r="AK7" s="171" t="inlineStr">
        <is>
          <t>件</t>
        </is>
      </c>
      <c r="AL7" s="171" t="inlineStr">
        <is>
          <t>元</t>
        </is>
      </c>
      <c r="AM7" s="171" t="inlineStr">
        <is>
          <t>件</t>
        </is>
      </c>
      <c r="AN7" s="171" t="inlineStr">
        <is>
          <t>元</t>
        </is>
      </c>
      <c r="AO7" s="171" t="inlineStr">
        <is>
          <t>件</t>
        </is>
      </c>
      <c r="AP7" s="171" t="inlineStr">
        <is>
          <t>元</t>
        </is>
      </c>
      <c r="AQ7" s="171" t="inlineStr">
        <is>
          <t>元</t>
        </is>
      </c>
      <c r="AR7" s="171" t="inlineStr">
        <is>
          <t>件</t>
        </is>
      </c>
      <c r="AS7" s="171" t="inlineStr">
        <is>
          <t>元</t>
        </is>
      </c>
      <c r="AT7" s="171" t="inlineStr">
        <is>
          <t>件</t>
        </is>
      </c>
      <c r="AU7" s="171" t="inlineStr">
        <is>
          <t>元</t>
        </is>
      </c>
      <c r="AV7" s="171" t="inlineStr">
        <is>
          <t>元/件</t>
        </is>
      </c>
      <c r="AW7" s="171" t="inlineStr">
        <is>
          <t>件</t>
        </is>
      </c>
      <c r="AX7" s="171" t="inlineStr">
        <is>
          <t>元</t>
        </is>
      </c>
      <c r="AY7" s="171" t="inlineStr">
        <is>
          <t>件</t>
        </is>
      </c>
      <c r="AZ7" s="171" t="inlineStr">
        <is>
          <t>元</t>
        </is>
      </c>
      <c r="BA7" s="171" t="inlineStr">
        <is>
          <t>件</t>
        </is>
      </c>
      <c r="BB7" s="171" t="inlineStr">
        <is>
          <t>元</t>
        </is>
      </c>
      <c r="BC7" s="171" t="inlineStr">
        <is>
          <t>元</t>
        </is>
      </c>
      <c r="BD7" s="171" t="inlineStr">
        <is>
          <t>件</t>
        </is>
      </c>
      <c r="BE7" s="171" t="inlineStr">
        <is>
          <t>元</t>
        </is>
      </c>
      <c r="BF7" s="171" t="inlineStr">
        <is>
          <t>件</t>
        </is>
      </c>
      <c r="BG7" s="171" t="inlineStr">
        <is>
          <t>元</t>
        </is>
      </c>
      <c r="BH7" s="171" t="inlineStr">
        <is>
          <t>元/件</t>
        </is>
      </c>
      <c r="BI7" s="171" t="inlineStr">
        <is>
          <t>件</t>
        </is>
      </c>
      <c r="BJ7" s="171" t="inlineStr">
        <is>
          <t>元</t>
        </is>
      </c>
      <c r="BK7" s="171" t="inlineStr">
        <is>
          <t>件</t>
        </is>
      </c>
      <c r="BL7" s="171" t="inlineStr">
        <is>
          <t>元</t>
        </is>
      </c>
      <c r="BM7" s="171" t="inlineStr">
        <is>
          <t>件</t>
        </is>
      </c>
      <c r="BN7" s="171" t="inlineStr">
        <is>
          <t>元</t>
        </is>
      </c>
      <c r="BO7" s="171" t="inlineStr">
        <is>
          <t>元</t>
        </is>
      </c>
      <c r="BP7" s="171" t="inlineStr">
        <is>
          <t>件</t>
        </is>
      </c>
      <c r="BQ7" s="171" t="inlineStr">
        <is>
          <t>元</t>
        </is>
      </c>
      <c r="BR7" s="171" t="inlineStr">
        <is>
          <t>件</t>
        </is>
      </c>
      <c r="BS7" s="171" t="inlineStr">
        <is>
          <t>元</t>
        </is>
      </c>
      <c r="BT7" s="171" t="inlineStr">
        <is>
          <t>元/件</t>
        </is>
      </c>
      <c r="BU7" s="171" t="inlineStr">
        <is>
          <t>件</t>
        </is>
      </c>
      <c r="BV7" s="171" t="inlineStr">
        <is>
          <t>元</t>
        </is>
      </c>
      <c r="BW7" s="171" t="inlineStr">
        <is>
          <t>件</t>
        </is>
      </c>
      <c r="BX7" s="171" t="inlineStr">
        <is>
          <t>元</t>
        </is>
      </c>
      <c r="BY7" s="171" t="inlineStr">
        <is>
          <t>件</t>
        </is>
      </c>
      <c r="BZ7" s="171" t="inlineStr">
        <is>
          <t>元</t>
        </is>
      </c>
      <c r="CA7" s="171" t="inlineStr">
        <is>
          <t>元</t>
        </is>
      </c>
      <c r="CB7" s="171" t="inlineStr">
        <is>
          <t>件</t>
        </is>
      </c>
      <c r="CC7" s="171" t="inlineStr">
        <is>
          <t>元</t>
        </is>
      </c>
      <c r="CD7" s="171" t="inlineStr">
        <is>
          <t>件</t>
        </is>
      </c>
      <c r="CE7" s="171" t="inlineStr">
        <is>
          <t>元</t>
        </is>
      </c>
      <c r="CF7" s="171" t="inlineStr">
        <is>
          <t>元/件</t>
        </is>
      </c>
      <c r="CG7" s="171" t="inlineStr">
        <is>
          <t>件</t>
        </is>
      </c>
      <c r="CH7" s="171" t="inlineStr">
        <is>
          <t>元</t>
        </is>
      </c>
      <c r="CI7" s="171" t="inlineStr">
        <is>
          <t>件</t>
        </is>
      </c>
      <c r="CJ7" s="171" t="inlineStr">
        <is>
          <t>元</t>
        </is>
      </c>
      <c r="CK7" s="171" t="inlineStr">
        <is>
          <t>件</t>
        </is>
      </c>
      <c r="CL7" s="171" t="inlineStr">
        <is>
          <t>元</t>
        </is>
      </c>
      <c r="CM7" s="171" t="inlineStr">
        <is>
          <t>元</t>
        </is>
      </c>
      <c r="CN7" s="171" t="inlineStr">
        <is>
          <t>件</t>
        </is>
      </c>
      <c r="CO7" s="171" t="inlineStr">
        <is>
          <t>元</t>
        </is>
      </c>
      <c r="CP7" s="171" t="inlineStr">
        <is>
          <t>件</t>
        </is>
      </c>
      <c r="CQ7" s="171" t="inlineStr">
        <is>
          <t>元</t>
        </is>
      </c>
      <c r="CR7" s="171" t="inlineStr">
        <is>
          <t>元/件</t>
        </is>
      </c>
      <c r="CS7" s="171" t="inlineStr">
        <is>
          <t>件</t>
        </is>
      </c>
      <c r="CT7" s="171" t="inlineStr">
        <is>
          <t>元</t>
        </is>
      </c>
      <c r="CU7" s="171" t="inlineStr">
        <is>
          <t>件</t>
        </is>
      </c>
      <c r="CV7" s="171" t="inlineStr">
        <is>
          <t>元</t>
        </is>
      </c>
      <c r="CW7" s="171" t="inlineStr">
        <is>
          <t>件</t>
        </is>
      </c>
      <c r="CX7" s="171" t="inlineStr">
        <is>
          <t>元</t>
        </is>
      </c>
      <c r="CY7" s="171" t="inlineStr">
        <is>
          <t>元</t>
        </is>
      </c>
      <c r="CZ7" s="171" t="inlineStr">
        <is>
          <t>件</t>
        </is>
      </c>
      <c r="DA7" s="171" t="inlineStr">
        <is>
          <t>元</t>
        </is>
      </c>
      <c r="DB7" s="171" t="inlineStr">
        <is>
          <t>件</t>
        </is>
      </c>
      <c r="DC7" s="171" t="inlineStr">
        <is>
          <t>元</t>
        </is>
      </c>
      <c r="DD7" s="171" t="inlineStr">
        <is>
          <t>元/件</t>
        </is>
      </c>
      <c r="DE7" s="171" t="inlineStr">
        <is>
          <t>件</t>
        </is>
      </c>
      <c r="DF7" s="171" t="inlineStr">
        <is>
          <t>元</t>
        </is>
      </c>
      <c r="DG7" s="171" t="inlineStr">
        <is>
          <t>件</t>
        </is>
      </c>
      <c r="DH7" s="171" t="inlineStr">
        <is>
          <t>元</t>
        </is>
      </c>
      <c r="DI7" s="171" t="inlineStr">
        <is>
          <t>件</t>
        </is>
      </c>
      <c r="DJ7" s="171" t="inlineStr">
        <is>
          <t>元</t>
        </is>
      </c>
      <c r="DK7" s="171" t="inlineStr">
        <is>
          <t>元</t>
        </is>
      </c>
      <c r="DL7" s="171" t="inlineStr">
        <is>
          <t>件</t>
        </is>
      </c>
      <c r="DM7" s="171" t="inlineStr">
        <is>
          <t>元</t>
        </is>
      </c>
      <c r="DN7" s="171" t="inlineStr">
        <is>
          <t>件</t>
        </is>
      </c>
      <c r="DO7" s="171" t="inlineStr">
        <is>
          <t>元</t>
        </is>
      </c>
      <c r="DP7" s="171" t="inlineStr">
        <is>
          <t>元/件</t>
        </is>
      </c>
      <c r="DQ7" s="171" t="inlineStr">
        <is>
          <t>件</t>
        </is>
      </c>
      <c r="DR7" s="171" t="inlineStr">
        <is>
          <t>元</t>
        </is>
      </c>
      <c r="DS7" s="171" t="inlineStr">
        <is>
          <t>件</t>
        </is>
      </c>
      <c r="DT7" s="171" t="inlineStr">
        <is>
          <t>元</t>
        </is>
      </c>
      <c r="DU7" s="171" t="inlineStr">
        <is>
          <t>件</t>
        </is>
      </c>
      <c r="DV7" s="171" t="inlineStr">
        <is>
          <t>元</t>
        </is>
      </c>
      <c r="DW7" s="171" t="inlineStr">
        <is>
          <t>元</t>
        </is>
      </c>
      <c r="DX7" s="171" t="inlineStr">
        <is>
          <t>件</t>
        </is>
      </c>
      <c r="DY7" s="171" t="inlineStr">
        <is>
          <t>元</t>
        </is>
      </c>
      <c r="DZ7" s="171" t="inlineStr">
        <is>
          <t>件</t>
        </is>
      </c>
      <c r="EA7" s="171" t="inlineStr">
        <is>
          <t>元</t>
        </is>
      </c>
      <c r="EB7" s="171" t="inlineStr">
        <is>
          <t>元/件</t>
        </is>
      </c>
      <c r="EC7" s="171" t="inlineStr">
        <is>
          <t>件</t>
        </is>
      </c>
      <c r="ED7" s="171" t="inlineStr">
        <is>
          <t>元</t>
        </is>
      </c>
      <c r="EE7" s="171" t="inlineStr">
        <is>
          <t>件</t>
        </is>
      </c>
      <c r="EF7" s="171" t="inlineStr">
        <is>
          <t>元</t>
        </is>
      </c>
      <c r="EG7" s="171" t="inlineStr">
        <is>
          <t>件</t>
        </is>
      </c>
      <c r="EH7" s="171" t="inlineStr">
        <is>
          <t>元</t>
        </is>
      </c>
      <c r="EI7" s="171" t="inlineStr">
        <is>
          <t>元</t>
        </is>
      </c>
      <c r="EJ7" s="171" t="inlineStr">
        <is>
          <t>件</t>
        </is>
      </c>
      <c r="EK7" s="171" t="inlineStr">
        <is>
          <t>元</t>
        </is>
      </c>
      <c r="EL7" s="171" t="inlineStr">
        <is>
          <t>件</t>
        </is>
      </c>
      <c r="EM7" s="171" t="inlineStr">
        <is>
          <t>元</t>
        </is>
      </c>
      <c r="EN7" s="171" t="inlineStr">
        <is>
          <t>元/件</t>
        </is>
      </c>
      <c r="EO7" s="171" t="inlineStr">
        <is>
          <t>件</t>
        </is>
      </c>
      <c r="EP7" s="171" t="inlineStr">
        <is>
          <t>元</t>
        </is>
      </c>
      <c r="EQ7" s="171" t="inlineStr">
        <is>
          <t>件</t>
        </is>
      </c>
      <c r="ER7" s="171" t="inlineStr">
        <is>
          <t>元</t>
        </is>
      </c>
      <c r="ES7" s="171" t="inlineStr">
        <is>
          <t>件</t>
        </is>
      </c>
      <c r="ET7" s="171" t="inlineStr">
        <is>
          <t>元</t>
        </is>
      </c>
      <c r="EU7" s="171" t="inlineStr">
        <is>
          <t>元</t>
        </is>
      </c>
    </row>
    <row r="8">
      <c r="A8" s="194">
        <f>IF(B8="","",ROW()-7)</f>
        <v>1</v>
      </c>
      <c r="B8" s="141" t="str">
        <f>IF(基础资料!E5="","",基础资料!E5&amp;"")</f>
        <v>大东鹏</v>
      </c>
      <c r="C8" s="230" t="str">
        <f>IF(基础资料!G5="","",基础资料!G5&amp;"")</f>
        <v>东鹏500ML特饮</v>
      </c>
      <c r="D8" s="194">
        <f>IF(基础资料!I5="","",基础资料!I5)</f>
        <v>24</v>
      </c>
      <c r="E8" s="231">
        <f>IF(基础资料!J5="","",基础资料!J5)</f>
        <v>77.52</v>
      </c>
      <c r="F8" s="232">
        <f>N(基础资料!L5)</f>
        <v>0</v>
      </c>
      <c r="G8" s="233">
        <f>IF(基础资料!N5="",0,基础资料!N5)</f>
        <v>0</v>
      </c>
      <c r="H8" s="220">
        <f>IF($B8="",0,SUMIFS(采购进货!$E$4:$E$1503,采购进货!$D$4:$D$1503,$B8,采购进货!$B$4:$B$1503,"&gt;="&amp;DATE(年度,1,1),采购进货!$B$4:$B$1503,"&lt;"&amp;DATE(年度,1+1,1))+SUMIFS(采购进货!$H$4:$H$1503,采购进货!$D$4:$D$1503,$B8,采购进货!$B$4:$B$1503,"&gt;="&amp;DATE(年度,1,1),采购进货!$B$4:$B$1503,"&lt;"&amp;DATE(年度,1+1,1)))</f>
        <v>0</v>
      </c>
      <c r="I8" s="186">
        <f>IF($B8="",0,SUMIFS(采购进货!$G$4:$G$1503,采购进货!$D$4:$D$1503,$B8,采购进货!$B$4:$B$1503,"&gt;="&amp;DATE(年度,1,1),采购进货!$B$4:$B$1503,"&lt;"&amp;DATE(年度,1+1,1)))</f>
        <v>0</v>
      </c>
      <c r="J8" s="234">
        <f>F8+H8</f>
        <v>0</v>
      </c>
      <c r="K8" s="235">
        <f>G8+I8</f>
        <v>0</v>
      </c>
      <c r="L8" s="222">
        <f>IF(AND(J8&gt;0,K8&gt;0),K8/J8,N($E8))</f>
        <v>77.52</v>
      </c>
      <c r="M8" s="220">
        <f>IF($B8="",0,SUMIFS(出库明细!$E$4:$E$3003,出库明细!$D$4:$D$3003,$B8,出库明细!$B$4:$B$3003,"&gt;="&amp;DATE(年度,1,1),出库明细!$B$4:$B$3003,"&lt;"&amp;DATE(年度,1+1,1)))</f>
        <v>0</v>
      </c>
      <c r="N8" s="186">
        <f>M8*L8</f>
        <v>0</v>
      </c>
      <c r="O8" s="220">
        <f>_辅助!BM6</f>
        <v>0</v>
      </c>
      <c r="P8" s="186">
        <f>_辅助!AC6</f>
        <v>0</v>
      </c>
      <c r="Q8" s="221">
        <f>J8-M8-O8</f>
        <v>0</v>
      </c>
      <c r="R8" s="187">
        <f>K8-N8-P8</f>
        <v>0</v>
      </c>
      <c r="S8" s="236">
        <f>IF(AND(J8&gt;0,K8&gt;0),0,N8)</f>
        <v>0</v>
      </c>
      <c r="T8" s="220">
        <f>IF($B8="",0,SUMIFS(采购进货!$E$4:$E$1503,采购进货!$D$4:$D$1503,$B8,采购进货!$B$4:$B$1503,"&gt;="&amp;DATE(年度,2,1),采购进货!$B$4:$B$1503,"&lt;"&amp;DATE(年度,2+1,1))+SUMIFS(采购进货!$H$4:$H$1503,采购进货!$D$4:$D$1503,$B8,采购进货!$B$4:$B$1503,"&gt;="&amp;DATE(年度,2,1),采购进货!$B$4:$B$1503,"&lt;"&amp;DATE(年度,2+1,1)))</f>
        <v>0</v>
      </c>
      <c r="U8" s="186">
        <f>IF($B8="",0,SUMIFS(采购进货!$G$4:$G$1503,采购进货!$D$4:$D$1503,$B8,采购进货!$B$4:$B$1503,"&gt;="&amp;DATE(年度,2,1),采购进货!$B$4:$B$1503,"&lt;"&amp;DATE(年度,2+1,1)))</f>
        <v>0</v>
      </c>
      <c r="V8" s="234">
        <f>Q8+T8</f>
        <v>0</v>
      </c>
      <c r="W8" s="235">
        <f>R8+U8</f>
        <v>0</v>
      </c>
      <c r="X8" s="222">
        <f>IF(AND(V8&gt;0,W8&gt;0),W8/V8,N($E8))</f>
        <v>77.52</v>
      </c>
      <c r="Y8" s="220">
        <f>IF($B8="",0,SUMIFS(出库明细!$E$4:$E$3003,出库明细!$D$4:$D$3003,$B8,出库明细!$B$4:$B$3003,"&gt;="&amp;DATE(年度,2,1),出库明细!$B$4:$B$3003,"&lt;"&amp;DATE(年度,2+1,1)))</f>
        <v>0</v>
      </c>
      <c r="Z8" s="186">
        <f>Y8*X8</f>
        <v>0</v>
      </c>
      <c r="AA8" s="220">
        <f>_辅助!BN6</f>
        <v>0</v>
      </c>
      <c r="AB8" s="186">
        <f>_辅助!AD6</f>
        <v>0</v>
      </c>
      <c r="AC8" s="221">
        <f>V8-Y8-AA8</f>
        <v>0</v>
      </c>
      <c r="AD8" s="187">
        <f>W8-Z8-AB8</f>
        <v>0</v>
      </c>
      <c r="AE8" s="236">
        <f>IF(AND(V8&gt;0,W8&gt;0),0,Z8)</f>
        <v>0</v>
      </c>
      <c r="AF8" s="220">
        <f>IF($B8="",0,SUMIFS(采购进货!$E$4:$E$1503,采购进货!$D$4:$D$1503,$B8,采购进货!$B$4:$B$1503,"&gt;="&amp;DATE(年度,3,1),采购进货!$B$4:$B$1503,"&lt;"&amp;DATE(年度,3+1,1))+SUMIFS(采购进货!$H$4:$H$1503,采购进货!$D$4:$D$1503,$B8,采购进货!$B$4:$B$1503,"&gt;="&amp;DATE(年度,3,1),采购进货!$B$4:$B$1503,"&lt;"&amp;DATE(年度,3+1,1)))</f>
        <v>0</v>
      </c>
      <c r="AG8" s="186">
        <f>IF($B8="",0,SUMIFS(采购进货!$G$4:$G$1503,采购进货!$D$4:$D$1503,$B8,采购进货!$B$4:$B$1503,"&gt;="&amp;DATE(年度,3,1),采购进货!$B$4:$B$1503,"&lt;"&amp;DATE(年度,3+1,1)))</f>
        <v>0</v>
      </c>
      <c r="AH8" s="234">
        <f>AC8+AF8</f>
        <v>0</v>
      </c>
      <c r="AI8" s="235">
        <f>AD8+AG8</f>
        <v>0</v>
      </c>
      <c r="AJ8" s="222">
        <f>IF(AND(AH8&gt;0,AI8&gt;0),AI8/AH8,N($E8))</f>
        <v>77.52</v>
      </c>
      <c r="AK8" s="220">
        <f>IF($B8="",0,SUMIFS(出库明细!$E$4:$E$3003,出库明细!$D$4:$D$3003,$B8,出库明细!$B$4:$B$3003,"&gt;="&amp;DATE(年度,3,1),出库明细!$B$4:$B$3003,"&lt;"&amp;DATE(年度,3+1,1)))</f>
        <v>0</v>
      </c>
      <c r="AL8" s="186">
        <f>AK8*AJ8</f>
        <v>0</v>
      </c>
      <c r="AM8" s="220">
        <f>_辅助!BO6</f>
        <v>0</v>
      </c>
      <c r="AN8" s="186">
        <f>_辅助!AE6</f>
        <v>0</v>
      </c>
      <c r="AO8" s="221">
        <f>AH8-AK8-AM8</f>
        <v>0</v>
      </c>
      <c r="AP8" s="187">
        <f>AI8-AL8-AN8</f>
        <v>0</v>
      </c>
      <c r="AQ8" s="236">
        <f>IF(AND(AH8&gt;0,AI8&gt;0),0,AL8)</f>
        <v>0</v>
      </c>
      <c r="AR8" s="220">
        <f>IF($B8="",0,SUMIFS(采购进货!$E$4:$E$1503,采购进货!$D$4:$D$1503,$B8,采购进货!$B$4:$B$1503,"&gt;="&amp;DATE(年度,4,1),采购进货!$B$4:$B$1503,"&lt;"&amp;DATE(年度,4+1,1))+SUMIFS(采购进货!$H$4:$H$1503,采购进货!$D$4:$D$1503,$B8,采购进货!$B$4:$B$1503,"&gt;="&amp;DATE(年度,4,1),采购进货!$B$4:$B$1503,"&lt;"&amp;DATE(年度,4+1,1)))</f>
        <v>0</v>
      </c>
      <c r="AS8" s="186">
        <f>IF($B8="",0,SUMIFS(采购进货!$G$4:$G$1503,采购进货!$D$4:$D$1503,$B8,采购进货!$B$4:$B$1503,"&gt;="&amp;DATE(年度,4,1),采购进货!$B$4:$B$1503,"&lt;"&amp;DATE(年度,4+1,1)))</f>
        <v>0</v>
      </c>
      <c r="AT8" s="234">
        <f>AO8+AR8</f>
        <v>0</v>
      </c>
      <c r="AU8" s="235">
        <f>AP8+AS8</f>
        <v>0</v>
      </c>
      <c r="AV8" s="222">
        <f>IF(AND(AT8&gt;0,AU8&gt;0),AU8/AT8,N($E8))</f>
        <v>77.52</v>
      </c>
      <c r="AW8" s="220">
        <f>IF($B8="",0,SUMIFS(出库明细!$E$4:$E$3003,出库明细!$D$4:$D$3003,$B8,出库明细!$B$4:$B$3003,"&gt;="&amp;DATE(年度,4,1),出库明细!$B$4:$B$3003,"&lt;"&amp;DATE(年度,4+1,1)))</f>
        <v>0</v>
      </c>
      <c r="AX8" s="186">
        <f>AW8*AV8</f>
        <v>0</v>
      </c>
      <c r="AY8" s="220">
        <f>_辅助!BP6</f>
        <v>0</v>
      </c>
      <c r="AZ8" s="186">
        <f>_辅助!AF6</f>
        <v>0</v>
      </c>
      <c r="BA8" s="221">
        <f>AT8-AW8-AY8</f>
        <v>0</v>
      </c>
      <c r="BB8" s="187">
        <f>AU8-AX8-AZ8</f>
        <v>0</v>
      </c>
      <c r="BC8" s="236">
        <f>IF(AND(AT8&gt;0,AU8&gt;0),0,AX8)</f>
        <v>0</v>
      </c>
      <c r="BD8" s="220">
        <f>IF($B8="",0,SUMIFS(采购进货!$E$4:$E$1503,采购进货!$D$4:$D$1503,$B8,采购进货!$B$4:$B$1503,"&gt;="&amp;DATE(年度,5,1),采购进货!$B$4:$B$1503,"&lt;"&amp;DATE(年度,5+1,1))+SUMIFS(采购进货!$H$4:$H$1503,采购进货!$D$4:$D$1503,$B8,采购进货!$B$4:$B$1503,"&gt;="&amp;DATE(年度,5,1),采购进货!$B$4:$B$1503,"&lt;"&amp;DATE(年度,5+1,1)))</f>
        <v>0</v>
      </c>
      <c r="BE8" s="186">
        <f>IF($B8="",0,SUMIFS(采购进货!$G$4:$G$1503,采购进货!$D$4:$D$1503,$B8,采购进货!$B$4:$B$1503,"&gt;="&amp;DATE(年度,5,1),采购进货!$B$4:$B$1503,"&lt;"&amp;DATE(年度,5+1,1)))</f>
        <v>0</v>
      </c>
      <c r="BF8" s="234">
        <f>BA8+BD8</f>
        <v>0</v>
      </c>
      <c r="BG8" s="235">
        <f>BB8+BE8</f>
        <v>0</v>
      </c>
      <c r="BH8" s="222">
        <f>IF(AND(BF8&gt;0,BG8&gt;0),BG8/BF8,N($E8))</f>
        <v>77.52</v>
      </c>
      <c r="BI8" s="220">
        <f>IF($B8="",0,SUMIFS(出库明细!$E$4:$E$3003,出库明细!$D$4:$D$3003,$B8,出库明细!$B$4:$B$3003,"&gt;="&amp;DATE(年度,5,1),出库明细!$B$4:$B$3003,"&lt;"&amp;DATE(年度,5+1,1)))</f>
        <v>0</v>
      </c>
      <c r="BJ8" s="186">
        <f>BI8*BH8</f>
        <v>0</v>
      </c>
      <c r="BK8" s="220">
        <f>_辅助!BQ6</f>
        <v>0</v>
      </c>
      <c r="BL8" s="186">
        <f>_辅助!AG6</f>
        <v>0</v>
      </c>
      <c r="BM8" s="221">
        <f>BF8-BI8-BK8</f>
        <v>0</v>
      </c>
      <c r="BN8" s="187">
        <f>BG8-BJ8-BL8</f>
        <v>0</v>
      </c>
      <c r="BO8" s="236">
        <f>IF(AND(BF8&gt;0,BG8&gt;0),0,BJ8)</f>
        <v>0</v>
      </c>
      <c r="BP8" s="220">
        <f>IF($B8="",0,SUMIFS(采购进货!$E$4:$E$1503,采购进货!$D$4:$D$1503,$B8,采购进货!$B$4:$B$1503,"&gt;="&amp;DATE(年度,6,1),采购进货!$B$4:$B$1503,"&lt;"&amp;DATE(年度,6+1,1))+SUMIFS(采购进货!$H$4:$H$1503,采购进货!$D$4:$D$1503,$B8,采购进货!$B$4:$B$1503,"&gt;="&amp;DATE(年度,6,1),采购进货!$B$4:$B$1503,"&lt;"&amp;DATE(年度,6+1,1)))</f>
        <v>0</v>
      </c>
      <c r="BQ8" s="186">
        <f>IF($B8="",0,SUMIFS(采购进货!$G$4:$G$1503,采购进货!$D$4:$D$1503,$B8,采购进货!$B$4:$B$1503,"&gt;="&amp;DATE(年度,6,1),采购进货!$B$4:$B$1503,"&lt;"&amp;DATE(年度,6+1,1)))</f>
        <v>0</v>
      </c>
      <c r="BR8" s="234">
        <f>BM8+BP8</f>
        <v>0</v>
      </c>
      <c r="BS8" s="235">
        <f>BN8+BQ8</f>
        <v>0</v>
      </c>
      <c r="BT8" s="222">
        <f>IF(AND(BR8&gt;0,BS8&gt;0),BS8/BR8,N($E8))</f>
        <v>77.52</v>
      </c>
      <c r="BU8" s="220">
        <f>IF($B8="",0,SUMIFS(出库明细!$E$4:$E$3003,出库明细!$D$4:$D$3003,$B8,出库明细!$B$4:$B$3003,"&gt;="&amp;DATE(年度,6,1),出库明细!$B$4:$B$3003,"&lt;"&amp;DATE(年度,6+1,1)))</f>
        <v>300</v>
      </c>
      <c r="BV8" s="186">
        <f>BU8*BT8</f>
        <v>23256</v>
      </c>
      <c r="BW8" s="220">
        <f>_辅助!BR6</f>
        <v>2.29166666666667</v>
      </c>
      <c r="BX8" s="186">
        <f>_辅助!AH6</f>
        <v>177.65</v>
      </c>
      <c r="BY8" s="221">
        <f>BR8-BU8-BW8</f>
        <v>-302.291666666667</v>
      </c>
      <c r="BZ8" s="187">
        <f>BS8-BV8-BX8</f>
        <v>-23433.65</v>
      </c>
      <c r="CA8" s="236">
        <f>IF(AND(BR8&gt;0,BS8&gt;0),0,BV8)</f>
        <v>23256</v>
      </c>
      <c r="CB8" s="220">
        <f>IF($B8="",0,SUMIFS(采购进货!$E$4:$E$1503,采购进货!$D$4:$D$1503,$B8,采购进货!$B$4:$B$1503,"&gt;="&amp;DATE(年度,7,1),采购进货!$B$4:$B$1503,"&lt;"&amp;DATE(年度,7+1,1))+SUMIFS(采购进货!$H$4:$H$1503,采购进货!$D$4:$D$1503,$B8,采购进货!$B$4:$B$1503,"&gt;="&amp;DATE(年度,7,1),采购进货!$B$4:$B$1503,"&lt;"&amp;DATE(年度,7+1,1)))</f>
        <v>0</v>
      </c>
      <c r="CC8" s="186">
        <f>IF($B8="",0,SUMIFS(采购进货!$G$4:$G$1503,采购进货!$D$4:$D$1503,$B8,采购进货!$B$4:$B$1503,"&gt;="&amp;DATE(年度,7,1),采购进货!$B$4:$B$1503,"&lt;"&amp;DATE(年度,7+1,1)))</f>
        <v>0</v>
      </c>
      <c r="CD8" s="234">
        <f>BY8+CB8</f>
        <v>-302.291666666667</v>
      </c>
      <c r="CE8" s="235">
        <f>BZ8+CC8</f>
        <v>-23433.65</v>
      </c>
      <c r="CF8" s="222">
        <f>IF(AND(CD8&gt;0,CE8&gt;0),CE8/CD8,N($E8))</f>
        <v>77.52</v>
      </c>
      <c r="CG8" s="220">
        <f>IF($B8="",0,SUMIFS(出库明细!$E$4:$E$3003,出库明细!$D$4:$D$3003,$B8,出库明细!$B$4:$B$3003,"&gt;="&amp;DATE(年度,7,1),出库明细!$B$4:$B$3003,"&lt;"&amp;DATE(年度,7+1,1)))</f>
        <v>3707</v>
      </c>
      <c r="CH8" s="186">
        <f>CG8*CF8</f>
        <v>287366.64</v>
      </c>
      <c r="CI8" s="220">
        <f>_辅助!BS6</f>
        <v>0</v>
      </c>
      <c r="CJ8" s="186">
        <f>_辅助!AI6</f>
        <v>0</v>
      </c>
      <c r="CK8" s="221">
        <f>CD8-CG8-CI8</f>
        <v>-4009.29166666667</v>
      </c>
      <c r="CL8" s="187">
        <f>CE8-CH8-CJ8</f>
        <v>-310800.29</v>
      </c>
      <c r="CM8" s="236">
        <f>IF(AND(CD8&gt;0,CE8&gt;0),0,CH8)</f>
        <v>287366.64</v>
      </c>
      <c r="CN8" s="220">
        <f>IF($B8="",0,SUMIFS(采购进货!$E$4:$E$1503,采购进货!$D$4:$D$1503,$B8,采购进货!$B$4:$B$1503,"&gt;="&amp;DATE(年度,8,1),采购进货!$B$4:$B$1503,"&lt;"&amp;DATE(年度,8+1,1))+SUMIFS(采购进货!$H$4:$H$1503,采购进货!$D$4:$D$1503,$B8,采购进货!$B$4:$B$1503,"&gt;="&amp;DATE(年度,8,1),采购进货!$B$4:$B$1503,"&lt;"&amp;DATE(年度,8+1,1)))</f>
        <v>0</v>
      </c>
      <c r="CO8" s="186">
        <f>IF($B8="",0,SUMIFS(采购进货!$G$4:$G$1503,采购进货!$D$4:$D$1503,$B8,采购进货!$B$4:$B$1503,"&gt;="&amp;DATE(年度,8,1),采购进货!$B$4:$B$1503,"&lt;"&amp;DATE(年度,8+1,1)))</f>
        <v>0</v>
      </c>
      <c r="CP8" s="234">
        <f>CK8+CN8</f>
        <v>-4009.29166666667</v>
      </c>
      <c r="CQ8" s="235">
        <f>CL8+CO8</f>
        <v>-310800.29</v>
      </c>
      <c r="CR8" s="222">
        <f>IF(AND(CP8&gt;0,CQ8&gt;0),CQ8/CP8,N($E8))</f>
        <v>77.52</v>
      </c>
      <c r="CS8" s="220">
        <f>IF($B8="",0,SUMIFS(出库明细!$E$4:$E$3003,出库明细!$D$4:$D$3003,$B8,出库明细!$B$4:$B$3003,"&gt;="&amp;DATE(年度,8,1),出库明细!$B$4:$B$3003,"&lt;"&amp;DATE(年度,8+1,1)))</f>
        <v>5532.5</v>
      </c>
      <c r="CT8" s="186">
        <f>CS8*CR8</f>
        <v>428879.4</v>
      </c>
      <c r="CU8" s="220">
        <f>_辅助!BT6</f>
        <v>2.20833333333333</v>
      </c>
      <c r="CV8" s="186">
        <f>_辅助!AJ6</f>
        <v>171.19</v>
      </c>
      <c r="CW8" s="221">
        <f>CP8-CS8-CU8</f>
        <v>-9544</v>
      </c>
      <c r="CX8" s="187">
        <f>CQ8-CT8-CV8</f>
        <v>-739850.88</v>
      </c>
      <c r="CY8" s="236">
        <f>IF(AND(CP8&gt;0,CQ8&gt;0),0,CT8)</f>
        <v>428879.4</v>
      </c>
      <c r="CZ8" s="220">
        <f>IF($B8="",0,SUMIFS(采购进货!$E$4:$E$1503,采购进货!$D$4:$D$1503,$B8,采购进货!$B$4:$B$1503,"&gt;="&amp;DATE(年度,9,1),采购进货!$B$4:$B$1503,"&lt;"&amp;DATE(年度,9+1,1))+SUMIFS(采购进货!$H$4:$H$1503,采购进货!$D$4:$D$1503,$B8,采购进货!$B$4:$B$1503,"&gt;="&amp;DATE(年度,9,1),采购进货!$B$4:$B$1503,"&lt;"&amp;DATE(年度,9+1,1)))</f>
        <v>0</v>
      </c>
      <c r="DA8" s="186">
        <f>IF($B8="",0,SUMIFS(采购进货!$G$4:$G$1503,采购进货!$D$4:$D$1503,$B8,采购进货!$B$4:$B$1503,"&gt;="&amp;DATE(年度,9,1),采购进货!$B$4:$B$1503,"&lt;"&amp;DATE(年度,9+1,1)))</f>
        <v>0</v>
      </c>
      <c r="DB8" s="234">
        <f>CW8+CZ8</f>
        <v>-9544</v>
      </c>
      <c r="DC8" s="235">
        <f>CX8+DA8</f>
        <v>-739850.88</v>
      </c>
      <c r="DD8" s="222">
        <f>IF(AND(DB8&gt;0,DC8&gt;0),DC8/DB8,N($E8))</f>
        <v>77.52</v>
      </c>
      <c r="DE8" s="220">
        <f>IF($B8="",0,SUMIFS(出库明细!$E$4:$E$3003,出库明细!$D$4:$D$3003,$B8,出库明细!$B$4:$B$3003,"&gt;="&amp;DATE(年度,9,1),出库明细!$B$4:$B$3003,"&lt;"&amp;DATE(年度,9+1,1)))</f>
        <v>1045</v>
      </c>
      <c r="DF8" s="186">
        <f>DE8*DD8</f>
        <v>81008.4</v>
      </c>
      <c r="DG8" s="220">
        <f>_辅助!BU6</f>
        <v>0</v>
      </c>
      <c r="DH8" s="186">
        <f>_辅助!AK6</f>
        <v>0</v>
      </c>
      <c r="DI8" s="221">
        <f>DB8-DE8-DG8</f>
        <v>-10589</v>
      </c>
      <c r="DJ8" s="187">
        <f>DC8-DF8-DH8</f>
        <v>-820859.28</v>
      </c>
      <c r="DK8" s="236">
        <f>IF(AND(DB8&gt;0,DC8&gt;0),0,DF8)</f>
        <v>81008.4</v>
      </c>
      <c r="DL8" s="220">
        <f>IF($B8="",0,SUMIFS(采购进货!$E$4:$E$1503,采购进货!$D$4:$D$1503,$B8,采购进货!$B$4:$B$1503,"&gt;="&amp;DATE(年度,10,1),采购进货!$B$4:$B$1503,"&lt;"&amp;DATE(年度,10+1,1))+SUMIFS(采购进货!$H$4:$H$1503,采购进货!$D$4:$D$1503,$B8,采购进货!$B$4:$B$1503,"&gt;="&amp;DATE(年度,10,1),采购进货!$B$4:$B$1503,"&lt;"&amp;DATE(年度,10+1,1)))</f>
        <v>0</v>
      </c>
      <c r="DM8" s="186">
        <f>IF($B8="",0,SUMIFS(采购进货!$G$4:$G$1503,采购进货!$D$4:$D$1503,$B8,采购进货!$B$4:$B$1503,"&gt;="&amp;DATE(年度,10,1),采购进货!$B$4:$B$1503,"&lt;"&amp;DATE(年度,10+1,1)))</f>
        <v>0</v>
      </c>
      <c r="DN8" s="234">
        <f>DI8+DL8</f>
        <v>-10589</v>
      </c>
      <c r="DO8" s="235">
        <f>DJ8+DM8</f>
        <v>-820859.28</v>
      </c>
      <c r="DP8" s="222">
        <f>IF(AND(DN8&gt;0,DO8&gt;0),DO8/DN8,N($E8))</f>
        <v>77.52</v>
      </c>
      <c r="DQ8" s="220">
        <f>IF($B8="",0,SUMIFS(出库明细!$E$4:$E$3003,出库明细!$D$4:$D$3003,$B8,出库明细!$B$4:$B$3003,"&gt;="&amp;DATE(年度,10,1),出库明细!$B$4:$B$3003,"&lt;"&amp;DATE(年度,10+1,1)))</f>
        <v>0</v>
      </c>
      <c r="DR8" s="186">
        <f>DQ8*DP8</f>
        <v>0</v>
      </c>
      <c r="DS8" s="220">
        <f>_辅助!BV6</f>
        <v>0</v>
      </c>
      <c r="DT8" s="186">
        <f>_辅助!AL6</f>
        <v>0</v>
      </c>
      <c r="DU8" s="221">
        <f>DN8-DQ8-DS8</f>
        <v>-10589</v>
      </c>
      <c r="DV8" s="187">
        <f>DO8-DR8-DT8</f>
        <v>-820859.28</v>
      </c>
      <c r="DW8" s="236">
        <f>IF(AND(DN8&gt;0,DO8&gt;0),0,DR8)</f>
        <v>0</v>
      </c>
      <c r="DX8" s="220">
        <f>IF($B8="",0,SUMIFS(采购进货!$E$4:$E$1503,采购进货!$D$4:$D$1503,$B8,采购进货!$B$4:$B$1503,"&gt;="&amp;DATE(年度,11,1),采购进货!$B$4:$B$1503,"&lt;"&amp;DATE(年度,11+1,1))+SUMIFS(采购进货!$H$4:$H$1503,采购进货!$D$4:$D$1503,$B8,采购进货!$B$4:$B$1503,"&gt;="&amp;DATE(年度,11,1),采购进货!$B$4:$B$1503,"&lt;"&amp;DATE(年度,11+1,1)))</f>
        <v>0</v>
      </c>
      <c r="DY8" s="186">
        <f>IF($B8="",0,SUMIFS(采购进货!$G$4:$G$1503,采购进货!$D$4:$D$1503,$B8,采购进货!$B$4:$B$1503,"&gt;="&amp;DATE(年度,11,1),采购进货!$B$4:$B$1503,"&lt;"&amp;DATE(年度,11+1,1)))</f>
        <v>0</v>
      </c>
      <c r="DZ8" s="234">
        <f>DU8+DX8</f>
        <v>-10589</v>
      </c>
      <c r="EA8" s="235">
        <f>DV8+DY8</f>
        <v>-820859.28</v>
      </c>
      <c r="EB8" s="222">
        <f>IF(AND(DZ8&gt;0,EA8&gt;0),EA8/DZ8,N($E8))</f>
        <v>77.52</v>
      </c>
      <c r="EC8" s="220">
        <f>IF($B8="",0,SUMIFS(出库明细!$E$4:$E$3003,出库明细!$D$4:$D$3003,$B8,出库明细!$B$4:$B$3003,"&gt;="&amp;DATE(年度,11,1),出库明细!$B$4:$B$3003,"&lt;"&amp;DATE(年度,11+1,1)))</f>
        <v>0</v>
      </c>
      <c r="ED8" s="186">
        <f>EC8*EB8</f>
        <v>0</v>
      </c>
      <c r="EE8" s="220">
        <f>_辅助!BW6</f>
        <v>0</v>
      </c>
      <c r="EF8" s="186">
        <f>_辅助!AM6</f>
        <v>0</v>
      </c>
      <c r="EG8" s="221">
        <f>DZ8-EC8-EE8</f>
        <v>-10589</v>
      </c>
      <c r="EH8" s="187">
        <f>EA8-ED8-EF8</f>
        <v>-820859.28</v>
      </c>
      <c r="EI8" s="236">
        <f>IF(AND(DZ8&gt;0,EA8&gt;0),0,ED8)</f>
        <v>0</v>
      </c>
      <c r="EJ8" s="220">
        <f>IF($B8="",0,SUMIFS(采购进货!$E$4:$E$1503,采购进货!$D$4:$D$1503,$B8,采购进货!$B$4:$B$1503,"&gt;="&amp;DATE(年度,12,1),采购进货!$B$4:$B$1503,"&lt;"&amp;DATE(年度,12+1,1))+SUMIFS(采购进货!$H$4:$H$1503,采购进货!$D$4:$D$1503,$B8,采购进货!$B$4:$B$1503,"&gt;="&amp;DATE(年度,12,1),采购进货!$B$4:$B$1503,"&lt;"&amp;DATE(年度,12+1,1)))</f>
        <v>0</v>
      </c>
      <c r="EK8" s="186">
        <f>IF($B8="",0,SUMIFS(采购进货!$G$4:$G$1503,采购进货!$D$4:$D$1503,$B8,采购进货!$B$4:$B$1503,"&gt;="&amp;DATE(年度,12,1),采购进货!$B$4:$B$1503,"&lt;"&amp;DATE(年度,12+1,1)))</f>
        <v>0</v>
      </c>
      <c r="EL8" s="234">
        <f>EG8+EJ8</f>
        <v>-10589</v>
      </c>
      <c r="EM8" s="235">
        <f>EH8+EK8</f>
        <v>-820859.28</v>
      </c>
      <c r="EN8" s="222">
        <f>IF(AND(EL8&gt;0,EM8&gt;0),EM8/EL8,N($E8))</f>
        <v>77.52</v>
      </c>
      <c r="EO8" s="220">
        <f>IF($B8="",0,SUMIFS(出库明细!$E$4:$E$3003,出库明细!$D$4:$D$3003,$B8,出库明细!$B$4:$B$3003,"&gt;="&amp;DATE(年度,12,1),出库明细!$B$4:$B$3003,"&lt;"&amp;DATE(年度,12+1,1)))</f>
        <v>0</v>
      </c>
      <c r="EP8" s="186">
        <f>EO8*EN8</f>
        <v>0</v>
      </c>
      <c r="EQ8" s="220">
        <f>_辅助!BX6</f>
        <v>0</v>
      </c>
      <c r="ER8" s="186">
        <f>_辅助!AN6</f>
        <v>0</v>
      </c>
      <c r="ES8" s="221">
        <f>EL8-EO8-EQ8</f>
        <v>-10589</v>
      </c>
      <c r="ET8" s="187">
        <f>EM8-EP8-ER8</f>
        <v>-820859.28</v>
      </c>
      <c r="EU8" s="236">
        <f>IF(AND(EL8&gt;0,EM8&gt;0),0,EP8)</f>
        <v>0</v>
      </c>
    </row>
    <row r="9">
      <c r="A9" s="194">
        <f>IF(B9="","",ROW()-7)</f>
        <v>2</v>
      </c>
      <c r="B9" s="141" t="str">
        <f>IF(基础资料!E6="","",基础资料!E6&amp;"")</f>
        <v>小东鹏</v>
      </c>
      <c r="C9" s="230" t="str">
        <f>IF(基础资料!G6="","",基础资料!G6&amp;"")</f>
        <v>东鹏250ML特饮</v>
      </c>
      <c r="D9" s="194">
        <f>IF(基础资料!I6="","",基础资料!I6)</f>
        <v>24</v>
      </c>
      <c r="E9" s="231">
        <f>IF(基础资料!J6="","",基础资料!J6)</f>
        <v>37.92</v>
      </c>
      <c r="F9" s="232">
        <f>N(基础资料!L6)</f>
        <v>0</v>
      </c>
      <c r="G9" s="233">
        <f>IF(基础资料!N6="",0,基础资料!N6)</f>
        <v>0</v>
      </c>
      <c r="H9" s="220">
        <f>IF($B9="",0,SUMIFS(采购进货!$E$4:$E$1503,采购进货!$D$4:$D$1503,$B9,采购进货!$B$4:$B$1503,"&gt;="&amp;DATE(年度,1,1),采购进货!$B$4:$B$1503,"&lt;"&amp;DATE(年度,1+1,1))+SUMIFS(采购进货!$H$4:$H$1503,采购进货!$D$4:$D$1503,$B9,采购进货!$B$4:$B$1503,"&gt;="&amp;DATE(年度,1,1),采购进货!$B$4:$B$1503,"&lt;"&amp;DATE(年度,1+1,1)))</f>
        <v>0</v>
      </c>
      <c r="I9" s="186">
        <f>IF($B9="",0,SUMIFS(采购进货!$G$4:$G$1503,采购进货!$D$4:$D$1503,$B9,采购进货!$B$4:$B$1503,"&gt;="&amp;DATE(年度,1,1),采购进货!$B$4:$B$1503,"&lt;"&amp;DATE(年度,1+1,1)))</f>
        <v>0</v>
      </c>
      <c r="J9" s="234">
        <f>F9+H9</f>
        <v>0</v>
      </c>
      <c r="K9" s="235">
        <f>G9+I9</f>
        <v>0</v>
      </c>
      <c r="L9" s="222">
        <f>IF(AND(J9&gt;0,K9&gt;0),K9/J9,N($E9))</f>
        <v>37.92</v>
      </c>
      <c r="M9" s="220">
        <f>IF($B9="",0,SUMIFS(出库明细!$E$4:$E$3003,出库明细!$D$4:$D$3003,$B9,出库明细!$B$4:$B$3003,"&gt;="&amp;DATE(年度,1,1),出库明细!$B$4:$B$3003,"&lt;"&amp;DATE(年度,1+1,1)))</f>
        <v>0</v>
      </c>
      <c r="N9" s="186">
        <f>M9*L9</f>
        <v>0</v>
      </c>
      <c r="O9" s="220">
        <f>_辅助!BM7</f>
        <v>0</v>
      </c>
      <c r="P9" s="186">
        <f>_辅助!AC7</f>
        <v>0</v>
      </c>
      <c r="Q9" s="221">
        <f>J9-M9-O9</f>
        <v>0</v>
      </c>
      <c r="R9" s="187">
        <f>K9-N9-P9</f>
        <v>0</v>
      </c>
      <c r="S9" s="236">
        <f>IF(AND(J9&gt;0,K9&gt;0),0,N9)</f>
        <v>0</v>
      </c>
      <c r="T9" s="220">
        <f>IF($B9="",0,SUMIFS(采购进货!$E$4:$E$1503,采购进货!$D$4:$D$1503,$B9,采购进货!$B$4:$B$1503,"&gt;="&amp;DATE(年度,2,1),采购进货!$B$4:$B$1503,"&lt;"&amp;DATE(年度,2+1,1))+SUMIFS(采购进货!$H$4:$H$1503,采购进货!$D$4:$D$1503,$B9,采购进货!$B$4:$B$1503,"&gt;="&amp;DATE(年度,2,1),采购进货!$B$4:$B$1503,"&lt;"&amp;DATE(年度,2+1,1)))</f>
        <v>0</v>
      </c>
      <c r="U9" s="186">
        <f>IF($B9="",0,SUMIFS(采购进货!$G$4:$G$1503,采购进货!$D$4:$D$1503,$B9,采购进货!$B$4:$B$1503,"&gt;="&amp;DATE(年度,2,1),采购进货!$B$4:$B$1503,"&lt;"&amp;DATE(年度,2+1,1)))</f>
        <v>0</v>
      </c>
      <c r="V9" s="234">
        <f>Q9+T9</f>
        <v>0</v>
      </c>
      <c r="W9" s="235">
        <f>R9+U9</f>
        <v>0</v>
      </c>
      <c r="X9" s="222">
        <f>IF(AND(V9&gt;0,W9&gt;0),W9/V9,N($E9))</f>
        <v>37.92</v>
      </c>
      <c r="Y9" s="220">
        <f>IF($B9="",0,SUMIFS(出库明细!$E$4:$E$3003,出库明细!$D$4:$D$3003,$B9,出库明细!$B$4:$B$3003,"&gt;="&amp;DATE(年度,2,1),出库明细!$B$4:$B$3003,"&lt;"&amp;DATE(年度,2+1,1)))</f>
        <v>0</v>
      </c>
      <c r="Z9" s="186">
        <f>Y9*X9</f>
        <v>0</v>
      </c>
      <c r="AA9" s="220">
        <f>_辅助!BN7</f>
        <v>0</v>
      </c>
      <c r="AB9" s="186">
        <f>_辅助!AD7</f>
        <v>0</v>
      </c>
      <c r="AC9" s="221">
        <f>V9-Y9-AA9</f>
        <v>0</v>
      </c>
      <c r="AD9" s="187">
        <f>W9-Z9-AB9</f>
        <v>0</v>
      </c>
      <c r="AE9" s="236">
        <f>IF(AND(V9&gt;0,W9&gt;0),0,Z9)</f>
        <v>0</v>
      </c>
      <c r="AF9" s="220">
        <f>IF($B9="",0,SUMIFS(采购进货!$E$4:$E$1503,采购进货!$D$4:$D$1503,$B9,采购进货!$B$4:$B$1503,"&gt;="&amp;DATE(年度,3,1),采购进货!$B$4:$B$1503,"&lt;"&amp;DATE(年度,3+1,1))+SUMIFS(采购进货!$H$4:$H$1503,采购进货!$D$4:$D$1503,$B9,采购进货!$B$4:$B$1503,"&gt;="&amp;DATE(年度,3,1),采购进货!$B$4:$B$1503,"&lt;"&amp;DATE(年度,3+1,1)))</f>
        <v>0</v>
      </c>
      <c r="AG9" s="186">
        <f>IF($B9="",0,SUMIFS(采购进货!$G$4:$G$1503,采购进货!$D$4:$D$1503,$B9,采购进货!$B$4:$B$1503,"&gt;="&amp;DATE(年度,3,1),采购进货!$B$4:$B$1503,"&lt;"&amp;DATE(年度,3+1,1)))</f>
        <v>0</v>
      </c>
      <c r="AH9" s="234">
        <f>AC9+AF9</f>
        <v>0</v>
      </c>
      <c r="AI9" s="235">
        <f>AD9+AG9</f>
        <v>0</v>
      </c>
      <c r="AJ9" s="222">
        <f>IF(AND(AH9&gt;0,AI9&gt;0),AI9/AH9,N($E9))</f>
        <v>37.92</v>
      </c>
      <c r="AK9" s="220">
        <f>IF($B9="",0,SUMIFS(出库明细!$E$4:$E$3003,出库明细!$D$4:$D$3003,$B9,出库明细!$B$4:$B$3003,"&gt;="&amp;DATE(年度,3,1),出库明细!$B$4:$B$3003,"&lt;"&amp;DATE(年度,3+1,1)))</f>
        <v>0</v>
      </c>
      <c r="AL9" s="186">
        <f>AK9*AJ9</f>
        <v>0</v>
      </c>
      <c r="AM9" s="220">
        <f>_辅助!BO7</f>
        <v>0</v>
      </c>
      <c r="AN9" s="186">
        <f>_辅助!AE7</f>
        <v>0</v>
      </c>
      <c r="AO9" s="221">
        <f>AH9-AK9-AM9</f>
        <v>0</v>
      </c>
      <c r="AP9" s="187">
        <f>AI9-AL9-AN9</f>
        <v>0</v>
      </c>
      <c r="AQ9" s="236">
        <f>IF(AND(AH9&gt;0,AI9&gt;0),0,AL9)</f>
        <v>0</v>
      </c>
      <c r="AR9" s="220">
        <f>IF($B9="",0,SUMIFS(采购进货!$E$4:$E$1503,采购进货!$D$4:$D$1503,$B9,采购进货!$B$4:$B$1503,"&gt;="&amp;DATE(年度,4,1),采购进货!$B$4:$B$1503,"&lt;"&amp;DATE(年度,4+1,1))+SUMIFS(采购进货!$H$4:$H$1503,采购进货!$D$4:$D$1503,$B9,采购进货!$B$4:$B$1503,"&gt;="&amp;DATE(年度,4,1),采购进货!$B$4:$B$1503,"&lt;"&amp;DATE(年度,4+1,1)))</f>
        <v>0</v>
      </c>
      <c r="AS9" s="186">
        <f>IF($B9="",0,SUMIFS(采购进货!$G$4:$G$1503,采购进货!$D$4:$D$1503,$B9,采购进货!$B$4:$B$1503,"&gt;="&amp;DATE(年度,4,1),采购进货!$B$4:$B$1503,"&lt;"&amp;DATE(年度,4+1,1)))</f>
        <v>0</v>
      </c>
      <c r="AT9" s="234">
        <f>AO9+AR9</f>
        <v>0</v>
      </c>
      <c r="AU9" s="235">
        <f>AP9+AS9</f>
        <v>0</v>
      </c>
      <c r="AV9" s="222">
        <f>IF(AND(AT9&gt;0,AU9&gt;0),AU9/AT9,N($E9))</f>
        <v>37.92</v>
      </c>
      <c r="AW9" s="220">
        <f>IF($B9="",0,SUMIFS(出库明细!$E$4:$E$3003,出库明细!$D$4:$D$3003,$B9,出库明细!$B$4:$B$3003,"&gt;="&amp;DATE(年度,4,1),出库明细!$B$4:$B$3003,"&lt;"&amp;DATE(年度,4+1,1)))</f>
        <v>0</v>
      </c>
      <c r="AX9" s="186">
        <f>AW9*AV9</f>
        <v>0</v>
      </c>
      <c r="AY9" s="220">
        <f>_辅助!BP7</f>
        <v>0</v>
      </c>
      <c r="AZ9" s="186">
        <f>_辅助!AF7</f>
        <v>0</v>
      </c>
      <c r="BA9" s="221">
        <f>AT9-AW9-AY9</f>
        <v>0</v>
      </c>
      <c r="BB9" s="187">
        <f>AU9-AX9-AZ9</f>
        <v>0</v>
      </c>
      <c r="BC9" s="236">
        <f>IF(AND(AT9&gt;0,AU9&gt;0),0,AX9)</f>
        <v>0</v>
      </c>
      <c r="BD9" s="220">
        <f>IF($B9="",0,SUMIFS(采购进货!$E$4:$E$1503,采购进货!$D$4:$D$1503,$B9,采购进货!$B$4:$B$1503,"&gt;="&amp;DATE(年度,5,1),采购进货!$B$4:$B$1503,"&lt;"&amp;DATE(年度,5+1,1))+SUMIFS(采购进货!$H$4:$H$1503,采购进货!$D$4:$D$1503,$B9,采购进货!$B$4:$B$1503,"&gt;="&amp;DATE(年度,5,1),采购进货!$B$4:$B$1503,"&lt;"&amp;DATE(年度,5+1,1)))</f>
        <v>0</v>
      </c>
      <c r="BE9" s="186">
        <f>IF($B9="",0,SUMIFS(采购进货!$G$4:$G$1503,采购进货!$D$4:$D$1503,$B9,采购进货!$B$4:$B$1503,"&gt;="&amp;DATE(年度,5,1),采购进货!$B$4:$B$1503,"&lt;"&amp;DATE(年度,5+1,1)))</f>
        <v>0</v>
      </c>
      <c r="BF9" s="234">
        <f>BA9+BD9</f>
        <v>0</v>
      </c>
      <c r="BG9" s="235">
        <f>BB9+BE9</f>
        <v>0</v>
      </c>
      <c r="BH9" s="222">
        <f>IF(AND(BF9&gt;0,BG9&gt;0),BG9/BF9,N($E9))</f>
        <v>37.92</v>
      </c>
      <c r="BI9" s="220">
        <f>IF($B9="",0,SUMIFS(出库明细!$E$4:$E$3003,出库明细!$D$4:$D$3003,$B9,出库明细!$B$4:$B$3003,"&gt;="&amp;DATE(年度,5,1),出库明细!$B$4:$B$3003,"&lt;"&amp;DATE(年度,5+1,1)))</f>
        <v>0</v>
      </c>
      <c r="BJ9" s="186">
        <f>BI9*BH9</f>
        <v>0</v>
      </c>
      <c r="BK9" s="220">
        <f>_辅助!BQ7</f>
        <v>0</v>
      </c>
      <c r="BL9" s="186">
        <f>_辅助!AG7</f>
        <v>0</v>
      </c>
      <c r="BM9" s="221">
        <f>BF9-BI9-BK9</f>
        <v>0</v>
      </c>
      <c r="BN9" s="187">
        <f>BG9-BJ9-BL9</f>
        <v>0</v>
      </c>
      <c r="BO9" s="236">
        <f>IF(AND(BF9&gt;0,BG9&gt;0),0,BJ9)</f>
        <v>0</v>
      </c>
      <c r="BP9" s="220">
        <f>IF($B9="",0,SUMIFS(采购进货!$E$4:$E$1503,采购进货!$D$4:$D$1503,$B9,采购进货!$B$4:$B$1503,"&gt;="&amp;DATE(年度,6,1),采购进货!$B$4:$B$1503,"&lt;"&amp;DATE(年度,6+1,1))+SUMIFS(采购进货!$H$4:$H$1503,采购进货!$D$4:$D$1503,$B9,采购进货!$B$4:$B$1503,"&gt;="&amp;DATE(年度,6,1),采购进货!$B$4:$B$1503,"&lt;"&amp;DATE(年度,6+1,1)))</f>
        <v>0</v>
      </c>
      <c r="BQ9" s="186">
        <f>IF($B9="",0,SUMIFS(采购进货!$G$4:$G$1503,采购进货!$D$4:$D$1503,$B9,采购进货!$B$4:$B$1503,"&gt;="&amp;DATE(年度,6,1),采购进货!$B$4:$B$1503,"&lt;"&amp;DATE(年度,6+1,1)))</f>
        <v>0</v>
      </c>
      <c r="BR9" s="234">
        <f>BM9+BP9</f>
        <v>0</v>
      </c>
      <c r="BS9" s="235">
        <f>BN9+BQ9</f>
        <v>0</v>
      </c>
      <c r="BT9" s="222">
        <f>IF(AND(BR9&gt;0,BS9&gt;0),BS9/BR9,N($E9))</f>
        <v>37.92</v>
      </c>
      <c r="BU9" s="220">
        <f>IF($B9="",0,SUMIFS(出库明细!$E$4:$E$3003,出库明细!$D$4:$D$3003,$B9,出库明细!$B$4:$B$3003,"&gt;="&amp;DATE(年度,6,1),出库明细!$B$4:$B$3003,"&lt;"&amp;DATE(年度,6+1,1)))</f>
        <v>0</v>
      </c>
      <c r="BV9" s="186">
        <f>BU9*BT9</f>
        <v>0</v>
      </c>
      <c r="BW9" s="220">
        <f>_辅助!BR7</f>
        <v>11.4166666666667</v>
      </c>
      <c r="BX9" s="186">
        <f>_辅助!AH7</f>
        <v>432.92</v>
      </c>
      <c r="BY9" s="221">
        <f>BR9-BU9-BW9</f>
        <v>-11.4166666666667</v>
      </c>
      <c r="BZ9" s="187">
        <f>BS9-BV9-BX9</f>
        <v>-432.92</v>
      </c>
      <c r="CA9" s="236">
        <f>IF(AND(BR9&gt;0,BS9&gt;0),0,BV9)</f>
        <v>0</v>
      </c>
      <c r="CB9" s="220">
        <f>IF($B9="",0,SUMIFS(采购进货!$E$4:$E$1503,采购进货!$D$4:$D$1503,$B9,采购进货!$B$4:$B$1503,"&gt;="&amp;DATE(年度,7,1),采购进货!$B$4:$B$1503,"&lt;"&amp;DATE(年度,7+1,1))+SUMIFS(采购进货!$H$4:$H$1503,采购进货!$D$4:$D$1503,$B9,采购进货!$B$4:$B$1503,"&gt;="&amp;DATE(年度,7,1),采购进货!$B$4:$B$1503,"&lt;"&amp;DATE(年度,7+1,1)))</f>
        <v>0</v>
      </c>
      <c r="CC9" s="186">
        <f>IF($B9="",0,SUMIFS(采购进货!$G$4:$G$1503,采购进货!$D$4:$D$1503,$B9,采购进货!$B$4:$B$1503,"&gt;="&amp;DATE(年度,7,1),采购进货!$B$4:$B$1503,"&lt;"&amp;DATE(年度,7+1,1)))</f>
        <v>0</v>
      </c>
      <c r="CD9" s="234">
        <f>BY9+CB9</f>
        <v>-11.4166666666667</v>
      </c>
      <c r="CE9" s="235">
        <f>BZ9+CC9</f>
        <v>-432.92</v>
      </c>
      <c r="CF9" s="222">
        <f>IF(AND(CD9&gt;0,CE9&gt;0),CE9/CD9,N($E9))</f>
        <v>37.92</v>
      </c>
      <c r="CG9" s="220">
        <f>IF($B9="",0,SUMIFS(出库明细!$E$4:$E$3003,出库明细!$D$4:$D$3003,$B9,出库明细!$B$4:$B$3003,"&gt;="&amp;DATE(年度,7,1),出库明细!$B$4:$B$3003,"&lt;"&amp;DATE(年度,7+1,1)))</f>
        <v>60</v>
      </c>
      <c r="CH9" s="186">
        <f>CG9*CF9</f>
        <v>2275.2</v>
      </c>
      <c r="CI9" s="220">
        <f>_辅助!BS7</f>
        <v>0</v>
      </c>
      <c r="CJ9" s="186">
        <f>_辅助!AI7</f>
        <v>0</v>
      </c>
      <c r="CK9" s="221">
        <f>CD9-CG9-CI9</f>
        <v>-71.4166666666667</v>
      </c>
      <c r="CL9" s="187">
        <f>CE9-CH9-CJ9</f>
        <v>-2708.12</v>
      </c>
      <c r="CM9" s="236">
        <f>IF(AND(CD9&gt;0,CE9&gt;0),0,CH9)</f>
        <v>2275.2</v>
      </c>
      <c r="CN9" s="220">
        <f>IF($B9="",0,SUMIFS(采购进货!$E$4:$E$1503,采购进货!$D$4:$D$1503,$B9,采购进货!$B$4:$B$1503,"&gt;="&amp;DATE(年度,8,1),采购进货!$B$4:$B$1503,"&lt;"&amp;DATE(年度,8+1,1))+SUMIFS(采购进货!$H$4:$H$1503,采购进货!$D$4:$D$1503,$B9,采购进货!$B$4:$B$1503,"&gt;="&amp;DATE(年度,8,1),采购进货!$B$4:$B$1503,"&lt;"&amp;DATE(年度,8+1,1)))</f>
        <v>0</v>
      </c>
      <c r="CO9" s="186">
        <f>IF($B9="",0,SUMIFS(采购进货!$G$4:$G$1503,采购进货!$D$4:$D$1503,$B9,采购进货!$B$4:$B$1503,"&gt;="&amp;DATE(年度,8,1),采购进货!$B$4:$B$1503,"&lt;"&amp;DATE(年度,8+1,1)))</f>
        <v>0</v>
      </c>
      <c r="CP9" s="234">
        <f>CK9+CN9</f>
        <v>-71.4166666666667</v>
      </c>
      <c r="CQ9" s="235">
        <f>CL9+CO9</f>
        <v>-2708.12</v>
      </c>
      <c r="CR9" s="222">
        <f>IF(AND(CP9&gt;0,CQ9&gt;0),CQ9/CP9,N($E9))</f>
        <v>37.92</v>
      </c>
      <c r="CS9" s="220">
        <f>IF($B9="",0,SUMIFS(出库明细!$E$4:$E$3003,出库明细!$D$4:$D$3003,$B9,出库明细!$B$4:$B$3003,"&gt;="&amp;DATE(年度,8,1),出库明细!$B$4:$B$3003,"&lt;"&amp;DATE(年度,8+1,1)))</f>
        <v>302.5</v>
      </c>
      <c r="CT9" s="186">
        <f>CS9*CR9</f>
        <v>11470.8</v>
      </c>
      <c r="CU9" s="220">
        <f>_辅助!BT7</f>
        <v>16.4583333333333</v>
      </c>
      <c r="CV9" s="186">
        <f>_辅助!AJ7</f>
        <v>624.1</v>
      </c>
      <c r="CW9" s="221">
        <f>CP9-CS9-CU9</f>
        <v>-390.375</v>
      </c>
      <c r="CX9" s="187">
        <f>CQ9-CT9-CV9</f>
        <v>-14803.02</v>
      </c>
      <c r="CY9" s="236">
        <f>IF(AND(CP9&gt;0,CQ9&gt;0),0,CT9)</f>
        <v>11470.8</v>
      </c>
      <c r="CZ9" s="220">
        <f>IF($B9="",0,SUMIFS(采购进货!$E$4:$E$1503,采购进货!$D$4:$D$1503,$B9,采购进货!$B$4:$B$1503,"&gt;="&amp;DATE(年度,9,1),采购进货!$B$4:$B$1503,"&lt;"&amp;DATE(年度,9+1,1))+SUMIFS(采购进货!$H$4:$H$1503,采购进货!$D$4:$D$1503,$B9,采购进货!$B$4:$B$1503,"&gt;="&amp;DATE(年度,9,1),采购进货!$B$4:$B$1503,"&lt;"&amp;DATE(年度,9+1,1)))</f>
        <v>0</v>
      </c>
      <c r="DA9" s="186">
        <f>IF($B9="",0,SUMIFS(采购进货!$G$4:$G$1503,采购进货!$D$4:$D$1503,$B9,采购进货!$B$4:$B$1503,"&gt;="&amp;DATE(年度,9,1),采购进货!$B$4:$B$1503,"&lt;"&amp;DATE(年度,9+1,1)))</f>
        <v>0</v>
      </c>
      <c r="DB9" s="234">
        <f>CW9+CZ9</f>
        <v>-390.375</v>
      </c>
      <c r="DC9" s="235">
        <f>CX9+DA9</f>
        <v>-14803.02</v>
      </c>
      <c r="DD9" s="222">
        <f>IF(AND(DB9&gt;0,DC9&gt;0),DC9/DB9,N($E9))</f>
        <v>37.92</v>
      </c>
      <c r="DE9" s="220">
        <f>IF($B9="",0,SUMIFS(出库明细!$E$4:$E$3003,出库明细!$D$4:$D$3003,$B9,出库明细!$B$4:$B$3003,"&gt;="&amp;DATE(年度,9,1),出库明细!$B$4:$B$3003,"&lt;"&amp;DATE(年度,9+1,1)))</f>
        <v>0</v>
      </c>
      <c r="DF9" s="186">
        <f>DE9*DD9</f>
        <v>0</v>
      </c>
      <c r="DG9" s="220">
        <f>_辅助!BU7</f>
        <v>0</v>
      </c>
      <c r="DH9" s="186">
        <f>_辅助!AK7</f>
        <v>0</v>
      </c>
      <c r="DI9" s="221">
        <f>DB9-DE9-DG9</f>
        <v>-390.375</v>
      </c>
      <c r="DJ9" s="187">
        <f>DC9-DF9-DH9</f>
        <v>-14803.02</v>
      </c>
      <c r="DK9" s="236">
        <f>IF(AND(DB9&gt;0,DC9&gt;0),0,DF9)</f>
        <v>0</v>
      </c>
      <c r="DL9" s="220">
        <f>IF($B9="",0,SUMIFS(采购进货!$E$4:$E$1503,采购进货!$D$4:$D$1503,$B9,采购进货!$B$4:$B$1503,"&gt;="&amp;DATE(年度,10,1),采购进货!$B$4:$B$1503,"&lt;"&amp;DATE(年度,10+1,1))+SUMIFS(采购进货!$H$4:$H$1503,采购进货!$D$4:$D$1503,$B9,采购进货!$B$4:$B$1503,"&gt;="&amp;DATE(年度,10,1),采购进货!$B$4:$B$1503,"&lt;"&amp;DATE(年度,10+1,1)))</f>
        <v>0</v>
      </c>
      <c r="DM9" s="186">
        <f>IF($B9="",0,SUMIFS(采购进货!$G$4:$G$1503,采购进货!$D$4:$D$1503,$B9,采购进货!$B$4:$B$1503,"&gt;="&amp;DATE(年度,10,1),采购进货!$B$4:$B$1503,"&lt;"&amp;DATE(年度,10+1,1)))</f>
        <v>0</v>
      </c>
      <c r="DN9" s="234">
        <f>DI9+DL9</f>
        <v>-390.375</v>
      </c>
      <c r="DO9" s="235">
        <f>DJ9+DM9</f>
        <v>-14803.02</v>
      </c>
      <c r="DP9" s="222">
        <f>IF(AND(DN9&gt;0,DO9&gt;0),DO9/DN9,N($E9))</f>
        <v>37.92</v>
      </c>
      <c r="DQ9" s="220">
        <f>IF($B9="",0,SUMIFS(出库明细!$E$4:$E$3003,出库明细!$D$4:$D$3003,$B9,出库明细!$B$4:$B$3003,"&gt;="&amp;DATE(年度,10,1),出库明细!$B$4:$B$3003,"&lt;"&amp;DATE(年度,10+1,1)))</f>
        <v>0</v>
      </c>
      <c r="DR9" s="186">
        <f>DQ9*DP9</f>
        <v>0</v>
      </c>
      <c r="DS9" s="220">
        <f>_辅助!BV7</f>
        <v>0</v>
      </c>
      <c r="DT9" s="186">
        <f>_辅助!AL7</f>
        <v>0</v>
      </c>
      <c r="DU9" s="221">
        <f>DN9-DQ9-DS9</f>
        <v>-390.375</v>
      </c>
      <c r="DV9" s="187">
        <f>DO9-DR9-DT9</f>
        <v>-14803.02</v>
      </c>
      <c r="DW9" s="236">
        <f>IF(AND(DN9&gt;0,DO9&gt;0),0,DR9)</f>
        <v>0</v>
      </c>
      <c r="DX9" s="220">
        <f>IF($B9="",0,SUMIFS(采购进货!$E$4:$E$1503,采购进货!$D$4:$D$1503,$B9,采购进货!$B$4:$B$1503,"&gt;="&amp;DATE(年度,11,1),采购进货!$B$4:$B$1503,"&lt;"&amp;DATE(年度,11+1,1))+SUMIFS(采购进货!$H$4:$H$1503,采购进货!$D$4:$D$1503,$B9,采购进货!$B$4:$B$1503,"&gt;="&amp;DATE(年度,11,1),采购进货!$B$4:$B$1503,"&lt;"&amp;DATE(年度,11+1,1)))</f>
        <v>0</v>
      </c>
      <c r="DY9" s="186">
        <f>IF($B9="",0,SUMIFS(采购进货!$G$4:$G$1503,采购进货!$D$4:$D$1503,$B9,采购进货!$B$4:$B$1503,"&gt;="&amp;DATE(年度,11,1),采购进货!$B$4:$B$1503,"&lt;"&amp;DATE(年度,11+1,1)))</f>
        <v>0</v>
      </c>
      <c r="DZ9" s="234">
        <f>DU9+DX9</f>
        <v>-390.375</v>
      </c>
      <c r="EA9" s="235">
        <f>DV9+DY9</f>
        <v>-14803.02</v>
      </c>
      <c r="EB9" s="222">
        <f>IF(AND(DZ9&gt;0,EA9&gt;0),EA9/DZ9,N($E9))</f>
        <v>37.92</v>
      </c>
      <c r="EC9" s="220">
        <f>IF($B9="",0,SUMIFS(出库明细!$E$4:$E$3003,出库明细!$D$4:$D$3003,$B9,出库明细!$B$4:$B$3003,"&gt;="&amp;DATE(年度,11,1),出库明细!$B$4:$B$3003,"&lt;"&amp;DATE(年度,11+1,1)))</f>
        <v>0</v>
      </c>
      <c r="ED9" s="186">
        <f>EC9*EB9</f>
        <v>0</v>
      </c>
      <c r="EE9" s="220">
        <f>_辅助!BW7</f>
        <v>0</v>
      </c>
      <c r="EF9" s="186">
        <f>_辅助!AM7</f>
        <v>0</v>
      </c>
      <c r="EG9" s="221">
        <f>DZ9-EC9-EE9</f>
        <v>-390.375</v>
      </c>
      <c r="EH9" s="187">
        <f>EA9-ED9-EF9</f>
        <v>-14803.02</v>
      </c>
      <c r="EI9" s="236">
        <f>IF(AND(DZ9&gt;0,EA9&gt;0),0,ED9)</f>
        <v>0</v>
      </c>
      <c r="EJ9" s="220">
        <f>IF($B9="",0,SUMIFS(采购进货!$E$4:$E$1503,采购进货!$D$4:$D$1503,$B9,采购进货!$B$4:$B$1503,"&gt;="&amp;DATE(年度,12,1),采购进货!$B$4:$B$1503,"&lt;"&amp;DATE(年度,12+1,1))+SUMIFS(采购进货!$H$4:$H$1503,采购进货!$D$4:$D$1503,$B9,采购进货!$B$4:$B$1503,"&gt;="&amp;DATE(年度,12,1),采购进货!$B$4:$B$1503,"&lt;"&amp;DATE(年度,12+1,1)))</f>
        <v>0</v>
      </c>
      <c r="EK9" s="186">
        <f>IF($B9="",0,SUMIFS(采购进货!$G$4:$G$1503,采购进货!$D$4:$D$1503,$B9,采购进货!$B$4:$B$1503,"&gt;="&amp;DATE(年度,12,1),采购进货!$B$4:$B$1503,"&lt;"&amp;DATE(年度,12+1,1)))</f>
        <v>0</v>
      </c>
      <c r="EL9" s="234">
        <f>EG9+EJ9</f>
        <v>-390.375</v>
      </c>
      <c r="EM9" s="235">
        <f>EH9+EK9</f>
        <v>-14803.02</v>
      </c>
      <c r="EN9" s="222">
        <f>IF(AND(EL9&gt;0,EM9&gt;0),EM9/EL9,N($E9))</f>
        <v>37.92</v>
      </c>
      <c r="EO9" s="220">
        <f>IF($B9="",0,SUMIFS(出库明细!$E$4:$E$3003,出库明细!$D$4:$D$3003,$B9,出库明细!$B$4:$B$3003,"&gt;="&amp;DATE(年度,12,1),出库明细!$B$4:$B$3003,"&lt;"&amp;DATE(年度,12+1,1)))</f>
        <v>0</v>
      </c>
      <c r="EP9" s="186">
        <f>EO9*EN9</f>
        <v>0</v>
      </c>
      <c r="EQ9" s="220">
        <f>_辅助!BX7</f>
        <v>0</v>
      </c>
      <c r="ER9" s="186">
        <f>_辅助!AN7</f>
        <v>0</v>
      </c>
      <c r="ES9" s="221">
        <f>EL9-EO9-EQ9</f>
        <v>-390.375</v>
      </c>
      <c r="ET9" s="187">
        <f>EM9-EP9-ER9</f>
        <v>-14803.02</v>
      </c>
      <c r="EU9" s="236">
        <f>IF(AND(EL9&gt;0,EM9&gt;0),0,EP9)</f>
        <v>0</v>
      </c>
    </row>
    <row r="10">
      <c r="A10" s="194">
        <f>IF(B10="","",ROW()-7)</f>
        <v>3</v>
      </c>
      <c r="B10" s="141" t="str">
        <f>IF(基础资料!E7="","",基础资料!E7&amp;"")</f>
        <v>555补水</v>
      </c>
      <c r="C10" s="230" t="str">
        <f>IF(基础资料!G7="","",基础资料!G7&amp;"")</f>
        <v>东鹏555补水</v>
      </c>
      <c r="D10" s="194">
        <f>IF(基础资料!I7="","",基础资料!I7)</f>
        <v>24</v>
      </c>
      <c r="E10" s="231">
        <f>IF(基础资料!J7="","",基础资料!J7)</f>
        <v>54.816</v>
      </c>
      <c r="F10" s="232">
        <f>N(基础资料!L7)</f>
        <v>0</v>
      </c>
      <c r="G10" s="233">
        <f>IF(基础资料!N7="",0,基础资料!N7)</f>
        <v>0</v>
      </c>
      <c r="H10" s="220">
        <f>IF($B10="",0,SUMIFS(采购进货!$E$4:$E$1503,采购进货!$D$4:$D$1503,$B10,采购进货!$B$4:$B$1503,"&gt;="&amp;DATE(年度,1,1),采购进货!$B$4:$B$1503,"&lt;"&amp;DATE(年度,1+1,1))+SUMIFS(采购进货!$H$4:$H$1503,采购进货!$D$4:$D$1503,$B10,采购进货!$B$4:$B$1503,"&gt;="&amp;DATE(年度,1,1),采购进货!$B$4:$B$1503,"&lt;"&amp;DATE(年度,1+1,1)))</f>
        <v>0</v>
      </c>
      <c r="I10" s="186">
        <f>IF($B10="",0,SUMIFS(采购进货!$G$4:$G$1503,采购进货!$D$4:$D$1503,$B10,采购进货!$B$4:$B$1503,"&gt;="&amp;DATE(年度,1,1),采购进货!$B$4:$B$1503,"&lt;"&amp;DATE(年度,1+1,1)))</f>
        <v>0</v>
      </c>
      <c r="J10" s="234">
        <f>F10+H10</f>
        <v>0</v>
      </c>
      <c r="K10" s="235">
        <f>G10+I10</f>
        <v>0</v>
      </c>
      <c r="L10" s="222">
        <f>IF(AND(J10&gt;0,K10&gt;0),K10/J10,N($E10))</f>
        <v>54.816</v>
      </c>
      <c r="M10" s="220">
        <f>IF($B10="",0,SUMIFS(出库明细!$E$4:$E$3003,出库明细!$D$4:$D$3003,$B10,出库明细!$B$4:$B$3003,"&gt;="&amp;DATE(年度,1,1),出库明细!$B$4:$B$3003,"&lt;"&amp;DATE(年度,1+1,1)))</f>
        <v>0</v>
      </c>
      <c r="N10" s="186">
        <f>M10*L10</f>
        <v>0</v>
      </c>
      <c r="O10" s="220">
        <f>_辅助!BM8</f>
        <v>0</v>
      </c>
      <c r="P10" s="186">
        <f>_辅助!AC8</f>
        <v>0</v>
      </c>
      <c r="Q10" s="221">
        <f>J10-M10-O10</f>
        <v>0</v>
      </c>
      <c r="R10" s="187">
        <f>K10-N10-P10</f>
        <v>0</v>
      </c>
      <c r="S10" s="236">
        <f>IF(AND(J10&gt;0,K10&gt;0),0,N10)</f>
        <v>0</v>
      </c>
      <c r="T10" s="220">
        <f>IF($B10="",0,SUMIFS(采购进货!$E$4:$E$1503,采购进货!$D$4:$D$1503,$B10,采购进货!$B$4:$B$1503,"&gt;="&amp;DATE(年度,2,1),采购进货!$B$4:$B$1503,"&lt;"&amp;DATE(年度,2+1,1))+SUMIFS(采购进货!$H$4:$H$1503,采购进货!$D$4:$D$1503,$B10,采购进货!$B$4:$B$1503,"&gt;="&amp;DATE(年度,2,1),采购进货!$B$4:$B$1503,"&lt;"&amp;DATE(年度,2+1,1)))</f>
        <v>0</v>
      </c>
      <c r="U10" s="186">
        <f>IF($B10="",0,SUMIFS(采购进货!$G$4:$G$1503,采购进货!$D$4:$D$1503,$B10,采购进货!$B$4:$B$1503,"&gt;="&amp;DATE(年度,2,1),采购进货!$B$4:$B$1503,"&lt;"&amp;DATE(年度,2+1,1)))</f>
        <v>0</v>
      </c>
      <c r="V10" s="234">
        <f>Q10+T10</f>
        <v>0</v>
      </c>
      <c r="W10" s="235">
        <f>R10+U10</f>
        <v>0</v>
      </c>
      <c r="X10" s="222">
        <f>IF(AND(V10&gt;0,W10&gt;0),W10/V10,N($E10))</f>
        <v>54.816</v>
      </c>
      <c r="Y10" s="220">
        <f>IF($B10="",0,SUMIFS(出库明细!$E$4:$E$3003,出库明细!$D$4:$D$3003,$B10,出库明细!$B$4:$B$3003,"&gt;="&amp;DATE(年度,2,1),出库明细!$B$4:$B$3003,"&lt;"&amp;DATE(年度,2+1,1)))</f>
        <v>0</v>
      </c>
      <c r="Z10" s="186">
        <f>Y10*X10</f>
        <v>0</v>
      </c>
      <c r="AA10" s="220">
        <f>_辅助!BN8</f>
        <v>0</v>
      </c>
      <c r="AB10" s="186">
        <f>_辅助!AD8</f>
        <v>0</v>
      </c>
      <c r="AC10" s="221">
        <f>V10-Y10-AA10</f>
        <v>0</v>
      </c>
      <c r="AD10" s="187">
        <f>W10-Z10-AB10</f>
        <v>0</v>
      </c>
      <c r="AE10" s="236">
        <f>IF(AND(V10&gt;0,W10&gt;0),0,Z10)</f>
        <v>0</v>
      </c>
      <c r="AF10" s="220">
        <f>IF($B10="",0,SUMIFS(采购进货!$E$4:$E$1503,采购进货!$D$4:$D$1503,$B10,采购进货!$B$4:$B$1503,"&gt;="&amp;DATE(年度,3,1),采购进货!$B$4:$B$1503,"&lt;"&amp;DATE(年度,3+1,1))+SUMIFS(采购进货!$H$4:$H$1503,采购进货!$D$4:$D$1503,$B10,采购进货!$B$4:$B$1503,"&gt;="&amp;DATE(年度,3,1),采购进货!$B$4:$B$1503,"&lt;"&amp;DATE(年度,3+1,1)))</f>
        <v>0</v>
      </c>
      <c r="AG10" s="186">
        <f>IF($B10="",0,SUMIFS(采购进货!$G$4:$G$1503,采购进货!$D$4:$D$1503,$B10,采购进货!$B$4:$B$1503,"&gt;="&amp;DATE(年度,3,1),采购进货!$B$4:$B$1503,"&lt;"&amp;DATE(年度,3+1,1)))</f>
        <v>0</v>
      </c>
      <c r="AH10" s="234">
        <f>AC10+AF10</f>
        <v>0</v>
      </c>
      <c r="AI10" s="235">
        <f>AD10+AG10</f>
        <v>0</v>
      </c>
      <c r="AJ10" s="222">
        <f>IF(AND(AH10&gt;0,AI10&gt;0),AI10/AH10,N($E10))</f>
        <v>54.816</v>
      </c>
      <c r="AK10" s="220">
        <f>IF($B10="",0,SUMIFS(出库明细!$E$4:$E$3003,出库明细!$D$4:$D$3003,$B10,出库明细!$B$4:$B$3003,"&gt;="&amp;DATE(年度,3,1),出库明细!$B$4:$B$3003,"&lt;"&amp;DATE(年度,3+1,1)))</f>
        <v>0</v>
      </c>
      <c r="AL10" s="186">
        <f>AK10*AJ10</f>
        <v>0</v>
      </c>
      <c r="AM10" s="220">
        <f>_辅助!BO8</f>
        <v>0</v>
      </c>
      <c r="AN10" s="186">
        <f>_辅助!AE8</f>
        <v>0</v>
      </c>
      <c r="AO10" s="221">
        <f>AH10-AK10-AM10</f>
        <v>0</v>
      </c>
      <c r="AP10" s="187">
        <f>AI10-AL10-AN10</f>
        <v>0</v>
      </c>
      <c r="AQ10" s="236">
        <f>IF(AND(AH10&gt;0,AI10&gt;0),0,AL10)</f>
        <v>0</v>
      </c>
      <c r="AR10" s="220">
        <f>IF($B10="",0,SUMIFS(采购进货!$E$4:$E$1503,采购进货!$D$4:$D$1503,$B10,采购进货!$B$4:$B$1503,"&gt;="&amp;DATE(年度,4,1),采购进货!$B$4:$B$1503,"&lt;"&amp;DATE(年度,4+1,1))+SUMIFS(采购进货!$H$4:$H$1503,采购进货!$D$4:$D$1503,$B10,采购进货!$B$4:$B$1503,"&gt;="&amp;DATE(年度,4,1),采购进货!$B$4:$B$1503,"&lt;"&amp;DATE(年度,4+1,1)))</f>
        <v>0</v>
      </c>
      <c r="AS10" s="186">
        <f>IF($B10="",0,SUMIFS(采购进货!$G$4:$G$1503,采购进货!$D$4:$D$1503,$B10,采购进货!$B$4:$B$1503,"&gt;="&amp;DATE(年度,4,1),采购进货!$B$4:$B$1503,"&lt;"&amp;DATE(年度,4+1,1)))</f>
        <v>0</v>
      </c>
      <c r="AT10" s="234">
        <f>AO10+AR10</f>
        <v>0</v>
      </c>
      <c r="AU10" s="235">
        <f>AP10+AS10</f>
        <v>0</v>
      </c>
      <c r="AV10" s="222">
        <f>IF(AND(AT10&gt;0,AU10&gt;0),AU10/AT10,N($E10))</f>
        <v>54.816</v>
      </c>
      <c r="AW10" s="220">
        <f>IF($B10="",0,SUMIFS(出库明细!$E$4:$E$3003,出库明细!$D$4:$D$3003,$B10,出库明细!$B$4:$B$3003,"&gt;="&amp;DATE(年度,4,1),出库明细!$B$4:$B$3003,"&lt;"&amp;DATE(年度,4+1,1)))</f>
        <v>0</v>
      </c>
      <c r="AX10" s="186">
        <f>AW10*AV10</f>
        <v>0</v>
      </c>
      <c r="AY10" s="220">
        <f>_辅助!BP8</f>
        <v>0</v>
      </c>
      <c r="AZ10" s="186">
        <f>_辅助!AF8</f>
        <v>0</v>
      </c>
      <c r="BA10" s="221">
        <f>AT10-AW10-AY10</f>
        <v>0</v>
      </c>
      <c r="BB10" s="187">
        <f>AU10-AX10-AZ10</f>
        <v>0</v>
      </c>
      <c r="BC10" s="236">
        <f>IF(AND(AT10&gt;0,AU10&gt;0),0,AX10)</f>
        <v>0</v>
      </c>
      <c r="BD10" s="220">
        <f>IF($B10="",0,SUMIFS(采购进货!$E$4:$E$1503,采购进货!$D$4:$D$1503,$B10,采购进货!$B$4:$B$1503,"&gt;="&amp;DATE(年度,5,1),采购进货!$B$4:$B$1503,"&lt;"&amp;DATE(年度,5+1,1))+SUMIFS(采购进货!$H$4:$H$1503,采购进货!$D$4:$D$1503,$B10,采购进货!$B$4:$B$1503,"&gt;="&amp;DATE(年度,5,1),采购进货!$B$4:$B$1503,"&lt;"&amp;DATE(年度,5+1,1)))</f>
        <v>0</v>
      </c>
      <c r="BE10" s="186">
        <f>IF($B10="",0,SUMIFS(采购进货!$G$4:$G$1503,采购进货!$D$4:$D$1503,$B10,采购进货!$B$4:$B$1503,"&gt;="&amp;DATE(年度,5,1),采购进货!$B$4:$B$1503,"&lt;"&amp;DATE(年度,5+1,1)))</f>
        <v>0</v>
      </c>
      <c r="BF10" s="234">
        <f>BA10+BD10</f>
        <v>0</v>
      </c>
      <c r="BG10" s="235">
        <f>BB10+BE10</f>
        <v>0</v>
      </c>
      <c r="BH10" s="222">
        <f>IF(AND(BF10&gt;0,BG10&gt;0),BG10/BF10,N($E10))</f>
        <v>54.816</v>
      </c>
      <c r="BI10" s="220">
        <f>IF($B10="",0,SUMIFS(出库明细!$E$4:$E$3003,出库明细!$D$4:$D$3003,$B10,出库明细!$B$4:$B$3003,"&gt;="&amp;DATE(年度,5,1),出库明细!$B$4:$B$3003,"&lt;"&amp;DATE(年度,5+1,1)))</f>
        <v>0</v>
      </c>
      <c r="BJ10" s="186">
        <f>BI10*BH10</f>
        <v>0</v>
      </c>
      <c r="BK10" s="220">
        <f>_辅助!BQ8</f>
        <v>0</v>
      </c>
      <c r="BL10" s="186">
        <f>_辅助!AG8</f>
        <v>0</v>
      </c>
      <c r="BM10" s="221">
        <f>BF10-BI10-BK10</f>
        <v>0</v>
      </c>
      <c r="BN10" s="187">
        <f>BG10-BJ10-BL10</f>
        <v>0</v>
      </c>
      <c r="BO10" s="236">
        <f>IF(AND(BF10&gt;0,BG10&gt;0),0,BJ10)</f>
        <v>0</v>
      </c>
      <c r="BP10" s="220">
        <f>IF($B10="",0,SUMIFS(采购进货!$E$4:$E$1503,采购进货!$D$4:$D$1503,$B10,采购进货!$B$4:$B$1503,"&gt;="&amp;DATE(年度,6,1),采购进货!$B$4:$B$1503,"&lt;"&amp;DATE(年度,6+1,1))+SUMIFS(采购进货!$H$4:$H$1503,采购进货!$D$4:$D$1503,$B10,采购进货!$B$4:$B$1503,"&gt;="&amp;DATE(年度,6,1),采购进货!$B$4:$B$1503,"&lt;"&amp;DATE(年度,6+1,1)))</f>
        <v>0</v>
      </c>
      <c r="BQ10" s="186">
        <f>IF($B10="",0,SUMIFS(采购进货!$G$4:$G$1503,采购进货!$D$4:$D$1503,$B10,采购进货!$B$4:$B$1503,"&gt;="&amp;DATE(年度,6,1),采购进货!$B$4:$B$1503,"&lt;"&amp;DATE(年度,6+1,1)))</f>
        <v>0</v>
      </c>
      <c r="BR10" s="234">
        <f>BM10+BP10</f>
        <v>0</v>
      </c>
      <c r="BS10" s="235">
        <f>BN10+BQ10</f>
        <v>0</v>
      </c>
      <c r="BT10" s="222">
        <f>IF(AND(BR10&gt;0,BS10&gt;0),BS10/BR10,N($E10))</f>
        <v>54.816</v>
      </c>
      <c r="BU10" s="220">
        <f>IF($B10="",0,SUMIFS(出库明细!$E$4:$E$3003,出库明细!$D$4:$D$3003,$B10,出库明细!$B$4:$B$3003,"&gt;="&amp;DATE(年度,6,1),出库明细!$B$4:$B$3003,"&lt;"&amp;DATE(年度,6+1,1)))</f>
        <v>80</v>
      </c>
      <c r="BV10" s="186">
        <f>BU10*BT10</f>
        <v>4385.28</v>
      </c>
      <c r="BW10" s="220">
        <f>_辅助!BR8</f>
        <v>1</v>
      </c>
      <c r="BX10" s="186">
        <f>_辅助!AH8</f>
        <v>54.816</v>
      </c>
      <c r="BY10" s="221">
        <f>BR10-BU10-BW10</f>
        <v>-81</v>
      </c>
      <c r="BZ10" s="187">
        <f>BS10-BV10-BX10</f>
        <v>-4440.096</v>
      </c>
      <c r="CA10" s="236">
        <f>IF(AND(BR10&gt;0,BS10&gt;0),0,BV10)</f>
        <v>4385.28</v>
      </c>
      <c r="CB10" s="220">
        <f>IF($B10="",0,SUMIFS(采购进货!$E$4:$E$1503,采购进货!$D$4:$D$1503,$B10,采购进货!$B$4:$B$1503,"&gt;="&amp;DATE(年度,7,1),采购进货!$B$4:$B$1503,"&lt;"&amp;DATE(年度,7+1,1))+SUMIFS(采购进货!$H$4:$H$1503,采购进货!$D$4:$D$1503,$B10,采购进货!$B$4:$B$1503,"&gt;="&amp;DATE(年度,7,1),采购进货!$B$4:$B$1503,"&lt;"&amp;DATE(年度,7+1,1)))</f>
        <v>0</v>
      </c>
      <c r="CC10" s="186">
        <f>IF($B10="",0,SUMIFS(采购进货!$G$4:$G$1503,采购进货!$D$4:$D$1503,$B10,采购进货!$B$4:$B$1503,"&gt;="&amp;DATE(年度,7,1),采购进货!$B$4:$B$1503,"&lt;"&amp;DATE(年度,7+1,1)))</f>
        <v>0</v>
      </c>
      <c r="CD10" s="234">
        <f>BY10+CB10</f>
        <v>-81</v>
      </c>
      <c r="CE10" s="235">
        <f>BZ10+CC10</f>
        <v>-4440.096</v>
      </c>
      <c r="CF10" s="222">
        <f>IF(AND(CD10&gt;0,CE10&gt;0),CE10/CD10,N($E10))</f>
        <v>54.816</v>
      </c>
      <c r="CG10" s="220">
        <f>IF($B10="",0,SUMIFS(出库明细!$E$4:$E$3003,出库明细!$D$4:$D$3003,$B10,出库明细!$B$4:$B$3003,"&gt;="&amp;DATE(年度,7,1),出库明细!$B$4:$B$3003,"&lt;"&amp;DATE(年度,7+1,1)))</f>
        <v>934</v>
      </c>
      <c r="CH10" s="186">
        <f>CG10*CF10</f>
        <v>51198.144</v>
      </c>
      <c r="CI10" s="220">
        <f>_辅助!BS8</f>
        <v>0</v>
      </c>
      <c r="CJ10" s="186">
        <f>_辅助!AI8</f>
        <v>0</v>
      </c>
      <c r="CK10" s="221">
        <f>CD10-CG10-CI10</f>
        <v>-1015</v>
      </c>
      <c r="CL10" s="187">
        <f>CE10-CH10-CJ10</f>
        <v>-55638.24</v>
      </c>
      <c r="CM10" s="236">
        <f>IF(AND(CD10&gt;0,CE10&gt;0),0,CH10)</f>
        <v>51198.144</v>
      </c>
      <c r="CN10" s="220">
        <f>IF($B10="",0,SUMIFS(采购进货!$E$4:$E$1503,采购进货!$D$4:$D$1503,$B10,采购进货!$B$4:$B$1503,"&gt;="&amp;DATE(年度,8,1),采购进货!$B$4:$B$1503,"&lt;"&amp;DATE(年度,8+1,1))+SUMIFS(采购进货!$H$4:$H$1503,采购进货!$D$4:$D$1503,$B10,采购进货!$B$4:$B$1503,"&gt;="&amp;DATE(年度,8,1),采购进货!$B$4:$B$1503,"&lt;"&amp;DATE(年度,8+1,1)))</f>
        <v>0</v>
      </c>
      <c r="CO10" s="186">
        <f>IF($B10="",0,SUMIFS(采购进货!$G$4:$G$1503,采购进货!$D$4:$D$1503,$B10,采购进货!$B$4:$B$1503,"&gt;="&amp;DATE(年度,8,1),采购进货!$B$4:$B$1503,"&lt;"&amp;DATE(年度,8+1,1)))</f>
        <v>0</v>
      </c>
      <c r="CP10" s="234">
        <f>CK10+CN10</f>
        <v>-1015</v>
      </c>
      <c r="CQ10" s="235">
        <f>CL10+CO10</f>
        <v>-55638.24</v>
      </c>
      <c r="CR10" s="222">
        <f>IF(AND(CP10&gt;0,CQ10&gt;0),CQ10/CP10,N($E10))</f>
        <v>54.816</v>
      </c>
      <c r="CS10" s="220">
        <f>IF($B10="",0,SUMIFS(出库明细!$E$4:$E$3003,出库明细!$D$4:$D$3003,$B10,出库明细!$B$4:$B$3003,"&gt;="&amp;DATE(年度,8,1),出库明细!$B$4:$B$3003,"&lt;"&amp;DATE(年度,8+1,1)))</f>
        <v>1114.5</v>
      </c>
      <c r="CT10" s="186">
        <f>CS10*CR10</f>
        <v>61092.432</v>
      </c>
      <c r="CU10" s="220">
        <f>_辅助!BT8</f>
        <v>0.375</v>
      </c>
      <c r="CV10" s="186">
        <f>_辅助!AJ8</f>
        <v>20.556</v>
      </c>
      <c r="CW10" s="221">
        <f>CP10-CS10-CU10</f>
        <v>-2129.875</v>
      </c>
      <c r="CX10" s="187">
        <f>CQ10-CT10-CV10</f>
        <v>-116751.228</v>
      </c>
      <c r="CY10" s="236">
        <f>IF(AND(CP10&gt;0,CQ10&gt;0),0,CT10)</f>
        <v>61092.432</v>
      </c>
      <c r="CZ10" s="220">
        <f>IF($B10="",0,SUMIFS(采购进货!$E$4:$E$1503,采购进货!$D$4:$D$1503,$B10,采购进货!$B$4:$B$1503,"&gt;="&amp;DATE(年度,9,1),采购进货!$B$4:$B$1503,"&lt;"&amp;DATE(年度,9+1,1))+SUMIFS(采购进货!$H$4:$H$1503,采购进货!$D$4:$D$1503,$B10,采购进货!$B$4:$B$1503,"&gt;="&amp;DATE(年度,9,1),采购进货!$B$4:$B$1503,"&lt;"&amp;DATE(年度,9+1,1)))</f>
        <v>0</v>
      </c>
      <c r="DA10" s="186">
        <f>IF($B10="",0,SUMIFS(采购进货!$G$4:$G$1503,采购进货!$D$4:$D$1503,$B10,采购进货!$B$4:$B$1503,"&gt;="&amp;DATE(年度,9,1),采购进货!$B$4:$B$1503,"&lt;"&amp;DATE(年度,9+1,1)))</f>
        <v>0</v>
      </c>
      <c r="DB10" s="234">
        <f>CW10+CZ10</f>
        <v>-2129.875</v>
      </c>
      <c r="DC10" s="235">
        <f>CX10+DA10</f>
        <v>-116751.228</v>
      </c>
      <c r="DD10" s="222">
        <f>IF(AND(DB10&gt;0,DC10&gt;0),DC10/DB10,N($E10))</f>
        <v>54.816</v>
      </c>
      <c r="DE10" s="220">
        <f>IF($B10="",0,SUMIFS(出库明细!$E$4:$E$3003,出库明细!$D$4:$D$3003,$B10,出库明细!$B$4:$B$3003,"&gt;="&amp;DATE(年度,9,1),出库明细!$B$4:$B$3003,"&lt;"&amp;DATE(年度,9+1,1)))</f>
        <v>228.5</v>
      </c>
      <c r="DF10" s="186">
        <f>DE10*DD10</f>
        <v>12525.456</v>
      </c>
      <c r="DG10" s="220">
        <f>_辅助!BU8</f>
        <v>0</v>
      </c>
      <c r="DH10" s="186">
        <f>_辅助!AK8</f>
        <v>0</v>
      </c>
      <c r="DI10" s="221">
        <f>DB10-DE10-DG10</f>
        <v>-2358.375</v>
      </c>
      <c r="DJ10" s="187">
        <f>DC10-DF10-DH10</f>
        <v>-129276.684</v>
      </c>
      <c r="DK10" s="236">
        <f>IF(AND(DB10&gt;0,DC10&gt;0),0,DF10)</f>
        <v>12525.456</v>
      </c>
      <c r="DL10" s="220">
        <f>IF($B10="",0,SUMIFS(采购进货!$E$4:$E$1503,采购进货!$D$4:$D$1503,$B10,采购进货!$B$4:$B$1503,"&gt;="&amp;DATE(年度,10,1),采购进货!$B$4:$B$1503,"&lt;"&amp;DATE(年度,10+1,1))+SUMIFS(采购进货!$H$4:$H$1503,采购进货!$D$4:$D$1503,$B10,采购进货!$B$4:$B$1503,"&gt;="&amp;DATE(年度,10,1),采购进货!$B$4:$B$1503,"&lt;"&amp;DATE(年度,10+1,1)))</f>
        <v>0</v>
      </c>
      <c r="DM10" s="186">
        <f>IF($B10="",0,SUMIFS(采购进货!$G$4:$G$1503,采购进货!$D$4:$D$1503,$B10,采购进货!$B$4:$B$1503,"&gt;="&amp;DATE(年度,10,1),采购进货!$B$4:$B$1503,"&lt;"&amp;DATE(年度,10+1,1)))</f>
        <v>0</v>
      </c>
      <c r="DN10" s="234">
        <f>DI10+DL10</f>
        <v>-2358.375</v>
      </c>
      <c r="DO10" s="235">
        <f>DJ10+DM10</f>
        <v>-129276.684</v>
      </c>
      <c r="DP10" s="222">
        <f>IF(AND(DN10&gt;0,DO10&gt;0),DO10/DN10,N($E10))</f>
        <v>54.816</v>
      </c>
      <c r="DQ10" s="220">
        <f>IF($B10="",0,SUMIFS(出库明细!$E$4:$E$3003,出库明细!$D$4:$D$3003,$B10,出库明细!$B$4:$B$3003,"&gt;="&amp;DATE(年度,10,1),出库明细!$B$4:$B$3003,"&lt;"&amp;DATE(年度,10+1,1)))</f>
        <v>0</v>
      </c>
      <c r="DR10" s="186">
        <f>DQ10*DP10</f>
        <v>0</v>
      </c>
      <c r="DS10" s="220">
        <f>_辅助!BV8</f>
        <v>0</v>
      </c>
      <c r="DT10" s="186">
        <f>_辅助!AL8</f>
        <v>0</v>
      </c>
      <c r="DU10" s="221">
        <f>DN10-DQ10-DS10</f>
        <v>-2358.375</v>
      </c>
      <c r="DV10" s="187">
        <f>DO10-DR10-DT10</f>
        <v>-129276.684</v>
      </c>
      <c r="DW10" s="236">
        <f>IF(AND(DN10&gt;0,DO10&gt;0),0,DR10)</f>
        <v>0</v>
      </c>
      <c r="DX10" s="220">
        <f>IF($B10="",0,SUMIFS(采购进货!$E$4:$E$1503,采购进货!$D$4:$D$1503,$B10,采购进货!$B$4:$B$1503,"&gt;="&amp;DATE(年度,11,1),采购进货!$B$4:$B$1503,"&lt;"&amp;DATE(年度,11+1,1))+SUMIFS(采购进货!$H$4:$H$1503,采购进货!$D$4:$D$1503,$B10,采购进货!$B$4:$B$1503,"&gt;="&amp;DATE(年度,11,1),采购进货!$B$4:$B$1503,"&lt;"&amp;DATE(年度,11+1,1)))</f>
        <v>0</v>
      </c>
      <c r="DY10" s="186">
        <f>IF($B10="",0,SUMIFS(采购进货!$G$4:$G$1503,采购进货!$D$4:$D$1503,$B10,采购进货!$B$4:$B$1503,"&gt;="&amp;DATE(年度,11,1),采购进货!$B$4:$B$1503,"&lt;"&amp;DATE(年度,11+1,1)))</f>
        <v>0</v>
      </c>
      <c r="DZ10" s="234">
        <f>DU10+DX10</f>
        <v>-2358.375</v>
      </c>
      <c r="EA10" s="235">
        <f>DV10+DY10</f>
        <v>-129276.684</v>
      </c>
      <c r="EB10" s="222">
        <f>IF(AND(DZ10&gt;0,EA10&gt;0),EA10/DZ10,N($E10))</f>
        <v>54.816</v>
      </c>
      <c r="EC10" s="220">
        <f>IF($B10="",0,SUMIFS(出库明细!$E$4:$E$3003,出库明细!$D$4:$D$3003,$B10,出库明细!$B$4:$B$3003,"&gt;="&amp;DATE(年度,11,1),出库明细!$B$4:$B$3003,"&lt;"&amp;DATE(年度,11+1,1)))</f>
        <v>0</v>
      </c>
      <c r="ED10" s="186">
        <f>EC10*EB10</f>
        <v>0</v>
      </c>
      <c r="EE10" s="220">
        <f>_辅助!BW8</f>
        <v>0</v>
      </c>
      <c r="EF10" s="186">
        <f>_辅助!AM8</f>
        <v>0</v>
      </c>
      <c r="EG10" s="221">
        <f>DZ10-EC10-EE10</f>
        <v>-2358.375</v>
      </c>
      <c r="EH10" s="187">
        <f>EA10-ED10-EF10</f>
        <v>-129276.684</v>
      </c>
      <c r="EI10" s="236">
        <f>IF(AND(DZ10&gt;0,EA10&gt;0),0,ED10)</f>
        <v>0</v>
      </c>
      <c r="EJ10" s="220">
        <f>IF($B10="",0,SUMIFS(采购进货!$E$4:$E$1503,采购进货!$D$4:$D$1503,$B10,采购进货!$B$4:$B$1503,"&gt;="&amp;DATE(年度,12,1),采购进货!$B$4:$B$1503,"&lt;"&amp;DATE(年度,12+1,1))+SUMIFS(采购进货!$H$4:$H$1503,采购进货!$D$4:$D$1503,$B10,采购进货!$B$4:$B$1503,"&gt;="&amp;DATE(年度,12,1),采购进货!$B$4:$B$1503,"&lt;"&amp;DATE(年度,12+1,1)))</f>
        <v>0</v>
      </c>
      <c r="EK10" s="186">
        <f>IF($B10="",0,SUMIFS(采购进货!$G$4:$G$1503,采购进货!$D$4:$D$1503,$B10,采购进货!$B$4:$B$1503,"&gt;="&amp;DATE(年度,12,1),采购进货!$B$4:$B$1503,"&lt;"&amp;DATE(年度,12+1,1)))</f>
        <v>0</v>
      </c>
      <c r="EL10" s="234">
        <f>EG10+EJ10</f>
        <v>-2358.375</v>
      </c>
      <c r="EM10" s="235">
        <f>EH10+EK10</f>
        <v>-129276.684</v>
      </c>
      <c r="EN10" s="222">
        <f>IF(AND(EL10&gt;0,EM10&gt;0),EM10/EL10,N($E10))</f>
        <v>54.816</v>
      </c>
      <c r="EO10" s="220">
        <f>IF($B10="",0,SUMIFS(出库明细!$E$4:$E$3003,出库明细!$D$4:$D$3003,$B10,出库明细!$B$4:$B$3003,"&gt;="&amp;DATE(年度,12,1),出库明细!$B$4:$B$3003,"&lt;"&amp;DATE(年度,12+1,1)))</f>
        <v>0</v>
      </c>
      <c r="EP10" s="186">
        <f>EO10*EN10</f>
        <v>0</v>
      </c>
      <c r="EQ10" s="220">
        <f>_辅助!BX8</f>
        <v>0</v>
      </c>
      <c r="ER10" s="186">
        <f>_辅助!AN8</f>
        <v>0</v>
      </c>
      <c r="ES10" s="221">
        <f>EL10-EO10-EQ10</f>
        <v>-2358.375</v>
      </c>
      <c r="ET10" s="187">
        <f>EM10-EP10-ER10</f>
        <v>-129276.684</v>
      </c>
      <c r="EU10" s="236">
        <f>IF(AND(EL10&gt;0,EM10&gt;0),0,EP10)</f>
        <v>0</v>
      </c>
    </row>
    <row r="11">
      <c r="A11" s="194">
        <f>IF(B11="","",ROW()-7)</f>
        <v>4</v>
      </c>
      <c r="B11" s="141" t="str">
        <f>IF(基础资料!E8="","",基础资料!E8&amp;"")</f>
        <v>1L补水</v>
      </c>
      <c r="C11" s="230" t="str">
        <f>IF(基础资料!G8="","",基础资料!G8&amp;"")</f>
        <v>东鹏1L补水</v>
      </c>
      <c r="D11" s="194">
        <f>IF(基础资料!I8="","",基础资料!I8)</f>
        <v>12</v>
      </c>
      <c r="E11" s="231">
        <f>IF(基础资料!J8="","",基础资料!J8)</f>
        <v>43.2696</v>
      </c>
      <c r="F11" s="232">
        <f>N(基础资料!L8)</f>
        <v>0</v>
      </c>
      <c r="G11" s="233">
        <f>IF(基础资料!N8="",0,基础资料!N8)</f>
        <v>0</v>
      </c>
      <c r="H11" s="220">
        <f>IF($B11="",0,SUMIFS(采购进货!$E$4:$E$1503,采购进货!$D$4:$D$1503,$B11,采购进货!$B$4:$B$1503,"&gt;="&amp;DATE(年度,1,1),采购进货!$B$4:$B$1503,"&lt;"&amp;DATE(年度,1+1,1))+SUMIFS(采购进货!$H$4:$H$1503,采购进货!$D$4:$D$1503,$B11,采购进货!$B$4:$B$1503,"&gt;="&amp;DATE(年度,1,1),采购进货!$B$4:$B$1503,"&lt;"&amp;DATE(年度,1+1,1)))</f>
        <v>0</v>
      </c>
      <c r="I11" s="186">
        <f>IF($B11="",0,SUMIFS(采购进货!$G$4:$G$1503,采购进货!$D$4:$D$1503,$B11,采购进货!$B$4:$B$1503,"&gt;="&amp;DATE(年度,1,1),采购进货!$B$4:$B$1503,"&lt;"&amp;DATE(年度,1+1,1)))</f>
        <v>0</v>
      </c>
      <c r="J11" s="234">
        <f>F11+H11</f>
        <v>0</v>
      </c>
      <c r="K11" s="235">
        <f>G11+I11</f>
        <v>0</v>
      </c>
      <c r="L11" s="222">
        <f>IF(AND(J11&gt;0,K11&gt;0),K11/J11,N($E11))</f>
        <v>43.2696</v>
      </c>
      <c r="M11" s="220">
        <f>IF($B11="",0,SUMIFS(出库明细!$E$4:$E$3003,出库明细!$D$4:$D$3003,$B11,出库明细!$B$4:$B$3003,"&gt;="&amp;DATE(年度,1,1),出库明细!$B$4:$B$3003,"&lt;"&amp;DATE(年度,1+1,1)))</f>
        <v>0</v>
      </c>
      <c r="N11" s="186">
        <f>M11*L11</f>
        <v>0</v>
      </c>
      <c r="O11" s="220">
        <f>_辅助!BM9</f>
        <v>0</v>
      </c>
      <c r="P11" s="186">
        <f>_辅助!AC9</f>
        <v>0</v>
      </c>
      <c r="Q11" s="221">
        <f>J11-M11-O11</f>
        <v>0</v>
      </c>
      <c r="R11" s="187">
        <f>K11-N11-P11</f>
        <v>0</v>
      </c>
      <c r="S11" s="236">
        <f>IF(AND(J11&gt;0,K11&gt;0),0,N11)</f>
        <v>0</v>
      </c>
      <c r="T11" s="220">
        <f>IF($B11="",0,SUMIFS(采购进货!$E$4:$E$1503,采购进货!$D$4:$D$1503,$B11,采购进货!$B$4:$B$1503,"&gt;="&amp;DATE(年度,2,1),采购进货!$B$4:$B$1503,"&lt;"&amp;DATE(年度,2+1,1))+SUMIFS(采购进货!$H$4:$H$1503,采购进货!$D$4:$D$1503,$B11,采购进货!$B$4:$B$1503,"&gt;="&amp;DATE(年度,2,1),采购进货!$B$4:$B$1503,"&lt;"&amp;DATE(年度,2+1,1)))</f>
        <v>0</v>
      </c>
      <c r="U11" s="186">
        <f>IF($B11="",0,SUMIFS(采购进货!$G$4:$G$1503,采购进货!$D$4:$D$1503,$B11,采购进货!$B$4:$B$1503,"&gt;="&amp;DATE(年度,2,1),采购进货!$B$4:$B$1503,"&lt;"&amp;DATE(年度,2+1,1)))</f>
        <v>0</v>
      </c>
      <c r="V11" s="234">
        <f>Q11+T11</f>
        <v>0</v>
      </c>
      <c r="W11" s="235">
        <f>R11+U11</f>
        <v>0</v>
      </c>
      <c r="X11" s="222">
        <f>IF(AND(V11&gt;0,W11&gt;0),W11/V11,N($E11))</f>
        <v>43.2696</v>
      </c>
      <c r="Y11" s="220">
        <f>IF($B11="",0,SUMIFS(出库明细!$E$4:$E$3003,出库明细!$D$4:$D$3003,$B11,出库明细!$B$4:$B$3003,"&gt;="&amp;DATE(年度,2,1),出库明细!$B$4:$B$3003,"&lt;"&amp;DATE(年度,2+1,1)))</f>
        <v>0</v>
      </c>
      <c r="Z11" s="186">
        <f>Y11*X11</f>
        <v>0</v>
      </c>
      <c r="AA11" s="220">
        <f>_辅助!BN9</f>
        <v>0</v>
      </c>
      <c r="AB11" s="186">
        <f>_辅助!AD9</f>
        <v>0</v>
      </c>
      <c r="AC11" s="221">
        <f>V11-Y11-AA11</f>
        <v>0</v>
      </c>
      <c r="AD11" s="187">
        <f>W11-Z11-AB11</f>
        <v>0</v>
      </c>
      <c r="AE11" s="236">
        <f>IF(AND(V11&gt;0,W11&gt;0),0,Z11)</f>
        <v>0</v>
      </c>
      <c r="AF11" s="220">
        <f>IF($B11="",0,SUMIFS(采购进货!$E$4:$E$1503,采购进货!$D$4:$D$1503,$B11,采购进货!$B$4:$B$1503,"&gt;="&amp;DATE(年度,3,1),采购进货!$B$4:$B$1503,"&lt;"&amp;DATE(年度,3+1,1))+SUMIFS(采购进货!$H$4:$H$1503,采购进货!$D$4:$D$1503,$B11,采购进货!$B$4:$B$1503,"&gt;="&amp;DATE(年度,3,1),采购进货!$B$4:$B$1503,"&lt;"&amp;DATE(年度,3+1,1)))</f>
        <v>0</v>
      </c>
      <c r="AG11" s="186">
        <f>IF($B11="",0,SUMIFS(采购进货!$G$4:$G$1503,采购进货!$D$4:$D$1503,$B11,采购进货!$B$4:$B$1503,"&gt;="&amp;DATE(年度,3,1),采购进货!$B$4:$B$1503,"&lt;"&amp;DATE(年度,3+1,1)))</f>
        <v>0</v>
      </c>
      <c r="AH11" s="234">
        <f>AC11+AF11</f>
        <v>0</v>
      </c>
      <c r="AI11" s="235">
        <f>AD11+AG11</f>
        <v>0</v>
      </c>
      <c r="AJ11" s="222">
        <f>IF(AND(AH11&gt;0,AI11&gt;0),AI11/AH11,N($E11))</f>
        <v>43.2696</v>
      </c>
      <c r="AK11" s="220">
        <f>IF($B11="",0,SUMIFS(出库明细!$E$4:$E$3003,出库明细!$D$4:$D$3003,$B11,出库明细!$B$4:$B$3003,"&gt;="&amp;DATE(年度,3,1),出库明细!$B$4:$B$3003,"&lt;"&amp;DATE(年度,3+1,1)))</f>
        <v>0</v>
      </c>
      <c r="AL11" s="186">
        <f>AK11*AJ11</f>
        <v>0</v>
      </c>
      <c r="AM11" s="220">
        <f>_辅助!BO9</f>
        <v>0</v>
      </c>
      <c r="AN11" s="186">
        <f>_辅助!AE9</f>
        <v>0</v>
      </c>
      <c r="AO11" s="221">
        <f>AH11-AK11-AM11</f>
        <v>0</v>
      </c>
      <c r="AP11" s="187">
        <f>AI11-AL11-AN11</f>
        <v>0</v>
      </c>
      <c r="AQ11" s="236">
        <f>IF(AND(AH11&gt;0,AI11&gt;0),0,AL11)</f>
        <v>0</v>
      </c>
      <c r="AR11" s="220">
        <f>IF($B11="",0,SUMIFS(采购进货!$E$4:$E$1503,采购进货!$D$4:$D$1503,$B11,采购进货!$B$4:$B$1503,"&gt;="&amp;DATE(年度,4,1),采购进货!$B$4:$B$1503,"&lt;"&amp;DATE(年度,4+1,1))+SUMIFS(采购进货!$H$4:$H$1503,采购进货!$D$4:$D$1503,$B11,采购进货!$B$4:$B$1503,"&gt;="&amp;DATE(年度,4,1),采购进货!$B$4:$B$1503,"&lt;"&amp;DATE(年度,4+1,1)))</f>
        <v>0</v>
      </c>
      <c r="AS11" s="186">
        <f>IF($B11="",0,SUMIFS(采购进货!$G$4:$G$1503,采购进货!$D$4:$D$1503,$B11,采购进货!$B$4:$B$1503,"&gt;="&amp;DATE(年度,4,1),采购进货!$B$4:$B$1503,"&lt;"&amp;DATE(年度,4+1,1)))</f>
        <v>0</v>
      </c>
      <c r="AT11" s="234">
        <f>AO11+AR11</f>
        <v>0</v>
      </c>
      <c r="AU11" s="235">
        <f>AP11+AS11</f>
        <v>0</v>
      </c>
      <c r="AV11" s="222">
        <f>IF(AND(AT11&gt;0,AU11&gt;0),AU11/AT11,N($E11))</f>
        <v>43.2696</v>
      </c>
      <c r="AW11" s="220">
        <f>IF($B11="",0,SUMIFS(出库明细!$E$4:$E$3003,出库明细!$D$4:$D$3003,$B11,出库明细!$B$4:$B$3003,"&gt;="&amp;DATE(年度,4,1),出库明细!$B$4:$B$3003,"&lt;"&amp;DATE(年度,4+1,1)))</f>
        <v>0</v>
      </c>
      <c r="AX11" s="186">
        <f>AW11*AV11</f>
        <v>0</v>
      </c>
      <c r="AY11" s="220">
        <f>_辅助!BP9</f>
        <v>0</v>
      </c>
      <c r="AZ11" s="186">
        <f>_辅助!AF9</f>
        <v>0</v>
      </c>
      <c r="BA11" s="221">
        <f>AT11-AW11-AY11</f>
        <v>0</v>
      </c>
      <c r="BB11" s="187">
        <f>AU11-AX11-AZ11</f>
        <v>0</v>
      </c>
      <c r="BC11" s="236">
        <f>IF(AND(AT11&gt;0,AU11&gt;0),0,AX11)</f>
        <v>0</v>
      </c>
      <c r="BD11" s="220">
        <f>IF($B11="",0,SUMIFS(采购进货!$E$4:$E$1503,采购进货!$D$4:$D$1503,$B11,采购进货!$B$4:$B$1503,"&gt;="&amp;DATE(年度,5,1),采购进货!$B$4:$B$1503,"&lt;"&amp;DATE(年度,5+1,1))+SUMIFS(采购进货!$H$4:$H$1503,采购进货!$D$4:$D$1503,$B11,采购进货!$B$4:$B$1503,"&gt;="&amp;DATE(年度,5,1),采购进货!$B$4:$B$1503,"&lt;"&amp;DATE(年度,5+1,1)))</f>
        <v>0</v>
      </c>
      <c r="BE11" s="186">
        <f>IF($B11="",0,SUMIFS(采购进货!$G$4:$G$1503,采购进货!$D$4:$D$1503,$B11,采购进货!$B$4:$B$1503,"&gt;="&amp;DATE(年度,5,1),采购进货!$B$4:$B$1503,"&lt;"&amp;DATE(年度,5+1,1)))</f>
        <v>0</v>
      </c>
      <c r="BF11" s="234">
        <f>BA11+BD11</f>
        <v>0</v>
      </c>
      <c r="BG11" s="235">
        <f>BB11+BE11</f>
        <v>0</v>
      </c>
      <c r="BH11" s="222">
        <f>IF(AND(BF11&gt;0,BG11&gt;0),BG11/BF11,N($E11))</f>
        <v>43.2696</v>
      </c>
      <c r="BI11" s="220">
        <f>IF($B11="",0,SUMIFS(出库明细!$E$4:$E$3003,出库明细!$D$4:$D$3003,$B11,出库明细!$B$4:$B$3003,"&gt;="&amp;DATE(年度,5,1),出库明细!$B$4:$B$3003,"&lt;"&amp;DATE(年度,5+1,1)))</f>
        <v>0</v>
      </c>
      <c r="BJ11" s="186">
        <f>BI11*BH11</f>
        <v>0</v>
      </c>
      <c r="BK11" s="220">
        <f>_辅助!BQ9</f>
        <v>0</v>
      </c>
      <c r="BL11" s="186">
        <f>_辅助!AG9</f>
        <v>0</v>
      </c>
      <c r="BM11" s="221">
        <f>BF11-BI11-BK11</f>
        <v>0</v>
      </c>
      <c r="BN11" s="187">
        <f>BG11-BJ11-BL11</f>
        <v>0</v>
      </c>
      <c r="BO11" s="236">
        <f>IF(AND(BF11&gt;0,BG11&gt;0),0,BJ11)</f>
        <v>0</v>
      </c>
      <c r="BP11" s="220">
        <f>IF($B11="",0,SUMIFS(采购进货!$E$4:$E$1503,采购进货!$D$4:$D$1503,$B11,采购进货!$B$4:$B$1503,"&gt;="&amp;DATE(年度,6,1),采购进货!$B$4:$B$1503,"&lt;"&amp;DATE(年度,6+1,1))+SUMIFS(采购进货!$H$4:$H$1503,采购进货!$D$4:$D$1503,$B11,采购进货!$B$4:$B$1503,"&gt;="&amp;DATE(年度,6,1),采购进货!$B$4:$B$1503,"&lt;"&amp;DATE(年度,6+1,1)))</f>
        <v>0</v>
      </c>
      <c r="BQ11" s="186">
        <f>IF($B11="",0,SUMIFS(采购进货!$G$4:$G$1503,采购进货!$D$4:$D$1503,$B11,采购进货!$B$4:$B$1503,"&gt;="&amp;DATE(年度,6,1),采购进货!$B$4:$B$1503,"&lt;"&amp;DATE(年度,6+1,1)))</f>
        <v>0</v>
      </c>
      <c r="BR11" s="234">
        <f>BM11+BP11</f>
        <v>0</v>
      </c>
      <c r="BS11" s="235">
        <f>BN11+BQ11</f>
        <v>0</v>
      </c>
      <c r="BT11" s="222">
        <f>IF(AND(BR11&gt;0,BS11&gt;0),BS11/BR11,N($E11))</f>
        <v>43.2696</v>
      </c>
      <c r="BU11" s="220">
        <f>IF($B11="",0,SUMIFS(出库明细!$E$4:$E$3003,出库明细!$D$4:$D$3003,$B11,出库明细!$B$4:$B$3003,"&gt;="&amp;DATE(年度,6,1),出库明细!$B$4:$B$3003,"&lt;"&amp;DATE(年度,6+1,1)))</f>
        <v>15</v>
      </c>
      <c r="BV11" s="186">
        <f>BU11*BT11</f>
        <v>649.044</v>
      </c>
      <c r="BW11" s="220">
        <f>_辅助!BR9</f>
        <v>0</v>
      </c>
      <c r="BX11" s="186">
        <f>_辅助!AH9</f>
        <v>0</v>
      </c>
      <c r="BY11" s="221">
        <f>BR11-BU11-BW11</f>
        <v>-15</v>
      </c>
      <c r="BZ11" s="187">
        <f>BS11-BV11-BX11</f>
        <v>-649.044</v>
      </c>
      <c r="CA11" s="236">
        <f>IF(AND(BR11&gt;0,BS11&gt;0),0,BV11)</f>
        <v>649.044</v>
      </c>
      <c r="CB11" s="220">
        <f>IF($B11="",0,SUMIFS(采购进货!$E$4:$E$1503,采购进货!$D$4:$D$1503,$B11,采购进货!$B$4:$B$1503,"&gt;="&amp;DATE(年度,7,1),采购进货!$B$4:$B$1503,"&lt;"&amp;DATE(年度,7+1,1))+SUMIFS(采购进货!$H$4:$H$1503,采购进货!$D$4:$D$1503,$B11,采购进货!$B$4:$B$1503,"&gt;="&amp;DATE(年度,7,1),采购进货!$B$4:$B$1503,"&lt;"&amp;DATE(年度,7+1,1)))</f>
        <v>0</v>
      </c>
      <c r="CC11" s="186">
        <f>IF($B11="",0,SUMIFS(采购进货!$G$4:$G$1503,采购进货!$D$4:$D$1503,$B11,采购进货!$B$4:$B$1503,"&gt;="&amp;DATE(年度,7,1),采购进货!$B$4:$B$1503,"&lt;"&amp;DATE(年度,7+1,1)))</f>
        <v>0</v>
      </c>
      <c r="CD11" s="234">
        <f>BY11+CB11</f>
        <v>-15</v>
      </c>
      <c r="CE11" s="235">
        <f>BZ11+CC11</f>
        <v>-649.044</v>
      </c>
      <c r="CF11" s="222">
        <f>IF(AND(CD11&gt;0,CE11&gt;0),CE11/CD11,N($E11))</f>
        <v>43.2696</v>
      </c>
      <c r="CG11" s="220">
        <f>IF($B11="",0,SUMIFS(出库明细!$E$4:$E$3003,出库明细!$D$4:$D$3003,$B11,出库明细!$B$4:$B$3003,"&gt;="&amp;DATE(年度,7,1),出库明细!$B$4:$B$3003,"&lt;"&amp;DATE(年度,7+1,1)))</f>
        <v>596</v>
      </c>
      <c r="CH11" s="186">
        <f>CG11*CF11</f>
        <v>25788.6816</v>
      </c>
      <c r="CI11" s="220">
        <f>_辅助!BS9</f>
        <v>0</v>
      </c>
      <c r="CJ11" s="186">
        <f>_辅助!AI9</f>
        <v>0</v>
      </c>
      <c r="CK11" s="221">
        <f>CD11-CG11-CI11</f>
        <v>-611</v>
      </c>
      <c r="CL11" s="187">
        <f>CE11-CH11-CJ11</f>
        <v>-26437.7256</v>
      </c>
      <c r="CM11" s="236">
        <f>IF(AND(CD11&gt;0,CE11&gt;0),0,CH11)</f>
        <v>25788.6816</v>
      </c>
      <c r="CN11" s="220">
        <f>IF($B11="",0,SUMIFS(采购进货!$E$4:$E$1503,采购进货!$D$4:$D$1503,$B11,采购进货!$B$4:$B$1503,"&gt;="&amp;DATE(年度,8,1),采购进货!$B$4:$B$1503,"&lt;"&amp;DATE(年度,8+1,1))+SUMIFS(采购进货!$H$4:$H$1503,采购进货!$D$4:$D$1503,$B11,采购进货!$B$4:$B$1503,"&gt;="&amp;DATE(年度,8,1),采购进货!$B$4:$B$1503,"&lt;"&amp;DATE(年度,8+1,1)))</f>
        <v>0</v>
      </c>
      <c r="CO11" s="186">
        <f>IF($B11="",0,SUMIFS(采购进货!$G$4:$G$1503,采购进货!$D$4:$D$1503,$B11,采购进货!$B$4:$B$1503,"&gt;="&amp;DATE(年度,8,1),采购进货!$B$4:$B$1503,"&lt;"&amp;DATE(年度,8+1,1)))</f>
        <v>0</v>
      </c>
      <c r="CP11" s="234">
        <f>CK11+CN11</f>
        <v>-611</v>
      </c>
      <c r="CQ11" s="235">
        <f>CL11+CO11</f>
        <v>-26437.7256</v>
      </c>
      <c r="CR11" s="222">
        <f>IF(AND(CP11&gt;0,CQ11&gt;0),CQ11/CP11,N($E11))</f>
        <v>43.2696</v>
      </c>
      <c r="CS11" s="220">
        <f>IF($B11="",0,SUMIFS(出库明细!$E$4:$E$3003,出库明细!$D$4:$D$3003,$B11,出库明细!$B$4:$B$3003,"&gt;="&amp;DATE(年度,8,1),出库明细!$B$4:$B$3003,"&lt;"&amp;DATE(年度,8+1,1)))</f>
        <v>917.5</v>
      </c>
      <c r="CT11" s="186">
        <f>CS11*CR11</f>
        <v>39699.858</v>
      </c>
      <c r="CU11" s="220">
        <f>_辅助!BT9</f>
        <v>0.333333333333333</v>
      </c>
      <c r="CV11" s="186">
        <f>_辅助!AJ9</f>
        <v>14.4232</v>
      </c>
      <c r="CW11" s="221">
        <f>CP11-CS11-CU11</f>
        <v>-1528.83333333333</v>
      </c>
      <c r="CX11" s="187">
        <f>CQ11-CT11-CV11</f>
        <v>-66152.0068</v>
      </c>
      <c r="CY11" s="236">
        <f>IF(AND(CP11&gt;0,CQ11&gt;0),0,CT11)</f>
        <v>39699.858</v>
      </c>
      <c r="CZ11" s="220">
        <f>IF($B11="",0,SUMIFS(采购进货!$E$4:$E$1503,采购进货!$D$4:$D$1503,$B11,采购进货!$B$4:$B$1503,"&gt;="&amp;DATE(年度,9,1),采购进货!$B$4:$B$1503,"&lt;"&amp;DATE(年度,9+1,1))+SUMIFS(采购进货!$H$4:$H$1503,采购进货!$D$4:$D$1503,$B11,采购进货!$B$4:$B$1503,"&gt;="&amp;DATE(年度,9,1),采购进货!$B$4:$B$1503,"&lt;"&amp;DATE(年度,9+1,1)))</f>
        <v>0</v>
      </c>
      <c r="DA11" s="186">
        <f>IF($B11="",0,SUMIFS(采购进货!$G$4:$G$1503,采购进货!$D$4:$D$1503,$B11,采购进货!$B$4:$B$1503,"&gt;="&amp;DATE(年度,9,1),采购进货!$B$4:$B$1503,"&lt;"&amp;DATE(年度,9+1,1)))</f>
        <v>0</v>
      </c>
      <c r="DB11" s="234">
        <f>CW11+CZ11</f>
        <v>-1528.83333333333</v>
      </c>
      <c r="DC11" s="235">
        <f>CX11+DA11</f>
        <v>-66152.0068</v>
      </c>
      <c r="DD11" s="222">
        <f>IF(AND(DB11&gt;0,DC11&gt;0),DC11/DB11,N($E11))</f>
        <v>43.2696</v>
      </c>
      <c r="DE11" s="220">
        <f>IF($B11="",0,SUMIFS(出库明细!$E$4:$E$3003,出库明细!$D$4:$D$3003,$B11,出库明细!$B$4:$B$3003,"&gt;="&amp;DATE(年度,9,1),出库明细!$B$4:$B$3003,"&lt;"&amp;DATE(年度,9+1,1)))</f>
        <v>140.5</v>
      </c>
      <c r="DF11" s="186">
        <f>DE11*DD11</f>
        <v>6079.3788</v>
      </c>
      <c r="DG11" s="220">
        <f>_辅助!BU9</f>
        <v>0</v>
      </c>
      <c r="DH11" s="186">
        <f>_辅助!AK9</f>
        <v>0</v>
      </c>
      <c r="DI11" s="221">
        <f>DB11-DE11-DG11</f>
        <v>-1669.33333333333</v>
      </c>
      <c r="DJ11" s="187">
        <f>DC11-DF11-DH11</f>
        <v>-72231.3856</v>
      </c>
      <c r="DK11" s="236">
        <f>IF(AND(DB11&gt;0,DC11&gt;0),0,DF11)</f>
        <v>6079.3788</v>
      </c>
      <c r="DL11" s="220">
        <f>IF($B11="",0,SUMIFS(采购进货!$E$4:$E$1503,采购进货!$D$4:$D$1503,$B11,采购进货!$B$4:$B$1503,"&gt;="&amp;DATE(年度,10,1),采购进货!$B$4:$B$1503,"&lt;"&amp;DATE(年度,10+1,1))+SUMIFS(采购进货!$H$4:$H$1503,采购进货!$D$4:$D$1503,$B11,采购进货!$B$4:$B$1503,"&gt;="&amp;DATE(年度,10,1),采购进货!$B$4:$B$1503,"&lt;"&amp;DATE(年度,10+1,1)))</f>
        <v>0</v>
      </c>
      <c r="DM11" s="186">
        <f>IF($B11="",0,SUMIFS(采购进货!$G$4:$G$1503,采购进货!$D$4:$D$1503,$B11,采购进货!$B$4:$B$1503,"&gt;="&amp;DATE(年度,10,1),采购进货!$B$4:$B$1503,"&lt;"&amp;DATE(年度,10+1,1)))</f>
        <v>0</v>
      </c>
      <c r="DN11" s="234">
        <f>DI11+DL11</f>
        <v>-1669.33333333333</v>
      </c>
      <c r="DO11" s="235">
        <f>DJ11+DM11</f>
        <v>-72231.3856</v>
      </c>
      <c r="DP11" s="222">
        <f>IF(AND(DN11&gt;0,DO11&gt;0),DO11/DN11,N($E11))</f>
        <v>43.2696</v>
      </c>
      <c r="DQ11" s="220">
        <f>IF($B11="",0,SUMIFS(出库明细!$E$4:$E$3003,出库明细!$D$4:$D$3003,$B11,出库明细!$B$4:$B$3003,"&gt;="&amp;DATE(年度,10,1),出库明细!$B$4:$B$3003,"&lt;"&amp;DATE(年度,10+1,1)))</f>
        <v>0</v>
      </c>
      <c r="DR11" s="186">
        <f>DQ11*DP11</f>
        <v>0</v>
      </c>
      <c r="DS11" s="220">
        <f>_辅助!BV9</f>
        <v>0</v>
      </c>
      <c r="DT11" s="186">
        <f>_辅助!AL9</f>
        <v>0</v>
      </c>
      <c r="DU11" s="221">
        <f>DN11-DQ11-DS11</f>
        <v>-1669.33333333333</v>
      </c>
      <c r="DV11" s="187">
        <f>DO11-DR11-DT11</f>
        <v>-72231.3856</v>
      </c>
      <c r="DW11" s="236">
        <f>IF(AND(DN11&gt;0,DO11&gt;0),0,DR11)</f>
        <v>0</v>
      </c>
      <c r="DX11" s="220">
        <f>IF($B11="",0,SUMIFS(采购进货!$E$4:$E$1503,采购进货!$D$4:$D$1503,$B11,采购进货!$B$4:$B$1503,"&gt;="&amp;DATE(年度,11,1),采购进货!$B$4:$B$1503,"&lt;"&amp;DATE(年度,11+1,1))+SUMIFS(采购进货!$H$4:$H$1503,采购进货!$D$4:$D$1503,$B11,采购进货!$B$4:$B$1503,"&gt;="&amp;DATE(年度,11,1),采购进货!$B$4:$B$1503,"&lt;"&amp;DATE(年度,11+1,1)))</f>
        <v>0</v>
      </c>
      <c r="DY11" s="186">
        <f>IF($B11="",0,SUMIFS(采购进货!$G$4:$G$1503,采购进货!$D$4:$D$1503,$B11,采购进货!$B$4:$B$1503,"&gt;="&amp;DATE(年度,11,1),采购进货!$B$4:$B$1503,"&lt;"&amp;DATE(年度,11+1,1)))</f>
        <v>0</v>
      </c>
      <c r="DZ11" s="234">
        <f>DU11+DX11</f>
        <v>-1669.33333333333</v>
      </c>
      <c r="EA11" s="235">
        <f>DV11+DY11</f>
        <v>-72231.3856</v>
      </c>
      <c r="EB11" s="222">
        <f>IF(AND(DZ11&gt;0,EA11&gt;0),EA11/DZ11,N($E11))</f>
        <v>43.2696</v>
      </c>
      <c r="EC11" s="220">
        <f>IF($B11="",0,SUMIFS(出库明细!$E$4:$E$3003,出库明细!$D$4:$D$3003,$B11,出库明细!$B$4:$B$3003,"&gt;="&amp;DATE(年度,11,1),出库明细!$B$4:$B$3003,"&lt;"&amp;DATE(年度,11+1,1)))</f>
        <v>0</v>
      </c>
      <c r="ED11" s="186">
        <f>EC11*EB11</f>
        <v>0</v>
      </c>
      <c r="EE11" s="220">
        <f>_辅助!BW9</f>
        <v>0</v>
      </c>
      <c r="EF11" s="186">
        <f>_辅助!AM9</f>
        <v>0</v>
      </c>
      <c r="EG11" s="221">
        <f>DZ11-EC11-EE11</f>
        <v>-1669.33333333333</v>
      </c>
      <c r="EH11" s="187">
        <f>EA11-ED11-EF11</f>
        <v>-72231.3856</v>
      </c>
      <c r="EI11" s="236">
        <f>IF(AND(DZ11&gt;0,EA11&gt;0),0,ED11)</f>
        <v>0</v>
      </c>
      <c r="EJ11" s="220">
        <f>IF($B11="",0,SUMIFS(采购进货!$E$4:$E$1503,采购进货!$D$4:$D$1503,$B11,采购进货!$B$4:$B$1503,"&gt;="&amp;DATE(年度,12,1),采购进货!$B$4:$B$1503,"&lt;"&amp;DATE(年度,12+1,1))+SUMIFS(采购进货!$H$4:$H$1503,采购进货!$D$4:$D$1503,$B11,采购进货!$B$4:$B$1503,"&gt;="&amp;DATE(年度,12,1),采购进货!$B$4:$B$1503,"&lt;"&amp;DATE(年度,12+1,1)))</f>
        <v>0</v>
      </c>
      <c r="EK11" s="186">
        <f>IF($B11="",0,SUMIFS(采购进货!$G$4:$G$1503,采购进货!$D$4:$D$1503,$B11,采购进货!$B$4:$B$1503,"&gt;="&amp;DATE(年度,12,1),采购进货!$B$4:$B$1503,"&lt;"&amp;DATE(年度,12+1,1)))</f>
        <v>0</v>
      </c>
      <c r="EL11" s="234">
        <f>EG11+EJ11</f>
        <v>-1669.33333333333</v>
      </c>
      <c r="EM11" s="235">
        <f>EH11+EK11</f>
        <v>-72231.3856</v>
      </c>
      <c r="EN11" s="222">
        <f>IF(AND(EL11&gt;0,EM11&gt;0),EM11/EL11,N($E11))</f>
        <v>43.2696</v>
      </c>
      <c r="EO11" s="220">
        <f>IF($B11="",0,SUMIFS(出库明细!$E$4:$E$3003,出库明细!$D$4:$D$3003,$B11,出库明细!$B$4:$B$3003,"&gt;="&amp;DATE(年度,12,1),出库明细!$B$4:$B$3003,"&lt;"&amp;DATE(年度,12+1,1)))</f>
        <v>0</v>
      </c>
      <c r="EP11" s="186">
        <f>EO11*EN11</f>
        <v>0</v>
      </c>
      <c r="EQ11" s="220">
        <f>_辅助!BX9</f>
        <v>0</v>
      </c>
      <c r="ER11" s="186">
        <f>_辅助!AN9</f>
        <v>0</v>
      </c>
      <c r="ES11" s="221">
        <f>EL11-EO11-EQ11</f>
        <v>-1669.33333333333</v>
      </c>
      <c r="ET11" s="187">
        <f>EM11-EP11-ER11</f>
        <v>-72231.3856</v>
      </c>
      <c r="EU11" s="236">
        <f>IF(AND(EL11&gt;0,EM11&gt;0),0,EP11)</f>
        <v>0</v>
      </c>
    </row>
    <row r="12">
      <c r="A12" s="194">
        <f>IF(B12="","",ROW()-7)</f>
        <v>5</v>
      </c>
      <c r="B12" s="141" t="str">
        <f>IF(基础资料!E9="","",基础资料!E9&amp;"")</f>
        <v>小果之茶</v>
      </c>
      <c r="C12" s="230" t="str">
        <f>IF(基础资料!G9="","",基础资料!G9&amp;"")</f>
        <v>东鹏小果茶</v>
      </c>
      <c r="D12" s="194">
        <f>IF(基础资料!I9="","",基础资料!I9)</f>
        <v>24</v>
      </c>
      <c r="E12" s="231">
        <f>IF(基础资料!J9="","",基础资料!J9)</f>
      </c>
      <c r="F12" s="232">
        <f>N(基础资料!L9)</f>
        <v>0</v>
      </c>
      <c r="G12" s="233">
        <f>IF(基础资料!N9="",0,基础资料!N9)</f>
        <v>0</v>
      </c>
      <c r="H12" s="220">
        <f>IF($B12="",0,SUMIFS(采购进货!$E$4:$E$1503,采购进货!$D$4:$D$1503,$B12,采购进货!$B$4:$B$1503,"&gt;="&amp;DATE(年度,1,1),采购进货!$B$4:$B$1503,"&lt;"&amp;DATE(年度,1+1,1))+SUMIFS(采购进货!$H$4:$H$1503,采购进货!$D$4:$D$1503,$B12,采购进货!$B$4:$B$1503,"&gt;="&amp;DATE(年度,1,1),采购进货!$B$4:$B$1503,"&lt;"&amp;DATE(年度,1+1,1)))</f>
        <v>0</v>
      </c>
      <c r="I12" s="186">
        <f>IF($B12="",0,SUMIFS(采购进货!$G$4:$G$1503,采购进货!$D$4:$D$1503,$B12,采购进货!$B$4:$B$1503,"&gt;="&amp;DATE(年度,1,1),采购进货!$B$4:$B$1503,"&lt;"&amp;DATE(年度,1+1,1)))</f>
        <v>0</v>
      </c>
      <c r="J12" s="234">
        <f>F12+H12</f>
        <v>0</v>
      </c>
      <c r="K12" s="235">
        <f>G12+I12</f>
        <v>0</v>
      </c>
      <c r="L12" s="222">
        <f>IF(AND(J12&gt;0,K12&gt;0),K12/J12,N($E12))</f>
        <v>0</v>
      </c>
      <c r="M12" s="220">
        <f>IF($B12="",0,SUMIFS(出库明细!$E$4:$E$3003,出库明细!$D$4:$D$3003,$B12,出库明细!$B$4:$B$3003,"&gt;="&amp;DATE(年度,1,1),出库明细!$B$4:$B$3003,"&lt;"&amp;DATE(年度,1+1,1)))</f>
        <v>0</v>
      </c>
      <c r="N12" s="186">
        <f>M12*L12</f>
        <v>0</v>
      </c>
      <c r="O12" s="220">
        <f>_辅助!BM10</f>
        <v>0</v>
      </c>
      <c r="P12" s="186">
        <f>_辅助!AC10</f>
        <v>0</v>
      </c>
      <c r="Q12" s="221">
        <f>J12-M12-O12</f>
        <v>0</v>
      </c>
      <c r="R12" s="187">
        <f>K12-N12-P12</f>
        <v>0</v>
      </c>
      <c r="S12" s="236">
        <f>IF(AND(J12&gt;0,K12&gt;0),0,N12)</f>
        <v>0</v>
      </c>
      <c r="T12" s="220">
        <f>IF($B12="",0,SUMIFS(采购进货!$E$4:$E$1503,采购进货!$D$4:$D$1503,$B12,采购进货!$B$4:$B$1503,"&gt;="&amp;DATE(年度,2,1),采购进货!$B$4:$B$1503,"&lt;"&amp;DATE(年度,2+1,1))+SUMIFS(采购进货!$H$4:$H$1503,采购进货!$D$4:$D$1503,$B12,采购进货!$B$4:$B$1503,"&gt;="&amp;DATE(年度,2,1),采购进货!$B$4:$B$1503,"&lt;"&amp;DATE(年度,2+1,1)))</f>
        <v>0</v>
      </c>
      <c r="U12" s="186">
        <f>IF($B12="",0,SUMIFS(采购进货!$G$4:$G$1503,采购进货!$D$4:$D$1503,$B12,采购进货!$B$4:$B$1503,"&gt;="&amp;DATE(年度,2,1),采购进货!$B$4:$B$1503,"&lt;"&amp;DATE(年度,2+1,1)))</f>
        <v>0</v>
      </c>
      <c r="V12" s="234">
        <f>Q12+T12</f>
        <v>0</v>
      </c>
      <c r="W12" s="235">
        <f>R12+U12</f>
        <v>0</v>
      </c>
      <c r="X12" s="222">
        <f>IF(AND(V12&gt;0,W12&gt;0),W12/V12,N($E12))</f>
        <v>0</v>
      </c>
      <c r="Y12" s="220">
        <f>IF($B12="",0,SUMIFS(出库明细!$E$4:$E$3003,出库明细!$D$4:$D$3003,$B12,出库明细!$B$4:$B$3003,"&gt;="&amp;DATE(年度,2,1),出库明细!$B$4:$B$3003,"&lt;"&amp;DATE(年度,2+1,1)))</f>
        <v>0</v>
      </c>
      <c r="Z12" s="186">
        <f>Y12*X12</f>
        <v>0</v>
      </c>
      <c r="AA12" s="220">
        <f>_辅助!BN10</f>
        <v>0</v>
      </c>
      <c r="AB12" s="186">
        <f>_辅助!AD10</f>
        <v>0</v>
      </c>
      <c r="AC12" s="221">
        <f>V12-Y12-AA12</f>
        <v>0</v>
      </c>
      <c r="AD12" s="187">
        <f>W12-Z12-AB12</f>
        <v>0</v>
      </c>
      <c r="AE12" s="236">
        <f>IF(AND(V12&gt;0,W12&gt;0),0,Z12)</f>
        <v>0</v>
      </c>
      <c r="AF12" s="220">
        <f>IF($B12="",0,SUMIFS(采购进货!$E$4:$E$1503,采购进货!$D$4:$D$1503,$B12,采购进货!$B$4:$B$1503,"&gt;="&amp;DATE(年度,3,1),采购进货!$B$4:$B$1503,"&lt;"&amp;DATE(年度,3+1,1))+SUMIFS(采购进货!$H$4:$H$1503,采购进货!$D$4:$D$1503,$B12,采购进货!$B$4:$B$1503,"&gt;="&amp;DATE(年度,3,1),采购进货!$B$4:$B$1503,"&lt;"&amp;DATE(年度,3+1,1)))</f>
        <v>0</v>
      </c>
      <c r="AG12" s="186">
        <f>IF($B12="",0,SUMIFS(采购进货!$G$4:$G$1503,采购进货!$D$4:$D$1503,$B12,采购进货!$B$4:$B$1503,"&gt;="&amp;DATE(年度,3,1),采购进货!$B$4:$B$1503,"&lt;"&amp;DATE(年度,3+1,1)))</f>
        <v>0</v>
      </c>
      <c r="AH12" s="234">
        <f>AC12+AF12</f>
        <v>0</v>
      </c>
      <c r="AI12" s="235">
        <f>AD12+AG12</f>
        <v>0</v>
      </c>
      <c r="AJ12" s="222">
        <f>IF(AND(AH12&gt;0,AI12&gt;0),AI12/AH12,N($E12))</f>
        <v>0</v>
      </c>
      <c r="AK12" s="220">
        <f>IF($B12="",0,SUMIFS(出库明细!$E$4:$E$3003,出库明细!$D$4:$D$3003,$B12,出库明细!$B$4:$B$3003,"&gt;="&amp;DATE(年度,3,1),出库明细!$B$4:$B$3003,"&lt;"&amp;DATE(年度,3+1,1)))</f>
        <v>0</v>
      </c>
      <c r="AL12" s="186">
        <f>AK12*AJ12</f>
        <v>0</v>
      </c>
      <c r="AM12" s="220">
        <f>_辅助!BO10</f>
        <v>0</v>
      </c>
      <c r="AN12" s="186">
        <f>_辅助!AE10</f>
        <v>0</v>
      </c>
      <c r="AO12" s="221">
        <f>AH12-AK12-AM12</f>
        <v>0</v>
      </c>
      <c r="AP12" s="187">
        <f>AI12-AL12-AN12</f>
        <v>0</v>
      </c>
      <c r="AQ12" s="236">
        <f>IF(AND(AH12&gt;0,AI12&gt;0),0,AL12)</f>
        <v>0</v>
      </c>
      <c r="AR12" s="220">
        <f>IF($B12="",0,SUMIFS(采购进货!$E$4:$E$1503,采购进货!$D$4:$D$1503,$B12,采购进货!$B$4:$B$1503,"&gt;="&amp;DATE(年度,4,1),采购进货!$B$4:$B$1503,"&lt;"&amp;DATE(年度,4+1,1))+SUMIFS(采购进货!$H$4:$H$1503,采购进货!$D$4:$D$1503,$B12,采购进货!$B$4:$B$1503,"&gt;="&amp;DATE(年度,4,1),采购进货!$B$4:$B$1503,"&lt;"&amp;DATE(年度,4+1,1)))</f>
        <v>0</v>
      </c>
      <c r="AS12" s="186">
        <f>IF($B12="",0,SUMIFS(采购进货!$G$4:$G$1503,采购进货!$D$4:$D$1503,$B12,采购进货!$B$4:$B$1503,"&gt;="&amp;DATE(年度,4,1),采购进货!$B$4:$B$1503,"&lt;"&amp;DATE(年度,4+1,1)))</f>
        <v>0</v>
      </c>
      <c r="AT12" s="234">
        <f>AO12+AR12</f>
        <v>0</v>
      </c>
      <c r="AU12" s="235">
        <f>AP12+AS12</f>
        <v>0</v>
      </c>
      <c r="AV12" s="222">
        <f>IF(AND(AT12&gt;0,AU12&gt;0),AU12/AT12,N($E12))</f>
        <v>0</v>
      </c>
      <c r="AW12" s="220">
        <f>IF($B12="",0,SUMIFS(出库明细!$E$4:$E$3003,出库明细!$D$4:$D$3003,$B12,出库明细!$B$4:$B$3003,"&gt;="&amp;DATE(年度,4,1),出库明细!$B$4:$B$3003,"&lt;"&amp;DATE(年度,4+1,1)))</f>
        <v>0</v>
      </c>
      <c r="AX12" s="186">
        <f>AW12*AV12</f>
        <v>0</v>
      </c>
      <c r="AY12" s="220">
        <f>_辅助!BP10</f>
        <v>0</v>
      </c>
      <c r="AZ12" s="186">
        <f>_辅助!AF10</f>
        <v>0</v>
      </c>
      <c r="BA12" s="221">
        <f>AT12-AW12-AY12</f>
        <v>0</v>
      </c>
      <c r="BB12" s="187">
        <f>AU12-AX12-AZ12</f>
        <v>0</v>
      </c>
      <c r="BC12" s="236">
        <f>IF(AND(AT12&gt;0,AU12&gt;0),0,AX12)</f>
        <v>0</v>
      </c>
      <c r="BD12" s="220">
        <f>IF($B12="",0,SUMIFS(采购进货!$E$4:$E$1503,采购进货!$D$4:$D$1503,$B12,采购进货!$B$4:$B$1503,"&gt;="&amp;DATE(年度,5,1),采购进货!$B$4:$B$1503,"&lt;"&amp;DATE(年度,5+1,1))+SUMIFS(采购进货!$H$4:$H$1503,采购进货!$D$4:$D$1503,$B12,采购进货!$B$4:$B$1503,"&gt;="&amp;DATE(年度,5,1),采购进货!$B$4:$B$1503,"&lt;"&amp;DATE(年度,5+1,1)))</f>
        <v>0</v>
      </c>
      <c r="BE12" s="186">
        <f>IF($B12="",0,SUMIFS(采购进货!$G$4:$G$1503,采购进货!$D$4:$D$1503,$B12,采购进货!$B$4:$B$1503,"&gt;="&amp;DATE(年度,5,1),采购进货!$B$4:$B$1503,"&lt;"&amp;DATE(年度,5+1,1)))</f>
        <v>0</v>
      </c>
      <c r="BF12" s="234">
        <f>BA12+BD12</f>
        <v>0</v>
      </c>
      <c r="BG12" s="235">
        <f>BB12+BE12</f>
        <v>0</v>
      </c>
      <c r="BH12" s="222">
        <f>IF(AND(BF12&gt;0,BG12&gt;0),BG12/BF12,N($E12))</f>
        <v>0</v>
      </c>
      <c r="BI12" s="220">
        <f>IF($B12="",0,SUMIFS(出库明细!$E$4:$E$3003,出库明细!$D$4:$D$3003,$B12,出库明细!$B$4:$B$3003,"&gt;="&amp;DATE(年度,5,1),出库明细!$B$4:$B$3003,"&lt;"&amp;DATE(年度,5+1,1)))</f>
        <v>52</v>
      </c>
      <c r="BJ12" s="186">
        <f>BI12*BH12</f>
        <v>0</v>
      </c>
      <c r="BK12" s="220">
        <f>_辅助!BQ10</f>
        <v>0</v>
      </c>
      <c r="BL12" s="186">
        <f>_辅助!AG10</f>
        <v>0</v>
      </c>
      <c r="BM12" s="221">
        <f>BF12-BI12-BK12</f>
        <v>-52</v>
      </c>
      <c r="BN12" s="187">
        <f>BG12-BJ12-BL12</f>
        <v>0</v>
      </c>
      <c r="BO12" s="236">
        <f>IF(AND(BF12&gt;0,BG12&gt;0),0,BJ12)</f>
        <v>0</v>
      </c>
      <c r="BP12" s="220">
        <f>IF($B12="",0,SUMIFS(采购进货!$E$4:$E$1503,采购进货!$D$4:$D$1503,$B12,采购进货!$B$4:$B$1503,"&gt;="&amp;DATE(年度,6,1),采购进货!$B$4:$B$1503,"&lt;"&amp;DATE(年度,6+1,1))+SUMIFS(采购进货!$H$4:$H$1503,采购进货!$D$4:$D$1503,$B12,采购进货!$B$4:$B$1503,"&gt;="&amp;DATE(年度,6,1),采购进货!$B$4:$B$1503,"&lt;"&amp;DATE(年度,6+1,1)))</f>
        <v>0</v>
      </c>
      <c r="BQ12" s="186">
        <f>IF($B12="",0,SUMIFS(采购进货!$G$4:$G$1503,采购进货!$D$4:$D$1503,$B12,采购进货!$B$4:$B$1503,"&gt;="&amp;DATE(年度,6,1),采购进货!$B$4:$B$1503,"&lt;"&amp;DATE(年度,6+1,1)))</f>
        <v>0</v>
      </c>
      <c r="BR12" s="234">
        <f>BM12+BP12</f>
        <v>-52</v>
      </c>
      <c r="BS12" s="235">
        <f>BN12+BQ12</f>
        <v>0</v>
      </c>
      <c r="BT12" s="222">
        <f>IF(AND(BR12&gt;0,BS12&gt;0),BS12/BR12,N($E12))</f>
        <v>0</v>
      </c>
      <c r="BU12" s="220">
        <f>IF($B12="",0,SUMIFS(出库明细!$E$4:$E$3003,出库明细!$D$4:$D$3003,$B12,出库明细!$B$4:$B$3003,"&gt;="&amp;DATE(年度,6,1),出库明细!$B$4:$B$3003,"&lt;"&amp;DATE(年度,6+1,1)))</f>
        <v>238</v>
      </c>
      <c r="BV12" s="186">
        <f>BU12*BT12</f>
        <v>0</v>
      </c>
      <c r="BW12" s="220">
        <f>_辅助!BR10</f>
        <v>0</v>
      </c>
      <c r="BX12" s="186">
        <f>_辅助!AH10</f>
        <v>0</v>
      </c>
      <c r="BY12" s="221">
        <f>BR12-BU12-BW12</f>
        <v>-290</v>
      </c>
      <c r="BZ12" s="187">
        <f>BS12-BV12-BX12</f>
        <v>0</v>
      </c>
      <c r="CA12" s="236">
        <f>IF(AND(BR12&gt;0,BS12&gt;0),0,BV12)</f>
        <v>0</v>
      </c>
      <c r="CB12" s="220">
        <f>IF($B12="",0,SUMIFS(采购进货!$E$4:$E$1503,采购进货!$D$4:$D$1503,$B12,采购进货!$B$4:$B$1503,"&gt;="&amp;DATE(年度,7,1),采购进货!$B$4:$B$1503,"&lt;"&amp;DATE(年度,7+1,1))+SUMIFS(采购进货!$H$4:$H$1503,采购进货!$D$4:$D$1503,$B12,采购进货!$B$4:$B$1503,"&gt;="&amp;DATE(年度,7,1),采购进货!$B$4:$B$1503,"&lt;"&amp;DATE(年度,7+1,1)))</f>
        <v>0</v>
      </c>
      <c r="CC12" s="186">
        <f>IF($B12="",0,SUMIFS(采购进货!$G$4:$G$1503,采购进货!$D$4:$D$1503,$B12,采购进货!$B$4:$B$1503,"&gt;="&amp;DATE(年度,7,1),采购进货!$B$4:$B$1503,"&lt;"&amp;DATE(年度,7+1,1)))</f>
        <v>0</v>
      </c>
      <c r="CD12" s="234">
        <f>BY12+CB12</f>
        <v>-290</v>
      </c>
      <c r="CE12" s="235">
        <f>BZ12+CC12</f>
        <v>0</v>
      </c>
      <c r="CF12" s="222">
        <f>IF(AND(CD12&gt;0,CE12&gt;0),CE12/CD12,N($E12))</f>
        <v>0</v>
      </c>
      <c r="CG12" s="220">
        <f>IF($B12="",0,SUMIFS(出库明细!$E$4:$E$3003,出库明细!$D$4:$D$3003,$B12,出库明细!$B$4:$B$3003,"&gt;="&amp;DATE(年度,7,1),出库明细!$B$4:$B$3003,"&lt;"&amp;DATE(年度,7+1,1)))</f>
        <v>1192.5</v>
      </c>
      <c r="CH12" s="186">
        <f>CG12*CF12</f>
        <v>0</v>
      </c>
      <c r="CI12" s="220">
        <f>_辅助!BS10</f>
        <v>0</v>
      </c>
      <c r="CJ12" s="186">
        <f>_辅助!AI10</f>
        <v>0</v>
      </c>
      <c r="CK12" s="221">
        <f>CD12-CG12-CI12</f>
        <v>-1482.5</v>
      </c>
      <c r="CL12" s="187">
        <f>CE12-CH12-CJ12</f>
        <v>0</v>
      </c>
      <c r="CM12" s="236">
        <f>IF(AND(CD12&gt;0,CE12&gt;0),0,CH12)</f>
        <v>0</v>
      </c>
      <c r="CN12" s="220">
        <f>IF($B12="",0,SUMIFS(采购进货!$E$4:$E$1503,采购进货!$D$4:$D$1503,$B12,采购进货!$B$4:$B$1503,"&gt;="&amp;DATE(年度,8,1),采购进货!$B$4:$B$1503,"&lt;"&amp;DATE(年度,8+1,1))+SUMIFS(采购进货!$H$4:$H$1503,采购进货!$D$4:$D$1503,$B12,采购进货!$B$4:$B$1503,"&gt;="&amp;DATE(年度,8,1),采购进货!$B$4:$B$1503,"&lt;"&amp;DATE(年度,8+1,1)))</f>
        <v>0</v>
      </c>
      <c r="CO12" s="186">
        <f>IF($B12="",0,SUMIFS(采购进货!$G$4:$G$1503,采购进货!$D$4:$D$1503,$B12,采购进货!$B$4:$B$1503,"&gt;="&amp;DATE(年度,8,1),采购进货!$B$4:$B$1503,"&lt;"&amp;DATE(年度,8+1,1)))</f>
        <v>0</v>
      </c>
      <c r="CP12" s="234">
        <f>CK12+CN12</f>
        <v>-1482.5</v>
      </c>
      <c r="CQ12" s="235">
        <f>CL12+CO12</f>
        <v>0</v>
      </c>
      <c r="CR12" s="222">
        <f>IF(AND(CP12&gt;0,CQ12&gt;0),CQ12/CP12,N($E12))</f>
        <v>0</v>
      </c>
      <c r="CS12" s="220">
        <f>IF($B12="",0,SUMIFS(出库明细!$E$4:$E$3003,出库明细!$D$4:$D$3003,$B12,出库明细!$B$4:$B$3003,"&gt;="&amp;DATE(年度,8,1),出库明细!$B$4:$B$3003,"&lt;"&amp;DATE(年度,8+1,1)))</f>
        <v>1531.5</v>
      </c>
      <c r="CT12" s="186">
        <f>CS12*CR12</f>
        <v>0</v>
      </c>
      <c r="CU12" s="220">
        <f>_辅助!BT10</f>
        <v>0</v>
      </c>
      <c r="CV12" s="186">
        <f>_辅助!AJ10</f>
        <v>0</v>
      </c>
      <c r="CW12" s="221">
        <f>CP12-CS12-CU12</f>
        <v>-3014</v>
      </c>
      <c r="CX12" s="187">
        <f>CQ12-CT12-CV12</f>
        <v>0</v>
      </c>
      <c r="CY12" s="236">
        <f>IF(AND(CP12&gt;0,CQ12&gt;0),0,CT12)</f>
        <v>0</v>
      </c>
      <c r="CZ12" s="220">
        <f>IF($B12="",0,SUMIFS(采购进货!$E$4:$E$1503,采购进货!$D$4:$D$1503,$B12,采购进货!$B$4:$B$1503,"&gt;="&amp;DATE(年度,9,1),采购进货!$B$4:$B$1503,"&lt;"&amp;DATE(年度,9+1,1))+SUMIFS(采购进货!$H$4:$H$1503,采购进货!$D$4:$D$1503,$B12,采购进货!$B$4:$B$1503,"&gt;="&amp;DATE(年度,9,1),采购进货!$B$4:$B$1503,"&lt;"&amp;DATE(年度,9+1,1)))</f>
        <v>0</v>
      </c>
      <c r="DA12" s="186">
        <f>IF($B12="",0,SUMIFS(采购进货!$G$4:$G$1503,采购进货!$D$4:$D$1503,$B12,采购进货!$B$4:$B$1503,"&gt;="&amp;DATE(年度,9,1),采购进货!$B$4:$B$1503,"&lt;"&amp;DATE(年度,9+1,1)))</f>
        <v>0</v>
      </c>
      <c r="DB12" s="234">
        <f>CW12+CZ12</f>
        <v>-3014</v>
      </c>
      <c r="DC12" s="235">
        <f>CX12+DA12</f>
        <v>0</v>
      </c>
      <c r="DD12" s="222">
        <f>IF(AND(DB12&gt;0,DC12&gt;0),DC12/DB12,N($E12))</f>
        <v>0</v>
      </c>
      <c r="DE12" s="220">
        <f>IF($B12="",0,SUMIFS(出库明细!$E$4:$E$3003,出库明细!$D$4:$D$3003,$B12,出库明细!$B$4:$B$3003,"&gt;="&amp;DATE(年度,9,1),出库明细!$B$4:$B$3003,"&lt;"&amp;DATE(年度,9+1,1)))</f>
        <v>2638</v>
      </c>
      <c r="DF12" s="186">
        <f>DE12*DD12</f>
        <v>0</v>
      </c>
      <c r="DG12" s="220">
        <f>_辅助!BU10</f>
        <v>0</v>
      </c>
      <c r="DH12" s="186">
        <f>_辅助!AK10</f>
        <v>0</v>
      </c>
      <c r="DI12" s="221">
        <f>DB12-DE12-DG12</f>
        <v>-5652</v>
      </c>
      <c r="DJ12" s="187">
        <f>DC12-DF12-DH12</f>
        <v>0</v>
      </c>
      <c r="DK12" s="236">
        <f>IF(AND(DB12&gt;0,DC12&gt;0),0,DF12)</f>
        <v>0</v>
      </c>
      <c r="DL12" s="220">
        <f>IF($B12="",0,SUMIFS(采购进货!$E$4:$E$1503,采购进货!$D$4:$D$1503,$B12,采购进货!$B$4:$B$1503,"&gt;="&amp;DATE(年度,10,1),采购进货!$B$4:$B$1503,"&lt;"&amp;DATE(年度,10+1,1))+SUMIFS(采购进货!$H$4:$H$1503,采购进货!$D$4:$D$1503,$B12,采购进货!$B$4:$B$1503,"&gt;="&amp;DATE(年度,10,1),采购进货!$B$4:$B$1503,"&lt;"&amp;DATE(年度,10+1,1)))</f>
        <v>0</v>
      </c>
      <c r="DM12" s="186">
        <f>IF($B12="",0,SUMIFS(采购进货!$G$4:$G$1503,采购进货!$D$4:$D$1503,$B12,采购进货!$B$4:$B$1503,"&gt;="&amp;DATE(年度,10,1),采购进货!$B$4:$B$1503,"&lt;"&amp;DATE(年度,10+1,1)))</f>
        <v>0</v>
      </c>
      <c r="DN12" s="234">
        <f>DI12+DL12</f>
        <v>-5652</v>
      </c>
      <c r="DO12" s="235">
        <f>DJ12+DM12</f>
        <v>0</v>
      </c>
      <c r="DP12" s="222">
        <f>IF(AND(DN12&gt;0,DO12&gt;0),DO12/DN12,N($E12))</f>
        <v>0</v>
      </c>
      <c r="DQ12" s="220">
        <f>IF($B12="",0,SUMIFS(出库明细!$E$4:$E$3003,出库明细!$D$4:$D$3003,$B12,出库明细!$B$4:$B$3003,"&gt;="&amp;DATE(年度,10,1),出库明细!$B$4:$B$3003,"&lt;"&amp;DATE(年度,10+1,1)))</f>
        <v>0</v>
      </c>
      <c r="DR12" s="186">
        <f>DQ12*DP12</f>
        <v>0</v>
      </c>
      <c r="DS12" s="220">
        <f>_辅助!BV10</f>
        <v>0</v>
      </c>
      <c r="DT12" s="186">
        <f>_辅助!AL10</f>
        <v>0</v>
      </c>
      <c r="DU12" s="221">
        <f>DN12-DQ12-DS12</f>
        <v>-5652</v>
      </c>
      <c r="DV12" s="187">
        <f>DO12-DR12-DT12</f>
        <v>0</v>
      </c>
      <c r="DW12" s="236">
        <f>IF(AND(DN12&gt;0,DO12&gt;0),0,DR12)</f>
        <v>0</v>
      </c>
      <c r="DX12" s="220">
        <f>IF($B12="",0,SUMIFS(采购进货!$E$4:$E$1503,采购进货!$D$4:$D$1503,$B12,采购进货!$B$4:$B$1503,"&gt;="&amp;DATE(年度,11,1),采购进货!$B$4:$B$1503,"&lt;"&amp;DATE(年度,11+1,1))+SUMIFS(采购进货!$H$4:$H$1503,采购进货!$D$4:$D$1503,$B12,采购进货!$B$4:$B$1503,"&gt;="&amp;DATE(年度,11,1),采购进货!$B$4:$B$1503,"&lt;"&amp;DATE(年度,11+1,1)))</f>
        <v>0</v>
      </c>
      <c r="DY12" s="186">
        <f>IF($B12="",0,SUMIFS(采购进货!$G$4:$G$1503,采购进货!$D$4:$D$1503,$B12,采购进货!$B$4:$B$1503,"&gt;="&amp;DATE(年度,11,1),采购进货!$B$4:$B$1503,"&lt;"&amp;DATE(年度,11+1,1)))</f>
        <v>0</v>
      </c>
      <c r="DZ12" s="234">
        <f>DU12+DX12</f>
        <v>-5652</v>
      </c>
      <c r="EA12" s="235">
        <f>DV12+DY12</f>
        <v>0</v>
      </c>
      <c r="EB12" s="222">
        <f>IF(AND(DZ12&gt;0,EA12&gt;0),EA12/DZ12,N($E12))</f>
        <v>0</v>
      </c>
      <c r="EC12" s="220">
        <f>IF($B12="",0,SUMIFS(出库明细!$E$4:$E$3003,出库明细!$D$4:$D$3003,$B12,出库明细!$B$4:$B$3003,"&gt;="&amp;DATE(年度,11,1),出库明细!$B$4:$B$3003,"&lt;"&amp;DATE(年度,11+1,1)))</f>
        <v>0</v>
      </c>
      <c r="ED12" s="186">
        <f>EC12*EB12</f>
        <v>0</v>
      </c>
      <c r="EE12" s="220">
        <f>_辅助!BW10</f>
        <v>0</v>
      </c>
      <c r="EF12" s="186">
        <f>_辅助!AM10</f>
        <v>0</v>
      </c>
      <c r="EG12" s="221">
        <f>DZ12-EC12-EE12</f>
        <v>-5652</v>
      </c>
      <c r="EH12" s="187">
        <f>EA12-ED12-EF12</f>
        <v>0</v>
      </c>
      <c r="EI12" s="236">
        <f>IF(AND(DZ12&gt;0,EA12&gt;0),0,ED12)</f>
        <v>0</v>
      </c>
      <c r="EJ12" s="220">
        <f>IF($B12="",0,SUMIFS(采购进货!$E$4:$E$1503,采购进货!$D$4:$D$1503,$B12,采购进货!$B$4:$B$1503,"&gt;="&amp;DATE(年度,12,1),采购进货!$B$4:$B$1503,"&lt;"&amp;DATE(年度,12+1,1))+SUMIFS(采购进货!$H$4:$H$1503,采购进货!$D$4:$D$1503,$B12,采购进货!$B$4:$B$1503,"&gt;="&amp;DATE(年度,12,1),采购进货!$B$4:$B$1503,"&lt;"&amp;DATE(年度,12+1,1)))</f>
        <v>0</v>
      </c>
      <c r="EK12" s="186">
        <f>IF($B12="",0,SUMIFS(采购进货!$G$4:$G$1503,采购进货!$D$4:$D$1503,$B12,采购进货!$B$4:$B$1503,"&gt;="&amp;DATE(年度,12,1),采购进货!$B$4:$B$1503,"&lt;"&amp;DATE(年度,12+1,1)))</f>
        <v>0</v>
      </c>
      <c r="EL12" s="234">
        <f>EG12+EJ12</f>
        <v>-5652</v>
      </c>
      <c r="EM12" s="235">
        <f>EH12+EK12</f>
        <v>0</v>
      </c>
      <c r="EN12" s="222">
        <f>IF(AND(EL12&gt;0,EM12&gt;0),EM12/EL12,N($E12))</f>
        <v>0</v>
      </c>
      <c r="EO12" s="220">
        <f>IF($B12="",0,SUMIFS(出库明细!$E$4:$E$3003,出库明细!$D$4:$D$3003,$B12,出库明细!$B$4:$B$3003,"&gt;="&amp;DATE(年度,12,1),出库明细!$B$4:$B$3003,"&lt;"&amp;DATE(年度,12+1,1)))</f>
        <v>0</v>
      </c>
      <c r="EP12" s="186">
        <f>EO12*EN12</f>
        <v>0</v>
      </c>
      <c r="EQ12" s="220">
        <f>_辅助!BX10</f>
        <v>0</v>
      </c>
      <c r="ER12" s="186">
        <f>_辅助!AN10</f>
        <v>0</v>
      </c>
      <c r="ES12" s="221">
        <f>EL12-EO12-EQ12</f>
        <v>-5652</v>
      </c>
      <c r="ET12" s="187">
        <f>EM12-EP12-ER12</f>
        <v>0</v>
      </c>
      <c r="EU12" s="236">
        <f>IF(AND(EL12&gt;0,EM12&gt;0),0,EP12)</f>
        <v>0</v>
      </c>
    </row>
    <row r="13">
      <c r="A13" s="194">
        <f>IF(B13="","",ROW()-7)</f>
        <v>6</v>
      </c>
      <c r="B13" s="141" t="str">
        <f>IF(基础资料!E10="","",基础资料!E10&amp;"")</f>
        <v>1L果之茶</v>
      </c>
      <c r="C13" s="230" t="str">
        <f>IF(基础资料!G10="","",基础资料!G10&amp;"")</f>
        <v>东鹏1L果之茶</v>
      </c>
      <c r="D13" s="194">
        <f>IF(基础资料!I10="","",基础资料!I10)</f>
        <v>12</v>
      </c>
      <c r="E13" s="231">
        <f>IF(基础资料!J10="","",基础资料!J10)</f>
      </c>
      <c r="F13" s="232">
        <f>N(基础资料!L10)</f>
        <v>0</v>
      </c>
      <c r="G13" s="233">
        <f>IF(基础资料!N10="",0,基础资料!N10)</f>
        <v>0</v>
      </c>
      <c r="H13" s="220">
        <f>IF($B13="",0,SUMIFS(采购进货!$E$4:$E$1503,采购进货!$D$4:$D$1503,$B13,采购进货!$B$4:$B$1503,"&gt;="&amp;DATE(年度,1,1),采购进货!$B$4:$B$1503,"&lt;"&amp;DATE(年度,1+1,1))+SUMIFS(采购进货!$H$4:$H$1503,采购进货!$D$4:$D$1503,$B13,采购进货!$B$4:$B$1503,"&gt;="&amp;DATE(年度,1,1),采购进货!$B$4:$B$1503,"&lt;"&amp;DATE(年度,1+1,1)))</f>
        <v>0</v>
      </c>
      <c r="I13" s="186">
        <f>IF($B13="",0,SUMIFS(采购进货!$G$4:$G$1503,采购进货!$D$4:$D$1503,$B13,采购进货!$B$4:$B$1503,"&gt;="&amp;DATE(年度,1,1),采购进货!$B$4:$B$1503,"&lt;"&amp;DATE(年度,1+1,1)))</f>
        <v>0</v>
      </c>
      <c r="J13" s="234">
        <f>F13+H13</f>
        <v>0</v>
      </c>
      <c r="K13" s="235">
        <f>G13+I13</f>
        <v>0</v>
      </c>
      <c r="L13" s="222">
        <f>IF(AND(J13&gt;0,K13&gt;0),K13/J13,N($E13))</f>
        <v>0</v>
      </c>
      <c r="M13" s="220">
        <f>IF($B13="",0,SUMIFS(出库明细!$E$4:$E$3003,出库明细!$D$4:$D$3003,$B13,出库明细!$B$4:$B$3003,"&gt;="&amp;DATE(年度,1,1),出库明细!$B$4:$B$3003,"&lt;"&amp;DATE(年度,1+1,1)))</f>
        <v>0</v>
      </c>
      <c r="N13" s="186">
        <f>M13*L13</f>
        <v>0</v>
      </c>
      <c r="O13" s="220">
        <f>_辅助!BM11</f>
        <v>0</v>
      </c>
      <c r="P13" s="186">
        <f>_辅助!AC11</f>
        <v>0</v>
      </c>
      <c r="Q13" s="221">
        <f>J13-M13-O13</f>
        <v>0</v>
      </c>
      <c r="R13" s="187">
        <f>K13-N13-P13</f>
        <v>0</v>
      </c>
      <c r="S13" s="236">
        <f>IF(AND(J13&gt;0,K13&gt;0),0,N13)</f>
        <v>0</v>
      </c>
      <c r="T13" s="220">
        <f>IF($B13="",0,SUMIFS(采购进货!$E$4:$E$1503,采购进货!$D$4:$D$1503,$B13,采购进货!$B$4:$B$1503,"&gt;="&amp;DATE(年度,2,1),采购进货!$B$4:$B$1503,"&lt;"&amp;DATE(年度,2+1,1))+SUMIFS(采购进货!$H$4:$H$1503,采购进货!$D$4:$D$1503,$B13,采购进货!$B$4:$B$1503,"&gt;="&amp;DATE(年度,2,1),采购进货!$B$4:$B$1503,"&lt;"&amp;DATE(年度,2+1,1)))</f>
        <v>0</v>
      </c>
      <c r="U13" s="186">
        <f>IF($B13="",0,SUMIFS(采购进货!$G$4:$G$1503,采购进货!$D$4:$D$1503,$B13,采购进货!$B$4:$B$1503,"&gt;="&amp;DATE(年度,2,1),采购进货!$B$4:$B$1503,"&lt;"&amp;DATE(年度,2+1,1)))</f>
        <v>0</v>
      </c>
      <c r="V13" s="234">
        <f>Q13+T13</f>
        <v>0</v>
      </c>
      <c r="W13" s="235">
        <f>R13+U13</f>
        <v>0</v>
      </c>
      <c r="X13" s="222">
        <f>IF(AND(V13&gt;0,W13&gt;0),W13/V13,N($E13))</f>
        <v>0</v>
      </c>
      <c r="Y13" s="220">
        <f>IF($B13="",0,SUMIFS(出库明细!$E$4:$E$3003,出库明细!$D$4:$D$3003,$B13,出库明细!$B$4:$B$3003,"&gt;="&amp;DATE(年度,2,1),出库明细!$B$4:$B$3003,"&lt;"&amp;DATE(年度,2+1,1)))</f>
        <v>0</v>
      </c>
      <c r="Z13" s="186">
        <f>Y13*X13</f>
        <v>0</v>
      </c>
      <c r="AA13" s="220">
        <f>_辅助!BN11</f>
        <v>0</v>
      </c>
      <c r="AB13" s="186">
        <f>_辅助!AD11</f>
        <v>0</v>
      </c>
      <c r="AC13" s="221">
        <f>V13-Y13-AA13</f>
        <v>0</v>
      </c>
      <c r="AD13" s="187">
        <f>W13-Z13-AB13</f>
        <v>0</v>
      </c>
      <c r="AE13" s="236">
        <f>IF(AND(V13&gt;0,W13&gt;0),0,Z13)</f>
        <v>0</v>
      </c>
      <c r="AF13" s="220">
        <f>IF($B13="",0,SUMIFS(采购进货!$E$4:$E$1503,采购进货!$D$4:$D$1503,$B13,采购进货!$B$4:$B$1503,"&gt;="&amp;DATE(年度,3,1),采购进货!$B$4:$B$1503,"&lt;"&amp;DATE(年度,3+1,1))+SUMIFS(采购进货!$H$4:$H$1503,采购进货!$D$4:$D$1503,$B13,采购进货!$B$4:$B$1503,"&gt;="&amp;DATE(年度,3,1),采购进货!$B$4:$B$1503,"&lt;"&amp;DATE(年度,3+1,1)))</f>
        <v>0</v>
      </c>
      <c r="AG13" s="186">
        <f>IF($B13="",0,SUMIFS(采购进货!$G$4:$G$1503,采购进货!$D$4:$D$1503,$B13,采购进货!$B$4:$B$1503,"&gt;="&amp;DATE(年度,3,1),采购进货!$B$4:$B$1503,"&lt;"&amp;DATE(年度,3+1,1)))</f>
        <v>0</v>
      </c>
      <c r="AH13" s="234">
        <f>AC13+AF13</f>
        <v>0</v>
      </c>
      <c r="AI13" s="235">
        <f>AD13+AG13</f>
        <v>0</v>
      </c>
      <c r="AJ13" s="222">
        <f>IF(AND(AH13&gt;0,AI13&gt;0),AI13/AH13,N($E13))</f>
        <v>0</v>
      </c>
      <c r="AK13" s="220">
        <f>IF($B13="",0,SUMIFS(出库明细!$E$4:$E$3003,出库明细!$D$4:$D$3003,$B13,出库明细!$B$4:$B$3003,"&gt;="&amp;DATE(年度,3,1),出库明细!$B$4:$B$3003,"&lt;"&amp;DATE(年度,3+1,1)))</f>
        <v>0</v>
      </c>
      <c r="AL13" s="186">
        <f>AK13*AJ13</f>
        <v>0</v>
      </c>
      <c r="AM13" s="220">
        <f>_辅助!BO11</f>
        <v>0</v>
      </c>
      <c r="AN13" s="186">
        <f>_辅助!AE11</f>
        <v>0</v>
      </c>
      <c r="AO13" s="221">
        <f>AH13-AK13-AM13</f>
        <v>0</v>
      </c>
      <c r="AP13" s="187">
        <f>AI13-AL13-AN13</f>
        <v>0</v>
      </c>
      <c r="AQ13" s="236">
        <f>IF(AND(AH13&gt;0,AI13&gt;0),0,AL13)</f>
        <v>0</v>
      </c>
      <c r="AR13" s="220">
        <f>IF($B13="",0,SUMIFS(采购进货!$E$4:$E$1503,采购进货!$D$4:$D$1503,$B13,采购进货!$B$4:$B$1503,"&gt;="&amp;DATE(年度,4,1),采购进货!$B$4:$B$1503,"&lt;"&amp;DATE(年度,4+1,1))+SUMIFS(采购进货!$H$4:$H$1503,采购进货!$D$4:$D$1503,$B13,采购进货!$B$4:$B$1503,"&gt;="&amp;DATE(年度,4,1),采购进货!$B$4:$B$1503,"&lt;"&amp;DATE(年度,4+1,1)))</f>
        <v>0</v>
      </c>
      <c r="AS13" s="186">
        <f>IF($B13="",0,SUMIFS(采购进货!$G$4:$G$1503,采购进货!$D$4:$D$1503,$B13,采购进货!$B$4:$B$1503,"&gt;="&amp;DATE(年度,4,1),采购进货!$B$4:$B$1503,"&lt;"&amp;DATE(年度,4+1,1)))</f>
        <v>0</v>
      </c>
      <c r="AT13" s="234">
        <f>AO13+AR13</f>
        <v>0</v>
      </c>
      <c r="AU13" s="235">
        <f>AP13+AS13</f>
        <v>0</v>
      </c>
      <c r="AV13" s="222">
        <f>IF(AND(AT13&gt;0,AU13&gt;0),AU13/AT13,N($E13))</f>
        <v>0</v>
      </c>
      <c r="AW13" s="220">
        <f>IF($B13="",0,SUMIFS(出库明细!$E$4:$E$3003,出库明细!$D$4:$D$3003,$B13,出库明细!$B$4:$B$3003,"&gt;="&amp;DATE(年度,4,1),出库明细!$B$4:$B$3003,"&lt;"&amp;DATE(年度,4+1,1)))</f>
        <v>0</v>
      </c>
      <c r="AX13" s="186">
        <f>AW13*AV13</f>
        <v>0</v>
      </c>
      <c r="AY13" s="220">
        <f>_辅助!BP11</f>
        <v>0</v>
      </c>
      <c r="AZ13" s="186">
        <f>_辅助!AF11</f>
        <v>0</v>
      </c>
      <c r="BA13" s="221">
        <f>AT13-AW13-AY13</f>
        <v>0</v>
      </c>
      <c r="BB13" s="187">
        <f>AU13-AX13-AZ13</f>
        <v>0</v>
      </c>
      <c r="BC13" s="236">
        <f>IF(AND(AT13&gt;0,AU13&gt;0),0,AX13)</f>
        <v>0</v>
      </c>
      <c r="BD13" s="220">
        <f>IF($B13="",0,SUMIFS(采购进货!$E$4:$E$1503,采购进货!$D$4:$D$1503,$B13,采购进货!$B$4:$B$1503,"&gt;="&amp;DATE(年度,5,1),采购进货!$B$4:$B$1503,"&lt;"&amp;DATE(年度,5+1,1))+SUMIFS(采购进货!$H$4:$H$1503,采购进货!$D$4:$D$1503,$B13,采购进货!$B$4:$B$1503,"&gt;="&amp;DATE(年度,5,1),采购进货!$B$4:$B$1503,"&lt;"&amp;DATE(年度,5+1,1)))</f>
        <v>0</v>
      </c>
      <c r="BE13" s="186">
        <f>IF($B13="",0,SUMIFS(采购进货!$G$4:$G$1503,采购进货!$D$4:$D$1503,$B13,采购进货!$B$4:$B$1503,"&gt;="&amp;DATE(年度,5,1),采购进货!$B$4:$B$1503,"&lt;"&amp;DATE(年度,5+1,1)))</f>
        <v>0</v>
      </c>
      <c r="BF13" s="234">
        <f>BA13+BD13</f>
        <v>0</v>
      </c>
      <c r="BG13" s="235">
        <f>BB13+BE13</f>
        <v>0</v>
      </c>
      <c r="BH13" s="222">
        <f>IF(AND(BF13&gt;0,BG13&gt;0),BG13/BF13,N($E13))</f>
        <v>0</v>
      </c>
      <c r="BI13" s="220">
        <f>IF($B13="",0,SUMIFS(出库明细!$E$4:$E$3003,出库明细!$D$4:$D$3003,$B13,出库明细!$B$4:$B$3003,"&gt;="&amp;DATE(年度,5,1),出库明细!$B$4:$B$3003,"&lt;"&amp;DATE(年度,5+1,1)))</f>
        <v>0</v>
      </c>
      <c r="BJ13" s="186">
        <f>BI13*BH13</f>
        <v>0</v>
      </c>
      <c r="BK13" s="220">
        <f>_辅助!BQ11</f>
        <v>0</v>
      </c>
      <c r="BL13" s="186">
        <f>_辅助!AG11</f>
        <v>0</v>
      </c>
      <c r="BM13" s="221">
        <f>BF13-BI13-BK13</f>
        <v>0</v>
      </c>
      <c r="BN13" s="187">
        <f>BG13-BJ13-BL13</f>
        <v>0</v>
      </c>
      <c r="BO13" s="236">
        <f>IF(AND(BF13&gt;0,BG13&gt;0),0,BJ13)</f>
        <v>0</v>
      </c>
      <c r="BP13" s="220">
        <f>IF($B13="",0,SUMIFS(采购进货!$E$4:$E$1503,采购进货!$D$4:$D$1503,$B13,采购进货!$B$4:$B$1503,"&gt;="&amp;DATE(年度,6,1),采购进货!$B$4:$B$1503,"&lt;"&amp;DATE(年度,6+1,1))+SUMIFS(采购进货!$H$4:$H$1503,采购进货!$D$4:$D$1503,$B13,采购进货!$B$4:$B$1503,"&gt;="&amp;DATE(年度,6,1),采购进货!$B$4:$B$1503,"&lt;"&amp;DATE(年度,6+1,1)))</f>
        <v>0</v>
      </c>
      <c r="BQ13" s="186">
        <f>IF($B13="",0,SUMIFS(采购进货!$G$4:$G$1503,采购进货!$D$4:$D$1503,$B13,采购进货!$B$4:$B$1503,"&gt;="&amp;DATE(年度,6,1),采购进货!$B$4:$B$1503,"&lt;"&amp;DATE(年度,6+1,1)))</f>
        <v>0</v>
      </c>
      <c r="BR13" s="234">
        <f>BM13+BP13</f>
        <v>0</v>
      </c>
      <c r="BS13" s="235">
        <f>BN13+BQ13</f>
        <v>0</v>
      </c>
      <c r="BT13" s="222">
        <f>IF(AND(BR13&gt;0,BS13&gt;0),BS13/BR13,N($E13))</f>
        <v>0</v>
      </c>
      <c r="BU13" s="220">
        <f>IF($B13="",0,SUMIFS(出库明细!$E$4:$E$3003,出库明细!$D$4:$D$3003,$B13,出库明细!$B$4:$B$3003,"&gt;="&amp;DATE(年度,6,1),出库明细!$B$4:$B$3003,"&lt;"&amp;DATE(年度,6+1,1)))</f>
        <v>47.5</v>
      </c>
      <c r="BV13" s="186">
        <f>BU13*BT13</f>
        <v>0</v>
      </c>
      <c r="BW13" s="220">
        <f>_辅助!BR11</f>
        <v>0</v>
      </c>
      <c r="BX13" s="186">
        <f>_辅助!AH11</f>
        <v>0</v>
      </c>
      <c r="BY13" s="221">
        <f>BR13-BU13-BW13</f>
        <v>-47.5</v>
      </c>
      <c r="BZ13" s="187">
        <f>BS13-BV13-BX13</f>
        <v>0</v>
      </c>
      <c r="CA13" s="236">
        <f>IF(AND(BR13&gt;0,BS13&gt;0),0,BV13)</f>
        <v>0</v>
      </c>
      <c r="CB13" s="220">
        <f>IF($B13="",0,SUMIFS(采购进货!$E$4:$E$1503,采购进货!$D$4:$D$1503,$B13,采购进货!$B$4:$B$1503,"&gt;="&amp;DATE(年度,7,1),采购进货!$B$4:$B$1503,"&lt;"&amp;DATE(年度,7+1,1))+SUMIFS(采购进货!$H$4:$H$1503,采购进货!$D$4:$D$1503,$B13,采购进货!$B$4:$B$1503,"&gt;="&amp;DATE(年度,7,1),采购进货!$B$4:$B$1503,"&lt;"&amp;DATE(年度,7+1,1)))</f>
        <v>0</v>
      </c>
      <c r="CC13" s="186">
        <f>IF($B13="",0,SUMIFS(采购进货!$G$4:$G$1503,采购进货!$D$4:$D$1503,$B13,采购进货!$B$4:$B$1503,"&gt;="&amp;DATE(年度,7,1),采购进货!$B$4:$B$1503,"&lt;"&amp;DATE(年度,7+1,1)))</f>
        <v>0</v>
      </c>
      <c r="CD13" s="234">
        <f>BY13+CB13</f>
        <v>-47.5</v>
      </c>
      <c r="CE13" s="235">
        <f>BZ13+CC13</f>
        <v>0</v>
      </c>
      <c r="CF13" s="222">
        <f>IF(AND(CD13&gt;0,CE13&gt;0),CE13/CD13,N($E13))</f>
        <v>0</v>
      </c>
      <c r="CG13" s="220">
        <f>IF($B13="",0,SUMIFS(出库明细!$E$4:$E$3003,出库明细!$D$4:$D$3003,$B13,出库明细!$B$4:$B$3003,"&gt;="&amp;DATE(年度,7,1),出库明细!$B$4:$B$3003,"&lt;"&amp;DATE(年度,7+1,1)))</f>
        <v>501.5</v>
      </c>
      <c r="CH13" s="186">
        <f>CG13*CF13</f>
        <v>0</v>
      </c>
      <c r="CI13" s="220">
        <f>_辅助!BS11</f>
        <v>0</v>
      </c>
      <c r="CJ13" s="186">
        <f>_辅助!AI11</f>
        <v>0</v>
      </c>
      <c r="CK13" s="221">
        <f>CD13-CG13-CI13</f>
        <v>-549</v>
      </c>
      <c r="CL13" s="187">
        <f>CE13-CH13-CJ13</f>
        <v>0</v>
      </c>
      <c r="CM13" s="236">
        <f>IF(AND(CD13&gt;0,CE13&gt;0),0,CH13)</f>
        <v>0</v>
      </c>
      <c r="CN13" s="220">
        <f>IF($B13="",0,SUMIFS(采购进货!$E$4:$E$1503,采购进货!$D$4:$D$1503,$B13,采购进货!$B$4:$B$1503,"&gt;="&amp;DATE(年度,8,1),采购进货!$B$4:$B$1503,"&lt;"&amp;DATE(年度,8+1,1))+SUMIFS(采购进货!$H$4:$H$1503,采购进货!$D$4:$D$1503,$B13,采购进货!$B$4:$B$1503,"&gt;="&amp;DATE(年度,8,1),采购进货!$B$4:$B$1503,"&lt;"&amp;DATE(年度,8+1,1)))</f>
        <v>0</v>
      </c>
      <c r="CO13" s="186">
        <f>IF($B13="",0,SUMIFS(采购进货!$G$4:$G$1503,采购进货!$D$4:$D$1503,$B13,采购进货!$B$4:$B$1503,"&gt;="&amp;DATE(年度,8,1),采购进货!$B$4:$B$1503,"&lt;"&amp;DATE(年度,8+1,1)))</f>
        <v>0</v>
      </c>
      <c r="CP13" s="234">
        <f>CK13+CN13</f>
        <v>-549</v>
      </c>
      <c r="CQ13" s="235">
        <f>CL13+CO13</f>
        <v>0</v>
      </c>
      <c r="CR13" s="222">
        <f>IF(AND(CP13&gt;0,CQ13&gt;0),CQ13/CP13,N($E13))</f>
        <v>0</v>
      </c>
      <c r="CS13" s="220">
        <f>IF($B13="",0,SUMIFS(出库明细!$E$4:$E$3003,出库明细!$D$4:$D$3003,$B13,出库明细!$B$4:$B$3003,"&gt;="&amp;DATE(年度,8,1),出库明细!$B$4:$B$3003,"&lt;"&amp;DATE(年度,8+1,1)))</f>
        <v>520</v>
      </c>
      <c r="CT13" s="186">
        <f>CS13*CR13</f>
        <v>0</v>
      </c>
      <c r="CU13" s="220">
        <f>_辅助!BT11</f>
        <v>0.25</v>
      </c>
      <c r="CV13" s="186">
        <f>_辅助!AJ11</f>
        <v>0</v>
      </c>
      <c r="CW13" s="221">
        <f>CP13-CS13-CU13</f>
        <v>-1069.25</v>
      </c>
      <c r="CX13" s="187">
        <f>CQ13-CT13-CV13</f>
        <v>0</v>
      </c>
      <c r="CY13" s="236">
        <f>IF(AND(CP13&gt;0,CQ13&gt;0),0,CT13)</f>
        <v>0</v>
      </c>
      <c r="CZ13" s="220">
        <f>IF($B13="",0,SUMIFS(采购进货!$E$4:$E$1503,采购进货!$D$4:$D$1503,$B13,采购进货!$B$4:$B$1503,"&gt;="&amp;DATE(年度,9,1),采购进货!$B$4:$B$1503,"&lt;"&amp;DATE(年度,9+1,1))+SUMIFS(采购进货!$H$4:$H$1503,采购进货!$D$4:$D$1503,$B13,采购进货!$B$4:$B$1503,"&gt;="&amp;DATE(年度,9,1),采购进货!$B$4:$B$1503,"&lt;"&amp;DATE(年度,9+1,1)))</f>
        <v>0</v>
      </c>
      <c r="DA13" s="186">
        <f>IF($B13="",0,SUMIFS(采购进货!$G$4:$G$1503,采购进货!$D$4:$D$1503,$B13,采购进货!$B$4:$B$1503,"&gt;="&amp;DATE(年度,9,1),采购进货!$B$4:$B$1503,"&lt;"&amp;DATE(年度,9+1,1)))</f>
        <v>0</v>
      </c>
      <c r="DB13" s="234">
        <f>CW13+CZ13</f>
        <v>-1069.25</v>
      </c>
      <c r="DC13" s="235">
        <f>CX13+DA13</f>
        <v>0</v>
      </c>
      <c r="DD13" s="222">
        <f>IF(AND(DB13&gt;0,DC13&gt;0),DC13/DB13,N($E13))</f>
        <v>0</v>
      </c>
      <c r="DE13" s="220">
        <f>IF($B13="",0,SUMIFS(出库明细!$E$4:$E$3003,出库明细!$D$4:$D$3003,$B13,出库明细!$B$4:$B$3003,"&gt;="&amp;DATE(年度,9,1),出库明细!$B$4:$B$3003,"&lt;"&amp;DATE(年度,9+1,1)))</f>
        <v>179</v>
      </c>
      <c r="DF13" s="186">
        <f>DE13*DD13</f>
        <v>0</v>
      </c>
      <c r="DG13" s="220">
        <f>_辅助!BU11</f>
        <v>0</v>
      </c>
      <c r="DH13" s="186">
        <f>_辅助!AK11</f>
        <v>0</v>
      </c>
      <c r="DI13" s="221">
        <f>DB13-DE13-DG13</f>
        <v>-1248.25</v>
      </c>
      <c r="DJ13" s="187">
        <f>DC13-DF13-DH13</f>
        <v>0</v>
      </c>
      <c r="DK13" s="236">
        <f>IF(AND(DB13&gt;0,DC13&gt;0),0,DF13)</f>
        <v>0</v>
      </c>
      <c r="DL13" s="220">
        <f>IF($B13="",0,SUMIFS(采购进货!$E$4:$E$1503,采购进货!$D$4:$D$1503,$B13,采购进货!$B$4:$B$1503,"&gt;="&amp;DATE(年度,10,1),采购进货!$B$4:$B$1503,"&lt;"&amp;DATE(年度,10+1,1))+SUMIFS(采购进货!$H$4:$H$1503,采购进货!$D$4:$D$1503,$B13,采购进货!$B$4:$B$1503,"&gt;="&amp;DATE(年度,10,1),采购进货!$B$4:$B$1503,"&lt;"&amp;DATE(年度,10+1,1)))</f>
        <v>0</v>
      </c>
      <c r="DM13" s="186">
        <f>IF($B13="",0,SUMIFS(采购进货!$G$4:$G$1503,采购进货!$D$4:$D$1503,$B13,采购进货!$B$4:$B$1503,"&gt;="&amp;DATE(年度,10,1),采购进货!$B$4:$B$1503,"&lt;"&amp;DATE(年度,10+1,1)))</f>
        <v>0</v>
      </c>
      <c r="DN13" s="234">
        <f>DI13+DL13</f>
        <v>-1248.25</v>
      </c>
      <c r="DO13" s="235">
        <f>DJ13+DM13</f>
        <v>0</v>
      </c>
      <c r="DP13" s="222">
        <f>IF(AND(DN13&gt;0,DO13&gt;0),DO13/DN13,N($E13))</f>
        <v>0</v>
      </c>
      <c r="DQ13" s="220">
        <f>IF($B13="",0,SUMIFS(出库明细!$E$4:$E$3003,出库明细!$D$4:$D$3003,$B13,出库明细!$B$4:$B$3003,"&gt;="&amp;DATE(年度,10,1),出库明细!$B$4:$B$3003,"&lt;"&amp;DATE(年度,10+1,1)))</f>
        <v>0</v>
      </c>
      <c r="DR13" s="186">
        <f>DQ13*DP13</f>
        <v>0</v>
      </c>
      <c r="DS13" s="220">
        <f>_辅助!BV11</f>
        <v>0</v>
      </c>
      <c r="DT13" s="186">
        <f>_辅助!AL11</f>
        <v>0</v>
      </c>
      <c r="DU13" s="221">
        <f>DN13-DQ13-DS13</f>
        <v>-1248.25</v>
      </c>
      <c r="DV13" s="187">
        <f>DO13-DR13-DT13</f>
        <v>0</v>
      </c>
      <c r="DW13" s="236">
        <f>IF(AND(DN13&gt;0,DO13&gt;0),0,DR13)</f>
        <v>0</v>
      </c>
      <c r="DX13" s="220">
        <f>IF($B13="",0,SUMIFS(采购进货!$E$4:$E$1503,采购进货!$D$4:$D$1503,$B13,采购进货!$B$4:$B$1503,"&gt;="&amp;DATE(年度,11,1),采购进货!$B$4:$B$1503,"&lt;"&amp;DATE(年度,11+1,1))+SUMIFS(采购进货!$H$4:$H$1503,采购进货!$D$4:$D$1503,$B13,采购进货!$B$4:$B$1503,"&gt;="&amp;DATE(年度,11,1),采购进货!$B$4:$B$1503,"&lt;"&amp;DATE(年度,11+1,1)))</f>
        <v>0</v>
      </c>
      <c r="DY13" s="186">
        <f>IF($B13="",0,SUMIFS(采购进货!$G$4:$G$1503,采购进货!$D$4:$D$1503,$B13,采购进货!$B$4:$B$1503,"&gt;="&amp;DATE(年度,11,1),采购进货!$B$4:$B$1503,"&lt;"&amp;DATE(年度,11+1,1)))</f>
        <v>0</v>
      </c>
      <c r="DZ13" s="234">
        <f>DU13+DX13</f>
        <v>-1248.25</v>
      </c>
      <c r="EA13" s="235">
        <f>DV13+DY13</f>
        <v>0</v>
      </c>
      <c r="EB13" s="222">
        <f>IF(AND(DZ13&gt;0,EA13&gt;0),EA13/DZ13,N($E13))</f>
        <v>0</v>
      </c>
      <c r="EC13" s="220">
        <f>IF($B13="",0,SUMIFS(出库明细!$E$4:$E$3003,出库明细!$D$4:$D$3003,$B13,出库明细!$B$4:$B$3003,"&gt;="&amp;DATE(年度,11,1),出库明细!$B$4:$B$3003,"&lt;"&amp;DATE(年度,11+1,1)))</f>
        <v>0</v>
      </c>
      <c r="ED13" s="186">
        <f>EC13*EB13</f>
        <v>0</v>
      </c>
      <c r="EE13" s="220">
        <f>_辅助!BW11</f>
        <v>0</v>
      </c>
      <c r="EF13" s="186">
        <f>_辅助!AM11</f>
        <v>0</v>
      </c>
      <c r="EG13" s="221">
        <f>DZ13-EC13-EE13</f>
        <v>-1248.25</v>
      </c>
      <c r="EH13" s="187">
        <f>EA13-ED13-EF13</f>
        <v>0</v>
      </c>
      <c r="EI13" s="236">
        <f>IF(AND(DZ13&gt;0,EA13&gt;0),0,ED13)</f>
        <v>0</v>
      </c>
      <c r="EJ13" s="220">
        <f>IF($B13="",0,SUMIFS(采购进货!$E$4:$E$1503,采购进货!$D$4:$D$1503,$B13,采购进货!$B$4:$B$1503,"&gt;="&amp;DATE(年度,12,1),采购进货!$B$4:$B$1503,"&lt;"&amp;DATE(年度,12+1,1))+SUMIFS(采购进货!$H$4:$H$1503,采购进货!$D$4:$D$1503,$B13,采购进货!$B$4:$B$1503,"&gt;="&amp;DATE(年度,12,1),采购进货!$B$4:$B$1503,"&lt;"&amp;DATE(年度,12+1,1)))</f>
        <v>0</v>
      </c>
      <c r="EK13" s="186">
        <f>IF($B13="",0,SUMIFS(采购进货!$G$4:$G$1503,采购进货!$D$4:$D$1503,$B13,采购进货!$B$4:$B$1503,"&gt;="&amp;DATE(年度,12,1),采购进货!$B$4:$B$1503,"&lt;"&amp;DATE(年度,12+1,1)))</f>
        <v>0</v>
      </c>
      <c r="EL13" s="234">
        <f>EG13+EJ13</f>
        <v>-1248.25</v>
      </c>
      <c r="EM13" s="235">
        <f>EH13+EK13</f>
        <v>0</v>
      </c>
      <c r="EN13" s="222">
        <f>IF(AND(EL13&gt;0,EM13&gt;0),EM13/EL13,N($E13))</f>
        <v>0</v>
      </c>
      <c r="EO13" s="220">
        <f>IF($B13="",0,SUMIFS(出库明细!$E$4:$E$3003,出库明细!$D$4:$D$3003,$B13,出库明细!$B$4:$B$3003,"&gt;="&amp;DATE(年度,12,1),出库明细!$B$4:$B$3003,"&lt;"&amp;DATE(年度,12+1,1)))</f>
        <v>0</v>
      </c>
      <c r="EP13" s="186">
        <f>EO13*EN13</f>
        <v>0</v>
      </c>
      <c r="EQ13" s="220">
        <f>_辅助!BX11</f>
        <v>0</v>
      </c>
      <c r="ER13" s="186">
        <f>_辅助!AN11</f>
        <v>0</v>
      </c>
      <c r="ES13" s="221">
        <f>EL13-EO13-EQ13</f>
        <v>-1248.25</v>
      </c>
      <c r="ET13" s="187">
        <f>EM13-EP13-ER13</f>
        <v>0</v>
      </c>
      <c r="EU13" s="236">
        <f>IF(AND(EL13&gt;0,EM13&gt;0),0,EP13)</f>
        <v>0</v>
      </c>
    </row>
    <row r="14">
      <c r="A14" s="194">
        <f>IF(B14="","",ROW()-7)</f>
        <v>7</v>
      </c>
      <c r="B14" s="141" t="str">
        <f>IF(基础资料!E11="","",基础资料!E11&amp;"")</f>
        <v>港式奶茶</v>
      </c>
      <c r="C14" s="230" t="str">
        <f>IF(基础资料!G11="","",基础资料!G11&amp;"")</f>
        <v>东鹏港式奶茶</v>
      </c>
      <c r="D14" s="194">
        <f>IF(基础资料!I11="","",基础资料!I11)</f>
        <v>24</v>
      </c>
      <c r="E14" s="231">
        <f>IF(基础资料!J11="","",基础资料!J11)</f>
      </c>
      <c r="F14" s="232">
        <f>N(基础资料!L11)</f>
        <v>0</v>
      </c>
      <c r="G14" s="233">
        <f>IF(基础资料!N11="",0,基础资料!N11)</f>
        <v>0</v>
      </c>
      <c r="H14" s="220">
        <f>IF($B14="",0,SUMIFS(采购进货!$E$4:$E$1503,采购进货!$D$4:$D$1503,$B14,采购进货!$B$4:$B$1503,"&gt;="&amp;DATE(年度,1,1),采购进货!$B$4:$B$1503,"&lt;"&amp;DATE(年度,1+1,1))+SUMIFS(采购进货!$H$4:$H$1503,采购进货!$D$4:$D$1503,$B14,采购进货!$B$4:$B$1503,"&gt;="&amp;DATE(年度,1,1),采购进货!$B$4:$B$1503,"&lt;"&amp;DATE(年度,1+1,1)))</f>
        <v>0</v>
      </c>
      <c r="I14" s="186">
        <f>IF($B14="",0,SUMIFS(采购进货!$G$4:$G$1503,采购进货!$D$4:$D$1503,$B14,采购进货!$B$4:$B$1503,"&gt;="&amp;DATE(年度,1,1),采购进货!$B$4:$B$1503,"&lt;"&amp;DATE(年度,1+1,1)))</f>
        <v>0</v>
      </c>
      <c r="J14" s="234">
        <f>F14+H14</f>
        <v>0</v>
      </c>
      <c r="K14" s="235">
        <f>G14+I14</f>
        <v>0</v>
      </c>
      <c r="L14" s="222">
        <f>IF(AND(J14&gt;0,K14&gt;0),K14/J14,N($E14))</f>
        <v>0</v>
      </c>
      <c r="M14" s="220">
        <f>IF($B14="",0,SUMIFS(出库明细!$E$4:$E$3003,出库明细!$D$4:$D$3003,$B14,出库明细!$B$4:$B$3003,"&gt;="&amp;DATE(年度,1,1),出库明细!$B$4:$B$3003,"&lt;"&amp;DATE(年度,1+1,1)))</f>
        <v>0</v>
      </c>
      <c r="N14" s="186">
        <f>M14*L14</f>
        <v>0</v>
      </c>
      <c r="O14" s="220">
        <f>_辅助!BM12</f>
        <v>0</v>
      </c>
      <c r="P14" s="186">
        <f>_辅助!AC12</f>
        <v>0</v>
      </c>
      <c r="Q14" s="221">
        <f>J14-M14-O14</f>
        <v>0</v>
      </c>
      <c r="R14" s="187">
        <f>K14-N14-P14</f>
        <v>0</v>
      </c>
      <c r="S14" s="236">
        <f>IF(AND(J14&gt;0,K14&gt;0),0,N14)</f>
        <v>0</v>
      </c>
      <c r="T14" s="220">
        <f>IF($B14="",0,SUMIFS(采购进货!$E$4:$E$1503,采购进货!$D$4:$D$1503,$B14,采购进货!$B$4:$B$1503,"&gt;="&amp;DATE(年度,2,1),采购进货!$B$4:$B$1503,"&lt;"&amp;DATE(年度,2+1,1))+SUMIFS(采购进货!$H$4:$H$1503,采购进货!$D$4:$D$1503,$B14,采购进货!$B$4:$B$1503,"&gt;="&amp;DATE(年度,2,1),采购进货!$B$4:$B$1503,"&lt;"&amp;DATE(年度,2+1,1)))</f>
        <v>0</v>
      </c>
      <c r="U14" s="186">
        <f>IF($B14="",0,SUMIFS(采购进货!$G$4:$G$1503,采购进货!$D$4:$D$1503,$B14,采购进货!$B$4:$B$1503,"&gt;="&amp;DATE(年度,2,1),采购进货!$B$4:$B$1503,"&lt;"&amp;DATE(年度,2+1,1)))</f>
        <v>0</v>
      </c>
      <c r="V14" s="234">
        <f>Q14+T14</f>
        <v>0</v>
      </c>
      <c r="W14" s="235">
        <f>R14+U14</f>
        <v>0</v>
      </c>
      <c r="X14" s="222">
        <f>IF(AND(V14&gt;0,W14&gt;0),W14/V14,N($E14))</f>
        <v>0</v>
      </c>
      <c r="Y14" s="220">
        <f>IF($B14="",0,SUMIFS(出库明细!$E$4:$E$3003,出库明细!$D$4:$D$3003,$B14,出库明细!$B$4:$B$3003,"&gt;="&amp;DATE(年度,2,1),出库明细!$B$4:$B$3003,"&lt;"&amp;DATE(年度,2+1,1)))</f>
        <v>0</v>
      </c>
      <c r="Z14" s="186">
        <f>Y14*X14</f>
        <v>0</v>
      </c>
      <c r="AA14" s="220">
        <f>_辅助!BN12</f>
        <v>0</v>
      </c>
      <c r="AB14" s="186">
        <f>_辅助!AD12</f>
        <v>0</v>
      </c>
      <c r="AC14" s="221">
        <f>V14-Y14-AA14</f>
        <v>0</v>
      </c>
      <c r="AD14" s="187">
        <f>W14-Z14-AB14</f>
        <v>0</v>
      </c>
      <c r="AE14" s="236">
        <f>IF(AND(V14&gt;0,W14&gt;0),0,Z14)</f>
        <v>0</v>
      </c>
      <c r="AF14" s="220">
        <f>IF($B14="",0,SUMIFS(采购进货!$E$4:$E$1503,采购进货!$D$4:$D$1503,$B14,采购进货!$B$4:$B$1503,"&gt;="&amp;DATE(年度,3,1),采购进货!$B$4:$B$1503,"&lt;"&amp;DATE(年度,3+1,1))+SUMIFS(采购进货!$H$4:$H$1503,采购进货!$D$4:$D$1503,$B14,采购进货!$B$4:$B$1503,"&gt;="&amp;DATE(年度,3,1),采购进货!$B$4:$B$1503,"&lt;"&amp;DATE(年度,3+1,1)))</f>
        <v>0</v>
      </c>
      <c r="AG14" s="186">
        <f>IF($B14="",0,SUMIFS(采购进货!$G$4:$G$1503,采购进货!$D$4:$D$1503,$B14,采购进货!$B$4:$B$1503,"&gt;="&amp;DATE(年度,3,1),采购进货!$B$4:$B$1503,"&lt;"&amp;DATE(年度,3+1,1)))</f>
        <v>0</v>
      </c>
      <c r="AH14" s="234">
        <f>AC14+AF14</f>
        <v>0</v>
      </c>
      <c r="AI14" s="235">
        <f>AD14+AG14</f>
        <v>0</v>
      </c>
      <c r="AJ14" s="222">
        <f>IF(AND(AH14&gt;0,AI14&gt;0),AI14/AH14,N($E14))</f>
        <v>0</v>
      </c>
      <c r="AK14" s="220">
        <f>IF($B14="",0,SUMIFS(出库明细!$E$4:$E$3003,出库明细!$D$4:$D$3003,$B14,出库明细!$B$4:$B$3003,"&gt;="&amp;DATE(年度,3,1),出库明细!$B$4:$B$3003,"&lt;"&amp;DATE(年度,3+1,1)))</f>
        <v>0</v>
      </c>
      <c r="AL14" s="186">
        <f>AK14*AJ14</f>
        <v>0</v>
      </c>
      <c r="AM14" s="220">
        <f>_辅助!BO12</f>
        <v>0</v>
      </c>
      <c r="AN14" s="186">
        <f>_辅助!AE12</f>
        <v>0</v>
      </c>
      <c r="AO14" s="221">
        <f>AH14-AK14-AM14</f>
        <v>0</v>
      </c>
      <c r="AP14" s="187">
        <f>AI14-AL14-AN14</f>
        <v>0</v>
      </c>
      <c r="AQ14" s="236">
        <f>IF(AND(AH14&gt;0,AI14&gt;0),0,AL14)</f>
        <v>0</v>
      </c>
      <c r="AR14" s="220">
        <f>IF($B14="",0,SUMIFS(采购进货!$E$4:$E$1503,采购进货!$D$4:$D$1503,$B14,采购进货!$B$4:$B$1503,"&gt;="&amp;DATE(年度,4,1),采购进货!$B$4:$B$1503,"&lt;"&amp;DATE(年度,4+1,1))+SUMIFS(采购进货!$H$4:$H$1503,采购进货!$D$4:$D$1503,$B14,采购进货!$B$4:$B$1503,"&gt;="&amp;DATE(年度,4,1),采购进货!$B$4:$B$1503,"&lt;"&amp;DATE(年度,4+1,1)))</f>
        <v>0</v>
      </c>
      <c r="AS14" s="186">
        <f>IF($B14="",0,SUMIFS(采购进货!$G$4:$G$1503,采购进货!$D$4:$D$1503,$B14,采购进货!$B$4:$B$1503,"&gt;="&amp;DATE(年度,4,1),采购进货!$B$4:$B$1503,"&lt;"&amp;DATE(年度,4+1,1)))</f>
        <v>0</v>
      </c>
      <c r="AT14" s="234">
        <f>AO14+AR14</f>
        <v>0</v>
      </c>
      <c r="AU14" s="235">
        <f>AP14+AS14</f>
        <v>0</v>
      </c>
      <c r="AV14" s="222">
        <f>IF(AND(AT14&gt;0,AU14&gt;0),AU14/AT14,N($E14))</f>
        <v>0</v>
      </c>
      <c r="AW14" s="220">
        <f>IF($B14="",0,SUMIFS(出库明细!$E$4:$E$3003,出库明细!$D$4:$D$3003,$B14,出库明细!$B$4:$B$3003,"&gt;="&amp;DATE(年度,4,1),出库明细!$B$4:$B$3003,"&lt;"&amp;DATE(年度,4+1,1)))</f>
        <v>0</v>
      </c>
      <c r="AX14" s="186">
        <f>AW14*AV14</f>
        <v>0</v>
      </c>
      <c r="AY14" s="220">
        <f>_辅助!BP12</f>
        <v>0</v>
      </c>
      <c r="AZ14" s="186">
        <f>_辅助!AF12</f>
        <v>0</v>
      </c>
      <c r="BA14" s="221">
        <f>AT14-AW14-AY14</f>
        <v>0</v>
      </c>
      <c r="BB14" s="187">
        <f>AU14-AX14-AZ14</f>
        <v>0</v>
      </c>
      <c r="BC14" s="236">
        <f>IF(AND(AT14&gt;0,AU14&gt;0),0,AX14)</f>
        <v>0</v>
      </c>
      <c r="BD14" s="220">
        <f>IF($B14="",0,SUMIFS(采购进货!$E$4:$E$1503,采购进货!$D$4:$D$1503,$B14,采购进货!$B$4:$B$1503,"&gt;="&amp;DATE(年度,5,1),采购进货!$B$4:$B$1503,"&lt;"&amp;DATE(年度,5+1,1))+SUMIFS(采购进货!$H$4:$H$1503,采购进货!$D$4:$D$1503,$B14,采购进货!$B$4:$B$1503,"&gt;="&amp;DATE(年度,5,1),采购进货!$B$4:$B$1503,"&lt;"&amp;DATE(年度,5+1,1)))</f>
        <v>0</v>
      </c>
      <c r="BE14" s="186">
        <f>IF($B14="",0,SUMIFS(采购进货!$G$4:$G$1503,采购进货!$D$4:$D$1503,$B14,采购进货!$B$4:$B$1503,"&gt;="&amp;DATE(年度,5,1),采购进货!$B$4:$B$1503,"&lt;"&amp;DATE(年度,5+1,1)))</f>
        <v>0</v>
      </c>
      <c r="BF14" s="234">
        <f>BA14+BD14</f>
        <v>0</v>
      </c>
      <c r="BG14" s="235">
        <f>BB14+BE14</f>
        <v>0</v>
      </c>
      <c r="BH14" s="222">
        <f>IF(AND(BF14&gt;0,BG14&gt;0),BG14/BF14,N($E14))</f>
        <v>0</v>
      </c>
      <c r="BI14" s="220">
        <f>IF($B14="",0,SUMIFS(出库明细!$E$4:$E$3003,出库明细!$D$4:$D$3003,$B14,出库明细!$B$4:$B$3003,"&gt;="&amp;DATE(年度,5,1),出库明细!$B$4:$B$3003,"&lt;"&amp;DATE(年度,5+1,1)))</f>
        <v>0</v>
      </c>
      <c r="BJ14" s="186">
        <f>BI14*BH14</f>
        <v>0</v>
      </c>
      <c r="BK14" s="220">
        <f>_辅助!BQ12</f>
        <v>0</v>
      </c>
      <c r="BL14" s="186">
        <f>_辅助!AG12</f>
        <v>0</v>
      </c>
      <c r="BM14" s="221">
        <f>BF14-BI14-BK14</f>
        <v>0</v>
      </c>
      <c r="BN14" s="187">
        <f>BG14-BJ14-BL14</f>
        <v>0</v>
      </c>
      <c r="BO14" s="236">
        <f>IF(AND(BF14&gt;0,BG14&gt;0),0,BJ14)</f>
        <v>0</v>
      </c>
      <c r="BP14" s="220">
        <f>IF($B14="",0,SUMIFS(采购进货!$E$4:$E$1503,采购进货!$D$4:$D$1503,$B14,采购进货!$B$4:$B$1503,"&gt;="&amp;DATE(年度,6,1),采购进货!$B$4:$B$1503,"&lt;"&amp;DATE(年度,6+1,1))+SUMIFS(采购进货!$H$4:$H$1503,采购进货!$D$4:$D$1503,$B14,采购进货!$B$4:$B$1503,"&gt;="&amp;DATE(年度,6,1),采购进货!$B$4:$B$1503,"&lt;"&amp;DATE(年度,6+1,1)))</f>
        <v>0</v>
      </c>
      <c r="BQ14" s="186">
        <f>IF($B14="",0,SUMIFS(采购进货!$G$4:$G$1503,采购进货!$D$4:$D$1503,$B14,采购进货!$B$4:$B$1503,"&gt;="&amp;DATE(年度,6,1),采购进货!$B$4:$B$1503,"&lt;"&amp;DATE(年度,6+1,1)))</f>
        <v>0</v>
      </c>
      <c r="BR14" s="234">
        <f>BM14+BP14</f>
        <v>0</v>
      </c>
      <c r="BS14" s="235">
        <f>BN14+BQ14</f>
        <v>0</v>
      </c>
      <c r="BT14" s="222">
        <f>IF(AND(BR14&gt;0,BS14&gt;0),BS14/BR14,N($E14))</f>
        <v>0</v>
      </c>
      <c r="BU14" s="220">
        <f>IF($B14="",0,SUMIFS(出库明细!$E$4:$E$3003,出库明细!$D$4:$D$3003,$B14,出库明细!$B$4:$B$3003,"&gt;="&amp;DATE(年度,6,1),出库明细!$B$4:$B$3003,"&lt;"&amp;DATE(年度,6+1,1)))</f>
        <v>0</v>
      </c>
      <c r="BV14" s="186">
        <f>BU14*BT14</f>
        <v>0</v>
      </c>
      <c r="BW14" s="220">
        <f>_辅助!BR12</f>
        <v>0</v>
      </c>
      <c r="BX14" s="186">
        <f>_辅助!AH12</f>
        <v>0</v>
      </c>
      <c r="BY14" s="221">
        <f>BR14-BU14-BW14</f>
        <v>0</v>
      </c>
      <c r="BZ14" s="187">
        <f>BS14-BV14-BX14</f>
        <v>0</v>
      </c>
      <c r="CA14" s="236">
        <f>IF(AND(BR14&gt;0,BS14&gt;0),0,BV14)</f>
        <v>0</v>
      </c>
      <c r="CB14" s="220">
        <f>IF($B14="",0,SUMIFS(采购进货!$E$4:$E$1503,采购进货!$D$4:$D$1503,$B14,采购进货!$B$4:$B$1503,"&gt;="&amp;DATE(年度,7,1),采购进货!$B$4:$B$1503,"&lt;"&amp;DATE(年度,7+1,1))+SUMIFS(采购进货!$H$4:$H$1503,采购进货!$D$4:$D$1503,$B14,采购进货!$B$4:$B$1503,"&gt;="&amp;DATE(年度,7,1),采购进货!$B$4:$B$1503,"&lt;"&amp;DATE(年度,7+1,1)))</f>
        <v>0</v>
      </c>
      <c r="CC14" s="186">
        <f>IF($B14="",0,SUMIFS(采购进货!$G$4:$G$1503,采购进货!$D$4:$D$1503,$B14,采购进货!$B$4:$B$1503,"&gt;="&amp;DATE(年度,7,1),采购进货!$B$4:$B$1503,"&lt;"&amp;DATE(年度,7+1,1)))</f>
        <v>0</v>
      </c>
      <c r="CD14" s="234">
        <f>BY14+CB14</f>
        <v>0</v>
      </c>
      <c r="CE14" s="235">
        <f>BZ14+CC14</f>
        <v>0</v>
      </c>
      <c r="CF14" s="222">
        <f>IF(AND(CD14&gt;0,CE14&gt;0),CE14/CD14,N($E14))</f>
        <v>0</v>
      </c>
      <c r="CG14" s="220">
        <f>IF($B14="",0,SUMIFS(出库明细!$E$4:$E$3003,出库明细!$D$4:$D$3003,$B14,出库明细!$B$4:$B$3003,"&gt;="&amp;DATE(年度,7,1),出库明细!$B$4:$B$3003,"&lt;"&amp;DATE(年度,7+1,1)))</f>
        <v>22</v>
      </c>
      <c r="CH14" s="186">
        <f>CG14*CF14</f>
        <v>0</v>
      </c>
      <c r="CI14" s="220">
        <f>_辅助!BS12</f>
        <v>0</v>
      </c>
      <c r="CJ14" s="186">
        <f>_辅助!AI12</f>
        <v>0</v>
      </c>
      <c r="CK14" s="221">
        <f>CD14-CG14-CI14</f>
        <v>-22</v>
      </c>
      <c r="CL14" s="187">
        <f>CE14-CH14-CJ14</f>
        <v>0</v>
      </c>
      <c r="CM14" s="236">
        <f>IF(AND(CD14&gt;0,CE14&gt;0),0,CH14)</f>
        <v>0</v>
      </c>
      <c r="CN14" s="220">
        <f>IF($B14="",0,SUMIFS(采购进货!$E$4:$E$1503,采购进货!$D$4:$D$1503,$B14,采购进货!$B$4:$B$1503,"&gt;="&amp;DATE(年度,8,1),采购进货!$B$4:$B$1503,"&lt;"&amp;DATE(年度,8+1,1))+SUMIFS(采购进货!$H$4:$H$1503,采购进货!$D$4:$D$1503,$B14,采购进货!$B$4:$B$1503,"&gt;="&amp;DATE(年度,8,1),采购进货!$B$4:$B$1503,"&lt;"&amp;DATE(年度,8+1,1)))</f>
        <v>0</v>
      </c>
      <c r="CO14" s="186">
        <f>IF($B14="",0,SUMIFS(采购进货!$G$4:$G$1503,采购进货!$D$4:$D$1503,$B14,采购进货!$B$4:$B$1503,"&gt;="&amp;DATE(年度,8,1),采购进货!$B$4:$B$1503,"&lt;"&amp;DATE(年度,8+1,1)))</f>
        <v>0</v>
      </c>
      <c r="CP14" s="234">
        <f>CK14+CN14</f>
        <v>-22</v>
      </c>
      <c r="CQ14" s="235">
        <f>CL14+CO14</f>
        <v>0</v>
      </c>
      <c r="CR14" s="222">
        <f>IF(AND(CP14&gt;0,CQ14&gt;0),CQ14/CP14,N($E14))</f>
        <v>0</v>
      </c>
      <c r="CS14" s="220">
        <f>IF($B14="",0,SUMIFS(出库明细!$E$4:$E$3003,出库明细!$D$4:$D$3003,$B14,出库明细!$B$4:$B$3003,"&gt;="&amp;DATE(年度,8,1),出库明细!$B$4:$B$3003,"&lt;"&amp;DATE(年度,8+1,1)))</f>
        <v>75</v>
      </c>
      <c r="CT14" s="186">
        <f>CS14*CR14</f>
        <v>0</v>
      </c>
      <c r="CU14" s="220">
        <f>_辅助!BT12</f>
        <v>87.25</v>
      </c>
      <c r="CV14" s="186">
        <f>_辅助!AJ12</f>
        <v>0</v>
      </c>
      <c r="CW14" s="221">
        <f>CP14-CS14-CU14</f>
        <v>-184.25</v>
      </c>
      <c r="CX14" s="187">
        <f>CQ14-CT14-CV14</f>
        <v>0</v>
      </c>
      <c r="CY14" s="236">
        <f>IF(AND(CP14&gt;0,CQ14&gt;0),0,CT14)</f>
        <v>0</v>
      </c>
      <c r="CZ14" s="220">
        <f>IF($B14="",0,SUMIFS(采购进货!$E$4:$E$1503,采购进货!$D$4:$D$1503,$B14,采购进货!$B$4:$B$1503,"&gt;="&amp;DATE(年度,9,1),采购进货!$B$4:$B$1503,"&lt;"&amp;DATE(年度,9+1,1))+SUMIFS(采购进货!$H$4:$H$1503,采购进货!$D$4:$D$1503,$B14,采购进货!$B$4:$B$1503,"&gt;="&amp;DATE(年度,9,1),采购进货!$B$4:$B$1503,"&lt;"&amp;DATE(年度,9+1,1)))</f>
        <v>0</v>
      </c>
      <c r="DA14" s="186">
        <f>IF($B14="",0,SUMIFS(采购进货!$G$4:$G$1503,采购进货!$D$4:$D$1503,$B14,采购进货!$B$4:$B$1503,"&gt;="&amp;DATE(年度,9,1),采购进货!$B$4:$B$1503,"&lt;"&amp;DATE(年度,9+1,1)))</f>
        <v>0</v>
      </c>
      <c r="DB14" s="234">
        <f>CW14+CZ14</f>
        <v>-184.25</v>
      </c>
      <c r="DC14" s="235">
        <f>CX14+DA14</f>
        <v>0</v>
      </c>
      <c r="DD14" s="222">
        <f>IF(AND(DB14&gt;0,DC14&gt;0),DC14/DB14,N($E14))</f>
        <v>0</v>
      </c>
      <c r="DE14" s="220">
        <f>IF($B14="",0,SUMIFS(出库明细!$E$4:$E$3003,出库明细!$D$4:$D$3003,$B14,出库明细!$B$4:$B$3003,"&gt;="&amp;DATE(年度,9,1),出库明细!$B$4:$B$3003,"&lt;"&amp;DATE(年度,9+1,1)))</f>
        <v>55</v>
      </c>
      <c r="DF14" s="186">
        <f>DE14*DD14</f>
        <v>0</v>
      </c>
      <c r="DG14" s="220">
        <f>_辅助!BU12</f>
        <v>0</v>
      </c>
      <c r="DH14" s="186">
        <f>_辅助!AK12</f>
        <v>0</v>
      </c>
      <c r="DI14" s="221">
        <f>DB14-DE14-DG14</f>
        <v>-239.25</v>
      </c>
      <c r="DJ14" s="187">
        <f>DC14-DF14-DH14</f>
        <v>0</v>
      </c>
      <c r="DK14" s="236">
        <f>IF(AND(DB14&gt;0,DC14&gt;0),0,DF14)</f>
        <v>0</v>
      </c>
      <c r="DL14" s="220">
        <f>IF($B14="",0,SUMIFS(采购进货!$E$4:$E$1503,采购进货!$D$4:$D$1503,$B14,采购进货!$B$4:$B$1503,"&gt;="&amp;DATE(年度,10,1),采购进货!$B$4:$B$1503,"&lt;"&amp;DATE(年度,10+1,1))+SUMIFS(采购进货!$H$4:$H$1503,采购进货!$D$4:$D$1503,$B14,采购进货!$B$4:$B$1503,"&gt;="&amp;DATE(年度,10,1),采购进货!$B$4:$B$1503,"&lt;"&amp;DATE(年度,10+1,1)))</f>
        <v>0</v>
      </c>
      <c r="DM14" s="186">
        <f>IF($B14="",0,SUMIFS(采购进货!$G$4:$G$1503,采购进货!$D$4:$D$1503,$B14,采购进货!$B$4:$B$1503,"&gt;="&amp;DATE(年度,10,1),采购进货!$B$4:$B$1503,"&lt;"&amp;DATE(年度,10+1,1)))</f>
        <v>0</v>
      </c>
      <c r="DN14" s="234">
        <f>DI14+DL14</f>
        <v>-239.25</v>
      </c>
      <c r="DO14" s="235">
        <f>DJ14+DM14</f>
        <v>0</v>
      </c>
      <c r="DP14" s="222">
        <f>IF(AND(DN14&gt;0,DO14&gt;0),DO14/DN14,N($E14))</f>
        <v>0</v>
      </c>
      <c r="DQ14" s="220">
        <f>IF($B14="",0,SUMIFS(出库明细!$E$4:$E$3003,出库明细!$D$4:$D$3003,$B14,出库明细!$B$4:$B$3003,"&gt;="&amp;DATE(年度,10,1),出库明细!$B$4:$B$3003,"&lt;"&amp;DATE(年度,10+1,1)))</f>
        <v>0</v>
      </c>
      <c r="DR14" s="186">
        <f>DQ14*DP14</f>
        <v>0</v>
      </c>
      <c r="DS14" s="220">
        <f>_辅助!BV12</f>
        <v>0</v>
      </c>
      <c r="DT14" s="186">
        <f>_辅助!AL12</f>
        <v>0</v>
      </c>
      <c r="DU14" s="221">
        <f>DN14-DQ14-DS14</f>
        <v>-239.25</v>
      </c>
      <c r="DV14" s="187">
        <f>DO14-DR14-DT14</f>
        <v>0</v>
      </c>
      <c r="DW14" s="236">
        <f>IF(AND(DN14&gt;0,DO14&gt;0),0,DR14)</f>
        <v>0</v>
      </c>
      <c r="DX14" s="220">
        <f>IF($B14="",0,SUMIFS(采购进货!$E$4:$E$1503,采购进货!$D$4:$D$1503,$B14,采购进货!$B$4:$B$1503,"&gt;="&amp;DATE(年度,11,1),采购进货!$B$4:$B$1503,"&lt;"&amp;DATE(年度,11+1,1))+SUMIFS(采购进货!$H$4:$H$1503,采购进货!$D$4:$D$1503,$B14,采购进货!$B$4:$B$1503,"&gt;="&amp;DATE(年度,11,1),采购进货!$B$4:$B$1503,"&lt;"&amp;DATE(年度,11+1,1)))</f>
        <v>0</v>
      </c>
      <c r="DY14" s="186">
        <f>IF($B14="",0,SUMIFS(采购进货!$G$4:$G$1503,采购进货!$D$4:$D$1503,$B14,采购进货!$B$4:$B$1503,"&gt;="&amp;DATE(年度,11,1),采购进货!$B$4:$B$1503,"&lt;"&amp;DATE(年度,11+1,1)))</f>
        <v>0</v>
      </c>
      <c r="DZ14" s="234">
        <f>DU14+DX14</f>
        <v>-239.25</v>
      </c>
      <c r="EA14" s="235">
        <f>DV14+DY14</f>
        <v>0</v>
      </c>
      <c r="EB14" s="222">
        <f>IF(AND(DZ14&gt;0,EA14&gt;0),EA14/DZ14,N($E14))</f>
        <v>0</v>
      </c>
      <c r="EC14" s="220">
        <f>IF($B14="",0,SUMIFS(出库明细!$E$4:$E$3003,出库明细!$D$4:$D$3003,$B14,出库明细!$B$4:$B$3003,"&gt;="&amp;DATE(年度,11,1),出库明细!$B$4:$B$3003,"&lt;"&amp;DATE(年度,11+1,1)))</f>
        <v>0</v>
      </c>
      <c r="ED14" s="186">
        <f>EC14*EB14</f>
        <v>0</v>
      </c>
      <c r="EE14" s="220">
        <f>_辅助!BW12</f>
        <v>0</v>
      </c>
      <c r="EF14" s="186">
        <f>_辅助!AM12</f>
        <v>0</v>
      </c>
      <c r="EG14" s="221">
        <f>DZ14-EC14-EE14</f>
        <v>-239.25</v>
      </c>
      <c r="EH14" s="187">
        <f>EA14-ED14-EF14</f>
        <v>0</v>
      </c>
      <c r="EI14" s="236">
        <f>IF(AND(DZ14&gt;0,EA14&gt;0),0,ED14)</f>
        <v>0</v>
      </c>
      <c r="EJ14" s="220">
        <f>IF($B14="",0,SUMIFS(采购进货!$E$4:$E$1503,采购进货!$D$4:$D$1503,$B14,采购进货!$B$4:$B$1503,"&gt;="&amp;DATE(年度,12,1),采购进货!$B$4:$B$1503,"&lt;"&amp;DATE(年度,12+1,1))+SUMIFS(采购进货!$H$4:$H$1503,采购进货!$D$4:$D$1503,$B14,采购进货!$B$4:$B$1503,"&gt;="&amp;DATE(年度,12,1),采购进货!$B$4:$B$1503,"&lt;"&amp;DATE(年度,12+1,1)))</f>
        <v>0</v>
      </c>
      <c r="EK14" s="186">
        <f>IF($B14="",0,SUMIFS(采购进货!$G$4:$G$1503,采购进货!$D$4:$D$1503,$B14,采购进货!$B$4:$B$1503,"&gt;="&amp;DATE(年度,12,1),采购进货!$B$4:$B$1503,"&lt;"&amp;DATE(年度,12+1,1)))</f>
        <v>0</v>
      </c>
      <c r="EL14" s="234">
        <f>EG14+EJ14</f>
        <v>-239.25</v>
      </c>
      <c r="EM14" s="235">
        <f>EH14+EK14</f>
        <v>0</v>
      </c>
      <c r="EN14" s="222">
        <f>IF(AND(EL14&gt;0,EM14&gt;0),EM14/EL14,N($E14))</f>
        <v>0</v>
      </c>
      <c r="EO14" s="220">
        <f>IF($B14="",0,SUMIFS(出库明细!$E$4:$E$3003,出库明细!$D$4:$D$3003,$B14,出库明细!$B$4:$B$3003,"&gt;="&amp;DATE(年度,12,1),出库明细!$B$4:$B$3003,"&lt;"&amp;DATE(年度,12+1,1)))</f>
        <v>0</v>
      </c>
      <c r="EP14" s="186">
        <f>EO14*EN14</f>
        <v>0</v>
      </c>
      <c r="EQ14" s="220">
        <f>_辅助!BX12</f>
        <v>0</v>
      </c>
      <c r="ER14" s="186">
        <f>_辅助!AN12</f>
        <v>0</v>
      </c>
      <c r="ES14" s="221">
        <f>EL14-EO14-EQ14</f>
        <v>-239.25</v>
      </c>
      <c r="ET14" s="187">
        <f>EM14-EP14-ER14</f>
        <v>0</v>
      </c>
      <c r="EU14" s="236">
        <f>IF(AND(EL14&gt;0,EM14&gt;0),0,EP14)</f>
        <v>0</v>
      </c>
    </row>
    <row r="15">
      <c r="A15" s="194">
        <f>IF(B15="","",ROW()-7)</f>
        <v>8</v>
      </c>
      <c r="B15" s="141" t="str">
        <f>IF(基础资料!E12="","",基础资料!E12&amp;"")</f>
        <v>大咖</v>
      </c>
      <c r="C15" s="230" t="str">
        <f>IF(基础资料!G12="","",基础资料!G12&amp;"")</f>
        <v>东鹏500大咖</v>
      </c>
      <c r="D15" s="194">
        <f>IF(基础资料!I12="","",基础资料!I12)</f>
        <v>15</v>
      </c>
      <c r="E15" s="231">
        <f>IF(基础资料!J12="","",基础资料!J12)</f>
        <v>73.08</v>
      </c>
      <c r="F15" s="232">
        <f>N(基础资料!L12)</f>
        <v>0</v>
      </c>
      <c r="G15" s="233">
        <f>IF(基础资料!N12="",0,基础资料!N12)</f>
        <v>0</v>
      </c>
      <c r="H15" s="220">
        <f>IF($B15="",0,SUMIFS(采购进货!$E$4:$E$1503,采购进货!$D$4:$D$1503,$B15,采购进货!$B$4:$B$1503,"&gt;="&amp;DATE(年度,1,1),采购进货!$B$4:$B$1503,"&lt;"&amp;DATE(年度,1+1,1))+SUMIFS(采购进货!$H$4:$H$1503,采购进货!$D$4:$D$1503,$B15,采购进货!$B$4:$B$1503,"&gt;="&amp;DATE(年度,1,1),采购进货!$B$4:$B$1503,"&lt;"&amp;DATE(年度,1+1,1)))</f>
        <v>0</v>
      </c>
      <c r="I15" s="186">
        <f>IF($B15="",0,SUMIFS(采购进货!$G$4:$G$1503,采购进货!$D$4:$D$1503,$B15,采购进货!$B$4:$B$1503,"&gt;="&amp;DATE(年度,1,1),采购进货!$B$4:$B$1503,"&lt;"&amp;DATE(年度,1+1,1)))</f>
        <v>0</v>
      </c>
      <c r="J15" s="234">
        <f>F15+H15</f>
        <v>0</v>
      </c>
      <c r="K15" s="235">
        <f>G15+I15</f>
        <v>0</v>
      </c>
      <c r="L15" s="222">
        <f>IF(AND(J15&gt;0,K15&gt;0),K15/J15,N($E15))</f>
        <v>73.08</v>
      </c>
      <c r="M15" s="220">
        <f>IF($B15="",0,SUMIFS(出库明细!$E$4:$E$3003,出库明细!$D$4:$D$3003,$B15,出库明细!$B$4:$B$3003,"&gt;="&amp;DATE(年度,1,1),出库明细!$B$4:$B$3003,"&lt;"&amp;DATE(年度,1+1,1)))</f>
        <v>0</v>
      </c>
      <c r="N15" s="186">
        <f>M15*L15</f>
        <v>0</v>
      </c>
      <c r="O15" s="220">
        <f>_辅助!BM13</f>
        <v>0</v>
      </c>
      <c r="P15" s="186">
        <f>_辅助!AC13</f>
        <v>0</v>
      </c>
      <c r="Q15" s="221">
        <f>J15-M15-O15</f>
        <v>0</v>
      </c>
      <c r="R15" s="187">
        <f>K15-N15-P15</f>
        <v>0</v>
      </c>
      <c r="S15" s="236">
        <f>IF(AND(J15&gt;0,K15&gt;0),0,N15)</f>
        <v>0</v>
      </c>
      <c r="T15" s="220">
        <f>IF($B15="",0,SUMIFS(采购进货!$E$4:$E$1503,采购进货!$D$4:$D$1503,$B15,采购进货!$B$4:$B$1503,"&gt;="&amp;DATE(年度,2,1),采购进货!$B$4:$B$1503,"&lt;"&amp;DATE(年度,2+1,1))+SUMIFS(采购进货!$H$4:$H$1503,采购进货!$D$4:$D$1503,$B15,采购进货!$B$4:$B$1503,"&gt;="&amp;DATE(年度,2,1),采购进货!$B$4:$B$1503,"&lt;"&amp;DATE(年度,2+1,1)))</f>
        <v>0</v>
      </c>
      <c r="U15" s="186">
        <f>IF($B15="",0,SUMIFS(采购进货!$G$4:$G$1503,采购进货!$D$4:$D$1503,$B15,采购进货!$B$4:$B$1503,"&gt;="&amp;DATE(年度,2,1),采购进货!$B$4:$B$1503,"&lt;"&amp;DATE(年度,2+1,1)))</f>
        <v>0</v>
      </c>
      <c r="V15" s="234">
        <f>Q15+T15</f>
        <v>0</v>
      </c>
      <c r="W15" s="235">
        <f>R15+U15</f>
        <v>0</v>
      </c>
      <c r="X15" s="222">
        <f>IF(AND(V15&gt;0,W15&gt;0),W15/V15,N($E15))</f>
        <v>73.08</v>
      </c>
      <c r="Y15" s="220">
        <f>IF($B15="",0,SUMIFS(出库明细!$E$4:$E$3003,出库明细!$D$4:$D$3003,$B15,出库明细!$B$4:$B$3003,"&gt;="&amp;DATE(年度,2,1),出库明细!$B$4:$B$3003,"&lt;"&amp;DATE(年度,2+1,1)))</f>
        <v>0</v>
      </c>
      <c r="Z15" s="186">
        <f>Y15*X15</f>
        <v>0</v>
      </c>
      <c r="AA15" s="220">
        <f>_辅助!BN13</f>
        <v>0</v>
      </c>
      <c r="AB15" s="186">
        <f>_辅助!AD13</f>
        <v>0</v>
      </c>
      <c r="AC15" s="221">
        <f>V15-Y15-AA15</f>
        <v>0</v>
      </c>
      <c r="AD15" s="187">
        <f>W15-Z15-AB15</f>
        <v>0</v>
      </c>
      <c r="AE15" s="236">
        <f>IF(AND(V15&gt;0,W15&gt;0),0,Z15)</f>
        <v>0</v>
      </c>
      <c r="AF15" s="220">
        <f>IF($B15="",0,SUMIFS(采购进货!$E$4:$E$1503,采购进货!$D$4:$D$1503,$B15,采购进货!$B$4:$B$1503,"&gt;="&amp;DATE(年度,3,1),采购进货!$B$4:$B$1503,"&lt;"&amp;DATE(年度,3+1,1))+SUMIFS(采购进货!$H$4:$H$1503,采购进货!$D$4:$D$1503,$B15,采购进货!$B$4:$B$1503,"&gt;="&amp;DATE(年度,3,1),采购进货!$B$4:$B$1503,"&lt;"&amp;DATE(年度,3+1,1)))</f>
        <v>0</v>
      </c>
      <c r="AG15" s="186">
        <f>IF($B15="",0,SUMIFS(采购进货!$G$4:$G$1503,采购进货!$D$4:$D$1503,$B15,采购进货!$B$4:$B$1503,"&gt;="&amp;DATE(年度,3,1),采购进货!$B$4:$B$1503,"&lt;"&amp;DATE(年度,3+1,1)))</f>
        <v>0</v>
      </c>
      <c r="AH15" s="234">
        <f>AC15+AF15</f>
        <v>0</v>
      </c>
      <c r="AI15" s="235">
        <f>AD15+AG15</f>
        <v>0</v>
      </c>
      <c r="AJ15" s="222">
        <f>IF(AND(AH15&gt;0,AI15&gt;0),AI15/AH15,N($E15))</f>
        <v>73.08</v>
      </c>
      <c r="AK15" s="220">
        <f>IF($B15="",0,SUMIFS(出库明细!$E$4:$E$3003,出库明细!$D$4:$D$3003,$B15,出库明细!$B$4:$B$3003,"&gt;="&amp;DATE(年度,3,1),出库明细!$B$4:$B$3003,"&lt;"&amp;DATE(年度,3+1,1)))</f>
        <v>0</v>
      </c>
      <c r="AL15" s="186">
        <f>AK15*AJ15</f>
        <v>0</v>
      </c>
      <c r="AM15" s="220">
        <f>_辅助!BO13</f>
        <v>0</v>
      </c>
      <c r="AN15" s="186">
        <f>_辅助!AE13</f>
        <v>0</v>
      </c>
      <c r="AO15" s="221">
        <f>AH15-AK15-AM15</f>
        <v>0</v>
      </c>
      <c r="AP15" s="187">
        <f>AI15-AL15-AN15</f>
        <v>0</v>
      </c>
      <c r="AQ15" s="236">
        <f>IF(AND(AH15&gt;0,AI15&gt;0),0,AL15)</f>
        <v>0</v>
      </c>
      <c r="AR15" s="220">
        <f>IF($B15="",0,SUMIFS(采购进货!$E$4:$E$1503,采购进货!$D$4:$D$1503,$B15,采购进货!$B$4:$B$1503,"&gt;="&amp;DATE(年度,4,1),采购进货!$B$4:$B$1503,"&lt;"&amp;DATE(年度,4+1,1))+SUMIFS(采购进货!$H$4:$H$1503,采购进货!$D$4:$D$1503,$B15,采购进货!$B$4:$B$1503,"&gt;="&amp;DATE(年度,4,1),采购进货!$B$4:$B$1503,"&lt;"&amp;DATE(年度,4+1,1)))</f>
        <v>0</v>
      </c>
      <c r="AS15" s="186">
        <f>IF($B15="",0,SUMIFS(采购进货!$G$4:$G$1503,采购进货!$D$4:$D$1503,$B15,采购进货!$B$4:$B$1503,"&gt;="&amp;DATE(年度,4,1),采购进货!$B$4:$B$1503,"&lt;"&amp;DATE(年度,4+1,1)))</f>
        <v>0</v>
      </c>
      <c r="AT15" s="234">
        <f>AO15+AR15</f>
        <v>0</v>
      </c>
      <c r="AU15" s="235">
        <f>AP15+AS15</f>
        <v>0</v>
      </c>
      <c r="AV15" s="222">
        <f>IF(AND(AT15&gt;0,AU15&gt;0),AU15/AT15,N($E15))</f>
        <v>73.08</v>
      </c>
      <c r="AW15" s="220">
        <f>IF($B15="",0,SUMIFS(出库明细!$E$4:$E$3003,出库明细!$D$4:$D$3003,$B15,出库明细!$B$4:$B$3003,"&gt;="&amp;DATE(年度,4,1),出库明细!$B$4:$B$3003,"&lt;"&amp;DATE(年度,4+1,1)))</f>
        <v>0</v>
      </c>
      <c r="AX15" s="186">
        <f>AW15*AV15</f>
        <v>0</v>
      </c>
      <c r="AY15" s="220">
        <f>_辅助!BP13</f>
        <v>0</v>
      </c>
      <c r="AZ15" s="186">
        <f>_辅助!AF13</f>
        <v>0</v>
      </c>
      <c r="BA15" s="221">
        <f>AT15-AW15-AY15</f>
        <v>0</v>
      </c>
      <c r="BB15" s="187">
        <f>AU15-AX15-AZ15</f>
        <v>0</v>
      </c>
      <c r="BC15" s="236">
        <f>IF(AND(AT15&gt;0,AU15&gt;0),0,AX15)</f>
        <v>0</v>
      </c>
      <c r="BD15" s="220">
        <f>IF($B15="",0,SUMIFS(采购进货!$E$4:$E$1503,采购进货!$D$4:$D$1503,$B15,采购进货!$B$4:$B$1503,"&gt;="&amp;DATE(年度,5,1),采购进货!$B$4:$B$1503,"&lt;"&amp;DATE(年度,5+1,1))+SUMIFS(采购进货!$H$4:$H$1503,采购进货!$D$4:$D$1503,$B15,采购进货!$B$4:$B$1503,"&gt;="&amp;DATE(年度,5,1),采购进货!$B$4:$B$1503,"&lt;"&amp;DATE(年度,5+1,1)))</f>
        <v>0</v>
      </c>
      <c r="BE15" s="186">
        <f>IF($B15="",0,SUMIFS(采购进货!$G$4:$G$1503,采购进货!$D$4:$D$1503,$B15,采购进货!$B$4:$B$1503,"&gt;="&amp;DATE(年度,5,1),采购进货!$B$4:$B$1503,"&lt;"&amp;DATE(年度,5+1,1)))</f>
        <v>0</v>
      </c>
      <c r="BF15" s="234">
        <f>BA15+BD15</f>
        <v>0</v>
      </c>
      <c r="BG15" s="235">
        <f>BB15+BE15</f>
        <v>0</v>
      </c>
      <c r="BH15" s="222">
        <f>IF(AND(BF15&gt;0,BG15&gt;0),BG15/BF15,N($E15))</f>
        <v>73.08</v>
      </c>
      <c r="BI15" s="220">
        <f>IF($B15="",0,SUMIFS(出库明细!$E$4:$E$3003,出库明细!$D$4:$D$3003,$B15,出库明细!$B$4:$B$3003,"&gt;="&amp;DATE(年度,5,1),出库明细!$B$4:$B$3003,"&lt;"&amp;DATE(年度,5+1,1)))</f>
        <v>0</v>
      </c>
      <c r="BJ15" s="186">
        <f>BI15*BH15</f>
        <v>0</v>
      </c>
      <c r="BK15" s="220">
        <f>_辅助!BQ13</f>
        <v>0</v>
      </c>
      <c r="BL15" s="186">
        <f>_辅助!AG13</f>
        <v>0</v>
      </c>
      <c r="BM15" s="221">
        <f>BF15-BI15-BK15</f>
        <v>0</v>
      </c>
      <c r="BN15" s="187">
        <f>BG15-BJ15-BL15</f>
        <v>0</v>
      </c>
      <c r="BO15" s="236">
        <f>IF(AND(BF15&gt;0,BG15&gt;0),0,BJ15)</f>
        <v>0</v>
      </c>
      <c r="BP15" s="220">
        <f>IF($B15="",0,SUMIFS(采购进货!$E$4:$E$1503,采购进货!$D$4:$D$1503,$B15,采购进货!$B$4:$B$1503,"&gt;="&amp;DATE(年度,6,1),采购进货!$B$4:$B$1503,"&lt;"&amp;DATE(年度,6+1,1))+SUMIFS(采购进货!$H$4:$H$1503,采购进货!$D$4:$D$1503,$B15,采购进货!$B$4:$B$1503,"&gt;="&amp;DATE(年度,6,1),采购进货!$B$4:$B$1503,"&lt;"&amp;DATE(年度,6+1,1)))</f>
        <v>0</v>
      </c>
      <c r="BQ15" s="186">
        <f>IF($B15="",0,SUMIFS(采购进货!$G$4:$G$1503,采购进货!$D$4:$D$1503,$B15,采购进货!$B$4:$B$1503,"&gt;="&amp;DATE(年度,6,1),采购进货!$B$4:$B$1503,"&lt;"&amp;DATE(年度,6+1,1)))</f>
        <v>0</v>
      </c>
      <c r="BR15" s="234">
        <f>BM15+BP15</f>
        <v>0</v>
      </c>
      <c r="BS15" s="235">
        <f>BN15+BQ15</f>
        <v>0</v>
      </c>
      <c r="BT15" s="222">
        <f>IF(AND(BR15&gt;0,BS15&gt;0),BS15/BR15,N($E15))</f>
        <v>73.08</v>
      </c>
      <c r="BU15" s="220">
        <f>IF($B15="",0,SUMIFS(出库明细!$E$4:$E$3003,出库明细!$D$4:$D$3003,$B15,出库明细!$B$4:$B$3003,"&gt;="&amp;DATE(年度,6,1),出库明细!$B$4:$B$3003,"&lt;"&amp;DATE(年度,6+1,1)))</f>
        <v>40</v>
      </c>
      <c r="BV15" s="186">
        <f>BU15*BT15</f>
        <v>2923.2</v>
      </c>
      <c r="BW15" s="220">
        <f>_辅助!BR13</f>
        <v>0.933333333333333</v>
      </c>
      <c r="BX15" s="186">
        <f>_辅助!AH13</f>
        <v>68.208</v>
      </c>
      <c r="BY15" s="221">
        <f>BR15-BU15-BW15</f>
        <v>-40.9333333333333</v>
      </c>
      <c r="BZ15" s="187">
        <f>BS15-BV15-BX15</f>
        <v>-2991.408</v>
      </c>
      <c r="CA15" s="236">
        <f>IF(AND(BR15&gt;0,BS15&gt;0),0,BV15)</f>
        <v>2923.2</v>
      </c>
      <c r="CB15" s="220">
        <f>IF($B15="",0,SUMIFS(采购进货!$E$4:$E$1503,采购进货!$D$4:$D$1503,$B15,采购进货!$B$4:$B$1503,"&gt;="&amp;DATE(年度,7,1),采购进货!$B$4:$B$1503,"&lt;"&amp;DATE(年度,7+1,1))+SUMIFS(采购进货!$H$4:$H$1503,采购进货!$D$4:$D$1503,$B15,采购进货!$B$4:$B$1503,"&gt;="&amp;DATE(年度,7,1),采购进货!$B$4:$B$1503,"&lt;"&amp;DATE(年度,7+1,1)))</f>
        <v>0</v>
      </c>
      <c r="CC15" s="186">
        <f>IF($B15="",0,SUMIFS(采购进货!$G$4:$G$1503,采购进货!$D$4:$D$1503,$B15,采购进货!$B$4:$B$1503,"&gt;="&amp;DATE(年度,7,1),采购进货!$B$4:$B$1503,"&lt;"&amp;DATE(年度,7+1,1)))</f>
        <v>0</v>
      </c>
      <c r="CD15" s="234">
        <f>BY15+CB15</f>
        <v>-40.9333333333333</v>
      </c>
      <c r="CE15" s="235">
        <f>BZ15+CC15</f>
        <v>-2991.408</v>
      </c>
      <c r="CF15" s="222">
        <f>IF(AND(CD15&gt;0,CE15&gt;0),CE15/CD15,N($E15))</f>
        <v>73.08</v>
      </c>
      <c r="CG15" s="220">
        <f>IF($B15="",0,SUMIFS(出库明细!$E$4:$E$3003,出库明细!$D$4:$D$3003,$B15,出库明细!$B$4:$B$3003,"&gt;="&amp;DATE(年度,7,1),出库明细!$B$4:$B$3003,"&lt;"&amp;DATE(年度,7+1,1)))</f>
        <v>245</v>
      </c>
      <c r="CH15" s="186">
        <f>CG15*CF15</f>
        <v>17904.6</v>
      </c>
      <c r="CI15" s="220">
        <f>_辅助!BS13</f>
        <v>0</v>
      </c>
      <c r="CJ15" s="186">
        <f>_辅助!AI13</f>
        <v>0</v>
      </c>
      <c r="CK15" s="221">
        <f>CD15-CG15-CI15</f>
        <v>-285.933333333333</v>
      </c>
      <c r="CL15" s="187">
        <f>CE15-CH15-CJ15</f>
        <v>-20896.008</v>
      </c>
      <c r="CM15" s="236">
        <f>IF(AND(CD15&gt;0,CE15&gt;0),0,CH15)</f>
        <v>17904.6</v>
      </c>
      <c r="CN15" s="220">
        <f>IF($B15="",0,SUMIFS(采购进货!$E$4:$E$1503,采购进货!$D$4:$D$1503,$B15,采购进货!$B$4:$B$1503,"&gt;="&amp;DATE(年度,8,1),采购进货!$B$4:$B$1503,"&lt;"&amp;DATE(年度,8+1,1))+SUMIFS(采购进货!$H$4:$H$1503,采购进货!$D$4:$D$1503,$B15,采购进货!$B$4:$B$1503,"&gt;="&amp;DATE(年度,8,1),采购进货!$B$4:$B$1503,"&lt;"&amp;DATE(年度,8+1,1)))</f>
        <v>0</v>
      </c>
      <c r="CO15" s="186">
        <f>IF($B15="",0,SUMIFS(采购进货!$G$4:$G$1503,采购进货!$D$4:$D$1503,$B15,采购进货!$B$4:$B$1503,"&gt;="&amp;DATE(年度,8,1),采购进货!$B$4:$B$1503,"&lt;"&amp;DATE(年度,8+1,1)))</f>
        <v>0</v>
      </c>
      <c r="CP15" s="234">
        <f>CK15+CN15</f>
        <v>-285.933333333333</v>
      </c>
      <c r="CQ15" s="235">
        <f>CL15+CO15</f>
        <v>-20896.008</v>
      </c>
      <c r="CR15" s="222">
        <f>IF(AND(CP15&gt;0,CQ15&gt;0),CQ15/CP15,N($E15))</f>
        <v>73.08</v>
      </c>
      <c r="CS15" s="220">
        <f>IF($B15="",0,SUMIFS(出库明细!$E$4:$E$3003,出库明细!$D$4:$D$3003,$B15,出库明细!$B$4:$B$3003,"&gt;="&amp;DATE(年度,8,1),出库明细!$B$4:$B$3003,"&lt;"&amp;DATE(年度,8+1,1)))</f>
        <v>220</v>
      </c>
      <c r="CT15" s="186">
        <f>CS15*CR15</f>
        <v>16077.6</v>
      </c>
      <c r="CU15" s="220">
        <f>_辅助!BT13</f>
        <v>0</v>
      </c>
      <c r="CV15" s="186">
        <f>_辅助!AJ13</f>
        <v>0</v>
      </c>
      <c r="CW15" s="221">
        <f>CP15-CS15-CU15</f>
        <v>-505.933333333333</v>
      </c>
      <c r="CX15" s="187">
        <f>CQ15-CT15-CV15</f>
        <v>-36973.608</v>
      </c>
      <c r="CY15" s="236">
        <f>IF(AND(CP15&gt;0,CQ15&gt;0),0,CT15)</f>
        <v>16077.6</v>
      </c>
      <c r="CZ15" s="220">
        <f>IF($B15="",0,SUMIFS(采购进货!$E$4:$E$1503,采购进货!$D$4:$D$1503,$B15,采购进货!$B$4:$B$1503,"&gt;="&amp;DATE(年度,9,1),采购进货!$B$4:$B$1503,"&lt;"&amp;DATE(年度,9+1,1))+SUMIFS(采购进货!$H$4:$H$1503,采购进货!$D$4:$D$1503,$B15,采购进货!$B$4:$B$1503,"&gt;="&amp;DATE(年度,9,1),采购进货!$B$4:$B$1503,"&lt;"&amp;DATE(年度,9+1,1)))</f>
        <v>0</v>
      </c>
      <c r="DA15" s="186">
        <f>IF($B15="",0,SUMIFS(采购进货!$G$4:$G$1503,采购进货!$D$4:$D$1503,$B15,采购进货!$B$4:$B$1503,"&gt;="&amp;DATE(年度,9,1),采购进货!$B$4:$B$1503,"&lt;"&amp;DATE(年度,9+1,1)))</f>
        <v>0</v>
      </c>
      <c r="DB15" s="234">
        <f>CW15+CZ15</f>
        <v>-505.933333333333</v>
      </c>
      <c r="DC15" s="235">
        <f>CX15+DA15</f>
        <v>-36973.608</v>
      </c>
      <c r="DD15" s="222">
        <f>IF(AND(DB15&gt;0,DC15&gt;0),DC15/DB15,N($E15))</f>
        <v>73.08</v>
      </c>
      <c r="DE15" s="220">
        <f>IF($B15="",0,SUMIFS(出库明细!$E$4:$E$3003,出库明细!$D$4:$D$3003,$B15,出库明细!$B$4:$B$3003,"&gt;="&amp;DATE(年度,9,1),出库明细!$B$4:$B$3003,"&lt;"&amp;DATE(年度,9+1,1)))</f>
        <v>15</v>
      </c>
      <c r="DF15" s="186">
        <f>DE15*DD15</f>
        <v>1096.2</v>
      </c>
      <c r="DG15" s="220">
        <f>_辅助!BU13</f>
        <v>0</v>
      </c>
      <c r="DH15" s="186">
        <f>_辅助!AK13</f>
        <v>0</v>
      </c>
      <c r="DI15" s="221">
        <f>DB15-DE15-DG15</f>
        <v>-520.933333333333</v>
      </c>
      <c r="DJ15" s="187">
        <f>DC15-DF15-DH15</f>
        <v>-38069.808</v>
      </c>
      <c r="DK15" s="236">
        <f>IF(AND(DB15&gt;0,DC15&gt;0),0,DF15)</f>
        <v>1096.2</v>
      </c>
      <c r="DL15" s="220">
        <f>IF($B15="",0,SUMIFS(采购进货!$E$4:$E$1503,采购进货!$D$4:$D$1503,$B15,采购进货!$B$4:$B$1503,"&gt;="&amp;DATE(年度,10,1),采购进货!$B$4:$B$1503,"&lt;"&amp;DATE(年度,10+1,1))+SUMIFS(采购进货!$H$4:$H$1503,采购进货!$D$4:$D$1503,$B15,采购进货!$B$4:$B$1503,"&gt;="&amp;DATE(年度,10,1),采购进货!$B$4:$B$1503,"&lt;"&amp;DATE(年度,10+1,1)))</f>
        <v>0</v>
      </c>
      <c r="DM15" s="186">
        <f>IF($B15="",0,SUMIFS(采购进货!$G$4:$G$1503,采购进货!$D$4:$D$1503,$B15,采购进货!$B$4:$B$1503,"&gt;="&amp;DATE(年度,10,1),采购进货!$B$4:$B$1503,"&lt;"&amp;DATE(年度,10+1,1)))</f>
        <v>0</v>
      </c>
      <c r="DN15" s="234">
        <f>DI15+DL15</f>
        <v>-520.933333333333</v>
      </c>
      <c r="DO15" s="235">
        <f>DJ15+DM15</f>
        <v>-38069.808</v>
      </c>
      <c r="DP15" s="222">
        <f>IF(AND(DN15&gt;0,DO15&gt;0),DO15/DN15,N($E15))</f>
        <v>73.08</v>
      </c>
      <c r="DQ15" s="220">
        <f>IF($B15="",0,SUMIFS(出库明细!$E$4:$E$3003,出库明细!$D$4:$D$3003,$B15,出库明细!$B$4:$B$3003,"&gt;="&amp;DATE(年度,10,1),出库明细!$B$4:$B$3003,"&lt;"&amp;DATE(年度,10+1,1)))</f>
        <v>0</v>
      </c>
      <c r="DR15" s="186">
        <f>DQ15*DP15</f>
        <v>0</v>
      </c>
      <c r="DS15" s="220">
        <f>_辅助!BV13</f>
        <v>0</v>
      </c>
      <c r="DT15" s="186">
        <f>_辅助!AL13</f>
        <v>0</v>
      </c>
      <c r="DU15" s="221">
        <f>DN15-DQ15-DS15</f>
        <v>-520.933333333333</v>
      </c>
      <c r="DV15" s="187">
        <f>DO15-DR15-DT15</f>
        <v>-38069.808</v>
      </c>
      <c r="DW15" s="236">
        <f>IF(AND(DN15&gt;0,DO15&gt;0),0,DR15)</f>
        <v>0</v>
      </c>
      <c r="DX15" s="220">
        <f>IF($B15="",0,SUMIFS(采购进货!$E$4:$E$1503,采购进货!$D$4:$D$1503,$B15,采购进货!$B$4:$B$1503,"&gt;="&amp;DATE(年度,11,1),采购进货!$B$4:$B$1503,"&lt;"&amp;DATE(年度,11+1,1))+SUMIFS(采购进货!$H$4:$H$1503,采购进货!$D$4:$D$1503,$B15,采购进货!$B$4:$B$1503,"&gt;="&amp;DATE(年度,11,1),采购进货!$B$4:$B$1503,"&lt;"&amp;DATE(年度,11+1,1)))</f>
        <v>0</v>
      </c>
      <c r="DY15" s="186">
        <f>IF($B15="",0,SUMIFS(采购进货!$G$4:$G$1503,采购进货!$D$4:$D$1503,$B15,采购进货!$B$4:$B$1503,"&gt;="&amp;DATE(年度,11,1),采购进货!$B$4:$B$1503,"&lt;"&amp;DATE(年度,11+1,1)))</f>
        <v>0</v>
      </c>
      <c r="DZ15" s="234">
        <f>DU15+DX15</f>
        <v>-520.933333333333</v>
      </c>
      <c r="EA15" s="235">
        <f>DV15+DY15</f>
        <v>-38069.808</v>
      </c>
      <c r="EB15" s="222">
        <f>IF(AND(DZ15&gt;0,EA15&gt;0),EA15/DZ15,N($E15))</f>
        <v>73.08</v>
      </c>
      <c r="EC15" s="220">
        <f>IF($B15="",0,SUMIFS(出库明细!$E$4:$E$3003,出库明细!$D$4:$D$3003,$B15,出库明细!$B$4:$B$3003,"&gt;="&amp;DATE(年度,11,1),出库明细!$B$4:$B$3003,"&lt;"&amp;DATE(年度,11+1,1)))</f>
        <v>0</v>
      </c>
      <c r="ED15" s="186">
        <f>EC15*EB15</f>
        <v>0</v>
      </c>
      <c r="EE15" s="220">
        <f>_辅助!BW13</f>
        <v>0</v>
      </c>
      <c r="EF15" s="186">
        <f>_辅助!AM13</f>
        <v>0</v>
      </c>
      <c r="EG15" s="221">
        <f>DZ15-EC15-EE15</f>
        <v>-520.933333333333</v>
      </c>
      <c r="EH15" s="187">
        <f>EA15-ED15-EF15</f>
        <v>-38069.808</v>
      </c>
      <c r="EI15" s="236">
        <f>IF(AND(DZ15&gt;0,EA15&gt;0),0,ED15)</f>
        <v>0</v>
      </c>
      <c r="EJ15" s="220">
        <f>IF($B15="",0,SUMIFS(采购进货!$E$4:$E$1503,采购进货!$D$4:$D$1503,$B15,采购进货!$B$4:$B$1503,"&gt;="&amp;DATE(年度,12,1),采购进货!$B$4:$B$1503,"&lt;"&amp;DATE(年度,12+1,1))+SUMIFS(采购进货!$H$4:$H$1503,采购进货!$D$4:$D$1503,$B15,采购进货!$B$4:$B$1503,"&gt;="&amp;DATE(年度,12,1),采购进货!$B$4:$B$1503,"&lt;"&amp;DATE(年度,12+1,1)))</f>
        <v>0</v>
      </c>
      <c r="EK15" s="186">
        <f>IF($B15="",0,SUMIFS(采购进货!$G$4:$G$1503,采购进货!$D$4:$D$1503,$B15,采购进货!$B$4:$B$1503,"&gt;="&amp;DATE(年度,12,1),采购进货!$B$4:$B$1503,"&lt;"&amp;DATE(年度,12+1,1)))</f>
        <v>0</v>
      </c>
      <c r="EL15" s="234">
        <f>EG15+EJ15</f>
        <v>-520.933333333333</v>
      </c>
      <c r="EM15" s="235">
        <f>EH15+EK15</f>
        <v>-38069.808</v>
      </c>
      <c r="EN15" s="222">
        <f>IF(AND(EL15&gt;0,EM15&gt;0),EM15/EL15,N($E15))</f>
        <v>73.08</v>
      </c>
      <c r="EO15" s="220">
        <f>IF($B15="",0,SUMIFS(出库明细!$E$4:$E$3003,出库明细!$D$4:$D$3003,$B15,出库明细!$B$4:$B$3003,"&gt;="&amp;DATE(年度,12,1),出库明细!$B$4:$B$3003,"&lt;"&amp;DATE(年度,12+1,1)))</f>
        <v>0</v>
      </c>
      <c r="EP15" s="186">
        <f>EO15*EN15</f>
        <v>0</v>
      </c>
      <c r="EQ15" s="220">
        <f>_辅助!BX13</f>
        <v>0</v>
      </c>
      <c r="ER15" s="186">
        <f>_辅助!AN13</f>
        <v>0</v>
      </c>
      <c r="ES15" s="221">
        <f>EL15-EO15-EQ15</f>
        <v>-520.933333333333</v>
      </c>
      <c r="ET15" s="187">
        <f>EM15-EP15-ER15</f>
        <v>-38069.808</v>
      </c>
      <c r="EU15" s="236">
        <f>IF(AND(EL15&gt;0,EM15&gt;0),0,EP15)</f>
        <v>0</v>
      </c>
    </row>
    <row r="16">
      <c r="A16" s="194">
        <f>IF(B16="","",ROW()-7)</f>
        <v>9</v>
      </c>
      <c r="B16" s="141" t="str">
        <f>IF(基础资料!E13="","",基础资料!E13&amp;"")</f>
        <v>330大咖</v>
      </c>
      <c r="C16" s="230">
        <f>IF(基础资料!G13="","",基础资料!G13&amp;"")</f>
      </c>
      <c r="D16" s="194">
        <f>IF(基础资料!I13="","",基础资料!I13)</f>
      </c>
      <c r="E16" s="231">
        <f>IF(基础资料!J13="","",基础资料!J13)</f>
      </c>
      <c r="F16" s="232">
        <f>N(基础资料!L13)</f>
        <v>0</v>
      </c>
      <c r="G16" s="233">
        <f>IF(基础资料!N13="",0,基础资料!N13)</f>
        <v>0</v>
      </c>
      <c r="H16" s="220">
        <f>IF($B16="",0,SUMIFS(采购进货!$E$4:$E$1503,采购进货!$D$4:$D$1503,$B16,采购进货!$B$4:$B$1503,"&gt;="&amp;DATE(年度,1,1),采购进货!$B$4:$B$1503,"&lt;"&amp;DATE(年度,1+1,1))+SUMIFS(采购进货!$H$4:$H$1503,采购进货!$D$4:$D$1503,$B16,采购进货!$B$4:$B$1503,"&gt;="&amp;DATE(年度,1,1),采购进货!$B$4:$B$1503,"&lt;"&amp;DATE(年度,1+1,1)))</f>
        <v>0</v>
      </c>
      <c r="I16" s="186">
        <f>IF($B16="",0,SUMIFS(采购进货!$G$4:$G$1503,采购进货!$D$4:$D$1503,$B16,采购进货!$B$4:$B$1503,"&gt;="&amp;DATE(年度,1,1),采购进货!$B$4:$B$1503,"&lt;"&amp;DATE(年度,1+1,1)))</f>
        <v>0</v>
      </c>
      <c r="J16" s="234">
        <f>F16+H16</f>
        <v>0</v>
      </c>
      <c r="K16" s="235">
        <f>G16+I16</f>
        <v>0</v>
      </c>
      <c r="L16" s="222">
        <f>IF(AND(J16&gt;0,K16&gt;0),K16/J16,N($E16))</f>
        <v>0</v>
      </c>
      <c r="M16" s="220">
        <f>IF($B16="",0,SUMIFS(出库明细!$E$4:$E$3003,出库明细!$D$4:$D$3003,$B16,出库明细!$B$4:$B$3003,"&gt;="&amp;DATE(年度,1,1),出库明细!$B$4:$B$3003,"&lt;"&amp;DATE(年度,1+1,1)))</f>
        <v>0</v>
      </c>
      <c r="N16" s="186">
        <f>M16*L16</f>
        <v>0</v>
      </c>
      <c r="O16" s="220">
        <f>_辅助!BM14</f>
        <v>0</v>
      </c>
      <c r="P16" s="186">
        <f>_辅助!AC14</f>
        <v>0</v>
      </c>
      <c r="Q16" s="221">
        <f>J16-M16-O16</f>
        <v>0</v>
      </c>
      <c r="R16" s="187">
        <f>K16-N16-P16</f>
        <v>0</v>
      </c>
      <c r="S16" s="236">
        <f>IF(AND(J16&gt;0,K16&gt;0),0,N16)</f>
        <v>0</v>
      </c>
      <c r="T16" s="220">
        <f>IF($B16="",0,SUMIFS(采购进货!$E$4:$E$1503,采购进货!$D$4:$D$1503,$B16,采购进货!$B$4:$B$1503,"&gt;="&amp;DATE(年度,2,1),采购进货!$B$4:$B$1503,"&lt;"&amp;DATE(年度,2+1,1))+SUMIFS(采购进货!$H$4:$H$1503,采购进货!$D$4:$D$1503,$B16,采购进货!$B$4:$B$1503,"&gt;="&amp;DATE(年度,2,1),采购进货!$B$4:$B$1503,"&lt;"&amp;DATE(年度,2+1,1)))</f>
        <v>0</v>
      </c>
      <c r="U16" s="186">
        <f>IF($B16="",0,SUMIFS(采购进货!$G$4:$G$1503,采购进货!$D$4:$D$1503,$B16,采购进货!$B$4:$B$1503,"&gt;="&amp;DATE(年度,2,1),采购进货!$B$4:$B$1503,"&lt;"&amp;DATE(年度,2+1,1)))</f>
        <v>0</v>
      </c>
      <c r="V16" s="234">
        <f>Q16+T16</f>
        <v>0</v>
      </c>
      <c r="W16" s="235">
        <f>R16+U16</f>
        <v>0</v>
      </c>
      <c r="X16" s="222">
        <f>IF(AND(V16&gt;0,W16&gt;0),W16/V16,N($E16))</f>
        <v>0</v>
      </c>
      <c r="Y16" s="220">
        <f>IF($B16="",0,SUMIFS(出库明细!$E$4:$E$3003,出库明细!$D$4:$D$3003,$B16,出库明细!$B$4:$B$3003,"&gt;="&amp;DATE(年度,2,1),出库明细!$B$4:$B$3003,"&lt;"&amp;DATE(年度,2+1,1)))</f>
        <v>0</v>
      </c>
      <c r="Z16" s="186">
        <f>Y16*X16</f>
        <v>0</v>
      </c>
      <c r="AA16" s="220">
        <f>_辅助!BN14</f>
        <v>0</v>
      </c>
      <c r="AB16" s="186">
        <f>_辅助!AD14</f>
        <v>0</v>
      </c>
      <c r="AC16" s="221">
        <f>V16-Y16-AA16</f>
        <v>0</v>
      </c>
      <c r="AD16" s="187">
        <f>W16-Z16-AB16</f>
        <v>0</v>
      </c>
      <c r="AE16" s="236">
        <f>IF(AND(V16&gt;0,W16&gt;0),0,Z16)</f>
        <v>0</v>
      </c>
      <c r="AF16" s="220">
        <f>IF($B16="",0,SUMIFS(采购进货!$E$4:$E$1503,采购进货!$D$4:$D$1503,$B16,采购进货!$B$4:$B$1503,"&gt;="&amp;DATE(年度,3,1),采购进货!$B$4:$B$1503,"&lt;"&amp;DATE(年度,3+1,1))+SUMIFS(采购进货!$H$4:$H$1503,采购进货!$D$4:$D$1503,$B16,采购进货!$B$4:$B$1503,"&gt;="&amp;DATE(年度,3,1),采购进货!$B$4:$B$1503,"&lt;"&amp;DATE(年度,3+1,1)))</f>
        <v>0</v>
      </c>
      <c r="AG16" s="186">
        <f>IF($B16="",0,SUMIFS(采购进货!$G$4:$G$1503,采购进货!$D$4:$D$1503,$B16,采购进货!$B$4:$B$1503,"&gt;="&amp;DATE(年度,3,1),采购进货!$B$4:$B$1503,"&lt;"&amp;DATE(年度,3+1,1)))</f>
        <v>0</v>
      </c>
      <c r="AH16" s="234">
        <f>AC16+AF16</f>
        <v>0</v>
      </c>
      <c r="AI16" s="235">
        <f>AD16+AG16</f>
        <v>0</v>
      </c>
      <c r="AJ16" s="222">
        <f>IF(AND(AH16&gt;0,AI16&gt;0),AI16/AH16,N($E16))</f>
        <v>0</v>
      </c>
      <c r="AK16" s="220">
        <f>IF($B16="",0,SUMIFS(出库明细!$E$4:$E$3003,出库明细!$D$4:$D$3003,$B16,出库明细!$B$4:$B$3003,"&gt;="&amp;DATE(年度,3,1),出库明细!$B$4:$B$3003,"&lt;"&amp;DATE(年度,3+1,1)))</f>
        <v>0</v>
      </c>
      <c r="AL16" s="186">
        <f>AK16*AJ16</f>
        <v>0</v>
      </c>
      <c r="AM16" s="220">
        <f>_辅助!BO14</f>
        <v>0</v>
      </c>
      <c r="AN16" s="186">
        <f>_辅助!AE14</f>
        <v>0</v>
      </c>
      <c r="AO16" s="221">
        <f>AH16-AK16-AM16</f>
        <v>0</v>
      </c>
      <c r="AP16" s="187">
        <f>AI16-AL16-AN16</f>
        <v>0</v>
      </c>
      <c r="AQ16" s="236">
        <f>IF(AND(AH16&gt;0,AI16&gt;0),0,AL16)</f>
        <v>0</v>
      </c>
      <c r="AR16" s="220">
        <f>IF($B16="",0,SUMIFS(采购进货!$E$4:$E$1503,采购进货!$D$4:$D$1503,$B16,采购进货!$B$4:$B$1503,"&gt;="&amp;DATE(年度,4,1),采购进货!$B$4:$B$1503,"&lt;"&amp;DATE(年度,4+1,1))+SUMIFS(采购进货!$H$4:$H$1503,采购进货!$D$4:$D$1503,$B16,采购进货!$B$4:$B$1503,"&gt;="&amp;DATE(年度,4,1),采购进货!$B$4:$B$1503,"&lt;"&amp;DATE(年度,4+1,1)))</f>
        <v>0</v>
      </c>
      <c r="AS16" s="186">
        <f>IF($B16="",0,SUMIFS(采购进货!$G$4:$G$1503,采购进货!$D$4:$D$1503,$B16,采购进货!$B$4:$B$1503,"&gt;="&amp;DATE(年度,4,1),采购进货!$B$4:$B$1503,"&lt;"&amp;DATE(年度,4+1,1)))</f>
        <v>0</v>
      </c>
      <c r="AT16" s="234">
        <f>AO16+AR16</f>
        <v>0</v>
      </c>
      <c r="AU16" s="235">
        <f>AP16+AS16</f>
        <v>0</v>
      </c>
      <c r="AV16" s="222">
        <f>IF(AND(AT16&gt;0,AU16&gt;0),AU16/AT16,N($E16))</f>
        <v>0</v>
      </c>
      <c r="AW16" s="220">
        <f>IF($B16="",0,SUMIFS(出库明细!$E$4:$E$3003,出库明细!$D$4:$D$3003,$B16,出库明细!$B$4:$B$3003,"&gt;="&amp;DATE(年度,4,1),出库明细!$B$4:$B$3003,"&lt;"&amp;DATE(年度,4+1,1)))</f>
        <v>0</v>
      </c>
      <c r="AX16" s="186">
        <f>AW16*AV16</f>
        <v>0</v>
      </c>
      <c r="AY16" s="220">
        <f>_辅助!BP14</f>
        <v>0</v>
      </c>
      <c r="AZ16" s="186">
        <f>_辅助!AF14</f>
        <v>0</v>
      </c>
      <c r="BA16" s="221">
        <f>AT16-AW16-AY16</f>
        <v>0</v>
      </c>
      <c r="BB16" s="187">
        <f>AU16-AX16-AZ16</f>
        <v>0</v>
      </c>
      <c r="BC16" s="236">
        <f>IF(AND(AT16&gt;0,AU16&gt;0),0,AX16)</f>
        <v>0</v>
      </c>
      <c r="BD16" s="220">
        <f>IF($B16="",0,SUMIFS(采购进货!$E$4:$E$1503,采购进货!$D$4:$D$1503,$B16,采购进货!$B$4:$B$1503,"&gt;="&amp;DATE(年度,5,1),采购进货!$B$4:$B$1503,"&lt;"&amp;DATE(年度,5+1,1))+SUMIFS(采购进货!$H$4:$H$1503,采购进货!$D$4:$D$1503,$B16,采购进货!$B$4:$B$1503,"&gt;="&amp;DATE(年度,5,1),采购进货!$B$4:$B$1503,"&lt;"&amp;DATE(年度,5+1,1)))</f>
        <v>0</v>
      </c>
      <c r="BE16" s="186">
        <f>IF($B16="",0,SUMIFS(采购进货!$G$4:$G$1503,采购进货!$D$4:$D$1503,$B16,采购进货!$B$4:$B$1503,"&gt;="&amp;DATE(年度,5,1),采购进货!$B$4:$B$1503,"&lt;"&amp;DATE(年度,5+1,1)))</f>
        <v>0</v>
      </c>
      <c r="BF16" s="234">
        <f>BA16+BD16</f>
        <v>0</v>
      </c>
      <c r="BG16" s="235">
        <f>BB16+BE16</f>
        <v>0</v>
      </c>
      <c r="BH16" s="222">
        <f>IF(AND(BF16&gt;0,BG16&gt;0),BG16/BF16,N($E16))</f>
        <v>0</v>
      </c>
      <c r="BI16" s="220">
        <f>IF($B16="",0,SUMIFS(出库明细!$E$4:$E$3003,出库明细!$D$4:$D$3003,$B16,出库明细!$B$4:$B$3003,"&gt;="&amp;DATE(年度,5,1),出库明细!$B$4:$B$3003,"&lt;"&amp;DATE(年度,5+1,1)))</f>
        <v>0</v>
      </c>
      <c r="BJ16" s="186">
        <f>BI16*BH16</f>
        <v>0</v>
      </c>
      <c r="BK16" s="220">
        <f>_辅助!BQ14</f>
        <v>0</v>
      </c>
      <c r="BL16" s="186">
        <f>_辅助!AG14</f>
        <v>0</v>
      </c>
      <c r="BM16" s="221">
        <f>BF16-BI16-BK16</f>
        <v>0</v>
      </c>
      <c r="BN16" s="187">
        <f>BG16-BJ16-BL16</f>
        <v>0</v>
      </c>
      <c r="BO16" s="236">
        <f>IF(AND(BF16&gt;0,BG16&gt;0),0,BJ16)</f>
        <v>0</v>
      </c>
      <c r="BP16" s="220">
        <f>IF($B16="",0,SUMIFS(采购进货!$E$4:$E$1503,采购进货!$D$4:$D$1503,$B16,采购进货!$B$4:$B$1503,"&gt;="&amp;DATE(年度,6,1),采购进货!$B$4:$B$1503,"&lt;"&amp;DATE(年度,6+1,1))+SUMIFS(采购进货!$H$4:$H$1503,采购进货!$D$4:$D$1503,$B16,采购进货!$B$4:$B$1503,"&gt;="&amp;DATE(年度,6,1),采购进货!$B$4:$B$1503,"&lt;"&amp;DATE(年度,6+1,1)))</f>
        <v>0</v>
      </c>
      <c r="BQ16" s="186">
        <f>IF($B16="",0,SUMIFS(采购进货!$G$4:$G$1503,采购进货!$D$4:$D$1503,$B16,采购进货!$B$4:$B$1503,"&gt;="&amp;DATE(年度,6,1),采购进货!$B$4:$B$1503,"&lt;"&amp;DATE(年度,6+1,1)))</f>
        <v>0</v>
      </c>
      <c r="BR16" s="234">
        <f>BM16+BP16</f>
        <v>0</v>
      </c>
      <c r="BS16" s="235">
        <f>BN16+BQ16</f>
        <v>0</v>
      </c>
      <c r="BT16" s="222">
        <f>IF(AND(BR16&gt;0,BS16&gt;0),BS16/BR16,N($E16))</f>
        <v>0</v>
      </c>
      <c r="BU16" s="220">
        <f>IF($B16="",0,SUMIFS(出库明细!$E$4:$E$3003,出库明细!$D$4:$D$3003,$B16,出库明细!$B$4:$B$3003,"&gt;="&amp;DATE(年度,6,1),出库明细!$B$4:$B$3003,"&lt;"&amp;DATE(年度,6+1,1)))</f>
        <v>0</v>
      </c>
      <c r="BV16" s="186">
        <f>BU16*BT16</f>
        <v>0</v>
      </c>
      <c r="BW16" s="220">
        <f>_辅助!BR14</f>
        <v>0</v>
      </c>
      <c r="BX16" s="186">
        <f>_辅助!AH14</f>
        <v>0</v>
      </c>
      <c r="BY16" s="221">
        <f>BR16-BU16-BW16</f>
        <v>0</v>
      </c>
      <c r="BZ16" s="187">
        <f>BS16-BV16-BX16</f>
        <v>0</v>
      </c>
      <c r="CA16" s="236">
        <f>IF(AND(BR16&gt;0,BS16&gt;0),0,BV16)</f>
        <v>0</v>
      </c>
      <c r="CB16" s="220">
        <f>IF($B16="",0,SUMIFS(采购进货!$E$4:$E$1503,采购进货!$D$4:$D$1503,$B16,采购进货!$B$4:$B$1503,"&gt;="&amp;DATE(年度,7,1),采购进货!$B$4:$B$1503,"&lt;"&amp;DATE(年度,7+1,1))+SUMIFS(采购进货!$H$4:$H$1503,采购进货!$D$4:$D$1503,$B16,采购进货!$B$4:$B$1503,"&gt;="&amp;DATE(年度,7,1),采购进货!$B$4:$B$1503,"&lt;"&amp;DATE(年度,7+1,1)))</f>
        <v>0</v>
      </c>
      <c r="CC16" s="186">
        <f>IF($B16="",0,SUMIFS(采购进货!$G$4:$G$1503,采购进货!$D$4:$D$1503,$B16,采购进货!$B$4:$B$1503,"&gt;="&amp;DATE(年度,7,1),采购进货!$B$4:$B$1503,"&lt;"&amp;DATE(年度,7+1,1)))</f>
        <v>0</v>
      </c>
      <c r="CD16" s="234">
        <f>BY16+CB16</f>
        <v>0</v>
      </c>
      <c r="CE16" s="235">
        <f>BZ16+CC16</f>
        <v>0</v>
      </c>
      <c r="CF16" s="222">
        <f>IF(AND(CD16&gt;0,CE16&gt;0),CE16/CD16,N($E16))</f>
        <v>0</v>
      </c>
      <c r="CG16" s="220">
        <f>IF($B16="",0,SUMIFS(出库明细!$E$4:$E$3003,出库明细!$D$4:$D$3003,$B16,出库明细!$B$4:$B$3003,"&gt;="&amp;DATE(年度,7,1),出库明细!$B$4:$B$3003,"&lt;"&amp;DATE(年度,7+1,1)))</f>
        <v>50</v>
      </c>
      <c r="CH16" s="186">
        <f>CG16*CF16</f>
        <v>0</v>
      </c>
      <c r="CI16" s="220">
        <f>_辅助!BS14</f>
        <v>0</v>
      </c>
      <c r="CJ16" s="186">
        <f>_辅助!AI14</f>
        <v>0</v>
      </c>
      <c r="CK16" s="221">
        <f>CD16-CG16-CI16</f>
        <v>-50</v>
      </c>
      <c r="CL16" s="187">
        <f>CE16-CH16-CJ16</f>
        <v>0</v>
      </c>
      <c r="CM16" s="236">
        <f>IF(AND(CD16&gt;0,CE16&gt;0),0,CH16)</f>
        <v>0</v>
      </c>
      <c r="CN16" s="220">
        <f>IF($B16="",0,SUMIFS(采购进货!$E$4:$E$1503,采购进货!$D$4:$D$1503,$B16,采购进货!$B$4:$B$1503,"&gt;="&amp;DATE(年度,8,1),采购进货!$B$4:$B$1503,"&lt;"&amp;DATE(年度,8+1,1))+SUMIFS(采购进货!$H$4:$H$1503,采购进货!$D$4:$D$1503,$B16,采购进货!$B$4:$B$1503,"&gt;="&amp;DATE(年度,8,1),采购进货!$B$4:$B$1503,"&lt;"&amp;DATE(年度,8+1,1)))</f>
        <v>0</v>
      </c>
      <c r="CO16" s="186">
        <f>IF($B16="",0,SUMIFS(采购进货!$G$4:$G$1503,采购进货!$D$4:$D$1503,$B16,采购进货!$B$4:$B$1503,"&gt;="&amp;DATE(年度,8,1),采购进货!$B$4:$B$1503,"&lt;"&amp;DATE(年度,8+1,1)))</f>
        <v>0</v>
      </c>
      <c r="CP16" s="234">
        <f>CK16+CN16</f>
        <v>-50</v>
      </c>
      <c r="CQ16" s="235">
        <f>CL16+CO16</f>
        <v>0</v>
      </c>
      <c r="CR16" s="222">
        <f>IF(AND(CP16&gt;0,CQ16&gt;0),CQ16/CP16,N($E16))</f>
        <v>0</v>
      </c>
      <c r="CS16" s="220">
        <f>IF($B16="",0,SUMIFS(出库明细!$E$4:$E$3003,出库明细!$D$4:$D$3003,$B16,出库明细!$B$4:$B$3003,"&gt;="&amp;DATE(年度,8,1),出库明细!$B$4:$B$3003,"&lt;"&amp;DATE(年度,8+1,1)))</f>
        <v>5</v>
      </c>
      <c r="CT16" s="186">
        <f>CS16*CR16</f>
        <v>0</v>
      </c>
      <c r="CU16" s="220">
        <f>_辅助!BT14</f>
        <v>0</v>
      </c>
      <c r="CV16" s="186">
        <f>_辅助!AJ14</f>
        <v>0</v>
      </c>
      <c r="CW16" s="221">
        <f>CP16-CS16-CU16</f>
        <v>-55</v>
      </c>
      <c r="CX16" s="187">
        <f>CQ16-CT16-CV16</f>
        <v>0</v>
      </c>
      <c r="CY16" s="236">
        <f>IF(AND(CP16&gt;0,CQ16&gt;0),0,CT16)</f>
        <v>0</v>
      </c>
      <c r="CZ16" s="220">
        <f>IF($B16="",0,SUMIFS(采购进货!$E$4:$E$1503,采购进货!$D$4:$D$1503,$B16,采购进货!$B$4:$B$1503,"&gt;="&amp;DATE(年度,9,1),采购进货!$B$4:$B$1503,"&lt;"&amp;DATE(年度,9+1,1))+SUMIFS(采购进货!$H$4:$H$1503,采购进货!$D$4:$D$1503,$B16,采购进货!$B$4:$B$1503,"&gt;="&amp;DATE(年度,9,1),采购进货!$B$4:$B$1503,"&lt;"&amp;DATE(年度,9+1,1)))</f>
        <v>0</v>
      </c>
      <c r="DA16" s="186">
        <f>IF($B16="",0,SUMIFS(采购进货!$G$4:$G$1503,采购进货!$D$4:$D$1503,$B16,采购进货!$B$4:$B$1503,"&gt;="&amp;DATE(年度,9,1),采购进货!$B$4:$B$1503,"&lt;"&amp;DATE(年度,9+1,1)))</f>
        <v>0</v>
      </c>
      <c r="DB16" s="234">
        <f>CW16+CZ16</f>
        <v>-55</v>
      </c>
      <c r="DC16" s="235">
        <f>CX16+DA16</f>
        <v>0</v>
      </c>
      <c r="DD16" s="222">
        <f>IF(AND(DB16&gt;0,DC16&gt;0),DC16/DB16,N($E16))</f>
        <v>0</v>
      </c>
      <c r="DE16" s="220">
        <f>IF($B16="",0,SUMIFS(出库明细!$E$4:$E$3003,出库明细!$D$4:$D$3003,$B16,出库明细!$B$4:$B$3003,"&gt;="&amp;DATE(年度,9,1),出库明细!$B$4:$B$3003,"&lt;"&amp;DATE(年度,9+1,1)))</f>
        <v>0</v>
      </c>
      <c r="DF16" s="186">
        <f>DE16*DD16</f>
        <v>0</v>
      </c>
      <c r="DG16" s="220">
        <f>_辅助!BU14</f>
        <v>0</v>
      </c>
      <c r="DH16" s="186">
        <f>_辅助!AK14</f>
        <v>0</v>
      </c>
      <c r="DI16" s="221">
        <f>DB16-DE16-DG16</f>
        <v>-55</v>
      </c>
      <c r="DJ16" s="187">
        <f>DC16-DF16-DH16</f>
        <v>0</v>
      </c>
      <c r="DK16" s="236">
        <f>IF(AND(DB16&gt;0,DC16&gt;0),0,DF16)</f>
        <v>0</v>
      </c>
      <c r="DL16" s="220">
        <f>IF($B16="",0,SUMIFS(采购进货!$E$4:$E$1503,采购进货!$D$4:$D$1503,$B16,采购进货!$B$4:$B$1503,"&gt;="&amp;DATE(年度,10,1),采购进货!$B$4:$B$1503,"&lt;"&amp;DATE(年度,10+1,1))+SUMIFS(采购进货!$H$4:$H$1503,采购进货!$D$4:$D$1503,$B16,采购进货!$B$4:$B$1503,"&gt;="&amp;DATE(年度,10,1),采购进货!$B$4:$B$1503,"&lt;"&amp;DATE(年度,10+1,1)))</f>
        <v>0</v>
      </c>
      <c r="DM16" s="186">
        <f>IF($B16="",0,SUMIFS(采购进货!$G$4:$G$1503,采购进货!$D$4:$D$1503,$B16,采购进货!$B$4:$B$1503,"&gt;="&amp;DATE(年度,10,1),采购进货!$B$4:$B$1503,"&lt;"&amp;DATE(年度,10+1,1)))</f>
        <v>0</v>
      </c>
      <c r="DN16" s="234">
        <f>DI16+DL16</f>
        <v>-55</v>
      </c>
      <c r="DO16" s="235">
        <f>DJ16+DM16</f>
        <v>0</v>
      </c>
      <c r="DP16" s="222">
        <f>IF(AND(DN16&gt;0,DO16&gt;0),DO16/DN16,N($E16))</f>
        <v>0</v>
      </c>
      <c r="DQ16" s="220">
        <f>IF($B16="",0,SUMIFS(出库明细!$E$4:$E$3003,出库明细!$D$4:$D$3003,$B16,出库明细!$B$4:$B$3003,"&gt;="&amp;DATE(年度,10,1),出库明细!$B$4:$B$3003,"&lt;"&amp;DATE(年度,10+1,1)))</f>
        <v>0</v>
      </c>
      <c r="DR16" s="186">
        <f>DQ16*DP16</f>
        <v>0</v>
      </c>
      <c r="DS16" s="220">
        <f>_辅助!BV14</f>
        <v>0</v>
      </c>
      <c r="DT16" s="186">
        <f>_辅助!AL14</f>
        <v>0</v>
      </c>
      <c r="DU16" s="221">
        <f>DN16-DQ16-DS16</f>
        <v>-55</v>
      </c>
      <c r="DV16" s="187">
        <f>DO16-DR16-DT16</f>
        <v>0</v>
      </c>
      <c r="DW16" s="236">
        <f>IF(AND(DN16&gt;0,DO16&gt;0),0,DR16)</f>
        <v>0</v>
      </c>
      <c r="DX16" s="220">
        <f>IF($B16="",0,SUMIFS(采购进货!$E$4:$E$1503,采购进货!$D$4:$D$1503,$B16,采购进货!$B$4:$B$1503,"&gt;="&amp;DATE(年度,11,1),采购进货!$B$4:$B$1503,"&lt;"&amp;DATE(年度,11+1,1))+SUMIFS(采购进货!$H$4:$H$1503,采购进货!$D$4:$D$1503,$B16,采购进货!$B$4:$B$1503,"&gt;="&amp;DATE(年度,11,1),采购进货!$B$4:$B$1503,"&lt;"&amp;DATE(年度,11+1,1)))</f>
        <v>0</v>
      </c>
      <c r="DY16" s="186">
        <f>IF($B16="",0,SUMIFS(采购进货!$G$4:$G$1503,采购进货!$D$4:$D$1503,$B16,采购进货!$B$4:$B$1503,"&gt;="&amp;DATE(年度,11,1),采购进货!$B$4:$B$1503,"&lt;"&amp;DATE(年度,11+1,1)))</f>
        <v>0</v>
      </c>
      <c r="DZ16" s="234">
        <f>DU16+DX16</f>
        <v>-55</v>
      </c>
      <c r="EA16" s="235">
        <f>DV16+DY16</f>
        <v>0</v>
      </c>
      <c r="EB16" s="222">
        <f>IF(AND(DZ16&gt;0,EA16&gt;0),EA16/DZ16,N($E16))</f>
        <v>0</v>
      </c>
      <c r="EC16" s="220">
        <f>IF($B16="",0,SUMIFS(出库明细!$E$4:$E$3003,出库明细!$D$4:$D$3003,$B16,出库明细!$B$4:$B$3003,"&gt;="&amp;DATE(年度,11,1),出库明细!$B$4:$B$3003,"&lt;"&amp;DATE(年度,11+1,1)))</f>
        <v>0</v>
      </c>
      <c r="ED16" s="186">
        <f>EC16*EB16</f>
        <v>0</v>
      </c>
      <c r="EE16" s="220">
        <f>_辅助!BW14</f>
        <v>0</v>
      </c>
      <c r="EF16" s="186">
        <f>_辅助!AM14</f>
        <v>0</v>
      </c>
      <c r="EG16" s="221">
        <f>DZ16-EC16-EE16</f>
        <v>-55</v>
      </c>
      <c r="EH16" s="187">
        <f>EA16-ED16-EF16</f>
        <v>0</v>
      </c>
      <c r="EI16" s="236">
        <f>IF(AND(DZ16&gt;0,EA16&gt;0),0,ED16)</f>
        <v>0</v>
      </c>
      <c r="EJ16" s="220">
        <f>IF($B16="",0,SUMIFS(采购进货!$E$4:$E$1503,采购进货!$D$4:$D$1503,$B16,采购进货!$B$4:$B$1503,"&gt;="&amp;DATE(年度,12,1),采购进货!$B$4:$B$1503,"&lt;"&amp;DATE(年度,12+1,1))+SUMIFS(采购进货!$H$4:$H$1503,采购进货!$D$4:$D$1503,$B16,采购进货!$B$4:$B$1503,"&gt;="&amp;DATE(年度,12,1),采购进货!$B$4:$B$1503,"&lt;"&amp;DATE(年度,12+1,1)))</f>
        <v>0</v>
      </c>
      <c r="EK16" s="186">
        <f>IF($B16="",0,SUMIFS(采购进货!$G$4:$G$1503,采购进货!$D$4:$D$1503,$B16,采购进货!$B$4:$B$1503,"&gt;="&amp;DATE(年度,12,1),采购进货!$B$4:$B$1503,"&lt;"&amp;DATE(年度,12+1,1)))</f>
        <v>0</v>
      </c>
      <c r="EL16" s="234">
        <f>EG16+EJ16</f>
        <v>-55</v>
      </c>
      <c r="EM16" s="235">
        <f>EH16+EK16</f>
        <v>0</v>
      </c>
      <c r="EN16" s="222">
        <f>IF(AND(EL16&gt;0,EM16&gt;0),EM16/EL16,N($E16))</f>
        <v>0</v>
      </c>
      <c r="EO16" s="220">
        <f>IF($B16="",0,SUMIFS(出库明细!$E$4:$E$3003,出库明细!$D$4:$D$3003,$B16,出库明细!$B$4:$B$3003,"&gt;="&amp;DATE(年度,12,1),出库明细!$B$4:$B$3003,"&lt;"&amp;DATE(年度,12+1,1)))</f>
        <v>0</v>
      </c>
      <c r="EP16" s="186">
        <f>EO16*EN16</f>
        <v>0</v>
      </c>
      <c r="EQ16" s="220">
        <f>_辅助!BX14</f>
        <v>0</v>
      </c>
      <c r="ER16" s="186">
        <f>_辅助!AN14</f>
        <v>0</v>
      </c>
      <c r="ES16" s="221">
        <f>EL16-EO16-EQ16</f>
        <v>-55</v>
      </c>
      <c r="ET16" s="187">
        <f>EM16-EP16-ER16</f>
        <v>0</v>
      </c>
      <c r="EU16" s="236">
        <f>IF(AND(EL16&gt;0,EM16&gt;0),0,EP16)</f>
        <v>0</v>
      </c>
    </row>
    <row r="17">
      <c r="A17" s="194">
        <f>IF(B17="","",ROW()-7)</f>
        <v>10</v>
      </c>
      <c r="B17" s="141" t="str">
        <f>IF(基础资料!E14="","",基础资料!E14&amp;"")</f>
        <v>小咖</v>
      </c>
      <c r="C17" s="230">
        <f>IF(基础资料!G14="","",基础资料!G14&amp;"")</f>
      </c>
      <c r="D17" s="194">
        <f>IF(基础资料!I14="","",基础资料!I14)</f>
      </c>
      <c r="E17" s="231">
        <f>IF(基础资料!J14="","",基础资料!J14)</f>
      </c>
      <c r="F17" s="232">
        <f>N(基础资料!L14)</f>
        <v>0</v>
      </c>
      <c r="G17" s="233">
        <f>IF(基础资料!N14="",0,基础资料!N14)</f>
        <v>0</v>
      </c>
      <c r="H17" s="220">
        <f>IF($B17="",0,SUMIFS(采购进货!$E$4:$E$1503,采购进货!$D$4:$D$1503,$B17,采购进货!$B$4:$B$1503,"&gt;="&amp;DATE(年度,1,1),采购进货!$B$4:$B$1503,"&lt;"&amp;DATE(年度,1+1,1))+SUMIFS(采购进货!$H$4:$H$1503,采购进货!$D$4:$D$1503,$B17,采购进货!$B$4:$B$1503,"&gt;="&amp;DATE(年度,1,1),采购进货!$B$4:$B$1503,"&lt;"&amp;DATE(年度,1+1,1)))</f>
        <v>0</v>
      </c>
      <c r="I17" s="186">
        <f>IF($B17="",0,SUMIFS(采购进货!$G$4:$G$1503,采购进货!$D$4:$D$1503,$B17,采购进货!$B$4:$B$1503,"&gt;="&amp;DATE(年度,1,1),采购进货!$B$4:$B$1503,"&lt;"&amp;DATE(年度,1+1,1)))</f>
        <v>0</v>
      </c>
      <c r="J17" s="234">
        <f>F17+H17</f>
        <v>0</v>
      </c>
      <c r="K17" s="235">
        <f>G17+I17</f>
        <v>0</v>
      </c>
      <c r="L17" s="222">
        <f>IF(AND(J17&gt;0,K17&gt;0),K17/J17,N($E17))</f>
        <v>0</v>
      </c>
      <c r="M17" s="220">
        <f>IF($B17="",0,SUMIFS(出库明细!$E$4:$E$3003,出库明细!$D$4:$D$3003,$B17,出库明细!$B$4:$B$3003,"&gt;="&amp;DATE(年度,1,1),出库明细!$B$4:$B$3003,"&lt;"&amp;DATE(年度,1+1,1)))</f>
        <v>0</v>
      </c>
      <c r="N17" s="186">
        <f>M17*L17</f>
        <v>0</v>
      </c>
      <c r="O17" s="220">
        <f>_辅助!BM15</f>
        <v>0</v>
      </c>
      <c r="P17" s="186">
        <f>_辅助!AC15</f>
        <v>0</v>
      </c>
      <c r="Q17" s="221">
        <f>J17-M17-O17</f>
        <v>0</v>
      </c>
      <c r="R17" s="187">
        <f>K17-N17-P17</f>
        <v>0</v>
      </c>
      <c r="S17" s="236">
        <f>IF(AND(J17&gt;0,K17&gt;0),0,N17)</f>
        <v>0</v>
      </c>
      <c r="T17" s="220">
        <f>IF($B17="",0,SUMIFS(采购进货!$E$4:$E$1503,采购进货!$D$4:$D$1503,$B17,采购进货!$B$4:$B$1503,"&gt;="&amp;DATE(年度,2,1),采购进货!$B$4:$B$1503,"&lt;"&amp;DATE(年度,2+1,1))+SUMIFS(采购进货!$H$4:$H$1503,采购进货!$D$4:$D$1503,$B17,采购进货!$B$4:$B$1503,"&gt;="&amp;DATE(年度,2,1),采购进货!$B$4:$B$1503,"&lt;"&amp;DATE(年度,2+1,1)))</f>
        <v>0</v>
      </c>
      <c r="U17" s="186">
        <f>IF($B17="",0,SUMIFS(采购进货!$G$4:$G$1503,采购进货!$D$4:$D$1503,$B17,采购进货!$B$4:$B$1503,"&gt;="&amp;DATE(年度,2,1),采购进货!$B$4:$B$1503,"&lt;"&amp;DATE(年度,2+1,1)))</f>
        <v>0</v>
      </c>
      <c r="V17" s="234">
        <f>Q17+T17</f>
        <v>0</v>
      </c>
      <c r="W17" s="235">
        <f>R17+U17</f>
        <v>0</v>
      </c>
      <c r="X17" s="222">
        <f>IF(AND(V17&gt;0,W17&gt;0),W17/V17,N($E17))</f>
        <v>0</v>
      </c>
      <c r="Y17" s="220">
        <f>IF($B17="",0,SUMIFS(出库明细!$E$4:$E$3003,出库明细!$D$4:$D$3003,$B17,出库明细!$B$4:$B$3003,"&gt;="&amp;DATE(年度,2,1),出库明细!$B$4:$B$3003,"&lt;"&amp;DATE(年度,2+1,1)))</f>
        <v>0</v>
      </c>
      <c r="Z17" s="186">
        <f>Y17*X17</f>
        <v>0</v>
      </c>
      <c r="AA17" s="220">
        <f>_辅助!BN15</f>
        <v>0</v>
      </c>
      <c r="AB17" s="186">
        <f>_辅助!AD15</f>
        <v>0</v>
      </c>
      <c r="AC17" s="221">
        <f>V17-Y17-AA17</f>
        <v>0</v>
      </c>
      <c r="AD17" s="187">
        <f>W17-Z17-AB17</f>
        <v>0</v>
      </c>
      <c r="AE17" s="236">
        <f>IF(AND(V17&gt;0,W17&gt;0),0,Z17)</f>
        <v>0</v>
      </c>
      <c r="AF17" s="220">
        <f>IF($B17="",0,SUMIFS(采购进货!$E$4:$E$1503,采购进货!$D$4:$D$1503,$B17,采购进货!$B$4:$B$1503,"&gt;="&amp;DATE(年度,3,1),采购进货!$B$4:$B$1503,"&lt;"&amp;DATE(年度,3+1,1))+SUMIFS(采购进货!$H$4:$H$1503,采购进货!$D$4:$D$1503,$B17,采购进货!$B$4:$B$1503,"&gt;="&amp;DATE(年度,3,1),采购进货!$B$4:$B$1503,"&lt;"&amp;DATE(年度,3+1,1)))</f>
        <v>0</v>
      </c>
      <c r="AG17" s="186">
        <f>IF($B17="",0,SUMIFS(采购进货!$G$4:$G$1503,采购进货!$D$4:$D$1503,$B17,采购进货!$B$4:$B$1503,"&gt;="&amp;DATE(年度,3,1),采购进货!$B$4:$B$1503,"&lt;"&amp;DATE(年度,3+1,1)))</f>
        <v>0</v>
      </c>
      <c r="AH17" s="234">
        <f>AC17+AF17</f>
        <v>0</v>
      </c>
      <c r="AI17" s="235">
        <f>AD17+AG17</f>
        <v>0</v>
      </c>
      <c r="AJ17" s="222">
        <f>IF(AND(AH17&gt;0,AI17&gt;0),AI17/AH17,N($E17))</f>
        <v>0</v>
      </c>
      <c r="AK17" s="220">
        <f>IF($B17="",0,SUMIFS(出库明细!$E$4:$E$3003,出库明细!$D$4:$D$3003,$B17,出库明细!$B$4:$B$3003,"&gt;="&amp;DATE(年度,3,1),出库明细!$B$4:$B$3003,"&lt;"&amp;DATE(年度,3+1,1)))</f>
        <v>0</v>
      </c>
      <c r="AL17" s="186">
        <f>AK17*AJ17</f>
        <v>0</v>
      </c>
      <c r="AM17" s="220">
        <f>_辅助!BO15</f>
        <v>0</v>
      </c>
      <c r="AN17" s="186">
        <f>_辅助!AE15</f>
        <v>0</v>
      </c>
      <c r="AO17" s="221">
        <f>AH17-AK17-AM17</f>
        <v>0</v>
      </c>
      <c r="AP17" s="187">
        <f>AI17-AL17-AN17</f>
        <v>0</v>
      </c>
      <c r="AQ17" s="236">
        <f>IF(AND(AH17&gt;0,AI17&gt;0),0,AL17)</f>
        <v>0</v>
      </c>
      <c r="AR17" s="220">
        <f>IF($B17="",0,SUMIFS(采购进货!$E$4:$E$1503,采购进货!$D$4:$D$1503,$B17,采购进货!$B$4:$B$1503,"&gt;="&amp;DATE(年度,4,1),采购进货!$B$4:$B$1503,"&lt;"&amp;DATE(年度,4+1,1))+SUMIFS(采购进货!$H$4:$H$1503,采购进货!$D$4:$D$1503,$B17,采购进货!$B$4:$B$1503,"&gt;="&amp;DATE(年度,4,1),采购进货!$B$4:$B$1503,"&lt;"&amp;DATE(年度,4+1,1)))</f>
        <v>0</v>
      </c>
      <c r="AS17" s="186">
        <f>IF($B17="",0,SUMIFS(采购进货!$G$4:$G$1503,采购进货!$D$4:$D$1503,$B17,采购进货!$B$4:$B$1503,"&gt;="&amp;DATE(年度,4,1),采购进货!$B$4:$B$1503,"&lt;"&amp;DATE(年度,4+1,1)))</f>
        <v>0</v>
      </c>
      <c r="AT17" s="234">
        <f>AO17+AR17</f>
        <v>0</v>
      </c>
      <c r="AU17" s="235">
        <f>AP17+AS17</f>
        <v>0</v>
      </c>
      <c r="AV17" s="222">
        <f>IF(AND(AT17&gt;0,AU17&gt;0),AU17/AT17,N($E17))</f>
        <v>0</v>
      </c>
      <c r="AW17" s="220">
        <f>IF($B17="",0,SUMIFS(出库明细!$E$4:$E$3003,出库明细!$D$4:$D$3003,$B17,出库明细!$B$4:$B$3003,"&gt;="&amp;DATE(年度,4,1),出库明细!$B$4:$B$3003,"&lt;"&amp;DATE(年度,4+1,1)))</f>
        <v>0</v>
      </c>
      <c r="AX17" s="186">
        <f>AW17*AV17</f>
        <v>0</v>
      </c>
      <c r="AY17" s="220">
        <f>_辅助!BP15</f>
        <v>0</v>
      </c>
      <c r="AZ17" s="186">
        <f>_辅助!AF15</f>
        <v>0</v>
      </c>
      <c r="BA17" s="221">
        <f>AT17-AW17-AY17</f>
        <v>0</v>
      </c>
      <c r="BB17" s="187">
        <f>AU17-AX17-AZ17</f>
        <v>0</v>
      </c>
      <c r="BC17" s="236">
        <f>IF(AND(AT17&gt;0,AU17&gt;0),0,AX17)</f>
        <v>0</v>
      </c>
      <c r="BD17" s="220">
        <f>IF($B17="",0,SUMIFS(采购进货!$E$4:$E$1503,采购进货!$D$4:$D$1503,$B17,采购进货!$B$4:$B$1503,"&gt;="&amp;DATE(年度,5,1),采购进货!$B$4:$B$1503,"&lt;"&amp;DATE(年度,5+1,1))+SUMIFS(采购进货!$H$4:$H$1503,采购进货!$D$4:$D$1503,$B17,采购进货!$B$4:$B$1503,"&gt;="&amp;DATE(年度,5,1),采购进货!$B$4:$B$1503,"&lt;"&amp;DATE(年度,5+1,1)))</f>
        <v>0</v>
      </c>
      <c r="BE17" s="186">
        <f>IF($B17="",0,SUMIFS(采购进货!$G$4:$G$1503,采购进货!$D$4:$D$1503,$B17,采购进货!$B$4:$B$1503,"&gt;="&amp;DATE(年度,5,1),采购进货!$B$4:$B$1503,"&lt;"&amp;DATE(年度,5+1,1)))</f>
        <v>0</v>
      </c>
      <c r="BF17" s="234">
        <f>BA17+BD17</f>
        <v>0</v>
      </c>
      <c r="BG17" s="235">
        <f>BB17+BE17</f>
        <v>0</v>
      </c>
      <c r="BH17" s="222">
        <f>IF(AND(BF17&gt;0,BG17&gt;0),BG17/BF17,N($E17))</f>
        <v>0</v>
      </c>
      <c r="BI17" s="220">
        <f>IF($B17="",0,SUMIFS(出库明细!$E$4:$E$3003,出库明细!$D$4:$D$3003,$B17,出库明细!$B$4:$B$3003,"&gt;="&amp;DATE(年度,5,1),出库明细!$B$4:$B$3003,"&lt;"&amp;DATE(年度,5+1,1)))</f>
        <v>0</v>
      </c>
      <c r="BJ17" s="186">
        <f>BI17*BH17</f>
        <v>0</v>
      </c>
      <c r="BK17" s="220">
        <f>_辅助!BQ15</f>
        <v>0</v>
      </c>
      <c r="BL17" s="186">
        <f>_辅助!AG15</f>
        <v>0</v>
      </c>
      <c r="BM17" s="221">
        <f>BF17-BI17-BK17</f>
        <v>0</v>
      </c>
      <c r="BN17" s="187">
        <f>BG17-BJ17-BL17</f>
        <v>0</v>
      </c>
      <c r="BO17" s="236">
        <f>IF(AND(BF17&gt;0,BG17&gt;0),0,BJ17)</f>
        <v>0</v>
      </c>
      <c r="BP17" s="220">
        <f>IF($B17="",0,SUMIFS(采购进货!$E$4:$E$1503,采购进货!$D$4:$D$1503,$B17,采购进货!$B$4:$B$1503,"&gt;="&amp;DATE(年度,6,1),采购进货!$B$4:$B$1503,"&lt;"&amp;DATE(年度,6+1,1))+SUMIFS(采购进货!$H$4:$H$1503,采购进货!$D$4:$D$1503,$B17,采购进货!$B$4:$B$1503,"&gt;="&amp;DATE(年度,6,1),采购进货!$B$4:$B$1503,"&lt;"&amp;DATE(年度,6+1,1)))</f>
        <v>0</v>
      </c>
      <c r="BQ17" s="186">
        <f>IF($B17="",0,SUMIFS(采购进货!$G$4:$G$1503,采购进货!$D$4:$D$1503,$B17,采购进货!$B$4:$B$1503,"&gt;="&amp;DATE(年度,6,1),采购进货!$B$4:$B$1503,"&lt;"&amp;DATE(年度,6+1,1)))</f>
        <v>0</v>
      </c>
      <c r="BR17" s="234">
        <f>BM17+BP17</f>
        <v>0</v>
      </c>
      <c r="BS17" s="235">
        <f>BN17+BQ17</f>
        <v>0</v>
      </c>
      <c r="BT17" s="222">
        <f>IF(AND(BR17&gt;0,BS17&gt;0),BS17/BR17,N($E17))</f>
        <v>0</v>
      </c>
      <c r="BU17" s="220">
        <f>IF($B17="",0,SUMIFS(出库明细!$E$4:$E$3003,出库明细!$D$4:$D$3003,$B17,出库明细!$B$4:$B$3003,"&gt;="&amp;DATE(年度,6,1),出库明细!$B$4:$B$3003,"&lt;"&amp;DATE(年度,6+1,1)))</f>
        <v>0</v>
      </c>
      <c r="BV17" s="186">
        <f>BU17*BT17</f>
        <v>0</v>
      </c>
      <c r="BW17" s="220">
        <f>_辅助!BR15</f>
        <v>0</v>
      </c>
      <c r="BX17" s="186">
        <f>_辅助!AH15</f>
        <v>0</v>
      </c>
      <c r="BY17" s="221">
        <f>BR17-BU17-BW17</f>
        <v>0</v>
      </c>
      <c r="BZ17" s="187">
        <f>BS17-BV17-BX17</f>
        <v>0</v>
      </c>
      <c r="CA17" s="236">
        <f>IF(AND(BR17&gt;0,BS17&gt;0),0,BV17)</f>
        <v>0</v>
      </c>
      <c r="CB17" s="220">
        <f>IF($B17="",0,SUMIFS(采购进货!$E$4:$E$1503,采购进货!$D$4:$D$1503,$B17,采购进货!$B$4:$B$1503,"&gt;="&amp;DATE(年度,7,1),采购进货!$B$4:$B$1503,"&lt;"&amp;DATE(年度,7+1,1))+SUMIFS(采购进货!$H$4:$H$1503,采购进货!$D$4:$D$1503,$B17,采购进货!$B$4:$B$1503,"&gt;="&amp;DATE(年度,7,1),采购进货!$B$4:$B$1503,"&lt;"&amp;DATE(年度,7+1,1)))</f>
        <v>0</v>
      </c>
      <c r="CC17" s="186">
        <f>IF($B17="",0,SUMIFS(采购进货!$G$4:$G$1503,采购进货!$D$4:$D$1503,$B17,采购进货!$B$4:$B$1503,"&gt;="&amp;DATE(年度,7,1),采购进货!$B$4:$B$1503,"&lt;"&amp;DATE(年度,7+1,1)))</f>
        <v>0</v>
      </c>
      <c r="CD17" s="234">
        <f>BY17+CB17</f>
        <v>0</v>
      </c>
      <c r="CE17" s="235">
        <f>BZ17+CC17</f>
        <v>0</v>
      </c>
      <c r="CF17" s="222">
        <f>IF(AND(CD17&gt;0,CE17&gt;0),CE17/CD17,N($E17))</f>
        <v>0</v>
      </c>
      <c r="CG17" s="220">
        <f>IF($B17="",0,SUMIFS(出库明细!$E$4:$E$3003,出库明细!$D$4:$D$3003,$B17,出库明细!$B$4:$B$3003,"&gt;="&amp;DATE(年度,7,1),出库明细!$B$4:$B$3003,"&lt;"&amp;DATE(年度,7+1,1)))</f>
        <v>0</v>
      </c>
      <c r="CH17" s="186">
        <f>CG17*CF17</f>
        <v>0</v>
      </c>
      <c r="CI17" s="220">
        <f>_辅助!BS15</f>
        <v>0</v>
      </c>
      <c r="CJ17" s="186">
        <f>_辅助!AI15</f>
        <v>0</v>
      </c>
      <c r="CK17" s="221">
        <f>CD17-CG17-CI17</f>
        <v>0</v>
      </c>
      <c r="CL17" s="187">
        <f>CE17-CH17-CJ17</f>
        <v>0</v>
      </c>
      <c r="CM17" s="236">
        <f>IF(AND(CD17&gt;0,CE17&gt;0),0,CH17)</f>
        <v>0</v>
      </c>
      <c r="CN17" s="220">
        <f>IF($B17="",0,SUMIFS(采购进货!$E$4:$E$1503,采购进货!$D$4:$D$1503,$B17,采购进货!$B$4:$B$1503,"&gt;="&amp;DATE(年度,8,1),采购进货!$B$4:$B$1503,"&lt;"&amp;DATE(年度,8+1,1))+SUMIFS(采购进货!$H$4:$H$1503,采购进货!$D$4:$D$1503,$B17,采购进货!$B$4:$B$1503,"&gt;="&amp;DATE(年度,8,1),采购进货!$B$4:$B$1503,"&lt;"&amp;DATE(年度,8+1,1)))</f>
        <v>0</v>
      </c>
      <c r="CO17" s="186">
        <f>IF($B17="",0,SUMIFS(采购进货!$G$4:$G$1503,采购进货!$D$4:$D$1503,$B17,采购进货!$B$4:$B$1503,"&gt;="&amp;DATE(年度,8,1),采购进货!$B$4:$B$1503,"&lt;"&amp;DATE(年度,8+1,1)))</f>
        <v>0</v>
      </c>
      <c r="CP17" s="234">
        <f>CK17+CN17</f>
        <v>0</v>
      </c>
      <c r="CQ17" s="235">
        <f>CL17+CO17</f>
        <v>0</v>
      </c>
      <c r="CR17" s="222">
        <f>IF(AND(CP17&gt;0,CQ17&gt;0),CQ17/CP17,N($E17))</f>
        <v>0</v>
      </c>
      <c r="CS17" s="220">
        <f>IF($B17="",0,SUMIFS(出库明细!$E$4:$E$3003,出库明细!$D$4:$D$3003,$B17,出库明细!$B$4:$B$3003,"&gt;="&amp;DATE(年度,8,1),出库明细!$B$4:$B$3003,"&lt;"&amp;DATE(年度,8+1,1)))</f>
        <v>0</v>
      </c>
      <c r="CT17" s="186">
        <f>CS17*CR17</f>
        <v>0</v>
      </c>
      <c r="CU17" s="220">
        <f>_辅助!BT15</f>
        <v>0</v>
      </c>
      <c r="CV17" s="186">
        <f>_辅助!AJ15</f>
        <v>0</v>
      </c>
      <c r="CW17" s="221">
        <f>CP17-CS17-CU17</f>
        <v>0</v>
      </c>
      <c r="CX17" s="187">
        <f>CQ17-CT17-CV17</f>
        <v>0</v>
      </c>
      <c r="CY17" s="236">
        <f>IF(AND(CP17&gt;0,CQ17&gt;0),0,CT17)</f>
        <v>0</v>
      </c>
      <c r="CZ17" s="220">
        <f>IF($B17="",0,SUMIFS(采购进货!$E$4:$E$1503,采购进货!$D$4:$D$1503,$B17,采购进货!$B$4:$B$1503,"&gt;="&amp;DATE(年度,9,1),采购进货!$B$4:$B$1503,"&lt;"&amp;DATE(年度,9+1,1))+SUMIFS(采购进货!$H$4:$H$1503,采购进货!$D$4:$D$1503,$B17,采购进货!$B$4:$B$1503,"&gt;="&amp;DATE(年度,9,1),采购进货!$B$4:$B$1503,"&lt;"&amp;DATE(年度,9+1,1)))</f>
        <v>0</v>
      </c>
      <c r="DA17" s="186">
        <f>IF($B17="",0,SUMIFS(采购进货!$G$4:$G$1503,采购进货!$D$4:$D$1503,$B17,采购进货!$B$4:$B$1503,"&gt;="&amp;DATE(年度,9,1),采购进货!$B$4:$B$1503,"&lt;"&amp;DATE(年度,9+1,1)))</f>
        <v>0</v>
      </c>
      <c r="DB17" s="234">
        <f>CW17+CZ17</f>
        <v>0</v>
      </c>
      <c r="DC17" s="235">
        <f>CX17+DA17</f>
        <v>0</v>
      </c>
      <c r="DD17" s="222">
        <f>IF(AND(DB17&gt;0,DC17&gt;0),DC17/DB17,N($E17))</f>
        <v>0</v>
      </c>
      <c r="DE17" s="220">
        <f>IF($B17="",0,SUMIFS(出库明细!$E$4:$E$3003,出库明细!$D$4:$D$3003,$B17,出库明细!$B$4:$B$3003,"&gt;="&amp;DATE(年度,9,1),出库明细!$B$4:$B$3003,"&lt;"&amp;DATE(年度,9+1,1)))</f>
        <v>0</v>
      </c>
      <c r="DF17" s="186">
        <f>DE17*DD17</f>
        <v>0</v>
      </c>
      <c r="DG17" s="220">
        <f>_辅助!BU15</f>
        <v>0</v>
      </c>
      <c r="DH17" s="186">
        <f>_辅助!AK15</f>
        <v>0</v>
      </c>
      <c r="DI17" s="221">
        <f>DB17-DE17-DG17</f>
        <v>0</v>
      </c>
      <c r="DJ17" s="187">
        <f>DC17-DF17-DH17</f>
        <v>0</v>
      </c>
      <c r="DK17" s="236">
        <f>IF(AND(DB17&gt;0,DC17&gt;0),0,DF17)</f>
        <v>0</v>
      </c>
      <c r="DL17" s="220">
        <f>IF($B17="",0,SUMIFS(采购进货!$E$4:$E$1503,采购进货!$D$4:$D$1503,$B17,采购进货!$B$4:$B$1503,"&gt;="&amp;DATE(年度,10,1),采购进货!$B$4:$B$1503,"&lt;"&amp;DATE(年度,10+1,1))+SUMIFS(采购进货!$H$4:$H$1503,采购进货!$D$4:$D$1503,$B17,采购进货!$B$4:$B$1503,"&gt;="&amp;DATE(年度,10,1),采购进货!$B$4:$B$1503,"&lt;"&amp;DATE(年度,10+1,1)))</f>
        <v>0</v>
      </c>
      <c r="DM17" s="186">
        <f>IF($B17="",0,SUMIFS(采购进货!$G$4:$G$1503,采购进货!$D$4:$D$1503,$B17,采购进货!$B$4:$B$1503,"&gt;="&amp;DATE(年度,10,1),采购进货!$B$4:$B$1503,"&lt;"&amp;DATE(年度,10+1,1)))</f>
        <v>0</v>
      </c>
      <c r="DN17" s="234">
        <f>DI17+DL17</f>
        <v>0</v>
      </c>
      <c r="DO17" s="235">
        <f>DJ17+DM17</f>
        <v>0</v>
      </c>
      <c r="DP17" s="222">
        <f>IF(AND(DN17&gt;0,DO17&gt;0),DO17/DN17,N($E17))</f>
        <v>0</v>
      </c>
      <c r="DQ17" s="220">
        <f>IF($B17="",0,SUMIFS(出库明细!$E$4:$E$3003,出库明细!$D$4:$D$3003,$B17,出库明细!$B$4:$B$3003,"&gt;="&amp;DATE(年度,10,1),出库明细!$B$4:$B$3003,"&lt;"&amp;DATE(年度,10+1,1)))</f>
        <v>0</v>
      </c>
      <c r="DR17" s="186">
        <f>DQ17*DP17</f>
        <v>0</v>
      </c>
      <c r="DS17" s="220">
        <f>_辅助!BV15</f>
        <v>0</v>
      </c>
      <c r="DT17" s="186">
        <f>_辅助!AL15</f>
        <v>0</v>
      </c>
      <c r="DU17" s="221">
        <f>DN17-DQ17-DS17</f>
        <v>0</v>
      </c>
      <c r="DV17" s="187">
        <f>DO17-DR17-DT17</f>
        <v>0</v>
      </c>
      <c r="DW17" s="236">
        <f>IF(AND(DN17&gt;0,DO17&gt;0),0,DR17)</f>
        <v>0</v>
      </c>
      <c r="DX17" s="220">
        <f>IF($B17="",0,SUMIFS(采购进货!$E$4:$E$1503,采购进货!$D$4:$D$1503,$B17,采购进货!$B$4:$B$1503,"&gt;="&amp;DATE(年度,11,1),采购进货!$B$4:$B$1503,"&lt;"&amp;DATE(年度,11+1,1))+SUMIFS(采购进货!$H$4:$H$1503,采购进货!$D$4:$D$1503,$B17,采购进货!$B$4:$B$1503,"&gt;="&amp;DATE(年度,11,1),采购进货!$B$4:$B$1503,"&lt;"&amp;DATE(年度,11+1,1)))</f>
        <v>0</v>
      </c>
      <c r="DY17" s="186">
        <f>IF($B17="",0,SUMIFS(采购进货!$G$4:$G$1503,采购进货!$D$4:$D$1503,$B17,采购进货!$B$4:$B$1503,"&gt;="&amp;DATE(年度,11,1),采购进货!$B$4:$B$1503,"&lt;"&amp;DATE(年度,11+1,1)))</f>
        <v>0</v>
      </c>
      <c r="DZ17" s="234">
        <f>DU17+DX17</f>
        <v>0</v>
      </c>
      <c r="EA17" s="235">
        <f>DV17+DY17</f>
        <v>0</v>
      </c>
      <c r="EB17" s="222">
        <f>IF(AND(DZ17&gt;0,EA17&gt;0),EA17/DZ17,N($E17))</f>
        <v>0</v>
      </c>
      <c r="EC17" s="220">
        <f>IF($B17="",0,SUMIFS(出库明细!$E$4:$E$3003,出库明细!$D$4:$D$3003,$B17,出库明细!$B$4:$B$3003,"&gt;="&amp;DATE(年度,11,1),出库明细!$B$4:$B$3003,"&lt;"&amp;DATE(年度,11+1,1)))</f>
        <v>0</v>
      </c>
      <c r="ED17" s="186">
        <f>EC17*EB17</f>
        <v>0</v>
      </c>
      <c r="EE17" s="220">
        <f>_辅助!BW15</f>
        <v>0</v>
      </c>
      <c r="EF17" s="186">
        <f>_辅助!AM15</f>
        <v>0</v>
      </c>
      <c r="EG17" s="221">
        <f>DZ17-EC17-EE17</f>
        <v>0</v>
      </c>
      <c r="EH17" s="187">
        <f>EA17-ED17-EF17</f>
        <v>0</v>
      </c>
      <c r="EI17" s="236">
        <f>IF(AND(DZ17&gt;0,EA17&gt;0),0,ED17)</f>
        <v>0</v>
      </c>
      <c r="EJ17" s="220">
        <f>IF($B17="",0,SUMIFS(采购进货!$E$4:$E$1503,采购进货!$D$4:$D$1503,$B17,采购进货!$B$4:$B$1503,"&gt;="&amp;DATE(年度,12,1),采购进货!$B$4:$B$1503,"&lt;"&amp;DATE(年度,12+1,1))+SUMIFS(采购进货!$H$4:$H$1503,采购进货!$D$4:$D$1503,$B17,采购进货!$B$4:$B$1503,"&gt;="&amp;DATE(年度,12,1),采购进货!$B$4:$B$1503,"&lt;"&amp;DATE(年度,12+1,1)))</f>
        <v>0</v>
      </c>
      <c r="EK17" s="186">
        <f>IF($B17="",0,SUMIFS(采购进货!$G$4:$G$1503,采购进货!$D$4:$D$1503,$B17,采购进货!$B$4:$B$1503,"&gt;="&amp;DATE(年度,12,1),采购进货!$B$4:$B$1503,"&lt;"&amp;DATE(年度,12+1,1)))</f>
        <v>0</v>
      </c>
      <c r="EL17" s="234">
        <f>EG17+EJ17</f>
        <v>0</v>
      </c>
      <c r="EM17" s="235">
        <f>EH17+EK17</f>
        <v>0</v>
      </c>
      <c r="EN17" s="222">
        <f>IF(AND(EL17&gt;0,EM17&gt;0),EM17/EL17,N($E17))</f>
        <v>0</v>
      </c>
      <c r="EO17" s="220">
        <f>IF($B17="",0,SUMIFS(出库明细!$E$4:$E$3003,出库明细!$D$4:$D$3003,$B17,出库明细!$B$4:$B$3003,"&gt;="&amp;DATE(年度,12,1),出库明细!$B$4:$B$3003,"&lt;"&amp;DATE(年度,12+1,1)))</f>
        <v>0</v>
      </c>
      <c r="EP17" s="186">
        <f>EO17*EN17</f>
        <v>0</v>
      </c>
      <c r="EQ17" s="220">
        <f>_辅助!BX15</f>
        <v>0</v>
      </c>
      <c r="ER17" s="186">
        <f>_辅助!AN15</f>
        <v>0</v>
      </c>
      <c r="ES17" s="221">
        <f>EL17-EO17-EQ17</f>
        <v>0</v>
      </c>
      <c r="ET17" s="187">
        <f>EM17-EP17-ER17</f>
        <v>0</v>
      </c>
      <c r="EU17" s="236">
        <f>IF(AND(EL17&gt;0,EM17&gt;0),0,EP17)</f>
        <v>0</v>
      </c>
    </row>
    <row r="18">
      <c r="A18" s="194">
        <f>IF(B18="","",ROW()-7)</f>
        <v>11</v>
      </c>
      <c r="B18" s="141" t="str">
        <f>IF(基础资料!E15="","",基础资料!E15&amp;"")</f>
        <v>小海岛椰</v>
      </c>
      <c r="C18" s="230" t="str">
        <f>IF(基础资料!G15="","",基础资料!G15&amp;"")</f>
        <v>东鹏小海岛椰</v>
      </c>
      <c r="D18" s="194">
        <f>IF(基础资料!I15="","",基础资料!I15)</f>
        <v>12</v>
      </c>
      <c r="E18" s="231">
        <f>IF(基础资料!J15="","",基础资料!J15)</f>
        <v>29.52</v>
      </c>
      <c r="F18" s="232">
        <f>N(基础资料!L15)</f>
        <v>0</v>
      </c>
      <c r="G18" s="233">
        <f>IF(基础资料!N15="",0,基础资料!N15)</f>
        <v>0</v>
      </c>
      <c r="H18" s="220">
        <f>IF($B18="",0,SUMIFS(采购进货!$E$4:$E$1503,采购进货!$D$4:$D$1503,$B18,采购进货!$B$4:$B$1503,"&gt;="&amp;DATE(年度,1,1),采购进货!$B$4:$B$1503,"&lt;"&amp;DATE(年度,1+1,1))+SUMIFS(采购进货!$H$4:$H$1503,采购进货!$D$4:$D$1503,$B18,采购进货!$B$4:$B$1503,"&gt;="&amp;DATE(年度,1,1),采购进货!$B$4:$B$1503,"&lt;"&amp;DATE(年度,1+1,1)))</f>
        <v>0</v>
      </c>
      <c r="I18" s="186">
        <f>IF($B18="",0,SUMIFS(采购进货!$G$4:$G$1503,采购进货!$D$4:$D$1503,$B18,采购进货!$B$4:$B$1503,"&gt;="&amp;DATE(年度,1,1),采购进货!$B$4:$B$1503,"&lt;"&amp;DATE(年度,1+1,1)))</f>
        <v>0</v>
      </c>
      <c r="J18" s="234">
        <f>F18+H18</f>
        <v>0</v>
      </c>
      <c r="K18" s="235">
        <f>G18+I18</f>
        <v>0</v>
      </c>
      <c r="L18" s="222">
        <f>IF(AND(J18&gt;0,K18&gt;0),K18/J18,N($E18))</f>
        <v>29.52</v>
      </c>
      <c r="M18" s="220">
        <f>IF($B18="",0,SUMIFS(出库明细!$E$4:$E$3003,出库明细!$D$4:$D$3003,$B18,出库明细!$B$4:$B$3003,"&gt;="&amp;DATE(年度,1,1),出库明细!$B$4:$B$3003,"&lt;"&amp;DATE(年度,1+1,1)))</f>
        <v>0</v>
      </c>
      <c r="N18" s="186">
        <f>M18*L18</f>
        <v>0</v>
      </c>
      <c r="O18" s="220">
        <f>_辅助!BM16</f>
        <v>0</v>
      </c>
      <c r="P18" s="186">
        <f>_辅助!AC16</f>
        <v>0</v>
      </c>
      <c r="Q18" s="221">
        <f>J18-M18-O18</f>
        <v>0</v>
      </c>
      <c r="R18" s="187">
        <f>K18-N18-P18</f>
        <v>0</v>
      </c>
      <c r="S18" s="236">
        <f>IF(AND(J18&gt;0,K18&gt;0),0,N18)</f>
        <v>0</v>
      </c>
      <c r="T18" s="220">
        <f>IF($B18="",0,SUMIFS(采购进货!$E$4:$E$1503,采购进货!$D$4:$D$1503,$B18,采购进货!$B$4:$B$1503,"&gt;="&amp;DATE(年度,2,1),采购进货!$B$4:$B$1503,"&lt;"&amp;DATE(年度,2+1,1))+SUMIFS(采购进货!$H$4:$H$1503,采购进货!$D$4:$D$1503,$B18,采购进货!$B$4:$B$1503,"&gt;="&amp;DATE(年度,2,1),采购进货!$B$4:$B$1503,"&lt;"&amp;DATE(年度,2+1,1)))</f>
        <v>0</v>
      </c>
      <c r="U18" s="186">
        <f>IF($B18="",0,SUMIFS(采购进货!$G$4:$G$1503,采购进货!$D$4:$D$1503,$B18,采购进货!$B$4:$B$1503,"&gt;="&amp;DATE(年度,2,1),采购进货!$B$4:$B$1503,"&lt;"&amp;DATE(年度,2+1,1)))</f>
        <v>0</v>
      </c>
      <c r="V18" s="234">
        <f>Q18+T18</f>
        <v>0</v>
      </c>
      <c r="W18" s="235">
        <f>R18+U18</f>
        <v>0</v>
      </c>
      <c r="X18" s="222">
        <f>IF(AND(V18&gt;0,W18&gt;0),W18/V18,N($E18))</f>
        <v>29.52</v>
      </c>
      <c r="Y18" s="220">
        <f>IF($B18="",0,SUMIFS(出库明细!$E$4:$E$3003,出库明细!$D$4:$D$3003,$B18,出库明细!$B$4:$B$3003,"&gt;="&amp;DATE(年度,2,1),出库明细!$B$4:$B$3003,"&lt;"&amp;DATE(年度,2+1,1)))</f>
        <v>0</v>
      </c>
      <c r="Z18" s="186">
        <f>Y18*X18</f>
        <v>0</v>
      </c>
      <c r="AA18" s="220">
        <f>_辅助!BN16</f>
        <v>0</v>
      </c>
      <c r="AB18" s="186">
        <f>_辅助!AD16</f>
        <v>0</v>
      </c>
      <c r="AC18" s="221">
        <f>V18-Y18-AA18</f>
        <v>0</v>
      </c>
      <c r="AD18" s="187">
        <f>W18-Z18-AB18</f>
        <v>0</v>
      </c>
      <c r="AE18" s="236">
        <f>IF(AND(V18&gt;0,W18&gt;0),0,Z18)</f>
        <v>0</v>
      </c>
      <c r="AF18" s="220">
        <f>IF($B18="",0,SUMIFS(采购进货!$E$4:$E$1503,采购进货!$D$4:$D$1503,$B18,采购进货!$B$4:$B$1503,"&gt;="&amp;DATE(年度,3,1),采购进货!$B$4:$B$1503,"&lt;"&amp;DATE(年度,3+1,1))+SUMIFS(采购进货!$H$4:$H$1503,采购进货!$D$4:$D$1503,$B18,采购进货!$B$4:$B$1503,"&gt;="&amp;DATE(年度,3,1),采购进货!$B$4:$B$1503,"&lt;"&amp;DATE(年度,3+1,1)))</f>
        <v>0</v>
      </c>
      <c r="AG18" s="186">
        <f>IF($B18="",0,SUMIFS(采购进货!$G$4:$G$1503,采购进货!$D$4:$D$1503,$B18,采购进货!$B$4:$B$1503,"&gt;="&amp;DATE(年度,3,1),采购进货!$B$4:$B$1503,"&lt;"&amp;DATE(年度,3+1,1)))</f>
        <v>0</v>
      </c>
      <c r="AH18" s="234">
        <f>AC18+AF18</f>
        <v>0</v>
      </c>
      <c r="AI18" s="235">
        <f>AD18+AG18</f>
        <v>0</v>
      </c>
      <c r="AJ18" s="222">
        <f>IF(AND(AH18&gt;0,AI18&gt;0),AI18/AH18,N($E18))</f>
        <v>29.52</v>
      </c>
      <c r="AK18" s="220">
        <f>IF($B18="",0,SUMIFS(出库明细!$E$4:$E$3003,出库明细!$D$4:$D$3003,$B18,出库明细!$B$4:$B$3003,"&gt;="&amp;DATE(年度,3,1),出库明细!$B$4:$B$3003,"&lt;"&amp;DATE(年度,3+1,1)))</f>
        <v>0</v>
      </c>
      <c r="AL18" s="186">
        <f>AK18*AJ18</f>
        <v>0</v>
      </c>
      <c r="AM18" s="220">
        <f>_辅助!BO16</f>
        <v>0</v>
      </c>
      <c r="AN18" s="186">
        <f>_辅助!AE16</f>
        <v>0</v>
      </c>
      <c r="AO18" s="221">
        <f>AH18-AK18-AM18</f>
        <v>0</v>
      </c>
      <c r="AP18" s="187">
        <f>AI18-AL18-AN18</f>
        <v>0</v>
      </c>
      <c r="AQ18" s="236">
        <f>IF(AND(AH18&gt;0,AI18&gt;0),0,AL18)</f>
        <v>0</v>
      </c>
      <c r="AR18" s="220">
        <f>IF($B18="",0,SUMIFS(采购进货!$E$4:$E$1503,采购进货!$D$4:$D$1503,$B18,采购进货!$B$4:$B$1503,"&gt;="&amp;DATE(年度,4,1),采购进货!$B$4:$B$1503,"&lt;"&amp;DATE(年度,4+1,1))+SUMIFS(采购进货!$H$4:$H$1503,采购进货!$D$4:$D$1503,$B18,采购进货!$B$4:$B$1503,"&gt;="&amp;DATE(年度,4,1),采购进货!$B$4:$B$1503,"&lt;"&amp;DATE(年度,4+1,1)))</f>
        <v>0</v>
      </c>
      <c r="AS18" s="186">
        <f>IF($B18="",0,SUMIFS(采购进货!$G$4:$G$1503,采购进货!$D$4:$D$1503,$B18,采购进货!$B$4:$B$1503,"&gt;="&amp;DATE(年度,4,1),采购进货!$B$4:$B$1503,"&lt;"&amp;DATE(年度,4+1,1)))</f>
        <v>0</v>
      </c>
      <c r="AT18" s="234">
        <f>AO18+AR18</f>
        <v>0</v>
      </c>
      <c r="AU18" s="235">
        <f>AP18+AS18</f>
        <v>0</v>
      </c>
      <c r="AV18" s="222">
        <f>IF(AND(AT18&gt;0,AU18&gt;0),AU18/AT18,N($E18))</f>
        <v>29.52</v>
      </c>
      <c r="AW18" s="220">
        <f>IF($B18="",0,SUMIFS(出库明细!$E$4:$E$3003,出库明细!$D$4:$D$3003,$B18,出库明细!$B$4:$B$3003,"&gt;="&amp;DATE(年度,4,1),出库明细!$B$4:$B$3003,"&lt;"&amp;DATE(年度,4+1,1)))</f>
        <v>0</v>
      </c>
      <c r="AX18" s="186">
        <f>AW18*AV18</f>
        <v>0</v>
      </c>
      <c r="AY18" s="220">
        <f>_辅助!BP16</f>
        <v>0</v>
      </c>
      <c r="AZ18" s="186">
        <f>_辅助!AF16</f>
        <v>0</v>
      </c>
      <c r="BA18" s="221">
        <f>AT18-AW18-AY18</f>
        <v>0</v>
      </c>
      <c r="BB18" s="187">
        <f>AU18-AX18-AZ18</f>
        <v>0</v>
      </c>
      <c r="BC18" s="236">
        <f>IF(AND(AT18&gt;0,AU18&gt;0),0,AX18)</f>
        <v>0</v>
      </c>
      <c r="BD18" s="220">
        <f>IF($B18="",0,SUMIFS(采购进货!$E$4:$E$1503,采购进货!$D$4:$D$1503,$B18,采购进货!$B$4:$B$1503,"&gt;="&amp;DATE(年度,5,1),采购进货!$B$4:$B$1503,"&lt;"&amp;DATE(年度,5+1,1))+SUMIFS(采购进货!$H$4:$H$1503,采购进货!$D$4:$D$1503,$B18,采购进货!$B$4:$B$1503,"&gt;="&amp;DATE(年度,5,1),采购进货!$B$4:$B$1503,"&lt;"&amp;DATE(年度,5+1,1)))</f>
        <v>0</v>
      </c>
      <c r="BE18" s="186">
        <f>IF($B18="",0,SUMIFS(采购进货!$G$4:$G$1503,采购进货!$D$4:$D$1503,$B18,采购进货!$B$4:$B$1503,"&gt;="&amp;DATE(年度,5,1),采购进货!$B$4:$B$1503,"&lt;"&amp;DATE(年度,5+1,1)))</f>
        <v>0</v>
      </c>
      <c r="BF18" s="234">
        <f>BA18+BD18</f>
        <v>0</v>
      </c>
      <c r="BG18" s="235">
        <f>BB18+BE18</f>
        <v>0</v>
      </c>
      <c r="BH18" s="222">
        <f>IF(AND(BF18&gt;0,BG18&gt;0),BG18/BF18,N($E18))</f>
        <v>29.52</v>
      </c>
      <c r="BI18" s="220">
        <f>IF($B18="",0,SUMIFS(出库明细!$E$4:$E$3003,出库明细!$D$4:$D$3003,$B18,出库明细!$B$4:$B$3003,"&gt;="&amp;DATE(年度,5,1),出库明细!$B$4:$B$3003,"&lt;"&amp;DATE(年度,5+1,1)))</f>
        <v>0</v>
      </c>
      <c r="BJ18" s="186">
        <f>BI18*BH18</f>
        <v>0</v>
      </c>
      <c r="BK18" s="220">
        <f>_辅助!BQ16</f>
        <v>0</v>
      </c>
      <c r="BL18" s="186">
        <f>_辅助!AG16</f>
        <v>0</v>
      </c>
      <c r="BM18" s="221">
        <f>BF18-BI18-BK18</f>
        <v>0</v>
      </c>
      <c r="BN18" s="187">
        <f>BG18-BJ18-BL18</f>
        <v>0</v>
      </c>
      <c r="BO18" s="236">
        <f>IF(AND(BF18&gt;0,BG18&gt;0),0,BJ18)</f>
        <v>0</v>
      </c>
      <c r="BP18" s="220">
        <f>IF($B18="",0,SUMIFS(采购进货!$E$4:$E$1503,采购进货!$D$4:$D$1503,$B18,采购进货!$B$4:$B$1503,"&gt;="&amp;DATE(年度,6,1),采购进货!$B$4:$B$1503,"&lt;"&amp;DATE(年度,6+1,1))+SUMIFS(采购进货!$H$4:$H$1503,采购进货!$D$4:$D$1503,$B18,采购进货!$B$4:$B$1503,"&gt;="&amp;DATE(年度,6,1),采购进货!$B$4:$B$1503,"&lt;"&amp;DATE(年度,6+1,1)))</f>
        <v>0</v>
      </c>
      <c r="BQ18" s="186">
        <f>IF($B18="",0,SUMIFS(采购进货!$G$4:$G$1503,采购进货!$D$4:$D$1503,$B18,采购进货!$B$4:$B$1503,"&gt;="&amp;DATE(年度,6,1),采购进货!$B$4:$B$1503,"&lt;"&amp;DATE(年度,6+1,1)))</f>
        <v>0</v>
      </c>
      <c r="BR18" s="234">
        <f>BM18+BP18</f>
        <v>0</v>
      </c>
      <c r="BS18" s="235">
        <f>BN18+BQ18</f>
        <v>0</v>
      </c>
      <c r="BT18" s="222">
        <f>IF(AND(BR18&gt;0,BS18&gt;0),BS18/BR18,N($E18))</f>
        <v>29.52</v>
      </c>
      <c r="BU18" s="220">
        <f>IF($B18="",0,SUMIFS(出库明细!$E$4:$E$3003,出库明细!$D$4:$D$3003,$B18,出库明细!$B$4:$B$3003,"&gt;="&amp;DATE(年度,6,1),出库明细!$B$4:$B$3003,"&lt;"&amp;DATE(年度,6+1,1)))</f>
        <v>0</v>
      </c>
      <c r="BV18" s="186">
        <f>BU18*BT18</f>
        <v>0</v>
      </c>
      <c r="BW18" s="220">
        <f>_辅助!BR16</f>
        <v>2.5</v>
      </c>
      <c r="BX18" s="186">
        <f>_辅助!AH16</f>
        <v>73.8</v>
      </c>
      <c r="BY18" s="221">
        <f>BR18-BU18-BW18</f>
        <v>-2.5</v>
      </c>
      <c r="BZ18" s="187">
        <f>BS18-BV18-BX18</f>
        <v>-73.8</v>
      </c>
      <c r="CA18" s="236">
        <f>IF(AND(BR18&gt;0,BS18&gt;0),0,BV18)</f>
        <v>0</v>
      </c>
      <c r="CB18" s="220">
        <f>IF($B18="",0,SUMIFS(采购进货!$E$4:$E$1503,采购进货!$D$4:$D$1503,$B18,采购进货!$B$4:$B$1503,"&gt;="&amp;DATE(年度,7,1),采购进货!$B$4:$B$1503,"&lt;"&amp;DATE(年度,7+1,1))+SUMIFS(采购进货!$H$4:$H$1503,采购进货!$D$4:$D$1503,$B18,采购进货!$B$4:$B$1503,"&gt;="&amp;DATE(年度,7,1),采购进货!$B$4:$B$1503,"&lt;"&amp;DATE(年度,7+1,1)))</f>
        <v>0</v>
      </c>
      <c r="CC18" s="186">
        <f>IF($B18="",0,SUMIFS(采购进货!$G$4:$G$1503,采购进货!$D$4:$D$1503,$B18,采购进货!$B$4:$B$1503,"&gt;="&amp;DATE(年度,7,1),采购进货!$B$4:$B$1503,"&lt;"&amp;DATE(年度,7+1,1)))</f>
        <v>0</v>
      </c>
      <c r="CD18" s="234">
        <f>BY18+CB18</f>
        <v>-2.5</v>
      </c>
      <c r="CE18" s="235">
        <f>BZ18+CC18</f>
        <v>-73.8</v>
      </c>
      <c r="CF18" s="222">
        <f>IF(AND(CD18&gt;0,CE18&gt;0),CE18/CD18,N($E18))</f>
        <v>29.52</v>
      </c>
      <c r="CG18" s="220">
        <f>IF($B18="",0,SUMIFS(出库明细!$E$4:$E$3003,出库明细!$D$4:$D$3003,$B18,出库明细!$B$4:$B$3003,"&gt;="&amp;DATE(年度,7,1),出库明细!$B$4:$B$3003,"&lt;"&amp;DATE(年度,7+1,1)))</f>
        <v>0</v>
      </c>
      <c r="CH18" s="186">
        <f>CG18*CF18</f>
        <v>0</v>
      </c>
      <c r="CI18" s="220">
        <f>_辅助!BS16</f>
        <v>0</v>
      </c>
      <c r="CJ18" s="186">
        <f>_辅助!AI16</f>
        <v>0</v>
      </c>
      <c r="CK18" s="221">
        <f>CD18-CG18-CI18</f>
        <v>-2.5</v>
      </c>
      <c r="CL18" s="187">
        <f>CE18-CH18-CJ18</f>
        <v>-73.8</v>
      </c>
      <c r="CM18" s="236">
        <f>IF(AND(CD18&gt;0,CE18&gt;0),0,CH18)</f>
        <v>0</v>
      </c>
      <c r="CN18" s="220">
        <f>IF($B18="",0,SUMIFS(采购进货!$E$4:$E$1503,采购进货!$D$4:$D$1503,$B18,采购进货!$B$4:$B$1503,"&gt;="&amp;DATE(年度,8,1),采购进货!$B$4:$B$1503,"&lt;"&amp;DATE(年度,8+1,1))+SUMIFS(采购进货!$H$4:$H$1503,采购进货!$D$4:$D$1503,$B18,采购进货!$B$4:$B$1503,"&gt;="&amp;DATE(年度,8,1),采购进货!$B$4:$B$1503,"&lt;"&amp;DATE(年度,8+1,1)))</f>
        <v>0</v>
      </c>
      <c r="CO18" s="186">
        <f>IF($B18="",0,SUMIFS(采购进货!$G$4:$G$1503,采购进货!$D$4:$D$1503,$B18,采购进货!$B$4:$B$1503,"&gt;="&amp;DATE(年度,8,1),采购进货!$B$4:$B$1503,"&lt;"&amp;DATE(年度,8+1,1)))</f>
        <v>0</v>
      </c>
      <c r="CP18" s="234">
        <f>CK18+CN18</f>
        <v>-2.5</v>
      </c>
      <c r="CQ18" s="235">
        <f>CL18+CO18</f>
        <v>-73.8</v>
      </c>
      <c r="CR18" s="222">
        <f>IF(AND(CP18&gt;0,CQ18&gt;0),CQ18/CP18,N($E18))</f>
        <v>29.52</v>
      </c>
      <c r="CS18" s="220">
        <f>IF($B18="",0,SUMIFS(出库明细!$E$4:$E$3003,出库明细!$D$4:$D$3003,$B18,出库明细!$B$4:$B$3003,"&gt;="&amp;DATE(年度,8,1),出库明细!$B$4:$B$3003,"&lt;"&amp;DATE(年度,8+1,1)))</f>
        <v>10</v>
      </c>
      <c r="CT18" s="186">
        <f>CS18*CR18</f>
        <v>295.2</v>
      </c>
      <c r="CU18" s="220">
        <f>_辅助!BT16</f>
        <v>0</v>
      </c>
      <c r="CV18" s="186">
        <f>_辅助!AJ16</f>
        <v>0</v>
      </c>
      <c r="CW18" s="221">
        <f>CP18-CS18-CU18</f>
        <v>-12.5</v>
      </c>
      <c r="CX18" s="187">
        <f>CQ18-CT18-CV18</f>
        <v>-369</v>
      </c>
      <c r="CY18" s="236">
        <f>IF(AND(CP18&gt;0,CQ18&gt;0),0,CT18)</f>
        <v>295.2</v>
      </c>
      <c r="CZ18" s="220">
        <f>IF($B18="",0,SUMIFS(采购进货!$E$4:$E$1503,采购进货!$D$4:$D$1503,$B18,采购进货!$B$4:$B$1503,"&gt;="&amp;DATE(年度,9,1),采购进货!$B$4:$B$1503,"&lt;"&amp;DATE(年度,9+1,1))+SUMIFS(采购进货!$H$4:$H$1503,采购进货!$D$4:$D$1503,$B18,采购进货!$B$4:$B$1503,"&gt;="&amp;DATE(年度,9,1),采购进货!$B$4:$B$1503,"&lt;"&amp;DATE(年度,9+1,1)))</f>
        <v>0</v>
      </c>
      <c r="DA18" s="186">
        <f>IF($B18="",0,SUMIFS(采购进货!$G$4:$G$1503,采购进货!$D$4:$D$1503,$B18,采购进货!$B$4:$B$1503,"&gt;="&amp;DATE(年度,9,1),采购进货!$B$4:$B$1503,"&lt;"&amp;DATE(年度,9+1,1)))</f>
        <v>0</v>
      </c>
      <c r="DB18" s="234">
        <f>CW18+CZ18</f>
        <v>-12.5</v>
      </c>
      <c r="DC18" s="235">
        <f>CX18+DA18</f>
        <v>-369</v>
      </c>
      <c r="DD18" s="222">
        <f>IF(AND(DB18&gt;0,DC18&gt;0),DC18/DB18,N($E18))</f>
        <v>29.52</v>
      </c>
      <c r="DE18" s="220">
        <f>IF($B18="",0,SUMIFS(出库明细!$E$4:$E$3003,出库明细!$D$4:$D$3003,$B18,出库明细!$B$4:$B$3003,"&gt;="&amp;DATE(年度,9,1),出库明细!$B$4:$B$3003,"&lt;"&amp;DATE(年度,9+1,1)))</f>
        <v>0</v>
      </c>
      <c r="DF18" s="186">
        <f>DE18*DD18</f>
        <v>0</v>
      </c>
      <c r="DG18" s="220">
        <f>_辅助!BU16</f>
        <v>0</v>
      </c>
      <c r="DH18" s="186">
        <f>_辅助!AK16</f>
        <v>0</v>
      </c>
      <c r="DI18" s="221">
        <f>DB18-DE18-DG18</f>
        <v>-12.5</v>
      </c>
      <c r="DJ18" s="187">
        <f>DC18-DF18-DH18</f>
        <v>-369</v>
      </c>
      <c r="DK18" s="236">
        <f>IF(AND(DB18&gt;0,DC18&gt;0),0,DF18)</f>
        <v>0</v>
      </c>
      <c r="DL18" s="220">
        <f>IF($B18="",0,SUMIFS(采购进货!$E$4:$E$1503,采购进货!$D$4:$D$1503,$B18,采购进货!$B$4:$B$1503,"&gt;="&amp;DATE(年度,10,1),采购进货!$B$4:$B$1503,"&lt;"&amp;DATE(年度,10+1,1))+SUMIFS(采购进货!$H$4:$H$1503,采购进货!$D$4:$D$1503,$B18,采购进货!$B$4:$B$1503,"&gt;="&amp;DATE(年度,10,1),采购进货!$B$4:$B$1503,"&lt;"&amp;DATE(年度,10+1,1)))</f>
        <v>0</v>
      </c>
      <c r="DM18" s="186">
        <f>IF($B18="",0,SUMIFS(采购进货!$G$4:$G$1503,采购进货!$D$4:$D$1503,$B18,采购进货!$B$4:$B$1503,"&gt;="&amp;DATE(年度,10,1),采购进货!$B$4:$B$1503,"&lt;"&amp;DATE(年度,10+1,1)))</f>
        <v>0</v>
      </c>
      <c r="DN18" s="234">
        <f>DI18+DL18</f>
        <v>-12.5</v>
      </c>
      <c r="DO18" s="235">
        <f>DJ18+DM18</f>
        <v>-369</v>
      </c>
      <c r="DP18" s="222">
        <f>IF(AND(DN18&gt;0,DO18&gt;0),DO18/DN18,N($E18))</f>
        <v>29.52</v>
      </c>
      <c r="DQ18" s="220">
        <f>IF($B18="",0,SUMIFS(出库明细!$E$4:$E$3003,出库明细!$D$4:$D$3003,$B18,出库明细!$B$4:$B$3003,"&gt;="&amp;DATE(年度,10,1),出库明细!$B$4:$B$3003,"&lt;"&amp;DATE(年度,10+1,1)))</f>
        <v>0</v>
      </c>
      <c r="DR18" s="186">
        <f>DQ18*DP18</f>
        <v>0</v>
      </c>
      <c r="DS18" s="220">
        <f>_辅助!BV16</f>
        <v>0</v>
      </c>
      <c r="DT18" s="186">
        <f>_辅助!AL16</f>
        <v>0</v>
      </c>
      <c r="DU18" s="221">
        <f>DN18-DQ18-DS18</f>
        <v>-12.5</v>
      </c>
      <c r="DV18" s="187">
        <f>DO18-DR18-DT18</f>
        <v>-369</v>
      </c>
      <c r="DW18" s="236">
        <f>IF(AND(DN18&gt;0,DO18&gt;0),0,DR18)</f>
        <v>0</v>
      </c>
      <c r="DX18" s="220">
        <f>IF($B18="",0,SUMIFS(采购进货!$E$4:$E$1503,采购进货!$D$4:$D$1503,$B18,采购进货!$B$4:$B$1503,"&gt;="&amp;DATE(年度,11,1),采购进货!$B$4:$B$1503,"&lt;"&amp;DATE(年度,11+1,1))+SUMIFS(采购进货!$H$4:$H$1503,采购进货!$D$4:$D$1503,$B18,采购进货!$B$4:$B$1503,"&gt;="&amp;DATE(年度,11,1),采购进货!$B$4:$B$1503,"&lt;"&amp;DATE(年度,11+1,1)))</f>
        <v>0</v>
      </c>
      <c r="DY18" s="186">
        <f>IF($B18="",0,SUMIFS(采购进货!$G$4:$G$1503,采购进货!$D$4:$D$1503,$B18,采购进货!$B$4:$B$1503,"&gt;="&amp;DATE(年度,11,1),采购进货!$B$4:$B$1503,"&lt;"&amp;DATE(年度,11+1,1)))</f>
        <v>0</v>
      </c>
      <c r="DZ18" s="234">
        <f>DU18+DX18</f>
        <v>-12.5</v>
      </c>
      <c r="EA18" s="235">
        <f>DV18+DY18</f>
        <v>-369</v>
      </c>
      <c r="EB18" s="222">
        <f>IF(AND(DZ18&gt;0,EA18&gt;0),EA18/DZ18,N($E18))</f>
        <v>29.52</v>
      </c>
      <c r="EC18" s="220">
        <f>IF($B18="",0,SUMIFS(出库明细!$E$4:$E$3003,出库明细!$D$4:$D$3003,$B18,出库明细!$B$4:$B$3003,"&gt;="&amp;DATE(年度,11,1),出库明细!$B$4:$B$3003,"&lt;"&amp;DATE(年度,11+1,1)))</f>
        <v>0</v>
      </c>
      <c r="ED18" s="186">
        <f>EC18*EB18</f>
        <v>0</v>
      </c>
      <c r="EE18" s="220">
        <f>_辅助!BW16</f>
        <v>0</v>
      </c>
      <c r="EF18" s="186">
        <f>_辅助!AM16</f>
        <v>0</v>
      </c>
      <c r="EG18" s="221">
        <f>DZ18-EC18-EE18</f>
        <v>-12.5</v>
      </c>
      <c r="EH18" s="187">
        <f>EA18-ED18-EF18</f>
        <v>-369</v>
      </c>
      <c r="EI18" s="236">
        <f>IF(AND(DZ18&gt;0,EA18&gt;0),0,ED18)</f>
        <v>0</v>
      </c>
      <c r="EJ18" s="220">
        <f>IF($B18="",0,SUMIFS(采购进货!$E$4:$E$1503,采购进货!$D$4:$D$1503,$B18,采购进货!$B$4:$B$1503,"&gt;="&amp;DATE(年度,12,1),采购进货!$B$4:$B$1503,"&lt;"&amp;DATE(年度,12+1,1))+SUMIFS(采购进货!$H$4:$H$1503,采购进货!$D$4:$D$1503,$B18,采购进货!$B$4:$B$1503,"&gt;="&amp;DATE(年度,12,1),采购进货!$B$4:$B$1503,"&lt;"&amp;DATE(年度,12+1,1)))</f>
        <v>0</v>
      </c>
      <c r="EK18" s="186">
        <f>IF($B18="",0,SUMIFS(采购进货!$G$4:$G$1503,采购进货!$D$4:$D$1503,$B18,采购进货!$B$4:$B$1503,"&gt;="&amp;DATE(年度,12,1),采购进货!$B$4:$B$1503,"&lt;"&amp;DATE(年度,12+1,1)))</f>
        <v>0</v>
      </c>
      <c r="EL18" s="234">
        <f>EG18+EJ18</f>
        <v>-12.5</v>
      </c>
      <c r="EM18" s="235">
        <f>EH18+EK18</f>
        <v>-369</v>
      </c>
      <c r="EN18" s="222">
        <f>IF(AND(EL18&gt;0,EM18&gt;0),EM18/EL18,N($E18))</f>
        <v>29.52</v>
      </c>
      <c r="EO18" s="220">
        <f>IF($B18="",0,SUMIFS(出库明细!$E$4:$E$3003,出库明细!$D$4:$D$3003,$B18,出库明细!$B$4:$B$3003,"&gt;="&amp;DATE(年度,12,1),出库明细!$B$4:$B$3003,"&lt;"&amp;DATE(年度,12+1,1)))</f>
        <v>0</v>
      </c>
      <c r="EP18" s="186">
        <f>EO18*EN18</f>
        <v>0</v>
      </c>
      <c r="EQ18" s="220">
        <f>_辅助!BX16</f>
        <v>0</v>
      </c>
      <c r="ER18" s="186">
        <f>_辅助!AN16</f>
        <v>0</v>
      </c>
      <c r="ES18" s="221">
        <f>EL18-EO18-EQ18</f>
        <v>-12.5</v>
      </c>
      <c r="ET18" s="187">
        <f>EM18-EP18-ER18</f>
        <v>-369</v>
      </c>
      <c r="EU18" s="236">
        <f>IF(AND(EL18&gt;0,EM18&gt;0),0,EP18)</f>
        <v>0</v>
      </c>
    </row>
    <row r="19">
      <c r="A19" s="194">
        <f>IF(B19="","",ROW()-7)</f>
        <v>12</v>
      </c>
      <c r="B19" s="141" t="str">
        <f>IF(基础资料!E16="","",基础资料!E16&amp;"")</f>
        <v>330海岛椰</v>
      </c>
      <c r="C19" s="230">
        <f>IF(基础资料!G16="","",基础资料!G16&amp;"")</f>
      </c>
      <c r="D19" s="194">
        <f>IF(基础资料!I16="","",基础资料!I16)</f>
      </c>
      <c r="E19" s="231">
        <f>IF(基础资料!J16="","",基础资料!J16)</f>
      </c>
      <c r="F19" s="232">
        <f>N(基础资料!L16)</f>
        <v>0</v>
      </c>
      <c r="G19" s="233">
        <f>IF(基础资料!N16="",0,基础资料!N16)</f>
        <v>0</v>
      </c>
      <c r="H19" s="220">
        <f>IF($B19="",0,SUMIFS(采购进货!$E$4:$E$1503,采购进货!$D$4:$D$1503,$B19,采购进货!$B$4:$B$1503,"&gt;="&amp;DATE(年度,1,1),采购进货!$B$4:$B$1503,"&lt;"&amp;DATE(年度,1+1,1))+SUMIFS(采购进货!$H$4:$H$1503,采购进货!$D$4:$D$1503,$B19,采购进货!$B$4:$B$1503,"&gt;="&amp;DATE(年度,1,1),采购进货!$B$4:$B$1503,"&lt;"&amp;DATE(年度,1+1,1)))</f>
        <v>0</v>
      </c>
      <c r="I19" s="186">
        <f>IF($B19="",0,SUMIFS(采购进货!$G$4:$G$1503,采购进货!$D$4:$D$1503,$B19,采购进货!$B$4:$B$1503,"&gt;="&amp;DATE(年度,1,1),采购进货!$B$4:$B$1503,"&lt;"&amp;DATE(年度,1+1,1)))</f>
        <v>0</v>
      </c>
      <c r="J19" s="234">
        <f>F19+H19</f>
        <v>0</v>
      </c>
      <c r="K19" s="235">
        <f>G19+I19</f>
        <v>0</v>
      </c>
      <c r="L19" s="222">
        <f>IF(AND(J19&gt;0,K19&gt;0),K19/J19,N($E19))</f>
        <v>0</v>
      </c>
      <c r="M19" s="220">
        <f>IF($B19="",0,SUMIFS(出库明细!$E$4:$E$3003,出库明细!$D$4:$D$3003,$B19,出库明细!$B$4:$B$3003,"&gt;="&amp;DATE(年度,1,1),出库明细!$B$4:$B$3003,"&lt;"&amp;DATE(年度,1+1,1)))</f>
        <v>0</v>
      </c>
      <c r="N19" s="186">
        <f>M19*L19</f>
        <v>0</v>
      </c>
      <c r="O19" s="220">
        <f>_辅助!BM17</f>
        <v>0</v>
      </c>
      <c r="P19" s="186">
        <f>_辅助!AC17</f>
        <v>0</v>
      </c>
      <c r="Q19" s="221">
        <f>J19-M19-O19</f>
        <v>0</v>
      </c>
      <c r="R19" s="187">
        <f>K19-N19-P19</f>
        <v>0</v>
      </c>
      <c r="S19" s="236">
        <f>IF(AND(J19&gt;0,K19&gt;0),0,N19)</f>
        <v>0</v>
      </c>
      <c r="T19" s="220">
        <f>IF($B19="",0,SUMIFS(采购进货!$E$4:$E$1503,采购进货!$D$4:$D$1503,$B19,采购进货!$B$4:$B$1503,"&gt;="&amp;DATE(年度,2,1),采购进货!$B$4:$B$1503,"&lt;"&amp;DATE(年度,2+1,1))+SUMIFS(采购进货!$H$4:$H$1503,采购进货!$D$4:$D$1503,$B19,采购进货!$B$4:$B$1503,"&gt;="&amp;DATE(年度,2,1),采购进货!$B$4:$B$1503,"&lt;"&amp;DATE(年度,2+1,1)))</f>
        <v>0</v>
      </c>
      <c r="U19" s="186">
        <f>IF($B19="",0,SUMIFS(采购进货!$G$4:$G$1503,采购进货!$D$4:$D$1503,$B19,采购进货!$B$4:$B$1503,"&gt;="&amp;DATE(年度,2,1),采购进货!$B$4:$B$1503,"&lt;"&amp;DATE(年度,2+1,1)))</f>
        <v>0</v>
      </c>
      <c r="V19" s="234">
        <f>Q19+T19</f>
        <v>0</v>
      </c>
      <c r="W19" s="235">
        <f>R19+U19</f>
        <v>0</v>
      </c>
      <c r="X19" s="222">
        <f>IF(AND(V19&gt;0,W19&gt;0),W19/V19,N($E19))</f>
        <v>0</v>
      </c>
      <c r="Y19" s="220">
        <f>IF($B19="",0,SUMIFS(出库明细!$E$4:$E$3003,出库明细!$D$4:$D$3003,$B19,出库明细!$B$4:$B$3003,"&gt;="&amp;DATE(年度,2,1),出库明细!$B$4:$B$3003,"&lt;"&amp;DATE(年度,2+1,1)))</f>
        <v>0</v>
      </c>
      <c r="Z19" s="186">
        <f>Y19*X19</f>
        <v>0</v>
      </c>
      <c r="AA19" s="220">
        <f>_辅助!BN17</f>
        <v>0</v>
      </c>
      <c r="AB19" s="186">
        <f>_辅助!AD17</f>
        <v>0</v>
      </c>
      <c r="AC19" s="221">
        <f>V19-Y19-AA19</f>
        <v>0</v>
      </c>
      <c r="AD19" s="187">
        <f>W19-Z19-AB19</f>
        <v>0</v>
      </c>
      <c r="AE19" s="236">
        <f>IF(AND(V19&gt;0,W19&gt;0),0,Z19)</f>
        <v>0</v>
      </c>
      <c r="AF19" s="220">
        <f>IF($B19="",0,SUMIFS(采购进货!$E$4:$E$1503,采购进货!$D$4:$D$1503,$B19,采购进货!$B$4:$B$1503,"&gt;="&amp;DATE(年度,3,1),采购进货!$B$4:$B$1503,"&lt;"&amp;DATE(年度,3+1,1))+SUMIFS(采购进货!$H$4:$H$1503,采购进货!$D$4:$D$1503,$B19,采购进货!$B$4:$B$1503,"&gt;="&amp;DATE(年度,3,1),采购进货!$B$4:$B$1503,"&lt;"&amp;DATE(年度,3+1,1)))</f>
        <v>0</v>
      </c>
      <c r="AG19" s="186">
        <f>IF($B19="",0,SUMIFS(采购进货!$G$4:$G$1503,采购进货!$D$4:$D$1503,$B19,采购进货!$B$4:$B$1503,"&gt;="&amp;DATE(年度,3,1),采购进货!$B$4:$B$1503,"&lt;"&amp;DATE(年度,3+1,1)))</f>
        <v>0</v>
      </c>
      <c r="AH19" s="234">
        <f>AC19+AF19</f>
        <v>0</v>
      </c>
      <c r="AI19" s="235">
        <f>AD19+AG19</f>
        <v>0</v>
      </c>
      <c r="AJ19" s="222">
        <f>IF(AND(AH19&gt;0,AI19&gt;0),AI19/AH19,N($E19))</f>
        <v>0</v>
      </c>
      <c r="AK19" s="220">
        <f>IF($B19="",0,SUMIFS(出库明细!$E$4:$E$3003,出库明细!$D$4:$D$3003,$B19,出库明细!$B$4:$B$3003,"&gt;="&amp;DATE(年度,3,1),出库明细!$B$4:$B$3003,"&lt;"&amp;DATE(年度,3+1,1)))</f>
        <v>0</v>
      </c>
      <c r="AL19" s="186">
        <f>AK19*AJ19</f>
        <v>0</v>
      </c>
      <c r="AM19" s="220">
        <f>_辅助!BO17</f>
        <v>0</v>
      </c>
      <c r="AN19" s="186">
        <f>_辅助!AE17</f>
        <v>0</v>
      </c>
      <c r="AO19" s="221">
        <f>AH19-AK19-AM19</f>
        <v>0</v>
      </c>
      <c r="AP19" s="187">
        <f>AI19-AL19-AN19</f>
        <v>0</v>
      </c>
      <c r="AQ19" s="236">
        <f>IF(AND(AH19&gt;0,AI19&gt;0),0,AL19)</f>
        <v>0</v>
      </c>
      <c r="AR19" s="220">
        <f>IF($B19="",0,SUMIFS(采购进货!$E$4:$E$1503,采购进货!$D$4:$D$1503,$B19,采购进货!$B$4:$B$1503,"&gt;="&amp;DATE(年度,4,1),采购进货!$B$4:$B$1503,"&lt;"&amp;DATE(年度,4+1,1))+SUMIFS(采购进货!$H$4:$H$1503,采购进货!$D$4:$D$1503,$B19,采购进货!$B$4:$B$1503,"&gt;="&amp;DATE(年度,4,1),采购进货!$B$4:$B$1503,"&lt;"&amp;DATE(年度,4+1,1)))</f>
        <v>0</v>
      </c>
      <c r="AS19" s="186">
        <f>IF($B19="",0,SUMIFS(采购进货!$G$4:$G$1503,采购进货!$D$4:$D$1503,$B19,采购进货!$B$4:$B$1503,"&gt;="&amp;DATE(年度,4,1),采购进货!$B$4:$B$1503,"&lt;"&amp;DATE(年度,4+1,1)))</f>
        <v>0</v>
      </c>
      <c r="AT19" s="234">
        <f>AO19+AR19</f>
        <v>0</v>
      </c>
      <c r="AU19" s="235">
        <f>AP19+AS19</f>
        <v>0</v>
      </c>
      <c r="AV19" s="222">
        <f>IF(AND(AT19&gt;0,AU19&gt;0),AU19/AT19,N($E19))</f>
        <v>0</v>
      </c>
      <c r="AW19" s="220">
        <f>IF($B19="",0,SUMIFS(出库明细!$E$4:$E$3003,出库明细!$D$4:$D$3003,$B19,出库明细!$B$4:$B$3003,"&gt;="&amp;DATE(年度,4,1),出库明细!$B$4:$B$3003,"&lt;"&amp;DATE(年度,4+1,1)))</f>
        <v>0</v>
      </c>
      <c r="AX19" s="186">
        <f>AW19*AV19</f>
        <v>0</v>
      </c>
      <c r="AY19" s="220">
        <f>_辅助!BP17</f>
        <v>0</v>
      </c>
      <c r="AZ19" s="186">
        <f>_辅助!AF17</f>
        <v>0</v>
      </c>
      <c r="BA19" s="221">
        <f>AT19-AW19-AY19</f>
        <v>0</v>
      </c>
      <c r="BB19" s="187">
        <f>AU19-AX19-AZ19</f>
        <v>0</v>
      </c>
      <c r="BC19" s="236">
        <f>IF(AND(AT19&gt;0,AU19&gt;0),0,AX19)</f>
        <v>0</v>
      </c>
      <c r="BD19" s="220">
        <f>IF($B19="",0,SUMIFS(采购进货!$E$4:$E$1503,采购进货!$D$4:$D$1503,$B19,采购进货!$B$4:$B$1503,"&gt;="&amp;DATE(年度,5,1),采购进货!$B$4:$B$1503,"&lt;"&amp;DATE(年度,5+1,1))+SUMIFS(采购进货!$H$4:$H$1503,采购进货!$D$4:$D$1503,$B19,采购进货!$B$4:$B$1503,"&gt;="&amp;DATE(年度,5,1),采购进货!$B$4:$B$1503,"&lt;"&amp;DATE(年度,5+1,1)))</f>
        <v>0</v>
      </c>
      <c r="BE19" s="186">
        <f>IF($B19="",0,SUMIFS(采购进货!$G$4:$G$1503,采购进货!$D$4:$D$1503,$B19,采购进货!$B$4:$B$1503,"&gt;="&amp;DATE(年度,5,1),采购进货!$B$4:$B$1503,"&lt;"&amp;DATE(年度,5+1,1)))</f>
        <v>0</v>
      </c>
      <c r="BF19" s="234">
        <f>BA19+BD19</f>
        <v>0</v>
      </c>
      <c r="BG19" s="235">
        <f>BB19+BE19</f>
        <v>0</v>
      </c>
      <c r="BH19" s="222">
        <f>IF(AND(BF19&gt;0,BG19&gt;0),BG19/BF19,N($E19))</f>
        <v>0</v>
      </c>
      <c r="BI19" s="220">
        <f>IF($B19="",0,SUMIFS(出库明细!$E$4:$E$3003,出库明细!$D$4:$D$3003,$B19,出库明细!$B$4:$B$3003,"&gt;="&amp;DATE(年度,5,1),出库明细!$B$4:$B$3003,"&lt;"&amp;DATE(年度,5+1,1)))</f>
        <v>0</v>
      </c>
      <c r="BJ19" s="186">
        <f>BI19*BH19</f>
        <v>0</v>
      </c>
      <c r="BK19" s="220">
        <f>_辅助!BQ17</f>
        <v>0</v>
      </c>
      <c r="BL19" s="186">
        <f>_辅助!AG17</f>
        <v>0</v>
      </c>
      <c r="BM19" s="221">
        <f>BF19-BI19-BK19</f>
        <v>0</v>
      </c>
      <c r="BN19" s="187">
        <f>BG19-BJ19-BL19</f>
        <v>0</v>
      </c>
      <c r="BO19" s="236">
        <f>IF(AND(BF19&gt;0,BG19&gt;0),0,BJ19)</f>
        <v>0</v>
      </c>
      <c r="BP19" s="220">
        <f>IF($B19="",0,SUMIFS(采购进货!$E$4:$E$1503,采购进货!$D$4:$D$1503,$B19,采购进货!$B$4:$B$1503,"&gt;="&amp;DATE(年度,6,1),采购进货!$B$4:$B$1503,"&lt;"&amp;DATE(年度,6+1,1))+SUMIFS(采购进货!$H$4:$H$1503,采购进货!$D$4:$D$1503,$B19,采购进货!$B$4:$B$1503,"&gt;="&amp;DATE(年度,6,1),采购进货!$B$4:$B$1503,"&lt;"&amp;DATE(年度,6+1,1)))</f>
        <v>0</v>
      </c>
      <c r="BQ19" s="186">
        <f>IF($B19="",0,SUMIFS(采购进货!$G$4:$G$1503,采购进货!$D$4:$D$1503,$B19,采购进货!$B$4:$B$1503,"&gt;="&amp;DATE(年度,6,1),采购进货!$B$4:$B$1503,"&lt;"&amp;DATE(年度,6+1,1)))</f>
        <v>0</v>
      </c>
      <c r="BR19" s="234">
        <f>BM19+BP19</f>
        <v>0</v>
      </c>
      <c r="BS19" s="235">
        <f>BN19+BQ19</f>
        <v>0</v>
      </c>
      <c r="BT19" s="222">
        <f>IF(AND(BR19&gt;0,BS19&gt;0),BS19/BR19,N($E19))</f>
        <v>0</v>
      </c>
      <c r="BU19" s="220">
        <f>IF($B19="",0,SUMIFS(出库明细!$E$4:$E$3003,出库明细!$D$4:$D$3003,$B19,出库明细!$B$4:$B$3003,"&gt;="&amp;DATE(年度,6,1),出库明细!$B$4:$B$3003,"&lt;"&amp;DATE(年度,6+1,1)))</f>
        <v>0</v>
      </c>
      <c r="BV19" s="186">
        <f>BU19*BT19</f>
        <v>0</v>
      </c>
      <c r="BW19" s="220">
        <f>_辅助!BR17</f>
        <v>0</v>
      </c>
      <c r="BX19" s="186">
        <f>_辅助!AH17</f>
        <v>0</v>
      </c>
      <c r="BY19" s="221">
        <f>BR19-BU19-BW19</f>
        <v>0</v>
      </c>
      <c r="BZ19" s="187">
        <f>BS19-BV19-BX19</f>
        <v>0</v>
      </c>
      <c r="CA19" s="236">
        <f>IF(AND(BR19&gt;0,BS19&gt;0),0,BV19)</f>
        <v>0</v>
      </c>
      <c r="CB19" s="220">
        <f>IF($B19="",0,SUMIFS(采购进货!$E$4:$E$1503,采购进货!$D$4:$D$1503,$B19,采购进货!$B$4:$B$1503,"&gt;="&amp;DATE(年度,7,1),采购进货!$B$4:$B$1503,"&lt;"&amp;DATE(年度,7+1,1))+SUMIFS(采购进货!$H$4:$H$1503,采购进货!$D$4:$D$1503,$B19,采购进货!$B$4:$B$1503,"&gt;="&amp;DATE(年度,7,1),采购进货!$B$4:$B$1503,"&lt;"&amp;DATE(年度,7+1,1)))</f>
        <v>0</v>
      </c>
      <c r="CC19" s="186">
        <f>IF($B19="",0,SUMIFS(采购进货!$G$4:$G$1503,采购进货!$D$4:$D$1503,$B19,采购进货!$B$4:$B$1503,"&gt;="&amp;DATE(年度,7,1),采购进货!$B$4:$B$1503,"&lt;"&amp;DATE(年度,7+1,1)))</f>
        <v>0</v>
      </c>
      <c r="CD19" s="234">
        <f>BY19+CB19</f>
        <v>0</v>
      </c>
      <c r="CE19" s="235">
        <f>BZ19+CC19</f>
        <v>0</v>
      </c>
      <c r="CF19" s="222">
        <f>IF(AND(CD19&gt;0,CE19&gt;0),CE19/CD19,N($E19))</f>
        <v>0</v>
      </c>
      <c r="CG19" s="220">
        <f>IF($B19="",0,SUMIFS(出库明细!$E$4:$E$3003,出库明细!$D$4:$D$3003,$B19,出库明细!$B$4:$B$3003,"&gt;="&amp;DATE(年度,7,1),出库明细!$B$4:$B$3003,"&lt;"&amp;DATE(年度,7+1,1)))</f>
        <v>0</v>
      </c>
      <c r="CH19" s="186">
        <f>CG19*CF19</f>
        <v>0</v>
      </c>
      <c r="CI19" s="220">
        <f>_辅助!BS17</f>
        <v>0</v>
      </c>
      <c r="CJ19" s="186">
        <f>_辅助!AI17</f>
        <v>0</v>
      </c>
      <c r="CK19" s="221">
        <f>CD19-CG19-CI19</f>
        <v>0</v>
      </c>
      <c r="CL19" s="187">
        <f>CE19-CH19-CJ19</f>
        <v>0</v>
      </c>
      <c r="CM19" s="236">
        <f>IF(AND(CD19&gt;0,CE19&gt;0),0,CH19)</f>
        <v>0</v>
      </c>
      <c r="CN19" s="220">
        <f>IF($B19="",0,SUMIFS(采购进货!$E$4:$E$1503,采购进货!$D$4:$D$1503,$B19,采购进货!$B$4:$B$1503,"&gt;="&amp;DATE(年度,8,1),采购进货!$B$4:$B$1503,"&lt;"&amp;DATE(年度,8+1,1))+SUMIFS(采购进货!$H$4:$H$1503,采购进货!$D$4:$D$1503,$B19,采购进货!$B$4:$B$1503,"&gt;="&amp;DATE(年度,8,1),采购进货!$B$4:$B$1503,"&lt;"&amp;DATE(年度,8+1,1)))</f>
        <v>0</v>
      </c>
      <c r="CO19" s="186">
        <f>IF($B19="",0,SUMIFS(采购进货!$G$4:$G$1503,采购进货!$D$4:$D$1503,$B19,采购进货!$B$4:$B$1503,"&gt;="&amp;DATE(年度,8,1),采购进货!$B$4:$B$1503,"&lt;"&amp;DATE(年度,8+1,1)))</f>
        <v>0</v>
      </c>
      <c r="CP19" s="234">
        <f>CK19+CN19</f>
        <v>0</v>
      </c>
      <c r="CQ19" s="235">
        <f>CL19+CO19</f>
        <v>0</v>
      </c>
      <c r="CR19" s="222">
        <f>IF(AND(CP19&gt;0,CQ19&gt;0),CQ19/CP19,N($E19))</f>
        <v>0</v>
      </c>
      <c r="CS19" s="220">
        <f>IF($B19="",0,SUMIFS(出库明细!$E$4:$E$3003,出库明细!$D$4:$D$3003,$B19,出库明细!$B$4:$B$3003,"&gt;="&amp;DATE(年度,8,1),出库明细!$B$4:$B$3003,"&lt;"&amp;DATE(年度,8+1,1)))</f>
        <v>5</v>
      </c>
      <c r="CT19" s="186">
        <f>CS19*CR19</f>
        <v>0</v>
      </c>
      <c r="CU19" s="220">
        <f>_辅助!BT17</f>
        <v>0</v>
      </c>
      <c r="CV19" s="186">
        <f>_辅助!AJ17</f>
        <v>0</v>
      </c>
      <c r="CW19" s="221">
        <f>CP19-CS19-CU19</f>
        <v>-5</v>
      </c>
      <c r="CX19" s="187">
        <f>CQ19-CT19-CV19</f>
        <v>0</v>
      </c>
      <c r="CY19" s="236">
        <f>IF(AND(CP19&gt;0,CQ19&gt;0),0,CT19)</f>
        <v>0</v>
      </c>
      <c r="CZ19" s="220">
        <f>IF($B19="",0,SUMIFS(采购进货!$E$4:$E$1503,采购进货!$D$4:$D$1503,$B19,采购进货!$B$4:$B$1503,"&gt;="&amp;DATE(年度,9,1),采购进货!$B$4:$B$1503,"&lt;"&amp;DATE(年度,9+1,1))+SUMIFS(采购进货!$H$4:$H$1503,采购进货!$D$4:$D$1503,$B19,采购进货!$B$4:$B$1503,"&gt;="&amp;DATE(年度,9,1),采购进货!$B$4:$B$1503,"&lt;"&amp;DATE(年度,9+1,1)))</f>
        <v>0</v>
      </c>
      <c r="DA19" s="186">
        <f>IF($B19="",0,SUMIFS(采购进货!$G$4:$G$1503,采购进货!$D$4:$D$1503,$B19,采购进货!$B$4:$B$1503,"&gt;="&amp;DATE(年度,9,1),采购进货!$B$4:$B$1503,"&lt;"&amp;DATE(年度,9+1,1)))</f>
        <v>0</v>
      </c>
      <c r="DB19" s="234">
        <f>CW19+CZ19</f>
        <v>-5</v>
      </c>
      <c r="DC19" s="235">
        <f>CX19+DA19</f>
        <v>0</v>
      </c>
      <c r="DD19" s="222">
        <f>IF(AND(DB19&gt;0,DC19&gt;0),DC19/DB19,N($E19))</f>
        <v>0</v>
      </c>
      <c r="DE19" s="220">
        <f>IF($B19="",0,SUMIFS(出库明细!$E$4:$E$3003,出库明细!$D$4:$D$3003,$B19,出库明细!$B$4:$B$3003,"&gt;="&amp;DATE(年度,9,1),出库明细!$B$4:$B$3003,"&lt;"&amp;DATE(年度,9+1,1)))</f>
        <v>0</v>
      </c>
      <c r="DF19" s="186">
        <f>DE19*DD19</f>
        <v>0</v>
      </c>
      <c r="DG19" s="220">
        <f>_辅助!BU17</f>
        <v>0</v>
      </c>
      <c r="DH19" s="186">
        <f>_辅助!AK17</f>
        <v>0</v>
      </c>
      <c r="DI19" s="221">
        <f>DB19-DE19-DG19</f>
        <v>-5</v>
      </c>
      <c r="DJ19" s="187">
        <f>DC19-DF19-DH19</f>
        <v>0</v>
      </c>
      <c r="DK19" s="236">
        <f>IF(AND(DB19&gt;0,DC19&gt;0),0,DF19)</f>
        <v>0</v>
      </c>
      <c r="DL19" s="220">
        <f>IF($B19="",0,SUMIFS(采购进货!$E$4:$E$1503,采购进货!$D$4:$D$1503,$B19,采购进货!$B$4:$B$1503,"&gt;="&amp;DATE(年度,10,1),采购进货!$B$4:$B$1503,"&lt;"&amp;DATE(年度,10+1,1))+SUMIFS(采购进货!$H$4:$H$1503,采购进货!$D$4:$D$1503,$B19,采购进货!$B$4:$B$1503,"&gt;="&amp;DATE(年度,10,1),采购进货!$B$4:$B$1503,"&lt;"&amp;DATE(年度,10+1,1)))</f>
        <v>0</v>
      </c>
      <c r="DM19" s="186">
        <f>IF($B19="",0,SUMIFS(采购进货!$G$4:$G$1503,采购进货!$D$4:$D$1503,$B19,采购进货!$B$4:$B$1503,"&gt;="&amp;DATE(年度,10,1),采购进货!$B$4:$B$1503,"&lt;"&amp;DATE(年度,10+1,1)))</f>
        <v>0</v>
      </c>
      <c r="DN19" s="234">
        <f>DI19+DL19</f>
        <v>-5</v>
      </c>
      <c r="DO19" s="235">
        <f>DJ19+DM19</f>
        <v>0</v>
      </c>
      <c r="DP19" s="222">
        <f>IF(AND(DN19&gt;0,DO19&gt;0),DO19/DN19,N($E19))</f>
        <v>0</v>
      </c>
      <c r="DQ19" s="220">
        <f>IF($B19="",0,SUMIFS(出库明细!$E$4:$E$3003,出库明细!$D$4:$D$3003,$B19,出库明细!$B$4:$B$3003,"&gt;="&amp;DATE(年度,10,1),出库明细!$B$4:$B$3003,"&lt;"&amp;DATE(年度,10+1,1)))</f>
        <v>0</v>
      </c>
      <c r="DR19" s="186">
        <f>DQ19*DP19</f>
        <v>0</v>
      </c>
      <c r="DS19" s="220">
        <f>_辅助!BV17</f>
        <v>0</v>
      </c>
      <c r="DT19" s="186">
        <f>_辅助!AL17</f>
        <v>0</v>
      </c>
      <c r="DU19" s="221">
        <f>DN19-DQ19-DS19</f>
        <v>-5</v>
      </c>
      <c r="DV19" s="187">
        <f>DO19-DR19-DT19</f>
        <v>0</v>
      </c>
      <c r="DW19" s="236">
        <f>IF(AND(DN19&gt;0,DO19&gt;0),0,DR19)</f>
        <v>0</v>
      </c>
      <c r="DX19" s="220">
        <f>IF($B19="",0,SUMIFS(采购进货!$E$4:$E$1503,采购进货!$D$4:$D$1503,$B19,采购进货!$B$4:$B$1503,"&gt;="&amp;DATE(年度,11,1),采购进货!$B$4:$B$1503,"&lt;"&amp;DATE(年度,11+1,1))+SUMIFS(采购进货!$H$4:$H$1503,采购进货!$D$4:$D$1503,$B19,采购进货!$B$4:$B$1503,"&gt;="&amp;DATE(年度,11,1),采购进货!$B$4:$B$1503,"&lt;"&amp;DATE(年度,11+1,1)))</f>
        <v>0</v>
      </c>
      <c r="DY19" s="186">
        <f>IF($B19="",0,SUMIFS(采购进货!$G$4:$G$1503,采购进货!$D$4:$D$1503,$B19,采购进货!$B$4:$B$1503,"&gt;="&amp;DATE(年度,11,1),采购进货!$B$4:$B$1503,"&lt;"&amp;DATE(年度,11+1,1)))</f>
        <v>0</v>
      </c>
      <c r="DZ19" s="234">
        <f>DU19+DX19</f>
        <v>-5</v>
      </c>
      <c r="EA19" s="235">
        <f>DV19+DY19</f>
        <v>0</v>
      </c>
      <c r="EB19" s="222">
        <f>IF(AND(DZ19&gt;0,EA19&gt;0),EA19/DZ19,N($E19))</f>
        <v>0</v>
      </c>
      <c r="EC19" s="220">
        <f>IF($B19="",0,SUMIFS(出库明细!$E$4:$E$3003,出库明细!$D$4:$D$3003,$B19,出库明细!$B$4:$B$3003,"&gt;="&amp;DATE(年度,11,1),出库明细!$B$4:$B$3003,"&lt;"&amp;DATE(年度,11+1,1)))</f>
        <v>0</v>
      </c>
      <c r="ED19" s="186">
        <f>EC19*EB19</f>
        <v>0</v>
      </c>
      <c r="EE19" s="220">
        <f>_辅助!BW17</f>
        <v>0</v>
      </c>
      <c r="EF19" s="186">
        <f>_辅助!AM17</f>
        <v>0</v>
      </c>
      <c r="EG19" s="221">
        <f>DZ19-EC19-EE19</f>
        <v>-5</v>
      </c>
      <c r="EH19" s="187">
        <f>EA19-ED19-EF19</f>
        <v>0</v>
      </c>
      <c r="EI19" s="236">
        <f>IF(AND(DZ19&gt;0,EA19&gt;0),0,ED19)</f>
        <v>0</v>
      </c>
      <c r="EJ19" s="220">
        <f>IF($B19="",0,SUMIFS(采购进货!$E$4:$E$1503,采购进货!$D$4:$D$1503,$B19,采购进货!$B$4:$B$1503,"&gt;="&amp;DATE(年度,12,1),采购进货!$B$4:$B$1503,"&lt;"&amp;DATE(年度,12+1,1))+SUMIFS(采购进货!$H$4:$H$1503,采购进货!$D$4:$D$1503,$B19,采购进货!$B$4:$B$1503,"&gt;="&amp;DATE(年度,12,1),采购进货!$B$4:$B$1503,"&lt;"&amp;DATE(年度,12+1,1)))</f>
        <v>0</v>
      </c>
      <c r="EK19" s="186">
        <f>IF($B19="",0,SUMIFS(采购进货!$G$4:$G$1503,采购进货!$D$4:$D$1503,$B19,采购进货!$B$4:$B$1503,"&gt;="&amp;DATE(年度,12,1),采购进货!$B$4:$B$1503,"&lt;"&amp;DATE(年度,12+1,1)))</f>
        <v>0</v>
      </c>
      <c r="EL19" s="234">
        <f>EG19+EJ19</f>
        <v>-5</v>
      </c>
      <c r="EM19" s="235">
        <f>EH19+EK19</f>
        <v>0</v>
      </c>
      <c r="EN19" s="222">
        <f>IF(AND(EL19&gt;0,EM19&gt;0),EM19/EL19,N($E19))</f>
        <v>0</v>
      </c>
      <c r="EO19" s="220">
        <f>IF($B19="",0,SUMIFS(出库明细!$E$4:$E$3003,出库明细!$D$4:$D$3003,$B19,出库明细!$B$4:$B$3003,"&gt;="&amp;DATE(年度,12,1),出库明细!$B$4:$B$3003,"&lt;"&amp;DATE(年度,12+1,1)))</f>
        <v>0</v>
      </c>
      <c r="EP19" s="186">
        <f>EO19*EN19</f>
        <v>0</v>
      </c>
      <c r="EQ19" s="220">
        <f>_辅助!BX17</f>
        <v>0</v>
      </c>
      <c r="ER19" s="186">
        <f>_辅助!AN17</f>
        <v>0</v>
      </c>
      <c r="ES19" s="221">
        <f>EL19-EO19-EQ19</f>
        <v>-5</v>
      </c>
      <c r="ET19" s="187">
        <f>EM19-EP19-ER19</f>
        <v>0</v>
      </c>
      <c r="EU19" s="236">
        <f>IF(AND(EL19&gt;0,EM19&gt;0),0,EP19)</f>
        <v>0</v>
      </c>
    </row>
    <row r="20">
      <c r="A20" s="194">
        <f>IF(B20="","",ROW()-7)</f>
        <v>13</v>
      </c>
      <c r="B20" s="141" t="str">
        <f>IF(基础资料!E17="","",基础资料!E17&amp;"")</f>
        <v>1.25海岛椰</v>
      </c>
      <c r="C20" s="230" t="str">
        <f>IF(基础资料!G17="","",基础资料!G17&amp;"")</f>
        <v>东鹏1.25L海岛椰</v>
      </c>
      <c r="D20" s="194">
        <f>IF(基础资料!I17="","",基础资料!I17)</f>
        <v>6</v>
      </c>
      <c r="E20" s="231">
        <f>IF(基础资料!J17="","",基础资料!J17)</f>
      </c>
      <c r="F20" s="232">
        <f>N(基础资料!L17)</f>
        <v>0</v>
      </c>
      <c r="G20" s="233">
        <f>IF(基础资料!N17="",0,基础资料!N17)</f>
        <v>0</v>
      </c>
      <c r="H20" s="220">
        <f>IF($B20="",0,SUMIFS(采购进货!$E$4:$E$1503,采购进货!$D$4:$D$1503,$B20,采购进货!$B$4:$B$1503,"&gt;="&amp;DATE(年度,1,1),采购进货!$B$4:$B$1503,"&lt;"&amp;DATE(年度,1+1,1))+SUMIFS(采购进货!$H$4:$H$1503,采购进货!$D$4:$D$1503,$B20,采购进货!$B$4:$B$1503,"&gt;="&amp;DATE(年度,1,1),采购进货!$B$4:$B$1503,"&lt;"&amp;DATE(年度,1+1,1)))</f>
        <v>0</v>
      </c>
      <c r="I20" s="186">
        <f>IF($B20="",0,SUMIFS(采购进货!$G$4:$G$1503,采购进货!$D$4:$D$1503,$B20,采购进货!$B$4:$B$1503,"&gt;="&amp;DATE(年度,1,1),采购进货!$B$4:$B$1503,"&lt;"&amp;DATE(年度,1+1,1)))</f>
        <v>0</v>
      </c>
      <c r="J20" s="234">
        <f>F20+H20</f>
        <v>0</v>
      </c>
      <c r="K20" s="235">
        <f>G20+I20</f>
        <v>0</v>
      </c>
      <c r="L20" s="222">
        <f>IF(AND(J20&gt;0,K20&gt;0),K20/J20,N($E20))</f>
        <v>0</v>
      </c>
      <c r="M20" s="220">
        <f>IF($B20="",0,SUMIFS(出库明细!$E$4:$E$3003,出库明细!$D$4:$D$3003,$B20,出库明细!$B$4:$B$3003,"&gt;="&amp;DATE(年度,1,1),出库明细!$B$4:$B$3003,"&lt;"&amp;DATE(年度,1+1,1)))</f>
        <v>0</v>
      </c>
      <c r="N20" s="186">
        <f>M20*L20</f>
        <v>0</v>
      </c>
      <c r="O20" s="220">
        <f>_辅助!BM18</f>
        <v>0</v>
      </c>
      <c r="P20" s="186">
        <f>_辅助!AC18</f>
        <v>0</v>
      </c>
      <c r="Q20" s="221">
        <f>J20-M20-O20</f>
        <v>0</v>
      </c>
      <c r="R20" s="187">
        <f>K20-N20-P20</f>
        <v>0</v>
      </c>
      <c r="S20" s="236">
        <f>IF(AND(J20&gt;0,K20&gt;0),0,N20)</f>
        <v>0</v>
      </c>
      <c r="T20" s="220">
        <f>IF($B20="",0,SUMIFS(采购进货!$E$4:$E$1503,采购进货!$D$4:$D$1503,$B20,采购进货!$B$4:$B$1503,"&gt;="&amp;DATE(年度,2,1),采购进货!$B$4:$B$1503,"&lt;"&amp;DATE(年度,2+1,1))+SUMIFS(采购进货!$H$4:$H$1503,采购进货!$D$4:$D$1503,$B20,采购进货!$B$4:$B$1503,"&gt;="&amp;DATE(年度,2,1),采购进货!$B$4:$B$1503,"&lt;"&amp;DATE(年度,2+1,1)))</f>
        <v>0</v>
      </c>
      <c r="U20" s="186">
        <f>IF($B20="",0,SUMIFS(采购进货!$G$4:$G$1503,采购进货!$D$4:$D$1503,$B20,采购进货!$B$4:$B$1503,"&gt;="&amp;DATE(年度,2,1),采购进货!$B$4:$B$1503,"&lt;"&amp;DATE(年度,2+1,1)))</f>
        <v>0</v>
      </c>
      <c r="V20" s="234">
        <f>Q20+T20</f>
        <v>0</v>
      </c>
      <c r="W20" s="235">
        <f>R20+U20</f>
        <v>0</v>
      </c>
      <c r="X20" s="222">
        <f>IF(AND(V20&gt;0,W20&gt;0),W20/V20,N($E20))</f>
        <v>0</v>
      </c>
      <c r="Y20" s="220">
        <f>IF($B20="",0,SUMIFS(出库明细!$E$4:$E$3003,出库明细!$D$4:$D$3003,$B20,出库明细!$B$4:$B$3003,"&gt;="&amp;DATE(年度,2,1),出库明细!$B$4:$B$3003,"&lt;"&amp;DATE(年度,2+1,1)))</f>
        <v>0</v>
      </c>
      <c r="Z20" s="186">
        <f>Y20*X20</f>
        <v>0</v>
      </c>
      <c r="AA20" s="220">
        <f>_辅助!BN18</f>
        <v>0</v>
      </c>
      <c r="AB20" s="186">
        <f>_辅助!AD18</f>
        <v>0</v>
      </c>
      <c r="AC20" s="221">
        <f>V20-Y20-AA20</f>
        <v>0</v>
      </c>
      <c r="AD20" s="187">
        <f>W20-Z20-AB20</f>
        <v>0</v>
      </c>
      <c r="AE20" s="236">
        <f>IF(AND(V20&gt;0,W20&gt;0),0,Z20)</f>
        <v>0</v>
      </c>
      <c r="AF20" s="220">
        <f>IF($B20="",0,SUMIFS(采购进货!$E$4:$E$1503,采购进货!$D$4:$D$1503,$B20,采购进货!$B$4:$B$1503,"&gt;="&amp;DATE(年度,3,1),采购进货!$B$4:$B$1503,"&lt;"&amp;DATE(年度,3+1,1))+SUMIFS(采购进货!$H$4:$H$1503,采购进货!$D$4:$D$1503,$B20,采购进货!$B$4:$B$1503,"&gt;="&amp;DATE(年度,3,1),采购进货!$B$4:$B$1503,"&lt;"&amp;DATE(年度,3+1,1)))</f>
        <v>0</v>
      </c>
      <c r="AG20" s="186">
        <f>IF($B20="",0,SUMIFS(采购进货!$G$4:$G$1503,采购进货!$D$4:$D$1503,$B20,采购进货!$B$4:$B$1503,"&gt;="&amp;DATE(年度,3,1),采购进货!$B$4:$B$1503,"&lt;"&amp;DATE(年度,3+1,1)))</f>
        <v>0</v>
      </c>
      <c r="AH20" s="234">
        <f>AC20+AF20</f>
        <v>0</v>
      </c>
      <c r="AI20" s="235">
        <f>AD20+AG20</f>
        <v>0</v>
      </c>
      <c r="AJ20" s="222">
        <f>IF(AND(AH20&gt;0,AI20&gt;0),AI20/AH20,N($E20))</f>
        <v>0</v>
      </c>
      <c r="AK20" s="220">
        <f>IF($B20="",0,SUMIFS(出库明细!$E$4:$E$3003,出库明细!$D$4:$D$3003,$B20,出库明细!$B$4:$B$3003,"&gt;="&amp;DATE(年度,3,1),出库明细!$B$4:$B$3003,"&lt;"&amp;DATE(年度,3+1,1)))</f>
        <v>0</v>
      </c>
      <c r="AL20" s="186">
        <f>AK20*AJ20</f>
        <v>0</v>
      </c>
      <c r="AM20" s="220">
        <f>_辅助!BO18</f>
        <v>0</v>
      </c>
      <c r="AN20" s="186">
        <f>_辅助!AE18</f>
        <v>0</v>
      </c>
      <c r="AO20" s="221">
        <f>AH20-AK20-AM20</f>
        <v>0</v>
      </c>
      <c r="AP20" s="187">
        <f>AI20-AL20-AN20</f>
        <v>0</v>
      </c>
      <c r="AQ20" s="236">
        <f>IF(AND(AH20&gt;0,AI20&gt;0),0,AL20)</f>
        <v>0</v>
      </c>
      <c r="AR20" s="220">
        <f>IF($B20="",0,SUMIFS(采购进货!$E$4:$E$1503,采购进货!$D$4:$D$1503,$B20,采购进货!$B$4:$B$1503,"&gt;="&amp;DATE(年度,4,1),采购进货!$B$4:$B$1503,"&lt;"&amp;DATE(年度,4+1,1))+SUMIFS(采购进货!$H$4:$H$1503,采购进货!$D$4:$D$1503,$B20,采购进货!$B$4:$B$1503,"&gt;="&amp;DATE(年度,4,1),采购进货!$B$4:$B$1503,"&lt;"&amp;DATE(年度,4+1,1)))</f>
        <v>0</v>
      </c>
      <c r="AS20" s="186">
        <f>IF($B20="",0,SUMIFS(采购进货!$G$4:$G$1503,采购进货!$D$4:$D$1503,$B20,采购进货!$B$4:$B$1503,"&gt;="&amp;DATE(年度,4,1),采购进货!$B$4:$B$1503,"&lt;"&amp;DATE(年度,4+1,1)))</f>
        <v>0</v>
      </c>
      <c r="AT20" s="234">
        <f>AO20+AR20</f>
        <v>0</v>
      </c>
      <c r="AU20" s="235">
        <f>AP20+AS20</f>
        <v>0</v>
      </c>
      <c r="AV20" s="222">
        <f>IF(AND(AT20&gt;0,AU20&gt;0),AU20/AT20,N($E20))</f>
        <v>0</v>
      </c>
      <c r="AW20" s="220">
        <f>IF($B20="",0,SUMIFS(出库明细!$E$4:$E$3003,出库明细!$D$4:$D$3003,$B20,出库明细!$B$4:$B$3003,"&gt;="&amp;DATE(年度,4,1),出库明细!$B$4:$B$3003,"&lt;"&amp;DATE(年度,4+1,1)))</f>
        <v>0</v>
      </c>
      <c r="AX20" s="186">
        <f>AW20*AV20</f>
        <v>0</v>
      </c>
      <c r="AY20" s="220">
        <f>_辅助!BP18</f>
        <v>0</v>
      </c>
      <c r="AZ20" s="186">
        <f>_辅助!AF18</f>
        <v>0</v>
      </c>
      <c r="BA20" s="221">
        <f>AT20-AW20-AY20</f>
        <v>0</v>
      </c>
      <c r="BB20" s="187">
        <f>AU20-AX20-AZ20</f>
        <v>0</v>
      </c>
      <c r="BC20" s="236">
        <f>IF(AND(AT20&gt;0,AU20&gt;0),0,AX20)</f>
        <v>0</v>
      </c>
      <c r="BD20" s="220">
        <f>IF($B20="",0,SUMIFS(采购进货!$E$4:$E$1503,采购进货!$D$4:$D$1503,$B20,采购进货!$B$4:$B$1503,"&gt;="&amp;DATE(年度,5,1),采购进货!$B$4:$B$1503,"&lt;"&amp;DATE(年度,5+1,1))+SUMIFS(采购进货!$H$4:$H$1503,采购进货!$D$4:$D$1503,$B20,采购进货!$B$4:$B$1503,"&gt;="&amp;DATE(年度,5,1),采购进货!$B$4:$B$1503,"&lt;"&amp;DATE(年度,5+1,1)))</f>
        <v>0</v>
      </c>
      <c r="BE20" s="186">
        <f>IF($B20="",0,SUMIFS(采购进货!$G$4:$G$1503,采购进货!$D$4:$D$1503,$B20,采购进货!$B$4:$B$1503,"&gt;="&amp;DATE(年度,5,1),采购进货!$B$4:$B$1503,"&lt;"&amp;DATE(年度,5+1,1)))</f>
        <v>0</v>
      </c>
      <c r="BF20" s="234">
        <f>BA20+BD20</f>
        <v>0</v>
      </c>
      <c r="BG20" s="235">
        <f>BB20+BE20</f>
        <v>0</v>
      </c>
      <c r="BH20" s="222">
        <f>IF(AND(BF20&gt;0,BG20&gt;0),BG20/BF20,N($E20))</f>
        <v>0</v>
      </c>
      <c r="BI20" s="220">
        <f>IF($B20="",0,SUMIFS(出库明细!$E$4:$E$3003,出库明细!$D$4:$D$3003,$B20,出库明细!$B$4:$B$3003,"&gt;="&amp;DATE(年度,5,1),出库明细!$B$4:$B$3003,"&lt;"&amp;DATE(年度,5+1,1)))</f>
        <v>0</v>
      </c>
      <c r="BJ20" s="186">
        <f>BI20*BH20</f>
        <v>0</v>
      </c>
      <c r="BK20" s="220">
        <f>_辅助!BQ18</f>
        <v>0</v>
      </c>
      <c r="BL20" s="186">
        <f>_辅助!AG18</f>
        <v>0</v>
      </c>
      <c r="BM20" s="221">
        <f>BF20-BI20-BK20</f>
        <v>0</v>
      </c>
      <c r="BN20" s="187">
        <f>BG20-BJ20-BL20</f>
        <v>0</v>
      </c>
      <c r="BO20" s="236">
        <f>IF(AND(BF20&gt;0,BG20&gt;0),0,BJ20)</f>
        <v>0</v>
      </c>
      <c r="BP20" s="220">
        <f>IF($B20="",0,SUMIFS(采购进货!$E$4:$E$1503,采购进货!$D$4:$D$1503,$B20,采购进货!$B$4:$B$1503,"&gt;="&amp;DATE(年度,6,1),采购进货!$B$4:$B$1503,"&lt;"&amp;DATE(年度,6+1,1))+SUMIFS(采购进货!$H$4:$H$1503,采购进货!$D$4:$D$1503,$B20,采购进货!$B$4:$B$1503,"&gt;="&amp;DATE(年度,6,1),采购进货!$B$4:$B$1503,"&lt;"&amp;DATE(年度,6+1,1)))</f>
        <v>0</v>
      </c>
      <c r="BQ20" s="186">
        <f>IF($B20="",0,SUMIFS(采购进货!$G$4:$G$1503,采购进货!$D$4:$D$1503,$B20,采购进货!$B$4:$B$1503,"&gt;="&amp;DATE(年度,6,1),采购进货!$B$4:$B$1503,"&lt;"&amp;DATE(年度,6+1,1)))</f>
        <v>0</v>
      </c>
      <c r="BR20" s="234">
        <f>BM20+BP20</f>
        <v>0</v>
      </c>
      <c r="BS20" s="235">
        <f>BN20+BQ20</f>
        <v>0</v>
      </c>
      <c r="BT20" s="222">
        <f>IF(AND(BR20&gt;0,BS20&gt;0),BS20/BR20,N($E20))</f>
        <v>0</v>
      </c>
      <c r="BU20" s="220">
        <f>IF($B20="",0,SUMIFS(出库明细!$E$4:$E$3003,出库明细!$D$4:$D$3003,$B20,出库明细!$B$4:$B$3003,"&gt;="&amp;DATE(年度,6,1),出库明细!$B$4:$B$3003,"&lt;"&amp;DATE(年度,6+1,1)))</f>
        <v>0</v>
      </c>
      <c r="BV20" s="186">
        <f>BU20*BT20</f>
        <v>0</v>
      </c>
      <c r="BW20" s="220">
        <f>_辅助!BR18</f>
        <v>0</v>
      </c>
      <c r="BX20" s="186">
        <f>_辅助!AH18</f>
        <v>0</v>
      </c>
      <c r="BY20" s="221">
        <f>BR20-BU20-BW20</f>
        <v>0</v>
      </c>
      <c r="BZ20" s="187">
        <f>BS20-BV20-BX20</f>
        <v>0</v>
      </c>
      <c r="CA20" s="236">
        <f>IF(AND(BR20&gt;0,BS20&gt;0),0,BV20)</f>
        <v>0</v>
      </c>
      <c r="CB20" s="220">
        <f>IF($B20="",0,SUMIFS(采购进货!$E$4:$E$1503,采购进货!$D$4:$D$1503,$B20,采购进货!$B$4:$B$1503,"&gt;="&amp;DATE(年度,7,1),采购进货!$B$4:$B$1503,"&lt;"&amp;DATE(年度,7+1,1))+SUMIFS(采购进货!$H$4:$H$1503,采购进货!$D$4:$D$1503,$B20,采购进货!$B$4:$B$1503,"&gt;="&amp;DATE(年度,7,1),采购进货!$B$4:$B$1503,"&lt;"&amp;DATE(年度,7+1,1)))</f>
        <v>0</v>
      </c>
      <c r="CC20" s="186">
        <f>IF($B20="",0,SUMIFS(采购进货!$G$4:$G$1503,采购进货!$D$4:$D$1503,$B20,采购进货!$B$4:$B$1503,"&gt;="&amp;DATE(年度,7,1),采购进货!$B$4:$B$1503,"&lt;"&amp;DATE(年度,7+1,1)))</f>
        <v>0</v>
      </c>
      <c r="CD20" s="234">
        <f>BY20+CB20</f>
        <v>0</v>
      </c>
      <c r="CE20" s="235">
        <f>BZ20+CC20</f>
        <v>0</v>
      </c>
      <c r="CF20" s="222">
        <f>IF(AND(CD20&gt;0,CE20&gt;0),CE20/CD20,N($E20))</f>
        <v>0</v>
      </c>
      <c r="CG20" s="220">
        <f>IF($B20="",0,SUMIFS(出库明细!$E$4:$E$3003,出库明细!$D$4:$D$3003,$B20,出库明细!$B$4:$B$3003,"&gt;="&amp;DATE(年度,7,1),出库明细!$B$4:$B$3003,"&lt;"&amp;DATE(年度,7+1,1)))</f>
        <v>0</v>
      </c>
      <c r="CH20" s="186">
        <f>CG20*CF20</f>
        <v>0</v>
      </c>
      <c r="CI20" s="220">
        <f>_辅助!BS18</f>
        <v>0</v>
      </c>
      <c r="CJ20" s="186">
        <f>_辅助!AI18</f>
        <v>0</v>
      </c>
      <c r="CK20" s="221">
        <f>CD20-CG20-CI20</f>
        <v>0</v>
      </c>
      <c r="CL20" s="187">
        <f>CE20-CH20-CJ20</f>
        <v>0</v>
      </c>
      <c r="CM20" s="236">
        <f>IF(AND(CD20&gt;0,CE20&gt;0),0,CH20)</f>
        <v>0</v>
      </c>
      <c r="CN20" s="220">
        <f>IF($B20="",0,SUMIFS(采购进货!$E$4:$E$1503,采购进货!$D$4:$D$1503,$B20,采购进货!$B$4:$B$1503,"&gt;="&amp;DATE(年度,8,1),采购进货!$B$4:$B$1503,"&lt;"&amp;DATE(年度,8+1,1))+SUMIFS(采购进货!$H$4:$H$1503,采购进货!$D$4:$D$1503,$B20,采购进货!$B$4:$B$1503,"&gt;="&amp;DATE(年度,8,1),采购进货!$B$4:$B$1503,"&lt;"&amp;DATE(年度,8+1,1)))</f>
        <v>0</v>
      </c>
      <c r="CO20" s="186">
        <f>IF($B20="",0,SUMIFS(采购进货!$G$4:$G$1503,采购进货!$D$4:$D$1503,$B20,采购进货!$B$4:$B$1503,"&gt;="&amp;DATE(年度,8,1),采购进货!$B$4:$B$1503,"&lt;"&amp;DATE(年度,8+1,1)))</f>
        <v>0</v>
      </c>
      <c r="CP20" s="234">
        <f>CK20+CN20</f>
        <v>0</v>
      </c>
      <c r="CQ20" s="235">
        <f>CL20+CO20</f>
        <v>0</v>
      </c>
      <c r="CR20" s="222">
        <f>IF(AND(CP20&gt;0,CQ20&gt;0),CQ20/CP20,N($E20))</f>
        <v>0</v>
      </c>
      <c r="CS20" s="220">
        <f>IF($B20="",0,SUMIFS(出库明细!$E$4:$E$3003,出库明细!$D$4:$D$3003,$B20,出库明细!$B$4:$B$3003,"&gt;="&amp;DATE(年度,8,1),出库明细!$B$4:$B$3003,"&lt;"&amp;DATE(年度,8+1,1)))</f>
        <v>0</v>
      </c>
      <c r="CT20" s="186">
        <f>CS20*CR20</f>
        <v>0</v>
      </c>
      <c r="CU20" s="220">
        <f>_辅助!BT18</f>
        <v>0</v>
      </c>
      <c r="CV20" s="186">
        <f>_辅助!AJ18</f>
        <v>0</v>
      </c>
      <c r="CW20" s="221">
        <f>CP20-CS20-CU20</f>
        <v>0</v>
      </c>
      <c r="CX20" s="187">
        <f>CQ20-CT20-CV20</f>
        <v>0</v>
      </c>
      <c r="CY20" s="236">
        <f>IF(AND(CP20&gt;0,CQ20&gt;0),0,CT20)</f>
        <v>0</v>
      </c>
      <c r="CZ20" s="220">
        <f>IF($B20="",0,SUMIFS(采购进货!$E$4:$E$1503,采购进货!$D$4:$D$1503,$B20,采购进货!$B$4:$B$1503,"&gt;="&amp;DATE(年度,9,1),采购进货!$B$4:$B$1503,"&lt;"&amp;DATE(年度,9+1,1))+SUMIFS(采购进货!$H$4:$H$1503,采购进货!$D$4:$D$1503,$B20,采购进货!$B$4:$B$1503,"&gt;="&amp;DATE(年度,9,1),采购进货!$B$4:$B$1503,"&lt;"&amp;DATE(年度,9+1,1)))</f>
        <v>0</v>
      </c>
      <c r="DA20" s="186">
        <f>IF($B20="",0,SUMIFS(采购进货!$G$4:$G$1503,采购进货!$D$4:$D$1503,$B20,采购进货!$B$4:$B$1503,"&gt;="&amp;DATE(年度,9,1),采购进货!$B$4:$B$1503,"&lt;"&amp;DATE(年度,9+1,1)))</f>
        <v>0</v>
      </c>
      <c r="DB20" s="234">
        <f>CW20+CZ20</f>
        <v>0</v>
      </c>
      <c r="DC20" s="235">
        <f>CX20+DA20</f>
        <v>0</v>
      </c>
      <c r="DD20" s="222">
        <f>IF(AND(DB20&gt;0,DC20&gt;0),DC20/DB20,N($E20))</f>
        <v>0</v>
      </c>
      <c r="DE20" s="220">
        <f>IF($B20="",0,SUMIFS(出库明细!$E$4:$E$3003,出库明细!$D$4:$D$3003,$B20,出库明细!$B$4:$B$3003,"&gt;="&amp;DATE(年度,9,1),出库明细!$B$4:$B$3003,"&lt;"&amp;DATE(年度,9+1,1)))</f>
        <v>0</v>
      </c>
      <c r="DF20" s="186">
        <f>DE20*DD20</f>
        <v>0</v>
      </c>
      <c r="DG20" s="220">
        <f>_辅助!BU18</f>
        <v>0</v>
      </c>
      <c r="DH20" s="186">
        <f>_辅助!AK18</f>
        <v>0</v>
      </c>
      <c r="DI20" s="221">
        <f>DB20-DE20-DG20</f>
        <v>0</v>
      </c>
      <c r="DJ20" s="187">
        <f>DC20-DF20-DH20</f>
        <v>0</v>
      </c>
      <c r="DK20" s="236">
        <f>IF(AND(DB20&gt;0,DC20&gt;0),0,DF20)</f>
        <v>0</v>
      </c>
      <c r="DL20" s="220">
        <f>IF($B20="",0,SUMIFS(采购进货!$E$4:$E$1503,采购进货!$D$4:$D$1503,$B20,采购进货!$B$4:$B$1503,"&gt;="&amp;DATE(年度,10,1),采购进货!$B$4:$B$1503,"&lt;"&amp;DATE(年度,10+1,1))+SUMIFS(采购进货!$H$4:$H$1503,采购进货!$D$4:$D$1503,$B20,采购进货!$B$4:$B$1503,"&gt;="&amp;DATE(年度,10,1),采购进货!$B$4:$B$1503,"&lt;"&amp;DATE(年度,10+1,1)))</f>
        <v>0</v>
      </c>
      <c r="DM20" s="186">
        <f>IF($B20="",0,SUMIFS(采购进货!$G$4:$G$1503,采购进货!$D$4:$D$1503,$B20,采购进货!$B$4:$B$1503,"&gt;="&amp;DATE(年度,10,1),采购进货!$B$4:$B$1503,"&lt;"&amp;DATE(年度,10+1,1)))</f>
        <v>0</v>
      </c>
      <c r="DN20" s="234">
        <f>DI20+DL20</f>
        <v>0</v>
      </c>
      <c r="DO20" s="235">
        <f>DJ20+DM20</f>
        <v>0</v>
      </c>
      <c r="DP20" s="222">
        <f>IF(AND(DN20&gt;0,DO20&gt;0),DO20/DN20,N($E20))</f>
        <v>0</v>
      </c>
      <c r="DQ20" s="220">
        <f>IF($B20="",0,SUMIFS(出库明细!$E$4:$E$3003,出库明细!$D$4:$D$3003,$B20,出库明细!$B$4:$B$3003,"&gt;="&amp;DATE(年度,10,1),出库明细!$B$4:$B$3003,"&lt;"&amp;DATE(年度,10+1,1)))</f>
        <v>0</v>
      </c>
      <c r="DR20" s="186">
        <f>DQ20*DP20</f>
        <v>0</v>
      </c>
      <c r="DS20" s="220">
        <f>_辅助!BV18</f>
        <v>0</v>
      </c>
      <c r="DT20" s="186">
        <f>_辅助!AL18</f>
        <v>0</v>
      </c>
      <c r="DU20" s="221">
        <f>DN20-DQ20-DS20</f>
        <v>0</v>
      </c>
      <c r="DV20" s="187">
        <f>DO20-DR20-DT20</f>
        <v>0</v>
      </c>
      <c r="DW20" s="236">
        <f>IF(AND(DN20&gt;0,DO20&gt;0),0,DR20)</f>
        <v>0</v>
      </c>
      <c r="DX20" s="220">
        <f>IF($B20="",0,SUMIFS(采购进货!$E$4:$E$1503,采购进货!$D$4:$D$1503,$B20,采购进货!$B$4:$B$1503,"&gt;="&amp;DATE(年度,11,1),采购进货!$B$4:$B$1503,"&lt;"&amp;DATE(年度,11+1,1))+SUMIFS(采购进货!$H$4:$H$1503,采购进货!$D$4:$D$1503,$B20,采购进货!$B$4:$B$1503,"&gt;="&amp;DATE(年度,11,1),采购进货!$B$4:$B$1503,"&lt;"&amp;DATE(年度,11+1,1)))</f>
        <v>0</v>
      </c>
      <c r="DY20" s="186">
        <f>IF($B20="",0,SUMIFS(采购进货!$G$4:$G$1503,采购进货!$D$4:$D$1503,$B20,采购进货!$B$4:$B$1503,"&gt;="&amp;DATE(年度,11,1),采购进货!$B$4:$B$1503,"&lt;"&amp;DATE(年度,11+1,1)))</f>
        <v>0</v>
      </c>
      <c r="DZ20" s="234">
        <f>DU20+DX20</f>
        <v>0</v>
      </c>
      <c r="EA20" s="235">
        <f>DV20+DY20</f>
        <v>0</v>
      </c>
      <c r="EB20" s="222">
        <f>IF(AND(DZ20&gt;0,EA20&gt;0),EA20/DZ20,N($E20))</f>
        <v>0</v>
      </c>
      <c r="EC20" s="220">
        <f>IF($B20="",0,SUMIFS(出库明细!$E$4:$E$3003,出库明细!$D$4:$D$3003,$B20,出库明细!$B$4:$B$3003,"&gt;="&amp;DATE(年度,11,1),出库明细!$B$4:$B$3003,"&lt;"&amp;DATE(年度,11+1,1)))</f>
        <v>0</v>
      </c>
      <c r="ED20" s="186">
        <f>EC20*EB20</f>
        <v>0</v>
      </c>
      <c r="EE20" s="220">
        <f>_辅助!BW18</f>
        <v>0</v>
      </c>
      <c r="EF20" s="186">
        <f>_辅助!AM18</f>
        <v>0</v>
      </c>
      <c r="EG20" s="221">
        <f>DZ20-EC20-EE20</f>
        <v>0</v>
      </c>
      <c r="EH20" s="187">
        <f>EA20-ED20-EF20</f>
        <v>0</v>
      </c>
      <c r="EI20" s="236">
        <f>IF(AND(DZ20&gt;0,EA20&gt;0),0,ED20)</f>
        <v>0</v>
      </c>
      <c r="EJ20" s="220">
        <f>IF($B20="",0,SUMIFS(采购进货!$E$4:$E$1503,采购进货!$D$4:$D$1503,$B20,采购进货!$B$4:$B$1503,"&gt;="&amp;DATE(年度,12,1),采购进货!$B$4:$B$1503,"&lt;"&amp;DATE(年度,12+1,1))+SUMIFS(采购进货!$H$4:$H$1503,采购进货!$D$4:$D$1503,$B20,采购进货!$B$4:$B$1503,"&gt;="&amp;DATE(年度,12,1),采购进货!$B$4:$B$1503,"&lt;"&amp;DATE(年度,12+1,1)))</f>
        <v>0</v>
      </c>
      <c r="EK20" s="186">
        <f>IF($B20="",0,SUMIFS(采购进货!$G$4:$G$1503,采购进货!$D$4:$D$1503,$B20,采购进货!$B$4:$B$1503,"&gt;="&amp;DATE(年度,12,1),采购进货!$B$4:$B$1503,"&lt;"&amp;DATE(年度,12+1,1)))</f>
        <v>0</v>
      </c>
      <c r="EL20" s="234">
        <f>EG20+EJ20</f>
        <v>0</v>
      </c>
      <c r="EM20" s="235">
        <f>EH20+EK20</f>
        <v>0</v>
      </c>
      <c r="EN20" s="222">
        <f>IF(AND(EL20&gt;0,EM20&gt;0),EM20/EL20,N($E20))</f>
        <v>0</v>
      </c>
      <c r="EO20" s="220">
        <f>IF($B20="",0,SUMIFS(出库明细!$E$4:$E$3003,出库明细!$D$4:$D$3003,$B20,出库明细!$B$4:$B$3003,"&gt;="&amp;DATE(年度,12,1),出库明细!$B$4:$B$3003,"&lt;"&amp;DATE(年度,12+1,1)))</f>
        <v>0</v>
      </c>
      <c r="EP20" s="186">
        <f>EO20*EN20</f>
        <v>0</v>
      </c>
      <c r="EQ20" s="220">
        <f>_辅助!BX18</f>
        <v>0</v>
      </c>
      <c r="ER20" s="186">
        <f>_辅助!AN18</f>
        <v>0</v>
      </c>
      <c r="ES20" s="221">
        <f>EL20-EO20-EQ20</f>
        <v>0</v>
      </c>
      <c r="ET20" s="187">
        <f>EM20-EP20-ER20</f>
        <v>0</v>
      </c>
      <c r="EU20" s="236">
        <f>IF(AND(EL20&gt;0,EM20&gt;0),0,EP20)</f>
        <v>0</v>
      </c>
    </row>
    <row r="21">
      <c r="A21" s="194">
        <f>IF(B21="","",ROW()-7)</f>
        <v>14</v>
      </c>
      <c r="B21" s="141" t="str">
        <f>IF(基础资料!E18="","",基础资料!E18&amp;"")</f>
        <v>东鹏椰子水</v>
      </c>
      <c r="C21" s="230">
        <f>IF(基础资料!G18="","",基础资料!G18&amp;"")</f>
      </c>
      <c r="D21" s="194">
        <f>IF(基础资料!I18="","",基础资料!I18)</f>
      </c>
      <c r="E21" s="231">
        <f>IF(基础资料!J18="","",基础资料!J18)</f>
      </c>
      <c r="F21" s="232">
        <f>N(基础资料!L18)</f>
        <v>0</v>
      </c>
      <c r="G21" s="233">
        <f>IF(基础资料!N18="",0,基础资料!N18)</f>
        <v>0</v>
      </c>
      <c r="H21" s="220">
        <f>IF($B21="",0,SUMIFS(采购进货!$E$4:$E$1503,采购进货!$D$4:$D$1503,$B21,采购进货!$B$4:$B$1503,"&gt;="&amp;DATE(年度,1,1),采购进货!$B$4:$B$1503,"&lt;"&amp;DATE(年度,1+1,1))+SUMIFS(采购进货!$H$4:$H$1503,采购进货!$D$4:$D$1503,$B21,采购进货!$B$4:$B$1503,"&gt;="&amp;DATE(年度,1,1),采购进货!$B$4:$B$1503,"&lt;"&amp;DATE(年度,1+1,1)))</f>
        <v>0</v>
      </c>
      <c r="I21" s="186">
        <f>IF($B21="",0,SUMIFS(采购进货!$G$4:$G$1503,采购进货!$D$4:$D$1503,$B21,采购进货!$B$4:$B$1503,"&gt;="&amp;DATE(年度,1,1),采购进货!$B$4:$B$1503,"&lt;"&amp;DATE(年度,1+1,1)))</f>
        <v>0</v>
      </c>
      <c r="J21" s="234">
        <f>F21+H21</f>
        <v>0</v>
      </c>
      <c r="K21" s="235">
        <f>G21+I21</f>
        <v>0</v>
      </c>
      <c r="L21" s="222">
        <f>IF(AND(J21&gt;0,K21&gt;0),K21/J21,N($E21))</f>
        <v>0</v>
      </c>
      <c r="M21" s="220">
        <f>IF($B21="",0,SUMIFS(出库明细!$E$4:$E$3003,出库明细!$D$4:$D$3003,$B21,出库明细!$B$4:$B$3003,"&gt;="&amp;DATE(年度,1,1),出库明细!$B$4:$B$3003,"&lt;"&amp;DATE(年度,1+1,1)))</f>
        <v>0</v>
      </c>
      <c r="N21" s="186">
        <f>M21*L21</f>
        <v>0</v>
      </c>
      <c r="O21" s="220">
        <f>_辅助!BM19</f>
        <v>0</v>
      </c>
      <c r="P21" s="186">
        <f>_辅助!AC19</f>
        <v>0</v>
      </c>
      <c r="Q21" s="221">
        <f>J21-M21-O21</f>
        <v>0</v>
      </c>
      <c r="R21" s="187">
        <f>K21-N21-P21</f>
        <v>0</v>
      </c>
      <c r="S21" s="236">
        <f>IF(AND(J21&gt;0,K21&gt;0),0,N21)</f>
        <v>0</v>
      </c>
      <c r="T21" s="220">
        <f>IF($B21="",0,SUMIFS(采购进货!$E$4:$E$1503,采购进货!$D$4:$D$1503,$B21,采购进货!$B$4:$B$1503,"&gt;="&amp;DATE(年度,2,1),采购进货!$B$4:$B$1503,"&lt;"&amp;DATE(年度,2+1,1))+SUMIFS(采购进货!$H$4:$H$1503,采购进货!$D$4:$D$1503,$B21,采购进货!$B$4:$B$1503,"&gt;="&amp;DATE(年度,2,1),采购进货!$B$4:$B$1503,"&lt;"&amp;DATE(年度,2+1,1)))</f>
        <v>0</v>
      </c>
      <c r="U21" s="186">
        <f>IF($B21="",0,SUMIFS(采购进货!$G$4:$G$1503,采购进货!$D$4:$D$1503,$B21,采购进货!$B$4:$B$1503,"&gt;="&amp;DATE(年度,2,1),采购进货!$B$4:$B$1503,"&lt;"&amp;DATE(年度,2+1,1)))</f>
        <v>0</v>
      </c>
      <c r="V21" s="234">
        <f>Q21+T21</f>
        <v>0</v>
      </c>
      <c r="W21" s="235">
        <f>R21+U21</f>
        <v>0</v>
      </c>
      <c r="X21" s="222">
        <f>IF(AND(V21&gt;0,W21&gt;0),W21/V21,N($E21))</f>
        <v>0</v>
      </c>
      <c r="Y21" s="220">
        <f>IF($B21="",0,SUMIFS(出库明细!$E$4:$E$3003,出库明细!$D$4:$D$3003,$B21,出库明细!$B$4:$B$3003,"&gt;="&amp;DATE(年度,2,1),出库明细!$B$4:$B$3003,"&lt;"&amp;DATE(年度,2+1,1)))</f>
        <v>0</v>
      </c>
      <c r="Z21" s="186">
        <f>Y21*X21</f>
        <v>0</v>
      </c>
      <c r="AA21" s="220">
        <f>_辅助!BN19</f>
        <v>0</v>
      </c>
      <c r="AB21" s="186">
        <f>_辅助!AD19</f>
        <v>0</v>
      </c>
      <c r="AC21" s="221">
        <f>V21-Y21-AA21</f>
        <v>0</v>
      </c>
      <c r="AD21" s="187">
        <f>W21-Z21-AB21</f>
        <v>0</v>
      </c>
      <c r="AE21" s="236">
        <f>IF(AND(V21&gt;0,W21&gt;0),0,Z21)</f>
        <v>0</v>
      </c>
      <c r="AF21" s="220">
        <f>IF($B21="",0,SUMIFS(采购进货!$E$4:$E$1503,采购进货!$D$4:$D$1503,$B21,采购进货!$B$4:$B$1503,"&gt;="&amp;DATE(年度,3,1),采购进货!$B$4:$B$1503,"&lt;"&amp;DATE(年度,3+1,1))+SUMIFS(采购进货!$H$4:$H$1503,采购进货!$D$4:$D$1503,$B21,采购进货!$B$4:$B$1503,"&gt;="&amp;DATE(年度,3,1),采购进货!$B$4:$B$1503,"&lt;"&amp;DATE(年度,3+1,1)))</f>
        <v>0</v>
      </c>
      <c r="AG21" s="186">
        <f>IF($B21="",0,SUMIFS(采购进货!$G$4:$G$1503,采购进货!$D$4:$D$1503,$B21,采购进货!$B$4:$B$1503,"&gt;="&amp;DATE(年度,3,1),采购进货!$B$4:$B$1503,"&lt;"&amp;DATE(年度,3+1,1)))</f>
        <v>0</v>
      </c>
      <c r="AH21" s="234">
        <f>AC21+AF21</f>
        <v>0</v>
      </c>
      <c r="AI21" s="235">
        <f>AD21+AG21</f>
        <v>0</v>
      </c>
      <c r="AJ21" s="222">
        <f>IF(AND(AH21&gt;0,AI21&gt;0),AI21/AH21,N($E21))</f>
        <v>0</v>
      </c>
      <c r="AK21" s="220">
        <f>IF($B21="",0,SUMIFS(出库明细!$E$4:$E$3003,出库明细!$D$4:$D$3003,$B21,出库明细!$B$4:$B$3003,"&gt;="&amp;DATE(年度,3,1),出库明细!$B$4:$B$3003,"&lt;"&amp;DATE(年度,3+1,1)))</f>
        <v>0</v>
      </c>
      <c r="AL21" s="186">
        <f>AK21*AJ21</f>
        <v>0</v>
      </c>
      <c r="AM21" s="220">
        <f>_辅助!BO19</f>
        <v>0</v>
      </c>
      <c r="AN21" s="186">
        <f>_辅助!AE19</f>
        <v>0</v>
      </c>
      <c r="AO21" s="221">
        <f>AH21-AK21-AM21</f>
        <v>0</v>
      </c>
      <c r="AP21" s="187">
        <f>AI21-AL21-AN21</f>
        <v>0</v>
      </c>
      <c r="AQ21" s="236">
        <f>IF(AND(AH21&gt;0,AI21&gt;0),0,AL21)</f>
        <v>0</v>
      </c>
      <c r="AR21" s="220">
        <f>IF($B21="",0,SUMIFS(采购进货!$E$4:$E$1503,采购进货!$D$4:$D$1503,$B21,采购进货!$B$4:$B$1503,"&gt;="&amp;DATE(年度,4,1),采购进货!$B$4:$B$1503,"&lt;"&amp;DATE(年度,4+1,1))+SUMIFS(采购进货!$H$4:$H$1503,采购进货!$D$4:$D$1503,$B21,采购进货!$B$4:$B$1503,"&gt;="&amp;DATE(年度,4,1),采购进货!$B$4:$B$1503,"&lt;"&amp;DATE(年度,4+1,1)))</f>
        <v>0</v>
      </c>
      <c r="AS21" s="186">
        <f>IF($B21="",0,SUMIFS(采购进货!$G$4:$G$1503,采购进货!$D$4:$D$1503,$B21,采购进货!$B$4:$B$1503,"&gt;="&amp;DATE(年度,4,1),采购进货!$B$4:$B$1503,"&lt;"&amp;DATE(年度,4+1,1)))</f>
        <v>0</v>
      </c>
      <c r="AT21" s="234">
        <f>AO21+AR21</f>
        <v>0</v>
      </c>
      <c r="AU21" s="235">
        <f>AP21+AS21</f>
        <v>0</v>
      </c>
      <c r="AV21" s="222">
        <f>IF(AND(AT21&gt;0,AU21&gt;0),AU21/AT21,N($E21))</f>
        <v>0</v>
      </c>
      <c r="AW21" s="220">
        <f>IF($B21="",0,SUMIFS(出库明细!$E$4:$E$3003,出库明细!$D$4:$D$3003,$B21,出库明细!$B$4:$B$3003,"&gt;="&amp;DATE(年度,4,1),出库明细!$B$4:$B$3003,"&lt;"&amp;DATE(年度,4+1,1)))</f>
        <v>0</v>
      </c>
      <c r="AX21" s="186">
        <f>AW21*AV21</f>
        <v>0</v>
      </c>
      <c r="AY21" s="220">
        <f>_辅助!BP19</f>
        <v>0</v>
      </c>
      <c r="AZ21" s="186">
        <f>_辅助!AF19</f>
        <v>0</v>
      </c>
      <c r="BA21" s="221">
        <f>AT21-AW21-AY21</f>
        <v>0</v>
      </c>
      <c r="BB21" s="187">
        <f>AU21-AX21-AZ21</f>
        <v>0</v>
      </c>
      <c r="BC21" s="236">
        <f>IF(AND(AT21&gt;0,AU21&gt;0),0,AX21)</f>
        <v>0</v>
      </c>
      <c r="BD21" s="220">
        <f>IF($B21="",0,SUMIFS(采购进货!$E$4:$E$1503,采购进货!$D$4:$D$1503,$B21,采购进货!$B$4:$B$1503,"&gt;="&amp;DATE(年度,5,1),采购进货!$B$4:$B$1503,"&lt;"&amp;DATE(年度,5+1,1))+SUMIFS(采购进货!$H$4:$H$1503,采购进货!$D$4:$D$1503,$B21,采购进货!$B$4:$B$1503,"&gt;="&amp;DATE(年度,5,1),采购进货!$B$4:$B$1503,"&lt;"&amp;DATE(年度,5+1,1)))</f>
        <v>0</v>
      </c>
      <c r="BE21" s="186">
        <f>IF($B21="",0,SUMIFS(采购进货!$G$4:$G$1503,采购进货!$D$4:$D$1503,$B21,采购进货!$B$4:$B$1503,"&gt;="&amp;DATE(年度,5,1),采购进货!$B$4:$B$1503,"&lt;"&amp;DATE(年度,5+1,1)))</f>
        <v>0</v>
      </c>
      <c r="BF21" s="234">
        <f>BA21+BD21</f>
        <v>0</v>
      </c>
      <c r="BG21" s="235">
        <f>BB21+BE21</f>
        <v>0</v>
      </c>
      <c r="BH21" s="222">
        <f>IF(AND(BF21&gt;0,BG21&gt;0),BG21/BF21,N($E21))</f>
        <v>0</v>
      </c>
      <c r="BI21" s="220">
        <f>IF($B21="",0,SUMIFS(出库明细!$E$4:$E$3003,出库明细!$D$4:$D$3003,$B21,出库明细!$B$4:$B$3003,"&gt;="&amp;DATE(年度,5,1),出库明细!$B$4:$B$3003,"&lt;"&amp;DATE(年度,5+1,1)))</f>
        <v>0</v>
      </c>
      <c r="BJ21" s="186">
        <f>BI21*BH21</f>
        <v>0</v>
      </c>
      <c r="BK21" s="220">
        <f>_辅助!BQ19</f>
        <v>0</v>
      </c>
      <c r="BL21" s="186">
        <f>_辅助!AG19</f>
        <v>0</v>
      </c>
      <c r="BM21" s="221">
        <f>BF21-BI21-BK21</f>
        <v>0</v>
      </c>
      <c r="BN21" s="187">
        <f>BG21-BJ21-BL21</f>
        <v>0</v>
      </c>
      <c r="BO21" s="236">
        <f>IF(AND(BF21&gt;0,BG21&gt;0),0,BJ21)</f>
        <v>0</v>
      </c>
      <c r="BP21" s="220">
        <f>IF($B21="",0,SUMIFS(采购进货!$E$4:$E$1503,采购进货!$D$4:$D$1503,$B21,采购进货!$B$4:$B$1503,"&gt;="&amp;DATE(年度,6,1),采购进货!$B$4:$B$1503,"&lt;"&amp;DATE(年度,6+1,1))+SUMIFS(采购进货!$H$4:$H$1503,采购进货!$D$4:$D$1503,$B21,采购进货!$B$4:$B$1503,"&gt;="&amp;DATE(年度,6,1),采购进货!$B$4:$B$1503,"&lt;"&amp;DATE(年度,6+1,1)))</f>
        <v>0</v>
      </c>
      <c r="BQ21" s="186">
        <f>IF($B21="",0,SUMIFS(采购进货!$G$4:$G$1503,采购进货!$D$4:$D$1503,$B21,采购进货!$B$4:$B$1503,"&gt;="&amp;DATE(年度,6,1),采购进货!$B$4:$B$1503,"&lt;"&amp;DATE(年度,6+1,1)))</f>
        <v>0</v>
      </c>
      <c r="BR21" s="234">
        <f>BM21+BP21</f>
        <v>0</v>
      </c>
      <c r="BS21" s="235">
        <f>BN21+BQ21</f>
        <v>0</v>
      </c>
      <c r="BT21" s="222">
        <f>IF(AND(BR21&gt;0,BS21&gt;0),BS21/BR21,N($E21))</f>
        <v>0</v>
      </c>
      <c r="BU21" s="220">
        <f>IF($B21="",0,SUMIFS(出库明细!$E$4:$E$3003,出库明细!$D$4:$D$3003,$B21,出库明细!$B$4:$B$3003,"&gt;="&amp;DATE(年度,6,1),出库明细!$B$4:$B$3003,"&lt;"&amp;DATE(年度,6+1,1)))</f>
        <v>0</v>
      </c>
      <c r="BV21" s="186">
        <f>BU21*BT21</f>
        <v>0</v>
      </c>
      <c r="BW21" s="220">
        <f>_辅助!BR19</f>
        <v>0</v>
      </c>
      <c r="BX21" s="186">
        <f>_辅助!AH19</f>
        <v>0</v>
      </c>
      <c r="BY21" s="221">
        <f>BR21-BU21-BW21</f>
        <v>0</v>
      </c>
      <c r="BZ21" s="187">
        <f>BS21-BV21-BX21</f>
        <v>0</v>
      </c>
      <c r="CA21" s="236">
        <f>IF(AND(BR21&gt;0,BS21&gt;0),0,BV21)</f>
        <v>0</v>
      </c>
      <c r="CB21" s="220">
        <f>IF($B21="",0,SUMIFS(采购进货!$E$4:$E$1503,采购进货!$D$4:$D$1503,$B21,采购进货!$B$4:$B$1503,"&gt;="&amp;DATE(年度,7,1),采购进货!$B$4:$B$1503,"&lt;"&amp;DATE(年度,7+1,1))+SUMIFS(采购进货!$H$4:$H$1503,采购进货!$D$4:$D$1503,$B21,采购进货!$B$4:$B$1503,"&gt;="&amp;DATE(年度,7,1),采购进货!$B$4:$B$1503,"&lt;"&amp;DATE(年度,7+1,1)))</f>
        <v>0</v>
      </c>
      <c r="CC21" s="186">
        <f>IF($B21="",0,SUMIFS(采购进货!$G$4:$G$1503,采购进货!$D$4:$D$1503,$B21,采购进货!$B$4:$B$1503,"&gt;="&amp;DATE(年度,7,1),采购进货!$B$4:$B$1503,"&lt;"&amp;DATE(年度,7+1,1)))</f>
        <v>0</v>
      </c>
      <c r="CD21" s="234">
        <f>BY21+CB21</f>
        <v>0</v>
      </c>
      <c r="CE21" s="235">
        <f>BZ21+CC21</f>
        <v>0</v>
      </c>
      <c r="CF21" s="222">
        <f>IF(AND(CD21&gt;0,CE21&gt;0),CE21/CD21,N($E21))</f>
        <v>0</v>
      </c>
      <c r="CG21" s="220">
        <f>IF($B21="",0,SUMIFS(出库明细!$E$4:$E$3003,出库明细!$D$4:$D$3003,$B21,出库明细!$B$4:$B$3003,"&gt;="&amp;DATE(年度,7,1),出库明细!$B$4:$B$3003,"&lt;"&amp;DATE(年度,7+1,1)))</f>
        <v>84</v>
      </c>
      <c r="CH21" s="186">
        <f>CG21*CF21</f>
        <v>0</v>
      </c>
      <c r="CI21" s="220">
        <f>_辅助!BS19</f>
        <v>0</v>
      </c>
      <c r="CJ21" s="186">
        <f>_辅助!AI19</f>
        <v>0</v>
      </c>
      <c r="CK21" s="221">
        <f>CD21-CG21-CI21</f>
        <v>-84</v>
      </c>
      <c r="CL21" s="187">
        <f>CE21-CH21-CJ21</f>
        <v>0</v>
      </c>
      <c r="CM21" s="236">
        <f>IF(AND(CD21&gt;0,CE21&gt;0),0,CH21)</f>
        <v>0</v>
      </c>
      <c r="CN21" s="220">
        <f>IF($B21="",0,SUMIFS(采购进货!$E$4:$E$1503,采购进货!$D$4:$D$1503,$B21,采购进货!$B$4:$B$1503,"&gt;="&amp;DATE(年度,8,1),采购进货!$B$4:$B$1503,"&lt;"&amp;DATE(年度,8+1,1))+SUMIFS(采购进货!$H$4:$H$1503,采购进货!$D$4:$D$1503,$B21,采购进货!$B$4:$B$1503,"&gt;="&amp;DATE(年度,8,1),采购进货!$B$4:$B$1503,"&lt;"&amp;DATE(年度,8+1,1)))</f>
        <v>0</v>
      </c>
      <c r="CO21" s="186">
        <f>IF($B21="",0,SUMIFS(采购进货!$G$4:$G$1503,采购进货!$D$4:$D$1503,$B21,采购进货!$B$4:$B$1503,"&gt;="&amp;DATE(年度,8,1),采购进货!$B$4:$B$1503,"&lt;"&amp;DATE(年度,8+1,1)))</f>
        <v>0</v>
      </c>
      <c r="CP21" s="234">
        <f>CK21+CN21</f>
        <v>-84</v>
      </c>
      <c r="CQ21" s="235">
        <f>CL21+CO21</f>
        <v>0</v>
      </c>
      <c r="CR21" s="222">
        <f>IF(AND(CP21&gt;0,CQ21&gt;0),CQ21/CP21,N($E21))</f>
        <v>0</v>
      </c>
      <c r="CS21" s="220">
        <f>IF($B21="",0,SUMIFS(出库明细!$E$4:$E$3003,出库明细!$D$4:$D$3003,$B21,出库明细!$B$4:$B$3003,"&gt;="&amp;DATE(年度,8,1),出库明细!$B$4:$B$3003,"&lt;"&amp;DATE(年度,8+1,1)))</f>
        <v>0</v>
      </c>
      <c r="CT21" s="186">
        <f>CS21*CR21</f>
        <v>0</v>
      </c>
      <c r="CU21" s="220">
        <f>_辅助!BT19</f>
        <v>0</v>
      </c>
      <c r="CV21" s="186">
        <f>_辅助!AJ19</f>
        <v>0</v>
      </c>
      <c r="CW21" s="221">
        <f>CP21-CS21-CU21</f>
        <v>-84</v>
      </c>
      <c r="CX21" s="187">
        <f>CQ21-CT21-CV21</f>
        <v>0</v>
      </c>
      <c r="CY21" s="236">
        <f>IF(AND(CP21&gt;0,CQ21&gt;0),0,CT21)</f>
        <v>0</v>
      </c>
      <c r="CZ21" s="220">
        <f>IF($B21="",0,SUMIFS(采购进货!$E$4:$E$1503,采购进货!$D$4:$D$1503,$B21,采购进货!$B$4:$B$1503,"&gt;="&amp;DATE(年度,9,1),采购进货!$B$4:$B$1503,"&lt;"&amp;DATE(年度,9+1,1))+SUMIFS(采购进货!$H$4:$H$1503,采购进货!$D$4:$D$1503,$B21,采购进货!$B$4:$B$1503,"&gt;="&amp;DATE(年度,9,1),采购进货!$B$4:$B$1503,"&lt;"&amp;DATE(年度,9+1,1)))</f>
        <v>0</v>
      </c>
      <c r="DA21" s="186">
        <f>IF($B21="",0,SUMIFS(采购进货!$G$4:$G$1503,采购进货!$D$4:$D$1503,$B21,采购进货!$B$4:$B$1503,"&gt;="&amp;DATE(年度,9,1),采购进货!$B$4:$B$1503,"&lt;"&amp;DATE(年度,9+1,1)))</f>
        <v>0</v>
      </c>
      <c r="DB21" s="234">
        <f>CW21+CZ21</f>
        <v>-84</v>
      </c>
      <c r="DC21" s="235">
        <f>CX21+DA21</f>
        <v>0</v>
      </c>
      <c r="DD21" s="222">
        <f>IF(AND(DB21&gt;0,DC21&gt;0),DC21/DB21,N($E21))</f>
        <v>0</v>
      </c>
      <c r="DE21" s="220">
        <f>IF($B21="",0,SUMIFS(出库明细!$E$4:$E$3003,出库明细!$D$4:$D$3003,$B21,出库明细!$B$4:$B$3003,"&gt;="&amp;DATE(年度,9,1),出库明细!$B$4:$B$3003,"&lt;"&amp;DATE(年度,9+1,1)))</f>
        <v>0</v>
      </c>
      <c r="DF21" s="186">
        <f>DE21*DD21</f>
        <v>0</v>
      </c>
      <c r="DG21" s="220">
        <f>_辅助!BU19</f>
        <v>0</v>
      </c>
      <c r="DH21" s="186">
        <f>_辅助!AK19</f>
        <v>0</v>
      </c>
      <c r="DI21" s="221">
        <f>DB21-DE21-DG21</f>
        <v>-84</v>
      </c>
      <c r="DJ21" s="187">
        <f>DC21-DF21-DH21</f>
        <v>0</v>
      </c>
      <c r="DK21" s="236">
        <f>IF(AND(DB21&gt;0,DC21&gt;0),0,DF21)</f>
        <v>0</v>
      </c>
      <c r="DL21" s="220">
        <f>IF($B21="",0,SUMIFS(采购进货!$E$4:$E$1503,采购进货!$D$4:$D$1503,$B21,采购进货!$B$4:$B$1503,"&gt;="&amp;DATE(年度,10,1),采购进货!$B$4:$B$1503,"&lt;"&amp;DATE(年度,10+1,1))+SUMIFS(采购进货!$H$4:$H$1503,采购进货!$D$4:$D$1503,$B21,采购进货!$B$4:$B$1503,"&gt;="&amp;DATE(年度,10,1),采购进货!$B$4:$B$1503,"&lt;"&amp;DATE(年度,10+1,1)))</f>
        <v>0</v>
      </c>
      <c r="DM21" s="186">
        <f>IF($B21="",0,SUMIFS(采购进货!$G$4:$G$1503,采购进货!$D$4:$D$1503,$B21,采购进货!$B$4:$B$1503,"&gt;="&amp;DATE(年度,10,1),采购进货!$B$4:$B$1503,"&lt;"&amp;DATE(年度,10+1,1)))</f>
        <v>0</v>
      </c>
      <c r="DN21" s="234">
        <f>DI21+DL21</f>
        <v>-84</v>
      </c>
      <c r="DO21" s="235">
        <f>DJ21+DM21</f>
        <v>0</v>
      </c>
      <c r="DP21" s="222">
        <f>IF(AND(DN21&gt;0,DO21&gt;0),DO21/DN21,N($E21))</f>
        <v>0</v>
      </c>
      <c r="DQ21" s="220">
        <f>IF($B21="",0,SUMIFS(出库明细!$E$4:$E$3003,出库明细!$D$4:$D$3003,$B21,出库明细!$B$4:$B$3003,"&gt;="&amp;DATE(年度,10,1),出库明细!$B$4:$B$3003,"&lt;"&amp;DATE(年度,10+1,1)))</f>
        <v>0</v>
      </c>
      <c r="DR21" s="186">
        <f>DQ21*DP21</f>
        <v>0</v>
      </c>
      <c r="DS21" s="220">
        <f>_辅助!BV19</f>
        <v>0</v>
      </c>
      <c r="DT21" s="186">
        <f>_辅助!AL19</f>
        <v>0</v>
      </c>
      <c r="DU21" s="221">
        <f>DN21-DQ21-DS21</f>
        <v>-84</v>
      </c>
      <c r="DV21" s="187">
        <f>DO21-DR21-DT21</f>
        <v>0</v>
      </c>
      <c r="DW21" s="236">
        <f>IF(AND(DN21&gt;0,DO21&gt;0),0,DR21)</f>
        <v>0</v>
      </c>
      <c r="DX21" s="220">
        <f>IF($B21="",0,SUMIFS(采购进货!$E$4:$E$1503,采购进货!$D$4:$D$1503,$B21,采购进货!$B$4:$B$1503,"&gt;="&amp;DATE(年度,11,1),采购进货!$B$4:$B$1503,"&lt;"&amp;DATE(年度,11+1,1))+SUMIFS(采购进货!$H$4:$H$1503,采购进货!$D$4:$D$1503,$B21,采购进货!$B$4:$B$1503,"&gt;="&amp;DATE(年度,11,1),采购进货!$B$4:$B$1503,"&lt;"&amp;DATE(年度,11+1,1)))</f>
        <v>0</v>
      </c>
      <c r="DY21" s="186">
        <f>IF($B21="",0,SUMIFS(采购进货!$G$4:$G$1503,采购进货!$D$4:$D$1503,$B21,采购进货!$B$4:$B$1503,"&gt;="&amp;DATE(年度,11,1),采购进货!$B$4:$B$1503,"&lt;"&amp;DATE(年度,11+1,1)))</f>
        <v>0</v>
      </c>
      <c r="DZ21" s="234">
        <f>DU21+DX21</f>
        <v>-84</v>
      </c>
      <c r="EA21" s="235">
        <f>DV21+DY21</f>
        <v>0</v>
      </c>
      <c r="EB21" s="222">
        <f>IF(AND(DZ21&gt;0,EA21&gt;0),EA21/DZ21,N($E21))</f>
        <v>0</v>
      </c>
      <c r="EC21" s="220">
        <f>IF($B21="",0,SUMIFS(出库明细!$E$4:$E$3003,出库明细!$D$4:$D$3003,$B21,出库明细!$B$4:$B$3003,"&gt;="&amp;DATE(年度,11,1),出库明细!$B$4:$B$3003,"&lt;"&amp;DATE(年度,11+1,1)))</f>
        <v>0</v>
      </c>
      <c r="ED21" s="186">
        <f>EC21*EB21</f>
        <v>0</v>
      </c>
      <c r="EE21" s="220">
        <f>_辅助!BW19</f>
        <v>0</v>
      </c>
      <c r="EF21" s="186">
        <f>_辅助!AM19</f>
        <v>0</v>
      </c>
      <c r="EG21" s="221">
        <f>DZ21-EC21-EE21</f>
        <v>-84</v>
      </c>
      <c r="EH21" s="187">
        <f>EA21-ED21-EF21</f>
        <v>0</v>
      </c>
      <c r="EI21" s="236">
        <f>IF(AND(DZ21&gt;0,EA21&gt;0),0,ED21)</f>
        <v>0</v>
      </c>
      <c r="EJ21" s="220">
        <f>IF($B21="",0,SUMIFS(采购进货!$E$4:$E$1503,采购进货!$D$4:$D$1503,$B21,采购进货!$B$4:$B$1503,"&gt;="&amp;DATE(年度,12,1),采购进货!$B$4:$B$1503,"&lt;"&amp;DATE(年度,12+1,1))+SUMIFS(采购进货!$H$4:$H$1503,采购进货!$D$4:$D$1503,$B21,采购进货!$B$4:$B$1503,"&gt;="&amp;DATE(年度,12,1),采购进货!$B$4:$B$1503,"&lt;"&amp;DATE(年度,12+1,1)))</f>
        <v>0</v>
      </c>
      <c r="EK21" s="186">
        <f>IF($B21="",0,SUMIFS(采购进货!$G$4:$G$1503,采购进货!$D$4:$D$1503,$B21,采购进货!$B$4:$B$1503,"&gt;="&amp;DATE(年度,12,1),采购进货!$B$4:$B$1503,"&lt;"&amp;DATE(年度,12+1,1)))</f>
        <v>0</v>
      </c>
      <c r="EL21" s="234">
        <f>EG21+EJ21</f>
        <v>-84</v>
      </c>
      <c r="EM21" s="235">
        <f>EH21+EK21</f>
        <v>0</v>
      </c>
      <c r="EN21" s="222">
        <f>IF(AND(EL21&gt;0,EM21&gt;0),EM21/EL21,N($E21))</f>
        <v>0</v>
      </c>
      <c r="EO21" s="220">
        <f>IF($B21="",0,SUMIFS(出库明细!$E$4:$E$3003,出库明细!$D$4:$D$3003,$B21,出库明细!$B$4:$B$3003,"&gt;="&amp;DATE(年度,12,1),出库明细!$B$4:$B$3003,"&lt;"&amp;DATE(年度,12+1,1)))</f>
        <v>0</v>
      </c>
      <c r="EP21" s="186">
        <f>EO21*EN21</f>
        <v>0</v>
      </c>
      <c r="EQ21" s="220">
        <f>_辅助!BX19</f>
        <v>0</v>
      </c>
      <c r="ER21" s="186">
        <f>_辅助!AN19</f>
        <v>0</v>
      </c>
      <c r="ES21" s="221">
        <f>EL21-EO21-EQ21</f>
        <v>-84</v>
      </c>
      <c r="ET21" s="187">
        <f>EM21-EP21-ER21</f>
        <v>0</v>
      </c>
      <c r="EU21" s="236">
        <f>IF(AND(EL21&gt;0,EM21&gt;0),0,EP21)</f>
        <v>0</v>
      </c>
    </row>
    <row r="22">
      <c r="A22" s="194">
        <f>IF(B22="","",ROW()-7)</f>
        <v>15</v>
      </c>
      <c r="B22" s="141" t="str">
        <f>IF(基础资料!E19="","",基础资料!E19&amp;"")</f>
        <v>555椰子水</v>
      </c>
      <c r="C22" s="230">
        <f>IF(基础资料!G19="","",基础资料!G19&amp;"")</f>
      </c>
      <c r="D22" s="194">
        <f>IF(基础资料!I19="","",基础资料!I19)</f>
      </c>
      <c r="E22" s="231">
        <f>IF(基础资料!J19="","",基础资料!J19)</f>
      </c>
      <c r="F22" s="232">
        <f>N(基础资料!L19)</f>
        <v>0</v>
      </c>
      <c r="G22" s="233">
        <f>IF(基础资料!N19="",0,基础资料!N19)</f>
        <v>0</v>
      </c>
      <c r="H22" s="220">
        <f>IF($B22="",0,SUMIFS(采购进货!$E$4:$E$1503,采购进货!$D$4:$D$1503,$B22,采购进货!$B$4:$B$1503,"&gt;="&amp;DATE(年度,1,1),采购进货!$B$4:$B$1503,"&lt;"&amp;DATE(年度,1+1,1))+SUMIFS(采购进货!$H$4:$H$1503,采购进货!$D$4:$D$1503,$B22,采购进货!$B$4:$B$1503,"&gt;="&amp;DATE(年度,1,1),采购进货!$B$4:$B$1503,"&lt;"&amp;DATE(年度,1+1,1)))</f>
        <v>0</v>
      </c>
      <c r="I22" s="186">
        <f>IF($B22="",0,SUMIFS(采购进货!$G$4:$G$1503,采购进货!$D$4:$D$1503,$B22,采购进货!$B$4:$B$1503,"&gt;="&amp;DATE(年度,1,1),采购进货!$B$4:$B$1503,"&lt;"&amp;DATE(年度,1+1,1)))</f>
        <v>0</v>
      </c>
      <c r="J22" s="234">
        <f>F22+H22</f>
        <v>0</v>
      </c>
      <c r="K22" s="235">
        <f>G22+I22</f>
        <v>0</v>
      </c>
      <c r="L22" s="222">
        <f>IF(AND(J22&gt;0,K22&gt;0),K22/J22,N($E22))</f>
        <v>0</v>
      </c>
      <c r="M22" s="220">
        <f>IF($B22="",0,SUMIFS(出库明细!$E$4:$E$3003,出库明细!$D$4:$D$3003,$B22,出库明细!$B$4:$B$3003,"&gt;="&amp;DATE(年度,1,1),出库明细!$B$4:$B$3003,"&lt;"&amp;DATE(年度,1+1,1)))</f>
        <v>0</v>
      </c>
      <c r="N22" s="186">
        <f>M22*L22</f>
        <v>0</v>
      </c>
      <c r="O22" s="220">
        <f>_辅助!BM20</f>
        <v>0</v>
      </c>
      <c r="P22" s="186">
        <f>_辅助!AC20</f>
        <v>0</v>
      </c>
      <c r="Q22" s="221">
        <f>J22-M22-O22</f>
        <v>0</v>
      </c>
      <c r="R22" s="187">
        <f>K22-N22-P22</f>
        <v>0</v>
      </c>
      <c r="S22" s="236">
        <f>IF(AND(J22&gt;0,K22&gt;0),0,N22)</f>
        <v>0</v>
      </c>
      <c r="T22" s="220">
        <f>IF($B22="",0,SUMIFS(采购进货!$E$4:$E$1503,采购进货!$D$4:$D$1503,$B22,采购进货!$B$4:$B$1503,"&gt;="&amp;DATE(年度,2,1),采购进货!$B$4:$B$1503,"&lt;"&amp;DATE(年度,2+1,1))+SUMIFS(采购进货!$H$4:$H$1503,采购进货!$D$4:$D$1503,$B22,采购进货!$B$4:$B$1503,"&gt;="&amp;DATE(年度,2,1),采购进货!$B$4:$B$1503,"&lt;"&amp;DATE(年度,2+1,1)))</f>
        <v>0</v>
      </c>
      <c r="U22" s="186">
        <f>IF($B22="",0,SUMIFS(采购进货!$G$4:$G$1503,采购进货!$D$4:$D$1503,$B22,采购进货!$B$4:$B$1503,"&gt;="&amp;DATE(年度,2,1),采购进货!$B$4:$B$1503,"&lt;"&amp;DATE(年度,2+1,1)))</f>
        <v>0</v>
      </c>
      <c r="V22" s="234">
        <f>Q22+T22</f>
        <v>0</v>
      </c>
      <c r="W22" s="235">
        <f>R22+U22</f>
        <v>0</v>
      </c>
      <c r="X22" s="222">
        <f>IF(AND(V22&gt;0,W22&gt;0),W22/V22,N($E22))</f>
        <v>0</v>
      </c>
      <c r="Y22" s="220">
        <f>IF($B22="",0,SUMIFS(出库明细!$E$4:$E$3003,出库明细!$D$4:$D$3003,$B22,出库明细!$B$4:$B$3003,"&gt;="&amp;DATE(年度,2,1),出库明细!$B$4:$B$3003,"&lt;"&amp;DATE(年度,2+1,1)))</f>
        <v>0</v>
      </c>
      <c r="Z22" s="186">
        <f>Y22*X22</f>
        <v>0</v>
      </c>
      <c r="AA22" s="220">
        <f>_辅助!BN20</f>
        <v>0</v>
      </c>
      <c r="AB22" s="186">
        <f>_辅助!AD20</f>
        <v>0</v>
      </c>
      <c r="AC22" s="221">
        <f>V22-Y22-AA22</f>
        <v>0</v>
      </c>
      <c r="AD22" s="187">
        <f>W22-Z22-AB22</f>
        <v>0</v>
      </c>
      <c r="AE22" s="236">
        <f>IF(AND(V22&gt;0,W22&gt;0),0,Z22)</f>
        <v>0</v>
      </c>
      <c r="AF22" s="220">
        <f>IF($B22="",0,SUMIFS(采购进货!$E$4:$E$1503,采购进货!$D$4:$D$1503,$B22,采购进货!$B$4:$B$1503,"&gt;="&amp;DATE(年度,3,1),采购进货!$B$4:$B$1503,"&lt;"&amp;DATE(年度,3+1,1))+SUMIFS(采购进货!$H$4:$H$1503,采购进货!$D$4:$D$1503,$B22,采购进货!$B$4:$B$1503,"&gt;="&amp;DATE(年度,3,1),采购进货!$B$4:$B$1503,"&lt;"&amp;DATE(年度,3+1,1)))</f>
        <v>0</v>
      </c>
      <c r="AG22" s="186">
        <f>IF($B22="",0,SUMIFS(采购进货!$G$4:$G$1503,采购进货!$D$4:$D$1503,$B22,采购进货!$B$4:$B$1503,"&gt;="&amp;DATE(年度,3,1),采购进货!$B$4:$B$1503,"&lt;"&amp;DATE(年度,3+1,1)))</f>
        <v>0</v>
      </c>
      <c r="AH22" s="234">
        <f>AC22+AF22</f>
        <v>0</v>
      </c>
      <c r="AI22" s="235">
        <f>AD22+AG22</f>
        <v>0</v>
      </c>
      <c r="AJ22" s="222">
        <f>IF(AND(AH22&gt;0,AI22&gt;0),AI22/AH22,N($E22))</f>
        <v>0</v>
      </c>
      <c r="AK22" s="220">
        <f>IF($B22="",0,SUMIFS(出库明细!$E$4:$E$3003,出库明细!$D$4:$D$3003,$B22,出库明细!$B$4:$B$3003,"&gt;="&amp;DATE(年度,3,1),出库明细!$B$4:$B$3003,"&lt;"&amp;DATE(年度,3+1,1)))</f>
        <v>0</v>
      </c>
      <c r="AL22" s="186">
        <f>AK22*AJ22</f>
        <v>0</v>
      </c>
      <c r="AM22" s="220">
        <f>_辅助!BO20</f>
        <v>0</v>
      </c>
      <c r="AN22" s="186">
        <f>_辅助!AE20</f>
        <v>0</v>
      </c>
      <c r="AO22" s="221">
        <f>AH22-AK22-AM22</f>
        <v>0</v>
      </c>
      <c r="AP22" s="187">
        <f>AI22-AL22-AN22</f>
        <v>0</v>
      </c>
      <c r="AQ22" s="236">
        <f>IF(AND(AH22&gt;0,AI22&gt;0),0,AL22)</f>
        <v>0</v>
      </c>
      <c r="AR22" s="220">
        <f>IF($B22="",0,SUMIFS(采购进货!$E$4:$E$1503,采购进货!$D$4:$D$1503,$B22,采购进货!$B$4:$B$1503,"&gt;="&amp;DATE(年度,4,1),采购进货!$B$4:$B$1503,"&lt;"&amp;DATE(年度,4+1,1))+SUMIFS(采购进货!$H$4:$H$1503,采购进货!$D$4:$D$1503,$B22,采购进货!$B$4:$B$1503,"&gt;="&amp;DATE(年度,4,1),采购进货!$B$4:$B$1503,"&lt;"&amp;DATE(年度,4+1,1)))</f>
        <v>0</v>
      </c>
      <c r="AS22" s="186">
        <f>IF($B22="",0,SUMIFS(采购进货!$G$4:$G$1503,采购进货!$D$4:$D$1503,$B22,采购进货!$B$4:$B$1503,"&gt;="&amp;DATE(年度,4,1),采购进货!$B$4:$B$1503,"&lt;"&amp;DATE(年度,4+1,1)))</f>
        <v>0</v>
      </c>
      <c r="AT22" s="234">
        <f>AO22+AR22</f>
        <v>0</v>
      </c>
      <c r="AU22" s="235">
        <f>AP22+AS22</f>
        <v>0</v>
      </c>
      <c r="AV22" s="222">
        <f>IF(AND(AT22&gt;0,AU22&gt;0),AU22/AT22,N($E22))</f>
        <v>0</v>
      </c>
      <c r="AW22" s="220">
        <f>IF($B22="",0,SUMIFS(出库明细!$E$4:$E$3003,出库明细!$D$4:$D$3003,$B22,出库明细!$B$4:$B$3003,"&gt;="&amp;DATE(年度,4,1),出库明细!$B$4:$B$3003,"&lt;"&amp;DATE(年度,4+1,1)))</f>
        <v>0</v>
      </c>
      <c r="AX22" s="186">
        <f>AW22*AV22</f>
        <v>0</v>
      </c>
      <c r="AY22" s="220">
        <f>_辅助!BP20</f>
        <v>0</v>
      </c>
      <c r="AZ22" s="186">
        <f>_辅助!AF20</f>
        <v>0</v>
      </c>
      <c r="BA22" s="221">
        <f>AT22-AW22-AY22</f>
        <v>0</v>
      </c>
      <c r="BB22" s="187">
        <f>AU22-AX22-AZ22</f>
        <v>0</v>
      </c>
      <c r="BC22" s="236">
        <f>IF(AND(AT22&gt;0,AU22&gt;0),0,AX22)</f>
        <v>0</v>
      </c>
      <c r="BD22" s="220">
        <f>IF($B22="",0,SUMIFS(采购进货!$E$4:$E$1503,采购进货!$D$4:$D$1503,$B22,采购进货!$B$4:$B$1503,"&gt;="&amp;DATE(年度,5,1),采购进货!$B$4:$B$1503,"&lt;"&amp;DATE(年度,5+1,1))+SUMIFS(采购进货!$H$4:$H$1503,采购进货!$D$4:$D$1503,$B22,采购进货!$B$4:$B$1503,"&gt;="&amp;DATE(年度,5,1),采购进货!$B$4:$B$1503,"&lt;"&amp;DATE(年度,5+1,1)))</f>
        <v>0</v>
      </c>
      <c r="BE22" s="186">
        <f>IF($B22="",0,SUMIFS(采购进货!$G$4:$G$1503,采购进货!$D$4:$D$1503,$B22,采购进货!$B$4:$B$1503,"&gt;="&amp;DATE(年度,5,1),采购进货!$B$4:$B$1503,"&lt;"&amp;DATE(年度,5+1,1)))</f>
        <v>0</v>
      </c>
      <c r="BF22" s="234">
        <f>BA22+BD22</f>
        <v>0</v>
      </c>
      <c r="BG22" s="235">
        <f>BB22+BE22</f>
        <v>0</v>
      </c>
      <c r="BH22" s="222">
        <f>IF(AND(BF22&gt;0,BG22&gt;0),BG22/BF22,N($E22))</f>
        <v>0</v>
      </c>
      <c r="BI22" s="220">
        <f>IF($B22="",0,SUMIFS(出库明细!$E$4:$E$3003,出库明细!$D$4:$D$3003,$B22,出库明细!$B$4:$B$3003,"&gt;="&amp;DATE(年度,5,1),出库明细!$B$4:$B$3003,"&lt;"&amp;DATE(年度,5+1,1)))</f>
        <v>0</v>
      </c>
      <c r="BJ22" s="186">
        <f>BI22*BH22</f>
        <v>0</v>
      </c>
      <c r="BK22" s="220">
        <f>_辅助!BQ20</f>
        <v>0</v>
      </c>
      <c r="BL22" s="186">
        <f>_辅助!AG20</f>
        <v>0</v>
      </c>
      <c r="BM22" s="221">
        <f>BF22-BI22-BK22</f>
        <v>0</v>
      </c>
      <c r="BN22" s="187">
        <f>BG22-BJ22-BL22</f>
        <v>0</v>
      </c>
      <c r="BO22" s="236">
        <f>IF(AND(BF22&gt;0,BG22&gt;0),0,BJ22)</f>
        <v>0</v>
      </c>
      <c r="BP22" s="220">
        <f>IF($B22="",0,SUMIFS(采购进货!$E$4:$E$1503,采购进货!$D$4:$D$1503,$B22,采购进货!$B$4:$B$1503,"&gt;="&amp;DATE(年度,6,1),采购进货!$B$4:$B$1503,"&lt;"&amp;DATE(年度,6+1,1))+SUMIFS(采购进货!$H$4:$H$1503,采购进货!$D$4:$D$1503,$B22,采购进货!$B$4:$B$1503,"&gt;="&amp;DATE(年度,6,1),采购进货!$B$4:$B$1503,"&lt;"&amp;DATE(年度,6+1,1)))</f>
        <v>0</v>
      </c>
      <c r="BQ22" s="186">
        <f>IF($B22="",0,SUMIFS(采购进货!$G$4:$G$1503,采购进货!$D$4:$D$1503,$B22,采购进货!$B$4:$B$1503,"&gt;="&amp;DATE(年度,6,1),采购进货!$B$4:$B$1503,"&lt;"&amp;DATE(年度,6+1,1)))</f>
        <v>0</v>
      </c>
      <c r="BR22" s="234">
        <f>BM22+BP22</f>
        <v>0</v>
      </c>
      <c r="BS22" s="235">
        <f>BN22+BQ22</f>
        <v>0</v>
      </c>
      <c r="BT22" s="222">
        <f>IF(AND(BR22&gt;0,BS22&gt;0),BS22/BR22,N($E22))</f>
        <v>0</v>
      </c>
      <c r="BU22" s="220">
        <f>IF($B22="",0,SUMIFS(出库明细!$E$4:$E$3003,出库明细!$D$4:$D$3003,$B22,出库明细!$B$4:$B$3003,"&gt;="&amp;DATE(年度,6,1),出库明细!$B$4:$B$3003,"&lt;"&amp;DATE(年度,6+1,1)))</f>
        <v>0</v>
      </c>
      <c r="BV22" s="186">
        <f>BU22*BT22</f>
        <v>0</v>
      </c>
      <c r="BW22" s="220">
        <f>_辅助!BR20</f>
        <v>0</v>
      </c>
      <c r="BX22" s="186">
        <f>_辅助!AH20</f>
        <v>0</v>
      </c>
      <c r="BY22" s="221">
        <f>BR22-BU22-BW22</f>
        <v>0</v>
      </c>
      <c r="BZ22" s="187">
        <f>BS22-BV22-BX22</f>
        <v>0</v>
      </c>
      <c r="CA22" s="236">
        <f>IF(AND(BR22&gt;0,BS22&gt;0),0,BV22)</f>
        <v>0</v>
      </c>
      <c r="CB22" s="220">
        <f>IF($B22="",0,SUMIFS(采购进货!$E$4:$E$1503,采购进货!$D$4:$D$1503,$B22,采购进货!$B$4:$B$1503,"&gt;="&amp;DATE(年度,7,1),采购进货!$B$4:$B$1503,"&lt;"&amp;DATE(年度,7+1,1))+SUMIFS(采购进货!$H$4:$H$1503,采购进货!$D$4:$D$1503,$B22,采购进货!$B$4:$B$1503,"&gt;="&amp;DATE(年度,7,1),采购进货!$B$4:$B$1503,"&lt;"&amp;DATE(年度,7+1,1)))</f>
        <v>0</v>
      </c>
      <c r="CC22" s="186">
        <f>IF($B22="",0,SUMIFS(采购进货!$G$4:$G$1503,采购进货!$D$4:$D$1503,$B22,采购进货!$B$4:$B$1503,"&gt;="&amp;DATE(年度,7,1),采购进货!$B$4:$B$1503,"&lt;"&amp;DATE(年度,7+1,1)))</f>
        <v>0</v>
      </c>
      <c r="CD22" s="234">
        <f>BY22+CB22</f>
        <v>0</v>
      </c>
      <c r="CE22" s="235">
        <f>BZ22+CC22</f>
        <v>0</v>
      </c>
      <c r="CF22" s="222">
        <f>IF(AND(CD22&gt;0,CE22&gt;0),CE22/CD22,N($E22))</f>
        <v>0</v>
      </c>
      <c r="CG22" s="220">
        <f>IF($B22="",0,SUMIFS(出库明细!$E$4:$E$3003,出库明细!$D$4:$D$3003,$B22,出库明细!$B$4:$B$3003,"&gt;="&amp;DATE(年度,7,1),出库明细!$B$4:$B$3003,"&lt;"&amp;DATE(年度,7+1,1)))</f>
        <v>0</v>
      </c>
      <c r="CH22" s="186">
        <f>CG22*CF22</f>
        <v>0</v>
      </c>
      <c r="CI22" s="220">
        <f>_辅助!BS20</f>
        <v>0</v>
      </c>
      <c r="CJ22" s="186">
        <f>_辅助!AI20</f>
        <v>0</v>
      </c>
      <c r="CK22" s="221">
        <f>CD22-CG22-CI22</f>
        <v>0</v>
      </c>
      <c r="CL22" s="187">
        <f>CE22-CH22-CJ22</f>
        <v>0</v>
      </c>
      <c r="CM22" s="236">
        <f>IF(AND(CD22&gt;0,CE22&gt;0),0,CH22)</f>
        <v>0</v>
      </c>
      <c r="CN22" s="220">
        <f>IF($B22="",0,SUMIFS(采购进货!$E$4:$E$1503,采购进货!$D$4:$D$1503,$B22,采购进货!$B$4:$B$1503,"&gt;="&amp;DATE(年度,8,1),采购进货!$B$4:$B$1503,"&lt;"&amp;DATE(年度,8+1,1))+SUMIFS(采购进货!$H$4:$H$1503,采购进货!$D$4:$D$1503,$B22,采购进货!$B$4:$B$1503,"&gt;="&amp;DATE(年度,8,1),采购进货!$B$4:$B$1503,"&lt;"&amp;DATE(年度,8+1,1)))</f>
        <v>0</v>
      </c>
      <c r="CO22" s="186">
        <f>IF($B22="",0,SUMIFS(采购进货!$G$4:$G$1503,采购进货!$D$4:$D$1503,$B22,采购进货!$B$4:$B$1503,"&gt;="&amp;DATE(年度,8,1),采购进货!$B$4:$B$1503,"&lt;"&amp;DATE(年度,8+1,1)))</f>
        <v>0</v>
      </c>
      <c r="CP22" s="234">
        <f>CK22+CN22</f>
        <v>0</v>
      </c>
      <c r="CQ22" s="235">
        <f>CL22+CO22</f>
        <v>0</v>
      </c>
      <c r="CR22" s="222">
        <f>IF(AND(CP22&gt;0,CQ22&gt;0),CQ22/CP22,N($E22))</f>
        <v>0</v>
      </c>
      <c r="CS22" s="220">
        <f>IF($B22="",0,SUMIFS(出库明细!$E$4:$E$3003,出库明细!$D$4:$D$3003,$B22,出库明细!$B$4:$B$3003,"&gt;="&amp;DATE(年度,8,1),出库明细!$B$4:$B$3003,"&lt;"&amp;DATE(年度,8+1,1)))</f>
        <v>11</v>
      </c>
      <c r="CT22" s="186">
        <f>CS22*CR22</f>
        <v>0</v>
      </c>
      <c r="CU22" s="220">
        <f>_辅助!BT20</f>
        <v>0</v>
      </c>
      <c r="CV22" s="186">
        <f>_辅助!AJ20</f>
        <v>0</v>
      </c>
      <c r="CW22" s="221">
        <f>CP22-CS22-CU22</f>
        <v>-11</v>
      </c>
      <c r="CX22" s="187">
        <f>CQ22-CT22-CV22</f>
        <v>0</v>
      </c>
      <c r="CY22" s="236">
        <f>IF(AND(CP22&gt;0,CQ22&gt;0),0,CT22)</f>
        <v>0</v>
      </c>
      <c r="CZ22" s="220">
        <f>IF($B22="",0,SUMIFS(采购进货!$E$4:$E$1503,采购进货!$D$4:$D$1503,$B22,采购进货!$B$4:$B$1503,"&gt;="&amp;DATE(年度,9,1),采购进货!$B$4:$B$1503,"&lt;"&amp;DATE(年度,9+1,1))+SUMIFS(采购进货!$H$4:$H$1503,采购进货!$D$4:$D$1503,$B22,采购进货!$B$4:$B$1503,"&gt;="&amp;DATE(年度,9,1),采购进货!$B$4:$B$1503,"&lt;"&amp;DATE(年度,9+1,1)))</f>
        <v>0</v>
      </c>
      <c r="DA22" s="186">
        <f>IF($B22="",0,SUMIFS(采购进货!$G$4:$G$1503,采购进货!$D$4:$D$1503,$B22,采购进货!$B$4:$B$1503,"&gt;="&amp;DATE(年度,9,1),采购进货!$B$4:$B$1503,"&lt;"&amp;DATE(年度,9+1,1)))</f>
        <v>0</v>
      </c>
      <c r="DB22" s="234">
        <f>CW22+CZ22</f>
        <v>-11</v>
      </c>
      <c r="DC22" s="235">
        <f>CX22+DA22</f>
        <v>0</v>
      </c>
      <c r="DD22" s="222">
        <f>IF(AND(DB22&gt;0,DC22&gt;0),DC22/DB22,N($E22))</f>
        <v>0</v>
      </c>
      <c r="DE22" s="220">
        <f>IF($B22="",0,SUMIFS(出库明细!$E$4:$E$3003,出库明细!$D$4:$D$3003,$B22,出库明细!$B$4:$B$3003,"&gt;="&amp;DATE(年度,9,1),出库明细!$B$4:$B$3003,"&lt;"&amp;DATE(年度,9+1,1)))</f>
        <v>11</v>
      </c>
      <c r="DF22" s="186">
        <f>DE22*DD22</f>
        <v>0</v>
      </c>
      <c r="DG22" s="220">
        <f>_辅助!BU20</f>
        <v>0</v>
      </c>
      <c r="DH22" s="186">
        <f>_辅助!AK20</f>
        <v>0</v>
      </c>
      <c r="DI22" s="221">
        <f>DB22-DE22-DG22</f>
        <v>-22</v>
      </c>
      <c r="DJ22" s="187">
        <f>DC22-DF22-DH22</f>
        <v>0</v>
      </c>
      <c r="DK22" s="236">
        <f>IF(AND(DB22&gt;0,DC22&gt;0),0,DF22)</f>
        <v>0</v>
      </c>
      <c r="DL22" s="220">
        <f>IF($B22="",0,SUMIFS(采购进货!$E$4:$E$1503,采购进货!$D$4:$D$1503,$B22,采购进货!$B$4:$B$1503,"&gt;="&amp;DATE(年度,10,1),采购进货!$B$4:$B$1503,"&lt;"&amp;DATE(年度,10+1,1))+SUMIFS(采购进货!$H$4:$H$1503,采购进货!$D$4:$D$1503,$B22,采购进货!$B$4:$B$1503,"&gt;="&amp;DATE(年度,10,1),采购进货!$B$4:$B$1503,"&lt;"&amp;DATE(年度,10+1,1)))</f>
        <v>0</v>
      </c>
      <c r="DM22" s="186">
        <f>IF($B22="",0,SUMIFS(采购进货!$G$4:$G$1503,采购进货!$D$4:$D$1503,$B22,采购进货!$B$4:$B$1503,"&gt;="&amp;DATE(年度,10,1),采购进货!$B$4:$B$1503,"&lt;"&amp;DATE(年度,10+1,1)))</f>
        <v>0</v>
      </c>
      <c r="DN22" s="234">
        <f>DI22+DL22</f>
        <v>-22</v>
      </c>
      <c r="DO22" s="235">
        <f>DJ22+DM22</f>
        <v>0</v>
      </c>
      <c r="DP22" s="222">
        <f>IF(AND(DN22&gt;0,DO22&gt;0),DO22/DN22,N($E22))</f>
        <v>0</v>
      </c>
      <c r="DQ22" s="220">
        <f>IF($B22="",0,SUMIFS(出库明细!$E$4:$E$3003,出库明细!$D$4:$D$3003,$B22,出库明细!$B$4:$B$3003,"&gt;="&amp;DATE(年度,10,1),出库明细!$B$4:$B$3003,"&lt;"&amp;DATE(年度,10+1,1)))</f>
        <v>0</v>
      </c>
      <c r="DR22" s="186">
        <f>DQ22*DP22</f>
        <v>0</v>
      </c>
      <c r="DS22" s="220">
        <f>_辅助!BV20</f>
        <v>0</v>
      </c>
      <c r="DT22" s="186">
        <f>_辅助!AL20</f>
        <v>0</v>
      </c>
      <c r="DU22" s="221">
        <f>DN22-DQ22-DS22</f>
        <v>-22</v>
      </c>
      <c r="DV22" s="187">
        <f>DO22-DR22-DT22</f>
        <v>0</v>
      </c>
      <c r="DW22" s="236">
        <f>IF(AND(DN22&gt;0,DO22&gt;0),0,DR22)</f>
        <v>0</v>
      </c>
      <c r="DX22" s="220">
        <f>IF($B22="",0,SUMIFS(采购进货!$E$4:$E$1503,采购进货!$D$4:$D$1503,$B22,采购进货!$B$4:$B$1503,"&gt;="&amp;DATE(年度,11,1),采购进货!$B$4:$B$1503,"&lt;"&amp;DATE(年度,11+1,1))+SUMIFS(采购进货!$H$4:$H$1503,采购进货!$D$4:$D$1503,$B22,采购进货!$B$4:$B$1503,"&gt;="&amp;DATE(年度,11,1),采购进货!$B$4:$B$1503,"&lt;"&amp;DATE(年度,11+1,1)))</f>
        <v>0</v>
      </c>
      <c r="DY22" s="186">
        <f>IF($B22="",0,SUMIFS(采购进货!$G$4:$G$1503,采购进货!$D$4:$D$1503,$B22,采购进货!$B$4:$B$1503,"&gt;="&amp;DATE(年度,11,1),采购进货!$B$4:$B$1503,"&lt;"&amp;DATE(年度,11+1,1)))</f>
        <v>0</v>
      </c>
      <c r="DZ22" s="234">
        <f>DU22+DX22</f>
        <v>-22</v>
      </c>
      <c r="EA22" s="235">
        <f>DV22+DY22</f>
        <v>0</v>
      </c>
      <c r="EB22" s="222">
        <f>IF(AND(DZ22&gt;0,EA22&gt;0),EA22/DZ22,N($E22))</f>
        <v>0</v>
      </c>
      <c r="EC22" s="220">
        <f>IF($B22="",0,SUMIFS(出库明细!$E$4:$E$3003,出库明细!$D$4:$D$3003,$B22,出库明细!$B$4:$B$3003,"&gt;="&amp;DATE(年度,11,1),出库明细!$B$4:$B$3003,"&lt;"&amp;DATE(年度,11+1,1)))</f>
        <v>0</v>
      </c>
      <c r="ED22" s="186">
        <f>EC22*EB22</f>
        <v>0</v>
      </c>
      <c r="EE22" s="220">
        <f>_辅助!BW20</f>
        <v>0</v>
      </c>
      <c r="EF22" s="186">
        <f>_辅助!AM20</f>
        <v>0</v>
      </c>
      <c r="EG22" s="221">
        <f>DZ22-EC22-EE22</f>
        <v>-22</v>
      </c>
      <c r="EH22" s="187">
        <f>EA22-ED22-EF22</f>
        <v>0</v>
      </c>
      <c r="EI22" s="236">
        <f>IF(AND(DZ22&gt;0,EA22&gt;0),0,ED22)</f>
        <v>0</v>
      </c>
      <c r="EJ22" s="220">
        <f>IF($B22="",0,SUMIFS(采购进货!$E$4:$E$1503,采购进货!$D$4:$D$1503,$B22,采购进货!$B$4:$B$1503,"&gt;="&amp;DATE(年度,12,1),采购进货!$B$4:$B$1503,"&lt;"&amp;DATE(年度,12+1,1))+SUMIFS(采购进货!$H$4:$H$1503,采购进货!$D$4:$D$1503,$B22,采购进货!$B$4:$B$1503,"&gt;="&amp;DATE(年度,12,1),采购进货!$B$4:$B$1503,"&lt;"&amp;DATE(年度,12+1,1)))</f>
        <v>0</v>
      </c>
      <c r="EK22" s="186">
        <f>IF($B22="",0,SUMIFS(采购进货!$G$4:$G$1503,采购进货!$D$4:$D$1503,$B22,采购进货!$B$4:$B$1503,"&gt;="&amp;DATE(年度,12,1),采购进货!$B$4:$B$1503,"&lt;"&amp;DATE(年度,12+1,1)))</f>
        <v>0</v>
      </c>
      <c r="EL22" s="234">
        <f>EG22+EJ22</f>
        <v>-22</v>
      </c>
      <c r="EM22" s="235">
        <f>EH22+EK22</f>
        <v>0</v>
      </c>
      <c r="EN22" s="222">
        <f>IF(AND(EL22&gt;0,EM22&gt;0),EM22/EL22,N($E22))</f>
        <v>0</v>
      </c>
      <c r="EO22" s="220">
        <f>IF($B22="",0,SUMIFS(出库明细!$E$4:$E$3003,出库明细!$D$4:$D$3003,$B22,出库明细!$B$4:$B$3003,"&gt;="&amp;DATE(年度,12,1),出库明细!$B$4:$B$3003,"&lt;"&amp;DATE(年度,12+1,1)))</f>
        <v>0</v>
      </c>
      <c r="EP22" s="186">
        <f>EO22*EN22</f>
        <v>0</v>
      </c>
      <c r="EQ22" s="220">
        <f>_辅助!BX20</f>
        <v>0</v>
      </c>
      <c r="ER22" s="186">
        <f>_辅助!AN20</f>
        <v>0</v>
      </c>
      <c r="ES22" s="221">
        <f>EL22-EO22-EQ22</f>
        <v>-22</v>
      </c>
      <c r="ET22" s="187">
        <f>EM22-EP22-ER22</f>
        <v>0</v>
      </c>
      <c r="EU22" s="236">
        <f>IF(AND(EL22&gt;0,EM22&gt;0),0,EP22)</f>
        <v>0</v>
      </c>
    </row>
    <row r="23">
      <c r="A23" s="194">
        <f>IF(B23="","",ROW()-7)</f>
        <v>16</v>
      </c>
      <c r="B23" s="141" t="str">
        <f>IF(基础资料!E20="","",基础资料!E20&amp;"")</f>
        <v>菊花茶</v>
      </c>
      <c r="C23" s="230" t="str">
        <f>IF(基础资料!G20="","",基础资料!G20&amp;"")</f>
        <v>东鹏菊花茶</v>
      </c>
      <c r="D23" s="194">
        <f>IF(基础资料!I20="","",基础资料!I20)</f>
        <v>24</v>
      </c>
      <c r="E23" s="231">
        <f>IF(基础资料!J20="","",基础资料!J20)</f>
        <v>59.616</v>
      </c>
      <c r="F23" s="232">
        <f>N(基础资料!L20)</f>
        <v>0</v>
      </c>
      <c r="G23" s="233">
        <f>IF(基础资料!N20="",0,基础资料!N20)</f>
        <v>0</v>
      </c>
      <c r="H23" s="220">
        <f>IF($B23="",0,SUMIFS(采购进货!$E$4:$E$1503,采购进货!$D$4:$D$1503,$B23,采购进货!$B$4:$B$1503,"&gt;="&amp;DATE(年度,1,1),采购进货!$B$4:$B$1503,"&lt;"&amp;DATE(年度,1+1,1))+SUMIFS(采购进货!$H$4:$H$1503,采购进货!$D$4:$D$1503,$B23,采购进货!$B$4:$B$1503,"&gt;="&amp;DATE(年度,1,1),采购进货!$B$4:$B$1503,"&lt;"&amp;DATE(年度,1+1,1)))</f>
        <v>0</v>
      </c>
      <c r="I23" s="186">
        <f>IF($B23="",0,SUMIFS(采购进货!$G$4:$G$1503,采购进货!$D$4:$D$1503,$B23,采购进货!$B$4:$B$1503,"&gt;="&amp;DATE(年度,1,1),采购进货!$B$4:$B$1503,"&lt;"&amp;DATE(年度,1+1,1)))</f>
        <v>0</v>
      </c>
      <c r="J23" s="234">
        <f>F23+H23</f>
        <v>0</v>
      </c>
      <c r="K23" s="235">
        <f>G23+I23</f>
        <v>0</v>
      </c>
      <c r="L23" s="222">
        <f>IF(AND(J23&gt;0,K23&gt;0),K23/J23,N($E23))</f>
        <v>59.616</v>
      </c>
      <c r="M23" s="220">
        <f>IF($B23="",0,SUMIFS(出库明细!$E$4:$E$3003,出库明细!$D$4:$D$3003,$B23,出库明细!$B$4:$B$3003,"&gt;="&amp;DATE(年度,1,1),出库明细!$B$4:$B$3003,"&lt;"&amp;DATE(年度,1+1,1)))</f>
        <v>0</v>
      </c>
      <c r="N23" s="186">
        <f>M23*L23</f>
        <v>0</v>
      </c>
      <c r="O23" s="220">
        <f>_辅助!BM21</f>
        <v>0</v>
      </c>
      <c r="P23" s="186">
        <f>_辅助!AC21</f>
        <v>0</v>
      </c>
      <c r="Q23" s="221">
        <f>J23-M23-O23</f>
        <v>0</v>
      </c>
      <c r="R23" s="187">
        <f>K23-N23-P23</f>
        <v>0</v>
      </c>
      <c r="S23" s="236">
        <f>IF(AND(J23&gt;0,K23&gt;0),0,N23)</f>
        <v>0</v>
      </c>
      <c r="T23" s="220">
        <f>IF($B23="",0,SUMIFS(采购进货!$E$4:$E$1503,采购进货!$D$4:$D$1503,$B23,采购进货!$B$4:$B$1503,"&gt;="&amp;DATE(年度,2,1),采购进货!$B$4:$B$1503,"&lt;"&amp;DATE(年度,2+1,1))+SUMIFS(采购进货!$H$4:$H$1503,采购进货!$D$4:$D$1503,$B23,采购进货!$B$4:$B$1503,"&gt;="&amp;DATE(年度,2,1),采购进货!$B$4:$B$1503,"&lt;"&amp;DATE(年度,2+1,1)))</f>
        <v>0</v>
      </c>
      <c r="U23" s="186">
        <f>IF($B23="",0,SUMIFS(采购进货!$G$4:$G$1503,采购进货!$D$4:$D$1503,$B23,采购进货!$B$4:$B$1503,"&gt;="&amp;DATE(年度,2,1),采购进货!$B$4:$B$1503,"&lt;"&amp;DATE(年度,2+1,1)))</f>
        <v>0</v>
      </c>
      <c r="V23" s="234">
        <f>Q23+T23</f>
        <v>0</v>
      </c>
      <c r="W23" s="235">
        <f>R23+U23</f>
        <v>0</v>
      </c>
      <c r="X23" s="222">
        <f>IF(AND(V23&gt;0,W23&gt;0),W23/V23,N($E23))</f>
        <v>59.616</v>
      </c>
      <c r="Y23" s="220">
        <f>IF($B23="",0,SUMIFS(出库明细!$E$4:$E$3003,出库明细!$D$4:$D$3003,$B23,出库明细!$B$4:$B$3003,"&gt;="&amp;DATE(年度,2,1),出库明细!$B$4:$B$3003,"&lt;"&amp;DATE(年度,2+1,1)))</f>
        <v>0</v>
      </c>
      <c r="Z23" s="186">
        <f>Y23*X23</f>
        <v>0</v>
      </c>
      <c r="AA23" s="220">
        <f>_辅助!BN21</f>
        <v>0</v>
      </c>
      <c r="AB23" s="186">
        <f>_辅助!AD21</f>
        <v>0</v>
      </c>
      <c r="AC23" s="221">
        <f>V23-Y23-AA23</f>
        <v>0</v>
      </c>
      <c r="AD23" s="187">
        <f>W23-Z23-AB23</f>
        <v>0</v>
      </c>
      <c r="AE23" s="236">
        <f>IF(AND(V23&gt;0,W23&gt;0),0,Z23)</f>
        <v>0</v>
      </c>
      <c r="AF23" s="220">
        <f>IF($B23="",0,SUMIFS(采购进货!$E$4:$E$1503,采购进货!$D$4:$D$1503,$B23,采购进货!$B$4:$B$1503,"&gt;="&amp;DATE(年度,3,1),采购进货!$B$4:$B$1503,"&lt;"&amp;DATE(年度,3+1,1))+SUMIFS(采购进货!$H$4:$H$1503,采购进货!$D$4:$D$1503,$B23,采购进货!$B$4:$B$1503,"&gt;="&amp;DATE(年度,3,1),采购进货!$B$4:$B$1503,"&lt;"&amp;DATE(年度,3+1,1)))</f>
        <v>0</v>
      </c>
      <c r="AG23" s="186">
        <f>IF($B23="",0,SUMIFS(采购进货!$G$4:$G$1503,采购进货!$D$4:$D$1503,$B23,采购进货!$B$4:$B$1503,"&gt;="&amp;DATE(年度,3,1),采购进货!$B$4:$B$1503,"&lt;"&amp;DATE(年度,3+1,1)))</f>
        <v>0</v>
      </c>
      <c r="AH23" s="234">
        <f>AC23+AF23</f>
        <v>0</v>
      </c>
      <c r="AI23" s="235">
        <f>AD23+AG23</f>
        <v>0</v>
      </c>
      <c r="AJ23" s="222">
        <f>IF(AND(AH23&gt;0,AI23&gt;0),AI23/AH23,N($E23))</f>
        <v>59.616</v>
      </c>
      <c r="AK23" s="220">
        <f>IF($B23="",0,SUMIFS(出库明细!$E$4:$E$3003,出库明细!$D$4:$D$3003,$B23,出库明细!$B$4:$B$3003,"&gt;="&amp;DATE(年度,3,1),出库明细!$B$4:$B$3003,"&lt;"&amp;DATE(年度,3+1,1)))</f>
        <v>0</v>
      </c>
      <c r="AL23" s="186">
        <f>AK23*AJ23</f>
        <v>0</v>
      </c>
      <c r="AM23" s="220">
        <f>_辅助!BO21</f>
        <v>0</v>
      </c>
      <c r="AN23" s="186">
        <f>_辅助!AE21</f>
        <v>0</v>
      </c>
      <c r="AO23" s="221">
        <f>AH23-AK23-AM23</f>
        <v>0</v>
      </c>
      <c r="AP23" s="187">
        <f>AI23-AL23-AN23</f>
        <v>0</v>
      </c>
      <c r="AQ23" s="236">
        <f>IF(AND(AH23&gt;0,AI23&gt;0),0,AL23)</f>
        <v>0</v>
      </c>
      <c r="AR23" s="220">
        <f>IF($B23="",0,SUMIFS(采购进货!$E$4:$E$1503,采购进货!$D$4:$D$1503,$B23,采购进货!$B$4:$B$1503,"&gt;="&amp;DATE(年度,4,1),采购进货!$B$4:$B$1503,"&lt;"&amp;DATE(年度,4+1,1))+SUMIFS(采购进货!$H$4:$H$1503,采购进货!$D$4:$D$1503,$B23,采购进货!$B$4:$B$1503,"&gt;="&amp;DATE(年度,4,1),采购进货!$B$4:$B$1503,"&lt;"&amp;DATE(年度,4+1,1)))</f>
        <v>0</v>
      </c>
      <c r="AS23" s="186">
        <f>IF($B23="",0,SUMIFS(采购进货!$G$4:$G$1503,采购进货!$D$4:$D$1503,$B23,采购进货!$B$4:$B$1503,"&gt;="&amp;DATE(年度,4,1),采购进货!$B$4:$B$1503,"&lt;"&amp;DATE(年度,4+1,1)))</f>
        <v>0</v>
      </c>
      <c r="AT23" s="234">
        <f>AO23+AR23</f>
        <v>0</v>
      </c>
      <c r="AU23" s="235">
        <f>AP23+AS23</f>
        <v>0</v>
      </c>
      <c r="AV23" s="222">
        <f>IF(AND(AT23&gt;0,AU23&gt;0),AU23/AT23,N($E23))</f>
        <v>59.616</v>
      </c>
      <c r="AW23" s="220">
        <f>IF($B23="",0,SUMIFS(出库明细!$E$4:$E$3003,出库明细!$D$4:$D$3003,$B23,出库明细!$B$4:$B$3003,"&gt;="&amp;DATE(年度,4,1),出库明细!$B$4:$B$3003,"&lt;"&amp;DATE(年度,4+1,1)))</f>
        <v>0</v>
      </c>
      <c r="AX23" s="186">
        <f>AW23*AV23</f>
        <v>0</v>
      </c>
      <c r="AY23" s="220">
        <f>_辅助!BP21</f>
        <v>0</v>
      </c>
      <c r="AZ23" s="186">
        <f>_辅助!AF21</f>
        <v>0</v>
      </c>
      <c r="BA23" s="221">
        <f>AT23-AW23-AY23</f>
        <v>0</v>
      </c>
      <c r="BB23" s="187">
        <f>AU23-AX23-AZ23</f>
        <v>0</v>
      </c>
      <c r="BC23" s="236">
        <f>IF(AND(AT23&gt;0,AU23&gt;0),0,AX23)</f>
        <v>0</v>
      </c>
      <c r="BD23" s="220">
        <f>IF($B23="",0,SUMIFS(采购进货!$E$4:$E$1503,采购进货!$D$4:$D$1503,$B23,采购进货!$B$4:$B$1503,"&gt;="&amp;DATE(年度,5,1),采购进货!$B$4:$B$1503,"&lt;"&amp;DATE(年度,5+1,1))+SUMIFS(采购进货!$H$4:$H$1503,采购进货!$D$4:$D$1503,$B23,采购进货!$B$4:$B$1503,"&gt;="&amp;DATE(年度,5,1),采购进货!$B$4:$B$1503,"&lt;"&amp;DATE(年度,5+1,1)))</f>
        <v>0</v>
      </c>
      <c r="BE23" s="186">
        <f>IF($B23="",0,SUMIFS(采购进货!$G$4:$G$1503,采购进货!$D$4:$D$1503,$B23,采购进货!$B$4:$B$1503,"&gt;="&amp;DATE(年度,5,1),采购进货!$B$4:$B$1503,"&lt;"&amp;DATE(年度,5+1,1)))</f>
        <v>0</v>
      </c>
      <c r="BF23" s="234">
        <f>BA23+BD23</f>
        <v>0</v>
      </c>
      <c r="BG23" s="235">
        <f>BB23+BE23</f>
        <v>0</v>
      </c>
      <c r="BH23" s="222">
        <f>IF(AND(BF23&gt;0,BG23&gt;0),BG23/BF23,N($E23))</f>
        <v>59.616</v>
      </c>
      <c r="BI23" s="220">
        <f>IF($B23="",0,SUMIFS(出库明细!$E$4:$E$3003,出库明细!$D$4:$D$3003,$B23,出库明细!$B$4:$B$3003,"&gt;="&amp;DATE(年度,5,1),出库明细!$B$4:$B$3003,"&lt;"&amp;DATE(年度,5+1,1)))</f>
        <v>0</v>
      </c>
      <c r="BJ23" s="186">
        <f>BI23*BH23</f>
        <v>0</v>
      </c>
      <c r="BK23" s="220">
        <f>_辅助!BQ21</f>
        <v>0</v>
      </c>
      <c r="BL23" s="186">
        <f>_辅助!AG21</f>
        <v>0</v>
      </c>
      <c r="BM23" s="221">
        <f>BF23-BI23-BK23</f>
        <v>0</v>
      </c>
      <c r="BN23" s="187">
        <f>BG23-BJ23-BL23</f>
        <v>0</v>
      </c>
      <c r="BO23" s="236">
        <f>IF(AND(BF23&gt;0,BG23&gt;0),0,BJ23)</f>
        <v>0</v>
      </c>
      <c r="BP23" s="220">
        <f>IF($B23="",0,SUMIFS(采购进货!$E$4:$E$1503,采购进货!$D$4:$D$1503,$B23,采购进货!$B$4:$B$1503,"&gt;="&amp;DATE(年度,6,1),采购进货!$B$4:$B$1503,"&lt;"&amp;DATE(年度,6+1,1))+SUMIFS(采购进货!$H$4:$H$1503,采购进货!$D$4:$D$1503,$B23,采购进货!$B$4:$B$1503,"&gt;="&amp;DATE(年度,6,1),采购进货!$B$4:$B$1503,"&lt;"&amp;DATE(年度,6+1,1)))</f>
        <v>0</v>
      </c>
      <c r="BQ23" s="186">
        <f>IF($B23="",0,SUMIFS(采购进货!$G$4:$G$1503,采购进货!$D$4:$D$1503,$B23,采购进货!$B$4:$B$1503,"&gt;="&amp;DATE(年度,6,1),采购进货!$B$4:$B$1503,"&lt;"&amp;DATE(年度,6+1,1)))</f>
        <v>0</v>
      </c>
      <c r="BR23" s="234">
        <f>BM23+BP23</f>
        <v>0</v>
      </c>
      <c r="BS23" s="235">
        <f>BN23+BQ23</f>
        <v>0</v>
      </c>
      <c r="BT23" s="222">
        <f>IF(AND(BR23&gt;0,BS23&gt;0),BS23/BR23,N($E23))</f>
        <v>59.616</v>
      </c>
      <c r="BU23" s="220">
        <f>IF($B23="",0,SUMIFS(出库明细!$E$4:$E$3003,出库明细!$D$4:$D$3003,$B23,出库明细!$B$4:$B$3003,"&gt;="&amp;DATE(年度,6,1),出库明细!$B$4:$B$3003,"&lt;"&amp;DATE(年度,6+1,1)))</f>
        <v>0</v>
      </c>
      <c r="BV23" s="186">
        <f>BU23*BT23</f>
        <v>0</v>
      </c>
      <c r="BW23" s="220">
        <f>_辅助!BR21</f>
        <v>4.75</v>
      </c>
      <c r="BX23" s="186">
        <f>_辅助!AH21</f>
        <v>0</v>
      </c>
      <c r="BY23" s="221">
        <f>BR23-BU23-BW23</f>
        <v>-4.75</v>
      </c>
      <c r="BZ23" s="187">
        <f>BS23-BV23-BX23</f>
        <v>0</v>
      </c>
      <c r="CA23" s="236">
        <f>IF(AND(BR23&gt;0,BS23&gt;0),0,BV23)</f>
        <v>0</v>
      </c>
      <c r="CB23" s="220">
        <f>IF($B23="",0,SUMIFS(采购进货!$E$4:$E$1503,采购进货!$D$4:$D$1503,$B23,采购进货!$B$4:$B$1503,"&gt;="&amp;DATE(年度,7,1),采购进货!$B$4:$B$1503,"&lt;"&amp;DATE(年度,7+1,1))+SUMIFS(采购进货!$H$4:$H$1503,采购进货!$D$4:$D$1503,$B23,采购进货!$B$4:$B$1503,"&gt;="&amp;DATE(年度,7,1),采购进货!$B$4:$B$1503,"&lt;"&amp;DATE(年度,7+1,1)))</f>
        <v>0</v>
      </c>
      <c r="CC23" s="186">
        <f>IF($B23="",0,SUMIFS(采购进货!$G$4:$G$1503,采购进货!$D$4:$D$1503,$B23,采购进货!$B$4:$B$1503,"&gt;="&amp;DATE(年度,7,1),采购进货!$B$4:$B$1503,"&lt;"&amp;DATE(年度,7+1,1)))</f>
        <v>0</v>
      </c>
      <c r="CD23" s="234">
        <f>BY23+CB23</f>
        <v>-4.75</v>
      </c>
      <c r="CE23" s="235">
        <f>BZ23+CC23</f>
        <v>0</v>
      </c>
      <c r="CF23" s="222">
        <f>IF(AND(CD23&gt;0,CE23&gt;0),CE23/CD23,N($E23))</f>
        <v>59.616</v>
      </c>
      <c r="CG23" s="220">
        <f>IF($B23="",0,SUMIFS(出库明细!$E$4:$E$3003,出库明细!$D$4:$D$3003,$B23,出库明细!$B$4:$B$3003,"&gt;="&amp;DATE(年度,7,1),出库明细!$B$4:$B$3003,"&lt;"&amp;DATE(年度,7+1,1)))</f>
        <v>0</v>
      </c>
      <c r="CH23" s="186">
        <f>CG23*CF23</f>
        <v>0</v>
      </c>
      <c r="CI23" s="220">
        <f>_辅助!BS21</f>
        <v>0</v>
      </c>
      <c r="CJ23" s="186">
        <f>_辅助!AI21</f>
        <v>0</v>
      </c>
      <c r="CK23" s="221">
        <f>CD23-CG23-CI23</f>
        <v>-4.75</v>
      </c>
      <c r="CL23" s="187">
        <f>CE23-CH23-CJ23</f>
        <v>0</v>
      </c>
      <c r="CM23" s="236">
        <f>IF(AND(CD23&gt;0,CE23&gt;0),0,CH23)</f>
        <v>0</v>
      </c>
      <c r="CN23" s="220">
        <f>IF($B23="",0,SUMIFS(采购进货!$E$4:$E$1503,采购进货!$D$4:$D$1503,$B23,采购进货!$B$4:$B$1503,"&gt;="&amp;DATE(年度,8,1),采购进货!$B$4:$B$1503,"&lt;"&amp;DATE(年度,8+1,1))+SUMIFS(采购进货!$H$4:$H$1503,采购进货!$D$4:$D$1503,$B23,采购进货!$B$4:$B$1503,"&gt;="&amp;DATE(年度,8,1),采购进货!$B$4:$B$1503,"&lt;"&amp;DATE(年度,8+1,1)))</f>
        <v>0</v>
      </c>
      <c r="CO23" s="186">
        <f>IF($B23="",0,SUMIFS(采购进货!$G$4:$G$1503,采购进货!$D$4:$D$1503,$B23,采购进货!$B$4:$B$1503,"&gt;="&amp;DATE(年度,8,1),采购进货!$B$4:$B$1503,"&lt;"&amp;DATE(年度,8+1,1)))</f>
        <v>0</v>
      </c>
      <c r="CP23" s="234">
        <f>CK23+CN23</f>
        <v>-4.75</v>
      </c>
      <c r="CQ23" s="235">
        <f>CL23+CO23</f>
        <v>0</v>
      </c>
      <c r="CR23" s="222">
        <f>IF(AND(CP23&gt;0,CQ23&gt;0),CQ23/CP23,N($E23))</f>
        <v>59.616</v>
      </c>
      <c r="CS23" s="220">
        <f>IF($B23="",0,SUMIFS(出库明细!$E$4:$E$3003,出库明细!$D$4:$D$3003,$B23,出库明细!$B$4:$B$3003,"&gt;="&amp;DATE(年度,8,1),出库明细!$B$4:$B$3003,"&lt;"&amp;DATE(年度,8+1,1)))</f>
        <v>0</v>
      </c>
      <c r="CT23" s="186">
        <f>CS23*CR23</f>
        <v>0</v>
      </c>
      <c r="CU23" s="220">
        <f>_辅助!BT21</f>
        <v>87.25</v>
      </c>
      <c r="CV23" s="186">
        <f>_辅助!AJ21</f>
        <v>5201.496</v>
      </c>
      <c r="CW23" s="221">
        <f>CP23-CS23-CU23</f>
        <v>-92</v>
      </c>
      <c r="CX23" s="187">
        <f>CQ23-CT23-CV23</f>
        <v>-5201.496</v>
      </c>
      <c r="CY23" s="236">
        <f>IF(AND(CP23&gt;0,CQ23&gt;0),0,CT23)</f>
        <v>0</v>
      </c>
      <c r="CZ23" s="220">
        <f>IF($B23="",0,SUMIFS(采购进货!$E$4:$E$1503,采购进货!$D$4:$D$1503,$B23,采购进货!$B$4:$B$1503,"&gt;="&amp;DATE(年度,9,1),采购进货!$B$4:$B$1503,"&lt;"&amp;DATE(年度,9+1,1))+SUMIFS(采购进货!$H$4:$H$1503,采购进货!$D$4:$D$1503,$B23,采购进货!$B$4:$B$1503,"&gt;="&amp;DATE(年度,9,1),采购进货!$B$4:$B$1503,"&lt;"&amp;DATE(年度,9+1,1)))</f>
        <v>0</v>
      </c>
      <c r="DA23" s="186">
        <f>IF($B23="",0,SUMIFS(采购进货!$G$4:$G$1503,采购进货!$D$4:$D$1503,$B23,采购进货!$B$4:$B$1503,"&gt;="&amp;DATE(年度,9,1),采购进货!$B$4:$B$1503,"&lt;"&amp;DATE(年度,9+1,1)))</f>
        <v>0</v>
      </c>
      <c r="DB23" s="234">
        <f>CW23+CZ23</f>
        <v>-92</v>
      </c>
      <c r="DC23" s="235">
        <f>CX23+DA23</f>
        <v>-5201.496</v>
      </c>
      <c r="DD23" s="222">
        <f>IF(AND(DB23&gt;0,DC23&gt;0),DC23/DB23,N($E23))</f>
        <v>59.616</v>
      </c>
      <c r="DE23" s="220">
        <f>IF($B23="",0,SUMIFS(出库明细!$E$4:$E$3003,出库明细!$D$4:$D$3003,$B23,出库明细!$B$4:$B$3003,"&gt;="&amp;DATE(年度,9,1),出库明细!$B$4:$B$3003,"&lt;"&amp;DATE(年度,9+1,1)))</f>
        <v>0</v>
      </c>
      <c r="DF23" s="186">
        <f>DE23*DD23</f>
        <v>0</v>
      </c>
      <c r="DG23" s="220">
        <f>_辅助!BU21</f>
        <v>0</v>
      </c>
      <c r="DH23" s="186">
        <f>_辅助!AK21</f>
        <v>0</v>
      </c>
      <c r="DI23" s="221">
        <f>DB23-DE23-DG23</f>
        <v>-92</v>
      </c>
      <c r="DJ23" s="187">
        <f>DC23-DF23-DH23</f>
        <v>-5201.496</v>
      </c>
      <c r="DK23" s="236">
        <f>IF(AND(DB23&gt;0,DC23&gt;0),0,DF23)</f>
        <v>0</v>
      </c>
      <c r="DL23" s="220">
        <f>IF($B23="",0,SUMIFS(采购进货!$E$4:$E$1503,采购进货!$D$4:$D$1503,$B23,采购进货!$B$4:$B$1503,"&gt;="&amp;DATE(年度,10,1),采购进货!$B$4:$B$1503,"&lt;"&amp;DATE(年度,10+1,1))+SUMIFS(采购进货!$H$4:$H$1503,采购进货!$D$4:$D$1503,$B23,采购进货!$B$4:$B$1503,"&gt;="&amp;DATE(年度,10,1),采购进货!$B$4:$B$1503,"&lt;"&amp;DATE(年度,10+1,1)))</f>
        <v>0</v>
      </c>
      <c r="DM23" s="186">
        <f>IF($B23="",0,SUMIFS(采购进货!$G$4:$G$1503,采购进货!$D$4:$D$1503,$B23,采购进货!$B$4:$B$1503,"&gt;="&amp;DATE(年度,10,1),采购进货!$B$4:$B$1503,"&lt;"&amp;DATE(年度,10+1,1)))</f>
        <v>0</v>
      </c>
      <c r="DN23" s="234">
        <f>DI23+DL23</f>
        <v>-92</v>
      </c>
      <c r="DO23" s="235">
        <f>DJ23+DM23</f>
        <v>-5201.496</v>
      </c>
      <c r="DP23" s="222">
        <f>IF(AND(DN23&gt;0,DO23&gt;0),DO23/DN23,N($E23))</f>
        <v>59.616</v>
      </c>
      <c r="DQ23" s="220">
        <f>IF($B23="",0,SUMIFS(出库明细!$E$4:$E$3003,出库明细!$D$4:$D$3003,$B23,出库明细!$B$4:$B$3003,"&gt;="&amp;DATE(年度,10,1),出库明细!$B$4:$B$3003,"&lt;"&amp;DATE(年度,10+1,1)))</f>
        <v>0</v>
      </c>
      <c r="DR23" s="186">
        <f>DQ23*DP23</f>
        <v>0</v>
      </c>
      <c r="DS23" s="220">
        <f>_辅助!BV21</f>
        <v>0</v>
      </c>
      <c r="DT23" s="186">
        <f>_辅助!AL21</f>
        <v>0</v>
      </c>
      <c r="DU23" s="221">
        <f>DN23-DQ23-DS23</f>
        <v>-92</v>
      </c>
      <c r="DV23" s="187">
        <f>DO23-DR23-DT23</f>
        <v>-5201.496</v>
      </c>
      <c r="DW23" s="236">
        <f>IF(AND(DN23&gt;0,DO23&gt;0),0,DR23)</f>
        <v>0</v>
      </c>
      <c r="DX23" s="220">
        <f>IF($B23="",0,SUMIFS(采购进货!$E$4:$E$1503,采购进货!$D$4:$D$1503,$B23,采购进货!$B$4:$B$1503,"&gt;="&amp;DATE(年度,11,1),采购进货!$B$4:$B$1503,"&lt;"&amp;DATE(年度,11+1,1))+SUMIFS(采购进货!$H$4:$H$1503,采购进货!$D$4:$D$1503,$B23,采购进货!$B$4:$B$1503,"&gt;="&amp;DATE(年度,11,1),采购进货!$B$4:$B$1503,"&lt;"&amp;DATE(年度,11+1,1)))</f>
        <v>0</v>
      </c>
      <c r="DY23" s="186">
        <f>IF($B23="",0,SUMIFS(采购进货!$G$4:$G$1503,采购进货!$D$4:$D$1503,$B23,采购进货!$B$4:$B$1503,"&gt;="&amp;DATE(年度,11,1),采购进货!$B$4:$B$1503,"&lt;"&amp;DATE(年度,11+1,1)))</f>
        <v>0</v>
      </c>
      <c r="DZ23" s="234">
        <f>DU23+DX23</f>
        <v>-92</v>
      </c>
      <c r="EA23" s="235">
        <f>DV23+DY23</f>
        <v>-5201.496</v>
      </c>
      <c r="EB23" s="222">
        <f>IF(AND(DZ23&gt;0,EA23&gt;0),EA23/DZ23,N($E23))</f>
        <v>59.616</v>
      </c>
      <c r="EC23" s="220">
        <f>IF($B23="",0,SUMIFS(出库明细!$E$4:$E$3003,出库明细!$D$4:$D$3003,$B23,出库明细!$B$4:$B$3003,"&gt;="&amp;DATE(年度,11,1),出库明细!$B$4:$B$3003,"&lt;"&amp;DATE(年度,11+1,1)))</f>
        <v>0</v>
      </c>
      <c r="ED23" s="186">
        <f>EC23*EB23</f>
        <v>0</v>
      </c>
      <c r="EE23" s="220">
        <f>_辅助!BW21</f>
        <v>0</v>
      </c>
      <c r="EF23" s="186">
        <f>_辅助!AM21</f>
        <v>0</v>
      </c>
      <c r="EG23" s="221">
        <f>DZ23-EC23-EE23</f>
        <v>-92</v>
      </c>
      <c r="EH23" s="187">
        <f>EA23-ED23-EF23</f>
        <v>-5201.496</v>
      </c>
      <c r="EI23" s="236">
        <f>IF(AND(DZ23&gt;0,EA23&gt;0),0,ED23)</f>
        <v>0</v>
      </c>
      <c r="EJ23" s="220">
        <f>IF($B23="",0,SUMIFS(采购进货!$E$4:$E$1503,采购进货!$D$4:$D$1503,$B23,采购进货!$B$4:$B$1503,"&gt;="&amp;DATE(年度,12,1),采购进货!$B$4:$B$1503,"&lt;"&amp;DATE(年度,12+1,1))+SUMIFS(采购进货!$H$4:$H$1503,采购进货!$D$4:$D$1503,$B23,采购进货!$B$4:$B$1503,"&gt;="&amp;DATE(年度,12,1),采购进货!$B$4:$B$1503,"&lt;"&amp;DATE(年度,12+1,1)))</f>
        <v>0</v>
      </c>
      <c r="EK23" s="186">
        <f>IF($B23="",0,SUMIFS(采购进货!$G$4:$G$1503,采购进货!$D$4:$D$1503,$B23,采购进货!$B$4:$B$1503,"&gt;="&amp;DATE(年度,12,1),采购进货!$B$4:$B$1503,"&lt;"&amp;DATE(年度,12+1,1)))</f>
        <v>0</v>
      </c>
      <c r="EL23" s="234">
        <f>EG23+EJ23</f>
        <v>-92</v>
      </c>
      <c r="EM23" s="235">
        <f>EH23+EK23</f>
        <v>-5201.496</v>
      </c>
      <c r="EN23" s="222">
        <f>IF(AND(EL23&gt;0,EM23&gt;0),EM23/EL23,N($E23))</f>
        <v>59.616</v>
      </c>
      <c r="EO23" s="220">
        <f>IF($B23="",0,SUMIFS(出库明细!$E$4:$E$3003,出库明细!$D$4:$D$3003,$B23,出库明细!$B$4:$B$3003,"&gt;="&amp;DATE(年度,12,1),出库明细!$B$4:$B$3003,"&lt;"&amp;DATE(年度,12+1,1)))</f>
        <v>0</v>
      </c>
      <c r="EP23" s="186">
        <f>EO23*EN23</f>
        <v>0</v>
      </c>
      <c r="EQ23" s="220">
        <f>_辅助!BX21</f>
        <v>0</v>
      </c>
      <c r="ER23" s="186">
        <f>_辅助!AN21</f>
        <v>0</v>
      </c>
      <c r="ES23" s="221">
        <f>EL23-EO23-EQ23</f>
        <v>-92</v>
      </c>
      <c r="ET23" s="187">
        <f>EM23-EP23-ER23</f>
        <v>-5201.496</v>
      </c>
      <c r="EU23" s="236">
        <f>IF(AND(EL23&gt;0,EM23&gt;0),0,EP23)</f>
        <v>0</v>
      </c>
    </row>
    <row r="24">
      <c r="A24" s="194">
        <f>IF(B24="","",ROW()-7)</f>
        <v>17</v>
      </c>
      <c r="B24" s="141" t="str">
        <f>IF(基础资料!E21="","",基础资料!E21&amp;"")</f>
        <v>九制陈皮</v>
      </c>
      <c r="C24" s="230">
        <f>IF(基础资料!G21="","",基础资料!G21&amp;"")</f>
      </c>
      <c r="D24" s="194">
        <f>IF(基础资料!I21="","",基础资料!I21)</f>
      </c>
      <c r="E24" s="231">
        <f>IF(基础资料!J21="","",基础资料!J21)</f>
      </c>
      <c r="F24" s="232">
        <f>N(基础资料!L21)</f>
        <v>0</v>
      </c>
      <c r="G24" s="233">
        <f>IF(基础资料!N21="",0,基础资料!N21)</f>
        <v>0</v>
      </c>
      <c r="H24" s="220">
        <f>IF($B24="",0,SUMIFS(采购进货!$E$4:$E$1503,采购进货!$D$4:$D$1503,$B24,采购进货!$B$4:$B$1503,"&gt;="&amp;DATE(年度,1,1),采购进货!$B$4:$B$1503,"&lt;"&amp;DATE(年度,1+1,1))+SUMIFS(采购进货!$H$4:$H$1503,采购进货!$D$4:$D$1503,$B24,采购进货!$B$4:$B$1503,"&gt;="&amp;DATE(年度,1,1),采购进货!$B$4:$B$1503,"&lt;"&amp;DATE(年度,1+1,1)))</f>
        <v>0</v>
      </c>
      <c r="I24" s="186">
        <f>IF($B24="",0,SUMIFS(采购进货!$G$4:$G$1503,采购进货!$D$4:$D$1503,$B24,采购进货!$B$4:$B$1503,"&gt;="&amp;DATE(年度,1,1),采购进货!$B$4:$B$1503,"&lt;"&amp;DATE(年度,1+1,1)))</f>
        <v>0</v>
      </c>
      <c r="J24" s="234">
        <f>F24+H24</f>
        <v>0</v>
      </c>
      <c r="K24" s="235">
        <f>G24+I24</f>
        <v>0</v>
      </c>
      <c r="L24" s="222">
        <f>IF(AND(J24&gt;0,K24&gt;0),K24/J24,N($E24))</f>
        <v>0</v>
      </c>
      <c r="M24" s="220">
        <f>IF($B24="",0,SUMIFS(出库明细!$E$4:$E$3003,出库明细!$D$4:$D$3003,$B24,出库明细!$B$4:$B$3003,"&gt;="&amp;DATE(年度,1,1),出库明细!$B$4:$B$3003,"&lt;"&amp;DATE(年度,1+1,1)))</f>
        <v>0</v>
      </c>
      <c r="N24" s="186">
        <f>M24*L24</f>
        <v>0</v>
      </c>
      <c r="O24" s="220">
        <f>_辅助!BM22</f>
        <v>0</v>
      </c>
      <c r="P24" s="186">
        <f>_辅助!AC22</f>
        <v>0</v>
      </c>
      <c r="Q24" s="221">
        <f>J24-M24-O24</f>
        <v>0</v>
      </c>
      <c r="R24" s="187">
        <f>K24-N24-P24</f>
        <v>0</v>
      </c>
      <c r="S24" s="236">
        <f>IF(AND(J24&gt;0,K24&gt;0),0,N24)</f>
        <v>0</v>
      </c>
      <c r="T24" s="220">
        <f>IF($B24="",0,SUMIFS(采购进货!$E$4:$E$1503,采购进货!$D$4:$D$1503,$B24,采购进货!$B$4:$B$1503,"&gt;="&amp;DATE(年度,2,1),采购进货!$B$4:$B$1503,"&lt;"&amp;DATE(年度,2+1,1))+SUMIFS(采购进货!$H$4:$H$1503,采购进货!$D$4:$D$1503,$B24,采购进货!$B$4:$B$1503,"&gt;="&amp;DATE(年度,2,1),采购进货!$B$4:$B$1503,"&lt;"&amp;DATE(年度,2+1,1)))</f>
        <v>0</v>
      </c>
      <c r="U24" s="186">
        <f>IF($B24="",0,SUMIFS(采购进货!$G$4:$G$1503,采购进货!$D$4:$D$1503,$B24,采购进货!$B$4:$B$1503,"&gt;="&amp;DATE(年度,2,1),采购进货!$B$4:$B$1503,"&lt;"&amp;DATE(年度,2+1,1)))</f>
        <v>0</v>
      </c>
      <c r="V24" s="234">
        <f>Q24+T24</f>
        <v>0</v>
      </c>
      <c r="W24" s="235">
        <f>R24+U24</f>
        <v>0</v>
      </c>
      <c r="X24" s="222">
        <f>IF(AND(V24&gt;0,W24&gt;0),W24/V24,N($E24))</f>
        <v>0</v>
      </c>
      <c r="Y24" s="220">
        <f>IF($B24="",0,SUMIFS(出库明细!$E$4:$E$3003,出库明细!$D$4:$D$3003,$B24,出库明细!$B$4:$B$3003,"&gt;="&amp;DATE(年度,2,1),出库明细!$B$4:$B$3003,"&lt;"&amp;DATE(年度,2+1,1)))</f>
        <v>0</v>
      </c>
      <c r="Z24" s="186">
        <f>Y24*X24</f>
        <v>0</v>
      </c>
      <c r="AA24" s="220">
        <f>_辅助!BN22</f>
        <v>0</v>
      </c>
      <c r="AB24" s="186">
        <f>_辅助!AD22</f>
        <v>0</v>
      </c>
      <c r="AC24" s="221">
        <f>V24-Y24-AA24</f>
        <v>0</v>
      </c>
      <c r="AD24" s="187">
        <f>W24-Z24-AB24</f>
        <v>0</v>
      </c>
      <c r="AE24" s="236">
        <f>IF(AND(V24&gt;0,W24&gt;0),0,Z24)</f>
        <v>0</v>
      </c>
      <c r="AF24" s="220">
        <f>IF($B24="",0,SUMIFS(采购进货!$E$4:$E$1503,采购进货!$D$4:$D$1503,$B24,采购进货!$B$4:$B$1503,"&gt;="&amp;DATE(年度,3,1),采购进货!$B$4:$B$1503,"&lt;"&amp;DATE(年度,3+1,1))+SUMIFS(采购进货!$H$4:$H$1503,采购进货!$D$4:$D$1503,$B24,采购进货!$B$4:$B$1503,"&gt;="&amp;DATE(年度,3,1),采购进货!$B$4:$B$1503,"&lt;"&amp;DATE(年度,3+1,1)))</f>
        <v>0</v>
      </c>
      <c r="AG24" s="186">
        <f>IF($B24="",0,SUMIFS(采购进货!$G$4:$G$1503,采购进货!$D$4:$D$1503,$B24,采购进货!$B$4:$B$1503,"&gt;="&amp;DATE(年度,3,1),采购进货!$B$4:$B$1503,"&lt;"&amp;DATE(年度,3+1,1)))</f>
        <v>0</v>
      </c>
      <c r="AH24" s="234">
        <f>AC24+AF24</f>
        <v>0</v>
      </c>
      <c r="AI24" s="235">
        <f>AD24+AG24</f>
        <v>0</v>
      </c>
      <c r="AJ24" s="222">
        <f>IF(AND(AH24&gt;0,AI24&gt;0),AI24/AH24,N($E24))</f>
        <v>0</v>
      </c>
      <c r="AK24" s="220">
        <f>IF($B24="",0,SUMIFS(出库明细!$E$4:$E$3003,出库明细!$D$4:$D$3003,$B24,出库明细!$B$4:$B$3003,"&gt;="&amp;DATE(年度,3,1),出库明细!$B$4:$B$3003,"&lt;"&amp;DATE(年度,3+1,1)))</f>
        <v>0</v>
      </c>
      <c r="AL24" s="186">
        <f>AK24*AJ24</f>
        <v>0</v>
      </c>
      <c r="AM24" s="220">
        <f>_辅助!BO22</f>
        <v>0</v>
      </c>
      <c r="AN24" s="186">
        <f>_辅助!AE22</f>
        <v>0</v>
      </c>
      <c r="AO24" s="221">
        <f>AH24-AK24-AM24</f>
        <v>0</v>
      </c>
      <c r="AP24" s="187">
        <f>AI24-AL24-AN24</f>
        <v>0</v>
      </c>
      <c r="AQ24" s="236">
        <f>IF(AND(AH24&gt;0,AI24&gt;0),0,AL24)</f>
        <v>0</v>
      </c>
      <c r="AR24" s="220">
        <f>IF($B24="",0,SUMIFS(采购进货!$E$4:$E$1503,采购进货!$D$4:$D$1503,$B24,采购进货!$B$4:$B$1503,"&gt;="&amp;DATE(年度,4,1),采购进货!$B$4:$B$1503,"&lt;"&amp;DATE(年度,4+1,1))+SUMIFS(采购进货!$H$4:$H$1503,采购进货!$D$4:$D$1503,$B24,采购进货!$B$4:$B$1503,"&gt;="&amp;DATE(年度,4,1),采购进货!$B$4:$B$1503,"&lt;"&amp;DATE(年度,4+1,1)))</f>
        <v>0</v>
      </c>
      <c r="AS24" s="186">
        <f>IF($B24="",0,SUMIFS(采购进货!$G$4:$G$1503,采购进货!$D$4:$D$1503,$B24,采购进货!$B$4:$B$1503,"&gt;="&amp;DATE(年度,4,1),采购进货!$B$4:$B$1503,"&lt;"&amp;DATE(年度,4+1,1)))</f>
        <v>0</v>
      </c>
      <c r="AT24" s="234">
        <f>AO24+AR24</f>
        <v>0</v>
      </c>
      <c r="AU24" s="235">
        <f>AP24+AS24</f>
        <v>0</v>
      </c>
      <c r="AV24" s="222">
        <f>IF(AND(AT24&gt;0,AU24&gt;0),AU24/AT24,N($E24))</f>
        <v>0</v>
      </c>
      <c r="AW24" s="220">
        <f>IF($B24="",0,SUMIFS(出库明细!$E$4:$E$3003,出库明细!$D$4:$D$3003,$B24,出库明细!$B$4:$B$3003,"&gt;="&amp;DATE(年度,4,1),出库明细!$B$4:$B$3003,"&lt;"&amp;DATE(年度,4+1,1)))</f>
        <v>0</v>
      </c>
      <c r="AX24" s="186">
        <f>AW24*AV24</f>
        <v>0</v>
      </c>
      <c r="AY24" s="220">
        <f>_辅助!BP22</f>
        <v>0</v>
      </c>
      <c r="AZ24" s="186">
        <f>_辅助!AF22</f>
        <v>0</v>
      </c>
      <c r="BA24" s="221">
        <f>AT24-AW24-AY24</f>
        <v>0</v>
      </c>
      <c r="BB24" s="187">
        <f>AU24-AX24-AZ24</f>
        <v>0</v>
      </c>
      <c r="BC24" s="236">
        <f>IF(AND(AT24&gt;0,AU24&gt;0),0,AX24)</f>
        <v>0</v>
      </c>
      <c r="BD24" s="220">
        <f>IF($B24="",0,SUMIFS(采购进货!$E$4:$E$1503,采购进货!$D$4:$D$1503,$B24,采购进货!$B$4:$B$1503,"&gt;="&amp;DATE(年度,5,1),采购进货!$B$4:$B$1503,"&lt;"&amp;DATE(年度,5+1,1))+SUMIFS(采购进货!$H$4:$H$1503,采购进货!$D$4:$D$1503,$B24,采购进货!$B$4:$B$1503,"&gt;="&amp;DATE(年度,5,1),采购进货!$B$4:$B$1503,"&lt;"&amp;DATE(年度,5+1,1)))</f>
        <v>0</v>
      </c>
      <c r="BE24" s="186">
        <f>IF($B24="",0,SUMIFS(采购进货!$G$4:$G$1503,采购进货!$D$4:$D$1503,$B24,采购进货!$B$4:$B$1503,"&gt;="&amp;DATE(年度,5,1),采购进货!$B$4:$B$1503,"&lt;"&amp;DATE(年度,5+1,1)))</f>
        <v>0</v>
      </c>
      <c r="BF24" s="234">
        <f>BA24+BD24</f>
        <v>0</v>
      </c>
      <c r="BG24" s="235">
        <f>BB24+BE24</f>
        <v>0</v>
      </c>
      <c r="BH24" s="222">
        <f>IF(AND(BF24&gt;0,BG24&gt;0),BG24/BF24,N($E24))</f>
        <v>0</v>
      </c>
      <c r="BI24" s="220">
        <f>IF($B24="",0,SUMIFS(出库明细!$E$4:$E$3003,出库明细!$D$4:$D$3003,$B24,出库明细!$B$4:$B$3003,"&gt;="&amp;DATE(年度,5,1),出库明细!$B$4:$B$3003,"&lt;"&amp;DATE(年度,5+1,1)))</f>
        <v>0</v>
      </c>
      <c r="BJ24" s="186">
        <f>BI24*BH24</f>
        <v>0</v>
      </c>
      <c r="BK24" s="220">
        <f>_辅助!BQ22</f>
        <v>0</v>
      </c>
      <c r="BL24" s="186">
        <f>_辅助!AG22</f>
        <v>0</v>
      </c>
      <c r="BM24" s="221">
        <f>BF24-BI24-BK24</f>
        <v>0</v>
      </c>
      <c r="BN24" s="187">
        <f>BG24-BJ24-BL24</f>
        <v>0</v>
      </c>
      <c r="BO24" s="236">
        <f>IF(AND(BF24&gt;0,BG24&gt;0),0,BJ24)</f>
        <v>0</v>
      </c>
      <c r="BP24" s="220">
        <f>IF($B24="",0,SUMIFS(采购进货!$E$4:$E$1503,采购进货!$D$4:$D$1503,$B24,采购进货!$B$4:$B$1503,"&gt;="&amp;DATE(年度,6,1),采购进货!$B$4:$B$1503,"&lt;"&amp;DATE(年度,6+1,1))+SUMIFS(采购进货!$H$4:$H$1503,采购进货!$D$4:$D$1503,$B24,采购进货!$B$4:$B$1503,"&gt;="&amp;DATE(年度,6,1),采购进货!$B$4:$B$1503,"&lt;"&amp;DATE(年度,6+1,1)))</f>
        <v>0</v>
      </c>
      <c r="BQ24" s="186">
        <f>IF($B24="",0,SUMIFS(采购进货!$G$4:$G$1503,采购进货!$D$4:$D$1503,$B24,采购进货!$B$4:$B$1503,"&gt;="&amp;DATE(年度,6,1),采购进货!$B$4:$B$1503,"&lt;"&amp;DATE(年度,6+1,1)))</f>
        <v>0</v>
      </c>
      <c r="BR24" s="234">
        <f>BM24+BP24</f>
        <v>0</v>
      </c>
      <c r="BS24" s="235">
        <f>BN24+BQ24</f>
        <v>0</v>
      </c>
      <c r="BT24" s="222">
        <f>IF(AND(BR24&gt;0,BS24&gt;0),BS24/BR24,N($E24))</f>
        <v>0</v>
      </c>
      <c r="BU24" s="220">
        <f>IF($B24="",0,SUMIFS(出库明细!$E$4:$E$3003,出库明细!$D$4:$D$3003,$B24,出库明细!$B$4:$B$3003,"&gt;="&amp;DATE(年度,6,1),出库明细!$B$4:$B$3003,"&lt;"&amp;DATE(年度,6+1,1)))</f>
        <v>0</v>
      </c>
      <c r="BV24" s="186">
        <f>BU24*BT24</f>
        <v>0</v>
      </c>
      <c r="BW24" s="220">
        <f>_辅助!BR22</f>
        <v>0</v>
      </c>
      <c r="BX24" s="186">
        <f>_辅助!AH22</f>
        <v>0</v>
      </c>
      <c r="BY24" s="221">
        <f>BR24-BU24-BW24</f>
        <v>0</v>
      </c>
      <c r="BZ24" s="187">
        <f>BS24-BV24-BX24</f>
        <v>0</v>
      </c>
      <c r="CA24" s="236">
        <f>IF(AND(BR24&gt;0,BS24&gt;0),0,BV24)</f>
        <v>0</v>
      </c>
      <c r="CB24" s="220">
        <f>IF($B24="",0,SUMIFS(采购进货!$E$4:$E$1503,采购进货!$D$4:$D$1503,$B24,采购进货!$B$4:$B$1503,"&gt;="&amp;DATE(年度,7,1),采购进货!$B$4:$B$1503,"&lt;"&amp;DATE(年度,7+1,1))+SUMIFS(采购进货!$H$4:$H$1503,采购进货!$D$4:$D$1503,$B24,采购进货!$B$4:$B$1503,"&gt;="&amp;DATE(年度,7,1),采购进货!$B$4:$B$1503,"&lt;"&amp;DATE(年度,7+1,1)))</f>
        <v>0</v>
      </c>
      <c r="CC24" s="186">
        <f>IF($B24="",0,SUMIFS(采购进货!$G$4:$G$1503,采购进货!$D$4:$D$1503,$B24,采购进货!$B$4:$B$1503,"&gt;="&amp;DATE(年度,7,1),采购进货!$B$4:$B$1503,"&lt;"&amp;DATE(年度,7+1,1)))</f>
        <v>0</v>
      </c>
      <c r="CD24" s="234">
        <f>BY24+CB24</f>
        <v>0</v>
      </c>
      <c r="CE24" s="235">
        <f>BZ24+CC24</f>
        <v>0</v>
      </c>
      <c r="CF24" s="222">
        <f>IF(AND(CD24&gt;0,CE24&gt;0),CE24/CD24,N($E24))</f>
        <v>0</v>
      </c>
      <c r="CG24" s="220">
        <f>IF($B24="",0,SUMIFS(出库明细!$E$4:$E$3003,出库明细!$D$4:$D$3003,$B24,出库明细!$B$4:$B$3003,"&gt;="&amp;DATE(年度,7,1),出库明细!$B$4:$B$3003,"&lt;"&amp;DATE(年度,7+1,1)))</f>
        <v>3</v>
      </c>
      <c r="CH24" s="186">
        <f>CG24*CF24</f>
        <v>0</v>
      </c>
      <c r="CI24" s="220">
        <f>_辅助!BS22</f>
        <v>0</v>
      </c>
      <c r="CJ24" s="186">
        <f>_辅助!AI22</f>
        <v>0</v>
      </c>
      <c r="CK24" s="221">
        <f>CD24-CG24-CI24</f>
        <v>-3</v>
      </c>
      <c r="CL24" s="187">
        <f>CE24-CH24-CJ24</f>
        <v>0</v>
      </c>
      <c r="CM24" s="236">
        <f>IF(AND(CD24&gt;0,CE24&gt;0),0,CH24)</f>
        <v>0</v>
      </c>
      <c r="CN24" s="220">
        <f>IF($B24="",0,SUMIFS(采购进货!$E$4:$E$1503,采购进货!$D$4:$D$1503,$B24,采购进货!$B$4:$B$1503,"&gt;="&amp;DATE(年度,8,1),采购进货!$B$4:$B$1503,"&lt;"&amp;DATE(年度,8+1,1))+SUMIFS(采购进货!$H$4:$H$1503,采购进货!$D$4:$D$1503,$B24,采购进货!$B$4:$B$1503,"&gt;="&amp;DATE(年度,8,1),采购进货!$B$4:$B$1503,"&lt;"&amp;DATE(年度,8+1,1)))</f>
        <v>0</v>
      </c>
      <c r="CO24" s="186">
        <f>IF($B24="",0,SUMIFS(采购进货!$G$4:$G$1503,采购进货!$D$4:$D$1503,$B24,采购进货!$B$4:$B$1503,"&gt;="&amp;DATE(年度,8,1),采购进货!$B$4:$B$1503,"&lt;"&amp;DATE(年度,8+1,1)))</f>
        <v>0</v>
      </c>
      <c r="CP24" s="234">
        <f>CK24+CN24</f>
        <v>-3</v>
      </c>
      <c r="CQ24" s="235">
        <f>CL24+CO24</f>
        <v>0</v>
      </c>
      <c r="CR24" s="222">
        <f>IF(AND(CP24&gt;0,CQ24&gt;0),CQ24/CP24,N($E24))</f>
        <v>0</v>
      </c>
      <c r="CS24" s="220">
        <f>IF($B24="",0,SUMIFS(出库明细!$E$4:$E$3003,出库明细!$D$4:$D$3003,$B24,出库明细!$B$4:$B$3003,"&gt;="&amp;DATE(年度,8,1),出库明细!$B$4:$B$3003,"&lt;"&amp;DATE(年度,8+1,1)))</f>
        <v>32</v>
      </c>
      <c r="CT24" s="186">
        <f>CS24*CR24</f>
        <v>0</v>
      </c>
      <c r="CU24" s="220">
        <f>_辅助!BT22</f>
        <v>0</v>
      </c>
      <c r="CV24" s="186">
        <f>_辅助!AJ22</f>
        <v>0</v>
      </c>
      <c r="CW24" s="221">
        <f>CP24-CS24-CU24</f>
        <v>-35</v>
      </c>
      <c r="CX24" s="187">
        <f>CQ24-CT24-CV24</f>
        <v>0</v>
      </c>
      <c r="CY24" s="236">
        <f>IF(AND(CP24&gt;0,CQ24&gt;0),0,CT24)</f>
        <v>0</v>
      </c>
      <c r="CZ24" s="220">
        <f>IF($B24="",0,SUMIFS(采购进货!$E$4:$E$1503,采购进货!$D$4:$D$1503,$B24,采购进货!$B$4:$B$1503,"&gt;="&amp;DATE(年度,9,1),采购进货!$B$4:$B$1503,"&lt;"&amp;DATE(年度,9+1,1))+SUMIFS(采购进货!$H$4:$H$1503,采购进货!$D$4:$D$1503,$B24,采购进货!$B$4:$B$1503,"&gt;="&amp;DATE(年度,9,1),采购进货!$B$4:$B$1503,"&lt;"&amp;DATE(年度,9+1,1)))</f>
        <v>0</v>
      </c>
      <c r="DA24" s="186">
        <f>IF($B24="",0,SUMIFS(采购进货!$G$4:$G$1503,采购进货!$D$4:$D$1503,$B24,采购进货!$B$4:$B$1503,"&gt;="&amp;DATE(年度,9,1),采购进货!$B$4:$B$1503,"&lt;"&amp;DATE(年度,9+1,1)))</f>
        <v>0</v>
      </c>
      <c r="DB24" s="234">
        <f>CW24+CZ24</f>
        <v>-35</v>
      </c>
      <c r="DC24" s="235">
        <f>CX24+DA24</f>
        <v>0</v>
      </c>
      <c r="DD24" s="222">
        <f>IF(AND(DB24&gt;0,DC24&gt;0),DC24/DB24,N($E24))</f>
        <v>0</v>
      </c>
      <c r="DE24" s="220">
        <f>IF($B24="",0,SUMIFS(出库明细!$E$4:$E$3003,出库明细!$D$4:$D$3003,$B24,出库明细!$B$4:$B$3003,"&gt;="&amp;DATE(年度,9,1),出库明细!$B$4:$B$3003,"&lt;"&amp;DATE(年度,9+1,1)))</f>
        <v>0</v>
      </c>
      <c r="DF24" s="186">
        <f>DE24*DD24</f>
        <v>0</v>
      </c>
      <c r="DG24" s="220">
        <f>_辅助!BU22</f>
        <v>0</v>
      </c>
      <c r="DH24" s="186">
        <f>_辅助!AK22</f>
        <v>0</v>
      </c>
      <c r="DI24" s="221">
        <f>DB24-DE24-DG24</f>
        <v>-35</v>
      </c>
      <c r="DJ24" s="187">
        <f>DC24-DF24-DH24</f>
        <v>0</v>
      </c>
      <c r="DK24" s="236">
        <f>IF(AND(DB24&gt;0,DC24&gt;0),0,DF24)</f>
        <v>0</v>
      </c>
      <c r="DL24" s="220">
        <f>IF($B24="",0,SUMIFS(采购进货!$E$4:$E$1503,采购进货!$D$4:$D$1503,$B24,采购进货!$B$4:$B$1503,"&gt;="&amp;DATE(年度,10,1),采购进货!$B$4:$B$1503,"&lt;"&amp;DATE(年度,10+1,1))+SUMIFS(采购进货!$H$4:$H$1503,采购进货!$D$4:$D$1503,$B24,采购进货!$B$4:$B$1503,"&gt;="&amp;DATE(年度,10,1),采购进货!$B$4:$B$1503,"&lt;"&amp;DATE(年度,10+1,1)))</f>
        <v>0</v>
      </c>
      <c r="DM24" s="186">
        <f>IF($B24="",0,SUMIFS(采购进货!$G$4:$G$1503,采购进货!$D$4:$D$1503,$B24,采购进货!$B$4:$B$1503,"&gt;="&amp;DATE(年度,10,1),采购进货!$B$4:$B$1503,"&lt;"&amp;DATE(年度,10+1,1)))</f>
        <v>0</v>
      </c>
      <c r="DN24" s="234">
        <f>DI24+DL24</f>
        <v>-35</v>
      </c>
      <c r="DO24" s="235">
        <f>DJ24+DM24</f>
        <v>0</v>
      </c>
      <c r="DP24" s="222">
        <f>IF(AND(DN24&gt;0,DO24&gt;0),DO24/DN24,N($E24))</f>
        <v>0</v>
      </c>
      <c r="DQ24" s="220">
        <f>IF($B24="",0,SUMIFS(出库明细!$E$4:$E$3003,出库明细!$D$4:$D$3003,$B24,出库明细!$B$4:$B$3003,"&gt;="&amp;DATE(年度,10,1),出库明细!$B$4:$B$3003,"&lt;"&amp;DATE(年度,10+1,1)))</f>
        <v>0</v>
      </c>
      <c r="DR24" s="186">
        <f>DQ24*DP24</f>
        <v>0</v>
      </c>
      <c r="DS24" s="220">
        <f>_辅助!BV22</f>
        <v>0</v>
      </c>
      <c r="DT24" s="186">
        <f>_辅助!AL22</f>
        <v>0</v>
      </c>
      <c r="DU24" s="221">
        <f>DN24-DQ24-DS24</f>
        <v>-35</v>
      </c>
      <c r="DV24" s="187">
        <f>DO24-DR24-DT24</f>
        <v>0</v>
      </c>
      <c r="DW24" s="236">
        <f>IF(AND(DN24&gt;0,DO24&gt;0),0,DR24)</f>
        <v>0</v>
      </c>
      <c r="DX24" s="220">
        <f>IF($B24="",0,SUMIFS(采购进货!$E$4:$E$1503,采购进货!$D$4:$D$1503,$B24,采购进货!$B$4:$B$1503,"&gt;="&amp;DATE(年度,11,1),采购进货!$B$4:$B$1503,"&lt;"&amp;DATE(年度,11+1,1))+SUMIFS(采购进货!$H$4:$H$1503,采购进货!$D$4:$D$1503,$B24,采购进货!$B$4:$B$1503,"&gt;="&amp;DATE(年度,11,1),采购进货!$B$4:$B$1503,"&lt;"&amp;DATE(年度,11+1,1)))</f>
        <v>0</v>
      </c>
      <c r="DY24" s="186">
        <f>IF($B24="",0,SUMIFS(采购进货!$G$4:$G$1503,采购进货!$D$4:$D$1503,$B24,采购进货!$B$4:$B$1503,"&gt;="&amp;DATE(年度,11,1),采购进货!$B$4:$B$1503,"&lt;"&amp;DATE(年度,11+1,1)))</f>
        <v>0</v>
      </c>
      <c r="DZ24" s="234">
        <f>DU24+DX24</f>
        <v>-35</v>
      </c>
      <c r="EA24" s="235">
        <f>DV24+DY24</f>
        <v>0</v>
      </c>
      <c r="EB24" s="222">
        <f>IF(AND(DZ24&gt;0,EA24&gt;0),EA24/DZ24,N($E24))</f>
        <v>0</v>
      </c>
      <c r="EC24" s="220">
        <f>IF($B24="",0,SUMIFS(出库明细!$E$4:$E$3003,出库明细!$D$4:$D$3003,$B24,出库明细!$B$4:$B$3003,"&gt;="&amp;DATE(年度,11,1),出库明细!$B$4:$B$3003,"&lt;"&amp;DATE(年度,11+1,1)))</f>
        <v>0</v>
      </c>
      <c r="ED24" s="186">
        <f>EC24*EB24</f>
        <v>0</v>
      </c>
      <c r="EE24" s="220">
        <f>_辅助!BW22</f>
        <v>0</v>
      </c>
      <c r="EF24" s="186">
        <f>_辅助!AM22</f>
        <v>0</v>
      </c>
      <c r="EG24" s="221">
        <f>DZ24-EC24-EE24</f>
        <v>-35</v>
      </c>
      <c r="EH24" s="187">
        <f>EA24-ED24-EF24</f>
        <v>0</v>
      </c>
      <c r="EI24" s="236">
        <f>IF(AND(DZ24&gt;0,EA24&gt;0),0,ED24)</f>
        <v>0</v>
      </c>
      <c r="EJ24" s="220">
        <f>IF($B24="",0,SUMIFS(采购进货!$E$4:$E$1503,采购进货!$D$4:$D$1503,$B24,采购进货!$B$4:$B$1503,"&gt;="&amp;DATE(年度,12,1),采购进货!$B$4:$B$1503,"&lt;"&amp;DATE(年度,12+1,1))+SUMIFS(采购进货!$H$4:$H$1503,采购进货!$D$4:$D$1503,$B24,采购进货!$B$4:$B$1503,"&gt;="&amp;DATE(年度,12,1),采购进货!$B$4:$B$1503,"&lt;"&amp;DATE(年度,12+1,1)))</f>
        <v>0</v>
      </c>
      <c r="EK24" s="186">
        <f>IF($B24="",0,SUMIFS(采购进货!$G$4:$G$1503,采购进货!$D$4:$D$1503,$B24,采购进货!$B$4:$B$1503,"&gt;="&amp;DATE(年度,12,1),采购进货!$B$4:$B$1503,"&lt;"&amp;DATE(年度,12+1,1)))</f>
        <v>0</v>
      </c>
      <c r="EL24" s="234">
        <f>EG24+EJ24</f>
        <v>-35</v>
      </c>
      <c r="EM24" s="235">
        <f>EH24+EK24</f>
        <v>0</v>
      </c>
      <c r="EN24" s="222">
        <f>IF(AND(EL24&gt;0,EM24&gt;0),EM24/EL24,N($E24))</f>
        <v>0</v>
      </c>
      <c r="EO24" s="220">
        <f>IF($B24="",0,SUMIFS(出库明细!$E$4:$E$3003,出库明细!$D$4:$D$3003,$B24,出库明细!$B$4:$B$3003,"&gt;="&amp;DATE(年度,12,1),出库明细!$B$4:$B$3003,"&lt;"&amp;DATE(年度,12+1,1)))</f>
        <v>0</v>
      </c>
      <c r="EP24" s="186">
        <f>EO24*EN24</f>
        <v>0</v>
      </c>
      <c r="EQ24" s="220">
        <f>_辅助!BX22</f>
        <v>0</v>
      </c>
      <c r="ER24" s="186">
        <f>_辅助!AN22</f>
        <v>0</v>
      </c>
      <c r="ES24" s="221">
        <f>EL24-EO24-EQ24</f>
        <v>-35</v>
      </c>
      <c r="ET24" s="187">
        <f>EM24-EP24-ER24</f>
        <v>0</v>
      </c>
      <c r="EU24" s="236">
        <f>IF(AND(EL24&gt;0,EM24&gt;0),0,EP24)</f>
        <v>0</v>
      </c>
    </row>
    <row r="25">
      <c r="A25" s="194">
        <f>IF(B25="","",ROW()-7)</f>
        <v>18</v>
      </c>
      <c r="B25" s="141" t="str">
        <f>IF(基础资料!E22="","",基础资料!E22&amp;"")</f>
        <v>小焙好茶</v>
      </c>
      <c r="C25" s="230">
        <f>IF(基础资料!G22="","",基础资料!G22&amp;"")</f>
      </c>
      <c r="D25" s="194">
        <f>IF(基础资料!I22="","",基础资料!I22)</f>
      </c>
      <c r="E25" s="231">
        <f>IF(基础资料!J22="","",基础资料!J22)</f>
      </c>
      <c r="F25" s="232">
        <f>N(基础资料!L22)</f>
        <v>0</v>
      </c>
      <c r="G25" s="233">
        <f>IF(基础资料!N22="",0,基础资料!N22)</f>
        <v>0</v>
      </c>
      <c r="H25" s="220">
        <f>IF($B25="",0,SUMIFS(采购进货!$E$4:$E$1503,采购进货!$D$4:$D$1503,$B25,采购进货!$B$4:$B$1503,"&gt;="&amp;DATE(年度,1,1),采购进货!$B$4:$B$1503,"&lt;"&amp;DATE(年度,1+1,1))+SUMIFS(采购进货!$H$4:$H$1503,采购进货!$D$4:$D$1503,$B25,采购进货!$B$4:$B$1503,"&gt;="&amp;DATE(年度,1,1),采购进货!$B$4:$B$1503,"&lt;"&amp;DATE(年度,1+1,1)))</f>
        <v>0</v>
      </c>
      <c r="I25" s="186">
        <f>IF($B25="",0,SUMIFS(采购进货!$G$4:$G$1503,采购进货!$D$4:$D$1503,$B25,采购进货!$B$4:$B$1503,"&gt;="&amp;DATE(年度,1,1),采购进货!$B$4:$B$1503,"&lt;"&amp;DATE(年度,1+1,1)))</f>
        <v>0</v>
      </c>
      <c r="J25" s="234">
        <f>F25+H25</f>
        <v>0</v>
      </c>
      <c r="K25" s="235">
        <f>G25+I25</f>
        <v>0</v>
      </c>
      <c r="L25" s="222">
        <f>IF(AND(J25&gt;0,K25&gt;0),K25/J25,N($E25))</f>
        <v>0</v>
      </c>
      <c r="M25" s="220">
        <f>IF($B25="",0,SUMIFS(出库明细!$E$4:$E$3003,出库明细!$D$4:$D$3003,$B25,出库明细!$B$4:$B$3003,"&gt;="&amp;DATE(年度,1,1),出库明细!$B$4:$B$3003,"&lt;"&amp;DATE(年度,1+1,1)))</f>
        <v>0</v>
      </c>
      <c r="N25" s="186">
        <f>M25*L25</f>
        <v>0</v>
      </c>
      <c r="O25" s="220">
        <f>_辅助!BM23</f>
        <v>0</v>
      </c>
      <c r="P25" s="186">
        <f>_辅助!AC23</f>
        <v>0</v>
      </c>
      <c r="Q25" s="221">
        <f>J25-M25-O25</f>
        <v>0</v>
      </c>
      <c r="R25" s="187">
        <f>K25-N25-P25</f>
        <v>0</v>
      </c>
      <c r="S25" s="236">
        <f>IF(AND(J25&gt;0,K25&gt;0),0,N25)</f>
        <v>0</v>
      </c>
      <c r="T25" s="220">
        <f>IF($B25="",0,SUMIFS(采购进货!$E$4:$E$1503,采购进货!$D$4:$D$1503,$B25,采购进货!$B$4:$B$1503,"&gt;="&amp;DATE(年度,2,1),采购进货!$B$4:$B$1503,"&lt;"&amp;DATE(年度,2+1,1))+SUMIFS(采购进货!$H$4:$H$1503,采购进货!$D$4:$D$1503,$B25,采购进货!$B$4:$B$1503,"&gt;="&amp;DATE(年度,2,1),采购进货!$B$4:$B$1503,"&lt;"&amp;DATE(年度,2+1,1)))</f>
        <v>0</v>
      </c>
      <c r="U25" s="186">
        <f>IF($B25="",0,SUMIFS(采购进货!$G$4:$G$1503,采购进货!$D$4:$D$1503,$B25,采购进货!$B$4:$B$1503,"&gt;="&amp;DATE(年度,2,1),采购进货!$B$4:$B$1503,"&lt;"&amp;DATE(年度,2+1,1)))</f>
        <v>0</v>
      </c>
      <c r="V25" s="234">
        <f>Q25+T25</f>
        <v>0</v>
      </c>
      <c r="W25" s="235">
        <f>R25+U25</f>
        <v>0</v>
      </c>
      <c r="X25" s="222">
        <f>IF(AND(V25&gt;0,W25&gt;0),W25/V25,N($E25))</f>
        <v>0</v>
      </c>
      <c r="Y25" s="220">
        <f>IF($B25="",0,SUMIFS(出库明细!$E$4:$E$3003,出库明细!$D$4:$D$3003,$B25,出库明细!$B$4:$B$3003,"&gt;="&amp;DATE(年度,2,1),出库明细!$B$4:$B$3003,"&lt;"&amp;DATE(年度,2+1,1)))</f>
        <v>0</v>
      </c>
      <c r="Z25" s="186">
        <f>Y25*X25</f>
        <v>0</v>
      </c>
      <c r="AA25" s="220">
        <f>_辅助!BN23</f>
        <v>0</v>
      </c>
      <c r="AB25" s="186">
        <f>_辅助!AD23</f>
        <v>0</v>
      </c>
      <c r="AC25" s="221">
        <f>V25-Y25-AA25</f>
        <v>0</v>
      </c>
      <c r="AD25" s="187">
        <f>W25-Z25-AB25</f>
        <v>0</v>
      </c>
      <c r="AE25" s="236">
        <f>IF(AND(V25&gt;0,W25&gt;0),0,Z25)</f>
        <v>0</v>
      </c>
      <c r="AF25" s="220">
        <f>IF($B25="",0,SUMIFS(采购进货!$E$4:$E$1503,采购进货!$D$4:$D$1503,$B25,采购进货!$B$4:$B$1503,"&gt;="&amp;DATE(年度,3,1),采购进货!$B$4:$B$1503,"&lt;"&amp;DATE(年度,3+1,1))+SUMIFS(采购进货!$H$4:$H$1503,采购进货!$D$4:$D$1503,$B25,采购进货!$B$4:$B$1503,"&gt;="&amp;DATE(年度,3,1),采购进货!$B$4:$B$1503,"&lt;"&amp;DATE(年度,3+1,1)))</f>
        <v>0</v>
      </c>
      <c r="AG25" s="186">
        <f>IF($B25="",0,SUMIFS(采购进货!$G$4:$G$1503,采购进货!$D$4:$D$1503,$B25,采购进货!$B$4:$B$1503,"&gt;="&amp;DATE(年度,3,1),采购进货!$B$4:$B$1503,"&lt;"&amp;DATE(年度,3+1,1)))</f>
        <v>0</v>
      </c>
      <c r="AH25" s="234">
        <f>AC25+AF25</f>
        <v>0</v>
      </c>
      <c r="AI25" s="235">
        <f>AD25+AG25</f>
        <v>0</v>
      </c>
      <c r="AJ25" s="222">
        <f>IF(AND(AH25&gt;0,AI25&gt;0),AI25/AH25,N($E25))</f>
        <v>0</v>
      </c>
      <c r="AK25" s="220">
        <f>IF($B25="",0,SUMIFS(出库明细!$E$4:$E$3003,出库明细!$D$4:$D$3003,$B25,出库明细!$B$4:$B$3003,"&gt;="&amp;DATE(年度,3,1),出库明细!$B$4:$B$3003,"&lt;"&amp;DATE(年度,3+1,1)))</f>
        <v>0</v>
      </c>
      <c r="AL25" s="186">
        <f>AK25*AJ25</f>
        <v>0</v>
      </c>
      <c r="AM25" s="220">
        <f>_辅助!BO23</f>
        <v>0</v>
      </c>
      <c r="AN25" s="186">
        <f>_辅助!AE23</f>
        <v>0</v>
      </c>
      <c r="AO25" s="221">
        <f>AH25-AK25-AM25</f>
        <v>0</v>
      </c>
      <c r="AP25" s="187">
        <f>AI25-AL25-AN25</f>
        <v>0</v>
      </c>
      <c r="AQ25" s="236">
        <f>IF(AND(AH25&gt;0,AI25&gt;0),0,AL25)</f>
        <v>0</v>
      </c>
      <c r="AR25" s="220">
        <f>IF($B25="",0,SUMIFS(采购进货!$E$4:$E$1503,采购进货!$D$4:$D$1503,$B25,采购进货!$B$4:$B$1503,"&gt;="&amp;DATE(年度,4,1),采购进货!$B$4:$B$1503,"&lt;"&amp;DATE(年度,4+1,1))+SUMIFS(采购进货!$H$4:$H$1503,采购进货!$D$4:$D$1503,$B25,采购进货!$B$4:$B$1503,"&gt;="&amp;DATE(年度,4,1),采购进货!$B$4:$B$1503,"&lt;"&amp;DATE(年度,4+1,1)))</f>
        <v>0</v>
      </c>
      <c r="AS25" s="186">
        <f>IF($B25="",0,SUMIFS(采购进货!$G$4:$G$1503,采购进货!$D$4:$D$1503,$B25,采购进货!$B$4:$B$1503,"&gt;="&amp;DATE(年度,4,1),采购进货!$B$4:$B$1503,"&lt;"&amp;DATE(年度,4+1,1)))</f>
        <v>0</v>
      </c>
      <c r="AT25" s="234">
        <f>AO25+AR25</f>
        <v>0</v>
      </c>
      <c r="AU25" s="235">
        <f>AP25+AS25</f>
        <v>0</v>
      </c>
      <c r="AV25" s="222">
        <f>IF(AND(AT25&gt;0,AU25&gt;0),AU25/AT25,N($E25))</f>
        <v>0</v>
      </c>
      <c r="AW25" s="220">
        <f>IF($B25="",0,SUMIFS(出库明细!$E$4:$E$3003,出库明细!$D$4:$D$3003,$B25,出库明细!$B$4:$B$3003,"&gt;="&amp;DATE(年度,4,1),出库明细!$B$4:$B$3003,"&lt;"&amp;DATE(年度,4+1,1)))</f>
        <v>0</v>
      </c>
      <c r="AX25" s="186">
        <f>AW25*AV25</f>
        <v>0</v>
      </c>
      <c r="AY25" s="220">
        <f>_辅助!BP23</f>
        <v>0</v>
      </c>
      <c r="AZ25" s="186">
        <f>_辅助!AF23</f>
        <v>0</v>
      </c>
      <c r="BA25" s="221">
        <f>AT25-AW25-AY25</f>
        <v>0</v>
      </c>
      <c r="BB25" s="187">
        <f>AU25-AX25-AZ25</f>
        <v>0</v>
      </c>
      <c r="BC25" s="236">
        <f>IF(AND(AT25&gt;0,AU25&gt;0),0,AX25)</f>
        <v>0</v>
      </c>
      <c r="BD25" s="220">
        <f>IF($B25="",0,SUMIFS(采购进货!$E$4:$E$1503,采购进货!$D$4:$D$1503,$B25,采购进货!$B$4:$B$1503,"&gt;="&amp;DATE(年度,5,1),采购进货!$B$4:$B$1503,"&lt;"&amp;DATE(年度,5+1,1))+SUMIFS(采购进货!$H$4:$H$1503,采购进货!$D$4:$D$1503,$B25,采购进货!$B$4:$B$1503,"&gt;="&amp;DATE(年度,5,1),采购进货!$B$4:$B$1503,"&lt;"&amp;DATE(年度,5+1,1)))</f>
        <v>0</v>
      </c>
      <c r="BE25" s="186">
        <f>IF($B25="",0,SUMIFS(采购进货!$G$4:$G$1503,采购进货!$D$4:$D$1503,$B25,采购进货!$B$4:$B$1503,"&gt;="&amp;DATE(年度,5,1),采购进货!$B$4:$B$1503,"&lt;"&amp;DATE(年度,5+1,1)))</f>
        <v>0</v>
      </c>
      <c r="BF25" s="234">
        <f>BA25+BD25</f>
        <v>0</v>
      </c>
      <c r="BG25" s="235">
        <f>BB25+BE25</f>
        <v>0</v>
      </c>
      <c r="BH25" s="222">
        <f>IF(AND(BF25&gt;0,BG25&gt;0),BG25/BF25,N($E25))</f>
        <v>0</v>
      </c>
      <c r="BI25" s="220">
        <f>IF($B25="",0,SUMIFS(出库明细!$E$4:$E$3003,出库明细!$D$4:$D$3003,$B25,出库明细!$B$4:$B$3003,"&gt;="&amp;DATE(年度,5,1),出库明细!$B$4:$B$3003,"&lt;"&amp;DATE(年度,5+1,1)))</f>
        <v>0</v>
      </c>
      <c r="BJ25" s="186">
        <f>BI25*BH25</f>
        <v>0</v>
      </c>
      <c r="BK25" s="220">
        <f>_辅助!BQ23</f>
        <v>0</v>
      </c>
      <c r="BL25" s="186">
        <f>_辅助!AG23</f>
        <v>0</v>
      </c>
      <c r="BM25" s="221">
        <f>BF25-BI25-BK25</f>
        <v>0</v>
      </c>
      <c r="BN25" s="187">
        <f>BG25-BJ25-BL25</f>
        <v>0</v>
      </c>
      <c r="BO25" s="236">
        <f>IF(AND(BF25&gt;0,BG25&gt;0),0,BJ25)</f>
        <v>0</v>
      </c>
      <c r="BP25" s="220">
        <f>IF($B25="",0,SUMIFS(采购进货!$E$4:$E$1503,采购进货!$D$4:$D$1503,$B25,采购进货!$B$4:$B$1503,"&gt;="&amp;DATE(年度,6,1),采购进货!$B$4:$B$1503,"&lt;"&amp;DATE(年度,6+1,1))+SUMIFS(采购进货!$H$4:$H$1503,采购进货!$D$4:$D$1503,$B25,采购进货!$B$4:$B$1503,"&gt;="&amp;DATE(年度,6,1),采购进货!$B$4:$B$1503,"&lt;"&amp;DATE(年度,6+1,1)))</f>
        <v>0</v>
      </c>
      <c r="BQ25" s="186">
        <f>IF($B25="",0,SUMIFS(采购进货!$G$4:$G$1503,采购进货!$D$4:$D$1503,$B25,采购进货!$B$4:$B$1503,"&gt;="&amp;DATE(年度,6,1),采购进货!$B$4:$B$1503,"&lt;"&amp;DATE(年度,6+1,1)))</f>
        <v>0</v>
      </c>
      <c r="BR25" s="234">
        <f>BM25+BP25</f>
        <v>0</v>
      </c>
      <c r="BS25" s="235">
        <f>BN25+BQ25</f>
        <v>0</v>
      </c>
      <c r="BT25" s="222">
        <f>IF(AND(BR25&gt;0,BS25&gt;0),BS25/BR25,N($E25))</f>
        <v>0</v>
      </c>
      <c r="BU25" s="220">
        <f>IF($B25="",0,SUMIFS(出库明细!$E$4:$E$3003,出库明细!$D$4:$D$3003,$B25,出库明细!$B$4:$B$3003,"&gt;="&amp;DATE(年度,6,1),出库明细!$B$4:$B$3003,"&lt;"&amp;DATE(年度,6+1,1)))</f>
        <v>50</v>
      </c>
      <c r="BV25" s="186">
        <f>BU25*BT25</f>
        <v>0</v>
      </c>
      <c r="BW25" s="220">
        <f>_辅助!BR23</f>
        <v>0</v>
      </c>
      <c r="BX25" s="186">
        <f>_辅助!AH23</f>
        <v>0</v>
      </c>
      <c r="BY25" s="221">
        <f>BR25-BU25-BW25</f>
        <v>-50</v>
      </c>
      <c r="BZ25" s="187">
        <f>BS25-BV25-BX25</f>
        <v>0</v>
      </c>
      <c r="CA25" s="236">
        <f>IF(AND(BR25&gt;0,BS25&gt;0),0,BV25)</f>
        <v>0</v>
      </c>
      <c r="CB25" s="220">
        <f>IF($B25="",0,SUMIFS(采购进货!$E$4:$E$1503,采购进货!$D$4:$D$1503,$B25,采购进货!$B$4:$B$1503,"&gt;="&amp;DATE(年度,7,1),采购进货!$B$4:$B$1503,"&lt;"&amp;DATE(年度,7+1,1))+SUMIFS(采购进货!$H$4:$H$1503,采购进货!$D$4:$D$1503,$B25,采购进货!$B$4:$B$1503,"&gt;="&amp;DATE(年度,7,1),采购进货!$B$4:$B$1503,"&lt;"&amp;DATE(年度,7+1,1)))</f>
        <v>0</v>
      </c>
      <c r="CC25" s="186">
        <f>IF($B25="",0,SUMIFS(采购进货!$G$4:$G$1503,采购进货!$D$4:$D$1503,$B25,采购进货!$B$4:$B$1503,"&gt;="&amp;DATE(年度,7,1),采购进货!$B$4:$B$1503,"&lt;"&amp;DATE(年度,7+1,1)))</f>
        <v>0</v>
      </c>
      <c r="CD25" s="234">
        <f>BY25+CB25</f>
        <v>-50</v>
      </c>
      <c r="CE25" s="235">
        <f>BZ25+CC25</f>
        <v>0</v>
      </c>
      <c r="CF25" s="222">
        <f>IF(AND(CD25&gt;0,CE25&gt;0),CE25/CD25,N($E25))</f>
        <v>0</v>
      </c>
      <c r="CG25" s="220">
        <f>IF($B25="",0,SUMIFS(出库明细!$E$4:$E$3003,出库明细!$D$4:$D$3003,$B25,出库明细!$B$4:$B$3003,"&gt;="&amp;DATE(年度,7,1),出库明细!$B$4:$B$3003,"&lt;"&amp;DATE(年度,7+1,1)))</f>
        <v>22</v>
      </c>
      <c r="CH25" s="186">
        <f>CG25*CF25</f>
        <v>0</v>
      </c>
      <c r="CI25" s="220">
        <f>_辅助!BS23</f>
        <v>0</v>
      </c>
      <c r="CJ25" s="186">
        <f>_辅助!AI23</f>
        <v>0</v>
      </c>
      <c r="CK25" s="221">
        <f>CD25-CG25-CI25</f>
        <v>-72</v>
      </c>
      <c r="CL25" s="187">
        <f>CE25-CH25-CJ25</f>
        <v>0</v>
      </c>
      <c r="CM25" s="236">
        <f>IF(AND(CD25&gt;0,CE25&gt;0),0,CH25)</f>
        <v>0</v>
      </c>
      <c r="CN25" s="220">
        <f>IF($B25="",0,SUMIFS(采购进货!$E$4:$E$1503,采购进货!$D$4:$D$1503,$B25,采购进货!$B$4:$B$1503,"&gt;="&amp;DATE(年度,8,1),采购进货!$B$4:$B$1503,"&lt;"&amp;DATE(年度,8+1,1))+SUMIFS(采购进货!$H$4:$H$1503,采购进货!$D$4:$D$1503,$B25,采购进货!$B$4:$B$1503,"&gt;="&amp;DATE(年度,8,1),采购进货!$B$4:$B$1503,"&lt;"&amp;DATE(年度,8+1,1)))</f>
        <v>0</v>
      </c>
      <c r="CO25" s="186">
        <f>IF($B25="",0,SUMIFS(采购进货!$G$4:$G$1503,采购进货!$D$4:$D$1503,$B25,采购进货!$B$4:$B$1503,"&gt;="&amp;DATE(年度,8,1),采购进货!$B$4:$B$1503,"&lt;"&amp;DATE(年度,8+1,1)))</f>
        <v>0</v>
      </c>
      <c r="CP25" s="234">
        <f>CK25+CN25</f>
        <v>-72</v>
      </c>
      <c r="CQ25" s="235">
        <f>CL25+CO25</f>
        <v>0</v>
      </c>
      <c r="CR25" s="222">
        <f>IF(AND(CP25&gt;0,CQ25&gt;0),CQ25/CP25,N($E25))</f>
        <v>0</v>
      </c>
      <c r="CS25" s="220">
        <f>IF($B25="",0,SUMIFS(出库明细!$E$4:$E$3003,出库明细!$D$4:$D$3003,$B25,出库明细!$B$4:$B$3003,"&gt;="&amp;DATE(年度,8,1),出库明细!$B$4:$B$3003,"&lt;"&amp;DATE(年度,8+1,1)))</f>
        <v>0</v>
      </c>
      <c r="CT25" s="186">
        <f>CS25*CR25</f>
        <v>0</v>
      </c>
      <c r="CU25" s="220">
        <f>_辅助!BT23</f>
        <v>0</v>
      </c>
      <c r="CV25" s="186">
        <f>_辅助!AJ23</f>
        <v>0</v>
      </c>
      <c r="CW25" s="221">
        <f>CP25-CS25-CU25</f>
        <v>-72</v>
      </c>
      <c r="CX25" s="187">
        <f>CQ25-CT25-CV25</f>
        <v>0</v>
      </c>
      <c r="CY25" s="236">
        <f>IF(AND(CP25&gt;0,CQ25&gt;0),0,CT25)</f>
        <v>0</v>
      </c>
      <c r="CZ25" s="220">
        <f>IF($B25="",0,SUMIFS(采购进货!$E$4:$E$1503,采购进货!$D$4:$D$1503,$B25,采购进货!$B$4:$B$1503,"&gt;="&amp;DATE(年度,9,1),采购进货!$B$4:$B$1503,"&lt;"&amp;DATE(年度,9+1,1))+SUMIFS(采购进货!$H$4:$H$1503,采购进货!$D$4:$D$1503,$B25,采购进货!$B$4:$B$1503,"&gt;="&amp;DATE(年度,9,1),采购进货!$B$4:$B$1503,"&lt;"&amp;DATE(年度,9+1,1)))</f>
        <v>0</v>
      </c>
      <c r="DA25" s="186">
        <f>IF($B25="",0,SUMIFS(采购进货!$G$4:$G$1503,采购进货!$D$4:$D$1503,$B25,采购进货!$B$4:$B$1503,"&gt;="&amp;DATE(年度,9,1),采购进货!$B$4:$B$1503,"&lt;"&amp;DATE(年度,9+1,1)))</f>
        <v>0</v>
      </c>
      <c r="DB25" s="234">
        <f>CW25+CZ25</f>
        <v>-72</v>
      </c>
      <c r="DC25" s="235">
        <f>CX25+DA25</f>
        <v>0</v>
      </c>
      <c r="DD25" s="222">
        <f>IF(AND(DB25&gt;0,DC25&gt;0),DC25/DB25,N($E25))</f>
        <v>0</v>
      </c>
      <c r="DE25" s="220">
        <f>IF($B25="",0,SUMIFS(出库明细!$E$4:$E$3003,出库明细!$D$4:$D$3003,$B25,出库明细!$B$4:$B$3003,"&gt;="&amp;DATE(年度,9,1),出库明细!$B$4:$B$3003,"&lt;"&amp;DATE(年度,9+1,1)))</f>
        <v>0</v>
      </c>
      <c r="DF25" s="186">
        <f>DE25*DD25</f>
        <v>0</v>
      </c>
      <c r="DG25" s="220">
        <f>_辅助!BU23</f>
        <v>0</v>
      </c>
      <c r="DH25" s="186">
        <f>_辅助!AK23</f>
        <v>0</v>
      </c>
      <c r="DI25" s="221">
        <f>DB25-DE25-DG25</f>
        <v>-72</v>
      </c>
      <c r="DJ25" s="187">
        <f>DC25-DF25-DH25</f>
        <v>0</v>
      </c>
      <c r="DK25" s="236">
        <f>IF(AND(DB25&gt;0,DC25&gt;0),0,DF25)</f>
        <v>0</v>
      </c>
      <c r="DL25" s="220">
        <f>IF($B25="",0,SUMIFS(采购进货!$E$4:$E$1503,采购进货!$D$4:$D$1503,$B25,采购进货!$B$4:$B$1503,"&gt;="&amp;DATE(年度,10,1),采购进货!$B$4:$B$1503,"&lt;"&amp;DATE(年度,10+1,1))+SUMIFS(采购进货!$H$4:$H$1503,采购进货!$D$4:$D$1503,$B25,采购进货!$B$4:$B$1503,"&gt;="&amp;DATE(年度,10,1),采购进货!$B$4:$B$1503,"&lt;"&amp;DATE(年度,10+1,1)))</f>
        <v>0</v>
      </c>
      <c r="DM25" s="186">
        <f>IF($B25="",0,SUMIFS(采购进货!$G$4:$G$1503,采购进货!$D$4:$D$1503,$B25,采购进货!$B$4:$B$1503,"&gt;="&amp;DATE(年度,10,1),采购进货!$B$4:$B$1503,"&lt;"&amp;DATE(年度,10+1,1)))</f>
        <v>0</v>
      </c>
      <c r="DN25" s="234">
        <f>DI25+DL25</f>
        <v>-72</v>
      </c>
      <c r="DO25" s="235">
        <f>DJ25+DM25</f>
        <v>0</v>
      </c>
      <c r="DP25" s="222">
        <f>IF(AND(DN25&gt;0,DO25&gt;0),DO25/DN25,N($E25))</f>
        <v>0</v>
      </c>
      <c r="DQ25" s="220">
        <f>IF($B25="",0,SUMIFS(出库明细!$E$4:$E$3003,出库明细!$D$4:$D$3003,$B25,出库明细!$B$4:$B$3003,"&gt;="&amp;DATE(年度,10,1),出库明细!$B$4:$B$3003,"&lt;"&amp;DATE(年度,10+1,1)))</f>
        <v>0</v>
      </c>
      <c r="DR25" s="186">
        <f>DQ25*DP25</f>
        <v>0</v>
      </c>
      <c r="DS25" s="220">
        <f>_辅助!BV23</f>
        <v>0</v>
      </c>
      <c r="DT25" s="186">
        <f>_辅助!AL23</f>
        <v>0</v>
      </c>
      <c r="DU25" s="221">
        <f>DN25-DQ25-DS25</f>
        <v>-72</v>
      </c>
      <c r="DV25" s="187">
        <f>DO25-DR25-DT25</f>
        <v>0</v>
      </c>
      <c r="DW25" s="236">
        <f>IF(AND(DN25&gt;0,DO25&gt;0),0,DR25)</f>
        <v>0</v>
      </c>
      <c r="DX25" s="220">
        <f>IF($B25="",0,SUMIFS(采购进货!$E$4:$E$1503,采购进货!$D$4:$D$1503,$B25,采购进货!$B$4:$B$1503,"&gt;="&amp;DATE(年度,11,1),采购进货!$B$4:$B$1503,"&lt;"&amp;DATE(年度,11+1,1))+SUMIFS(采购进货!$H$4:$H$1503,采购进货!$D$4:$D$1503,$B25,采购进货!$B$4:$B$1503,"&gt;="&amp;DATE(年度,11,1),采购进货!$B$4:$B$1503,"&lt;"&amp;DATE(年度,11+1,1)))</f>
        <v>0</v>
      </c>
      <c r="DY25" s="186">
        <f>IF($B25="",0,SUMIFS(采购进货!$G$4:$G$1503,采购进货!$D$4:$D$1503,$B25,采购进货!$B$4:$B$1503,"&gt;="&amp;DATE(年度,11,1),采购进货!$B$4:$B$1503,"&lt;"&amp;DATE(年度,11+1,1)))</f>
        <v>0</v>
      </c>
      <c r="DZ25" s="234">
        <f>DU25+DX25</f>
        <v>-72</v>
      </c>
      <c r="EA25" s="235">
        <f>DV25+DY25</f>
        <v>0</v>
      </c>
      <c r="EB25" s="222">
        <f>IF(AND(DZ25&gt;0,EA25&gt;0),EA25/DZ25,N($E25))</f>
        <v>0</v>
      </c>
      <c r="EC25" s="220">
        <f>IF($B25="",0,SUMIFS(出库明细!$E$4:$E$3003,出库明细!$D$4:$D$3003,$B25,出库明细!$B$4:$B$3003,"&gt;="&amp;DATE(年度,11,1),出库明细!$B$4:$B$3003,"&lt;"&amp;DATE(年度,11+1,1)))</f>
        <v>0</v>
      </c>
      <c r="ED25" s="186">
        <f>EC25*EB25</f>
        <v>0</v>
      </c>
      <c r="EE25" s="220">
        <f>_辅助!BW23</f>
        <v>0</v>
      </c>
      <c r="EF25" s="186">
        <f>_辅助!AM23</f>
        <v>0</v>
      </c>
      <c r="EG25" s="221">
        <f>DZ25-EC25-EE25</f>
        <v>-72</v>
      </c>
      <c r="EH25" s="187">
        <f>EA25-ED25-EF25</f>
        <v>0</v>
      </c>
      <c r="EI25" s="236">
        <f>IF(AND(DZ25&gt;0,EA25&gt;0),0,ED25)</f>
        <v>0</v>
      </c>
      <c r="EJ25" s="220">
        <f>IF($B25="",0,SUMIFS(采购进货!$E$4:$E$1503,采购进货!$D$4:$D$1503,$B25,采购进货!$B$4:$B$1503,"&gt;="&amp;DATE(年度,12,1),采购进货!$B$4:$B$1503,"&lt;"&amp;DATE(年度,12+1,1))+SUMIFS(采购进货!$H$4:$H$1503,采购进货!$D$4:$D$1503,$B25,采购进货!$B$4:$B$1503,"&gt;="&amp;DATE(年度,12,1),采购进货!$B$4:$B$1503,"&lt;"&amp;DATE(年度,12+1,1)))</f>
        <v>0</v>
      </c>
      <c r="EK25" s="186">
        <f>IF($B25="",0,SUMIFS(采购进货!$G$4:$G$1503,采购进货!$D$4:$D$1503,$B25,采购进货!$B$4:$B$1503,"&gt;="&amp;DATE(年度,12,1),采购进货!$B$4:$B$1503,"&lt;"&amp;DATE(年度,12+1,1)))</f>
        <v>0</v>
      </c>
      <c r="EL25" s="234">
        <f>EG25+EJ25</f>
        <v>-72</v>
      </c>
      <c r="EM25" s="235">
        <f>EH25+EK25</f>
        <v>0</v>
      </c>
      <c r="EN25" s="222">
        <f>IF(AND(EL25&gt;0,EM25&gt;0),EM25/EL25,N($E25))</f>
        <v>0</v>
      </c>
      <c r="EO25" s="220">
        <f>IF($B25="",0,SUMIFS(出库明细!$E$4:$E$3003,出库明细!$D$4:$D$3003,$B25,出库明细!$B$4:$B$3003,"&gt;="&amp;DATE(年度,12,1),出库明细!$B$4:$B$3003,"&lt;"&amp;DATE(年度,12+1,1)))</f>
        <v>0</v>
      </c>
      <c r="EP25" s="186">
        <f>EO25*EN25</f>
        <v>0</v>
      </c>
      <c r="EQ25" s="220">
        <f>_辅助!BX23</f>
        <v>0</v>
      </c>
      <c r="ER25" s="186">
        <f>_辅助!AN23</f>
        <v>0</v>
      </c>
      <c r="ES25" s="221">
        <f>EL25-EO25-EQ25</f>
        <v>-72</v>
      </c>
      <c r="ET25" s="187">
        <f>EM25-EP25-ER25</f>
        <v>0</v>
      </c>
      <c r="EU25" s="236">
        <f>IF(AND(EL25&gt;0,EM25&gt;0),0,EP25)</f>
        <v>0</v>
      </c>
    </row>
    <row r="26">
      <c r="A26" s="194">
        <f>IF(B26="","",ROW()-7)</f>
        <v>19</v>
      </c>
      <c r="B26" s="141" t="str">
        <f>IF(基础资料!E23="","",基础资料!E23&amp;"")</f>
        <v>1L焙好茶</v>
      </c>
      <c r="C26" s="230">
        <f>IF(基础资料!G23="","",基础资料!G23&amp;"")</f>
      </c>
      <c r="D26" s="194">
        <f>IF(基础资料!I23="","",基础资料!I23)</f>
      </c>
      <c r="E26" s="231">
        <f>IF(基础资料!J23="","",基础资料!J23)</f>
      </c>
      <c r="F26" s="232">
        <f>N(基础资料!L23)</f>
        <v>0</v>
      </c>
      <c r="G26" s="233">
        <f>IF(基础资料!N23="",0,基础资料!N23)</f>
        <v>0</v>
      </c>
      <c r="H26" s="220">
        <f>IF($B26="",0,SUMIFS(采购进货!$E$4:$E$1503,采购进货!$D$4:$D$1503,$B26,采购进货!$B$4:$B$1503,"&gt;="&amp;DATE(年度,1,1),采购进货!$B$4:$B$1503,"&lt;"&amp;DATE(年度,1+1,1))+SUMIFS(采购进货!$H$4:$H$1503,采购进货!$D$4:$D$1503,$B26,采购进货!$B$4:$B$1503,"&gt;="&amp;DATE(年度,1,1),采购进货!$B$4:$B$1503,"&lt;"&amp;DATE(年度,1+1,1)))</f>
        <v>0</v>
      </c>
      <c r="I26" s="186">
        <f>IF($B26="",0,SUMIFS(采购进货!$G$4:$G$1503,采购进货!$D$4:$D$1503,$B26,采购进货!$B$4:$B$1503,"&gt;="&amp;DATE(年度,1,1),采购进货!$B$4:$B$1503,"&lt;"&amp;DATE(年度,1+1,1)))</f>
        <v>0</v>
      </c>
      <c r="J26" s="234">
        <f>F26+H26</f>
        <v>0</v>
      </c>
      <c r="K26" s="235">
        <f>G26+I26</f>
        <v>0</v>
      </c>
      <c r="L26" s="222">
        <f>IF(AND(J26&gt;0,K26&gt;0),K26/J26,N($E26))</f>
        <v>0</v>
      </c>
      <c r="M26" s="220">
        <f>IF($B26="",0,SUMIFS(出库明细!$E$4:$E$3003,出库明细!$D$4:$D$3003,$B26,出库明细!$B$4:$B$3003,"&gt;="&amp;DATE(年度,1,1),出库明细!$B$4:$B$3003,"&lt;"&amp;DATE(年度,1+1,1)))</f>
        <v>0</v>
      </c>
      <c r="N26" s="186">
        <f>M26*L26</f>
        <v>0</v>
      </c>
      <c r="O26" s="220">
        <f>_辅助!BM24</f>
        <v>0</v>
      </c>
      <c r="P26" s="186">
        <f>_辅助!AC24</f>
        <v>0</v>
      </c>
      <c r="Q26" s="221">
        <f>J26-M26-O26</f>
        <v>0</v>
      </c>
      <c r="R26" s="187">
        <f>K26-N26-P26</f>
        <v>0</v>
      </c>
      <c r="S26" s="236">
        <f>IF(AND(J26&gt;0,K26&gt;0),0,N26)</f>
        <v>0</v>
      </c>
      <c r="T26" s="220">
        <f>IF($B26="",0,SUMIFS(采购进货!$E$4:$E$1503,采购进货!$D$4:$D$1503,$B26,采购进货!$B$4:$B$1503,"&gt;="&amp;DATE(年度,2,1),采购进货!$B$4:$B$1503,"&lt;"&amp;DATE(年度,2+1,1))+SUMIFS(采购进货!$H$4:$H$1503,采购进货!$D$4:$D$1503,$B26,采购进货!$B$4:$B$1503,"&gt;="&amp;DATE(年度,2,1),采购进货!$B$4:$B$1503,"&lt;"&amp;DATE(年度,2+1,1)))</f>
        <v>0</v>
      </c>
      <c r="U26" s="186">
        <f>IF($B26="",0,SUMIFS(采购进货!$G$4:$G$1503,采购进货!$D$4:$D$1503,$B26,采购进货!$B$4:$B$1503,"&gt;="&amp;DATE(年度,2,1),采购进货!$B$4:$B$1503,"&lt;"&amp;DATE(年度,2+1,1)))</f>
        <v>0</v>
      </c>
      <c r="V26" s="234">
        <f>Q26+T26</f>
        <v>0</v>
      </c>
      <c r="W26" s="235">
        <f>R26+U26</f>
        <v>0</v>
      </c>
      <c r="X26" s="222">
        <f>IF(AND(V26&gt;0,W26&gt;0),W26/V26,N($E26))</f>
        <v>0</v>
      </c>
      <c r="Y26" s="220">
        <f>IF($B26="",0,SUMIFS(出库明细!$E$4:$E$3003,出库明细!$D$4:$D$3003,$B26,出库明细!$B$4:$B$3003,"&gt;="&amp;DATE(年度,2,1),出库明细!$B$4:$B$3003,"&lt;"&amp;DATE(年度,2+1,1)))</f>
        <v>0</v>
      </c>
      <c r="Z26" s="186">
        <f>Y26*X26</f>
        <v>0</v>
      </c>
      <c r="AA26" s="220">
        <f>_辅助!BN24</f>
        <v>0</v>
      </c>
      <c r="AB26" s="186">
        <f>_辅助!AD24</f>
        <v>0</v>
      </c>
      <c r="AC26" s="221">
        <f>V26-Y26-AA26</f>
        <v>0</v>
      </c>
      <c r="AD26" s="187">
        <f>W26-Z26-AB26</f>
        <v>0</v>
      </c>
      <c r="AE26" s="236">
        <f>IF(AND(V26&gt;0,W26&gt;0),0,Z26)</f>
        <v>0</v>
      </c>
      <c r="AF26" s="220">
        <f>IF($B26="",0,SUMIFS(采购进货!$E$4:$E$1503,采购进货!$D$4:$D$1503,$B26,采购进货!$B$4:$B$1503,"&gt;="&amp;DATE(年度,3,1),采购进货!$B$4:$B$1503,"&lt;"&amp;DATE(年度,3+1,1))+SUMIFS(采购进货!$H$4:$H$1503,采购进货!$D$4:$D$1503,$B26,采购进货!$B$4:$B$1503,"&gt;="&amp;DATE(年度,3,1),采购进货!$B$4:$B$1503,"&lt;"&amp;DATE(年度,3+1,1)))</f>
        <v>0</v>
      </c>
      <c r="AG26" s="186">
        <f>IF($B26="",0,SUMIFS(采购进货!$G$4:$G$1503,采购进货!$D$4:$D$1503,$B26,采购进货!$B$4:$B$1503,"&gt;="&amp;DATE(年度,3,1),采购进货!$B$4:$B$1503,"&lt;"&amp;DATE(年度,3+1,1)))</f>
        <v>0</v>
      </c>
      <c r="AH26" s="234">
        <f>AC26+AF26</f>
        <v>0</v>
      </c>
      <c r="AI26" s="235">
        <f>AD26+AG26</f>
        <v>0</v>
      </c>
      <c r="AJ26" s="222">
        <f>IF(AND(AH26&gt;0,AI26&gt;0),AI26/AH26,N($E26))</f>
        <v>0</v>
      </c>
      <c r="AK26" s="220">
        <f>IF($B26="",0,SUMIFS(出库明细!$E$4:$E$3003,出库明细!$D$4:$D$3003,$B26,出库明细!$B$4:$B$3003,"&gt;="&amp;DATE(年度,3,1),出库明细!$B$4:$B$3003,"&lt;"&amp;DATE(年度,3+1,1)))</f>
        <v>0</v>
      </c>
      <c r="AL26" s="186">
        <f>AK26*AJ26</f>
        <v>0</v>
      </c>
      <c r="AM26" s="220">
        <f>_辅助!BO24</f>
        <v>0</v>
      </c>
      <c r="AN26" s="186">
        <f>_辅助!AE24</f>
        <v>0</v>
      </c>
      <c r="AO26" s="221">
        <f>AH26-AK26-AM26</f>
        <v>0</v>
      </c>
      <c r="AP26" s="187">
        <f>AI26-AL26-AN26</f>
        <v>0</v>
      </c>
      <c r="AQ26" s="236">
        <f>IF(AND(AH26&gt;0,AI26&gt;0),0,AL26)</f>
        <v>0</v>
      </c>
      <c r="AR26" s="220">
        <f>IF($B26="",0,SUMIFS(采购进货!$E$4:$E$1503,采购进货!$D$4:$D$1503,$B26,采购进货!$B$4:$B$1503,"&gt;="&amp;DATE(年度,4,1),采购进货!$B$4:$B$1503,"&lt;"&amp;DATE(年度,4+1,1))+SUMIFS(采购进货!$H$4:$H$1503,采购进货!$D$4:$D$1503,$B26,采购进货!$B$4:$B$1503,"&gt;="&amp;DATE(年度,4,1),采购进货!$B$4:$B$1503,"&lt;"&amp;DATE(年度,4+1,1)))</f>
        <v>0</v>
      </c>
      <c r="AS26" s="186">
        <f>IF($B26="",0,SUMIFS(采购进货!$G$4:$G$1503,采购进货!$D$4:$D$1503,$B26,采购进货!$B$4:$B$1503,"&gt;="&amp;DATE(年度,4,1),采购进货!$B$4:$B$1503,"&lt;"&amp;DATE(年度,4+1,1)))</f>
        <v>0</v>
      </c>
      <c r="AT26" s="234">
        <f>AO26+AR26</f>
        <v>0</v>
      </c>
      <c r="AU26" s="235">
        <f>AP26+AS26</f>
        <v>0</v>
      </c>
      <c r="AV26" s="222">
        <f>IF(AND(AT26&gt;0,AU26&gt;0),AU26/AT26,N($E26))</f>
        <v>0</v>
      </c>
      <c r="AW26" s="220">
        <f>IF($B26="",0,SUMIFS(出库明细!$E$4:$E$3003,出库明细!$D$4:$D$3003,$B26,出库明细!$B$4:$B$3003,"&gt;="&amp;DATE(年度,4,1),出库明细!$B$4:$B$3003,"&lt;"&amp;DATE(年度,4+1,1)))</f>
        <v>0</v>
      </c>
      <c r="AX26" s="186">
        <f>AW26*AV26</f>
        <v>0</v>
      </c>
      <c r="AY26" s="220">
        <f>_辅助!BP24</f>
        <v>0</v>
      </c>
      <c r="AZ26" s="186">
        <f>_辅助!AF24</f>
        <v>0</v>
      </c>
      <c r="BA26" s="221">
        <f>AT26-AW26-AY26</f>
        <v>0</v>
      </c>
      <c r="BB26" s="187">
        <f>AU26-AX26-AZ26</f>
        <v>0</v>
      </c>
      <c r="BC26" s="236">
        <f>IF(AND(AT26&gt;0,AU26&gt;0),0,AX26)</f>
        <v>0</v>
      </c>
      <c r="BD26" s="220">
        <f>IF($B26="",0,SUMIFS(采购进货!$E$4:$E$1503,采购进货!$D$4:$D$1503,$B26,采购进货!$B$4:$B$1503,"&gt;="&amp;DATE(年度,5,1),采购进货!$B$4:$B$1503,"&lt;"&amp;DATE(年度,5+1,1))+SUMIFS(采购进货!$H$4:$H$1503,采购进货!$D$4:$D$1503,$B26,采购进货!$B$4:$B$1503,"&gt;="&amp;DATE(年度,5,1),采购进货!$B$4:$B$1503,"&lt;"&amp;DATE(年度,5+1,1)))</f>
        <v>0</v>
      </c>
      <c r="BE26" s="186">
        <f>IF($B26="",0,SUMIFS(采购进货!$G$4:$G$1503,采购进货!$D$4:$D$1503,$B26,采购进货!$B$4:$B$1503,"&gt;="&amp;DATE(年度,5,1),采购进货!$B$4:$B$1503,"&lt;"&amp;DATE(年度,5+1,1)))</f>
        <v>0</v>
      </c>
      <c r="BF26" s="234">
        <f>BA26+BD26</f>
        <v>0</v>
      </c>
      <c r="BG26" s="235">
        <f>BB26+BE26</f>
        <v>0</v>
      </c>
      <c r="BH26" s="222">
        <f>IF(AND(BF26&gt;0,BG26&gt;0),BG26/BF26,N($E26))</f>
        <v>0</v>
      </c>
      <c r="BI26" s="220">
        <f>IF($B26="",0,SUMIFS(出库明细!$E$4:$E$3003,出库明细!$D$4:$D$3003,$B26,出库明细!$B$4:$B$3003,"&gt;="&amp;DATE(年度,5,1),出库明细!$B$4:$B$3003,"&lt;"&amp;DATE(年度,5+1,1)))</f>
        <v>0</v>
      </c>
      <c r="BJ26" s="186">
        <f>BI26*BH26</f>
        <v>0</v>
      </c>
      <c r="BK26" s="220">
        <f>_辅助!BQ24</f>
        <v>0</v>
      </c>
      <c r="BL26" s="186">
        <f>_辅助!AG24</f>
        <v>0</v>
      </c>
      <c r="BM26" s="221">
        <f>BF26-BI26-BK26</f>
        <v>0</v>
      </c>
      <c r="BN26" s="187">
        <f>BG26-BJ26-BL26</f>
        <v>0</v>
      </c>
      <c r="BO26" s="236">
        <f>IF(AND(BF26&gt;0,BG26&gt;0),0,BJ26)</f>
        <v>0</v>
      </c>
      <c r="BP26" s="220">
        <f>IF($B26="",0,SUMIFS(采购进货!$E$4:$E$1503,采购进货!$D$4:$D$1503,$B26,采购进货!$B$4:$B$1503,"&gt;="&amp;DATE(年度,6,1),采购进货!$B$4:$B$1503,"&lt;"&amp;DATE(年度,6+1,1))+SUMIFS(采购进货!$H$4:$H$1503,采购进货!$D$4:$D$1503,$B26,采购进货!$B$4:$B$1503,"&gt;="&amp;DATE(年度,6,1),采购进货!$B$4:$B$1503,"&lt;"&amp;DATE(年度,6+1,1)))</f>
        <v>0</v>
      </c>
      <c r="BQ26" s="186">
        <f>IF($B26="",0,SUMIFS(采购进货!$G$4:$G$1503,采购进货!$D$4:$D$1503,$B26,采购进货!$B$4:$B$1503,"&gt;="&amp;DATE(年度,6,1),采购进货!$B$4:$B$1503,"&lt;"&amp;DATE(年度,6+1,1)))</f>
        <v>0</v>
      </c>
      <c r="BR26" s="234">
        <f>BM26+BP26</f>
        <v>0</v>
      </c>
      <c r="BS26" s="235">
        <f>BN26+BQ26</f>
        <v>0</v>
      </c>
      <c r="BT26" s="222">
        <f>IF(AND(BR26&gt;0,BS26&gt;0),BS26/BR26,N($E26))</f>
        <v>0</v>
      </c>
      <c r="BU26" s="220">
        <f>IF($B26="",0,SUMIFS(出库明细!$E$4:$E$3003,出库明细!$D$4:$D$3003,$B26,出库明细!$B$4:$B$3003,"&gt;="&amp;DATE(年度,6,1),出库明细!$B$4:$B$3003,"&lt;"&amp;DATE(年度,6+1,1)))</f>
        <v>0</v>
      </c>
      <c r="BV26" s="186">
        <f>BU26*BT26</f>
        <v>0</v>
      </c>
      <c r="BW26" s="220">
        <f>_辅助!BR24</f>
        <v>0</v>
      </c>
      <c r="BX26" s="186">
        <f>_辅助!AH24</f>
        <v>0</v>
      </c>
      <c r="BY26" s="221">
        <f>BR26-BU26-BW26</f>
        <v>0</v>
      </c>
      <c r="BZ26" s="187">
        <f>BS26-BV26-BX26</f>
        <v>0</v>
      </c>
      <c r="CA26" s="236">
        <f>IF(AND(BR26&gt;0,BS26&gt;0),0,BV26)</f>
        <v>0</v>
      </c>
      <c r="CB26" s="220">
        <f>IF($B26="",0,SUMIFS(采购进货!$E$4:$E$1503,采购进货!$D$4:$D$1503,$B26,采购进货!$B$4:$B$1503,"&gt;="&amp;DATE(年度,7,1),采购进货!$B$4:$B$1503,"&lt;"&amp;DATE(年度,7+1,1))+SUMIFS(采购进货!$H$4:$H$1503,采购进货!$D$4:$D$1503,$B26,采购进货!$B$4:$B$1503,"&gt;="&amp;DATE(年度,7,1),采购进货!$B$4:$B$1503,"&lt;"&amp;DATE(年度,7+1,1)))</f>
        <v>0</v>
      </c>
      <c r="CC26" s="186">
        <f>IF($B26="",0,SUMIFS(采购进货!$G$4:$G$1503,采购进货!$D$4:$D$1503,$B26,采购进货!$B$4:$B$1503,"&gt;="&amp;DATE(年度,7,1),采购进货!$B$4:$B$1503,"&lt;"&amp;DATE(年度,7+1,1)))</f>
        <v>0</v>
      </c>
      <c r="CD26" s="234">
        <f>BY26+CB26</f>
        <v>0</v>
      </c>
      <c r="CE26" s="235">
        <f>BZ26+CC26</f>
        <v>0</v>
      </c>
      <c r="CF26" s="222">
        <f>IF(AND(CD26&gt;0,CE26&gt;0),CE26/CD26,N($E26))</f>
        <v>0</v>
      </c>
      <c r="CG26" s="220">
        <f>IF($B26="",0,SUMIFS(出库明细!$E$4:$E$3003,出库明细!$D$4:$D$3003,$B26,出库明细!$B$4:$B$3003,"&gt;="&amp;DATE(年度,7,1),出库明细!$B$4:$B$3003,"&lt;"&amp;DATE(年度,7+1,1)))</f>
        <v>5</v>
      </c>
      <c r="CH26" s="186">
        <f>CG26*CF26</f>
        <v>0</v>
      </c>
      <c r="CI26" s="220">
        <f>_辅助!BS24</f>
        <v>0</v>
      </c>
      <c r="CJ26" s="186">
        <f>_辅助!AI24</f>
        <v>0</v>
      </c>
      <c r="CK26" s="221">
        <f>CD26-CG26-CI26</f>
        <v>-5</v>
      </c>
      <c r="CL26" s="187">
        <f>CE26-CH26-CJ26</f>
        <v>0</v>
      </c>
      <c r="CM26" s="236">
        <f>IF(AND(CD26&gt;0,CE26&gt;0),0,CH26)</f>
        <v>0</v>
      </c>
      <c r="CN26" s="220">
        <f>IF($B26="",0,SUMIFS(采购进货!$E$4:$E$1503,采购进货!$D$4:$D$1503,$B26,采购进货!$B$4:$B$1503,"&gt;="&amp;DATE(年度,8,1),采购进货!$B$4:$B$1503,"&lt;"&amp;DATE(年度,8+1,1))+SUMIFS(采购进货!$H$4:$H$1503,采购进货!$D$4:$D$1503,$B26,采购进货!$B$4:$B$1503,"&gt;="&amp;DATE(年度,8,1),采购进货!$B$4:$B$1503,"&lt;"&amp;DATE(年度,8+1,1)))</f>
        <v>0</v>
      </c>
      <c r="CO26" s="186">
        <f>IF($B26="",0,SUMIFS(采购进货!$G$4:$G$1503,采购进货!$D$4:$D$1503,$B26,采购进货!$B$4:$B$1503,"&gt;="&amp;DATE(年度,8,1),采购进货!$B$4:$B$1503,"&lt;"&amp;DATE(年度,8+1,1)))</f>
        <v>0</v>
      </c>
      <c r="CP26" s="234">
        <f>CK26+CN26</f>
        <v>-5</v>
      </c>
      <c r="CQ26" s="235">
        <f>CL26+CO26</f>
        <v>0</v>
      </c>
      <c r="CR26" s="222">
        <f>IF(AND(CP26&gt;0,CQ26&gt;0),CQ26/CP26,N($E26))</f>
        <v>0</v>
      </c>
      <c r="CS26" s="220">
        <f>IF($B26="",0,SUMIFS(出库明细!$E$4:$E$3003,出库明细!$D$4:$D$3003,$B26,出库明细!$B$4:$B$3003,"&gt;="&amp;DATE(年度,8,1),出库明细!$B$4:$B$3003,"&lt;"&amp;DATE(年度,8+1,1)))</f>
        <v>22</v>
      </c>
      <c r="CT26" s="186">
        <f>CS26*CR26</f>
        <v>0</v>
      </c>
      <c r="CU26" s="220">
        <f>_辅助!BT24</f>
        <v>0</v>
      </c>
      <c r="CV26" s="186">
        <f>_辅助!AJ24</f>
        <v>0</v>
      </c>
      <c r="CW26" s="221">
        <f>CP26-CS26-CU26</f>
        <v>-27</v>
      </c>
      <c r="CX26" s="187">
        <f>CQ26-CT26-CV26</f>
        <v>0</v>
      </c>
      <c r="CY26" s="236">
        <f>IF(AND(CP26&gt;0,CQ26&gt;0),0,CT26)</f>
        <v>0</v>
      </c>
      <c r="CZ26" s="220">
        <f>IF($B26="",0,SUMIFS(采购进货!$E$4:$E$1503,采购进货!$D$4:$D$1503,$B26,采购进货!$B$4:$B$1503,"&gt;="&amp;DATE(年度,9,1),采购进货!$B$4:$B$1503,"&lt;"&amp;DATE(年度,9+1,1))+SUMIFS(采购进货!$H$4:$H$1503,采购进货!$D$4:$D$1503,$B26,采购进货!$B$4:$B$1503,"&gt;="&amp;DATE(年度,9,1),采购进货!$B$4:$B$1503,"&lt;"&amp;DATE(年度,9+1,1)))</f>
        <v>0</v>
      </c>
      <c r="DA26" s="186">
        <f>IF($B26="",0,SUMIFS(采购进货!$G$4:$G$1503,采购进货!$D$4:$D$1503,$B26,采购进货!$B$4:$B$1503,"&gt;="&amp;DATE(年度,9,1),采购进货!$B$4:$B$1503,"&lt;"&amp;DATE(年度,9+1,1)))</f>
        <v>0</v>
      </c>
      <c r="DB26" s="234">
        <f>CW26+CZ26</f>
        <v>-27</v>
      </c>
      <c r="DC26" s="235">
        <f>CX26+DA26</f>
        <v>0</v>
      </c>
      <c r="DD26" s="222">
        <f>IF(AND(DB26&gt;0,DC26&gt;0),DC26/DB26,N($E26))</f>
        <v>0</v>
      </c>
      <c r="DE26" s="220">
        <f>IF($B26="",0,SUMIFS(出库明细!$E$4:$E$3003,出库明细!$D$4:$D$3003,$B26,出库明细!$B$4:$B$3003,"&gt;="&amp;DATE(年度,9,1),出库明细!$B$4:$B$3003,"&lt;"&amp;DATE(年度,9+1,1)))</f>
        <v>1</v>
      </c>
      <c r="DF26" s="186">
        <f>DE26*DD26</f>
        <v>0</v>
      </c>
      <c r="DG26" s="220">
        <f>_辅助!BU24</f>
        <v>0</v>
      </c>
      <c r="DH26" s="186">
        <f>_辅助!AK24</f>
        <v>0</v>
      </c>
      <c r="DI26" s="221">
        <f>DB26-DE26-DG26</f>
        <v>-28</v>
      </c>
      <c r="DJ26" s="187">
        <f>DC26-DF26-DH26</f>
        <v>0</v>
      </c>
      <c r="DK26" s="236">
        <f>IF(AND(DB26&gt;0,DC26&gt;0),0,DF26)</f>
        <v>0</v>
      </c>
      <c r="DL26" s="220">
        <f>IF($B26="",0,SUMIFS(采购进货!$E$4:$E$1503,采购进货!$D$4:$D$1503,$B26,采购进货!$B$4:$B$1503,"&gt;="&amp;DATE(年度,10,1),采购进货!$B$4:$B$1503,"&lt;"&amp;DATE(年度,10+1,1))+SUMIFS(采购进货!$H$4:$H$1503,采购进货!$D$4:$D$1503,$B26,采购进货!$B$4:$B$1503,"&gt;="&amp;DATE(年度,10,1),采购进货!$B$4:$B$1503,"&lt;"&amp;DATE(年度,10+1,1)))</f>
        <v>0</v>
      </c>
      <c r="DM26" s="186">
        <f>IF($B26="",0,SUMIFS(采购进货!$G$4:$G$1503,采购进货!$D$4:$D$1503,$B26,采购进货!$B$4:$B$1503,"&gt;="&amp;DATE(年度,10,1),采购进货!$B$4:$B$1503,"&lt;"&amp;DATE(年度,10+1,1)))</f>
        <v>0</v>
      </c>
      <c r="DN26" s="234">
        <f>DI26+DL26</f>
        <v>-28</v>
      </c>
      <c r="DO26" s="235">
        <f>DJ26+DM26</f>
        <v>0</v>
      </c>
      <c r="DP26" s="222">
        <f>IF(AND(DN26&gt;0,DO26&gt;0),DO26/DN26,N($E26))</f>
        <v>0</v>
      </c>
      <c r="DQ26" s="220">
        <f>IF($B26="",0,SUMIFS(出库明细!$E$4:$E$3003,出库明细!$D$4:$D$3003,$B26,出库明细!$B$4:$B$3003,"&gt;="&amp;DATE(年度,10,1),出库明细!$B$4:$B$3003,"&lt;"&amp;DATE(年度,10+1,1)))</f>
        <v>0</v>
      </c>
      <c r="DR26" s="186">
        <f>DQ26*DP26</f>
        <v>0</v>
      </c>
      <c r="DS26" s="220">
        <f>_辅助!BV24</f>
        <v>0</v>
      </c>
      <c r="DT26" s="186">
        <f>_辅助!AL24</f>
        <v>0</v>
      </c>
      <c r="DU26" s="221">
        <f>DN26-DQ26-DS26</f>
        <v>-28</v>
      </c>
      <c r="DV26" s="187">
        <f>DO26-DR26-DT26</f>
        <v>0</v>
      </c>
      <c r="DW26" s="236">
        <f>IF(AND(DN26&gt;0,DO26&gt;0),0,DR26)</f>
        <v>0</v>
      </c>
      <c r="DX26" s="220">
        <f>IF($B26="",0,SUMIFS(采购进货!$E$4:$E$1503,采购进货!$D$4:$D$1503,$B26,采购进货!$B$4:$B$1503,"&gt;="&amp;DATE(年度,11,1),采购进货!$B$4:$B$1503,"&lt;"&amp;DATE(年度,11+1,1))+SUMIFS(采购进货!$H$4:$H$1503,采购进货!$D$4:$D$1503,$B26,采购进货!$B$4:$B$1503,"&gt;="&amp;DATE(年度,11,1),采购进货!$B$4:$B$1503,"&lt;"&amp;DATE(年度,11+1,1)))</f>
        <v>0</v>
      </c>
      <c r="DY26" s="186">
        <f>IF($B26="",0,SUMIFS(采购进货!$G$4:$G$1503,采购进货!$D$4:$D$1503,$B26,采购进货!$B$4:$B$1503,"&gt;="&amp;DATE(年度,11,1),采购进货!$B$4:$B$1503,"&lt;"&amp;DATE(年度,11+1,1)))</f>
        <v>0</v>
      </c>
      <c r="DZ26" s="234">
        <f>DU26+DX26</f>
        <v>-28</v>
      </c>
      <c r="EA26" s="235">
        <f>DV26+DY26</f>
        <v>0</v>
      </c>
      <c r="EB26" s="222">
        <f>IF(AND(DZ26&gt;0,EA26&gt;0),EA26/DZ26,N($E26))</f>
        <v>0</v>
      </c>
      <c r="EC26" s="220">
        <f>IF($B26="",0,SUMIFS(出库明细!$E$4:$E$3003,出库明细!$D$4:$D$3003,$B26,出库明细!$B$4:$B$3003,"&gt;="&amp;DATE(年度,11,1),出库明细!$B$4:$B$3003,"&lt;"&amp;DATE(年度,11+1,1)))</f>
        <v>0</v>
      </c>
      <c r="ED26" s="186">
        <f>EC26*EB26</f>
        <v>0</v>
      </c>
      <c r="EE26" s="220">
        <f>_辅助!BW24</f>
        <v>0</v>
      </c>
      <c r="EF26" s="186">
        <f>_辅助!AM24</f>
        <v>0</v>
      </c>
      <c r="EG26" s="221">
        <f>DZ26-EC26-EE26</f>
        <v>-28</v>
      </c>
      <c r="EH26" s="187">
        <f>EA26-ED26-EF26</f>
        <v>0</v>
      </c>
      <c r="EI26" s="236">
        <f>IF(AND(DZ26&gt;0,EA26&gt;0),0,ED26)</f>
        <v>0</v>
      </c>
      <c r="EJ26" s="220">
        <f>IF($B26="",0,SUMIFS(采购进货!$E$4:$E$1503,采购进货!$D$4:$D$1503,$B26,采购进货!$B$4:$B$1503,"&gt;="&amp;DATE(年度,12,1),采购进货!$B$4:$B$1503,"&lt;"&amp;DATE(年度,12+1,1))+SUMIFS(采购进货!$H$4:$H$1503,采购进货!$D$4:$D$1503,$B26,采购进货!$B$4:$B$1503,"&gt;="&amp;DATE(年度,12,1),采购进货!$B$4:$B$1503,"&lt;"&amp;DATE(年度,12+1,1)))</f>
        <v>0</v>
      </c>
      <c r="EK26" s="186">
        <f>IF($B26="",0,SUMIFS(采购进货!$G$4:$G$1503,采购进货!$D$4:$D$1503,$B26,采购进货!$B$4:$B$1503,"&gt;="&amp;DATE(年度,12,1),采购进货!$B$4:$B$1503,"&lt;"&amp;DATE(年度,12+1,1)))</f>
        <v>0</v>
      </c>
      <c r="EL26" s="234">
        <f>EG26+EJ26</f>
        <v>-28</v>
      </c>
      <c r="EM26" s="235">
        <f>EH26+EK26</f>
        <v>0</v>
      </c>
      <c r="EN26" s="222">
        <f>IF(AND(EL26&gt;0,EM26&gt;0),EM26/EL26,N($E26))</f>
        <v>0</v>
      </c>
      <c r="EO26" s="220">
        <f>IF($B26="",0,SUMIFS(出库明细!$E$4:$E$3003,出库明细!$D$4:$D$3003,$B26,出库明细!$B$4:$B$3003,"&gt;="&amp;DATE(年度,12,1),出库明细!$B$4:$B$3003,"&lt;"&amp;DATE(年度,12+1,1)))</f>
        <v>0</v>
      </c>
      <c r="EP26" s="186">
        <f>EO26*EN26</f>
        <v>0</v>
      </c>
      <c r="EQ26" s="220">
        <f>_辅助!BX24</f>
        <v>0</v>
      </c>
      <c r="ER26" s="186">
        <f>_辅助!AN24</f>
        <v>0</v>
      </c>
      <c r="ES26" s="221">
        <f>EL26-EO26-EQ26</f>
        <v>-28</v>
      </c>
      <c r="ET26" s="187">
        <f>EM26-EP26-ER26</f>
        <v>0</v>
      </c>
      <c r="EU26" s="236">
        <f>IF(AND(EL26&gt;0,EM26&gt;0),0,EP26)</f>
        <v>0</v>
      </c>
    </row>
    <row r="27">
      <c r="A27" s="194">
        <f>IF(B27="","",ROW()-7)</f>
        <v>20</v>
      </c>
      <c r="B27" s="141" t="str">
        <f>IF(基础资料!E24="","",基础资料!E24&amp;"")</f>
        <v>大鹏</v>
      </c>
      <c r="C27" s="230">
        <f>IF(基础资料!G24="","",基础资料!G24&amp;"")</f>
      </c>
      <c r="D27" s="194">
        <f>IF(基础资料!I24="","",基础资料!I24)</f>
      </c>
      <c r="E27" s="231">
        <f>IF(基础资料!J24="","",基础资料!J24)</f>
      </c>
      <c r="F27" s="232">
        <f>N(基础资料!L24)</f>
        <v>0</v>
      </c>
      <c r="G27" s="233">
        <f>IF(基础资料!N24="",0,基础资料!N24)</f>
        <v>0</v>
      </c>
      <c r="H27" s="220">
        <f>IF($B27="",0,SUMIFS(采购进货!$E$4:$E$1503,采购进货!$D$4:$D$1503,$B27,采购进货!$B$4:$B$1503,"&gt;="&amp;DATE(年度,1,1),采购进货!$B$4:$B$1503,"&lt;"&amp;DATE(年度,1+1,1))+SUMIFS(采购进货!$H$4:$H$1503,采购进货!$D$4:$D$1503,$B27,采购进货!$B$4:$B$1503,"&gt;="&amp;DATE(年度,1,1),采购进货!$B$4:$B$1503,"&lt;"&amp;DATE(年度,1+1,1)))</f>
        <v>0</v>
      </c>
      <c r="I27" s="186">
        <f>IF($B27="",0,SUMIFS(采购进货!$G$4:$G$1503,采购进货!$D$4:$D$1503,$B27,采购进货!$B$4:$B$1503,"&gt;="&amp;DATE(年度,1,1),采购进货!$B$4:$B$1503,"&lt;"&amp;DATE(年度,1+1,1)))</f>
        <v>0</v>
      </c>
      <c r="J27" s="234">
        <f>F27+H27</f>
        <v>0</v>
      </c>
      <c r="K27" s="235">
        <f>G27+I27</f>
        <v>0</v>
      </c>
      <c r="L27" s="222">
        <f>IF(AND(J27&gt;0,K27&gt;0),K27/J27,N($E27))</f>
        <v>0</v>
      </c>
      <c r="M27" s="220">
        <f>IF($B27="",0,SUMIFS(出库明细!$E$4:$E$3003,出库明细!$D$4:$D$3003,$B27,出库明细!$B$4:$B$3003,"&gt;="&amp;DATE(年度,1,1),出库明细!$B$4:$B$3003,"&lt;"&amp;DATE(年度,1+1,1)))</f>
        <v>0</v>
      </c>
      <c r="N27" s="186">
        <f>M27*L27</f>
        <v>0</v>
      </c>
      <c r="O27" s="220">
        <f>_辅助!BM25</f>
        <v>0</v>
      </c>
      <c r="P27" s="186">
        <f>_辅助!AC25</f>
        <v>0</v>
      </c>
      <c r="Q27" s="221">
        <f>J27-M27-O27</f>
        <v>0</v>
      </c>
      <c r="R27" s="187">
        <f>K27-N27-P27</f>
        <v>0</v>
      </c>
      <c r="S27" s="236">
        <f>IF(AND(J27&gt;0,K27&gt;0),0,N27)</f>
        <v>0</v>
      </c>
      <c r="T27" s="220">
        <f>IF($B27="",0,SUMIFS(采购进货!$E$4:$E$1503,采购进货!$D$4:$D$1503,$B27,采购进货!$B$4:$B$1503,"&gt;="&amp;DATE(年度,2,1),采购进货!$B$4:$B$1503,"&lt;"&amp;DATE(年度,2+1,1))+SUMIFS(采购进货!$H$4:$H$1503,采购进货!$D$4:$D$1503,$B27,采购进货!$B$4:$B$1503,"&gt;="&amp;DATE(年度,2,1),采购进货!$B$4:$B$1503,"&lt;"&amp;DATE(年度,2+1,1)))</f>
        <v>0</v>
      </c>
      <c r="U27" s="186">
        <f>IF($B27="",0,SUMIFS(采购进货!$G$4:$G$1503,采购进货!$D$4:$D$1503,$B27,采购进货!$B$4:$B$1503,"&gt;="&amp;DATE(年度,2,1),采购进货!$B$4:$B$1503,"&lt;"&amp;DATE(年度,2+1,1)))</f>
        <v>0</v>
      </c>
      <c r="V27" s="234">
        <f>Q27+T27</f>
        <v>0</v>
      </c>
      <c r="W27" s="235">
        <f>R27+U27</f>
        <v>0</v>
      </c>
      <c r="X27" s="222">
        <f>IF(AND(V27&gt;0,W27&gt;0),W27/V27,N($E27))</f>
        <v>0</v>
      </c>
      <c r="Y27" s="220">
        <f>IF($B27="",0,SUMIFS(出库明细!$E$4:$E$3003,出库明细!$D$4:$D$3003,$B27,出库明细!$B$4:$B$3003,"&gt;="&amp;DATE(年度,2,1),出库明细!$B$4:$B$3003,"&lt;"&amp;DATE(年度,2+1,1)))</f>
        <v>0</v>
      </c>
      <c r="Z27" s="186">
        <f>Y27*X27</f>
        <v>0</v>
      </c>
      <c r="AA27" s="220">
        <f>_辅助!BN25</f>
        <v>0</v>
      </c>
      <c r="AB27" s="186">
        <f>_辅助!AD25</f>
        <v>0</v>
      </c>
      <c r="AC27" s="221">
        <f>V27-Y27-AA27</f>
        <v>0</v>
      </c>
      <c r="AD27" s="187">
        <f>W27-Z27-AB27</f>
        <v>0</v>
      </c>
      <c r="AE27" s="236">
        <f>IF(AND(V27&gt;0,W27&gt;0),0,Z27)</f>
        <v>0</v>
      </c>
      <c r="AF27" s="220">
        <f>IF($B27="",0,SUMIFS(采购进货!$E$4:$E$1503,采购进货!$D$4:$D$1503,$B27,采购进货!$B$4:$B$1503,"&gt;="&amp;DATE(年度,3,1),采购进货!$B$4:$B$1503,"&lt;"&amp;DATE(年度,3+1,1))+SUMIFS(采购进货!$H$4:$H$1503,采购进货!$D$4:$D$1503,$B27,采购进货!$B$4:$B$1503,"&gt;="&amp;DATE(年度,3,1),采购进货!$B$4:$B$1503,"&lt;"&amp;DATE(年度,3+1,1)))</f>
        <v>0</v>
      </c>
      <c r="AG27" s="186">
        <f>IF($B27="",0,SUMIFS(采购进货!$G$4:$G$1503,采购进货!$D$4:$D$1503,$B27,采购进货!$B$4:$B$1503,"&gt;="&amp;DATE(年度,3,1),采购进货!$B$4:$B$1503,"&lt;"&amp;DATE(年度,3+1,1)))</f>
        <v>0</v>
      </c>
      <c r="AH27" s="234">
        <f>AC27+AF27</f>
        <v>0</v>
      </c>
      <c r="AI27" s="235">
        <f>AD27+AG27</f>
        <v>0</v>
      </c>
      <c r="AJ27" s="222">
        <f>IF(AND(AH27&gt;0,AI27&gt;0),AI27/AH27,N($E27))</f>
        <v>0</v>
      </c>
      <c r="AK27" s="220">
        <f>IF($B27="",0,SUMIFS(出库明细!$E$4:$E$3003,出库明细!$D$4:$D$3003,$B27,出库明细!$B$4:$B$3003,"&gt;="&amp;DATE(年度,3,1),出库明细!$B$4:$B$3003,"&lt;"&amp;DATE(年度,3+1,1)))</f>
        <v>0</v>
      </c>
      <c r="AL27" s="186">
        <f>AK27*AJ27</f>
        <v>0</v>
      </c>
      <c r="AM27" s="220">
        <f>_辅助!BO25</f>
        <v>0</v>
      </c>
      <c r="AN27" s="186">
        <f>_辅助!AE25</f>
        <v>0</v>
      </c>
      <c r="AO27" s="221">
        <f>AH27-AK27-AM27</f>
        <v>0</v>
      </c>
      <c r="AP27" s="187">
        <f>AI27-AL27-AN27</f>
        <v>0</v>
      </c>
      <c r="AQ27" s="236">
        <f>IF(AND(AH27&gt;0,AI27&gt;0),0,AL27)</f>
        <v>0</v>
      </c>
      <c r="AR27" s="220">
        <f>IF($B27="",0,SUMIFS(采购进货!$E$4:$E$1503,采购进货!$D$4:$D$1503,$B27,采购进货!$B$4:$B$1503,"&gt;="&amp;DATE(年度,4,1),采购进货!$B$4:$B$1503,"&lt;"&amp;DATE(年度,4+1,1))+SUMIFS(采购进货!$H$4:$H$1503,采购进货!$D$4:$D$1503,$B27,采购进货!$B$4:$B$1503,"&gt;="&amp;DATE(年度,4,1),采购进货!$B$4:$B$1503,"&lt;"&amp;DATE(年度,4+1,1)))</f>
        <v>0</v>
      </c>
      <c r="AS27" s="186">
        <f>IF($B27="",0,SUMIFS(采购进货!$G$4:$G$1503,采购进货!$D$4:$D$1503,$B27,采购进货!$B$4:$B$1503,"&gt;="&amp;DATE(年度,4,1),采购进货!$B$4:$B$1503,"&lt;"&amp;DATE(年度,4+1,1)))</f>
        <v>0</v>
      </c>
      <c r="AT27" s="234">
        <f>AO27+AR27</f>
        <v>0</v>
      </c>
      <c r="AU27" s="235">
        <f>AP27+AS27</f>
        <v>0</v>
      </c>
      <c r="AV27" s="222">
        <f>IF(AND(AT27&gt;0,AU27&gt;0),AU27/AT27,N($E27))</f>
        <v>0</v>
      </c>
      <c r="AW27" s="220">
        <f>IF($B27="",0,SUMIFS(出库明细!$E$4:$E$3003,出库明细!$D$4:$D$3003,$B27,出库明细!$B$4:$B$3003,"&gt;="&amp;DATE(年度,4,1),出库明细!$B$4:$B$3003,"&lt;"&amp;DATE(年度,4+1,1)))</f>
        <v>0</v>
      </c>
      <c r="AX27" s="186">
        <f>AW27*AV27</f>
        <v>0</v>
      </c>
      <c r="AY27" s="220">
        <f>_辅助!BP25</f>
        <v>0</v>
      </c>
      <c r="AZ27" s="186">
        <f>_辅助!AF25</f>
        <v>0</v>
      </c>
      <c r="BA27" s="221">
        <f>AT27-AW27-AY27</f>
        <v>0</v>
      </c>
      <c r="BB27" s="187">
        <f>AU27-AX27-AZ27</f>
        <v>0</v>
      </c>
      <c r="BC27" s="236">
        <f>IF(AND(AT27&gt;0,AU27&gt;0),0,AX27)</f>
        <v>0</v>
      </c>
      <c r="BD27" s="220">
        <f>IF($B27="",0,SUMIFS(采购进货!$E$4:$E$1503,采购进货!$D$4:$D$1503,$B27,采购进货!$B$4:$B$1503,"&gt;="&amp;DATE(年度,5,1),采购进货!$B$4:$B$1503,"&lt;"&amp;DATE(年度,5+1,1))+SUMIFS(采购进货!$H$4:$H$1503,采购进货!$D$4:$D$1503,$B27,采购进货!$B$4:$B$1503,"&gt;="&amp;DATE(年度,5,1),采购进货!$B$4:$B$1503,"&lt;"&amp;DATE(年度,5+1,1)))</f>
        <v>0</v>
      </c>
      <c r="BE27" s="186">
        <f>IF($B27="",0,SUMIFS(采购进货!$G$4:$G$1503,采购进货!$D$4:$D$1503,$B27,采购进货!$B$4:$B$1503,"&gt;="&amp;DATE(年度,5,1),采购进货!$B$4:$B$1503,"&lt;"&amp;DATE(年度,5+1,1)))</f>
        <v>0</v>
      </c>
      <c r="BF27" s="234">
        <f>BA27+BD27</f>
        <v>0</v>
      </c>
      <c r="BG27" s="235">
        <f>BB27+BE27</f>
        <v>0</v>
      </c>
      <c r="BH27" s="222">
        <f>IF(AND(BF27&gt;0,BG27&gt;0),BG27/BF27,N($E27))</f>
        <v>0</v>
      </c>
      <c r="BI27" s="220">
        <f>IF($B27="",0,SUMIFS(出库明细!$E$4:$E$3003,出库明细!$D$4:$D$3003,$B27,出库明细!$B$4:$B$3003,"&gt;="&amp;DATE(年度,5,1),出库明细!$B$4:$B$3003,"&lt;"&amp;DATE(年度,5+1,1)))</f>
        <v>0</v>
      </c>
      <c r="BJ27" s="186">
        <f>BI27*BH27</f>
        <v>0</v>
      </c>
      <c r="BK27" s="220">
        <f>_辅助!BQ25</f>
        <v>0</v>
      </c>
      <c r="BL27" s="186">
        <f>_辅助!AG25</f>
        <v>0</v>
      </c>
      <c r="BM27" s="221">
        <f>BF27-BI27-BK27</f>
        <v>0</v>
      </c>
      <c r="BN27" s="187">
        <f>BG27-BJ27-BL27</f>
        <v>0</v>
      </c>
      <c r="BO27" s="236">
        <f>IF(AND(BF27&gt;0,BG27&gt;0),0,BJ27)</f>
        <v>0</v>
      </c>
      <c r="BP27" s="220">
        <f>IF($B27="",0,SUMIFS(采购进货!$E$4:$E$1503,采购进货!$D$4:$D$1503,$B27,采购进货!$B$4:$B$1503,"&gt;="&amp;DATE(年度,6,1),采购进货!$B$4:$B$1503,"&lt;"&amp;DATE(年度,6+1,1))+SUMIFS(采购进货!$H$4:$H$1503,采购进货!$D$4:$D$1503,$B27,采购进货!$B$4:$B$1503,"&gt;="&amp;DATE(年度,6,1),采购进货!$B$4:$B$1503,"&lt;"&amp;DATE(年度,6+1,1)))</f>
        <v>0</v>
      </c>
      <c r="BQ27" s="186">
        <f>IF($B27="",0,SUMIFS(采购进货!$G$4:$G$1503,采购进货!$D$4:$D$1503,$B27,采购进货!$B$4:$B$1503,"&gt;="&amp;DATE(年度,6,1),采购进货!$B$4:$B$1503,"&lt;"&amp;DATE(年度,6+1,1)))</f>
        <v>0</v>
      </c>
      <c r="BR27" s="234">
        <f>BM27+BP27</f>
        <v>0</v>
      </c>
      <c r="BS27" s="235">
        <f>BN27+BQ27</f>
        <v>0</v>
      </c>
      <c r="BT27" s="222">
        <f>IF(AND(BR27&gt;0,BS27&gt;0),BS27/BR27,N($E27))</f>
        <v>0</v>
      </c>
      <c r="BU27" s="220">
        <f>IF($B27="",0,SUMIFS(出库明细!$E$4:$E$3003,出库明细!$D$4:$D$3003,$B27,出库明细!$B$4:$B$3003,"&gt;="&amp;DATE(年度,6,1),出库明细!$B$4:$B$3003,"&lt;"&amp;DATE(年度,6+1,1)))</f>
        <v>0</v>
      </c>
      <c r="BV27" s="186">
        <f>BU27*BT27</f>
        <v>0</v>
      </c>
      <c r="BW27" s="220">
        <f>_辅助!BR25</f>
        <v>0</v>
      </c>
      <c r="BX27" s="186">
        <f>_辅助!AH25</f>
        <v>0</v>
      </c>
      <c r="BY27" s="221">
        <f>BR27-BU27-BW27</f>
        <v>0</v>
      </c>
      <c r="BZ27" s="187">
        <f>BS27-BV27-BX27</f>
        <v>0</v>
      </c>
      <c r="CA27" s="236">
        <f>IF(AND(BR27&gt;0,BS27&gt;0),0,BV27)</f>
        <v>0</v>
      </c>
      <c r="CB27" s="220">
        <f>IF($B27="",0,SUMIFS(采购进货!$E$4:$E$1503,采购进货!$D$4:$D$1503,$B27,采购进货!$B$4:$B$1503,"&gt;="&amp;DATE(年度,7,1),采购进货!$B$4:$B$1503,"&lt;"&amp;DATE(年度,7+1,1))+SUMIFS(采购进货!$H$4:$H$1503,采购进货!$D$4:$D$1503,$B27,采购进货!$B$4:$B$1503,"&gt;="&amp;DATE(年度,7,1),采购进货!$B$4:$B$1503,"&lt;"&amp;DATE(年度,7+1,1)))</f>
        <v>0</v>
      </c>
      <c r="CC27" s="186">
        <f>IF($B27="",0,SUMIFS(采购进货!$G$4:$G$1503,采购进货!$D$4:$D$1503,$B27,采购进货!$B$4:$B$1503,"&gt;="&amp;DATE(年度,7,1),采购进货!$B$4:$B$1503,"&lt;"&amp;DATE(年度,7+1,1)))</f>
        <v>0</v>
      </c>
      <c r="CD27" s="234">
        <f>BY27+CB27</f>
        <v>0</v>
      </c>
      <c r="CE27" s="235">
        <f>BZ27+CC27</f>
        <v>0</v>
      </c>
      <c r="CF27" s="222">
        <f>IF(AND(CD27&gt;0,CE27&gt;0),CE27/CD27,N($E27))</f>
        <v>0</v>
      </c>
      <c r="CG27" s="220">
        <f>IF($B27="",0,SUMIFS(出库明细!$E$4:$E$3003,出库明细!$D$4:$D$3003,$B27,出库明细!$B$4:$B$3003,"&gt;="&amp;DATE(年度,7,1),出库明细!$B$4:$B$3003,"&lt;"&amp;DATE(年度,7+1,1)))</f>
        <v>0</v>
      </c>
      <c r="CH27" s="186">
        <f>CG27*CF27</f>
        <v>0</v>
      </c>
      <c r="CI27" s="220">
        <f>_辅助!BS25</f>
        <v>0</v>
      </c>
      <c r="CJ27" s="186">
        <f>_辅助!AI25</f>
        <v>0</v>
      </c>
      <c r="CK27" s="221">
        <f>CD27-CG27-CI27</f>
        <v>0</v>
      </c>
      <c r="CL27" s="187">
        <f>CE27-CH27-CJ27</f>
        <v>0</v>
      </c>
      <c r="CM27" s="236">
        <f>IF(AND(CD27&gt;0,CE27&gt;0),0,CH27)</f>
        <v>0</v>
      </c>
      <c r="CN27" s="220">
        <f>IF($B27="",0,SUMIFS(采购进货!$E$4:$E$1503,采购进货!$D$4:$D$1503,$B27,采购进货!$B$4:$B$1503,"&gt;="&amp;DATE(年度,8,1),采购进货!$B$4:$B$1503,"&lt;"&amp;DATE(年度,8+1,1))+SUMIFS(采购进货!$H$4:$H$1503,采购进货!$D$4:$D$1503,$B27,采购进货!$B$4:$B$1503,"&gt;="&amp;DATE(年度,8,1),采购进货!$B$4:$B$1503,"&lt;"&amp;DATE(年度,8+1,1)))</f>
        <v>0</v>
      </c>
      <c r="CO27" s="186">
        <f>IF($B27="",0,SUMIFS(采购进货!$G$4:$G$1503,采购进货!$D$4:$D$1503,$B27,采购进货!$B$4:$B$1503,"&gt;="&amp;DATE(年度,8,1),采购进货!$B$4:$B$1503,"&lt;"&amp;DATE(年度,8+1,1)))</f>
        <v>0</v>
      </c>
      <c r="CP27" s="234">
        <f>CK27+CN27</f>
        <v>0</v>
      </c>
      <c r="CQ27" s="235">
        <f>CL27+CO27</f>
        <v>0</v>
      </c>
      <c r="CR27" s="222">
        <f>IF(AND(CP27&gt;0,CQ27&gt;0),CQ27/CP27,N($E27))</f>
        <v>0</v>
      </c>
      <c r="CS27" s="220">
        <f>IF($B27="",0,SUMIFS(出库明细!$E$4:$E$3003,出库明细!$D$4:$D$3003,$B27,出库明细!$B$4:$B$3003,"&gt;="&amp;DATE(年度,8,1),出库明细!$B$4:$B$3003,"&lt;"&amp;DATE(年度,8+1,1)))</f>
        <v>0</v>
      </c>
      <c r="CT27" s="186">
        <f>CS27*CR27</f>
        <v>0</v>
      </c>
      <c r="CU27" s="220">
        <f>_辅助!BT25</f>
        <v>0</v>
      </c>
      <c r="CV27" s="186">
        <f>_辅助!AJ25</f>
        <v>0</v>
      </c>
      <c r="CW27" s="221">
        <f>CP27-CS27-CU27</f>
        <v>0</v>
      </c>
      <c r="CX27" s="187">
        <f>CQ27-CT27-CV27</f>
        <v>0</v>
      </c>
      <c r="CY27" s="236">
        <f>IF(AND(CP27&gt;0,CQ27&gt;0),0,CT27)</f>
        <v>0</v>
      </c>
      <c r="CZ27" s="220">
        <f>IF($B27="",0,SUMIFS(采购进货!$E$4:$E$1503,采购进货!$D$4:$D$1503,$B27,采购进货!$B$4:$B$1503,"&gt;="&amp;DATE(年度,9,1),采购进货!$B$4:$B$1503,"&lt;"&amp;DATE(年度,9+1,1))+SUMIFS(采购进货!$H$4:$H$1503,采购进货!$D$4:$D$1503,$B27,采购进货!$B$4:$B$1503,"&gt;="&amp;DATE(年度,9,1),采购进货!$B$4:$B$1503,"&lt;"&amp;DATE(年度,9+1,1)))</f>
        <v>0</v>
      </c>
      <c r="DA27" s="186">
        <f>IF($B27="",0,SUMIFS(采购进货!$G$4:$G$1503,采购进货!$D$4:$D$1503,$B27,采购进货!$B$4:$B$1503,"&gt;="&amp;DATE(年度,9,1),采购进货!$B$4:$B$1503,"&lt;"&amp;DATE(年度,9+1,1)))</f>
        <v>0</v>
      </c>
      <c r="DB27" s="234">
        <f>CW27+CZ27</f>
        <v>0</v>
      </c>
      <c r="DC27" s="235">
        <f>CX27+DA27</f>
        <v>0</v>
      </c>
      <c r="DD27" s="222">
        <f>IF(AND(DB27&gt;0,DC27&gt;0),DC27/DB27,N($E27))</f>
        <v>0</v>
      </c>
      <c r="DE27" s="220">
        <f>IF($B27="",0,SUMIFS(出库明细!$E$4:$E$3003,出库明细!$D$4:$D$3003,$B27,出库明细!$B$4:$B$3003,"&gt;="&amp;DATE(年度,9,1),出库明细!$B$4:$B$3003,"&lt;"&amp;DATE(年度,9+1,1)))</f>
        <v>1</v>
      </c>
      <c r="DF27" s="186">
        <f>DE27*DD27</f>
        <v>0</v>
      </c>
      <c r="DG27" s="220">
        <f>_辅助!BU25</f>
        <v>0</v>
      </c>
      <c r="DH27" s="186">
        <f>_辅助!AK25</f>
        <v>0</v>
      </c>
      <c r="DI27" s="221">
        <f>DB27-DE27-DG27</f>
        <v>-1</v>
      </c>
      <c r="DJ27" s="187">
        <f>DC27-DF27-DH27</f>
        <v>0</v>
      </c>
      <c r="DK27" s="236">
        <f>IF(AND(DB27&gt;0,DC27&gt;0),0,DF27)</f>
        <v>0</v>
      </c>
      <c r="DL27" s="220">
        <f>IF($B27="",0,SUMIFS(采购进货!$E$4:$E$1503,采购进货!$D$4:$D$1503,$B27,采购进货!$B$4:$B$1503,"&gt;="&amp;DATE(年度,10,1),采购进货!$B$4:$B$1503,"&lt;"&amp;DATE(年度,10+1,1))+SUMIFS(采购进货!$H$4:$H$1503,采购进货!$D$4:$D$1503,$B27,采购进货!$B$4:$B$1503,"&gt;="&amp;DATE(年度,10,1),采购进货!$B$4:$B$1503,"&lt;"&amp;DATE(年度,10+1,1)))</f>
        <v>0</v>
      </c>
      <c r="DM27" s="186">
        <f>IF($B27="",0,SUMIFS(采购进货!$G$4:$G$1503,采购进货!$D$4:$D$1503,$B27,采购进货!$B$4:$B$1503,"&gt;="&amp;DATE(年度,10,1),采购进货!$B$4:$B$1503,"&lt;"&amp;DATE(年度,10+1,1)))</f>
        <v>0</v>
      </c>
      <c r="DN27" s="234">
        <f>DI27+DL27</f>
        <v>-1</v>
      </c>
      <c r="DO27" s="235">
        <f>DJ27+DM27</f>
        <v>0</v>
      </c>
      <c r="DP27" s="222">
        <f>IF(AND(DN27&gt;0,DO27&gt;0),DO27/DN27,N($E27))</f>
        <v>0</v>
      </c>
      <c r="DQ27" s="220">
        <f>IF($B27="",0,SUMIFS(出库明细!$E$4:$E$3003,出库明细!$D$4:$D$3003,$B27,出库明细!$B$4:$B$3003,"&gt;="&amp;DATE(年度,10,1),出库明细!$B$4:$B$3003,"&lt;"&amp;DATE(年度,10+1,1)))</f>
        <v>0</v>
      </c>
      <c r="DR27" s="186">
        <f>DQ27*DP27</f>
        <v>0</v>
      </c>
      <c r="DS27" s="220">
        <f>_辅助!BV25</f>
        <v>0</v>
      </c>
      <c r="DT27" s="186">
        <f>_辅助!AL25</f>
        <v>0</v>
      </c>
      <c r="DU27" s="221">
        <f>DN27-DQ27-DS27</f>
        <v>-1</v>
      </c>
      <c r="DV27" s="187">
        <f>DO27-DR27-DT27</f>
        <v>0</v>
      </c>
      <c r="DW27" s="236">
        <f>IF(AND(DN27&gt;0,DO27&gt;0),0,DR27)</f>
        <v>0</v>
      </c>
      <c r="DX27" s="220">
        <f>IF($B27="",0,SUMIFS(采购进货!$E$4:$E$1503,采购进货!$D$4:$D$1503,$B27,采购进货!$B$4:$B$1503,"&gt;="&amp;DATE(年度,11,1),采购进货!$B$4:$B$1503,"&lt;"&amp;DATE(年度,11+1,1))+SUMIFS(采购进货!$H$4:$H$1503,采购进货!$D$4:$D$1503,$B27,采购进货!$B$4:$B$1503,"&gt;="&amp;DATE(年度,11,1),采购进货!$B$4:$B$1503,"&lt;"&amp;DATE(年度,11+1,1)))</f>
        <v>0</v>
      </c>
      <c r="DY27" s="186">
        <f>IF($B27="",0,SUMIFS(采购进货!$G$4:$G$1503,采购进货!$D$4:$D$1503,$B27,采购进货!$B$4:$B$1503,"&gt;="&amp;DATE(年度,11,1),采购进货!$B$4:$B$1503,"&lt;"&amp;DATE(年度,11+1,1)))</f>
        <v>0</v>
      </c>
      <c r="DZ27" s="234">
        <f>DU27+DX27</f>
        <v>-1</v>
      </c>
      <c r="EA27" s="235">
        <f>DV27+DY27</f>
        <v>0</v>
      </c>
      <c r="EB27" s="222">
        <f>IF(AND(DZ27&gt;0,EA27&gt;0),EA27/DZ27,N($E27))</f>
        <v>0</v>
      </c>
      <c r="EC27" s="220">
        <f>IF($B27="",0,SUMIFS(出库明细!$E$4:$E$3003,出库明细!$D$4:$D$3003,$B27,出库明细!$B$4:$B$3003,"&gt;="&amp;DATE(年度,11,1),出库明细!$B$4:$B$3003,"&lt;"&amp;DATE(年度,11+1,1)))</f>
        <v>0</v>
      </c>
      <c r="ED27" s="186">
        <f>EC27*EB27</f>
        <v>0</v>
      </c>
      <c r="EE27" s="220">
        <f>_辅助!BW25</f>
        <v>0</v>
      </c>
      <c r="EF27" s="186">
        <f>_辅助!AM25</f>
        <v>0</v>
      </c>
      <c r="EG27" s="221">
        <f>DZ27-EC27-EE27</f>
        <v>-1</v>
      </c>
      <c r="EH27" s="187">
        <f>EA27-ED27-EF27</f>
        <v>0</v>
      </c>
      <c r="EI27" s="236">
        <f>IF(AND(DZ27&gt;0,EA27&gt;0),0,ED27)</f>
        <v>0</v>
      </c>
      <c r="EJ27" s="220">
        <f>IF($B27="",0,SUMIFS(采购进货!$E$4:$E$1503,采购进货!$D$4:$D$1503,$B27,采购进货!$B$4:$B$1503,"&gt;="&amp;DATE(年度,12,1),采购进货!$B$4:$B$1503,"&lt;"&amp;DATE(年度,12+1,1))+SUMIFS(采购进货!$H$4:$H$1503,采购进货!$D$4:$D$1503,$B27,采购进货!$B$4:$B$1503,"&gt;="&amp;DATE(年度,12,1),采购进货!$B$4:$B$1503,"&lt;"&amp;DATE(年度,12+1,1)))</f>
        <v>0</v>
      </c>
      <c r="EK27" s="186">
        <f>IF($B27="",0,SUMIFS(采购进货!$G$4:$G$1503,采购进货!$D$4:$D$1503,$B27,采购进货!$B$4:$B$1503,"&gt;="&amp;DATE(年度,12,1),采购进货!$B$4:$B$1503,"&lt;"&amp;DATE(年度,12+1,1)))</f>
        <v>0</v>
      </c>
      <c r="EL27" s="234">
        <f>EG27+EJ27</f>
        <v>-1</v>
      </c>
      <c r="EM27" s="235">
        <f>EH27+EK27</f>
        <v>0</v>
      </c>
      <c r="EN27" s="222">
        <f>IF(AND(EL27&gt;0,EM27&gt;0),EM27/EL27,N($E27))</f>
        <v>0</v>
      </c>
      <c r="EO27" s="220">
        <f>IF($B27="",0,SUMIFS(出库明细!$E$4:$E$3003,出库明细!$D$4:$D$3003,$B27,出库明细!$B$4:$B$3003,"&gt;="&amp;DATE(年度,12,1),出库明细!$B$4:$B$3003,"&lt;"&amp;DATE(年度,12+1,1)))</f>
        <v>0</v>
      </c>
      <c r="EP27" s="186">
        <f>EO27*EN27</f>
        <v>0</v>
      </c>
      <c r="EQ27" s="220">
        <f>_辅助!BX25</f>
        <v>0</v>
      </c>
      <c r="ER27" s="186">
        <f>_辅助!AN25</f>
        <v>0</v>
      </c>
      <c r="ES27" s="221">
        <f>EL27-EO27-EQ27</f>
        <v>-1</v>
      </c>
      <c r="ET27" s="187">
        <f>EM27-EP27-ER27</f>
        <v>0</v>
      </c>
      <c r="EU27" s="236">
        <f>IF(AND(EL27&gt;0,EM27&gt;0),0,EP27)</f>
        <v>0</v>
      </c>
    </row>
    <row r="28">
      <c r="A28" s="194">
        <f>IF(B28="","",ROW()-7)</f>
        <v>21</v>
      </c>
      <c r="B28" s="141" t="str">
        <f>IF(基础资料!E25="","",基础资料!E25&amp;"")</f>
        <v>500农夫饮料</v>
      </c>
      <c r="C28" s="230" t="str">
        <f>IF(基础资料!G25="","",基础资料!G25&amp;"")</f>
        <v>农夫500ML饮料</v>
      </c>
      <c r="D28" s="194">
        <f>IF(基础资料!I25="","",基础资料!I25)</f>
        <v>15</v>
      </c>
      <c r="E28" s="231">
        <f>IF(基础资料!J25="","",基础资料!J25)</f>
        <v>46.005</v>
      </c>
      <c r="F28" s="232">
        <f>N(基础资料!L25)</f>
        <v>0</v>
      </c>
      <c r="G28" s="233">
        <f>IF(基础资料!N25="",0,基础资料!N25)</f>
        <v>0</v>
      </c>
      <c r="H28" s="220">
        <f>IF($B28="",0,SUMIFS(采购进货!$E$4:$E$1503,采购进货!$D$4:$D$1503,$B28,采购进货!$B$4:$B$1503,"&gt;="&amp;DATE(年度,1,1),采购进货!$B$4:$B$1503,"&lt;"&amp;DATE(年度,1+1,1))+SUMIFS(采购进货!$H$4:$H$1503,采购进货!$D$4:$D$1503,$B28,采购进货!$B$4:$B$1503,"&gt;="&amp;DATE(年度,1,1),采购进货!$B$4:$B$1503,"&lt;"&amp;DATE(年度,1+1,1)))</f>
        <v>0</v>
      </c>
      <c r="I28" s="186">
        <f>IF($B28="",0,SUMIFS(采购进货!$G$4:$G$1503,采购进货!$D$4:$D$1503,$B28,采购进货!$B$4:$B$1503,"&gt;="&amp;DATE(年度,1,1),采购进货!$B$4:$B$1503,"&lt;"&amp;DATE(年度,1+1,1)))</f>
        <v>0</v>
      </c>
      <c r="J28" s="234">
        <f>F28+H28</f>
        <v>0</v>
      </c>
      <c r="K28" s="235">
        <f>G28+I28</f>
        <v>0</v>
      </c>
      <c r="L28" s="222">
        <f>IF(AND(J28&gt;0,K28&gt;0),K28/J28,N($E28))</f>
        <v>46.005</v>
      </c>
      <c r="M28" s="220">
        <f>IF($B28="",0,SUMIFS(出库明细!$E$4:$E$3003,出库明细!$D$4:$D$3003,$B28,出库明细!$B$4:$B$3003,"&gt;="&amp;DATE(年度,1,1),出库明细!$B$4:$B$3003,"&lt;"&amp;DATE(年度,1+1,1)))</f>
        <v>0</v>
      </c>
      <c r="N28" s="186">
        <f>M28*L28</f>
        <v>0</v>
      </c>
      <c r="O28" s="220">
        <f>_辅助!BM26</f>
        <v>0</v>
      </c>
      <c r="P28" s="186">
        <f>_辅助!AC26</f>
        <v>0</v>
      </c>
      <c r="Q28" s="221">
        <f>J28-M28-O28</f>
        <v>0</v>
      </c>
      <c r="R28" s="187">
        <f>K28-N28-P28</f>
        <v>0</v>
      </c>
      <c r="S28" s="236">
        <f>IF(AND(J28&gt;0,K28&gt;0),0,N28)</f>
        <v>0</v>
      </c>
      <c r="T28" s="220">
        <f>IF($B28="",0,SUMIFS(采购进货!$E$4:$E$1503,采购进货!$D$4:$D$1503,$B28,采购进货!$B$4:$B$1503,"&gt;="&amp;DATE(年度,2,1),采购进货!$B$4:$B$1503,"&lt;"&amp;DATE(年度,2+1,1))+SUMIFS(采购进货!$H$4:$H$1503,采购进货!$D$4:$D$1503,$B28,采购进货!$B$4:$B$1503,"&gt;="&amp;DATE(年度,2,1),采购进货!$B$4:$B$1503,"&lt;"&amp;DATE(年度,2+1,1)))</f>
        <v>0</v>
      </c>
      <c r="U28" s="186">
        <f>IF($B28="",0,SUMIFS(采购进货!$G$4:$G$1503,采购进货!$D$4:$D$1503,$B28,采购进货!$B$4:$B$1503,"&gt;="&amp;DATE(年度,2,1),采购进货!$B$4:$B$1503,"&lt;"&amp;DATE(年度,2+1,1)))</f>
        <v>0</v>
      </c>
      <c r="V28" s="234">
        <f>Q28+T28</f>
        <v>0</v>
      </c>
      <c r="W28" s="235">
        <f>R28+U28</f>
        <v>0</v>
      </c>
      <c r="X28" s="222">
        <f>IF(AND(V28&gt;0,W28&gt;0),W28/V28,N($E28))</f>
        <v>46.005</v>
      </c>
      <c r="Y28" s="220">
        <f>IF($B28="",0,SUMIFS(出库明细!$E$4:$E$3003,出库明细!$D$4:$D$3003,$B28,出库明细!$B$4:$B$3003,"&gt;="&amp;DATE(年度,2,1),出库明细!$B$4:$B$3003,"&lt;"&amp;DATE(年度,2+1,1)))</f>
        <v>0</v>
      </c>
      <c r="Z28" s="186">
        <f>Y28*X28</f>
        <v>0</v>
      </c>
      <c r="AA28" s="220">
        <f>_辅助!BN26</f>
        <v>0</v>
      </c>
      <c r="AB28" s="186">
        <f>_辅助!AD26</f>
        <v>0</v>
      </c>
      <c r="AC28" s="221">
        <f>V28-Y28-AA28</f>
        <v>0</v>
      </c>
      <c r="AD28" s="187">
        <f>W28-Z28-AB28</f>
        <v>0</v>
      </c>
      <c r="AE28" s="236">
        <f>IF(AND(V28&gt;0,W28&gt;0),0,Z28)</f>
        <v>0</v>
      </c>
      <c r="AF28" s="220">
        <f>IF($B28="",0,SUMIFS(采购进货!$E$4:$E$1503,采购进货!$D$4:$D$1503,$B28,采购进货!$B$4:$B$1503,"&gt;="&amp;DATE(年度,3,1),采购进货!$B$4:$B$1503,"&lt;"&amp;DATE(年度,3+1,1))+SUMIFS(采购进货!$H$4:$H$1503,采购进货!$D$4:$D$1503,$B28,采购进货!$B$4:$B$1503,"&gt;="&amp;DATE(年度,3,1),采购进货!$B$4:$B$1503,"&lt;"&amp;DATE(年度,3+1,1)))</f>
        <v>0</v>
      </c>
      <c r="AG28" s="186">
        <f>IF($B28="",0,SUMIFS(采购进货!$G$4:$G$1503,采购进货!$D$4:$D$1503,$B28,采购进货!$B$4:$B$1503,"&gt;="&amp;DATE(年度,3,1),采购进货!$B$4:$B$1503,"&lt;"&amp;DATE(年度,3+1,1)))</f>
        <v>0</v>
      </c>
      <c r="AH28" s="234">
        <f>AC28+AF28</f>
        <v>0</v>
      </c>
      <c r="AI28" s="235">
        <f>AD28+AG28</f>
        <v>0</v>
      </c>
      <c r="AJ28" s="222">
        <f>IF(AND(AH28&gt;0,AI28&gt;0),AI28/AH28,N($E28))</f>
        <v>46.005</v>
      </c>
      <c r="AK28" s="220">
        <f>IF($B28="",0,SUMIFS(出库明细!$E$4:$E$3003,出库明细!$D$4:$D$3003,$B28,出库明细!$B$4:$B$3003,"&gt;="&amp;DATE(年度,3,1),出库明细!$B$4:$B$3003,"&lt;"&amp;DATE(年度,3+1,1)))</f>
        <v>0</v>
      </c>
      <c r="AL28" s="186">
        <f>AK28*AJ28</f>
        <v>0</v>
      </c>
      <c r="AM28" s="220">
        <f>_辅助!BO26</f>
        <v>0</v>
      </c>
      <c r="AN28" s="186">
        <f>_辅助!AE26</f>
        <v>0</v>
      </c>
      <c r="AO28" s="221">
        <f>AH28-AK28-AM28</f>
        <v>0</v>
      </c>
      <c r="AP28" s="187">
        <f>AI28-AL28-AN28</f>
        <v>0</v>
      </c>
      <c r="AQ28" s="236">
        <f>IF(AND(AH28&gt;0,AI28&gt;0),0,AL28)</f>
        <v>0</v>
      </c>
      <c r="AR28" s="220">
        <f>IF($B28="",0,SUMIFS(采购进货!$E$4:$E$1503,采购进货!$D$4:$D$1503,$B28,采购进货!$B$4:$B$1503,"&gt;="&amp;DATE(年度,4,1),采购进货!$B$4:$B$1503,"&lt;"&amp;DATE(年度,4+1,1))+SUMIFS(采购进货!$H$4:$H$1503,采购进货!$D$4:$D$1503,$B28,采购进货!$B$4:$B$1503,"&gt;="&amp;DATE(年度,4,1),采购进货!$B$4:$B$1503,"&lt;"&amp;DATE(年度,4+1,1)))</f>
        <v>0</v>
      </c>
      <c r="AS28" s="186">
        <f>IF($B28="",0,SUMIFS(采购进货!$G$4:$G$1503,采购进货!$D$4:$D$1503,$B28,采购进货!$B$4:$B$1503,"&gt;="&amp;DATE(年度,4,1),采购进货!$B$4:$B$1503,"&lt;"&amp;DATE(年度,4+1,1)))</f>
        <v>0</v>
      </c>
      <c r="AT28" s="234">
        <f>AO28+AR28</f>
        <v>0</v>
      </c>
      <c r="AU28" s="235">
        <f>AP28+AS28</f>
        <v>0</v>
      </c>
      <c r="AV28" s="222">
        <f>IF(AND(AT28&gt;0,AU28&gt;0),AU28/AT28,N($E28))</f>
        <v>46.005</v>
      </c>
      <c r="AW28" s="220">
        <f>IF($B28="",0,SUMIFS(出库明细!$E$4:$E$3003,出库明细!$D$4:$D$3003,$B28,出库明细!$B$4:$B$3003,"&gt;="&amp;DATE(年度,4,1),出库明细!$B$4:$B$3003,"&lt;"&amp;DATE(年度,4+1,1)))</f>
        <v>0</v>
      </c>
      <c r="AX28" s="186">
        <f>AW28*AV28</f>
        <v>0</v>
      </c>
      <c r="AY28" s="220">
        <f>_辅助!BP26</f>
        <v>0</v>
      </c>
      <c r="AZ28" s="186">
        <f>_辅助!AF26</f>
        <v>0</v>
      </c>
      <c r="BA28" s="221">
        <f>AT28-AW28-AY28</f>
        <v>0</v>
      </c>
      <c r="BB28" s="187">
        <f>AU28-AX28-AZ28</f>
        <v>0</v>
      </c>
      <c r="BC28" s="236">
        <f>IF(AND(AT28&gt;0,AU28&gt;0),0,AX28)</f>
        <v>0</v>
      </c>
      <c r="BD28" s="220">
        <f>IF($B28="",0,SUMIFS(采购进货!$E$4:$E$1503,采购进货!$D$4:$D$1503,$B28,采购进货!$B$4:$B$1503,"&gt;="&amp;DATE(年度,5,1),采购进货!$B$4:$B$1503,"&lt;"&amp;DATE(年度,5+1,1))+SUMIFS(采购进货!$H$4:$H$1503,采购进货!$D$4:$D$1503,$B28,采购进货!$B$4:$B$1503,"&gt;="&amp;DATE(年度,5,1),采购进货!$B$4:$B$1503,"&lt;"&amp;DATE(年度,5+1,1)))</f>
        <v>0</v>
      </c>
      <c r="BE28" s="186">
        <f>IF($B28="",0,SUMIFS(采购进货!$G$4:$G$1503,采购进货!$D$4:$D$1503,$B28,采购进货!$B$4:$B$1503,"&gt;="&amp;DATE(年度,5,1),采购进货!$B$4:$B$1503,"&lt;"&amp;DATE(年度,5+1,1)))</f>
        <v>0</v>
      </c>
      <c r="BF28" s="234">
        <f>BA28+BD28</f>
        <v>0</v>
      </c>
      <c r="BG28" s="235">
        <f>BB28+BE28</f>
        <v>0</v>
      </c>
      <c r="BH28" s="222">
        <f>IF(AND(BF28&gt;0,BG28&gt;0),BG28/BF28,N($E28))</f>
        <v>46.005</v>
      </c>
      <c r="BI28" s="220">
        <f>IF($B28="",0,SUMIFS(出库明细!$E$4:$E$3003,出库明细!$D$4:$D$3003,$B28,出库明细!$B$4:$B$3003,"&gt;="&amp;DATE(年度,5,1),出库明细!$B$4:$B$3003,"&lt;"&amp;DATE(年度,5+1,1)))</f>
        <v>0</v>
      </c>
      <c r="BJ28" s="186">
        <f>BI28*BH28</f>
        <v>0</v>
      </c>
      <c r="BK28" s="220">
        <f>_辅助!BQ26</f>
        <v>0</v>
      </c>
      <c r="BL28" s="186">
        <f>_辅助!AG26</f>
        <v>0</v>
      </c>
      <c r="BM28" s="221">
        <f>BF28-BI28-BK28</f>
        <v>0</v>
      </c>
      <c r="BN28" s="187">
        <f>BG28-BJ28-BL28</f>
        <v>0</v>
      </c>
      <c r="BO28" s="236">
        <f>IF(AND(BF28&gt;0,BG28&gt;0),0,BJ28)</f>
        <v>0</v>
      </c>
      <c r="BP28" s="220">
        <f>IF($B28="",0,SUMIFS(采购进货!$E$4:$E$1503,采购进货!$D$4:$D$1503,$B28,采购进货!$B$4:$B$1503,"&gt;="&amp;DATE(年度,6,1),采购进货!$B$4:$B$1503,"&lt;"&amp;DATE(年度,6+1,1))+SUMIFS(采购进货!$H$4:$H$1503,采购进货!$D$4:$D$1503,$B28,采购进货!$B$4:$B$1503,"&gt;="&amp;DATE(年度,6,1),采购进货!$B$4:$B$1503,"&lt;"&amp;DATE(年度,6+1,1)))</f>
        <v>0</v>
      </c>
      <c r="BQ28" s="186">
        <f>IF($B28="",0,SUMIFS(采购进货!$G$4:$G$1503,采购进货!$D$4:$D$1503,$B28,采购进货!$B$4:$B$1503,"&gt;="&amp;DATE(年度,6,1),采购进货!$B$4:$B$1503,"&lt;"&amp;DATE(年度,6+1,1)))</f>
        <v>0</v>
      </c>
      <c r="BR28" s="234">
        <f>BM28+BP28</f>
        <v>0</v>
      </c>
      <c r="BS28" s="235">
        <f>BN28+BQ28</f>
        <v>0</v>
      </c>
      <c r="BT28" s="222">
        <f>IF(AND(BR28&gt;0,BS28&gt;0),BS28/BR28,N($E28))</f>
        <v>46.005</v>
      </c>
      <c r="BU28" s="220">
        <f>IF($B28="",0,SUMIFS(出库明细!$E$4:$E$3003,出库明细!$D$4:$D$3003,$B28,出库明细!$B$4:$B$3003,"&gt;="&amp;DATE(年度,6,1),出库明细!$B$4:$B$3003,"&lt;"&amp;DATE(年度,6+1,1)))</f>
        <v>120</v>
      </c>
      <c r="BV28" s="186">
        <f>BU28*BT28</f>
        <v>5520.6</v>
      </c>
      <c r="BW28" s="220">
        <f>_辅助!BR26</f>
        <v>102.866666666667</v>
      </c>
      <c r="BX28" s="186">
        <f>_辅助!AH26</f>
        <v>4732.381</v>
      </c>
      <c r="BY28" s="221">
        <f>BR28-BU28-BW28</f>
        <v>-222.866666666667</v>
      </c>
      <c r="BZ28" s="187">
        <f>BS28-BV28-BX28</f>
        <v>-10252.981</v>
      </c>
      <c r="CA28" s="236">
        <f>IF(AND(BR28&gt;0,BS28&gt;0),0,BV28)</f>
        <v>5520.6</v>
      </c>
      <c r="CB28" s="220">
        <f>IF($B28="",0,SUMIFS(采购进货!$E$4:$E$1503,采购进货!$D$4:$D$1503,$B28,采购进货!$B$4:$B$1503,"&gt;="&amp;DATE(年度,7,1),采购进货!$B$4:$B$1503,"&lt;"&amp;DATE(年度,7+1,1))+SUMIFS(采购进货!$H$4:$H$1503,采购进货!$D$4:$D$1503,$B28,采购进货!$B$4:$B$1503,"&gt;="&amp;DATE(年度,7,1),采购进货!$B$4:$B$1503,"&lt;"&amp;DATE(年度,7+1,1)))</f>
        <v>0</v>
      </c>
      <c r="CC28" s="186">
        <f>IF($B28="",0,SUMIFS(采购进货!$G$4:$G$1503,采购进货!$D$4:$D$1503,$B28,采购进货!$B$4:$B$1503,"&gt;="&amp;DATE(年度,7,1),采购进货!$B$4:$B$1503,"&lt;"&amp;DATE(年度,7+1,1)))</f>
        <v>0</v>
      </c>
      <c r="CD28" s="234">
        <f>BY28+CB28</f>
        <v>-222.866666666667</v>
      </c>
      <c r="CE28" s="235">
        <f>BZ28+CC28</f>
        <v>-10252.981</v>
      </c>
      <c r="CF28" s="222">
        <f>IF(AND(CD28&gt;0,CE28&gt;0),CE28/CD28,N($E28))</f>
        <v>46.005</v>
      </c>
      <c r="CG28" s="220">
        <f>IF($B28="",0,SUMIFS(出库明细!$E$4:$E$3003,出库明细!$D$4:$D$3003,$B28,出库明细!$B$4:$B$3003,"&gt;="&amp;DATE(年度,7,1),出库明细!$B$4:$B$3003,"&lt;"&amp;DATE(年度,7+1,1)))</f>
        <v>453</v>
      </c>
      <c r="CH28" s="186">
        <f>CG28*CF28</f>
        <v>20840.265</v>
      </c>
      <c r="CI28" s="220">
        <f>_辅助!BS26</f>
        <v>1.66666666666667</v>
      </c>
      <c r="CJ28" s="186">
        <f>_辅助!AI26</f>
        <v>76.675</v>
      </c>
      <c r="CK28" s="221">
        <f>CD28-CG28-CI28</f>
        <v>-677.533333333333</v>
      </c>
      <c r="CL28" s="187">
        <f>CE28-CH28-CJ28</f>
        <v>-31169.921</v>
      </c>
      <c r="CM28" s="236">
        <f>IF(AND(CD28&gt;0,CE28&gt;0),0,CH28)</f>
        <v>20840.265</v>
      </c>
      <c r="CN28" s="220">
        <f>IF($B28="",0,SUMIFS(采购进货!$E$4:$E$1503,采购进货!$D$4:$D$1503,$B28,采购进货!$B$4:$B$1503,"&gt;="&amp;DATE(年度,8,1),采购进货!$B$4:$B$1503,"&lt;"&amp;DATE(年度,8+1,1))+SUMIFS(采购进货!$H$4:$H$1503,采购进货!$D$4:$D$1503,$B28,采购进货!$B$4:$B$1503,"&gt;="&amp;DATE(年度,8,1),采购进货!$B$4:$B$1503,"&lt;"&amp;DATE(年度,8+1,1)))</f>
        <v>0</v>
      </c>
      <c r="CO28" s="186">
        <f>IF($B28="",0,SUMIFS(采购进货!$G$4:$G$1503,采购进货!$D$4:$D$1503,$B28,采购进货!$B$4:$B$1503,"&gt;="&amp;DATE(年度,8,1),采购进货!$B$4:$B$1503,"&lt;"&amp;DATE(年度,8+1,1)))</f>
        <v>0</v>
      </c>
      <c r="CP28" s="234">
        <f>CK28+CN28</f>
        <v>-677.533333333333</v>
      </c>
      <c r="CQ28" s="235">
        <f>CL28+CO28</f>
        <v>-31169.921</v>
      </c>
      <c r="CR28" s="222">
        <f>IF(AND(CP28&gt;0,CQ28&gt;0),CQ28/CP28,N($E28))</f>
        <v>46.005</v>
      </c>
      <c r="CS28" s="220">
        <f>IF($B28="",0,SUMIFS(出库明细!$E$4:$E$3003,出库明细!$D$4:$D$3003,$B28,出库明细!$B$4:$B$3003,"&gt;="&amp;DATE(年度,8,1),出库明细!$B$4:$B$3003,"&lt;"&amp;DATE(年度,8+1,1)))</f>
        <v>317</v>
      </c>
      <c r="CT28" s="186">
        <f>CS28*CR28</f>
        <v>14583.585</v>
      </c>
      <c r="CU28" s="220">
        <f>_辅助!BT26</f>
        <v>48.3333333333333</v>
      </c>
      <c r="CV28" s="186">
        <f>_辅助!AJ26</f>
        <v>2223.575</v>
      </c>
      <c r="CW28" s="221">
        <f>CP28-CS28-CU28</f>
        <v>-1042.86666666667</v>
      </c>
      <c r="CX28" s="187">
        <f>CQ28-CT28-CV28</f>
        <v>-47977.081</v>
      </c>
      <c r="CY28" s="236">
        <f>IF(AND(CP28&gt;0,CQ28&gt;0),0,CT28)</f>
        <v>14583.585</v>
      </c>
      <c r="CZ28" s="220">
        <f>IF($B28="",0,SUMIFS(采购进货!$E$4:$E$1503,采购进货!$D$4:$D$1503,$B28,采购进货!$B$4:$B$1503,"&gt;="&amp;DATE(年度,9,1),采购进货!$B$4:$B$1503,"&lt;"&amp;DATE(年度,9+1,1))+SUMIFS(采购进货!$H$4:$H$1503,采购进货!$D$4:$D$1503,$B28,采购进货!$B$4:$B$1503,"&gt;="&amp;DATE(年度,9,1),采购进货!$B$4:$B$1503,"&lt;"&amp;DATE(年度,9+1,1)))</f>
        <v>0</v>
      </c>
      <c r="DA28" s="186">
        <f>IF($B28="",0,SUMIFS(采购进货!$G$4:$G$1503,采购进货!$D$4:$D$1503,$B28,采购进货!$B$4:$B$1503,"&gt;="&amp;DATE(年度,9,1),采购进货!$B$4:$B$1503,"&lt;"&amp;DATE(年度,9+1,1)))</f>
        <v>0</v>
      </c>
      <c r="DB28" s="234">
        <f>CW28+CZ28</f>
        <v>-1042.86666666667</v>
      </c>
      <c r="DC28" s="235">
        <f>CX28+DA28</f>
        <v>-47977.081</v>
      </c>
      <c r="DD28" s="222">
        <f>IF(AND(DB28&gt;0,DC28&gt;0),DC28/DB28,N($E28))</f>
        <v>46.005</v>
      </c>
      <c r="DE28" s="220">
        <f>IF($B28="",0,SUMIFS(出库明细!$E$4:$E$3003,出库明细!$D$4:$D$3003,$B28,出库明细!$B$4:$B$3003,"&gt;="&amp;DATE(年度,9,1),出库明细!$B$4:$B$3003,"&lt;"&amp;DATE(年度,9+1,1)))</f>
        <v>247</v>
      </c>
      <c r="DF28" s="186">
        <f>DE28*DD28</f>
        <v>11363.235</v>
      </c>
      <c r="DG28" s="220">
        <f>_辅助!BU26</f>
        <v>0</v>
      </c>
      <c r="DH28" s="186">
        <f>_辅助!AK26</f>
        <v>0</v>
      </c>
      <c r="DI28" s="221">
        <f>DB28-DE28-DG28</f>
        <v>-1289.86666666667</v>
      </c>
      <c r="DJ28" s="187">
        <f>DC28-DF28-DH28</f>
        <v>-59340.316</v>
      </c>
      <c r="DK28" s="236">
        <f>IF(AND(DB28&gt;0,DC28&gt;0),0,DF28)</f>
        <v>11363.235</v>
      </c>
      <c r="DL28" s="220">
        <f>IF($B28="",0,SUMIFS(采购进货!$E$4:$E$1503,采购进货!$D$4:$D$1503,$B28,采购进货!$B$4:$B$1503,"&gt;="&amp;DATE(年度,10,1),采购进货!$B$4:$B$1503,"&lt;"&amp;DATE(年度,10+1,1))+SUMIFS(采购进货!$H$4:$H$1503,采购进货!$D$4:$D$1503,$B28,采购进货!$B$4:$B$1503,"&gt;="&amp;DATE(年度,10,1),采购进货!$B$4:$B$1503,"&lt;"&amp;DATE(年度,10+1,1)))</f>
        <v>0</v>
      </c>
      <c r="DM28" s="186">
        <f>IF($B28="",0,SUMIFS(采购进货!$G$4:$G$1503,采购进货!$D$4:$D$1503,$B28,采购进货!$B$4:$B$1503,"&gt;="&amp;DATE(年度,10,1),采购进货!$B$4:$B$1503,"&lt;"&amp;DATE(年度,10+1,1)))</f>
        <v>0</v>
      </c>
      <c r="DN28" s="234">
        <f>DI28+DL28</f>
        <v>-1289.86666666667</v>
      </c>
      <c r="DO28" s="235">
        <f>DJ28+DM28</f>
        <v>-59340.316</v>
      </c>
      <c r="DP28" s="222">
        <f>IF(AND(DN28&gt;0,DO28&gt;0),DO28/DN28,N($E28))</f>
        <v>46.005</v>
      </c>
      <c r="DQ28" s="220">
        <f>IF($B28="",0,SUMIFS(出库明细!$E$4:$E$3003,出库明细!$D$4:$D$3003,$B28,出库明细!$B$4:$B$3003,"&gt;="&amp;DATE(年度,10,1),出库明细!$B$4:$B$3003,"&lt;"&amp;DATE(年度,10+1,1)))</f>
        <v>0</v>
      </c>
      <c r="DR28" s="186">
        <f>DQ28*DP28</f>
        <v>0</v>
      </c>
      <c r="DS28" s="220">
        <f>_辅助!BV26</f>
        <v>0</v>
      </c>
      <c r="DT28" s="186">
        <f>_辅助!AL26</f>
        <v>0</v>
      </c>
      <c r="DU28" s="221">
        <f>DN28-DQ28-DS28</f>
        <v>-1289.86666666667</v>
      </c>
      <c r="DV28" s="187">
        <f>DO28-DR28-DT28</f>
        <v>-59340.316</v>
      </c>
      <c r="DW28" s="236">
        <f>IF(AND(DN28&gt;0,DO28&gt;0),0,DR28)</f>
        <v>0</v>
      </c>
      <c r="DX28" s="220">
        <f>IF($B28="",0,SUMIFS(采购进货!$E$4:$E$1503,采购进货!$D$4:$D$1503,$B28,采购进货!$B$4:$B$1503,"&gt;="&amp;DATE(年度,11,1),采购进货!$B$4:$B$1503,"&lt;"&amp;DATE(年度,11+1,1))+SUMIFS(采购进货!$H$4:$H$1503,采购进货!$D$4:$D$1503,$B28,采购进货!$B$4:$B$1503,"&gt;="&amp;DATE(年度,11,1),采购进货!$B$4:$B$1503,"&lt;"&amp;DATE(年度,11+1,1)))</f>
        <v>0</v>
      </c>
      <c r="DY28" s="186">
        <f>IF($B28="",0,SUMIFS(采购进货!$G$4:$G$1503,采购进货!$D$4:$D$1503,$B28,采购进货!$B$4:$B$1503,"&gt;="&amp;DATE(年度,11,1),采购进货!$B$4:$B$1503,"&lt;"&amp;DATE(年度,11+1,1)))</f>
        <v>0</v>
      </c>
      <c r="DZ28" s="234">
        <f>DU28+DX28</f>
        <v>-1289.86666666667</v>
      </c>
      <c r="EA28" s="235">
        <f>DV28+DY28</f>
        <v>-59340.316</v>
      </c>
      <c r="EB28" s="222">
        <f>IF(AND(DZ28&gt;0,EA28&gt;0),EA28/DZ28,N($E28))</f>
        <v>46.005</v>
      </c>
      <c r="EC28" s="220">
        <f>IF($B28="",0,SUMIFS(出库明细!$E$4:$E$3003,出库明细!$D$4:$D$3003,$B28,出库明细!$B$4:$B$3003,"&gt;="&amp;DATE(年度,11,1),出库明细!$B$4:$B$3003,"&lt;"&amp;DATE(年度,11+1,1)))</f>
        <v>0</v>
      </c>
      <c r="ED28" s="186">
        <f>EC28*EB28</f>
        <v>0</v>
      </c>
      <c r="EE28" s="220">
        <f>_辅助!BW26</f>
        <v>0</v>
      </c>
      <c r="EF28" s="186">
        <f>_辅助!AM26</f>
        <v>0</v>
      </c>
      <c r="EG28" s="221">
        <f>DZ28-EC28-EE28</f>
        <v>-1289.86666666667</v>
      </c>
      <c r="EH28" s="187">
        <f>EA28-ED28-EF28</f>
        <v>-59340.316</v>
      </c>
      <c r="EI28" s="236">
        <f>IF(AND(DZ28&gt;0,EA28&gt;0),0,ED28)</f>
        <v>0</v>
      </c>
      <c r="EJ28" s="220">
        <f>IF($B28="",0,SUMIFS(采购进货!$E$4:$E$1503,采购进货!$D$4:$D$1503,$B28,采购进货!$B$4:$B$1503,"&gt;="&amp;DATE(年度,12,1),采购进货!$B$4:$B$1503,"&lt;"&amp;DATE(年度,12+1,1))+SUMIFS(采购进货!$H$4:$H$1503,采购进货!$D$4:$D$1503,$B28,采购进货!$B$4:$B$1503,"&gt;="&amp;DATE(年度,12,1),采购进货!$B$4:$B$1503,"&lt;"&amp;DATE(年度,12+1,1)))</f>
        <v>0</v>
      </c>
      <c r="EK28" s="186">
        <f>IF($B28="",0,SUMIFS(采购进货!$G$4:$G$1503,采购进货!$D$4:$D$1503,$B28,采购进货!$B$4:$B$1503,"&gt;="&amp;DATE(年度,12,1),采购进货!$B$4:$B$1503,"&lt;"&amp;DATE(年度,12+1,1)))</f>
        <v>0</v>
      </c>
      <c r="EL28" s="234">
        <f>EG28+EJ28</f>
        <v>-1289.86666666667</v>
      </c>
      <c r="EM28" s="235">
        <f>EH28+EK28</f>
        <v>-59340.316</v>
      </c>
      <c r="EN28" s="222">
        <f>IF(AND(EL28&gt;0,EM28&gt;0),EM28/EL28,N($E28))</f>
        <v>46.005</v>
      </c>
      <c r="EO28" s="220">
        <f>IF($B28="",0,SUMIFS(出库明细!$E$4:$E$3003,出库明细!$D$4:$D$3003,$B28,出库明细!$B$4:$B$3003,"&gt;="&amp;DATE(年度,12,1),出库明细!$B$4:$B$3003,"&lt;"&amp;DATE(年度,12+1,1)))</f>
        <v>0</v>
      </c>
      <c r="EP28" s="186">
        <f>EO28*EN28</f>
        <v>0</v>
      </c>
      <c r="EQ28" s="220">
        <f>_辅助!BX26</f>
        <v>0</v>
      </c>
      <c r="ER28" s="186">
        <f>_辅助!AN26</f>
        <v>0</v>
      </c>
      <c r="ES28" s="221">
        <f>EL28-EO28-EQ28</f>
        <v>-1289.86666666667</v>
      </c>
      <c r="ET28" s="187">
        <f>EM28-EP28-ER28</f>
        <v>-59340.316</v>
      </c>
      <c r="EU28" s="236">
        <f>IF(AND(EL28&gt;0,EM28&gt;0),0,EP28)</f>
        <v>0</v>
      </c>
    </row>
    <row r="29">
      <c r="A29" s="194">
        <f>IF(B29="","",ROW()-7)</f>
        <v>22</v>
      </c>
      <c r="B29" s="141" t="str">
        <f>IF(基础资料!E26="","",基础资料!E26&amp;"")</f>
        <v>900农夫饮料</v>
      </c>
      <c r="C29" s="230" t="str">
        <f>IF(基础资料!G26="","",基础资料!G26&amp;"")</f>
        <v>农夫900ML饮料</v>
      </c>
      <c r="D29" s="194">
        <f>IF(基础资料!I26="","",基础资料!I26)</f>
        <v>12</v>
      </c>
      <c r="E29" s="231">
        <f>IF(基础资料!J26="","",基础资料!J26)</f>
        <v>50.04</v>
      </c>
      <c r="F29" s="232">
        <f>N(基础资料!L26)</f>
        <v>0</v>
      </c>
      <c r="G29" s="233">
        <f>IF(基础资料!N26="",0,基础资料!N26)</f>
        <v>0</v>
      </c>
      <c r="H29" s="220">
        <f>IF($B29="",0,SUMIFS(采购进货!$E$4:$E$1503,采购进货!$D$4:$D$1503,$B29,采购进货!$B$4:$B$1503,"&gt;="&amp;DATE(年度,1,1),采购进货!$B$4:$B$1503,"&lt;"&amp;DATE(年度,1+1,1))+SUMIFS(采购进货!$H$4:$H$1503,采购进货!$D$4:$D$1503,$B29,采购进货!$B$4:$B$1503,"&gt;="&amp;DATE(年度,1,1),采购进货!$B$4:$B$1503,"&lt;"&amp;DATE(年度,1+1,1)))</f>
        <v>0</v>
      </c>
      <c r="I29" s="186">
        <f>IF($B29="",0,SUMIFS(采购进货!$G$4:$G$1503,采购进货!$D$4:$D$1503,$B29,采购进货!$B$4:$B$1503,"&gt;="&amp;DATE(年度,1,1),采购进货!$B$4:$B$1503,"&lt;"&amp;DATE(年度,1+1,1)))</f>
        <v>0</v>
      </c>
      <c r="J29" s="234">
        <f>F29+H29</f>
        <v>0</v>
      </c>
      <c r="K29" s="235">
        <f>G29+I29</f>
        <v>0</v>
      </c>
      <c r="L29" s="222">
        <f>IF(AND(J29&gt;0,K29&gt;0),K29/J29,N($E29))</f>
        <v>50.04</v>
      </c>
      <c r="M29" s="220">
        <f>IF($B29="",0,SUMIFS(出库明细!$E$4:$E$3003,出库明细!$D$4:$D$3003,$B29,出库明细!$B$4:$B$3003,"&gt;="&amp;DATE(年度,1,1),出库明细!$B$4:$B$3003,"&lt;"&amp;DATE(年度,1+1,1)))</f>
        <v>0</v>
      </c>
      <c r="N29" s="186">
        <f>M29*L29</f>
        <v>0</v>
      </c>
      <c r="O29" s="220">
        <f>_辅助!BM27</f>
        <v>0</v>
      </c>
      <c r="P29" s="186">
        <f>_辅助!AC27</f>
        <v>0</v>
      </c>
      <c r="Q29" s="221">
        <f>J29-M29-O29</f>
        <v>0</v>
      </c>
      <c r="R29" s="187">
        <f>K29-N29-P29</f>
        <v>0</v>
      </c>
      <c r="S29" s="236">
        <f>IF(AND(J29&gt;0,K29&gt;0),0,N29)</f>
        <v>0</v>
      </c>
      <c r="T29" s="220">
        <f>IF($B29="",0,SUMIFS(采购进货!$E$4:$E$1503,采购进货!$D$4:$D$1503,$B29,采购进货!$B$4:$B$1503,"&gt;="&amp;DATE(年度,2,1),采购进货!$B$4:$B$1503,"&lt;"&amp;DATE(年度,2+1,1))+SUMIFS(采购进货!$H$4:$H$1503,采购进货!$D$4:$D$1503,$B29,采购进货!$B$4:$B$1503,"&gt;="&amp;DATE(年度,2,1),采购进货!$B$4:$B$1503,"&lt;"&amp;DATE(年度,2+1,1)))</f>
        <v>0</v>
      </c>
      <c r="U29" s="186">
        <f>IF($B29="",0,SUMIFS(采购进货!$G$4:$G$1503,采购进货!$D$4:$D$1503,$B29,采购进货!$B$4:$B$1503,"&gt;="&amp;DATE(年度,2,1),采购进货!$B$4:$B$1503,"&lt;"&amp;DATE(年度,2+1,1)))</f>
        <v>0</v>
      </c>
      <c r="V29" s="234">
        <f>Q29+T29</f>
        <v>0</v>
      </c>
      <c r="W29" s="235">
        <f>R29+U29</f>
        <v>0</v>
      </c>
      <c r="X29" s="222">
        <f>IF(AND(V29&gt;0,W29&gt;0),W29/V29,N($E29))</f>
        <v>50.04</v>
      </c>
      <c r="Y29" s="220">
        <f>IF($B29="",0,SUMIFS(出库明细!$E$4:$E$3003,出库明细!$D$4:$D$3003,$B29,出库明细!$B$4:$B$3003,"&gt;="&amp;DATE(年度,2,1),出库明细!$B$4:$B$3003,"&lt;"&amp;DATE(年度,2+1,1)))</f>
        <v>0</v>
      </c>
      <c r="Z29" s="186">
        <f>Y29*X29</f>
        <v>0</v>
      </c>
      <c r="AA29" s="220">
        <f>_辅助!BN27</f>
        <v>0</v>
      </c>
      <c r="AB29" s="186">
        <f>_辅助!AD27</f>
        <v>0</v>
      </c>
      <c r="AC29" s="221">
        <f>V29-Y29-AA29</f>
        <v>0</v>
      </c>
      <c r="AD29" s="187">
        <f>W29-Z29-AB29</f>
        <v>0</v>
      </c>
      <c r="AE29" s="236">
        <f>IF(AND(V29&gt;0,W29&gt;0),0,Z29)</f>
        <v>0</v>
      </c>
      <c r="AF29" s="220">
        <f>IF($B29="",0,SUMIFS(采购进货!$E$4:$E$1503,采购进货!$D$4:$D$1503,$B29,采购进货!$B$4:$B$1503,"&gt;="&amp;DATE(年度,3,1),采购进货!$B$4:$B$1503,"&lt;"&amp;DATE(年度,3+1,1))+SUMIFS(采购进货!$H$4:$H$1503,采购进货!$D$4:$D$1503,$B29,采购进货!$B$4:$B$1503,"&gt;="&amp;DATE(年度,3,1),采购进货!$B$4:$B$1503,"&lt;"&amp;DATE(年度,3+1,1)))</f>
        <v>0</v>
      </c>
      <c r="AG29" s="186">
        <f>IF($B29="",0,SUMIFS(采购进货!$G$4:$G$1503,采购进货!$D$4:$D$1503,$B29,采购进货!$B$4:$B$1503,"&gt;="&amp;DATE(年度,3,1),采购进货!$B$4:$B$1503,"&lt;"&amp;DATE(年度,3+1,1)))</f>
        <v>0</v>
      </c>
      <c r="AH29" s="234">
        <f>AC29+AF29</f>
        <v>0</v>
      </c>
      <c r="AI29" s="235">
        <f>AD29+AG29</f>
        <v>0</v>
      </c>
      <c r="AJ29" s="222">
        <f>IF(AND(AH29&gt;0,AI29&gt;0),AI29/AH29,N($E29))</f>
        <v>50.04</v>
      </c>
      <c r="AK29" s="220">
        <f>IF($B29="",0,SUMIFS(出库明细!$E$4:$E$3003,出库明细!$D$4:$D$3003,$B29,出库明细!$B$4:$B$3003,"&gt;="&amp;DATE(年度,3,1),出库明细!$B$4:$B$3003,"&lt;"&amp;DATE(年度,3+1,1)))</f>
        <v>0</v>
      </c>
      <c r="AL29" s="186">
        <f>AK29*AJ29</f>
        <v>0</v>
      </c>
      <c r="AM29" s="220">
        <f>_辅助!BO27</f>
        <v>0</v>
      </c>
      <c r="AN29" s="186">
        <f>_辅助!AE27</f>
        <v>0</v>
      </c>
      <c r="AO29" s="221">
        <f>AH29-AK29-AM29</f>
        <v>0</v>
      </c>
      <c r="AP29" s="187">
        <f>AI29-AL29-AN29</f>
        <v>0</v>
      </c>
      <c r="AQ29" s="236">
        <f>IF(AND(AH29&gt;0,AI29&gt;0),0,AL29)</f>
        <v>0</v>
      </c>
      <c r="AR29" s="220">
        <f>IF($B29="",0,SUMIFS(采购进货!$E$4:$E$1503,采购进货!$D$4:$D$1503,$B29,采购进货!$B$4:$B$1503,"&gt;="&amp;DATE(年度,4,1),采购进货!$B$4:$B$1503,"&lt;"&amp;DATE(年度,4+1,1))+SUMIFS(采购进货!$H$4:$H$1503,采购进货!$D$4:$D$1503,$B29,采购进货!$B$4:$B$1503,"&gt;="&amp;DATE(年度,4,1),采购进货!$B$4:$B$1503,"&lt;"&amp;DATE(年度,4+1,1)))</f>
        <v>0</v>
      </c>
      <c r="AS29" s="186">
        <f>IF($B29="",0,SUMIFS(采购进货!$G$4:$G$1503,采购进货!$D$4:$D$1503,$B29,采购进货!$B$4:$B$1503,"&gt;="&amp;DATE(年度,4,1),采购进货!$B$4:$B$1503,"&lt;"&amp;DATE(年度,4+1,1)))</f>
        <v>0</v>
      </c>
      <c r="AT29" s="234">
        <f>AO29+AR29</f>
        <v>0</v>
      </c>
      <c r="AU29" s="235">
        <f>AP29+AS29</f>
        <v>0</v>
      </c>
      <c r="AV29" s="222">
        <f>IF(AND(AT29&gt;0,AU29&gt;0),AU29/AT29,N($E29))</f>
        <v>50.04</v>
      </c>
      <c r="AW29" s="220">
        <f>IF($B29="",0,SUMIFS(出库明细!$E$4:$E$3003,出库明细!$D$4:$D$3003,$B29,出库明细!$B$4:$B$3003,"&gt;="&amp;DATE(年度,4,1),出库明细!$B$4:$B$3003,"&lt;"&amp;DATE(年度,4+1,1)))</f>
        <v>0</v>
      </c>
      <c r="AX29" s="186">
        <f>AW29*AV29</f>
        <v>0</v>
      </c>
      <c r="AY29" s="220">
        <f>_辅助!BP27</f>
        <v>0</v>
      </c>
      <c r="AZ29" s="186">
        <f>_辅助!AF27</f>
        <v>0</v>
      </c>
      <c r="BA29" s="221">
        <f>AT29-AW29-AY29</f>
        <v>0</v>
      </c>
      <c r="BB29" s="187">
        <f>AU29-AX29-AZ29</f>
        <v>0</v>
      </c>
      <c r="BC29" s="236">
        <f>IF(AND(AT29&gt;0,AU29&gt;0),0,AX29)</f>
        <v>0</v>
      </c>
      <c r="BD29" s="220">
        <f>IF($B29="",0,SUMIFS(采购进货!$E$4:$E$1503,采购进货!$D$4:$D$1503,$B29,采购进货!$B$4:$B$1503,"&gt;="&amp;DATE(年度,5,1),采购进货!$B$4:$B$1503,"&lt;"&amp;DATE(年度,5+1,1))+SUMIFS(采购进货!$H$4:$H$1503,采购进货!$D$4:$D$1503,$B29,采购进货!$B$4:$B$1503,"&gt;="&amp;DATE(年度,5,1),采购进货!$B$4:$B$1503,"&lt;"&amp;DATE(年度,5+1,1)))</f>
        <v>0</v>
      </c>
      <c r="BE29" s="186">
        <f>IF($B29="",0,SUMIFS(采购进货!$G$4:$G$1503,采购进货!$D$4:$D$1503,$B29,采购进货!$B$4:$B$1503,"&gt;="&amp;DATE(年度,5,1),采购进货!$B$4:$B$1503,"&lt;"&amp;DATE(年度,5+1,1)))</f>
        <v>0</v>
      </c>
      <c r="BF29" s="234">
        <f>BA29+BD29</f>
        <v>0</v>
      </c>
      <c r="BG29" s="235">
        <f>BB29+BE29</f>
        <v>0</v>
      </c>
      <c r="BH29" s="222">
        <f>IF(AND(BF29&gt;0,BG29&gt;0),BG29/BF29,N($E29))</f>
        <v>50.04</v>
      </c>
      <c r="BI29" s="220">
        <f>IF($B29="",0,SUMIFS(出库明细!$E$4:$E$3003,出库明细!$D$4:$D$3003,$B29,出库明细!$B$4:$B$3003,"&gt;="&amp;DATE(年度,5,1),出库明细!$B$4:$B$3003,"&lt;"&amp;DATE(年度,5+1,1)))</f>
        <v>0</v>
      </c>
      <c r="BJ29" s="186">
        <f>BI29*BH29</f>
        <v>0</v>
      </c>
      <c r="BK29" s="220">
        <f>_辅助!BQ27</f>
        <v>0</v>
      </c>
      <c r="BL29" s="186">
        <f>_辅助!AG27</f>
        <v>0</v>
      </c>
      <c r="BM29" s="221">
        <f>BF29-BI29-BK29</f>
        <v>0</v>
      </c>
      <c r="BN29" s="187">
        <f>BG29-BJ29-BL29</f>
        <v>0</v>
      </c>
      <c r="BO29" s="236">
        <f>IF(AND(BF29&gt;0,BG29&gt;0),0,BJ29)</f>
        <v>0</v>
      </c>
      <c r="BP29" s="220">
        <f>IF($B29="",0,SUMIFS(采购进货!$E$4:$E$1503,采购进货!$D$4:$D$1503,$B29,采购进货!$B$4:$B$1503,"&gt;="&amp;DATE(年度,6,1),采购进货!$B$4:$B$1503,"&lt;"&amp;DATE(年度,6+1,1))+SUMIFS(采购进货!$H$4:$H$1503,采购进货!$D$4:$D$1503,$B29,采购进货!$B$4:$B$1503,"&gt;="&amp;DATE(年度,6,1),采购进货!$B$4:$B$1503,"&lt;"&amp;DATE(年度,6+1,1)))</f>
        <v>0</v>
      </c>
      <c r="BQ29" s="186">
        <f>IF($B29="",0,SUMIFS(采购进货!$G$4:$G$1503,采购进货!$D$4:$D$1503,$B29,采购进货!$B$4:$B$1503,"&gt;="&amp;DATE(年度,6,1),采购进货!$B$4:$B$1503,"&lt;"&amp;DATE(年度,6+1,1)))</f>
        <v>0</v>
      </c>
      <c r="BR29" s="234">
        <f>BM29+BP29</f>
        <v>0</v>
      </c>
      <c r="BS29" s="235">
        <f>BN29+BQ29</f>
        <v>0</v>
      </c>
      <c r="BT29" s="222">
        <f>IF(AND(BR29&gt;0,BS29&gt;0),BS29/BR29,N($E29))</f>
        <v>50.04</v>
      </c>
      <c r="BU29" s="220">
        <f>IF($B29="",0,SUMIFS(出库明细!$E$4:$E$3003,出库明细!$D$4:$D$3003,$B29,出库明细!$B$4:$B$3003,"&gt;="&amp;DATE(年度,6,1),出库明细!$B$4:$B$3003,"&lt;"&amp;DATE(年度,6+1,1)))</f>
        <v>20</v>
      </c>
      <c r="BV29" s="186">
        <f>BU29*BT29</f>
        <v>1000.8</v>
      </c>
      <c r="BW29" s="220">
        <f>_辅助!BR27</f>
        <v>4.08333333333333</v>
      </c>
      <c r="BX29" s="186">
        <f>_辅助!AH27</f>
        <v>204.33</v>
      </c>
      <c r="BY29" s="221">
        <f>BR29-BU29-BW29</f>
        <v>-24.0833333333333</v>
      </c>
      <c r="BZ29" s="187">
        <f>BS29-BV29-BX29</f>
        <v>-1205.13</v>
      </c>
      <c r="CA29" s="236">
        <f>IF(AND(BR29&gt;0,BS29&gt;0),0,BV29)</f>
        <v>1000.8</v>
      </c>
      <c r="CB29" s="220">
        <f>IF($B29="",0,SUMIFS(采购进货!$E$4:$E$1503,采购进货!$D$4:$D$1503,$B29,采购进货!$B$4:$B$1503,"&gt;="&amp;DATE(年度,7,1),采购进货!$B$4:$B$1503,"&lt;"&amp;DATE(年度,7+1,1))+SUMIFS(采购进货!$H$4:$H$1503,采购进货!$D$4:$D$1503,$B29,采购进货!$B$4:$B$1503,"&gt;="&amp;DATE(年度,7,1),采购进货!$B$4:$B$1503,"&lt;"&amp;DATE(年度,7+1,1)))</f>
        <v>0</v>
      </c>
      <c r="CC29" s="186">
        <f>IF($B29="",0,SUMIFS(采购进货!$G$4:$G$1503,采购进货!$D$4:$D$1503,$B29,采购进货!$B$4:$B$1503,"&gt;="&amp;DATE(年度,7,1),采购进货!$B$4:$B$1503,"&lt;"&amp;DATE(年度,7+1,1)))</f>
        <v>0</v>
      </c>
      <c r="CD29" s="234">
        <f>BY29+CB29</f>
        <v>-24.0833333333333</v>
      </c>
      <c r="CE29" s="235">
        <f>BZ29+CC29</f>
        <v>-1205.13</v>
      </c>
      <c r="CF29" s="222">
        <f>IF(AND(CD29&gt;0,CE29&gt;0),CE29/CD29,N($E29))</f>
        <v>50.04</v>
      </c>
      <c r="CG29" s="220">
        <f>IF($B29="",0,SUMIFS(出库明细!$E$4:$E$3003,出库明细!$D$4:$D$3003,$B29,出库明细!$B$4:$B$3003,"&gt;="&amp;DATE(年度,7,1),出库明细!$B$4:$B$3003,"&lt;"&amp;DATE(年度,7+1,1)))</f>
        <v>40</v>
      </c>
      <c r="CH29" s="186">
        <f>CG29*CF29</f>
        <v>2001.6</v>
      </c>
      <c r="CI29" s="220">
        <f>_辅助!BS27</f>
        <v>0</v>
      </c>
      <c r="CJ29" s="186">
        <f>_辅助!AI27</f>
        <v>0</v>
      </c>
      <c r="CK29" s="221">
        <f>CD29-CG29-CI29</f>
        <v>-64.0833333333333</v>
      </c>
      <c r="CL29" s="187">
        <f>CE29-CH29-CJ29</f>
        <v>-3206.73</v>
      </c>
      <c r="CM29" s="236">
        <f>IF(AND(CD29&gt;0,CE29&gt;0),0,CH29)</f>
        <v>2001.6</v>
      </c>
      <c r="CN29" s="220">
        <f>IF($B29="",0,SUMIFS(采购进货!$E$4:$E$1503,采购进货!$D$4:$D$1503,$B29,采购进货!$B$4:$B$1503,"&gt;="&amp;DATE(年度,8,1),采购进货!$B$4:$B$1503,"&lt;"&amp;DATE(年度,8+1,1))+SUMIFS(采购进货!$H$4:$H$1503,采购进货!$D$4:$D$1503,$B29,采购进货!$B$4:$B$1503,"&gt;="&amp;DATE(年度,8,1),采购进货!$B$4:$B$1503,"&lt;"&amp;DATE(年度,8+1,1)))</f>
        <v>0</v>
      </c>
      <c r="CO29" s="186">
        <f>IF($B29="",0,SUMIFS(采购进货!$G$4:$G$1503,采购进货!$D$4:$D$1503,$B29,采购进货!$B$4:$B$1503,"&gt;="&amp;DATE(年度,8,1),采购进货!$B$4:$B$1503,"&lt;"&amp;DATE(年度,8+1,1)))</f>
        <v>0</v>
      </c>
      <c r="CP29" s="234">
        <f>CK29+CN29</f>
        <v>-64.0833333333333</v>
      </c>
      <c r="CQ29" s="235">
        <f>CL29+CO29</f>
        <v>-3206.73</v>
      </c>
      <c r="CR29" s="222">
        <f>IF(AND(CP29&gt;0,CQ29&gt;0),CQ29/CP29,N($E29))</f>
        <v>50.04</v>
      </c>
      <c r="CS29" s="220">
        <f>IF($B29="",0,SUMIFS(出库明细!$E$4:$E$3003,出库明细!$D$4:$D$3003,$B29,出库明细!$B$4:$B$3003,"&gt;="&amp;DATE(年度,8,1),出库明细!$B$4:$B$3003,"&lt;"&amp;DATE(年度,8+1,1)))</f>
        <v>20</v>
      </c>
      <c r="CT29" s="186">
        <f>CS29*CR29</f>
        <v>1000.8</v>
      </c>
      <c r="CU29" s="220">
        <f>_辅助!BT27</f>
        <v>16.3333333333333</v>
      </c>
      <c r="CV29" s="186">
        <f>_辅助!AJ27</f>
        <v>817.32</v>
      </c>
      <c r="CW29" s="221">
        <f>CP29-CS29-CU29</f>
        <v>-100.416666666667</v>
      </c>
      <c r="CX29" s="187">
        <f>CQ29-CT29-CV29</f>
        <v>-5024.85</v>
      </c>
      <c r="CY29" s="236">
        <f>IF(AND(CP29&gt;0,CQ29&gt;0),0,CT29)</f>
        <v>1000.8</v>
      </c>
      <c r="CZ29" s="220">
        <f>IF($B29="",0,SUMIFS(采购进货!$E$4:$E$1503,采购进货!$D$4:$D$1503,$B29,采购进货!$B$4:$B$1503,"&gt;="&amp;DATE(年度,9,1),采购进货!$B$4:$B$1503,"&lt;"&amp;DATE(年度,9+1,1))+SUMIFS(采购进货!$H$4:$H$1503,采购进货!$D$4:$D$1503,$B29,采购进货!$B$4:$B$1503,"&gt;="&amp;DATE(年度,9,1),采购进货!$B$4:$B$1503,"&lt;"&amp;DATE(年度,9+1,1)))</f>
        <v>0</v>
      </c>
      <c r="DA29" s="186">
        <f>IF($B29="",0,SUMIFS(采购进货!$G$4:$G$1503,采购进货!$D$4:$D$1503,$B29,采购进货!$B$4:$B$1503,"&gt;="&amp;DATE(年度,9,1),采购进货!$B$4:$B$1503,"&lt;"&amp;DATE(年度,9+1,1)))</f>
        <v>0</v>
      </c>
      <c r="DB29" s="234">
        <f>CW29+CZ29</f>
        <v>-100.416666666667</v>
      </c>
      <c r="DC29" s="235">
        <f>CX29+DA29</f>
        <v>-5024.85</v>
      </c>
      <c r="DD29" s="222">
        <f>IF(AND(DB29&gt;0,DC29&gt;0),DC29/DB29,N($E29))</f>
        <v>50.04</v>
      </c>
      <c r="DE29" s="220">
        <f>IF($B29="",0,SUMIFS(出库明细!$E$4:$E$3003,出库明细!$D$4:$D$3003,$B29,出库明细!$B$4:$B$3003,"&gt;="&amp;DATE(年度,9,1),出库明细!$B$4:$B$3003,"&lt;"&amp;DATE(年度,9+1,1)))</f>
        <v>22</v>
      </c>
      <c r="DF29" s="186">
        <f>DE29*DD29</f>
        <v>1100.88</v>
      </c>
      <c r="DG29" s="220">
        <f>_辅助!BU27</f>
        <v>0</v>
      </c>
      <c r="DH29" s="186">
        <f>_辅助!AK27</f>
        <v>0</v>
      </c>
      <c r="DI29" s="221">
        <f>DB29-DE29-DG29</f>
        <v>-122.416666666667</v>
      </c>
      <c r="DJ29" s="187">
        <f>DC29-DF29-DH29</f>
        <v>-6125.73</v>
      </c>
      <c r="DK29" s="236">
        <f>IF(AND(DB29&gt;0,DC29&gt;0),0,DF29)</f>
        <v>1100.88</v>
      </c>
      <c r="DL29" s="220">
        <f>IF($B29="",0,SUMIFS(采购进货!$E$4:$E$1503,采购进货!$D$4:$D$1503,$B29,采购进货!$B$4:$B$1503,"&gt;="&amp;DATE(年度,10,1),采购进货!$B$4:$B$1503,"&lt;"&amp;DATE(年度,10+1,1))+SUMIFS(采购进货!$H$4:$H$1503,采购进货!$D$4:$D$1503,$B29,采购进货!$B$4:$B$1503,"&gt;="&amp;DATE(年度,10,1),采购进货!$B$4:$B$1503,"&lt;"&amp;DATE(年度,10+1,1)))</f>
        <v>0</v>
      </c>
      <c r="DM29" s="186">
        <f>IF($B29="",0,SUMIFS(采购进货!$G$4:$G$1503,采购进货!$D$4:$D$1503,$B29,采购进货!$B$4:$B$1503,"&gt;="&amp;DATE(年度,10,1),采购进货!$B$4:$B$1503,"&lt;"&amp;DATE(年度,10+1,1)))</f>
        <v>0</v>
      </c>
      <c r="DN29" s="234">
        <f>DI29+DL29</f>
        <v>-122.416666666667</v>
      </c>
      <c r="DO29" s="235">
        <f>DJ29+DM29</f>
        <v>-6125.73</v>
      </c>
      <c r="DP29" s="222">
        <f>IF(AND(DN29&gt;0,DO29&gt;0),DO29/DN29,N($E29))</f>
        <v>50.04</v>
      </c>
      <c r="DQ29" s="220">
        <f>IF($B29="",0,SUMIFS(出库明细!$E$4:$E$3003,出库明细!$D$4:$D$3003,$B29,出库明细!$B$4:$B$3003,"&gt;="&amp;DATE(年度,10,1),出库明细!$B$4:$B$3003,"&lt;"&amp;DATE(年度,10+1,1)))</f>
        <v>0</v>
      </c>
      <c r="DR29" s="186">
        <f>DQ29*DP29</f>
        <v>0</v>
      </c>
      <c r="DS29" s="220">
        <f>_辅助!BV27</f>
        <v>0</v>
      </c>
      <c r="DT29" s="186">
        <f>_辅助!AL27</f>
        <v>0</v>
      </c>
      <c r="DU29" s="221">
        <f>DN29-DQ29-DS29</f>
        <v>-122.416666666667</v>
      </c>
      <c r="DV29" s="187">
        <f>DO29-DR29-DT29</f>
        <v>-6125.73</v>
      </c>
      <c r="DW29" s="236">
        <f>IF(AND(DN29&gt;0,DO29&gt;0),0,DR29)</f>
        <v>0</v>
      </c>
      <c r="DX29" s="220">
        <f>IF($B29="",0,SUMIFS(采购进货!$E$4:$E$1503,采购进货!$D$4:$D$1503,$B29,采购进货!$B$4:$B$1503,"&gt;="&amp;DATE(年度,11,1),采购进货!$B$4:$B$1503,"&lt;"&amp;DATE(年度,11+1,1))+SUMIFS(采购进货!$H$4:$H$1503,采购进货!$D$4:$D$1503,$B29,采购进货!$B$4:$B$1503,"&gt;="&amp;DATE(年度,11,1),采购进货!$B$4:$B$1503,"&lt;"&amp;DATE(年度,11+1,1)))</f>
        <v>0</v>
      </c>
      <c r="DY29" s="186">
        <f>IF($B29="",0,SUMIFS(采购进货!$G$4:$G$1503,采购进货!$D$4:$D$1503,$B29,采购进货!$B$4:$B$1503,"&gt;="&amp;DATE(年度,11,1),采购进货!$B$4:$B$1503,"&lt;"&amp;DATE(年度,11+1,1)))</f>
        <v>0</v>
      </c>
      <c r="DZ29" s="234">
        <f>DU29+DX29</f>
        <v>-122.416666666667</v>
      </c>
      <c r="EA29" s="235">
        <f>DV29+DY29</f>
        <v>-6125.73</v>
      </c>
      <c r="EB29" s="222">
        <f>IF(AND(DZ29&gt;0,EA29&gt;0),EA29/DZ29,N($E29))</f>
        <v>50.04</v>
      </c>
      <c r="EC29" s="220">
        <f>IF($B29="",0,SUMIFS(出库明细!$E$4:$E$3003,出库明细!$D$4:$D$3003,$B29,出库明细!$B$4:$B$3003,"&gt;="&amp;DATE(年度,11,1),出库明细!$B$4:$B$3003,"&lt;"&amp;DATE(年度,11+1,1)))</f>
        <v>0</v>
      </c>
      <c r="ED29" s="186">
        <f>EC29*EB29</f>
        <v>0</v>
      </c>
      <c r="EE29" s="220">
        <f>_辅助!BW27</f>
        <v>0</v>
      </c>
      <c r="EF29" s="186">
        <f>_辅助!AM27</f>
        <v>0</v>
      </c>
      <c r="EG29" s="221">
        <f>DZ29-EC29-EE29</f>
        <v>-122.416666666667</v>
      </c>
      <c r="EH29" s="187">
        <f>EA29-ED29-EF29</f>
        <v>-6125.73</v>
      </c>
      <c r="EI29" s="236">
        <f>IF(AND(DZ29&gt;0,EA29&gt;0),0,ED29)</f>
        <v>0</v>
      </c>
      <c r="EJ29" s="220">
        <f>IF($B29="",0,SUMIFS(采购进货!$E$4:$E$1503,采购进货!$D$4:$D$1503,$B29,采购进货!$B$4:$B$1503,"&gt;="&amp;DATE(年度,12,1),采购进货!$B$4:$B$1503,"&lt;"&amp;DATE(年度,12+1,1))+SUMIFS(采购进货!$H$4:$H$1503,采购进货!$D$4:$D$1503,$B29,采购进货!$B$4:$B$1503,"&gt;="&amp;DATE(年度,12,1),采购进货!$B$4:$B$1503,"&lt;"&amp;DATE(年度,12+1,1)))</f>
        <v>0</v>
      </c>
      <c r="EK29" s="186">
        <f>IF($B29="",0,SUMIFS(采购进货!$G$4:$G$1503,采购进货!$D$4:$D$1503,$B29,采购进货!$B$4:$B$1503,"&gt;="&amp;DATE(年度,12,1),采购进货!$B$4:$B$1503,"&lt;"&amp;DATE(年度,12+1,1)))</f>
        <v>0</v>
      </c>
      <c r="EL29" s="234">
        <f>EG29+EJ29</f>
        <v>-122.416666666667</v>
      </c>
      <c r="EM29" s="235">
        <f>EH29+EK29</f>
        <v>-6125.73</v>
      </c>
      <c r="EN29" s="222">
        <f>IF(AND(EL29&gt;0,EM29&gt;0),EM29/EL29,N($E29))</f>
        <v>50.04</v>
      </c>
      <c r="EO29" s="220">
        <f>IF($B29="",0,SUMIFS(出库明细!$E$4:$E$3003,出库明细!$D$4:$D$3003,$B29,出库明细!$B$4:$B$3003,"&gt;="&amp;DATE(年度,12,1),出库明细!$B$4:$B$3003,"&lt;"&amp;DATE(年度,12+1,1)))</f>
        <v>0</v>
      </c>
      <c r="EP29" s="186">
        <f>EO29*EN29</f>
        <v>0</v>
      </c>
      <c r="EQ29" s="220">
        <f>_辅助!BX27</f>
        <v>0</v>
      </c>
      <c r="ER29" s="186">
        <f>_辅助!AN27</f>
        <v>0</v>
      </c>
      <c r="ES29" s="221">
        <f>EL29-EO29-EQ29</f>
        <v>-122.416666666667</v>
      </c>
      <c r="ET29" s="187">
        <f>EM29-EP29-ER29</f>
        <v>-6125.73</v>
      </c>
      <c r="EU29" s="236">
        <f>IF(AND(EL29&gt;0,EM29&gt;0),0,EP29)</f>
        <v>0</v>
      </c>
    </row>
    <row r="30">
      <c r="A30" s="194">
        <f>IF(B30="","",ROW()-7)</f>
        <v>23</v>
      </c>
      <c r="B30" s="141" t="str">
        <f>IF(基础资料!E27="","",基础资料!E27&amp;"")</f>
        <v>550农夫水</v>
      </c>
      <c r="C30" s="230" t="str">
        <f>IF(基础资料!G27="","",基础资料!G27&amp;"")</f>
        <v>农夫550ML水</v>
      </c>
      <c r="D30" s="194">
        <f>IF(基础资料!I27="","",基础资料!I27)</f>
        <v>24</v>
      </c>
      <c r="E30" s="231">
        <f>IF(基础资料!J27="","",基础资料!J27)</f>
        <v>20.016</v>
      </c>
      <c r="F30" s="232">
        <f>N(基础资料!L27)</f>
        <v>0</v>
      </c>
      <c r="G30" s="233">
        <f>IF(基础资料!N27="",0,基础资料!N27)</f>
        <v>0</v>
      </c>
      <c r="H30" s="220">
        <f>IF($B30="",0,SUMIFS(采购进货!$E$4:$E$1503,采购进货!$D$4:$D$1503,$B30,采购进货!$B$4:$B$1503,"&gt;="&amp;DATE(年度,1,1),采购进货!$B$4:$B$1503,"&lt;"&amp;DATE(年度,1+1,1))+SUMIFS(采购进货!$H$4:$H$1503,采购进货!$D$4:$D$1503,$B30,采购进货!$B$4:$B$1503,"&gt;="&amp;DATE(年度,1,1),采购进货!$B$4:$B$1503,"&lt;"&amp;DATE(年度,1+1,1)))</f>
        <v>0</v>
      </c>
      <c r="I30" s="186">
        <f>IF($B30="",0,SUMIFS(采购进货!$G$4:$G$1503,采购进货!$D$4:$D$1503,$B30,采购进货!$B$4:$B$1503,"&gt;="&amp;DATE(年度,1,1),采购进货!$B$4:$B$1503,"&lt;"&amp;DATE(年度,1+1,1)))</f>
        <v>0</v>
      </c>
      <c r="J30" s="234">
        <f>F30+H30</f>
        <v>0</v>
      </c>
      <c r="K30" s="235">
        <f>G30+I30</f>
        <v>0</v>
      </c>
      <c r="L30" s="222">
        <f>IF(AND(J30&gt;0,K30&gt;0),K30/J30,N($E30))</f>
        <v>20.016</v>
      </c>
      <c r="M30" s="220">
        <f>IF($B30="",0,SUMIFS(出库明细!$E$4:$E$3003,出库明细!$D$4:$D$3003,$B30,出库明细!$B$4:$B$3003,"&gt;="&amp;DATE(年度,1,1),出库明细!$B$4:$B$3003,"&lt;"&amp;DATE(年度,1+1,1)))</f>
        <v>0</v>
      </c>
      <c r="N30" s="186">
        <f>M30*L30</f>
        <v>0</v>
      </c>
      <c r="O30" s="220">
        <f>_辅助!BM28</f>
        <v>0</v>
      </c>
      <c r="P30" s="186">
        <f>_辅助!AC28</f>
        <v>0</v>
      </c>
      <c r="Q30" s="221">
        <f>J30-M30-O30</f>
        <v>0</v>
      </c>
      <c r="R30" s="187">
        <f>K30-N30-P30</f>
        <v>0</v>
      </c>
      <c r="S30" s="236">
        <f>IF(AND(J30&gt;0,K30&gt;0),0,N30)</f>
        <v>0</v>
      </c>
      <c r="T30" s="220">
        <f>IF($B30="",0,SUMIFS(采购进货!$E$4:$E$1503,采购进货!$D$4:$D$1503,$B30,采购进货!$B$4:$B$1503,"&gt;="&amp;DATE(年度,2,1),采购进货!$B$4:$B$1503,"&lt;"&amp;DATE(年度,2+1,1))+SUMIFS(采购进货!$H$4:$H$1503,采购进货!$D$4:$D$1503,$B30,采购进货!$B$4:$B$1503,"&gt;="&amp;DATE(年度,2,1),采购进货!$B$4:$B$1503,"&lt;"&amp;DATE(年度,2+1,1)))</f>
        <v>0</v>
      </c>
      <c r="U30" s="186">
        <f>IF($B30="",0,SUMIFS(采购进货!$G$4:$G$1503,采购进货!$D$4:$D$1503,$B30,采购进货!$B$4:$B$1503,"&gt;="&amp;DATE(年度,2,1),采购进货!$B$4:$B$1503,"&lt;"&amp;DATE(年度,2+1,1)))</f>
        <v>0</v>
      </c>
      <c r="V30" s="234">
        <f>Q30+T30</f>
        <v>0</v>
      </c>
      <c r="W30" s="235">
        <f>R30+U30</f>
        <v>0</v>
      </c>
      <c r="X30" s="222">
        <f>IF(AND(V30&gt;0,W30&gt;0),W30/V30,N($E30))</f>
        <v>20.016</v>
      </c>
      <c r="Y30" s="220">
        <f>IF($B30="",0,SUMIFS(出库明细!$E$4:$E$3003,出库明细!$D$4:$D$3003,$B30,出库明细!$B$4:$B$3003,"&gt;="&amp;DATE(年度,2,1),出库明细!$B$4:$B$3003,"&lt;"&amp;DATE(年度,2+1,1)))</f>
        <v>0</v>
      </c>
      <c r="Z30" s="186">
        <f>Y30*X30</f>
        <v>0</v>
      </c>
      <c r="AA30" s="220">
        <f>_辅助!BN28</f>
        <v>0</v>
      </c>
      <c r="AB30" s="186">
        <f>_辅助!AD28</f>
        <v>0</v>
      </c>
      <c r="AC30" s="221">
        <f>V30-Y30-AA30</f>
        <v>0</v>
      </c>
      <c r="AD30" s="187">
        <f>W30-Z30-AB30</f>
        <v>0</v>
      </c>
      <c r="AE30" s="236">
        <f>IF(AND(V30&gt;0,W30&gt;0),0,Z30)</f>
        <v>0</v>
      </c>
      <c r="AF30" s="220">
        <f>IF($B30="",0,SUMIFS(采购进货!$E$4:$E$1503,采购进货!$D$4:$D$1503,$B30,采购进货!$B$4:$B$1503,"&gt;="&amp;DATE(年度,3,1),采购进货!$B$4:$B$1503,"&lt;"&amp;DATE(年度,3+1,1))+SUMIFS(采购进货!$H$4:$H$1503,采购进货!$D$4:$D$1503,$B30,采购进货!$B$4:$B$1503,"&gt;="&amp;DATE(年度,3,1),采购进货!$B$4:$B$1503,"&lt;"&amp;DATE(年度,3+1,1)))</f>
        <v>0</v>
      </c>
      <c r="AG30" s="186">
        <f>IF($B30="",0,SUMIFS(采购进货!$G$4:$G$1503,采购进货!$D$4:$D$1503,$B30,采购进货!$B$4:$B$1503,"&gt;="&amp;DATE(年度,3,1),采购进货!$B$4:$B$1503,"&lt;"&amp;DATE(年度,3+1,1)))</f>
        <v>0</v>
      </c>
      <c r="AH30" s="234">
        <f>AC30+AF30</f>
        <v>0</v>
      </c>
      <c r="AI30" s="235">
        <f>AD30+AG30</f>
        <v>0</v>
      </c>
      <c r="AJ30" s="222">
        <f>IF(AND(AH30&gt;0,AI30&gt;0),AI30/AH30,N($E30))</f>
        <v>20.016</v>
      </c>
      <c r="AK30" s="220">
        <f>IF($B30="",0,SUMIFS(出库明细!$E$4:$E$3003,出库明细!$D$4:$D$3003,$B30,出库明细!$B$4:$B$3003,"&gt;="&amp;DATE(年度,3,1),出库明细!$B$4:$B$3003,"&lt;"&amp;DATE(年度,3+1,1)))</f>
        <v>0</v>
      </c>
      <c r="AL30" s="186">
        <f>AK30*AJ30</f>
        <v>0</v>
      </c>
      <c r="AM30" s="220">
        <f>_辅助!BO28</f>
        <v>0</v>
      </c>
      <c r="AN30" s="186">
        <f>_辅助!AE28</f>
        <v>0</v>
      </c>
      <c r="AO30" s="221">
        <f>AH30-AK30-AM30</f>
        <v>0</v>
      </c>
      <c r="AP30" s="187">
        <f>AI30-AL30-AN30</f>
        <v>0</v>
      </c>
      <c r="AQ30" s="236">
        <f>IF(AND(AH30&gt;0,AI30&gt;0),0,AL30)</f>
        <v>0</v>
      </c>
      <c r="AR30" s="220">
        <f>IF($B30="",0,SUMIFS(采购进货!$E$4:$E$1503,采购进货!$D$4:$D$1503,$B30,采购进货!$B$4:$B$1503,"&gt;="&amp;DATE(年度,4,1),采购进货!$B$4:$B$1503,"&lt;"&amp;DATE(年度,4+1,1))+SUMIFS(采购进货!$H$4:$H$1503,采购进货!$D$4:$D$1503,$B30,采购进货!$B$4:$B$1503,"&gt;="&amp;DATE(年度,4,1),采购进货!$B$4:$B$1503,"&lt;"&amp;DATE(年度,4+1,1)))</f>
        <v>0</v>
      </c>
      <c r="AS30" s="186">
        <f>IF($B30="",0,SUMIFS(采购进货!$G$4:$G$1503,采购进货!$D$4:$D$1503,$B30,采购进货!$B$4:$B$1503,"&gt;="&amp;DATE(年度,4,1),采购进货!$B$4:$B$1503,"&lt;"&amp;DATE(年度,4+1,1)))</f>
        <v>0</v>
      </c>
      <c r="AT30" s="234">
        <f>AO30+AR30</f>
        <v>0</v>
      </c>
      <c r="AU30" s="235">
        <f>AP30+AS30</f>
        <v>0</v>
      </c>
      <c r="AV30" s="222">
        <f>IF(AND(AT30&gt;0,AU30&gt;0),AU30/AT30,N($E30))</f>
        <v>20.016</v>
      </c>
      <c r="AW30" s="220">
        <f>IF($B30="",0,SUMIFS(出库明细!$E$4:$E$3003,出库明细!$D$4:$D$3003,$B30,出库明细!$B$4:$B$3003,"&gt;="&amp;DATE(年度,4,1),出库明细!$B$4:$B$3003,"&lt;"&amp;DATE(年度,4+1,1)))</f>
        <v>0</v>
      </c>
      <c r="AX30" s="186">
        <f>AW30*AV30</f>
        <v>0</v>
      </c>
      <c r="AY30" s="220">
        <f>_辅助!BP28</f>
        <v>0</v>
      </c>
      <c r="AZ30" s="186">
        <f>_辅助!AF28</f>
        <v>0</v>
      </c>
      <c r="BA30" s="221">
        <f>AT30-AW30-AY30</f>
        <v>0</v>
      </c>
      <c r="BB30" s="187">
        <f>AU30-AX30-AZ30</f>
        <v>0</v>
      </c>
      <c r="BC30" s="236">
        <f>IF(AND(AT30&gt;0,AU30&gt;0),0,AX30)</f>
        <v>0</v>
      </c>
      <c r="BD30" s="220">
        <f>IF($B30="",0,SUMIFS(采购进货!$E$4:$E$1503,采购进货!$D$4:$D$1503,$B30,采购进货!$B$4:$B$1503,"&gt;="&amp;DATE(年度,5,1),采购进货!$B$4:$B$1503,"&lt;"&amp;DATE(年度,5+1,1))+SUMIFS(采购进货!$H$4:$H$1503,采购进货!$D$4:$D$1503,$B30,采购进货!$B$4:$B$1503,"&gt;="&amp;DATE(年度,5,1),采购进货!$B$4:$B$1503,"&lt;"&amp;DATE(年度,5+1,1)))</f>
        <v>0</v>
      </c>
      <c r="BE30" s="186">
        <f>IF($B30="",0,SUMIFS(采购进货!$G$4:$G$1503,采购进货!$D$4:$D$1503,$B30,采购进货!$B$4:$B$1503,"&gt;="&amp;DATE(年度,5,1),采购进货!$B$4:$B$1503,"&lt;"&amp;DATE(年度,5+1,1)))</f>
        <v>0</v>
      </c>
      <c r="BF30" s="234">
        <f>BA30+BD30</f>
        <v>0</v>
      </c>
      <c r="BG30" s="235">
        <f>BB30+BE30</f>
        <v>0</v>
      </c>
      <c r="BH30" s="222">
        <f>IF(AND(BF30&gt;0,BG30&gt;0),BG30/BF30,N($E30))</f>
        <v>20.016</v>
      </c>
      <c r="BI30" s="220">
        <f>IF($B30="",0,SUMIFS(出库明细!$E$4:$E$3003,出库明细!$D$4:$D$3003,$B30,出库明细!$B$4:$B$3003,"&gt;="&amp;DATE(年度,5,1),出库明细!$B$4:$B$3003,"&lt;"&amp;DATE(年度,5+1,1)))</f>
        <v>0</v>
      </c>
      <c r="BJ30" s="186">
        <f>BI30*BH30</f>
        <v>0</v>
      </c>
      <c r="BK30" s="220">
        <f>_辅助!BQ28</f>
        <v>0</v>
      </c>
      <c r="BL30" s="186">
        <f>_辅助!AG28</f>
        <v>0</v>
      </c>
      <c r="BM30" s="221">
        <f>BF30-BI30-BK30</f>
        <v>0</v>
      </c>
      <c r="BN30" s="187">
        <f>BG30-BJ30-BL30</f>
        <v>0</v>
      </c>
      <c r="BO30" s="236">
        <f>IF(AND(BF30&gt;0,BG30&gt;0),0,BJ30)</f>
        <v>0</v>
      </c>
      <c r="BP30" s="220">
        <f>IF($B30="",0,SUMIFS(采购进货!$E$4:$E$1503,采购进货!$D$4:$D$1503,$B30,采购进货!$B$4:$B$1503,"&gt;="&amp;DATE(年度,6,1),采购进货!$B$4:$B$1503,"&lt;"&amp;DATE(年度,6+1,1))+SUMIFS(采购进货!$H$4:$H$1503,采购进货!$D$4:$D$1503,$B30,采购进货!$B$4:$B$1503,"&gt;="&amp;DATE(年度,6,1),采购进货!$B$4:$B$1503,"&lt;"&amp;DATE(年度,6+1,1)))</f>
        <v>0</v>
      </c>
      <c r="BQ30" s="186">
        <f>IF($B30="",0,SUMIFS(采购进货!$G$4:$G$1503,采购进货!$D$4:$D$1503,$B30,采购进货!$B$4:$B$1503,"&gt;="&amp;DATE(年度,6,1),采购进货!$B$4:$B$1503,"&lt;"&amp;DATE(年度,6+1,1)))</f>
        <v>0</v>
      </c>
      <c r="BR30" s="234">
        <f>BM30+BP30</f>
        <v>0</v>
      </c>
      <c r="BS30" s="235">
        <f>BN30+BQ30</f>
        <v>0</v>
      </c>
      <c r="BT30" s="222">
        <f>IF(AND(BR30&gt;0,BS30&gt;0),BS30/BR30,N($E30))</f>
        <v>20.016</v>
      </c>
      <c r="BU30" s="220">
        <f>IF($B30="",0,SUMIFS(出库明细!$E$4:$E$3003,出库明细!$D$4:$D$3003,$B30,出库明细!$B$4:$B$3003,"&gt;="&amp;DATE(年度,6,1),出库明细!$B$4:$B$3003,"&lt;"&amp;DATE(年度,6+1,1)))</f>
        <v>0</v>
      </c>
      <c r="BV30" s="186">
        <f>BU30*BT30</f>
        <v>0</v>
      </c>
      <c r="BW30" s="220">
        <f>_辅助!BR28</f>
        <v>0</v>
      </c>
      <c r="BX30" s="186">
        <f>_辅助!AH28</f>
        <v>0</v>
      </c>
      <c r="BY30" s="221">
        <f>BR30-BU30-BW30</f>
        <v>0</v>
      </c>
      <c r="BZ30" s="187">
        <f>BS30-BV30-BX30</f>
        <v>0</v>
      </c>
      <c r="CA30" s="236">
        <f>IF(AND(BR30&gt;0,BS30&gt;0),0,BV30)</f>
        <v>0</v>
      </c>
      <c r="CB30" s="220">
        <f>IF($B30="",0,SUMIFS(采购进货!$E$4:$E$1503,采购进货!$D$4:$D$1503,$B30,采购进货!$B$4:$B$1503,"&gt;="&amp;DATE(年度,7,1),采购进货!$B$4:$B$1503,"&lt;"&amp;DATE(年度,7+1,1))+SUMIFS(采购进货!$H$4:$H$1503,采购进货!$D$4:$D$1503,$B30,采购进货!$B$4:$B$1503,"&gt;="&amp;DATE(年度,7,1),采购进货!$B$4:$B$1503,"&lt;"&amp;DATE(年度,7+1,1)))</f>
        <v>0</v>
      </c>
      <c r="CC30" s="186">
        <f>IF($B30="",0,SUMIFS(采购进货!$G$4:$G$1503,采购进货!$D$4:$D$1503,$B30,采购进货!$B$4:$B$1503,"&gt;="&amp;DATE(年度,7,1),采购进货!$B$4:$B$1503,"&lt;"&amp;DATE(年度,7+1,1)))</f>
        <v>0</v>
      </c>
      <c r="CD30" s="234">
        <f>BY30+CB30</f>
        <v>0</v>
      </c>
      <c r="CE30" s="235">
        <f>BZ30+CC30</f>
        <v>0</v>
      </c>
      <c r="CF30" s="222">
        <f>IF(AND(CD30&gt;0,CE30&gt;0),CE30/CD30,N($E30))</f>
        <v>20.016</v>
      </c>
      <c r="CG30" s="220">
        <f>IF($B30="",0,SUMIFS(出库明细!$E$4:$E$3003,出库明细!$D$4:$D$3003,$B30,出库明细!$B$4:$B$3003,"&gt;="&amp;DATE(年度,7,1),出库明细!$B$4:$B$3003,"&lt;"&amp;DATE(年度,7+1,1)))</f>
        <v>93.5</v>
      </c>
      <c r="CH30" s="186">
        <f>CG30*CF30</f>
        <v>1871.496</v>
      </c>
      <c r="CI30" s="220">
        <f>_辅助!BS28</f>
        <v>0</v>
      </c>
      <c r="CJ30" s="186">
        <f>_辅助!AI28</f>
        <v>0</v>
      </c>
      <c r="CK30" s="221">
        <f>CD30-CG30-CI30</f>
        <v>-93.5</v>
      </c>
      <c r="CL30" s="187">
        <f>CE30-CH30-CJ30</f>
        <v>-1871.496</v>
      </c>
      <c r="CM30" s="236">
        <f>IF(AND(CD30&gt;0,CE30&gt;0),0,CH30)</f>
        <v>1871.496</v>
      </c>
      <c r="CN30" s="220">
        <f>IF($B30="",0,SUMIFS(采购进货!$E$4:$E$1503,采购进货!$D$4:$D$1503,$B30,采购进货!$B$4:$B$1503,"&gt;="&amp;DATE(年度,8,1),采购进货!$B$4:$B$1503,"&lt;"&amp;DATE(年度,8+1,1))+SUMIFS(采购进货!$H$4:$H$1503,采购进货!$D$4:$D$1503,$B30,采购进货!$B$4:$B$1503,"&gt;="&amp;DATE(年度,8,1),采购进货!$B$4:$B$1503,"&lt;"&amp;DATE(年度,8+1,1)))</f>
        <v>0</v>
      </c>
      <c r="CO30" s="186">
        <f>IF($B30="",0,SUMIFS(采购进货!$G$4:$G$1503,采购进货!$D$4:$D$1503,$B30,采购进货!$B$4:$B$1503,"&gt;="&amp;DATE(年度,8,1),采购进货!$B$4:$B$1503,"&lt;"&amp;DATE(年度,8+1,1)))</f>
        <v>0</v>
      </c>
      <c r="CP30" s="234">
        <f>CK30+CN30</f>
        <v>-93.5</v>
      </c>
      <c r="CQ30" s="235">
        <f>CL30+CO30</f>
        <v>-1871.496</v>
      </c>
      <c r="CR30" s="222">
        <f>IF(AND(CP30&gt;0,CQ30&gt;0),CQ30/CP30,N($E30))</f>
        <v>20.016</v>
      </c>
      <c r="CS30" s="220">
        <f>IF($B30="",0,SUMIFS(出库明细!$E$4:$E$3003,出库明细!$D$4:$D$3003,$B30,出库明细!$B$4:$B$3003,"&gt;="&amp;DATE(年度,8,1),出库明细!$B$4:$B$3003,"&lt;"&amp;DATE(年度,8+1,1)))</f>
        <v>68</v>
      </c>
      <c r="CT30" s="186">
        <f>CS30*CR30</f>
        <v>1361.088</v>
      </c>
      <c r="CU30" s="220">
        <f>_辅助!BT28</f>
        <v>0.125</v>
      </c>
      <c r="CV30" s="186">
        <f>_辅助!AJ28</f>
        <v>2.502</v>
      </c>
      <c r="CW30" s="221">
        <f>CP30-CS30-CU30</f>
        <v>-161.625</v>
      </c>
      <c r="CX30" s="187">
        <f>CQ30-CT30-CV30</f>
        <v>-3235.086</v>
      </c>
      <c r="CY30" s="236">
        <f>IF(AND(CP30&gt;0,CQ30&gt;0),0,CT30)</f>
        <v>1361.088</v>
      </c>
      <c r="CZ30" s="220">
        <f>IF($B30="",0,SUMIFS(采购进货!$E$4:$E$1503,采购进货!$D$4:$D$1503,$B30,采购进货!$B$4:$B$1503,"&gt;="&amp;DATE(年度,9,1),采购进货!$B$4:$B$1503,"&lt;"&amp;DATE(年度,9+1,1))+SUMIFS(采购进货!$H$4:$H$1503,采购进货!$D$4:$D$1503,$B30,采购进货!$B$4:$B$1503,"&gt;="&amp;DATE(年度,9,1),采购进货!$B$4:$B$1503,"&lt;"&amp;DATE(年度,9+1,1)))</f>
        <v>0</v>
      </c>
      <c r="DA30" s="186">
        <f>IF($B30="",0,SUMIFS(采购进货!$G$4:$G$1503,采购进货!$D$4:$D$1503,$B30,采购进货!$B$4:$B$1503,"&gt;="&amp;DATE(年度,9,1),采购进货!$B$4:$B$1503,"&lt;"&amp;DATE(年度,9+1,1)))</f>
        <v>0</v>
      </c>
      <c r="DB30" s="234">
        <f>CW30+CZ30</f>
        <v>-161.625</v>
      </c>
      <c r="DC30" s="235">
        <f>CX30+DA30</f>
        <v>-3235.086</v>
      </c>
      <c r="DD30" s="222">
        <f>IF(AND(DB30&gt;0,DC30&gt;0),DC30/DB30,N($E30))</f>
        <v>20.016</v>
      </c>
      <c r="DE30" s="220">
        <f>IF($B30="",0,SUMIFS(出库明细!$E$4:$E$3003,出库明细!$D$4:$D$3003,$B30,出库明细!$B$4:$B$3003,"&gt;="&amp;DATE(年度,9,1),出库明细!$B$4:$B$3003,"&lt;"&amp;DATE(年度,9+1,1)))</f>
        <v>25</v>
      </c>
      <c r="DF30" s="186">
        <f>DE30*DD30</f>
        <v>500.4</v>
      </c>
      <c r="DG30" s="220">
        <f>_辅助!BU28</f>
        <v>0</v>
      </c>
      <c r="DH30" s="186">
        <f>_辅助!AK28</f>
        <v>0</v>
      </c>
      <c r="DI30" s="221">
        <f>DB30-DE30-DG30</f>
        <v>-186.625</v>
      </c>
      <c r="DJ30" s="187">
        <f>DC30-DF30-DH30</f>
        <v>-3735.486</v>
      </c>
      <c r="DK30" s="236">
        <f>IF(AND(DB30&gt;0,DC30&gt;0),0,DF30)</f>
        <v>500.4</v>
      </c>
      <c r="DL30" s="220">
        <f>IF($B30="",0,SUMIFS(采购进货!$E$4:$E$1503,采购进货!$D$4:$D$1503,$B30,采购进货!$B$4:$B$1503,"&gt;="&amp;DATE(年度,10,1),采购进货!$B$4:$B$1503,"&lt;"&amp;DATE(年度,10+1,1))+SUMIFS(采购进货!$H$4:$H$1503,采购进货!$D$4:$D$1503,$B30,采购进货!$B$4:$B$1503,"&gt;="&amp;DATE(年度,10,1),采购进货!$B$4:$B$1503,"&lt;"&amp;DATE(年度,10+1,1)))</f>
        <v>0</v>
      </c>
      <c r="DM30" s="186">
        <f>IF($B30="",0,SUMIFS(采购进货!$G$4:$G$1503,采购进货!$D$4:$D$1503,$B30,采购进货!$B$4:$B$1503,"&gt;="&amp;DATE(年度,10,1),采购进货!$B$4:$B$1503,"&lt;"&amp;DATE(年度,10+1,1)))</f>
        <v>0</v>
      </c>
      <c r="DN30" s="234">
        <f>DI30+DL30</f>
        <v>-186.625</v>
      </c>
      <c r="DO30" s="235">
        <f>DJ30+DM30</f>
        <v>-3735.486</v>
      </c>
      <c r="DP30" s="222">
        <f>IF(AND(DN30&gt;0,DO30&gt;0),DO30/DN30,N($E30))</f>
        <v>20.016</v>
      </c>
      <c r="DQ30" s="220">
        <f>IF($B30="",0,SUMIFS(出库明细!$E$4:$E$3003,出库明细!$D$4:$D$3003,$B30,出库明细!$B$4:$B$3003,"&gt;="&amp;DATE(年度,10,1),出库明细!$B$4:$B$3003,"&lt;"&amp;DATE(年度,10+1,1)))</f>
        <v>0</v>
      </c>
      <c r="DR30" s="186">
        <f>DQ30*DP30</f>
        <v>0</v>
      </c>
      <c r="DS30" s="220">
        <f>_辅助!BV28</f>
        <v>0</v>
      </c>
      <c r="DT30" s="186">
        <f>_辅助!AL28</f>
        <v>0</v>
      </c>
      <c r="DU30" s="221">
        <f>DN30-DQ30-DS30</f>
        <v>-186.625</v>
      </c>
      <c r="DV30" s="187">
        <f>DO30-DR30-DT30</f>
        <v>-3735.486</v>
      </c>
      <c r="DW30" s="236">
        <f>IF(AND(DN30&gt;0,DO30&gt;0),0,DR30)</f>
        <v>0</v>
      </c>
      <c r="DX30" s="220">
        <f>IF($B30="",0,SUMIFS(采购进货!$E$4:$E$1503,采购进货!$D$4:$D$1503,$B30,采购进货!$B$4:$B$1503,"&gt;="&amp;DATE(年度,11,1),采购进货!$B$4:$B$1503,"&lt;"&amp;DATE(年度,11+1,1))+SUMIFS(采购进货!$H$4:$H$1503,采购进货!$D$4:$D$1503,$B30,采购进货!$B$4:$B$1503,"&gt;="&amp;DATE(年度,11,1),采购进货!$B$4:$B$1503,"&lt;"&amp;DATE(年度,11+1,1)))</f>
        <v>0</v>
      </c>
      <c r="DY30" s="186">
        <f>IF($B30="",0,SUMIFS(采购进货!$G$4:$G$1503,采购进货!$D$4:$D$1503,$B30,采购进货!$B$4:$B$1503,"&gt;="&amp;DATE(年度,11,1),采购进货!$B$4:$B$1503,"&lt;"&amp;DATE(年度,11+1,1)))</f>
        <v>0</v>
      </c>
      <c r="DZ30" s="234">
        <f>DU30+DX30</f>
        <v>-186.625</v>
      </c>
      <c r="EA30" s="235">
        <f>DV30+DY30</f>
        <v>-3735.486</v>
      </c>
      <c r="EB30" s="222">
        <f>IF(AND(DZ30&gt;0,EA30&gt;0),EA30/DZ30,N($E30))</f>
        <v>20.016</v>
      </c>
      <c r="EC30" s="220">
        <f>IF($B30="",0,SUMIFS(出库明细!$E$4:$E$3003,出库明细!$D$4:$D$3003,$B30,出库明细!$B$4:$B$3003,"&gt;="&amp;DATE(年度,11,1),出库明细!$B$4:$B$3003,"&lt;"&amp;DATE(年度,11+1,1)))</f>
        <v>0</v>
      </c>
      <c r="ED30" s="186">
        <f>EC30*EB30</f>
        <v>0</v>
      </c>
      <c r="EE30" s="220">
        <f>_辅助!BW28</f>
        <v>0</v>
      </c>
      <c r="EF30" s="186">
        <f>_辅助!AM28</f>
        <v>0</v>
      </c>
      <c r="EG30" s="221">
        <f>DZ30-EC30-EE30</f>
        <v>-186.625</v>
      </c>
      <c r="EH30" s="187">
        <f>EA30-ED30-EF30</f>
        <v>-3735.486</v>
      </c>
      <c r="EI30" s="236">
        <f>IF(AND(DZ30&gt;0,EA30&gt;0),0,ED30)</f>
        <v>0</v>
      </c>
      <c r="EJ30" s="220">
        <f>IF($B30="",0,SUMIFS(采购进货!$E$4:$E$1503,采购进货!$D$4:$D$1503,$B30,采购进货!$B$4:$B$1503,"&gt;="&amp;DATE(年度,12,1),采购进货!$B$4:$B$1503,"&lt;"&amp;DATE(年度,12+1,1))+SUMIFS(采购进货!$H$4:$H$1503,采购进货!$D$4:$D$1503,$B30,采购进货!$B$4:$B$1503,"&gt;="&amp;DATE(年度,12,1),采购进货!$B$4:$B$1503,"&lt;"&amp;DATE(年度,12+1,1)))</f>
        <v>0</v>
      </c>
      <c r="EK30" s="186">
        <f>IF($B30="",0,SUMIFS(采购进货!$G$4:$G$1503,采购进货!$D$4:$D$1503,$B30,采购进货!$B$4:$B$1503,"&gt;="&amp;DATE(年度,12,1),采购进货!$B$4:$B$1503,"&lt;"&amp;DATE(年度,12+1,1)))</f>
        <v>0</v>
      </c>
      <c r="EL30" s="234">
        <f>EG30+EJ30</f>
        <v>-186.625</v>
      </c>
      <c r="EM30" s="235">
        <f>EH30+EK30</f>
        <v>-3735.486</v>
      </c>
      <c r="EN30" s="222">
        <f>IF(AND(EL30&gt;0,EM30&gt;0),EM30/EL30,N($E30))</f>
        <v>20.016</v>
      </c>
      <c r="EO30" s="220">
        <f>IF($B30="",0,SUMIFS(出库明细!$E$4:$E$3003,出库明细!$D$4:$D$3003,$B30,出库明细!$B$4:$B$3003,"&gt;="&amp;DATE(年度,12,1),出库明细!$B$4:$B$3003,"&lt;"&amp;DATE(年度,12+1,1)))</f>
        <v>0</v>
      </c>
      <c r="EP30" s="186">
        <f>EO30*EN30</f>
        <v>0</v>
      </c>
      <c r="EQ30" s="220">
        <f>_辅助!BX28</f>
        <v>0</v>
      </c>
      <c r="ER30" s="186">
        <f>_辅助!AN28</f>
        <v>0</v>
      </c>
      <c r="ES30" s="221">
        <f>EL30-EO30-EQ30</f>
        <v>-186.625</v>
      </c>
      <c r="ET30" s="187">
        <f>EM30-EP30-ER30</f>
        <v>-3735.486</v>
      </c>
      <c r="EU30" s="236">
        <f>IF(AND(EL30&gt;0,EM30&gt;0),0,EP30)</f>
        <v>0</v>
      </c>
    </row>
    <row r="31">
      <c r="A31" s="194">
        <f>IF(B31="","",ROW()-7)</f>
        <v>24</v>
      </c>
      <c r="B31" s="141" t="str">
        <f>IF(基础资料!E28="","",基础资料!E28&amp;"")</f>
        <v>550农夫纯净水</v>
      </c>
      <c r="C31" s="230" t="str">
        <f>IF(基础资料!G28="","",基础资料!G28&amp;"")</f>
        <v>农夫550ML纯净水</v>
      </c>
      <c r="D31" s="194">
        <f>IF(基础资料!I28="","",基础资料!I28)</f>
        <v>24</v>
      </c>
      <c r="E31" s="231">
        <f>IF(基础资料!J28="","",基础资料!J28)</f>
        <v>15</v>
      </c>
      <c r="F31" s="232">
        <f>N(基础资料!L28)</f>
        <v>0</v>
      </c>
      <c r="G31" s="233">
        <f>IF(基础资料!N28="",0,基础资料!N28)</f>
        <v>0</v>
      </c>
      <c r="H31" s="220">
        <f>IF($B31="",0,SUMIFS(采购进货!$E$4:$E$1503,采购进货!$D$4:$D$1503,$B31,采购进货!$B$4:$B$1503,"&gt;="&amp;DATE(年度,1,1),采购进货!$B$4:$B$1503,"&lt;"&amp;DATE(年度,1+1,1))+SUMIFS(采购进货!$H$4:$H$1503,采购进货!$D$4:$D$1503,$B31,采购进货!$B$4:$B$1503,"&gt;="&amp;DATE(年度,1,1),采购进货!$B$4:$B$1503,"&lt;"&amp;DATE(年度,1+1,1)))</f>
        <v>0</v>
      </c>
      <c r="I31" s="186">
        <f>IF($B31="",0,SUMIFS(采购进货!$G$4:$G$1503,采购进货!$D$4:$D$1503,$B31,采购进货!$B$4:$B$1503,"&gt;="&amp;DATE(年度,1,1),采购进货!$B$4:$B$1503,"&lt;"&amp;DATE(年度,1+1,1)))</f>
        <v>0</v>
      </c>
      <c r="J31" s="234">
        <f>F31+H31</f>
        <v>0</v>
      </c>
      <c r="K31" s="235">
        <f>G31+I31</f>
        <v>0</v>
      </c>
      <c r="L31" s="222">
        <f>IF(AND(J31&gt;0,K31&gt;0),K31/J31,N($E31))</f>
        <v>15</v>
      </c>
      <c r="M31" s="220">
        <f>IF($B31="",0,SUMIFS(出库明细!$E$4:$E$3003,出库明细!$D$4:$D$3003,$B31,出库明细!$B$4:$B$3003,"&gt;="&amp;DATE(年度,1,1),出库明细!$B$4:$B$3003,"&lt;"&amp;DATE(年度,1+1,1)))</f>
        <v>0</v>
      </c>
      <c r="N31" s="186">
        <f>M31*L31</f>
        <v>0</v>
      </c>
      <c r="O31" s="220">
        <f>_辅助!BM29</f>
        <v>0</v>
      </c>
      <c r="P31" s="186">
        <f>_辅助!AC29</f>
        <v>0</v>
      </c>
      <c r="Q31" s="221">
        <f>J31-M31-O31</f>
        <v>0</v>
      </c>
      <c r="R31" s="187">
        <f>K31-N31-P31</f>
        <v>0</v>
      </c>
      <c r="S31" s="236">
        <f>IF(AND(J31&gt;0,K31&gt;0),0,N31)</f>
        <v>0</v>
      </c>
      <c r="T31" s="220">
        <f>IF($B31="",0,SUMIFS(采购进货!$E$4:$E$1503,采购进货!$D$4:$D$1503,$B31,采购进货!$B$4:$B$1503,"&gt;="&amp;DATE(年度,2,1),采购进货!$B$4:$B$1503,"&lt;"&amp;DATE(年度,2+1,1))+SUMIFS(采购进货!$H$4:$H$1503,采购进货!$D$4:$D$1503,$B31,采购进货!$B$4:$B$1503,"&gt;="&amp;DATE(年度,2,1),采购进货!$B$4:$B$1503,"&lt;"&amp;DATE(年度,2+1,1)))</f>
        <v>0</v>
      </c>
      <c r="U31" s="186">
        <f>IF($B31="",0,SUMIFS(采购进货!$G$4:$G$1503,采购进货!$D$4:$D$1503,$B31,采购进货!$B$4:$B$1503,"&gt;="&amp;DATE(年度,2,1),采购进货!$B$4:$B$1503,"&lt;"&amp;DATE(年度,2+1,1)))</f>
        <v>0</v>
      </c>
      <c r="V31" s="234">
        <f>Q31+T31</f>
        <v>0</v>
      </c>
      <c r="W31" s="235">
        <f>R31+U31</f>
        <v>0</v>
      </c>
      <c r="X31" s="222">
        <f>IF(AND(V31&gt;0,W31&gt;0),W31/V31,N($E31))</f>
        <v>15</v>
      </c>
      <c r="Y31" s="220">
        <f>IF($B31="",0,SUMIFS(出库明细!$E$4:$E$3003,出库明细!$D$4:$D$3003,$B31,出库明细!$B$4:$B$3003,"&gt;="&amp;DATE(年度,2,1),出库明细!$B$4:$B$3003,"&lt;"&amp;DATE(年度,2+1,1)))</f>
        <v>0</v>
      </c>
      <c r="Z31" s="186">
        <f>Y31*X31</f>
        <v>0</v>
      </c>
      <c r="AA31" s="220">
        <f>_辅助!BN29</f>
        <v>0</v>
      </c>
      <c r="AB31" s="186">
        <f>_辅助!AD29</f>
        <v>0</v>
      </c>
      <c r="AC31" s="221">
        <f>V31-Y31-AA31</f>
        <v>0</v>
      </c>
      <c r="AD31" s="187">
        <f>W31-Z31-AB31</f>
        <v>0</v>
      </c>
      <c r="AE31" s="236">
        <f>IF(AND(V31&gt;0,W31&gt;0),0,Z31)</f>
        <v>0</v>
      </c>
      <c r="AF31" s="220">
        <f>IF($B31="",0,SUMIFS(采购进货!$E$4:$E$1503,采购进货!$D$4:$D$1503,$B31,采购进货!$B$4:$B$1503,"&gt;="&amp;DATE(年度,3,1),采购进货!$B$4:$B$1503,"&lt;"&amp;DATE(年度,3+1,1))+SUMIFS(采购进货!$H$4:$H$1503,采购进货!$D$4:$D$1503,$B31,采购进货!$B$4:$B$1503,"&gt;="&amp;DATE(年度,3,1),采购进货!$B$4:$B$1503,"&lt;"&amp;DATE(年度,3+1,1)))</f>
        <v>0</v>
      </c>
      <c r="AG31" s="186">
        <f>IF($B31="",0,SUMIFS(采购进货!$G$4:$G$1503,采购进货!$D$4:$D$1503,$B31,采购进货!$B$4:$B$1503,"&gt;="&amp;DATE(年度,3,1),采购进货!$B$4:$B$1503,"&lt;"&amp;DATE(年度,3+1,1)))</f>
        <v>0</v>
      </c>
      <c r="AH31" s="234">
        <f>AC31+AF31</f>
        <v>0</v>
      </c>
      <c r="AI31" s="235">
        <f>AD31+AG31</f>
        <v>0</v>
      </c>
      <c r="AJ31" s="222">
        <f>IF(AND(AH31&gt;0,AI31&gt;0),AI31/AH31,N($E31))</f>
        <v>15</v>
      </c>
      <c r="AK31" s="220">
        <f>IF($B31="",0,SUMIFS(出库明细!$E$4:$E$3003,出库明细!$D$4:$D$3003,$B31,出库明细!$B$4:$B$3003,"&gt;="&amp;DATE(年度,3,1),出库明细!$B$4:$B$3003,"&lt;"&amp;DATE(年度,3+1,1)))</f>
        <v>0</v>
      </c>
      <c r="AL31" s="186">
        <f>AK31*AJ31</f>
        <v>0</v>
      </c>
      <c r="AM31" s="220">
        <f>_辅助!BO29</f>
        <v>0</v>
      </c>
      <c r="AN31" s="186">
        <f>_辅助!AE29</f>
        <v>0</v>
      </c>
      <c r="AO31" s="221">
        <f>AH31-AK31-AM31</f>
        <v>0</v>
      </c>
      <c r="AP31" s="187">
        <f>AI31-AL31-AN31</f>
        <v>0</v>
      </c>
      <c r="AQ31" s="236">
        <f>IF(AND(AH31&gt;0,AI31&gt;0),0,AL31)</f>
        <v>0</v>
      </c>
      <c r="AR31" s="220">
        <f>IF($B31="",0,SUMIFS(采购进货!$E$4:$E$1503,采购进货!$D$4:$D$1503,$B31,采购进货!$B$4:$B$1503,"&gt;="&amp;DATE(年度,4,1),采购进货!$B$4:$B$1503,"&lt;"&amp;DATE(年度,4+1,1))+SUMIFS(采购进货!$H$4:$H$1503,采购进货!$D$4:$D$1503,$B31,采购进货!$B$4:$B$1503,"&gt;="&amp;DATE(年度,4,1),采购进货!$B$4:$B$1503,"&lt;"&amp;DATE(年度,4+1,1)))</f>
        <v>0</v>
      </c>
      <c r="AS31" s="186">
        <f>IF($B31="",0,SUMIFS(采购进货!$G$4:$G$1503,采购进货!$D$4:$D$1503,$B31,采购进货!$B$4:$B$1503,"&gt;="&amp;DATE(年度,4,1),采购进货!$B$4:$B$1503,"&lt;"&amp;DATE(年度,4+1,1)))</f>
        <v>0</v>
      </c>
      <c r="AT31" s="234">
        <f>AO31+AR31</f>
        <v>0</v>
      </c>
      <c r="AU31" s="235">
        <f>AP31+AS31</f>
        <v>0</v>
      </c>
      <c r="AV31" s="222">
        <f>IF(AND(AT31&gt;0,AU31&gt;0),AU31/AT31,N($E31))</f>
        <v>15</v>
      </c>
      <c r="AW31" s="220">
        <f>IF($B31="",0,SUMIFS(出库明细!$E$4:$E$3003,出库明细!$D$4:$D$3003,$B31,出库明细!$B$4:$B$3003,"&gt;="&amp;DATE(年度,4,1),出库明细!$B$4:$B$3003,"&lt;"&amp;DATE(年度,4+1,1)))</f>
        <v>0</v>
      </c>
      <c r="AX31" s="186">
        <f>AW31*AV31</f>
        <v>0</v>
      </c>
      <c r="AY31" s="220">
        <f>_辅助!BP29</f>
        <v>0</v>
      </c>
      <c r="AZ31" s="186">
        <f>_辅助!AF29</f>
        <v>0</v>
      </c>
      <c r="BA31" s="221">
        <f>AT31-AW31-AY31</f>
        <v>0</v>
      </c>
      <c r="BB31" s="187">
        <f>AU31-AX31-AZ31</f>
        <v>0</v>
      </c>
      <c r="BC31" s="236">
        <f>IF(AND(AT31&gt;0,AU31&gt;0),0,AX31)</f>
        <v>0</v>
      </c>
      <c r="BD31" s="220">
        <f>IF($B31="",0,SUMIFS(采购进货!$E$4:$E$1503,采购进货!$D$4:$D$1503,$B31,采购进货!$B$4:$B$1503,"&gt;="&amp;DATE(年度,5,1),采购进货!$B$4:$B$1503,"&lt;"&amp;DATE(年度,5+1,1))+SUMIFS(采购进货!$H$4:$H$1503,采购进货!$D$4:$D$1503,$B31,采购进货!$B$4:$B$1503,"&gt;="&amp;DATE(年度,5,1),采购进货!$B$4:$B$1503,"&lt;"&amp;DATE(年度,5+1,1)))</f>
        <v>0</v>
      </c>
      <c r="BE31" s="186">
        <f>IF($B31="",0,SUMIFS(采购进货!$G$4:$G$1503,采购进货!$D$4:$D$1503,$B31,采购进货!$B$4:$B$1503,"&gt;="&amp;DATE(年度,5,1),采购进货!$B$4:$B$1503,"&lt;"&amp;DATE(年度,5+1,1)))</f>
        <v>0</v>
      </c>
      <c r="BF31" s="234">
        <f>BA31+BD31</f>
        <v>0</v>
      </c>
      <c r="BG31" s="235">
        <f>BB31+BE31</f>
        <v>0</v>
      </c>
      <c r="BH31" s="222">
        <f>IF(AND(BF31&gt;0,BG31&gt;0),BG31/BF31,N($E31))</f>
        <v>15</v>
      </c>
      <c r="BI31" s="220">
        <f>IF($B31="",0,SUMIFS(出库明细!$E$4:$E$3003,出库明细!$D$4:$D$3003,$B31,出库明细!$B$4:$B$3003,"&gt;="&amp;DATE(年度,5,1),出库明细!$B$4:$B$3003,"&lt;"&amp;DATE(年度,5+1,1)))</f>
        <v>0</v>
      </c>
      <c r="BJ31" s="186">
        <f>BI31*BH31</f>
        <v>0</v>
      </c>
      <c r="BK31" s="220">
        <f>_辅助!BQ29</f>
        <v>0</v>
      </c>
      <c r="BL31" s="186">
        <f>_辅助!AG29</f>
        <v>0</v>
      </c>
      <c r="BM31" s="221">
        <f>BF31-BI31-BK31</f>
        <v>0</v>
      </c>
      <c r="BN31" s="187">
        <f>BG31-BJ31-BL31</f>
        <v>0</v>
      </c>
      <c r="BO31" s="236">
        <f>IF(AND(BF31&gt;0,BG31&gt;0),0,BJ31)</f>
        <v>0</v>
      </c>
      <c r="BP31" s="220">
        <f>IF($B31="",0,SUMIFS(采购进货!$E$4:$E$1503,采购进货!$D$4:$D$1503,$B31,采购进货!$B$4:$B$1503,"&gt;="&amp;DATE(年度,6,1),采购进货!$B$4:$B$1503,"&lt;"&amp;DATE(年度,6+1,1))+SUMIFS(采购进货!$H$4:$H$1503,采购进货!$D$4:$D$1503,$B31,采购进货!$B$4:$B$1503,"&gt;="&amp;DATE(年度,6,1),采购进货!$B$4:$B$1503,"&lt;"&amp;DATE(年度,6+1,1)))</f>
        <v>0</v>
      </c>
      <c r="BQ31" s="186">
        <f>IF($B31="",0,SUMIFS(采购进货!$G$4:$G$1503,采购进货!$D$4:$D$1503,$B31,采购进货!$B$4:$B$1503,"&gt;="&amp;DATE(年度,6,1),采购进货!$B$4:$B$1503,"&lt;"&amp;DATE(年度,6+1,1)))</f>
        <v>0</v>
      </c>
      <c r="BR31" s="234">
        <f>BM31+BP31</f>
        <v>0</v>
      </c>
      <c r="BS31" s="235">
        <f>BN31+BQ31</f>
        <v>0</v>
      </c>
      <c r="BT31" s="222">
        <f>IF(AND(BR31&gt;0,BS31&gt;0),BS31/BR31,N($E31))</f>
        <v>15</v>
      </c>
      <c r="BU31" s="220">
        <f>IF($B31="",0,SUMIFS(出库明细!$E$4:$E$3003,出库明细!$D$4:$D$3003,$B31,出库明细!$B$4:$B$3003,"&gt;="&amp;DATE(年度,6,1),出库明细!$B$4:$B$3003,"&lt;"&amp;DATE(年度,6+1,1)))</f>
        <v>0</v>
      </c>
      <c r="BV31" s="186">
        <f>BU31*BT31</f>
        <v>0</v>
      </c>
      <c r="BW31" s="220">
        <f>_辅助!BR29</f>
        <v>0</v>
      </c>
      <c r="BX31" s="186">
        <f>_辅助!AH29</f>
        <v>0</v>
      </c>
      <c r="BY31" s="221">
        <f>BR31-BU31-BW31</f>
        <v>0</v>
      </c>
      <c r="BZ31" s="187">
        <f>BS31-BV31-BX31</f>
        <v>0</v>
      </c>
      <c r="CA31" s="236">
        <f>IF(AND(BR31&gt;0,BS31&gt;0),0,BV31)</f>
        <v>0</v>
      </c>
      <c r="CB31" s="220">
        <f>IF($B31="",0,SUMIFS(采购进货!$E$4:$E$1503,采购进货!$D$4:$D$1503,$B31,采购进货!$B$4:$B$1503,"&gt;="&amp;DATE(年度,7,1),采购进货!$B$4:$B$1503,"&lt;"&amp;DATE(年度,7+1,1))+SUMIFS(采购进货!$H$4:$H$1503,采购进货!$D$4:$D$1503,$B31,采购进货!$B$4:$B$1503,"&gt;="&amp;DATE(年度,7,1),采购进货!$B$4:$B$1503,"&lt;"&amp;DATE(年度,7+1,1)))</f>
        <v>0</v>
      </c>
      <c r="CC31" s="186">
        <f>IF($B31="",0,SUMIFS(采购进货!$G$4:$G$1503,采购进货!$D$4:$D$1503,$B31,采购进货!$B$4:$B$1503,"&gt;="&amp;DATE(年度,7,1),采购进货!$B$4:$B$1503,"&lt;"&amp;DATE(年度,7+1,1)))</f>
        <v>0</v>
      </c>
      <c r="CD31" s="234">
        <f>BY31+CB31</f>
        <v>0</v>
      </c>
      <c r="CE31" s="235">
        <f>BZ31+CC31</f>
        <v>0</v>
      </c>
      <c r="CF31" s="222">
        <f>IF(AND(CD31&gt;0,CE31&gt;0),CE31/CD31,N($E31))</f>
        <v>15</v>
      </c>
      <c r="CG31" s="220">
        <f>IF($B31="",0,SUMIFS(出库明细!$E$4:$E$3003,出库明细!$D$4:$D$3003,$B31,出库明细!$B$4:$B$3003,"&gt;="&amp;DATE(年度,7,1),出库明细!$B$4:$B$3003,"&lt;"&amp;DATE(年度,7+1,1)))</f>
        <v>43.5</v>
      </c>
      <c r="CH31" s="186">
        <f>CG31*CF31</f>
        <v>652.5</v>
      </c>
      <c r="CI31" s="220">
        <f>_辅助!BS29</f>
        <v>0</v>
      </c>
      <c r="CJ31" s="186">
        <f>_辅助!AI29</f>
        <v>0</v>
      </c>
      <c r="CK31" s="221">
        <f>CD31-CG31-CI31</f>
        <v>-43.5</v>
      </c>
      <c r="CL31" s="187">
        <f>CE31-CH31-CJ31</f>
        <v>-652.5</v>
      </c>
      <c r="CM31" s="236">
        <f>IF(AND(CD31&gt;0,CE31&gt;0),0,CH31)</f>
        <v>652.5</v>
      </c>
      <c r="CN31" s="220">
        <f>IF($B31="",0,SUMIFS(采购进货!$E$4:$E$1503,采购进货!$D$4:$D$1503,$B31,采购进货!$B$4:$B$1503,"&gt;="&amp;DATE(年度,8,1),采购进货!$B$4:$B$1503,"&lt;"&amp;DATE(年度,8+1,1))+SUMIFS(采购进货!$H$4:$H$1503,采购进货!$D$4:$D$1503,$B31,采购进货!$B$4:$B$1503,"&gt;="&amp;DATE(年度,8,1),采购进货!$B$4:$B$1503,"&lt;"&amp;DATE(年度,8+1,1)))</f>
        <v>0</v>
      </c>
      <c r="CO31" s="186">
        <f>IF($B31="",0,SUMIFS(采购进货!$G$4:$G$1503,采购进货!$D$4:$D$1503,$B31,采购进货!$B$4:$B$1503,"&gt;="&amp;DATE(年度,8,1),采购进货!$B$4:$B$1503,"&lt;"&amp;DATE(年度,8+1,1)))</f>
        <v>0</v>
      </c>
      <c r="CP31" s="234">
        <f>CK31+CN31</f>
        <v>-43.5</v>
      </c>
      <c r="CQ31" s="235">
        <f>CL31+CO31</f>
        <v>-652.5</v>
      </c>
      <c r="CR31" s="222">
        <f>IF(AND(CP31&gt;0,CQ31&gt;0),CQ31/CP31,N($E31))</f>
        <v>15</v>
      </c>
      <c r="CS31" s="220">
        <f>IF($B31="",0,SUMIFS(出库明细!$E$4:$E$3003,出库明细!$D$4:$D$3003,$B31,出库明细!$B$4:$B$3003,"&gt;="&amp;DATE(年度,8,1),出库明细!$B$4:$B$3003,"&lt;"&amp;DATE(年度,8+1,1)))</f>
        <v>0</v>
      </c>
      <c r="CT31" s="186">
        <f>CS31*CR31</f>
        <v>0</v>
      </c>
      <c r="CU31" s="220">
        <f>_辅助!BT29</f>
        <v>11.2916666666667</v>
      </c>
      <c r="CV31" s="186">
        <f>_辅助!AJ29</f>
        <v>169.375</v>
      </c>
      <c r="CW31" s="221">
        <f>CP31-CS31-CU31</f>
        <v>-54.7916666666667</v>
      </c>
      <c r="CX31" s="187">
        <f>CQ31-CT31-CV31</f>
        <v>-821.875</v>
      </c>
      <c r="CY31" s="236">
        <f>IF(AND(CP31&gt;0,CQ31&gt;0),0,CT31)</f>
        <v>0</v>
      </c>
      <c r="CZ31" s="220">
        <f>IF($B31="",0,SUMIFS(采购进货!$E$4:$E$1503,采购进货!$D$4:$D$1503,$B31,采购进货!$B$4:$B$1503,"&gt;="&amp;DATE(年度,9,1),采购进货!$B$4:$B$1503,"&lt;"&amp;DATE(年度,9+1,1))+SUMIFS(采购进货!$H$4:$H$1503,采购进货!$D$4:$D$1503,$B31,采购进货!$B$4:$B$1503,"&gt;="&amp;DATE(年度,9,1),采购进货!$B$4:$B$1503,"&lt;"&amp;DATE(年度,9+1,1)))</f>
        <v>0</v>
      </c>
      <c r="DA31" s="186">
        <f>IF($B31="",0,SUMIFS(采购进货!$G$4:$G$1503,采购进货!$D$4:$D$1503,$B31,采购进货!$B$4:$B$1503,"&gt;="&amp;DATE(年度,9,1),采购进货!$B$4:$B$1503,"&lt;"&amp;DATE(年度,9+1,1)))</f>
        <v>0</v>
      </c>
      <c r="DB31" s="234">
        <f>CW31+CZ31</f>
        <v>-54.7916666666667</v>
      </c>
      <c r="DC31" s="235">
        <f>CX31+DA31</f>
        <v>-821.875</v>
      </c>
      <c r="DD31" s="222">
        <f>IF(AND(DB31&gt;0,DC31&gt;0),DC31/DB31,N($E31))</f>
        <v>15</v>
      </c>
      <c r="DE31" s="220">
        <f>IF($B31="",0,SUMIFS(出库明细!$E$4:$E$3003,出库明细!$D$4:$D$3003,$B31,出库明细!$B$4:$B$3003,"&gt;="&amp;DATE(年度,9,1),出库明细!$B$4:$B$3003,"&lt;"&amp;DATE(年度,9+1,1)))</f>
        <v>0</v>
      </c>
      <c r="DF31" s="186">
        <f>DE31*DD31</f>
        <v>0</v>
      </c>
      <c r="DG31" s="220">
        <f>_辅助!BU29</f>
        <v>0</v>
      </c>
      <c r="DH31" s="186">
        <f>_辅助!AK29</f>
        <v>0</v>
      </c>
      <c r="DI31" s="221">
        <f>DB31-DE31-DG31</f>
        <v>-54.7916666666667</v>
      </c>
      <c r="DJ31" s="187">
        <f>DC31-DF31-DH31</f>
        <v>-821.875</v>
      </c>
      <c r="DK31" s="236">
        <f>IF(AND(DB31&gt;0,DC31&gt;0),0,DF31)</f>
        <v>0</v>
      </c>
      <c r="DL31" s="220">
        <f>IF($B31="",0,SUMIFS(采购进货!$E$4:$E$1503,采购进货!$D$4:$D$1503,$B31,采购进货!$B$4:$B$1503,"&gt;="&amp;DATE(年度,10,1),采购进货!$B$4:$B$1503,"&lt;"&amp;DATE(年度,10+1,1))+SUMIFS(采购进货!$H$4:$H$1503,采购进货!$D$4:$D$1503,$B31,采购进货!$B$4:$B$1503,"&gt;="&amp;DATE(年度,10,1),采购进货!$B$4:$B$1503,"&lt;"&amp;DATE(年度,10+1,1)))</f>
        <v>0</v>
      </c>
      <c r="DM31" s="186">
        <f>IF($B31="",0,SUMIFS(采购进货!$G$4:$G$1503,采购进货!$D$4:$D$1503,$B31,采购进货!$B$4:$B$1503,"&gt;="&amp;DATE(年度,10,1),采购进货!$B$4:$B$1503,"&lt;"&amp;DATE(年度,10+1,1)))</f>
        <v>0</v>
      </c>
      <c r="DN31" s="234">
        <f>DI31+DL31</f>
        <v>-54.7916666666667</v>
      </c>
      <c r="DO31" s="235">
        <f>DJ31+DM31</f>
        <v>-821.875</v>
      </c>
      <c r="DP31" s="222">
        <f>IF(AND(DN31&gt;0,DO31&gt;0),DO31/DN31,N($E31))</f>
        <v>15</v>
      </c>
      <c r="DQ31" s="220">
        <f>IF($B31="",0,SUMIFS(出库明细!$E$4:$E$3003,出库明细!$D$4:$D$3003,$B31,出库明细!$B$4:$B$3003,"&gt;="&amp;DATE(年度,10,1),出库明细!$B$4:$B$3003,"&lt;"&amp;DATE(年度,10+1,1)))</f>
        <v>0</v>
      </c>
      <c r="DR31" s="186">
        <f>DQ31*DP31</f>
        <v>0</v>
      </c>
      <c r="DS31" s="220">
        <f>_辅助!BV29</f>
        <v>0</v>
      </c>
      <c r="DT31" s="186">
        <f>_辅助!AL29</f>
        <v>0</v>
      </c>
      <c r="DU31" s="221">
        <f>DN31-DQ31-DS31</f>
        <v>-54.7916666666667</v>
      </c>
      <c r="DV31" s="187">
        <f>DO31-DR31-DT31</f>
        <v>-821.875</v>
      </c>
      <c r="DW31" s="236">
        <f>IF(AND(DN31&gt;0,DO31&gt;0),0,DR31)</f>
        <v>0</v>
      </c>
      <c r="DX31" s="220">
        <f>IF($B31="",0,SUMIFS(采购进货!$E$4:$E$1503,采购进货!$D$4:$D$1503,$B31,采购进货!$B$4:$B$1503,"&gt;="&amp;DATE(年度,11,1),采购进货!$B$4:$B$1503,"&lt;"&amp;DATE(年度,11+1,1))+SUMIFS(采购进货!$H$4:$H$1503,采购进货!$D$4:$D$1503,$B31,采购进货!$B$4:$B$1503,"&gt;="&amp;DATE(年度,11,1),采购进货!$B$4:$B$1503,"&lt;"&amp;DATE(年度,11+1,1)))</f>
        <v>0</v>
      </c>
      <c r="DY31" s="186">
        <f>IF($B31="",0,SUMIFS(采购进货!$G$4:$G$1503,采购进货!$D$4:$D$1503,$B31,采购进货!$B$4:$B$1503,"&gt;="&amp;DATE(年度,11,1),采购进货!$B$4:$B$1503,"&lt;"&amp;DATE(年度,11+1,1)))</f>
        <v>0</v>
      </c>
      <c r="DZ31" s="234">
        <f>DU31+DX31</f>
        <v>-54.7916666666667</v>
      </c>
      <c r="EA31" s="235">
        <f>DV31+DY31</f>
        <v>-821.875</v>
      </c>
      <c r="EB31" s="222">
        <f>IF(AND(DZ31&gt;0,EA31&gt;0),EA31/DZ31,N($E31))</f>
        <v>15</v>
      </c>
      <c r="EC31" s="220">
        <f>IF($B31="",0,SUMIFS(出库明细!$E$4:$E$3003,出库明细!$D$4:$D$3003,$B31,出库明细!$B$4:$B$3003,"&gt;="&amp;DATE(年度,11,1),出库明细!$B$4:$B$3003,"&lt;"&amp;DATE(年度,11+1,1)))</f>
        <v>0</v>
      </c>
      <c r="ED31" s="186">
        <f>EC31*EB31</f>
        <v>0</v>
      </c>
      <c r="EE31" s="220">
        <f>_辅助!BW29</f>
        <v>0</v>
      </c>
      <c r="EF31" s="186">
        <f>_辅助!AM29</f>
        <v>0</v>
      </c>
      <c r="EG31" s="221">
        <f>DZ31-EC31-EE31</f>
        <v>-54.7916666666667</v>
      </c>
      <c r="EH31" s="187">
        <f>EA31-ED31-EF31</f>
        <v>-821.875</v>
      </c>
      <c r="EI31" s="236">
        <f>IF(AND(DZ31&gt;0,EA31&gt;0),0,ED31)</f>
        <v>0</v>
      </c>
      <c r="EJ31" s="220">
        <f>IF($B31="",0,SUMIFS(采购进货!$E$4:$E$1503,采购进货!$D$4:$D$1503,$B31,采购进货!$B$4:$B$1503,"&gt;="&amp;DATE(年度,12,1),采购进货!$B$4:$B$1503,"&lt;"&amp;DATE(年度,12+1,1))+SUMIFS(采购进货!$H$4:$H$1503,采购进货!$D$4:$D$1503,$B31,采购进货!$B$4:$B$1503,"&gt;="&amp;DATE(年度,12,1),采购进货!$B$4:$B$1503,"&lt;"&amp;DATE(年度,12+1,1)))</f>
        <v>0</v>
      </c>
      <c r="EK31" s="186">
        <f>IF($B31="",0,SUMIFS(采购进货!$G$4:$G$1503,采购进货!$D$4:$D$1503,$B31,采购进货!$B$4:$B$1503,"&gt;="&amp;DATE(年度,12,1),采购进货!$B$4:$B$1503,"&lt;"&amp;DATE(年度,12+1,1)))</f>
        <v>0</v>
      </c>
      <c r="EL31" s="234">
        <f>EG31+EJ31</f>
        <v>-54.7916666666667</v>
      </c>
      <c r="EM31" s="235">
        <f>EH31+EK31</f>
        <v>-821.875</v>
      </c>
      <c r="EN31" s="222">
        <f>IF(AND(EL31&gt;0,EM31&gt;0),EM31/EL31,N($E31))</f>
        <v>15</v>
      </c>
      <c r="EO31" s="220">
        <f>IF($B31="",0,SUMIFS(出库明细!$E$4:$E$3003,出库明细!$D$4:$D$3003,$B31,出库明细!$B$4:$B$3003,"&gt;="&amp;DATE(年度,12,1),出库明细!$B$4:$B$3003,"&lt;"&amp;DATE(年度,12+1,1)))</f>
        <v>0</v>
      </c>
      <c r="EP31" s="186">
        <f>EO31*EN31</f>
        <v>0</v>
      </c>
      <c r="EQ31" s="220">
        <f>_辅助!BX29</f>
        <v>0</v>
      </c>
      <c r="ER31" s="186">
        <f>_辅助!AN29</f>
        <v>0</v>
      </c>
      <c r="ES31" s="221">
        <f>EL31-EO31-EQ31</f>
        <v>-54.7916666666667</v>
      </c>
      <c r="ET31" s="187">
        <f>EM31-EP31-ER31</f>
        <v>-821.875</v>
      </c>
      <c r="EU31" s="236">
        <f>IF(AND(EL31&gt;0,EM31&gt;0),0,EP31)</f>
        <v>0</v>
      </c>
    </row>
    <row r="32">
      <c r="A32" s="194">
        <f>IF(B32="","",ROW()-7)</f>
        <v>25</v>
      </c>
      <c r="B32" s="141" t="str">
        <f>IF(基础资料!E29="","",基础资料!E29&amp;"")</f>
        <v>550纯净水12入</v>
      </c>
      <c r="C32" s="230">
        <f>IF(基础资料!G29="","",基础资料!G29&amp;"")</f>
      </c>
      <c r="D32" s="194">
        <f>IF(基础资料!I29="","",基础资料!I29)</f>
        <v>12</v>
      </c>
      <c r="E32" s="231">
        <f>IF(基础资料!J29="","",基础资料!J29)</f>
        <v>7.5</v>
      </c>
      <c r="F32" s="232">
        <f>N(基础资料!L29)</f>
        <v>0</v>
      </c>
      <c r="G32" s="233">
        <f>IF(基础资料!N29="",0,基础资料!N29)</f>
        <v>0</v>
      </c>
      <c r="H32" s="220">
        <f>IF($B32="",0,SUMIFS(采购进货!$E$4:$E$1503,采购进货!$D$4:$D$1503,$B32,采购进货!$B$4:$B$1503,"&gt;="&amp;DATE(年度,1,1),采购进货!$B$4:$B$1503,"&lt;"&amp;DATE(年度,1+1,1))+SUMIFS(采购进货!$H$4:$H$1503,采购进货!$D$4:$D$1503,$B32,采购进货!$B$4:$B$1503,"&gt;="&amp;DATE(年度,1,1),采购进货!$B$4:$B$1503,"&lt;"&amp;DATE(年度,1+1,1)))</f>
        <v>0</v>
      </c>
      <c r="I32" s="186">
        <f>IF($B32="",0,SUMIFS(采购进货!$G$4:$G$1503,采购进货!$D$4:$D$1503,$B32,采购进货!$B$4:$B$1503,"&gt;="&amp;DATE(年度,1,1),采购进货!$B$4:$B$1503,"&lt;"&amp;DATE(年度,1+1,1)))</f>
        <v>0</v>
      </c>
      <c r="J32" s="234">
        <f>F32+H32</f>
        <v>0</v>
      </c>
      <c r="K32" s="235">
        <f>G32+I32</f>
        <v>0</v>
      </c>
      <c r="L32" s="222">
        <f>IF(AND(J32&gt;0,K32&gt;0),K32/J32,N($E32))</f>
        <v>7.5</v>
      </c>
      <c r="M32" s="220">
        <f>IF($B32="",0,SUMIFS(出库明细!$E$4:$E$3003,出库明细!$D$4:$D$3003,$B32,出库明细!$B$4:$B$3003,"&gt;="&amp;DATE(年度,1,1),出库明细!$B$4:$B$3003,"&lt;"&amp;DATE(年度,1+1,1)))</f>
        <v>0</v>
      </c>
      <c r="N32" s="186">
        <f>M32*L32</f>
        <v>0</v>
      </c>
      <c r="O32" s="220">
        <f>_辅助!BM30</f>
        <v>0</v>
      </c>
      <c r="P32" s="186">
        <f>_辅助!AC30</f>
        <v>0</v>
      </c>
      <c r="Q32" s="221">
        <f>J32-M32-O32</f>
        <v>0</v>
      </c>
      <c r="R32" s="187">
        <f>K32-N32-P32</f>
        <v>0</v>
      </c>
      <c r="S32" s="236">
        <f>IF(AND(J32&gt;0,K32&gt;0),0,N32)</f>
        <v>0</v>
      </c>
      <c r="T32" s="220">
        <f>IF($B32="",0,SUMIFS(采购进货!$E$4:$E$1503,采购进货!$D$4:$D$1503,$B32,采购进货!$B$4:$B$1503,"&gt;="&amp;DATE(年度,2,1),采购进货!$B$4:$B$1503,"&lt;"&amp;DATE(年度,2+1,1))+SUMIFS(采购进货!$H$4:$H$1503,采购进货!$D$4:$D$1503,$B32,采购进货!$B$4:$B$1503,"&gt;="&amp;DATE(年度,2,1),采购进货!$B$4:$B$1503,"&lt;"&amp;DATE(年度,2+1,1)))</f>
        <v>0</v>
      </c>
      <c r="U32" s="186">
        <f>IF($B32="",0,SUMIFS(采购进货!$G$4:$G$1503,采购进货!$D$4:$D$1503,$B32,采购进货!$B$4:$B$1503,"&gt;="&amp;DATE(年度,2,1),采购进货!$B$4:$B$1503,"&lt;"&amp;DATE(年度,2+1,1)))</f>
        <v>0</v>
      </c>
      <c r="V32" s="234">
        <f>Q32+T32</f>
        <v>0</v>
      </c>
      <c r="W32" s="235">
        <f>R32+U32</f>
        <v>0</v>
      </c>
      <c r="X32" s="222">
        <f>IF(AND(V32&gt;0,W32&gt;0),W32/V32,N($E32))</f>
        <v>7.5</v>
      </c>
      <c r="Y32" s="220">
        <f>IF($B32="",0,SUMIFS(出库明细!$E$4:$E$3003,出库明细!$D$4:$D$3003,$B32,出库明细!$B$4:$B$3003,"&gt;="&amp;DATE(年度,2,1),出库明细!$B$4:$B$3003,"&lt;"&amp;DATE(年度,2+1,1)))</f>
        <v>0</v>
      </c>
      <c r="Z32" s="186">
        <f>Y32*X32</f>
        <v>0</v>
      </c>
      <c r="AA32" s="220">
        <f>_辅助!BN30</f>
        <v>0</v>
      </c>
      <c r="AB32" s="186">
        <f>_辅助!AD30</f>
        <v>0</v>
      </c>
      <c r="AC32" s="221">
        <f>V32-Y32-AA32</f>
        <v>0</v>
      </c>
      <c r="AD32" s="187">
        <f>W32-Z32-AB32</f>
        <v>0</v>
      </c>
      <c r="AE32" s="236">
        <f>IF(AND(V32&gt;0,W32&gt;0),0,Z32)</f>
        <v>0</v>
      </c>
      <c r="AF32" s="220">
        <f>IF($B32="",0,SUMIFS(采购进货!$E$4:$E$1503,采购进货!$D$4:$D$1503,$B32,采购进货!$B$4:$B$1503,"&gt;="&amp;DATE(年度,3,1),采购进货!$B$4:$B$1503,"&lt;"&amp;DATE(年度,3+1,1))+SUMIFS(采购进货!$H$4:$H$1503,采购进货!$D$4:$D$1503,$B32,采购进货!$B$4:$B$1503,"&gt;="&amp;DATE(年度,3,1),采购进货!$B$4:$B$1503,"&lt;"&amp;DATE(年度,3+1,1)))</f>
        <v>0</v>
      </c>
      <c r="AG32" s="186">
        <f>IF($B32="",0,SUMIFS(采购进货!$G$4:$G$1503,采购进货!$D$4:$D$1503,$B32,采购进货!$B$4:$B$1503,"&gt;="&amp;DATE(年度,3,1),采购进货!$B$4:$B$1503,"&lt;"&amp;DATE(年度,3+1,1)))</f>
        <v>0</v>
      </c>
      <c r="AH32" s="234">
        <f>AC32+AF32</f>
        <v>0</v>
      </c>
      <c r="AI32" s="235">
        <f>AD32+AG32</f>
        <v>0</v>
      </c>
      <c r="AJ32" s="222">
        <f>IF(AND(AH32&gt;0,AI32&gt;0),AI32/AH32,N($E32))</f>
        <v>7.5</v>
      </c>
      <c r="AK32" s="220">
        <f>IF($B32="",0,SUMIFS(出库明细!$E$4:$E$3003,出库明细!$D$4:$D$3003,$B32,出库明细!$B$4:$B$3003,"&gt;="&amp;DATE(年度,3,1),出库明细!$B$4:$B$3003,"&lt;"&amp;DATE(年度,3+1,1)))</f>
        <v>0</v>
      </c>
      <c r="AL32" s="186">
        <f>AK32*AJ32</f>
        <v>0</v>
      </c>
      <c r="AM32" s="220">
        <f>_辅助!BO30</f>
        <v>0</v>
      </c>
      <c r="AN32" s="186">
        <f>_辅助!AE30</f>
        <v>0</v>
      </c>
      <c r="AO32" s="221">
        <f>AH32-AK32-AM32</f>
        <v>0</v>
      </c>
      <c r="AP32" s="187">
        <f>AI32-AL32-AN32</f>
        <v>0</v>
      </c>
      <c r="AQ32" s="236">
        <f>IF(AND(AH32&gt;0,AI32&gt;0),0,AL32)</f>
        <v>0</v>
      </c>
      <c r="AR32" s="220">
        <f>IF($B32="",0,SUMIFS(采购进货!$E$4:$E$1503,采购进货!$D$4:$D$1503,$B32,采购进货!$B$4:$B$1503,"&gt;="&amp;DATE(年度,4,1),采购进货!$B$4:$B$1503,"&lt;"&amp;DATE(年度,4+1,1))+SUMIFS(采购进货!$H$4:$H$1503,采购进货!$D$4:$D$1503,$B32,采购进货!$B$4:$B$1503,"&gt;="&amp;DATE(年度,4,1),采购进货!$B$4:$B$1503,"&lt;"&amp;DATE(年度,4+1,1)))</f>
        <v>0</v>
      </c>
      <c r="AS32" s="186">
        <f>IF($B32="",0,SUMIFS(采购进货!$G$4:$G$1503,采购进货!$D$4:$D$1503,$B32,采购进货!$B$4:$B$1503,"&gt;="&amp;DATE(年度,4,1),采购进货!$B$4:$B$1503,"&lt;"&amp;DATE(年度,4+1,1)))</f>
        <v>0</v>
      </c>
      <c r="AT32" s="234">
        <f>AO32+AR32</f>
        <v>0</v>
      </c>
      <c r="AU32" s="235">
        <f>AP32+AS32</f>
        <v>0</v>
      </c>
      <c r="AV32" s="222">
        <f>IF(AND(AT32&gt;0,AU32&gt;0),AU32/AT32,N($E32))</f>
        <v>7.5</v>
      </c>
      <c r="AW32" s="220">
        <f>IF($B32="",0,SUMIFS(出库明细!$E$4:$E$3003,出库明细!$D$4:$D$3003,$B32,出库明细!$B$4:$B$3003,"&gt;="&amp;DATE(年度,4,1),出库明细!$B$4:$B$3003,"&lt;"&amp;DATE(年度,4+1,1)))</f>
        <v>0</v>
      </c>
      <c r="AX32" s="186">
        <f>AW32*AV32</f>
        <v>0</v>
      </c>
      <c r="AY32" s="220">
        <f>_辅助!BP30</f>
        <v>0</v>
      </c>
      <c r="AZ32" s="186">
        <f>_辅助!AF30</f>
        <v>0</v>
      </c>
      <c r="BA32" s="221">
        <f>AT32-AW32-AY32</f>
        <v>0</v>
      </c>
      <c r="BB32" s="187">
        <f>AU32-AX32-AZ32</f>
        <v>0</v>
      </c>
      <c r="BC32" s="236">
        <f>IF(AND(AT32&gt;0,AU32&gt;0),0,AX32)</f>
        <v>0</v>
      </c>
      <c r="BD32" s="220">
        <f>IF($B32="",0,SUMIFS(采购进货!$E$4:$E$1503,采购进货!$D$4:$D$1503,$B32,采购进货!$B$4:$B$1503,"&gt;="&amp;DATE(年度,5,1),采购进货!$B$4:$B$1503,"&lt;"&amp;DATE(年度,5+1,1))+SUMIFS(采购进货!$H$4:$H$1503,采购进货!$D$4:$D$1503,$B32,采购进货!$B$4:$B$1503,"&gt;="&amp;DATE(年度,5,1),采购进货!$B$4:$B$1503,"&lt;"&amp;DATE(年度,5+1,1)))</f>
        <v>0</v>
      </c>
      <c r="BE32" s="186">
        <f>IF($B32="",0,SUMIFS(采购进货!$G$4:$G$1503,采购进货!$D$4:$D$1503,$B32,采购进货!$B$4:$B$1503,"&gt;="&amp;DATE(年度,5,1),采购进货!$B$4:$B$1503,"&lt;"&amp;DATE(年度,5+1,1)))</f>
        <v>0</v>
      </c>
      <c r="BF32" s="234">
        <f>BA32+BD32</f>
        <v>0</v>
      </c>
      <c r="BG32" s="235">
        <f>BB32+BE32</f>
        <v>0</v>
      </c>
      <c r="BH32" s="222">
        <f>IF(AND(BF32&gt;0,BG32&gt;0),BG32/BF32,N($E32))</f>
        <v>7.5</v>
      </c>
      <c r="BI32" s="220">
        <f>IF($B32="",0,SUMIFS(出库明细!$E$4:$E$3003,出库明细!$D$4:$D$3003,$B32,出库明细!$B$4:$B$3003,"&gt;="&amp;DATE(年度,5,1),出库明细!$B$4:$B$3003,"&lt;"&amp;DATE(年度,5+1,1)))</f>
        <v>0</v>
      </c>
      <c r="BJ32" s="186">
        <f>BI32*BH32</f>
        <v>0</v>
      </c>
      <c r="BK32" s="220">
        <f>_辅助!BQ30</f>
        <v>0</v>
      </c>
      <c r="BL32" s="186">
        <f>_辅助!AG30</f>
        <v>0</v>
      </c>
      <c r="BM32" s="221">
        <f>BF32-BI32-BK32</f>
        <v>0</v>
      </c>
      <c r="BN32" s="187">
        <f>BG32-BJ32-BL32</f>
        <v>0</v>
      </c>
      <c r="BO32" s="236">
        <f>IF(AND(BF32&gt;0,BG32&gt;0),0,BJ32)</f>
        <v>0</v>
      </c>
      <c r="BP32" s="220">
        <f>IF($B32="",0,SUMIFS(采购进货!$E$4:$E$1503,采购进货!$D$4:$D$1503,$B32,采购进货!$B$4:$B$1503,"&gt;="&amp;DATE(年度,6,1),采购进货!$B$4:$B$1503,"&lt;"&amp;DATE(年度,6+1,1))+SUMIFS(采购进货!$H$4:$H$1503,采购进货!$D$4:$D$1503,$B32,采购进货!$B$4:$B$1503,"&gt;="&amp;DATE(年度,6,1),采购进货!$B$4:$B$1503,"&lt;"&amp;DATE(年度,6+1,1)))</f>
        <v>0</v>
      </c>
      <c r="BQ32" s="186">
        <f>IF($B32="",0,SUMIFS(采购进货!$G$4:$G$1503,采购进货!$D$4:$D$1503,$B32,采购进货!$B$4:$B$1503,"&gt;="&amp;DATE(年度,6,1),采购进货!$B$4:$B$1503,"&lt;"&amp;DATE(年度,6+1,1)))</f>
        <v>0</v>
      </c>
      <c r="BR32" s="234">
        <f>BM32+BP32</f>
        <v>0</v>
      </c>
      <c r="BS32" s="235">
        <f>BN32+BQ32</f>
        <v>0</v>
      </c>
      <c r="BT32" s="222">
        <f>IF(AND(BR32&gt;0,BS32&gt;0),BS32/BR32,N($E32))</f>
        <v>7.5</v>
      </c>
      <c r="BU32" s="220">
        <f>IF($B32="",0,SUMIFS(出库明细!$E$4:$E$3003,出库明细!$D$4:$D$3003,$B32,出库明细!$B$4:$B$3003,"&gt;="&amp;DATE(年度,6,1),出库明细!$B$4:$B$3003,"&lt;"&amp;DATE(年度,6+1,1)))</f>
        <v>0</v>
      </c>
      <c r="BV32" s="186">
        <f>BU32*BT32</f>
        <v>0</v>
      </c>
      <c r="BW32" s="220">
        <f>_辅助!BR30</f>
        <v>0</v>
      </c>
      <c r="BX32" s="186">
        <f>_辅助!AH30</f>
        <v>0</v>
      </c>
      <c r="BY32" s="221">
        <f>BR32-BU32-BW32</f>
        <v>0</v>
      </c>
      <c r="BZ32" s="187">
        <f>BS32-BV32-BX32</f>
        <v>0</v>
      </c>
      <c r="CA32" s="236">
        <f>IF(AND(BR32&gt;0,BS32&gt;0),0,BV32)</f>
        <v>0</v>
      </c>
      <c r="CB32" s="220">
        <f>IF($B32="",0,SUMIFS(采购进货!$E$4:$E$1503,采购进货!$D$4:$D$1503,$B32,采购进货!$B$4:$B$1503,"&gt;="&amp;DATE(年度,7,1),采购进货!$B$4:$B$1503,"&lt;"&amp;DATE(年度,7+1,1))+SUMIFS(采购进货!$H$4:$H$1503,采购进货!$D$4:$D$1503,$B32,采购进货!$B$4:$B$1503,"&gt;="&amp;DATE(年度,7,1),采购进货!$B$4:$B$1503,"&lt;"&amp;DATE(年度,7+1,1)))</f>
        <v>0</v>
      </c>
      <c r="CC32" s="186">
        <f>IF($B32="",0,SUMIFS(采购进货!$G$4:$G$1503,采购进货!$D$4:$D$1503,$B32,采购进货!$B$4:$B$1503,"&gt;="&amp;DATE(年度,7,1),采购进货!$B$4:$B$1503,"&lt;"&amp;DATE(年度,7+1,1)))</f>
        <v>0</v>
      </c>
      <c r="CD32" s="234">
        <f>BY32+CB32</f>
        <v>0</v>
      </c>
      <c r="CE32" s="235">
        <f>BZ32+CC32</f>
        <v>0</v>
      </c>
      <c r="CF32" s="222">
        <f>IF(AND(CD32&gt;0,CE32&gt;0),CE32/CD32,N($E32))</f>
        <v>7.5</v>
      </c>
      <c r="CG32" s="220">
        <f>IF($B32="",0,SUMIFS(出库明细!$E$4:$E$3003,出库明细!$D$4:$D$3003,$B32,出库明细!$B$4:$B$3003,"&gt;="&amp;DATE(年度,7,1),出库明细!$B$4:$B$3003,"&lt;"&amp;DATE(年度,7+1,1)))</f>
        <v>0</v>
      </c>
      <c r="CH32" s="186">
        <f>CG32*CF32</f>
        <v>0</v>
      </c>
      <c r="CI32" s="220">
        <f>_辅助!BS30</f>
        <v>0</v>
      </c>
      <c r="CJ32" s="186">
        <f>_辅助!AI30</f>
        <v>0</v>
      </c>
      <c r="CK32" s="221">
        <f>CD32-CG32-CI32</f>
        <v>0</v>
      </c>
      <c r="CL32" s="187">
        <f>CE32-CH32-CJ32</f>
        <v>0</v>
      </c>
      <c r="CM32" s="236">
        <f>IF(AND(CD32&gt;0,CE32&gt;0),0,CH32)</f>
        <v>0</v>
      </c>
      <c r="CN32" s="220">
        <f>IF($B32="",0,SUMIFS(采购进货!$E$4:$E$1503,采购进货!$D$4:$D$1503,$B32,采购进货!$B$4:$B$1503,"&gt;="&amp;DATE(年度,8,1),采购进货!$B$4:$B$1503,"&lt;"&amp;DATE(年度,8+1,1))+SUMIFS(采购进货!$H$4:$H$1503,采购进货!$D$4:$D$1503,$B32,采购进货!$B$4:$B$1503,"&gt;="&amp;DATE(年度,8,1),采购进货!$B$4:$B$1503,"&lt;"&amp;DATE(年度,8+1,1)))</f>
        <v>0</v>
      </c>
      <c r="CO32" s="186">
        <f>IF($B32="",0,SUMIFS(采购进货!$G$4:$G$1503,采购进货!$D$4:$D$1503,$B32,采购进货!$B$4:$B$1503,"&gt;="&amp;DATE(年度,8,1),采购进货!$B$4:$B$1503,"&lt;"&amp;DATE(年度,8+1,1)))</f>
        <v>0</v>
      </c>
      <c r="CP32" s="234">
        <f>CK32+CN32</f>
        <v>0</v>
      </c>
      <c r="CQ32" s="235">
        <f>CL32+CO32</f>
        <v>0</v>
      </c>
      <c r="CR32" s="222">
        <f>IF(AND(CP32&gt;0,CQ32&gt;0),CQ32/CP32,N($E32))</f>
        <v>7.5</v>
      </c>
      <c r="CS32" s="220">
        <f>IF($B32="",0,SUMIFS(出库明细!$E$4:$E$3003,出库明细!$D$4:$D$3003,$B32,出库明细!$B$4:$B$3003,"&gt;="&amp;DATE(年度,8,1),出库明细!$B$4:$B$3003,"&lt;"&amp;DATE(年度,8+1,1)))</f>
        <v>0</v>
      </c>
      <c r="CT32" s="186">
        <f>CS32*CR32</f>
        <v>0</v>
      </c>
      <c r="CU32" s="220">
        <f>_辅助!BT30</f>
        <v>0</v>
      </c>
      <c r="CV32" s="186">
        <f>_辅助!AJ30</f>
        <v>0</v>
      </c>
      <c r="CW32" s="221">
        <f>CP32-CS32-CU32</f>
        <v>0</v>
      </c>
      <c r="CX32" s="187">
        <f>CQ32-CT32-CV32</f>
        <v>0</v>
      </c>
      <c r="CY32" s="236">
        <f>IF(AND(CP32&gt;0,CQ32&gt;0),0,CT32)</f>
        <v>0</v>
      </c>
      <c r="CZ32" s="220">
        <f>IF($B32="",0,SUMIFS(采购进货!$E$4:$E$1503,采购进货!$D$4:$D$1503,$B32,采购进货!$B$4:$B$1503,"&gt;="&amp;DATE(年度,9,1),采购进货!$B$4:$B$1503,"&lt;"&amp;DATE(年度,9+1,1))+SUMIFS(采购进货!$H$4:$H$1503,采购进货!$D$4:$D$1503,$B32,采购进货!$B$4:$B$1503,"&gt;="&amp;DATE(年度,9,1),采购进货!$B$4:$B$1503,"&lt;"&amp;DATE(年度,9+1,1)))</f>
        <v>0</v>
      </c>
      <c r="DA32" s="186">
        <f>IF($B32="",0,SUMIFS(采购进货!$G$4:$G$1503,采购进货!$D$4:$D$1503,$B32,采购进货!$B$4:$B$1503,"&gt;="&amp;DATE(年度,9,1),采购进货!$B$4:$B$1503,"&lt;"&amp;DATE(年度,9+1,1)))</f>
        <v>0</v>
      </c>
      <c r="DB32" s="234">
        <f>CW32+CZ32</f>
        <v>0</v>
      </c>
      <c r="DC32" s="235">
        <f>CX32+DA32</f>
        <v>0</v>
      </c>
      <c r="DD32" s="222">
        <f>IF(AND(DB32&gt;0,DC32&gt;0),DC32/DB32,N($E32))</f>
        <v>7.5</v>
      </c>
      <c r="DE32" s="220">
        <f>IF($B32="",0,SUMIFS(出库明细!$E$4:$E$3003,出库明细!$D$4:$D$3003,$B32,出库明细!$B$4:$B$3003,"&gt;="&amp;DATE(年度,9,1),出库明细!$B$4:$B$3003,"&lt;"&amp;DATE(年度,9+1,1)))</f>
        <v>0</v>
      </c>
      <c r="DF32" s="186">
        <f>DE32*DD32</f>
        <v>0</v>
      </c>
      <c r="DG32" s="220">
        <f>_辅助!BU30</f>
        <v>0</v>
      </c>
      <c r="DH32" s="186">
        <f>_辅助!AK30</f>
        <v>0</v>
      </c>
      <c r="DI32" s="221">
        <f>DB32-DE32-DG32</f>
        <v>0</v>
      </c>
      <c r="DJ32" s="187">
        <f>DC32-DF32-DH32</f>
        <v>0</v>
      </c>
      <c r="DK32" s="236">
        <f>IF(AND(DB32&gt;0,DC32&gt;0),0,DF32)</f>
        <v>0</v>
      </c>
      <c r="DL32" s="220">
        <f>IF($B32="",0,SUMIFS(采购进货!$E$4:$E$1503,采购进货!$D$4:$D$1503,$B32,采购进货!$B$4:$B$1503,"&gt;="&amp;DATE(年度,10,1),采购进货!$B$4:$B$1503,"&lt;"&amp;DATE(年度,10+1,1))+SUMIFS(采购进货!$H$4:$H$1503,采购进货!$D$4:$D$1503,$B32,采购进货!$B$4:$B$1503,"&gt;="&amp;DATE(年度,10,1),采购进货!$B$4:$B$1503,"&lt;"&amp;DATE(年度,10+1,1)))</f>
        <v>0</v>
      </c>
      <c r="DM32" s="186">
        <f>IF($B32="",0,SUMIFS(采购进货!$G$4:$G$1503,采购进货!$D$4:$D$1503,$B32,采购进货!$B$4:$B$1503,"&gt;="&amp;DATE(年度,10,1),采购进货!$B$4:$B$1503,"&lt;"&amp;DATE(年度,10+1,1)))</f>
        <v>0</v>
      </c>
      <c r="DN32" s="234">
        <f>DI32+DL32</f>
        <v>0</v>
      </c>
      <c r="DO32" s="235">
        <f>DJ32+DM32</f>
        <v>0</v>
      </c>
      <c r="DP32" s="222">
        <f>IF(AND(DN32&gt;0,DO32&gt;0),DO32/DN32,N($E32))</f>
        <v>7.5</v>
      </c>
      <c r="DQ32" s="220">
        <f>IF($B32="",0,SUMIFS(出库明细!$E$4:$E$3003,出库明细!$D$4:$D$3003,$B32,出库明细!$B$4:$B$3003,"&gt;="&amp;DATE(年度,10,1),出库明细!$B$4:$B$3003,"&lt;"&amp;DATE(年度,10+1,1)))</f>
        <v>0</v>
      </c>
      <c r="DR32" s="186">
        <f>DQ32*DP32</f>
        <v>0</v>
      </c>
      <c r="DS32" s="220">
        <f>_辅助!BV30</f>
        <v>0</v>
      </c>
      <c r="DT32" s="186">
        <f>_辅助!AL30</f>
        <v>0</v>
      </c>
      <c r="DU32" s="221">
        <f>DN32-DQ32-DS32</f>
        <v>0</v>
      </c>
      <c r="DV32" s="187">
        <f>DO32-DR32-DT32</f>
        <v>0</v>
      </c>
      <c r="DW32" s="236">
        <f>IF(AND(DN32&gt;0,DO32&gt;0),0,DR32)</f>
        <v>0</v>
      </c>
      <c r="DX32" s="220">
        <f>IF($B32="",0,SUMIFS(采购进货!$E$4:$E$1503,采购进货!$D$4:$D$1503,$B32,采购进货!$B$4:$B$1503,"&gt;="&amp;DATE(年度,11,1),采购进货!$B$4:$B$1503,"&lt;"&amp;DATE(年度,11+1,1))+SUMIFS(采购进货!$H$4:$H$1503,采购进货!$D$4:$D$1503,$B32,采购进货!$B$4:$B$1503,"&gt;="&amp;DATE(年度,11,1),采购进货!$B$4:$B$1503,"&lt;"&amp;DATE(年度,11+1,1)))</f>
        <v>0</v>
      </c>
      <c r="DY32" s="186">
        <f>IF($B32="",0,SUMIFS(采购进货!$G$4:$G$1503,采购进货!$D$4:$D$1503,$B32,采购进货!$B$4:$B$1503,"&gt;="&amp;DATE(年度,11,1),采购进货!$B$4:$B$1503,"&lt;"&amp;DATE(年度,11+1,1)))</f>
        <v>0</v>
      </c>
      <c r="DZ32" s="234">
        <f>DU32+DX32</f>
        <v>0</v>
      </c>
      <c r="EA32" s="235">
        <f>DV32+DY32</f>
        <v>0</v>
      </c>
      <c r="EB32" s="222">
        <f>IF(AND(DZ32&gt;0,EA32&gt;0),EA32/DZ32,N($E32))</f>
        <v>7.5</v>
      </c>
      <c r="EC32" s="220">
        <f>IF($B32="",0,SUMIFS(出库明细!$E$4:$E$3003,出库明细!$D$4:$D$3003,$B32,出库明细!$B$4:$B$3003,"&gt;="&amp;DATE(年度,11,1),出库明细!$B$4:$B$3003,"&lt;"&amp;DATE(年度,11+1,1)))</f>
        <v>0</v>
      </c>
      <c r="ED32" s="186">
        <f>EC32*EB32</f>
        <v>0</v>
      </c>
      <c r="EE32" s="220">
        <f>_辅助!BW30</f>
        <v>0</v>
      </c>
      <c r="EF32" s="186">
        <f>_辅助!AM30</f>
        <v>0</v>
      </c>
      <c r="EG32" s="221">
        <f>DZ32-EC32-EE32</f>
        <v>0</v>
      </c>
      <c r="EH32" s="187">
        <f>EA32-ED32-EF32</f>
        <v>0</v>
      </c>
      <c r="EI32" s="236">
        <f>IF(AND(DZ32&gt;0,EA32&gt;0),0,ED32)</f>
        <v>0</v>
      </c>
      <c r="EJ32" s="220">
        <f>IF($B32="",0,SUMIFS(采购进货!$E$4:$E$1503,采购进货!$D$4:$D$1503,$B32,采购进货!$B$4:$B$1503,"&gt;="&amp;DATE(年度,12,1),采购进货!$B$4:$B$1503,"&lt;"&amp;DATE(年度,12+1,1))+SUMIFS(采购进货!$H$4:$H$1503,采购进货!$D$4:$D$1503,$B32,采购进货!$B$4:$B$1503,"&gt;="&amp;DATE(年度,12,1),采购进货!$B$4:$B$1503,"&lt;"&amp;DATE(年度,12+1,1)))</f>
        <v>0</v>
      </c>
      <c r="EK32" s="186">
        <f>IF($B32="",0,SUMIFS(采购进货!$G$4:$G$1503,采购进货!$D$4:$D$1503,$B32,采购进货!$B$4:$B$1503,"&gt;="&amp;DATE(年度,12,1),采购进货!$B$4:$B$1503,"&lt;"&amp;DATE(年度,12+1,1)))</f>
        <v>0</v>
      </c>
      <c r="EL32" s="234">
        <f>EG32+EJ32</f>
        <v>0</v>
      </c>
      <c r="EM32" s="235">
        <f>EH32+EK32</f>
        <v>0</v>
      </c>
      <c r="EN32" s="222">
        <f>IF(AND(EL32&gt;0,EM32&gt;0),EM32/EL32,N($E32))</f>
        <v>7.5</v>
      </c>
      <c r="EO32" s="220">
        <f>IF($B32="",0,SUMIFS(出库明细!$E$4:$E$3003,出库明细!$D$4:$D$3003,$B32,出库明细!$B$4:$B$3003,"&gt;="&amp;DATE(年度,12,1),出库明细!$B$4:$B$3003,"&lt;"&amp;DATE(年度,12+1,1)))</f>
        <v>0</v>
      </c>
      <c r="EP32" s="186">
        <f>EO32*EN32</f>
        <v>0</v>
      </c>
      <c r="EQ32" s="220">
        <f>_辅助!BX30</f>
        <v>0</v>
      </c>
      <c r="ER32" s="186">
        <f>_辅助!AN30</f>
        <v>0</v>
      </c>
      <c r="ES32" s="221">
        <f>EL32-EO32-EQ32</f>
        <v>0</v>
      </c>
      <c r="ET32" s="187">
        <f>EM32-EP32-ER32</f>
        <v>0</v>
      </c>
      <c r="EU32" s="236">
        <f>IF(AND(EL32&gt;0,EM32&gt;0),0,EP32)</f>
        <v>0</v>
      </c>
    </row>
    <row r="33">
      <c r="A33" s="194">
        <f>IF(B33="","",ROW()-7)</f>
        <v>26</v>
      </c>
      <c r="B33" s="141" t="str">
        <f>IF(基础资料!E30="","",基础资料!E30&amp;"")</f>
        <v>1.5L水</v>
      </c>
      <c r="C33" s="230" t="str">
        <f>IF(基础资料!G30="","",基础资料!G30&amp;"")</f>
        <v>农夫1.5L水</v>
      </c>
      <c r="D33" s="194">
        <f>IF(基础资料!I30="","",基础资料!I30)</f>
        <v>12</v>
      </c>
      <c r="E33" s="231">
        <f>IF(基础资料!J30="","",基础资料!J30)</f>
        <v>20.004</v>
      </c>
      <c r="F33" s="232">
        <f>N(基础资料!L30)</f>
        <v>0</v>
      </c>
      <c r="G33" s="233">
        <f>IF(基础资料!N30="",0,基础资料!N30)</f>
        <v>0</v>
      </c>
      <c r="H33" s="220">
        <f>IF($B33="",0,SUMIFS(采购进货!$E$4:$E$1503,采购进货!$D$4:$D$1503,$B33,采购进货!$B$4:$B$1503,"&gt;="&amp;DATE(年度,1,1),采购进货!$B$4:$B$1503,"&lt;"&amp;DATE(年度,1+1,1))+SUMIFS(采购进货!$H$4:$H$1503,采购进货!$D$4:$D$1503,$B33,采购进货!$B$4:$B$1503,"&gt;="&amp;DATE(年度,1,1),采购进货!$B$4:$B$1503,"&lt;"&amp;DATE(年度,1+1,1)))</f>
        <v>0</v>
      </c>
      <c r="I33" s="186">
        <f>IF($B33="",0,SUMIFS(采购进货!$G$4:$G$1503,采购进货!$D$4:$D$1503,$B33,采购进货!$B$4:$B$1503,"&gt;="&amp;DATE(年度,1,1),采购进货!$B$4:$B$1503,"&lt;"&amp;DATE(年度,1+1,1)))</f>
        <v>0</v>
      </c>
      <c r="J33" s="234">
        <f>F33+H33</f>
        <v>0</v>
      </c>
      <c r="K33" s="235">
        <f>G33+I33</f>
        <v>0</v>
      </c>
      <c r="L33" s="222">
        <f>IF(AND(J33&gt;0,K33&gt;0),K33/J33,N($E33))</f>
        <v>20.004</v>
      </c>
      <c r="M33" s="220">
        <f>IF($B33="",0,SUMIFS(出库明细!$E$4:$E$3003,出库明细!$D$4:$D$3003,$B33,出库明细!$B$4:$B$3003,"&gt;="&amp;DATE(年度,1,1),出库明细!$B$4:$B$3003,"&lt;"&amp;DATE(年度,1+1,1)))</f>
        <v>0</v>
      </c>
      <c r="N33" s="186">
        <f>M33*L33</f>
        <v>0</v>
      </c>
      <c r="O33" s="220">
        <f>_辅助!BM31</f>
        <v>0</v>
      </c>
      <c r="P33" s="186">
        <f>_辅助!AC31</f>
        <v>0</v>
      </c>
      <c r="Q33" s="221">
        <f>J33-M33-O33</f>
        <v>0</v>
      </c>
      <c r="R33" s="187">
        <f>K33-N33-P33</f>
        <v>0</v>
      </c>
      <c r="S33" s="236">
        <f>IF(AND(J33&gt;0,K33&gt;0),0,N33)</f>
        <v>0</v>
      </c>
      <c r="T33" s="220">
        <f>IF($B33="",0,SUMIFS(采购进货!$E$4:$E$1503,采购进货!$D$4:$D$1503,$B33,采购进货!$B$4:$B$1503,"&gt;="&amp;DATE(年度,2,1),采购进货!$B$4:$B$1503,"&lt;"&amp;DATE(年度,2+1,1))+SUMIFS(采购进货!$H$4:$H$1503,采购进货!$D$4:$D$1503,$B33,采购进货!$B$4:$B$1503,"&gt;="&amp;DATE(年度,2,1),采购进货!$B$4:$B$1503,"&lt;"&amp;DATE(年度,2+1,1)))</f>
        <v>0</v>
      </c>
      <c r="U33" s="186">
        <f>IF($B33="",0,SUMIFS(采购进货!$G$4:$G$1503,采购进货!$D$4:$D$1503,$B33,采购进货!$B$4:$B$1503,"&gt;="&amp;DATE(年度,2,1),采购进货!$B$4:$B$1503,"&lt;"&amp;DATE(年度,2+1,1)))</f>
        <v>0</v>
      </c>
      <c r="V33" s="234">
        <f>Q33+T33</f>
        <v>0</v>
      </c>
      <c r="W33" s="235">
        <f>R33+U33</f>
        <v>0</v>
      </c>
      <c r="X33" s="222">
        <f>IF(AND(V33&gt;0,W33&gt;0),W33/V33,N($E33))</f>
        <v>20.004</v>
      </c>
      <c r="Y33" s="220">
        <f>IF($B33="",0,SUMIFS(出库明细!$E$4:$E$3003,出库明细!$D$4:$D$3003,$B33,出库明细!$B$4:$B$3003,"&gt;="&amp;DATE(年度,2,1),出库明细!$B$4:$B$3003,"&lt;"&amp;DATE(年度,2+1,1)))</f>
        <v>0</v>
      </c>
      <c r="Z33" s="186">
        <f>Y33*X33</f>
        <v>0</v>
      </c>
      <c r="AA33" s="220">
        <f>_辅助!BN31</f>
        <v>0</v>
      </c>
      <c r="AB33" s="186">
        <f>_辅助!AD31</f>
        <v>0</v>
      </c>
      <c r="AC33" s="221">
        <f>V33-Y33-AA33</f>
        <v>0</v>
      </c>
      <c r="AD33" s="187">
        <f>W33-Z33-AB33</f>
        <v>0</v>
      </c>
      <c r="AE33" s="236">
        <f>IF(AND(V33&gt;0,W33&gt;0),0,Z33)</f>
        <v>0</v>
      </c>
      <c r="AF33" s="220">
        <f>IF($B33="",0,SUMIFS(采购进货!$E$4:$E$1503,采购进货!$D$4:$D$1503,$B33,采购进货!$B$4:$B$1503,"&gt;="&amp;DATE(年度,3,1),采购进货!$B$4:$B$1503,"&lt;"&amp;DATE(年度,3+1,1))+SUMIFS(采购进货!$H$4:$H$1503,采购进货!$D$4:$D$1503,$B33,采购进货!$B$4:$B$1503,"&gt;="&amp;DATE(年度,3,1),采购进货!$B$4:$B$1503,"&lt;"&amp;DATE(年度,3+1,1)))</f>
        <v>0</v>
      </c>
      <c r="AG33" s="186">
        <f>IF($B33="",0,SUMIFS(采购进货!$G$4:$G$1503,采购进货!$D$4:$D$1503,$B33,采购进货!$B$4:$B$1503,"&gt;="&amp;DATE(年度,3,1),采购进货!$B$4:$B$1503,"&lt;"&amp;DATE(年度,3+1,1)))</f>
        <v>0</v>
      </c>
      <c r="AH33" s="234">
        <f>AC33+AF33</f>
        <v>0</v>
      </c>
      <c r="AI33" s="235">
        <f>AD33+AG33</f>
        <v>0</v>
      </c>
      <c r="AJ33" s="222">
        <f>IF(AND(AH33&gt;0,AI33&gt;0),AI33/AH33,N($E33))</f>
        <v>20.004</v>
      </c>
      <c r="AK33" s="220">
        <f>IF($B33="",0,SUMIFS(出库明细!$E$4:$E$3003,出库明细!$D$4:$D$3003,$B33,出库明细!$B$4:$B$3003,"&gt;="&amp;DATE(年度,3,1),出库明细!$B$4:$B$3003,"&lt;"&amp;DATE(年度,3+1,1)))</f>
        <v>0</v>
      </c>
      <c r="AL33" s="186">
        <f>AK33*AJ33</f>
        <v>0</v>
      </c>
      <c r="AM33" s="220">
        <f>_辅助!BO31</f>
        <v>0</v>
      </c>
      <c r="AN33" s="186">
        <f>_辅助!AE31</f>
        <v>0</v>
      </c>
      <c r="AO33" s="221">
        <f>AH33-AK33-AM33</f>
        <v>0</v>
      </c>
      <c r="AP33" s="187">
        <f>AI33-AL33-AN33</f>
        <v>0</v>
      </c>
      <c r="AQ33" s="236">
        <f>IF(AND(AH33&gt;0,AI33&gt;0),0,AL33)</f>
        <v>0</v>
      </c>
      <c r="AR33" s="220">
        <f>IF($B33="",0,SUMIFS(采购进货!$E$4:$E$1503,采购进货!$D$4:$D$1503,$B33,采购进货!$B$4:$B$1503,"&gt;="&amp;DATE(年度,4,1),采购进货!$B$4:$B$1503,"&lt;"&amp;DATE(年度,4+1,1))+SUMIFS(采购进货!$H$4:$H$1503,采购进货!$D$4:$D$1503,$B33,采购进货!$B$4:$B$1503,"&gt;="&amp;DATE(年度,4,1),采购进货!$B$4:$B$1503,"&lt;"&amp;DATE(年度,4+1,1)))</f>
        <v>0</v>
      </c>
      <c r="AS33" s="186">
        <f>IF($B33="",0,SUMIFS(采购进货!$G$4:$G$1503,采购进货!$D$4:$D$1503,$B33,采购进货!$B$4:$B$1503,"&gt;="&amp;DATE(年度,4,1),采购进货!$B$4:$B$1503,"&lt;"&amp;DATE(年度,4+1,1)))</f>
        <v>0</v>
      </c>
      <c r="AT33" s="234">
        <f>AO33+AR33</f>
        <v>0</v>
      </c>
      <c r="AU33" s="235">
        <f>AP33+AS33</f>
        <v>0</v>
      </c>
      <c r="AV33" s="222">
        <f>IF(AND(AT33&gt;0,AU33&gt;0),AU33/AT33,N($E33))</f>
        <v>20.004</v>
      </c>
      <c r="AW33" s="220">
        <f>IF($B33="",0,SUMIFS(出库明细!$E$4:$E$3003,出库明细!$D$4:$D$3003,$B33,出库明细!$B$4:$B$3003,"&gt;="&amp;DATE(年度,4,1),出库明细!$B$4:$B$3003,"&lt;"&amp;DATE(年度,4+1,1)))</f>
        <v>0</v>
      </c>
      <c r="AX33" s="186">
        <f>AW33*AV33</f>
        <v>0</v>
      </c>
      <c r="AY33" s="220">
        <f>_辅助!BP31</f>
        <v>0</v>
      </c>
      <c r="AZ33" s="186">
        <f>_辅助!AF31</f>
        <v>0</v>
      </c>
      <c r="BA33" s="221">
        <f>AT33-AW33-AY33</f>
        <v>0</v>
      </c>
      <c r="BB33" s="187">
        <f>AU33-AX33-AZ33</f>
        <v>0</v>
      </c>
      <c r="BC33" s="236">
        <f>IF(AND(AT33&gt;0,AU33&gt;0),0,AX33)</f>
        <v>0</v>
      </c>
      <c r="BD33" s="220">
        <f>IF($B33="",0,SUMIFS(采购进货!$E$4:$E$1503,采购进货!$D$4:$D$1503,$B33,采购进货!$B$4:$B$1503,"&gt;="&amp;DATE(年度,5,1),采购进货!$B$4:$B$1503,"&lt;"&amp;DATE(年度,5+1,1))+SUMIFS(采购进货!$H$4:$H$1503,采购进货!$D$4:$D$1503,$B33,采购进货!$B$4:$B$1503,"&gt;="&amp;DATE(年度,5,1),采购进货!$B$4:$B$1503,"&lt;"&amp;DATE(年度,5+1,1)))</f>
        <v>0</v>
      </c>
      <c r="BE33" s="186">
        <f>IF($B33="",0,SUMIFS(采购进货!$G$4:$G$1503,采购进货!$D$4:$D$1503,$B33,采购进货!$B$4:$B$1503,"&gt;="&amp;DATE(年度,5,1),采购进货!$B$4:$B$1503,"&lt;"&amp;DATE(年度,5+1,1)))</f>
        <v>0</v>
      </c>
      <c r="BF33" s="234">
        <f>BA33+BD33</f>
        <v>0</v>
      </c>
      <c r="BG33" s="235">
        <f>BB33+BE33</f>
        <v>0</v>
      </c>
      <c r="BH33" s="222">
        <f>IF(AND(BF33&gt;0,BG33&gt;0),BG33/BF33,N($E33))</f>
        <v>20.004</v>
      </c>
      <c r="BI33" s="220">
        <f>IF($B33="",0,SUMIFS(出库明细!$E$4:$E$3003,出库明细!$D$4:$D$3003,$B33,出库明细!$B$4:$B$3003,"&gt;="&amp;DATE(年度,5,1),出库明细!$B$4:$B$3003,"&lt;"&amp;DATE(年度,5+1,1)))</f>
        <v>0</v>
      </c>
      <c r="BJ33" s="186">
        <f>BI33*BH33</f>
        <v>0</v>
      </c>
      <c r="BK33" s="220">
        <f>_辅助!BQ31</f>
        <v>0</v>
      </c>
      <c r="BL33" s="186">
        <f>_辅助!AG31</f>
        <v>0</v>
      </c>
      <c r="BM33" s="221">
        <f>BF33-BI33-BK33</f>
        <v>0</v>
      </c>
      <c r="BN33" s="187">
        <f>BG33-BJ33-BL33</f>
        <v>0</v>
      </c>
      <c r="BO33" s="236">
        <f>IF(AND(BF33&gt;0,BG33&gt;0),0,BJ33)</f>
        <v>0</v>
      </c>
      <c r="BP33" s="220">
        <f>IF($B33="",0,SUMIFS(采购进货!$E$4:$E$1503,采购进货!$D$4:$D$1503,$B33,采购进货!$B$4:$B$1503,"&gt;="&amp;DATE(年度,6,1),采购进货!$B$4:$B$1503,"&lt;"&amp;DATE(年度,6+1,1))+SUMIFS(采购进货!$H$4:$H$1503,采购进货!$D$4:$D$1503,$B33,采购进货!$B$4:$B$1503,"&gt;="&amp;DATE(年度,6,1),采购进货!$B$4:$B$1503,"&lt;"&amp;DATE(年度,6+1,1)))</f>
        <v>0</v>
      </c>
      <c r="BQ33" s="186">
        <f>IF($B33="",0,SUMIFS(采购进货!$G$4:$G$1503,采购进货!$D$4:$D$1503,$B33,采购进货!$B$4:$B$1503,"&gt;="&amp;DATE(年度,6,1),采购进货!$B$4:$B$1503,"&lt;"&amp;DATE(年度,6+1,1)))</f>
        <v>0</v>
      </c>
      <c r="BR33" s="234">
        <f>BM33+BP33</f>
        <v>0</v>
      </c>
      <c r="BS33" s="235">
        <f>BN33+BQ33</f>
        <v>0</v>
      </c>
      <c r="BT33" s="222">
        <f>IF(AND(BR33&gt;0,BS33&gt;0),BS33/BR33,N($E33))</f>
        <v>20.004</v>
      </c>
      <c r="BU33" s="220">
        <f>IF($B33="",0,SUMIFS(出库明细!$E$4:$E$3003,出库明细!$D$4:$D$3003,$B33,出库明细!$B$4:$B$3003,"&gt;="&amp;DATE(年度,6,1),出库明细!$B$4:$B$3003,"&lt;"&amp;DATE(年度,6+1,1)))</f>
        <v>2</v>
      </c>
      <c r="BV33" s="186">
        <f>BU33*BT33</f>
        <v>40.008</v>
      </c>
      <c r="BW33" s="220">
        <f>_辅助!BR31</f>
        <v>0</v>
      </c>
      <c r="BX33" s="186">
        <f>_辅助!AH31</f>
        <v>0</v>
      </c>
      <c r="BY33" s="221">
        <f>BR33-BU33-BW33</f>
        <v>-2</v>
      </c>
      <c r="BZ33" s="187">
        <f>BS33-BV33-BX33</f>
        <v>-40.008</v>
      </c>
      <c r="CA33" s="236">
        <f>IF(AND(BR33&gt;0,BS33&gt;0),0,BV33)</f>
        <v>40.008</v>
      </c>
      <c r="CB33" s="220">
        <f>IF($B33="",0,SUMIFS(采购进货!$E$4:$E$1503,采购进货!$D$4:$D$1503,$B33,采购进货!$B$4:$B$1503,"&gt;="&amp;DATE(年度,7,1),采购进货!$B$4:$B$1503,"&lt;"&amp;DATE(年度,7+1,1))+SUMIFS(采购进货!$H$4:$H$1503,采购进货!$D$4:$D$1503,$B33,采购进货!$B$4:$B$1503,"&gt;="&amp;DATE(年度,7,1),采购进货!$B$4:$B$1503,"&lt;"&amp;DATE(年度,7+1,1)))</f>
        <v>0</v>
      </c>
      <c r="CC33" s="186">
        <f>IF($B33="",0,SUMIFS(采购进货!$G$4:$G$1503,采购进货!$D$4:$D$1503,$B33,采购进货!$B$4:$B$1503,"&gt;="&amp;DATE(年度,7,1),采购进货!$B$4:$B$1503,"&lt;"&amp;DATE(年度,7+1,1)))</f>
        <v>0</v>
      </c>
      <c r="CD33" s="234">
        <f>BY33+CB33</f>
        <v>-2</v>
      </c>
      <c r="CE33" s="235">
        <f>BZ33+CC33</f>
        <v>-40.008</v>
      </c>
      <c r="CF33" s="222">
        <f>IF(AND(CD33&gt;0,CE33&gt;0),CE33/CD33,N($E33))</f>
        <v>20.004</v>
      </c>
      <c r="CG33" s="220">
        <f>IF($B33="",0,SUMIFS(出库明细!$E$4:$E$3003,出库明细!$D$4:$D$3003,$B33,出库明细!$B$4:$B$3003,"&gt;="&amp;DATE(年度,7,1),出库明细!$B$4:$B$3003,"&lt;"&amp;DATE(年度,7+1,1)))</f>
        <v>0</v>
      </c>
      <c r="CH33" s="186">
        <f>CG33*CF33</f>
        <v>0</v>
      </c>
      <c r="CI33" s="220">
        <f>_辅助!BS31</f>
        <v>0</v>
      </c>
      <c r="CJ33" s="186">
        <f>_辅助!AI31</f>
        <v>0</v>
      </c>
      <c r="CK33" s="221">
        <f>CD33-CG33-CI33</f>
        <v>-2</v>
      </c>
      <c r="CL33" s="187">
        <f>CE33-CH33-CJ33</f>
        <v>-40.008</v>
      </c>
      <c r="CM33" s="236">
        <f>IF(AND(CD33&gt;0,CE33&gt;0),0,CH33)</f>
        <v>0</v>
      </c>
      <c r="CN33" s="220">
        <f>IF($B33="",0,SUMIFS(采购进货!$E$4:$E$1503,采购进货!$D$4:$D$1503,$B33,采购进货!$B$4:$B$1503,"&gt;="&amp;DATE(年度,8,1),采购进货!$B$4:$B$1503,"&lt;"&amp;DATE(年度,8+1,1))+SUMIFS(采购进货!$H$4:$H$1503,采购进货!$D$4:$D$1503,$B33,采购进货!$B$4:$B$1503,"&gt;="&amp;DATE(年度,8,1),采购进货!$B$4:$B$1503,"&lt;"&amp;DATE(年度,8+1,1)))</f>
        <v>0</v>
      </c>
      <c r="CO33" s="186">
        <f>IF($B33="",0,SUMIFS(采购进货!$G$4:$G$1503,采购进货!$D$4:$D$1503,$B33,采购进货!$B$4:$B$1503,"&gt;="&amp;DATE(年度,8,1),采购进货!$B$4:$B$1503,"&lt;"&amp;DATE(年度,8+1,1)))</f>
        <v>0</v>
      </c>
      <c r="CP33" s="234">
        <f>CK33+CN33</f>
        <v>-2</v>
      </c>
      <c r="CQ33" s="235">
        <f>CL33+CO33</f>
        <v>-40.008</v>
      </c>
      <c r="CR33" s="222">
        <f>IF(AND(CP33&gt;0,CQ33&gt;0),CQ33/CP33,N($E33))</f>
        <v>20.004</v>
      </c>
      <c r="CS33" s="220">
        <f>IF($B33="",0,SUMIFS(出库明细!$E$4:$E$3003,出库明细!$D$4:$D$3003,$B33,出库明细!$B$4:$B$3003,"&gt;="&amp;DATE(年度,8,1),出库明细!$B$4:$B$3003,"&lt;"&amp;DATE(年度,8+1,1)))</f>
        <v>0</v>
      </c>
      <c r="CT33" s="186">
        <f>CS33*CR33</f>
        <v>0</v>
      </c>
      <c r="CU33" s="220">
        <f>_辅助!BT31</f>
        <v>3</v>
      </c>
      <c r="CV33" s="186">
        <f>_辅助!AJ31</f>
        <v>60.012</v>
      </c>
      <c r="CW33" s="221">
        <f>CP33-CS33-CU33</f>
        <v>-5</v>
      </c>
      <c r="CX33" s="187">
        <f>CQ33-CT33-CV33</f>
        <v>-100.02</v>
      </c>
      <c r="CY33" s="236">
        <f>IF(AND(CP33&gt;0,CQ33&gt;0),0,CT33)</f>
        <v>0</v>
      </c>
      <c r="CZ33" s="220">
        <f>IF($B33="",0,SUMIFS(采购进货!$E$4:$E$1503,采购进货!$D$4:$D$1503,$B33,采购进货!$B$4:$B$1503,"&gt;="&amp;DATE(年度,9,1),采购进货!$B$4:$B$1503,"&lt;"&amp;DATE(年度,9+1,1))+SUMIFS(采购进货!$H$4:$H$1503,采购进货!$D$4:$D$1503,$B33,采购进货!$B$4:$B$1503,"&gt;="&amp;DATE(年度,9,1),采购进货!$B$4:$B$1503,"&lt;"&amp;DATE(年度,9+1,1)))</f>
        <v>0</v>
      </c>
      <c r="DA33" s="186">
        <f>IF($B33="",0,SUMIFS(采购进货!$G$4:$G$1503,采购进货!$D$4:$D$1503,$B33,采购进货!$B$4:$B$1503,"&gt;="&amp;DATE(年度,9,1),采购进货!$B$4:$B$1503,"&lt;"&amp;DATE(年度,9+1,1)))</f>
        <v>0</v>
      </c>
      <c r="DB33" s="234">
        <f>CW33+CZ33</f>
        <v>-5</v>
      </c>
      <c r="DC33" s="235">
        <f>CX33+DA33</f>
        <v>-100.02</v>
      </c>
      <c r="DD33" s="222">
        <f>IF(AND(DB33&gt;0,DC33&gt;0),DC33/DB33,N($E33))</f>
        <v>20.004</v>
      </c>
      <c r="DE33" s="220">
        <f>IF($B33="",0,SUMIFS(出库明细!$E$4:$E$3003,出库明细!$D$4:$D$3003,$B33,出库明细!$B$4:$B$3003,"&gt;="&amp;DATE(年度,9,1),出库明细!$B$4:$B$3003,"&lt;"&amp;DATE(年度,9+1,1)))</f>
        <v>0</v>
      </c>
      <c r="DF33" s="186">
        <f>DE33*DD33</f>
        <v>0</v>
      </c>
      <c r="DG33" s="220">
        <f>_辅助!BU31</f>
        <v>0</v>
      </c>
      <c r="DH33" s="186">
        <f>_辅助!AK31</f>
        <v>0</v>
      </c>
      <c r="DI33" s="221">
        <f>DB33-DE33-DG33</f>
        <v>-5</v>
      </c>
      <c r="DJ33" s="187">
        <f>DC33-DF33-DH33</f>
        <v>-100.02</v>
      </c>
      <c r="DK33" s="236">
        <f>IF(AND(DB33&gt;0,DC33&gt;0),0,DF33)</f>
        <v>0</v>
      </c>
      <c r="DL33" s="220">
        <f>IF($B33="",0,SUMIFS(采购进货!$E$4:$E$1503,采购进货!$D$4:$D$1503,$B33,采购进货!$B$4:$B$1503,"&gt;="&amp;DATE(年度,10,1),采购进货!$B$4:$B$1503,"&lt;"&amp;DATE(年度,10+1,1))+SUMIFS(采购进货!$H$4:$H$1503,采购进货!$D$4:$D$1503,$B33,采购进货!$B$4:$B$1503,"&gt;="&amp;DATE(年度,10,1),采购进货!$B$4:$B$1503,"&lt;"&amp;DATE(年度,10+1,1)))</f>
        <v>0</v>
      </c>
      <c r="DM33" s="186">
        <f>IF($B33="",0,SUMIFS(采购进货!$G$4:$G$1503,采购进货!$D$4:$D$1503,$B33,采购进货!$B$4:$B$1503,"&gt;="&amp;DATE(年度,10,1),采购进货!$B$4:$B$1503,"&lt;"&amp;DATE(年度,10+1,1)))</f>
        <v>0</v>
      </c>
      <c r="DN33" s="234">
        <f>DI33+DL33</f>
        <v>-5</v>
      </c>
      <c r="DO33" s="235">
        <f>DJ33+DM33</f>
        <v>-100.02</v>
      </c>
      <c r="DP33" s="222">
        <f>IF(AND(DN33&gt;0,DO33&gt;0),DO33/DN33,N($E33))</f>
        <v>20.004</v>
      </c>
      <c r="DQ33" s="220">
        <f>IF($B33="",0,SUMIFS(出库明细!$E$4:$E$3003,出库明细!$D$4:$D$3003,$B33,出库明细!$B$4:$B$3003,"&gt;="&amp;DATE(年度,10,1),出库明细!$B$4:$B$3003,"&lt;"&amp;DATE(年度,10+1,1)))</f>
        <v>0</v>
      </c>
      <c r="DR33" s="186">
        <f>DQ33*DP33</f>
        <v>0</v>
      </c>
      <c r="DS33" s="220">
        <f>_辅助!BV31</f>
        <v>0</v>
      </c>
      <c r="DT33" s="186">
        <f>_辅助!AL31</f>
        <v>0</v>
      </c>
      <c r="DU33" s="221">
        <f>DN33-DQ33-DS33</f>
        <v>-5</v>
      </c>
      <c r="DV33" s="187">
        <f>DO33-DR33-DT33</f>
        <v>-100.02</v>
      </c>
      <c r="DW33" s="236">
        <f>IF(AND(DN33&gt;0,DO33&gt;0),0,DR33)</f>
        <v>0</v>
      </c>
      <c r="DX33" s="220">
        <f>IF($B33="",0,SUMIFS(采购进货!$E$4:$E$1503,采购进货!$D$4:$D$1503,$B33,采购进货!$B$4:$B$1503,"&gt;="&amp;DATE(年度,11,1),采购进货!$B$4:$B$1503,"&lt;"&amp;DATE(年度,11+1,1))+SUMIFS(采购进货!$H$4:$H$1503,采购进货!$D$4:$D$1503,$B33,采购进货!$B$4:$B$1503,"&gt;="&amp;DATE(年度,11,1),采购进货!$B$4:$B$1503,"&lt;"&amp;DATE(年度,11+1,1)))</f>
        <v>0</v>
      </c>
      <c r="DY33" s="186">
        <f>IF($B33="",0,SUMIFS(采购进货!$G$4:$G$1503,采购进货!$D$4:$D$1503,$B33,采购进货!$B$4:$B$1503,"&gt;="&amp;DATE(年度,11,1),采购进货!$B$4:$B$1503,"&lt;"&amp;DATE(年度,11+1,1)))</f>
        <v>0</v>
      </c>
      <c r="DZ33" s="234">
        <f>DU33+DX33</f>
        <v>-5</v>
      </c>
      <c r="EA33" s="235">
        <f>DV33+DY33</f>
        <v>-100.02</v>
      </c>
      <c r="EB33" s="222">
        <f>IF(AND(DZ33&gt;0,EA33&gt;0),EA33/DZ33,N($E33))</f>
        <v>20.004</v>
      </c>
      <c r="EC33" s="220">
        <f>IF($B33="",0,SUMIFS(出库明细!$E$4:$E$3003,出库明细!$D$4:$D$3003,$B33,出库明细!$B$4:$B$3003,"&gt;="&amp;DATE(年度,11,1),出库明细!$B$4:$B$3003,"&lt;"&amp;DATE(年度,11+1,1)))</f>
        <v>0</v>
      </c>
      <c r="ED33" s="186">
        <f>EC33*EB33</f>
        <v>0</v>
      </c>
      <c r="EE33" s="220">
        <f>_辅助!BW31</f>
        <v>0</v>
      </c>
      <c r="EF33" s="186">
        <f>_辅助!AM31</f>
        <v>0</v>
      </c>
      <c r="EG33" s="221">
        <f>DZ33-EC33-EE33</f>
        <v>-5</v>
      </c>
      <c r="EH33" s="187">
        <f>EA33-ED33-EF33</f>
        <v>-100.02</v>
      </c>
      <c r="EI33" s="236">
        <f>IF(AND(DZ33&gt;0,EA33&gt;0),0,ED33)</f>
        <v>0</v>
      </c>
      <c r="EJ33" s="220">
        <f>IF($B33="",0,SUMIFS(采购进货!$E$4:$E$1503,采购进货!$D$4:$D$1503,$B33,采购进货!$B$4:$B$1503,"&gt;="&amp;DATE(年度,12,1),采购进货!$B$4:$B$1503,"&lt;"&amp;DATE(年度,12+1,1))+SUMIFS(采购进货!$H$4:$H$1503,采购进货!$D$4:$D$1503,$B33,采购进货!$B$4:$B$1503,"&gt;="&amp;DATE(年度,12,1),采购进货!$B$4:$B$1503,"&lt;"&amp;DATE(年度,12+1,1)))</f>
        <v>0</v>
      </c>
      <c r="EK33" s="186">
        <f>IF($B33="",0,SUMIFS(采购进货!$G$4:$G$1503,采购进货!$D$4:$D$1503,$B33,采购进货!$B$4:$B$1503,"&gt;="&amp;DATE(年度,12,1),采购进货!$B$4:$B$1503,"&lt;"&amp;DATE(年度,12+1,1)))</f>
        <v>0</v>
      </c>
      <c r="EL33" s="234">
        <f>EG33+EJ33</f>
        <v>-5</v>
      </c>
      <c r="EM33" s="235">
        <f>EH33+EK33</f>
        <v>-100.02</v>
      </c>
      <c r="EN33" s="222">
        <f>IF(AND(EL33&gt;0,EM33&gt;0),EM33/EL33,N($E33))</f>
        <v>20.004</v>
      </c>
      <c r="EO33" s="220">
        <f>IF($B33="",0,SUMIFS(出库明细!$E$4:$E$3003,出库明细!$D$4:$D$3003,$B33,出库明细!$B$4:$B$3003,"&gt;="&amp;DATE(年度,12,1),出库明细!$B$4:$B$3003,"&lt;"&amp;DATE(年度,12+1,1)))</f>
        <v>0</v>
      </c>
      <c r="EP33" s="186">
        <f>EO33*EN33</f>
        <v>0</v>
      </c>
      <c r="EQ33" s="220">
        <f>_辅助!BX31</f>
        <v>0</v>
      </c>
      <c r="ER33" s="186">
        <f>_辅助!AN31</f>
        <v>0</v>
      </c>
      <c r="ES33" s="221">
        <f>EL33-EO33-EQ33</f>
        <v>-5</v>
      </c>
      <c r="ET33" s="187">
        <f>EM33-EP33-ER33</f>
        <v>-100.02</v>
      </c>
      <c r="EU33" s="236">
        <f>IF(AND(EL33&gt;0,EM33&gt;0),0,EP33)</f>
        <v>0</v>
      </c>
    </row>
    <row r="34">
      <c r="A34" s="194">
        <f>IF(B34="","",ROW()-7)</f>
        <v>27</v>
      </c>
      <c r="B34" s="141" t="str">
        <f>IF(基础资料!E31="","",基础资料!E31&amp;"")</f>
        <v>农夫苏打水</v>
      </c>
      <c r="C34" s="230" t="str">
        <f>IF(基础资料!G31="","",基础资料!G31&amp;"")</f>
        <v>农夫苏打水</v>
      </c>
      <c r="D34" s="194">
        <f>IF(基础资料!I31="","",基础资料!I31)</f>
        <v>15</v>
      </c>
      <c r="E34" s="231">
        <f>IF(基础资料!J31="","",基础资料!J31)</f>
        <v>34.05</v>
      </c>
      <c r="F34" s="232">
        <f>N(基础资料!L31)</f>
        <v>0</v>
      </c>
      <c r="G34" s="233">
        <f>IF(基础资料!N31="",0,基础资料!N31)</f>
        <v>0</v>
      </c>
      <c r="H34" s="220">
        <f>IF($B34="",0,SUMIFS(采购进货!$E$4:$E$1503,采购进货!$D$4:$D$1503,$B34,采购进货!$B$4:$B$1503,"&gt;="&amp;DATE(年度,1,1),采购进货!$B$4:$B$1503,"&lt;"&amp;DATE(年度,1+1,1))+SUMIFS(采购进货!$H$4:$H$1503,采购进货!$D$4:$D$1503,$B34,采购进货!$B$4:$B$1503,"&gt;="&amp;DATE(年度,1,1),采购进货!$B$4:$B$1503,"&lt;"&amp;DATE(年度,1+1,1)))</f>
        <v>0</v>
      </c>
      <c r="I34" s="186">
        <f>IF($B34="",0,SUMIFS(采购进货!$G$4:$G$1503,采购进货!$D$4:$D$1503,$B34,采购进货!$B$4:$B$1503,"&gt;="&amp;DATE(年度,1,1),采购进货!$B$4:$B$1503,"&lt;"&amp;DATE(年度,1+1,1)))</f>
        <v>0</v>
      </c>
      <c r="J34" s="234">
        <f>F34+H34</f>
        <v>0</v>
      </c>
      <c r="K34" s="235">
        <f>G34+I34</f>
        <v>0</v>
      </c>
      <c r="L34" s="222">
        <f>IF(AND(J34&gt;0,K34&gt;0),K34/J34,N($E34))</f>
        <v>34.05</v>
      </c>
      <c r="M34" s="220">
        <f>IF($B34="",0,SUMIFS(出库明细!$E$4:$E$3003,出库明细!$D$4:$D$3003,$B34,出库明细!$B$4:$B$3003,"&gt;="&amp;DATE(年度,1,1),出库明细!$B$4:$B$3003,"&lt;"&amp;DATE(年度,1+1,1)))</f>
        <v>0</v>
      </c>
      <c r="N34" s="186">
        <f>M34*L34</f>
        <v>0</v>
      </c>
      <c r="O34" s="220">
        <f>_辅助!BM32</f>
        <v>0</v>
      </c>
      <c r="P34" s="186">
        <f>_辅助!AC32</f>
        <v>0</v>
      </c>
      <c r="Q34" s="221">
        <f>J34-M34-O34</f>
        <v>0</v>
      </c>
      <c r="R34" s="187">
        <f>K34-N34-P34</f>
        <v>0</v>
      </c>
      <c r="S34" s="236">
        <f>IF(AND(J34&gt;0,K34&gt;0),0,N34)</f>
        <v>0</v>
      </c>
      <c r="T34" s="220">
        <f>IF($B34="",0,SUMIFS(采购进货!$E$4:$E$1503,采购进货!$D$4:$D$1503,$B34,采购进货!$B$4:$B$1503,"&gt;="&amp;DATE(年度,2,1),采购进货!$B$4:$B$1503,"&lt;"&amp;DATE(年度,2+1,1))+SUMIFS(采购进货!$H$4:$H$1503,采购进货!$D$4:$D$1503,$B34,采购进货!$B$4:$B$1503,"&gt;="&amp;DATE(年度,2,1),采购进货!$B$4:$B$1503,"&lt;"&amp;DATE(年度,2+1,1)))</f>
        <v>0</v>
      </c>
      <c r="U34" s="186">
        <f>IF($B34="",0,SUMIFS(采购进货!$G$4:$G$1503,采购进货!$D$4:$D$1503,$B34,采购进货!$B$4:$B$1503,"&gt;="&amp;DATE(年度,2,1),采购进货!$B$4:$B$1503,"&lt;"&amp;DATE(年度,2+1,1)))</f>
        <v>0</v>
      </c>
      <c r="V34" s="234">
        <f>Q34+T34</f>
        <v>0</v>
      </c>
      <c r="W34" s="235">
        <f>R34+U34</f>
        <v>0</v>
      </c>
      <c r="X34" s="222">
        <f>IF(AND(V34&gt;0,W34&gt;0),W34/V34,N($E34))</f>
        <v>34.05</v>
      </c>
      <c r="Y34" s="220">
        <f>IF($B34="",0,SUMIFS(出库明细!$E$4:$E$3003,出库明细!$D$4:$D$3003,$B34,出库明细!$B$4:$B$3003,"&gt;="&amp;DATE(年度,2,1),出库明细!$B$4:$B$3003,"&lt;"&amp;DATE(年度,2+1,1)))</f>
        <v>0</v>
      </c>
      <c r="Z34" s="186">
        <f>Y34*X34</f>
        <v>0</v>
      </c>
      <c r="AA34" s="220">
        <f>_辅助!BN32</f>
        <v>0</v>
      </c>
      <c r="AB34" s="186">
        <f>_辅助!AD32</f>
        <v>0</v>
      </c>
      <c r="AC34" s="221">
        <f>V34-Y34-AA34</f>
        <v>0</v>
      </c>
      <c r="AD34" s="187">
        <f>W34-Z34-AB34</f>
        <v>0</v>
      </c>
      <c r="AE34" s="236">
        <f>IF(AND(V34&gt;0,W34&gt;0),0,Z34)</f>
        <v>0</v>
      </c>
      <c r="AF34" s="220">
        <f>IF($B34="",0,SUMIFS(采购进货!$E$4:$E$1503,采购进货!$D$4:$D$1503,$B34,采购进货!$B$4:$B$1503,"&gt;="&amp;DATE(年度,3,1),采购进货!$B$4:$B$1503,"&lt;"&amp;DATE(年度,3+1,1))+SUMIFS(采购进货!$H$4:$H$1503,采购进货!$D$4:$D$1503,$B34,采购进货!$B$4:$B$1503,"&gt;="&amp;DATE(年度,3,1),采购进货!$B$4:$B$1503,"&lt;"&amp;DATE(年度,3+1,1)))</f>
        <v>0</v>
      </c>
      <c r="AG34" s="186">
        <f>IF($B34="",0,SUMIFS(采购进货!$G$4:$G$1503,采购进货!$D$4:$D$1503,$B34,采购进货!$B$4:$B$1503,"&gt;="&amp;DATE(年度,3,1),采购进货!$B$4:$B$1503,"&lt;"&amp;DATE(年度,3+1,1)))</f>
        <v>0</v>
      </c>
      <c r="AH34" s="234">
        <f>AC34+AF34</f>
        <v>0</v>
      </c>
      <c r="AI34" s="235">
        <f>AD34+AG34</f>
        <v>0</v>
      </c>
      <c r="AJ34" s="222">
        <f>IF(AND(AH34&gt;0,AI34&gt;0),AI34/AH34,N($E34))</f>
        <v>34.05</v>
      </c>
      <c r="AK34" s="220">
        <f>IF($B34="",0,SUMIFS(出库明细!$E$4:$E$3003,出库明细!$D$4:$D$3003,$B34,出库明细!$B$4:$B$3003,"&gt;="&amp;DATE(年度,3,1),出库明细!$B$4:$B$3003,"&lt;"&amp;DATE(年度,3+1,1)))</f>
        <v>0</v>
      </c>
      <c r="AL34" s="186">
        <f>AK34*AJ34</f>
        <v>0</v>
      </c>
      <c r="AM34" s="220">
        <f>_辅助!BO32</f>
        <v>0</v>
      </c>
      <c r="AN34" s="186">
        <f>_辅助!AE32</f>
        <v>0</v>
      </c>
      <c r="AO34" s="221">
        <f>AH34-AK34-AM34</f>
        <v>0</v>
      </c>
      <c r="AP34" s="187">
        <f>AI34-AL34-AN34</f>
        <v>0</v>
      </c>
      <c r="AQ34" s="236">
        <f>IF(AND(AH34&gt;0,AI34&gt;0),0,AL34)</f>
        <v>0</v>
      </c>
      <c r="AR34" s="220">
        <f>IF($B34="",0,SUMIFS(采购进货!$E$4:$E$1503,采购进货!$D$4:$D$1503,$B34,采购进货!$B$4:$B$1503,"&gt;="&amp;DATE(年度,4,1),采购进货!$B$4:$B$1503,"&lt;"&amp;DATE(年度,4+1,1))+SUMIFS(采购进货!$H$4:$H$1503,采购进货!$D$4:$D$1503,$B34,采购进货!$B$4:$B$1503,"&gt;="&amp;DATE(年度,4,1),采购进货!$B$4:$B$1503,"&lt;"&amp;DATE(年度,4+1,1)))</f>
        <v>0</v>
      </c>
      <c r="AS34" s="186">
        <f>IF($B34="",0,SUMIFS(采购进货!$G$4:$G$1503,采购进货!$D$4:$D$1503,$B34,采购进货!$B$4:$B$1503,"&gt;="&amp;DATE(年度,4,1),采购进货!$B$4:$B$1503,"&lt;"&amp;DATE(年度,4+1,1)))</f>
        <v>0</v>
      </c>
      <c r="AT34" s="234">
        <f>AO34+AR34</f>
        <v>0</v>
      </c>
      <c r="AU34" s="235">
        <f>AP34+AS34</f>
        <v>0</v>
      </c>
      <c r="AV34" s="222">
        <f>IF(AND(AT34&gt;0,AU34&gt;0),AU34/AT34,N($E34))</f>
        <v>34.05</v>
      </c>
      <c r="AW34" s="220">
        <f>IF($B34="",0,SUMIFS(出库明细!$E$4:$E$3003,出库明细!$D$4:$D$3003,$B34,出库明细!$B$4:$B$3003,"&gt;="&amp;DATE(年度,4,1),出库明细!$B$4:$B$3003,"&lt;"&amp;DATE(年度,4+1,1)))</f>
        <v>0</v>
      </c>
      <c r="AX34" s="186">
        <f>AW34*AV34</f>
        <v>0</v>
      </c>
      <c r="AY34" s="220">
        <f>_辅助!BP32</f>
        <v>0</v>
      </c>
      <c r="AZ34" s="186">
        <f>_辅助!AF32</f>
        <v>0</v>
      </c>
      <c r="BA34" s="221">
        <f>AT34-AW34-AY34</f>
        <v>0</v>
      </c>
      <c r="BB34" s="187">
        <f>AU34-AX34-AZ34</f>
        <v>0</v>
      </c>
      <c r="BC34" s="236">
        <f>IF(AND(AT34&gt;0,AU34&gt;0),0,AX34)</f>
        <v>0</v>
      </c>
      <c r="BD34" s="220">
        <f>IF($B34="",0,SUMIFS(采购进货!$E$4:$E$1503,采购进货!$D$4:$D$1503,$B34,采购进货!$B$4:$B$1503,"&gt;="&amp;DATE(年度,5,1),采购进货!$B$4:$B$1503,"&lt;"&amp;DATE(年度,5+1,1))+SUMIFS(采购进货!$H$4:$H$1503,采购进货!$D$4:$D$1503,$B34,采购进货!$B$4:$B$1503,"&gt;="&amp;DATE(年度,5,1),采购进货!$B$4:$B$1503,"&lt;"&amp;DATE(年度,5+1,1)))</f>
        <v>0</v>
      </c>
      <c r="BE34" s="186">
        <f>IF($B34="",0,SUMIFS(采购进货!$G$4:$G$1503,采购进货!$D$4:$D$1503,$B34,采购进货!$B$4:$B$1503,"&gt;="&amp;DATE(年度,5,1),采购进货!$B$4:$B$1503,"&lt;"&amp;DATE(年度,5+1,1)))</f>
        <v>0</v>
      </c>
      <c r="BF34" s="234">
        <f>BA34+BD34</f>
        <v>0</v>
      </c>
      <c r="BG34" s="235">
        <f>BB34+BE34</f>
        <v>0</v>
      </c>
      <c r="BH34" s="222">
        <f>IF(AND(BF34&gt;0,BG34&gt;0),BG34/BF34,N($E34))</f>
        <v>34.05</v>
      </c>
      <c r="BI34" s="220">
        <f>IF($B34="",0,SUMIFS(出库明细!$E$4:$E$3003,出库明细!$D$4:$D$3003,$B34,出库明细!$B$4:$B$3003,"&gt;="&amp;DATE(年度,5,1),出库明细!$B$4:$B$3003,"&lt;"&amp;DATE(年度,5+1,1)))</f>
        <v>0</v>
      </c>
      <c r="BJ34" s="186">
        <f>BI34*BH34</f>
        <v>0</v>
      </c>
      <c r="BK34" s="220">
        <f>_辅助!BQ32</f>
        <v>0</v>
      </c>
      <c r="BL34" s="186">
        <f>_辅助!AG32</f>
        <v>0</v>
      </c>
      <c r="BM34" s="221">
        <f>BF34-BI34-BK34</f>
        <v>0</v>
      </c>
      <c r="BN34" s="187">
        <f>BG34-BJ34-BL34</f>
        <v>0</v>
      </c>
      <c r="BO34" s="236">
        <f>IF(AND(BF34&gt;0,BG34&gt;0),0,BJ34)</f>
        <v>0</v>
      </c>
      <c r="BP34" s="220">
        <f>IF($B34="",0,SUMIFS(采购进货!$E$4:$E$1503,采购进货!$D$4:$D$1503,$B34,采购进货!$B$4:$B$1503,"&gt;="&amp;DATE(年度,6,1),采购进货!$B$4:$B$1503,"&lt;"&amp;DATE(年度,6+1,1))+SUMIFS(采购进货!$H$4:$H$1503,采购进货!$D$4:$D$1503,$B34,采购进货!$B$4:$B$1503,"&gt;="&amp;DATE(年度,6,1),采购进货!$B$4:$B$1503,"&lt;"&amp;DATE(年度,6+1,1)))</f>
        <v>0</v>
      </c>
      <c r="BQ34" s="186">
        <f>IF($B34="",0,SUMIFS(采购进货!$G$4:$G$1503,采购进货!$D$4:$D$1503,$B34,采购进货!$B$4:$B$1503,"&gt;="&amp;DATE(年度,6,1),采购进货!$B$4:$B$1503,"&lt;"&amp;DATE(年度,6+1,1)))</f>
        <v>0</v>
      </c>
      <c r="BR34" s="234">
        <f>BM34+BP34</f>
        <v>0</v>
      </c>
      <c r="BS34" s="235">
        <f>BN34+BQ34</f>
        <v>0</v>
      </c>
      <c r="BT34" s="222">
        <f>IF(AND(BR34&gt;0,BS34&gt;0),BS34/BR34,N($E34))</f>
        <v>34.05</v>
      </c>
      <c r="BU34" s="220">
        <f>IF($B34="",0,SUMIFS(出库明细!$E$4:$E$3003,出库明细!$D$4:$D$3003,$B34,出库明细!$B$4:$B$3003,"&gt;="&amp;DATE(年度,6,1),出库明细!$B$4:$B$3003,"&lt;"&amp;DATE(年度,6+1,1)))</f>
        <v>0</v>
      </c>
      <c r="BV34" s="186">
        <f>BU34*BT34</f>
        <v>0</v>
      </c>
      <c r="BW34" s="220">
        <f>_辅助!BR32</f>
        <v>3</v>
      </c>
      <c r="BX34" s="186">
        <f>_辅助!AH32</f>
        <v>102.15</v>
      </c>
      <c r="BY34" s="221">
        <f>BR34-BU34-BW34</f>
        <v>-3</v>
      </c>
      <c r="BZ34" s="187">
        <f>BS34-BV34-BX34</f>
        <v>-102.15</v>
      </c>
      <c r="CA34" s="236">
        <f>IF(AND(BR34&gt;0,BS34&gt;0),0,BV34)</f>
        <v>0</v>
      </c>
      <c r="CB34" s="220">
        <f>IF($B34="",0,SUMIFS(采购进货!$E$4:$E$1503,采购进货!$D$4:$D$1503,$B34,采购进货!$B$4:$B$1503,"&gt;="&amp;DATE(年度,7,1),采购进货!$B$4:$B$1503,"&lt;"&amp;DATE(年度,7+1,1))+SUMIFS(采购进货!$H$4:$H$1503,采购进货!$D$4:$D$1503,$B34,采购进货!$B$4:$B$1503,"&gt;="&amp;DATE(年度,7,1),采购进货!$B$4:$B$1503,"&lt;"&amp;DATE(年度,7+1,1)))</f>
        <v>0</v>
      </c>
      <c r="CC34" s="186">
        <f>IF($B34="",0,SUMIFS(采购进货!$G$4:$G$1503,采购进货!$D$4:$D$1503,$B34,采购进货!$B$4:$B$1503,"&gt;="&amp;DATE(年度,7,1),采购进货!$B$4:$B$1503,"&lt;"&amp;DATE(年度,7+1,1)))</f>
        <v>0</v>
      </c>
      <c r="CD34" s="234">
        <f>BY34+CB34</f>
        <v>-3</v>
      </c>
      <c r="CE34" s="235">
        <f>BZ34+CC34</f>
        <v>-102.15</v>
      </c>
      <c r="CF34" s="222">
        <f>IF(AND(CD34&gt;0,CE34&gt;0),CE34/CD34,N($E34))</f>
        <v>34.05</v>
      </c>
      <c r="CG34" s="220">
        <f>IF($B34="",0,SUMIFS(出库明细!$E$4:$E$3003,出库明细!$D$4:$D$3003,$B34,出库明细!$B$4:$B$3003,"&gt;="&amp;DATE(年度,7,1),出库明细!$B$4:$B$3003,"&lt;"&amp;DATE(年度,7+1,1)))</f>
        <v>0</v>
      </c>
      <c r="CH34" s="186">
        <f>CG34*CF34</f>
        <v>0</v>
      </c>
      <c r="CI34" s="220">
        <f>_辅助!BS32</f>
        <v>0</v>
      </c>
      <c r="CJ34" s="186">
        <f>_辅助!AI32</f>
        <v>0</v>
      </c>
      <c r="CK34" s="221">
        <f>CD34-CG34-CI34</f>
        <v>-3</v>
      </c>
      <c r="CL34" s="187">
        <f>CE34-CH34-CJ34</f>
        <v>-102.15</v>
      </c>
      <c r="CM34" s="236">
        <f>IF(AND(CD34&gt;0,CE34&gt;0),0,CH34)</f>
        <v>0</v>
      </c>
      <c r="CN34" s="220">
        <f>IF($B34="",0,SUMIFS(采购进货!$E$4:$E$1503,采购进货!$D$4:$D$1503,$B34,采购进货!$B$4:$B$1503,"&gt;="&amp;DATE(年度,8,1),采购进货!$B$4:$B$1503,"&lt;"&amp;DATE(年度,8+1,1))+SUMIFS(采购进货!$H$4:$H$1503,采购进货!$D$4:$D$1503,$B34,采购进货!$B$4:$B$1503,"&gt;="&amp;DATE(年度,8,1),采购进货!$B$4:$B$1503,"&lt;"&amp;DATE(年度,8+1,1)))</f>
        <v>0</v>
      </c>
      <c r="CO34" s="186">
        <f>IF($B34="",0,SUMIFS(采购进货!$G$4:$G$1503,采购进货!$D$4:$D$1503,$B34,采购进货!$B$4:$B$1503,"&gt;="&amp;DATE(年度,8,1),采购进货!$B$4:$B$1503,"&lt;"&amp;DATE(年度,8+1,1)))</f>
        <v>0</v>
      </c>
      <c r="CP34" s="234">
        <f>CK34+CN34</f>
        <v>-3</v>
      </c>
      <c r="CQ34" s="235">
        <f>CL34+CO34</f>
        <v>-102.15</v>
      </c>
      <c r="CR34" s="222">
        <f>IF(AND(CP34&gt;0,CQ34&gt;0),CQ34/CP34,N($E34))</f>
        <v>34.05</v>
      </c>
      <c r="CS34" s="220">
        <f>IF($B34="",0,SUMIFS(出库明细!$E$4:$E$3003,出库明细!$D$4:$D$3003,$B34,出库明细!$B$4:$B$3003,"&gt;="&amp;DATE(年度,8,1),出库明细!$B$4:$B$3003,"&lt;"&amp;DATE(年度,8+1,1)))</f>
        <v>0</v>
      </c>
      <c r="CT34" s="186">
        <f>CS34*CR34</f>
        <v>0</v>
      </c>
      <c r="CU34" s="220">
        <f>_辅助!BT32</f>
        <v>1.8</v>
      </c>
      <c r="CV34" s="186">
        <f>_辅助!AJ32</f>
        <v>61.29</v>
      </c>
      <c r="CW34" s="221">
        <f>CP34-CS34-CU34</f>
        <v>-4.8</v>
      </c>
      <c r="CX34" s="187">
        <f>CQ34-CT34-CV34</f>
        <v>-163.44</v>
      </c>
      <c r="CY34" s="236">
        <f>IF(AND(CP34&gt;0,CQ34&gt;0),0,CT34)</f>
        <v>0</v>
      </c>
      <c r="CZ34" s="220">
        <f>IF($B34="",0,SUMIFS(采购进货!$E$4:$E$1503,采购进货!$D$4:$D$1503,$B34,采购进货!$B$4:$B$1503,"&gt;="&amp;DATE(年度,9,1),采购进货!$B$4:$B$1503,"&lt;"&amp;DATE(年度,9+1,1))+SUMIFS(采购进货!$H$4:$H$1503,采购进货!$D$4:$D$1503,$B34,采购进货!$B$4:$B$1503,"&gt;="&amp;DATE(年度,9,1),采购进货!$B$4:$B$1503,"&lt;"&amp;DATE(年度,9+1,1)))</f>
        <v>0</v>
      </c>
      <c r="DA34" s="186">
        <f>IF($B34="",0,SUMIFS(采购进货!$G$4:$G$1503,采购进货!$D$4:$D$1503,$B34,采购进货!$B$4:$B$1503,"&gt;="&amp;DATE(年度,9,1),采购进货!$B$4:$B$1503,"&lt;"&amp;DATE(年度,9+1,1)))</f>
        <v>0</v>
      </c>
      <c r="DB34" s="234">
        <f>CW34+CZ34</f>
        <v>-4.8</v>
      </c>
      <c r="DC34" s="235">
        <f>CX34+DA34</f>
        <v>-163.44</v>
      </c>
      <c r="DD34" s="222">
        <f>IF(AND(DB34&gt;0,DC34&gt;0),DC34/DB34,N($E34))</f>
        <v>34.05</v>
      </c>
      <c r="DE34" s="220">
        <f>IF($B34="",0,SUMIFS(出库明细!$E$4:$E$3003,出库明细!$D$4:$D$3003,$B34,出库明细!$B$4:$B$3003,"&gt;="&amp;DATE(年度,9,1),出库明细!$B$4:$B$3003,"&lt;"&amp;DATE(年度,9+1,1)))</f>
        <v>0</v>
      </c>
      <c r="DF34" s="186">
        <f>DE34*DD34</f>
        <v>0</v>
      </c>
      <c r="DG34" s="220">
        <f>_辅助!BU32</f>
        <v>0</v>
      </c>
      <c r="DH34" s="186">
        <f>_辅助!AK32</f>
        <v>0</v>
      </c>
      <c r="DI34" s="221">
        <f>DB34-DE34-DG34</f>
        <v>-4.8</v>
      </c>
      <c r="DJ34" s="187">
        <f>DC34-DF34-DH34</f>
        <v>-163.44</v>
      </c>
      <c r="DK34" s="236">
        <f>IF(AND(DB34&gt;0,DC34&gt;0),0,DF34)</f>
        <v>0</v>
      </c>
      <c r="DL34" s="220">
        <f>IF($B34="",0,SUMIFS(采购进货!$E$4:$E$1503,采购进货!$D$4:$D$1503,$B34,采购进货!$B$4:$B$1503,"&gt;="&amp;DATE(年度,10,1),采购进货!$B$4:$B$1503,"&lt;"&amp;DATE(年度,10+1,1))+SUMIFS(采购进货!$H$4:$H$1503,采购进货!$D$4:$D$1503,$B34,采购进货!$B$4:$B$1503,"&gt;="&amp;DATE(年度,10,1),采购进货!$B$4:$B$1503,"&lt;"&amp;DATE(年度,10+1,1)))</f>
        <v>0</v>
      </c>
      <c r="DM34" s="186">
        <f>IF($B34="",0,SUMIFS(采购进货!$G$4:$G$1503,采购进货!$D$4:$D$1503,$B34,采购进货!$B$4:$B$1503,"&gt;="&amp;DATE(年度,10,1),采购进货!$B$4:$B$1503,"&lt;"&amp;DATE(年度,10+1,1)))</f>
        <v>0</v>
      </c>
      <c r="DN34" s="234">
        <f>DI34+DL34</f>
        <v>-4.8</v>
      </c>
      <c r="DO34" s="235">
        <f>DJ34+DM34</f>
        <v>-163.44</v>
      </c>
      <c r="DP34" s="222">
        <f>IF(AND(DN34&gt;0,DO34&gt;0),DO34/DN34,N($E34))</f>
        <v>34.05</v>
      </c>
      <c r="DQ34" s="220">
        <f>IF($B34="",0,SUMIFS(出库明细!$E$4:$E$3003,出库明细!$D$4:$D$3003,$B34,出库明细!$B$4:$B$3003,"&gt;="&amp;DATE(年度,10,1),出库明细!$B$4:$B$3003,"&lt;"&amp;DATE(年度,10+1,1)))</f>
        <v>0</v>
      </c>
      <c r="DR34" s="186">
        <f>DQ34*DP34</f>
        <v>0</v>
      </c>
      <c r="DS34" s="220">
        <f>_辅助!BV32</f>
        <v>0</v>
      </c>
      <c r="DT34" s="186">
        <f>_辅助!AL32</f>
        <v>0</v>
      </c>
      <c r="DU34" s="221">
        <f>DN34-DQ34-DS34</f>
        <v>-4.8</v>
      </c>
      <c r="DV34" s="187">
        <f>DO34-DR34-DT34</f>
        <v>-163.44</v>
      </c>
      <c r="DW34" s="236">
        <f>IF(AND(DN34&gt;0,DO34&gt;0),0,DR34)</f>
        <v>0</v>
      </c>
      <c r="DX34" s="220">
        <f>IF($B34="",0,SUMIFS(采购进货!$E$4:$E$1503,采购进货!$D$4:$D$1503,$B34,采购进货!$B$4:$B$1503,"&gt;="&amp;DATE(年度,11,1),采购进货!$B$4:$B$1503,"&lt;"&amp;DATE(年度,11+1,1))+SUMIFS(采购进货!$H$4:$H$1503,采购进货!$D$4:$D$1503,$B34,采购进货!$B$4:$B$1503,"&gt;="&amp;DATE(年度,11,1),采购进货!$B$4:$B$1503,"&lt;"&amp;DATE(年度,11+1,1)))</f>
        <v>0</v>
      </c>
      <c r="DY34" s="186">
        <f>IF($B34="",0,SUMIFS(采购进货!$G$4:$G$1503,采购进货!$D$4:$D$1503,$B34,采购进货!$B$4:$B$1503,"&gt;="&amp;DATE(年度,11,1),采购进货!$B$4:$B$1503,"&lt;"&amp;DATE(年度,11+1,1)))</f>
        <v>0</v>
      </c>
      <c r="DZ34" s="234">
        <f>DU34+DX34</f>
        <v>-4.8</v>
      </c>
      <c r="EA34" s="235">
        <f>DV34+DY34</f>
        <v>-163.44</v>
      </c>
      <c r="EB34" s="222">
        <f>IF(AND(DZ34&gt;0,EA34&gt;0),EA34/DZ34,N($E34))</f>
        <v>34.05</v>
      </c>
      <c r="EC34" s="220">
        <f>IF($B34="",0,SUMIFS(出库明细!$E$4:$E$3003,出库明细!$D$4:$D$3003,$B34,出库明细!$B$4:$B$3003,"&gt;="&amp;DATE(年度,11,1),出库明细!$B$4:$B$3003,"&lt;"&amp;DATE(年度,11+1,1)))</f>
        <v>0</v>
      </c>
      <c r="ED34" s="186">
        <f>EC34*EB34</f>
        <v>0</v>
      </c>
      <c r="EE34" s="220">
        <f>_辅助!BW32</f>
        <v>0</v>
      </c>
      <c r="EF34" s="186">
        <f>_辅助!AM32</f>
        <v>0</v>
      </c>
      <c r="EG34" s="221">
        <f>DZ34-EC34-EE34</f>
        <v>-4.8</v>
      </c>
      <c r="EH34" s="187">
        <f>EA34-ED34-EF34</f>
        <v>-163.44</v>
      </c>
      <c r="EI34" s="236">
        <f>IF(AND(DZ34&gt;0,EA34&gt;0),0,ED34)</f>
        <v>0</v>
      </c>
      <c r="EJ34" s="220">
        <f>IF($B34="",0,SUMIFS(采购进货!$E$4:$E$1503,采购进货!$D$4:$D$1503,$B34,采购进货!$B$4:$B$1503,"&gt;="&amp;DATE(年度,12,1),采购进货!$B$4:$B$1503,"&lt;"&amp;DATE(年度,12+1,1))+SUMIFS(采购进货!$H$4:$H$1503,采购进货!$D$4:$D$1503,$B34,采购进货!$B$4:$B$1503,"&gt;="&amp;DATE(年度,12,1),采购进货!$B$4:$B$1503,"&lt;"&amp;DATE(年度,12+1,1)))</f>
        <v>0</v>
      </c>
      <c r="EK34" s="186">
        <f>IF($B34="",0,SUMIFS(采购进货!$G$4:$G$1503,采购进货!$D$4:$D$1503,$B34,采购进货!$B$4:$B$1503,"&gt;="&amp;DATE(年度,12,1),采购进货!$B$4:$B$1503,"&lt;"&amp;DATE(年度,12+1,1)))</f>
        <v>0</v>
      </c>
      <c r="EL34" s="234">
        <f>EG34+EJ34</f>
        <v>-4.8</v>
      </c>
      <c r="EM34" s="235">
        <f>EH34+EK34</f>
        <v>-163.44</v>
      </c>
      <c r="EN34" s="222">
        <f>IF(AND(EL34&gt;0,EM34&gt;0),EM34/EL34,N($E34))</f>
        <v>34.05</v>
      </c>
      <c r="EO34" s="220">
        <f>IF($B34="",0,SUMIFS(出库明细!$E$4:$E$3003,出库明细!$D$4:$D$3003,$B34,出库明细!$B$4:$B$3003,"&gt;="&amp;DATE(年度,12,1),出库明细!$B$4:$B$3003,"&lt;"&amp;DATE(年度,12+1,1)))</f>
        <v>0</v>
      </c>
      <c r="EP34" s="186">
        <f>EO34*EN34</f>
        <v>0</v>
      </c>
      <c r="EQ34" s="220">
        <f>_辅助!BX32</f>
        <v>0</v>
      </c>
      <c r="ER34" s="186">
        <f>_辅助!AN32</f>
        <v>0</v>
      </c>
      <c r="ES34" s="221">
        <f>EL34-EO34-EQ34</f>
        <v>-4.8</v>
      </c>
      <c r="ET34" s="187">
        <f>EM34-EP34-ER34</f>
        <v>-163.44</v>
      </c>
      <c r="EU34" s="236">
        <f>IF(AND(EL34&gt;0,EM34&gt;0),0,EP34)</f>
        <v>0</v>
      </c>
    </row>
    <row r="35">
      <c r="A35" s="194">
        <f>IF(B35="","",ROW()-7)</f>
        <v>28</v>
      </c>
      <c r="B35" s="141" t="str">
        <f>IF(基础资料!E32="","",基础资料!E32&amp;"")</f>
        <v>农夫2L水</v>
      </c>
      <c r="C35" s="230" t="str">
        <f>IF(基础资料!G32="","",基础资料!G32&amp;"")</f>
        <v>农夫2L水</v>
      </c>
      <c r="D35" s="194">
        <f>IF(基础资料!I32="","",基础资料!I32)</f>
        <v>8</v>
      </c>
      <c r="E35" s="231">
        <f>IF(基础资料!J32="","",基础资料!J32)</f>
        <v>18</v>
      </c>
      <c r="F35" s="232">
        <f>N(基础资料!L32)</f>
        <v>0</v>
      </c>
      <c r="G35" s="233">
        <f>IF(基础资料!N32="",0,基础资料!N32)</f>
        <v>0</v>
      </c>
      <c r="H35" s="220">
        <f>IF($B35="",0,SUMIFS(采购进货!$E$4:$E$1503,采购进货!$D$4:$D$1503,$B35,采购进货!$B$4:$B$1503,"&gt;="&amp;DATE(年度,1,1),采购进货!$B$4:$B$1503,"&lt;"&amp;DATE(年度,1+1,1))+SUMIFS(采购进货!$H$4:$H$1503,采购进货!$D$4:$D$1503,$B35,采购进货!$B$4:$B$1503,"&gt;="&amp;DATE(年度,1,1),采购进货!$B$4:$B$1503,"&lt;"&amp;DATE(年度,1+1,1)))</f>
        <v>0</v>
      </c>
      <c r="I35" s="186">
        <f>IF($B35="",0,SUMIFS(采购进货!$G$4:$G$1503,采购进货!$D$4:$D$1503,$B35,采购进货!$B$4:$B$1503,"&gt;="&amp;DATE(年度,1,1),采购进货!$B$4:$B$1503,"&lt;"&amp;DATE(年度,1+1,1)))</f>
        <v>0</v>
      </c>
      <c r="J35" s="234">
        <f>F35+H35</f>
        <v>0</v>
      </c>
      <c r="K35" s="235">
        <f>G35+I35</f>
        <v>0</v>
      </c>
      <c r="L35" s="222">
        <f>IF(AND(J35&gt;0,K35&gt;0),K35/J35,N($E35))</f>
        <v>18</v>
      </c>
      <c r="M35" s="220">
        <f>IF($B35="",0,SUMIFS(出库明细!$E$4:$E$3003,出库明细!$D$4:$D$3003,$B35,出库明细!$B$4:$B$3003,"&gt;="&amp;DATE(年度,1,1),出库明细!$B$4:$B$3003,"&lt;"&amp;DATE(年度,1+1,1)))</f>
        <v>0</v>
      </c>
      <c r="N35" s="186">
        <f>M35*L35</f>
        <v>0</v>
      </c>
      <c r="O35" s="220">
        <f>_辅助!BM33</f>
        <v>0</v>
      </c>
      <c r="P35" s="186">
        <f>_辅助!AC33</f>
        <v>0</v>
      </c>
      <c r="Q35" s="221">
        <f>J35-M35-O35</f>
        <v>0</v>
      </c>
      <c r="R35" s="187">
        <f>K35-N35-P35</f>
        <v>0</v>
      </c>
      <c r="S35" s="236">
        <f>IF(AND(J35&gt;0,K35&gt;0),0,N35)</f>
        <v>0</v>
      </c>
      <c r="T35" s="220">
        <f>IF($B35="",0,SUMIFS(采购进货!$E$4:$E$1503,采购进货!$D$4:$D$1503,$B35,采购进货!$B$4:$B$1503,"&gt;="&amp;DATE(年度,2,1),采购进货!$B$4:$B$1503,"&lt;"&amp;DATE(年度,2+1,1))+SUMIFS(采购进货!$H$4:$H$1503,采购进货!$D$4:$D$1503,$B35,采购进货!$B$4:$B$1503,"&gt;="&amp;DATE(年度,2,1),采购进货!$B$4:$B$1503,"&lt;"&amp;DATE(年度,2+1,1)))</f>
        <v>0</v>
      </c>
      <c r="U35" s="186">
        <f>IF($B35="",0,SUMIFS(采购进货!$G$4:$G$1503,采购进货!$D$4:$D$1503,$B35,采购进货!$B$4:$B$1503,"&gt;="&amp;DATE(年度,2,1),采购进货!$B$4:$B$1503,"&lt;"&amp;DATE(年度,2+1,1)))</f>
        <v>0</v>
      </c>
      <c r="V35" s="234">
        <f>Q35+T35</f>
        <v>0</v>
      </c>
      <c r="W35" s="235">
        <f>R35+U35</f>
        <v>0</v>
      </c>
      <c r="X35" s="222">
        <f>IF(AND(V35&gt;0,W35&gt;0),W35/V35,N($E35))</f>
        <v>18</v>
      </c>
      <c r="Y35" s="220">
        <f>IF($B35="",0,SUMIFS(出库明细!$E$4:$E$3003,出库明细!$D$4:$D$3003,$B35,出库明细!$B$4:$B$3003,"&gt;="&amp;DATE(年度,2,1),出库明细!$B$4:$B$3003,"&lt;"&amp;DATE(年度,2+1,1)))</f>
        <v>0</v>
      </c>
      <c r="Z35" s="186">
        <f>Y35*X35</f>
        <v>0</v>
      </c>
      <c r="AA35" s="220">
        <f>_辅助!BN33</f>
        <v>0</v>
      </c>
      <c r="AB35" s="186">
        <f>_辅助!AD33</f>
        <v>0</v>
      </c>
      <c r="AC35" s="221">
        <f>V35-Y35-AA35</f>
        <v>0</v>
      </c>
      <c r="AD35" s="187">
        <f>W35-Z35-AB35</f>
        <v>0</v>
      </c>
      <c r="AE35" s="236">
        <f>IF(AND(V35&gt;0,W35&gt;0),0,Z35)</f>
        <v>0</v>
      </c>
      <c r="AF35" s="220">
        <f>IF($B35="",0,SUMIFS(采购进货!$E$4:$E$1503,采购进货!$D$4:$D$1503,$B35,采购进货!$B$4:$B$1503,"&gt;="&amp;DATE(年度,3,1),采购进货!$B$4:$B$1503,"&lt;"&amp;DATE(年度,3+1,1))+SUMIFS(采购进货!$H$4:$H$1503,采购进货!$D$4:$D$1503,$B35,采购进货!$B$4:$B$1503,"&gt;="&amp;DATE(年度,3,1),采购进货!$B$4:$B$1503,"&lt;"&amp;DATE(年度,3+1,1)))</f>
        <v>0</v>
      </c>
      <c r="AG35" s="186">
        <f>IF($B35="",0,SUMIFS(采购进货!$G$4:$G$1503,采购进货!$D$4:$D$1503,$B35,采购进货!$B$4:$B$1503,"&gt;="&amp;DATE(年度,3,1),采购进货!$B$4:$B$1503,"&lt;"&amp;DATE(年度,3+1,1)))</f>
        <v>0</v>
      </c>
      <c r="AH35" s="234">
        <f>AC35+AF35</f>
        <v>0</v>
      </c>
      <c r="AI35" s="235">
        <f>AD35+AG35</f>
        <v>0</v>
      </c>
      <c r="AJ35" s="222">
        <f>IF(AND(AH35&gt;0,AI35&gt;0),AI35/AH35,N($E35))</f>
        <v>18</v>
      </c>
      <c r="AK35" s="220">
        <f>IF($B35="",0,SUMIFS(出库明细!$E$4:$E$3003,出库明细!$D$4:$D$3003,$B35,出库明细!$B$4:$B$3003,"&gt;="&amp;DATE(年度,3,1),出库明细!$B$4:$B$3003,"&lt;"&amp;DATE(年度,3+1,1)))</f>
        <v>0</v>
      </c>
      <c r="AL35" s="186">
        <f>AK35*AJ35</f>
        <v>0</v>
      </c>
      <c r="AM35" s="220">
        <f>_辅助!BO33</f>
        <v>0</v>
      </c>
      <c r="AN35" s="186">
        <f>_辅助!AE33</f>
        <v>0</v>
      </c>
      <c r="AO35" s="221">
        <f>AH35-AK35-AM35</f>
        <v>0</v>
      </c>
      <c r="AP35" s="187">
        <f>AI35-AL35-AN35</f>
        <v>0</v>
      </c>
      <c r="AQ35" s="236">
        <f>IF(AND(AH35&gt;0,AI35&gt;0),0,AL35)</f>
        <v>0</v>
      </c>
      <c r="AR35" s="220">
        <f>IF($B35="",0,SUMIFS(采购进货!$E$4:$E$1503,采购进货!$D$4:$D$1503,$B35,采购进货!$B$4:$B$1503,"&gt;="&amp;DATE(年度,4,1),采购进货!$B$4:$B$1503,"&lt;"&amp;DATE(年度,4+1,1))+SUMIFS(采购进货!$H$4:$H$1503,采购进货!$D$4:$D$1503,$B35,采购进货!$B$4:$B$1503,"&gt;="&amp;DATE(年度,4,1),采购进货!$B$4:$B$1503,"&lt;"&amp;DATE(年度,4+1,1)))</f>
        <v>0</v>
      </c>
      <c r="AS35" s="186">
        <f>IF($B35="",0,SUMIFS(采购进货!$G$4:$G$1503,采购进货!$D$4:$D$1503,$B35,采购进货!$B$4:$B$1503,"&gt;="&amp;DATE(年度,4,1),采购进货!$B$4:$B$1503,"&lt;"&amp;DATE(年度,4+1,1)))</f>
        <v>0</v>
      </c>
      <c r="AT35" s="234">
        <f>AO35+AR35</f>
        <v>0</v>
      </c>
      <c r="AU35" s="235">
        <f>AP35+AS35</f>
        <v>0</v>
      </c>
      <c r="AV35" s="222">
        <f>IF(AND(AT35&gt;0,AU35&gt;0),AU35/AT35,N($E35))</f>
        <v>18</v>
      </c>
      <c r="AW35" s="220">
        <f>IF($B35="",0,SUMIFS(出库明细!$E$4:$E$3003,出库明细!$D$4:$D$3003,$B35,出库明细!$B$4:$B$3003,"&gt;="&amp;DATE(年度,4,1),出库明细!$B$4:$B$3003,"&lt;"&amp;DATE(年度,4+1,1)))</f>
        <v>0</v>
      </c>
      <c r="AX35" s="186">
        <f>AW35*AV35</f>
        <v>0</v>
      </c>
      <c r="AY35" s="220">
        <f>_辅助!BP33</f>
        <v>0</v>
      </c>
      <c r="AZ35" s="186">
        <f>_辅助!AF33</f>
        <v>0</v>
      </c>
      <c r="BA35" s="221">
        <f>AT35-AW35-AY35</f>
        <v>0</v>
      </c>
      <c r="BB35" s="187">
        <f>AU35-AX35-AZ35</f>
        <v>0</v>
      </c>
      <c r="BC35" s="236">
        <f>IF(AND(AT35&gt;0,AU35&gt;0),0,AX35)</f>
        <v>0</v>
      </c>
      <c r="BD35" s="220">
        <f>IF($B35="",0,SUMIFS(采购进货!$E$4:$E$1503,采购进货!$D$4:$D$1503,$B35,采购进货!$B$4:$B$1503,"&gt;="&amp;DATE(年度,5,1),采购进货!$B$4:$B$1503,"&lt;"&amp;DATE(年度,5+1,1))+SUMIFS(采购进货!$H$4:$H$1503,采购进货!$D$4:$D$1503,$B35,采购进货!$B$4:$B$1503,"&gt;="&amp;DATE(年度,5,1),采购进货!$B$4:$B$1503,"&lt;"&amp;DATE(年度,5+1,1)))</f>
        <v>0</v>
      </c>
      <c r="BE35" s="186">
        <f>IF($B35="",0,SUMIFS(采购进货!$G$4:$G$1503,采购进货!$D$4:$D$1503,$B35,采购进货!$B$4:$B$1503,"&gt;="&amp;DATE(年度,5,1),采购进货!$B$4:$B$1503,"&lt;"&amp;DATE(年度,5+1,1)))</f>
        <v>0</v>
      </c>
      <c r="BF35" s="234">
        <f>BA35+BD35</f>
        <v>0</v>
      </c>
      <c r="BG35" s="235">
        <f>BB35+BE35</f>
        <v>0</v>
      </c>
      <c r="BH35" s="222">
        <f>IF(AND(BF35&gt;0,BG35&gt;0),BG35/BF35,N($E35))</f>
        <v>18</v>
      </c>
      <c r="BI35" s="220">
        <f>IF($B35="",0,SUMIFS(出库明细!$E$4:$E$3003,出库明细!$D$4:$D$3003,$B35,出库明细!$B$4:$B$3003,"&gt;="&amp;DATE(年度,5,1),出库明细!$B$4:$B$3003,"&lt;"&amp;DATE(年度,5+1,1)))</f>
        <v>0</v>
      </c>
      <c r="BJ35" s="186">
        <f>BI35*BH35</f>
        <v>0</v>
      </c>
      <c r="BK35" s="220">
        <f>_辅助!BQ33</f>
        <v>0</v>
      </c>
      <c r="BL35" s="186">
        <f>_辅助!AG33</f>
        <v>0</v>
      </c>
      <c r="BM35" s="221">
        <f>BF35-BI35-BK35</f>
        <v>0</v>
      </c>
      <c r="BN35" s="187">
        <f>BG35-BJ35-BL35</f>
        <v>0</v>
      </c>
      <c r="BO35" s="236">
        <f>IF(AND(BF35&gt;0,BG35&gt;0),0,BJ35)</f>
        <v>0</v>
      </c>
      <c r="BP35" s="220">
        <f>IF($B35="",0,SUMIFS(采购进货!$E$4:$E$1503,采购进货!$D$4:$D$1503,$B35,采购进货!$B$4:$B$1503,"&gt;="&amp;DATE(年度,6,1),采购进货!$B$4:$B$1503,"&lt;"&amp;DATE(年度,6+1,1))+SUMIFS(采购进货!$H$4:$H$1503,采购进货!$D$4:$D$1503,$B35,采购进货!$B$4:$B$1503,"&gt;="&amp;DATE(年度,6,1),采购进货!$B$4:$B$1503,"&lt;"&amp;DATE(年度,6+1,1)))</f>
        <v>0</v>
      </c>
      <c r="BQ35" s="186">
        <f>IF($B35="",0,SUMIFS(采购进货!$G$4:$G$1503,采购进货!$D$4:$D$1503,$B35,采购进货!$B$4:$B$1503,"&gt;="&amp;DATE(年度,6,1),采购进货!$B$4:$B$1503,"&lt;"&amp;DATE(年度,6+1,1)))</f>
        <v>0</v>
      </c>
      <c r="BR35" s="234">
        <f>BM35+BP35</f>
        <v>0</v>
      </c>
      <c r="BS35" s="235">
        <f>BN35+BQ35</f>
        <v>0</v>
      </c>
      <c r="BT35" s="222">
        <f>IF(AND(BR35&gt;0,BS35&gt;0),BS35/BR35,N($E35))</f>
        <v>18</v>
      </c>
      <c r="BU35" s="220">
        <f>IF($B35="",0,SUMIFS(出库明细!$E$4:$E$3003,出库明细!$D$4:$D$3003,$B35,出库明细!$B$4:$B$3003,"&gt;="&amp;DATE(年度,6,1),出库明细!$B$4:$B$3003,"&lt;"&amp;DATE(年度,6+1,1)))</f>
        <v>0</v>
      </c>
      <c r="BV35" s="186">
        <f>BU35*BT35</f>
        <v>0</v>
      </c>
      <c r="BW35" s="220">
        <f>_辅助!BR33</f>
        <v>0</v>
      </c>
      <c r="BX35" s="186">
        <f>_辅助!AH33</f>
        <v>0</v>
      </c>
      <c r="BY35" s="221">
        <f>BR35-BU35-BW35</f>
        <v>0</v>
      </c>
      <c r="BZ35" s="187">
        <f>BS35-BV35-BX35</f>
        <v>0</v>
      </c>
      <c r="CA35" s="236">
        <f>IF(AND(BR35&gt;0,BS35&gt;0),0,BV35)</f>
        <v>0</v>
      </c>
      <c r="CB35" s="220">
        <f>IF($B35="",0,SUMIFS(采购进货!$E$4:$E$1503,采购进货!$D$4:$D$1503,$B35,采购进货!$B$4:$B$1503,"&gt;="&amp;DATE(年度,7,1),采购进货!$B$4:$B$1503,"&lt;"&amp;DATE(年度,7+1,1))+SUMIFS(采购进货!$H$4:$H$1503,采购进货!$D$4:$D$1503,$B35,采购进货!$B$4:$B$1503,"&gt;="&amp;DATE(年度,7,1),采购进货!$B$4:$B$1503,"&lt;"&amp;DATE(年度,7+1,1)))</f>
        <v>0</v>
      </c>
      <c r="CC35" s="186">
        <f>IF($B35="",0,SUMIFS(采购进货!$G$4:$G$1503,采购进货!$D$4:$D$1503,$B35,采购进货!$B$4:$B$1503,"&gt;="&amp;DATE(年度,7,1),采购进货!$B$4:$B$1503,"&lt;"&amp;DATE(年度,7+1,1)))</f>
        <v>0</v>
      </c>
      <c r="CD35" s="234">
        <f>BY35+CB35</f>
        <v>0</v>
      </c>
      <c r="CE35" s="235">
        <f>BZ35+CC35</f>
        <v>0</v>
      </c>
      <c r="CF35" s="222">
        <f>IF(AND(CD35&gt;0,CE35&gt;0),CE35/CD35,N($E35))</f>
        <v>18</v>
      </c>
      <c r="CG35" s="220">
        <f>IF($B35="",0,SUMIFS(出库明细!$E$4:$E$3003,出库明细!$D$4:$D$3003,$B35,出库明细!$B$4:$B$3003,"&gt;="&amp;DATE(年度,7,1),出库明细!$B$4:$B$3003,"&lt;"&amp;DATE(年度,7+1,1)))</f>
        <v>0</v>
      </c>
      <c r="CH35" s="186">
        <f>CG35*CF35</f>
        <v>0</v>
      </c>
      <c r="CI35" s="220">
        <f>_辅助!BS33</f>
        <v>0</v>
      </c>
      <c r="CJ35" s="186">
        <f>_辅助!AI33</f>
        <v>0</v>
      </c>
      <c r="CK35" s="221">
        <f>CD35-CG35-CI35</f>
        <v>0</v>
      </c>
      <c r="CL35" s="187">
        <f>CE35-CH35-CJ35</f>
        <v>0</v>
      </c>
      <c r="CM35" s="236">
        <f>IF(AND(CD35&gt;0,CE35&gt;0),0,CH35)</f>
        <v>0</v>
      </c>
      <c r="CN35" s="220">
        <f>IF($B35="",0,SUMIFS(采购进货!$E$4:$E$1503,采购进货!$D$4:$D$1503,$B35,采购进货!$B$4:$B$1503,"&gt;="&amp;DATE(年度,8,1),采购进货!$B$4:$B$1503,"&lt;"&amp;DATE(年度,8+1,1))+SUMIFS(采购进货!$H$4:$H$1503,采购进货!$D$4:$D$1503,$B35,采购进货!$B$4:$B$1503,"&gt;="&amp;DATE(年度,8,1),采购进货!$B$4:$B$1503,"&lt;"&amp;DATE(年度,8+1,1)))</f>
        <v>0</v>
      </c>
      <c r="CO35" s="186">
        <f>IF($B35="",0,SUMIFS(采购进货!$G$4:$G$1503,采购进货!$D$4:$D$1503,$B35,采购进货!$B$4:$B$1503,"&gt;="&amp;DATE(年度,8,1),采购进货!$B$4:$B$1503,"&lt;"&amp;DATE(年度,8+1,1)))</f>
        <v>0</v>
      </c>
      <c r="CP35" s="234">
        <f>CK35+CN35</f>
        <v>0</v>
      </c>
      <c r="CQ35" s="235">
        <f>CL35+CO35</f>
        <v>0</v>
      </c>
      <c r="CR35" s="222">
        <f>IF(AND(CP35&gt;0,CQ35&gt;0),CQ35/CP35,N($E35))</f>
        <v>18</v>
      </c>
      <c r="CS35" s="220">
        <f>IF($B35="",0,SUMIFS(出库明细!$E$4:$E$3003,出库明细!$D$4:$D$3003,$B35,出库明细!$B$4:$B$3003,"&gt;="&amp;DATE(年度,8,1),出库明细!$B$4:$B$3003,"&lt;"&amp;DATE(年度,8+1,1)))</f>
        <v>0</v>
      </c>
      <c r="CT35" s="186">
        <f>CS35*CR35</f>
        <v>0</v>
      </c>
      <c r="CU35" s="220">
        <f>_辅助!BT33</f>
        <v>3.875</v>
      </c>
      <c r="CV35" s="186">
        <f>_辅助!AJ33</f>
        <v>69.75</v>
      </c>
      <c r="CW35" s="221">
        <f>CP35-CS35-CU35</f>
        <v>-3.875</v>
      </c>
      <c r="CX35" s="187">
        <f>CQ35-CT35-CV35</f>
        <v>-69.75</v>
      </c>
      <c r="CY35" s="236">
        <f>IF(AND(CP35&gt;0,CQ35&gt;0),0,CT35)</f>
        <v>0</v>
      </c>
      <c r="CZ35" s="220">
        <f>IF($B35="",0,SUMIFS(采购进货!$E$4:$E$1503,采购进货!$D$4:$D$1503,$B35,采购进货!$B$4:$B$1503,"&gt;="&amp;DATE(年度,9,1),采购进货!$B$4:$B$1503,"&lt;"&amp;DATE(年度,9+1,1))+SUMIFS(采购进货!$H$4:$H$1503,采购进货!$D$4:$D$1503,$B35,采购进货!$B$4:$B$1503,"&gt;="&amp;DATE(年度,9,1),采购进货!$B$4:$B$1503,"&lt;"&amp;DATE(年度,9+1,1)))</f>
        <v>0</v>
      </c>
      <c r="DA35" s="186">
        <f>IF($B35="",0,SUMIFS(采购进货!$G$4:$G$1503,采购进货!$D$4:$D$1503,$B35,采购进货!$B$4:$B$1503,"&gt;="&amp;DATE(年度,9,1),采购进货!$B$4:$B$1503,"&lt;"&amp;DATE(年度,9+1,1)))</f>
        <v>0</v>
      </c>
      <c r="DB35" s="234">
        <f>CW35+CZ35</f>
        <v>-3.875</v>
      </c>
      <c r="DC35" s="235">
        <f>CX35+DA35</f>
        <v>-69.75</v>
      </c>
      <c r="DD35" s="222">
        <f>IF(AND(DB35&gt;0,DC35&gt;0),DC35/DB35,N($E35))</f>
        <v>18</v>
      </c>
      <c r="DE35" s="220">
        <f>IF($B35="",0,SUMIFS(出库明细!$E$4:$E$3003,出库明细!$D$4:$D$3003,$B35,出库明细!$B$4:$B$3003,"&gt;="&amp;DATE(年度,9,1),出库明细!$B$4:$B$3003,"&lt;"&amp;DATE(年度,9+1,1)))</f>
        <v>0</v>
      </c>
      <c r="DF35" s="186">
        <f>DE35*DD35</f>
        <v>0</v>
      </c>
      <c r="DG35" s="220">
        <f>_辅助!BU33</f>
        <v>0</v>
      </c>
      <c r="DH35" s="186">
        <f>_辅助!AK33</f>
        <v>0</v>
      </c>
      <c r="DI35" s="221">
        <f>DB35-DE35-DG35</f>
        <v>-3.875</v>
      </c>
      <c r="DJ35" s="187">
        <f>DC35-DF35-DH35</f>
        <v>-69.75</v>
      </c>
      <c r="DK35" s="236">
        <f>IF(AND(DB35&gt;0,DC35&gt;0),0,DF35)</f>
        <v>0</v>
      </c>
      <c r="DL35" s="220">
        <f>IF($B35="",0,SUMIFS(采购进货!$E$4:$E$1503,采购进货!$D$4:$D$1503,$B35,采购进货!$B$4:$B$1503,"&gt;="&amp;DATE(年度,10,1),采购进货!$B$4:$B$1503,"&lt;"&amp;DATE(年度,10+1,1))+SUMIFS(采购进货!$H$4:$H$1503,采购进货!$D$4:$D$1503,$B35,采购进货!$B$4:$B$1503,"&gt;="&amp;DATE(年度,10,1),采购进货!$B$4:$B$1503,"&lt;"&amp;DATE(年度,10+1,1)))</f>
        <v>0</v>
      </c>
      <c r="DM35" s="186">
        <f>IF($B35="",0,SUMIFS(采购进货!$G$4:$G$1503,采购进货!$D$4:$D$1503,$B35,采购进货!$B$4:$B$1503,"&gt;="&amp;DATE(年度,10,1),采购进货!$B$4:$B$1503,"&lt;"&amp;DATE(年度,10+1,1)))</f>
        <v>0</v>
      </c>
      <c r="DN35" s="234">
        <f>DI35+DL35</f>
        <v>-3.875</v>
      </c>
      <c r="DO35" s="235">
        <f>DJ35+DM35</f>
        <v>-69.75</v>
      </c>
      <c r="DP35" s="222">
        <f>IF(AND(DN35&gt;0,DO35&gt;0),DO35/DN35,N($E35))</f>
        <v>18</v>
      </c>
      <c r="DQ35" s="220">
        <f>IF($B35="",0,SUMIFS(出库明细!$E$4:$E$3003,出库明细!$D$4:$D$3003,$B35,出库明细!$B$4:$B$3003,"&gt;="&amp;DATE(年度,10,1),出库明细!$B$4:$B$3003,"&lt;"&amp;DATE(年度,10+1,1)))</f>
        <v>0</v>
      </c>
      <c r="DR35" s="186">
        <f>DQ35*DP35</f>
        <v>0</v>
      </c>
      <c r="DS35" s="220">
        <f>_辅助!BV33</f>
        <v>0</v>
      </c>
      <c r="DT35" s="186">
        <f>_辅助!AL33</f>
        <v>0</v>
      </c>
      <c r="DU35" s="221">
        <f>DN35-DQ35-DS35</f>
        <v>-3.875</v>
      </c>
      <c r="DV35" s="187">
        <f>DO35-DR35-DT35</f>
        <v>-69.75</v>
      </c>
      <c r="DW35" s="236">
        <f>IF(AND(DN35&gt;0,DO35&gt;0),0,DR35)</f>
        <v>0</v>
      </c>
      <c r="DX35" s="220">
        <f>IF($B35="",0,SUMIFS(采购进货!$E$4:$E$1503,采购进货!$D$4:$D$1503,$B35,采购进货!$B$4:$B$1503,"&gt;="&amp;DATE(年度,11,1),采购进货!$B$4:$B$1503,"&lt;"&amp;DATE(年度,11+1,1))+SUMIFS(采购进货!$H$4:$H$1503,采购进货!$D$4:$D$1503,$B35,采购进货!$B$4:$B$1503,"&gt;="&amp;DATE(年度,11,1),采购进货!$B$4:$B$1503,"&lt;"&amp;DATE(年度,11+1,1)))</f>
        <v>0</v>
      </c>
      <c r="DY35" s="186">
        <f>IF($B35="",0,SUMIFS(采购进货!$G$4:$G$1503,采购进货!$D$4:$D$1503,$B35,采购进货!$B$4:$B$1503,"&gt;="&amp;DATE(年度,11,1),采购进货!$B$4:$B$1503,"&lt;"&amp;DATE(年度,11+1,1)))</f>
        <v>0</v>
      </c>
      <c r="DZ35" s="234">
        <f>DU35+DX35</f>
        <v>-3.875</v>
      </c>
      <c r="EA35" s="235">
        <f>DV35+DY35</f>
        <v>-69.75</v>
      </c>
      <c r="EB35" s="222">
        <f>IF(AND(DZ35&gt;0,EA35&gt;0),EA35/DZ35,N($E35))</f>
        <v>18</v>
      </c>
      <c r="EC35" s="220">
        <f>IF($B35="",0,SUMIFS(出库明细!$E$4:$E$3003,出库明细!$D$4:$D$3003,$B35,出库明细!$B$4:$B$3003,"&gt;="&amp;DATE(年度,11,1),出库明细!$B$4:$B$3003,"&lt;"&amp;DATE(年度,11+1,1)))</f>
        <v>0</v>
      </c>
      <c r="ED35" s="186">
        <f>EC35*EB35</f>
        <v>0</v>
      </c>
      <c r="EE35" s="220">
        <f>_辅助!BW33</f>
        <v>0</v>
      </c>
      <c r="EF35" s="186">
        <f>_辅助!AM33</f>
        <v>0</v>
      </c>
      <c r="EG35" s="221">
        <f>DZ35-EC35-EE35</f>
        <v>-3.875</v>
      </c>
      <c r="EH35" s="187">
        <f>EA35-ED35-EF35</f>
        <v>-69.75</v>
      </c>
      <c r="EI35" s="236">
        <f>IF(AND(DZ35&gt;0,EA35&gt;0),0,ED35)</f>
        <v>0</v>
      </c>
      <c r="EJ35" s="220">
        <f>IF($B35="",0,SUMIFS(采购进货!$E$4:$E$1503,采购进货!$D$4:$D$1503,$B35,采购进货!$B$4:$B$1503,"&gt;="&amp;DATE(年度,12,1),采购进货!$B$4:$B$1503,"&lt;"&amp;DATE(年度,12+1,1))+SUMIFS(采购进货!$H$4:$H$1503,采购进货!$D$4:$D$1503,$B35,采购进货!$B$4:$B$1503,"&gt;="&amp;DATE(年度,12,1),采购进货!$B$4:$B$1503,"&lt;"&amp;DATE(年度,12+1,1)))</f>
        <v>0</v>
      </c>
      <c r="EK35" s="186">
        <f>IF($B35="",0,SUMIFS(采购进货!$G$4:$G$1503,采购进货!$D$4:$D$1503,$B35,采购进货!$B$4:$B$1503,"&gt;="&amp;DATE(年度,12,1),采购进货!$B$4:$B$1503,"&lt;"&amp;DATE(年度,12+1,1)))</f>
        <v>0</v>
      </c>
      <c r="EL35" s="234">
        <f>EG35+EJ35</f>
        <v>-3.875</v>
      </c>
      <c r="EM35" s="235">
        <f>EH35+EK35</f>
        <v>-69.75</v>
      </c>
      <c r="EN35" s="222">
        <f>IF(AND(EL35&gt;0,EM35&gt;0),EM35/EL35,N($E35))</f>
        <v>18</v>
      </c>
      <c r="EO35" s="220">
        <f>IF($B35="",0,SUMIFS(出库明细!$E$4:$E$3003,出库明细!$D$4:$D$3003,$B35,出库明细!$B$4:$B$3003,"&gt;="&amp;DATE(年度,12,1),出库明细!$B$4:$B$3003,"&lt;"&amp;DATE(年度,12+1,1)))</f>
        <v>0</v>
      </c>
      <c r="EP35" s="186">
        <f>EO35*EN35</f>
        <v>0</v>
      </c>
      <c r="EQ35" s="220">
        <f>_辅助!BX33</f>
        <v>0</v>
      </c>
      <c r="ER35" s="186">
        <f>_辅助!AN33</f>
        <v>0</v>
      </c>
      <c r="ES35" s="221">
        <f>EL35-EO35-EQ35</f>
        <v>-3.875</v>
      </c>
      <c r="ET35" s="187">
        <f>EM35-EP35-ER35</f>
        <v>-69.75</v>
      </c>
      <c r="EU35" s="236">
        <f>IF(AND(EL35&gt;0,EM35&gt;0),0,EP35)</f>
        <v>0</v>
      </c>
    </row>
    <row r="36">
      <c r="A36" s="194">
        <f>IF(B36="","",ROW()-7)</f>
        <v>29</v>
      </c>
      <c r="B36" s="141" t="str">
        <f>IF(基础资料!E33="","",基础资料!E33&amp;"")</f>
        <v>农夫5L水</v>
      </c>
      <c r="C36" s="230" t="str">
        <f>IF(基础资料!G33="","",基础资料!G33&amp;"")</f>
        <v>农夫5L水</v>
      </c>
      <c r="D36" s="194">
        <f>IF(基础资料!I33="","",基础资料!I33)</f>
        <v>4</v>
      </c>
      <c r="E36" s="231">
        <f>IF(基础资料!J33="","",基础资料!J33)</f>
      </c>
      <c r="F36" s="232">
        <f>N(基础资料!L33)</f>
        <v>0</v>
      </c>
      <c r="G36" s="233">
        <f>IF(基础资料!N33="",0,基础资料!N33)</f>
        <v>0</v>
      </c>
      <c r="H36" s="220">
        <f>IF($B36="",0,SUMIFS(采购进货!$E$4:$E$1503,采购进货!$D$4:$D$1503,$B36,采购进货!$B$4:$B$1503,"&gt;="&amp;DATE(年度,1,1),采购进货!$B$4:$B$1503,"&lt;"&amp;DATE(年度,1+1,1))+SUMIFS(采购进货!$H$4:$H$1503,采购进货!$D$4:$D$1503,$B36,采购进货!$B$4:$B$1503,"&gt;="&amp;DATE(年度,1,1),采购进货!$B$4:$B$1503,"&lt;"&amp;DATE(年度,1+1,1)))</f>
        <v>0</v>
      </c>
      <c r="I36" s="186">
        <f>IF($B36="",0,SUMIFS(采购进货!$G$4:$G$1503,采购进货!$D$4:$D$1503,$B36,采购进货!$B$4:$B$1503,"&gt;="&amp;DATE(年度,1,1),采购进货!$B$4:$B$1503,"&lt;"&amp;DATE(年度,1+1,1)))</f>
        <v>0</v>
      </c>
      <c r="J36" s="234">
        <f>F36+H36</f>
        <v>0</v>
      </c>
      <c r="K36" s="235">
        <f>G36+I36</f>
        <v>0</v>
      </c>
      <c r="L36" s="222">
        <f>IF(AND(J36&gt;0,K36&gt;0),K36/J36,N($E36))</f>
        <v>0</v>
      </c>
      <c r="M36" s="220">
        <f>IF($B36="",0,SUMIFS(出库明细!$E$4:$E$3003,出库明细!$D$4:$D$3003,$B36,出库明细!$B$4:$B$3003,"&gt;="&amp;DATE(年度,1,1),出库明细!$B$4:$B$3003,"&lt;"&amp;DATE(年度,1+1,1)))</f>
        <v>0</v>
      </c>
      <c r="N36" s="186">
        <f>M36*L36</f>
        <v>0</v>
      </c>
      <c r="O36" s="220">
        <f>_辅助!BM34</f>
        <v>0</v>
      </c>
      <c r="P36" s="186">
        <f>_辅助!AC34</f>
        <v>0</v>
      </c>
      <c r="Q36" s="221">
        <f>J36-M36-O36</f>
        <v>0</v>
      </c>
      <c r="R36" s="187">
        <f>K36-N36-P36</f>
        <v>0</v>
      </c>
      <c r="S36" s="236">
        <f>IF(AND(J36&gt;0,K36&gt;0),0,N36)</f>
        <v>0</v>
      </c>
      <c r="T36" s="220">
        <f>IF($B36="",0,SUMIFS(采购进货!$E$4:$E$1503,采购进货!$D$4:$D$1503,$B36,采购进货!$B$4:$B$1503,"&gt;="&amp;DATE(年度,2,1),采购进货!$B$4:$B$1503,"&lt;"&amp;DATE(年度,2+1,1))+SUMIFS(采购进货!$H$4:$H$1503,采购进货!$D$4:$D$1503,$B36,采购进货!$B$4:$B$1503,"&gt;="&amp;DATE(年度,2,1),采购进货!$B$4:$B$1503,"&lt;"&amp;DATE(年度,2+1,1)))</f>
        <v>0</v>
      </c>
      <c r="U36" s="186">
        <f>IF($B36="",0,SUMIFS(采购进货!$G$4:$G$1503,采购进货!$D$4:$D$1503,$B36,采购进货!$B$4:$B$1503,"&gt;="&amp;DATE(年度,2,1),采购进货!$B$4:$B$1503,"&lt;"&amp;DATE(年度,2+1,1)))</f>
        <v>0</v>
      </c>
      <c r="V36" s="234">
        <f>Q36+T36</f>
        <v>0</v>
      </c>
      <c r="W36" s="235">
        <f>R36+U36</f>
        <v>0</v>
      </c>
      <c r="X36" s="222">
        <f>IF(AND(V36&gt;0,W36&gt;0),W36/V36,N($E36))</f>
        <v>0</v>
      </c>
      <c r="Y36" s="220">
        <f>IF($B36="",0,SUMIFS(出库明细!$E$4:$E$3003,出库明细!$D$4:$D$3003,$B36,出库明细!$B$4:$B$3003,"&gt;="&amp;DATE(年度,2,1),出库明细!$B$4:$B$3003,"&lt;"&amp;DATE(年度,2+1,1)))</f>
        <v>0</v>
      </c>
      <c r="Z36" s="186">
        <f>Y36*X36</f>
        <v>0</v>
      </c>
      <c r="AA36" s="220">
        <f>_辅助!BN34</f>
        <v>0</v>
      </c>
      <c r="AB36" s="186">
        <f>_辅助!AD34</f>
        <v>0</v>
      </c>
      <c r="AC36" s="221">
        <f>V36-Y36-AA36</f>
        <v>0</v>
      </c>
      <c r="AD36" s="187">
        <f>W36-Z36-AB36</f>
        <v>0</v>
      </c>
      <c r="AE36" s="236">
        <f>IF(AND(V36&gt;0,W36&gt;0),0,Z36)</f>
        <v>0</v>
      </c>
      <c r="AF36" s="220">
        <f>IF($B36="",0,SUMIFS(采购进货!$E$4:$E$1503,采购进货!$D$4:$D$1503,$B36,采购进货!$B$4:$B$1503,"&gt;="&amp;DATE(年度,3,1),采购进货!$B$4:$B$1503,"&lt;"&amp;DATE(年度,3+1,1))+SUMIFS(采购进货!$H$4:$H$1503,采购进货!$D$4:$D$1503,$B36,采购进货!$B$4:$B$1503,"&gt;="&amp;DATE(年度,3,1),采购进货!$B$4:$B$1503,"&lt;"&amp;DATE(年度,3+1,1)))</f>
        <v>0</v>
      </c>
      <c r="AG36" s="186">
        <f>IF($B36="",0,SUMIFS(采购进货!$G$4:$G$1503,采购进货!$D$4:$D$1503,$B36,采购进货!$B$4:$B$1503,"&gt;="&amp;DATE(年度,3,1),采购进货!$B$4:$B$1503,"&lt;"&amp;DATE(年度,3+1,1)))</f>
        <v>0</v>
      </c>
      <c r="AH36" s="234">
        <f>AC36+AF36</f>
        <v>0</v>
      </c>
      <c r="AI36" s="235">
        <f>AD36+AG36</f>
        <v>0</v>
      </c>
      <c r="AJ36" s="222">
        <f>IF(AND(AH36&gt;0,AI36&gt;0),AI36/AH36,N($E36))</f>
        <v>0</v>
      </c>
      <c r="AK36" s="220">
        <f>IF($B36="",0,SUMIFS(出库明细!$E$4:$E$3003,出库明细!$D$4:$D$3003,$B36,出库明细!$B$4:$B$3003,"&gt;="&amp;DATE(年度,3,1),出库明细!$B$4:$B$3003,"&lt;"&amp;DATE(年度,3+1,1)))</f>
        <v>0</v>
      </c>
      <c r="AL36" s="186">
        <f>AK36*AJ36</f>
        <v>0</v>
      </c>
      <c r="AM36" s="220">
        <f>_辅助!BO34</f>
        <v>0</v>
      </c>
      <c r="AN36" s="186">
        <f>_辅助!AE34</f>
        <v>0</v>
      </c>
      <c r="AO36" s="221">
        <f>AH36-AK36-AM36</f>
        <v>0</v>
      </c>
      <c r="AP36" s="187">
        <f>AI36-AL36-AN36</f>
        <v>0</v>
      </c>
      <c r="AQ36" s="236">
        <f>IF(AND(AH36&gt;0,AI36&gt;0),0,AL36)</f>
        <v>0</v>
      </c>
      <c r="AR36" s="220">
        <f>IF($B36="",0,SUMIFS(采购进货!$E$4:$E$1503,采购进货!$D$4:$D$1503,$B36,采购进货!$B$4:$B$1503,"&gt;="&amp;DATE(年度,4,1),采购进货!$B$4:$B$1503,"&lt;"&amp;DATE(年度,4+1,1))+SUMIFS(采购进货!$H$4:$H$1503,采购进货!$D$4:$D$1503,$B36,采购进货!$B$4:$B$1503,"&gt;="&amp;DATE(年度,4,1),采购进货!$B$4:$B$1503,"&lt;"&amp;DATE(年度,4+1,1)))</f>
        <v>0</v>
      </c>
      <c r="AS36" s="186">
        <f>IF($B36="",0,SUMIFS(采购进货!$G$4:$G$1503,采购进货!$D$4:$D$1503,$B36,采购进货!$B$4:$B$1503,"&gt;="&amp;DATE(年度,4,1),采购进货!$B$4:$B$1503,"&lt;"&amp;DATE(年度,4+1,1)))</f>
        <v>0</v>
      </c>
      <c r="AT36" s="234">
        <f>AO36+AR36</f>
        <v>0</v>
      </c>
      <c r="AU36" s="235">
        <f>AP36+AS36</f>
        <v>0</v>
      </c>
      <c r="AV36" s="222">
        <f>IF(AND(AT36&gt;0,AU36&gt;0),AU36/AT36,N($E36))</f>
        <v>0</v>
      </c>
      <c r="AW36" s="220">
        <f>IF($B36="",0,SUMIFS(出库明细!$E$4:$E$3003,出库明细!$D$4:$D$3003,$B36,出库明细!$B$4:$B$3003,"&gt;="&amp;DATE(年度,4,1),出库明细!$B$4:$B$3003,"&lt;"&amp;DATE(年度,4+1,1)))</f>
        <v>0</v>
      </c>
      <c r="AX36" s="186">
        <f>AW36*AV36</f>
        <v>0</v>
      </c>
      <c r="AY36" s="220">
        <f>_辅助!BP34</f>
        <v>0</v>
      </c>
      <c r="AZ36" s="186">
        <f>_辅助!AF34</f>
        <v>0</v>
      </c>
      <c r="BA36" s="221">
        <f>AT36-AW36-AY36</f>
        <v>0</v>
      </c>
      <c r="BB36" s="187">
        <f>AU36-AX36-AZ36</f>
        <v>0</v>
      </c>
      <c r="BC36" s="236">
        <f>IF(AND(AT36&gt;0,AU36&gt;0),0,AX36)</f>
        <v>0</v>
      </c>
      <c r="BD36" s="220">
        <f>IF($B36="",0,SUMIFS(采购进货!$E$4:$E$1503,采购进货!$D$4:$D$1503,$B36,采购进货!$B$4:$B$1503,"&gt;="&amp;DATE(年度,5,1),采购进货!$B$4:$B$1503,"&lt;"&amp;DATE(年度,5+1,1))+SUMIFS(采购进货!$H$4:$H$1503,采购进货!$D$4:$D$1503,$B36,采购进货!$B$4:$B$1503,"&gt;="&amp;DATE(年度,5,1),采购进货!$B$4:$B$1503,"&lt;"&amp;DATE(年度,5+1,1)))</f>
        <v>0</v>
      </c>
      <c r="BE36" s="186">
        <f>IF($B36="",0,SUMIFS(采购进货!$G$4:$G$1503,采购进货!$D$4:$D$1503,$B36,采购进货!$B$4:$B$1503,"&gt;="&amp;DATE(年度,5,1),采购进货!$B$4:$B$1503,"&lt;"&amp;DATE(年度,5+1,1)))</f>
        <v>0</v>
      </c>
      <c r="BF36" s="234">
        <f>BA36+BD36</f>
        <v>0</v>
      </c>
      <c r="BG36" s="235">
        <f>BB36+BE36</f>
        <v>0</v>
      </c>
      <c r="BH36" s="222">
        <f>IF(AND(BF36&gt;0,BG36&gt;0),BG36/BF36,N($E36))</f>
        <v>0</v>
      </c>
      <c r="BI36" s="220">
        <f>IF($B36="",0,SUMIFS(出库明细!$E$4:$E$3003,出库明细!$D$4:$D$3003,$B36,出库明细!$B$4:$B$3003,"&gt;="&amp;DATE(年度,5,1),出库明细!$B$4:$B$3003,"&lt;"&amp;DATE(年度,5+1,1)))</f>
        <v>0</v>
      </c>
      <c r="BJ36" s="186">
        <f>BI36*BH36</f>
        <v>0</v>
      </c>
      <c r="BK36" s="220">
        <f>_辅助!BQ34</f>
        <v>0</v>
      </c>
      <c r="BL36" s="186">
        <f>_辅助!AG34</f>
        <v>0</v>
      </c>
      <c r="BM36" s="221">
        <f>BF36-BI36-BK36</f>
        <v>0</v>
      </c>
      <c r="BN36" s="187">
        <f>BG36-BJ36-BL36</f>
        <v>0</v>
      </c>
      <c r="BO36" s="236">
        <f>IF(AND(BF36&gt;0,BG36&gt;0),0,BJ36)</f>
        <v>0</v>
      </c>
      <c r="BP36" s="220">
        <f>IF($B36="",0,SUMIFS(采购进货!$E$4:$E$1503,采购进货!$D$4:$D$1503,$B36,采购进货!$B$4:$B$1503,"&gt;="&amp;DATE(年度,6,1),采购进货!$B$4:$B$1503,"&lt;"&amp;DATE(年度,6+1,1))+SUMIFS(采购进货!$H$4:$H$1503,采购进货!$D$4:$D$1503,$B36,采购进货!$B$4:$B$1503,"&gt;="&amp;DATE(年度,6,1),采购进货!$B$4:$B$1503,"&lt;"&amp;DATE(年度,6+1,1)))</f>
        <v>0</v>
      </c>
      <c r="BQ36" s="186">
        <f>IF($B36="",0,SUMIFS(采购进货!$G$4:$G$1503,采购进货!$D$4:$D$1503,$B36,采购进货!$B$4:$B$1503,"&gt;="&amp;DATE(年度,6,1),采购进货!$B$4:$B$1503,"&lt;"&amp;DATE(年度,6+1,1)))</f>
        <v>0</v>
      </c>
      <c r="BR36" s="234">
        <f>BM36+BP36</f>
        <v>0</v>
      </c>
      <c r="BS36" s="235">
        <f>BN36+BQ36</f>
        <v>0</v>
      </c>
      <c r="BT36" s="222">
        <f>IF(AND(BR36&gt;0,BS36&gt;0),BS36/BR36,N($E36))</f>
        <v>0</v>
      </c>
      <c r="BU36" s="220">
        <f>IF($B36="",0,SUMIFS(出库明细!$E$4:$E$3003,出库明细!$D$4:$D$3003,$B36,出库明细!$B$4:$B$3003,"&gt;="&amp;DATE(年度,6,1),出库明细!$B$4:$B$3003,"&lt;"&amp;DATE(年度,6+1,1)))</f>
        <v>0</v>
      </c>
      <c r="BV36" s="186">
        <f>BU36*BT36</f>
        <v>0</v>
      </c>
      <c r="BW36" s="220">
        <f>_辅助!BR34</f>
        <v>0</v>
      </c>
      <c r="BX36" s="186">
        <f>_辅助!AH34</f>
        <v>0</v>
      </c>
      <c r="BY36" s="221">
        <f>BR36-BU36-BW36</f>
        <v>0</v>
      </c>
      <c r="BZ36" s="187">
        <f>BS36-BV36-BX36</f>
        <v>0</v>
      </c>
      <c r="CA36" s="236">
        <f>IF(AND(BR36&gt;0,BS36&gt;0),0,BV36)</f>
        <v>0</v>
      </c>
      <c r="CB36" s="220">
        <f>IF($B36="",0,SUMIFS(采购进货!$E$4:$E$1503,采购进货!$D$4:$D$1503,$B36,采购进货!$B$4:$B$1503,"&gt;="&amp;DATE(年度,7,1),采购进货!$B$4:$B$1503,"&lt;"&amp;DATE(年度,7+1,1))+SUMIFS(采购进货!$H$4:$H$1503,采购进货!$D$4:$D$1503,$B36,采购进货!$B$4:$B$1503,"&gt;="&amp;DATE(年度,7,1),采购进货!$B$4:$B$1503,"&lt;"&amp;DATE(年度,7+1,1)))</f>
        <v>0</v>
      </c>
      <c r="CC36" s="186">
        <f>IF($B36="",0,SUMIFS(采购进货!$G$4:$G$1503,采购进货!$D$4:$D$1503,$B36,采购进货!$B$4:$B$1503,"&gt;="&amp;DATE(年度,7,1),采购进货!$B$4:$B$1503,"&lt;"&amp;DATE(年度,7+1,1)))</f>
        <v>0</v>
      </c>
      <c r="CD36" s="234">
        <f>BY36+CB36</f>
        <v>0</v>
      </c>
      <c r="CE36" s="235">
        <f>BZ36+CC36</f>
        <v>0</v>
      </c>
      <c r="CF36" s="222">
        <f>IF(AND(CD36&gt;0,CE36&gt;0),CE36/CD36,N($E36))</f>
        <v>0</v>
      </c>
      <c r="CG36" s="220">
        <f>IF($B36="",0,SUMIFS(出库明细!$E$4:$E$3003,出库明细!$D$4:$D$3003,$B36,出库明细!$B$4:$B$3003,"&gt;="&amp;DATE(年度,7,1),出库明细!$B$4:$B$3003,"&lt;"&amp;DATE(年度,7+1,1)))</f>
        <v>0</v>
      </c>
      <c r="CH36" s="186">
        <f>CG36*CF36</f>
        <v>0</v>
      </c>
      <c r="CI36" s="220">
        <f>_辅助!BS34</f>
        <v>0</v>
      </c>
      <c r="CJ36" s="186">
        <f>_辅助!AI34</f>
        <v>0</v>
      </c>
      <c r="CK36" s="221">
        <f>CD36-CG36-CI36</f>
        <v>0</v>
      </c>
      <c r="CL36" s="187">
        <f>CE36-CH36-CJ36</f>
        <v>0</v>
      </c>
      <c r="CM36" s="236">
        <f>IF(AND(CD36&gt;0,CE36&gt;0),0,CH36)</f>
        <v>0</v>
      </c>
      <c r="CN36" s="220">
        <f>IF($B36="",0,SUMIFS(采购进货!$E$4:$E$1503,采购进货!$D$4:$D$1503,$B36,采购进货!$B$4:$B$1503,"&gt;="&amp;DATE(年度,8,1),采购进货!$B$4:$B$1503,"&lt;"&amp;DATE(年度,8+1,1))+SUMIFS(采购进货!$H$4:$H$1503,采购进货!$D$4:$D$1503,$B36,采购进货!$B$4:$B$1503,"&gt;="&amp;DATE(年度,8,1),采购进货!$B$4:$B$1503,"&lt;"&amp;DATE(年度,8+1,1)))</f>
        <v>0</v>
      </c>
      <c r="CO36" s="186">
        <f>IF($B36="",0,SUMIFS(采购进货!$G$4:$G$1503,采购进货!$D$4:$D$1503,$B36,采购进货!$B$4:$B$1503,"&gt;="&amp;DATE(年度,8,1),采购进货!$B$4:$B$1503,"&lt;"&amp;DATE(年度,8+1,1)))</f>
        <v>0</v>
      </c>
      <c r="CP36" s="234">
        <f>CK36+CN36</f>
        <v>0</v>
      </c>
      <c r="CQ36" s="235">
        <f>CL36+CO36</f>
        <v>0</v>
      </c>
      <c r="CR36" s="222">
        <f>IF(AND(CP36&gt;0,CQ36&gt;0),CQ36/CP36,N($E36))</f>
        <v>0</v>
      </c>
      <c r="CS36" s="220">
        <f>IF($B36="",0,SUMIFS(出库明细!$E$4:$E$3003,出库明细!$D$4:$D$3003,$B36,出库明细!$B$4:$B$3003,"&gt;="&amp;DATE(年度,8,1),出库明细!$B$4:$B$3003,"&lt;"&amp;DATE(年度,8+1,1)))</f>
        <v>0</v>
      </c>
      <c r="CT36" s="186">
        <f>CS36*CR36</f>
        <v>0</v>
      </c>
      <c r="CU36" s="220">
        <f>_辅助!BT34</f>
        <v>0</v>
      </c>
      <c r="CV36" s="186">
        <f>_辅助!AJ34</f>
        <v>0</v>
      </c>
      <c r="CW36" s="221">
        <f>CP36-CS36-CU36</f>
        <v>0</v>
      </c>
      <c r="CX36" s="187">
        <f>CQ36-CT36-CV36</f>
        <v>0</v>
      </c>
      <c r="CY36" s="236">
        <f>IF(AND(CP36&gt;0,CQ36&gt;0),0,CT36)</f>
        <v>0</v>
      </c>
      <c r="CZ36" s="220">
        <f>IF($B36="",0,SUMIFS(采购进货!$E$4:$E$1503,采购进货!$D$4:$D$1503,$B36,采购进货!$B$4:$B$1503,"&gt;="&amp;DATE(年度,9,1),采购进货!$B$4:$B$1503,"&lt;"&amp;DATE(年度,9+1,1))+SUMIFS(采购进货!$H$4:$H$1503,采购进货!$D$4:$D$1503,$B36,采购进货!$B$4:$B$1503,"&gt;="&amp;DATE(年度,9,1),采购进货!$B$4:$B$1503,"&lt;"&amp;DATE(年度,9+1,1)))</f>
        <v>0</v>
      </c>
      <c r="DA36" s="186">
        <f>IF($B36="",0,SUMIFS(采购进货!$G$4:$G$1503,采购进货!$D$4:$D$1503,$B36,采购进货!$B$4:$B$1503,"&gt;="&amp;DATE(年度,9,1),采购进货!$B$4:$B$1503,"&lt;"&amp;DATE(年度,9+1,1)))</f>
        <v>0</v>
      </c>
      <c r="DB36" s="234">
        <f>CW36+CZ36</f>
        <v>0</v>
      </c>
      <c r="DC36" s="235">
        <f>CX36+DA36</f>
        <v>0</v>
      </c>
      <c r="DD36" s="222">
        <f>IF(AND(DB36&gt;0,DC36&gt;0),DC36/DB36,N($E36))</f>
        <v>0</v>
      </c>
      <c r="DE36" s="220">
        <f>IF($B36="",0,SUMIFS(出库明细!$E$4:$E$3003,出库明细!$D$4:$D$3003,$B36,出库明细!$B$4:$B$3003,"&gt;="&amp;DATE(年度,9,1),出库明细!$B$4:$B$3003,"&lt;"&amp;DATE(年度,9+1,1)))</f>
        <v>0</v>
      </c>
      <c r="DF36" s="186">
        <f>DE36*DD36</f>
        <v>0</v>
      </c>
      <c r="DG36" s="220">
        <f>_辅助!BU34</f>
        <v>0</v>
      </c>
      <c r="DH36" s="186">
        <f>_辅助!AK34</f>
        <v>0</v>
      </c>
      <c r="DI36" s="221">
        <f>DB36-DE36-DG36</f>
        <v>0</v>
      </c>
      <c r="DJ36" s="187">
        <f>DC36-DF36-DH36</f>
        <v>0</v>
      </c>
      <c r="DK36" s="236">
        <f>IF(AND(DB36&gt;0,DC36&gt;0),0,DF36)</f>
        <v>0</v>
      </c>
      <c r="DL36" s="220">
        <f>IF($B36="",0,SUMIFS(采购进货!$E$4:$E$1503,采购进货!$D$4:$D$1503,$B36,采购进货!$B$4:$B$1503,"&gt;="&amp;DATE(年度,10,1),采购进货!$B$4:$B$1503,"&lt;"&amp;DATE(年度,10+1,1))+SUMIFS(采购进货!$H$4:$H$1503,采购进货!$D$4:$D$1503,$B36,采购进货!$B$4:$B$1503,"&gt;="&amp;DATE(年度,10,1),采购进货!$B$4:$B$1503,"&lt;"&amp;DATE(年度,10+1,1)))</f>
        <v>0</v>
      </c>
      <c r="DM36" s="186">
        <f>IF($B36="",0,SUMIFS(采购进货!$G$4:$G$1503,采购进货!$D$4:$D$1503,$B36,采购进货!$B$4:$B$1503,"&gt;="&amp;DATE(年度,10,1),采购进货!$B$4:$B$1503,"&lt;"&amp;DATE(年度,10+1,1)))</f>
        <v>0</v>
      </c>
      <c r="DN36" s="234">
        <f>DI36+DL36</f>
        <v>0</v>
      </c>
      <c r="DO36" s="235">
        <f>DJ36+DM36</f>
        <v>0</v>
      </c>
      <c r="DP36" s="222">
        <f>IF(AND(DN36&gt;0,DO36&gt;0),DO36/DN36,N($E36))</f>
        <v>0</v>
      </c>
      <c r="DQ36" s="220">
        <f>IF($B36="",0,SUMIFS(出库明细!$E$4:$E$3003,出库明细!$D$4:$D$3003,$B36,出库明细!$B$4:$B$3003,"&gt;="&amp;DATE(年度,10,1),出库明细!$B$4:$B$3003,"&lt;"&amp;DATE(年度,10+1,1)))</f>
        <v>0</v>
      </c>
      <c r="DR36" s="186">
        <f>DQ36*DP36</f>
        <v>0</v>
      </c>
      <c r="DS36" s="220">
        <f>_辅助!BV34</f>
        <v>0</v>
      </c>
      <c r="DT36" s="186">
        <f>_辅助!AL34</f>
        <v>0</v>
      </c>
      <c r="DU36" s="221">
        <f>DN36-DQ36-DS36</f>
        <v>0</v>
      </c>
      <c r="DV36" s="187">
        <f>DO36-DR36-DT36</f>
        <v>0</v>
      </c>
      <c r="DW36" s="236">
        <f>IF(AND(DN36&gt;0,DO36&gt;0),0,DR36)</f>
        <v>0</v>
      </c>
      <c r="DX36" s="220">
        <f>IF($B36="",0,SUMIFS(采购进货!$E$4:$E$1503,采购进货!$D$4:$D$1503,$B36,采购进货!$B$4:$B$1503,"&gt;="&amp;DATE(年度,11,1),采购进货!$B$4:$B$1503,"&lt;"&amp;DATE(年度,11+1,1))+SUMIFS(采购进货!$H$4:$H$1503,采购进货!$D$4:$D$1503,$B36,采购进货!$B$4:$B$1503,"&gt;="&amp;DATE(年度,11,1),采购进货!$B$4:$B$1503,"&lt;"&amp;DATE(年度,11+1,1)))</f>
        <v>0</v>
      </c>
      <c r="DY36" s="186">
        <f>IF($B36="",0,SUMIFS(采购进货!$G$4:$G$1503,采购进货!$D$4:$D$1503,$B36,采购进货!$B$4:$B$1503,"&gt;="&amp;DATE(年度,11,1),采购进货!$B$4:$B$1503,"&lt;"&amp;DATE(年度,11+1,1)))</f>
        <v>0</v>
      </c>
      <c r="DZ36" s="234">
        <f>DU36+DX36</f>
        <v>0</v>
      </c>
      <c r="EA36" s="235">
        <f>DV36+DY36</f>
        <v>0</v>
      </c>
      <c r="EB36" s="222">
        <f>IF(AND(DZ36&gt;0,EA36&gt;0),EA36/DZ36,N($E36))</f>
        <v>0</v>
      </c>
      <c r="EC36" s="220">
        <f>IF($B36="",0,SUMIFS(出库明细!$E$4:$E$3003,出库明细!$D$4:$D$3003,$B36,出库明细!$B$4:$B$3003,"&gt;="&amp;DATE(年度,11,1),出库明细!$B$4:$B$3003,"&lt;"&amp;DATE(年度,11+1,1)))</f>
        <v>0</v>
      </c>
      <c r="ED36" s="186">
        <f>EC36*EB36</f>
        <v>0</v>
      </c>
      <c r="EE36" s="220">
        <f>_辅助!BW34</f>
        <v>0</v>
      </c>
      <c r="EF36" s="186">
        <f>_辅助!AM34</f>
        <v>0</v>
      </c>
      <c r="EG36" s="221">
        <f>DZ36-EC36-EE36</f>
        <v>0</v>
      </c>
      <c r="EH36" s="187">
        <f>EA36-ED36-EF36</f>
        <v>0</v>
      </c>
      <c r="EI36" s="236">
        <f>IF(AND(DZ36&gt;0,EA36&gt;0),0,ED36)</f>
        <v>0</v>
      </c>
      <c r="EJ36" s="220">
        <f>IF($B36="",0,SUMIFS(采购进货!$E$4:$E$1503,采购进货!$D$4:$D$1503,$B36,采购进货!$B$4:$B$1503,"&gt;="&amp;DATE(年度,12,1),采购进货!$B$4:$B$1503,"&lt;"&amp;DATE(年度,12+1,1))+SUMIFS(采购进货!$H$4:$H$1503,采购进货!$D$4:$D$1503,$B36,采购进货!$B$4:$B$1503,"&gt;="&amp;DATE(年度,12,1),采购进货!$B$4:$B$1503,"&lt;"&amp;DATE(年度,12+1,1)))</f>
        <v>0</v>
      </c>
      <c r="EK36" s="186">
        <f>IF($B36="",0,SUMIFS(采购进货!$G$4:$G$1503,采购进货!$D$4:$D$1503,$B36,采购进货!$B$4:$B$1503,"&gt;="&amp;DATE(年度,12,1),采购进货!$B$4:$B$1503,"&lt;"&amp;DATE(年度,12+1,1)))</f>
        <v>0</v>
      </c>
      <c r="EL36" s="234">
        <f>EG36+EJ36</f>
        <v>0</v>
      </c>
      <c r="EM36" s="235">
        <f>EH36+EK36</f>
        <v>0</v>
      </c>
      <c r="EN36" s="222">
        <f>IF(AND(EL36&gt;0,EM36&gt;0),EM36/EL36,N($E36))</f>
        <v>0</v>
      </c>
      <c r="EO36" s="220">
        <f>IF($B36="",0,SUMIFS(出库明细!$E$4:$E$3003,出库明细!$D$4:$D$3003,$B36,出库明细!$B$4:$B$3003,"&gt;="&amp;DATE(年度,12,1),出库明细!$B$4:$B$3003,"&lt;"&amp;DATE(年度,12+1,1)))</f>
        <v>0</v>
      </c>
      <c r="EP36" s="186">
        <f>EO36*EN36</f>
        <v>0</v>
      </c>
      <c r="EQ36" s="220">
        <f>_辅助!BX34</f>
        <v>0</v>
      </c>
      <c r="ER36" s="186">
        <f>_辅助!AN34</f>
        <v>0</v>
      </c>
      <c r="ES36" s="221">
        <f>EL36-EO36-EQ36</f>
        <v>0</v>
      </c>
      <c r="ET36" s="187">
        <f>EM36-EP36-ER36</f>
        <v>0</v>
      </c>
      <c r="EU36" s="236">
        <f>IF(AND(EL36&gt;0,EM36&gt;0),0,EP36)</f>
        <v>0</v>
      </c>
    </row>
    <row r="37">
      <c r="A37" s="194">
        <f>IF(B37="","",ROW()-7)</f>
        <v>30</v>
      </c>
      <c r="B37" s="141" t="str">
        <f>IF(基础资料!E34="","",基础资料!E34&amp;"")</f>
        <v>农夫12.9L水</v>
      </c>
      <c r="C37" s="230" t="str">
        <f>IF(基础资料!G34="","",基础资料!G34&amp;"")</f>
        <v>农夫12.9L水</v>
      </c>
      <c r="D37" s="194">
        <f>IF(基础资料!I34="","",基础资料!I34)</f>
      </c>
      <c r="E37" s="231">
        <f>IF(基础资料!J34="","",基础资料!J34)</f>
      </c>
      <c r="F37" s="232">
        <f>N(基础资料!L34)</f>
        <v>0</v>
      </c>
      <c r="G37" s="233">
        <f>IF(基础资料!N34="",0,基础资料!N34)</f>
        <v>0</v>
      </c>
      <c r="H37" s="220">
        <f>IF($B37="",0,SUMIFS(采购进货!$E$4:$E$1503,采购进货!$D$4:$D$1503,$B37,采购进货!$B$4:$B$1503,"&gt;="&amp;DATE(年度,1,1),采购进货!$B$4:$B$1503,"&lt;"&amp;DATE(年度,1+1,1))+SUMIFS(采购进货!$H$4:$H$1503,采购进货!$D$4:$D$1503,$B37,采购进货!$B$4:$B$1503,"&gt;="&amp;DATE(年度,1,1),采购进货!$B$4:$B$1503,"&lt;"&amp;DATE(年度,1+1,1)))</f>
        <v>0</v>
      </c>
      <c r="I37" s="186">
        <f>IF($B37="",0,SUMIFS(采购进货!$G$4:$G$1503,采购进货!$D$4:$D$1503,$B37,采购进货!$B$4:$B$1503,"&gt;="&amp;DATE(年度,1,1),采购进货!$B$4:$B$1503,"&lt;"&amp;DATE(年度,1+1,1)))</f>
        <v>0</v>
      </c>
      <c r="J37" s="234">
        <f>F37+H37</f>
        <v>0</v>
      </c>
      <c r="K37" s="235">
        <f>G37+I37</f>
        <v>0</v>
      </c>
      <c r="L37" s="222">
        <f>IF(AND(J37&gt;0,K37&gt;0),K37/J37,N($E37))</f>
        <v>0</v>
      </c>
      <c r="M37" s="220">
        <f>IF($B37="",0,SUMIFS(出库明细!$E$4:$E$3003,出库明细!$D$4:$D$3003,$B37,出库明细!$B$4:$B$3003,"&gt;="&amp;DATE(年度,1,1),出库明细!$B$4:$B$3003,"&lt;"&amp;DATE(年度,1+1,1)))</f>
        <v>0</v>
      </c>
      <c r="N37" s="186">
        <f>M37*L37</f>
        <v>0</v>
      </c>
      <c r="O37" s="220">
        <f>_辅助!BM35</f>
        <v>0</v>
      </c>
      <c r="P37" s="186">
        <f>_辅助!AC35</f>
        <v>0</v>
      </c>
      <c r="Q37" s="221">
        <f>J37-M37-O37</f>
        <v>0</v>
      </c>
      <c r="R37" s="187">
        <f>K37-N37-P37</f>
        <v>0</v>
      </c>
      <c r="S37" s="236">
        <f>IF(AND(J37&gt;0,K37&gt;0),0,N37)</f>
        <v>0</v>
      </c>
      <c r="T37" s="220">
        <f>IF($B37="",0,SUMIFS(采购进货!$E$4:$E$1503,采购进货!$D$4:$D$1503,$B37,采购进货!$B$4:$B$1503,"&gt;="&amp;DATE(年度,2,1),采购进货!$B$4:$B$1503,"&lt;"&amp;DATE(年度,2+1,1))+SUMIFS(采购进货!$H$4:$H$1503,采购进货!$D$4:$D$1503,$B37,采购进货!$B$4:$B$1503,"&gt;="&amp;DATE(年度,2,1),采购进货!$B$4:$B$1503,"&lt;"&amp;DATE(年度,2+1,1)))</f>
        <v>0</v>
      </c>
      <c r="U37" s="186">
        <f>IF($B37="",0,SUMIFS(采购进货!$G$4:$G$1503,采购进货!$D$4:$D$1503,$B37,采购进货!$B$4:$B$1503,"&gt;="&amp;DATE(年度,2,1),采购进货!$B$4:$B$1503,"&lt;"&amp;DATE(年度,2+1,1)))</f>
        <v>0</v>
      </c>
      <c r="V37" s="234">
        <f>Q37+T37</f>
        <v>0</v>
      </c>
      <c r="W37" s="235">
        <f>R37+U37</f>
        <v>0</v>
      </c>
      <c r="X37" s="222">
        <f>IF(AND(V37&gt;0,W37&gt;0),W37/V37,N($E37))</f>
        <v>0</v>
      </c>
      <c r="Y37" s="220">
        <f>IF($B37="",0,SUMIFS(出库明细!$E$4:$E$3003,出库明细!$D$4:$D$3003,$B37,出库明细!$B$4:$B$3003,"&gt;="&amp;DATE(年度,2,1),出库明细!$B$4:$B$3003,"&lt;"&amp;DATE(年度,2+1,1)))</f>
        <v>0</v>
      </c>
      <c r="Z37" s="186">
        <f>Y37*X37</f>
        <v>0</v>
      </c>
      <c r="AA37" s="220">
        <f>_辅助!BN35</f>
        <v>0</v>
      </c>
      <c r="AB37" s="186">
        <f>_辅助!AD35</f>
        <v>0</v>
      </c>
      <c r="AC37" s="221">
        <f>V37-Y37-AA37</f>
        <v>0</v>
      </c>
      <c r="AD37" s="187">
        <f>W37-Z37-AB37</f>
        <v>0</v>
      </c>
      <c r="AE37" s="236">
        <f>IF(AND(V37&gt;0,W37&gt;0),0,Z37)</f>
        <v>0</v>
      </c>
      <c r="AF37" s="220">
        <f>IF($B37="",0,SUMIFS(采购进货!$E$4:$E$1503,采购进货!$D$4:$D$1503,$B37,采购进货!$B$4:$B$1503,"&gt;="&amp;DATE(年度,3,1),采购进货!$B$4:$B$1503,"&lt;"&amp;DATE(年度,3+1,1))+SUMIFS(采购进货!$H$4:$H$1503,采购进货!$D$4:$D$1503,$B37,采购进货!$B$4:$B$1503,"&gt;="&amp;DATE(年度,3,1),采购进货!$B$4:$B$1503,"&lt;"&amp;DATE(年度,3+1,1)))</f>
        <v>0</v>
      </c>
      <c r="AG37" s="186">
        <f>IF($B37="",0,SUMIFS(采购进货!$G$4:$G$1503,采购进货!$D$4:$D$1503,$B37,采购进货!$B$4:$B$1503,"&gt;="&amp;DATE(年度,3,1),采购进货!$B$4:$B$1503,"&lt;"&amp;DATE(年度,3+1,1)))</f>
        <v>0</v>
      </c>
      <c r="AH37" s="234">
        <f>AC37+AF37</f>
        <v>0</v>
      </c>
      <c r="AI37" s="235">
        <f>AD37+AG37</f>
        <v>0</v>
      </c>
      <c r="AJ37" s="222">
        <f>IF(AND(AH37&gt;0,AI37&gt;0),AI37/AH37,N($E37))</f>
        <v>0</v>
      </c>
      <c r="AK37" s="220">
        <f>IF($B37="",0,SUMIFS(出库明细!$E$4:$E$3003,出库明细!$D$4:$D$3003,$B37,出库明细!$B$4:$B$3003,"&gt;="&amp;DATE(年度,3,1),出库明细!$B$4:$B$3003,"&lt;"&amp;DATE(年度,3+1,1)))</f>
        <v>0</v>
      </c>
      <c r="AL37" s="186">
        <f>AK37*AJ37</f>
        <v>0</v>
      </c>
      <c r="AM37" s="220">
        <f>_辅助!BO35</f>
        <v>0</v>
      </c>
      <c r="AN37" s="186">
        <f>_辅助!AE35</f>
        <v>0</v>
      </c>
      <c r="AO37" s="221">
        <f>AH37-AK37-AM37</f>
        <v>0</v>
      </c>
      <c r="AP37" s="187">
        <f>AI37-AL37-AN37</f>
        <v>0</v>
      </c>
      <c r="AQ37" s="236">
        <f>IF(AND(AH37&gt;0,AI37&gt;0),0,AL37)</f>
        <v>0</v>
      </c>
      <c r="AR37" s="220">
        <f>IF($B37="",0,SUMIFS(采购进货!$E$4:$E$1503,采购进货!$D$4:$D$1503,$B37,采购进货!$B$4:$B$1503,"&gt;="&amp;DATE(年度,4,1),采购进货!$B$4:$B$1503,"&lt;"&amp;DATE(年度,4+1,1))+SUMIFS(采购进货!$H$4:$H$1503,采购进货!$D$4:$D$1503,$B37,采购进货!$B$4:$B$1503,"&gt;="&amp;DATE(年度,4,1),采购进货!$B$4:$B$1503,"&lt;"&amp;DATE(年度,4+1,1)))</f>
        <v>0</v>
      </c>
      <c r="AS37" s="186">
        <f>IF($B37="",0,SUMIFS(采购进货!$G$4:$G$1503,采购进货!$D$4:$D$1503,$B37,采购进货!$B$4:$B$1503,"&gt;="&amp;DATE(年度,4,1),采购进货!$B$4:$B$1503,"&lt;"&amp;DATE(年度,4+1,1)))</f>
        <v>0</v>
      </c>
      <c r="AT37" s="234">
        <f>AO37+AR37</f>
        <v>0</v>
      </c>
      <c r="AU37" s="235">
        <f>AP37+AS37</f>
        <v>0</v>
      </c>
      <c r="AV37" s="222">
        <f>IF(AND(AT37&gt;0,AU37&gt;0),AU37/AT37,N($E37))</f>
        <v>0</v>
      </c>
      <c r="AW37" s="220">
        <f>IF($B37="",0,SUMIFS(出库明细!$E$4:$E$3003,出库明细!$D$4:$D$3003,$B37,出库明细!$B$4:$B$3003,"&gt;="&amp;DATE(年度,4,1),出库明细!$B$4:$B$3003,"&lt;"&amp;DATE(年度,4+1,1)))</f>
        <v>0</v>
      </c>
      <c r="AX37" s="186">
        <f>AW37*AV37</f>
        <v>0</v>
      </c>
      <c r="AY37" s="220">
        <f>_辅助!BP35</f>
        <v>0</v>
      </c>
      <c r="AZ37" s="186">
        <f>_辅助!AF35</f>
        <v>0</v>
      </c>
      <c r="BA37" s="221">
        <f>AT37-AW37-AY37</f>
        <v>0</v>
      </c>
      <c r="BB37" s="187">
        <f>AU37-AX37-AZ37</f>
        <v>0</v>
      </c>
      <c r="BC37" s="236">
        <f>IF(AND(AT37&gt;0,AU37&gt;0),0,AX37)</f>
        <v>0</v>
      </c>
      <c r="BD37" s="220">
        <f>IF($B37="",0,SUMIFS(采购进货!$E$4:$E$1503,采购进货!$D$4:$D$1503,$B37,采购进货!$B$4:$B$1503,"&gt;="&amp;DATE(年度,5,1),采购进货!$B$4:$B$1503,"&lt;"&amp;DATE(年度,5+1,1))+SUMIFS(采购进货!$H$4:$H$1503,采购进货!$D$4:$D$1503,$B37,采购进货!$B$4:$B$1503,"&gt;="&amp;DATE(年度,5,1),采购进货!$B$4:$B$1503,"&lt;"&amp;DATE(年度,5+1,1)))</f>
        <v>0</v>
      </c>
      <c r="BE37" s="186">
        <f>IF($B37="",0,SUMIFS(采购进货!$G$4:$G$1503,采购进货!$D$4:$D$1503,$B37,采购进货!$B$4:$B$1503,"&gt;="&amp;DATE(年度,5,1),采购进货!$B$4:$B$1503,"&lt;"&amp;DATE(年度,5+1,1)))</f>
        <v>0</v>
      </c>
      <c r="BF37" s="234">
        <f>BA37+BD37</f>
        <v>0</v>
      </c>
      <c r="BG37" s="235">
        <f>BB37+BE37</f>
        <v>0</v>
      </c>
      <c r="BH37" s="222">
        <f>IF(AND(BF37&gt;0,BG37&gt;0),BG37/BF37,N($E37))</f>
        <v>0</v>
      </c>
      <c r="BI37" s="220">
        <f>IF($B37="",0,SUMIFS(出库明细!$E$4:$E$3003,出库明细!$D$4:$D$3003,$B37,出库明细!$B$4:$B$3003,"&gt;="&amp;DATE(年度,5,1),出库明细!$B$4:$B$3003,"&lt;"&amp;DATE(年度,5+1,1)))</f>
        <v>0</v>
      </c>
      <c r="BJ37" s="186">
        <f>BI37*BH37</f>
        <v>0</v>
      </c>
      <c r="BK37" s="220">
        <f>_辅助!BQ35</f>
        <v>0</v>
      </c>
      <c r="BL37" s="186">
        <f>_辅助!AG35</f>
        <v>0</v>
      </c>
      <c r="BM37" s="221">
        <f>BF37-BI37-BK37</f>
        <v>0</v>
      </c>
      <c r="BN37" s="187">
        <f>BG37-BJ37-BL37</f>
        <v>0</v>
      </c>
      <c r="BO37" s="236">
        <f>IF(AND(BF37&gt;0,BG37&gt;0),0,BJ37)</f>
        <v>0</v>
      </c>
      <c r="BP37" s="220">
        <f>IF($B37="",0,SUMIFS(采购进货!$E$4:$E$1503,采购进货!$D$4:$D$1503,$B37,采购进货!$B$4:$B$1503,"&gt;="&amp;DATE(年度,6,1),采购进货!$B$4:$B$1503,"&lt;"&amp;DATE(年度,6+1,1))+SUMIFS(采购进货!$H$4:$H$1503,采购进货!$D$4:$D$1503,$B37,采购进货!$B$4:$B$1503,"&gt;="&amp;DATE(年度,6,1),采购进货!$B$4:$B$1503,"&lt;"&amp;DATE(年度,6+1,1)))</f>
        <v>0</v>
      </c>
      <c r="BQ37" s="186">
        <f>IF($B37="",0,SUMIFS(采购进货!$G$4:$G$1503,采购进货!$D$4:$D$1503,$B37,采购进货!$B$4:$B$1503,"&gt;="&amp;DATE(年度,6,1),采购进货!$B$4:$B$1503,"&lt;"&amp;DATE(年度,6+1,1)))</f>
        <v>0</v>
      </c>
      <c r="BR37" s="234">
        <f>BM37+BP37</f>
        <v>0</v>
      </c>
      <c r="BS37" s="235">
        <f>BN37+BQ37</f>
        <v>0</v>
      </c>
      <c r="BT37" s="222">
        <f>IF(AND(BR37&gt;0,BS37&gt;0),BS37/BR37,N($E37))</f>
        <v>0</v>
      </c>
      <c r="BU37" s="220">
        <f>IF($B37="",0,SUMIFS(出库明细!$E$4:$E$3003,出库明细!$D$4:$D$3003,$B37,出库明细!$B$4:$B$3003,"&gt;="&amp;DATE(年度,6,1),出库明细!$B$4:$B$3003,"&lt;"&amp;DATE(年度,6+1,1)))</f>
        <v>0</v>
      </c>
      <c r="BV37" s="186">
        <f>BU37*BT37</f>
        <v>0</v>
      </c>
      <c r="BW37" s="220">
        <f>_辅助!BR35</f>
        <v>0</v>
      </c>
      <c r="BX37" s="186">
        <f>_辅助!AH35</f>
        <v>0</v>
      </c>
      <c r="BY37" s="221">
        <f>BR37-BU37-BW37</f>
        <v>0</v>
      </c>
      <c r="BZ37" s="187">
        <f>BS37-BV37-BX37</f>
        <v>0</v>
      </c>
      <c r="CA37" s="236">
        <f>IF(AND(BR37&gt;0,BS37&gt;0),0,BV37)</f>
        <v>0</v>
      </c>
      <c r="CB37" s="220">
        <f>IF($B37="",0,SUMIFS(采购进货!$E$4:$E$1503,采购进货!$D$4:$D$1503,$B37,采购进货!$B$4:$B$1503,"&gt;="&amp;DATE(年度,7,1),采购进货!$B$4:$B$1503,"&lt;"&amp;DATE(年度,7+1,1))+SUMIFS(采购进货!$H$4:$H$1503,采购进货!$D$4:$D$1503,$B37,采购进货!$B$4:$B$1503,"&gt;="&amp;DATE(年度,7,1),采购进货!$B$4:$B$1503,"&lt;"&amp;DATE(年度,7+1,1)))</f>
        <v>0</v>
      </c>
      <c r="CC37" s="186">
        <f>IF($B37="",0,SUMIFS(采购进货!$G$4:$G$1503,采购进货!$D$4:$D$1503,$B37,采购进货!$B$4:$B$1503,"&gt;="&amp;DATE(年度,7,1),采购进货!$B$4:$B$1503,"&lt;"&amp;DATE(年度,7+1,1)))</f>
        <v>0</v>
      </c>
      <c r="CD37" s="234">
        <f>BY37+CB37</f>
        <v>0</v>
      </c>
      <c r="CE37" s="235">
        <f>BZ37+CC37</f>
        <v>0</v>
      </c>
      <c r="CF37" s="222">
        <f>IF(AND(CD37&gt;0,CE37&gt;0),CE37/CD37,N($E37))</f>
        <v>0</v>
      </c>
      <c r="CG37" s="220">
        <f>IF($B37="",0,SUMIFS(出库明细!$E$4:$E$3003,出库明细!$D$4:$D$3003,$B37,出库明细!$B$4:$B$3003,"&gt;="&amp;DATE(年度,7,1),出库明细!$B$4:$B$3003,"&lt;"&amp;DATE(年度,7+1,1)))</f>
        <v>0</v>
      </c>
      <c r="CH37" s="186">
        <f>CG37*CF37</f>
        <v>0</v>
      </c>
      <c r="CI37" s="220">
        <f>_辅助!BS35</f>
        <v>0</v>
      </c>
      <c r="CJ37" s="186">
        <f>_辅助!AI35</f>
        <v>0</v>
      </c>
      <c r="CK37" s="221">
        <f>CD37-CG37-CI37</f>
        <v>0</v>
      </c>
      <c r="CL37" s="187">
        <f>CE37-CH37-CJ37</f>
        <v>0</v>
      </c>
      <c r="CM37" s="236">
        <f>IF(AND(CD37&gt;0,CE37&gt;0),0,CH37)</f>
        <v>0</v>
      </c>
      <c r="CN37" s="220">
        <f>IF($B37="",0,SUMIFS(采购进货!$E$4:$E$1503,采购进货!$D$4:$D$1503,$B37,采购进货!$B$4:$B$1503,"&gt;="&amp;DATE(年度,8,1),采购进货!$B$4:$B$1503,"&lt;"&amp;DATE(年度,8+1,1))+SUMIFS(采购进货!$H$4:$H$1503,采购进货!$D$4:$D$1503,$B37,采购进货!$B$4:$B$1503,"&gt;="&amp;DATE(年度,8,1),采购进货!$B$4:$B$1503,"&lt;"&amp;DATE(年度,8+1,1)))</f>
        <v>0</v>
      </c>
      <c r="CO37" s="186">
        <f>IF($B37="",0,SUMIFS(采购进货!$G$4:$G$1503,采购进货!$D$4:$D$1503,$B37,采购进货!$B$4:$B$1503,"&gt;="&amp;DATE(年度,8,1),采购进货!$B$4:$B$1503,"&lt;"&amp;DATE(年度,8+1,1)))</f>
        <v>0</v>
      </c>
      <c r="CP37" s="234">
        <f>CK37+CN37</f>
        <v>0</v>
      </c>
      <c r="CQ37" s="235">
        <f>CL37+CO37</f>
        <v>0</v>
      </c>
      <c r="CR37" s="222">
        <f>IF(AND(CP37&gt;0,CQ37&gt;0),CQ37/CP37,N($E37))</f>
        <v>0</v>
      </c>
      <c r="CS37" s="220">
        <f>IF($B37="",0,SUMIFS(出库明细!$E$4:$E$3003,出库明细!$D$4:$D$3003,$B37,出库明细!$B$4:$B$3003,"&gt;="&amp;DATE(年度,8,1),出库明细!$B$4:$B$3003,"&lt;"&amp;DATE(年度,8+1,1)))</f>
        <v>0</v>
      </c>
      <c r="CT37" s="186">
        <f>CS37*CR37</f>
        <v>0</v>
      </c>
      <c r="CU37" s="220">
        <f>_辅助!BT35</f>
        <v>0</v>
      </c>
      <c r="CV37" s="186">
        <f>_辅助!AJ35</f>
        <v>0</v>
      </c>
      <c r="CW37" s="221">
        <f>CP37-CS37-CU37</f>
        <v>0</v>
      </c>
      <c r="CX37" s="187">
        <f>CQ37-CT37-CV37</f>
        <v>0</v>
      </c>
      <c r="CY37" s="236">
        <f>IF(AND(CP37&gt;0,CQ37&gt;0),0,CT37)</f>
        <v>0</v>
      </c>
      <c r="CZ37" s="220">
        <f>IF($B37="",0,SUMIFS(采购进货!$E$4:$E$1503,采购进货!$D$4:$D$1503,$B37,采购进货!$B$4:$B$1503,"&gt;="&amp;DATE(年度,9,1),采购进货!$B$4:$B$1503,"&lt;"&amp;DATE(年度,9+1,1))+SUMIFS(采购进货!$H$4:$H$1503,采购进货!$D$4:$D$1503,$B37,采购进货!$B$4:$B$1503,"&gt;="&amp;DATE(年度,9,1),采购进货!$B$4:$B$1503,"&lt;"&amp;DATE(年度,9+1,1)))</f>
        <v>0</v>
      </c>
      <c r="DA37" s="186">
        <f>IF($B37="",0,SUMIFS(采购进货!$G$4:$G$1503,采购进货!$D$4:$D$1503,$B37,采购进货!$B$4:$B$1503,"&gt;="&amp;DATE(年度,9,1),采购进货!$B$4:$B$1503,"&lt;"&amp;DATE(年度,9+1,1)))</f>
        <v>0</v>
      </c>
      <c r="DB37" s="234">
        <f>CW37+CZ37</f>
        <v>0</v>
      </c>
      <c r="DC37" s="235">
        <f>CX37+DA37</f>
        <v>0</v>
      </c>
      <c r="DD37" s="222">
        <f>IF(AND(DB37&gt;0,DC37&gt;0),DC37/DB37,N($E37))</f>
        <v>0</v>
      </c>
      <c r="DE37" s="220">
        <f>IF($B37="",0,SUMIFS(出库明细!$E$4:$E$3003,出库明细!$D$4:$D$3003,$B37,出库明细!$B$4:$B$3003,"&gt;="&amp;DATE(年度,9,1),出库明细!$B$4:$B$3003,"&lt;"&amp;DATE(年度,9+1,1)))</f>
        <v>0</v>
      </c>
      <c r="DF37" s="186">
        <f>DE37*DD37</f>
        <v>0</v>
      </c>
      <c r="DG37" s="220">
        <f>_辅助!BU35</f>
        <v>0</v>
      </c>
      <c r="DH37" s="186">
        <f>_辅助!AK35</f>
        <v>0</v>
      </c>
      <c r="DI37" s="221">
        <f>DB37-DE37-DG37</f>
        <v>0</v>
      </c>
      <c r="DJ37" s="187">
        <f>DC37-DF37-DH37</f>
        <v>0</v>
      </c>
      <c r="DK37" s="236">
        <f>IF(AND(DB37&gt;0,DC37&gt;0),0,DF37)</f>
        <v>0</v>
      </c>
      <c r="DL37" s="220">
        <f>IF($B37="",0,SUMIFS(采购进货!$E$4:$E$1503,采购进货!$D$4:$D$1503,$B37,采购进货!$B$4:$B$1503,"&gt;="&amp;DATE(年度,10,1),采购进货!$B$4:$B$1503,"&lt;"&amp;DATE(年度,10+1,1))+SUMIFS(采购进货!$H$4:$H$1503,采购进货!$D$4:$D$1503,$B37,采购进货!$B$4:$B$1503,"&gt;="&amp;DATE(年度,10,1),采购进货!$B$4:$B$1503,"&lt;"&amp;DATE(年度,10+1,1)))</f>
        <v>0</v>
      </c>
      <c r="DM37" s="186">
        <f>IF($B37="",0,SUMIFS(采购进货!$G$4:$G$1503,采购进货!$D$4:$D$1503,$B37,采购进货!$B$4:$B$1503,"&gt;="&amp;DATE(年度,10,1),采购进货!$B$4:$B$1503,"&lt;"&amp;DATE(年度,10+1,1)))</f>
        <v>0</v>
      </c>
      <c r="DN37" s="234">
        <f>DI37+DL37</f>
        <v>0</v>
      </c>
      <c r="DO37" s="235">
        <f>DJ37+DM37</f>
        <v>0</v>
      </c>
      <c r="DP37" s="222">
        <f>IF(AND(DN37&gt;0,DO37&gt;0),DO37/DN37,N($E37))</f>
        <v>0</v>
      </c>
      <c r="DQ37" s="220">
        <f>IF($B37="",0,SUMIFS(出库明细!$E$4:$E$3003,出库明细!$D$4:$D$3003,$B37,出库明细!$B$4:$B$3003,"&gt;="&amp;DATE(年度,10,1),出库明细!$B$4:$B$3003,"&lt;"&amp;DATE(年度,10+1,1)))</f>
        <v>0</v>
      </c>
      <c r="DR37" s="186">
        <f>DQ37*DP37</f>
        <v>0</v>
      </c>
      <c r="DS37" s="220">
        <f>_辅助!BV35</f>
        <v>0</v>
      </c>
      <c r="DT37" s="186">
        <f>_辅助!AL35</f>
        <v>0</v>
      </c>
      <c r="DU37" s="221">
        <f>DN37-DQ37-DS37</f>
        <v>0</v>
      </c>
      <c r="DV37" s="187">
        <f>DO37-DR37-DT37</f>
        <v>0</v>
      </c>
      <c r="DW37" s="236">
        <f>IF(AND(DN37&gt;0,DO37&gt;0),0,DR37)</f>
        <v>0</v>
      </c>
      <c r="DX37" s="220">
        <f>IF($B37="",0,SUMIFS(采购进货!$E$4:$E$1503,采购进货!$D$4:$D$1503,$B37,采购进货!$B$4:$B$1503,"&gt;="&amp;DATE(年度,11,1),采购进货!$B$4:$B$1503,"&lt;"&amp;DATE(年度,11+1,1))+SUMIFS(采购进货!$H$4:$H$1503,采购进货!$D$4:$D$1503,$B37,采购进货!$B$4:$B$1503,"&gt;="&amp;DATE(年度,11,1),采购进货!$B$4:$B$1503,"&lt;"&amp;DATE(年度,11+1,1)))</f>
        <v>0</v>
      </c>
      <c r="DY37" s="186">
        <f>IF($B37="",0,SUMIFS(采购进货!$G$4:$G$1503,采购进货!$D$4:$D$1503,$B37,采购进货!$B$4:$B$1503,"&gt;="&amp;DATE(年度,11,1),采购进货!$B$4:$B$1503,"&lt;"&amp;DATE(年度,11+1,1)))</f>
        <v>0</v>
      </c>
      <c r="DZ37" s="234">
        <f>DU37+DX37</f>
        <v>0</v>
      </c>
      <c r="EA37" s="235">
        <f>DV37+DY37</f>
        <v>0</v>
      </c>
      <c r="EB37" s="222">
        <f>IF(AND(DZ37&gt;0,EA37&gt;0),EA37/DZ37,N($E37))</f>
        <v>0</v>
      </c>
      <c r="EC37" s="220">
        <f>IF($B37="",0,SUMIFS(出库明细!$E$4:$E$3003,出库明细!$D$4:$D$3003,$B37,出库明细!$B$4:$B$3003,"&gt;="&amp;DATE(年度,11,1),出库明细!$B$4:$B$3003,"&lt;"&amp;DATE(年度,11+1,1)))</f>
        <v>0</v>
      </c>
      <c r="ED37" s="186">
        <f>EC37*EB37</f>
        <v>0</v>
      </c>
      <c r="EE37" s="220">
        <f>_辅助!BW35</f>
        <v>0</v>
      </c>
      <c r="EF37" s="186">
        <f>_辅助!AM35</f>
        <v>0</v>
      </c>
      <c r="EG37" s="221">
        <f>DZ37-EC37-EE37</f>
        <v>0</v>
      </c>
      <c r="EH37" s="187">
        <f>EA37-ED37-EF37</f>
        <v>0</v>
      </c>
      <c r="EI37" s="236">
        <f>IF(AND(DZ37&gt;0,EA37&gt;0),0,ED37)</f>
        <v>0</v>
      </c>
      <c r="EJ37" s="220">
        <f>IF($B37="",0,SUMIFS(采购进货!$E$4:$E$1503,采购进货!$D$4:$D$1503,$B37,采购进货!$B$4:$B$1503,"&gt;="&amp;DATE(年度,12,1),采购进货!$B$4:$B$1503,"&lt;"&amp;DATE(年度,12+1,1))+SUMIFS(采购进货!$H$4:$H$1503,采购进货!$D$4:$D$1503,$B37,采购进货!$B$4:$B$1503,"&gt;="&amp;DATE(年度,12,1),采购进货!$B$4:$B$1503,"&lt;"&amp;DATE(年度,12+1,1)))</f>
        <v>0</v>
      </c>
      <c r="EK37" s="186">
        <f>IF($B37="",0,SUMIFS(采购进货!$G$4:$G$1503,采购进货!$D$4:$D$1503,$B37,采购进货!$B$4:$B$1503,"&gt;="&amp;DATE(年度,12,1),采购进货!$B$4:$B$1503,"&lt;"&amp;DATE(年度,12+1,1)))</f>
        <v>0</v>
      </c>
      <c r="EL37" s="234">
        <f>EG37+EJ37</f>
        <v>0</v>
      </c>
      <c r="EM37" s="235">
        <f>EH37+EK37</f>
        <v>0</v>
      </c>
      <c r="EN37" s="222">
        <f>IF(AND(EL37&gt;0,EM37&gt;0),EM37/EL37,N($E37))</f>
        <v>0</v>
      </c>
      <c r="EO37" s="220">
        <f>IF($B37="",0,SUMIFS(出库明细!$E$4:$E$3003,出库明细!$D$4:$D$3003,$B37,出库明细!$B$4:$B$3003,"&gt;="&amp;DATE(年度,12,1),出库明细!$B$4:$B$3003,"&lt;"&amp;DATE(年度,12+1,1)))</f>
        <v>0</v>
      </c>
      <c r="EP37" s="186">
        <f>EO37*EN37</f>
        <v>0</v>
      </c>
      <c r="EQ37" s="220">
        <f>_辅助!BX35</f>
        <v>0</v>
      </c>
      <c r="ER37" s="186">
        <f>_辅助!AN35</f>
        <v>0</v>
      </c>
      <c r="ES37" s="221">
        <f>EL37-EO37-EQ37</f>
        <v>0</v>
      </c>
      <c r="ET37" s="187">
        <f>EM37-EP37-ER37</f>
        <v>0</v>
      </c>
      <c r="EU37" s="236">
        <f>IF(AND(EL37&gt;0,EM37&gt;0),0,EP37)</f>
        <v>0</v>
      </c>
    </row>
    <row r="38">
      <c r="A38" s="194">
        <f>IF(B38="","",ROW()-7)</f>
        <v>31</v>
      </c>
      <c r="B38" s="141" t="str">
        <f>IF(基础资料!E35="","",基础资料!E35&amp;"")</f>
        <v>农夫1.25L果园</v>
      </c>
      <c r="C38" s="230" t="str">
        <f>IF(基础资料!G35="","",基础资料!G35&amp;"")</f>
        <v>农夫1.25L果园</v>
      </c>
      <c r="D38" s="194">
        <f>IF(基础资料!I35="","",基础资料!I35)</f>
        <v>6</v>
      </c>
      <c r="E38" s="231">
        <f>IF(基础资料!J35="","",基础资料!J35)</f>
        <v>38.5</v>
      </c>
      <c r="F38" s="232">
        <f>N(基础资料!L35)</f>
        <v>0</v>
      </c>
      <c r="G38" s="233">
        <f>IF(基础资料!N35="",0,基础资料!N35)</f>
        <v>0</v>
      </c>
      <c r="H38" s="220">
        <f>IF($B38="",0,SUMIFS(采购进货!$E$4:$E$1503,采购进货!$D$4:$D$1503,$B38,采购进货!$B$4:$B$1503,"&gt;="&amp;DATE(年度,1,1),采购进货!$B$4:$B$1503,"&lt;"&amp;DATE(年度,1+1,1))+SUMIFS(采购进货!$H$4:$H$1503,采购进货!$D$4:$D$1503,$B38,采购进货!$B$4:$B$1503,"&gt;="&amp;DATE(年度,1,1),采购进货!$B$4:$B$1503,"&lt;"&amp;DATE(年度,1+1,1)))</f>
        <v>0</v>
      </c>
      <c r="I38" s="186">
        <f>IF($B38="",0,SUMIFS(采购进货!$G$4:$G$1503,采购进货!$D$4:$D$1503,$B38,采购进货!$B$4:$B$1503,"&gt;="&amp;DATE(年度,1,1),采购进货!$B$4:$B$1503,"&lt;"&amp;DATE(年度,1+1,1)))</f>
        <v>0</v>
      </c>
      <c r="J38" s="234">
        <f>F38+H38</f>
        <v>0</v>
      </c>
      <c r="K38" s="235">
        <f>G38+I38</f>
        <v>0</v>
      </c>
      <c r="L38" s="222">
        <f>IF(AND(J38&gt;0,K38&gt;0),K38/J38,N($E38))</f>
        <v>38.5</v>
      </c>
      <c r="M38" s="220">
        <f>IF($B38="",0,SUMIFS(出库明细!$E$4:$E$3003,出库明细!$D$4:$D$3003,$B38,出库明细!$B$4:$B$3003,"&gt;="&amp;DATE(年度,1,1),出库明细!$B$4:$B$3003,"&lt;"&amp;DATE(年度,1+1,1)))</f>
        <v>0</v>
      </c>
      <c r="N38" s="186">
        <f>M38*L38</f>
        <v>0</v>
      </c>
      <c r="O38" s="220">
        <f>_辅助!BM36</f>
        <v>0</v>
      </c>
      <c r="P38" s="186">
        <f>_辅助!AC36</f>
        <v>0</v>
      </c>
      <c r="Q38" s="221">
        <f>J38-M38-O38</f>
        <v>0</v>
      </c>
      <c r="R38" s="187">
        <f>K38-N38-P38</f>
        <v>0</v>
      </c>
      <c r="S38" s="236">
        <f>IF(AND(J38&gt;0,K38&gt;0),0,N38)</f>
        <v>0</v>
      </c>
      <c r="T38" s="220">
        <f>IF($B38="",0,SUMIFS(采购进货!$E$4:$E$1503,采购进货!$D$4:$D$1503,$B38,采购进货!$B$4:$B$1503,"&gt;="&amp;DATE(年度,2,1),采购进货!$B$4:$B$1503,"&lt;"&amp;DATE(年度,2+1,1))+SUMIFS(采购进货!$H$4:$H$1503,采购进货!$D$4:$D$1503,$B38,采购进货!$B$4:$B$1503,"&gt;="&amp;DATE(年度,2,1),采购进货!$B$4:$B$1503,"&lt;"&amp;DATE(年度,2+1,1)))</f>
        <v>0</v>
      </c>
      <c r="U38" s="186">
        <f>IF($B38="",0,SUMIFS(采购进货!$G$4:$G$1503,采购进货!$D$4:$D$1503,$B38,采购进货!$B$4:$B$1503,"&gt;="&amp;DATE(年度,2,1),采购进货!$B$4:$B$1503,"&lt;"&amp;DATE(年度,2+1,1)))</f>
        <v>0</v>
      </c>
      <c r="V38" s="234">
        <f>Q38+T38</f>
        <v>0</v>
      </c>
      <c r="W38" s="235">
        <f>R38+U38</f>
        <v>0</v>
      </c>
      <c r="X38" s="222">
        <f>IF(AND(V38&gt;0,W38&gt;0),W38/V38,N($E38))</f>
        <v>38.5</v>
      </c>
      <c r="Y38" s="220">
        <f>IF($B38="",0,SUMIFS(出库明细!$E$4:$E$3003,出库明细!$D$4:$D$3003,$B38,出库明细!$B$4:$B$3003,"&gt;="&amp;DATE(年度,2,1),出库明细!$B$4:$B$3003,"&lt;"&amp;DATE(年度,2+1,1)))</f>
        <v>0</v>
      </c>
      <c r="Z38" s="186">
        <f>Y38*X38</f>
        <v>0</v>
      </c>
      <c r="AA38" s="220">
        <f>_辅助!BN36</f>
        <v>0</v>
      </c>
      <c r="AB38" s="186">
        <f>_辅助!AD36</f>
        <v>0</v>
      </c>
      <c r="AC38" s="221">
        <f>V38-Y38-AA38</f>
        <v>0</v>
      </c>
      <c r="AD38" s="187">
        <f>W38-Z38-AB38</f>
        <v>0</v>
      </c>
      <c r="AE38" s="236">
        <f>IF(AND(V38&gt;0,W38&gt;0),0,Z38)</f>
        <v>0</v>
      </c>
      <c r="AF38" s="220">
        <f>IF($B38="",0,SUMIFS(采购进货!$E$4:$E$1503,采购进货!$D$4:$D$1503,$B38,采购进货!$B$4:$B$1503,"&gt;="&amp;DATE(年度,3,1),采购进货!$B$4:$B$1503,"&lt;"&amp;DATE(年度,3+1,1))+SUMIFS(采购进货!$H$4:$H$1503,采购进货!$D$4:$D$1503,$B38,采购进货!$B$4:$B$1503,"&gt;="&amp;DATE(年度,3,1),采购进货!$B$4:$B$1503,"&lt;"&amp;DATE(年度,3+1,1)))</f>
        <v>0</v>
      </c>
      <c r="AG38" s="186">
        <f>IF($B38="",0,SUMIFS(采购进货!$G$4:$G$1503,采购进货!$D$4:$D$1503,$B38,采购进货!$B$4:$B$1503,"&gt;="&amp;DATE(年度,3,1),采购进货!$B$4:$B$1503,"&lt;"&amp;DATE(年度,3+1,1)))</f>
        <v>0</v>
      </c>
      <c r="AH38" s="234">
        <f>AC38+AF38</f>
        <v>0</v>
      </c>
      <c r="AI38" s="235">
        <f>AD38+AG38</f>
        <v>0</v>
      </c>
      <c r="AJ38" s="222">
        <f>IF(AND(AH38&gt;0,AI38&gt;0),AI38/AH38,N($E38))</f>
        <v>38.5</v>
      </c>
      <c r="AK38" s="220">
        <f>IF($B38="",0,SUMIFS(出库明细!$E$4:$E$3003,出库明细!$D$4:$D$3003,$B38,出库明细!$B$4:$B$3003,"&gt;="&amp;DATE(年度,3,1),出库明细!$B$4:$B$3003,"&lt;"&amp;DATE(年度,3+1,1)))</f>
        <v>0</v>
      </c>
      <c r="AL38" s="186">
        <f>AK38*AJ38</f>
        <v>0</v>
      </c>
      <c r="AM38" s="220">
        <f>_辅助!BO36</f>
        <v>0</v>
      </c>
      <c r="AN38" s="186">
        <f>_辅助!AE36</f>
        <v>0</v>
      </c>
      <c r="AO38" s="221">
        <f>AH38-AK38-AM38</f>
        <v>0</v>
      </c>
      <c r="AP38" s="187">
        <f>AI38-AL38-AN38</f>
        <v>0</v>
      </c>
      <c r="AQ38" s="236">
        <f>IF(AND(AH38&gt;0,AI38&gt;0),0,AL38)</f>
        <v>0</v>
      </c>
      <c r="AR38" s="220">
        <f>IF($B38="",0,SUMIFS(采购进货!$E$4:$E$1503,采购进货!$D$4:$D$1503,$B38,采购进货!$B$4:$B$1503,"&gt;="&amp;DATE(年度,4,1),采购进货!$B$4:$B$1503,"&lt;"&amp;DATE(年度,4+1,1))+SUMIFS(采购进货!$H$4:$H$1503,采购进货!$D$4:$D$1503,$B38,采购进货!$B$4:$B$1503,"&gt;="&amp;DATE(年度,4,1),采购进货!$B$4:$B$1503,"&lt;"&amp;DATE(年度,4+1,1)))</f>
        <v>0</v>
      </c>
      <c r="AS38" s="186">
        <f>IF($B38="",0,SUMIFS(采购进货!$G$4:$G$1503,采购进货!$D$4:$D$1503,$B38,采购进货!$B$4:$B$1503,"&gt;="&amp;DATE(年度,4,1),采购进货!$B$4:$B$1503,"&lt;"&amp;DATE(年度,4+1,1)))</f>
        <v>0</v>
      </c>
      <c r="AT38" s="234">
        <f>AO38+AR38</f>
        <v>0</v>
      </c>
      <c r="AU38" s="235">
        <f>AP38+AS38</f>
        <v>0</v>
      </c>
      <c r="AV38" s="222">
        <f>IF(AND(AT38&gt;0,AU38&gt;0),AU38/AT38,N($E38))</f>
        <v>38.5</v>
      </c>
      <c r="AW38" s="220">
        <f>IF($B38="",0,SUMIFS(出库明细!$E$4:$E$3003,出库明细!$D$4:$D$3003,$B38,出库明细!$B$4:$B$3003,"&gt;="&amp;DATE(年度,4,1),出库明细!$B$4:$B$3003,"&lt;"&amp;DATE(年度,4+1,1)))</f>
        <v>0</v>
      </c>
      <c r="AX38" s="186">
        <f>AW38*AV38</f>
        <v>0</v>
      </c>
      <c r="AY38" s="220">
        <f>_辅助!BP36</f>
        <v>0</v>
      </c>
      <c r="AZ38" s="186">
        <f>_辅助!AF36</f>
        <v>0</v>
      </c>
      <c r="BA38" s="221">
        <f>AT38-AW38-AY38</f>
        <v>0</v>
      </c>
      <c r="BB38" s="187">
        <f>AU38-AX38-AZ38</f>
        <v>0</v>
      </c>
      <c r="BC38" s="236">
        <f>IF(AND(AT38&gt;0,AU38&gt;0),0,AX38)</f>
        <v>0</v>
      </c>
      <c r="BD38" s="220">
        <f>IF($B38="",0,SUMIFS(采购进货!$E$4:$E$1503,采购进货!$D$4:$D$1503,$B38,采购进货!$B$4:$B$1503,"&gt;="&amp;DATE(年度,5,1),采购进货!$B$4:$B$1503,"&lt;"&amp;DATE(年度,5+1,1))+SUMIFS(采购进货!$H$4:$H$1503,采购进货!$D$4:$D$1503,$B38,采购进货!$B$4:$B$1503,"&gt;="&amp;DATE(年度,5,1),采购进货!$B$4:$B$1503,"&lt;"&amp;DATE(年度,5+1,1)))</f>
        <v>0</v>
      </c>
      <c r="BE38" s="186">
        <f>IF($B38="",0,SUMIFS(采购进货!$G$4:$G$1503,采购进货!$D$4:$D$1503,$B38,采购进货!$B$4:$B$1503,"&gt;="&amp;DATE(年度,5,1),采购进货!$B$4:$B$1503,"&lt;"&amp;DATE(年度,5+1,1)))</f>
        <v>0</v>
      </c>
      <c r="BF38" s="234">
        <f>BA38+BD38</f>
        <v>0</v>
      </c>
      <c r="BG38" s="235">
        <f>BB38+BE38</f>
        <v>0</v>
      </c>
      <c r="BH38" s="222">
        <f>IF(AND(BF38&gt;0,BG38&gt;0),BG38/BF38,N($E38))</f>
        <v>38.5</v>
      </c>
      <c r="BI38" s="220">
        <f>IF($B38="",0,SUMIFS(出库明细!$E$4:$E$3003,出库明细!$D$4:$D$3003,$B38,出库明细!$B$4:$B$3003,"&gt;="&amp;DATE(年度,5,1),出库明细!$B$4:$B$3003,"&lt;"&amp;DATE(年度,5+1,1)))</f>
        <v>0</v>
      </c>
      <c r="BJ38" s="186">
        <f>BI38*BH38</f>
        <v>0</v>
      </c>
      <c r="BK38" s="220">
        <f>_辅助!BQ36</f>
        <v>0</v>
      </c>
      <c r="BL38" s="186">
        <f>_辅助!AG36</f>
        <v>0</v>
      </c>
      <c r="BM38" s="221">
        <f>BF38-BI38-BK38</f>
        <v>0</v>
      </c>
      <c r="BN38" s="187">
        <f>BG38-BJ38-BL38</f>
        <v>0</v>
      </c>
      <c r="BO38" s="236">
        <f>IF(AND(BF38&gt;0,BG38&gt;0),0,BJ38)</f>
        <v>0</v>
      </c>
      <c r="BP38" s="220">
        <f>IF($B38="",0,SUMIFS(采购进货!$E$4:$E$1503,采购进货!$D$4:$D$1503,$B38,采购进货!$B$4:$B$1503,"&gt;="&amp;DATE(年度,6,1),采购进货!$B$4:$B$1503,"&lt;"&amp;DATE(年度,6+1,1))+SUMIFS(采购进货!$H$4:$H$1503,采购进货!$D$4:$D$1503,$B38,采购进货!$B$4:$B$1503,"&gt;="&amp;DATE(年度,6,1),采购进货!$B$4:$B$1503,"&lt;"&amp;DATE(年度,6+1,1)))</f>
        <v>0</v>
      </c>
      <c r="BQ38" s="186">
        <f>IF($B38="",0,SUMIFS(采购进货!$G$4:$G$1503,采购进货!$D$4:$D$1503,$B38,采购进货!$B$4:$B$1503,"&gt;="&amp;DATE(年度,6,1),采购进货!$B$4:$B$1503,"&lt;"&amp;DATE(年度,6+1,1)))</f>
        <v>0</v>
      </c>
      <c r="BR38" s="234">
        <f>BM38+BP38</f>
        <v>0</v>
      </c>
      <c r="BS38" s="235">
        <f>BN38+BQ38</f>
        <v>0</v>
      </c>
      <c r="BT38" s="222">
        <f>IF(AND(BR38&gt;0,BS38&gt;0),BS38/BR38,N($E38))</f>
        <v>38.5</v>
      </c>
      <c r="BU38" s="220">
        <f>IF($B38="",0,SUMIFS(出库明细!$E$4:$E$3003,出库明细!$D$4:$D$3003,$B38,出库明细!$B$4:$B$3003,"&gt;="&amp;DATE(年度,6,1),出库明细!$B$4:$B$3003,"&lt;"&amp;DATE(年度,6+1,1)))</f>
        <v>0</v>
      </c>
      <c r="BV38" s="186">
        <f>BU38*BT38</f>
        <v>0</v>
      </c>
      <c r="BW38" s="220">
        <f>_辅助!BR36</f>
        <v>1.83333333333333</v>
      </c>
      <c r="BX38" s="186">
        <f>_辅助!AH36</f>
        <v>0</v>
      </c>
      <c r="BY38" s="221">
        <f>BR38-BU38-BW38</f>
        <v>-1.83333333333333</v>
      </c>
      <c r="BZ38" s="187">
        <f>BS38-BV38-BX38</f>
        <v>0</v>
      </c>
      <c r="CA38" s="236">
        <f>IF(AND(BR38&gt;0,BS38&gt;0),0,BV38)</f>
        <v>0</v>
      </c>
      <c r="CB38" s="220">
        <f>IF($B38="",0,SUMIFS(采购进货!$E$4:$E$1503,采购进货!$D$4:$D$1503,$B38,采购进货!$B$4:$B$1503,"&gt;="&amp;DATE(年度,7,1),采购进货!$B$4:$B$1503,"&lt;"&amp;DATE(年度,7+1,1))+SUMIFS(采购进货!$H$4:$H$1503,采购进货!$D$4:$D$1503,$B38,采购进货!$B$4:$B$1503,"&gt;="&amp;DATE(年度,7,1),采购进货!$B$4:$B$1503,"&lt;"&amp;DATE(年度,7+1,1)))</f>
        <v>0</v>
      </c>
      <c r="CC38" s="186">
        <f>IF($B38="",0,SUMIFS(采购进货!$G$4:$G$1503,采购进货!$D$4:$D$1503,$B38,采购进货!$B$4:$B$1503,"&gt;="&amp;DATE(年度,7,1),采购进货!$B$4:$B$1503,"&lt;"&amp;DATE(年度,7+1,1)))</f>
        <v>0</v>
      </c>
      <c r="CD38" s="234">
        <f>BY38+CB38</f>
        <v>-1.83333333333333</v>
      </c>
      <c r="CE38" s="235">
        <f>BZ38+CC38</f>
        <v>0</v>
      </c>
      <c r="CF38" s="222">
        <f>IF(AND(CD38&gt;0,CE38&gt;0),CE38/CD38,N($E38))</f>
        <v>38.5</v>
      </c>
      <c r="CG38" s="220">
        <f>IF($B38="",0,SUMIFS(出库明细!$E$4:$E$3003,出库明细!$D$4:$D$3003,$B38,出库明细!$B$4:$B$3003,"&gt;="&amp;DATE(年度,7,1),出库明细!$B$4:$B$3003,"&lt;"&amp;DATE(年度,7+1,1)))</f>
        <v>0</v>
      </c>
      <c r="CH38" s="186">
        <f>CG38*CF38</f>
        <v>0</v>
      </c>
      <c r="CI38" s="220">
        <f>_辅助!BS36</f>
        <v>0</v>
      </c>
      <c r="CJ38" s="186">
        <f>_辅助!AI36</f>
        <v>0</v>
      </c>
      <c r="CK38" s="221">
        <f>CD38-CG38-CI38</f>
        <v>-1.83333333333333</v>
      </c>
      <c r="CL38" s="187">
        <f>CE38-CH38-CJ38</f>
        <v>0</v>
      </c>
      <c r="CM38" s="236">
        <f>IF(AND(CD38&gt;0,CE38&gt;0),0,CH38)</f>
        <v>0</v>
      </c>
      <c r="CN38" s="220">
        <f>IF($B38="",0,SUMIFS(采购进货!$E$4:$E$1503,采购进货!$D$4:$D$1503,$B38,采购进货!$B$4:$B$1503,"&gt;="&amp;DATE(年度,8,1),采购进货!$B$4:$B$1503,"&lt;"&amp;DATE(年度,8+1,1))+SUMIFS(采购进货!$H$4:$H$1503,采购进货!$D$4:$D$1503,$B38,采购进货!$B$4:$B$1503,"&gt;="&amp;DATE(年度,8,1),采购进货!$B$4:$B$1503,"&lt;"&amp;DATE(年度,8+1,1)))</f>
        <v>0</v>
      </c>
      <c r="CO38" s="186">
        <f>IF($B38="",0,SUMIFS(采购进货!$G$4:$G$1503,采购进货!$D$4:$D$1503,$B38,采购进货!$B$4:$B$1503,"&gt;="&amp;DATE(年度,8,1),采购进货!$B$4:$B$1503,"&lt;"&amp;DATE(年度,8+1,1)))</f>
        <v>0</v>
      </c>
      <c r="CP38" s="234">
        <f>CK38+CN38</f>
        <v>-1.83333333333333</v>
      </c>
      <c r="CQ38" s="235">
        <f>CL38+CO38</f>
        <v>0</v>
      </c>
      <c r="CR38" s="222">
        <f>IF(AND(CP38&gt;0,CQ38&gt;0),CQ38/CP38,N($E38))</f>
        <v>38.5</v>
      </c>
      <c r="CS38" s="220">
        <f>IF($B38="",0,SUMIFS(出库明细!$E$4:$E$3003,出库明细!$D$4:$D$3003,$B38,出库明细!$B$4:$B$3003,"&gt;="&amp;DATE(年度,8,1),出库明细!$B$4:$B$3003,"&lt;"&amp;DATE(年度,8+1,1)))</f>
        <v>0</v>
      </c>
      <c r="CT38" s="186">
        <f>CS38*CR38</f>
        <v>0</v>
      </c>
      <c r="CU38" s="220">
        <f>_辅助!BT36</f>
        <v>1.33333333333333</v>
      </c>
      <c r="CV38" s="186">
        <f>_辅助!AJ36</f>
        <v>51.333336</v>
      </c>
      <c r="CW38" s="221">
        <f>CP38-CS38-CU38</f>
        <v>-3.16666666666667</v>
      </c>
      <c r="CX38" s="187">
        <f>CQ38-CT38-CV38</f>
        <v>-51.333336</v>
      </c>
      <c r="CY38" s="236">
        <f>IF(AND(CP38&gt;0,CQ38&gt;0),0,CT38)</f>
        <v>0</v>
      </c>
      <c r="CZ38" s="220">
        <f>IF($B38="",0,SUMIFS(采购进货!$E$4:$E$1503,采购进货!$D$4:$D$1503,$B38,采购进货!$B$4:$B$1503,"&gt;="&amp;DATE(年度,9,1),采购进货!$B$4:$B$1503,"&lt;"&amp;DATE(年度,9+1,1))+SUMIFS(采购进货!$H$4:$H$1503,采购进货!$D$4:$D$1503,$B38,采购进货!$B$4:$B$1503,"&gt;="&amp;DATE(年度,9,1),采购进货!$B$4:$B$1503,"&lt;"&amp;DATE(年度,9+1,1)))</f>
        <v>0</v>
      </c>
      <c r="DA38" s="186">
        <f>IF($B38="",0,SUMIFS(采购进货!$G$4:$G$1503,采购进货!$D$4:$D$1503,$B38,采购进货!$B$4:$B$1503,"&gt;="&amp;DATE(年度,9,1),采购进货!$B$4:$B$1503,"&lt;"&amp;DATE(年度,9+1,1)))</f>
        <v>0</v>
      </c>
      <c r="DB38" s="234">
        <f>CW38+CZ38</f>
        <v>-3.16666666666667</v>
      </c>
      <c r="DC38" s="235">
        <f>CX38+DA38</f>
        <v>-51.333336</v>
      </c>
      <c r="DD38" s="222">
        <f>IF(AND(DB38&gt;0,DC38&gt;0),DC38/DB38,N($E38))</f>
        <v>38.5</v>
      </c>
      <c r="DE38" s="220">
        <f>IF($B38="",0,SUMIFS(出库明细!$E$4:$E$3003,出库明细!$D$4:$D$3003,$B38,出库明细!$B$4:$B$3003,"&gt;="&amp;DATE(年度,9,1),出库明细!$B$4:$B$3003,"&lt;"&amp;DATE(年度,9+1,1)))</f>
        <v>0</v>
      </c>
      <c r="DF38" s="186">
        <f>DE38*DD38</f>
        <v>0</v>
      </c>
      <c r="DG38" s="220">
        <f>_辅助!BU36</f>
        <v>0</v>
      </c>
      <c r="DH38" s="186">
        <f>_辅助!AK36</f>
        <v>0</v>
      </c>
      <c r="DI38" s="221">
        <f>DB38-DE38-DG38</f>
        <v>-3.16666666666667</v>
      </c>
      <c r="DJ38" s="187">
        <f>DC38-DF38-DH38</f>
        <v>-51.333336</v>
      </c>
      <c r="DK38" s="236">
        <f>IF(AND(DB38&gt;0,DC38&gt;0),0,DF38)</f>
        <v>0</v>
      </c>
      <c r="DL38" s="220">
        <f>IF($B38="",0,SUMIFS(采购进货!$E$4:$E$1503,采购进货!$D$4:$D$1503,$B38,采购进货!$B$4:$B$1503,"&gt;="&amp;DATE(年度,10,1),采购进货!$B$4:$B$1503,"&lt;"&amp;DATE(年度,10+1,1))+SUMIFS(采购进货!$H$4:$H$1503,采购进货!$D$4:$D$1503,$B38,采购进货!$B$4:$B$1503,"&gt;="&amp;DATE(年度,10,1),采购进货!$B$4:$B$1503,"&lt;"&amp;DATE(年度,10+1,1)))</f>
        <v>0</v>
      </c>
      <c r="DM38" s="186">
        <f>IF($B38="",0,SUMIFS(采购进货!$G$4:$G$1503,采购进货!$D$4:$D$1503,$B38,采购进货!$B$4:$B$1503,"&gt;="&amp;DATE(年度,10,1),采购进货!$B$4:$B$1503,"&lt;"&amp;DATE(年度,10+1,1)))</f>
        <v>0</v>
      </c>
      <c r="DN38" s="234">
        <f>DI38+DL38</f>
        <v>-3.16666666666667</v>
      </c>
      <c r="DO38" s="235">
        <f>DJ38+DM38</f>
        <v>-51.333336</v>
      </c>
      <c r="DP38" s="222">
        <f>IF(AND(DN38&gt;0,DO38&gt;0),DO38/DN38,N($E38))</f>
        <v>38.5</v>
      </c>
      <c r="DQ38" s="220">
        <f>IF($B38="",0,SUMIFS(出库明细!$E$4:$E$3003,出库明细!$D$4:$D$3003,$B38,出库明细!$B$4:$B$3003,"&gt;="&amp;DATE(年度,10,1),出库明细!$B$4:$B$3003,"&lt;"&amp;DATE(年度,10+1,1)))</f>
        <v>0</v>
      </c>
      <c r="DR38" s="186">
        <f>DQ38*DP38</f>
        <v>0</v>
      </c>
      <c r="DS38" s="220">
        <f>_辅助!BV36</f>
        <v>0</v>
      </c>
      <c r="DT38" s="186">
        <f>_辅助!AL36</f>
        <v>0</v>
      </c>
      <c r="DU38" s="221">
        <f>DN38-DQ38-DS38</f>
        <v>-3.16666666666667</v>
      </c>
      <c r="DV38" s="187">
        <f>DO38-DR38-DT38</f>
        <v>-51.333336</v>
      </c>
      <c r="DW38" s="236">
        <f>IF(AND(DN38&gt;0,DO38&gt;0),0,DR38)</f>
        <v>0</v>
      </c>
      <c r="DX38" s="220">
        <f>IF($B38="",0,SUMIFS(采购进货!$E$4:$E$1503,采购进货!$D$4:$D$1503,$B38,采购进货!$B$4:$B$1503,"&gt;="&amp;DATE(年度,11,1),采购进货!$B$4:$B$1503,"&lt;"&amp;DATE(年度,11+1,1))+SUMIFS(采购进货!$H$4:$H$1503,采购进货!$D$4:$D$1503,$B38,采购进货!$B$4:$B$1503,"&gt;="&amp;DATE(年度,11,1),采购进货!$B$4:$B$1503,"&lt;"&amp;DATE(年度,11+1,1)))</f>
        <v>0</v>
      </c>
      <c r="DY38" s="186">
        <f>IF($B38="",0,SUMIFS(采购进货!$G$4:$G$1503,采购进货!$D$4:$D$1503,$B38,采购进货!$B$4:$B$1503,"&gt;="&amp;DATE(年度,11,1),采购进货!$B$4:$B$1503,"&lt;"&amp;DATE(年度,11+1,1)))</f>
        <v>0</v>
      </c>
      <c r="DZ38" s="234">
        <f>DU38+DX38</f>
        <v>-3.16666666666667</v>
      </c>
      <c r="EA38" s="235">
        <f>DV38+DY38</f>
        <v>-51.333336</v>
      </c>
      <c r="EB38" s="222">
        <f>IF(AND(DZ38&gt;0,EA38&gt;0),EA38/DZ38,N($E38))</f>
        <v>38.5</v>
      </c>
      <c r="EC38" s="220">
        <f>IF($B38="",0,SUMIFS(出库明细!$E$4:$E$3003,出库明细!$D$4:$D$3003,$B38,出库明细!$B$4:$B$3003,"&gt;="&amp;DATE(年度,11,1),出库明细!$B$4:$B$3003,"&lt;"&amp;DATE(年度,11+1,1)))</f>
        <v>0</v>
      </c>
      <c r="ED38" s="186">
        <f>EC38*EB38</f>
        <v>0</v>
      </c>
      <c r="EE38" s="220">
        <f>_辅助!BW36</f>
        <v>0</v>
      </c>
      <c r="EF38" s="186">
        <f>_辅助!AM36</f>
        <v>0</v>
      </c>
      <c r="EG38" s="221">
        <f>DZ38-EC38-EE38</f>
        <v>-3.16666666666667</v>
      </c>
      <c r="EH38" s="187">
        <f>EA38-ED38-EF38</f>
        <v>-51.333336</v>
      </c>
      <c r="EI38" s="236">
        <f>IF(AND(DZ38&gt;0,EA38&gt;0),0,ED38)</f>
        <v>0</v>
      </c>
      <c r="EJ38" s="220">
        <f>IF($B38="",0,SUMIFS(采购进货!$E$4:$E$1503,采购进货!$D$4:$D$1503,$B38,采购进货!$B$4:$B$1503,"&gt;="&amp;DATE(年度,12,1),采购进货!$B$4:$B$1503,"&lt;"&amp;DATE(年度,12+1,1))+SUMIFS(采购进货!$H$4:$H$1503,采购进货!$D$4:$D$1503,$B38,采购进货!$B$4:$B$1503,"&gt;="&amp;DATE(年度,12,1),采购进货!$B$4:$B$1503,"&lt;"&amp;DATE(年度,12+1,1)))</f>
        <v>0</v>
      </c>
      <c r="EK38" s="186">
        <f>IF($B38="",0,SUMIFS(采购进货!$G$4:$G$1503,采购进货!$D$4:$D$1503,$B38,采购进货!$B$4:$B$1503,"&gt;="&amp;DATE(年度,12,1),采购进货!$B$4:$B$1503,"&lt;"&amp;DATE(年度,12+1,1)))</f>
        <v>0</v>
      </c>
      <c r="EL38" s="234">
        <f>EG38+EJ38</f>
        <v>-3.16666666666667</v>
      </c>
      <c r="EM38" s="235">
        <f>EH38+EK38</f>
        <v>-51.333336</v>
      </c>
      <c r="EN38" s="222">
        <f>IF(AND(EL38&gt;0,EM38&gt;0),EM38/EL38,N($E38))</f>
        <v>38.5</v>
      </c>
      <c r="EO38" s="220">
        <f>IF($B38="",0,SUMIFS(出库明细!$E$4:$E$3003,出库明细!$D$4:$D$3003,$B38,出库明细!$B$4:$B$3003,"&gt;="&amp;DATE(年度,12,1),出库明细!$B$4:$B$3003,"&lt;"&amp;DATE(年度,12+1,1)))</f>
        <v>0</v>
      </c>
      <c r="EP38" s="186">
        <f>EO38*EN38</f>
        <v>0</v>
      </c>
      <c r="EQ38" s="220">
        <f>_辅助!BX36</f>
        <v>0</v>
      </c>
      <c r="ER38" s="186">
        <f>_辅助!AN36</f>
        <v>0</v>
      </c>
      <c r="ES38" s="221">
        <f>EL38-EO38-EQ38</f>
        <v>-3.16666666666667</v>
      </c>
      <c r="ET38" s="187">
        <f>EM38-EP38-ER38</f>
        <v>-51.333336</v>
      </c>
      <c r="EU38" s="236">
        <f>IF(AND(EL38&gt;0,EM38&gt;0),0,EP38)</f>
        <v>0</v>
      </c>
    </row>
    <row r="39">
      <c r="A39" s="194">
        <f>IF(B39="","",ROW()-7)</f>
        <v>32</v>
      </c>
      <c r="B39" s="141" t="str">
        <f>IF(基础资料!E36="","",基础资料!E36&amp;"")</f>
        <v>农夫1.5L东方树叶</v>
      </c>
      <c r="C39" s="230" t="str">
        <f>IF(基础资料!G36="","",基础资料!G36&amp;"")</f>
        <v>农夫1.5L东方树叶</v>
      </c>
      <c r="D39" s="194">
        <f>IF(基础资料!I36="","",基础资料!I36)</f>
        <v>6</v>
      </c>
      <c r="E39" s="231">
        <f>IF(基础资料!J36="","",基础资料!J36)</f>
        <v>42</v>
      </c>
      <c r="F39" s="232">
        <f>N(基础资料!L36)</f>
        <v>0</v>
      </c>
      <c r="G39" s="233">
        <f>IF(基础资料!N36="",0,基础资料!N36)</f>
        <v>0</v>
      </c>
      <c r="H39" s="220">
        <f>IF($B39="",0,SUMIFS(采购进货!$E$4:$E$1503,采购进货!$D$4:$D$1503,$B39,采购进货!$B$4:$B$1503,"&gt;="&amp;DATE(年度,1,1),采购进货!$B$4:$B$1503,"&lt;"&amp;DATE(年度,1+1,1))+SUMIFS(采购进货!$H$4:$H$1503,采购进货!$D$4:$D$1503,$B39,采购进货!$B$4:$B$1503,"&gt;="&amp;DATE(年度,1,1),采购进货!$B$4:$B$1503,"&lt;"&amp;DATE(年度,1+1,1)))</f>
        <v>0</v>
      </c>
      <c r="I39" s="186">
        <f>IF($B39="",0,SUMIFS(采购进货!$G$4:$G$1503,采购进货!$D$4:$D$1503,$B39,采购进货!$B$4:$B$1503,"&gt;="&amp;DATE(年度,1,1),采购进货!$B$4:$B$1503,"&lt;"&amp;DATE(年度,1+1,1)))</f>
        <v>0</v>
      </c>
      <c r="J39" s="234">
        <f>F39+H39</f>
        <v>0</v>
      </c>
      <c r="K39" s="235">
        <f>G39+I39</f>
        <v>0</v>
      </c>
      <c r="L39" s="222">
        <f>IF(AND(J39&gt;0,K39&gt;0),K39/J39,N($E39))</f>
        <v>42</v>
      </c>
      <c r="M39" s="220">
        <f>IF($B39="",0,SUMIFS(出库明细!$E$4:$E$3003,出库明细!$D$4:$D$3003,$B39,出库明细!$B$4:$B$3003,"&gt;="&amp;DATE(年度,1,1),出库明细!$B$4:$B$3003,"&lt;"&amp;DATE(年度,1+1,1)))</f>
        <v>0</v>
      </c>
      <c r="N39" s="186">
        <f>M39*L39</f>
        <v>0</v>
      </c>
      <c r="O39" s="220">
        <f>_辅助!BM37</f>
        <v>0</v>
      </c>
      <c r="P39" s="186">
        <f>_辅助!AC37</f>
        <v>0</v>
      </c>
      <c r="Q39" s="221">
        <f>J39-M39-O39</f>
        <v>0</v>
      </c>
      <c r="R39" s="187">
        <f>K39-N39-P39</f>
        <v>0</v>
      </c>
      <c r="S39" s="236">
        <f>IF(AND(J39&gt;0,K39&gt;0),0,N39)</f>
        <v>0</v>
      </c>
      <c r="T39" s="220">
        <f>IF($B39="",0,SUMIFS(采购进货!$E$4:$E$1503,采购进货!$D$4:$D$1503,$B39,采购进货!$B$4:$B$1503,"&gt;="&amp;DATE(年度,2,1),采购进货!$B$4:$B$1503,"&lt;"&amp;DATE(年度,2+1,1))+SUMIFS(采购进货!$H$4:$H$1503,采购进货!$D$4:$D$1503,$B39,采购进货!$B$4:$B$1503,"&gt;="&amp;DATE(年度,2,1),采购进货!$B$4:$B$1503,"&lt;"&amp;DATE(年度,2+1,1)))</f>
        <v>0</v>
      </c>
      <c r="U39" s="186">
        <f>IF($B39="",0,SUMIFS(采购进货!$G$4:$G$1503,采购进货!$D$4:$D$1503,$B39,采购进货!$B$4:$B$1503,"&gt;="&amp;DATE(年度,2,1),采购进货!$B$4:$B$1503,"&lt;"&amp;DATE(年度,2+1,1)))</f>
        <v>0</v>
      </c>
      <c r="V39" s="234">
        <f>Q39+T39</f>
        <v>0</v>
      </c>
      <c r="W39" s="235">
        <f>R39+U39</f>
        <v>0</v>
      </c>
      <c r="X39" s="222">
        <f>IF(AND(V39&gt;0,W39&gt;0),W39/V39,N($E39))</f>
        <v>42</v>
      </c>
      <c r="Y39" s="220">
        <f>IF($B39="",0,SUMIFS(出库明细!$E$4:$E$3003,出库明细!$D$4:$D$3003,$B39,出库明细!$B$4:$B$3003,"&gt;="&amp;DATE(年度,2,1),出库明细!$B$4:$B$3003,"&lt;"&amp;DATE(年度,2+1,1)))</f>
        <v>0</v>
      </c>
      <c r="Z39" s="186">
        <f>Y39*X39</f>
        <v>0</v>
      </c>
      <c r="AA39" s="220">
        <f>_辅助!BN37</f>
        <v>0</v>
      </c>
      <c r="AB39" s="186">
        <f>_辅助!AD37</f>
        <v>0</v>
      </c>
      <c r="AC39" s="221">
        <f>V39-Y39-AA39</f>
        <v>0</v>
      </c>
      <c r="AD39" s="187">
        <f>W39-Z39-AB39</f>
        <v>0</v>
      </c>
      <c r="AE39" s="236">
        <f>IF(AND(V39&gt;0,W39&gt;0),0,Z39)</f>
        <v>0</v>
      </c>
      <c r="AF39" s="220">
        <f>IF($B39="",0,SUMIFS(采购进货!$E$4:$E$1503,采购进货!$D$4:$D$1503,$B39,采购进货!$B$4:$B$1503,"&gt;="&amp;DATE(年度,3,1),采购进货!$B$4:$B$1503,"&lt;"&amp;DATE(年度,3+1,1))+SUMIFS(采购进货!$H$4:$H$1503,采购进货!$D$4:$D$1503,$B39,采购进货!$B$4:$B$1503,"&gt;="&amp;DATE(年度,3,1),采购进货!$B$4:$B$1503,"&lt;"&amp;DATE(年度,3+1,1)))</f>
        <v>0</v>
      </c>
      <c r="AG39" s="186">
        <f>IF($B39="",0,SUMIFS(采购进货!$G$4:$G$1503,采购进货!$D$4:$D$1503,$B39,采购进货!$B$4:$B$1503,"&gt;="&amp;DATE(年度,3,1),采购进货!$B$4:$B$1503,"&lt;"&amp;DATE(年度,3+1,1)))</f>
        <v>0</v>
      </c>
      <c r="AH39" s="234">
        <f>AC39+AF39</f>
        <v>0</v>
      </c>
      <c r="AI39" s="235">
        <f>AD39+AG39</f>
        <v>0</v>
      </c>
      <c r="AJ39" s="222">
        <f>IF(AND(AH39&gt;0,AI39&gt;0),AI39/AH39,N($E39))</f>
        <v>42</v>
      </c>
      <c r="AK39" s="220">
        <f>IF($B39="",0,SUMIFS(出库明细!$E$4:$E$3003,出库明细!$D$4:$D$3003,$B39,出库明细!$B$4:$B$3003,"&gt;="&amp;DATE(年度,3,1),出库明细!$B$4:$B$3003,"&lt;"&amp;DATE(年度,3+1,1)))</f>
        <v>0</v>
      </c>
      <c r="AL39" s="186">
        <f>AK39*AJ39</f>
        <v>0</v>
      </c>
      <c r="AM39" s="220">
        <f>_辅助!BO37</f>
        <v>0</v>
      </c>
      <c r="AN39" s="186">
        <f>_辅助!AE37</f>
        <v>0</v>
      </c>
      <c r="AO39" s="221">
        <f>AH39-AK39-AM39</f>
        <v>0</v>
      </c>
      <c r="AP39" s="187">
        <f>AI39-AL39-AN39</f>
        <v>0</v>
      </c>
      <c r="AQ39" s="236">
        <f>IF(AND(AH39&gt;0,AI39&gt;0),0,AL39)</f>
        <v>0</v>
      </c>
      <c r="AR39" s="220">
        <f>IF($B39="",0,SUMIFS(采购进货!$E$4:$E$1503,采购进货!$D$4:$D$1503,$B39,采购进货!$B$4:$B$1503,"&gt;="&amp;DATE(年度,4,1),采购进货!$B$4:$B$1503,"&lt;"&amp;DATE(年度,4+1,1))+SUMIFS(采购进货!$H$4:$H$1503,采购进货!$D$4:$D$1503,$B39,采购进货!$B$4:$B$1503,"&gt;="&amp;DATE(年度,4,1),采购进货!$B$4:$B$1503,"&lt;"&amp;DATE(年度,4+1,1)))</f>
        <v>0</v>
      </c>
      <c r="AS39" s="186">
        <f>IF($B39="",0,SUMIFS(采购进货!$G$4:$G$1503,采购进货!$D$4:$D$1503,$B39,采购进货!$B$4:$B$1503,"&gt;="&amp;DATE(年度,4,1),采购进货!$B$4:$B$1503,"&lt;"&amp;DATE(年度,4+1,1)))</f>
        <v>0</v>
      </c>
      <c r="AT39" s="234">
        <f>AO39+AR39</f>
        <v>0</v>
      </c>
      <c r="AU39" s="235">
        <f>AP39+AS39</f>
        <v>0</v>
      </c>
      <c r="AV39" s="222">
        <f>IF(AND(AT39&gt;0,AU39&gt;0),AU39/AT39,N($E39))</f>
        <v>42</v>
      </c>
      <c r="AW39" s="220">
        <f>IF($B39="",0,SUMIFS(出库明细!$E$4:$E$3003,出库明细!$D$4:$D$3003,$B39,出库明细!$B$4:$B$3003,"&gt;="&amp;DATE(年度,4,1),出库明细!$B$4:$B$3003,"&lt;"&amp;DATE(年度,4+1,1)))</f>
        <v>0</v>
      </c>
      <c r="AX39" s="186">
        <f>AW39*AV39</f>
        <v>0</v>
      </c>
      <c r="AY39" s="220">
        <f>_辅助!BP37</f>
        <v>0</v>
      </c>
      <c r="AZ39" s="186">
        <f>_辅助!AF37</f>
        <v>0</v>
      </c>
      <c r="BA39" s="221">
        <f>AT39-AW39-AY39</f>
        <v>0</v>
      </c>
      <c r="BB39" s="187">
        <f>AU39-AX39-AZ39</f>
        <v>0</v>
      </c>
      <c r="BC39" s="236">
        <f>IF(AND(AT39&gt;0,AU39&gt;0),0,AX39)</f>
        <v>0</v>
      </c>
      <c r="BD39" s="220">
        <f>IF($B39="",0,SUMIFS(采购进货!$E$4:$E$1503,采购进货!$D$4:$D$1503,$B39,采购进货!$B$4:$B$1503,"&gt;="&amp;DATE(年度,5,1),采购进货!$B$4:$B$1503,"&lt;"&amp;DATE(年度,5+1,1))+SUMIFS(采购进货!$H$4:$H$1503,采购进货!$D$4:$D$1503,$B39,采购进货!$B$4:$B$1503,"&gt;="&amp;DATE(年度,5,1),采购进货!$B$4:$B$1503,"&lt;"&amp;DATE(年度,5+1,1)))</f>
        <v>0</v>
      </c>
      <c r="BE39" s="186">
        <f>IF($B39="",0,SUMIFS(采购进货!$G$4:$G$1503,采购进货!$D$4:$D$1503,$B39,采购进货!$B$4:$B$1503,"&gt;="&amp;DATE(年度,5,1),采购进货!$B$4:$B$1503,"&lt;"&amp;DATE(年度,5+1,1)))</f>
        <v>0</v>
      </c>
      <c r="BF39" s="234">
        <f>BA39+BD39</f>
        <v>0</v>
      </c>
      <c r="BG39" s="235">
        <f>BB39+BE39</f>
        <v>0</v>
      </c>
      <c r="BH39" s="222">
        <f>IF(AND(BF39&gt;0,BG39&gt;0),BG39/BF39,N($E39))</f>
        <v>42</v>
      </c>
      <c r="BI39" s="220">
        <f>IF($B39="",0,SUMIFS(出库明细!$E$4:$E$3003,出库明细!$D$4:$D$3003,$B39,出库明细!$B$4:$B$3003,"&gt;="&amp;DATE(年度,5,1),出库明细!$B$4:$B$3003,"&lt;"&amp;DATE(年度,5+1,1)))</f>
        <v>0</v>
      </c>
      <c r="BJ39" s="186">
        <f>BI39*BH39</f>
        <v>0</v>
      </c>
      <c r="BK39" s="220">
        <f>_辅助!BQ37</f>
        <v>0</v>
      </c>
      <c r="BL39" s="186">
        <f>_辅助!AG37</f>
        <v>0</v>
      </c>
      <c r="BM39" s="221">
        <f>BF39-BI39-BK39</f>
        <v>0</v>
      </c>
      <c r="BN39" s="187">
        <f>BG39-BJ39-BL39</f>
        <v>0</v>
      </c>
      <c r="BO39" s="236">
        <f>IF(AND(BF39&gt;0,BG39&gt;0),0,BJ39)</f>
        <v>0</v>
      </c>
      <c r="BP39" s="220">
        <f>IF($B39="",0,SUMIFS(采购进货!$E$4:$E$1503,采购进货!$D$4:$D$1503,$B39,采购进货!$B$4:$B$1503,"&gt;="&amp;DATE(年度,6,1),采购进货!$B$4:$B$1503,"&lt;"&amp;DATE(年度,6+1,1))+SUMIFS(采购进货!$H$4:$H$1503,采购进货!$D$4:$D$1503,$B39,采购进货!$B$4:$B$1503,"&gt;="&amp;DATE(年度,6,1),采购进货!$B$4:$B$1503,"&lt;"&amp;DATE(年度,6+1,1)))</f>
        <v>0</v>
      </c>
      <c r="BQ39" s="186">
        <f>IF($B39="",0,SUMIFS(采购进货!$G$4:$G$1503,采购进货!$D$4:$D$1503,$B39,采购进货!$B$4:$B$1503,"&gt;="&amp;DATE(年度,6,1),采购进货!$B$4:$B$1503,"&lt;"&amp;DATE(年度,6+1,1)))</f>
        <v>0</v>
      </c>
      <c r="BR39" s="234">
        <f>BM39+BP39</f>
        <v>0</v>
      </c>
      <c r="BS39" s="235">
        <f>BN39+BQ39</f>
        <v>0</v>
      </c>
      <c r="BT39" s="222">
        <f>IF(AND(BR39&gt;0,BS39&gt;0),BS39/BR39,N($E39))</f>
        <v>42</v>
      </c>
      <c r="BU39" s="220">
        <f>IF($B39="",0,SUMIFS(出库明细!$E$4:$E$3003,出库明细!$D$4:$D$3003,$B39,出库明细!$B$4:$B$3003,"&gt;="&amp;DATE(年度,6,1),出库明细!$B$4:$B$3003,"&lt;"&amp;DATE(年度,6+1,1)))</f>
        <v>0</v>
      </c>
      <c r="BV39" s="186">
        <f>BU39*BT39</f>
        <v>0</v>
      </c>
      <c r="BW39" s="220">
        <f>_辅助!BR37</f>
        <v>0.166666666666667</v>
      </c>
      <c r="BX39" s="186">
        <f>_辅助!AH37</f>
        <v>0</v>
      </c>
      <c r="BY39" s="221">
        <f>BR39-BU39-BW39</f>
        <v>-0.166666666666667</v>
      </c>
      <c r="BZ39" s="187">
        <f>BS39-BV39-BX39</f>
        <v>0</v>
      </c>
      <c r="CA39" s="236">
        <f>IF(AND(BR39&gt;0,BS39&gt;0),0,BV39)</f>
        <v>0</v>
      </c>
      <c r="CB39" s="220">
        <f>IF($B39="",0,SUMIFS(采购进货!$E$4:$E$1503,采购进货!$D$4:$D$1503,$B39,采购进货!$B$4:$B$1503,"&gt;="&amp;DATE(年度,7,1),采购进货!$B$4:$B$1503,"&lt;"&amp;DATE(年度,7+1,1))+SUMIFS(采购进货!$H$4:$H$1503,采购进货!$D$4:$D$1503,$B39,采购进货!$B$4:$B$1503,"&gt;="&amp;DATE(年度,7,1),采购进货!$B$4:$B$1503,"&lt;"&amp;DATE(年度,7+1,1)))</f>
        <v>0</v>
      </c>
      <c r="CC39" s="186">
        <f>IF($B39="",0,SUMIFS(采购进货!$G$4:$G$1503,采购进货!$D$4:$D$1503,$B39,采购进货!$B$4:$B$1503,"&gt;="&amp;DATE(年度,7,1),采购进货!$B$4:$B$1503,"&lt;"&amp;DATE(年度,7+1,1)))</f>
        <v>0</v>
      </c>
      <c r="CD39" s="234">
        <f>BY39+CB39</f>
        <v>-0.166666666666667</v>
      </c>
      <c r="CE39" s="235">
        <f>BZ39+CC39</f>
        <v>0</v>
      </c>
      <c r="CF39" s="222">
        <f>IF(AND(CD39&gt;0,CE39&gt;0),CE39/CD39,N($E39))</f>
        <v>42</v>
      </c>
      <c r="CG39" s="220">
        <f>IF($B39="",0,SUMIFS(出库明细!$E$4:$E$3003,出库明细!$D$4:$D$3003,$B39,出库明细!$B$4:$B$3003,"&gt;="&amp;DATE(年度,7,1),出库明细!$B$4:$B$3003,"&lt;"&amp;DATE(年度,7+1,1)))</f>
        <v>0</v>
      </c>
      <c r="CH39" s="186">
        <f>CG39*CF39</f>
        <v>0</v>
      </c>
      <c r="CI39" s="220">
        <f>_辅助!BS37</f>
        <v>0</v>
      </c>
      <c r="CJ39" s="186">
        <f>_辅助!AI37</f>
        <v>0</v>
      </c>
      <c r="CK39" s="221">
        <f>CD39-CG39-CI39</f>
        <v>-0.166666666666667</v>
      </c>
      <c r="CL39" s="187">
        <f>CE39-CH39-CJ39</f>
        <v>0</v>
      </c>
      <c r="CM39" s="236">
        <f>IF(AND(CD39&gt;0,CE39&gt;0),0,CH39)</f>
        <v>0</v>
      </c>
      <c r="CN39" s="220">
        <f>IF($B39="",0,SUMIFS(采购进货!$E$4:$E$1503,采购进货!$D$4:$D$1503,$B39,采购进货!$B$4:$B$1503,"&gt;="&amp;DATE(年度,8,1),采购进货!$B$4:$B$1503,"&lt;"&amp;DATE(年度,8+1,1))+SUMIFS(采购进货!$H$4:$H$1503,采购进货!$D$4:$D$1503,$B39,采购进货!$B$4:$B$1503,"&gt;="&amp;DATE(年度,8,1),采购进货!$B$4:$B$1503,"&lt;"&amp;DATE(年度,8+1,1)))</f>
        <v>0</v>
      </c>
      <c r="CO39" s="186">
        <f>IF($B39="",0,SUMIFS(采购进货!$G$4:$G$1503,采购进货!$D$4:$D$1503,$B39,采购进货!$B$4:$B$1503,"&gt;="&amp;DATE(年度,8,1),采购进货!$B$4:$B$1503,"&lt;"&amp;DATE(年度,8+1,1)))</f>
        <v>0</v>
      </c>
      <c r="CP39" s="234">
        <f>CK39+CN39</f>
        <v>-0.166666666666667</v>
      </c>
      <c r="CQ39" s="235">
        <f>CL39+CO39</f>
        <v>0</v>
      </c>
      <c r="CR39" s="222">
        <f>IF(AND(CP39&gt;0,CQ39&gt;0),CQ39/CP39,N($E39))</f>
        <v>42</v>
      </c>
      <c r="CS39" s="220">
        <f>IF($B39="",0,SUMIFS(出库明细!$E$4:$E$3003,出库明细!$D$4:$D$3003,$B39,出库明细!$B$4:$B$3003,"&gt;="&amp;DATE(年度,8,1),出库明细!$B$4:$B$3003,"&lt;"&amp;DATE(年度,8+1,1)))</f>
        <v>0</v>
      </c>
      <c r="CT39" s="186">
        <f>CS39*CR39</f>
        <v>0</v>
      </c>
      <c r="CU39" s="220">
        <f>_辅助!BT37</f>
        <v>4.66666666666667</v>
      </c>
      <c r="CV39" s="186">
        <f>_辅助!AJ37</f>
        <v>196</v>
      </c>
      <c r="CW39" s="221">
        <f>CP39-CS39-CU39</f>
        <v>-4.83333333333333</v>
      </c>
      <c r="CX39" s="187">
        <f>CQ39-CT39-CV39</f>
        <v>-196</v>
      </c>
      <c r="CY39" s="236">
        <f>IF(AND(CP39&gt;0,CQ39&gt;0),0,CT39)</f>
        <v>0</v>
      </c>
      <c r="CZ39" s="220">
        <f>IF($B39="",0,SUMIFS(采购进货!$E$4:$E$1503,采购进货!$D$4:$D$1503,$B39,采购进货!$B$4:$B$1503,"&gt;="&amp;DATE(年度,9,1),采购进货!$B$4:$B$1503,"&lt;"&amp;DATE(年度,9+1,1))+SUMIFS(采购进货!$H$4:$H$1503,采购进货!$D$4:$D$1503,$B39,采购进货!$B$4:$B$1503,"&gt;="&amp;DATE(年度,9,1),采购进货!$B$4:$B$1503,"&lt;"&amp;DATE(年度,9+1,1)))</f>
        <v>0</v>
      </c>
      <c r="DA39" s="186">
        <f>IF($B39="",0,SUMIFS(采购进货!$G$4:$G$1503,采购进货!$D$4:$D$1503,$B39,采购进货!$B$4:$B$1503,"&gt;="&amp;DATE(年度,9,1),采购进货!$B$4:$B$1503,"&lt;"&amp;DATE(年度,9+1,1)))</f>
        <v>0</v>
      </c>
      <c r="DB39" s="234">
        <f>CW39+CZ39</f>
        <v>-4.83333333333333</v>
      </c>
      <c r="DC39" s="235">
        <f>CX39+DA39</f>
        <v>-196</v>
      </c>
      <c r="DD39" s="222">
        <f>IF(AND(DB39&gt;0,DC39&gt;0),DC39/DB39,N($E39))</f>
        <v>42</v>
      </c>
      <c r="DE39" s="220">
        <f>IF($B39="",0,SUMIFS(出库明细!$E$4:$E$3003,出库明细!$D$4:$D$3003,$B39,出库明细!$B$4:$B$3003,"&gt;="&amp;DATE(年度,9,1),出库明细!$B$4:$B$3003,"&lt;"&amp;DATE(年度,9+1,1)))</f>
        <v>0</v>
      </c>
      <c r="DF39" s="186">
        <f>DE39*DD39</f>
        <v>0</v>
      </c>
      <c r="DG39" s="220">
        <f>_辅助!BU37</f>
        <v>0</v>
      </c>
      <c r="DH39" s="186">
        <f>_辅助!AK37</f>
        <v>0</v>
      </c>
      <c r="DI39" s="221">
        <f>DB39-DE39-DG39</f>
        <v>-4.83333333333333</v>
      </c>
      <c r="DJ39" s="187">
        <f>DC39-DF39-DH39</f>
        <v>-196</v>
      </c>
      <c r="DK39" s="236">
        <f>IF(AND(DB39&gt;0,DC39&gt;0),0,DF39)</f>
        <v>0</v>
      </c>
      <c r="DL39" s="220">
        <f>IF($B39="",0,SUMIFS(采购进货!$E$4:$E$1503,采购进货!$D$4:$D$1503,$B39,采购进货!$B$4:$B$1503,"&gt;="&amp;DATE(年度,10,1),采购进货!$B$4:$B$1503,"&lt;"&amp;DATE(年度,10+1,1))+SUMIFS(采购进货!$H$4:$H$1503,采购进货!$D$4:$D$1503,$B39,采购进货!$B$4:$B$1503,"&gt;="&amp;DATE(年度,10,1),采购进货!$B$4:$B$1503,"&lt;"&amp;DATE(年度,10+1,1)))</f>
        <v>0</v>
      </c>
      <c r="DM39" s="186">
        <f>IF($B39="",0,SUMIFS(采购进货!$G$4:$G$1503,采购进货!$D$4:$D$1503,$B39,采购进货!$B$4:$B$1503,"&gt;="&amp;DATE(年度,10,1),采购进货!$B$4:$B$1503,"&lt;"&amp;DATE(年度,10+1,1)))</f>
        <v>0</v>
      </c>
      <c r="DN39" s="234">
        <f>DI39+DL39</f>
        <v>-4.83333333333333</v>
      </c>
      <c r="DO39" s="235">
        <f>DJ39+DM39</f>
        <v>-196</v>
      </c>
      <c r="DP39" s="222">
        <f>IF(AND(DN39&gt;0,DO39&gt;0),DO39/DN39,N($E39))</f>
        <v>42</v>
      </c>
      <c r="DQ39" s="220">
        <f>IF($B39="",0,SUMIFS(出库明细!$E$4:$E$3003,出库明细!$D$4:$D$3003,$B39,出库明细!$B$4:$B$3003,"&gt;="&amp;DATE(年度,10,1),出库明细!$B$4:$B$3003,"&lt;"&amp;DATE(年度,10+1,1)))</f>
        <v>0</v>
      </c>
      <c r="DR39" s="186">
        <f>DQ39*DP39</f>
        <v>0</v>
      </c>
      <c r="DS39" s="220">
        <f>_辅助!BV37</f>
        <v>0</v>
      </c>
      <c r="DT39" s="186">
        <f>_辅助!AL37</f>
        <v>0</v>
      </c>
      <c r="DU39" s="221">
        <f>DN39-DQ39-DS39</f>
        <v>-4.83333333333333</v>
      </c>
      <c r="DV39" s="187">
        <f>DO39-DR39-DT39</f>
        <v>-196</v>
      </c>
      <c r="DW39" s="236">
        <f>IF(AND(DN39&gt;0,DO39&gt;0),0,DR39)</f>
        <v>0</v>
      </c>
      <c r="DX39" s="220">
        <f>IF($B39="",0,SUMIFS(采购进货!$E$4:$E$1503,采购进货!$D$4:$D$1503,$B39,采购进货!$B$4:$B$1503,"&gt;="&amp;DATE(年度,11,1),采购进货!$B$4:$B$1503,"&lt;"&amp;DATE(年度,11+1,1))+SUMIFS(采购进货!$H$4:$H$1503,采购进货!$D$4:$D$1503,$B39,采购进货!$B$4:$B$1503,"&gt;="&amp;DATE(年度,11,1),采购进货!$B$4:$B$1503,"&lt;"&amp;DATE(年度,11+1,1)))</f>
        <v>0</v>
      </c>
      <c r="DY39" s="186">
        <f>IF($B39="",0,SUMIFS(采购进货!$G$4:$G$1503,采购进货!$D$4:$D$1503,$B39,采购进货!$B$4:$B$1503,"&gt;="&amp;DATE(年度,11,1),采购进货!$B$4:$B$1503,"&lt;"&amp;DATE(年度,11+1,1)))</f>
        <v>0</v>
      </c>
      <c r="DZ39" s="234">
        <f>DU39+DX39</f>
        <v>-4.83333333333333</v>
      </c>
      <c r="EA39" s="235">
        <f>DV39+DY39</f>
        <v>-196</v>
      </c>
      <c r="EB39" s="222">
        <f>IF(AND(DZ39&gt;0,EA39&gt;0),EA39/DZ39,N($E39))</f>
        <v>42</v>
      </c>
      <c r="EC39" s="220">
        <f>IF($B39="",0,SUMIFS(出库明细!$E$4:$E$3003,出库明细!$D$4:$D$3003,$B39,出库明细!$B$4:$B$3003,"&gt;="&amp;DATE(年度,11,1),出库明细!$B$4:$B$3003,"&lt;"&amp;DATE(年度,11+1,1)))</f>
        <v>0</v>
      </c>
      <c r="ED39" s="186">
        <f>EC39*EB39</f>
        <v>0</v>
      </c>
      <c r="EE39" s="220">
        <f>_辅助!BW37</f>
        <v>0</v>
      </c>
      <c r="EF39" s="186">
        <f>_辅助!AM37</f>
        <v>0</v>
      </c>
      <c r="EG39" s="221">
        <f>DZ39-EC39-EE39</f>
        <v>-4.83333333333333</v>
      </c>
      <c r="EH39" s="187">
        <f>EA39-ED39-EF39</f>
        <v>-196</v>
      </c>
      <c r="EI39" s="236">
        <f>IF(AND(DZ39&gt;0,EA39&gt;0),0,ED39)</f>
        <v>0</v>
      </c>
      <c r="EJ39" s="220">
        <f>IF($B39="",0,SUMIFS(采购进货!$E$4:$E$1503,采购进货!$D$4:$D$1503,$B39,采购进货!$B$4:$B$1503,"&gt;="&amp;DATE(年度,12,1),采购进货!$B$4:$B$1503,"&lt;"&amp;DATE(年度,12+1,1))+SUMIFS(采购进货!$H$4:$H$1503,采购进货!$D$4:$D$1503,$B39,采购进货!$B$4:$B$1503,"&gt;="&amp;DATE(年度,12,1),采购进货!$B$4:$B$1503,"&lt;"&amp;DATE(年度,12+1,1)))</f>
        <v>0</v>
      </c>
      <c r="EK39" s="186">
        <f>IF($B39="",0,SUMIFS(采购进货!$G$4:$G$1503,采购进货!$D$4:$D$1503,$B39,采购进货!$B$4:$B$1503,"&gt;="&amp;DATE(年度,12,1),采购进货!$B$4:$B$1503,"&lt;"&amp;DATE(年度,12+1,1)))</f>
        <v>0</v>
      </c>
      <c r="EL39" s="234">
        <f>EG39+EJ39</f>
        <v>-4.83333333333333</v>
      </c>
      <c r="EM39" s="235">
        <f>EH39+EK39</f>
        <v>-196</v>
      </c>
      <c r="EN39" s="222">
        <f>IF(AND(EL39&gt;0,EM39&gt;0),EM39/EL39,N($E39))</f>
        <v>42</v>
      </c>
      <c r="EO39" s="220">
        <f>IF($B39="",0,SUMIFS(出库明细!$E$4:$E$3003,出库明细!$D$4:$D$3003,$B39,出库明细!$B$4:$B$3003,"&gt;="&amp;DATE(年度,12,1),出库明细!$B$4:$B$3003,"&lt;"&amp;DATE(年度,12+1,1)))</f>
        <v>0</v>
      </c>
      <c r="EP39" s="186">
        <f>EO39*EN39</f>
        <v>0</v>
      </c>
      <c r="EQ39" s="220">
        <f>_辅助!BX37</f>
        <v>0</v>
      </c>
      <c r="ER39" s="186">
        <f>_辅助!AN37</f>
        <v>0</v>
      </c>
      <c r="ES39" s="221">
        <f>EL39-EO39-EQ39</f>
        <v>-4.83333333333333</v>
      </c>
      <c r="ET39" s="187">
        <f>EM39-EP39-ER39</f>
        <v>-196</v>
      </c>
      <c r="EU39" s="236">
        <f>IF(AND(EL39&gt;0,EM39&gt;0),0,EP39)</f>
        <v>0</v>
      </c>
    </row>
    <row r="40">
      <c r="A40" s="194">
        <f>IF(B40="","",ROW()-7)</f>
        <v>33</v>
      </c>
      <c r="B40" s="141" t="str">
        <f>IF(基础资料!E37="","",基础资料!E37&amp;"")</f>
        <v>清爽</v>
      </c>
      <c r="C40" s="230" t="str">
        <f>IF(基础资料!G37="","",基础资料!G37&amp;"")</f>
        <v>青岛清爽8</v>
      </c>
      <c r="D40" s="194">
        <f>IF(基础资料!I37="","",基础资料!I37)</f>
        <v>12</v>
      </c>
      <c r="E40" s="231">
        <f>IF(基础资料!J37="","",基础资料!J37)</f>
        <v>35.28</v>
      </c>
      <c r="F40" s="232">
        <f>N(基础资料!L37)</f>
        <v>0</v>
      </c>
      <c r="G40" s="233">
        <f>IF(基础资料!N37="",0,基础资料!N37)</f>
        <v>0</v>
      </c>
      <c r="H40" s="220">
        <f>IF($B40="",0,SUMIFS(采购进货!$E$4:$E$1503,采购进货!$D$4:$D$1503,$B40,采购进货!$B$4:$B$1503,"&gt;="&amp;DATE(年度,1,1),采购进货!$B$4:$B$1503,"&lt;"&amp;DATE(年度,1+1,1))+SUMIFS(采购进货!$H$4:$H$1503,采购进货!$D$4:$D$1503,$B40,采购进货!$B$4:$B$1503,"&gt;="&amp;DATE(年度,1,1),采购进货!$B$4:$B$1503,"&lt;"&amp;DATE(年度,1+1,1)))</f>
        <v>0</v>
      </c>
      <c r="I40" s="186">
        <f>IF($B40="",0,SUMIFS(采购进货!$G$4:$G$1503,采购进货!$D$4:$D$1503,$B40,采购进货!$B$4:$B$1503,"&gt;="&amp;DATE(年度,1,1),采购进货!$B$4:$B$1503,"&lt;"&amp;DATE(年度,1+1,1)))</f>
        <v>0</v>
      </c>
      <c r="J40" s="234">
        <f>F40+H40</f>
        <v>0</v>
      </c>
      <c r="K40" s="235">
        <f>G40+I40</f>
        <v>0</v>
      </c>
      <c r="L40" s="222">
        <f>IF(AND(J40&gt;0,K40&gt;0),K40/J40,N($E40))</f>
        <v>35.28</v>
      </c>
      <c r="M40" s="220">
        <f>IF($B40="",0,SUMIFS(出库明细!$E$4:$E$3003,出库明细!$D$4:$D$3003,$B40,出库明细!$B$4:$B$3003,"&gt;="&amp;DATE(年度,1,1),出库明细!$B$4:$B$3003,"&lt;"&amp;DATE(年度,1+1,1)))</f>
        <v>0</v>
      </c>
      <c r="N40" s="186">
        <f>M40*L40</f>
        <v>0</v>
      </c>
      <c r="O40" s="220">
        <f>_辅助!BM38</f>
        <v>0</v>
      </c>
      <c r="P40" s="186">
        <f>_辅助!AC38</f>
        <v>0</v>
      </c>
      <c r="Q40" s="221">
        <f>J40-M40-O40</f>
        <v>0</v>
      </c>
      <c r="R40" s="187">
        <f>K40-N40-P40</f>
        <v>0</v>
      </c>
      <c r="S40" s="236">
        <f>IF(AND(J40&gt;0,K40&gt;0),0,N40)</f>
        <v>0</v>
      </c>
      <c r="T40" s="220">
        <f>IF($B40="",0,SUMIFS(采购进货!$E$4:$E$1503,采购进货!$D$4:$D$1503,$B40,采购进货!$B$4:$B$1503,"&gt;="&amp;DATE(年度,2,1),采购进货!$B$4:$B$1503,"&lt;"&amp;DATE(年度,2+1,1))+SUMIFS(采购进货!$H$4:$H$1503,采购进货!$D$4:$D$1503,$B40,采购进货!$B$4:$B$1503,"&gt;="&amp;DATE(年度,2,1),采购进货!$B$4:$B$1503,"&lt;"&amp;DATE(年度,2+1,1)))</f>
        <v>0</v>
      </c>
      <c r="U40" s="186">
        <f>IF($B40="",0,SUMIFS(采购进货!$G$4:$G$1503,采购进货!$D$4:$D$1503,$B40,采购进货!$B$4:$B$1503,"&gt;="&amp;DATE(年度,2,1),采购进货!$B$4:$B$1503,"&lt;"&amp;DATE(年度,2+1,1)))</f>
        <v>0</v>
      </c>
      <c r="V40" s="234">
        <f>Q40+T40</f>
        <v>0</v>
      </c>
      <c r="W40" s="235">
        <f>R40+U40</f>
        <v>0</v>
      </c>
      <c r="X40" s="222">
        <f>IF(AND(V40&gt;0,W40&gt;0),W40/V40,N($E40))</f>
        <v>35.28</v>
      </c>
      <c r="Y40" s="220">
        <f>IF($B40="",0,SUMIFS(出库明细!$E$4:$E$3003,出库明细!$D$4:$D$3003,$B40,出库明细!$B$4:$B$3003,"&gt;="&amp;DATE(年度,2,1),出库明细!$B$4:$B$3003,"&lt;"&amp;DATE(年度,2+1,1)))</f>
        <v>0</v>
      </c>
      <c r="Z40" s="186">
        <f>Y40*X40</f>
        <v>0</v>
      </c>
      <c r="AA40" s="220">
        <f>_辅助!BN38</f>
        <v>0</v>
      </c>
      <c r="AB40" s="186">
        <f>_辅助!AD38</f>
        <v>0</v>
      </c>
      <c r="AC40" s="221">
        <f>V40-Y40-AA40</f>
        <v>0</v>
      </c>
      <c r="AD40" s="187">
        <f>W40-Z40-AB40</f>
        <v>0</v>
      </c>
      <c r="AE40" s="236">
        <f>IF(AND(V40&gt;0,W40&gt;0),0,Z40)</f>
        <v>0</v>
      </c>
      <c r="AF40" s="220">
        <f>IF($B40="",0,SUMIFS(采购进货!$E$4:$E$1503,采购进货!$D$4:$D$1503,$B40,采购进货!$B$4:$B$1503,"&gt;="&amp;DATE(年度,3,1),采购进货!$B$4:$B$1503,"&lt;"&amp;DATE(年度,3+1,1))+SUMIFS(采购进货!$H$4:$H$1503,采购进货!$D$4:$D$1503,$B40,采购进货!$B$4:$B$1503,"&gt;="&amp;DATE(年度,3,1),采购进货!$B$4:$B$1503,"&lt;"&amp;DATE(年度,3+1,1)))</f>
        <v>0</v>
      </c>
      <c r="AG40" s="186">
        <f>IF($B40="",0,SUMIFS(采购进货!$G$4:$G$1503,采购进货!$D$4:$D$1503,$B40,采购进货!$B$4:$B$1503,"&gt;="&amp;DATE(年度,3,1),采购进货!$B$4:$B$1503,"&lt;"&amp;DATE(年度,3+1,1)))</f>
        <v>0</v>
      </c>
      <c r="AH40" s="234">
        <f>AC40+AF40</f>
        <v>0</v>
      </c>
      <c r="AI40" s="235">
        <f>AD40+AG40</f>
        <v>0</v>
      </c>
      <c r="AJ40" s="222">
        <f>IF(AND(AH40&gt;0,AI40&gt;0),AI40/AH40,N($E40))</f>
        <v>35.28</v>
      </c>
      <c r="AK40" s="220">
        <f>IF($B40="",0,SUMIFS(出库明细!$E$4:$E$3003,出库明细!$D$4:$D$3003,$B40,出库明细!$B$4:$B$3003,"&gt;="&amp;DATE(年度,3,1),出库明细!$B$4:$B$3003,"&lt;"&amp;DATE(年度,3+1,1)))</f>
        <v>0</v>
      </c>
      <c r="AL40" s="186">
        <f>AK40*AJ40</f>
        <v>0</v>
      </c>
      <c r="AM40" s="220">
        <f>_辅助!BO38</f>
        <v>0</v>
      </c>
      <c r="AN40" s="186">
        <f>_辅助!AE38</f>
        <v>0</v>
      </c>
      <c r="AO40" s="221">
        <f>AH40-AK40-AM40</f>
        <v>0</v>
      </c>
      <c r="AP40" s="187">
        <f>AI40-AL40-AN40</f>
        <v>0</v>
      </c>
      <c r="AQ40" s="236">
        <f>IF(AND(AH40&gt;0,AI40&gt;0),0,AL40)</f>
        <v>0</v>
      </c>
      <c r="AR40" s="220">
        <f>IF($B40="",0,SUMIFS(采购进货!$E$4:$E$1503,采购进货!$D$4:$D$1503,$B40,采购进货!$B$4:$B$1503,"&gt;="&amp;DATE(年度,4,1),采购进货!$B$4:$B$1503,"&lt;"&amp;DATE(年度,4+1,1))+SUMIFS(采购进货!$H$4:$H$1503,采购进货!$D$4:$D$1503,$B40,采购进货!$B$4:$B$1503,"&gt;="&amp;DATE(年度,4,1),采购进货!$B$4:$B$1503,"&lt;"&amp;DATE(年度,4+1,1)))</f>
        <v>0</v>
      </c>
      <c r="AS40" s="186">
        <f>IF($B40="",0,SUMIFS(采购进货!$G$4:$G$1503,采购进货!$D$4:$D$1503,$B40,采购进货!$B$4:$B$1503,"&gt;="&amp;DATE(年度,4,1),采购进货!$B$4:$B$1503,"&lt;"&amp;DATE(年度,4+1,1)))</f>
        <v>0</v>
      </c>
      <c r="AT40" s="234">
        <f>AO40+AR40</f>
        <v>0</v>
      </c>
      <c r="AU40" s="235">
        <f>AP40+AS40</f>
        <v>0</v>
      </c>
      <c r="AV40" s="222">
        <f>IF(AND(AT40&gt;0,AU40&gt;0),AU40/AT40,N($E40))</f>
        <v>35.28</v>
      </c>
      <c r="AW40" s="220">
        <f>IF($B40="",0,SUMIFS(出库明细!$E$4:$E$3003,出库明细!$D$4:$D$3003,$B40,出库明细!$B$4:$B$3003,"&gt;="&amp;DATE(年度,4,1),出库明细!$B$4:$B$3003,"&lt;"&amp;DATE(年度,4+1,1)))</f>
        <v>0</v>
      </c>
      <c r="AX40" s="186">
        <f>AW40*AV40</f>
        <v>0</v>
      </c>
      <c r="AY40" s="220">
        <f>_辅助!BP38</f>
        <v>0</v>
      </c>
      <c r="AZ40" s="186">
        <f>_辅助!AF38</f>
        <v>0</v>
      </c>
      <c r="BA40" s="221">
        <f>AT40-AW40-AY40</f>
        <v>0</v>
      </c>
      <c r="BB40" s="187">
        <f>AU40-AX40-AZ40</f>
        <v>0</v>
      </c>
      <c r="BC40" s="236">
        <f>IF(AND(AT40&gt;0,AU40&gt;0),0,AX40)</f>
        <v>0</v>
      </c>
      <c r="BD40" s="220">
        <f>IF($B40="",0,SUMIFS(采购进货!$E$4:$E$1503,采购进货!$D$4:$D$1503,$B40,采购进货!$B$4:$B$1503,"&gt;="&amp;DATE(年度,5,1),采购进货!$B$4:$B$1503,"&lt;"&amp;DATE(年度,5+1,1))+SUMIFS(采购进货!$H$4:$H$1503,采购进货!$D$4:$D$1503,$B40,采购进货!$B$4:$B$1503,"&gt;="&amp;DATE(年度,5,1),采购进货!$B$4:$B$1503,"&lt;"&amp;DATE(年度,5+1,1)))</f>
        <v>0</v>
      </c>
      <c r="BE40" s="186">
        <f>IF($B40="",0,SUMIFS(采购进货!$G$4:$G$1503,采购进货!$D$4:$D$1503,$B40,采购进货!$B$4:$B$1503,"&gt;="&amp;DATE(年度,5,1),采购进货!$B$4:$B$1503,"&lt;"&amp;DATE(年度,5+1,1)))</f>
        <v>0</v>
      </c>
      <c r="BF40" s="234">
        <f>BA40+BD40</f>
        <v>0</v>
      </c>
      <c r="BG40" s="235">
        <f>BB40+BE40</f>
        <v>0</v>
      </c>
      <c r="BH40" s="222">
        <f>IF(AND(BF40&gt;0,BG40&gt;0),BG40/BF40,N($E40))</f>
        <v>35.28</v>
      </c>
      <c r="BI40" s="220">
        <f>IF($B40="",0,SUMIFS(出库明细!$E$4:$E$3003,出库明细!$D$4:$D$3003,$B40,出库明细!$B$4:$B$3003,"&gt;="&amp;DATE(年度,5,1),出库明细!$B$4:$B$3003,"&lt;"&amp;DATE(年度,5+1,1)))</f>
        <v>0</v>
      </c>
      <c r="BJ40" s="186">
        <f>BI40*BH40</f>
        <v>0</v>
      </c>
      <c r="BK40" s="220">
        <f>_辅助!BQ38</f>
        <v>0</v>
      </c>
      <c r="BL40" s="186">
        <f>_辅助!AG38</f>
        <v>0</v>
      </c>
      <c r="BM40" s="221">
        <f>BF40-BI40-BK40</f>
        <v>0</v>
      </c>
      <c r="BN40" s="187">
        <f>BG40-BJ40-BL40</f>
        <v>0</v>
      </c>
      <c r="BO40" s="236">
        <f>IF(AND(BF40&gt;0,BG40&gt;0),0,BJ40)</f>
        <v>0</v>
      </c>
      <c r="BP40" s="220">
        <f>IF($B40="",0,SUMIFS(采购进货!$E$4:$E$1503,采购进货!$D$4:$D$1503,$B40,采购进货!$B$4:$B$1503,"&gt;="&amp;DATE(年度,6,1),采购进货!$B$4:$B$1503,"&lt;"&amp;DATE(年度,6+1,1))+SUMIFS(采购进货!$H$4:$H$1503,采购进货!$D$4:$D$1503,$B40,采购进货!$B$4:$B$1503,"&gt;="&amp;DATE(年度,6,1),采购进货!$B$4:$B$1503,"&lt;"&amp;DATE(年度,6+1,1)))</f>
        <v>0</v>
      </c>
      <c r="BQ40" s="186">
        <f>IF($B40="",0,SUMIFS(采购进货!$G$4:$G$1503,采购进货!$D$4:$D$1503,$B40,采购进货!$B$4:$B$1503,"&gt;="&amp;DATE(年度,6,1),采购进货!$B$4:$B$1503,"&lt;"&amp;DATE(年度,6+1,1)))</f>
        <v>0</v>
      </c>
      <c r="BR40" s="234">
        <f>BM40+BP40</f>
        <v>0</v>
      </c>
      <c r="BS40" s="235">
        <f>BN40+BQ40</f>
        <v>0</v>
      </c>
      <c r="BT40" s="222">
        <f>IF(AND(BR40&gt;0,BS40&gt;0),BS40/BR40,N($E40))</f>
        <v>35.28</v>
      </c>
      <c r="BU40" s="220">
        <f>IF($B40="",0,SUMIFS(出库明细!$E$4:$E$3003,出库明细!$D$4:$D$3003,$B40,出库明细!$B$4:$B$3003,"&gt;="&amp;DATE(年度,6,1),出库明细!$B$4:$B$3003,"&lt;"&amp;DATE(年度,6+1,1)))</f>
        <v>0</v>
      </c>
      <c r="BV40" s="186">
        <f>BU40*BT40</f>
        <v>0</v>
      </c>
      <c r="BW40" s="220">
        <f>_辅助!BR38</f>
        <v>9.08333333333333</v>
      </c>
      <c r="BX40" s="186">
        <f>_辅助!AH38</f>
        <v>320.46</v>
      </c>
      <c r="BY40" s="221">
        <f>BR40-BU40-BW40</f>
        <v>-9.08333333333333</v>
      </c>
      <c r="BZ40" s="187">
        <f>BS40-BV40-BX40</f>
        <v>-320.46</v>
      </c>
      <c r="CA40" s="236">
        <f>IF(AND(BR40&gt;0,BS40&gt;0),0,BV40)</f>
        <v>0</v>
      </c>
      <c r="CB40" s="220">
        <f>IF($B40="",0,SUMIFS(采购进货!$E$4:$E$1503,采购进货!$D$4:$D$1503,$B40,采购进货!$B$4:$B$1503,"&gt;="&amp;DATE(年度,7,1),采购进货!$B$4:$B$1503,"&lt;"&amp;DATE(年度,7+1,1))+SUMIFS(采购进货!$H$4:$H$1503,采购进货!$D$4:$D$1503,$B40,采购进货!$B$4:$B$1503,"&gt;="&amp;DATE(年度,7,1),采购进货!$B$4:$B$1503,"&lt;"&amp;DATE(年度,7+1,1)))</f>
        <v>0</v>
      </c>
      <c r="CC40" s="186">
        <f>IF($B40="",0,SUMIFS(采购进货!$G$4:$G$1503,采购进货!$D$4:$D$1503,$B40,采购进货!$B$4:$B$1503,"&gt;="&amp;DATE(年度,7,1),采购进货!$B$4:$B$1503,"&lt;"&amp;DATE(年度,7+1,1)))</f>
        <v>0</v>
      </c>
      <c r="CD40" s="234">
        <f>BY40+CB40</f>
        <v>-9.08333333333333</v>
      </c>
      <c r="CE40" s="235">
        <f>BZ40+CC40</f>
        <v>-320.46</v>
      </c>
      <c r="CF40" s="222">
        <f>IF(AND(CD40&gt;0,CE40&gt;0),CE40/CD40,N($E40))</f>
        <v>35.28</v>
      </c>
      <c r="CG40" s="220">
        <f>IF($B40="",0,SUMIFS(出库明细!$E$4:$E$3003,出库明细!$D$4:$D$3003,$B40,出库明细!$B$4:$B$3003,"&gt;="&amp;DATE(年度,7,1),出库明细!$B$4:$B$3003,"&lt;"&amp;DATE(年度,7+1,1)))</f>
        <v>0</v>
      </c>
      <c r="CH40" s="186">
        <f>CG40*CF40</f>
        <v>0</v>
      </c>
      <c r="CI40" s="220">
        <f>_辅助!BS38</f>
        <v>3.08333333333333</v>
      </c>
      <c r="CJ40" s="186">
        <f>_辅助!AI38</f>
        <v>108.78</v>
      </c>
      <c r="CK40" s="221">
        <f>CD40-CG40-CI40</f>
        <v>-12.1666666666667</v>
      </c>
      <c r="CL40" s="187">
        <f>CE40-CH40-CJ40</f>
        <v>-429.24</v>
      </c>
      <c r="CM40" s="236">
        <f>IF(AND(CD40&gt;0,CE40&gt;0),0,CH40)</f>
        <v>0</v>
      </c>
      <c r="CN40" s="220">
        <f>IF($B40="",0,SUMIFS(采购进货!$E$4:$E$1503,采购进货!$D$4:$D$1503,$B40,采购进货!$B$4:$B$1503,"&gt;="&amp;DATE(年度,8,1),采购进货!$B$4:$B$1503,"&lt;"&amp;DATE(年度,8+1,1))+SUMIFS(采购进货!$H$4:$H$1503,采购进货!$D$4:$D$1503,$B40,采购进货!$B$4:$B$1503,"&gt;="&amp;DATE(年度,8,1),采购进货!$B$4:$B$1503,"&lt;"&amp;DATE(年度,8+1,1)))</f>
        <v>0</v>
      </c>
      <c r="CO40" s="186">
        <f>IF($B40="",0,SUMIFS(采购进货!$G$4:$G$1503,采购进货!$D$4:$D$1503,$B40,采购进货!$B$4:$B$1503,"&gt;="&amp;DATE(年度,8,1),采购进货!$B$4:$B$1503,"&lt;"&amp;DATE(年度,8+1,1)))</f>
        <v>0</v>
      </c>
      <c r="CP40" s="234">
        <f>CK40+CN40</f>
        <v>-12.1666666666667</v>
      </c>
      <c r="CQ40" s="235">
        <f>CL40+CO40</f>
        <v>-429.24</v>
      </c>
      <c r="CR40" s="222">
        <f>IF(AND(CP40&gt;0,CQ40&gt;0),CQ40/CP40,N($E40))</f>
        <v>35.28</v>
      </c>
      <c r="CS40" s="220">
        <f>IF($B40="",0,SUMIFS(出库明细!$E$4:$E$3003,出库明细!$D$4:$D$3003,$B40,出库明细!$B$4:$B$3003,"&gt;="&amp;DATE(年度,8,1),出库明细!$B$4:$B$3003,"&lt;"&amp;DATE(年度,8+1,1)))</f>
        <v>0</v>
      </c>
      <c r="CT40" s="186">
        <f>CS40*CR40</f>
        <v>0</v>
      </c>
      <c r="CU40" s="220">
        <f>_辅助!BT38</f>
        <v>3.5</v>
      </c>
      <c r="CV40" s="186">
        <f>_辅助!AJ38</f>
        <v>123.48</v>
      </c>
      <c r="CW40" s="221">
        <f>CP40-CS40-CU40</f>
        <v>-15.6666666666667</v>
      </c>
      <c r="CX40" s="187">
        <f>CQ40-CT40-CV40</f>
        <v>-552.72</v>
      </c>
      <c r="CY40" s="236">
        <f>IF(AND(CP40&gt;0,CQ40&gt;0),0,CT40)</f>
        <v>0</v>
      </c>
      <c r="CZ40" s="220">
        <f>IF($B40="",0,SUMIFS(采购进货!$E$4:$E$1503,采购进货!$D$4:$D$1503,$B40,采购进货!$B$4:$B$1503,"&gt;="&amp;DATE(年度,9,1),采购进货!$B$4:$B$1503,"&lt;"&amp;DATE(年度,9+1,1))+SUMIFS(采购进货!$H$4:$H$1503,采购进货!$D$4:$D$1503,$B40,采购进货!$B$4:$B$1503,"&gt;="&amp;DATE(年度,9,1),采购进货!$B$4:$B$1503,"&lt;"&amp;DATE(年度,9+1,1)))</f>
        <v>0</v>
      </c>
      <c r="DA40" s="186">
        <f>IF($B40="",0,SUMIFS(采购进货!$G$4:$G$1503,采购进货!$D$4:$D$1503,$B40,采购进货!$B$4:$B$1503,"&gt;="&amp;DATE(年度,9,1),采购进货!$B$4:$B$1503,"&lt;"&amp;DATE(年度,9+1,1)))</f>
        <v>0</v>
      </c>
      <c r="DB40" s="234">
        <f>CW40+CZ40</f>
        <v>-15.6666666666667</v>
      </c>
      <c r="DC40" s="235">
        <f>CX40+DA40</f>
        <v>-552.72</v>
      </c>
      <c r="DD40" s="222">
        <f>IF(AND(DB40&gt;0,DC40&gt;0),DC40/DB40,N($E40))</f>
        <v>35.28</v>
      </c>
      <c r="DE40" s="220">
        <f>IF($B40="",0,SUMIFS(出库明细!$E$4:$E$3003,出库明细!$D$4:$D$3003,$B40,出库明细!$B$4:$B$3003,"&gt;="&amp;DATE(年度,9,1),出库明细!$B$4:$B$3003,"&lt;"&amp;DATE(年度,9+1,1)))</f>
        <v>0</v>
      </c>
      <c r="DF40" s="186">
        <f>DE40*DD40</f>
        <v>0</v>
      </c>
      <c r="DG40" s="220">
        <f>_辅助!BU38</f>
        <v>0</v>
      </c>
      <c r="DH40" s="186">
        <f>_辅助!AK38</f>
        <v>0</v>
      </c>
      <c r="DI40" s="221">
        <f>DB40-DE40-DG40</f>
        <v>-15.6666666666667</v>
      </c>
      <c r="DJ40" s="187">
        <f>DC40-DF40-DH40</f>
        <v>-552.72</v>
      </c>
      <c r="DK40" s="236">
        <f>IF(AND(DB40&gt;0,DC40&gt;0),0,DF40)</f>
        <v>0</v>
      </c>
      <c r="DL40" s="220">
        <f>IF($B40="",0,SUMIFS(采购进货!$E$4:$E$1503,采购进货!$D$4:$D$1503,$B40,采购进货!$B$4:$B$1503,"&gt;="&amp;DATE(年度,10,1),采购进货!$B$4:$B$1503,"&lt;"&amp;DATE(年度,10+1,1))+SUMIFS(采购进货!$H$4:$H$1503,采购进货!$D$4:$D$1503,$B40,采购进货!$B$4:$B$1503,"&gt;="&amp;DATE(年度,10,1),采购进货!$B$4:$B$1503,"&lt;"&amp;DATE(年度,10+1,1)))</f>
        <v>0</v>
      </c>
      <c r="DM40" s="186">
        <f>IF($B40="",0,SUMIFS(采购进货!$G$4:$G$1503,采购进货!$D$4:$D$1503,$B40,采购进货!$B$4:$B$1503,"&gt;="&amp;DATE(年度,10,1),采购进货!$B$4:$B$1503,"&lt;"&amp;DATE(年度,10+1,1)))</f>
        <v>0</v>
      </c>
      <c r="DN40" s="234">
        <f>DI40+DL40</f>
        <v>-15.6666666666667</v>
      </c>
      <c r="DO40" s="235">
        <f>DJ40+DM40</f>
        <v>-552.72</v>
      </c>
      <c r="DP40" s="222">
        <f>IF(AND(DN40&gt;0,DO40&gt;0),DO40/DN40,N($E40))</f>
        <v>35.28</v>
      </c>
      <c r="DQ40" s="220">
        <f>IF($B40="",0,SUMIFS(出库明细!$E$4:$E$3003,出库明细!$D$4:$D$3003,$B40,出库明细!$B$4:$B$3003,"&gt;="&amp;DATE(年度,10,1),出库明细!$B$4:$B$3003,"&lt;"&amp;DATE(年度,10+1,1)))</f>
        <v>0</v>
      </c>
      <c r="DR40" s="186">
        <f>DQ40*DP40</f>
        <v>0</v>
      </c>
      <c r="DS40" s="220">
        <f>_辅助!BV38</f>
        <v>0</v>
      </c>
      <c r="DT40" s="186">
        <f>_辅助!AL38</f>
        <v>0</v>
      </c>
      <c r="DU40" s="221">
        <f>DN40-DQ40-DS40</f>
        <v>-15.6666666666667</v>
      </c>
      <c r="DV40" s="187">
        <f>DO40-DR40-DT40</f>
        <v>-552.72</v>
      </c>
      <c r="DW40" s="236">
        <f>IF(AND(DN40&gt;0,DO40&gt;0),0,DR40)</f>
        <v>0</v>
      </c>
      <c r="DX40" s="220">
        <f>IF($B40="",0,SUMIFS(采购进货!$E$4:$E$1503,采购进货!$D$4:$D$1503,$B40,采购进货!$B$4:$B$1503,"&gt;="&amp;DATE(年度,11,1),采购进货!$B$4:$B$1503,"&lt;"&amp;DATE(年度,11+1,1))+SUMIFS(采购进货!$H$4:$H$1503,采购进货!$D$4:$D$1503,$B40,采购进货!$B$4:$B$1503,"&gt;="&amp;DATE(年度,11,1),采购进货!$B$4:$B$1503,"&lt;"&amp;DATE(年度,11+1,1)))</f>
        <v>0</v>
      </c>
      <c r="DY40" s="186">
        <f>IF($B40="",0,SUMIFS(采购进货!$G$4:$G$1503,采购进货!$D$4:$D$1503,$B40,采购进货!$B$4:$B$1503,"&gt;="&amp;DATE(年度,11,1),采购进货!$B$4:$B$1503,"&lt;"&amp;DATE(年度,11+1,1)))</f>
        <v>0</v>
      </c>
      <c r="DZ40" s="234">
        <f>DU40+DX40</f>
        <v>-15.6666666666667</v>
      </c>
      <c r="EA40" s="235">
        <f>DV40+DY40</f>
        <v>-552.72</v>
      </c>
      <c r="EB40" s="222">
        <f>IF(AND(DZ40&gt;0,EA40&gt;0),EA40/DZ40,N($E40))</f>
        <v>35.28</v>
      </c>
      <c r="EC40" s="220">
        <f>IF($B40="",0,SUMIFS(出库明细!$E$4:$E$3003,出库明细!$D$4:$D$3003,$B40,出库明细!$B$4:$B$3003,"&gt;="&amp;DATE(年度,11,1),出库明细!$B$4:$B$3003,"&lt;"&amp;DATE(年度,11+1,1)))</f>
        <v>0</v>
      </c>
      <c r="ED40" s="186">
        <f>EC40*EB40</f>
        <v>0</v>
      </c>
      <c r="EE40" s="220">
        <f>_辅助!BW38</f>
        <v>0</v>
      </c>
      <c r="EF40" s="186">
        <f>_辅助!AM38</f>
        <v>0</v>
      </c>
      <c r="EG40" s="221">
        <f>DZ40-EC40-EE40</f>
        <v>-15.6666666666667</v>
      </c>
      <c r="EH40" s="187">
        <f>EA40-ED40-EF40</f>
        <v>-552.72</v>
      </c>
      <c r="EI40" s="236">
        <f>IF(AND(DZ40&gt;0,EA40&gt;0),0,ED40)</f>
        <v>0</v>
      </c>
      <c r="EJ40" s="220">
        <f>IF($B40="",0,SUMIFS(采购进货!$E$4:$E$1503,采购进货!$D$4:$D$1503,$B40,采购进货!$B$4:$B$1503,"&gt;="&amp;DATE(年度,12,1),采购进货!$B$4:$B$1503,"&lt;"&amp;DATE(年度,12+1,1))+SUMIFS(采购进货!$H$4:$H$1503,采购进货!$D$4:$D$1503,$B40,采购进货!$B$4:$B$1503,"&gt;="&amp;DATE(年度,12,1),采购进货!$B$4:$B$1503,"&lt;"&amp;DATE(年度,12+1,1)))</f>
        <v>0</v>
      </c>
      <c r="EK40" s="186">
        <f>IF($B40="",0,SUMIFS(采购进货!$G$4:$G$1503,采购进货!$D$4:$D$1503,$B40,采购进货!$B$4:$B$1503,"&gt;="&amp;DATE(年度,12,1),采购进货!$B$4:$B$1503,"&lt;"&amp;DATE(年度,12+1,1)))</f>
        <v>0</v>
      </c>
      <c r="EL40" s="234">
        <f>EG40+EJ40</f>
        <v>-15.6666666666667</v>
      </c>
      <c r="EM40" s="235">
        <f>EH40+EK40</f>
        <v>-552.72</v>
      </c>
      <c r="EN40" s="222">
        <f>IF(AND(EL40&gt;0,EM40&gt;0),EM40/EL40,N($E40))</f>
        <v>35.28</v>
      </c>
      <c r="EO40" s="220">
        <f>IF($B40="",0,SUMIFS(出库明细!$E$4:$E$3003,出库明细!$D$4:$D$3003,$B40,出库明细!$B$4:$B$3003,"&gt;="&amp;DATE(年度,12,1),出库明细!$B$4:$B$3003,"&lt;"&amp;DATE(年度,12+1,1)))</f>
        <v>0</v>
      </c>
      <c r="EP40" s="186">
        <f>EO40*EN40</f>
        <v>0</v>
      </c>
      <c r="EQ40" s="220">
        <f>_辅助!BX38</f>
        <v>0</v>
      </c>
      <c r="ER40" s="186">
        <f>_辅助!AN38</f>
        <v>0</v>
      </c>
      <c r="ES40" s="221">
        <f>EL40-EO40-EQ40</f>
        <v>-15.6666666666667</v>
      </c>
      <c r="ET40" s="187">
        <f>EM40-EP40-ER40</f>
        <v>-552.72</v>
      </c>
      <c r="EU40" s="236">
        <f>IF(AND(EL40&gt;0,EM40&gt;0),0,EP40)</f>
        <v>0</v>
      </c>
    </row>
    <row r="41">
      <c r="A41" s="194">
        <f>IF(B41="","",ROW()-7)</f>
        <v>34</v>
      </c>
      <c r="B41" s="141" t="str">
        <f>IF(基础资料!E38="","",基础资料!E38&amp;"")</f>
        <v>青岛清爽8奖盖过期</v>
      </c>
      <c r="C41" s="230" t="str">
        <f>IF(基础资料!G38="","",基础资料!G38&amp;"")</f>
        <v>青岛清爽8奖盖过期</v>
      </c>
      <c r="D41" s="194">
        <f>IF(基础资料!I38="","",基础资料!I38)</f>
        <v>12</v>
      </c>
      <c r="E41" s="231">
        <f>IF(基础资料!J38="","",基础资料!J38)</f>
        <v>35.28</v>
      </c>
      <c r="F41" s="232">
        <f>N(基础资料!L38)</f>
        <v>0</v>
      </c>
      <c r="G41" s="233">
        <f>IF(基础资料!N38="",0,基础资料!N38)</f>
        <v>0</v>
      </c>
      <c r="H41" s="220">
        <f>IF($B41="",0,SUMIFS(采购进货!$E$4:$E$1503,采购进货!$D$4:$D$1503,$B41,采购进货!$B$4:$B$1503,"&gt;="&amp;DATE(年度,1,1),采购进货!$B$4:$B$1503,"&lt;"&amp;DATE(年度,1+1,1))+SUMIFS(采购进货!$H$4:$H$1503,采购进货!$D$4:$D$1503,$B41,采购进货!$B$4:$B$1503,"&gt;="&amp;DATE(年度,1,1),采购进货!$B$4:$B$1503,"&lt;"&amp;DATE(年度,1+1,1)))</f>
        <v>0</v>
      </c>
      <c r="I41" s="186">
        <f>IF($B41="",0,SUMIFS(采购进货!$G$4:$G$1503,采购进货!$D$4:$D$1503,$B41,采购进货!$B$4:$B$1503,"&gt;="&amp;DATE(年度,1,1),采购进货!$B$4:$B$1503,"&lt;"&amp;DATE(年度,1+1,1)))</f>
        <v>0</v>
      </c>
      <c r="J41" s="234">
        <f>F41+H41</f>
        <v>0</v>
      </c>
      <c r="K41" s="235">
        <f>G41+I41</f>
        <v>0</v>
      </c>
      <c r="L41" s="222">
        <f>IF(AND(J41&gt;0,K41&gt;0),K41/J41,N($E41))</f>
        <v>35.28</v>
      </c>
      <c r="M41" s="220">
        <f>IF($B41="",0,SUMIFS(出库明细!$E$4:$E$3003,出库明细!$D$4:$D$3003,$B41,出库明细!$B$4:$B$3003,"&gt;="&amp;DATE(年度,1,1),出库明细!$B$4:$B$3003,"&lt;"&amp;DATE(年度,1+1,1)))</f>
        <v>0</v>
      </c>
      <c r="N41" s="186">
        <f>M41*L41</f>
        <v>0</v>
      </c>
      <c r="O41" s="220">
        <f>_辅助!BM39</f>
        <v>0</v>
      </c>
      <c r="P41" s="186">
        <f>_辅助!AC39</f>
        <v>0</v>
      </c>
      <c r="Q41" s="221">
        <f>J41-M41-O41</f>
        <v>0</v>
      </c>
      <c r="R41" s="187">
        <f>K41-N41-P41</f>
        <v>0</v>
      </c>
      <c r="S41" s="236">
        <f>IF(AND(J41&gt;0,K41&gt;0),0,N41)</f>
        <v>0</v>
      </c>
      <c r="T41" s="220">
        <f>IF($B41="",0,SUMIFS(采购进货!$E$4:$E$1503,采购进货!$D$4:$D$1503,$B41,采购进货!$B$4:$B$1503,"&gt;="&amp;DATE(年度,2,1),采购进货!$B$4:$B$1503,"&lt;"&amp;DATE(年度,2+1,1))+SUMIFS(采购进货!$H$4:$H$1503,采购进货!$D$4:$D$1503,$B41,采购进货!$B$4:$B$1503,"&gt;="&amp;DATE(年度,2,1),采购进货!$B$4:$B$1503,"&lt;"&amp;DATE(年度,2+1,1)))</f>
        <v>0</v>
      </c>
      <c r="U41" s="186">
        <f>IF($B41="",0,SUMIFS(采购进货!$G$4:$G$1503,采购进货!$D$4:$D$1503,$B41,采购进货!$B$4:$B$1503,"&gt;="&amp;DATE(年度,2,1),采购进货!$B$4:$B$1503,"&lt;"&amp;DATE(年度,2+1,1)))</f>
        <v>0</v>
      </c>
      <c r="V41" s="234">
        <f>Q41+T41</f>
        <v>0</v>
      </c>
      <c r="W41" s="235">
        <f>R41+U41</f>
        <v>0</v>
      </c>
      <c r="X41" s="222">
        <f>IF(AND(V41&gt;0,W41&gt;0),W41/V41,N($E41))</f>
        <v>35.28</v>
      </c>
      <c r="Y41" s="220">
        <f>IF($B41="",0,SUMIFS(出库明细!$E$4:$E$3003,出库明细!$D$4:$D$3003,$B41,出库明细!$B$4:$B$3003,"&gt;="&amp;DATE(年度,2,1),出库明细!$B$4:$B$3003,"&lt;"&amp;DATE(年度,2+1,1)))</f>
        <v>0</v>
      </c>
      <c r="Z41" s="186">
        <f>Y41*X41</f>
        <v>0</v>
      </c>
      <c r="AA41" s="220">
        <f>_辅助!BN39</f>
        <v>0</v>
      </c>
      <c r="AB41" s="186">
        <f>_辅助!AD39</f>
        <v>0</v>
      </c>
      <c r="AC41" s="221">
        <f>V41-Y41-AA41</f>
        <v>0</v>
      </c>
      <c r="AD41" s="187">
        <f>W41-Z41-AB41</f>
        <v>0</v>
      </c>
      <c r="AE41" s="236">
        <f>IF(AND(V41&gt;0,W41&gt;0),0,Z41)</f>
        <v>0</v>
      </c>
      <c r="AF41" s="220">
        <f>IF($B41="",0,SUMIFS(采购进货!$E$4:$E$1503,采购进货!$D$4:$D$1503,$B41,采购进货!$B$4:$B$1503,"&gt;="&amp;DATE(年度,3,1),采购进货!$B$4:$B$1503,"&lt;"&amp;DATE(年度,3+1,1))+SUMIFS(采购进货!$H$4:$H$1503,采购进货!$D$4:$D$1503,$B41,采购进货!$B$4:$B$1503,"&gt;="&amp;DATE(年度,3,1),采购进货!$B$4:$B$1503,"&lt;"&amp;DATE(年度,3+1,1)))</f>
        <v>0</v>
      </c>
      <c r="AG41" s="186">
        <f>IF($B41="",0,SUMIFS(采购进货!$G$4:$G$1503,采购进货!$D$4:$D$1503,$B41,采购进货!$B$4:$B$1503,"&gt;="&amp;DATE(年度,3,1),采购进货!$B$4:$B$1503,"&lt;"&amp;DATE(年度,3+1,1)))</f>
        <v>0</v>
      </c>
      <c r="AH41" s="234">
        <f>AC41+AF41</f>
        <v>0</v>
      </c>
      <c r="AI41" s="235">
        <f>AD41+AG41</f>
        <v>0</v>
      </c>
      <c r="AJ41" s="222">
        <f>IF(AND(AH41&gt;0,AI41&gt;0),AI41/AH41,N($E41))</f>
        <v>35.28</v>
      </c>
      <c r="AK41" s="220">
        <f>IF($B41="",0,SUMIFS(出库明细!$E$4:$E$3003,出库明细!$D$4:$D$3003,$B41,出库明细!$B$4:$B$3003,"&gt;="&amp;DATE(年度,3,1),出库明细!$B$4:$B$3003,"&lt;"&amp;DATE(年度,3+1,1)))</f>
        <v>0</v>
      </c>
      <c r="AL41" s="186">
        <f>AK41*AJ41</f>
        <v>0</v>
      </c>
      <c r="AM41" s="220">
        <f>_辅助!BO39</f>
        <v>0</v>
      </c>
      <c r="AN41" s="186">
        <f>_辅助!AE39</f>
        <v>0</v>
      </c>
      <c r="AO41" s="221">
        <f>AH41-AK41-AM41</f>
        <v>0</v>
      </c>
      <c r="AP41" s="187">
        <f>AI41-AL41-AN41</f>
        <v>0</v>
      </c>
      <c r="AQ41" s="236">
        <f>IF(AND(AH41&gt;0,AI41&gt;0),0,AL41)</f>
        <v>0</v>
      </c>
      <c r="AR41" s="220">
        <f>IF($B41="",0,SUMIFS(采购进货!$E$4:$E$1503,采购进货!$D$4:$D$1503,$B41,采购进货!$B$4:$B$1503,"&gt;="&amp;DATE(年度,4,1),采购进货!$B$4:$B$1503,"&lt;"&amp;DATE(年度,4+1,1))+SUMIFS(采购进货!$H$4:$H$1503,采购进货!$D$4:$D$1503,$B41,采购进货!$B$4:$B$1503,"&gt;="&amp;DATE(年度,4,1),采购进货!$B$4:$B$1503,"&lt;"&amp;DATE(年度,4+1,1)))</f>
        <v>0</v>
      </c>
      <c r="AS41" s="186">
        <f>IF($B41="",0,SUMIFS(采购进货!$G$4:$G$1503,采购进货!$D$4:$D$1503,$B41,采购进货!$B$4:$B$1503,"&gt;="&amp;DATE(年度,4,1),采购进货!$B$4:$B$1503,"&lt;"&amp;DATE(年度,4+1,1)))</f>
        <v>0</v>
      </c>
      <c r="AT41" s="234">
        <f>AO41+AR41</f>
        <v>0</v>
      </c>
      <c r="AU41" s="235">
        <f>AP41+AS41</f>
        <v>0</v>
      </c>
      <c r="AV41" s="222">
        <f>IF(AND(AT41&gt;0,AU41&gt;0),AU41/AT41,N($E41))</f>
        <v>35.28</v>
      </c>
      <c r="AW41" s="220">
        <f>IF($B41="",0,SUMIFS(出库明细!$E$4:$E$3003,出库明细!$D$4:$D$3003,$B41,出库明细!$B$4:$B$3003,"&gt;="&amp;DATE(年度,4,1),出库明细!$B$4:$B$3003,"&lt;"&amp;DATE(年度,4+1,1)))</f>
        <v>0</v>
      </c>
      <c r="AX41" s="186">
        <f>AW41*AV41</f>
        <v>0</v>
      </c>
      <c r="AY41" s="220">
        <f>_辅助!BP39</f>
        <v>0</v>
      </c>
      <c r="AZ41" s="186">
        <f>_辅助!AF39</f>
        <v>0</v>
      </c>
      <c r="BA41" s="221">
        <f>AT41-AW41-AY41</f>
        <v>0</v>
      </c>
      <c r="BB41" s="187">
        <f>AU41-AX41-AZ41</f>
        <v>0</v>
      </c>
      <c r="BC41" s="236">
        <f>IF(AND(AT41&gt;0,AU41&gt;0),0,AX41)</f>
        <v>0</v>
      </c>
      <c r="BD41" s="220">
        <f>IF($B41="",0,SUMIFS(采购进货!$E$4:$E$1503,采购进货!$D$4:$D$1503,$B41,采购进货!$B$4:$B$1503,"&gt;="&amp;DATE(年度,5,1),采购进货!$B$4:$B$1503,"&lt;"&amp;DATE(年度,5+1,1))+SUMIFS(采购进货!$H$4:$H$1503,采购进货!$D$4:$D$1503,$B41,采购进货!$B$4:$B$1503,"&gt;="&amp;DATE(年度,5,1),采购进货!$B$4:$B$1503,"&lt;"&amp;DATE(年度,5+1,1)))</f>
        <v>0</v>
      </c>
      <c r="BE41" s="186">
        <f>IF($B41="",0,SUMIFS(采购进货!$G$4:$G$1503,采购进货!$D$4:$D$1503,$B41,采购进货!$B$4:$B$1503,"&gt;="&amp;DATE(年度,5,1),采购进货!$B$4:$B$1503,"&lt;"&amp;DATE(年度,5+1,1)))</f>
        <v>0</v>
      </c>
      <c r="BF41" s="234">
        <f>BA41+BD41</f>
        <v>0</v>
      </c>
      <c r="BG41" s="235">
        <f>BB41+BE41</f>
        <v>0</v>
      </c>
      <c r="BH41" s="222">
        <f>IF(AND(BF41&gt;0,BG41&gt;0),BG41/BF41,N($E41))</f>
        <v>35.28</v>
      </c>
      <c r="BI41" s="220">
        <f>IF($B41="",0,SUMIFS(出库明细!$E$4:$E$3003,出库明细!$D$4:$D$3003,$B41,出库明细!$B$4:$B$3003,"&gt;="&amp;DATE(年度,5,1),出库明细!$B$4:$B$3003,"&lt;"&amp;DATE(年度,5+1,1)))</f>
        <v>0</v>
      </c>
      <c r="BJ41" s="186">
        <f>BI41*BH41</f>
        <v>0</v>
      </c>
      <c r="BK41" s="220">
        <f>_辅助!BQ39</f>
        <v>0</v>
      </c>
      <c r="BL41" s="186">
        <f>_辅助!AG39</f>
        <v>0</v>
      </c>
      <c r="BM41" s="221">
        <f>BF41-BI41-BK41</f>
        <v>0</v>
      </c>
      <c r="BN41" s="187">
        <f>BG41-BJ41-BL41</f>
        <v>0</v>
      </c>
      <c r="BO41" s="236">
        <f>IF(AND(BF41&gt;0,BG41&gt;0),0,BJ41)</f>
        <v>0</v>
      </c>
      <c r="BP41" s="220">
        <f>IF($B41="",0,SUMIFS(采购进货!$E$4:$E$1503,采购进货!$D$4:$D$1503,$B41,采购进货!$B$4:$B$1503,"&gt;="&amp;DATE(年度,6,1),采购进货!$B$4:$B$1503,"&lt;"&amp;DATE(年度,6+1,1))+SUMIFS(采购进货!$H$4:$H$1503,采购进货!$D$4:$D$1503,$B41,采购进货!$B$4:$B$1503,"&gt;="&amp;DATE(年度,6,1),采购进货!$B$4:$B$1503,"&lt;"&amp;DATE(年度,6+1,1)))</f>
        <v>0</v>
      </c>
      <c r="BQ41" s="186">
        <f>IF($B41="",0,SUMIFS(采购进货!$G$4:$G$1503,采购进货!$D$4:$D$1503,$B41,采购进货!$B$4:$B$1503,"&gt;="&amp;DATE(年度,6,1),采购进货!$B$4:$B$1503,"&lt;"&amp;DATE(年度,6+1,1)))</f>
        <v>0</v>
      </c>
      <c r="BR41" s="234">
        <f>BM41+BP41</f>
        <v>0</v>
      </c>
      <c r="BS41" s="235">
        <f>BN41+BQ41</f>
        <v>0</v>
      </c>
      <c r="BT41" s="222">
        <f>IF(AND(BR41&gt;0,BS41&gt;0),BS41/BR41,N($E41))</f>
        <v>35.28</v>
      </c>
      <c r="BU41" s="220">
        <f>IF($B41="",0,SUMIFS(出库明细!$E$4:$E$3003,出库明细!$D$4:$D$3003,$B41,出库明细!$B$4:$B$3003,"&gt;="&amp;DATE(年度,6,1),出库明细!$B$4:$B$3003,"&lt;"&amp;DATE(年度,6+1,1)))</f>
        <v>0</v>
      </c>
      <c r="BV41" s="186">
        <f>BU41*BT41</f>
        <v>0</v>
      </c>
      <c r="BW41" s="220">
        <f>_辅助!BR39</f>
        <v>4.66666666666667</v>
      </c>
      <c r="BX41" s="186">
        <f>_辅助!AH39</f>
        <v>164.64</v>
      </c>
      <c r="BY41" s="221">
        <f>BR41-BU41-BW41</f>
        <v>-4.66666666666667</v>
      </c>
      <c r="BZ41" s="187">
        <f>BS41-BV41-BX41</f>
        <v>-164.64</v>
      </c>
      <c r="CA41" s="236">
        <f>IF(AND(BR41&gt;0,BS41&gt;0),0,BV41)</f>
        <v>0</v>
      </c>
      <c r="CB41" s="220">
        <f>IF($B41="",0,SUMIFS(采购进货!$E$4:$E$1503,采购进货!$D$4:$D$1503,$B41,采购进货!$B$4:$B$1503,"&gt;="&amp;DATE(年度,7,1),采购进货!$B$4:$B$1503,"&lt;"&amp;DATE(年度,7+1,1))+SUMIFS(采购进货!$H$4:$H$1503,采购进货!$D$4:$D$1503,$B41,采购进货!$B$4:$B$1503,"&gt;="&amp;DATE(年度,7,1),采购进货!$B$4:$B$1503,"&lt;"&amp;DATE(年度,7+1,1)))</f>
        <v>0</v>
      </c>
      <c r="CC41" s="186">
        <f>IF($B41="",0,SUMIFS(采购进货!$G$4:$G$1503,采购进货!$D$4:$D$1503,$B41,采购进货!$B$4:$B$1503,"&gt;="&amp;DATE(年度,7,1),采购进货!$B$4:$B$1503,"&lt;"&amp;DATE(年度,7+1,1)))</f>
        <v>0</v>
      </c>
      <c r="CD41" s="234">
        <f>BY41+CB41</f>
        <v>-4.66666666666667</v>
      </c>
      <c r="CE41" s="235">
        <f>BZ41+CC41</f>
        <v>-164.64</v>
      </c>
      <c r="CF41" s="222">
        <f>IF(AND(CD41&gt;0,CE41&gt;0),CE41/CD41,N($E41))</f>
        <v>35.28</v>
      </c>
      <c r="CG41" s="220">
        <f>IF($B41="",0,SUMIFS(出库明细!$E$4:$E$3003,出库明细!$D$4:$D$3003,$B41,出库明细!$B$4:$B$3003,"&gt;="&amp;DATE(年度,7,1),出库明细!$B$4:$B$3003,"&lt;"&amp;DATE(年度,7+1,1)))</f>
        <v>0</v>
      </c>
      <c r="CH41" s="186">
        <f>CG41*CF41</f>
        <v>0</v>
      </c>
      <c r="CI41" s="220">
        <f>_辅助!BS39</f>
        <v>0</v>
      </c>
      <c r="CJ41" s="186">
        <f>_辅助!AI39</f>
        <v>0</v>
      </c>
      <c r="CK41" s="221">
        <f>CD41-CG41-CI41</f>
        <v>-4.66666666666667</v>
      </c>
      <c r="CL41" s="187">
        <f>CE41-CH41-CJ41</f>
        <v>-164.64</v>
      </c>
      <c r="CM41" s="236">
        <f>IF(AND(CD41&gt;0,CE41&gt;0),0,CH41)</f>
        <v>0</v>
      </c>
      <c r="CN41" s="220">
        <f>IF($B41="",0,SUMIFS(采购进货!$E$4:$E$1503,采购进货!$D$4:$D$1503,$B41,采购进货!$B$4:$B$1503,"&gt;="&amp;DATE(年度,8,1),采购进货!$B$4:$B$1503,"&lt;"&amp;DATE(年度,8+1,1))+SUMIFS(采购进货!$H$4:$H$1503,采购进货!$D$4:$D$1503,$B41,采购进货!$B$4:$B$1503,"&gt;="&amp;DATE(年度,8,1),采购进货!$B$4:$B$1503,"&lt;"&amp;DATE(年度,8+1,1)))</f>
        <v>0</v>
      </c>
      <c r="CO41" s="186">
        <f>IF($B41="",0,SUMIFS(采购进货!$G$4:$G$1503,采购进货!$D$4:$D$1503,$B41,采购进货!$B$4:$B$1503,"&gt;="&amp;DATE(年度,8,1),采购进货!$B$4:$B$1503,"&lt;"&amp;DATE(年度,8+1,1)))</f>
        <v>0</v>
      </c>
      <c r="CP41" s="234">
        <f>CK41+CN41</f>
        <v>-4.66666666666667</v>
      </c>
      <c r="CQ41" s="235">
        <f>CL41+CO41</f>
        <v>-164.64</v>
      </c>
      <c r="CR41" s="222">
        <f>IF(AND(CP41&gt;0,CQ41&gt;0),CQ41/CP41,N($E41))</f>
        <v>35.28</v>
      </c>
      <c r="CS41" s="220">
        <f>IF($B41="",0,SUMIFS(出库明细!$E$4:$E$3003,出库明细!$D$4:$D$3003,$B41,出库明细!$B$4:$B$3003,"&gt;="&amp;DATE(年度,8,1),出库明细!$B$4:$B$3003,"&lt;"&amp;DATE(年度,8+1,1)))</f>
        <v>0</v>
      </c>
      <c r="CT41" s="186">
        <f>CS41*CR41</f>
        <v>0</v>
      </c>
      <c r="CU41" s="220">
        <f>_辅助!BT39</f>
        <v>0</v>
      </c>
      <c r="CV41" s="186">
        <f>_辅助!AJ39</f>
        <v>0</v>
      </c>
      <c r="CW41" s="221">
        <f>CP41-CS41-CU41</f>
        <v>-4.66666666666667</v>
      </c>
      <c r="CX41" s="187">
        <f>CQ41-CT41-CV41</f>
        <v>-164.64</v>
      </c>
      <c r="CY41" s="236">
        <f>IF(AND(CP41&gt;0,CQ41&gt;0),0,CT41)</f>
        <v>0</v>
      </c>
      <c r="CZ41" s="220">
        <f>IF($B41="",0,SUMIFS(采购进货!$E$4:$E$1503,采购进货!$D$4:$D$1503,$B41,采购进货!$B$4:$B$1503,"&gt;="&amp;DATE(年度,9,1),采购进货!$B$4:$B$1503,"&lt;"&amp;DATE(年度,9+1,1))+SUMIFS(采购进货!$H$4:$H$1503,采购进货!$D$4:$D$1503,$B41,采购进货!$B$4:$B$1503,"&gt;="&amp;DATE(年度,9,1),采购进货!$B$4:$B$1503,"&lt;"&amp;DATE(年度,9+1,1)))</f>
        <v>0</v>
      </c>
      <c r="DA41" s="186">
        <f>IF($B41="",0,SUMIFS(采购进货!$G$4:$G$1503,采购进货!$D$4:$D$1503,$B41,采购进货!$B$4:$B$1503,"&gt;="&amp;DATE(年度,9,1),采购进货!$B$4:$B$1503,"&lt;"&amp;DATE(年度,9+1,1)))</f>
        <v>0</v>
      </c>
      <c r="DB41" s="234">
        <f>CW41+CZ41</f>
        <v>-4.66666666666667</v>
      </c>
      <c r="DC41" s="235">
        <f>CX41+DA41</f>
        <v>-164.64</v>
      </c>
      <c r="DD41" s="222">
        <f>IF(AND(DB41&gt;0,DC41&gt;0),DC41/DB41,N($E41))</f>
        <v>35.28</v>
      </c>
      <c r="DE41" s="220">
        <f>IF($B41="",0,SUMIFS(出库明细!$E$4:$E$3003,出库明细!$D$4:$D$3003,$B41,出库明细!$B$4:$B$3003,"&gt;="&amp;DATE(年度,9,1),出库明细!$B$4:$B$3003,"&lt;"&amp;DATE(年度,9+1,1)))</f>
        <v>0</v>
      </c>
      <c r="DF41" s="186">
        <f>DE41*DD41</f>
        <v>0</v>
      </c>
      <c r="DG41" s="220">
        <f>_辅助!BU39</f>
        <v>0</v>
      </c>
      <c r="DH41" s="186">
        <f>_辅助!AK39</f>
        <v>0</v>
      </c>
      <c r="DI41" s="221">
        <f>DB41-DE41-DG41</f>
        <v>-4.66666666666667</v>
      </c>
      <c r="DJ41" s="187">
        <f>DC41-DF41-DH41</f>
        <v>-164.64</v>
      </c>
      <c r="DK41" s="236">
        <f>IF(AND(DB41&gt;0,DC41&gt;0),0,DF41)</f>
        <v>0</v>
      </c>
      <c r="DL41" s="220">
        <f>IF($B41="",0,SUMIFS(采购进货!$E$4:$E$1503,采购进货!$D$4:$D$1503,$B41,采购进货!$B$4:$B$1503,"&gt;="&amp;DATE(年度,10,1),采购进货!$B$4:$B$1503,"&lt;"&amp;DATE(年度,10+1,1))+SUMIFS(采购进货!$H$4:$H$1503,采购进货!$D$4:$D$1503,$B41,采购进货!$B$4:$B$1503,"&gt;="&amp;DATE(年度,10,1),采购进货!$B$4:$B$1503,"&lt;"&amp;DATE(年度,10+1,1)))</f>
        <v>0</v>
      </c>
      <c r="DM41" s="186">
        <f>IF($B41="",0,SUMIFS(采购进货!$G$4:$G$1503,采购进货!$D$4:$D$1503,$B41,采购进货!$B$4:$B$1503,"&gt;="&amp;DATE(年度,10,1),采购进货!$B$4:$B$1503,"&lt;"&amp;DATE(年度,10+1,1)))</f>
        <v>0</v>
      </c>
      <c r="DN41" s="234">
        <f>DI41+DL41</f>
        <v>-4.66666666666667</v>
      </c>
      <c r="DO41" s="235">
        <f>DJ41+DM41</f>
        <v>-164.64</v>
      </c>
      <c r="DP41" s="222">
        <f>IF(AND(DN41&gt;0,DO41&gt;0),DO41/DN41,N($E41))</f>
        <v>35.28</v>
      </c>
      <c r="DQ41" s="220">
        <f>IF($B41="",0,SUMIFS(出库明细!$E$4:$E$3003,出库明细!$D$4:$D$3003,$B41,出库明细!$B$4:$B$3003,"&gt;="&amp;DATE(年度,10,1),出库明细!$B$4:$B$3003,"&lt;"&amp;DATE(年度,10+1,1)))</f>
        <v>0</v>
      </c>
      <c r="DR41" s="186">
        <f>DQ41*DP41</f>
        <v>0</v>
      </c>
      <c r="DS41" s="220">
        <f>_辅助!BV39</f>
        <v>0</v>
      </c>
      <c r="DT41" s="186">
        <f>_辅助!AL39</f>
        <v>0</v>
      </c>
      <c r="DU41" s="221">
        <f>DN41-DQ41-DS41</f>
        <v>-4.66666666666667</v>
      </c>
      <c r="DV41" s="187">
        <f>DO41-DR41-DT41</f>
        <v>-164.64</v>
      </c>
      <c r="DW41" s="236">
        <f>IF(AND(DN41&gt;0,DO41&gt;0),0,DR41)</f>
        <v>0</v>
      </c>
      <c r="DX41" s="220">
        <f>IF($B41="",0,SUMIFS(采购进货!$E$4:$E$1503,采购进货!$D$4:$D$1503,$B41,采购进货!$B$4:$B$1503,"&gt;="&amp;DATE(年度,11,1),采购进货!$B$4:$B$1503,"&lt;"&amp;DATE(年度,11+1,1))+SUMIFS(采购进货!$H$4:$H$1503,采购进货!$D$4:$D$1503,$B41,采购进货!$B$4:$B$1503,"&gt;="&amp;DATE(年度,11,1),采购进货!$B$4:$B$1503,"&lt;"&amp;DATE(年度,11+1,1)))</f>
        <v>0</v>
      </c>
      <c r="DY41" s="186">
        <f>IF($B41="",0,SUMIFS(采购进货!$G$4:$G$1503,采购进货!$D$4:$D$1503,$B41,采购进货!$B$4:$B$1503,"&gt;="&amp;DATE(年度,11,1),采购进货!$B$4:$B$1503,"&lt;"&amp;DATE(年度,11+1,1)))</f>
        <v>0</v>
      </c>
      <c r="DZ41" s="234">
        <f>DU41+DX41</f>
        <v>-4.66666666666667</v>
      </c>
      <c r="EA41" s="235">
        <f>DV41+DY41</f>
        <v>-164.64</v>
      </c>
      <c r="EB41" s="222">
        <f>IF(AND(DZ41&gt;0,EA41&gt;0),EA41/DZ41,N($E41))</f>
        <v>35.28</v>
      </c>
      <c r="EC41" s="220">
        <f>IF($B41="",0,SUMIFS(出库明细!$E$4:$E$3003,出库明细!$D$4:$D$3003,$B41,出库明细!$B$4:$B$3003,"&gt;="&amp;DATE(年度,11,1),出库明细!$B$4:$B$3003,"&lt;"&amp;DATE(年度,11+1,1)))</f>
        <v>0</v>
      </c>
      <c r="ED41" s="186">
        <f>EC41*EB41</f>
        <v>0</v>
      </c>
      <c r="EE41" s="220">
        <f>_辅助!BW39</f>
        <v>0</v>
      </c>
      <c r="EF41" s="186">
        <f>_辅助!AM39</f>
        <v>0</v>
      </c>
      <c r="EG41" s="221">
        <f>DZ41-EC41-EE41</f>
        <v>-4.66666666666667</v>
      </c>
      <c r="EH41" s="187">
        <f>EA41-ED41-EF41</f>
        <v>-164.64</v>
      </c>
      <c r="EI41" s="236">
        <f>IF(AND(DZ41&gt;0,EA41&gt;0),0,ED41)</f>
        <v>0</v>
      </c>
      <c r="EJ41" s="220">
        <f>IF($B41="",0,SUMIFS(采购进货!$E$4:$E$1503,采购进货!$D$4:$D$1503,$B41,采购进货!$B$4:$B$1503,"&gt;="&amp;DATE(年度,12,1),采购进货!$B$4:$B$1503,"&lt;"&amp;DATE(年度,12+1,1))+SUMIFS(采购进货!$H$4:$H$1503,采购进货!$D$4:$D$1503,$B41,采购进货!$B$4:$B$1503,"&gt;="&amp;DATE(年度,12,1),采购进货!$B$4:$B$1503,"&lt;"&amp;DATE(年度,12+1,1)))</f>
        <v>0</v>
      </c>
      <c r="EK41" s="186">
        <f>IF($B41="",0,SUMIFS(采购进货!$G$4:$G$1503,采购进货!$D$4:$D$1503,$B41,采购进货!$B$4:$B$1503,"&gt;="&amp;DATE(年度,12,1),采购进货!$B$4:$B$1503,"&lt;"&amp;DATE(年度,12+1,1)))</f>
        <v>0</v>
      </c>
      <c r="EL41" s="234">
        <f>EG41+EJ41</f>
        <v>-4.66666666666667</v>
      </c>
      <c r="EM41" s="235">
        <f>EH41+EK41</f>
        <v>-164.64</v>
      </c>
      <c r="EN41" s="222">
        <f>IF(AND(EL41&gt;0,EM41&gt;0),EM41/EL41,N($E41))</f>
        <v>35.28</v>
      </c>
      <c r="EO41" s="220">
        <f>IF($B41="",0,SUMIFS(出库明细!$E$4:$E$3003,出库明细!$D$4:$D$3003,$B41,出库明细!$B$4:$B$3003,"&gt;="&amp;DATE(年度,12,1),出库明细!$B$4:$B$3003,"&lt;"&amp;DATE(年度,12+1,1)))</f>
        <v>0</v>
      </c>
      <c r="EP41" s="186">
        <f>EO41*EN41</f>
        <v>0</v>
      </c>
      <c r="EQ41" s="220">
        <f>_辅助!BX39</f>
        <v>0</v>
      </c>
      <c r="ER41" s="186">
        <f>_辅助!AN39</f>
        <v>0</v>
      </c>
      <c r="ES41" s="221">
        <f>EL41-EO41-EQ41</f>
        <v>-4.66666666666667</v>
      </c>
      <c r="ET41" s="187">
        <f>EM41-EP41-ER41</f>
        <v>-164.64</v>
      </c>
      <c r="EU41" s="236">
        <f>IF(AND(EL41&gt;0,EM41&gt;0),0,EP41)</f>
        <v>0</v>
      </c>
    </row>
    <row r="42">
      <c r="A42" s="194">
        <f>IF(B42="","",ROW()-7)</f>
        <v>35</v>
      </c>
      <c r="B42" s="141" t="str">
        <f>IF(基础资料!E39="","",基础资料!E39&amp;"")</f>
        <v>青岛经典</v>
      </c>
      <c r="C42" s="230" t="str">
        <f>IF(基础资料!G39="","",基础资料!G39&amp;"")</f>
        <v>青岛经典</v>
      </c>
      <c r="D42" s="194">
        <f>IF(基础资料!I39="","",基础资料!I39)</f>
        <v>12</v>
      </c>
      <c r="E42" s="231">
        <f>IF(基础资料!J39="","",基础资料!J39)</f>
        <v>50.04</v>
      </c>
      <c r="F42" s="232">
        <f>N(基础资料!L39)</f>
        <v>0</v>
      </c>
      <c r="G42" s="233">
        <f>IF(基础资料!N39="",0,基础资料!N39)</f>
        <v>0</v>
      </c>
      <c r="H42" s="220">
        <f>IF($B42="",0,SUMIFS(采购进货!$E$4:$E$1503,采购进货!$D$4:$D$1503,$B42,采购进货!$B$4:$B$1503,"&gt;="&amp;DATE(年度,1,1),采购进货!$B$4:$B$1503,"&lt;"&amp;DATE(年度,1+1,1))+SUMIFS(采购进货!$H$4:$H$1503,采购进货!$D$4:$D$1503,$B42,采购进货!$B$4:$B$1503,"&gt;="&amp;DATE(年度,1,1),采购进货!$B$4:$B$1503,"&lt;"&amp;DATE(年度,1+1,1)))</f>
        <v>0</v>
      </c>
      <c r="I42" s="186">
        <f>IF($B42="",0,SUMIFS(采购进货!$G$4:$G$1503,采购进货!$D$4:$D$1503,$B42,采购进货!$B$4:$B$1503,"&gt;="&amp;DATE(年度,1,1),采购进货!$B$4:$B$1503,"&lt;"&amp;DATE(年度,1+1,1)))</f>
        <v>0</v>
      </c>
      <c r="J42" s="234">
        <f>F42+H42</f>
        <v>0</v>
      </c>
      <c r="K42" s="235">
        <f>G42+I42</f>
        <v>0</v>
      </c>
      <c r="L42" s="222">
        <f>IF(AND(J42&gt;0,K42&gt;0),K42/J42,N($E42))</f>
        <v>50.04</v>
      </c>
      <c r="M42" s="220">
        <f>IF($B42="",0,SUMIFS(出库明细!$E$4:$E$3003,出库明细!$D$4:$D$3003,$B42,出库明细!$B$4:$B$3003,"&gt;="&amp;DATE(年度,1,1),出库明细!$B$4:$B$3003,"&lt;"&amp;DATE(年度,1+1,1)))</f>
        <v>0</v>
      </c>
      <c r="N42" s="186">
        <f>M42*L42</f>
        <v>0</v>
      </c>
      <c r="O42" s="220">
        <f>_辅助!BM40</f>
        <v>0</v>
      </c>
      <c r="P42" s="186">
        <f>_辅助!AC40</f>
        <v>0</v>
      </c>
      <c r="Q42" s="221">
        <f>J42-M42-O42</f>
        <v>0</v>
      </c>
      <c r="R42" s="187">
        <f>K42-N42-P42</f>
        <v>0</v>
      </c>
      <c r="S42" s="236">
        <f>IF(AND(J42&gt;0,K42&gt;0),0,N42)</f>
        <v>0</v>
      </c>
      <c r="T42" s="220">
        <f>IF($B42="",0,SUMIFS(采购进货!$E$4:$E$1503,采购进货!$D$4:$D$1503,$B42,采购进货!$B$4:$B$1503,"&gt;="&amp;DATE(年度,2,1),采购进货!$B$4:$B$1503,"&lt;"&amp;DATE(年度,2+1,1))+SUMIFS(采购进货!$H$4:$H$1503,采购进货!$D$4:$D$1503,$B42,采购进货!$B$4:$B$1503,"&gt;="&amp;DATE(年度,2,1),采购进货!$B$4:$B$1503,"&lt;"&amp;DATE(年度,2+1,1)))</f>
        <v>0</v>
      </c>
      <c r="U42" s="186">
        <f>IF($B42="",0,SUMIFS(采购进货!$G$4:$G$1503,采购进货!$D$4:$D$1503,$B42,采购进货!$B$4:$B$1503,"&gt;="&amp;DATE(年度,2,1),采购进货!$B$4:$B$1503,"&lt;"&amp;DATE(年度,2+1,1)))</f>
        <v>0</v>
      </c>
      <c r="V42" s="234">
        <f>Q42+T42</f>
        <v>0</v>
      </c>
      <c r="W42" s="235">
        <f>R42+U42</f>
        <v>0</v>
      </c>
      <c r="X42" s="222">
        <f>IF(AND(V42&gt;0,W42&gt;0),W42/V42,N($E42))</f>
        <v>50.04</v>
      </c>
      <c r="Y42" s="220">
        <f>IF($B42="",0,SUMIFS(出库明细!$E$4:$E$3003,出库明细!$D$4:$D$3003,$B42,出库明细!$B$4:$B$3003,"&gt;="&amp;DATE(年度,2,1),出库明细!$B$4:$B$3003,"&lt;"&amp;DATE(年度,2+1,1)))</f>
        <v>0</v>
      </c>
      <c r="Z42" s="186">
        <f>Y42*X42</f>
        <v>0</v>
      </c>
      <c r="AA42" s="220">
        <f>_辅助!BN40</f>
        <v>0</v>
      </c>
      <c r="AB42" s="186">
        <f>_辅助!AD40</f>
        <v>0</v>
      </c>
      <c r="AC42" s="221">
        <f>V42-Y42-AA42</f>
        <v>0</v>
      </c>
      <c r="AD42" s="187">
        <f>W42-Z42-AB42</f>
        <v>0</v>
      </c>
      <c r="AE42" s="236">
        <f>IF(AND(V42&gt;0,W42&gt;0),0,Z42)</f>
        <v>0</v>
      </c>
      <c r="AF42" s="220">
        <f>IF($B42="",0,SUMIFS(采购进货!$E$4:$E$1503,采购进货!$D$4:$D$1503,$B42,采购进货!$B$4:$B$1503,"&gt;="&amp;DATE(年度,3,1),采购进货!$B$4:$B$1503,"&lt;"&amp;DATE(年度,3+1,1))+SUMIFS(采购进货!$H$4:$H$1503,采购进货!$D$4:$D$1503,$B42,采购进货!$B$4:$B$1503,"&gt;="&amp;DATE(年度,3,1),采购进货!$B$4:$B$1503,"&lt;"&amp;DATE(年度,3+1,1)))</f>
        <v>0</v>
      </c>
      <c r="AG42" s="186">
        <f>IF($B42="",0,SUMIFS(采购进货!$G$4:$G$1503,采购进货!$D$4:$D$1503,$B42,采购进货!$B$4:$B$1503,"&gt;="&amp;DATE(年度,3,1),采购进货!$B$4:$B$1503,"&lt;"&amp;DATE(年度,3+1,1)))</f>
        <v>0</v>
      </c>
      <c r="AH42" s="234">
        <f>AC42+AF42</f>
        <v>0</v>
      </c>
      <c r="AI42" s="235">
        <f>AD42+AG42</f>
        <v>0</v>
      </c>
      <c r="AJ42" s="222">
        <f>IF(AND(AH42&gt;0,AI42&gt;0),AI42/AH42,N($E42))</f>
        <v>50.04</v>
      </c>
      <c r="AK42" s="220">
        <f>IF($B42="",0,SUMIFS(出库明细!$E$4:$E$3003,出库明细!$D$4:$D$3003,$B42,出库明细!$B$4:$B$3003,"&gt;="&amp;DATE(年度,3,1),出库明细!$B$4:$B$3003,"&lt;"&amp;DATE(年度,3+1,1)))</f>
        <v>0</v>
      </c>
      <c r="AL42" s="186">
        <f>AK42*AJ42</f>
        <v>0</v>
      </c>
      <c r="AM42" s="220">
        <f>_辅助!BO40</f>
        <v>0</v>
      </c>
      <c r="AN42" s="186">
        <f>_辅助!AE40</f>
        <v>0</v>
      </c>
      <c r="AO42" s="221">
        <f>AH42-AK42-AM42</f>
        <v>0</v>
      </c>
      <c r="AP42" s="187">
        <f>AI42-AL42-AN42</f>
        <v>0</v>
      </c>
      <c r="AQ42" s="236">
        <f>IF(AND(AH42&gt;0,AI42&gt;0),0,AL42)</f>
        <v>0</v>
      </c>
      <c r="AR42" s="220">
        <f>IF($B42="",0,SUMIFS(采购进货!$E$4:$E$1503,采购进货!$D$4:$D$1503,$B42,采购进货!$B$4:$B$1503,"&gt;="&amp;DATE(年度,4,1),采购进货!$B$4:$B$1503,"&lt;"&amp;DATE(年度,4+1,1))+SUMIFS(采购进货!$H$4:$H$1503,采购进货!$D$4:$D$1503,$B42,采购进货!$B$4:$B$1503,"&gt;="&amp;DATE(年度,4,1),采购进货!$B$4:$B$1503,"&lt;"&amp;DATE(年度,4+1,1)))</f>
        <v>0</v>
      </c>
      <c r="AS42" s="186">
        <f>IF($B42="",0,SUMIFS(采购进货!$G$4:$G$1503,采购进货!$D$4:$D$1503,$B42,采购进货!$B$4:$B$1503,"&gt;="&amp;DATE(年度,4,1),采购进货!$B$4:$B$1503,"&lt;"&amp;DATE(年度,4+1,1)))</f>
        <v>0</v>
      </c>
      <c r="AT42" s="234">
        <f>AO42+AR42</f>
        <v>0</v>
      </c>
      <c r="AU42" s="235">
        <f>AP42+AS42</f>
        <v>0</v>
      </c>
      <c r="AV42" s="222">
        <f>IF(AND(AT42&gt;0,AU42&gt;0),AU42/AT42,N($E42))</f>
        <v>50.04</v>
      </c>
      <c r="AW42" s="220">
        <f>IF($B42="",0,SUMIFS(出库明细!$E$4:$E$3003,出库明细!$D$4:$D$3003,$B42,出库明细!$B$4:$B$3003,"&gt;="&amp;DATE(年度,4,1),出库明细!$B$4:$B$3003,"&lt;"&amp;DATE(年度,4+1,1)))</f>
        <v>0</v>
      </c>
      <c r="AX42" s="186">
        <f>AW42*AV42</f>
        <v>0</v>
      </c>
      <c r="AY42" s="220">
        <f>_辅助!BP40</f>
        <v>0</v>
      </c>
      <c r="AZ42" s="186">
        <f>_辅助!AF40</f>
        <v>0</v>
      </c>
      <c r="BA42" s="221">
        <f>AT42-AW42-AY42</f>
        <v>0</v>
      </c>
      <c r="BB42" s="187">
        <f>AU42-AX42-AZ42</f>
        <v>0</v>
      </c>
      <c r="BC42" s="236">
        <f>IF(AND(AT42&gt;0,AU42&gt;0),0,AX42)</f>
        <v>0</v>
      </c>
      <c r="BD42" s="220">
        <f>IF($B42="",0,SUMIFS(采购进货!$E$4:$E$1503,采购进货!$D$4:$D$1503,$B42,采购进货!$B$4:$B$1503,"&gt;="&amp;DATE(年度,5,1),采购进货!$B$4:$B$1503,"&lt;"&amp;DATE(年度,5+1,1))+SUMIFS(采购进货!$H$4:$H$1503,采购进货!$D$4:$D$1503,$B42,采购进货!$B$4:$B$1503,"&gt;="&amp;DATE(年度,5,1),采购进货!$B$4:$B$1503,"&lt;"&amp;DATE(年度,5+1,1)))</f>
        <v>0</v>
      </c>
      <c r="BE42" s="186">
        <f>IF($B42="",0,SUMIFS(采购进货!$G$4:$G$1503,采购进货!$D$4:$D$1503,$B42,采购进货!$B$4:$B$1503,"&gt;="&amp;DATE(年度,5,1),采购进货!$B$4:$B$1503,"&lt;"&amp;DATE(年度,5+1,1)))</f>
        <v>0</v>
      </c>
      <c r="BF42" s="234">
        <f>BA42+BD42</f>
        <v>0</v>
      </c>
      <c r="BG42" s="235">
        <f>BB42+BE42</f>
        <v>0</v>
      </c>
      <c r="BH42" s="222">
        <f>IF(AND(BF42&gt;0,BG42&gt;0),BG42/BF42,N($E42))</f>
        <v>50.04</v>
      </c>
      <c r="BI42" s="220">
        <f>IF($B42="",0,SUMIFS(出库明细!$E$4:$E$3003,出库明细!$D$4:$D$3003,$B42,出库明细!$B$4:$B$3003,"&gt;="&amp;DATE(年度,5,1),出库明细!$B$4:$B$3003,"&lt;"&amp;DATE(年度,5+1,1)))</f>
        <v>0</v>
      </c>
      <c r="BJ42" s="186">
        <f>BI42*BH42</f>
        <v>0</v>
      </c>
      <c r="BK42" s="220">
        <f>_辅助!BQ40</f>
        <v>0</v>
      </c>
      <c r="BL42" s="186">
        <f>_辅助!AG40</f>
        <v>0</v>
      </c>
      <c r="BM42" s="221">
        <f>BF42-BI42-BK42</f>
        <v>0</v>
      </c>
      <c r="BN42" s="187">
        <f>BG42-BJ42-BL42</f>
        <v>0</v>
      </c>
      <c r="BO42" s="236">
        <f>IF(AND(BF42&gt;0,BG42&gt;0),0,BJ42)</f>
        <v>0</v>
      </c>
      <c r="BP42" s="220">
        <f>IF($B42="",0,SUMIFS(采购进货!$E$4:$E$1503,采购进货!$D$4:$D$1503,$B42,采购进货!$B$4:$B$1503,"&gt;="&amp;DATE(年度,6,1),采购进货!$B$4:$B$1503,"&lt;"&amp;DATE(年度,6+1,1))+SUMIFS(采购进货!$H$4:$H$1503,采购进货!$D$4:$D$1503,$B42,采购进货!$B$4:$B$1503,"&gt;="&amp;DATE(年度,6,1),采购进货!$B$4:$B$1503,"&lt;"&amp;DATE(年度,6+1,1)))</f>
        <v>0</v>
      </c>
      <c r="BQ42" s="186">
        <f>IF($B42="",0,SUMIFS(采购进货!$G$4:$G$1503,采购进货!$D$4:$D$1503,$B42,采购进货!$B$4:$B$1503,"&gt;="&amp;DATE(年度,6,1),采购进货!$B$4:$B$1503,"&lt;"&amp;DATE(年度,6+1,1)))</f>
        <v>0</v>
      </c>
      <c r="BR42" s="234">
        <f>BM42+BP42</f>
        <v>0</v>
      </c>
      <c r="BS42" s="235">
        <f>BN42+BQ42</f>
        <v>0</v>
      </c>
      <c r="BT42" s="222">
        <f>IF(AND(BR42&gt;0,BS42&gt;0),BS42/BR42,N($E42))</f>
        <v>50.04</v>
      </c>
      <c r="BU42" s="220">
        <f>IF($B42="",0,SUMIFS(出库明细!$E$4:$E$3003,出库明细!$D$4:$D$3003,$B42,出库明细!$B$4:$B$3003,"&gt;="&amp;DATE(年度,6,1),出库明细!$B$4:$B$3003,"&lt;"&amp;DATE(年度,6+1,1)))</f>
        <v>0</v>
      </c>
      <c r="BV42" s="186">
        <f>BU42*BT42</f>
        <v>0</v>
      </c>
      <c r="BW42" s="220">
        <f>_辅助!BR40</f>
        <v>0.666666666666667</v>
      </c>
      <c r="BX42" s="186">
        <f>_辅助!AH40</f>
        <v>33.36</v>
      </c>
      <c r="BY42" s="221">
        <f>BR42-BU42-BW42</f>
        <v>-0.666666666666667</v>
      </c>
      <c r="BZ42" s="187">
        <f>BS42-BV42-BX42</f>
        <v>-33.36</v>
      </c>
      <c r="CA42" s="236">
        <f>IF(AND(BR42&gt;0,BS42&gt;0),0,BV42)</f>
        <v>0</v>
      </c>
      <c r="CB42" s="220">
        <f>IF($B42="",0,SUMIFS(采购进货!$E$4:$E$1503,采购进货!$D$4:$D$1503,$B42,采购进货!$B$4:$B$1503,"&gt;="&amp;DATE(年度,7,1),采购进货!$B$4:$B$1503,"&lt;"&amp;DATE(年度,7+1,1))+SUMIFS(采购进货!$H$4:$H$1503,采购进货!$D$4:$D$1503,$B42,采购进货!$B$4:$B$1503,"&gt;="&amp;DATE(年度,7,1),采购进货!$B$4:$B$1503,"&lt;"&amp;DATE(年度,7+1,1)))</f>
        <v>0</v>
      </c>
      <c r="CC42" s="186">
        <f>IF($B42="",0,SUMIFS(采购进货!$G$4:$G$1503,采购进货!$D$4:$D$1503,$B42,采购进货!$B$4:$B$1503,"&gt;="&amp;DATE(年度,7,1),采购进货!$B$4:$B$1503,"&lt;"&amp;DATE(年度,7+1,1)))</f>
        <v>0</v>
      </c>
      <c r="CD42" s="234">
        <f>BY42+CB42</f>
        <v>-0.666666666666667</v>
      </c>
      <c r="CE42" s="235">
        <f>BZ42+CC42</f>
        <v>-33.36</v>
      </c>
      <c r="CF42" s="222">
        <f>IF(AND(CD42&gt;0,CE42&gt;0),CE42/CD42,N($E42))</f>
        <v>50.04</v>
      </c>
      <c r="CG42" s="220">
        <f>IF($B42="",0,SUMIFS(出库明细!$E$4:$E$3003,出库明细!$D$4:$D$3003,$B42,出库明细!$B$4:$B$3003,"&gt;="&amp;DATE(年度,7,1),出库明细!$B$4:$B$3003,"&lt;"&amp;DATE(年度,7+1,1)))</f>
        <v>0</v>
      </c>
      <c r="CH42" s="186">
        <f>CG42*CF42</f>
        <v>0</v>
      </c>
      <c r="CI42" s="220">
        <f>_辅助!BS40</f>
        <v>0</v>
      </c>
      <c r="CJ42" s="186">
        <f>_辅助!AI40</f>
        <v>0</v>
      </c>
      <c r="CK42" s="221">
        <f>CD42-CG42-CI42</f>
        <v>-0.666666666666667</v>
      </c>
      <c r="CL42" s="187">
        <f>CE42-CH42-CJ42</f>
        <v>-33.36</v>
      </c>
      <c r="CM42" s="236">
        <f>IF(AND(CD42&gt;0,CE42&gt;0),0,CH42)</f>
        <v>0</v>
      </c>
      <c r="CN42" s="220">
        <f>IF($B42="",0,SUMIFS(采购进货!$E$4:$E$1503,采购进货!$D$4:$D$1503,$B42,采购进货!$B$4:$B$1503,"&gt;="&amp;DATE(年度,8,1),采购进货!$B$4:$B$1503,"&lt;"&amp;DATE(年度,8+1,1))+SUMIFS(采购进货!$H$4:$H$1503,采购进货!$D$4:$D$1503,$B42,采购进货!$B$4:$B$1503,"&gt;="&amp;DATE(年度,8,1),采购进货!$B$4:$B$1503,"&lt;"&amp;DATE(年度,8+1,1)))</f>
        <v>0</v>
      </c>
      <c r="CO42" s="186">
        <f>IF($B42="",0,SUMIFS(采购进货!$G$4:$G$1503,采购进货!$D$4:$D$1503,$B42,采购进货!$B$4:$B$1503,"&gt;="&amp;DATE(年度,8,1),采购进货!$B$4:$B$1503,"&lt;"&amp;DATE(年度,8+1,1)))</f>
        <v>0</v>
      </c>
      <c r="CP42" s="234">
        <f>CK42+CN42</f>
        <v>-0.666666666666667</v>
      </c>
      <c r="CQ42" s="235">
        <f>CL42+CO42</f>
        <v>-33.36</v>
      </c>
      <c r="CR42" s="222">
        <f>IF(AND(CP42&gt;0,CQ42&gt;0),CQ42/CP42,N($E42))</f>
        <v>50.04</v>
      </c>
      <c r="CS42" s="220">
        <f>IF($B42="",0,SUMIFS(出库明细!$E$4:$E$3003,出库明细!$D$4:$D$3003,$B42,出库明细!$B$4:$B$3003,"&gt;="&amp;DATE(年度,8,1),出库明细!$B$4:$B$3003,"&lt;"&amp;DATE(年度,8+1,1)))</f>
        <v>0</v>
      </c>
      <c r="CT42" s="186">
        <f>CS42*CR42</f>
        <v>0</v>
      </c>
      <c r="CU42" s="220">
        <f>_辅助!BT40</f>
        <v>2.66666666666667</v>
      </c>
      <c r="CV42" s="186">
        <f>_辅助!AJ40</f>
        <v>133.44</v>
      </c>
      <c r="CW42" s="221">
        <f>CP42-CS42-CU42</f>
        <v>-3.33333333333333</v>
      </c>
      <c r="CX42" s="187">
        <f>CQ42-CT42-CV42</f>
        <v>-166.8</v>
      </c>
      <c r="CY42" s="236">
        <f>IF(AND(CP42&gt;0,CQ42&gt;0),0,CT42)</f>
        <v>0</v>
      </c>
      <c r="CZ42" s="220">
        <f>IF($B42="",0,SUMIFS(采购进货!$E$4:$E$1503,采购进货!$D$4:$D$1503,$B42,采购进货!$B$4:$B$1503,"&gt;="&amp;DATE(年度,9,1),采购进货!$B$4:$B$1503,"&lt;"&amp;DATE(年度,9+1,1))+SUMIFS(采购进货!$H$4:$H$1503,采购进货!$D$4:$D$1503,$B42,采购进货!$B$4:$B$1503,"&gt;="&amp;DATE(年度,9,1),采购进货!$B$4:$B$1503,"&lt;"&amp;DATE(年度,9+1,1)))</f>
        <v>0</v>
      </c>
      <c r="DA42" s="186">
        <f>IF($B42="",0,SUMIFS(采购进货!$G$4:$G$1503,采购进货!$D$4:$D$1503,$B42,采购进货!$B$4:$B$1503,"&gt;="&amp;DATE(年度,9,1),采购进货!$B$4:$B$1503,"&lt;"&amp;DATE(年度,9+1,1)))</f>
        <v>0</v>
      </c>
      <c r="DB42" s="234">
        <f>CW42+CZ42</f>
        <v>-3.33333333333333</v>
      </c>
      <c r="DC42" s="235">
        <f>CX42+DA42</f>
        <v>-166.8</v>
      </c>
      <c r="DD42" s="222">
        <f>IF(AND(DB42&gt;0,DC42&gt;0),DC42/DB42,N($E42))</f>
        <v>50.04</v>
      </c>
      <c r="DE42" s="220">
        <f>IF($B42="",0,SUMIFS(出库明细!$E$4:$E$3003,出库明细!$D$4:$D$3003,$B42,出库明细!$B$4:$B$3003,"&gt;="&amp;DATE(年度,9,1),出库明细!$B$4:$B$3003,"&lt;"&amp;DATE(年度,9+1,1)))</f>
        <v>0</v>
      </c>
      <c r="DF42" s="186">
        <f>DE42*DD42</f>
        <v>0</v>
      </c>
      <c r="DG42" s="220">
        <f>_辅助!BU40</f>
        <v>0</v>
      </c>
      <c r="DH42" s="186">
        <f>_辅助!AK40</f>
        <v>0</v>
      </c>
      <c r="DI42" s="221">
        <f>DB42-DE42-DG42</f>
        <v>-3.33333333333333</v>
      </c>
      <c r="DJ42" s="187">
        <f>DC42-DF42-DH42</f>
        <v>-166.8</v>
      </c>
      <c r="DK42" s="236">
        <f>IF(AND(DB42&gt;0,DC42&gt;0),0,DF42)</f>
        <v>0</v>
      </c>
      <c r="DL42" s="220">
        <f>IF($B42="",0,SUMIFS(采购进货!$E$4:$E$1503,采购进货!$D$4:$D$1503,$B42,采购进货!$B$4:$B$1503,"&gt;="&amp;DATE(年度,10,1),采购进货!$B$4:$B$1503,"&lt;"&amp;DATE(年度,10+1,1))+SUMIFS(采购进货!$H$4:$H$1503,采购进货!$D$4:$D$1503,$B42,采购进货!$B$4:$B$1503,"&gt;="&amp;DATE(年度,10,1),采购进货!$B$4:$B$1503,"&lt;"&amp;DATE(年度,10+1,1)))</f>
        <v>0</v>
      </c>
      <c r="DM42" s="186">
        <f>IF($B42="",0,SUMIFS(采购进货!$G$4:$G$1503,采购进货!$D$4:$D$1503,$B42,采购进货!$B$4:$B$1503,"&gt;="&amp;DATE(年度,10,1),采购进货!$B$4:$B$1503,"&lt;"&amp;DATE(年度,10+1,1)))</f>
        <v>0</v>
      </c>
      <c r="DN42" s="234">
        <f>DI42+DL42</f>
        <v>-3.33333333333333</v>
      </c>
      <c r="DO42" s="235">
        <f>DJ42+DM42</f>
        <v>-166.8</v>
      </c>
      <c r="DP42" s="222">
        <f>IF(AND(DN42&gt;0,DO42&gt;0),DO42/DN42,N($E42))</f>
        <v>50.04</v>
      </c>
      <c r="DQ42" s="220">
        <f>IF($B42="",0,SUMIFS(出库明细!$E$4:$E$3003,出库明细!$D$4:$D$3003,$B42,出库明细!$B$4:$B$3003,"&gt;="&amp;DATE(年度,10,1),出库明细!$B$4:$B$3003,"&lt;"&amp;DATE(年度,10+1,1)))</f>
        <v>0</v>
      </c>
      <c r="DR42" s="186">
        <f>DQ42*DP42</f>
        <v>0</v>
      </c>
      <c r="DS42" s="220">
        <f>_辅助!BV40</f>
        <v>0</v>
      </c>
      <c r="DT42" s="186">
        <f>_辅助!AL40</f>
        <v>0</v>
      </c>
      <c r="DU42" s="221">
        <f>DN42-DQ42-DS42</f>
        <v>-3.33333333333333</v>
      </c>
      <c r="DV42" s="187">
        <f>DO42-DR42-DT42</f>
        <v>-166.8</v>
      </c>
      <c r="DW42" s="236">
        <f>IF(AND(DN42&gt;0,DO42&gt;0),0,DR42)</f>
        <v>0</v>
      </c>
      <c r="DX42" s="220">
        <f>IF($B42="",0,SUMIFS(采购进货!$E$4:$E$1503,采购进货!$D$4:$D$1503,$B42,采购进货!$B$4:$B$1503,"&gt;="&amp;DATE(年度,11,1),采购进货!$B$4:$B$1503,"&lt;"&amp;DATE(年度,11+1,1))+SUMIFS(采购进货!$H$4:$H$1503,采购进货!$D$4:$D$1503,$B42,采购进货!$B$4:$B$1503,"&gt;="&amp;DATE(年度,11,1),采购进货!$B$4:$B$1503,"&lt;"&amp;DATE(年度,11+1,1)))</f>
        <v>0</v>
      </c>
      <c r="DY42" s="186">
        <f>IF($B42="",0,SUMIFS(采购进货!$G$4:$G$1503,采购进货!$D$4:$D$1503,$B42,采购进货!$B$4:$B$1503,"&gt;="&amp;DATE(年度,11,1),采购进货!$B$4:$B$1503,"&lt;"&amp;DATE(年度,11+1,1)))</f>
        <v>0</v>
      </c>
      <c r="DZ42" s="234">
        <f>DU42+DX42</f>
        <v>-3.33333333333333</v>
      </c>
      <c r="EA42" s="235">
        <f>DV42+DY42</f>
        <v>-166.8</v>
      </c>
      <c r="EB42" s="222">
        <f>IF(AND(DZ42&gt;0,EA42&gt;0),EA42/DZ42,N($E42))</f>
        <v>50.04</v>
      </c>
      <c r="EC42" s="220">
        <f>IF($B42="",0,SUMIFS(出库明细!$E$4:$E$3003,出库明细!$D$4:$D$3003,$B42,出库明细!$B$4:$B$3003,"&gt;="&amp;DATE(年度,11,1),出库明细!$B$4:$B$3003,"&lt;"&amp;DATE(年度,11+1,1)))</f>
        <v>0</v>
      </c>
      <c r="ED42" s="186">
        <f>EC42*EB42</f>
        <v>0</v>
      </c>
      <c r="EE42" s="220">
        <f>_辅助!BW40</f>
        <v>0</v>
      </c>
      <c r="EF42" s="186">
        <f>_辅助!AM40</f>
        <v>0</v>
      </c>
      <c r="EG42" s="221">
        <f>DZ42-EC42-EE42</f>
        <v>-3.33333333333333</v>
      </c>
      <c r="EH42" s="187">
        <f>EA42-ED42-EF42</f>
        <v>-166.8</v>
      </c>
      <c r="EI42" s="236">
        <f>IF(AND(DZ42&gt;0,EA42&gt;0),0,ED42)</f>
        <v>0</v>
      </c>
      <c r="EJ42" s="220">
        <f>IF($B42="",0,SUMIFS(采购进货!$E$4:$E$1503,采购进货!$D$4:$D$1503,$B42,采购进货!$B$4:$B$1503,"&gt;="&amp;DATE(年度,12,1),采购进货!$B$4:$B$1503,"&lt;"&amp;DATE(年度,12+1,1))+SUMIFS(采购进货!$H$4:$H$1503,采购进货!$D$4:$D$1503,$B42,采购进货!$B$4:$B$1503,"&gt;="&amp;DATE(年度,12,1),采购进货!$B$4:$B$1503,"&lt;"&amp;DATE(年度,12+1,1)))</f>
        <v>0</v>
      </c>
      <c r="EK42" s="186">
        <f>IF($B42="",0,SUMIFS(采购进货!$G$4:$G$1503,采购进货!$D$4:$D$1503,$B42,采购进货!$B$4:$B$1503,"&gt;="&amp;DATE(年度,12,1),采购进货!$B$4:$B$1503,"&lt;"&amp;DATE(年度,12+1,1)))</f>
        <v>0</v>
      </c>
      <c r="EL42" s="234">
        <f>EG42+EJ42</f>
        <v>-3.33333333333333</v>
      </c>
      <c r="EM42" s="235">
        <f>EH42+EK42</f>
        <v>-166.8</v>
      </c>
      <c r="EN42" s="222">
        <f>IF(AND(EL42&gt;0,EM42&gt;0),EM42/EL42,N($E42))</f>
        <v>50.04</v>
      </c>
      <c r="EO42" s="220">
        <f>IF($B42="",0,SUMIFS(出库明细!$E$4:$E$3003,出库明细!$D$4:$D$3003,$B42,出库明细!$B$4:$B$3003,"&gt;="&amp;DATE(年度,12,1),出库明细!$B$4:$B$3003,"&lt;"&amp;DATE(年度,12+1,1)))</f>
        <v>0</v>
      </c>
      <c r="EP42" s="186">
        <f>EO42*EN42</f>
        <v>0</v>
      </c>
      <c r="EQ42" s="220">
        <f>_辅助!BX40</f>
        <v>0</v>
      </c>
      <c r="ER42" s="186">
        <f>_辅助!AN40</f>
        <v>0</v>
      </c>
      <c r="ES42" s="221">
        <f>EL42-EO42-EQ42</f>
        <v>-3.33333333333333</v>
      </c>
      <c r="ET42" s="187">
        <f>EM42-EP42-ER42</f>
        <v>-166.8</v>
      </c>
      <c r="EU42" s="236">
        <f>IF(AND(EL42&gt;0,EM42&gt;0),0,EP42)</f>
        <v>0</v>
      </c>
    </row>
    <row r="43">
      <c r="A43" s="194">
        <f>IF(B43="","",ROW()-7)</f>
        <v>36</v>
      </c>
      <c r="B43" s="141" t="str">
        <f>IF(基础资料!E40="","",基础资料!E40&amp;"")</f>
        <v>青岛崂山</v>
      </c>
      <c r="C43" s="230" t="str">
        <f>IF(基础资料!G40="","",基础资料!G40&amp;"")</f>
        <v>青岛崂山</v>
      </c>
      <c r="D43" s="194">
        <f>IF(基础资料!I40="","",基础资料!I40)</f>
        <v>12</v>
      </c>
      <c r="E43" s="231">
        <f>IF(基础资料!J40="","",基础资料!J40)</f>
        <v>24</v>
      </c>
      <c r="F43" s="232">
        <f>N(基础资料!L40)</f>
        <v>0</v>
      </c>
      <c r="G43" s="233">
        <f>IF(基础资料!N40="",0,基础资料!N40)</f>
        <v>0</v>
      </c>
      <c r="H43" s="220">
        <f>IF($B43="",0,SUMIFS(采购进货!$E$4:$E$1503,采购进货!$D$4:$D$1503,$B43,采购进货!$B$4:$B$1503,"&gt;="&amp;DATE(年度,1,1),采购进货!$B$4:$B$1503,"&lt;"&amp;DATE(年度,1+1,1))+SUMIFS(采购进货!$H$4:$H$1503,采购进货!$D$4:$D$1503,$B43,采购进货!$B$4:$B$1503,"&gt;="&amp;DATE(年度,1,1),采购进货!$B$4:$B$1503,"&lt;"&amp;DATE(年度,1+1,1)))</f>
        <v>0</v>
      </c>
      <c r="I43" s="186">
        <f>IF($B43="",0,SUMIFS(采购进货!$G$4:$G$1503,采购进货!$D$4:$D$1503,$B43,采购进货!$B$4:$B$1503,"&gt;="&amp;DATE(年度,1,1),采购进货!$B$4:$B$1503,"&lt;"&amp;DATE(年度,1+1,1)))</f>
        <v>0</v>
      </c>
      <c r="J43" s="234">
        <f>F43+H43</f>
        <v>0</v>
      </c>
      <c r="K43" s="235">
        <f>G43+I43</f>
        <v>0</v>
      </c>
      <c r="L43" s="222">
        <f>IF(AND(J43&gt;0,K43&gt;0),K43/J43,N($E43))</f>
        <v>24</v>
      </c>
      <c r="M43" s="220">
        <f>IF($B43="",0,SUMIFS(出库明细!$E$4:$E$3003,出库明细!$D$4:$D$3003,$B43,出库明细!$B$4:$B$3003,"&gt;="&amp;DATE(年度,1,1),出库明细!$B$4:$B$3003,"&lt;"&amp;DATE(年度,1+1,1)))</f>
        <v>0</v>
      </c>
      <c r="N43" s="186">
        <f>M43*L43</f>
        <v>0</v>
      </c>
      <c r="O43" s="220">
        <f>_辅助!BM41</f>
        <v>0</v>
      </c>
      <c r="P43" s="186">
        <f>_辅助!AC41</f>
        <v>0</v>
      </c>
      <c r="Q43" s="221">
        <f>J43-M43-O43</f>
        <v>0</v>
      </c>
      <c r="R43" s="187">
        <f>K43-N43-P43</f>
        <v>0</v>
      </c>
      <c r="S43" s="236">
        <f>IF(AND(J43&gt;0,K43&gt;0),0,N43)</f>
        <v>0</v>
      </c>
      <c r="T43" s="220">
        <f>IF($B43="",0,SUMIFS(采购进货!$E$4:$E$1503,采购进货!$D$4:$D$1503,$B43,采购进货!$B$4:$B$1503,"&gt;="&amp;DATE(年度,2,1),采购进货!$B$4:$B$1503,"&lt;"&amp;DATE(年度,2+1,1))+SUMIFS(采购进货!$H$4:$H$1503,采购进货!$D$4:$D$1503,$B43,采购进货!$B$4:$B$1503,"&gt;="&amp;DATE(年度,2,1),采购进货!$B$4:$B$1503,"&lt;"&amp;DATE(年度,2+1,1)))</f>
        <v>0</v>
      </c>
      <c r="U43" s="186">
        <f>IF($B43="",0,SUMIFS(采购进货!$G$4:$G$1503,采购进货!$D$4:$D$1503,$B43,采购进货!$B$4:$B$1503,"&gt;="&amp;DATE(年度,2,1),采购进货!$B$4:$B$1503,"&lt;"&amp;DATE(年度,2+1,1)))</f>
        <v>0</v>
      </c>
      <c r="V43" s="234">
        <f>Q43+T43</f>
        <v>0</v>
      </c>
      <c r="W43" s="235">
        <f>R43+U43</f>
        <v>0</v>
      </c>
      <c r="X43" s="222">
        <f>IF(AND(V43&gt;0,W43&gt;0),W43/V43,N($E43))</f>
        <v>24</v>
      </c>
      <c r="Y43" s="220">
        <f>IF($B43="",0,SUMIFS(出库明细!$E$4:$E$3003,出库明细!$D$4:$D$3003,$B43,出库明细!$B$4:$B$3003,"&gt;="&amp;DATE(年度,2,1),出库明细!$B$4:$B$3003,"&lt;"&amp;DATE(年度,2+1,1)))</f>
        <v>0</v>
      </c>
      <c r="Z43" s="186">
        <f>Y43*X43</f>
        <v>0</v>
      </c>
      <c r="AA43" s="220">
        <f>_辅助!BN41</f>
        <v>0</v>
      </c>
      <c r="AB43" s="186">
        <f>_辅助!AD41</f>
        <v>0</v>
      </c>
      <c r="AC43" s="221">
        <f>V43-Y43-AA43</f>
        <v>0</v>
      </c>
      <c r="AD43" s="187">
        <f>W43-Z43-AB43</f>
        <v>0</v>
      </c>
      <c r="AE43" s="236">
        <f>IF(AND(V43&gt;0,W43&gt;0),0,Z43)</f>
        <v>0</v>
      </c>
      <c r="AF43" s="220">
        <f>IF($B43="",0,SUMIFS(采购进货!$E$4:$E$1503,采购进货!$D$4:$D$1503,$B43,采购进货!$B$4:$B$1503,"&gt;="&amp;DATE(年度,3,1),采购进货!$B$4:$B$1503,"&lt;"&amp;DATE(年度,3+1,1))+SUMIFS(采购进货!$H$4:$H$1503,采购进货!$D$4:$D$1503,$B43,采购进货!$B$4:$B$1503,"&gt;="&amp;DATE(年度,3,1),采购进货!$B$4:$B$1503,"&lt;"&amp;DATE(年度,3+1,1)))</f>
        <v>0</v>
      </c>
      <c r="AG43" s="186">
        <f>IF($B43="",0,SUMIFS(采购进货!$G$4:$G$1503,采购进货!$D$4:$D$1503,$B43,采购进货!$B$4:$B$1503,"&gt;="&amp;DATE(年度,3,1),采购进货!$B$4:$B$1503,"&lt;"&amp;DATE(年度,3+1,1)))</f>
        <v>0</v>
      </c>
      <c r="AH43" s="234">
        <f>AC43+AF43</f>
        <v>0</v>
      </c>
      <c r="AI43" s="235">
        <f>AD43+AG43</f>
        <v>0</v>
      </c>
      <c r="AJ43" s="222">
        <f>IF(AND(AH43&gt;0,AI43&gt;0),AI43/AH43,N($E43))</f>
        <v>24</v>
      </c>
      <c r="AK43" s="220">
        <f>IF($B43="",0,SUMIFS(出库明细!$E$4:$E$3003,出库明细!$D$4:$D$3003,$B43,出库明细!$B$4:$B$3003,"&gt;="&amp;DATE(年度,3,1),出库明细!$B$4:$B$3003,"&lt;"&amp;DATE(年度,3+1,1)))</f>
        <v>0</v>
      </c>
      <c r="AL43" s="186">
        <f>AK43*AJ43</f>
        <v>0</v>
      </c>
      <c r="AM43" s="220">
        <f>_辅助!BO41</f>
        <v>0</v>
      </c>
      <c r="AN43" s="186">
        <f>_辅助!AE41</f>
        <v>0</v>
      </c>
      <c r="AO43" s="221">
        <f>AH43-AK43-AM43</f>
        <v>0</v>
      </c>
      <c r="AP43" s="187">
        <f>AI43-AL43-AN43</f>
        <v>0</v>
      </c>
      <c r="AQ43" s="236">
        <f>IF(AND(AH43&gt;0,AI43&gt;0),0,AL43)</f>
        <v>0</v>
      </c>
      <c r="AR43" s="220">
        <f>IF($B43="",0,SUMIFS(采购进货!$E$4:$E$1503,采购进货!$D$4:$D$1503,$B43,采购进货!$B$4:$B$1503,"&gt;="&amp;DATE(年度,4,1),采购进货!$B$4:$B$1503,"&lt;"&amp;DATE(年度,4+1,1))+SUMIFS(采购进货!$H$4:$H$1503,采购进货!$D$4:$D$1503,$B43,采购进货!$B$4:$B$1503,"&gt;="&amp;DATE(年度,4,1),采购进货!$B$4:$B$1503,"&lt;"&amp;DATE(年度,4+1,1)))</f>
        <v>0</v>
      </c>
      <c r="AS43" s="186">
        <f>IF($B43="",0,SUMIFS(采购进货!$G$4:$G$1503,采购进货!$D$4:$D$1503,$B43,采购进货!$B$4:$B$1503,"&gt;="&amp;DATE(年度,4,1),采购进货!$B$4:$B$1503,"&lt;"&amp;DATE(年度,4+1,1)))</f>
        <v>0</v>
      </c>
      <c r="AT43" s="234">
        <f>AO43+AR43</f>
        <v>0</v>
      </c>
      <c r="AU43" s="235">
        <f>AP43+AS43</f>
        <v>0</v>
      </c>
      <c r="AV43" s="222">
        <f>IF(AND(AT43&gt;0,AU43&gt;0),AU43/AT43,N($E43))</f>
        <v>24</v>
      </c>
      <c r="AW43" s="220">
        <f>IF($B43="",0,SUMIFS(出库明细!$E$4:$E$3003,出库明细!$D$4:$D$3003,$B43,出库明细!$B$4:$B$3003,"&gt;="&amp;DATE(年度,4,1),出库明细!$B$4:$B$3003,"&lt;"&amp;DATE(年度,4+1,1)))</f>
        <v>0</v>
      </c>
      <c r="AX43" s="186">
        <f>AW43*AV43</f>
        <v>0</v>
      </c>
      <c r="AY43" s="220">
        <f>_辅助!BP41</f>
        <v>0</v>
      </c>
      <c r="AZ43" s="186">
        <f>_辅助!AF41</f>
        <v>0</v>
      </c>
      <c r="BA43" s="221">
        <f>AT43-AW43-AY43</f>
        <v>0</v>
      </c>
      <c r="BB43" s="187">
        <f>AU43-AX43-AZ43</f>
        <v>0</v>
      </c>
      <c r="BC43" s="236">
        <f>IF(AND(AT43&gt;0,AU43&gt;0),0,AX43)</f>
        <v>0</v>
      </c>
      <c r="BD43" s="220">
        <f>IF($B43="",0,SUMIFS(采购进货!$E$4:$E$1503,采购进货!$D$4:$D$1503,$B43,采购进货!$B$4:$B$1503,"&gt;="&amp;DATE(年度,5,1),采购进货!$B$4:$B$1503,"&lt;"&amp;DATE(年度,5+1,1))+SUMIFS(采购进货!$H$4:$H$1503,采购进货!$D$4:$D$1503,$B43,采购进货!$B$4:$B$1503,"&gt;="&amp;DATE(年度,5,1),采购进货!$B$4:$B$1503,"&lt;"&amp;DATE(年度,5+1,1)))</f>
        <v>0</v>
      </c>
      <c r="BE43" s="186">
        <f>IF($B43="",0,SUMIFS(采购进货!$G$4:$G$1503,采购进货!$D$4:$D$1503,$B43,采购进货!$B$4:$B$1503,"&gt;="&amp;DATE(年度,5,1),采购进货!$B$4:$B$1503,"&lt;"&amp;DATE(年度,5+1,1)))</f>
        <v>0</v>
      </c>
      <c r="BF43" s="234">
        <f>BA43+BD43</f>
        <v>0</v>
      </c>
      <c r="BG43" s="235">
        <f>BB43+BE43</f>
        <v>0</v>
      </c>
      <c r="BH43" s="222">
        <f>IF(AND(BF43&gt;0,BG43&gt;0),BG43/BF43,N($E43))</f>
        <v>24</v>
      </c>
      <c r="BI43" s="220">
        <f>IF($B43="",0,SUMIFS(出库明细!$E$4:$E$3003,出库明细!$D$4:$D$3003,$B43,出库明细!$B$4:$B$3003,"&gt;="&amp;DATE(年度,5,1),出库明细!$B$4:$B$3003,"&lt;"&amp;DATE(年度,5+1,1)))</f>
        <v>0</v>
      </c>
      <c r="BJ43" s="186">
        <f>BI43*BH43</f>
        <v>0</v>
      </c>
      <c r="BK43" s="220">
        <f>_辅助!BQ41</f>
        <v>0</v>
      </c>
      <c r="BL43" s="186">
        <f>_辅助!AG41</f>
        <v>0</v>
      </c>
      <c r="BM43" s="221">
        <f>BF43-BI43-BK43</f>
        <v>0</v>
      </c>
      <c r="BN43" s="187">
        <f>BG43-BJ43-BL43</f>
        <v>0</v>
      </c>
      <c r="BO43" s="236">
        <f>IF(AND(BF43&gt;0,BG43&gt;0),0,BJ43)</f>
        <v>0</v>
      </c>
      <c r="BP43" s="220">
        <f>IF($B43="",0,SUMIFS(采购进货!$E$4:$E$1503,采购进货!$D$4:$D$1503,$B43,采购进货!$B$4:$B$1503,"&gt;="&amp;DATE(年度,6,1),采购进货!$B$4:$B$1503,"&lt;"&amp;DATE(年度,6+1,1))+SUMIFS(采购进货!$H$4:$H$1503,采购进货!$D$4:$D$1503,$B43,采购进货!$B$4:$B$1503,"&gt;="&amp;DATE(年度,6,1),采购进货!$B$4:$B$1503,"&lt;"&amp;DATE(年度,6+1,1)))</f>
        <v>0</v>
      </c>
      <c r="BQ43" s="186">
        <f>IF($B43="",0,SUMIFS(采购进货!$G$4:$G$1503,采购进货!$D$4:$D$1503,$B43,采购进货!$B$4:$B$1503,"&gt;="&amp;DATE(年度,6,1),采购进货!$B$4:$B$1503,"&lt;"&amp;DATE(年度,6+1,1)))</f>
        <v>0</v>
      </c>
      <c r="BR43" s="234">
        <f>BM43+BP43</f>
        <v>0</v>
      </c>
      <c r="BS43" s="235">
        <f>BN43+BQ43</f>
        <v>0</v>
      </c>
      <c r="BT43" s="222">
        <f>IF(AND(BR43&gt;0,BS43&gt;0),BS43/BR43,N($E43))</f>
        <v>24</v>
      </c>
      <c r="BU43" s="220">
        <f>IF($B43="",0,SUMIFS(出库明细!$E$4:$E$3003,出库明细!$D$4:$D$3003,$B43,出库明细!$B$4:$B$3003,"&gt;="&amp;DATE(年度,6,1),出库明细!$B$4:$B$3003,"&lt;"&amp;DATE(年度,6+1,1)))</f>
        <v>0</v>
      </c>
      <c r="BV43" s="186">
        <f>BU43*BT43</f>
        <v>0</v>
      </c>
      <c r="BW43" s="220">
        <f>_辅助!BR41</f>
        <v>1.75</v>
      </c>
      <c r="BX43" s="186">
        <f>_辅助!AH41</f>
        <v>42</v>
      </c>
      <c r="BY43" s="221">
        <f>BR43-BU43-BW43</f>
        <v>-1.75</v>
      </c>
      <c r="BZ43" s="187">
        <f>BS43-BV43-BX43</f>
        <v>-42</v>
      </c>
      <c r="CA43" s="236">
        <f>IF(AND(BR43&gt;0,BS43&gt;0),0,BV43)</f>
        <v>0</v>
      </c>
      <c r="CB43" s="220">
        <f>IF($B43="",0,SUMIFS(采购进货!$E$4:$E$1503,采购进货!$D$4:$D$1503,$B43,采购进货!$B$4:$B$1503,"&gt;="&amp;DATE(年度,7,1),采购进货!$B$4:$B$1503,"&lt;"&amp;DATE(年度,7+1,1))+SUMIFS(采购进货!$H$4:$H$1503,采购进货!$D$4:$D$1503,$B43,采购进货!$B$4:$B$1503,"&gt;="&amp;DATE(年度,7,1),采购进货!$B$4:$B$1503,"&lt;"&amp;DATE(年度,7+1,1)))</f>
        <v>0</v>
      </c>
      <c r="CC43" s="186">
        <f>IF($B43="",0,SUMIFS(采购进货!$G$4:$G$1503,采购进货!$D$4:$D$1503,$B43,采购进货!$B$4:$B$1503,"&gt;="&amp;DATE(年度,7,1),采购进货!$B$4:$B$1503,"&lt;"&amp;DATE(年度,7+1,1)))</f>
        <v>0</v>
      </c>
      <c r="CD43" s="234">
        <f>BY43+CB43</f>
        <v>-1.75</v>
      </c>
      <c r="CE43" s="235">
        <f>BZ43+CC43</f>
        <v>-42</v>
      </c>
      <c r="CF43" s="222">
        <f>IF(AND(CD43&gt;0,CE43&gt;0),CE43/CD43,N($E43))</f>
        <v>24</v>
      </c>
      <c r="CG43" s="220">
        <f>IF($B43="",0,SUMIFS(出库明细!$E$4:$E$3003,出库明细!$D$4:$D$3003,$B43,出库明细!$B$4:$B$3003,"&gt;="&amp;DATE(年度,7,1),出库明细!$B$4:$B$3003,"&lt;"&amp;DATE(年度,7+1,1)))</f>
        <v>0</v>
      </c>
      <c r="CH43" s="186">
        <f>CG43*CF43</f>
        <v>0</v>
      </c>
      <c r="CI43" s="220">
        <f>_辅助!BS41</f>
        <v>0</v>
      </c>
      <c r="CJ43" s="186">
        <f>_辅助!AI41</f>
        <v>0</v>
      </c>
      <c r="CK43" s="221">
        <f>CD43-CG43-CI43</f>
        <v>-1.75</v>
      </c>
      <c r="CL43" s="187">
        <f>CE43-CH43-CJ43</f>
        <v>-42</v>
      </c>
      <c r="CM43" s="236">
        <f>IF(AND(CD43&gt;0,CE43&gt;0),0,CH43)</f>
        <v>0</v>
      </c>
      <c r="CN43" s="220">
        <f>IF($B43="",0,SUMIFS(采购进货!$E$4:$E$1503,采购进货!$D$4:$D$1503,$B43,采购进货!$B$4:$B$1503,"&gt;="&amp;DATE(年度,8,1),采购进货!$B$4:$B$1503,"&lt;"&amp;DATE(年度,8+1,1))+SUMIFS(采购进货!$H$4:$H$1503,采购进货!$D$4:$D$1503,$B43,采购进货!$B$4:$B$1503,"&gt;="&amp;DATE(年度,8,1),采购进货!$B$4:$B$1503,"&lt;"&amp;DATE(年度,8+1,1)))</f>
        <v>0</v>
      </c>
      <c r="CO43" s="186">
        <f>IF($B43="",0,SUMIFS(采购进货!$G$4:$G$1503,采购进货!$D$4:$D$1503,$B43,采购进货!$B$4:$B$1503,"&gt;="&amp;DATE(年度,8,1),采购进货!$B$4:$B$1503,"&lt;"&amp;DATE(年度,8+1,1)))</f>
        <v>0</v>
      </c>
      <c r="CP43" s="234">
        <f>CK43+CN43</f>
        <v>-1.75</v>
      </c>
      <c r="CQ43" s="235">
        <f>CL43+CO43</f>
        <v>-42</v>
      </c>
      <c r="CR43" s="222">
        <f>IF(AND(CP43&gt;0,CQ43&gt;0),CQ43/CP43,N($E43))</f>
        <v>24</v>
      </c>
      <c r="CS43" s="220">
        <f>IF($B43="",0,SUMIFS(出库明细!$E$4:$E$3003,出库明细!$D$4:$D$3003,$B43,出库明细!$B$4:$B$3003,"&gt;="&amp;DATE(年度,8,1),出库明细!$B$4:$B$3003,"&lt;"&amp;DATE(年度,8+1,1)))</f>
        <v>0</v>
      </c>
      <c r="CT43" s="186">
        <f>CS43*CR43</f>
        <v>0</v>
      </c>
      <c r="CU43" s="220">
        <f>_辅助!BT41</f>
        <v>0.75</v>
      </c>
      <c r="CV43" s="186">
        <f>_辅助!AJ41</f>
        <v>18</v>
      </c>
      <c r="CW43" s="221">
        <f>CP43-CS43-CU43</f>
        <v>-2.5</v>
      </c>
      <c r="CX43" s="187">
        <f>CQ43-CT43-CV43</f>
        <v>-60</v>
      </c>
      <c r="CY43" s="236">
        <f>IF(AND(CP43&gt;0,CQ43&gt;0),0,CT43)</f>
        <v>0</v>
      </c>
      <c r="CZ43" s="220">
        <f>IF($B43="",0,SUMIFS(采购进货!$E$4:$E$1503,采购进货!$D$4:$D$1503,$B43,采购进货!$B$4:$B$1503,"&gt;="&amp;DATE(年度,9,1),采购进货!$B$4:$B$1503,"&lt;"&amp;DATE(年度,9+1,1))+SUMIFS(采购进货!$H$4:$H$1503,采购进货!$D$4:$D$1503,$B43,采购进货!$B$4:$B$1503,"&gt;="&amp;DATE(年度,9,1),采购进货!$B$4:$B$1503,"&lt;"&amp;DATE(年度,9+1,1)))</f>
        <v>0</v>
      </c>
      <c r="DA43" s="186">
        <f>IF($B43="",0,SUMIFS(采购进货!$G$4:$G$1503,采购进货!$D$4:$D$1503,$B43,采购进货!$B$4:$B$1503,"&gt;="&amp;DATE(年度,9,1),采购进货!$B$4:$B$1503,"&lt;"&amp;DATE(年度,9+1,1)))</f>
        <v>0</v>
      </c>
      <c r="DB43" s="234">
        <f>CW43+CZ43</f>
        <v>-2.5</v>
      </c>
      <c r="DC43" s="235">
        <f>CX43+DA43</f>
        <v>-60</v>
      </c>
      <c r="DD43" s="222">
        <f>IF(AND(DB43&gt;0,DC43&gt;0),DC43/DB43,N($E43))</f>
        <v>24</v>
      </c>
      <c r="DE43" s="220">
        <f>IF($B43="",0,SUMIFS(出库明细!$E$4:$E$3003,出库明细!$D$4:$D$3003,$B43,出库明细!$B$4:$B$3003,"&gt;="&amp;DATE(年度,9,1),出库明细!$B$4:$B$3003,"&lt;"&amp;DATE(年度,9+1,1)))</f>
        <v>0</v>
      </c>
      <c r="DF43" s="186">
        <f>DE43*DD43</f>
        <v>0</v>
      </c>
      <c r="DG43" s="220">
        <f>_辅助!BU41</f>
        <v>0</v>
      </c>
      <c r="DH43" s="186">
        <f>_辅助!AK41</f>
        <v>0</v>
      </c>
      <c r="DI43" s="221">
        <f>DB43-DE43-DG43</f>
        <v>-2.5</v>
      </c>
      <c r="DJ43" s="187">
        <f>DC43-DF43-DH43</f>
        <v>-60</v>
      </c>
      <c r="DK43" s="236">
        <f>IF(AND(DB43&gt;0,DC43&gt;0),0,DF43)</f>
        <v>0</v>
      </c>
      <c r="DL43" s="220">
        <f>IF($B43="",0,SUMIFS(采购进货!$E$4:$E$1503,采购进货!$D$4:$D$1503,$B43,采购进货!$B$4:$B$1503,"&gt;="&amp;DATE(年度,10,1),采购进货!$B$4:$B$1503,"&lt;"&amp;DATE(年度,10+1,1))+SUMIFS(采购进货!$H$4:$H$1503,采购进货!$D$4:$D$1503,$B43,采购进货!$B$4:$B$1503,"&gt;="&amp;DATE(年度,10,1),采购进货!$B$4:$B$1503,"&lt;"&amp;DATE(年度,10+1,1)))</f>
        <v>0</v>
      </c>
      <c r="DM43" s="186">
        <f>IF($B43="",0,SUMIFS(采购进货!$G$4:$G$1503,采购进货!$D$4:$D$1503,$B43,采购进货!$B$4:$B$1503,"&gt;="&amp;DATE(年度,10,1),采购进货!$B$4:$B$1503,"&lt;"&amp;DATE(年度,10+1,1)))</f>
        <v>0</v>
      </c>
      <c r="DN43" s="234">
        <f>DI43+DL43</f>
        <v>-2.5</v>
      </c>
      <c r="DO43" s="235">
        <f>DJ43+DM43</f>
        <v>-60</v>
      </c>
      <c r="DP43" s="222">
        <f>IF(AND(DN43&gt;0,DO43&gt;0),DO43/DN43,N($E43))</f>
        <v>24</v>
      </c>
      <c r="DQ43" s="220">
        <f>IF($B43="",0,SUMIFS(出库明细!$E$4:$E$3003,出库明细!$D$4:$D$3003,$B43,出库明细!$B$4:$B$3003,"&gt;="&amp;DATE(年度,10,1),出库明细!$B$4:$B$3003,"&lt;"&amp;DATE(年度,10+1,1)))</f>
        <v>0</v>
      </c>
      <c r="DR43" s="186">
        <f>DQ43*DP43</f>
        <v>0</v>
      </c>
      <c r="DS43" s="220">
        <f>_辅助!BV41</f>
        <v>0</v>
      </c>
      <c r="DT43" s="186">
        <f>_辅助!AL41</f>
        <v>0</v>
      </c>
      <c r="DU43" s="221">
        <f>DN43-DQ43-DS43</f>
        <v>-2.5</v>
      </c>
      <c r="DV43" s="187">
        <f>DO43-DR43-DT43</f>
        <v>-60</v>
      </c>
      <c r="DW43" s="236">
        <f>IF(AND(DN43&gt;0,DO43&gt;0),0,DR43)</f>
        <v>0</v>
      </c>
      <c r="DX43" s="220">
        <f>IF($B43="",0,SUMIFS(采购进货!$E$4:$E$1503,采购进货!$D$4:$D$1503,$B43,采购进货!$B$4:$B$1503,"&gt;="&amp;DATE(年度,11,1),采购进货!$B$4:$B$1503,"&lt;"&amp;DATE(年度,11+1,1))+SUMIFS(采购进货!$H$4:$H$1503,采购进货!$D$4:$D$1503,$B43,采购进货!$B$4:$B$1503,"&gt;="&amp;DATE(年度,11,1),采购进货!$B$4:$B$1503,"&lt;"&amp;DATE(年度,11+1,1)))</f>
        <v>0</v>
      </c>
      <c r="DY43" s="186">
        <f>IF($B43="",0,SUMIFS(采购进货!$G$4:$G$1503,采购进货!$D$4:$D$1503,$B43,采购进货!$B$4:$B$1503,"&gt;="&amp;DATE(年度,11,1),采购进货!$B$4:$B$1503,"&lt;"&amp;DATE(年度,11+1,1)))</f>
        <v>0</v>
      </c>
      <c r="DZ43" s="234">
        <f>DU43+DX43</f>
        <v>-2.5</v>
      </c>
      <c r="EA43" s="235">
        <f>DV43+DY43</f>
        <v>-60</v>
      </c>
      <c r="EB43" s="222">
        <f>IF(AND(DZ43&gt;0,EA43&gt;0),EA43/DZ43,N($E43))</f>
        <v>24</v>
      </c>
      <c r="EC43" s="220">
        <f>IF($B43="",0,SUMIFS(出库明细!$E$4:$E$3003,出库明细!$D$4:$D$3003,$B43,出库明细!$B$4:$B$3003,"&gt;="&amp;DATE(年度,11,1),出库明细!$B$4:$B$3003,"&lt;"&amp;DATE(年度,11+1,1)))</f>
        <v>0</v>
      </c>
      <c r="ED43" s="186">
        <f>EC43*EB43</f>
        <v>0</v>
      </c>
      <c r="EE43" s="220">
        <f>_辅助!BW41</f>
        <v>0</v>
      </c>
      <c r="EF43" s="186">
        <f>_辅助!AM41</f>
        <v>0</v>
      </c>
      <c r="EG43" s="221">
        <f>DZ43-EC43-EE43</f>
        <v>-2.5</v>
      </c>
      <c r="EH43" s="187">
        <f>EA43-ED43-EF43</f>
        <v>-60</v>
      </c>
      <c r="EI43" s="236">
        <f>IF(AND(DZ43&gt;0,EA43&gt;0),0,ED43)</f>
        <v>0</v>
      </c>
      <c r="EJ43" s="220">
        <f>IF($B43="",0,SUMIFS(采购进货!$E$4:$E$1503,采购进货!$D$4:$D$1503,$B43,采购进货!$B$4:$B$1503,"&gt;="&amp;DATE(年度,12,1),采购进货!$B$4:$B$1503,"&lt;"&amp;DATE(年度,12+1,1))+SUMIFS(采购进货!$H$4:$H$1503,采购进货!$D$4:$D$1503,$B43,采购进货!$B$4:$B$1503,"&gt;="&amp;DATE(年度,12,1),采购进货!$B$4:$B$1503,"&lt;"&amp;DATE(年度,12+1,1)))</f>
        <v>0</v>
      </c>
      <c r="EK43" s="186">
        <f>IF($B43="",0,SUMIFS(采购进货!$G$4:$G$1503,采购进货!$D$4:$D$1503,$B43,采购进货!$B$4:$B$1503,"&gt;="&amp;DATE(年度,12,1),采购进货!$B$4:$B$1503,"&lt;"&amp;DATE(年度,12+1,1)))</f>
        <v>0</v>
      </c>
      <c r="EL43" s="234">
        <f>EG43+EJ43</f>
        <v>-2.5</v>
      </c>
      <c r="EM43" s="235">
        <f>EH43+EK43</f>
        <v>-60</v>
      </c>
      <c r="EN43" s="222">
        <f>IF(AND(EL43&gt;0,EM43&gt;0),EM43/EL43,N($E43))</f>
        <v>24</v>
      </c>
      <c r="EO43" s="220">
        <f>IF($B43="",0,SUMIFS(出库明细!$E$4:$E$3003,出库明细!$D$4:$D$3003,$B43,出库明细!$B$4:$B$3003,"&gt;="&amp;DATE(年度,12,1),出库明细!$B$4:$B$3003,"&lt;"&amp;DATE(年度,12+1,1)))</f>
        <v>0</v>
      </c>
      <c r="EP43" s="186">
        <f>EO43*EN43</f>
        <v>0</v>
      </c>
      <c r="EQ43" s="220">
        <f>_辅助!BX41</f>
        <v>0</v>
      </c>
      <c r="ER43" s="186">
        <f>_辅助!AN41</f>
        <v>0</v>
      </c>
      <c r="ES43" s="221">
        <f>EL43-EO43-EQ43</f>
        <v>-2.5</v>
      </c>
      <c r="ET43" s="187">
        <f>EM43-EP43-ER43</f>
        <v>-60</v>
      </c>
      <c r="EU43" s="236">
        <f>IF(AND(EL43&gt;0,EM43&gt;0),0,EP43)</f>
        <v>0</v>
      </c>
    </row>
    <row r="44">
      <c r="A44" s="194">
        <f>IF(B44="","",ROW()-7)</f>
        <v>37</v>
      </c>
      <c r="B44" s="141" t="str">
        <f>IF(基础资料!E41="","",基础资料!E41&amp;"")</f>
        <v>青岛白啤</v>
      </c>
      <c r="C44" s="230" t="str">
        <f>IF(基础资料!G41="","",基础资料!G41&amp;"")</f>
        <v>青岛白啤</v>
      </c>
      <c r="D44" s="194">
        <f>IF(基础资料!I41="","",基础资料!I41)</f>
        <v>12</v>
      </c>
      <c r="E44" s="231">
        <f>IF(基础资料!J41="","",基础资料!J41)</f>
        <v>62.04</v>
      </c>
      <c r="F44" s="232">
        <f>N(基础资料!L41)</f>
        <v>0</v>
      </c>
      <c r="G44" s="233">
        <f>IF(基础资料!N41="",0,基础资料!N41)</f>
        <v>0</v>
      </c>
      <c r="H44" s="220">
        <f>IF($B44="",0,SUMIFS(采购进货!$E$4:$E$1503,采购进货!$D$4:$D$1503,$B44,采购进货!$B$4:$B$1503,"&gt;="&amp;DATE(年度,1,1),采购进货!$B$4:$B$1503,"&lt;"&amp;DATE(年度,1+1,1))+SUMIFS(采购进货!$H$4:$H$1503,采购进货!$D$4:$D$1503,$B44,采购进货!$B$4:$B$1503,"&gt;="&amp;DATE(年度,1,1),采购进货!$B$4:$B$1503,"&lt;"&amp;DATE(年度,1+1,1)))</f>
        <v>0</v>
      </c>
      <c r="I44" s="186">
        <f>IF($B44="",0,SUMIFS(采购进货!$G$4:$G$1503,采购进货!$D$4:$D$1503,$B44,采购进货!$B$4:$B$1503,"&gt;="&amp;DATE(年度,1,1),采购进货!$B$4:$B$1503,"&lt;"&amp;DATE(年度,1+1,1)))</f>
        <v>0</v>
      </c>
      <c r="J44" s="234">
        <f>F44+H44</f>
        <v>0</v>
      </c>
      <c r="K44" s="235">
        <f>G44+I44</f>
        <v>0</v>
      </c>
      <c r="L44" s="222">
        <f>IF(AND(J44&gt;0,K44&gt;0),K44/J44,N($E44))</f>
        <v>62.04</v>
      </c>
      <c r="M44" s="220">
        <f>IF($B44="",0,SUMIFS(出库明细!$E$4:$E$3003,出库明细!$D$4:$D$3003,$B44,出库明细!$B$4:$B$3003,"&gt;="&amp;DATE(年度,1,1),出库明细!$B$4:$B$3003,"&lt;"&amp;DATE(年度,1+1,1)))</f>
        <v>0</v>
      </c>
      <c r="N44" s="186">
        <f>M44*L44</f>
        <v>0</v>
      </c>
      <c r="O44" s="220">
        <f>_辅助!BM42</f>
        <v>0</v>
      </c>
      <c r="P44" s="186">
        <f>_辅助!AC42</f>
        <v>0</v>
      </c>
      <c r="Q44" s="221">
        <f>J44-M44-O44</f>
        <v>0</v>
      </c>
      <c r="R44" s="187">
        <f>K44-N44-P44</f>
        <v>0</v>
      </c>
      <c r="S44" s="236">
        <f>IF(AND(J44&gt;0,K44&gt;0),0,N44)</f>
        <v>0</v>
      </c>
      <c r="T44" s="220">
        <f>IF($B44="",0,SUMIFS(采购进货!$E$4:$E$1503,采购进货!$D$4:$D$1503,$B44,采购进货!$B$4:$B$1503,"&gt;="&amp;DATE(年度,2,1),采购进货!$B$4:$B$1503,"&lt;"&amp;DATE(年度,2+1,1))+SUMIFS(采购进货!$H$4:$H$1503,采购进货!$D$4:$D$1503,$B44,采购进货!$B$4:$B$1503,"&gt;="&amp;DATE(年度,2,1),采购进货!$B$4:$B$1503,"&lt;"&amp;DATE(年度,2+1,1)))</f>
        <v>0</v>
      </c>
      <c r="U44" s="186">
        <f>IF($B44="",0,SUMIFS(采购进货!$G$4:$G$1503,采购进货!$D$4:$D$1503,$B44,采购进货!$B$4:$B$1503,"&gt;="&amp;DATE(年度,2,1),采购进货!$B$4:$B$1503,"&lt;"&amp;DATE(年度,2+1,1)))</f>
        <v>0</v>
      </c>
      <c r="V44" s="234">
        <f>Q44+T44</f>
        <v>0</v>
      </c>
      <c r="W44" s="235">
        <f>R44+U44</f>
        <v>0</v>
      </c>
      <c r="X44" s="222">
        <f>IF(AND(V44&gt;0,W44&gt;0),W44/V44,N($E44))</f>
        <v>62.04</v>
      </c>
      <c r="Y44" s="220">
        <f>IF($B44="",0,SUMIFS(出库明细!$E$4:$E$3003,出库明细!$D$4:$D$3003,$B44,出库明细!$B$4:$B$3003,"&gt;="&amp;DATE(年度,2,1),出库明细!$B$4:$B$3003,"&lt;"&amp;DATE(年度,2+1,1)))</f>
        <v>0</v>
      </c>
      <c r="Z44" s="186">
        <f>Y44*X44</f>
        <v>0</v>
      </c>
      <c r="AA44" s="220">
        <f>_辅助!BN42</f>
        <v>0</v>
      </c>
      <c r="AB44" s="186">
        <f>_辅助!AD42</f>
        <v>0</v>
      </c>
      <c r="AC44" s="221">
        <f>V44-Y44-AA44</f>
        <v>0</v>
      </c>
      <c r="AD44" s="187">
        <f>W44-Z44-AB44</f>
        <v>0</v>
      </c>
      <c r="AE44" s="236">
        <f>IF(AND(V44&gt;0,W44&gt;0),0,Z44)</f>
        <v>0</v>
      </c>
      <c r="AF44" s="220">
        <f>IF($B44="",0,SUMIFS(采购进货!$E$4:$E$1503,采购进货!$D$4:$D$1503,$B44,采购进货!$B$4:$B$1503,"&gt;="&amp;DATE(年度,3,1),采购进货!$B$4:$B$1503,"&lt;"&amp;DATE(年度,3+1,1))+SUMIFS(采购进货!$H$4:$H$1503,采购进货!$D$4:$D$1503,$B44,采购进货!$B$4:$B$1503,"&gt;="&amp;DATE(年度,3,1),采购进货!$B$4:$B$1503,"&lt;"&amp;DATE(年度,3+1,1)))</f>
        <v>0</v>
      </c>
      <c r="AG44" s="186">
        <f>IF($B44="",0,SUMIFS(采购进货!$G$4:$G$1503,采购进货!$D$4:$D$1503,$B44,采购进货!$B$4:$B$1503,"&gt;="&amp;DATE(年度,3,1),采购进货!$B$4:$B$1503,"&lt;"&amp;DATE(年度,3+1,1)))</f>
        <v>0</v>
      </c>
      <c r="AH44" s="234">
        <f>AC44+AF44</f>
        <v>0</v>
      </c>
      <c r="AI44" s="235">
        <f>AD44+AG44</f>
        <v>0</v>
      </c>
      <c r="AJ44" s="222">
        <f>IF(AND(AH44&gt;0,AI44&gt;0),AI44/AH44,N($E44))</f>
        <v>62.04</v>
      </c>
      <c r="AK44" s="220">
        <f>IF($B44="",0,SUMIFS(出库明细!$E$4:$E$3003,出库明细!$D$4:$D$3003,$B44,出库明细!$B$4:$B$3003,"&gt;="&amp;DATE(年度,3,1),出库明细!$B$4:$B$3003,"&lt;"&amp;DATE(年度,3+1,1)))</f>
        <v>0</v>
      </c>
      <c r="AL44" s="186">
        <f>AK44*AJ44</f>
        <v>0</v>
      </c>
      <c r="AM44" s="220">
        <f>_辅助!BO42</f>
        <v>0</v>
      </c>
      <c r="AN44" s="186">
        <f>_辅助!AE42</f>
        <v>0</v>
      </c>
      <c r="AO44" s="221">
        <f>AH44-AK44-AM44</f>
        <v>0</v>
      </c>
      <c r="AP44" s="187">
        <f>AI44-AL44-AN44</f>
        <v>0</v>
      </c>
      <c r="AQ44" s="236">
        <f>IF(AND(AH44&gt;0,AI44&gt;0),0,AL44)</f>
        <v>0</v>
      </c>
      <c r="AR44" s="220">
        <f>IF($B44="",0,SUMIFS(采购进货!$E$4:$E$1503,采购进货!$D$4:$D$1503,$B44,采购进货!$B$4:$B$1503,"&gt;="&amp;DATE(年度,4,1),采购进货!$B$4:$B$1503,"&lt;"&amp;DATE(年度,4+1,1))+SUMIFS(采购进货!$H$4:$H$1503,采购进货!$D$4:$D$1503,$B44,采购进货!$B$4:$B$1503,"&gt;="&amp;DATE(年度,4,1),采购进货!$B$4:$B$1503,"&lt;"&amp;DATE(年度,4+1,1)))</f>
        <v>0</v>
      </c>
      <c r="AS44" s="186">
        <f>IF($B44="",0,SUMIFS(采购进货!$G$4:$G$1503,采购进货!$D$4:$D$1503,$B44,采购进货!$B$4:$B$1503,"&gt;="&amp;DATE(年度,4,1),采购进货!$B$4:$B$1503,"&lt;"&amp;DATE(年度,4+1,1)))</f>
        <v>0</v>
      </c>
      <c r="AT44" s="234">
        <f>AO44+AR44</f>
        <v>0</v>
      </c>
      <c r="AU44" s="235">
        <f>AP44+AS44</f>
        <v>0</v>
      </c>
      <c r="AV44" s="222">
        <f>IF(AND(AT44&gt;0,AU44&gt;0),AU44/AT44,N($E44))</f>
        <v>62.04</v>
      </c>
      <c r="AW44" s="220">
        <f>IF($B44="",0,SUMIFS(出库明细!$E$4:$E$3003,出库明细!$D$4:$D$3003,$B44,出库明细!$B$4:$B$3003,"&gt;="&amp;DATE(年度,4,1),出库明细!$B$4:$B$3003,"&lt;"&amp;DATE(年度,4+1,1)))</f>
        <v>0</v>
      </c>
      <c r="AX44" s="186">
        <f>AW44*AV44</f>
        <v>0</v>
      </c>
      <c r="AY44" s="220">
        <f>_辅助!BP42</f>
        <v>0</v>
      </c>
      <c r="AZ44" s="186">
        <f>_辅助!AF42</f>
        <v>0</v>
      </c>
      <c r="BA44" s="221">
        <f>AT44-AW44-AY44</f>
        <v>0</v>
      </c>
      <c r="BB44" s="187">
        <f>AU44-AX44-AZ44</f>
        <v>0</v>
      </c>
      <c r="BC44" s="236">
        <f>IF(AND(AT44&gt;0,AU44&gt;0),0,AX44)</f>
        <v>0</v>
      </c>
      <c r="BD44" s="220">
        <f>IF($B44="",0,SUMIFS(采购进货!$E$4:$E$1503,采购进货!$D$4:$D$1503,$B44,采购进货!$B$4:$B$1503,"&gt;="&amp;DATE(年度,5,1),采购进货!$B$4:$B$1503,"&lt;"&amp;DATE(年度,5+1,1))+SUMIFS(采购进货!$H$4:$H$1503,采购进货!$D$4:$D$1503,$B44,采购进货!$B$4:$B$1503,"&gt;="&amp;DATE(年度,5,1),采购进货!$B$4:$B$1503,"&lt;"&amp;DATE(年度,5+1,1)))</f>
        <v>0</v>
      </c>
      <c r="BE44" s="186">
        <f>IF($B44="",0,SUMIFS(采购进货!$G$4:$G$1503,采购进货!$D$4:$D$1503,$B44,采购进货!$B$4:$B$1503,"&gt;="&amp;DATE(年度,5,1),采购进货!$B$4:$B$1503,"&lt;"&amp;DATE(年度,5+1,1)))</f>
        <v>0</v>
      </c>
      <c r="BF44" s="234">
        <f>BA44+BD44</f>
        <v>0</v>
      </c>
      <c r="BG44" s="235">
        <f>BB44+BE44</f>
        <v>0</v>
      </c>
      <c r="BH44" s="222">
        <f>IF(AND(BF44&gt;0,BG44&gt;0),BG44/BF44,N($E44))</f>
        <v>62.04</v>
      </c>
      <c r="BI44" s="220">
        <f>IF($B44="",0,SUMIFS(出库明细!$E$4:$E$3003,出库明细!$D$4:$D$3003,$B44,出库明细!$B$4:$B$3003,"&gt;="&amp;DATE(年度,5,1),出库明细!$B$4:$B$3003,"&lt;"&amp;DATE(年度,5+1,1)))</f>
        <v>0</v>
      </c>
      <c r="BJ44" s="186">
        <f>BI44*BH44</f>
        <v>0</v>
      </c>
      <c r="BK44" s="220">
        <f>_辅助!BQ42</f>
        <v>0</v>
      </c>
      <c r="BL44" s="186">
        <f>_辅助!AG42</f>
        <v>0</v>
      </c>
      <c r="BM44" s="221">
        <f>BF44-BI44-BK44</f>
        <v>0</v>
      </c>
      <c r="BN44" s="187">
        <f>BG44-BJ44-BL44</f>
        <v>0</v>
      </c>
      <c r="BO44" s="236">
        <f>IF(AND(BF44&gt;0,BG44&gt;0),0,BJ44)</f>
        <v>0</v>
      </c>
      <c r="BP44" s="220">
        <f>IF($B44="",0,SUMIFS(采购进货!$E$4:$E$1503,采购进货!$D$4:$D$1503,$B44,采购进货!$B$4:$B$1503,"&gt;="&amp;DATE(年度,6,1),采购进货!$B$4:$B$1503,"&lt;"&amp;DATE(年度,6+1,1))+SUMIFS(采购进货!$H$4:$H$1503,采购进货!$D$4:$D$1503,$B44,采购进货!$B$4:$B$1503,"&gt;="&amp;DATE(年度,6,1),采购进货!$B$4:$B$1503,"&lt;"&amp;DATE(年度,6+1,1)))</f>
        <v>0</v>
      </c>
      <c r="BQ44" s="186">
        <f>IF($B44="",0,SUMIFS(采购进货!$G$4:$G$1503,采购进货!$D$4:$D$1503,$B44,采购进货!$B$4:$B$1503,"&gt;="&amp;DATE(年度,6,1),采购进货!$B$4:$B$1503,"&lt;"&amp;DATE(年度,6+1,1)))</f>
        <v>0</v>
      </c>
      <c r="BR44" s="234">
        <f>BM44+BP44</f>
        <v>0</v>
      </c>
      <c r="BS44" s="235">
        <f>BN44+BQ44</f>
        <v>0</v>
      </c>
      <c r="BT44" s="222">
        <f>IF(AND(BR44&gt;0,BS44&gt;0),BS44/BR44,N($E44))</f>
        <v>62.04</v>
      </c>
      <c r="BU44" s="220">
        <f>IF($B44="",0,SUMIFS(出库明细!$E$4:$E$3003,出库明细!$D$4:$D$3003,$B44,出库明细!$B$4:$B$3003,"&gt;="&amp;DATE(年度,6,1),出库明细!$B$4:$B$3003,"&lt;"&amp;DATE(年度,6+1,1)))</f>
        <v>0</v>
      </c>
      <c r="BV44" s="186">
        <f>BU44*BT44</f>
        <v>0</v>
      </c>
      <c r="BW44" s="220">
        <f>_辅助!BR42</f>
        <v>0.416666666666667</v>
      </c>
      <c r="BX44" s="186">
        <f>_辅助!AH42</f>
        <v>25.85</v>
      </c>
      <c r="BY44" s="221">
        <f>BR44-BU44-BW44</f>
        <v>-0.416666666666667</v>
      </c>
      <c r="BZ44" s="187">
        <f>BS44-BV44-BX44</f>
        <v>-25.85</v>
      </c>
      <c r="CA44" s="236">
        <f>IF(AND(BR44&gt;0,BS44&gt;0),0,BV44)</f>
        <v>0</v>
      </c>
      <c r="CB44" s="220">
        <f>IF($B44="",0,SUMIFS(采购进货!$E$4:$E$1503,采购进货!$D$4:$D$1503,$B44,采购进货!$B$4:$B$1503,"&gt;="&amp;DATE(年度,7,1),采购进货!$B$4:$B$1503,"&lt;"&amp;DATE(年度,7+1,1))+SUMIFS(采购进货!$H$4:$H$1503,采购进货!$D$4:$D$1503,$B44,采购进货!$B$4:$B$1503,"&gt;="&amp;DATE(年度,7,1),采购进货!$B$4:$B$1503,"&lt;"&amp;DATE(年度,7+1,1)))</f>
        <v>0</v>
      </c>
      <c r="CC44" s="186">
        <f>IF($B44="",0,SUMIFS(采购进货!$G$4:$G$1503,采购进货!$D$4:$D$1503,$B44,采购进货!$B$4:$B$1503,"&gt;="&amp;DATE(年度,7,1),采购进货!$B$4:$B$1503,"&lt;"&amp;DATE(年度,7+1,1)))</f>
        <v>0</v>
      </c>
      <c r="CD44" s="234">
        <f>BY44+CB44</f>
        <v>-0.416666666666667</v>
      </c>
      <c r="CE44" s="235">
        <f>BZ44+CC44</f>
        <v>-25.85</v>
      </c>
      <c r="CF44" s="222">
        <f>IF(AND(CD44&gt;0,CE44&gt;0),CE44/CD44,N($E44))</f>
        <v>62.04</v>
      </c>
      <c r="CG44" s="220">
        <f>IF($B44="",0,SUMIFS(出库明细!$E$4:$E$3003,出库明细!$D$4:$D$3003,$B44,出库明细!$B$4:$B$3003,"&gt;="&amp;DATE(年度,7,1),出库明细!$B$4:$B$3003,"&lt;"&amp;DATE(年度,7+1,1)))</f>
        <v>0</v>
      </c>
      <c r="CH44" s="186">
        <f>CG44*CF44</f>
        <v>0</v>
      </c>
      <c r="CI44" s="220">
        <f>_辅助!BS42</f>
        <v>0</v>
      </c>
      <c r="CJ44" s="186">
        <f>_辅助!AI42</f>
        <v>0</v>
      </c>
      <c r="CK44" s="221">
        <f>CD44-CG44-CI44</f>
        <v>-0.416666666666667</v>
      </c>
      <c r="CL44" s="187">
        <f>CE44-CH44-CJ44</f>
        <v>-25.85</v>
      </c>
      <c r="CM44" s="236">
        <f>IF(AND(CD44&gt;0,CE44&gt;0),0,CH44)</f>
        <v>0</v>
      </c>
      <c r="CN44" s="220">
        <f>IF($B44="",0,SUMIFS(采购进货!$E$4:$E$1503,采购进货!$D$4:$D$1503,$B44,采购进货!$B$4:$B$1503,"&gt;="&amp;DATE(年度,8,1),采购进货!$B$4:$B$1503,"&lt;"&amp;DATE(年度,8+1,1))+SUMIFS(采购进货!$H$4:$H$1503,采购进货!$D$4:$D$1503,$B44,采购进货!$B$4:$B$1503,"&gt;="&amp;DATE(年度,8,1),采购进货!$B$4:$B$1503,"&lt;"&amp;DATE(年度,8+1,1)))</f>
        <v>0</v>
      </c>
      <c r="CO44" s="186">
        <f>IF($B44="",0,SUMIFS(采购进货!$G$4:$G$1503,采购进货!$D$4:$D$1503,$B44,采购进货!$B$4:$B$1503,"&gt;="&amp;DATE(年度,8,1),采购进货!$B$4:$B$1503,"&lt;"&amp;DATE(年度,8+1,1)))</f>
        <v>0</v>
      </c>
      <c r="CP44" s="234">
        <f>CK44+CN44</f>
        <v>-0.416666666666667</v>
      </c>
      <c r="CQ44" s="235">
        <f>CL44+CO44</f>
        <v>-25.85</v>
      </c>
      <c r="CR44" s="222">
        <f>IF(AND(CP44&gt;0,CQ44&gt;0),CQ44/CP44,N($E44))</f>
        <v>62.04</v>
      </c>
      <c r="CS44" s="220">
        <f>IF($B44="",0,SUMIFS(出库明细!$E$4:$E$3003,出库明细!$D$4:$D$3003,$B44,出库明细!$B$4:$B$3003,"&gt;="&amp;DATE(年度,8,1),出库明细!$B$4:$B$3003,"&lt;"&amp;DATE(年度,8+1,1)))</f>
        <v>0</v>
      </c>
      <c r="CT44" s="186">
        <f>CS44*CR44</f>
        <v>0</v>
      </c>
      <c r="CU44" s="220">
        <f>_辅助!BT42</f>
        <v>0.75</v>
      </c>
      <c r="CV44" s="186">
        <f>_辅助!AJ42</f>
        <v>46.53</v>
      </c>
      <c r="CW44" s="221">
        <f>CP44-CS44-CU44</f>
        <v>-1.16666666666667</v>
      </c>
      <c r="CX44" s="187">
        <f>CQ44-CT44-CV44</f>
        <v>-72.38</v>
      </c>
      <c r="CY44" s="236">
        <f>IF(AND(CP44&gt;0,CQ44&gt;0),0,CT44)</f>
        <v>0</v>
      </c>
      <c r="CZ44" s="220">
        <f>IF($B44="",0,SUMIFS(采购进货!$E$4:$E$1503,采购进货!$D$4:$D$1503,$B44,采购进货!$B$4:$B$1503,"&gt;="&amp;DATE(年度,9,1),采购进货!$B$4:$B$1503,"&lt;"&amp;DATE(年度,9+1,1))+SUMIFS(采购进货!$H$4:$H$1503,采购进货!$D$4:$D$1503,$B44,采购进货!$B$4:$B$1503,"&gt;="&amp;DATE(年度,9,1),采购进货!$B$4:$B$1503,"&lt;"&amp;DATE(年度,9+1,1)))</f>
        <v>0</v>
      </c>
      <c r="DA44" s="186">
        <f>IF($B44="",0,SUMIFS(采购进货!$G$4:$G$1503,采购进货!$D$4:$D$1503,$B44,采购进货!$B$4:$B$1503,"&gt;="&amp;DATE(年度,9,1),采购进货!$B$4:$B$1503,"&lt;"&amp;DATE(年度,9+1,1)))</f>
        <v>0</v>
      </c>
      <c r="DB44" s="234">
        <f>CW44+CZ44</f>
        <v>-1.16666666666667</v>
      </c>
      <c r="DC44" s="235">
        <f>CX44+DA44</f>
        <v>-72.38</v>
      </c>
      <c r="DD44" s="222">
        <f>IF(AND(DB44&gt;0,DC44&gt;0),DC44/DB44,N($E44))</f>
        <v>62.04</v>
      </c>
      <c r="DE44" s="220">
        <f>IF($B44="",0,SUMIFS(出库明细!$E$4:$E$3003,出库明细!$D$4:$D$3003,$B44,出库明细!$B$4:$B$3003,"&gt;="&amp;DATE(年度,9,1),出库明细!$B$4:$B$3003,"&lt;"&amp;DATE(年度,9+1,1)))</f>
        <v>0</v>
      </c>
      <c r="DF44" s="186">
        <f>DE44*DD44</f>
        <v>0</v>
      </c>
      <c r="DG44" s="220">
        <f>_辅助!BU42</f>
        <v>0</v>
      </c>
      <c r="DH44" s="186">
        <f>_辅助!AK42</f>
        <v>0</v>
      </c>
      <c r="DI44" s="221">
        <f>DB44-DE44-DG44</f>
        <v>-1.16666666666667</v>
      </c>
      <c r="DJ44" s="187">
        <f>DC44-DF44-DH44</f>
        <v>-72.38</v>
      </c>
      <c r="DK44" s="236">
        <f>IF(AND(DB44&gt;0,DC44&gt;0),0,DF44)</f>
        <v>0</v>
      </c>
      <c r="DL44" s="220">
        <f>IF($B44="",0,SUMIFS(采购进货!$E$4:$E$1503,采购进货!$D$4:$D$1503,$B44,采购进货!$B$4:$B$1503,"&gt;="&amp;DATE(年度,10,1),采购进货!$B$4:$B$1503,"&lt;"&amp;DATE(年度,10+1,1))+SUMIFS(采购进货!$H$4:$H$1503,采购进货!$D$4:$D$1503,$B44,采购进货!$B$4:$B$1503,"&gt;="&amp;DATE(年度,10,1),采购进货!$B$4:$B$1503,"&lt;"&amp;DATE(年度,10+1,1)))</f>
        <v>0</v>
      </c>
      <c r="DM44" s="186">
        <f>IF($B44="",0,SUMIFS(采购进货!$G$4:$G$1503,采购进货!$D$4:$D$1503,$B44,采购进货!$B$4:$B$1503,"&gt;="&amp;DATE(年度,10,1),采购进货!$B$4:$B$1503,"&lt;"&amp;DATE(年度,10+1,1)))</f>
        <v>0</v>
      </c>
      <c r="DN44" s="234">
        <f>DI44+DL44</f>
        <v>-1.16666666666667</v>
      </c>
      <c r="DO44" s="235">
        <f>DJ44+DM44</f>
        <v>-72.38</v>
      </c>
      <c r="DP44" s="222">
        <f>IF(AND(DN44&gt;0,DO44&gt;0),DO44/DN44,N($E44))</f>
        <v>62.04</v>
      </c>
      <c r="DQ44" s="220">
        <f>IF($B44="",0,SUMIFS(出库明细!$E$4:$E$3003,出库明细!$D$4:$D$3003,$B44,出库明细!$B$4:$B$3003,"&gt;="&amp;DATE(年度,10,1),出库明细!$B$4:$B$3003,"&lt;"&amp;DATE(年度,10+1,1)))</f>
        <v>0</v>
      </c>
      <c r="DR44" s="186">
        <f>DQ44*DP44</f>
        <v>0</v>
      </c>
      <c r="DS44" s="220">
        <f>_辅助!BV42</f>
        <v>0</v>
      </c>
      <c r="DT44" s="186">
        <f>_辅助!AL42</f>
        <v>0</v>
      </c>
      <c r="DU44" s="221">
        <f>DN44-DQ44-DS44</f>
        <v>-1.16666666666667</v>
      </c>
      <c r="DV44" s="187">
        <f>DO44-DR44-DT44</f>
        <v>-72.38</v>
      </c>
      <c r="DW44" s="236">
        <f>IF(AND(DN44&gt;0,DO44&gt;0),0,DR44)</f>
        <v>0</v>
      </c>
      <c r="DX44" s="220">
        <f>IF($B44="",0,SUMIFS(采购进货!$E$4:$E$1503,采购进货!$D$4:$D$1503,$B44,采购进货!$B$4:$B$1503,"&gt;="&amp;DATE(年度,11,1),采购进货!$B$4:$B$1503,"&lt;"&amp;DATE(年度,11+1,1))+SUMIFS(采购进货!$H$4:$H$1503,采购进货!$D$4:$D$1503,$B44,采购进货!$B$4:$B$1503,"&gt;="&amp;DATE(年度,11,1),采购进货!$B$4:$B$1503,"&lt;"&amp;DATE(年度,11+1,1)))</f>
        <v>0</v>
      </c>
      <c r="DY44" s="186">
        <f>IF($B44="",0,SUMIFS(采购进货!$G$4:$G$1503,采购进货!$D$4:$D$1503,$B44,采购进货!$B$4:$B$1503,"&gt;="&amp;DATE(年度,11,1),采购进货!$B$4:$B$1503,"&lt;"&amp;DATE(年度,11+1,1)))</f>
        <v>0</v>
      </c>
      <c r="DZ44" s="234">
        <f>DU44+DX44</f>
        <v>-1.16666666666667</v>
      </c>
      <c r="EA44" s="235">
        <f>DV44+DY44</f>
        <v>-72.38</v>
      </c>
      <c r="EB44" s="222">
        <f>IF(AND(DZ44&gt;0,EA44&gt;0),EA44/DZ44,N($E44))</f>
        <v>62.04</v>
      </c>
      <c r="EC44" s="220">
        <f>IF($B44="",0,SUMIFS(出库明细!$E$4:$E$3003,出库明细!$D$4:$D$3003,$B44,出库明细!$B$4:$B$3003,"&gt;="&amp;DATE(年度,11,1),出库明细!$B$4:$B$3003,"&lt;"&amp;DATE(年度,11+1,1)))</f>
        <v>0</v>
      </c>
      <c r="ED44" s="186">
        <f>EC44*EB44</f>
        <v>0</v>
      </c>
      <c r="EE44" s="220">
        <f>_辅助!BW42</f>
        <v>0</v>
      </c>
      <c r="EF44" s="186">
        <f>_辅助!AM42</f>
        <v>0</v>
      </c>
      <c r="EG44" s="221">
        <f>DZ44-EC44-EE44</f>
        <v>-1.16666666666667</v>
      </c>
      <c r="EH44" s="187">
        <f>EA44-ED44-EF44</f>
        <v>-72.38</v>
      </c>
      <c r="EI44" s="236">
        <f>IF(AND(DZ44&gt;0,EA44&gt;0),0,ED44)</f>
        <v>0</v>
      </c>
      <c r="EJ44" s="220">
        <f>IF($B44="",0,SUMIFS(采购进货!$E$4:$E$1503,采购进货!$D$4:$D$1503,$B44,采购进货!$B$4:$B$1503,"&gt;="&amp;DATE(年度,12,1),采购进货!$B$4:$B$1503,"&lt;"&amp;DATE(年度,12+1,1))+SUMIFS(采购进货!$H$4:$H$1503,采购进货!$D$4:$D$1503,$B44,采购进货!$B$4:$B$1503,"&gt;="&amp;DATE(年度,12,1),采购进货!$B$4:$B$1503,"&lt;"&amp;DATE(年度,12+1,1)))</f>
        <v>0</v>
      </c>
      <c r="EK44" s="186">
        <f>IF($B44="",0,SUMIFS(采购进货!$G$4:$G$1503,采购进货!$D$4:$D$1503,$B44,采购进货!$B$4:$B$1503,"&gt;="&amp;DATE(年度,12,1),采购进货!$B$4:$B$1503,"&lt;"&amp;DATE(年度,12+1,1)))</f>
        <v>0</v>
      </c>
      <c r="EL44" s="234">
        <f>EG44+EJ44</f>
        <v>-1.16666666666667</v>
      </c>
      <c r="EM44" s="235">
        <f>EH44+EK44</f>
        <v>-72.38</v>
      </c>
      <c r="EN44" s="222">
        <f>IF(AND(EL44&gt;0,EM44&gt;0),EM44/EL44,N($E44))</f>
        <v>62.04</v>
      </c>
      <c r="EO44" s="220">
        <f>IF($B44="",0,SUMIFS(出库明细!$E$4:$E$3003,出库明细!$D$4:$D$3003,$B44,出库明细!$B$4:$B$3003,"&gt;="&amp;DATE(年度,12,1),出库明细!$B$4:$B$3003,"&lt;"&amp;DATE(年度,12+1,1)))</f>
        <v>0</v>
      </c>
      <c r="EP44" s="186">
        <f>EO44*EN44</f>
        <v>0</v>
      </c>
      <c r="EQ44" s="220">
        <f>_辅助!BX42</f>
        <v>0</v>
      </c>
      <c r="ER44" s="186">
        <f>_辅助!AN42</f>
        <v>0</v>
      </c>
      <c r="ES44" s="221">
        <f>EL44-EO44-EQ44</f>
        <v>-1.16666666666667</v>
      </c>
      <c r="ET44" s="187">
        <f>EM44-EP44-ER44</f>
        <v>-72.38</v>
      </c>
      <c r="EU44" s="236">
        <f>IF(AND(EL44&gt;0,EM44&gt;0),0,EP44)</f>
        <v>0</v>
      </c>
    </row>
    <row r="45">
      <c r="A45" s="194">
        <f>IF(B45="","",ROW()-7)</f>
        <v>38</v>
      </c>
      <c r="B45" s="141" t="str">
        <f>IF(基础资料!E42="","",基础资料!E42&amp;"")</f>
        <v>艾精隆155克瓜子</v>
      </c>
      <c r="C45" s="230" t="str">
        <f>IF(基础资料!G42="","",基础资料!G42&amp;"")</f>
        <v>艾精隆155克瓜子</v>
      </c>
      <c r="D45" s="194">
        <f>IF(基础资料!I42="","",基础资料!I42)</f>
        <v>30</v>
      </c>
      <c r="E45" s="231">
        <f>IF(基础资料!J42="","",基础资料!J42)</f>
        <v>96</v>
      </c>
      <c r="F45" s="232">
        <f>N(基础资料!L42)</f>
        <v>0</v>
      </c>
      <c r="G45" s="233">
        <f>IF(基础资料!N42="",0,基础资料!N42)</f>
        <v>0</v>
      </c>
      <c r="H45" s="220">
        <f>IF($B45="",0,SUMIFS(采购进货!$E$4:$E$1503,采购进货!$D$4:$D$1503,$B45,采购进货!$B$4:$B$1503,"&gt;="&amp;DATE(年度,1,1),采购进货!$B$4:$B$1503,"&lt;"&amp;DATE(年度,1+1,1))+SUMIFS(采购进货!$H$4:$H$1503,采购进货!$D$4:$D$1503,$B45,采购进货!$B$4:$B$1503,"&gt;="&amp;DATE(年度,1,1),采购进货!$B$4:$B$1503,"&lt;"&amp;DATE(年度,1+1,1)))</f>
        <v>0</v>
      </c>
      <c r="I45" s="186">
        <f>IF($B45="",0,SUMIFS(采购进货!$G$4:$G$1503,采购进货!$D$4:$D$1503,$B45,采购进货!$B$4:$B$1503,"&gt;="&amp;DATE(年度,1,1),采购进货!$B$4:$B$1503,"&lt;"&amp;DATE(年度,1+1,1)))</f>
        <v>0</v>
      </c>
      <c r="J45" s="234">
        <f>F45+H45</f>
        <v>0</v>
      </c>
      <c r="K45" s="235">
        <f>G45+I45</f>
        <v>0</v>
      </c>
      <c r="L45" s="222">
        <f>IF(AND(J45&gt;0,K45&gt;0),K45/J45,N($E45))</f>
        <v>96</v>
      </c>
      <c r="M45" s="220">
        <f>IF($B45="",0,SUMIFS(出库明细!$E$4:$E$3003,出库明细!$D$4:$D$3003,$B45,出库明细!$B$4:$B$3003,"&gt;="&amp;DATE(年度,1,1),出库明细!$B$4:$B$3003,"&lt;"&amp;DATE(年度,1+1,1)))</f>
        <v>0</v>
      </c>
      <c r="N45" s="186">
        <f>M45*L45</f>
        <v>0</v>
      </c>
      <c r="O45" s="220">
        <f>_辅助!BM43</f>
        <v>0</v>
      </c>
      <c r="P45" s="186">
        <f>_辅助!AC43</f>
        <v>0</v>
      </c>
      <c r="Q45" s="221">
        <f>J45-M45-O45</f>
        <v>0</v>
      </c>
      <c r="R45" s="187">
        <f>K45-N45-P45</f>
        <v>0</v>
      </c>
      <c r="S45" s="236">
        <f>IF(AND(J45&gt;0,K45&gt;0),0,N45)</f>
        <v>0</v>
      </c>
      <c r="T45" s="220">
        <f>IF($B45="",0,SUMIFS(采购进货!$E$4:$E$1503,采购进货!$D$4:$D$1503,$B45,采购进货!$B$4:$B$1503,"&gt;="&amp;DATE(年度,2,1),采购进货!$B$4:$B$1503,"&lt;"&amp;DATE(年度,2+1,1))+SUMIFS(采购进货!$H$4:$H$1503,采购进货!$D$4:$D$1503,$B45,采购进货!$B$4:$B$1503,"&gt;="&amp;DATE(年度,2,1),采购进货!$B$4:$B$1503,"&lt;"&amp;DATE(年度,2+1,1)))</f>
        <v>0</v>
      </c>
      <c r="U45" s="186">
        <f>IF($B45="",0,SUMIFS(采购进货!$G$4:$G$1503,采购进货!$D$4:$D$1503,$B45,采购进货!$B$4:$B$1503,"&gt;="&amp;DATE(年度,2,1),采购进货!$B$4:$B$1503,"&lt;"&amp;DATE(年度,2+1,1)))</f>
        <v>0</v>
      </c>
      <c r="V45" s="234">
        <f>Q45+T45</f>
        <v>0</v>
      </c>
      <c r="W45" s="235">
        <f>R45+U45</f>
        <v>0</v>
      </c>
      <c r="X45" s="222">
        <f>IF(AND(V45&gt;0,W45&gt;0),W45/V45,N($E45))</f>
        <v>96</v>
      </c>
      <c r="Y45" s="220">
        <f>IF($B45="",0,SUMIFS(出库明细!$E$4:$E$3003,出库明细!$D$4:$D$3003,$B45,出库明细!$B$4:$B$3003,"&gt;="&amp;DATE(年度,2,1),出库明细!$B$4:$B$3003,"&lt;"&amp;DATE(年度,2+1,1)))</f>
        <v>0</v>
      </c>
      <c r="Z45" s="186">
        <f>Y45*X45</f>
        <v>0</v>
      </c>
      <c r="AA45" s="220">
        <f>_辅助!BN43</f>
        <v>0</v>
      </c>
      <c r="AB45" s="186">
        <f>_辅助!AD43</f>
        <v>0</v>
      </c>
      <c r="AC45" s="221">
        <f>V45-Y45-AA45</f>
        <v>0</v>
      </c>
      <c r="AD45" s="187">
        <f>W45-Z45-AB45</f>
        <v>0</v>
      </c>
      <c r="AE45" s="236">
        <f>IF(AND(V45&gt;0,W45&gt;0),0,Z45)</f>
        <v>0</v>
      </c>
      <c r="AF45" s="220">
        <f>IF($B45="",0,SUMIFS(采购进货!$E$4:$E$1503,采购进货!$D$4:$D$1503,$B45,采购进货!$B$4:$B$1503,"&gt;="&amp;DATE(年度,3,1),采购进货!$B$4:$B$1503,"&lt;"&amp;DATE(年度,3+1,1))+SUMIFS(采购进货!$H$4:$H$1503,采购进货!$D$4:$D$1503,$B45,采购进货!$B$4:$B$1503,"&gt;="&amp;DATE(年度,3,1),采购进货!$B$4:$B$1503,"&lt;"&amp;DATE(年度,3+1,1)))</f>
        <v>0</v>
      </c>
      <c r="AG45" s="186">
        <f>IF($B45="",0,SUMIFS(采购进货!$G$4:$G$1503,采购进货!$D$4:$D$1503,$B45,采购进货!$B$4:$B$1503,"&gt;="&amp;DATE(年度,3,1),采购进货!$B$4:$B$1503,"&lt;"&amp;DATE(年度,3+1,1)))</f>
        <v>0</v>
      </c>
      <c r="AH45" s="234">
        <f>AC45+AF45</f>
        <v>0</v>
      </c>
      <c r="AI45" s="235">
        <f>AD45+AG45</f>
        <v>0</v>
      </c>
      <c r="AJ45" s="222">
        <f>IF(AND(AH45&gt;0,AI45&gt;0),AI45/AH45,N($E45))</f>
        <v>96</v>
      </c>
      <c r="AK45" s="220">
        <f>IF($B45="",0,SUMIFS(出库明细!$E$4:$E$3003,出库明细!$D$4:$D$3003,$B45,出库明细!$B$4:$B$3003,"&gt;="&amp;DATE(年度,3,1),出库明细!$B$4:$B$3003,"&lt;"&amp;DATE(年度,3+1,1)))</f>
        <v>0</v>
      </c>
      <c r="AL45" s="186">
        <f>AK45*AJ45</f>
        <v>0</v>
      </c>
      <c r="AM45" s="220">
        <f>_辅助!BO43</f>
        <v>0</v>
      </c>
      <c r="AN45" s="186">
        <f>_辅助!AE43</f>
        <v>0</v>
      </c>
      <c r="AO45" s="221">
        <f>AH45-AK45-AM45</f>
        <v>0</v>
      </c>
      <c r="AP45" s="187">
        <f>AI45-AL45-AN45</f>
        <v>0</v>
      </c>
      <c r="AQ45" s="236">
        <f>IF(AND(AH45&gt;0,AI45&gt;0),0,AL45)</f>
        <v>0</v>
      </c>
      <c r="AR45" s="220">
        <f>IF($B45="",0,SUMIFS(采购进货!$E$4:$E$1503,采购进货!$D$4:$D$1503,$B45,采购进货!$B$4:$B$1503,"&gt;="&amp;DATE(年度,4,1),采购进货!$B$4:$B$1503,"&lt;"&amp;DATE(年度,4+1,1))+SUMIFS(采购进货!$H$4:$H$1503,采购进货!$D$4:$D$1503,$B45,采购进货!$B$4:$B$1503,"&gt;="&amp;DATE(年度,4,1),采购进货!$B$4:$B$1503,"&lt;"&amp;DATE(年度,4+1,1)))</f>
        <v>0</v>
      </c>
      <c r="AS45" s="186">
        <f>IF($B45="",0,SUMIFS(采购进货!$G$4:$G$1503,采购进货!$D$4:$D$1503,$B45,采购进货!$B$4:$B$1503,"&gt;="&amp;DATE(年度,4,1),采购进货!$B$4:$B$1503,"&lt;"&amp;DATE(年度,4+1,1)))</f>
        <v>0</v>
      </c>
      <c r="AT45" s="234">
        <f>AO45+AR45</f>
        <v>0</v>
      </c>
      <c r="AU45" s="235">
        <f>AP45+AS45</f>
        <v>0</v>
      </c>
      <c r="AV45" s="222">
        <f>IF(AND(AT45&gt;0,AU45&gt;0),AU45/AT45,N($E45))</f>
        <v>96</v>
      </c>
      <c r="AW45" s="220">
        <f>IF($B45="",0,SUMIFS(出库明细!$E$4:$E$3003,出库明细!$D$4:$D$3003,$B45,出库明细!$B$4:$B$3003,"&gt;="&amp;DATE(年度,4,1),出库明细!$B$4:$B$3003,"&lt;"&amp;DATE(年度,4+1,1)))</f>
        <v>0</v>
      </c>
      <c r="AX45" s="186">
        <f>AW45*AV45</f>
        <v>0</v>
      </c>
      <c r="AY45" s="220">
        <f>_辅助!BP43</f>
        <v>0</v>
      </c>
      <c r="AZ45" s="186">
        <f>_辅助!AF43</f>
        <v>0</v>
      </c>
      <c r="BA45" s="221">
        <f>AT45-AW45-AY45</f>
        <v>0</v>
      </c>
      <c r="BB45" s="187">
        <f>AU45-AX45-AZ45</f>
        <v>0</v>
      </c>
      <c r="BC45" s="236">
        <f>IF(AND(AT45&gt;0,AU45&gt;0),0,AX45)</f>
        <v>0</v>
      </c>
      <c r="BD45" s="220">
        <f>IF($B45="",0,SUMIFS(采购进货!$E$4:$E$1503,采购进货!$D$4:$D$1503,$B45,采购进货!$B$4:$B$1503,"&gt;="&amp;DATE(年度,5,1),采购进货!$B$4:$B$1503,"&lt;"&amp;DATE(年度,5+1,1))+SUMIFS(采购进货!$H$4:$H$1503,采购进货!$D$4:$D$1503,$B45,采购进货!$B$4:$B$1503,"&gt;="&amp;DATE(年度,5,1),采购进货!$B$4:$B$1503,"&lt;"&amp;DATE(年度,5+1,1)))</f>
        <v>0</v>
      </c>
      <c r="BE45" s="186">
        <f>IF($B45="",0,SUMIFS(采购进货!$G$4:$G$1503,采购进货!$D$4:$D$1503,$B45,采购进货!$B$4:$B$1503,"&gt;="&amp;DATE(年度,5,1),采购进货!$B$4:$B$1503,"&lt;"&amp;DATE(年度,5+1,1)))</f>
        <v>0</v>
      </c>
      <c r="BF45" s="234">
        <f>BA45+BD45</f>
        <v>0</v>
      </c>
      <c r="BG45" s="235">
        <f>BB45+BE45</f>
        <v>0</v>
      </c>
      <c r="BH45" s="222">
        <f>IF(AND(BF45&gt;0,BG45&gt;0),BG45/BF45,N($E45))</f>
        <v>96</v>
      </c>
      <c r="BI45" s="220">
        <f>IF($B45="",0,SUMIFS(出库明细!$E$4:$E$3003,出库明细!$D$4:$D$3003,$B45,出库明细!$B$4:$B$3003,"&gt;="&amp;DATE(年度,5,1),出库明细!$B$4:$B$3003,"&lt;"&amp;DATE(年度,5+1,1)))</f>
        <v>0</v>
      </c>
      <c r="BJ45" s="186">
        <f>BI45*BH45</f>
        <v>0</v>
      </c>
      <c r="BK45" s="220">
        <f>_辅助!BQ43</f>
        <v>0</v>
      </c>
      <c r="BL45" s="186">
        <f>_辅助!AG43</f>
        <v>0</v>
      </c>
      <c r="BM45" s="221">
        <f>BF45-BI45-BK45</f>
        <v>0</v>
      </c>
      <c r="BN45" s="187">
        <f>BG45-BJ45-BL45</f>
        <v>0</v>
      </c>
      <c r="BO45" s="236">
        <f>IF(AND(BF45&gt;0,BG45&gt;0),0,BJ45)</f>
        <v>0</v>
      </c>
      <c r="BP45" s="220">
        <f>IF($B45="",0,SUMIFS(采购进货!$E$4:$E$1503,采购进货!$D$4:$D$1503,$B45,采购进货!$B$4:$B$1503,"&gt;="&amp;DATE(年度,6,1),采购进货!$B$4:$B$1503,"&lt;"&amp;DATE(年度,6+1,1))+SUMIFS(采购进货!$H$4:$H$1503,采购进货!$D$4:$D$1503,$B45,采购进货!$B$4:$B$1503,"&gt;="&amp;DATE(年度,6,1),采购进货!$B$4:$B$1503,"&lt;"&amp;DATE(年度,6+1,1)))</f>
        <v>0</v>
      </c>
      <c r="BQ45" s="186">
        <f>IF($B45="",0,SUMIFS(采购进货!$G$4:$G$1503,采购进货!$D$4:$D$1503,$B45,采购进货!$B$4:$B$1503,"&gt;="&amp;DATE(年度,6,1),采购进货!$B$4:$B$1503,"&lt;"&amp;DATE(年度,6+1,1)))</f>
        <v>0</v>
      </c>
      <c r="BR45" s="234">
        <f>BM45+BP45</f>
        <v>0</v>
      </c>
      <c r="BS45" s="235">
        <f>BN45+BQ45</f>
        <v>0</v>
      </c>
      <c r="BT45" s="222">
        <f>IF(AND(BR45&gt;0,BS45&gt;0),BS45/BR45,N($E45))</f>
        <v>96</v>
      </c>
      <c r="BU45" s="220">
        <f>IF($B45="",0,SUMIFS(出库明细!$E$4:$E$3003,出库明细!$D$4:$D$3003,$B45,出库明细!$B$4:$B$3003,"&gt;="&amp;DATE(年度,6,1),出库明细!$B$4:$B$3003,"&lt;"&amp;DATE(年度,6+1,1)))</f>
        <v>0</v>
      </c>
      <c r="BV45" s="186">
        <f>BU45*BT45</f>
        <v>0</v>
      </c>
      <c r="BW45" s="220">
        <f>_辅助!BR43</f>
        <v>0</v>
      </c>
      <c r="BX45" s="186">
        <f>_辅助!AH43</f>
        <v>0</v>
      </c>
      <c r="BY45" s="221">
        <f>BR45-BU45-BW45</f>
        <v>0</v>
      </c>
      <c r="BZ45" s="187">
        <f>BS45-BV45-BX45</f>
        <v>0</v>
      </c>
      <c r="CA45" s="236">
        <f>IF(AND(BR45&gt;0,BS45&gt;0),0,BV45)</f>
        <v>0</v>
      </c>
      <c r="CB45" s="220">
        <f>IF($B45="",0,SUMIFS(采购进货!$E$4:$E$1503,采购进货!$D$4:$D$1503,$B45,采购进货!$B$4:$B$1503,"&gt;="&amp;DATE(年度,7,1),采购进货!$B$4:$B$1503,"&lt;"&amp;DATE(年度,7+1,1))+SUMIFS(采购进货!$H$4:$H$1503,采购进货!$D$4:$D$1503,$B45,采购进货!$B$4:$B$1503,"&gt;="&amp;DATE(年度,7,1),采购进货!$B$4:$B$1503,"&lt;"&amp;DATE(年度,7+1,1)))</f>
        <v>0</v>
      </c>
      <c r="CC45" s="186">
        <f>IF($B45="",0,SUMIFS(采购进货!$G$4:$G$1503,采购进货!$D$4:$D$1503,$B45,采购进货!$B$4:$B$1503,"&gt;="&amp;DATE(年度,7,1),采购进货!$B$4:$B$1503,"&lt;"&amp;DATE(年度,7+1,1)))</f>
        <v>0</v>
      </c>
      <c r="CD45" s="234">
        <f>BY45+CB45</f>
        <v>0</v>
      </c>
      <c r="CE45" s="235">
        <f>BZ45+CC45</f>
        <v>0</v>
      </c>
      <c r="CF45" s="222">
        <f>IF(AND(CD45&gt;0,CE45&gt;0),CE45/CD45,N($E45))</f>
        <v>96</v>
      </c>
      <c r="CG45" s="220">
        <f>IF($B45="",0,SUMIFS(出库明细!$E$4:$E$3003,出库明细!$D$4:$D$3003,$B45,出库明细!$B$4:$B$3003,"&gt;="&amp;DATE(年度,7,1),出库明细!$B$4:$B$3003,"&lt;"&amp;DATE(年度,7+1,1)))</f>
        <v>0</v>
      </c>
      <c r="CH45" s="186">
        <f>CG45*CF45</f>
        <v>0</v>
      </c>
      <c r="CI45" s="220">
        <f>_辅助!BS43</f>
        <v>0</v>
      </c>
      <c r="CJ45" s="186">
        <f>_辅助!AI43</f>
        <v>0</v>
      </c>
      <c r="CK45" s="221">
        <f>CD45-CG45-CI45</f>
        <v>0</v>
      </c>
      <c r="CL45" s="187">
        <f>CE45-CH45-CJ45</f>
        <v>0</v>
      </c>
      <c r="CM45" s="236">
        <f>IF(AND(CD45&gt;0,CE45&gt;0),0,CH45)</f>
        <v>0</v>
      </c>
      <c r="CN45" s="220">
        <f>IF($B45="",0,SUMIFS(采购进货!$E$4:$E$1503,采购进货!$D$4:$D$1503,$B45,采购进货!$B$4:$B$1503,"&gt;="&amp;DATE(年度,8,1),采购进货!$B$4:$B$1503,"&lt;"&amp;DATE(年度,8+1,1))+SUMIFS(采购进货!$H$4:$H$1503,采购进货!$D$4:$D$1503,$B45,采购进货!$B$4:$B$1503,"&gt;="&amp;DATE(年度,8,1),采购进货!$B$4:$B$1503,"&lt;"&amp;DATE(年度,8+1,1)))</f>
        <v>0</v>
      </c>
      <c r="CO45" s="186">
        <f>IF($B45="",0,SUMIFS(采购进货!$G$4:$G$1503,采购进货!$D$4:$D$1503,$B45,采购进货!$B$4:$B$1503,"&gt;="&amp;DATE(年度,8,1),采购进货!$B$4:$B$1503,"&lt;"&amp;DATE(年度,8+1,1)))</f>
        <v>0</v>
      </c>
      <c r="CP45" s="234">
        <f>CK45+CN45</f>
        <v>0</v>
      </c>
      <c r="CQ45" s="235">
        <f>CL45+CO45</f>
        <v>0</v>
      </c>
      <c r="CR45" s="222">
        <f>IF(AND(CP45&gt;0,CQ45&gt;0),CQ45/CP45,N($E45))</f>
        <v>96</v>
      </c>
      <c r="CS45" s="220">
        <f>IF($B45="",0,SUMIFS(出库明细!$E$4:$E$3003,出库明细!$D$4:$D$3003,$B45,出库明细!$B$4:$B$3003,"&gt;="&amp;DATE(年度,8,1),出库明细!$B$4:$B$3003,"&lt;"&amp;DATE(年度,8+1,1)))</f>
        <v>0</v>
      </c>
      <c r="CT45" s="186">
        <f>CS45*CR45</f>
        <v>0</v>
      </c>
      <c r="CU45" s="220">
        <f>_辅助!BT43</f>
        <v>1.46666666666667</v>
      </c>
      <c r="CV45" s="186">
        <f>_辅助!AJ43</f>
        <v>140.8</v>
      </c>
      <c r="CW45" s="221">
        <f>CP45-CS45-CU45</f>
        <v>-1.46666666666667</v>
      </c>
      <c r="CX45" s="187">
        <f>CQ45-CT45-CV45</f>
        <v>-140.8</v>
      </c>
      <c r="CY45" s="236">
        <f>IF(AND(CP45&gt;0,CQ45&gt;0),0,CT45)</f>
        <v>0</v>
      </c>
      <c r="CZ45" s="220">
        <f>IF($B45="",0,SUMIFS(采购进货!$E$4:$E$1503,采购进货!$D$4:$D$1503,$B45,采购进货!$B$4:$B$1503,"&gt;="&amp;DATE(年度,9,1),采购进货!$B$4:$B$1503,"&lt;"&amp;DATE(年度,9+1,1))+SUMIFS(采购进货!$H$4:$H$1503,采购进货!$D$4:$D$1503,$B45,采购进货!$B$4:$B$1503,"&gt;="&amp;DATE(年度,9,1),采购进货!$B$4:$B$1503,"&lt;"&amp;DATE(年度,9+1,1)))</f>
        <v>0</v>
      </c>
      <c r="DA45" s="186">
        <f>IF($B45="",0,SUMIFS(采购进货!$G$4:$G$1503,采购进货!$D$4:$D$1503,$B45,采购进货!$B$4:$B$1503,"&gt;="&amp;DATE(年度,9,1),采购进货!$B$4:$B$1503,"&lt;"&amp;DATE(年度,9+1,1)))</f>
        <v>0</v>
      </c>
      <c r="DB45" s="234">
        <f>CW45+CZ45</f>
        <v>-1.46666666666667</v>
      </c>
      <c r="DC45" s="235">
        <f>CX45+DA45</f>
        <v>-140.8</v>
      </c>
      <c r="DD45" s="222">
        <f>IF(AND(DB45&gt;0,DC45&gt;0),DC45/DB45,N($E45))</f>
        <v>96</v>
      </c>
      <c r="DE45" s="220">
        <f>IF($B45="",0,SUMIFS(出库明细!$E$4:$E$3003,出库明细!$D$4:$D$3003,$B45,出库明细!$B$4:$B$3003,"&gt;="&amp;DATE(年度,9,1),出库明细!$B$4:$B$3003,"&lt;"&amp;DATE(年度,9+1,1)))</f>
        <v>0</v>
      </c>
      <c r="DF45" s="186">
        <f>DE45*DD45</f>
        <v>0</v>
      </c>
      <c r="DG45" s="220">
        <f>_辅助!BU43</f>
        <v>0</v>
      </c>
      <c r="DH45" s="186">
        <f>_辅助!AK43</f>
        <v>0</v>
      </c>
      <c r="DI45" s="221">
        <f>DB45-DE45-DG45</f>
        <v>-1.46666666666667</v>
      </c>
      <c r="DJ45" s="187">
        <f>DC45-DF45-DH45</f>
        <v>-140.8</v>
      </c>
      <c r="DK45" s="236">
        <f>IF(AND(DB45&gt;0,DC45&gt;0),0,DF45)</f>
        <v>0</v>
      </c>
      <c r="DL45" s="220">
        <f>IF($B45="",0,SUMIFS(采购进货!$E$4:$E$1503,采购进货!$D$4:$D$1503,$B45,采购进货!$B$4:$B$1503,"&gt;="&amp;DATE(年度,10,1),采购进货!$B$4:$B$1503,"&lt;"&amp;DATE(年度,10+1,1))+SUMIFS(采购进货!$H$4:$H$1503,采购进货!$D$4:$D$1503,$B45,采购进货!$B$4:$B$1503,"&gt;="&amp;DATE(年度,10,1),采购进货!$B$4:$B$1503,"&lt;"&amp;DATE(年度,10+1,1)))</f>
        <v>0</v>
      </c>
      <c r="DM45" s="186">
        <f>IF($B45="",0,SUMIFS(采购进货!$G$4:$G$1503,采购进货!$D$4:$D$1503,$B45,采购进货!$B$4:$B$1503,"&gt;="&amp;DATE(年度,10,1),采购进货!$B$4:$B$1503,"&lt;"&amp;DATE(年度,10+1,1)))</f>
        <v>0</v>
      </c>
      <c r="DN45" s="234">
        <f>DI45+DL45</f>
        <v>-1.46666666666667</v>
      </c>
      <c r="DO45" s="235">
        <f>DJ45+DM45</f>
        <v>-140.8</v>
      </c>
      <c r="DP45" s="222">
        <f>IF(AND(DN45&gt;0,DO45&gt;0),DO45/DN45,N($E45))</f>
        <v>96</v>
      </c>
      <c r="DQ45" s="220">
        <f>IF($B45="",0,SUMIFS(出库明细!$E$4:$E$3003,出库明细!$D$4:$D$3003,$B45,出库明细!$B$4:$B$3003,"&gt;="&amp;DATE(年度,10,1),出库明细!$B$4:$B$3003,"&lt;"&amp;DATE(年度,10+1,1)))</f>
        <v>0</v>
      </c>
      <c r="DR45" s="186">
        <f>DQ45*DP45</f>
        <v>0</v>
      </c>
      <c r="DS45" s="220">
        <f>_辅助!BV43</f>
        <v>0</v>
      </c>
      <c r="DT45" s="186">
        <f>_辅助!AL43</f>
        <v>0</v>
      </c>
      <c r="DU45" s="221">
        <f>DN45-DQ45-DS45</f>
        <v>-1.46666666666667</v>
      </c>
      <c r="DV45" s="187">
        <f>DO45-DR45-DT45</f>
        <v>-140.8</v>
      </c>
      <c r="DW45" s="236">
        <f>IF(AND(DN45&gt;0,DO45&gt;0),0,DR45)</f>
        <v>0</v>
      </c>
      <c r="DX45" s="220">
        <f>IF($B45="",0,SUMIFS(采购进货!$E$4:$E$1503,采购进货!$D$4:$D$1503,$B45,采购进货!$B$4:$B$1503,"&gt;="&amp;DATE(年度,11,1),采购进货!$B$4:$B$1503,"&lt;"&amp;DATE(年度,11+1,1))+SUMIFS(采购进货!$H$4:$H$1503,采购进货!$D$4:$D$1503,$B45,采购进货!$B$4:$B$1503,"&gt;="&amp;DATE(年度,11,1),采购进货!$B$4:$B$1503,"&lt;"&amp;DATE(年度,11+1,1)))</f>
        <v>0</v>
      </c>
      <c r="DY45" s="186">
        <f>IF($B45="",0,SUMIFS(采购进货!$G$4:$G$1503,采购进货!$D$4:$D$1503,$B45,采购进货!$B$4:$B$1503,"&gt;="&amp;DATE(年度,11,1),采购进货!$B$4:$B$1503,"&lt;"&amp;DATE(年度,11+1,1)))</f>
        <v>0</v>
      </c>
      <c r="DZ45" s="234">
        <f>DU45+DX45</f>
        <v>-1.46666666666667</v>
      </c>
      <c r="EA45" s="235">
        <f>DV45+DY45</f>
        <v>-140.8</v>
      </c>
      <c r="EB45" s="222">
        <f>IF(AND(DZ45&gt;0,EA45&gt;0),EA45/DZ45,N($E45))</f>
        <v>96</v>
      </c>
      <c r="EC45" s="220">
        <f>IF($B45="",0,SUMIFS(出库明细!$E$4:$E$3003,出库明细!$D$4:$D$3003,$B45,出库明细!$B$4:$B$3003,"&gt;="&amp;DATE(年度,11,1),出库明细!$B$4:$B$3003,"&lt;"&amp;DATE(年度,11+1,1)))</f>
        <v>0</v>
      </c>
      <c r="ED45" s="186">
        <f>EC45*EB45</f>
        <v>0</v>
      </c>
      <c r="EE45" s="220">
        <f>_辅助!BW43</f>
        <v>0</v>
      </c>
      <c r="EF45" s="186">
        <f>_辅助!AM43</f>
        <v>0</v>
      </c>
      <c r="EG45" s="221">
        <f>DZ45-EC45-EE45</f>
        <v>-1.46666666666667</v>
      </c>
      <c r="EH45" s="187">
        <f>EA45-ED45-EF45</f>
        <v>-140.8</v>
      </c>
      <c r="EI45" s="236">
        <f>IF(AND(DZ45&gt;0,EA45&gt;0),0,ED45)</f>
        <v>0</v>
      </c>
      <c r="EJ45" s="220">
        <f>IF($B45="",0,SUMIFS(采购进货!$E$4:$E$1503,采购进货!$D$4:$D$1503,$B45,采购进货!$B$4:$B$1503,"&gt;="&amp;DATE(年度,12,1),采购进货!$B$4:$B$1503,"&lt;"&amp;DATE(年度,12+1,1))+SUMIFS(采购进货!$H$4:$H$1503,采购进货!$D$4:$D$1503,$B45,采购进货!$B$4:$B$1503,"&gt;="&amp;DATE(年度,12,1),采购进货!$B$4:$B$1503,"&lt;"&amp;DATE(年度,12+1,1)))</f>
        <v>0</v>
      </c>
      <c r="EK45" s="186">
        <f>IF($B45="",0,SUMIFS(采购进货!$G$4:$G$1503,采购进货!$D$4:$D$1503,$B45,采购进货!$B$4:$B$1503,"&gt;="&amp;DATE(年度,12,1),采购进货!$B$4:$B$1503,"&lt;"&amp;DATE(年度,12+1,1)))</f>
        <v>0</v>
      </c>
      <c r="EL45" s="234">
        <f>EG45+EJ45</f>
        <v>-1.46666666666667</v>
      </c>
      <c r="EM45" s="235">
        <f>EH45+EK45</f>
        <v>-140.8</v>
      </c>
      <c r="EN45" s="222">
        <f>IF(AND(EL45&gt;0,EM45&gt;0),EM45/EL45,N($E45))</f>
        <v>96</v>
      </c>
      <c r="EO45" s="220">
        <f>IF($B45="",0,SUMIFS(出库明细!$E$4:$E$3003,出库明细!$D$4:$D$3003,$B45,出库明细!$B$4:$B$3003,"&gt;="&amp;DATE(年度,12,1),出库明细!$B$4:$B$3003,"&lt;"&amp;DATE(年度,12+1,1)))</f>
        <v>0</v>
      </c>
      <c r="EP45" s="186">
        <f>EO45*EN45</f>
        <v>0</v>
      </c>
      <c r="EQ45" s="220">
        <f>_辅助!BX43</f>
        <v>0</v>
      </c>
      <c r="ER45" s="186">
        <f>_辅助!AN43</f>
        <v>0</v>
      </c>
      <c r="ES45" s="221">
        <f>EL45-EO45-EQ45</f>
        <v>-1.46666666666667</v>
      </c>
      <c r="ET45" s="187">
        <f>EM45-EP45-ER45</f>
        <v>-140.8</v>
      </c>
      <c r="EU45" s="236">
        <f>IF(AND(EL45&gt;0,EM45&gt;0),0,EP45)</f>
        <v>0</v>
      </c>
    </row>
    <row r="46">
      <c r="A46" s="194">
        <f>IF(B46="","",ROW()-7)</f>
        <v>39</v>
      </c>
      <c r="B46" s="141" t="str">
        <f>IF(基础资料!E43="","",基础资料!E43&amp;"")</f>
        <v>艾精隆60克香瓜子</v>
      </c>
      <c r="C46" s="230" t="str">
        <f>IF(基础资料!G43="","",基础资料!G43&amp;"")</f>
        <v>艾精隆60克香瓜子</v>
      </c>
      <c r="D46" s="194">
        <f>IF(基础资料!I43="","",基础资料!I43)</f>
        <v>40</v>
      </c>
      <c r="E46" s="231">
        <f>IF(基础资料!J43="","",基础资料!J43)</f>
        <v>48</v>
      </c>
      <c r="F46" s="232">
        <f>N(基础资料!L43)</f>
        <v>0</v>
      </c>
      <c r="G46" s="233">
        <f>IF(基础资料!N43="",0,基础资料!N43)</f>
        <v>0</v>
      </c>
      <c r="H46" s="220">
        <f>IF($B46="",0,SUMIFS(采购进货!$E$4:$E$1503,采购进货!$D$4:$D$1503,$B46,采购进货!$B$4:$B$1503,"&gt;="&amp;DATE(年度,1,1),采购进货!$B$4:$B$1503,"&lt;"&amp;DATE(年度,1+1,1))+SUMIFS(采购进货!$H$4:$H$1503,采购进货!$D$4:$D$1503,$B46,采购进货!$B$4:$B$1503,"&gt;="&amp;DATE(年度,1,1),采购进货!$B$4:$B$1503,"&lt;"&amp;DATE(年度,1+1,1)))</f>
        <v>0</v>
      </c>
      <c r="I46" s="186">
        <f>IF($B46="",0,SUMIFS(采购进货!$G$4:$G$1503,采购进货!$D$4:$D$1503,$B46,采购进货!$B$4:$B$1503,"&gt;="&amp;DATE(年度,1,1),采购进货!$B$4:$B$1503,"&lt;"&amp;DATE(年度,1+1,1)))</f>
        <v>0</v>
      </c>
      <c r="J46" s="234">
        <f>F46+H46</f>
        <v>0</v>
      </c>
      <c r="K46" s="235">
        <f>G46+I46</f>
        <v>0</v>
      </c>
      <c r="L46" s="222">
        <f>IF(AND(J46&gt;0,K46&gt;0),K46/J46,N($E46))</f>
        <v>48</v>
      </c>
      <c r="M46" s="220">
        <f>IF($B46="",0,SUMIFS(出库明细!$E$4:$E$3003,出库明细!$D$4:$D$3003,$B46,出库明细!$B$4:$B$3003,"&gt;="&amp;DATE(年度,1,1),出库明细!$B$4:$B$3003,"&lt;"&amp;DATE(年度,1+1,1)))</f>
        <v>0</v>
      </c>
      <c r="N46" s="186">
        <f>M46*L46</f>
        <v>0</v>
      </c>
      <c r="O46" s="220">
        <f>_辅助!BM44</f>
        <v>0</v>
      </c>
      <c r="P46" s="186">
        <f>_辅助!AC44</f>
        <v>0</v>
      </c>
      <c r="Q46" s="221">
        <f>J46-M46-O46</f>
        <v>0</v>
      </c>
      <c r="R46" s="187">
        <f>K46-N46-P46</f>
        <v>0</v>
      </c>
      <c r="S46" s="236">
        <f>IF(AND(J46&gt;0,K46&gt;0),0,N46)</f>
        <v>0</v>
      </c>
      <c r="T46" s="220">
        <f>IF($B46="",0,SUMIFS(采购进货!$E$4:$E$1503,采购进货!$D$4:$D$1503,$B46,采购进货!$B$4:$B$1503,"&gt;="&amp;DATE(年度,2,1),采购进货!$B$4:$B$1503,"&lt;"&amp;DATE(年度,2+1,1))+SUMIFS(采购进货!$H$4:$H$1503,采购进货!$D$4:$D$1503,$B46,采购进货!$B$4:$B$1503,"&gt;="&amp;DATE(年度,2,1),采购进货!$B$4:$B$1503,"&lt;"&amp;DATE(年度,2+1,1)))</f>
        <v>0</v>
      </c>
      <c r="U46" s="186">
        <f>IF($B46="",0,SUMIFS(采购进货!$G$4:$G$1503,采购进货!$D$4:$D$1503,$B46,采购进货!$B$4:$B$1503,"&gt;="&amp;DATE(年度,2,1),采购进货!$B$4:$B$1503,"&lt;"&amp;DATE(年度,2+1,1)))</f>
        <v>0</v>
      </c>
      <c r="V46" s="234">
        <f>Q46+T46</f>
        <v>0</v>
      </c>
      <c r="W46" s="235">
        <f>R46+U46</f>
        <v>0</v>
      </c>
      <c r="X46" s="222">
        <f>IF(AND(V46&gt;0,W46&gt;0),W46/V46,N($E46))</f>
        <v>48</v>
      </c>
      <c r="Y46" s="220">
        <f>IF($B46="",0,SUMIFS(出库明细!$E$4:$E$3003,出库明细!$D$4:$D$3003,$B46,出库明细!$B$4:$B$3003,"&gt;="&amp;DATE(年度,2,1),出库明细!$B$4:$B$3003,"&lt;"&amp;DATE(年度,2+1,1)))</f>
        <v>0</v>
      </c>
      <c r="Z46" s="186">
        <f>Y46*X46</f>
        <v>0</v>
      </c>
      <c r="AA46" s="220">
        <f>_辅助!BN44</f>
        <v>0</v>
      </c>
      <c r="AB46" s="186">
        <f>_辅助!AD44</f>
        <v>0</v>
      </c>
      <c r="AC46" s="221">
        <f>V46-Y46-AA46</f>
        <v>0</v>
      </c>
      <c r="AD46" s="187">
        <f>W46-Z46-AB46</f>
        <v>0</v>
      </c>
      <c r="AE46" s="236">
        <f>IF(AND(V46&gt;0,W46&gt;0),0,Z46)</f>
        <v>0</v>
      </c>
      <c r="AF46" s="220">
        <f>IF($B46="",0,SUMIFS(采购进货!$E$4:$E$1503,采购进货!$D$4:$D$1503,$B46,采购进货!$B$4:$B$1503,"&gt;="&amp;DATE(年度,3,1),采购进货!$B$4:$B$1503,"&lt;"&amp;DATE(年度,3+1,1))+SUMIFS(采购进货!$H$4:$H$1503,采购进货!$D$4:$D$1503,$B46,采购进货!$B$4:$B$1503,"&gt;="&amp;DATE(年度,3,1),采购进货!$B$4:$B$1503,"&lt;"&amp;DATE(年度,3+1,1)))</f>
        <v>0</v>
      </c>
      <c r="AG46" s="186">
        <f>IF($B46="",0,SUMIFS(采购进货!$G$4:$G$1503,采购进货!$D$4:$D$1503,$B46,采购进货!$B$4:$B$1503,"&gt;="&amp;DATE(年度,3,1),采购进货!$B$4:$B$1503,"&lt;"&amp;DATE(年度,3+1,1)))</f>
        <v>0</v>
      </c>
      <c r="AH46" s="234">
        <f>AC46+AF46</f>
        <v>0</v>
      </c>
      <c r="AI46" s="235">
        <f>AD46+AG46</f>
        <v>0</v>
      </c>
      <c r="AJ46" s="222">
        <f>IF(AND(AH46&gt;0,AI46&gt;0),AI46/AH46,N($E46))</f>
        <v>48</v>
      </c>
      <c r="AK46" s="220">
        <f>IF($B46="",0,SUMIFS(出库明细!$E$4:$E$3003,出库明细!$D$4:$D$3003,$B46,出库明细!$B$4:$B$3003,"&gt;="&amp;DATE(年度,3,1),出库明细!$B$4:$B$3003,"&lt;"&amp;DATE(年度,3+1,1)))</f>
        <v>0</v>
      </c>
      <c r="AL46" s="186">
        <f>AK46*AJ46</f>
        <v>0</v>
      </c>
      <c r="AM46" s="220">
        <f>_辅助!BO44</f>
        <v>0</v>
      </c>
      <c r="AN46" s="186">
        <f>_辅助!AE44</f>
        <v>0</v>
      </c>
      <c r="AO46" s="221">
        <f>AH46-AK46-AM46</f>
        <v>0</v>
      </c>
      <c r="AP46" s="187">
        <f>AI46-AL46-AN46</f>
        <v>0</v>
      </c>
      <c r="AQ46" s="236">
        <f>IF(AND(AH46&gt;0,AI46&gt;0),0,AL46)</f>
        <v>0</v>
      </c>
      <c r="AR46" s="220">
        <f>IF($B46="",0,SUMIFS(采购进货!$E$4:$E$1503,采购进货!$D$4:$D$1503,$B46,采购进货!$B$4:$B$1503,"&gt;="&amp;DATE(年度,4,1),采购进货!$B$4:$B$1503,"&lt;"&amp;DATE(年度,4+1,1))+SUMIFS(采购进货!$H$4:$H$1503,采购进货!$D$4:$D$1503,$B46,采购进货!$B$4:$B$1503,"&gt;="&amp;DATE(年度,4,1),采购进货!$B$4:$B$1503,"&lt;"&amp;DATE(年度,4+1,1)))</f>
        <v>0</v>
      </c>
      <c r="AS46" s="186">
        <f>IF($B46="",0,SUMIFS(采购进货!$G$4:$G$1503,采购进货!$D$4:$D$1503,$B46,采购进货!$B$4:$B$1503,"&gt;="&amp;DATE(年度,4,1),采购进货!$B$4:$B$1503,"&lt;"&amp;DATE(年度,4+1,1)))</f>
        <v>0</v>
      </c>
      <c r="AT46" s="234">
        <f>AO46+AR46</f>
        <v>0</v>
      </c>
      <c r="AU46" s="235">
        <f>AP46+AS46</f>
        <v>0</v>
      </c>
      <c r="AV46" s="222">
        <f>IF(AND(AT46&gt;0,AU46&gt;0),AU46/AT46,N($E46))</f>
        <v>48</v>
      </c>
      <c r="AW46" s="220">
        <f>IF($B46="",0,SUMIFS(出库明细!$E$4:$E$3003,出库明细!$D$4:$D$3003,$B46,出库明细!$B$4:$B$3003,"&gt;="&amp;DATE(年度,4,1),出库明细!$B$4:$B$3003,"&lt;"&amp;DATE(年度,4+1,1)))</f>
        <v>0</v>
      </c>
      <c r="AX46" s="186">
        <f>AW46*AV46</f>
        <v>0</v>
      </c>
      <c r="AY46" s="220">
        <f>_辅助!BP44</f>
        <v>0</v>
      </c>
      <c r="AZ46" s="186">
        <f>_辅助!AF44</f>
        <v>0</v>
      </c>
      <c r="BA46" s="221">
        <f>AT46-AW46-AY46</f>
        <v>0</v>
      </c>
      <c r="BB46" s="187">
        <f>AU46-AX46-AZ46</f>
        <v>0</v>
      </c>
      <c r="BC46" s="236">
        <f>IF(AND(AT46&gt;0,AU46&gt;0),0,AX46)</f>
        <v>0</v>
      </c>
      <c r="BD46" s="220">
        <f>IF($B46="",0,SUMIFS(采购进货!$E$4:$E$1503,采购进货!$D$4:$D$1503,$B46,采购进货!$B$4:$B$1503,"&gt;="&amp;DATE(年度,5,1),采购进货!$B$4:$B$1503,"&lt;"&amp;DATE(年度,5+1,1))+SUMIFS(采购进货!$H$4:$H$1503,采购进货!$D$4:$D$1503,$B46,采购进货!$B$4:$B$1503,"&gt;="&amp;DATE(年度,5,1),采购进货!$B$4:$B$1503,"&lt;"&amp;DATE(年度,5+1,1)))</f>
        <v>0</v>
      </c>
      <c r="BE46" s="186">
        <f>IF($B46="",0,SUMIFS(采购进货!$G$4:$G$1503,采购进货!$D$4:$D$1503,$B46,采购进货!$B$4:$B$1503,"&gt;="&amp;DATE(年度,5,1),采购进货!$B$4:$B$1503,"&lt;"&amp;DATE(年度,5+1,1)))</f>
        <v>0</v>
      </c>
      <c r="BF46" s="234">
        <f>BA46+BD46</f>
        <v>0</v>
      </c>
      <c r="BG46" s="235">
        <f>BB46+BE46</f>
        <v>0</v>
      </c>
      <c r="BH46" s="222">
        <f>IF(AND(BF46&gt;0,BG46&gt;0),BG46/BF46,N($E46))</f>
        <v>48</v>
      </c>
      <c r="BI46" s="220">
        <f>IF($B46="",0,SUMIFS(出库明细!$E$4:$E$3003,出库明细!$D$4:$D$3003,$B46,出库明细!$B$4:$B$3003,"&gt;="&amp;DATE(年度,5,1),出库明细!$B$4:$B$3003,"&lt;"&amp;DATE(年度,5+1,1)))</f>
        <v>0</v>
      </c>
      <c r="BJ46" s="186">
        <f>BI46*BH46</f>
        <v>0</v>
      </c>
      <c r="BK46" s="220">
        <f>_辅助!BQ44</f>
        <v>0</v>
      </c>
      <c r="BL46" s="186">
        <f>_辅助!AG44</f>
        <v>0</v>
      </c>
      <c r="BM46" s="221">
        <f>BF46-BI46-BK46</f>
        <v>0</v>
      </c>
      <c r="BN46" s="187">
        <f>BG46-BJ46-BL46</f>
        <v>0</v>
      </c>
      <c r="BO46" s="236">
        <f>IF(AND(BF46&gt;0,BG46&gt;0),0,BJ46)</f>
        <v>0</v>
      </c>
      <c r="BP46" s="220">
        <f>IF($B46="",0,SUMIFS(采购进货!$E$4:$E$1503,采购进货!$D$4:$D$1503,$B46,采购进货!$B$4:$B$1503,"&gt;="&amp;DATE(年度,6,1),采购进货!$B$4:$B$1503,"&lt;"&amp;DATE(年度,6+1,1))+SUMIFS(采购进货!$H$4:$H$1503,采购进货!$D$4:$D$1503,$B46,采购进货!$B$4:$B$1503,"&gt;="&amp;DATE(年度,6,1),采购进货!$B$4:$B$1503,"&lt;"&amp;DATE(年度,6+1,1)))</f>
        <v>0</v>
      </c>
      <c r="BQ46" s="186">
        <f>IF($B46="",0,SUMIFS(采购进货!$G$4:$G$1503,采购进货!$D$4:$D$1503,$B46,采购进货!$B$4:$B$1503,"&gt;="&amp;DATE(年度,6,1),采购进货!$B$4:$B$1503,"&lt;"&amp;DATE(年度,6+1,1)))</f>
        <v>0</v>
      </c>
      <c r="BR46" s="234">
        <f>BM46+BP46</f>
        <v>0</v>
      </c>
      <c r="BS46" s="235">
        <f>BN46+BQ46</f>
        <v>0</v>
      </c>
      <c r="BT46" s="222">
        <f>IF(AND(BR46&gt;0,BS46&gt;0),BS46/BR46,N($E46))</f>
        <v>48</v>
      </c>
      <c r="BU46" s="220">
        <f>IF($B46="",0,SUMIFS(出库明细!$E$4:$E$3003,出库明细!$D$4:$D$3003,$B46,出库明细!$B$4:$B$3003,"&gt;="&amp;DATE(年度,6,1),出库明细!$B$4:$B$3003,"&lt;"&amp;DATE(年度,6+1,1)))</f>
        <v>0</v>
      </c>
      <c r="BV46" s="186">
        <f>BU46*BT46</f>
        <v>0</v>
      </c>
      <c r="BW46" s="220">
        <f>_辅助!BR44</f>
        <v>0</v>
      </c>
      <c r="BX46" s="186">
        <f>_辅助!AH44</f>
        <v>0</v>
      </c>
      <c r="BY46" s="221">
        <f>BR46-BU46-BW46</f>
        <v>0</v>
      </c>
      <c r="BZ46" s="187">
        <f>BS46-BV46-BX46</f>
        <v>0</v>
      </c>
      <c r="CA46" s="236">
        <f>IF(AND(BR46&gt;0,BS46&gt;0),0,BV46)</f>
        <v>0</v>
      </c>
      <c r="CB46" s="220">
        <f>IF($B46="",0,SUMIFS(采购进货!$E$4:$E$1503,采购进货!$D$4:$D$1503,$B46,采购进货!$B$4:$B$1503,"&gt;="&amp;DATE(年度,7,1),采购进货!$B$4:$B$1503,"&lt;"&amp;DATE(年度,7+1,1))+SUMIFS(采购进货!$H$4:$H$1503,采购进货!$D$4:$D$1503,$B46,采购进货!$B$4:$B$1503,"&gt;="&amp;DATE(年度,7,1),采购进货!$B$4:$B$1503,"&lt;"&amp;DATE(年度,7+1,1)))</f>
        <v>0</v>
      </c>
      <c r="CC46" s="186">
        <f>IF($B46="",0,SUMIFS(采购进货!$G$4:$G$1503,采购进货!$D$4:$D$1503,$B46,采购进货!$B$4:$B$1503,"&gt;="&amp;DATE(年度,7,1),采购进货!$B$4:$B$1503,"&lt;"&amp;DATE(年度,7+1,1)))</f>
        <v>0</v>
      </c>
      <c r="CD46" s="234">
        <f>BY46+CB46</f>
        <v>0</v>
      </c>
      <c r="CE46" s="235">
        <f>BZ46+CC46</f>
        <v>0</v>
      </c>
      <c r="CF46" s="222">
        <f>IF(AND(CD46&gt;0,CE46&gt;0),CE46/CD46,N($E46))</f>
        <v>48</v>
      </c>
      <c r="CG46" s="220">
        <f>IF($B46="",0,SUMIFS(出库明细!$E$4:$E$3003,出库明细!$D$4:$D$3003,$B46,出库明细!$B$4:$B$3003,"&gt;="&amp;DATE(年度,7,1),出库明细!$B$4:$B$3003,"&lt;"&amp;DATE(年度,7+1,1)))</f>
        <v>0</v>
      </c>
      <c r="CH46" s="186">
        <f>CG46*CF46</f>
        <v>0</v>
      </c>
      <c r="CI46" s="220">
        <f>_辅助!BS44</f>
        <v>0</v>
      </c>
      <c r="CJ46" s="186">
        <f>_辅助!AI44</f>
        <v>0</v>
      </c>
      <c r="CK46" s="221">
        <f>CD46-CG46-CI46</f>
        <v>0</v>
      </c>
      <c r="CL46" s="187">
        <f>CE46-CH46-CJ46</f>
        <v>0</v>
      </c>
      <c r="CM46" s="236">
        <f>IF(AND(CD46&gt;0,CE46&gt;0),0,CH46)</f>
        <v>0</v>
      </c>
      <c r="CN46" s="220">
        <f>IF($B46="",0,SUMIFS(采购进货!$E$4:$E$1503,采购进货!$D$4:$D$1503,$B46,采购进货!$B$4:$B$1503,"&gt;="&amp;DATE(年度,8,1),采购进货!$B$4:$B$1503,"&lt;"&amp;DATE(年度,8+1,1))+SUMIFS(采购进货!$H$4:$H$1503,采购进货!$D$4:$D$1503,$B46,采购进货!$B$4:$B$1503,"&gt;="&amp;DATE(年度,8,1),采购进货!$B$4:$B$1503,"&lt;"&amp;DATE(年度,8+1,1)))</f>
        <v>0</v>
      </c>
      <c r="CO46" s="186">
        <f>IF($B46="",0,SUMIFS(采购进货!$G$4:$G$1503,采购进货!$D$4:$D$1503,$B46,采购进货!$B$4:$B$1503,"&gt;="&amp;DATE(年度,8,1),采购进货!$B$4:$B$1503,"&lt;"&amp;DATE(年度,8+1,1)))</f>
        <v>0</v>
      </c>
      <c r="CP46" s="234">
        <f>CK46+CN46</f>
        <v>0</v>
      </c>
      <c r="CQ46" s="235">
        <f>CL46+CO46</f>
        <v>0</v>
      </c>
      <c r="CR46" s="222">
        <f>IF(AND(CP46&gt;0,CQ46&gt;0),CQ46/CP46,N($E46))</f>
        <v>48</v>
      </c>
      <c r="CS46" s="220">
        <f>IF($B46="",0,SUMIFS(出库明细!$E$4:$E$3003,出库明细!$D$4:$D$3003,$B46,出库明细!$B$4:$B$3003,"&gt;="&amp;DATE(年度,8,1),出库明细!$B$4:$B$3003,"&lt;"&amp;DATE(年度,8+1,1)))</f>
        <v>0</v>
      </c>
      <c r="CT46" s="186">
        <f>CS46*CR46</f>
        <v>0</v>
      </c>
      <c r="CU46" s="220">
        <f>_辅助!BT44</f>
        <v>0.95</v>
      </c>
      <c r="CV46" s="186">
        <f>_辅助!AJ44</f>
        <v>45.6</v>
      </c>
      <c r="CW46" s="221">
        <f>CP46-CS46-CU46</f>
        <v>-0.95</v>
      </c>
      <c r="CX46" s="187">
        <f>CQ46-CT46-CV46</f>
        <v>-45.6</v>
      </c>
      <c r="CY46" s="236">
        <f>IF(AND(CP46&gt;0,CQ46&gt;0),0,CT46)</f>
        <v>0</v>
      </c>
      <c r="CZ46" s="220">
        <f>IF($B46="",0,SUMIFS(采购进货!$E$4:$E$1503,采购进货!$D$4:$D$1503,$B46,采购进货!$B$4:$B$1503,"&gt;="&amp;DATE(年度,9,1),采购进货!$B$4:$B$1503,"&lt;"&amp;DATE(年度,9+1,1))+SUMIFS(采购进货!$H$4:$H$1503,采购进货!$D$4:$D$1503,$B46,采购进货!$B$4:$B$1503,"&gt;="&amp;DATE(年度,9,1),采购进货!$B$4:$B$1503,"&lt;"&amp;DATE(年度,9+1,1)))</f>
        <v>0</v>
      </c>
      <c r="DA46" s="186">
        <f>IF($B46="",0,SUMIFS(采购进货!$G$4:$G$1503,采购进货!$D$4:$D$1503,$B46,采购进货!$B$4:$B$1503,"&gt;="&amp;DATE(年度,9,1),采购进货!$B$4:$B$1503,"&lt;"&amp;DATE(年度,9+1,1)))</f>
        <v>0</v>
      </c>
      <c r="DB46" s="234">
        <f>CW46+CZ46</f>
        <v>-0.95</v>
      </c>
      <c r="DC46" s="235">
        <f>CX46+DA46</f>
        <v>-45.6</v>
      </c>
      <c r="DD46" s="222">
        <f>IF(AND(DB46&gt;0,DC46&gt;0),DC46/DB46,N($E46))</f>
        <v>48</v>
      </c>
      <c r="DE46" s="220">
        <f>IF($B46="",0,SUMIFS(出库明细!$E$4:$E$3003,出库明细!$D$4:$D$3003,$B46,出库明细!$B$4:$B$3003,"&gt;="&amp;DATE(年度,9,1),出库明细!$B$4:$B$3003,"&lt;"&amp;DATE(年度,9+1,1)))</f>
        <v>0</v>
      </c>
      <c r="DF46" s="186">
        <f>DE46*DD46</f>
        <v>0</v>
      </c>
      <c r="DG46" s="220">
        <f>_辅助!BU44</f>
        <v>0</v>
      </c>
      <c r="DH46" s="186">
        <f>_辅助!AK44</f>
        <v>0</v>
      </c>
      <c r="DI46" s="221">
        <f>DB46-DE46-DG46</f>
        <v>-0.95</v>
      </c>
      <c r="DJ46" s="187">
        <f>DC46-DF46-DH46</f>
        <v>-45.6</v>
      </c>
      <c r="DK46" s="236">
        <f>IF(AND(DB46&gt;0,DC46&gt;0),0,DF46)</f>
        <v>0</v>
      </c>
      <c r="DL46" s="220">
        <f>IF($B46="",0,SUMIFS(采购进货!$E$4:$E$1503,采购进货!$D$4:$D$1503,$B46,采购进货!$B$4:$B$1503,"&gt;="&amp;DATE(年度,10,1),采购进货!$B$4:$B$1503,"&lt;"&amp;DATE(年度,10+1,1))+SUMIFS(采购进货!$H$4:$H$1503,采购进货!$D$4:$D$1503,$B46,采购进货!$B$4:$B$1503,"&gt;="&amp;DATE(年度,10,1),采购进货!$B$4:$B$1503,"&lt;"&amp;DATE(年度,10+1,1)))</f>
        <v>0</v>
      </c>
      <c r="DM46" s="186">
        <f>IF($B46="",0,SUMIFS(采购进货!$G$4:$G$1503,采购进货!$D$4:$D$1503,$B46,采购进货!$B$4:$B$1503,"&gt;="&amp;DATE(年度,10,1),采购进货!$B$4:$B$1503,"&lt;"&amp;DATE(年度,10+1,1)))</f>
        <v>0</v>
      </c>
      <c r="DN46" s="234">
        <f>DI46+DL46</f>
        <v>-0.95</v>
      </c>
      <c r="DO46" s="235">
        <f>DJ46+DM46</f>
        <v>-45.6</v>
      </c>
      <c r="DP46" s="222">
        <f>IF(AND(DN46&gt;0,DO46&gt;0),DO46/DN46,N($E46))</f>
        <v>48</v>
      </c>
      <c r="DQ46" s="220">
        <f>IF($B46="",0,SUMIFS(出库明细!$E$4:$E$3003,出库明细!$D$4:$D$3003,$B46,出库明细!$B$4:$B$3003,"&gt;="&amp;DATE(年度,10,1),出库明细!$B$4:$B$3003,"&lt;"&amp;DATE(年度,10+1,1)))</f>
        <v>0</v>
      </c>
      <c r="DR46" s="186">
        <f>DQ46*DP46</f>
        <v>0</v>
      </c>
      <c r="DS46" s="220">
        <f>_辅助!BV44</f>
        <v>0</v>
      </c>
      <c r="DT46" s="186">
        <f>_辅助!AL44</f>
        <v>0</v>
      </c>
      <c r="DU46" s="221">
        <f>DN46-DQ46-DS46</f>
        <v>-0.95</v>
      </c>
      <c r="DV46" s="187">
        <f>DO46-DR46-DT46</f>
        <v>-45.6</v>
      </c>
      <c r="DW46" s="236">
        <f>IF(AND(DN46&gt;0,DO46&gt;0),0,DR46)</f>
        <v>0</v>
      </c>
      <c r="DX46" s="220">
        <f>IF($B46="",0,SUMIFS(采购进货!$E$4:$E$1503,采购进货!$D$4:$D$1503,$B46,采购进货!$B$4:$B$1503,"&gt;="&amp;DATE(年度,11,1),采购进货!$B$4:$B$1503,"&lt;"&amp;DATE(年度,11+1,1))+SUMIFS(采购进货!$H$4:$H$1503,采购进货!$D$4:$D$1503,$B46,采购进货!$B$4:$B$1503,"&gt;="&amp;DATE(年度,11,1),采购进货!$B$4:$B$1503,"&lt;"&amp;DATE(年度,11+1,1)))</f>
        <v>0</v>
      </c>
      <c r="DY46" s="186">
        <f>IF($B46="",0,SUMIFS(采购进货!$G$4:$G$1503,采购进货!$D$4:$D$1503,$B46,采购进货!$B$4:$B$1503,"&gt;="&amp;DATE(年度,11,1),采购进货!$B$4:$B$1503,"&lt;"&amp;DATE(年度,11+1,1)))</f>
        <v>0</v>
      </c>
      <c r="DZ46" s="234">
        <f>DU46+DX46</f>
        <v>-0.95</v>
      </c>
      <c r="EA46" s="235">
        <f>DV46+DY46</f>
        <v>-45.6</v>
      </c>
      <c r="EB46" s="222">
        <f>IF(AND(DZ46&gt;0,EA46&gt;0),EA46/DZ46,N($E46))</f>
        <v>48</v>
      </c>
      <c r="EC46" s="220">
        <f>IF($B46="",0,SUMIFS(出库明细!$E$4:$E$3003,出库明细!$D$4:$D$3003,$B46,出库明细!$B$4:$B$3003,"&gt;="&amp;DATE(年度,11,1),出库明细!$B$4:$B$3003,"&lt;"&amp;DATE(年度,11+1,1)))</f>
        <v>0</v>
      </c>
      <c r="ED46" s="186">
        <f>EC46*EB46</f>
        <v>0</v>
      </c>
      <c r="EE46" s="220">
        <f>_辅助!BW44</f>
        <v>0</v>
      </c>
      <c r="EF46" s="186">
        <f>_辅助!AM44</f>
        <v>0</v>
      </c>
      <c r="EG46" s="221">
        <f>DZ46-EC46-EE46</f>
        <v>-0.95</v>
      </c>
      <c r="EH46" s="187">
        <f>EA46-ED46-EF46</f>
        <v>-45.6</v>
      </c>
      <c r="EI46" s="236">
        <f>IF(AND(DZ46&gt;0,EA46&gt;0),0,ED46)</f>
        <v>0</v>
      </c>
      <c r="EJ46" s="220">
        <f>IF($B46="",0,SUMIFS(采购进货!$E$4:$E$1503,采购进货!$D$4:$D$1503,$B46,采购进货!$B$4:$B$1503,"&gt;="&amp;DATE(年度,12,1),采购进货!$B$4:$B$1503,"&lt;"&amp;DATE(年度,12+1,1))+SUMIFS(采购进货!$H$4:$H$1503,采购进货!$D$4:$D$1503,$B46,采购进货!$B$4:$B$1503,"&gt;="&amp;DATE(年度,12,1),采购进货!$B$4:$B$1503,"&lt;"&amp;DATE(年度,12+1,1)))</f>
        <v>0</v>
      </c>
      <c r="EK46" s="186">
        <f>IF($B46="",0,SUMIFS(采购进货!$G$4:$G$1503,采购进货!$D$4:$D$1503,$B46,采购进货!$B$4:$B$1503,"&gt;="&amp;DATE(年度,12,1),采购进货!$B$4:$B$1503,"&lt;"&amp;DATE(年度,12+1,1)))</f>
        <v>0</v>
      </c>
      <c r="EL46" s="234">
        <f>EG46+EJ46</f>
        <v>-0.95</v>
      </c>
      <c r="EM46" s="235">
        <f>EH46+EK46</f>
        <v>-45.6</v>
      </c>
      <c r="EN46" s="222">
        <f>IF(AND(EL46&gt;0,EM46&gt;0),EM46/EL46,N($E46))</f>
        <v>48</v>
      </c>
      <c r="EO46" s="220">
        <f>IF($B46="",0,SUMIFS(出库明细!$E$4:$E$3003,出库明细!$D$4:$D$3003,$B46,出库明细!$B$4:$B$3003,"&gt;="&amp;DATE(年度,12,1),出库明细!$B$4:$B$3003,"&lt;"&amp;DATE(年度,12+1,1)))</f>
        <v>0</v>
      </c>
      <c r="EP46" s="186">
        <f>EO46*EN46</f>
        <v>0</v>
      </c>
      <c r="EQ46" s="220">
        <f>_辅助!BX44</f>
        <v>0</v>
      </c>
      <c r="ER46" s="186">
        <f>_辅助!AN44</f>
        <v>0</v>
      </c>
      <c r="ES46" s="221">
        <f>EL46-EO46-EQ46</f>
        <v>-0.95</v>
      </c>
      <c r="ET46" s="187">
        <f>EM46-EP46-ER46</f>
        <v>-45.6</v>
      </c>
      <c r="EU46" s="236">
        <f>IF(AND(EL46&gt;0,EM46&gt;0),0,EP46)</f>
        <v>0</v>
      </c>
    </row>
    <row r="47">
      <c r="A47" s="194">
        <f>IF(B47="","",ROW()-7)</f>
        <v>40</v>
      </c>
      <c r="B47" s="141" t="str">
        <f>IF(基础资料!E44="","",基础资料!E44&amp;"")</f>
        <v>艾精隆60克原味瓜子</v>
      </c>
      <c r="C47" s="230" t="str">
        <f>IF(基础资料!G44="","",基础资料!G44&amp;"")</f>
        <v>艾精隆60克原味瓜子</v>
      </c>
      <c r="D47" s="194">
        <f>IF(基础资料!I44="","",基础资料!I44)</f>
        <v>35</v>
      </c>
      <c r="E47" s="231">
        <f>IF(基础资料!J44="","",基础资料!J44)</f>
        <v>43.9985</v>
      </c>
      <c r="F47" s="232">
        <f>N(基础资料!L44)</f>
        <v>0</v>
      </c>
      <c r="G47" s="233">
        <f>IF(基础资料!N44="",0,基础资料!N44)</f>
        <v>0</v>
      </c>
      <c r="H47" s="220">
        <f>IF($B47="",0,SUMIFS(采购进货!$E$4:$E$1503,采购进货!$D$4:$D$1503,$B47,采购进货!$B$4:$B$1503,"&gt;="&amp;DATE(年度,1,1),采购进货!$B$4:$B$1503,"&lt;"&amp;DATE(年度,1+1,1))+SUMIFS(采购进货!$H$4:$H$1503,采购进货!$D$4:$D$1503,$B47,采购进货!$B$4:$B$1503,"&gt;="&amp;DATE(年度,1,1),采购进货!$B$4:$B$1503,"&lt;"&amp;DATE(年度,1+1,1)))</f>
        <v>0</v>
      </c>
      <c r="I47" s="186">
        <f>IF($B47="",0,SUMIFS(采购进货!$G$4:$G$1503,采购进货!$D$4:$D$1503,$B47,采购进货!$B$4:$B$1503,"&gt;="&amp;DATE(年度,1,1),采购进货!$B$4:$B$1503,"&lt;"&amp;DATE(年度,1+1,1)))</f>
        <v>0</v>
      </c>
      <c r="J47" s="234">
        <f>F47+H47</f>
        <v>0</v>
      </c>
      <c r="K47" s="235">
        <f>G47+I47</f>
        <v>0</v>
      </c>
      <c r="L47" s="222">
        <f>IF(AND(J47&gt;0,K47&gt;0),K47/J47,N($E47))</f>
        <v>43.9985</v>
      </c>
      <c r="M47" s="220">
        <f>IF($B47="",0,SUMIFS(出库明细!$E$4:$E$3003,出库明细!$D$4:$D$3003,$B47,出库明细!$B$4:$B$3003,"&gt;="&amp;DATE(年度,1,1),出库明细!$B$4:$B$3003,"&lt;"&amp;DATE(年度,1+1,1)))</f>
        <v>0</v>
      </c>
      <c r="N47" s="186">
        <f>M47*L47</f>
        <v>0</v>
      </c>
      <c r="O47" s="220">
        <f>_辅助!BM45</f>
        <v>0</v>
      </c>
      <c r="P47" s="186">
        <f>_辅助!AC45</f>
        <v>0</v>
      </c>
      <c r="Q47" s="221">
        <f>J47-M47-O47</f>
        <v>0</v>
      </c>
      <c r="R47" s="187">
        <f>K47-N47-P47</f>
        <v>0</v>
      </c>
      <c r="S47" s="236">
        <f>IF(AND(J47&gt;0,K47&gt;0),0,N47)</f>
        <v>0</v>
      </c>
      <c r="T47" s="220">
        <f>IF($B47="",0,SUMIFS(采购进货!$E$4:$E$1503,采购进货!$D$4:$D$1503,$B47,采购进货!$B$4:$B$1503,"&gt;="&amp;DATE(年度,2,1),采购进货!$B$4:$B$1503,"&lt;"&amp;DATE(年度,2+1,1))+SUMIFS(采购进货!$H$4:$H$1503,采购进货!$D$4:$D$1503,$B47,采购进货!$B$4:$B$1503,"&gt;="&amp;DATE(年度,2,1),采购进货!$B$4:$B$1503,"&lt;"&amp;DATE(年度,2+1,1)))</f>
        <v>0</v>
      </c>
      <c r="U47" s="186">
        <f>IF($B47="",0,SUMIFS(采购进货!$G$4:$G$1503,采购进货!$D$4:$D$1503,$B47,采购进货!$B$4:$B$1503,"&gt;="&amp;DATE(年度,2,1),采购进货!$B$4:$B$1503,"&lt;"&amp;DATE(年度,2+1,1)))</f>
        <v>0</v>
      </c>
      <c r="V47" s="234">
        <f>Q47+T47</f>
        <v>0</v>
      </c>
      <c r="W47" s="235">
        <f>R47+U47</f>
        <v>0</v>
      </c>
      <c r="X47" s="222">
        <f>IF(AND(V47&gt;0,W47&gt;0),W47/V47,N($E47))</f>
        <v>43.9985</v>
      </c>
      <c r="Y47" s="220">
        <f>IF($B47="",0,SUMIFS(出库明细!$E$4:$E$3003,出库明细!$D$4:$D$3003,$B47,出库明细!$B$4:$B$3003,"&gt;="&amp;DATE(年度,2,1),出库明细!$B$4:$B$3003,"&lt;"&amp;DATE(年度,2+1,1)))</f>
        <v>0</v>
      </c>
      <c r="Z47" s="186">
        <f>Y47*X47</f>
        <v>0</v>
      </c>
      <c r="AA47" s="220">
        <f>_辅助!BN45</f>
        <v>0</v>
      </c>
      <c r="AB47" s="186">
        <f>_辅助!AD45</f>
        <v>0</v>
      </c>
      <c r="AC47" s="221">
        <f>V47-Y47-AA47</f>
        <v>0</v>
      </c>
      <c r="AD47" s="187">
        <f>W47-Z47-AB47</f>
        <v>0</v>
      </c>
      <c r="AE47" s="236">
        <f>IF(AND(V47&gt;0,W47&gt;0),0,Z47)</f>
        <v>0</v>
      </c>
      <c r="AF47" s="220">
        <f>IF($B47="",0,SUMIFS(采购进货!$E$4:$E$1503,采购进货!$D$4:$D$1503,$B47,采购进货!$B$4:$B$1503,"&gt;="&amp;DATE(年度,3,1),采购进货!$B$4:$B$1503,"&lt;"&amp;DATE(年度,3+1,1))+SUMIFS(采购进货!$H$4:$H$1503,采购进货!$D$4:$D$1503,$B47,采购进货!$B$4:$B$1503,"&gt;="&amp;DATE(年度,3,1),采购进货!$B$4:$B$1503,"&lt;"&amp;DATE(年度,3+1,1)))</f>
        <v>0</v>
      </c>
      <c r="AG47" s="186">
        <f>IF($B47="",0,SUMIFS(采购进货!$G$4:$G$1503,采购进货!$D$4:$D$1503,$B47,采购进货!$B$4:$B$1503,"&gt;="&amp;DATE(年度,3,1),采购进货!$B$4:$B$1503,"&lt;"&amp;DATE(年度,3+1,1)))</f>
        <v>0</v>
      </c>
      <c r="AH47" s="234">
        <f>AC47+AF47</f>
        <v>0</v>
      </c>
      <c r="AI47" s="235">
        <f>AD47+AG47</f>
        <v>0</v>
      </c>
      <c r="AJ47" s="222">
        <f>IF(AND(AH47&gt;0,AI47&gt;0),AI47/AH47,N($E47))</f>
        <v>43.9985</v>
      </c>
      <c r="AK47" s="220">
        <f>IF($B47="",0,SUMIFS(出库明细!$E$4:$E$3003,出库明细!$D$4:$D$3003,$B47,出库明细!$B$4:$B$3003,"&gt;="&amp;DATE(年度,3,1),出库明细!$B$4:$B$3003,"&lt;"&amp;DATE(年度,3+1,1)))</f>
        <v>0</v>
      </c>
      <c r="AL47" s="186">
        <f>AK47*AJ47</f>
        <v>0</v>
      </c>
      <c r="AM47" s="220">
        <f>_辅助!BO45</f>
        <v>0</v>
      </c>
      <c r="AN47" s="186">
        <f>_辅助!AE45</f>
        <v>0</v>
      </c>
      <c r="AO47" s="221">
        <f>AH47-AK47-AM47</f>
        <v>0</v>
      </c>
      <c r="AP47" s="187">
        <f>AI47-AL47-AN47</f>
        <v>0</v>
      </c>
      <c r="AQ47" s="236">
        <f>IF(AND(AH47&gt;0,AI47&gt;0),0,AL47)</f>
        <v>0</v>
      </c>
      <c r="AR47" s="220">
        <f>IF($B47="",0,SUMIFS(采购进货!$E$4:$E$1503,采购进货!$D$4:$D$1503,$B47,采购进货!$B$4:$B$1503,"&gt;="&amp;DATE(年度,4,1),采购进货!$B$4:$B$1503,"&lt;"&amp;DATE(年度,4+1,1))+SUMIFS(采购进货!$H$4:$H$1503,采购进货!$D$4:$D$1503,$B47,采购进货!$B$4:$B$1503,"&gt;="&amp;DATE(年度,4,1),采购进货!$B$4:$B$1503,"&lt;"&amp;DATE(年度,4+1,1)))</f>
        <v>0</v>
      </c>
      <c r="AS47" s="186">
        <f>IF($B47="",0,SUMIFS(采购进货!$G$4:$G$1503,采购进货!$D$4:$D$1503,$B47,采购进货!$B$4:$B$1503,"&gt;="&amp;DATE(年度,4,1),采购进货!$B$4:$B$1503,"&lt;"&amp;DATE(年度,4+1,1)))</f>
        <v>0</v>
      </c>
      <c r="AT47" s="234">
        <f>AO47+AR47</f>
        <v>0</v>
      </c>
      <c r="AU47" s="235">
        <f>AP47+AS47</f>
        <v>0</v>
      </c>
      <c r="AV47" s="222">
        <f>IF(AND(AT47&gt;0,AU47&gt;0),AU47/AT47,N($E47))</f>
        <v>43.9985</v>
      </c>
      <c r="AW47" s="220">
        <f>IF($B47="",0,SUMIFS(出库明细!$E$4:$E$3003,出库明细!$D$4:$D$3003,$B47,出库明细!$B$4:$B$3003,"&gt;="&amp;DATE(年度,4,1),出库明细!$B$4:$B$3003,"&lt;"&amp;DATE(年度,4+1,1)))</f>
        <v>0</v>
      </c>
      <c r="AX47" s="186">
        <f>AW47*AV47</f>
        <v>0</v>
      </c>
      <c r="AY47" s="220">
        <f>_辅助!BP45</f>
        <v>0</v>
      </c>
      <c r="AZ47" s="186">
        <f>_辅助!AF45</f>
        <v>0</v>
      </c>
      <c r="BA47" s="221">
        <f>AT47-AW47-AY47</f>
        <v>0</v>
      </c>
      <c r="BB47" s="187">
        <f>AU47-AX47-AZ47</f>
        <v>0</v>
      </c>
      <c r="BC47" s="236">
        <f>IF(AND(AT47&gt;0,AU47&gt;0),0,AX47)</f>
        <v>0</v>
      </c>
      <c r="BD47" s="220">
        <f>IF($B47="",0,SUMIFS(采购进货!$E$4:$E$1503,采购进货!$D$4:$D$1503,$B47,采购进货!$B$4:$B$1503,"&gt;="&amp;DATE(年度,5,1),采购进货!$B$4:$B$1503,"&lt;"&amp;DATE(年度,5+1,1))+SUMIFS(采购进货!$H$4:$H$1503,采购进货!$D$4:$D$1503,$B47,采购进货!$B$4:$B$1503,"&gt;="&amp;DATE(年度,5,1),采购进货!$B$4:$B$1503,"&lt;"&amp;DATE(年度,5+1,1)))</f>
        <v>0</v>
      </c>
      <c r="BE47" s="186">
        <f>IF($B47="",0,SUMIFS(采购进货!$G$4:$G$1503,采购进货!$D$4:$D$1503,$B47,采购进货!$B$4:$B$1503,"&gt;="&amp;DATE(年度,5,1),采购进货!$B$4:$B$1503,"&lt;"&amp;DATE(年度,5+1,1)))</f>
        <v>0</v>
      </c>
      <c r="BF47" s="234">
        <f>BA47+BD47</f>
        <v>0</v>
      </c>
      <c r="BG47" s="235">
        <f>BB47+BE47</f>
        <v>0</v>
      </c>
      <c r="BH47" s="222">
        <f>IF(AND(BF47&gt;0,BG47&gt;0),BG47/BF47,N($E47))</f>
        <v>43.9985</v>
      </c>
      <c r="BI47" s="220">
        <f>IF($B47="",0,SUMIFS(出库明细!$E$4:$E$3003,出库明细!$D$4:$D$3003,$B47,出库明细!$B$4:$B$3003,"&gt;="&amp;DATE(年度,5,1),出库明细!$B$4:$B$3003,"&lt;"&amp;DATE(年度,5+1,1)))</f>
        <v>0</v>
      </c>
      <c r="BJ47" s="186">
        <f>BI47*BH47</f>
        <v>0</v>
      </c>
      <c r="BK47" s="220">
        <f>_辅助!BQ45</f>
        <v>0</v>
      </c>
      <c r="BL47" s="186">
        <f>_辅助!AG45</f>
        <v>0</v>
      </c>
      <c r="BM47" s="221">
        <f>BF47-BI47-BK47</f>
        <v>0</v>
      </c>
      <c r="BN47" s="187">
        <f>BG47-BJ47-BL47</f>
        <v>0</v>
      </c>
      <c r="BO47" s="236">
        <f>IF(AND(BF47&gt;0,BG47&gt;0),0,BJ47)</f>
        <v>0</v>
      </c>
      <c r="BP47" s="220">
        <f>IF($B47="",0,SUMIFS(采购进货!$E$4:$E$1503,采购进货!$D$4:$D$1503,$B47,采购进货!$B$4:$B$1503,"&gt;="&amp;DATE(年度,6,1),采购进货!$B$4:$B$1503,"&lt;"&amp;DATE(年度,6+1,1))+SUMIFS(采购进货!$H$4:$H$1503,采购进货!$D$4:$D$1503,$B47,采购进货!$B$4:$B$1503,"&gt;="&amp;DATE(年度,6,1),采购进货!$B$4:$B$1503,"&lt;"&amp;DATE(年度,6+1,1)))</f>
        <v>0</v>
      </c>
      <c r="BQ47" s="186">
        <f>IF($B47="",0,SUMIFS(采购进货!$G$4:$G$1503,采购进货!$D$4:$D$1503,$B47,采购进货!$B$4:$B$1503,"&gt;="&amp;DATE(年度,6,1),采购进货!$B$4:$B$1503,"&lt;"&amp;DATE(年度,6+1,1)))</f>
        <v>0</v>
      </c>
      <c r="BR47" s="234">
        <f>BM47+BP47</f>
        <v>0</v>
      </c>
      <c r="BS47" s="235">
        <f>BN47+BQ47</f>
        <v>0</v>
      </c>
      <c r="BT47" s="222">
        <f>IF(AND(BR47&gt;0,BS47&gt;0),BS47/BR47,N($E47))</f>
        <v>43.9985</v>
      </c>
      <c r="BU47" s="220">
        <f>IF($B47="",0,SUMIFS(出库明细!$E$4:$E$3003,出库明细!$D$4:$D$3003,$B47,出库明细!$B$4:$B$3003,"&gt;="&amp;DATE(年度,6,1),出库明细!$B$4:$B$3003,"&lt;"&amp;DATE(年度,6+1,1)))</f>
        <v>0</v>
      </c>
      <c r="BV47" s="186">
        <f>BU47*BT47</f>
        <v>0</v>
      </c>
      <c r="BW47" s="220">
        <f>_辅助!BR45</f>
        <v>0</v>
      </c>
      <c r="BX47" s="186">
        <f>_辅助!AH45</f>
        <v>0</v>
      </c>
      <c r="BY47" s="221">
        <f>BR47-BU47-BW47</f>
        <v>0</v>
      </c>
      <c r="BZ47" s="187">
        <f>BS47-BV47-BX47</f>
        <v>0</v>
      </c>
      <c r="CA47" s="236">
        <f>IF(AND(BR47&gt;0,BS47&gt;0),0,BV47)</f>
        <v>0</v>
      </c>
      <c r="CB47" s="220">
        <f>IF($B47="",0,SUMIFS(采购进货!$E$4:$E$1503,采购进货!$D$4:$D$1503,$B47,采购进货!$B$4:$B$1503,"&gt;="&amp;DATE(年度,7,1),采购进货!$B$4:$B$1503,"&lt;"&amp;DATE(年度,7+1,1))+SUMIFS(采购进货!$H$4:$H$1503,采购进货!$D$4:$D$1503,$B47,采购进货!$B$4:$B$1503,"&gt;="&amp;DATE(年度,7,1),采购进货!$B$4:$B$1503,"&lt;"&amp;DATE(年度,7+1,1)))</f>
        <v>0</v>
      </c>
      <c r="CC47" s="186">
        <f>IF($B47="",0,SUMIFS(采购进货!$G$4:$G$1503,采购进货!$D$4:$D$1503,$B47,采购进货!$B$4:$B$1503,"&gt;="&amp;DATE(年度,7,1),采购进货!$B$4:$B$1503,"&lt;"&amp;DATE(年度,7+1,1)))</f>
        <v>0</v>
      </c>
      <c r="CD47" s="234">
        <f>BY47+CB47</f>
        <v>0</v>
      </c>
      <c r="CE47" s="235">
        <f>BZ47+CC47</f>
        <v>0</v>
      </c>
      <c r="CF47" s="222">
        <f>IF(AND(CD47&gt;0,CE47&gt;0),CE47/CD47,N($E47))</f>
        <v>43.9985</v>
      </c>
      <c r="CG47" s="220">
        <f>IF($B47="",0,SUMIFS(出库明细!$E$4:$E$3003,出库明细!$D$4:$D$3003,$B47,出库明细!$B$4:$B$3003,"&gt;="&amp;DATE(年度,7,1),出库明细!$B$4:$B$3003,"&lt;"&amp;DATE(年度,7+1,1)))</f>
        <v>0</v>
      </c>
      <c r="CH47" s="186">
        <f>CG47*CF47</f>
        <v>0</v>
      </c>
      <c r="CI47" s="220">
        <f>_辅助!BS45</f>
        <v>0</v>
      </c>
      <c r="CJ47" s="186">
        <f>_辅助!AI45</f>
        <v>0</v>
      </c>
      <c r="CK47" s="221">
        <f>CD47-CG47-CI47</f>
        <v>0</v>
      </c>
      <c r="CL47" s="187">
        <f>CE47-CH47-CJ47</f>
        <v>0</v>
      </c>
      <c r="CM47" s="236">
        <f>IF(AND(CD47&gt;0,CE47&gt;0),0,CH47)</f>
        <v>0</v>
      </c>
      <c r="CN47" s="220">
        <f>IF($B47="",0,SUMIFS(采购进货!$E$4:$E$1503,采购进货!$D$4:$D$1503,$B47,采购进货!$B$4:$B$1503,"&gt;="&amp;DATE(年度,8,1),采购进货!$B$4:$B$1503,"&lt;"&amp;DATE(年度,8+1,1))+SUMIFS(采购进货!$H$4:$H$1503,采购进货!$D$4:$D$1503,$B47,采购进货!$B$4:$B$1503,"&gt;="&amp;DATE(年度,8,1),采购进货!$B$4:$B$1503,"&lt;"&amp;DATE(年度,8+1,1)))</f>
        <v>0</v>
      </c>
      <c r="CO47" s="186">
        <f>IF($B47="",0,SUMIFS(采购进货!$G$4:$G$1503,采购进货!$D$4:$D$1503,$B47,采购进货!$B$4:$B$1503,"&gt;="&amp;DATE(年度,8,1),采购进货!$B$4:$B$1503,"&lt;"&amp;DATE(年度,8+1,1)))</f>
        <v>0</v>
      </c>
      <c r="CP47" s="234">
        <f>CK47+CN47</f>
        <v>0</v>
      </c>
      <c r="CQ47" s="235">
        <f>CL47+CO47</f>
        <v>0</v>
      </c>
      <c r="CR47" s="222">
        <f>IF(AND(CP47&gt;0,CQ47&gt;0),CQ47/CP47,N($E47))</f>
        <v>43.9985</v>
      </c>
      <c r="CS47" s="220">
        <f>IF($B47="",0,SUMIFS(出库明细!$E$4:$E$3003,出库明细!$D$4:$D$3003,$B47,出库明细!$B$4:$B$3003,"&gt;="&amp;DATE(年度,8,1),出库明细!$B$4:$B$3003,"&lt;"&amp;DATE(年度,8+1,1)))</f>
        <v>0</v>
      </c>
      <c r="CT47" s="186">
        <f>CS47*CR47</f>
        <v>0</v>
      </c>
      <c r="CU47" s="220">
        <f>_辅助!BT45</f>
        <v>3.71428571428571</v>
      </c>
      <c r="CV47" s="186">
        <f>_辅助!AJ45</f>
        <v>163.423</v>
      </c>
      <c r="CW47" s="221">
        <f>CP47-CS47-CU47</f>
        <v>-3.71428571428571</v>
      </c>
      <c r="CX47" s="187">
        <f>CQ47-CT47-CV47</f>
        <v>-163.423</v>
      </c>
      <c r="CY47" s="236">
        <f>IF(AND(CP47&gt;0,CQ47&gt;0),0,CT47)</f>
        <v>0</v>
      </c>
      <c r="CZ47" s="220">
        <f>IF($B47="",0,SUMIFS(采购进货!$E$4:$E$1503,采购进货!$D$4:$D$1503,$B47,采购进货!$B$4:$B$1503,"&gt;="&amp;DATE(年度,9,1),采购进货!$B$4:$B$1503,"&lt;"&amp;DATE(年度,9+1,1))+SUMIFS(采购进货!$H$4:$H$1503,采购进货!$D$4:$D$1503,$B47,采购进货!$B$4:$B$1503,"&gt;="&amp;DATE(年度,9,1),采购进货!$B$4:$B$1503,"&lt;"&amp;DATE(年度,9+1,1)))</f>
        <v>0</v>
      </c>
      <c r="DA47" s="186">
        <f>IF($B47="",0,SUMIFS(采购进货!$G$4:$G$1503,采购进货!$D$4:$D$1503,$B47,采购进货!$B$4:$B$1503,"&gt;="&amp;DATE(年度,9,1),采购进货!$B$4:$B$1503,"&lt;"&amp;DATE(年度,9+1,1)))</f>
        <v>0</v>
      </c>
      <c r="DB47" s="234">
        <f>CW47+CZ47</f>
        <v>-3.71428571428571</v>
      </c>
      <c r="DC47" s="235">
        <f>CX47+DA47</f>
        <v>-163.423</v>
      </c>
      <c r="DD47" s="222">
        <f>IF(AND(DB47&gt;0,DC47&gt;0),DC47/DB47,N($E47))</f>
        <v>43.9985</v>
      </c>
      <c r="DE47" s="220">
        <f>IF($B47="",0,SUMIFS(出库明细!$E$4:$E$3003,出库明细!$D$4:$D$3003,$B47,出库明细!$B$4:$B$3003,"&gt;="&amp;DATE(年度,9,1),出库明细!$B$4:$B$3003,"&lt;"&amp;DATE(年度,9+1,1)))</f>
        <v>0</v>
      </c>
      <c r="DF47" s="186">
        <f>DE47*DD47</f>
        <v>0</v>
      </c>
      <c r="DG47" s="220">
        <f>_辅助!BU45</f>
        <v>0</v>
      </c>
      <c r="DH47" s="186">
        <f>_辅助!AK45</f>
        <v>0</v>
      </c>
      <c r="DI47" s="221">
        <f>DB47-DE47-DG47</f>
        <v>-3.71428571428571</v>
      </c>
      <c r="DJ47" s="187">
        <f>DC47-DF47-DH47</f>
        <v>-163.423</v>
      </c>
      <c r="DK47" s="236">
        <f>IF(AND(DB47&gt;0,DC47&gt;0),0,DF47)</f>
        <v>0</v>
      </c>
      <c r="DL47" s="220">
        <f>IF($B47="",0,SUMIFS(采购进货!$E$4:$E$1503,采购进货!$D$4:$D$1503,$B47,采购进货!$B$4:$B$1503,"&gt;="&amp;DATE(年度,10,1),采购进货!$B$4:$B$1503,"&lt;"&amp;DATE(年度,10+1,1))+SUMIFS(采购进货!$H$4:$H$1503,采购进货!$D$4:$D$1503,$B47,采购进货!$B$4:$B$1503,"&gt;="&amp;DATE(年度,10,1),采购进货!$B$4:$B$1503,"&lt;"&amp;DATE(年度,10+1,1)))</f>
        <v>0</v>
      </c>
      <c r="DM47" s="186">
        <f>IF($B47="",0,SUMIFS(采购进货!$G$4:$G$1503,采购进货!$D$4:$D$1503,$B47,采购进货!$B$4:$B$1503,"&gt;="&amp;DATE(年度,10,1),采购进货!$B$4:$B$1503,"&lt;"&amp;DATE(年度,10+1,1)))</f>
        <v>0</v>
      </c>
      <c r="DN47" s="234">
        <f>DI47+DL47</f>
        <v>-3.71428571428571</v>
      </c>
      <c r="DO47" s="235">
        <f>DJ47+DM47</f>
        <v>-163.423</v>
      </c>
      <c r="DP47" s="222">
        <f>IF(AND(DN47&gt;0,DO47&gt;0),DO47/DN47,N($E47))</f>
        <v>43.9985</v>
      </c>
      <c r="DQ47" s="220">
        <f>IF($B47="",0,SUMIFS(出库明细!$E$4:$E$3003,出库明细!$D$4:$D$3003,$B47,出库明细!$B$4:$B$3003,"&gt;="&amp;DATE(年度,10,1),出库明细!$B$4:$B$3003,"&lt;"&amp;DATE(年度,10+1,1)))</f>
        <v>0</v>
      </c>
      <c r="DR47" s="186">
        <f>DQ47*DP47</f>
        <v>0</v>
      </c>
      <c r="DS47" s="220">
        <f>_辅助!BV45</f>
        <v>0</v>
      </c>
      <c r="DT47" s="186">
        <f>_辅助!AL45</f>
        <v>0</v>
      </c>
      <c r="DU47" s="221">
        <f>DN47-DQ47-DS47</f>
        <v>-3.71428571428571</v>
      </c>
      <c r="DV47" s="187">
        <f>DO47-DR47-DT47</f>
        <v>-163.423</v>
      </c>
      <c r="DW47" s="236">
        <f>IF(AND(DN47&gt;0,DO47&gt;0),0,DR47)</f>
        <v>0</v>
      </c>
      <c r="DX47" s="220">
        <f>IF($B47="",0,SUMIFS(采购进货!$E$4:$E$1503,采购进货!$D$4:$D$1503,$B47,采购进货!$B$4:$B$1503,"&gt;="&amp;DATE(年度,11,1),采购进货!$B$4:$B$1503,"&lt;"&amp;DATE(年度,11+1,1))+SUMIFS(采购进货!$H$4:$H$1503,采购进货!$D$4:$D$1503,$B47,采购进货!$B$4:$B$1503,"&gt;="&amp;DATE(年度,11,1),采购进货!$B$4:$B$1503,"&lt;"&amp;DATE(年度,11+1,1)))</f>
        <v>0</v>
      </c>
      <c r="DY47" s="186">
        <f>IF($B47="",0,SUMIFS(采购进货!$G$4:$G$1503,采购进货!$D$4:$D$1503,$B47,采购进货!$B$4:$B$1503,"&gt;="&amp;DATE(年度,11,1),采购进货!$B$4:$B$1503,"&lt;"&amp;DATE(年度,11+1,1)))</f>
        <v>0</v>
      </c>
      <c r="DZ47" s="234">
        <f>DU47+DX47</f>
        <v>-3.71428571428571</v>
      </c>
      <c r="EA47" s="235">
        <f>DV47+DY47</f>
        <v>-163.423</v>
      </c>
      <c r="EB47" s="222">
        <f>IF(AND(DZ47&gt;0,EA47&gt;0),EA47/DZ47,N($E47))</f>
        <v>43.9985</v>
      </c>
      <c r="EC47" s="220">
        <f>IF($B47="",0,SUMIFS(出库明细!$E$4:$E$3003,出库明细!$D$4:$D$3003,$B47,出库明细!$B$4:$B$3003,"&gt;="&amp;DATE(年度,11,1),出库明细!$B$4:$B$3003,"&lt;"&amp;DATE(年度,11+1,1)))</f>
        <v>0</v>
      </c>
      <c r="ED47" s="186">
        <f>EC47*EB47</f>
        <v>0</v>
      </c>
      <c r="EE47" s="220">
        <f>_辅助!BW45</f>
        <v>0</v>
      </c>
      <c r="EF47" s="186">
        <f>_辅助!AM45</f>
        <v>0</v>
      </c>
      <c r="EG47" s="221">
        <f>DZ47-EC47-EE47</f>
        <v>-3.71428571428571</v>
      </c>
      <c r="EH47" s="187">
        <f>EA47-ED47-EF47</f>
        <v>-163.423</v>
      </c>
      <c r="EI47" s="236">
        <f>IF(AND(DZ47&gt;0,EA47&gt;0),0,ED47)</f>
        <v>0</v>
      </c>
      <c r="EJ47" s="220">
        <f>IF($B47="",0,SUMIFS(采购进货!$E$4:$E$1503,采购进货!$D$4:$D$1503,$B47,采购进货!$B$4:$B$1503,"&gt;="&amp;DATE(年度,12,1),采购进货!$B$4:$B$1503,"&lt;"&amp;DATE(年度,12+1,1))+SUMIFS(采购进货!$H$4:$H$1503,采购进货!$D$4:$D$1503,$B47,采购进货!$B$4:$B$1503,"&gt;="&amp;DATE(年度,12,1),采购进货!$B$4:$B$1503,"&lt;"&amp;DATE(年度,12+1,1)))</f>
        <v>0</v>
      </c>
      <c r="EK47" s="186">
        <f>IF($B47="",0,SUMIFS(采购进货!$G$4:$G$1503,采购进货!$D$4:$D$1503,$B47,采购进货!$B$4:$B$1503,"&gt;="&amp;DATE(年度,12,1),采购进货!$B$4:$B$1503,"&lt;"&amp;DATE(年度,12+1,1)))</f>
        <v>0</v>
      </c>
      <c r="EL47" s="234">
        <f>EG47+EJ47</f>
        <v>-3.71428571428571</v>
      </c>
      <c r="EM47" s="235">
        <f>EH47+EK47</f>
        <v>-163.423</v>
      </c>
      <c r="EN47" s="222">
        <f>IF(AND(EL47&gt;0,EM47&gt;0),EM47/EL47,N($E47))</f>
        <v>43.9985</v>
      </c>
      <c r="EO47" s="220">
        <f>IF($B47="",0,SUMIFS(出库明细!$E$4:$E$3003,出库明细!$D$4:$D$3003,$B47,出库明细!$B$4:$B$3003,"&gt;="&amp;DATE(年度,12,1),出库明细!$B$4:$B$3003,"&lt;"&amp;DATE(年度,12+1,1)))</f>
        <v>0</v>
      </c>
      <c r="EP47" s="186">
        <f>EO47*EN47</f>
        <v>0</v>
      </c>
      <c r="EQ47" s="220">
        <f>_辅助!BX45</f>
        <v>0</v>
      </c>
      <c r="ER47" s="186">
        <f>_辅助!AN45</f>
        <v>0</v>
      </c>
      <c r="ES47" s="221">
        <f>EL47-EO47-EQ47</f>
        <v>-3.71428571428571</v>
      </c>
      <c r="ET47" s="187">
        <f>EM47-EP47-ER47</f>
        <v>-163.423</v>
      </c>
      <c r="EU47" s="236">
        <f>IF(AND(EL47&gt;0,EM47&gt;0),0,EP47)</f>
        <v>0</v>
      </c>
    </row>
    <row r="48">
      <c r="A48" s="194">
        <f>IF(B48="","",ROW()-7)</f>
        <v>41</v>
      </c>
      <c r="B48" s="141" t="str">
        <f>IF(基础资料!E45="","",基础资料!E45&amp;"")</f>
        <v>艾精隆208克花生</v>
      </c>
      <c r="C48" s="230" t="str">
        <f>IF(基础资料!G45="","",基础资料!G45&amp;"")</f>
        <v>艾精隆208克花生</v>
      </c>
      <c r="D48" s="194">
        <f>IF(基础资料!I45="","",基础资料!I45)</f>
        <v>30</v>
      </c>
      <c r="E48" s="231">
        <f>IF(基础资料!J45="","",基础资料!J45)</f>
        <v>96</v>
      </c>
      <c r="F48" s="232">
        <f>N(基础资料!L45)</f>
        <v>0</v>
      </c>
      <c r="G48" s="233">
        <f>IF(基础资料!N45="",0,基础资料!N45)</f>
        <v>0</v>
      </c>
      <c r="H48" s="220">
        <f>IF($B48="",0,SUMIFS(采购进货!$E$4:$E$1503,采购进货!$D$4:$D$1503,$B48,采购进货!$B$4:$B$1503,"&gt;="&amp;DATE(年度,1,1),采购进货!$B$4:$B$1503,"&lt;"&amp;DATE(年度,1+1,1))+SUMIFS(采购进货!$H$4:$H$1503,采购进货!$D$4:$D$1503,$B48,采购进货!$B$4:$B$1503,"&gt;="&amp;DATE(年度,1,1),采购进货!$B$4:$B$1503,"&lt;"&amp;DATE(年度,1+1,1)))</f>
        <v>0</v>
      </c>
      <c r="I48" s="186">
        <f>IF($B48="",0,SUMIFS(采购进货!$G$4:$G$1503,采购进货!$D$4:$D$1503,$B48,采购进货!$B$4:$B$1503,"&gt;="&amp;DATE(年度,1,1),采购进货!$B$4:$B$1503,"&lt;"&amp;DATE(年度,1+1,1)))</f>
        <v>0</v>
      </c>
      <c r="J48" s="234">
        <f>F48+H48</f>
        <v>0</v>
      </c>
      <c r="K48" s="235">
        <f>G48+I48</f>
        <v>0</v>
      </c>
      <c r="L48" s="222">
        <f>IF(AND(J48&gt;0,K48&gt;0),K48/J48,N($E48))</f>
        <v>96</v>
      </c>
      <c r="M48" s="220">
        <f>IF($B48="",0,SUMIFS(出库明细!$E$4:$E$3003,出库明细!$D$4:$D$3003,$B48,出库明细!$B$4:$B$3003,"&gt;="&amp;DATE(年度,1,1),出库明细!$B$4:$B$3003,"&lt;"&amp;DATE(年度,1+1,1)))</f>
        <v>0</v>
      </c>
      <c r="N48" s="186">
        <f>M48*L48</f>
        <v>0</v>
      </c>
      <c r="O48" s="220">
        <f>_辅助!BM46</f>
        <v>0</v>
      </c>
      <c r="P48" s="186">
        <f>_辅助!AC46</f>
        <v>0</v>
      </c>
      <c r="Q48" s="221">
        <f>J48-M48-O48</f>
        <v>0</v>
      </c>
      <c r="R48" s="187">
        <f>K48-N48-P48</f>
        <v>0</v>
      </c>
      <c r="S48" s="236">
        <f>IF(AND(J48&gt;0,K48&gt;0),0,N48)</f>
        <v>0</v>
      </c>
      <c r="T48" s="220">
        <f>IF($B48="",0,SUMIFS(采购进货!$E$4:$E$1503,采购进货!$D$4:$D$1503,$B48,采购进货!$B$4:$B$1503,"&gt;="&amp;DATE(年度,2,1),采购进货!$B$4:$B$1503,"&lt;"&amp;DATE(年度,2+1,1))+SUMIFS(采购进货!$H$4:$H$1503,采购进货!$D$4:$D$1503,$B48,采购进货!$B$4:$B$1503,"&gt;="&amp;DATE(年度,2,1),采购进货!$B$4:$B$1503,"&lt;"&amp;DATE(年度,2+1,1)))</f>
        <v>0</v>
      </c>
      <c r="U48" s="186">
        <f>IF($B48="",0,SUMIFS(采购进货!$G$4:$G$1503,采购进货!$D$4:$D$1503,$B48,采购进货!$B$4:$B$1503,"&gt;="&amp;DATE(年度,2,1),采购进货!$B$4:$B$1503,"&lt;"&amp;DATE(年度,2+1,1)))</f>
        <v>0</v>
      </c>
      <c r="V48" s="234">
        <f>Q48+T48</f>
        <v>0</v>
      </c>
      <c r="W48" s="235">
        <f>R48+U48</f>
        <v>0</v>
      </c>
      <c r="X48" s="222">
        <f>IF(AND(V48&gt;0,W48&gt;0),W48/V48,N($E48))</f>
        <v>96</v>
      </c>
      <c r="Y48" s="220">
        <f>IF($B48="",0,SUMIFS(出库明细!$E$4:$E$3003,出库明细!$D$4:$D$3003,$B48,出库明细!$B$4:$B$3003,"&gt;="&amp;DATE(年度,2,1),出库明细!$B$4:$B$3003,"&lt;"&amp;DATE(年度,2+1,1)))</f>
        <v>0</v>
      </c>
      <c r="Z48" s="186">
        <f>Y48*X48</f>
        <v>0</v>
      </c>
      <c r="AA48" s="220">
        <f>_辅助!BN46</f>
        <v>0</v>
      </c>
      <c r="AB48" s="186">
        <f>_辅助!AD46</f>
        <v>0</v>
      </c>
      <c r="AC48" s="221">
        <f>V48-Y48-AA48</f>
        <v>0</v>
      </c>
      <c r="AD48" s="187">
        <f>W48-Z48-AB48</f>
        <v>0</v>
      </c>
      <c r="AE48" s="236">
        <f>IF(AND(V48&gt;0,W48&gt;0),0,Z48)</f>
        <v>0</v>
      </c>
      <c r="AF48" s="220">
        <f>IF($B48="",0,SUMIFS(采购进货!$E$4:$E$1503,采购进货!$D$4:$D$1503,$B48,采购进货!$B$4:$B$1503,"&gt;="&amp;DATE(年度,3,1),采购进货!$B$4:$B$1503,"&lt;"&amp;DATE(年度,3+1,1))+SUMIFS(采购进货!$H$4:$H$1503,采购进货!$D$4:$D$1503,$B48,采购进货!$B$4:$B$1503,"&gt;="&amp;DATE(年度,3,1),采购进货!$B$4:$B$1503,"&lt;"&amp;DATE(年度,3+1,1)))</f>
        <v>0</v>
      </c>
      <c r="AG48" s="186">
        <f>IF($B48="",0,SUMIFS(采购进货!$G$4:$G$1503,采购进货!$D$4:$D$1503,$B48,采购进货!$B$4:$B$1503,"&gt;="&amp;DATE(年度,3,1),采购进货!$B$4:$B$1503,"&lt;"&amp;DATE(年度,3+1,1)))</f>
        <v>0</v>
      </c>
      <c r="AH48" s="234">
        <f>AC48+AF48</f>
        <v>0</v>
      </c>
      <c r="AI48" s="235">
        <f>AD48+AG48</f>
        <v>0</v>
      </c>
      <c r="AJ48" s="222">
        <f>IF(AND(AH48&gt;0,AI48&gt;0),AI48/AH48,N($E48))</f>
        <v>96</v>
      </c>
      <c r="AK48" s="220">
        <f>IF($B48="",0,SUMIFS(出库明细!$E$4:$E$3003,出库明细!$D$4:$D$3003,$B48,出库明细!$B$4:$B$3003,"&gt;="&amp;DATE(年度,3,1),出库明细!$B$4:$B$3003,"&lt;"&amp;DATE(年度,3+1,1)))</f>
        <v>0</v>
      </c>
      <c r="AL48" s="186">
        <f>AK48*AJ48</f>
        <v>0</v>
      </c>
      <c r="AM48" s="220">
        <f>_辅助!BO46</f>
        <v>0</v>
      </c>
      <c r="AN48" s="186">
        <f>_辅助!AE46</f>
        <v>0</v>
      </c>
      <c r="AO48" s="221">
        <f>AH48-AK48-AM48</f>
        <v>0</v>
      </c>
      <c r="AP48" s="187">
        <f>AI48-AL48-AN48</f>
        <v>0</v>
      </c>
      <c r="AQ48" s="236">
        <f>IF(AND(AH48&gt;0,AI48&gt;0),0,AL48)</f>
        <v>0</v>
      </c>
      <c r="AR48" s="220">
        <f>IF($B48="",0,SUMIFS(采购进货!$E$4:$E$1503,采购进货!$D$4:$D$1503,$B48,采购进货!$B$4:$B$1503,"&gt;="&amp;DATE(年度,4,1),采购进货!$B$4:$B$1503,"&lt;"&amp;DATE(年度,4+1,1))+SUMIFS(采购进货!$H$4:$H$1503,采购进货!$D$4:$D$1503,$B48,采购进货!$B$4:$B$1503,"&gt;="&amp;DATE(年度,4,1),采购进货!$B$4:$B$1503,"&lt;"&amp;DATE(年度,4+1,1)))</f>
        <v>0</v>
      </c>
      <c r="AS48" s="186">
        <f>IF($B48="",0,SUMIFS(采购进货!$G$4:$G$1503,采购进货!$D$4:$D$1503,$B48,采购进货!$B$4:$B$1503,"&gt;="&amp;DATE(年度,4,1),采购进货!$B$4:$B$1503,"&lt;"&amp;DATE(年度,4+1,1)))</f>
        <v>0</v>
      </c>
      <c r="AT48" s="234">
        <f>AO48+AR48</f>
        <v>0</v>
      </c>
      <c r="AU48" s="235">
        <f>AP48+AS48</f>
        <v>0</v>
      </c>
      <c r="AV48" s="222">
        <f>IF(AND(AT48&gt;0,AU48&gt;0),AU48/AT48,N($E48))</f>
        <v>96</v>
      </c>
      <c r="AW48" s="220">
        <f>IF($B48="",0,SUMIFS(出库明细!$E$4:$E$3003,出库明细!$D$4:$D$3003,$B48,出库明细!$B$4:$B$3003,"&gt;="&amp;DATE(年度,4,1),出库明细!$B$4:$B$3003,"&lt;"&amp;DATE(年度,4+1,1)))</f>
        <v>0</v>
      </c>
      <c r="AX48" s="186">
        <f>AW48*AV48</f>
        <v>0</v>
      </c>
      <c r="AY48" s="220">
        <f>_辅助!BP46</f>
        <v>0</v>
      </c>
      <c r="AZ48" s="186">
        <f>_辅助!AF46</f>
        <v>0</v>
      </c>
      <c r="BA48" s="221">
        <f>AT48-AW48-AY48</f>
        <v>0</v>
      </c>
      <c r="BB48" s="187">
        <f>AU48-AX48-AZ48</f>
        <v>0</v>
      </c>
      <c r="BC48" s="236">
        <f>IF(AND(AT48&gt;0,AU48&gt;0),0,AX48)</f>
        <v>0</v>
      </c>
      <c r="BD48" s="220">
        <f>IF($B48="",0,SUMIFS(采购进货!$E$4:$E$1503,采购进货!$D$4:$D$1503,$B48,采购进货!$B$4:$B$1503,"&gt;="&amp;DATE(年度,5,1),采购进货!$B$4:$B$1503,"&lt;"&amp;DATE(年度,5+1,1))+SUMIFS(采购进货!$H$4:$H$1503,采购进货!$D$4:$D$1503,$B48,采购进货!$B$4:$B$1503,"&gt;="&amp;DATE(年度,5,1),采购进货!$B$4:$B$1503,"&lt;"&amp;DATE(年度,5+1,1)))</f>
        <v>0</v>
      </c>
      <c r="BE48" s="186">
        <f>IF($B48="",0,SUMIFS(采购进货!$G$4:$G$1503,采购进货!$D$4:$D$1503,$B48,采购进货!$B$4:$B$1503,"&gt;="&amp;DATE(年度,5,1),采购进货!$B$4:$B$1503,"&lt;"&amp;DATE(年度,5+1,1)))</f>
        <v>0</v>
      </c>
      <c r="BF48" s="234">
        <f>BA48+BD48</f>
        <v>0</v>
      </c>
      <c r="BG48" s="235">
        <f>BB48+BE48</f>
        <v>0</v>
      </c>
      <c r="BH48" s="222">
        <f>IF(AND(BF48&gt;0,BG48&gt;0),BG48/BF48,N($E48))</f>
        <v>96</v>
      </c>
      <c r="BI48" s="220">
        <f>IF($B48="",0,SUMIFS(出库明细!$E$4:$E$3003,出库明细!$D$4:$D$3003,$B48,出库明细!$B$4:$B$3003,"&gt;="&amp;DATE(年度,5,1),出库明细!$B$4:$B$3003,"&lt;"&amp;DATE(年度,5+1,1)))</f>
        <v>0</v>
      </c>
      <c r="BJ48" s="186">
        <f>BI48*BH48</f>
        <v>0</v>
      </c>
      <c r="BK48" s="220">
        <f>_辅助!BQ46</f>
        <v>0</v>
      </c>
      <c r="BL48" s="186">
        <f>_辅助!AG46</f>
        <v>0</v>
      </c>
      <c r="BM48" s="221">
        <f>BF48-BI48-BK48</f>
        <v>0</v>
      </c>
      <c r="BN48" s="187">
        <f>BG48-BJ48-BL48</f>
        <v>0</v>
      </c>
      <c r="BO48" s="236">
        <f>IF(AND(BF48&gt;0,BG48&gt;0),0,BJ48)</f>
        <v>0</v>
      </c>
      <c r="BP48" s="220">
        <f>IF($B48="",0,SUMIFS(采购进货!$E$4:$E$1503,采购进货!$D$4:$D$1503,$B48,采购进货!$B$4:$B$1503,"&gt;="&amp;DATE(年度,6,1),采购进货!$B$4:$B$1503,"&lt;"&amp;DATE(年度,6+1,1))+SUMIFS(采购进货!$H$4:$H$1503,采购进货!$D$4:$D$1503,$B48,采购进货!$B$4:$B$1503,"&gt;="&amp;DATE(年度,6,1),采购进货!$B$4:$B$1503,"&lt;"&amp;DATE(年度,6+1,1)))</f>
        <v>0</v>
      </c>
      <c r="BQ48" s="186">
        <f>IF($B48="",0,SUMIFS(采购进货!$G$4:$G$1503,采购进货!$D$4:$D$1503,$B48,采购进货!$B$4:$B$1503,"&gt;="&amp;DATE(年度,6,1),采购进货!$B$4:$B$1503,"&lt;"&amp;DATE(年度,6+1,1)))</f>
        <v>0</v>
      </c>
      <c r="BR48" s="234">
        <f>BM48+BP48</f>
        <v>0</v>
      </c>
      <c r="BS48" s="235">
        <f>BN48+BQ48</f>
        <v>0</v>
      </c>
      <c r="BT48" s="222">
        <f>IF(AND(BR48&gt;0,BS48&gt;0),BS48/BR48,N($E48))</f>
        <v>96</v>
      </c>
      <c r="BU48" s="220">
        <f>IF($B48="",0,SUMIFS(出库明细!$E$4:$E$3003,出库明细!$D$4:$D$3003,$B48,出库明细!$B$4:$B$3003,"&gt;="&amp;DATE(年度,6,1),出库明细!$B$4:$B$3003,"&lt;"&amp;DATE(年度,6+1,1)))</f>
        <v>0</v>
      </c>
      <c r="BV48" s="186">
        <f>BU48*BT48</f>
        <v>0</v>
      </c>
      <c r="BW48" s="220">
        <f>_辅助!BR46</f>
        <v>0</v>
      </c>
      <c r="BX48" s="186">
        <f>_辅助!AH46</f>
        <v>0</v>
      </c>
      <c r="BY48" s="221">
        <f>BR48-BU48-BW48</f>
        <v>0</v>
      </c>
      <c r="BZ48" s="187">
        <f>BS48-BV48-BX48</f>
        <v>0</v>
      </c>
      <c r="CA48" s="236">
        <f>IF(AND(BR48&gt;0,BS48&gt;0),0,BV48)</f>
        <v>0</v>
      </c>
      <c r="CB48" s="220">
        <f>IF($B48="",0,SUMIFS(采购进货!$E$4:$E$1503,采购进货!$D$4:$D$1503,$B48,采购进货!$B$4:$B$1503,"&gt;="&amp;DATE(年度,7,1),采购进货!$B$4:$B$1503,"&lt;"&amp;DATE(年度,7+1,1))+SUMIFS(采购进货!$H$4:$H$1503,采购进货!$D$4:$D$1503,$B48,采购进货!$B$4:$B$1503,"&gt;="&amp;DATE(年度,7,1),采购进货!$B$4:$B$1503,"&lt;"&amp;DATE(年度,7+1,1)))</f>
        <v>0</v>
      </c>
      <c r="CC48" s="186">
        <f>IF($B48="",0,SUMIFS(采购进货!$G$4:$G$1503,采购进货!$D$4:$D$1503,$B48,采购进货!$B$4:$B$1503,"&gt;="&amp;DATE(年度,7,1),采购进货!$B$4:$B$1503,"&lt;"&amp;DATE(年度,7+1,1)))</f>
        <v>0</v>
      </c>
      <c r="CD48" s="234">
        <f>BY48+CB48</f>
        <v>0</v>
      </c>
      <c r="CE48" s="235">
        <f>BZ48+CC48</f>
        <v>0</v>
      </c>
      <c r="CF48" s="222">
        <f>IF(AND(CD48&gt;0,CE48&gt;0),CE48/CD48,N($E48))</f>
        <v>96</v>
      </c>
      <c r="CG48" s="220">
        <f>IF($B48="",0,SUMIFS(出库明细!$E$4:$E$3003,出库明细!$D$4:$D$3003,$B48,出库明细!$B$4:$B$3003,"&gt;="&amp;DATE(年度,7,1),出库明细!$B$4:$B$3003,"&lt;"&amp;DATE(年度,7+1,1)))</f>
        <v>0</v>
      </c>
      <c r="CH48" s="186">
        <f>CG48*CF48</f>
        <v>0</v>
      </c>
      <c r="CI48" s="220">
        <f>_辅助!BS46</f>
        <v>0</v>
      </c>
      <c r="CJ48" s="186">
        <f>_辅助!AI46</f>
        <v>0</v>
      </c>
      <c r="CK48" s="221">
        <f>CD48-CG48-CI48</f>
        <v>0</v>
      </c>
      <c r="CL48" s="187">
        <f>CE48-CH48-CJ48</f>
        <v>0</v>
      </c>
      <c r="CM48" s="236">
        <f>IF(AND(CD48&gt;0,CE48&gt;0),0,CH48)</f>
        <v>0</v>
      </c>
      <c r="CN48" s="220">
        <f>IF($B48="",0,SUMIFS(采购进货!$E$4:$E$1503,采购进货!$D$4:$D$1503,$B48,采购进货!$B$4:$B$1503,"&gt;="&amp;DATE(年度,8,1),采购进货!$B$4:$B$1503,"&lt;"&amp;DATE(年度,8+1,1))+SUMIFS(采购进货!$H$4:$H$1503,采购进货!$D$4:$D$1503,$B48,采购进货!$B$4:$B$1503,"&gt;="&amp;DATE(年度,8,1),采购进货!$B$4:$B$1503,"&lt;"&amp;DATE(年度,8+1,1)))</f>
        <v>0</v>
      </c>
      <c r="CO48" s="186">
        <f>IF($B48="",0,SUMIFS(采购进货!$G$4:$G$1503,采购进货!$D$4:$D$1503,$B48,采购进货!$B$4:$B$1503,"&gt;="&amp;DATE(年度,8,1),采购进货!$B$4:$B$1503,"&lt;"&amp;DATE(年度,8+1,1)))</f>
        <v>0</v>
      </c>
      <c r="CP48" s="234">
        <f>CK48+CN48</f>
        <v>0</v>
      </c>
      <c r="CQ48" s="235">
        <f>CL48+CO48</f>
        <v>0</v>
      </c>
      <c r="CR48" s="222">
        <f>IF(AND(CP48&gt;0,CQ48&gt;0),CQ48/CP48,N($E48))</f>
        <v>96</v>
      </c>
      <c r="CS48" s="220">
        <f>IF($B48="",0,SUMIFS(出库明细!$E$4:$E$3003,出库明细!$D$4:$D$3003,$B48,出库明细!$B$4:$B$3003,"&gt;="&amp;DATE(年度,8,1),出库明细!$B$4:$B$3003,"&lt;"&amp;DATE(年度,8+1,1)))</f>
        <v>0</v>
      </c>
      <c r="CT48" s="186">
        <f>CS48*CR48</f>
        <v>0</v>
      </c>
      <c r="CU48" s="220">
        <f>_辅助!BT46</f>
        <v>1.53333333333333</v>
      </c>
      <c r="CV48" s="186">
        <f>_辅助!AJ46</f>
        <v>147.2</v>
      </c>
      <c r="CW48" s="221">
        <f>CP48-CS48-CU48</f>
        <v>-1.53333333333333</v>
      </c>
      <c r="CX48" s="187">
        <f>CQ48-CT48-CV48</f>
        <v>-147.2</v>
      </c>
      <c r="CY48" s="236">
        <f>IF(AND(CP48&gt;0,CQ48&gt;0),0,CT48)</f>
        <v>0</v>
      </c>
      <c r="CZ48" s="220">
        <f>IF($B48="",0,SUMIFS(采购进货!$E$4:$E$1503,采购进货!$D$4:$D$1503,$B48,采购进货!$B$4:$B$1503,"&gt;="&amp;DATE(年度,9,1),采购进货!$B$4:$B$1503,"&lt;"&amp;DATE(年度,9+1,1))+SUMIFS(采购进货!$H$4:$H$1503,采购进货!$D$4:$D$1503,$B48,采购进货!$B$4:$B$1503,"&gt;="&amp;DATE(年度,9,1),采购进货!$B$4:$B$1503,"&lt;"&amp;DATE(年度,9+1,1)))</f>
        <v>0</v>
      </c>
      <c r="DA48" s="186">
        <f>IF($B48="",0,SUMIFS(采购进货!$G$4:$G$1503,采购进货!$D$4:$D$1503,$B48,采购进货!$B$4:$B$1503,"&gt;="&amp;DATE(年度,9,1),采购进货!$B$4:$B$1503,"&lt;"&amp;DATE(年度,9+1,1)))</f>
        <v>0</v>
      </c>
      <c r="DB48" s="234">
        <f>CW48+CZ48</f>
        <v>-1.53333333333333</v>
      </c>
      <c r="DC48" s="235">
        <f>CX48+DA48</f>
        <v>-147.2</v>
      </c>
      <c r="DD48" s="222">
        <f>IF(AND(DB48&gt;0,DC48&gt;0),DC48/DB48,N($E48))</f>
        <v>96</v>
      </c>
      <c r="DE48" s="220">
        <f>IF($B48="",0,SUMIFS(出库明细!$E$4:$E$3003,出库明细!$D$4:$D$3003,$B48,出库明细!$B$4:$B$3003,"&gt;="&amp;DATE(年度,9,1),出库明细!$B$4:$B$3003,"&lt;"&amp;DATE(年度,9+1,1)))</f>
        <v>0</v>
      </c>
      <c r="DF48" s="186">
        <f>DE48*DD48</f>
        <v>0</v>
      </c>
      <c r="DG48" s="220">
        <f>_辅助!BU46</f>
        <v>0</v>
      </c>
      <c r="DH48" s="186">
        <f>_辅助!AK46</f>
        <v>0</v>
      </c>
      <c r="DI48" s="221">
        <f>DB48-DE48-DG48</f>
        <v>-1.53333333333333</v>
      </c>
      <c r="DJ48" s="187">
        <f>DC48-DF48-DH48</f>
        <v>-147.2</v>
      </c>
      <c r="DK48" s="236">
        <f>IF(AND(DB48&gt;0,DC48&gt;0),0,DF48)</f>
        <v>0</v>
      </c>
      <c r="DL48" s="220">
        <f>IF($B48="",0,SUMIFS(采购进货!$E$4:$E$1503,采购进货!$D$4:$D$1503,$B48,采购进货!$B$4:$B$1503,"&gt;="&amp;DATE(年度,10,1),采购进货!$B$4:$B$1503,"&lt;"&amp;DATE(年度,10+1,1))+SUMIFS(采购进货!$H$4:$H$1503,采购进货!$D$4:$D$1503,$B48,采购进货!$B$4:$B$1503,"&gt;="&amp;DATE(年度,10,1),采购进货!$B$4:$B$1503,"&lt;"&amp;DATE(年度,10+1,1)))</f>
        <v>0</v>
      </c>
      <c r="DM48" s="186">
        <f>IF($B48="",0,SUMIFS(采购进货!$G$4:$G$1503,采购进货!$D$4:$D$1503,$B48,采购进货!$B$4:$B$1503,"&gt;="&amp;DATE(年度,10,1),采购进货!$B$4:$B$1503,"&lt;"&amp;DATE(年度,10+1,1)))</f>
        <v>0</v>
      </c>
      <c r="DN48" s="234">
        <f>DI48+DL48</f>
        <v>-1.53333333333333</v>
      </c>
      <c r="DO48" s="235">
        <f>DJ48+DM48</f>
        <v>-147.2</v>
      </c>
      <c r="DP48" s="222">
        <f>IF(AND(DN48&gt;0,DO48&gt;0),DO48/DN48,N($E48))</f>
        <v>96</v>
      </c>
      <c r="DQ48" s="220">
        <f>IF($B48="",0,SUMIFS(出库明细!$E$4:$E$3003,出库明细!$D$4:$D$3003,$B48,出库明细!$B$4:$B$3003,"&gt;="&amp;DATE(年度,10,1),出库明细!$B$4:$B$3003,"&lt;"&amp;DATE(年度,10+1,1)))</f>
        <v>0</v>
      </c>
      <c r="DR48" s="186">
        <f>DQ48*DP48</f>
        <v>0</v>
      </c>
      <c r="DS48" s="220">
        <f>_辅助!BV46</f>
        <v>0</v>
      </c>
      <c r="DT48" s="186">
        <f>_辅助!AL46</f>
        <v>0</v>
      </c>
      <c r="DU48" s="221">
        <f>DN48-DQ48-DS48</f>
        <v>-1.53333333333333</v>
      </c>
      <c r="DV48" s="187">
        <f>DO48-DR48-DT48</f>
        <v>-147.2</v>
      </c>
      <c r="DW48" s="236">
        <f>IF(AND(DN48&gt;0,DO48&gt;0),0,DR48)</f>
        <v>0</v>
      </c>
      <c r="DX48" s="220">
        <f>IF($B48="",0,SUMIFS(采购进货!$E$4:$E$1503,采购进货!$D$4:$D$1503,$B48,采购进货!$B$4:$B$1503,"&gt;="&amp;DATE(年度,11,1),采购进货!$B$4:$B$1503,"&lt;"&amp;DATE(年度,11+1,1))+SUMIFS(采购进货!$H$4:$H$1503,采购进货!$D$4:$D$1503,$B48,采购进货!$B$4:$B$1503,"&gt;="&amp;DATE(年度,11,1),采购进货!$B$4:$B$1503,"&lt;"&amp;DATE(年度,11+1,1)))</f>
        <v>0</v>
      </c>
      <c r="DY48" s="186">
        <f>IF($B48="",0,SUMIFS(采购进货!$G$4:$G$1503,采购进货!$D$4:$D$1503,$B48,采购进货!$B$4:$B$1503,"&gt;="&amp;DATE(年度,11,1),采购进货!$B$4:$B$1503,"&lt;"&amp;DATE(年度,11+1,1)))</f>
        <v>0</v>
      </c>
      <c r="DZ48" s="234">
        <f>DU48+DX48</f>
        <v>-1.53333333333333</v>
      </c>
      <c r="EA48" s="235">
        <f>DV48+DY48</f>
        <v>-147.2</v>
      </c>
      <c r="EB48" s="222">
        <f>IF(AND(DZ48&gt;0,EA48&gt;0),EA48/DZ48,N($E48))</f>
        <v>96</v>
      </c>
      <c r="EC48" s="220">
        <f>IF($B48="",0,SUMIFS(出库明细!$E$4:$E$3003,出库明细!$D$4:$D$3003,$B48,出库明细!$B$4:$B$3003,"&gt;="&amp;DATE(年度,11,1),出库明细!$B$4:$B$3003,"&lt;"&amp;DATE(年度,11+1,1)))</f>
        <v>0</v>
      </c>
      <c r="ED48" s="186">
        <f>EC48*EB48</f>
        <v>0</v>
      </c>
      <c r="EE48" s="220">
        <f>_辅助!BW46</f>
        <v>0</v>
      </c>
      <c r="EF48" s="186">
        <f>_辅助!AM46</f>
        <v>0</v>
      </c>
      <c r="EG48" s="221">
        <f>DZ48-EC48-EE48</f>
        <v>-1.53333333333333</v>
      </c>
      <c r="EH48" s="187">
        <f>EA48-ED48-EF48</f>
        <v>-147.2</v>
      </c>
      <c r="EI48" s="236">
        <f>IF(AND(DZ48&gt;0,EA48&gt;0),0,ED48)</f>
        <v>0</v>
      </c>
      <c r="EJ48" s="220">
        <f>IF($B48="",0,SUMIFS(采购进货!$E$4:$E$1503,采购进货!$D$4:$D$1503,$B48,采购进货!$B$4:$B$1503,"&gt;="&amp;DATE(年度,12,1),采购进货!$B$4:$B$1503,"&lt;"&amp;DATE(年度,12+1,1))+SUMIFS(采购进货!$H$4:$H$1503,采购进货!$D$4:$D$1503,$B48,采购进货!$B$4:$B$1503,"&gt;="&amp;DATE(年度,12,1),采购进货!$B$4:$B$1503,"&lt;"&amp;DATE(年度,12+1,1)))</f>
        <v>0</v>
      </c>
      <c r="EK48" s="186">
        <f>IF($B48="",0,SUMIFS(采购进货!$G$4:$G$1503,采购进货!$D$4:$D$1503,$B48,采购进货!$B$4:$B$1503,"&gt;="&amp;DATE(年度,12,1),采购进货!$B$4:$B$1503,"&lt;"&amp;DATE(年度,12+1,1)))</f>
        <v>0</v>
      </c>
      <c r="EL48" s="234">
        <f>EG48+EJ48</f>
        <v>-1.53333333333333</v>
      </c>
      <c r="EM48" s="235">
        <f>EH48+EK48</f>
        <v>-147.2</v>
      </c>
      <c r="EN48" s="222">
        <f>IF(AND(EL48&gt;0,EM48&gt;0),EM48/EL48,N($E48))</f>
        <v>96</v>
      </c>
      <c r="EO48" s="220">
        <f>IF($B48="",0,SUMIFS(出库明细!$E$4:$E$3003,出库明细!$D$4:$D$3003,$B48,出库明细!$B$4:$B$3003,"&gt;="&amp;DATE(年度,12,1),出库明细!$B$4:$B$3003,"&lt;"&amp;DATE(年度,12+1,1)))</f>
        <v>0</v>
      </c>
      <c r="EP48" s="186">
        <f>EO48*EN48</f>
        <v>0</v>
      </c>
      <c r="EQ48" s="220">
        <f>_辅助!BX46</f>
        <v>0</v>
      </c>
      <c r="ER48" s="186">
        <f>_辅助!AN46</f>
        <v>0</v>
      </c>
      <c r="ES48" s="221">
        <f>EL48-EO48-EQ48</f>
        <v>-1.53333333333333</v>
      </c>
      <c r="ET48" s="187">
        <f>EM48-EP48-ER48</f>
        <v>-147.2</v>
      </c>
      <c r="EU48" s="236">
        <f>IF(AND(EL48&gt;0,EM48&gt;0),0,EP48)</f>
        <v>0</v>
      </c>
    </row>
    <row r="49">
      <c r="A49" s="194">
        <f>IF(B49="","",ROW()-7)</f>
        <v>42</v>
      </c>
      <c r="B49" s="141" t="str">
        <f>IF(基础资料!E46="","",基础资料!E46&amp;"")</f>
        <v>艾精隆500克多味</v>
      </c>
      <c r="C49" s="230" t="str">
        <f>IF(基础资料!G46="","",基础资料!G46&amp;"")</f>
        <v>艾精隆500克多味</v>
      </c>
      <c r="D49" s="194">
        <f>IF(基础资料!I46="","",基础资料!I46)</f>
        <v>20</v>
      </c>
      <c r="E49" s="231">
        <f>IF(基础资料!J46="","",基础资料!J46)</f>
        <v>220</v>
      </c>
      <c r="F49" s="232">
        <f>N(基础资料!L46)</f>
        <v>0</v>
      </c>
      <c r="G49" s="233">
        <f>IF(基础资料!N46="",0,基础资料!N46)</f>
        <v>0</v>
      </c>
      <c r="H49" s="220">
        <f>IF($B49="",0,SUMIFS(采购进货!$E$4:$E$1503,采购进货!$D$4:$D$1503,$B49,采购进货!$B$4:$B$1503,"&gt;="&amp;DATE(年度,1,1),采购进货!$B$4:$B$1503,"&lt;"&amp;DATE(年度,1+1,1))+SUMIFS(采购进货!$H$4:$H$1503,采购进货!$D$4:$D$1503,$B49,采购进货!$B$4:$B$1503,"&gt;="&amp;DATE(年度,1,1),采购进货!$B$4:$B$1503,"&lt;"&amp;DATE(年度,1+1,1)))</f>
        <v>0</v>
      </c>
      <c r="I49" s="186">
        <f>IF($B49="",0,SUMIFS(采购进货!$G$4:$G$1503,采购进货!$D$4:$D$1503,$B49,采购进货!$B$4:$B$1503,"&gt;="&amp;DATE(年度,1,1),采购进货!$B$4:$B$1503,"&lt;"&amp;DATE(年度,1+1,1)))</f>
        <v>0</v>
      </c>
      <c r="J49" s="234">
        <f>F49+H49</f>
        <v>0</v>
      </c>
      <c r="K49" s="235">
        <f>G49+I49</f>
        <v>0</v>
      </c>
      <c r="L49" s="222">
        <f>IF(AND(J49&gt;0,K49&gt;0),K49/J49,N($E49))</f>
        <v>220</v>
      </c>
      <c r="M49" s="220">
        <f>IF($B49="",0,SUMIFS(出库明细!$E$4:$E$3003,出库明细!$D$4:$D$3003,$B49,出库明细!$B$4:$B$3003,"&gt;="&amp;DATE(年度,1,1),出库明细!$B$4:$B$3003,"&lt;"&amp;DATE(年度,1+1,1)))</f>
        <v>0</v>
      </c>
      <c r="N49" s="186">
        <f>M49*L49</f>
        <v>0</v>
      </c>
      <c r="O49" s="220">
        <f>_辅助!BM47</f>
        <v>0</v>
      </c>
      <c r="P49" s="186">
        <f>_辅助!AC47</f>
        <v>0</v>
      </c>
      <c r="Q49" s="221">
        <f>J49-M49-O49</f>
        <v>0</v>
      </c>
      <c r="R49" s="187">
        <f>K49-N49-P49</f>
        <v>0</v>
      </c>
      <c r="S49" s="236">
        <f>IF(AND(J49&gt;0,K49&gt;0),0,N49)</f>
        <v>0</v>
      </c>
      <c r="T49" s="220">
        <f>IF($B49="",0,SUMIFS(采购进货!$E$4:$E$1503,采购进货!$D$4:$D$1503,$B49,采购进货!$B$4:$B$1503,"&gt;="&amp;DATE(年度,2,1),采购进货!$B$4:$B$1503,"&lt;"&amp;DATE(年度,2+1,1))+SUMIFS(采购进货!$H$4:$H$1503,采购进货!$D$4:$D$1503,$B49,采购进货!$B$4:$B$1503,"&gt;="&amp;DATE(年度,2,1),采购进货!$B$4:$B$1503,"&lt;"&amp;DATE(年度,2+1,1)))</f>
        <v>0</v>
      </c>
      <c r="U49" s="186">
        <f>IF($B49="",0,SUMIFS(采购进货!$G$4:$G$1503,采购进货!$D$4:$D$1503,$B49,采购进货!$B$4:$B$1503,"&gt;="&amp;DATE(年度,2,1),采购进货!$B$4:$B$1503,"&lt;"&amp;DATE(年度,2+1,1)))</f>
        <v>0</v>
      </c>
      <c r="V49" s="234">
        <f>Q49+T49</f>
        <v>0</v>
      </c>
      <c r="W49" s="235">
        <f>R49+U49</f>
        <v>0</v>
      </c>
      <c r="X49" s="222">
        <f>IF(AND(V49&gt;0,W49&gt;0),W49/V49,N($E49))</f>
        <v>220</v>
      </c>
      <c r="Y49" s="220">
        <f>IF($B49="",0,SUMIFS(出库明细!$E$4:$E$3003,出库明细!$D$4:$D$3003,$B49,出库明细!$B$4:$B$3003,"&gt;="&amp;DATE(年度,2,1),出库明细!$B$4:$B$3003,"&lt;"&amp;DATE(年度,2+1,1)))</f>
        <v>0</v>
      </c>
      <c r="Z49" s="186">
        <f>Y49*X49</f>
        <v>0</v>
      </c>
      <c r="AA49" s="220">
        <f>_辅助!BN47</f>
        <v>0</v>
      </c>
      <c r="AB49" s="186">
        <f>_辅助!AD47</f>
        <v>0</v>
      </c>
      <c r="AC49" s="221">
        <f>V49-Y49-AA49</f>
        <v>0</v>
      </c>
      <c r="AD49" s="187">
        <f>W49-Z49-AB49</f>
        <v>0</v>
      </c>
      <c r="AE49" s="236">
        <f>IF(AND(V49&gt;0,W49&gt;0),0,Z49)</f>
        <v>0</v>
      </c>
      <c r="AF49" s="220">
        <f>IF($B49="",0,SUMIFS(采购进货!$E$4:$E$1503,采购进货!$D$4:$D$1503,$B49,采购进货!$B$4:$B$1503,"&gt;="&amp;DATE(年度,3,1),采购进货!$B$4:$B$1503,"&lt;"&amp;DATE(年度,3+1,1))+SUMIFS(采购进货!$H$4:$H$1503,采购进货!$D$4:$D$1503,$B49,采购进货!$B$4:$B$1503,"&gt;="&amp;DATE(年度,3,1),采购进货!$B$4:$B$1503,"&lt;"&amp;DATE(年度,3+1,1)))</f>
        <v>0</v>
      </c>
      <c r="AG49" s="186">
        <f>IF($B49="",0,SUMIFS(采购进货!$G$4:$G$1503,采购进货!$D$4:$D$1503,$B49,采购进货!$B$4:$B$1503,"&gt;="&amp;DATE(年度,3,1),采购进货!$B$4:$B$1503,"&lt;"&amp;DATE(年度,3+1,1)))</f>
        <v>0</v>
      </c>
      <c r="AH49" s="234">
        <f>AC49+AF49</f>
        <v>0</v>
      </c>
      <c r="AI49" s="235">
        <f>AD49+AG49</f>
        <v>0</v>
      </c>
      <c r="AJ49" s="222">
        <f>IF(AND(AH49&gt;0,AI49&gt;0),AI49/AH49,N($E49))</f>
        <v>220</v>
      </c>
      <c r="AK49" s="220">
        <f>IF($B49="",0,SUMIFS(出库明细!$E$4:$E$3003,出库明细!$D$4:$D$3003,$B49,出库明细!$B$4:$B$3003,"&gt;="&amp;DATE(年度,3,1),出库明细!$B$4:$B$3003,"&lt;"&amp;DATE(年度,3+1,1)))</f>
        <v>0</v>
      </c>
      <c r="AL49" s="186">
        <f>AK49*AJ49</f>
        <v>0</v>
      </c>
      <c r="AM49" s="220">
        <f>_辅助!BO47</f>
        <v>0</v>
      </c>
      <c r="AN49" s="186">
        <f>_辅助!AE47</f>
        <v>0</v>
      </c>
      <c r="AO49" s="221">
        <f>AH49-AK49-AM49</f>
        <v>0</v>
      </c>
      <c r="AP49" s="187">
        <f>AI49-AL49-AN49</f>
        <v>0</v>
      </c>
      <c r="AQ49" s="236">
        <f>IF(AND(AH49&gt;0,AI49&gt;0),0,AL49)</f>
        <v>0</v>
      </c>
      <c r="AR49" s="220">
        <f>IF($B49="",0,SUMIFS(采购进货!$E$4:$E$1503,采购进货!$D$4:$D$1503,$B49,采购进货!$B$4:$B$1503,"&gt;="&amp;DATE(年度,4,1),采购进货!$B$4:$B$1503,"&lt;"&amp;DATE(年度,4+1,1))+SUMIFS(采购进货!$H$4:$H$1503,采购进货!$D$4:$D$1503,$B49,采购进货!$B$4:$B$1503,"&gt;="&amp;DATE(年度,4,1),采购进货!$B$4:$B$1503,"&lt;"&amp;DATE(年度,4+1,1)))</f>
        <v>0</v>
      </c>
      <c r="AS49" s="186">
        <f>IF($B49="",0,SUMIFS(采购进货!$G$4:$G$1503,采购进货!$D$4:$D$1503,$B49,采购进货!$B$4:$B$1503,"&gt;="&amp;DATE(年度,4,1),采购进货!$B$4:$B$1503,"&lt;"&amp;DATE(年度,4+1,1)))</f>
        <v>0</v>
      </c>
      <c r="AT49" s="234">
        <f>AO49+AR49</f>
        <v>0</v>
      </c>
      <c r="AU49" s="235">
        <f>AP49+AS49</f>
        <v>0</v>
      </c>
      <c r="AV49" s="222">
        <f>IF(AND(AT49&gt;0,AU49&gt;0),AU49/AT49,N($E49))</f>
        <v>220</v>
      </c>
      <c r="AW49" s="220">
        <f>IF($B49="",0,SUMIFS(出库明细!$E$4:$E$3003,出库明细!$D$4:$D$3003,$B49,出库明细!$B$4:$B$3003,"&gt;="&amp;DATE(年度,4,1),出库明细!$B$4:$B$3003,"&lt;"&amp;DATE(年度,4+1,1)))</f>
        <v>0</v>
      </c>
      <c r="AX49" s="186">
        <f>AW49*AV49</f>
        <v>0</v>
      </c>
      <c r="AY49" s="220">
        <f>_辅助!BP47</f>
        <v>0</v>
      </c>
      <c r="AZ49" s="186">
        <f>_辅助!AF47</f>
        <v>0</v>
      </c>
      <c r="BA49" s="221">
        <f>AT49-AW49-AY49</f>
        <v>0</v>
      </c>
      <c r="BB49" s="187">
        <f>AU49-AX49-AZ49</f>
        <v>0</v>
      </c>
      <c r="BC49" s="236">
        <f>IF(AND(AT49&gt;0,AU49&gt;0),0,AX49)</f>
        <v>0</v>
      </c>
      <c r="BD49" s="220">
        <f>IF($B49="",0,SUMIFS(采购进货!$E$4:$E$1503,采购进货!$D$4:$D$1503,$B49,采购进货!$B$4:$B$1503,"&gt;="&amp;DATE(年度,5,1),采购进货!$B$4:$B$1503,"&lt;"&amp;DATE(年度,5+1,1))+SUMIFS(采购进货!$H$4:$H$1503,采购进货!$D$4:$D$1503,$B49,采购进货!$B$4:$B$1503,"&gt;="&amp;DATE(年度,5,1),采购进货!$B$4:$B$1503,"&lt;"&amp;DATE(年度,5+1,1)))</f>
        <v>0</v>
      </c>
      <c r="BE49" s="186">
        <f>IF($B49="",0,SUMIFS(采购进货!$G$4:$G$1503,采购进货!$D$4:$D$1503,$B49,采购进货!$B$4:$B$1503,"&gt;="&amp;DATE(年度,5,1),采购进货!$B$4:$B$1503,"&lt;"&amp;DATE(年度,5+1,1)))</f>
        <v>0</v>
      </c>
      <c r="BF49" s="234">
        <f>BA49+BD49</f>
        <v>0</v>
      </c>
      <c r="BG49" s="235">
        <f>BB49+BE49</f>
        <v>0</v>
      </c>
      <c r="BH49" s="222">
        <f>IF(AND(BF49&gt;0,BG49&gt;0),BG49/BF49,N($E49))</f>
        <v>220</v>
      </c>
      <c r="BI49" s="220">
        <f>IF($B49="",0,SUMIFS(出库明细!$E$4:$E$3003,出库明细!$D$4:$D$3003,$B49,出库明细!$B$4:$B$3003,"&gt;="&amp;DATE(年度,5,1),出库明细!$B$4:$B$3003,"&lt;"&amp;DATE(年度,5+1,1)))</f>
        <v>0</v>
      </c>
      <c r="BJ49" s="186">
        <f>BI49*BH49</f>
        <v>0</v>
      </c>
      <c r="BK49" s="220">
        <f>_辅助!BQ47</f>
        <v>0</v>
      </c>
      <c r="BL49" s="186">
        <f>_辅助!AG47</f>
        <v>0</v>
      </c>
      <c r="BM49" s="221">
        <f>BF49-BI49-BK49</f>
        <v>0</v>
      </c>
      <c r="BN49" s="187">
        <f>BG49-BJ49-BL49</f>
        <v>0</v>
      </c>
      <c r="BO49" s="236">
        <f>IF(AND(BF49&gt;0,BG49&gt;0),0,BJ49)</f>
        <v>0</v>
      </c>
      <c r="BP49" s="220">
        <f>IF($B49="",0,SUMIFS(采购进货!$E$4:$E$1503,采购进货!$D$4:$D$1503,$B49,采购进货!$B$4:$B$1503,"&gt;="&amp;DATE(年度,6,1),采购进货!$B$4:$B$1503,"&lt;"&amp;DATE(年度,6+1,1))+SUMIFS(采购进货!$H$4:$H$1503,采购进货!$D$4:$D$1503,$B49,采购进货!$B$4:$B$1503,"&gt;="&amp;DATE(年度,6,1),采购进货!$B$4:$B$1503,"&lt;"&amp;DATE(年度,6+1,1)))</f>
        <v>0</v>
      </c>
      <c r="BQ49" s="186">
        <f>IF($B49="",0,SUMIFS(采购进货!$G$4:$G$1503,采购进货!$D$4:$D$1503,$B49,采购进货!$B$4:$B$1503,"&gt;="&amp;DATE(年度,6,1),采购进货!$B$4:$B$1503,"&lt;"&amp;DATE(年度,6+1,1)))</f>
        <v>0</v>
      </c>
      <c r="BR49" s="234">
        <f>BM49+BP49</f>
        <v>0</v>
      </c>
      <c r="BS49" s="235">
        <f>BN49+BQ49</f>
        <v>0</v>
      </c>
      <c r="BT49" s="222">
        <f>IF(AND(BR49&gt;0,BS49&gt;0),BS49/BR49,N($E49))</f>
        <v>220</v>
      </c>
      <c r="BU49" s="220">
        <f>IF($B49="",0,SUMIFS(出库明细!$E$4:$E$3003,出库明细!$D$4:$D$3003,$B49,出库明细!$B$4:$B$3003,"&gt;="&amp;DATE(年度,6,1),出库明细!$B$4:$B$3003,"&lt;"&amp;DATE(年度,6+1,1)))</f>
        <v>0</v>
      </c>
      <c r="BV49" s="186">
        <f>BU49*BT49</f>
        <v>0</v>
      </c>
      <c r="BW49" s="220">
        <f>_辅助!BR47</f>
        <v>0</v>
      </c>
      <c r="BX49" s="186">
        <f>_辅助!AH47</f>
        <v>0</v>
      </c>
      <c r="BY49" s="221">
        <f>BR49-BU49-BW49</f>
        <v>0</v>
      </c>
      <c r="BZ49" s="187">
        <f>BS49-BV49-BX49</f>
        <v>0</v>
      </c>
      <c r="CA49" s="236">
        <f>IF(AND(BR49&gt;0,BS49&gt;0),0,BV49)</f>
        <v>0</v>
      </c>
      <c r="CB49" s="220">
        <f>IF($B49="",0,SUMIFS(采购进货!$E$4:$E$1503,采购进货!$D$4:$D$1503,$B49,采购进货!$B$4:$B$1503,"&gt;="&amp;DATE(年度,7,1),采购进货!$B$4:$B$1503,"&lt;"&amp;DATE(年度,7+1,1))+SUMIFS(采购进货!$H$4:$H$1503,采购进货!$D$4:$D$1503,$B49,采购进货!$B$4:$B$1503,"&gt;="&amp;DATE(年度,7,1),采购进货!$B$4:$B$1503,"&lt;"&amp;DATE(年度,7+1,1)))</f>
        <v>0</v>
      </c>
      <c r="CC49" s="186">
        <f>IF($B49="",0,SUMIFS(采购进货!$G$4:$G$1503,采购进货!$D$4:$D$1503,$B49,采购进货!$B$4:$B$1503,"&gt;="&amp;DATE(年度,7,1),采购进货!$B$4:$B$1503,"&lt;"&amp;DATE(年度,7+1,1)))</f>
        <v>0</v>
      </c>
      <c r="CD49" s="234">
        <f>BY49+CB49</f>
        <v>0</v>
      </c>
      <c r="CE49" s="235">
        <f>BZ49+CC49</f>
        <v>0</v>
      </c>
      <c r="CF49" s="222">
        <f>IF(AND(CD49&gt;0,CE49&gt;0),CE49/CD49,N($E49))</f>
        <v>220</v>
      </c>
      <c r="CG49" s="220">
        <f>IF($B49="",0,SUMIFS(出库明细!$E$4:$E$3003,出库明细!$D$4:$D$3003,$B49,出库明细!$B$4:$B$3003,"&gt;="&amp;DATE(年度,7,1),出库明细!$B$4:$B$3003,"&lt;"&amp;DATE(年度,7+1,1)))</f>
        <v>0</v>
      </c>
      <c r="CH49" s="186">
        <f>CG49*CF49</f>
        <v>0</v>
      </c>
      <c r="CI49" s="220">
        <f>_辅助!BS47</f>
        <v>0</v>
      </c>
      <c r="CJ49" s="186">
        <f>_辅助!AI47</f>
        <v>0</v>
      </c>
      <c r="CK49" s="221">
        <f>CD49-CG49-CI49</f>
        <v>0</v>
      </c>
      <c r="CL49" s="187">
        <f>CE49-CH49-CJ49</f>
        <v>0</v>
      </c>
      <c r="CM49" s="236">
        <f>IF(AND(CD49&gt;0,CE49&gt;0),0,CH49)</f>
        <v>0</v>
      </c>
      <c r="CN49" s="220">
        <f>IF($B49="",0,SUMIFS(采购进货!$E$4:$E$1503,采购进货!$D$4:$D$1503,$B49,采购进货!$B$4:$B$1503,"&gt;="&amp;DATE(年度,8,1),采购进货!$B$4:$B$1503,"&lt;"&amp;DATE(年度,8+1,1))+SUMIFS(采购进货!$H$4:$H$1503,采购进货!$D$4:$D$1503,$B49,采购进货!$B$4:$B$1503,"&gt;="&amp;DATE(年度,8,1),采购进货!$B$4:$B$1503,"&lt;"&amp;DATE(年度,8+1,1)))</f>
        <v>0</v>
      </c>
      <c r="CO49" s="186">
        <f>IF($B49="",0,SUMIFS(采购进货!$G$4:$G$1503,采购进货!$D$4:$D$1503,$B49,采购进货!$B$4:$B$1503,"&gt;="&amp;DATE(年度,8,1),采购进货!$B$4:$B$1503,"&lt;"&amp;DATE(年度,8+1,1)))</f>
        <v>0</v>
      </c>
      <c r="CP49" s="234">
        <f>CK49+CN49</f>
        <v>0</v>
      </c>
      <c r="CQ49" s="235">
        <f>CL49+CO49</f>
        <v>0</v>
      </c>
      <c r="CR49" s="222">
        <f>IF(AND(CP49&gt;0,CQ49&gt;0),CQ49/CP49,N($E49))</f>
        <v>220</v>
      </c>
      <c r="CS49" s="220">
        <f>IF($B49="",0,SUMIFS(出库明细!$E$4:$E$3003,出库明细!$D$4:$D$3003,$B49,出库明细!$B$4:$B$3003,"&gt;="&amp;DATE(年度,8,1),出库明细!$B$4:$B$3003,"&lt;"&amp;DATE(年度,8+1,1)))</f>
        <v>0</v>
      </c>
      <c r="CT49" s="186">
        <f>CS49*CR49</f>
        <v>0</v>
      </c>
      <c r="CU49" s="220">
        <f>_辅助!BT47</f>
        <v>0.2</v>
      </c>
      <c r="CV49" s="186">
        <f>_辅助!AJ47</f>
        <v>44</v>
      </c>
      <c r="CW49" s="221">
        <f>CP49-CS49-CU49</f>
        <v>-0.2</v>
      </c>
      <c r="CX49" s="187">
        <f>CQ49-CT49-CV49</f>
        <v>-44</v>
      </c>
      <c r="CY49" s="236">
        <f>IF(AND(CP49&gt;0,CQ49&gt;0),0,CT49)</f>
        <v>0</v>
      </c>
      <c r="CZ49" s="220">
        <f>IF($B49="",0,SUMIFS(采购进货!$E$4:$E$1503,采购进货!$D$4:$D$1503,$B49,采购进货!$B$4:$B$1503,"&gt;="&amp;DATE(年度,9,1),采购进货!$B$4:$B$1503,"&lt;"&amp;DATE(年度,9+1,1))+SUMIFS(采购进货!$H$4:$H$1503,采购进货!$D$4:$D$1503,$B49,采购进货!$B$4:$B$1503,"&gt;="&amp;DATE(年度,9,1),采购进货!$B$4:$B$1503,"&lt;"&amp;DATE(年度,9+1,1)))</f>
        <v>0</v>
      </c>
      <c r="DA49" s="186">
        <f>IF($B49="",0,SUMIFS(采购进货!$G$4:$G$1503,采购进货!$D$4:$D$1503,$B49,采购进货!$B$4:$B$1503,"&gt;="&amp;DATE(年度,9,1),采购进货!$B$4:$B$1503,"&lt;"&amp;DATE(年度,9+1,1)))</f>
        <v>0</v>
      </c>
      <c r="DB49" s="234">
        <f>CW49+CZ49</f>
        <v>-0.2</v>
      </c>
      <c r="DC49" s="235">
        <f>CX49+DA49</f>
        <v>-44</v>
      </c>
      <c r="DD49" s="222">
        <f>IF(AND(DB49&gt;0,DC49&gt;0),DC49/DB49,N($E49))</f>
        <v>220</v>
      </c>
      <c r="DE49" s="220">
        <f>IF($B49="",0,SUMIFS(出库明细!$E$4:$E$3003,出库明细!$D$4:$D$3003,$B49,出库明细!$B$4:$B$3003,"&gt;="&amp;DATE(年度,9,1),出库明细!$B$4:$B$3003,"&lt;"&amp;DATE(年度,9+1,1)))</f>
        <v>0</v>
      </c>
      <c r="DF49" s="186">
        <f>DE49*DD49</f>
        <v>0</v>
      </c>
      <c r="DG49" s="220">
        <f>_辅助!BU47</f>
        <v>0</v>
      </c>
      <c r="DH49" s="186">
        <f>_辅助!AK47</f>
        <v>0</v>
      </c>
      <c r="DI49" s="221">
        <f>DB49-DE49-DG49</f>
        <v>-0.2</v>
      </c>
      <c r="DJ49" s="187">
        <f>DC49-DF49-DH49</f>
        <v>-44</v>
      </c>
      <c r="DK49" s="236">
        <f>IF(AND(DB49&gt;0,DC49&gt;0),0,DF49)</f>
        <v>0</v>
      </c>
      <c r="DL49" s="220">
        <f>IF($B49="",0,SUMIFS(采购进货!$E$4:$E$1503,采购进货!$D$4:$D$1503,$B49,采购进货!$B$4:$B$1503,"&gt;="&amp;DATE(年度,10,1),采购进货!$B$4:$B$1503,"&lt;"&amp;DATE(年度,10+1,1))+SUMIFS(采购进货!$H$4:$H$1503,采购进货!$D$4:$D$1503,$B49,采购进货!$B$4:$B$1503,"&gt;="&amp;DATE(年度,10,1),采购进货!$B$4:$B$1503,"&lt;"&amp;DATE(年度,10+1,1)))</f>
        <v>0</v>
      </c>
      <c r="DM49" s="186">
        <f>IF($B49="",0,SUMIFS(采购进货!$G$4:$G$1503,采购进货!$D$4:$D$1503,$B49,采购进货!$B$4:$B$1503,"&gt;="&amp;DATE(年度,10,1),采购进货!$B$4:$B$1503,"&lt;"&amp;DATE(年度,10+1,1)))</f>
        <v>0</v>
      </c>
      <c r="DN49" s="234">
        <f>DI49+DL49</f>
        <v>-0.2</v>
      </c>
      <c r="DO49" s="235">
        <f>DJ49+DM49</f>
        <v>-44</v>
      </c>
      <c r="DP49" s="222">
        <f>IF(AND(DN49&gt;0,DO49&gt;0),DO49/DN49,N($E49))</f>
        <v>220</v>
      </c>
      <c r="DQ49" s="220">
        <f>IF($B49="",0,SUMIFS(出库明细!$E$4:$E$3003,出库明细!$D$4:$D$3003,$B49,出库明细!$B$4:$B$3003,"&gt;="&amp;DATE(年度,10,1),出库明细!$B$4:$B$3003,"&lt;"&amp;DATE(年度,10+1,1)))</f>
        <v>0</v>
      </c>
      <c r="DR49" s="186">
        <f>DQ49*DP49</f>
        <v>0</v>
      </c>
      <c r="DS49" s="220">
        <f>_辅助!BV47</f>
        <v>0</v>
      </c>
      <c r="DT49" s="186">
        <f>_辅助!AL47</f>
        <v>0</v>
      </c>
      <c r="DU49" s="221">
        <f>DN49-DQ49-DS49</f>
        <v>-0.2</v>
      </c>
      <c r="DV49" s="187">
        <f>DO49-DR49-DT49</f>
        <v>-44</v>
      </c>
      <c r="DW49" s="236">
        <f>IF(AND(DN49&gt;0,DO49&gt;0),0,DR49)</f>
        <v>0</v>
      </c>
      <c r="DX49" s="220">
        <f>IF($B49="",0,SUMIFS(采购进货!$E$4:$E$1503,采购进货!$D$4:$D$1503,$B49,采购进货!$B$4:$B$1503,"&gt;="&amp;DATE(年度,11,1),采购进货!$B$4:$B$1503,"&lt;"&amp;DATE(年度,11+1,1))+SUMIFS(采购进货!$H$4:$H$1503,采购进货!$D$4:$D$1503,$B49,采购进货!$B$4:$B$1503,"&gt;="&amp;DATE(年度,11,1),采购进货!$B$4:$B$1503,"&lt;"&amp;DATE(年度,11+1,1)))</f>
        <v>0</v>
      </c>
      <c r="DY49" s="186">
        <f>IF($B49="",0,SUMIFS(采购进货!$G$4:$G$1503,采购进货!$D$4:$D$1503,$B49,采购进货!$B$4:$B$1503,"&gt;="&amp;DATE(年度,11,1),采购进货!$B$4:$B$1503,"&lt;"&amp;DATE(年度,11+1,1)))</f>
        <v>0</v>
      </c>
      <c r="DZ49" s="234">
        <f>DU49+DX49</f>
        <v>-0.2</v>
      </c>
      <c r="EA49" s="235">
        <f>DV49+DY49</f>
        <v>-44</v>
      </c>
      <c r="EB49" s="222">
        <f>IF(AND(DZ49&gt;0,EA49&gt;0),EA49/DZ49,N($E49))</f>
        <v>220</v>
      </c>
      <c r="EC49" s="220">
        <f>IF($B49="",0,SUMIFS(出库明细!$E$4:$E$3003,出库明细!$D$4:$D$3003,$B49,出库明细!$B$4:$B$3003,"&gt;="&amp;DATE(年度,11,1),出库明细!$B$4:$B$3003,"&lt;"&amp;DATE(年度,11+1,1)))</f>
        <v>0</v>
      </c>
      <c r="ED49" s="186">
        <f>EC49*EB49</f>
        <v>0</v>
      </c>
      <c r="EE49" s="220">
        <f>_辅助!BW47</f>
        <v>0</v>
      </c>
      <c r="EF49" s="186">
        <f>_辅助!AM47</f>
        <v>0</v>
      </c>
      <c r="EG49" s="221">
        <f>DZ49-EC49-EE49</f>
        <v>-0.2</v>
      </c>
      <c r="EH49" s="187">
        <f>EA49-ED49-EF49</f>
        <v>-44</v>
      </c>
      <c r="EI49" s="236">
        <f>IF(AND(DZ49&gt;0,EA49&gt;0),0,ED49)</f>
        <v>0</v>
      </c>
      <c r="EJ49" s="220">
        <f>IF($B49="",0,SUMIFS(采购进货!$E$4:$E$1503,采购进货!$D$4:$D$1503,$B49,采购进货!$B$4:$B$1503,"&gt;="&amp;DATE(年度,12,1),采购进货!$B$4:$B$1503,"&lt;"&amp;DATE(年度,12+1,1))+SUMIFS(采购进货!$H$4:$H$1503,采购进货!$D$4:$D$1503,$B49,采购进货!$B$4:$B$1503,"&gt;="&amp;DATE(年度,12,1),采购进货!$B$4:$B$1503,"&lt;"&amp;DATE(年度,12+1,1)))</f>
        <v>0</v>
      </c>
      <c r="EK49" s="186">
        <f>IF($B49="",0,SUMIFS(采购进货!$G$4:$G$1503,采购进货!$D$4:$D$1503,$B49,采购进货!$B$4:$B$1503,"&gt;="&amp;DATE(年度,12,1),采购进货!$B$4:$B$1503,"&lt;"&amp;DATE(年度,12+1,1)))</f>
        <v>0</v>
      </c>
      <c r="EL49" s="234">
        <f>EG49+EJ49</f>
        <v>-0.2</v>
      </c>
      <c r="EM49" s="235">
        <f>EH49+EK49</f>
        <v>-44</v>
      </c>
      <c r="EN49" s="222">
        <f>IF(AND(EL49&gt;0,EM49&gt;0),EM49/EL49,N($E49))</f>
        <v>220</v>
      </c>
      <c r="EO49" s="220">
        <f>IF($B49="",0,SUMIFS(出库明细!$E$4:$E$3003,出库明细!$D$4:$D$3003,$B49,出库明细!$B$4:$B$3003,"&gt;="&amp;DATE(年度,12,1),出库明细!$B$4:$B$3003,"&lt;"&amp;DATE(年度,12+1,1)))</f>
        <v>0</v>
      </c>
      <c r="EP49" s="186">
        <f>EO49*EN49</f>
        <v>0</v>
      </c>
      <c r="EQ49" s="220">
        <f>_辅助!BX47</f>
        <v>0</v>
      </c>
      <c r="ER49" s="186">
        <f>_辅助!AN47</f>
        <v>0</v>
      </c>
      <c r="ES49" s="221">
        <f>EL49-EO49-EQ49</f>
        <v>-0.2</v>
      </c>
      <c r="ET49" s="187">
        <f>EM49-EP49-ER49</f>
        <v>-44</v>
      </c>
      <c r="EU49" s="236">
        <f>IF(AND(EL49&gt;0,EM49&gt;0),0,EP49)</f>
        <v>0</v>
      </c>
    </row>
    <row r="50">
      <c r="A50" s="194">
        <f>IF(B50="","",ROW()-7)</f>
        <v>43</v>
      </c>
      <c r="B50" s="141" t="str">
        <f>IF(基础资料!E47="","",基础资料!E47&amp;"")</f>
        <v>艾精隆110克瓜子</v>
      </c>
      <c r="C50" s="230" t="str">
        <f>IF(基础资料!G47="","",基础资料!G47&amp;"")</f>
        <v>艾精隆110克瓜子</v>
      </c>
      <c r="D50" s="194">
        <f>IF(基础资料!I47="","",基础资料!I47)</f>
        <v>40</v>
      </c>
      <c r="E50" s="231">
        <f>IF(基础资料!J47="","",基础资料!J47)</f>
        <v>128</v>
      </c>
      <c r="F50" s="232">
        <f>N(基础资料!L47)</f>
        <v>0</v>
      </c>
      <c r="G50" s="233">
        <f>IF(基础资料!N47="",0,基础资料!N47)</f>
        <v>0</v>
      </c>
      <c r="H50" s="220">
        <f>IF($B50="",0,SUMIFS(采购进货!$E$4:$E$1503,采购进货!$D$4:$D$1503,$B50,采购进货!$B$4:$B$1503,"&gt;="&amp;DATE(年度,1,1),采购进货!$B$4:$B$1503,"&lt;"&amp;DATE(年度,1+1,1))+SUMIFS(采购进货!$H$4:$H$1503,采购进货!$D$4:$D$1503,$B50,采购进货!$B$4:$B$1503,"&gt;="&amp;DATE(年度,1,1),采购进货!$B$4:$B$1503,"&lt;"&amp;DATE(年度,1+1,1)))</f>
        <v>0</v>
      </c>
      <c r="I50" s="186">
        <f>IF($B50="",0,SUMIFS(采购进货!$G$4:$G$1503,采购进货!$D$4:$D$1503,$B50,采购进货!$B$4:$B$1503,"&gt;="&amp;DATE(年度,1,1),采购进货!$B$4:$B$1503,"&lt;"&amp;DATE(年度,1+1,1)))</f>
        <v>0</v>
      </c>
      <c r="J50" s="234">
        <f>F50+H50</f>
        <v>0</v>
      </c>
      <c r="K50" s="235">
        <f>G50+I50</f>
        <v>0</v>
      </c>
      <c r="L50" s="222">
        <f>IF(AND(J50&gt;0,K50&gt;0),K50/J50,N($E50))</f>
        <v>128</v>
      </c>
      <c r="M50" s="220">
        <f>IF($B50="",0,SUMIFS(出库明细!$E$4:$E$3003,出库明细!$D$4:$D$3003,$B50,出库明细!$B$4:$B$3003,"&gt;="&amp;DATE(年度,1,1),出库明细!$B$4:$B$3003,"&lt;"&amp;DATE(年度,1+1,1)))</f>
        <v>0</v>
      </c>
      <c r="N50" s="186">
        <f>M50*L50</f>
        <v>0</v>
      </c>
      <c r="O50" s="220">
        <f>_辅助!BM48</f>
        <v>0</v>
      </c>
      <c r="P50" s="186">
        <f>_辅助!AC48</f>
        <v>0</v>
      </c>
      <c r="Q50" s="221">
        <f>J50-M50-O50</f>
        <v>0</v>
      </c>
      <c r="R50" s="187">
        <f>K50-N50-P50</f>
        <v>0</v>
      </c>
      <c r="S50" s="236">
        <f>IF(AND(J50&gt;0,K50&gt;0),0,N50)</f>
        <v>0</v>
      </c>
      <c r="T50" s="220">
        <f>IF($B50="",0,SUMIFS(采购进货!$E$4:$E$1503,采购进货!$D$4:$D$1503,$B50,采购进货!$B$4:$B$1503,"&gt;="&amp;DATE(年度,2,1),采购进货!$B$4:$B$1503,"&lt;"&amp;DATE(年度,2+1,1))+SUMIFS(采购进货!$H$4:$H$1503,采购进货!$D$4:$D$1503,$B50,采购进货!$B$4:$B$1503,"&gt;="&amp;DATE(年度,2,1),采购进货!$B$4:$B$1503,"&lt;"&amp;DATE(年度,2+1,1)))</f>
        <v>0</v>
      </c>
      <c r="U50" s="186">
        <f>IF($B50="",0,SUMIFS(采购进货!$G$4:$G$1503,采购进货!$D$4:$D$1503,$B50,采购进货!$B$4:$B$1503,"&gt;="&amp;DATE(年度,2,1),采购进货!$B$4:$B$1503,"&lt;"&amp;DATE(年度,2+1,1)))</f>
        <v>0</v>
      </c>
      <c r="V50" s="234">
        <f>Q50+T50</f>
        <v>0</v>
      </c>
      <c r="W50" s="235">
        <f>R50+U50</f>
        <v>0</v>
      </c>
      <c r="X50" s="222">
        <f>IF(AND(V50&gt;0,W50&gt;0),W50/V50,N($E50))</f>
        <v>128</v>
      </c>
      <c r="Y50" s="220">
        <f>IF($B50="",0,SUMIFS(出库明细!$E$4:$E$3003,出库明细!$D$4:$D$3003,$B50,出库明细!$B$4:$B$3003,"&gt;="&amp;DATE(年度,2,1),出库明细!$B$4:$B$3003,"&lt;"&amp;DATE(年度,2+1,1)))</f>
        <v>0</v>
      </c>
      <c r="Z50" s="186">
        <f>Y50*X50</f>
        <v>0</v>
      </c>
      <c r="AA50" s="220">
        <f>_辅助!BN48</f>
        <v>0</v>
      </c>
      <c r="AB50" s="186">
        <f>_辅助!AD48</f>
        <v>0</v>
      </c>
      <c r="AC50" s="221">
        <f>V50-Y50-AA50</f>
        <v>0</v>
      </c>
      <c r="AD50" s="187">
        <f>W50-Z50-AB50</f>
        <v>0</v>
      </c>
      <c r="AE50" s="236">
        <f>IF(AND(V50&gt;0,W50&gt;0),0,Z50)</f>
        <v>0</v>
      </c>
      <c r="AF50" s="220">
        <f>IF($B50="",0,SUMIFS(采购进货!$E$4:$E$1503,采购进货!$D$4:$D$1503,$B50,采购进货!$B$4:$B$1503,"&gt;="&amp;DATE(年度,3,1),采购进货!$B$4:$B$1503,"&lt;"&amp;DATE(年度,3+1,1))+SUMIFS(采购进货!$H$4:$H$1503,采购进货!$D$4:$D$1503,$B50,采购进货!$B$4:$B$1503,"&gt;="&amp;DATE(年度,3,1),采购进货!$B$4:$B$1503,"&lt;"&amp;DATE(年度,3+1,1)))</f>
        <v>0</v>
      </c>
      <c r="AG50" s="186">
        <f>IF($B50="",0,SUMIFS(采购进货!$G$4:$G$1503,采购进货!$D$4:$D$1503,$B50,采购进货!$B$4:$B$1503,"&gt;="&amp;DATE(年度,3,1),采购进货!$B$4:$B$1503,"&lt;"&amp;DATE(年度,3+1,1)))</f>
        <v>0</v>
      </c>
      <c r="AH50" s="234">
        <f>AC50+AF50</f>
        <v>0</v>
      </c>
      <c r="AI50" s="235">
        <f>AD50+AG50</f>
        <v>0</v>
      </c>
      <c r="AJ50" s="222">
        <f>IF(AND(AH50&gt;0,AI50&gt;0),AI50/AH50,N($E50))</f>
        <v>128</v>
      </c>
      <c r="AK50" s="220">
        <f>IF($B50="",0,SUMIFS(出库明细!$E$4:$E$3003,出库明细!$D$4:$D$3003,$B50,出库明细!$B$4:$B$3003,"&gt;="&amp;DATE(年度,3,1),出库明细!$B$4:$B$3003,"&lt;"&amp;DATE(年度,3+1,1)))</f>
        <v>0</v>
      </c>
      <c r="AL50" s="186">
        <f>AK50*AJ50</f>
        <v>0</v>
      </c>
      <c r="AM50" s="220">
        <f>_辅助!BO48</f>
        <v>0</v>
      </c>
      <c r="AN50" s="186">
        <f>_辅助!AE48</f>
        <v>0</v>
      </c>
      <c r="AO50" s="221">
        <f>AH50-AK50-AM50</f>
        <v>0</v>
      </c>
      <c r="AP50" s="187">
        <f>AI50-AL50-AN50</f>
        <v>0</v>
      </c>
      <c r="AQ50" s="236">
        <f>IF(AND(AH50&gt;0,AI50&gt;0),0,AL50)</f>
        <v>0</v>
      </c>
      <c r="AR50" s="220">
        <f>IF($B50="",0,SUMIFS(采购进货!$E$4:$E$1503,采购进货!$D$4:$D$1503,$B50,采购进货!$B$4:$B$1503,"&gt;="&amp;DATE(年度,4,1),采购进货!$B$4:$B$1503,"&lt;"&amp;DATE(年度,4+1,1))+SUMIFS(采购进货!$H$4:$H$1503,采购进货!$D$4:$D$1503,$B50,采购进货!$B$4:$B$1503,"&gt;="&amp;DATE(年度,4,1),采购进货!$B$4:$B$1503,"&lt;"&amp;DATE(年度,4+1,1)))</f>
        <v>0</v>
      </c>
      <c r="AS50" s="186">
        <f>IF($B50="",0,SUMIFS(采购进货!$G$4:$G$1503,采购进货!$D$4:$D$1503,$B50,采购进货!$B$4:$B$1503,"&gt;="&amp;DATE(年度,4,1),采购进货!$B$4:$B$1503,"&lt;"&amp;DATE(年度,4+1,1)))</f>
        <v>0</v>
      </c>
      <c r="AT50" s="234">
        <f>AO50+AR50</f>
        <v>0</v>
      </c>
      <c r="AU50" s="235">
        <f>AP50+AS50</f>
        <v>0</v>
      </c>
      <c r="AV50" s="222">
        <f>IF(AND(AT50&gt;0,AU50&gt;0),AU50/AT50,N($E50))</f>
        <v>128</v>
      </c>
      <c r="AW50" s="220">
        <f>IF($B50="",0,SUMIFS(出库明细!$E$4:$E$3003,出库明细!$D$4:$D$3003,$B50,出库明细!$B$4:$B$3003,"&gt;="&amp;DATE(年度,4,1),出库明细!$B$4:$B$3003,"&lt;"&amp;DATE(年度,4+1,1)))</f>
        <v>0</v>
      </c>
      <c r="AX50" s="186">
        <f>AW50*AV50</f>
        <v>0</v>
      </c>
      <c r="AY50" s="220">
        <f>_辅助!BP48</f>
        <v>0</v>
      </c>
      <c r="AZ50" s="186">
        <f>_辅助!AF48</f>
        <v>0</v>
      </c>
      <c r="BA50" s="221">
        <f>AT50-AW50-AY50</f>
        <v>0</v>
      </c>
      <c r="BB50" s="187">
        <f>AU50-AX50-AZ50</f>
        <v>0</v>
      </c>
      <c r="BC50" s="236">
        <f>IF(AND(AT50&gt;0,AU50&gt;0),0,AX50)</f>
        <v>0</v>
      </c>
      <c r="BD50" s="220">
        <f>IF($B50="",0,SUMIFS(采购进货!$E$4:$E$1503,采购进货!$D$4:$D$1503,$B50,采购进货!$B$4:$B$1503,"&gt;="&amp;DATE(年度,5,1),采购进货!$B$4:$B$1503,"&lt;"&amp;DATE(年度,5+1,1))+SUMIFS(采购进货!$H$4:$H$1503,采购进货!$D$4:$D$1503,$B50,采购进货!$B$4:$B$1503,"&gt;="&amp;DATE(年度,5,1),采购进货!$B$4:$B$1503,"&lt;"&amp;DATE(年度,5+1,1)))</f>
        <v>0</v>
      </c>
      <c r="BE50" s="186">
        <f>IF($B50="",0,SUMIFS(采购进货!$G$4:$G$1503,采购进货!$D$4:$D$1503,$B50,采购进货!$B$4:$B$1503,"&gt;="&amp;DATE(年度,5,1),采购进货!$B$4:$B$1503,"&lt;"&amp;DATE(年度,5+1,1)))</f>
        <v>0</v>
      </c>
      <c r="BF50" s="234">
        <f>BA50+BD50</f>
        <v>0</v>
      </c>
      <c r="BG50" s="235">
        <f>BB50+BE50</f>
        <v>0</v>
      </c>
      <c r="BH50" s="222">
        <f>IF(AND(BF50&gt;0,BG50&gt;0),BG50/BF50,N($E50))</f>
        <v>128</v>
      </c>
      <c r="BI50" s="220">
        <f>IF($B50="",0,SUMIFS(出库明细!$E$4:$E$3003,出库明细!$D$4:$D$3003,$B50,出库明细!$B$4:$B$3003,"&gt;="&amp;DATE(年度,5,1),出库明细!$B$4:$B$3003,"&lt;"&amp;DATE(年度,5+1,1)))</f>
        <v>0</v>
      </c>
      <c r="BJ50" s="186">
        <f>BI50*BH50</f>
        <v>0</v>
      </c>
      <c r="BK50" s="220">
        <f>_辅助!BQ48</f>
        <v>0</v>
      </c>
      <c r="BL50" s="186">
        <f>_辅助!AG48</f>
        <v>0</v>
      </c>
      <c r="BM50" s="221">
        <f>BF50-BI50-BK50</f>
        <v>0</v>
      </c>
      <c r="BN50" s="187">
        <f>BG50-BJ50-BL50</f>
        <v>0</v>
      </c>
      <c r="BO50" s="236">
        <f>IF(AND(BF50&gt;0,BG50&gt;0),0,BJ50)</f>
        <v>0</v>
      </c>
      <c r="BP50" s="220">
        <f>IF($B50="",0,SUMIFS(采购进货!$E$4:$E$1503,采购进货!$D$4:$D$1503,$B50,采购进货!$B$4:$B$1503,"&gt;="&amp;DATE(年度,6,1),采购进货!$B$4:$B$1503,"&lt;"&amp;DATE(年度,6+1,1))+SUMIFS(采购进货!$H$4:$H$1503,采购进货!$D$4:$D$1503,$B50,采购进货!$B$4:$B$1503,"&gt;="&amp;DATE(年度,6,1),采购进货!$B$4:$B$1503,"&lt;"&amp;DATE(年度,6+1,1)))</f>
        <v>0</v>
      </c>
      <c r="BQ50" s="186">
        <f>IF($B50="",0,SUMIFS(采购进货!$G$4:$G$1503,采购进货!$D$4:$D$1503,$B50,采购进货!$B$4:$B$1503,"&gt;="&amp;DATE(年度,6,1),采购进货!$B$4:$B$1503,"&lt;"&amp;DATE(年度,6+1,1)))</f>
        <v>0</v>
      </c>
      <c r="BR50" s="234">
        <f>BM50+BP50</f>
        <v>0</v>
      </c>
      <c r="BS50" s="235">
        <f>BN50+BQ50</f>
        <v>0</v>
      </c>
      <c r="BT50" s="222">
        <f>IF(AND(BR50&gt;0,BS50&gt;0),BS50/BR50,N($E50))</f>
        <v>128</v>
      </c>
      <c r="BU50" s="220">
        <f>IF($B50="",0,SUMIFS(出库明细!$E$4:$E$3003,出库明细!$D$4:$D$3003,$B50,出库明细!$B$4:$B$3003,"&gt;="&amp;DATE(年度,6,1),出库明细!$B$4:$B$3003,"&lt;"&amp;DATE(年度,6+1,1)))</f>
        <v>0</v>
      </c>
      <c r="BV50" s="186">
        <f>BU50*BT50</f>
        <v>0</v>
      </c>
      <c r="BW50" s="220">
        <f>_辅助!BR48</f>
        <v>0</v>
      </c>
      <c r="BX50" s="186">
        <f>_辅助!AH48</f>
        <v>0</v>
      </c>
      <c r="BY50" s="221">
        <f>BR50-BU50-BW50</f>
        <v>0</v>
      </c>
      <c r="BZ50" s="187">
        <f>BS50-BV50-BX50</f>
        <v>0</v>
      </c>
      <c r="CA50" s="236">
        <f>IF(AND(BR50&gt;0,BS50&gt;0),0,BV50)</f>
        <v>0</v>
      </c>
      <c r="CB50" s="220">
        <f>IF($B50="",0,SUMIFS(采购进货!$E$4:$E$1503,采购进货!$D$4:$D$1503,$B50,采购进货!$B$4:$B$1503,"&gt;="&amp;DATE(年度,7,1),采购进货!$B$4:$B$1503,"&lt;"&amp;DATE(年度,7+1,1))+SUMIFS(采购进货!$H$4:$H$1503,采购进货!$D$4:$D$1503,$B50,采购进货!$B$4:$B$1503,"&gt;="&amp;DATE(年度,7,1),采购进货!$B$4:$B$1503,"&lt;"&amp;DATE(年度,7+1,1)))</f>
        <v>0</v>
      </c>
      <c r="CC50" s="186">
        <f>IF($B50="",0,SUMIFS(采购进货!$G$4:$G$1503,采购进货!$D$4:$D$1503,$B50,采购进货!$B$4:$B$1503,"&gt;="&amp;DATE(年度,7,1),采购进货!$B$4:$B$1503,"&lt;"&amp;DATE(年度,7+1,1)))</f>
        <v>0</v>
      </c>
      <c r="CD50" s="234">
        <f>BY50+CB50</f>
        <v>0</v>
      </c>
      <c r="CE50" s="235">
        <f>BZ50+CC50</f>
        <v>0</v>
      </c>
      <c r="CF50" s="222">
        <f>IF(AND(CD50&gt;0,CE50&gt;0),CE50/CD50,N($E50))</f>
        <v>128</v>
      </c>
      <c r="CG50" s="220">
        <f>IF($B50="",0,SUMIFS(出库明细!$E$4:$E$3003,出库明细!$D$4:$D$3003,$B50,出库明细!$B$4:$B$3003,"&gt;="&amp;DATE(年度,7,1),出库明细!$B$4:$B$3003,"&lt;"&amp;DATE(年度,7+1,1)))</f>
        <v>0</v>
      </c>
      <c r="CH50" s="186">
        <f>CG50*CF50</f>
        <v>0</v>
      </c>
      <c r="CI50" s="220">
        <f>_辅助!BS48</f>
        <v>0</v>
      </c>
      <c r="CJ50" s="186">
        <f>_辅助!AI48</f>
        <v>0</v>
      </c>
      <c r="CK50" s="221">
        <f>CD50-CG50-CI50</f>
        <v>0</v>
      </c>
      <c r="CL50" s="187">
        <f>CE50-CH50-CJ50</f>
        <v>0</v>
      </c>
      <c r="CM50" s="236">
        <f>IF(AND(CD50&gt;0,CE50&gt;0),0,CH50)</f>
        <v>0</v>
      </c>
      <c r="CN50" s="220">
        <f>IF($B50="",0,SUMIFS(采购进货!$E$4:$E$1503,采购进货!$D$4:$D$1503,$B50,采购进货!$B$4:$B$1503,"&gt;="&amp;DATE(年度,8,1),采购进货!$B$4:$B$1503,"&lt;"&amp;DATE(年度,8+1,1))+SUMIFS(采购进货!$H$4:$H$1503,采购进货!$D$4:$D$1503,$B50,采购进货!$B$4:$B$1503,"&gt;="&amp;DATE(年度,8,1),采购进货!$B$4:$B$1503,"&lt;"&amp;DATE(年度,8+1,1)))</f>
        <v>0</v>
      </c>
      <c r="CO50" s="186">
        <f>IF($B50="",0,SUMIFS(采购进货!$G$4:$G$1503,采购进货!$D$4:$D$1503,$B50,采购进货!$B$4:$B$1503,"&gt;="&amp;DATE(年度,8,1),采购进货!$B$4:$B$1503,"&lt;"&amp;DATE(年度,8+1,1)))</f>
        <v>0</v>
      </c>
      <c r="CP50" s="234">
        <f>CK50+CN50</f>
        <v>0</v>
      </c>
      <c r="CQ50" s="235">
        <f>CL50+CO50</f>
        <v>0</v>
      </c>
      <c r="CR50" s="222">
        <f>IF(AND(CP50&gt;0,CQ50&gt;0),CQ50/CP50,N($E50))</f>
        <v>128</v>
      </c>
      <c r="CS50" s="220">
        <f>IF($B50="",0,SUMIFS(出库明细!$E$4:$E$3003,出库明细!$D$4:$D$3003,$B50,出库明细!$B$4:$B$3003,"&gt;="&amp;DATE(年度,8,1),出库明细!$B$4:$B$3003,"&lt;"&amp;DATE(年度,8+1,1)))</f>
        <v>0</v>
      </c>
      <c r="CT50" s="186">
        <f>CS50*CR50</f>
        <v>0</v>
      </c>
      <c r="CU50" s="220">
        <f>_辅助!BT48</f>
        <v>3.1</v>
      </c>
      <c r="CV50" s="186">
        <f>_辅助!AJ48</f>
        <v>396.8</v>
      </c>
      <c r="CW50" s="221">
        <f>CP50-CS50-CU50</f>
        <v>-3.1</v>
      </c>
      <c r="CX50" s="187">
        <f>CQ50-CT50-CV50</f>
        <v>-396.8</v>
      </c>
      <c r="CY50" s="236">
        <f>IF(AND(CP50&gt;0,CQ50&gt;0),0,CT50)</f>
        <v>0</v>
      </c>
      <c r="CZ50" s="220">
        <f>IF($B50="",0,SUMIFS(采购进货!$E$4:$E$1503,采购进货!$D$4:$D$1503,$B50,采购进货!$B$4:$B$1503,"&gt;="&amp;DATE(年度,9,1),采购进货!$B$4:$B$1503,"&lt;"&amp;DATE(年度,9+1,1))+SUMIFS(采购进货!$H$4:$H$1503,采购进货!$D$4:$D$1503,$B50,采购进货!$B$4:$B$1503,"&gt;="&amp;DATE(年度,9,1),采购进货!$B$4:$B$1503,"&lt;"&amp;DATE(年度,9+1,1)))</f>
        <v>0</v>
      </c>
      <c r="DA50" s="186">
        <f>IF($B50="",0,SUMIFS(采购进货!$G$4:$G$1503,采购进货!$D$4:$D$1503,$B50,采购进货!$B$4:$B$1503,"&gt;="&amp;DATE(年度,9,1),采购进货!$B$4:$B$1503,"&lt;"&amp;DATE(年度,9+1,1)))</f>
        <v>0</v>
      </c>
      <c r="DB50" s="234">
        <f>CW50+CZ50</f>
        <v>-3.1</v>
      </c>
      <c r="DC50" s="235">
        <f>CX50+DA50</f>
        <v>-396.8</v>
      </c>
      <c r="DD50" s="222">
        <f>IF(AND(DB50&gt;0,DC50&gt;0),DC50/DB50,N($E50))</f>
        <v>128</v>
      </c>
      <c r="DE50" s="220">
        <f>IF($B50="",0,SUMIFS(出库明细!$E$4:$E$3003,出库明细!$D$4:$D$3003,$B50,出库明细!$B$4:$B$3003,"&gt;="&amp;DATE(年度,9,1),出库明细!$B$4:$B$3003,"&lt;"&amp;DATE(年度,9+1,1)))</f>
        <v>0</v>
      </c>
      <c r="DF50" s="186">
        <f>DE50*DD50</f>
        <v>0</v>
      </c>
      <c r="DG50" s="220">
        <f>_辅助!BU48</f>
        <v>0</v>
      </c>
      <c r="DH50" s="186">
        <f>_辅助!AK48</f>
        <v>0</v>
      </c>
      <c r="DI50" s="221">
        <f>DB50-DE50-DG50</f>
        <v>-3.1</v>
      </c>
      <c r="DJ50" s="187">
        <f>DC50-DF50-DH50</f>
        <v>-396.8</v>
      </c>
      <c r="DK50" s="236">
        <f>IF(AND(DB50&gt;0,DC50&gt;0),0,DF50)</f>
        <v>0</v>
      </c>
      <c r="DL50" s="220">
        <f>IF($B50="",0,SUMIFS(采购进货!$E$4:$E$1503,采购进货!$D$4:$D$1503,$B50,采购进货!$B$4:$B$1503,"&gt;="&amp;DATE(年度,10,1),采购进货!$B$4:$B$1503,"&lt;"&amp;DATE(年度,10+1,1))+SUMIFS(采购进货!$H$4:$H$1503,采购进货!$D$4:$D$1503,$B50,采购进货!$B$4:$B$1503,"&gt;="&amp;DATE(年度,10,1),采购进货!$B$4:$B$1503,"&lt;"&amp;DATE(年度,10+1,1)))</f>
        <v>0</v>
      </c>
      <c r="DM50" s="186">
        <f>IF($B50="",0,SUMIFS(采购进货!$G$4:$G$1503,采购进货!$D$4:$D$1503,$B50,采购进货!$B$4:$B$1503,"&gt;="&amp;DATE(年度,10,1),采购进货!$B$4:$B$1503,"&lt;"&amp;DATE(年度,10+1,1)))</f>
        <v>0</v>
      </c>
      <c r="DN50" s="234">
        <f>DI50+DL50</f>
        <v>-3.1</v>
      </c>
      <c r="DO50" s="235">
        <f>DJ50+DM50</f>
        <v>-396.8</v>
      </c>
      <c r="DP50" s="222">
        <f>IF(AND(DN50&gt;0,DO50&gt;0),DO50/DN50,N($E50))</f>
        <v>128</v>
      </c>
      <c r="DQ50" s="220">
        <f>IF($B50="",0,SUMIFS(出库明细!$E$4:$E$3003,出库明细!$D$4:$D$3003,$B50,出库明细!$B$4:$B$3003,"&gt;="&amp;DATE(年度,10,1),出库明细!$B$4:$B$3003,"&lt;"&amp;DATE(年度,10+1,1)))</f>
        <v>0</v>
      </c>
      <c r="DR50" s="186">
        <f>DQ50*DP50</f>
        <v>0</v>
      </c>
      <c r="DS50" s="220">
        <f>_辅助!BV48</f>
        <v>0</v>
      </c>
      <c r="DT50" s="186">
        <f>_辅助!AL48</f>
        <v>0</v>
      </c>
      <c r="DU50" s="221">
        <f>DN50-DQ50-DS50</f>
        <v>-3.1</v>
      </c>
      <c r="DV50" s="187">
        <f>DO50-DR50-DT50</f>
        <v>-396.8</v>
      </c>
      <c r="DW50" s="236">
        <f>IF(AND(DN50&gt;0,DO50&gt;0),0,DR50)</f>
        <v>0</v>
      </c>
      <c r="DX50" s="220">
        <f>IF($B50="",0,SUMIFS(采购进货!$E$4:$E$1503,采购进货!$D$4:$D$1503,$B50,采购进货!$B$4:$B$1503,"&gt;="&amp;DATE(年度,11,1),采购进货!$B$4:$B$1503,"&lt;"&amp;DATE(年度,11+1,1))+SUMIFS(采购进货!$H$4:$H$1503,采购进货!$D$4:$D$1503,$B50,采购进货!$B$4:$B$1503,"&gt;="&amp;DATE(年度,11,1),采购进货!$B$4:$B$1503,"&lt;"&amp;DATE(年度,11+1,1)))</f>
        <v>0</v>
      </c>
      <c r="DY50" s="186">
        <f>IF($B50="",0,SUMIFS(采购进货!$G$4:$G$1503,采购进货!$D$4:$D$1503,$B50,采购进货!$B$4:$B$1503,"&gt;="&amp;DATE(年度,11,1),采购进货!$B$4:$B$1503,"&lt;"&amp;DATE(年度,11+1,1)))</f>
        <v>0</v>
      </c>
      <c r="DZ50" s="234">
        <f>DU50+DX50</f>
        <v>-3.1</v>
      </c>
      <c r="EA50" s="235">
        <f>DV50+DY50</f>
        <v>-396.8</v>
      </c>
      <c r="EB50" s="222">
        <f>IF(AND(DZ50&gt;0,EA50&gt;0),EA50/DZ50,N($E50))</f>
        <v>128</v>
      </c>
      <c r="EC50" s="220">
        <f>IF($B50="",0,SUMIFS(出库明细!$E$4:$E$3003,出库明细!$D$4:$D$3003,$B50,出库明细!$B$4:$B$3003,"&gt;="&amp;DATE(年度,11,1),出库明细!$B$4:$B$3003,"&lt;"&amp;DATE(年度,11+1,1)))</f>
        <v>0</v>
      </c>
      <c r="ED50" s="186">
        <f>EC50*EB50</f>
        <v>0</v>
      </c>
      <c r="EE50" s="220">
        <f>_辅助!BW48</f>
        <v>0</v>
      </c>
      <c r="EF50" s="186">
        <f>_辅助!AM48</f>
        <v>0</v>
      </c>
      <c r="EG50" s="221">
        <f>DZ50-EC50-EE50</f>
        <v>-3.1</v>
      </c>
      <c r="EH50" s="187">
        <f>EA50-ED50-EF50</f>
        <v>-396.8</v>
      </c>
      <c r="EI50" s="236">
        <f>IF(AND(DZ50&gt;0,EA50&gt;0),0,ED50)</f>
        <v>0</v>
      </c>
      <c r="EJ50" s="220">
        <f>IF($B50="",0,SUMIFS(采购进货!$E$4:$E$1503,采购进货!$D$4:$D$1503,$B50,采购进货!$B$4:$B$1503,"&gt;="&amp;DATE(年度,12,1),采购进货!$B$4:$B$1503,"&lt;"&amp;DATE(年度,12+1,1))+SUMIFS(采购进货!$H$4:$H$1503,采购进货!$D$4:$D$1503,$B50,采购进货!$B$4:$B$1503,"&gt;="&amp;DATE(年度,12,1),采购进货!$B$4:$B$1503,"&lt;"&amp;DATE(年度,12+1,1)))</f>
        <v>0</v>
      </c>
      <c r="EK50" s="186">
        <f>IF($B50="",0,SUMIFS(采购进货!$G$4:$G$1503,采购进货!$D$4:$D$1503,$B50,采购进货!$B$4:$B$1503,"&gt;="&amp;DATE(年度,12,1),采购进货!$B$4:$B$1503,"&lt;"&amp;DATE(年度,12+1,1)))</f>
        <v>0</v>
      </c>
      <c r="EL50" s="234">
        <f>EG50+EJ50</f>
        <v>-3.1</v>
      </c>
      <c r="EM50" s="235">
        <f>EH50+EK50</f>
        <v>-396.8</v>
      </c>
      <c r="EN50" s="222">
        <f>IF(AND(EL50&gt;0,EM50&gt;0),EM50/EL50,N($E50))</f>
        <v>128</v>
      </c>
      <c r="EO50" s="220">
        <f>IF($B50="",0,SUMIFS(出库明细!$E$4:$E$3003,出库明细!$D$4:$D$3003,$B50,出库明细!$B$4:$B$3003,"&gt;="&amp;DATE(年度,12,1),出库明细!$B$4:$B$3003,"&lt;"&amp;DATE(年度,12+1,1)))</f>
        <v>0</v>
      </c>
      <c r="EP50" s="186">
        <f>EO50*EN50</f>
        <v>0</v>
      </c>
      <c r="EQ50" s="220">
        <f>_辅助!BX48</f>
        <v>0</v>
      </c>
      <c r="ER50" s="186">
        <f>_辅助!AN48</f>
        <v>0</v>
      </c>
      <c r="ES50" s="221">
        <f>EL50-EO50-EQ50</f>
        <v>-3.1</v>
      </c>
      <c r="ET50" s="187">
        <f>EM50-EP50-ER50</f>
        <v>-396.8</v>
      </c>
      <c r="EU50" s="236">
        <f>IF(AND(EL50&gt;0,EM50&gt;0),0,EP50)</f>
        <v>0</v>
      </c>
    </row>
    <row r="51">
      <c r="A51" s="194">
        <f>IF(B51="","",ROW()-7)</f>
        <v>44</v>
      </c>
      <c r="B51" s="141" t="str">
        <f>IF(基础资料!E48="","",基础资料!E48&amp;"")</f>
        <v>艾精隆多味葵</v>
      </c>
      <c r="C51" s="230" t="str">
        <f>IF(基础资料!G48="","",基础资料!G48&amp;"")</f>
        <v>艾精隆多味葵</v>
      </c>
      <c r="D51" s="194">
        <f>IF(基础资料!I48="","",基础资料!I48)</f>
        <v>10</v>
      </c>
      <c r="E51" s="231">
        <f>IF(基础资料!J48="","",基础资料!J48)</f>
      </c>
      <c r="F51" s="232">
        <f>N(基础资料!L48)</f>
        <v>0</v>
      </c>
      <c r="G51" s="233">
        <f>IF(基础资料!N48="",0,基础资料!N48)</f>
        <v>0</v>
      </c>
      <c r="H51" s="220">
        <f>IF($B51="",0,SUMIFS(采购进货!$E$4:$E$1503,采购进货!$D$4:$D$1503,$B51,采购进货!$B$4:$B$1503,"&gt;="&amp;DATE(年度,1,1),采购进货!$B$4:$B$1503,"&lt;"&amp;DATE(年度,1+1,1))+SUMIFS(采购进货!$H$4:$H$1503,采购进货!$D$4:$D$1503,$B51,采购进货!$B$4:$B$1503,"&gt;="&amp;DATE(年度,1,1),采购进货!$B$4:$B$1503,"&lt;"&amp;DATE(年度,1+1,1)))</f>
        <v>0</v>
      </c>
      <c r="I51" s="186">
        <f>IF($B51="",0,SUMIFS(采购进货!$G$4:$G$1503,采购进货!$D$4:$D$1503,$B51,采购进货!$B$4:$B$1503,"&gt;="&amp;DATE(年度,1,1),采购进货!$B$4:$B$1503,"&lt;"&amp;DATE(年度,1+1,1)))</f>
        <v>0</v>
      </c>
      <c r="J51" s="234">
        <f>F51+H51</f>
        <v>0</v>
      </c>
      <c r="K51" s="235">
        <f>G51+I51</f>
        <v>0</v>
      </c>
      <c r="L51" s="222">
        <f>IF(AND(J51&gt;0,K51&gt;0),K51/J51,N($E51))</f>
        <v>0</v>
      </c>
      <c r="M51" s="220">
        <f>IF($B51="",0,SUMIFS(出库明细!$E$4:$E$3003,出库明细!$D$4:$D$3003,$B51,出库明细!$B$4:$B$3003,"&gt;="&amp;DATE(年度,1,1),出库明细!$B$4:$B$3003,"&lt;"&amp;DATE(年度,1+1,1)))</f>
        <v>0</v>
      </c>
      <c r="N51" s="186">
        <f>M51*L51</f>
        <v>0</v>
      </c>
      <c r="O51" s="220">
        <f>_辅助!BM49</f>
        <v>0</v>
      </c>
      <c r="P51" s="186">
        <f>_辅助!AC49</f>
        <v>0</v>
      </c>
      <c r="Q51" s="221">
        <f>J51-M51-O51</f>
        <v>0</v>
      </c>
      <c r="R51" s="187">
        <f>K51-N51-P51</f>
        <v>0</v>
      </c>
      <c r="S51" s="236">
        <f>IF(AND(J51&gt;0,K51&gt;0),0,N51)</f>
        <v>0</v>
      </c>
      <c r="T51" s="220">
        <f>IF($B51="",0,SUMIFS(采购进货!$E$4:$E$1503,采购进货!$D$4:$D$1503,$B51,采购进货!$B$4:$B$1503,"&gt;="&amp;DATE(年度,2,1),采购进货!$B$4:$B$1503,"&lt;"&amp;DATE(年度,2+1,1))+SUMIFS(采购进货!$H$4:$H$1503,采购进货!$D$4:$D$1503,$B51,采购进货!$B$4:$B$1503,"&gt;="&amp;DATE(年度,2,1),采购进货!$B$4:$B$1503,"&lt;"&amp;DATE(年度,2+1,1)))</f>
        <v>0</v>
      </c>
      <c r="U51" s="186">
        <f>IF($B51="",0,SUMIFS(采购进货!$G$4:$G$1503,采购进货!$D$4:$D$1503,$B51,采购进货!$B$4:$B$1503,"&gt;="&amp;DATE(年度,2,1),采购进货!$B$4:$B$1503,"&lt;"&amp;DATE(年度,2+1,1)))</f>
        <v>0</v>
      </c>
      <c r="V51" s="234">
        <f>Q51+T51</f>
        <v>0</v>
      </c>
      <c r="W51" s="235">
        <f>R51+U51</f>
        <v>0</v>
      </c>
      <c r="X51" s="222">
        <f>IF(AND(V51&gt;0,W51&gt;0),W51/V51,N($E51))</f>
        <v>0</v>
      </c>
      <c r="Y51" s="220">
        <f>IF($B51="",0,SUMIFS(出库明细!$E$4:$E$3003,出库明细!$D$4:$D$3003,$B51,出库明细!$B$4:$B$3003,"&gt;="&amp;DATE(年度,2,1),出库明细!$B$4:$B$3003,"&lt;"&amp;DATE(年度,2+1,1)))</f>
        <v>0</v>
      </c>
      <c r="Z51" s="186">
        <f>Y51*X51</f>
        <v>0</v>
      </c>
      <c r="AA51" s="220">
        <f>_辅助!BN49</f>
        <v>0</v>
      </c>
      <c r="AB51" s="186">
        <f>_辅助!AD49</f>
        <v>0</v>
      </c>
      <c r="AC51" s="221">
        <f>V51-Y51-AA51</f>
        <v>0</v>
      </c>
      <c r="AD51" s="187">
        <f>W51-Z51-AB51</f>
        <v>0</v>
      </c>
      <c r="AE51" s="236">
        <f>IF(AND(V51&gt;0,W51&gt;0),0,Z51)</f>
        <v>0</v>
      </c>
      <c r="AF51" s="220">
        <f>IF($B51="",0,SUMIFS(采购进货!$E$4:$E$1503,采购进货!$D$4:$D$1503,$B51,采购进货!$B$4:$B$1503,"&gt;="&amp;DATE(年度,3,1),采购进货!$B$4:$B$1503,"&lt;"&amp;DATE(年度,3+1,1))+SUMIFS(采购进货!$H$4:$H$1503,采购进货!$D$4:$D$1503,$B51,采购进货!$B$4:$B$1503,"&gt;="&amp;DATE(年度,3,1),采购进货!$B$4:$B$1503,"&lt;"&amp;DATE(年度,3+1,1)))</f>
        <v>0</v>
      </c>
      <c r="AG51" s="186">
        <f>IF($B51="",0,SUMIFS(采购进货!$G$4:$G$1503,采购进货!$D$4:$D$1503,$B51,采购进货!$B$4:$B$1503,"&gt;="&amp;DATE(年度,3,1),采购进货!$B$4:$B$1503,"&lt;"&amp;DATE(年度,3+1,1)))</f>
        <v>0</v>
      </c>
      <c r="AH51" s="234">
        <f>AC51+AF51</f>
        <v>0</v>
      </c>
      <c r="AI51" s="235">
        <f>AD51+AG51</f>
        <v>0</v>
      </c>
      <c r="AJ51" s="222">
        <f>IF(AND(AH51&gt;0,AI51&gt;0),AI51/AH51,N($E51))</f>
        <v>0</v>
      </c>
      <c r="AK51" s="220">
        <f>IF($B51="",0,SUMIFS(出库明细!$E$4:$E$3003,出库明细!$D$4:$D$3003,$B51,出库明细!$B$4:$B$3003,"&gt;="&amp;DATE(年度,3,1),出库明细!$B$4:$B$3003,"&lt;"&amp;DATE(年度,3+1,1)))</f>
        <v>0</v>
      </c>
      <c r="AL51" s="186">
        <f>AK51*AJ51</f>
        <v>0</v>
      </c>
      <c r="AM51" s="220">
        <f>_辅助!BO49</f>
        <v>0</v>
      </c>
      <c r="AN51" s="186">
        <f>_辅助!AE49</f>
        <v>0</v>
      </c>
      <c r="AO51" s="221">
        <f>AH51-AK51-AM51</f>
        <v>0</v>
      </c>
      <c r="AP51" s="187">
        <f>AI51-AL51-AN51</f>
        <v>0</v>
      </c>
      <c r="AQ51" s="236">
        <f>IF(AND(AH51&gt;0,AI51&gt;0),0,AL51)</f>
        <v>0</v>
      </c>
      <c r="AR51" s="220">
        <f>IF($B51="",0,SUMIFS(采购进货!$E$4:$E$1503,采购进货!$D$4:$D$1503,$B51,采购进货!$B$4:$B$1503,"&gt;="&amp;DATE(年度,4,1),采购进货!$B$4:$B$1503,"&lt;"&amp;DATE(年度,4+1,1))+SUMIFS(采购进货!$H$4:$H$1503,采购进货!$D$4:$D$1503,$B51,采购进货!$B$4:$B$1503,"&gt;="&amp;DATE(年度,4,1),采购进货!$B$4:$B$1503,"&lt;"&amp;DATE(年度,4+1,1)))</f>
        <v>0</v>
      </c>
      <c r="AS51" s="186">
        <f>IF($B51="",0,SUMIFS(采购进货!$G$4:$G$1503,采购进货!$D$4:$D$1503,$B51,采购进货!$B$4:$B$1503,"&gt;="&amp;DATE(年度,4,1),采购进货!$B$4:$B$1503,"&lt;"&amp;DATE(年度,4+1,1)))</f>
        <v>0</v>
      </c>
      <c r="AT51" s="234">
        <f>AO51+AR51</f>
        <v>0</v>
      </c>
      <c r="AU51" s="235">
        <f>AP51+AS51</f>
        <v>0</v>
      </c>
      <c r="AV51" s="222">
        <f>IF(AND(AT51&gt;0,AU51&gt;0),AU51/AT51,N($E51))</f>
        <v>0</v>
      </c>
      <c r="AW51" s="220">
        <f>IF($B51="",0,SUMIFS(出库明细!$E$4:$E$3003,出库明细!$D$4:$D$3003,$B51,出库明细!$B$4:$B$3003,"&gt;="&amp;DATE(年度,4,1),出库明细!$B$4:$B$3003,"&lt;"&amp;DATE(年度,4+1,1)))</f>
        <v>0</v>
      </c>
      <c r="AX51" s="186">
        <f>AW51*AV51</f>
        <v>0</v>
      </c>
      <c r="AY51" s="220">
        <f>_辅助!BP49</f>
        <v>0</v>
      </c>
      <c r="AZ51" s="186">
        <f>_辅助!AF49</f>
        <v>0</v>
      </c>
      <c r="BA51" s="221">
        <f>AT51-AW51-AY51</f>
        <v>0</v>
      </c>
      <c r="BB51" s="187">
        <f>AU51-AX51-AZ51</f>
        <v>0</v>
      </c>
      <c r="BC51" s="236">
        <f>IF(AND(AT51&gt;0,AU51&gt;0),0,AX51)</f>
        <v>0</v>
      </c>
      <c r="BD51" s="220">
        <f>IF($B51="",0,SUMIFS(采购进货!$E$4:$E$1503,采购进货!$D$4:$D$1503,$B51,采购进货!$B$4:$B$1503,"&gt;="&amp;DATE(年度,5,1),采购进货!$B$4:$B$1503,"&lt;"&amp;DATE(年度,5+1,1))+SUMIFS(采购进货!$H$4:$H$1503,采购进货!$D$4:$D$1503,$B51,采购进货!$B$4:$B$1503,"&gt;="&amp;DATE(年度,5,1),采购进货!$B$4:$B$1503,"&lt;"&amp;DATE(年度,5+1,1)))</f>
        <v>0</v>
      </c>
      <c r="BE51" s="186">
        <f>IF($B51="",0,SUMIFS(采购进货!$G$4:$G$1503,采购进货!$D$4:$D$1503,$B51,采购进货!$B$4:$B$1503,"&gt;="&amp;DATE(年度,5,1),采购进货!$B$4:$B$1503,"&lt;"&amp;DATE(年度,5+1,1)))</f>
        <v>0</v>
      </c>
      <c r="BF51" s="234">
        <f>BA51+BD51</f>
        <v>0</v>
      </c>
      <c r="BG51" s="235">
        <f>BB51+BE51</f>
        <v>0</v>
      </c>
      <c r="BH51" s="222">
        <f>IF(AND(BF51&gt;0,BG51&gt;0),BG51/BF51,N($E51))</f>
        <v>0</v>
      </c>
      <c r="BI51" s="220">
        <f>IF($B51="",0,SUMIFS(出库明细!$E$4:$E$3003,出库明细!$D$4:$D$3003,$B51,出库明细!$B$4:$B$3003,"&gt;="&amp;DATE(年度,5,1),出库明细!$B$4:$B$3003,"&lt;"&amp;DATE(年度,5+1,1)))</f>
        <v>0</v>
      </c>
      <c r="BJ51" s="186">
        <f>BI51*BH51</f>
        <v>0</v>
      </c>
      <c r="BK51" s="220">
        <f>_辅助!BQ49</f>
        <v>0</v>
      </c>
      <c r="BL51" s="186">
        <f>_辅助!AG49</f>
        <v>0</v>
      </c>
      <c r="BM51" s="221">
        <f>BF51-BI51-BK51</f>
        <v>0</v>
      </c>
      <c r="BN51" s="187">
        <f>BG51-BJ51-BL51</f>
        <v>0</v>
      </c>
      <c r="BO51" s="236">
        <f>IF(AND(BF51&gt;0,BG51&gt;0),0,BJ51)</f>
        <v>0</v>
      </c>
      <c r="BP51" s="220">
        <f>IF($B51="",0,SUMIFS(采购进货!$E$4:$E$1503,采购进货!$D$4:$D$1503,$B51,采购进货!$B$4:$B$1503,"&gt;="&amp;DATE(年度,6,1),采购进货!$B$4:$B$1503,"&lt;"&amp;DATE(年度,6+1,1))+SUMIFS(采购进货!$H$4:$H$1503,采购进货!$D$4:$D$1503,$B51,采购进货!$B$4:$B$1503,"&gt;="&amp;DATE(年度,6,1),采购进货!$B$4:$B$1503,"&lt;"&amp;DATE(年度,6+1,1)))</f>
        <v>0</v>
      </c>
      <c r="BQ51" s="186">
        <f>IF($B51="",0,SUMIFS(采购进货!$G$4:$G$1503,采购进货!$D$4:$D$1503,$B51,采购进货!$B$4:$B$1503,"&gt;="&amp;DATE(年度,6,1),采购进货!$B$4:$B$1503,"&lt;"&amp;DATE(年度,6+1,1)))</f>
        <v>0</v>
      </c>
      <c r="BR51" s="234">
        <f>BM51+BP51</f>
        <v>0</v>
      </c>
      <c r="BS51" s="235">
        <f>BN51+BQ51</f>
        <v>0</v>
      </c>
      <c r="BT51" s="222">
        <f>IF(AND(BR51&gt;0,BS51&gt;0),BS51/BR51,N($E51))</f>
        <v>0</v>
      </c>
      <c r="BU51" s="220">
        <f>IF($B51="",0,SUMIFS(出库明细!$E$4:$E$3003,出库明细!$D$4:$D$3003,$B51,出库明细!$B$4:$B$3003,"&gt;="&amp;DATE(年度,6,1),出库明细!$B$4:$B$3003,"&lt;"&amp;DATE(年度,6+1,1)))</f>
        <v>0</v>
      </c>
      <c r="BV51" s="186">
        <f>BU51*BT51</f>
        <v>0</v>
      </c>
      <c r="BW51" s="220">
        <f>_辅助!BR49</f>
        <v>0</v>
      </c>
      <c r="BX51" s="186">
        <f>_辅助!AH49</f>
        <v>0</v>
      </c>
      <c r="BY51" s="221">
        <f>BR51-BU51-BW51</f>
        <v>0</v>
      </c>
      <c r="BZ51" s="187">
        <f>BS51-BV51-BX51</f>
        <v>0</v>
      </c>
      <c r="CA51" s="236">
        <f>IF(AND(BR51&gt;0,BS51&gt;0),0,BV51)</f>
        <v>0</v>
      </c>
      <c r="CB51" s="220">
        <f>IF($B51="",0,SUMIFS(采购进货!$E$4:$E$1503,采购进货!$D$4:$D$1503,$B51,采购进货!$B$4:$B$1503,"&gt;="&amp;DATE(年度,7,1),采购进货!$B$4:$B$1503,"&lt;"&amp;DATE(年度,7+1,1))+SUMIFS(采购进货!$H$4:$H$1503,采购进货!$D$4:$D$1503,$B51,采购进货!$B$4:$B$1503,"&gt;="&amp;DATE(年度,7,1),采购进货!$B$4:$B$1503,"&lt;"&amp;DATE(年度,7+1,1)))</f>
        <v>0</v>
      </c>
      <c r="CC51" s="186">
        <f>IF($B51="",0,SUMIFS(采购进货!$G$4:$G$1503,采购进货!$D$4:$D$1503,$B51,采购进货!$B$4:$B$1503,"&gt;="&amp;DATE(年度,7,1),采购进货!$B$4:$B$1503,"&lt;"&amp;DATE(年度,7+1,1)))</f>
        <v>0</v>
      </c>
      <c r="CD51" s="234">
        <f>BY51+CB51</f>
        <v>0</v>
      </c>
      <c r="CE51" s="235">
        <f>BZ51+CC51</f>
        <v>0</v>
      </c>
      <c r="CF51" s="222">
        <f>IF(AND(CD51&gt;0,CE51&gt;0),CE51/CD51,N($E51))</f>
        <v>0</v>
      </c>
      <c r="CG51" s="220">
        <f>IF($B51="",0,SUMIFS(出库明细!$E$4:$E$3003,出库明细!$D$4:$D$3003,$B51,出库明细!$B$4:$B$3003,"&gt;="&amp;DATE(年度,7,1),出库明细!$B$4:$B$3003,"&lt;"&amp;DATE(年度,7+1,1)))</f>
        <v>0</v>
      </c>
      <c r="CH51" s="186">
        <f>CG51*CF51</f>
        <v>0</v>
      </c>
      <c r="CI51" s="220">
        <f>_辅助!BS49</f>
        <v>0</v>
      </c>
      <c r="CJ51" s="186">
        <f>_辅助!AI49</f>
        <v>0</v>
      </c>
      <c r="CK51" s="221">
        <f>CD51-CG51-CI51</f>
        <v>0</v>
      </c>
      <c r="CL51" s="187">
        <f>CE51-CH51-CJ51</f>
        <v>0</v>
      </c>
      <c r="CM51" s="236">
        <f>IF(AND(CD51&gt;0,CE51&gt;0),0,CH51)</f>
        <v>0</v>
      </c>
      <c r="CN51" s="220">
        <f>IF($B51="",0,SUMIFS(采购进货!$E$4:$E$1503,采购进货!$D$4:$D$1503,$B51,采购进货!$B$4:$B$1503,"&gt;="&amp;DATE(年度,8,1),采购进货!$B$4:$B$1503,"&lt;"&amp;DATE(年度,8+1,1))+SUMIFS(采购进货!$H$4:$H$1503,采购进货!$D$4:$D$1503,$B51,采购进货!$B$4:$B$1503,"&gt;="&amp;DATE(年度,8,1),采购进货!$B$4:$B$1503,"&lt;"&amp;DATE(年度,8+1,1)))</f>
        <v>0</v>
      </c>
      <c r="CO51" s="186">
        <f>IF($B51="",0,SUMIFS(采购进货!$G$4:$G$1503,采购进货!$D$4:$D$1503,$B51,采购进货!$B$4:$B$1503,"&gt;="&amp;DATE(年度,8,1),采购进货!$B$4:$B$1503,"&lt;"&amp;DATE(年度,8+1,1)))</f>
        <v>0</v>
      </c>
      <c r="CP51" s="234">
        <f>CK51+CN51</f>
        <v>0</v>
      </c>
      <c r="CQ51" s="235">
        <f>CL51+CO51</f>
        <v>0</v>
      </c>
      <c r="CR51" s="222">
        <f>IF(AND(CP51&gt;0,CQ51&gt;0),CQ51/CP51,N($E51))</f>
        <v>0</v>
      </c>
      <c r="CS51" s="220">
        <f>IF($B51="",0,SUMIFS(出库明细!$E$4:$E$3003,出库明细!$D$4:$D$3003,$B51,出库明细!$B$4:$B$3003,"&gt;="&amp;DATE(年度,8,1),出库明细!$B$4:$B$3003,"&lt;"&amp;DATE(年度,8+1,1)))</f>
        <v>0</v>
      </c>
      <c r="CT51" s="186">
        <f>CS51*CR51</f>
        <v>0</v>
      </c>
      <c r="CU51" s="220">
        <f>_辅助!BT49</f>
        <v>0.1</v>
      </c>
      <c r="CV51" s="186">
        <f>_辅助!AJ49</f>
        <v>95</v>
      </c>
      <c r="CW51" s="221">
        <f>CP51-CS51-CU51</f>
        <v>-0.1</v>
      </c>
      <c r="CX51" s="187">
        <f>CQ51-CT51-CV51</f>
        <v>-95</v>
      </c>
      <c r="CY51" s="236">
        <f>IF(AND(CP51&gt;0,CQ51&gt;0),0,CT51)</f>
        <v>0</v>
      </c>
      <c r="CZ51" s="220">
        <f>IF($B51="",0,SUMIFS(采购进货!$E$4:$E$1503,采购进货!$D$4:$D$1503,$B51,采购进货!$B$4:$B$1503,"&gt;="&amp;DATE(年度,9,1),采购进货!$B$4:$B$1503,"&lt;"&amp;DATE(年度,9+1,1))+SUMIFS(采购进货!$H$4:$H$1503,采购进货!$D$4:$D$1503,$B51,采购进货!$B$4:$B$1503,"&gt;="&amp;DATE(年度,9,1),采购进货!$B$4:$B$1503,"&lt;"&amp;DATE(年度,9+1,1)))</f>
        <v>0</v>
      </c>
      <c r="DA51" s="186">
        <f>IF($B51="",0,SUMIFS(采购进货!$G$4:$G$1503,采购进货!$D$4:$D$1503,$B51,采购进货!$B$4:$B$1503,"&gt;="&amp;DATE(年度,9,1),采购进货!$B$4:$B$1503,"&lt;"&amp;DATE(年度,9+1,1)))</f>
        <v>0</v>
      </c>
      <c r="DB51" s="234">
        <f>CW51+CZ51</f>
        <v>-0.1</v>
      </c>
      <c r="DC51" s="235">
        <f>CX51+DA51</f>
        <v>-95</v>
      </c>
      <c r="DD51" s="222">
        <f>IF(AND(DB51&gt;0,DC51&gt;0),DC51/DB51,N($E51))</f>
        <v>0</v>
      </c>
      <c r="DE51" s="220">
        <f>IF($B51="",0,SUMIFS(出库明细!$E$4:$E$3003,出库明细!$D$4:$D$3003,$B51,出库明细!$B$4:$B$3003,"&gt;="&amp;DATE(年度,9,1),出库明细!$B$4:$B$3003,"&lt;"&amp;DATE(年度,9+1,1)))</f>
        <v>0</v>
      </c>
      <c r="DF51" s="186">
        <f>DE51*DD51</f>
        <v>0</v>
      </c>
      <c r="DG51" s="220">
        <f>_辅助!BU49</f>
        <v>0</v>
      </c>
      <c r="DH51" s="186">
        <f>_辅助!AK49</f>
        <v>0</v>
      </c>
      <c r="DI51" s="221">
        <f>DB51-DE51-DG51</f>
        <v>-0.1</v>
      </c>
      <c r="DJ51" s="187">
        <f>DC51-DF51-DH51</f>
        <v>-95</v>
      </c>
      <c r="DK51" s="236">
        <f>IF(AND(DB51&gt;0,DC51&gt;0),0,DF51)</f>
        <v>0</v>
      </c>
      <c r="DL51" s="220">
        <f>IF($B51="",0,SUMIFS(采购进货!$E$4:$E$1503,采购进货!$D$4:$D$1503,$B51,采购进货!$B$4:$B$1503,"&gt;="&amp;DATE(年度,10,1),采购进货!$B$4:$B$1503,"&lt;"&amp;DATE(年度,10+1,1))+SUMIFS(采购进货!$H$4:$H$1503,采购进货!$D$4:$D$1503,$B51,采购进货!$B$4:$B$1503,"&gt;="&amp;DATE(年度,10,1),采购进货!$B$4:$B$1503,"&lt;"&amp;DATE(年度,10+1,1)))</f>
        <v>0</v>
      </c>
      <c r="DM51" s="186">
        <f>IF($B51="",0,SUMIFS(采购进货!$G$4:$G$1503,采购进货!$D$4:$D$1503,$B51,采购进货!$B$4:$B$1503,"&gt;="&amp;DATE(年度,10,1),采购进货!$B$4:$B$1503,"&lt;"&amp;DATE(年度,10+1,1)))</f>
        <v>0</v>
      </c>
      <c r="DN51" s="234">
        <f>DI51+DL51</f>
        <v>-0.1</v>
      </c>
      <c r="DO51" s="235">
        <f>DJ51+DM51</f>
        <v>-95</v>
      </c>
      <c r="DP51" s="222">
        <f>IF(AND(DN51&gt;0,DO51&gt;0),DO51/DN51,N($E51))</f>
        <v>0</v>
      </c>
      <c r="DQ51" s="220">
        <f>IF($B51="",0,SUMIFS(出库明细!$E$4:$E$3003,出库明细!$D$4:$D$3003,$B51,出库明细!$B$4:$B$3003,"&gt;="&amp;DATE(年度,10,1),出库明细!$B$4:$B$3003,"&lt;"&amp;DATE(年度,10+1,1)))</f>
        <v>0</v>
      </c>
      <c r="DR51" s="186">
        <f>DQ51*DP51</f>
        <v>0</v>
      </c>
      <c r="DS51" s="220">
        <f>_辅助!BV49</f>
        <v>0</v>
      </c>
      <c r="DT51" s="186">
        <f>_辅助!AL49</f>
        <v>0</v>
      </c>
      <c r="DU51" s="221">
        <f>DN51-DQ51-DS51</f>
        <v>-0.1</v>
      </c>
      <c r="DV51" s="187">
        <f>DO51-DR51-DT51</f>
        <v>-95</v>
      </c>
      <c r="DW51" s="236">
        <f>IF(AND(DN51&gt;0,DO51&gt;0),0,DR51)</f>
        <v>0</v>
      </c>
      <c r="DX51" s="220">
        <f>IF($B51="",0,SUMIFS(采购进货!$E$4:$E$1503,采购进货!$D$4:$D$1503,$B51,采购进货!$B$4:$B$1503,"&gt;="&amp;DATE(年度,11,1),采购进货!$B$4:$B$1503,"&lt;"&amp;DATE(年度,11+1,1))+SUMIFS(采购进货!$H$4:$H$1503,采购进货!$D$4:$D$1503,$B51,采购进货!$B$4:$B$1503,"&gt;="&amp;DATE(年度,11,1),采购进货!$B$4:$B$1503,"&lt;"&amp;DATE(年度,11+1,1)))</f>
        <v>0</v>
      </c>
      <c r="DY51" s="186">
        <f>IF($B51="",0,SUMIFS(采购进货!$G$4:$G$1503,采购进货!$D$4:$D$1503,$B51,采购进货!$B$4:$B$1503,"&gt;="&amp;DATE(年度,11,1),采购进货!$B$4:$B$1503,"&lt;"&amp;DATE(年度,11+1,1)))</f>
        <v>0</v>
      </c>
      <c r="DZ51" s="234">
        <f>DU51+DX51</f>
        <v>-0.1</v>
      </c>
      <c r="EA51" s="235">
        <f>DV51+DY51</f>
        <v>-95</v>
      </c>
      <c r="EB51" s="222">
        <f>IF(AND(DZ51&gt;0,EA51&gt;0),EA51/DZ51,N($E51))</f>
        <v>0</v>
      </c>
      <c r="EC51" s="220">
        <f>IF($B51="",0,SUMIFS(出库明细!$E$4:$E$3003,出库明细!$D$4:$D$3003,$B51,出库明细!$B$4:$B$3003,"&gt;="&amp;DATE(年度,11,1),出库明细!$B$4:$B$3003,"&lt;"&amp;DATE(年度,11+1,1)))</f>
        <v>0</v>
      </c>
      <c r="ED51" s="186">
        <f>EC51*EB51</f>
        <v>0</v>
      </c>
      <c r="EE51" s="220">
        <f>_辅助!BW49</f>
        <v>0</v>
      </c>
      <c r="EF51" s="186">
        <f>_辅助!AM49</f>
        <v>0</v>
      </c>
      <c r="EG51" s="221">
        <f>DZ51-EC51-EE51</f>
        <v>-0.1</v>
      </c>
      <c r="EH51" s="187">
        <f>EA51-ED51-EF51</f>
        <v>-95</v>
      </c>
      <c r="EI51" s="236">
        <f>IF(AND(DZ51&gt;0,EA51&gt;0),0,ED51)</f>
        <v>0</v>
      </c>
      <c r="EJ51" s="220">
        <f>IF($B51="",0,SUMIFS(采购进货!$E$4:$E$1503,采购进货!$D$4:$D$1503,$B51,采购进货!$B$4:$B$1503,"&gt;="&amp;DATE(年度,12,1),采购进货!$B$4:$B$1503,"&lt;"&amp;DATE(年度,12+1,1))+SUMIFS(采购进货!$H$4:$H$1503,采购进货!$D$4:$D$1503,$B51,采购进货!$B$4:$B$1503,"&gt;="&amp;DATE(年度,12,1),采购进货!$B$4:$B$1503,"&lt;"&amp;DATE(年度,12+1,1)))</f>
        <v>0</v>
      </c>
      <c r="EK51" s="186">
        <f>IF($B51="",0,SUMIFS(采购进货!$G$4:$G$1503,采购进货!$D$4:$D$1503,$B51,采购进货!$B$4:$B$1503,"&gt;="&amp;DATE(年度,12,1),采购进货!$B$4:$B$1503,"&lt;"&amp;DATE(年度,12+1,1)))</f>
        <v>0</v>
      </c>
      <c r="EL51" s="234">
        <f>EG51+EJ51</f>
        <v>-0.1</v>
      </c>
      <c r="EM51" s="235">
        <f>EH51+EK51</f>
        <v>-95</v>
      </c>
      <c r="EN51" s="222">
        <f>IF(AND(EL51&gt;0,EM51&gt;0),EM51/EL51,N($E51))</f>
        <v>0</v>
      </c>
      <c r="EO51" s="220">
        <f>IF($B51="",0,SUMIFS(出库明细!$E$4:$E$3003,出库明细!$D$4:$D$3003,$B51,出库明细!$B$4:$B$3003,"&gt;="&amp;DATE(年度,12,1),出库明细!$B$4:$B$3003,"&lt;"&amp;DATE(年度,12+1,1)))</f>
        <v>0</v>
      </c>
      <c r="EP51" s="186">
        <f>EO51*EN51</f>
        <v>0</v>
      </c>
      <c r="EQ51" s="220">
        <f>_辅助!BX49</f>
        <v>0</v>
      </c>
      <c r="ER51" s="186">
        <f>_辅助!AN49</f>
        <v>0</v>
      </c>
      <c r="ES51" s="221">
        <f>EL51-EO51-EQ51</f>
        <v>-0.1</v>
      </c>
      <c r="ET51" s="187">
        <f>EM51-EP51-ER51</f>
        <v>-95</v>
      </c>
      <c r="EU51" s="236">
        <f>IF(AND(EL51&gt;0,EM51&gt;0),0,EP51)</f>
        <v>0</v>
      </c>
    </row>
    <row r="52">
      <c r="A52" s="194">
        <f>IF(B52="","",ROW()-7)</f>
      </c>
      <c r="B52" s="141">
        <f>IF(基础资料!E49="","",基础资料!E49&amp;"")</f>
      </c>
      <c r="C52" s="230">
        <f>IF(基础资料!G49="","",基础资料!G49&amp;"")</f>
      </c>
      <c r="D52" s="194">
        <f>IF(基础资料!I49="","",基础资料!I49)</f>
      </c>
      <c r="E52" s="231">
        <f>IF(基础资料!J49="","",基础资料!J49)</f>
      </c>
      <c r="F52" s="232">
        <f>N(基础资料!L49)</f>
        <v>0</v>
      </c>
      <c r="G52" s="233">
        <f>IF(基础资料!N49="",0,基础资料!N49)</f>
        <v>0</v>
      </c>
      <c r="H52" s="220">
        <f>IF($B52="",0,SUMIFS(采购进货!$E$4:$E$1503,采购进货!$D$4:$D$1503,$B52,采购进货!$B$4:$B$1503,"&gt;="&amp;DATE(年度,1,1),采购进货!$B$4:$B$1503,"&lt;"&amp;DATE(年度,1+1,1))+SUMIFS(采购进货!$H$4:$H$1503,采购进货!$D$4:$D$1503,$B52,采购进货!$B$4:$B$1503,"&gt;="&amp;DATE(年度,1,1),采购进货!$B$4:$B$1503,"&lt;"&amp;DATE(年度,1+1,1)))</f>
        <v>0</v>
      </c>
      <c r="I52" s="186">
        <f>IF($B52="",0,SUMIFS(采购进货!$G$4:$G$1503,采购进货!$D$4:$D$1503,$B52,采购进货!$B$4:$B$1503,"&gt;="&amp;DATE(年度,1,1),采购进货!$B$4:$B$1503,"&lt;"&amp;DATE(年度,1+1,1)))</f>
        <v>0</v>
      </c>
      <c r="J52" s="234">
        <f>F52+H52</f>
        <v>0</v>
      </c>
      <c r="K52" s="235">
        <f>G52+I52</f>
        <v>0</v>
      </c>
      <c r="L52" s="222">
        <f>IF(AND(J52&gt;0,K52&gt;0),K52/J52,N($E52))</f>
        <v>0</v>
      </c>
      <c r="M52" s="220">
        <f>IF($B52="",0,SUMIFS(出库明细!$E$4:$E$3003,出库明细!$D$4:$D$3003,$B52,出库明细!$B$4:$B$3003,"&gt;="&amp;DATE(年度,1,1),出库明细!$B$4:$B$3003,"&lt;"&amp;DATE(年度,1+1,1)))</f>
        <v>0</v>
      </c>
      <c r="N52" s="186">
        <f>M52*L52</f>
        <v>0</v>
      </c>
      <c r="O52" s="220">
        <f>_辅助!BM50</f>
        <v>0</v>
      </c>
      <c r="P52" s="186">
        <f>_辅助!AC50</f>
        <v>0</v>
      </c>
      <c r="Q52" s="221">
        <f>J52-M52-O52</f>
        <v>0</v>
      </c>
      <c r="R52" s="187">
        <f>K52-N52-P52</f>
        <v>0</v>
      </c>
      <c r="S52" s="236">
        <f>IF(AND(J52&gt;0,K52&gt;0),0,N52)</f>
        <v>0</v>
      </c>
      <c r="T52" s="220">
        <f>IF($B52="",0,SUMIFS(采购进货!$E$4:$E$1503,采购进货!$D$4:$D$1503,$B52,采购进货!$B$4:$B$1503,"&gt;="&amp;DATE(年度,2,1),采购进货!$B$4:$B$1503,"&lt;"&amp;DATE(年度,2+1,1))+SUMIFS(采购进货!$H$4:$H$1503,采购进货!$D$4:$D$1503,$B52,采购进货!$B$4:$B$1503,"&gt;="&amp;DATE(年度,2,1),采购进货!$B$4:$B$1503,"&lt;"&amp;DATE(年度,2+1,1)))</f>
        <v>0</v>
      </c>
      <c r="U52" s="186">
        <f>IF($B52="",0,SUMIFS(采购进货!$G$4:$G$1503,采购进货!$D$4:$D$1503,$B52,采购进货!$B$4:$B$1503,"&gt;="&amp;DATE(年度,2,1),采购进货!$B$4:$B$1503,"&lt;"&amp;DATE(年度,2+1,1)))</f>
        <v>0</v>
      </c>
      <c r="V52" s="234">
        <f>Q52+T52</f>
        <v>0</v>
      </c>
      <c r="W52" s="235">
        <f>R52+U52</f>
        <v>0</v>
      </c>
      <c r="X52" s="222">
        <f>IF(AND(V52&gt;0,W52&gt;0),W52/V52,N($E52))</f>
        <v>0</v>
      </c>
      <c r="Y52" s="220">
        <f>IF($B52="",0,SUMIFS(出库明细!$E$4:$E$3003,出库明细!$D$4:$D$3003,$B52,出库明细!$B$4:$B$3003,"&gt;="&amp;DATE(年度,2,1),出库明细!$B$4:$B$3003,"&lt;"&amp;DATE(年度,2+1,1)))</f>
        <v>0</v>
      </c>
      <c r="Z52" s="186">
        <f>Y52*X52</f>
        <v>0</v>
      </c>
      <c r="AA52" s="220">
        <f>_辅助!BN50</f>
        <v>0</v>
      </c>
      <c r="AB52" s="186">
        <f>_辅助!AD50</f>
        <v>0</v>
      </c>
      <c r="AC52" s="221">
        <f>V52-Y52-AA52</f>
        <v>0</v>
      </c>
      <c r="AD52" s="187">
        <f>W52-Z52-AB52</f>
        <v>0</v>
      </c>
      <c r="AE52" s="236">
        <f>IF(AND(V52&gt;0,W52&gt;0),0,Z52)</f>
        <v>0</v>
      </c>
      <c r="AF52" s="220">
        <f>IF($B52="",0,SUMIFS(采购进货!$E$4:$E$1503,采购进货!$D$4:$D$1503,$B52,采购进货!$B$4:$B$1503,"&gt;="&amp;DATE(年度,3,1),采购进货!$B$4:$B$1503,"&lt;"&amp;DATE(年度,3+1,1))+SUMIFS(采购进货!$H$4:$H$1503,采购进货!$D$4:$D$1503,$B52,采购进货!$B$4:$B$1503,"&gt;="&amp;DATE(年度,3,1),采购进货!$B$4:$B$1503,"&lt;"&amp;DATE(年度,3+1,1)))</f>
        <v>0</v>
      </c>
      <c r="AG52" s="186">
        <f>IF($B52="",0,SUMIFS(采购进货!$G$4:$G$1503,采购进货!$D$4:$D$1503,$B52,采购进货!$B$4:$B$1503,"&gt;="&amp;DATE(年度,3,1),采购进货!$B$4:$B$1503,"&lt;"&amp;DATE(年度,3+1,1)))</f>
        <v>0</v>
      </c>
      <c r="AH52" s="234">
        <f>AC52+AF52</f>
        <v>0</v>
      </c>
      <c r="AI52" s="235">
        <f>AD52+AG52</f>
        <v>0</v>
      </c>
      <c r="AJ52" s="222">
        <f>IF(AND(AH52&gt;0,AI52&gt;0),AI52/AH52,N($E52))</f>
        <v>0</v>
      </c>
      <c r="AK52" s="220">
        <f>IF($B52="",0,SUMIFS(出库明细!$E$4:$E$3003,出库明细!$D$4:$D$3003,$B52,出库明细!$B$4:$B$3003,"&gt;="&amp;DATE(年度,3,1),出库明细!$B$4:$B$3003,"&lt;"&amp;DATE(年度,3+1,1)))</f>
        <v>0</v>
      </c>
      <c r="AL52" s="186">
        <f>AK52*AJ52</f>
        <v>0</v>
      </c>
      <c r="AM52" s="220">
        <f>_辅助!BO50</f>
        <v>0</v>
      </c>
      <c r="AN52" s="186">
        <f>_辅助!AE50</f>
        <v>0</v>
      </c>
      <c r="AO52" s="221">
        <f>AH52-AK52-AM52</f>
        <v>0</v>
      </c>
      <c r="AP52" s="187">
        <f>AI52-AL52-AN52</f>
        <v>0</v>
      </c>
      <c r="AQ52" s="236">
        <f>IF(AND(AH52&gt;0,AI52&gt;0),0,AL52)</f>
        <v>0</v>
      </c>
      <c r="AR52" s="220">
        <f>IF($B52="",0,SUMIFS(采购进货!$E$4:$E$1503,采购进货!$D$4:$D$1503,$B52,采购进货!$B$4:$B$1503,"&gt;="&amp;DATE(年度,4,1),采购进货!$B$4:$B$1503,"&lt;"&amp;DATE(年度,4+1,1))+SUMIFS(采购进货!$H$4:$H$1503,采购进货!$D$4:$D$1503,$B52,采购进货!$B$4:$B$1503,"&gt;="&amp;DATE(年度,4,1),采购进货!$B$4:$B$1503,"&lt;"&amp;DATE(年度,4+1,1)))</f>
        <v>0</v>
      </c>
      <c r="AS52" s="186">
        <f>IF($B52="",0,SUMIFS(采购进货!$G$4:$G$1503,采购进货!$D$4:$D$1503,$B52,采购进货!$B$4:$B$1503,"&gt;="&amp;DATE(年度,4,1),采购进货!$B$4:$B$1503,"&lt;"&amp;DATE(年度,4+1,1)))</f>
        <v>0</v>
      </c>
      <c r="AT52" s="234">
        <f>AO52+AR52</f>
        <v>0</v>
      </c>
      <c r="AU52" s="235">
        <f>AP52+AS52</f>
        <v>0</v>
      </c>
      <c r="AV52" s="222">
        <f>IF(AND(AT52&gt;0,AU52&gt;0),AU52/AT52,N($E52))</f>
        <v>0</v>
      </c>
      <c r="AW52" s="220">
        <f>IF($B52="",0,SUMIFS(出库明细!$E$4:$E$3003,出库明细!$D$4:$D$3003,$B52,出库明细!$B$4:$B$3003,"&gt;="&amp;DATE(年度,4,1),出库明细!$B$4:$B$3003,"&lt;"&amp;DATE(年度,4+1,1)))</f>
        <v>0</v>
      </c>
      <c r="AX52" s="186">
        <f>AW52*AV52</f>
        <v>0</v>
      </c>
      <c r="AY52" s="220">
        <f>_辅助!BP50</f>
        <v>0</v>
      </c>
      <c r="AZ52" s="186">
        <f>_辅助!AF50</f>
        <v>0</v>
      </c>
      <c r="BA52" s="221">
        <f>AT52-AW52-AY52</f>
        <v>0</v>
      </c>
      <c r="BB52" s="187">
        <f>AU52-AX52-AZ52</f>
        <v>0</v>
      </c>
      <c r="BC52" s="236">
        <f>IF(AND(AT52&gt;0,AU52&gt;0),0,AX52)</f>
        <v>0</v>
      </c>
      <c r="BD52" s="220">
        <f>IF($B52="",0,SUMIFS(采购进货!$E$4:$E$1503,采购进货!$D$4:$D$1503,$B52,采购进货!$B$4:$B$1503,"&gt;="&amp;DATE(年度,5,1),采购进货!$B$4:$B$1503,"&lt;"&amp;DATE(年度,5+1,1))+SUMIFS(采购进货!$H$4:$H$1503,采购进货!$D$4:$D$1503,$B52,采购进货!$B$4:$B$1503,"&gt;="&amp;DATE(年度,5,1),采购进货!$B$4:$B$1503,"&lt;"&amp;DATE(年度,5+1,1)))</f>
        <v>0</v>
      </c>
      <c r="BE52" s="186">
        <f>IF($B52="",0,SUMIFS(采购进货!$G$4:$G$1503,采购进货!$D$4:$D$1503,$B52,采购进货!$B$4:$B$1503,"&gt;="&amp;DATE(年度,5,1),采购进货!$B$4:$B$1503,"&lt;"&amp;DATE(年度,5+1,1)))</f>
        <v>0</v>
      </c>
      <c r="BF52" s="234">
        <f>BA52+BD52</f>
        <v>0</v>
      </c>
      <c r="BG52" s="235">
        <f>BB52+BE52</f>
        <v>0</v>
      </c>
      <c r="BH52" s="222">
        <f>IF(AND(BF52&gt;0,BG52&gt;0),BG52/BF52,N($E52))</f>
        <v>0</v>
      </c>
      <c r="BI52" s="220">
        <f>IF($B52="",0,SUMIFS(出库明细!$E$4:$E$3003,出库明细!$D$4:$D$3003,$B52,出库明细!$B$4:$B$3003,"&gt;="&amp;DATE(年度,5,1),出库明细!$B$4:$B$3003,"&lt;"&amp;DATE(年度,5+1,1)))</f>
        <v>0</v>
      </c>
      <c r="BJ52" s="186">
        <f>BI52*BH52</f>
        <v>0</v>
      </c>
      <c r="BK52" s="220">
        <f>_辅助!BQ50</f>
        <v>0</v>
      </c>
      <c r="BL52" s="186">
        <f>_辅助!AG50</f>
        <v>0</v>
      </c>
      <c r="BM52" s="221">
        <f>BF52-BI52-BK52</f>
        <v>0</v>
      </c>
      <c r="BN52" s="187">
        <f>BG52-BJ52-BL52</f>
        <v>0</v>
      </c>
      <c r="BO52" s="236">
        <f>IF(AND(BF52&gt;0,BG52&gt;0),0,BJ52)</f>
        <v>0</v>
      </c>
      <c r="BP52" s="220">
        <f>IF($B52="",0,SUMIFS(采购进货!$E$4:$E$1503,采购进货!$D$4:$D$1503,$B52,采购进货!$B$4:$B$1503,"&gt;="&amp;DATE(年度,6,1),采购进货!$B$4:$B$1503,"&lt;"&amp;DATE(年度,6+1,1))+SUMIFS(采购进货!$H$4:$H$1503,采购进货!$D$4:$D$1503,$B52,采购进货!$B$4:$B$1503,"&gt;="&amp;DATE(年度,6,1),采购进货!$B$4:$B$1503,"&lt;"&amp;DATE(年度,6+1,1)))</f>
        <v>0</v>
      </c>
      <c r="BQ52" s="186">
        <f>IF($B52="",0,SUMIFS(采购进货!$G$4:$G$1503,采购进货!$D$4:$D$1503,$B52,采购进货!$B$4:$B$1503,"&gt;="&amp;DATE(年度,6,1),采购进货!$B$4:$B$1503,"&lt;"&amp;DATE(年度,6+1,1)))</f>
        <v>0</v>
      </c>
      <c r="BR52" s="234">
        <f>BM52+BP52</f>
        <v>0</v>
      </c>
      <c r="BS52" s="235">
        <f>BN52+BQ52</f>
        <v>0</v>
      </c>
      <c r="BT52" s="222">
        <f>IF(AND(BR52&gt;0,BS52&gt;0),BS52/BR52,N($E52))</f>
        <v>0</v>
      </c>
      <c r="BU52" s="220">
        <f>IF($B52="",0,SUMIFS(出库明细!$E$4:$E$3003,出库明细!$D$4:$D$3003,$B52,出库明细!$B$4:$B$3003,"&gt;="&amp;DATE(年度,6,1),出库明细!$B$4:$B$3003,"&lt;"&amp;DATE(年度,6+1,1)))</f>
        <v>0</v>
      </c>
      <c r="BV52" s="186">
        <f>BU52*BT52</f>
        <v>0</v>
      </c>
      <c r="BW52" s="220">
        <f>_辅助!BR50</f>
        <v>0</v>
      </c>
      <c r="BX52" s="186">
        <f>_辅助!AH50</f>
        <v>0</v>
      </c>
      <c r="BY52" s="221">
        <f>BR52-BU52-BW52</f>
        <v>0</v>
      </c>
      <c r="BZ52" s="187">
        <f>BS52-BV52-BX52</f>
        <v>0</v>
      </c>
      <c r="CA52" s="236">
        <f>IF(AND(BR52&gt;0,BS52&gt;0),0,BV52)</f>
        <v>0</v>
      </c>
      <c r="CB52" s="220">
        <f>IF($B52="",0,SUMIFS(采购进货!$E$4:$E$1503,采购进货!$D$4:$D$1503,$B52,采购进货!$B$4:$B$1503,"&gt;="&amp;DATE(年度,7,1),采购进货!$B$4:$B$1503,"&lt;"&amp;DATE(年度,7+1,1))+SUMIFS(采购进货!$H$4:$H$1503,采购进货!$D$4:$D$1503,$B52,采购进货!$B$4:$B$1503,"&gt;="&amp;DATE(年度,7,1),采购进货!$B$4:$B$1503,"&lt;"&amp;DATE(年度,7+1,1)))</f>
        <v>0</v>
      </c>
      <c r="CC52" s="186">
        <f>IF($B52="",0,SUMIFS(采购进货!$G$4:$G$1503,采购进货!$D$4:$D$1503,$B52,采购进货!$B$4:$B$1503,"&gt;="&amp;DATE(年度,7,1),采购进货!$B$4:$B$1503,"&lt;"&amp;DATE(年度,7+1,1)))</f>
        <v>0</v>
      </c>
      <c r="CD52" s="234">
        <f>BY52+CB52</f>
        <v>0</v>
      </c>
      <c r="CE52" s="235">
        <f>BZ52+CC52</f>
        <v>0</v>
      </c>
      <c r="CF52" s="222">
        <f>IF(AND(CD52&gt;0,CE52&gt;0),CE52/CD52,N($E52))</f>
        <v>0</v>
      </c>
      <c r="CG52" s="220">
        <f>IF($B52="",0,SUMIFS(出库明细!$E$4:$E$3003,出库明细!$D$4:$D$3003,$B52,出库明细!$B$4:$B$3003,"&gt;="&amp;DATE(年度,7,1),出库明细!$B$4:$B$3003,"&lt;"&amp;DATE(年度,7+1,1)))</f>
        <v>0</v>
      </c>
      <c r="CH52" s="186">
        <f>CG52*CF52</f>
        <v>0</v>
      </c>
      <c r="CI52" s="220">
        <f>_辅助!BS50</f>
        <v>0</v>
      </c>
      <c r="CJ52" s="186">
        <f>_辅助!AI50</f>
        <v>0</v>
      </c>
      <c r="CK52" s="221">
        <f>CD52-CG52-CI52</f>
        <v>0</v>
      </c>
      <c r="CL52" s="187">
        <f>CE52-CH52-CJ52</f>
        <v>0</v>
      </c>
      <c r="CM52" s="236">
        <f>IF(AND(CD52&gt;0,CE52&gt;0),0,CH52)</f>
        <v>0</v>
      </c>
      <c r="CN52" s="220">
        <f>IF($B52="",0,SUMIFS(采购进货!$E$4:$E$1503,采购进货!$D$4:$D$1503,$B52,采购进货!$B$4:$B$1503,"&gt;="&amp;DATE(年度,8,1),采购进货!$B$4:$B$1503,"&lt;"&amp;DATE(年度,8+1,1))+SUMIFS(采购进货!$H$4:$H$1503,采购进货!$D$4:$D$1503,$B52,采购进货!$B$4:$B$1503,"&gt;="&amp;DATE(年度,8,1),采购进货!$B$4:$B$1503,"&lt;"&amp;DATE(年度,8+1,1)))</f>
        <v>0</v>
      </c>
      <c r="CO52" s="186">
        <f>IF($B52="",0,SUMIFS(采购进货!$G$4:$G$1503,采购进货!$D$4:$D$1503,$B52,采购进货!$B$4:$B$1503,"&gt;="&amp;DATE(年度,8,1),采购进货!$B$4:$B$1503,"&lt;"&amp;DATE(年度,8+1,1)))</f>
        <v>0</v>
      </c>
      <c r="CP52" s="234">
        <f>CK52+CN52</f>
        <v>0</v>
      </c>
      <c r="CQ52" s="235">
        <f>CL52+CO52</f>
        <v>0</v>
      </c>
      <c r="CR52" s="222">
        <f>IF(AND(CP52&gt;0,CQ52&gt;0),CQ52/CP52,N($E52))</f>
        <v>0</v>
      </c>
      <c r="CS52" s="220">
        <f>IF($B52="",0,SUMIFS(出库明细!$E$4:$E$3003,出库明细!$D$4:$D$3003,$B52,出库明细!$B$4:$B$3003,"&gt;="&amp;DATE(年度,8,1),出库明细!$B$4:$B$3003,"&lt;"&amp;DATE(年度,8+1,1)))</f>
        <v>0</v>
      </c>
      <c r="CT52" s="186">
        <f>CS52*CR52</f>
        <v>0</v>
      </c>
      <c r="CU52" s="220">
        <f>_辅助!BT50</f>
        <v>0</v>
      </c>
      <c r="CV52" s="186">
        <f>_辅助!AJ50</f>
        <v>0</v>
      </c>
      <c r="CW52" s="221">
        <f>CP52-CS52-CU52</f>
        <v>0</v>
      </c>
      <c r="CX52" s="187">
        <f>CQ52-CT52-CV52</f>
        <v>0</v>
      </c>
      <c r="CY52" s="236">
        <f>IF(AND(CP52&gt;0,CQ52&gt;0),0,CT52)</f>
        <v>0</v>
      </c>
      <c r="CZ52" s="220">
        <f>IF($B52="",0,SUMIFS(采购进货!$E$4:$E$1503,采购进货!$D$4:$D$1503,$B52,采购进货!$B$4:$B$1503,"&gt;="&amp;DATE(年度,9,1),采购进货!$B$4:$B$1503,"&lt;"&amp;DATE(年度,9+1,1))+SUMIFS(采购进货!$H$4:$H$1503,采购进货!$D$4:$D$1503,$B52,采购进货!$B$4:$B$1503,"&gt;="&amp;DATE(年度,9,1),采购进货!$B$4:$B$1503,"&lt;"&amp;DATE(年度,9+1,1)))</f>
        <v>0</v>
      </c>
      <c r="DA52" s="186">
        <f>IF($B52="",0,SUMIFS(采购进货!$G$4:$G$1503,采购进货!$D$4:$D$1503,$B52,采购进货!$B$4:$B$1503,"&gt;="&amp;DATE(年度,9,1),采购进货!$B$4:$B$1503,"&lt;"&amp;DATE(年度,9+1,1)))</f>
        <v>0</v>
      </c>
      <c r="DB52" s="234">
        <f>CW52+CZ52</f>
        <v>0</v>
      </c>
      <c r="DC52" s="235">
        <f>CX52+DA52</f>
        <v>0</v>
      </c>
      <c r="DD52" s="222">
        <f>IF(AND(DB52&gt;0,DC52&gt;0),DC52/DB52,N($E52))</f>
        <v>0</v>
      </c>
      <c r="DE52" s="220">
        <f>IF($B52="",0,SUMIFS(出库明细!$E$4:$E$3003,出库明细!$D$4:$D$3003,$B52,出库明细!$B$4:$B$3003,"&gt;="&amp;DATE(年度,9,1),出库明细!$B$4:$B$3003,"&lt;"&amp;DATE(年度,9+1,1)))</f>
        <v>0</v>
      </c>
      <c r="DF52" s="186">
        <f>DE52*DD52</f>
        <v>0</v>
      </c>
      <c r="DG52" s="220">
        <f>_辅助!BU50</f>
        <v>0</v>
      </c>
      <c r="DH52" s="186">
        <f>_辅助!AK50</f>
        <v>0</v>
      </c>
      <c r="DI52" s="221">
        <f>DB52-DE52-DG52</f>
        <v>0</v>
      </c>
      <c r="DJ52" s="187">
        <f>DC52-DF52-DH52</f>
        <v>0</v>
      </c>
      <c r="DK52" s="236">
        <f>IF(AND(DB52&gt;0,DC52&gt;0),0,DF52)</f>
        <v>0</v>
      </c>
      <c r="DL52" s="220">
        <f>IF($B52="",0,SUMIFS(采购进货!$E$4:$E$1503,采购进货!$D$4:$D$1503,$B52,采购进货!$B$4:$B$1503,"&gt;="&amp;DATE(年度,10,1),采购进货!$B$4:$B$1503,"&lt;"&amp;DATE(年度,10+1,1))+SUMIFS(采购进货!$H$4:$H$1503,采购进货!$D$4:$D$1503,$B52,采购进货!$B$4:$B$1503,"&gt;="&amp;DATE(年度,10,1),采购进货!$B$4:$B$1503,"&lt;"&amp;DATE(年度,10+1,1)))</f>
        <v>0</v>
      </c>
      <c r="DM52" s="186">
        <f>IF($B52="",0,SUMIFS(采购进货!$G$4:$G$1503,采购进货!$D$4:$D$1503,$B52,采购进货!$B$4:$B$1503,"&gt;="&amp;DATE(年度,10,1),采购进货!$B$4:$B$1503,"&lt;"&amp;DATE(年度,10+1,1)))</f>
        <v>0</v>
      </c>
      <c r="DN52" s="234">
        <f>DI52+DL52</f>
        <v>0</v>
      </c>
      <c r="DO52" s="235">
        <f>DJ52+DM52</f>
        <v>0</v>
      </c>
      <c r="DP52" s="222">
        <f>IF(AND(DN52&gt;0,DO52&gt;0),DO52/DN52,N($E52))</f>
        <v>0</v>
      </c>
      <c r="DQ52" s="220">
        <f>IF($B52="",0,SUMIFS(出库明细!$E$4:$E$3003,出库明细!$D$4:$D$3003,$B52,出库明细!$B$4:$B$3003,"&gt;="&amp;DATE(年度,10,1),出库明细!$B$4:$B$3003,"&lt;"&amp;DATE(年度,10+1,1)))</f>
        <v>0</v>
      </c>
      <c r="DR52" s="186">
        <f>DQ52*DP52</f>
        <v>0</v>
      </c>
      <c r="DS52" s="220">
        <f>_辅助!BV50</f>
        <v>0</v>
      </c>
      <c r="DT52" s="186">
        <f>_辅助!AL50</f>
        <v>0</v>
      </c>
      <c r="DU52" s="221">
        <f>DN52-DQ52-DS52</f>
        <v>0</v>
      </c>
      <c r="DV52" s="187">
        <f>DO52-DR52-DT52</f>
        <v>0</v>
      </c>
      <c r="DW52" s="236">
        <f>IF(AND(DN52&gt;0,DO52&gt;0),0,DR52)</f>
        <v>0</v>
      </c>
      <c r="DX52" s="220">
        <f>IF($B52="",0,SUMIFS(采购进货!$E$4:$E$1503,采购进货!$D$4:$D$1503,$B52,采购进货!$B$4:$B$1503,"&gt;="&amp;DATE(年度,11,1),采购进货!$B$4:$B$1503,"&lt;"&amp;DATE(年度,11+1,1))+SUMIFS(采购进货!$H$4:$H$1503,采购进货!$D$4:$D$1503,$B52,采购进货!$B$4:$B$1503,"&gt;="&amp;DATE(年度,11,1),采购进货!$B$4:$B$1503,"&lt;"&amp;DATE(年度,11+1,1)))</f>
        <v>0</v>
      </c>
      <c r="DY52" s="186">
        <f>IF($B52="",0,SUMIFS(采购进货!$G$4:$G$1503,采购进货!$D$4:$D$1503,$B52,采购进货!$B$4:$B$1503,"&gt;="&amp;DATE(年度,11,1),采购进货!$B$4:$B$1503,"&lt;"&amp;DATE(年度,11+1,1)))</f>
        <v>0</v>
      </c>
      <c r="DZ52" s="234">
        <f>DU52+DX52</f>
        <v>0</v>
      </c>
      <c r="EA52" s="235">
        <f>DV52+DY52</f>
        <v>0</v>
      </c>
      <c r="EB52" s="222">
        <f>IF(AND(DZ52&gt;0,EA52&gt;0),EA52/DZ52,N($E52))</f>
        <v>0</v>
      </c>
      <c r="EC52" s="220">
        <f>IF($B52="",0,SUMIFS(出库明细!$E$4:$E$3003,出库明细!$D$4:$D$3003,$B52,出库明细!$B$4:$B$3003,"&gt;="&amp;DATE(年度,11,1),出库明细!$B$4:$B$3003,"&lt;"&amp;DATE(年度,11+1,1)))</f>
        <v>0</v>
      </c>
      <c r="ED52" s="186">
        <f>EC52*EB52</f>
        <v>0</v>
      </c>
      <c r="EE52" s="220">
        <f>_辅助!BW50</f>
        <v>0</v>
      </c>
      <c r="EF52" s="186">
        <f>_辅助!AM50</f>
        <v>0</v>
      </c>
      <c r="EG52" s="221">
        <f>DZ52-EC52-EE52</f>
        <v>0</v>
      </c>
      <c r="EH52" s="187">
        <f>EA52-ED52-EF52</f>
        <v>0</v>
      </c>
      <c r="EI52" s="236">
        <f>IF(AND(DZ52&gt;0,EA52&gt;0),0,ED52)</f>
        <v>0</v>
      </c>
      <c r="EJ52" s="220">
        <f>IF($B52="",0,SUMIFS(采购进货!$E$4:$E$1503,采购进货!$D$4:$D$1503,$B52,采购进货!$B$4:$B$1503,"&gt;="&amp;DATE(年度,12,1),采购进货!$B$4:$B$1503,"&lt;"&amp;DATE(年度,12+1,1))+SUMIFS(采购进货!$H$4:$H$1503,采购进货!$D$4:$D$1503,$B52,采购进货!$B$4:$B$1503,"&gt;="&amp;DATE(年度,12,1),采购进货!$B$4:$B$1503,"&lt;"&amp;DATE(年度,12+1,1)))</f>
        <v>0</v>
      </c>
      <c r="EK52" s="186">
        <f>IF($B52="",0,SUMIFS(采购进货!$G$4:$G$1503,采购进货!$D$4:$D$1503,$B52,采购进货!$B$4:$B$1503,"&gt;="&amp;DATE(年度,12,1),采购进货!$B$4:$B$1503,"&lt;"&amp;DATE(年度,12+1,1)))</f>
        <v>0</v>
      </c>
      <c r="EL52" s="234">
        <f>EG52+EJ52</f>
        <v>0</v>
      </c>
      <c r="EM52" s="235">
        <f>EH52+EK52</f>
        <v>0</v>
      </c>
      <c r="EN52" s="222">
        <f>IF(AND(EL52&gt;0,EM52&gt;0),EM52/EL52,N($E52))</f>
        <v>0</v>
      </c>
      <c r="EO52" s="220">
        <f>IF($B52="",0,SUMIFS(出库明细!$E$4:$E$3003,出库明细!$D$4:$D$3003,$B52,出库明细!$B$4:$B$3003,"&gt;="&amp;DATE(年度,12,1),出库明细!$B$4:$B$3003,"&lt;"&amp;DATE(年度,12+1,1)))</f>
        <v>0</v>
      </c>
      <c r="EP52" s="186">
        <f>EO52*EN52</f>
        <v>0</v>
      </c>
      <c r="EQ52" s="220">
        <f>_辅助!BX50</f>
        <v>0</v>
      </c>
      <c r="ER52" s="186">
        <f>_辅助!AN50</f>
        <v>0</v>
      </c>
      <c r="ES52" s="221">
        <f>EL52-EO52-EQ52</f>
        <v>0</v>
      </c>
      <c r="ET52" s="187">
        <f>EM52-EP52-ER52</f>
        <v>0</v>
      </c>
      <c r="EU52" s="236">
        <f>IF(AND(EL52&gt;0,EM52&gt;0),0,EP52)</f>
        <v>0</v>
      </c>
    </row>
    <row r="53">
      <c r="A53" s="194">
        <f>IF(B53="","",ROW()-7)</f>
      </c>
      <c r="B53" s="141">
        <f>IF(基础资料!E50="","",基础资料!E50&amp;"")</f>
      </c>
      <c r="C53" s="230">
        <f>IF(基础资料!G50="","",基础资料!G50&amp;"")</f>
      </c>
      <c r="D53" s="194">
        <f>IF(基础资料!I50="","",基础资料!I50)</f>
      </c>
      <c r="E53" s="231">
        <f>IF(基础资料!J50="","",基础资料!J50)</f>
      </c>
      <c r="F53" s="232">
        <f>N(基础资料!L50)</f>
        <v>0</v>
      </c>
      <c r="G53" s="233">
        <f>IF(基础资料!N50="",0,基础资料!N50)</f>
        <v>0</v>
      </c>
      <c r="H53" s="220">
        <f>IF($B53="",0,SUMIFS(采购进货!$E$4:$E$1503,采购进货!$D$4:$D$1503,$B53,采购进货!$B$4:$B$1503,"&gt;="&amp;DATE(年度,1,1),采购进货!$B$4:$B$1503,"&lt;"&amp;DATE(年度,1+1,1))+SUMIFS(采购进货!$H$4:$H$1503,采购进货!$D$4:$D$1503,$B53,采购进货!$B$4:$B$1503,"&gt;="&amp;DATE(年度,1,1),采购进货!$B$4:$B$1503,"&lt;"&amp;DATE(年度,1+1,1)))</f>
        <v>0</v>
      </c>
      <c r="I53" s="186">
        <f>IF($B53="",0,SUMIFS(采购进货!$G$4:$G$1503,采购进货!$D$4:$D$1503,$B53,采购进货!$B$4:$B$1503,"&gt;="&amp;DATE(年度,1,1),采购进货!$B$4:$B$1503,"&lt;"&amp;DATE(年度,1+1,1)))</f>
        <v>0</v>
      </c>
      <c r="J53" s="234">
        <f>F53+H53</f>
        <v>0</v>
      </c>
      <c r="K53" s="235">
        <f>G53+I53</f>
        <v>0</v>
      </c>
      <c r="L53" s="222">
        <f>IF(AND(J53&gt;0,K53&gt;0),K53/J53,N($E53))</f>
        <v>0</v>
      </c>
      <c r="M53" s="220">
        <f>IF($B53="",0,SUMIFS(出库明细!$E$4:$E$3003,出库明细!$D$4:$D$3003,$B53,出库明细!$B$4:$B$3003,"&gt;="&amp;DATE(年度,1,1),出库明细!$B$4:$B$3003,"&lt;"&amp;DATE(年度,1+1,1)))</f>
        <v>0</v>
      </c>
      <c r="N53" s="186">
        <f>M53*L53</f>
        <v>0</v>
      </c>
      <c r="O53" s="220">
        <f>_辅助!BM51</f>
        <v>0</v>
      </c>
      <c r="P53" s="186">
        <f>_辅助!AC51</f>
        <v>0</v>
      </c>
      <c r="Q53" s="221">
        <f>J53-M53-O53</f>
        <v>0</v>
      </c>
      <c r="R53" s="187">
        <f>K53-N53-P53</f>
        <v>0</v>
      </c>
      <c r="S53" s="236">
        <f>IF(AND(J53&gt;0,K53&gt;0),0,N53)</f>
        <v>0</v>
      </c>
      <c r="T53" s="220">
        <f>IF($B53="",0,SUMIFS(采购进货!$E$4:$E$1503,采购进货!$D$4:$D$1503,$B53,采购进货!$B$4:$B$1503,"&gt;="&amp;DATE(年度,2,1),采购进货!$B$4:$B$1503,"&lt;"&amp;DATE(年度,2+1,1))+SUMIFS(采购进货!$H$4:$H$1503,采购进货!$D$4:$D$1503,$B53,采购进货!$B$4:$B$1503,"&gt;="&amp;DATE(年度,2,1),采购进货!$B$4:$B$1503,"&lt;"&amp;DATE(年度,2+1,1)))</f>
        <v>0</v>
      </c>
      <c r="U53" s="186">
        <f>IF($B53="",0,SUMIFS(采购进货!$G$4:$G$1503,采购进货!$D$4:$D$1503,$B53,采购进货!$B$4:$B$1503,"&gt;="&amp;DATE(年度,2,1),采购进货!$B$4:$B$1503,"&lt;"&amp;DATE(年度,2+1,1)))</f>
        <v>0</v>
      </c>
      <c r="V53" s="234">
        <f>Q53+T53</f>
        <v>0</v>
      </c>
      <c r="W53" s="235">
        <f>R53+U53</f>
        <v>0</v>
      </c>
      <c r="X53" s="222">
        <f>IF(AND(V53&gt;0,W53&gt;0),W53/V53,N($E53))</f>
        <v>0</v>
      </c>
      <c r="Y53" s="220">
        <f>IF($B53="",0,SUMIFS(出库明细!$E$4:$E$3003,出库明细!$D$4:$D$3003,$B53,出库明细!$B$4:$B$3003,"&gt;="&amp;DATE(年度,2,1),出库明细!$B$4:$B$3003,"&lt;"&amp;DATE(年度,2+1,1)))</f>
        <v>0</v>
      </c>
      <c r="Z53" s="186">
        <f>Y53*X53</f>
        <v>0</v>
      </c>
      <c r="AA53" s="220">
        <f>_辅助!BN51</f>
        <v>0</v>
      </c>
      <c r="AB53" s="186">
        <f>_辅助!AD51</f>
        <v>0</v>
      </c>
      <c r="AC53" s="221">
        <f>V53-Y53-AA53</f>
        <v>0</v>
      </c>
      <c r="AD53" s="187">
        <f>W53-Z53-AB53</f>
        <v>0</v>
      </c>
      <c r="AE53" s="236">
        <f>IF(AND(V53&gt;0,W53&gt;0),0,Z53)</f>
        <v>0</v>
      </c>
      <c r="AF53" s="220">
        <f>IF($B53="",0,SUMIFS(采购进货!$E$4:$E$1503,采购进货!$D$4:$D$1503,$B53,采购进货!$B$4:$B$1503,"&gt;="&amp;DATE(年度,3,1),采购进货!$B$4:$B$1503,"&lt;"&amp;DATE(年度,3+1,1))+SUMIFS(采购进货!$H$4:$H$1503,采购进货!$D$4:$D$1503,$B53,采购进货!$B$4:$B$1503,"&gt;="&amp;DATE(年度,3,1),采购进货!$B$4:$B$1503,"&lt;"&amp;DATE(年度,3+1,1)))</f>
        <v>0</v>
      </c>
      <c r="AG53" s="186">
        <f>IF($B53="",0,SUMIFS(采购进货!$G$4:$G$1503,采购进货!$D$4:$D$1503,$B53,采购进货!$B$4:$B$1503,"&gt;="&amp;DATE(年度,3,1),采购进货!$B$4:$B$1503,"&lt;"&amp;DATE(年度,3+1,1)))</f>
        <v>0</v>
      </c>
      <c r="AH53" s="234">
        <f>AC53+AF53</f>
        <v>0</v>
      </c>
      <c r="AI53" s="235">
        <f>AD53+AG53</f>
        <v>0</v>
      </c>
      <c r="AJ53" s="222">
        <f>IF(AND(AH53&gt;0,AI53&gt;0),AI53/AH53,N($E53))</f>
        <v>0</v>
      </c>
      <c r="AK53" s="220">
        <f>IF($B53="",0,SUMIFS(出库明细!$E$4:$E$3003,出库明细!$D$4:$D$3003,$B53,出库明细!$B$4:$B$3003,"&gt;="&amp;DATE(年度,3,1),出库明细!$B$4:$B$3003,"&lt;"&amp;DATE(年度,3+1,1)))</f>
        <v>0</v>
      </c>
      <c r="AL53" s="186">
        <f>AK53*AJ53</f>
        <v>0</v>
      </c>
      <c r="AM53" s="220">
        <f>_辅助!BO51</f>
        <v>0</v>
      </c>
      <c r="AN53" s="186">
        <f>_辅助!AE51</f>
        <v>0</v>
      </c>
      <c r="AO53" s="221">
        <f>AH53-AK53-AM53</f>
        <v>0</v>
      </c>
      <c r="AP53" s="187">
        <f>AI53-AL53-AN53</f>
        <v>0</v>
      </c>
      <c r="AQ53" s="236">
        <f>IF(AND(AH53&gt;0,AI53&gt;0),0,AL53)</f>
        <v>0</v>
      </c>
      <c r="AR53" s="220">
        <f>IF($B53="",0,SUMIFS(采购进货!$E$4:$E$1503,采购进货!$D$4:$D$1503,$B53,采购进货!$B$4:$B$1503,"&gt;="&amp;DATE(年度,4,1),采购进货!$B$4:$B$1503,"&lt;"&amp;DATE(年度,4+1,1))+SUMIFS(采购进货!$H$4:$H$1503,采购进货!$D$4:$D$1503,$B53,采购进货!$B$4:$B$1503,"&gt;="&amp;DATE(年度,4,1),采购进货!$B$4:$B$1503,"&lt;"&amp;DATE(年度,4+1,1)))</f>
        <v>0</v>
      </c>
      <c r="AS53" s="186">
        <f>IF($B53="",0,SUMIFS(采购进货!$G$4:$G$1503,采购进货!$D$4:$D$1503,$B53,采购进货!$B$4:$B$1503,"&gt;="&amp;DATE(年度,4,1),采购进货!$B$4:$B$1503,"&lt;"&amp;DATE(年度,4+1,1)))</f>
        <v>0</v>
      </c>
      <c r="AT53" s="234">
        <f>AO53+AR53</f>
        <v>0</v>
      </c>
      <c r="AU53" s="235">
        <f>AP53+AS53</f>
        <v>0</v>
      </c>
      <c r="AV53" s="222">
        <f>IF(AND(AT53&gt;0,AU53&gt;0),AU53/AT53,N($E53))</f>
        <v>0</v>
      </c>
      <c r="AW53" s="220">
        <f>IF($B53="",0,SUMIFS(出库明细!$E$4:$E$3003,出库明细!$D$4:$D$3003,$B53,出库明细!$B$4:$B$3003,"&gt;="&amp;DATE(年度,4,1),出库明细!$B$4:$B$3003,"&lt;"&amp;DATE(年度,4+1,1)))</f>
        <v>0</v>
      </c>
      <c r="AX53" s="186">
        <f>AW53*AV53</f>
        <v>0</v>
      </c>
      <c r="AY53" s="220">
        <f>_辅助!BP51</f>
        <v>0</v>
      </c>
      <c r="AZ53" s="186">
        <f>_辅助!AF51</f>
        <v>0</v>
      </c>
      <c r="BA53" s="221">
        <f>AT53-AW53-AY53</f>
        <v>0</v>
      </c>
      <c r="BB53" s="187">
        <f>AU53-AX53-AZ53</f>
        <v>0</v>
      </c>
      <c r="BC53" s="236">
        <f>IF(AND(AT53&gt;0,AU53&gt;0),0,AX53)</f>
        <v>0</v>
      </c>
      <c r="BD53" s="220">
        <f>IF($B53="",0,SUMIFS(采购进货!$E$4:$E$1503,采购进货!$D$4:$D$1503,$B53,采购进货!$B$4:$B$1503,"&gt;="&amp;DATE(年度,5,1),采购进货!$B$4:$B$1503,"&lt;"&amp;DATE(年度,5+1,1))+SUMIFS(采购进货!$H$4:$H$1503,采购进货!$D$4:$D$1503,$B53,采购进货!$B$4:$B$1503,"&gt;="&amp;DATE(年度,5,1),采购进货!$B$4:$B$1503,"&lt;"&amp;DATE(年度,5+1,1)))</f>
        <v>0</v>
      </c>
      <c r="BE53" s="186">
        <f>IF($B53="",0,SUMIFS(采购进货!$G$4:$G$1503,采购进货!$D$4:$D$1503,$B53,采购进货!$B$4:$B$1503,"&gt;="&amp;DATE(年度,5,1),采购进货!$B$4:$B$1503,"&lt;"&amp;DATE(年度,5+1,1)))</f>
        <v>0</v>
      </c>
      <c r="BF53" s="234">
        <f>BA53+BD53</f>
        <v>0</v>
      </c>
      <c r="BG53" s="235">
        <f>BB53+BE53</f>
        <v>0</v>
      </c>
      <c r="BH53" s="222">
        <f>IF(AND(BF53&gt;0,BG53&gt;0),BG53/BF53,N($E53))</f>
        <v>0</v>
      </c>
      <c r="BI53" s="220">
        <f>IF($B53="",0,SUMIFS(出库明细!$E$4:$E$3003,出库明细!$D$4:$D$3003,$B53,出库明细!$B$4:$B$3003,"&gt;="&amp;DATE(年度,5,1),出库明细!$B$4:$B$3003,"&lt;"&amp;DATE(年度,5+1,1)))</f>
        <v>0</v>
      </c>
      <c r="BJ53" s="186">
        <f>BI53*BH53</f>
        <v>0</v>
      </c>
      <c r="BK53" s="220">
        <f>_辅助!BQ51</f>
        <v>0</v>
      </c>
      <c r="BL53" s="186">
        <f>_辅助!AG51</f>
        <v>0</v>
      </c>
      <c r="BM53" s="221">
        <f>BF53-BI53-BK53</f>
        <v>0</v>
      </c>
      <c r="BN53" s="187">
        <f>BG53-BJ53-BL53</f>
        <v>0</v>
      </c>
      <c r="BO53" s="236">
        <f>IF(AND(BF53&gt;0,BG53&gt;0),0,BJ53)</f>
        <v>0</v>
      </c>
      <c r="BP53" s="220">
        <f>IF($B53="",0,SUMIFS(采购进货!$E$4:$E$1503,采购进货!$D$4:$D$1503,$B53,采购进货!$B$4:$B$1503,"&gt;="&amp;DATE(年度,6,1),采购进货!$B$4:$B$1503,"&lt;"&amp;DATE(年度,6+1,1))+SUMIFS(采购进货!$H$4:$H$1503,采购进货!$D$4:$D$1503,$B53,采购进货!$B$4:$B$1503,"&gt;="&amp;DATE(年度,6,1),采购进货!$B$4:$B$1503,"&lt;"&amp;DATE(年度,6+1,1)))</f>
        <v>0</v>
      </c>
      <c r="BQ53" s="186">
        <f>IF($B53="",0,SUMIFS(采购进货!$G$4:$G$1503,采购进货!$D$4:$D$1503,$B53,采购进货!$B$4:$B$1503,"&gt;="&amp;DATE(年度,6,1),采购进货!$B$4:$B$1503,"&lt;"&amp;DATE(年度,6+1,1)))</f>
        <v>0</v>
      </c>
      <c r="BR53" s="234">
        <f>BM53+BP53</f>
        <v>0</v>
      </c>
      <c r="BS53" s="235">
        <f>BN53+BQ53</f>
        <v>0</v>
      </c>
      <c r="BT53" s="222">
        <f>IF(AND(BR53&gt;0,BS53&gt;0),BS53/BR53,N($E53))</f>
        <v>0</v>
      </c>
      <c r="BU53" s="220">
        <f>IF($B53="",0,SUMIFS(出库明细!$E$4:$E$3003,出库明细!$D$4:$D$3003,$B53,出库明细!$B$4:$B$3003,"&gt;="&amp;DATE(年度,6,1),出库明细!$B$4:$B$3003,"&lt;"&amp;DATE(年度,6+1,1)))</f>
        <v>0</v>
      </c>
      <c r="BV53" s="186">
        <f>BU53*BT53</f>
        <v>0</v>
      </c>
      <c r="BW53" s="220">
        <f>_辅助!BR51</f>
        <v>0</v>
      </c>
      <c r="BX53" s="186">
        <f>_辅助!AH51</f>
        <v>0</v>
      </c>
      <c r="BY53" s="221">
        <f>BR53-BU53-BW53</f>
        <v>0</v>
      </c>
      <c r="BZ53" s="187">
        <f>BS53-BV53-BX53</f>
        <v>0</v>
      </c>
      <c r="CA53" s="236">
        <f>IF(AND(BR53&gt;0,BS53&gt;0),0,BV53)</f>
        <v>0</v>
      </c>
      <c r="CB53" s="220">
        <f>IF($B53="",0,SUMIFS(采购进货!$E$4:$E$1503,采购进货!$D$4:$D$1503,$B53,采购进货!$B$4:$B$1503,"&gt;="&amp;DATE(年度,7,1),采购进货!$B$4:$B$1503,"&lt;"&amp;DATE(年度,7+1,1))+SUMIFS(采购进货!$H$4:$H$1503,采购进货!$D$4:$D$1503,$B53,采购进货!$B$4:$B$1503,"&gt;="&amp;DATE(年度,7,1),采购进货!$B$4:$B$1503,"&lt;"&amp;DATE(年度,7+1,1)))</f>
        <v>0</v>
      </c>
      <c r="CC53" s="186">
        <f>IF($B53="",0,SUMIFS(采购进货!$G$4:$G$1503,采购进货!$D$4:$D$1503,$B53,采购进货!$B$4:$B$1503,"&gt;="&amp;DATE(年度,7,1),采购进货!$B$4:$B$1503,"&lt;"&amp;DATE(年度,7+1,1)))</f>
        <v>0</v>
      </c>
      <c r="CD53" s="234">
        <f>BY53+CB53</f>
        <v>0</v>
      </c>
      <c r="CE53" s="235">
        <f>BZ53+CC53</f>
        <v>0</v>
      </c>
      <c r="CF53" s="222">
        <f>IF(AND(CD53&gt;0,CE53&gt;0),CE53/CD53,N($E53))</f>
        <v>0</v>
      </c>
      <c r="CG53" s="220">
        <f>IF($B53="",0,SUMIFS(出库明细!$E$4:$E$3003,出库明细!$D$4:$D$3003,$B53,出库明细!$B$4:$B$3003,"&gt;="&amp;DATE(年度,7,1),出库明细!$B$4:$B$3003,"&lt;"&amp;DATE(年度,7+1,1)))</f>
        <v>0</v>
      </c>
      <c r="CH53" s="186">
        <f>CG53*CF53</f>
        <v>0</v>
      </c>
      <c r="CI53" s="220">
        <f>_辅助!BS51</f>
        <v>0</v>
      </c>
      <c r="CJ53" s="186">
        <f>_辅助!AI51</f>
        <v>0</v>
      </c>
      <c r="CK53" s="221">
        <f>CD53-CG53-CI53</f>
        <v>0</v>
      </c>
      <c r="CL53" s="187">
        <f>CE53-CH53-CJ53</f>
        <v>0</v>
      </c>
      <c r="CM53" s="236">
        <f>IF(AND(CD53&gt;0,CE53&gt;0),0,CH53)</f>
        <v>0</v>
      </c>
      <c r="CN53" s="220">
        <f>IF($B53="",0,SUMIFS(采购进货!$E$4:$E$1503,采购进货!$D$4:$D$1503,$B53,采购进货!$B$4:$B$1503,"&gt;="&amp;DATE(年度,8,1),采购进货!$B$4:$B$1503,"&lt;"&amp;DATE(年度,8+1,1))+SUMIFS(采购进货!$H$4:$H$1503,采购进货!$D$4:$D$1503,$B53,采购进货!$B$4:$B$1503,"&gt;="&amp;DATE(年度,8,1),采购进货!$B$4:$B$1503,"&lt;"&amp;DATE(年度,8+1,1)))</f>
        <v>0</v>
      </c>
      <c r="CO53" s="186">
        <f>IF($B53="",0,SUMIFS(采购进货!$G$4:$G$1503,采购进货!$D$4:$D$1503,$B53,采购进货!$B$4:$B$1503,"&gt;="&amp;DATE(年度,8,1),采购进货!$B$4:$B$1503,"&lt;"&amp;DATE(年度,8+1,1)))</f>
        <v>0</v>
      </c>
      <c r="CP53" s="234">
        <f>CK53+CN53</f>
        <v>0</v>
      </c>
      <c r="CQ53" s="235">
        <f>CL53+CO53</f>
        <v>0</v>
      </c>
      <c r="CR53" s="222">
        <f>IF(AND(CP53&gt;0,CQ53&gt;0),CQ53/CP53,N($E53))</f>
        <v>0</v>
      </c>
      <c r="CS53" s="220">
        <f>IF($B53="",0,SUMIFS(出库明细!$E$4:$E$3003,出库明细!$D$4:$D$3003,$B53,出库明细!$B$4:$B$3003,"&gt;="&amp;DATE(年度,8,1),出库明细!$B$4:$B$3003,"&lt;"&amp;DATE(年度,8+1,1)))</f>
        <v>0</v>
      </c>
      <c r="CT53" s="186">
        <f>CS53*CR53</f>
        <v>0</v>
      </c>
      <c r="CU53" s="220">
        <f>_辅助!BT51</f>
        <v>0</v>
      </c>
      <c r="CV53" s="186">
        <f>_辅助!AJ51</f>
        <v>0</v>
      </c>
      <c r="CW53" s="221">
        <f>CP53-CS53-CU53</f>
        <v>0</v>
      </c>
      <c r="CX53" s="187">
        <f>CQ53-CT53-CV53</f>
        <v>0</v>
      </c>
      <c r="CY53" s="236">
        <f>IF(AND(CP53&gt;0,CQ53&gt;0),0,CT53)</f>
        <v>0</v>
      </c>
      <c r="CZ53" s="220">
        <f>IF($B53="",0,SUMIFS(采购进货!$E$4:$E$1503,采购进货!$D$4:$D$1503,$B53,采购进货!$B$4:$B$1503,"&gt;="&amp;DATE(年度,9,1),采购进货!$B$4:$B$1503,"&lt;"&amp;DATE(年度,9+1,1))+SUMIFS(采购进货!$H$4:$H$1503,采购进货!$D$4:$D$1503,$B53,采购进货!$B$4:$B$1503,"&gt;="&amp;DATE(年度,9,1),采购进货!$B$4:$B$1503,"&lt;"&amp;DATE(年度,9+1,1)))</f>
        <v>0</v>
      </c>
      <c r="DA53" s="186">
        <f>IF($B53="",0,SUMIFS(采购进货!$G$4:$G$1503,采购进货!$D$4:$D$1503,$B53,采购进货!$B$4:$B$1503,"&gt;="&amp;DATE(年度,9,1),采购进货!$B$4:$B$1503,"&lt;"&amp;DATE(年度,9+1,1)))</f>
        <v>0</v>
      </c>
      <c r="DB53" s="234">
        <f>CW53+CZ53</f>
        <v>0</v>
      </c>
      <c r="DC53" s="235">
        <f>CX53+DA53</f>
        <v>0</v>
      </c>
      <c r="DD53" s="222">
        <f>IF(AND(DB53&gt;0,DC53&gt;0),DC53/DB53,N($E53))</f>
        <v>0</v>
      </c>
      <c r="DE53" s="220">
        <f>IF($B53="",0,SUMIFS(出库明细!$E$4:$E$3003,出库明细!$D$4:$D$3003,$B53,出库明细!$B$4:$B$3003,"&gt;="&amp;DATE(年度,9,1),出库明细!$B$4:$B$3003,"&lt;"&amp;DATE(年度,9+1,1)))</f>
        <v>0</v>
      </c>
      <c r="DF53" s="186">
        <f>DE53*DD53</f>
        <v>0</v>
      </c>
      <c r="DG53" s="220">
        <f>_辅助!BU51</f>
        <v>0</v>
      </c>
      <c r="DH53" s="186">
        <f>_辅助!AK51</f>
        <v>0</v>
      </c>
      <c r="DI53" s="221">
        <f>DB53-DE53-DG53</f>
        <v>0</v>
      </c>
      <c r="DJ53" s="187">
        <f>DC53-DF53-DH53</f>
        <v>0</v>
      </c>
      <c r="DK53" s="236">
        <f>IF(AND(DB53&gt;0,DC53&gt;0),0,DF53)</f>
        <v>0</v>
      </c>
      <c r="DL53" s="220">
        <f>IF($B53="",0,SUMIFS(采购进货!$E$4:$E$1503,采购进货!$D$4:$D$1503,$B53,采购进货!$B$4:$B$1503,"&gt;="&amp;DATE(年度,10,1),采购进货!$B$4:$B$1503,"&lt;"&amp;DATE(年度,10+1,1))+SUMIFS(采购进货!$H$4:$H$1503,采购进货!$D$4:$D$1503,$B53,采购进货!$B$4:$B$1503,"&gt;="&amp;DATE(年度,10,1),采购进货!$B$4:$B$1503,"&lt;"&amp;DATE(年度,10+1,1)))</f>
        <v>0</v>
      </c>
      <c r="DM53" s="186">
        <f>IF($B53="",0,SUMIFS(采购进货!$G$4:$G$1503,采购进货!$D$4:$D$1503,$B53,采购进货!$B$4:$B$1503,"&gt;="&amp;DATE(年度,10,1),采购进货!$B$4:$B$1503,"&lt;"&amp;DATE(年度,10+1,1)))</f>
        <v>0</v>
      </c>
      <c r="DN53" s="234">
        <f>DI53+DL53</f>
        <v>0</v>
      </c>
      <c r="DO53" s="235">
        <f>DJ53+DM53</f>
        <v>0</v>
      </c>
      <c r="DP53" s="222">
        <f>IF(AND(DN53&gt;0,DO53&gt;0),DO53/DN53,N($E53))</f>
        <v>0</v>
      </c>
      <c r="DQ53" s="220">
        <f>IF($B53="",0,SUMIFS(出库明细!$E$4:$E$3003,出库明细!$D$4:$D$3003,$B53,出库明细!$B$4:$B$3003,"&gt;="&amp;DATE(年度,10,1),出库明细!$B$4:$B$3003,"&lt;"&amp;DATE(年度,10+1,1)))</f>
        <v>0</v>
      </c>
      <c r="DR53" s="186">
        <f>DQ53*DP53</f>
        <v>0</v>
      </c>
      <c r="DS53" s="220">
        <f>_辅助!BV51</f>
        <v>0</v>
      </c>
      <c r="DT53" s="186">
        <f>_辅助!AL51</f>
        <v>0</v>
      </c>
      <c r="DU53" s="221">
        <f>DN53-DQ53-DS53</f>
        <v>0</v>
      </c>
      <c r="DV53" s="187">
        <f>DO53-DR53-DT53</f>
        <v>0</v>
      </c>
      <c r="DW53" s="236">
        <f>IF(AND(DN53&gt;0,DO53&gt;0),0,DR53)</f>
        <v>0</v>
      </c>
      <c r="DX53" s="220">
        <f>IF($B53="",0,SUMIFS(采购进货!$E$4:$E$1503,采购进货!$D$4:$D$1503,$B53,采购进货!$B$4:$B$1503,"&gt;="&amp;DATE(年度,11,1),采购进货!$B$4:$B$1503,"&lt;"&amp;DATE(年度,11+1,1))+SUMIFS(采购进货!$H$4:$H$1503,采购进货!$D$4:$D$1503,$B53,采购进货!$B$4:$B$1503,"&gt;="&amp;DATE(年度,11,1),采购进货!$B$4:$B$1503,"&lt;"&amp;DATE(年度,11+1,1)))</f>
        <v>0</v>
      </c>
      <c r="DY53" s="186">
        <f>IF($B53="",0,SUMIFS(采购进货!$G$4:$G$1503,采购进货!$D$4:$D$1503,$B53,采购进货!$B$4:$B$1503,"&gt;="&amp;DATE(年度,11,1),采购进货!$B$4:$B$1503,"&lt;"&amp;DATE(年度,11+1,1)))</f>
        <v>0</v>
      </c>
      <c r="DZ53" s="234">
        <f>DU53+DX53</f>
        <v>0</v>
      </c>
      <c r="EA53" s="235">
        <f>DV53+DY53</f>
        <v>0</v>
      </c>
      <c r="EB53" s="222">
        <f>IF(AND(DZ53&gt;0,EA53&gt;0),EA53/DZ53,N($E53))</f>
        <v>0</v>
      </c>
      <c r="EC53" s="220">
        <f>IF($B53="",0,SUMIFS(出库明细!$E$4:$E$3003,出库明细!$D$4:$D$3003,$B53,出库明细!$B$4:$B$3003,"&gt;="&amp;DATE(年度,11,1),出库明细!$B$4:$B$3003,"&lt;"&amp;DATE(年度,11+1,1)))</f>
        <v>0</v>
      </c>
      <c r="ED53" s="186">
        <f>EC53*EB53</f>
        <v>0</v>
      </c>
      <c r="EE53" s="220">
        <f>_辅助!BW51</f>
        <v>0</v>
      </c>
      <c r="EF53" s="186">
        <f>_辅助!AM51</f>
        <v>0</v>
      </c>
      <c r="EG53" s="221">
        <f>DZ53-EC53-EE53</f>
        <v>0</v>
      </c>
      <c r="EH53" s="187">
        <f>EA53-ED53-EF53</f>
        <v>0</v>
      </c>
      <c r="EI53" s="236">
        <f>IF(AND(DZ53&gt;0,EA53&gt;0),0,ED53)</f>
        <v>0</v>
      </c>
      <c r="EJ53" s="220">
        <f>IF($B53="",0,SUMIFS(采购进货!$E$4:$E$1503,采购进货!$D$4:$D$1503,$B53,采购进货!$B$4:$B$1503,"&gt;="&amp;DATE(年度,12,1),采购进货!$B$4:$B$1503,"&lt;"&amp;DATE(年度,12+1,1))+SUMIFS(采购进货!$H$4:$H$1503,采购进货!$D$4:$D$1503,$B53,采购进货!$B$4:$B$1503,"&gt;="&amp;DATE(年度,12,1),采购进货!$B$4:$B$1503,"&lt;"&amp;DATE(年度,12+1,1)))</f>
        <v>0</v>
      </c>
      <c r="EK53" s="186">
        <f>IF($B53="",0,SUMIFS(采购进货!$G$4:$G$1503,采购进货!$D$4:$D$1503,$B53,采购进货!$B$4:$B$1503,"&gt;="&amp;DATE(年度,12,1),采购进货!$B$4:$B$1503,"&lt;"&amp;DATE(年度,12+1,1)))</f>
        <v>0</v>
      </c>
      <c r="EL53" s="234">
        <f>EG53+EJ53</f>
        <v>0</v>
      </c>
      <c r="EM53" s="235">
        <f>EH53+EK53</f>
        <v>0</v>
      </c>
      <c r="EN53" s="222">
        <f>IF(AND(EL53&gt;0,EM53&gt;0),EM53/EL53,N($E53))</f>
        <v>0</v>
      </c>
      <c r="EO53" s="220">
        <f>IF($B53="",0,SUMIFS(出库明细!$E$4:$E$3003,出库明细!$D$4:$D$3003,$B53,出库明细!$B$4:$B$3003,"&gt;="&amp;DATE(年度,12,1),出库明细!$B$4:$B$3003,"&lt;"&amp;DATE(年度,12+1,1)))</f>
        <v>0</v>
      </c>
      <c r="EP53" s="186">
        <f>EO53*EN53</f>
        <v>0</v>
      </c>
      <c r="EQ53" s="220">
        <f>_辅助!BX51</f>
        <v>0</v>
      </c>
      <c r="ER53" s="186">
        <f>_辅助!AN51</f>
        <v>0</v>
      </c>
      <c r="ES53" s="221">
        <f>EL53-EO53-EQ53</f>
        <v>0</v>
      </c>
      <c r="ET53" s="187">
        <f>EM53-EP53-ER53</f>
        <v>0</v>
      </c>
      <c r="EU53" s="236">
        <f>IF(AND(EL53&gt;0,EM53&gt;0),0,EP53)</f>
        <v>0</v>
      </c>
    </row>
    <row r="54">
      <c r="A54" s="194">
        <f>IF(B54="","",ROW()-7)</f>
      </c>
      <c r="B54" s="141">
        <f>IF(基础资料!E51="","",基础资料!E51&amp;"")</f>
      </c>
      <c r="C54" s="230">
        <f>IF(基础资料!G51="","",基础资料!G51&amp;"")</f>
      </c>
      <c r="D54" s="194">
        <f>IF(基础资料!I51="","",基础资料!I51)</f>
      </c>
      <c r="E54" s="231">
        <f>IF(基础资料!J51="","",基础资料!J51)</f>
      </c>
      <c r="F54" s="232">
        <f>N(基础资料!L51)</f>
        <v>0</v>
      </c>
      <c r="G54" s="233">
        <f>IF(基础资料!N51="",0,基础资料!N51)</f>
        <v>0</v>
      </c>
      <c r="H54" s="220">
        <f>IF($B54="",0,SUMIFS(采购进货!$E$4:$E$1503,采购进货!$D$4:$D$1503,$B54,采购进货!$B$4:$B$1503,"&gt;="&amp;DATE(年度,1,1),采购进货!$B$4:$B$1503,"&lt;"&amp;DATE(年度,1+1,1))+SUMIFS(采购进货!$H$4:$H$1503,采购进货!$D$4:$D$1503,$B54,采购进货!$B$4:$B$1503,"&gt;="&amp;DATE(年度,1,1),采购进货!$B$4:$B$1503,"&lt;"&amp;DATE(年度,1+1,1)))</f>
        <v>0</v>
      </c>
      <c r="I54" s="186">
        <f>IF($B54="",0,SUMIFS(采购进货!$G$4:$G$1503,采购进货!$D$4:$D$1503,$B54,采购进货!$B$4:$B$1503,"&gt;="&amp;DATE(年度,1,1),采购进货!$B$4:$B$1503,"&lt;"&amp;DATE(年度,1+1,1)))</f>
        <v>0</v>
      </c>
      <c r="J54" s="234">
        <f>F54+H54</f>
        <v>0</v>
      </c>
      <c r="K54" s="235">
        <f>G54+I54</f>
        <v>0</v>
      </c>
      <c r="L54" s="222">
        <f>IF(AND(J54&gt;0,K54&gt;0),K54/J54,N($E54))</f>
        <v>0</v>
      </c>
      <c r="M54" s="220">
        <f>IF($B54="",0,SUMIFS(出库明细!$E$4:$E$3003,出库明细!$D$4:$D$3003,$B54,出库明细!$B$4:$B$3003,"&gt;="&amp;DATE(年度,1,1),出库明细!$B$4:$B$3003,"&lt;"&amp;DATE(年度,1+1,1)))</f>
        <v>0</v>
      </c>
      <c r="N54" s="186">
        <f>M54*L54</f>
        <v>0</v>
      </c>
      <c r="O54" s="220">
        <f>_辅助!BM52</f>
        <v>0</v>
      </c>
      <c r="P54" s="186">
        <f>_辅助!AC52</f>
        <v>0</v>
      </c>
      <c r="Q54" s="221">
        <f>J54-M54-O54</f>
        <v>0</v>
      </c>
      <c r="R54" s="187">
        <f>K54-N54-P54</f>
        <v>0</v>
      </c>
      <c r="S54" s="236">
        <f>IF(AND(J54&gt;0,K54&gt;0),0,N54)</f>
        <v>0</v>
      </c>
      <c r="T54" s="220">
        <f>IF($B54="",0,SUMIFS(采购进货!$E$4:$E$1503,采购进货!$D$4:$D$1503,$B54,采购进货!$B$4:$B$1503,"&gt;="&amp;DATE(年度,2,1),采购进货!$B$4:$B$1503,"&lt;"&amp;DATE(年度,2+1,1))+SUMIFS(采购进货!$H$4:$H$1503,采购进货!$D$4:$D$1503,$B54,采购进货!$B$4:$B$1503,"&gt;="&amp;DATE(年度,2,1),采购进货!$B$4:$B$1503,"&lt;"&amp;DATE(年度,2+1,1)))</f>
        <v>0</v>
      </c>
      <c r="U54" s="186">
        <f>IF($B54="",0,SUMIFS(采购进货!$G$4:$G$1503,采购进货!$D$4:$D$1503,$B54,采购进货!$B$4:$B$1503,"&gt;="&amp;DATE(年度,2,1),采购进货!$B$4:$B$1503,"&lt;"&amp;DATE(年度,2+1,1)))</f>
        <v>0</v>
      </c>
      <c r="V54" s="234">
        <f>Q54+T54</f>
        <v>0</v>
      </c>
      <c r="W54" s="235">
        <f>R54+U54</f>
        <v>0</v>
      </c>
      <c r="X54" s="222">
        <f>IF(AND(V54&gt;0,W54&gt;0),W54/V54,N($E54))</f>
        <v>0</v>
      </c>
      <c r="Y54" s="220">
        <f>IF($B54="",0,SUMIFS(出库明细!$E$4:$E$3003,出库明细!$D$4:$D$3003,$B54,出库明细!$B$4:$B$3003,"&gt;="&amp;DATE(年度,2,1),出库明细!$B$4:$B$3003,"&lt;"&amp;DATE(年度,2+1,1)))</f>
        <v>0</v>
      </c>
      <c r="Z54" s="186">
        <f>Y54*X54</f>
        <v>0</v>
      </c>
      <c r="AA54" s="220">
        <f>_辅助!BN52</f>
        <v>0</v>
      </c>
      <c r="AB54" s="186">
        <f>_辅助!AD52</f>
        <v>0</v>
      </c>
      <c r="AC54" s="221">
        <f>V54-Y54-AA54</f>
        <v>0</v>
      </c>
      <c r="AD54" s="187">
        <f>W54-Z54-AB54</f>
        <v>0</v>
      </c>
      <c r="AE54" s="236">
        <f>IF(AND(V54&gt;0,W54&gt;0),0,Z54)</f>
        <v>0</v>
      </c>
      <c r="AF54" s="220">
        <f>IF($B54="",0,SUMIFS(采购进货!$E$4:$E$1503,采购进货!$D$4:$D$1503,$B54,采购进货!$B$4:$B$1503,"&gt;="&amp;DATE(年度,3,1),采购进货!$B$4:$B$1503,"&lt;"&amp;DATE(年度,3+1,1))+SUMIFS(采购进货!$H$4:$H$1503,采购进货!$D$4:$D$1503,$B54,采购进货!$B$4:$B$1503,"&gt;="&amp;DATE(年度,3,1),采购进货!$B$4:$B$1503,"&lt;"&amp;DATE(年度,3+1,1)))</f>
        <v>0</v>
      </c>
      <c r="AG54" s="186">
        <f>IF($B54="",0,SUMIFS(采购进货!$G$4:$G$1503,采购进货!$D$4:$D$1503,$B54,采购进货!$B$4:$B$1503,"&gt;="&amp;DATE(年度,3,1),采购进货!$B$4:$B$1503,"&lt;"&amp;DATE(年度,3+1,1)))</f>
        <v>0</v>
      </c>
      <c r="AH54" s="234">
        <f>AC54+AF54</f>
        <v>0</v>
      </c>
      <c r="AI54" s="235">
        <f>AD54+AG54</f>
        <v>0</v>
      </c>
      <c r="AJ54" s="222">
        <f>IF(AND(AH54&gt;0,AI54&gt;0),AI54/AH54,N($E54))</f>
        <v>0</v>
      </c>
      <c r="AK54" s="220">
        <f>IF($B54="",0,SUMIFS(出库明细!$E$4:$E$3003,出库明细!$D$4:$D$3003,$B54,出库明细!$B$4:$B$3003,"&gt;="&amp;DATE(年度,3,1),出库明细!$B$4:$B$3003,"&lt;"&amp;DATE(年度,3+1,1)))</f>
        <v>0</v>
      </c>
      <c r="AL54" s="186">
        <f>AK54*AJ54</f>
        <v>0</v>
      </c>
      <c r="AM54" s="220">
        <f>_辅助!BO52</f>
        <v>0</v>
      </c>
      <c r="AN54" s="186">
        <f>_辅助!AE52</f>
        <v>0</v>
      </c>
      <c r="AO54" s="221">
        <f>AH54-AK54-AM54</f>
        <v>0</v>
      </c>
      <c r="AP54" s="187">
        <f>AI54-AL54-AN54</f>
        <v>0</v>
      </c>
      <c r="AQ54" s="236">
        <f>IF(AND(AH54&gt;0,AI54&gt;0),0,AL54)</f>
        <v>0</v>
      </c>
      <c r="AR54" s="220">
        <f>IF($B54="",0,SUMIFS(采购进货!$E$4:$E$1503,采购进货!$D$4:$D$1503,$B54,采购进货!$B$4:$B$1503,"&gt;="&amp;DATE(年度,4,1),采购进货!$B$4:$B$1503,"&lt;"&amp;DATE(年度,4+1,1))+SUMIFS(采购进货!$H$4:$H$1503,采购进货!$D$4:$D$1503,$B54,采购进货!$B$4:$B$1503,"&gt;="&amp;DATE(年度,4,1),采购进货!$B$4:$B$1503,"&lt;"&amp;DATE(年度,4+1,1)))</f>
        <v>0</v>
      </c>
      <c r="AS54" s="186">
        <f>IF($B54="",0,SUMIFS(采购进货!$G$4:$G$1503,采购进货!$D$4:$D$1503,$B54,采购进货!$B$4:$B$1503,"&gt;="&amp;DATE(年度,4,1),采购进货!$B$4:$B$1503,"&lt;"&amp;DATE(年度,4+1,1)))</f>
        <v>0</v>
      </c>
      <c r="AT54" s="234">
        <f>AO54+AR54</f>
        <v>0</v>
      </c>
      <c r="AU54" s="235">
        <f>AP54+AS54</f>
        <v>0</v>
      </c>
      <c r="AV54" s="222">
        <f>IF(AND(AT54&gt;0,AU54&gt;0),AU54/AT54,N($E54))</f>
        <v>0</v>
      </c>
      <c r="AW54" s="220">
        <f>IF($B54="",0,SUMIFS(出库明细!$E$4:$E$3003,出库明细!$D$4:$D$3003,$B54,出库明细!$B$4:$B$3003,"&gt;="&amp;DATE(年度,4,1),出库明细!$B$4:$B$3003,"&lt;"&amp;DATE(年度,4+1,1)))</f>
        <v>0</v>
      </c>
      <c r="AX54" s="186">
        <f>AW54*AV54</f>
        <v>0</v>
      </c>
      <c r="AY54" s="220">
        <f>_辅助!BP52</f>
        <v>0</v>
      </c>
      <c r="AZ54" s="186">
        <f>_辅助!AF52</f>
        <v>0</v>
      </c>
      <c r="BA54" s="221">
        <f>AT54-AW54-AY54</f>
        <v>0</v>
      </c>
      <c r="BB54" s="187">
        <f>AU54-AX54-AZ54</f>
        <v>0</v>
      </c>
      <c r="BC54" s="236">
        <f>IF(AND(AT54&gt;0,AU54&gt;0),0,AX54)</f>
        <v>0</v>
      </c>
      <c r="BD54" s="220">
        <f>IF($B54="",0,SUMIFS(采购进货!$E$4:$E$1503,采购进货!$D$4:$D$1503,$B54,采购进货!$B$4:$B$1503,"&gt;="&amp;DATE(年度,5,1),采购进货!$B$4:$B$1503,"&lt;"&amp;DATE(年度,5+1,1))+SUMIFS(采购进货!$H$4:$H$1503,采购进货!$D$4:$D$1503,$B54,采购进货!$B$4:$B$1503,"&gt;="&amp;DATE(年度,5,1),采购进货!$B$4:$B$1503,"&lt;"&amp;DATE(年度,5+1,1)))</f>
        <v>0</v>
      </c>
      <c r="BE54" s="186">
        <f>IF($B54="",0,SUMIFS(采购进货!$G$4:$G$1503,采购进货!$D$4:$D$1503,$B54,采购进货!$B$4:$B$1503,"&gt;="&amp;DATE(年度,5,1),采购进货!$B$4:$B$1503,"&lt;"&amp;DATE(年度,5+1,1)))</f>
        <v>0</v>
      </c>
      <c r="BF54" s="234">
        <f>BA54+BD54</f>
        <v>0</v>
      </c>
      <c r="BG54" s="235">
        <f>BB54+BE54</f>
        <v>0</v>
      </c>
      <c r="BH54" s="222">
        <f>IF(AND(BF54&gt;0,BG54&gt;0),BG54/BF54,N($E54))</f>
        <v>0</v>
      </c>
      <c r="BI54" s="220">
        <f>IF($B54="",0,SUMIFS(出库明细!$E$4:$E$3003,出库明细!$D$4:$D$3003,$B54,出库明细!$B$4:$B$3003,"&gt;="&amp;DATE(年度,5,1),出库明细!$B$4:$B$3003,"&lt;"&amp;DATE(年度,5+1,1)))</f>
        <v>0</v>
      </c>
      <c r="BJ54" s="186">
        <f>BI54*BH54</f>
        <v>0</v>
      </c>
      <c r="BK54" s="220">
        <f>_辅助!BQ52</f>
        <v>0</v>
      </c>
      <c r="BL54" s="186">
        <f>_辅助!AG52</f>
        <v>0</v>
      </c>
      <c r="BM54" s="221">
        <f>BF54-BI54-BK54</f>
        <v>0</v>
      </c>
      <c r="BN54" s="187">
        <f>BG54-BJ54-BL54</f>
        <v>0</v>
      </c>
      <c r="BO54" s="236">
        <f>IF(AND(BF54&gt;0,BG54&gt;0),0,BJ54)</f>
        <v>0</v>
      </c>
      <c r="BP54" s="220">
        <f>IF($B54="",0,SUMIFS(采购进货!$E$4:$E$1503,采购进货!$D$4:$D$1503,$B54,采购进货!$B$4:$B$1503,"&gt;="&amp;DATE(年度,6,1),采购进货!$B$4:$B$1503,"&lt;"&amp;DATE(年度,6+1,1))+SUMIFS(采购进货!$H$4:$H$1503,采购进货!$D$4:$D$1503,$B54,采购进货!$B$4:$B$1503,"&gt;="&amp;DATE(年度,6,1),采购进货!$B$4:$B$1503,"&lt;"&amp;DATE(年度,6+1,1)))</f>
        <v>0</v>
      </c>
      <c r="BQ54" s="186">
        <f>IF($B54="",0,SUMIFS(采购进货!$G$4:$G$1503,采购进货!$D$4:$D$1503,$B54,采购进货!$B$4:$B$1503,"&gt;="&amp;DATE(年度,6,1),采购进货!$B$4:$B$1503,"&lt;"&amp;DATE(年度,6+1,1)))</f>
        <v>0</v>
      </c>
      <c r="BR54" s="234">
        <f>BM54+BP54</f>
        <v>0</v>
      </c>
      <c r="BS54" s="235">
        <f>BN54+BQ54</f>
        <v>0</v>
      </c>
      <c r="BT54" s="222">
        <f>IF(AND(BR54&gt;0,BS54&gt;0),BS54/BR54,N($E54))</f>
        <v>0</v>
      </c>
      <c r="BU54" s="220">
        <f>IF($B54="",0,SUMIFS(出库明细!$E$4:$E$3003,出库明细!$D$4:$D$3003,$B54,出库明细!$B$4:$B$3003,"&gt;="&amp;DATE(年度,6,1),出库明细!$B$4:$B$3003,"&lt;"&amp;DATE(年度,6+1,1)))</f>
        <v>0</v>
      </c>
      <c r="BV54" s="186">
        <f>BU54*BT54</f>
        <v>0</v>
      </c>
      <c r="BW54" s="220">
        <f>_辅助!BR52</f>
        <v>0</v>
      </c>
      <c r="BX54" s="186">
        <f>_辅助!AH52</f>
        <v>0</v>
      </c>
      <c r="BY54" s="221">
        <f>BR54-BU54-BW54</f>
        <v>0</v>
      </c>
      <c r="BZ54" s="187">
        <f>BS54-BV54-BX54</f>
        <v>0</v>
      </c>
      <c r="CA54" s="236">
        <f>IF(AND(BR54&gt;0,BS54&gt;0),0,BV54)</f>
        <v>0</v>
      </c>
      <c r="CB54" s="220">
        <f>IF($B54="",0,SUMIFS(采购进货!$E$4:$E$1503,采购进货!$D$4:$D$1503,$B54,采购进货!$B$4:$B$1503,"&gt;="&amp;DATE(年度,7,1),采购进货!$B$4:$B$1503,"&lt;"&amp;DATE(年度,7+1,1))+SUMIFS(采购进货!$H$4:$H$1503,采购进货!$D$4:$D$1503,$B54,采购进货!$B$4:$B$1503,"&gt;="&amp;DATE(年度,7,1),采购进货!$B$4:$B$1503,"&lt;"&amp;DATE(年度,7+1,1)))</f>
        <v>0</v>
      </c>
      <c r="CC54" s="186">
        <f>IF($B54="",0,SUMIFS(采购进货!$G$4:$G$1503,采购进货!$D$4:$D$1503,$B54,采购进货!$B$4:$B$1503,"&gt;="&amp;DATE(年度,7,1),采购进货!$B$4:$B$1503,"&lt;"&amp;DATE(年度,7+1,1)))</f>
        <v>0</v>
      </c>
      <c r="CD54" s="234">
        <f>BY54+CB54</f>
        <v>0</v>
      </c>
      <c r="CE54" s="235">
        <f>BZ54+CC54</f>
        <v>0</v>
      </c>
      <c r="CF54" s="222">
        <f>IF(AND(CD54&gt;0,CE54&gt;0),CE54/CD54,N($E54))</f>
        <v>0</v>
      </c>
      <c r="CG54" s="220">
        <f>IF($B54="",0,SUMIFS(出库明细!$E$4:$E$3003,出库明细!$D$4:$D$3003,$B54,出库明细!$B$4:$B$3003,"&gt;="&amp;DATE(年度,7,1),出库明细!$B$4:$B$3003,"&lt;"&amp;DATE(年度,7+1,1)))</f>
        <v>0</v>
      </c>
      <c r="CH54" s="186">
        <f>CG54*CF54</f>
        <v>0</v>
      </c>
      <c r="CI54" s="220">
        <f>_辅助!BS52</f>
        <v>0</v>
      </c>
      <c r="CJ54" s="186">
        <f>_辅助!AI52</f>
        <v>0</v>
      </c>
      <c r="CK54" s="221">
        <f>CD54-CG54-CI54</f>
        <v>0</v>
      </c>
      <c r="CL54" s="187">
        <f>CE54-CH54-CJ54</f>
        <v>0</v>
      </c>
      <c r="CM54" s="236">
        <f>IF(AND(CD54&gt;0,CE54&gt;0),0,CH54)</f>
        <v>0</v>
      </c>
      <c r="CN54" s="220">
        <f>IF($B54="",0,SUMIFS(采购进货!$E$4:$E$1503,采购进货!$D$4:$D$1503,$B54,采购进货!$B$4:$B$1503,"&gt;="&amp;DATE(年度,8,1),采购进货!$B$4:$B$1503,"&lt;"&amp;DATE(年度,8+1,1))+SUMIFS(采购进货!$H$4:$H$1503,采购进货!$D$4:$D$1503,$B54,采购进货!$B$4:$B$1503,"&gt;="&amp;DATE(年度,8,1),采购进货!$B$4:$B$1503,"&lt;"&amp;DATE(年度,8+1,1)))</f>
        <v>0</v>
      </c>
      <c r="CO54" s="186">
        <f>IF($B54="",0,SUMIFS(采购进货!$G$4:$G$1503,采购进货!$D$4:$D$1503,$B54,采购进货!$B$4:$B$1503,"&gt;="&amp;DATE(年度,8,1),采购进货!$B$4:$B$1503,"&lt;"&amp;DATE(年度,8+1,1)))</f>
        <v>0</v>
      </c>
      <c r="CP54" s="234">
        <f>CK54+CN54</f>
        <v>0</v>
      </c>
      <c r="CQ54" s="235">
        <f>CL54+CO54</f>
        <v>0</v>
      </c>
      <c r="CR54" s="222">
        <f>IF(AND(CP54&gt;0,CQ54&gt;0),CQ54/CP54,N($E54))</f>
        <v>0</v>
      </c>
      <c r="CS54" s="220">
        <f>IF($B54="",0,SUMIFS(出库明细!$E$4:$E$3003,出库明细!$D$4:$D$3003,$B54,出库明细!$B$4:$B$3003,"&gt;="&amp;DATE(年度,8,1),出库明细!$B$4:$B$3003,"&lt;"&amp;DATE(年度,8+1,1)))</f>
        <v>0</v>
      </c>
      <c r="CT54" s="186">
        <f>CS54*CR54</f>
        <v>0</v>
      </c>
      <c r="CU54" s="220">
        <f>_辅助!BT52</f>
        <v>0</v>
      </c>
      <c r="CV54" s="186">
        <f>_辅助!AJ52</f>
        <v>0</v>
      </c>
      <c r="CW54" s="221">
        <f>CP54-CS54-CU54</f>
        <v>0</v>
      </c>
      <c r="CX54" s="187">
        <f>CQ54-CT54-CV54</f>
        <v>0</v>
      </c>
      <c r="CY54" s="236">
        <f>IF(AND(CP54&gt;0,CQ54&gt;0),0,CT54)</f>
        <v>0</v>
      </c>
      <c r="CZ54" s="220">
        <f>IF($B54="",0,SUMIFS(采购进货!$E$4:$E$1503,采购进货!$D$4:$D$1503,$B54,采购进货!$B$4:$B$1503,"&gt;="&amp;DATE(年度,9,1),采购进货!$B$4:$B$1503,"&lt;"&amp;DATE(年度,9+1,1))+SUMIFS(采购进货!$H$4:$H$1503,采购进货!$D$4:$D$1503,$B54,采购进货!$B$4:$B$1503,"&gt;="&amp;DATE(年度,9,1),采购进货!$B$4:$B$1503,"&lt;"&amp;DATE(年度,9+1,1)))</f>
        <v>0</v>
      </c>
      <c r="DA54" s="186">
        <f>IF($B54="",0,SUMIFS(采购进货!$G$4:$G$1503,采购进货!$D$4:$D$1503,$B54,采购进货!$B$4:$B$1503,"&gt;="&amp;DATE(年度,9,1),采购进货!$B$4:$B$1503,"&lt;"&amp;DATE(年度,9+1,1)))</f>
        <v>0</v>
      </c>
      <c r="DB54" s="234">
        <f>CW54+CZ54</f>
        <v>0</v>
      </c>
      <c r="DC54" s="235">
        <f>CX54+DA54</f>
        <v>0</v>
      </c>
      <c r="DD54" s="222">
        <f>IF(AND(DB54&gt;0,DC54&gt;0),DC54/DB54,N($E54))</f>
        <v>0</v>
      </c>
      <c r="DE54" s="220">
        <f>IF($B54="",0,SUMIFS(出库明细!$E$4:$E$3003,出库明细!$D$4:$D$3003,$B54,出库明细!$B$4:$B$3003,"&gt;="&amp;DATE(年度,9,1),出库明细!$B$4:$B$3003,"&lt;"&amp;DATE(年度,9+1,1)))</f>
        <v>0</v>
      </c>
      <c r="DF54" s="186">
        <f>DE54*DD54</f>
        <v>0</v>
      </c>
      <c r="DG54" s="220">
        <f>_辅助!BU52</f>
        <v>0</v>
      </c>
      <c r="DH54" s="186">
        <f>_辅助!AK52</f>
        <v>0</v>
      </c>
      <c r="DI54" s="221">
        <f>DB54-DE54-DG54</f>
        <v>0</v>
      </c>
      <c r="DJ54" s="187">
        <f>DC54-DF54-DH54</f>
        <v>0</v>
      </c>
      <c r="DK54" s="236">
        <f>IF(AND(DB54&gt;0,DC54&gt;0),0,DF54)</f>
        <v>0</v>
      </c>
      <c r="DL54" s="220">
        <f>IF($B54="",0,SUMIFS(采购进货!$E$4:$E$1503,采购进货!$D$4:$D$1503,$B54,采购进货!$B$4:$B$1503,"&gt;="&amp;DATE(年度,10,1),采购进货!$B$4:$B$1503,"&lt;"&amp;DATE(年度,10+1,1))+SUMIFS(采购进货!$H$4:$H$1503,采购进货!$D$4:$D$1503,$B54,采购进货!$B$4:$B$1503,"&gt;="&amp;DATE(年度,10,1),采购进货!$B$4:$B$1503,"&lt;"&amp;DATE(年度,10+1,1)))</f>
        <v>0</v>
      </c>
      <c r="DM54" s="186">
        <f>IF($B54="",0,SUMIFS(采购进货!$G$4:$G$1503,采购进货!$D$4:$D$1503,$B54,采购进货!$B$4:$B$1503,"&gt;="&amp;DATE(年度,10,1),采购进货!$B$4:$B$1503,"&lt;"&amp;DATE(年度,10+1,1)))</f>
        <v>0</v>
      </c>
      <c r="DN54" s="234">
        <f>DI54+DL54</f>
        <v>0</v>
      </c>
      <c r="DO54" s="235">
        <f>DJ54+DM54</f>
        <v>0</v>
      </c>
      <c r="DP54" s="222">
        <f>IF(AND(DN54&gt;0,DO54&gt;0),DO54/DN54,N($E54))</f>
        <v>0</v>
      </c>
      <c r="DQ54" s="220">
        <f>IF($B54="",0,SUMIFS(出库明细!$E$4:$E$3003,出库明细!$D$4:$D$3003,$B54,出库明细!$B$4:$B$3003,"&gt;="&amp;DATE(年度,10,1),出库明细!$B$4:$B$3003,"&lt;"&amp;DATE(年度,10+1,1)))</f>
        <v>0</v>
      </c>
      <c r="DR54" s="186">
        <f>DQ54*DP54</f>
        <v>0</v>
      </c>
      <c r="DS54" s="220">
        <f>_辅助!BV52</f>
        <v>0</v>
      </c>
      <c r="DT54" s="186">
        <f>_辅助!AL52</f>
        <v>0</v>
      </c>
      <c r="DU54" s="221">
        <f>DN54-DQ54-DS54</f>
        <v>0</v>
      </c>
      <c r="DV54" s="187">
        <f>DO54-DR54-DT54</f>
        <v>0</v>
      </c>
      <c r="DW54" s="236">
        <f>IF(AND(DN54&gt;0,DO54&gt;0),0,DR54)</f>
        <v>0</v>
      </c>
      <c r="DX54" s="220">
        <f>IF($B54="",0,SUMIFS(采购进货!$E$4:$E$1503,采购进货!$D$4:$D$1503,$B54,采购进货!$B$4:$B$1503,"&gt;="&amp;DATE(年度,11,1),采购进货!$B$4:$B$1503,"&lt;"&amp;DATE(年度,11+1,1))+SUMIFS(采购进货!$H$4:$H$1503,采购进货!$D$4:$D$1503,$B54,采购进货!$B$4:$B$1503,"&gt;="&amp;DATE(年度,11,1),采购进货!$B$4:$B$1503,"&lt;"&amp;DATE(年度,11+1,1)))</f>
        <v>0</v>
      </c>
      <c r="DY54" s="186">
        <f>IF($B54="",0,SUMIFS(采购进货!$G$4:$G$1503,采购进货!$D$4:$D$1503,$B54,采购进货!$B$4:$B$1503,"&gt;="&amp;DATE(年度,11,1),采购进货!$B$4:$B$1503,"&lt;"&amp;DATE(年度,11+1,1)))</f>
        <v>0</v>
      </c>
      <c r="DZ54" s="234">
        <f>DU54+DX54</f>
        <v>0</v>
      </c>
      <c r="EA54" s="235">
        <f>DV54+DY54</f>
        <v>0</v>
      </c>
      <c r="EB54" s="222">
        <f>IF(AND(DZ54&gt;0,EA54&gt;0),EA54/DZ54,N($E54))</f>
        <v>0</v>
      </c>
      <c r="EC54" s="220">
        <f>IF($B54="",0,SUMIFS(出库明细!$E$4:$E$3003,出库明细!$D$4:$D$3003,$B54,出库明细!$B$4:$B$3003,"&gt;="&amp;DATE(年度,11,1),出库明细!$B$4:$B$3003,"&lt;"&amp;DATE(年度,11+1,1)))</f>
        <v>0</v>
      </c>
      <c r="ED54" s="186">
        <f>EC54*EB54</f>
        <v>0</v>
      </c>
      <c r="EE54" s="220">
        <f>_辅助!BW52</f>
        <v>0</v>
      </c>
      <c r="EF54" s="186">
        <f>_辅助!AM52</f>
        <v>0</v>
      </c>
      <c r="EG54" s="221">
        <f>DZ54-EC54-EE54</f>
        <v>0</v>
      </c>
      <c r="EH54" s="187">
        <f>EA54-ED54-EF54</f>
        <v>0</v>
      </c>
      <c r="EI54" s="236">
        <f>IF(AND(DZ54&gt;0,EA54&gt;0),0,ED54)</f>
        <v>0</v>
      </c>
      <c r="EJ54" s="220">
        <f>IF($B54="",0,SUMIFS(采购进货!$E$4:$E$1503,采购进货!$D$4:$D$1503,$B54,采购进货!$B$4:$B$1503,"&gt;="&amp;DATE(年度,12,1),采购进货!$B$4:$B$1503,"&lt;"&amp;DATE(年度,12+1,1))+SUMIFS(采购进货!$H$4:$H$1503,采购进货!$D$4:$D$1503,$B54,采购进货!$B$4:$B$1503,"&gt;="&amp;DATE(年度,12,1),采购进货!$B$4:$B$1503,"&lt;"&amp;DATE(年度,12+1,1)))</f>
        <v>0</v>
      </c>
      <c r="EK54" s="186">
        <f>IF($B54="",0,SUMIFS(采购进货!$G$4:$G$1503,采购进货!$D$4:$D$1503,$B54,采购进货!$B$4:$B$1503,"&gt;="&amp;DATE(年度,12,1),采购进货!$B$4:$B$1503,"&lt;"&amp;DATE(年度,12+1,1)))</f>
        <v>0</v>
      </c>
      <c r="EL54" s="234">
        <f>EG54+EJ54</f>
        <v>0</v>
      </c>
      <c r="EM54" s="235">
        <f>EH54+EK54</f>
        <v>0</v>
      </c>
      <c r="EN54" s="222">
        <f>IF(AND(EL54&gt;0,EM54&gt;0),EM54/EL54,N($E54))</f>
        <v>0</v>
      </c>
      <c r="EO54" s="220">
        <f>IF($B54="",0,SUMIFS(出库明细!$E$4:$E$3003,出库明细!$D$4:$D$3003,$B54,出库明细!$B$4:$B$3003,"&gt;="&amp;DATE(年度,12,1),出库明细!$B$4:$B$3003,"&lt;"&amp;DATE(年度,12+1,1)))</f>
        <v>0</v>
      </c>
      <c r="EP54" s="186">
        <f>EO54*EN54</f>
        <v>0</v>
      </c>
      <c r="EQ54" s="220">
        <f>_辅助!BX52</f>
        <v>0</v>
      </c>
      <c r="ER54" s="186">
        <f>_辅助!AN52</f>
        <v>0</v>
      </c>
      <c r="ES54" s="221">
        <f>EL54-EO54-EQ54</f>
        <v>0</v>
      </c>
      <c r="ET54" s="187">
        <f>EM54-EP54-ER54</f>
        <v>0</v>
      </c>
      <c r="EU54" s="236">
        <f>IF(AND(EL54&gt;0,EM54&gt;0),0,EP54)</f>
        <v>0</v>
      </c>
    </row>
    <row r="55">
      <c r="A55" s="194">
        <f>IF(B55="","",ROW()-7)</f>
      </c>
      <c r="B55" s="141">
        <f>IF(基础资料!E52="","",基础资料!E52&amp;"")</f>
      </c>
      <c r="C55" s="230">
        <f>IF(基础资料!G52="","",基础资料!G52&amp;"")</f>
      </c>
      <c r="D55" s="194">
        <f>IF(基础资料!I52="","",基础资料!I52)</f>
      </c>
      <c r="E55" s="231">
        <f>IF(基础资料!J52="","",基础资料!J52)</f>
      </c>
      <c r="F55" s="232">
        <f>N(基础资料!L52)</f>
        <v>0</v>
      </c>
      <c r="G55" s="233">
        <f>IF(基础资料!N52="",0,基础资料!N52)</f>
        <v>0</v>
      </c>
      <c r="H55" s="220">
        <f>IF($B55="",0,SUMIFS(采购进货!$E$4:$E$1503,采购进货!$D$4:$D$1503,$B55,采购进货!$B$4:$B$1503,"&gt;="&amp;DATE(年度,1,1),采购进货!$B$4:$B$1503,"&lt;"&amp;DATE(年度,1+1,1))+SUMIFS(采购进货!$H$4:$H$1503,采购进货!$D$4:$D$1503,$B55,采购进货!$B$4:$B$1503,"&gt;="&amp;DATE(年度,1,1),采购进货!$B$4:$B$1503,"&lt;"&amp;DATE(年度,1+1,1)))</f>
        <v>0</v>
      </c>
      <c r="I55" s="186">
        <f>IF($B55="",0,SUMIFS(采购进货!$G$4:$G$1503,采购进货!$D$4:$D$1503,$B55,采购进货!$B$4:$B$1503,"&gt;="&amp;DATE(年度,1,1),采购进货!$B$4:$B$1503,"&lt;"&amp;DATE(年度,1+1,1)))</f>
        <v>0</v>
      </c>
      <c r="J55" s="234">
        <f>F55+H55</f>
        <v>0</v>
      </c>
      <c r="K55" s="235">
        <f>G55+I55</f>
        <v>0</v>
      </c>
      <c r="L55" s="222">
        <f>IF(AND(J55&gt;0,K55&gt;0),K55/J55,N($E55))</f>
        <v>0</v>
      </c>
      <c r="M55" s="220">
        <f>IF($B55="",0,SUMIFS(出库明细!$E$4:$E$3003,出库明细!$D$4:$D$3003,$B55,出库明细!$B$4:$B$3003,"&gt;="&amp;DATE(年度,1,1),出库明细!$B$4:$B$3003,"&lt;"&amp;DATE(年度,1+1,1)))</f>
        <v>0</v>
      </c>
      <c r="N55" s="186">
        <f>M55*L55</f>
        <v>0</v>
      </c>
      <c r="O55" s="220">
        <f>_辅助!BM53</f>
        <v>0</v>
      </c>
      <c r="P55" s="186">
        <f>_辅助!AC53</f>
        <v>0</v>
      </c>
      <c r="Q55" s="221">
        <f>J55-M55-O55</f>
        <v>0</v>
      </c>
      <c r="R55" s="187">
        <f>K55-N55-P55</f>
        <v>0</v>
      </c>
      <c r="S55" s="236">
        <f>IF(AND(J55&gt;0,K55&gt;0),0,N55)</f>
        <v>0</v>
      </c>
      <c r="T55" s="220">
        <f>IF($B55="",0,SUMIFS(采购进货!$E$4:$E$1503,采购进货!$D$4:$D$1503,$B55,采购进货!$B$4:$B$1503,"&gt;="&amp;DATE(年度,2,1),采购进货!$B$4:$B$1503,"&lt;"&amp;DATE(年度,2+1,1))+SUMIFS(采购进货!$H$4:$H$1503,采购进货!$D$4:$D$1503,$B55,采购进货!$B$4:$B$1503,"&gt;="&amp;DATE(年度,2,1),采购进货!$B$4:$B$1503,"&lt;"&amp;DATE(年度,2+1,1)))</f>
        <v>0</v>
      </c>
      <c r="U55" s="186">
        <f>IF($B55="",0,SUMIFS(采购进货!$G$4:$G$1503,采购进货!$D$4:$D$1503,$B55,采购进货!$B$4:$B$1503,"&gt;="&amp;DATE(年度,2,1),采购进货!$B$4:$B$1503,"&lt;"&amp;DATE(年度,2+1,1)))</f>
        <v>0</v>
      </c>
      <c r="V55" s="234">
        <f>Q55+T55</f>
        <v>0</v>
      </c>
      <c r="W55" s="235">
        <f>R55+U55</f>
        <v>0</v>
      </c>
      <c r="X55" s="222">
        <f>IF(AND(V55&gt;0,W55&gt;0),W55/V55,N($E55))</f>
        <v>0</v>
      </c>
      <c r="Y55" s="220">
        <f>IF($B55="",0,SUMIFS(出库明细!$E$4:$E$3003,出库明细!$D$4:$D$3003,$B55,出库明细!$B$4:$B$3003,"&gt;="&amp;DATE(年度,2,1),出库明细!$B$4:$B$3003,"&lt;"&amp;DATE(年度,2+1,1)))</f>
        <v>0</v>
      </c>
      <c r="Z55" s="186">
        <f>Y55*X55</f>
        <v>0</v>
      </c>
      <c r="AA55" s="220">
        <f>_辅助!BN53</f>
        <v>0</v>
      </c>
      <c r="AB55" s="186">
        <f>_辅助!AD53</f>
        <v>0</v>
      </c>
      <c r="AC55" s="221">
        <f>V55-Y55-AA55</f>
        <v>0</v>
      </c>
      <c r="AD55" s="187">
        <f>W55-Z55-AB55</f>
        <v>0</v>
      </c>
      <c r="AE55" s="236">
        <f>IF(AND(V55&gt;0,W55&gt;0),0,Z55)</f>
        <v>0</v>
      </c>
      <c r="AF55" s="220">
        <f>IF($B55="",0,SUMIFS(采购进货!$E$4:$E$1503,采购进货!$D$4:$D$1503,$B55,采购进货!$B$4:$B$1503,"&gt;="&amp;DATE(年度,3,1),采购进货!$B$4:$B$1503,"&lt;"&amp;DATE(年度,3+1,1))+SUMIFS(采购进货!$H$4:$H$1503,采购进货!$D$4:$D$1503,$B55,采购进货!$B$4:$B$1503,"&gt;="&amp;DATE(年度,3,1),采购进货!$B$4:$B$1503,"&lt;"&amp;DATE(年度,3+1,1)))</f>
        <v>0</v>
      </c>
      <c r="AG55" s="186">
        <f>IF($B55="",0,SUMIFS(采购进货!$G$4:$G$1503,采购进货!$D$4:$D$1503,$B55,采购进货!$B$4:$B$1503,"&gt;="&amp;DATE(年度,3,1),采购进货!$B$4:$B$1503,"&lt;"&amp;DATE(年度,3+1,1)))</f>
        <v>0</v>
      </c>
      <c r="AH55" s="234">
        <f>AC55+AF55</f>
        <v>0</v>
      </c>
      <c r="AI55" s="235">
        <f>AD55+AG55</f>
        <v>0</v>
      </c>
      <c r="AJ55" s="222">
        <f>IF(AND(AH55&gt;0,AI55&gt;0),AI55/AH55,N($E55))</f>
        <v>0</v>
      </c>
      <c r="AK55" s="220">
        <f>IF($B55="",0,SUMIFS(出库明细!$E$4:$E$3003,出库明细!$D$4:$D$3003,$B55,出库明细!$B$4:$B$3003,"&gt;="&amp;DATE(年度,3,1),出库明细!$B$4:$B$3003,"&lt;"&amp;DATE(年度,3+1,1)))</f>
        <v>0</v>
      </c>
      <c r="AL55" s="186">
        <f>AK55*AJ55</f>
        <v>0</v>
      </c>
      <c r="AM55" s="220">
        <f>_辅助!BO53</f>
        <v>0</v>
      </c>
      <c r="AN55" s="186">
        <f>_辅助!AE53</f>
        <v>0</v>
      </c>
      <c r="AO55" s="221">
        <f>AH55-AK55-AM55</f>
        <v>0</v>
      </c>
      <c r="AP55" s="187">
        <f>AI55-AL55-AN55</f>
        <v>0</v>
      </c>
      <c r="AQ55" s="236">
        <f>IF(AND(AH55&gt;0,AI55&gt;0),0,AL55)</f>
        <v>0</v>
      </c>
      <c r="AR55" s="220">
        <f>IF($B55="",0,SUMIFS(采购进货!$E$4:$E$1503,采购进货!$D$4:$D$1503,$B55,采购进货!$B$4:$B$1503,"&gt;="&amp;DATE(年度,4,1),采购进货!$B$4:$B$1503,"&lt;"&amp;DATE(年度,4+1,1))+SUMIFS(采购进货!$H$4:$H$1503,采购进货!$D$4:$D$1503,$B55,采购进货!$B$4:$B$1503,"&gt;="&amp;DATE(年度,4,1),采购进货!$B$4:$B$1503,"&lt;"&amp;DATE(年度,4+1,1)))</f>
        <v>0</v>
      </c>
      <c r="AS55" s="186">
        <f>IF($B55="",0,SUMIFS(采购进货!$G$4:$G$1503,采购进货!$D$4:$D$1503,$B55,采购进货!$B$4:$B$1503,"&gt;="&amp;DATE(年度,4,1),采购进货!$B$4:$B$1503,"&lt;"&amp;DATE(年度,4+1,1)))</f>
        <v>0</v>
      </c>
      <c r="AT55" s="234">
        <f>AO55+AR55</f>
        <v>0</v>
      </c>
      <c r="AU55" s="235">
        <f>AP55+AS55</f>
        <v>0</v>
      </c>
      <c r="AV55" s="222">
        <f>IF(AND(AT55&gt;0,AU55&gt;0),AU55/AT55,N($E55))</f>
        <v>0</v>
      </c>
      <c r="AW55" s="220">
        <f>IF($B55="",0,SUMIFS(出库明细!$E$4:$E$3003,出库明细!$D$4:$D$3003,$B55,出库明细!$B$4:$B$3003,"&gt;="&amp;DATE(年度,4,1),出库明细!$B$4:$B$3003,"&lt;"&amp;DATE(年度,4+1,1)))</f>
        <v>0</v>
      </c>
      <c r="AX55" s="186">
        <f>AW55*AV55</f>
        <v>0</v>
      </c>
      <c r="AY55" s="220">
        <f>_辅助!BP53</f>
        <v>0</v>
      </c>
      <c r="AZ55" s="186">
        <f>_辅助!AF53</f>
        <v>0</v>
      </c>
      <c r="BA55" s="221">
        <f>AT55-AW55-AY55</f>
        <v>0</v>
      </c>
      <c r="BB55" s="187">
        <f>AU55-AX55-AZ55</f>
        <v>0</v>
      </c>
      <c r="BC55" s="236">
        <f>IF(AND(AT55&gt;0,AU55&gt;0),0,AX55)</f>
        <v>0</v>
      </c>
      <c r="BD55" s="220">
        <f>IF($B55="",0,SUMIFS(采购进货!$E$4:$E$1503,采购进货!$D$4:$D$1503,$B55,采购进货!$B$4:$B$1503,"&gt;="&amp;DATE(年度,5,1),采购进货!$B$4:$B$1503,"&lt;"&amp;DATE(年度,5+1,1))+SUMIFS(采购进货!$H$4:$H$1503,采购进货!$D$4:$D$1503,$B55,采购进货!$B$4:$B$1503,"&gt;="&amp;DATE(年度,5,1),采购进货!$B$4:$B$1503,"&lt;"&amp;DATE(年度,5+1,1)))</f>
        <v>0</v>
      </c>
      <c r="BE55" s="186">
        <f>IF($B55="",0,SUMIFS(采购进货!$G$4:$G$1503,采购进货!$D$4:$D$1503,$B55,采购进货!$B$4:$B$1503,"&gt;="&amp;DATE(年度,5,1),采购进货!$B$4:$B$1503,"&lt;"&amp;DATE(年度,5+1,1)))</f>
        <v>0</v>
      </c>
      <c r="BF55" s="234">
        <f>BA55+BD55</f>
        <v>0</v>
      </c>
      <c r="BG55" s="235">
        <f>BB55+BE55</f>
        <v>0</v>
      </c>
      <c r="BH55" s="222">
        <f>IF(AND(BF55&gt;0,BG55&gt;0),BG55/BF55,N($E55))</f>
        <v>0</v>
      </c>
      <c r="BI55" s="220">
        <f>IF($B55="",0,SUMIFS(出库明细!$E$4:$E$3003,出库明细!$D$4:$D$3003,$B55,出库明细!$B$4:$B$3003,"&gt;="&amp;DATE(年度,5,1),出库明细!$B$4:$B$3003,"&lt;"&amp;DATE(年度,5+1,1)))</f>
        <v>0</v>
      </c>
      <c r="BJ55" s="186">
        <f>BI55*BH55</f>
        <v>0</v>
      </c>
      <c r="BK55" s="220">
        <f>_辅助!BQ53</f>
        <v>0</v>
      </c>
      <c r="BL55" s="186">
        <f>_辅助!AG53</f>
        <v>0</v>
      </c>
      <c r="BM55" s="221">
        <f>BF55-BI55-BK55</f>
        <v>0</v>
      </c>
      <c r="BN55" s="187">
        <f>BG55-BJ55-BL55</f>
        <v>0</v>
      </c>
      <c r="BO55" s="236">
        <f>IF(AND(BF55&gt;0,BG55&gt;0),0,BJ55)</f>
        <v>0</v>
      </c>
      <c r="BP55" s="220">
        <f>IF($B55="",0,SUMIFS(采购进货!$E$4:$E$1503,采购进货!$D$4:$D$1503,$B55,采购进货!$B$4:$B$1503,"&gt;="&amp;DATE(年度,6,1),采购进货!$B$4:$B$1503,"&lt;"&amp;DATE(年度,6+1,1))+SUMIFS(采购进货!$H$4:$H$1503,采购进货!$D$4:$D$1503,$B55,采购进货!$B$4:$B$1503,"&gt;="&amp;DATE(年度,6,1),采购进货!$B$4:$B$1503,"&lt;"&amp;DATE(年度,6+1,1)))</f>
        <v>0</v>
      </c>
      <c r="BQ55" s="186">
        <f>IF($B55="",0,SUMIFS(采购进货!$G$4:$G$1503,采购进货!$D$4:$D$1503,$B55,采购进货!$B$4:$B$1503,"&gt;="&amp;DATE(年度,6,1),采购进货!$B$4:$B$1503,"&lt;"&amp;DATE(年度,6+1,1)))</f>
        <v>0</v>
      </c>
      <c r="BR55" s="234">
        <f>BM55+BP55</f>
        <v>0</v>
      </c>
      <c r="BS55" s="235">
        <f>BN55+BQ55</f>
        <v>0</v>
      </c>
      <c r="BT55" s="222">
        <f>IF(AND(BR55&gt;0,BS55&gt;0),BS55/BR55,N($E55))</f>
        <v>0</v>
      </c>
      <c r="BU55" s="220">
        <f>IF($B55="",0,SUMIFS(出库明细!$E$4:$E$3003,出库明细!$D$4:$D$3003,$B55,出库明细!$B$4:$B$3003,"&gt;="&amp;DATE(年度,6,1),出库明细!$B$4:$B$3003,"&lt;"&amp;DATE(年度,6+1,1)))</f>
        <v>0</v>
      </c>
      <c r="BV55" s="186">
        <f>BU55*BT55</f>
        <v>0</v>
      </c>
      <c r="BW55" s="220">
        <f>_辅助!BR53</f>
        <v>0</v>
      </c>
      <c r="BX55" s="186">
        <f>_辅助!AH53</f>
        <v>0</v>
      </c>
      <c r="BY55" s="221">
        <f>BR55-BU55-BW55</f>
        <v>0</v>
      </c>
      <c r="BZ55" s="187">
        <f>BS55-BV55-BX55</f>
        <v>0</v>
      </c>
      <c r="CA55" s="236">
        <f>IF(AND(BR55&gt;0,BS55&gt;0),0,BV55)</f>
        <v>0</v>
      </c>
      <c r="CB55" s="220">
        <f>IF($B55="",0,SUMIFS(采购进货!$E$4:$E$1503,采购进货!$D$4:$D$1503,$B55,采购进货!$B$4:$B$1503,"&gt;="&amp;DATE(年度,7,1),采购进货!$B$4:$B$1503,"&lt;"&amp;DATE(年度,7+1,1))+SUMIFS(采购进货!$H$4:$H$1503,采购进货!$D$4:$D$1503,$B55,采购进货!$B$4:$B$1503,"&gt;="&amp;DATE(年度,7,1),采购进货!$B$4:$B$1503,"&lt;"&amp;DATE(年度,7+1,1)))</f>
        <v>0</v>
      </c>
      <c r="CC55" s="186">
        <f>IF($B55="",0,SUMIFS(采购进货!$G$4:$G$1503,采购进货!$D$4:$D$1503,$B55,采购进货!$B$4:$B$1503,"&gt;="&amp;DATE(年度,7,1),采购进货!$B$4:$B$1503,"&lt;"&amp;DATE(年度,7+1,1)))</f>
        <v>0</v>
      </c>
      <c r="CD55" s="234">
        <f>BY55+CB55</f>
        <v>0</v>
      </c>
      <c r="CE55" s="235">
        <f>BZ55+CC55</f>
        <v>0</v>
      </c>
      <c r="CF55" s="222">
        <f>IF(AND(CD55&gt;0,CE55&gt;0),CE55/CD55,N($E55))</f>
        <v>0</v>
      </c>
      <c r="CG55" s="220">
        <f>IF($B55="",0,SUMIFS(出库明细!$E$4:$E$3003,出库明细!$D$4:$D$3003,$B55,出库明细!$B$4:$B$3003,"&gt;="&amp;DATE(年度,7,1),出库明细!$B$4:$B$3003,"&lt;"&amp;DATE(年度,7+1,1)))</f>
        <v>0</v>
      </c>
      <c r="CH55" s="186">
        <f>CG55*CF55</f>
        <v>0</v>
      </c>
      <c r="CI55" s="220">
        <f>_辅助!BS53</f>
        <v>0</v>
      </c>
      <c r="CJ55" s="186">
        <f>_辅助!AI53</f>
        <v>0</v>
      </c>
      <c r="CK55" s="221">
        <f>CD55-CG55-CI55</f>
        <v>0</v>
      </c>
      <c r="CL55" s="187">
        <f>CE55-CH55-CJ55</f>
        <v>0</v>
      </c>
      <c r="CM55" s="236">
        <f>IF(AND(CD55&gt;0,CE55&gt;0),0,CH55)</f>
        <v>0</v>
      </c>
      <c r="CN55" s="220">
        <f>IF($B55="",0,SUMIFS(采购进货!$E$4:$E$1503,采购进货!$D$4:$D$1503,$B55,采购进货!$B$4:$B$1503,"&gt;="&amp;DATE(年度,8,1),采购进货!$B$4:$B$1503,"&lt;"&amp;DATE(年度,8+1,1))+SUMIFS(采购进货!$H$4:$H$1503,采购进货!$D$4:$D$1503,$B55,采购进货!$B$4:$B$1503,"&gt;="&amp;DATE(年度,8,1),采购进货!$B$4:$B$1503,"&lt;"&amp;DATE(年度,8+1,1)))</f>
        <v>0</v>
      </c>
      <c r="CO55" s="186">
        <f>IF($B55="",0,SUMIFS(采购进货!$G$4:$G$1503,采购进货!$D$4:$D$1503,$B55,采购进货!$B$4:$B$1503,"&gt;="&amp;DATE(年度,8,1),采购进货!$B$4:$B$1503,"&lt;"&amp;DATE(年度,8+1,1)))</f>
        <v>0</v>
      </c>
      <c r="CP55" s="234">
        <f>CK55+CN55</f>
        <v>0</v>
      </c>
      <c r="CQ55" s="235">
        <f>CL55+CO55</f>
        <v>0</v>
      </c>
      <c r="CR55" s="222">
        <f>IF(AND(CP55&gt;0,CQ55&gt;0),CQ55/CP55,N($E55))</f>
        <v>0</v>
      </c>
      <c r="CS55" s="220">
        <f>IF($B55="",0,SUMIFS(出库明细!$E$4:$E$3003,出库明细!$D$4:$D$3003,$B55,出库明细!$B$4:$B$3003,"&gt;="&amp;DATE(年度,8,1),出库明细!$B$4:$B$3003,"&lt;"&amp;DATE(年度,8+1,1)))</f>
        <v>0</v>
      </c>
      <c r="CT55" s="186">
        <f>CS55*CR55</f>
        <v>0</v>
      </c>
      <c r="CU55" s="220">
        <f>_辅助!BT53</f>
        <v>0</v>
      </c>
      <c r="CV55" s="186">
        <f>_辅助!AJ53</f>
        <v>0</v>
      </c>
      <c r="CW55" s="221">
        <f>CP55-CS55-CU55</f>
        <v>0</v>
      </c>
      <c r="CX55" s="187">
        <f>CQ55-CT55-CV55</f>
        <v>0</v>
      </c>
      <c r="CY55" s="236">
        <f>IF(AND(CP55&gt;0,CQ55&gt;0),0,CT55)</f>
        <v>0</v>
      </c>
      <c r="CZ55" s="220">
        <f>IF($B55="",0,SUMIFS(采购进货!$E$4:$E$1503,采购进货!$D$4:$D$1503,$B55,采购进货!$B$4:$B$1503,"&gt;="&amp;DATE(年度,9,1),采购进货!$B$4:$B$1503,"&lt;"&amp;DATE(年度,9+1,1))+SUMIFS(采购进货!$H$4:$H$1503,采购进货!$D$4:$D$1503,$B55,采购进货!$B$4:$B$1503,"&gt;="&amp;DATE(年度,9,1),采购进货!$B$4:$B$1503,"&lt;"&amp;DATE(年度,9+1,1)))</f>
        <v>0</v>
      </c>
      <c r="DA55" s="186">
        <f>IF($B55="",0,SUMIFS(采购进货!$G$4:$G$1503,采购进货!$D$4:$D$1503,$B55,采购进货!$B$4:$B$1503,"&gt;="&amp;DATE(年度,9,1),采购进货!$B$4:$B$1503,"&lt;"&amp;DATE(年度,9+1,1)))</f>
        <v>0</v>
      </c>
      <c r="DB55" s="234">
        <f>CW55+CZ55</f>
        <v>0</v>
      </c>
      <c r="DC55" s="235">
        <f>CX55+DA55</f>
        <v>0</v>
      </c>
      <c r="DD55" s="222">
        <f>IF(AND(DB55&gt;0,DC55&gt;0),DC55/DB55,N($E55))</f>
        <v>0</v>
      </c>
      <c r="DE55" s="220">
        <f>IF($B55="",0,SUMIFS(出库明细!$E$4:$E$3003,出库明细!$D$4:$D$3003,$B55,出库明细!$B$4:$B$3003,"&gt;="&amp;DATE(年度,9,1),出库明细!$B$4:$B$3003,"&lt;"&amp;DATE(年度,9+1,1)))</f>
        <v>0</v>
      </c>
      <c r="DF55" s="186">
        <f>DE55*DD55</f>
        <v>0</v>
      </c>
      <c r="DG55" s="220">
        <f>_辅助!BU53</f>
        <v>0</v>
      </c>
      <c r="DH55" s="186">
        <f>_辅助!AK53</f>
        <v>0</v>
      </c>
      <c r="DI55" s="221">
        <f>DB55-DE55-DG55</f>
        <v>0</v>
      </c>
      <c r="DJ55" s="187">
        <f>DC55-DF55-DH55</f>
        <v>0</v>
      </c>
      <c r="DK55" s="236">
        <f>IF(AND(DB55&gt;0,DC55&gt;0),0,DF55)</f>
        <v>0</v>
      </c>
      <c r="DL55" s="220">
        <f>IF($B55="",0,SUMIFS(采购进货!$E$4:$E$1503,采购进货!$D$4:$D$1503,$B55,采购进货!$B$4:$B$1503,"&gt;="&amp;DATE(年度,10,1),采购进货!$B$4:$B$1503,"&lt;"&amp;DATE(年度,10+1,1))+SUMIFS(采购进货!$H$4:$H$1503,采购进货!$D$4:$D$1503,$B55,采购进货!$B$4:$B$1503,"&gt;="&amp;DATE(年度,10,1),采购进货!$B$4:$B$1503,"&lt;"&amp;DATE(年度,10+1,1)))</f>
        <v>0</v>
      </c>
      <c r="DM55" s="186">
        <f>IF($B55="",0,SUMIFS(采购进货!$G$4:$G$1503,采购进货!$D$4:$D$1503,$B55,采购进货!$B$4:$B$1503,"&gt;="&amp;DATE(年度,10,1),采购进货!$B$4:$B$1503,"&lt;"&amp;DATE(年度,10+1,1)))</f>
        <v>0</v>
      </c>
      <c r="DN55" s="234">
        <f>DI55+DL55</f>
        <v>0</v>
      </c>
      <c r="DO55" s="235">
        <f>DJ55+DM55</f>
        <v>0</v>
      </c>
      <c r="DP55" s="222">
        <f>IF(AND(DN55&gt;0,DO55&gt;0),DO55/DN55,N($E55))</f>
        <v>0</v>
      </c>
      <c r="DQ55" s="220">
        <f>IF($B55="",0,SUMIFS(出库明细!$E$4:$E$3003,出库明细!$D$4:$D$3003,$B55,出库明细!$B$4:$B$3003,"&gt;="&amp;DATE(年度,10,1),出库明细!$B$4:$B$3003,"&lt;"&amp;DATE(年度,10+1,1)))</f>
        <v>0</v>
      </c>
      <c r="DR55" s="186">
        <f>DQ55*DP55</f>
        <v>0</v>
      </c>
      <c r="DS55" s="220">
        <f>_辅助!BV53</f>
        <v>0</v>
      </c>
      <c r="DT55" s="186">
        <f>_辅助!AL53</f>
        <v>0</v>
      </c>
      <c r="DU55" s="221">
        <f>DN55-DQ55-DS55</f>
        <v>0</v>
      </c>
      <c r="DV55" s="187">
        <f>DO55-DR55-DT55</f>
        <v>0</v>
      </c>
      <c r="DW55" s="236">
        <f>IF(AND(DN55&gt;0,DO55&gt;0),0,DR55)</f>
        <v>0</v>
      </c>
      <c r="DX55" s="220">
        <f>IF($B55="",0,SUMIFS(采购进货!$E$4:$E$1503,采购进货!$D$4:$D$1503,$B55,采购进货!$B$4:$B$1503,"&gt;="&amp;DATE(年度,11,1),采购进货!$B$4:$B$1503,"&lt;"&amp;DATE(年度,11+1,1))+SUMIFS(采购进货!$H$4:$H$1503,采购进货!$D$4:$D$1503,$B55,采购进货!$B$4:$B$1503,"&gt;="&amp;DATE(年度,11,1),采购进货!$B$4:$B$1503,"&lt;"&amp;DATE(年度,11+1,1)))</f>
        <v>0</v>
      </c>
      <c r="DY55" s="186">
        <f>IF($B55="",0,SUMIFS(采购进货!$G$4:$G$1503,采购进货!$D$4:$D$1503,$B55,采购进货!$B$4:$B$1503,"&gt;="&amp;DATE(年度,11,1),采购进货!$B$4:$B$1503,"&lt;"&amp;DATE(年度,11+1,1)))</f>
        <v>0</v>
      </c>
      <c r="DZ55" s="234">
        <f>DU55+DX55</f>
        <v>0</v>
      </c>
      <c r="EA55" s="235">
        <f>DV55+DY55</f>
        <v>0</v>
      </c>
      <c r="EB55" s="222">
        <f>IF(AND(DZ55&gt;0,EA55&gt;0),EA55/DZ55,N($E55))</f>
        <v>0</v>
      </c>
      <c r="EC55" s="220">
        <f>IF($B55="",0,SUMIFS(出库明细!$E$4:$E$3003,出库明细!$D$4:$D$3003,$B55,出库明细!$B$4:$B$3003,"&gt;="&amp;DATE(年度,11,1),出库明细!$B$4:$B$3003,"&lt;"&amp;DATE(年度,11+1,1)))</f>
        <v>0</v>
      </c>
      <c r="ED55" s="186">
        <f>EC55*EB55</f>
        <v>0</v>
      </c>
      <c r="EE55" s="220">
        <f>_辅助!BW53</f>
        <v>0</v>
      </c>
      <c r="EF55" s="186">
        <f>_辅助!AM53</f>
        <v>0</v>
      </c>
      <c r="EG55" s="221">
        <f>DZ55-EC55-EE55</f>
        <v>0</v>
      </c>
      <c r="EH55" s="187">
        <f>EA55-ED55-EF55</f>
        <v>0</v>
      </c>
      <c r="EI55" s="236">
        <f>IF(AND(DZ55&gt;0,EA55&gt;0),0,ED55)</f>
        <v>0</v>
      </c>
      <c r="EJ55" s="220">
        <f>IF($B55="",0,SUMIFS(采购进货!$E$4:$E$1503,采购进货!$D$4:$D$1503,$B55,采购进货!$B$4:$B$1503,"&gt;="&amp;DATE(年度,12,1),采购进货!$B$4:$B$1503,"&lt;"&amp;DATE(年度,12+1,1))+SUMIFS(采购进货!$H$4:$H$1503,采购进货!$D$4:$D$1503,$B55,采购进货!$B$4:$B$1503,"&gt;="&amp;DATE(年度,12,1),采购进货!$B$4:$B$1503,"&lt;"&amp;DATE(年度,12+1,1)))</f>
        <v>0</v>
      </c>
      <c r="EK55" s="186">
        <f>IF($B55="",0,SUMIFS(采购进货!$G$4:$G$1503,采购进货!$D$4:$D$1503,$B55,采购进货!$B$4:$B$1503,"&gt;="&amp;DATE(年度,12,1),采购进货!$B$4:$B$1503,"&lt;"&amp;DATE(年度,12+1,1)))</f>
        <v>0</v>
      </c>
      <c r="EL55" s="234">
        <f>EG55+EJ55</f>
        <v>0</v>
      </c>
      <c r="EM55" s="235">
        <f>EH55+EK55</f>
        <v>0</v>
      </c>
      <c r="EN55" s="222">
        <f>IF(AND(EL55&gt;0,EM55&gt;0),EM55/EL55,N($E55))</f>
        <v>0</v>
      </c>
      <c r="EO55" s="220">
        <f>IF($B55="",0,SUMIFS(出库明细!$E$4:$E$3003,出库明细!$D$4:$D$3003,$B55,出库明细!$B$4:$B$3003,"&gt;="&amp;DATE(年度,12,1),出库明细!$B$4:$B$3003,"&lt;"&amp;DATE(年度,12+1,1)))</f>
        <v>0</v>
      </c>
      <c r="EP55" s="186">
        <f>EO55*EN55</f>
        <v>0</v>
      </c>
      <c r="EQ55" s="220">
        <f>_辅助!BX53</f>
        <v>0</v>
      </c>
      <c r="ER55" s="186">
        <f>_辅助!AN53</f>
        <v>0</v>
      </c>
      <c r="ES55" s="221">
        <f>EL55-EO55-EQ55</f>
        <v>0</v>
      </c>
      <c r="ET55" s="187">
        <f>EM55-EP55-ER55</f>
        <v>0</v>
      </c>
      <c r="EU55" s="236">
        <f>IF(AND(EL55&gt;0,EM55&gt;0),0,EP55)</f>
        <v>0</v>
      </c>
    </row>
    <row r="56">
      <c r="A56" s="194">
        <f>IF(B56="","",ROW()-7)</f>
      </c>
      <c r="B56" s="141">
        <f>IF(基础资料!E53="","",基础资料!E53&amp;"")</f>
      </c>
      <c r="C56" s="230">
        <f>IF(基础资料!G53="","",基础资料!G53&amp;"")</f>
      </c>
      <c r="D56" s="194">
        <f>IF(基础资料!I53="","",基础资料!I53)</f>
      </c>
      <c r="E56" s="231">
        <f>IF(基础资料!J53="","",基础资料!J53)</f>
      </c>
      <c r="F56" s="232">
        <f>N(基础资料!L53)</f>
        <v>0</v>
      </c>
      <c r="G56" s="233">
        <f>IF(基础资料!N53="",0,基础资料!N53)</f>
        <v>0</v>
      </c>
      <c r="H56" s="220">
        <f>IF($B56="",0,SUMIFS(采购进货!$E$4:$E$1503,采购进货!$D$4:$D$1503,$B56,采购进货!$B$4:$B$1503,"&gt;="&amp;DATE(年度,1,1),采购进货!$B$4:$B$1503,"&lt;"&amp;DATE(年度,1+1,1))+SUMIFS(采购进货!$H$4:$H$1503,采购进货!$D$4:$D$1503,$B56,采购进货!$B$4:$B$1503,"&gt;="&amp;DATE(年度,1,1),采购进货!$B$4:$B$1503,"&lt;"&amp;DATE(年度,1+1,1)))</f>
        <v>0</v>
      </c>
      <c r="I56" s="186">
        <f>IF($B56="",0,SUMIFS(采购进货!$G$4:$G$1503,采购进货!$D$4:$D$1503,$B56,采购进货!$B$4:$B$1503,"&gt;="&amp;DATE(年度,1,1),采购进货!$B$4:$B$1503,"&lt;"&amp;DATE(年度,1+1,1)))</f>
        <v>0</v>
      </c>
      <c r="J56" s="234">
        <f>F56+H56</f>
        <v>0</v>
      </c>
      <c r="K56" s="235">
        <f>G56+I56</f>
        <v>0</v>
      </c>
      <c r="L56" s="222">
        <f>IF(AND(J56&gt;0,K56&gt;0),K56/J56,N($E56))</f>
        <v>0</v>
      </c>
      <c r="M56" s="220">
        <f>IF($B56="",0,SUMIFS(出库明细!$E$4:$E$3003,出库明细!$D$4:$D$3003,$B56,出库明细!$B$4:$B$3003,"&gt;="&amp;DATE(年度,1,1),出库明细!$B$4:$B$3003,"&lt;"&amp;DATE(年度,1+1,1)))</f>
        <v>0</v>
      </c>
      <c r="N56" s="186">
        <f>M56*L56</f>
        <v>0</v>
      </c>
      <c r="O56" s="220">
        <f>_辅助!BM54</f>
        <v>0</v>
      </c>
      <c r="P56" s="186">
        <f>_辅助!AC54</f>
        <v>0</v>
      </c>
      <c r="Q56" s="221">
        <f>J56-M56-O56</f>
        <v>0</v>
      </c>
      <c r="R56" s="187">
        <f>K56-N56-P56</f>
        <v>0</v>
      </c>
      <c r="S56" s="236">
        <f>IF(AND(J56&gt;0,K56&gt;0),0,N56)</f>
        <v>0</v>
      </c>
      <c r="T56" s="220">
        <f>IF($B56="",0,SUMIFS(采购进货!$E$4:$E$1503,采购进货!$D$4:$D$1503,$B56,采购进货!$B$4:$B$1503,"&gt;="&amp;DATE(年度,2,1),采购进货!$B$4:$B$1503,"&lt;"&amp;DATE(年度,2+1,1))+SUMIFS(采购进货!$H$4:$H$1503,采购进货!$D$4:$D$1503,$B56,采购进货!$B$4:$B$1503,"&gt;="&amp;DATE(年度,2,1),采购进货!$B$4:$B$1503,"&lt;"&amp;DATE(年度,2+1,1)))</f>
        <v>0</v>
      </c>
      <c r="U56" s="186">
        <f>IF($B56="",0,SUMIFS(采购进货!$G$4:$G$1503,采购进货!$D$4:$D$1503,$B56,采购进货!$B$4:$B$1503,"&gt;="&amp;DATE(年度,2,1),采购进货!$B$4:$B$1503,"&lt;"&amp;DATE(年度,2+1,1)))</f>
        <v>0</v>
      </c>
      <c r="V56" s="234">
        <f>Q56+T56</f>
        <v>0</v>
      </c>
      <c r="W56" s="235">
        <f>R56+U56</f>
        <v>0</v>
      </c>
      <c r="X56" s="222">
        <f>IF(AND(V56&gt;0,W56&gt;0),W56/V56,N($E56))</f>
        <v>0</v>
      </c>
      <c r="Y56" s="220">
        <f>IF($B56="",0,SUMIFS(出库明细!$E$4:$E$3003,出库明细!$D$4:$D$3003,$B56,出库明细!$B$4:$B$3003,"&gt;="&amp;DATE(年度,2,1),出库明细!$B$4:$B$3003,"&lt;"&amp;DATE(年度,2+1,1)))</f>
        <v>0</v>
      </c>
      <c r="Z56" s="186">
        <f>Y56*X56</f>
        <v>0</v>
      </c>
      <c r="AA56" s="220">
        <f>_辅助!BN54</f>
        <v>0</v>
      </c>
      <c r="AB56" s="186">
        <f>_辅助!AD54</f>
        <v>0</v>
      </c>
      <c r="AC56" s="221">
        <f>V56-Y56-AA56</f>
        <v>0</v>
      </c>
      <c r="AD56" s="187">
        <f>W56-Z56-AB56</f>
        <v>0</v>
      </c>
      <c r="AE56" s="236">
        <f>IF(AND(V56&gt;0,W56&gt;0),0,Z56)</f>
        <v>0</v>
      </c>
      <c r="AF56" s="220">
        <f>IF($B56="",0,SUMIFS(采购进货!$E$4:$E$1503,采购进货!$D$4:$D$1503,$B56,采购进货!$B$4:$B$1503,"&gt;="&amp;DATE(年度,3,1),采购进货!$B$4:$B$1503,"&lt;"&amp;DATE(年度,3+1,1))+SUMIFS(采购进货!$H$4:$H$1503,采购进货!$D$4:$D$1503,$B56,采购进货!$B$4:$B$1503,"&gt;="&amp;DATE(年度,3,1),采购进货!$B$4:$B$1503,"&lt;"&amp;DATE(年度,3+1,1)))</f>
        <v>0</v>
      </c>
      <c r="AG56" s="186">
        <f>IF($B56="",0,SUMIFS(采购进货!$G$4:$G$1503,采购进货!$D$4:$D$1503,$B56,采购进货!$B$4:$B$1503,"&gt;="&amp;DATE(年度,3,1),采购进货!$B$4:$B$1503,"&lt;"&amp;DATE(年度,3+1,1)))</f>
        <v>0</v>
      </c>
      <c r="AH56" s="234">
        <f>AC56+AF56</f>
        <v>0</v>
      </c>
      <c r="AI56" s="235">
        <f>AD56+AG56</f>
        <v>0</v>
      </c>
      <c r="AJ56" s="222">
        <f>IF(AND(AH56&gt;0,AI56&gt;0),AI56/AH56,N($E56))</f>
        <v>0</v>
      </c>
      <c r="AK56" s="220">
        <f>IF($B56="",0,SUMIFS(出库明细!$E$4:$E$3003,出库明细!$D$4:$D$3003,$B56,出库明细!$B$4:$B$3003,"&gt;="&amp;DATE(年度,3,1),出库明细!$B$4:$B$3003,"&lt;"&amp;DATE(年度,3+1,1)))</f>
        <v>0</v>
      </c>
      <c r="AL56" s="186">
        <f>AK56*AJ56</f>
        <v>0</v>
      </c>
      <c r="AM56" s="220">
        <f>_辅助!BO54</f>
        <v>0</v>
      </c>
      <c r="AN56" s="186">
        <f>_辅助!AE54</f>
        <v>0</v>
      </c>
      <c r="AO56" s="221">
        <f>AH56-AK56-AM56</f>
        <v>0</v>
      </c>
      <c r="AP56" s="187">
        <f>AI56-AL56-AN56</f>
        <v>0</v>
      </c>
      <c r="AQ56" s="236">
        <f>IF(AND(AH56&gt;0,AI56&gt;0),0,AL56)</f>
        <v>0</v>
      </c>
      <c r="AR56" s="220">
        <f>IF($B56="",0,SUMIFS(采购进货!$E$4:$E$1503,采购进货!$D$4:$D$1503,$B56,采购进货!$B$4:$B$1503,"&gt;="&amp;DATE(年度,4,1),采购进货!$B$4:$B$1503,"&lt;"&amp;DATE(年度,4+1,1))+SUMIFS(采购进货!$H$4:$H$1503,采购进货!$D$4:$D$1503,$B56,采购进货!$B$4:$B$1503,"&gt;="&amp;DATE(年度,4,1),采购进货!$B$4:$B$1503,"&lt;"&amp;DATE(年度,4+1,1)))</f>
        <v>0</v>
      </c>
      <c r="AS56" s="186">
        <f>IF($B56="",0,SUMIFS(采购进货!$G$4:$G$1503,采购进货!$D$4:$D$1503,$B56,采购进货!$B$4:$B$1503,"&gt;="&amp;DATE(年度,4,1),采购进货!$B$4:$B$1503,"&lt;"&amp;DATE(年度,4+1,1)))</f>
        <v>0</v>
      </c>
      <c r="AT56" s="234">
        <f>AO56+AR56</f>
        <v>0</v>
      </c>
      <c r="AU56" s="235">
        <f>AP56+AS56</f>
        <v>0</v>
      </c>
      <c r="AV56" s="222">
        <f>IF(AND(AT56&gt;0,AU56&gt;0),AU56/AT56,N($E56))</f>
        <v>0</v>
      </c>
      <c r="AW56" s="220">
        <f>IF($B56="",0,SUMIFS(出库明细!$E$4:$E$3003,出库明细!$D$4:$D$3003,$B56,出库明细!$B$4:$B$3003,"&gt;="&amp;DATE(年度,4,1),出库明细!$B$4:$B$3003,"&lt;"&amp;DATE(年度,4+1,1)))</f>
        <v>0</v>
      </c>
      <c r="AX56" s="186">
        <f>AW56*AV56</f>
        <v>0</v>
      </c>
      <c r="AY56" s="220">
        <f>_辅助!BP54</f>
        <v>0</v>
      </c>
      <c r="AZ56" s="186">
        <f>_辅助!AF54</f>
        <v>0</v>
      </c>
      <c r="BA56" s="221">
        <f>AT56-AW56-AY56</f>
        <v>0</v>
      </c>
      <c r="BB56" s="187">
        <f>AU56-AX56-AZ56</f>
        <v>0</v>
      </c>
      <c r="BC56" s="236">
        <f>IF(AND(AT56&gt;0,AU56&gt;0),0,AX56)</f>
        <v>0</v>
      </c>
      <c r="BD56" s="220">
        <f>IF($B56="",0,SUMIFS(采购进货!$E$4:$E$1503,采购进货!$D$4:$D$1503,$B56,采购进货!$B$4:$B$1503,"&gt;="&amp;DATE(年度,5,1),采购进货!$B$4:$B$1503,"&lt;"&amp;DATE(年度,5+1,1))+SUMIFS(采购进货!$H$4:$H$1503,采购进货!$D$4:$D$1503,$B56,采购进货!$B$4:$B$1503,"&gt;="&amp;DATE(年度,5,1),采购进货!$B$4:$B$1503,"&lt;"&amp;DATE(年度,5+1,1)))</f>
        <v>0</v>
      </c>
      <c r="BE56" s="186">
        <f>IF($B56="",0,SUMIFS(采购进货!$G$4:$G$1503,采购进货!$D$4:$D$1503,$B56,采购进货!$B$4:$B$1503,"&gt;="&amp;DATE(年度,5,1),采购进货!$B$4:$B$1503,"&lt;"&amp;DATE(年度,5+1,1)))</f>
        <v>0</v>
      </c>
      <c r="BF56" s="234">
        <f>BA56+BD56</f>
        <v>0</v>
      </c>
      <c r="BG56" s="235">
        <f>BB56+BE56</f>
        <v>0</v>
      </c>
      <c r="BH56" s="222">
        <f>IF(AND(BF56&gt;0,BG56&gt;0),BG56/BF56,N($E56))</f>
        <v>0</v>
      </c>
      <c r="BI56" s="220">
        <f>IF($B56="",0,SUMIFS(出库明细!$E$4:$E$3003,出库明细!$D$4:$D$3003,$B56,出库明细!$B$4:$B$3003,"&gt;="&amp;DATE(年度,5,1),出库明细!$B$4:$B$3003,"&lt;"&amp;DATE(年度,5+1,1)))</f>
        <v>0</v>
      </c>
      <c r="BJ56" s="186">
        <f>BI56*BH56</f>
        <v>0</v>
      </c>
      <c r="BK56" s="220">
        <f>_辅助!BQ54</f>
        <v>0</v>
      </c>
      <c r="BL56" s="186">
        <f>_辅助!AG54</f>
        <v>0</v>
      </c>
      <c r="BM56" s="221">
        <f>BF56-BI56-BK56</f>
        <v>0</v>
      </c>
      <c r="BN56" s="187">
        <f>BG56-BJ56-BL56</f>
        <v>0</v>
      </c>
      <c r="BO56" s="236">
        <f>IF(AND(BF56&gt;0,BG56&gt;0),0,BJ56)</f>
        <v>0</v>
      </c>
      <c r="BP56" s="220">
        <f>IF($B56="",0,SUMIFS(采购进货!$E$4:$E$1503,采购进货!$D$4:$D$1503,$B56,采购进货!$B$4:$B$1503,"&gt;="&amp;DATE(年度,6,1),采购进货!$B$4:$B$1503,"&lt;"&amp;DATE(年度,6+1,1))+SUMIFS(采购进货!$H$4:$H$1503,采购进货!$D$4:$D$1503,$B56,采购进货!$B$4:$B$1503,"&gt;="&amp;DATE(年度,6,1),采购进货!$B$4:$B$1503,"&lt;"&amp;DATE(年度,6+1,1)))</f>
        <v>0</v>
      </c>
      <c r="BQ56" s="186">
        <f>IF($B56="",0,SUMIFS(采购进货!$G$4:$G$1503,采购进货!$D$4:$D$1503,$B56,采购进货!$B$4:$B$1503,"&gt;="&amp;DATE(年度,6,1),采购进货!$B$4:$B$1503,"&lt;"&amp;DATE(年度,6+1,1)))</f>
        <v>0</v>
      </c>
      <c r="BR56" s="234">
        <f>BM56+BP56</f>
        <v>0</v>
      </c>
      <c r="BS56" s="235">
        <f>BN56+BQ56</f>
        <v>0</v>
      </c>
      <c r="BT56" s="222">
        <f>IF(AND(BR56&gt;0,BS56&gt;0),BS56/BR56,N($E56))</f>
        <v>0</v>
      </c>
      <c r="BU56" s="220">
        <f>IF($B56="",0,SUMIFS(出库明细!$E$4:$E$3003,出库明细!$D$4:$D$3003,$B56,出库明细!$B$4:$B$3003,"&gt;="&amp;DATE(年度,6,1),出库明细!$B$4:$B$3003,"&lt;"&amp;DATE(年度,6+1,1)))</f>
        <v>0</v>
      </c>
      <c r="BV56" s="186">
        <f>BU56*BT56</f>
        <v>0</v>
      </c>
      <c r="BW56" s="220">
        <f>_辅助!BR54</f>
        <v>0</v>
      </c>
      <c r="BX56" s="186">
        <f>_辅助!AH54</f>
        <v>0</v>
      </c>
      <c r="BY56" s="221">
        <f>BR56-BU56-BW56</f>
        <v>0</v>
      </c>
      <c r="BZ56" s="187">
        <f>BS56-BV56-BX56</f>
        <v>0</v>
      </c>
      <c r="CA56" s="236">
        <f>IF(AND(BR56&gt;0,BS56&gt;0),0,BV56)</f>
        <v>0</v>
      </c>
      <c r="CB56" s="220">
        <f>IF($B56="",0,SUMIFS(采购进货!$E$4:$E$1503,采购进货!$D$4:$D$1503,$B56,采购进货!$B$4:$B$1503,"&gt;="&amp;DATE(年度,7,1),采购进货!$B$4:$B$1503,"&lt;"&amp;DATE(年度,7+1,1))+SUMIFS(采购进货!$H$4:$H$1503,采购进货!$D$4:$D$1503,$B56,采购进货!$B$4:$B$1503,"&gt;="&amp;DATE(年度,7,1),采购进货!$B$4:$B$1503,"&lt;"&amp;DATE(年度,7+1,1)))</f>
        <v>0</v>
      </c>
      <c r="CC56" s="186">
        <f>IF($B56="",0,SUMIFS(采购进货!$G$4:$G$1503,采购进货!$D$4:$D$1503,$B56,采购进货!$B$4:$B$1503,"&gt;="&amp;DATE(年度,7,1),采购进货!$B$4:$B$1503,"&lt;"&amp;DATE(年度,7+1,1)))</f>
        <v>0</v>
      </c>
      <c r="CD56" s="234">
        <f>BY56+CB56</f>
        <v>0</v>
      </c>
      <c r="CE56" s="235">
        <f>BZ56+CC56</f>
        <v>0</v>
      </c>
      <c r="CF56" s="222">
        <f>IF(AND(CD56&gt;0,CE56&gt;0),CE56/CD56,N($E56))</f>
        <v>0</v>
      </c>
      <c r="CG56" s="220">
        <f>IF($B56="",0,SUMIFS(出库明细!$E$4:$E$3003,出库明细!$D$4:$D$3003,$B56,出库明细!$B$4:$B$3003,"&gt;="&amp;DATE(年度,7,1),出库明细!$B$4:$B$3003,"&lt;"&amp;DATE(年度,7+1,1)))</f>
        <v>0</v>
      </c>
      <c r="CH56" s="186">
        <f>CG56*CF56</f>
        <v>0</v>
      </c>
      <c r="CI56" s="220">
        <f>_辅助!BS54</f>
        <v>0</v>
      </c>
      <c r="CJ56" s="186">
        <f>_辅助!AI54</f>
        <v>0</v>
      </c>
      <c r="CK56" s="221">
        <f>CD56-CG56-CI56</f>
        <v>0</v>
      </c>
      <c r="CL56" s="187">
        <f>CE56-CH56-CJ56</f>
        <v>0</v>
      </c>
      <c r="CM56" s="236">
        <f>IF(AND(CD56&gt;0,CE56&gt;0),0,CH56)</f>
        <v>0</v>
      </c>
      <c r="CN56" s="220">
        <f>IF($B56="",0,SUMIFS(采购进货!$E$4:$E$1503,采购进货!$D$4:$D$1503,$B56,采购进货!$B$4:$B$1503,"&gt;="&amp;DATE(年度,8,1),采购进货!$B$4:$B$1503,"&lt;"&amp;DATE(年度,8+1,1))+SUMIFS(采购进货!$H$4:$H$1503,采购进货!$D$4:$D$1503,$B56,采购进货!$B$4:$B$1503,"&gt;="&amp;DATE(年度,8,1),采购进货!$B$4:$B$1503,"&lt;"&amp;DATE(年度,8+1,1)))</f>
        <v>0</v>
      </c>
      <c r="CO56" s="186">
        <f>IF($B56="",0,SUMIFS(采购进货!$G$4:$G$1503,采购进货!$D$4:$D$1503,$B56,采购进货!$B$4:$B$1503,"&gt;="&amp;DATE(年度,8,1),采购进货!$B$4:$B$1503,"&lt;"&amp;DATE(年度,8+1,1)))</f>
        <v>0</v>
      </c>
      <c r="CP56" s="234">
        <f>CK56+CN56</f>
        <v>0</v>
      </c>
      <c r="CQ56" s="235">
        <f>CL56+CO56</f>
        <v>0</v>
      </c>
      <c r="CR56" s="222">
        <f>IF(AND(CP56&gt;0,CQ56&gt;0),CQ56/CP56,N($E56))</f>
        <v>0</v>
      </c>
      <c r="CS56" s="220">
        <f>IF($B56="",0,SUMIFS(出库明细!$E$4:$E$3003,出库明细!$D$4:$D$3003,$B56,出库明细!$B$4:$B$3003,"&gt;="&amp;DATE(年度,8,1),出库明细!$B$4:$B$3003,"&lt;"&amp;DATE(年度,8+1,1)))</f>
        <v>0</v>
      </c>
      <c r="CT56" s="186">
        <f>CS56*CR56</f>
        <v>0</v>
      </c>
      <c r="CU56" s="220">
        <f>_辅助!BT54</f>
        <v>0</v>
      </c>
      <c r="CV56" s="186">
        <f>_辅助!AJ54</f>
        <v>0</v>
      </c>
      <c r="CW56" s="221">
        <f>CP56-CS56-CU56</f>
        <v>0</v>
      </c>
      <c r="CX56" s="187">
        <f>CQ56-CT56-CV56</f>
        <v>0</v>
      </c>
      <c r="CY56" s="236">
        <f>IF(AND(CP56&gt;0,CQ56&gt;0),0,CT56)</f>
        <v>0</v>
      </c>
      <c r="CZ56" s="220">
        <f>IF($B56="",0,SUMIFS(采购进货!$E$4:$E$1503,采购进货!$D$4:$D$1503,$B56,采购进货!$B$4:$B$1503,"&gt;="&amp;DATE(年度,9,1),采购进货!$B$4:$B$1503,"&lt;"&amp;DATE(年度,9+1,1))+SUMIFS(采购进货!$H$4:$H$1503,采购进货!$D$4:$D$1503,$B56,采购进货!$B$4:$B$1503,"&gt;="&amp;DATE(年度,9,1),采购进货!$B$4:$B$1503,"&lt;"&amp;DATE(年度,9+1,1)))</f>
        <v>0</v>
      </c>
      <c r="DA56" s="186">
        <f>IF($B56="",0,SUMIFS(采购进货!$G$4:$G$1503,采购进货!$D$4:$D$1503,$B56,采购进货!$B$4:$B$1503,"&gt;="&amp;DATE(年度,9,1),采购进货!$B$4:$B$1503,"&lt;"&amp;DATE(年度,9+1,1)))</f>
        <v>0</v>
      </c>
      <c r="DB56" s="234">
        <f>CW56+CZ56</f>
        <v>0</v>
      </c>
      <c r="DC56" s="235">
        <f>CX56+DA56</f>
        <v>0</v>
      </c>
      <c r="DD56" s="222">
        <f>IF(AND(DB56&gt;0,DC56&gt;0),DC56/DB56,N($E56))</f>
        <v>0</v>
      </c>
      <c r="DE56" s="220">
        <f>IF($B56="",0,SUMIFS(出库明细!$E$4:$E$3003,出库明细!$D$4:$D$3003,$B56,出库明细!$B$4:$B$3003,"&gt;="&amp;DATE(年度,9,1),出库明细!$B$4:$B$3003,"&lt;"&amp;DATE(年度,9+1,1)))</f>
        <v>0</v>
      </c>
      <c r="DF56" s="186">
        <f>DE56*DD56</f>
        <v>0</v>
      </c>
      <c r="DG56" s="220">
        <f>_辅助!BU54</f>
        <v>0</v>
      </c>
      <c r="DH56" s="186">
        <f>_辅助!AK54</f>
        <v>0</v>
      </c>
      <c r="DI56" s="221">
        <f>DB56-DE56-DG56</f>
        <v>0</v>
      </c>
      <c r="DJ56" s="187">
        <f>DC56-DF56-DH56</f>
        <v>0</v>
      </c>
      <c r="DK56" s="236">
        <f>IF(AND(DB56&gt;0,DC56&gt;0),0,DF56)</f>
        <v>0</v>
      </c>
      <c r="DL56" s="220">
        <f>IF($B56="",0,SUMIFS(采购进货!$E$4:$E$1503,采购进货!$D$4:$D$1503,$B56,采购进货!$B$4:$B$1503,"&gt;="&amp;DATE(年度,10,1),采购进货!$B$4:$B$1503,"&lt;"&amp;DATE(年度,10+1,1))+SUMIFS(采购进货!$H$4:$H$1503,采购进货!$D$4:$D$1503,$B56,采购进货!$B$4:$B$1503,"&gt;="&amp;DATE(年度,10,1),采购进货!$B$4:$B$1503,"&lt;"&amp;DATE(年度,10+1,1)))</f>
        <v>0</v>
      </c>
      <c r="DM56" s="186">
        <f>IF($B56="",0,SUMIFS(采购进货!$G$4:$G$1503,采购进货!$D$4:$D$1503,$B56,采购进货!$B$4:$B$1503,"&gt;="&amp;DATE(年度,10,1),采购进货!$B$4:$B$1503,"&lt;"&amp;DATE(年度,10+1,1)))</f>
        <v>0</v>
      </c>
      <c r="DN56" s="234">
        <f>DI56+DL56</f>
        <v>0</v>
      </c>
      <c r="DO56" s="235">
        <f>DJ56+DM56</f>
        <v>0</v>
      </c>
      <c r="DP56" s="222">
        <f>IF(AND(DN56&gt;0,DO56&gt;0),DO56/DN56,N($E56))</f>
        <v>0</v>
      </c>
      <c r="DQ56" s="220">
        <f>IF($B56="",0,SUMIFS(出库明细!$E$4:$E$3003,出库明细!$D$4:$D$3003,$B56,出库明细!$B$4:$B$3003,"&gt;="&amp;DATE(年度,10,1),出库明细!$B$4:$B$3003,"&lt;"&amp;DATE(年度,10+1,1)))</f>
        <v>0</v>
      </c>
      <c r="DR56" s="186">
        <f>DQ56*DP56</f>
        <v>0</v>
      </c>
      <c r="DS56" s="220">
        <f>_辅助!BV54</f>
        <v>0</v>
      </c>
      <c r="DT56" s="186">
        <f>_辅助!AL54</f>
        <v>0</v>
      </c>
      <c r="DU56" s="221">
        <f>DN56-DQ56-DS56</f>
        <v>0</v>
      </c>
      <c r="DV56" s="187">
        <f>DO56-DR56-DT56</f>
        <v>0</v>
      </c>
      <c r="DW56" s="236">
        <f>IF(AND(DN56&gt;0,DO56&gt;0),0,DR56)</f>
        <v>0</v>
      </c>
      <c r="DX56" s="220">
        <f>IF($B56="",0,SUMIFS(采购进货!$E$4:$E$1503,采购进货!$D$4:$D$1503,$B56,采购进货!$B$4:$B$1503,"&gt;="&amp;DATE(年度,11,1),采购进货!$B$4:$B$1503,"&lt;"&amp;DATE(年度,11+1,1))+SUMIFS(采购进货!$H$4:$H$1503,采购进货!$D$4:$D$1503,$B56,采购进货!$B$4:$B$1503,"&gt;="&amp;DATE(年度,11,1),采购进货!$B$4:$B$1503,"&lt;"&amp;DATE(年度,11+1,1)))</f>
        <v>0</v>
      </c>
      <c r="DY56" s="186">
        <f>IF($B56="",0,SUMIFS(采购进货!$G$4:$G$1503,采购进货!$D$4:$D$1503,$B56,采购进货!$B$4:$B$1503,"&gt;="&amp;DATE(年度,11,1),采购进货!$B$4:$B$1503,"&lt;"&amp;DATE(年度,11+1,1)))</f>
        <v>0</v>
      </c>
      <c r="DZ56" s="234">
        <f>DU56+DX56</f>
        <v>0</v>
      </c>
      <c r="EA56" s="235">
        <f>DV56+DY56</f>
        <v>0</v>
      </c>
      <c r="EB56" s="222">
        <f>IF(AND(DZ56&gt;0,EA56&gt;0),EA56/DZ56,N($E56))</f>
        <v>0</v>
      </c>
      <c r="EC56" s="220">
        <f>IF($B56="",0,SUMIFS(出库明细!$E$4:$E$3003,出库明细!$D$4:$D$3003,$B56,出库明细!$B$4:$B$3003,"&gt;="&amp;DATE(年度,11,1),出库明细!$B$4:$B$3003,"&lt;"&amp;DATE(年度,11+1,1)))</f>
        <v>0</v>
      </c>
      <c r="ED56" s="186">
        <f>EC56*EB56</f>
        <v>0</v>
      </c>
      <c r="EE56" s="220">
        <f>_辅助!BW54</f>
        <v>0</v>
      </c>
      <c r="EF56" s="186">
        <f>_辅助!AM54</f>
        <v>0</v>
      </c>
      <c r="EG56" s="221">
        <f>DZ56-EC56-EE56</f>
        <v>0</v>
      </c>
      <c r="EH56" s="187">
        <f>EA56-ED56-EF56</f>
        <v>0</v>
      </c>
      <c r="EI56" s="236">
        <f>IF(AND(DZ56&gt;0,EA56&gt;0),0,ED56)</f>
        <v>0</v>
      </c>
      <c r="EJ56" s="220">
        <f>IF($B56="",0,SUMIFS(采购进货!$E$4:$E$1503,采购进货!$D$4:$D$1503,$B56,采购进货!$B$4:$B$1503,"&gt;="&amp;DATE(年度,12,1),采购进货!$B$4:$B$1503,"&lt;"&amp;DATE(年度,12+1,1))+SUMIFS(采购进货!$H$4:$H$1503,采购进货!$D$4:$D$1503,$B56,采购进货!$B$4:$B$1503,"&gt;="&amp;DATE(年度,12,1),采购进货!$B$4:$B$1503,"&lt;"&amp;DATE(年度,12+1,1)))</f>
        <v>0</v>
      </c>
      <c r="EK56" s="186">
        <f>IF($B56="",0,SUMIFS(采购进货!$G$4:$G$1503,采购进货!$D$4:$D$1503,$B56,采购进货!$B$4:$B$1503,"&gt;="&amp;DATE(年度,12,1),采购进货!$B$4:$B$1503,"&lt;"&amp;DATE(年度,12+1,1)))</f>
        <v>0</v>
      </c>
      <c r="EL56" s="234">
        <f>EG56+EJ56</f>
        <v>0</v>
      </c>
      <c r="EM56" s="235">
        <f>EH56+EK56</f>
        <v>0</v>
      </c>
      <c r="EN56" s="222">
        <f>IF(AND(EL56&gt;0,EM56&gt;0),EM56/EL56,N($E56))</f>
        <v>0</v>
      </c>
      <c r="EO56" s="220">
        <f>IF($B56="",0,SUMIFS(出库明细!$E$4:$E$3003,出库明细!$D$4:$D$3003,$B56,出库明细!$B$4:$B$3003,"&gt;="&amp;DATE(年度,12,1),出库明细!$B$4:$B$3003,"&lt;"&amp;DATE(年度,12+1,1)))</f>
        <v>0</v>
      </c>
      <c r="EP56" s="186">
        <f>EO56*EN56</f>
        <v>0</v>
      </c>
      <c r="EQ56" s="220">
        <f>_辅助!BX54</f>
        <v>0</v>
      </c>
      <c r="ER56" s="186">
        <f>_辅助!AN54</f>
        <v>0</v>
      </c>
      <c r="ES56" s="221">
        <f>EL56-EO56-EQ56</f>
        <v>0</v>
      </c>
      <c r="ET56" s="187">
        <f>EM56-EP56-ER56</f>
        <v>0</v>
      </c>
      <c r="EU56" s="236">
        <f>IF(AND(EL56&gt;0,EM56&gt;0),0,EP56)</f>
        <v>0</v>
      </c>
    </row>
    <row r="57">
      <c r="A57" s="194">
        <f>IF(B57="","",ROW()-7)</f>
      </c>
      <c r="B57" s="141">
        <f>IF(基础资料!E54="","",基础资料!E54&amp;"")</f>
      </c>
      <c r="C57" s="230">
        <f>IF(基础资料!G54="","",基础资料!G54&amp;"")</f>
      </c>
      <c r="D57" s="194">
        <f>IF(基础资料!I54="","",基础资料!I54)</f>
      </c>
      <c r="E57" s="231">
        <f>IF(基础资料!J54="","",基础资料!J54)</f>
      </c>
      <c r="F57" s="232">
        <f>N(基础资料!L54)</f>
        <v>0</v>
      </c>
      <c r="G57" s="233">
        <f>IF(基础资料!N54="",0,基础资料!N54)</f>
        <v>0</v>
      </c>
      <c r="H57" s="220">
        <f>IF($B57="",0,SUMIFS(采购进货!$E$4:$E$1503,采购进货!$D$4:$D$1503,$B57,采购进货!$B$4:$B$1503,"&gt;="&amp;DATE(年度,1,1),采购进货!$B$4:$B$1503,"&lt;"&amp;DATE(年度,1+1,1))+SUMIFS(采购进货!$H$4:$H$1503,采购进货!$D$4:$D$1503,$B57,采购进货!$B$4:$B$1503,"&gt;="&amp;DATE(年度,1,1),采购进货!$B$4:$B$1503,"&lt;"&amp;DATE(年度,1+1,1)))</f>
        <v>0</v>
      </c>
      <c r="I57" s="186">
        <f>IF($B57="",0,SUMIFS(采购进货!$G$4:$G$1503,采购进货!$D$4:$D$1503,$B57,采购进货!$B$4:$B$1503,"&gt;="&amp;DATE(年度,1,1),采购进货!$B$4:$B$1503,"&lt;"&amp;DATE(年度,1+1,1)))</f>
        <v>0</v>
      </c>
      <c r="J57" s="234">
        <f>F57+H57</f>
        <v>0</v>
      </c>
      <c r="K57" s="235">
        <f>G57+I57</f>
        <v>0</v>
      </c>
      <c r="L57" s="222">
        <f>IF(AND(J57&gt;0,K57&gt;0),K57/J57,N($E57))</f>
        <v>0</v>
      </c>
      <c r="M57" s="220">
        <f>IF($B57="",0,SUMIFS(出库明细!$E$4:$E$3003,出库明细!$D$4:$D$3003,$B57,出库明细!$B$4:$B$3003,"&gt;="&amp;DATE(年度,1,1),出库明细!$B$4:$B$3003,"&lt;"&amp;DATE(年度,1+1,1)))</f>
        <v>0</v>
      </c>
      <c r="N57" s="186">
        <f>M57*L57</f>
        <v>0</v>
      </c>
      <c r="O57" s="220">
        <f>_辅助!BM55</f>
        <v>0</v>
      </c>
      <c r="P57" s="186">
        <f>_辅助!AC55</f>
        <v>0</v>
      </c>
      <c r="Q57" s="221">
        <f>J57-M57-O57</f>
        <v>0</v>
      </c>
      <c r="R57" s="187">
        <f>K57-N57-P57</f>
        <v>0</v>
      </c>
      <c r="S57" s="236">
        <f>IF(AND(J57&gt;0,K57&gt;0),0,N57)</f>
        <v>0</v>
      </c>
      <c r="T57" s="220">
        <f>IF($B57="",0,SUMIFS(采购进货!$E$4:$E$1503,采购进货!$D$4:$D$1503,$B57,采购进货!$B$4:$B$1503,"&gt;="&amp;DATE(年度,2,1),采购进货!$B$4:$B$1503,"&lt;"&amp;DATE(年度,2+1,1))+SUMIFS(采购进货!$H$4:$H$1503,采购进货!$D$4:$D$1503,$B57,采购进货!$B$4:$B$1503,"&gt;="&amp;DATE(年度,2,1),采购进货!$B$4:$B$1503,"&lt;"&amp;DATE(年度,2+1,1)))</f>
        <v>0</v>
      </c>
      <c r="U57" s="186">
        <f>IF($B57="",0,SUMIFS(采购进货!$G$4:$G$1503,采购进货!$D$4:$D$1503,$B57,采购进货!$B$4:$B$1503,"&gt;="&amp;DATE(年度,2,1),采购进货!$B$4:$B$1503,"&lt;"&amp;DATE(年度,2+1,1)))</f>
        <v>0</v>
      </c>
      <c r="V57" s="234">
        <f>Q57+T57</f>
        <v>0</v>
      </c>
      <c r="W57" s="235">
        <f>R57+U57</f>
        <v>0</v>
      </c>
      <c r="X57" s="222">
        <f>IF(AND(V57&gt;0,W57&gt;0),W57/V57,N($E57))</f>
        <v>0</v>
      </c>
      <c r="Y57" s="220">
        <f>IF($B57="",0,SUMIFS(出库明细!$E$4:$E$3003,出库明细!$D$4:$D$3003,$B57,出库明细!$B$4:$B$3003,"&gt;="&amp;DATE(年度,2,1),出库明细!$B$4:$B$3003,"&lt;"&amp;DATE(年度,2+1,1)))</f>
        <v>0</v>
      </c>
      <c r="Z57" s="186">
        <f>Y57*X57</f>
        <v>0</v>
      </c>
      <c r="AA57" s="220">
        <f>_辅助!BN55</f>
        <v>0</v>
      </c>
      <c r="AB57" s="186">
        <f>_辅助!AD55</f>
        <v>0</v>
      </c>
      <c r="AC57" s="221">
        <f>V57-Y57-AA57</f>
        <v>0</v>
      </c>
      <c r="AD57" s="187">
        <f>W57-Z57-AB57</f>
        <v>0</v>
      </c>
      <c r="AE57" s="236">
        <f>IF(AND(V57&gt;0,W57&gt;0),0,Z57)</f>
        <v>0</v>
      </c>
      <c r="AF57" s="220">
        <f>IF($B57="",0,SUMIFS(采购进货!$E$4:$E$1503,采购进货!$D$4:$D$1503,$B57,采购进货!$B$4:$B$1503,"&gt;="&amp;DATE(年度,3,1),采购进货!$B$4:$B$1503,"&lt;"&amp;DATE(年度,3+1,1))+SUMIFS(采购进货!$H$4:$H$1503,采购进货!$D$4:$D$1503,$B57,采购进货!$B$4:$B$1503,"&gt;="&amp;DATE(年度,3,1),采购进货!$B$4:$B$1503,"&lt;"&amp;DATE(年度,3+1,1)))</f>
        <v>0</v>
      </c>
      <c r="AG57" s="186">
        <f>IF($B57="",0,SUMIFS(采购进货!$G$4:$G$1503,采购进货!$D$4:$D$1503,$B57,采购进货!$B$4:$B$1503,"&gt;="&amp;DATE(年度,3,1),采购进货!$B$4:$B$1503,"&lt;"&amp;DATE(年度,3+1,1)))</f>
        <v>0</v>
      </c>
      <c r="AH57" s="234">
        <f>AC57+AF57</f>
        <v>0</v>
      </c>
      <c r="AI57" s="235">
        <f>AD57+AG57</f>
        <v>0</v>
      </c>
      <c r="AJ57" s="222">
        <f>IF(AND(AH57&gt;0,AI57&gt;0),AI57/AH57,N($E57))</f>
        <v>0</v>
      </c>
      <c r="AK57" s="220">
        <f>IF($B57="",0,SUMIFS(出库明细!$E$4:$E$3003,出库明细!$D$4:$D$3003,$B57,出库明细!$B$4:$B$3003,"&gt;="&amp;DATE(年度,3,1),出库明细!$B$4:$B$3003,"&lt;"&amp;DATE(年度,3+1,1)))</f>
        <v>0</v>
      </c>
      <c r="AL57" s="186">
        <f>AK57*AJ57</f>
        <v>0</v>
      </c>
      <c r="AM57" s="220">
        <f>_辅助!BO55</f>
        <v>0</v>
      </c>
      <c r="AN57" s="186">
        <f>_辅助!AE55</f>
        <v>0</v>
      </c>
      <c r="AO57" s="221">
        <f>AH57-AK57-AM57</f>
        <v>0</v>
      </c>
      <c r="AP57" s="187">
        <f>AI57-AL57-AN57</f>
        <v>0</v>
      </c>
      <c r="AQ57" s="236">
        <f>IF(AND(AH57&gt;0,AI57&gt;0),0,AL57)</f>
        <v>0</v>
      </c>
      <c r="AR57" s="220">
        <f>IF($B57="",0,SUMIFS(采购进货!$E$4:$E$1503,采购进货!$D$4:$D$1503,$B57,采购进货!$B$4:$B$1503,"&gt;="&amp;DATE(年度,4,1),采购进货!$B$4:$B$1503,"&lt;"&amp;DATE(年度,4+1,1))+SUMIFS(采购进货!$H$4:$H$1503,采购进货!$D$4:$D$1503,$B57,采购进货!$B$4:$B$1503,"&gt;="&amp;DATE(年度,4,1),采购进货!$B$4:$B$1503,"&lt;"&amp;DATE(年度,4+1,1)))</f>
        <v>0</v>
      </c>
      <c r="AS57" s="186">
        <f>IF($B57="",0,SUMIFS(采购进货!$G$4:$G$1503,采购进货!$D$4:$D$1503,$B57,采购进货!$B$4:$B$1503,"&gt;="&amp;DATE(年度,4,1),采购进货!$B$4:$B$1503,"&lt;"&amp;DATE(年度,4+1,1)))</f>
        <v>0</v>
      </c>
      <c r="AT57" s="234">
        <f>AO57+AR57</f>
        <v>0</v>
      </c>
      <c r="AU57" s="235">
        <f>AP57+AS57</f>
        <v>0</v>
      </c>
      <c r="AV57" s="222">
        <f>IF(AND(AT57&gt;0,AU57&gt;0),AU57/AT57,N($E57))</f>
        <v>0</v>
      </c>
      <c r="AW57" s="220">
        <f>IF($B57="",0,SUMIFS(出库明细!$E$4:$E$3003,出库明细!$D$4:$D$3003,$B57,出库明细!$B$4:$B$3003,"&gt;="&amp;DATE(年度,4,1),出库明细!$B$4:$B$3003,"&lt;"&amp;DATE(年度,4+1,1)))</f>
        <v>0</v>
      </c>
      <c r="AX57" s="186">
        <f>AW57*AV57</f>
        <v>0</v>
      </c>
      <c r="AY57" s="220">
        <f>_辅助!BP55</f>
        <v>0</v>
      </c>
      <c r="AZ57" s="186">
        <f>_辅助!AF55</f>
        <v>0</v>
      </c>
      <c r="BA57" s="221">
        <f>AT57-AW57-AY57</f>
        <v>0</v>
      </c>
      <c r="BB57" s="187">
        <f>AU57-AX57-AZ57</f>
        <v>0</v>
      </c>
      <c r="BC57" s="236">
        <f>IF(AND(AT57&gt;0,AU57&gt;0),0,AX57)</f>
        <v>0</v>
      </c>
      <c r="BD57" s="220">
        <f>IF($B57="",0,SUMIFS(采购进货!$E$4:$E$1503,采购进货!$D$4:$D$1503,$B57,采购进货!$B$4:$B$1503,"&gt;="&amp;DATE(年度,5,1),采购进货!$B$4:$B$1503,"&lt;"&amp;DATE(年度,5+1,1))+SUMIFS(采购进货!$H$4:$H$1503,采购进货!$D$4:$D$1503,$B57,采购进货!$B$4:$B$1503,"&gt;="&amp;DATE(年度,5,1),采购进货!$B$4:$B$1503,"&lt;"&amp;DATE(年度,5+1,1)))</f>
        <v>0</v>
      </c>
      <c r="BE57" s="186">
        <f>IF($B57="",0,SUMIFS(采购进货!$G$4:$G$1503,采购进货!$D$4:$D$1503,$B57,采购进货!$B$4:$B$1503,"&gt;="&amp;DATE(年度,5,1),采购进货!$B$4:$B$1503,"&lt;"&amp;DATE(年度,5+1,1)))</f>
        <v>0</v>
      </c>
      <c r="BF57" s="234">
        <f>BA57+BD57</f>
        <v>0</v>
      </c>
      <c r="BG57" s="235">
        <f>BB57+BE57</f>
        <v>0</v>
      </c>
      <c r="BH57" s="222">
        <f>IF(AND(BF57&gt;0,BG57&gt;0),BG57/BF57,N($E57))</f>
        <v>0</v>
      </c>
      <c r="BI57" s="220">
        <f>IF($B57="",0,SUMIFS(出库明细!$E$4:$E$3003,出库明细!$D$4:$D$3003,$B57,出库明细!$B$4:$B$3003,"&gt;="&amp;DATE(年度,5,1),出库明细!$B$4:$B$3003,"&lt;"&amp;DATE(年度,5+1,1)))</f>
        <v>0</v>
      </c>
      <c r="BJ57" s="186">
        <f>BI57*BH57</f>
        <v>0</v>
      </c>
      <c r="BK57" s="220">
        <f>_辅助!BQ55</f>
        <v>0</v>
      </c>
      <c r="BL57" s="186">
        <f>_辅助!AG55</f>
        <v>0</v>
      </c>
      <c r="BM57" s="221">
        <f>BF57-BI57-BK57</f>
        <v>0</v>
      </c>
      <c r="BN57" s="187">
        <f>BG57-BJ57-BL57</f>
        <v>0</v>
      </c>
      <c r="BO57" s="236">
        <f>IF(AND(BF57&gt;0,BG57&gt;0),0,BJ57)</f>
        <v>0</v>
      </c>
      <c r="BP57" s="220">
        <f>IF($B57="",0,SUMIFS(采购进货!$E$4:$E$1503,采购进货!$D$4:$D$1503,$B57,采购进货!$B$4:$B$1503,"&gt;="&amp;DATE(年度,6,1),采购进货!$B$4:$B$1503,"&lt;"&amp;DATE(年度,6+1,1))+SUMIFS(采购进货!$H$4:$H$1503,采购进货!$D$4:$D$1503,$B57,采购进货!$B$4:$B$1503,"&gt;="&amp;DATE(年度,6,1),采购进货!$B$4:$B$1503,"&lt;"&amp;DATE(年度,6+1,1)))</f>
        <v>0</v>
      </c>
      <c r="BQ57" s="186">
        <f>IF($B57="",0,SUMIFS(采购进货!$G$4:$G$1503,采购进货!$D$4:$D$1503,$B57,采购进货!$B$4:$B$1503,"&gt;="&amp;DATE(年度,6,1),采购进货!$B$4:$B$1503,"&lt;"&amp;DATE(年度,6+1,1)))</f>
        <v>0</v>
      </c>
      <c r="BR57" s="234">
        <f>BM57+BP57</f>
        <v>0</v>
      </c>
      <c r="BS57" s="235">
        <f>BN57+BQ57</f>
        <v>0</v>
      </c>
      <c r="BT57" s="222">
        <f>IF(AND(BR57&gt;0,BS57&gt;0),BS57/BR57,N($E57))</f>
        <v>0</v>
      </c>
      <c r="BU57" s="220">
        <f>IF($B57="",0,SUMIFS(出库明细!$E$4:$E$3003,出库明细!$D$4:$D$3003,$B57,出库明细!$B$4:$B$3003,"&gt;="&amp;DATE(年度,6,1),出库明细!$B$4:$B$3003,"&lt;"&amp;DATE(年度,6+1,1)))</f>
        <v>0</v>
      </c>
      <c r="BV57" s="186">
        <f>BU57*BT57</f>
        <v>0</v>
      </c>
      <c r="BW57" s="220">
        <f>_辅助!BR55</f>
        <v>0</v>
      </c>
      <c r="BX57" s="186">
        <f>_辅助!AH55</f>
        <v>0</v>
      </c>
      <c r="BY57" s="221">
        <f>BR57-BU57-BW57</f>
        <v>0</v>
      </c>
      <c r="BZ57" s="187">
        <f>BS57-BV57-BX57</f>
        <v>0</v>
      </c>
      <c r="CA57" s="236">
        <f>IF(AND(BR57&gt;0,BS57&gt;0),0,BV57)</f>
        <v>0</v>
      </c>
      <c r="CB57" s="220">
        <f>IF($B57="",0,SUMIFS(采购进货!$E$4:$E$1503,采购进货!$D$4:$D$1503,$B57,采购进货!$B$4:$B$1503,"&gt;="&amp;DATE(年度,7,1),采购进货!$B$4:$B$1503,"&lt;"&amp;DATE(年度,7+1,1))+SUMIFS(采购进货!$H$4:$H$1503,采购进货!$D$4:$D$1503,$B57,采购进货!$B$4:$B$1503,"&gt;="&amp;DATE(年度,7,1),采购进货!$B$4:$B$1503,"&lt;"&amp;DATE(年度,7+1,1)))</f>
        <v>0</v>
      </c>
      <c r="CC57" s="186">
        <f>IF($B57="",0,SUMIFS(采购进货!$G$4:$G$1503,采购进货!$D$4:$D$1503,$B57,采购进货!$B$4:$B$1503,"&gt;="&amp;DATE(年度,7,1),采购进货!$B$4:$B$1503,"&lt;"&amp;DATE(年度,7+1,1)))</f>
        <v>0</v>
      </c>
      <c r="CD57" s="234">
        <f>BY57+CB57</f>
        <v>0</v>
      </c>
      <c r="CE57" s="235">
        <f>BZ57+CC57</f>
        <v>0</v>
      </c>
      <c r="CF57" s="222">
        <f>IF(AND(CD57&gt;0,CE57&gt;0),CE57/CD57,N($E57))</f>
        <v>0</v>
      </c>
      <c r="CG57" s="220">
        <f>IF($B57="",0,SUMIFS(出库明细!$E$4:$E$3003,出库明细!$D$4:$D$3003,$B57,出库明细!$B$4:$B$3003,"&gt;="&amp;DATE(年度,7,1),出库明细!$B$4:$B$3003,"&lt;"&amp;DATE(年度,7+1,1)))</f>
        <v>0</v>
      </c>
      <c r="CH57" s="186">
        <f>CG57*CF57</f>
        <v>0</v>
      </c>
      <c r="CI57" s="220">
        <f>_辅助!BS55</f>
        <v>0</v>
      </c>
      <c r="CJ57" s="186">
        <f>_辅助!AI55</f>
        <v>0</v>
      </c>
      <c r="CK57" s="221">
        <f>CD57-CG57-CI57</f>
        <v>0</v>
      </c>
      <c r="CL57" s="187">
        <f>CE57-CH57-CJ57</f>
        <v>0</v>
      </c>
      <c r="CM57" s="236">
        <f>IF(AND(CD57&gt;0,CE57&gt;0),0,CH57)</f>
        <v>0</v>
      </c>
      <c r="CN57" s="220">
        <f>IF($B57="",0,SUMIFS(采购进货!$E$4:$E$1503,采购进货!$D$4:$D$1503,$B57,采购进货!$B$4:$B$1503,"&gt;="&amp;DATE(年度,8,1),采购进货!$B$4:$B$1503,"&lt;"&amp;DATE(年度,8+1,1))+SUMIFS(采购进货!$H$4:$H$1503,采购进货!$D$4:$D$1503,$B57,采购进货!$B$4:$B$1503,"&gt;="&amp;DATE(年度,8,1),采购进货!$B$4:$B$1503,"&lt;"&amp;DATE(年度,8+1,1)))</f>
        <v>0</v>
      </c>
      <c r="CO57" s="186">
        <f>IF($B57="",0,SUMIFS(采购进货!$G$4:$G$1503,采购进货!$D$4:$D$1503,$B57,采购进货!$B$4:$B$1503,"&gt;="&amp;DATE(年度,8,1),采购进货!$B$4:$B$1503,"&lt;"&amp;DATE(年度,8+1,1)))</f>
        <v>0</v>
      </c>
      <c r="CP57" s="234">
        <f>CK57+CN57</f>
        <v>0</v>
      </c>
      <c r="CQ57" s="235">
        <f>CL57+CO57</f>
        <v>0</v>
      </c>
      <c r="CR57" s="222">
        <f>IF(AND(CP57&gt;0,CQ57&gt;0),CQ57/CP57,N($E57))</f>
        <v>0</v>
      </c>
      <c r="CS57" s="220">
        <f>IF($B57="",0,SUMIFS(出库明细!$E$4:$E$3003,出库明细!$D$4:$D$3003,$B57,出库明细!$B$4:$B$3003,"&gt;="&amp;DATE(年度,8,1),出库明细!$B$4:$B$3003,"&lt;"&amp;DATE(年度,8+1,1)))</f>
        <v>0</v>
      </c>
      <c r="CT57" s="186">
        <f>CS57*CR57</f>
        <v>0</v>
      </c>
      <c r="CU57" s="220">
        <f>_辅助!BT55</f>
        <v>0</v>
      </c>
      <c r="CV57" s="186">
        <f>_辅助!AJ55</f>
        <v>0</v>
      </c>
      <c r="CW57" s="221">
        <f>CP57-CS57-CU57</f>
        <v>0</v>
      </c>
      <c r="CX57" s="187">
        <f>CQ57-CT57-CV57</f>
        <v>0</v>
      </c>
      <c r="CY57" s="236">
        <f>IF(AND(CP57&gt;0,CQ57&gt;0),0,CT57)</f>
        <v>0</v>
      </c>
      <c r="CZ57" s="220">
        <f>IF($B57="",0,SUMIFS(采购进货!$E$4:$E$1503,采购进货!$D$4:$D$1503,$B57,采购进货!$B$4:$B$1503,"&gt;="&amp;DATE(年度,9,1),采购进货!$B$4:$B$1503,"&lt;"&amp;DATE(年度,9+1,1))+SUMIFS(采购进货!$H$4:$H$1503,采购进货!$D$4:$D$1503,$B57,采购进货!$B$4:$B$1503,"&gt;="&amp;DATE(年度,9,1),采购进货!$B$4:$B$1503,"&lt;"&amp;DATE(年度,9+1,1)))</f>
        <v>0</v>
      </c>
      <c r="DA57" s="186">
        <f>IF($B57="",0,SUMIFS(采购进货!$G$4:$G$1503,采购进货!$D$4:$D$1503,$B57,采购进货!$B$4:$B$1503,"&gt;="&amp;DATE(年度,9,1),采购进货!$B$4:$B$1503,"&lt;"&amp;DATE(年度,9+1,1)))</f>
        <v>0</v>
      </c>
      <c r="DB57" s="234">
        <f>CW57+CZ57</f>
        <v>0</v>
      </c>
      <c r="DC57" s="235">
        <f>CX57+DA57</f>
        <v>0</v>
      </c>
      <c r="DD57" s="222">
        <f>IF(AND(DB57&gt;0,DC57&gt;0),DC57/DB57,N($E57))</f>
        <v>0</v>
      </c>
      <c r="DE57" s="220">
        <f>IF($B57="",0,SUMIFS(出库明细!$E$4:$E$3003,出库明细!$D$4:$D$3003,$B57,出库明细!$B$4:$B$3003,"&gt;="&amp;DATE(年度,9,1),出库明细!$B$4:$B$3003,"&lt;"&amp;DATE(年度,9+1,1)))</f>
        <v>0</v>
      </c>
      <c r="DF57" s="186">
        <f>DE57*DD57</f>
        <v>0</v>
      </c>
      <c r="DG57" s="220">
        <f>_辅助!BU55</f>
        <v>0</v>
      </c>
      <c r="DH57" s="186">
        <f>_辅助!AK55</f>
        <v>0</v>
      </c>
      <c r="DI57" s="221">
        <f>DB57-DE57-DG57</f>
        <v>0</v>
      </c>
      <c r="DJ57" s="187">
        <f>DC57-DF57-DH57</f>
        <v>0</v>
      </c>
      <c r="DK57" s="236">
        <f>IF(AND(DB57&gt;0,DC57&gt;0),0,DF57)</f>
        <v>0</v>
      </c>
      <c r="DL57" s="220">
        <f>IF($B57="",0,SUMIFS(采购进货!$E$4:$E$1503,采购进货!$D$4:$D$1503,$B57,采购进货!$B$4:$B$1503,"&gt;="&amp;DATE(年度,10,1),采购进货!$B$4:$B$1503,"&lt;"&amp;DATE(年度,10+1,1))+SUMIFS(采购进货!$H$4:$H$1503,采购进货!$D$4:$D$1503,$B57,采购进货!$B$4:$B$1503,"&gt;="&amp;DATE(年度,10,1),采购进货!$B$4:$B$1503,"&lt;"&amp;DATE(年度,10+1,1)))</f>
        <v>0</v>
      </c>
      <c r="DM57" s="186">
        <f>IF($B57="",0,SUMIFS(采购进货!$G$4:$G$1503,采购进货!$D$4:$D$1503,$B57,采购进货!$B$4:$B$1503,"&gt;="&amp;DATE(年度,10,1),采购进货!$B$4:$B$1503,"&lt;"&amp;DATE(年度,10+1,1)))</f>
        <v>0</v>
      </c>
      <c r="DN57" s="234">
        <f>DI57+DL57</f>
        <v>0</v>
      </c>
      <c r="DO57" s="235">
        <f>DJ57+DM57</f>
        <v>0</v>
      </c>
      <c r="DP57" s="222">
        <f>IF(AND(DN57&gt;0,DO57&gt;0),DO57/DN57,N($E57))</f>
        <v>0</v>
      </c>
      <c r="DQ57" s="220">
        <f>IF($B57="",0,SUMIFS(出库明细!$E$4:$E$3003,出库明细!$D$4:$D$3003,$B57,出库明细!$B$4:$B$3003,"&gt;="&amp;DATE(年度,10,1),出库明细!$B$4:$B$3003,"&lt;"&amp;DATE(年度,10+1,1)))</f>
        <v>0</v>
      </c>
      <c r="DR57" s="186">
        <f>DQ57*DP57</f>
        <v>0</v>
      </c>
      <c r="DS57" s="220">
        <f>_辅助!BV55</f>
        <v>0</v>
      </c>
      <c r="DT57" s="186">
        <f>_辅助!AL55</f>
        <v>0</v>
      </c>
      <c r="DU57" s="221">
        <f>DN57-DQ57-DS57</f>
        <v>0</v>
      </c>
      <c r="DV57" s="187">
        <f>DO57-DR57-DT57</f>
        <v>0</v>
      </c>
      <c r="DW57" s="236">
        <f>IF(AND(DN57&gt;0,DO57&gt;0),0,DR57)</f>
        <v>0</v>
      </c>
      <c r="DX57" s="220">
        <f>IF($B57="",0,SUMIFS(采购进货!$E$4:$E$1503,采购进货!$D$4:$D$1503,$B57,采购进货!$B$4:$B$1503,"&gt;="&amp;DATE(年度,11,1),采购进货!$B$4:$B$1503,"&lt;"&amp;DATE(年度,11+1,1))+SUMIFS(采购进货!$H$4:$H$1503,采购进货!$D$4:$D$1503,$B57,采购进货!$B$4:$B$1503,"&gt;="&amp;DATE(年度,11,1),采购进货!$B$4:$B$1503,"&lt;"&amp;DATE(年度,11+1,1)))</f>
        <v>0</v>
      </c>
      <c r="DY57" s="186">
        <f>IF($B57="",0,SUMIFS(采购进货!$G$4:$G$1503,采购进货!$D$4:$D$1503,$B57,采购进货!$B$4:$B$1503,"&gt;="&amp;DATE(年度,11,1),采购进货!$B$4:$B$1503,"&lt;"&amp;DATE(年度,11+1,1)))</f>
        <v>0</v>
      </c>
      <c r="DZ57" s="234">
        <f>DU57+DX57</f>
        <v>0</v>
      </c>
      <c r="EA57" s="235">
        <f>DV57+DY57</f>
        <v>0</v>
      </c>
      <c r="EB57" s="222">
        <f>IF(AND(DZ57&gt;0,EA57&gt;0),EA57/DZ57,N($E57))</f>
        <v>0</v>
      </c>
      <c r="EC57" s="220">
        <f>IF($B57="",0,SUMIFS(出库明细!$E$4:$E$3003,出库明细!$D$4:$D$3003,$B57,出库明细!$B$4:$B$3003,"&gt;="&amp;DATE(年度,11,1),出库明细!$B$4:$B$3003,"&lt;"&amp;DATE(年度,11+1,1)))</f>
        <v>0</v>
      </c>
      <c r="ED57" s="186">
        <f>EC57*EB57</f>
        <v>0</v>
      </c>
      <c r="EE57" s="220">
        <f>_辅助!BW55</f>
        <v>0</v>
      </c>
      <c r="EF57" s="186">
        <f>_辅助!AM55</f>
        <v>0</v>
      </c>
      <c r="EG57" s="221">
        <f>DZ57-EC57-EE57</f>
        <v>0</v>
      </c>
      <c r="EH57" s="187">
        <f>EA57-ED57-EF57</f>
        <v>0</v>
      </c>
      <c r="EI57" s="236">
        <f>IF(AND(DZ57&gt;0,EA57&gt;0),0,ED57)</f>
        <v>0</v>
      </c>
      <c r="EJ57" s="220">
        <f>IF($B57="",0,SUMIFS(采购进货!$E$4:$E$1503,采购进货!$D$4:$D$1503,$B57,采购进货!$B$4:$B$1503,"&gt;="&amp;DATE(年度,12,1),采购进货!$B$4:$B$1503,"&lt;"&amp;DATE(年度,12+1,1))+SUMIFS(采购进货!$H$4:$H$1503,采购进货!$D$4:$D$1503,$B57,采购进货!$B$4:$B$1503,"&gt;="&amp;DATE(年度,12,1),采购进货!$B$4:$B$1503,"&lt;"&amp;DATE(年度,12+1,1)))</f>
        <v>0</v>
      </c>
      <c r="EK57" s="186">
        <f>IF($B57="",0,SUMIFS(采购进货!$G$4:$G$1503,采购进货!$D$4:$D$1503,$B57,采购进货!$B$4:$B$1503,"&gt;="&amp;DATE(年度,12,1),采购进货!$B$4:$B$1503,"&lt;"&amp;DATE(年度,12+1,1)))</f>
        <v>0</v>
      </c>
      <c r="EL57" s="234">
        <f>EG57+EJ57</f>
        <v>0</v>
      </c>
      <c r="EM57" s="235">
        <f>EH57+EK57</f>
        <v>0</v>
      </c>
      <c r="EN57" s="222">
        <f>IF(AND(EL57&gt;0,EM57&gt;0),EM57/EL57,N($E57))</f>
        <v>0</v>
      </c>
      <c r="EO57" s="220">
        <f>IF($B57="",0,SUMIFS(出库明细!$E$4:$E$3003,出库明细!$D$4:$D$3003,$B57,出库明细!$B$4:$B$3003,"&gt;="&amp;DATE(年度,12,1),出库明细!$B$4:$B$3003,"&lt;"&amp;DATE(年度,12+1,1)))</f>
        <v>0</v>
      </c>
      <c r="EP57" s="186">
        <f>EO57*EN57</f>
        <v>0</v>
      </c>
      <c r="EQ57" s="220">
        <f>_辅助!BX55</f>
        <v>0</v>
      </c>
      <c r="ER57" s="186">
        <f>_辅助!AN55</f>
        <v>0</v>
      </c>
      <c r="ES57" s="221">
        <f>EL57-EO57-EQ57</f>
        <v>0</v>
      </c>
      <c r="ET57" s="187">
        <f>EM57-EP57-ER57</f>
        <v>0</v>
      </c>
      <c r="EU57" s="236">
        <f>IF(AND(EL57&gt;0,EM57&gt;0),0,EP57)</f>
        <v>0</v>
      </c>
    </row>
    <row r="58">
      <c r="A58" s="194">
        <f>IF(B58="","",ROW()-7)</f>
      </c>
      <c r="B58" s="141">
        <f>IF(基础资料!E55="","",基础资料!E55&amp;"")</f>
      </c>
      <c r="C58" s="230">
        <f>IF(基础资料!G55="","",基础资料!G55&amp;"")</f>
      </c>
      <c r="D58" s="194">
        <f>IF(基础资料!I55="","",基础资料!I55)</f>
      </c>
      <c r="E58" s="231">
        <f>IF(基础资料!J55="","",基础资料!J55)</f>
      </c>
      <c r="F58" s="232">
        <f>N(基础资料!L55)</f>
        <v>0</v>
      </c>
      <c r="G58" s="233">
        <f>IF(基础资料!N55="",0,基础资料!N55)</f>
        <v>0</v>
      </c>
      <c r="H58" s="220">
        <f>IF($B58="",0,SUMIFS(采购进货!$E$4:$E$1503,采购进货!$D$4:$D$1503,$B58,采购进货!$B$4:$B$1503,"&gt;="&amp;DATE(年度,1,1),采购进货!$B$4:$B$1503,"&lt;"&amp;DATE(年度,1+1,1))+SUMIFS(采购进货!$H$4:$H$1503,采购进货!$D$4:$D$1503,$B58,采购进货!$B$4:$B$1503,"&gt;="&amp;DATE(年度,1,1),采购进货!$B$4:$B$1503,"&lt;"&amp;DATE(年度,1+1,1)))</f>
        <v>0</v>
      </c>
      <c r="I58" s="186">
        <f>IF($B58="",0,SUMIFS(采购进货!$G$4:$G$1503,采购进货!$D$4:$D$1503,$B58,采购进货!$B$4:$B$1503,"&gt;="&amp;DATE(年度,1,1),采购进货!$B$4:$B$1503,"&lt;"&amp;DATE(年度,1+1,1)))</f>
        <v>0</v>
      </c>
      <c r="J58" s="234">
        <f>F58+H58</f>
        <v>0</v>
      </c>
      <c r="K58" s="235">
        <f>G58+I58</f>
        <v>0</v>
      </c>
      <c r="L58" s="222">
        <f>IF(AND(J58&gt;0,K58&gt;0),K58/J58,N($E58))</f>
        <v>0</v>
      </c>
      <c r="M58" s="220">
        <f>IF($B58="",0,SUMIFS(出库明细!$E$4:$E$3003,出库明细!$D$4:$D$3003,$B58,出库明细!$B$4:$B$3003,"&gt;="&amp;DATE(年度,1,1),出库明细!$B$4:$B$3003,"&lt;"&amp;DATE(年度,1+1,1)))</f>
        <v>0</v>
      </c>
      <c r="N58" s="186">
        <f>M58*L58</f>
        <v>0</v>
      </c>
      <c r="O58" s="220">
        <f>_辅助!BM56</f>
        <v>0</v>
      </c>
      <c r="P58" s="186">
        <f>_辅助!AC56</f>
        <v>0</v>
      </c>
      <c r="Q58" s="221">
        <f>J58-M58-O58</f>
        <v>0</v>
      </c>
      <c r="R58" s="187">
        <f>K58-N58-P58</f>
        <v>0</v>
      </c>
      <c r="S58" s="236">
        <f>IF(AND(J58&gt;0,K58&gt;0),0,N58)</f>
        <v>0</v>
      </c>
      <c r="T58" s="220">
        <f>IF($B58="",0,SUMIFS(采购进货!$E$4:$E$1503,采购进货!$D$4:$D$1503,$B58,采购进货!$B$4:$B$1503,"&gt;="&amp;DATE(年度,2,1),采购进货!$B$4:$B$1503,"&lt;"&amp;DATE(年度,2+1,1))+SUMIFS(采购进货!$H$4:$H$1503,采购进货!$D$4:$D$1503,$B58,采购进货!$B$4:$B$1503,"&gt;="&amp;DATE(年度,2,1),采购进货!$B$4:$B$1503,"&lt;"&amp;DATE(年度,2+1,1)))</f>
        <v>0</v>
      </c>
      <c r="U58" s="186">
        <f>IF($B58="",0,SUMIFS(采购进货!$G$4:$G$1503,采购进货!$D$4:$D$1503,$B58,采购进货!$B$4:$B$1503,"&gt;="&amp;DATE(年度,2,1),采购进货!$B$4:$B$1503,"&lt;"&amp;DATE(年度,2+1,1)))</f>
        <v>0</v>
      </c>
      <c r="V58" s="234">
        <f>Q58+T58</f>
        <v>0</v>
      </c>
      <c r="W58" s="235">
        <f>R58+U58</f>
        <v>0</v>
      </c>
      <c r="X58" s="222">
        <f>IF(AND(V58&gt;0,W58&gt;0),W58/V58,N($E58))</f>
        <v>0</v>
      </c>
      <c r="Y58" s="220">
        <f>IF($B58="",0,SUMIFS(出库明细!$E$4:$E$3003,出库明细!$D$4:$D$3003,$B58,出库明细!$B$4:$B$3003,"&gt;="&amp;DATE(年度,2,1),出库明细!$B$4:$B$3003,"&lt;"&amp;DATE(年度,2+1,1)))</f>
        <v>0</v>
      </c>
      <c r="Z58" s="186">
        <f>Y58*X58</f>
        <v>0</v>
      </c>
      <c r="AA58" s="220">
        <f>_辅助!BN56</f>
        <v>0</v>
      </c>
      <c r="AB58" s="186">
        <f>_辅助!AD56</f>
        <v>0</v>
      </c>
      <c r="AC58" s="221">
        <f>V58-Y58-AA58</f>
        <v>0</v>
      </c>
      <c r="AD58" s="187">
        <f>W58-Z58-AB58</f>
        <v>0</v>
      </c>
      <c r="AE58" s="236">
        <f>IF(AND(V58&gt;0,W58&gt;0),0,Z58)</f>
        <v>0</v>
      </c>
      <c r="AF58" s="220">
        <f>IF($B58="",0,SUMIFS(采购进货!$E$4:$E$1503,采购进货!$D$4:$D$1503,$B58,采购进货!$B$4:$B$1503,"&gt;="&amp;DATE(年度,3,1),采购进货!$B$4:$B$1503,"&lt;"&amp;DATE(年度,3+1,1))+SUMIFS(采购进货!$H$4:$H$1503,采购进货!$D$4:$D$1503,$B58,采购进货!$B$4:$B$1503,"&gt;="&amp;DATE(年度,3,1),采购进货!$B$4:$B$1503,"&lt;"&amp;DATE(年度,3+1,1)))</f>
        <v>0</v>
      </c>
      <c r="AG58" s="186">
        <f>IF($B58="",0,SUMIFS(采购进货!$G$4:$G$1503,采购进货!$D$4:$D$1503,$B58,采购进货!$B$4:$B$1503,"&gt;="&amp;DATE(年度,3,1),采购进货!$B$4:$B$1503,"&lt;"&amp;DATE(年度,3+1,1)))</f>
        <v>0</v>
      </c>
      <c r="AH58" s="234">
        <f>AC58+AF58</f>
        <v>0</v>
      </c>
      <c r="AI58" s="235">
        <f>AD58+AG58</f>
        <v>0</v>
      </c>
      <c r="AJ58" s="222">
        <f>IF(AND(AH58&gt;0,AI58&gt;0),AI58/AH58,N($E58))</f>
        <v>0</v>
      </c>
      <c r="AK58" s="220">
        <f>IF($B58="",0,SUMIFS(出库明细!$E$4:$E$3003,出库明细!$D$4:$D$3003,$B58,出库明细!$B$4:$B$3003,"&gt;="&amp;DATE(年度,3,1),出库明细!$B$4:$B$3003,"&lt;"&amp;DATE(年度,3+1,1)))</f>
        <v>0</v>
      </c>
      <c r="AL58" s="186">
        <f>AK58*AJ58</f>
        <v>0</v>
      </c>
      <c r="AM58" s="220">
        <f>_辅助!BO56</f>
        <v>0</v>
      </c>
      <c r="AN58" s="186">
        <f>_辅助!AE56</f>
        <v>0</v>
      </c>
      <c r="AO58" s="221">
        <f>AH58-AK58-AM58</f>
        <v>0</v>
      </c>
      <c r="AP58" s="187">
        <f>AI58-AL58-AN58</f>
        <v>0</v>
      </c>
      <c r="AQ58" s="236">
        <f>IF(AND(AH58&gt;0,AI58&gt;0),0,AL58)</f>
        <v>0</v>
      </c>
      <c r="AR58" s="220">
        <f>IF($B58="",0,SUMIFS(采购进货!$E$4:$E$1503,采购进货!$D$4:$D$1503,$B58,采购进货!$B$4:$B$1503,"&gt;="&amp;DATE(年度,4,1),采购进货!$B$4:$B$1503,"&lt;"&amp;DATE(年度,4+1,1))+SUMIFS(采购进货!$H$4:$H$1503,采购进货!$D$4:$D$1503,$B58,采购进货!$B$4:$B$1503,"&gt;="&amp;DATE(年度,4,1),采购进货!$B$4:$B$1503,"&lt;"&amp;DATE(年度,4+1,1)))</f>
        <v>0</v>
      </c>
      <c r="AS58" s="186">
        <f>IF($B58="",0,SUMIFS(采购进货!$G$4:$G$1503,采购进货!$D$4:$D$1503,$B58,采购进货!$B$4:$B$1503,"&gt;="&amp;DATE(年度,4,1),采购进货!$B$4:$B$1503,"&lt;"&amp;DATE(年度,4+1,1)))</f>
        <v>0</v>
      </c>
      <c r="AT58" s="234">
        <f>AO58+AR58</f>
        <v>0</v>
      </c>
      <c r="AU58" s="235">
        <f>AP58+AS58</f>
        <v>0</v>
      </c>
      <c r="AV58" s="222">
        <f>IF(AND(AT58&gt;0,AU58&gt;0),AU58/AT58,N($E58))</f>
        <v>0</v>
      </c>
      <c r="AW58" s="220">
        <f>IF($B58="",0,SUMIFS(出库明细!$E$4:$E$3003,出库明细!$D$4:$D$3003,$B58,出库明细!$B$4:$B$3003,"&gt;="&amp;DATE(年度,4,1),出库明细!$B$4:$B$3003,"&lt;"&amp;DATE(年度,4+1,1)))</f>
        <v>0</v>
      </c>
      <c r="AX58" s="186">
        <f>AW58*AV58</f>
        <v>0</v>
      </c>
      <c r="AY58" s="220">
        <f>_辅助!BP56</f>
        <v>0</v>
      </c>
      <c r="AZ58" s="186">
        <f>_辅助!AF56</f>
        <v>0</v>
      </c>
      <c r="BA58" s="221">
        <f>AT58-AW58-AY58</f>
        <v>0</v>
      </c>
      <c r="BB58" s="187">
        <f>AU58-AX58-AZ58</f>
        <v>0</v>
      </c>
      <c r="BC58" s="236">
        <f>IF(AND(AT58&gt;0,AU58&gt;0),0,AX58)</f>
        <v>0</v>
      </c>
      <c r="BD58" s="220">
        <f>IF($B58="",0,SUMIFS(采购进货!$E$4:$E$1503,采购进货!$D$4:$D$1503,$B58,采购进货!$B$4:$B$1503,"&gt;="&amp;DATE(年度,5,1),采购进货!$B$4:$B$1503,"&lt;"&amp;DATE(年度,5+1,1))+SUMIFS(采购进货!$H$4:$H$1503,采购进货!$D$4:$D$1503,$B58,采购进货!$B$4:$B$1503,"&gt;="&amp;DATE(年度,5,1),采购进货!$B$4:$B$1503,"&lt;"&amp;DATE(年度,5+1,1)))</f>
        <v>0</v>
      </c>
      <c r="BE58" s="186">
        <f>IF($B58="",0,SUMIFS(采购进货!$G$4:$G$1503,采购进货!$D$4:$D$1503,$B58,采购进货!$B$4:$B$1503,"&gt;="&amp;DATE(年度,5,1),采购进货!$B$4:$B$1503,"&lt;"&amp;DATE(年度,5+1,1)))</f>
        <v>0</v>
      </c>
      <c r="BF58" s="234">
        <f>BA58+BD58</f>
        <v>0</v>
      </c>
      <c r="BG58" s="235">
        <f>BB58+BE58</f>
        <v>0</v>
      </c>
      <c r="BH58" s="222">
        <f>IF(AND(BF58&gt;0,BG58&gt;0),BG58/BF58,N($E58))</f>
        <v>0</v>
      </c>
      <c r="BI58" s="220">
        <f>IF($B58="",0,SUMIFS(出库明细!$E$4:$E$3003,出库明细!$D$4:$D$3003,$B58,出库明细!$B$4:$B$3003,"&gt;="&amp;DATE(年度,5,1),出库明细!$B$4:$B$3003,"&lt;"&amp;DATE(年度,5+1,1)))</f>
        <v>0</v>
      </c>
      <c r="BJ58" s="186">
        <f>BI58*BH58</f>
        <v>0</v>
      </c>
      <c r="BK58" s="220">
        <f>_辅助!BQ56</f>
        <v>0</v>
      </c>
      <c r="BL58" s="186">
        <f>_辅助!AG56</f>
        <v>0</v>
      </c>
      <c r="BM58" s="221">
        <f>BF58-BI58-BK58</f>
        <v>0</v>
      </c>
      <c r="BN58" s="187">
        <f>BG58-BJ58-BL58</f>
        <v>0</v>
      </c>
      <c r="BO58" s="236">
        <f>IF(AND(BF58&gt;0,BG58&gt;0),0,BJ58)</f>
        <v>0</v>
      </c>
      <c r="BP58" s="220">
        <f>IF($B58="",0,SUMIFS(采购进货!$E$4:$E$1503,采购进货!$D$4:$D$1503,$B58,采购进货!$B$4:$B$1503,"&gt;="&amp;DATE(年度,6,1),采购进货!$B$4:$B$1503,"&lt;"&amp;DATE(年度,6+1,1))+SUMIFS(采购进货!$H$4:$H$1503,采购进货!$D$4:$D$1503,$B58,采购进货!$B$4:$B$1503,"&gt;="&amp;DATE(年度,6,1),采购进货!$B$4:$B$1503,"&lt;"&amp;DATE(年度,6+1,1)))</f>
        <v>0</v>
      </c>
      <c r="BQ58" s="186">
        <f>IF($B58="",0,SUMIFS(采购进货!$G$4:$G$1503,采购进货!$D$4:$D$1503,$B58,采购进货!$B$4:$B$1503,"&gt;="&amp;DATE(年度,6,1),采购进货!$B$4:$B$1503,"&lt;"&amp;DATE(年度,6+1,1)))</f>
        <v>0</v>
      </c>
      <c r="BR58" s="234">
        <f>BM58+BP58</f>
        <v>0</v>
      </c>
      <c r="BS58" s="235">
        <f>BN58+BQ58</f>
        <v>0</v>
      </c>
      <c r="BT58" s="222">
        <f>IF(AND(BR58&gt;0,BS58&gt;0),BS58/BR58,N($E58))</f>
        <v>0</v>
      </c>
      <c r="BU58" s="220">
        <f>IF($B58="",0,SUMIFS(出库明细!$E$4:$E$3003,出库明细!$D$4:$D$3003,$B58,出库明细!$B$4:$B$3003,"&gt;="&amp;DATE(年度,6,1),出库明细!$B$4:$B$3003,"&lt;"&amp;DATE(年度,6+1,1)))</f>
        <v>0</v>
      </c>
      <c r="BV58" s="186">
        <f>BU58*BT58</f>
        <v>0</v>
      </c>
      <c r="BW58" s="220">
        <f>_辅助!BR56</f>
        <v>0</v>
      </c>
      <c r="BX58" s="186">
        <f>_辅助!AH56</f>
        <v>0</v>
      </c>
      <c r="BY58" s="221">
        <f>BR58-BU58-BW58</f>
        <v>0</v>
      </c>
      <c r="BZ58" s="187">
        <f>BS58-BV58-BX58</f>
        <v>0</v>
      </c>
      <c r="CA58" s="236">
        <f>IF(AND(BR58&gt;0,BS58&gt;0),0,BV58)</f>
        <v>0</v>
      </c>
      <c r="CB58" s="220">
        <f>IF($B58="",0,SUMIFS(采购进货!$E$4:$E$1503,采购进货!$D$4:$D$1503,$B58,采购进货!$B$4:$B$1503,"&gt;="&amp;DATE(年度,7,1),采购进货!$B$4:$B$1503,"&lt;"&amp;DATE(年度,7+1,1))+SUMIFS(采购进货!$H$4:$H$1503,采购进货!$D$4:$D$1503,$B58,采购进货!$B$4:$B$1503,"&gt;="&amp;DATE(年度,7,1),采购进货!$B$4:$B$1503,"&lt;"&amp;DATE(年度,7+1,1)))</f>
        <v>0</v>
      </c>
      <c r="CC58" s="186">
        <f>IF($B58="",0,SUMIFS(采购进货!$G$4:$G$1503,采购进货!$D$4:$D$1503,$B58,采购进货!$B$4:$B$1503,"&gt;="&amp;DATE(年度,7,1),采购进货!$B$4:$B$1503,"&lt;"&amp;DATE(年度,7+1,1)))</f>
        <v>0</v>
      </c>
      <c r="CD58" s="234">
        <f>BY58+CB58</f>
        <v>0</v>
      </c>
      <c r="CE58" s="235">
        <f>BZ58+CC58</f>
        <v>0</v>
      </c>
      <c r="CF58" s="222">
        <f>IF(AND(CD58&gt;0,CE58&gt;0),CE58/CD58,N($E58))</f>
        <v>0</v>
      </c>
      <c r="CG58" s="220">
        <f>IF($B58="",0,SUMIFS(出库明细!$E$4:$E$3003,出库明细!$D$4:$D$3003,$B58,出库明细!$B$4:$B$3003,"&gt;="&amp;DATE(年度,7,1),出库明细!$B$4:$B$3003,"&lt;"&amp;DATE(年度,7+1,1)))</f>
        <v>0</v>
      </c>
      <c r="CH58" s="186">
        <f>CG58*CF58</f>
        <v>0</v>
      </c>
      <c r="CI58" s="220">
        <f>_辅助!BS56</f>
        <v>0</v>
      </c>
      <c r="CJ58" s="186">
        <f>_辅助!AI56</f>
        <v>0</v>
      </c>
      <c r="CK58" s="221">
        <f>CD58-CG58-CI58</f>
        <v>0</v>
      </c>
      <c r="CL58" s="187">
        <f>CE58-CH58-CJ58</f>
        <v>0</v>
      </c>
      <c r="CM58" s="236">
        <f>IF(AND(CD58&gt;0,CE58&gt;0),0,CH58)</f>
        <v>0</v>
      </c>
      <c r="CN58" s="220">
        <f>IF($B58="",0,SUMIFS(采购进货!$E$4:$E$1503,采购进货!$D$4:$D$1503,$B58,采购进货!$B$4:$B$1503,"&gt;="&amp;DATE(年度,8,1),采购进货!$B$4:$B$1503,"&lt;"&amp;DATE(年度,8+1,1))+SUMIFS(采购进货!$H$4:$H$1503,采购进货!$D$4:$D$1503,$B58,采购进货!$B$4:$B$1503,"&gt;="&amp;DATE(年度,8,1),采购进货!$B$4:$B$1503,"&lt;"&amp;DATE(年度,8+1,1)))</f>
        <v>0</v>
      </c>
      <c r="CO58" s="186">
        <f>IF($B58="",0,SUMIFS(采购进货!$G$4:$G$1503,采购进货!$D$4:$D$1503,$B58,采购进货!$B$4:$B$1503,"&gt;="&amp;DATE(年度,8,1),采购进货!$B$4:$B$1503,"&lt;"&amp;DATE(年度,8+1,1)))</f>
        <v>0</v>
      </c>
      <c r="CP58" s="234">
        <f>CK58+CN58</f>
        <v>0</v>
      </c>
      <c r="CQ58" s="235">
        <f>CL58+CO58</f>
        <v>0</v>
      </c>
      <c r="CR58" s="222">
        <f>IF(AND(CP58&gt;0,CQ58&gt;0),CQ58/CP58,N($E58))</f>
        <v>0</v>
      </c>
      <c r="CS58" s="220">
        <f>IF($B58="",0,SUMIFS(出库明细!$E$4:$E$3003,出库明细!$D$4:$D$3003,$B58,出库明细!$B$4:$B$3003,"&gt;="&amp;DATE(年度,8,1),出库明细!$B$4:$B$3003,"&lt;"&amp;DATE(年度,8+1,1)))</f>
        <v>0</v>
      </c>
      <c r="CT58" s="186">
        <f>CS58*CR58</f>
        <v>0</v>
      </c>
      <c r="CU58" s="220">
        <f>_辅助!BT56</f>
        <v>0</v>
      </c>
      <c r="CV58" s="186">
        <f>_辅助!AJ56</f>
        <v>0</v>
      </c>
      <c r="CW58" s="221">
        <f>CP58-CS58-CU58</f>
        <v>0</v>
      </c>
      <c r="CX58" s="187">
        <f>CQ58-CT58-CV58</f>
        <v>0</v>
      </c>
      <c r="CY58" s="236">
        <f>IF(AND(CP58&gt;0,CQ58&gt;0),0,CT58)</f>
        <v>0</v>
      </c>
      <c r="CZ58" s="220">
        <f>IF($B58="",0,SUMIFS(采购进货!$E$4:$E$1503,采购进货!$D$4:$D$1503,$B58,采购进货!$B$4:$B$1503,"&gt;="&amp;DATE(年度,9,1),采购进货!$B$4:$B$1503,"&lt;"&amp;DATE(年度,9+1,1))+SUMIFS(采购进货!$H$4:$H$1503,采购进货!$D$4:$D$1503,$B58,采购进货!$B$4:$B$1503,"&gt;="&amp;DATE(年度,9,1),采购进货!$B$4:$B$1503,"&lt;"&amp;DATE(年度,9+1,1)))</f>
        <v>0</v>
      </c>
      <c r="DA58" s="186">
        <f>IF($B58="",0,SUMIFS(采购进货!$G$4:$G$1503,采购进货!$D$4:$D$1503,$B58,采购进货!$B$4:$B$1503,"&gt;="&amp;DATE(年度,9,1),采购进货!$B$4:$B$1503,"&lt;"&amp;DATE(年度,9+1,1)))</f>
        <v>0</v>
      </c>
      <c r="DB58" s="234">
        <f>CW58+CZ58</f>
        <v>0</v>
      </c>
      <c r="DC58" s="235">
        <f>CX58+DA58</f>
        <v>0</v>
      </c>
      <c r="DD58" s="222">
        <f>IF(AND(DB58&gt;0,DC58&gt;0),DC58/DB58,N($E58))</f>
        <v>0</v>
      </c>
      <c r="DE58" s="220">
        <f>IF($B58="",0,SUMIFS(出库明细!$E$4:$E$3003,出库明细!$D$4:$D$3003,$B58,出库明细!$B$4:$B$3003,"&gt;="&amp;DATE(年度,9,1),出库明细!$B$4:$B$3003,"&lt;"&amp;DATE(年度,9+1,1)))</f>
        <v>0</v>
      </c>
      <c r="DF58" s="186">
        <f>DE58*DD58</f>
        <v>0</v>
      </c>
      <c r="DG58" s="220">
        <f>_辅助!BU56</f>
        <v>0</v>
      </c>
      <c r="DH58" s="186">
        <f>_辅助!AK56</f>
        <v>0</v>
      </c>
      <c r="DI58" s="221">
        <f>DB58-DE58-DG58</f>
        <v>0</v>
      </c>
      <c r="DJ58" s="187">
        <f>DC58-DF58-DH58</f>
        <v>0</v>
      </c>
      <c r="DK58" s="236">
        <f>IF(AND(DB58&gt;0,DC58&gt;0),0,DF58)</f>
        <v>0</v>
      </c>
      <c r="DL58" s="220">
        <f>IF($B58="",0,SUMIFS(采购进货!$E$4:$E$1503,采购进货!$D$4:$D$1503,$B58,采购进货!$B$4:$B$1503,"&gt;="&amp;DATE(年度,10,1),采购进货!$B$4:$B$1503,"&lt;"&amp;DATE(年度,10+1,1))+SUMIFS(采购进货!$H$4:$H$1503,采购进货!$D$4:$D$1503,$B58,采购进货!$B$4:$B$1503,"&gt;="&amp;DATE(年度,10,1),采购进货!$B$4:$B$1503,"&lt;"&amp;DATE(年度,10+1,1)))</f>
        <v>0</v>
      </c>
      <c r="DM58" s="186">
        <f>IF($B58="",0,SUMIFS(采购进货!$G$4:$G$1503,采购进货!$D$4:$D$1503,$B58,采购进货!$B$4:$B$1503,"&gt;="&amp;DATE(年度,10,1),采购进货!$B$4:$B$1503,"&lt;"&amp;DATE(年度,10+1,1)))</f>
        <v>0</v>
      </c>
      <c r="DN58" s="234">
        <f>DI58+DL58</f>
        <v>0</v>
      </c>
      <c r="DO58" s="235">
        <f>DJ58+DM58</f>
        <v>0</v>
      </c>
      <c r="DP58" s="222">
        <f>IF(AND(DN58&gt;0,DO58&gt;0),DO58/DN58,N($E58))</f>
        <v>0</v>
      </c>
      <c r="DQ58" s="220">
        <f>IF($B58="",0,SUMIFS(出库明细!$E$4:$E$3003,出库明细!$D$4:$D$3003,$B58,出库明细!$B$4:$B$3003,"&gt;="&amp;DATE(年度,10,1),出库明细!$B$4:$B$3003,"&lt;"&amp;DATE(年度,10+1,1)))</f>
        <v>0</v>
      </c>
      <c r="DR58" s="186">
        <f>DQ58*DP58</f>
        <v>0</v>
      </c>
      <c r="DS58" s="220">
        <f>_辅助!BV56</f>
        <v>0</v>
      </c>
      <c r="DT58" s="186">
        <f>_辅助!AL56</f>
        <v>0</v>
      </c>
      <c r="DU58" s="221">
        <f>DN58-DQ58-DS58</f>
        <v>0</v>
      </c>
      <c r="DV58" s="187">
        <f>DO58-DR58-DT58</f>
        <v>0</v>
      </c>
      <c r="DW58" s="236">
        <f>IF(AND(DN58&gt;0,DO58&gt;0),0,DR58)</f>
        <v>0</v>
      </c>
      <c r="DX58" s="220">
        <f>IF($B58="",0,SUMIFS(采购进货!$E$4:$E$1503,采购进货!$D$4:$D$1503,$B58,采购进货!$B$4:$B$1503,"&gt;="&amp;DATE(年度,11,1),采购进货!$B$4:$B$1503,"&lt;"&amp;DATE(年度,11+1,1))+SUMIFS(采购进货!$H$4:$H$1503,采购进货!$D$4:$D$1503,$B58,采购进货!$B$4:$B$1503,"&gt;="&amp;DATE(年度,11,1),采购进货!$B$4:$B$1503,"&lt;"&amp;DATE(年度,11+1,1)))</f>
        <v>0</v>
      </c>
      <c r="DY58" s="186">
        <f>IF($B58="",0,SUMIFS(采购进货!$G$4:$G$1503,采购进货!$D$4:$D$1503,$B58,采购进货!$B$4:$B$1503,"&gt;="&amp;DATE(年度,11,1),采购进货!$B$4:$B$1503,"&lt;"&amp;DATE(年度,11+1,1)))</f>
        <v>0</v>
      </c>
      <c r="DZ58" s="234">
        <f>DU58+DX58</f>
        <v>0</v>
      </c>
      <c r="EA58" s="235">
        <f>DV58+DY58</f>
        <v>0</v>
      </c>
      <c r="EB58" s="222">
        <f>IF(AND(DZ58&gt;0,EA58&gt;0),EA58/DZ58,N($E58))</f>
        <v>0</v>
      </c>
      <c r="EC58" s="220">
        <f>IF($B58="",0,SUMIFS(出库明细!$E$4:$E$3003,出库明细!$D$4:$D$3003,$B58,出库明细!$B$4:$B$3003,"&gt;="&amp;DATE(年度,11,1),出库明细!$B$4:$B$3003,"&lt;"&amp;DATE(年度,11+1,1)))</f>
        <v>0</v>
      </c>
      <c r="ED58" s="186">
        <f>EC58*EB58</f>
        <v>0</v>
      </c>
      <c r="EE58" s="220">
        <f>_辅助!BW56</f>
        <v>0</v>
      </c>
      <c r="EF58" s="186">
        <f>_辅助!AM56</f>
        <v>0</v>
      </c>
      <c r="EG58" s="221">
        <f>DZ58-EC58-EE58</f>
        <v>0</v>
      </c>
      <c r="EH58" s="187">
        <f>EA58-ED58-EF58</f>
        <v>0</v>
      </c>
      <c r="EI58" s="236">
        <f>IF(AND(DZ58&gt;0,EA58&gt;0),0,ED58)</f>
        <v>0</v>
      </c>
      <c r="EJ58" s="220">
        <f>IF($B58="",0,SUMIFS(采购进货!$E$4:$E$1503,采购进货!$D$4:$D$1503,$B58,采购进货!$B$4:$B$1503,"&gt;="&amp;DATE(年度,12,1),采购进货!$B$4:$B$1503,"&lt;"&amp;DATE(年度,12+1,1))+SUMIFS(采购进货!$H$4:$H$1503,采购进货!$D$4:$D$1503,$B58,采购进货!$B$4:$B$1503,"&gt;="&amp;DATE(年度,12,1),采购进货!$B$4:$B$1503,"&lt;"&amp;DATE(年度,12+1,1)))</f>
        <v>0</v>
      </c>
      <c r="EK58" s="186">
        <f>IF($B58="",0,SUMIFS(采购进货!$G$4:$G$1503,采购进货!$D$4:$D$1503,$B58,采购进货!$B$4:$B$1503,"&gt;="&amp;DATE(年度,12,1),采购进货!$B$4:$B$1503,"&lt;"&amp;DATE(年度,12+1,1)))</f>
        <v>0</v>
      </c>
      <c r="EL58" s="234">
        <f>EG58+EJ58</f>
        <v>0</v>
      </c>
      <c r="EM58" s="235">
        <f>EH58+EK58</f>
        <v>0</v>
      </c>
      <c r="EN58" s="222">
        <f>IF(AND(EL58&gt;0,EM58&gt;0),EM58/EL58,N($E58))</f>
        <v>0</v>
      </c>
      <c r="EO58" s="220">
        <f>IF($B58="",0,SUMIFS(出库明细!$E$4:$E$3003,出库明细!$D$4:$D$3003,$B58,出库明细!$B$4:$B$3003,"&gt;="&amp;DATE(年度,12,1),出库明细!$B$4:$B$3003,"&lt;"&amp;DATE(年度,12+1,1)))</f>
        <v>0</v>
      </c>
      <c r="EP58" s="186">
        <f>EO58*EN58</f>
        <v>0</v>
      </c>
      <c r="EQ58" s="220">
        <f>_辅助!BX56</f>
        <v>0</v>
      </c>
      <c r="ER58" s="186">
        <f>_辅助!AN56</f>
        <v>0</v>
      </c>
      <c r="ES58" s="221">
        <f>EL58-EO58-EQ58</f>
        <v>0</v>
      </c>
      <c r="ET58" s="187">
        <f>EM58-EP58-ER58</f>
        <v>0</v>
      </c>
      <c r="EU58" s="236">
        <f>IF(AND(EL58&gt;0,EM58&gt;0),0,EP58)</f>
        <v>0</v>
      </c>
    </row>
    <row r="59">
      <c r="A59" s="194">
        <f>IF(B59="","",ROW()-7)</f>
      </c>
      <c r="B59" s="141">
        <f>IF(基础资料!E56="","",基础资料!E56&amp;"")</f>
      </c>
      <c r="C59" s="230">
        <f>IF(基础资料!G56="","",基础资料!G56&amp;"")</f>
      </c>
      <c r="D59" s="194">
        <f>IF(基础资料!I56="","",基础资料!I56)</f>
      </c>
      <c r="E59" s="231">
        <f>IF(基础资料!J56="","",基础资料!J56)</f>
      </c>
      <c r="F59" s="232">
        <f>N(基础资料!L56)</f>
        <v>0</v>
      </c>
      <c r="G59" s="233">
        <f>IF(基础资料!N56="",0,基础资料!N56)</f>
        <v>0</v>
      </c>
      <c r="H59" s="220">
        <f>IF($B59="",0,SUMIFS(采购进货!$E$4:$E$1503,采购进货!$D$4:$D$1503,$B59,采购进货!$B$4:$B$1503,"&gt;="&amp;DATE(年度,1,1),采购进货!$B$4:$B$1503,"&lt;"&amp;DATE(年度,1+1,1))+SUMIFS(采购进货!$H$4:$H$1503,采购进货!$D$4:$D$1503,$B59,采购进货!$B$4:$B$1503,"&gt;="&amp;DATE(年度,1,1),采购进货!$B$4:$B$1503,"&lt;"&amp;DATE(年度,1+1,1)))</f>
        <v>0</v>
      </c>
      <c r="I59" s="186">
        <f>IF($B59="",0,SUMIFS(采购进货!$G$4:$G$1503,采购进货!$D$4:$D$1503,$B59,采购进货!$B$4:$B$1503,"&gt;="&amp;DATE(年度,1,1),采购进货!$B$4:$B$1503,"&lt;"&amp;DATE(年度,1+1,1)))</f>
        <v>0</v>
      </c>
      <c r="J59" s="234">
        <f>F59+H59</f>
        <v>0</v>
      </c>
      <c r="K59" s="235">
        <f>G59+I59</f>
        <v>0</v>
      </c>
      <c r="L59" s="222">
        <f>IF(AND(J59&gt;0,K59&gt;0),K59/J59,N($E59))</f>
        <v>0</v>
      </c>
      <c r="M59" s="220">
        <f>IF($B59="",0,SUMIFS(出库明细!$E$4:$E$3003,出库明细!$D$4:$D$3003,$B59,出库明细!$B$4:$B$3003,"&gt;="&amp;DATE(年度,1,1),出库明细!$B$4:$B$3003,"&lt;"&amp;DATE(年度,1+1,1)))</f>
        <v>0</v>
      </c>
      <c r="N59" s="186">
        <f>M59*L59</f>
        <v>0</v>
      </c>
      <c r="O59" s="220">
        <f>_辅助!BM57</f>
        <v>0</v>
      </c>
      <c r="P59" s="186">
        <f>_辅助!AC57</f>
        <v>0</v>
      </c>
      <c r="Q59" s="221">
        <f>J59-M59-O59</f>
        <v>0</v>
      </c>
      <c r="R59" s="187">
        <f>K59-N59-P59</f>
        <v>0</v>
      </c>
      <c r="S59" s="236">
        <f>IF(AND(J59&gt;0,K59&gt;0),0,N59)</f>
        <v>0</v>
      </c>
      <c r="T59" s="220">
        <f>IF($B59="",0,SUMIFS(采购进货!$E$4:$E$1503,采购进货!$D$4:$D$1503,$B59,采购进货!$B$4:$B$1503,"&gt;="&amp;DATE(年度,2,1),采购进货!$B$4:$B$1503,"&lt;"&amp;DATE(年度,2+1,1))+SUMIFS(采购进货!$H$4:$H$1503,采购进货!$D$4:$D$1503,$B59,采购进货!$B$4:$B$1503,"&gt;="&amp;DATE(年度,2,1),采购进货!$B$4:$B$1503,"&lt;"&amp;DATE(年度,2+1,1)))</f>
        <v>0</v>
      </c>
      <c r="U59" s="186">
        <f>IF($B59="",0,SUMIFS(采购进货!$G$4:$G$1503,采购进货!$D$4:$D$1503,$B59,采购进货!$B$4:$B$1503,"&gt;="&amp;DATE(年度,2,1),采购进货!$B$4:$B$1503,"&lt;"&amp;DATE(年度,2+1,1)))</f>
        <v>0</v>
      </c>
      <c r="V59" s="234">
        <f>Q59+T59</f>
        <v>0</v>
      </c>
      <c r="W59" s="235">
        <f>R59+U59</f>
        <v>0</v>
      </c>
      <c r="X59" s="222">
        <f>IF(AND(V59&gt;0,W59&gt;0),W59/V59,N($E59))</f>
        <v>0</v>
      </c>
      <c r="Y59" s="220">
        <f>IF($B59="",0,SUMIFS(出库明细!$E$4:$E$3003,出库明细!$D$4:$D$3003,$B59,出库明细!$B$4:$B$3003,"&gt;="&amp;DATE(年度,2,1),出库明细!$B$4:$B$3003,"&lt;"&amp;DATE(年度,2+1,1)))</f>
        <v>0</v>
      </c>
      <c r="Z59" s="186">
        <f>Y59*X59</f>
        <v>0</v>
      </c>
      <c r="AA59" s="220">
        <f>_辅助!BN57</f>
        <v>0</v>
      </c>
      <c r="AB59" s="186">
        <f>_辅助!AD57</f>
        <v>0</v>
      </c>
      <c r="AC59" s="221">
        <f>V59-Y59-AA59</f>
        <v>0</v>
      </c>
      <c r="AD59" s="187">
        <f>W59-Z59-AB59</f>
        <v>0</v>
      </c>
      <c r="AE59" s="236">
        <f>IF(AND(V59&gt;0,W59&gt;0),0,Z59)</f>
        <v>0</v>
      </c>
      <c r="AF59" s="220">
        <f>IF($B59="",0,SUMIFS(采购进货!$E$4:$E$1503,采购进货!$D$4:$D$1503,$B59,采购进货!$B$4:$B$1503,"&gt;="&amp;DATE(年度,3,1),采购进货!$B$4:$B$1503,"&lt;"&amp;DATE(年度,3+1,1))+SUMIFS(采购进货!$H$4:$H$1503,采购进货!$D$4:$D$1503,$B59,采购进货!$B$4:$B$1503,"&gt;="&amp;DATE(年度,3,1),采购进货!$B$4:$B$1503,"&lt;"&amp;DATE(年度,3+1,1)))</f>
        <v>0</v>
      </c>
      <c r="AG59" s="186">
        <f>IF($B59="",0,SUMIFS(采购进货!$G$4:$G$1503,采购进货!$D$4:$D$1503,$B59,采购进货!$B$4:$B$1503,"&gt;="&amp;DATE(年度,3,1),采购进货!$B$4:$B$1503,"&lt;"&amp;DATE(年度,3+1,1)))</f>
        <v>0</v>
      </c>
      <c r="AH59" s="234">
        <f>AC59+AF59</f>
        <v>0</v>
      </c>
      <c r="AI59" s="235">
        <f>AD59+AG59</f>
        <v>0</v>
      </c>
      <c r="AJ59" s="222">
        <f>IF(AND(AH59&gt;0,AI59&gt;0),AI59/AH59,N($E59))</f>
        <v>0</v>
      </c>
      <c r="AK59" s="220">
        <f>IF($B59="",0,SUMIFS(出库明细!$E$4:$E$3003,出库明细!$D$4:$D$3003,$B59,出库明细!$B$4:$B$3003,"&gt;="&amp;DATE(年度,3,1),出库明细!$B$4:$B$3003,"&lt;"&amp;DATE(年度,3+1,1)))</f>
        <v>0</v>
      </c>
      <c r="AL59" s="186">
        <f>AK59*AJ59</f>
        <v>0</v>
      </c>
      <c r="AM59" s="220">
        <f>_辅助!BO57</f>
        <v>0</v>
      </c>
      <c r="AN59" s="186">
        <f>_辅助!AE57</f>
        <v>0</v>
      </c>
      <c r="AO59" s="221">
        <f>AH59-AK59-AM59</f>
        <v>0</v>
      </c>
      <c r="AP59" s="187">
        <f>AI59-AL59-AN59</f>
        <v>0</v>
      </c>
      <c r="AQ59" s="236">
        <f>IF(AND(AH59&gt;0,AI59&gt;0),0,AL59)</f>
        <v>0</v>
      </c>
      <c r="AR59" s="220">
        <f>IF($B59="",0,SUMIFS(采购进货!$E$4:$E$1503,采购进货!$D$4:$D$1503,$B59,采购进货!$B$4:$B$1503,"&gt;="&amp;DATE(年度,4,1),采购进货!$B$4:$B$1503,"&lt;"&amp;DATE(年度,4+1,1))+SUMIFS(采购进货!$H$4:$H$1503,采购进货!$D$4:$D$1503,$B59,采购进货!$B$4:$B$1503,"&gt;="&amp;DATE(年度,4,1),采购进货!$B$4:$B$1503,"&lt;"&amp;DATE(年度,4+1,1)))</f>
        <v>0</v>
      </c>
      <c r="AS59" s="186">
        <f>IF($B59="",0,SUMIFS(采购进货!$G$4:$G$1503,采购进货!$D$4:$D$1503,$B59,采购进货!$B$4:$B$1503,"&gt;="&amp;DATE(年度,4,1),采购进货!$B$4:$B$1503,"&lt;"&amp;DATE(年度,4+1,1)))</f>
        <v>0</v>
      </c>
      <c r="AT59" s="234">
        <f>AO59+AR59</f>
        <v>0</v>
      </c>
      <c r="AU59" s="235">
        <f>AP59+AS59</f>
        <v>0</v>
      </c>
      <c r="AV59" s="222">
        <f>IF(AND(AT59&gt;0,AU59&gt;0),AU59/AT59,N($E59))</f>
        <v>0</v>
      </c>
      <c r="AW59" s="220">
        <f>IF($B59="",0,SUMIFS(出库明细!$E$4:$E$3003,出库明细!$D$4:$D$3003,$B59,出库明细!$B$4:$B$3003,"&gt;="&amp;DATE(年度,4,1),出库明细!$B$4:$B$3003,"&lt;"&amp;DATE(年度,4+1,1)))</f>
        <v>0</v>
      </c>
      <c r="AX59" s="186">
        <f>AW59*AV59</f>
        <v>0</v>
      </c>
      <c r="AY59" s="220">
        <f>_辅助!BP57</f>
        <v>0</v>
      </c>
      <c r="AZ59" s="186">
        <f>_辅助!AF57</f>
        <v>0</v>
      </c>
      <c r="BA59" s="221">
        <f>AT59-AW59-AY59</f>
        <v>0</v>
      </c>
      <c r="BB59" s="187">
        <f>AU59-AX59-AZ59</f>
        <v>0</v>
      </c>
      <c r="BC59" s="236">
        <f>IF(AND(AT59&gt;0,AU59&gt;0),0,AX59)</f>
        <v>0</v>
      </c>
      <c r="BD59" s="220">
        <f>IF($B59="",0,SUMIFS(采购进货!$E$4:$E$1503,采购进货!$D$4:$D$1503,$B59,采购进货!$B$4:$B$1503,"&gt;="&amp;DATE(年度,5,1),采购进货!$B$4:$B$1503,"&lt;"&amp;DATE(年度,5+1,1))+SUMIFS(采购进货!$H$4:$H$1503,采购进货!$D$4:$D$1503,$B59,采购进货!$B$4:$B$1503,"&gt;="&amp;DATE(年度,5,1),采购进货!$B$4:$B$1503,"&lt;"&amp;DATE(年度,5+1,1)))</f>
        <v>0</v>
      </c>
      <c r="BE59" s="186">
        <f>IF($B59="",0,SUMIFS(采购进货!$G$4:$G$1503,采购进货!$D$4:$D$1503,$B59,采购进货!$B$4:$B$1503,"&gt;="&amp;DATE(年度,5,1),采购进货!$B$4:$B$1503,"&lt;"&amp;DATE(年度,5+1,1)))</f>
        <v>0</v>
      </c>
      <c r="BF59" s="234">
        <f>BA59+BD59</f>
        <v>0</v>
      </c>
      <c r="BG59" s="235">
        <f>BB59+BE59</f>
        <v>0</v>
      </c>
      <c r="BH59" s="222">
        <f>IF(AND(BF59&gt;0,BG59&gt;0),BG59/BF59,N($E59))</f>
        <v>0</v>
      </c>
      <c r="BI59" s="220">
        <f>IF($B59="",0,SUMIFS(出库明细!$E$4:$E$3003,出库明细!$D$4:$D$3003,$B59,出库明细!$B$4:$B$3003,"&gt;="&amp;DATE(年度,5,1),出库明细!$B$4:$B$3003,"&lt;"&amp;DATE(年度,5+1,1)))</f>
        <v>0</v>
      </c>
      <c r="BJ59" s="186">
        <f>BI59*BH59</f>
        <v>0</v>
      </c>
      <c r="BK59" s="220">
        <f>_辅助!BQ57</f>
        <v>0</v>
      </c>
      <c r="BL59" s="186">
        <f>_辅助!AG57</f>
        <v>0</v>
      </c>
      <c r="BM59" s="221">
        <f>BF59-BI59-BK59</f>
        <v>0</v>
      </c>
      <c r="BN59" s="187">
        <f>BG59-BJ59-BL59</f>
        <v>0</v>
      </c>
      <c r="BO59" s="236">
        <f>IF(AND(BF59&gt;0,BG59&gt;0),0,BJ59)</f>
        <v>0</v>
      </c>
      <c r="BP59" s="220">
        <f>IF($B59="",0,SUMIFS(采购进货!$E$4:$E$1503,采购进货!$D$4:$D$1503,$B59,采购进货!$B$4:$B$1503,"&gt;="&amp;DATE(年度,6,1),采购进货!$B$4:$B$1503,"&lt;"&amp;DATE(年度,6+1,1))+SUMIFS(采购进货!$H$4:$H$1503,采购进货!$D$4:$D$1503,$B59,采购进货!$B$4:$B$1503,"&gt;="&amp;DATE(年度,6,1),采购进货!$B$4:$B$1503,"&lt;"&amp;DATE(年度,6+1,1)))</f>
        <v>0</v>
      </c>
      <c r="BQ59" s="186">
        <f>IF($B59="",0,SUMIFS(采购进货!$G$4:$G$1503,采购进货!$D$4:$D$1503,$B59,采购进货!$B$4:$B$1503,"&gt;="&amp;DATE(年度,6,1),采购进货!$B$4:$B$1503,"&lt;"&amp;DATE(年度,6+1,1)))</f>
        <v>0</v>
      </c>
      <c r="BR59" s="234">
        <f>BM59+BP59</f>
        <v>0</v>
      </c>
      <c r="BS59" s="235">
        <f>BN59+BQ59</f>
        <v>0</v>
      </c>
      <c r="BT59" s="222">
        <f>IF(AND(BR59&gt;0,BS59&gt;0),BS59/BR59,N($E59))</f>
        <v>0</v>
      </c>
      <c r="BU59" s="220">
        <f>IF($B59="",0,SUMIFS(出库明细!$E$4:$E$3003,出库明细!$D$4:$D$3003,$B59,出库明细!$B$4:$B$3003,"&gt;="&amp;DATE(年度,6,1),出库明细!$B$4:$B$3003,"&lt;"&amp;DATE(年度,6+1,1)))</f>
        <v>0</v>
      </c>
      <c r="BV59" s="186">
        <f>BU59*BT59</f>
        <v>0</v>
      </c>
      <c r="BW59" s="220">
        <f>_辅助!BR57</f>
        <v>0</v>
      </c>
      <c r="BX59" s="186">
        <f>_辅助!AH57</f>
        <v>0</v>
      </c>
      <c r="BY59" s="221">
        <f>BR59-BU59-BW59</f>
        <v>0</v>
      </c>
      <c r="BZ59" s="187">
        <f>BS59-BV59-BX59</f>
        <v>0</v>
      </c>
      <c r="CA59" s="236">
        <f>IF(AND(BR59&gt;0,BS59&gt;0),0,BV59)</f>
        <v>0</v>
      </c>
      <c r="CB59" s="220">
        <f>IF($B59="",0,SUMIFS(采购进货!$E$4:$E$1503,采购进货!$D$4:$D$1503,$B59,采购进货!$B$4:$B$1503,"&gt;="&amp;DATE(年度,7,1),采购进货!$B$4:$B$1503,"&lt;"&amp;DATE(年度,7+1,1))+SUMIFS(采购进货!$H$4:$H$1503,采购进货!$D$4:$D$1503,$B59,采购进货!$B$4:$B$1503,"&gt;="&amp;DATE(年度,7,1),采购进货!$B$4:$B$1503,"&lt;"&amp;DATE(年度,7+1,1)))</f>
        <v>0</v>
      </c>
      <c r="CC59" s="186">
        <f>IF($B59="",0,SUMIFS(采购进货!$G$4:$G$1503,采购进货!$D$4:$D$1503,$B59,采购进货!$B$4:$B$1503,"&gt;="&amp;DATE(年度,7,1),采购进货!$B$4:$B$1503,"&lt;"&amp;DATE(年度,7+1,1)))</f>
        <v>0</v>
      </c>
      <c r="CD59" s="234">
        <f>BY59+CB59</f>
        <v>0</v>
      </c>
      <c r="CE59" s="235">
        <f>BZ59+CC59</f>
        <v>0</v>
      </c>
      <c r="CF59" s="222">
        <f>IF(AND(CD59&gt;0,CE59&gt;0),CE59/CD59,N($E59))</f>
        <v>0</v>
      </c>
      <c r="CG59" s="220">
        <f>IF($B59="",0,SUMIFS(出库明细!$E$4:$E$3003,出库明细!$D$4:$D$3003,$B59,出库明细!$B$4:$B$3003,"&gt;="&amp;DATE(年度,7,1),出库明细!$B$4:$B$3003,"&lt;"&amp;DATE(年度,7+1,1)))</f>
        <v>0</v>
      </c>
      <c r="CH59" s="186">
        <f>CG59*CF59</f>
        <v>0</v>
      </c>
      <c r="CI59" s="220">
        <f>_辅助!BS57</f>
        <v>0</v>
      </c>
      <c r="CJ59" s="186">
        <f>_辅助!AI57</f>
        <v>0</v>
      </c>
      <c r="CK59" s="221">
        <f>CD59-CG59-CI59</f>
        <v>0</v>
      </c>
      <c r="CL59" s="187">
        <f>CE59-CH59-CJ59</f>
        <v>0</v>
      </c>
      <c r="CM59" s="236">
        <f>IF(AND(CD59&gt;0,CE59&gt;0),0,CH59)</f>
        <v>0</v>
      </c>
      <c r="CN59" s="220">
        <f>IF($B59="",0,SUMIFS(采购进货!$E$4:$E$1503,采购进货!$D$4:$D$1503,$B59,采购进货!$B$4:$B$1503,"&gt;="&amp;DATE(年度,8,1),采购进货!$B$4:$B$1503,"&lt;"&amp;DATE(年度,8+1,1))+SUMIFS(采购进货!$H$4:$H$1503,采购进货!$D$4:$D$1503,$B59,采购进货!$B$4:$B$1503,"&gt;="&amp;DATE(年度,8,1),采购进货!$B$4:$B$1503,"&lt;"&amp;DATE(年度,8+1,1)))</f>
        <v>0</v>
      </c>
      <c r="CO59" s="186">
        <f>IF($B59="",0,SUMIFS(采购进货!$G$4:$G$1503,采购进货!$D$4:$D$1503,$B59,采购进货!$B$4:$B$1503,"&gt;="&amp;DATE(年度,8,1),采购进货!$B$4:$B$1503,"&lt;"&amp;DATE(年度,8+1,1)))</f>
        <v>0</v>
      </c>
      <c r="CP59" s="234">
        <f>CK59+CN59</f>
        <v>0</v>
      </c>
      <c r="CQ59" s="235">
        <f>CL59+CO59</f>
        <v>0</v>
      </c>
      <c r="CR59" s="222">
        <f>IF(AND(CP59&gt;0,CQ59&gt;0),CQ59/CP59,N($E59))</f>
        <v>0</v>
      </c>
      <c r="CS59" s="220">
        <f>IF($B59="",0,SUMIFS(出库明细!$E$4:$E$3003,出库明细!$D$4:$D$3003,$B59,出库明细!$B$4:$B$3003,"&gt;="&amp;DATE(年度,8,1),出库明细!$B$4:$B$3003,"&lt;"&amp;DATE(年度,8+1,1)))</f>
        <v>0</v>
      </c>
      <c r="CT59" s="186">
        <f>CS59*CR59</f>
        <v>0</v>
      </c>
      <c r="CU59" s="220">
        <f>_辅助!BT57</f>
        <v>0</v>
      </c>
      <c r="CV59" s="186">
        <f>_辅助!AJ57</f>
        <v>0</v>
      </c>
      <c r="CW59" s="221">
        <f>CP59-CS59-CU59</f>
        <v>0</v>
      </c>
      <c r="CX59" s="187">
        <f>CQ59-CT59-CV59</f>
        <v>0</v>
      </c>
      <c r="CY59" s="236">
        <f>IF(AND(CP59&gt;0,CQ59&gt;0),0,CT59)</f>
        <v>0</v>
      </c>
      <c r="CZ59" s="220">
        <f>IF($B59="",0,SUMIFS(采购进货!$E$4:$E$1503,采购进货!$D$4:$D$1503,$B59,采购进货!$B$4:$B$1503,"&gt;="&amp;DATE(年度,9,1),采购进货!$B$4:$B$1503,"&lt;"&amp;DATE(年度,9+1,1))+SUMIFS(采购进货!$H$4:$H$1503,采购进货!$D$4:$D$1503,$B59,采购进货!$B$4:$B$1503,"&gt;="&amp;DATE(年度,9,1),采购进货!$B$4:$B$1503,"&lt;"&amp;DATE(年度,9+1,1)))</f>
        <v>0</v>
      </c>
      <c r="DA59" s="186">
        <f>IF($B59="",0,SUMIFS(采购进货!$G$4:$G$1503,采购进货!$D$4:$D$1503,$B59,采购进货!$B$4:$B$1503,"&gt;="&amp;DATE(年度,9,1),采购进货!$B$4:$B$1503,"&lt;"&amp;DATE(年度,9+1,1)))</f>
        <v>0</v>
      </c>
      <c r="DB59" s="234">
        <f>CW59+CZ59</f>
        <v>0</v>
      </c>
      <c r="DC59" s="235">
        <f>CX59+DA59</f>
        <v>0</v>
      </c>
      <c r="DD59" s="222">
        <f>IF(AND(DB59&gt;0,DC59&gt;0),DC59/DB59,N($E59))</f>
        <v>0</v>
      </c>
      <c r="DE59" s="220">
        <f>IF($B59="",0,SUMIFS(出库明细!$E$4:$E$3003,出库明细!$D$4:$D$3003,$B59,出库明细!$B$4:$B$3003,"&gt;="&amp;DATE(年度,9,1),出库明细!$B$4:$B$3003,"&lt;"&amp;DATE(年度,9+1,1)))</f>
        <v>0</v>
      </c>
      <c r="DF59" s="186">
        <f>DE59*DD59</f>
        <v>0</v>
      </c>
      <c r="DG59" s="220">
        <f>_辅助!BU57</f>
        <v>0</v>
      </c>
      <c r="DH59" s="186">
        <f>_辅助!AK57</f>
        <v>0</v>
      </c>
      <c r="DI59" s="221">
        <f>DB59-DE59-DG59</f>
        <v>0</v>
      </c>
      <c r="DJ59" s="187">
        <f>DC59-DF59-DH59</f>
        <v>0</v>
      </c>
      <c r="DK59" s="236">
        <f>IF(AND(DB59&gt;0,DC59&gt;0),0,DF59)</f>
        <v>0</v>
      </c>
      <c r="DL59" s="220">
        <f>IF($B59="",0,SUMIFS(采购进货!$E$4:$E$1503,采购进货!$D$4:$D$1503,$B59,采购进货!$B$4:$B$1503,"&gt;="&amp;DATE(年度,10,1),采购进货!$B$4:$B$1503,"&lt;"&amp;DATE(年度,10+1,1))+SUMIFS(采购进货!$H$4:$H$1503,采购进货!$D$4:$D$1503,$B59,采购进货!$B$4:$B$1503,"&gt;="&amp;DATE(年度,10,1),采购进货!$B$4:$B$1503,"&lt;"&amp;DATE(年度,10+1,1)))</f>
        <v>0</v>
      </c>
      <c r="DM59" s="186">
        <f>IF($B59="",0,SUMIFS(采购进货!$G$4:$G$1503,采购进货!$D$4:$D$1503,$B59,采购进货!$B$4:$B$1503,"&gt;="&amp;DATE(年度,10,1),采购进货!$B$4:$B$1503,"&lt;"&amp;DATE(年度,10+1,1)))</f>
        <v>0</v>
      </c>
      <c r="DN59" s="234">
        <f>DI59+DL59</f>
        <v>0</v>
      </c>
      <c r="DO59" s="235">
        <f>DJ59+DM59</f>
        <v>0</v>
      </c>
      <c r="DP59" s="222">
        <f>IF(AND(DN59&gt;0,DO59&gt;0),DO59/DN59,N($E59))</f>
        <v>0</v>
      </c>
      <c r="DQ59" s="220">
        <f>IF($B59="",0,SUMIFS(出库明细!$E$4:$E$3003,出库明细!$D$4:$D$3003,$B59,出库明细!$B$4:$B$3003,"&gt;="&amp;DATE(年度,10,1),出库明细!$B$4:$B$3003,"&lt;"&amp;DATE(年度,10+1,1)))</f>
        <v>0</v>
      </c>
      <c r="DR59" s="186">
        <f>DQ59*DP59</f>
        <v>0</v>
      </c>
      <c r="DS59" s="220">
        <f>_辅助!BV57</f>
        <v>0</v>
      </c>
      <c r="DT59" s="186">
        <f>_辅助!AL57</f>
        <v>0</v>
      </c>
      <c r="DU59" s="221">
        <f>DN59-DQ59-DS59</f>
        <v>0</v>
      </c>
      <c r="DV59" s="187">
        <f>DO59-DR59-DT59</f>
        <v>0</v>
      </c>
      <c r="DW59" s="236">
        <f>IF(AND(DN59&gt;0,DO59&gt;0),0,DR59)</f>
        <v>0</v>
      </c>
      <c r="DX59" s="220">
        <f>IF($B59="",0,SUMIFS(采购进货!$E$4:$E$1503,采购进货!$D$4:$D$1503,$B59,采购进货!$B$4:$B$1503,"&gt;="&amp;DATE(年度,11,1),采购进货!$B$4:$B$1503,"&lt;"&amp;DATE(年度,11+1,1))+SUMIFS(采购进货!$H$4:$H$1503,采购进货!$D$4:$D$1503,$B59,采购进货!$B$4:$B$1503,"&gt;="&amp;DATE(年度,11,1),采购进货!$B$4:$B$1503,"&lt;"&amp;DATE(年度,11+1,1)))</f>
        <v>0</v>
      </c>
      <c r="DY59" s="186">
        <f>IF($B59="",0,SUMIFS(采购进货!$G$4:$G$1503,采购进货!$D$4:$D$1503,$B59,采购进货!$B$4:$B$1503,"&gt;="&amp;DATE(年度,11,1),采购进货!$B$4:$B$1503,"&lt;"&amp;DATE(年度,11+1,1)))</f>
        <v>0</v>
      </c>
      <c r="DZ59" s="234">
        <f>DU59+DX59</f>
        <v>0</v>
      </c>
      <c r="EA59" s="235">
        <f>DV59+DY59</f>
        <v>0</v>
      </c>
      <c r="EB59" s="222">
        <f>IF(AND(DZ59&gt;0,EA59&gt;0),EA59/DZ59,N($E59))</f>
        <v>0</v>
      </c>
      <c r="EC59" s="220">
        <f>IF($B59="",0,SUMIFS(出库明细!$E$4:$E$3003,出库明细!$D$4:$D$3003,$B59,出库明细!$B$4:$B$3003,"&gt;="&amp;DATE(年度,11,1),出库明细!$B$4:$B$3003,"&lt;"&amp;DATE(年度,11+1,1)))</f>
        <v>0</v>
      </c>
      <c r="ED59" s="186">
        <f>EC59*EB59</f>
        <v>0</v>
      </c>
      <c r="EE59" s="220">
        <f>_辅助!BW57</f>
        <v>0</v>
      </c>
      <c r="EF59" s="186">
        <f>_辅助!AM57</f>
        <v>0</v>
      </c>
      <c r="EG59" s="221">
        <f>DZ59-EC59-EE59</f>
        <v>0</v>
      </c>
      <c r="EH59" s="187">
        <f>EA59-ED59-EF59</f>
        <v>0</v>
      </c>
      <c r="EI59" s="236">
        <f>IF(AND(DZ59&gt;0,EA59&gt;0),0,ED59)</f>
        <v>0</v>
      </c>
      <c r="EJ59" s="220">
        <f>IF($B59="",0,SUMIFS(采购进货!$E$4:$E$1503,采购进货!$D$4:$D$1503,$B59,采购进货!$B$4:$B$1503,"&gt;="&amp;DATE(年度,12,1),采购进货!$B$4:$B$1503,"&lt;"&amp;DATE(年度,12+1,1))+SUMIFS(采购进货!$H$4:$H$1503,采购进货!$D$4:$D$1503,$B59,采购进货!$B$4:$B$1503,"&gt;="&amp;DATE(年度,12,1),采购进货!$B$4:$B$1503,"&lt;"&amp;DATE(年度,12+1,1)))</f>
        <v>0</v>
      </c>
      <c r="EK59" s="186">
        <f>IF($B59="",0,SUMIFS(采购进货!$G$4:$G$1503,采购进货!$D$4:$D$1503,$B59,采购进货!$B$4:$B$1503,"&gt;="&amp;DATE(年度,12,1),采购进货!$B$4:$B$1503,"&lt;"&amp;DATE(年度,12+1,1)))</f>
        <v>0</v>
      </c>
      <c r="EL59" s="234">
        <f>EG59+EJ59</f>
        <v>0</v>
      </c>
      <c r="EM59" s="235">
        <f>EH59+EK59</f>
        <v>0</v>
      </c>
      <c r="EN59" s="222">
        <f>IF(AND(EL59&gt;0,EM59&gt;0),EM59/EL59,N($E59))</f>
        <v>0</v>
      </c>
      <c r="EO59" s="220">
        <f>IF($B59="",0,SUMIFS(出库明细!$E$4:$E$3003,出库明细!$D$4:$D$3003,$B59,出库明细!$B$4:$B$3003,"&gt;="&amp;DATE(年度,12,1),出库明细!$B$4:$B$3003,"&lt;"&amp;DATE(年度,12+1,1)))</f>
        <v>0</v>
      </c>
      <c r="EP59" s="186">
        <f>EO59*EN59</f>
        <v>0</v>
      </c>
      <c r="EQ59" s="220">
        <f>_辅助!BX57</f>
        <v>0</v>
      </c>
      <c r="ER59" s="186">
        <f>_辅助!AN57</f>
        <v>0</v>
      </c>
      <c r="ES59" s="221">
        <f>EL59-EO59-EQ59</f>
        <v>0</v>
      </c>
      <c r="ET59" s="187">
        <f>EM59-EP59-ER59</f>
        <v>0</v>
      </c>
      <c r="EU59" s="236">
        <f>IF(AND(EL59&gt;0,EM59&gt;0),0,EP59)</f>
        <v>0</v>
      </c>
    </row>
    <row r="60">
      <c r="A60" s="194">
        <f>IF(B60="","",ROW()-7)</f>
      </c>
      <c r="B60" s="141">
        <f>IF(基础资料!E57="","",基础资料!E57&amp;"")</f>
      </c>
      <c r="C60" s="230">
        <f>IF(基础资料!G57="","",基础资料!G57&amp;"")</f>
      </c>
      <c r="D60" s="194">
        <f>IF(基础资料!I57="","",基础资料!I57)</f>
      </c>
      <c r="E60" s="231">
        <f>IF(基础资料!J57="","",基础资料!J57)</f>
      </c>
      <c r="F60" s="232">
        <f>N(基础资料!L57)</f>
        <v>0</v>
      </c>
      <c r="G60" s="233">
        <f>IF(基础资料!N57="",0,基础资料!N57)</f>
        <v>0</v>
      </c>
      <c r="H60" s="220">
        <f>IF($B60="",0,SUMIFS(采购进货!$E$4:$E$1503,采购进货!$D$4:$D$1503,$B60,采购进货!$B$4:$B$1503,"&gt;="&amp;DATE(年度,1,1),采购进货!$B$4:$B$1503,"&lt;"&amp;DATE(年度,1+1,1))+SUMIFS(采购进货!$H$4:$H$1503,采购进货!$D$4:$D$1503,$B60,采购进货!$B$4:$B$1503,"&gt;="&amp;DATE(年度,1,1),采购进货!$B$4:$B$1503,"&lt;"&amp;DATE(年度,1+1,1)))</f>
        <v>0</v>
      </c>
      <c r="I60" s="186">
        <f>IF($B60="",0,SUMIFS(采购进货!$G$4:$G$1503,采购进货!$D$4:$D$1503,$B60,采购进货!$B$4:$B$1503,"&gt;="&amp;DATE(年度,1,1),采购进货!$B$4:$B$1503,"&lt;"&amp;DATE(年度,1+1,1)))</f>
        <v>0</v>
      </c>
      <c r="J60" s="234">
        <f>F60+H60</f>
        <v>0</v>
      </c>
      <c r="K60" s="235">
        <f>G60+I60</f>
        <v>0</v>
      </c>
      <c r="L60" s="222">
        <f>IF(AND(J60&gt;0,K60&gt;0),K60/J60,N($E60))</f>
        <v>0</v>
      </c>
      <c r="M60" s="220">
        <f>IF($B60="",0,SUMIFS(出库明细!$E$4:$E$3003,出库明细!$D$4:$D$3003,$B60,出库明细!$B$4:$B$3003,"&gt;="&amp;DATE(年度,1,1),出库明细!$B$4:$B$3003,"&lt;"&amp;DATE(年度,1+1,1)))</f>
        <v>0</v>
      </c>
      <c r="N60" s="186">
        <f>M60*L60</f>
        <v>0</v>
      </c>
      <c r="O60" s="220">
        <f>_辅助!BM58</f>
        <v>0</v>
      </c>
      <c r="P60" s="186">
        <f>_辅助!AC58</f>
        <v>0</v>
      </c>
      <c r="Q60" s="221">
        <f>J60-M60-O60</f>
        <v>0</v>
      </c>
      <c r="R60" s="187">
        <f>K60-N60-P60</f>
        <v>0</v>
      </c>
      <c r="S60" s="236">
        <f>IF(AND(J60&gt;0,K60&gt;0),0,N60)</f>
        <v>0</v>
      </c>
      <c r="T60" s="220">
        <f>IF($B60="",0,SUMIFS(采购进货!$E$4:$E$1503,采购进货!$D$4:$D$1503,$B60,采购进货!$B$4:$B$1503,"&gt;="&amp;DATE(年度,2,1),采购进货!$B$4:$B$1503,"&lt;"&amp;DATE(年度,2+1,1))+SUMIFS(采购进货!$H$4:$H$1503,采购进货!$D$4:$D$1503,$B60,采购进货!$B$4:$B$1503,"&gt;="&amp;DATE(年度,2,1),采购进货!$B$4:$B$1503,"&lt;"&amp;DATE(年度,2+1,1)))</f>
        <v>0</v>
      </c>
      <c r="U60" s="186">
        <f>IF($B60="",0,SUMIFS(采购进货!$G$4:$G$1503,采购进货!$D$4:$D$1503,$B60,采购进货!$B$4:$B$1503,"&gt;="&amp;DATE(年度,2,1),采购进货!$B$4:$B$1503,"&lt;"&amp;DATE(年度,2+1,1)))</f>
        <v>0</v>
      </c>
      <c r="V60" s="234">
        <f>Q60+T60</f>
        <v>0</v>
      </c>
      <c r="W60" s="235">
        <f>R60+U60</f>
        <v>0</v>
      </c>
      <c r="X60" s="222">
        <f>IF(AND(V60&gt;0,W60&gt;0),W60/V60,N($E60))</f>
        <v>0</v>
      </c>
      <c r="Y60" s="220">
        <f>IF($B60="",0,SUMIFS(出库明细!$E$4:$E$3003,出库明细!$D$4:$D$3003,$B60,出库明细!$B$4:$B$3003,"&gt;="&amp;DATE(年度,2,1),出库明细!$B$4:$B$3003,"&lt;"&amp;DATE(年度,2+1,1)))</f>
        <v>0</v>
      </c>
      <c r="Z60" s="186">
        <f>Y60*X60</f>
        <v>0</v>
      </c>
      <c r="AA60" s="220">
        <f>_辅助!BN58</f>
        <v>0</v>
      </c>
      <c r="AB60" s="186">
        <f>_辅助!AD58</f>
        <v>0</v>
      </c>
      <c r="AC60" s="221">
        <f>V60-Y60-AA60</f>
        <v>0</v>
      </c>
      <c r="AD60" s="187">
        <f>W60-Z60-AB60</f>
        <v>0</v>
      </c>
      <c r="AE60" s="236">
        <f>IF(AND(V60&gt;0,W60&gt;0),0,Z60)</f>
        <v>0</v>
      </c>
      <c r="AF60" s="220">
        <f>IF($B60="",0,SUMIFS(采购进货!$E$4:$E$1503,采购进货!$D$4:$D$1503,$B60,采购进货!$B$4:$B$1503,"&gt;="&amp;DATE(年度,3,1),采购进货!$B$4:$B$1503,"&lt;"&amp;DATE(年度,3+1,1))+SUMIFS(采购进货!$H$4:$H$1503,采购进货!$D$4:$D$1503,$B60,采购进货!$B$4:$B$1503,"&gt;="&amp;DATE(年度,3,1),采购进货!$B$4:$B$1503,"&lt;"&amp;DATE(年度,3+1,1)))</f>
        <v>0</v>
      </c>
      <c r="AG60" s="186">
        <f>IF($B60="",0,SUMIFS(采购进货!$G$4:$G$1503,采购进货!$D$4:$D$1503,$B60,采购进货!$B$4:$B$1503,"&gt;="&amp;DATE(年度,3,1),采购进货!$B$4:$B$1503,"&lt;"&amp;DATE(年度,3+1,1)))</f>
        <v>0</v>
      </c>
      <c r="AH60" s="234">
        <f>AC60+AF60</f>
        <v>0</v>
      </c>
      <c r="AI60" s="235">
        <f>AD60+AG60</f>
        <v>0</v>
      </c>
      <c r="AJ60" s="222">
        <f>IF(AND(AH60&gt;0,AI60&gt;0),AI60/AH60,N($E60))</f>
        <v>0</v>
      </c>
      <c r="AK60" s="220">
        <f>IF($B60="",0,SUMIFS(出库明细!$E$4:$E$3003,出库明细!$D$4:$D$3003,$B60,出库明细!$B$4:$B$3003,"&gt;="&amp;DATE(年度,3,1),出库明细!$B$4:$B$3003,"&lt;"&amp;DATE(年度,3+1,1)))</f>
        <v>0</v>
      </c>
      <c r="AL60" s="186">
        <f>AK60*AJ60</f>
        <v>0</v>
      </c>
      <c r="AM60" s="220">
        <f>_辅助!BO58</f>
        <v>0</v>
      </c>
      <c r="AN60" s="186">
        <f>_辅助!AE58</f>
        <v>0</v>
      </c>
      <c r="AO60" s="221">
        <f>AH60-AK60-AM60</f>
        <v>0</v>
      </c>
      <c r="AP60" s="187">
        <f>AI60-AL60-AN60</f>
        <v>0</v>
      </c>
      <c r="AQ60" s="236">
        <f>IF(AND(AH60&gt;0,AI60&gt;0),0,AL60)</f>
        <v>0</v>
      </c>
      <c r="AR60" s="220">
        <f>IF($B60="",0,SUMIFS(采购进货!$E$4:$E$1503,采购进货!$D$4:$D$1503,$B60,采购进货!$B$4:$B$1503,"&gt;="&amp;DATE(年度,4,1),采购进货!$B$4:$B$1503,"&lt;"&amp;DATE(年度,4+1,1))+SUMIFS(采购进货!$H$4:$H$1503,采购进货!$D$4:$D$1503,$B60,采购进货!$B$4:$B$1503,"&gt;="&amp;DATE(年度,4,1),采购进货!$B$4:$B$1503,"&lt;"&amp;DATE(年度,4+1,1)))</f>
        <v>0</v>
      </c>
      <c r="AS60" s="186">
        <f>IF($B60="",0,SUMIFS(采购进货!$G$4:$G$1503,采购进货!$D$4:$D$1503,$B60,采购进货!$B$4:$B$1503,"&gt;="&amp;DATE(年度,4,1),采购进货!$B$4:$B$1503,"&lt;"&amp;DATE(年度,4+1,1)))</f>
        <v>0</v>
      </c>
      <c r="AT60" s="234">
        <f>AO60+AR60</f>
        <v>0</v>
      </c>
      <c r="AU60" s="235">
        <f>AP60+AS60</f>
        <v>0</v>
      </c>
      <c r="AV60" s="222">
        <f>IF(AND(AT60&gt;0,AU60&gt;0),AU60/AT60,N($E60))</f>
        <v>0</v>
      </c>
      <c r="AW60" s="220">
        <f>IF($B60="",0,SUMIFS(出库明细!$E$4:$E$3003,出库明细!$D$4:$D$3003,$B60,出库明细!$B$4:$B$3003,"&gt;="&amp;DATE(年度,4,1),出库明细!$B$4:$B$3003,"&lt;"&amp;DATE(年度,4+1,1)))</f>
        <v>0</v>
      </c>
      <c r="AX60" s="186">
        <f>AW60*AV60</f>
        <v>0</v>
      </c>
      <c r="AY60" s="220">
        <f>_辅助!BP58</f>
        <v>0</v>
      </c>
      <c r="AZ60" s="186">
        <f>_辅助!AF58</f>
        <v>0</v>
      </c>
      <c r="BA60" s="221">
        <f>AT60-AW60-AY60</f>
        <v>0</v>
      </c>
      <c r="BB60" s="187">
        <f>AU60-AX60-AZ60</f>
        <v>0</v>
      </c>
      <c r="BC60" s="236">
        <f>IF(AND(AT60&gt;0,AU60&gt;0),0,AX60)</f>
        <v>0</v>
      </c>
      <c r="BD60" s="220">
        <f>IF($B60="",0,SUMIFS(采购进货!$E$4:$E$1503,采购进货!$D$4:$D$1503,$B60,采购进货!$B$4:$B$1503,"&gt;="&amp;DATE(年度,5,1),采购进货!$B$4:$B$1503,"&lt;"&amp;DATE(年度,5+1,1))+SUMIFS(采购进货!$H$4:$H$1503,采购进货!$D$4:$D$1503,$B60,采购进货!$B$4:$B$1503,"&gt;="&amp;DATE(年度,5,1),采购进货!$B$4:$B$1503,"&lt;"&amp;DATE(年度,5+1,1)))</f>
        <v>0</v>
      </c>
      <c r="BE60" s="186">
        <f>IF($B60="",0,SUMIFS(采购进货!$G$4:$G$1503,采购进货!$D$4:$D$1503,$B60,采购进货!$B$4:$B$1503,"&gt;="&amp;DATE(年度,5,1),采购进货!$B$4:$B$1503,"&lt;"&amp;DATE(年度,5+1,1)))</f>
        <v>0</v>
      </c>
      <c r="BF60" s="234">
        <f>BA60+BD60</f>
        <v>0</v>
      </c>
      <c r="BG60" s="235">
        <f>BB60+BE60</f>
        <v>0</v>
      </c>
      <c r="BH60" s="222">
        <f>IF(AND(BF60&gt;0,BG60&gt;0),BG60/BF60,N($E60))</f>
        <v>0</v>
      </c>
      <c r="BI60" s="220">
        <f>IF($B60="",0,SUMIFS(出库明细!$E$4:$E$3003,出库明细!$D$4:$D$3003,$B60,出库明细!$B$4:$B$3003,"&gt;="&amp;DATE(年度,5,1),出库明细!$B$4:$B$3003,"&lt;"&amp;DATE(年度,5+1,1)))</f>
        <v>0</v>
      </c>
      <c r="BJ60" s="186">
        <f>BI60*BH60</f>
        <v>0</v>
      </c>
      <c r="BK60" s="220">
        <f>_辅助!BQ58</f>
        <v>0</v>
      </c>
      <c r="BL60" s="186">
        <f>_辅助!AG58</f>
        <v>0</v>
      </c>
      <c r="BM60" s="221">
        <f>BF60-BI60-BK60</f>
        <v>0</v>
      </c>
      <c r="BN60" s="187">
        <f>BG60-BJ60-BL60</f>
        <v>0</v>
      </c>
      <c r="BO60" s="236">
        <f>IF(AND(BF60&gt;0,BG60&gt;0),0,BJ60)</f>
        <v>0</v>
      </c>
      <c r="BP60" s="220">
        <f>IF($B60="",0,SUMIFS(采购进货!$E$4:$E$1503,采购进货!$D$4:$D$1503,$B60,采购进货!$B$4:$B$1503,"&gt;="&amp;DATE(年度,6,1),采购进货!$B$4:$B$1503,"&lt;"&amp;DATE(年度,6+1,1))+SUMIFS(采购进货!$H$4:$H$1503,采购进货!$D$4:$D$1503,$B60,采购进货!$B$4:$B$1503,"&gt;="&amp;DATE(年度,6,1),采购进货!$B$4:$B$1503,"&lt;"&amp;DATE(年度,6+1,1)))</f>
        <v>0</v>
      </c>
      <c r="BQ60" s="186">
        <f>IF($B60="",0,SUMIFS(采购进货!$G$4:$G$1503,采购进货!$D$4:$D$1503,$B60,采购进货!$B$4:$B$1503,"&gt;="&amp;DATE(年度,6,1),采购进货!$B$4:$B$1503,"&lt;"&amp;DATE(年度,6+1,1)))</f>
        <v>0</v>
      </c>
      <c r="BR60" s="234">
        <f>BM60+BP60</f>
        <v>0</v>
      </c>
      <c r="BS60" s="235">
        <f>BN60+BQ60</f>
        <v>0</v>
      </c>
      <c r="BT60" s="222">
        <f>IF(AND(BR60&gt;0,BS60&gt;0),BS60/BR60,N($E60))</f>
        <v>0</v>
      </c>
      <c r="BU60" s="220">
        <f>IF($B60="",0,SUMIFS(出库明细!$E$4:$E$3003,出库明细!$D$4:$D$3003,$B60,出库明细!$B$4:$B$3003,"&gt;="&amp;DATE(年度,6,1),出库明细!$B$4:$B$3003,"&lt;"&amp;DATE(年度,6+1,1)))</f>
        <v>0</v>
      </c>
      <c r="BV60" s="186">
        <f>BU60*BT60</f>
        <v>0</v>
      </c>
      <c r="BW60" s="220">
        <f>_辅助!BR58</f>
        <v>0</v>
      </c>
      <c r="BX60" s="186">
        <f>_辅助!AH58</f>
        <v>0</v>
      </c>
      <c r="BY60" s="221">
        <f>BR60-BU60-BW60</f>
        <v>0</v>
      </c>
      <c r="BZ60" s="187">
        <f>BS60-BV60-BX60</f>
        <v>0</v>
      </c>
      <c r="CA60" s="236">
        <f>IF(AND(BR60&gt;0,BS60&gt;0),0,BV60)</f>
        <v>0</v>
      </c>
      <c r="CB60" s="220">
        <f>IF($B60="",0,SUMIFS(采购进货!$E$4:$E$1503,采购进货!$D$4:$D$1503,$B60,采购进货!$B$4:$B$1503,"&gt;="&amp;DATE(年度,7,1),采购进货!$B$4:$B$1503,"&lt;"&amp;DATE(年度,7+1,1))+SUMIFS(采购进货!$H$4:$H$1503,采购进货!$D$4:$D$1503,$B60,采购进货!$B$4:$B$1503,"&gt;="&amp;DATE(年度,7,1),采购进货!$B$4:$B$1503,"&lt;"&amp;DATE(年度,7+1,1)))</f>
        <v>0</v>
      </c>
      <c r="CC60" s="186">
        <f>IF($B60="",0,SUMIFS(采购进货!$G$4:$G$1503,采购进货!$D$4:$D$1503,$B60,采购进货!$B$4:$B$1503,"&gt;="&amp;DATE(年度,7,1),采购进货!$B$4:$B$1503,"&lt;"&amp;DATE(年度,7+1,1)))</f>
        <v>0</v>
      </c>
      <c r="CD60" s="234">
        <f>BY60+CB60</f>
        <v>0</v>
      </c>
      <c r="CE60" s="235">
        <f>BZ60+CC60</f>
        <v>0</v>
      </c>
      <c r="CF60" s="222">
        <f>IF(AND(CD60&gt;0,CE60&gt;0),CE60/CD60,N($E60))</f>
        <v>0</v>
      </c>
      <c r="CG60" s="220">
        <f>IF($B60="",0,SUMIFS(出库明细!$E$4:$E$3003,出库明细!$D$4:$D$3003,$B60,出库明细!$B$4:$B$3003,"&gt;="&amp;DATE(年度,7,1),出库明细!$B$4:$B$3003,"&lt;"&amp;DATE(年度,7+1,1)))</f>
        <v>0</v>
      </c>
      <c r="CH60" s="186">
        <f>CG60*CF60</f>
        <v>0</v>
      </c>
      <c r="CI60" s="220">
        <f>_辅助!BS58</f>
        <v>0</v>
      </c>
      <c r="CJ60" s="186">
        <f>_辅助!AI58</f>
        <v>0</v>
      </c>
      <c r="CK60" s="221">
        <f>CD60-CG60-CI60</f>
        <v>0</v>
      </c>
      <c r="CL60" s="187">
        <f>CE60-CH60-CJ60</f>
        <v>0</v>
      </c>
      <c r="CM60" s="236">
        <f>IF(AND(CD60&gt;0,CE60&gt;0),0,CH60)</f>
        <v>0</v>
      </c>
      <c r="CN60" s="220">
        <f>IF($B60="",0,SUMIFS(采购进货!$E$4:$E$1503,采购进货!$D$4:$D$1503,$B60,采购进货!$B$4:$B$1503,"&gt;="&amp;DATE(年度,8,1),采购进货!$B$4:$B$1503,"&lt;"&amp;DATE(年度,8+1,1))+SUMIFS(采购进货!$H$4:$H$1503,采购进货!$D$4:$D$1503,$B60,采购进货!$B$4:$B$1503,"&gt;="&amp;DATE(年度,8,1),采购进货!$B$4:$B$1503,"&lt;"&amp;DATE(年度,8+1,1)))</f>
        <v>0</v>
      </c>
      <c r="CO60" s="186">
        <f>IF($B60="",0,SUMIFS(采购进货!$G$4:$G$1503,采购进货!$D$4:$D$1503,$B60,采购进货!$B$4:$B$1503,"&gt;="&amp;DATE(年度,8,1),采购进货!$B$4:$B$1503,"&lt;"&amp;DATE(年度,8+1,1)))</f>
        <v>0</v>
      </c>
      <c r="CP60" s="234">
        <f>CK60+CN60</f>
        <v>0</v>
      </c>
      <c r="CQ60" s="235">
        <f>CL60+CO60</f>
        <v>0</v>
      </c>
      <c r="CR60" s="222">
        <f>IF(AND(CP60&gt;0,CQ60&gt;0),CQ60/CP60,N($E60))</f>
        <v>0</v>
      </c>
      <c r="CS60" s="220">
        <f>IF($B60="",0,SUMIFS(出库明细!$E$4:$E$3003,出库明细!$D$4:$D$3003,$B60,出库明细!$B$4:$B$3003,"&gt;="&amp;DATE(年度,8,1),出库明细!$B$4:$B$3003,"&lt;"&amp;DATE(年度,8+1,1)))</f>
        <v>0</v>
      </c>
      <c r="CT60" s="186">
        <f>CS60*CR60</f>
        <v>0</v>
      </c>
      <c r="CU60" s="220">
        <f>_辅助!BT58</f>
        <v>0</v>
      </c>
      <c r="CV60" s="186">
        <f>_辅助!AJ58</f>
        <v>0</v>
      </c>
      <c r="CW60" s="221">
        <f>CP60-CS60-CU60</f>
        <v>0</v>
      </c>
      <c r="CX60" s="187">
        <f>CQ60-CT60-CV60</f>
        <v>0</v>
      </c>
      <c r="CY60" s="236">
        <f>IF(AND(CP60&gt;0,CQ60&gt;0),0,CT60)</f>
        <v>0</v>
      </c>
      <c r="CZ60" s="220">
        <f>IF($B60="",0,SUMIFS(采购进货!$E$4:$E$1503,采购进货!$D$4:$D$1503,$B60,采购进货!$B$4:$B$1503,"&gt;="&amp;DATE(年度,9,1),采购进货!$B$4:$B$1503,"&lt;"&amp;DATE(年度,9+1,1))+SUMIFS(采购进货!$H$4:$H$1503,采购进货!$D$4:$D$1503,$B60,采购进货!$B$4:$B$1503,"&gt;="&amp;DATE(年度,9,1),采购进货!$B$4:$B$1503,"&lt;"&amp;DATE(年度,9+1,1)))</f>
        <v>0</v>
      </c>
      <c r="DA60" s="186">
        <f>IF($B60="",0,SUMIFS(采购进货!$G$4:$G$1503,采购进货!$D$4:$D$1503,$B60,采购进货!$B$4:$B$1503,"&gt;="&amp;DATE(年度,9,1),采购进货!$B$4:$B$1503,"&lt;"&amp;DATE(年度,9+1,1)))</f>
        <v>0</v>
      </c>
      <c r="DB60" s="234">
        <f>CW60+CZ60</f>
        <v>0</v>
      </c>
      <c r="DC60" s="235">
        <f>CX60+DA60</f>
        <v>0</v>
      </c>
      <c r="DD60" s="222">
        <f>IF(AND(DB60&gt;0,DC60&gt;0),DC60/DB60,N($E60))</f>
        <v>0</v>
      </c>
      <c r="DE60" s="220">
        <f>IF($B60="",0,SUMIFS(出库明细!$E$4:$E$3003,出库明细!$D$4:$D$3003,$B60,出库明细!$B$4:$B$3003,"&gt;="&amp;DATE(年度,9,1),出库明细!$B$4:$B$3003,"&lt;"&amp;DATE(年度,9+1,1)))</f>
        <v>0</v>
      </c>
      <c r="DF60" s="186">
        <f>DE60*DD60</f>
        <v>0</v>
      </c>
      <c r="DG60" s="220">
        <f>_辅助!BU58</f>
        <v>0</v>
      </c>
      <c r="DH60" s="186">
        <f>_辅助!AK58</f>
        <v>0</v>
      </c>
      <c r="DI60" s="221">
        <f>DB60-DE60-DG60</f>
        <v>0</v>
      </c>
      <c r="DJ60" s="187">
        <f>DC60-DF60-DH60</f>
        <v>0</v>
      </c>
      <c r="DK60" s="236">
        <f>IF(AND(DB60&gt;0,DC60&gt;0),0,DF60)</f>
        <v>0</v>
      </c>
      <c r="DL60" s="220">
        <f>IF($B60="",0,SUMIFS(采购进货!$E$4:$E$1503,采购进货!$D$4:$D$1503,$B60,采购进货!$B$4:$B$1503,"&gt;="&amp;DATE(年度,10,1),采购进货!$B$4:$B$1503,"&lt;"&amp;DATE(年度,10+1,1))+SUMIFS(采购进货!$H$4:$H$1503,采购进货!$D$4:$D$1503,$B60,采购进货!$B$4:$B$1503,"&gt;="&amp;DATE(年度,10,1),采购进货!$B$4:$B$1503,"&lt;"&amp;DATE(年度,10+1,1)))</f>
        <v>0</v>
      </c>
      <c r="DM60" s="186">
        <f>IF($B60="",0,SUMIFS(采购进货!$G$4:$G$1503,采购进货!$D$4:$D$1503,$B60,采购进货!$B$4:$B$1503,"&gt;="&amp;DATE(年度,10,1),采购进货!$B$4:$B$1503,"&lt;"&amp;DATE(年度,10+1,1)))</f>
        <v>0</v>
      </c>
      <c r="DN60" s="234">
        <f>DI60+DL60</f>
        <v>0</v>
      </c>
      <c r="DO60" s="235">
        <f>DJ60+DM60</f>
        <v>0</v>
      </c>
      <c r="DP60" s="222">
        <f>IF(AND(DN60&gt;0,DO60&gt;0),DO60/DN60,N($E60))</f>
        <v>0</v>
      </c>
      <c r="DQ60" s="220">
        <f>IF($B60="",0,SUMIFS(出库明细!$E$4:$E$3003,出库明细!$D$4:$D$3003,$B60,出库明细!$B$4:$B$3003,"&gt;="&amp;DATE(年度,10,1),出库明细!$B$4:$B$3003,"&lt;"&amp;DATE(年度,10+1,1)))</f>
        <v>0</v>
      </c>
      <c r="DR60" s="186">
        <f>DQ60*DP60</f>
        <v>0</v>
      </c>
      <c r="DS60" s="220">
        <f>_辅助!BV58</f>
        <v>0</v>
      </c>
      <c r="DT60" s="186">
        <f>_辅助!AL58</f>
        <v>0</v>
      </c>
      <c r="DU60" s="221">
        <f>DN60-DQ60-DS60</f>
        <v>0</v>
      </c>
      <c r="DV60" s="187">
        <f>DO60-DR60-DT60</f>
        <v>0</v>
      </c>
      <c r="DW60" s="236">
        <f>IF(AND(DN60&gt;0,DO60&gt;0),0,DR60)</f>
        <v>0</v>
      </c>
      <c r="DX60" s="220">
        <f>IF($B60="",0,SUMIFS(采购进货!$E$4:$E$1503,采购进货!$D$4:$D$1503,$B60,采购进货!$B$4:$B$1503,"&gt;="&amp;DATE(年度,11,1),采购进货!$B$4:$B$1503,"&lt;"&amp;DATE(年度,11+1,1))+SUMIFS(采购进货!$H$4:$H$1503,采购进货!$D$4:$D$1503,$B60,采购进货!$B$4:$B$1503,"&gt;="&amp;DATE(年度,11,1),采购进货!$B$4:$B$1503,"&lt;"&amp;DATE(年度,11+1,1)))</f>
        <v>0</v>
      </c>
      <c r="DY60" s="186">
        <f>IF($B60="",0,SUMIFS(采购进货!$G$4:$G$1503,采购进货!$D$4:$D$1503,$B60,采购进货!$B$4:$B$1503,"&gt;="&amp;DATE(年度,11,1),采购进货!$B$4:$B$1503,"&lt;"&amp;DATE(年度,11+1,1)))</f>
        <v>0</v>
      </c>
      <c r="DZ60" s="234">
        <f>DU60+DX60</f>
        <v>0</v>
      </c>
      <c r="EA60" s="235">
        <f>DV60+DY60</f>
        <v>0</v>
      </c>
      <c r="EB60" s="222">
        <f>IF(AND(DZ60&gt;0,EA60&gt;0),EA60/DZ60,N($E60))</f>
        <v>0</v>
      </c>
      <c r="EC60" s="220">
        <f>IF($B60="",0,SUMIFS(出库明细!$E$4:$E$3003,出库明细!$D$4:$D$3003,$B60,出库明细!$B$4:$B$3003,"&gt;="&amp;DATE(年度,11,1),出库明细!$B$4:$B$3003,"&lt;"&amp;DATE(年度,11+1,1)))</f>
        <v>0</v>
      </c>
      <c r="ED60" s="186">
        <f>EC60*EB60</f>
        <v>0</v>
      </c>
      <c r="EE60" s="220">
        <f>_辅助!BW58</f>
        <v>0</v>
      </c>
      <c r="EF60" s="186">
        <f>_辅助!AM58</f>
        <v>0</v>
      </c>
      <c r="EG60" s="221">
        <f>DZ60-EC60-EE60</f>
        <v>0</v>
      </c>
      <c r="EH60" s="187">
        <f>EA60-ED60-EF60</f>
        <v>0</v>
      </c>
      <c r="EI60" s="236">
        <f>IF(AND(DZ60&gt;0,EA60&gt;0),0,ED60)</f>
        <v>0</v>
      </c>
      <c r="EJ60" s="220">
        <f>IF($B60="",0,SUMIFS(采购进货!$E$4:$E$1503,采购进货!$D$4:$D$1503,$B60,采购进货!$B$4:$B$1503,"&gt;="&amp;DATE(年度,12,1),采购进货!$B$4:$B$1503,"&lt;"&amp;DATE(年度,12+1,1))+SUMIFS(采购进货!$H$4:$H$1503,采购进货!$D$4:$D$1503,$B60,采购进货!$B$4:$B$1503,"&gt;="&amp;DATE(年度,12,1),采购进货!$B$4:$B$1503,"&lt;"&amp;DATE(年度,12+1,1)))</f>
        <v>0</v>
      </c>
      <c r="EK60" s="186">
        <f>IF($B60="",0,SUMIFS(采购进货!$G$4:$G$1503,采购进货!$D$4:$D$1503,$B60,采购进货!$B$4:$B$1503,"&gt;="&amp;DATE(年度,12,1),采购进货!$B$4:$B$1503,"&lt;"&amp;DATE(年度,12+1,1)))</f>
        <v>0</v>
      </c>
      <c r="EL60" s="234">
        <f>EG60+EJ60</f>
        <v>0</v>
      </c>
      <c r="EM60" s="235">
        <f>EH60+EK60</f>
        <v>0</v>
      </c>
      <c r="EN60" s="222">
        <f>IF(AND(EL60&gt;0,EM60&gt;0),EM60/EL60,N($E60))</f>
        <v>0</v>
      </c>
      <c r="EO60" s="220">
        <f>IF($B60="",0,SUMIFS(出库明细!$E$4:$E$3003,出库明细!$D$4:$D$3003,$B60,出库明细!$B$4:$B$3003,"&gt;="&amp;DATE(年度,12,1),出库明细!$B$4:$B$3003,"&lt;"&amp;DATE(年度,12+1,1)))</f>
        <v>0</v>
      </c>
      <c r="EP60" s="186">
        <f>EO60*EN60</f>
        <v>0</v>
      </c>
      <c r="EQ60" s="220">
        <f>_辅助!BX58</f>
        <v>0</v>
      </c>
      <c r="ER60" s="186">
        <f>_辅助!AN58</f>
        <v>0</v>
      </c>
      <c r="ES60" s="221">
        <f>EL60-EO60-EQ60</f>
        <v>0</v>
      </c>
      <c r="ET60" s="187">
        <f>EM60-EP60-ER60</f>
        <v>0</v>
      </c>
      <c r="EU60" s="236">
        <f>IF(AND(EL60&gt;0,EM60&gt;0),0,EP60)</f>
        <v>0</v>
      </c>
    </row>
    <row r="61">
      <c r="A61" s="194">
        <f>IF(B61="","",ROW()-7)</f>
      </c>
      <c r="B61" s="141">
        <f>IF(基础资料!E58="","",基础资料!E58&amp;"")</f>
      </c>
      <c r="C61" s="230">
        <f>IF(基础资料!G58="","",基础资料!G58&amp;"")</f>
      </c>
      <c r="D61" s="194">
        <f>IF(基础资料!I58="","",基础资料!I58)</f>
      </c>
      <c r="E61" s="231">
        <f>IF(基础资料!J58="","",基础资料!J58)</f>
      </c>
      <c r="F61" s="232">
        <f>N(基础资料!L58)</f>
        <v>0</v>
      </c>
      <c r="G61" s="233">
        <f>IF(基础资料!N58="",0,基础资料!N58)</f>
        <v>0</v>
      </c>
      <c r="H61" s="220">
        <f>IF($B61="",0,SUMIFS(采购进货!$E$4:$E$1503,采购进货!$D$4:$D$1503,$B61,采购进货!$B$4:$B$1503,"&gt;="&amp;DATE(年度,1,1),采购进货!$B$4:$B$1503,"&lt;"&amp;DATE(年度,1+1,1))+SUMIFS(采购进货!$H$4:$H$1503,采购进货!$D$4:$D$1503,$B61,采购进货!$B$4:$B$1503,"&gt;="&amp;DATE(年度,1,1),采购进货!$B$4:$B$1503,"&lt;"&amp;DATE(年度,1+1,1)))</f>
        <v>0</v>
      </c>
      <c r="I61" s="186">
        <f>IF($B61="",0,SUMIFS(采购进货!$G$4:$G$1503,采购进货!$D$4:$D$1503,$B61,采购进货!$B$4:$B$1503,"&gt;="&amp;DATE(年度,1,1),采购进货!$B$4:$B$1503,"&lt;"&amp;DATE(年度,1+1,1)))</f>
        <v>0</v>
      </c>
      <c r="J61" s="234">
        <f>F61+H61</f>
        <v>0</v>
      </c>
      <c r="K61" s="235">
        <f>G61+I61</f>
        <v>0</v>
      </c>
      <c r="L61" s="222">
        <f>IF(AND(J61&gt;0,K61&gt;0),K61/J61,N($E61))</f>
        <v>0</v>
      </c>
      <c r="M61" s="220">
        <f>IF($B61="",0,SUMIFS(出库明细!$E$4:$E$3003,出库明细!$D$4:$D$3003,$B61,出库明细!$B$4:$B$3003,"&gt;="&amp;DATE(年度,1,1),出库明细!$B$4:$B$3003,"&lt;"&amp;DATE(年度,1+1,1)))</f>
        <v>0</v>
      </c>
      <c r="N61" s="186">
        <f>M61*L61</f>
        <v>0</v>
      </c>
      <c r="O61" s="220">
        <f>_辅助!BM59</f>
        <v>0</v>
      </c>
      <c r="P61" s="186">
        <f>_辅助!AC59</f>
        <v>0</v>
      </c>
      <c r="Q61" s="221">
        <f>J61-M61-O61</f>
        <v>0</v>
      </c>
      <c r="R61" s="187">
        <f>K61-N61-P61</f>
        <v>0</v>
      </c>
      <c r="S61" s="236">
        <f>IF(AND(J61&gt;0,K61&gt;0),0,N61)</f>
        <v>0</v>
      </c>
      <c r="T61" s="220">
        <f>IF($B61="",0,SUMIFS(采购进货!$E$4:$E$1503,采购进货!$D$4:$D$1503,$B61,采购进货!$B$4:$B$1503,"&gt;="&amp;DATE(年度,2,1),采购进货!$B$4:$B$1503,"&lt;"&amp;DATE(年度,2+1,1))+SUMIFS(采购进货!$H$4:$H$1503,采购进货!$D$4:$D$1503,$B61,采购进货!$B$4:$B$1503,"&gt;="&amp;DATE(年度,2,1),采购进货!$B$4:$B$1503,"&lt;"&amp;DATE(年度,2+1,1)))</f>
        <v>0</v>
      </c>
      <c r="U61" s="186">
        <f>IF($B61="",0,SUMIFS(采购进货!$G$4:$G$1503,采购进货!$D$4:$D$1503,$B61,采购进货!$B$4:$B$1503,"&gt;="&amp;DATE(年度,2,1),采购进货!$B$4:$B$1503,"&lt;"&amp;DATE(年度,2+1,1)))</f>
        <v>0</v>
      </c>
      <c r="V61" s="234">
        <f>Q61+T61</f>
        <v>0</v>
      </c>
      <c r="W61" s="235">
        <f>R61+U61</f>
        <v>0</v>
      </c>
      <c r="X61" s="222">
        <f>IF(AND(V61&gt;0,W61&gt;0),W61/V61,N($E61))</f>
        <v>0</v>
      </c>
      <c r="Y61" s="220">
        <f>IF($B61="",0,SUMIFS(出库明细!$E$4:$E$3003,出库明细!$D$4:$D$3003,$B61,出库明细!$B$4:$B$3003,"&gt;="&amp;DATE(年度,2,1),出库明细!$B$4:$B$3003,"&lt;"&amp;DATE(年度,2+1,1)))</f>
        <v>0</v>
      </c>
      <c r="Z61" s="186">
        <f>Y61*X61</f>
        <v>0</v>
      </c>
      <c r="AA61" s="220">
        <f>_辅助!BN59</f>
        <v>0</v>
      </c>
      <c r="AB61" s="186">
        <f>_辅助!AD59</f>
        <v>0</v>
      </c>
      <c r="AC61" s="221">
        <f>V61-Y61-AA61</f>
        <v>0</v>
      </c>
      <c r="AD61" s="187">
        <f>W61-Z61-AB61</f>
        <v>0</v>
      </c>
      <c r="AE61" s="236">
        <f>IF(AND(V61&gt;0,W61&gt;0),0,Z61)</f>
        <v>0</v>
      </c>
      <c r="AF61" s="220">
        <f>IF($B61="",0,SUMIFS(采购进货!$E$4:$E$1503,采购进货!$D$4:$D$1503,$B61,采购进货!$B$4:$B$1503,"&gt;="&amp;DATE(年度,3,1),采购进货!$B$4:$B$1503,"&lt;"&amp;DATE(年度,3+1,1))+SUMIFS(采购进货!$H$4:$H$1503,采购进货!$D$4:$D$1503,$B61,采购进货!$B$4:$B$1503,"&gt;="&amp;DATE(年度,3,1),采购进货!$B$4:$B$1503,"&lt;"&amp;DATE(年度,3+1,1)))</f>
        <v>0</v>
      </c>
      <c r="AG61" s="186">
        <f>IF($B61="",0,SUMIFS(采购进货!$G$4:$G$1503,采购进货!$D$4:$D$1503,$B61,采购进货!$B$4:$B$1503,"&gt;="&amp;DATE(年度,3,1),采购进货!$B$4:$B$1503,"&lt;"&amp;DATE(年度,3+1,1)))</f>
        <v>0</v>
      </c>
      <c r="AH61" s="234">
        <f>AC61+AF61</f>
        <v>0</v>
      </c>
      <c r="AI61" s="235">
        <f>AD61+AG61</f>
        <v>0</v>
      </c>
      <c r="AJ61" s="222">
        <f>IF(AND(AH61&gt;0,AI61&gt;0),AI61/AH61,N($E61))</f>
        <v>0</v>
      </c>
      <c r="AK61" s="220">
        <f>IF($B61="",0,SUMIFS(出库明细!$E$4:$E$3003,出库明细!$D$4:$D$3003,$B61,出库明细!$B$4:$B$3003,"&gt;="&amp;DATE(年度,3,1),出库明细!$B$4:$B$3003,"&lt;"&amp;DATE(年度,3+1,1)))</f>
        <v>0</v>
      </c>
      <c r="AL61" s="186">
        <f>AK61*AJ61</f>
        <v>0</v>
      </c>
      <c r="AM61" s="220">
        <f>_辅助!BO59</f>
        <v>0</v>
      </c>
      <c r="AN61" s="186">
        <f>_辅助!AE59</f>
        <v>0</v>
      </c>
      <c r="AO61" s="221">
        <f>AH61-AK61-AM61</f>
        <v>0</v>
      </c>
      <c r="AP61" s="187">
        <f>AI61-AL61-AN61</f>
        <v>0</v>
      </c>
      <c r="AQ61" s="236">
        <f>IF(AND(AH61&gt;0,AI61&gt;0),0,AL61)</f>
        <v>0</v>
      </c>
      <c r="AR61" s="220">
        <f>IF($B61="",0,SUMIFS(采购进货!$E$4:$E$1503,采购进货!$D$4:$D$1503,$B61,采购进货!$B$4:$B$1503,"&gt;="&amp;DATE(年度,4,1),采购进货!$B$4:$B$1503,"&lt;"&amp;DATE(年度,4+1,1))+SUMIFS(采购进货!$H$4:$H$1503,采购进货!$D$4:$D$1503,$B61,采购进货!$B$4:$B$1503,"&gt;="&amp;DATE(年度,4,1),采购进货!$B$4:$B$1503,"&lt;"&amp;DATE(年度,4+1,1)))</f>
        <v>0</v>
      </c>
      <c r="AS61" s="186">
        <f>IF($B61="",0,SUMIFS(采购进货!$G$4:$G$1503,采购进货!$D$4:$D$1503,$B61,采购进货!$B$4:$B$1503,"&gt;="&amp;DATE(年度,4,1),采购进货!$B$4:$B$1503,"&lt;"&amp;DATE(年度,4+1,1)))</f>
        <v>0</v>
      </c>
      <c r="AT61" s="234">
        <f>AO61+AR61</f>
        <v>0</v>
      </c>
      <c r="AU61" s="235">
        <f>AP61+AS61</f>
        <v>0</v>
      </c>
      <c r="AV61" s="222">
        <f>IF(AND(AT61&gt;0,AU61&gt;0),AU61/AT61,N($E61))</f>
        <v>0</v>
      </c>
      <c r="AW61" s="220">
        <f>IF($B61="",0,SUMIFS(出库明细!$E$4:$E$3003,出库明细!$D$4:$D$3003,$B61,出库明细!$B$4:$B$3003,"&gt;="&amp;DATE(年度,4,1),出库明细!$B$4:$B$3003,"&lt;"&amp;DATE(年度,4+1,1)))</f>
        <v>0</v>
      </c>
      <c r="AX61" s="186">
        <f>AW61*AV61</f>
        <v>0</v>
      </c>
      <c r="AY61" s="220">
        <f>_辅助!BP59</f>
        <v>0</v>
      </c>
      <c r="AZ61" s="186">
        <f>_辅助!AF59</f>
        <v>0</v>
      </c>
      <c r="BA61" s="221">
        <f>AT61-AW61-AY61</f>
        <v>0</v>
      </c>
      <c r="BB61" s="187">
        <f>AU61-AX61-AZ61</f>
        <v>0</v>
      </c>
      <c r="BC61" s="236">
        <f>IF(AND(AT61&gt;0,AU61&gt;0),0,AX61)</f>
        <v>0</v>
      </c>
      <c r="BD61" s="220">
        <f>IF($B61="",0,SUMIFS(采购进货!$E$4:$E$1503,采购进货!$D$4:$D$1503,$B61,采购进货!$B$4:$B$1503,"&gt;="&amp;DATE(年度,5,1),采购进货!$B$4:$B$1503,"&lt;"&amp;DATE(年度,5+1,1))+SUMIFS(采购进货!$H$4:$H$1503,采购进货!$D$4:$D$1503,$B61,采购进货!$B$4:$B$1503,"&gt;="&amp;DATE(年度,5,1),采购进货!$B$4:$B$1503,"&lt;"&amp;DATE(年度,5+1,1)))</f>
        <v>0</v>
      </c>
      <c r="BE61" s="186">
        <f>IF($B61="",0,SUMIFS(采购进货!$G$4:$G$1503,采购进货!$D$4:$D$1503,$B61,采购进货!$B$4:$B$1503,"&gt;="&amp;DATE(年度,5,1),采购进货!$B$4:$B$1503,"&lt;"&amp;DATE(年度,5+1,1)))</f>
        <v>0</v>
      </c>
      <c r="BF61" s="234">
        <f>BA61+BD61</f>
        <v>0</v>
      </c>
      <c r="BG61" s="235">
        <f>BB61+BE61</f>
        <v>0</v>
      </c>
      <c r="BH61" s="222">
        <f>IF(AND(BF61&gt;0,BG61&gt;0),BG61/BF61,N($E61))</f>
        <v>0</v>
      </c>
      <c r="BI61" s="220">
        <f>IF($B61="",0,SUMIFS(出库明细!$E$4:$E$3003,出库明细!$D$4:$D$3003,$B61,出库明细!$B$4:$B$3003,"&gt;="&amp;DATE(年度,5,1),出库明细!$B$4:$B$3003,"&lt;"&amp;DATE(年度,5+1,1)))</f>
        <v>0</v>
      </c>
      <c r="BJ61" s="186">
        <f>BI61*BH61</f>
        <v>0</v>
      </c>
      <c r="BK61" s="220">
        <f>_辅助!BQ59</f>
        <v>0</v>
      </c>
      <c r="BL61" s="186">
        <f>_辅助!AG59</f>
        <v>0</v>
      </c>
      <c r="BM61" s="221">
        <f>BF61-BI61-BK61</f>
        <v>0</v>
      </c>
      <c r="BN61" s="187">
        <f>BG61-BJ61-BL61</f>
        <v>0</v>
      </c>
      <c r="BO61" s="236">
        <f>IF(AND(BF61&gt;0,BG61&gt;0),0,BJ61)</f>
        <v>0</v>
      </c>
      <c r="BP61" s="220">
        <f>IF($B61="",0,SUMIFS(采购进货!$E$4:$E$1503,采购进货!$D$4:$D$1503,$B61,采购进货!$B$4:$B$1503,"&gt;="&amp;DATE(年度,6,1),采购进货!$B$4:$B$1503,"&lt;"&amp;DATE(年度,6+1,1))+SUMIFS(采购进货!$H$4:$H$1503,采购进货!$D$4:$D$1503,$B61,采购进货!$B$4:$B$1503,"&gt;="&amp;DATE(年度,6,1),采购进货!$B$4:$B$1503,"&lt;"&amp;DATE(年度,6+1,1)))</f>
        <v>0</v>
      </c>
      <c r="BQ61" s="186">
        <f>IF($B61="",0,SUMIFS(采购进货!$G$4:$G$1503,采购进货!$D$4:$D$1503,$B61,采购进货!$B$4:$B$1503,"&gt;="&amp;DATE(年度,6,1),采购进货!$B$4:$B$1503,"&lt;"&amp;DATE(年度,6+1,1)))</f>
        <v>0</v>
      </c>
      <c r="BR61" s="234">
        <f>BM61+BP61</f>
        <v>0</v>
      </c>
      <c r="BS61" s="235">
        <f>BN61+BQ61</f>
        <v>0</v>
      </c>
      <c r="BT61" s="222">
        <f>IF(AND(BR61&gt;0,BS61&gt;0),BS61/BR61,N($E61))</f>
        <v>0</v>
      </c>
      <c r="BU61" s="220">
        <f>IF($B61="",0,SUMIFS(出库明细!$E$4:$E$3003,出库明细!$D$4:$D$3003,$B61,出库明细!$B$4:$B$3003,"&gt;="&amp;DATE(年度,6,1),出库明细!$B$4:$B$3003,"&lt;"&amp;DATE(年度,6+1,1)))</f>
        <v>0</v>
      </c>
      <c r="BV61" s="186">
        <f>BU61*BT61</f>
        <v>0</v>
      </c>
      <c r="BW61" s="220">
        <f>_辅助!BR59</f>
        <v>0</v>
      </c>
      <c r="BX61" s="186">
        <f>_辅助!AH59</f>
        <v>0</v>
      </c>
      <c r="BY61" s="221">
        <f>BR61-BU61-BW61</f>
        <v>0</v>
      </c>
      <c r="BZ61" s="187">
        <f>BS61-BV61-BX61</f>
        <v>0</v>
      </c>
      <c r="CA61" s="236">
        <f>IF(AND(BR61&gt;0,BS61&gt;0),0,BV61)</f>
        <v>0</v>
      </c>
      <c r="CB61" s="220">
        <f>IF($B61="",0,SUMIFS(采购进货!$E$4:$E$1503,采购进货!$D$4:$D$1503,$B61,采购进货!$B$4:$B$1503,"&gt;="&amp;DATE(年度,7,1),采购进货!$B$4:$B$1503,"&lt;"&amp;DATE(年度,7+1,1))+SUMIFS(采购进货!$H$4:$H$1503,采购进货!$D$4:$D$1503,$B61,采购进货!$B$4:$B$1503,"&gt;="&amp;DATE(年度,7,1),采购进货!$B$4:$B$1503,"&lt;"&amp;DATE(年度,7+1,1)))</f>
        <v>0</v>
      </c>
      <c r="CC61" s="186">
        <f>IF($B61="",0,SUMIFS(采购进货!$G$4:$G$1503,采购进货!$D$4:$D$1503,$B61,采购进货!$B$4:$B$1503,"&gt;="&amp;DATE(年度,7,1),采购进货!$B$4:$B$1503,"&lt;"&amp;DATE(年度,7+1,1)))</f>
        <v>0</v>
      </c>
      <c r="CD61" s="234">
        <f>BY61+CB61</f>
        <v>0</v>
      </c>
      <c r="CE61" s="235">
        <f>BZ61+CC61</f>
        <v>0</v>
      </c>
      <c r="CF61" s="222">
        <f>IF(AND(CD61&gt;0,CE61&gt;0),CE61/CD61,N($E61))</f>
        <v>0</v>
      </c>
      <c r="CG61" s="220">
        <f>IF($B61="",0,SUMIFS(出库明细!$E$4:$E$3003,出库明细!$D$4:$D$3003,$B61,出库明细!$B$4:$B$3003,"&gt;="&amp;DATE(年度,7,1),出库明细!$B$4:$B$3003,"&lt;"&amp;DATE(年度,7+1,1)))</f>
        <v>0</v>
      </c>
      <c r="CH61" s="186">
        <f>CG61*CF61</f>
        <v>0</v>
      </c>
      <c r="CI61" s="220">
        <f>_辅助!BS59</f>
        <v>0</v>
      </c>
      <c r="CJ61" s="186">
        <f>_辅助!AI59</f>
        <v>0</v>
      </c>
      <c r="CK61" s="221">
        <f>CD61-CG61-CI61</f>
        <v>0</v>
      </c>
      <c r="CL61" s="187">
        <f>CE61-CH61-CJ61</f>
        <v>0</v>
      </c>
      <c r="CM61" s="236">
        <f>IF(AND(CD61&gt;0,CE61&gt;0),0,CH61)</f>
        <v>0</v>
      </c>
      <c r="CN61" s="220">
        <f>IF($B61="",0,SUMIFS(采购进货!$E$4:$E$1503,采购进货!$D$4:$D$1503,$B61,采购进货!$B$4:$B$1503,"&gt;="&amp;DATE(年度,8,1),采购进货!$B$4:$B$1503,"&lt;"&amp;DATE(年度,8+1,1))+SUMIFS(采购进货!$H$4:$H$1503,采购进货!$D$4:$D$1503,$B61,采购进货!$B$4:$B$1503,"&gt;="&amp;DATE(年度,8,1),采购进货!$B$4:$B$1503,"&lt;"&amp;DATE(年度,8+1,1)))</f>
        <v>0</v>
      </c>
      <c r="CO61" s="186">
        <f>IF($B61="",0,SUMIFS(采购进货!$G$4:$G$1503,采购进货!$D$4:$D$1503,$B61,采购进货!$B$4:$B$1503,"&gt;="&amp;DATE(年度,8,1),采购进货!$B$4:$B$1503,"&lt;"&amp;DATE(年度,8+1,1)))</f>
        <v>0</v>
      </c>
      <c r="CP61" s="234">
        <f>CK61+CN61</f>
        <v>0</v>
      </c>
      <c r="CQ61" s="235">
        <f>CL61+CO61</f>
        <v>0</v>
      </c>
      <c r="CR61" s="222">
        <f>IF(AND(CP61&gt;0,CQ61&gt;0),CQ61/CP61,N($E61))</f>
        <v>0</v>
      </c>
      <c r="CS61" s="220">
        <f>IF($B61="",0,SUMIFS(出库明细!$E$4:$E$3003,出库明细!$D$4:$D$3003,$B61,出库明细!$B$4:$B$3003,"&gt;="&amp;DATE(年度,8,1),出库明细!$B$4:$B$3003,"&lt;"&amp;DATE(年度,8+1,1)))</f>
        <v>0</v>
      </c>
      <c r="CT61" s="186">
        <f>CS61*CR61</f>
        <v>0</v>
      </c>
      <c r="CU61" s="220">
        <f>_辅助!BT59</f>
        <v>0</v>
      </c>
      <c r="CV61" s="186">
        <f>_辅助!AJ59</f>
        <v>0</v>
      </c>
      <c r="CW61" s="221">
        <f>CP61-CS61-CU61</f>
        <v>0</v>
      </c>
      <c r="CX61" s="187">
        <f>CQ61-CT61-CV61</f>
        <v>0</v>
      </c>
      <c r="CY61" s="236">
        <f>IF(AND(CP61&gt;0,CQ61&gt;0),0,CT61)</f>
        <v>0</v>
      </c>
      <c r="CZ61" s="220">
        <f>IF($B61="",0,SUMIFS(采购进货!$E$4:$E$1503,采购进货!$D$4:$D$1503,$B61,采购进货!$B$4:$B$1503,"&gt;="&amp;DATE(年度,9,1),采购进货!$B$4:$B$1503,"&lt;"&amp;DATE(年度,9+1,1))+SUMIFS(采购进货!$H$4:$H$1503,采购进货!$D$4:$D$1503,$B61,采购进货!$B$4:$B$1503,"&gt;="&amp;DATE(年度,9,1),采购进货!$B$4:$B$1503,"&lt;"&amp;DATE(年度,9+1,1)))</f>
        <v>0</v>
      </c>
      <c r="DA61" s="186">
        <f>IF($B61="",0,SUMIFS(采购进货!$G$4:$G$1503,采购进货!$D$4:$D$1503,$B61,采购进货!$B$4:$B$1503,"&gt;="&amp;DATE(年度,9,1),采购进货!$B$4:$B$1503,"&lt;"&amp;DATE(年度,9+1,1)))</f>
        <v>0</v>
      </c>
      <c r="DB61" s="234">
        <f>CW61+CZ61</f>
        <v>0</v>
      </c>
      <c r="DC61" s="235">
        <f>CX61+DA61</f>
        <v>0</v>
      </c>
      <c r="DD61" s="222">
        <f>IF(AND(DB61&gt;0,DC61&gt;0),DC61/DB61,N($E61))</f>
        <v>0</v>
      </c>
      <c r="DE61" s="220">
        <f>IF($B61="",0,SUMIFS(出库明细!$E$4:$E$3003,出库明细!$D$4:$D$3003,$B61,出库明细!$B$4:$B$3003,"&gt;="&amp;DATE(年度,9,1),出库明细!$B$4:$B$3003,"&lt;"&amp;DATE(年度,9+1,1)))</f>
        <v>0</v>
      </c>
      <c r="DF61" s="186">
        <f>DE61*DD61</f>
        <v>0</v>
      </c>
      <c r="DG61" s="220">
        <f>_辅助!BU59</f>
        <v>0</v>
      </c>
      <c r="DH61" s="186">
        <f>_辅助!AK59</f>
        <v>0</v>
      </c>
      <c r="DI61" s="221">
        <f>DB61-DE61-DG61</f>
        <v>0</v>
      </c>
      <c r="DJ61" s="187">
        <f>DC61-DF61-DH61</f>
        <v>0</v>
      </c>
      <c r="DK61" s="236">
        <f>IF(AND(DB61&gt;0,DC61&gt;0),0,DF61)</f>
        <v>0</v>
      </c>
      <c r="DL61" s="220">
        <f>IF($B61="",0,SUMIFS(采购进货!$E$4:$E$1503,采购进货!$D$4:$D$1503,$B61,采购进货!$B$4:$B$1503,"&gt;="&amp;DATE(年度,10,1),采购进货!$B$4:$B$1503,"&lt;"&amp;DATE(年度,10+1,1))+SUMIFS(采购进货!$H$4:$H$1503,采购进货!$D$4:$D$1503,$B61,采购进货!$B$4:$B$1503,"&gt;="&amp;DATE(年度,10,1),采购进货!$B$4:$B$1503,"&lt;"&amp;DATE(年度,10+1,1)))</f>
        <v>0</v>
      </c>
      <c r="DM61" s="186">
        <f>IF($B61="",0,SUMIFS(采购进货!$G$4:$G$1503,采购进货!$D$4:$D$1503,$B61,采购进货!$B$4:$B$1503,"&gt;="&amp;DATE(年度,10,1),采购进货!$B$4:$B$1503,"&lt;"&amp;DATE(年度,10+1,1)))</f>
        <v>0</v>
      </c>
      <c r="DN61" s="234">
        <f>DI61+DL61</f>
        <v>0</v>
      </c>
      <c r="DO61" s="235">
        <f>DJ61+DM61</f>
        <v>0</v>
      </c>
      <c r="DP61" s="222">
        <f>IF(AND(DN61&gt;0,DO61&gt;0),DO61/DN61,N($E61))</f>
        <v>0</v>
      </c>
      <c r="DQ61" s="220">
        <f>IF($B61="",0,SUMIFS(出库明细!$E$4:$E$3003,出库明细!$D$4:$D$3003,$B61,出库明细!$B$4:$B$3003,"&gt;="&amp;DATE(年度,10,1),出库明细!$B$4:$B$3003,"&lt;"&amp;DATE(年度,10+1,1)))</f>
        <v>0</v>
      </c>
      <c r="DR61" s="186">
        <f>DQ61*DP61</f>
        <v>0</v>
      </c>
      <c r="DS61" s="220">
        <f>_辅助!BV59</f>
        <v>0</v>
      </c>
      <c r="DT61" s="186">
        <f>_辅助!AL59</f>
        <v>0</v>
      </c>
      <c r="DU61" s="221">
        <f>DN61-DQ61-DS61</f>
        <v>0</v>
      </c>
      <c r="DV61" s="187">
        <f>DO61-DR61-DT61</f>
        <v>0</v>
      </c>
      <c r="DW61" s="236">
        <f>IF(AND(DN61&gt;0,DO61&gt;0),0,DR61)</f>
        <v>0</v>
      </c>
      <c r="DX61" s="220">
        <f>IF($B61="",0,SUMIFS(采购进货!$E$4:$E$1503,采购进货!$D$4:$D$1503,$B61,采购进货!$B$4:$B$1503,"&gt;="&amp;DATE(年度,11,1),采购进货!$B$4:$B$1503,"&lt;"&amp;DATE(年度,11+1,1))+SUMIFS(采购进货!$H$4:$H$1503,采购进货!$D$4:$D$1503,$B61,采购进货!$B$4:$B$1503,"&gt;="&amp;DATE(年度,11,1),采购进货!$B$4:$B$1503,"&lt;"&amp;DATE(年度,11+1,1)))</f>
        <v>0</v>
      </c>
      <c r="DY61" s="186">
        <f>IF($B61="",0,SUMIFS(采购进货!$G$4:$G$1503,采购进货!$D$4:$D$1503,$B61,采购进货!$B$4:$B$1503,"&gt;="&amp;DATE(年度,11,1),采购进货!$B$4:$B$1503,"&lt;"&amp;DATE(年度,11+1,1)))</f>
        <v>0</v>
      </c>
      <c r="DZ61" s="234">
        <f>DU61+DX61</f>
        <v>0</v>
      </c>
      <c r="EA61" s="235">
        <f>DV61+DY61</f>
        <v>0</v>
      </c>
      <c r="EB61" s="222">
        <f>IF(AND(DZ61&gt;0,EA61&gt;0),EA61/DZ61,N($E61))</f>
        <v>0</v>
      </c>
      <c r="EC61" s="220">
        <f>IF($B61="",0,SUMIFS(出库明细!$E$4:$E$3003,出库明细!$D$4:$D$3003,$B61,出库明细!$B$4:$B$3003,"&gt;="&amp;DATE(年度,11,1),出库明细!$B$4:$B$3003,"&lt;"&amp;DATE(年度,11+1,1)))</f>
        <v>0</v>
      </c>
      <c r="ED61" s="186">
        <f>EC61*EB61</f>
        <v>0</v>
      </c>
      <c r="EE61" s="220">
        <f>_辅助!BW59</f>
        <v>0</v>
      </c>
      <c r="EF61" s="186">
        <f>_辅助!AM59</f>
        <v>0</v>
      </c>
      <c r="EG61" s="221">
        <f>DZ61-EC61-EE61</f>
        <v>0</v>
      </c>
      <c r="EH61" s="187">
        <f>EA61-ED61-EF61</f>
        <v>0</v>
      </c>
      <c r="EI61" s="236">
        <f>IF(AND(DZ61&gt;0,EA61&gt;0),0,ED61)</f>
        <v>0</v>
      </c>
      <c r="EJ61" s="220">
        <f>IF($B61="",0,SUMIFS(采购进货!$E$4:$E$1503,采购进货!$D$4:$D$1503,$B61,采购进货!$B$4:$B$1503,"&gt;="&amp;DATE(年度,12,1),采购进货!$B$4:$B$1503,"&lt;"&amp;DATE(年度,12+1,1))+SUMIFS(采购进货!$H$4:$H$1503,采购进货!$D$4:$D$1503,$B61,采购进货!$B$4:$B$1503,"&gt;="&amp;DATE(年度,12,1),采购进货!$B$4:$B$1503,"&lt;"&amp;DATE(年度,12+1,1)))</f>
        <v>0</v>
      </c>
      <c r="EK61" s="186">
        <f>IF($B61="",0,SUMIFS(采购进货!$G$4:$G$1503,采购进货!$D$4:$D$1503,$B61,采购进货!$B$4:$B$1503,"&gt;="&amp;DATE(年度,12,1),采购进货!$B$4:$B$1503,"&lt;"&amp;DATE(年度,12+1,1)))</f>
        <v>0</v>
      </c>
      <c r="EL61" s="234">
        <f>EG61+EJ61</f>
        <v>0</v>
      </c>
      <c r="EM61" s="235">
        <f>EH61+EK61</f>
        <v>0</v>
      </c>
      <c r="EN61" s="222">
        <f>IF(AND(EL61&gt;0,EM61&gt;0),EM61/EL61,N($E61))</f>
        <v>0</v>
      </c>
      <c r="EO61" s="220">
        <f>IF($B61="",0,SUMIFS(出库明细!$E$4:$E$3003,出库明细!$D$4:$D$3003,$B61,出库明细!$B$4:$B$3003,"&gt;="&amp;DATE(年度,12,1),出库明细!$B$4:$B$3003,"&lt;"&amp;DATE(年度,12+1,1)))</f>
        <v>0</v>
      </c>
      <c r="EP61" s="186">
        <f>EO61*EN61</f>
        <v>0</v>
      </c>
      <c r="EQ61" s="220">
        <f>_辅助!BX59</f>
        <v>0</v>
      </c>
      <c r="ER61" s="186">
        <f>_辅助!AN59</f>
        <v>0</v>
      </c>
      <c r="ES61" s="221">
        <f>EL61-EO61-EQ61</f>
        <v>0</v>
      </c>
      <c r="ET61" s="187">
        <f>EM61-EP61-ER61</f>
        <v>0</v>
      </c>
      <c r="EU61" s="236">
        <f>IF(AND(EL61&gt;0,EM61&gt;0),0,EP61)</f>
        <v>0</v>
      </c>
    </row>
    <row r="62">
      <c r="A62" s="194">
        <f>IF(B62="","",ROW()-7)</f>
      </c>
      <c r="B62" s="141">
        <f>IF(基础资料!E59="","",基础资料!E59&amp;"")</f>
      </c>
      <c r="C62" s="230">
        <f>IF(基础资料!G59="","",基础资料!G59&amp;"")</f>
      </c>
      <c r="D62" s="194">
        <f>IF(基础资料!I59="","",基础资料!I59)</f>
      </c>
      <c r="E62" s="231">
        <f>IF(基础资料!J59="","",基础资料!J59)</f>
      </c>
      <c r="F62" s="232">
        <f>N(基础资料!L59)</f>
        <v>0</v>
      </c>
      <c r="G62" s="233">
        <f>IF(基础资料!N59="",0,基础资料!N59)</f>
        <v>0</v>
      </c>
      <c r="H62" s="220">
        <f>IF($B62="",0,SUMIFS(采购进货!$E$4:$E$1503,采购进货!$D$4:$D$1503,$B62,采购进货!$B$4:$B$1503,"&gt;="&amp;DATE(年度,1,1),采购进货!$B$4:$B$1503,"&lt;"&amp;DATE(年度,1+1,1))+SUMIFS(采购进货!$H$4:$H$1503,采购进货!$D$4:$D$1503,$B62,采购进货!$B$4:$B$1503,"&gt;="&amp;DATE(年度,1,1),采购进货!$B$4:$B$1503,"&lt;"&amp;DATE(年度,1+1,1)))</f>
        <v>0</v>
      </c>
      <c r="I62" s="186">
        <f>IF($B62="",0,SUMIFS(采购进货!$G$4:$G$1503,采购进货!$D$4:$D$1503,$B62,采购进货!$B$4:$B$1503,"&gt;="&amp;DATE(年度,1,1),采购进货!$B$4:$B$1503,"&lt;"&amp;DATE(年度,1+1,1)))</f>
        <v>0</v>
      </c>
      <c r="J62" s="234">
        <f>F62+H62</f>
        <v>0</v>
      </c>
      <c r="K62" s="235">
        <f>G62+I62</f>
        <v>0</v>
      </c>
      <c r="L62" s="222">
        <f>IF(AND(J62&gt;0,K62&gt;0),K62/J62,N($E62))</f>
        <v>0</v>
      </c>
      <c r="M62" s="220">
        <f>IF($B62="",0,SUMIFS(出库明细!$E$4:$E$3003,出库明细!$D$4:$D$3003,$B62,出库明细!$B$4:$B$3003,"&gt;="&amp;DATE(年度,1,1),出库明细!$B$4:$B$3003,"&lt;"&amp;DATE(年度,1+1,1)))</f>
        <v>0</v>
      </c>
      <c r="N62" s="186">
        <f>M62*L62</f>
        <v>0</v>
      </c>
      <c r="O62" s="220">
        <f>_辅助!BM60</f>
        <v>0</v>
      </c>
      <c r="P62" s="186">
        <f>_辅助!AC60</f>
        <v>0</v>
      </c>
      <c r="Q62" s="221">
        <f>J62-M62-O62</f>
        <v>0</v>
      </c>
      <c r="R62" s="187">
        <f>K62-N62-P62</f>
        <v>0</v>
      </c>
      <c r="S62" s="236">
        <f>IF(AND(J62&gt;0,K62&gt;0),0,N62)</f>
        <v>0</v>
      </c>
      <c r="T62" s="220">
        <f>IF($B62="",0,SUMIFS(采购进货!$E$4:$E$1503,采购进货!$D$4:$D$1503,$B62,采购进货!$B$4:$B$1503,"&gt;="&amp;DATE(年度,2,1),采购进货!$B$4:$B$1503,"&lt;"&amp;DATE(年度,2+1,1))+SUMIFS(采购进货!$H$4:$H$1503,采购进货!$D$4:$D$1503,$B62,采购进货!$B$4:$B$1503,"&gt;="&amp;DATE(年度,2,1),采购进货!$B$4:$B$1503,"&lt;"&amp;DATE(年度,2+1,1)))</f>
        <v>0</v>
      </c>
      <c r="U62" s="186">
        <f>IF($B62="",0,SUMIFS(采购进货!$G$4:$G$1503,采购进货!$D$4:$D$1503,$B62,采购进货!$B$4:$B$1503,"&gt;="&amp;DATE(年度,2,1),采购进货!$B$4:$B$1503,"&lt;"&amp;DATE(年度,2+1,1)))</f>
        <v>0</v>
      </c>
      <c r="V62" s="234">
        <f>Q62+T62</f>
        <v>0</v>
      </c>
      <c r="W62" s="235">
        <f>R62+U62</f>
        <v>0</v>
      </c>
      <c r="X62" s="222">
        <f>IF(AND(V62&gt;0,W62&gt;0),W62/V62,N($E62))</f>
        <v>0</v>
      </c>
      <c r="Y62" s="220">
        <f>IF($B62="",0,SUMIFS(出库明细!$E$4:$E$3003,出库明细!$D$4:$D$3003,$B62,出库明细!$B$4:$B$3003,"&gt;="&amp;DATE(年度,2,1),出库明细!$B$4:$B$3003,"&lt;"&amp;DATE(年度,2+1,1)))</f>
        <v>0</v>
      </c>
      <c r="Z62" s="186">
        <f>Y62*X62</f>
        <v>0</v>
      </c>
      <c r="AA62" s="220">
        <f>_辅助!BN60</f>
        <v>0</v>
      </c>
      <c r="AB62" s="186">
        <f>_辅助!AD60</f>
        <v>0</v>
      </c>
      <c r="AC62" s="221">
        <f>V62-Y62-AA62</f>
        <v>0</v>
      </c>
      <c r="AD62" s="187">
        <f>W62-Z62-AB62</f>
        <v>0</v>
      </c>
      <c r="AE62" s="236">
        <f>IF(AND(V62&gt;0,W62&gt;0),0,Z62)</f>
        <v>0</v>
      </c>
      <c r="AF62" s="220">
        <f>IF($B62="",0,SUMIFS(采购进货!$E$4:$E$1503,采购进货!$D$4:$D$1503,$B62,采购进货!$B$4:$B$1503,"&gt;="&amp;DATE(年度,3,1),采购进货!$B$4:$B$1503,"&lt;"&amp;DATE(年度,3+1,1))+SUMIFS(采购进货!$H$4:$H$1503,采购进货!$D$4:$D$1503,$B62,采购进货!$B$4:$B$1503,"&gt;="&amp;DATE(年度,3,1),采购进货!$B$4:$B$1503,"&lt;"&amp;DATE(年度,3+1,1)))</f>
        <v>0</v>
      </c>
      <c r="AG62" s="186">
        <f>IF($B62="",0,SUMIFS(采购进货!$G$4:$G$1503,采购进货!$D$4:$D$1503,$B62,采购进货!$B$4:$B$1503,"&gt;="&amp;DATE(年度,3,1),采购进货!$B$4:$B$1503,"&lt;"&amp;DATE(年度,3+1,1)))</f>
        <v>0</v>
      </c>
      <c r="AH62" s="234">
        <f>AC62+AF62</f>
        <v>0</v>
      </c>
      <c r="AI62" s="235">
        <f>AD62+AG62</f>
        <v>0</v>
      </c>
      <c r="AJ62" s="222">
        <f>IF(AND(AH62&gt;0,AI62&gt;0),AI62/AH62,N($E62))</f>
        <v>0</v>
      </c>
      <c r="AK62" s="220">
        <f>IF($B62="",0,SUMIFS(出库明细!$E$4:$E$3003,出库明细!$D$4:$D$3003,$B62,出库明细!$B$4:$B$3003,"&gt;="&amp;DATE(年度,3,1),出库明细!$B$4:$B$3003,"&lt;"&amp;DATE(年度,3+1,1)))</f>
        <v>0</v>
      </c>
      <c r="AL62" s="186">
        <f>AK62*AJ62</f>
        <v>0</v>
      </c>
      <c r="AM62" s="220">
        <f>_辅助!BO60</f>
        <v>0</v>
      </c>
      <c r="AN62" s="186">
        <f>_辅助!AE60</f>
        <v>0</v>
      </c>
      <c r="AO62" s="221">
        <f>AH62-AK62-AM62</f>
        <v>0</v>
      </c>
      <c r="AP62" s="187">
        <f>AI62-AL62-AN62</f>
        <v>0</v>
      </c>
      <c r="AQ62" s="236">
        <f>IF(AND(AH62&gt;0,AI62&gt;0),0,AL62)</f>
        <v>0</v>
      </c>
      <c r="AR62" s="220">
        <f>IF($B62="",0,SUMIFS(采购进货!$E$4:$E$1503,采购进货!$D$4:$D$1503,$B62,采购进货!$B$4:$B$1503,"&gt;="&amp;DATE(年度,4,1),采购进货!$B$4:$B$1503,"&lt;"&amp;DATE(年度,4+1,1))+SUMIFS(采购进货!$H$4:$H$1503,采购进货!$D$4:$D$1503,$B62,采购进货!$B$4:$B$1503,"&gt;="&amp;DATE(年度,4,1),采购进货!$B$4:$B$1503,"&lt;"&amp;DATE(年度,4+1,1)))</f>
        <v>0</v>
      </c>
      <c r="AS62" s="186">
        <f>IF($B62="",0,SUMIFS(采购进货!$G$4:$G$1503,采购进货!$D$4:$D$1503,$B62,采购进货!$B$4:$B$1503,"&gt;="&amp;DATE(年度,4,1),采购进货!$B$4:$B$1503,"&lt;"&amp;DATE(年度,4+1,1)))</f>
        <v>0</v>
      </c>
      <c r="AT62" s="234">
        <f>AO62+AR62</f>
        <v>0</v>
      </c>
      <c r="AU62" s="235">
        <f>AP62+AS62</f>
        <v>0</v>
      </c>
      <c r="AV62" s="222">
        <f>IF(AND(AT62&gt;0,AU62&gt;0),AU62/AT62,N($E62))</f>
        <v>0</v>
      </c>
      <c r="AW62" s="220">
        <f>IF($B62="",0,SUMIFS(出库明细!$E$4:$E$3003,出库明细!$D$4:$D$3003,$B62,出库明细!$B$4:$B$3003,"&gt;="&amp;DATE(年度,4,1),出库明细!$B$4:$B$3003,"&lt;"&amp;DATE(年度,4+1,1)))</f>
        <v>0</v>
      </c>
      <c r="AX62" s="186">
        <f>AW62*AV62</f>
        <v>0</v>
      </c>
      <c r="AY62" s="220">
        <f>_辅助!BP60</f>
        <v>0</v>
      </c>
      <c r="AZ62" s="186">
        <f>_辅助!AF60</f>
        <v>0</v>
      </c>
      <c r="BA62" s="221">
        <f>AT62-AW62-AY62</f>
        <v>0</v>
      </c>
      <c r="BB62" s="187">
        <f>AU62-AX62-AZ62</f>
        <v>0</v>
      </c>
      <c r="BC62" s="236">
        <f>IF(AND(AT62&gt;0,AU62&gt;0),0,AX62)</f>
        <v>0</v>
      </c>
      <c r="BD62" s="220">
        <f>IF($B62="",0,SUMIFS(采购进货!$E$4:$E$1503,采购进货!$D$4:$D$1503,$B62,采购进货!$B$4:$B$1503,"&gt;="&amp;DATE(年度,5,1),采购进货!$B$4:$B$1503,"&lt;"&amp;DATE(年度,5+1,1))+SUMIFS(采购进货!$H$4:$H$1503,采购进货!$D$4:$D$1503,$B62,采购进货!$B$4:$B$1503,"&gt;="&amp;DATE(年度,5,1),采购进货!$B$4:$B$1503,"&lt;"&amp;DATE(年度,5+1,1)))</f>
        <v>0</v>
      </c>
      <c r="BE62" s="186">
        <f>IF($B62="",0,SUMIFS(采购进货!$G$4:$G$1503,采购进货!$D$4:$D$1503,$B62,采购进货!$B$4:$B$1503,"&gt;="&amp;DATE(年度,5,1),采购进货!$B$4:$B$1503,"&lt;"&amp;DATE(年度,5+1,1)))</f>
        <v>0</v>
      </c>
      <c r="BF62" s="234">
        <f>BA62+BD62</f>
        <v>0</v>
      </c>
      <c r="BG62" s="235">
        <f>BB62+BE62</f>
        <v>0</v>
      </c>
      <c r="BH62" s="222">
        <f>IF(AND(BF62&gt;0,BG62&gt;0),BG62/BF62,N($E62))</f>
        <v>0</v>
      </c>
      <c r="BI62" s="220">
        <f>IF($B62="",0,SUMIFS(出库明细!$E$4:$E$3003,出库明细!$D$4:$D$3003,$B62,出库明细!$B$4:$B$3003,"&gt;="&amp;DATE(年度,5,1),出库明细!$B$4:$B$3003,"&lt;"&amp;DATE(年度,5+1,1)))</f>
        <v>0</v>
      </c>
      <c r="BJ62" s="186">
        <f>BI62*BH62</f>
        <v>0</v>
      </c>
      <c r="BK62" s="220">
        <f>_辅助!BQ60</f>
        <v>0</v>
      </c>
      <c r="BL62" s="186">
        <f>_辅助!AG60</f>
        <v>0</v>
      </c>
      <c r="BM62" s="221">
        <f>BF62-BI62-BK62</f>
        <v>0</v>
      </c>
      <c r="BN62" s="187">
        <f>BG62-BJ62-BL62</f>
        <v>0</v>
      </c>
      <c r="BO62" s="236">
        <f>IF(AND(BF62&gt;0,BG62&gt;0),0,BJ62)</f>
        <v>0</v>
      </c>
      <c r="BP62" s="220">
        <f>IF($B62="",0,SUMIFS(采购进货!$E$4:$E$1503,采购进货!$D$4:$D$1503,$B62,采购进货!$B$4:$B$1503,"&gt;="&amp;DATE(年度,6,1),采购进货!$B$4:$B$1503,"&lt;"&amp;DATE(年度,6+1,1))+SUMIFS(采购进货!$H$4:$H$1503,采购进货!$D$4:$D$1503,$B62,采购进货!$B$4:$B$1503,"&gt;="&amp;DATE(年度,6,1),采购进货!$B$4:$B$1503,"&lt;"&amp;DATE(年度,6+1,1)))</f>
        <v>0</v>
      </c>
      <c r="BQ62" s="186">
        <f>IF($B62="",0,SUMIFS(采购进货!$G$4:$G$1503,采购进货!$D$4:$D$1503,$B62,采购进货!$B$4:$B$1503,"&gt;="&amp;DATE(年度,6,1),采购进货!$B$4:$B$1503,"&lt;"&amp;DATE(年度,6+1,1)))</f>
        <v>0</v>
      </c>
      <c r="BR62" s="234">
        <f>BM62+BP62</f>
        <v>0</v>
      </c>
      <c r="BS62" s="235">
        <f>BN62+BQ62</f>
        <v>0</v>
      </c>
      <c r="BT62" s="222">
        <f>IF(AND(BR62&gt;0,BS62&gt;0),BS62/BR62,N($E62))</f>
        <v>0</v>
      </c>
      <c r="BU62" s="220">
        <f>IF($B62="",0,SUMIFS(出库明细!$E$4:$E$3003,出库明细!$D$4:$D$3003,$B62,出库明细!$B$4:$B$3003,"&gt;="&amp;DATE(年度,6,1),出库明细!$B$4:$B$3003,"&lt;"&amp;DATE(年度,6+1,1)))</f>
        <v>0</v>
      </c>
      <c r="BV62" s="186">
        <f>BU62*BT62</f>
        <v>0</v>
      </c>
      <c r="BW62" s="220">
        <f>_辅助!BR60</f>
        <v>0</v>
      </c>
      <c r="BX62" s="186">
        <f>_辅助!AH60</f>
        <v>0</v>
      </c>
      <c r="BY62" s="221">
        <f>BR62-BU62-BW62</f>
        <v>0</v>
      </c>
      <c r="BZ62" s="187">
        <f>BS62-BV62-BX62</f>
        <v>0</v>
      </c>
      <c r="CA62" s="236">
        <f>IF(AND(BR62&gt;0,BS62&gt;0),0,BV62)</f>
        <v>0</v>
      </c>
      <c r="CB62" s="220">
        <f>IF($B62="",0,SUMIFS(采购进货!$E$4:$E$1503,采购进货!$D$4:$D$1503,$B62,采购进货!$B$4:$B$1503,"&gt;="&amp;DATE(年度,7,1),采购进货!$B$4:$B$1503,"&lt;"&amp;DATE(年度,7+1,1))+SUMIFS(采购进货!$H$4:$H$1503,采购进货!$D$4:$D$1503,$B62,采购进货!$B$4:$B$1503,"&gt;="&amp;DATE(年度,7,1),采购进货!$B$4:$B$1503,"&lt;"&amp;DATE(年度,7+1,1)))</f>
        <v>0</v>
      </c>
      <c r="CC62" s="186">
        <f>IF($B62="",0,SUMIFS(采购进货!$G$4:$G$1503,采购进货!$D$4:$D$1503,$B62,采购进货!$B$4:$B$1503,"&gt;="&amp;DATE(年度,7,1),采购进货!$B$4:$B$1503,"&lt;"&amp;DATE(年度,7+1,1)))</f>
        <v>0</v>
      </c>
      <c r="CD62" s="234">
        <f>BY62+CB62</f>
        <v>0</v>
      </c>
      <c r="CE62" s="235">
        <f>BZ62+CC62</f>
        <v>0</v>
      </c>
      <c r="CF62" s="222">
        <f>IF(AND(CD62&gt;0,CE62&gt;0),CE62/CD62,N($E62))</f>
        <v>0</v>
      </c>
      <c r="CG62" s="220">
        <f>IF($B62="",0,SUMIFS(出库明细!$E$4:$E$3003,出库明细!$D$4:$D$3003,$B62,出库明细!$B$4:$B$3003,"&gt;="&amp;DATE(年度,7,1),出库明细!$B$4:$B$3003,"&lt;"&amp;DATE(年度,7+1,1)))</f>
        <v>0</v>
      </c>
      <c r="CH62" s="186">
        <f>CG62*CF62</f>
        <v>0</v>
      </c>
      <c r="CI62" s="220">
        <f>_辅助!BS60</f>
        <v>0</v>
      </c>
      <c r="CJ62" s="186">
        <f>_辅助!AI60</f>
        <v>0</v>
      </c>
      <c r="CK62" s="221">
        <f>CD62-CG62-CI62</f>
        <v>0</v>
      </c>
      <c r="CL62" s="187">
        <f>CE62-CH62-CJ62</f>
        <v>0</v>
      </c>
      <c r="CM62" s="236">
        <f>IF(AND(CD62&gt;0,CE62&gt;0),0,CH62)</f>
        <v>0</v>
      </c>
      <c r="CN62" s="220">
        <f>IF($B62="",0,SUMIFS(采购进货!$E$4:$E$1503,采购进货!$D$4:$D$1503,$B62,采购进货!$B$4:$B$1503,"&gt;="&amp;DATE(年度,8,1),采购进货!$B$4:$B$1503,"&lt;"&amp;DATE(年度,8+1,1))+SUMIFS(采购进货!$H$4:$H$1503,采购进货!$D$4:$D$1503,$B62,采购进货!$B$4:$B$1503,"&gt;="&amp;DATE(年度,8,1),采购进货!$B$4:$B$1503,"&lt;"&amp;DATE(年度,8+1,1)))</f>
        <v>0</v>
      </c>
      <c r="CO62" s="186">
        <f>IF($B62="",0,SUMIFS(采购进货!$G$4:$G$1503,采购进货!$D$4:$D$1503,$B62,采购进货!$B$4:$B$1503,"&gt;="&amp;DATE(年度,8,1),采购进货!$B$4:$B$1503,"&lt;"&amp;DATE(年度,8+1,1)))</f>
        <v>0</v>
      </c>
      <c r="CP62" s="234">
        <f>CK62+CN62</f>
        <v>0</v>
      </c>
      <c r="CQ62" s="235">
        <f>CL62+CO62</f>
        <v>0</v>
      </c>
      <c r="CR62" s="222">
        <f>IF(AND(CP62&gt;0,CQ62&gt;0),CQ62/CP62,N($E62))</f>
        <v>0</v>
      </c>
      <c r="CS62" s="220">
        <f>IF($B62="",0,SUMIFS(出库明细!$E$4:$E$3003,出库明细!$D$4:$D$3003,$B62,出库明细!$B$4:$B$3003,"&gt;="&amp;DATE(年度,8,1),出库明细!$B$4:$B$3003,"&lt;"&amp;DATE(年度,8+1,1)))</f>
        <v>0</v>
      </c>
      <c r="CT62" s="186">
        <f>CS62*CR62</f>
        <v>0</v>
      </c>
      <c r="CU62" s="220">
        <f>_辅助!BT60</f>
        <v>0</v>
      </c>
      <c r="CV62" s="186">
        <f>_辅助!AJ60</f>
        <v>0</v>
      </c>
      <c r="CW62" s="221">
        <f>CP62-CS62-CU62</f>
        <v>0</v>
      </c>
      <c r="CX62" s="187">
        <f>CQ62-CT62-CV62</f>
        <v>0</v>
      </c>
      <c r="CY62" s="236">
        <f>IF(AND(CP62&gt;0,CQ62&gt;0),0,CT62)</f>
        <v>0</v>
      </c>
      <c r="CZ62" s="220">
        <f>IF($B62="",0,SUMIFS(采购进货!$E$4:$E$1503,采购进货!$D$4:$D$1503,$B62,采购进货!$B$4:$B$1503,"&gt;="&amp;DATE(年度,9,1),采购进货!$B$4:$B$1503,"&lt;"&amp;DATE(年度,9+1,1))+SUMIFS(采购进货!$H$4:$H$1503,采购进货!$D$4:$D$1503,$B62,采购进货!$B$4:$B$1503,"&gt;="&amp;DATE(年度,9,1),采购进货!$B$4:$B$1503,"&lt;"&amp;DATE(年度,9+1,1)))</f>
        <v>0</v>
      </c>
      <c r="DA62" s="186">
        <f>IF($B62="",0,SUMIFS(采购进货!$G$4:$G$1503,采购进货!$D$4:$D$1503,$B62,采购进货!$B$4:$B$1503,"&gt;="&amp;DATE(年度,9,1),采购进货!$B$4:$B$1503,"&lt;"&amp;DATE(年度,9+1,1)))</f>
        <v>0</v>
      </c>
      <c r="DB62" s="234">
        <f>CW62+CZ62</f>
        <v>0</v>
      </c>
      <c r="DC62" s="235">
        <f>CX62+DA62</f>
        <v>0</v>
      </c>
      <c r="DD62" s="222">
        <f>IF(AND(DB62&gt;0,DC62&gt;0),DC62/DB62,N($E62))</f>
        <v>0</v>
      </c>
      <c r="DE62" s="220">
        <f>IF($B62="",0,SUMIFS(出库明细!$E$4:$E$3003,出库明细!$D$4:$D$3003,$B62,出库明细!$B$4:$B$3003,"&gt;="&amp;DATE(年度,9,1),出库明细!$B$4:$B$3003,"&lt;"&amp;DATE(年度,9+1,1)))</f>
        <v>0</v>
      </c>
      <c r="DF62" s="186">
        <f>DE62*DD62</f>
        <v>0</v>
      </c>
      <c r="DG62" s="220">
        <f>_辅助!BU60</f>
        <v>0</v>
      </c>
      <c r="DH62" s="186">
        <f>_辅助!AK60</f>
        <v>0</v>
      </c>
      <c r="DI62" s="221">
        <f>DB62-DE62-DG62</f>
        <v>0</v>
      </c>
      <c r="DJ62" s="187">
        <f>DC62-DF62-DH62</f>
        <v>0</v>
      </c>
      <c r="DK62" s="236">
        <f>IF(AND(DB62&gt;0,DC62&gt;0),0,DF62)</f>
        <v>0</v>
      </c>
      <c r="DL62" s="220">
        <f>IF($B62="",0,SUMIFS(采购进货!$E$4:$E$1503,采购进货!$D$4:$D$1503,$B62,采购进货!$B$4:$B$1503,"&gt;="&amp;DATE(年度,10,1),采购进货!$B$4:$B$1503,"&lt;"&amp;DATE(年度,10+1,1))+SUMIFS(采购进货!$H$4:$H$1503,采购进货!$D$4:$D$1503,$B62,采购进货!$B$4:$B$1503,"&gt;="&amp;DATE(年度,10,1),采购进货!$B$4:$B$1503,"&lt;"&amp;DATE(年度,10+1,1)))</f>
        <v>0</v>
      </c>
      <c r="DM62" s="186">
        <f>IF($B62="",0,SUMIFS(采购进货!$G$4:$G$1503,采购进货!$D$4:$D$1503,$B62,采购进货!$B$4:$B$1503,"&gt;="&amp;DATE(年度,10,1),采购进货!$B$4:$B$1503,"&lt;"&amp;DATE(年度,10+1,1)))</f>
        <v>0</v>
      </c>
      <c r="DN62" s="234">
        <f>DI62+DL62</f>
        <v>0</v>
      </c>
      <c r="DO62" s="235">
        <f>DJ62+DM62</f>
        <v>0</v>
      </c>
      <c r="DP62" s="222">
        <f>IF(AND(DN62&gt;0,DO62&gt;0),DO62/DN62,N($E62))</f>
        <v>0</v>
      </c>
      <c r="DQ62" s="220">
        <f>IF($B62="",0,SUMIFS(出库明细!$E$4:$E$3003,出库明细!$D$4:$D$3003,$B62,出库明细!$B$4:$B$3003,"&gt;="&amp;DATE(年度,10,1),出库明细!$B$4:$B$3003,"&lt;"&amp;DATE(年度,10+1,1)))</f>
        <v>0</v>
      </c>
      <c r="DR62" s="186">
        <f>DQ62*DP62</f>
        <v>0</v>
      </c>
      <c r="DS62" s="220">
        <f>_辅助!BV60</f>
        <v>0</v>
      </c>
      <c r="DT62" s="186">
        <f>_辅助!AL60</f>
        <v>0</v>
      </c>
      <c r="DU62" s="221">
        <f>DN62-DQ62-DS62</f>
        <v>0</v>
      </c>
      <c r="DV62" s="187">
        <f>DO62-DR62-DT62</f>
        <v>0</v>
      </c>
      <c r="DW62" s="236">
        <f>IF(AND(DN62&gt;0,DO62&gt;0),0,DR62)</f>
        <v>0</v>
      </c>
      <c r="DX62" s="220">
        <f>IF($B62="",0,SUMIFS(采购进货!$E$4:$E$1503,采购进货!$D$4:$D$1503,$B62,采购进货!$B$4:$B$1503,"&gt;="&amp;DATE(年度,11,1),采购进货!$B$4:$B$1503,"&lt;"&amp;DATE(年度,11+1,1))+SUMIFS(采购进货!$H$4:$H$1503,采购进货!$D$4:$D$1503,$B62,采购进货!$B$4:$B$1503,"&gt;="&amp;DATE(年度,11,1),采购进货!$B$4:$B$1503,"&lt;"&amp;DATE(年度,11+1,1)))</f>
        <v>0</v>
      </c>
      <c r="DY62" s="186">
        <f>IF($B62="",0,SUMIFS(采购进货!$G$4:$G$1503,采购进货!$D$4:$D$1503,$B62,采购进货!$B$4:$B$1503,"&gt;="&amp;DATE(年度,11,1),采购进货!$B$4:$B$1503,"&lt;"&amp;DATE(年度,11+1,1)))</f>
        <v>0</v>
      </c>
      <c r="DZ62" s="234">
        <f>DU62+DX62</f>
        <v>0</v>
      </c>
      <c r="EA62" s="235">
        <f>DV62+DY62</f>
        <v>0</v>
      </c>
      <c r="EB62" s="222">
        <f>IF(AND(DZ62&gt;0,EA62&gt;0),EA62/DZ62,N($E62))</f>
        <v>0</v>
      </c>
      <c r="EC62" s="220">
        <f>IF($B62="",0,SUMIFS(出库明细!$E$4:$E$3003,出库明细!$D$4:$D$3003,$B62,出库明细!$B$4:$B$3003,"&gt;="&amp;DATE(年度,11,1),出库明细!$B$4:$B$3003,"&lt;"&amp;DATE(年度,11+1,1)))</f>
        <v>0</v>
      </c>
      <c r="ED62" s="186">
        <f>EC62*EB62</f>
        <v>0</v>
      </c>
      <c r="EE62" s="220">
        <f>_辅助!BW60</f>
        <v>0</v>
      </c>
      <c r="EF62" s="186">
        <f>_辅助!AM60</f>
        <v>0</v>
      </c>
      <c r="EG62" s="221">
        <f>DZ62-EC62-EE62</f>
        <v>0</v>
      </c>
      <c r="EH62" s="187">
        <f>EA62-ED62-EF62</f>
        <v>0</v>
      </c>
      <c r="EI62" s="236">
        <f>IF(AND(DZ62&gt;0,EA62&gt;0),0,ED62)</f>
        <v>0</v>
      </c>
      <c r="EJ62" s="220">
        <f>IF($B62="",0,SUMIFS(采购进货!$E$4:$E$1503,采购进货!$D$4:$D$1503,$B62,采购进货!$B$4:$B$1503,"&gt;="&amp;DATE(年度,12,1),采购进货!$B$4:$B$1503,"&lt;"&amp;DATE(年度,12+1,1))+SUMIFS(采购进货!$H$4:$H$1503,采购进货!$D$4:$D$1503,$B62,采购进货!$B$4:$B$1503,"&gt;="&amp;DATE(年度,12,1),采购进货!$B$4:$B$1503,"&lt;"&amp;DATE(年度,12+1,1)))</f>
        <v>0</v>
      </c>
      <c r="EK62" s="186">
        <f>IF($B62="",0,SUMIFS(采购进货!$G$4:$G$1503,采购进货!$D$4:$D$1503,$B62,采购进货!$B$4:$B$1503,"&gt;="&amp;DATE(年度,12,1),采购进货!$B$4:$B$1503,"&lt;"&amp;DATE(年度,12+1,1)))</f>
        <v>0</v>
      </c>
      <c r="EL62" s="234">
        <f>EG62+EJ62</f>
        <v>0</v>
      </c>
      <c r="EM62" s="235">
        <f>EH62+EK62</f>
        <v>0</v>
      </c>
      <c r="EN62" s="222">
        <f>IF(AND(EL62&gt;0,EM62&gt;0),EM62/EL62,N($E62))</f>
        <v>0</v>
      </c>
      <c r="EO62" s="220">
        <f>IF($B62="",0,SUMIFS(出库明细!$E$4:$E$3003,出库明细!$D$4:$D$3003,$B62,出库明细!$B$4:$B$3003,"&gt;="&amp;DATE(年度,12,1),出库明细!$B$4:$B$3003,"&lt;"&amp;DATE(年度,12+1,1)))</f>
        <v>0</v>
      </c>
      <c r="EP62" s="186">
        <f>EO62*EN62</f>
        <v>0</v>
      </c>
      <c r="EQ62" s="220">
        <f>_辅助!BX60</f>
        <v>0</v>
      </c>
      <c r="ER62" s="186">
        <f>_辅助!AN60</f>
        <v>0</v>
      </c>
      <c r="ES62" s="221">
        <f>EL62-EO62-EQ62</f>
        <v>0</v>
      </c>
      <c r="ET62" s="187">
        <f>EM62-EP62-ER62</f>
        <v>0</v>
      </c>
      <c r="EU62" s="236">
        <f>IF(AND(EL62&gt;0,EM62&gt;0),0,EP62)</f>
        <v>0</v>
      </c>
    </row>
    <row r="63">
      <c r="A63" s="194">
        <f>IF(B63="","",ROW()-7)</f>
      </c>
      <c r="B63" s="141">
        <f>IF(基础资料!E60="","",基础资料!E60&amp;"")</f>
      </c>
      <c r="C63" s="230">
        <f>IF(基础资料!G60="","",基础资料!G60&amp;"")</f>
      </c>
      <c r="D63" s="194">
        <f>IF(基础资料!I60="","",基础资料!I60)</f>
      </c>
      <c r="E63" s="231">
        <f>IF(基础资料!J60="","",基础资料!J60)</f>
      </c>
      <c r="F63" s="232">
        <f>N(基础资料!L60)</f>
        <v>0</v>
      </c>
      <c r="G63" s="233">
        <f>IF(基础资料!N60="",0,基础资料!N60)</f>
        <v>0</v>
      </c>
      <c r="H63" s="220">
        <f>IF($B63="",0,SUMIFS(采购进货!$E$4:$E$1503,采购进货!$D$4:$D$1503,$B63,采购进货!$B$4:$B$1503,"&gt;="&amp;DATE(年度,1,1),采购进货!$B$4:$B$1503,"&lt;"&amp;DATE(年度,1+1,1))+SUMIFS(采购进货!$H$4:$H$1503,采购进货!$D$4:$D$1503,$B63,采购进货!$B$4:$B$1503,"&gt;="&amp;DATE(年度,1,1),采购进货!$B$4:$B$1503,"&lt;"&amp;DATE(年度,1+1,1)))</f>
        <v>0</v>
      </c>
      <c r="I63" s="186">
        <f>IF($B63="",0,SUMIFS(采购进货!$G$4:$G$1503,采购进货!$D$4:$D$1503,$B63,采购进货!$B$4:$B$1503,"&gt;="&amp;DATE(年度,1,1),采购进货!$B$4:$B$1503,"&lt;"&amp;DATE(年度,1+1,1)))</f>
        <v>0</v>
      </c>
      <c r="J63" s="234">
        <f>F63+H63</f>
        <v>0</v>
      </c>
      <c r="K63" s="235">
        <f>G63+I63</f>
        <v>0</v>
      </c>
      <c r="L63" s="222">
        <f>IF(AND(J63&gt;0,K63&gt;0),K63/J63,N($E63))</f>
        <v>0</v>
      </c>
      <c r="M63" s="220">
        <f>IF($B63="",0,SUMIFS(出库明细!$E$4:$E$3003,出库明细!$D$4:$D$3003,$B63,出库明细!$B$4:$B$3003,"&gt;="&amp;DATE(年度,1,1),出库明细!$B$4:$B$3003,"&lt;"&amp;DATE(年度,1+1,1)))</f>
        <v>0</v>
      </c>
      <c r="N63" s="186">
        <f>M63*L63</f>
        <v>0</v>
      </c>
      <c r="O63" s="220">
        <f>_辅助!BM61</f>
        <v>0</v>
      </c>
      <c r="P63" s="186">
        <f>_辅助!AC61</f>
        <v>0</v>
      </c>
      <c r="Q63" s="221">
        <f>J63-M63-O63</f>
        <v>0</v>
      </c>
      <c r="R63" s="187">
        <f>K63-N63-P63</f>
        <v>0</v>
      </c>
      <c r="S63" s="236">
        <f>IF(AND(J63&gt;0,K63&gt;0),0,N63)</f>
        <v>0</v>
      </c>
      <c r="T63" s="220">
        <f>IF($B63="",0,SUMIFS(采购进货!$E$4:$E$1503,采购进货!$D$4:$D$1503,$B63,采购进货!$B$4:$B$1503,"&gt;="&amp;DATE(年度,2,1),采购进货!$B$4:$B$1503,"&lt;"&amp;DATE(年度,2+1,1))+SUMIFS(采购进货!$H$4:$H$1503,采购进货!$D$4:$D$1503,$B63,采购进货!$B$4:$B$1503,"&gt;="&amp;DATE(年度,2,1),采购进货!$B$4:$B$1503,"&lt;"&amp;DATE(年度,2+1,1)))</f>
        <v>0</v>
      </c>
      <c r="U63" s="186">
        <f>IF($B63="",0,SUMIFS(采购进货!$G$4:$G$1503,采购进货!$D$4:$D$1503,$B63,采购进货!$B$4:$B$1503,"&gt;="&amp;DATE(年度,2,1),采购进货!$B$4:$B$1503,"&lt;"&amp;DATE(年度,2+1,1)))</f>
        <v>0</v>
      </c>
      <c r="V63" s="234">
        <f>Q63+T63</f>
        <v>0</v>
      </c>
      <c r="W63" s="235">
        <f>R63+U63</f>
        <v>0</v>
      </c>
      <c r="X63" s="222">
        <f>IF(AND(V63&gt;0,W63&gt;0),W63/V63,N($E63))</f>
        <v>0</v>
      </c>
      <c r="Y63" s="220">
        <f>IF($B63="",0,SUMIFS(出库明细!$E$4:$E$3003,出库明细!$D$4:$D$3003,$B63,出库明细!$B$4:$B$3003,"&gt;="&amp;DATE(年度,2,1),出库明细!$B$4:$B$3003,"&lt;"&amp;DATE(年度,2+1,1)))</f>
        <v>0</v>
      </c>
      <c r="Z63" s="186">
        <f>Y63*X63</f>
        <v>0</v>
      </c>
      <c r="AA63" s="220">
        <f>_辅助!BN61</f>
        <v>0</v>
      </c>
      <c r="AB63" s="186">
        <f>_辅助!AD61</f>
        <v>0</v>
      </c>
      <c r="AC63" s="221">
        <f>V63-Y63-AA63</f>
        <v>0</v>
      </c>
      <c r="AD63" s="187">
        <f>W63-Z63-AB63</f>
        <v>0</v>
      </c>
      <c r="AE63" s="236">
        <f>IF(AND(V63&gt;0,W63&gt;0),0,Z63)</f>
        <v>0</v>
      </c>
      <c r="AF63" s="220">
        <f>IF($B63="",0,SUMIFS(采购进货!$E$4:$E$1503,采购进货!$D$4:$D$1503,$B63,采购进货!$B$4:$B$1503,"&gt;="&amp;DATE(年度,3,1),采购进货!$B$4:$B$1503,"&lt;"&amp;DATE(年度,3+1,1))+SUMIFS(采购进货!$H$4:$H$1503,采购进货!$D$4:$D$1503,$B63,采购进货!$B$4:$B$1503,"&gt;="&amp;DATE(年度,3,1),采购进货!$B$4:$B$1503,"&lt;"&amp;DATE(年度,3+1,1)))</f>
        <v>0</v>
      </c>
      <c r="AG63" s="186">
        <f>IF($B63="",0,SUMIFS(采购进货!$G$4:$G$1503,采购进货!$D$4:$D$1503,$B63,采购进货!$B$4:$B$1503,"&gt;="&amp;DATE(年度,3,1),采购进货!$B$4:$B$1503,"&lt;"&amp;DATE(年度,3+1,1)))</f>
        <v>0</v>
      </c>
      <c r="AH63" s="234">
        <f>AC63+AF63</f>
        <v>0</v>
      </c>
      <c r="AI63" s="235">
        <f>AD63+AG63</f>
        <v>0</v>
      </c>
      <c r="AJ63" s="222">
        <f>IF(AND(AH63&gt;0,AI63&gt;0),AI63/AH63,N($E63))</f>
        <v>0</v>
      </c>
      <c r="AK63" s="220">
        <f>IF($B63="",0,SUMIFS(出库明细!$E$4:$E$3003,出库明细!$D$4:$D$3003,$B63,出库明细!$B$4:$B$3003,"&gt;="&amp;DATE(年度,3,1),出库明细!$B$4:$B$3003,"&lt;"&amp;DATE(年度,3+1,1)))</f>
        <v>0</v>
      </c>
      <c r="AL63" s="186">
        <f>AK63*AJ63</f>
        <v>0</v>
      </c>
      <c r="AM63" s="220">
        <f>_辅助!BO61</f>
        <v>0</v>
      </c>
      <c r="AN63" s="186">
        <f>_辅助!AE61</f>
        <v>0</v>
      </c>
      <c r="AO63" s="221">
        <f>AH63-AK63-AM63</f>
        <v>0</v>
      </c>
      <c r="AP63" s="187">
        <f>AI63-AL63-AN63</f>
        <v>0</v>
      </c>
      <c r="AQ63" s="236">
        <f>IF(AND(AH63&gt;0,AI63&gt;0),0,AL63)</f>
        <v>0</v>
      </c>
      <c r="AR63" s="220">
        <f>IF($B63="",0,SUMIFS(采购进货!$E$4:$E$1503,采购进货!$D$4:$D$1503,$B63,采购进货!$B$4:$B$1503,"&gt;="&amp;DATE(年度,4,1),采购进货!$B$4:$B$1503,"&lt;"&amp;DATE(年度,4+1,1))+SUMIFS(采购进货!$H$4:$H$1503,采购进货!$D$4:$D$1503,$B63,采购进货!$B$4:$B$1503,"&gt;="&amp;DATE(年度,4,1),采购进货!$B$4:$B$1503,"&lt;"&amp;DATE(年度,4+1,1)))</f>
        <v>0</v>
      </c>
      <c r="AS63" s="186">
        <f>IF($B63="",0,SUMIFS(采购进货!$G$4:$G$1503,采购进货!$D$4:$D$1503,$B63,采购进货!$B$4:$B$1503,"&gt;="&amp;DATE(年度,4,1),采购进货!$B$4:$B$1503,"&lt;"&amp;DATE(年度,4+1,1)))</f>
        <v>0</v>
      </c>
      <c r="AT63" s="234">
        <f>AO63+AR63</f>
        <v>0</v>
      </c>
      <c r="AU63" s="235">
        <f>AP63+AS63</f>
        <v>0</v>
      </c>
      <c r="AV63" s="222">
        <f>IF(AND(AT63&gt;0,AU63&gt;0),AU63/AT63,N($E63))</f>
        <v>0</v>
      </c>
      <c r="AW63" s="220">
        <f>IF($B63="",0,SUMIFS(出库明细!$E$4:$E$3003,出库明细!$D$4:$D$3003,$B63,出库明细!$B$4:$B$3003,"&gt;="&amp;DATE(年度,4,1),出库明细!$B$4:$B$3003,"&lt;"&amp;DATE(年度,4+1,1)))</f>
        <v>0</v>
      </c>
      <c r="AX63" s="186">
        <f>AW63*AV63</f>
        <v>0</v>
      </c>
      <c r="AY63" s="220">
        <f>_辅助!BP61</f>
        <v>0</v>
      </c>
      <c r="AZ63" s="186">
        <f>_辅助!AF61</f>
        <v>0</v>
      </c>
      <c r="BA63" s="221">
        <f>AT63-AW63-AY63</f>
        <v>0</v>
      </c>
      <c r="BB63" s="187">
        <f>AU63-AX63-AZ63</f>
        <v>0</v>
      </c>
      <c r="BC63" s="236">
        <f>IF(AND(AT63&gt;0,AU63&gt;0),0,AX63)</f>
        <v>0</v>
      </c>
      <c r="BD63" s="220">
        <f>IF($B63="",0,SUMIFS(采购进货!$E$4:$E$1503,采购进货!$D$4:$D$1503,$B63,采购进货!$B$4:$B$1503,"&gt;="&amp;DATE(年度,5,1),采购进货!$B$4:$B$1503,"&lt;"&amp;DATE(年度,5+1,1))+SUMIFS(采购进货!$H$4:$H$1503,采购进货!$D$4:$D$1503,$B63,采购进货!$B$4:$B$1503,"&gt;="&amp;DATE(年度,5,1),采购进货!$B$4:$B$1503,"&lt;"&amp;DATE(年度,5+1,1)))</f>
        <v>0</v>
      </c>
      <c r="BE63" s="186">
        <f>IF($B63="",0,SUMIFS(采购进货!$G$4:$G$1503,采购进货!$D$4:$D$1503,$B63,采购进货!$B$4:$B$1503,"&gt;="&amp;DATE(年度,5,1),采购进货!$B$4:$B$1503,"&lt;"&amp;DATE(年度,5+1,1)))</f>
        <v>0</v>
      </c>
      <c r="BF63" s="234">
        <f>BA63+BD63</f>
        <v>0</v>
      </c>
      <c r="BG63" s="235">
        <f>BB63+BE63</f>
        <v>0</v>
      </c>
      <c r="BH63" s="222">
        <f>IF(AND(BF63&gt;0,BG63&gt;0),BG63/BF63,N($E63))</f>
        <v>0</v>
      </c>
      <c r="BI63" s="220">
        <f>IF($B63="",0,SUMIFS(出库明细!$E$4:$E$3003,出库明细!$D$4:$D$3003,$B63,出库明细!$B$4:$B$3003,"&gt;="&amp;DATE(年度,5,1),出库明细!$B$4:$B$3003,"&lt;"&amp;DATE(年度,5+1,1)))</f>
        <v>0</v>
      </c>
      <c r="BJ63" s="186">
        <f>BI63*BH63</f>
        <v>0</v>
      </c>
      <c r="BK63" s="220">
        <f>_辅助!BQ61</f>
        <v>0</v>
      </c>
      <c r="BL63" s="186">
        <f>_辅助!AG61</f>
        <v>0</v>
      </c>
      <c r="BM63" s="221">
        <f>BF63-BI63-BK63</f>
        <v>0</v>
      </c>
      <c r="BN63" s="187">
        <f>BG63-BJ63-BL63</f>
        <v>0</v>
      </c>
      <c r="BO63" s="236">
        <f>IF(AND(BF63&gt;0,BG63&gt;0),0,BJ63)</f>
        <v>0</v>
      </c>
      <c r="BP63" s="220">
        <f>IF($B63="",0,SUMIFS(采购进货!$E$4:$E$1503,采购进货!$D$4:$D$1503,$B63,采购进货!$B$4:$B$1503,"&gt;="&amp;DATE(年度,6,1),采购进货!$B$4:$B$1503,"&lt;"&amp;DATE(年度,6+1,1))+SUMIFS(采购进货!$H$4:$H$1503,采购进货!$D$4:$D$1503,$B63,采购进货!$B$4:$B$1503,"&gt;="&amp;DATE(年度,6,1),采购进货!$B$4:$B$1503,"&lt;"&amp;DATE(年度,6+1,1)))</f>
        <v>0</v>
      </c>
      <c r="BQ63" s="186">
        <f>IF($B63="",0,SUMIFS(采购进货!$G$4:$G$1503,采购进货!$D$4:$D$1503,$B63,采购进货!$B$4:$B$1503,"&gt;="&amp;DATE(年度,6,1),采购进货!$B$4:$B$1503,"&lt;"&amp;DATE(年度,6+1,1)))</f>
        <v>0</v>
      </c>
      <c r="BR63" s="234">
        <f>BM63+BP63</f>
        <v>0</v>
      </c>
      <c r="BS63" s="235">
        <f>BN63+BQ63</f>
        <v>0</v>
      </c>
      <c r="BT63" s="222">
        <f>IF(AND(BR63&gt;0,BS63&gt;0),BS63/BR63,N($E63))</f>
        <v>0</v>
      </c>
      <c r="BU63" s="220">
        <f>IF($B63="",0,SUMIFS(出库明细!$E$4:$E$3003,出库明细!$D$4:$D$3003,$B63,出库明细!$B$4:$B$3003,"&gt;="&amp;DATE(年度,6,1),出库明细!$B$4:$B$3003,"&lt;"&amp;DATE(年度,6+1,1)))</f>
        <v>0</v>
      </c>
      <c r="BV63" s="186">
        <f>BU63*BT63</f>
        <v>0</v>
      </c>
      <c r="BW63" s="220">
        <f>_辅助!BR61</f>
        <v>0</v>
      </c>
      <c r="BX63" s="186">
        <f>_辅助!AH61</f>
        <v>0</v>
      </c>
      <c r="BY63" s="221">
        <f>BR63-BU63-BW63</f>
        <v>0</v>
      </c>
      <c r="BZ63" s="187">
        <f>BS63-BV63-BX63</f>
        <v>0</v>
      </c>
      <c r="CA63" s="236">
        <f>IF(AND(BR63&gt;0,BS63&gt;0),0,BV63)</f>
        <v>0</v>
      </c>
      <c r="CB63" s="220">
        <f>IF($B63="",0,SUMIFS(采购进货!$E$4:$E$1503,采购进货!$D$4:$D$1503,$B63,采购进货!$B$4:$B$1503,"&gt;="&amp;DATE(年度,7,1),采购进货!$B$4:$B$1503,"&lt;"&amp;DATE(年度,7+1,1))+SUMIFS(采购进货!$H$4:$H$1503,采购进货!$D$4:$D$1503,$B63,采购进货!$B$4:$B$1503,"&gt;="&amp;DATE(年度,7,1),采购进货!$B$4:$B$1503,"&lt;"&amp;DATE(年度,7+1,1)))</f>
        <v>0</v>
      </c>
      <c r="CC63" s="186">
        <f>IF($B63="",0,SUMIFS(采购进货!$G$4:$G$1503,采购进货!$D$4:$D$1503,$B63,采购进货!$B$4:$B$1503,"&gt;="&amp;DATE(年度,7,1),采购进货!$B$4:$B$1503,"&lt;"&amp;DATE(年度,7+1,1)))</f>
        <v>0</v>
      </c>
      <c r="CD63" s="234">
        <f>BY63+CB63</f>
        <v>0</v>
      </c>
      <c r="CE63" s="235">
        <f>BZ63+CC63</f>
        <v>0</v>
      </c>
      <c r="CF63" s="222">
        <f>IF(AND(CD63&gt;0,CE63&gt;0),CE63/CD63,N($E63))</f>
        <v>0</v>
      </c>
      <c r="CG63" s="220">
        <f>IF($B63="",0,SUMIFS(出库明细!$E$4:$E$3003,出库明细!$D$4:$D$3003,$B63,出库明细!$B$4:$B$3003,"&gt;="&amp;DATE(年度,7,1),出库明细!$B$4:$B$3003,"&lt;"&amp;DATE(年度,7+1,1)))</f>
        <v>0</v>
      </c>
      <c r="CH63" s="186">
        <f>CG63*CF63</f>
        <v>0</v>
      </c>
      <c r="CI63" s="220">
        <f>_辅助!BS61</f>
        <v>0</v>
      </c>
      <c r="CJ63" s="186">
        <f>_辅助!AI61</f>
        <v>0</v>
      </c>
      <c r="CK63" s="221">
        <f>CD63-CG63-CI63</f>
        <v>0</v>
      </c>
      <c r="CL63" s="187">
        <f>CE63-CH63-CJ63</f>
        <v>0</v>
      </c>
      <c r="CM63" s="236">
        <f>IF(AND(CD63&gt;0,CE63&gt;0),0,CH63)</f>
        <v>0</v>
      </c>
      <c r="CN63" s="220">
        <f>IF($B63="",0,SUMIFS(采购进货!$E$4:$E$1503,采购进货!$D$4:$D$1503,$B63,采购进货!$B$4:$B$1503,"&gt;="&amp;DATE(年度,8,1),采购进货!$B$4:$B$1503,"&lt;"&amp;DATE(年度,8+1,1))+SUMIFS(采购进货!$H$4:$H$1503,采购进货!$D$4:$D$1503,$B63,采购进货!$B$4:$B$1503,"&gt;="&amp;DATE(年度,8,1),采购进货!$B$4:$B$1503,"&lt;"&amp;DATE(年度,8+1,1)))</f>
        <v>0</v>
      </c>
      <c r="CO63" s="186">
        <f>IF($B63="",0,SUMIFS(采购进货!$G$4:$G$1503,采购进货!$D$4:$D$1503,$B63,采购进货!$B$4:$B$1503,"&gt;="&amp;DATE(年度,8,1),采购进货!$B$4:$B$1503,"&lt;"&amp;DATE(年度,8+1,1)))</f>
        <v>0</v>
      </c>
      <c r="CP63" s="234">
        <f>CK63+CN63</f>
        <v>0</v>
      </c>
      <c r="CQ63" s="235">
        <f>CL63+CO63</f>
        <v>0</v>
      </c>
      <c r="CR63" s="222">
        <f>IF(AND(CP63&gt;0,CQ63&gt;0),CQ63/CP63,N($E63))</f>
        <v>0</v>
      </c>
      <c r="CS63" s="220">
        <f>IF($B63="",0,SUMIFS(出库明细!$E$4:$E$3003,出库明细!$D$4:$D$3003,$B63,出库明细!$B$4:$B$3003,"&gt;="&amp;DATE(年度,8,1),出库明细!$B$4:$B$3003,"&lt;"&amp;DATE(年度,8+1,1)))</f>
        <v>0</v>
      </c>
      <c r="CT63" s="186">
        <f>CS63*CR63</f>
        <v>0</v>
      </c>
      <c r="CU63" s="220">
        <f>_辅助!BT61</f>
        <v>0</v>
      </c>
      <c r="CV63" s="186">
        <f>_辅助!AJ61</f>
        <v>0</v>
      </c>
      <c r="CW63" s="221">
        <f>CP63-CS63-CU63</f>
        <v>0</v>
      </c>
      <c r="CX63" s="187">
        <f>CQ63-CT63-CV63</f>
        <v>0</v>
      </c>
      <c r="CY63" s="236">
        <f>IF(AND(CP63&gt;0,CQ63&gt;0),0,CT63)</f>
        <v>0</v>
      </c>
      <c r="CZ63" s="220">
        <f>IF($B63="",0,SUMIFS(采购进货!$E$4:$E$1503,采购进货!$D$4:$D$1503,$B63,采购进货!$B$4:$B$1503,"&gt;="&amp;DATE(年度,9,1),采购进货!$B$4:$B$1503,"&lt;"&amp;DATE(年度,9+1,1))+SUMIFS(采购进货!$H$4:$H$1503,采购进货!$D$4:$D$1503,$B63,采购进货!$B$4:$B$1503,"&gt;="&amp;DATE(年度,9,1),采购进货!$B$4:$B$1503,"&lt;"&amp;DATE(年度,9+1,1)))</f>
        <v>0</v>
      </c>
      <c r="DA63" s="186">
        <f>IF($B63="",0,SUMIFS(采购进货!$G$4:$G$1503,采购进货!$D$4:$D$1503,$B63,采购进货!$B$4:$B$1503,"&gt;="&amp;DATE(年度,9,1),采购进货!$B$4:$B$1503,"&lt;"&amp;DATE(年度,9+1,1)))</f>
        <v>0</v>
      </c>
      <c r="DB63" s="234">
        <f>CW63+CZ63</f>
        <v>0</v>
      </c>
      <c r="DC63" s="235">
        <f>CX63+DA63</f>
        <v>0</v>
      </c>
      <c r="DD63" s="222">
        <f>IF(AND(DB63&gt;0,DC63&gt;0),DC63/DB63,N($E63))</f>
        <v>0</v>
      </c>
      <c r="DE63" s="220">
        <f>IF($B63="",0,SUMIFS(出库明细!$E$4:$E$3003,出库明细!$D$4:$D$3003,$B63,出库明细!$B$4:$B$3003,"&gt;="&amp;DATE(年度,9,1),出库明细!$B$4:$B$3003,"&lt;"&amp;DATE(年度,9+1,1)))</f>
        <v>0</v>
      </c>
      <c r="DF63" s="186">
        <f>DE63*DD63</f>
        <v>0</v>
      </c>
      <c r="DG63" s="220">
        <f>_辅助!BU61</f>
        <v>0</v>
      </c>
      <c r="DH63" s="186">
        <f>_辅助!AK61</f>
        <v>0</v>
      </c>
      <c r="DI63" s="221">
        <f>DB63-DE63-DG63</f>
        <v>0</v>
      </c>
      <c r="DJ63" s="187">
        <f>DC63-DF63-DH63</f>
        <v>0</v>
      </c>
      <c r="DK63" s="236">
        <f>IF(AND(DB63&gt;0,DC63&gt;0),0,DF63)</f>
        <v>0</v>
      </c>
      <c r="DL63" s="220">
        <f>IF($B63="",0,SUMIFS(采购进货!$E$4:$E$1503,采购进货!$D$4:$D$1503,$B63,采购进货!$B$4:$B$1503,"&gt;="&amp;DATE(年度,10,1),采购进货!$B$4:$B$1503,"&lt;"&amp;DATE(年度,10+1,1))+SUMIFS(采购进货!$H$4:$H$1503,采购进货!$D$4:$D$1503,$B63,采购进货!$B$4:$B$1503,"&gt;="&amp;DATE(年度,10,1),采购进货!$B$4:$B$1503,"&lt;"&amp;DATE(年度,10+1,1)))</f>
        <v>0</v>
      </c>
      <c r="DM63" s="186">
        <f>IF($B63="",0,SUMIFS(采购进货!$G$4:$G$1503,采购进货!$D$4:$D$1503,$B63,采购进货!$B$4:$B$1503,"&gt;="&amp;DATE(年度,10,1),采购进货!$B$4:$B$1503,"&lt;"&amp;DATE(年度,10+1,1)))</f>
        <v>0</v>
      </c>
      <c r="DN63" s="234">
        <f>DI63+DL63</f>
        <v>0</v>
      </c>
      <c r="DO63" s="235">
        <f>DJ63+DM63</f>
        <v>0</v>
      </c>
      <c r="DP63" s="222">
        <f>IF(AND(DN63&gt;0,DO63&gt;0),DO63/DN63,N($E63))</f>
        <v>0</v>
      </c>
      <c r="DQ63" s="220">
        <f>IF($B63="",0,SUMIFS(出库明细!$E$4:$E$3003,出库明细!$D$4:$D$3003,$B63,出库明细!$B$4:$B$3003,"&gt;="&amp;DATE(年度,10,1),出库明细!$B$4:$B$3003,"&lt;"&amp;DATE(年度,10+1,1)))</f>
        <v>0</v>
      </c>
      <c r="DR63" s="186">
        <f>DQ63*DP63</f>
        <v>0</v>
      </c>
      <c r="DS63" s="220">
        <f>_辅助!BV61</f>
        <v>0</v>
      </c>
      <c r="DT63" s="186">
        <f>_辅助!AL61</f>
        <v>0</v>
      </c>
      <c r="DU63" s="221">
        <f>DN63-DQ63-DS63</f>
        <v>0</v>
      </c>
      <c r="DV63" s="187">
        <f>DO63-DR63-DT63</f>
        <v>0</v>
      </c>
      <c r="DW63" s="236">
        <f>IF(AND(DN63&gt;0,DO63&gt;0),0,DR63)</f>
        <v>0</v>
      </c>
      <c r="DX63" s="220">
        <f>IF($B63="",0,SUMIFS(采购进货!$E$4:$E$1503,采购进货!$D$4:$D$1503,$B63,采购进货!$B$4:$B$1503,"&gt;="&amp;DATE(年度,11,1),采购进货!$B$4:$B$1503,"&lt;"&amp;DATE(年度,11+1,1))+SUMIFS(采购进货!$H$4:$H$1503,采购进货!$D$4:$D$1503,$B63,采购进货!$B$4:$B$1503,"&gt;="&amp;DATE(年度,11,1),采购进货!$B$4:$B$1503,"&lt;"&amp;DATE(年度,11+1,1)))</f>
        <v>0</v>
      </c>
      <c r="DY63" s="186">
        <f>IF($B63="",0,SUMIFS(采购进货!$G$4:$G$1503,采购进货!$D$4:$D$1503,$B63,采购进货!$B$4:$B$1503,"&gt;="&amp;DATE(年度,11,1),采购进货!$B$4:$B$1503,"&lt;"&amp;DATE(年度,11+1,1)))</f>
        <v>0</v>
      </c>
      <c r="DZ63" s="234">
        <f>DU63+DX63</f>
        <v>0</v>
      </c>
      <c r="EA63" s="235">
        <f>DV63+DY63</f>
        <v>0</v>
      </c>
      <c r="EB63" s="222">
        <f>IF(AND(DZ63&gt;0,EA63&gt;0),EA63/DZ63,N($E63))</f>
        <v>0</v>
      </c>
      <c r="EC63" s="220">
        <f>IF($B63="",0,SUMIFS(出库明细!$E$4:$E$3003,出库明细!$D$4:$D$3003,$B63,出库明细!$B$4:$B$3003,"&gt;="&amp;DATE(年度,11,1),出库明细!$B$4:$B$3003,"&lt;"&amp;DATE(年度,11+1,1)))</f>
        <v>0</v>
      </c>
      <c r="ED63" s="186">
        <f>EC63*EB63</f>
        <v>0</v>
      </c>
      <c r="EE63" s="220">
        <f>_辅助!BW61</f>
        <v>0</v>
      </c>
      <c r="EF63" s="186">
        <f>_辅助!AM61</f>
        <v>0</v>
      </c>
      <c r="EG63" s="221">
        <f>DZ63-EC63-EE63</f>
        <v>0</v>
      </c>
      <c r="EH63" s="187">
        <f>EA63-ED63-EF63</f>
        <v>0</v>
      </c>
      <c r="EI63" s="236">
        <f>IF(AND(DZ63&gt;0,EA63&gt;0),0,ED63)</f>
        <v>0</v>
      </c>
      <c r="EJ63" s="220">
        <f>IF($B63="",0,SUMIFS(采购进货!$E$4:$E$1503,采购进货!$D$4:$D$1503,$B63,采购进货!$B$4:$B$1503,"&gt;="&amp;DATE(年度,12,1),采购进货!$B$4:$B$1503,"&lt;"&amp;DATE(年度,12+1,1))+SUMIFS(采购进货!$H$4:$H$1503,采购进货!$D$4:$D$1503,$B63,采购进货!$B$4:$B$1503,"&gt;="&amp;DATE(年度,12,1),采购进货!$B$4:$B$1503,"&lt;"&amp;DATE(年度,12+1,1)))</f>
        <v>0</v>
      </c>
      <c r="EK63" s="186">
        <f>IF($B63="",0,SUMIFS(采购进货!$G$4:$G$1503,采购进货!$D$4:$D$1503,$B63,采购进货!$B$4:$B$1503,"&gt;="&amp;DATE(年度,12,1),采购进货!$B$4:$B$1503,"&lt;"&amp;DATE(年度,12+1,1)))</f>
        <v>0</v>
      </c>
      <c r="EL63" s="234">
        <f>EG63+EJ63</f>
        <v>0</v>
      </c>
      <c r="EM63" s="235">
        <f>EH63+EK63</f>
        <v>0</v>
      </c>
      <c r="EN63" s="222">
        <f>IF(AND(EL63&gt;0,EM63&gt;0),EM63/EL63,N($E63))</f>
        <v>0</v>
      </c>
      <c r="EO63" s="220">
        <f>IF($B63="",0,SUMIFS(出库明细!$E$4:$E$3003,出库明细!$D$4:$D$3003,$B63,出库明细!$B$4:$B$3003,"&gt;="&amp;DATE(年度,12,1),出库明细!$B$4:$B$3003,"&lt;"&amp;DATE(年度,12+1,1)))</f>
        <v>0</v>
      </c>
      <c r="EP63" s="186">
        <f>EO63*EN63</f>
        <v>0</v>
      </c>
      <c r="EQ63" s="220">
        <f>_辅助!BX61</f>
        <v>0</v>
      </c>
      <c r="ER63" s="186">
        <f>_辅助!AN61</f>
        <v>0</v>
      </c>
      <c r="ES63" s="221">
        <f>EL63-EO63-EQ63</f>
        <v>0</v>
      </c>
      <c r="ET63" s="187">
        <f>EM63-EP63-ER63</f>
        <v>0</v>
      </c>
      <c r="EU63" s="236">
        <f>IF(AND(EL63&gt;0,EM63&gt;0),0,EP63)</f>
        <v>0</v>
      </c>
    </row>
    <row r="64">
      <c r="A64" s="194">
        <f>IF(B64="","",ROW()-7)</f>
      </c>
      <c r="B64" s="141">
        <f>IF(基础资料!E61="","",基础资料!E61&amp;"")</f>
      </c>
      <c r="C64" s="230">
        <f>IF(基础资料!G61="","",基础资料!G61&amp;"")</f>
      </c>
      <c r="D64" s="194">
        <f>IF(基础资料!I61="","",基础资料!I61)</f>
      </c>
      <c r="E64" s="231">
        <f>IF(基础资料!J61="","",基础资料!J61)</f>
      </c>
      <c r="F64" s="232">
        <f>N(基础资料!L61)</f>
        <v>0</v>
      </c>
      <c r="G64" s="233">
        <f>IF(基础资料!N61="",0,基础资料!N61)</f>
        <v>0</v>
      </c>
      <c r="H64" s="220">
        <f>IF($B64="",0,SUMIFS(采购进货!$E$4:$E$1503,采购进货!$D$4:$D$1503,$B64,采购进货!$B$4:$B$1503,"&gt;="&amp;DATE(年度,1,1),采购进货!$B$4:$B$1503,"&lt;"&amp;DATE(年度,1+1,1))+SUMIFS(采购进货!$H$4:$H$1503,采购进货!$D$4:$D$1503,$B64,采购进货!$B$4:$B$1503,"&gt;="&amp;DATE(年度,1,1),采购进货!$B$4:$B$1503,"&lt;"&amp;DATE(年度,1+1,1)))</f>
        <v>0</v>
      </c>
      <c r="I64" s="186">
        <f>IF($B64="",0,SUMIFS(采购进货!$G$4:$G$1503,采购进货!$D$4:$D$1503,$B64,采购进货!$B$4:$B$1503,"&gt;="&amp;DATE(年度,1,1),采购进货!$B$4:$B$1503,"&lt;"&amp;DATE(年度,1+1,1)))</f>
        <v>0</v>
      </c>
      <c r="J64" s="234">
        <f>F64+H64</f>
        <v>0</v>
      </c>
      <c r="K64" s="235">
        <f>G64+I64</f>
        <v>0</v>
      </c>
      <c r="L64" s="222">
        <f>IF(AND(J64&gt;0,K64&gt;0),K64/J64,N($E64))</f>
        <v>0</v>
      </c>
      <c r="M64" s="220">
        <f>IF($B64="",0,SUMIFS(出库明细!$E$4:$E$3003,出库明细!$D$4:$D$3003,$B64,出库明细!$B$4:$B$3003,"&gt;="&amp;DATE(年度,1,1),出库明细!$B$4:$B$3003,"&lt;"&amp;DATE(年度,1+1,1)))</f>
        <v>0</v>
      </c>
      <c r="N64" s="186">
        <f>M64*L64</f>
        <v>0</v>
      </c>
      <c r="O64" s="220">
        <f>_辅助!BM62</f>
        <v>0</v>
      </c>
      <c r="P64" s="186">
        <f>_辅助!AC62</f>
        <v>0</v>
      </c>
      <c r="Q64" s="221">
        <f>J64-M64-O64</f>
        <v>0</v>
      </c>
      <c r="R64" s="187">
        <f>K64-N64-P64</f>
        <v>0</v>
      </c>
      <c r="S64" s="236">
        <f>IF(AND(J64&gt;0,K64&gt;0),0,N64)</f>
        <v>0</v>
      </c>
      <c r="T64" s="220">
        <f>IF($B64="",0,SUMIFS(采购进货!$E$4:$E$1503,采购进货!$D$4:$D$1503,$B64,采购进货!$B$4:$B$1503,"&gt;="&amp;DATE(年度,2,1),采购进货!$B$4:$B$1503,"&lt;"&amp;DATE(年度,2+1,1))+SUMIFS(采购进货!$H$4:$H$1503,采购进货!$D$4:$D$1503,$B64,采购进货!$B$4:$B$1503,"&gt;="&amp;DATE(年度,2,1),采购进货!$B$4:$B$1503,"&lt;"&amp;DATE(年度,2+1,1)))</f>
        <v>0</v>
      </c>
      <c r="U64" s="186">
        <f>IF($B64="",0,SUMIFS(采购进货!$G$4:$G$1503,采购进货!$D$4:$D$1503,$B64,采购进货!$B$4:$B$1503,"&gt;="&amp;DATE(年度,2,1),采购进货!$B$4:$B$1503,"&lt;"&amp;DATE(年度,2+1,1)))</f>
        <v>0</v>
      </c>
      <c r="V64" s="234">
        <f>Q64+T64</f>
        <v>0</v>
      </c>
      <c r="W64" s="235">
        <f>R64+U64</f>
        <v>0</v>
      </c>
      <c r="X64" s="222">
        <f>IF(AND(V64&gt;0,W64&gt;0),W64/V64,N($E64))</f>
        <v>0</v>
      </c>
      <c r="Y64" s="220">
        <f>IF($B64="",0,SUMIFS(出库明细!$E$4:$E$3003,出库明细!$D$4:$D$3003,$B64,出库明细!$B$4:$B$3003,"&gt;="&amp;DATE(年度,2,1),出库明细!$B$4:$B$3003,"&lt;"&amp;DATE(年度,2+1,1)))</f>
        <v>0</v>
      </c>
      <c r="Z64" s="186">
        <f>Y64*X64</f>
        <v>0</v>
      </c>
      <c r="AA64" s="220">
        <f>_辅助!BN62</f>
        <v>0</v>
      </c>
      <c r="AB64" s="186">
        <f>_辅助!AD62</f>
        <v>0</v>
      </c>
      <c r="AC64" s="221">
        <f>V64-Y64-AA64</f>
        <v>0</v>
      </c>
      <c r="AD64" s="187">
        <f>W64-Z64-AB64</f>
        <v>0</v>
      </c>
      <c r="AE64" s="236">
        <f>IF(AND(V64&gt;0,W64&gt;0),0,Z64)</f>
        <v>0</v>
      </c>
      <c r="AF64" s="220">
        <f>IF($B64="",0,SUMIFS(采购进货!$E$4:$E$1503,采购进货!$D$4:$D$1503,$B64,采购进货!$B$4:$B$1503,"&gt;="&amp;DATE(年度,3,1),采购进货!$B$4:$B$1503,"&lt;"&amp;DATE(年度,3+1,1))+SUMIFS(采购进货!$H$4:$H$1503,采购进货!$D$4:$D$1503,$B64,采购进货!$B$4:$B$1503,"&gt;="&amp;DATE(年度,3,1),采购进货!$B$4:$B$1503,"&lt;"&amp;DATE(年度,3+1,1)))</f>
        <v>0</v>
      </c>
      <c r="AG64" s="186">
        <f>IF($B64="",0,SUMIFS(采购进货!$G$4:$G$1503,采购进货!$D$4:$D$1503,$B64,采购进货!$B$4:$B$1503,"&gt;="&amp;DATE(年度,3,1),采购进货!$B$4:$B$1503,"&lt;"&amp;DATE(年度,3+1,1)))</f>
        <v>0</v>
      </c>
      <c r="AH64" s="234">
        <f>AC64+AF64</f>
        <v>0</v>
      </c>
      <c r="AI64" s="235">
        <f>AD64+AG64</f>
        <v>0</v>
      </c>
      <c r="AJ64" s="222">
        <f>IF(AND(AH64&gt;0,AI64&gt;0),AI64/AH64,N($E64))</f>
        <v>0</v>
      </c>
      <c r="AK64" s="220">
        <f>IF($B64="",0,SUMIFS(出库明细!$E$4:$E$3003,出库明细!$D$4:$D$3003,$B64,出库明细!$B$4:$B$3003,"&gt;="&amp;DATE(年度,3,1),出库明细!$B$4:$B$3003,"&lt;"&amp;DATE(年度,3+1,1)))</f>
        <v>0</v>
      </c>
      <c r="AL64" s="186">
        <f>AK64*AJ64</f>
        <v>0</v>
      </c>
      <c r="AM64" s="220">
        <f>_辅助!BO62</f>
        <v>0</v>
      </c>
      <c r="AN64" s="186">
        <f>_辅助!AE62</f>
        <v>0</v>
      </c>
      <c r="AO64" s="221">
        <f>AH64-AK64-AM64</f>
        <v>0</v>
      </c>
      <c r="AP64" s="187">
        <f>AI64-AL64-AN64</f>
        <v>0</v>
      </c>
      <c r="AQ64" s="236">
        <f>IF(AND(AH64&gt;0,AI64&gt;0),0,AL64)</f>
        <v>0</v>
      </c>
      <c r="AR64" s="220">
        <f>IF($B64="",0,SUMIFS(采购进货!$E$4:$E$1503,采购进货!$D$4:$D$1503,$B64,采购进货!$B$4:$B$1503,"&gt;="&amp;DATE(年度,4,1),采购进货!$B$4:$B$1503,"&lt;"&amp;DATE(年度,4+1,1))+SUMIFS(采购进货!$H$4:$H$1503,采购进货!$D$4:$D$1503,$B64,采购进货!$B$4:$B$1503,"&gt;="&amp;DATE(年度,4,1),采购进货!$B$4:$B$1503,"&lt;"&amp;DATE(年度,4+1,1)))</f>
        <v>0</v>
      </c>
      <c r="AS64" s="186">
        <f>IF($B64="",0,SUMIFS(采购进货!$G$4:$G$1503,采购进货!$D$4:$D$1503,$B64,采购进货!$B$4:$B$1503,"&gt;="&amp;DATE(年度,4,1),采购进货!$B$4:$B$1503,"&lt;"&amp;DATE(年度,4+1,1)))</f>
        <v>0</v>
      </c>
      <c r="AT64" s="234">
        <f>AO64+AR64</f>
        <v>0</v>
      </c>
      <c r="AU64" s="235">
        <f>AP64+AS64</f>
        <v>0</v>
      </c>
      <c r="AV64" s="222">
        <f>IF(AND(AT64&gt;0,AU64&gt;0),AU64/AT64,N($E64))</f>
        <v>0</v>
      </c>
      <c r="AW64" s="220">
        <f>IF($B64="",0,SUMIFS(出库明细!$E$4:$E$3003,出库明细!$D$4:$D$3003,$B64,出库明细!$B$4:$B$3003,"&gt;="&amp;DATE(年度,4,1),出库明细!$B$4:$B$3003,"&lt;"&amp;DATE(年度,4+1,1)))</f>
        <v>0</v>
      </c>
      <c r="AX64" s="186">
        <f>AW64*AV64</f>
        <v>0</v>
      </c>
      <c r="AY64" s="220">
        <f>_辅助!BP62</f>
        <v>0</v>
      </c>
      <c r="AZ64" s="186">
        <f>_辅助!AF62</f>
        <v>0</v>
      </c>
      <c r="BA64" s="221">
        <f>AT64-AW64-AY64</f>
        <v>0</v>
      </c>
      <c r="BB64" s="187">
        <f>AU64-AX64-AZ64</f>
        <v>0</v>
      </c>
      <c r="BC64" s="236">
        <f>IF(AND(AT64&gt;0,AU64&gt;0),0,AX64)</f>
        <v>0</v>
      </c>
      <c r="BD64" s="220">
        <f>IF($B64="",0,SUMIFS(采购进货!$E$4:$E$1503,采购进货!$D$4:$D$1503,$B64,采购进货!$B$4:$B$1503,"&gt;="&amp;DATE(年度,5,1),采购进货!$B$4:$B$1503,"&lt;"&amp;DATE(年度,5+1,1))+SUMIFS(采购进货!$H$4:$H$1503,采购进货!$D$4:$D$1503,$B64,采购进货!$B$4:$B$1503,"&gt;="&amp;DATE(年度,5,1),采购进货!$B$4:$B$1503,"&lt;"&amp;DATE(年度,5+1,1)))</f>
        <v>0</v>
      </c>
      <c r="BE64" s="186">
        <f>IF($B64="",0,SUMIFS(采购进货!$G$4:$G$1503,采购进货!$D$4:$D$1503,$B64,采购进货!$B$4:$B$1503,"&gt;="&amp;DATE(年度,5,1),采购进货!$B$4:$B$1503,"&lt;"&amp;DATE(年度,5+1,1)))</f>
        <v>0</v>
      </c>
      <c r="BF64" s="234">
        <f>BA64+BD64</f>
        <v>0</v>
      </c>
      <c r="BG64" s="235">
        <f>BB64+BE64</f>
        <v>0</v>
      </c>
      <c r="BH64" s="222">
        <f>IF(AND(BF64&gt;0,BG64&gt;0),BG64/BF64,N($E64))</f>
        <v>0</v>
      </c>
      <c r="BI64" s="220">
        <f>IF($B64="",0,SUMIFS(出库明细!$E$4:$E$3003,出库明细!$D$4:$D$3003,$B64,出库明细!$B$4:$B$3003,"&gt;="&amp;DATE(年度,5,1),出库明细!$B$4:$B$3003,"&lt;"&amp;DATE(年度,5+1,1)))</f>
        <v>0</v>
      </c>
      <c r="BJ64" s="186">
        <f>BI64*BH64</f>
        <v>0</v>
      </c>
      <c r="BK64" s="220">
        <f>_辅助!BQ62</f>
        <v>0</v>
      </c>
      <c r="BL64" s="186">
        <f>_辅助!AG62</f>
        <v>0</v>
      </c>
      <c r="BM64" s="221">
        <f>BF64-BI64-BK64</f>
        <v>0</v>
      </c>
      <c r="BN64" s="187">
        <f>BG64-BJ64-BL64</f>
        <v>0</v>
      </c>
      <c r="BO64" s="236">
        <f>IF(AND(BF64&gt;0,BG64&gt;0),0,BJ64)</f>
        <v>0</v>
      </c>
      <c r="BP64" s="220">
        <f>IF($B64="",0,SUMIFS(采购进货!$E$4:$E$1503,采购进货!$D$4:$D$1503,$B64,采购进货!$B$4:$B$1503,"&gt;="&amp;DATE(年度,6,1),采购进货!$B$4:$B$1503,"&lt;"&amp;DATE(年度,6+1,1))+SUMIFS(采购进货!$H$4:$H$1503,采购进货!$D$4:$D$1503,$B64,采购进货!$B$4:$B$1503,"&gt;="&amp;DATE(年度,6,1),采购进货!$B$4:$B$1503,"&lt;"&amp;DATE(年度,6+1,1)))</f>
        <v>0</v>
      </c>
      <c r="BQ64" s="186">
        <f>IF($B64="",0,SUMIFS(采购进货!$G$4:$G$1503,采购进货!$D$4:$D$1503,$B64,采购进货!$B$4:$B$1503,"&gt;="&amp;DATE(年度,6,1),采购进货!$B$4:$B$1503,"&lt;"&amp;DATE(年度,6+1,1)))</f>
        <v>0</v>
      </c>
      <c r="BR64" s="234">
        <f>BM64+BP64</f>
        <v>0</v>
      </c>
      <c r="BS64" s="235">
        <f>BN64+BQ64</f>
        <v>0</v>
      </c>
      <c r="BT64" s="222">
        <f>IF(AND(BR64&gt;0,BS64&gt;0),BS64/BR64,N($E64))</f>
        <v>0</v>
      </c>
      <c r="BU64" s="220">
        <f>IF($B64="",0,SUMIFS(出库明细!$E$4:$E$3003,出库明细!$D$4:$D$3003,$B64,出库明细!$B$4:$B$3003,"&gt;="&amp;DATE(年度,6,1),出库明细!$B$4:$B$3003,"&lt;"&amp;DATE(年度,6+1,1)))</f>
        <v>0</v>
      </c>
      <c r="BV64" s="186">
        <f>BU64*BT64</f>
        <v>0</v>
      </c>
      <c r="BW64" s="220">
        <f>_辅助!BR62</f>
        <v>0</v>
      </c>
      <c r="BX64" s="186">
        <f>_辅助!AH62</f>
        <v>0</v>
      </c>
      <c r="BY64" s="221">
        <f>BR64-BU64-BW64</f>
        <v>0</v>
      </c>
      <c r="BZ64" s="187">
        <f>BS64-BV64-BX64</f>
        <v>0</v>
      </c>
      <c r="CA64" s="236">
        <f>IF(AND(BR64&gt;0,BS64&gt;0),0,BV64)</f>
        <v>0</v>
      </c>
      <c r="CB64" s="220">
        <f>IF($B64="",0,SUMIFS(采购进货!$E$4:$E$1503,采购进货!$D$4:$D$1503,$B64,采购进货!$B$4:$B$1503,"&gt;="&amp;DATE(年度,7,1),采购进货!$B$4:$B$1503,"&lt;"&amp;DATE(年度,7+1,1))+SUMIFS(采购进货!$H$4:$H$1503,采购进货!$D$4:$D$1503,$B64,采购进货!$B$4:$B$1503,"&gt;="&amp;DATE(年度,7,1),采购进货!$B$4:$B$1503,"&lt;"&amp;DATE(年度,7+1,1)))</f>
        <v>0</v>
      </c>
      <c r="CC64" s="186">
        <f>IF($B64="",0,SUMIFS(采购进货!$G$4:$G$1503,采购进货!$D$4:$D$1503,$B64,采购进货!$B$4:$B$1503,"&gt;="&amp;DATE(年度,7,1),采购进货!$B$4:$B$1503,"&lt;"&amp;DATE(年度,7+1,1)))</f>
        <v>0</v>
      </c>
      <c r="CD64" s="234">
        <f>BY64+CB64</f>
        <v>0</v>
      </c>
      <c r="CE64" s="235">
        <f>BZ64+CC64</f>
        <v>0</v>
      </c>
      <c r="CF64" s="222">
        <f>IF(AND(CD64&gt;0,CE64&gt;0),CE64/CD64,N($E64))</f>
        <v>0</v>
      </c>
      <c r="CG64" s="220">
        <f>IF($B64="",0,SUMIFS(出库明细!$E$4:$E$3003,出库明细!$D$4:$D$3003,$B64,出库明细!$B$4:$B$3003,"&gt;="&amp;DATE(年度,7,1),出库明细!$B$4:$B$3003,"&lt;"&amp;DATE(年度,7+1,1)))</f>
        <v>0</v>
      </c>
      <c r="CH64" s="186">
        <f>CG64*CF64</f>
        <v>0</v>
      </c>
      <c r="CI64" s="220">
        <f>_辅助!BS62</f>
        <v>0</v>
      </c>
      <c r="CJ64" s="186">
        <f>_辅助!AI62</f>
        <v>0</v>
      </c>
      <c r="CK64" s="221">
        <f>CD64-CG64-CI64</f>
        <v>0</v>
      </c>
      <c r="CL64" s="187">
        <f>CE64-CH64-CJ64</f>
        <v>0</v>
      </c>
      <c r="CM64" s="236">
        <f>IF(AND(CD64&gt;0,CE64&gt;0),0,CH64)</f>
        <v>0</v>
      </c>
      <c r="CN64" s="220">
        <f>IF($B64="",0,SUMIFS(采购进货!$E$4:$E$1503,采购进货!$D$4:$D$1503,$B64,采购进货!$B$4:$B$1503,"&gt;="&amp;DATE(年度,8,1),采购进货!$B$4:$B$1503,"&lt;"&amp;DATE(年度,8+1,1))+SUMIFS(采购进货!$H$4:$H$1503,采购进货!$D$4:$D$1503,$B64,采购进货!$B$4:$B$1503,"&gt;="&amp;DATE(年度,8,1),采购进货!$B$4:$B$1503,"&lt;"&amp;DATE(年度,8+1,1)))</f>
        <v>0</v>
      </c>
      <c r="CO64" s="186">
        <f>IF($B64="",0,SUMIFS(采购进货!$G$4:$G$1503,采购进货!$D$4:$D$1503,$B64,采购进货!$B$4:$B$1503,"&gt;="&amp;DATE(年度,8,1),采购进货!$B$4:$B$1503,"&lt;"&amp;DATE(年度,8+1,1)))</f>
        <v>0</v>
      </c>
      <c r="CP64" s="234">
        <f>CK64+CN64</f>
        <v>0</v>
      </c>
      <c r="CQ64" s="235">
        <f>CL64+CO64</f>
        <v>0</v>
      </c>
      <c r="CR64" s="222">
        <f>IF(AND(CP64&gt;0,CQ64&gt;0),CQ64/CP64,N($E64))</f>
        <v>0</v>
      </c>
      <c r="CS64" s="220">
        <f>IF($B64="",0,SUMIFS(出库明细!$E$4:$E$3003,出库明细!$D$4:$D$3003,$B64,出库明细!$B$4:$B$3003,"&gt;="&amp;DATE(年度,8,1),出库明细!$B$4:$B$3003,"&lt;"&amp;DATE(年度,8+1,1)))</f>
        <v>0</v>
      </c>
      <c r="CT64" s="186">
        <f>CS64*CR64</f>
        <v>0</v>
      </c>
      <c r="CU64" s="220">
        <f>_辅助!BT62</f>
        <v>0</v>
      </c>
      <c r="CV64" s="186">
        <f>_辅助!AJ62</f>
        <v>0</v>
      </c>
      <c r="CW64" s="221">
        <f>CP64-CS64-CU64</f>
        <v>0</v>
      </c>
      <c r="CX64" s="187">
        <f>CQ64-CT64-CV64</f>
        <v>0</v>
      </c>
      <c r="CY64" s="236">
        <f>IF(AND(CP64&gt;0,CQ64&gt;0),0,CT64)</f>
        <v>0</v>
      </c>
      <c r="CZ64" s="220">
        <f>IF($B64="",0,SUMIFS(采购进货!$E$4:$E$1503,采购进货!$D$4:$D$1503,$B64,采购进货!$B$4:$B$1503,"&gt;="&amp;DATE(年度,9,1),采购进货!$B$4:$B$1503,"&lt;"&amp;DATE(年度,9+1,1))+SUMIFS(采购进货!$H$4:$H$1503,采购进货!$D$4:$D$1503,$B64,采购进货!$B$4:$B$1503,"&gt;="&amp;DATE(年度,9,1),采购进货!$B$4:$B$1503,"&lt;"&amp;DATE(年度,9+1,1)))</f>
        <v>0</v>
      </c>
      <c r="DA64" s="186">
        <f>IF($B64="",0,SUMIFS(采购进货!$G$4:$G$1503,采购进货!$D$4:$D$1503,$B64,采购进货!$B$4:$B$1503,"&gt;="&amp;DATE(年度,9,1),采购进货!$B$4:$B$1503,"&lt;"&amp;DATE(年度,9+1,1)))</f>
        <v>0</v>
      </c>
      <c r="DB64" s="234">
        <f>CW64+CZ64</f>
        <v>0</v>
      </c>
      <c r="DC64" s="235">
        <f>CX64+DA64</f>
        <v>0</v>
      </c>
      <c r="DD64" s="222">
        <f>IF(AND(DB64&gt;0,DC64&gt;0),DC64/DB64,N($E64))</f>
        <v>0</v>
      </c>
      <c r="DE64" s="220">
        <f>IF($B64="",0,SUMIFS(出库明细!$E$4:$E$3003,出库明细!$D$4:$D$3003,$B64,出库明细!$B$4:$B$3003,"&gt;="&amp;DATE(年度,9,1),出库明细!$B$4:$B$3003,"&lt;"&amp;DATE(年度,9+1,1)))</f>
        <v>0</v>
      </c>
      <c r="DF64" s="186">
        <f>DE64*DD64</f>
        <v>0</v>
      </c>
      <c r="DG64" s="220">
        <f>_辅助!BU62</f>
        <v>0</v>
      </c>
      <c r="DH64" s="186">
        <f>_辅助!AK62</f>
        <v>0</v>
      </c>
      <c r="DI64" s="221">
        <f>DB64-DE64-DG64</f>
        <v>0</v>
      </c>
      <c r="DJ64" s="187">
        <f>DC64-DF64-DH64</f>
        <v>0</v>
      </c>
      <c r="DK64" s="236">
        <f>IF(AND(DB64&gt;0,DC64&gt;0),0,DF64)</f>
        <v>0</v>
      </c>
      <c r="DL64" s="220">
        <f>IF($B64="",0,SUMIFS(采购进货!$E$4:$E$1503,采购进货!$D$4:$D$1503,$B64,采购进货!$B$4:$B$1503,"&gt;="&amp;DATE(年度,10,1),采购进货!$B$4:$B$1503,"&lt;"&amp;DATE(年度,10+1,1))+SUMIFS(采购进货!$H$4:$H$1503,采购进货!$D$4:$D$1503,$B64,采购进货!$B$4:$B$1503,"&gt;="&amp;DATE(年度,10,1),采购进货!$B$4:$B$1503,"&lt;"&amp;DATE(年度,10+1,1)))</f>
        <v>0</v>
      </c>
      <c r="DM64" s="186">
        <f>IF($B64="",0,SUMIFS(采购进货!$G$4:$G$1503,采购进货!$D$4:$D$1503,$B64,采购进货!$B$4:$B$1503,"&gt;="&amp;DATE(年度,10,1),采购进货!$B$4:$B$1503,"&lt;"&amp;DATE(年度,10+1,1)))</f>
        <v>0</v>
      </c>
      <c r="DN64" s="234">
        <f>DI64+DL64</f>
        <v>0</v>
      </c>
      <c r="DO64" s="235">
        <f>DJ64+DM64</f>
        <v>0</v>
      </c>
      <c r="DP64" s="222">
        <f>IF(AND(DN64&gt;0,DO64&gt;0),DO64/DN64,N($E64))</f>
        <v>0</v>
      </c>
      <c r="DQ64" s="220">
        <f>IF($B64="",0,SUMIFS(出库明细!$E$4:$E$3003,出库明细!$D$4:$D$3003,$B64,出库明细!$B$4:$B$3003,"&gt;="&amp;DATE(年度,10,1),出库明细!$B$4:$B$3003,"&lt;"&amp;DATE(年度,10+1,1)))</f>
        <v>0</v>
      </c>
      <c r="DR64" s="186">
        <f>DQ64*DP64</f>
        <v>0</v>
      </c>
      <c r="DS64" s="220">
        <f>_辅助!BV62</f>
        <v>0</v>
      </c>
      <c r="DT64" s="186">
        <f>_辅助!AL62</f>
        <v>0</v>
      </c>
      <c r="DU64" s="221">
        <f>DN64-DQ64-DS64</f>
        <v>0</v>
      </c>
      <c r="DV64" s="187">
        <f>DO64-DR64-DT64</f>
        <v>0</v>
      </c>
      <c r="DW64" s="236">
        <f>IF(AND(DN64&gt;0,DO64&gt;0),0,DR64)</f>
        <v>0</v>
      </c>
      <c r="DX64" s="220">
        <f>IF($B64="",0,SUMIFS(采购进货!$E$4:$E$1503,采购进货!$D$4:$D$1503,$B64,采购进货!$B$4:$B$1503,"&gt;="&amp;DATE(年度,11,1),采购进货!$B$4:$B$1503,"&lt;"&amp;DATE(年度,11+1,1))+SUMIFS(采购进货!$H$4:$H$1503,采购进货!$D$4:$D$1503,$B64,采购进货!$B$4:$B$1503,"&gt;="&amp;DATE(年度,11,1),采购进货!$B$4:$B$1503,"&lt;"&amp;DATE(年度,11+1,1)))</f>
        <v>0</v>
      </c>
      <c r="DY64" s="186">
        <f>IF($B64="",0,SUMIFS(采购进货!$G$4:$G$1503,采购进货!$D$4:$D$1503,$B64,采购进货!$B$4:$B$1503,"&gt;="&amp;DATE(年度,11,1),采购进货!$B$4:$B$1503,"&lt;"&amp;DATE(年度,11+1,1)))</f>
        <v>0</v>
      </c>
      <c r="DZ64" s="234">
        <f>DU64+DX64</f>
        <v>0</v>
      </c>
      <c r="EA64" s="235">
        <f>DV64+DY64</f>
        <v>0</v>
      </c>
      <c r="EB64" s="222">
        <f>IF(AND(DZ64&gt;0,EA64&gt;0),EA64/DZ64,N($E64))</f>
        <v>0</v>
      </c>
      <c r="EC64" s="220">
        <f>IF($B64="",0,SUMIFS(出库明细!$E$4:$E$3003,出库明细!$D$4:$D$3003,$B64,出库明细!$B$4:$B$3003,"&gt;="&amp;DATE(年度,11,1),出库明细!$B$4:$B$3003,"&lt;"&amp;DATE(年度,11+1,1)))</f>
        <v>0</v>
      </c>
      <c r="ED64" s="186">
        <f>EC64*EB64</f>
        <v>0</v>
      </c>
      <c r="EE64" s="220">
        <f>_辅助!BW62</f>
        <v>0</v>
      </c>
      <c r="EF64" s="186">
        <f>_辅助!AM62</f>
        <v>0</v>
      </c>
      <c r="EG64" s="221">
        <f>DZ64-EC64-EE64</f>
        <v>0</v>
      </c>
      <c r="EH64" s="187">
        <f>EA64-ED64-EF64</f>
        <v>0</v>
      </c>
      <c r="EI64" s="236">
        <f>IF(AND(DZ64&gt;0,EA64&gt;0),0,ED64)</f>
        <v>0</v>
      </c>
      <c r="EJ64" s="220">
        <f>IF($B64="",0,SUMIFS(采购进货!$E$4:$E$1503,采购进货!$D$4:$D$1503,$B64,采购进货!$B$4:$B$1503,"&gt;="&amp;DATE(年度,12,1),采购进货!$B$4:$B$1503,"&lt;"&amp;DATE(年度,12+1,1))+SUMIFS(采购进货!$H$4:$H$1503,采购进货!$D$4:$D$1503,$B64,采购进货!$B$4:$B$1503,"&gt;="&amp;DATE(年度,12,1),采购进货!$B$4:$B$1503,"&lt;"&amp;DATE(年度,12+1,1)))</f>
        <v>0</v>
      </c>
      <c r="EK64" s="186">
        <f>IF($B64="",0,SUMIFS(采购进货!$G$4:$G$1503,采购进货!$D$4:$D$1503,$B64,采购进货!$B$4:$B$1503,"&gt;="&amp;DATE(年度,12,1),采购进货!$B$4:$B$1503,"&lt;"&amp;DATE(年度,12+1,1)))</f>
        <v>0</v>
      </c>
      <c r="EL64" s="234">
        <f>EG64+EJ64</f>
        <v>0</v>
      </c>
      <c r="EM64" s="235">
        <f>EH64+EK64</f>
        <v>0</v>
      </c>
      <c r="EN64" s="222">
        <f>IF(AND(EL64&gt;0,EM64&gt;0),EM64/EL64,N($E64))</f>
        <v>0</v>
      </c>
      <c r="EO64" s="220">
        <f>IF($B64="",0,SUMIFS(出库明细!$E$4:$E$3003,出库明细!$D$4:$D$3003,$B64,出库明细!$B$4:$B$3003,"&gt;="&amp;DATE(年度,12,1),出库明细!$B$4:$B$3003,"&lt;"&amp;DATE(年度,12+1,1)))</f>
        <v>0</v>
      </c>
      <c r="EP64" s="186">
        <f>EO64*EN64</f>
        <v>0</v>
      </c>
      <c r="EQ64" s="220">
        <f>_辅助!BX62</f>
        <v>0</v>
      </c>
      <c r="ER64" s="186">
        <f>_辅助!AN62</f>
        <v>0</v>
      </c>
      <c r="ES64" s="221">
        <f>EL64-EO64-EQ64</f>
        <v>0</v>
      </c>
      <c r="ET64" s="187">
        <f>EM64-EP64-ER64</f>
        <v>0</v>
      </c>
      <c r="EU64" s="236">
        <f>IF(AND(EL64&gt;0,EM64&gt;0),0,EP64)</f>
        <v>0</v>
      </c>
    </row>
    <row r="65">
      <c r="A65" s="194">
        <f>IF(B65="","",ROW()-7)</f>
      </c>
      <c r="B65" s="141">
        <f>IF(基础资料!E62="","",基础资料!E62&amp;"")</f>
      </c>
      <c r="C65" s="230">
        <f>IF(基础资料!G62="","",基础资料!G62&amp;"")</f>
      </c>
      <c r="D65" s="194">
        <f>IF(基础资料!I62="","",基础资料!I62)</f>
      </c>
      <c r="E65" s="231">
        <f>IF(基础资料!J62="","",基础资料!J62)</f>
      </c>
      <c r="F65" s="232">
        <f>N(基础资料!L62)</f>
        <v>0</v>
      </c>
      <c r="G65" s="233">
        <f>IF(基础资料!N62="",0,基础资料!N62)</f>
        <v>0</v>
      </c>
      <c r="H65" s="220">
        <f>IF($B65="",0,SUMIFS(采购进货!$E$4:$E$1503,采购进货!$D$4:$D$1503,$B65,采购进货!$B$4:$B$1503,"&gt;="&amp;DATE(年度,1,1),采购进货!$B$4:$B$1503,"&lt;"&amp;DATE(年度,1+1,1))+SUMIFS(采购进货!$H$4:$H$1503,采购进货!$D$4:$D$1503,$B65,采购进货!$B$4:$B$1503,"&gt;="&amp;DATE(年度,1,1),采购进货!$B$4:$B$1503,"&lt;"&amp;DATE(年度,1+1,1)))</f>
        <v>0</v>
      </c>
      <c r="I65" s="186">
        <f>IF($B65="",0,SUMIFS(采购进货!$G$4:$G$1503,采购进货!$D$4:$D$1503,$B65,采购进货!$B$4:$B$1503,"&gt;="&amp;DATE(年度,1,1),采购进货!$B$4:$B$1503,"&lt;"&amp;DATE(年度,1+1,1)))</f>
        <v>0</v>
      </c>
      <c r="J65" s="234">
        <f>F65+H65</f>
        <v>0</v>
      </c>
      <c r="K65" s="235">
        <f>G65+I65</f>
        <v>0</v>
      </c>
      <c r="L65" s="222">
        <f>IF(AND(J65&gt;0,K65&gt;0),K65/J65,N($E65))</f>
        <v>0</v>
      </c>
      <c r="M65" s="220">
        <f>IF($B65="",0,SUMIFS(出库明细!$E$4:$E$3003,出库明细!$D$4:$D$3003,$B65,出库明细!$B$4:$B$3003,"&gt;="&amp;DATE(年度,1,1),出库明细!$B$4:$B$3003,"&lt;"&amp;DATE(年度,1+1,1)))</f>
        <v>0</v>
      </c>
      <c r="N65" s="186">
        <f>M65*L65</f>
        <v>0</v>
      </c>
      <c r="O65" s="220">
        <f>_辅助!BM63</f>
        <v>0</v>
      </c>
      <c r="P65" s="186">
        <f>_辅助!AC63</f>
        <v>0</v>
      </c>
      <c r="Q65" s="221">
        <f>J65-M65-O65</f>
        <v>0</v>
      </c>
      <c r="R65" s="187">
        <f>K65-N65-P65</f>
        <v>0</v>
      </c>
      <c r="S65" s="236">
        <f>IF(AND(J65&gt;0,K65&gt;0),0,N65)</f>
        <v>0</v>
      </c>
      <c r="T65" s="220">
        <f>IF($B65="",0,SUMIFS(采购进货!$E$4:$E$1503,采购进货!$D$4:$D$1503,$B65,采购进货!$B$4:$B$1503,"&gt;="&amp;DATE(年度,2,1),采购进货!$B$4:$B$1503,"&lt;"&amp;DATE(年度,2+1,1))+SUMIFS(采购进货!$H$4:$H$1503,采购进货!$D$4:$D$1503,$B65,采购进货!$B$4:$B$1503,"&gt;="&amp;DATE(年度,2,1),采购进货!$B$4:$B$1503,"&lt;"&amp;DATE(年度,2+1,1)))</f>
        <v>0</v>
      </c>
      <c r="U65" s="186">
        <f>IF($B65="",0,SUMIFS(采购进货!$G$4:$G$1503,采购进货!$D$4:$D$1503,$B65,采购进货!$B$4:$B$1503,"&gt;="&amp;DATE(年度,2,1),采购进货!$B$4:$B$1503,"&lt;"&amp;DATE(年度,2+1,1)))</f>
        <v>0</v>
      </c>
      <c r="V65" s="234">
        <f>Q65+T65</f>
        <v>0</v>
      </c>
      <c r="W65" s="235">
        <f>R65+U65</f>
        <v>0</v>
      </c>
      <c r="X65" s="222">
        <f>IF(AND(V65&gt;0,W65&gt;0),W65/V65,N($E65))</f>
        <v>0</v>
      </c>
      <c r="Y65" s="220">
        <f>IF($B65="",0,SUMIFS(出库明细!$E$4:$E$3003,出库明细!$D$4:$D$3003,$B65,出库明细!$B$4:$B$3003,"&gt;="&amp;DATE(年度,2,1),出库明细!$B$4:$B$3003,"&lt;"&amp;DATE(年度,2+1,1)))</f>
        <v>0</v>
      </c>
      <c r="Z65" s="186">
        <f>Y65*X65</f>
        <v>0</v>
      </c>
      <c r="AA65" s="220">
        <f>_辅助!BN63</f>
        <v>0</v>
      </c>
      <c r="AB65" s="186">
        <f>_辅助!AD63</f>
        <v>0</v>
      </c>
      <c r="AC65" s="221">
        <f>V65-Y65-AA65</f>
        <v>0</v>
      </c>
      <c r="AD65" s="187">
        <f>W65-Z65-AB65</f>
        <v>0</v>
      </c>
      <c r="AE65" s="236">
        <f>IF(AND(V65&gt;0,W65&gt;0),0,Z65)</f>
        <v>0</v>
      </c>
      <c r="AF65" s="220">
        <f>IF($B65="",0,SUMIFS(采购进货!$E$4:$E$1503,采购进货!$D$4:$D$1503,$B65,采购进货!$B$4:$B$1503,"&gt;="&amp;DATE(年度,3,1),采购进货!$B$4:$B$1503,"&lt;"&amp;DATE(年度,3+1,1))+SUMIFS(采购进货!$H$4:$H$1503,采购进货!$D$4:$D$1503,$B65,采购进货!$B$4:$B$1503,"&gt;="&amp;DATE(年度,3,1),采购进货!$B$4:$B$1503,"&lt;"&amp;DATE(年度,3+1,1)))</f>
        <v>0</v>
      </c>
      <c r="AG65" s="186">
        <f>IF($B65="",0,SUMIFS(采购进货!$G$4:$G$1503,采购进货!$D$4:$D$1503,$B65,采购进货!$B$4:$B$1503,"&gt;="&amp;DATE(年度,3,1),采购进货!$B$4:$B$1503,"&lt;"&amp;DATE(年度,3+1,1)))</f>
        <v>0</v>
      </c>
      <c r="AH65" s="234">
        <f>AC65+AF65</f>
        <v>0</v>
      </c>
      <c r="AI65" s="235">
        <f>AD65+AG65</f>
        <v>0</v>
      </c>
      <c r="AJ65" s="222">
        <f>IF(AND(AH65&gt;0,AI65&gt;0),AI65/AH65,N($E65))</f>
        <v>0</v>
      </c>
      <c r="AK65" s="220">
        <f>IF($B65="",0,SUMIFS(出库明细!$E$4:$E$3003,出库明细!$D$4:$D$3003,$B65,出库明细!$B$4:$B$3003,"&gt;="&amp;DATE(年度,3,1),出库明细!$B$4:$B$3003,"&lt;"&amp;DATE(年度,3+1,1)))</f>
        <v>0</v>
      </c>
      <c r="AL65" s="186">
        <f>AK65*AJ65</f>
        <v>0</v>
      </c>
      <c r="AM65" s="220">
        <f>_辅助!BO63</f>
        <v>0</v>
      </c>
      <c r="AN65" s="186">
        <f>_辅助!AE63</f>
        <v>0</v>
      </c>
      <c r="AO65" s="221">
        <f>AH65-AK65-AM65</f>
        <v>0</v>
      </c>
      <c r="AP65" s="187">
        <f>AI65-AL65-AN65</f>
        <v>0</v>
      </c>
      <c r="AQ65" s="236">
        <f>IF(AND(AH65&gt;0,AI65&gt;0),0,AL65)</f>
        <v>0</v>
      </c>
      <c r="AR65" s="220">
        <f>IF($B65="",0,SUMIFS(采购进货!$E$4:$E$1503,采购进货!$D$4:$D$1503,$B65,采购进货!$B$4:$B$1503,"&gt;="&amp;DATE(年度,4,1),采购进货!$B$4:$B$1503,"&lt;"&amp;DATE(年度,4+1,1))+SUMIFS(采购进货!$H$4:$H$1503,采购进货!$D$4:$D$1503,$B65,采购进货!$B$4:$B$1503,"&gt;="&amp;DATE(年度,4,1),采购进货!$B$4:$B$1503,"&lt;"&amp;DATE(年度,4+1,1)))</f>
        <v>0</v>
      </c>
      <c r="AS65" s="186">
        <f>IF($B65="",0,SUMIFS(采购进货!$G$4:$G$1503,采购进货!$D$4:$D$1503,$B65,采购进货!$B$4:$B$1503,"&gt;="&amp;DATE(年度,4,1),采购进货!$B$4:$B$1503,"&lt;"&amp;DATE(年度,4+1,1)))</f>
        <v>0</v>
      </c>
      <c r="AT65" s="234">
        <f>AO65+AR65</f>
        <v>0</v>
      </c>
      <c r="AU65" s="235">
        <f>AP65+AS65</f>
        <v>0</v>
      </c>
      <c r="AV65" s="222">
        <f>IF(AND(AT65&gt;0,AU65&gt;0),AU65/AT65,N($E65))</f>
        <v>0</v>
      </c>
      <c r="AW65" s="220">
        <f>IF($B65="",0,SUMIFS(出库明细!$E$4:$E$3003,出库明细!$D$4:$D$3003,$B65,出库明细!$B$4:$B$3003,"&gt;="&amp;DATE(年度,4,1),出库明细!$B$4:$B$3003,"&lt;"&amp;DATE(年度,4+1,1)))</f>
        <v>0</v>
      </c>
      <c r="AX65" s="186">
        <f>AW65*AV65</f>
        <v>0</v>
      </c>
      <c r="AY65" s="220">
        <f>_辅助!BP63</f>
        <v>0</v>
      </c>
      <c r="AZ65" s="186">
        <f>_辅助!AF63</f>
        <v>0</v>
      </c>
      <c r="BA65" s="221">
        <f>AT65-AW65-AY65</f>
        <v>0</v>
      </c>
      <c r="BB65" s="187">
        <f>AU65-AX65-AZ65</f>
        <v>0</v>
      </c>
      <c r="BC65" s="236">
        <f>IF(AND(AT65&gt;0,AU65&gt;0),0,AX65)</f>
        <v>0</v>
      </c>
      <c r="BD65" s="220">
        <f>IF($B65="",0,SUMIFS(采购进货!$E$4:$E$1503,采购进货!$D$4:$D$1503,$B65,采购进货!$B$4:$B$1503,"&gt;="&amp;DATE(年度,5,1),采购进货!$B$4:$B$1503,"&lt;"&amp;DATE(年度,5+1,1))+SUMIFS(采购进货!$H$4:$H$1503,采购进货!$D$4:$D$1503,$B65,采购进货!$B$4:$B$1503,"&gt;="&amp;DATE(年度,5,1),采购进货!$B$4:$B$1503,"&lt;"&amp;DATE(年度,5+1,1)))</f>
        <v>0</v>
      </c>
      <c r="BE65" s="186">
        <f>IF($B65="",0,SUMIFS(采购进货!$G$4:$G$1503,采购进货!$D$4:$D$1503,$B65,采购进货!$B$4:$B$1503,"&gt;="&amp;DATE(年度,5,1),采购进货!$B$4:$B$1503,"&lt;"&amp;DATE(年度,5+1,1)))</f>
        <v>0</v>
      </c>
      <c r="BF65" s="234">
        <f>BA65+BD65</f>
        <v>0</v>
      </c>
      <c r="BG65" s="235">
        <f>BB65+BE65</f>
        <v>0</v>
      </c>
      <c r="BH65" s="222">
        <f>IF(AND(BF65&gt;0,BG65&gt;0),BG65/BF65,N($E65))</f>
        <v>0</v>
      </c>
      <c r="BI65" s="220">
        <f>IF($B65="",0,SUMIFS(出库明细!$E$4:$E$3003,出库明细!$D$4:$D$3003,$B65,出库明细!$B$4:$B$3003,"&gt;="&amp;DATE(年度,5,1),出库明细!$B$4:$B$3003,"&lt;"&amp;DATE(年度,5+1,1)))</f>
        <v>0</v>
      </c>
      <c r="BJ65" s="186">
        <f>BI65*BH65</f>
        <v>0</v>
      </c>
      <c r="BK65" s="220">
        <f>_辅助!BQ63</f>
        <v>0</v>
      </c>
      <c r="BL65" s="186">
        <f>_辅助!AG63</f>
        <v>0</v>
      </c>
      <c r="BM65" s="221">
        <f>BF65-BI65-BK65</f>
        <v>0</v>
      </c>
      <c r="BN65" s="187">
        <f>BG65-BJ65-BL65</f>
        <v>0</v>
      </c>
      <c r="BO65" s="236">
        <f>IF(AND(BF65&gt;0,BG65&gt;0),0,BJ65)</f>
        <v>0</v>
      </c>
      <c r="BP65" s="220">
        <f>IF($B65="",0,SUMIFS(采购进货!$E$4:$E$1503,采购进货!$D$4:$D$1503,$B65,采购进货!$B$4:$B$1503,"&gt;="&amp;DATE(年度,6,1),采购进货!$B$4:$B$1503,"&lt;"&amp;DATE(年度,6+1,1))+SUMIFS(采购进货!$H$4:$H$1503,采购进货!$D$4:$D$1503,$B65,采购进货!$B$4:$B$1503,"&gt;="&amp;DATE(年度,6,1),采购进货!$B$4:$B$1503,"&lt;"&amp;DATE(年度,6+1,1)))</f>
        <v>0</v>
      </c>
      <c r="BQ65" s="186">
        <f>IF($B65="",0,SUMIFS(采购进货!$G$4:$G$1503,采购进货!$D$4:$D$1503,$B65,采购进货!$B$4:$B$1503,"&gt;="&amp;DATE(年度,6,1),采购进货!$B$4:$B$1503,"&lt;"&amp;DATE(年度,6+1,1)))</f>
        <v>0</v>
      </c>
      <c r="BR65" s="234">
        <f>BM65+BP65</f>
        <v>0</v>
      </c>
      <c r="BS65" s="235">
        <f>BN65+BQ65</f>
        <v>0</v>
      </c>
      <c r="BT65" s="222">
        <f>IF(AND(BR65&gt;0,BS65&gt;0),BS65/BR65,N($E65))</f>
        <v>0</v>
      </c>
      <c r="BU65" s="220">
        <f>IF($B65="",0,SUMIFS(出库明细!$E$4:$E$3003,出库明细!$D$4:$D$3003,$B65,出库明细!$B$4:$B$3003,"&gt;="&amp;DATE(年度,6,1),出库明细!$B$4:$B$3003,"&lt;"&amp;DATE(年度,6+1,1)))</f>
        <v>0</v>
      </c>
      <c r="BV65" s="186">
        <f>BU65*BT65</f>
        <v>0</v>
      </c>
      <c r="BW65" s="220">
        <f>_辅助!BR63</f>
        <v>0</v>
      </c>
      <c r="BX65" s="186">
        <f>_辅助!AH63</f>
        <v>0</v>
      </c>
      <c r="BY65" s="221">
        <f>BR65-BU65-BW65</f>
        <v>0</v>
      </c>
      <c r="BZ65" s="187">
        <f>BS65-BV65-BX65</f>
        <v>0</v>
      </c>
      <c r="CA65" s="236">
        <f>IF(AND(BR65&gt;0,BS65&gt;0),0,BV65)</f>
        <v>0</v>
      </c>
      <c r="CB65" s="220">
        <f>IF($B65="",0,SUMIFS(采购进货!$E$4:$E$1503,采购进货!$D$4:$D$1503,$B65,采购进货!$B$4:$B$1503,"&gt;="&amp;DATE(年度,7,1),采购进货!$B$4:$B$1503,"&lt;"&amp;DATE(年度,7+1,1))+SUMIFS(采购进货!$H$4:$H$1503,采购进货!$D$4:$D$1503,$B65,采购进货!$B$4:$B$1503,"&gt;="&amp;DATE(年度,7,1),采购进货!$B$4:$B$1503,"&lt;"&amp;DATE(年度,7+1,1)))</f>
        <v>0</v>
      </c>
      <c r="CC65" s="186">
        <f>IF($B65="",0,SUMIFS(采购进货!$G$4:$G$1503,采购进货!$D$4:$D$1503,$B65,采购进货!$B$4:$B$1503,"&gt;="&amp;DATE(年度,7,1),采购进货!$B$4:$B$1503,"&lt;"&amp;DATE(年度,7+1,1)))</f>
        <v>0</v>
      </c>
      <c r="CD65" s="234">
        <f>BY65+CB65</f>
        <v>0</v>
      </c>
      <c r="CE65" s="235">
        <f>BZ65+CC65</f>
        <v>0</v>
      </c>
      <c r="CF65" s="222">
        <f>IF(AND(CD65&gt;0,CE65&gt;0),CE65/CD65,N($E65))</f>
        <v>0</v>
      </c>
      <c r="CG65" s="220">
        <f>IF($B65="",0,SUMIFS(出库明细!$E$4:$E$3003,出库明细!$D$4:$D$3003,$B65,出库明细!$B$4:$B$3003,"&gt;="&amp;DATE(年度,7,1),出库明细!$B$4:$B$3003,"&lt;"&amp;DATE(年度,7+1,1)))</f>
        <v>0</v>
      </c>
      <c r="CH65" s="186">
        <f>CG65*CF65</f>
        <v>0</v>
      </c>
      <c r="CI65" s="220">
        <f>_辅助!BS63</f>
        <v>0</v>
      </c>
      <c r="CJ65" s="186">
        <f>_辅助!AI63</f>
        <v>0</v>
      </c>
      <c r="CK65" s="221">
        <f>CD65-CG65-CI65</f>
        <v>0</v>
      </c>
      <c r="CL65" s="187">
        <f>CE65-CH65-CJ65</f>
        <v>0</v>
      </c>
      <c r="CM65" s="236">
        <f>IF(AND(CD65&gt;0,CE65&gt;0),0,CH65)</f>
        <v>0</v>
      </c>
      <c r="CN65" s="220">
        <f>IF($B65="",0,SUMIFS(采购进货!$E$4:$E$1503,采购进货!$D$4:$D$1503,$B65,采购进货!$B$4:$B$1503,"&gt;="&amp;DATE(年度,8,1),采购进货!$B$4:$B$1503,"&lt;"&amp;DATE(年度,8+1,1))+SUMIFS(采购进货!$H$4:$H$1503,采购进货!$D$4:$D$1503,$B65,采购进货!$B$4:$B$1503,"&gt;="&amp;DATE(年度,8,1),采购进货!$B$4:$B$1503,"&lt;"&amp;DATE(年度,8+1,1)))</f>
        <v>0</v>
      </c>
      <c r="CO65" s="186">
        <f>IF($B65="",0,SUMIFS(采购进货!$G$4:$G$1503,采购进货!$D$4:$D$1503,$B65,采购进货!$B$4:$B$1503,"&gt;="&amp;DATE(年度,8,1),采购进货!$B$4:$B$1503,"&lt;"&amp;DATE(年度,8+1,1)))</f>
        <v>0</v>
      </c>
      <c r="CP65" s="234">
        <f>CK65+CN65</f>
        <v>0</v>
      </c>
      <c r="CQ65" s="235">
        <f>CL65+CO65</f>
        <v>0</v>
      </c>
      <c r="CR65" s="222">
        <f>IF(AND(CP65&gt;0,CQ65&gt;0),CQ65/CP65,N($E65))</f>
        <v>0</v>
      </c>
      <c r="CS65" s="220">
        <f>IF($B65="",0,SUMIFS(出库明细!$E$4:$E$3003,出库明细!$D$4:$D$3003,$B65,出库明细!$B$4:$B$3003,"&gt;="&amp;DATE(年度,8,1),出库明细!$B$4:$B$3003,"&lt;"&amp;DATE(年度,8+1,1)))</f>
        <v>0</v>
      </c>
      <c r="CT65" s="186">
        <f>CS65*CR65</f>
        <v>0</v>
      </c>
      <c r="CU65" s="220">
        <f>_辅助!BT63</f>
        <v>0</v>
      </c>
      <c r="CV65" s="186">
        <f>_辅助!AJ63</f>
        <v>0</v>
      </c>
      <c r="CW65" s="221">
        <f>CP65-CS65-CU65</f>
        <v>0</v>
      </c>
      <c r="CX65" s="187">
        <f>CQ65-CT65-CV65</f>
        <v>0</v>
      </c>
      <c r="CY65" s="236">
        <f>IF(AND(CP65&gt;0,CQ65&gt;0),0,CT65)</f>
        <v>0</v>
      </c>
      <c r="CZ65" s="220">
        <f>IF($B65="",0,SUMIFS(采购进货!$E$4:$E$1503,采购进货!$D$4:$D$1503,$B65,采购进货!$B$4:$B$1503,"&gt;="&amp;DATE(年度,9,1),采购进货!$B$4:$B$1503,"&lt;"&amp;DATE(年度,9+1,1))+SUMIFS(采购进货!$H$4:$H$1503,采购进货!$D$4:$D$1503,$B65,采购进货!$B$4:$B$1503,"&gt;="&amp;DATE(年度,9,1),采购进货!$B$4:$B$1503,"&lt;"&amp;DATE(年度,9+1,1)))</f>
        <v>0</v>
      </c>
      <c r="DA65" s="186">
        <f>IF($B65="",0,SUMIFS(采购进货!$G$4:$G$1503,采购进货!$D$4:$D$1503,$B65,采购进货!$B$4:$B$1503,"&gt;="&amp;DATE(年度,9,1),采购进货!$B$4:$B$1503,"&lt;"&amp;DATE(年度,9+1,1)))</f>
        <v>0</v>
      </c>
      <c r="DB65" s="234">
        <f>CW65+CZ65</f>
        <v>0</v>
      </c>
      <c r="DC65" s="235">
        <f>CX65+DA65</f>
        <v>0</v>
      </c>
      <c r="DD65" s="222">
        <f>IF(AND(DB65&gt;0,DC65&gt;0),DC65/DB65,N($E65))</f>
        <v>0</v>
      </c>
      <c r="DE65" s="220">
        <f>IF($B65="",0,SUMIFS(出库明细!$E$4:$E$3003,出库明细!$D$4:$D$3003,$B65,出库明细!$B$4:$B$3003,"&gt;="&amp;DATE(年度,9,1),出库明细!$B$4:$B$3003,"&lt;"&amp;DATE(年度,9+1,1)))</f>
        <v>0</v>
      </c>
      <c r="DF65" s="186">
        <f>DE65*DD65</f>
        <v>0</v>
      </c>
      <c r="DG65" s="220">
        <f>_辅助!BU63</f>
        <v>0</v>
      </c>
      <c r="DH65" s="186">
        <f>_辅助!AK63</f>
        <v>0</v>
      </c>
      <c r="DI65" s="221">
        <f>DB65-DE65-DG65</f>
        <v>0</v>
      </c>
      <c r="DJ65" s="187">
        <f>DC65-DF65-DH65</f>
        <v>0</v>
      </c>
      <c r="DK65" s="236">
        <f>IF(AND(DB65&gt;0,DC65&gt;0),0,DF65)</f>
        <v>0</v>
      </c>
      <c r="DL65" s="220">
        <f>IF($B65="",0,SUMIFS(采购进货!$E$4:$E$1503,采购进货!$D$4:$D$1503,$B65,采购进货!$B$4:$B$1503,"&gt;="&amp;DATE(年度,10,1),采购进货!$B$4:$B$1503,"&lt;"&amp;DATE(年度,10+1,1))+SUMIFS(采购进货!$H$4:$H$1503,采购进货!$D$4:$D$1503,$B65,采购进货!$B$4:$B$1503,"&gt;="&amp;DATE(年度,10,1),采购进货!$B$4:$B$1503,"&lt;"&amp;DATE(年度,10+1,1)))</f>
        <v>0</v>
      </c>
      <c r="DM65" s="186">
        <f>IF($B65="",0,SUMIFS(采购进货!$G$4:$G$1503,采购进货!$D$4:$D$1503,$B65,采购进货!$B$4:$B$1503,"&gt;="&amp;DATE(年度,10,1),采购进货!$B$4:$B$1503,"&lt;"&amp;DATE(年度,10+1,1)))</f>
        <v>0</v>
      </c>
      <c r="DN65" s="234">
        <f>DI65+DL65</f>
        <v>0</v>
      </c>
      <c r="DO65" s="235">
        <f>DJ65+DM65</f>
        <v>0</v>
      </c>
      <c r="DP65" s="222">
        <f>IF(AND(DN65&gt;0,DO65&gt;0),DO65/DN65,N($E65))</f>
        <v>0</v>
      </c>
      <c r="DQ65" s="220">
        <f>IF($B65="",0,SUMIFS(出库明细!$E$4:$E$3003,出库明细!$D$4:$D$3003,$B65,出库明细!$B$4:$B$3003,"&gt;="&amp;DATE(年度,10,1),出库明细!$B$4:$B$3003,"&lt;"&amp;DATE(年度,10+1,1)))</f>
        <v>0</v>
      </c>
      <c r="DR65" s="186">
        <f>DQ65*DP65</f>
        <v>0</v>
      </c>
      <c r="DS65" s="220">
        <f>_辅助!BV63</f>
        <v>0</v>
      </c>
      <c r="DT65" s="186">
        <f>_辅助!AL63</f>
        <v>0</v>
      </c>
      <c r="DU65" s="221">
        <f>DN65-DQ65-DS65</f>
        <v>0</v>
      </c>
      <c r="DV65" s="187">
        <f>DO65-DR65-DT65</f>
        <v>0</v>
      </c>
      <c r="DW65" s="236">
        <f>IF(AND(DN65&gt;0,DO65&gt;0),0,DR65)</f>
        <v>0</v>
      </c>
      <c r="DX65" s="220">
        <f>IF($B65="",0,SUMIFS(采购进货!$E$4:$E$1503,采购进货!$D$4:$D$1503,$B65,采购进货!$B$4:$B$1503,"&gt;="&amp;DATE(年度,11,1),采购进货!$B$4:$B$1503,"&lt;"&amp;DATE(年度,11+1,1))+SUMIFS(采购进货!$H$4:$H$1503,采购进货!$D$4:$D$1503,$B65,采购进货!$B$4:$B$1503,"&gt;="&amp;DATE(年度,11,1),采购进货!$B$4:$B$1503,"&lt;"&amp;DATE(年度,11+1,1)))</f>
        <v>0</v>
      </c>
      <c r="DY65" s="186">
        <f>IF($B65="",0,SUMIFS(采购进货!$G$4:$G$1503,采购进货!$D$4:$D$1503,$B65,采购进货!$B$4:$B$1503,"&gt;="&amp;DATE(年度,11,1),采购进货!$B$4:$B$1503,"&lt;"&amp;DATE(年度,11+1,1)))</f>
        <v>0</v>
      </c>
      <c r="DZ65" s="234">
        <f>DU65+DX65</f>
        <v>0</v>
      </c>
      <c r="EA65" s="235">
        <f>DV65+DY65</f>
        <v>0</v>
      </c>
      <c r="EB65" s="222">
        <f>IF(AND(DZ65&gt;0,EA65&gt;0),EA65/DZ65,N($E65))</f>
        <v>0</v>
      </c>
      <c r="EC65" s="220">
        <f>IF($B65="",0,SUMIFS(出库明细!$E$4:$E$3003,出库明细!$D$4:$D$3003,$B65,出库明细!$B$4:$B$3003,"&gt;="&amp;DATE(年度,11,1),出库明细!$B$4:$B$3003,"&lt;"&amp;DATE(年度,11+1,1)))</f>
        <v>0</v>
      </c>
      <c r="ED65" s="186">
        <f>EC65*EB65</f>
        <v>0</v>
      </c>
      <c r="EE65" s="220">
        <f>_辅助!BW63</f>
        <v>0</v>
      </c>
      <c r="EF65" s="186">
        <f>_辅助!AM63</f>
        <v>0</v>
      </c>
      <c r="EG65" s="221">
        <f>DZ65-EC65-EE65</f>
        <v>0</v>
      </c>
      <c r="EH65" s="187">
        <f>EA65-ED65-EF65</f>
        <v>0</v>
      </c>
      <c r="EI65" s="236">
        <f>IF(AND(DZ65&gt;0,EA65&gt;0),0,ED65)</f>
        <v>0</v>
      </c>
      <c r="EJ65" s="220">
        <f>IF($B65="",0,SUMIFS(采购进货!$E$4:$E$1503,采购进货!$D$4:$D$1503,$B65,采购进货!$B$4:$B$1503,"&gt;="&amp;DATE(年度,12,1),采购进货!$B$4:$B$1503,"&lt;"&amp;DATE(年度,12+1,1))+SUMIFS(采购进货!$H$4:$H$1503,采购进货!$D$4:$D$1503,$B65,采购进货!$B$4:$B$1503,"&gt;="&amp;DATE(年度,12,1),采购进货!$B$4:$B$1503,"&lt;"&amp;DATE(年度,12+1,1)))</f>
        <v>0</v>
      </c>
      <c r="EK65" s="186">
        <f>IF($B65="",0,SUMIFS(采购进货!$G$4:$G$1503,采购进货!$D$4:$D$1503,$B65,采购进货!$B$4:$B$1503,"&gt;="&amp;DATE(年度,12,1),采购进货!$B$4:$B$1503,"&lt;"&amp;DATE(年度,12+1,1)))</f>
        <v>0</v>
      </c>
      <c r="EL65" s="234">
        <f>EG65+EJ65</f>
        <v>0</v>
      </c>
      <c r="EM65" s="235">
        <f>EH65+EK65</f>
        <v>0</v>
      </c>
      <c r="EN65" s="222">
        <f>IF(AND(EL65&gt;0,EM65&gt;0),EM65/EL65,N($E65))</f>
        <v>0</v>
      </c>
      <c r="EO65" s="220">
        <f>IF($B65="",0,SUMIFS(出库明细!$E$4:$E$3003,出库明细!$D$4:$D$3003,$B65,出库明细!$B$4:$B$3003,"&gt;="&amp;DATE(年度,12,1),出库明细!$B$4:$B$3003,"&lt;"&amp;DATE(年度,12+1,1)))</f>
        <v>0</v>
      </c>
      <c r="EP65" s="186">
        <f>EO65*EN65</f>
        <v>0</v>
      </c>
      <c r="EQ65" s="220">
        <f>_辅助!BX63</f>
        <v>0</v>
      </c>
      <c r="ER65" s="186">
        <f>_辅助!AN63</f>
        <v>0</v>
      </c>
      <c r="ES65" s="221">
        <f>EL65-EO65-EQ65</f>
        <v>0</v>
      </c>
      <c r="ET65" s="187">
        <f>EM65-EP65-ER65</f>
        <v>0</v>
      </c>
      <c r="EU65" s="236">
        <f>IF(AND(EL65&gt;0,EM65&gt;0),0,EP65)</f>
        <v>0</v>
      </c>
    </row>
    <row r="66">
      <c r="A66" s="194">
        <f>IF(B66="","",ROW()-7)</f>
      </c>
      <c r="B66" s="141">
        <f>IF(基础资料!E63="","",基础资料!E63&amp;"")</f>
      </c>
      <c r="C66" s="230">
        <f>IF(基础资料!G63="","",基础资料!G63&amp;"")</f>
      </c>
      <c r="D66" s="194">
        <f>IF(基础资料!I63="","",基础资料!I63)</f>
      </c>
      <c r="E66" s="231">
        <f>IF(基础资料!J63="","",基础资料!J63)</f>
      </c>
      <c r="F66" s="232">
        <f>N(基础资料!L63)</f>
        <v>0</v>
      </c>
      <c r="G66" s="233">
        <f>IF(基础资料!N63="",0,基础资料!N63)</f>
        <v>0</v>
      </c>
      <c r="H66" s="220">
        <f>IF($B66="",0,SUMIFS(采购进货!$E$4:$E$1503,采购进货!$D$4:$D$1503,$B66,采购进货!$B$4:$B$1503,"&gt;="&amp;DATE(年度,1,1),采购进货!$B$4:$B$1503,"&lt;"&amp;DATE(年度,1+1,1))+SUMIFS(采购进货!$H$4:$H$1503,采购进货!$D$4:$D$1503,$B66,采购进货!$B$4:$B$1503,"&gt;="&amp;DATE(年度,1,1),采购进货!$B$4:$B$1503,"&lt;"&amp;DATE(年度,1+1,1)))</f>
        <v>0</v>
      </c>
      <c r="I66" s="186">
        <f>IF($B66="",0,SUMIFS(采购进货!$G$4:$G$1503,采购进货!$D$4:$D$1503,$B66,采购进货!$B$4:$B$1503,"&gt;="&amp;DATE(年度,1,1),采购进货!$B$4:$B$1503,"&lt;"&amp;DATE(年度,1+1,1)))</f>
        <v>0</v>
      </c>
      <c r="J66" s="234">
        <f>F66+H66</f>
        <v>0</v>
      </c>
      <c r="K66" s="235">
        <f>G66+I66</f>
        <v>0</v>
      </c>
      <c r="L66" s="222">
        <f>IF(AND(J66&gt;0,K66&gt;0),K66/J66,N($E66))</f>
        <v>0</v>
      </c>
      <c r="M66" s="220">
        <f>IF($B66="",0,SUMIFS(出库明细!$E$4:$E$3003,出库明细!$D$4:$D$3003,$B66,出库明细!$B$4:$B$3003,"&gt;="&amp;DATE(年度,1,1),出库明细!$B$4:$B$3003,"&lt;"&amp;DATE(年度,1+1,1)))</f>
        <v>0</v>
      </c>
      <c r="N66" s="186">
        <f>M66*L66</f>
        <v>0</v>
      </c>
      <c r="O66" s="220">
        <f>_辅助!BM64</f>
        <v>0</v>
      </c>
      <c r="P66" s="186">
        <f>_辅助!AC64</f>
        <v>0</v>
      </c>
      <c r="Q66" s="221">
        <f>J66-M66-O66</f>
        <v>0</v>
      </c>
      <c r="R66" s="187">
        <f>K66-N66-P66</f>
        <v>0</v>
      </c>
      <c r="S66" s="236">
        <f>IF(AND(J66&gt;0,K66&gt;0),0,N66)</f>
        <v>0</v>
      </c>
      <c r="T66" s="220">
        <f>IF($B66="",0,SUMIFS(采购进货!$E$4:$E$1503,采购进货!$D$4:$D$1503,$B66,采购进货!$B$4:$B$1503,"&gt;="&amp;DATE(年度,2,1),采购进货!$B$4:$B$1503,"&lt;"&amp;DATE(年度,2+1,1))+SUMIFS(采购进货!$H$4:$H$1503,采购进货!$D$4:$D$1503,$B66,采购进货!$B$4:$B$1503,"&gt;="&amp;DATE(年度,2,1),采购进货!$B$4:$B$1503,"&lt;"&amp;DATE(年度,2+1,1)))</f>
        <v>0</v>
      </c>
      <c r="U66" s="186">
        <f>IF($B66="",0,SUMIFS(采购进货!$G$4:$G$1503,采购进货!$D$4:$D$1503,$B66,采购进货!$B$4:$B$1503,"&gt;="&amp;DATE(年度,2,1),采购进货!$B$4:$B$1503,"&lt;"&amp;DATE(年度,2+1,1)))</f>
        <v>0</v>
      </c>
      <c r="V66" s="234">
        <f>Q66+T66</f>
        <v>0</v>
      </c>
      <c r="W66" s="235">
        <f>R66+U66</f>
        <v>0</v>
      </c>
      <c r="X66" s="222">
        <f>IF(AND(V66&gt;0,W66&gt;0),W66/V66,N($E66))</f>
        <v>0</v>
      </c>
      <c r="Y66" s="220">
        <f>IF($B66="",0,SUMIFS(出库明细!$E$4:$E$3003,出库明细!$D$4:$D$3003,$B66,出库明细!$B$4:$B$3003,"&gt;="&amp;DATE(年度,2,1),出库明细!$B$4:$B$3003,"&lt;"&amp;DATE(年度,2+1,1)))</f>
        <v>0</v>
      </c>
      <c r="Z66" s="186">
        <f>Y66*X66</f>
        <v>0</v>
      </c>
      <c r="AA66" s="220">
        <f>_辅助!BN64</f>
        <v>0</v>
      </c>
      <c r="AB66" s="186">
        <f>_辅助!AD64</f>
        <v>0</v>
      </c>
      <c r="AC66" s="221">
        <f>V66-Y66-AA66</f>
        <v>0</v>
      </c>
      <c r="AD66" s="187">
        <f>W66-Z66-AB66</f>
        <v>0</v>
      </c>
      <c r="AE66" s="236">
        <f>IF(AND(V66&gt;0,W66&gt;0),0,Z66)</f>
        <v>0</v>
      </c>
      <c r="AF66" s="220">
        <f>IF($B66="",0,SUMIFS(采购进货!$E$4:$E$1503,采购进货!$D$4:$D$1503,$B66,采购进货!$B$4:$B$1503,"&gt;="&amp;DATE(年度,3,1),采购进货!$B$4:$B$1503,"&lt;"&amp;DATE(年度,3+1,1))+SUMIFS(采购进货!$H$4:$H$1503,采购进货!$D$4:$D$1503,$B66,采购进货!$B$4:$B$1503,"&gt;="&amp;DATE(年度,3,1),采购进货!$B$4:$B$1503,"&lt;"&amp;DATE(年度,3+1,1)))</f>
        <v>0</v>
      </c>
      <c r="AG66" s="186">
        <f>IF($B66="",0,SUMIFS(采购进货!$G$4:$G$1503,采购进货!$D$4:$D$1503,$B66,采购进货!$B$4:$B$1503,"&gt;="&amp;DATE(年度,3,1),采购进货!$B$4:$B$1503,"&lt;"&amp;DATE(年度,3+1,1)))</f>
        <v>0</v>
      </c>
      <c r="AH66" s="234">
        <f>AC66+AF66</f>
        <v>0</v>
      </c>
      <c r="AI66" s="235">
        <f>AD66+AG66</f>
        <v>0</v>
      </c>
      <c r="AJ66" s="222">
        <f>IF(AND(AH66&gt;0,AI66&gt;0),AI66/AH66,N($E66))</f>
        <v>0</v>
      </c>
      <c r="AK66" s="220">
        <f>IF($B66="",0,SUMIFS(出库明细!$E$4:$E$3003,出库明细!$D$4:$D$3003,$B66,出库明细!$B$4:$B$3003,"&gt;="&amp;DATE(年度,3,1),出库明细!$B$4:$B$3003,"&lt;"&amp;DATE(年度,3+1,1)))</f>
        <v>0</v>
      </c>
      <c r="AL66" s="186">
        <f>AK66*AJ66</f>
        <v>0</v>
      </c>
      <c r="AM66" s="220">
        <f>_辅助!BO64</f>
        <v>0</v>
      </c>
      <c r="AN66" s="186">
        <f>_辅助!AE64</f>
        <v>0</v>
      </c>
      <c r="AO66" s="221">
        <f>AH66-AK66-AM66</f>
        <v>0</v>
      </c>
      <c r="AP66" s="187">
        <f>AI66-AL66-AN66</f>
        <v>0</v>
      </c>
      <c r="AQ66" s="236">
        <f>IF(AND(AH66&gt;0,AI66&gt;0),0,AL66)</f>
        <v>0</v>
      </c>
      <c r="AR66" s="220">
        <f>IF($B66="",0,SUMIFS(采购进货!$E$4:$E$1503,采购进货!$D$4:$D$1503,$B66,采购进货!$B$4:$B$1503,"&gt;="&amp;DATE(年度,4,1),采购进货!$B$4:$B$1503,"&lt;"&amp;DATE(年度,4+1,1))+SUMIFS(采购进货!$H$4:$H$1503,采购进货!$D$4:$D$1503,$B66,采购进货!$B$4:$B$1503,"&gt;="&amp;DATE(年度,4,1),采购进货!$B$4:$B$1503,"&lt;"&amp;DATE(年度,4+1,1)))</f>
        <v>0</v>
      </c>
      <c r="AS66" s="186">
        <f>IF($B66="",0,SUMIFS(采购进货!$G$4:$G$1503,采购进货!$D$4:$D$1503,$B66,采购进货!$B$4:$B$1503,"&gt;="&amp;DATE(年度,4,1),采购进货!$B$4:$B$1503,"&lt;"&amp;DATE(年度,4+1,1)))</f>
        <v>0</v>
      </c>
      <c r="AT66" s="234">
        <f>AO66+AR66</f>
        <v>0</v>
      </c>
      <c r="AU66" s="235">
        <f>AP66+AS66</f>
        <v>0</v>
      </c>
      <c r="AV66" s="222">
        <f>IF(AND(AT66&gt;0,AU66&gt;0),AU66/AT66,N($E66))</f>
        <v>0</v>
      </c>
      <c r="AW66" s="220">
        <f>IF($B66="",0,SUMIFS(出库明细!$E$4:$E$3003,出库明细!$D$4:$D$3003,$B66,出库明细!$B$4:$B$3003,"&gt;="&amp;DATE(年度,4,1),出库明细!$B$4:$B$3003,"&lt;"&amp;DATE(年度,4+1,1)))</f>
        <v>0</v>
      </c>
      <c r="AX66" s="186">
        <f>AW66*AV66</f>
        <v>0</v>
      </c>
      <c r="AY66" s="220">
        <f>_辅助!BP64</f>
        <v>0</v>
      </c>
      <c r="AZ66" s="186">
        <f>_辅助!AF64</f>
        <v>0</v>
      </c>
      <c r="BA66" s="221">
        <f>AT66-AW66-AY66</f>
        <v>0</v>
      </c>
      <c r="BB66" s="187">
        <f>AU66-AX66-AZ66</f>
        <v>0</v>
      </c>
      <c r="BC66" s="236">
        <f>IF(AND(AT66&gt;0,AU66&gt;0),0,AX66)</f>
        <v>0</v>
      </c>
      <c r="BD66" s="220">
        <f>IF($B66="",0,SUMIFS(采购进货!$E$4:$E$1503,采购进货!$D$4:$D$1503,$B66,采购进货!$B$4:$B$1503,"&gt;="&amp;DATE(年度,5,1),采购进货!$B$4:$B$1503,"&lt;"&amp;DATE(年度,5+1,1))+SUMIFS(采购进货!$H$4:$H$1503,采购进货!$D$4:$D$1503,$B66,采购进货!$B$4:$B$1503,"&gt;="&amp;DATE(年度,5,1),采购进货!$B$4:$B$1503,"&lt;"&amp;DATE(年度,5+1,1)))</f>
        <v>0</v>
      </c>
      <c r="BE66" s="186">
        <f>IF($B66="",0,SUMIFS(采购进货!$G$4:$G$1503,采购进货!$D$4:$D$1503,$B66,采购进货!$B$4:$B$1503,"&gt;="&amp;DATE(年度,5,1),采购进货!$B$4:$B$1503,"&lt;"&amp;DATE(年度,5+1,1)))</f>
        <v>0</v>
      </c>
      <c r="BF66" s="234">
        <f>BA66+BD66</f>
        <v>0</v>
      </c>
      <c r="BG66" s="235">
        <f>BB66+BE66</f>
        <v>0</v>
      </c>
      <c r="BH66" s="222">
        <f>IF(AND(BF66&gt;0,BG66&gt;0),BG66/BF66,N($E66))</f>
        <v>0</v>
      </c>
      <c r="BI66" s="220">
        <f>IF($B66="",0,SUMIFS(出库明细!$E$4:$E$3003,出库明细!$D$4:$D$3003,$B66,出库明细!$B$4:$B$3003,"&gt;="&amp;DATE(年度,5,1),出库明细!$B$4:$B$3003,"&lt;"&amp;DATE(年度,5+1,1)))</f>
        <v>0</v>
      </c>
      <c r="BJ66" s="186">
        <f>BI66*BH66</f>
        <v>0</v>
      </c>
      <c r="BK66" s="220">
        <f>_辅助!BQ64</f>
        <v>0</v>
      </c>
      <c r="BL66" s="186">
        <f>_辅助!AG64</f>
        <v>0</v>
      </c>
      <c r="BM66" s="221">
        <f>BF66-BI66-BK66</f>
        <v>0</v>
      </c>
      <c r="BN66" s="187">
        <f>BG66-BJ66-BL66</f>
        <v>0</v>
      </c>
      <c r="BO66" s="236">
        <f>IF(AND(BF66&gt;0,BG66&gt;0),0,BJ66)</f>
        <v>0</v>
      </c>
      <c r="BP66" s="220">
        <f>IF($B66="",0,SUMIFS(采购进货!$E$4:$E$1503,采购进货!$D$4:$D$1503,$B66,采购进货!$B$4:$B$1503,"&gt;="&amp;DATE(年度,6,1),采购进货!$B$4:$B$1503,"&lt;"&amp;DATE(年度,6+1,1))+SUMIFS(采购进货!$H$4:$H$1503,采购进货!$D$4:$D$1503,$B66,采购进货!$B$4:$B$1503,"&gt;="&amp;DATE(年度,6,1),采购进货!$B$4:$B$1503,"&lt;"&amp;DATE(年度,6+1,1)))</f>
        <v>0</v>
      </c>
      <c r="BQ66" s="186">
        <f>IF($B66="",0,SUMIFS(采购进货!$G$4:$G$1503,采购进货!$D$4:$D$1503,$B66,采购进货!$B$4:$B$1503,"&gt;="&amp;DATE(年度,6,1),采购进货!$B$4:$B$1503,"&lt;"&amp;DATE(年度,6+1,1)))</f>
        <v>0</v>
      </c>
      <c r="BR66" s="234">
        <f>BM66+BP66</f>
        <v>0</v>
      </c>
      <c r="BS66" s="235">
        <f>BN66+BQ66</f>
        <v>0</v>
      </c>
      <c r="BT66" s="222">
        <f>IF(AND(BR66&gt;0,BS66&gt;0),BS66/BR66,N($E66))</f>
        <v>0</v>
      </c>
      <c r="BU66" s="220">
        <f>IF($B66="",0,SUMIFS(出库明细!$E$4:$E$3003,出库明细!$D$4:$D$3003,$B66,出库明细!$B$4:$B$3003,"&gt;="&amp;DATE(年度,6,1),出库明细!$B$4:$B$3003,"&lt;"&amp;DATE(年度,6+1,1)))</f>
        <v>0</v>
      </c>
      <c r="BV66" s="186">
        <f>BU66*BT66</f>
        <v>0</v>
      </c>
      <c r="BW66" s="220">
        <f>_辅助!BR64</f>
        <v>0</v>
      </c>
      <c r="BX66" s="186">
        <f>_辅助!AH64</f>
        <v>0</v>
      </c>
      <c r="BY66" s="221">
        <f>BR66-BU66-BW66</f>
        <v>0</v>
      </c>
      <c r="BZ66" s="187">
        <f>BS66-BV66-BX66</f>
        <v>0</v>
      </c>
      <c r="CA66" s="236">
        <f>IF(AND(BR66&gt;0,BS66&gt;0),0,BV66)</f>
        <v>0</v>
      </c>
      <c r="CB66" s="220">
        <f>IF($B66="",0,SUMIFS(采购进货!$E$4:$E$1503,采购进货!$D$4:$D$1503,$B66,采购进货!$B$4:$B$1503,"&gt;="&amp;DATE(年度,7,1),采购进货!$B$4:$B$1503,"&lt;"&amp;DATE(年度,7+1,1))+SUMIFS(采购进货!$H$4:$H$1503,采购进货!$D$4:$D$1503,$B66,采购进货!$B$4:$B$1503,"&gt;="&amp;DATE(年度,7,1),采购进货!$B$4:$B$1503,"&lt;"&amp;DATE(年度,7+1,1)))</f>
        <v>0</v>
      </c>
      <c r="CC66" s="186">
        <f>IF($B66="",0,SUMIFS(采购进货!$G$4:$G$1503,采购进货!$D$4:$D$1503,$B66,采购进货!$B$4:$B$1503,"&gt;="&amp;DATE(年度,7,1),采购进货!$B$4:$B$1503,"&lt;"&amp;DATE(年度,7+1,1)))</f>
        <v>0</v>
      </c>
      <c r="CD66" s="234">
        <f>BY66+CB66</f>
        <v>0</v>
      </c>
      <c r="CE66" s="235">
        <f>BZ66+CC66</f>
        <v>0</v>
      </c>
      <c r="CF66" s="222">
        <f>IF(AND(CD66&gt;0,CE66&gt;0),CE66/CD66,N($E66))</f>
        <v>0</v>
      </c>
      <c r="CG66" s="220">
        <f>IF($B66="",0,SUMIFS(出库明细!$E$4:$E$3003,出库明细!$D$4:$D$3003,$B66,出库明细!$B$4:$B$3003,"&gt;="&amp;DATE(年度,7,1),出库明细!$B$4:$B$3003,"&lt;"&amp;DATE(年度,7+1,1)))</f>
        <v>0</v>
      </c>
      <c r="CH66" s="186">
        <f>CG66*CF66</f>
        <v>0</v>
      </c>
      <c r="CI66" s="220">
        <f>_辅助!BS64</f>
        <v>0</v>
      </c>
      <c r="CJ66" s="186">
        <f>_辅助!AI64</f>
        <v>0</v>
      </c>
      <c r="CK66" s="221">
        <f>CD66-CG66-CI66</f>
        <v>0</v>
      </c>
      <c r="CL66" s="187">
        <f>CE66-CH66-CJ66</f>
        <v>0</v>
      </c>
      <c r="CM66" s="236">
        <f>IF(AND(CD66&gt;0,CE66&gt;0),0,CH66)</f>
        <v>0</v>
      </c>
      <c r="CN66" s="220">
        <f>IF($B66="",0,SUMIFS(采购进货!$E$4:$E$1503,采购进货!$D$4:$D$1503,$B66,采购进货!$B$4:$B$1503,"&gt;="&amp;DATE(年度,8,1),采购进货!$B$4:$B$1503,"&lt;"&amp;DATE(年度,8+1,1))+SUMIFS(采购进货!$H$4:$H$1503,采购进货!$D$4:$D$1503,$B66,采购进货!$B$4:$B$1503,"&gt;="&amp;DATE(年度,8,1),采购进货!$B$4:$B$1503,"&lt;"&amp;DATE(年度,8+1,1)))</f>
        <v>0</v>
      </c>
      <c r="CO66" s="186">
        <f>IF($B66="",0,SUMIFS(采购进货!$G$4:$G$1503,采购进货!$D$4:$D$1503,$B66,采购进货!$B$4:$B$1503,"&gt;="&amp;DATE(年度,8,1),采购进货!$B$4:$B$1503,"&lt;"&amp;DATE(年度,8+1,1)))</f>
        <v>0</v>
      </c>
      <c r="CP66" s="234">
        <f>CK66+CN66</f>
        <v>0</v>
      </c>
      <c r="CQ66" s="235">
        <f>CL66+CO66</f>
        <v>0</v>
      </c>
      <c r="CR66" s="222">
        <f>IF(AND(CP66&gt;0,CQ66&gt;0),CQ66/CP66,N($E66))</f>
        <v>0</v>
      </c>
      <c r="CS66" s="220">
        <f>IF($B66="",0,SUMIFS(出库明细!$E$4:$E$3003,出库明细!$D$4:$D$3003,$B66,出库明细!$B$4:$B$3003,"&gt;="&amp;DATE(年度,8,1),出库明细!$B$4:$B$3003,"&lt;"&amp;DATE(年度,8+1,1)))</f>
        <v>0</v>
      </c>
      <c r="CT66" s="186">
        <f>CS66*CR66</f>
        <v>0</v>
      </c>
      <c r="CU66" s="220">
        <f>_辅助!BT64</f>
        <v>0</v>
      </c>
      <c r="CV66" s="186">
        <f>_辅助!AJ64</f>
        <v>0</v>
      </c>
      <c r="CW66" s="221">
        <f>CP66-CS66-CU66</f>
        <v>0</v>
      </c>
      <c r="CX66" s="187">
        <f>CQ66-CT66-CV66</f>
        <v>0</v>
      </c>
      <c r="CY66" s="236">
        <f>IF(AND(CP66&gt;0,CQ66&gt;0),0,CT66)</f>
        <v>0</v>
      </c>
      <c r="CZ66" s="220">
        <f>IF($B66="",0,SUMIFS(采购进货!$E$4:$E$1503,采购进货!$D$4:$D$1503,$B66,采购进货!$B$4:$B$1503,"&gt;="&amp;DATE(年度,9,1),采购进货!$B$4:$B$1503,"&lt;"&amp;DATE(年度,9+1,1))+SUMIFS(采购进货!$H$4:$H$1503,采购进货!$D$4:$D$1503,$B66,采购进货!$B$4:$B$1503,"&gt;="&amp;DATE(年度,9,1),采购进货!$B$4:$B$1503,"&lt;"&amp;DATE(年度,9+1,1)))</f>
        <v>0</v>
      </c>
      <c r="DA66" s="186">
        <f>IF($B66="",0,SUMIFS(采购进货!$G$4:$G$1503,采购进货!$D$4:$D$1503,$B66,采购进货!$B$4:$B$1503,"&gt;="&amp;DATE(年度,9,1),采购进货!$B$4:$B$1503,"&lt;"&amp;DATE(年度,9+1,1)))</f>
        <v>0</v>
      </c>
      <c r="DB66" s="234">
        <f>CW66+CZ66</f>
        <v>0</v>
      </c>
      <c r="DC66" s="235">
        <f>CX66+DA66</f>
        <v>0</v>
      </c>
      <c r="DD66" s="222">
        <f>IF(AND(DB66&gt;0,DC66&gt;0),DC66/DB66,N($E66))</f>
        <v>0</v>
      </c>
      <c r="DE66" s="220">
        <f>IF($B66="",0,SUMIFS(出库明细!$E$4:$E$3003,出库明细!$D$4:$D$3003,$B66,出库明细!$B$4:$B$3003,"&gt;="&amp;DATE(年度,9,1),出库明细!$B$4:$B$3003,"&lt;"&amp;DATE(年度,9+1,1)))</f>
        <v>0</v>
      </c>
      <c r="DF66" s="186">
        <f>DE66*DD66</f>
        <v>0</v>
      </c>
      <c r="DG66" s="220">
        <f>_辅助!BU64</f>
        <v>0</v>
      </c>
      <c r="DH66" s="186">
        <f>_辅助!AK64</f>
        <v>0</v>
      </c>
      <c r="DI66" s="221">
        <f>DB66-DE66-DG66</f>
        <v>0</v>
      </c>
      <c r="DJ66" s="187">
        <f>DC66-DF66-DH66</f>
        <v>0</v>
      </c>
      <c r="DK66" s="236">
        <f>IF(AND(DB66&gt;0,DC66&gt;0),0,DF66)</f>
        <v>0</v>
      </c>
      <c r="DL66" s="220">
        <f>IF($B66="",0,SUMIFS(采购进货!$E$4:$E$1503,采购进货!$D$4:$D$1503,$B66,采购进货!$B$4:$B$1503,"&gt;="&amp;DATE(年度,10,1),采购进货!$B$4:$B$1503,"&lt;"&amp;DATE(年度,10+1,1))+SUMIFS(采购进货!$H$4:$H$1503,采购进货!$D$4:$D$1503,$B66,采购进货!$B$4:$B$1503,"&gt;="&amp;DATE(年度,10,1),采购进货!$B$4:$B$1503,"&lt;"&amp;DATE(年度,10+1,1)))</f>
        <v>0</v>
      </c>
      <c r="DM66" s="186">
        <f>IF($B66="",0,SUMIFS(采购进货!$G$4:$G$1503,采购进货!$D$4:$D$1503,$B66,采购进货!$B$4:$B$1503,"&gt;="&amp;DATE(年度,10,1),采购进货!$B$4:$B$1503,"&lt;"&amp;DATE(年度,10+1,1)))</f>
        <v>0</v>
      </c>
      <c r="DN66" s="234">
        <f>DI66+DL66</f>
        <v>0</v>
      </c>
      <c r="DO66" s="235">
        <f>DJ66+DM66</f>
        <v>0</v>
      </c>
      <c r="DP66" s="222">
        <f>IF(AND(DN66&gt;0,DO66&gt;0),DO66/DN66,N($E66))</f>
        <v>0</v>
      </c>
      <c r="DQ66" s="220">
        <f>IF($B66="",0,SUMIFS(出库明细!$E$4:$E$3003,出库明细!$D$4:$D$3003,$B66,出库明细!$B$4:$B$3003,"&gt;="&amp;DATE(年度,10,1),出库明细!$B$4:$B$3003,"&lt;"&amp;DATE(年度,10+1,1)))</f>
        <v>0</v>
      </c>
      <c r="DR66" s="186">
        <f>DQ66*DP66</f>
        <v>0</v>
      </c>
      <c r="DS66" s="220">
        <f>_辅助!BV64</f>
        <v>0</v>
      </c>
      <c r="DT66" s="186">
        <f>_辅助!AL64</f>
        <v>0</v>
      </c>
      <c r="DU66" s="221">
        <f>DN66-DQ66-DS66</f>
        <v>0</v>
      </c>
      <c r="DV66" s="187">
        <f>DO66-DR66-DT66</f>
        <v>0</v>
      </c>
      <c r="DW66" s="236">
        <f>IF(AND(DN66&gt;0,DO66&gt;0),0,DR66)</f>
        <v>0</v>
      </c>
      <c r="DX66" s="220">
        <f>IF($B66="",0,SUMIFS(采购进货!$E$4:$E$1503,采购进货!$D$4:$D$1503,$B66,采购进货!$B$4:$B$1503,"&gt;="&amp;DATE(年度,11,1),采购进货!$B$4:$B$1503,"&lt;"&amp;DATE(年度,11+1,1))+SUMIFS(采购进货!$H$4:$H$1503,采购进货!$D$4:$D$1503,$B66,采购进货!$B$4:$B$1503,"&gt;="&amp;DATE(年度,11,1),采购进货!$B$4:$B$1503,"&lt;"&amp;DATE(年度,11+1,1)))</f>
        <v>0</v>
      </c>
      <c r="DY66" s="186">
        <f>IF($B66="",0,SUMIFS(采购进货!$G$4:$G$1503,采购进货!$D$4:$D$1503,$B66,采购进货!$B$4:$B$1503,"&gt;="&amp;DATE(年度,11,1),采购进货!$B$4:$B$1503,"&lt;"&amp;DATE(年度,11+1,1)))</f>
        <v>0</v>
      </c>
      <c r="DZ66" s="234">
        <f>DU66+DX66</f>
        <v>0</v>
      </c>
      <c r="EA66" s="235">
        <f>DV66+DY66</f>
        <v>0</v>
      </c>
      <c r="EB66" s="222">
        <f>IF(AND(DZ66&gt;0,EA66&gt;0),EA66/DZ66,N($E66))</f>
        <v>0</v>
      </c>
      <c r="EC66" s="220">
        <f>IF($B66="",0,SUMIFS(出库明细!$E$4:$E$3003,出库明细!$D$4:$D$3003,$B66,出库明细!$B$4:$B$3003,"&gt;="&amp;DATE(年度,11,1),出库明细!$B$4:$B$3003,"&lt;"&amp;DATE(年度,11+1,1)))</f>
        <v>0</v>
      </c>
      <c r="ED66" s="186">
        <f>EC66*EB66</f>
        <v>0</v>
      </c>
      <c r="EE66" s="220">
        <f>_辅助!BW64</f>
        <v>0</v>
      </c>
      <c r="EF66" s="186">
        <f>_辅助!AM64</f>
        <v>0</v>
      </c>
      <c r="EG66" s="221">
        <f>DZ66-EC66-EE66</f>
        <v>0</v>
      </c>
      <c r="EH66" s="187">
        <f>EA66-ED66-EF66</f>
        <v>0</v>
      </c>
      <c r="EI66" s="236">
        <f>IF(AND(DZ66&gt;0,EA66&gt;0),0,ED66)</f>
        <v>0</v>
      </c>
      <c r="EJ66" s="220">
        <f>IF($B66="",0,SUMIFS(采购进货!$E$4:$E$1503,采购进货!$D$4:$D$1503,$B66,采购进货!$B$4:$B$1503,"&gt;="&amp;DATE(年度,12,1),采购进货!$B$4:$B$1503,"&lt;"&amp;DATE(年度,12+1,1))+SUMIFS(采购进货!$H$4:$H$1503,采购进货!$D$4:$D$1503,$B66,采购进货!$B$4:$B$1503,"&gt;="&amp;DATE(年度,12,1),采购进货!$B$4:$B$1503,"&lt;"&amp;DATE(年度,12+1,1)))</f>
        <v>0</v>
      </c>
      <c r="EK66" s="186">
        <f>IF($B66="",0,SUMIFS(采购进货!$G$4:$G$1503,采购进货!$D$4:$D$1503,$B66,采购进货!$B$4:$B$1503,"&gt;="&amp;DATE(年度,12,1),采购进货!$B$4:$B$1503,"&lt;"&amp;DATE(年度,12+1,1)))</f>
        <v>0</v>
      </c>
      <c r="EL66" s="234">
        <f>EG66+EJ66</f>
        <v>0</v>
      </c>
      <c r="EM66" s="235">
        <f>EH66+EK66</f>
        <v>0</v>
      </c>
      <c r="EN66" s="222">
        <f>IF(AND(EL66&gt;0,EM66&gt;0),EM66/EL66,N($E66))</f>
        <v>0</v>
      </c>
      <c r="EO66" s="220">
        <f>IF($B66="",0,SUMIFS(出库明细!$E$4:$E$3003,出库明细!$D$4:$D$3003,$B66,出库明细!$B$4:$B$3003,"&gt;="&amp;DATE(年度,12,1),出库明细!$B$4:$B$3003,"&lt;"&amp;DATE(年度,12+1,1)))</f>
        <v>0</v>
      </c>
      <c r="EP66" s="186">
        <f>EO66*EN66</f>
        <v>0</v>
      </c>
      <c r="EQ66" s="220">
        <f>_辅助!BX64</f>
        <v>0</v>
      </c>
      <c r="ER66" s="186">
        <f>_辅助!AN64</f>
        <v>0</v>
      </c>
      <c r="ES66" s="221">
        <f>EL66-EO66-EQ66</f>
        <v>0</v>
      </c>
      <c r="ET66" s="187">
        <f>EM66-EP66-ER66</f>
        <v>0</v>
      </c>
      <c r="EU66" s="236">
        <f>IF(AND(EL66&gt;0,EM66&gt;0),0,EP66)</f>
        <v>0</v>
      </c>
    </row>
    <row r="67">
      <c r="A67" s="194">
        <f>IF(B67="","",ROW()-7)</f>
      </c>
      <c r="B67" s="141">
        <f>IF(基础资料!E64="","",基础资料!E64&amp;"")</f>
      </c>
      <c r="C67" s="230">
        <f>IF(基础资料!G64="","",基础资料!G64&amp;"")</f>
      </c>
      <c r="D67" s="194">
        <f>IF(基础资料!I64="","",基础资料!I64)</f>
      </c>
      <c r="E67" s="231">
        <f>IF(基础资料!J64="","",基础资料!J64)</f>
      </c>
      <c r="F67" s="232">
        <f>N(基础资料!L64)</f>
        <v>0</v>
      </c>
      <c r="G67" s="233">
        <f>IF(基础资料!N64="",0,基础资料!N64)</f>
        <v>0</v>
      </c>
      <c r="H67" s="220">
        <f>IF($B67="",0,SUMIFS(采购进货!$E$4:$E$1503,采购进货!$D$4:$D$1503,$B67,采购进货!$B$4:$B$1503,"&gt;="&amp;DATE(年度,1,1),采购进货!$B$4:$B$1503,"&lt;"&amp;DATE(年度,1+1,1))+SUMIFS(采购进货!$H$4:$H$1503,采购进货!$D$4:$D$1503,$B67,采购进货!$B$4:$B$1503,"&gt;="&amp;DATE(年度,1,1),采购进货!$B$4:$B$1503,"&lt;"&amp;DATE(年度,1+1,1)))</f>
        <v>0</v>
      </c>
      <c r="I67" s="186">
        <f>IF($B67="",0,SUMIFS(采购进货!$G$4:$G$1503,采购进货!$D$4:$D$1503,$B67,采购进货!$B$4:$B$1503,"&gt;="&amp;DATE(年度,1,1),采购进货!$B$4:$B$1503,"&lt;"&amp;DATE(年度,1+1,1)))</f>
        <v>0</v>
      </c>
      <c r="J67" s="234">
        <f>F67+H67</f>
        <v>0</v>
      </c>
      <c r="K67" s="235">
        <f>G67+I67</f>
        <v>0</v>
      </c>
      <c r="L67" s="222">
        <f>IF(AND(J67&gt;0,K67&gt;0),K67/J67,N($E67))</f>
        <v>0</v>
      </c>
      <c r="M67" s="220">
        <f>IF($B67="",0,SUMIFS(出库明细!$E$4:$E$3003,出库明细!$D$4:$D$3003,$B67,出库明细!$B$4:$B$3003,"&gt;="&amp;DATE(年度,1,1),出库明细!$B$4:$B$3003,"&lt;"&amp;DATE(年度,1+1,1)))</f>
        <v>0</v>
      </c>
      <c r="N67" s="186">
        <f>M67*L67</f>
        <v>0</v>
      </c>
      <c r="O67" s="220">
        <f>_辅助!BM65</f>
        <v>0</v>
      </c>
      <c r="P67" s="186">
        <f>_辅助!AC65</f>
        <v>0</v>
      </c>
      <c r="Q67" s="221">
        <f>J67-M67-O67</f>
        <v>0</v>
      </c>
      <c r="R67" s="187">
        <f>K67-N67-P67</f>
        <v>0</v>
      </c>
      <c r="S67" s="236">
        <f>IF(AND(J67&gt;0,K67&gt;0),0,N67)</f>
        <v>0</v>
      </c>
      <c r="T67" s="220">
        <f>IF($B67="",0,SUMIFS(采购进货!$E$4:$E$1503,采购进货!$D$4:$D$1503,$B67,采购进货!$B$4:$B$1503,"&gt;="&amp;DATE(年度,2,1),采购进货!$B$4:$B$1503,"&lt;"&amp;DATE(年度,2+1,1))+SUMIFS(采购进货!$H$4:$H$1503,采购进货!$D$4:$D$1503,$B67,采购进货!$B$4:$B$1503,"&gt;="&amp;DATE(年度,2,1),采购进货!$B$4:$B$1503,"&lt;"&amp;DATE(年度,2+1,1)))</f>
        <v>0</v>
      </c>
      <c r="U67" s="186">
        <f>IF($B67="",0,SUMIFS(采购进货!$G$4:$G$1503,采购进货!$D$4:$D$1503,$B67,采购进货!$B$4:$B$1503,"&gt;="&amp;DATE(年度,2,1),采购进货!$B$4:$B$1503,"&lt;"&amp;DATE(年度,2+1,1)))</f>
        <v>0</v>
      </c>
      <c r="V67" s="234">
        <f>Q67+T67</f>
        <v>0</v>
      </c>
      <c r="W67" s="235">
        <f>R67+U67</f>
        <v>0</v>
      </c>
      <c r="X67" s="222">
        <f>IF(AND(V67&gt;0,W67&gt;0),W67/V67,N($E67))</f>
        <v>0</v>
      </c>
      <c r="Y67" s="220">
        <f>IF($B67="",0,SUMIFS(出库明细!$E$4:$E$3003,出库明细!$D$4:$D$3003,$B67,出库明细!$B$4:$B$3003,"&gt;="&amp;DATE(年度,2,1),出库明细!$B$4:$B$3003,"&lt;"&amp;DATE(年度,2+1,1)))</f>
        <v>0</v>
      </c>
      <c r="Z67" s="186">
        <f>Y67*X67</f>
        <v>0</v>
      </c>
      <c r="AA67" s="220">
        <f>_辅助!BN65</f>
        <v>0</v>
      </c>
      <c r="AB67" s="186">
        <f>_辅助!AD65</f>
        <v>0</v>
      </c>
      <c r="AC67" s="221">
        <f>V67-Y67-AA67</f>
        <v>0</v>
      </c>
      <c r="AD67" s="187">
        <f>W67-Z67-AB67</f>
        <v>0</v>
      </c>
      <c r="AE67" s="236">
        <f>IF(AND(V67&gt;0,W67&gt;0),0,Z67)</f>
        <v>0</v>
      </c>
      <c r="AF67" s="220">
        <f>IF($B67="",0,SUMIFS(采购进货!$E$4:$E$1503,采购进货!$D$4:$D$1503,$B67,采购进货!$B$4:$B$1503,"&gt;="&amp;DATE(年度,3,1),采购进货!$B$4:$B$1503,"&lt;"&amp;DATE(年度,3+1,1))+SUMIFS(采购进货!$H$4:$H$1503,采购进货!$D$4:$D$1503,$B67,采购进货!$B$4:$B$1503,"&gt;="&amp;DATE(年度,3,1),采购进货!$B$4:$B$1503,"&lt;"&amp;DATE(年度,3+1,1)))</f>
        <v>0</v>
      </c>
      <c r="AG67" s="186">
        <f>IF($B67="",0,SUMIFS(采购进货!$G$4:$G$1503,采购进货!$D$4:$D$1503,$B67,采购进货!$B$4:$B$1503,"&gt;="&amp;DATE(年度,3,1),采购进货!$B$4:$B$1503,"&lt;"&amp;DATE(年度,3+1,1)))</f>
        <v>0</v>
      </c>
      <c r="AH67" s="234">
        <f>AC67+AF67</f>
        <v>0</v>
      </c>
      <c r="AI67" s="235">
        <f>AD67+AG67</f>
        <v>0</v>
      </c>
      <c r="AJ67" s="222">
        <f>IF(AND(AH67&gt;0,AI67&gt;0),AI67/AH67,N($E67))</f>
        <v>0</v>
      </c>
      <c r="AK67" s="220">
        <f>IF($B67="",0,SUMIFS(出库明细!$E$4:$E$3003,出库明细!$D$4:$D$3003,$B67,出库明细!$B$4:$B$3003,"&gt;="&amp;DATE(年度,3,1),出库明细!$B$4:$B$3003,"&lt;"&amp;DATE(年度,3+1,1)))</f>
        <v>0</v>
      </c>
      <c r="AL67" s="186">
        <f>AK67*AJ67</f>
        <v>0</v>
      </c>
      <c r="AM67" s="220">
        <f>_辅助!BO65</f>
        <v>0</v>
      </c>
      <c r="AN67" s="186">
        <f>_辅助!AE65</f>
        <v>0</v>
      </c>
      <c r="AO67" s="221">
        <f>AH67-AK67-AM67</f>
        <v>0</v>
      </c>
      <c r="AP67" s="187">
        <f>AI67-AL67-AN67</f>
        <v>0</v>
      </c>
      <c r="AQ67" s="236">
        <f>IF(AND(AH67&gt;0,AI67&gt;0),0,AL67)</f>
        <v>0</v>
      </c>
      <c r="AR67" s="220">
        <f>IF($B67="",0,SUMIFS(采购进货!$E$4:$E$1503,采购进货!$D$4:$D$1503,$B67,采购进货!$B$4:$B$1503,"&gt;="&amp;DATE(年度,4,1),采购进货!$B$4:$B$1503,"&lt;"&amp;DATE(年度,4+1,1))+SUMIFS(采购进货!$H$4:$H$1503,采购进货!$D$4:$D$1503,$B67,采购进货!$B$4:$B$1503,"&gt;="&amp;DATE(年度,4,1),采购进货!$B$4:$B$1503,"&lt;"&amp;DATE(年度,4+1,1)))</f>
        <v>0</v>
      </c>
      <c r="AS67" s="186">
        <f>IF($B67="",0,SUMIFS(采购进货!$G$4:$G$1503,采购进货!$D$4:$D$1503,$B67,采购进货!$B$4:$B$1503,"&gt;="&amp;DATE(年度,4,1),采购进货!$B$4:$B$1503,"&lt;"&amp;DATE(年度,4+1,1)))</f>
        <v>0</v>
      </c>
      <c r="AT67" s="234">
        <f>AO67+AR67</f>
        <v>0</v>
      </c>
      <c r="AU67" s="235">
        <f>AP67+AS67</f>
        <v>0</v>
      </c>
      <c r="AV67" s="222">
        <f>IF(AND(AT67&gt;0,AU67&gt;0),AU67/AT67,N($E67))</f>
        <v>0</v>
      </c>
      <c r="AW67" s="220">
        <f>IF($B67="",0,SUMIFS(出库明细!$E$4:$E$3003,出库明细!$D$4:$D$3003,$B67,出库明细!$B$4:$B$3003,"&gt;="&amp;DATE(年度,4,1),出库明细!$B$4:$B$3003,"&lt;"&amp;DATE(年度,4+1,1)))</f>
        <v>0</v>
      </c>
      <c r="AX67" s="186">
        <f>AW67*AV67</f>
        <v>0</v>
      </c>
      <c r="AY67" s="220">
        <f>_辅助!BP65</f>
        <v>0</v>
      </c>
      <c r="AZ67" s="186">
        <f>_辅助!AF65</f>
        <v>0</v>
      </c>
      <c r="BA67" s="221">
        <f>AT67-AW67-AY67</f>
        <v>0</v>
      </c>
      <c r="BB67" s="187">
        <f>AU67-AX67-AZ67</f>
        <v>0</v>
      </c>
      <c r="BC67" s="236">
        <f>IF(AND(AT67&gt;0,AU67&gt;0),0,AX67)</f>
        <v>0</v>
      </c>
      <c r="BD67" s="220">
        <f>IF($B67="",0,SUMIFS(采购进货!$E$4:$E$1503,采购进货!$D$4:$D$1503,$B67,采购进货!$B$4:$B$1503,"&gt;="&amp;DATE(年度,5,1),采购进货!$B$4:$B$1503,"&lt;"&amp;DATE(年度,5+1,1))+SUMIFS(采购进货!$H$4:$H$1503,采购进货!$D$4:$D$1503,$B67,采购进货!$B$4:$B$1503,"&gt;="&amp;DATE(年度,5,1),采购进货!$B$4:$B$1503,"&lt;"&amp;DATE(年度,5+1,1)))</f>
        <v>0</v>
      </c>
      <c r="BE67" s="186">
        <f>IF($B67="",0,SUMIFS(采购进货!$G$4:$G$1503,采购进货!$D$4:$D$1503,$B67,采购进货!$B$4:$B$1503,"&gt;="&amp;DATE(年度,5,1),采购进货!$B$4:$B$1503,"&lt;"&amp;DATE(年度,5+1,1)))</f>
        <v>0</v>
      </c>
      <c r="BF67" s="234">
        <f>BA67+BD67</f>
        <v>0</v>
      </c>
      <c r="BG67" s="235">
        <f>BB67+BE67</f>
        <v>0</v>
      </c>
      <c r="BH67" s="222">
        <f>IF(AND(BF67&gt;0,BG67&gt;0),BG67/BF67,N($E67))</f>
        <v>0</v>
      </c>
      <c r="BI67" s="220">
        <f>IF($B67="",0,SUMIFS(出库明细!$E$4:$E$3003,出库明细!$D$4:$D$3003,$B67,出库明细!$B$4:$B$3003,"&gt;="&amp;DATE(年度,5,1),出库明细!$B$4:$B$3003,"&lt;"&amp;DATE(年度,5+1,1)))</f>
        <v>0</v>
      </c>
      <c r="BJ67" s="186">
        <f>BI67*BH67</f>
        <v>0</v>
      </c>
      <c r="BK67" s="220">
        <f>_辅助!BQ65</f>
        <v>0</v>
      </c>
      <c r="BL67" s="186">
        <f>_辅助!AG65</f>
        <v>0</v>
      </c>
      <c r="BM67" s="221">
        <f>BF67-BI67-BK67</f>
        <v>0</v>
      </c>
      <c r="BN67" s="187">
        <f>BG67-BJ67-BL67</f>
        <v>0</v>
      </c>
      <c r="BO67" s="236">
        <f>IF(AND(BF67&gt;0,BG67&gt;0),0,BJ67)</f>
        <v>0</v>
      </c>
      <c r="BP67" s="220">
        <f>IF($B67="",0,SUMIFS(采购进货!$E$4:$E$1503,采购进货!$D$4:$D$1503,$B67,采购进货!$B$4:$B$1503,"&gt;="&amp;DATE(年度,6,1),采购进货!$B$4:$B$1503,"&lt;"&amp;DATE(年度,6+1,1))+SUMIFS(采购进货!$H$4:$H$1503,采购进货!$D$4:$D$1503,$B67,采购进货!$B$4:$B$1503,"&gt;="&amp;DATE(年度,6,1),采购进货!$B$4:$B$1503,"&lt;"&amp;DATE(年度,6+1,1)))</f>
        <v>0</v>
      </c>
      <c r="BQ67" s="186">
        <f>IF($B67="",0,SUMIFS(采购进货!$G$4:$G$1503,采购进货!$D$4:$D$1503,$B67,采购进货!$B$4:$B$1503,"&gt;="&amp;DATE(年度,6,1),采购进货!$B$4:$B$1503,"&lt;"&amp;DATE(年度,6+1,1)))</f>
        <v>0</v>
      </c>
      <c r="BR67" s="234">
        <f>BM67+BP67</f>
        <v>0</v>
      </c>
      <c r="BS67" s="235">
        <f>BN67+BQ67</f>
        <v>0</v>
      </c>
      <c r="BT67" s="222">
        <f>IF(AND(BR67&gt;0,BS67&gt;0),BS67/BR67,N($E67))</f>
        <v>0</v>
      </c>
      <c r="BU67" s="220">
        <f>IF($B67="",0,SUMIFS(出库明细!$E$4:$E$3003,出库明细!$D$4:$D$3003,$B67,出库明细!$B$4:$B$3003,"&gt;="&amp;DATE(年度,6,1),出库明细!$B$4:$B$3003,"&lt;"&amp;DATE(年度,6+1,1)))</f>
        <v>0</v>
      </c>
      <c r="BV67" s="186">
        <f>BU67*BT67</f>
        <v>0</v>
      </c>
      <c r="BW67" s="220">
        <f>_辅助!BR65</f>
        <v>0</v>
      </c>
      <c r="BX67" s="186">
        <f>_辅助!AH65</f>
        <v>0</v>
      </c>
      <c r="BY67" s="221">
        <f>BR67-BU67-BW67</f>
        <v>0</v>
      </c>
      <c r="BZ67" s="187">
        <f>BS67-BV67-BX67</f>
        <v>0</v>
      </c>
      <c r="CA67" s="236">
        <f>IF(AND(BR67&gt;0,BS67&gt;0),0,BV67)</f>
        <v>0</v>
      </c>
      <c r="CB67" s="220">
        <f>IF($B67="",0,SUMIFS(采购进货!$E$4:$E$1503,采购进货!$D$4:$D$1503,$B67,采购进货!$B$4:$B$1503,"&gt;="&amp;DATE(年度,7,1),采购进货!$B$4:$B$1503,"&lt;"&amp;DATE(年度,7+1,1))+SUMIFS(采购进货!$H$4:$H$1503,采购进货!$D$4:$D$1503,$B67,采购进货!$B$4:$B$1503,"&gt;="&amp;DATE(年度,7,1),采购进货!$B$4:$B$1503,"&lt;"&amp;DATE(年度,7+1,1)))</f>
        <v>0</v>
      </c>
      <c r="CC67" s="186">
        <f>IF($B67="",0,SUMIFS(采购进货!$G$4:$G$1503,采购进货!$D$4:$D$1503,$B67,采购进货!$B$4:$B$1503,"&gt;="&amp;DATE(年度,7,1),采购进货!$B$4:$B$1503,"&lt;"&amp;DATE(年度,7+1,1)))</f>
        <v>0</v>
      </c>
      <c r="CD67" s="234">
        <f>BY67+CB67</f>
        <v>0</v>
      </c>
      <c r="CE67" s="235">
        <f>BZ67+CC67</f>
        <v>0</v>
      </c>
      <c r="CF67" s="222">
        <f>IF(AND(CD67&gt;0,CE67&gt;0),CE67/CD67,N($E67))</f>
        <v>0</v>
      </c>
      <c r="CG67" s="220">
        <f>IF($B67="",0,SUMIFS(出库明细!$E$4:$E$3003,出库明细!$D$4:$D$3003,$B67,出库明细!$B$4:$B$3003,"&gt;="&amp;DATE(年度,7,1),出库明细!$B$4:$B$3003,"&lt;"&amp;DATE(年度,7+1,1)))</f>
        <v>0</v>
      </c>
      <c r="CH67" s="186">
        <f>CG67*CF67</f>
        <v>0</v>
      </c>
      <c r="CI67" s="220">
        <f>_辅助!BS65</f>
        <v>0</v>
      </c>
      <c r="CJ67" s="186">
        <f>_辅助!AI65</f>
        <v>0</v>
      </c>
      <c r="CK67" s="221">
        <f>CD67-CG67-CI67</f>
        <v>0</v>
      </c>
      <c r="CL67" s="187">
        <f>CE67-CH67-CJ67</f>
        <v>0</v>
      </c>
      <c r="CM67" s="236">
        <f>IF(AND(CD67&gt;0,CE67&gt;0),0,CH67)</f>
        <v>0</v>
      </c>
      <c r="CN67" s="220">
        <f>IF($B67="",0,SUMIFS(采购进货!$E$4:$E$1503,采购进货!$D$4:$D$1503,$B67,采购进货!$B$4:$B$1503,"&gt;="&amp;DATE(年度,8,1),采购进货!$B$4:$B$1503,"&lt;"&amp;DATE(年度,8+1,1))+SUMIFS(采购进货!$H$4:$H$1503,采购进货!$D$4:$D$1503,$B67,采购进货!$B$4:$B$1503,"&gt;="&amp;DATE(年度,8,1),采购进货!$B$4:$B$1503,"&lt;"&amp;DATE(年度,8+1,1)))</f>
        <v>0</v>
      </c>
      <c r="CO67" s="186">
        <f>IF($B67="",0,SUMIFS(采购进货!$G$4:$G$1503,采购进货!$D$4:$D$1503,$B67,采购进货!$B$4:$B$1503,"&gt;="&amp;DATE(年度,8,1),采购进货!$B$4:$B$1503,"&lt;"&amp;DATE(年度,8+1,1)))</f>
        <v>0</v>
      </c>
      <c r="CP67" s="234">
        <f>CK67+CN67</f>
        <v>0</v>
      </c>
      <c r="CQ67" s="235">
        <f>CL67+CO67</f>
        <v>0</v>
      </c>
      <c r="CR67" s="222">
        <f>IF(AND(CP67&gt;0,CQ67&gt;0),CQ67/CP67,N($E67))</f>
        <v>0</v>
      </c>
      <c r="CS67" s="220">
        <f>IF($B67="",0,SUMIFS(出库明细!$E$4:$E$3003,出库明细!$D$4:$D$3003,$B67,出库明细!$B$4:$B$3003,"&gt;="&amp;DATE(年度,8,1),出库明细!$B$4:$B$3003,"&lt;"&amp;DATE(年度,8+1,1)))</f>
        <v>0</v>
      </c>
      <c r="CT67" s="186">
        <f>CS67*CR67</f>
        <v>0</v>
      </c>
      <c r="CU67" s="220">
        <f>_辅助!BT65</f>
        <v>0</v>
      </c>
      <c r="CV67" s="186">
        <f>_辅助!AJ65</f>
        <v>0</v>
      </c>
      <c r="CW67" s="221">
        <f>CP67-CS67-CU67</f>
        <v>0</v>
      </c>
      <c r="CX67" s="187">
        <f>CQ67-CT67-CV67</f>
        <v>0</v>
      </c>
      <c r="CY67" s="236">
        <f>IF(AND(CP67&gt;0,CQ67&gt;0),0,CT67)</f>
        <v>0</v>
      </c>
      <c r="CZ67" s="220">
        <f>IF($B67="",0,SUMIFS(采购进货!$E$4:$E$1503,采购进货!$D$4:$D$1503,$B67,采购进货!$B$4:$B$1503,"&gt;="&amp;DATE(年度,9,1),采购进货!$B$4:$B$1503,"&lt;"&amp;DATE(年度,9+1,1))+SUMIFS(采购进货!$H$4:$H$1503,采购进货!$D$4:$D$1503,$B67,采购进货!$B$4:$B$1503,"&gt;="&amp;DATE(年度,9,1),采购进货!$B$4:$B$1503,"&lt;"&amp;DATE(年度,9+1,1)))</f>
        <v>0</v>
      </c>
      <c r="DA67" s="186">
        <f>IF($B67="",0,SUMIFS(采购进货!$G$4:$G$1503,采购进货!$D$4:$D$1503,$B67,采购进货!$B$4:$B$1503,"&gt;="&amp;DATE(年度,9,1),采购进货!$B$4:$B$1503,"&lt;"&amp;DATE(年度,9+1,1)))</f>
        <v>0</v>
      </c>
      <c r="DB67" s="234">
        <f>CW67+CZ67</f>
        <v>0</v>
      </c>
      <c r="DC67" s="235">
        <f>CX67+DA67</f>
        <v>0</v>
      </c>
      <c r="DD67" s="222">
        <f>IF(AND(DB67&gt;0,DC67&gt;0),DC67/DB67,N($E67))</f>
        <v>0</v>
      </c>
      <c r="DE67" s="220">
        <f>IF($B67="",0,SUMIFS(出库明细!$E$4:$E$3003,出库明细!$D$4:$D$3003,$B67,出库明细!$B$4:$B$3003,"&gt;="&amp;DATE(年度,9,1),出库明细!$B$4:$B$3003,"&lt;"&amp;DATE(年度,9+1,1)))</f>
        <v>0</v>
      </c>
      <c r="DF67" s="186">
        <f>DE67*DD67</f>
        <v>0</v>
      </c>
      <c r="DG67" s="220">
        <f>_辅助!BU65</f>
        <v>0</v>
      </c>
      <c r="DH67" s="186">
        <f>_辅助!AK65</f>
        <v>0</v>
      </c>
      <c r="DI67" s="221">
        <f>DB67-DE67-DG67</f>
        <v>0</v>
      </c>
      <c r="DJ67" s="187">
        <f>DC67-DF67-DH67</f>
        <v>0</v>
      </c>
      <c r="DK67" s="236">
        <f>IF(AND(DB67&gt;0,DC67&gt;0),0,DF67)</f>
        <v>0</v>
      </c>
      <c r="DL67" s="220">
        <f>IF($B67="",0,SUMIFS(采购进货!$E$4:$E$1503,采购进货!$D$4:$D$1503,$B67,采购进货!$B$4:$B$1503,"&gt;="&amp;DATE(年度,10,1),采购进货!$B$4:$B$1503,"&lt;"&amp;DATE(年度,10+1,1))+SUMIFS(采购进货!$H$4:$H$1503,采购进货!$D$4:$D$1503,$B67,采购进货!$B$4:$B$1503,"&gt;="&amp;DATE(年度,10,1),采购进货!$B$4:$B$1503,"&lt;"&amp;DATE(年度,10+1,1)))</f>
        <v>0</v>
      </c>
      <c r="DM67" s="186">
        <f>IF($B67="",0,SUMIFS(采购进货!$G$4:$G$1503,采购进货!$D$4:$D$1503,$B67,采购进货!$B$4:$B$1503,"&gt;="&amp;DATE(年度,10,1),采购进货!$B$4:$B$1503,"&lt;"&amp;DATE(年度,10+1,1)))</f>
        <v>0</v>
      </c>
      <c r="DN67" s="234">
        <f>DI67+DL67</f>
        <v>0</v>
      </c>
      <c r="DO67" s="235">
        <f>DJ67+DM67</f>
        <v>0</v>
      </c>
      <c r="DP67" s="222">
        <f>IF(AND(DN67&gt;0,DO67&gt;0),DO67/DN67,N($E67))</f>
        <v>0</v>
      </c>
      <c r="DQ67" s="220">
        <f>IF($B67="",0,SUMIFS(出库明细!$E$4:$E$3003,出库明细!$D$4:$D$3003,$B67,出库明细!$B$4:$B$3003,"&gt;="&amp;DATE(年度,10,1),出库明细!$B$4:$B$3003,"&lt;"&amp;DATE(年度,10+1,1)))</f>
        <v>0</v>
      </c>
      <c r="DR67" s="186">
        <f>DQ67*DP67</f>
        <v>0</v>
      </c>
      <c r="DS67" s="220">
        <f>_辅助!BV65</f>
        <v>0</v>
      </c>
      <c r="DT67" s="186">
        <f>_辅助!AL65</f>
        <v>0</v>
      </c>
      <c r="DU67" s="221">
        <f>DN67-DQ67-DS67</f>
        <v>0</v>
      </c>
      <c r="DV67" s="187">
        <f>DO67-DR67-DT67</f>
        <v>0</v>
      </c>
      <c r="DW67" s="236">
        <f>IF(AND(DN67&gt;0,DO67&gt;0),0,DR67)</f>
        <v>0</v>
      </c>
      <c r="DX67" s="220">
        <f>IF($B67="",0,SUMIFS(采购进货!$E$4:$E$1503,采购进货!$D$4:$D$1503,$B67,采购进货!$B$4:$B$1503,"&gt;="&amp;DATE(年度,11,1),采购进货!$B$4:$B$1503,"&lt;"&amp;DATE(年度,11+1,1))+SUMIFS(采购进货!$H$4:$H$1503,采购进货!$D$4:$D$1503,$B67,采购进货!$B$4:$B$1503,"&gt;="&amp;DATE(年度,11,1),采购进货!$B$4:$B$1503,"&lt;"&amp;DATE(年度,11+1,1)))</f>
        <v>0</v>
      </c>
      <c r="DY67" s="186">
        <f>IF($B67="",0,SUMIFS(采购进货!$G$4:$G$1503,采购进货!$D$4:$D$1503,$B67,采购进货!$B$4:$B$1503,"&gt;="&amp;DATE(年度,11,1),采购进货!$B$4:$B$1503,"&lt;"&amp;DATE(年度,11+1,1)))</f>
        <v>0</v>
      </c>
      <c r="DZ67" s="234">
        <f>DU67+DX67</f>
        <v>0</v>
      </c>
      <c r="EA67" s="235">
        <f>DV67+DY67</f>
        <v>0</v>
      </c>
      <c r="EB67" s="222">
        <f>IF(AND(DZ67&gt;0,EA67&gt;0),EA67/DZ67,N($E67))</f>
        <v>0</v>
      </c>
      <c r="EC67" s="220">
        <f>IF($B67="",0,SUMIFS(出库明细!$E$4:$E$3003,出库明细!$D$4:$D$3003,$B67,出库明细!$B$4:$B$3003,"&gt;="&amp;DATE(年度,11,1),出库明细!$B$4:$B$3003,"&lt;"&amp;DATE(年度,11+1,1)))</f>
        <v>0</v>
      </c>
      <c r="ED67" s="186">
        <f>EC67*EB67</f>
        <v>0</v>
      </c>
      <c r="EE67" s="220">
        <f>_辅助!BW65</f>
        <v>0</v>
      </c>
      <c r="EF67" s="186">
        <f>_辅助!AM65</f>
        <v>0</v>
      </c>
      <c r="EG67" s="221">
        <f>DZ67-EC67-EE67</f>
        <v>0</v>
      </c>
      <c r="EH67" s="187">
        <f>EA67-ED67-EF67</f>
        <v>0</v>
      </c>
      <c r="EI67" s="236">
        <f>IF(AND(DZ67&gt;0,EA67&gt;0),0,ED67)</f>
        <v>0</v>
      </c>
      <c r="EJ67" s="220">
        <f>IF($B67="",0,SUMIFS(采购进货!$E$4:$E$1503,采购进货!$D$4:$D$1503,$B67,采购进货!$B$4:$B$1503,"&gt;="&amp;DATE(年度,12,1),采购进货!$B$4:$B$1503,"&lt;"&amp;DATE(年度,12+1,1))+SUMIFS(采购进货!$H$4:$H$1503,采购进货!$D$4:$D$1503,$B67,采购进货!$B$4:$B$1503,"&gt;="&amp;DATE(年度,12,1),采购进货!$B$4:$B$1503,"&lt;"&amp;DATE(年度,12+1,1)))</f>
        <v>0</v>
      </c>
      <c r="EK67" s="186">
        <f>IF($B67="",0,SUMIFS(采购进货!$G$4:$G$1503,采购进货!$D$4:$D$1503,$B67,采购进货!$B$4:$B$1503,"&gt;="&amp;DATE(年度,12,1),采购进货!$B$4:$B$1503,"&lt;"&amp;DATE(年度,12+1,1)))</f>
        <v>0</v>
      </c>
      <c r="EL67" s="234">
        <f>EG67+EJ67</f>
        <v>0</v>
      </c>
      <c r="EM67" s="235">
        <f>EH67+EK67</f>
        <v>0</v>
      </c>
      <c r="EN67" s="222">
        <f>IF(AND(EL67&gt;0,EM67&gt;0),EM67/EL67,N($E67))</f>
        <v>0</v>
      </c>
      <c r="EO67" s="220">
        <f>IF($B67="",0,SUMIFS(出库明细!$E$4:$E$3003,出库明细!$D$4:$D$3003,$B67,出库明细!$B$4:$B$3003,"&gt;="&amp;DATE(年度,12,1),出库明细!$B$4:$B$3003,"&lt;"&amp;DATE(年度,12+1,1)))</f>
        <v>0</v>
      </c>
      <c r="EP67" s="186">
        <f>EO67*EN67</f>
        <v>0</v>
      </c>
      <c r="EQ67" s="220">
        <f>_辅助!BX65</f>
        <v>0</v>
      </c>
      <c r="ER67" s="186">
        <f>_辅助!AN65</f>
        <v>0</v>
      </c>
      <c r="ES67" s="221">
        <f>EL67-EO67-EQ67</f>
        <v>0</v>
      </c>
      <c r="ET67" s="187">
        <f>EM67-EP67-ER67</f>
        <v>0</v>
      </c>
      <c r="EU67" s="236">
        <f>IF(AND(EL67&gt;0,EM67&gt;0),0,EP67)</f>
        <v>0</v>
      </c>
    </row>
    <row r="68">
      <c r="A68" s="194">
        <f>IF(B68="","",ROW()-7)</f>
      </c>
      <c r="B68" s="141">
        <f>IF(基础资料!E65="","",基础资料!E65&amp;"")</f>
      </c>
      <c r="C68" s="230">
        <f>IF(基础资料!G65="","",基础资料!G65&amp;"")</f>
      </c>
      <c r="D68" s="194">
        <f>IF(基础资料!I65="","",基础资料!I65)</f>
      </c>
      <c r="E68" s="231">
        <f>IF(基础资料!J65="","",基础资料!J65)</f>
      </c>
      <c r="F68" s="232">
        <f>N(基础资料!L65)</f>
        <v>0</v>
      </c>
      <c r="G68" s="233">
        <f>IF(基础资料!N65="",0,基础资料!N65)</f>
        <v>0</v>
      </c>
      <c r="H68" s="220">
        <f>IF($B68="",0,SUMIFS(采购进货!$E$4:$E$1503,采购进货!$D$4:$D$1503,$B68,采购进货!$B$4:$B$1503,"&gt;="&amp;DATE(年度,1,1),采购进货!$B$4:$B$1503,"&lt;"&amp;DATE(年度,1+1,1))+SUMIFS(采购进货!$H$4:$H$1503,采购进货!$D$4:$D$1503,$B68,采购进货!$B$4:$B$1503,"&gt;="&amp;DATE(年度,1,1),采购进货!$B$4:$B$1503,"&lt;"&amp;DATE(年度,1+1,1)))</f>
        <v>0</v>
      </c>
      <c r="I68" s="186">
        <f>IF($B68="",0,SUMIFS(采购进货!$G$4:$G$1503,采购进货!$D$4:$D$1503,$B68,采购进货!$B$4:$B$1503,"&gt;="&amp;DATE(年度,1,1),采购进货!$B$4:$B$1503,"&lt;"&amp;DATE(年度,1+1,1)))</f>
        <v>0</v>
      </c>
      <c r="J68" s="234">
        <f>F68+H68</f>
        <v>0</v>
      </c>
      <c r="K68" s="235">
        <f>G68+I68</f>
        <v>0</v>
      </c>
      <c r="L68" s="222">
        <f>IF(AND(J68&gt;0,K68&gt;0),K68/J68,N($E68))</f>
        <v>0</v>
      </c>
      <c r="M68" s="220">
        <f>IF($B68="",0,SUMIFS(出库明细!$E$4:$E$3003,出库明细!$D$4:$D$3003,$B68,出库明细!$B$4:$B$3003,"&gt;="&amp;DATE(年度,1,1),出库明细!$B$4:$B$3003,"&lt;"&amp;DATE(年度,1+1,1)))</f>
        <v>0</v>
      </c>
      <c r="N68" s="186">
        <f>M68*L68</f>
        <v>0</v>
      </c>
      <c r="O68" s="220">
        <f>_辅助!BM66</f>
        <v>0</v>
      </c>
      <c r="P68" s="186">
        <f>_辅助!AC66</f>
        <v>0</v>
      </c>
      <c r="Q68" s="221">
        <f>J68-M68-O68</f>
        <v>0</v>
      </c>
      <c r="R68" s="187">
        <f>K68-N68-P68</f>
        <v>0</v>
      </c>
      <c r="S68" s="236">
        <f>IF(AND(J68&gt;0,K68&gt;0),0,N68)</f>
        <v>0</v>
      </c>
      <c r="T68" s="220">
        <f>IF($B68="",0,SUMIFS(采购进货!$E$4:$E$1503,采购进货!$D$4:$D$1503,$B68,采购进货!$B$4:$B$1503,"&gt;="&amp;DATE(年度,2,1),采购进货!$B$4:$B$1503,"&lt;"&amp;DATE(年度,2+1,1))+SUMIFS(采购进货!$H$4:$H$1503,采购进货!$D$4:$D$1503,$B68,采购进货!$B$4:$B$1503,"&gt;="&amp;DATE(年度,2,1),采购进货!$B$4:$B$1503,"&lt;"&amp;DATE(年度,2+1,1)))</f>
        <v>0</v>
      </c>
      <c r="U68" s="186">
        <f>IF($B68="",0,SUMIFS(采购进货!$G$4:$G$1503,采购进货!$D$4:$D$1503,$B68,采购进货!$B$4:$B$1503,"&gt;="&amp;DATE(年度,2,1),采购进货!$B$4:$B$1503,"&lt;"&amp;DATE(年度,2+1,1)))</f>
        <v>0</v>
      </c>
      <c r="V68" s="234">
        <f>Q68+T68</f>
        <v>0</v>
      </c>
      <c r="W68" s="235">
        <f>R68+U68</f>
        <v>0</v>
      </c>
      <c r="X68" s="222">
        <f>IF(AND(V68&gt;0,W68&gt;0),W68/V68,N($E68))</f>
        <v>0</v>
      </c>
      <c r="Y68" s="220">
        <f>IF($B68="",0,SUMIFS(出库明细!$E$4:$E$3003,出库明细!$D$4:$D$3003,$B68,出库明细!$B$4:$B$3003,"&gt;="&amp;DATE(年度,2,1),出库明细!$B$4:$B$3003,"&lt;"&amp;DATE(年度,2+1,1)))</f>
        <v>0</v>
      </c>
      <c r="Z68" s="186">
        <f>Y68*X68</f>
        <v>0</v>
      </c>
      <c r="AA68" s="220">
        <f>_辅助!BN66</f>
        <v>0</v>
      </c>
      <c r="AB68" s="186">
        <f>_辅助!AD66</f>
        <v>0</v>
      </c>
      <c r="AC68" s="221">
        <f>V68-Y68-AA68</f>
        <v>0</v>
      </c>
      <c r="AD68" s="187">
        <f>W68-Z68-AB68</f>
        <v>0</v>
      </c>
      <c r="AE68" s="236">
        <f>IF(AND(V68&gt;0,W68&gt;0),0,Z68)</f>
        <v>0</v>
      </c>
      <c r="AF68" s="220">
        <f>IF($B68="",0,SUMIFS(采购进货!$E$4:$E$1503,采购进货!$D$4:$D$1503,$B68,采购进货!$B$4:$B$1503,"&gt;="&amp;DATE(年度,3,1),采购进货!$B$4:$B$1503,"&lt;"&amp;DATE(年度,3+1,1))+SUMIFS(采购进货!$H$4:$H$1503,采购进货!$D$4:$D$1503,$B68,采购进货!$B$4:$B$1503,"&gt;="&amp;DATE(年度,3,1),采购进货!$B$4:$B$1503,"&lt;"&amp;DATE(年度,3+1,1)))</f>
        <v>0</v>
      </c>
      <c r="AG68" s="186">
        <f>IF($B68="",0,SUMIFS(采购进货!$G$4:$G$1503,采购进货!$D$4:$D$1503,$B68,采购进货!$B$4:$B$1503,"&gt;="&amp;DATE(年度,3,1),采购进货!$B$4:$B$1503,"&lt;"&amp;DATE(年度,3+1,1)))</f>
        <v>0</v>
      </c>
      <c r="AH68" s="234">
        <f>AC68+AF68</f>
        <v>0</v>
      </c>
      <c r="AI68" s="235">
        <f>AD68+AG68</f>
        <v>0</v>
      </c>
      <c r="AJ68" s="222">
        <f>IF(AND(AH68&gt;0,AI68&gt;0),AI68/AH68,N($E68))</f>
        <v>0</v>
      </c>
      <c r="AK68" s="220">
        <f>IF($B68="",0,SUMIFS(出库明细!$E$4:$E$3003,出库明细!$D$4:$D$3003,$B68,出库明细!$B$4:$B$3003,"&gt;="&amp;DATE(年度,3,1),出库明细!$B$4:$B$3003,"&lt;"&amp;DATE(年度,3+1,1)))</f>
        <v>0</v>
      </c>
      <c r="AL68" s="186">
        <f>AK68*AJ68</f>
        <v>0</v>
      </c>
      <c r="AM68" s="220">
        <f>_辅助!BO66</f>
        <v>0</v>
      </c>
      <c r="AN68" s="186">
        <f>_辅助!AE66</f>
        <v>0</v>
      </c>
      <c r="AO68" s="221">
        <f>AH68-AK68-AM68</f>
        <v>0</v>
      </c>
      <c r="AP68" s="187">
        <f>AI68-AL68-AN68</f>
        <v>0</v>
      </c>
      <c r="AQ68" s="236">
        <f>IF(AND(AH68&gt;0,AI68&gt;0),0,AL68)</f>
        <v>0</v>
      </c>
      <c r="AR68" s="220">
        <f>IF($B68="",0,SUMIFS(采购进货!$E$4:$E$1503,采购进货!$D$4:$D$1503,$B68,采购进货!$B$4:$B$1503,"&gt;="&amp;DATE(年度,4,1),采购进货!$B$4:$B$1503,"&lt;"&amp;DATE(年度,4+1,1))+SUMIFS(采购进货!$H$4:$H$1503,采购进货!$D$4:$D$1503,$B68,采购进货!$B$4:$B$1503,"&gt;="&amp;DATE(年度,4,1),采购进货!$B$4:$B$1503,"&lt;"&amp;DATE(年度,4+1,1)))</f>
        <v>0</v>
      </c>
      <c r="AS68" s="186">
        <f>IF($B68="",0,SUMIFS(采购进货!$G$4:$G$1503,采购进货!$D$4:$D$1503,$B68,采购进货!$B$4:$B$1503,"&gt;="&amp;DATE(年度,4,1),采购进货!$B$4:$B$1503,"&lt;"&amp;DATE(年度,4+1,1)))</f>
        <v>0</v>
      </c>
      <c r="AT68" s="234">
        <f>AO68+AR68</f>
        <v>0</v>
      </c>
      <c r="AU68" s="235">
        <f>AP68+AS68</f>
        <v>0</v>
      </c>
      <c r="AV68" s="222">
        <f>IF(AND(AT68&gt;0,AU68&gt;0),AU68/AT68,N($E68))</f>
        <v>0</v>
      </c>
      <c r="AW68" s="220">
        <f>IF($B68="",0,SUMIFS(出库明细!$E$4:$E$3003,出库明细!$D$4:$D$3003,$B68,出库明细!$B$4:$B$3003,"&gt;="&amp;DATE(年度,4,1),出库明细!$B$4:$B$3003,"&lt;"&amp;DATE(年度,4+1,1)))</f>
        <v>0</v>
      </c>
      <c r="AX68" s="186">
        <f>AW68*AV68</f>
        <v>0</v>
      </c>
      <c r="AY68" s="220">
        <f>_辅助!BP66</f>
        <v>0</v>
      </c>
      <c r="AZ68" s="186">
        <f>_辅助!AF66</f>
        <v>0</v>
      </c>
      <c r="BA68" s="221">
        <f>AT68-AW68-AY68</f>
        <v>0</v>
      </c>
      <c r="BB68" s="187">
        <f>AU68-AX68-AZ68</f>
        <v>0</v>
      </c>
      <c r="BC68" s="236">
        <f>IF(AND(AT68&gt;0,AU68&gt;0),0,AX68)</f>
        <v>0</v>
      </c>
      <c r="BD68" s="220">
        <f>IF($B68="",0,SUMIFS(采购进货!$E$4:$E$1503,采购进货!$D$4:$D$1503,$B68,采购进货!$B$4:$B$1503,"&gt;="&amp;DATE(年度,5,1),采购进货!$B$4:$B$1503,"&lt;"&amp;DATE(年度,5+1,1))+SUMIFS(采购进货!$H$4:$H$1503,采购进货!$D$4:$D$1503,$B68,采购进货!$B$4:$B$1503,"&gt;="&amp;DATE(年度,5,1),采购进货!$B$4:$B$1503,"&lt;"&amp;DATE(年度,5+1,1)))</f>
        <v>0</v>
      </c>
      <c r="BE68" s="186">
        <f>IF($B68="",0,SUMIFS(采购进货!$G$4:$G$1503,采购进货!$D$4:$D$1503,$B68,采购进货!$B$4:$B$1503,"&gt;="&amp;DATE(年度,5,1),采购进货!$B$4:$B$1503,"&lt;"&amp;DATE(年度,5+1,1)))</f>
        <v>0</v>
      </c>
      <c r="BF68" s="234">
        <f>BA68+BD68</f>
        <v>0</v>
      </c>
      <c r="BG68" s="235">
        <f>BB68+BE68</f>
        <v>0</v>
      </c>
      <c r="BH68" s="222">
        <f>IF(AND(BF68&gt;0,BG68&gt;0),BG68/BF68,N($E68))</f>
        <v>0</v>
      </c>
      <c r="BI68" s="220">
        <f>IF($B68="",0,SUMIFS(出库明细!$E$4:$E$3003,出库明细!$D$4:$D$3003,$B68,出库明细!$B$4:$B$3003,"&gt;="&amp;DATE(年度,5,1),出库明细!$B$4:$B$3003,"&lt;"&amp;DATE(年度,5+1,1)))</f>
        <v>0</v>
      </c>
      <c r="BJ68" s="186">
        <f>BI68*BH68</f>
        <v>0</v>
      </c>
      <c r="BK68" s="220">
        <f>_辅助!BQ66</f>
        <v>0</v>
      </c>
      <c r="BL68" s="186">
        <f>_辅助!AG66</f>
        <v>0</v>
      </c>
      <c r="BM68" s="221">
        <f>BF68-BI68-BK68</f>
        <v>0</v>
      </c>
      <c r="BN68" s="187">
        <f>BG68-BJ68-BL68</f>
        <v>0</v>
      </c>
      <c r="BO68" s="236">
        <f>IF(AND(BF68&gt;0,BG68&gt;0),0,BJ68)</f>
        <v>0</v>
      </c>
      <c r="BP68" s="220">
        <f>IF($B68="",0,SUMIFS(采购进货!$E$4:$E$1503,采购进货!$D$4:$D$1503,$B68,采购进货!$B$4:$B$1503,"&gt;="&amp;DATE(年度,6,1),采购进货!$B$4:$B$1503,"&lt;"&amp;DATE(年度,6+1,1))+SUMIFS(采购进货!$H$4:$H$1503,采购进货!$D$4:$D$1503,$B68,采购进货!$B$4:$B$1503,"&gt;="&amp;DATE(年度,6,1),采购进货!$B$4:$B$1503,"&lt;"&amp;DATE(年度,6+1,1)))</f>
        <v>0</v>
      </c>
      <c r="BQ68" s="186">
        <f>IF($B68="",0,SUMIFS(采购进货!$G$4:$G$1503,采购进货!$D$4:$D$1503,$B68,采购进货!$B$4:$B$1503,"&gt;="&amp;DATE(年度,6,1),采购进货!$B$4:$B$1503,"&lt;"&amp;DATE(年度,6+1,1)))</f>
        <v>0</v>
      </c>
      <c r="BR68" s="234">
        <f>BM68+BP68</f>
        <v>0</v>
      </c>
      <c r="BS68" s="235">
        <f>BN68+BQ68</f>
        <v>0</v>
      </c>
      <c r="BT68" s="222">
        <f>IF(AND(BR68&gt;0,BS68&gt;0),BS68/BR68,N($E68))</f>
        <v>0</v>
      </c>
      <c r="BU68" s="220">
        <f>IF($B68="",0,SUMIFS(出库明细!$E$4:$E$3003,出库明细!$D$4:$D$3003,$B68,出库明细!$B$4:$B$3003,"&gt;="&amp;DATE(年度,6,1),出库明细!$B$4:$B$3003,"&lt;"&amp;DATE(年度,6+1,1)))</f>
        <v>0</v>
      </c>
      <c r="BV68" s="186">
        <f>BU68*BT68</f>
        <v>0</v>
      </c>
      <c r="BW68" s="220">
        <f>_辅助!BR66</f>
        <v>0</v>
      </c>
      <c r="BX68" s="186">
        <f>_辅助!AH66</f>
        <v>0</v>
      </c>
      <c r="BY68" s="221">
        <f>BR68-BU68-BW68</f>
        <v>0</v>
      </c>
      <c r="BZ68" s="187">
        <f>BS68-BV68-BX68</f>
        <v>0</v>
      </c>
      <c r="CA68" s="236">
        <f>IF(AND(BR68&gt;0,BS68&gt;0),0,BV68)</f>
        <v>0</v>
      </c>
      <c r="CB68" s="220">
        <f>IF($B68="",0,SUMIFS(采购进货!$E$4:$E$1503,采购进货!$D$4:$D$1503,$B68,采购进货!$B$4:$B$1503,"&gt;="&amp;DATE(年度,7,1),采购进货!$B$4:$B$1503,"&lt;"&amp;DATE(年度,7+1,1))+SUMIFS(采购进货!$H$4:$H$1503,采购进货!$D$4:$D$1503,$B68,采购进货!$B$4:$B$1503,"&gt;="&amp;DATE(年度,7,1),采购进货!$B$4:$B$1503,"&lt;"&amp;DATE(年度,7+1,1)))</f>
        <v>0</v>
      </c>
      <c r="CC68" s="186">
        <f>IF($B68="",0,SUMIFS(采购进货!$G$4:$G$1503,采购进货!$D$4:$D$1503,$B68,采购进货!$B$4:$B$1503,"&gt;="&amp;DATE(年度,7,1),采购进货!$B$4:$B$1503,"&lt;"&amp;DATE(年度,7+1,1)))</f>
        <v>0</v>
      </c>
      <c r="CD68" s="234">
        <f>BY68+CB68</f>
        <v>0</v>
      </c>
      <c r="CE68" s="235">
        <f>BZ68+CC68</f>
        <v>0</v>
      </c>
      <c r="CF68" s="222">
        <f>IF(AND(CD68&gt;0,CE68&gt;0),CE68/CD68,N($E68))</f>
        <v>0</v>
      </c>
      <c r="CG68" s="220">
        <f>IF($B68="",0,SUMIFS(出库明细!$E$4:$E$3003,出库明细!$D$4:$D$3003,$B68,出库明细!$B$4:$B$3003,"&gt;="&amp;DATE(年度,7,1),出库明细!$B$4:$B$3003,"&lt;"&amp;DATE(年度,7+1,1)))</f>
        <v>0</v>
      </c>
      <c r="CH68" s="186">
        <f>CG68*CF68</f>
        <v>0</v>
      </c>
      <c r="CI68" s="220">
        <f>_辅助!BS66</f>
        <v>0</v>
      </c>
      <c r="CJ68" s="186">
        <f>_辅助!AI66</f>
        <v>0</v>
      </c>
      <c r="CK68" s="221">
        <f>CD68-CG68-CI68</f>
        <v>0</v>
      </c>
      <c r="CL68" s="187">
        <f>CE68-CH68-CJ68</f>
        <v>0</v>
      </c>
      <c r="CM68" s="236">
        <f>IF(AND(CD68&gt;0,CE68&gt;0),0,CH68)</f>
        <v>0</v>
      </c>
      <c r="CN68" s="220">
        <f>IF($B68="",0,SUMIFS(采购进货!$E$4:$E$1503,采购进货!$D$4:$D$1503,$B68,采购进货!$B$4:$B$1503,"&gt;="&amp;DATE(年度,8,1),采购进货!$B$4:$B$1503,"&lt;"&amp;DATE(年度,8+1,1))+SUMIFS(采购进货!$H$4:$H$1503,采购进货!$D$4:$D$1503,$B68,采购进货!$B$4:$B$1503,"&gt;="&amp;DATE(年度,8,1),采购进货!$B$4:$B$1503,"&lt;"&amp;DATE(年度,8+1,1)))</f>
        <v>0</v>
      </c>
      <c r="CO68" s="186">
        <f>IF($B68="",0,SUMIFS(采购进货!$G$4:$G$1503,采购进货!$D$4:$D$1503,$B68,采购进货!$B$4:$B$1503,"&gt;="&amp;DATE(年度,8,1),采购进货!$B$4:$B$1503,"&lt;"&amp;DATE(年度,8+1,1)))</f>
        <v>0</v>
      </c>
      <c r="CP68" s="234">
        <f>CK68+CN68</f>
        <v>0</v>
      </c>
      <c r="CQ68" s="235">
        <f>CL68+CO68</f>
        <v>0</v>
      </c>
      <c r="CR68" s="222">
        <f>IF(AND(CP68&gt;0,CQ68&gt;0),CQ68/CP68,N($E68))</f>
        <v>0</v>
      </c>
      <c r="CS68" s="220">
        <f>IF($B68="",0,SUMIFS(出库明细!$E$4:$E$3003,出库明细!$D$4:$D$3003,$B68,出库明细!$B$4:$B$3003,"&gt;="&amp;DATE(年度,8,1),出库明细!$B$4:$B$3003,"&lt;"&amp;DATE(年度,8+1,1)))</f>
        <v>0</v>
      </c>
      <c r="CT68" s="186">
        <f>CS68*CR68</f>
        <v>0</v>
      </c>
      <c r="CU68" s="220">
        <f>_辅助!BT66</f>
        <v>0</v>
      </c>
      <c r="CV68" s="186">
        <f>_辅助!AJ66</f>
        <v>0</v>
      </c>
      <c r="CW68" s="221">
        <f>CP68-CS68-CU68</f>
        <v>0</v>
      </c>
      <c r="CX68" s="187">
        <f>CQ68-CT68-CV68</f>
        <v>0</v>
      </c>
      <c r="CY68" s="236">
        <f>IF(AND(CP68&gt;0,CQ68&gt;0),0,CT68)</f>
        <v>0</v>
      </c>
      <c r="CZ68" s="220">
        <f>IF($B68="",0,SUMIFS(采购进货!$E$4:$E$1503,采购进货!$D$4:$D$1503,$B68,采购进货!$B$4:$B$1503,"&gt;="&amp;DATE(年度,9,1),采购进货!$B$4:$B$1503,"&lt;"&amp;DATE(年度,9+1,1))+SUMIFS(采购进货!$H$4:$H$1503,采购进货!$D$4:$D$1503,$B68,采购进货!$B$4:$B$1503,"&gt;="&amp;DATE(年度,9,1),采购进货!$B$4:$B$1503,"&lt;"&amp;DATE(年度,9+1,1)))</f>
        <v>0</v>
      </c>
      <c r="DA68" s="186">
        <f>IF($B68="",0,SUMIFS(采购进货!$G$4:$G$1503,采购进货!$D$4:$D$1503,$B68,采购进货!$B$4:$B$1503,"&gt;="&amp;DATE(年度,9,1),采购进货!$B$4:$B$1503,"&lt;"&amp;DATE(年度,9+1,1)))</f>
        <v>0</v>
      </c>
      <c r="DB68" s="234">
        <f>CW68+CZ68</f>
        <v>0</v>
      </c>
      <c r="DC68" s="235">
        <f>CX68+DA68</f>
        <v>0</v>
      </c>
      <c r="DD68" s="222">
        <f>IF(AND(DB68&gt;0,DC68&gt;0),DC68/DB68,N($E68))</f>
        <v>0</v>
      </c>
      <c r="DE68" s="220">
        <f>IF($B68="",0,SUMIFS(出库明细!$E$4:$E$3003,出库明细!$D$4:$D$3003,$B68,出库明细!$B$4:$B$3003,"&gt;="&amp;DATE(年度,9,1),出库明细!$B$4:$B$3003,"&lt;"&amp;DATE(年度,9+1,1)))</f>
        <v>0</v>
      </c>
      <c r="DF68" s="186">
        <f>DE68*DD68</f>
        <v>0</v>
      </c>
      <c r="DG68" s="220">
        <f>_辅助!BU66</f>
        <v>0</v>
      </c>
      <c r="DH68" s="186">
        <f>_辅助!AK66</f>
        <v>0</v>
      </c>
      <c r="DI68" s="221">
        <f>DB68-DE68-DG68</f>
        <v>0</v>
      </c>
      <c r="DJ68" s="187">
        <f>DC68-DF68-DH68</f>
        <v>0</v>
      </c>
      <c r="DK68" s="236">
        <f>IF(AND(DB68&gt;0,DC68&gt;0),0,DF68)</f>
        <v>0</v>
      </c>
      <c r="DL68" s="220">
        <f>IF($B68="",0,SUMIFS(采购进货!$E$4:$E$1503,采购进货!$D$4:$D$1503,$B68,采购进货!$B$4:$B$1503,"&gt;="&amp;DATE(年度,10,1),采购进货!$B$4:$B$1503,"&lt;"&amp;DATE(年度,10+1,1))+SUMIFS(采购进货!$H$4:$H$1503,采购进货!$D$4:$D$1503,$B68,采购进货!$B$4:$B$1503,"&gt;="&amp;DATE(年度,10,1),采购进货!$B$4:$B$1503,"&lt;"&amp;DATE(年度,10+1,1)))</f>
        <v>0</v>
      </c>
      <c r="DM68" s="186">
        <f>IF($B68="",0,SUMIFS(采购进货!$G$4:$G$1503,采购进货!$D$4:$D$1503,$B68,采购进货!$B$4:$B$1503,"&gt;="&amp;DATE(年度,10,1),采购进货!$B$4:$B$1503,"&lt;"&amp;DATE(年度,10+1,1)))</f>
        <v>0</v>
      </c>
      <c r="DN68" s="234">
        <f>DI68+DL68</f>
        <v>0</v>
      </c>
      <c r="DO68" s="235">
        <f>DJ68+DM68</f>
        <v>0</v>
      </c>
      <c r="DP68" s="222">
        <f>IF(AND(DN68&gt;0,DO68&gt;0),DO68/DN68,N($E68))</f>
        <v>0</v>
      </c>
      <c r="DQ68" s="220">
        <f>IF($B68="",0,SUMIFS(出库明细!$E$4:$E$3003,出库明细!$D$4:$D$3003,$B68,出库明细!$B$4:$B$3003,"&gt;="&amp;DATE(年度,10,1),出库明细!$B$4:$B$3003,"&lt;"&amp;DATE(年度,10+1,1)))</f>
        <v>0</v>
      </c>
      <c r="DR68" s="186">
        <f>DQ68*DP68</f>
        <v>0</v>
      </c>
      <c r="DS68" s="220">
        <f>_辅助!BV66</f>
        <v>0</v>
      </c>
      <c r="DT68" s="186">
        <f>_辅助!AL66</f>
        <v>0</v>
      </c>
      <c r="DU68" s="221">
        <f>DN68-DQ68-DS68</f>
        <v>0</v>
      </c>
      <c r="DV68" s="187">
        <f>DO68-DR68-DT68</f>
        <v>0</v>
      </c>
      <c r="DW68" s="236">
        <f>IF(AND(DN68&gt;0,DO68&gt;0),0,DR68)</f>
        <v>0</v>
      </c>
      <c r="DX68" s="220">
        <f>IF($B68="",0,SUMIFS(采购进货!$E$4:$E$1503,采购进货!$D$4:$D$1503,$B68,采购进货!$B$4:$B$1503,"&gt;="&amp;DATE(年度,11,1),采购进货!$B$4:$B$1503,"&lt;"&amp;DATE(年度,11+1,1))+SUMIFS(采购进货!$H$4:$H$1503,采购进货!$D$4:$D$1503,$B68,采购进货!$B$4:$B$1503,"&gt;="&amp;DATE(年度,11,1),采购进货!$B$4:$B$1503,"&lt;"&amp;DATE(年度,11+1,1)))</f>
        <v>0</v>
      </c>
      <c r="DY68" s="186">
        <f>IF($B68="",0,SUMIFS(采购进货!$G$4:$G$1503,采购进货!$D$4:$D$1503,$B68,采购进货!$B$4:$B$1503,"&gt;="&amp;DATE(年度,11,1),采购进货!$B$4:$B$1503,"&lt;"&amp;DATE(年度,11+1,1)))</f>
        <v>0</v>
      </c>
      <c r="DZ68" s="234">
        <f>DU68+DX68</f>
        <v>0</v>
      </c>
      <c r="EA68" s="235">
        <f>DV68+DY68</f>
        <v>0</v>
      </c>
      <c r="EB68" s="222">
        <f>IF(AND(DZ68&gt;0,EA68&gt;0),EA68/DZ68,N($E68))</f>
        <v>0</v>
      </c>
      <c r="EC68" s="220">
        <f>IF($B68="",0,SUMIFS(出库明细!$E$4:$E$3003,出库明细!$D$4:$D$3003,$B68,出库明细!$B$4:$B$3003,"&gt;="&amp;DATE(年度,11,1),出库明细!$B$4:$B$3003,"&lt;"&amp;DATE(年度,11+1,1)))</f>
        <v>0</v>
      </c>
      <c r="ED68" s="186">
        <f>EC68*EB68</f>
        <v>0</v>
      </c>
      <c r="EE68" s="220">
        <f>_辅助!BW66</f>
        <v>0</v>
      </c>
      <c r="EF68" s="186">
        <f>_辅助!AM66</f>
        <v>0</v>
      </c>
      <c r="EG68" s="221">
        <f>DZ68-EC68-EE68</f>
        <v>0</v>
      </c>
      <c r="EH68" s="187">
        <f>EA68-ED68-EF68</f>
        <v>0</v>
      </c>
      <c r="EI68" s="236">
        <f>IF(AND(DZ68&gt;0,EA68&gt;0),0,ED68)</f>
        <v>0</v>
      </c>
      <c r="EJ68" s="220">
        <f>IF($B68="",0,SUMIFS(采购进货!$E$4:$E$1503,采购进货!$D$4:$D$1503,$B68,采购进货!$B$4:$B$1503,"&gt;="&amp;DATE(年度,12,1),采购进货!$B$4:$B$1503,"&lt;"&amp;DATE(年度,12+1,1))+SUMIFS(采购进货!$H$4:$H$1503,采购进货!$D$4:$D$1503,$B68,采购进货!$B$4:$B$1503,"&gt;="&amp;DATE(年度,12,1),采购进货!$B$4:$B$1503,"&lt;"&amp;DATE(年度,12+1,1)))</f>
        <v>0</v>
      </c>
      <c r="EK68" s="186">
        <f>IF($B68="",0,SUMIFS(采购进货!$G$4:$G$1503,采购进货!$D$4:$D$1503,$B68,采购进货!$B$4:$B$1503,"&gt;="&amp;DATE(年度,12,1),采购进货!$B$4:$B$1503,"&lt;"&amp;DATE(年度,12+1,1)))</f>
        <v>0</v>
      </c>
      <c r="EL68" s="234">
        <f>EG68+EJ68</f>
        <v>0</v>
      </c>
      <c r="EM68" s="235">
        <f>EH68+EK68</f>
        <v>0</v>
      </c>
      <c r="EN68" s="222">
        <f>IF(AND(EL68&gt;0,EM68&gt;0),EM68/EL68,N($E68))</f>
        <v>0</v>
      </c>
      <c r="EO68" s="220">
        <f>IF($B68="",0,SUMIFS(出库明细!$E$4:$E$3003,出库明细!$D$4:$D$3003,$B68,出库明细!$B$4:$B$3003,"&gt;="&amp;DATE(年度,12,1),出库明细!$B$4:$B$3003,"&lt;"&amp;DATE(年度,12+1,1)))</f>
        <v>0</v>
      </c>
      <c r="EP68" s="186">
        <f>EO68*EN68</f>
        <v>0</v>
      </c>
      <c r="EQ68" s="220">
        <f>_辅助!BX66</f>
        <v>0</v>
      </c>
      <c r="ER68" s="186">
        <f>_辅助!AN66</f>
        <v>0</v>
      </c>
      <c r="ES68" s="221">
        <f>EL68-EO68-EQ68</f>
        <v>0</v>
      </c>
      <c r="ET68" s="187">
        <f>EM68-EP68-ER68</f>
        <v>0</v>
      </c>
      <c r="EU68" s="236">
        <f>IF(AND(EL68&gt;0,EM68&gt;0),0,EP68)</f>
        <v>0</v>
      </c>
    </row>
    <row r="69">
      <c r="A69" s="194">
        <f>IF(B69="","",ROW()-7)</f>
      </c>
      <c r="B69" s="141">
        <f>IF(基础资料!E66="","",基础资料!E66&amp;"")</f>
      </c>
      <c r="C69" s="230">
        <f>IF(基础资料!G66="","",基础资料!G66&amp;"")</f>
      </c>
      <c r="D69" s="194">
        <f>IF(基础资料!I66="","",基础资料!I66)</f>
      </c>
      <c r="E69" s="231">
        <f>IF(基础资料!J66="","",基础资料!J66)</f>
      </c>
      <c r="F69" s="232">
        <f>N(基础资料!L66)</f>
        <v>0</v>
      </c>
      <c r="G69" s="233">
        <f>IF(基础资料!N66="",0,基础资料!N66)</f>
        <v>0</v>
      </c>
      <c r="H69" s="220">
        <f>IF($B69="",0,SUMIFS(采购进货!$E$4:$E$1503,采购进货!$D$4:$D$1503,$B69,采购进货!$B$4:$B$1503,"&gt;="&amp;DATE(年度,1,1),采购进货!$B$4:$B$1503,"&lt;"&amp;DATE(年度,1+1,1))+SUMIFS(采购进货!$H$4:$H$1503,采购进货!$D$4:$D$1503,$B69,采购进货!$B$4:$B$1503,"&gt;="&amp;DATE(年度,1,1),采购进货!$B$4:$B$1503,"&lt;"&amp;DATE(年度,1+1,1)))</f>
        <v>0</v>
      </c>
      <c r="I69" s="186">
        <f>IF($B69="",0,SUMIFS(采购进货!$G$4:$G$1503,采购进货!$D$4:$D$1503,$B69,采购进货!$B$4:$B$1503,"&gt;="&amp;DATE(年度,1,1),采购进货!$B$4:$B$1503,"&lt;"&amp;DATE(年度,1+1,1)))</f>
        <v>0</v>
      </c>
      <c r="J69" s="234">
        <f>F69+H69</f>
        <v>0</v>
      </c>
      <c r="K69" s="235">
        <f>G69+I69</f>
        <v>0</v>
      </c>
      <c r="L69" s="222">
        <f>IF(AND(J69&gt;0,K69&gt;0),K69/J69,N($E69))</f>
        <v>0</v>
      </c>
      <c r="M69" s="220">
        <f>IF($B69="",0,SUMIFS(出库明细!$E$4:$E$3003,出库明细!$D$4:$D$3003,$B69,出库明细!$B$4:$B$3003,"&gt;="&amp;DATE(年度,1,1),出库明细!$B$4:$B$3003,"&lt;"&amp;DATE(年度,1+1,1)))</f>
        <v>0</v>
      </c>
      <c r="N69" s="186">
        <f>M69*L69</f>
        <v>0</v>
      </c>
      <c r="O69" s="220">
        <f>_辅助!BM67</f>
        <v>0</v>
      </c>
      <c r="P69" s="186">
        <f>_辅助!AC67</f>
        <v>0</v>
      </c>
      <c r="Q69" s="221">
        <f>J69-M69-O69</f>
        <v>0</v>
      </c>
      <c r="R69" s="187">
        <f>K69-N69-P69</f>
        <v>0</v>
      </c>
      <c r="S69" s="236">
        <f>IF(AND(J69&gt;0,K69&gt;0),0,N69)</f>
        <v>0</v>
      </c>
      <c r="T69" s="220">
        <f>IF($B69="",0,SUMIFS(采购进货!$E$4:$E$1503,采购进货!$D$4:$D$1503,$B69,采购进货!$B$4:$B$1503,"&gt;="&amp;DATE(年度,2,1),采购进货!$B$4:$B$1503,"&lt;"&amp;DATE(年度,2+1,1))+SUMIFS(采购进货!$H$4:$H$1503,采购进货!$D$4:$D$1503,$B69,采购进货!$B$4:$B$1503,"&gt;="&amp;DATE(年度,2,1),采购进货!$B$4:$B$1503,"&lt;"&amp;DATE(年度,2+1,1)))</f>
        <v>0</v>
      </c>
      <c r="U69" s="186">
        <f>IF($B69="",0,SUMIFS(采购进货!$G$4:$G$1503,采购进货!$D$4:$D$1503,$B69,采购进货!$B$4:$B$1503,"&gt;="&amp;DATE(年度,2,1),采购进货!$B$4:$B$1503,"&lt;"&amp;DATE(年度,2+1,1)))</f>
        <v>0</v>
      </c>
      <c r="V69" s="234">
        <f>Q69+T69</f>
        <v>0</v>
      </c>
      <c r="W69" s="235">
        <f>R69+U69</f>
        <v>0</v>
      </c>
      <c r="X69" s="222">
        <f>IF(AND(V69&gt;0,W69&gt;0),W69/V69,N($E69))</f>
        <v>0</v>
      </c>
      <c r="Y69" s="220">
        <f>IF($B69="",0,SUMIFS(出库明细!$E$4:$E$3003,出库明细!$D$4:$D$3003,$B69,出库明细!$B$4:$B$3003,"&gt;="&amp;DATE(年度,2,1),出库明细!$B$4:$B$3003,"&lt;"&amp;DATE(年度,2+1,1)))</f>
        <v>0</v>
      </c>
      <c r="Z69" s="186">
        <f>Y69*X69</f>
        <v>0</v>
      </c>
      <c r="AA69" s="220">
        <f>_辅助!BN67</f>
        <v>0</v>
      </c>
      <c r="AB69" s="186">
        <f>_辅助!AD67</f>
        <v>0</v>
      </c>
      <c r="AC69" s="221">
        <f>V69-Y69-AA69</f>
        <v>0</v>
      </c>
      <c r="AD69" s="187">
        <f>W69-Z69-AB69</f>
        <v>0</v>
      </c>
      <c r="AE69" s="236">
        <f>IF(AND(V69&gt;0,W69&gt;0),0,Z69)</f>
        <v>0</v>
      </c>
      <c r="AF69" s="220">
        <f>IF($B69="",0,SUMIFS(采购进货!$E$4:$E$1503,采购进货!$D$4:$D$1503,$B69,采购进货!$B$4:$B$1503,"&gt;="&amp;DATE(年度,3,1),采购进货!$B$4:$B$1503,"&lt;"&amp;DATE(年度,3+1,1))+SUMIFS(采购进货!$H$4:$H$1503,采购进货!$D$4:$D$1503,$B69,采购进货!$B$4:$B$1503,"&gt;="&amp;DATE(年度,3,1),采购进货!$B$4:$B$1503,"&lt;"&amp;DATE(年度,3+1,1)))</f>
        <v>0</v>
      </c>
      <c r="AG69" s="186">
        <f>IF($B69="",0,SUMIFS(采购进货!$G$4:$G$1503,采购进货!$D$4:$D$1503,$B69,采购进货!$B$4:$B$1503,"&gt;="&amp;DATE(年度,3,1),采购进货!$B$4:$B$1503,"&lt;"&amp;DATE(年度,3+1,1)))</f>
        <v>0</v>
      </c>
      <c r="AH69" s="234">
        <f>AC69+AF69</f>
        <v>0</v>
      </c>
      <c r="AI69" s="235">
        <f>AD69+AG69</f>
        <v>0</v>
      </c>
      <c r="AJ69" s="222">
        <f>IF(AND(AH69&gt;0,AI69&gt;0),AI69/AH69,N($E69))</f>
        <v>0</v>
      </c>
      <c r="AK69" s="220">
        <f>IF($B69="",0,SUMIFS(出库明细!$E$4:$E$3003,出库明细!$D$4:$D$3003,$B69,出库明细!$B$4:$B$3003,"&gt;="&amp;DATE(年度,3,1),出库明细!$B$4:$B$3003,"&lt;"&amp;DATE(年度,3+1,1)))</f>
        <v>0</v>
      </c>
      <c r="AL69" s="186">
        <f>AK69*AJ69</f>
        <v>0</v>
      </c>
      <c r="AM69" s="220">
        <f>_辅助!BO67</f>
        <v>0</v>
      </c>
      <c r="AN69" s="186">
        <f>_辅助!AE67</f>
        <v>0</v>
      </c>
      <c r="AO69" s="221">
        <f>AH69-AK69-AM69</f>
        <v>0</v>
      </c>
      <c r="AP69" s="187">
        <f>AI69-AL69-AN69</f>
        <v>0</v>
      </c>
      <c r="AQ69" s="236">
        <f>IF(AND(AH69&gt;0,AI69&gt;0),0,AL69)</f>
        <v>0</v>
      </c>
      <c r="AR69" s="220">
        <f>IF($B69="",0,SUMIFS(采购进货!$E$4:$E$1503,采购进货!$D$4:$D$1503,$B69,采购进货!$B$4:$B$1503,"&gt;="&amp;DATE(年度,4,1),采购进货!$B$4:$B$1503,"&lt;"&amp;DATE(年度,4+1,1))+SUMIFS(采购进货!$H$4:$H$1503,采购进货!$D$4:$D$1503,$B69,采购进货!$B$4:$B$1503,"&gt;="&amp;DATE(年度,4,1),采购进货!$B$4:$B$1503,"&lt;"&amp;DATE(年度,4+1,1)))</f>
        <v>0</v>
      </c>
      <c r="AS69" s="186">
        <f>IF($B69="",0,SUMIFS(采购进货!$G$4:$G$1503,采购进货!$D$4:$D$1503,$B69,采购进货!$B$4:$B$1503,"&gt;="&amp;DATE(年度,4,1),采购进货!$B$4:$B$1503,"&lt;"&amp;DATE(年度,4+1,1)))</f>
        <v>0</v>
      </c>
      <c r="AT69" s="234">
        <f>AO69+AR69</f>
        <v>0</v>
      </c>
      <c r="AU69" s="235">
        <f>AP69+AS69</f>
        <v>0</v>
      </c>
      <c r="AV69" s="222">
        <f>IF(AND(AT69&gt;0,AU69&gt;0),AU69/AT69,N($E69))</f>
        <v>0</v>
      </c>
      <c r="AW69" s="220">
        <f>IF($B69="",0,SUMIFS(出库明细!$E$4:$E$3003,出库明细!$D$4:$D$3003,$B69,出库明细!$B$4:$B$3003,"&gt;="&amp;DATE(年度,4,1),出库明细!$B$4:$B$3003,"&lt;"&amp;DATE(年度,4+1,1)))</f>
        <v>0</v>
      </c>
      <c r="AX69" s="186">
        <f>AW69*AV69</f>
        <v>0</v>
      </c>
      <c r="AY69" s="220">
        <f>_辅助!BP67</f>
        <v>0</v>
      </c>
      <c r="AZ69" s="186">
        <f>_辅助!AF67</f>
        <v>0</v>
      </c>
      <c r="BA69" s="221">
        <f>AT69-AW69-AY69</f>
        <v>0</v>
      </c>
      <c r="BB69" s="187">
        <f>AU69-AX69-AZ69</f>
        <v>0</v>
      </c>
      <c r="BC69" s="236">
        <f>IF(AND(AT69&gt;0,AU69&gt;0),0,AX69)</f>
        <v>0</v>
      </c>
      <c r="BD69" s="220">
        <f>IF($B69="",0,SUMIFS(采购进货!$E$4:$E$1503,采购进货!$D$4:$D$1503,$B69,采购进货!$B$4:$B$1503,"&gt;="&amp;DATE(年度,5,1),采购进货!$B$4:$B$1503,"&lt;"&amp;DATE(年度,5+1,1))+SUMIFS(采购进货!$H$4:$H$1503,采购进货!$D$4:$D$1503,$B69,采购进货!$B$4:$B$1503,"&gt;="&amp;DATE(年度,5,1),采购进货!$B$4:$B$1503,"&lt;"&amp;DATE(年度,5+1,1)))</f>
        <v>0</v>
      </c>
      <c r="BE69" s="186">
        <f>IF($B69="",0,SUMIFS(采购进货!$G$4:$G$1503,采购进货!$D$4:$D$1503,$B69,采购进货!$B$4:$B$1503,"&gt;="&amp;DATE(年度,5,1),采购进货!$B$4:$B$1503,"&lt;"&amp;DATE(年度,5+1,1)))</f>
        <v>0</v>
      </c>
      <c r="BF69" s="234">
        <f>BA69+BD69</f>
        <v>0</v>
      </c>
      <c r="BG69" s="235">
        <f>BB69+BE69</f>
        <v>0</v>
      </c>
      <c r="BH69" s="222">
        <f>IF(AND(BF69&gt;0,BG69&gt;0),BG69/BF69,N($E69))</f>
        <v>0</v>
      </c>
      <c r="BI69" s="220">
        <f>IF($B69="",0,SUMIFS(出库明细!$E$4:$E$3003,出库明细!$D$4:$D$3003,$B69,出库明细!$B$4:$B$3003,"&gt;="&amp;DATE(年度,5,1),出库明细!$B$4:$B$3003,"&lt;"&amp;DATE(年度,5+1,1)))</f>
        <v>0</v>
      </c>
      <c r="BJ69" s="186">
        <f>BI69*BH69</f>
        <v>0</v>
      </c>
      <c r="BK69" s="220">
        <f>_辅助!BQ67</f>
        <v>0</v>
      </c>
      <c r="BL69" s="186">
        <f>_辅助!AG67</f>
        <v>0</v>
      </c>
      <c r="BM69" s="221">
        <f>BF69-BI69-BK69</f>
        <v>0</v>
      </c>
      <c r="BN69" s="187">
        <f>BG69-BJ69-BL69</f>
        <v>0</v>
      </c>
      <c r="BO69" s="236">
        <f>IF(AND(BF69&gt;0,BG69&gt;0),0,BJ69)</f>
        <v>0</v>
      </c>
      <c r="BP69" s="220">
        <f>IF($B69="",0,SUMIFS(采购进货!$E$4:$E$1503,采购进货!$D$4:$D$1503,$B69,采购进货!$B$4:$B$1503,"&gt;="&amp;DATE(年度,6,1),采购进货!$B$4:$B$1503,"&lt;"&amp;DATE(年度,6+1,1))+SUMIFS(采购进货!$H$4:$H$1503,采购进货!$D$4:$D$1503,$B69,采购进货!$B$4:$B$1503,"&gt;="&amp;DATE(年度,6,1),采购进货!$B$4:$B$1503,"&lt;"&amp;DATE(年度,6+1,1)))</f>
        <v>0</v>
      </c>
      <c r="BQ69" s="186">
        <f>IF($B69="",0,SUMIFS(采购进货!$G$4:$G$1503,采购进货!$D$4:$D$1503,$B69,采购进货!$B$4:$B$1503,"&gt;="&amp;DATE(年度,6,1),采购进货!$B$4:$B$1503,"&lt;"&amp;DATE(年度,6+1,1)))</f>
        <v>0</v>
      </c>
      <c r="BR69" s="234">
        <f>BM69+BP69</f>
        <v>0</v>
      </c>
      <c r="BS69" s="235">
        <f>BN69+BQ69</f>
        <v>0</v>
      </c>
      <c r="BT69" s="222">
        <f>IF(AND(BR69&gt;0,BS69&gt;0),BS69/BR69,N($E69))</f>
        <v>0</v>
      </c>
      <c r="BU69" s="220">
        <f>IF($B69="",0,SUMIFS(出库明细!$E$4:$E$3003,出库明细!$D$4:$D$3003,$B69,出库明细!$B$4:$B$3003,"&gt;="&amp;DATE(年度,6,1),出库明细!$B$4:$B$3003,"&lt;"&amp;DATE(年度,6+1,1)))</f>
        <v>0</v>
      </c>
      <c r="BV69" s="186">
        <f>BU69*BT69</f>
        <v>0</v>
      </c>
      <c r="BW69" s="220">
        <f>_辅助!BR67</f>
        <v>0</v>
      </c>
      <c r="BX69" s="186">
        <f>_辅助!AH67</f>
        <v>0</v>
      </c>
      <c r="BY69" s="221">
        <f>BR69-BU69-BW69</f>
        <v>0</v>
      </c>
      <c r="BZ69" s="187">
        <f>BS69-BV69-BX69</f>
        <v>0</v>
      </c>
      <c r="CA69" s="236">
        <f>IF(AND(BR69&gt;0,BS69&gt;0),0,BV69)</f>
        <v>0</v>
      </c>
      <c r="CB69" s="220">
        <f>IF($B69="",0,SUMIFS(采购进货!$E$4:$E$1503,采购进货!$D$4:$D$1503,$B69,采购进货!$B$4:$B$1503,"&gt;="&amp;DATE(年度,7,1),采购进货!$B$4:$B$1503,"&lt;"&amp;DATE(年度,7+1,1))+SUMIFS(采购进货!$H$4:$H$1503,采购进货!$D$4:$D$1503,$B69,采购进货!$B$4:$B$1503,"&gt;="&amp;DATE(年度,7,1),采购进货!$B$4:$B$1503,"&lt;"&amp;DATE(年度,7+1,1)))</f>
        <v>0</v>
      </c>
      <c r="CC69" s="186">
        <f>IF($B69="",0,SUMIFS(采购进货!$G$4:$G$1503,采购进货!$D$4:$D$1503,$B69,采购进货!$B$4:$B$1503,"&gt;="&amp;DATE(年度,7,1),采购进货!$B$4:$B$1503,"&lt;"&amp;DATE(年度,7+1,1)))</f>
        <v>0</v>
      </c>
      <c r="CD69" s="234">
        <f>BY69+CB69</f>
        <v>0</v>
      </c>
      <c r="CE69" s="235">
        <f>BZ69+CC69</f>
        <v>0</v>
      </c>
      <c r="CF69" s="222">
        <f>IF(AND(CD69&gt;0,CE69&gt;0),CE69/CD69,N($E69))</f>
        <v>0</v>
      </c>
      <c r="CG69" s="220">
        <f>IF($B69="",0,SUMIFS(出库明细!$E$4:$E$3003,出库明细!$D$4:$D$3003,$B69,出库明细!$B$4:$B$3003,"&gt;="&amp;DATE(年度,7,1),出库明细!$B$4:$B$3003,"&lt;"&amp;DATE(年度,7+1,1)))</f>
        <v>0</v>
      </c>
      <c r="CH69" s="186">
        <f>CG69*CF69</f>
        <v>0</v>
      </c>
      <c r="CI69" s="220">
        <f>_辅助!BS67</f>
        <v>0</v>
      </c>
      <c r="CJ69" s="186">
        <f>_辅助!AI67</f>
        <v>0</v>
      </c>
      <c r="CK69" s="221">
        <f>CD69-CG69-CI69</f>
        <v>0</v>
      </c>
      <c r="CL69" s="187">
        <f>CE69-CH69-CJ69</f>
        <v>0</v>
      </c>
      <c r="CM69" s="236">
        <f>IF(AND(CD69&gt;0,CE69&gt;0),0,CH69)</f>
        <v>0</v>
      </c>
      <c r="CN69" s="220">
        <f>IF($B69="",0,SUMIFS(采购进货!$E$4:$E$1503,采购进货!$D$4:$D$1503,$B69,采购进货!$B$4:$B$1503,"&gt;="&amp;DATE(年度,8,1),采购进货!$B$4:$B$1503,"&lt;"&amp;DATE(年度,8+1,1))+SUMIFS(采购进货!$H$4:$H$1503,采购进货!$D$4:$D$1503,$B69,采购进货!$B$4:$B$1503,"&gt;="&amp;DATE(年度,8,1),采购进货!$B$4:$B$1503,"&lt;"&amp;DATE(年度,8+1,1)))</f>
        <v>0</v>
      </c>
      <c r="CO69" s="186">
        <f>IF($B69="",0,SUMIFS(采购进货!$G$4:$G$1503,采购进货!$D$4:$D$1503,$B69,采购进货!$B$4:$B$1503,"&gt;="&amp;DATE(年度,8,1),采购进货!$B$4:$B$1503,"&lt;"&amp;DATE(年度,8+1,1)))</f>
        <v>0</v>
      </c>
      <c r="CP69" s="234">
        <f>CK69+CN69</f>
        <v>0</v>
      </c>
      <c r="CQ69" s="235">
        <f>CL69+CO69</f>
        <v>0</v>
      </c>
      <c r="CR69" s="222">
        <f>IF(AND(CP69&gt;0,CQ69&gt;0),CQ69/CP69,N($E69))</f>
        <v>0</v>
      </c>
      <c r="CS69" s="220">
        <f>IF($B69="",0,SUMIFS(出库明细!$E$4:$E$3003,出库明细!$D$4:$D$3003,$B69,出库明细!$B$4:$B$3003,"&gt;="&amp;DATE(年度,8,1),出库明细!$B$4:$B$3003,"&lt;"&amp;DATE(年度,8+1,1)))</f>
        <v>0</v>
      </c>
      <c r="CT69" s="186">
        <f>CS69*CR69</f>
        <v>0</v>
      </c>
      <c r="CU69" s="220">
        <f>_辅助!BT67</f>
        <v>0</v>
      </c>
      <c r="CV69" s="186">
        <f>_辅助!AJ67</f>
        <v>0</v>
      </c>
      <c r="CW69" s="221">
        <f>CP69-CS69-CU69</f>
        <v>0</v>
      </c>
      <c r="CX69" s="187">
        <f>CQ69-CT69-CV69</f>
        <v>0</v>
      </c>
      <c r="CY69" s="236">
        <f>IF(AND(CP69&gt;0,CQ69&gt;0),0,CT69)</f>
        <v>0</v>
      </c>
      <c r="CZ69" s="220">
        <f>IF($B69="",0,SUMIFS(采购进货!$E$4:$E$1503,采购进货!$D$4:$D$1503,$B69,采购进货!$B$4:$B$1503,"&gt;="&amp;DATE(年度,9,1),采购进货!$B$4:$B$1503,"&lt;"&amp;DATE(年度,9+1,1))+SUMIFS(采购进货!$H$4:$H$1503,采购进货!$D$4:$D$1503,$B69,采购进货!$B$4:$B$1503,"&gt;="&amp;DATE(年度,9,1),采购进货!$B$4:$B$1503,"&lt;"&amp;DATE(年度,9+1,1)))</f>
        <v>0</v>
      </c>
      <c r="DA69" s="186">
        <f>IF($B69="",0,SUMIFS(采购进货!$G$4:$G$1503,采购进货!$D$4:$D$1503,$B69,采购进货!$B$4:$B$1503,"&gt;="&amp;DATE(年度,9,1),采购进货!$B$4:$B$1503,"&lt;"&amp;DATE(年度,9+1,1)))</f>
        <v>0</v>
      </c>
      <c r="DB69" s="234">
        <f>CW69+CZ69</f>
        <v>0</v>
      </c>
      <c r="DC69" s="235">
        <f>CX69+DA69</f>
        <v>0</v>
      </c>
      <c r="DD69" s="222">
        <f>IF(AND(DB69&gt;0,DC69&gt;0),DC69/DB69,N($E69))</f>
        <v>0</v>
      </c>
      <c r="DE69" s="220">
        <f>IF($B69="",0,SUMIFS(出库明细!$E$4:$E$3003,出库明细!$D$4:$D$3003,$B69,出库明细!$B$4:$B$3003,"&gt;="&amp;DATE(年度,9,1),出库明细!$B$4:$B$3003,"&lt;"&amp;DATE(年度,9+1,1)))</f>
        <v>0</v>
      </c>
      <c r="DF69" s="186">
        <f>DE69*DD69</f>
        <v>0</v>
      </c>
      <c r="DG69" s="220">
        <f>_辅助!BU67</f>
        <v>0</v>
      </c>
      <c r="DH69" s="186">
        <f>_辅助!AK67</f>
        <v>0</v>
      </c>
      <c r="DI69" s="221">
        <f>DB69-DE69-DG69</f>
        <v>0</v>
      </c>
      <c r="DJ69" s="187">
        <f>DC69-DF69-DH69</f>
        <v>0</v>
      </c>
      <c r="DK69" s="236">
        <f>IF(AND(DB69&gt;0,DC69&gt;0),0,DF69)</f>
        <v>0</v>
      </c>
      <c r="DL69" s="220">
        <f>IF($B69="",0,SUMIFS(采购进货!$E$4:$E$1503,采购进货!$D$4:$D$1503,$B69,采购进货!$B$4:$B$1503,"&gt;="&amp;DATE(年度,10,1),采购进货!$B$4:$B$1503,"&lt;"&amp;DATE(年度,10+1,1))+SUMIFS(采购进货!$H$4:$H$1503,采购进货!$D$4:$D$1503,$B69,采购进货!$B$4:$B$1503,"&gt;="&amp;DATE(年度,10,1),采购进货!$B$4:$B$1503,"&lt;"&amp;DATE(年度,10+1,1)))</f>
        <v>0</v>
      </c>
      <c r="DM69" s="186">
        <f>IF($B69="",0,SUMIFS(采购进货!$G$4:$G$1503,采购进货!$D$4:$D$1503,$B69,采购进货!$B$4:$B$1503,"&gt;="&amp;DATE(年度,10,1),采购进货!$B$4:$B$1503,"&lt;"&amp;DATE(年度,10+1,1)))</f>
        <v>0</v>
      </c>
      <c r="DN69" s="234">
        <f>DI69+DL69</f>
        <v>0</v>
      </c>
      <c r="DO69" s="235">
        <f>DJ69+DM69</f>
        <v>0</v>
      </c>
      <c r="DP69" s="222">
        <f>IF(AND(DN69&gt;0,DO69&gt;0),DO69/DN69,N($E69))</f>
        <v>0</v>
      </c>
      <c r="DQ69" s="220">
        <f>IF($B69="",0,SUMIFS(出库明细!$E$4:$E$3003,出库明细!$D$4:$D$3003,$B69,出库明细!$B$4:$B$3003,"&gt;="&amp;DATE(年度,10,1),出库明细!$B$4:$B$3003,"&lt;"&amp;DATE(年度,10+1,1)))</f>
        <v>0</v>
      </c>
      <c r="DR69" s="186">
        <f>DQ69*DP69</f>
        <v>0</v>
      </c>
      <c r="DS69" s="220">
        <f>_辅助!BV67</f>
        <v>0</v>
      </c>
      <c r="DT69" s="186">
        <f>_辅助!AL67</f>
        <v>0</v>
      </c>
      <c r="DU69" s="221">
        <f>DN69-DQ69-DS69</f>
        <v>0</v>
      </c>
      <c r="DV69" s="187">
        <f>DO69-DR69-DT69</f>
        <v>0</v>
      </c>
      <c r="DW69" s="236">
        <f>IF(AND(DN69&gt;0,DO69&gt;0),0,DR69)</f>
        <v>0</v>
      </c>
      <c r="DX69" s="220">
        <f>IF($B69="",0,SUMIFS(采购进货!$E$4:$E$1503,采购进货!$D$4:$D$1503,$B69,采购进货!$B$4:$B$1503,"&gt;="&amp;DATE(年度,11,1),采购进货!$B$4:$B$1503,"&lt;"&amp;DATE(年度,11+1,1))+SUMIFS(采购进货!$H$4:$H$1503,采购进货!$D$4:$D$1503,$B69,采购进货!$B$4:$B$1503,"&gt;="&amp;DATE(年度,11,1),采购进货!$B$4:$B$1503,"&lt;"&amp;DATE(年度,11+1,1)))</f>
        <v>0</v>
      </c>
      <c r="DY69" s="186">
        <f>IF($B69="",0,SUMIFS(采购进货!$G$4:$G$1503,采购进货!$D$4:$D$1503,$B69,采购进货!$B$4:$B$1503,"&gt;="&amp;DATE(年度,11,1),采购进货!$B$4:$B$1503,"&lt;"&amp;DATE(年度,11+1,1)))</f>
        <v>0</v>
      </c>
      <c r="DZ69" s="234">
        <f>DU69+DX69</f>
        <v>0</v>
      </c>
      <c r="EA69" s="235">
        <f>DV69+DY69</f>
        <v>0</v>
      </c>
      <c r="EB69" s="222">
        <f>IF(AND(DZ69&gt;0,EA69&gt;0),EA69/DZ69,N($E69))</f>
        <v>0</v>
      </c>
      <c r="EC69" s="220">
        <f>IF($B69="",0,SUMIFS(出库明细!$E$4:$E$3003,出库明细!$D$4:$D$3003,$B69,出库明细!$B$4:$B$3003,"&gt;="&amp;DATE(年度,11,1),出库明细!$B$4:$B$3003,"&lt;"&amp;DATE(年度,11+1,1)))</f>
        <v>0</v>
      </c>
      <c r="ED69" s="186">
        <f>EC69*EB69</f>
        <v>0</v>
      </c>
      <c r="EE69" s="220">
        <f>_辅助!BW67</f>
        <v>0</v>
      </c>
      <c r="EF69" s="186">
        <f>_辅助!AM67</f>
        <v>0</v>
      </c>
      <c r="EG69" s="221">
        <f>DZ69-EC69-EE69</f>
        <v>0</v>
      </c>
      <c r="EH69" s="187">
        <f>EA69-ED69-EF69</f>
        <v>0</v>
      </c>
      <c r="EI69" s="236">
        <f>IF(AND(DZ69&gt;0,EA69&gt;0),0,ED69)</f>
        <v>0</v>
      </c>
      <c r="EJ69" s="220">
        <f>IF($B69="",0,SUMIFS(采购进货!$E$4:$E$1503,采购进货!$D$4:$D$1503,$B69,采购进货!$B$4:$B$1503,"&gt;="&amp;DATE(年度,12,1),采购进货!$B$4:$B$1503,"&lt;"&amp;DATE(年度,12+1,1))+SUMIFS(采购进货!$H$4:$H$1503,采购进货!$D$4:$D$1503,$B69,采购进货!$B$4:$B$1503,"&gt;="&amp;DATE(年度,12,1),采购进货!$B$4:$B$1503,"&lt;"&amp;DATE(年度,12+1,1)))</f>
        <v>0</v>
      </c>
      <c r="EK69" s="186">
        <f>IF($B69="",0,SUMIFS(采购进货!$G$4:$G$1503,采购进货!$D$4:$D$1503,$B69,采购进货!$B$4:$B$1503,"&gt;="&amp;DATE(年度,12,1),采购进货!$B$4:$B$1503,"&lt;"&amp;DATE(年度,12+1,1)))</f>
        <v>0</v>
      </c>
      <c r="EL69" s="234">
        <f>EG69+EJ69</f>
        <v>0</v>
      </c>
      <c r="EM69" s="235">
        <f>EH69+EK69</f>
        <v>0</v>
      </c>
      <c r="EN69" s="222">
        <f>IF(AND(EL69&gt;0,EM69&gt;0),EM69/EL69,N($E69))</f>
        <v>0</v>
      </c>
      <c r="EO69" s="220">
        <f>IF($B69="",0,SUMIFS(出库明细!$E$4:$E$3003,出库明细!$D$4:$D$3003,$B69,出库明细!$B$4:$B$3003,"&gt;="&amp;DATE(年度,12,1),出库明细!$B$4:$B$3003,"&lt;"&amp;DATE(年度,12+1,1)))</f>
        <v>0</v>
      </c>
      <c r="EP69" s="186">
        <f>EO69*EN69</f>
        <v>0</v>
      </c>
      <c r="EQ69" s="220">
        <f>_辅助!BX67</f>
        <v>0</v>
      </c>
      <c r="ER69" s="186">
        <f>_辅助!AN67</f>
        <v>0</v>
      </c>
      <c r="ES69" s="221">
        <f>EL69-EO69-EQ69</f>
        <v>0</v>
      </c>
      <c r="ET69" s="187">
        <f>EM69-EP69-ER69</f>
        <v>0</v>
      </c>
      <c r="EU69" s="236">
        <f>IF(AND(EL69&gt;0,EM69&gt;0),0,EP69)</f>
        <v>0</v>
      </c>
    </row>
    <row r="70">
      <c r="A70" s="194">
        <f>IF(B70="","",ROW()-7)</f>
      </c>
      <c r="B70" s="141">
        <f>IF(基础资料!E67="","",基础资料!E67&amp;"")</f>
      </c>
      <c r="C70" s="230">
        <f>IF(基础资料!G67="","",基础资料!G67&amp;"")</f>
      </c>
      <c r="D70" s="194">
        <f>IF(基础资料!I67="","",基础资料!I67)</f>
      </c>
      <c r="E70" s="231">
        <f>IF(基础资料!J67="","",基础资料!J67)</f>
      </c>
      <c r="F70" s="232">
        <f>N(基础资料!L67)</f>
        <v>0</v>
      </c>
      <c r="G70" s="233">
        <f>IF(基础资料!N67="",0,基础资料!N67)</f>
        <v>0</v>
      </c>
      <c r="H70" s="220">
        <f>IF($B70="",0,SUMIFS(采购进货!$E$4:$E$1503,采购进货!$D$4:$D$1503,$B70,采购进货!$B$4:$B$1503,"&gt;="&amp;DATE(年度,1,1),采购进货!$B$4:$B$1503,"&lt;"&amp;DATE(年度,1+1,1))+SUMIFS(采购进货!$H$4:$H$1503,采购进货!$D$4:$D$1503,$B70,采购进货!$B$4:$B$1503,"&gt;="&amp;DATE(年度,1,1),采购进货!$B$4:$B$1503,"&lt;"&amp;DATE(年度,1+1,1)))</f>
        <v>0</v>
      </c>
      <c r="I70" s="186">
        <f>IF($B70="",0,SUMIFS(采购进货!$G$4:$G$1503,采购进货!$D$4:$D$1503,$B70,采购进货!$B$4:$B$1503,"&gt;="&amp;DATE(年度,1,1),采购进货!$B$4:$B$1503,"&lt;"&amp;DATE(年度,1+1,1)))</f>
        <v>0</v>
      </c>
      <c r="J70" s="234">
        <f>F70+H70</f>
        <v>0</v>
      </c>
      <c r="K70" s="235">
        <f>G70+I70</f>
        <v>0</v>
      </c>
      <c r="L70" s="222">
        <f>IF(AND(J70&gt;0,K70&gt;0),K70/J70,N($E70))</f>
        <v>0</v>
      </c>
      <c r="M70" s="220">
        <f>IF($B70="",0,SUMIFS(出库明细!$E$4:$E$3003,出库明细!$D$4:$D$3003,$B70,出库明细!$B$4:$B$3003,"&gt;="&amp;DATE(年度,1,1),出库明细!$B$4:$B$3003,"&lt;"&amp;DATE(年度,1+1,1)))</f>
        <v>0</v>
      </c>
      <c r="N70" s="186">
        <f>M70*L70</f>
        <v>0</v>
      </c>
      <c r="O70" s="220">
        <f>_辅助!BM68</f>
        <v>0</v>
      </c>
      <c r="P70" s="186">
        <f>_辅助!AC68</f>
        <v>0</v>
      </c>
      <c r="Q70" s="221">
        <f>J70-M70-O70</f>
        <v>0</v>
      </c>
      <c r="R70" s="187">
        <f>K70-N70-P70</f>
        <v>0</v>
      </c>
      <c r="S70" s="236">
        <f>IF(AND(J70&gt;0,K70&gt;0),0,N70)</f>
        <v>0</v>
      </c>
      <c r="T70" s="220">
        <f>IF($B70="",0,SUMIFS(采购进货!$E$4:$E$1503,采购进货!$D$4:$D$1503,$B70,采购进货!$B$4:$B$1503,"&gt;="&amp;DATE(年度,2,1),采购进货!$B$4:$B$1503,"&lt;"&amp;DATE(年度,2+1,1))+SUMIFS(采购进货!$H$4:$H$1503,采购进货!$D$4:$D$1503,$B70,采购进货!$B$4:$B$1503,"&gt;="&amp;DATE(年度,2,1),采购进货!$B$4:$B$1503,"&lt;"&amp;DATE(年度,2+1,1)))</f>
        <v>0</v>
      </c>
      <c r="U70" s="186">
        <f>IF($B70="",0,SUMIFS(采购进货!$G$4:$G$1503,采购进货!$D$4:$D$1503,$B70,采购进货!$B$4:$B$1503,"&gt;="&amp;DATE(年度,2,1),采购进货!$B$4:$B$1503,"&lt;"&amp;DATE(年度,2+1,1)))</f>
        <v>0</v>
      </c>
      <c r="V70" s="234">
        <f>Q70+T70</f>
        <v>0</v>
      </c>
      <c r="W70" s="235">
        <f>R70+U70</f>
        <v>0</v>
      </c>
      <c r="X70" s="222">
        <f>IF(AND(V70&gt;0,W70&gt;0),W70/V70,N($E70))</f>
        <v>0</v>
      </c>
      <c r="Y70" s="220">
        <f>IF($B70="",0,SUMIFS(出库明细!$E$4:$E$3003,出库明细!$D$4:$D$3003,$B70,出库明细!$B$4:$B$3003,"&gt;="&amp;DATE(年度,2,1),出库明细!$B$4:$B$3003,"&lt;"&amp;DATE(年度,2+1,1)))</f>
        <v>0</v>
      </c>
      <c r="Z70" s="186">
        <f>Y70*X70</f>
        <v>0</v>
      </c>
      <c r="AA70" s="220">
        <f>_辅助!BN68</f>
        <v>0</v>
      </c>
      <c r="AB70" s="186">
        <f>_辅助!AD68</f>
        <v>0</v>
      </c>
      <c r="AC70" s="221">
        <f>V70-Y70-AA70</f>
        <v>0</v>
      </c>
      <c r="AD70" s="187">
        <f>W70-Z70-AB70</f>
        <v>0</v>
      </c>
      <c r="AE70" s="236">
        <f>IF(AND(V70&gt;0,W70&gt;0),0,Z70)</f>
        <v>0</v>
      </c>
      <c r="AF70" s="220">
        <f>IF($B70="",0,SUMIFS(采购进货!$E$4:$E$1503,采购进货!$D$4:$D$1503,$B70,采购进货!$B$4:$B$1503,"&gt;="&amp;DATE(年度,3,1),采购进货!$B$4:$B$1503,"&lt;"&amp;DATE(年度,3+1,1))+SUMIFS(采购进货!$H$4:$H$1503,采购进货!$D$4:$D$1503,$B70,采购进货!$B$4:$B$1503,"&gt;="&amp;DATE(年度,3,1),采购进货!$B$4:$B$1503,"&lt;"&amp;DATE(年度,3+1,1)))</f>
        <v>0</v>
      </c>
      <c r="AG70" s="186">
        <f>IF($B70="",0,SUMIFS(采购进货!$G$4:$G$1503,采购进货!$D$4:$D$1503,$B70,采购进货!$B$4:$B$1503,"&gt;="&amp;DATE(年度,3,1),采购进货!$B$4:$B$1503,"&lt;"&amp;DATE(年度,3+1,1)))</f>
        <v>0</v>
      </c>
      <c r="AH70" s="234">
        <f>AC70+AF70</f>
        <v>0</v>
      </c>
      <c r="AI70" s="235">
        <f>AD70+AG70</f>
        <v>0</v>
      </c>
      <c r="AJ70" s="222">
        <f>IF(AND(AH70&gt;0,AI70&gt;0),AI70/AH70,N($E70))</f>
        <v>0</v>
      </c>
      <c r="AK70" s="220">
        <f>IF($B70="",0,SUMIFS(出库明细!$E$4:$E$3003,出库明细!$D$4:$D$3003,$B70,出库明细!$B$4:$B$3003,"&gt;="&amp;DATE(年度,3,1),出库明细!$B$4:$B$3003,"&lt;"&amp;DATE(年度,3+1,1)))</f>
        <v>0</v>
      </c>
      <c r="AL70" s="186">
        <f>AK70*AJ70</f>
        <v>0</v>
      </c>
      <c r="AM70" s="220">
        <f>_辅助!BO68</f>
        <v>0</v>
      </c>
      <c r="AN70" s="186">
        <f>_辅助!AE68</f>
        <v>0</v>
      </c>
      <c r="AO70" s="221">
        <f>AH70-AK70-AM70</f>
        <v>0</v>
      </c>
      <c r="AP70" s="187">
        <f>AI70-AL70-AN70</f>
        <v>0</v>
      </c>
      <c r="AQ70" s="236">
        <f>IF(AND(AH70&gt;0,AI70&gt;0),0,AL70)</f>
        <v>0</v>
      </c>
      <c r="AR70" s="220">
        <f>IF($B70="",0,SUMIFS(采购进货!$E$4:$E$1503,采购进货!$D$4:$D$1503,$B70,采购进货!$B$4:$B$1503,"&gt;="&amp;DATE(年度,4,1),采购进货!$B$4:$B$1503,"&lt;"&amp;DATE(年度,4+1,1))+SUMIFS(采购进货!$H$4:$H$1503,采购进货!$D$4:$D$1503,$B70,采购进货!$B$4:$B$1503,"&gt;="&amp;DATE(年度,4,1),采购进货!$B$4:$B$1503,"&lt;"&amp;DATE(年度,4+1,1)))</f>
        <v>0</v>
      </c>
      <c r="AS70" s="186">
        <f>IF($B70="",0,SUMIFS(采购进货!$G$4:$G$1503,采购进货!$D$4:$D$1503,$B70,采购进货!$B$4:$B$1503,"&gt;="&amp;DATE(年度,4,1),采购进货!$B$4:$B$1503,"&lt;"&amp;DATE(年度,4+1,1)))</f>
        <v>0</v>
      </c>
      <c r="AT70" s="234">
        <f>AO70+AR70</f>
        <v>0</v>
      </c>
      <c r="AU70" s="235">
        <f>AP70+AS70</f>
        <v>0</v>
      </c>
      <c r="AV70" s="222">
        <f>IF(AND(AT70&gt;0,AU70&gt;0),AU70/AT70,N($E70))</f>
        <v>0</v>
      </c>
      <c r="AW70" s="220">
        <f>IF($B70="",0,SUMIFS(出库明细!$E$4:$E$3003,出库明细!$D$4:$D$3003,$B70,出库明细!$B$4:$B$3003,"&gt;="&amp;DATE(年度,4,1),出库明细!$B$4:$B$3003,"&lt;"&amp;DATE(年度,4+1,1)))</f>
        <v>0</v>
      </c>
      <c r="AX70" s="186">
        <f>AW70*AV70</f>
        <v>0</v>
      </c>
      <c r="AY70" s="220">
        <f>_辅助!BP68</f>
        <v>0</v>
      </c>
      <c r="AZ70" s="186">
        <f>_辅助!AF68</f>
        <v>0</v>
      </c>
      <c r="BA70" s="221">
        <f>AT70-AW70-AY70</f>
        <v>0</v>
      </c>
      <c r="BB70" s="187">
        <f>AU70-AX70-AZ70</f>
        <v>0</v>
      </c>
      <c r="BC70" s="236">
        <f>IF(AND(AT70&gt;0,AU70&gt;0),0,AX70)</f>
        <v>0</v>
      </c>
      <c r="BD70" s="220">
        <f>IF($B70="",0,SUMIFS(采购进货!$E$4:$E$1503,采购进货!$D$4:$D$1503,$B70,采购进货!$B$4:$B$1503,"&gt;="&amp;DATE(年度,5,1),采购进货!$B$4:$B$1503,"&lt;"&amp;DATE(年度,5+1,1))+SUMIFS(采购进货!$H$4:$H$1503,采购进货!$D$4:$D$1503,$B70,采购进货!$B$4:$B$1503,"&gt;="&amp;DATE(年度,5,1),采购进货!$B$4:$B$1503,"&lt;"&amp;DATE(年度,5+1,1)))</f>
        <v>0</v>
      </c>
      <c r="BE70" s="186">
        <f>IF($B70="",0,SUMIFS(采购进货!$G$4:$G$1503,采购进货!$D$4:$D$1503,$B70,采购进货!$B$4:$B$1503,"&gt;="&amp;DATE(年度,5,1),采购进货!$B$4:$B$1503,"&lt;"&amp;DATE(年度,5+1,1)))</f>
        <v>0</v>
      </c>
      <c r="BF70" s="234">
        <f>BA70+BD70</f>
        <v>0</v>
      </c>
      <c r="BG70" s="235">
        <f>BB70+BE70</f>
        <v>0</v>
      </c>
      <c r="BH70" s="222">
        <f>IF(AND(BF70&gt;0,BG70&gt;0),BG70/BF70,N($E70))</f>
        <v>0</v>
      </c>
      <c r="BI70" s="220">
        <f>IF($B70="",0,SUMIFS(出库明细!$E$4:$E$3003,出库明细!$D$4:$D$3003,$B70,出库明细!$B$4:$B$3003,"&gt;="&amp;DATE(年度,5,1),出库明细!$B$4:$B$3003,"&lt;"&amp;DATE(年度,5+1,1)))</f>
        <v>0</v>
      </c>
      <c r="BJ70" s="186">
        <f>BI70*BH70</f>
        <v>0</v>
      </c>
      <c r="BK70" s="220">
        <f>_辅助!BQ68</f>
        <v>0</v>
      </c>
      <c r="BL70" s="186">
        <f>_辅助!AG68</f>
        <v>0</v>
      </c>
      <c r="BM70" s="221">
        <f>BF70-BI70-BK70</f>
        <v>0</v>
      </c>
      <c r="BN70" s="187">
        <f>BG70-BJ70-BL70</f>
        <v>0</v>
      </c>
      <c r="BO70" s="236">
        <f>IF(AND(BF70&gt;0,BG70&gt;0),0,BJ70)</f>
        <v>0</v>
      </c>
      <c r="BP70" s="220">
        <f>IF($B70="",0,SUMIFS(采购进货!$E$4:$E$1503,采购进货!$D$4:$D$1503,$B70,采购进货!$B$4:$B$1503,"&gt;="&amp;DATE(年度,6,1),采购进货!$B$4:$B$1503,"&lt;"&amp;DATE(年度,6+1,1))+SUMIFS(采购进货!$H$4:$H$1503,采购进货!$D$4:$D$1503,$B70,采购进货!$B$4:$B$1503,"&gt;="&amp;DATE(年度,6,1),采购进货!$B$4:$B$1503,"&lt;"&amp;DATE(年度,6+1,1)))</f>
        <v>0</v>
      </c>
      <c r="BQ70" s="186">
        <f>IF($B70="",0,SUMIFS(采购进货!$G$4:$G$1503,采购进货!$D$4:$D$1503,$B70,采购进货!$B$4:$B$1503,"&gt;="&amp;DATE(年度,6,1),采购进货!$B$4:$B$1503,"&lt;"&amp;DATE(年度,6+1,1)))</f>
        <v>0</v>
      </c>
      <c r="BR70" s="234">
        <f>BM70+BP70</f>
        <v>0</v>
      </c>
      <c r="BS70" s="235">
        <f>BN70+BQ70</f>
        <v>0</v>
      </c>
      <c r="BT70" s="222">
        <f>IF(AND(BR70&gt;0,BS70&gt;0),BS70/BR70,N($E70))</f>
        <v>0</v>
      </c>
      <c r="BU70" s="220">
        <f>IF($B70="",0,SUMIFS(出库明细!$E$4:$E$3003,出库明细!$D$4:$D$3003,$B70,出库明细!$B$4:$B$3003,"&gt;="&amp;DATE(年度,6,1),出库明细!$B$4:$B$3003,"&lt;"&amp;DATE(年度,6+1,1)))</f>
        <v>0</v>
      </c>
      <c r="BV70" s="186">
        <f>BU70*BT70</f>
        <v>0</v>
      </c>
      <c r="BW70" s="220">
        <f>_辅助!BR68</f>
        <v>0</v>
      </c>
      <c r="BX70" s="186">
        <f>_辅助!AH68</f>
        <v>0</v>
      </c>
      <c r="BY70" s="221">
        <f>BR70-BU70-BW70</f>
        <v>0</v>
      </c>
      <c r="BZ70" s="187">
        <f>BS70-BV70-BX70</f>
        <v>0</v>
      </c>
      <c r="CA70" s="236">
        <f>IF(AND(BR70&gt;0,BS70&gt;0),0,BV70)</f>
        <v>0</v>
      </c>
      <c r="CB70" s="220">
        <f>IF($B70="",0,SUMIFS(采购进货!$E$4:$E$1503,采购进货!$D$4:$D$1503,$B70,采购进货!$B$4:$B$1503,"&gt;="&amp;DATE(年度,7,1),采购进货!$B$4:$B$1503,"&lt;"&amp;DATE(年度,7+1,1))+SUMIFS(采购进货!$H$4:$H$1503,采购进货!$D$4:$D$1503,$B70,采购进货!$B$4:$B$1503,"&gt;="&amp;DATE(年度,7,1),采购进货!$B$4:$B$1503,"&lt;"&amp;DATE(年度,7+1,1)))</f>
        <v>0</v>
      </c>
      <c r="CC70" s="186">
        <f>IF($B70="",0,SUMIFS(采购进货!$G$4:$G$1503,采购进货!$D$4:$D$1503,$B70,采购进货!$B$4:$B$1503,"&gt;="&amp;DATE(年度,7,1),采购进货!$B$4:$B$1503,"&lt;"&amp;DATE(年度,7+1,1)))</f>
        <v>0</v>
      </c>
      <c r="CD70" s="234">
        <f>BY70+CB70</f>
        <v>0</v>
      </c>
      <c r="CE70" s="235">
        <f>BZ70+CC70</f>
        <v>0</v>
      </c>
      <c r="CF70" s="222">
        <f>IF(AND(CD70&gt;0,CE70&gt;0),CE70/CD70,N($E70))</f>
        <v>0</v>
      </c>
      <c r="CG70" s="220">
        <f>IF($B70="",0,SUMIFS(出库明细!$E$4:$E$3003,出库明细!$D$4:$D$3003,$B70,出库明细!$B$4:$B$3003,"&gt;="&amp;DATE(年度,7,1),出库明细!$B$4:$B$3003,"&lt;"&amp;DATE(年度,7+1,1)))</f>
        <v>0</v>
      </c>
      <c r="CH70" s="186">
        <f>CG70*CF70</f>
        <v>0</v>
      </c>
      <c r="CI70" s="220">
        <f>_辅助!BS68</f>
        <v>0</v>
      </c>
      <c r="CJ70" s="186">
        <f>_辅助!AI68</f>
        <v>0</v>
      </c>
      <c r="CK70" s="221">
        <f>CD70-CG70-CI70</f>
        <v>0</v>
      </c>
      <c r="CL70" s="187">
        <f>CE70-CH70-CJ70</f>
        <v>0</v>
      </c>
      <c r="CM70" s="236">
        <f>IF(AND(CD70&gt;0,CE70&gt;0),0,CH70)</f>
        <v>0</v>
      </c>
      <c r="CN70" s="220">
        <f>IF($B70="",0,SUMIFS(采购进货!$E$4:$E$1503,采购进货!$D$4:$D$1503,$B70,采购进货!$B$4:$B$1503,"&gt;="&amp;DATE(年度,8,1),采购进货!$B$4:$B$1503,"&lt;"&amp;DATE(年度,8+1,1))+SUMIFS(采购进货!$H$4:$H$1503,采购进货!$D$4:$D$1503,$B70,采购进货!$B$4:$B$1503,"&gt;="&amp;DATE(年度,8,1),采购进货!$B$4:$B$1503,"&lt;"&amp;DATE(年度,8+1,1)))</f>
        <v>0</v>
      </c>
      <c r="CO70" s="186">
        <f>IF($B70="",0,SUMIFS(采购进货!$G$4:$G$1503,采购进货!$D$4:$D$1503,$B70,采购进货!$B$4:$B$1503,"&gt;="&amp;DATE(年度,8,1),采购进货!$B$4:$B$1503,"&lt;"&amp;DATE(年度,8+1,1)))</f>
        <v>0</v>
      </c>
      <c r="CP70" s="234">
        <f>CK70+CN70</f>
        <v>0</v>
      </c>
      <c r="CQ70" s="235">
        <f>CL70+CO70</f>
        <v>0</v>
      </c>
      <c r="CR70" s="222">
        <f>IF(AND(CP70&gt;0,CQ70&gt;0),CQ70/CP70,N($E70))</f>
        <v>0</v>
      </c>
      <c r="CS70" s="220">
        <f>IF($B70="",0,SUMIFS(出库明细!$E$4:$E$3003,出库明细!$D$4:$D$3003,$B70,出库明细!$B$4:$B$3003,"&gt;="&amp;DATE(年度,8,1),出库明细!$B$4:$B$3003,"&lt;"&amp;DATE(年度,8+1,1)))</f>
        <v>0</v>
      </c>
      <c r="CT70" s="186">
        <f>CS70*CR70</f>
        <v>0</v>
      </c>
      <c r="CU70" s="220">
        <f>_辅助!BT68</f>
        <v>0</v>
      </c>
      <c r="CV70" s="186">
        <f>_辅助!AJ68</f>
        <v>0</v>
      </c>
      <c r="CW70" s="221">
        <f>CP70-CS70-CU70</f>
        <v>0</v>
      </c>
      <c r="CX70" s="187">
        <f>CQ70-CT70-CV70</f>
        <v>0</v>
      </c>
      <c r="CY70" s="236">
        <f>IF(AND(CP70&gt;0,CQ70&gt;0),0,CT70)</f>
        <v>0</v>
      </c>
      <c r="CZ70" s="220">
        <f>IF($B70="",0,SUMIFS(采购进货!$E$4:$E$1503,采购进货!$D$4:$D$1503,$B70,采购进货!$B$4:$B$1503,"&gt;="&amp;DATE(年度,9,1),采购进货!$B$4:$B$1503,"&lt;"&amp;DATE(年度,9+1,1))+SUMIFS(采购进货!$H$4:$H$1503,采购进货!$D$4:$D$1503,$B70,采购进货!$B$4:$B$1503,"&gt;="&amp;DATE(年度,9,1),采购进货!$B$4:$B$1503,"&lt;"&amp;DATE(年度,9+1,1)))</f>
        <v>0</v>
      </c>
      <c r="DA70" s="186">
        <f>IF($B70="",0,SUMIFS(采购进货!$G$4:$G$1503,采购进货!$D$4:$D$1503,$B70,采购进货!$B$4:$B$1503,"&gt;="&amp;DATE(年度,9,1),采购进货!$B$4:$B$1503,"&lt;"&amp;DATE(年度,9+1,1)))</f>
        <v>0</v>
      </c>
      <c r="DB70" s="234">
        <f>CW70+CZ70</f>
        <v>0</v>
      </c>
      <c r="DC70" s="235">
        <f>CX70+DA70</f>
        <v>0</v>
      </c>
      <c r="DD70" s="222">
        <f>IF(AND(DB70&gt;0,DC70&gt;0),DC70/DB70,N($E70))</f>
        <v>0</v>
      </c>
      <c r="DE70" s="220">
        <f>IF($B70="",0,SUMIFS(出库明细!$E$4:$E$3003,出库明细!$D$4:$D$3003,$B70,出库明细!$B$4:$B$3003,"&gt;="&amp;DATE(年度,9,1),出库明细!$B$4:$B$3003,"&lt;"&amp;DATE(年度,9+1,1)))</f>
        <v>0</v>
      </c>
      <c r="DF70" s="186">
        <f>DE70*DD70</f>
        <v>0</v>
      </c>
      <c r="DG70" s="220">
        <f>_辅助!BU68</f>
        <v>0</v>
      </c>
      <c r="DH70" s="186">
        <f>_辅助!AK68</f>
        <v>0</v>
      </c>
      <c r="DI70" s="221">
        <f>DB70-DE70-DG70</f>
        <v>0</v>
      </c>
      <c r="DJ70" s="187">
        <f>DC70-DF70-DH70</f>
        <v>0</v>
      </c>
      <c r="DK70" s="236">
        <f>IF(AND(DB70&gt;0,DC70&gt;0),0,DF70)</f>
        <v>0</v>
      </c>
      <c r="DL70" s="220">
        <f>IF($B70="",0,SUMIFS(采购进货!$E$4:$E$1503,采购进货!$D$4:$D$1503,$B70,采购进货!$B$4:$B$1503,"&gt;="&amp;DATE(年度,10,1),采购进货!$B$4:$B$1503,"&lt;"&amp;DATE(年度,10+1,1))+SUMIFS(采购进货!$H$4:$H$1503,采购进货!$D$4:$D$1503,$B70,采购进货!$B$4:$B$1503,"&gt;="&amp;DATE(年度,10,1),采购进货!$B$4:$B$1503,"&lt;"&amp;DATE(年度,10+1,1)))</f>
        <v>0</v>
      </c>
      <c r="DM70" s="186">
        <f>IF($B70="",0,SUMIFS(采购进货!$G$4:$G$1503,采购进货!$D$4:$D$1503,$B70,采购进货!$B$4:$B$1503,"&gt;="&amp;DATE(年度,10,1),采购进货!$B$4:$B$1503,"&lt;"&amp;DATE(年度,10+1,1)))</f>
        <v>0</v>
      </c>
      <c r="DN70" s="234">
        <f>DI70+DL70</f>
        <v>0</v>
      </c>
      <c r="DO70" s="235">
        <f>DJ70+DM70</f>
        <v>0</v>
      </c>
      <c r="DP70" s="222">
        <f>IF(AND(DN70&gt;0,DO70&gt;0),DO70/DN70,N($E70))</f>
        <v>0</v>
      </c>
      <c r="DQ70" s="220">
        <f>IF($B70="",0,SUMIFS(出库明细!$E$4:$E$3003,出库明细!$D$4:$D$3003,$B70,出库明细!$B$4:$B$3003,"&gt;="&amp;DATE(年度,10,1),出库明细!$B$4:$B$3003,"&lt;"&amp;DATE(年度,10+1,1)))</f>
        <v>0</v>
      </c>
      <c r="DR70" s="186">
        <f>DQ70*DP70</f>
        <v>0</v>
      </c>
      <c r="DS70" s="220">
        <f>_辅助!BV68</f>
        <v>0</v>
      </c>
      <c r="DT70" s="186">
        <f>_辅助!AL68</f>
        <v>0</v>
      </c>
      <c r="DU70" s="221">
        <f>DN70-DQ70-DS70</f>
        <v>0</v>
      </c>
      <c r="DV70" s="187">
        <f>DO70-DR70-DT70</f>
        <v>0</v>
      </c>
      <c r="DW70" s="236">
        <f>IF(AND(DN70&gt;0,DO70&gt;0),0,DR70)</f>
        <v>0</v>
      </c>
      <c r="DX70" s="220">
        <f>IF($B70="",0,SUMIFS(采购进货!$E$4:$E$1503,采购进货!$D$4:$D$1503,$B70,采购进货!$B$4:$B$1503,"&gt;="&amp;DATE(年度,11,1),采购进货!$B$4:$B$1503,"&lt;"&amp;DATE(年度,11+1,1))+SUMIFS(采购进货!$H$4:$H$1503,采购进货!$D$4:$D$1503,$B70,采购进货!$B$4:$B$1503,"&gt;="&amp;DATE(年度,11,1),采购进货!$B$4:$B$1503,"&lt;"&amp;DATE(年度,11+1,1)))</f>
        <v>0</v>
      </c>
      <c r="DY70" s="186">
        <f>IF($B70="",0,SUMIFS(采购进货!$G$4:$G$1503,采购进货!$D$4:$D$1503,$B70,采购进货!$B$4:$B$1503,"&gt;="&amp;DATE(年度,11,1),采购进货!$B$4:$B$1503,"&lt;"&amp;DATE(年度,11+1,1)))</f>
        <v>0</v>
      </c>
      <c r="DZ70" s="234">
        <f>DU70+DX70</f>
        <v>0</v>
      </c>
      <c r="EA70" s="235">
        <f>DV70+DY70</f>
        <v>0</v>
      </c>
      <c r="EB70" s="222">
        <f>IF(AND(DZ70&gt;0,EA70&gt;0),EA70/DZ70,N($E70))</f>
        <v>0</v>
      </c>
      <c r="EC70" s="220">
        <f>IF($B70="",0,SUMIFS(出库明细!$E$4:$E$3003,出库明细!$D$4:$D$3003,$B70,出库明细!$B$4:$B$3003,"&gt;="&amp;DATE(年度,11,1),出库明细!$B$4:$B$3003,"&lt;"&amp;DATE(年度,11+1,1)))</f>
        <v>0</v>
      </c>
      <c r="ED70" s="186">
        <f>EC70*EB70</f>
        <v>0</v>
      </c>
      <c r="EE70" s="220">
        <f>_辅助!BW68</f>
        <v>0</v>
      </c>
      <c r="EF70" s="186">
        <f>_辅助!AM68</f>
        <v>0</v>
      </c>
      <c r="EG70" s="221">
        <f>DZ70-EC70-EE70</f>
        <v>0</v>
      </c>
      <c r="EH70" s="187">
        <f>EA70-ED70-EF70</f>
        <v>0</v>
      </c>
      <c r="EI70" s="236">
        <f>IF(AND(DZ70&gt;0,EA70&gt;0),0,ED70)</f>
        <v>0</v>
      </c>
      <c r="EJ70" s="220">
        <f>IF($B70="",0,SUMIFS(采购进货!$E$4:$E$1503,采购进货!$D$4:$D$1503,$B70,采购进货!$B$4:$B$1503,"&gt;="&amp;DATE(年度,12,1),采购进货!$B$4:$B$1503,"&lt;"&amp;DATE(年度,12+1,1))+SUMIFS(采购进货!$H$4:$H$1503,采购进货!$D$4:$D$1503,$B70,采购进货!$B$4:$B$1503,"&gt;="&amp;DATE(年度,12,1),采购进货!$B$4:$B$1503,"&lt;"&amp;DATE(年度,12+1,1)))</f>
        <v>0</v>
      </c>
      <c r="EK70" s="186">
        <f>IF($B70="",0,SUMIFS(采购进货!$G$4:$G$1503,采购进货!$D$4:$D$1503,$B70,采购进货!$B$4:$B$1503,"&gt;="&amp;DATE(年度,12,1),采购进货!$B$4:$B$1503,"&lt;"&amp;DATE(年度,12+1,1)))</f>
        <v>0</v>
      </c>
      <c r="EL70" s="234">
        <f>EG70+EJ70</f>
        <v>0</v>
      </c>
      <c r="EM70" s="235">
        <f>EH70+EK70</f>
        <v>0</v>
      </c>
      <c r="EN70" s="222">
        <f>IF(AND(EL70&gt;0,EM70&gt;0),EM70/EL70,N($E70))</f>
        <v>0</v>
      </c>
      <c r="EO70" s="220">
        <f>IF($B70="",0,SUMIFS(出库明细!$E$4:$E$3003,出库明细!$D$4:$D$3003,$B70,出库明细!$B$4:$B$3003,"&gt;="&amp;DATE(年度,12,1),出库明细!$B$4:$B$3003,"&lt;"&amp;DATE(年度,12+1,1)))</f>
        <v>0</v>
      </c>
      <c r="EP70" s="186">
        <f>EO70*EN70</f>
        <v>0</v>
      </c>
      <c r="EQ70" s="220">
        <f>_辅助!BX68</f>
        <v>0</v>
      </c>
      <c r="ER70" s="186">
        <f>_辅助!AN68</f>
        <v>0</v>
      </c>
      <c r="ES70" s="221">
        <f>EL70-EO70-EQ70</f>
        <v>0</v>
      </c>
      <c r="ET70" s="187">
        <f>EM70-EP70-ER70</f>
        <v>0</v>
      </c>
      <c r="EU70" s="236">
        <f>IF(AND(EL70&gt;0,EM70&gt;0),0,EP70)</f>
        <v>0</v>
      </c>
    </row>
    <row r="71">
      <c r="A71" s="194">
        <f>IF(B71="","",ROW()-7)</f>
      </c>
      <c r="B71" s="141">
        <f>IF(基础资料!E68="","",基础资料!E68&amp;"")</f>
      </c>
      <c r="C71" s="230">
        <f>IF(基础资料!G68="","",基础资料!G68&amp;"")</f>
      </c>
      <c r="D71" s="194">
        <f>IF(基础资料!I68="","",基础资料!I68)</f>
      </c>
      <c r="E71" s="231">
        <f>IF(基础资料!J68="","",基础资料!J68)</f>
      </c>
      <c r="F71" s="232">
        <f>N(基础资料!L68)</f>
        <v>0</v>
      </c>
      <c r="G71" s="233">
        <f>IF(基础资料!N68="",0,基础资料!N68)</f>
        <v>0</v>
      </c>
      <c r="H71" s="220">
        <f>IF($B71="",0,SUMIFS(采购进货!$E$4:$E$1503,采购进货!$D$4:$D$1503,$B71,采购进货!$B$4:$B$1503,"&gt;="&amp;DATE(年度,1,1),采购进货!$B$4:$B$1503,"&lt;"&amp;DATE(年度,1+1,1))+SUMIFS(采购进货!$H$4:$H$1503,采购进货!$D$4:$D$1503,$B71,采购进货!$B$4:$B$1503,"&gt;="&amp;DATE(年度,1,1),采购进货!$B$4:$B$1503,"&lt;"&amp;DATE(年度,1+1,1)))</f>
        <v>0</v>
      </c>
      <c r="I71" s="186">
        <f>IF($B71="",0,SUMIFS(采购进货!$G$4:$G$1503,采购进货!$D$4:$D$1503,$B71,采购进货!$B$4:$B$1503,"&gt;="&amp;DATE(年度,1,1),采购进货!$B$4:$B$1503,"&lt;"&amp;DATE(年度,1+1,1)))</f>
        <v>0</v>
      </c>
      <c r="J71" s="234">
        <f>F71+H71</f>
        <v>0</v>
      </c>
      <c r="K71" s="235">
        <f>G71+I71</f>
        <v>0</v>
      </c>
      <c r="L71" s="222">
        <f>IF(AND(J71&gt;0,K71&gt;0),K71/J71,N($E71))</f>
        <v>0</v>
      </c>
      <c r="M71" s="220">
        <f>IF($B71="",0,SUMIFS(出库明细!$E$4:$E$3003,出库明细!$D$4:$D$3003,$B71,出库明细!$B$4:$B$3003,"&gt;="&amp;DATE(年度,1,1),出库明细!$B$4:$B$3003,"&lt;"&amp;DATE(年度,1+1,1)))</f>
        <v>0</v>
      </c>
      <c r="N71" s="186">
        <f>M71*L71</f>
        <v>0</v>
      </c>
      <c r="O71" s="220">
        <f>_辅助!BM69</f>
        <v>0</v>
      </c>
      <c r="P71" s="186">
        <f>_辅助!AC69</f>
        <v>0</v>
      </c>
      <c r="Q71" s="221">
        <f>J71-M71-O71</f>
        <v>0</v>
      </c>
      <c r="R71" s="187">
        <f>K71-N71-P71</f>
        <v>0</v>
      </c>
      <c r="S71" s="236">
        <f>IF(AND(J71&gt;0,K71&gt;0),0,N71)</f>
        <v>0</v>
      </c>
      <c r="T71" s="220">
        <f>IF($B71="",0,SUMIFS(采购进货!$E$4:$E$1503,采购进货!$D$4:$D$1503,$B71,采购进货!$B$4:$B$1503,"&gt;="&amp;DATE(年度,2,1),采购进货!$B$4:$B$1503,"&lt;"&amp;DATE(年度,2+1,1))+SUMIFS(采购进货!$H$4:$H$1503,采购进货!$D$4:$D$1503,$B71,采购进货!$B$4:$B$1503,"&gt;="&amp;DATE(年度,2,1),采购进货!$B$4:$B$1503,"&lt;"&amp;DATE(年度,2+1,1)))</f>
        <v>0</v>
      </c>
      <c r="U71" s="186">
        <f>IF($B71="",0,SUMIFS(采购进货!$G$4:$G$1503,采购进货!$D$4:$D$1503,$B71,采购进货!$B$4:$B$1503,"&gt;="&amp;DATE(年度,2,1),采购进货!$B$4:$B$1503,"&lt;"&amp;DATE(年度,2+1,1)))</f>
        <v>0</v>
      </c>
      <c r="V71" s="234">
        <f>Q71+T71</f>
        <v>0</v>
      </c>
      <c r="W71" s="235">
        <f>R71+U71</f>
        <v>0</v>
      </c>
      <c r="X71" s="222">
        <f>IF(AND(V71&gt;0,W71&gt;0),W71/V71,N($E71))</f>
        <v>0</v>
      </c>
      <c r="Y71" s="220">
        <f>IF($B71="",0,SUMIFS(出库明细!$E$4:$E$3003,出库明细!$D$4:$D$3003,$B71,出库明细!$B$4:$B$3003,"&gt;="&amp;DATE(年度,2,1),出库明细!$B$4:$B$3003,"&lt;"&amp;DATE(年度,2+1,1)))</f>
        <v>0</v>
      </c>
      <c r="Z71" s="186">
        <f>Y71*X71</f>
        <v>0</v>
      </c>
      <c r="AA71" s="220">
        <f>_辅助!BN69</f>
        <v>0</v>
      </c>
      <c r="AB71" s="186">
        <f>_辅助!AD69</f>
        <v>0</v>
      </c>
      <c r="AC71" s="221">
        <f>V71-Y71-AA71</f>
        <v>0</v>
      </c>
      <c r="AD71" s="187">
        <f>W71-Z71-AB71</f>
        <v>0</v>
      </c>
      <c r="AE71" s="236">
        <f>IF(AND(V71&gt;0,W71&gt;0),0,Z71)</f>
        <v>0</v>
      </c>
      <c r="AF71" s="220">
        <f>IF($B71="",0,SUMIFS(采购进货!$E$4:$E$1503,采购进货!$D$4:$D$1503,$B71,采购进货!$B$4:$B$1503,"&gt;="&amp;DATE(年度,3,1),采购进货!$B$4:$B$1503,"&lt;"&amp;DATE(年度,3+1,1))+SUMIFS(采购进货!$H$4:$H$1503,采购进货!$D$4:$D$1503,$B71,采购进货!$B$4:$B$1503,"&gt;="&amp;DATE(年度,3,1),采购进货!$B$4:$B$1503,"&lt;"&amp;DATE(年度,3+1,1)))</f>
        <v>0</v>
      </c>
      <c r="AG71" s="186">
        <f>IF($B71="",0,SUMIFS(采购进货!$G$4:$G$1503,采购进货!$D$4:$D$1503,$B71,采购进货!$B$4:$B$1503,"&gt;="&amp;DATE(年度,3,1),采购进货!$B$4:$B$1503,"&lt;"&amp;DATE(年度,3+1,1)))</f>
        <v>0</v>
      </c>
      <c r="AH71" s="234">
        <f>AC71+AF71</f>
        <v>0</v>
      </c>
      <c r="AI71" s="235">
        <f>AD71+AG71</f>
        <v>0</v>
      </c>
      <c r="AJ71" s="222">
        <f>IF(AND(AH71&gt;0,AI71&gt;0),AI71/AH71,N($E71))</f>
        <v>0</v>
      </c>
      <c r="AK71" s="220">
        <f>IF($B71="",0,SUMIFS(出库明细!$E$4:$E$3003,出库明细!$D$4:$D$3003,$B71,出库明细!$B$4:$B$3003,"&gt;="&amp;DATE(年度,3,1),出库明细!$B$4:$B$3003,"&lt;"&amp;DATE(年度,3+1,1)))</f>
        <v>0</v>
      </c>
      <c r="AL71" s="186">
        <f>AK71*AJ71</f>
        <v>0</v>
      </c>
      <c r="AM71" s="220">
        <f>_辅助!BO69</f>
        <v>0</v>
      </c>
      <c r="AN71" s="186">
        <f>_辅助!AE69</f>
        <v>0</v>
      </c>
      <c r="AO71" s="221">
        <f>AH71-AK71-AM71</f>
        <v>0</v>
      </c>
      <c r="AP71" s="187">
        <f>AI71-AL71-AN71</f>
        <v>0</v>
      </c>
      <c r="AQ71" s="236">
        <f>IF(AND(AH71&gt;0,AI71&gt;0),0,AL71)</f>
        <v>0</v>
      </c>
      <c r="AR71" s="220">
        <f>IF($B71="",0,SUMIFS(采购进货!$E$4:$E$1503,采购进货!$D$4:$D$1503,$B71,采购进货!$B$4:$B$1503,"&gt;="&amp;DATE(年度,4,1),采购进货!$B$4:$B$1503,"&lt;"&amp;DATE(年度,4+1,1))+SUMIFS(采购进货!$H$4:$H$1503,采购进货!$D$4:$D$1503,$B71,采购进货!$B$4:$B$1503,"&gt;="&amp;DATE(年度,4,1),采购进货!$B$4:$B$1503,"&lt;"&amp;DATE(年度,4+1,1)))</f>
        <v>0</v>
      </c>
      <c r="AS71" s="186">
        <f>IF($B71="",0,SUMIFS(采购进货!$G$4:$G$1503,采购进货!$D$4:$D$1503,$B71,采购进货!$B$4:$B$1503,"&gt;="&amp;DATE(年度,4,1),采购进货!$B$4:$B$1503,"&lt;"&amp;DATE(年度,4+1,1)))</f>
        <v>0</v>
      </c>
      <c r="AT71" s="234">
        <f>AO71+AR71</f>
        <v>0</v>
      </c>
      <c r="AU71" s="235">
        <f>AP71+AS71</f>
        <v>0</v>
      </c>
      <c r="AV71" s="222">
        <f>IF(AND(AT71&gt;0,AU71&gt;0),AU71/AT71,N($E71))</f>
        <v>0</v>
      </c>
      <c r="AW71" s="220">
        <f>IF($B71="",0,SUMIFS(出库明细!$E$4:$E$3003,出库明细!$D$4:$D$3003,$B71,出库明细!$B$4:$B$3003,"&gt;="&amp;DATE(年度,4,1),出库明细!$B$4:$B$3003,"&lt;"&amp;DATE(年度,4+1,1)))</f>
        <v>0</v>
      </c>
      <c r="AX71" s="186">
        <f>AW71*AV71</f>
        <v>0</v>
      </c>
      <c r="AY71" s="220">
        <f>_辅助!BP69</f>
        <v>0</v>
      </c>
      <c r="AZ71" s="186">
        <f>_辅助!AF69</f>
        <v>0</v>
      </c>
      <c r="BA71" s="221">
        <f>AT71-AW71-AY71</f>
        <v>0</v>
      </c>
      <c r="BB71" s="187">
        <f>AU71-AX71-AZ71</f>
        <v>0</v>
      </c>
      <c r="BC71" s="236">
        <f>IF(AND(AT71&gt;0,AU71&gt;0),0,AX71)</f>
        <v>0</v>
      </c>
      <c r="BD71" s="220">
        <f>IF($B71="",0,SUMIFS(采购进货!$E$4:$E$1503,采购进货!$D$4:$D$1503,$B71,采购进货!$B$4:$B$1503,"&gt;="&amp;DATE(年度,5,1),采购进货!$B$4:$B$1503,"&lt;"&amp;DATE(年度,5+1,1))+SUMIFS(采购进货!$H$4:$H$1503,采购进货!$D$4:$D$1503,$B71,采购进货!$B$4:$B$1503,"&gt;="&amp;DATE(年度,5,1),采购进货!$B$4:$B$1503,"&lt;"&amp;DATE(年度,5+1,1)))</f>
        <v>0</v>
      </c>
      <c r="BE71" s="186">
        <f>IF($B71="",0,SUMIFS(采购进货!$G$4:$G$1503,采购进货!$D$4:$D$1503,$B71,采购进货!$B$4:$B$1503,"&gt;="&amp;DATE(年度,5,1),采购进货!$B$4:$B$1503,"&lt;"&amp;DATE(年度,5+1,1)))</f>
        <v>0</v>
      </c>
      <c r="BF71" s="234">
        <f>BA71+BD71</f>
        <v>0</v>
      </c>
      <c r="BG71" s="235">
        <f>BB71+BE71</f>
        <v>0</v>
      </c>
      <c r="BH71" s="222">
        <f>IF(AND(BF71&gt;0,BG71&gt;0),BG71/BF71,N($E71))</f>
        <v>0</v>
      </c>
      <c r="BI71" s="220">
        <f>IF($B71="",0,SUMIFS(出库明细!$E$4:$E$3003,出库明细!$D$4:$D$3003,$B71,出库明细!$B$4:$B$3003,"&gt;="&amp;DATE(年度,5,1),出库明细!$B$4:$B$3003,"&lt;"&amp;DATE(年度,5+1,1)))</f>
        <v>0</v>
      </c>
      <c r="BJ71" s="186">
        <f>BI71*BH71</f>
        <v>0</v>
      </c>
      <c r="BK71" s="220">
        <f>_辅助!BQ69</f>
        <v>0</v>
      </c>
      <c r="BL71" s="186">
        <f>_辅助!AG69</f>
        <v>0</v>
      </c>
      <c r="BM71" s="221">
        <f>BF71-BI71-BK71</f>
        <v>0</v>
      </c>
      <c r="BN71" s="187">
        <f>BG71-BJ71-BL71</f>
        <v>0</v>
      </c>
      <c r="BO71" s="236">
        <f>IF(AND(BF71&gt;0,BG71&gt;0),0,BJ71)</f>
        <v>0</v>
      </c>
      <c r="BP71" s="220">
        <f>IF($B71="",0,SUMIFS(采购进货!$E$4:$E$1503,采购进货!$D$4:$D$1503,$B71,采购进货!$B$4:$B$1503,"&gt;="&amp;DATE(年度,6,1),采购进货!$B$4:$B$1503,"&lt;"&amp;DATE(年度,6+1,1))+SUMIFS(采购进货!$H$4:$H$1503,采购进货!$D$4:$D$1503,$B71,采购进货!$B$4:$B$1503,"&gt;="&amp;DATE(年度,6,1),采购进货!$B$4:$B$1503,"&lt;"&amp;DATE(年度,6+1,1)))</f>
        <v>0</v>
      </c>
      <c r="BQ71" s="186">
        <f>IF($B71="",0,SUMIFS(采购进货!$G$4:$G$1503,采购进货!$D$4:$D$1503,$B71,采购进货!$B$4:$B$1503,"&gt;="&amp;DATE(年度,6,1),采购进货!$B$4:$B$1503,"&lt;"&amp;DATE(年度,6+1,1)))</f>
        <v>0</v>
      </c>
      <c r="BR71" s="234">
        <f>BM71+BP71</f>
        <v>0</v>
      </c>
      <c r="BS71" s="235">
        <f>BN71+BQ71</f>
        <v>0</v>
      </c>
      <c r="BT71" s="222">
        <f>IF(AND(BR71&gt;0,BS71&gt;0),BS71/BR71,N($E71))</f>
        <v>0</v>
      </c>
      <c r="BU71" s="220">
        <f>IF($B71="",0,SUMIFS(出库明细!$E$4:$E$3003,出库明细!$D$4:$D$3003,$B71,出库明细!$B$4:$B$3003,"&gt;="&amp;DATE(年度,6,1),出库明细!$B$4:$B$3003,"&lt;"&amp;DATE(年度,6+1,1)))</f>
        <v>0</v>
      </c>
      <c r="BV71" s="186">
        <f>BU71*BT71</f>
        <v>0</v>
      </c>
      <c r="BW71" s="220">
        <f>_辅助!BR69</f>
        <v>0</v>
      </c>
      <c r="BX71" s="186">
        <f>_辅助!AH69</f>
        <v>0</v>
      </c>
      <c r="BY71" s="221">
        <f>BR71-BU71-BW71</f>
        <v>0</v>
      </c>
      <c r="BZ71" s="187">
        <f>BS71-BV71-BX71</f>
        <v>0</v>
      </c>
      <c r="CA71" s="236">
        <f>IF(AND(BR71&gt;0,BS71&gt;0),0,BV71)</f>
        <v>0</v>
      </c>
      <c r="CB71" s="220">
        <f>IF($B71="",0,SUMIFS(采购进货!$E$4:$E$1503,采购进货!$D$4:$D$1503,$B71,采购进货!$B$4:$B$1503,"&gt;="&amp;DATE(年度,7,1),采购进货!$B$4:$B$1503,"&lt;"&amp;DATE(年度,7+1,1))+SUMIFS(采购进货!$H$4:$H$1503,采购进货!$D$4:$D$1503,$B71,采购进货!$B$4:$B$1503,"&gt;="&amp;DATE(年度,7,1),采购进货!$B$4:$B$1503,"&lt;"&amp;DATE(年度,7+1,1)))</f>
        <v>0</v>
      </c>
      <c r="CC71" s="186">
        <f>IF($B71="",0,SUMIFS(采购进货!$G$4:$G$1503,采购进货!$D$4:$D$1503,$B71,采购进货!$B$4:$B$1503,"&gt;="&amp;DATE(年度,7,1),采购进货!$B$4:$B$1503,"&lt;"&amp;DATE(年度,7+1,1)))</f>
        <v>0</v>
      </c>
      <c r="CD71" s="234">
        <f>BY71+CB71</f>
        <v>0</v>
      </c>
      <c r="CE71" s="235">
        <f>BZ71+CC71</f>
        <v>0</v>
      </c>
      <c r="CF71" s="222">
        <f>IF(AND(CD71&gt;0,CE71&gt;0),CE71/CD71,N($E71))</f>
        <v>0</v>
      </c>
      <c r="CG71" s="220">
        <f>IF($B71="",0,SUMIFS(出库明细!$E$4:$E$3003,出库明细!$D$4:$D$3003,$B71,出库明细!$B$4:$B$3003,"&gt;="&amp;DATE(年度,7,1),出库明细!$B$4:$B$3003,"&lt;"&amp;DATE(年度,7+1,1)))</f>
        <v>0</v>
      </c>
      <c r="CH71" s="186">
        <f>CG71*CF71</f>
        <v>0</v>
      </c>
      <c r="CI71" s="220">
        <f>_辅助!BS69</f>
        <v>0</v>
      </c>
      <c r="CJ71" s="186">
        <f>_辅助!AI69</f>
        <v>0</v>
      </c>
      <c r="CK71" s="221">
        <f>CD71-CG71-CI71</f>
        <v>0</v>
      </c>
      <c r="CL71" s="187">
        <f>CE71-CH71-CJ71</f>
        <v>0</v>
      </c>
      <c r="CM71" s="236">
        <f>IF(AND(CD71&gt;0,CE71&gt;0),0,CH71)</f>
        <v>0</v>
      </c>
      <c r="CN71" s="220">
        <f>IF($B71="",0,SUMIFS(采购进货!$E$4:$E$1503,采购进货!$D$4:$D$1503,$B71,采购进货!$B$4:$B$1503,"&gt;="&amp;DATE(年度,8,1),采购进货!$B$4:$B$1503,"&lt;"&amp;DATE(年度,8+1,1))+SUMIFS(采购进货!$H$4:$H$1503,采购进货!$D$4:$D$1503,$B71,采购进货!$B$4:$B$1503,"&gt;="&amp;DATE(年度,8,1),采购进货!$B$4:$B$1503,"&lt;"&amp;DATE(年度,8+1,1)))</f>
        <v>0</v>
      </c>
      <c r="CO71" s="186">
        <f>IF($B71="",0,SUMIFS(采购进货!$G$4:$G$1503,采购进货!$D$4:$D$1503,$B71,采购进货!$B$4:$B$1503,"&gt;="&amp;DATE(年度,8,1),采购进货!$B$4:$B$1503,"&lt;"&amp;DATE(年度,8+1,1)))</f>
        <v>0</v>
      </c>
      <c r="CP71" s="234">
        <f>CK71+CN71</f>
        <v>0</v>
      </c>
      <c r="CQ71" s="235">
        <f>CL71+CO71</f>
        <v>0</v>
      </c>
      <c r="CR71" s="222">
        <f>IF(AND(CP71&gt;0,CQ71&gt;0),CQ71/CP71,N($E71))</f>
        <v>0</v>
      </c>
      <c r="CS71" s="220">
        <f>IF($B71="",0,SUMIFS(出库明细!$E$4:$E$3003,出库明细!$D$4:$D$3003,$B71,出库明细!$B$4:$B$3003,"&gt;="&amp;DATE(年度,8,1),出库明细!$B$4:$B$3003,"&lt;"&amp;DATE(年度,8+1,1)))</f>
        <v>0</v>
      </c>
      <c r="CT71" s="186">
        <f>CS71*CR71</f>
        <v>0</v>
      </c>
      <c r="CU71" s="220">
        <f>_辅助!BT69</f>
        <v>0</v>
      </c>
      <c r="CV71" s="186">
        <f>_辅助!AJ69</f>
        <v>0</v>
      </c>
      <c r="CW71" s="221">
        <f>CP71-CS71-CU71</f>
        <v>0</v>
      </c>
      <c r="CX71" s="187">
        <f>CQ71-CT71-CV71</f>
        <v>0</v>
      </c>
      <c r="CY71" s="236">
        <f>IF(AND(CP71&gt;0,CQ71&gt;0),0,CT71)</f>
        <v>0</v>
      </c>
      <c r="CZ71" s="220">
        <f>IF($B71="",0,SUMIFS(采购进货!$E$4:$E$1503,采购进货!$D$4:$D$1503,$B71,采购进货!$B$4:$B$1503,"&gt;="&amp;DATE(年度,9,1),采购进货!$B$4:$B$1503,"&lt;"&amp;DATE(年度,9+1,1))+SUMIFS(采购进货!$H$4:$H$1503,采购进货!$D$4:$D$1503,$B71,采购进货!$B$4:$B$1503,"&gt;="&amp;DATE(年度,9,1),采购进货!$B$4:$B$1503,"&lt;"&amp;DATE(年度,9+1,1)))</f>
        <v>0</v>
      </c>
      <c r="DA71" s="186">
        <f>IF($B71="",0,SUMIFS(采购进货!$G$4:$G$1503,采购进货!$D$4:$D$1503,$B71,采购进货!$B$4:$B$1503,"&gt;="&amp;DATE(年度,9,1),采购进货!$B$4:$B$1503,"&lt;"&amp;DATE(年度,9+1,1)))</f>
        <v>0</v>
      </c>
      <c r="DB71" s="234">
        <f>CW71+CZ71</f>
        <v>0</v>
      </c>
      <c r="DC71" s="235">
        <f>CX71+DA71</f>
        <v>0</v>
      </c>
      <c r="DD71" s="222">
        <f>IF(AND(DB71&gt;0,DC71&gt;0),DC71/DB71,N($E71))</f>
        <v>0</v>
      </c>
      <c r="DE71" s="220">
        <f>IF($B71="",0,SUMIFS(出库明细!$E$4:$E$3003,出库明细!$D$4:$D$3003,$B71,出库明细!$B$4:$B$3003,"&gt;="&amp;DATE(年度,9,1),出库明细!$B$4:$B$3003,"&lt;"&amp;DATE(年度,9+1,1)))</f>
        <v>0</v>
      </c>
      <c r="DF71" s="186">
        <f>DE71*DD71</f>
        <v>0</v>
      </c>
      <c r="DG71" s="220">
        <f>_辅助!BU69</f>
        <v>0</v>
      </c>
      <c r="DH71" s="186">
        <f>_辅助!AK69</f>
        <v>0</v>
      </c>
      <c r="DI71" s="221">
        <f>DB71-DE71-DG71</f>
        <v>0</v>
      </c>
      <c r="DJ71" s="187">
        <f>DC71-DF71-DH71</f>
        <v>0</v>
      </c>
      <c r="DK71" s="236">
        <f>IF(AND(DB71&gt;0,DC71&gt;0),0,DF71)</f>
        <v>0</v>
      </c>
      <c r="DL71" s="220">
        <f>IF($B71="",0,SUMIFS(采购进货!$E$4:$E$1503,采购进货!$D$4:$D$1503,$B71,采购进货!$B$4:$B$1503,"&gt;="&amp;DATE(年度,10,1),采购进货!$B$4:$B$1503,"&lt;"&amp;DATE(年度,10+1,1))+SUMIFS(采购进货!$H$4:$H$1503,采购进货!$D$4:$D$1503,$B71,采购进货!$B$4:$B$1503,"&gt;="&amp;DATE(年度,10,1),采购进货!$B$4:$B$1503,"&lt;"&amp;DATE(年度,10+1,1)))</f>
        <v>0</v>
      </c>
      <c r="DM71" s="186">
        <f>IF($B71="",0,SUMIFS(采购进货!$G$4:$G$1503,采购进货!$D$4:$D$1503,$B71,采购进货!$B$4:$B$1503,"&gt;="&amp;DATE(年度,10,1),采购进货!$B$4:$B$1503,"&lt;"&amp;DATE(年度,10+1,1)))</f>
        <v>0</v>
      </c>
      <c r="DN71" s="234">
        <f>DI71+DL71</f>
        <v>0</v>
      </c>
      <c r="DO71" s="235">
        <f>DJ71+DM71</f>
        <v>0</v>
      </c>
      <c r="DP71" s="222">
        <f>IF(AND(DN71&gt;0,DO71&gt;0),DO71/DN71,N($E71))</f>
        <v>0</v>
      </c>
      <c r="DQ71" s="220">
        <f>IF($B71="",0,SUMIFS(出库明细!$E$4:$E$3003,出库明细!$D$4:$D$3003,$B71,出库明细!$B$4:$B$3003,"&gt;="&amp;DATE(年度,10,1),出库明细!$B$4:$B$3003,"&lt;"&amp;DATE(年度,10+1,1)))</f>
        <v>0</v>
      </c>
      <c r="DR71" s="186">
        <f>DQ71*DP71</f>
        <v>0</v>
      </c>
      <c r="DS71" s="220">
        <f>_辅助!BV69</f>
        <v>0</v>
      </c>
      <c r="DT71" s="186">
        <f>_辅助!AL69</f>
        <v>0</v>
      </c>
      <c r="DU71" s="221">
        <f>DN71-DQ71-DS71</f>
        <v>0</v>
      </c>
      <c r="DV71" s="187">
        <f>DO71-DR71-DT71</f>
        <v>0</v>
      </c>
      <c r="DW71" s="236">
        <f>IF(AND(DN71&gt;0,DO71&gt;0),0,DR71)</f>
        <v>0</v>
      </c>
      <c r="DX71" s="220">
        <f>IF($B71="",0,SUMIFS(采购进货!$E$4:$E$1503,采购进货!$D$4:$D$1503,$B71,采购进货!$B$4:$B$1503,"&gt;="&amp;DATE(年度,11,1),采购进货!$B$4:$B$1503,"&lt;"&amp;DATE(年度,11+1,1))+SUMIFS(采购进货!$H$4:$H$1503,采购进货!$D$4:$D$1503,$B71,采购进货!$B$4:$B$1503,"&gt;="&amp;DATE(年度,11,1),采购进货!$B$4:$B$1503,"&lt;"&amp;DATE(年度,11+1,1)))</f>
        <v>0</v>
      </c>
      <c r="DY71" s="186">
        <f>IF($B71="",0,SUMIFS(采购进货!$G$4:$G$1503,采购进货!$D$4:$D$1503,$B71,采购进货!$B$4:$B$1503,"&gt;="&amp;DATE(年度,11,1),采购进货!$B$4:$B$1503,"&lt;"&amp;DATE(年度,11+1,1)))</f>
        <v>0</v>
      </c>
      <c r="DZ71" s="234">
        <f>DU71+DX71</f>
        <v>0</v>
      </c>
      <c r="EA71" s="235">
        <f>DV71+DY71</f>
        <v>0</v>
      </c>
      <c r="EB71" s="222">
        <f>IF(AND(DZ71&gt;0,EA71&gt;0),EA71/DZ71,N($E71))</f>
        <v>0</v>
      </c>
      <c r="EC71" s="220">
        <f>IF($B71="",0,SUMIFS(出库明细!$E$4:$E$3003,出库明细!$D$4:$D$3003,$B71,出库明细!$B$4:$B$3003,"&gt;="&amp;DATE(年度,11,1),出库明细!$B$4:$B$3003,"&lt;"&amp;DATE(年度,11+1,1)))</f>
        <v>0</v>
      </c>
      <c r="ED71" s="186">
        <f>EC71*EB71</f>
        <v>0</v>
      </c>
      <c r="EE71" s="220">
        <f>_辅助!BW69</f>
        <v>0</v>
      </c>
      <c r="EF71" s="186">
        <f>_辅助!AM69</f>
        <v>0</v>
      </c>
      <c r="EG71" s="221">
        <f>DZ71-EC71-EE71</f>
        <v>0</v>
      </c>
      <c r="EH71" s="187">
        <f>EA71-ED71-EF71</f>
        <v>0</v>
      </c>
      <c r="EI71" s="236">
        <f>IF(AND(DZ71&gt;0,EA71&gt;0),0,ED71)</f>
        <v>0</v>
      </c>
      <c r="EJ71" s="220">
        <f>IF($B71="",0,SUMIFS(采购进货!$E$4:$E$1503,采购进货!$D$4:$D$1503,$B71,采购进货!$B$4:$B$1503,"&gt;="&amp;DATE(年度,12,1),采购进货!$B$4:$B$1503,"&lt;"&amp;DATE(年度,12+1,1))+SUMIFS(采购进货!$H$4:$H$1503,采购进货!$D$4:$D$1503,$B71,采购进货!$B$4:$B$1503,"&gt;="&amp;DATE(年度,12,1),采购进货!$B$4:$B$1503,"&lt;"&amp;DATE(年度,12+1,1)))</f>
        <v>0</v>
      </c>
      <c r="EK71" s="186">
        <f>IF($B71="",0,SUMIFS(采购进货!$G$4:$G$1503,采购进货!$D$4:$D$1503,$B71,采购进货!$B$4:$B$1503,"&gt;="&amp;DATE(年度,12,1),采购进货!$B$4:$B$1503,"&lt;"&amp;DATE(年度,12+1,1)))</f>
        <v>0</v>
      </c>
      <c r="EL71" s="234">
        <f>EG71+EJ71</f>
        <v>0</v>
      </c>
      <c r="EM71" s="235">
        <f>EH71+EK71</f>
        <v>0</v>
      </c>
      <c r="EN71" s="222">
        <f>IF(AND(EL71&gt;0,EM71&gt;0),EM71/EL71,N($E71))</f>
        <v>0</v>
      </c>
      <c r="EO71" s="220">
        <f>IF($B71="",0,SUMIFS(出库明细!$E$4:$E$3003,出库明细!$D$4:$D$3003,$B71,出库明细!$B$4:$B$3003,"&gt;="&amp;DATE(年度,12,1),出库明细!$B$4:$B$3003,"&lt;"&amp;DATE(年度,12+1,1)))</f>
        <v>0</v>
      </c>
      <c r="EP71" s="186">
        <f>EO71*EN71</f>
        <v>0</v>
      </c>
      <c r="EQ71" s="220">
        <f>_辅助!BX69</f>
        <v>0</v>
      </c>
      <c r="ER71" s="186">
        <f>_辅助!AN69</f>
        <v>0</v>
      </c>
      <c r="ES71" s="221">
        <f>EL71-EO71-EQ71</f>
        <v>0</v>
      </c>
      <c r="ET71" s="187">
        <f>EM71-EP71-ER71</f>
        <v>0</v>
      </c>
      <c r="EU71" s="236">
        <f>IF(AND(EL71&gt;0,EM71&gt;0),0,EP71)</f>
        <v>0</v>
      </c>
    </row>
    <row r="72">
      <c r="A72" s="194">
        <f>IF(B72="","",ROW()-7)</f>
      </c>
      <c r="B72" s="141">
        <f>IF(基础资料!E69="","",基础资料!E69&amp;"")</f>
      </c>
      <c r="C72" s="230">
        <f>IF(基础资料!G69="","",基础资料!G69&amp;"")</f>
      </c>
      <c r="D72" s="194">
        <f>IF(基础资料!I69="","",基础资料!I69)</f>
      </c>
      <c r="E72" s="231">
        <f>IF(基础资料!J69="","",基础资料!J69)</f>
      </c>
      <c r="F72" s="232">
        <f>N(基础资料!L69)</f>
        <v>0</v>
      </c>
      <c r="G72" s="233">
        <f>IF(基础资料!N69="",0,基础资料!N69)</f>
        <v>0</v>
      </c>
      <c r="H72" s="220">
        <f>IF($B72="",0,SUMIFS(采购进货!$E$4:$E$1503,采购进货!$D$4:$D$1503,$B72,采购进货!$B$4:$B$1503,"&gt;="&amp;DATE(年度,1,1),采购进货!$B$4:$B$1503,"&lt;"&amp;DATE(年度,1+1,1))+SUMIFS(采购进货!$H$4:$H$1503,采购进货!$D$4:$D$1503,$B72,采购进货!$B$4:$B$1503,"&gt;="&amp;DATE(年度,1,1),采购进货!$B$4:$B$1503,"&lt;"&amp;DATE(年度,1+1,1)))</f>
        <v>0</v>
      </c>
      <c r="I72" s="186">
        <f>IF($B72="",0,SUMIFS(采购进货!$G$4:$G$1503,采购进货!$D$4:$D$1503,$B72,采购进货!$B$4:$B$1503,"&gt;="&amp;DATE(年度,1,1),采购进货!$B$4:$B$1503,"&lt;"&amp;DATE(年度,1+1,1)))</f>
        <v>0</v>
      </c>
      <c r="J72" s="234">
        <f>F72+H72</f>
        <v>0</v>
      </c>
      <c r="K72" s="235">
        <f>G72+I72</f>
        <v>0</v>
      </c>
      <c r="L72" s="222">
        <f>IF(AND(J72&gt;0,K72&gt;0),K72/J72,N($E72))</f>
        <v>0</v>
      </c>
      <c r="M72" s="220">
        <f>IF($B72="",0,SUMIFS(出库明细!$E$4:$E$3003,出库明细!$D$4:$D$3003,$B72,出库明细!$B$4:$B$3003,"&gt;="&amp;DATE(年度,1,1),出库明细!$B$4:$B$3003,"&lt;"&amp;DATE(年度,1+1,1)))</f>
        <v>0</v>
      </c>
      <c r="N72" s="186">
        <f>M72*L72</f>
        <v>0</v>
      </c>
      <c r="O72" s="220">
        <f>_辅助!BM70</f>
        <v>0</v>
      </c>
      <c r="P72" s="186">
        <f>_辅助!AC70</f>
        <v>0</v>
      </c>
      <c r="Q72" s="221">
        <f>J72-M72-O72</f>
        <v>0</v>
      </c>
      <c r="R72" s="187">
        <f>K72-N72-P72</f>
        <v>0</v>
      </c>
      <c r="S72" s="236">
        <f>IF(AND(J72&gt;0,K72&gt;0),0,N72)</f>
        <v>0</v>
      </c>
      <c r="T72" s="220">
        <f>IF($B72="",0,SUMIFS(采购进货!$E$4:$E$1503,采购进货!$D$4:$D$1503,$B72,采购进货!$B$4:$B$1503,"&gt;="&amp;DATE(年度,2,1),采购进货!$B$4:$B$1503,"&lt;"&amp;DATE(年度,2+1,1))+SUMIFS(采购进货!$H$4:$H$1503,采购进货!$D$4:$D$1503,$B72,采购进货!$B$4:$B$1503,"&gt;="&amp;DATE(年度,2,1),采购进货!$B$4:$B$1503,"&lt;"&amp;DATE(年度,2+1,1)))</f>
        <v>0</v>
      </c>
      <c r="U72" s="186">
        <f>IF($B72="",0,SUMIFS(采购进货!$G$4:$G$1503,采购进货!$D$4:$D$1503,$B72,采购进货!$B$4:$B$1503,"&gt;="&amp;DATE(年度,2,1),采购进货!$B$4:$B$1503,"&lt;"&amp;DATE(年度,2+1,1)))</f>
        <v>0</v>
      </c>
      <c r="V72" s="234">
        <f>Q72+T72</f>
        <v>0</v>
      </c>
      <c r="W72" s="235">
        <f>R72+U72</f>
        <v>0</v>
      </c>
      <c r="X72" s="222">
        <f>IF(AND(V72&gt;0,W72&gt;0),W72/V72,N($E72))</f>
        <v>0</v>
      </c>
      <c r="Y72" s="220">
        <f>IF($B72="",0,SUMIFS(出库明细!$E$4:$E$3003,出库明细!$D$4:$D$3003,$B72,出库明细!$B$4:$B$3003,"&gt;="&amp;DATE(年度,2,1),出库明细!$B$4:$B$3003,"&lt;"&amp;DATE(年度,2+1,1)))</f>
        <v>0</v>
      </c>
      <c r="Z72" s="186">
        <f>Y72*X72</f>
        <v>0</v>
      </c>
      <c r="AA72" s="220">
        <f>_辅助!BN70</f>
        <v>0</v>
      </c>
      <c r="AB72" s="186">
        <f>_辅助!AD70</f>
        <v>0</v>
      </c>
      <c r="AC72" s="221">
        <f>V72-Y72-AA72</f>
        <v>0</v>
      </c>
      <c r="AD72" s="187">
        <f>W72-Z72-AB72</f>
        <v>0</v>
      </c>
      <c r="AE72" s="236">
        <f>IF(AND(V72&gt;0,W72&gt;0),0,Z72)</f>
        <v>0</v>
      </c>
      <c r="AF72" s="220">
        <f>IF($B72="",0,SUMIFS(采购进货!$E$4:$E$1503,采购进货!$D$4:$D$1503,$B72,采购进货!$B$4:$B$1503,"&gt;="&amp;DATE(年度,3,1),采购进货!$B$4:$B$1503,"&lt;"&amp;DATE(年度,3+1,1))+SUMIFS(采购进货!$H$4:$H$1503,采购进货!$D$4:$D$1503,$B72,采购进货!$B$4:$B$1503,"&gt;="&amp;DATE(年度,3,1),采购进货!$B$4:$B$1503,"&lt;"&amp;DATE(年度,3+1,1)))</f>
        <v>0</v>
      </c>
      <c r="AG72" s="186">
        <f>IF($B72="",0,SUMIFS(采购进货!$G$4:$G$1503,采购进货!$D$4:$D$1503,$B72,采购进货!$B$4:$B$1503,"&gt;="&amp;DATE(年度,3,1),采购进货!$B$4:$B$1503,"&lt;"&amp;DATE(年度,3+1,1)))</f>
        <v>0</v>
      </c>
      <c r="AH72" s="234">
        <f>AC72+AF72</f>
        <v>0</v>
      </c>
      <c r="AI72" s="235">
        <f>AD72+AG72</f>
        <v>0</v>
      </c>
      <c r="AJ72" s="222">
        <f>IF(AND(AH72&gt;0,AI72&gt;0),AI72/AH72,N($E72))</f>
        <v>0</v>
      </c>
      <c r="AK72" s="220">
        <f>IF($B72="",0,SUMIFS(出库明细!$E$4:$E$3003,出库明细!$D$4:$D$3003,$B72,出库明细!$B$4:$B$3003,"&gt;="&amp;DATE(年度,3,1),出库明细!$B$4:$B$3003,"&lt;"&amp;DATE(年度,3+1,1)))</f>
        <v>0</v>
      </c>
      <c r="AL72" s="186">
        <f>AK72*AJ72</f>
        <v>0</v>
      </c>
      <c r="AM72" s="220">
        <f>_辅助!BO70</f>
        <v>0</v>
      </c>
      <c r="AN72" s="186">
        <f>_辅助!AE70</f>
        <v>0</v>
      </c>
      <c r="AO72" s="221">
        <f>AH72-AK72-AM72</f>
        <v>0</v>
      </c>
      <c r="AP72" s="187">
        <f>AI72-AL72-AN72</f>
        <v>0</v>
      </c>
      <c r="AQ72" s="236">
        <f>IF(AND(AH72&gt;0,AI72&gt;0),0,AL72)</f>
        <v>0</v>
      </c>
      <c r="AR72" s="220">
        <f>IF($B72="",0,SUMIFS(采购进货!$E$4:$E$1503,采购进货!$D$4:$D$1503,$B72,采购进货!$B$4:$B$1503,"&gt;="&amp;DATE(年度,4,1),采购进货!$B$4:$B$1503,"&lt;"&amp;DATE(年度,4+1,1))+SUMIFS(采购进货!$H$4:$H$1503,采购进货!$D$4:$D$1503,$B72,采购进货!$B$4:$B$1503,"&gt;="&amp;DATE(年度,4,1),采购进货!$B$4:$B$1503,"&lt;"&amp;DATE(年度,4+1,1)))</f>
        <v>0</v>
      </c>
      <c r="AS72" s="186">
        <f>IF($B72="",0,SUMIFS(采购进货!$G$4:$G$1503,采购进货!$D$4:$D$1503,$B72,采购进货!$B$4:$B$1503,"&gt;="&amp;DATE(年度,4,1),采购进货!$B$4:$B$1503,"&lt;"&amp;DATE(年度,4+1,1)))</f>
        <v>0</v>
      </c>
      <c r="AT72" s="234">
        <f>AO72+AR72</f>
        <v>0</v>
      </c>
      <c r="AU72" s="235">
        <f>AP72+AS72</f>
        <v>0</v>
      </c>
      <c r="AV72" s="222">
        <f>IF(AND(AT72&gt;0,AU72&gt;0),AU72/AT72,N($E72))</f>
        <v>0</v>
      </c>
      <c r="AW72" s="220">
        <f>IF($B72="",0,SUMIFS(出库明细!$E$4:$E$3003,出库明细!$D$4:$D$3003,$B72,出库明细!$B$4:$B$3003,"&gt;="&amp;DATE(年度,4,1),出库明细!$B$4:$B$3003,"&lt;"&amp;DATE(年度,4+1,1)))</f>
        <v>0</v>
      </c>
      <c r="AX72" s="186">
        <f>AW72*AV72</f>
        <v>0</v>
      </c>
      <c r="AY72" s="220">
        <f>_辅助!BP70</f>
        <v>0</v>
      </c>
      <c r="AZ72" s="186">
        <f>_辅助!AF70</f>
        <v>0</v>
      </c>
      <c r="BA72" s="221">
        <f>AT72-AW72-AY72</f>
        <v>0</v>
      </c>
      <c r="BB72" s="187">
        <f>AU72-AX72-AZ72</f>
        <v>0</v>
      </c>
      <c r="BC72" s="236">
        <f>IF(AND(AT72&gt;0,AU72&gt;0),0,AX72)</f>
        <v>0</v>
      </c>
      <c r="BD72" s="220">
        <f>IF($B72="",0,SUMIFS(采购进货!$E$4:$E$1503,采购进货!$D$4:$D$1503,$B72,采购进货!$B$4:$B$1503,"&gt;="&amp;DATE(年度,5,1),采购进货!$B$4:$B$1503,"&lt;"&amp;DATE(年度,5+1,1))+SUMIFS(采购进货!$H$4:$H$1503,采购进货!$D$4:$D$1503,$B72,采购进货!$B$4:$B$1503,"&gt;="&amp;DATE(年度,5,1),采购进货!$B$4:$B$1503,"&lt;"&amp;DATE(年度,5+1,1)))</f>
        <v>0</v>
      </c>
      <c r="BE72" s="186">
        <f>IF($B72="",0,SUMIFS(采购进货!$G$4:$G$1503,采购进货!$D$4:$D$1503,$B72,采购进货!$B$4:$B$1503,"&gt;="&amp;DATE(年度,5,1),采购进货!$B$4:$B$1503,"&lt;"&amp;DATE(年度,5+1,1)))</f>
        <v>0</v>
      </c>
      <c r="BF72" s="234">
        <f>BA72+BD72</f>
        <v>0</v>
      </c>
      <c r="BG72" s="235">
        <f>BB72+BE72</f>
        <v>0</v>
      </c>
      <c r="BH72" s="222">
        <f>IF(AND(BF72&gt;0,BG72&gt;0),BG72/BF72,N($E72))</f>
        <v>0</v>
      </c>
      <c r="BI72" s="220">
        <f>IF($B72="",0,SUMIFS(出库明细!$E$4:$E$3003,出库明细!$D$4:$D$3003,$B72,出库明细!$B$4:$B$3003,"&gt;="&amp;DATE(年度,5,1),出库明细!$B$4:$B$3003,"&lt;"&amp;DATE(年度,5+1,1)))</f>
        <v>0</v>
      </c>
      <c r="BJ72" s="186">
        <f>BI72*BH72</f>
        <v>0</v>
      </c>
      <c r="BK72" s="220">
        <f>_辅助!BQ70</f>
        <v>0</v>
      </c>
      <c r="BL72" s="186">
        <f>_辅助!AG70</f>
        <v>0</v>
      </c>
      <c r="BM72" s="221">
        <f>BF72-BI72-BK72</f>
        <v>0</v>
      </c>
      <c r="BN72" s="187">
        <f>BG72-BJ72-BL72</f>
        <v>0</v>
      </c>
      <c r="BO72" s="236">
        <f>IF(AND(BF72&gt;0,BG72&gt;0),0,BJ72)</f>
        <v>0</v>
      </c>
      <c r="BP72" s="220">
        <f>IF($B72="",0,SUMIFS(采购进货!$E$4:$E$1503,采购进货!$D$4:$D$1503,$B72,采购进货!$B$4:$B$1503,"&gt;="&amp;DATE(年度,6,1),采购进货!$B$4:$B$1503,"&lt;"&amp;DATE(年度,6+1,1))+SUMIFS(采购进货!$H$4:$H$1503,采购进货!$D$4:$D$1503,$B72,采购进货!$B$4:$B$1503,"&gt;="&amp;DATE(年度,6,1),采购进货!$B$4:$B$1503,"&lt;"&amp;DATE(年度,6+1,1)))</f>
        <v>0</v>
      </c>
      <c r="BQ72" s="186">
        <f>IF($B72="",0,SUMIFS(采购进货!$G$4:$G$1503,采购进货!$D$4:$D$1503,$B72,采购进货!$B$4:$B$1503,"&gt;="&amp;DATE(年度,6,1),采购进货!$B$4:$B$1503,"&lt;"&amp;DATE(年度,6+1,1)))</f>
        <v>0</v>
      </c>
      <c r="BR72" s="234">
        <f>BM72+BP72</f>
        <v>0</v>
      </c>
      <c r="BS72" s="235">
        <f>BN72+BQ72</f>
        <v>0</v>
      </c>
      <c r="BT72" s="222">
        <f>IF(AND(BR72&gt;0,BS72&gt;0),BS72/BR72,N($E72))</f>
        <v>0</v>
      </c>
      <c r="BU72" s="220">
        <f>IF($B72="",0,SUMIFS(出库明细!$E$4:$E$3003,出库明细!$D$4:$D$3003,$B72,出库明细!$B$4:$B$3003,"&gt;="&amp;DATE(年度,6,1),出库明细!$B$4:$B$3003,"&lt;"&amp;DATE(年度,6+1,1)))</f>
        <v>0</v>
      </c>
      <c r="BV72" s="186">
        <f>BU72*BT72</f>
        <v>0</v>
      </c>
      <c r="BW72" s="220">
        <f>_辅助!BR70</f>
        <v>0</v>
      </c>
      <c r="BX72" s="186">
        <f>_辅助!AH70</f>
        <v>0</v>
      </c>
      <c r="BY72" s="221">
        <f>BR72-BU72-BW72</f>
        <v>0</v>
      </c>
      <c r="BZ72" s="187">
        <f>BS72-BV72-BX72</f>
        <v>0</v>
      </c>
      <c r="CA72" s="236">
        <f>IF(AND(BR72&gt;0,BS72&gt;0),0,BV72)</f>
        <v>0</v>
      </c>
      <c r="CB72" s="220">
        <f>IF($B72="",0,SUMIFS(采购进货!$E$4:$E$1503,采购进货!$D$4:$D$1503,$B72,采购进货!$B$4:$B$1503,"&gt;="&amp;DATE(年度,7,1),采购进货!$B$4:$B$1503,"&lt;"&amp;DATE(年度,7+1,1))+SUMIFS(采购进货!$H$4:$H$1503,采购进货!$D$4:$D$1503,$B72,采购进货!$B$4:$B$1503,"&gt;="&amp;DATE(年度,7,1),采购进货!$B$4:$B$1503,"&lt;"&amp;DATE(年度,7+1,1)))</f>
        <v>0</v>
      </c>
      <c r="CC72" s="186">
        <f>IF($B72="",0,SUMIFS(采购进货!$G$4:$G$1503,采购进货!$D$4:$D$1503,$B72,采购进货!$B$4:$B$1503,"&gt;="&amp;DATE(年度,7,1),采购进货!$B$4:$B$1503,"&lt;"&amp;DATE(年度,7+1,1)))</f>
        <v>0</v>
      </c>
      <c r="CD72" s="234">
        <f>BY72+CB72</f>
        <v>0</v>
      </c>
      <c r="CE72" s="235">
        <f>BZ72+CC72</f>
        <v>0</v>
      </c>
      <c r="CF72" s="222">
        <f>IF(AND(CD72&gt;0,CE72&gt;0),CE72/CD72,N($E72))</f>
        <v>0</v>
      </c>
      <c r="CG72" s="220">
        <f>IF($B72="",0,SUMIFS(出库明细!$E$4:$E$3003,出库明细!$D$4:$D$3003,$B72,出库明细!$B$4:$B$3003,"&gt;="&amp;DATE(年度,7,1),出库明细!$B$4:$B$3003,"&lt;"&amp;DATE(年度,7+1,1)))</f>
        <v>0</v>
      </c>
      <c r="CH72" s="186">
        <f>CG72*CF72</f>
        <v>0</v>
      </c>
      <c r="CI72" s="220">
        <f>_辅助!BS70</f>
        <v>0</v>
      </c>
      <c r="CJ72" s="186">
        <f>_辅助!AI70</f>
        <v>0</v>
      </c>
      <c r="CK72" s="221">
        <f>CD72-CG72-CI72</f>
        <v>0</v>
      </c>
      <c r="CL72" s="187">
        <f>CE72-CH72-CJ72</f>
        <v>0</v>
      </c>
      <c r="CM72" s="236">
        <f>IF(AND(CD72&gt;0,CE72&gt;0),0,CH72)</f>
        <v>0</v>
      </c>
      <c r="CN72" s="220">
        <f>IF($B72="",0,SUMIFS(采购进货!$E$4:$E$1503,采购进货!$D$4:$D$1503,$B72,采购进货!$B$4:$B$1503,"&gt;="&amp;DATE(年度,8,1),采购进货!$B$4:$B$1503,"&lt;"&amp;DATE(年度,8+1,1))+SUMIFS(采购进货!$H$4:$H$1503,采购进货!$D$4:$D$1503,$B72,采购进货!$B$4:$B$1503,"&gt;="&amp;DATE(年度,8,1),采购进货!$B$4:$B$1503,"&lt;"&amp;DATE(年度,8+1,1)))</f>
        <v>0</v>
      </c>
      <c r="CO72" s="186">
        <f>IF($B72="",0,SUMIFS(采购进货!$G$4:$G$1503,采购进货!$D$4:$D$1503,$B72,采购进货!$B$4:$B$1503,"&gt;="&amp;DATE(年度,8,1),采购进货!$B$4:$B$1503,"&lt;"&amp;DATE(年度,8+1,1)))</f>
        <v>0</v>
      </c>
      <c r="CP72" s="234">
        <f>CK72+CN72</f>
        <v>0</v>
      </c>
      <c r="CQ72" s="235">
        <f>CL72+CO72</f>
        <v>0</v>
      </c>
      <c r="CR72" s="222">
        <f>IF(AND(CP72&gt;0,CQ72&gt;0),CQ72/CP72,N($E72))</f>
        <v>0</v>
      </c>
      <c r="CS72" s="220">
        <f>IF($B72="",0,SUMIFS(出库明细!$E$4:$E$3003,出库明细!$D$4:$D$3003,$B72,出库明细!$B$4:$B$3003,"&gt;="&amp;DATE(年度,8,1),出库明细!$B$4:$B$3003,"&lt;"&amp;DATE(年度,8+1,1)))</f>
        <v>0</v>
      </c>
      <c r="CT72" s="186">
        <f>CS72*CR72</f>
        <v>0</v>
      </c>
      <c r="CU72" s="220">
        <f>_辅助!BT70</f>
        <v>0</v>
      </c>
      <c r="CV72" s="186">
        <f>_辅助!AJ70</f>
        <v>0</v>
      </c>
      <c r="CW72" s="221">
        <f>CP72-CS72-CU72</f>
        <v>0</v>
      </c>
      <c r="CX72" s="187">
        <f>CQ72-CT72-CV72</f>
        <v>0</v>
      </c>
      <c r="CY72" s="236">
        <f>IF(AND(CP72&gt;0,CQ72&gt;0),0,CT72)</f>
        <v>0</v>
      </c>
      <c r="CZ72" s="220">
        <f>IF($B72="",0,SUMIFS(采购进货!$E$4:$E$1503,采购进货!$D$4:$D$1503,$B72,采购进货!$B$4:$B$1503,"&gt;="&amp;DATE(年度,9,1),采购进货!$B$4:$B$1503,"&lt;"&amp;DATE(年度,9+1,1))+SUMIFS(采购进货!$H$4:$H$1503,采购进货!$D$4:$D$1503,$B72,采购进货!$B$4:$B$1503,"&gt;="&amp;DATE(年度,9,1),采购进货!$B$4:$B$1503,"&lt;"&amp;DATE(年度,9+1,1)))</f>
        <v>0</v>
      </c>
      <c r="DA72" s="186">
        <f>IF($B72="",0,SUMIFS(采购进货!$G$4:$G$1503,采购进货!$D$4:$D$1503,$B72,采购进货!$B$4:$B$1503,"&gt;="&amp;DATE(年度,9,1),采购进货!$B$4:$B$1503,"&lt;"&amp;DATE(年度,9+1,1)))</f>
        <v>0</v>
      </c>
      <c r="DB72" s="234">
        <f>CW72+CZ72</f>
        <v>0</v>
      </c>
      <c r="DC72" s="235">
        <f>CX72+DA72</f>
        <v>0</v>
      </c>
      <c r="DD72" s="222">
        <f>IF(AND(DB72&gt;0,DC72&gt;0),DC72/DB72,N($E72))</f>
        <v>0</v>
      </c>
      <c r="DE72" s="220">
        <f>IF($B72="",0,SUMIFS(出库明细!$E$4:$E$3003,出库明细!$D$4:$D$3003,$B72,出库明细!$B$4:$B$3003,"&gt;="&amp;DATE(年度,9,1),出库明细!$B$4:$B$3003,"&lt;"&amp;DATE(年度,9+1,1)))</f>
        <v>0</v>
      </c>
      <c r="DF72" s="186">
        <f>DE72*DD72</f>
        <v>0</v>
      </c>
      <c r="DG72" s="220">
        <f>_辅助!BU70</f>
        <v>0</v>
      </c>
      <c r="DH72" s="186">
        <f>_辅助!AK70</f>
        <v>0</v>
      </c>
      <c r="DI72" s="221">
        <f>DB72-DE72-DG72</f>
        <v>0</v>
      </c>
      <c r="DJ72" s="187">
        <f>DC72-DF72-DH72</f>
        <v>0</v>
      </c>
      <c r="DK72" s="236">
        <f>IF(AND(DB72&gt;0,DC72&gt;0),0,DF72)</f>
        <v>0</v>
      </c>
      <c r="DL72" s="220">
        <f>IF($B72="",0,SUMIFS(采购进货!$E$4:$E$1503,采购进货!$D$4:$D$1503,$B72,采购进货!$B$4:$B$1503,"&gt;="&amp;DATE(年度,10,1),采购进货!$B$4:$B$1503,"&lt;"&amp;DATE(年度,10+1,1))+SUMIFS(采购进货!$H$4:$H$1503,采购进货!$D$4:$D$1503,$B72,采购进货!$B$4:$B$1503,"&gt;="&amp;DATE(年度,10,1),采购进货!$B$4:$B$1503,"&lt;"&amp;DATE(年度,10+1,1)))</f>
        <v>0</v>
      </c>
      <c r="DM72" s="186">
        <f>IF($B72="",0,SUMIFS(采购进货!$G$4:$G$1503,采购进货!$D$4:$D$1503,$B72,采购进货!$B$4:$B$1503,"&gt;="&amp;DATE(年度,10,1),采购进货!$B$4:$B$1503,"&lt;"&amp;DATE(年度,10+1,1)))</f>
        <v>0</v>
      </c>
      <c r="DN72" s="234">
        <f>DI72+DL72</f>
        <v>0</v>
      </c>
      <c r="DO72" s="235">
        <f>DJ72+DM72</f>
        <v>0</v>
      </c>
      <c r="DP72" s="222">
        <f>IF(AND(DN72&gt;0,DO72&gt;0),DO72/DN72,N($E72))</f>
        <v>0</v>
      </c>
      <c r="DQ72" s="220">
        <f>IF($B72="",0,SUMIFS(出库明细!$E$4:$E$3003,出库明细!$D$4:$D$3003,$B72,出库明细!$B$4:$B$3003,"&gt;="&amp;DATE(年度,10,1),出库明细!$B$4:$B$3003,"&lt;"&amp;DATE(年度,10+1,1)))</f>
        <v>0</v>
      </c>
      <c r="DR72" s="186">
        <f>DQ72*DP72</f>
        <v>0</v>
      </c>
      <c r="DS72" s="220">
        <f>_辅助!BV70</f>
        <v>0</v>
      </c>
      <c r="DT72" s="186">
        <f>_辅助!AL70</f>
        <v>0</v>
      </c>
      <c r="DU72" s="221">
        <f>DN72-DQ72-DS72</f>
        <v>0</v>
      </c>
      <c r="DV72" s="187">
        <f>DO72-DR72-DT72</f>
        <v>0</v>
      </c>
      <c r="DW72" s="236">
        <f>IF(AND(DN72&gt;0,DO72&gt;0),0,DR72)</f>
        <v>0</v>
      </c>
      <c r="DX72" s="220">
        <f>IF($B72="",0,SUMIFS(采购进货!$E$4:$E$1503,采购进货!$D$4:$D$1503,$B72,采购进货!$B$4:$B$1503,"&gt;="&amp;DATE(年度,11,1),采购进货!$B$4:$B$1503,"&lt;"&amp;DATE(年度,11+1,1))+SUMIFS(采购进货!$H$4:$H$1503,采购进货!$D$4:$D$1503,$B72,采购进货!$B$4:$B$1503,"&gt;="&amp;DATE(年度,11,1),采购进货!$B$4:$B$1503,"&lt;"&amp;DATE(年度,11+1,1)))</f>
        <v>0</v>
      </c>
      <c r="DY72" s="186">
        <f>IF($B72="",0,SUMIFS(采购进货!$G$4:$G$1503,采购进货!$D$4:$D$1503,$B72,采购进货!$B$4:$B$1503,"&gt;="&amp;DATE(年度,11,1),采购进货!$B$4:$B$1503,"&lt;"&amp;DATE(年度,11+1,1)))</f>
        <v>0</v>
      </c>
      <c r="DZ72" s="234">
        <f>DU72+DX72</f>
        <v>0</v>
      </c>
      <c r="EA72" s="235">
        <f>DV72+DY72</f>
        <v>0</v>
      </c>
      <c r="EB72" s="222">
        <f>IF(AND(DZ72&gt;0,EA72&gt;0),EA72/DZ72,N($E72))</f>
        <v>0</v>
      </c>
      <c r="EC72" s="220">
        <f>IF($B72="",0,SUMIFS(出库明细!$E$4:$E$3003,出库明细!$D$4:$D$3003,$B72,出库明细!$B$4:$B$3003,"&gt;="&amp;DATE(年度,11,1),出库明细!$B$4:$B$3003,"&lt;"&amp;DATE(年度,11+1,1)))</f>
        <v>0</v>
      </c>
      <c r="ED72" s="186">
        <f>EC72*EB72</f>
        <v>0</v>
      </c>
      <c r="EE72" s="220">
        <f>_辅助!BW70</f>
        <v>0</v>
      </c>
      <c r="EF72" s="186">
        <f>_辅助!AM70</f>
        <v>0</v>
      </c>
      <c r="EG72" s="221">
        <f>DZ72-EC72-EE72</f>
        <v>0</v>
      </c>
      <c r="EH72" s="187">
        <f>EA72-ED72-EF72</f>
        <v>0</v>
      </c>
      <c r="EI72" s="236">
        <f>IF(AND(DZ72&gt;0,EA72&gt;0),0,ED72)</f>
        <v>0</v>
      </c>
      <c r="EJ72" s="220">
        <f>IF($B72="",0,SUMIFS(采购进货!$E$4:$E$1503,采购进货!$D$4:$D$1503,$B72,采购进货!$B$4:$B$1503,"&gt;="&amp;DATE(年度,12,1),采购进货!$B$4:$B$1503,"&lt;"&amp;DATE(年度,12+1,1))+SUMIFS(采购进货!$H$4:$H$1503,采购进货!$D$4:$D$1503,$B72,采购进货!$B$4:$B$1503,"&gt;="&amp;DATE(年度,12,1),采购进货!$B$4:$B$1503,"&lt;"&amp;DATE(年度,12+1,1)))</f>
        <v>0</v>
      </c>
      <c r="EK72" s="186">
        <f>IF($B72="",0,SUMIFS(采购进货!$G$4:$G$1503,采购进货!$D$4:$D$1503,$B72,采购进货!$B$4:$B$1503,"&gt;="&amp;DATE(年度,12,1),采购进货!$B$4:$B$1503,"&lt;"&amp;DATE(年度,12+1,1)))</f>
        <v>0</v>
      </c>
      <c r="EL72" s="234">
        <f>EG72+EJ72</f>
        <v>0</v>
      </c>
      <c r="EM72" s="235">
        <f>EH72+EK72</f>
        <v>0</v>
      </c>
      <c r="EN72" s="222">
        <f>IF(AND(EL72&gt;0,EM72&gt;0),EM72/EL72,N($E72))</f>
        <v>0</v>
      </c>
      <c r="EO72" s="220">
        <f>IF($B72="",0,SUMIFS(出库明细!$E$4:$E$3003,出库明细!$D$4:$D$3003,$B72,出库明细!$B$4:$B$3003,"&gt;="&amp;DATE(年度,12,1),出库明细!$B$4:$B$3003,"&lt;"&amp;DATE(年度,12+1,1)))</f>
        <v>0</v>
      </c>
      <c r="EP72" s="186">
        <f>EO72*EN72</f>
        <v>0</v>
      </c>
      <c r="EQ72" s="220">
        <f>_辅助!BX70</f>
        <v>0</v>
      </c>
      <c r="ER72" s="186">
        <f>_辅助!AN70</f>
        <v>0</v>
      </c>
      <c r="ES72" s="221">
        <f>EL72-EO72-EQ72</f>
        <v>0</v>
      </c>
      <c r="ET72" s="187">
        <f>EM72-EP72-ER72</f>
        <v>0</v>
      </c>
      <c r="EU72" s="236">
        <f>IF(AND(EL72&gt;0,EM72&gt;0),0,EP72)</f>
        <v>0</v>
      </c>
    </row>
    <row r="73">
      <c r="A73" s="194">
        <f>IF(B73="","",ROW()-7)</f>
      </c>
      <c r="B73" s="141">
        <f>IF(基础资料!E70="","",基础资料!E70&amp;"")</f>
      </c>
      <c r="C73" s="230">
        <f>IF(基础资料!G70="","",基础资料!G70&amp;"")</f>
      </c>
      <c r="D73" s="194">
        <f>IF(基础资料!I70="","",基础资料!I70)</f>
      </c>
      <c r="E73" s="231">
        <f>IF(基础资料!J70="","",基础资料!J70)</f>
      </c>
      <c r="F73" s="232">
        <f>N(基础资料!L70)</f>
        <v>0</v>
      </c>
      <c r="G73" s="233">
        <f>IF(基础资料!N70="",0,基础资料!N70)</f>
        <v>0</v>
      </c>
      <c r="H73" s="220">
        <f>IF($B73="",0,SUMIFS(采购进货!$E$4:$E$1503,采购进货!$D$4:$D$1503,$B73,采购进货!$B$4:$B$1503,"&gt;="&amp;DATE(年度,1,1),采购进货!$B$4:$B$1503,"&lt;"&amp;DATE(年度,1+1,1))+SUMIFS(采购进货!$H$4:$H$1503,采购进货!$D$4:$D$1503,$B73,采购进货!$B$4:$B$1503,"&gt;="&amp;DATE(年度,1,1),采购进货!$B$4:$B$1503,"&lt;"&amp;DATE(年度,1+1,1)))</f>
        <v>0</v>
      </c>
      <c r="I73" s="186">
        <f>IF($B73="",0,SUMIFS(采购进货!$G$4:$G$1503,采购进货!$D$4:$D$1503,$B73,采购进货!$B$4:$B$1503,"&gt;="&amp;DATE(年度,1,1),采购进货!$B$4:$B$1503,"&lt;"&amp;DATE(年度,1+1,1)))</f>
        <v>0</v>
      </c>
      <c r="J73" s="234">
        <f>F73+H73</f>
        <v>0</v>
      </c>
      <c r="K73" s="235">
        <f>G73+I73</f>
        <v>0</v>
      </c>
      <c r="L73" s="222">
        <f>IF(AND(J73&gt;0,K73&gt;0),K73/J73,N($E73))</f>
        <v>0</v>
      </c>
      <c r="M73" s="220">
        <f>IF($B73="",0,SUMIFS(出库明细!$E$4:$E$3003,出库明细!$D$4:$D$3003,$B73,出库明细!$B$4:$B$3003,"&gt;="&amp;DATE(年度,1,1),出库明细!$B$4:$B$3003,"&lt;"&amp;DATE(年度,1+1,1)))</f>
        <v>0</v>
      </c>
      <c r="N73" s="186">
        <f>M73*L73</f>
        <v>0</v>
      </c>
      <c r="O73" s="220">
        <f>_辅助!BM71</f>
        <v>0</v>
      </c>
      <c r="P73" s="186">
        <f>_辅助!AC71</f>
        <v>0</v>
      </c>
      <c r="Q73" s="221">
        <f>J73-M73-O73</f>
        <v>0</v>
      </c>
      <c r="R73" s="187">
        <f>K73-N73-P73</f>
        <v>0</v>
      </c>
      <c r="S73" s="236">
        <f>IF(AND(J73&gt;0,K73&gt;0),0,N73)</f>
        <v>0</v>
      </c>
      <c r="T73" s="220">
        <f>IF($B73="",0,SUMIFS(采购进货!$E$4:$E$1503,采购进货!$D$4:$D$1503,$B73,采购进货!$B$4:$B$1503,"&gt;="&amp;DATE(年度,2,1),采购进货!$B$4:$B$1503,"&lt;"&amp;DATE(年度,2+1,1))+SUMIFS(采购进货!$H$4:$H$1503,采购进货!$D$4:$D$1503,$B73,采购进货!$B$4:$B$1503,"&gt;="&amp;DATE(年度,2,1),采购进货!$B$4:$B$1503,"&lt;"&amp;DATE(年度,2+1,1)))</f>
        <v>0</v>
      </c>
      <c r="U73" s="186">
        <f>IF($B73="",0,SUMIFS(采购进货!$G$4:$G$1503,采购进货!$D$4:$D$1503,$B73,采购进货!$B$4:$B$1503,"&gt;="&amp;DATE(年度,2,1),采购进货!$B$4:$B$1503,"&lt;"&amp;DATE(年度,2+1,1)))</f>
        <v>0</v>
      </c>
      <c r="V73" s="234">
        <f>Q73+T73</f>
        <v>0</v>
      </c>
      <c r="W73" s="235">
        <f>R73+U73</f>
        <v>0</v>
      </c>
      <c r="X73" s="222">
        <f>IF(AND(V73&gt;0,W73&gt;0),W73/V73,N($E73))</f>
        <v>0</v>
      </c>
      <c r="Y73" s="220">
        <f>IF($B73="",0,SUMIFS(出库明细!$E$4:$E$3003,出库明细!$D$4:$D$3003,$B73,出库明细!$B$4:$B$3003,"&gt;="&amp;DATE(年度,2,1),出库明细!$B$4:$B$3003,"&lt;"&amp;DATE(年度,2+1,1)))</f>
        <v>0</v>
      </c>
      <c r="Z73" s="186">
        <f>Y73*X73</f>
        <v>0</v>
      </c>
      <c r="AA73" s="220">
        <f>_辅助!BN71</f>
        <v>0</v>
      </c>
      <c r="AB73" s="186">
        <f>_辅助!AD71</f>
        <v>0</v>
      </c>
      <c r="AC73" s="221">
        <f>V73-Y73-AA73</f>
        <v>0</v>
      </c>
      <c r="AD73" s="187">
        <f>W73-Z73-AB73</f>
        <v>0</v>
      </c>
      <c r="AE73" s="236">
        <f>IF(AND(V73&gt;0,W73&gt;0),0,Z73)</f>
        <v>0</v>
      </c>
      <c r="AF73" s="220">
        <f>IF($B73="",0,SUMIFS(采购进货!$E$4:$E$1503,采购进货!$D$4:$D$1503,$B73,采购进货!$B$4:$B$1503,"&gt;="&amp;DATE(年度,3,1),采购进货!$B$4:$B$1503,"&lt;"&amp;DATE(年度,3+1,1))+SUMIFS(采购进货!$H$4:$H$1503,采购进货!$D$4:$D$1503,$B73,采购进货!$B$4:$B$1503,"&gt;="&amp;DATE(年度,3,1),采购进货!$B$4:$B$1503,"&lt;"&amp;DATE(年度,3+1,1)))</f>
        <v>0</v>
      </c>
      <c r="AG73" s="186">
        <f>IF($B73="",0,SUMIFS(采购进货!$G$4:$G$1503,采购进货!$D$4:$D$1503,$B73,采购进货!$B$4:$B$1503,"&gt;="&amp;DATE(年度,3,1),采购进货!$B$4:$B$1503,"&lt;"&amp;DATE(年度,3+1,1)))</f>
        <v>0</v>
      </c>
      <c r="AH73" s="234">
        <f>AC73+AF73</f>
        <v>0</v>
      </c>
      <c r="AI73" s="235">
        <f>AD73+AG73</f>
        <v>0</v>
      </c>
      <c r="AJ73" s="222">
        <f>IF(AND(AH73&gt;0,AI73&gt;0),AI73/AH73,N($E73))</f>
        <v>0</v>
      </c>
      <c r="AK73" s="220">
        <f>IF($B73="",0,SUMIFS(出库明细!$E$4:$E$3003,出库明细!$D$4:$D$3003,$B73,出库明细!$B$4:$B$3003,"&gt;="&amp;DATE(年度,3,1),出库明细!$B$4:$B$3003,"&lt;"&amp;DATE(年度,3+1,1)))</f>
        <v>0</v>
      </c>
      <c r="AL73" s="186">
        <f>AK73*AJ73</f>
        <v>0</v>
      </c>
      <c r="AM73" s="220">
        <f>_辅助!BO71</f>
        <v>0</v>
      </c>
      <c r="AN73" s="186">
        <f>_辅助!AE71</f>
        <v>0</v>
      </c>
      <c r="AO73" s="221">
        <f>AH73-AK73-AM73</f>
        <v>0</v>
      </c>
      <c r="AP73" s="187">
        <f>AI73-AL73-AN73</f>
        <v>0</v>
      </c>
      <c r="AQ73" s="236">
        <f>IF(AND(AH73&gt;0,AI73&gt;0),0,AL73)</f>
        <v>0</v>
      </c>
      <c r="AR73" s="220">
        <f>IF($B73="",0,SUMIFS(采购进货!$E$4:$E$1503,采购进货!$D$4:$D$1503,$B73,采购进货!$B$4:$B$1503,"&gt;="&amp;DATE(年度,4,1),采购进货!$B$4:$B$1503,"&lt;"&amp;DATE(年度,4+1,1))+SUMIFS(采购进货!$H$4:$H$1503,采购进货!$D$4:$D$1503,$B73,采购进货!$B$4:$B$1503,"&gt;="&amp;DATE(年度,4,1),采购进货!$B$4:$B$1503,"&lt;"&amp;DATE(年度,4+1,1)))</f>
        <v>0</v>
      </c>
      <c r="AS73" s="186">
        <f>IF($B73="",0,SUMIFS(采购进货!$G$4:$G$1503,采购进货!$D$4:$D$1503,$B73,采购进货!$B$4:$B$1503,"&gt;="&amp;DATE(年度,4,1),采购进货!$B$4:$B$1503,"&lt;"&amp;DATE(年度,4+1,1)))</f>
        <v>0</v>
      </c>
      <c r="AT73" s="234">
        <f>AO73+AR73</f>
        <v>0</v>
      </c>
      <c r="AU73" s="235">
        <f>AP73+AS73</f>
        <v>0</v>
      </c>
      <c r="AV73" s="222">
        <f>IF(AND(AT73&gt;0,AU73&gt;0),AU73/AT73,N($E73))</f>
        <v>0</v>
      </c>
      <c r="AW73" s="220">
        <f>IF($B73="",0,SUMIFS(出库明细!$E$4:$E$3003,出库明细!$D$4:$D$3003,$B73,出库明细!$B$4:$B$3003,"&gt;="&amp;DATE(年度,4,1),出库明细!$B$4:$B$3003,"&lt;"&amp;DATE(年度,4+1,1)))</f>
        <v>0</v>
      </c>
      <c r="AX73" s="186">
        <f>AW73*AV73</f>
        <v>0</v>
      </c>
      <c r="AY73" s="220">
        <f>_辅助!BP71</f>
        <v>0</v>
      </c>
      <c r="AZ73" s="186">
        <f>_辅助!AF71</f>
        <v>0</v>
      </c>
      <c r="BA73" s="221">
        <f>AT73-AW73-AY73</f>
        <v>0</v>
      </c>
      <c r="BB73" s="187">
        <f>AU73-AX73-AZ73</f>
        <v>0</v>
      </c>
      <c r="BC73" s="236">
        <f>IF(AND(AT73&gt;0,AU73&gt;0),0,AX73)</f>
        <v>0</v>
      </c>
      <c r="BD73" s="220">
        <f>IF($B73="",0,SUMIFS(采购进货!$E$4:$E$1503,采购进货!$D$4:$D$1503,$B73,采购进货!$B$4:$B$1503,"&gt;="&amp;DATE(年度,5,1),采购进货!$B$4:$B$1503,"&lt;"&amp;DATE(年度,5+1,1))+SUMIFS(采购进货!$H$4:$H$1503,采购进货!$D$4:$D$1503,$B73,采购进货!$B$4:$B$1503,"&gt;="&amp;DATE(年度,5,1),采购进货!$B$4:$B$1503,"&lt;"&amp;DATE(年度,5+1,1)))</f>
        <v>0</v>
      </c>
      <c r="BE73" s="186">
        <f>IF($B73="",0,SUMIFS(采购进货!$G$4:$G$1503,采购进货!$D$4:$D$1503,$B73,采购进货!$B$4:$B$1503,"&gt;="&amp;DATE(年度,5,1),采购进货!$B$4:$B$1503,"&lt;"&amp;DATE(年度,5+1,1)))</f>
        <v>0</v>
      </c>
      <c r="BF73" s="234">
        <f>BA73+BD73</f>
        <v>0</v>
      </c>
      <c r="BG73" s="235">
        <f>BB73+BE73</f>
        <v>0</v>
      </c>
      <c r="BH73" s="222">
        <f>IF(AND(BF73&gt;0,BG73&gt;0),BG73/BF73,N($E73))</f>
        <v>0</v>
      </c>
      <c r="BI73" s="220">
        <f>IF($B73="",0,SUMIFS(出库明细!$E$4:$E$3003,出库明细!$D$4:$D$3003,$B73,出库明细!$B$4:$B$3003,"&gt;="&amp;DATE(年度,5,1),出库明细!$B$4:$B$3003,"&lt;"&amp;DATE(年度,5+1,1)))</f>
        <v>0</v>
      </c>
      <c r="BJ73" s="186">
        <f>BI73*BH73</f>
        <v>0</v>
      </c>
      <c r="BK73" s="220">
        <f>_辅助!BQ71</f>
        <v>0</v>
      </c>
      <c r="BL73" s="186">
        <f>_辅助!AG71</f>
        <v>0</v>
      </c>
      <c r="BM73" s="221">
        <f>BF73-BI73-BK73</f>
        <v>0</v>
      </c>
      <c r="BN73" s="187">
        <f>BG73-BJ73-BL73</f>
        <v>0</v>
      </c>
      <c r="BO73" s="236">
        <f>IF(AND(BF73&gt;0,BG73&gt;0),0,BJ73)</f>
        <v>0</v>
      </c>
      <c r="BP73" s="220">
        <f>IF($B73="",0,SUMIFS(采购进货!$E$4:$E$1503,采购进货!$D$4:$D$1503,$B73,采购进货!$B$4:$B$1503,"&gt;="&amp;DATE(年度,6,1),采购进货!$B$4:$B$1503,"&lt;"&amp;DATE(年度,6+1,1))+SUMIFS(采购进货!$H$4:$H$1503,采购进货!$D$4:$D$1503,$B73,采购进货!$B$4:$B$1503,"&gt;="&amp;DATE(年度,6,1),采购进货!$B$4:$B$1503,"&lt;"&amp;DATE(年度,6+1,1)))</f>
        <v>0</v>
      </c>
      <c r="BQ73" s="186">
        <f>IF($B73="",0,SUMIFS(采购进货!$G$4:$G$1503,采购进货!$D$4:$D$1503,$B73,采购进货!$B$4:$B$1503,"&gt;="&amp;DATE(年度,6,1),采购进货!$B$4:$B$1503,"&lt;"&amp;DATE(年度,6+1,1)))</f>
        <v>0</v>
      </c>
      <c r="BR73" s="234">
        <f>BM73+BP73</f>
        <v>0</v>
      </c>
      <c r="BS73" s="235">
        <f>BN73+BQ73</f>
        <v>0</v>
      </c>
      <c r="BT73" s="222">
        <f>IF(AND(BR73&gt;0,BS73&gt;0),BS73/BR73,N($E73))</f>
        <v>0</v>
      </c>
      <c r="BU73" s="220">
        <f>IF($B73="",0,SUMIFS(出库明细!$E$4:$E$3003,出库明细!$D$4:$D$3003,$B73,出库明细!$B$4:$B$3003,"&gt;="&amp;DATE(年度,6,1),出库明细!$B$4:$B$3003,"&lt;"&amp;DATE(年度,6+1,1)))</f>
        <v>0</v>
      </c>
      <c r="BV73" s="186">
        <f>BU73*BT73</f>
        <v>0</v>
      </c>
      <c r="BW73" s="220">
        <f>_辅助!BR71</f>
        <v>0</v>
      </c>
      <c r="BX73" s="186">
        <f>_辅助!AH71</f>
        <v>0</v>
      </c>
      <c r="BY73" s="221">
        <f>BR73-BU73-BW73</f>
        <v>0</v>
      </c>
      <c r="BZ73" s="187">
        <f>BS73-BV73-BX73</f>
        <v>0</v>
      </c>
      <c r="CA73" s="236">
        <f>IF(AND(BR73&gt;0,BS73&gt;0),0,BV73)</f>
        <v>0</v>
      </c>
      <c r="CB73" s="220">
        <f>IF($B73="",0,SUMIFS(采购进货!$E$4:$E$1503,采购进货!$D$4:$D$1503,$B73,采购进货!$B$4:$B$1503,"&gt;="&amp;DATE(年度,7,1),采购进货!$B$4:$B$1503,"&lt;"&amp;DATE(年度,7+1,1))+SUMIFS(采购进货!$H$4:$H$1503,采购进货!$D$4:$D$1503,$B73,采购进货!$B$4:$B$1503,"&gt;="&amp;DATE(年度,7,1),采购进货!$B$4:$B$1503,"&lt;"&amp;DATE(年度,7+1,1)))</f>
        <v>0</v>
      </c>
      <c r="CC73" s="186">
        <f>IF($B73="",0,SUMIFS(采购进货!$G$4:$G$1503,采购进货!$D$4:$D$1503,$B73,采购进货!$B$4:$B$1503,"&gt;="&amp;DATE(年度,7,1),采购进货!$B$4:$B$1503,"&lt;"&amp;DATE(年度,7+1,1)))</f>
        <v>0</v>
      </c>
      <c r="CD73" s="234">
        <f>BY73+CB73</f>
        <v>0</v>
      </c>
      <c r="CE73" s="235">
        <f>BZ73+CC73</f>
        <v>0</v>
      </c>
      <c r="CF73" s="222">
        <f>IF(AND(CD73&gt;0,CE73&gt;0),CE73/CD73,N($E73))</f>
        <v>0</v>
      </c>
      <c r="CG73" s="220">
        <f>IF($B73="",0,SUMIFS(出库明细!$E$4:$E$3003,出库明细!$D$4:$D$3003,$B73,出库明细!$B$4:$B$3003,"&gt;="&amp;DATE(年度,7,1),出库明细!$B$4:$B$3003,"&lt;"&amp;DATE(年度,7+1,1)))</f>
        <v>0</v>
      </c>
      <c r="CH73" s="186">
        <f>CG73*CF73</f>
        <v>0</v>
      </c>
      <c r="CI73" s="220">
        <f>_辅助!BS71</f>
        <v>0</v>
      </c>
      <c r="CJ73" s="186">
        <f>_辅助!AI71</f>
        <v>0</v>
      </c>
      <c r="CK73" s="221">
        <f>CD73-CG73-CI73</f>
        <v>0</v>
      </c>
      <c r="CL73" s="187">
        <f>CE73-CH73-CJ73</f>
        <v>0</v>
      </c>
      <c r="CM73" s="236">
        <f>IF(AND(CD73&gt;0,CE73&gt;0),0,CH73)</f>
        <v>0</v>
      </c>
      <c r="CN73" s="220">
        <f>IF($B73="",0,SUMIFS(采购进货!$E$4:$E$1503,采购进货!$D$4:$D$1503,$B73,采购进货!$B$4:$B$1503,"&gt;="&amp;DATE(年度,8,1),采购进货!$B$4:$B$1503,"&lt;"&amp;DATE(年度,8+1,1))+SUMIFS(采购进货!$H$4:$H$1503,采购进货!$D$4:$D$1503,$B73,采购进货!$B$4:$B$1503,"&gt;="&amp;DATE(年度,8,1),采购进货!$B$4:$B$1503,"&lt;"&amp;DATE(年度,8+1,1)))</f>
        <v>0</v>
      </c>
      <c r="CO73" s="186">
        <f>IF($B73="",0,SUMIFS(采购进货!$G$4:$G$1503,采购进货!$D$4:$D$1503,$B73,采购进货!$B$4:$B$1503,"&gt;="&amp;DATE(年度,8,1),采购进货!$B$4:$B$1503,"&lt;"&amp;DATE(年度,8+1,1)))</f>
        <v>0</v>
      </c>
      <c r="CP73" s="234">
        <f>CK73+CN73</f>
        <v>0</v>
      </c>
      <c r="CQ73" s="235">
        <f>CL73+CO73</f>
        <v>0</v>
      </c>
      <c r="CR73" s="222">
        <f>IF(AND(CP73&gt;0,CQ73&gt;0),CQ73/CP73,N($E73))</f>
        <v>0</v>
      </c>
      <c r="CS73" s="220">
        <f>IF($B73="",0,SUMIFS(出库明细!$E$4:$E$3003,出库明细!$D$4:$D$3003,$B73,出库明细!$B$4:$B$3003,"&gt;="&amp;DATE(年度,8,1),出库明细!$B$4:$B$3003,"&lt;"&amp;DATE(年度,8+1,1)))</f>
        <v>0</v>
      </c>
      <c r="CT73" s="186">
        <f>CS73*CR73</f>
        <v>0</v>
      </c>
      <c r="CU73" s="220">
        <f>_辅助!BT71</f>
        <v>0</v>
      </c>
      <c r="CV73" s="186">
        <f>_辅助!AJ71</f>
        <v>0</v>
      </c>
      <c r="CW73" s="221">
        <f>CP73-CS73-CU73</f>
        <v>0</v>
      </c>
      <c r="CX73" s="187">
        <f>CQ73-CT73-CV73</f>
        <v>0</v>
      </c>
      <c r="CY73" s="236">
        <f>IF(AND(CP73&gt;0,CQ73&gt;0),0,CT73)</f>
        <v>0</v>
      </c>
      <c r="CZ73" s="220">
        <f>IF($B73="",0,SUMIFS(采购进货!$E$4:$E$1503,采购进货!$D$4:$D$1503,$B73,采购进货!$B$4:$B$1503,"&gt;="&amp;DATE(年度,9,1),采购进货!$B$4:$B$1503,"&lt;"&amp;DATE(年度,9+1,1))+SUMIFS(采购进货!$H$4:$H$1503,采购进货!$D$4:$D$1503,$B73,采购进货!$B$4:$B$1503,"&gt;="&amp;DATE(年度,9,1),采购进货!$B$4:$B$1503,"&lt;"&amp;DATE(年度,9+1,1)))</f>
        <v>0</v>
      </c>
      <c r="DA73" s="186">
        <f>IF($B73="",0,SUMIFS(采购进货!$G$4:$G$1503,采购进货!$D$4:$D$1503,$B73,采购进货!$B$4:$B$1503,"&gt;="&amp;DATE(年度,9,1),采购进货!$B$4:$B$1503,"&lt;"&amp;DATE(年度,9+1,1)))</f>
        <v>0</v>
      </c>
      <c r="DB73" s="234">
        <f>CW73+CZ73</f>
        <v>0</v>
      </c>
      <c r="DC73" s="235">
        <f>CX73+DA73</f>
        <v>0</v>
      </c>
      <c r="DD73" s="222">
        <f>IF(AND(DB73&gt;0,DC73&gt;0),DC73/DB73,N($E73))</f>
        <v>0</v>
      </c>
      <c r="DE73" s="220">
        <f>IF($B73="",0,SUMIFS(出库明细!$E$4:$E$3003,出库明细!$D$4:$D$3003,$B73,出库明细!$B$4:$B$3003,"&gt;="&amp;DATE(年度,9,1),出库明细!$B$4:$B$3003,"&lt;"&amp;DATE(年度,9+1,1)))</f>
        <v>0</v>
      </c>
      <c r="DF73" s="186">
        <f>DE73*DD73</f>
        <v>0</v>
      </c>
      <c r="DG73" s="220">
        <f>_辅助!BU71</f>
        <v>0</v>
      </c>
      <c r="DH73" s="186">
        <f>_辅助!AK71</f>
        <v>0</v>
      </c>
      <c r="DI73" s="221">
        <f>DB73-DE73-DG73</f>
        <v>0</v>
      </c>
      <c r="DJ73" s="187">
        <f>DC73-DF73-DH73</f>
        <v>0</v>
      </c>
      <c r="DK73" s="236">
        <f>IF(AND(DB73&gt;0,DC73&gt;0),0,DF73)</f>
        <v>0</v>
      </c>
      <c r="DL73" s="220">
        <f>IF($B73="",0,SUMIFS(采购进货!$E$4:$E$1503,采购进货!$D$4:$D$1503,$B73,采购进货!$B$4:$B$1503,"&gt;="&amp;DATE(年度,10,1),采购进货!$B$4:$B$1503,"&lt;"&amp;DATE(年度,10+1,1))+SUMIFS(采购进货!$H$4:$H$1503,采购进货!$D$4:$D$1503,$B73,采购进货!$B$4:$B$1503,"&gt;="&amp;DATE(年度,10,1),采购进货!$B$4:$B$1503,"&lt;"&amp;DATE(年度,10+1,1)))</f>
        <v>0</v>
      </c>
      <c r="DM73" s="186">
        <f>IF($B73="",0,SUMIFS(采购进货!$G$4:$G$1503,采购进货!$D$4:$D$1503,$B73,采购进货!$B$4:$B$1503,"&gt;="&amp;DATE(年度,10,1),采购进货!$B$4:$B$1503,"&lt;"&amp;DATE(年度,10+1,1)))</f>
        <v>0</v>
      </c>
      <c r="DN73" s="234">
        <f>DI73+DL73</f>
        <v>0</v>
      </c>
      <c r="DO73" s="235">
        <f>DJ73+DM73</f>
        <v>0</v>
      </c>
      <c r="DP73" s="222">
        <f>IF(AND(DN73&gt;0,DO73&gt;0),DO73/DN73,N($E73))</f>
        <v>0</v>
      </c>
      <c r="DQ73" s="220">
        <f>IF($B73="",0,SUMIFS(出库明细!$E$4:$E$3003,出库明细!$D$4:$D$3003,$B73,出库明细!$B$4:$B$3003,"&gt;="&amp;DATE(年度,10,1),出库明细!$B$4:$B$3003,"&lt;"&amp;DATE(年度,10+1,1)))</f>
        <v>0</v>
      </c>
      <c r="DR73" s="186">
        <f>DQ73*DP73</f>
        <v>0</v>
      </c>
      <c r="DS73" s="220">
        <f>_辅助!BV71</f>
        <v>0</v>
      </c>
      <c r="DT73" s="186">
        <f>_辅助!AL71</f>
        <v>0</v>
      </c>
      <c r="DU73" s="221">
        <f>DN73-DQ73-DS73</f>
        <v>0</v>
      </c>
      <c r="DV73" s="187">
        <f>DO73-DR73-DT73</f>
        <v>0</v>
      </c>
      <c r="DW73" s="236">
        <f>IF(AND(DN73&gt;0,DO73&gt;0),0,DR73)</f>
        <v>0</v>
      </c>
      <c r="DX73" s="220">
        <f>IF($B73="",0,SUMIFS(采购进货!$E$4:$E$1503,采购进货!$D$4:$D$1503,$B73,采购进货!$B$4:$B$1503,"&gt;="&amp;DATE(年度,11,1),采购进货!$B$4:$B$1503,"&lt;"&amp;DATE(年度,11+1,1))+SUMIFS(采购进货!$H$4:$H$1503,采购进货!$D$4:$D$1503,$B73,采购进货!$B$4:$B$1503,"&gt;="&amp;DATE(年度,11,1),采购进货!$B$4:$B$1503,"&lt;"&amp;DATE(年度,11+1,1)))</f>
        <v>0</v>
      </c>
      <c r="DY73" s="186">
        <f>IF($B73="",0,SUMIFS(采购进货!$G$4:$G$1503,采购进货!$D$4:$D$1503,$B73,采购进货!$B$4:$B$1503,"&gt;="&amp;DATE(年度,11,1),采购进货!$B$4:$B$1503,"&lt;"&amp;DATE(年度,11+1,1)))</f>
        <v>0</v>
      </c>
      <c r="DZ73" s="234">
        <f>DU73+DX73</f>
        <v>0</v>
      </c>
      <c r="EA73" s="235">
        <f>DV73+DY73</f>
        <v>0</v>
      </c>
      <c r="EB73" s="222">
        <f>IF(AND(DZ73&gt;0,EA73&gt;0),EA73/DZ73,N($E73))</f>
        <v>0</v>
      </c>
      <c r="EC73" s="220">
        <f>IF($B73="",0,SUMIFS(出库明细!$E$4:$E$3003,出库明细!$D$4:$D$3003,$B73,出库明细!$B$4:$B$3003,"&gt;="&amp;DATE(年度,11,1),出库明细!$B$4:$B$3003,"&lt;"&amp;DATE(年度,11+1,1)))</f>
        <v>0</v>
      </c>
      <c r="ED73" s="186">
        <f>EC73*EB73</f>
        <v>0</v>
      </c>
      <c r="EE73" s="220">
        <f>_辅助!BW71</f>
        <v>0</v>
      </c>
      <c r="EF73" s="186">
        <f>_辅助!AM71</f>
        <v>0</v>
      </c>
      <c r="EG73" s="221">
        <f>DZ73-EC73-EE73</f>
        <v>0</v>
      </c>
      <c r="EH73" s="187">
        <f>EA73-ED73-EF73</f>
        <v>0</v>
      </c>
      <c r="EI73" s="236">
        <f>IF(AND(DZ73&gt;0,EA73&gt;0),0,ED73)</f>
        <v>0</v>
      </c>
      <c r="EJ73" s="220">
        <f>IF($B73="",0,SUMIFS(采购进货!$E$4:$E$1503,采购进货!$D$4:$D$1503,$B73,采购进货!$B$4:$B$1503,"&gt;="&amp;DATE(年度,12,1),采购进货!$B$4:$B$1503,"&lt;"&amp;DATE(年度,12+1,1))+SUMIFS(采购进货!$H$4:$H$1503,采购进货!$D$4:$D$1503,$B73,采购进货!$B$4:$B$1503,"&gt;="&amp;DATE(年度,12,1),采购进货!$B$4:$B$1503,"&lt;"&amp;DATE(年度,12+1,1)))</f>
        <v>0</v>
      </c>
      <c r="EK73" s="186">
        <f>IF($B73="",0,SUMIFS(采购进货!$G$4:$G$1503,采购进货!$D$4:$D$1503,$B73,采购进货!$B$4:$B$1503,"&gt;="&amp;DATE(年度,12,1),采购进货!$B$4:$B$1503,"&lt;"&amp;DATE(年度,12+1,1)))</f>
        <v>0</v>
      </c>
      <c r="EL73" s="234">
        <f>EG73+EJ73</f>
        <v>0</v>
      </c>
      <c r="EM73" s="235">
        <f>EH73+EK73</f>
        <v>0</v>
      </c>
      <c r="EN73" s="222">
        <f>IF(AND(EL73&gt;0,EM73&gt;0),EM73/EL73,N($E73))</f>
        <v>0</v>
      </c>
      <c r="EO73" s="220">
        <f>IF($B73="",0,SUMIFS(出库明细!$E$4:$E$3003,出库明细!$D$4:$D$3003,$B73,出库明细!$B$4:$B$3003,"&gt;="&amp;DATE(年度,12,1),出库明细!$B$4:$B$3003,"&lt;"&amp;DATE(年度,12+1,1)))</f>
        <v>0</v>
      </c>
      <c r="EP73" s="186">
        <f>EO73*EN73</f>
        <v>0</v>
      </c>
      <c r="EQ73" s="220">
        <f>_辅助!BX71</f>
        <v>0</v>
      </c>
      <c r="ER73" s="186">
        <f>_辅助!AN71</f>
        <v>0</v>
      </c>
      <c r="ES73" s="221">
        <f>EL73-EO73-EQ73</f>
        <v>0</v>
      </c>
      <c r="ET73" s="187">
        <f>EM73-EP73-ER73</f>
        <v>0</v>
      </c>
      <c r="EU73" s="236">
        <f>IF(AND(EL73&gt;0,EM73&gt;0),0,EP73)</f>
        <v>0</v>
      </c>
    </row>
    <row r="74">
      <c r="A74" s="194">
        <f>IF(B74="","",ROW()-7)</f>
      </c>
      <c r="B74" s="141">
        <f>IF(基础资料!E71="","",基础资料!E71&amp;"")</f>
      </c>
      <c r="C74" s="230">
        <f>IF(基础资料!G71="","",基础资料!G71&amp;"")</f>
      </c>
      <c r="D74" s="194">
        <f>IF(基础资料!I71="","",基础资料!I71)</f>
      </c>
      <c r="E74" s="231">
        <f>IF(基础资料!J71="","",基础资料!J71)</f>
      </c>
      <c r="F74" s="232">
        <f>N(基础资料!L71)</f>
        <v>0</v>
      </c>
      <c r="G74" s="233">
        <f>IF(基础资料!N71="",0,基础资料!N71)</f>
        <v>0</v>
      </c>
      <c r="H74" s="220">
        <f>IF($B74="",0,SUMIFS(采购进货!$E$4:$E$1503,采购进货!$D$4:$D$1503,$B74,采购进货!$B$4:$B$1503,"&gt;="&amp;DATE(年度,1,1),采购进货!$B$4:$B$1503,"&lt;"&amp;DATE(年度,1+1,1))+SUMIFS(采购进货!$H$4:$H$1503,采购进货!$D$4:$D$1503,$B74,采购进货!$B$4:$B$1503,"&gt;="&amp;DATE(年度,1,1),采购进货!$B$4:$B$1503,"&lt;"&amp;DATE(年度,1+1,1)))</f>
        <v>0</v>
      </c>
      <c r="I74" s="186">
        <f>IF($B74="",0,SUMIFS(采购进货!$G$4:$G$1503,采购进货!$D$4:$D$1503,$B74,采购进货!$B$4:$B$1503,"&gt;="&amp;DATE(年度,1,1),采购进货!$B$4:$B$1503,"&lt;"&amp;DATE(年度,1+1,1)))</f>
        <v>0</v>
      </c>
      <c r="J74" s="234">
        <f>F74+H74</f>
        <v>0</v>
      </c>
      <c r="K74" s="235">
        <f>G74+I74</f>
        <v>0</v>
      </c>
      <c r="L74" s="222">
        <f>IF(AND(J74&gt;0,K74&gt;0),K74/J74,N($E74))</f>
        <v>0</v>
      </c>
      <c r="M74" s="220">
        <f>IF($B74="",0,SUMIFS(出库明细!$E$4:$E$3003,出库明细!$D$4:$D$3003,$B74,出库明细!$B$4:$B$3003,"&gt;="&amp;DATE(年度,1,1),出库明细!$B$4:$B$3003,"&lt;"&amp;DATE(年度,1+1,1)))</f>
        <v>0</v>
      </c>
      <c r="N74" s="186">
        <f>M74*L74</f>
        <v>0</v>
      </c>
      <c r="O74" s="220">
        <f>_辅助!BM72</f>
        <v>0</v>
      </c>
      <c r="P74" s="186">
        <f>_辅助!AC72</f>
        <v>0</v>
      </c>
      <c r="Q74" s="221">
        <f>J74-M74-O74</f>
        <v>0</v>
      </c>
      <c r="R74" s="187">
        <f>K74-N74-P74</f>
        <v>0</v>
      </c>
      <c r="S74" s="236">
        <f>IF(AND(J74&gt;0,K74&gt;0),0,N74)</f>
        <v>0</v>
      </c>
      <c r="T74" s="220">
        <f>IF($B74="",0,SUMIFS(采购进货!$E$4:$E$1503,采购进货!$D$4:$D$1503,$B74,采购进货!$B$4:$B$1503,"&gt;="&amp;DATE(年度,2,1),采购进货!$B$4:$B$1503,"&lt;"&amp;DATE(年度,2+1,1))+SUMIFS(采购进货!$H$4:$H$1503,采购进货!$D$4:$D$1503,$B74,采购进货!$B$4:$B$1503,"&gt;="&amp;DATE(年度,2,1),采购进货!$B$4:$B$1503,"&lt;"&amp;DATE(年度,2+1,1)))</f>
        <v>0</v>
      </c>
      <c r="U74" s="186">
        <f>IF($B74="",0,SUMIFS(采购进货!$G$4:$G$1503,采购进货!$D$4:$D$1503,$B74,采购进货!$B$4:$B$1503,"&gt;="&amp;DATE(年度,2,1),采购进货!$B$4:$B$1503,"&lt;"&amp;DATE(年度,2+1,1)))</f>
        <v>0</v>
      </c>
      <c r="V74" s="234">
        <f>Q74+T74</f>
        <v>0</v>
      </c>
      <c r="W74" s="235">
        <f>R74+U74</f>
        <v>0</v>
      </c>
      <c r="X74" s="222">
        <f>IF(AND(V74&gt;0,W74&gt;0),W74/V74,N($E74))</f>
        <v>0</v>
      </c>
      <c r="Y74" s="220">
        <f>IF($B74="",0,SUMIFS(出库明细!$E$4:$E$3003,出库明细!$D$4:$D$3003,$B74,出库明细!$B$4:$B$3003,"&gt;="&amp;DATE(年度,2,1),出库明细!$B$4:$B$3003,"&lt;"&amp;DATE(年度,2+1,1)))</f>
        <v>0</v>
      </c>
      <c r="Z74" s="186">
        <f>Y74*X74</f>
        <v>0</v>
      </c>
      <c r="AA74" s="220">
        <f>_辅助!BN72</f>
        <v>0</v>
      </c>
      <c r="AB74" s="186">
        <f>_辅助!AD72</f>
        <v>0</v>
      </c>
      <c r="AC74" s="221">
        <f>V74-Y74-AA74</f>
        <v>0</v>
      </c>
      <c r="AD74" s="187">
        <f>W74-Z74-AB74</f>
        <v>0</v>
      </c>
      <c r="AE74" s="236">
        <f>IF(AND(V74&gt;0,W74&gt;0),0,Z74)</f>
        <v>0</v>
      </c>
      <c r="AF74" s="220">
        <f>IF($B74="",0,SUMIFS(采购进货!$E$4:$E$1503,采购进货!$D$4:$D$1503,$B74,采购进货!$B$4:$B$1503,"&gt;="&amp;DATE(年度,3,1),采购进货!$B$4:$B$1503,"&lt;"&amp;DATE(年度,3+1,1))+SUMIFS(采购进货!$H$4:$H$1503,采购进货!$D$4:$D$1503,$B74,采购进货!$B$4:$B$1503,"&gt;="&amp;DATE(年度,3,1),采购进货!$B$4:$B$1503,"&lt;"&amp;DATE(年度,3+1,1)))</f>
        <v>0</v>
      </c>
      <c r="AG74" s="186">
        <f>IF($B74="",0,SUMIFS(采购进货!$G$4:$G$1503,采购进货!$D$4:$D$1503,$B74,采购进货!$B$4:$B$1503,"&gt;="&amp;DATE(年度,3,1),采购进货!$B$4:$B$1503,"&lt;"&amp;DATE(年度,3+1,1)))</f>
        <v>0</v>
      </c>
      <c r="AH74" s="234">
        <f>AC74+AF74</f>
        <v>0</v>
      </c>
      <c r="AI74" s="235">
        <f>AD74+AG74</f>
        <v>0</v>
      </c>
      <c r="AJ74" s="222">
        <f>IF(AND(AH74&gt;0,AI74&gt;0),AI74/AH74,N($E74))</f>
        <v>0</v>
      </c>
      <c r="AK74" s="220">
        <f>IF($B74="",0,SUMIFS(出库明细!$E$4:$E$3003,出库明细!$D$4:$D$3003,$B74,出库明细!$B$4:$B$3003,"&gt;="&amp;DATE(年度,3,1),出库明细!$B$4:$B$3003,"&lt;"&amp;DATE(年度,3+1,1)))</f>
        <v>0</v>
      </c>
      <c r="AL74" s="186">
        <f>AK74*AJ74</f>
        <v>0</v>
      </c>
      <c r="AM74" s="220">
        <f>_辅助!BO72</f>
        <v>0</v>
      </c>
      <c r="AN74" s="186">
        <f>_辅助!AE72</f>
        <v>0</v>
      </c>
      <c r="AO74" s="221">
        <f>AH74-AK74-AM74</f>
        <v>0</v>
      </c>
      <c r="AP74" s="187">
        <f>AI74-AL74-AN74</f>
        <v>0</v>
      </c>
      <c r="AQ74" s="236">
        <f>IF(AND(AH74&gt;0,AI74&gt;0),0,AL74)</f>
        <v>0</v>
      </c>
      <c r="AR74" s="220">
        <f>IF($B74="",0,SUMIFS(采购进货!$E$4:$E$1503,采购进货!$D$4:$D$1503,$B74,采购进货!$B$4:$B$1503,"&gt;="&amp;DATE(年度,4,1),采购进货!$B$4:$B$1503,"&lt;"&amp;DATE(年度,4+1,1))+SUMIFS(采购进货!$H$4:$H$1503,采购进货!$D$4:$D$1503,$B74,采购进货!$B$4:$B$1503,"&gt;="&amp;DATE(年度,4,1),采购进货!$B$4:$B$1503,"&lt;"&amp;DATE(年度,4+1,1)))</f>
        <v>0</v>
      </c>
      <c r="AS74" s="186">
        <f>IF($B74="",0,SUMIFS(采购进货!$G$4:$G$1503,采购进货!$D$4:$D$1503,$B74,采购进货!$B$4:$B$1503,"&gt;="&amp;DATE(年度,4,1),采购进货!$B$4:$B$1503,"&lt;"&amp;DATE(年度,4+1,1)))</f>
        <v>0</v>
      </c>
      <c r="AT74" s="234">
        <f>AO74+AR74</f>
        <v>0</v>
      </c>
      <c r="AU74" s="235">
        <f>AP74+AS74</f>
        <v>0</v>
      </c>
      <c r="AV74" s="222">
        <f>IF(AND(AT74&gt;0,AU74&gt;0),AU74/AT74,N($E74))</f>
        <v>0</v>
      </c>
      <c r="AW74" s="220">
        <f>IF($B74="",0,SUMIFS(出库明细!$E$4:$E$3003,出库明细!$D$4:$D$3003,$B74,出库明细!$B$4:$B$3003,"&gt;="&amp;DATE(年度,4,1),出库明细!$B$4:$B$3003,"&lt;"&amp;DATE(年度,4+1,1)))</f>
        <v>0</v>
      </c>
      <c r="AX74" s="186">
        <f>AW74*AV74</f>
        <v>0</v>
      </c>
      <c r="AY74" s="220">
        <f>_辅助!BP72</f>
        <v>0</v>
      </c>
      <c r="AZ74" s="186">
        <f>_辅助!AF72</f>
        <v>0</v>
      </c>
      <c r="BA74" s="221">
        <f>AT74-AW74-AY74</f>
        <v>0</v>
      </c>
      <c r="BB74" s="187">
        <f>AU74-AX74-AZ74</f>
        <v>0</v>
      </c>
      <c r="BC74" s="236">
        <f>IF(AND(AT74&gt;0,AU74&gt;0),0,AX74)</f>
        <v>0</v>
      </c>
      <c r="BD74" s="220">
        <f>IF($B74="",0,SUMIFS(采购进货!$E$4:$E$1503,采购进货!$D$4:$D$1503,$B74,采购进货!$B$4:$B$1503,"&gt;="&amp;DATE(年度,5,1),采购进货!$B$4:$B$1503,"&lt;"&amp;DATE(年度,5+1,1))+SUMIFS(采购进货!$H$4:$H$1503,采购进货!$D$4:$D$1503,$B74,采购进货!$B$4:$B$1503,"&gt;="&amp;DATE(年度,5,1),采购进货!$B$4:$B$1503,"&lt;"&amp;DATE(年度,5+1,1)))</f>
        <v>0</v>
      </c>
      <c r="BE74" s="186">
        <f>IF($B74="",0,SUMIFS(采购进货!$G$4:$G$1503,采购进货!$D$4:$D$1503,$B74,采购进货!$B$4:$B$1503,"&gt;="&amp;DATE(年度,5,1),采购进货!$B$4:$B$1503,"&lt;"&amp;DATE(年度,5+1,1)))</f>
        <v>0</v>
      </c>
      <c r="BF74" s="234">
        <f>BA74+BD74</f>
        <v>0</v>
      </c>
      <c r="BG74" s="235">
        <f>BB74+BE74</f>
        <v>0</v>
      </c>
      <c r="BH74" s="222">
        <f>IF(AND(BF74&gt;0,BG74&gt;0),BG74/BF74,N($E74))</f>
        <v>0</v>
      </c>
      <c r="BI74" s="220">
        <f>IF($B74="",0,SUMIFS(出库明细!$E$4:$E$3003,出库明细!$D$4:$D$3003,$B74,出库明细!$B$4:$B$3003,"&gt;="&amp;DATE(年度,5,1),出库明细!$B$4:$B$3003,"&lt;"&amp;DATE(年度,5+1,1)))</f>
        <v>0</v>
      </c>
      <c r="BJ74" s="186">
        <f>BI74*BH74</f>
        <v>0</v>
      </c>
      <c r="BK74" s="220">
        <f>_辅助!BQ72</f>
        <v>0</v>
      </c>
      <c r="BL74" s="186">
        <f>_辅助!AG72</f>
        <v>0</v>
      </c>
      <c r="BM74" s="221">
        <f>BF74-BI74-BK74</f>
        <v>0</v>
      </c>
      <c r="BN74" s="187">
        <f>BG74-BJ74-BL74</f>
        <v>0</v>
      </c>
      <c r="BO74" s="236">
        <f>IF(AND(BF74&gt;0,BG74&gt;0),0,BJ74)</f>
        <v>0</v>
      </c>
      <c r="BP74" s="220">
        <f>IF($B74="",0,SUMIFS(采购进货!$E$4:$E$1503,采购进货!$D$4:$D$1503,$B74,采购进货!$B$4:$B$1503,"&gt;="&amp;DATE(年度,6,1),采购进货!$B$4:$B$1503,"&lt;"&amp;DATE(年度,6+1,1))+SUMIFS(采购进货!$H$4:$H$1503,采购进货!$D$4:$D$1503,$B74,采购进货!$B$4:$B$1503,"&gt;="&amp;DATE(年度,6,1),采购进货!$B$4:$B$1503,"&lt;"&amp;DATE(年度,6+1,1)))</f>
        <v>0</v>
      </c>
      <c r="BQ74" s="186">
        <f>IF($B74="",0,SUMIFS(采购进货!$G$4:$G$1503,采购进货!$D$4:$D$1503,$B74,采购进货!$B$4:$B$1503,"&gt;="&amp;DATE(年度,6,1),采购进货!$B$4:$B$1503,"&lt;"&amp;DATE(年度,6+1,1)))</f>
        <v>0</v>
      </c>
      <c r="BR74" s="234">
        <f>BM74+BP74</f>
        <v>0</v>
      </c>
      <c r="BS74" s="235">
        <f>BN74+BQ74</f>
        <v>0</v>
      </c>
      <c r="BT74" s="222">
        <f>IF(AND(BR74&gt;0,BS74&gt;0),BS74/BR74,N($E74))</f>
        <v>0</v>
      </c>
      <c r="BU74" s="220">
        <f>IF($B74="",0,SUMIFS(出库明细!$E$4:$E$3003,出库明细!$D$4:$D$3003,$B74,出库明细!$B$4:$B$3003,"&gt;="&amp;DATE(年度,6,1),出库明细!$B$4:$B$3003,"&lt;"&amp;DATE(年度,6+1,1)))</f>
        <v>0</v>
      </c>
      <c r="BV74" s="186">
        <f>BU74*BT74</f>
        <v>0</v>
      </c>
      <c r="BW74" s="220">
        <f>_辅助!BR72</f>
        <v>0</v>
      </c>
      <c r="BX74" s="186">
        <f>_辅助!AH72</f>
        <v>0</v>
      </c>
      <c r="BY74" s="221">
        <f>BR74-BU74-BW74</f>
        <v>0</v>
      </c>
      <c r="BZ74" s="187">
        <f>BS74-BV74-BX74</f>
        <v>0</v>
      </c>
      <c r="CA74" s="236">
        <f>IF(AND(BR74&gt;0,BS74&gt;0),0,BV74)</f>
        <v>0</v>
      </c>
      <c r="CB74" s="220">
        <f>IF($B74="",0,SUMIFS(采购进货!$E$4:$E$1503,采购进货!$D$4:$D$1503,$B74,采购进货!$B$4:$B$1503,"&gt;="&amp;DATE(年度,7,1),采购进货!$B$4:$B$1503,"&lt;"&amp;DATE(年度,7+1,1))+SUMIFS(采购进货!$H$4:$H$1503,采购进货!$D$4:$D$1503,$B74,采购进货!$B$4:$B$1503,"&gt;="&amp;DATE(年度,7,1),采购进货!$B$4:$B$1503,"&lt;"&amp;DATE(年度,7+1,1)))</f>
        <v>0</v>
      </c>
      <c r="CC74" s="186">
        <f>IF($B74="",0,SUMIFS(采购进货!$G$4:$G$1503,采购进货!$D$4:$D$1503,$B74,采购进货!$B$4:$B$1503,"&gt;="&amp;DATE(年度,7,1),采购进货!$B$4:$B$1503,"&lt;"&amp;DATE(年度,7+1,1)))</f>
        <v>0</v>
      </c>
      <c r="CD74" s="234">
        <f>BY74+CB74</f>
        <v>0</v>
      </c>
      <c r="CE74" s="235">
        <f>BZ74+CC74</f>
        <v>0</v>
      </c>
      <c r="CF74" s="222">
        <f>IF(AND(CD74&gt;0,CE74&gt;0),CE74/CD74,N($E74))</f>
        <v>0</v>
      </c>
      <c r="CG74" s="220">
        <f>IF($B74="",0,SUMIFS(出库明细!$E$4:$E$3003,出库明细!$D$4:$D$3003,$B74,出库明细!$B$4:$B$3003,"&gt;="&amp;DATE(年度,7,1),出库明细!$B$4:$B$3003,"&lt;"&amp;DATE(年度,7+1,1)))</f>
        <v>0</v>
      </c>
      <c r="CH74" s="186">
        <f>CG74*CF74</f>
        <v>0</v>
      </c>
      <c r="CI74" s="220">
        <f>_辅助!BS72</f>
        <v>0</v>
      </c>
      <c r="CJ74" s="186">
        <f>_辅助!AI72</f>
        <v>0</v>
      </c>
      <c r="CK74" s="221">
        <f>CD74-CG74-CI74</f>
        <v>0</v>
      </c>
      <c r="CL74" s="187">
        <f>CE74-CH74-CJ74</f>
        <v>0</v>
      </c>
      <c r="CM74" s="236">
        <f>IF(AND(CD74&gt;0,CE74&gt;0),0,CH74)</f>
        <v>0</v>
      </c>
      <c r="CN74" s="220">
        <f>IF($B74="",0,SUMIFS(采购进货!$E$4:$E$1503,采购进货!$D$4:$D$1503,$B74,采购进货!$B$4:$B$1503,"&gt;="&amp;DATE(年度,8,1),采购进货!$B$4:$B$1503,"&lt;"&amp;DATE(年度,8+1,1))+SUMIFS(采购进货!$H$4:$H$1503,采购进货!$D$4:$D$1503,$B74,采购进货!$B$4:$B$1503,"&gt;="&amp;DATE(年度,8,1),采购进货!$B$4:$B$1503,"&lt;"&amp;DATE(年度,8+1,1)))</f>
        <v>0</v>
      </c>
      <c r="CO74" s="186">
        <f>IF($B74="",0,SUMIFS(采购进货!$G$4:$G$1503,采购进货!$D$4:$D$1503,$B74,采购进货!$B$4:$B$1503,"&gt;="&amp;DATE(年度,8,1),采购进货!$B$4:$B$1503,"&lt;"&amp;DATE(年度,8+1,1)))</f>
        <v>0</v>
      </c>
      <c r="CP74" s="234">
        <f>CK74+CN74</f>
        <v>0</v>
      </c>
      <c r="CQ74" s="235">
        <f>CL74+CO74</f>
        <v>0</v>
      </c>
      <c r="CR74" s="222">
        <f>IF(AND(CP74&gt;0,CQ74&gt;0),CQ74/CP74,N($E74))</f>
        <v>0</v>
      </c>
      <c r="CS74" s="220">
        <f>IF($B74="",0,SUMIFS(出库明细!$E$4:$E$3003,出库明细!$D$4:$D$3003,$B74,出库明细!$B$4:$B$3003,"&gt;="&amp;DATE(年度,8,1),出库明细!$B$4:$B$3003,"&lt;"&amp;DATE(年度,8+1,1)))</f>
        <v>0</v>
      </c>
      <c r="CT74" s="186">
        <f>CS74*CR74</f>
        <v>0</v>
      </c>
      <c r="CU74" s="220">
        <f>_辅助!BT72</f>
        <v>0</v>
      </c>
      <c r="CV74" s="186">
        <f>_辅助!AJ72</f>
        <v>0</v>
      </c>
      <c r="CW74" s="221">
        <f>CP74-CS74-CU74</f>
        <v>0</v>
      </c>
      <c r="CX74" s="187">
        <f>CQ74-CT74-CV74</f>
        <v>0</v>
      </c>
      <c r="CY74" s="236">
        <f>IF(AND(CP74&gt;0,CQ74&gt;0),0,CT74)</f>
        <v>0</v>
      </c>
      <c r="CZ74" s="220">
        <f>IF($B74="",0,SUMIFS(采购进货!$E$4:$E$1503,采购进货!$D$4:$D$1503,$B74,采购进货!$B$4:$B$1503,"&gt;="&amp;DATE(年度,9,1),采购进货!$B$4:$B$1503,"&lt;"&amp;DATE(年度,9+1,1))+SUMIFS(采购进货!$H$4:$H$1503,采购进货!$D$4:$D$1503,$B74,采购进货!$B$4:$B$1503,"&gt;="&amp;DATE(年度,9,1),采购进货!$B$4:$B$1503,"&lt;"&amp;DATE(年度,9+1,1)))</f>
        <v>0</v>
      </c>
      <c r="DA74" s="186">
        <f>IF($B74="",0,SUMIFS(采购进货!$G$4:$G$1503,采购进货!$D$4:$D$1503,$B74,采购进货!$B$4:$B$1503,"&gt;="&amp;DATE(年度,9,1),采购进货!$B$4:$B$1503,"&lt;"&amp;DATE(年度,9+1,1)))</f>
        <v>0</v>
      </c>
      <c r="DB74" s="234">
        <f>CW74+CZ74</f>
        <v>0</v>
      </c>
      <c r="DC74" s="235">
        <f>CX74+DA74</f>
        <v>0</v>
      </c>
      <c r="DD74" s="222">
        <f>IF(AND(DB74&gt;0,DC74&gt;0),DC74/DB74,N($E74))</f>
        <v>0</v>
      </c>
      <c r="DE74" s="220">
        <f>IF($B74="",0,SUMIFS(出库明细!$E$4:$E$3003,出库明细!$D$4:$D$3003,$B74,出库明细!$B$4:$B$3003,"&gt;="&amp;DATE(年度,9,1),出库明细!$B$4:$B$3003,"&lt;"&amp;DATE(年度,9+1,1)))</f>
        <v>0</v>
      </c>
      <c r="DF74" s="186">
        <f>DE74*DD74</f>
        <v>0</v>
      </c>
      <c r="DG74" s="220">
        <f>_辅助!BU72</f>
        <v>0</v>
      </c>
      <c r="DH74" s="186">
        <f>_辅助!AK72</f>
        <v>0</v>
      </c>
      <c r="DI74" s="221">
        <f>DB74-DE74-DG74</f>
        <v>0</v>
      </c>
      <c r="DJ74" s="187">
        <f>DC74-DF74-DH74</f>
        <v>0</v>
      </c>
      <c r="DK74" s="236">
        <f>IF(AND(DB74&gt;0,DC74&gt;0),0,DF74)</f>
        <v>0</v>
      </c>
      <c r="DL74" s="220">
        <f>IF($B74="",0,SUMIFS(采购进货!$E$4:$E$1503,采购进货!$D$4:$D$1503,$B74,采购进货!$B$4:$B$1503,"&gt;="&amp;DATE(年度,10,1),采购进货!$B$4:$B$1503,"&lt;"&amp;DATE(年度,10+1,1))+SUMIFS(采购进货!$H$4:$H$1503,采购进货!$D$4:$D$1503,$B74,采购进货!$B$4:$B$1503,"&gt;="&amp;DATE(年度,10,1),采购进货!$B$4:$B$1503,"&lt;"&amp;DATE(年度,10+1,1)))</f>
        <v>0</v>
      </c>
      <c r="DM74" s="186">
        <f>IF($B74="",0,SUMIFS(采购进货!$G$4:$G$1503,采购进货!$D$4:$D$1503,$B74,采购进货!$B$4:$B$1503,"&gt;="&amp;DATE(年度,10,1),采购进货!$B$4:$B$1503,"&lt;"&amp;DATE(年度,10+1,1)))</f>
        <v>0</v>
      </c>
      <c r="DN74" s="234">
        <f>DI74+DL74</f>
        <v>0</v>
      </c>
      <c r="DO74" s="235">
        <f>DJ74+DM74</f>
        <v>0</v>
      </c>
      <c r="DP74" s="222">
        <f>IF(AND(DN74&gt;0,DO74&gt;0),DO74/DN74,N($E74))</f>
        <v>0</v>
      </c>
      <c r="DQ74" s="220">
        <f>IF($B74="",0,SUMIFS(出库明细!$E$4:$E$3003,出库明细!$D$4:$D$3003,$B74,出库明细!$B$4:$B$3003,"&gt;="&amp;DATE(年度,10,1),出库明细!$B$4:$B$3003,"&lt;"&amp;DATE(年度,10+1,1)))</f>
        <v>0</v>
      </c>
      <c r="DR74" s="186">
        <f>DQ74*DP74</f>
        <v>0</v>
      </c>
      <c r="DS74" s="220">
        <f>_辅助!BV72</f>
        <v>0</v>
      </c>
      <c r="DT74" s="186">
        <f>_辅助!AL72</f>
        <v>0</v>
      </c>
      <c r="DU74" s="221">
        <f>DN74-DQ74-DS74</f>
        <v>0</v>
      </c>
      <c r="DV74" s="187">
        <f>DO74-DR74-DT74</f>
        <v>0</v>
      </c>
      <c r="DW74" s="236">
        <f>IF(AND(DN74&gt;0,DO74&gt;0),0,DR74)</f>
        <v>0</v>
      </c>
      <c r="DX74" s="220">
        <f>IF($B74="",0,SUMIFS(采购进货!$E$4:$E$1503,采购进货!$D$4:$D$1503,$B74,采购进货!$B$4:$B$1503,"&gt;="&amp;DATE(年度,11,1),采购进货!$B$4:$B$1503,"&lt;"&amp;DATE(年度,11+1,1))+SUMIFS(采购进货!$H$4:$H$1503,采购进货!$D$4:$D$1503,$B74,采购进货!$B$4:$B$1503,"&gt;="&amp;DATE(年度,11,1),采购进货!$B$4:$B$1503,"&lt;"&amp;DATE(年度,11+1,1)))</f>
        <v>0</v>
      </c>
      <c r="DY74" s="186">
        <f>IF($B74="",0,SUMIFS(采购进货!$G$4:$G$1503,采购进货!$D$4:$D$1503,$B74,采购进货!$B$4:$B$1503,"&gt;="&amp;DATE(年度,11,1),采购进货!$B$4:$B$1503,"&lt;"&amp;DATE(年度,11+1,1)))</f>
        <v>0</v>
      </c>
      <c r="DZ74" s="234">
        <f>DU74+DX74</f>
        <v>0</v>
      </c>
      <c r="EA74" s="235">
        <f>DV74+DY74</f>
        <v>0</v>
      </c>
      <c r="EB74" s="222">
        <f>IF(AND(DZ74&gt;0,EA74&gt;0),EA74/DZ74,N($E74))</f>
        <v>0</v>
      </c>
      <c r="EC74" s="220">
        <f>IF($B74="",0,SUMIFS(出库明细!$E$4:$E$3003,出库明细!$D$4:$D$3003,$B74,出库明细!$B$4:$B$3003,"&gt;="&amp;DATE(年度,11,1),出库明细!$B$4:$B$3003,"&lt;"&amp;DATE(年度,11+1,1)))</f>
        <v>0</v>
      </c>
      <c r="ED74" s="186">
        <f>EC74*EB74</f>
        <v>0</v>
      </c>
      <c r="EE74" s="220">
        <f>_辅助!BW72</f>
        <v>0</v>
      </c>
      <c r="EF74" s="186">
        <f>_辅助!AM72</f>
        <v>0</v>
      </c>
      <c r="EG74" s="221">
        <f>DZ74-EC74-EE74</f>
        <v>0</v>
      </c>
      <c r="EH74" s="187">
        <f>EA74-ED74-EF74</f>
        <v>0</v>
      </c>
      <c r="EI74" s="236">
        <f>IF(AND(DZ74&gt;0,EA74&gt;0),0,ED74)</f>
        <v>0</v>
      </c>
      <c r="EJ74" s="220">
        <f>IF($B74="",0,SUMIFS(采购进货!$E$4:$E$1503,采购进货!$D$4:$D$1503,$B74,采购进货!$B$4:$B$1503,"&gt;="&amp;DATE(年度,12,1),采购进货!$B$4:$B$1503,"&lt;"&amp;DATE(年度,12+1,1))+SUMIFS(采购进货!$H$4:$H$1503,采购进货!$D$4:$D$1503,$B74,采购进货!$B$4:$B$1503,"&gt;="&amp;DATE(年度,12,1),采购进货!$B$4:$B$1503,"&lt;"&amp;DATE(年度,12+1,1)))</f>
        <v>0</v>
      </c>
      <c r="EK74" s="186">
        <f>IF($B74="",0,SUMIFS(采购进货!$G$4:$G$1503,采购进货!$D$4:$D$1503,$B74,采购进货!$B$4:$B$1503,"&gt;="&amp;DATE(年度,12,1),采购进货!$B$4:$B$1503,"&lt;"&amp;DATE(年度,12+1,1)))</f>
        <v>0</v>
      </c>
      <c r="EL74" s="234">
        <f>EG74+EJ74</f>
        <v>0</v>
      </c>
      <c r="EM74" s="235">
        <f>EH74+EK74</f>
        <v>0</v>
      </c>
      <c r="EN74" s="222">
        <f>IF(AND(EL74&gt;0,EM74&gt;0),EM74/EL74,N($E74))</f>
        <v>0</v>
      </c>
      <c r="EO74" s="220">
        <f>IF($B74="",0,SUMIFS(出库明细!$E$4:$E$3003,出库明细!$D$4:$D$3003,$B74,出库明细!$B$4:$B$3003,"&gt;="&amp;DATE(年度,12,1),出库明细!$B$4:$B$3003,"&lt;"&amp;DATE(年度,12+1,1)))</f>
        <v>0</v>
      </c>
      <c r="EP74" s="186">
        <f>EO74*EN74</f>
        <v>0</v>
      </c>
      <c r="EQ74" s="220">
        <f>_辅助!BX72</f>
        <v>0</v>
      </c>
      <c r="ER74" s="186">
        <f>_辅助!AN72</f>
        <v>0</v>
      </c>
      <c r="ES74" s="221">
        <f>EL74-EO74-EQ74</f>
        <v>0</v>
      </c>
      <c r="ET74" s="187">
        <f>EM74-EP74-ER74</f>
        <v>0</v>
      </c>
      <c r="EU74" s="236">
        <f>IF(AND(EL74&gt;0,EM74&gt;0),0,EP74)</f>
        <v>0</v>
      </c>
    </row>
    <row r="75">
      <c r="A75" s="194">
        <f>IF(B75="","",ROW()-7)</f>
      </c>
      <c r="B75" s="141">
        <f>IF(基础资料!E72="","",基础资料!E72&amp;"")</f>
      </c>
      <c r="C75" s="230">
        <f>IF(基础资料!G72="","",基础资料!G72&amp;"")</f>
      </c>
      <c r="D75" s="194">
        <f>IF(基础资料!I72="","",基础资料!I72)</f>
      </c>
      <c r="E75" s="231">
        <f>IF(基础资料!J72="","",基础资料!J72)</f>
      </c>
      <c r="F75" s="232">
        <f>N(基础资料!L72)</f>
        <v>0</v>
      </c>
      <c r="G75" s="233">
        <f>IF(基础资料!N72="",0,基础资料!N72)</f>
        <v>0</v>
      </c>
      <c r="H75" s="220">
        <f>IF($B75="",0,SUMIFS(采购进货!$E$4:$E$1503,采购进货!$D$4:$D$1503,$B75,采购进货!$B$4:$B$1503,"&gt;="&amp;DATE(年度,1,1),采购进货!$B$4:$B$1503,"&lt;"&amp;DATE(年度,1+1,1))+SUMIFS(采购进货!$H$4:$H$1503,采购进货!$D$4:$D$1503,$B75,采购进货!$B$4:$B$1503,"&gt;="&amp;DATE(年度,1,1),采购进货!$B$4:$B$1503,"&lt;"&amp;DATE(年度,1+1,1)))</f>
        <v>0</v>
      </c>
      <c r="I75" s="186">
        <f>IF($B75="",0,SUMIFS(采购进货!$G$4:$G$1503,采购进货!$D$4:$D$1503,$B75,采购进货!$B$4:$B$1503,"&gt;="&amp;DATE(年度,1,1),采购进货!$B$4:$B$1503,"&lt;"&amp;DATE(年度,1+1,1)))</f>
        <v>0</v>
      </c>
      <c r="J75" s="234">
        <f>F75+H75</f>
        <v>0</v>
      </c>
      <c r="K75" s="235">
        <f>G75+I75</f>
        <v>0</v>
      </c>
      <c r="L75" s="222">
        <f>IF(AND(J75&gt;0,K75&gt;0),K75/J75,N($E75))</f>
        <v>0</v>
      </c>
      <c r="M75" s="220">
        <f>IF($B75="",0,SUMIFS(出库明细!$E$4:$E$3003,出库明细!$D$4:$D$3003,$B75,出库明细!$B$4:$B$3003,"&gt;="&amp;DATE(年度,1,1),出库明细!$B$4:$B$3003,"&lt;"&amp;DATE(年度,1+1,1)))</f>
        <v>0</v>
      </c>
      <c r="N75" s="186">
        <f>M75*L75</f>
        <v>0</v>
      </c>
      <c r="O75" s="220">
        <f>_辅助!BM73</f>
        <v>0</v>
      </c>
      <c r="P75" s="186">
        <f>_辅助!AC73</f>
        <v>0</v>
      </c>
      <c r="Q75" s="221">
        <f>J75-M75-O75</f>
        <v>0</v>
      </c>
      <c r="R75" s="187">
        <f>K75-N75-P75</f>
        <v>0</v>
      </c>
      <c r="S75" s="236">
        <f>IF(AND(J75&gt;0,K75&gt;0),0,N75)</f>
        <v>0</v>
      </c>
      <c r="T75" s="220">
        <f>IF($B75="",0,SUMIFS(采购进货!$E$4:$E$1503,采购进货!$D$4:$D$1503,$B75,采购进货!$B$4:$B$1503,"&gt;="&amp;DATE(年度,2,1),采购进货!$B$4:$B$1503,"&lt;"&amp;DATE(年度,2+1,1))+SUMIFS(采购进货!$H$4:$H$1503,采购进货!$D$4:$D$1503,$B75,采购进货!$B$4:$B$1503,"&gt;="&amp;DATE(年度,2,1),采购进货!$B$4:$B$1503,"&lt;"&amp;DATE(年度,2+1,1)))</f>
        <v>0</v>
      </c>
      <c r="U75" s="186">
        <f>IF($B75="",0,SUMIFS(采购进货!$G$4:$G$1503,采购进货!$D$4:$D$1503,$B75,采购进货!$B$4:$B$1503,"&gt;="&amp;DATE(年度,2,1),采购进货!$B$4:$B$1503,"&lt;"&amp;DATE(年度,2+1,1)))</f>
        <v>0</v>
      </c>
      <c r="V75" s="234">
        <f>Q75+T75</f>
        <v>0</v>
      </c>
      <c r="W75" s="235">
        <f>R75+U75</f>
        <v>0</v>
      </c>
      <c r="X75" s="222">
        <f>IF(AND(V75&gt;0,W75&gt;0),W75/V75,N($E75))</f>
        <v>0</v>
      </c>
      <c r="Y75" s="220">
        <f>IF($B75="",0,SUMIFS(出库明细!$E$4:$E$3003,出库明细!$D$4:$D$3003,$B75,出库明细!$B$4:$B$3003,"&gt;="&amp;DATE(年度,2,1),出库明细!$B$4:$B$3003,"&lt;"&amp;DATE(年度,2+1,1)))</f>
        <v>0</v>
      </c>
      <c r="Z75" s="186">
        <f>Y75*X75</f>
        <v>0</v>
      </c>
      <c r="AA75" s="220">
        <f>_辅助!BN73</f>
        <v>0</v>
      </c>
      <c r="AB75" s="186">
        <f>_辅助!AD73</f>
        <v>0</v>
      </c>
      <c r="AC75" s="221">
        <f>V75-Y75-AA75</f>
        <v>0</v>
      </c>
      <c r="AD75" s="187">
        <f>W75-Z75-AB75</f>
        <v>0</v>
      </c>
      <c r="AE75" s="236">
        <f>IF(AND(V75&gt;0,W75&gt;0),0,Z75)</f>
        <v>0</v>
      </c>
      <c r="AF75" s="220">
        <f>IF($B75="",0,SUMIFS(采购进货!$E$4:$E$1503,采购进货!$D$4:$D$1503,$B75,采购进货!$B$4:$B$1503,"&gt;="&amp;DATE(年度,3,1),采购进货!$B$4:$B$1503,"&lt;"&amp;DATE(年度,3+1,1))+SUMIFS(采购进货!$H$4:$H$1503,采购进货!$D$4:$D$1503,$B75,采购进货!$B$4:$B$1503,"&gt;="&amp;DATE(年度,3,1),采购进货!$B$4:$B$1503,"&lt;"&amp;DATE(年度,3+1,1)))</f>
        <v>0</v>
      </c>
      <c r="AG75" s="186">
        <f>IF($B75="",0,SUMIFS(采购进货!$G$4:$G$1503,采购进货!$D$4:$D$1503,$B75,采购进货!$B$4:$B$1503,"&gt;="&amp;DATE(年度,3,1),采购进货!$B$4:$B$1503,"&lt;"&amp;DATE(年度,3+1,1)))</f>
        <v>0</v>
      </c>
      <c r="AH75" s="234">
        <f>AC75+AF75</f>
        <v>0</v>
      </c>
      <c r="AI75" s="235">
        <f>AD75+AG75</f>
        <v>0</v>
      </c>
      <c r="AJ75" s="222">
        <f>IF(AND(AH75&gt;0,AI75&gt;0),AI75/AH75,N($E75))</f>
        <v>0</v>
      </c>
      <c r="AK75" s="220">
        <f>IF($B75="",0,SUMIFS(出库明细!$E$4:$E$3003,出库明细!$D$4:$D$3003,$B75,出库明细!$B$4:$B$3003,"&gt;="&amp;DATE(年度,3,1),出库明细!$B$4:$B$3003,"&lt;"&amp;DATE(年度,3+1,1)))</f>
        <v>0</v>
      </c>
      <c r="AL75" s="186">
        <f>AK75*AJ75</f>
        <v>0</v>
      </c>
      <c r="AM75" s="220">
        <f>_辅助!BO73</f>
        <v>0</v>
      </c>
      <c r="AN75" s="186">
        <f>_辅助!AE73</f>
        <v>0</v>
      </c>
      <c r="AO75" s="221">
        <f>AH75-AK75-AM75</f>
        <v>0</v>
      </c>
      <c r="AP75" s="187">
        <f>AI75-AL75-AN75</f>
        <v>0</v>
      </c>
      <c r="AQ75" s="236">
        <f>IF(AND(AH75&gt;0,AI75&gt;0),0,AL75)</f>
        <v>0</v>
      </c>
      <c r="AR75" s="220">
        <f>IF($B75="",0,SUMIFS(采购进货!$E$4:$E$1503,采购进货!$D$4:$D$1503,$B75,采购进货!$B$4:$B$1503,"&gt;="&amp;DATE(年度,4,1),采购进货!$B$4:$B$1503,"&lt;"&amp;DATE(年度,4+1,1))+SUMIFS(采购进货!$H$4:$H$1503,采购进货!$D$4:$D$1503,$B75,采购进货!$B$4:$B$1503,"&gt;="&amp;DATE(年度,4,1),采购进货!$B$4:$B$1503,"&lt;"&amp;DATE(年度,4+1,1)))</f>
        <v>0</v>
      </c>
      <c r="AS75" s="186">
        <f>IF($B75="",0,SUMIFS(采购进货!$G$4:$G$1503,采购进货!$D$4:$D$1503,$B75,采购进货!$B$4:$B$1503,"&gt;="&amp;DATE(年度,4,1),采购进货!$B$4:$B$1503,"&lt;"&amp;DATE(年度,4+1,1)))</f>
        <v>0</v>
      </c>
      <c r="AT75" s="234">
        <f>AO75+AR75</f>
        <v>0</v>
      </c>
      <c r="AU75" s="235">
        <f>AP75+AS75</f>
        <v>0</v>
      </c>
      <c r="AV75" s="222">
        <f>IF(AND(AT75&gt;0,AU75&gt;0),AU75/AT75,N($E75))</f>
        <v>0</v>
      </c>
      <c r="AW75" s="220">
        <f>IF($B75="",0,SUMIFS(出库明细!$E$4:$E$3003,出库明细!$D$4:$D$3003,$B75,出库明细!$B$4:$B$3003,"&gt;="&amp;DATE(年度,4,1),出库明细!$B$4:$B$3003,"&lt;"&amp;DATE(年度,4+1,1)))</f>
        <v>0</v>
      </c>
      <c r="AX75" s="186">
        <f>AW75*AV75</f>
        <v>0</v>
      </c>
      <c r="AY75" s="220">
        <f>_辅助!BP73</f>
        <v>0</v>
      </c>
      <c r="AZ75" s="186">
        <f>_辅助!AF73</f>
        <v>0</v>
      </c>
      <c r="BA75" s="221">
        <f>AT75-AW75-AY75</f>
        <v>0</v>
      </c>
      <c r="BB75" s="187">
        <f>AU75-AX75-AZ75</f>
        <v>0</v>
      </c>
      <c r="BC75" s="236">
        <f>IF(AND(AT75&gt;0,AU75&gt;0),0,AX75)</f>
        <v>0</v>
      </c>
      <c r="BD75" s="220">
        <f>IF($B75="",0,SUMIFS(采购进货!$E$4:$E$1503,采购进货!$D$4:$D$1503,$B75,采购进货!$B$4:$B$1503,"&gt;="&amp;DATE(年度,5,1),采购进货!$B$4:$B$1503,"&lt;"&amp;DATE(年度,5+1,1))+SUMIFS(采购进货!$H$4:$H$1503,采购进货!$D$4:$D$1503,$B75,采购进货!$B$4:$B$1503,"&gt;="&amp;DATE(年度,5,1),采购进货!$B$4:$B$1503,"&lt;"&amp;DATE(年度,5+1,1)))</f>
        <v>0</v>
      </c>
      <c r="BE75" s="186">
        <f>IF($B75="",0,SUMIFS(采购进货!$G$4:$G$1503,采购进货!$D$4:$D$1503,$B75,采购进货!$B$4:$B$1503,"&gt;="&amp;DATE(年度,5,1),采购进货!$B$4:$B$1503,"&lt;"&amp;DATE(年度,5+1,1)))</f>
        <v>0</v>
      </c>
      <c r="BF75" s="234">
        <f>BA75+BD75</f>
        <v>0</v>
      </c>
      <c r="BG75" s="235">
        <f>BB75+BE75</f>
        <v>0</v>
      </c>
      <c r="BH75" s="222">
        <f>IF(AND(BF75&gt;0,BG75&gt;0),BG75/BF75,N($E75))</f>
        <v>0</v>
      </c>
      <c r="BI75" s="220">
        <f>IF($B75="",0,SUMIFS(出库明细!$E$4:$E$3003,出库明细!$D$4:$D$3003,$B75,出库明细!$B$4:$B$3003,"&gt;="&amp;DATE(年度,5,1),出库明细!$B$4:$B$3003,"&lt;"&amp;DATE(年度,5+1,1)))</f>
        <v>0</v>
      </c>
      <c r="BJ75" s="186">
        <f>BI75*BH75</f>
        <v>0</v>
      </c>
      <c r="BK75" s="220">
        <f>_辅助!BQ73</f>
        <v>0</v>
      </c>
      <c r="BL75" s="186">
        <f>_辅助!AG73</f>
        <v>0</v>
      </c>
      <c r="BM75" s="221">
        <f>BF75-BI75-BK75</f>
        <v>0</v>
      </c>
      <c r="BN75" s="187">
        <f>BG75-BJ75-BL75</f>
        <v>0</v>
      </c>
      <c r="BO75" s="236">
        <f>IF(AND(BF75&gt;0,BG75&gt;0),0,BJ75)</f>
        <v>0</v>
      </c>
      <c r="BP75" s="220">
        <f>IF($B75="",0,SUMIFS(采购进货!$E$4:$E$1503,采购进货!$D$4:$D$1503,$B75,采购进货!$B$4:$B$1503,"&gt;="&amp;DATE(年度,6,1),采购进货!$B$4:$B$1503,"&lt;"&amp;DATE(年度,6+1,1))+SUMIFS(采购进货!$H$4:$H$1503,采购进货!$D$4:$D$1503,$B75,采购进货!$B$4:$B$1503,"&gt;="&amp;DATE(年度,6,1),采购进货!$B$4:$B$1503,"&lt;"&amp;DATE(年度,6+1,1)))</f>
        <v>0</v>
      </c>
      <c r="BQ75" s="186">
        <f>IF($B75="",0,SUMIFS(采购进货!$G$4:$G$1503,采购进货!$D$4:$D$1503,$B75,采购进货!$B$4:$B$1503,"&gt;="&amp;DATE(年度,6,1),采购进货!$B$4:$B$1503,"&lt;"&amp;DATE(年度,6+1,1)))</f>
        <v>0</v>
      </c>
      <c r="BR75" s="234">
        <f>BM75+BP75</f>
        <v>0</v>
      </c>
      <c r="BS75" s="235">
        <f>BN75+BQ75</f>
        <v>0</v>
      </c>
      <c r="BT75" s="222">
        <f>IF(AND(BR75&gt;0,BS75&gt;0),BS75/BR75,N($E75))</f>
        <v>0</v>
      </c>
      <c r="BU75" s="220">
        <f>IF($B75="",0,SUMIFS(出库明细!$E$4:$E$3003,出库明细!$D$4:$D$3003,$B75,出库明细!$B$4:$B$3003,"&gt;="&amp;DATE(年度,6,1),出库明细!$B$4:$B$3003,"&lt;"&amp;DATE(年度,6+1,1)))</f>
        <v>0</v>
      </c>
      <c r="BV75" s="186">
        <f>BU75*BT75</f>
        <v>0</v>
      </c>
      <c r="BW75" s="220">
        <f>_辅助!BR73</f>
        <v>0</v>
      </c>
      <c r="BX75" s="186">
        <f>_辅助!AH73</f>
        <v>0</v>
      </c>
      <c r="BY75" s="221">
        <f>BR75-BU75-BW75</f>
        <v>0</v>
      </c>
      <c r="BZ75" s="187">
        <f>BS75-BV75-BX75</f>
        <v>0</v>
      </c>
      <c r="CA75" s="236">
        <f>IF(AND(BR75&gt;0,BS75&gt;0),0,BV75)</f>
        <v>0</v>
      </c>
      <c r="CB75" s="220">
        <f>IF($B75="",0,SUMIFS(采购进货!$E$4:$E$1503,采购进货!$D$4:$D$1503,$B75,采购进货!$B$4:$B$1503,"&gt;="&amp;DATE(年度,7,1),采购进货!$B$4:$B$1503,"&lt;"&amp;DATE(年度,7+1,1))+SUMIFS(采购进货!$H$4:$H$1503,采购进货!$D$4:$D$1503,$B75,采购进货!$B$4:$B$1503,"&gt;="&amp;DATE(年度,7,1),采购进货!$B$4:$B$1503,"&lt;"&amp;DATE(年度,7+1,1)))</f>
        <v>0</v>
      </c>
      <c r="CC75" s="186">
        <f>IF($B75="",0,SUMIFS(采购进货!$G$4:$G$1503,采购进货!$D$4:$D$1503,$B75,采购进货!$B$4:$B$1503,"&gt;="&amp;DATE(年度,7,1),采购进货!$B$4:$B$1503,"&lt;"&amp;DATE(年度,7+1,1)))</f>
        <v>0</v>
      </c>
      <c r="CD75" s="234">
        <f>BY75+CB75</f>
        <v>0</v>
      </c>
      <c r="CE75" s="235">
        <f>BZ75+CC75</f>
        <v>0</v>
      </c>
      <c r="CF75" s="222">
        <f>IF(AND(CD75&gt;0,CE75&gt;0),CE75/CD75,N($E75))</f>
        <v>0</v>
      </c>
      <c r="CG75" s="220">
        <f>IF($B75="",0,SUMIFS(出库明细!$E$4:$E$3003,出库明细!$D$4:$D$3003,$B75,出库明细!$B$4:$B$3003,"&gt;="&amp;DATE(年度,7,1),出库明细!$B$4:$B$3003,"&lt;"&amp;DATE(年度,7+1,1)))</f>
        <v>0</v>
      </c>
      <c r="CH75" s="186">
        <f>CG75*CF75</f>
        <v>0</v>
      </c>
      <c r="CI75" s="220">
        <f>_辅助!BS73</f>
        <v>0</v>
      </c>
      <c r="CJ75" s="186">
        <f>_辅助!AI73</f>
        <v>0</v>
      </c>
      <c r="CK75" s="221">
        <f>CD75-CG75-CI75</f>
        <v>0</v>
      </c>
      <c r="CL75" s="187">
        <f>CE75-CH75-CJ75</f>
        <v>0</v>
      </c>
      <c r="CM75" s="236">
        <f>IF(AND(CD75&gt;0,CE75&gt;0),0,CH75)</f>
        <v>0</v>
      </c>
      <c r="CN75" s="220">
        <f>IF($B75="",0,SUMIFS(采购进货!$E$4:$E$1503,采购进货!$D$4:$D$1503,$B75,采购进货!$B$4:$B$1503,"&gt;="&amp;DATE(年度,8,1),采购进货!$B$4:$B$1503,"&lt;"&amp;DATE(年度,8+1,1))+SUMIFS(采购进货!$H$4:$H$1503,采购进货!$D$4:$D$1503,$B75,采购进货!$B$4:$B$1503,"&gt;="&amp;DATE(年度,8,1),采购进货!$B$4:$B$1503,"&lt;"&amp;DATE(年度,8+1,1)))</f>
        <v>0</v>
      </c>
      <c r="CO75" s="186">
        <f>IF($B75="",0,SUMIFS(采购进货!$G$4:$G$1503,采购进货!$D$4:$D$1503,$B75,采购进货!$B$4:$B$1503,"&gt;="&amp;DATE(年度,8,1),采购进货!$B$4:$B$1503,"&lt;"&amp;DATE(年度,8+1,1)))</f>
        <v>0</v>
      </c>
      <c r="CP75" s="234">
        <f>CK75+CN75</f>
        <v>0</v>
      </c>
      <c r="CQ75" s="235">
        <f>CL75+CO75</f>
        <v>0</v>
      </c>
      <c r="CR75" s="222">
        <f>IF(AND(CP75&gt;0,CQ75&gt;0),CQ75/CP75,N($E75))</f>
        <v>0</v>
      </c>
      <c r="CS75" s="220">
        <f>IF($B75="",0,SUMIFS(出库明细!$E$4:$E$3003,出库明细!$D$4:$D$3003,$B75,出库明细!$B$4:$B$3003,"&gt;="&amp;DATE(年度,8,1),出库明细!$B$4:$B$3003,"&lt;"&amp;DATE(年度,8+1,1)))</f>
        <v>0</v>
      </c>
      <c r="CT75" s="186">
        <f>CS75*CR75</f>
        <v>0</v>
      </c>
      <c r="CU75" s="220">
        <f>_辅助!BT73</f>
        <v>0</v>
      </c>
      <c r="CV75" s="186">
        <f>_辅助!AJ73</f>
        <v>0</v>
      </c>
      <c r="CW75" s="221">
        <f>CP75-CS75-CU75</f>
        <v>0</v>
      </c>
      <c r="CX75" s="187">
        <f>CQ75-CT75-CV75</f>
        <v>0</v>
      </c>
      <c r="CY75" s="236">
        <f>IF(AND(CP75&gt;0,CQ75&gt;0),0,CT75)</f>
        <v>0</v>
      </c>
      <c r="CZ75" s="220">
        <f>IF($B75="",0,SUMIFS(采购进货!$E$4:$E$1503,采购进货!$D$4:$D$1503,$B75,采购进货!$B$4:$B$1503,"&gt;="&amp;DATE(年度,9,1),采购进货!$B$4:$B$1503,"&lt;"&amp;DATE(年度,9+1,1))+SUMIFS(采购进货!$H$4:$H$1503,采购进货!$D$4:$D$1503,$B75,采购进货!$B$4:$B$1503,"&gt;="&amp;DATE(年度,9,1),采购进货!$B$4:$B$1503,"&lt;"&amp;DATE(年度,9+1,1)))</f>
        <v>0</v>
      </c>
      <c r="DA75" s="186">
        <f>IF($B75="",0,SUMIFS(采购进货!$G$4:$G$1503,采购进货!$D$4:$D$1503,$B75,采购进货!$B$4:$B$1503,"&gt;="&amp;DATE(年度,9,1),采购进货!$B$4:$B$1503,"&lt;"&amp;DATE(年度,9+1,1)))</f>
        <v>0</v>
      </c>
      <c r="DB75" s="234">
        <f>CW75+CZ75</f>
        <v>0</v>
      </c>
      <c r="DC75" s="235">
        <f>CX75+DA75</f>
        <v>0</v>
      </c>
      <c r="DD75" s="222">
        <f>IF(AND(DB75&gt;0,DC75&gt;0),DC75/DB75,N($E75))</f>
        <v>0</v>
      </c>
      <c r="DE75" s="220">
        <f>IF($B75="",0,SUMIFS(出库明细!$E$4:$E$3003,出库明细!$D$4:$D$3003,$B75,出库明细!$B$4:$B$3003,"&gt;="&amp;DATE(年度,9,1),出库明细!$B$4:$B$3003,"&lt;"&amp;DATE(年度,9+1,1)))</f>
        <v>0</v>
      </c>
      <c r="DF75" s="186">
        <f>DE75*DD75</f>
        <v>0</v>
      </c>
      <c r="DG75" s="220">
        <f>_辅助!BU73</f>
        <v>0</v>
      </c>
      <c r="DH75" s="186">
        <f>_辅助!AK73</f>
        <v>0</v>
      </c>
      <c r="DI75" s="221">
        <f>DB75-DE75-DG75</f>
        <v>0</v>
      </c>
      <c r="DJ75" s="187">
        <f>DC75-DF75-DH75</f>
        <v>0</v>
      </c>
      <c r="DK75" s="236">
        <f>IF(AND(DB75&gt;0,DC75&gt;0),0,DF75)</f>
        <v>0</v>
      </c>
      <c r="DL75" s="220">
        <f>IF($B75="",0,SUMIFS(采购进货!$E$4:$E$1503,采购进货!$D$4:$D$1503,$B75,采购进货!$B$4:$B$1503,"&gt;="&amp;DATE(年度,10,1),采购进货!$B$4:$B$1503,"&lt;"&amp;DATE(年度,10+1,1))+SUMIFS(采购进货!$H$4:$H$1503,采购进货!$D$4:$D$1503,$B75,采购进货!$B$4:$B$1503,"&gt;="&amp;DATE(年度,10,1),采购进货!$B$4:$B$1503,"&lt;"&amp;DATE(年度,10+1,1)))</f>
        <v>0</v>
      </c>
      <c r="DM75" s="186">
        <f>IF($B75="",0,SUMIFS(采购进货!$G$4:$G$1503,采购进货!$D$4:$D$1503,$B75,采购进货!$B$4:$B$1503,"&gt;="&amp;DATE(年度,10,1),采购进货!$B$4:$B$1503,"&lt;"&amp;DATE(年度,10+1,1)))</f>
        <v>0</v>
      </c>
      <c r="DN75" s="234">
        <f>DI75+DL75</f>
        <v>0</v>
      </c>
      <c r="DO75" s="235">
        <f>DJ75+DM75</f>
        <v>0</v>
      </c>
      <c r="DP75" s="222">
        <f>IF(AND(DN75&gt;0,DO75&gt;0),DO75/DN75,N($E75))</f>
        <v>0</v>
      </c>
      <c r="DQ75" s="220">
        <f>IF($B75="",0,SUMIFS(出库明细!$E$4:$E$3003,出库明细!$D$4:$D$3003,$B75,出库明细!$B$4:$B$3003,"&gt;="&amp;DATE(年度,10,1),出库明细!$B$4:$B$3003,"&lt;"&amp;DATE(年度,10+1,1)))</f>
        <v>0</v>
      </c>
      <c r="DR75" s="186">
        <f>DQ75*DP75</f>
        <v>0</v>
      </c>
      <c r="DS75" s="220">
        <f>_辅助!BV73</f>
        <v>0</v>
      </c>
      <c r="DT75" s="186">
        <f>_辅助!AL73</f>
        <v>0</v>
      </c>
      <c r="DU75" s="221">
        <f>DN75-DQ75-DS75</f>
        <v>0</v>
      </c>
      <c r="DV75" s="187">
        <f>DO75-DR75-DT75</f>
        <v>0</v>
      </c>
      <c r="DW75" s="236">
        <f>IF(AND(DN75&gt;0,DO75&gt;0),0,DR75)</f>
        <v>0</v>
      </c>
      <c r="DX75" s="220">
        <f>IF($B75="",0,SUMIFS(采购进货!$E$4:$E$1503,采购进货!$D$4:$D$1503,$B75,采购进货!$B$4:$B$1503,"&gt;="&amp;DATE(年度,11,1),采购进货!$B$4:$B$1503,"&lt;"&amp;DATE(年度,11+1,1))+SUMIFS(采购进货!$H$4:$H$1503,采购进货!$D$4:$D$1503,$B75,采购进货!$B$4:$B$1503,"&gt;="&amp;DATE(年度,11,1),采购进货!$B$4:$B$1503,"&lt;"&amp;DATE(年度,11+1,1)))</f>
        <v>0</v>
      </c>
      <c r="DY75" s="186">
        <f>IF($B75="",0,SUMIFS(采购进货!$G$4:$G$1503,采购进货!$D$4:$D$1503,$B75,采购进货!$B$4:$B$1503,"&gt;="&amp;DATE(年度,11,1),采购进货!$B$4:$B$1503,"&lt;"&amp;DATE(年度,11+1,1)))</f>
        <v>0</v>
      </c>
      <c r="DZ75" s="234">
        <f>DU75+DX75</f>
        <v>0</v>
      </c>
      <c r="EA75" s="235">
        <f>DV75+DY75</f>
        <v>0</v>
      </c>
      <c r="EB75" s="222">
        <f>IF(AND(DZ75&gt;0,EA75&gt;0),EA75/DZ75,N($E75))</f>
        <v>0</v>
      </c>
      <c r="EC75" s="220">
        <f>IF($B75="",0,SUMIFS(出库明细!$E$4:$E$3003,出库明细!$D$4:$D$3003,$B75,出库明细!$B$4:$B$3003,"&gt;="&amp;DATE(年度,11,1),出库明细!$B$4:$B$3003,"&lt;"&amp;DATE(年度,11+1,1)))</f>
        <v>0</v>
      </c>
      <c r="ED75" s="186">
        <f>EC75*EB75</f>
        <v>0</v>
      </c>
      <c r="EE75" s="220">
        <f>_辅助!BW73</f>
        <v>0</v>
      </c>
      <c r="EF75" s="186">
        <f>_辅助!AM73</f>
        <v>0</v>
      </c>
      <c r="EG75" s="221">
        <f>DZ75-EC75-EE75</f>
        <v>0</v>
      </c>
      <c r="EH75" s="187">
        <f>EA75-ED75-EF75</f>
        <v>0</v>
      </c>
      <c r="EI75" s="236">
        <f>IF(AND(DZ75&gt;0,EA75&gt;0),0,ED75)</f>
        <v>0</v>
      </c>
      <c r="EJ75" s="220">
        <f>IF($B75="",0,SUMIFS(采购进货!$E$4:$E$1503,采购进货!$D$4:$D$1503,$B75,采购进货!$B$4:$B$1503,"&gt;="&amp;DATE(年度,12,1),采购进货!$B$4:$B$1503,"&lt;"&amp;DATE(年度,12+1,1))+SUMIFS(采购进货!$H$4:$H$1503,采购进货!$D$4:$D$1503,$B75,采购进货!$B$4:$B$1503,"&gt;="&amp;DATE(年度,12,1),采购进货!$B$4:$B$1503,"&lt;"&amp;DATE(年度,12+1,1)))</f>
        <v>0</v>
      </c>
      <c r="EK75" s="186">
        <f>IF($B75="",0,SUMIFS(采购进货!$G$4:$G$1503,采购进货!$D$4:$D$1503,$B75,采购进货!$B$4:$B$1503,"&gt;="&amp;DATE(年度,12,1),采购进货!$B$4:$B$1503,"&lt;"&amp;DATE(年度,12+1,1)))</f>
        <v>0</v>
      </c>
      <c r="EL75" s="234">
        <f>EG75+EJ75</f>
        <v>0</v>
      </c>
      <c r="EM75" s="235">
        <f>EH75+EK75</f>
        <v>0</v>
      </c>
      <c r="EN75" s="222">
        <f>IF(AND(EL75&gt;0,EM75&gt;0),EM75/EL75,N($E75))</f>
        <v>0</v>
      </c>
      <c r="EO75" s="220">
        <f>IF($B75="",0,SUMIFS(出库明细!$E$4:$E$3003,出库明细!$D$4:$D$3003,$B75,出库明细!$B$4:$B$3003,"&gt;="&amp;DATE(年度,12,1),出库明细!$B$4:$B$3003,"&lt;"&amp;DATE(年度,12+1,1)))</f>
        <v>0</v>
      </c>
      <c r="EP75" s="186">
        <f>EO75*EN75</f>
        <v>0</v>
      </c>
      <c r="EQ75" s="220">
        <f>_辅助!BX73</f>
        <v>0</v>
      </c>
      <c r="ER75" s="186">
        <f>_辅助!AN73</f>
        <v>0</v>
      </c>
      <c r="ES75" s="221">
        <f>EL75-EO75-EQ75</f>
        <v>0</v>
      </c>
      <c r="ET75" s="187">
        <f>EM75-EP75-ER75</f>
        <v>0</v>
      </c>
      <c r="EU75" s="236">
        <f>IF(AND(EL75&gt;0,EM75&gt;0),0,EP75)</f>
        <v>0</v>
      </c>
    </row>
    <row r="76">
      <c r="A76" s="194">
        <f>IF(B76="","",ROW()-7)</f>
      </c>
      <c r="B76" s="141">
        <f>IF(基础资料!E73="","",基础资料!E73&amp;"")</f>
      </c>
      <c r="C76" s="230">
        <f>IF(基础资料!G73="","",基础资料!G73&amp;"")</f>
      </c>
      <c r="D76" s="194">
        <f>IF(基础资料!I73="","",基础资料!I73)</f>
      </c>
      <c r="E76" s="231">
        <f>IF(基础资料!J73="","",基础资料!J73)</f>
      </c>
      <c r="F76" s="232">
        <f>N(基础资料!L73)</f>
        <v>0</v>
      </c>
      <c r="G76" s="233">
        <f>IF(基础资料!N73="",0,基础资料!N73)</f>
        <v>0</v>
      </c>
      <c r="H76" s="220">
        <f>IF($B76="",0,SUMIFS(采购进货!$E$4:$E$1503,采购进货!$D$4:$D$1503,$B76,采购进货!$B$4:$B$1503,"&gt;="&amp;DATE(年度,1,1),采购进货!$B$4:$B$1503,"&lt;"&amp;DATE(年度,1+1,1))+SUMIFS(采购进货!$H$4:$H$1503,采购进货!$D$4:$D$1503,$B76,采购进货!$B$4:$B$1503,"&gt;="&amp;DATE(年度,1,1),采购进货!$B$4:$B$1503,"&lt;"&amp;DATE(年度,1+1,1)))</f>
        <v>0</v>
      </c>
      <c r="I76" s="186">
        <f>IF($B76="",0,SUMIFS(采购进货!$G$4:$G$1503,采购进货!$D$4:$D$1503,$B76,采购进货!$B$4:$B$1503,"&gt;="&amp;DATE(年度,1,1),采购进货!$B$4:$B$1503,"&lt;"&amp;DATE(年度,1+1,1)))</f>
        <v>0</v>
      </c>
      <c r="J76" s="234">
        <f>F76+H76</f>
        <v>0</v>
      </c>
      <c r="K76" s="235">
        <f>G76+I76</f>
        <v>0</v>
      </c>
      <c r="L76" s="222">
        <f>IF(AND(J76&gt;0,K76&gt;0),K76/J76,N($E76))</f>
        <v>0</v>
      </c>
      <c r="M76" s="220">
        <f>IF($B76="",0,SUMIFS(出库明细!$E$4:$E$3003,出库明细!$D$4:$D$3003,$B76,出库明细!$B$4:$B$3003,"&gt;="&amp;DATE(年度,1,1),出库明细!$B$4:$B$3003,"&lt;"&amp;DATE(年度,1+1,1)))</f>
        <v>0</v>
      </c>
      <c r="N76" s="186">
        <f>M76*L76</f>
        <v>0</v>
      </c>
      <c r="O76" s="220">
        <f>_辅助!BM74</f>
        <v>0</v>
      </c>
      <c r="P76" s="186">
        <f>_辅助!AC74</f>
        <v>0</v>
      </c>
      <c r="Q76" s="221">
        <f>J76-M76-O76</f>
        <v>0</v>
      </c>
      <c r="R76" s="187">
        <f>K76-N76-P76</f>
        <v>0</v>
      </c>
      <c r="S76" s="236">
        <f>IF(AND(J76&gt;0,K76&gt;0),0,N76)</f>
        <v>0</v>
      </c>
      <c r="T76" s="220">
        <f>IF($B76="",0,SUMIFS(采购进货!$E$4:$E$1503,采购进货!$D$4:$D$1503,$B76,采购进货!$B$4:$B$1503,"&gt;="&amp;DATE(年度,2,1),采购进货!$B$4:$B$1503,"&lt;"&amp;DATE(年度,2+1,1))+SUMIFS(采购进货!$H$4:$H$1503,采购进货!$D$4:$D$1503,$B76,采购进货!$B$4:$B$1503,"&gt;="&amp;DATE(年度,2,1),采购进货!$B$4:$B$1503,"&lt;"&amp;DATE(年度,2+1,1)))</f>
        <v>0</v>
      </c>
      <c r="U76" s="186">
        <f>IF($B76="",0,SUMIFS(采购进货!$G$4:$G$1503,采购进货!$D$4:$D$1503,$B76,采购进货!$B$4:$B$1503,"&gt;="&amp;DATE(年度,2,1),采购进货!$B$4:$B$1503,"&lt;"&amp;DATE(年度,2+1,1)))</f>
        <v>0</v>
      </c>
      <c r="V76" s="234">
        <f>Q76+T76</f>
        <v>0</v>
      </c>
      <c r="W76" s="235">
        <f>R76+U76</f>
        <v>0</v>
      </c>
      <c r="X76" s="222">
        <f>IF(AND(V76&gt;0,W76&gt;0),W76/V76,N($E76))</f>
        <v>0</v>
      </c>
      <c r="Y76" s="220">
        <f>IF($B76="",0,SUMIFS(出库明细!$E$4:$E$3003,出库明细!$D$4:$D$3003,$B76,出库明细!$B$4:$B$3003,"&gt;="&amp;DATE(年度,2,1),出库明细!$B$4:$B$3003,"&lt;"&amp;DATE(年度,2+1,1)))</f>
        <v>0</v>
      </c>
      <c r="Z76" s="186">
        <f>Y76*X76</f>
        <v>0</v>
      </c>
      <c r="AA76" s="220">
        <f>_辅助!BN74</f>
        <v>0</v>
      </c>
      <c r="AB76" s="186">
        <f>_辅助!AD74</f>
        <v>0</v>
      </c>
      <c r="AC76" s="221">
        <f>V76-Y76-AA76</f>
        <v>0</v>
      </c>
      <c r="AD76" s="187">
        <f>W76-Z76-AB76</f>
        <v>0</v>
      </c>
      <c r="AE76" s="236">
        <f>IF(AND(V76&gt;0,W76&gt;0),0,Z76)</f>
        <v>0</v>
      </c>
      <c r="AF76" s="220">
        <f>IF($B76="",0,SUMIFS(采购进货!$E$4:$E$1503,采购进货!$D$4:$D$1503,$B76,采购进货!$B$4:$B$1503,"&gt;="&amp;DATE(年度,3,1),采购进货!$B$4:$B$1503,"&lt;"&amp;DATE(年度,3+1,1))+SUMIFS(采购进货!$H$4:$H$1503,采购进货!$D$4:$D$1503,$B76,采购进货!$B$4:$B$1503,"&gt;="&amp;DATE(年度,3,1),采购进货!$B$4:$B$1503,"&lt;"&amp;DATE(年度,3+1,1)))</f>
        <v>0</v>
      </c>
      <c r="AG76" s="186">
        <f>IF($B76="",0,SUMIFS(采购进货!$G$4:$G$1503,采购进货!$D$4:$D$1503,$B76,采购进货!$B$4:$B$1503,"&gt;="&amp;DATE(年度,3,1),采购进货!$B$4:$B$1503,"&lt;"&amp;DATE(年度,3+1,1)))</f>
        <v>0</v>
      </c>
      <c r="AH76" s="234">
        <f>AC76+AF76</f>
        <v>0</v>
      </c>
      <c r="AI76" s="235">
        <f>AD76+AG76</f>
        <v>0</v>
      </c>
      <c r="AJ76" s="222">
        <f>IF(AND(AH76&gt;0,AI76&gt;0),AI76/AH76,N($E76))</f>
        <v>0</v>
      </c>
      <c r="AK76" s="220">
        <f>IF($B76="",0,SUMIFS(出库明细!$E$4:$E$3003,出库明细!$D$4:$D$3003,$B76,出库明细!$B$4:$B$3003,"&gt;="&amp;DATE(年度,3,1),出库明细!$B$4:$B$3003,"&lt;"&amp;DATE(年度,3+1,1)))</f>
        <v>0</v>
      </c>
      <c r="AL76" s="186">
        <f>AK76*AJ76</f>
        <v>0</v>
      </c>
      <c r="AM76" s="220">
        <f>_辅助!BO74</f>
        <v>0</v>
      </c>
      <c r="AN76" s="186">
        <f>_辅助!AE74</f>
        <v>0</v>
      </c>
      <c r="AO76" s="221">
        <f>AH76-AK76-AM76</f>
        <v>0</v>
      </c>
      <c r="AP76" s="187">
        <f>AI76-AL76-AN76</f>
        <v>0</v>
      </c>
      <c r="AQ76" s="236">
        <f>IF(AND(AH76&gt;0,AI76&gt;0),0,AL76)</f>
        <v>0</v>
      </c>
      <c r="AR76" s="220">
        <f>IF($B76="",0,SUMIFS(采购进货!$E$4:$E$1503,采购进货!$D$4:$D$1503,$B76,采购进货!$B$4:$B$1503,"&gt;="&amp;DATE(年度,4,1),采购进货!$B$4:$B$1503,"&lt;"&amp;DATE(年度,4+1,1))+SUMIFS(采购进货!$H$4:$H$1503,采购进货!$D$4:$D$1503,$B76,采购进货!$B$4:$B$1503,"&gt;="&amp;DATE(年度,4,1),采购进货!$B$4:$B$1503,"&lt;"&amp;DATE(年度,4+1,1)))</f>
        <v>0</v>
      </c>
      <c r="AS76" s="186">
        <f>IF($B76="",0,SUMIFS(采购进货!$G$4:$G$1503,采购进货!$D$4:$D$1503,$B76,采购进货!$B$4:$B$1503,"&gt;="&amp;DATE(年度,4,1),采购进货!$B$4:$B$1503,"&lt;"&amp;DATE(年度,4+1,1)))</f>
        <v>0</v>
      </c>
      <c r="AT76" s="234">
        <f>AO76+AR76</f>
        <v>0</v>
      </c>
      <c r="AU76" s="235">
        <f>AP76+AS76</f>
        <v>0</v>
      </c>
      <c r="AV76" s="222">
        <f>IF(AND(AT76&gt;0,AU76&gt;0),AU76/AT76,N($E76))</f>
        <v>0</v>
      </c>
      <c r="AW76" s="220">
        <f>IF($B76="",0,SUMIFS(出库明细!$E$4:$E$3003,出库明细!$D$4:$D$3003,$B76,出库明细!$B$4:$B$3003,"&gt;="&amp;DATE(年度,4,1),出库明细!$B$4:$B$3003,"&lt;"&amp;DATE(年度,4+1,1)))</f>
        <v>0</v>
      </c>
      <c r="AX76" s="186">
        <f>AW76*AV76</f>
        <v>0</v>
      </c>
      <c r="AY76" s="220">
        <f>_辅助!BP74</f>
        <v>0</v>
      </c>
      <c r="AZ76" s="186">
        <f>_辅助!AF74</f>
        <v>0</v>
      </c>
      <c r="BA76" s="221">
        <f>AT76-AW76-AY76</f>
        <v>0</v>
      </c>
      <c r="BB76" s="187">
        <f>AU76-AX76-AZ76</f>
        <v>0</v>
      </c>
      <c r="BC76" s="236">
        <f>IF(AND(AT76&gt;0,AU76&gt;0),0,AX76)</f>
        <v>0</v>
      </c>
      <c r="BD76" s="220">
        <f>IF($B76="",0,SUMIFS(采购进货!$E$4:$E$1503,采购进货!$D$4:$D$1503,$B76,采购进货!$B$4:$B$1503,"&gt;="&amp;DATE(年度,5,1),采购进货!$B$4:$B$1503,"&lt;"&amp;DATE(年度,5+1,1))+SUMIFS(采购进货!$H$4:$H$1503,采购进货!$D$4:$D$1503,$B76,采购进货!$B$4:$B$1503,"&gt;="&amp;DATE(年度,5,1),采购进货!$B$4:$B$1503,"&lt;"&amp;DATE(年度,5+1,1)))</f>
        <v>0</v>
      </c>
      <c r="BE76" s="186">
        <f>IF($B76="",0,SUMIFS(采购进货!$G$4:$G$1503,采购进货!$D$4:$D$1503,$B76,采购进货!$B$4:$B$1503,"&gt;="&amp;DATE(年度,5,1),采购进货!$B$4:$B$1503,"&lt;"&amp;DATE(年度,5+1,1)))</f>
        <v>0</v>
      </c>
      <c r="BF76" s="234">
        <f>BA76+BD76</f>
        <v>0</v>
      </c>
      <c r="BG76" s="235">
        <f>BB76+BE76</f>
        <v>0</v>
      </c>
      <c r="BH76" s="222">
        <f>IF(AND(BF76&gt;0,BG76&gt;0),BG76/BF76,N($E76))</f>
        <v>0</v>
      </c>
      <c r="BI76" s="220">
        <f>IF($B76="",0,SUMIFS(出库明细!$E$4:$E$3003,出库明细!$D$4:$D$3003,$B76,出库明细!$B$4:$B$3003,"&gt;="&amp;DATE(年度,5,1),出库明细!$B$4:$B$3003,"&lt;"&amp;DATE(年度,5+1,1)))</f>
        <v>0</v>
      </c>
      <c r="BJ76" s="186">
        <f>BI76*BH76</f>
        <v>0</v>
      </c>
      <c r="BK76" s="220">
        <f>_辅助!BQ74</f>
        <v>0</v>
      </c>
      <c r="BL76" s="186">
        <f>_辅助!AG74</f>
        <v>0</v>
      </c>
      <c r="BM76" s="221">
        <f>BF76-BI76-BK76</f>
        <v>0</v>
      </c>
      <c r="BN76" s="187">
        <f>BG76-BJ76-BL76</f>
        <v>0</v>
      </c>
      <c r="BO76" s="236">
        <f>IF(AND(BF76&gt;0,BG76&gt;0),0,BJ76)</f>
        <v>0</v>
      </c>
      <c r="BP76" s="220">
        <f>IF($B76="",0,SUMIFS(采购进货!$E$4:$E$1503,采购进货!$D$4:$D$1503,$B76,采购进货!$B$4:$B$1503,"&gt;="&amp;DATE(年度,6,1),采购进货!$B$4:$B$1503,"&lt;"&amp;DATE(年度,6+1,1))+SUMIFS(采购进货!$H$4:$H$1503,采购进货!$D$4:$D$1503,$B76,采购进货!$B$4:$B$1503,"&gt;="&amp;DATE(年度,6,1),采购进货!$B$4:$B$1503,"&lt;"&amp;DATE(年度,6+1,1)))</f>
        <v>0</v>
      </c>
      <c r="BQ76" s="186">
        <f>IF($B76="",0,SUMIFS(采购进货!$G$4:$G$1503,采购进货!$D$4:$D$1503,$B76,采购进货!$B$4:$B$1503,"&gt;="&amp;DATE(年度,6,1),采购进货!$B$4:$B$1503,"&lt;"&amp;DATE(年度,6+1,1)))</f>
        <v>0</v>
      </c>
      <c r="BR76" s="234">
        <f>BM76+BP76</f>
        <v>0</v>
      </c>
      <c r="BS76" s="235">
        <f>BN76+BQ76</f>
        <v>0</v>
      </c>
      <c r="BT76" s="222">
        <f>IF(AND(BR76&gt;0,BS76&gt;0),BS76/BR76,N($E76))</f>
        <v>0</v>
      </c>
      <c r="BU76" s="220">
        <f>IF($B76="",0,SUMIFS(出库明细!$E$4:$E$3003,出库明细!$D$4:$D$3003,$B76,出库明细!$B$4:$B$3003,"&gt;="&amp;DATE(年度,6,1),出库明细!$B$4:$B$3003,"&lt;"&amp;DATE(年度,6+1,1)))</f>
        <v>0</v>
      </c>
      <c r="BV76" s="186">
        <f>BU76*BT76</f>
        <v>0</v>
      </c>
      <c r="BW76" s="220">
        <f>_辅助!BR74</f>
        <v>0</v>
      </c>
      <c r="BX76" s="186">
        <f>_辅助!AH74</f>
        <v>0</v>
      </c>
      <c r="BY76" s="221">
        <f>BR76-BU76-BW76</f>
        <v>0</v>
      </c>
      <c r="BZ76" s="187">
        <f>BS76-BV76-BX76</f>
        <v>0</v>
      </c>
      <c r="CA76" s="236">
        <f>IF(AND(BR76&gt;0,BS76&gt;0),0,BV76)</f>
        <v>0</v>
      </c>
      <c r="CB76" s="220">
        <f>IF($B76="",0,SUMIFS(采购进货!$E$4:$E$1503,采购进货!$D$4:$D$1503,$B76,采购进货!$B$4:$B$1503,"&gt;="&amp;DATE(年度,7,1),采购进货!$B$4:$B$1503,"&lt;"&amp;DATE(年度,7+1,1))+SUMIFS(采购进货!$H$4:$H$1503,采购进货!$D$4:$D$1503,$B76,采购进货!$B$4:$B$1503,"&gt;="&amp;DATE(年度,7,1),采购进货!$B$4:$B$1503,"&lt;"&amp;DATE(年度,7+1,1)))</f>
        <v>0</v>
      </c>
      <c r="CC76" s="186">
        <f>IF($B76="",0,SUMIFS(采购进货!$G$4:$G$1503,采购进货!$D$4:$D$1503,$B76,采购进货!$B$4:$B$1503,"&gt;="&amp;DATE(年度,7,1),采购进货!$B$4:$B$1503,"&lt;"&amp;DATE(年度,7+1,1)))</f>
        <v>0</v>
      </c>
      <c r="CD76" s="234">
        <f>BY76+CB76</f>
        <v>0</v>
      </c>
      <c r="CE76" s="235">
        <f>BZ76+CC76</f>
        <v>0</v>
      </c>
      <c r="CF76" s="222">
        <f>IF(AND(CD76&gt;0,CE76&gt;0),CE76/CD76,N($E76))</f>
        <v>0</v>
      </c>
      <c r="CG76" s="220">
        <f>IF($B76="",0,SUMIFS(出库明细!$E$4:$E$3003,出库明细!$D$4:$D$3003,$B76,出库明细!$B$4:$B$3003,"&gt;="&amp;DATE(年度,7,1),出库明细!$B$4:$B$3003,"&lt;"&amp;DATE(年度,7+1,1)))</f>
        <v>0</v>
      </c>
      <c r="CH76" s="186">
        <f>CG76*CF76</f>
        <v>0</v>
      </c>
      <c r="CI76" s="220">
        <f>_辅助!BS74</f>
        <v>0</v>
      </c>
      <c r="CJ76" s="186">
        <f>_辅助!AI74</f>
        <v>0</v>
      </c>
      <c r="CK76" s="221">
        <f>CD76-CG76-CI76</f>
        <v>0</v>
      </c>
      <c r="CL76" s="187">
        <f>CE76-CH76-CJ76</f>
        <v>0</v>
      </c>
      <c r="CM76" s="236">
        <f>IF(AND(CD76&gt;0,CE76&gt;0),0,CH76)</f>
        <v>0</v>
      </c>
      <c r="CN76" s="220">
        <f>IF($B76="",0,SUMIFS(采购进货!$E$4:$E$1503,采购进货!$D$4:$D$1503,$B76,采购进货!$B$4:$B$1503,"&gt;="&amp;DATE(年度,8,1),采购进货!$B$4:$B$1503,"&lt;"&amp;DATE(年度,8+1,1))+SUMIFS(采购进货!$H$4:$H$1503,采购进货!$D$4:$D$1503,$B76,采购进货!$B$4:$B$1503,"&gt;="&amp;DATE(年度,8,1),采购进货!$B$4:$B$1503,"&lt;"&amp;DATE(年度,8+1,1)))</f>
        <v>0</v>
      </c>
      <c r="CO76" s="186">
        <f>IF($B76="",0,SUMIFS(采购进货!$G$4:$G$1503,采购进货!$D$4:$D$1503,$B76,采购进货!$B$4:$B$1503,"&gt;="&amp;DATE(年度,8,1),采购进货!$B$4:$B$1503,"&lt;"&amp;DATE(年度,8+1,1)))</f>
        <v>0</v>
      </c>
      <c r="CP76" s="234">
        <f>CK76+CN76</f>
        <v>0</v>
      </c>
      <c r="CQ76" s="235">
        <f>CL76+CO76</f>
        <v>0</v>
      </c>
      <c r="CR76" s="222">
        <f>IF(AND(CP76&gt;0,CQ76&gt;0),CQ76/CP76,N($E76))</f>
        <v>0</v>
      </c>
      <c r="CS76" s="220">
        <f>IF($B76="",0,SUMIFS(出库明细!$E$4:$E$3003,出库明细!$D$4:$D$3003,$B76,出库明细!$B$4:$B$3003,"&gt;="&amp;DATE(年度,8,1),出库明细!$B$4:$B$3003,"&lt;"&amp;DATE(年度,8+1,1)))</f>
        <v>0</v>
      </c>
      <c r="CT76" s="186">
        <f>CS76*CR76</f>
        <v>0</v>
      </c>
      <c r="CU76" s="220">
        <f>_辅助!BT74</f>
        <v>0</v>
      </c>
      <c r="CV76" s="186">
        <f>_辅助!AJ74</f>
        <v>0</v>
      </c>
      <c r="CW76" s="221">
        <f>CP76-CS76-CU76</f>
        <v>0</v>
      </c>
      <c r="CX76" s="187">
        <f>CQ76-CT76-CV76</f>
        <v>0</v>
      </c>
      <c r="CY76" s="236">
        <f>IF(AND(CP76&gt;0,CQ76&gt;0),0,CT76)</f>
        <v>0</v>
      </c>
      <c r="CZ76" s="220">
        <f>IF($B76="",0,SUMIFS(采购进货!$E$4:$E$1503,采购进货!$D$4:$D$1503,$B76,采购进货!$B$4:$B$1503,"&gt;="&amp;DATE(年度,9,1),采购进货!$B$4:$B$1503,"&lt;"&amp;DATE(年度,9+1,1))+SUMIFS(采购进货!$H$4:$H$1503,采购进货!$D$4:$D$1503,$B76,采购进货!$B$4:$B$1503,"&gt;="&amp;DATE(年度,9,1),采购进货!$B$4:$B$1503,"&lt;"&amp;DATE(年度,9+1,1)))</f>
        <v>0</v>
      </c>
      <c r="DA76" s="186">
        <f>IF($B76="",0,SUMIFS(采购进货!$G$4:$G$1503,采购进货!$D$4:$D$1503,$B76,采购进货!$B$4:$B$1503,"&gt;="&amp;DATE(年度,9,1),采购进货!$B$4:$B$1503,"&lt;"&amp;DATE(年度,9+1,1)))</f>
        <v>0</v>
      </c>
      <c r="DB76" s="234">
        <f>CW76+CZ76</f>
        <v>0</v>
      </c>
      <c r="DC76" s="235">
        <f>CX76+DA76</f>
        <v>0</v>
      </c>
      <c r="DD76" s="222">
        <f>IF(AND(DB76&gt;0,DC76&gt;0),DC76/DB76,N($E76))</f>
        <v>0</v>
      </c>
      <c r="DE76" s="220">
        <f>IF($B76="",0,SUMIFS(出库明细!$E$4:$E$3003,出库明细!$D$4:$D$3003,$B76,出库明细!$B$4:$B$3003,"&gt;="&amp;DATE(年度,9,1),出库明细!$B$4:$B$3003,"&lt;"&amp;DATE(年度,9+1,1)))</f>
        <v>0</v>
      </c>
      <c r="DF76" s="186">
        <f>DE76*DD76</f>
        <v>0</v>
      </c>
      <c r="DG76" s="220">
        <f>_辅助!BU74</f>
        <v>0</v>
      </c>
      <c r="DH76" s="186">
        <f>_辅助!AK74</f>
        <v>0</v>
      </c>
      <c r="DI76" s="221">
        <f>DB76-DE76-DG76</f>
        <v>0</v>
      </c>
      <c r="DJ76" s="187">
        <f>DC76-DF76-DH76</f>
        <v>0</v>
      </c>
      <c r="DK76" s="236">
        <f>IF(AND(DB76&gt;0,DC76&gt;0),0,DF76)</f>
        <v>0</v>
      </c>
      <c r="DL76" s="220">
        <f>IF($B76="",0,SUMIFS(采购进货!$E$4:$E$1503,采购进货!$D$4:$D$1503,$B76,采购进货!$B$4:$B$1503,"&gt;="&amp;DATE(年度,10,1),采购进货!$B$4:$B$1503,"&lt;"&amp;DATE(年度,10+1,1))+SUMIFS(采购进货!$H$4:$H$1503,采购进货!$D$4:$D$1503,$B76,采购进货!$B$4:$B$1503,"&gt;="&amp;DATE(年度,10,1),采购进货!$B$4:$B$1503,"&lt;"&amp;DATE(年度,10+1,1)))</f>
        <v>0</v>
      </c>
      <c r="DM76" s="186">
        <f>IF($B76="",0,SUMIFS(采购进货!$G$4:$G$1503,采购进货!$D$4:$D$1503,$B76,采购进货!$B$4:$B$1503,"&gt;="&amp;DATE(年度,10,1),采购进货!$B$4:$B$1503,"&lt;"&amp;DATE(年度,10+1,1)))</f>
        <v>0</v>
      </c>
      <c r="DN76" s="234">
        <f>DI76+DL76</f>
        <v>0</v>
      </c>
      <c r="DO76" s="235">
        <f>DJ76+DM76</f>
        <v>0</v>
      </c>
      <c r="DP76" s="222">
        <f>IF(AND(DN76&gt;0,DO76&gt;0),DO76/DN76,N($E76))</f>
        <v>0</v>
      </c>
      <c r="DQ76" s="220">
        <f>IF($B76="",0,SUMIFS(出库明细!$E$4:$E$3003,出库明细!$D$4:$D$3003,$B76,出库明细!$B$4:$B$3003,"&gt;="&amp;DATE(年度,10,1),出库明细!$B$4:$B$3003,"&lt;"&amp;DATE(年度,10+1,1)))</f>
        <v>0</v>
      </c>
      <c r="DR76" s="186">
        <f>DQ76*DP76</f>
        <v>0</v>
      </c>
      <c r="DS76" s="220">
        <f>_辅助!BV74</f>
        <v>0</v>
      </c>
      <c r="DT76" s="186">
        <f>_辅助!AL74</f>
        <v>0</v>
      </c>
      <c r="DU76" s="221">
        <f>DN76-DQ76-DS76</f>
        <v>0</v>
      </c>
      <c r="DV76" s="187">
        <f>DO76-DR76-DT76</f>
        <v>0</v>
      </c>
      <c r="DW76" s="236">
        <f>IF(AND(DN76&gt;0,DO76&gt;0),0,DR76)</f>
        <v>0</v>
      </c>
      <c r="DX76" s="220">
        <f>IF($B76="",0,SUMIFS(采购进货!$E$4:$E$1503,采购进货!$D$4:$D$1503,$B76,采购进货!$B$4:$B$1503,"&gt;="&amp;DATE(年度,11,1),采购进货!$B$4:$B$1503,"&lt;"&amp;DATE(年度,11+1,1))+SUMIFS(采购进货!$H$4:$H$1503,采购进货!$D$4:$D$1503,$B76,采购进货!$B$4:$B$1503,"&gt;="&amp;DATE(年度,11,1),采购进货!$B$4:$B$1503,"&lt;"&amp;DATE(年度,11+1,1)))</f>
        <v>0</v>
      </c>
      <c r="DY76" s="186">
        <f>IF($B76="",0,SUMIFS(采购进货!$G$4:$G$1503,采购进货!$D$4:$D$1503,$B76,采购进货!$B$4:$B$1503,"&gt;="&amp;DATE(年度,11,1),采购进货!$B$4:$B$1503,"&lt;"&amp;DATE(年度,11+1,1)))</f>
        <v>0</v>
      </c>
      <c r="DZ76" s="234">
        <f>DU76+DX76</f>
        <v>0</v>
      </c>
      <c r="EA76" s="235">
        <f>DV76+DY76</f>
        <v>0</v>
      </c>
      <c r="EB76" s="222">
        <f>IF(AND(DZ76&gt;0,EA76&gt;0),EA76/DZ76,N($E76))</f>
        <v>0</v>
      </c>
      <c r="EC76" s="220">
        <f>IF($B76="",0,SUMIFS(出库明细!$E$4:$E$3003,出库明细!$D$4:$D$3003,$B76,出库明细!$B$4:$B$3003,"&gt;="&amp;DATE(年度,11,1),出库明细!$B$4:$B$3003,"&lt;"&amp;DATE(年度,11+1,1)))</f>
        <v>0</v>
      </c>
      <c r="ED76" s="186">
        <f>EC76*EB76</f>
        <v>0</v>
      </c>
      <c r="EE76" s="220">
        <f>_辅助!BW74</f>
        <v>0</v>
      </c>
      <c r="EF76" s="186">
        <f>_辅助!AM74</f>
        <v>0</v>
      </c>
      <c r="EG76" s="221">
        <f>DZ76-EC76-EE76</f>
        <v>0</v>
      </c>
      <c r="EH76" s="187">
        <f>EA76-ED76-EF76</f>
        <v>0</v>
      </c>
      <c r="EI76" s="236">
        <f>IF(AND(DZ76&gt;0,EA76&gt;0),0,ED76)</f>
        <v>0</v>
      </c>
      <c r="EJ76" s="220">
        <f>IF($B76="",0,SUMIFS(采购进货!$E$4:$E$1503,采购进货!$D$4:$D$1503,$B76,采购进货!$B$4:$B$1503,"&gt;="&amp;DATE(年度,12,1),采购进货!$B$4:$B$1503,"&lt;"&amp;DATE(年度,12+1,1))+SUMIFS(采购进货!$H$4:$H$1503,采购进货!$D$4:$D$1503,$B76,采购进货!$B$4:$B$1503,"&gt;="&amp;DATE(年度,12,1),采购进货!$B$4:$B$1503,"&lt;"&amp;DATE(年度,12+1,1)))</f>
        <v>0</v>
      </c>
      <c r="EK76" s="186">
        <f>IF($B76="",0,SUMIFS(采购进货!$G$4:$G$1503,采购进货!$D$4:$D$1503,$B76,采购进货!$B$4:$B$1503,"&gt;="&amp;DATE(年度,12,1),采购进货!$B$4:$B$1503,"&lt;"&amp;DATE(年度,12+1,1)))</f>
        <v>0</v>
      </c>
      <c r="EL76" s="234">
        <f>EG76+EJ76</f>
        <v>0</v>
      </c>
      <c r="EM76" s="235">
        <f>EH76+EK76</f>
        <v>0</v>
      </c>
      <c r="EN76" s="222">
        <f>IF(AND(EL76&gt;0,EM76&gt;0),EM76/EL76,N($E76))</f>
        <v>0</v>
      </c>
      <c r="EO76" s="220">
        <f>IF($B76="",0,SUMIFS(出库明细!$E$4:$E$3003,出库明细!$D$4:$D$3003,$B76,出库明细!$B$4:$B$3003,"&gt;="&amp;DATE(年度,12,1),出库明细!$B$4:$B$3003,"&lt;"&amp;DATE(年度,12+1,1)))</f>
        <v>0</v>
      </c>
      <c r="EP76" s="186">
        <f>EO76*EN76</f>
        <v>0</v>
      </c>
      <c r="EQ76" s="220">
        <f>_辅助!BX74</f>
        <v>0</v>
      </c>
      <c r="ER76" s="186">
        <f>_辅助!AN74</f>
        <v>0</v>
      </c>
      <c r="ES76" s="221">
        <f>EL76-EO76-EQ76</f>
        <v>0</v>
      </c>
      <c r="ET76" s="187">
        <f>EM76-EP76-ER76</f>
        <v>0</v>
      </c>
      <c r="EU76" s="236">
        <f>IF(AND(EL76&gt;0,EM76&gt;0),0,EP76)</f>
        <v>0</v>
      </c>
    </row>
    <row r="77">
      <c r="A77" s="194">
        <f>IF(B77="","",ROW()-7)</f>
      </c>
      <c r="B77" s="141">
        <f>IF(基础资料!E74="","",基础资料!E74&amp;"")</f>
      </c>
      <c r="C77" s="230">
        <f>IF(基础资料!G74="","",基础资料!G74&amp;"")</f>
      </c>
      <c r="D77" s="194">
        <f>IF(基础资料!I74="","",基础资料!I74)</f>
      </c>
      <c r="E77" s="231">
        <f>IF(基础资料!J74="","",基础资料!J74)</f>
      </c>
      <c r="F77" s="232">
        <f>N(基础资料!L74)</f>
        <v>0</v>
      </c>
      <c r="G77" s="233">
        <f>IF(基础资料!N74="",0,基础资料!N74)</f>
        <v>0</v>
      </c>
      <c r="H77" s="220">
        <f>IF($B77="",0,SUMIFS(采购进货!$E$4:$E$1503,采购进货!$D$4:$D$1503,$B77,采购进货!$B$4:$B$1503,"&gt;="&amp;DATE(年度,1,1),采购进货!$B$4:$B$1503,"&lt;"&amp;DATE(年度,1+1,1))+SUMIFS(采购进货!$H$4:$H$1503,采购进货!$D$4:$D$1503,$B77,采购进货!$B$4:$B$1503,"&gt;="&amp;DATE(年度,1,1),采购进货!$B$4:$B$1503,"&lt;"&amp;DATE(年度,1+1,1)))</f>
        <v>0</v>
      </c>
      <c r="I77" s="186">
        <f>IF($B77="",0,SUMIFS(采购进货!$G$4:$G$1503,采购进货!$D$4:$D$1503,$B77,采购进货!$B$4:$B$1503,"&gt;="&amp;DATE(年度,1,1),采购进货!$B$4:$B$1503,"&lt;"&amp;DATE(年度,1+1,1)))</f>
        <v>0</v>
      </c>
      <c r="J77" s="234">
        <f>F77+H77</f>
        <v>0</v>
      </c>
      <c r="K77" s="235">
        <f>G77+I77</f>
        <v>0</v>
      </c>
      <c r="L77" s="222">
        <f>IF(AND(J77&gt;0,K77&gt;0),K77/J77,N($E77))</f>
        <v>0</v>
      </c>
      <c r="M77" s="220">
        <f>IF($B77="",0,SUMIFS(出库明细!$E$4:$E$3003,出库明细!$D$4:$D$3003,$B77,出库明细!$B$4:$B$3003,"&gt;="&amp;DATE(年度,1,1),出库明细!$B$4:$B$3003,"&lt;"&amp;DATE(年度,1+1,1)))</f>
        <v>0</v>
      </c>
      <c r="N77" s="186">
        <f>M77*L77</f>
        <v>0</v>
      </c>
      <c r="O77" s="220">
        <f>_辅助!BM75</f>
        <v>0</v>
      </c>
      <c r="P77" s="186">
        <f>_辅助!AC75</f>
        <v>0</v>
      </c>
      <c r="Q77" s="221">
        <f>J77-M77-O77</f>
        <v>0</v>
      </c>
      <c r="R77" s="187">
        <f>K77-N77-P77</f>
        <v>0</v>
      </c>
      <c r="S77" s="236">
        <f>IF(AND(J77&gt;0,K77&gt;0),0,N77)</f>
        <v>0</v>
      </c>
      <c r="T77" s="220">
        <f>IF($B77="",0,SUMIFS(采购进货!$E$4:$E$1503,采购进货!$D$4:$D$1503,$B77,采购进货!$B$4:$B$1503,"&gt;="&amp;DATE(年度,2,1),采购进货!$B$4:$B$1503,"&lt;"&amp;DATE(年度,2+1,1))+SUMIFS(采购进货!$H$4:$H$1503,采购进货!$D$4:$D$1503,$B77,采购进货!$B$4:$B$1503,"&gt;="&amp;DATE(年度,2,1),采购进货!$B$4:$B$1503,"&lt;"&amp;DATE(年度,2+1,1)))</f>
        <v>0</v>
      </c>
      <c r="U77" s="186">
        <f>IF($B77="",0,SUMIFS(采购进货!$G$4:$G$1503,采购进货!$D$4:$D$1503,$B77,采购进货!$B$4:$B$1503,"&gt;="&amp;DATE(年度,2,1),采购进货!$B$4:$B$1503,"&lt;"&amp;DATE(年度,2+1,1)))</f>
        <v>0</v>
      </c>
      <c r="V77" s="234">
        <f>Q77+T77</f>
        <v>0</v>
      </c>
      <c r="W77" s="235">
        <f>R77+U77</f>
        <v>0</v>
      </c>
      <c r="X77" s="222">
        <f>IF(AND(V77&gt;0,W77&gt;0),W77/V77,N($E77))</f>
        <v>0</v>
      </c>
      <c r="Y77" s="220">
        <f>IF($B77="",0,SUMIFS(出库明细!$E$4:$E$3003,出库明细!$D$4:$D$3003,$B77,出库明细!$B$4:$B$3003,"&gt;="&amp;DATE(年度,2,1),出库明细!$B$4:$B$3003,"&lt;"&amp;DATE(年度,2+1,1)))</f>
        <v>0</v>
      </c>
      <c r="Z77" s="186">
        <f>Y77*X77</f>
        <v>0</v>
      </c>
      <c r="AA77" s="220">
        <f>_辅助!BN75</f>
        <v>0</v>
      </c>
      <c r="AB77" s="186">
        <f>_辅助!AD75</f>
        <v>0</v>
      </c>
      <c r="AC77" s="221">
        <f>V77-Y77-AA77</f>
        <v>0</v>
      </c>
      <c r="AD77" s="187">
        <f>W77-Z77-AB77</f>
        <v>0</v>
      </c>
      <c r="AE77" s="236">
        <f>IF(AND(V77&gt;0,W77&gt;0),0,Z77)</f>
        <v>0</v>
      </c>
      <c r="AF77" s="220">
        <f>IF($B77="",0,SUMIFS(采购进货!$E$4:$E$1503,采购进货!$D$4:$D$1503,$B77,采购进货!$B$4:$B$1503,"&gt;="&amp;DATE(年度,3,1),采购进货!$B$4:$B$1503,"&lt;"&amp;DATE(年度,3+1,1))+SUMIFS(采购进货!$H$4:$H$1503,采购进货!$D$4:$D$1503,$B77,采购进货!$B$4:$B$1503,"&gt;="&amp;DATE(年度,3,1),采购进货!$B$4:$B$1503,"&lt;"&amp;DATE(年度,3+1,1)))</f>
        <v>0</v>
      </c>
      <c r="AG77" s="186">
        <f>IF($B77="",0,SUMIFS(采购进货!$G$4:$G$1503,采购进货!$D$4:$D$1503,$B77,采购进货!$B$4:$B$1503,"&gt;="&amp;DATE(年度,3,1),采购进货!$B$4:$B$1503,"&lt;"&amp;DATE(年度,3+1,1)))</f>
        <v>0</v>
      </c>
      <c r="AH77" s="234">
        <f>AC77+AF77</f>
        <v>0</v>
      </c>
      <c r="AI77" s="235">
        <f>AD77+AG77</f>
        <v>0</v>
      </c>
      <c r="AJ77" s="222">
        <f>IF(AND(AH77&gt;0,AI77&gt;0),AI77/AH77,N($E77))</f>
        <v>0</v>
      </c>
      <c r="AK77" s="220">
        <f>IF($B77="",0,SUMIFS(出库明细!$E$4:$E$3003,出库明细!$D$4:$D$3003,$B77,出库明细!$B$4:$B$3003,"&gt;="&amp;DATE(年度,3,1),出库明细!$B$4:$B$3003,"&lt;"&amp;DATE(年度,3+1,1)))</f>
        <v>0</v>
      </c>
      <c r="AL77" s="186">
        <f>AK77*AJ77</f>
        <v>0</v>
      </c>
      <c r="AM77" s="220">
        <f>_辅助!BO75</f>
        <v>0</v>
      </c>
      <c r="AN77" s="186">
        <f>_辅助!AE75</f>
        <v>0</v>
      </c>
      <c r="AO77" s="221">
        <f>AH77-AK77-AM77</f>
        <v>0</v>
      </c>
      <c r="AP77" s="187">
        <f>AI77-AL77-AN77</f>
        <v>0</v>
      </c>
      <c r="AQ77" s="236">
        <f>IF(AND(AH77&gt;0,AI77&gt;0),0,AL77)</f>
        <v>0</v>
      </c>
      <c r="AR77" s="220">
        <f>IF($B77="",0,SUMIFS(采购进货!$E$4:$E$1503,采购进货!$D$4:$D$1503,$B77,采购进货!$B$4:$B$1503,"&gt;="&amp;DATE(年度,4,1),采购进货!$B$4:$B$1503,"&lt;"&amp;DATE(年度,4+1,1))+SUMIFS(采购进货!$H$4:$H$1503,采购进货!$D$4:$D$1503,$B77,采购进货!$B$4:$B$1503,"&gt;="&amp;DATE(年度,4,1),采购进货!$B$4:$B$1503,"&lt;"&amp;DATE(年度,4+1,1)))</f>
        <v>0</v>
      </c>
      <c r="AS77" s="186">
        <f>IF($B77="",0,SUMIFS(采购进货!$G$4:$G$1503,采购进货!$D$4:$D$1503,$B77,采购进货!$B$4:$B$1503,"&gt;="&amp;DATE(年度,4,1),采购进货!$B$4:$B$1503,"&lt;"&amp;DATE(年度,4+1,1)))</f>
        <v>0</v>
      </c>
      <c r="AT77" s="234">
        <f>AO77+AR77</f>
        <v>0</v>
      </c>
      <c r="AU77" s="235">
        <f>AP77+AS77</f>
        <v>0</v>
      </c>
      <c r="AV77" s="222">
        <f>IF(AND(AT77&gt;0,AU77&gt;0),AU77/AT77,N($E77))</f>
        <v>0</v>
      </c>
      <c r="AW77" s="220">
        <f>IF($B77="",0,SUMIFS(出库明细!$E$4:$E$3003,出库明细!$D$4:$D$3003,$B77,出库明细!$B$4:$B$3003,"&gt;="&amp;DATE(年度,4,1),出库明细!$B$4:$B$3003,"&lt;"&amp;DATE(年度,4+1,1)))</f>
        <v>0</v>
      </c>
      <c r="AX77" s="186">
        <f>AW77*AV77</f>
        <v>0</v>
      </c>
      <c r="AY77" s="220">
        <f>_辅助!BP75</f>
        <v>0</v>
      </c>
      <c r="AZ77" s="186">
        <f>_辅助!AF75</f>
        <v>0</v>
      </c>
      <c r="BA77" s="221">
        <f>AT77-AW77-AY77</f>
        <v>0</v>
      </c>
      <c r="BB77" s="187">
        <f>AU77-AX77-AZ77</f>
        <v>0</v>
      </c>
      <c r="BC77" s="236">
        <f>IF(AND(AT77&gt;0,AU77&gt;0),0,AX77)</f>
        <v>0</v>
      </c>
      <c r="BD77" s="220">
        <f>IF($B77="",0,SUMIFS(采购进货!$E$4:$E$1503,采购进货!$D$4:$D$1503,$B77,采购进货!$B$4:$B$1503,"&gt;="&amp;DATE(年度,5,1),采购进货!$B$4:$B$1503,"&lt;"&amp;DATE(年度,5+1,1))+SUMIFS(采购进货!$H$4:$H$1503,采购进货!$D$4:$D$1503,$B77,采购进货!$B$4:$B$1503,"&gt;="&amp;DATE(年度,5,1),采购进货!$B$4:$B$1503,"&lt;"&amp;DATE(年度,5+1,1)))</f>
        <v>0</v>
      </c>
      <c r="BE77" s="186">
        <f>IF($B77="",0,SUMIFS(采购进货!$G$4:$G$1503,采购进货!$D$4:$D$1503,$B77,采购进货!$B$4:$B$1503,"&gt;="&amp;DATE(年度,5,1),采购进货!$B$4:$B$1503,"&lt;"&amp;DATE(年度,5+1,1)))</f>
        <v>0</v>
      </c>
      <c r="BF77" s="234">
        <f>BA77+BD77</f>
        <v>0</v>
      </c>
      <c r="BG77" s="235">
        <f>BB77+BE77</f>
        <v>0</v>
      </c>
      <c r="BH77" s="222">
        <f>IF(AND(BF77&gt;0,BG77&gt;0),BG77/BF77,N($E77))</f>
        <v>0</v>
      </c>
      <c r="BI77" s="220">
        <f>IF($B77="",0,SUMIFS(出库明细!$E$4:$E$3003,出库明细!$D$4:$D$3003,$B77,出库明细!$B$4:$B$3003,"&gt;="&amp;DATE(年度,5,1),出库明细!$B$4:$B$3003,"&lt;"&amp;DATE(年度,5+1,1)))</f>
        <v>0</v>
      </c>
      <c r="BJ77" s="186">
        <f>BI77*BH77</f>
        <v>0</v>
      </c>
      <c r="BK77" s="220">
        <f>_辅助!BQ75</f>
        <v>0</v>
      </c>
      <c r="BL77" s="186">
        <f>_辅助!AG75</f>
        <v>0</v>
      </c>
      <c r="BM77" s="221">
        <f>BF77-BI77-BK77</f>
        <v>0</v>
      </c>
      <c r="BN77" s="187">
        <f>BG77-BJ77-BL77</f>
        <v>0</v>
      </c>
      <c r="BO77" s="236">
        <f>IF(AND(BF77&gt;0,BG77&gt;0),0,BJ77)</f>
        <v>0</v>
      </c>
      <c r="BP77" s="220">
        <f>IF($B77="",0,SUMIFS(采购进货!$E$4:$E$1503,采购进货!$D$4:$D$1503,$B77,采购进货!$B$4:$B$1503,"&gt;="&amp;DATE(年度,6,1),采购进货!$B$4:$B$1503,"&lt;"&amp;DATE(年度,6+1,1))+SUMIFS(采购进货!$H$4:$H$1503,采购进货!$D$4:$D$1503,$B77,采购进货!$B$4:$B$1503,"&gt;="&amp;DATE(年度,6,1),采购进货!$B$4:$B$1503,"&lt;"&amp;DATE(年度,6+1,1)))</f>
        <v>0</v>
      </c>
      <c r="BQ77" s="186">
        <f>IF($B77="",0,SUMIFS(采购进货!$G$4:$G$1503,采购进货!$D$4:$D$1503,$B77,采购进货!$B$4:$B$1503,"&gt;="&amp;DATE(年度,6,1),采购进货!$B$4:$B$1503,"&lt;"&amp;DATE(年度,6+1,1)))</f>
        <v>0</v>
      </c>
      <c r="BR77" s="234">
        <f>BM77+BP77</f>
        <v>0</v>
      </c>
      <c r="BS77" s="235">
        <f>BN77+BQ77</f>
        <v>0</v>
      </c>
      <c r="BT77" s="222">
        <f>IF(AND(BR77&gt;0,BS77&gt;0),BS77/BR77,N($E77))</f>
        <v>0</v>
      </c>
      <c r="BU77" s="220">
        <f>IF($B77="",0,SUMIFS(出库明细!$E$4:$E$3003,出库明细!$D$4:$D$3003,$B77,出库明细!$B$4:$B$3003,"&gt;="&amp;DATE(年度,6,1),出库明细!$B$4:$B$3003,"&lt;"&amp;DATE(年度,6+1,1)))</f>
        <v>0</v>
      </c>
      <c r="BV77" s="186">
        <f>BU77*BT77</f>
        <v>0</v>
      </c>
      <c r="BW77" s="220">
        <f>_辅助!BR75</f>
        <v>0</v>
      </c>
      <c r="BX77" s="186">
        <f>_辅助!AH75</f>
        <v>0</v>
      </c>
      <c r="BY77" s="221">
        <f>BR77-BU77-BW77</f>
        <v>0</v>
      </c>
      <c r="BZ77" s="187">
        <f>BS77-BV77-BX77</f>
        <v>0</v>
      </c>
      <c r="CA77" s="236">
        <f>IF(AND(BR77&gt;0,BS77&gt;0),0,BV77)</f>
        <v>0</v>
      </c>
      <c r="CB77" s="220">
        <f>IF($B77="",0,SUMIFS(采购进货!$E$4:$E$1503,采购进货!$D$4:$D$1503,$B77,采购进货!$B$4:$B$1503,"&gt;="&amp;DATE(年度,7,1),采购进货!$B$4:$B$1503,"&lt;"&amp;DATE(年度,7+1,1))+SUMIFS(采购进货!$H$4:$H$1503,采购进货!$D$4:$D$1503,$B77,采购进货!$B$4:$B$1503,"&gt;="&amp;DATE(年度,7,1),采购进货!$B$4:$B$1503,"&lt;"&amp;DATE(年度,7+1,1)))</f>
        <v>0</v>
      </c>
      <c r="CC77" s="186">
        <f>IF($B77="",0,SUMIFS(采购进货!$G$4:$G$1503,采购进货!$D$4:$D$1503,$B77,采购进货!$B$4:$B$1503,"&gt;="&amp;DATE(年度,7,1),采购进货!$B$4:$B$1503,"&lt;"&amp;DATE(年度,7+1,1)))</f>
        <v>0</v>
      </c>
      <c r="CD77" s="234">
        <f>BY77+CB77</f>
        <v>0</v>
      </c>
      <c r="CE77" s="235">
        <f>BZ77+CC77</f>
        <v>0</v>
      </c>
      <c r="CF77" s="222">
        <f>IF(AND(CD77&gt;0,CE77&gt;0),CE77/CD77,N($E77))</f>
        <v>0</v>
      </c>
      <c r="CG77" s="220">
        <f>IF($B77="",0,SUMIFS(出库明细!$E$4:$E$3003,出库明细!$D$4:$D$3003,$B77,出库明细!$B$4:$B$3003,"&gt;="&amp;DATE(年度,7,1),出库明细!$B$4:$B$3003,"&lt;"&amp;DATE(年度,7+1,1)))</f>
        <v>0</v>
      </c>
      <c r="CH77" s="186">
        <f>CG77*CF77</f>
        <v>0</v>
      </c>
      <c r="CI77" s="220">
        <f>_辅助!BS75</f>
        <v>0</v>
      </c>
      <c r="CJ77" s="186">
        <f>_辅助!AI75</f>
        <v>0</v>
      </c>
      <c r="CK77" s="221">
        <f>CD77-CG77-CI77</f>
        <v>0</v>
      </c>
      <c r="CL77" s="187">
        <f>CE77-CH77-CJ77</f>
        <v>0</v>
      </c>
      <c r="CM77" s="236">
        <f>IF(AND(CD77&gt;0,CE77&gt;0),0,CH77)</f>
        <v>0</v>
      </c>
      <c r="CN77" s="220">
        <f>IF($B77="",0,SUMIFS(采购进货!$E$4:$E$1503,采购进货!$D$4:$D$1503,$B77,采购进货!$B$4:$B$1503,"&gt;="&amp;DATE(年度,8,1),采购进货!$B$4:$B$1503,"&lt;"&amp;DATE(年度,8+1,1))+SUMIFS(采购进货!$H$4:$H$1503,采购进货!$D$4:$D$1503,$B77,采购进货!$B$4:$B$1503,"&gt;="&amp;DATE(年度,8,1),采购进货!$B$4:$B$1503,"&lt;"&amp;DATE(年度,8+1,1)))</f>
        <v>0</v>
      </c>
      <c r="CO77" s="186">
        <f>IF($B77="",0,SUMIFS(采购进货!$G$4:$G$1503,采购进货!$D$4:$D$1503,$B77,采购进货!$B$4:$B$1503,"&gt;="&amp;DATE(年度,8,1),采购进货!$B$4:$B$1503,"&lt;"&amp;DATE(年度,8+1,1)))</f>
        <v>0</v>
      </c>
      <c r="CP77" s="234">
        <f>CK77+CN77</f>
        <v>0</v>
      </c>
      <c r="CQ77" s="235">
        <f>CL77+CO77</f>
        <v>0</v>
      </c>
      <c r="CR77" s="222">
        <f>IF(AND(CP77&gt;0,CQ77&gt;0),CQ77/CP77,N($E77))</f>
        <v>0</v>
      </c>
      <c r="CS77" s="220">
        <f>IF($B77="",0,SUMIFS(出库明细!$E$4:$E$3003,出库明细!$D$4:$D$3003,$B77,出库明细!$B$4:$B$3003,"&gt;="&amp;DATE(年度,8,1),出库明细!$B$4:$B$3003,"&lt;"&amp;DATE(年度,8+1,1)))</f>
        <v>0</v>
      </c>
      <c r="CT77" s="186">
        <f>CS77*CR77</f>
        <v>0</v>
      </c>
      <c r="CU77" s="220">
        <f>_辅助!BT75</f>
        <v>0</v>
      </c>
      <c r="CV77" s="186">
        <f>_辅助!AJ75</f>
        <v>0</v>
      </c>
      <c r="CW77" s="221">
        <f>CP77-CS77-CU77</f>
        <v>0</v>
      </c>
      <c r="CX77" s="187">
        <f>CQ77-CT77-CV77</f>
        <v>0</v>
      </c>
      <c r="CY77" s="236">
        <f>IF(AND(CP77&gt;0,CQ77&gt;0),0,CT77)</f>
        <v>0</v>
      </c>
      <c r="CZ77" s="220">
        <f>IF($B77="",0,SUMIFS(采购进货!$E$4:$E$1503,采购进货!$D$4:$D$1503,$B77,采购进货!$B$4:$B$1503,"&gt;="&amp;DATE(年度,9,1),采购进货!$B$4:$B$1503,"&lt;"&amp;DATE(年度,9+1,1))+SUMIFS(采购进货!$H$4:$H$1503,采购进货!$D$4:$D$1503,$B77,采购进货!$B$4:$B$1503,"&gt;="&amp;DATE(年度,9,1),采购进货!$B$4:$B$1503,"&lt;"&amp;DATE(年度,9+1,1)))</f>
        <v>0</v>
      </c>
      <c r="DA77" s="186">
        <f>IF($B77="",0,SUMIFS(采购进货!$G$4:$G$1503,采购进货!$D$4:$D$1503,$B77,采购进货!$B$4:$B$1503,"&gt;="&amp;DATE(年度,9,1),采购进货!$B$4:$B$1503,"&lt;"&amp;DATE(年度,9+1,1)))</f>
        <v>0</v>
      </c>
      <c r="DB77" s="234">
        <f>CW77+CZ77</f>
        <v>0</v>
      </c>
      <c r="DC77" s="235">
        <f>CX77+DA77</f>
        <v>0</v>
      </c>
      <c r="DD77" s="222">
        <f>IF(AND(DB77&gt;0,DC77&gt;0),DC77/DB77,N($E77))</f>
        <v>0</v>
      </c>
      <c r="DE77" s="220">
        <f>IF($B77="",0,SUMIFS(出库明细!$E$4:$E$3003,出库明细!$D$4:$D$3003,$B77,出库明细!$B$4:$B$3003,"&gt;="&amp;DATE(年度,9,1),出库明细!$B$4:$B$3003,"&lt;"&amp;DATE(年度,9+1,1)))</f>
        <v>0</v>
      </c>
      <c r="DF77" s="186">
        <f>DE77*DD77</f>
        <v>0</v>
      </c>
      <c r="DG77" s="220">
        <f>_辅助!BU75</f>
        <v>0</v>
      </c>
      <c r="DH77" s="186">
        <f>_辅助!AK75</f>
        <v>0</v>
      </c>
      <c r="DI77" s="221">
        <f>DB77-DE77-DG77</f>
        <v>0</v>
      </c>
      <c r="DJ77" s="187">
        <f>DC77-DF77-DH77</f>
        <v>0</v>
      </c>
      <c r="DK77" s="236">
        <f>IF(AND(DB77&gt;0,DC77&gt;0),0,DF77)</f>
        <v>0</v>
      </c>
      <c r="DL77" s="220">
        <f>IF($B77="",0,SUMIFS(采购进货!$E$4:$E$1503,采购进货!$D$4:$D$1503,$B77,采购进货!$B$4:$B$1503,"&gt;="&amp;DATE(年度,10,1),采购进货!$B$4:$B$1503,"&lt;"&amp;DATE(年度,10+1,1))+SUMIFS(采购进货!$H$4:$H$1503,采购进货!$D$4:$D$1503,$B77,采购进货!$B$4:$B$1503,"&gt;="&amp;DATE(年度,10,1),采购进货!$B$4:$B$1503,"&lt;"&amp;DATE(年度,10+1,1)))</f>
        <v>0</v>
      </c>
      <c r="DM77" s="186">
        <f>IF($B77="",0,SUMIFS(采购进货!$G$4:$G$1503,采购进货!$D$4:$D$1503,$B77,采购进货!$B$4:$B$1503,"&gt;="&amp;DATE(年度,10,1),采购进货!$B$4:$B$1503,"&lt;"&amp;DATE(年度,10+1,1)))</f>
        <v>0</v>
      </c>
      <c r="DN77" s="234">
        <f>DI77+DL77</f>
        <v>0</v>
      </c>
      <c r="DO77" s="235">
        <f>DJ77+DM77</f>
        <v>0</v>
      </c>
      <c r="DP77" s="222">
        <f>IF(AND(DN77&gt;0,DO77&gt;0),DO77/DN77,N($E77))</f>
        <v>0</v>
      </c>
      <c r="DQ77" s="220">
        <f>IF($B77="",0,SUMIFS(出库明细!$E$4:$E$3003,出库明细!$D$4:$D$3003,$B77,出库明细!$B$4:$B$3003,"&gt;="&amp;DATE(年度,10,1),出库明细!$B$4:$B$3003,"&lt;"&amp;DATE(年度,10+1,1)))</f>
        <v>0</v>
      </c>
      <c r="DR77" s="186">
        <f>DQ77*DP77</f>
        <v>0</v>
      </c>
      <c r="DS77" s="220">
        <f>_辅助!BV75</f>
        <v>0</v>
      </c>
      <c r="DT77" s="186">
        <f>_辅助!AL75</f>
        <v>0</v>
      </c>
      <c r="DU77" s="221">
        <f>DN77-DQ77-DS77</f>
        <v>0</v>
      </c>
      <c r="DV77" s="187">
        <f>DO77-DR77-DT77</f>
        <v>0</v>
      </c>
      <c r="DW77" s="236">
        <f>IF(AND(DN77&gt;0,DO77&gt;0),0,DR77)</f>
        <v>0</v>
      </c>
      <c r="DX77" s="220">
        <f>IF($B77="",0,SUMIFS(采购进货!$E$4:$E$1503,采购进货!$D$4:$D$1503,$B77,采购进货!$B$4:$B$1503,"&gt;="&amp;DATE(年度,11,1),采购进货!$B$4:$B$1503,"&lt;"&amp;DATE(年度,11+1,1))+SUMIFS(采购进货!$H$4:$H$1503,采购进货!$D$4:$D$1503,$B77,采购进货!$B$4:$B$1503,"&gt;="&amp;DATE(年度,11,1),采购进货!$B$4:$B$1503,"&lt;"&amp;DATE(年度,11+1,1)))</f>
        <v>0</v>
      </c>
      <c r="DY77" s="186">
        <f>IF($B77="",0,SUMIFS(采购进货!$G$4:$G$1503,采购进货!$D$4:$D$1503,$B77,采购进货!$B$4:$B$1503,"&gt;="&amp;DATE(年度,11,1),采购进货!$B$4:$B$1503,"&lt;"&amp;DATE(年度,11+1,1)))</f>
        <v>0</v>
      </c>
      <c r="DZ77" s="234">
        <f>DU77+DX77</f>
        <v>0</v>
      </c>
      <c r="EA77" s="235">
        <f>DV77+DY77</f>
        <v>0</v>
      </c>
      <c r="EB77" s="222">
        <f>IF(AND(DZ77&gt;0,EA77&gt;0),EA77/DZ77,N($E77))</f>
        <v>0</v>
      </c>
      <c r="EC77" s="220">
        <f>IF($B77="",0,SUMIFS(出库明细!$E$4:$E$3003,出库明细!$D$4:$D$3003,$B77,出库明细!$B$4:$B$3003,"&gt;="&amp;DATE(年度,11,1),出库明细!$B$4:$B$3003,"&lt;"&amp;DATE(年度,11+1,1)))</f>
        <v>0</v>
      </c>
      <c r="ED77" s="186">
        <f>EC77*EB77</f>
        <v>0</v>
      </c>
      <c r="EE77" s="220">
        <f>_辅助!BW75</f>
        <v>0</v>
      </c>
      <c r="EF77" s="186">
        <f>_辅助!AM75</f>
        <v>0</v>
      </c>
      <c r="EG77" s="221">
        <f>DZ77-EC77-EE77</f>
        <v>0</v>
      </c>
      <c r="EH77" s="187">
        <f>EA77-ED77-EF77</f>
        <v>0</v>
      </c>
      <c r="EI77" s="236">
        <f>IF(AND(DZ77&gt;0,EA77&gt;0),0,ED77)</f>
        <v>0</v>
      </c>
      <c r="EJ77" s="220">
        <f>IF($B77="",0,SUMIFS(采购进货!$E$4:$E$1503,采购进货!$D$4:$D$1503,$B77,采购进货!$B$4:$B$1503,"&gt;="&amp;DATE(年度,12,1),采购进货!$B$4:$B$1503,"&lt;"&amp;DATE(年度,12+1,1))+SUMIFS(采购进货!$H$4:$H$1503,采购进货!$D$4:$D$1503,$B77,采购进货!$B$4:$B$1503,"&gt;="&amp;DATE(年度,12,1),采购进货!$B$4:$B$1503,"&lt;"&amp;DATE(年度,12+1,1)))</f>
        <v>0</v>
      </c>
      <c r="EK77" s="186">
        <f>IF($B77="",0,SUMIFS(采购进货!$G$4:$G$1503,采购进货!$D$4:$D$1503,$B77,采购进货!$B$4:$B$1503,"&gt;="&amp;DATE(年度,12,1),采购进货!$B$4:$B$1503,"&lt;"&amp;DATE(年度,12+1,1)))</f>
        <v>0</v>
      </c>
      <c r="EL77" s="234">
        <f>EG77+EJ77</f>
        <v>0</v>
      </c>
      <c r="EM77" s="235">
        <f>EH77+EK77</f>
        <v>0</v>
      </c>
      <c r="EN77" s="222">
        <f>IF(AND(EL77&gt;0,EM77&gt;0),EM77/EL77,N($E77))</f>
        <v>0</v>
      </c>
      <c r="EO77" s="220">
        <f>IF($B77="",0,SUMIFS(出库明细!$E$4:$E$3003,出库明细!$D$4:$D$3003,$B77,出库明细!$B$4:$B$3003,"&gt;="&amp;DATE(年度,12,1),出库明细!$B$4:$B$3003,"&lt;"&amp;DATE(年度,12+1,1)))</f>
        <v>0</v>
      </c>
      <c r="EP77" s="186">
        <f>EO77*EN77</f>
        <v>0</v>
      </c>
      <c r="EQ77" s="220">
        <f>_辅助!BX75</f>
        <v>0</v>
      </c>
      <c r="ER77" s="186">
        <f>_辅助!AN75</f>
        <v>0</v>
      </c>
      <c r="ES77" s="221">
        <f>EL77-EO77-EQ77</f>
        <v>0</v>
      </c>
      <c r="ET77" s="187">
        <f>EM77-EP77-ER77</f>
        <v>0</v>
      </c>
      <c r="EU77" s="236">
        <f>IF(AND(EL77&gt;0,EM77&gt;0),0,EP77)</f>
        <v>0</v>
      </c>
    </row>
    <row r="78">
      <c r="A78" s="194">
        <f>IF(B78="","",ROW()-7)</f>
      </c>
      <c r="B78" s="141">
        <f>IF(基础资料!E75="","",基础资料!E75&amp;"")</f>
      </c>
      <c r="C78" s="230">
        <f>IF(基础资料!G75="","",基础资料!G75&amp;"")</f>
      </c>
      <c r="D78" s="194">
        <f>IF(基础资料!I75="","",基础资料!I75)</f>
      </c>
      <c r="E78" s="231">
        <f>IF(基础资料!J75="","",基础资料!J75)</f>
      </c>
      <c r="F78" s="232">
        <f>N(基础资料!L75)</f>
        <v>0</v>
      </c>
      <c r="G78" s="233">
        <f>IF(基础资料!N75="",0,基础资料!N75)</f>
        <v>0</v>
      </c>
      <c r="H78" s="220">
        <f>IF($B78="",0,SUMIFS(采购进货!$E$4:$E$1503,采购进货!$D$4:$D$1503,$B78,采购进货!$B$4:$B$1503,"&gt;="&amp;DATE(年度,1,1),采购进货!$B$4:$B$1503,"&lt;"&amp;DATE(年度,1+1,1))+SUMIFS(采购进货!$H$4:$H$1503,采购进货!$D$4:$D$1503,$B78,采购进货!$B$4:$B$1503,"&gt;="&amp;DATE(年度,1,1),采购进货!$B$4:$B$1503,"&lt;"&amp;DATE(年度,1+1,1)))</f>
        <v>0</v>
      </c>
      <c r="I78" s="186">
        <f>IF($B78="",0,SUMIFS(采购进货!$G$4:$G$1503,采购进货!$D$4:$D$1503,$B78,采购进货!$B$4:$B$1503,"&gt;="&amp;DATE(年度,1,1),采购进货!$B$4:$B$1503,"&lt;"&amp;DATE(年度,1+1,1)))</f>
        <v>0</v>
      </c>
      <c r="J78" s="234">
        <f>F78+H78</f>
        <v>0</v>
      </c>
      <c r="K78" s="235">
        <f>G78+I78</f>
        <v>0</v>
      </c>
      <c r="L78" s="222">
        <f>IF(AND(J78&gt;0,K78&gt;0),K78/J78,N($E78))</f>
        <v>0</v>
      </c>
      <c r="M78" s="220">
        <f>IF($B78="",0,SUMIFS(出库明细!$E$4:$E$3003,出库明细!$D$4:$D$3003,$B78,出库明细!$B$4:$B$3003,"&gt;="&amp;DATE(年度,1,1),出库明细!$B$4:$B$3003,"&lt;"&amp;DATE(年度,1+1,1)))</f>
        <v>0</v>
      </c>
      <c r="N78" s="186">
        <f>M78*L78</f>
        <v>0</v>
      </c>
      <c r="O78" s="220">
        <f>_辅助!BM76</f>
        <v>0</v>
      </c>
      <c r="P78" s="186">
        <f>_辅助!AC76</f>
        <v>0</v>
      </c>
      <c r="Q78" s="221">
        <f>J78-M78-O78</f>
        <v>0</v>
      </c>
      <c r="R78" s="187">
        <f>K78-N78-P78</f>
        <v>0</v>
      </c>
      <c r="S78" s="236">
        <f>IF(AND(J78&gt;0,K78&gt;0),0,N78)</f>
        <v>0</v>
      </c>
      <c r="T78" s="220">
        <f>IF($B78="",0,SUMIFS(采购进货!$E$4:$E$1503,采购进货!$D$4:$D$1503,$B78,采购进货!$B$4:$B$1503,"&gt;="&amp;DATE(年度,2,1),采购进货!$B$4:$B$1503,"&lt;"&amp;DATE(年度,2+1,1))+SUMIFS(采购进货!$H$4:$H$1503,采购进货!$D$4:$D$1503,$B78,采购进货!$B$4:$B$1503,"&gt;="&amp;DATE(年度,2,1),采购进货!$B$4:$B$1503,"&lt;"&amp;DATE(年度,2+1,1)))</f>
        <v>0</v>
      </c>
      <c r="U78" s="186">
        <f>IF($B78="",0,SUMIFS(采购进货!$G$4:$G$1503,采购进货!$D$4:$D$1503,$B78,采购进货!$B$4:$B$1503,"&gt;="&amp;DATE(年度,2,1),采购进货!$B$4:$B$1503,"&lt;"&amp;DATE(年度,2+1,1)))</f>
        <v>0</v>
      </c>
      <c r="V78" s="234">
        <f>Q78+T78</f>
        <v>0</v>
      </c>
      <c r="W78" s="235">
        <f>R78+U78</f>
        <v>0</v>
      </c>
      <c r="X78" s="222">
        <f>IF(AND(V78&gt;0,W78&gt;0),W78/V78,N($E78))</f>
        <v>0</v>
      </c>
      <c r="Y78" s="220">
        <f>IF($B78="",0,SUMIFS(出库明细!$E$4:$E$3003,出库明细!$D$4:$D$3003,$B78,出库明细!$B$4:$B$3003,"&gt;="&amp;DATE(年度,2,1),出库明细!$B$4:$B$3003,"&lt;"&amp;DATE(年度,2+1,1)))</f>
        <v>0</v>
      </c>
      <c r="Z78" s="186">
        <f>Y78*X78</f>
        <v>0</v>
      </c>
      <c r="AA78" s="220">
        <f>_辅助!BN76</f>
        <v>0</v>
      </c>
      <c r="AB78" s="186">
        <f>_辅助!AD76</f>
        <v>0</v>
      </c>
      <c r="AC78" s="221">
        <f>V78-Y78-AA78</f>
        <v>0</v>
      </c>
      <c r="AD78" s="187">
        <f>W78-Z78-AB78</f>
        <v>0</v>
      </c>
      <c r="AE78" s="236">
        <f>IF(AND(V78&gt;0,W78&gt;0),0,Z78)</f>
        <v>0</v>
      </c>
      <c r="AF78" s="220">
        <f>IF($B78="",0,SUMIFS(采购进货!$E$4:$E$1503,采购进货!$D$4:$D$1503,$B78,采购进货!$B$4:$B$1503,"&gt;="&amp;DATE(年度,3,1),采购进货!$B$4:$B$1503,"&lt;"&amp;DATE(年度,3+1,1))+SUMIFS(采购进货!$H$4:$H$1503,采购进货!$D$4:$D$1503,$B78,采购进货!$B$4:$B$1503,"&gt;="&amp;DATE(年度,3,1),采购进货!$B$4:$B$1503,"&lt;"&amp;DATE(年度,3+1,1)))</f>
        <v>0</v>
      </c>
      <c r="AG78" s="186">
        <f>IF($B78="",0,SUMIFS(采购进货!$G$4:$G$1503,采购进货!$D$4:$D$1503,$B78,采购进货!$B$4:$B$1503,"&gt;="&amp;DATE(年度,3,1),采购进货!$B$4:$B$1503,"&lt;"&amp;DATE(年度,3+1,1)))</f>
        <v>0</v>
      </c>
      <c r="AH78" s="234">
        <f>AC78+AF78</f>
        <v>0</v>
      </c>
      <c r="AI78" s="235">
        <f>AD78+AG78</f>
        <v>0</v>
      </c>
      <c r="AJ78" s="222">
        <f>IF(AND(AH78&gt;0,AI78&gt;0),AI78/AH78,N($E78))</f>
        <v>0</v>
      </c>
      <c r="AK78" s="220">
        <f>IF($B78="",0,SUMIFS(出库明细!$E$4:$E$3003,出库明细!$D$4:$D$3003,$B78,出库明细!$B$4:$B$3003,"&gt;="&amp;DATE(年度,3,1),出库明细!$B$4:$B$3003,"&lt;"&amp;DATE(年度,3+1,1)))</f>
        <v>0</v>
      </c>
      <c r="AL78" s="186">
        <f>AK78*AJ78</f>
        <v>0</v>
      </c>
      <c r="AM78" s="220">
        <f>_辅助!BO76</f>
        <v>0</v>
      </c>
      <c r="AN78" s="186">
        <f>_辅助!AE76</f>
        <v>0</v>
      </c>
      <c r="AO78" s="221">
        <f>AH78-AK78-AM78</f>
        <v>0</v>
      </c>
      <c r="AP78" s="187">
        <f>AI78-AL78-AN78</f>
        <v>0</v>
      </c>
      <c r="AQ78" s="236">
        <f>IF(AND(AH78&gt;0,AI78&gt;0),0,AL78)</f>
        <v>0</v>
      </c>
      <c r="AR78" s="220">
        <f>IF($B78="",0,SUMIFS(采购进货!$E$4:$E$1503,采购进货!$D$4:$D$1503,$B78,采购进货!$B$4:$B$1503,"&gt;="&amp;DATE(年度,4,1),采购进货!$B$4:$B$1503,"&lt;"&amp;DATE(年度,4+1,1))+SUMIFS(采购进货!$H$4:$H$1503,采购进货!$D$4:$D$1503,$B78,采购进货!$B$4:$B$1503,"&gt;="&amp;DATE(年度,4,1),采购进货!$B$4:$B$1503,"&lt;"&amp;DATE(年度,4+1,1)))</f>
        <v>0</v>
      </c>
      <c r="AS78" s="186">
        <f>IF($B78="",0,SUMIFS(采购进货!$G$4:$G$1503,采购进货!$D$4:$D$1503,$B78,采购进货!$B$4:$B$1503,"&gt;="&amp;DATE(年度,4,1),采购进货!$B$4:$B$1503,"&lt;"&amp;DATE(年度,4+1,1)))</f>
        <v>0</v>
      </c>
      <c r="AT78" s="234">
        <f>AO78+AR78</f>
        <v>0</v>
      </c>
      <c r="AU78" s="235">
        <f>AP78+AS78</f>
        <v>0</v>
      </c>
      <c r="AV78" s="222">
        <f>IF(AND(AT78&gt;0,AU78&gt;0),AU78/AT78,N($E78))</f>
        <v>0</v>
      </c>
      <c r="AW78" s="220">
        <f>IF($B78="",0,SUMIFS(出库明细!$E$4:$E$3003,出库明细!$D$4:$D$3003,$B78,出库明细!$B$4:$B$3003,"&gt;="&amp;DATE(年度,4,1),出库明细!$B$4:$B$3003,"&lt;"&amp;DATE(年度,4+1,1)))</f>
        <v>0</v>
      </c>
      <c r="AX78" s="186">
        <f>AW78*AV78</f>
        <v>0</v>
      </c>
      <c r="AY78" s="220">
        <f>_辅助!BP76</f>
        <v>0</v>
      </c>
      <c r="AZ78" s="186">
        <f>_辅助!AF76</f>
        <v>0</v>
      </c>
      <c r="BA78" s="221">
        <f>AT78-AW78-AY78</f>
        <v>0</v>
      </c>
      <c r="BB78" s="187">
        <f>AU78-AX78-AZ78</f>
        <v>0</v>
      </c>
      <c r="BC78" s="236">
        <f>IF(AND(AT78&gt;0,AU78&gt;0),0,AX78)</f>
        <v>0</v>
      </c>
      <c r="BD78" s="220">
        <f>IF($B78="",0,SUMIFS(采购进货!$E$4:$E$1503,采购进货!$D$4:$D$1503,$B78,采购进货!$B$4:$B$1503,"&gt;="&amp;DATE(年度,5,1),采购进货!$B$4:$B$1503,"&lt;"&amp;DATE(年度,5+1,1))+SUMIFS(采购进货!$H$4:$H$1503,采购进货!$D$4:$D$1503,$B78,采购进货!$B$4:$B$1503,"&gt;="&amp;DATE(年度,5,1),采购进货!$B$4:$B$1503,"&lt;"&amp;DATE(年度,5+1,1)))</f>
        <v>0</v>
      </c>
      <c r="BE78" s="186">
        <f>IF($B78="",0,SUMIFS(采购进货!$G$4:$G$1503,采购进货!$D$4:$D$1503,$B78,采购进货!$B$4:$B$1503,"&gt;="&amp;DATE(年度,5,1),采购进货!$B$4:$B$1503,"&lt;"&amp;DATE(年度,5+1,1)))</f>
        <v>0</v>
      </c>
      <c r="BF78" s="234">
        <f>BA78+BD78</f>
        <v>0</v>
      </c>
      <c r="BG78" s="235">
        <f>BB78+BE78</f>
        <v>0</v>
      </c>
      <c r="BH78" s="222">
        <f>IF(AND(BF78&gt;0,BG78&gt;0),BG78/BF78,N($E78))</f>
        <v>0</v>
      </c>
      <c r="BI78" s="220">
        <f>IF($B78="",0,SUMIFS(出库明细!$E$4:$E$3003,出库明细!$D$4:$D$3003,$B78,出库明细!$B$4:$B$3003,"&gt;="&amp;DATE(年度,5,1),出库明细!$B$4:$B$3003,"&lt;"&amp;DATE(年度,5+1,1)))</f>
        <v>0</v>
      </c>
      <c r="BJ78" s="186">
        <f>BI78*BH78</f>
        <v>0</v>
      </c>
      <c r="BK78" s="220">
        <f>_辅助!BQ76</f>
        <v>0</v>
      </c>
      <c r="BL78" s="186">
        <f>_辅助!AG76</f>
        <v>0</v>
      </c>
      <c r="BM78" s="221">
        <f>BF78-BI78-BK78</f>
        <v>0</v>
      </c>
      <c r="BN78" s="187">
        <f>BG78-BJ78-BL78</f>
        <v>0</v>
      </c>
      <c r="BO78" s="236">
        <f>IF(AND(BF78&gt;0,BG78&gt;0),0,BJ78)</f>
        <v>0</v>
      </c>
      <c r="BP78" s="220">
        <f>IF($B78="",0,SUMIFS(采购进货!$E$4:$E$1503,采购进货!$D$4:$D$1503,$B78,采购进货!$B$4:$B$1503,"&gt;="&amp;DATE(年度,6,1),采购进货!$B$4:$B$1503,"&lt;"&amp;DATE(年度,6+1,1))+SUMIFS(采购进货!$H$4:$H$1503,采购进货!$D$4:$D$1503,$B78,采购进货!$B$4:$B$1503,"&gt;="&amp;DATE(年度,6,1),采购进货!$B$4:$B$1503,"&lt;"&amp;DATE(年度,6+1,1)))</f>
        <v>0</v>
      </c>
      <c r="BQ78" s="186">
        <f>IF($B78="",0,SUMIFS(采购进货!$G$4:$G$1503,采购进货!$D$4:$D$1503,$B78,采购进货!$B$4:$B$1503,"&gt;="&amp;DATE(年度,6,1),采购进货!$B$4:$B$1503,"&lt;"&amp;DATE(年度,6+1,1)))</f>
        <v>0</v>
      </c>
      <c r="BR78" s="234">
        <f>BM78+BP78</f>
        <v>0</v>
      </c>
      <c r="BS78" s="235">
        <f>BN78+BQ78</f>
        <v>0</v>
      </c>
      <c r="BT78" s="222">
        <f>IF(AND(BR78&gt;0,BS78&gt;0),BS78/BR78,N($E78))</f>
        <v>0</v>
      </c>
      <c r="BU78" s="220">
        <f>IF($B78="",0,SUMIFS(出库明细!$E$4:$E$3003,出库明细!$D$4:$D$3003,$B78,出库明细!$B$4:$B$3003,"&gt;="&amp;DATE(年度,6,1),出库明细!$B$4:$B$3003,"&lt;"&amp;DATE(年度,6+1,1)))</f>
        <v>0</v>
      </c>
      <c r="BV78" s="186">
        <f>BU78*BT78</f>
        <v>0</v>
      </c>
      <c r="BW78" s="220">
        <f>_辅助!BR76</f>
        <v>0</v>
      </c>
      <c r="BX78" s="186">
        <f>_辅助!AH76</f>
        <v>0</v>
      </c>
      <c r="BY78" s="221">
        <f>BR78-BU78-BW78</f>
        <v>0</v>
      </c>
      <c r="BZ78" s="187">
        <f>BS78-BV78-BX78</f>
        <v>0</v>
      </c>
      <c r="CA78" s="236">
        <f>IF(AND(BR78&gt;0,BS78&gt;0),0,BV78)</f>
        <v>0</v>
      </c>
      <c r="CB78" s="220">
        <f>IF($B78="",0,SUMIFS(采购进货!$E$4:$E$1503,采购进货!$D$4:$D$1503,$B78,采购进货!$B$4:$B$1503,"&gt;="&amp;DATE(年度,7,1),采购进货!$B$4:$B$1503,"&lt;"&amp;DATE(年度,7+1,1))+SUMIFS(采购进货!$H$4:$H$1503,采购进货!$D$4:$D$1503,$B78,采购进货!$B$4:$B$1503,"&gt;="&amp;DATE(年度,7,1),采购进货!$B$4:$B$1503,"&lt;"&amp;DATE(年度,7+1,1)))</f>
        <v>0</v>
      </c>
      <c r="CC78" s="186">
        <f>IF($B78="",0,SUMIFS(采购进货!$G$4:$G$1503,采购进货!$D$4:$D$1503,$B78,采购进货!$B$4:$B$1503,"&gt;="&amp;DATE(年度,7,1),采购进货!$B$4:$B$1503,"&lt;"&amp;DATE(年度,7+1,1)))</f>
        <v>0</v>
      </c>
      <c r="CD78" s="234">
        <f>BY78+CB78</f>
        <v>0</v>
      </c>
      <c r="CE78" s="235">
        <f>BZ78+CC78</f>
        <v>0</v>
      </c>
      <c r="CF78" s="222">
        <f>IF(AND(CD78&gt;0,CE78&gt;0),CE78/CD78,N($E78))</f>
        <v>0</v>
      </c>
      <c r="CG78" s="220">
        <f>IF($B78="",0,SUMIFS(出库明细!$E$4:$E$3003,出库明细!$D$4:$D$3003,$B78,出库明细!$B$4:$B$3003,"&gt;="&amp;DATE(年度,7,1),出库明细!$B$4:$B$3003,"&lt;"&amp;DATE(年度,7+1,1)))</f>
        <v>0</v>
      </c>
      <c r="CH78" s="186">
        <f>CG78*CF78</f>
        <v>0</v>
      </c>
      <c r="CI78" s="220">
        <f>_辅助!BS76</f>
        <v>0</v>
      </c>
      <c r="CJ78" s="186">
        <f>_辅助!AI76</f>
        <v>0</v>
      </c>
      <c r="CK78" s="221">
        <f>CD78-CG78-CI78</f>
        <v>0</v>
      </c>
      <c r="CL78" s="187">
        <f>CE78-CH78-CJ78</f>
        <v>0</v>
      </c>
      <c r="CM78" s="236">
        <f>IF(AND(CD78&gt;0,CE78&gt;0),0,CH78)</f>
        <v>0</v>
      </c>
      <c r="CN78" s="220">
        <f>IF($B78="",0,SUMIFS(采购进货!$E$4:$E$1503,采购进货!$D$4:$D$1503,$B78,采购进货!$B$4:$B$1503,"&gt;="&amp;DATE(年度,8,1),采购进货!$B$4:$B$1503,"&lt;"&amp;DATE(年度,8+1,1))+SUMIFS(采购进货!$H$4:$H$1503,采购进货!$D$4:$D$1503,$B78,采购进货!$B$4:$B$1503,"&gt;="&amp;DATE(年度,8,1),采购进货!$B$4:$B$1503,"&lt;"&amp;DATE(年度,8+1,1)))</f>
        <v>0</v>
      </c>
      <c r="CO78" s="186">
        <f>IF($B78="",0,SUMIFS(采购进货!$G$4:$G$1503,采购进货!$D$4:$D$1503,$B78,采购进货!$B$4:$B$1503,"&gt;="&amp;DATE(年度,8,1),采购进货!$B$4:$B$1503,"&lt;"&amp;DATE(年度,8+1,1)))</f>
        <v>0</v>
      </c>
      <c r="CP78" s="234">
        <f>CK78+CN78</f>
        <v>0</v>
      </c>
      <c r="CQ78" s="235">
        <f>CL78+CO78</f>
        <v>0</v>
      </c>
      <c r="CR78" s="222">
        <f>IF(AND(CP78&gt;0,CQ78&gt;0),CQ78/CP78,N($E78))</f>
        <v>0</v>
      </c>
      <c r="CS78" s="220">
        <f>IF($B78="",0,SUMIFS(出库明细!$E$4:$E$3003,出库明细!$D$4:$D$3003,$B78,出库明细!$B$4:$B$3003,"&gt;="&amp;DATE(年度,8,1),出库明细!$B$4:$B$3003,"&lt;"&amp;DATE(年度,8+1,1)))</f>
        <v>0</v>
      </c>
      <c r="CT78" s="186">
        <f>CS78*CR78</f>
        <v>0</v>
      </c>
      <c r="CU78" s="220">
        <f>_辅助!BT76</f>
        <v>0</v>
      </c>
      <c r="CV78" s="186">
        <f>_辅助!AJ76</f>
        <v>0</v>
      </c>
      <c r="CW78" s="221">
        <f>CP78-CS78-CU78</f>
        <v>0</v>
      </c>
      <c r="CX78" s="187">
        <f>CQ78-CT78-CV78</f>
        <v>0</v>
      </c>
      <c r="CY78" s="236">
        <f>IF(AND(CP78&gt;0,CQ78&gt;0),0,CT78)</f>
        <v>0</v>
      </c>
      <c r="CZ78" s="220">
        <f>IF($B78="",0,SUMIFS(采购进货!$E$4:$E$1503,采购进货!$D$4:$D$1503,$B78,采购进货!$B$4:$B$1503,"&gt;="&amp;DATE(年度,9,1),采购进货!$B$4:$B$1503,"&lt;"&amp;DATE(年度,9+1,1))+SUMIFS(采购进货!$H$4:$H$1503,采购进货!$D$4:$D$1503,$B78,采购进货!$B$4:$B$1503,"&gt;="&amp;DATE(年度,9,1),采购进货!$B$4:$B$1503,"&lt;"&amp;DATE(年度,9+1,1)))</f>
        <v>0</v>
      </c>
      <c r="DA78" s="186">
        <f>IF($B78="",0,SUMIFS(采购进货!$G$4:$G$1503,采购进货!$D$4:$D$1503,$B78,采购进货!$B$4:$B$1503,"&gt;="&amp;DATE(年度,9,1),采购进货!$B$4:$B$1503,"&lt;"&amp;DATE(年度,9+1,1)))</f>
        <v>0</v>
      </c>
      <c r="DB78" s="234">
        <f>CW78+CZ78</f>
        <v>0</v>
      </c>
      <c r="DC78" s="235">
        <f>CX78+DA78</f>
        <v>0</v>
      </c>
      <c r="DD78" s="222">
        <f>IF(AND(DB78&gt;0,DC78&gt;0),DC78/DB78,N($E78))</f>
        <v>0</v>
      </c>
      <c r="DE78" s="220">
        <f>IF($B78="",0,SUMIFS(出库明细!$E$4:$E$3003,出库明细!$D$4:$D$3003,$B78,出库明细!$B$4:$B$3003,"&gt;="&amp;DATE(年度,9,1),出库明细!$B$4:$B$3003,"&lt;"&amp;DATE(年度,9+1,1)))</f>
        <v>0</v>
      </c>
      <c r="DF78" s="186">
        <f>DE78*DD78</f>
        <v>0</v>
      </c>
      <c r="DG78" s="220">
        <f>_辅助!BU76</f>
        <v>0</v>
      </c>
      <c r="DH78" s="186">
        <f>_辅助!AK76</f>
        <v>0</v>
      </c>
      <c r="DI78" s="221">
        <f>DB78-DE78-DG78</f>
        <v>0</v>
      </c>
      <c r="DJ78" s="187">
        <f>DC78-DF78-DH78</f>
        <v>0</v>
      </c>
      <c r="DK78" s="236">
        <f>IF(AND(DB78&gt;0,DC78&gt;0),0,DF78)</f>
        <v>0</v>
      </c>
      <c r="DL78" s="220">
        <f>IF($B78="",0,SUMIFS(采购进货!$E$4:$E$1503,采购进货!$D$4:$D$1503,$B78,采购进货!$B$4:$B$1503,"&gt;="&amp;DATE(年度,10,1),采购进货!$B$4:$B$1503,"&lt;"&amp;DATE(年度,10+1,1))+SUMIFS(采购进货!$H$4:$H$1503,采购进货!$D$4:$D$1503,$B78,采购进货!$B$4:$B$1503,"&gt;="&amp;DATE(年度,10,1),采购进货!$B$4:$B$1503,"&lt;"&amp;DATE(年度,10+1,1)))</f>
        <v>0</v>
      </c>
      <c r="DM78" s="186">
        <f>IF($B78="",0,SUMIFS(采购进货!$G$4:$G$1503,采购进货!$D$4:$D$1503,$B78,采购进货!$B$4:$B$1503,"&gt;="&amp;DATE(年度,10,1),采购进货!$B$4:$B$1503,"&lt;"&amp;DATE(年度,10+1,1)))</f>
        <v>0</v>
      </c>
      <c r="DN78" s="234">
        <f>DI78+DL78</f>
        <v>0</v>
      </c>
      <c r="DO78" s="235">
        <f>DJ78+DM78</f>
        <v>0</v>
      </c>
      <c r="DP78" s="222">
        <f>IF(AND(DN78&gt;0,DO78&gt;0),DO78/DN78,N($E78))</f>
        <v>0</v>
      </c>
      <c r="DQ78" s="220">
        <f>IF($B78="",0,SUMIFS(出库明细!$E$4:$E$3003,出库明细!$D$4:$D$3003,$B78,出库明细!$B$4:$B$3003,"&gt;="&amp;DATE(年度,10,1),出库明细!$B$4:$B$3003,"&lt;"&amp;DATE(年度,10+1,1)))</f>
        <v>0</v>
      </c>
      <c r="DR78" s="186">
        <f>DQ78*DP78</f>
        <v>0</v>
      </c>
      <c r="DS78" s="220">
        <f>_辅助!BV76</f>
        <v>0</v>
      </c>
      <c r="DT78" s="186">
        <f>_辅助!AL76</f>
        <v>0</v>
      </c>
      <c r="DU78" s="221">
        <f>DN78-DQ78-DS78</f>
        <v>0</v>
      </c>
      <c r="DV78" s="187">
        <f>DO78-DR78-DT78</f>
        <v>0</v>
      </c>
      <c r="DW78" s="236">
        <f>IF(AND(DN78&gt;0,DO78&gt;0),0,DR78)</f>
        <v>0</v>
      </c>
      <c r="DX78" s="220">
        <f>IF($B78="",0,SUMIFS(采购进货!$E$4:$E$1503,采购进货!$D$4:$D$1503,$B78,采购进货!$B$4:$B$1503,"&gt;="&amp;DATE(年度,11,1),采购进货!$B$4:$B$1503,"&lt;"&amp;DATE(年度,11+1,1))+SUMIFS(采购进货!$H$4:$H$1503,采购进货!$D$4:$D$1503,$B78,采购进货!$B$4:$B$1503,"&gt;="&amp;DATE(年度,11,1),采购进货!$B$4:$B$1503,"&lt;"&amp;DATE(年度,11+1,1)))</f>
        <v>0</v>
      </c>
      <c r="DY78" s="186">
        <f>IF($B78="",0,SUMIFS(采购进货!$G$4:$G$1503,采购进货!$D$4:$D$1503,$B78,采购进货!$B$4:$B$1503,"&gt;="&amp;DATE(年度,11,1),采购进货!$B$4:$B$1503,"&lt;"&amp;DATE(年度,11+1,1)))</f>
        <v>0</v>
      </c>
      <c r="DZ78" s="234">
        <f>DU78+DX78</f>
        <v>0</v>
      </c>
      <c r="EA78" s="235">
        <f>DV78+DY78</f>
        <v>0</v>
      </c>
      <c r="EB78" s="222">
        <f>IF(AND(DZ78&gt;0,EA78&gt;0),EA78/DZ78,N($E78))</f>
        <v>0</v>
      </c>
      <c r="EC78" s="220">
        <f>IF($B78="",0,SUMIFS(出库明细!$E$4:$E$3003,出库明细!$D$4:$D$3003,$B78,出库明细!$B$4:$B$3003,"&gt;="&amp;DATE(年度,11,1),出库明细!$B$4:$B$3003,"&lt;"&amp;DATE(年度,11+1,1)))</f>
        <v>0</v>
      </c>
      <c r="ED78" s="186">
        <f>EC78*EB78</f>
        <v>0</v>
      </c>
      <c r="EE78" s="220">
        <f>_辅助!BW76</f>
        <v>0</v>
      </c>
      <c r="EF78" s="186">
        <f>_辅助!AM76</f>
        <v>0</v>
      </c>
      <c r="EG78" s="221">
        <f>DZ78-EC78-EE78</f>
        <v>0</v>
      </c>
      <c r="EH78" s="187">
        <f>EA78-ED78-EF78</f>
        <v>0</v>
      </c>
      <c r="EI78" s="236">
        <f>IF(AND(DZ78&gt;0,EA78&gt;0),0,ED78)</f>
        <v>0</v>
      </c>
      <c r="EJ78" s="220">
        <f>IF($B78="",0,SUMIFS(采购进货!$E$4:$E$1503,采购进货!$D$4:$D$1503,$B78,采购进货!$B$4:$B$1503,"&gt;="&amp;DATE(年度,12,1),采购进货!$B$4:$B$1503,"&lt;"&amp;DATE(年度,12+1,1))+SUMIFS(采购进货!$H$4:$H$1503,采购进货!$D$4:$D$1503,$B78,采购进货!$B$4:$B$1503,"&gt;="&amp;DATE(年度,12,1),采购进货!$B$4:$B$1503,"&lt;"&amp;DATE(年度,12+1,1)))</f>
        <v>0</v>
      </c>
      <c r="EK78" s="186">
        <f>IF($B78="",0,SUMIFS(采购进货!$G$4:$G$1503,采购进货!$D$4:$D$1503,$B78,采购进货!$B$4:$B$1503,"&gt;="&amp;DATE(年度,12,1),采购进货!$B$4:$B$1503,"&lt;"&amp;DATE(年度,12+1,1)))</f>
        <v>0</v>
      </c>
      <c r="EL78" s="234">
        <f>EG78+EJ78</f>
        <v>0</v>
      </c>
      <c r="EM78" s="235">
        <f>EH78+EK78</f>
        <v>0</v>
      </c>
      <c r="EN78" s="222">
        <f>IF(AND(EL78&gt;0,EM78&gt;0),EM78/EL78,N($E78))</f>
        <v>0</v>
      </c>
      <c r="EO78" s="220">
        <f>IF($B78="",0,SUMIFS(出库明细!$E$4:$E$3003,出库明细!$D$4:$D$3003,$B78,出库明细!$B$4:$B$3003,"&gt;="&amp;DATE(年度,12,1),出库明细!$B$4:$B$3003,"&lt;"&amp;DATE(年度,12+1,1)))</f>
        <v>0</v>
      </c>
      <c r="EP78" s="186">
        <f>EO78*EN78</f>
        <v>0</v>
      </c>
      <c r="EQ78" s="220">
        <f>_辅助!BX76</f>
        <v>0</v>
      </c>
      <c r="ER78" s="186">
        <f>_辅助!AN76</f>
        <v>0</v>
      </c>
      <c r="ES78" s="221">
        <f>EL78-EO78-EQ78</f>
        <v>0</v>
      </c>
      <c r="ET78" s="187">
        <f>EM78-EP78-ER78</f>
        <v>0</v>
      </c>
      <c r="EU78" s="236">
        <f>IF(AND(EL78&gt;0,EM78&gt;0),0,EP78)</f>
        <v>0</v>
      </c>
    </row>
    <row r="79">
      <c r="A79" s="194">
        <f>IF(B79="","",ROW()-7)</f>
      </c>
      <c r="B79" s="141">
        <f>IF(基础资料!E76="","",基础资料!E76&amp;"")</f>
      </c>
      <c r="C79" s="230">
        <f>IF(基础资料!G76="","",基础资料!G76&amp;"")</f>
      </c>
      <c r="D79" s="194">
        <f>IF(基础资料!I76="","",基础资料!I76)</f>
      </c>
      <c r="E79" s="231">
        <f>IF(基础资料!J76="","",基础资料!J76)</f>
      </c>
      <c r="F79" s="232">
        <f>N(基础资料!L76)</f>
        <v>0</v>
      </c>
      <c r="G79" s="233">
        <f>IF(基础资料!N76="",0,基础资料!N76)</f>
        <v>0</v>
      </c>
      <c r="H79" s="220">
        <f>IF($B79="",0,SUMIFS(采购进货!$E$4:$E$1503,采购进货!$D$4:$D$1503,$B79,采购进货!$B$4:$B$1503,"&gt;="&amp;DATE(年度,1,1),采购进货!$B$4:$B$1503,"&lt;"&amp;DATE(年度,1+1,1))+SUMIFS(采购进货!$H$4:$H$1503,采购进货!$D$4:$D$1503,$B79,采购进货!$B$4:$B$1503,"&gt;="&amp;DATE(年度,1,1),采购进货!$B$4:$B$1503,"&lt;"&amp;DATE(年度,1+1,1)))</f>
        <v>0</v>
      </c>
      <c r="I79" s="186">
        <f>IF($B79="",0,SUMIFS(采购进货!$G$4:$G$1503,采购进货!$D$4:$D$1503,$B79,采购进货!$B$4:$B$1503,"&gt;="&amp;DATE(年度,1,1),采购进货!$B$4:$B$1503,"&lt;"&amp;DATE(年度,1+1,1)))</f>
        <v>0</v>
      </c>
      <c r="J79" s="234">
        <f>F79+H79</f>
        <v>0</v>
      </c>
      <c r="K79" s="235">
        <f>G79+I79</f>
        <v>0</v>
      </c>
      <c r="L79" s="222">
        <f>IF(AND(J79&gt;0,K79&gt;0),K79/J79,N($E79))</f>
        <v>0</v>
      </c>
      <c r="M79" s="220">
        <f>IF($B79="",0,SUMIFS(出库明细!$E$4:$E$3003,出库明细!$D$4:$D$3003,$B79,出库明细!$B$4:$B$3003,"&gt;="&amp;DATE(年度,1,1),出库明细!$B$4:$B$3003,"&lt;"&amp;DATE(年度,1+1,1)))</f>
        <v>0</v>
      </c>
      <c r="N79" s="186">
        <f>M79*L79</f>
        <v>0</v>
      </c>
      <c r="O79" s="220">
        <f>_辅助!BM77</f>
        <v>0</v>
      </c>
      <c r="P79" s="186">
        <f>_辅助!AC77</f>
        <v>0</v>
      </c>
      <c r="Q79" s="221">
        <f>J79-M79-O79</f>
        <v>0</v>
      </c>
      <c r="R79" s="187">
        <f>K79-N79-P79</f>
        <v>0</v>
      </c>
      <c r="S79" s="236">
        <f>IF(AND(J79&gt;0,K79&gt;0),0,N79)</f>
        <v>0</v>
      </c>
      <c r="T79" s="220">
        <f>IF($B79="",0,SUMIFS(采购进货!$E$4:$E$1503,采购进货!$D$4:$D$1503,$B79,采购进货!$B$4:$B$1503,"&gt;="&amp;DATE(年度,2,1),采购进货!$B$4:$B$1503,"&lt;"&amp;DATE(年度,2+1,1))+SUMIFS(采购进货!$H$4:$H$1503,采购进货!$D$4:$D$1503,$B79,采购进货!$B$4:$B$1503,"&gt;="&amp;DATE(年度,2,1),采购进货!$B$4:$B$1503,"&lt;"&amp;DATE(年度,2+1,1)))</f>
        <v>0</v>
      </c>
      <c r="U79" s="186">
        <f>IF($B79="",0,SUMIFS(采购进货!$G$4:$G$1503,采购进货!$D$4:$D$1503,$B79,采购进货!$B$4:$B$1503,"&gt;="&amp;DATE(年度,2,1),采购进货!$B$4:$B$1503,"&lt;"&amp;DATE(年度,2+1,1)))</f>
        <v>0</v>
      </c>
      <c r="V79" s="234">
        <f>Q79+T79</f>
        <v>0</v>
      </c>
      <c r="W79" s="235">
        <f>R79+U79</f>
        <v>0</v>
      </c>
      <c r="X79" s="222">
        <f>IF(AND(V79&gt;0,W79&gt;0),W79/V79,N($E79))</f>
        <v>0</v>
      </c>
      <c r="Y79" s="220">
        <f>IF($B79="",0,SUMIFS(出库明细!$E$4:$E$3003,出库明细!$D$4:$D$3003,$B79,出库明细!$B$4:$B$3003,"&gt;="&amp;DATE(年度,2,1),出库明细!$B$4:$B$3003,"&lt;"&amp;DATE(年度,2+1,1)))</f>
        <v>0</v>
      </c>
      <c r="Z79" s="186">
        <f>Y79*X79</f>
        <v>0</v>
      </c>
      <c r="AA79" s="220">
        <f>_辅助!BN77</f>
        <v>0</v>
      </c>
      <c r="AB79" s="186">
        <f>_辅助!AD77</f>
        <v>0</v>
      </c>
      <c r="AC79" s="221">
        <f>V79-Y79-AA79</f>
        <v>0</v>
      </c>
      <c r="AD79" s="187">
        <f>W79-Z79-AB79</f>
        <v>0</v>
      </c>
      <c r="AE79" s="236">
        <f>IF(AND(V79&gt;0,W79&gt;0),0,Z79)</f>
        <v>0</v>
      </c>
      <c r="AF79" s="220">
        <f>IF($B79="",0,SUMIFS(采购进货!$E$4:$E$1503,采购进货!$D$4:$D$1503,$B79,采购进货!$B$4:$B$1503,"&gt;="&amp;DATE(年度,3,1),采购进货!$B$4:$B$1503,"&lt;"&amp;DATE(年度,3+1,1))+SUMIFS(采购进货!$H$4:$H$1503,采购进货!$D$4:$D$1503,$B79,采购进货!$B$4:$B$1503,"&gt;="&amp;DATE(年度,3,1),采购进货!$B$4:$B$1503,"&lt;"&amp;DATE(年度,3+1,1)))</f>
        <v>0</v>
      </c>
      <c r="AG79" s="186">
        <f>IF($B79="",0,SUMIFS(采购进货!$G$4:$G$1503,采购进货!$D$4:$D$1503,$B79,采购进货!$B$4:$B$1503,"&gt;="&amp;DATE(年度,3,1),采购进货!$B$4:$B$1503,"&lt;"&amp;DATE(年度,3+1,1)))</f>
        <v>0</v>
      </c>
      <c r="AH79" s="234">
        <f>AC79+AF79</f>
        <v>0</v>
      </c>
      <c r="AI79" s="235">
        <f>AD79+AG79</f>
        <v>0</v>
      </c>
      <c r="AJ79" s="222">
        <f>IF(AND(AH79&gt;0,AI79&gt;0),AI79/AH79,N($E79))</f>
        <v>0</v>
      </c>
      <c r="AK79" s="220">
        <f>IF($B79="",0,SUMIFS(出库明细!$E$4:$E$3003,出库明细!$D$4:$D$3003,$B79,出库明细!$B$4:$B$3003,"&gt;="&amp;DATE(年度,3,1),出库明细!$B$4:$B$3003,"&lt;"&amp;DATE(年度,3+1,1)))</f>
        <v>0</v>
      </c>
      <c r="AL79" s="186">
        <f>AK79*AJ79</f>
        <v>0</v>
      </c>
      <c r="AM79" s="220">
        <f>_辅助!BO77</f>
        <v>0</v>
      </c>
      <c r="AN79" s="186">
        <f>_辅助!AE77</f>
        <v>0</v>
      </c>
      <c r="AO79" s="221">
        <f>AH79-AK79-AM79</f>
        <v>0</v>
      </c>
      <c r="AP79" s="187">
        <f>AI79-AL79-AN79</f>
        <v>0</v>
      </c>
      <c r="AQ79" s="236">
        <f>IF(AND(AH79&gt;0,AI79&gt;0),0,AL79)</f>
        <v>0</v>
      </c>
      <c r="AR79" s="220">
        <f>IF($B79="",0,SUMIFS(采购进货!$E$4:$E$1503,采购进货!$D$4:$D$1503,$B79,采购进货!$B$4:$B$1503,"&gt;="&amp;DATE(年度,4,1),采购进货!$B$4:$B$1503,"&lt;"&amp;DATE(年度,4+1,1))+SUMIFS(采购进货!$H$4:$H$1503,采购进货!$D$4:$D$1503,$B79,采购进货!$B$4:$B$1503,"&gt;="&amp;DATE(年度,4,1),采购进货!$B$4:$B$1503,"&lt;"&amp;DATE(年度,4+1,1)))</f>
        <v>0</v>
      </c>
      <c r="AS79" s="186">
        <f>IF($B79="",0,SUMIFS(采购进货!$G$4:$G$1503,采购进货!$D$4:$D$1503,$B79,采购进货!$B$4:$B$1503,"&gt;="&amp;DATE(年度,4,1),采购进货!$B$4:$B$1503,"&lt;"&amp;DATE(年度,4+1,1)))</f>
        <v>0</v>
      </c>
      <c r="AT79" s="234">
        <f>AO79+AR79</f>
        <v>0</v>
      </c>
      <c r="AU79" s="235">
        <f>AP79+AS79</f>
        <v>0</v>
      </c>
      <c r="AV79" s="222">
        <f>IF(AND(AT79&gt;0,AU79&gt;0),AU79/AT79,N($E79))</f>
        <v>0</v>
      </c>
      <c r="AW79" s="220">
        <f>IF($B79="",0,SUMIFS(出库明细!$E$4:$E$3003,出库明细!$D$4:$D$3003,$B79,出库明细!$B$4:$B$3003,"&gt;="&amp;DATE(年度,4,1),出库明细!$B$4:$B$3003,"&lt;"&amp;DATE(年度,4+1,1)))</f>
        <v>0</v>
      </c>
      <c r="AX79" s="186">
        <f>AW79*AV79</f>
        <v>0</v>
      </c>
      <c r="AY79" s="220">
        <f>_辅助!BP77</f>
        <v>0</v>
      </c>
      <c r="AZ79" s="186">
        <f>_辅助!AF77</f>
        <v>0</v>
      </c>
      <c r="BA79" s="221">
        <f>AT79-AW79-AY79</f>
        <v>0</v>
      </c>
      <c r="BB79" s="187">
        <f>AU79-AX79-AZ79</f>
        <v>0</v>
      </c>
      <c r="BC79" s="236">
        <f>IF(AND(AT79&gt;0,AU79&gt;0),0,AX79)</f>
        <v>0</v>
      </c>
      <c r="BD79" s="220">
        <f>IF($B79="",0,SUMIFS(采购进货!$E$4:$E$1503,采购进货!$D$4:$D$1503,$B79,采购进货!$B$4:$B$1503,"&gt;="&amp;DATE(年度,5,1),采购进货!$B$4:$B$1503,"&lt;"&amp;DATE(年度,5+1,1))+SUMIFS(采购进货!$H$4:$H$1503,采购进货!$D$4:$D$1503,$B79,采购进货!$B$4:$B$1503,"&gt;="&amp;DATE(年度,5,1),采购进货!$B$4:$B$1503,"&lt;"&amp;DATE(年度,5+1,1)))</f>
        <v>0</v>
      </c>
      <c r="BE79" s="186">
        <f>IF($B79="",0,SUMIFS(采购进货!$G$4:$G$1503,采购进货!$D$4:$D$1503,$B79,采购进货!$B$4:$B$1503,"&gt;="&amp;DATE(年度,5,1),采购进货!$B$4:$B$1503,"&lt;"&amp;DATE(年度,5+1,1)))</f>
        <v>0</v>
      </c>
      <c r="BF79" s="234">
        <f>BA79+BD79</f>
        <v>0</v>
      </c>
      <c r="BG79" s="235">
        <f>BB79+BE79</f>
        <v>0</v>
      </c>
      <c r="BH79" s="222">
        <f>IF(AND(BF79&gt;0,BG79&gt;0),BG79/BF79,N($E79))</f>
        <v>0</v>
      </c>
      <c r="BI79" s="220">
        <f>IF($B79="",0,SUMIFS(出库明细!$E$4:$E$3003,出库明细!$D$4:$D$3003,$B79,出库明细!$B$4:$B$3003,"&gt;="&amp;DATE(年度,5,1),出库明细!$B$4:$B$3003,"&lt;"&amp;DATE(年度,5+1,1)))</f>
        <v>0</v>
      </c>
      <c r="BJ79" s="186">
        <f>BI79*BH79</f>
        <v>0</v>
      </c>
      <c r="BK79" s="220">
        <f>_辅助!BQ77</f>
        <v>0</v>
      </c>
      <c r="BL79" s="186">
        <f>_辅助!AG77</f>
        <v>0</v>
      </c>
      <c r="BM79" s="221">
        <f>BF79-BI79-BK79</f>
        <v>0</v>
      </c>
      <c r="BN79" s="187">
        <f>BG79-BJ79-BL79</f>
        <v>0</v>
      </c>
      <c r="BO79" s="236">
        <f>IF(AND(BF79&gt;0,BG79&gt;0),0,BJ79)</f>
        <v>0</v>
      </c>
      <c r="BP79" s="220">
        <f>IF($B79="",0,SUMIFS(采购进货!$E$4:$E$1503,采购进货!$D$4:$D$1503,$B79,采购进货!$B$4:$B$1503,"&gt;="&amp;DATE(年度,6,1),采购进货!$B$4:$B$1503,"&lt;"&amp;DATE(年度,6+1,1))+SUMIFS(采购进货!$H$4:$H$1503,采购进货!$D$4:$D$1503,$B79,采购进货!$B$4:$B$1503,"&gt;="&amp;DATE(年度,6,1),采购进货!$B$4:$B$1503,"&lt;"&amp;DATE(年度,6+1,1)))</f>
        <v>0</v>
      </c>
      <c r="BQ79" s="186">
        <f>IF($B79="",0,SUMIFS(采购进货!$G$4:$G$1503,采购进货!$D$4:$D$1503,$B79,采购进货!$B$4:$B$1503,"&gt;="&amp;DATE(年度,6,1),采购进货!$B$4:$B$1503,"&lt;"&amp;DATE(年度,6+1,1)))</f>
        <v>0</v>
      </c>
      <c r="BR79" s="234">
        <f>BM79+BP79</f>
        <v>0</v>
      </c>
      <c r="BS79" s="235">
        <f>BN79+BQ79</f>
        <v>0</v>
      </c>
      <c r="BT79" s="222">
        <f>IF(AND(BR79&gt;0,BS79&gt;0),BS79/BR79,N($E79))</f>
        <v>0</v>
      </c>
      <c r="BU79" s="220">
        <f>IF($B79="",0,SUMIFS(出库明细!$E$4:$E$3003,出库明细!$D$4:$D$3003,$B79,出库明细!$B$4:$B$3003,"&gt;="&amp;DATE(年度,6,1),出库明细!$B$4:$B$3003,"&lt;"&amp;DATE(年度,6+1,1)))</f>
        <v>0</v>
      </c>
      <c r="BV79" s="186">
        <f>BU79*BT79</f>
        <v>0</v>
      </c>
      <c r="BW79" s="220">
        <f>_辅助!BR77</f>
        <v>0</v>
      </c>
      <c r="BX79" s="186">
        <f>_辅助!AH77</f>
        <v>0</v>
      </c>
      <c r="BY79" s="221">
        <f>BR79-BU79-BW79</f>
        <v>0</v>
      </c>
      <c r="BZ79" s="187">
        <f>BS79-BV79-BX79</f>
        <v>0</v>
      </c>
      <c r="CA79" s="236">
        <f>IF(AND(BR79&gt;0,BS79&gt;0),0,BV79)</f>
        <v>0</v>
      </c>
      <c r="CB79" s="220">
        <f>IF($B79="",0,SUMIFS(采购进货!$E$4:$E$1503,采购进货!$D$4:$D$1503,$B79,采购进货!$B$4:$B$1503,"&gt;="&amp;DATE(年度,7,1),采购进货!$B$4:$B$1503,"&lt;"&amp;DATE(年度,7+1,1))+SUMIFS(采购进货!$H$4:$H$1503,采购进货!$D$4:$D$1503,$B79,采购进货!$B$4:$B$1503,"&gt;="&amp;DATE(年度,7,1),采购进货!$B$4:$B$1503,"&lt;"&amp;DATE(年度,7+1,1)))</f>
        <v>0</v>
      </c>
      <c r="CC79" s="186">
        <f>IF($B79="",0,SUMIFS(采购进货!$G$4:$G$1503,采购进货!$D$4:$D$1503,$B79,采购进货!$B$4:$B$1503,"&gt;="&amp;DATE(年度,7,1),采购进货!$B$4:$B$1503,"&lt;"&amp;DATE(年度,7+1,1)))</f>
        <v>0</v>
      </c>
      <c r="CD79" s="234">
        <f>BY79+CB79</f>
        <v>0</v>
      </c>
      <c r="CE79" s="235">
        <f>BZ79+CC79</f>
        <v>0</v>
      </c>
      <c r="CF79" s="222">
        <f>IF(AND(CD79&gt;0,CE79&gt;0),CE79/CD79,N($E79))</f>
        <v>0</v>
      </c>
      <c r="CG79" s="220">
        <f>IF($B79="",0,SUMIFS(出库明细!$E$4:$E$3003,出库明细!$D$4:$D$3003,$B79,出库明细!$B$4:$B$3003,"&gt;="&amp;DATE(年度,7,1),出库明细!$B$4:$B$3003,"&lt;"&amp;DATE(年度,7+1,1)))</f>
        <v>0</v>
      </c>
      <c r="CH79" s="186">
        <f>CG79*CF79</f>
        <v>0</v>
      </c>
      <c r="CI79" s="220">
        <f>_辅助!BS77</f>
        <v>0</v>
      </c>
      <c r="CJ79" s="186">
        <f>_辅助!AI77</f>
        <v>0</v>
      </c>
      <c r="CK79" s="221">
        <f>CD79-CG79-CI79</f>
        <v>0</v>
      </c>
      <c r="CL79" s="187">
        <f>CE79-CH79-CJ79</f>
        <v>0</v>
      </c>
      <c r="CM79" s="236">
        <f>IF(AND(CD79&gt;0,CE79&gt;0),0,CH79)</f>
        <v>0</v>
      </c>
      <c r="CN79" s="220">
        <f>IF($B79="",0,SUMIFS(采购进货!$E$4:$E$1503,采购进货!$D$4:$D$1503,$B79,采购进货!$B$4:$B$1503,"&gt;="&amp;DATE(年度,8,1),采购进货!$B$4:$B$1503,"&lt;"&amp;DATE(年度,8+1,1))+SUMIFS(采购进货!$H$4:$H$1503,采购进货!$D$4:$D$1503,$B79,采购进货!$B$4:$B$1503,"&gt;="&amp;DATE(年度,8,1),采购进货!$B$4:$B$1503,"&lt;"&amp;DATE(年度,8+1,1)))</f>
        <v>0</v>
      </c>
      <c r="CO79" s="186">
        <f>IF($B79="",0,SUMIFS(采购进货!$G$4:$G$1503,采购进货!$D$4:$D$1503,$B79,采购进货!$B$4:$B$1503,"&gt;="&amp;DATE(年度,8,1),采购进货!$B$4:$B$1503,"&lt;"&amp;DATE(年度,8+1,1)))</f>
        <v>0</v>
      </c>
      <c r="CP79" s="234">
        <f>CK79+CN79</f>
        <v>0</v>
      </c>
      <c r="CQ79" s="235">
        <f>CL79+CO79</f>
        <v>0</v>
      </c>
      <c r="CR79" s="222">
        <f>IF(AND(CP79&gt;0,CQ79&gt;0),CQ79/CP79,N($E79))</f>
        <v>0</v>
      </c>
      <c r="CS79" s="220">
        <f>IF($B79="",0,SUMIFS(出库明细!$E$4:$E$3003,出库明细!$D$4:$D$3003,$B79,出库明细!$B$4:$B$3003,"&gt;="&amp;DATE(年度,8,1),出库明细!$B$4:$B$3003,"&lt;"&amp;DATE(年度,8+1,1)))</f>
        <v>0</v>
      </c>
      <c r="CT79" s="186">
        <f>CS79*CR79</f>
        <v>0</v>
      </c>
      <c r="CU79" s="220">
        <f>_辅助!BT77</f>
        <v>0</v>
      </c>
      <c r="CV79" s="186">
        <f>_辅助!AJ77</f>
        <v>0</v>
      </c>
      <c r="CW79" s="221">
        <f>CP79-CS79-CU79</f>
        <v>0</v>
      </c>
      <c r="CX79" s="187">
        <f>CQ79-CT79-CV79</f>
        <v>0</v>
      </c>
      <c r="CY79" s="236">
        <f>IF(AND(CP79&gt;0,CQ79&gt;0),0,CT79)</f>
        <v>0</v>
      </c>
      <c r="CZ79" s="220">
        <f>IF($B79="",0,SUMIFS(采购进货!$E$4:$E$1503,采购进货!$D$4:$D$1503,$B79,采购进货!$B$4:$B$1503,"&gt;="&amp;DATE(年度,9,1),采购进货!$B$4:$B$1503,"&lt;"&amp;DATE(年度,9+1,1))+SUMIFS(采购进货!$H$4:$H$1503,采购进货!$D$4:$D$1503,$B79,采购进货!$B$4:$B$1503,"&gt;="&amp;DATE(年度,9,1),采购进货!$B$4:$B$1503,"&lt;"&amp;DATE(年度,9+1,1)))</f>
        <v>0</v>
      </c>
      <c r="DA79" s="186">
        <f>IF($B79="",0,SUMIFS(采购进货!$G$4:$G$1503,采购进货!$D$4:$D$1503,$B79,采购进货!$B$4:$B$1503,"&gt;="&amp;DATE(年度,9,1),采购进货!$B$4:$B$1503,"&lt;"&amp;DATE(年度,9+1,1)))</f>
        <v>0</v>
      </c>
      <c r="DB79" s="234">
        <f>CW79+CZ79</f>
        <v>0</v>
      </c>
      <c r="DC79" s="235">
        <f>CX79+DA79</f>
        <v>0</v>
      </c>
      <c r="DD79" s="222">
        <f>IF(AND(DB79&gt;0,DC79&gt;0),DC79/DB79,N($E79))</f>
        <v>0</v>
      </c>
      <c r="DE79" s="220">
        <f>IF($B79="",0,SUMIFS(出库明细!$E$4:$E$3003,出库明细!$D$4:$D$3003,$B79,出库明细!$B$4:$B$3003,"&gt;="&amp;DATE(年度,9,1),出库明细!$B$4:$B$3003,"&lt;"&amp;DATE(年度,9+1,1)))</f>
        <v>0</v>
      </c>
      <c r="DF79" s="186">
        <f>DE79*DD79</f>
        <v>0</v>
      </c>
      <c r="DG79" s="220">
        <f>_辅助!BU77</f>
        <v>0</v>
      </c>
      <c r="DH79" s="186">
        <f>_辅助!AK77</f>
        <v>0</v>
      </c>
      <c r="DI79" s="221">
        <f>DB79-DE79-DG79</f>
        <v>0</v>
      </c>
      <c r="DJ79" s="187">
        <f>DC79-DF79-DH79</f>
        <v>0</v>
      </c>
      <c r="DK79" s="236">
        <f>IF(AND(DB79&gt;0,DC79&gt;0),0,DF79)</f>
        <v>0</v>
      </c>
      <c r="DL79" s="220">
        <f>IF($B79="",0,SUMIFS(采购进货!$E$4:$E$1503,采购进货!$D$4:$D$1503,$B79,采购进货!$B$4:$B$1503,"&gt;="&amp;DATE(年度,10,1),采购进货!$B$4:$B$1503,"&lt;"&amp;DATE(年度,10+1,1))+SUMIFS(采购进货!$H$4:$H$1503,采购进货!$D$4:$D$1503,$B79,采购进货!$B$4:$B$1503,"&gt;="&amp;DATE(年度,10,1),采购进货!$B$4:$B$1503,"&lt;"&amp;DATE(年度,10+1,1)))</f>
        <v>0</v>
      </c>
      <c r="DM79" s="186">
        <f>IF($B79="",0,SUMIFS(采购进货!$G$4:$G$1503,采购进货!$D$4:$D$1503,$B79,采购进货!$B$4:$B$1503,"&gt;="&amp;DATE(年度,10,1),采购进货!$B$4:$B$1503,"&lt;"&amp;DATE(年度,10+1,1)))</f>
        <v>0</v>
      </c>
      <c r="DN79" s="234">
        <f>DI79+DL79</f>
        <v>0</v>
      </c>
      <c r="DO79" s="235">
        <f>DJ79+DM79</f>
        <v>0</v>
      </c>
      <c r="DP79" s="222">
        <f>IF(AND(DN79&gt;0,DO79&gt;0),DO79/DN79,N($E79))</f>
        <v>0</v>
      </c>
      <c r="DQ79" s="220">
        <f>IF($B79="",0,SUMIFS(出库明细!$E$4:$E$3003,出库明细!$D$4:$D$3003,$B79,出库明细!$B$4:$B$3003,"&gt;="&amp;DATE(年度,10,1),出库明细!$B$4:$B$3003,"&lt;"&amp;DATE(年度,10+1,1)))</f>
        <v>0</v>
      </c>
      <c r="DR79" s="186">
        <f>DQ79*DP79</f>
        <v>0</v>
      </c>
      <c r="DS79" s="220">
        <f>_辅助!BV77</f>
        <v>0</v>
      </c>
      <c r="DT79" s="186">
        <f>_辅助!AL77</f>
        <v>0</v>
      </c>
      <c r="DU79" s="221">
        <f>DN79-DQ79-DS79</f>
        <v>0</v>
      </c>
      <c r="DV79" s="187">
        <f>DO79-DR79-DT79</f>
        <v>0</v>
      </c>
      <c r="DW79" s="236">
        <f>IF(AND(DN79&gt;0,DO79&gt;0),0,DR79)</f>
        <v>0</v>
      </c>
      <c r="DX79" s="220">
        <f>IF($B79="",0,SUMIFS(采购进货!$E$4:$E$1503,采购进货!$D$4:$D$1503,$B79,采购进货!$B$4:$B$1503,"&gt;="&amp;DATE(年度,11,1),采购进货!$B$4:$B$1503,"&lt;"&amp;DATE(年度,11+1,1))+SUMIFS(采购进货!$H$4:$H$1503,采购进货!$D$4:$D$1503,$B79,采购进货!$B$4:$B$1503,"&gt;="&amp;DATE(年度,11,1),采购进货!$B$4:$B$1503,"&lt;"&amp;DATE(年度,11+1,1)))</f>
        <v>0</v>
      </c>
      <c r="DY79" s="186">
        <f>IF($B79="",0,SUMIFS(采购进货!$G$4:$G$1503,采购进货!$D$4:$D$1503,$B79,采购进货!$B$4:$B$1503,"&gt;="&amp;DATE(年度,11,1),采购进货!$B$4:$B$1503,"&lt;"&amp;DATE(年度,11+1,1)))</f>
        <v>0</v>
      </c>
      <c r="DZ79" s="234">
        <f>DU79+DX79</f>
        <v>0</v>
      </c>
      <c r="EA79" s="235">
        <f>DV79+DY79</f>
        <v>0</v>
      </c>
      <c r="EB79" s="222">
        <f>IF(AND(DZ79&gt;0,EA79&gt;0),EA79/DZ79,N($E79))</f>
        <v>0</v>
      </c>
      <c r="EC79" s="220">
        <f>IF($B79="",0,SUMIFS(出库明细!$E$4:$E$3003,出库明细!$D$4:$D$3003,$B79,出库明细!$B$4:$B$3003,"&gt;="&amp;DATE(年度,11,1),出库明细!$B$4:$B$3003,"&lt;"&amp;DATE(年度,11+1,1)))</f>
        <v>0</v>
      </c>
      <c r="ED79" s="186">
        <f>EC79*EB79</f>
        <v>0</v>
      </c>
      <c r="EE79" s="220">
        <f>_辅助!BW77</f>
        <v>0</v>
      </c>
      <c r="EF79" s="186">
        <f>_辅助!AM77</f>
        <v>0</v>
      </c>
      <c r="EG79" s="221">
        <f>DZ79-EC79-EE79</f>
        <v>0</v>
      </c>
      <c r="EH79" s="187">
        <f>EA79-ED79-EF79</f>
        <v>0</v>
      </c>
      <c r="EI79" s="236">
        <f>IF(AND(DZ79&gt;0,EA79&gt;0),0,ED79)</f>
        <v>0</v>
      </c>
      <c r="EJ79" s="220">
        <f>IF($B79="",0,SUMIFS(采购进货!$E$4:$E$1503,采购进货!$D$4:$D$1503,$B79,采购进货!$B$4:$B$1503,"&gt;="&amp;DATE(年度,12,1),采购进货!$B$4:$B$1503,"&lt;"&amp;DATE(年度,12+1,1))+SUMIFS(采购进货!$H$4:$H$1503,采购进货!$D$4:$D$1503,$B79,采购进货!$B$4:$B$1503,"&gt;="&amp;DATE(年度,12,1),采购进货!$B$4:$B$1503,"&lt;"&amp;DATE(年度,12+1,1)))</f>
        <v>0</v>
      </c>
      <c r="EK79" s="186">
        <f>IF($B79="",0,SUMIFS(采购进货!$G$4:$G$1503,采购进货!$D$4:$D$1503,$B79,采购进货!$B$4:$B$1503,"&gt;="&amp;DATE(年度,12,1),采购进货!$B$4:$B$1503,"&lt;"&amp;DATE(年度,12+1,1)))</f>
        <v>0</v>
      </c>
      <c r="EL79" s="234">
        <f>EG79+EJ79</f>
        <v>0</v>
      </c>
      <c r="EM79" s="235">
        <f>EH79+EK79</f>
        <v>0</v>
      </c>
      <c r="EN79" s="222">
        <f>IF(AND(EL79&gt;0,EM79&gt;0),EM79/EL79,N($E79))</f>
        <v>0</v>
      </c>
      <c r="EO79" s="220">
        <f>IF($B79="",0,SUMIFS(出库明细!$E$4:$E$3003,出库明细!$D$4:$D$3003,$B79,出库明细!$B$4:$B$3003,"&gt;="&amp;DATE(年度,12,1),出库明细!$B$4:$B$3003,"&lt;"&amp;DATE(年度,12+1,1)))</f>
        <v>0</v>
      </c>
      <c r="EP79" s="186">
        <f>EO79*EN79</f>
        <v>0</v>
      </c>
      <c r="EQ79" s="220">
        <f>_辅助!BX77</f>
        <v>0</v>
      </c>
      <c r="ER79" s="186">
        <f>_辅助!AN77</f>
        <v>0</v>
      </c>
      <c r="ES79" s="221">
        <f>EL79-EO79-EQ79</f>
        <v>0</v>
      </c>
      <c r="ET79" s="187">
        <f>EM79-EP79-ER79</f>
        <v>0</v>
      </c>
      <c r="EU79" s="236">
        <f>IF(AND(EL79&gt;0,EM79&gt;0),0,EP79)</f>
        <v>0</v>
      </c>
    </row>
    <row r="80">
      <c r="A80" s="194">
        <f>IF(B80="","",ROW()-7)</f>
      </c>
      <c r="B80" s="141">
        <f>IF(基础资料!E77="","",基础资料!E77&amp;"")</f>
      </c>
      <c r="C80" s="230">
        <f>IF(基础资料!G77="","",基础资料!G77&amp;"")</f>
      </c>
      <c r="D80" s="194">
        <f>IF(基础资料!I77="","",基础资料!I77)</f>
      </c>
      <c r="E80" s="231">
        <f>IF(基础资料!J77="","",基础资料!J77)</f>
      </c>
      <c r="F80" s="232">
        <f>N(基础资料!L77)</f>
        <v>0</v>
      </c>
      <c r="G80" s="233">
        <f>IF(基础资料!N77="",0,基础资料!N77)</f>
        <v>0</v>
      </c>
      <c r="H80" s="220">
        <f>IF($B80="",0,SUMIFS(采购进货!$E$4:$E$1503,采购进货!$D$4:$D$1503,$B80,采购进货!$B$4:$B$1503,"&gt;="&amp;DATE(年度,1,1),采购进货!$B$4:$B$1503,"&lt;"&amp;DATE(年度,1+1,1))+SUMIFS(采购进货!$H$4:$H$1503,采购进货!$D$4:$D$1503,$B80,采购进货!$B$4:$B$1503,"&gt;="&amp;DATE(年度,1,1),采购进货!$B$4:$B$1503,"&lt;"&amp;DATE(年度,1+1,1)))</f>
        <v>0</v>
      </c>
      <c r="I80" s="186">
        <f>IF($B80="",0,SUMIFS(采购进货!$G$4:$G$1503,采购进货!$D$4:$D$1503,$B80,采购进货!$B$4:$B$1503,"&gt;="&amp;DATE(年度,1,1),采购进货!$B$4:$B$1503,"&lt;"&amp;DATE(年度,1+1,1)))</f>
        <v>0</v>
      </c>
      <c r="J80" s="234">
        <f>F80+H80</f>
        <v>0</v>
      </c>
      <c r="K80" s="235">
        <f>G80+I80</f>
        <v>0</v>
      </c>
      <c r="L80" s="222">
        <f>IF(AND(J80&gt;0,K80&gt;0),K80/J80,N($E80))</f>
        <v>0</v>
      </c>
      <c r="M80" s="220">
        <f>IF($B80="",0,SUMIFS(出库明细!$E$4:$E$3003,出库明细!$D$4:$D$3003,$B80,出库明细!$B$4:$B$3003,"&gt;="&amp;DATE(年度,1,1),出库明细!$B$4:$B$3003,"&lt;"&amp;DATE(年度,1+1,1)))</f>
        <v>0</v>
      </c>
      <c r="N80" s="186">
        <f>M80*L80</f>
        <v>0</v>
      </c>
      <c r="O80" s="220">
        <f>_辅助!BM78</f>
        <v>0</v>
      </c>
      <c r="P80" s="186">
        <f>_辅助!AC78</f>
        <v>0</v>
      </c>
      <c r="Q80" s="221">
        <f>J80-M80-O80</f>
        <v>0</v>
      </c>
      <c r="R80" s="187">
        <f>K80-N80-P80</f>
        <v>0</v>
      </c>
      <c r="S80" s="236">
        <f>IF(AND(J80&gt;0,K80&gt;0),0,N80)</f>
        <v>0</v>
      </c>
      <c r="T80" s="220">
        <f>IF($B80="",0,SUMIFS(采购进货!$E$4:$E$1503,采购进货!$D$4:$D$1503,$B80,采购进货!$B$4:$B$1503,"&gt;="&amp;DATE(年度,2,1),采购进货!$B$4:$B$1503,"&lt;"&amp;DATE(年度,2+1,1))+SUMIFS(采购进货!$H$4:$H$1503,采购进货!$D$4:$D$1503,$B80,采购进货!$B$4:$B$1503,"&gt;="&amp;DATE(年度,2,1),采购进货!$B$4:$B$1503,"&lt;"&amp;DATE(年度,2+1,1)))</f>
        <v>0</v>
      </c>
      <c r="U80" s="186">
        <f>IF($B80="",0,SUMIFS(采购进货!$G$4:$G$1503,采购进货!$D$4:$D$1503,$B80,采购进货!$B$4:$B$1503,"&gt;="&amp;DATE(年度,2,1),采购进货!$B$4:$B$1503,"&lt;"&amp;DATE(年度,2+1,1)))</f>
        <v>0</v>
      </c>
      <c r="V80" s="234">
        <f>Q80+T80</f>
        <v>0</v>
      </c>
      <c r="W80" s="235">
        <f>R80+U80</f>
        <v>0</v>
      </c>
      <c r="X80" s="222">
        <f>IF(AND(V80&gt;0,W80&gt;0),W80/V80,N($E80))</f>
        <v>0</v>
      </c>
      <c r="Y80" s="220">
        <f>IF($B80="",0,SUMIFS(出库明细!$E$4:$E$3003,出库明细!$D$4:$D$3003,$B80,出库明细!$B$4:$B$3003,"&gt;="&amp;DATE(年度,2,1),出库明细!$B$4:$B$3003,"&lt;"&amp;DATE(年度,2+1,1)))</f>
        <v>0</v>
      </c>
      <c r="Z80" s="186">
        <f>Y80*X80</f>
        <v>0</v>
      </c>
      <c r="AA80" s="220">
        <f>_辅助!BN78</f>
        <v>0</v>
      </c>
      <c r="AB80" s="186">
        <f>_辅助!AD78</f>
        <v>0</v>
      </c>
      <c r="AC80" s="221">
        <f>V80-Y80-AA80</f>
        <v>0</v>
      </c>
      <c r="AD80" s="187">
        <f>W80-Z80-AB80</f>
        <v>0</v>
      </c>
      <c r="AE80" s="236">
        <f>IF(AND(V80&gt;0,W80&gt;0),0,Z80)</f>
        <v>0</v>
      </c>
      <c r="AF80" s="220">
        <f>IF($B80="",0,SUMIFS(采购进货!$E$4:$E$1503,采购进货!$D$4:$D$1503,$B80,采购进货!$B$4:$B$1503,"&gt;="&amp;DATE(年度,3,1),采购进货!$B$4:$B$1503,"&lt;"&amp;DATE(年度,3+1,1))+SUMIFS(采购进货!$H$4:$H$1503,采购进货!$D$4:$D$1503,$B80,采购进货!$B$4:$B$1503,"&gt;="&amp;DATE(年度,3,1),采购进货!$B$4:$B$1503,"&lt;"&amp;DATE(年度,3+1,1)))</f>
        <v>0</v>
      </c>
      <c r="AG80" s="186">
        <f>IF($B80="",0,SUMIFS(采购进货!$G$4:$G$1503,采购进货!$D$4:$D$1503,$B80,采购进货!$B$4:$B$1503,"&gt;="&amp;DATE(年度,3,1),采购进货!$B$4:$B$1503,"&lt;"&amp;DATE(年度,3+1,1)))</f>
        <v>0</v>
      </c>
      <c r="AH80" s="234">
        <f>AC80+AF80</f>
        <v>0</v>
      </c>
      <c r="AI80" s="235">
        <f>AD80+AG80</f>
        <v>0</v>
      </c>
      <c r="AJ80" s="222">
        <f>IF(AND(AH80&gt;0,AI80&gt;0),AI80/AH80,N($E80))</f>
        <v>0</v>
      </c>
      <c r="AK80" s="220">
        <f>IF($B80="",0,SUMIFS(出库明细!$E$4:$E$3003,出库明细!$D$4:$D$3003,$B80,出库明细!$B$4:$B$3003,"&gt;="&amp;DATE(年度,3,1),出库明细!$B$4:$B$3003,"&lt;"&amp;DATE(年度,3+1,1)))</f>
        <v>0</v>
      </c>
      <c r="AL80" s="186">
        <f>AK80*AJ80</f>
        <v>0</v>
      </c>
      <c r="AM80" s="220">
        <f>_辅助!BO78</f>
        <v>0</v>
      </c>
      <c r="AN80" s="186">
        <f>_辅助!AE78</f>
        <v>0</v>
      </c>
      <c r="AO80" s="221">
        <f>AH80-AK80-AM80</f>
        <v>0</v>
      </c>
      <c r="AP80" s="187">
        <f>AI80-AL80-AN80</f>
        <v>0</v>
      </c>
      <c r="AQ80" s="236">
        <f>IF(AND(AH80&gt;0,AI80&gt;0),0,AL80)</f>
        <v>0</v>
      </c>
      <c r="AR80" s="220">
        <f>IF($B80="",0,SUMIFS(采购进货!$E$4:$E$1503,采购进货!$D$4:$D$1503,$B80,采购进货!$B$4:$B$1503,"&gt;="&amp;DATE(年度,4,1),采购进货!$B$4:$B$1503,"&lt;"&amp;DATE(年度,4+1,1))+SUMIFS(采购进货!$H$4:$H$1503,采购进货!$D$4:$D$1503,$B80,采购进货!$B$4:$B$1503,"&gt;="&amp;DATE(年度,4,1),采购进货!$B$4:$B$1503,"&lt;"&amp;DATE(年度,4+1,1)))</f>
        <v>0</v>
      </c>
      <c r="AS80" s="186">
        <f>IF($B80="",0,SUMIFS(采购进货!$G$4:$G$1503,采购进货!$D$4:$D$1503,$B80,采购进货!$B$4:$B$1503,"&gt;="&amp;DATE(年度,4,1),采购进货!$B$4:$B$1503,"&lt;"&amp;DATE(年度,4+1,1)))</f>
        <v>0</v>
      </c>
      <c r="AT80" s="234">
        <f>AO80+AR80</f>
        <v>0</v>
      </c>
      <c r="AU80" s="235">
        <f>AP80+AS80</f>
        <v>0</v>
      </c>
      <c r="AV80" s="222">
        <f>IF(AND(AT80&gt;0,AU80&gt;0),AU80/AT80,N($E80))</f>
        <v>0</v>
      </c>
      <c r="AW80" s="220">
        <f>IF($B80="",0,SUMIFS(出库明细!$E$4:$E$3003,出库明细!$D$4:$D$3003,$B80,出库明细!$B$4:$B$3003,"&gt;="&amp;DATE(年度,4,1),出库明细!$B$4:$B$3003,"&lt;"&amp;DATE(年度,4+1,1)))</f>
        <v>0</v>
      </c>
      <c r="AX80" s="186">
        <f>AW80*AV80</f>
        <v>0</v>
      </c>
      <c r="AY80" s="220">
        <f>_辅助!BP78</f>
        <v>0</v>
      </c>
      <c r="AZ80" s="186">
        <f>_辅助!AF78</f>
        <v>0</v>
      </c>
      <c r="BA80" s="221">
        <f>AT80-AW80-AY80</f>
        <v>0</v>
      </c>
      <c r="BB80" s="187">
        <f>AU80-AX80-AZ80</f>
        <v>0</v>
      </c>
      <c r="BC80" s="236">
        <f>IF(AND(AT80&gt;0,AU80&gt;0),0,AX80)</f>
        <v>0</v>
      </c>
      <c r="BD80" s="220">
        <f>IF($B80="",0,SUMIFS(采购进货!$E$4:$E$1503,采购进货!$D$4:$D$1503,$B80,采购进货!$B$4:$B$1503,"&gt;="&amp;DATE(年度,5,1),采购进货!$B$4:$B$1503,"&lt;"&amp;DATE(年度,5+1,1))+SUMIFS(采购进货!$H$4:$H$1503,采购进货!$D$4:$D$1503,$B80,采购进货!$B$4:$B$1503,"&gt;="&amp;DATE(年度,5,1),采购进货!$B$4:$B$1503,"&lt;"&amp;DATE(年度,5+1,1)))</f>
        <v>0</v>
      </c>
      <c r="BE80" s="186">
        <f>IF($B80="",0,SUMIFS(采购进货!$G$4:$G$1503,采购进货!$D$4:$D$1503,$B80,采购进货!$B$4:$B$1503,"&gt;="&amp;DATE(年度,5,1),采购进货!$B$4:$B$1503,"&lt;"&amp;DATE(年度,5+1,1)))</f>
        <v>0</v>
      </c>
      <c r="BF80" s="234">
        <f>BA80+BD80</f>
        <v>0</v>
      </c>
      <c r="BG80" s="235">
        <f>BB80+BE80</f>
        <v>0</v>
      </c>
      <c r="BH80" s="222">
        <f>IF(AND(BF80&gt;0,BG80&gt;0),BG80/BF80,N($E80))</f>
        <v>0</v>
      </c>
      <c r="BI80" s="220">
        <f>IF($B80="",0,SUMIFS(出库明细!$E$4:$E$3003,出库明细!$D$4:$D$3003,$B80,出库明细!$B$4:$B$3003,"&gt;="&amp;DATE(年度,5,1),出库明细!$B$4:$B$3003,"&lt;"&amp;DATE(年度,5+1,1)))</f>
        <v>0</v>
      </c>
      <c r="BJ80" s="186">
        <f>BI80*BH80</f>
        <v>0</v>
      </c>
      <c r="BK80" s="220">
        <f>_辅助!BQ78</f>
        <v>0</v>
      </c>
      <c r="BL80" s="186">
        <f>_辅助!AG78</f>
        <v>0</v>
      </c>
      <c r="BM80" s="221">
        <f>BF80-BI80-BK80</f>
        <v>0</v>
      </c>
      <c r="BN80" s="187">
        <f>BG80-BJ80-BL80</f>
        <v>0</v>
      </c>
      <c r="BO80" s="236">
        <f>IF(AND(BF80&gt;0,BG80&gt;0),0,BJ80)</f>
        <v>0</v>
      </c>
      <c r="BP80" s="220">
        <f>IF($B80="",0,SUMIFS(采购进货!$E$4:$E$1503,采购进货!$D$4:$D$1503,$B80,采购进货!$B$4:$B$1503,"&gt;="&amp;DATE(年度,6,1),采购进货!$B$4:$B$1503,"&lt;"&amp;DATE(年度,6+1,1))+SUMIFS(采购进货!$H$4:$H$1503,采购进货!$D$4:$D$1503,$B80,采购进货!$B$4:$B$1503,"&gt;="&amp;DATE(年度,6,1),采购进货!$B$4:$B$1503,"&lt;"&amp;DATE(年度,6+1,1)))</f>
        <v>0</v>
      </c>
      <c r="BQ80" s="186">
        <f>IF($B80="",0,SUMIFS(采购进货!$G$4:$G$1503,采购进货!$D$4:$D$1503,$B80,采购进货!$B$4:$B$1503,"&gt;="&amp;DATE(年度,6,1),采购进货!$B$4:$B$1503,"&lt;"&amp;DATE(年度,6+1,1)))</f>
        <v>0</v>
      </c>
      <c r="BR80" s="234">
        <f>BM80+BP80</f>
        <v>0</v>
      </c>
      <c r="BS80" s="235">
        <f>BN80+BQ80</f>
        <v>0</v>
      </c>
      <c r="BT80" s="222">
        <f>IF(AND(BR80&gt;0,BS80&gt;0),BS80/BR80,N($E80))</f>
        <v>0</v>
      </c>
      <c r="BU80" s="220">
        <f>IF($B80="",0,SUMIFS(出库明细!$E$4:$E$3003,出库明细!$D$4:$D$3003,$B80,出库明细!$B$4:$B$3003,"&gt;="&amp;DATE(年度,6,1),出库明细!$B$4:$B$3003,"&lt;"&amp;DATE(年度,6+1,1)))</f>
        <v>0</v>
      </c>
      <c r="BV80" s="186">
        <f>BU80*BT80</f>
        <v>0</v>
      </c>
      <c r="BW80" s="220">
        <f>_辅助!BR78</f>
        <v>0</v>
      </c>
      <c r="BX80" s="186">
        <f>_辅助!AH78</f>
        <v>0</v>
      </c>
      <c r="BY80" s="221">
        <f>BR80-BU80-BW80</f>
        <v>0</v>
      </c>
      <c r="BZ80" s="187">
        <f>BS80-BV80-BX80</f>
        <v>0</v>
      </c>
      <c r="CA80" s="236">
        <f>IF(AND(BR80&gt;0,BS80&gt;0),0,BV80)</f>
        <v>0</v>
      </c>
      <c r="CB80" s="220">
        <f>IF($B80="",0,SUMIFS(采购进货!$E$4:$E$1503,采购进货!$D$4:$D$1503,$B80,采购进货!$B$4:$B$1503,"&gt;="&amp;DATE(年度,7,1),采购进货!$B$4:$B$1503,"&lt;"&amp;DATE(年度,7+1,1))+SUMIFS(采购进货!$H$4:$H$1503,采购进货!$D$4:$D$1503,$B80,采购进货!$B$4:$B$1503,"&gt;="&amp;DATE(年度,7,1),采购进货!$B$4:$B$1503,"&lt;"&amp;DATE(年度,7+1,1)))</f>
        <v>0</v>
      </c>
      <c r="CC80" s="186">
        <f>IF($B80="",0,SUMIFS(采购进货!$G$4:$G$1503,采购进货!$D$4:$D$1503,$B80,采购进货!$B$4:$B$1503,"&gt;="&amp;DATE(年度,7,1),采购进货!$B$4:$B$1503,"&lt;"&amp;DATE(年度,7+1,1)))</f>
        <v>0</v>
      </c>
      <c r="CD80" s="234">
        <f>BY80+CB80</f>
        <v>0</v>
      </c>
      <c r="CE80" s="235">
        <f>BZ80+CC80</f>
        <v>0</v>
      </c>
      <c r="CF80" s="222">
        <f>IF(AND(CD80&gt;0,CE80&gt;0),CE80/CD80,N($E80))</f>
        <v>0</v>
      </c>
      <c r="CG80" s="220">
        <f>IF($B80="",0,SUMIFS(出库明细!$E$4:$E$3003,出库明细!$D$4:$D$3003,$B80,出库明细!$B$4:$B$3003,"&gt;="&amp;DATE(年度,7,1),出库明细!$B$4:$B$3003,"&lt;"&amp;DATE(年度,7+1,1)))</f>
        <v>0</v>
      </c>
      <c r="CH80" s="186">
        <f>CG80*CF80</f>
        <v>0</v>
      </c>
      <c r="CI80" s="220">
        <f>_辅助!BS78</f>
        <v>0</v>
      </c>
      <c r="CJ80" s="186">
        <f>_辅助!AI78</f>
        <v>0</v>
      </c>
      <c r="CK80" s="221">
        <f>CD80-CG80-CI80</f>
        <v>0</v>
      </c>
      <c r="CL80" s="187">
        <f>CE80-CH80-CJ80</f>
        <v>0</v>
      </c>
      <c r="CM80" s="236">
        <f>IF(AND(CD80&gt;0,CE80&gt;0),0,CH80)</f>
        <v>0</v>
      </c>
      <c r="CN80" s="220">
        <f>IF($B80="",0,SUMIFS(采购进货!$E$4:$E$1503,采购进货!$D$4:$D$1503,$B80,采购进货!$B$4:$B$1503,"&gt;="&amp;DATE(年度,8,1),采购进货!$B$4:$B$1503,"&lt;"&amp;DATE(年度,8+1,1))+SUMIFS(采购进货!$H$4:$H$1503,采购进货!$D$4:$D$1503,$B80,采购进货!$B$4:$B$1503,"&gt;="&amp;DATE(年度,8,1),采购进货!$B$4:$B$1503,"&lt;"&amp;DATE(年度,8+1,1)))</f>
        <v>0</v>
      </c>
      <c r="CO80" s="186">
        <f>IF($B80="",0,SUMIFS(采购进货!$G$4:$G$1503,采购进货!$D$4:$D$1503,$B80,采购进货!$B$4:$B$1503,"&gt;="&amp;DATE(年度,8,1),采购进货!$B$4:$B$1503,"&lt;"&amp;DATE(年度,8+1,1)))</f>
        <v>0</v>
      </c>
      <c r="CP80" s="234">
        <f>CK80+CN80</f>
        <v>0</v>
      </c>
      <c r="CQ80" s="235">
        <f>CL80+CO80</f>
        <v>0</v>
      </c>
      <c r="CR80" s="222">
        <f>IF(AND(CP80&gt;0,CQ80&gt;0),CQ80/CP80,N($E80))</f>
        <v>0</v>
      </c>
      <c r="CS80" s="220">
        <f>IF($B80="",0,SUMIFS(出库明细!$E$4:$E$3003,出库明细!$D$4:$D$3003,$B80,出库明细!$B$4:$B$3003,"&gt;="&amp;DATE(年度,8,1),出库明细!$B$4:$B$3003,"&lt;"&amp;DATE(年度,8+1,1)))</f>
        <v>0</v>
      </c>
      <c r="CT80" s="186">
        <f>CS80*CR80</f>
        <v>0</v>
      </c>
      <c r="CU80" s="220">
        <f>_辅助!BT78</f>
        <v>0</v>
      </c>
      <c r="CV80" s="186">
        <f>_辅助!AJ78</f>
        <v>0</v>
      </c>
      <c r="CW80" s="221">
        <f>CP80-CS80-CU80</f>
        <v>0</v>
      </c>
      <c r="CX80" s="187">
        <f>CQ80-CT80-CV80</f>
        <v>0</v>
      </c>
      <c r="CY80" s="236">
        <f>IF(AND(CP80&gt;0,CQ80&gt;0),0,CT80)</f>
        <v>0</v>
      </c>
      <c r="CZ80" s="220">
        <f>IF($B80="",0,SUMIFS(采购进货!$E$4:$E$1503,采购进货!$D$4:$D$1503,$B80,采购进货!$B$4:$B$1503,"&gt;="&amp;DATE(年度,9,1),采购进货!$B$4:$B$1503,"&lt;"&amp;DATE(年度,9+1,1))+SUMIFS(采购进货!$H$4:$H$1503,采购进货!$D$4:$D$1503,$B80,采购进货!$B$4:$B$1503,"&gt;="&amp;DATE(年度,9,1),采购进货!$B$4:$B$1503,"&lt;"&amp;DATE(年度,9+1,1)))</f>
        <v>0</v>
      </c>
      <c r="DA80" s="186">
        <f>IF($B80="",0,SUMIFS(采购进货!$G$4:$G$1503,采购进货!$D$4:$D$1503,$B80,采购进货!$B$4:$B$1503,"&gt;="&amp;DATE(年度,9,1),采购进货!$B$4:$B$1503,"&lt;"&amp;DATE(年度,9+1,1)))</f>
        <v>0</v>
      </c>
      <c r="DB80" s="234">
        <f>CW80+CZ80</f>
        <v>0</v>
      </c>
      <c r="DC80" s="235">
        <f>CX80+DA80</f>
        <v>0</v>
      </c>
      <c r="DD80" s="222">
        <f>IF(AND(DB80&gt;0,DC80&gt;0),DC80/DB80,N($E80))</f>
        <v>0</v>
      </c>
      <c r="DE80" s="220">
        <f>IF($B80="",0,SUMIFS(出库明细!$E$4:$E$3003,出库明细!$D$4:$D$3003,$B80,出库明细!$B$4:$B$3003,"&gt;="&amp;DATE(年度,9,1),出库明细!$B$4:$B$3003,"&lt;"&amp;DATE(年度,9+1,1)))</f>
        <v>0</v>
      </c>
      <c r="DF80" s="186">
        <f>DE80*DD80</f>
        <v>0</v>
      </c>
      <c r="DG80" s="220">
        <f>_辅助!BU78</f>
        <v>0</v>
      </c>
      <c r="DH80" s="186">
        <f>_辅助!AK78</f>
        <v>0</v>
      </c>
      <c r="DI80" s="221">
        <f>DB80-DE80-DG80</f>
        <v>0</v>
      </c>
      <c r="DJ80" s="187">
        <f>DC80-DF80-DH80</f>
        <v>0</v>
      </c>
      <c r="DK80" s="236">
        <f>IF(AND(DB80&gt;0,DC80&gt;0),0,DF80)</f>
        <v>0</v>
      </c>
      <c r="DL80" s="220">
        <f>IF($B80="",0,SUMIFS(采购进货!$E$4:$E$1503,采购进货!$D$4:$D$1503,$B80,采购进货!$B$4:$B$1503,"&gt;="&amp;DATE(年度,10,1),采购进货!$B$4:$B$1503,"&lt;"&amp;DATE(年度,10+1,1))+SUMIFS(采购进货!$H$4:$H$1503,采购进货!$D$4:$D$1503,$B80,采购进货!$B$4:$B$1503,"&gt;="&amp;DATE(年度,10,1),采购进货!$B$4:$B$1503,"&lt;"&amp;DATE(年度,10+1,1)))</f>
        <v>0</v>
      </c>
      <c r="DM80" s="186">
        <f>IF($B80="",0,SUMIFS(采购进货!$G$4:$G$1503,采购进货!$D$4:$D$1503,$B80,采购进货!$B$4:$B$1503,"&gt;="&amp;DATE(年度,10,1),采购进货!$B$4:$B$1503,"&lt;"&amp;DATE(年度,10+1,1)))</f>
        <v>0</v>
      </c>
      <c r="DN80" s="234">
        <f>DI80+DL80</f>
        <v>0</v>
      </c>
      <c r="DO80" s="235">
        <f>DJ80+DM80</f>
        <v>0</v>
      </c>
      <c r="DP80" s="222">
        <f>IF(AND(DN80&gt;0,DO80&gt;0),DO80/DN80,N($E80))</f>
        <v>0</v>
      </c>
      <c r="DQ80" s="220">
        <f>IF($B80="",0,SUMIFS(出库明细!$E$4:$E$3003,出库明细!$D$4:$D$3003,$B80,出库明细!$B$4:$B$3003,"&gt;="&amp;DATE(年度,10,1),出库明细!$B$4:$B$3003,"&lt;"&amp;DATE(年度,10+1,1)))</f>
        <v>0</v>
      </c>
      <c r="DR80" s="186">
        <f>DQ80*DP80</f>
        <v>0</v>
      </c>
      <c r="DS80" s="220">
        <f>_辅助!BV78</f>
        <v>0</v>
      </c>
      <c r="DT80" s="186">
        <f>_辅助!AL78</f>
        <v>0</v>
      </c>
      <c r="DU80" s="221">
        <f>DN80-DQ80-DS80</f>
        <v>0</v>
      </c>
      <c r="DV80" s="187">
        <f>DO80-DR80-DT80</f>
        <v>0</v>
      </c>
      <c r="DW80" s="236">
        <f>IF(AND(DN80&gt;0,DO80&gt;0),0,DR80)</f>
        <v>0</v>
      </c>
      <c r="DX80" s="220">
        <f>IF($B80="",0,SUMIFS(采购进货!$E$4:$E$1503,采购进货!$D$4:$D$1503,$B80,采购进货!$B$4:$B$1503,"&gt;="&amp;DATE(年度,11,1),采购进货!$B$4:$B$1503,"&lt;"&amp;DATE(年度,11+1,1))+SUMIFS(采购进货!$H$4:$H$1503,采购进货!$D$4:$D$1503,$B80,采购进货!$B$4:$B$1503,"&gt;="&amp;DATE(年度,11,1),采购进货!$B$4:$B$1503,"&lt;"&amp;DATE(年度,11+1,1)))</f>
        <v>0</v>
      </c>
      <c r="DY80" s="186">
        <f>IF($B80="",0,SUMIFS(采购进货!$G$4:$G$1503,采购进货!$D$4:$D$1503,$B80,采购进货!$B$4:$B$1503,"&gt;="&amp;DATE(年度,11,1),采购进货!$B$4:$B$1503,"&lt;"&amp;DATE(年度,11+1,1)))</f>
        <v>0</v>
      </c>
      <c r="DZ80" s="234">
        <f>DU80+DX80</f>
        <v>0</v>
      </c>
      <c r="EA80" s="235">
        <f>DV80+DY80</f>
        <v>0</v>
      </c>
      <c r="EB80" s="222">
        <f>IF(AND(DZ80&gt;0,EA80&gt;0),EA80/DZ80,N($E80))</f>
        <v>0</v>
      </c>
      <c r="EC80" s="220">
        <f>IF($B80="",0,SUMIFS(出库明细!$E$4:$E$3003,出库明细!$D$4:$D$3003,$B80,出库明细!$B$4:$B$3003,"&gt;="&amp;DATE(年度,11,1),出库明细!$B$4:$B$3003,"&lt;"&amp;DATE(年度,11+1,1)))</f>
        <v>0</v>
      </c>
      <c r="ED80" s="186">
        <f>EC80*EB80</f>
        <v>0</v>
      </c>
      <c r="EE80" s="220">
        <f>_辅助!BW78</f>
        <v>0</v>
      </c>
      <c r="EF80" s="186">
        <f>_辅助!AM78</f>
        <v>0</v>
      </c>
      <c r="EG80" s="221">
        <f>DZ80-EC80-EE80</f>
        <v>0</v>
      </c>
      <c r="EH80" s="187">
        <f>EA80-ED80-EF80</f>
        <v>0</v>
      </c>
      <c r="EI80" s="236">
        <f>IF(AND(DZ80&gt;0,EA80&gt;0),0,ED80)</f>
        <v>0</v>
      </c>
      <c r="EJ80" s="220">
        <f>IF($B80="",0,SUMIFS(采购进货!$E$4:$E$1503,采购进货!$D$4:$D$1503,$B80,采购进货!$B$4:$B$1503,"&gt;="&amp;DATE(年度,12,1),采购进货!$B$4:$B$1503,"&lt;"&amp;DATE(年度,12+1,1))+SUMIFS(采购进货!$H$4:$H$1503,采购进货!$D$4:$D$1503,$B80,采购进货!$B$4:$B$1503,"&gt;="&amp;DATE(年度,12,1),采购进货!$B$4:$B$1503,"&lt;"&amp;DATE(年度,12+1,1)))</f>
        <v>0</v>
      </c>
      <c r="EK80" s="186">
        <f>IF($B80="",0,SUMIFS(采购进货!$G$4:$G$1503,采购进货!$D$4:$D$1503,$B80,采购进货!$B$4:$B$1503,"&gt;="&amp;DATE(年度,12,1),采购进货!$B$4:$B$1503,"&lt;"&amp;DATE(年度,12+1,1)))</f>
        <v>0</v>
      </c>
      <c r="EL80" s="234">
        <f>EG80+EJ80</f>
        <v>0</v>
      </c>
      <c r="EM80" s="235">
        <f>EH80+EK80</f>
        <v>0</v>
      </c>
      <c r="EN80" s="222">
        <f>IF(AND(EL80&gt;0,EM80&gt;0),EM80/EL80,N($E80))</f>
        <v>0</v>
      </c>
      <c r="EO80" s="220">
        <f>IF($B80="",0,SUMIFS(出库明细!$E$4:$E$3003,出库明细!$D$4:$D$3003,$B80,出库明细!$B$4:$B$3003,"&gt;="&amp;DATE(年度,12,1),出库明细!$B$4:$B$3003,"&lt;"&amp;DATE(年度,12+1,1)))</f>
        <v>0</v>
      </c>
      <c r="EP80" s="186">
        <f>EO80*EN80</f>
        <v>0</v>
      </c>
      <c r="EQ80" s="220">
        <f>_辅助!BX78</f>
        <v>0</v>
      </c>
      <c r="ER80" s="186">
        <f>_辅助!AN78</f>
        <v>0</v>
      </c>
      <c r="ES80" s="221">
        <f>EL80-EO80-EQ80</f>
        <v>0</v>
      </c>
      <c r="ET80" s="187">
        <f>EM80-EP80-ER80</f>
        <v>0</v>
      </c>
      <c r="EU80" s="236">
        <f>IF(AND(EL80&gt;0,EM80&gt;0),0,EP80)</f>
        <v>0</v>
      </c>
    </row>
    <row r="81">
      <c r="A81" s="194">
        <f>IF(B81="","",ROW()-7)</f>
      </c>
      <c r="B81" s="141">
        <f>IF(基础资料!E78="","",基础资料!E78&amp;"")</f>
      </c>
      <c r="C81" s="230">
        <f>IF(基础资料!G78="","",基础资料!G78&amp;"")</f>
      </c>
      <c r="D81" s="194">
        <f>IF(基础资料!I78="","",基础资料!I78)</f>
      </c>
      <c r="E81" s="231">
        <f>IF(基础资料!J78="","",基础资料!J78)</f>
      </c>
      <c r="F81" s="232">
        <f>N(基础资料!L78)</f>
        <v>0</v>
      </c>
      <c r="G81" s="233">
        <f>IF(基础资料!N78="",0,基础资料!N78)</f>
        <v>0</v>
      </c>
      <c r="H81" s="220">
        <f>IF($B81="",0,SUMIFS(采购进货!$E$4:$E$1503,采购进货!$D$4:$D$1503,$B81,采购进货!$B$4:$B$1503,"&gt;="&amp;DATE(年度,1,1),采购进货!$B$4:$B$1503,"&lt;"&amp;DATE(年度,1+1,1))+SUMIFS(采购进货!$H$4:$H$1503,采购进货!$D$4:$D$1503,$B81,采购进货!$B$4:$B$1503,"&gt;="&amp;DATE(年度,1,1),采购进货!$B$4:$B$1503,"&lt;"&amp;DATE(年度,1+1,1)))</f>
        <v>0</v>
      </c>
      <c r="I81" s="186">
        <f>IF($B81="",0,SUMIFS(采购进货!$G$4:$G$1503,采购进货!$D$4:$D$1503,$B81,采购进货!$B$4:$B$1503,"&gt;="&amp;DATE(年度,1,1),采购进货!$B$4:$B$1503,"&lt;"&amp;DATE(年度,1+1,1)))</f>
        <v>0</v>
      </c>
      <c r="J81" s="234">
        <f>F81+H81</f>
        <v>0</v>
      </c>
      <c r="K81" s="235">
        <f>G81+I81</f>
        <v>0</v>
      </c>
      <c r="L81" s="222">
        <f>IF(AND(J81&gt;0,K81&gt;0),K81/J81,N($E81))</f>
        <v>0</v>
      </c>
      <c r="M81" s="220">
        <f>IF($B81="",0,SUMIFS(出库明细!$E$4:$E$3003,出库明细!$D$4:$D$3003,$B81,出库明细!$B$4:$B$3003,"&gt;="&amp;DATE(年度,1,1),出库明细!$B$4:$B$3003,"&lt;"&amp;DATE(年度,1+1,1)))</f>
        <v>0</v>
      </c>
      <c r="N81" s="186">
        <f>M81*L81</f>
        <v>0</v>
      </c>
      <c r="O81" s="220">
        <f>_辅助!BM79</f>
        <v>0</v>
      </c>
      <c r="P81" s="186">
        <f>_辅助!AC79</f>
        <v>0</v>
      </c>
      <c r="Q81" s="221">
        <f>J81-M81-O81</f>
        <v>0</v>
      </c>
      <c r="R81" s="187">
        <f>K81-N81-P81</f>
        <v>0</v>
      </c>
      <c r="S81" s="236">
        <f>IF(AND(J81&gt;0,K81&gt;0),0,N81)</f>
        <v>0</v>
      </c>
      <c r="T81" s="220">
        <f>IF($B81="",0,SUMIFS(采购进货!$E$4:$E$1503,采购进货!$D$4:$D$1503,$B81,采购进货!$B$4:$B$1503,"&gt;="&amp;DATE(年度,2,1),采购进货!$B$4:$B$1503,"&lt;"&amp;DATE(年度,2+1,1))+SUMIFS(采购进货!$H$4:$H$1503,采购进货!$D$4:$D$1503,$B81,采购进货!$B$4:$B$1503,"&gt;="&amp;DATE(年度,2,1),采购进货!$B$4:$B$1503,"&lt;"&amp;DATE(年度,2+1,1)))</f>
        <v>0</v>
      </c>
      <c r="U81" s="186">
        <f>IF($B81="",0,SUMIFS(采购进货!$G$4:$G$1503,采购进货!$D$4:$D$1503,$B81,采购进货!$B$4:$B$1503,"&gt;="&amp;DATE(年度,2,1),采购进货!$B$4:$B$1503,"&lt;"&amp;DATE(年度,2+1,1)))</f>
        <v>0</v>
      </c>
      <c r="V81" s="234">
        <f>Q81+T81</f>
        <v>0</v>
      </c>
      <c r="W81" s="235">
        <f>R81+U81</f>
        <v>0</v>
      </c>
      <c r="X81" s="222">
        <f>IF(AND(V81&gt;0,W81&gt;0),W81/V81,N($E81))</f>
        <v>0</v>
      </c>
      <c r="Y81" s="220">
        <f>IF($B81="",0,SUMIFS(出库明细!$E$4:$E$3003,出库明细!$D$4:$D$3003,$B81,出库明细!$B$4:$B$3003,"&gt;="&amp;DATE(年度,2,1),出库明细!$B$4:$B$3003,"&lt;"&amp;DATE(年度,2+1,1)))</f>
        <v>0</v>
      </c>
      <c r="Z81" s="186">
        <f>Y81*X81</f>
        <v>0</v>
      </c>
      <c r="AA81" s="220">
        <f>_辅助!BN79</f>
        <v>0</v>
      </c>
      <c r="AB81" s="186">
        <f>_辅助!AD79</f>
        <v>0</v>
      </c>
      <c r="AC81" s="221">
        <f>V81-Y81-AA81</f>
        <v>0</v>
      </c>
      <c r="AD81" s="187">
        <f>W81-Z81-AB81</f>
        <v>0</v>
      </c>
      <c r="AE81" s="236">
        <f>IF(AND(V81&gt;0,W81&gt;0),0,Z81)</f>
        <v>0</v>
      </c>
      <c r="AF81" s="220">
        <f>IF($B81="",0,SUMIFS(采购进货!$E$4:$E$1503,采购进货!$D$4:$D$1503,$B81,采购进货!$B$4:$B$1503,"&gt;="&amp;DATE(年度,3,1),采购进货!$B$4:$B$1503,"&lt;"&amp;DATE(年度,3+1,1))+SUMIFS(采购进货!$H$4:$H$1503,采购进货!$D$4:$D$1503,$B81,采购进货!$B$4:$B$1503,"&gt;="&amp;DATE(年度,3,1),采购进货!$B$4:$B$1503,"&lt;"&amp;DATE(年度,3+1,1)))</f>
        <v>0</v>
      </c>
      <c r="AG81" s="186">
        <f>IF($B81="",0,SUMIFS(采购进货!$G$4:$G$1503,采购进货!$D$4:$D$1503,$B81,采购进货!$B$4:$B$1503,"&gt;="&amp;DATE(年度,3,1),采购进货!$B$4:$B$1503,"&lt;"&amp;DATE(年度,3+1,1)))</f>
        <v>0</v>
      </c>
      <c r="AH81" s="234">
        <f>AC81+AF81</f>
        <v>0</v>
      </c>
      <c r="AI81" s="235">
        <f>AD81+AG81</f>
        <v>0</v>
      </c>
      <c r="AJ81" s="222">
        <f>IF(AND(AH81&gt;0,AI81&gt;0),AI81/AH81,N($E81))</f>
        <v>0</v>
      </c>
      <c r="AK81" s="220">
        <f>IF($B81="",0,SUMIFS(出库明细!$E$4:$E$3003,出库明细!$D$4:$D$3003,$B81,出库明细!$B$4:$B$3003,"&gt;="&amp;DATE(年度,3,1),出库明细!$B$4:$B$3003,"&lt;"&amp;DATE(年度,3+1,1)))</f>
        <v>0</v>
      </c>
      <c r="AL81" s="186">
        <f>AK81*AJ81</f>
        <v>0</v>
      </c>
      <c r="AM81" s="220">
        <f>_辅助!BO79</f>
        <v>0</v>
      </c>
      <c r="AN81" s="186">
        <f>_辅助!AE79</f>
        <v>0</v>
      </c>
      <c r="AO81" s="221">
        <f>AH81-AK81-AM81</f>
        <v>0</v>
      </c>
      <c r="AP81" s="187">
        <f>AI81-AL81-AN81</f>
        <v>0</v>
      </c>
      <c r="AQ81" s="236">
        <f>IF(AND(AH81&gt;0,AI81&gt;0),0,AL81)</f>
        <v>0</v>
      </c>
      <c r="AR81" s="220">
        <f>IF($B81="",0,SUMIFS(采购进货!$E$4:$E$1503,采购进货!$D$4:$D$1503,$B81,采购进货!$B$4:$B$1503,"&gt;="&amp;DATE(年度,4,1),采购进货!$B$4:$B$1503,"&lt;"&amp;DATE(年度,4+1,1))+SUMIFS(采购进货!$H$4:$H$1503,采购进货!$D$4:$D$1503,$B81,采购进货!$B$4:$B$1503,"&gt;="&amp;DATE(年度,4,1),采购进货!$B$4:$B$1503,"&lt;"&amp;DATE(年度,4+1,1)))</f>
        <v>0</v>
      </c>
      <c r="AS81" s="186">
        <f>IF($B81="",0,SUMIFS(采购进货!$G$4:$G$1503,采购进货!$D$4:$D$1503,$B81,采购进货!$B$4:$B$1503,"&gt;="&amp;DATE(年度,4,1),采购进货!$B$4:$B$1503,"&lt;"&amp;DATE(年度,4+1,1)))</f>
        <v>0</v>
      </c>
      <c r="AT81" s="234">
        <f>AO81+AR81</f>
        <v>0</v>
      </c>
      <c r="AU81" s="235">
        <f>AP81+AS81</f>
        <v>0</v>
      </c>
      <c r="AV81" s="222">
        <f>IF(AND(AT81&gt;0,AU81&gt;0),AU81/AT81,N($E81))</f>
        <v>0</v>
      </c>
      <c r="AW81" s="220">
        <f>IF($B81="",0,SUMIFS(出库明细!$E$4:$E$3003,出库明细!$D$4:$D$3003,$B81,出库明细!$B$4:$B$3003,"&gt;="&amp;DATE(年度,4,1),出库明细!$B$4:$B$3003,"&lt;"&amp;DATE(年度,4+1,1)))</f>
        <v>0</v>
      </c>
      <c r="AX81" s="186">
        <f>AW81*AV81</f>
        <v>0</v>
      </c>
      <c r="AY81" s="220">
        <f>_辅助!BP79</f>
        <v>0</v>
      </c>
      <c r="AZ81" s="186">
        <f>_辅助!AF79</f>
        <v>0</v>
      </c>
      <c r="BA81" s="221">
        <f>AT81-AW81-AY81</f>
        <v>0</v>
      </c>
      <c r="BB81" s="187">
        <f>AU81-AX81-AZ81</f>
        <v>0</v>
      </c>
      <c r="BC81" s="236">
        <f>IF(AND(AT81&gt;0,AU81&gt;0),0,AX81)</f>
        <v>0</v>
      </c>
      <c r="BD81" s="220">
        <f>IF($B81="",0,SUMIFS(采购进货!$E$4:$E$1503,采购进货!$D$4:$D$1503,$B81,采购进货!$B$4:$B$1503,"&gt;="&amp;DATE(年度,5,1),采购进货!$B$4:$B$1503,"&lt;"&amp;DATE(年度,5+1,1))+SUMIFS(采购进货!$H$4:$H$1503,采购进货!$D$4:$D$1503,$B81,采购进货!$B$4:$B$1503,"&gt;="&amp;DATE(年度,5,1),采购进货!$B$4:$B$1503,"&lt;"&amp;DATE(年度,5+1,1)))</f>
        <v>0</v>
      </c>
      <c r="BE81" s="186">
        <f>IF($B81="",0,SUMIFS(采购进货!$G$4:$G$1503,采购进货!$D$4:$D$1503,$B81,采购进货!$B$4:$B$1503,"&gt;="&amp;DATE(年度,5,1),采购进货!$B$4:$B$1503,"&lt;"&amp;DATE(年度,5+1,1)))</f>
        <v>0</v>
      </c>
      <c r="BF81" s="234">
        <f>BA81+BD81</f>
        <v>0</v>
      </c>
      <c r="BG81" s="235">
        <f>BB81+BE81</f>
        <v>0</v>
      </c>
      <c r="BH81" s="222">
        <f>IF(AND(BF81&gt;0,BG81&gt;0),BG81/BF81,N($E81))</f>
        <v>0</v>
      </c>
      <c r="BI81" s="220">
        <f>IF($B81="",0,SUMIFS(出库明细!$E$4:$E$3003,出库明细!$D$4:$D$3003,$B81,出库明细!$B$4:$B$3003,"&gt;="&amp;DATE(年度,5,1),出库明细!$B$4:$B$3003,"&lt;"&amp;DATE(年度,5+1,1)))</f>
        <v>0</v>
      </c>
      <c r="BJ81" s="186">
        <f>BI81*BH81</f>
        <v>0</v>
      </c>
      <c r="BK81" s="220">
        <f>_辅助!BQ79</f>
        <v>0</v>
      </c>
      <c r="BL81" s="186">
        <f>_辅助!AG79</f>
        <v>0</v>
      </c>
      <c r="BM81" s="221">
        <f>BF81-BI81-BK81</f>
        <v>0</v>
      </c>
      <c r="BN81" s="187">
        <f>BG81-BJ81-BL81</f>
        <v>0</v>
      </c>
      <c r="BO81" s="236">
        <f>IF(AND(BF81&gt;0,BG81&gt;0),0,BJ81)</f>
        <v>0</v>
      </c>
      <c r="BP81" s="220">
        <f>IF($B81="",0,SUMIFS(采购进货!$E$4:$E$1503,采购进货!$D$4:$D$1503,$B81,采购进货!$B$4:$B$1503,"&gt;="&amp;DATE(年度,6,1),采购进货!$B$4:$B$1503,"&lt;"&amp;DATE(年度,6+1,1))+SUMIFS(采购进货!$H$4:$H$1503,采购进货!$D$4:$D$1503,$B81,采购进货!$B$4:$B$1503,"&gt;="&amp;DATE(年度,6,1),采购进货!$B$4:$B$1503,"&lt;"&amp;DATE(年度,6+1,1)))</f>
        <v>0</v>
      </c>
      <c r="BQ81" s="186">
        <f>IF($B81="",0,SUMIFS(采购进货!$G$4:$G$1503,采购进货!$D$4:$D$1503,$B81,采购进货!$B$4:$B$1503,"&gt;="&amp;DATE(年度,6,1),采购进货!$B$4:$B$1503,"&lt;"&amp;DATE(年度,6+1,1)))</f>
        <v>0</v>
      </c>
      <c r="BR81" s="234">
        <f>BM81+BP81</f>
        <v>0</v>
      </c>
      <c r="BS81" s="235">
        <f>BN81+BQ81</f>
        <v>0</v>
      </c>
      <c r="BT81" s="222">
        <f>IF(AND(BR81&gt;0,BS81&gt;0),BS81/BR81,N($E81))</f>
        <v>0</v>
      </c>
      <c r="BU81" s="220">
        <f>IF($B81="",0,SUMIFS(出库明细!$E$4:$E$3003,出库明细!$D$4:$D$3003,$B81,出库明细!$B$4:$B$3003,"&gt;="&amp;DATE(年度,6,1),出库明细!$B$4:$B$3003,"&lt;"&amp;DATE(年度,6+1,1)))</f>
        <v>0</v>
      </c>
      <c r="BV81" s="186">
        <f>BU81*BT81</f>
        <v>0</v>
      </c>
      <c r="BW81" s="220">
        <f>_辅助!BR79</f>
        <v>0</v>
      </c>
      <c r="BX81" s="186">
        <f>_辅助!AH79</f>
        <v>0</v>
      </c>
      <c r="BY81" s="221">
        <f>BR81-BU81-BW81</f>
        <v>0</v>
      </c>
      <c r="BZ81" s="187">
        <f>BS81-BV81-BX81</f>
        <v>0</v>
      </c>
      <c r="CA81" s="236">
        <f>IF(AND(BR81&gt;0,BS81&gt;0),0,BV81)</f>
        <v>0</v>
      </c>
      <c r="CB81" s="220">
        <f>IF($B81="",0,SUMIFS(采购进货!$E$4:$E$1503,采购进货!$D$4:$D$1503,$B81,采购进货!$B$4:$B$1503,"&gt;="&amp;DATE(年度,7,1),采购进货!$B$4:$B$1503,"&lt;"&amp;DATE(年度,7+1,1))+SUMIFS(采购进货!$H$4:$H$1503,采购进货!$D$4:$D$1503,$B81,采购进货!$B$4:$B$1503,"&gt;="&amp;DATE(年度,7,1),采购进货!$B$4:$B$1503,"&lt;"&amp;DATE(年度,7+1,1)))</f>
        <v>0</v>
      </c>
      <c r="CC81" s="186">
        <f>IF($B81="",0,SUMIFS(采购进货!$G$4:$G$1503,采购进货!$D$4:$D$1503,$B81,采购进货!$B$4:$B$1503,"&gt;="&amp;DATE(年度,7,1),采购进货!$B$4:$B$1503,"&lt;"&amp;DATE(年度,7+1,1)))</f>
        <v>0</v>
      </c>
      <c r="CD81" s="234">
        <f>BY81+CB81</f>
        <v>0</v>
      </c>
      <c r="CE81" s="235">
        <f>BZ81+CC81</f>
        <v>0</v>
      </c>
      <c r="CF81" s="222">
        <f>IF(AND(CD81&gt;0,CE81&gt;0),CE81/CD81,N($E81))</f>
        <v>0</v>
      </c>
      <c r="CG81" s="220">
        <f>IF($B81="",0,SUMIFS(出库明细!$E$4:$E$3003,出库明细!$D$4:$D$3003,$B81,出库明细!$B$4:$B$3003,"&gt;="&amp;DATE(年度,7,1),出库明细!$B$4:$B$3003,"&lt;"&amp;DATE(年度,7+1,1)))</f>
        <v>0</v>
      </c>
      <c r="CH81" s="186">
        <f>CG81*CF81</f>
        <v>0</v>
      </c>
      <c r="CI81" s="220">
        <f>_辅助!BS79</f>
        <v>0</v>
      </c>
      <c r="CJ81" s="186">
        <f>_辅助!AI79</f>
        <v>0</v>
      </c>
      <c r="CK81" s="221">
        <f>CD81-CG81-CI81</f>
        <v>0</v>
      </c>
      <c r="CL81" s="187">
        <f>CE81-CH81-CJ81</f>
        <v>0</v>
      </c>
      <c r="CM81" s="236">
        <f>IF(AND(CD81&gt;0,CE81&gt;0),0,CH81)</f>
        <v>0</v>
      </c>
      <c r="CN81" s="220">
        <f>IF($B81="",0,SUMIFS(采购进货!$E$4:$E$1503,采购进货!$D$4:$D$1503,$B81,采购进货!$B$4:$B$1503,"&gt;="&amp;DATE(年度,8,1),采购进货!$B$4:$B$1503,"&lt;"&amp;DATE(年度,8+1,1))+SUMIFS(采购进货!$H$4:$H$1503,采购进货!$D$4:$D$1503,$B81,采购进货!$B$4:$B$1503,"&gt;="&amp;DATE(年度,8,1),采购进货!$B$4:$B$1503,"&lt;"&amp;DATE(年度,8+1,1)))</f>
        <v>0</v>
      </c>
      <c r="CO81" s="186">
        <f>IF($B81="",0,SUMIFS(采购进货!$G$4:$G$1503,采购进货!$D$4:$D$1503,$B81,采购进货!$B$4:$B$1503,"&gt;="&amp;DATE(年度,8,1),采购进货!$B$4:$B$1503,"&lt;"&amp;DATE(年度,8+1,1)))</f>
        <v>0</v>
      </c>
      <c r="CP81" s="234">
        <f>CK81+CN81</f>
        <v>0</v>
      </c>
      <c r="CQ81" s="235">
        <f>CL81+CO81</f>
        <v>0</v>
      </c>
      <c r="CR81" s="222">
        <f>IF(AND(CP81&gt;0,CQ81&gt;0),CQ81/CP81,N($E81))</f>
        <v>0</v>
      </c>
      <c r="CS81" s="220">
        <f>IF($B81="",0,SUMIFS(出库明细!$E$4:$E$3003,出库明细!$D$4:$D$3003,$B81,出库明细!$B$4:$B$3003,"&gt;="&amp;DATE(年度,8,1),出库明细!$B$4:$B$3003,"&lt;"&amp;DATE(年度,8+1,1)))</f>
        <v>0</v>
      </c>
      <c r="CT81" s="186">
        <f>CS81*CR81</f>
        <v>0</v>
      </c>
      <c r="CU81" s="220">
        <f>_辅助!BT79</f>
        <v>0</v>
      </c>
      <c r="CV81" s="186">
        <f>_辅助!AJ79</f>
        <v>0</v>
      </c>
      <c r="CW81" s="221">
        <f>CP81-CS81-CU81</f>
        <v>0</v>
      </c>
      <c r="CX81" s="187">
        <f>CQ81-CT81-CV81</f>
        <v>0</v>
      </c>
      <c r="CY81" s="236">
        <f>IF(AND(CP81&gt;0,CQ81&gt;0),0,CT81)</f>
        <v>0</v>
      </c>
      <c r="CZ81" s="220">
        <f>IF($B81="",0,SUMIFS(采购进货!$E$4:$E$1503,采购进货!$D$4:$D$1503,$B81,采购进货!$B$4:$B$1503,"&gt;="&amp;DATE(年度,9,1),采购进货!$B$4:$B$1503,"&lt;"&amp;DATE(年度,9+1,1))+SUMIFS(采购进货!$H$4:$H$1503,采购进货!$D$4:$D$1503,$B81,采购进货!$B$4:$B$1503,"&gt;="&amp;DATE(年度,9,1),采购进货!$B$4:$B$1503,"&lt;"&amp;DATE(年度,9+1,1)))</f>
        <v>0</v>
      </c>
      <c r="DA81" s="186">
        <f>IF($B81="",0,SUMIFS(采购进货!$G$4:$G$1503,采购进货!$D$4:$D$1503,$B81,采购进货!$B$4:$B$1503,"&gt;="&amp;DATE(年度,9,1),采购进货!$B$4:$B$1503,"&lt;"&amp;DATE(年度,9+1,1)))</f>
        <v>0</v>
      </c>
      <c r="DB81" s="234">
        <f>CW81+CZ81</f>
        <v>0</v>
      </c>
      <c r="DC81" s="235">
        <f>CX81+DA81</f>
        <v>0</v>
      </c>
      <c r="DD81" s="222">
        <f>IF(AND(DB81&gt;0,DC81&gt;0),DC81/DB81,N($E81))</f>
        <v>0</v>
      </c>
      <c r="DE81" s="220">
        <f>IF($B81="",0,SUMIFS(出库明细!$E$4:$E$3003,出库明细!$D$4:$D$3003,$B81,出库明细!$B$4:$B$3003,"&gt;="&amp;DATE(年度,9,1),出库明细!$B$4:$B$3003,"&lt;"&amp;DATE(年度,9+1,1)))</f>
        <v>0</v>
      </c>
      <c r="DF81" s="186">
        <f>DE81*DD81</f>
        <v>0</v>
      </c>
      <c r="DG81" s="220">
        <f>_辅助!BU79</f>
        <v>0</v>
      </c>
      <c r="DH81" s="186">
        <f>_辅助!AK79</f>
        <v>0</v>
      </c>
      <c r="DI81" s="221">
        <f>DB81-DE81-DG81</f>
        <v>0</v>
      </c>
      <c r="DJ81" s="187">
        <f>DC81-DF81-DH81</f>
        <v>0</v>
      </c>
      <c r="DK81" s="236">
        <f>IF(AND(DB81&gt;0,DC81&gt;0),0,DF81)</f>
        <v>0</v>
      </c>
      <c r="DL81" s="220">
        <f>IF($B81="",0,SUMIFS(采购进货!$E$4:$E$1503,采购进货!$D$4:$D$1503,$B81,采购进货!$B$4:$B$1503,"&gt;="&amp;DATE(年度,10,1),采购进货!$B$4:$B$1503,"&lt;"&amp;DATE(年度,10+1,1))+SUMIFS(采购进货!$H$4:$H$1503,采购进货!$D$4:$D$1503,$B81,采购进货!$B$4:$B$1503,"&gt;="&amp;DATE(年度,10,1),采购进货!$B$4:$B$1503,"&lt;"&amp;DATE(年度,10+1,1)))</f>
        <v>0</v>
      </c>
      <c r="DM81" s="186">
        <f>IF($B81="",0,SUMIFS(采购进货!$G$4:$G$1503,采购进货!$D$4:$D$1503,$B81,采购进货!$B$4:$B$1503,"&gt;="&amp;DATE(年度,10,1),采购进货!$B$4:$B$1503,"&lt;"&amp;DATE(年度,10+1,1)))</f>
        <v>0</v>
      </c>
      <c r="DN81" s="234">
        <f>DI81+DL81</f>
        <v>0</v>
      </c>
      <c r="DO81" s="235">
        <f>DJ81+DM81</f>
        <v>0</v>
      </c>
      <c r="DP81" s="222">
        <f>IF(AND(DN81&gt;0,DO81&gt;0),DO81/DN81,N($E81))</f>
        <v>0</v>
      </c>
      <c r="DQ81" s="220">
        <f>IF($B81="",0,SUMIFS(出库明细!$E$4:$E$3003,出库明细!$D$4:$D$3003,$B81,出库明细!$B$4:$B$3003,"&gt;="&amp;DATE(年度,10,1),出库明细!$B$4:$B$3003,"&lt;"&amp;DATE(年度,10+1,1)))</f>
        <v>0</v>
      </c>
      <c r="DR81" s="186">
        <f>DQ81*DP81</f>
        <v>0</v>
      </c>
      <c r="DS81" s="220">
        <f>_辅助!BV79</f>
        <v>0</v>
      </c>
      <c r="DT81" s="186">
        <f>_辅助!AL79</f>
        <v>0</v>
      </c>
      <c r="DU81" s="221">
        <f>DN81-DQ81-DS81</f>
        <v>0</v>
      </c>
      <c r="DV81" s="187">
        <f>DO81-DR81-DT81</f>
        <v>0</v>
      </c>
      <c r="DW81" s="236">
        <f>IF(AND(DN81&gt;0,DO81&gt;0),0,DR81)</f>
        <v>0</v>
      </c>
      <c r="DX81" s="220">
        <f>IF($B81="",0,SUMIFS(采购进货!$E$4:$E$1503,采购进货!$D$4:$D$1503,$B81,采购进货!$B$4:$B$1503,"&gt;="&amp;DATE(年度,11,1),采购进货!$B$4:$B$1503,"&lt;"&amp;DATE(年度,11+1,1))+SUMIFS(采购进货!$H$4:$H$1503,采购进货!$D$4:$D$1503,$B81,采购进货!$B$4:$B$1503,"&gt;="&amp;DATE(年度,11,1),采购进货!$B$4:$B$1503,"&lt;"&amp;DATE(年度,11+1,1)))</f>
        <v>0</v>
      </c>
      <c r="DY81" s="186">
        <f>IF($B81="",0,SUMIFS(采购进货!$G$4:$G$1503,采购进货!$D$4:$D$1503,$B81,采购进货!$B$4:$B$1503,"&gt;="&amp;DATE(年度,11,1),采购进货!$B$4:$B$1503,"&lt;"&amp;DATE(年度,11+1,1)))</f>
        <v>0</v>
      </c>
      <c r="DZ81" s="234">
        <f>DU81+DX81</f>
        <v>0</v>
      </c>
      <c r="EA81" s="235">
        <f>DV81+DY81</f>
        <v>0</v>
      </c>
      <c r="EB81" s="222">
        <f>IF(AND(DZ81&gt;0,EA81&gt;0),EA81/DZ81,N($E81))</f>
        <v>0</v>
      </c>
      <c r="EC81" s="220">
        <f>IF($B81="",0,SUMIFS(出库明细!$E$4:$E$3003,出库明细!$D$4:$D$3003,$B81,出库明细!$B$4:$B$3003,"&gt;="&amp;DATE(年度,11,1),出库明细!$B$4:$B$3003,"&lt;"&amp;DATE(年度,11+1,1)))</f>
        <v>0</v>
      </c>
      <c r="ED81" s="186">
        <f>EC81*EB81</f>
        <v>0</v>
      </c>
      <c r="EE81" s="220">
        <f>_辅助!BW79</f>
        <v>0</v>
      </c>
      <c r="EF81" s="186">
        <f>_辅助!AM79</f>
        <v>0</v>
      </c>
      <c r="EG81" s="221">
        <f>DZ81-EC81-EE81</f>
        <v>0</v>
      </c>
      <c r="EH81" s="187">
        <f>EA81-ED81-EF81</f>
        <v>0</v>
      </c>
      <c r="EI81" s="236">
        <f>IF(AND(DZ81&gt;0,EA81&gt;0),0,ED81)</f>
        <v>0</v>
      </c>
      <c r="EJ81" s="220">
        <f>IF($B81="",0,SUMIFS(采购进货!$E$4:$E$1503,采购进货!$D$4:$D$1503,$B81,采购进货!$B$4:$B$1503,"&gt;="&amp;DATE(年度,12,1),采购进货!$B$4:$B$1503,"&lt;"&amp;DATE(年度,12+1,1))+SUMIFS(采购进货!$H$4:$H$1503,采购进货!$D$4:$D$1503,$B81,采购进货!$B$4:$B$1503,"&gt;="&amp;DATE(年度,12,1),采购进货!$B$4:$B$1503,"&lt;"&amp;DATE(年度,12+1,1)))</f>
        <v>0</v>
      </c>
      <c r="EK81" s="186">
        <f>IF($B81="",0,SUMIFS(采购进货!$G$4:$G$1503,采购进货!$D$4:$D$1503,$B81,采购进货!$B$4:$B$1503,"&gt;="&amp;DATE(年度,12,1),采购进货!$B$4:$B$1503,"&lt;"&amp;DATE(年度,12+1,1)))</f>
        <v>0</v>
      </c>
      <c r="EL81" s="234">
        <f>EG81+EJ81</f>
        <v>0</v>
      </c>
      <c r="EM81" s="235">
        <f>EH81+EK81</f>
        <v>0</v>
      </c>
      <c r="EN81" s="222">
        <f>IF(AND(EL81&gt;0,EM81&gt;0),EM81/EL81,N($E81))</f>
        <v>0</v>
      </c>
      <c r="EO81" s="220">
        <f>IF($B81="",0,SUMIFS(出库明细!$E$4:$E$3003,出库明细!$D$4:$D$3003,$B81,出库明细!$B$4:$B$3003,"&gt;="&amp;DATE(年度,12,1),出库明细!$B$4:$B$3003,"&lt;"&amp;DATE(年度,12+1,1)))</f>
        <v>0</v>
      </c>
      <c r="EP81" s="186">
        <f>EO81*EN81</f>
        <v>0</v>
      </c>
      <c r="EQ81" s="220">
        <f>_辅助!BX79</f>
        <v>0</v>
      </c>
      <c r="ER81" s="186">
        <f>_辅助!AN79</f>
        <v>0</v>
      </c>
      <c r="ES81" s="221">
        <f>EL81-EO81-EQ81</f>
        <v>0</v>
      </c>
      <c r="ET81" s="187">
        <f>EM81-EP81-ER81</f>
        <v>0</v>
      </c>
      <c r="EU81" s="236">
        <f>IF(AND(EL81&gt;0,EM81&gt;0),0,EP81)</f>
        <v>0</v>
      </c>
    </row>
    <row r="82">
      <c r="A82" s="194">
        <f>IF(B82="","",ROW()-7)</f>
      </c>
      <c r="B82" s="141">
        <f>IF(基础资料!E79="","",基础资料!E79&amp;"")</f>
      </c>
      <c r="C82" s="230">
        <f>IF(基础资料!G79="","",基础资料!G79&amp;"")</f>
      </c>
      <c r="D82" s="194">
        <f>IF(基础资料!I79="","",基础资料!I79)</f>
      </c>
      <c r="E82" s="231">
        <f>IF(基础资料!J79="","",基础资料!J79)</f>
      </c>
      <c r="F82" s="232">
        <f>N(基础资料!L79)</f>
        <v>0</v>
      </c>
      <c r="G82" s="233">
        <f>IF(基础资料!N79="",0,基础资料!N79)</f>
        <v>0</v>
      </c>
      <c r="H82" s="220">
        <f>IF($B82="",0,SUMIFS(采购进货!$E$4:$E$1503,采购进货!$D$4:$D$1503,$B82,采购进货!$B$4:$B$1503,"&gt;="&amp;DATE(年度,1,1),采购进货!$B$4:$B$1503,"&lt;"&amp;DATE(年度,1+1,1))+SUMIFS(采购进货!$H$4:$H$1503,采购进货!$D$4:$D$1503,$B82,采购进货!$B$4:$B$1503,"&gt;="&amp;DATE(年度,1,1),采购进货!$B$4:$B$1503,"&lt;"&amp;DATE(年度,1+1,1)))</f>
        <v>0</v>
      </c>
      <c r="I82" s="186">
        <f>IF($B82="",0,SUMIFS(采购进货!$G$4:$G$1503,采购进货!$D$4:$D$1503,$B82,采购进货!$B$4:$B$1503,"&gt;="&amp;DATE(年度,1,1),采购进货!$B$4:$B$1503,"&lt;"&amp;DATE(年度,1+1,1)))</f>
        <v>0</v>
      </c>
      <c r="J82" s="234">
        <f>F82+H82</f>
        <v>0</v>
      </c>
      <c r="K82" s="235">
        <f>G82+I82</f>
        <v>0</v>
      </c>
      <c r="L82" s="222">
        <f>IF(AND(J82&gt;0,K82&gt;0),K82/J82,N($E82))</f>
        <v>0</v>
      </c>
      <c r="M82" s="220">
        <f>IF($B82="",0,SUMIFS(出库明细!$E$4:$E$3003,出库明细!$D$4:$D$3003,$B82,出库明细!$B$4:$B$3003,"&gt;="&amp;DATE(年度,1,1),出库明细!$B$4:$B$3003,"&lt;"&amp;DATE(年度,1+1,1)))</f>
        <v>0</v>
      </c>
      <c r="N82" s="186">
        <f>M82*L82</f>
        <v>0</v>
      </c>
      <c r="O82" s="220">
        <f>_辅助!BM80</f>
        <v>0</v>
      </c>
      <c r="P82" s="186">
        <f>_辅助!AC80</f>
        <v>0</v>
      </c>
      <c r="Q82" s="221">
        <f>J82-M82-O82</f>
        <v>0</v>
      </c>
      <c r="R82" s="187">
        <f>K82-N82-P82</f>
        <v>0</v>
      </c>
      <c r="S82" s="236">
        <f>IF(AND(J82&gt;0,K82&gt;0),0,N82)</f>
        <v>0</v>
      </c>
      <c r="T82" s="220">
        <f>IF($B82="",0,SUMIFS(采购进货!$E$4:$E$1503,采购进货!$D$4:$D$1503,$B82,采购进货!$B$4:$B$1503,"&gt;="&amp;DATE(年度,2,1),采购进货!$B$4:$B$1503,"&lt;"&amp;DATE(年度,2+1,1))+SUMIFS(采购进货!$H$4:$H$1503,采购进货!$D$4:$D$1503,$B82,采购进货!$B$4:$B$1503,"&gt;="&amp;DATE(年度,2,1),采购进货!$B$4:$B$1503,"&lt;"&amp;DATE(年度,2+1,1)))</f>
        <v>0</v>
      </c>
      <c r="U82" s="186">
        <f>IF($B82="",0,SUMIFS(采购进货!$G$4:$G$1503,采购进货!$D$4:$D$1503,$B82,采购进货!$B$4:$B$1503,"&gt;="&amp;DATE(年度,2,1),采购进货!$B$4:$B$1503,"&lt;"&amp;DATE(年度,2+1,1)))</f>
        <v>0</v>
      </c>
      <c r="V82" s="234">
        <f>Q82+T82</f>
        <v>0</v>
      </c>
      <c r="W82" s="235">
        <f>R82+U82</f>
        <v>0</v>
      </c>
      <c r="X82" s="222">
        <f>IF(AND(V82&gt;0,W82&gt;0),W82/V82,N($E82))</f>
        <v>0</v>
      </c>
      <c r="Y82" s="220">
        <f>IF($B82="",0,SUMIFS(出库明细!$E$4:$E$3003,出库明细!$D$4:$D$3003,$B82,出库明细!$B$4:$B$3003,"&gt;="&amp;DATE(年度,2,1),出库明细!$B$4:$B$3003,"&lt;"&amp;DATE(年度,2+1,1)))</f>
        <v>0</v>
      </c>
      <c r="Z82" s="186">
        <f>Y82*X82</f>
        <v>0</v>
      </c>
      <c r="AA82" s="220">
        <f>_辅助!BN80</f>
        <v>0</v>
      </c>
      <c r="AB82" s="186">
        <f>_辅助!AD80</f>
        <v>0</v>
      </c>
      <c r="AC82" s="221">
        <f>V82-Y82-AA82</f>
        <v>0</v>
      </c>
      <c r="AD82" s="187">
        <f>W82-Z82-AB82</f>
        <v>0</v>
      </c>
      <c r="AE82" s="236">
        <f>IF(AND(V82&gt;0,W82&gt;0),0,Z82)</f>
        <v>0</v>
      </c>
      <c r="AF82" s="220">
        <f>IF($B82="",0,SUMIFS(采购进货!$E$4:$E$1503,采购进货!$D$4:$D$1503,$B82,采购进货!$B$4:$B$1503,"&gt;="&amp;DATE(年度,3,1),采购进货!$B$4:$B$1503,"&lt;"&amp;DATE(年度,3+1,1))+SUMIFS(采购进货!$H$4:$H$1503,采购进货!$D$4:$D$1503,$B82,采购进货!$B$4:$B$1503,"&gt;="&amp;DATE(年度,3,1),采购进货!$B$4:$B$1503,"&lt;"&amp;DATE(年度,3+1,1)))</f>
        <v>0</v>
      </c>
      <c r="AG82" s="186">
        <f>IF($B82="",0,SUMIFS(采购进货!$G$4:$G$1503,采购进货!$D$4:$D$1503,$B82,采购进货!$B$4:$B$1503,"&gt;="&amp;DATE(年度,3,1),采购进货!$B$4:$B$1503,"&lt;"&amp;DATE(年度,3+1,1)))</f>
        <v>0</v>
      </c>
      <c r="AH82" s="234">
        <f>AC82+AF82</f>
        <v>0</v>
      </c>
      <c r="AI82" s="235">
        <f>AD82+AG82</f>
        <v>0</v>
      </c>
      <c r="AJ82" s="222">
        <f>IF(AND(AH82&gt;0,AI82&gt;0),AI82/AH82,N($E82))</f>
        <v>0</v>
      </c>
      <c r="AK82" s="220">
        <f>IF($B82="",0,SUMIFS(出库明细!$E$4:$E$3003,出库明细!$D$4:$D$3003,$B82,出库明细!$B$4:$B$3003,"&gt;="&amp;DATE(年度,3,1),出库明细!$B$4:$B$3003,"&lt;"&amp;DATE(年度,3+1,1)))</f>
        <v>0</v>
      </c>
      <c r="AL82" s="186">
        <f>AK82*AJ82</f>
        <v>0</v>
      </c>
      <c r="AM82" s="220">
        <f>_辅助!BO80</f>
        <v>0</v>
      </c>
      <c r="AN82" s="186">
        <f>_辅助!AE80</f>
        <v>0</v>
      </c>
      <c r="AO82" s="221">
        <f>AH82-AK82-AM82</f>
        <v>0</v>
      </c>
      <c r="AP82" s="187">
        <f>AI82-AL82-AN82</f>
        <v>0</v>
      </c>
      <c r="AQ82" s="236">
        <f>IF(AND(AH82&gt;0,AI82&gt;0),0,AL82)</f>
        <v>0</v>
      </c>
      <c r="AR82" s="220">
        <f>IF($B82="",0,SUMIFS(采购进货!$E$4:$E$1503,采购进货!$D$4:$D$1503,$B82,采购进货!$B$4:$B$1503,"&gt;="&amp;DATE(年度,4,1),采购进货!$B$4:$B$1503,"&lt;"&amp;DATE(年度,4+1,1))+SUMIFS(采购进货!$H$4:$H$1503,采购进货!$D$4:$D$1503,$B82,采购进货!$B$4:$B$1503,"&gt;="&amp;DATE(年度,4,1),采购进货!$B$4:$B$1503,"&lt;"&amp;DATE(年度,4+1,1)))</f>
        <v>0</v>
      </c>
      <c r="AS82" s="186">
        <f>IF($B82="",0,SUMIFS(采购进货!$G$4:$G$1503,采购进货!$D$4:$D$1503,$B82,采购进货!$B$4:$B$1503,"&gt;="&amp;DATE(年度,4,1),采购进货!$B$4:$B$1503,"&lt;"&amp;DATE(年度,4+1,1)))</f>
        <v>0</v>
      </c>
      <c r="AT82" s="234">
        <f>AO82+AR82</f>
        <v>0</v>
      </c>
      <c r="AU82" s="235">
        <f>AP82+AS82</f>
        <v>0</v>
      </c>
      <c r="AV82" s="222">
        <f>IF(AND(AT82&gt;0,AU82&gt;0),AU82/AT82,N($E82))</f>
        <v>0</v>
      </c>
      <c r="AW82" s="220">
        <f>IF($B82="",0,SUMIFS(出库明细!$E$4:$E$3003,出库明细!$D$4:$D$3003,$B82,出库明细!$B$4:$B$3003,"&gt;="&amp;DATE(年度,4,1),出库明细!$B$4:$B$3003,"&lt;"&amp;DATE(年度,4+1,1)))</f>
        <v>0</v>
      </c>
      <c r="AX82" s="186">
        <f>AW82*AV82</f>
        <v>0</v>
      </c>
      <c r="AY82" s="220">
        <f>_辅助!BP80</f>
        <v>0</v>
      </c>
      <c r="AZ82" s="186">
        <f>_辅助!AF80</f>
        <v>0</v>
      </c>
      <c r="BA82" s="221">
        <f>AT82-AW82-AY82</f>
        <v>0</v>
      </c>
      <c r="BB82" s="187">
        <f>AU82-AX82-AZ82</f>
        <v>0</v>
      </c>
      <c r="BC82" s="236">
        <f>IF(AND(AT82&gt;0,AU82&gt;0),0,AX82)</f>
        <v>0</v>
      </c>
      <c r="BD82" s="220">
        <f>IF($B82="",0,SUMIFS(采购进货!$E$4:$E$1503,采购进货!$D$4:$D$1503,$B82,采购进货!$B$4:$B$1503,"&gt;="&amp;DATE(年度,5,1),采购进货!$B$4:$B$1503,"&lt;"&amp;DATE(年度,5+1,1))+SUMIFS(采购进货!$H$4:$H$1503,采购进货!$D$4:$D$1503,$B82,采购进货!$B$4:$B$1503,"&gt;="&amp;DATE(年度,5,1),采购进货!$B$4:$B$1503,"&lt;"&amp;DATE(年度,5+1,1)))</f>
        <v>0</v>
      </c>
      <c r="BE82" s="186">
        <f>IF($B82="",0,SUMIFS(采购进货!$G$4:$G$1503,采购进货!$D$4:$D$1503,$B82,采购进货!$B$4:$B$1503,"&gt;="&amp;DATE(年度,5,1),采购进货!$B$4:$B$1503,"&lt;"&amp;DATE(年度,5+1,1)))</f>
        <v>0</v>
      </c>
      <c r="BF82" s="234">
        <f>BA82+BD82</f>
        <v>0</v>
      </c>
      <c r="BG82" s="235">
        <f>BB82+BE82</f>
        <v>0</v>
      </c>
      <c r="BH82" s="222">
        <f>IF(AND(BF82&gt;0,BG82&gt;0),BG82/BF82,N($E82))</f>
        <v>0</v>
      </c>
      <c r="BI82" s="220">
        <f>IF($B82="",0,SUMIFS(出库明细!$E$4:$E$3003,出库明细!$D$4:$D$3003,$B82,出库明细!$B$4:$B$3003,"&gt;="&amp;DATE(年度,5,1),出库明细!$B$4:$B$3003,"&lt;"&amp;DATE(年度,5+1,1)))</f>
        <v>0</v>
      </c>
      <c r="BJ82" s="186">
        <f>BI82*BH82</f>
        <v>0</v>
      </c>
      <c r="BK82" s="220">
        <f>_辅助!BQ80</f>
        <v>0</v>
      </c>
      <c r="BL82" s="186">
        <f>_辅助!AG80</f>
        <v>0</v>
      </c>
      <c r="BM82" s="221">
        <f>BF82-BI82-BK82</f>
        <v>0</v>
      </c>
      <c r="BN82" s="187">
        <f>BG82-BJ82-BL82</f>
        <v>0</v>
      </c>
      <c r="BO82" s="236">
        <f>IF(AND(BF82&gt;0,BG82&gt;0),0,BJ82)</f>
        <v>0</v>
      </c>
      <c r="BP82" s="220">
        <f>IF($B82="",0,SUMIFS(采购进货!$E$4:$E$1503,采购进货!$D$4:$D$1503,$B82,采购进货!$B$4:$B$1503,"&gt;="&amp;DATE(年度,6,1),采购进货!$B$4:$B$1503,"&lt;"&amp;DATE(年度,6+1,1))+SUMIFS(采购进货!$H$4:$H$1503,采购进货!$D$4:$D$1503,$B82,采购进货!$B$4:$B$1503,"&gt;="&amp;DATE(年度,6,1),采购进货!$B$4:$B$1503,"&lt;"&amp;DATE(年度,6+1,1)))</f>
        <v>0</v>
      </c>
      <c r="BQ82" s="186">
        <f>IF($B82="",0,SUMIFS(采购进货!$G$4:$G$1503,采购进货!$D$4:$D$1503,$B82,采购进货!$B$4:$B$1503,"&gt;="&amp;DATE(年度,6,1),采购进货!$B$4:$B$1503,"&lt;"&amp;DATE(年度,6+1,1)))</f>
        <v>0</v>
      </c>
      <c r="BR82" s="234">
        <f>BM82+BP82</f>
        <v>0</v>
      </c>
      <c r="BS82" s="235">
        <f>BN82+BQ82</f>
        <v>0</v>
      </c>
      <c r="BT82" s="222">
        <f>IF(AND(BR82&gt;0,BS82&gt;0),BS82/BR82,N($E82))</f>
        <v>0</v>
      </c>
      <c r="BU82" s="220">
        <f>IF($B82="",0,SUMIFS(出库明细!$E$4:$E$3003,出库明细!$D$4:$D$3003,$B82,出库明细!$B$4:$B$3003,"&gt;="&amp;DATE(年度,6,1),出库明细!$B$4:$B$3003,"&lt;"&amp;DATE(年度,6+1,1)))</f>
        <v>0</v>
      </c>
      <c r="BV82" s="186">
        <f>BU82*BT82</f>
        <v>0</v>
      </c>
      <c r="BW82" s="220">
        <f>_辅助!BR80</f>
        <v>0</v>
      </c>
      <c r="BX82" s="186">
        <f>_辅助!AH80</f>
        <v>0</v>
      </c>
      <c r="BY82" s="221">
        <f>BR82-BU82-BW82</f>
        <v>0</v>
      </c>
      <c r="BZ82" s="187">
        <f>BS82-BV82-BX82</f>
        <v>0</v>
      </c>
      <c r="CA82" s="236">
        <f>IF(AND(BR82&gt;0,BS82&gt;0),0,BV82)</f>
        <v>0</v>
      </c>
      <c r="CB82" s="220">
        <f>IF($B82="",0,SUMIFS(采购进货!$E$4:$E$1503,采购进货!$D$4:$D$1503,$B82,采购进货!$B$4:$B$1503,"&gt;="&amp;DATE(年度,7,1),采购进货!$B$4:$B$1503,"&lt;"&amp;DATE(年度,7+1,1))+SUMIFS(采购进货!$H$4:$H$1503,采购进货!$D$4:$D$1503,$B82,采购进货!$B$4:$B$1503,"&gt;="&amp;DATE(年度,7,1),采购进货!$B$4:$B$1503,"&lt;"&amp;DATE(年度,7+1,1)))</f>
        <v>0</v>
      </c>
      <c r="CC82" s="186">
        <f>IF($B82="",0,SUMIFS(采购进货!$G$4:$G$1503,采购进货!$D$4:$D$1503,$B82,采购进货!$B$4:$B$1503,"&gt;="&amp;DATE(年度,7,1),采购进货!$B$4:$B$1503,"&lt;"&amp;DATE(年度,7+1,1)))</f>
        <v>0</v>
      </c>
      <c r="CD82" s="234">
        <f>BY82+CB82</f>
        <v>0</v>
      </c>
      <c r="CE82" s="235">
        <f>BZ82+CC82</f>
        <v>0</v>
      </c>
      <c r="CF82" s="222">
        <f>IF(AND(CD82&gt;0,CE82&gt;0),CE82/CD82,N($E82))</f>
        <v>0</v>
      </c>
      <c r="CG82" s="220">
        <f>IF($B82="",0,SUMIFS(出库明细!$E$4:$E$3003,出库明细!$D$4:$D$3003,$B82,出库明细!$B$4:$B$3003,"&gt;="&amp;DATE(年度,7,1),出库明细!$B$4:$B$3003,"&lt;"&amp;DATE(年度,7+1,1)))</f>
        <v>0</v>
      </c>
      <c r="CH82" s="186">
        <f>CG82*CF82</f>
        <v>0</v>
      </c>
      <c r="CI82" s="220">
        <f>_辅助!BS80</f>
        <v>0</v>
      </c>
      <c r="CJ82" s="186">
        <f>_辅助!AI80</f>
        <v>0</v>
      </c>
      <c r="CK82" s="221">
        <f>CD82-CG82-CI82</f>
        <v>0</v>
      </c>
      <c r="CL82" s="187">
        <f>CE82-CH82-CJ82</f>
        <v>0</v>
      </c>
      <c r="CM82" s="236">
        <f>IF(AND(CD82&gt;0,CE82&gt;0),0,CH82)</f>
        <v>0</v>
      </c>
      <c r="CN82" s="220">
        <f>IF($B82="",0,SUMIFS(采购进货!$E$4:$E$1503,采购进货!$D$4:$D$1503,$B82,采购进货!$B$4:$B$1503,"&gt;="&amp;DATE(年度,8,1),采购进货!$B$4:$B$1503,"&lt;"&amp;DATE(年度,8+1,1))+SUMIFS(采购进货!$H$4:$H$1503,采购进货!$D$4:$D$1503,$B82,采购进货!$B$4:$B$1503,"&gt;="&amp;DATE(年度,8,1),采购进货!$B$4:$B$1503,"&lt;"&amp;DATE(年度,8+1,1)))</f>
        <v>0</v>
      </c>
      <c r="CO82" s="186">
        <f>IF($B82="",0,SUMIFS(采购进货!$G$4:$G$1503,采购进货!$D$4:$D$1503,$B82,采购进货!$B$4:$B$1503,"&gt;="&amp;DATE(年度,8,1),采购进货!$B$4:$B$1503,"&lt;"&amp;DATE(年度,8+1,1)))</f>
        <v>0</v>
      </c>
      <c r="CP82" s="234">
        <f>CK82+CN82</f>
        <v>0</v>
      </c>
      <c r="CQ82" s="235">
        <f>CL82+CO82</f>
        <v>0</v>
      </c>
      <c r="CR82" s="222">
        <f>IF(AND(CP82&gt;0,CQ82&gt;0),CQ82/CP82,N($E82))</f>
        <v>0</v>
      </c>
      <c r="CS82" s="220">
        <f>IF($B82="",0,SUMIFS(出库明细!$E$4:$E$3003,出库明细!$D$4:$D$3003,$B82,出库明细!$B$4:$B$3003,"&gt;="&amp;DATE(年度,8,1),出库明细!$B$4:$B$3003,"&lt;"&amp;DATE(年度,8+1,1)))</f>
        <v>0</v>
      </c>
      <c r="CT82" s="186">
        <f>CS82*CR82</f>
        <v>0</v>
      </c>
      <c r="CU82" s="220">
        <f>_辅助!BT80</f>
        <v>0</v>
      </c>
      <c r="CV82" s="186">
        <f>_辅助!AJ80</f>
        <v>0</v>
      </c>
      <c r="CW82" s="221">
        <f>CP82-CS82-CU82</f>
        <v>0</v>
      </c>
      <c r="CX82" s="187">
        <f>CQ82-CT82-CV82</f>
        <v>0</v>
      </c>
      <c r="CY82" s="236">
        <f>IF(AND(CP82&gt;0,CQ82&gt;0),0,CT82)</f>
        <v>0</v>
      </c>
      <c r="CZ82" s="220">
        <f>IF($B82="",0,SUMIFS(采购进货!$E$4:$E$1503,采购进货!$D$4:$D$1503,$B82,采购进货!$B$4:$B$1503,"&gt;="&amp;DATE(年度,9,1),采购进货!$B$4:$B$1503,"&lt;"&amp;DATE(年度,9+1,1))+SUMIFS(采购进货!$H$4:$H$1503,采购进货!$D$4:$D$1503,$B82,采购进货!$B$4:$B$1503,"&gt;="&amp;DATE(年度,9,1),采购进货!$B$4:$B$1503,"&lt;"&amp;DATE(年度,9+1,1)))</f>
        <v>0</v>
      </c>
      <c r="DA82" s="186">
        <f>IF($B82="",0,SUMIFS(采购进货!$G$4:$G$1503,采购进货!$D$4:$D$1503,$B82,采购进货!$B$4:$B$1503,"&gt;="&amp;DATE(年度,9,1),采购进货!$B$4:$B$1503,"&lt;"&amp;DATE(年度,9+1,1)))</f>
        <v>0</v>
      </c>
      <c r="DB82" s="234">
        <f>CW82+CZ82</f>
        <v>0</v>
      </c>
      <c r="DC82" s="235">
        <f>CX82+DA82</f>
        <v>0</v>
      </c>
      <c r="DD82" s="222">
        <f>IF(AND(DB82&gt;0,DC82&gt;0),DC82/DB82,N($E82))</f>
        <v>0</v>
      </c>
      <c r="DE82" s="220">
        <f>IF($B82="",0,SUMIFS(出库明细!$E$4:$E$3003,出库明细!$D$4:$D$3003,$B82,出库明细!$B$4:$B$3003,"&gt;="&amp;DATE(年度,9,1),出库明细!$B$4:$B$3003,"&lt;"&amp;DATE(年度,9+1,1)))</f>
        <v>0</v>
      </c>
      <c r="DF82" s="186">
        <f>DE82*DD82</f>
        <v>0</v>
      </c>
      <c r="DG82" s="220">
        <f>_辅助!BU80</f>
        <v>0</v>
      </c>
      <c r="DH82" s="186">
        <f>_辅助!AK80</f>
        <v>0</v>
      </c>
      <c r="DI82" s="221">
        <f>DB82-DE82-DG82</f>
        <v>0</v>
      </c>
      <c r="DJ82" s="187">
        <f>DC82-DF82-DH82</f>
        <v>0</v>
      </c>
      <c r="DK82" s="236">
        <f>IF(AND(DB82&gt;0,DC82&gt;0),0,DF82)</f>
        <v>0</v>
      </c>
      <c r="DL82" s="220">
        <f>IF($B82="",0,SUMIFS(采购进货!$E$4:$E$1503,采购进货!$D$4:$D$1503,$B82,采购进货!$B$4:$B$1503,"&gt;="&amp;DATE(年度,10,1),采购进货!$B$4:$B$1503,"&lt;"&amp;DATE(年度,10+1,1))+SUMIFS(采购进货!$H$4:$H$1503,采购进货!$D$4:$D$1503,$B82,采购进货!$B$4:$B$1503,"&gt;="&amp;DATE(年度,10,1),采购进货!$B$4:$B$1503,"&lt;"&amp;DATE(年度,10+1,1)))</f>
        <v>0</v>
      </c>
      <c r="DM82" s="186">
        <f>IF($B82="",0,SUMIFS(采购进货!$G$4:$G$1503,采购进货!$D$4:$D$1503,$B82,采购进货!$B$4:$B$1503,"&gt;="&amp;DATE(年度,10,1),采购进货!$B$4:$B$1503,"&lt;"&amp;DATE(年度,10+1,1)))</f>
        <v>0</v>
      </c>
      <c r="DN82" s="234">
        <f>DI82+DL82</f>
        <v>0</v>
      </c>
      <c r="DO82" s="235">
        <f>DJ82+DM82</f>
        <v>0</v>
      </c>
      <c r="DP82" s="222">
        <f>IF(AND(DN82&gt;0,DO82&gt;0),DO82/DN82,N($E82))</f>
        <v>0</v>
      </c>
      <c r="DQ82" s="220">
        <f>IF($B82="",0,SUMIFS(出库明细!$E$4:$E$3003,出库明细!$D$4:$D$3003,$B82,出库明细!$B$4:$B$3003,"&gt;="&amp;DATE(年度,10,1),出库明细!$B$4:$B$3003,"&lt;"&amp;DATE(年度,10+1,1)))</f>
        <v>0</v>
      </c>
      <c r="DR82" s="186">
        <f>DQ82*DP82</f>
        <v>0</v>
      </c>
      <c r="DS82" s="220">
        <f>_辅助!BV80</f>
        <v>0</v>
      </c>
      <c r="DT82" s="186">
        <f>_辅助!AL80</f>
        <v>0</v>
      </c>
      <c r="DU82" s="221">
        <f>DN82-DQ82-DS82</f>
        <v>0</v>
      </c>
      <c r="DV82" s="187">
        <f>DO82-DR82-DT82</f>
        <v>0</v>
      </c>
      <c r="DW82" s="236">
        <f>IF(AND(DN82&gt;0,DO82&gt;0),0,DR82)</f>
        <v>0</v>
      </c>
      <c r="DX82" s="220">
        <f>IF($B82="",0,SUMIFS(采购进货!$E$4:$E$1503,采购进货!$D$4:$D$1503,$B82,采购进货!$B$4:$B$1503,"&gt;="&amp;DATE(年度,11,1),采购进货!$B$4:$B$1503,"&lt;"&amp;DATE(年度,11+1,1))+SUMIFS(采购进货!$H$4:$H$1503,采购进货!$D$4:$D$1503,$B82,采购进货!$B$4:$B$1503,"&gt;="&amp;DATE(年度,11,1),采购进货!$B$4:$B$1503,"&lt;"&amp;DATE(年度,11+1,1)))</f>
        <v>0</v>
      </c>
      <c r="DY82" s="186">
        <f>IF($B82="",0,SUMIFS(采购进货!$G$4:$G$1503,采购进货!$D$4:$D$1503,$B82,采购进货!$B$4:$B$1503,"&gt;="&amp;DATE(年度,11,1),采购进货!$B$4:$B$1503,"&lt;"&amp;DATE(年度,11+1,1)))</f>
        <v>0</v>
      </c>
      <c r="DZ82" s="234">
        <f>DU82+DX82</f>
        <v>0</v>
      </c>
      <c r="EA82" s="235">
        <f>DV82+DY82</f>
        <v>0</v>
      </c>
      <c r="EB82" s="222">
        <f>IF(AND(DZ82&gt;0,EA82&gt;0),EA82/DZ82,N($E82))</f>
        <v>0</v>
      </c>
      <c r="EC82" s="220">
        <f>IF($B82="",0,SUMIFS(出库明细!$E$4:$E$3003,出库明细!$D$4:$D$3003,$B82,出库明细!$B$4:$B$3003,"&gt;="&amp;DATE(年度,11,1),出库明细!$B$4:$B$3003,"&lt;"&amp;DATE(年度,11+1,1)))</f>
        <v>0</v>
      </c>
      <c r="ED82" s="186">
        <f>EC82*EB82</f>
        <v>0</v>
      </c>
      <c r="EE82" s="220">
        <f>_辅助!BW80</f>
        <v>0</v>
      </c>
      <c r="EF82" s="186">
        <f>_辅助!AM80</f>
        <v>0</v>
      </c>
      <c r="EG82" s="221">
        <f>DZ82-EC82-EE82</f>
        <v>0</v>
      </c>
      <c r="EH82" s="187">
        <f>EA82-ED82-EF82</f>
        <v>0</v>
      </c>
      <c r="EI82" s="236">
        <f>IF(AND(DZ82&gt;0,EA82&gt;0),0,ED82)</f>
        <v>0</v>
      </c>
      <c r="EJ82" s="220">
        <f>IF($B82="",0,SUMIFS(采购进货!$E$4:$E$1503,采购进货!$D$4:$D$1503,$B82,采购进货!$B$4:$B$1503,"&gt;="&amp;DATE(年度,12,1),采购进货!$B$4:$B$1503,"&lt;"&amp;DATE(年度,12+1,1))+SUMIFS(采购进货!$H$4:$H$1503,采购进货!$D$4:$D$1503,$B82,采购进货!$B$4:$B$1503,"&gt;="&amp;DATE(年度,12,1),采购进货!$B$4:$B$1503,"&lt;"&amp;DATE(年度,12+1,1)))</f>
        <v>0</v>
      </c>
      <c r="EK82" s="186">
        <f>IF($B82="",0,SUMIFS(采购进货!$G$4:$G$1503,采购进货!$D$4:$D$1503,$B82,采购进货!$B$4:$B$1503,"&gt;="&amp;DATE(年度,12,1),采购进货!$B$4:$B$1503,"&lt;"&amp;DATE(年度,12+1,1)))</f>
        <v>0</v>
      </c>
      <c r="EL82" s="234">
        <f>EG82+EJ82</f>
        <v>0</v>
      </c>
      <c r="EM82" s="235">
        <f>EH82+EK82</f>
        <v>0</v>
      </c>
      <c r="EN82" s="222">
        <f>IF(AND(EL82&gt;0,EM82&gt;0),EM82/EL82,N($E82))</f>
        <v>0</v>
      </c>
      <c r="EO82" s="220">
        <f>IF($B82="",0,SUMIFS(出库明细!$E$4:$E$3003,出库明细!$D$4:$D$3003,$B82,出库明细!$B$4:$B$3003,"&gt;="&amp;DATE(年度,12,1),出库明细!$B$4:$B$3003,"&lt;"&amp;DATE(年度,12+1,1)))</f>
        <v>0</v>
      </c>
      <c r="EP82" s="186">
        <f>EO82*EN82</f>
        <v>0</v>
      </c>
      <c r="EQ82" s="220">
        <f>_辅助!BX80</f>
        <v>0</v>
      </c>
      <c r="ER82" s="186">
        <f>_辅助!AN80</f>
        <v>0</v>
      </c>
      <c r="ES82" s="221">
        <f>EL82-EO82-EQ82</f>
        <v>0</v>
      </c>
      <c r="ET82" s="187">
        <f>EM82-EP82-ER82</f>
        <v>0</v>
      </c>
      <c r="EU82" s="236">
        <f>IF(AND(EL82&gt;0,EM82&gt;0),0,EP82)</f>
        <v>0</v>
      </c>
    </row>
    <row r="83">
      <c r="A83" s="194">
        <f>IF(B83="","",ROW()-7)</f>
      </c>
      <c r="B83" s="141">
        <f>IF(基础资料!E80="","",基础资料!E80&amp;"")</f>
      </c>
      <c r="C83" s="230">
        <f>IF(基础资料!G80="","",基础资料!G80&amp;"")</f>
      </c>
      <c r="D83" s="194">
        <f>IF(基础资料!I80="","",基础资料!I80)</f>
      </c>
      <c r="E83" s="231">
        <f>IF(基础资料!J80="","",基础资料!J80)</f>
      </c>
      <c r="F83" s="232">
        <f>N(基础资料!L80)</f>
        <v>0</v>
      </c>
      <c r="G83" s="233">
        <f>IF(基础资料!N80="",0,基础资料!N80)</f>
        <v>0</v>
      </c>
      <c r="H83" s="220">
        <f>IF($B83="",0,SUMIFS(采购进货!$E$4:$E$1503,采购进货!$D$4:$D$1503,$B83,采购进货!$B$4:$B$1503,"&gt;="&amp;DATE(年度,1,1),采购进货!$B$4:$B$1503,"&lt;"&amp;DATE(年度,1+1,1))+SUMIFS(采购进货!$H$4:$H$1503,采购进货!$D$4:$D$1503,$B83,采购进货!$B$4:$B$1503,"&gt;="&amp;DATE(年度,1,1),采购进货!$B$4:$B$1503,"&lt;"&amp;DATE(年度,1+1,1)))</f>
        <v>0</v>
      </c>
      <c r="I83" s="186">
        <f>IF($B83="",0,SUMIFS(采购进货!$G$4:$G$1503,采购进货!$D$4:$D$1503,$B83,采购进货!$B$4:$B$1503,"&gt;="&amp;DATE(年度,1,1),采购进货!$B$4:$B$1503,"&lt;"&amp;DATE(年度,1+1,1)))</f>
        <v>0</v>
      </c>
      <c r="J83" s="234">
        <f>F83+H83</f>
        <v>0</v>
      </c>
      <c r="K83" s="235">
        <f>G83+I83</f>
        <v>0</v>
      </c>
      <c r="L83" s="222">
        <f>IF(AND(J83&gt;0,K83&gt;0),K83/J83,N($E83))</f>
        <v>0</v>
      </c>
      <c r="M83" s="220">
        <f>IF($B83="",0,SUMIFS(出库明细!$E$4:$E$3003,出库明细!$D$4:$D$3003,$B83,出库明细!$B$4:$B$3003,"&gt;="&amp;DATE(年度,1,1),出库明细!$B$4:$B$3003,"&lt;"&amp;DATE(年度,1+1,1)))</f>
        <v>0</v>
      </c>
      <c r="N83" s="186">
        <f>M83*L83</f>
        <v>0</v>
      </c>
      <c r="O83" s="220">
        <f>_辅助!BM81</f>
        <v>0</v>
      </c>
      <c r="P83" s="186">
        <f>_辅助!AC81</f>
        <v>0</v>
      </c>
      <c r="Q83" s="221">
        <f>J83-M83-O83</f>
        <v>0</v>
      </c>
      <c r="R83" s="187">
        <f>K83-N83-P83</f>
        <v>0</v>
      </c>
      <c r="S83" s="236">
        <f>IF(AND(J83&gt;0,K83&gt;0),0,N83)</f>
        <v>0</v>
      </c>
      <c r="T83" s="220">
        <f>IF($B83="",0,SUMIFS(采购进货!$E$4:$E$1503,采购进货!$D$4:$D$1503,$B83,采购进货!$B$4:$B$1503,"&gt;="&amp;DATE(年度,2,1),采购进货!$B$4:$B$1503,"&lt;"&amp;DATE(年度,2+1,1))+SUMIFS(采购进货!$H$4:$H$1503,采购进货!$D$4:$D$1503,$B83,采购进货!$B$4:$B$1503,"&gt;="&amp;DATE(年度,2,1),采购进货!$B$4:$B$1503,"&lt;"&amp;DATE(年度,2+1,1)))</f>
        <v>0</v>
      </c>
      <c r="U83" s="186">
        <f>IF($B83="",0,SUMIFS(采购进货!$G$4:$G$1503,采购进货!$D$4:$D$1503,$B83,采购进货!$B$4:$B$1503,"&gt;="&amp;DATE(年度,2,1),采购进货!$B$4:$B$1503,"&lt;"&amp;DATE(年度,2+1,1)))</f>
        <v>0</v>
      </c>
      <c r="V83" s="234">
        <f>Q83+T83</f>
        <v>0</v>
      </c>
      <c r="W83" s="235">
        <f>R83+U83</f>
        <v>0</v>
      </c>
      <c r="X83" s="222">
        <f>IF(AND(V83&gt;0,W83&gt;0),W83/V83,N($E83))</f>
        <v>0</v>
      </c>
      <c r="Y83" s="220">
        <f>IF($B83="",0,SUMIFS(出库明细!$E$4:$E$3003,出库明细!$D$4:$D$3003,$B83,出库明细!$B$4:$B$3003,"&gt;="&amp;DATE(年度,2,1),出库明细!$B$4:$B$3003,"&lt;"&amp;DATE(年度,2+1,1)))</f>
        <v>0</v>
      </c>
      <c r="Z83" s="186">
        <f>Y83*X83</f>
        <v>0</v>
      </c>
      <c r="AA83" s="220">
        <f>_辅助!BN81</f>
        <v>0</v>
      </c>
      <c r="AB83" s="186">
        <f>_辅助!AD81</f>
        <v>0</v>
      </c>
      <c r="AC83" s="221">
        <f>V83-Y83-AA83</f>
        <v>0</v>
      </c>
      <c r="AD83" s="187">
        <f>W83-Z83-AB83</f>
        <v>0</v>
      </c>
      <c r="AE83" s="236">
        <f>IF(AND(V83&gt;0,W83&gt;0),0,Z83)</f>
        <v>0</v>
      </c>
      <c r="AF83" s="220">
        <f>IF($B83="",0,SUMIFS(采购进货!$E$4:$E$1503,采购进货!$D$4:$D$1503,$B83,采购进货!$B$4:$B$1503,"&gt;="&amp;DATE(年度,3,1),采购进货!$B$4:$B$1503,"&lt;"&amp;DATE(年度,3+1,1))+SUMIFS(采购进货!$H$4:$H$1503,采购进货!$D$4:$D$1503,$B83,采购进货!$B$4:$B$1503,"&gt;="&amp;DATE(年度,3,1),采购进货!$B$4:$B$1503,"&lt;"&amp;DATE(年度,3+1,1)))</f>
        <v>0</v>
      </c>
      <c r="AG83" s="186">
        <f>IF($B83="",0,SUMIFS(采购进货!$G$4:$G$1503,采购进货!$D$4:$D$1503,$B83,采购进货!$B$4:$B$1503,"&gt;="&amp;DATE(年度,3,1),采购进货!$B$4:$B$1503,"&lt;"&amp;DATE(年度,3+1,1)))</f>
        <v>0</v>
      </c>
      <c r="AH83" s="234">
        <f>AC83+AF83</f>
        <v>0</v>
      </c>
      <c r="AI83" s="235">
        <f>AD83+AG83</f>
        <v>0</v>
      </c>
      <c r="AJ83" s="222">
        <f>IF(AND(AH83&gt;0,AI83&gt;0),AI83/AH83,N($E83))</f>
        <v>0</v>
      </c>
      <c r="AK83" s="220">
        <f>IF($B83="",0,SUMIFS(出库明细!$E$4:$E$3003,出库明细!$D$4:$D$3003,$B83,出库明细!$B$4:$B$3003,"&gt;="&amp;DATE(年度,3,1),出库明细!$B$4:$B$3003,"&lt;"&amp;DATE(年度,3+1,1)))</f>
        <v>0</v>
      </c>
      <c r="AL83" s="186">
        <f>AK83*AJ83</f>
        <v>0</v>
      </c>
      <c r="AM83" s="220">
        <f>_辅助!BO81</f>
        <v>0</v>
      </c>
      <c r="AN83" s="186">
        <f>_辅助!AE81</f>
        <v>0</v>
      </c>
      <c r="AO83" s="221">
        <f>AH83-AK83-AM83</f>
        <v>0</v>
      </c>
      <c r="AP83" s="187">
        <f>AI83-AL83-AN83</f>
        <v>0</v>
      </c>
      <c r="AQ83" s="236">
        <f>IF(AND(AH83&gt;0,AI83&gt;0),0,AL83)</f>
        <v>0</v>
      </c>
      <c r="AR83" s="220">
        <f>IF($B83="",0,SUMIFS(采购进货!$E$4:$E$1503,采购进货!$D$4:$D$1503,$B83,采购进货!$B$4:$B$1503,"&gt;="&amp;DATE(年度,4,1),采购进货!$B$4:$B$1503,"&lt;"&amp;DATE(年度,4+1,1))+SUMIFS(采购进货!$H$4:$H$1503,采购进货!$D$4:$D$1503,$B83,采购进货!$B$4:$B$1503,"&gt;="&amp;DATE(年度,4,1),采购进货!$B$4:$B$1503,"&lt;"&amp;DATE(年度,4+1,1)))</f>
        <v>0</v>
      </c>
      <c r="AS83" s="186">
        <f>IF($B83="",0,SUMIFS(采购进货!$G$4:$G$1503,采购进货!$D$4:$D$1503,$B83,采购进货!$B$4:$B$1503,"&gt;="&amp;DATE(年度,4,1),采购进货!$B$4:$B$1503,"&lt;"&amp;DATE(年度,4+1,1)))</f>
        <v>0</v>
      </c>
      <c r="AT83" s="234">
        <f>AO83+AR83</f>
        <v>0</v>
      </c>
      <c r="AU83" s="235">
        <f>AP83+AS83</f>
        <v>0</v>
      </c>
      <c r="AV83" s="222">
        <f>IF(AND(AT83&gt;0,AU83&gt;0),AU83/AT83,N($E83))</f>
        <v>0</v>
      </c>
      <c r="AW83" s="220">
        <f>IF($B83="",0,SUMIFS(出库明细!$E$4:$E$3003,出库明细!$D$4:$D$3003,$B83,出库明细!$B$4:$B$3003,"&gt;="&amp;DATE(年度,4,1),出库明细!$B$4:$B$3003,"&lt;"&amp;DATE(年度,4+1,1)))</f>
        <v>0</v>
      </c>
      <c r="AX83" s="186">
        <f>AW83*AV83</f>
        <v>0</v>
      </c>
      <c r="AY83" s="220">
        <f>_辅助!BP81</f>
        <v>0</v>
      </c>
      <c r="AZ83" s="186">
        <f>_辅助!AF81</f>
        <v>0</v>
      </c>
      <c r="BA83" s="221">
        <f>AT83-AW83-AY83</f>
        <v>0</v>
      </c>
      <c r="BB83" s="187">
        <f>AU83-AX83-AZ83</f>
        <v>0</v>
      </c>
      <c r="BC83" s="236">
        <f>IF(AND(AT83&gt;0,AU83&gt;0),0,AX83)</f>
        <v>0</v>
      </c>
      <c r="BD83" s="220">
        <f>IF($B83="",0,SUMIFS(采购进货!$E$4:$E$1503,采购进货!$D$4:$D$1503,$B83,采购进货!$B$4:$B$1503,"&gt;="&amp;DATE(年度,5,1),采购进货!$B$4:$B$1503,"&lt;"&amp;DATE(年度,5+1,1))+SUMIFS(采购进货!$H$4:$H$1503,采购进货!$D$4:$D$1503,$B83,采购进货!$B$4:$B$1503,"&gt;="&amp;DATE(年度,5,1),采购进货!$B$4:$B$1503,"&lt;"&amp;DATE(年度,5+1,1)))</f>
        <v>0</v>
      </c>
      <c r="BE83" s="186">
        <f>IF($B83="",0,SUMIFS(采购进货!$G$4:$G$1503,采购进货!$D$4:$D$1503,$B83,采购进货!$B$4:$B$1503,"&gt;="&amp;DATE(年度,5,1),采购进货!$B$4:$B$1503,"&lt;"&amp;DATE(年度,5+1,1)))</f>
        <v>0</v>
      </c>
      <c r="BF83" s="234">
        <f>BA83+BD83</f>
        <v>0</v>
      </c>
      <c r="BG83" s="235">
        <f>BB83+BE83</f>
        <v>0</v>
      </c>
      <c r="BH83" s="222">
        <f>IF(AND(BF83&gt;0,BG83&gt;0),BG83/BF83,N($E83))</f>
        <v>0</v>
      </c>
      <c r="BI83" s="220">
        <f>IF($B83="",0,SUMIFS(出库明细!$E$4:$E$3003,出库明细!$D$4:$D$3003,$B83,出库明细!$B$4:$B$3003,"&gt;="&amp;DATE(年度,5,1),出库明细!$B$4:$B$3003,"&lt;"&amp;DATE(年度,5+1,1)))</f>
        <v>0</v>
      </c>
      <c r="BJ83" s="186">
        <f>BI83*BH83</f>
        <v>0</v>
      </c>
      <c r="BK83" s="220">
        <f>_辅助!BQ81</f>
        <v>0</v>
      </c>
      <c r="BL83" s="186">
        <f>_辅助!AG81</f>
        <v>0</v>
      </c>
      <c r="BM83" s="221">
        <f>BF83-BI83-BK83</f>
        <v>0</v>
      </c>
      <c r="BN83" s="187">
        <f>BG83-BJ83-BL83</f>
        <v>0</v>
      </c>
      <c r="BO83" s="236">
        <f>IF(AND(BF83&gt;0,BG83&gt;0),0,BJ83)</f>
        <v>0</v>
      </c>
      <c r="BP83" s="220">
        <f>IF($B83="",0,SUMIFS(采购进货!$E$4:$E$1503,采购进货!$D$4:$D$1503,$B83,采购进货!$B$4:$B$1503,"&gt;="&amp;DATE(年度,6,1),采购进货!$B$4:$B$1503,"&lt;"&amp;DATE(年度,6+1,1))+SUMIFS(采购进货!$H$4:$H$1503,采购进货!$D$4:$D$1503,$B83,采购进货!$B$4:$B$1503,"&gt;="&amp;DATE(年度,6,1),采购进货!$B$4:$B$1503,"&lt;"&amp;DATE(年度,6+1,1)))</f>
        <v>0</v>
      </c>
      <c r="BQ83" s="186">
        <f>IF($B83="",0,SUMIFS(采购进货!$G$4:$G$1503,采购进货!$D$4:$D$1503,$B83,采购进货!$B$4:$B$1503,"&gt;="&amp;DATE(年度,6,1),采购进货!$B$4:$B$1503,"&lt;"&amp;DATE(年度,6+1,1)))</f>
        <v>0</v>
      </c>
      <c r="BR83" s="234">
        <f>BM83+BP83</f>
        <v>0</v>
      </c>
      <c r="BS83" s="235">
        <f>BN83+BQ83</f>
        <v>0</v>
      </c>
      <c r="BT83" s="222">
        <f>IF(AND(BR83&gt;0,BS83&gt;0),BS83/BR83,N($E83))</f>
        <v>0</v>
      </c>
      <c r="BU83" s="220">
        <f>IF($B83="",0,SUMIFS(出库明细!$E$4:$E$3003,出库明细!$D$4:$D$3003,$B83,出库明细!$B$4:$B$3003,"&gt;="&amp;DATE(年度,6,1),出库明细!$B$4:$B$3003,"&lt;"&amp;DATE(年度,6+1,1)))</f>
        <v>0</v>
      </c>
      <c r="BV83" s="186">
        <f>BU83*BT83</f>
        <v>0</v>
      </c>
      <c r="BW83" s="220">
        <f>_辅助!BR81</f>
        <v>0</v>
      </c>
      <c r="BX83" s="186">
        <f>_辅助!AH81</f>
        <v>0</v>
      </c>
      <c r="BY83" s="221">
        <f>BR83-BU83-BW83</f>
        <v>0</v>
      </c>
      <c r="BZ83" s="187">
        <f>BS83-BV83-BX83</f>
        <v>0</v>
      </c>
      <c r="CA83" s="236">
        <f>IF(AND(BR83&gt;0,BS83&gt;0),0,BV83)</f>
        <v>0</v>
      </c>
      <c r="CB83" s="220">
        <f>IF($B83="",0,SUMIFS(采购进货!$E$4:$E$1503,采购进货!$D$4:$D$1503,$B83,采购进货!$B$4:$B$1503,"&gt;="&amp;DATE(年度,7,1),采购进货!$B$4:$B$1503,"&lt;"&amp;DATE(年度,7+1,1))+SUMIFS(采购进货!$H$4:$H$1503,采购进货!$D$4:$D$1503,$B83,采购进货!$B$4:$B$1503,"&gt;="&amp;DATE(年度,7,1),采购进货!$B$4:$B$1503,"&lt;"&amp;DATE(年度,7+1,1)))</f>
        <v>0</v>
      </c>
      <c r="CC83" s="186">
        <f>IF($B83="",0,SUMIFS(采购进货!$G$4:$G$1503,采购进货!$D$4:$D$1503,$B83,采购进货!$B$4:$B$1503,"&gt;="&amp;DATE(年度,7,1),采购进货!$B$4:$B$1503,"&lt;"&amp;DATE(年度,7+1,1)))</f>
        <v>0</v>
      </c>
      <c r="CD83" s="234">
        <f>BY83+CB83</f>
        <v>0</v>
      </c>
      <c r="CE83" s="235">
        <f>BZ83+CC83</f>
        <v>0</v>
      </c>
      <c r="CF83" s="222">
        <f>IF(AND(CD83&gt;0,CE83&gt;0),CE83/CD83,N($E83))</f>
        <v>0</v>
      </c>
      <c r="CG83" s="220">
        <f>IF($B83="",0,SUMIFS(出库明细!$E$4:$E$3003,出库明细!$D$4:$D$3003,$B83,出库明细!$B$4:$B$3003,"&gt;="&amp;DATE(年度,7,1),出库明细!$B$4:$B$3003,"&lt;"&amp;DATE(年度,7+1,1)))</f>
        <v>0</v>
      </c>
      <c r="CH83" s="186">
        <f>CG83*CF83</f>
        <v>0</v>
      </c>
      <c r="CI83" s="220">
        <f>_辅助!BS81</f>
        <v>0</v>
      </c>
      <c r="CJ83" s="186">
        <f>_辅助!AI81</f>
        <v>0</v>
      </c>
      <c r="CK83" s="221">
        <f>CD83-CG83-CI83</f>
        <v>0</v>
      </c>
      <c r="CL83" s="187">
        <f>CE83-CH83-CJ83</f>
        <v>0</v>
      </c>
      <c r="CM83" s="236">
        <f>IF(AND(CD83&gt;0,CE83&gt;0),0,CH83)</f>
        <v>0</v>
      </c>
      <c r="CN83" s="220">
        <f>IF($B83="",0,SUMIFS(采购进货!$E$4:$E$1503,采购进货!$D$4:$D$1503,$B83,采购进货!$B$4:$B$1503,"&gt;="&amp;DATE(年度,8,1),采购进货!$B$4:$B$1503,"&lt;"&amp;DATE(年度,8+1,1))+SUMIFS(采购进货!$H$4:$H$1503,采购进货!$D$4:$D$1503,$B83,采购进货!$B$4:$B$1503,"&gt;="&amp;DATE(年度,8,1),采购进货!$B$4:$B$1503,"&lt;"&amp;DATE(年度,8+1,1)))</f>
        <v>0</v>
      </c>
      <c r="CO83" s="186">
        <f>IF($B83="",0,SUMIFS(采购进货!$G$4:$G$1503,采购进货!$D$4:$D$1503,$B83,采购进货!$B$4:$B$1503,"&gt;="&amp;DATE(年度,8,1),采购进货!$B$4:$B$1503,"&lt;"&amp;DATE(年度,8+1,1)))</f>
        <v>0</v>
      </c>
      <c r="CP83" s="234">
        <f>CK83+CN83</f>
        <v>0</v>
      </c>
      <c r="CQ83" s="235">
        <f>CL83+CO83</f>
        <v>0</v>
      </c>
      <c r="CR83" s="222">
        <f>IF(AND(CP83&gt;0,CQ83&gt;0),CQ83/CP83,N($E83))</f>
        <v>0</v>
      </c>
      <c r="CS83" s="220">
        <f>IF($B83="",0,SUMIFS(出库明细!$E$4:$E$3003,出库明细!$D$4:$D$3003,$B83,出库明细!$B$4:$B$3003,"&gt;="&amp;DATE(年度,8,1),出库明细!$B$4:$B$3003,"&lt;"&amp;DATE(年度,8+1,1)))</f>
        <v>0</v>
      </c>
      <c r="CT83" s="186">
        <f>CS83*CR83</f>
        <v>0</v>
      </c>
      <c r="CU83" s="220">
        <f>_辅助!BT81</f>
        <v>0</v>
      </c>
      <c r="CV83" s="186">
        <f>_辅助!AJ81</f>
        <v>0</v>
      </c>
      <c r="CW83" s="221">
        <f>CP83-CS83-CU83</f>
        <v>0</v>
      </c>
      <c r="CX83" s="187">
        <f>CQ83-CT83-CV83</f>
        <v>0</v>
      </c>
      <c r="CY83" s="236">
        <f>IF(AND(CP83&gt;0,CQ83&gt;0),0,CT83)</f>
        <v>0</v>
      </c>
      <c r="CZ83" s="220">
        <f>IF($B83="",0,SUMIFS(采购进货!$E$4:$E$1503,采购进货!$D$4:$D$1503,$B83,采购进货!$B$4:$B$1503,"&gt;="&amp;DATE(年度,9,1),采购进货!$B$4:$B$1503,"&lt;"&amp;DATE(年度,9+1,1))+SUMIFS(采购进货!$H$4:$H$1503,采购进货!$D$4:$D$1503,$B83,采购进货!$B$4:$B$1503,"&gt;="&amp;DATE(年度,9,1),采购进货!$B$4:$B$1503,"&lt;"&amp;DATE(年度,9+1,1)))</f>
        <v>0</v>
      </c>
      <c r="DA83" s="186">
        <f>IF($B83="",0,SUMIFS(采购进货!$G$4:$G$1503,采购进货!$D$4:$D$1503,$B83,采购进货!$B$4:$B$1503,"&gt;="&amp;DATE(年度,9,1),采购进货!$B$4:$B$1503,"&lt;"&amp;DATE(年度,9+1,1)))</f>
        <v>0</v>
      </c>
      <c r="DB83" s="234">
        <f>CW83+CZ83</f>
        <v>0</v>
      </c>
      <c r="DC83" s="235">
        <f>CX83+DA83</f>
        <v>0</v>
      </c>
      <c r="DD83" s="222">
        <f>IF(AND(DB83&gt;0,DC83&gt;0),DC83/DB83,N($E83))</f>
        <v>0</v>
      </c>
      <c r="DE83" s="220">
        <f>IF($B83="",0,SUMIFS(出库明细!$E$4:$E$3003,出库明细!$D$4:$D$3003,$B83,出库明细!$B$4:$B$3003,"&gt;="&amp;DATE(年度,9,1),出库明细!$B$4:$B$3003,"&lt;"&amp;DATE(年度,9+1,1)))</f>
        <v>0</v>
      </c>
      <c r="DF83" s="186">
        <f>DE83*DD83</f>
        <v>0</v>
      </c>
      <c r="DG83" s="220">
        <f>_辅助!BU81</f>
        <v>0</v>
      </c>
      <c r="DH83" s="186">
        <f>_辅助!AK81</f>
        <v>0</v>
      </c>
      <c r="DI83" s="221">
        <f>DB83-DE83-DG83</f>
        <v>0</v>
      </c>
      <c r="DJ83" s="187">
        <f>DC83-DF83-DH83</f>
        <v>0</v>
      </c>
      <c r="DK83" s="236">
        <f>IF(AND(DB83&gt;0,DC83&gt;0),0,DF83)</f>
        <v>0</v>
      </c>
      <c r="DL83" s="220">
        <f>IF($B83="",0,SUMIFS(采购进货!$E$4:$E$1503,采购进货!$D$4:$D$1503,$B83,采购进货!$B$4:$B$1503,"&gt;="&amp;DATE(年度,10,1),采购进货!$B$4:$B$1503,"&lt;"&amp;DATE(年度,10+1,1))+SUMIFS(采购进货!$H$4:$H$1503,采购进货!$D$4:$D$1503,$B83,采购进货!$B$4:$B$1503,"&gt;="&amp;DATE(年度,10,1),采购进货!$B$4:$B$1503,"&lt;"&amp;DATE(年度,10+1,1)))</f>
        <v>0</v>
      </c>
      <c r="DM83" s="186">
        <f>IF($B83="",0,SUMIFS(采购进货!$G$4:$G$1503,采购进货!$D$4:$D$1503,$B83,采购进货!$B$4:$B$1503,"&gt;="&amp;DATE(年度,10,1),采购进货!$B$4:$B$1503,"&lt;"&amp;DATE(年度,10+1,1)))</f>
        <v>0</v>
      </c>
      <c r="DN83" s="234">
        <f>DI83+DL83</f>
        <v>0</v>
      </c>
      <c r="DO83" s="235">
        <f>DJ83+DM83</f>
        <v>0</v>
      </c>
      <c r="DP83" s="222">
        <f>IF(AND(DN83&gt;0,DO83&gt;0),DO83/DN83,N($E83))</f>
        <v>0</v>
      </c>
      <c r="DQ83" s="220">
        <f>IF($B83="",0,SUMIFS(出库明细!$E$4:$E$3003,出库明细!$D$4:$D$3003,$B83,出库明细!$B$4:$B$3003,"&gt;="&amp;DATE(年度,10,1),出库明细!$B$4:$B$3003,"&lt;"&amp;DATE(年度,10+1,1)))</f>
        <v>0</v>
      </c>
      <c r="DR83" s="186">
        <f>DQ83*DP83</f>
        <v>0</v>
      </c>
      <c r="DS83" s="220">
        <f>_辅助!BV81</f>
        <v>0</v>
      </c>
      <c r="DT83" s="186">
        <f>_辅助!AL81</f>
        <v>0</v>
      </c>
      <c r="DU83" s="221">
        <f>DN83-DQ83-DS83</f>
        <v>0</v>
      </c>
      <c r="DV83" s="187">
        <f>DO83-DR83-DT83</f>
        <v>0</v>
      </c>
      <c r="DW83" s="236">
        <f>IF(AND(DN83&gt;0,DO83&gt;0),0,DR83)</f>
        <v>0</v>
      </c>
      <c r="DX83" s="220">
        <f>IF($B83="",0,SUMIFS(采购进货!$E$4:$E$1503,采购进货!$D$4:$D$1503,$B83,采购进货!$B$4:$B$1503,"&gt;="&amp;DATE(年度,11,1),采购进货!$B$4:$B$1503,"&lt;"&amp;DATE(年度,11+1,1))+SUMIFS(采购进货!$H$4:$H$1503,采购进货!$D$4:$D$1503,$B83,采购进货!$B$4:$B$1503,"&gt;="&amp;DATE(年度,11,1),采购进货!$B$4:$B$1503,"&lt;"&amp;DATE(年度,11+1,1)))</f>
        <v>0</v>
      </c>
      <c r="DY83" s="186">
        <f>IF($B83="",0,SUMIFS(采购进货!$G$4:$G$1503,采购进货!$D$4:$D$1503,$B83,采购进货!$B$4:$B$1503,"&gt;="&amp;DATE(年度,11,1),采购进货!$B$4:$B$1503,"&lt;"&amp;DATE(年度,11+1,1)))</f>
        <v>0</v>
      </c>
      <c r="DZ83" s="234">
        <f>DU83+DX83</f>
        <v>0</v>
      </c>
      <c r="EA83" s="235">
        <f>DV83+DY83</f>
        <v>0</v>
      </c>
      <c r="EB83" s="222">
        <f>IF(AND(DZ83&gt;0,EA83&gt;0),EA83/DZ83,N($E83))</f>
        <v>0</v>
      </c>
      <c r="EC83" s="220">
        <f>IF($B83="",0,SUMIFS(出库明细!$E$4:$E$3003,出库明细!$D$4:$D$3003,$B83,出库明细!$B$4:$B$3003,"&gt;="&amp;DATE(年度,11,1),出库明细!$B$4:$B$3003,"&lt;"&amp;DATE(年度,11+1,1)))</f>
        <v>0</v>
      </c>
      <c r="ED83" s="186">
        <f>EC83*EB83</f>
        <v>0</v>
      </c>
      <c r="EE83" s="220">
        <f>_辅助!BW81</f>
        <v>0</v>
      </c>
      <c r="EF83" s="186">
        <f>_辅助!AM81</f>
        <v>0</v>
      </c>
      <c r="EG83" s="221">
        <f>DZ83-EC83-EE83</f>
        <v>0</v>
      </c>
      <c r="EH83" s="187">
        <f>EA83-ED83-EF83</f>
        <v>0</v>
      </c>
      <c r="EI83" s="236">
        <f>IF(AND(DZ83&gt;0,EA83&gt;0),0,ED83)</f>
        <v>0</v>
      </c>
      <c r="EJ83" s="220">
        <f>IF($B83="",0,SUMIFS(采购进货!$E$4:$E$1503,采购进货!$D$4:$D$1503,$B83,采购进货!$B$4:$B$1503,"&gt;="&amp;DATE(年度,12,1),采购进货!$B$4:$B$1503,"&lt;"&amp;DATE(年度,12+1,1))+SUMIFS(采购进货!$H$4:$H$1503,采购进货!$D$4:$D$1503,$B83,采购进货!$B$4:$B$1503,"&gt;="&amp;DATE(年度,12,1),采购进货!$B$4:$B$1503,"&lt;"&amp;DATE(年度,12+1,1)))</f>
        <v>0</v>
      </c>
      <c r="EK83" s="186">
        <f>IF($B83="",0,SUMIFS(采购进货!$G$4:$G$1503,采购进货!$D$4:$D$1503,$B83,采购进货!$B$4:$B$1503,"&gt;="&amp;DATE(年度,12,1),采购进货!$B$4:$B$1503,"&lt;"&amp;DATE(年度,12+1,1)))</f>
        <v>0</v>
      </c>
      <c r="EL83" s="234">
        <f>EG83+EJ83</f>
        <v>0</v>
      </c>
      <c r="EM83" s="235">
        <f>EH83+EK83</f>
        <v>0</v>
      </c>
      <c r="EN83" s="222">
        <f>IF(AND(EL83&gt;0,EM83&gt;0),EM83/EL83,N($E83))</f>
        <v>0</v>
      </c>
      <c r="EO83" s="220">
        <f>IF($B83="",0,SUMIFS(出库明细!$E$4:$E$3003,出库明细!$D$4:$D$3003,$B83,出库明细!$B$4:$B$3003,"&gt;="&amp;DATE(年度,12,1),出库明细!$B$4:$B$3003,"&lt;"&amp;DATE(年度,12+1,1)))</f>
        <v>0</v>
      </c>
      <c r="EP83" s="186">
        <f>EO83*EN83</f>
        <v>0</v>
      </c>
      <c r="EQ83" s="220">
        <f>_辅助!BX81</f>
        <v>0</v>
      </c>
      <c r="ER83" s="186">
        <f>_辅助!AN81</f>
        <v>0</v>
      </c>
      <c r="ES83" s="221">
        <f>EL83-EO83-EQ83</f>
        <v>0</v>
      </c>
      <c r="ET83" s="187">
        <f>EM83-EP83-ER83</f>
        <v>0</v>
      </c>
      <c r="EU83" s="236">
        <f>IF(AND(EL83&gt;0,EM83&gt;0),0,EP83)</f>
        <v>0</v>
      </c>
    </row>
    <row r="84">
      <c r="A84" s="194">
        <f>IF(B84="","",ROW()-7)</f>
      </c>
      <c r="B84" s="141">
        <f>IF(基础资料!E81="","",基础资料!E81&amp;"")</f>
      </c>
      <c r="C84" s="230">
        <f>IF(基础资料!G81="","",基础资料!G81&amp;"")</f>
      </c>
      <c r="D84" s="194">
        <f>IF(基础资料!I81="","",基础资料!I81)</f>
      </c>
      <c r="E84" s="231">
        <f>IF(基础资料!J81="","",基础资料!J81)</f>
      </c>
      <c r="F84" s="232">
        <f>N(基础资料!L81)</f>
        <v>0</v>
      </c>
      <c r="G84" s="233">
        <f>IF(基础资料!N81="",0,基础资料!N81)</f>
        <v>0</v>
      </c>
      <c r="H84" s="220">
        <f>IF($B84="",0,SUMIFS(采购进货!$E$4:$E$1503,采购进货!$D$4:$D$1503,$B84,采购进货!$B$4:$B$1503,"&gt;="&amp;DATE(年度,1,1),采购进货!$B$4:$B$1503,"&lt;"&amp;DATE(年度,1+1,1))+SUMIFS(采购进货!$H$4:$H$1503,采购进货!$D$4:$D$1503,$B84,采购进货!$B$4:$B$1503,"&gt;="&amp;DATE(年度,1,1),采购进货!$B$4:$B$1503,"&lt;"&amp;DATE(年度,1+1,1)))</f>
        <v>0</v>
      </c>
      <c r="I84" s="186">
        <f>IF($B84="",0,SUMIFS(采购进货!$G$4:$G$1503,采购进货!$D$4:$D$1503,$B84,采购进货!$B$4:$B$1503,"&gt;="&amp;DATE(年度,1,1),采购进货!$B$4:$B$1503,"&lt;"&amp;DATE(年度,1+1,1)))</f>
        <v>0</v>
      </c>
      <c r="J84" s="234">
        <f>F84+H84</f>
        <v>0</v>
      </c>
      <c r="K84" s="235">
        <f>G84+I84</f>
        <v>0</v>
      </c>
      <c r="L84" s="222">
        <f>IF(AND(J84&gt;0,K84&gt;0),K84/J84,N($E84))</f>
        <v>0</v>
      </c>
      <c r="M84" s="220">
        <f>IF($B84="",0,SUMIFS(出库明细!$E$4:$E$3003,出库明细!$D$4:$D$3003,$B84,出库明细!$B$4:$B$3003,"&gt;="&amp;DATE(年度,1,1),出库明细!$B$4:$B$3003,"&lt;"&amp;DATE(年度,1+1,1)))</f>
        <v>0</v>
      </c>
      <c r="N84" s="186">
        <f>M84*L84</f>
        <v>0</v>
      </c>
      <c r="O84" s="220">
        <f>_辅助!BM82</f>
        <v>0</v>
      </c>
      <c r="P84" s="186">
        <f>_辅助!AC82</f>
        <v>0</v>
      </c>
      <c r="Q84" s="221">
        <f>J84-M84-O84</f>
        <v>0</v>
      </c>
      <c r="R84" s="187">
        <f>K84-N84-P84</f>
        <v>0</v>
      </c>
      <c r="S84" s="236">
        <f>IF(AND(J84&gt;0,K84&gt;0),0,N84)</f>
        <v>0</v>
      </c>
      <c r="T84" s="220">
        <f>IF($B84="",0,SUMIFS(采购进货!$E$4:$E$1503,采购进货!$D$4:$D$1503,$B84,采购进货!$B$4:$B$1503,"&gt;="&amp;DATE(年度,2,1),采购进货!$B$4:$B$1503,"&lt;"&amp;DATE(年度,2+1,1))+SUMIFS(采购进货!$H$4:$H$1503,采购进货!$D$4:$D$1503,$B84,采购进货!$B$4:$B$1503,"&gt;="&amp;DATE(年度,2,1),采购进货!$B$4:$B$1503,"&lt;"&amp;DATE(年度,2+1,1)))</f>
        <v>0</v>
      </c>
      <c r="U84" s="186">
        <f>IF($B84="",0,SUMIFS(采购进货!$G$4:$G$1503,采购进货!$D$4:$D$1503,$B84,采购进货!$B$4:$B$1503,"&gt;="&amp;DATE(年度,2,1),采购进货!$B$4:$B$1503,"&lt;"&amp;DATE(年度,2+1,1)))</f>
        <v>0</v>
      </c>
      <c r="V84" s="234">
        <f>Q84+T84</f>
        <v>0</v>
      </c>
      <c r="W84" s="235">
        <f>R84+U84</f>
        <v>0</v>
      </c>
      <c r="X84" s="222">
        <f>IF(AND(V84&gt;0,W84&gt;0),W84/V84,N($E84))</f>
        <v>0</v>
      </c>
      <c r="Y84" s="220">
        <f>IF($B84="",0,SUMIFS(出库明细!$E$4:$E$3003,出库明细!$D$4:$D$3003,$B84,出库明细!$B$4:$B$3003,"&gt;="&amp;DATE(年度,2,1),出库明细!$B$4:$B$3003,"&lt;"&amp;DATE(年度,2+1,1)))</f>
        <v>0</v>
      </c>
      <c r="Z84" s="186">
        <f>Y84*X84</f>
        <v>0</v>
      </c>
      <c r="AA84" s="220">
        <f>_辅助!BN82</f>
        <v>0</v>
      </c>
      <c r="AB84" s="186">
        <f>_辅助!AD82</f>
        <v>0</v>
      </c>
      <c r="AC84" s="221">
        <f>V84-Y84-AA84</f>
        <v>0</v>
      </c>
      <c r="AD84" s="187">
        <f>W84-Z84-AB84</f>
        <v>0</v>
      </c>
      <c r="AE84" s="236">
        <f>IF(AND(V84&gt;0,W84&gt;0),0,Z84)</f>
        <v>0</v>
      </c>
      <c r="AF84" s="220">
        <f>IF($B84="",0,SUMIFS(采购进货!$E$4:$E$1503,采购进货!$D$4:$D$1503,$B84,采购进货!$B$4:$B$1503,"&gt;="&amp;DATE(年度,3,1),采购进货!$B$4:$B$1503,"&lt;"&amp;DATE(年度,3+1,1))+SUMIFS(采购进货!$H$4:$H$1503,采购进货!$D$4:$D$1503,$B84,采购进货!$B$4:$B$1503,"&gt;="&amp;DATE(年度,3,1),采购进货!$B$4:$B$1503,"&lt;"&amp;DATE(年度,3+1,1)))</f>
        <v>0</v>
      </c>
      <c r="AG84" s="186">
        <f>IF($B84="",0,SUMIFS(采购进货!$G$4:$G$1503,采购进货!$D$4:$D$1503,$B84,采购进货!$B$4:$B$1503,"&gt;="&amp;DATE(年度,3,1),采购进货!$B$4:$B$1503,"&lt;"&amp;DATE(年度,3+1,1)))</f>
        <v>0</v>
      </c>
      <c r="AH84" s="234">
        <f>AC84+AF84</f>
        <v>0</v>
      </c>
      <c r="AI84" s="235">
        <f>AD84+AG84</f>
        <v>0</v>
      </c>
      <c r="AJ84" s="222">
        <f>IF(AND(AH84&gt;0,AI84&gt;0),AI84/AH84,N($E84))</f>
        <v>0</v>
      </c>
      <c r="AK84" s="220">
        <f>IF($B84="",0,SUMIFS(出库明细!$E$4:$E$3003,出库明细!$D$4:$D$3003,$B84,出库明细!$B$4:$B$3003,"&gt;="&amp;DATE(年度,3,1),出库明细!$B$4:$B$3003,"&lt;"&amp;DATE(年度,3+1,1)))</f>
        <v>0</v>
      </c>
      <c r="AL84" s="186">
        <f>AK84*AJ84</f>
        <v>0</v>
      </c>
      <c r="AM84" s="220">
        <f>_辅助!BO82</f>
        <v>0</v>
      </c>
      <c r="AN84" s="186">
        <f>_辅助!AE82</f>
        <v>0</v>
      </c>
      <c r="AO84" s="221">
        <f>AH84-AK84-AM84</f>
        <v>0</v>
      </c>
      <c r="AP84" s="187">
        <f>AI84-AL84-AN84</f>
        <v>0</v>
      </c>
      <c r="AQ84" s="236">
        <f>IF(AND(AH84&gt;0,AI84&gt;0),0,AL84)</f>
        <v>0</v>
      </c>
      <c r="AR84" s="220">
        <f>IF($B84="",0,SUMIFS(采购进货!$E$4:$E$1503,采购进货!$D$4:$D$1503,$B84,采购进货!$B$4:$B$1503,"&gt;="&amp;DATE(年度,4,1),采购进货!$B$4:$B$1503,"&lt;"&amp;DATE(年度,4+1,1))+SUMIFS(采购进货!$H$4:$H$1503,采购进货!$D$4:$D$1503,$B84,采购进货!$B$4:$B$1503,"&gt;="&amp;DATE(年度,4,1),采购进货!$B$4:$B$1503,"&lt;"&amp;DATE(年度,4+1,1)))</f>
        <v>0</v>
      </c>
      <c r="AS84" s="186">
        <f>IF($B84="",0,SUMIFS(采购进货!$G$4:$G$1503,采购进货!$D$4:$D$1503,$B84,采购进货!$B$4:$B$1503,"&gt;="&amp;DATE(年度,4,1),采购进货!$B$4:$B$1503,"&lt;"&amp;DATE(年度,4+1,1)))</f>
        <v>0</v>
      </c>
      <c r="AT84" s="234">
        <f>AO84+AR84</f>
        <v>0</v>
      </c>
      <c r="AU84" s="235">
        <f>AP84+AS84</f>
        <v>0</v>
      </c>
      <c r="AV84" s="222">
        <f>IF(AND(AT84&gt;0,AU84&gt;0),AU84/AT84,N($E84))</f>
        <v>0</v>
      </c>
      <c r="AW84" s="220">
        <f>IF($B84="",0,SUMIFS(出库明细!$E$4:$E$3003,出库明细!$D$4:$D$3003,$B84,出库明细!$B$4:$B$3003,"&gt;="&amp;DATE(年度,4,1),出库明细!$B$4:$B$3003,"&lt;"&amp;DATE(年度,4+1,1)))</f>
        <v>0</v>
      </c>
      <c r="AX84" s="186">
        <f>AW84*AV84</f>
        <v>0</v>
      </c>
      <c r="AY84" s="220">
        <f>_辅助!BP82</f>
        <v>0</v>
      </c>
      <c r="AZ84" s="186">
        <f>_辅助!AF82</f>
        <v>0</v>
      </c>
      <c r="BA84" s="221">
        <f>AT84-AW84-AY84</f>
        <v>0</v>
      </c>
      <c r="BB84" s="187">
        <f>AU84-AX84-AZ84</f>
        <v>0</v>
      </c>
      <c r="BC84" s="236">
        <f>IF(AND(AT84&gt;0,AU84&gt;0),0,AX84)</f>
        <v>0</v>
      </c>
      <c r="BD84" s="220">
        <f>IF($B84="",0,SUMIFS(采购进货!$E$4:$E$1503,采购进货!$D$4:$D$1503,$B84,采购进货!$B$4:$B$1503,"&gt;="&amp;DATE(年度,5,1),采购进货!$B$4:$B$1503,"&lt;"&amp;DATE(年度,5+1,1))+SUMIFS(采购进货!$H$4:$H$1503,采购进货!$D$4:$D$1503,$B84,采购进货!$B$4:$B$1503,"&gt;="&amp;DATE(年度,5,1),采购进货!$B$4:$B$1503,"&lt;"&amp;DATE(年度,5+1,1)))</f>
        <v>0</v>
      </c>
      <c r="BE84" s="186">
        <f>IF($B84="",0,SUMIFS(采购进货!$G$4:$G$1503,采购进货!$D$4:$D$1503,$B84,采购进货!$B$4:$B$1503,"&gt;="&amp;DATE(年度,5,1),采购进货!$B$4:$B$1503,"&lt;"&amp;DATE(年度,5+1,1)))</f>
        <v>0</v>
      </c>
      <c r="BF84" s="234">
        <f>BA84+BD84</f>
        <v>0</v>
      </c>
      <c r="BG84" s="235">
        <f>BB84+BE84</f>
        <v>0</v>
      </c>
      <c r="BH84" s="222">
        <f>IF(AND(BF84&gt;0,BG84&gt;0),BG84/BF84,N($E84))</f>
        <v>0</v>
      </c>
      <c r="BI84" s="220">
        <f>IF($B84="",0,SUMIFS(出库明细!$E$4:$E$3003,出库明细!$D$4:$D$3003,$B84,出库明细!$B$4:$B$3003,"&gt;="&amp;DATE(年度,5,1),出库明细!$B$4:$B$3003,"&lt;"&amp;DATE(年度,5+1,1)))</f>
        <v>0</v>
      </c>
      <c r="BJ84" s="186">
        <f>BI84*BH84</f>
        <v>0</v>
      </c>
      <c r="BK84" s="220">
        <f>_辅助!BQ82</f>
        <v>0</v>
      </c>
      <c r="BL84" s="186">
        <f>_辅助!AG82</f>
        <v>0</v>
      </c>
      <c r="BM84" s="221">
        <f>BF84-BI84-BK84</f>
        <v>0</v>
      </c>
      <c r="BN84" s="187">
        <f>BG84-BJ84-BL84</f>
        <v>0</v>
      </c>
      <c r="BO84" s="236">
        <f>IF(AND(BF84&gt;0,BG84&gt;0),0,BJ84)</f>
        <v>0</v>
      </c>
      <c r="BP84" s="220">
        <f>IF($B84="",0,SUMIFS(采购进货!$E$4:$E$1503,采购进货!$D$4:$D$1503,$B84,采购进货!$B$4:$B$1503,"&gt;="&amp;DATE(年度,6,1),采购进货!$B$4:$B$1503,"&lt;"&amp;DATE(年度,6+1,1))+SUMIFS(采购进货!$H$4:$H$1503,采购进货!$D$4:$D$1503,$B84,采购进货!$B$4:$B$1503,"&gt;="&amp;DATE(年度,6,1),采购进货!$B$4:$B$1503,"&lt;"&amp;DATE(年度,6+1,1)))</f>
        <v>0</v>
      </c>
      <c r="BQ84" s="186">
        <f>IF($B84="",0,SUMIFS(采购进货!$G$4:$G$1503,采购进货!$D$4:$D$1503,$B84,采购进货!$B$4:$B$1503,"&gt;="&amp;DATE(年度,6,1),采购进货!$B$4:$B$1503,"&lt;"&amp;DATE(年度,6+1,1)))</f>
        <v>0</v>
      </c>
      <c r="BR84" s="234">
        <f>BM84+BP84</f>
        <v>0</v>
      </c>
      <c r="BS84" s="235">
        <f>BN84+BQ84</f>
        <v>0</v>
      </c>
      <c r="BT84" s="222">
        <f>IF(AND(BR84&gt;0,BS84&gt;0),BS84/BR84,N($E84))</f>
        <v>0</v>
      </c>
      <c r="BU84" s="220">
        <f>IF($B84="",0,SUMIFS(出库明细!$E$4:$E$3003,出库明细!$D$4:$D$3003,$B84,出库明细!$B$4:$B$3003,"&gt;="&amp;DATE(年度,6,1),出库明细!$B$4:$B$3003,"&lt;"&amp;DATE(年度,6+1,1)))</f>
        <v>0</v>
      </c>
      <c r="BV84" s="186">
        <f>BU84*BT84</f>
        <v>0</v>
      </c>
      <c r="BW84" s="220">
        <f>_辅助!BR82</f>
        <v>0</v>
      </c>
      <c r="BX84" s="186">
        <f>_辅助!AH82</f>
        <v>0</v>
      </c>
      <c r="BY84" s="221">
        <f>BR84-BU84-BW84</f>
        <v>0</v>
      </c>
      <c r="BZ84" s="187">
        <f>BS84-BV84-BX84</f>
        <v>0</v>
      </c>
      <c r="CA84" s="236">
        <f>IF(AND(BR84&gt;0,BS84&gt;0),0,BV84)</f>
        <v>0</v>
      </c>
      <c r="CB84" s="220">
        <f>IF($B84="",0,SUMIFS(采购进货!$E$4:$E$1503,采购进货!$D$4:$D$1503,$B84,采购进货!$B$4:$B$1503,"&gt;="&amp;DATE(年度,7,1),采购进货!$B$4:$B$1503,"&lt;"&amp;DATE(年度,7+1,1))+SUMIFS(采购进货!$H$4:$H$1503,采购进货!$D$4:$D$1503,$B84,采购进货!$B$4:$B$1503,"&gt;="&amp;DATE(年度,7,1),采购进货!$B$4:$B$1503,"&lt;"&amp;DATE(年度,7+1,1)))</f>
        <v>0</v>
      </c>
      <c r="CC84" s="186">
        <f>IF($B84="",0,SUMIFS(采购进货!$G$4:$G$1503,采购进货!$D$4:$D$1503,$B84,采购进货!$B$4:$B$1503,"&gt;="&amp;DATE(年度,7,1),采购进货!$B$4:$B$1503,"&lt;"&amp;DATE(年度,7+1,1)))</f>
        <v>0</v>
      </c>
      <c r="CD84" s="234">
        <f>BY84+CB84</f>
        <v>0</v>
      </c>
      <c r="CE84" s="235">
        <f>BZ84+CC84</f>
        <v>0</v>
      </c>
      <c r="CF84" s="222">
        <f>IF(AND(CD84&gt;0,CE84&gt;0),CE84/CD84,N($E84))</f>
        <v>0</v>
      </c>
      <c r="CG84" s="220">
        <f>IF($B84="",0,SUMIFS(出库明细!$E$4:$E$3003,出库明细!$D$4:$D$3003,$B84,出库明细!$B$4:$B$3003,"&gt;="&amp;DATE(年度,7,1),出库明细!$B$4:$B$3003,"&lt;"&amp;DATE(年度,7+1,1)))</f>
        <v>0</v>
      </c>
      <c r="CH84" s="186">
        <f>CG84*CF84</f>
        <v>0</v>
      </c>
      <c r="CI84" s="220">
        <f>_辅助!BS82</f>
        <v>0</v>
      </c>
      <c r="CJ84" s="186">
        <f>_辅助!AI82</f>
        <v>0</v>
      </c>
      <c r="CK84" s="221">
        <f>CD84-CG84-CI84</f>
        <v>0</v>
      </c>
      <c r="CL84" s="187">
        <f>CE84-CH84-CJ84</f>
        <v>0</v>
      </c>
      <c r="CM84" s="236">
        <f>IF(AND(CD84&gt;0,CE84&gt;0),0,CH84)</f>
        <v>0</v>
      </c>
      <c r="CN84" s="220">
        <f>IF($B84="",0,SUMIFS(采购进货!$E$4:$E$1503,采购进货!$D$4:$D$1503,$B84,采购进货!$B$4:$B$1503,"&gt;="&amp;DATE(年度,8,1),采购进货!$B$4:$B$1503,"&lt;"&amp;DATE(年度,8+1,1))+SUMIFS(采购进货!$H$4:$H$1503,采购进货!$D$4:$D$1503,$B84,采购进货!$B$4:$B$1503,"&gt;="&amp;DATE(年度,8,1),采购进货!$B$4:$B$1503,"&lt;"&amp;DATE(年度,8+1,1)))</f>
        <v>0</v>
      </c>
      <c r="CO84" s="186">
        <f>IF($B84="",0,SUMIFS(采购进货!$G$4:$G$1503,采购进货!$D$4:$D$1503,$B84,采购进货!$B$4:$B$1503,"&gt;="&amp;DATE(年度,8,1),采购进货!$B$4:$B$1503,"&lt;"&amp;DATE(年度,8+1,1)))</f>
        <v>0</v>
      </c>
      <c r="CP84" s="234">
        <f>CK84+CN84</f>
        <v>0</v>
      </c>
      <c r="CQ84" s="235">
        <f>CL84+CO84</f>
        <v>0</v>
      </c>
      <c r="CR84" s="222">
        <f>IF(AND(CP84&gt;0,CQ84&gt;0),CQ84/CP84,N($E84))</f>
        <v>0</v>
      </c>
      <c r="CS84" s="220">
        <f>IF($B84="",0,SUMIFS(出库明细!$E$4:$E$3003,出库明细!$D$4:$D$3003,$B84,出库明细!$B$4:$B$3003,"&gt;="&amp;DATE(年度,8,1),出库明细!$B$4:$B$3003,"&lt;"&amp;DATE(年度,8+1,1)))</f>
        <v>0</v>
      </c>
      <c r="CT84" s="186">
        <f>CS84*CR84</f>
        <v>0</v>
      </c>
      <c r="CU84" s="220">
        <f>_辅助!BT82</f>
        <v>0</v>
      </c>
      <c r="CV84" s="186">
        <f>_辅助!AJ82</f>
        <v>0</v>
      </c>
      <c r="CW84" s="221">
        <f>CP84-CS84-CU84</f>
        <v>0</v>
      </c>
      <c r="CX84" s="187">
        <f>CQ84-CT84-CV84</f>
        <v>0</v>
      </c>
      <c r="CY84" s="236">
        <f>IF(AND(CP84&gt;0,CQ84&gt;0),0,CT84)</f>
        <v>0</v>
      </c>
      <c r="CZ84" s="220">
        <f>IF($B84="",0,SUMIFS(采购进货!$E$4:$E$1503,采购进货!$D$4:$D$1503,$B84,采购进货!$B$4:$B$1503,"&gt;="&amp;DATE(年度,9,1),采购进货!$B$4:$B$1503,"&lt;"&amp;DATE(年度,9+1,1))+SUMIFS(采购进货!$H$4:$H$1503,采购进货!$D$4:$D$1503,$B84,采购进货!$B$4:$B$1503,"&gt;="&amp;DATE(年度,9,1),采购进货!$B$4:$B$1503,"&lt;"&amp;DATE(年度,9+1,1)))</f>
        <v>0</v>
      </c>
      <c r="DA84" s="186">
        <f>IF($B84="",0,SUMIFS(采购进货!$G$4:$G$1503,采购进货!$D$4:$D$1503,$B84,采购进货!$B$4:$B$1503,"&gt;="&amp;DATE(年度,9,1),采购进货!$B$4:$B$1503,"&lt;"&amp;DATE(年度,9+1,1)))</f>
        <v>0</v>
      </c>
      <c r="DB84" s="234">
        <f>CW84+CZ84</f>
        <v>0</v>
      </c>
      <c r="DC84" s="235">
        <f>CX84+DA84</f>
        <v>0</v>
      </c>
      <c r="DD84" s="222">
        <f>IF(AND(DB84&gt;0,DC84&gt;0),DC84/DB84,N($E84))</f>
        <v>0</v>
      </c>
      <c r="DE84" s="220">
        <f>IF($B84="",0,SUMIFS(出库明细!$E$4:$E$3003,出库明细!$D$4:$D$3003,$B84,出库明细!$B$4:$B$3003,"&gt;="&amp;DATE(年度,9,1),出库明细!$B$4:$B$3003,"&lt;"&amp;DATE(年度,9+1,1)))</f>
        <v>0</v>
      </c>
      <c r="DF84" s="186">
        <f>DE84*DD84</f>
        <v>0</v>
      </c>
      <c r="DG84" s="220">
        <f>_辅助!BU82</f>
        <v>0</v>
      </c>
      <c r="DH84" s="186">
        <f>_辅助!AK82</f>
        <v>0</v>
      </c>
      <c r="DI84" s="221">
        <f>DB84-DE84-DG84</f>
        <v>0</v>
      </c>
      <c r="DJ84" s="187">
        <f>DC84-DF84-DH84</f>
        <v>0</v>
      </c>
      <c r="DK84" s="236">
        <f>IF(AND(DB84&gt;0,DC84&gt;0),0,DF84)</f>
        <v>0</v>
      </c>
      <c r="DL84" s="220">
        <f>IF($B84="",0,SUMIFS(采购进货!$E$4:$E$1503,采购进货!$D$4:$D$1503,$B84,采购进货!$B$4:$B$1503,"&gt;="&amp;DATE(年度,10,1),采购进货!$B$4:$B$1503,"&lt;"&amp;DATE(年度,10+1,1))+SUMIFS(采购进货!$H$4:$H$1503,采购进货!$D$4:$D$1503,$B84,采购进货!$B$4:$B$1503,"&gt;="&amp;DATE(年度,10,1),采购进货!$B$4:$B$1503,"&lt;"&amp;DATE(年度,10+1,1)))</f>
        <v>0</v>
      </c>
      <c r="DM84" s="186">
        <f>IF($B84="",0,SUMIFS(采购进货!$G$4:$G$1503,采购进货!$D$4:$D$1503,$B84,采购进货!$B$4:$B$1503,"&gt;="&amp;DATE(年度,10,1),采购进货!$B$4:$B$1503,"&lt;"&amp;DATE(年度,10+1,1)))</f>
        <v>0</v>
      </c>
      <c r="DN84" s="234">
        <f>DI84+DL84</f>
        <v>0</v>
      </c>
      <c r="DO84" s="235">
        <f>DJ84+DM84</f>
        <v>0</v>
      </c>
      <c r="DP84" s="222">
        <f>IF(AND(DN84&gt;0,DO84&gt;0),DO84/DN84,N($E84))</f>
        <v>0</v>
      </c>
      <c r="DQ84" s="220">
        <f>IF($B84="",0,SUMIFS(出库明细!$E$4:$E$3003,出库明细!$D$4:$D$3003,$B84,出库明细!$B$4:$B$3003,"&gt;="&amp;DATE(年度,10,1),出库明细!$B$4:$B$3003,"&lt;"&amp;DATE(年度,10+1,1)))</f>
        <v>0</v>
      </c>
      <c r="DR84" s="186">
        <f>DQ84*DP84</f>
        <v>0</v>
      </c>
      <c r="DS84" s="220">
        <f>_辅助!BV82</f>
        <v>0</v>
      </c>
      <c r="DT84" s="186">
        <f>_辅助!AL82</f>
        <v>0</v>
      </c>
      <c r="DU84" s="221">
        <f>DN84-DQ84-DS84</f>
        <v>0</v>
      </c>
      <c r="DV84" s="187">
        <f>DO84-DR84-DT84</f>
        <v>0</v>
      </c>
      <c r="DW84" s="236">
        <f>IF(AND(DN84&gt;0,DO84&gt;0),0,DR84)</f>
        <v>0</v>
      </c>
      <c r="DX84" s="220">
        <f>IF($B84="",0,SUMIFS(采购进货!$E$4:$E$1503,采购进货!$D$4:$D$1503,$B84,采购进货!$B$4:$B$1503,"&gt;="&amp;DATE(年度,11,1),采购进货!$B$4:$B$1503,"&lt;"&amp;DATE(年度,11+1,1))+SUMIFS(采购进货!$H$4:$H$1503,采购进货!$D$4:$D$1503,$B84,采购进货!$B$4:$B$1503,"&gt;="&amp;DATE(年度,11,1),采购进货!$B$4:$B$1503,"&lt;"&amp;DATE(年度,11+1,1)))</f>
        <v>0</v>
      </c>
      <c r="DY84" s="186">
        <f>IF($B84="",0,SUMIFS(采购进货!$G$4:$G$1503,采购进货!$D$4:$D$1503,$B84,采购进货!$B$4:$B$1503,"&gt;="&amp;DATE(年度,11,1),采购进货!$B$4:$B$1503,"&lt;"&amp;DATE(年度,11+1,1)))</f>
        <v>0</v>
      </c>
      <c r="DZ84" s="234">
        <f>DU84+DX84</f>
        <v>0</v>
      </c>
      <c r="EA84" s="235">
        <f>DV84+DY84</f>
        <v>0</v>
      </c>
      <c r="EB84" s="222">
        <f>IF(AND(DZ84&gt;0,EA84&gt;0),EA84/DZ84,N($E84))</f>
        <v>0</v>
      </c>
      <c r="EC84" s="220">
        <f>IF($B84="",0,SUMIFS(出库明细!$E$4:$E$3003,出库明细!$D$4:$D$3003,$B84,出库明细!$B$4:$B$3003,"&gt;="&amp;DATE(年度,11,1),出库明细!$B$4:$B$3003,"&lt;"&amp;DATE(年度,11+1,1)))</f>
        <v>0</v>
      </c>
      <c r="ED84" s="186">
        <f>EC84*EB84</f>
        <v>0</v>
      </c>
      <c r="EE84" s="220">
        <f>_辅助!BW82</f>
        <v>0</v>
      </c>
      <c r="EF84" s="186">
        <f>_辅助!AM82</f>
        <v>0</v>
      </c>
      <c r="EG84" s="221">
        <f>DZ84-EC84-EE84</f>
        <v>0</v>
      </c>
      <c r="EH84" s="187">
        <f>EA84-ED84-EF84</f>
        <v>0</v>
      </c>
      <c r="EI84" s="236">
        <f>IF(AND(DZ84&gt;0,EA84&gt;0),0,ED84)</f>
        <v>0</v>
      </c>
      <c r="EJ84" s="220">
        <f>IF($B84="",0,SUMIFS(采购进货!$E$4:$E$1503,采购进货!$D$4:$D$1503,$B84,采购进货!$B$4:$B$1503,"&gt;="&amp;DATE(年度,12,1),采购进货!$B$4:$B$1503,"&lt;"&amp;DATE(年度,12+1,1))+SUMIFS(采购进货!$H$4:$H$1503,采购进货!$D$4:$D$1503,$B84,采购进货!$B$4:$B$1503,"&gt;="&amp;DATE(年度,12,1),采购进货!$B$4:$B$1503,"&lt;"&amp;DATE(年度,12+1,1)))</f>
        <v>0</v>
      </c>
      <c r="EK84" s="186">
        <f>IF($B84="",0,SUMIFS(采购进货!$G$4:$G$1503,采购进货!$D$4:$D$1503,$B84,采购进货!$B$4:$B$1503,"&gt;="&amp;DATE(年度,12,1),采购进货!$B$4:$B$1503,"&lt;"&amp;DATE(年度,12+1,1)))</f>
        <v>0</v>
      </c>
      <c r="EL84" s="234">
        <f>EG84+EJ84</f>
        <v>0</v>
      </c>
      <c r="EM84" s="235">
        <f>EH84+EK84</f>
        <v>0</v>
      </c>
      <c r="EN84" s="222">
        <f>IF(AND(EL84&gt;0,EM84&gt;0),EM84/EL84,N($E84))</f>
        <v>0</v>
      </c>
      <c r="EO84" s="220">
        <f>IF($B84="",0,SUMIFS(出库明细!$E$4:$E$3003,出库明细!$D$4:$D$3003,$B84,出库明细!$B$4:$B$3003,"&gt;="&amp;DATE(年度,12,1),出库明细!$B$4:$B$3003,"&lt;"&amp;DATE(年度,12+1,1)))</f>
        <v>0</v>
      </c>
      <c r="EP84" s="186">
        <f>EO84*EN84</f>
        <v>0</v>
      </c>
      <c r="EQ84" s="220">
        <f>_辅助!BX82</f>
        <v>0</v>
      </c>
      <c r="ER84" s="186">
        <f>_辅助!AN82</f>
        <v>0</v>
      </c>
      <c r="ES84" s="221">
        <f>EL84-EO84-EQ84</f>
        <v>0</v>
      </c>
      <c r="ET84" s="187">
        <f>EM84-EP84-ER84</f>
        <v>0</v>
      </c>
      <c r="EU84" s="236">
        <f>IF(AND(EL84&gt;0,EM84&gt;0),0,EP84)</f>
        <v>0</v>
      </c>
    </row>
    <row r="85">
      <c r="A85" s="194">
        <f>IF(B85="","",ROW()-7)</f>
      </c>
      <c r="B85" s="141">
        <f>IF(基础资料!E82="","",基础资料!E82&amp;"")</f>
      </c>
      <c r="C85" s="230">
        <f>IF(基础资料!G82="","",基础资料!G82&amp;"")</f>
      </c>
      <c r="D85" s="194">
        <f>IF(基础资料!I82="","",基础资料!I82)</f>
      </c>
      <c r="E85" s="231">
        <f>IF(基础资料!J82="","",基础资料!J82)</f>
      </c>
      <c r="F85" s="232">
        <f>N(基础资料!L82)</f>
        <v>0</v>
      </c>
      <c r="G85" s="233">
        <f>IF(基础资料!N82="",0,基础资料!N82)</f>
        <v>0</v>
      </c>
      <c r="H85" s="220">
        <f>IF($B85="",0,SUMIFS(采购进货!$E$4:$E$1503,采购进货!$D$4:$D$1503,$B85,采购进货!$B$4:$B$1503,"&gt;="&amp;DATE(年度,1,1),采购进货!$B$4:$B$1503,"&lt;"&amp;DATE(年度,1+1,1))+SUMIFS(采购进货!$H$4:$H$1503,采购进货!$D$4:$D$1503,$B85,采购进货!$B$4:$B$1503,"&gt;="&amp;DATE(年度,1,1),采购进货!$B$4:$B$1503,"&lt;"&amp;DATE(年度,1+1,1)))</f>
        <v>0</v>
      </c>
      <c r="I85" s="186">
        <f>IF($B85="",0,SUMIFS(采购进货!$G$4:$G$1503,采购进货!$D$4:$D$1503,$B85,采购进货!$B$4:$B$1503,"&gt;="&amp;DATE(年度,1,1),采购进货!$B$4:$B$1503,"&lt;"&amp;DATE(年度,1+1,1)))</f>
        <v>0</v>
      </c>
      <c r="J85" s="234">
        <f>F85+H85</f>
        <v>0</v>
      </c>
      <c r="K85" s="235">
        <f>G85+I85</f>
        <v>0</v>
      </c>
      <c r="L85" s="222">
        <f>IF(AND(J85&gt;0,K85&gt;0),K85/J85,N($E85))</f>
        <v>0</v>
      </c>
      <c r="M85" s="220">
        <f>IF($B85="",0,SUMIFS(出库明细!$E$4:$E$3003,出库明细!$D$4:$D$3003,$B85,出库明细!$B$4:$B$3003,"&gt;="&amp;DATE(年度,1,1),出库明细!$B$4:$B$3003,"&lt;"&amp;DATE(年度,1+1,1)))</f>
        <v>0</v>
      </c>
      <c r="N85" s="186">
        <f>M85*L85</f>
        <v>0</v>
      </c>
      <c r="O85" s="220">
        <f>_辅助!BM83</f>
        <v>0</v>
      </c>
      <c r="P85" s="186">
        <f>_辅助!AC83</f>
        <v>0</v>
      </c>
      <c r="Q85" s="221">
        <f>J85-M85-O85</f>
        <v>0</v>
      </c>
      <c r="R85" s="187">
        <f>K85-N85-P85</f>
        <v>0</v>
      </c>
      <c r="S85" s="236">
        <f>IF(AND(J85&gt;0,K85&gt;0),0,N85)</f>
        <v>0</v>
      </c>
      <c r="T85" s="220">
        <f>IF($B85="",0,SUMIFS(采购进货!$E$4:$E$1503,采购进货!$D$4:$D$1503,$B85,采购进货!$B$4:$B$1503,"&gt;="&amp;DATE(年度,2,1),采购进货!$B$4:$B$1503,"&lt;"&amp;DATE(年度,2+1,1))+SUMIFS(采购进货!$H$4:$H$1503,采购进货!$D$4:$D$1503,$B85,采购进货!$B$4:$B$1503,"&gt;="&amp;DATE(年度,2,1),采购进货!$B$4:$B$1503,"&lt;"&amp;DATE(年度,2+1,1)))</f>
        <v>0</v>
      </c>
      <c r="U85" s="186">
        <f>IF($B85="",0,SUMIFS(采购进货!$G$4:$G$1503,采购进货!$D$4:$D$1503,$B85,采购进货!$B$4:$B$1503,"&gt;="&amp;DATE(年度,2,1),采购进货!$B$4:$B$1503,"&lt;"&amp;DATE(年度,2+1,1)))</f>
        <v>0</v>
      </c>
      <c r="V85" s="234">
        <f>Q85+T85</f>
        <v>0</v>
      </c>
      <c r="W85" s="235">
        <f>R85+U85</f>
        <v>0</v>
      </c>
      <c r="X85" s="222">
        <f>IF(AND(V85&gt;0,W85&gt;0),W85/V85,N($E85))</f>
        <v>0</v>
      </c>
      <c r="Y85" s="220">
        <f>IF($B85="",0,SUMIFS(出库明细!$E$4:$E$3003,出库明细!$D$4:$D$3003,$B85,出库明细!$B$4:$B$3003,"&gt;="&amp;DATE(年度,2,1),出库明细!$B$4:$B$3003,"&lt;"&amp;DATE(年度,2+1,1)))</f>
        <v>0</v>
      </c>
      <c r="Z85" s="186">
        <f>Y85*X85</f>
        <v>0</v>
      </c>
      <c r="AA85" s="220">
        <f>_辅助!BN83</f>
        <v>0</v>
      </c>
      <c r="AB85" s="186">
        <f>_辅助!AD83</f>
        <v>0</v>
      </c>
      <c r="AC85" s="221">
        <f>V85-Y85-AA85</f>
        <v>0</v>
      </c>
      <c r="AD85" s="187">
        <f>W85-Z85-AB85</f>
        <v>0</v>
      </c>
      <c r="AE85" s="236">
        <f>IF(AND(V85&gt;0,W85&gt;0),0,Z85)</f>
        <v>0</v>
      </c>
      <c r="AF85" s="220">
        <f>IF($B85="",0,SUMIFS(采购进货!$E$4:$E$1503,采购进货!$D$4:$D$1503,$B85,采购进货!$B$4:$B$1503,"&gt;="&amp;DATE(年度,3,1),采购进货!$B$4:$B$1503,"&lt;"&amp;DATE(年度,3+1,1))+SUMIFS(采购进货!$H$4:$H$1503,采购进货!$D$4:$D$1503,$B85,采购进货!$B$4:$B$1503,"&gt;="&amp;DATE(年度,3,1),采购进货!$B$4:$B$1503,"&lt;"&amp;DATE(年度,3+1,1)))</f>
        <v>0</v>
      </c>
      <c r="AG85" s="186">
        <f>IF($B85="",0,SUMIFS(采购进货!$G$4:$G$1503,采购进货!$D$4:$D$1503,$B85,采购进货!$B$4:$B$1503,"&gt;="&amp;DATE(年度,3,1),采购进货!$B$4:$B$1503,"&lt;"&amp;DATE(年度,3+1,1)))</f>
        <v>0</v>
      </c>
      <c r="AH85" s="234">
        <f>AC85+AF85</f>
        <v>0</v>
      </c>
      <c r="AI85" s="235">
        <f>AD85+AG85</f>
        <v>0</v>
      </c>
      <c r="AJ85" s="222">
        <f>IF(AND(AH85&gt;0,AI85&gt;0),AI85/AH85,N($E85))</f>
        <v>0</v>
      </c>
      <c r="AK85" s="220">
        <f>IF($B85="",0,SUMIFS(出库明细!$E$4:$E$3003,出库明细!$D$4:$D$3003,$B85,出库明细!$B$4:$B$3003,"&gt;="&amp;DATE(年度,3,1),出库明细!$B$4:$B$3003,"&lt;"&amp;DATE(年度,3+1,1)))</f>
        <v>0</v>
      </c>
      <c r="AL85" s="186">
        <f>AK85*AJ85</f>
        <v>0</v>
      </c>
      <c r="AM85" s="220">
        <f>_辅助!BO83</f>
        <v>0</v>
      </c>
      <c r="AN85" s="186">
        <f>_辅助!AE83</f>
        <v>0</v>
      </c>
      <c r="AO85" s="221">
        <f>AH85-AK85-AM85</f>
        <v>0</v>
      </c>
      <c r="AP85" s="187">
        <f>AI85-AL85-AN85</f>
        <v>0</v>
      </c>
      <c r="AQ85" s="236">
        <f>IF(AND(AH85&gt;0,AI85&gt;0),0,AL85)</f>
        <v>0</v>
      </c>
      <c r="AR85" s="220">
        <f>IF($B85="",0,SUMIFS(采购进货!$E$4:$E$1503,采购进货!$D$4:$D$1503,$B85,采购进货!$B$4:$B$1503,"&gt;="&amp;DATE(年度,4,1),采购进货!$B$4:$B$1503,"&lt;"&amp;DATE(年度,4+1,1))+SUMIFS(采购进货!$H$4:$H$1503,采购进货!$D$4:$D$1503,$B85,采购进货!$B$4:$B$1503,"&gt;="&amp;DATE(年度,4,1),采购进货!$B$4:$B$1503,"&lt;"&amp;DATE(年度,4+1,1)))</f>
        <v>0</v>
      </c>
      <c r="AS85" s="186">
        <f>IF($B85="",0,SUMIFS(采购进货!$G$4:$G$1503,采购进货!$D$4:$D$1503,$B85,采购进货!$B$4:$B$1503,"&gt;="&amp;DATE(年度,4,1),采购进货!$B$4:$B$1503,"&lt;"&amp;DATE(年度,4+1,1)))</f>
        <v>0</v>
      </c>
      <c r="AT85" s="234">
        <f>AO85+AR85</f>
        <v>0</v>
      </c>
      <c r="AU85" s="235">
        <f>AP85+AS85</f>
        <v>0</v>
      </c>
      <c r="AV85" s="222">
        <f>IF(AND(AT85&gt;0,AU85&gt;0),AU85/AT85,N($E85))</f>
        <v>0</v>
      </c>
      <c r="AW85" s="220">
        <f>IF($B85="",0,SUMIFS(出库明细!$E$4:$E$3003,出库明细!$D$4:$D$3003,$B85,出库明细!$B$4:$B$3003,"&gt;="&amp;DATE(年度,4,1),出库明细!$B$4:$B$3003,"&lt;"&amp;DATE(年度,4+1,1)))</f>
        <v>0</v>
      </c>
      <c r="AX85" s="186">
        <f>AW85*AV85</f>
        <v>0</v>
      </c>
      <c r="AY85" s="220">
        <f>_辅助!BP83</f>
        <v>0</v>
      </c>
      <c r="AZ85" s="186">
        <f>_辅助!AF83</f>
        <v>0</v>
      </c>
      <c r="BA85" s="221">
        <f>AT85-AW85-AY85</f>
        <v>0</v>
      </c>
      <c r="BB85" s="187">
        <f>AU85-AX85-AZ85</f>
        <v>0</v>
      </c>
      <c r="BC85" s="236">
        <f>IF(AND(AT85&gt;0,AU85&gt;0),0,AX85)</f>
        <v>0</v>
      </c>
      <c r="BD85" s="220">
        <f>IF($B85="",0,SUMIFS(采购进货!$E$4:$E$1503,采购进货!$D$4:$D$1503,$B85,采购进货!$B$4:$B$1503,"&gt;="&amp;DATE(年度,5,1),采购进货!$B$4:$B$1503,"&lt;"&amp;DATE(年度,5+1,1))+SUMIFS(采购进货!$H$4:$H$1503,采购进货!$D$4:$D$1503,$B85,采购进货!$B$4:$B$1503,"&gt;="&amp;DATE(年度,5,1),采购进货!$B$4:$B$1503,"&lt;"&amp;DATE(年度,5+1,1)))</f>
        <v>0</v>
      </c>
      <c r="BE85" s="186">
        <f>IF($B85="",0,SUMIFS(采购进货!$G$4:$G$1503,采购进货!$D$4:$D$1503,$B85,采购进货!$B$4:$B$1503,"&gt;="&amp;DATE(年度,5,1),采购进货!$B$4:$B$1503,"&lt;"&amp;DATE(年度,5+1,1)))</f>
        <v>0</v>
      </c>
      <c r="BF85" s="234">
        <f>BA85+BD85</f>
        <v>0</v>
      </c>
      <c r="BG85" s="235">
        <f>BB85+BE85</f>
        <v>0</v>
      </c>
      <c r="BH85" s="222">
        <f>IF(AND(BF85&gt;0,BG85&gt;0),BG85/BF85,N($E85))</f>
        <v>0</v>
      </c>
      <c r="BI85" s="220">
        <f>IF($B85="",0,SUMIFS(出库明细!$E$4:$E$3003,出库明细!$D$4:$D$3003,$B85,出库明细!$B$4:$B$3003,"&gt;="&amp;DATE(年度,5,1),出库明细!$B$4:$B$3003,"&lt;"&amp;DATE(年度,5+1,1)))</f>
        <v>0</v>
      </c>
      <c r="BJ85" s="186">
        <f>BI85*BH85</f>
        <v>0</v>
      </c>
      <c r="BK85" s="220">
        <f>_辅助!BQ83</f>
        <v>0</v>
      </c>
      <c r="BL85" s="186">
        <f>_辅助!AG83</f>
        <v>0</v>
      </c>
      <c r="BM85" s="221">
        <f>BF85-BI85-BK85</f>
        <v>0</v>
      </c>
      <c r="BN85" s="187">
        <f>BG85-BJ85-BL85</f>
        <v>0</v>
      </c>
      <c r="BO85" s="236">
        <f>IF(AND(BF85&gt;0,BG85&gt;0),0,BJ85)</f>
        <v>0</v>
      </c>
      <c r="BP85" s="220">
        <f>IF($B85="",0,SUMIFS(采购进货!$E$4:$E$1503,采购进货!$D$4:$D$1503,$B85,采购进货!$B$4:$B$1503,"&gt;="&amp;DATE(年度,6,1),采购进货!$B$4:$B$1503,"&lt;"&amp;DATE(年度,6+1,1))+SUMIFS(采购进货!$H$4:$H$1503,采购进货!$D$4:$D$1503,$B85,采购进货!$B$4:$B$1503,"&gt;="&amp;DATE(年度,6,1),采购进货!$B$4:$B$1503,"&lt;"&amp;DATE(年度,6+1,1)))</f>
        <v>0</v>
      </c>
      <c r="BQ85" s="186">
        <f>IF($B85="",0,SUMIFS(采购进货!$G$4:$G$1503,采购进货!$D$4:$D$1503,$B85,采购进货!$B$4:$B$1503,"&gt;="&amp;DATE(年度,6,1),采购进货!$B$4:$B$1503,"&lt;"&amp;DATE(年度,6+1,1)))</f>
        <v>0</v>
      </c>
      <c r="BR85" s="234">
        <f>BM85+BP85</f>
        <v>0</v>
      </c>
      <c r="BS85" s="235">
        <f>BN85+BQ85</f>
        <v>0</v>
      </c>
      <c r="BT85" s="222">
        <f>IF(AND(BR85&gt;0,BS85&gt;0),BS85/BR85,N($E85))</f>
        <v>0</v>
      </c>
      <c r="BU85" s="220">
        <f>IF($B85="",0,SUMIFS(出库明细!$E$4:$E$3003,出库明细!$D$4:$D$3003,$B85,出库明细!$B$4:$B$3003,"&gt;="&amp;DATE(年度,6,1),出库明细!$B$4:$B$3003,"&lt;"&amp;DATE(年度,6+1,1)))</f>
        <v>0</v>
      </c>
      <c r="BV85" s="186">
        <f>BU85*BT85</f>
        <v>0</v>
      </c>
      <c r="BW85" s="220">
        <f>_辅助!BR83</f>
        <v>0</v>
      </c>
      <c r="BX85" s="186">
        <f>_辅助!AH83</f>
        <v>0</v>
      </c>
      <c r="BY85" s="221">
        <f>BR85-BU85-BW85</f>
        <v>0</v>
      </c>
      <c r="BZ85" s="187">
        <f>BS85-BV85-BX85</f>
        <v>0</v>
      </c>
      <c r="CA85" s="236">
        <f>IF(AND(BR85&gt;0,BS85&gt;0),0,BV85)</f>
        <v>0</v>
      </c>
      <c r="CB85" s="220">
        <f>IF($B85="",0,SUMIFS(采购进货!$E$4:$E$1503,采购进货!$D$4:$D$1503,$B85,采购进货!$B$4:$B$1503,"&gt;="&amp;DATE(年度,7,1),采购进货!$B$4:$B$1503,"&lt;"&amp;DATE(年度,7+1,1))+SUMIFS(采购进货!$H$4:$H$1503,采购进货!$D$4:$D$1503,$B85,采购进货!$B$4:$B$1503,"&gt;="&amp;DATE(年度,7,1),采购进货!$B$4:$B$1503,"&lt;"&amp;DATE(年度,7+1,1)))</f>
        <v>0</v>
      </c>
      <c r="CC85" s="186">
        <f>IF($B85="",0,SUMIFS(采购进货!$G$4:$G$1503,采购进货!$D$4:$D$1503,$B85,采购进货!$B$4:$B$1503,"&gt;="&amp;DATE(年度,7,1),采购进货!$B$4:$B$1503,"&lt;"&amp;DATE(年度,7+1,1)))</f>
        <v>0</v>
      </c>
      <c r="CD85" s="234">
        <f>BY85+CB85</f>
        <v>0</v>
      </c>
      <c r="CE85" s="235">
        <f>BZ85+CC85</f>
        <v>0</v>
      </c>
      <c r="CF85" s="222">
        <f>IF(AND(CD85&gt;0,CE85&gt;0),CE85/CD85,N($E85))</f>
        <v>0</v>
      </c>
      <c r="CG85" s="220">
        <f>IF($B85="",0,SUMIFS(出库明细!$E$4:$E$3003,出库明细!$D$4:$D$3003,$B85,出库明细!$B$4:$B$3003,"&gt;="&amp;DATE(年度,7,1),出库明细!$B$4:$B$3003,"&lt;"&amp;DATE(年度,7+1,1)))</f>
        <v>0</v>
      </c>
      <c r="CH85" s="186">
        <f>CG85*CF85</f>
        <v>0</v>
      </c>
      <c r="CI85" s="220">
        <f>_辅助!BS83</f>
        <v>0</v>
      </c>
      <c r="CJ85" s="186">
        <f>_辅助!AI83</f>
        <v>0</v>
      </c>
      <c r="CK85" s="221">
        <f>CD85-CG85-CI85</f>
        <v>0</v>
      </c>
      <c r="CL85" s="187">
        <f>CE85-CH85-CJ85</f>
        <v>0</v>
      </c>
      <c r="CM85" s="236">
        <f>IF(AND(CD85&gt;0,CE85&gt;0),0,CH85)</f>
        <v>0</v>
      </c>
      <c r="CN85" s="220">
        <f>IF($B85="",0,SUMIFS(采购进货!$E$4:$E$1503,采购进货!$D$4:$D$1503,$B85,采购进货!$B$4:$B$1503,"&gt;="&amp;DATE(年度,8,1),采购进货!$B$4:$B$1503,"&lt;"&amp;DATE(年度,8+1,1))+SUMIFS(采购进货!$H$4:$H$1503,采购进货!$D$4:$D$1503,$B85,采购进货!$B$4:$B$1503,"&gt;="&amp;DATE(年度,8,1),采购进货!$B$4:$B$1503,"&lt;"&amp;DATE(年度,8+1,1)))</f>
        <v>0</v>
      </c>
      <c r="CO85" s="186">
        <f>IF($B85="",0,SUMIFS(采购进货!$G$4:$G$1503,采购进货!$D$4:$D$1503,$B85,采购进货!$B$4:$B$1503,"&gt;="&amp;DATE(年度,8,1),采购进货!$B$4:$B$1503,"&lt;"&amp;DATE(年度,8+1,1)))</f>
        <v>0</v>
      </c>
      <c r="CP85" s="234">
        <f>CK85+CN85</f>
        <v>0</v>
      </c>
      <c r="CQ85" s="235">
        <f>CL85+CO85</f>
        <v>0</v>
      </c>
      <c r="CR85" s="222">
        <f>IF(AND(CP85&gt;0,CQ85&gt;0),CQ85/CP85,N($E85))</f>
        <v>0</v>
      </c>
      <c r="CS85" s="220">
        <f>IF($B85="",0,SUMIFS(出库明细!$E$4:$E$3003,出库明细!$D$4:$D$3003,$B85,出库明细!$B$4:$B$3003,"&gt;="&amp;DATE(年度,8,1),出库明细!$B$4:$B$3003,"&lt;"&amp;DATE(年度,8+1,1)))</f>
        <v>0</v>
      </c>
      <c r="CT85" s="186">
        <f>CS85*CR85</f>
        <v>0</v>
      </c>
      <c r="CU85" s="220">
        <f>_辅助!BT83</f>
        <v>0</v>
      </c>
      <c r="CV85" s="186">
        <f>_辅助!AJ83</f>
        <v>0</v>
      </c>
      <c r="CW85" s="221">
        <f>CP85-CS85-CU85</f>
        <v>0</v>
      </c>
      <c r="CX85" s="187">
        <f>CQ85-CT85-CV85</f>
        <v>0</v>
      </c>
      <c r="CY85" s="236">
        <f>IF(AND(CP85&gt;0,CQ85&gt;0),0,CT85)</f>
        <v>0</v>
      </c>
      <c r="CZ85" s="220">
        <f>IF($B85="",0,SUMIFS(采购进货!$E$4:$E$1503,采购进货!$D$4:$D$1503,$B85,采购进货!$B$4:$B$1503,"&gt;="&amp;DATE(年度,9,1),采购进货!$B$4:$B$1503,"&lt;"&amp;DATE(年度,9+1,1))+SUMIFS(采购进货!$H$4:$H$1503,采购进货!$D$4:$D$1503,$B85,采购进货!$B$4:$B$1503,"&gt;="&amp;DATE(年度,9,1),采购进货!$B$4:$B$1503,"&lt;"&amp;DATE(年度,9+1,1)))</f>
        <v>0</v>
      </c>
      <c r="DA85" s="186">
        <f>IF($B85="",0,SUMIFS(采购进货!$G$4:$G$1503,采购进货!$D$4:$D$1503,$B85,采购进货!$B$4:$B$1503,"&gt;="&amp;DATE(年度,9,1),采购进货!$B$4:$B$1503,"&lt;"&amp;DATE(年度,9+1,1)))</f>
        <v>0</v>
      </c>
      <c r="DB85" s="234">
        <f>CW85+CZ85</f>
        <v>0</v>
      </c>
      <c r="DC85" s="235">
        <f>CX85+DA85</f>
        <v>0</v>
      </c>
      <c r="DD85" s="222">
        <f>IF(AND(DB85&gt;0,DC85&gt;0),DC85/DB85,N($E85))</f>
        <v>0</v>
      </c>
      <c r="DE85" s="220">
        <f>IF($B85="",0,SUMIFS(出库明细!$E$4:$E$3003,出库明细!$D$4:$D$3003,$B85,出库明细!$B$4:$B$3003,"&gt;="&amp;DATE(年度,9,1),出库明细!$B$4:$B$3003,"&lt;"&amp;DATE(年度,9+1,1)))</f>
        <v>0</v>
      </c>
      <c r="DF85" s="186">
        <f>DE85*DD85</f>
        <v>0</v>
      </c>
      <c r="DG85" s="220">
        <f>_辅助!BU83</f>
        <v>0</v>
      </c>
      <c r="DH85" s="186">
        <f>_辅助!AK83</f>
        <v>0</v>
      </c>
      <c r="DI85" s="221">
        <f>DB85-DE85-DG85</f>
        <v>0</v>
      </c>
      <c r="DJ85" s="187">
        <f>DC85-DF85-DH85</f>
        <v>0</v>
      </c>
      <c r="DK85" s="236">
        <f>IF(AND(DB85&gt;0,DC85&gt;0),0,DF85)</f>
        <v>0</v>
      </c>
      <c r="DL85" s="220">
        <f>IF($B85="",0,SUMIFS(采购进货!$E$4:$E$1503,采购进货!$D$4:$D$1503,$B85,采购进货!$B$4:$B$1503,"&gt;="&amp;DATE(年度,10,1),采购进货!$B$4:$B$1503,"&lt;"&amp;DATE(年度,10+1,1))+SUMIFS(采购进货!$H$4:$H$1503,采购进货!$D$4:$D$1503,$B85,采购进货!$B$4:$B$1503,"&gt;="&amp;DATE(年度,10,1),采购进货!$B$4:$B$1503,"&lt;"&amp;DATE(年度,10+1,1)))</f>
        <v>0</v>
      </c>
      <c r="DM85" s="186">
        <f>IF($B85="",0,SUMIFS(采购进货!$G$4:$G$1503,采购进货!$D$4:$D$1503,$B85,采购进货!$B$4:$B$1503,"&gt;="&amp;DATE(年度,10,1),采购进货!$B$4:$B$1503,"&lt;"&amp;DATE(年度,10+1,1)))</f>
        <v>0</v>
      </c>
      <c r="DN85" s="234">
        <f>DI85+DL85</f>
        <v>0</v>
      </c>
      <c r="DO85" s="235">
        <f>DJ85+DM85</f>
        <v>0</v>
      </c>
      <c r="DP85" s="222">
        <f>IF(AND(DN85&gt;0,DO85&gt;0),DO85/DN85,N($E85))</f>
        <v>0</v>
      </c>
      <c r="DQ85" s="220">
        <f>IF($B85="",0,SUMIFS(出库明细!$E$4:$E$3003,出库明细!$D$4:$D$3003,$B85,出库明细!$B$4:$B$3003,"&gt;="&amp;DATE(年度,10,1),出库明细!$B$4:$B$3003,"&lt;"&amp;DATE(年度,10+1,1)))</f>
        <v>0</v>
      </c>
      <c r="DR85" s="186">
        <f>DQ85*DP85</f>
        <v>0</v>
      </c>
      <c r="DS85" s="220">
        <f>_辅助!BV83</f>
        <v>0</v>
      </c>
      <c r="DT85" s="186">
        <f>_辅助!AL83</f>
        <v>0</v>
      </c>
      <c r="DU85" s="221">
        <f>DN85-DQ85-DS85</f>
        <v>0</v>
      </c>
      <c r="DV85" s="187">
        <f>DO85-DR85-DT85</f>
        <v>0</v>
      </c>
      <c r="DW85" s="236">
        <f>IF(AND(DN85&gt;0,DO85&gt;0),0,DR85)</f>
        <v>0</v>
      </c>
      <c r="DX85" s="220">
        <f>IF($B85="",0,SUMIFS(采购进货!$E$4:$E$1503,采购进货!$D$4:$D$1503,$B85,采购进货!$B$4:$B$1503,"&gt;="&amp;DATE(年度,11,1),采购进货!$B$4:$B$1503,"&lt;"&amp;DATE(年度,11+1,1))+SUMIFS(采购进货!$H$4:$H$1503,采购进货!$D$4:$D$1503,$B85,采购进货!$B$4:$B$1503,"&gt;="&amp;DATE(年度,11,1),采购进货!$B$4:$B$1503,"&lt;"&amp;DATE(年度,11+1,1)))</f>
        <v>0</v>
      </c>
      <c r="DY85" s="186">
        <f>IF($B85="",0,SUMIFS(采购进货!$G$4:$G$1503,采购进货!$D$4:$D$1503,$B85,采购进货!$B$4:$B$1503,"&gt;="&amp;DATE(年度,11,1),采购进货!$B$4:$B$1503,"&lt;"&amp;DATE(年度,11+1,1)))</f>
        <v>0</v>
      </c>
      <c r="DZ85" s="234">
        <f>DU85+DX85</f>
        <v>0</v>
      </c>
      <c r="EA85" s="235">
        <f>DV85+DY85</f>
        <v>0</v>
      </c>
      <c r="EB85" s="222">
        <f>IF(AND(DZ85&gt;0,EA85&gt;0),EA85/DZ85,N($E85))</f>
        <v>0</v>
      </c>
      <c r="EC85" s="220">
        <f>IF($B85="",0,SUMIFS(出库明细!$E$4:$E$3003,出库明细!$D$4:$D$3003,$B85,出库明细!$B$4:$B$3003,"&gt;="&amp;DATE(年度,11,1),出库明细!$B$4:$B$3003,"&lt;"&amp;DATE(年度,11+1,1)))</f>
        <v>0</v>
      </c>
      <c r="ED85" s="186">
        <f>EC85*EB85</f>
        <v>0</v>
      </c>
      <c r="EE85" s="220">
        <f>_辅助!BW83</f>
        <v>0</v>
      </c>
      <c r="EF85" s="186">
        <f>_辅助!AM83</f>
        <v>0</v>
      </c>
      <c r="EG85" s="221">
        <f>DZ85-EC85-EE85</f>
        <v>0</v>
      </c>
      <c r="EH85" s="187">
        <f>EA85-ED85-EF85</f>
        <v>0</v>
      </c>
      <c r="EI85" s="236">
        <f>IF(AND(DZ85&gt;0,EA85&gt;0),0,ED85)</f>
        <v>0</v>
      </c>
      <c r="EJ85" s="220">
        <f>IF($B85="",0,SUMIFS(采购进货!$E$4:$E$1503,采购进货!$D$4:$D$1503,$B85,采购进货!$B$4:$B$1503,"&gt;="&amp;DATE(年度,12,1),采购进货!$B$4:$B$1503,"&lt;"&amp;DATE(年度,12+1,1))+SUMIFS(采购进货!$H$4:$H$1503,采购进货!$D$4:$D$1503,$B85,采购进货!$B$4:$B$1503,"&gt;="&amp;DATE(年度,12,1),采购进货!$B$4:$B$1503,"&lt;"&amp;DATE(年度,12+1,1)))</f>
        <v>0</v>
      </c>
      <c r="EK85" s="186">
        <f>IF($B85="",0,SUMIFS(采购进货!$G$4:$G$1503,采购进货!$D$4:$D$1503,$B85,采购进货!$B$4:$B$1503,"&gt;="&amp;DATE(年度,12,1),采购进货!$B$4:$B$1503,"&lt;"&amp;DATE(年度,12+1,1)))</f>
        <v>0</v>
      </c>
      <c r="EL85" s="234">
        <f>EG85+EJ85</f>
        <v>0</v>
      </c>
      <c r="EM85" s="235">
        <f>EH85+EK85</f>
        <v>0</v>
      </c>
      <c r="EN85" s="222">
        <f>IF(AND(EL85&gt;0,EM85&gt;0),EM85/EL85,N($E85))</f>
        <v>0</v>
      </c>
      <c r="EO85" s="220">
        <f>IF($B85="",0,SUMIFS(出库明细!$E$4:$E$3003,出库明细!$D$4:$D$3003,$B85,出库明细!$B$4:$B$3003,"&gt;="&amp;DATE(年度,12,1),出库明细!$B$4:$B$3003,"&lt;"&amp;DATE(年度,12+1,1)))</f>
        <v>0</v>
      </c>
      <c r="EP85" s="186">
        <f>EO85*EN85</f>
        <v>0</v>
      </c>
      <c r="EQ85" s="220">
        <f>_辅助!BX83</f>
        <v>0</v>
      </c>
      <c r="ER85" s="186">
        <f>_辅助!AN83</f>
        <v>0</v>
      </c>
      <c r="ES85" s="221">
        <f>EL85-EO85-EQ85</f>
        <v>0</v>
      </c>
      <c r="ET85" s="187">
        <f>EM85-EP85-ER85</f>
        <v>0</v>
      </c>
      <c r="EU85" s="236">
        <f>IF(AND(EL85&gt;0,EM85&gt;0),0,EP85)</f>
        <v>0</v>
      </c>
    </row>
    <row r="86">
      <c r="A86" s="194">
        <f>IF(B86="","",ROW()-7)</f>
      </c>
      <c r="B86" s="141">
        <f>IF(基础资料!E83="","",基础资料!E83&amp;"")</f>
      </c>
      <c r="C86" s="230">
        <f>IF(基础资料!G83="","",基础资料!G83&amp;"")</f>
      </c>
      <c r="D86" s="194">
        <f>IF(基础资料!I83="","",基础资料!I83)</f>
      </c>
      <c r="E86" s="231">
        <f>IF(基础资料!J83="","",基础资料!J83)</f>
      </c>
      <c r="F86" s="232">
        <f>N(基础资料!L83)</f>
        <v>0</v>
      </c>
      <c r="G86" s="233">
        <f>IF(基础资料!N83="",0,基础资料!N83)</f>
        <v>0</v>
      </c>
      <c r="H86" s="220">
        <f>IF($B86="",0,SUMIFS(采购进货!$E$4:$E$1503,采购进货!$D$4:$D$1503,$B86,采购进货!$B$4:$B$1503,"&gt;="&amp;DATE(年度,1,1),采购进货!$B$4:$B$1503,"&lt;"&amp;DATE(年度,1+1,1))+SUMIFS(采购进货!$H$4:$H$1503,采购进货!$D$4:$D$1503,$B86,采购进货!$B$4:$B$1503,"&gt;="&amp;DATE(年度,1,1),采购进货!$B$4:$B$1503,"&lt;"&amp;DATE(年度,1+1,1)))</f>
        <v>0</v>
      </c>
      <c r="I86" s="186">
        <f>IF($B86="",0,SUMIFS(采购进货!$G$4:$G$1503,采购进货!$D$4:$D$1503,$B86,采购进货!$B$4:$B$1503,"&gt;="&amp;DATE(年度,1,1),采购进货!$B$4:$B$1503,"&lt;"&amp;DATE(年度,1+1,1)))</f>
        <v>0</v>
      </c>
      <c r="J86" s="234">
        <f>F86+H86</f>
        <v>0</v>
      </c>
      <c r="K86" s="235">
        <f>G86+I86</f>
        <v>0</v>
      </c>
      <c r="L86" s="222">
        <f>IF(AND(J86&gt;0,K86&gt;0),K86/J86,N($E86))</f>
        <v>0</v>
      </c>
      <c r="M86" s="220">
        <f>IF($B86="",0,SUMIFS(出库明细!$E$4:$E$3003,出库明细!$D$4:$D$3003,$B86,出库明细!$B$4:$B$3003,"&gt;="&amp;DATE(年度,1,1),出库明细!$B$4:$B$3003,"&lt;"&amp;DATE(年度,1+1,1)))</f>
        <v>0</v>
      </c>
      <c r="N86" s="186">
        <f>M86*L86</f>
        <v>0</v>
      </c>
      <c r="O86" s="220">
        <f>_辅助!BM84</f>
        <v>0</v>
      </c>
      <c r="P86" s="186">
        <f>_辅助!AC84</f>
        <v>0</v>
      </c>
      <c r="Q86" s="221">
        <f>J86-M86-O86</f>
        <v>0</v>
      </c>
      <c r="R86" s="187">
        <f>K86-N86-P86</f>
        <v>0</v>
      </c>
      <c r="S86" s="236">
        <f>IF(AND(J86&gt;0,K86&gt;0),0,N86)</f>
        <v>0</v>
      </c>
      <c r="T86" s="220">
        <f>IF($B86="",0,SUMIFS(采购进货!$E$4:$E$1503,采购进货!$D$4:$D$1503,$B86,采购进货!$B$4:$B$1503,"&gt;="&amp;DATE(年度,2,1),采购进货!$B$4:$B$1503,"&lt;"&amp;DATE(年度,2+1,1))+SUMIFS(采购进货!$H$4:$H$1503,采购进货!$D$4:$D$1503,$B86,采购进货!$B$4:$B$1503,"&gt;="&amp;DATE(年度,2,1),采购进货!$B$4:$B$1503,"&lt;"&amp;DATE(年度,2+1,1)))</f>
        <v>0</v>
      </c>
      <c r="U86" s="186">
        <f>IF($B86="",0,SUMIFS(采购进货!$G$4:$G$1503,采购进货!$D$4:$D$1503,$B86,采购进货!$B$4:$B$1503,"&gt;="&amp;DATE(年度,2,1),采购进货!$B$4:$B$1503,"&lt;"&amp;DATE(年度,2+1,1)))</f>
        <v>0</v>
      </c>
      <c r="V86" s="234">
        <f>Q86+T86</f>
        <v>0</v>
      </c>
      <c r="W86" s="235">
        <f>R86+U86</f>
        <v>0</v>
      </c>
      <c r="X86" s="222">
        <f>IF(AND(V86&gt;0,W86&gt;0),W86/V86,N($E86))</f>
        <v>0</v>
      </c>
      <c r="Y86" s="220">
        <f>IF($B86="",0,SUMIFS(出库明细!$E$4:$E$3003,出库明细!$D$4:$D$3003,$B86,出库明细!$B$4:$B$3003,"&gt;="&amp;DATE(年度,2,1),出库明细!$B$4:$B$3003,"&lt;"&amp;DATE(年度,2+1,1)))</f>
        <v>0</v>
      </c>
      <c r="Z86" s="186">
        <f>Y86*X86</f>
        <v>0</v>
      </c>
      <c r="AA86" s="220">
        <f>_辅助!BN84</f>
        <v>0</v>
      </c>
      <c r="AB86" s="186">
        <f>_辅助!AD84</f>
        <v>0</v>
      </c>
      <c r="AC86" s="221">
        <f>V86-Y86-AA86</f>
        <v>0</v>
      </c>
      <c r="AD86" s="187">
        <f>W86-Z86-AB86</f>
        <v>0</v>
      </c>
      <c r="AE86" s="236">
        <f>IF(AND(V86&gt;0,W86&gt;0),0,Z86)</f>
        <v>0</v>
      </c>
      <c r="AF86" s="220">
        <f>IF($B86="",0,SUMIFS(采购进货!$E$4:$E$1503,采购进货!$D$4:$D$1503,$B86,采购进货!$B$4:$B$1503,"&gt;="&amp;DATE(年度,3,1),采购进货!$B$4:$B$1503,"&lt;"&amp;DATE(年度,3+1,1))+SUMIFS(采购进货!$H$4:$H$1503,采购进货!$D$4:$D$1503,$B86,采购进货!$B$4:$B$1503,"&gt;="&amp;DATE(年度,3,1),采购进货!$B$4:$B$1503,"&lt;"&amp;DATE(年度,3+1,1)))</f>
        <v>0</v>
      </c>
      <c r="AG86" s="186">
        <f>IF($B86="",0,SUMIFS(采购进货!$G$4:$G$1503,采购进货!$D$4:$D$1503,$B86,采购进货!$B$4:$B$1503,"&gt;="&amp;DATE(年度,3,1),采购进货!$B$4:$B$1503,"&lt;"&amp;DATE(年度,3+1,1)))</f>
        <v>0</v>
      </c>
      <c r="AH86" s="234">
        <f>AC86+AF86</f>
        <v>0</v>
      </c>
      <c r="AI86" s="235">
        <f>AD86+AG86</f>
        <v>0</v>
      </c>
      <c r="AJ86" s="222">
        <f>IF(AND(AH86&gt;0,AI86&gt;0),AI86/AH86,N($E86))</f>
        <v>0</v>
      </c>
      <c r="AK86" s="220">
        <f>IF($B86="",0,SUMIFS(出库明细!$E$4:$E$3003,出库明细!$D$4:$D$3003,$B86,出库明细!$B$4:$B$3003,"&gt;="&amp;DATE(年度,3,1),出库明细!$B$4:$B$3003,"&lt;"&amp;DATE(年度,3+1,1)))</f>
        <v>0</v>
      </c>
      <c r="AL86" s="186">
        <f>AK86*AJ86</f>
        <v>0</v>
      </c>
      <c r="AM86" s="220">
        <f>_辅助!BO84</f>
        <v>0</v>
      </c>
      <c r="AN86" s="186">
        <f>_辅助!AE84</f>
        <v>0</v>
      </c>
      <c r="AO86" s="221">
        <f>AH86-AK86-AM86</f>
        <v>0</v>
      </c>
      <c r="AP86" s="187">
        <f>AI86-AL86-AN86</f>
        <v>0</v>
      </c>
      <c r="AQ86" s="236">
        <f>IF(AND(AH86&gt;0,AI86&gt;0),0,AL86)</f>
        <v>0</v>
      </c>
      <c r="AR86" s="220">
        <f>IF($B86="",0,SUMIFS(采购进货!$E$4:$E$1503,采购进货!$D$4:$D$1503,$B86,采购进货!$B$4:$B$1503,"&gt;="&amp;DATE(年度,4,1),采购进货!$B$4:$B$1503,"&lt;"&amp;DATE(年度,4+1,1))+SUMIFS(采购进货!$H$4:$H$1503,采购进货!$D$4:$D$1503,$B86,采购进货!$B$4:$B$1503,"&gt;="&amp;DATE(年度,4,1),采购进货!$B$4:$B$1503,"&lt;"&amp;DATE(年度,4+1,1)))</f>
        <v>0</v>
      </c>
      <c r="AS86" s="186">
        <f>IF($B86="",0,SUMIFS(采购进货!$G$4:$G$1503,采购进货!$D$4:$D$1503,$B86,采购进货!$B$4:$B$1503,"&gt;="&amp;DATE(年度,4,1),采购进货!$B$4:$B$1503,"&lt;"&amp;DATE(年度,4+1,1)))</f>
        <v>0</v>
      </c>
      <c r="AT86" s="234">
        <f>AO86+AR86</f>
        <v>0</v>
      </c>
      <c r="AU86" s="235">
        <f>AP86+AS86</f>
        <v>0</v>
      </c>
      <c r="AV86" s="222">
        <f>IF(AND(AT86&gt;0,AU86&gt;0),AU86/AT86,N($E86))</f>
        <v>0</v>
      </c>
      <c r="AW86" s="220">
        <f>IF($B86="",0,SUMIFS(出库明细!$E$4:$E$3003,出库明细!$D$4:$D$3003,$B86,出库明细!$B$4:$B$3003,"&gt;="&amp;DATE(年度,4,1),出库明细!$B$4:$B$3003,"&lt;"&amp;DATE(年度,4+1,1)))</f>
        <v>0</v>
      </c>
      <c r="AX86" s="186">
        <f>AW86*AV86</f>
        <v>0</v>
      </c>
      <c r="AY86" s="220">
        <f>_辅助!BP84</f>
        <v>0</v>
      </c>
      <c r="AZ86" s="186">
        <f>_辅助!AF84</f>
        <v>0</v>
      </c>
      <c r="BA86" s="221">
        <f>AT86-AW86-AY86</f>
        <v>0</v>
      </c>
      <c r="BB86" s="187">
        <f>AU86-AX86-AZ86</f>
        <v>0</v>
      </c>
      <c r="BC86" s="236">
        <f>IF(AND(AT86&gt;0,AU86&gt;0),0,AX86)</f>
        <v>0</v>
      </c>
      <c r="BD86" s="220">
        <f>IF($B86="",0,SUMIFS(采购进货!$E$4:$E$1503,采购进货!$D$4:$D$1503,$B86,采购进货!$B$4:$B$1503,"&gt;="&amp;DATE(年度,5,1),采购进货!$B$4:$B$1503,"&lt;"&amp;DATE(年度,5+1,1))+SUMIFS(采购进货!$H$4:$H$1503,采购进货!$D$4:$D$1503,$B86,采购进货!$B$4:$B$1503,"&gt;="&amp;DATE(年度,5,1),采购进货!$B$4:$B$1503,"&lt;"&amp;DATE(年度,5+1,1)))</f>
        <v>0</v>
      </c>
      <c r="BE86" s="186">
        <f>IF($B86="",0,SUMIFS(采购进货!$G$4:$G$1503,采购进货!$D$4:$D$1503,$B86,采购进货!$B$4:$B$1503,"&gt;="&amp;DATE(年度,5,1),采购进货!$B$4:$B$1503,"&lt;"&amp;DATE(年度,5+1,1)))</f>
        <v>0</v>
      </c>
      <c r="BF86" s="234">
        <f>BA86+BD86</f>
        <v>0</v>
      </c>
      <c r="BG86" s="235">
        <f>BB86+BE86</f>
        <v>0</v>
      </c>
      <c r="BH86" s="222">
        <f>IF(AND(BF86&gt;0,BG86&gt;0),BG86/BF86,N($E86))</f>
        <v>0</v>
      </c>
      <c r="BI86" s="220">
        <f>IF($B86="",0,SUMIFS(出库明细!$E$4:$E$3003,出库明细!$D$4:$D$3003,$B86,出库明细!$B$4:$B$3003,"&gt;="&amp;DATE(年度,5,1),出库明细!$B$4:$B$3003,"&lt;"&amp;DATE(年度,5+1,1)))</f>
        <v>0</v>
      </c>
      <c r="BJ86" s="186">
        <f>BI86*BH86</f>
        <v>0</v>
      </c>
      <c r="BK86" s="220">
        <f>_辅助!BQ84</f>
        <v>0</v>
      </c>
      <c r="BL86" s="186">
        <f>_辅助!AG84</f>
        <v>0</v>
      </c>
      <c r="BM86" s="221">
        <f>BF86-BI86-BK86</f>
        <v>0</v>
      </c>
      <c r="BN86" s="187">
        <f>BG86-BJ86-BL86</f>
        <v>0</v>
      </c>
      <c r="BO86" s="236">
        <f>IF(AND(BF86&gt;0,BG86&gt;0),0,BJ86)</f>
        <v>0</v>
      </c>
      <c r="BP86" s="220">
        <f>IF($B86="",0,SUMIFS(采购进货!$E$4:$E$1503,采购进货!$D$4:$D$1503,$B86,采购进货!$B$4:$B$1503,"&gt;="&amp;DATE(年度,6,1),采购进货!$B$4:$B$1503,"&lt;"&amp;DATE(年度,6+1,1))+SUMIFS(采购进货!$H$4:$H$1503,采购进货!$D$4:$D$1503,$B86,采购进货!$B$4:$B$1503,"&gt;="&amp;DATE(年度,6,1),采购进货!$B$4:$B$1503,"&lt;"&amp;DATE(年度,6+1,1)))</f>
        <v>0</v>
      </c>
      <c r="BQ86" s="186">
        <f>IF($B86="",0,SUMIFS(采购进货!$G$4:$G$1503,采购进货!$D$4:$D$1503,$B86,采购进货!$B$4:$B$1503,"&gt;="&amp;DATE(年度,6,1),采购进货!$B$4:$B$1503,"&lt;"&amp;DATE(年度,6+1,1)))</f>
        <v>0</v>
      </c>
      <c r="BR86" s="234">
        <f>BM86+BP86</f>
        <v>0</v>
      </c>
      <c r="BS86" s="235">
        <f>BN86+BQ86</f>
        <v>0</v>
      </c>
      <c r="BT86" s="222">
        <f>IF(AND(BR86&gt;0,BS86&gt;0),BS86/BR86,N($E86))</f>
        <v>0</v>
      </c>
      <c r="BU86" s="220">
        <f>IF($B86="",0,SUMIFS(出库明细!$E$4:$E$3003,出库明细!$D$4:$D$3003,$B86,出库明细!$B$4:$B$3003,"&gt;="&amp;DATE(年度,6,1),出库明细!$B$4:$B$3003,"&lt;"&amp;DATE(年度,6+1,1)))</f>
        <v>0</v>
      </c>
      <c r="BV86" s="186">
        <f>BU86*BT86</f>
        <v>0</v>
      </c>
      <c r="BW86" s="220">
        <f>_辅助!BR84</f>
        <v>0</v>
      </c>
      <c r="BX86" s="186">
        <f>_辅助!AH84</f>
        <v>0</v>
      </c>
      <c r="BY86" s="221">
        <f>BR86-BU86-BW86</f>
        <v>0</v>
      </c>
      <c r="BZ86" s="187">
        <f>BS86-BV86-BX86</f>
        <v>0</v>
      </c>
      <c r="CA86" s="236">
        <f>IF(AND(BR86&gt;0,BS86&gt;0),0,BV86)</f>
        <v>0</v>
      </c>
      <c r="CB86" s="220">
        <f>IF($B86="",0,SUMIFS(采购进货!$E$4:$E$1503,采购进货!$D$4:$D$1503,$B86,采购进货!$B$4:$B$1503,"&gt;="&amp;DATE(年度,7,1),采购进货!$B$4:$B$1503,"&lt;"&amp;DATE(年度,7+1,1))+SUMIFS(采购进货!$H$4:$H$1503,采购进货!$D$4:$D$1503,$B86,采购进货!$B$4:$B$1503,"&gt;="&amp;DATE(年度,7,1),采购进货!$B$4:$B$1503,"&lt;"&amp;DATE(年度,7+1,1)))</f>
        <v>0</v>
      </c>
      <c r="CC86" s="186">
        <f>IF($B86="",0,SUMIFS(采购进货!$G$4:$G$1503,采购进货!$D$4:$D$1503,$B86,采购进货!$B$4:$B$1503,"&gt;="&amp;DATE(年度,7,1),采购进货!$B$4:$B$1503,"&lt;"&amp;DATE(年度,7+1,1)))</f>
        <v>0</v>
      </c>
      <c r="CD86" s="234">
        <f>BY86+CB86</f>
        <v>0</v>
      </c>
      <c r="CE86" s="235">
        <f>BZ86+CC86</f>
        <v>0</v>
      </c>
      <c r="CF86" s="222">
        <f>IF(AND(CD86&gt;0,CE86&gt;0),CE86/CD86,N($E86))</f>
        <v>0</v>
      </c>
      <c r="CG86" s="220">
        <f>IF($B86="",0,SUMIFS(出库明细!$E$4:$E$3003,出库明细!$D$4:$D$3003,$B86,出库明细!$B$4:$B$3003,"&gt;="&amp;DATE(年度,7,1),出库明细!$B$4:$B$3003,"&lt;"&amp;DATE(年度,7+1,1)))</f>
        <v>0</v>
      </c>
      <c r="CH86" s="186">
        <f>CG86*CF86</f>
        <v>0</v>
      </c>
      <c r="CI86" s="220">
        <f>_辅助!BS84</f>
        <v>0</v>
      </c>
      <c r="CJ86" s="186">
        <f>_辅助!AI84</f>
        <v>0</v>
      </c>
      <c r="CK86" s="221">
        <f>CD86-CG86-CI86</f>
        <v>0</v>
      </c>
      <c r="CL86" s="187">
        <f>CE86-CH86-CJ86</f>
        <v>0</v>
      </c>
      <c r="CM86" s="236">
        <f>IF(AND(CD86&gt;0,CE86&gt;0),0,CH86)</f>
        <v>0</v>
      </c>
      <c r="CN86" s="220">
        <f>IF($B86="",0,SUMIFS(采购进货!$E$4:$E$1503,采购进货!$D$4:$D$1503,$B86,采购进货!$B$4:$B$1503,"&gt;="&amp;DATE(年度,8,1),采购进货!$B$4:$B$1503,"&lt;"&amp;DATE(年度,8+1,1))+SUMIFS(采购进货!$H$4:$H$1503,采购进货!$D$4:$D$1503,$B86,采购进货!$B$4:$B$1503,"&gt;="&amp;DATE(年度,8,1),采购进货!$B$4:$B$1503,"&lt;"&amp;DATE(年度,8+1,1)))</f>
        <v>0</v>
      </c>
      <c r="CO86" s="186">
        <f>IF($B86="",0,SUMIFS(采购进货!$G$4:$G$1503,采购进货!$D$4:$D$1503,$B86,采购进货!$B$4:$B$1503,"&gt;="&amp;DATE(年度,8,1),采购进货!$B$4:$B$1503,"&lt;"&amp;DATE(年度,8+1,1)))</f>
        <v>0</v>
      </c>
      <c r="CP86" s="234">
        <f>CK86+CN86</f>
        <v>0</v>
      </c>
      <c r="CQ86" s="235">
        <f>CL86+CO86</f>
        <v>0</v>
      </c>
      <c r="CR86" s="222">
        <f>IF(AND(CP86&gt;0,CQ86&gt;0),CQ86/CP86,N($E86))</f>
        <v>0</v>
      </c>
      <c r="CS86" s="220">
        <f>IF($B86="",0,SUMIFS(出库明细!$E$4:$E$3003,出库明细!$D$4:$D$3003,$B86,出库明细!$B$4:$B$3003,"&gt;="&amp;DATE(年度,8,1),出库明细!$B$4:$B$3003,"&lt;"&amp;DATE(年度,8+1,1)))</f>
        <v>0</v>
      </c>
      <c r="CT86" s="186">
        <f>CS86*CR86</f>
        <v>0</v>
      </c>
      <c r="CU86" s="220">
        <f>_辅助!BT84</f>
        <v>0</v>
      </c>
      <c r="CV86" s="186">
        <f>_辅助!AJ84</f>
        <v>0</v>
      </c>
      <c r="CW86" s="221">
        <f>CP86-CS86-CU86</f>
        <v>0</v>
      </c>
      <c r="CX86" s="187">
        <f>CQ86-CT86-CV86</f>
        <v>0</v>
      </c>
      <c r="CY86" s="236">
        <f>IF(AND(CP86&gt;0,CQ86&gt;0),0,CT86)</f>
        <v>0</v>
      </c>
      <c r="CZ86" s="220">
        <f>IF($B86="",0,SUMIFS(采购进货!$E$4:$E$1503,采购进货!$D$4:$D$1503,$B86,采购进货!$B$4:$B$1503,"&gt;="&amp;DATE(年度,9,1),采购进货!$B$4:$B$1503,"&lt;"&amp;DATE(年度,9+1,1))+SUMIFS(采购进货!$H$4:$H$1503,采购进货!$D$4:$D$1503,$B86,采购进货!$B$4:$B$1503,"&gt;="&amp;DATE(年度,9,1),采购进货!$B$4:$B$1503,"&lt;"&amp;DATE(年度,9+1,1)))</f>
        <v>0</v>
      </c>
      <c r="DA86" s="186">
        <f>IF($B86="",0,SUMIFS(采购进货!$G$4:$G$1503,采购进货!$D$4:$D$1503,$B86,采购进货!$B$4:$B$1503,"&gt;="&amp;DATE(年度,9,1),采购进货!$B$4:$B$1503,"&lt;"&amp;DATE(年度,9+1,1)))</f>
        <v>0</v>
      </c>
      <c r="DB86" s="234">
        <f>CW86+CZ86</f>
        <v>0</v>
      </c>
      <c r="DC86" s="235">
        <f>CX86+DA86</f>
        <v>0</v>
      </c>
      <c r="DD86" s="222">
        <f>IF(AND(DB86&gt;0,DC86&gt;0),DC86/DB86,N($E86))</f>
        <v>0</v>
      </c>
      <c r="DE86" s="220">
        <f>IF($B86="",0,SUMIFS(出库明细!$E$4:$E$3003,出库明细!$D$4:$D$3003,$B86,出库明细!$B$4:$B$3003,"&gt;="&amp;DATE(年度,9,1),出库明细!$B$4:$B$3003,"&lt;"&amp;DATE(年度,9+1,1)))</f>
        <v>0</v>
      </c>
      <c r="DF86" s="186">
        <f>DE86*DD86</f>
        <v>0</v>
      </c>
      <c r="DG86" s="220">
        <f>_辅助!BU84</f>
        <v>0</v>
      </c>
      <c r="DH86" s="186">
        <f>_辅助!AK84</f>
        <v>0</v>
      </c>
      <c r="DI86" s="221">
        <f>DB86-DE86-DG86</f>
        <v>0</v>
      </c>
      <c r="DJ86" s="187">
        <f>DC86-DF86-DH86</f>
        <v>0</v>
      </c>
      <c r="DK86" s="236">
        <f>IF(AND(DB86&gt;0,DC86&gt;0),0,DF86)</f>
        <v>0</v>
      </c>
      <c r="DL86" s="220">
        <f>IF($B86="",0,SUMIFS(采购进货!$E$4:$E$1503,采购进货!$D$4:$D$1503,$B86,采购进货!$B$4:$B$1503,"&gt;="&amp;DATE(年度,10,1),采购进货!$B$4:$B$1503,"&lt;"&amp;DATE(年度,10+1,1))+SUMIFS(采购进货!$H$4:$H$1503,采购进货!$D$4:$D$1503,$B86,采购进货!$B$4:$B$1503,"&gt;="&amp;DATE(年度,10,1),采购进货!$B$4:$B$1503,"&lt;"&amp;DATE(年度,10+1,1)))</f>
        <v>0</v>
      </c>
      <c r="DM86" s="186">
        <f>IF($B86="",0,SUMIFS(采购进货!$G$4:$G$1503,采购进货!$D$4:$D$1503,$B86,采购进货!$B$4:$B$1503,"&gt;="&amp;DATE(年度,10,1),采购进货!$B$4:$B$1503,"&lt;"&amp;DATE(年度,10+1,1)))</f>
        <v>0</v>
      </c>
      <c r="DN86" s="234">
        <f>DI86+DL86</f>
        <v>0</v>
      </c>
      <c r="DO86" s="235">
        <f>DJ86+DM86</f>
        <v>0</v>
      </c>
      <c r="DP86" s="222">
        <f>IF(AND(DN86&gt;0,DO86&gt;0),DO86/DN86,N($E86))</f>
        <v>0</v>
      </c>
      <c r="DQ86" s="220">
        <f>IF($B86="",0,SUMIFS(出库明细!$E$4:$E$3003,出库明细!$D$4:$D$3003,$B86,出库明细!$B$4:$B$3003,"&gt;="&amp;DATE(年度,10,1),出库明细!$B$4:$B$3003,"&lt;"&amp;DATE(年度,10+1,1)))</f>
        <v>0</v>
      </c>
      <c r="DR86" s="186">
        <f>DQ86*DP86</f>
        <v>0</v>
      </c>
      <c r="DS86" s="220">
        <f>_辅助!BV84</f>
        <v>0</v>
      </c>
      <c r="DT86" s="186">
        <f>_辅助!AL84</f>
        <v>0</v>
      </c>
      <c r="DU86" s="221">
        <f>DN86-DQ86-DS86</f>
        <v>0</v>
      </c>
      <c r="DV86" s="187">
        <f>DO86-DR86-DT86</f>
        <v>0</v>
      </c>
      <c r="DW86" s="236">
        <f>IF(AND(DN86&gt;0,DO86&gt;0),0,DR86)</f>
        <v>0</v>
      </c>
      <c r="DX86" s="220">
        <f>IF($B86="",0,SUMIFS(采购进货!$E$4:$E$1503,采购进货!$D$4:$D$1503,$B86,采购进货!$B$4:$B$1503,"&gt;="&amp;DATE(年度,11,1),采购进货!$B$4:$B$1503,"&lt;"&amp;DATE(年度,11+1,1))+SUMIFS(采购进货!$H$4:$H$1503,采购进货!$D$4:$D$1503,$B86,采购进货!$B$4:$B$1503,"&gt;="&amp;DATE(年度,11,1),采购进货!$B$4:$B$1503,"&lt;"&amp;DATE(年度,11+1,1)))</f>
        <v>0</v>
      </c>
      <c r="DY86" s="186">
        <f>IF($B86="",0,SUMIFS(采购进货!$G$4:$G$1503,采购进货!$D$4:$D$1503,$B86,采购进货!$B$4:$B$1503,"&gt;="&amp;DATE(年度,11,1),采购进货!$B$4:$B$1503,"&lt;"&amp;DATE(年度,11+1,1)))</f>
        <v>0</v>
      </c>
      <c r="DZ86" s="234">
        <f>DU86+DX86</f>
        <v>0</v>
      </c>
      <c r="EA86" s="235">
        <f>DV86+DY86</f>
        <v>0</v>
      </c>
      <c r="EB86" s="222">
        <f>IF(AND(DZ86&gt;0,EA86&gt;0),EA86/DZ86,N($E86))</f>
        <v>0</v>
      </c>
      <c r="EC86" s="220">
        <f>IF($B86="",0,SUMIFS(出库明细!$E$4:$E$3003,出库明细!$D$4:$D$3003,$B86,出库明细!$B$4:$B$3003,"&gt;="&amp;DATE(年度,11,1),出库明细!$B$4:$B$3003,"&lt;"&amp;DATE(年度,11+1,1)))</f>
        <v>0</v>
      </c>
      <c r="ED86" s="186">
        <f>EC86*EB86</f>
        <v>0</v>
      </c>
      <c r="EE86" s="220">
        <f>_辅助!BW84</f>
        <v>0</v>
      </c>
      <c r="EF86" s="186">
        <f>_辅助!AM84</f>
        <v>0</v>
      </c>
      <c r="EG86" s="221">
        <f>DZ86-EC86-EE86</f>
        <v>0</v>
      </c>
      <c r="EH86" s="187">
        <f>EA86-ED86-EF86</f>
        <v>0</v>
      </c>
      <c r="EI86" s="236">
        <f>IF(AND(DZ86&gt;0,EA86&gt;0),0,ED86)</f>
        <v>0</v>
      </c>
      <c r="EJ86" s="220">
        <f>IF($B86="",0,SUMIFS(采购进货!$E$4:$E$1503,采购进货!$D$4:$D$1503,$B86,采购进货!$B$4:$B$1503,"&gt;="&amp;DATE(年度,12,1),采购进货!$B$4:$B$1503,"&lt;"&amp;DATE(年度,12+1,1))+SUMIFS(采购进货!$H$4:$H$1503,采购进货!$D$4:$D$1503,$B86,采购进货!$B$4:$B$1503,"&gt;="&amp;DATE(年度,12,1),采购进货!$B$4:$B$1503,"&lt;"&amp;DATE(年度,12+1,1)))</f>
        <v>0</v>
      </c>
      <c r="EK86" s="186">
        <f>IF($B86="",0,SUMIFS(采购进货!$G$4:$G$1503,采购进货!$D$4:$D$1503,$B86,采购进货!$B$4:$B$1503,"&gt;="&amp;DATE(年度,12,1),采购进货!$B$4:$B$1503,"&lt;"&amp;DATE(年度,12+1,1)))</f>
        <v>0</v>
      </c>
      <c r="EL86" s="234">
        <f>EG86+EJ86</f>
        <v>0</v>
      </c>
      <c r="EM86" s="235">
        <f>EH86+EK86</f>
        <v>0</v>
      </c>
      <c r="EN86" s="222">
        <f>IF(AND(EL86&gt;0,EM86&gt;0),EM86/EL86,N($E86))</f>
        <v>0</v>
      </c>
      <c r="EO86" s="220">
        <f>IF($B86="",0,SUMIFS(出库明细!$E$4:$E$3003,出库明细!$D$4:$D$3003,$B86,出库明细!$B$4:$B$3003,"&gt;="&amp;DATE(年度,12,1),出库明细!$B$4:$B$3003,"&lt;"&amp;DATE(年度,12+1,1)))</f>
        <v>0</v>
      </c>
      <c r="EP86" s="186">
        <f>EO86*EN86</f>
        <v>0</v>
      </c>
      <c r="EQ86" s="220">
        <f>_辅助!BX84</f>
        <v>0</v>
      </c>
      <c r="ER86" s="186">
        <f>_辅助!AN84</f>
        <v>0</v>
      </c>
      <c r="ES86" s="221">
        <f>EL86-EO86-EQ86</f>
        <v>0</v>
      </c>
      <c r="ET86" s="187">
        <f>EM86-EP86-ER86</f>
        <v>0</v>
      </c>
      <c r="EU86" s="236">
        <f>IF(AND(EL86&gt;0,EM86&gt;0),0,EP86)</f>
        <v>0</v>
      </c>
    </row>
    <row r="87">
      <c r="A87" s="194">
        <f>IF(B87="","",ROW()-7)</f>
      </c>
      <c r="B87" s="141">
        <f>IF(基础资料!E84="","",基础资料!E84&amp;"")</f>
      </c>
      <c r="C87" s="230">
        <f>IF(基础资料!G84="","",基础资料!G84&amp;"")</f>
      </c>
      <c r="D87" s="194">
        <f>IF(基础资料!I84="","",基础资料!I84)</f>
      </c>
      <c r="E87" s="231">
        <f>IF(基础资料!J84="","",基础资料!J84)</f>
      </c>
      <c r="F87" s="232">
        <f>N(基础资料!L84)</f>
        <v>0</v>
      </c>
      <c r="G87" s="233">
        <f>IF(基础资料!N84="",0,基础资料!N84)</f>
        <v>0</v>
      </c>
      <c r="H87" s="220">
        <f>IF($B87="",0,SUMIFS(采购进货!$E$4:$E$1503,采购进货!$D$4:$D$1503,$B87,采购进货!$B$4:$B$1503,"&gt;="&amp;DATE(年度,1,1),采购进货!$B$4:$B$1503,"&lt;"&amp;DATE(年度,1+1,1))+SUMIFS(采购进货!$H$4:$H$1503,采购进货!$D$4:$D$1503,$B87,采购进货!$B$4:$B$1503,"&gt;="&amp;DATE(年度,1,1),采购进货!$B$4:$B$1503,"&lt;"&amp;DATE(年度,1+1,1)))</f>
        <v>0</v>
      </c>
      <c r="I87" s="186">
        <f>IF($B87="",0,SUMIFS(采购进货!$G$4:$G$1503,采购进货!$D$4:$D$1503,$B87,采购进货!$B$4:$B$1503,"&gt;="&amp;DATE(年度,1,1),采购进货!$B$4:$B$1503,"&lt;"&amp;DATE(年度,1+1,1)))</f>
        <v>0</v>
      </c>
      <c r="J87" s="234">
        <f>F87+H87</f>
        <v>0</v>
      </c>
      <c r="K87" s="235">
        <f>G87+I87</f>
        <v>0</v>
      </c>
      <c r="L87" s="222">
        <f>IF(AND(J87&gt;0,K87&gt;0),K87/J87,N($E87))</f>
        <v>0</v>
      </c>
      <c r="M87" s="220">
        <f>IF($B87="",0,SUMIFS(出库明细!$E$4:$E$3003,出库明细!$D$4:$D$3003,$B87,出库明细!$B$4:$B$3003,"&gt;="&amp;DATE(年度,1,1),出库明细!$B$4:$B$3003,"&lt;"&amp;DATE(年度,1+1,1)))</f>
        <v>0</v>
      </c>
      <c r="N87" s="186">
        <f>M87*L87</f>
        <v>0</v>
      </c>
      <c r="O87" s="220">
        <f>_辅助!BM85</f>
        <v>0</v>
      </c>
      <c r="P87" s="186">
        <f>_辅助!AC85</f>
        <v>0</v>
      </c>
      <c r="Q87" s="221">
        <f>J87-M87-O87</f>
        <v>0</v>
      </c>
      <c r="R87" s="187">
        <f>K87-N87-P87</f>
        <v>0</v>
      </c>
      <c r="S87" s="236">
        <f>IF(AND(J87&gt;0,K87&gt;0),0,N87)</f>
        <v>0</v>
      </c>
      <c r="T87" s="220">
        <f>IF($B87="",0,SUMIFS(采购进货!$E$4:$E$1503,采购进货!$D$4:$D$1503,$B87,采购进货!$B$4:$B$1503,"&gt;="&amp;DATE(年度,2,1),采购进货!$B$4:$B$1503,"&lt;"&amp;DATE(年度,2+1,1))+SUMIFS(采购进货!$H$4:$H$1503,采购进货!$D$4:$D$1503,$B87,采购进货!$B$4:$B$1503,"&gt;="&amp;DATE(年度,2,1),采购进货!$B$4:$B$1503,"&lt;"&amp;DATE(年度,2+1,1)))</f>
        <v>0</v>
      </c>
      <c r="U87" s="186">
        <f>IF($B87="",0,SUMIFS(采购进货!$G$4:$G$1503,采购进货!$D$4:$D$1503,$B87,采购进货!$B$4:$B$1503,"&gt;="&amp;DATE(年度,2,1),采购进货!$B$4:$B$1503,"&lt;"&amp;DATE(年度,2+1,1)))</f>
        <v>0</v>
      </c>
      <c r="V87" s="234">
        <f>Q87+T87</f>
        <v>0</v>
      </c>
      <c r="W87" s="235">
        <f>R87+U87</f>
        <v>0</v>
      </c>
      <c r="X87" s="222">
        <f>IF(AND(V87&gt;0,W87&gt;0),W87/V87,N($E87))</f>
        <v>0</v>
      </c>
      <c r="Y87" s="220">
        <f>IF($B87="",0,SUMIFS(出库明细!$E$4:$E$3003,出库明细!$D$4:$D$3003,$B87,出库明细!$B$4:$B$3003,"&gt;="&amp;DATE(年度,2,1),出库明细!$B$4:$B$3003,"&lt;"&amp;DATE(年度,2+1,1)))</f>
        <v>0</v>
      </c>
      <c r="Z87" s="186">
        <f>Y87*X87</f>
        <v>0</v>
      </c>
      <c r="AA87" s="220">
        <f>_辅助!BN85</f>
        <v>0</v>
      </c>
      <c r="AB87" s="186">
        <f>_辅助!AD85</f>
        <v>0</v>
      </c>
      <c r="AC87" s="221">
        <f>V87-Y87-AA87</f>
        <v>0</v>
      </c>
      <c r="AD87" s="187">
        <f>W87-Z87-AB87</f>
        <v>0</v>
      </c>
      <c r="AE87" s="236">
        <f>IF(AND(V87&gt;0,W87&gt;0),0,Z87)</f>
        <v>0</v>
      </c>
      <c r="AF87" s="220">
        <f>IF($B87="",0,SUMIFS(采购进货!$E$4:$E$1503,采购进货!$D$4:$D$1503,$B87,采购进货!$B$4:$B$1503,"&gt;="&amp;DATE(年度,3,1),采购进货!$B$4:$B$1503,"&lt;"&amp;DATE(年度,3+1,1))+SUMIFS(采购进货!$H$4:$H$1503,采购进货!$D$4:$D$1503,$B87,采购进货!$B$4:$B$1503,"&gt;="&amp;DATE(年度,3,1),采购进货!$B$4:$B$1503,"&lt;"&amp;DATE(年度,3+1,1)))</f>
        <v>0</v>
      </c>
      <c r="AG87" s="186">
        <f>IF($B87="",0,SUMIFS(采购进货!$G$4:$G$1503,采购进货!$D$4:$D$1503,$B87,采购进货!$B$4:$B$1503,"&gt;="&amp;DATE(年度,3,1),采购进货!$B$4:$B$1503,"&lt;"&amp;DATE(年度,3+1,1)))</f>
        <v>0</v>
      </c>
      <c r="AH87" s="234">
        <f>AC87+AF87</f>
        <v>0</v>
      </c>
      <c r="AI87" s="235">
        <f>AD87+AG87</f>
        <v>0</v>
      </c>
      <c r="AJ87" s="222">
        <f>IF(AND(AH87&gt;0,AI87&gt;0),AI87/AH87,N($E87))</f>
        <v>0</v>
      </c>
      <c r="AK87" s="220">
        <f>IF($B87="",0,SUMIFS(出库明细!$E$4:$E$3003,出库明细!$D$4:$D$3003,$B87,出库明细!$B$4:$B$3003,"&gt;="&amp;DATE(年度,3,1),出库明细!$B$4:$B$3003,"&lt;"&amp;DATE(年度,3+1,1)))</f>
        <v>0</v>
      </c>
      <c r="AL87" s="186">
        <f>AK87*AJ87</f>
        <v>0</v>
      </c>
      <c r="AM87" s="220">
        <f>_辅助!BO85</f>
        <v>0</v>
      </c>
      <c r="AN87" s="186">
        <f>_辅助!AE85</f>
        <v>0</v>
      </c>
      <c r="AO87" s="221">
        <f>AH87-AK87-AM87</f>
        <v>0</v>
      </c>
      <c r="AP87" s="187">
        <f>AI87-AL87-AN87</f>
        <v>0</v>
      </c>
      <c r="AQ87" s="236">
        <f>IF(AND(AH87&gt;0,AI87&gt;0),0,AL87)</f>
        <v>0</v>
      </c>
      <c r="AR87" s="220">
        <f>IF($B87="",0,SUMIFS(采购进货!$E$4:$E$1503,采购进货!$D$4:$D$1503,$B87,采购进货!$B$4:$B$1503,"&gt;="&amp;DATE(年度,4,1),采购进货!$B$4:$B$1503,"&lt;"&amp;DATE(年度,4+1,1))+SUMIFS(采购进货!$H$4:$H$1503,采购进货!$D$4:$D$1503,$B87,采购进货!$B$4:$B$1503,"&gt;="&amp;DATE(年度,4,1),采购进货!$B$4:$B$1503,"&lt;"&amp;DATE(年度,4+1,1)))</f>
        <v>0</v>
      </c>
      <c r="AS87" s="186">
        <f>IF($B87="",0,SUMIFS(采购进货!$G$4:$G$1503,采购进货!$D$4:$D$1503,$B87,采购进货!$B$4:$B$1503,"&gt;="&amp;DATE(年度,4,1),采购进货!$B$4:$B$1503,"&lt;"&amp;DATE(年度,4+1,1)))</f>
        <v>0</v>
      </c>
      <c r="AT87" s="234">
        <f>AO87+AR87</f>
        <v>0</v>
      </c>
      <c r="AU87" s="235">
        <f>AP87+AS87</f>
        <v>0</v>
      </c>
      <c r="AV87" s="222">
        <f>IF(AND(AT87&gt;0,AU87&gt;0),AU87/AT87,N($E87))</f>
        <v>0</v>
      </c>
      <c r="AW87" s="220">
        <f>IF($B87="",0,SUMIFS(出库明细!$E$4:$E$3003,出库明细!$D$4:$D$3003,$B87,出库明细!$B$4:$B$3003,"&gt;="&amp;DATE(年度,4,1),出库明细!$B$4:$B$3003,"&lt;"&amp;DATE(年度,4+1,1)))</f>
        <v>0</v>
      </c>
      <c r="AX87" s="186">
        <f>AW87*AV87</f>
        <v>0</v>
      </c>
      <c r="AY87" s="220">
        <f>_辅助!BP85</f>
        <v>0</v>
      </c>
      <c r="AZ87" s="186">
        <f>_辅助!AF85</f>
        <v>0</v>
      </c>
      <c r="BA87" s="221">
        <f>AT87-AW87-AY87</f>
        <v>0</v>
      </c>
      <c r="BB87" s="187">
        <f>AU87-AX87-AZ87</f>
        <v>0</v>
      </c>
      <c r="BC87" s="236">
        <f>IF(AND(AT87&gt;0,AU87&gt;0),0,AX87)</f>
        <v>0</v>
      </c>
      <c r="BD87" s="220">
        <f>IF($B87="",0,SUMIFS(采购进货!$E$4:$E$1503,采购进货!$D$4:$D$1503,$B87,采购进货!$B$4:$B$1503,"&gt;="&amp;DATE(年度,5,1),采购进货!$B$4:$B$1503,"&lt;"&amp;DATE(年度,5+1,1))+SUMIFS(采购进货!$H$4:$H$1503,采购进货!$D$4:$D$1503,$B87,采购进货!$B$4:$B$1503,"&gt;="&amp;DATE(年度,5,1),采购进货!$B$4:$B$1503,"&lt;"&amp;DATE(年度,5+1,1)))</f>
        <v>0</v>
      </c>
      <c r="BE87" s="186">
        <f>IF($B87="",0,SUMIFS(采购进货!$G$4:$G$1503,采购进货!$D$4:$D$1503,$B87,采购进货!$B$4:$B$1503,"&gt;="&amp;DATE(年度,5,1),采购进货!$B$4:$B$1503,"&lt;"&amp;DATE(年度,5+1,1)))</f>
        <v>0</v>
      </c>
      <c r="BF87" s="234">
        <f>BA87+BD87</f>
        <v>0</v>
      </c>
      <c r="BG87" s="235">
        <f>BB87+BE87</f>
        <v>0</v>
      </c>
      <c r="BH87" s="222">
        <f>IF(AND(BF87&gt;0,BG87&gt;0),BG87/BF87,N($E87))</f>
        <v>0</v>
      </c>
      <c r="BI87" s="220">
        <f>IF($B87="",0,SUMIFS(出库明细!$E$4:$E$3003,出库明细!$D$4:$D$3003,$B87,出库明细!$B$4:$B$3003,"&gt;="&amp;DATE(年度,5,1),出库明细!$B$4:$B$3003,"&lt;"&amp;DATE(年度,5+1,1)))</f>
        <v>0</v>
      </c>
      <c r="BJ87" s="186">
        <f>BI87*BH87</f>
        <v>0</v>
      </c>
      <c r="BK87" s="220">
        <f>_辅助!BQ85</f>
        <v>0</v>
      </c>
      <c r="BL87" s="186">
        <f>_辅助!AG85</f>
        <v>0</v>
      </c>
      <c r="BM87" s="221">
        <f>BF87-BI87-BK87</f>
        <v>0</v>
      </c>
      <c r="BN87" s="187">
        <f>BG87-BJ87-BL87</f>
        <v>0</v>
      </c>
      <c r="BO87" s="236">
        <f>IF(AND(BF87&gt;0,BG87&gt;0),0,BJ87)</f>
        <v>0</v>
      </c>
      <c r="BP87" s="220">
        <f>IF($B87="",0,SUMIFS(采购进货!$E$4:$E$1503,采购进货!$D$4:$D$1503,$B87,采购进货!$B$4:$B$1503,"&gt;="&amp;DATE(年度,6,1),采购进货!$B$4:$B$1503,"&lt;"&amp;DATE(年度,6+1,1))+SUMIFS(采购进货!$H$4:$H$1503,采购进货!$D$4:$D$1503,$B87,采购进货!$B$4:$B$1503,"&gt;="&amp;DATE(年度,6,1),采购进货!$B$4:$B$1503,"&lt;"&amp;DATE(年度,6+1,1)))</f>
        <v>0</v>
      </c>
      <c r="BQ87" s="186">
        <f>IF($B87="",0,SUMIFS(采购进货!$G$4:$G$1503,采购进货!$D$4:$D$1503,$B87,采购进货!$B$4:$B$1503,"&gt;="&amp;DATE(年度,6,1),采购进货!$B$4:$B$1503,"&lt;"&amp;DATE(年度,6+1,1)))</f>
        <v>0</v>
      </c>
      <c r="BR87" s="234">
        <f>BM87+BP87</f>
        <v>0</v>
      </c>
      <c r="BS87" s="235">
        <f>BN87+BQ87</f>
        <v>0</v>
      </c>
      <c r="BT87" s="222">
        <f>IF(AND(BR87&gt;0,BS87&gt;0),BS87/BR87,N($E87))</f>
        <v>0</v>
      </c>
      <c r="BU87" s="220">
        <f>IF($B87="",0,SUMIFS(出库明细!$E$4:$E$3003,出库明细!$D$4:$D$3003,$B87,出库明细!$B$4:$B$3003,"&gt;="&amp;DATE(年度,6,1),出库明细!$B$4:$B$3003,"&lt;"&amp;DATE(年度,6+1,1)))</f>
        <v>0</v>
      </c>
      <c r="BV87" s="186">
        <f>BU87*BT87</f>
        <v>0</v>
      </c>
      <c r="BW87" s="220">
        <f>_辅助!BR85</f>
        <v>0</v>
      </c>
      <c r="BX87" s="186">
        <f>_辅助!AH85</f>
        <v>0</v>
      </c>
      <c r="BY87" s="221">
        <f>BR87-BU87-BW87</f>
        <v>0</v>
      </c>
      <c r="BZ87" s="187">
        <f>BS87-BV87-BX87</f>
        <v>0</v>
      </c>
      <c r="CA87" s="236">
        <f>IF(AND(BR87&gt;0,BS87&gt;0),0,BV87)</f>
        <v>0</v>
      </c>
      <c r="CB87" s="220">
        <f>IF($B87="",0,SUMIFS(采购进货!$E$4:$E$1503,采购进货!$D$4:$D$1503,$B87,采购进货!$B$4:$B$1503,"&gt;="&amp;DATE(年度,7,1),采购进货!$B$4:$B$1503,"&lt;"&amp;DATE(年度,7+1,1))+SUMIFS(采购进货!$H$4:$H$1503,采购进货!$D$4:$D$1503,$B87,采购进货!$B$4:$B$1503,"&gt;="&amp;DATE(年度,7,1),采购进货!$B$4:$B$1503,"&lt;"&amp;DATE(年度,7+1,1)))</f>
        <v>0</v>
      </c>
      <c r="CC87" s="186">
        <f>IF($B87="",0,SUMIFS(采购进货!$G$4:$G$1503,采购进货!$D$4:$D$1503,$B87,采购进货!$B$4:$B$1503,"&gt;="&amp;DATE(年度,7,1),采购进货!$B$4:$B$1503,"&lt;"&amp;DATE(年度,7+1,1)))</f>
        <v>0</v>
      </c>
      <c r="CD87" s="234">
        <f>BY87+CB87</f>
        <v>0</v>
      </c>
      <c r="CE87" s="235">
        <f>BZ87+CC87</f>
        <v>0</v>
      </c>
      <c r="CF87" s="222">
        <f>IF(AND(CD87&gt;0,CE87&gt;0),CE87/CD87,N($E87))</f>
        <v>0</v>
      </c>
      <c r="CG87" s="220">
        <f>IF($B87="",0,SUMIFS(出库明细!$E$4:$E$3003,出库明细!$D$4:$D$3003,$B87,出库明细!$B$4:$B$3003,"&gt;="&amp;DATE(年度,7,1),出库明细!$B$4:$B$3003,"&lt;"&amp;DATE(年度,7+1,1)))</f>
        <v>0</v>
      </c>
      <c r="CH87" s="186">
        <f>CG87*CF87</f>
        <v>0</v>
      </c>
      <c r="CI87" s="220">
        <f>_辅助!BS85</f>
        <v>0</v>
      </c>
      <c r="CJ87" s="186">
        <f>_辅助!AI85</f>
        <v>0</v>
      </c>
      <c r="CK87" s="221">
        <f>CD87-CG87-CI87</f>
        <v>0</v>
      </c>
      <c r="CL87" s="187">
        <f>CE87-CH87-CJ87</f>
        <v>0</v>
      </c>
      <c r="CM87" s="236">
        <f>IF(AND(CD87&gt;0,CE87&gt;0),0,CH87)</f>
        <v>0</v>
      </c>
      <c r="CN87" s="220">
        <f>IF($B87="",0,SUMIFS(采购进货!$E$4:$E$1503,采购进货!$D$4:$D$1503,$B87,采购进货!$B$4:$B$1503,"&gt;="&amp;DATE(年度,8,1),采购进货!$B$4:$B$1503,"&lt;"&amp;DATE(年度,8+1,1))+SUMIFS(采购进货!$H$4:$H$1503,采购进货!$D$4:$D$1503,$B87,采购进货!$B$4:$B$1503,"&gt;="&amp;DATE(年度,8,1),采购进货!$B$4:$B$1503,"&lt;"&amp;DATE(年度,8+1,1)))</f>
        <v>0</v>
      </c>
      <c r="CO87" s="186">
        <f>IF($B87="",0,SUMIFS(采购进货!$G$4:$G$1503,采购进货!$D$4:$D$1503,$B87,采购进货!$B$4:$B$1503,"&gt;="&amp;DATE(年度,8,1),采购进货!$B$4:$B$1503,"&lt;"&amp;DATE(年度,8+1,1)))</f>
        <v>0</v>
      </c>
      <c r="CP87" s="234">
        <f>CK87+CN87</f>
        <v>0</v>
      </c>
      <c r="CQ87" s="235">
        <f>CL87+CO87</f>
        <v>0</v>
      </c>
      <c r="CR87" s="222">
        <f>IF(AND(CP87&gt;0,CQ87&gt;0),CQ87/CP87,N($E87))</f>
        <v>0</v>
      </c>
      <c r="CS87" s="220">
        <f>IF($B87="",0,SUMIFS(出库明细!$E$4:$E$3003,出库明细!$D$4:$D$3003,$B87,出库明细!$B$4:$B$3003,"&gt;="&amp;DATE(年度,8,1),出库明细!$B$4:$B$3003,"&lt;"&amp;DATE(年度,8+1,1)))</f>
        <v>0</v>
      </c>
      <c r="CT87" s="186">
        <f>CS87*CR87</f>
        <v>0</v>
      </c>
      <c r="CU87" s="220">
        <f>_辅助!BT85</f>
        <v>0</v>
      </c>
      <c r="CV87" s="186">
        <f>_辅助!AJ85</f>
        <v>0</v>
      </c>
      <c r="CW87" s="221">
        <f>CP87-CS87-CU87</f>
        <v>0</v>
      </c>
      <c r="CX87" s="187">
        <f>CQ87-CT87-CV87</f>
        <v>0</v>
      </c>
      <c r="CY87" s="236">
        <f>IF(AND(CP87&gt;0,CQ87&gt;0),0,CT87)</f>
        <v>0</v>
      </c>
      <c r="CZ87" s="220">
        <f>IF($B87="",0,SUMIFS(采购进货!$E$4:$E$1503,采购进货!$D$4:$D$1503,$B87,采购进货!$B$4:$B$1503,"&gt;="&amp;DATE(年度,9,1),采购进货!$B$4:$B$1503,"&lt;"&amp;DATE(年度,9+1,1))+SUMIFS(采购进货!$H$4:$H$1503,采购进货!$D$4:$D$1503,$B87,采购进货!$B$4:$B$1503,"&gt;="&amp;DATE(年度,9,1),采购进货!$B$4:$B$1503,"&lt;"&amp;DATE(年度,9+1,1)))</f>
        <v>0</v>
      </c>
      <c r="DA87" s="186">
        <f>IF($B87="",0,SUMIFS(采购进货!$G$4:$G$1503,采购进货!$D$4:$D$1503,$B87,采购进货!$B$4:$B$1503,"&gt;="&amp;DATE(年度,9,1),采购进货!$B$4:$B$1503,"&lt;"&amp;DATE(年度,9+1,1)))</f>
        <v>0</v>
      </c>
      <c r="DB87" s="234">
        <f>CW87+CZ87</f>
        <v>0</v>
      </c>
      <c r="DC87" s="235">
        <f>CX87+DA87</f>
        <v>0</v>
      </c>
      <c r="DD87" s="222">
        <f>IF(AND(DB87&gt;0,DC87&gt;0),DC87/DB87,N($E87))</f>
        <v>0</v>
      </c>
      <c r="DE87" s="220">
        <f>IF($B87="",0,SUMIFS(出库明细!$E$4:$E$3003,出库明细!$D$4:$D$3003,$B87,出库明细!$B$4:$B$3003,"&gt;="&amp;DATE(年度,9,1),出库明细!$B$4:$B$3003,"&lt;"&amp;DATE(年度,9+1,1)))</f>
        <v>0</v>
      </c>
      <c r="DF87" s="186">
        <f>DE87*DD87</f>
        <v>0</v>
      </c>
      <c r="DG87" s="220">
        <f>_辅助!BU85</f>
        <v>0</v>
      </c>
      <c r="DH87" s="186">
        <f>_辅助!AK85</f>
        <v>0</v>
      </c>
      <c r="DI87" s="221">
        <f>DB87-DE87-DG87</f>
        <v>0</v>
      </c>
      <c r="DJ87" s="187">
        <f>DC87-DF87-DH87</f>
        <v>0</v>
      </c>
      <c r="DK87" s="236">
        <f>IF(AND(DB87&gt;0,DC87&gt;0),0,DF87)</f>
        <v>0</v>
      </c>
      <c r="DL87" s="220">
        <f>IF($B87="",0,SUMIFS(采购进货!$E$4:$E$1503,采购进货!$D$4:$D$1503,$B87,采购进货!$B$4:$B$1503,"&gt;="&amp;DATE(年度,10,1),采购进货!$B$4:$B$1503,"&lt;"&amp;DATE(年度,10+1,1))+SUMIFS(采购进货!$H$4:$H$1503,采购进货!$D$4:$D$1503,$B87,采购进货!$B$4:$B$1503,"&gt;="&amp;DATE(年度,10,1),采购进货!$B$4:$B$1503,"&lt;"&amp;DATE(年度,10+1,1)))</f>
        <v>0</v>
      </c>
      <c r="DM87" s="186">
        <f>IF($B87="",0,SUMIFS(采购进货!$G$4:$G$1503,采购进货!$D$4:$D$1503,$B87,采购进货!$B$4:$B$1503,"&gt;="&amp;DATE(年度,10,1),采购进货!$B$4:$B$1503,"&lt;"&amp;DATE(年度,10+1,1)))</f>
        <v>0</v>
      </c>
      <c r="DN87" s="234">
        <f>DI87+DL87</f>
        <v>0</v>
      </c>
      <c r="DO87" s="235">
        <f>DJ87+DM87</f>
        <v>0</v>
      </c>
      <c r="DP87" s="222">
        <f>IF(AND(DN87&gt;0,DO87&gt;0),DO87/DN87,N($E87))</f>
        <v>0</v>
      </c>
      <c r="DQ87" s="220">
        <f>IF($B87="",0,SUMIFS(出库明细!$E$4:$E$3003,出库明细!$D$4:$D$3003,$B87,出库明细!$B$4:$B$3003,"&gt;="&amp;DATE(年度,10,1),出库明细!$B$4:$B$3003,"&lt;"&amp;DATE(年度,10+1,1)))</f>
        <v>0</v>
      </c>
      <c r="DR87" s="186">
        <f>DQ87*DP87</f>
        <v>0</v>
      </c>
      <c r="DS87" s="220">
        <f>_辅助!BV85</f>
        <v>0</v>
      </c>
      <c r="DT87" s="186">
        <f>_辅助!AL85</f>
        <v>0</v>
      </c>
      <c r="DU87" s="221">
        <f>DN87-DQ87-DS87</f>
        <v>0</v>
      </c>
      <c r="DV87" s="187">
        <f>DO87-DR87-DT87</f>
        <v>0</v>
      </c>
      <c r="DW87" s="236">
        <f>IF(AND(DN87&gt;0,DO87&gt;0),0,DR87)</f>
        <v>0</v>
      </c>
      <c r="DX87" s="220">
        <f>IF($B87="",0,SUMIFS(采购进货!$E$4:$E$1503,采购进货!$D$4:$D$1503,$B87,采购进货!$B$4:$B$1503,"&gt;="&amp;DATE(年度,11,1),采购进货!$B$4:$B$1503,"&lt;"&amp;DATE(年度,11+1,1))+SUMIFS(采购进货!$H$4:$H$1503,采购进货!$D$4:$D$1503,$B87,采购进货!$B$4:$B$1503,"&gt;="&amp;DATE(年度,11,1),采购进货!$B$4:$B$1503,"&lt;"&amp;DATE(年度,11+1,1)))</f>
        <v>0</v>
      </c>
      <c r="DY87" s="186">
        <f>IF($B87="",0,SUMIFS(采购进货!$G$4:$G$1503,采购进货!$D$4:$D$1503,$B87,采购进货!$B$4:$B$1503,"&gt;="&amp;DATE(年度,11,1),采购进货!$B$4:$B$1503,"&lt;"&amp;DATE(年度,11+1,1)))</f>
        <v>0</v>
      </c>
      <c r="DZ87" s="234">
        <f>DU87+DX87</f>
        <v>0</v>
      </c>
      <c r="EA87" s="235">
        <f>DV87+DY87</f>
        <v>0</v>
      </c>
      <c r="EB87" s="222">
        <f>IF(AND(DZ87&gt;0,EA87&gt;0),EA87/DZ87,N($E87))</f>
        <v>0</v>
      </c>
      <c r="EC87" s="220">
        <f>IF($B87="",0,SUMIFS(出库明细!$E$4:$E$3003,出库明细!$D$4:$D$3003,$B87,出库明细!$B$4:$B$3003,"&gt;="&amp;DATE(年度,11,1),出库明细!$B$4:$B$3003,"&lt;"&amp;DATE(年度,11+1,1)))</f>
        <v>0</v>
      </c>
      <c r="ED87" s="186">
        <f>EC87*EB87</f>
        <v>0</v>
      </c>
      <c r="EE87" s="220">
        <f>_辅助!BW85</f>
        <v>0</v>
      </c>
      <c r="EF87" s="186">
        <f>_辅助!AM85</f>
        <v>0</v>
      </c>
      <c r="EG87" s="221">
        <f>DZ87-EC87-EE87</f>
        <v>0</v>
      </c>
      <c r="EH87" s="187">
        <f>EA87-ED87-EF87</f>
        <v>0</v>
      </c>
      <c r="EI87" s="236">
        <f>IF(AND(DZ87&gt;0,EA87&gt;0),0,ED87)</f>
        <v>0</v>
      </c>
      <c r="EJ87" s="220">
        <f>IF($B87="",0,SUMIFS(采购进货!$E$4:$E$1503,采购进货!$D$4:$D$1503,$B87,采购进货!$B$4:$B$1503,"&gt;="&amp;DATE(年度,12,1),采购进货!$B$4:$B$1503,"&lt;"&amp;DATE(年度,12+1,1))+SUMIFS(采购进货!$H$4:$H$1503,采购进货!$D$4:$D$1503,$B87,采购进货!$B$4:$B$1503,"&gt;="&amp;DATE(年度,12,1),采购进货!$B$4:$B$1503,"&lt;"&amp;DATE(年度,12+1,1)))</f>
        <v>0</v>
      </c>
      <c r="EK87" s="186">
        <f>IF($B87="",0,SUMIFS(采购进货!$G$4:$G$1503,采购进货!$D$4:$D$1503,$B87,采购进货!$B$4:$B$1503,"&gt;="&amp;DATE(年度,12,1),采购进货!$B$4:$B$1503,"&lt;"&amp;DATE(年度,12+1,1)))</f>
        <v>0</v>
      </c>
      <c r="EL87" s="234">
        <f>EG87+EJ87</f>
        <v>0</v>
      </c>
      <c r="EM87" s="235">
        <f>EH87+EK87</f>
        <v>0</v>
      </c>
      <c r="EN87" s="222">
        <f>IF(AND(EL87&gt;0,EM87&gt;0),EM87/EL87,N($E87))</f>
        <v>0</v>
      </c>
      <c r="EO87" s="220">
        <f>IF($B87="",0,SUMIFS(出库明细!$E$4:$E$3003,出库明细!$D$4:$D$3003,$B87,出库明细!$B$4:$B$3003,"&gt;="&amp;DATE(年度,12,1),出库明细!$B$4:$B$3003,"&lt;"&amp;DATE(年度,12+1,1)))</f>
        <v>0</v>
      </c>
      <c r="EP87" s="186">
        <f>EO87*EN87</f>
        <v>0</v>
      </c>
      <c r="EQ87" s="220">
        <f>_辅助!BX85</f>
        <v>0</v>
      </c>
      <c r="ER87" s="186">
        <f>_辅助!AN85</f>
        <v>0</v>
      </c>
      <c r="ES87" s="221">
        <f>EL87-EO87-EQ87</f>
        <v>0</v>
      </c>
      <c r="ET87" s="187">
        <f>EM87-EP87-ER87</f>
        <v>0</v>
      </c>
      <c r="EU87" s="236">
        <f>IF(AND(EL87&gt;0,EM87&gt;0),0,EP87)</f>
        <v>0</v>
      </c>
    </row>
    <row r="88">
      <c r="A88" s="194">
        <f>IF(B88="","",ROW()-7)</f>
      </c>
      <c r="B88" s="141">
        <f>IF(基础资料!E85="","",基础资料!E85&amp;"")</f>
      </c>
      <c r="C88" s="230">
        <f>IF(基础资料!G85="","",基础资料!G85&amp;"")</f>
      </c>
      <c r="D88" s="194">
        <f>IF(基础资料!I85="","",基础资料!I85)</f>
      </c>
      <c r="E88" s="231">
        <f>IF(基础资料!J85="","",基础资料!J85)</f>
      </c>
      <c r="F88" s="232">
        <f>N(基础资料!L85)</f>
        <v>0</v>
      </c>
      <c r="G88" s="233">
        <f>IF(基础资料!N85="",0,基础资料!N85)</f>
        <v>0</v>
      </c>
      <c r="H88" s="220">
        <f>IF($B88="",0,SUMIFS(采购进货!$E$4:$E$1503,采购进货!$D$4:$D$1503,$B88,采购进货!$B$4:$B$1503,"&gt;="&amp;DATE(年度,1,1),采购进货!$B$4:$B$1503,"&lt;"&amp;DATE(年度,1+1,1))+SUMIFS(采购进货!$H$4:$H$1503,采购进货!$D$4:$D$1503,$B88,采购进货!$B$4:$B$1503,"&gt;="&amp;DATE(年度,1,1),采购进货!$B$4:$B$1503,"&lt;"&amp;DATE(年度,1+1,1)))</f>
        <v>0</v>
      </c>
      <c r="I88" s="186">
        <f>IF($B88="",0,SUMIFS(采购进货!$G$4:$G$1503,采购进货!$D$4:$D$1503,$B88,采购进货!$B$4:$B$1503,"&gt;="&amp;DATE(年度,1,1),采购进货!$B$4:$B$1503,"&lt;"&amp;DATE(年度,1+1,1)))</f>
        <v>0</v>
      </c>
      <c r="J88" s="234">
        <f>F88+H88</f>
        <v>0</v>
      </c>
      <c r="K88" s="235">
        <f>G88+I88</f>
        <v>0</v>
      </c>
      <c r="L88" s="222">
        <f>IF(AND(J88&gt;0,K88&gt;0),K88/J88,N($E88))</f>
        <v>0</v>
      </c>
      <c r="M88" s="220">
        <f>IF($B88="",0,SUMIFS(出库明细!$E$4:$E$3003,出库明细!$D$4:$D$3003,$B88,出库明细!$B$4:$B$3003,"&gt;="&amp;DATE(年度,1,1),出库明细!$B$4:$B$3003,"&lt;"&amp;DATE(年度,1+1,1)))</f>
        <v>0</v>
      </c>
      <c r="N88" s="186">
        <f>M88*L88</f>
        <v>0</v>
      </c>
      <c r="O88" s="220">
        <f>_辅助!BM86</f>
        <v>0</v>
      </c>
      <c r="P88" s="186">
        <f>_辅助!AC86</f>
        <v>0</v>
      </c>
      <c r="Q88" s="221">
        <f>J88-M88-O88</f>
        <v>0</v>
      </c>
      <c r="R88" s="187">
        <f>K88-N88-P88</f>
        <v>0</v>
      </c>
      <c r="S88" s="236">
        <f>IF(AND(J88&gt;0,K88&gt;0),0,N88)</f>
        <v>0</v>
      </c>
      <c r="T88" s="220">
        <f>IF($B88="",0,SUMIFS(采购进货!$E$4:$E$1503,采购进货!$D$4:$D$1503,$B88,采购进货!$B$4:$B$1503,"&gt;="&amp;DATE(年度,2,1),采购进货!$B$4:$B$1503,"&lt;"&amp;DATE(年度,2+1,1))+SUMIFS(采购进货!$H$4:$H$1503,采购进货!$D$4:$D$1503,$B88,采购进货!$B$4:$B$1503,"&gt;="&amp;DATE(年度,2,1),采购进货!$B$4:$B$1503,"&lt;"&amp;DATE(年度,2+1,1)))</f>
        <v>0</v>
      </c>
      <c r="U88" s="186">
        <f>IF($B88="",0,SUMIFS(采购进货!$G$4:$G$1503,采购进货!$D$4:$D$1503,$B88,采购进货!$B$4:$B$1503,"&gt;="&amp;DATE(年度,2,1),采购进货!$B$4:$B$1503,"&lt;"&amp;DATE(年度,2+1,1)))</f>
        <v>0</v>
      </c>
      <c r="V88" s="234">
        <f>Q88+T88</f>
        <v>0</v>
      </c>
      <c r="W88" s="235">
        <f>R88+U88</f>
        <v>0</v>
      </c>
      <c r="X88" s="222">
        <f>IF(AND(V88&gt;0,W88&gt;0),W88/V88,N($E88))</f>
        <v>0</v>
      </c>
      <c r="Y88" s="220">
        <f>IF($B88="",0,SUMIFS(出库明细!$E$4:$E$3003,出库明细!$D$4:$D$3003,$B88,出库明细!$B$4:$B$3003,"&gt;="&amp;DATE(年度,2,1),出库明细!$B$4:$B$3003,"&lt;"&amp;DATE(年度,2+1,1)))</f>
        <v>0</v>
      </c>
      <c r="Z88" s="186">
        <f>Y88*X88</f>
        <v>0</v>
      </c>
      <c r="AA88" s="220">
        <f>_辅助!BN86</f>
        <v>0</v>
      </c>
      <c r="AB88" s="186">
        <f>_辅助!AD86</f>
        <v>0</v>
      </c>
      <c r="AC88" s="221">
        <f>V88-Y88-AA88</f>
        <v>0</v>
      </c>
      <c r="AD88" s="187">
        <f>W88-Z88-AB88</f>
        <v>0</v>
      </c>
      <c r="AE88" s="236">
        <f>IF(AND(V88&gt;0,W88&gt;0),0,Z88)</f>
        <v>0</v>
      </c>
      <c r="AF88" s="220">
        <f>IF($B88="",0,SUMIFS(采购进货!$E$4:$E$1503,采购进货!$D$4:$D$1503,$B88,采购进货!$B$4:$B$1503,"&gt;="&amp;DATE(年度,3,1),采购进货!$B$4:$B$1503,"&lt;"&amp;DATE(年度,3+1,1))+SUMIFS(采购进货!$H$4:$H$1503,采购进货!$D$4:$D$1503,$B88,采购进货!$B$4:$B$1503,"&gt;="&amp;DATE(年度,3,1),采购进货!$B$4:$B$1503,"&lt;"&amp;DATE(年度,3+1,1)))</f>
        <v>0</v>
      </c>
      <c r="AG88" s="186">
        <f>IF($B88="",0,SUMIFS(采购进货!$G$4:$G$1503,采购进货!$D$4:$D$1503,$B88,采购进货!$B$4:$B$1503,"&gt;="&amp;DATE(年度,3,1),采购进货!$B$4:$B$1503,"&lt;"&amp;DATE(年度,3+1,1)))</f>
        <v>0</v>
      </c>
      <c r="AH88" s="234">
        <f>AC88+AF88</f>
        <v>0</v>
      </c>
      <c r="AI88" s="235">
        <f>AD88+AG88</f>
        <v>0</v>
      </c>
      <c r="AJ88" s="222">
        <f>IF(AND(AH88&gt;0,AI88&gt;0),AI88/AH88,N($E88))</f>
        <v>0</v>
      </c>
      <c r="AK88" s="220">
        <f>IF($B88="",0,SUMIFS(出库明细!$E$4:$E$3003,出库明细!$D$4:$D$3003,$B88,出库明细!$B$4:$B$3003,"&gt;="&amp;DATE(年度,3,1),出库明细!$B$4:$B$3003,"&lt;"&amp;DATE(年度,3+1,1)))</f>
        <v>0</v>
      </c>
      <c r="AL88" s="186">
        <f>AK88*AJ88</f>
        <v>0</v>
      </c>
      <c r="AM88" s="220">
        <f>_辅助!BO86</f>
        <v>0</v>
      </c>
      <c r="AN88" s="186">
        <f>_辅助!AE86</f>
        <v>0</v>
      </c>
      <c r="AO88" s="221">
        <f>AH88-AK88-AM88</f>
        <v>0</v>
      </c>
      <c r="AP88" s="187">
        <f>AI88-AL88-AN88</f>
        <v>0</v>
      </c>
      <c r="AQ88" s="236">
        <f>IF(AND(AH88&gt;0,AI88&gt;0),0,AL88)</f>
        <v>0</v>
      </c>
      <c r="AR88" s="220">
        <f>IF($B88="",0,SUMIFS(采购进货!$E$4:$E$1503,采购进货!$D$4:$D$1503,$B88,采购进货!$B$4:$B$1503,"&gt;="&amp;DATE(年度,4,1),采购进货!$B$4:$B$1503,"&lt;"&amp;DATE(年度,4+1,1))+SUMIFS(采购进货!$H$4:$H$1503,采购进货!$D$4:$D$1503,$B88,采购进货!$B$4:$B$1503,"&gt;="&amp;DATE(年度,4,1),采购进货!$B$4:$B$1503,"&lt;"&amp;DATE(年度,4+1,1)))</f>
        <v>0</v>
      </c>
      <c r="AS88" s="186">
        <f>IF($B88="",0,SUMIFS(采购进货!$G$4:$G$1503,采购进货!$D$4:$D$1503,$B88,采购进货!$B$4:$B$1503,"&gt;="&amp;DATE(年度,4,1),采购进货!$B$4:$B$1503,"&lt;"&amp;DATE(年度,4+1,1)))</f>
        <v>0</v>
      </c>
      <c r="AT88" s="234">
        <f>AO88+AR88</f>
        <v>0</v>
      </c>
      <c r="AU88" s="235">
        <f>AP88+AS88</f>
        <v>0</v>
      </c>
      <c r="AV88" s="222">
        <f>IF(AND(AT88&gt;0,AU88&gt;0),AU88/AT88,N($E88))</f>
        <v>0</v>
      </c>
      <c r="AW88" s="220">
        <f>IF($B88="",0,SUMIFS(出库明细!$E$4:$E$3003,出库明细!$D$4:$D$3003,$B88,出库明细!$B$4:$B$3003,"&gt;="&amp;DATE(年度,4,1),出库明细!$B$4:$B$3003,"&lt;"&amp;DATE(年度,4+1,1)))</f>
        <v>0</v>
      </c>
      <c r="AX88" s="186">
        <f>AW88*AV88</f>
        <v>0</v>
      </c>
      <c r="AY88" s="220">
        <f>_辅助!BP86</f>
        <v>0</v>
      </c>
      <c r="AZ88" s="186">
        <f>_辅助!AF86</f>
        <v>0</v>
      </c>
      <c r="BA88" s="221">
        <f>AT88-AW88-AY88</f>
        <v>0</v>
      </c>
      <c r="BB88" s="187">
        <f>AU88-AX88-AZ88</f>
        <v>0</v>
      </c>
      <c r="BC88" s="236">
        <f>IF(AND(AT88&gt;0,AU88&gt;0),0,AX88)</f>
        <v>0</v>
      </c>
      <c r="BD88" s="220">
        <f>IF($B88="",0,SUMIFS(采购进货!$E$4:$E$1503,采购进货!$D$4:$D$1503,$B88,采购进货!$B$4:$B$1503,"&gt;="&amp;DATE(年度,5,1),采购进货!$B$4:$B$1503,"&lt;"&amp;DATE(年度,5+1,1))+SUMIFS(采购进货!$H$4:$H$1503,采购进货!$D$4:$D$1503,$B88,采购进货!$B$4:$B$1503,"&gt;="&amp;DATE(年度,5,1),采购进货!$B$4:$B$1503,"&lt;"&amp;DATE(年度,5+1,1)))</f>
        <v>0</v>
      </c>
      <c r="BE88" s="186">
        <f>IF($B88="",0,SUMIFS(采购进货!$G$4:$G$1503,采购进货!$D$4:$D$1503,$B88,采购进货!$B$4:$B$1503,"&gt;="&amp;DATE(年度,5,1),采购进货!$B$4:$B$1503,"&lt;"&amp;DATE(年度,5+1,1)))</f>
        <v>0</v>
      </c>
      <c r="BF88" s="234">
        <f>BA88+BD88</f>
        <v>0</v>
      </c>
      <c r="BG88" s="235">
        <f>BB88+BE88</f>
        <v>0</v>
      </c>
      <c r="BH88" s="222">
        <f>IF(AND(BF88&gt;0,BG88&gt;0),BG88/BF88,N($E88))</f>
        <v>0</v>
      </c>
      <c r="BI88" s="220">
        <f>IF($B88="",0,SUMIFS(出库明细!$E$4:$E$3003,出库明细!$D$4:$D$3003,$B88,出库明细!$B$4:$B$3003,"&gt;="&amp;DATE(年度,5,1),出库明细!$B$4:$B$3003,"&lt;"&amp;DATE(年度,5+1,1)))</f>
        <v>0</v>
      </c>
      <c r="BJ88" s="186">
        <f>BI88*BH88</f>
        <v>0</v>
      </c>
      <c r="BK88" s="220">
        <f>_辅助!BQ86</f>
        <v>0</v>
      </c>
      <c r="BL88" s="186">
        <f>_辅助!AG86</f>
        <v>0</v>
      </c>
      <c r="BM88" s="221">
        <f>BF88-BI88-BK88</f>
        <v>0</v>
      </c>
      <c r="BN88" s="187">
        <f>BG88-BJ88-BL88</f>
        <v>0</v>
      </c>
      <c r="BO88" s="236">
        <f>IF(AND(BF88&gt;0,BG88&gt;0),0,BJ88)</f>
        <v>0</v>
      </c>
      <c r="BP88" s="220">
        <f>IF($B88="",0,SUMIFS(采购进货!$E$4:$E$1503,采购进货!$D$4:$D$1503,$B88,采购进货!$B$4:$B$1503,"&gt;="&amp;DATE(年度,6,1),采购进货!$B$4:$B$1503,"&lt;"&amp;DATE(年度,6+1,1))+SUMIFS(采购进货!$H$4:$H$1503,采购进货!$D$4:$D$1503,$B88,采购进货!$B$4:$B$1503,"&gt;="&amp;DATE(年度,6,1),采购进货!$B$4:$B$1503,"&lt;"&amp;DATE(年度,6+1,1)))</f>
        <v>0</v>
      </c>
      <c r="BQ88" s="186">
        <f>IF($B88="",0,SUMIFS(采购进货!$G$4:$G$1503,采购进货!$D$4:$D$1503,$B88,采购进货!$B$4:$B$1503,"&gt;="&amp;DATE(年度,6,1),采购进货!$B$4:$B$1503,"&lt;"&amp;DATE(年度,6+1,1)))</f>
        <v>0</v>
      </c>
      <c r="BR88" s="234">
        <f>BM88+BP88</f>
        <v>0</v>
      </c>
      <c r="BS88" s="235">
        <f>BN88+BQ88</f>
        <v>0</v>
      </c>
      <c r="BT88" s="222">
        <f>IF(AND(BR88&gt;0,BS88&gt;0),BS88/BR88,N($E88))</f>
        <v>0</v>
      </c>
      <c r="BU88" s="220">
        <f>IF($B88="",0,SUMIFS(出库明细!$E$4:$E$3003,出库明细!$D$4:$D$3003,$B88,出库明细!$B$4:$B$3003,"&gt;="&amp;DATE(年度,6,1),出库明细!$B$4:$B$3003,"&lt;"&amp;DATE(年度,6+1,1)))</f>
        <v>0</v>
      </c>
      <c r="BV88" s="186">
        <f>BU88*BT88</f>
        <v>0</v>
      </c>
      <c r="BW88" s="220">
        <f>_辅助!BR86</f>
        <v>0</v>
      </c>
      <c r="BX88" s="186">
        <f>_辅助!AH86</f>
        <v>0</v>
      </c>
      <c r="BY88" s="221">
        <f>BR88-BU88-BW88</f>
        <v>0</v>
      </c>
      <c r="BZ88" s="187">
        <f>BS88-BV88-BX88</f>
        <v>0</v>
      </c>
      <c r="CA88" s="236">
        <f>IF(AND(BR88&gt;0,BS88&gt;0),0,BV88)</f>
        <v>0</v>
      </c>
      <c r="CB88" s="220">
        <f>IF($B88="",0,SUMIFS(采购进货!$E$4:$E$1503,采购进货!$D$4:$D$1503,$B88,采购进货!$B$4:$B$1503,"&gt;="&amp;DATE(年度,7,1),采购进货!$B$4:$B$1503,"&lt;"&amp;DATE(年度,7+1,1))+SUMIFS(采购进货!$H$4:$H$1503,采购进货!$D$4:$D$1503,$B88,采购进货!$B$4:$B$1503,"&gt;="&amp;DATE(年度,7,1),采购进货!$B$4:$B$1503,"&lt;"&amp;DATE(年度,7+1,1)))</f>
        <v>0</v>
      </c>
      <c r="CC88" s="186">
        <f>IF($B88="",0,SUMIFS(采购进货!$G$4:$G$1503,采购进货!$D$4:$D$1503,$B88,采购进货!$B$4:$B$1503,"&gt;="&amp;DATE(年度,7,1),采购进货!$B$4:$B$1503,"&lt;"&amp;DATE(年度,7+1,1)))</f>
        <v>0</v>
      </c>
      <c r="CD88" s="234">
        <f>BY88+CB88</f>
        <v>0</v>
      </c>
      <c r="CE88" s="235">
        <f>BZ88+CC88</f>
        <v>0</v>
      </c>
      <c r="CF88" s="222">
        <f>IF(AND(CD88&gt;0,CE88&gt;0),CE88/CD88,N($E88))</f>
        <v>0</v>
      </c>
      <c r="CG88" s="220">
        <f>IF($B88="",0,SUMIFS(出库明细!$E$4:$E$3003,出库明细!$D$4:$D$3003,$B88,出库明细!$B$4:$B$3003,"&gt;="&amp;DATE(年度,7,1),出库明细!$B$4:$B$3003,"&lt;"&amp;DATE(年度,7+1,1)))</f>
        <v>0</v>
      </c>
      <c r="CH88" s="186">
        <f>CG88*CF88</f>
        <v>0</v>
      </c>
      <c r="CI88" s="220">
        <f>_辅助!BS86</f>
        <v>0</v>
      </c>
      <c r="CJ88" s="186">
        <f>_辅助!AI86</f>
        <v>0</v>
      </c>
      <c r="CK88" s="221">
        <f>CD88-CG88-CI88</f>
        <v>0</v>
      </c>
      <c r="CL88" s="187">
        <f>CE88-CH88-CJ88</f>
        <v>0</v>
      </c>
      <c r="CM88" s="236">
        <f>IF(AND(CD88&gt;0,CE88&gt;0),0,CH88)</f>
        <v>0</v>
      </c>
      <c r="CN88" s="220">
        <f>IF($B88="",0,SUMIFS(采购进货!$E$4:$E$1503,采购进货!$D$4:$D$1503,$B88,采购进货!$B$4:$B$1503,"&gt;="&amp;DATE(年度,8,1),采购进货!$B$4:$B$1503,"&lt;"&amp;DATE(年度,8+1,1))+SUMIFS(采购进货!$H$4:$H$1503,采购进货!$D$4:$D$1503,$B88,采购进货!$B$4:$B$1503,"&gt;="&amp;DATE(年度,8,1),采购进货!$B$4:$B$1503,"&lt;"&amp;DATE(年度,8+1,1)))</f>
        <v>0</v>
      </c>
      <c r="CO88" s="186">
        <f>IF($B88="",0,SUMIFS(采购进货!$G$4:$G$1503,采购进货!$D$4:$D$1503,$B88,采购进货!$B$4:$B$1503,"&gt;="&amp;DATE(年度,8,1),采购进货!$B$4:$B$1503,"&lt;"&amp;DATE(年度,8+1,1)))</f>
        <v>0</v>
      </c>
      <c r="CP88" s="234">
        <f>CK88+CN88</f>
        <v>0</v>
      </c>
      <c r="CQ88" s="235">
        <f>CL88+CO88</f>
        <v>0</v>
      </c>
      <c r="CR88" s="222">
        <f>IF(AND(CP88&gt;0,CQ88&gt;0),CQ88/CP88,N($E88))</f>
        <v>0</v>
      </c>
      <c r="CS88" s="220">
        <f>IF($B88="",0,SUMIFS(出库明细!$E$4:$E$3003,出库明细!$D$4:$D$3003,$B88,出库明细!$B$4:$B$3003,"&gt;="&amp;DATE(年度,8,1),出库明细!$B$4:$B$3003,"&lt;"&amp;DATE(年度,8+1,1)))</f>
        <v>0</v>
      </c>
      <c r="CT88" s="186">
        <f>CS88*CR88</f>
        <v>0</v>
      </c>
      <c r="CU88" s="220">
        <f>_辅助!BT86</f>
        <v>0</v>
      </c>
      <c r="CV88" s="186">
        <f>_辅助!AJ86</f>
        <v>0</v>
      </c>
      <c r="CW88" s="221">
        <f>CP88-CS88-CU88</f>
        <v>0</v>
      </c>
      <c r="CX88" s="187">
        <f>CQ88-CT88-CV88</f>
        <v>0</v>
      </c>
      <c r="CY88" s="236">
        <f>IF(AND(CP88&gt;0,CQ88&gt;0),0,CT88)</f>
        <v>0</v>
      </c>
      <c r="CZ88" s="220">
        <f>IF($B88="",0,SUMIFS(采购进货!$E$4:$E$1503,采购进货!$D$4:$D$1503,$B88,采购进货!$B$4:$B$1503,"&gt;="&amp;DATE(年度,9,1),采购进货!$B$4:$B$1503,"&lt;"&amp;DATE(年度,9+1,1))+SUMIFS(采购进货!$H$4:$H$1503,采购进货!$D$4:$D$1503,$B88,采购进货!$B$4:$B$1503,"&gt;="&amp;DATE(年度,9,1),采购进货!$B$4:$B$1503,"&lt;"&amp;DATE(年度,9+1,1)))</f>
        <v>0</v>
      </c>
      <c r="DA88" s="186">
        <f>IF($B88="",0,SUMIFS(采购进货!$G$4:$G$1503,采购进货!$D$4:$D$1503,$B88,采购进货!$B$4:$B$1503,"&gt;="&amp;DATE(年度,9,1),采购进货!$B$4:$B$1503,"&lt;"&amp;DATE(年度,9+1,1)))</f>
        <v>0</v>
      </c>
      <c r="DB88" s="234">
        <f>CW88+CZ88</f>
        <v>0</v>
      </c>
      <c r="DC88" s="235">
        <f>CX88+DA88</f>
        <v>0</v>
      </c>
      <c r="DD88" s="222">
        <f>IF(AND(DB88&gt;0,DC88&gt;0),DC88/DB88,N($E88))</f>
        <v>0</v>
      </c>
      <c r="DE88" s="220">
        <f>IF($B88="",0,SUMIFS(出库明细!$E$4:$E$3003,出库明细!$D$4:$D$3003,$B88,出库明细!$B$4:$B$3003,"&gt;="&amp;DATE(年度,9,1),出库明细!$B$4:$B$3003,"&lt;"&amp;DATE(年度,9+1,1)))</f>
        <v>0</v>
      </c>
      <c r="DF88" s="186">
        <f>DE88*DD88</f>
        <v>0</v>
      </c>
      <c r="DG88" s="220">
        <f>_辅助!BU86</f>
        <v>0</v>
      </c>
      <c r="DH88" s="186">
        <f>_辅助!AK86</f>
        <v>0</v>
      </c>
      <c r="DI88" s="221">
        <f>DB88-DE88-DG88</f>
        <v>0</v>
      </c>
      <c r="DJ88" s="187">
        <f>DC88-DF88-DH88</f>
        <v>0</v>
      </c>
      <c r="DK88" s="236">
        <f>IF(AND(DB88&gt;0,DC88&gt;0),0,DF88)</f>
        <v>0</v>
      </c>
      <c r="DL88" s="220">
        <f>IF($B88="",0,SUMIFS(采购进货!$E$4:$E$1503,采购进货!$D$4:$D$1503,$B88,采购进货!$B$4:$B$1503,"&gt;="&amp;DATE(年度,10,1),采购进货!$B$4:$B$1503,"&lt;"&amp;DATE(年度,10+1,1))+SUMIFS(采购进货!$H$4:$H$1503,采购进货!$D$4:$D$1503,$B88,采购进货!$B$4:$B$1503,"&gt;="&amp;DATE(年度,10,1),采购进货!$B$4:$B$1503,"&lt;"&amp;DATE(年度,10+1,1)))</f>
        <v>0</v>
      </c>
      <c r="DM88" s="186">
        <f>IF($B88="",0,SUMIFS(采购进货!$G$4:$G$1503,采购进货!$D$4:$D$1503,$B88,采购进货!$B$4:$B$1503,"&gt;="&amp;DATE(年度,10,1),采购进货!$B$4:$B$1503,"&lt;"&amp;DATE(年度,10+1,1)))</f>
        <v>0</v>
      </c>
      <c r="DN88" s="234">
        <f>DI88+DL88</f>
        <v>0</v>
      </c>
      <c r="DO88" s="235">
        <f>DJ88+DM88</f>
        <v>0</v>
      </c>
      <c r="DP88" s="222">
        <f>IF(AND(DN88&gt;0,DO88&gt;0),DO88/DN88,N($E88))</f>
        <v>0</v>
      </c>
      <c r="DQ88" s="220">
        <f>IF($B88="",0,SUMIFS(出库明细!$E$4:$E$3003,出库明细!$D$4:$D$3003,$B88,出库明细!$B$4:$B$3003,"&gt;="&amp;DATE(年度,10,1),出库明细!$B$4:$B$3003,"&lt;"&amp;DATE(年度,10+1,1)))</f>
        <v>0</v>
      </c>
      <c r="DR88" s="186">
        <f>DQ88*DP88</f>
        <v>0</v>
      </c>
      <c r="DS88" s="220">
        <f>_辅助!BV86</f>
        <v>0</v>
      </c>
      <c r="DT88" s="186">
        <f>_辅助!AL86</f>
        <v>0</v>
      </c>
      <c r="DU88" s="221">
        <f>DN88-DQ88-DS88</f>
        <v>0</v>
      </c>
      <c r="DV88" s="187">
        <f>DO88-DR88-DT88</f>
        <v>0</v>
      </c>
      <c r="DW88" s="236">
        <f>IF(AND(DN88&gt;0,DO88&gt;0),0,DR88)</f>
        <v>0</v>
      </c>
      <c r="DX88" s="220">
        <f>IF($B88="",0,SUMIFS(采购进货!$E$4:$E$1503,采购进货!$D$4:$D$1503,$B88,采购进货!$B$4:$B$1503,"&gt;="&amp;DATE(年度,11,1),采购进货!$B$4:$B$1503,"&lt;"&amp;DATE(年度,11+1,1))+SUMIFS(采购进货!$H$4:$H$1503,采购进货!$D$4:$D$1503,$B88,采购进货!$B$4:$B$1503,"&gt;="&amp;DATE(年度,11,1),采购进货!$B$4:$B$1503,"&lt;"&amp;DATE(年度,11+1,1)))</f>
        <v>0</v>
      </c>
      <c r="DY88" s="186">
        <f>IF($B88="",0,SUMIFS(采购进货!$G$4:$G$1503,采购进货!$D$4:$D$1503,$B88,采购进货!$B$4:$B$1503,"&gt;="&amp;DATE(年度,11,1),采购进货!$B$4:$B$1503,"&lt;"&amp;DATE(年度,11+1,1)))</f>
        <v>0</v>
      </c>
      <c r="DZ88" s="234">
        <f>DU88+DX88</f>
        <v>0</v>
      </c>
      <c r="EA88" s="235">
        <f>DV88+DY88</f>
        <v>0</v>
      </c>
      <c r="EB88" s="222">
        <f>IF(AND(DZ88&gt;0,EA88&gt;0),EA88/DZ88,N($E88))</f>
        <v>0</v>
      </c>
      <c r="EC88" s="220">
        <f>IF($B88="",0,SUMIFS(出库明细!$E$4:$E$3003,出库明细!$D$4:$D$3003,$B88,出库明细!$B$4:$B$3003,"&gt;="&amp;DATE(年度,11,1),出库明细!$B$4:$B$3003,"&lt;"&amp;DATE(年度,11+1,1)))</f>
        <v>0</v>
      </c>
      <c r="ED88" s="186">
        <f>EC88*EB88</f>
        <v>0</v>
      </c>
      <c r="EE88" s="220">
        <f>_辅助!BW86</f>
        <v>0</v>
      </c>
      <c r="EF88" s="186">
        <f>_辅助!AM86</f>
        <v>0</v>
      </c>
      <c r="EG88" s="221">
        <f>DZ88-EC88-EE88</f>
        <v>0</v>
      </c>
      <c r="EH88" s="187">
        <f>EA88-ED88-EF88</f>
        <v>0</v>
      </c>
      <c r="EI88" s="236">
        <f>IF(AND(DZ88&gt;0,EA88&gt;0),0,ED88)</f>
        <v>0</v>
      </c>
      <c r="EJ88" s="220">
        <f>IF($B88="",0,SUMIFS(采购进货!$E$4:$E$1503,采购进货!$D$4:$D$1503,$B88,采购进货!$B$4:$B$1503,"&gt;="&amp;DATE(年度,12,1),采购进货!$B$4:$B$1503,"&lt;"&amp;DATE(年度,12+1,1))+SUMIFS(采购进货!$H$4:$H$1503,采购进货!$D$4:$D$1503,$B88,采购进货!$B$4:$B$1503,"&gt;="&amp;DATE(年度,12,1),采购进货!$B$4:$B$1503,"&lt;"&amp;DATE(年度,12+1,1)))</f>
        <v>0</v>
      </c>
      <c r="EK88" s="186">
        <f>IF($B88="",0,SUMIFS(采购进货!$G$4:$G$1503,采购进货!$D$4:$D$1503,$B88,采购进货!$B$4:$B$1503,"&gt;="&amp;DATE(年度,12,1),采购进货!$B$4:$B$1503,"&lt;"&amp;DATE(年度,12+1,1)))</f>
        <v>0</v>
      </c>
      <c r="EL88" s="234">
        <f>EG88+EJ88</f>
        <v>0</v>
      </c>
      <c r="EM88" s="235">
        <f>EH88+EK88</f>
        <v>0</v>
      </c>
      <c r="EN88" s="222">
        <f>IF(AND(EL88&gt;0,EM88&gt;0),EM88/EL88,N($E88))</f>
        <v>0</v>
      </c>
      <c r="EO88" s="220">
        <f>IF($B88="",0,SUMIFS(出库明细!$E$4:$E$3003,出库明细!$D$4:$D$3003,$B88,出库明细!$B$4:$B$3003,"&gt;="&amp;DATE(年度,12,1),出库明细!$B$4:$B$3003,"&lt;"&amp;DATE(年度,12+1,1)))</f>
        <v>0</v>
      </c>
      <c r="EP88" s="186">
        <f>EO88*EN88</f>
        <v>0</v>
      </c>
      <c r="EQ88" s="220">
        <f>_辅助!BX86</f>
        <v>0</v>
      </c>
      <c r="ER88" s="186">
        <f>_辅助!AN86</f>
        <v>0</v>
      </c>
      <c r="ES88" s="221">
        <f>EL88-EO88-EQ88</f>
        <v>0</v>
      </c>
      <c r="ET88" s="187">
        <f>EM88-EP88-ER88</f>
        <v>0</v>
      </c>
      <c r="EU88" s="236">
        <f>IF(AND(EL88&gt;0,EM88&gt;0),0,EP88)</f>
        <v>0</v>
      </c>
    </row>
    <row r="89">
      <c r="A89" s="194">
        <f>IF(B89="","",ROW()-7)</f>
      </c>
      <c r="B89" s="141">
        <f>IF(基础资料!E86="","",基础资料!E86&amp;"")</f>
      </c>
      <c r="C89" s="230">
        <f>IF(基础资料!G86="","",基础资料!G86&amp;"")</f>
      </c>
      <c r="D89" s="194">
        <f>IF(基础资料!I86="","",基础资料!I86)</f>
      </c>
      <c r="E89" s="231">
        <f>IF(基础资料!J86="","",基础资料!J86)</f>
      </c>
      <c r="F89" s="232">
        <f>N(基础资料!L86)</f>
        <v>0</v>
      </c>
      <c r="G89" s="233">
        <f>IF(基础资料!N86="",0,基础资料!N86)</f>
        <v>0</v>
      </c>
      <c r="H89" s="220">
        <f>IF($B89="",0,SUMIFS(采购进货!$E$4:$E$1503,采购进货!$D$4:$D$1503,$B89,采购进货!$B$4:$B$1503,"&gt;="&amp;DATE(年度,1,1),采购进货!$B$4:$B$1503,"&lt;"&amp;DATE(年度,1+1,1))+SUMIFS(采购进货!$H$4:$H$1503,采购进货!$D$4:$D$1503,$B89,采购进货!$B$4:$B$1503,"&gt;="&amp;DATE(年度,1,1),采购进货!$B$4:$B$1503,"&lt;"&amp;DATE(年度,1+1,1)))</f>
        <v>0</v>
      </c>
      <c r="I89" s="186">
        <f>IF($B89="",0,SUMIFS(采购进货!$G$4:$G$1503,采购进货!$D$4:$D$1503,$B89,采购进货!$B$4:$B$1503,"&gt;="&amp;DATE(年度,1,1),采购进货!$B$4:$B$1503,"&lt;"&amp;DATE(年度,1+1,1)))</f>
        <v>0</v>
      </c>
      <c r="J89" s="234">
        <f>F89+H89</f>
        <v>0</v>
      </c>
      <c r="K89" s="235">
        <f>G89+I89</f>
        <v>0</v>
      </c>
      <c r="L89" s="222">
        <f>IF(AND(J89&gt;0,K89&gt;0),K89/J89,N($E89))</f>
        <v>0</v>
      </c>
      <c r="M89" s="220">
        <f>IF($B89="",0,SUMIFS(出库明细!$E$4:$E$3003,出库明细!$D$4:$D$3003,$B89,出库明细!$B$4:$B$3003,"&gt;="&amp;DATE(年度,1,1),出库明细!$B$4:$B$3003,"&lt;"&amp;DATE(年度,1+1,1)))</f>
        <v>0</v>
      </c>
      <c r="N89" s="186">
        <f>M89*L89</f>
        <v>0</v>
      </c>
      <c r="O89" s="220">
        <f>_辅助!BM87</f>
        <v>0</v>
      </c>
      <c r="P89" s="186">
        <f>_辅助!AC87</f>
        <v>0</v>
      </c>
      <c r="Q89" s="221">
        <f>J89-M89-O89</f>
        <v>0</v>
      </c>
      <c r="R89" s="187">
        <f>K89-N89-P89</f>
        <v>0</v>
      </c>
      <c r="S89" s="236">
        <f>IF(AND(J89&gt;0,K89&gt;0),0,N89)</f>
        <v>0</v>
      </c>
      <c r="T89" s="220">
        <f>IF($B89="",0,SUMIFS(采购进货!$E$4:$E$1503,采购进货!$D$4:$D$1503,$B89,采购进货!$B$4:$B$1503,"&gt;="&amp;DATE(年度,2,1),采购进货!$B$4:$B$1503,"&lt;"&amp;DATE(年度,2+1,1))+SUMIFS(采购进货!$H$4:$H$1503,采购进货!$D$4:$D$1503,$B89,采购进货!$B$4:$B$1503,"&gt;="&amp;DATE(年度,2,1),采购进货!$B$4:$B$1503,"&lt;"&amp;DATE(年度,2+1,1)))</f>
        <v>0</v>
      </c>
      <c r="U89" s="186">
        <f>IF($B89="",0,SUMIFS(采购进货!$G$4:$G$1503,采购进货!$D$4:$D$1503,$B89,采购进货!$B$4:$B$1503,"&gt;="&amp;DATE(年度,2,1),采购进货!$B$4:$B$1503,"&lt;"&amp;DATE(年度,2+1,1)))</f>
        <v>0</v>
      </c>
      <c r="V89" s="234">
        <f>Q89+T89</f>
        <v>0</v>
      </c>
      <c r="W89" s="235">
        <f>R89+U89</f>
        <v>0</v>
      </c>
      <c r="X89" s="222">
        <f>IF(AND(V89&gt;0,W89&gt;0),W89/V89,N($E89))</f>
        <v>0</v>
      </c>
      <c r="Y89" s="220">
        <f>IF($B89="",0,SUMIFS(出库明细!$E$4:$E$3003,出库明细!$D$4:$D$3003,$B89,出库明细!$B$4:$B$3003,"&gt;="&amp;DATE(年度,2,1),出库明细!$B$4:$B$3003,"&lt;"&amp;DATE(年度,2+1,1)))</f>
        <v>0</v>
      </c>
      <c r="Z89" s="186">
        <f>Y89*X89</f>
        <v>0</v>
      </c>
      <c r="AA89" s="220">
        <f>_辅助!BN87</f>
        <v>0</v>
      </c>
      <c r="AB89" s="186">
        <f>_辅助!AD87</f>
        <v>0</v>
      </c>
      <c r="AC89" s="221">
        <f>V89-Y89-AA89</f>
        <v>0</v>
      </c>
      <c r="AD89" s="187">
        <f>W89-Z89-AB89</f>
        <v>0</v>
      </c>
      <c r="AE89" s="236">
        <f>IF(AND(V89&gt;0,W89&gt;0),0,Z89)</f>
        <v>0</v>
      </c>
      <c r="AF89" s="220">
        <f>IF($B89="",0,SUMIFS(采购进货!$E$4:$E$1503,采购进货!$D$4:$D$1503,$B89,采购进货!$B$4:$B$1503,"&gt;="&amp;DATE(年度,3,1),采购进货!$B$4:$B$1503,"&lt;"&amp;DATE(年度,3+1,1))+SUMIFS(采购进货!$H$4:$H$1503,采购进货!$D$4:$D$1503,$B89,采购进货!$B$4:$B$1503,"&gt;="&amp;DATE(年度,3,1),采购进货!$B$4:$B$1503,"&lt;"&amp;DATE(年度,3+1,1)))</f>
        <v>0</v>
      </c>
      <c r="AG89" s="186">
        <f>IF($B89="",0,SUMIFS(采购进货!$G$4:$G$1503,采购进货!$D$4:$D$1503,$B89,采购进货!$B$4:$B$1503,"&gt;="&amp;DATE(年度,3,1),采购进货!$B$4:$B$1503,"&lt;"&amp;DATE(年度,3+1,1)))</f>
        <v>0</v>
      </c>
      <c r="AH89" s="234">
        <f>AC89+AF89</f>
        <v>0</v>
      </c>
      <c r="AI89" s="235">
        <f>AD89+AG89</f>
        <v>0</v>
      </c>
      <c r="AJ89" s="222">
        <f>IF(AND(AH89&gt;0,AI89&gt;0),AI89/AH89,N($E89))</f>
        <v>0</v>
      </c>
      <c r="AK89" s="220">
        <f>IF($B89="",0,SUMIFS(出库明细!$E$4:$E$3003,出库明细!$D$4:$D$3003,$B89,出库明细!$B$4:$B$3003,"&gt;="&amp;DATE(年度,3,1),出库明细!$B$4:$B$3003,"&lt;"&amp;DATE(年度,3+1,1)))</f>
        <v>0</v>
      </c>
      <c r="AL89" s="186">
        <f>AK89*AJ89</f>
        <v>0</v>
      </c>
      <c r="AM89" s="220">
        <f>_辅助!BO87</f>
        <v>0</v>
      </c>
      <c r="AN89" s="186">
        <f>_辅助!AE87</f>
        <v>0</v>
      </c>
      <c r="AO89" s="221">
        <f>AH89-AK89-AM89</f>
        <v>0</v>
      </c>
      <c r="AP89" s="187">
        <f>AI89-AL89-AN89</f>
        <v>0</v>
      </c>
      <c r="AQ89" s="236">
        <f>IF(AND(AH89&gt;0,AI89&gt;0),0,AL89)</f>
        <v>0</v>
      </c>
      <c r="AR89" s="220">
        <f>IF($B89="",0,SUMIFS(采购进货!$E$4:$E$1503,采购进货!$D$4:$D$1503,$B89,采购进货!$B$4:$B$1503,"&gt;="&amp;DATE(年度,4,1),采购进货!$B$4:$B$1503,"&lt;"&amp;DATE(年度,4+1,1))+SUMIFS(采购进货!$H$4:$H$1503,采购进货!$D$4:$D$1503,$B89,采购进货!$B$4:$B$1503,"&gt;="&amp;DATE(年度,4,1),采购进货!$B$4:$B$1503,"&lt;"&amp;DATE(年度,4+1,1)))</f>
        <v>0</v>
      </c>
      <c r="AS89" s="186">
        <f>IF($B89="",0,SUMIFS(采购进货!$G$4:$G$1503,采购进货!$D$4:$D$1503,$B89,采购进货!$B$4:$B$1503,"&gt;="&amp;DATE(年度,4,1),采购进货!$B$4:$B$1503,"&lt;"&amp;DATE(年度,4+1,1)))</f>
        <v>0</v>
      </c>
      <c r="AT89" s="234">
        <f>AO89+AR89</f>
        <v>0</v>
      </c>
      <c r="AU89" s="235">
        <f>AP89+AS89</f>
        <v>0</v>
      </c>
      <c r="AV89" s="222">
        <f>IF(AND(AT89&gt;0,AU89&gt;0),AU89/AT89,N($E89))</f>
        <v>0</v>
      </c>
      <c r="AW89" s="220">
        <f>IF($B89="",0,SUMIFS(出库明细!$E$4:$E$3003,出库明细!$D$4:$D$3003,$B89,出库明细!$B$4:$B$3003,"&gt;="&amp;DATE(年度,4,1),出库明细!$B$4:$B$3003,"&lt;"&amp;DATE(年度,4+1,1)))</f>
        <v>0</v>
      </c>
      <c r="AX89" s="186">
        <f>AW89*AV89</f>
        <v>0</v>
      </c>
      <c r="AY89" s="220">
        <f>_辅助!BP87</f>
        <v>0</v>
      </c>
      <c r="AZ89" s="186">
        <f>_辅助!AF87</f>
        <v>0</v>
      </c>
      <c r="BA89" s="221">
        <f>AT89-AW89-AY89</f>
        <v>0</v>
      </c>
      <c r="BB89" s="187">
        <f>AU89-AX89-AZ89</f>
        <v>0</v>
      </c>
      <c r="BC89" s="236">
        <f>IF(AND(AT89&gt;0,AU89&gt;0),0,AX89)</f>
        <v>0</v>
      </c>
      <c r="BD89" s="220">
        <f>IF($B89="",0,SUMIFS(采购进货!$E$4:$E$1503,采购进货!$D$4:$D$1503,$B89,采购进货!$B$4:$B$1503,"&gt;="&amp;DATE(年度,5,1),采购进货!$B$4:$B$1503,"&lt;"&amp;DATE(年度,5+1,1))+SUMIFS(采购进货!$H$4:$H$1503,采购进货!$D$4:$D$1503,$B89,采购进货!$B$4:$B$1503,"&gt;="&amp;DATE(年度,5,1),采购进货!$B$4:$B$1503,"&lt;"&amp;DATE(年度,5+1,1)))</f>
        <v>0</v>
      </c>
      <c r="BE89" s="186">
        <f>IF($B89="",0,SUMIFS(采购进货!$G$4:$G$1503,采购进货!$D$4:$D$1503,$B89,采购进货!$B$4:$B$1503,"&gt;="&amp;DATE(年度,5,1),采购进货!$B$4:$B$1503,"&lt;"&amp;DATE(年度,5+1,1)))</f>
        <v>0</v>
      </c>
      <c r="BF89" s="234">
        <f>BA89+BD89</f>
        <v>0</v>
      </c>
      <c r="BG89" s="235">
        <f>BB89+BE89</f>
        <v>0</v>
      </c>
      <c r="BH89" s="222">
        <f>IF(AND(BF89&gt;0,BG89&gt;0),BG89/BF89,N($E89))</f>
        <v>0</v>
      </c>
      <c r="BI89" s="220">
        <f>IF($B89="",0,SUMIFS(出库明细!$E$4:$E$3003,出库明细!$D$4:$D$3003,$B89,出库明细!$B$4:$B$3003,"&gt;="&amp;DATE(年度,5,1),出库明细!$B$4:$B$3003,"&lt;"&amp;DATE(年度,5+1,1)))</f>
        <v>0</v>
      </c>
      <c r="BJ89" s="186">
        <f>BI89*BH89</f>
        <v>0</v>
      </c>
      <c r="BK89" s="220">
        <f>_辅助!BQ87</f>
        <v>0</v>
      </c>
      <c r="BL89" s="186">
        <f>_辅助!AG87</f>
        <v>0</v>
      </c>
      <c r="BM89" s="221">
        <f>BF89-BI89-BK89</f>
        <v>0</v>
      </c>
      <c r="BN89" s="187">
        <f>BG89-BJ89-BL89</f>
        <v>0</v>
      </c>
      <c r="BO89" s="236">
        <f>IF(AND(BF89&gt;0,BG89&gt;0),0,BJ89)</f>
        <v>0</v>
      </c>
      <c r="BP89" s="220">
        <f>IF($B89="",0,SUMIFS(采购进货!$E$4:$E$1503,采购进货!$D$4:$D$1503,$B89,采购进货!$B$4:$B$1503,"&gt;="&amp;DATE(年度,6,1),采购进货!$B$4:$B$1503,"&lt;"&amp;DATE(年度,6+1,1))+SUMIFS(采购进货!$H$4:$H$1503,采购进货!$D$4:$D$1503,$B89,采购进货!$B$4:$B$1503,"&gt;="&amp;DATE(年度,6,1),采购进货!$B$4:$B$1503,"&lt;"&amp;DATE(年度,6+1,1)))</f>
        <v>0</v>
      </c>
      <c r="BQ89" s="186">
        <f>IF($B89="",0,SUMIFS(采购进货!$G$4:$G$1503,采购进货!$D$4:$D$1503,$B89,采购进货!$B$4:$B$1503,"&gt;="&amp;DATE(年度,6,1),采购进货!$B$4:$B$1503,"&lt;"&amp;DATE(年度,6+1,1)))</f>
        <v>0</v>
      </c>
      <c r="BR89" s="234">
        <f>BM89+BP89</f>
        <v>0</v>
      </c>
      <c r="BS89" s="235">
        <f>BN89+BQ89</f>
        <v>0</v>
      </c>
      <c r="BT89" s="222">
        <f>IF(AND(BR89&gt;0,BS89&gt;0),BS89/BR89,N($E89))</f>
        <v>0</v>
      </c>
      <c r="BU89" s="220">
        <f>IF($B89="",0,SUMIFS(出库明细!$E$4:$E$3003,出库明细!$D$4:$D$3003,$B89,出库明细!$B$4:$B$3003,"&gt;="&amp;DATE(年度,6,1),出库明细!$B$4:$B$3003,"&lt;"&amp;DATE(年度,6+1,1)))</f>
        <v>0</v>
      </c>
      <c r="BV89" s="186">
        <f>BU89*BT89</f>
        <v>0</v>
      </c>
      <c r="BW89" s="220">
        <f>_辅助!BR87</f>
        <v>0</v>
      </c>
      <c r="BX89" s="186">
        <f>_辅助!AH87</f>
        <v>0</v>
      </c>
      <c r="BY89" s="221">
        <f>BR89-BU89-BW89</f>
        <v>0</v>
      </c>
      <c r="BZ89" s="187">
        <f>BS89-BV89-BX89</f>
        <v>0</v>
      </c>
      <c r="CA89" s="236">
        <f>IF(AND(BR89&gt;0,BS89&gt;0),0,BV89)</f>
        <v>0</v>
      </c>
      <c r="CB89" s="220">
        <f>IF($B89="",0,SUMIFS(采购进货!$E$4:$E$1503,采购进货!$D$4:$D$1503,$B89,采购进货!$B$4:$B$1503,"&gt;="&amp;DATE(年度,7,1),采购进货!$B$4:$B$1503,"&lt;"&amp;DATE(年度,7+1,1))+SUMIFS(采购进货!$H$4:$H$1503,采购进货!$D$4:$D$1503,$B89,采购进货!$B$4:$B$1503,"&gt;="&amp;DATE(年度,7,1),采购进货!$B$4:$B$1503,"&lt;"&amp;DATE(年度,7+1,1)))</f>
        <v>0</v>
      </c>
      <c r="CC89" s="186">
        <f>IF($B89="",0,SUMIFS(采购进货!$G$4:$G$1503,采购进货!$D$4:$D$1503,$B89,采购进货!$B$4:$B$1503,"&gt;="&amp;DATE(年度,7,1),采购进货!$B$4:$B$1503,"&lt;"&amp;DATE(年度,7+1,1)))</f>
        <v>0</v>
      </c>
      <c r="CD89" s="234">
        <f>BY89+CB89</f>
        <v>0</v>
      </c>
      <c r="CE89" s="235">
        <f>BZ89+CC89</f>
        <v>0</v>
      </c>
      <c r="CF89" s="222">
        <f>IF(AND(CD89&gt;0,CE89&gt;0),CE89/CD89,N($E89))</f>
        <v>0</v>
      </c>
      <c r="CG89" s="220">
        <f>IF($B89="",0,SUMIFS(出库明细!$E$4:$E$3003,出库明细!$D$4:$D$3003,$B89,出库明细!$B$4:$B$3003,"&gt;="&amp;DATE(年度,7,1),出库明细!$B$4:$B$3003,"&lt;"&amp;DATE(年度,7+1,1)))</f>
        <v>0</v>
      </c>
      <c r="CH89" s="186">
        <f>CG89*CF89</f>
        <v>0</v>
      </c>
      <c r="CI89" s="220">
        <f>_辅助!BS87</f>
        <v>0</v>
      </c>
      <c r="CJ89" s="186">
        <f>_辅助!AI87</f>
        <v>0</v>
      </c>
      <c r="CK89" s="221">
        <f>CD89-CG89-CI89</f>
        <v>0</v>
      </c>
      <c r="CL89" s="187">
        <f>CE89-CH89-CJ89</f>
        <v>0</v>
      </c>
      <c r="CM89" s="236">
        <f>IF(AND(CD89&gt;0,CE89&gt;0),0,CH89)</f>
        <v>0</v>
      </c>
      <c r="CN89" s="220">
        <f>IF($B89="",0,SUMIFS(采购进货!$E$4:$E$1503,采购进货!$D$4:$D$1503,$B89,采购进货!$B$4:$B$1503,"&gt;="&amp;DATE(年度,8,1),采购进货!$B$4:$B$1503,"&lt;"&amp;DATE(年度,8+1,1))+SUMIFS(采购进货!$H$4:$H$1503,采购进货!$D$4:$D$1503,$B89,采购进货!$B$4:$B$1503,"&gt;="&amp;DATE(年度,8,1),采购进货!$B$4:$B$1503,"&lt;"&amp;DATE(年度,8+1,1)))</f>
        <v>0</v>
      </c>
      <c r="CO89" s="186">
        <f>IF($B89="",0,SUMIFS(采购进货!$G$4:$G$1503,采购进货!$D$4:$D$1503,$B89,采购进货!$B$4:$B$1503,"&gt;="&amp;DATE(年度,8,1),采购进货!$B$4:$B$1503,"&lt;"&amp;DATE(年度,8+1,1)))</f>
        <v>0</v>
      </c>
      <c r="CP89" s="234">
        <f>CK89+CN89</f>
        <v>0</v>
      </c>
      <c r="CQ89" s="235">
        <f>CL89+CO89</f>
        <v>0</v>
      </c>
      <c r="CR89" s="222">
        <f>IF(AND(CP89&gt;0,CQ89&gt;0),CQ89/CP89,N($E89))</f>
        <v>0</v>
      </c>
      <c r="CS89" s="220">
        <f>IF($B89="",0,SUMIFS(出库明细!$E$4:$E$3003,出库明细!$D$4:$D$3003,$B89,出库明细!$B$4:$B$3003,"&gt;="&amp;DATE(年度,8,1),出库明细!$B$4:$B$3003,"&lt;"&amp;DATE(年度,8+1,1)))</f>
        <v>0</v>
      </c>
      <c r="CT89" s="186">
        <f>CS89*CR89</f>
        <v>0</v>
      </c>
      <c r="CU89" s="220">
        <f>_辅助!BT87</f>
        <v>0</v>
      </c>
      <c r="CV89" s="186">
        <f>_辅助!AJ87</f>
        <v>0</v>
      </c>
      <c r="CW89" s="221">
        <f>CP89-CS89-CU89</f>
        <v>0</v>
      </c>
      <c r="CX89" s="187">
        <f>CQ89-CT89-CV89</f>
        <v>0</v>
      </c>
      <c r="CY89" s="236">
        <f>IF(AND(CP89&gt;0,CQ89&gt;0),0,CT89)</f>
        <v>0</v>
      </c>
      <c r="CZ89" s="220">
        <f>IF($B89="",0,SUMIFS(采购进货!$E$4:$E$1503,采购进货!$D$4:$D$1503,$B89,采购进货!$B$4:$B$1503,"&gt;="&amp;DATE(年度,9,1),采购进货!$B$4:$B$1503,"&lt;"&amp;DATE(年度,9+1,1))+SUMIFS(采购进货!$H$4:$H$1503,采购进货!$D$4:$D$1503,$B89,采购进货!$B$4:$B$1503,"&gt;="&amp;DATE(年度,9,1),采购进货!$B$4:$B$1503,"&lt;"&amp;DATE(年度,9+1,1)))</f>
        <v>0</v>
      </c>
      <c r="DA89" s="186">
        <f>IF($B89="",0,SUMIFS(采购进货!$G$4:$G$1503,采购进货!$D$4:$D$1503,$B89,采购进货!$B$4:$B$1503,"&gt;="&amp;DATE(年度,9,1),采购进货!$B$4:$B$1503,"&lt;"&amp;DATE(年度,9+1,1)))</f>
        <v>0</v>
      </c>
      <c r="DB89" s="234">
        <f>CW89+CZ89</f>
        <v>0</v>
      </c>
      <c r="DC89" s="235">
        <f>CX89+DA89</f>
        <v>0</v>
      </c>
      <c r="DD89" s="222">
        <f>IF(AND(DB89&gt;0,DC89&gt;0),DC89/DB89,N($E89))</f>
        <v>0</v>
      </c>
      <c r="DE89" s="220">
        <f>IF($B89="",0,SUMIFS(出库明细!$E$4:$E$3003,出库明细!$D$4:$D$3003,$B89,出库明细!$B$4:$B$3003,"&gt;="&amp;DATE(年度,9,1),出库明细!$B$4:$B$3003,"&lt;"&amp;DATE(年度,9+1,1)))</f>
        <v>0</v>
      </c>
      <c r="DF89" s="186">
        <f>DE89*DD89</f>
        <v>0</v>
      </c>
      <c r="DG89" s="220">
        <f>_辅助!BU87</f>
        <v>0</v>
      </c>
      <c r="DH89" s="186">
        <f>_辅助!AK87</f>
        <v>0</v>
      </c>
      <c r="DI89" s="221">
        <f>DB89-DE89-DG89</f>
        <v>0</v>
      </c>
      <c r="DJ89" s="187">
        <f>DC89-DF89-DH89</f>
        <v>0</v>
      </c>
      <c r="DK89" s="236">
        <f>IF(AND(DB89&gt;0,DC89&gt;0),0,DF89)</f>
        <v>0</v>
      </c>
      <c r="DL89" s="220">
        <f>IF($B89="",0,SUMIFS(采购进货!$E$4:$E$1503,采购进货!$D$4:$D$1503,$B89,采购进货!$B$4:$B$1503,"&gt;="&amp;DATE(年度,10,1),采购进货!$B$4:$B$1503,"&lt;"&amp;DATE(年度,10+1,1))+SUMIFS(采购进货!$H$4:$H$1503,采购进货!$D$4:$D$1503,$B89,采购进货!$B$4:$B$1503,"&gt;="&amp;DATE(年度,10,1),采购进货!$B$4:$B$1503,"&lt;"&amp;DATE(年度,10+1,1)))</f>
        <v>0</v>
      </c>
      <c r="DM89" s="186">
        <f>IF($B89="",0,SUMIFS(采购进货!$G$4:$G$1503,采购进货!$D$4:$D$1503,$B89,采购进货!$B$4:$B$1503,"&gt;="&amp;DATE(年度,10,1),采购进货!$B$4:$B$1503,"&lt;"&amp;DATE(年度,10+1,1)))</f>
        <v>0</v>
      </c>
      <c r="DN89" s="234">
        <f>DI89+DL89</f>
        <v>0</v>
      </c>
      <c r="DO89" s="235">
        <f>DJ89+DM89</f>
        <v>0</v>
      </c>
      <c r="DP89" s="222">
        <f>IF(AND(DN89&gt;0,DO89&gt;0),DO89/DN89,N($E89))</f>
        <v>0</v>
      </c>
      <c r="DQ89" s="220">
        <f>IF($B89="",0,SUMIFS(出库明细!$E$4:$E$3003,出库明细!$D$4:$D$3003,$B89,出库明细!$B$4:$B$3003,"&gt;="&amp;DATE(年度,10,1),出库明细!$B$4:$B$3003,"&lt;"&amp;DATE(年度,10+1,1)))</f>
        <v>0</v>
      </c>
      <c r="DR89" s="186">
        <f>DQ89*DP89</f>
        <v>0</v>
      </c>
      <c r="DS89" s="220">
        <f>_辅助!BV87</f>
        <v>0</v>
      </c>
      <c r="DT89" s="186">
        <f>_辅助!AL87</f>
        <v>0</v>
      </c>
      <c r="DU89" s="221">
        <f>DN89-DQ89-DS89</f>
        <v>0</v>
      </c>
      <c r="DV89" s="187">
        <f>DO89-DR89-DT89</f>
        <v>0</v>
      </c>
      <c r="DW89" s="236">
        <f>IF(AND(DN89&gt;0,DO89&gt;0),0,DR89)</f>
        <v>0</v>
      </c>
      <c r="DX89" s="220">
        <f>IF($B89="",0,SUMIFS(采购进货!$E$4:$E$1503,采购进货!$D$4:$D$1503,$B89,采购进货!$B$4:$B$1503,"&gt;="&amp;DATE(年度,11,1),采购进货!$B$4:$B$1503,"&lt;"&amp;DATE(年度,11+1,1))+SUMIFS(采购进货!$H$4:$H$1503,采购进货!$D$4:$D$1503,$B89,采购进货!$B$4:$B$1503,"&gt;="&amp;DATE(年度,11,1),采购进货!$B$4:$B$1503,"&lt;"&amp;DATE(年度,11+1,1)))</f>
        <v>0</v>
      </c>
      <c r="DY89" s="186">
        <f>IF($B89="",0,SUMIFS(采购进货!$G$4:$G$1503,采购进货!$D$4:$D$1503,$B89,采购进货!$B$4:$B$1503,"&gt;="&amp;DATE(年度,11,1),采购进货!$B$4:$B$1503,"&lt;"&amp;DATE(年度,11+1,1)))</f>
        <v>0</v>
      </c>
      <c r="DZ89" s="234">
        <f>DU89+DX89</f>
        <v>0</v>
      </c>
      <c r="EA89" s="235">
        <f>DV89+DY89</f>
        <v>0</v>
      </c>
      <c r="EB89" s="222">
        <f>IF(AND(DZ89&gt;0,EA89&gt;0),EA89/DZ89,N($E89))</f>
        <v>0</v>
      </c>
      <c r="EC89" s="220">
        <f>IF($B89="",0,SUMIFS(出库明细!$E$4:$E$3003,出库明细!$D$4:$D$3003,$B89,出库明细!$B$4:$B$3003,"&gt;="&amp;DATE(年度,11,1),出库明细!$B$4:$B$3003,"&lt;"&amp;DATE(年度,11+1,1)))</f>
        <v>0</v>
      </c>
      <c r="ED89" s="186">
        <f>EC89*EB89</f>
        <v>0</v>
      </c>
      <c r="EE89" s="220">
        <f>_辅助!BW87</f>
        <v>0</v>
      </c>
      <c r="EF89" s="186">
        <f>_辅助!AM87</f>
        <v>0</v>
      </c>
      <c r="EG89" s="221">
        <f>DZ89-EC89-EE89</f>
        <v>0</v>
      </c>
      <c r="EH89" s="187">
        <f>EA89-ED89-EF89</f>
        <v>0</v>
      </c>
      <c r="EI89" s="236">
        <f>IF(AND(DZ89&gt;0,EA89&gt;0),0,ED89)</f>
        <v>0</v>
      </c>
      <c r="EJ89" s="220">
        <f>IF($B89="",0,SUMIFS(采购进货!$E$4:$E$1503,采购进货!$D$4:$D$1503,$B89,采购进货!$B$4:$B$1503,"&gt;="&amp;DATE(年度,12,1),采购进货!$B$4:$B$1503,"&lt;"&amp;DATE(年度,12+1,1))+SUMIFS(采购进货!$H$4:$H$1503,采购进货!$D$4:$D$1503,$B89,采购进货!$B$4:$B$1503,"&gt;="&amp;DATE(年度,12,1),采购进货!$B$4:$B$1503,"&lt;"&amp;DATE(年度,12+1,1)))</f>
        <v>0</v>
      </c>
      <c r="EK89" s="186">
        <f>IF($B89="",0,SUMIFS(采购进货!$G$4:$G$1503,采购进货!$D$4:$D$1503,$B89,采购进货!$B$4:$B$1503,"&gt;="&amp;DATE(年度,12,1),采购进货!$B$4:$B$1503,"&lt;"&amp;DATE(年度,12+1,1)))</f>
        <v>0</v>
      </c>
      <c r="EL89" s="234">
        <f>EG89+EJ89</f>
        <v>0</v>
      </c>
      <c r="EM89" s="235">
        <f>EH89+EK89</f>
        <v>0</v>
      </c>
      <c r="EN89" s="222">
        <f>IF(AND(EL89&gt;0,EM89&gt;0),EM89/EL89,N($E89))</f>
        <v>0</v>
      </c>
      <c r="EO89" s="220">
        <f>IF($B89="",0,SUMIFS(出库明细!$E$4:$E$3003,出库明细!$D$4:$D$3003,$B89,出库明细!$B$4:$B$3003,"&gt;="&amp;DATE(年度,12,1),出库明细!$B$4:$B$3003,"&lt;"&amp;DATE(年度,12+1,1)))</f>
        <v>0</v>
      </c>
      <c r="EP89" s="186">
        <f>EO89*EN89</f>
        <v>0</v>
      </c>
      <c r="EQ89" s="220">
        <f>_辅助!BX87</f>
        <v>0</v>
      </c>
      <c r="ER89" s="186">
        <f>_辅助!AN87</f>
        <v>0</v>
      </c>
      <c r="ES89" s="221">
        <f>EL89-EO89-EQ89</f>
        <v>0</v>
      </c>
      <c r="ET89" s="187">
        <f>EM89-EP89-ER89</f>
        <v>0</v>
      </c>
      <c r="EU89" s="236">
        <f>IF(AND(EL89&gt;0,EM89&gt;0),0,EP89)</f>
        <v>0</v>
      </c>
    </row>
    <row r="90">
      <c r="A90" s="194">
        <f>IF(B90="","",ROW()-7)</f>
      </c>
      <c r="B90" s="141">
        <f>IF(基础资料!E87="","",基础资料!E87&amp;"")</f>
      </c>
      <c r="C90" s="230">
        <f>IF(基础资料!G87="","",基础资料!G87&amp;"")</f>
      </c>
      <c r="D90" s="194">
        <f>IF(基础资料!I87="","",基础资料!I87)</f>
      </c>
      <c r="E90" s="231">
        <f>IF(基础资料!J87="","",基础资料!J87)</f>
      </c>
      <c r="F90" s="232">
        <f>N(基础资料!L87)</f>
        <v>0</v>
      </c>
      <c r="G90" s="233">
        <f>IF(基础资料!N87="",0,基础资料!N87)</f>
        <v>0</v>
      </c>
      <c r="H90" s="220">
        <f>IF($B90="",0,SUMIFS(采购进货!$E$4:$E$1503,采购进货!$D$4:$D$1503,$B90,采购进货!$B$4:$B$1503,"&gt;="&amp;DATE(年度,1,1),采购进货!$B$4:$B$1503,"&lt;"&amp;DATE(年度,1+1,1))+SUMIFS(采购进货!$H$4:$H$1503,采购进货!$D$4:$D$1503,$B90,采购进货!$B$4:$B$1503,"&gt;="&amp;DATE(年度,1,1),采购进货!$B$4:$B$1503,"&lt;"&amp;DATE(年度,1+1,1)))</f>
        <v>0</v>
      </c>
      <c r="I90" s="186">
        <f>IF($B90="",0,SUMIFS(采购进货!$G$4:$G$1503,采购进货!$D$4:$D$1503,$B90,采购进货!$B$4:$B$1503,"&gt;="&amp;DATE(年度,1,1),采购进货!$B$4:$B$1503,"&lt;"&amp;DATE(年度,1+1,1)))</f>
        <v>0</v>
      </c>
      <c r="J90" s="234">
        <f>F90+H90</f>
        <v>0</v>
      </c>
      <c r="K90" s="235">
        <f>G90+I90</f>
        <v>0</v>
      </c>
      <c r="L90" s="222">
        <f>IF(AND(J90&gt;0,K90&gt;0),K90/J90,N($E90))</f>
        <v>0</v>
      </c>
      <c r="M90" s="220">
        <f>IF($B90="",0,SUMIFS(出库明细!$E$4:$E$3003,出库明细!$D$4:$D$3003,$B90,出库明细!$B$4:$B$3003,"&gt;="&amp;DATE(年度,1,1),出库明细!$B$4:$B$3003,"&lt;"&amp;DATE(年度,1+1,1)))</f>
        <v>0</v>
      </c>
      <c r="N90" s="186">
        <f>M90*L90</f>
        <v>0</v>
      </c>
      <c r="O90" s="220">
        <f>_辅助!BM88</f>
        <v>0</v>
      </c>
      <c r="P90" s="186">
        <f>_辅助!AC88</f>
        <v>0</v>
      </c>
      <c r="Q90" s="221">
        <f>J90-M90-O90</f>
        <v>0</v>
      </c>
      <c r="R90" s="187">
        <f>K90-N90-P90</f>
        <v>0</v>
      </c>
      <c r="S90" s="236">
        <f>IF(AND(J90&gt;0,K90&gt;0),0,N90)</f>
        <v>0</v>
      </c>
      <c r="T90" s="220">
        <f>IF($B90="",0,SUMIFS(采购进货!$E$4:$E$1503,采购进货!$D$4:$D$1503,$B90,采购进货!$B$4:$B$1503,"&gt;="&amp;DATE(年度,2,1),采购进货!$B$4:$B$1503,"&lt;"&amp;DATE(年度,2+1,1))+SUMIFS(采购进货!$H$4:$H$1503,采购进货!$D$4:$D$1503,$B90,采购进货!$B$4:$B$1503,"&gt;="&amp;DATE(年度,2,1),采购进货!$B$4:$B$1503,"&lt;"&amp;DATE(年度,2+1,1)))</f>
        <v>0</v>
      </c>
      <c r="U90" s="186">
        <f>IF($B90="",0,SUMIFS(采购进货!$G$4:$G$1503,采购进货!$D$4:$D$1503,$B90,采购进货!$B$4:$B$1503,"&gt;="&amp;DATE(年度,2,1),采购进货!$B$4:$B$1503,"&lt;"&amp;DATE(年度,2+1,1)))</f>
        <v>0</v>
      </c>
      <c r="V90" s="234">
        <f>Q90+T90</f>
        <v>0</v>
      </c>
      <c r="W90" s="235">
        <f>R90+U90</f>
        <v>0</v>
      </c>
      <c r="X90" s="222">
        <f>IF(AND(V90&gt;0,W90&gt;0),W90/V90,N($E90))</f>
        <v>0</v>
      </c>
      <c r="Y90" s="220">
        <f>IF($B90="",0,SUMIFS(出库明细!$E$4:$E$3003,出库明细!$D$4:$D$3003,$B90,出库明细!$B$4:$B$3003,"&gt;="&amp;DATE(年度,2,1),出库明细!$B$4:$B$3003,"&lt;"&amp;DATE(年度,2+1,1)))</f>
        <v>0</v>
      </c>
      <c r="Z90" s="186">
        <f>Y90*X90</f>
        <v>0</v>
      </c>
      <c r="AA90" s="220">
        <f>_辅助!BN88</f>
        <v>0</v>
      </c>
      <c r="AB90" s="186">
        <f>_辅助!AD88</f>
        <v>0</v>
      </c>
      <c r="AC90" s="221">
        <f>V90-Y90-AA90</f>
        <v>0</v>
      </c>
      <c r="AD90" s="187">
        <f>W90-Z90-AB90</f>
        <v>0</v>
      </c>
      <c r="AE90" s="236">
        <f>IF(AND(V90&gt;0,W90&gt;0),0,Z90)</f>
        <v>0</v>
      </c>
      <c r="AF90" s="220">
        <f>IF($B90="",0,SUMIFS(采购进货!$E$4:$E$1503,采购进货!$D$4:$D$1503,$B90,采购进货!$B$4:$B$1503,"&gt;="&amp;DATE(年度,3,1),采购进货!$B$4:$B$1503,"&lt;"&amp;DATE(年度,3+1,1))+SUMIFS(采购进货!$H$4:$H$1503,采购进货!$D$4:$D$1503,$B90,采购进货!$B$4:$B$1503,"&gt;="&amp;DATE(年度,3,1),采购进货!$B$4:$B$1503,"&lt;"&amp;DATE(年度,3+1,1)))</f>
        <v>0</v>
      </c>
      <c r="AG90" s="186">
        <f>IF($B90="",0,SUMIFS(采购进货!$G$4:$G$1503,采购进货!$D$4:$D$1503,$B90,采购进货!$B$4:$B$1503,"&gt;="&amp;DATE(年度,3,1),采购进货!$B$4:$B$1503,"&lt;"&amp;DATE(年度,3+1,1)))</f>
        <v>0</v>
      </c>
      <c r="AH90" s="234">
        <f>AC90+AF90</f>
        <v>0</v>
      </c>
      <c r="AI90" s="235">
        <f>AD90+AG90</f>
        <v>0</v>
      </c>
      <c r="AJ90" s="222">
        <f>IF(AND(AH90&gt;0,AI90&gt;0),AI90/AH90,N($E90))</f>
        <v>0</v>
      </c>
      <c r="AK90" s="220">
        <f>IF($B90="",0,SUMIFS(出库明细!$E$4:$E$3003,出库明细!$D$4:$D$3003,$B90,出库明细!$B$4:$B$3003,"&gt;="&amp;DATE(年度,3,1),出库明细!$B$4:$B$3003,"&lt;"&amp;DATE(年度,3+1,1)))</f>
        <v>0</v>
      </c>
      <c r="AL90" s="186">
        <f>AK90*AJ90</f>
        <v>0</v>
      </c>
      <c r="AM90" s="220">
        <f>_辅助!BO88</f>
        <v>0</v>
      </c>
      <c r="AN90" s="186">
        <f>_辅助!AE88</f>
        <v>0</v>
      </c>
      <c r="AO90" s="221">
        <f>AH90-AK90-AM90</f>
        <v>0</v>
      </c>
      <c r="AP90" s="187">
        <f>AI90-AL90-AN90</f>
        <v>0</v>
      </c>
      <c r="AQ90" s="236">
        <f>IF(AND(AH90&gt;0,AI90&gt;0),0,AL90)</f>
        <v>0</v>
      </c>
      <c r="AR90" s="220">
        <f>IF($B90="",0,SUMIFS(采购进货!$E$4:$E$1503,采购进货!$D$4:$D$1503,$B90,采购进货!$B$4:$B$1503,"&gt;="&amp;DATE(年度,4,1),采购进货!$B$4:$B$1503,"&lt;"&amp;DATE(年度,4+1,1))+SUMIFS(采购进货!$H$4:$H$1503,采购进货!$D$4:$D$1503,$B90,采购进货!$B$4:$B$1503,"&gt;="&amp;DATE(年度,4,1),采购进货!$B$4:$B$1503,"&lt;"&amp;DATE(年度,4+1,1)))</f>
        <v>0</v>
      </c>
      <c r="AS90" s="186">
        <f>IF($B90="",0,SUMIFS(采购进货!$G$4:$G$1503,采购进货!$D$4:$D$1503,$B90,采购进货!$B$4:$B$1503,"&gt;="&amp;DATE(年度,4,1),采购进货!$B$4:$B$1503,"&lt;"&amp;DATE(年度,4+1,1)))</f>
        <v>0</v>
      </c>
      <c r="AT90" s="234">
        <f>AO90+AR90</f>
        <v>0</v>
      </c>
      <c r="AU90" s="235">
        <f>AP90+AS90</f>
        <v>0</v>
      </c>
      <c r="AV90" s="222">
        <f>IF(AND(AT90&gt;0,AU90&gt;0),AU90/AT90,N($E90))</f>
        <v>0</v>
      </c>
      <c r="AW90" s="220">
        <f>IF($B90="",0,SUMIFS(出库明细!$E$4:$E$3003,出库明细!$D$4:$D$3003,$B90,出库明细!$B$4:$B$3003,"&gt;="&amp;DATE(年度,4,1),出库明细!$B$4:$B$3003,"&lt;"&amp;DATE(年度,4+1,1)))</f>
        <v>0</v>
      </c>
      <c r="AX90" s="186">
        <f>AW90*AV90</f>
        <v>0</v>
      </c>
      <c r="AY90" s="220">
        <f>_辅助!BP88</f>
        <v>0</v>
      </c>
      <c r="AZ90" s="186">
        <f>_辅助!AF88</f>
        <v>0</v>
      </c>
      <c r="BA90" s="221">
        <f>AT90-AW90-AY90</f>
        <v>0</v>
      </c>
      <c r="BB90" s="187">
        <f>AU90-AX90-AZ90</f>
        <v>0</v>
      </c>
      <c r="BC90" s="236">
        <f>IF(AND(AT90&gt;0,AU90&gt;0),0,AX90)</f>
        <v>0</v>
      </c>
      <c r="BD90" s="220">
        <f>IF($B90="",0,SUMIFS(采购进货!$E$4:$E$1503,采购进货!$D$4:$D$1503,$B90,采购进货!$B$4:$B$1503,"&gt;="&amp;DATE(年度,5,1),采购进货!$B$4:$B$1503,"&lt;"&amp;DATE(年度,5+1,1))+SUMIFS(采购进货!$H$4:$H$1503,采购进货!$D$4:$D$1503,$B90,采购进货!$B$4:$B$1503,"&gt;="&amp;DATE(年度,5,1),采购进货!$B$4:$B$1503,"&lt;"&amp;DATE(年度,5+1,1)))</f>
        <v>0</v>
      </c>
      <c r="BE90" s="186">
        <f>IF($B90="",0,SUMIFS(采购进货!$G$4:$G$1503,采购进货!$D$4:$D$1503,$B90,采购进货!$B$4:$B$1503,"&gt;="&amp;DATE(年度,5,1),采购进货!$B$4:$B$1503,"&lt;"&amp;DATE(年度,5+1,1)))</f>
        <v>0</v>
      </c>
      <c r="BF90" s="234">
        <f>BA90+BD90</f>
        <v>0</v>
      </c>
      <c r="BG90" s="235">
        <f>BB90+BE90</f>
        <v>0</v>
      </c>
      <c r="BH90" s="222">
        <f>IF(AND(BF90&gt;0,BG90&gt;0),BG90/BF90,N($E90))</f>
        <v>0</v>
      </c>
      <c r="BI90" s="220">
        <f>IF($B90="",0,SUMIFS(出库明细!$E$4:$E$3003,出库明细!$D$4:$D$3003,$B90,出库明细!$B$4:$B$3003,"&gt;="&amp;DATE(年度,5,1),出库明细!$B$4:$B$3003,"&lt;"&amp;DATE(年度,5+1,1)))</f>
        <v>0</v>
      </c>
      <c r="BJ90" s="186">
        <f>BI90*BH90</f>
        <v>0</v>
      </c>
      <c r="BK90" s="220">
        <f>_辅助!BQ88</f>
        <v>0</v>
      </c>
      <c r="BL90" s="186">
        <f>_辅助!AG88</f>
        <v>0</v>
      </c>
      <c r="BM90" s="221">
        <f>BF90-BI90-BK90</f>
        <v>0</v>
      </c>
      <c r="BN90" s="187">
        <f>BG90-BJ90-BL90</f>
        <v>0</v>
      </c>
      <c r="BO90" s="236">
        <f>IF(AND(BF90&gt;0,BG90&gt;0),0,BJ90)</f>
        <v>0</v>
      </c>
      <c r="BP90" s="220">
        <f>IF($B90="",0,SUMIFS(采购进货!$E$4:$E$1503,采购进货!$D$4:$D$1503,$B90,采购进货!$B$4:$B$1503,"&gt;="&amp;DATE(年度,6,1),采购进货!$B$4:$B$1503,"&lt;"&amp;DATE(年度,6+1,1))+SUMIFS(采购进货!$H$4:$H$1503,采购进货!$D$4:$D$1503,$B90,采购进货!$B$4:$B$1503,"&gt;="&amp;DATE(年度,6,1),采购进货!$B$4:$B$1503,"&lt;"&amp;DATE(年度,6+1,1)))</f>
        <v>0</v>
      </c>
      <c r="BQ90" s="186">
        <f>IF($B90="",0,SUMIFS(采购进货!$G$4:$G$1503,采购进货!$D$4:$D$1503,$B90,采购进货!$B$4:$B$1503,"&gt;="&amp;DATE(年度,6,1),采购进货!$B$4:$B$1503,"&lt;"&amp;DATE(年度,6+1,1)))</f>
        <v>0</v>
      </c>
      <c r="BR90" s="234">
        <f>BM90+BP90</f>
        <v>0</v>
      </c>
      <c r="BS90" s="235">
        <f>BN90+BQ90</f>
        <v>0</v>
      </c>
      <c r="BT90" s="222">
        <f>IF(AND(BR90&gt;0,BS90&gt;0),BS90/BR90,N($E90))</f>
        <v>0</v>
      </c>
      <c r="BU90" s="220">
        <f>IF($B90="",0,SUMIFS(出库明细!$E$4:$E$3003,出库明细!$D$4:$D$3003,$B90,出库明细!$B$4:$B$3003,"&gt;="&amp;DATE(年度,6,1),出库明细!$B$4:$B$3003,"&lt;"&amp;DATE(年度,6+1,1)))</f>
        <v>0</v>
      </c>
      <c r="BV90" s="186">
        <f>BU90*BT90</f>
        <v>0</v>
      </c>
      <c r="BW90" s="220">
        <f>_辅助!BR88</f>
        <v>0</v>
      </c>
      <c r="BX90" s="186">
        <f>_辅助!AH88</f>
        <v>0</v>
      </c>
      <c r="BY90" s="221">
        <f>BR90-BU90-BW90</f>
        <v>0</v>
      </c>
      <c r="BZ90" s="187">
        <f>BS90-BV90-BX90</f>
        <v>0</v>
      </c>
      <c r="CA90" s="236">
        <f>IF(AND(BR90&gt;0,BS90&gt;0),0,BV90)</f>
        <v>0</v>
      </c>
      <c r="CB90" s="220">
        <f>IF($B90="",0,SUMIFS(采购进货!$E$4:$E$1503,采购进货!$D$4:$D$1503,$B90,采购进货!$B$4:$B$1503,"&gt;="&amp;DATE(年度,7,1),采购进货!$B$4:$B$1503,"&lt;"&amp;DATE(年度,7+1,1))+SUMIFS(采购进货!$H$4:$H$1503,采购进货!$D$4:$D$1503,$B90,采购进货!$B$4:$B$1503,"&gt;="&amp;DATE(年度,7,1),采购进货!$B$4:$B$1503,"&lt;"&amp;DATE(年度,7+1,1)))</f>
        <v>0</v>
      </c>
      <c r="CC90" s="186">
        <f>IF($B90="",0,SUMIFS(采购进货!$G$4:$G$1503,采购进货!$D$4:$D$1503,$B90,采购进货!$B$4:$B$1503,"&gt;="&amp;DATE(年度,7,1),采购进货!$B$4:$B$1503,"&lt;"&amp;DATE(年度,7+1,1)))</f>
        <v>0</v>
      </c>
      <c r="CD90" s="234">
        <f>BY90+CB90</f>
        <v>0</v>
      </c>
      <c r="CE90" s="235">
        <f>BZ90+CC90</f>
        <v>0</v>
      </c>
      <c r="CF90" s="222">
        <f>IF(AND(CD90&gt;0,CE90&gt;0),CE90/CD90,N($E90))</f>
        <v>0</v>
      </c>
      <c r="CG90" s="220">
        <f>IF($B90="",0,SUMIFS(出库明细!$E$4:$E$3003,出库明细!$D$4:$D$3003,$B90,出库明细!$B$4:$B$3003,"&gt;="&amp;DATE(年度,7,1),出库明细!$B$4:$B$3003,"&lt;"&amp;DATE(年度,7+1,1)))</f>
        <v>0</v>
      </c>
      <c r="CH90" s="186">
        <f>CG90*CF90</f>
        <v>0</v>
      </c>
      <c r="CI90" s="220">
        <f>_辅助!BS88</f>
        <v>0</v>
      </c>
      <c r="CJ90" s="186">
        <f>_辅助!AI88</f>
        <v>0</v>
      </c>
      <c r="CK90" s="221">
        <f>CD90-CG90-CI90</f>
        <v>0</v>
      </c>
      <c r="CL90" s="187">
        <f>CE90-CH90-CJ90</f>
        <v>0</v>
      </c>
      <c r="CM90" s="236">
        <f>IF(AND(CD90&gt;0,CE90&gt;0),0,CH90)</f>
        <v>0</v>
      </c>
      <c r="CN90" s="220">
        <f>IF($B90="",0,SUMIFS(采购进货!$E$4:$E$1503,采购进货!$D$4:$D$1503,$B90,采购进货!$B$4:$B$1503,"&gt;="&amp;DATE(年度,8,1),采购进货!$B$4:$B$1503,"&lt;"&amp;DATE(年度,8+1,1))+SUMIFS(采购进货!$H$4:$H$1503,采购进货!$D$4:$D$1503,$B90,采购进货!$B$4:$B$1503,"&gt;="&amp;DATE(年度,8,1),采购进货!$B$4:$B$1503,"&lt;"&amp;DATE(年度,8+1,1)))</f>
        <v>0</v>
      </c>
      <c r="CO90" s="186">
        <f>IF($B90="",0,SUMIFS(采购进货!$G$4:$G$1503,采购进货!$D$4:$D$1503,$B90,采购进货!$B$4:$B$1503,"&gt;="&amp;DATE(年度,8,1),采购进货!$B$4:$B$1503,"&lt;"&amp;DATE(年度,8+1,1)))</f>
        <v>0</v>
      </c>
      <c r="CP90" s="234">
        <f>CK90+CN90</f>
        <v>0</v>
      </c>
      <c r="CQ90" s="235">
        <f>CL90+CO90</f>
        <v>0</v>
      </c>
      <c r="CR90" s="222">
        <f>IF(AND(CP90&gt;0,CQ90&gt;0),CQ90/CP90,N($E90))</f>
        <v>0</v>
      </c>
      <c r="CS90" s="220">
        <f>IF($B90="",0,SUMIFS(出库明细!$E$4:$E$3003,出库明细!$D$4:$D$3003,$B90,出库明细!$B$4:$B$3003,"&gt;="&amp;DATE(年度,8,1),出库明细!$B$4:$B$3003,"&lt;"&amp;DATE(年度,8+1,1)))</f>
        <v>0</v>
      </c>
      <c r="CT90" s="186">
        <f>CS90*CR90</f>
        <v>0</v>
      </c>
      <c r="CU90" s="220">
        <f>_辅助!BT88</f>
        <v>0</v>
      </c>
      <c r="CV90" s="186">
        <f>_辅助!AJ88</f>
        <v>0</v>
      </c>
      <c r="CW90" s="221">
        <f>CP90-CS90-CU90</f>
        <v>0</v>
      </c>
      <c r="CX90" s="187">
        <f>CQ90-CT90-CV90</f>
        <v>0</v>
      </c>
      <c r="CY90" s="236">
        <f>IF(AND(CP90&gt;0,CQ90&gt;0),0,CT90)</f>
        <v>0</v>
      </c>
      <c r="CZ90" s="220">
        <f>IF($B90="",0,SUMIFS(采购进货!$E$4:$E$1503,采购进货!$D$4:$D$1503,$B90,采购进货!$B$4:$B$1503,"&gt;="&amp;DATE(年度,9,1),采购进货!$B$4:$B$1503,"&lt;"&amp;DATE(年度,9+1,1))+SUMIFS(采购进货!$H$4:$H$1503,采购进货!$D$4:$D$1503,$B90,采购进货!$B$4:$B$1503,"&gt;="&amp;DATE(年度,9,1),采购进货!$B$4:$B$1503,"&lt;"&amp;DATE(年度,9+1,1)))</f>
        <v>0</v>
      </c>
      <c r="DA90" s="186">
        <f>IF($B90="",0,SUMIFS(采购进货!$G$4:$G$1503,采购进货!$D$4:$D$1503,$B90,采购进货!$B$4:$B$1503,"&gt;="&amp;DATE(年度,9,1),采购进货!$B$4:$B$1503,"&lt;"&amp;DATE(年度,9+1,1)))</f>
        <v>0</v>
      </c>
      <c r="DB90" s="234">
        <f>CW90+CZ90</f>
        <v>0</v>
      </c>
      <c r="DC90" s="235">
        <f>CX90+DA90</f>
        <v>0</v>
      </c>
      <c r="DD90" s="222">
        <f>IF(AND(DB90&gt;0,DC90&gt;0),DC90/DB90,N($E90))</f>
        <v>0</v>
      </c>
      <c r="DE90" s="220">
        <f>IF($B90="",0,SUMIFS(出库明细!$E$4:$E$3003,出库明细!$D$4:$D$3003,$B90,出库明细!$B$4:$B$3003,"&gt;="&amp;DATE(年度,9,1),出库明细!$B$4:$B$3003,"&lt;"&amp;DATE(年度,9+1,1)))</f>
        <v>0</v>
      </c>
      <c r="DF90" s="186">
        <f>DE90*DD90</f>
        <v>0</v>
      </c>
      <c r="DG90" s="220">
        <f>_辅助!BU88</f>
        <v>0</v>
      </c>
      <c r="DH90" s="186">
        <f>_辅助!AK88</f>
        <v>0</v>
      </c>
      <c r="DI90" s="221">
        <f>DB90-DE90-DG90</f>
        <v>0</v>
      </c>
      <c r="DJ90" s="187">
        <f>DC90-DF90-DH90</f>
        <v>0</v>
      </c>
      <c r="DK90" s="236">
        <f>IF(AND(DB90&gt;0,DC90&gt;0),0,DF90)</f>
        <v>0</v>
      </c>
      <c r="DL90" s="220">
        <f>IF($B90="",0,SUMIFS(采购进货!$E$4:$E$1503,采购进货!$D$4:$D$1503,$B90,采购进货!$B$4:$B$1503,"&gt;="&amp;DATE(年度,10,1),采购进货!$B$4:$B$1503,"&lt;"&amp;DATE(年度,10+1,1))+SUMIFS(采购进货!$H$4:$H$1503,采购进货!$D$4:$D$1503,$B90,采购进货!$B$4:$B$1503,"&gt;="&amp;DATE(年度,10,1),采购进货!$B$4:$B$1503,"&lt;"&amp;DATE(年度,10+1,1)))</f>
        <v>0</v>
      </c>
      <c r="DM90" s="186">
        <f>IF($B90="",0,SUMIFS(采购进货!$G$4:$G$1503,采购进货!$D$4:$D$1503,$B90,采购进货!$B$4:$B$1503,"&gt;="&amp;DATE(年度,10,1),采购进货!$B$4:$B$1503,"&lt;"&amp;DATE(年度,10+1,1)))</f>
        <v>0</v>
      </c>
      <c r="DN90" s="234">
        <f>DI90+DL90</f>
        <v>0</v>
      </c>
      <c r="DO90" s="235">
        <f>DJ90+DM90</f>
        <v>0</v>
      </c>
      <c r="DP90" s="222">
        <f>IF(AND(DN90&gt;0,DO90&gt;0),DO90/DN90,N($E90))</f>
        <v>0</v>
      </c>
      <c r="DQ90" s="220">
        <f>IF($B90="",0,SUMIFS(出库明细!$E$4:$E$3003,出库明细!$D$4:$D$3003,$B90,出库明细!$B$4:$B$3003,"&gt;="&amp;DATE(年度,10,1),出库明细!$B$4:$B$3003,"&lt;"&amp;DATE(年度,10+1,1)))</f>
        <v>0</v>
      </c>
      <c r="DR90" s="186">
        <f>DQ90*DP90</f>
        <v>0</v>
      </c>
      <c r="DS90" s="220">
        <f>_辅助!BV88</f>
        <v>0</v>
      </c>
      <c r="DT90" s="186">
        <f>_辅助!AL88</f>
        <v>0</v>
      </c>
      <c r="DU90" s="221">
        <f>DN90-DQ90-DS90</f>
        <v>0</v>
      </c>
      <c r="DV90" s="187">
        <f>DO90-DR90-DT90</f>
        <v>0</v>
      </c>
      <c r="DW90" s="236">
        <f>IF(AND(DN90&gt;0,DO90&gt;0),0,DR90)</f>
        <v>0</v>
      </c>
      <c r="DX90" s="220">
        <f>IF($B90="",0,SUMIFS(采购进货!$E$4:$E$1503,采购进货!$D$4:$D$1503,$B90,采购进货!$B$4:$B$1503,"&gt;="&amp;DATE(年度,11,1),采购进货!$B$4:$B$1503,"&lt;"&amp;DATE(年度,11+1,1))+SUMIFS(采购进货!$H$4:$H$1503,采购进货!$D$4:$D$1503,$B90,采购进货!$B$4:$B$1503,"&gt;="&amp;DATE(年度,11,1),采购进货!$B$4:$B$1503,"&lt;"&amp;DATE(年度,11+1,1)))</f>
        <v>0</v>
      </c>
      <c r="DY90" s="186">
        <f>IF($B90="",0,SUMIFS(采购进货!$G$4:$G$1503,采购进货!$D$4:$D$1503,$B90,采购进货!$B$4:$B$1503,"&gt;="&amp;DATE(年度,11,1),采购进货!$B$4:$B$1503,"&lt;"&amp;DATE(年度,11+1,1)))</f>
        <v>0</v>
      </c>
      <c r="DZ90" s="234">
        <f>DU90+DX90</f>
        <v>0</v>
      </c>
      <c r="EA90" s="235">
        <f>DV90+DY90</f>
        <v>0</v>
      </c>
      <c r="EB90" s="222">
        <f>IF(AND(DZ90&gt;0,EA90&gt;0),EA90/DZ90,N($E90))</f>
        <v>0</v>
      </c>
      <c r="EC90" s="220">
        <f>IF($B90="",0,SUMIFS(出库明细!$E$4:$E$3003,出库明细!$D$4:$D$3003,$B90,出库明细!$B$4:$B$3003,"&gt;="&amp;DATE(年度,11,1),出库明细!$B$4:$B$3003,"&lt;"&amp;DATE(年度,11+1,1)))</f>
        <v>0</v>
      </c>
      <c r="ED90" s="186">
        <f>EC90*EB90</f>
        <v>0</v>
      </c>
      <c r="EE90" s="220">
        <f>_辅助!BW88</f>
        <v>0</v>
      </c>
      <c r="EF90" s="186">
        <f>_辅助!AM88</f>
        <v>0</v>
      </c>
      <c r="EG90" s="221">
        <f>DZ90-EC90-EE90</f>
        <v>0</v>
      </c>
      <c r="EH90" s="187">
        <f>EA90-ED90-EF90</f>
        <v>0</v>
      </c>
      <c r="EI90" s="236">
        <f>IF(AND(DZ90&gt;0,EA90&gt;0),0,ED90)</f>
        <v>0</v>
      </c>
      <c r="EJ90" s="220">
        <f>IF($B90="",0,SUMIFS(采购进货!$E$4:$E$1503,采购进货!$D$4:$D$1503,$B90,采购进货!$B$4:$B$1503,"&gt;="&amp;DATE(年度,12,1),采购进货!$B$4:$B$1503,"&lt;"&amp;DATE(年度,12+1,1))+SUMIFS(采购进货!$H$4:$H$1503,采购进货!$D$4:$D$1503,$B90,采购进货!$B$4:$B$1503,"&gt;="&amp;DATE(年度,12,1),采购进货!$B$4:$B$1503,"&lt;"&amp;DATE(年度,12+1,1)))</f>
        <v>0</v>
      </c>
      <c r="EK90" s="186">
        <f>IF($B90="",0,SUMIFS(采购进货!$G$4:$G$1503,采购进货!$D$4:$D$1503,$B90,采购进货!$B$4:$B$1503,"&gt;="&amp;DATE(年度,12,1),采购进货!$B$4:$B$1503,"&lt;"&amp;DATE(年度,12+1,1)))</f>
        <v>0</v>
      </c>
      <c r="EL90" s="234">
        <f>EG90+EJ90</f>
        <v>0</v>
      </c>
      <c r="EM90" s="235">
        <f>EH90+EK90</f>
        <v>0</v>
      </c>
      <c r="EN90" s="222">
        <f>IF(AND(EL90&gt;0,EM90&gt;0),EM90/EL90,N($E90))</f>
        <v>0</v>
      </c>
      <c r="EO90" s="220">
        <f>IF($B90="",0,SUMIFS(出库明细!$E$4:$E$3003,出库明细!$D$4:$D$3003,$B90,出库明细!$B$4:$B$3003,"&gt;="&amp;DATE(年度,12,1),出库明细!$B$4:$B$3003,"&lt;"&amp;DATE(年度,12+1,1)))</f>
        <v>0</v>
      </c>
      <c r="EP90" s="186">
        <f>EO90*EN90</f>
        <v>0</v>
      </c>
      <c r="EQ90" s="220">
        <f>_辅助!BX88</f>
        <v>0</v>
      </c>
      <c r="ER90" s="186">
        <f>_辅助!AN88</f>
        <v>0</v>
      </c>
      <c r="ES90" s="221">
        <f>EL90-EO90-EQ90</f>
        <v>0</v>
      </c>
      <c r="ET90" s="187">
        <f>EM90-EP90-ER90</f>
        <v>0</v>
      </c>
      <c r="EU90" s="236">
        <f>IF(AND(EL90&gt;0,EM90&gt;0),0,EP90)</f>
        <v>0</v>
      </c>
    </row>
    <row r="91">
      <c r="A91" s="194">
        <f>IF(B91="","",ROW()-7)</f>
      </c>
      <c r="B91" s="141">
        <f>IF(基础资料!E88="","",基础资料!E88&amp;"")</f>
      </c>
      <c r="C91" s="230">
        <f>IF(基础资料!G88="","",基础资料!G88&amp;"")</f>
      </c>
      <c r="D91" s="194">
        <f>IF(基础资料!I88="","",基础资料!I88)</f>
      </c>
      <c r="E91" s="231">
        <f>IF(基础资料!J88="","",基础资料!J88)</f>
      </c>
      <c r="F91" s="232">
        <f>N(基础资料!L88)</f>
        <v>0</v>
      </c>
      <c r="G91" s="233">
        <f>IF(基础资料!N88="",0,基础资料!N88)</f>
        <v>0</v>
      </c>
      <c r="H91" s="220">
        <f>IF($B91="",0,SUMIFS(采购进货!$E$4:$E$1503,采购进货!$D$4:$D$1503,$B91,采购进货!$B$4:$B$1503,"&gt;="&amp;DATE(年度,1,1),采购进货!$B$4:$B$1503,"&lt;"&amp;DATE(年度,1+1,1))+SUMIFS(采购进货!$H$4:$H$1503,采购进货!$D$4:$D$1503,$B91,采购进货!$B$4:$B$1503,"&gt;="&amp;DATE(年度,1,1),采购进货!$B$4:$B$1503,"&lt;"&amp;DATE(年度,1+1,1)))</f>
        <v>0</v>
      </c>
      <c r="I91" s="186">
        <f>IF($B91="",0,SUMIFS(采购进货!$G$4:$G$1503,采购进货!$D$4:$D$1503,$B91,采购进货!$B$4:$B$1503,"&gt;="&amp;DATE(年度,1,1),采购进货!$B$4:$B$1503,"&lt;"&amp;DATE(年度,1+1,1)))</f>
        <v>0</v>
      </c>
      <c r="J91" s="234">
        <f>F91+H91</f>
        <v>0</v>
      </c>
      <c r="K91" s="235">
        <f>G91+I91</f>
        <v>0</v>
      </c>
      <c r="L91" s="222">
        <f>IF(AND(J91&gt;0,K91&gt;0),K91/J91,N($E91))</f>
        <v>0</v>
      </c>
      <c r="M91" s="220">
        <f>IF($B91="",0,SUMIFS(出库明细!$E$4:$E$3003,出库明细!$D$4:$D$3003,$B91,出库明细!$B$4:$B$3003,"&gt;="&amp;DATE(年度,1,1),出库明细!$B$4:$B$3003,"&lt;"&amp;DATE(年度,1+1,1)))</f>
        <v>0</v>
      </c>
      <c r="N91" s="186">
        <f>M91*L91</f>
        <v>0</v>
      </c>
      <c r="O91" s="220">
        <f>_辅助!BM89</f>
        <v>0</v>
      </c>
      <c r="P91" s="186">
        <f>_辅助!AC89</f>
        <v>0</v>
      </c>
      <c r="Q91" s="221">
        <f>J91-M91-O91</f>
        <v>0</v>
      </c>
      <c r="R91" s="187">
        <f>K91-N91-P91</f>
        <v>0</v>
      </c>
      <c r="S91" s="236">
        <f>IF(AND(J91&gt;0,K91&gt;0),0,N91)</f>
        <v>0</v>
      </c>
      <c r="T91" s="220">
        <f>IF($B91="",0,SUMIFS(采购进货!$E$4:$E$1503,采购进货!$D$4:$D$1503,$B91,采购进货!$B$4:$B$1503,"&gt;="&amp;DATE(年度,2,1),采购进货!$B$4:$B$1503,"&lt;"&amp;DATE(年度,2+1,1))+SUMIFS(采购进货!$H$4:$H$1503,采购进货!$D$4:$D$1503,$B91,采购进货!$B$4:$B$1503,"&gt;="&amp;DATE(年度,2,1),采购进货!$B$4:$B$1503,"&lt;"&amp;DATE(年度,2+1,1)))</f>
        <v>0</v>
      </c>
      <c r="U91" s="186">
        <f>IF($B91="",0,SUMIFS(采购进货!$G$4:$G$1503,采购进货!$D$4:$D$1503,$B91,采购进货!$B$4:$B$1503,"&gt;="&amp;DATE(年度,2,1),采购进货!$B$4:$B$1503,"&lt;"&amp;DATE(年度,2+1,1)))</f>
        <v>0</v>
      </c>
      <c r="V91" s="234">
        <f>Q91+T91</f>
        <v>0</v>
      </c>
      <c r="W91" s="235">
        <f>R91+U91</f>
        <v>0</v>
      </c>
      <c r="X91" s="222">
        <f>IF(AND(V91&gt;0,W91&gt;0),W91/V91,N($E91))</f>
        <v>0</v>
      </c>
      <c r="Y91" s="220">
        <f>IF($B91="",0,SUMIFS(出库明细!$E$4:$E$3003,出库明细!$D$4:$D$3003,$B91,出库明细!$B$4:$B$3003,"&gt;="&amp;DATE(年度,2,1),出库明细!$B$4:$B$3003,"&lt;"&amp;DATE(年度,2+1,1)))</f>
        <v>0</v>
      </c>
      <c r="Z91" s="186">
        <f>Y91*X91</f>
        <v>0</v>
      </c>
      <c r="AA91" s="220">
        <f>_辅助!BN89</f>
        <v>0</v>
      </c>
      <c r="AB91" s="186">
        <f>_辅助!AD89</f>
        <v>0</v>
      </c>
      <c r="AC91" s="221">
        <f>V91-Y91-AA91</f>
        <v>0</v>
      </c>
      <c r="AD91" s="187">
        <f>W91-Z91-AB91</f>
        <v>0</v>
      </c>
      <c r="AE91" s="236">
        <f>IF(AND(V91&gt;0,W91&gt;0),0,Z91)</f>
        <v>0</v>
      </c>
      <c r="AF91" s="220">
        <f>IF($B91="",0,SUMIFS(采购进货!$E$4:$E$1503,采购进货!$D$4:$D$1503,$B91,采购进货!$B$4:$B$1503,"&gt;="&amp;DATE(年度,3,1),采购进货!$B$4:$B$1503,"&lt;"&amp;DATE(年度,3+1,1))+SUMIFS(采购进货!$H$4:$H$1503,采购进货!$D$4:$D$1503,$B91,采购进货!$B$4:$B$1503,"&gt;="&amp;DATE(年度,3,1),采购进货!$B$4:$B$1503,"&lt;"&amp;DATE(年度,3+1,1)))</f>
        <v>0</v>
      </c>
      <c r="AG91" s="186">
        <f>IF($B91="",0,SUMIFS(采购进货!$G$4:$G$1503,采购进货!$D$4:$D$1503,$B91,采购进货!$B$4:$B$1503,"&gt;="&amp;DATE(年度,3,1),采购进货!$B$4:$B$1503,"&lt;"&amp;DATE(年度,3+1,1)))</f>
        <v>0</v>
      </c>
      <c r="AH91" s="234">
        <f>AC91+AF91</f>
        <v>0</v>
      </c>
      <c r="AI91" s="235">
        <f>AD91+AG91</f>
        <v>0</v>
      </c>
      <c r="AJ91" s="222">
        <f>IF(AND(AH91&gt;0,AI91&gt;0),AI91/AH91,N($E91))</f>
        <v>0</v>
      </c>
      <c r="AK91" s="220">
        <f>IF($B91="",0,SUMIFS(出库明细!$E$4:$E$3003,出库明细!$D$4:$D$3003,$B91,出库明细!$B$4:$B$3003,"&gt;="&amp;DATE(年度,3,1),出库明细!$B$4:$B$3003,"&lt;"&amp;DATE(年度,3+1,1)))</f>
        <v>0</v>
      </c>
      <c r="AL91" s="186">
        <f>AK91*AJ91</f>
        <v>0</v>
      </c>
      <c r="AM91" s="220">
        <f>_辅助!BO89</f>
        <v>0</v>
      </c>
      <c r="AN91" s="186">
        <f>_辅助!AE89</f>
        <v>0</v>
      </c>
      <c r="AO91" s="221">
        <f>AH91-AK91-AM91</f>
        <v>0</v>
      </c>
      <c r="AP91" s="187">
        <f>AI91-AL91-AN91</f>
        <v>0</v>
      </c>
      <c r="AQ91" s="236">
        <f>IF(AND(AH91&gt;0,AI91&gt;0),0,AL91)</f>
        <v>0</v>
      </c>
      <c r="AR91" s="220">
        <f>IF($B91="",0,SUMIFS(采购进货!$E$4:$E$1503,采购进货!$D$4:$D$1503,$B91,采购进货!$B$4:$B$1503,"&gt;="&amp;DATE(年度,4,1),采购进货!$B$4:$B$1503,"&lt;"&amp;DATE(年度,4+1,1))+SUMIFS(采购进货!$H$4:$H$1503,采购进货!$D$4:$D$1503,$B91,采购进货!$B$4:$B$1503,"&gt;="&amp;DATE(年度,4,1),采购进货!$B$4:$B$1503,"&lt;"&amp;DATE(年度,4+1,1)))</f>
        <v>0</v>
      </c>
      <c r="AS91" s="186">
        <f>IF($B91="",0,SUMIFS(采购进货!$G$4:$G$1503,采购进货!$D$4:$D$1503,$B91,采购进货!$B$4:$B$1503,"&gt;="&amp;DATE(年度,4,1),采购进货!$B$4:$B$1503,"&lt;"&amp;DATE(年度,4+1,1)))</f>
        <v>0</v>
      </c>
      <c r="AT91" s="234">
        <f>AO91+AR91</f>
        <v>0</v>
      </c>
      <c r="AU91" s="235">
        <f>AP91+AS91</f>
        <v>0</v>
      </c>
      <c r="AV91" s="222">
        <f>IF(AND(AT91&gt;0,AU91&gt;0),AU91/AT91,N($E91))</f>
        <v>0</v>
      </c>
      <c r="AW91" s="220">
        <f>IF($B91="",0,SUMIFS(出库明细!$E$4:$E$3003,出库明细!$D$4:$D$3003,$B91,出库明细!$B$4:$B$3003,"&gt;="&amp;DATE(年度,4,1),出库明细!$B$4:$B$3003,"&lt;"&amp;DATE(年度,4+1,1)))</f>
        <v>0</v>
      </c>
      <c r="AX91" s="186">
        <f>AW91*AV91</f>
        <v>0</v>
      </c>
      <c r="AY91" s="220">
        <f>_辅助!BP89</f>
        <v>0</v>
      </c>
      <c r="AZ91" s="186">
        <f>_辅助!AF89</f>
        <v>0</v>
      </c>
      <c r="BA91" s="221">
        <f>AT91-AW91-AY91</f>
        <v>0</v>
      </c>
      <c r="BB91" s="187">
        <f>AU91-AX91-AZ91</f>
        <v>0</v>
      </c>
      <c r="BC91" s="236">
        <f>IF(AND(AT91&gt;0,AU91&gt;0),0,AX91)</f>
        <v>0</v>
      </c>
      <c r="BD91" s="220">
        <f>IF($B91="",0,SUMIFS(采购进货!$E$4:$E$1503,采购进货!$D$4:$D$1503,$B91,采购进货!$B$4:$B$1503,"&gt;="&amp;DATE(年度,5,1),采购进货!$B$4:$B$1503,"&lt;"&amp;DATE(年度,5+1,1))+SUMIFS(采购进货!$H$4:$H$1503,采购进货!$D$4:$D$1503,$B91,采购进货!$B$4:$B$1503,"&gt;="&amp;DATE(年度,5,1),采购进货!$B$4:$B$1503,"&lt;"&amp;DATE(年度,5+1,1)))</f>
        <v>0</v>
      </c>
      <c r="BE91" s="186">
        <f>IF($B91="",0,SUMIFS(采购进货!$G$4:$G$1503,采购进货!$D$4:$D$1503,$B91,采购进货!$B$4:$B$1503,"&gt;="&amp;DATE(年度,5,1),采购进货!$B$4:$B$1503,"&lt;"&amp;DATE(年度,5+1,1)))</f>
        <v>0</v>
      </c>
      <c r="BF91" s="234">
        <f>BA91+BD91</f>
        <v>0</v>
      </c>
      <c r="BG91" s="235">
        <f>BB91+BE91</f>
        <v>0</v>
      </c>
      <c r="BH91" s="222">
        <f>IF(AND(BF91&gt;0,BG91&gt;0),BG91/BF91,N($E91))</f>
        <v>0</v>
      </c>
      <c r="BI91" s="220">
        <f>IF($B91="",0,SUMIFS(出库明细!$E$4:$E$3003,出库明细!$D$4:$D$3003,$B91,出库明细!$B$4:$B$3003,"&gt;="&amp;DATE(年度,5,1),出库明细!$B$4:$B$3003,"&lt;"&amp;DATE(年度,5+1,1)))</f>
        <v>0</v>
      </c>
      <c r="BJ91" s="186">
        <f>BI91*BH91</f>
        <v>0</v>
      </c>
      <c r="BK91" s="220">
        <f>_辅助!BQ89</f>
        <v>0</v>
      </c>
      <c r="BL91" s="186">
        <f>_辅助!AG89</f>
        <v>0</v>
      </c>
      <c r="BM91" s="221">
        <f>BF91-BI91-BK91</f>
        <v>0</v>
      </c>
      <c r="BN91" s="187">
        <f>BG91-BJ91-BL91</f>
        <v>0</v>
      </c>
      <c r="BO91" s="236">
        <f>IF(AND(BF91&gt;0,BG91&gt;0),0,BJ91)</f>
        <v>0</v>
      </c>
      <c r="BP91" s="220">
        <f>IF($B91="",0,SUMIFS(采购进货!$E$4:$E$1503,采购进货!$D$4:$D$1503,$B91,采购进货!$B$4:$B$1503,"&gt;="&amp;DATE(年度,6,1),采购进货!$B$4:$B$1503,"&lt;"&amp;DATE(年度,6+1,1))+SUMIFS(采购进货!$H$4:$H$1503,采购进货!$D$4:$D$1503,$B91,采购进货!$B$4:$B$1503,"&gt;="&amp;DATE(年度,6,1),采购进货!$B$4:$B$1503,"&lt;"&amp;DATE(年度,6+1,1)))</f>
        <v>0</v>
      </c>
      <c r="BQ91" s="186">
        <f>IF($B91="",0,SUMIFS(采购进货!$G$4:$G$1503,采购进货!$D$4:$D$1503,$B91,采购进货!$B$4:$B$1503,"&gt;="&amp;DATE(年度,6,1),采购进货!$B$4:$B$1503,"&lt;"&amp;DATE(年度,6+1,1)))</f>
        <v>0</v>
      </c>
      <c r="BR91" s="234">
        <f>BM91+BP91</f>
        <v>0</v>
      </c>
      <c r="BS91" s="235">
        <f>BN91+BQ91</f>
        <v>0</v>
      </c>
      <c r="BT91" s="222">
        <f>IF(AND(BR91&gt;0,BS91&gt;0),BS91/BR91,N($E91))</f>
        <v>0</v>
      </c>
      <c r="BU91" s="220">
        <f>IF($B91="",0,SUMIFS(出库明细!$E$4:$E$3003,出库明细!$D$4:$D$3003,$B91,出库明细!$B$4:$B$3003,"&gt;="&amp;DATE(年度,6,1),出库明细!$B$4:$B$3003,"&lt;"&amp;DATE(年度,6+1,1)))</f>
        <v>0</v>
      </c>
      <c r="BV91" s="186">
        <f>BU91*BT91</f>
        <v>0</v>
      </c>
      <c r="BW91" s="220">
        <f>_辅助!BR89</f>
        <v>0</v>
      </c>
      <c r="BX91" s="186">
        <f>_辅助!AH89</f>
        <v>0</v>
      </c>
      <c r="BY91" s="221">
        <f>BR91-BU91-BW91</f>
        <v>0</v>
      </c>
      <c r="BZ91" s="187">
        <f>BS91-BV91-BX91</f>
        <v>0</v>
      </c>
      <c r="CA91" s="236">
        <f>IF(AND(BR91&gt;0,BS91&gt;0),0,BV91)</f>
        <v>0</v>
      </c>
      <c r="CB91" s="220">
        <f>IF($B91="",0,SUMIFS(采购进货!$E$4:$E$1503,采购进货!$D$4:$D$1503,$B91,采购进货!$B$4:$B$1503,"&gt;="&amp;DATE(年度,7,1),采购进货!$B$4:$B$1503,"&lt;"&amp;DATE(年度,7+1,1))+SUMIFS(采购进货!$H$4:$H$1503,采购进货!$D$4:$D$1503,$B91,采购进货!$B$4:$B$1503,"&gt;="&amp;DATE(年度,7,1),采购进货!$B$4:$B$1503,"&lt;"&amp;DATE(年度,7+1,1)))</f>
        <v>0</v>
      </c>
      <c r="CC91" s="186">
        <f>IF($B91="",0,SUMIFS(采购进货!$G$4:$G$1503,采购进货!$D$4:$D$1503,$B91,采购进货!$B$4:$B$1503,"&gt;="&amp;DATE(年度,7,1),采购进货!$B$4:$B$1503,"&lt;"&amp;DATE(年度,7+1,1)))</f>
        <v>0</v>
      </c>
      <c r="CD91" s="234">
        <f>BY91+CB91</f>
        <v>0</v>
      </c>
      <c r="CE91" s="235">
        <f>BZ91+CC91</f>
        <v>0</v>
      </c>
      <c r="CF91" s="222">
        <f>IF(AND(CD91&gt;0,CE91&gt;0),CE91/CD91,N($E91))</f>
        <v>0</v>
      </c>
      <c r="CG91" s="220">
        <f>IF($B91="",0,SUMIFS(出库明细!$E$4:$E$3003,出库明细!$D$4:$D$3003,$B91,出库明细!$B$4:$B$3003,"&gt;="&amp;DATE(年度,7,1),出库明细!$B$4:$B$3003,"&lt;"&amp;DATE(年度,7+1,1)))</f>
        <v>0</v>
      </c>
      <c r="CH91" s="186">
        <f>CG91*CF91</f>
        <v>0</v>
      </c>
      <c r="CI91" s="220">
        <f>_辅助!BS89</f>
        <v>0</v>
      </c>
      <c r="CJ91" s="186">
        <f>_辅助!AI89</f>
        <v>0</v>
      </c>
      <c r="CK91" s="221">
        <f>CD91-CG91-CI91</f>
        <v>0</v>
      </c>
      <c r="CL91" s="187">
        <f>CE91-CH91-CJ91</f>
        <v>0</v>
      </c>
      <c r="CM91" s="236">
        <f>IF(AND(CD91&gt;0,CE91&gt;0),0,CH91)</f>
        <v>0</v>
      </c>
      <c r="CN91" s="220">
        <f>IF($B91="",0,SUMIFS(采购进货!$E$4:$E$1503,采购进货!$D$4:$D$1503,$B91,采购进货!$B$4:$B$1503,"&gt;="&amp;DATE(年度,8,1),采购进货!$B$4:$B$1503,"&lt;"&amp;DATE(年度,8+1,1))+SUMIFS(采购进货!$H$4:$H$1503,采购进货!$D$4:$D$1503,$B91,采购进货!$B$4:$B$1503,"&gt;="&amp;DATE(年度,8,1),采购进货!$B$4:$B$1503,"&lt;"&amp;DATE(年度,8+1,1)))</f>
        <v>0</v>
      </c>
      <c r="CO91" s="186">
        <f>IF($B91="",0,SUMIFS(采购进货!$G$4:$G$1503,采购进货!$D$4:$D$1503,$B91,采购进货!$B$4:$B$1503,"&gt;="&amp;DATE(年度,8,1),采购进货!$B$4:$B$1503,"&lt;"&amp;DATE(年度,8+1,1)))</f>
        <v>0</v>
      </c>
      <c r="CP91" s="234">
        <f>CK91+CN91</f>
        <v>0</v>
      </c>
      <c r="CQ91" s="235">
        <f>CL91+CO91</f>
        <v>0</v>
      </c>
      <c r="CR91" s="222">
        <f>IF(AND(CP91&gt;0,CQ91&gt;0),CQ91/CP91,N($E91))</f>
        <v>0</v>
      </c>
      <c r="CS91" s="220">
        <f>IF($B91="",0,SUMIFS(出库明细!$E$4:$E$3003,出库明细!$D$4:$D$3003,$B91,出库明细!$B$4:$B$3003,"&gt;="&amp;DATE(年度,8,1),出库明细!$B$4:$B$3003,"&lt;"&amp;DATE(年度,8+1,1)))</f>
        <v>0</v>
      </c>
      <c r="CT91" s="186">
        <f>CS91*CR91</f>
        <v>0</v>
      </c>
      <c r="CU91" s="220">
        <f>_辅助!BT89</f>
        <v>0</v>
      </c>
      <c r="CV91" s="186">
        <f>_辅助!AJ89</f>
        <v>0</v>
      </c>
      <c r="CW91" s="221">
        <f>CP91-CS91-CU91</f>
        <v>0</v>
      </c>
      <c r="CX91" s="187">
        <f>CQ91-CT91-CV91</f>
        <v>0</v>
      </c>
      <c r="CY91" s="236">
        <f>IF(AND(CP91&gt;0,CQ91&gt;0),0,CT91)</f>
        <v>0</v>
      </c>
      <c r="CZ91" s="220">
        <f>IF($B91="",0,SUMIFS(采购进货!$E$4:$E$1503,采购进货!$D$4:$D$1503,$B91,采购进货!$B$4:$B$1503,"&gt;="&amp;DATE(年度,9,1),采购进货!$B$4:$B$1503,"&lt;"&amp;DATE(年度,9+1,1))+SUMIFS(采购进货!$H$4:$H$1503,采购进货!$D$4:$D$1503,$B91,采购进货!$B$4:$B$1503,"&gt;="&amp;DATE(年度,9,1),采购进货!$B$4:$B$1503,"&lt;"&amp;DATE(年度,9+1,1)))</f>
        <v>0</v>
      </c>
      <c r="DA91" s="186">
        <f>IF($B91="",0,SUMIFS(采购进货!$G$4:$G$1503,采购进货!$D$4:$D$1503,$B91,采购进货!$B$4:$B$1503,"&gt;="&amp;DATE(年度,9,1),采购进货!$B$4:$B$1503,"&lt;"&amp;DATE(年度,9+1,1)))</f>
        <v>0</v>
      </c>
      <c r="DB91" s="234">
        <f>CW91+CZ91</f>
        <v>0</v>
      </c>
      <c r="DC91" s="235">
        <f>CX91+DA91</f>
        <v>0</v>
      </c>
      <c r="DD91" s="222">
        <f>IF(AND(DB91&gt;0,DC91&gt;0),DC91/DB91,N($E91))</f>
        <v>0</v>
      </c>
      <c r="DE91" s="220">
        <f>IF($B91="",0,SUMIFS(出库明细!$E$4:$E$3003,出库明细!$D$4:$D$3003,$B91,出库明细!$B$4:$B$3003,"&gt;="&amp;DATE(年度,9,1),出库明细!$B$4:$B$3003,"&lt;"&amp;DATE(年度,9+1,1)))</f>
        <v>0</v>
      </c>
      <c r="DF91" s="186">
        <f>DE91*DD91</f>
        <v>0</v>
      </c>
      <c r="DG91" s="220">
        <f>_辅助!BU89</f>
        <v>0</v>
      </c>
      <c r="DH91" s="186">
        <f>_辅助!AK89</f>
        <v>0</v>
      </c>
      <c r="DI91" s="221">
        <f>DB91-DE91-DG91</f>
        <v>0</v>
      </c>
      <c r="DJ91" s="187">
        <f>DC91-DF91-DH91</f>
        <v>0</v>
      </c>
      <c r="DK91" s="236">
        <f>IF(AND(DB91&gt;0,DC91&gt;0),0,DF91)</f>
        <v>0</v>
      </c>
      <c r="DL91" s="220">
        <f>IF($B91="",0,SUMIFS(采购进货!$E$4:$E$1503,采购进货!$D$4:$D$1503,$B91,采购进货!$B$4:$B$1503,"&gt;="&amp;DATE(年度,10,1),采购进货!$B$4:$B$1503,"&lt;"&amp;DATE(年度,10+1,1))+SUMIFS(采购进货!$H$4:$H$1503,采购进货!$D$4:$D$1503,$B91,采购进货!$B$4:$B$1503,"&gt;="&amp;DATE(年度,10,1),采购进货!$B$4:$B$1503,"&lt;"&amp;DATE(年度,10+1,1)))</f>
        <v>0</v>
      </c>
      <c r="DM91" s="186">
        <f>IF($B91="",0,SUMIFS(采购进货!$G$4:$G$1503,采购进货!$D$4:$D$1503,$B91,采购进货!$B$4:$B$1503,"&gt;="&amp;DATE(年度,10,1),采购进货!$B$4:$B$1503,"&lt;"&amp;DATE(年度,10+1,1)))</f>
        <v>0</v>
      </c>
      <c r="DN91" s="234">
        <f>DI91+DL91</f>
        <v>0</v>
      </c>
      <c r="DO91" s="235">
        <f>DJ91+DM91</f>
        <v>0</v>
      </c>
      <c r="DP91" s="222">
        <f>IF(AND(DN91&gt;0,DO91&gt;0),DO91/DN91,N($E91))</f>
        <v>0</v>
      </c>
      <c r="DQ91" s="220">
        <f>IF($B91="",0,SUMIFS(出库明细!$E$4:$E$3003,出库明细!$D$4:$D$3003,$B91,出库明细!$B$4:$B$3003,"&gt;="&amp;DATE(年度,10,1),出库明细!$B$4:$B$3003,"&lt;"&amp;DATE(年度,10+1,1)))</f>
        <v>0</v>
      </c>
      <c r="DR91" s="186">
        <f>DQ91*DP91</f>
        <v>0</v>
      </c>
      <c r="DS91" s="220">
        <f>_辅助!BV89</f>
        <v>0</v>
      </c>
      <c r="DT91" s="186">
        <f>_辅助!AL89</f>
        <v>0</v>
      </c>
      <c r="DU91" s="221">
        <f>DN91-DQ91-DS91</f>
        <v>0</v>
      </c>
      <c r="DV91" s="187">
        <f>DO91-DR91-DT91</f>
        <v>0</v>
      </c>
      <c r="DW91" s="236">
        <f>IF(AND(DN91&gt;0,DO91&gt;0),0,DR91)</f>
        <v>0</v>
      </c>
      <c r="DX91" s="220">
        <f>IF($B91="",0,SUMIFS(采购进货!$E$4:$E$1503,采购进货!$D$4:$D$1503,$B91,采购进货!$B$4:$B$1503,"&gt;="&amp;DATE(年度,11,1),采购进货!$B$4:$B$1503,"&lt;"&amp;DATE(年度,11+1,1))+SUMIFS(采购进货!$H$4:$H$1503,采购进货!$D$4:$D$1503,$B91,采购进货!$B$4:$B$1503,"&gt;="&amp;DATE(年度,11,1),采购进货!$B$4:$B$1503,"&lt;"&amp;DATE(年度,11+1,1)))</f>
        <v>0</v>
      </c>
      <c r="DY91" s="186">
        <f>IF($B91="",0,SUMIFS(采购进货!$G$4:$G$1503,采购进货!$D$4:$D$1503,$B91,采购进货!$B$4:$B$1503,"&gt;="&amp;DATE(年度,11,1),采购进货!$B$4:$B$1503,"&lt;"&amp;DATE(年度,11+1,1)))</f>
        <v>0</v>
      </c>
      <c r="DZ91" s="234">
        <f>DU91+DX91</f>
        <v>0</v>
      </c>
      <c r="EA91" s="235">
        <f>DV91+DY91</f>
        <v>0</v>
      </c>
      <c r="EB91" s="222">
        <f>IF(AND(DZ91&gt;0,EA91&gt;0),EA91/DZ91,N($E91))</f>
        <v>0</v>
      </c>
      <c r="EC91" s="220">
        <f>IF($B91="",0,SUMIFS(出库明细!$E$4:$E$3003,出库明细!$D$4:$D$3003,$B91,出库明细!$B$4:$B$3003,"&gt;="&amp;DATE(年度,11,1),出库明细!$B$4:$B$3003,"&lt;"&amp;DATE(年度,11+1,1)))</f>
        <v>0</v>
      </c>
      <c r="ED91" s="186">
        <f>EC91*EB91</f>
        <v>0</v>
      </c>
      <c r="EE91" s="220">
        <f>_辅助!BW89</f>
        <v>0</v>
      </c>
      <c r="EF91" s="186">
        <f>_辅助!AM89</f>
        <v>0</v>
      </c>
      <c r="EG91" s="221">
        <f>DZ91-EC91-EE91</f>
        <v>0</v>
      </c>
      <c r="EH91" s="187">
        <f>EA91-ED91-EF91</f>
        <v>0</v>
      </c>
      <c r="EI91" s="236">
        <f>IF(AND(DZ91&gt;0,EA91&gt;0),0,ED91)</f>
        <v>0</v>
      </c>
      <c r="EJ91" s="220">
        <f>IF($B91="",0,SUMIFS(采购进货!$E$4:$E$1503,采购进货!$D$4:$D$1503,$B91,采购进货!$B$4:$B$1503,"&gt;="&amp;DATE(年度,12,1),采购进货!$B$4:$B$1503,"&lt;"&amp;DATE(年度,12+1,1))+SUMIFS(采购进货!$H$4:$H$1503,采购进货!$D$4:$D$1503,$B91,采购进货!$B$4:$B$1503,"&gt;="&amp;DATE(年度,12,1),采购进货!$B$4:$B$1503,"&lt;"&amp;DATE(年度,12+1,1)))</f>
        <v>0</v>
      </c>
      <c r="EK91" s="186">
        <f>IF($B91="",0,SUMIFS(采购进货!$G$4:$G$1503,采购进货!$D$4:$D$1503,$B91,采购进货!$B$4:$B$1503,"&gt;="&amp;DATE(年度,12,1),采购进货!$B$4:$B$1503,"&lt;"&amp;DATE(年度,12+1,1)))</f>
        <v>0</v>
      </c>
      <c r="EL91" s="234">
        <f>EG91+EJ91</f>
        <v>0</v>
      </c>
      <c r="EM91" s="235">
        <f>EH91+EK91</f>
        <v>0</v>
      </c>
      <c r="EN91" s="222">
        <f>IF(AND(EL91&gt;0,EM91&gt;0),EM91/EL91,N($E91))</f>
        <v>0</v>
      </c>
      <c r="EO91" s="220">
        <f>IF($B91="",0,SUMIFS(出库明细!$E$4:$E$3003,出库明细!$D$4:$D$3003,$B91,出库明细!$B$4:$B$3003,"&gt;="&amp;DATE(年度,12,1),出库明细!$B$4:$B$3003,"&lt;"&amp;DATE(年度,12+1,1)))</f>
        <v>0</v>
      </c>
      <c r="EP91" s="186">
        <f>EO91*EN91</f>
        <v>0</v>
      </c>
      <c r="EQ91" s="220">
        <f>_辅助!BX89</f>
        <v>0</v>
      </c>
      <c r="ER91" s="186">
        <f>_辅助!AN89</f>
        <v>0</v>
      </c>
      <c r="ES91" s="221">
        <f>EL91-EO91-EQ91</f>
        <v>0</v>
      </c>
      <c r="ET91" s="187">
        <f>EM91-EP91-ER91</f>
        <v>0</v>
      </c>
      <c r="EU91" s="236">
        <f>IF(AND(EL91&gt;0,EM91&gt;0),0,EP91)</f>
        <v>0</v>
      </c>
    </row>
    <row r="92">
      <c r="A92" s="194">
        <f>IF(B92="","",ROW()-7)</f>
      </c>
      <c r="B92" s="141">
        <f>IF(基础资料!E89="","",基础资料!E89&amp;"")</f>
      </c>
      <c r="C92" s="230">
        <f>IF(基础资料!G89="","",基础资料!G89&amp;"")</f>
      </c>
      <c r="D92" s="194">
        <f>IF(基础资料!I89="","",基础资料!I89)</f>
      </c>
      <c r="E92" s="231">
        <f>IF(基础资料!J89="","",基础资料!J89)</f>
      </c>
      <c r="F92" s="232">
        <f>N(基础资料!L89)</f>
        <v>0</v>
      </c>
      <c r="G92" s="233">
        <f>IF(基础资料!N89="",0,基础资料!N89)</f>
        <v>0</v>
      </c>
      <c r="H92" s="220">
        <f>IF($B92="",0,SUMIFS(采购进货!$E$4:$E$1503,采购进货!$D$4:$D$1503,$B92,采购进货!$B$4:$B$1503,"&gt;="&amp;DATE(年度,1,1),采购进货!$B$4:$B$1503,"&lt;"&amp;DATE(年度,1+1,1))+SUMIFS(采购进货!$H$4:$H$1503,采购进货!$D$4:$D$1503,$B92,采购进货!$B$4:$B$1503,"&gt;="&amp;DATE(年度,1,1),采购进货!$B$4:$B$1503,"&lt;"&amp;DATE(年度,1+1,1)))</f>
        <v>0</v>
      </c>
      <c r="I92" s="186">
        <f>IF($B92="",0,SUMIFS(采购进货!$G$4:$G$1503,采购进货!$D$4:$D$1503,$B92,采购进货!$B$4:$B$1503,"&gt;="&amp;DATE(年度,1,1),采购进货!$B$4:$B$1503,"&lt;"&amp;DATE(年度,1+1,1)))</f>
        <v>0</v>
      </c>
      <c r="J92" s="234">
        <f>F92+H92</f>
        <v>0</v>
      </c>
      <c r="K92" s="235">
        <f>G92+I92</f>
        <v>0</v>
      </c>
      <c r="L92" s="222">
        <f>IF(AND(J92&gt;0,K92&gt;0),K92/J92,N($E92))</f>
        <v>0</v>
      </c>
      <c r="M92" s="220">
        <f>IF($B92="",0,SUMIFS(出库明细!$E$4:$E$3003,出库明细!$D$4:$D$3003,$B92,出库明细!$B$4:$B$3003,"&gt;="&amp;DATE(年度,1,1),出库明细!$B$4:$B$3003,"&lt;"&amp;DATE(年度,1+1,1)))</f>
        <v>0</v>
      </c>
      <c r="N92" s="186">
        <f>M92*L92</f>
        <v>0</v>
      </c>
      <c r="O92" s="220">
        <f>_辅助!BM90</f>
        <v>0</v>
      </c>
      <c r="P92" s="186">
        <f>_辅助!AC90</f>
        <v>0</v>
      </c>
      <c r="Q92" s="221">
        <f>J92-M92-O92</f>
        <v>0</v>
      </c>
      <c r="R92" s="187">
        <f>K92-N92-P92</f>
        <v>0</v>
      </c>
      <c r="S92" s="236">
        <f>IF(AND(J92&gt;0,K92&gt;0),0,N92)</f>
        <v>0</v>
      </c>
      <c r="T92" s="220">
        <f>IF($B92="",0,SUMIFS(采购进货!$E$4:$E$1503,采购进货!$D$4:$D$1503,$B92,采购进货!$B$4:$B$1503,"&gt;="&amp;DATE(年度,2,1),采购进货!$B$4:$B$1503,"&lt;"&amp;DATE(年度,2+1,1))+SUMIFS(采购进货!$H$4:$H$1503,采购进货!$D$4:$D$1503,$B92,采购进货!$B$4:$B$1503,"&gt;="&amp;DATE(年度,2,1),采购进货!$B$4:$B$1503,"&lt;"&amp;DATE(年度,2+1,1)))</f>
        <v>0</v>
      </c>
      <c r="U92" s="186">
        <f>IF($B92="",0,SUMIFS(采购进货!$G$4:$G$1503,采购进货!$D$4:$D$1503,$B92,采购进货!$B$4:$B$1503,"&gt;="&amp;DATE(年度,2,1),采购进货!$B$4:$B$1503,"&lt;"&amp;DATE(年度,2+1,1)))</f>
        <v>0</v>
      </c>
      <c r="V92" s="234">
        <f>Q92+T92</f>
        <v>0</v>
      </c>
      <c r="W92" s="235">
        <f>R92+U92</f>
        <v>0</v>
      </c>
      <c r="X92" s="222">
        <f>IF(AND(V92&gt;0,W92&gt;0),W92/V92,N($E92))</f>
        <v>0</v>
      </c>
      <c r="Y92" s="220">
        <f>IF($B92="",0,SUMIFS(出库明细!$E$4:$E$3003,出库明细!$D$4:$D$3003,$B92,出库明细!$B$4:$B$3003,"&gt;="&amp;DATE(年度,2,1),出库明细!$B$4:$B$3003,"&lt;"&amp;DATE(年度,2+1,1)))</f>
        <v>0</v>
      </c>
      <c r="Z92" s="186">
        <f>Y92*X92</f>
        <v>0</v>
      </c>
      <c r="AA92" s="220">
        <f>_辅助!BN90</f>
        <v>0</v>
      </c>
      <c r="AB92" s="186">
        <f>_辅助!AD90</f>
        <v>0</v>
      </c>
      <c r="AC92" s="221">
        <f>V92-Y92-AA92</f>
        <v>0</v>
      </c>
      <c r="AD92" s="187">
        <f>W92-Z92-AB92</f>
        <v>0</v>
      </c>
      <c r="AE92" s="236">
        <f>IF(AND(V92&gt;0,W92&gt;0),0,Z92)</f>
        <v>0</v>
      </c>
      <c r="AF92" s="220">
        <f>IF($B92="",0,SUMIFS(采购进货!$E$4:$E$1503,采购进货!$D$4:$D$1503,$B92,采购进货!$B$4:$B$1503,"&gt;="&amp;DATE(年度,3,1),采购进货!$B$4:$B$1503,"&lt;"&amp;DATE(年度,3+1,1))+SUMIFS(采购进货!$H$4:$H$1503,采购进货!$D$4:$D$1503,$B92,采购进货!$B$4:$B$1503,"&gt;="&amp;DATE(年度,3,1),采购进货!$B$4:$B$1503,"&lt;"&amp;DATE(年度,3+1,1)))</f>
        <v>0</v>
      </c>
      <c r="AG92" s="186">
        <f>IF($B92="",0,SUMIFS(采购进货!$G$4:$G$1503,采购进货!$D$4:$D$1503,$B92,采购进货!$B$4:$B$1503,"&gt;="&amp;DATE(年度,3,1),采购进货!$B$4:$B$1503,"&lt;"&amp;DATE(年度,3+1,1)))</f>
        <v>0</v>
      </c>
      <c r="AH92" s="234">
        <f>AC92+AF92</f>
        <v>0</v>
      </c>
      <c r="AI92" s="235">
        <f>AD92+AG92</f>
        <v>0</v>
      </c>
      <c r="AJ92" s="222">
        <f>IF(AND(AH92&gt;0,AI92&gt;0),AI92/AH92,N($E92))</f>
        <v>0</v>
      </c>
      <c r="AK92" s="220">
        <f>IF($B92="",0,SUMIFS(出库明细!$E$4:$E$3003,出库明细!$D$4:$D$3003,$B92,出库明细!$B$4:$B$3003,"&gt;="&amp;DATE(年度,3,1),出库明细!$B$4:$B$3003,"&lt;"&amp;DATE(年度,3+1,1)))</f>
        <v>0</v>
      </c>
      <c r="AL92" s="186">
        <f>AK92*AJ92</f>
        <v>0</v>
      </c>
      <c r="AM92" s="220">
        <f>_辅助!BO90</f>
        <v>0</v>
      </c>
      <c r="AN92" s="186">
        <f>_辅助!AE90</f>
        <v>0</v>
      </c>
      <c r="AO92" s="221">
        <f>AH92-AK92-AM92</f>
        <v>0</v>
      </c>
      <c r="AP92" s="187">
        <f>AI92-AL92-AN92</f>
        <v>0</v>
      </c>
      <c r="AQ92" s="236">
        <f>IF(AND(AH92&gt;0,AI92&gt;0),0,AL92)</f>
        <v>0</v>
      </c>
      <c r="AR92" s="220">
        <f>IF($B92="",0,SUMIFS(采购进货!$E$4:$E$1503,采购进货!$D$4:$D$1503,$B92,采购进货!$B$4:$B$1503,"&gt;="&amp;DATE(年度,4,1),采购进货!$B$4:$B$1503,"&lt;"&amp;DATE(年度,4+1,1))+SUMIFS(采购进货!$H$4:$H$1503,采购进货!$D$4:$D$1503,$B92,采购进货!$B$4:$B$1503,"&gt;="&amp;DATE(年度,4,1),采购进货!$B$4:$B$1503,"&lt;"&amp;DATE(年度,4+1,1)))</f>
        <v>0</v>
      </c>
      <c r="AS92" s="186">
        <f>IF($B92="",0,SUMIFS(采购进货!$G$4:$G$1503,采购进货!$D$4:$D$1503,$B92,采购进货!$B$4:$B$1503,"&gt;="&amp;DATE(年度,4,1),采购进货!$B$4:$B$1503,"&lt;"&amp;DATE(年度,4+1,1)))</f>
        <v>0</v>
      </c>
      <c r="AT92" s="234">
        <f>AO92+AR92</f>
        <v>0</v>
      </c>
      <c r="AU92" s="235">
        <f>AP92+AS92</f>
        <v>0</v>
      </c>
      <c r="AV92" s="222">
        <f>IF(AND(AT92&gt;0,AU92&gt;0),AU92/AT92,N($E92))</f>
        <v>0</v>
      </c>
      <c r="AW92" s="220">
        <f>IF($B92="",0,SUMIFS(出库明细!$E$4:$E$3003,出库明细!$D$4:$D$3003,$B92,出库明细!$B$4:$B$3003,"&gt;="&amp;DATE(年度,4,1),出库明细!$B$4:$B$3003,"&lt;"&amp;DATE(年度,4+1,1)))</f>
        <v>0</v>
      </c>
      <c r="AX92" s="186">
        <f>AW92*AV92</f>
        <v>0</v>
      </c>
      <c r="AY92" s="220">
        <f>_辅助!BP90</f>
        <v>0</v>
      </c>
      <c r="AZ92" s="186">
        <f>_辅助!AF90</f>
        <v>0</v>
      </c>
      <c r="BA92" s="221">
        <f>AT92-AW92-AY92</f>
        <v>0</v>
      </c>
      <c r="BB92" s="187">
        <f>AU92-AX92-AZ92</f>
        <v>0</v>
      </c>
      <c r="BC92" s="236">
        <f>IF(AND(AT92&gt;0,AU92&gt;0),0,AX92)</f>
        <v>0</v>
      </c>
      <c r="BD92" s="220">
        <f>IF($B92="",0,SUMIFS(采购进货!$E$4:$E$1503,采购进货!$D$4:$D$1503,$B92,采购进货!$B$4:$B$1503,"&gt;="&amp;DATE(年度,5,1),采购进货!$B$4:$B$1503,"&lt;"&amp;DATE(年度,5+1,1))+SUMIFS(采购进货!$H$4:$H$1503,采购进货!$D$4:$D$1503,$B92,采购进货!$B$4:$B$1503,"&gt;="&amp;DATE(年度,5,1),采购进货!$B$4:$B$1503,"&lt;"&amp;DATE(年度,5+1,1)))</f>
        <v>0</v>
      </c>
      <c r="BE92" s="186">
        <f>IF($B92="",0,SUMIFS(采购进货!$G$4:$G$1503,采购进货!$D$4:$D$1503,$B92,采购进货!$B$4:$B$1503,"&gt;="&amp;DATE(年度,5,1),采购进货!$B$4:$B$1503,"&lt;"&amp;DATE(年度,5+1,1)))</f>
        <v>0</v>
      </c>
      <c r="BF92" s="234">
        <f>BA92+BD92</f>
        <v>0</v>
      </c>
      <c r="BG92" s="235">
        <f>BB92+BE92</f>
        <v>0</v>
      </c>
      <c r="BH92" s="222">
        <f>IF(AND(BF92&gt;0,BG92&gt;0),BG92/BF92,N($E92))</f>
        <v>0</v>
      </c>
      <c r="BI92" s="220">
        <f>IF($B92="",0,SUMIFS(出库明细!$E$4:$E$3003,出库明细!$D$4:$D$3003,$B92,出库明细!$B$4:$B$3003,"&gt;="&amp;DATE(年度,5,1),出库明细!$B$4:$B$3003,"&lt;"&amp;DATE(年度,5+1,1)))</f>
        <v>0</v>
      </c>
      <c r="BJ92" s="186">
        <f>BI92*BH92</f>
        <v>0</v>
      </c>
      <c r="BK92" s="220">
        <f>_辅助!BQ90</f>
        <v>0</v>
      </c>
      <c r="BL92" s="186">
        <f>_辅助!AG90</f>
        <v>0</v>
      </c>
      <c r="BM92" s="221">
        <f>BF92-BI92-BK92</f>
        <v>0</v>
      </c>
      <c r="BN92" s="187">
        <f>BG92-BJ92-BL92</f>
        <v>0</v>
      </c>
      <c r="BO92" s="236">
        <f>IF(AND(BF92&gt;0,BG92&gt;0),0,BJ92)</f>
        <v>0</v>
      </c>
      <c r="BP92" s="220">
        <f>IF($B92="",0,SUMIFS(采购进货!$E$4:$E$1503,采购进货!$D$4:$D$1503,$B92,采购进货!$B$4:$B$1503,"&gt;="&amp;DATE(年度,6,1),采购进货!$B$4:$B$1503,"&lt;"&amp;DATE(年度,6+1,1))+SUMIFS(采购进货!$H$4:$H$1503,采购进货!$D$4:$D$1503,$B92,采购进货!$B$4:$B$1503,"&gt;="&amp;DATE(年度,6,1),采购进货!$B$4:$B$1503,"&lt;"&amp;DATE(年度,6+1,1)))</f>
        <v>0</v>
      </c>
      <c r="BQ92" s="186">
        <f>IF($B92="",0,SUMIFS(采购进货!$G$4:$G$1503,采购进货!$D$4:$D$1503,$B92,采购进货!$B$4:$B$1503,"&gt;="&amp;DATE(年度,6,1),采购进货!$B$4:$B$1503,"&lt;"&amp;DATE(年度,6+1,1)))</f>
        <v>0</v>
      </c>
      <c r="BR92" s="234">
        <f>BM92+BP92</f>
        <v>0</v>
      </c>
      <c r="BS92" s="235">
        <f>BN92+BQ92</f>
        <v>0</v>
      </c>
      <c r="BT92" s="222">
        <f>IF(AND(BR92&gt;0,BS92&gt;0),BS92/BR92,N($E92))</f>
        <v>0</v>
      </c>
      <c r="BU92" s="220">
        <f>IF($B92="",0,SUMIFS(出库明细!$E$4:$E$3003,出库明细!$D$4:$D$3003,$B92,出库明细!$B$4:$B$3003,"&gt;="&amp;DATE(年度,6,1),出库明细!$B$4:$B$3003,"&lt;"&amp;DATE(年度,6+1,1)))</f>
        <v>0</v>
      </c>
      <c r="BV92" s="186">
        <f>BU92*BT92</f>
        <v>0</v>
      </c>
      <c r="BW92" s="220">
        <f>_辅助!BR90</f>
        <v>0</v>
      </c>
      <c r="BX92" s="186">
        <f>_辅助!AH90</f>
        <v>0</v>
      </c>
      <c r="BY92" s="221">
        <f>BR92-BU92-BW92</f>
        <v>0</v>
      </c>
      <c r="BZ92" s="187">
        <f>BS92-BV92-BX92</f>
        <v>0</v>
      </c>
      <c r="CA92" s="236">
        <f>IF(AND(BR92&gt;0,BS92&gt;0),0,BV92)</f>
        <v>0</v>
      </c>
      <c r="CB92" s="220">
        <f>IF($B92="",0,SUMIFS(采购进货!$E$4:$E$1503,采购进货!$D$4:$D$1503,$B92,采购进货!$B$4:$B$1503,"&gt;="&amp;DATE(年度,7,1),采购进货!$B$4:$B$1503,"&lt;"&amp;DATE(年度,7+1,1))+SUMIFS(采购进货!$H$4:$H$1503,采购进货!$D$4:$D$1503,$B92,采购进货!$B$4:$B$1503,"&gt;="&amp;DATE(年度,7,1),采购进货!$B$4:$B$1503,"&lt;"&amp;DATE(年度,7+1,1)))</f>
        <v>0</v>
      </c>
      <c r="CC92" s="186">
        <f>IF($B92="",0,SUMIFS(采购进货!$G$4:$G$1503,采购进货!$D$4:$D$1503,$B92,采购进货!$B$4:$B$1503,"&gt;="&amp;DATE(年度,7,1),采购进货!$B$4:$B$1503,"&lt;"&amp;DATE(年度,7+1,1)))</f>
        <v>0</v>
      </c>
      <c r="CD92" s="234">
        <f>BY92+CB92</f>
        <v>0</v>
      </c>
      <c r="CE92" s="235">
        <f>BZ92+CC92</f>
        <v>0</v>
      </c>
      <c r="CF92" s="222">
        <f>IF(AND(CD92&gt;0,CE92&gt;0),CE92/CD92,N($E92))</f>
        <v>0</v>
      </c>
      <c r="CG92" s="220">
        <f>IF($B92="",0,SUMIFS(出库明细!$E$4:$E$3003,出库明细!$D$4:$D$3003,$B92,出库明细!$B$4:$B$3003,"&gt;="&amp;DATE(年度,7,1),出库明细!$B$4:$B$3003,"&lt;"&amp;DATE(年度,7+1,1)))</f>
        <v>0</v>
      </c>
      <c r="CH92" s="186">
        <f>CG92*CF92</f>
        <v>0</v>
      </c>
      <c r="CI92" s="220">
        <f>_辅助!BS90</f>
        <v>0</v>
      </c>
      <c r="CJ92" s="186">
        <f>_辅助!AI90</f>
        <v>0</v>
      </c>
      <c r="CK92" s="221">
        <f>CD92-CG92-CI92</f>
        <v>0</v>
      </c>
      <c r="CL92" s="187">
        <f>CE92-CH92-CJ92</f>
        <v>0</v>
      </c>
      <c r="CM92" s="236">
        <f>IF(AND(CD92&gt;0,CE92&gt;0),0,CH92)</f>
        <v>0</v>
      </c>
      <c r="CN92" s="220">
        <f>IF($B92="",0,SUMIFS(采购进货!$E$4:$E$1503,采购进货!$D$4:$D$1503,$B92,采购进货!$B$4:$B$1503,"&gt;="&amp;DATE(年度,8,1),采购进货!$B$4:$B$1503,"&lt;"&amp;DATE(年度,8+1,1))+SUMIFS(采购进货!$H$4:$H$1503,采购进货!$D$4:$D$1503,$B92,采购进货!$B$4:$B$1503,"&gt;="&amp;DATE(年度,8,1),采购进货!$B$4:$B$1503,"&lt;"&amp;DATE(年度,8+1,1)))</f>
        <v>0</v>
      </c>
      <c r="CO92" s="186">
        <f>IF($B92="",0,SUMIFS(采购进货!$G$4:$G$1503,采购进货!$D$4:$D$1503,$B92,采购进货!$B$4:$B$1503,"&gt;="&amp;DATE(年度,8,1),采购进货!$B$4:$B$1503,"&lt;"&amp;DATE(年度,8+1,1)))</f>
        <v>0</v>
      </c>
      <c r="CP92" s="234">
        <f>CK92+CN92</f>
        <v>0</v>
      </c>
      <c r="CQ92" s="235">
        <f>CL92+CO92</f>
        <v>0</v>
      </c>
      <c r="CR92" s="222">
        <f>IF(AND(CP92&gt;0,CQ92&gt;0),CQ92/CP92,N($E92))</f>
        <v>0</v>
      </c>
      <c r="CS92" s="220">
        <f>IF($B92="",0,SUMIFS(出库明细!$E$4:$E$3003,出库明细!$D$4:$D$3003,$B92,出库明细!$B$4:$B$3003,"&gt;="&amp;DATE(年度,8,1),出库明细!$B$4:$B$3003,"&lt;"&amp;DATE(年度,8+1,1)))</f>
        <v>0</v>
      </c>
      <c r="CT92" s="186">
        <f>CS92*CR92</f>
        <v>0</v>
      </c>
      <c r="CU92" s="220">
        <f>_辅助!BT90</f>
        <v>0</v>
      </c>
      <c r="CV92" s="186">
        <f>_辅助!AJ90</f>
        <v>0</v>
      </c>
      <c r="CW92" s="221">
        <f>CP92-CS92-CU92</f>
        <v>0</v>
      </c>
      <c r="CX92" s="187">
        <f>CQ92-CT92-CV92</f>
        <v>0</v>
      </c>
      <c r="CY92" s="236">
        <f>IF(AND(CP92&gt;0,CQ92&gt;0),0,CT92)</f>
        <v>0</v>
      </c>
      <c r="CZ92" s="220">
        <f>IF($B92="",0,SUMIFS(采购进货!$E$4:$E$1503,采购进货!$D$4:$D$1503,$B92,采购进货!$B$4:$B$1503,"&gt;="&amp;DATE(年度,9,1),采购进货!$B$4:$B$1503,"&lt;"&amp;DATE(年度,9+1,1))+SUMIFS(采购进货!$H$4:$H$1503,采购进货!$D$4:$D$1503,$B92,采购进货!$B$4:$B$1503,"&gt;="&amp;DATE(年度,9,1),采购进货!$B$4:$B$1503,"&lt;"&amp;DATE(年度,9+1,1)))</f>
        <v>0</v>
      </c>
      <c r="DA92" s="186">
        <f>IF($B92="",0,SUMIFS(采购进货!$G$4:$G$1503,采购进货!$D$4:$D$1503,$B92,采购进货!$B$4:$B$1503,"&gt;="&amp;DATE(年度,9,1),采购进货!$B$4:$B$1503,"&lt;"&amp;DATE(年度,9+1,1)))</f>
        <v>0</v>
      </c>
      <c r="DB92" s="234">
        <f>CW92+CZ92</f>
        <v>0</v>
      </c>
      <c r="DC92" s="235">
        <f>CX92+DA92</f>
        <v>0</v>
      </c>
      <c r="DD92" s="222">
        <f>IF(AND(DB92&gt;0,DC92&gt;0),DC92/DB92,N($E92))</f>
        <v>0</v>
      </c>
      <c r="DE92" s="220">
        <f>IF($B92="",0,SUMIFS(出库明细!$E$4:$E$3003,出库明细!$D$4:$D$3003,$B92,出库明细!$B$4:$B$3003,"&gt;="&amp;DATE(年度,9,1),出库明细!$B$4:$B$3003,"&lt;"&amp;DATE(年度,9+1,1)))</f>
        <v>0</v>
      </c>
      <c r="DF92" s="186">
        <f>DE92*DD92</f>
        <v>0</v>
      </c>
      <c r="DG92" s="220">
        <f>_辅助!BU90</f>
        <v>0</v>
      </c>
      <c r="DH92" s="186">
        <f>_辅助!AK90</f>
        <v>0</v>
      </c>
      <c r="DI92" s="221">
        <f>DB92-DE92-DG92</f>
        <v>0</v>
      </c>
      <c r="DJ92" s="187">
        <f>DC92-DF92-DH92</f>
        <v>0</v>
      </c>
      <c r="DK92" s="236">
        <f>IF(AND(DB92&gt;0,DC92&gt;0),0,DF92)</f>
        <v>0</v>
      </c>
      <c r="DL92" s="220">
        <f>IF($B92="",0,SUMIFS(采购进货!$E$4:$E$1503,采购进货!$D$4:$D$1503,$B92,采购进货!$B$4:$B$1503,"&gt;="&amp;DATE(年度,10,1),采购进货!$B$4:$B$1503,"&lt;"&amp;DATE(年度,10+1,1))+SUMIFS(采购进货!$H$4:$H$1503,采购进货!$D$4:$D$1503,$B92,采购进货!$B$4:$B$1503,"&gt;="&amp;DATE(年度,10,1),采购进货!$B$4:$B$1503,"&lt;"&amp;DATE(年度,10+1,1)))</f>
        <v>0</v>
      </c>
      <c r="DM92" s="186">
        <f>IF($B92="",0,SUMIFS(采购进货!$G$4:$G$1503,采购进货!$D$4:$D$1503,$B92,采购进货!$B$4:$B$1503,"&gt;="&amp;DATE(年度,10,1),采购进货!$B$4:$B$1503,"&lt;"&amp;DATE(年度,10+1,1)))</f>
        <v>0</v>
      </c>
      <c r="DN92" s="234">
        <f>DI92+DL92</f>
        <v>0</v>
      </c>
      <c r="DO92" s="235">
        <f>DJ92+DM92</f>
        <v>0</v>
      </c>
      <c r="DP92" s="222">
        <f>IF(AND(DN92&gt;0,DO92&gt;0),DO92/DN92,N($E92))</f>
        <v>0</v>
      </c>
      <c r="DQ92" s="220">
        <f>IF($B92="",0,SUMIFS(出库明细!$E$4:$E$3003,出库明细!$D$4:$D$3003,$B92,出库明细!$B$4:$B$3003,"&gt;="&amp;DATE(年度,10,1),出库明细!$B$4:$B$3003,"&lt;"&amp;DATE(年度,10+1,1)))</f>
        <v>0</v>
      </c>
      <c r="DR92" s="186">
        <f>DQ92*DP92</f>
        <v>0</v>
      </c>
      <c r="DS92" s="220">
        <f>_辅助!BV90</f>
        <v>0</v>
      </c>
      <c r="DT92" s="186">
        <f>_辅助!AL90</f>
        <v>0</v>
      </c>
      <c r="DU92" s="221">
        <f>DN92-DQ92-DS92</f>
        <v>0</v>
      </c>
      <c r="DV92" s="187">
        <f>DO92-DR92-DT92</f>
        <v>0</v>
      </c>
      <c r="DW92" s="236">
        <f>IF(AND(DN92&gt;0,DO92&gt;0),0,DR92)</f>
        <v>0</v>
      </c>
      <c r="DX92" s="220">
        <f>IF($B92="",0,SUMIFS(采购进货!$E$4:$E$1503,采购进货!$D$4:$D$1503,$B92,采购进货!$B$4:$B$1503,"&gt;="&amp;DATE(年度,11,1),采购进货!$B$4:$B$1503,"&lt;"&amp;DATE(年度,11+1,1))+SUMIFS(采购进货!$H$4:$H$1503,采购进货!$D$4:$D$1503,$B92,采购进货!$B$4:$B$1503,"&gt;="&amp;DATE(年度,11,1),采购进货!$B$4:$B$1503,"&lt;"&amp;DATE(年度,11+1,1)))</f>
        <v>0</v>
      </c>
      <c r="DY92" s="186">
        <f>IF($B92="",0,SUMIFS(采购进货!$G$4:$G$1503,采购进货!$D$4:$D$1503,$B92,采购进货!$B$4:$B$1503,"&gt;="&amp;DATE(年度,11,1),采购进货!$B$4:$B$1503,"&lt;"&amp;DATE(年度,11+1,1)))</f>
        <v>0</v>
      </c>
      <c r="DZ92" s="234">
        <f>DU92+DX92</f>
        <v>0</v>
      </c>
      <c r="EA92" s="235">
        <f>DV92+DY92</f>
        <v>0</v>
      </c>
      <c r="EB92" s="222">
        <f>IF(AND(DZ92&gt;0,EA92&gt;0),EA92/DZ92,N($E92))</f>
        <v>0</v>
      </c>
      <c r="EC92" s="220">
        <f>IF($B92="",0,SUMIFS(出库明细!$E$4:$E$3003,出库明细!$D$4:$D$3003,$B92,出库明细!$B$4:$B$3003,"&gt;="&amp;DATE(年度,11,1),出库明细!$B$4:$B$3003,"&lt;"&amp;DATE(年度,11+1,1)))</f>
        <v>0</v>
      </c>
      <c r="ED92" s="186">
        <f>EC92*EB92</f>
        <v>0</v>
      </c>
      <c r="EE92" s="220">
        <f>_辅助!BW90</f>
        <v>0</v>
      </c>
      <c r="EF92" s="186">
        <f>_辅助!AM90</f>
        <v>0</v>
      </c>
      <c r="EG92" s="221">
        <f>DZ92-EC92-EE92</f>
        <v>0</v>
      </c>
      <c r="EH92" s="187">
        <f>EA92-ED92-EF92</f>
        <v>0</v>
      </c>
      <c r="EI92" s="236">
        <f>IF(AND(DZ92&gt;0,EA92&gt;0),0,ED92)</f>
        <v>0</v>
      </c>
      <c r="EJ92" s="220">
        <f>IF($B92="",0,SUMIFS(采购进货!$E$4:$E$1503,采购进货!$D$4:$D$1503,$B92,采购进货!$B$4:$B$1503,"&gt;="&amp;DATE(年度,12,1),采购进货!$B$4:$B$1503,"&lt;"&amp;DATE(年度,12+1,1))+SUMIFS(采购进货!$H$4:$H$1503,采购进货!$D$4:$D$1503,$B92,采购进货!$B$4:$B$1503,"&gt;="&amp;DATE(年度,12,1),采购进货!$B$4:$B$1503,"&lt;"&amp;DATE(年度,12+1,1)))</f>
        <v>0</v>
      </c>
      <c r="EK92" s="186">
        <f>IF($B92="",0,SUMIFS(采购进货!$G$4:$G$1503,采购进货!$D$4:$D$1503,$B92,采购进货!$B$4:$B$1503,"&gt;="&amp;DATE(年度,12,1),采购进货!$B$4:$B$1503,"&lt;"&amp;DATE(年度,12+1,1)))</f>
        <v>0</v>
      </c>
      <c r="EL92" s="234">
        <f>EG92+EJ92</f>
        <v>0</v>
      </c>
      <c r="EM92" s="235">
        <f>EH92+EK92</f>
        <v>0</v>
      </c>
      <c r="EN92" s="222">
        <f>IF(AND(EL92&gt;0,EM92&gt;0),EM92/EL92,N($E92))</f>
        <v>0</v>
      </c>
      <c r="EO92" s="220">
        <f>IF($B92="",0,SUMIFS(出库明细!$E$4:$E$3003,出库明细!$D$4:$D$3003,$B92,出库明细!$B$4:$B$3003,"&gt;="&amp;DATE(年度,12,1),出库明细!$B$4:$B$3003,"&lt;"&amp;DATE(年度,12+1,1)))</f>
        <v>0</v>
      </c>
      <c r="EP92" s="186">
        <f>EO92*EN92</f>
        <v>0</v>
      </c>
      <c r="EQ92" s="220">
        <f>_辅助!BX90</f>
        <v>0</v>
      </c>
      <c r="ER92" s="186">
        <f>_辅助!AN90</f>
        <v>0</v>
      </c>
      <c r="ES92" s="221">
        <f>EL92-EO92-EQ92</f>
        <v>0</v>
      </c>
      <c r="ET92" s="187">
        <f>EM92-EP92-ER92</f>
        <v>0</v>
      </c>
      <c r="EU92" s="236">
        <f>IF(AND(EL92&gt;0,EM92&gt;0),0,EP92)</f>
        <v>0</v>
      </c>
    </row>
    <row r="93">
      <c r="A93" s="194">
        <f>IF(B93="","",ROW()-7)</f>
      </c>
      <c r="B93" s="141">
        <f>IF(基础资料!E90="","",基础资料!E90&amp;"")</f>
      </c>
      <c r="C93" s="230">
        <f>IF(基础资料!G90="","",基础资料!G90&amp;"")</f>
      </c>
      <c r="D93" s="194">
        <f>IF(基础资料!I90="","",基础资料!I90)</f>
      </c>
      <c r="E93" s="231">
        <f>IF(基础资料!J90="","",基础资料!J90)</f>
      </c>
      <c r="F93" s="232">
        <f>N(基础资料!L90)</f>
        <v>0</v>
      </c>
      <c r="G93" s="233">
        <f>IF(基础资料!N90="",0,基础资料!N90)</f>
        <v>0</v>
      </c>
      <c r="H93" s="220">
        <f>IF($B93="",0,SUMIFS(采购进货!$E$4:$E$1503,采购进货!$D$4:$D$1503,$B93,采购进货!$B$4:$B$1503,"&gt;="&amp;DATE(年度,1,1),采购进货!$B$4:$B$1503,"&lt;"&amp;DATE(年度,1+1,1))+SUMIFS(采购进货!$H$4:$H$1503,采购进货!$D$4:$D$1503,$B93,采购进货!$B$4:$B$1503,"&gt;="&amp;DATE(年度,1,1),采购进货!$B$4:$B$1503,"&lt;"&amp;DATE(年度,1+1,1)))</f>
        <v>0</v>
      </c>
      <c r="I93" s="186">
        <f>IF($B93="",0,SUMIFS(采购进货!$G$4:$G$1503,采购进货!$D$4:$D$1503,$B93,采购进货!$B$4:$B$1503,"&gt;="&amp;DATE(年度,1,1),采购进货!$B$4:$B$1503,"&lt;"&amp;DATE(年度,1+1,1)))</f>
        <v>0</v>
      </c>
      <c r="J93" s="234">
        <f>F93+H93</f>
        <v>0</v>
      </c>
      <c r="K93" s="235">
        <f>G93+I93</f>
        <v>0</v>
      </c>
      <c r="L93" s="222">
        <f>IF(AND(J93&gt;0,K93&gt;0),K93/J93,N($E93))</f>
        <v>0</v>
      </c>
      <c r="M93" s="220">
        <f>IF($B93="",0,SUMIFS(出库明细!$E$4:$E$3003,出库明细!$D$4:$D$3003,$B93,出库明细!$B$4:$B$3003,"&gt;="&amp;DATE(年度,1,1),出库明细!$B$4:$B$3003,"&lt;"&amp;DATE(年度,1+1,1)))</f>
        <v>0</v>
      </c>
      <c r="N93" s="186">
        <f>M93*L93</f>
        <v>0</v>
      </c>
      <c r="O93" s="220">
        <f>_辅助!BM91</f>
        <v>0</v>
      </c>
      <c r="P93" s="186">
        <f>_辅助!AC91</f>
        <v>0</v>
      </c>
      <c r="Q93" s="221">
        <f>J93-M93-O93</f>
        <v>0</v>
      </c>
      <c r="R93" s="187">
        <f>K93-N93-P93</f>
        <v>0</v>
      </c>
      <c r="S93" s="236">
        <f>IF(AND(J93&gt;0,K93&gt;0),0,N93)</f>
        <v>0</v>
      </c>
      <c r="T93" s="220">
        <f>IF($B93="",0,SUMIFS(采购进货!$E$4:$E$1503,采购进货!$D$4:$D$1503,$B93,采购进货!$B$4:$B$1503,"&gt;="&amp;DATE(年度,2,1),采购进货!$B$4:$B$1503,"&lt;"&amp;DATE(年度,2+1,1))+SUMIFS(采购进货!$H$4:$H$1503,采购进货!$D$4:$D$1503,$B93,采购进货!$B$4:$B$1503,"&gt;="&amp;DATE(年度,2,1),采购进货!$B$4:$B$1503,"&lt;"&amp;DATE(年度,2+1,1)))</f>
        <v>0</v>
      </c>
      <c r="U93" s="186">
        <f>IF($B93="",0,SUMIFS(采购进货!$G$4:$G$1503,采购进货!$D$4:$D$1503,$B93,采购进货!$B$4:$B$1503,"&gt;="&amp;DATE(年度,2,1),采购进货!$B$4:$B$1503,"&lt;"&amp;DATE(年度,2+1,1)))</f>
        <v>0</v>
      </c>
      <c r="V93" s="234">
        <f>Q93+T93</f>
        <v>0</v>
      </c>
      <c r="W93" s="235">
        <f>R93+U93</f>
        <v>0</v>
      </c>
      <c r="X93" s="222">
        <f>IF(AND(V93&gt;0,W93&gt;0),W93/V93,N($E93))</f>
        <v>0</v>
      </c>
      <c r="Y93" s="220">
        <f>IF($B93="",0,SUMIFS(出库明细!$E$4:$E$3003,出库明细!$D$4:$D$3003,$B93,出库明细!$B$4:$B$3003,"&gt;="&amp;DATE(年度,2,1),出库明细!$B$4:$B$3003,"&lt;"&amp;DATE(年度,2+1,1)))</f>
        <v>0</v>
      </c>
      <c r="Z93" s="186">
        <f>Y93*X93</f>
        <v>0</v>
      </c>
      <c r="AA93" s="220">
        <f>_辅助!BN91</f>
        <v>0</v>
      </c>
      <c r="AB93" s="186">
        <f>_辅助!AD91</f>
        <v>0</v>
      </c>
      <c r="AC93" s="221">
        <f>V93-Y93-AA93</f>
        <v>0</v>
      </c>
      <c r="AD93" s="187">
        <f>W93-Z93-AB93</f>
        <v>0</v>
      </c>
      <c r="AE93" s="236">
        <f>IF(AND(V93&gt;0,W93&gt;0),0,Z93)</f>
        <v>0</v>
      </c>
      <c r="AF93" s="220">
        <f>IF($B93="",0,SUMIFS(采购进货!$E$4:$E$1503,采购进货!$D$4:$D$1503,$B93,采购进货!$B$4:$B$1503,"&gt;="&amp;DATE(年度,3,1),采购进货!$B$4:$B$1503,"&lt;"&amp;DATE(年度,3+1,1))+SUMIFS(采购进货!$H$4:$H$1503,采购进货!$D$4:$D$1503,$B93,采购进货!$B$4:$B$1503,"&gt;="&amp;DATE(年度,3,1),采购进货!$B$4:$B$1503,"&lt;"&amp;DATE(年度,3+1,1)))</f>
        <v>0</v>
      </c>
      <c r="AG93" s="186">
        <f>IF($B93="",0,SUMIFS(采购进货!$G$4:$G$1503,采购进货!$D$4:$D$1503,$B93,采购进货!$B$4:$B$1503,"&gt;="&amp;DATE(年度,3,1),采购进货!$B$4:$B$1503,"&lt;"&amp;DATE(年度,3+1,1)))</f>
        <v>0</v>
      </c>
      <c r="AH93" s="234">
        <f>AC93+AF93</f>
        <v>0</v>
      </c>
      <c r="AI93" s="235">
        <f>AD93+AG93</f>
        <v>0</v>
      </c>
      <c r="AJ93" s="222">
        <f>IF(AND(AH93&gt;0,AI93&gt;0),AI93/AH93,N($E93))</f>
        <v>0</v>
      </c>
      <c r="AK93" s="220">
        <f>IF($B93="",0,SUMIFS(出库明细!$E$4:$E$3003,出库明细!$D$4:$D$3003,$B93,出库明细!$B$4:$B$3003,"&gt;="&amp;DATE(年度,3,1),出库明细!$B$4:$B$3003,"&lt;"&amp;DATE(年度,3+1,1)))</f>
        <v>0</v>
      </c>
      <c r="AL93" s="186">
        <f>AK93*AJ93</f>
        <v>0</v>
      </c>
      <c r="AM93" s="220">
        <f>_辅助!BO91</f>
        <v>0</v>
      </c>
      <c r="AN93" s="186">
        <f>_辅助!AE91</f>
        <v>0</v>
      </c>
      <c r="AO93" s="221">
        <f>AH93-AK93-AM93</f>
        <v>0</v>
      </c>
      <c r="AP93" s="187">
        <f>AI93-AL93-AN93</f>
        <v>0</v>
      </c>
      <c r="AQ93" s="236">
        <f>IF(AND(AH93&gt;0,AI93&gt;0),0,AL93)</f>
        <v>0</v>
      </c>
      <c r="AR93" s="220">
        <f>IF($B93="",0,SUMIFS(采购进货!$E$4:$E$1503,采购进货!$D$4:$D$1503,$B93,采购进货!$B$4:$B$1503,"&gt;="&amp;DATE(年度,4,1),采购进货!$B$4:$B$1503,"&lt;"&amp;DATE(年度,4+1,1))+SUMIFS(采购进货!$H$4:$H$1503,采购进货!$D$4:$D$1503,$B93,采购进货!$B$4:$B$1503,"&gt;="&amp;DATE(年度,4,1),采购进货!$B$4:$B$1503,"&lt;"&amp;DATE(年度,4+1,1)))</f>
        <v>0</v>
      </c>
      <c r="AS93" s="186">
        <f>IF($B93="",0,SUMIFS(采购进货!$G$4:$G$1503,采购进货!$D$4:$D$1503,$B93,采购进货!$B$4:$B$1503,"&gt;="&amp;DATE(年度,4,1),采购进货!$B$4:$B$1503,"&lt;"&amp;DATE(年度,4+1,1)))</f>
        <v>0</v>
      </c>
      <c r="AT93" s="234">
        <f>AO93+AR93</f>
        <v>0</v>
      </c>
      <c r="AU93" s="235">
        <f>AP93+AS93</f>
        <v>0</v>
      </c>
      <c r="AV93" s="222">
        <f>IF(AND(AT93&gt;0,AU93&gt;0),AU93/AT93,N($E93))</f>
        <v>0</v>
      </c>
      <c r="AW93" s="220">
        <f>IF($B93="",0,SUMIFS(出库明细!$E$4:$E$3003,出库明细!$D$4:$D$3003,$B93,出库明细!$B$4:$B$3003,"&gt;="&amp;DATE(年度,4,1),出库明细!$B$4:$B$3003,"&lt;"&amp;DATE(年度,4+1,1)))</f>
        <v>0</v>
      </c>
      <c r="AX93" s="186">
        <f>AW93*AV93</f>
        <v>0</v>
      </c>
      <c r="AY93" s="220">
        <f>_辅助!BP91</f>
        <v>0</v>
      </c>
      <c r="AZ93" s="186">
        <f>_辅助!AF91</f>
        <v>0</v>
      </c>
      <c r="BA93" s="221">
        <f>AT93-AW93-AY93</f>
        <v>0</v>
      </c>
      <c r="BB93" s="187">
        <f>AU93-AX93-AZ93</f>
        <v>0</v>
      </c>
      <c r="BC93" s="236">
        <f>IF(AND(AT93&gt;0,AU93&gt;0),0,AX93)</f>
        <v>0</v>
      </c>
      <c r="BD93" s="220">
        <f>IF($B93="",0,SUMIFS(采购进货!$E$4:$E$1503,采购进货!$D$4:$D$1503,$B93,采购进货!$B$4:$B$1503,"&gt;="&amp;DATE(年度,5,1),采购进货!$B$4:$B$1503,"&lt;"&amp;DATE(年度,5+1,1))+SUMIFS(采购进货!$H$4:$H$1503,采购进货!$D$4:$D$1503,$B93,采购进货!$B$4:$B$1503,"&gt;="&amp;DATE(年度,5,1),采购进货!$B$4:$B$1503,"&lt;"&amp;DATE(年度,5+1,1)))</f>
        <v>0</v>
      </c>
      <c r="BE93" s="186">
        <f>IF($B93="",0,SUMIFS(采购进货!$G$4:$G$1503,采购进货!$D$4:$D$1503,$B93,采购进货!$B$4:$B$1503,"&gt;="&amp;DATE(年度,5,1),采购进货!$B$4:$B$1503,"&lt;"&amp;DATE(年度,5+1,1)))</f>
        <v>0</v>
      </c>
      <c r="BF93" s="234">
        <f>BA93+BD93</f>
        <v>0</v>
      </c>
      <c r="BG93" s="235">
        <f>BB93+BE93</f>
        <v>0</v>
      </c>
      <c r="BH93" s="222">
        <f>IF(AND(BF93&gt;0,BG93&gt;0),BG93/BF93,N($E93))</f>
        <v>0</v>
      </c>
      <c r="BI93" s="220">
        <f>IF($B93="",0,SUMIFS(出库明细!$E$4:$E$3003,出库明细!$D$4:$D$3003,$B93,出库明细!$B$4:$B$3003,"&gt;="&amp;DATE(年度,5,1),出库明细!$B$4:$B$3003,"&lt;"&amp;DATE(年度,5+1,1)))</f>
        <v>0</v>
      </c>
      <c r="BJ93" s="186">
        <f>BI93*BH93</f>
        <v>0</v>
      </c>
      <c r="BK93" s="220">
        <f>_辅助!BQ91</f>
        <v>0</v>
      </c>
      <c r="BL93" s="186">
        <f>_辅助!AG91</f>
        <v>0</v>
      </c>
      <c r="BM93" s="221">
        <f>BF93-BI93-BK93</f>
        <v>0</v>
      </c>
      <c r="BN93" s="187">
        <f>BG93-BJ93-BL93</f>
        <v>0</v>
      </c>
      <c r="BO93" s="236">
        <f>IF(AND(BF93&gt;0,BG93&gt;0),0,BJ93)</f>
        <v>0</v>
      </c>
      <c r="BP93" s="220">
        <f>IF($B93="",0,SUMIFS(采购进货!$E$4:$E$1503,采购进货!$D$4:$D$1503,$B93,采购进货!$B$4:$B$1503,"&gt;="&amp;DATE(年度,6,1),采购进货!$B$4:$B$1503,"&lt;"&amp;DATE(年度,6+1,1))+SUMIFS(采购进货!$H$4:$H$1503,采购进货!$D$4:$D$1503,$B93,采购进货!$B$4:$B$1503,"&gt;="&amp;DATE(年度,6,1),采购进货!$B$4:$B$1503,"&lt;"&amp;DATE(年度,6+1,1)))</f>
        <v>0</v>
      </c>
      <c r="BQ93" s="186">
        <f>IF($B93="",0,SUMIFS(采购进货!$G$4:$G$1503,采购进货!$D$4:$D$1503,$B93,采购进货!$B$4:$B$1503,"&gt;="&amp;DATE(年度,6,1),采购进货!$B$4:$B$1503,"&lt;"&amp;DATE(年度,6+1,1)))</f>
        <v>0</v>
      </c>
      <c r="BR93" s="234">
        <f>BM93+BP93</f>
        <v>0</v>
      </c>
      <c r="BS93" s="235">
        <f>BN93+BQ93</f>
        <v>0</v>
      </c>
      <c r="BT93" s="222">
        <f>IF(AND(BR93&gt;0,BS93&gt;0),BS93/BR93,N($E93))</f>
        <v>0</v>
      </c>
      <c r="BU93" s="220">
        <f>IF($B93="",0,SUMIFS(出库明细!$E$4:$E$3003,出库明细!$D$4:$D$3003,$B93,出库明细!$B$4:$B$3003,"&gt;="&amp;DATE(年度,6,1),出库明细!$B$4:$B$3003,"&lt;"&amp;DATE(年度,6+1,1)))</f>
        <v>0</v>
      </c>
      <c r="BV93" s="186">
        <f>BU93*BT93</f>
        <v>0</v>
      </c>
      <c r="BW93" s="220">
        <f>_辅助!BR91</f>
        <v>0</v>
      </c>
      <c r="BX93" s="186">
        <f>_辅助!AH91</f>
        <v>0</v>
      </c>
      <c r="BY93" s="221">
        <f>BR93-BU93-BW93</f>
        <v>0</v>
      </c>
      <c r="BZ93" s="187">
        <f>BS93-BV93-BX93</f>
        <v>0</v>
      </c>
      <c r="CA93" s="236">
        <f>IF(AND(BR93&gt;0,BS93&gt;0),0,BV93)</f>
        <v>0</v>
      </c>
      <c r="CB93" s="220">
        <f>IF($B93="",0,SUMIFS(采购进货!$E$4:$E$1503,采购进货!$D$4:$D$1503,$B93,采购进货!$B$4:$B$1503,"&gt;="&amp;DATE(年度,7,1),采购进货!$B$4:$B$1503,"&lt;"&amp;DATE(年度,7+1,1))+SUMIFS(采购进货!$H$4:$H$1503,采购进货!$D$4:$D$1503,$B93,采购进货!$B$4:$B$1503,"&gt;="&amp;DATE(年度,7,1),采购进货!$B$4:$B$1503,"&lt;"&amp;DATE(年度,7+1,1)))</f>
        <v>0</v>
      </c>
      <c r="CC93" s="186">
        <f>IF($B93="",0,SUMIFS(采购进货!$G$4:$G$1503,采购进货!$D$4:$D$1503,$B93,采购进货!$B$4:$B$1503,"&gt;="&amp;DATE(年度,7,1),采购进货!$B$4:$B$1503,"&lt;"&amp;DATE(年度,7+1,1)))</f>
        <v>0</v>
      </c>
      <c r="CD93" s="234">
        <f>BY93+CB93</f>
        <v>0</v>
      </c>
      <c r="CE93" s="235">
        <f>BZ93+CC93</f>
        <v>0</v>
      </c>
      <c r="CF93" s="222">
        <f>IF(AND(CD93&gt;0,CE93&gt;0),CE93/CD93,N($E93))</f>
        <v>0</v>
      </c>
      <c r="CG93" s="220">
        <f>IF($B93="",0,SUMIFS(出库明细!$E$4:$E$3003,出库明细!$D$4:$D$3003,$B93,出库明细!$B$4:$B$3003,"&gt;="&amp;DATE(年度,7,1),出库明细!$B$4:$B$3003,"&lt;"&amp;DATE(年度,7+1,1)))</f>
        <v>0</v>
      </c>
      <c r="CH93" s="186">
        <f>CG93*CF93</f>
        <v>0</v>
      </c>
      <c r="CI93" s="220">
        <f>_辅助!BS91</f>
        <v>0</v>
      </c>
      <c r="CJ93" s="186">
        <f>_辅助!AI91</f>
        <v>0</v>
      </c>
      <c r="CK93" s="221">
        <f>CD93-CG93-CI93</f>
        <v>0</v>
      </c>
      <c r="CL93" s="187">
        <f>CE93-CH93-CJ93</f>
        <v>0</v>
      </c>
      <c r="CM93" s="236">
        <f>IF(AND(CD93&gt;0,CE93&gt;0),0,CH93)</f>
        <v>0</v>
      </c>
      <c r="CN93" s="220">
        <f>IF($B93="",0,SUMIFS(采购进货!$E$4:$E$1503,采购进货!$D$4:$D$1503,$B93,采购进货!$B$4:$B$1503,"&gt;="&amp;DATE(年度,8,1),采购进货!$B$4:$B$1503,"&lt;"&amp;DATE(年度,8+1,1))+SUMIFS(采购进货!$H$4:$H$1503,采购进货!$D$4:$D$1503,$B93,采购进货!$B$4:$B$1503,"&gt;="&amp;DATE(年度,8,1),采购进货!$B$4:$B$1503,"&lt;"&amp;DATE(年度,8+1,1)))</f>
        <v>0</v>
      </c>
      <c r="CO93" s="186">
        <f>IF($B93="",0,SUMIFS(采购进货!$G$4:$G$1503,采购进货!$D$4:$D$1503,$B93,采购进货!$B$4:$B$1503,"&gt;="&amp;DATE(年度,8,1),采购进货!$B$4:$B$1503,"&lt;"&amp;DATE(年度,8+1,1)))</f>
        <v>0</v>
      </c>
      <c r="CP93" s="234">
        <f>CK93+CN93</f>
        <v>0</v>
      </c>
      <c r="CQ93" s="235">
        <f>CL93+CO93</f>
        <v>0</v>
      </c>
      <c r="CR93" s="222">
        <f>IF(AND(CP93&gt;0,CQ93&gt;0),CQ93/CP93,N($E93))</f>
        <v>0</v>
      </c>
      <c r="CS93" s="220">
        <f>IF($B93="",0,SUMIFS(出库明细!$E$4:$E$3003,出库明细!$D$4:$D$3003,$B93,出库明细!$B$4:$B$3003,"&gt;="&amp;DATE(年度,8,1),出库明细!$B$4:$B$3003,"&lt;"&amp;DATE(年度,8+1,1)))</f>
        <v>0</v>
      </c>
      <c r="CT93" s="186">
        <f>CS93*CR93</f>
        <v>0</v>
      </c>
      <c r="CU93" s="220">
        <f>_辅助!BT91</f>
        <v>0</v>
      </c>
      <c r="CV93" s="186">
        <f>_辅助!AJ91</f>
        <v>0</v>
      </c>
      <c r="CW93" s="221">
        <f>CP93-CS93-CU93</f>
        <v>0</v>
      </c>
      <c r="CX93" s="187">
        <f>CQ93-CT93-CV93</f>
        <v>0</v>
      </c>
      <c r="CY93" s="236">
        <f>IF(AND(CP93&gt;0,CQ93&gt;0),0,CT93)</f>
        <v>0</v>
      </c>
      <c r="CZ93" s="220">
        <f>IF($B93="",0,SUMIFS(采购进货!$E$4:$E$1503,采购进货!$D$4:$D$1503,$B93,采购进货!$B$4:$B$1503,"&gt;="&amp;DATE(年度,9,1),采购进货!$B$4:$B$1503,"&lt;"&amp;DATE(年度,9+1,1))+SUMIFS(采购进货!$H$4:$H$1503,采购进货!$D$4:$D$1503,$B93,采购进货!$B$4:$B$1503,"&gt;="&amp;DATE(年度,9,1),采购进货!$B$4:$B$1503,"&lt;"&amp;DATE(年度,9+1,1)))</f>
        <v>0</v>
      </c>
      <c r="DA93" s="186">
        <f>IF($B93="",0,SUMIFS(采购进货!$G$4:$G$1503,采购进货!$D$4:$D$1503,$B93,采购进货!$B$4:$B$1503,"&gt;="&amp;DATE(年度,9,1),采购进货!$B$4:$B$1503,"&lt;"&amp;DATE(年度,9+1,1)))</f>
        <v>0</v>
      </c>
      <c r="DB93" s="234">
        <f>CW93+CZ93</f>
        <v>0</v>
      </c>
      <c r="DC93" s="235">
        <f>CX93+DA93</f>
        <v>0</v>
      </c>
      <c r="DD93" s="222">
        <f>IF(AND(DB93&gt;0,DC93&gt;0),DC93/DB93,N($E93))</f>
        <v>0</v>
      </c>
      <c r="DE93" s="220">
        <f>IF($B93="",0,SUMIFS(出库明细!$E$4:$E$3003,出库明细!$D$4:$D$3003,$B93,出库明细!$B$4:$B$3003,"&gt;="&amp;DATE(年度,9,1),出库明细!$B$4:$B$3003,"&lt;"&amp;DATE(年度,9+1,1)))</f>
        <v>0</v>
      </c>
      <c r="DF93" s="186">
        <f>DE93*DD93</f>
        <v>0</v>
      </c>
      <c r="DG93" s="220">
        <f>_辅助!BU91</f>
        <v>0</v>
      </c>
      <c r="DH93" s="186">
        <f>_辅助!AK91</f>
        <v>0</v>
      </c>
      <c r="DI93" s="221">
        <f>DB93-DE93-DG93</f>
        <v>0</v>
      </c>
      <c r="DJ93" s="187">
        <f>DC93-DF93-DH93</f>
        <v>0</v>
      </c>
      <c r="DK93" s="236">
        <f>IF(AND(DB93&gt;0,DC93&gt;0),0,DF93)</f>
        <v>0</v>
      </c>
      <c r="DL93" s="220">
        <f>IF($B93="",0,SUMIFS(采购进货!$E$4:$E$1503,采购进货!$D$4:$D$1503,$B93,采购进货!$B$4:$B$1503,"&gt;="&amp;DATE(年度,10,1),采购进货!$B$4:$B$1503,"&lt;"&amp;DATE(年度,10+1,1))+SUMIFS(采购进货!$H$4:$H$1503,采购进货!$D$4:$D$1503,$B93,采购进货!$B$4:$B$1503,"&gt;="&amp;DATE(年度,10,1),采购进货!$B$4:$B$1503,"&lt;"&amp;DATE(年度,10+1,1)))</f>
        <v>0</v>
      </c>
      <c r="DM93" s="186">
        <f>IF($B93="",0,SUMIFS(采购进货!$G$4:$G$1503,采购进货!$D$4:$D$1503,$B93,采购进货!$B$4:$B$1503,"&gt;="&amp;DATE(年度,10,1),采购进货!$B$4:$B$1503,"&lt;"&amp;DATE(年度,10+1,1)))</f>
        <v>0</v>
      </c>
      <c r="DN93" s="234">
        <f>DI93+DL93</f>
        <v>0</v>
      </c>
      <c r="DO93" s="235">
        <f>DJ93+DM93</f>
        <v>0</v>
      </c>
      <c r="DP93" s="222">
        <f>IF(AND(DN93&gt;0,DO93&gt;0),DO93/DN93,N($E93))</f>
        <v>0</v>
      </c>
      <c r="DQ93" s="220">
        <f>IF($B93="",0,SUMIFS(出库明细!$E$4:$E$3003,出库明细!$D$4:$D$3003,$B93,出库明细!$B$4:$B$3003,"&gt;="&amp;DATE(年度,10,1),出库明细!$B$4:$B$3003,"&lt;"&amp;DATE(年度,10+1,1)))</f>
        <v>0</v>
      </c>
      <c r="DR93" s="186">
        <f>DQ93*DP93</f>
        <v>0</v>
      </c>
      <c r="DS93" s="220">
        <f>_辅助!BV91</f>
        <v>0</v>
      </c>
      <c r="DT93" s="186">
        <f>_辅助!AL91</f>
        <v>0</v>
      </c>
      <c r="DU93" s="221">
        <f>DN93-DQ93-DS93</f>
        <v>0</v>
      </c>
      <c r="DV93" s="187">
        <f>DO93-DR93-DT93</f>
        <v>0</v>
      </c>
      <c r="DW93" s="236">
        <f>IF(AND(DN93&gt;0,DO93&gt;0),0,DR93)</f>
        <v>0</v>
      </c>
      <c r="DX93" s="220">
        <f>IF($B93="",0,SUMIFS(采购进货!$E$4:$E$1503,采购进货!$D$4:$D$1503,$B93,采购进货!$B$4:$B$1503,"&gt;="&amp;DATE(年度,11,1),采购进货!$B$4:$B$1503,"&lt;"&amp;DATE(年度,11+1,1))+SUMIFS(采购进货!$H$4:$H$1503,采购进货!$D$4:$D$1503,$B93,采购进货!$B$4:$B$1503,"&gt;="&amp;DATE(年度,11,1),采购进货!$B$4:$B$1503,"&lt;"&amp;DATE(年度,11+1,1)))</f>
        <v>0</v>
      </c>
      <c r="DY93" s="186">
        <f>IF($B93="",0,SUMIFS(采购进货!$G$4:$G$1503,采购进货!$D$4:$D$1503,$B93,采购进货!$B$4:$B$1503,"&gt;="&amp;DATE(年度,11,1),采购进货!$B$4:$B$1503,"&lt;"&amp;DATE(年度,11+1,1)))</f>
        <v>0</v>
      </c>
      <c r="DZ93" s="234">
        <f>DU93+DX93</f>
        <v>0</v>
      </c>
      <c r="EA93" s="235">
        <f>DV93+DY93</f>
        <v>0</v>
      </c>
      <c r="EB93" s="222">
        <f>IF(AND(DZ93&gt;0,EA93&gt;0),EA93/DZ93,N($E93))</f>
        <v>0</v>
      </c>
      <c r="EC93" s="220">
        <f>IF($B93="",0,SUMIFS(出库明细!$E$4:$E$3003,出库明细!$D$4:$D$3003,$B93,出库明细!$B$4:$B$3003,"&gt;="&amp;DATE(年度,11,1),出库明细!$B$4:$B$3003,"&lt;"&amp;DATE(年度,11+1,1)))</f>
        <v>0</v>
      </c>
      <c r="ED93" s="186">
        <f>EC93*EB93</f>
        <v>0</v>
      </c>
      <c r="EE93" s="220">
        <f>_辅助!BW91</f>
        <v>0</v>
      </c>
      <c r="EF93" s="186">
        <f>_辅助!AM91</f>
        <v>0</v>
      </c>
      <c r="EG93" s="221">
        <f>DZ93-EC93-EE93</f>
        <v>0</v>
      </c>
      <c r="EH93" s="187">
        <f>EA93-ED93-EF93</f>
        <v>0</v>
      </c>
      <c r="EI93" s="236">
        <f>IF(AND(DZ93&gt;0,EA93&gt;0),0,ED93)</f>
        <v>0</v>
      </c>
      <c r="EJ93" s="220">
        <f>IF($B93="",0,SUMIFS(采购进货!$E$4:$E$1503,采购进货!$D$4:$D$1503,$B93,采购进货!$B$4:$B$1503,"&gt;="&amp;DATE(年度,12,1),采购进货!$B$4:$B$1503,"&lt;"&amp;DATE(年度,12+1,1))+SUMIFS(采购进货!$H$4:$H$1503,采购进货!$D$4:$D$1503,$B93,采购进货!$B$4:$B$1503,"&gt;="&amp;DATE(年度,12,1),采购进货!$B$4:$B$1503,"&lt;"&amp;DATE(年度,12+1,1)))</f>
        <v>0</v>
      </c>
      <c r="EK93" s="186">
        <f>IF($B93="",0,SUMIFS(采购进货!$G$4:$G$1503,采购进货!$D$4:$D$1503,$B93,采购进货!$B$4:$B$1503,"&gt;="&amp;DATE(年度,12,1),采购进货!$B$4:$B$1503,"&lt;"&amp;DATE(年度,12+1,1)))</f>
        <v>0</v>
      </c>
      <c r="EL93" s="234">
        <f>EG93+EJ93</f>
        <v>0</v>
      </c>
      <c r="EM93" s="235">
        <f>EH93+EK93</f>
        <v>0</v>
      </c>
      <c r="EN93" s="222">
        <f>IF(AND(EL93&gt;0,EM93&gt;0),EM93/EL93,N($E93))</f>
        <v>0</v>
      </c>
      <c r="EO93" s="220">
        <f>IF($B93="",0,SUMIFS(出库明细!$E$4:$E$3003,出库明细!$D$4:$D$3003,$B93,出库明细!$B$4:$B$3003,"&gt;="&amp;DATE(年度,12,1),出库明细!$B$4:$B$3003,"&lt;"&amp;DATE(年度,12+1,1)))</f>
        <v>0</v>
      </c>
      <c r="EP93" s="186">
        <f>EO93*EN93</f>
        <v>0</v>
      </c>
      <c r="EQ93" s="220">
        <f>_辅助!BX91</f>
        <v>0</v>
      </c>
      <c r="ER93" s="186">
        <f>_辅助!AN91</f>
        <v>0</v>
      </c>
      <c r="ES93" s="221">
        <f>EL93-EO93-EQ93</f>
        <v>0</v>
      </c>
      <c r="ET93" s="187">
        <f>EM93-EP93-ER93</f>
        <v>0</v>
      </c>
      <c r="EU93" s="236">
        <f>IF(AND(EL93&gt;0,EM93&gt;0),0,EP93)</f>
        <v>0</v>
      </c>
    </row>
    <row r="94">
      <c r="A94" s="194">
        <f>IF(B94="","",ROW()-7)</f>
      </c>
      <c r="B94" s="141">
        <f>IF(基础资料!E91="","",基础资料!E91&amp;"")</f>
      </c>
      <c r="C94" s="230">
        <f>IF(基础资料!G91="","",基础资料!G91&amp;"")</f>
      </c>
      <c r="D94" s="194">
        <f>IF(基础资料!I91="","",基础资料!I91)</f>
      </c>
      <c r="E94" s="231">
        <f>IF(基础资料!J91="","",基础资料!J91)</f>
      </c>
      <c r="F94" s="232">
        <f>N(基础资料!L91)</f>
        <v>0</v>
      </c>
      <c r="G94" s="233">
        <f>IF(基础资料!N91="",0,基础资料!N91)</f>
        <v>0</v>
      </c>
      <c r="H94" s="220">
        <f>IF($B94="",0,SUMIFS(采购进货!$E$4:$E$1503,采购进货!$D$4:$D$1503,$B94,采购进货!$B$4:$B$1503,"&gt;="&amp;DATE(年度,1,1),采购进货!$B$4:$B$1503,"&lt;"&amp;DATE(年度,1+1,1))+SUMIFS(采购进货!$H$4:$H$1503,采购进货!$D$4:$D$1503,$B94,采购进货!$B$4:$B$1503,"&gt;="&amp;DATE(年度,1,1),采购进货!$B$4:$B$1503,"&lt;"&amp;DATE(年度,1+1,1)))</f>
        <v>0</v>
      </c>
      <c r="I94" s="186">
        <f>IF($B94="",0,SUMIFS(采购进货!$G$4:$G$1503,采购进货!$D$4:$D$1503,$B94,采购进货!$B$4:$B$1503,"&gt;="&amp;DATE(年度,1,1),采购进货!$B$4:$B$1503,"&lt;"&amp;DATE(年度,1+1,1)))</f>
        <v>0</v>
      </c>
      <c r="J94" s="234">
        <f>F94+H94</f>
        <v>0</v>
      </c>
      <c r="K94" s="235">
        <f>G94+I94</f>
        <v>0</v>
      </c>
      <c r="L94" s="222">
        <f>IF(AND(J94&gt;0,K94&gt;0),K94/J94,N($E94))</f>
        <v>0</v>
      </c>
      <c r="M94" s="220">
        <f>IF($B94="",0,SUMIFS(出库明细!$E$4:$E$3003,出库明细!$D$4:$D$3003,$B94,出库明细!$B$4:$B$3003,"&gt;="&amp;DATE(年度,1,1),出库明细!$B$4:$B$3003,"&lt;"&amp;DATE(年度,1+1,1)))</f>
        <v>0</v>
      </c>
      <c r="N94" s="186">
        <f>M94*L94</f>
        <v>0</v>
      </c>
      <c r="O94" s="220">
        <f>_辅助!BM92</f>
        <v>0</v>
      </c>
      <c r="P94" s="186">
        <f>_辅助!AC92</f>
        <v>0</v>
      </c>
      <c r="Q94" s="221">
        <f>J94-M94-O94</f>
        <v>0</v>
      </c>
      <c r="R94" s="187">
        <f>K94-N94-P94</f>
        <v>0</v>
      </c>
      <c r="S94" s="236">
        <f>IF(AND(J94&gt;0,K94&gt;0),0,N94)</f>
        <v>0</v>
      </c>
      <c r="T94" s="220">
        <f>IF($B94="",0,SUMIFS(采购进货!$E$4:$E$1503,采购进货!$D$4:$D$1503,$B94,采购进货!$B$4:$B$1503,"&gt;="&amp;DATE(年度,2,1),采购进货!$B$4:$B$1503,"&lt;"&amp;DATE(年度,2+1,1))+SUMIFS(采购进货!$H$4:$H$1503,采购进货!$D$4:$D$1503,$B94,采购进货!$B$4:$B$1503,"&gt;="&amp;DATE(年度,2,1),采购进货!$B$4:$B$1503,"&lt;"&amp;DATE(年度,2+1,1)))</f>
        <v>0</v>
      </c>
      <c r="U94" s="186">
        <f>IF($B94="",0,SUMIFS(采购进货!$G$4:$G$1503,采购进货!$D$4:$D$1503,$B94,采购进货!$B$4:$B$1503,"&gt;="&amp;DATE(年度,2,1),采购进货!$B$4:$B$1503,"&lt;"&amp;DATE(年度,2+1,1)))</f>
        <v>0</v>
      </c>
      <c r="V94" s="234">
        <f>Q94+T94</f>
        <v>0</v>
      </c>
      <c r="W94" s="235">
        <f>R94+U94</f>
        <v>0</v>
      </c>
      <c r="X94" s="222">
        <f>IF(AND(V94&gt;0,W94&gt;0),W94/V94,N($E94))</f>
        <v>0</v>
      </c>
      <c r="Y94" s="220">
        <f>IF($B94="",0,SUMIFS(出库明细!$E$4:$E$3003,出库明细!$D$4:$D$3003,$B94,出库明细!$B$4:$B$3003,"&gt;="&amp;DATE(年度,2,1),出库明细!$B$4:$B$3003,"&lt;"&amp;DATE(年度,2+1,1)))</f>
        <v>0</v>
      </c>
      <c r="Z94" s="186">
        <f>Y94*X94</f>
        <v>0</v>
      </c>
      <c r="AA94" s="220">
        <f>_辅助!BN92</f>
        <v>0</v>
      </c>
      <c r="AB94" s="186">
        <f>_辅助!AD92</f>
        <v>0</v>
      </c>
      <c r="AC94" s="221">
        <f>V94-Y94-AA94</f>
        <v>0</v>
      </c>
      <c r="AD94" s="187">
        <f>W94-Z94-AB94</f>
        <v>0</v>
      </c>
      <c r="AE94" s="236">
        <f>IF(AND(V94&gt;0,W94&gt;0),0,Z94)</f>
        <v>0</v>
      </c>
      <c r="AF94" s="220">
        <f>IF($B94="",0,SUMIFS(采购进货!$E$4:$E$1503,采购进货!$D$4:$D$1503,$B94,采购进货!$B$4:$B$1503,"&gt;="&amp;DATE(年度,3,1),采购进货!$B$4:$B$1503,"&lt;"&amp;DATE(年度,3+1,1))+SUMIFS(采购进货!$H$4:$H$1503,采购进货!$D$4:$D$1503,$B94,采购进货!$B$4:$B$1503,"&gt;="&amp;DATE(年度,3,1),采购进货!$B$4:$B$1503,"&lt;"&amp;DATE(年度,3+1,1)))</f>
        <v>0</v>
      </c>
      <c r="AG94" s="186">
        <f>IF($B94="",0,SUMIFS(采购进货!$G$4:$G$1503,采购进货!$D$4:$D$1503,$B94,采购进货!$B$4:$B$1503,"&gt;="&amp;DATE(年度,3,1),采购进货!$B$4:$B$1503,"&lt;"&amp;DATE(年度,3+1,1)))</f>
        <v>0</v>
      </c>
      <c r="AH94" s="234">
        <f>AC94+AF94</f>
        <v>0</v>
      </c>
      <c r="AI94" s="235">
        <f>AD94+AG94</f>
        <v>0</v>
      </c>
      <c r="AJ94" s="222">
        <f>IF(AND(AH94&gt;0,AI94&gt;0),AI94/AH94,N($E94))</f>
        <v>0</v>
      </c>
      <c r="AK94" s="220">
        <f>IF($B94="",0,SUMIFS(出库明细!$E$4:$E$3003,出库明细!$D$4:$D$3003,$B94,出库明细!$B$4:$B$3003,"&gt;="&amp;DATE(年度,3,1),出库明细!$B$4:$B$3003,"&lt;"&amp;DATE(年度,3+1,1)))</f>
        <v>0</v>
      </c>
      <c r="AL94" s="186">
        <f>AK94*AJ94</f>
        <v>0</v>
      </c>
      <c r="AM94" s="220">
        <f>_辅助!BO92</f>
        <v>0</v>
      </c>
      <c r="AN94" s="186">
        <f>_辅助!AE92</f>
        <v>0</v>
      </c>
      <c r="AO94" s="221">
        <f>AH94-AK94-AM94</f>
        <v>0</v>
      </c>
      <c r="AP94" s="187">
        <f>AI94-AL94-AN94</f>
        <v>0</v>
      </c>
      <c r="AQ94" s="236">
        <f>IF(AND(AH94&gt;0,AI94&gt;0),0,AL94)</f>
        <v>0</v>
      </c>
      <c r="AR94" s="220">
        <f>IF($B94="",0,SUMIFS(采购进货!$E$4:$E$1503,采购进货!$D$4:$D$1503,$B94,采购进货!$B$4:$B$1503,"&gt;="&amp;DATE(年度,4,1),采购进货!$B$4:$B$1503,"&lt;"&amp;DATE(年度,4+1,1))+SUMIFS(采购进货!$H$4:$H$1503,采购进货!$D$4:$D$1503,$B94,采购进货!$B$4:$B$1503,"&gt;="&amp;DATE(年度,4,1),采购进货!$B$4:$B$1503,"&lt;"&amp;DATE(年度,4+1,1)))</f>
        <v>0</v>
      </c>
      <c r="AS94" s="186">
        <f>IF($B94="",0,SUMIFS(采购进货!$G$4:$G$1503,采购进货!$D$4:$D$1503,$B94,采购进货!$B$4:$B$1503,"&gt;="&amp;DATE(年度,4,1),采购进货!$B$4:$B$1503,"&lt;"&amp;DATE(年度,4+1,1)))</f>
        <v>0</v>
      </c>
      <c r="AT94" s="234">
        <f>AO94+AR94</f>
        <v>0</v>
      </c>
      <c r="AU94" s="235">
        <f>AP94+AS94</f>
        <v>0</v>
      </c>
      <c r="AV94" s="222">
        <f>IF(AND(AT94&gt;0,AU94&gt;0),AU94/AT94,N($E94))</f>
        <v>0</v>
      </c>
      <c r="AW94" s="220">
        <f>IF($B94="",0,SUMIFS(出库明细!$E$4:$E$3003,出库明细!$D$4:$D$3003,$B94,出库明细!$B$4:$B$3003,"&gt;="&amp;DATE(年度,4,1),出库明细!$B$4:$B$3003,"&lt;"&amp;DATE(年度,4+1,1)))</f>
        <v>0</v>
      </c>
      <c r="AX94" s="186">
        <f>AW94*AV94</f>
        <v>0</v>
      </c>
      <c r="AY94" s="220">
        <f>_辅助!BP92</f>
        <v>0</v>
      </c>
      <c r="AZ94" s="186">
        <f>_辅助!AF92</f>
        <v>0</v>
      </c>
      <c r="BA94" s="221">
        <f>AT94-AW94-AY94</f>
        <v>0</v>
      </c>
      <c r="BB94" s="187">
        <f>AU94-AX94-AZ94</f>
        <v>0</v>
      </c>
      <c r="BC94" s="236">
        <f>IF(AND(AT94&gt;0,AU94&gt;0),0,AX94)</f>
        <v>0</v>
      </c>
      <c r="BD94" s="220">
        <f>IF($B94="",0,SUMIFS(采购进货!$E$4:$E$1503,采购进货!$D$4:$D$1503,$B94,采购进货!$B$4:$B$1503,"&gt;="&amp;DATE(年度,5,1),采购进货!$B$4:$B$1503,"&lt;"&amp;DATE(年度,5+1,1))+SUMIFS(采购进货!$H$4:$H$1503,采购进货!$D$4:$D$1503,$B94,采购进货!$B$4:$B$1503,"&gt;="&amp;DATE(年度,5,1),采购进货!$B$4:$B$1503,"&lt;"&amp;DATE(年度,5+1,1)))</f>
        <v>0</v>
      </c>
      <c r="BE94" s="186">
        <f>IF($B94="",0,SUMIFS(采购进货!$G$4:$G$1503,采购进货!$D$4:$D$1503,$B94,采购进货!$B$4:$B$1503,"&gt;="&amp;DATE(年度,5,1),采购进货!$B$4:$B$1503,"&lt;"&amp;DATE(年度,5+1,1)))</f>
        <v>0</v>
      </c>
      <c r="BF94" s="234">
        <f>BA94+BD94</f>
        <v>0</v>
      </c>
      <c r="BG94" s="235">
        <f>BB94+BE94</f>
        <v>0</v>
      </c>
      <c r="BH94" s="222">
        <f>IF(AND(BF94&gt;0,BG94&gt;0),BG94/BF94,N($E94))</f>
        <v>0</v>
      </c>
      <c r="BI94" s="220">
        <f>IF($B94="",0,SUMIFS(出库明细!$E$4:$E$3003,出库明细!$D$4:$D$3003,$B94,出库明细!$B$4:$B$3003,"&gt;="&amp;DATE(年度,5,1),出库明细!$B$4:$B$3003,"&lt;"&amp;DATE(年度,5+1,1)))</f>
        <v>0</v>
      </c>
      <c r="BJ94" s="186">
        <f>BI94*BH94</f>
        <v>0</v>
      </c>
      <c r="BK94" s="220">
        <f>_辅助!BQ92</f>
        <v>0</v>
      </c>
      <c r="BL94" s="186">
        <f>_辅助!AG92</f>
        <v>0</v>
      </c>
      <c r="BM94" s="221">
        <f>BF94-BI94-BK94</f>
        <v>0</v>
      </c>
      <c r="BN94" s="187">
        <f>BG94-BJ94-BL94</f>
        <v>0</v>
      </c>
      <c r="BO94" s="236">
        <f>IF(AND(BF94&gt;0,BG94&gt;0),0,BJ94)</f>
        <v>0</v>
      </c>
      <c r="BP94" s="220">
        <f>IF($B94="",0,SUMIFS(采购进货!$E$4:$E$1503,采购进货!$D$4:$D$1503,$B94,采购进货!$B$4:$B$1503,"&gt;="&amp;DATE(年度,6,1),采购进货!$B$4:$B$1503,"&lt;"&amp;DATE(年度,6+1,1))+SUMIFS(采购进货!$H$4:$H$1503,采购进货!$D$4:$D$1503,$B94,采购进货!$B$4:$B$1503,"&gt;="&amp;DATE(年度,6,1),采购进货!$B$4:$B$1503,"&lt;"&amp;DATE(年度,6+1,1)))</f>
        <v>0</v>
      </c>
      <c r="BQ94" s="186">
        <f>IF($B94="",0,SUMIFS(采购进货!$G$4:$G$1503,采购进货!$D$4:$D$1503,$B94,采购进货!$B$4:$B$1503,"&gt;="&amp;DATE(年度,6,1),采购进货!$B$4:$B$1503,"&lt;"&amp;DATE(年度,6+1,1)))</f>
        <v>0</v>
      </c>
      <c r="BR94" s="234">
        <f>BM94+BP94</f>
        <v>0</v>
      </c>
      <c r="BS94" s="235">
        <f>BN94+BQ94</f>
        <v>0</v>
      </c>
      <c r="BT94" s="222">
        <f>IF(AND(BR94&gt;0,BS94&gt;0),BS94/BR94,N($E94))</f>
        <v>0</v>
      </c>
      <c r="BU94" s="220">
        <f>IF($B94="",0,SUMIFS(出库明细!$E$4:$E$3003,出库明细!$D$4:$D$3003,$B94,出库明细!$B$4:$B$3003,"&gt;="&amp;DATE(年度,6,1),出库明细!$B$4:$B$3003,"&lt;"&amp;DATE(年度,6+1,1)))</f>
        <v>0</v>
      </c>
      <c r="BV94" s="186">
        <f>BU94*BT94</f>
        <v>0</v>
      </c>
      <c r="BW94" s="220">
        <f>_辅助!BR92</f>
        <v>0</v>
      </c>
      <c r="BX94" s="186">
        <f>_辅助!AH92</f>
        <v>0</v>
      </c>
      <c r="BY94" s="221">
        <f>BR94-BU94-BW94</f>
        <v>0</v>
      </c>
      <c r="BZ94" s="187">
        <f>BS94-BV94-BX94</f>
        <v>0</v>
      </c>
      <c r="CA94" s="236">
        <f>IF(AND(BR94&gt;0,BS94&gt;0),0,BV94)</f>
        <v>0</v>
      </c>
      <c r="CB94" s="220">
        <f>IF($B94="",0,SUMIFS(采购进货!$E$4:$E$1503,采购进货!$D$4:$D$1503,$B94,采购进货!$B$4:$B$1503,"&gt;="&amp;DATE(年度,7,1),采购进货!$B$4:$B$1503,"&lt;"&amp;DATE(年度,7+1,1))+SUMIFS(采购进货!$H$4:$H$1503,采购进货!$D$4:$D$1503,$B94,采购进货!$B$4:$B$1503,"&gt;="&amp;DATE(年度,7,1),采购进货!$B$4:$B$1503,"&lt;"&amp;DATE(年度,7+1,1)))</f>
        <v>0</v>
      </c>
      <c r="CC94" s="186">
        <f>IF($B94="",0,SUMIFS(采购进货!$G$4:$G$1503,采购进货!$D$4:$D$1503,$B94,采购进货!$B$4:$B$1503,"&gt;="&amp;DATE(年度,7,1),采购进货!$B$4:$B$1503,"&lt;"&amp;DATE(年度,7+1,1)))</f>
        <v>0</v>
      </c>
      <c r="CD94" s="234">
        <f>BY94+CB94</f>
        <v>0</v>
      </c>
      <c r="CE94" s="235">
        <f>BZ94+CC94</f>
        <v>0</v>
      </c>
      <c r="CF94" s="222">
        <f>IF(AND(CD94&gt;0,CE94&gt;0),CE94/CD94,N($E94))</f>
        <v>0</v>
      </c>
      <c r="CG94" s="220">
        <f>IF($B94="",0,SUMIFS(出库明细!$E$4:$E$3003,出库明细!$D$4:$D$3003,$B94,出库明细!$B$4:$B$3003,"&gt;="&amp;DATE(年度,7,1),出库明细!$B$4:$B$3003,"&lt;"&amp;DATE(年度,7+1,1)))</f>
        <v>0</v>
      </c>
      <c r="CH94" s="186">
        <f>CG94*CF94</f>
        <v>0</v>
      </c>
      <c r="CI94" s="220">
        <f>_辅助!BS92</f>
        <v>0</v>
      </c>
      <c r="CJ94" s="186">
        <f>_辅助!AI92</f>
        <v>0</v>
      </c>
      <c r="CK94" s="221">
        <f>CD94-CG94-CI94</f>
        <v>0</v>
      </c>
      <c r="CL94" s="187">
        <f>CE94-CH94-CJ94</f>
        <v>0</v>
      </c>
      <c r="CM94" s="236">
        <f>IF(AND(CD94&gt;0,CE94&gt;0),0,CH94)</f>
        <v>0</v>
      </c>
      <c r="CN94" s="220">
        <f>IF($B94="",0,SUMIFS(采购进货!$E$4:$E$1503,采购进货!$D$4:$D$1503,$B94,采购进货!$B$4:$B$1503,"&gt;="&amp;DATE(年度,8,1),采购进货!$B$4:$B$1503,"&lt;"&amp;DATE(年度,8+1,1))+SUMIFS(采购进货!$H$4:$H$1503,采购进货!$D$4:$D$1503,$B94,采购进货!$B$4:$B$1503,"&gt;="&amp;DATE(年度,8,1),采购进货!$B$4:$B$1503,"&lt;"&amp;DATE(年度,8+1,1)))</f>
        <v>0</v>
      </c>
      <c r="CO94" s="186">
        <f>IF($B94="",0,SUMIFS(采购进货!$G$4:$G$1503,采购进货!$D$4:$D$1503,$B94,采购进货!$B$4:$B$1503,"&gt;="&amp;DATE(年度,8,1),采购进货!$B$4:$B$1503,"&lt;"&amp;DATE(年度,8+1,1)))</f>
        <v>0</v>
      </c>
      <c r="CP94" s="234">
        <f>CK94+CN94</f>
        <v>0</v>
      </c>
      <c r="CQ94" s="235">
        <f>CL94+CO94</f>
        <v>0</v>
      </c>
      <c r="CR94" s="222">
        <f>IF(AND(CP94&gt;0,CQ94&gt;0),CQ94/CP94,N($E94))</f>
        <v>0</v>
      </c>
      <c r="CS94" s="220">
        <f>IF($B94="",0,SUMIFS(出库明细!$E$4:$E$3003,出库明细!$D$4:$D$3003,$B94,出库明细!$B$4:$B$3003,"&gt;="&amp;DATE(年度,8,1),出库明细!$B$4:$B$3003,"&lt;"&amp;DATE(年度,8+1,1)))</f>
        <v>0</v>
      </c>
      <c r="CT94" s="186">
        <f>CS94*CR94</f>
        <v>0</v>
      </c>
      <c r="CU94" s="220">
        <f>_辅助!BT92</f>
        <v>0</v>
      </c>
      <c r="CV94" s="186">
        <f>_辅助!AJ92</f>
        <v>0</v>
      </c>
      <c r="CW94" s="221">
        <f>CP94-CS94-CU94</f>
        <v>0</v>
      </c>
      <c r="CX94" s="187">
        <f>CQ94-CT94-CV94</f>
        <v>0</v>
      </c>
      <c r="CY94" s="236">
        <f>IF(AND(CP94&gt;0,CQ94&gt;0),0,CT94)</f>
        <v>0</v>
      </c>
      <c r="CZ94" s="220">
        <f>IF($B94="",0,SUMIFS(采购进货!$E$4:$E$1503,采购进货!$D$4:$D$1503,$B94,采购进货!$B$4:$B$1503,"&gt;="&amp;DATE(年度,9,1),采购进货!$B$4:$B$1503,"&lt;"&amp;DATE(年度,9+1,1))+SUMIFS(采购进货!$H$4:$H$1503,采购进货!$D$4:$D$1503,$B94,采购进货!$B$4:$B$1503,"&gt;="&amp;DATE(年度,9,1),采购进货!$B$4:$B$1503,"&lt;"&amp;DATE(年度,9+1,1)))</f>
        <v>0</v>
      </c>
      <c r="DA94" s="186">
        <f>IF($B94="",0,SUMIFS(采购进货!$G$4:$G$1503,采购进货!$D$4:$D$1503,$B94,采购进货!$B$4:$B$1503,"&gt;="&amp;DATE(年度,9,1),采购进货!$B$4:$B$1503,"&lt;"&amp;DATE(年度,9+1,1)))</f>
        <v>0</v>
      </c>
      <c r="DB94" s="234">
        <f>CW94+CZ94</f>
        <v>0</v>
      </c>
      <c r="DC94" s="235">
        <f>CX94+DA94</f>
        <v>0</v>
      </c>
      <c r="DD94" s="222">
        <f>IF(AND(DB94&gt;0,DC94&gt;0),DC94/DB94,N($E94))</f>
        <v>0</v>
      </c>
      <c r="DE94" s="220">
        <f>IF($B94="",0,SUMIFS(出库明细!$E$4:$E$3003,出库明细!$D$4:$D$3003,$B94,出库明细!$B$4:$B$3003,"&gt;="&amp;DATE(年度,9,1),出库明细!$B$4:$B$3003,"&lt;"&amp;DATE(年度,9+1,1)))</f>
        <v>0</v>
      </c>
      <c r="DF94" s="186">
        <f>DE94*DD94</f>
        <v>0</v>
      </c>
      <c r="DG94" s="220">
        <f>_辅助!BU92</f>
        <v>0</v>
      </c>
      <c r="DH94" s="186">
        <f>_辅助!AK92</f>
        <v>0</v>
      </c>
      <c r="DI94" s="221">
        <f>DB94-DE94-DG94</f>
        <v>0</v>
      </c>
      <c r="DJ94" s="187">
        <f>DC94-DF94-DH94</f>
        <v>0</v>
      </c>
      <c r="DK94" s="236">
        <f>IF(AND(DB94&gt;0,DC94&gt;0),0,DF94)</f>
        <v>0</v>
      </c>
      <c r="DL94" s="220">
        <f>IF($B94="",0,SUMIFS(采购进货!$E$4:$E$1503,采购进货!$D$4:$D$1503,$B94,采购进货!$B$4:$B$1503,"&gt;="&amp;DATE(年度,10,1),采购进货!$B$4:$B$1503,"&lt;"&amp;DATE(年度,10+1,1))+SUMIFS(采购进货!$H$4:$H$1503,采购进货!$D$4:$D$1503,$B94,采购进货!$B$4:$B$1503,"&gt;="&amp;DATE(年度,10,1),采购进货!$B$4:$B$1503,"&lt;"&amp;DATE(年度,10+1,1)))</f>
        <v>0</v>
      </c>
      <c r="DM94" s="186">
        <f>IF($B94="",0,SUMIFS(采购进货!$G$4:$G$1503,采购进货!$D$4:$D$1503,$B94,采购进货!$B$4:$B$1503,"&gt;="&amp;DATE(年度,10,1),采购进货!$B$4:$B$1503,"&lt;"&amp;DATE(年度,10+1,1)))</f>
        <v>0</v>
      </c>
      <c r="DN94" s="234">
        <f>DI94+DL94</f>
        <v>0</v>
      </c>
      <c r="DO94" s="235">
        <f>DJ94+DM94</f>
        <v>0</v>
      </c>
      <c r="DP94" s="222">
        <f>IF(AND(DN94&gt;0,DO94&gt;0),DO94/DN94,N($E94))</f>
        <v>0</v>
      </c>
      <c r="DQ94" s="220">
        <f>IF($B94="",0,SUMIFS(出库明细!$E$4:$E$3003,出库明细!$D$4:$D$3003,$B94,出库明细!$B$4:$B$3003,"&gt;="&amp;DATE(年度,10,1),出库明细!$B$4:$B$3003,"&lt;"&amp;DATE(年度,10+1,1)))</f>
        <v>0</v>
      </c>
      <c r="DR94" s="186">
        <f>DQ94*DP94</f>
        <v>0</v>
      </c>
      <c r="DS94" s="220">
        <f>_辅助!BV92</f>
        <v>0</v>
      </c>
      <c r="DT94" s="186">
        <f>_辅助!AL92</f>
        <v>0</v>
      </c>
      <c r="DU94" s="221">
        <f>DN94-DQ94-DS94</f>
        <v>0</v>
      </c>
      <c r="DV94" s="187">
        <f>DO94-DR94-DT94</f>
        <v>0</v>
      </c>
      <c r="DW94" s="236">
        <f>IF(AND(DN94&gt;0,DO94&gt;0),0,DR94)</f>
        <v>0</v>
      </c>
      <c r="DX94" s="220">
        <f>IF($B94="",0,SUMIFS(采购进货!$E$4:$E$1503,采购进货!$D$4:$D$1503,$B94,采购进货!$B$4:$B$1503,"&gt;="&amp;DATE(年度,11,1),采购进货!$B$4:$B$1503,"&lt;"&amp;DATE(年度,11+1,1))+SUMIFS(采购进货!$H$4:$H$1503,采购进货!$D$4:$D$1503,$B94,采购进货!$B$4:$B$1503,"&gt;="&amp;DATE(年度,11,1),采购进货!$B$4:$B$1503,"&lt;"&amp;DATE(年度,11+1,1)))</f>
        <v>0</v>
      </c>
      <c r="DY94" s="186">
        <f>IF($B94="",0,SUMIFS(采购进货!$G$4:$G$1503,采购进货!$D$4:$D$1503,$B94,采购进货!$B$4:$B$1503,"&gt;="&amp;DATE(年度,11,1),采购进货!$B$4:$B$1503,"&lt;"&amp;DATE(年度,11+1,1)))</f>
        <v>0</v>
      </c>
      <c r="DZ94" s="234">
        <f>DU94+DX94</f>
        <v>0</v>
      </c>
      <c r="EA94" s="235">
        <f>DV94+DY94</f>
        <v>0</v>
      </c>
      <c r="EB94" s="222">
        <f>IF(AND(DZ94&gt;0,EA94&gt;0),EA94/DZ94,N($E94))</f>
        <v>0</v>
      </c>
      <c r="EC94" s="220">
        <f>IF($B94="",0,SUMIFS(出库明细!$E$4:$E$3003,出库明细!$D$4:$D$3003,$B94,出库明细!$B$4:$B$3003,"&gt;="&amp;DATE(年度,11,1),出库明细!$B$4:$B$3003,"&lt;"&amp;DATE(年度,11+1,1)))</f>
        <v>0</v>
      </c>
      <c r="ED94" s="186">
        <f>EC94*EB94</f>
        <v>0</v>
      </c>
      <c r="EE94" s="220">
        <f>_辅助!BW92</f>
        <v>0</v>
      </c>
      <c r="EF94" s="186">
        <f>_辅助!AM92</f>
        <v>0</v>
      </c>
      <c r="EG94" s="221">
        <f>DZ94-EC94-EE94</f>
        <v>0</v>
      </c>
      <c r="EH94" s="187">
        <f>EA94-ED94-EF94</f>
        <v>0</v>
      </c>
      <c r="EI94" s="236">
        <f>IF(AND(DZ94&gt;0,EA94&gt;0),0,ED94)</f>
        <v>0</v>
      </c>
      <c r="EJ94" s="220">
        <f>IF($B94="",0,SUMIFS(采购进货!$E$4:$E$1503,采购进货!$D$4:$D$1503,$B94,采购进货!$B$4:$B$1503,"&gt;="&amp;DATE(年度,12,1),采购进货!$B$4:$B$1503,"&lt;"&amp;DATE(年度,12+1,1))+SUMIFS(采购进货!$H$4:$H$1503,采购进货!$D$4:$D$1503,$B94,采购进货!$B$4:$B$1503,"&gt;="&amp;DATE(年度,12,1),采购进货!$B$4:$B$1503,"&lt;"&amp;DATE(年度,12+1,1)))</f>
        <v>0</v>
      </c>
      <c r="EK94" s="186">
        <f>IF($B94="",0,SUMIFS(采购进货!$G$4:$G$1503,采购进货!$D$4:$D$1503,$B94,采购进货!$B$4:$B$1503,"&gt;="&amp;DATE(年度,12,1),采购进货!$B$4:$B$1503,"&lt;"&amp;DATE(年度,12+1,1)))</f>
        <v>0</v>
      </c>
      <c r="EL94" s="234">
        <f>EG94+EJ94</f>
        <v>0</v>
      </c>
      <c r="EM94" s="235">
        <f>EH94+EK94</f>
        <v>0</v>
      </c>
      <c r="EN94" s="222">
        <f>IF(AND(EL94&gt;0,EM94&gt;0),EM94/EL94,N($E94))</f>
        <v>0</v>
      </c>
      <c r="EO94" s="220">
        <f>IF($B94="",0,SUMIFS(出库明细!$E$4:$E$3003,出库明细!$D$4:$D$3003,$B94,出库明细!$B$4:$B$3003,"&gt;="&amp;DATE(年度,12,1),出库明细!$B$4:$B$3003,"&lt;"&amp;DATE(年度,12+1,1)))</f>
        <v>0</v>
      </c>
      <c r="EP94" s="186">
        <f>EO94*EN94</f>
        <v>0</v>
      </c>
      <c r="EQ94" s="220">
        <f>_辅助!BX92</f>
        <v>0</v>
      </c>
      <c r="ER94" s="186">
        <f>_辅助!AN92</f>
        <v>0</v>
      </c>
      <c r="ES94" s="221">
        <f>EL94-EO94-EQ94</f>
        <v>0</v>
      </c>
      <c r="ET94" s="187">
        <f>EM94-EP94-ER94</f>
        <v>0</v>
      </c>
      <c r="EU94" s="236">
        <f>IF(AND(EL94&gt;0,EM94&gt;0),0,EP94)</f>
        <v>0</v>
      </c>
    </row>
    <row r="95">
      <c r="A95" s="194">
        <f>IF(B95="","",ROW()-7)</f>
      </c>
      <c r="B95" s="141">
        <f>IF(基础资料!E92="","",基础资料!E92&amp;"")</f>
      </c>
      <c r="C95" s="230">
        <f>IF(基础资料!G92="","",基础资料!G92&amp;"")</f>
      </c>
      <c r="D95" s="194">
        <f>IF(基础资料!I92="","",基础资料!I92)</f>
      </c>
      <c r="E95" s="231">
        <f>IF(基础资料!J92="","",基础资料!J92)</f>
      </c>
      <c r="F95" s="232">
        <f>N(基础资料!L92)</f>
        <v>0</v>
      </c>
      <c r="G95" s="233">
        <f>IF(基础资料!N92="",0,基础资料!N92)</f>
        <v>0</v>
      </c>
      <c r="H95" s="220">
        <f>IF($B95="",0,SUMIFS(采购进货!$E$4:$E$1503,采购进货!$D$4:$D$1503,$B95,采购进货!$B$4:$B$1503,"&gt;="&amp;DATE(年度,1,1),采购进货!$B$4:$B$1503,"&lt;"&amp;DATE(年度,1+1,1))+SUMIFS(采购进货!$H$4:$H$1503,采购进货!$D$4:$D$1503,$B95,采购进货!$B$4:$B$1503,"&gt;="&amp;DATE(年度,1,1),采购进货!$B$4:$B$1503,"&lt;"&amp;DATE(年度,1+1,1)))</f>
        <v>0</v>
      </c>
      <c r="I95" s="186">
        <f>IF($B95="",0,SUMIFS(采购进货!$G$4:$G$1503,采购进货!$D$4:$D$1503,$B95,采购进货!$B$4:$B$1503,"&gt;="&amp;DATE(年度,1,1),采购进货!$B$4:$B$1503,"&lt;"&amp;DATE(年度,1+1,1)))</f>
        <v>0</v>
      </c>
      <c r="J95" s="234">
        <f>F95+H95</f>
        <v>0</v>
      </c>
      <c r="K95" s="235">
        <f>G95+I95</f>
        <v>0</v>
      </c>
      <c r="L95" s="222">
        <f>IF(AND(J95&gt;0,K95&gt;0),K95/J95,N($E95))</f>
        <v>0</v>
      </c>
      <c r="M95" s="220">
        <f>IF($B95="",0,SUMIFS(出库明细!$E$4:$E$3003,出库明细!$D$4:$D$3003,$B95,出库明细!$B$4:$B$3003,"&gt;="&amp;DATE(年度,1,1),出库明细!$B$4:$B$3003,"&lt;"&amp;DATE(年度,1+1,1)))</f>
        <v>0</v>
      </c>
      <c r="N95" s="186">
        <f>M95*L95</f>
        <v>0</v>
      </c>
      <c r="O95" s="220">
        <f>_辅助!BM93</f>
        <v>0</v>
      </c>
      <c r="P95" s="186">
        <f>_辅助!AC93</f>
        <v>0</v>
      </c>
      <c r="Q95" s="221">
        <f>J95-M95-O95</f>
        <v>0</v>
      </c>
      <c r="R95" s="187">
        <f>K95-N95-P95</f>
        <v>0</v>
      </c>
      <c r="S95" s="236">
        <f>IF(AND(J95&gt;0,K95&gt;0),0,N95)</f>
        <v>0</v>
      </c>
      <c r="T95" s="220">
        <f>IF($B95="",0,SUMIFS(采购进货!$E$4:$E$1503,采购进货!$D$4:$D$1503,$B95,采购进货!$B$4:$B$1503,"&gt;="&amp;DATE(年度,2,1),采购进货!$B$4:$B$1503,"&lt;"&amp;DATE(年度,2+1,1))+SUMIFS(采购进货!$H$4:$H$1503,采购进货!$D$4:$D$1503,$B95,采购进货!$B$4:$B$1503,"&gt;="&amp;DATE(年度,2,1),采购进货!$B$4:$B$1503,"&lt;"&amp;DATE(年度,2+1,1)))</f>
        <v>0</v>
      </c>
      <c r="U95" s="186">
        <f>IF($B95="",0,SUMIFS(采购进货!$G$4:$G$1503,采购进货!$D$4:$D$1503,$B95,采购进货!$B$4:$B$1503,"&gt;="&amp;DATE(年度,2,1),采购进货!$B$4:$B$1503,"&lt;"&amp;DATE(年度,2+1,1)))</f>
        <v>0</v>
      </c>
      <c r="V95" s="234">
        <f>Q95+T95</f>
        <v>0</v>
      </c>
      <c r="W95" s="235">
        <f>R95+U95</f>
        <v>0</v>
      </c>
      <c r="X95" s="222">
        <f>IF(AND(V95&gt;0,W95&gt;0),W95/V95,N($E95))</f>
        <v>0</v>
      </c>
      <c r="Y95" s="220">
        <f>IF($B95="",0,SUMIFS(出库明细!$E$4:$E$3003,出库明细!$D$4:$D$3003,$B95,出库明细!$B$4:$B$3003,"&gt;="&amp;DATE(年度,2,1),出库明细!$B$4:$B$3003,"&lt;"&amp;DATE(年度,2+1,1)))</f>
        <v>0</v>
      </c>
      <c r="Z95" s="186">
        <f>Y95*X95</f>
        <v>0</v>
      </c>
      <c r="AA95" s="220">
        <f>_辅助!BN93</f>
        <v>0</v>
      </c>
      <c r="AB95" s="186">
        <f>_辅助!AD93</f>
        <v>0</v>
      </c>
      <c r="AC95" s="221">
        <f>V95-Y95-AA95</f>
        <v>0</v>
      </c>
      <c r="AD95" s="187">
        <f>W95-Z95-AB95</f>
        <v>0</v>
      </c>
      <c r="AE95" s="236">
        <f>IF(AND(V95&gt;0,W95&gt;0),0,Z95)</f>
        <v>0</v>
      </c>
      <c r="AF95" s="220">
        <f>IF($B95="",0,SUMIFS(采购进货!$E$4:$E$1503,采购进货!$D$4:$D$1503,$B95,采购进货!$B$4:$B$1503,"&gt;="&amp;DATE(年度,3,1),采购进货!$B$4:$B$1503,"&lt;"&amp;DATE(年度,3+1,1))+SUMIFS(采购进货!$H$4:$H$1503,采购进货!$D$4:$D$1503,$B95,采购进货!$B$4:$B$1503,"&gt;="&amp;DATE(年度,3,1),采购进货!$B$4:$B$1503,"&lt;"&amp;DATE(年度,3+1,1)))</f>
        <v>0</v>
      </c>
      <c r="AG95" s="186">
        <f>IF($B95="",0,SUMIFS(采购进货!$G$4:$G$1503,采购进货!$D$4:$D$1503,$B95,采购进货!$B$4:$B$1503,"&gt;="&amp;DATE(年度,3,1),采购进货!$B$4:$B$1503,"&lt;"&amp;DATE(年度,3+1,1)))</f>
        <v>0</v>
      </c>
      <c r="AH95" s="234">
        <f>AC95+AF95</f>
        <v>0</v>
      </c>
      <c r="AI95" s="235">
        <f>AD95+AG95</f>
        <v>0</v>
      </c>
      <c r="AJ95" s="222">
        <f>IF(AND(AH95&gt;0,AI95&gt;0),AI95/AH95,N($E95))</f>
        <v>0</v>
      </c>
      <c r="AK95" s="220">
        <f>IF($B95="",0,SUMIFS(出库明细!$E$4:$E$3003,出库明细!$D$4:$D$3003,$B95,出库明细!$B$4:$B$3003,"&gt;="&amp;DATE(年度,3,1),出库明细!$B$4:$B$3003,"&lt;"&amp;DATE(年度,3+1,1)))</f>
        <v>0</v>
      </c>
      <c r="AL95" s="186">
        <f>AK95*AJ95</f>
        <v>0</v>
      </c>
      <c r="AM95" s="220">
        <f>_辅助!BO93</f>
        <v>0</v>
      </c>
      <c r="AN95" s="186">
        <f>_辅助!AE93</f>
        <v>0</v>
      </c>
      <c r="AO95" s="221">
        <f>AH95-AK95-AM95</f>
        <v>0</v>
      </c>
      <c r="AP95" s="187">
        <f>AI95-AL95-AN95</f>
        <v>0</v>
      </c>
      <c r="AQ95" s="236">
        <f>IF(AND(AH95&gt;0,AI95&gt;0),0,AL95)</f>
        <v>0</v>
      </c>
      <c r="AR95" s="220">
        <f>IF($B95="",0,SUMIFS(采购进货!$E$4:$E$1503,采购进货!$D$4:$D$1503,$B95,采购进货!$B$4:$B$1503,"&gt;="&amp;DATE(年度,4,1),采购进货!$B$4:$B$1503,"&lt;"&amp;DATE(年度,4+1,1))+SUMIFS(采购进货!$H$4:$H$1503,采购进货!$D$4:$D$1503,$B95,采购进货!$B$4:$B$1503,"&gt;="&amp;DATE(年度,4,1),采购进货!$B$4:$B$1503,"&lt;"&amp;DATE(年度,4+1,1)))</f>
        <v>0</v>
      </c>
      <c r="AS95" s="186">
        <f>IF($B95="",0,SUMIFS(采购进货!$G$4:$G$1503,采购进货!$D$4:$D$1503,$B95,采购进货!$B$4:$B$1503,"&gt;="&amp;DATE(年度,4,1),采购进货!$B$4:$B$1503,"&lt;"&amp;DATE(年度,4+1,1)))</f>
        <v>0</v>
      </c>
      <c r="AT95" s="234">
        <f>AO95+AR95</f>
        <v>0</v>
      </c>
      <c r="AU95" s="235">
        <f>AP95+AS95</f>
        <v>0</v>
      </c>
      <c r="AV95" s="222">
        <f>IF(AND(AT95&gt;0,AU95&gt;0),AU95/AT95,N($E95))</f>
        <v>0</v>
      </c>
      <c r="AW95" s="220">
        <f>IF($B95="",0,SUMIFS(出库明细!$E$4:$E$3003,出库明细!$D$4:$D$3003,$B95,出库明细!$B$4:$B$3003,"&gt;="&amp;DATE(年度,4,1),出库明细!$B$4:$B$3003,"&lt;"&amp;DATE(年度,4+1,1)))</f>
        <v>0</v>
      </c>
      <c r="AX95" s="186">
        <f>AW95*AV95</f>
        <v>0</v>
      </c>
      <c r="AY95" s="220">
        <f>_辅助!BP93</f>
        <v>0</v>
      </c>
      <c r="AZ95" s="186">
        <f>_辅助!AF93</f>
        <v>0</v>
      </c>
      <c r="BA95" s="221">
        <f>AT95-AW95-AY95</f>
        <v>0</v>
      </c>
      <c r="BB95" s="187">
        <f>AU95-AX95-AZ95</f>
        <v>0</v>
      </c>
      <c r="BC95" s="236">
        <f>IF(AND(AT95&gt;0,AU95&gt;0),0,AX95)</f>
        <v>0</v>
      </c>
      <c r="BD95" s="220">
        <f>IF($B95="",0,SUMIFS(采购进货!$E$4:$E$1503,采购进货!$D$4:$D$1503,$B95,采购进货!$B$4:$B$1503,"&gt;="&amp;DATE(年度,5,1),采购进货!$B$4:$B$1503,"&lt;"&amp;DATE(年度,5+1,1))+SUMIFS(采购进货!$H$4:$H$1503,采购进货!$D$4:$D$1503,$B95,采购进货!$B$4:$B$1503,"&gt;="&amp;DATE(年度,5,1),采购进货!$B$4:$B$1503,"&lt;"&amp;DATE(年度,5+1,1)))</f>
        <v>0</v>
      </c>
      <c r="BE95" s="186">
        <f>IF($B95="",0,SUMIFS(采购进货!$G$4:$G$1503,采购进货!$D$4:$D$1503,$B95,采购进货!$B$4:$B$1503,"&gt;="&amp;DATE(年度,5,1),采购进货!$B$4:$B$1503,"&lt;"&amp;DATE(年度,5+1,1)))</f>
        <v>0</v>
      </c>
      <c r="BF95" s="234">
        <f>BA95+BD95</f>
        <v>0</v>
      </c>
      <c r="BG95" s="235">
        <f>BB95+BE95</f>
        <v>0</v>
      </c>
      <c r="BH95" s="222">
        <f>IF(AND(BF95&gt;0,BG95&gt;0),BG95/BF95,N($E95))</f>
        <v>0</v>
      </c>
      <c r="BI95" s="220">
        <f>IF($B95="",0,SUMIFS(出库明细!$E$4:$E$3003,出库明细!$D$4:$D$3003,$B95,出库明细!$B$4:$B$3003,"&gt;="&amp;DATE(年度,5,1),出库明细!$B$4:$B$3003,"&lt;"&amp;DATE(年度,5+1,1)))</f>
        <v>0</v>
      </c>
      <c r="BJ95" s="186">
        <f>BI95*BH95</f>
        <v>0</v>
      </c>
      <c r="BK95" s="220">
        <f>_辅助!BQ93</f>
        <v>0</v>
      </c>
      <c r="BL95" s="186">
        <f>_辅助!AG93</f>
        <v>0</v>
      </c>
      <c r="BM95" s="221">
        <f>BF95-BI95-BK95</f>
        <v>0</v>
      </c>
      <c r="BN95" s="187">
        <f>BG95-BJ95-BL95</f>
        <v>0</v>
      </c>
      <c r="BO95" s="236">
        <f>IF(AND(BF95&gt;0,BG95&gt;0),0,BJ95)</f>
        <v>0</v>
      </c>
      <c r="BP95" s="220">
        <f>IF($B95="",0,SUMIFS(采购进货!$E$4:$E$1503,采购进货!$D$4:$D$1503,$B95,采购进货!$B$4:$B$1503,"&gt;="&amp;DATE(年度,6,1),采购进货!$B$4:$B$1503,"&lt;"&amp;DATE(年度,6+1,1))+SUMIFS(采购进货!$H$4:$H$1503,采购进货!$D$4:$D$1503,$B95,采购进货!$B$4:$B$1503,"&gt;="&amp;DATE(年度,6,1),采购进货!$B$4:$B$1503,"&lt;"&amp;DATE(年度,6+1,1)))</f>
        <v>0</v>
      </c>
      <c r="BQ95" s="186">
        <f>IF($B95="",0,SUMIFS(采购进货!$G$4:$G$1503,采购进货!$D$4:$D$1503,$B95,采购进货!$B$4:$B$1503,"&gt;="&amp;DATE(年度,6,1),采购进货!$B$4:$B$1503,"&lt;"&amp;DATE(年度,6+1,1)))</f>
        <v>0</v>
      </c>
      <c r="BR95" s="234">
        <f>BM95+BP95</f>
        <v>0</v>
      </c>
      <c r="BS95" s="235">
        <f>BN95+BQ95</f>
        <v>0</v>
      </c>
      <c r="BT95" s="222">
        <f>IF(AND(BR95&gt;0,BS95&gt;0),BS95/BR95,N($E95))</f>
        <v>0</v>
      </c>
      <c r="BU95" s="220">
        <f>IF($B95="",0,SUMIFS(出库明细!$E$4:$E$3003,出库明细!$D$4:$D$3003,$B95,出库明细!$B$4:$B$3003,"&gt;="&amp;DATE(年度,6,1),出库明细!$B$4:$B$3003,"&lt;"&amp;DATE(年度,6+1,1)))</f>
        <v>0</v>
      </c>
      <c r="BV95" s="186">
        <f>BU95*BT95</f>
        <v>0</v>
      </c>
      <c r="BW95" s="220">
        <f>_辅助!BR93</f>
        <v>0</v>
      </c>
      <c r="BX95" s="186">
        <f>_辅助!AH93</f>
        <v>0</v>
      </c>
      <c r="BY95" s="221">
        <f>BR95-BU95-BW95</f>
        <v>0</v>
      </c>
      <c r="BZ95" s="187">
        <f>BS95-BV95-BX95</f>
        <v>0</v>
      </c>
      <c r="CA95" s="236">
        <f>IF(AND(BR95&gt;0,BS95&gt;0),0,BV95)</f>
        <v>0</v>
      </c>
      <c r="CB95" s="220">
        <f>IF($B95="",0,SUMIFS(采购进货!$E$4:$E$1503,采购进货!$D$4:$D$1503,$B95,采购进货!$B$4:$B$1503,"&gt;="&amp;DATE(年度,7,1),采购进货!$B$4:$B$1503,"&lt;"&amp;DATE(年度,7+1,1))+SUMIFS(采购进货!$H$4:$H$1503,采购进货!$D$4:$D$1503,$B95,采购进货!$B$4:$B$1503,"&gt;="&amp;DATE(年度,7,1),采购进货!$B$4:$B$1503,"&lt;"&amp;DATE(年度,7+1,1)))</f>
        <v>0</v>
      </c>
      <c r="CC95" s="186">
        <f>IF($B95="",0,SUMIFS(采购进货!$G$4:$G$1503,采购进货!$D$4:$D$1503,$B95,采购进货!$B$4:$B$1503,"&gt;="&amp;DATE(年度,7,1),采购进货!$B$4:$B$1503,"&lt;"&amp;DATE(年度,7+1,1)))</f>
        <v>0</v>
      </c>
      <c r="CD95" s="234">
        <f>BY95+CB95</f>
        <v>0</v>
      </c>
      <c r="CE95" s="235">
        <f>BZ95+CC95</f>
        <v>0</v>
      </c>
      <c r="CF95" s="222">
        <f>IF(AND(CD95&gt;0,CE95&gt;0),CE95/CD95,N($E95))</f>
        <v>0</v>
      </c>
      <c r="CG95" s="220">
        <f>IF($B95="",0,SUMIFS(出库明细!$E$4:$E$3003,出库明细!$D$4:$D$3003,$B95,出库明细!$B$4:$B$3003,"&gt;="&amp;DATE(年度,7,1),出库明细!$B$4:$B$3003,"&lt;"&amp;DATE(年度,7+1,1)))</f>
        <v>0</v>
      </c>
      <c r="CH95" s="186">
        <f>CG95*CF95</f>
        <v>0</v>
      </c>
      <c r="CI95" s="220">
        <f>_辅助!BS93</f>
        <v>0</v>
      </c>
      <c r="CJ95" s="186">
        <f>_辅助!AI93</f>
        <v>0</v>
      </c>
      <c r="CK95" s="221">
        <f>CD95-CG95-CI95</f>
        <v>0</v>
      </c>
      <c r="CL95" s="187">
        <f>CE95-CH95-CJ95</f>
        <v>0</v>
      </c>
      <c r="CM95" s="236">
        <f>IF(AND(CD95&gt;0,CE95&gt;0),0,CH95)</f>
        <v>0</v>
      </c>
      <c r="CN95" s="220">
        <f>IF($B95="",0,SUMIFS(采购进货!$E$4:$E$1503,采购进货!$D$4:$D$1503,$B95,采购进货!$B$4:$B$1503,"&gt;="&amp;DATE(年度,8,1),采购进货!$B$4:$B$1503,"&lt;"&amp;DATE(年度,8+1,1))+SUMIFS(采购进货!$H$4:$H$1503,采购进货!$D$4:$D$1503,$B95,采购进货!$B$4:$B$1503,"&gt;="&amp;DATE(年度,8,1),采购进货!$B$4:$B$1503,"&lt;"&amp;DATE(年度,8+1,1)))</f>
        <v>0</v>
      </c>
      <c r="CO95" s="186">
        <f>IF($B95="",0,SUMIFS(采购进货!$G$4:$G$1503,采购进货!$D$4:$D$1503,$B95,采购进货!$B$4:$B$1503,"&gt;="&amp;DATE(年度,8,1),采购进货!$B$4:$B$1503,"&lt;"&amp;DATE(年度,8+1,1)))</f>
        <v>0</v>
      </c>
      <c r="CP95" s="234">
        <f>CK95+CN95</f>
        <v>0</v>
      </c>
      <c r="CQ95" s="235">
        <f>CL95+CO95</f>
        <v>0</v>
      </c>
      <c r="CR95" s="222">
        <f>IF(AND(CP95&gt;0,CQ95&gt;0),CQ95/CP95,N($E95))</f>
        <v>0</v>
      </c>
      <c r="CS95" s="220">
        <f>IF($B95="",0,SUMIFS(出库明细!$E$4:$E$3003,出库明细!$D$4:$D$3003,$B95,出库明细!$B$4:$B$3003,"&gt;="&amp;DATE(年度,8,1),出库明细!$B$4:$B$3003,"&lt;"&amp;DATE(年度,8+1,1)))</f>
        <v>0</v>
      </c>
      <c r="CT95" s="186">
        <f>CS95*CR95</f>
        <v>0</v>
      </c>
      <c r="CU95" s="220">
        <f>_辅助!BT93</f>
        <v>0</v>
      </c>
      <c r="CV95" s="186">
        <f>_辅助!AJ93</f>
        <v>0</v>
      </c>
      <c r="CW95" s="221">
        <f>CP95-CS95-CU95</f>
        <v>0</v>
      </c>
      <c r="CX95" s="187">
        <f>CQ95-CT95-CV95</f>
        <v>0</v>
      </c>
      <c r="CY95" s="236">
        <f>IF(AND(CP95&gt;0,CQ95&gt;0),0,CT95)</f>
        <v>0</v>
      </c>
      <c r="CZ95" s="220">
        <f>IF($B95="",0,SUMIFS(采购进货!$E$4:$E$1503,采购进货!$D$4:$D$1503,$B95,采购进货!$B$4:$B$1503,"&gt;="&amp;DATE(年度,9,1),采购进货!$B$4:$B$1503,"&lt;"&amp;DATE(年度,9+1,1))+SUMIFS(采购进货!$H$4:$H$1503,采购进货!$D$4:$D$1503,$B95,采购进货!$B$4:$B$1503,"&gt;="&amp;DATE(年度,9,1),采购进货!$B$4:$B$1503,"&lt;"&amp;DATE(年度,9+1,1)))</f>
        <v>0</v>
      </c>
      <c r="DA95" s="186">
        <f>IF($B95="",0,SUMIFS(采购进货!$G$4:$G$1503,采购进货!$D$4:$D$1503,$B95,采购进货!$B$4:$B$1503,"&gt;="&amp;DATE(年度,9,1),采购进货!$B$4:$B$1503,"&lt;"&amp;DATE(年度,9+1,1)))</f>
        <v>0</v>
      </c>
      <c r="DB95" s="234">
        <f>CW95+CZ95</f>
        <v>0</v>
      </c>
      <c r="DC95" s="235">
        <f>CX95+DA95</f>
        <v>0</v>
      </c>
      <c r="DD95" s="222">
        <f>IF(AND(DB95&gt;0,DC95&gt;0),DC95/DB95,N($E95))</f>
        <v>0</v>
      </c>
      <c r="DE95" s="220">
        <f>IF($B95="",0,SUMIFS(出库明细!$E$4:$E$3003,出库明细!$D$4:$D$3003,$B95,出库明细!$B$4:$B$3003,"&gt;="&amp;DATE(年度,9,1),出库明细!$B$4:$B$3003,"&lt;"&amp;DATE(年度,9+1,1)))</f>
        <v>0</v>
      </c>
      <c r="DF95" s="186">
        <f>DE95*DD95</f>
        <v>0</v>
      </c>
      <c r="DG95" s="220">
        <f>_辅助!BU93</f>
        <v>0</v>
      </c>
      <c r="DH95" s="186">
        <f>_辅助!AK93</f>
        <v>0</v>
      </c>
      <c r="DI95" s="221">
        <f>DB95-DE95-DG95</f>
        <v>0</v>
      </c>
      <c r="DJ95" s="187">
        <f>DC95-DF95-DH95</f>
        <v>0</v>
      </c>
      <c r="DK95" s="236">
        <f>IF(AND(DB95&gt;0,DC95&gt;0),0,DF95)</f>
        <v>0</v>
      </c>
      <c r="DL95" s="220">
        <f>IF($B95="",0,SUMIFS(采购进货!$E$4:$E$1503,采购进货!$D$4:$D$1503,$B95,采购进货!$B$4:$B$1503,"&gt;="&amp;DATE(年度,10,1),采购进货!$B$4:$B$1503,"&lt;"&amp;DATE(年度,10+1,1))+SUMIFS(采购进货!$H$4:$H$1503,采购进货!$D$4:$D$1503,$B95,采购进货!$B$4:$B$1503,"&gt;="&amp;DATE(年度,10,1),采购进货!$B$4:$B$1503,"&lt;"&amp;DATE(年度,10+1,1)))</f>
        <v>0</v>
      </c>
      <c r="DM95" s="186">
        <f>IF($B95="",0,SUMIFS(采购进货!$G$4:$G$1503,采购进货!$D$4:$D$1503,$B95,采购进货!$B$4:$B$1503,"&gt;="&amp;DATE(年度,10,1),采购进货!$B$4:$B$1503,"&lt;"&amp;DATE(年度,10+1,1)))</f>
        <v>0</v>
      </c>
      <c r="DN95" s="234">
        <f>DI95+DL95</f>
        <v>0</v>
      </c>
      <c r="DO95" s="235">
        <f>DJ95+DM95</f>
        <v>0</v>
      </c>
      <c r="DP95" s="222">
        <f>IF(AND(DN95&gt;0,DO95&gt;0),DO95/DN95,N($E95))</f>
        <v>0</v>
      </c>
      <c r="DQ95" s="220">
        <f>IF($B95="",0,SUMIFS(出库明细!$E$4:$E$3003,出库明细!$D$4:$D$3003,$B95,出库明细!$B$4:$B$3003,"&gt;="&amp;DATE(年度,10,1),出库明细!$B$4:$B$3003,"&lt;"&amp;DATE(年度,10+1,1)))</f>
        <v>0</v>
      </c>
      <c r="DR95" s="186">
        <f>DQ95*DP95</f>
        <v>0</v>
      </c>
      <c r="DS95" s="220">
        <f>_辅助!BV93</f>
        <v>0</v>
      </c>
      <c r="DT95" s="186">
        <f>_辅助!AL93</f>
        <v>0</v>
      </c>
      <c r="DU95" s="221">
        <f>DN95-DQ95-DS95</f>
        <v>0</v>
      </c>
      <c r="DV95" s="187">
        <f>DO95-DR95-DT95</f>
        <v>0</v>
      </c>
      <c r="DW95" s="236">
        <f>IF(AND(DN95&gt;0,DO95&gt;0),0,DR95)</f>
        <v>0</v>
      </c>
      <c r="DX95" s="220">
        <f>IF($B95="",0,SUMIFS(采购进货!$E$4:$E$1503,采购进货!$D$4:$D$1503,$B95,采购进货!$B$4:$B$1503,"&gt;="&amp;DATE(年度,11,1),采购进货!$B$4:$B$1503,"&lt;"&amp;DATE(年度,11+1,1))+SUMIFS(采购进货!$H$4:$H$1503,采购进货!$D$4:$D$1503,$B95,采购进货!$B$4:$B$1503,"&gt;="&amp;DATE(年度,11,1),采购进货!$B$4:$B$1503,"&lt;"&amp;DATE(年度,11+1,1)))</f>
        <v>0</v>
      </c>
      <c r="DY95" s="186">
        <f>IF($B95="",0,SUMIFS(采购进货!$G$4:$G$1503,采购进货!$D$4:$D$1503,$B95,采购进货!$B$4:$B$1503,"&gt;="&amp;DATE(年度,11,1),采购进货!$B$4:$B$1503,"&lt;"&amp;DATE(年度,11+1,1)))</f>
        <v>0</v>
      </c>
      <c r="DZ95" s="234">
        <f>DU95+DX95</f>
        <v>0</v>
      </c>
      <c r="EA95" s="235">
        <f>DV95+DY95</f>
        <v>0</v>
      </c>
      <c r="EB95" s="222">
        <f>IF(AND(DZ95&gt;0,EA95&gt;0),EA95/DZ95,N($E95))</f>
        <v>0</v>
      </c>
      <c r="EC95" s="220">
        <f>IF($B95="",0,SUMIFS(出库明细!$E$4:$E$3003,出库明细!$D$4:$D$3003,$B95,出库明细!$B$4:$B$3003,"&gt;="&amp;DATE(年度,11,1),出库明细!$B$4:$B$3003,"&lt;"&amp;DATE(年度,11+1,1)))</f>
        <v>0</v>
      </c>
      <c r="ED95" s="186">
        <f>EC95*EB95</f>
        <v>0</v>
      </c>
      <c r="EE95" s="220">
        <f>_辅助!BW93</f>
        <v>0</v>
      </c>
      <c r="EF95" s="186">
        <f>_辅助!AM93</f>
        <v>0</v>
      </c>
      <c r="EG95" s="221">
        <f>DZ95-EC95-EE95</f>
        <v>0</v>
      </c>
      <c r="EH95" s="187">
        <f>EA95-ED95-EF95</f>
        <v>0</v>
      </c>
      <c r="EI95" s="236">
        <f>IF(AND(DZ95&gt;0,EA95&gt;0),0,ED95)</f>
        <v>0</v>
      </c>
      <c r="EJ95" s="220">
        <f>IF($B95="",0,SUMIFS(采购进货!$E$4:$E$1503,采购进货!$D$4:$D$1503,$B95,采购进货!$B$4:$B$1503,"&gt;="&amp;DATE(年度,12,1),采购进货!$B$4:$B$1503,"&lt;"&amp;DATE(年度,12+1,1))+SUMIFS(采购进货!$H$4:$H$1503,采购进货!$D$4:$D$1503,$B95,采购进货!$B$4:$B$1503,"&gt;="&amp;DATE(年度,12,1),采购进货!$B$4:$B$1503,"&lt;"&amp;DATE(年度,12+1,1)))</f>
        <v>0</v>
      </c>
      <c r="EK95" s="186">
        <f>IF($B95="",0,SUMIFS(采购进货!$G$4:$G$1503,采购进货!$D$4:$D$1503,$B95,采购进货!$B$4:$B$1503,"&gt;="&amp;DATE(年度,12,1),采购进货!$B$4:$B$1503,"&lt;"&amp;DATE(年度,12+1,1)))</f>
        <v>0</v>
      </c>
      <c r="EL95" s="234">
        <f>EG95+EJ95</f>
        <v>0</v>
      </c>
      <c r="EM95" s="235">
        <f>EH95+EK95</f>
        <v>0</v>
      </c>
      <c r="EN95" s="222">
        <f>IF(AND(EL95&gt;0,EM95&gt;0),EM95/EL95,N($E95))</f>
        <v>0</v>
      </c>
      <c r="EO95" s="220">
        <f>IF($B95="",0,SUMIFS(出库明细!$E$4:$E$3003,出库明细!$D$4:$D$3003,$B95,出库明细!$B$4:$B$3003,"&gt;="&amp;DATE(年度,12,1),出库明细!$B$4:$B$3003,"&lt;"&amp;DATE(年度,12+1,1)))</f>
        <v>0</v>
      </c>
      <c r="EP95" s="186">
        <f>EO95*EN95</f>
        <v>0</v>
      </c>
      <c r="EQ95" s="220">
        <f>_辅助!BX93</f>
        <v>0</v>
      </c>
      <c r="ER95" s="186">
        <f>_辅助!AN93</f>
        <v>0</v>
      </c>
      <c r="ES95" s="221">
        <f>EL95-EO95-EQ95</f>
        <v>0</v>
      </c>
      <c r="ET95" s="187">
        <f>EM95-EP95-ER95</f>
        <v>0</v>
      </c>
      <c r="EU95" s="236">
        <f>IF(AND(EL95&gt;0,EM95&gt;0),0,EP95)</f>
        <v>0</v>
      </c>
    </row>
    <row r="96">
      <c r="A96" s="194">
        <f>IF(B96="","",ROW()-7)</f>
      </c>
      <c r="B96" s="141">
        <f>IF(基础资料!E93="","",基础资料!E93&amp;"")</f>
      </c>
      <c r="C96" s="230">
        <f>IF(基础资料!G93="","",基础资料!G93&amp;"")</f>
      </c>
      <c r="D96" s="194">
        <f>IF(基础资料!I93="","",基础资料!I93)</f>
      </c>
      <c r="E96" s="231">
        <f>IF(基础资料!J93="","",基础资料!J93)</f>
      </c>
      <c r="F96" s="232">
        <f>N(基础资料!L93)</f>
        <v>0</v>
      </c>
      <c r="G96" s="233">
        <f>IF(基础资料!N93="",0,基础资料!N93)</f>
        <v>0</v>
      </c>
      <c r="H96" s="220">
        <f>IF($B96="",0,SUMIFS(采购进货!$E$4:$E$1503,采购进货!$D$4:$D$1503,$B96,采购进货!$B$4:$B$1503,"&gt;="&amp;DATE(年度,1,1),采购进货!$B$4:$B$1503,"&lt;"&amp;DATE(年度,1+1,1))+SUMIFS(采购进货!$H$4:$H$1503,采购进货!$D$4:$D$1503,$B96,采购进货!$B$4:$B$1503,"&gt;="&amp;DATE(年度,1,1),采购进货!$B$4:$B$1503,"&lt;"&amp;DATE(年度,1+1,1)))</f>
        <v>0</v>
      </c>
      <c r="I96" s="186">
        <f>IF($B96="",0,SUMIFS(采购进货!$G$4:$G$1503,采购进货!$D$4:$D$1503,$B96,采购进货!$B$4:$B$1503,"&gt;="&amp;DATE(年度,1,1),采购进货!$B$4:$B$1503,"&lt;"&amp;DATE(年度,1+1,1)))</f>
        <v>0</v>
      </c>
      <c r="J96" s="234">
        <f>F96+H96</f>
        <v>0</v>
      </c>
      <c r="K96" s="235">
        <f>G96+I96</f>
        <v>0</v>
      </c>
      <c r="L96" s="222">
        <f>IF(AND(J96&gt;0,K96&gt;0),K96/J96,N($E96))</f>
        <v>0</v>
      </c>
      <c r="M96" s="220">
        <f>IF($B96="",0,SUMIFS(出库明细!$E$4:$E$3003,出库明细!$D$4:$D$3003,$B96,出库明细!$B$4:$B$3003,"&gt;="&amp;DATE(年度,1,1),出库明细!$B$4:$B$3003,"&lt;"&amp;DATE(年度,1+1,1)))</f>
        <v>0</v>
      </c>
      <c r="N96" s="186">
        <f>M96*L96</f>
        <v>0</v>
      </c>
      <c r="O96" s="220">
        <f>_辅助!BM94</f>
        <v>0</v>
      </c>
      <c r="P96" s="186">
        <f>_辅助!AC94</f>
        <v>0</v>
      </c>
      <c r="Q96" s="221">
        <f>J96-M96-O96</f>
        <v>0</v>
      </c>
      <c r="R96" s="187">
        <f>K96-N96-P96</f>
        <v>0</v>
      </c>
      <c r="S96" s="236">
        <f>IF(AND(J96&gt;0,K96&gt;0),0,N96)</f>
        <v>0</v>
      </c>
      <c r="T96" s="220">
        <f>IF($B96="",0,SUMIFS(采购进货!$E$4:$E$1503,采购进货!$D$4:$D$1503,$B96,采购进货!$B$4:$B$1503,"&gt;="&amp;DATE(年度,2,1),采购进货!$B$4:$B$1503,"&lt;"&amp;DATE(年度,2+1,1))+SUMIFS(采购进货!$H$4:$H$1503,采购进货!$D$4:$D$1503,$B96,采购进货!$B$4:$B$1503,"&gt;="&amp;DATE(年度,2,1),采购进货!$B$4:$B$1503,"&lt;"&amp;DATE(年度,2+1,1)))</f>
        <v>0</v>
      </c>
      <c r="U96" s="186">
        <f>IF($B96="",0,SUMIFS(采购进货!$G$4:$G$1503,采购进货!$D$4:$D$1503,$B96,采购进货!$B$4:$B$1503,"&gt;="&amp;DATE(年度,2,1),采购进货!$B$4:$B$1503,"&lt;"&amp;DATE(年度,2+1,1)))</f>
        <v>0</v>
      </c>
      <c r="V96" s="234">
        <f>Q96+T96</f>
        <v>0</v>
      </c>
      <c r="W96" s="235">
        <f>R96+U96</f>
        <v>0</v>
      </c>
      <c r="X96" s="222">
        <f>IF(AND(V96&gt;0,W96&gt;0),W96/V96,N($E96))</f>
        <v>0</v>
      </c>
      <c r="Y96" s="220">
        <f>IF($B96="",0,SUMIFS(出库明细!$E$4:$E$3003,出库明细!$D$4:$D$3003,$B96,出库明细!$B$4:$B$3003,"&gt;="&amp;DATE(年度,2,1),出库明细!$B$4:$B$3003,"&lt;"&amp;DATE(年度,2+1,1)))</f>
        <v>0</v>
      </c>
      <c r="Z96" s="186">
        <f>Y96*X96</f>
        <v>0</v>
      </c>
      <c r="AA96" s="220">
        <f>_辅助!BN94</f>
        <v>0</v>
      </c>
      <c r="AB96" s="186">
        <f>_辅助!AD94</f>
        <v>0</v>
      </c>
      <c r="AC96" s="221">
        <f>V96-Y96-AA96</f>
        <v>0</v>
      </c>
      <c r="AD96" s="187">
        <f>W96-Z96-AB96</f>
        <v>0</v>
      </c>
      <c r="AE96" s="236">
        <f>IF(AND(V96&gt;0,W96&gt;0),0,Z96)</f>
        <v>0</v>
      </c>
      <c r="AF96" s="220">
        <f>IF($B96="",0,SUMIFS(采购进货!$E$4:$E$1503,采购进货!$D$4:$D$1503,$B96,采购进货!$B$4:$B$1503,"&gt;="&amp;DATE(年度,3,1),采购进货!$B$4:$B$1503,"&lt;"&amp;DATE(年度,3+1,1))+SUMIFS(采购进货!$H$4:$H$1503,采购进货!$D$4:$D$1503,$B96,采购进货!$B$4:$B$1503,"&gt;="&amp;DATE(年度,3,1),采购进货!$B$4:$B$1503,"&lt;"&amp;DATE(年度,3+1,1)))</f>
        <v>0</v>
      </c>
      <c r="AG96" s="186">
        <f>IF($B96="",0,SUMIFS(采购进货!$G$4:$G$1503,采购进货!$D$4:$D$1503,$B96,采购进货!$B$4:$B$1503,"&gt;="&amp;DATE(年度,3,1),采购进货!$B$4:$B$1503,"&lt;"&amp;DATE(年度,3+1,1)))</f>
        <v>0</v>
      </c>
      <c r="AH96" s="234">
        <f>AC96+AF96</f>
        <v>0</v>
      </c>
      <c r="AI96" s="235">
        <f>AD96+AG96</f>
        <v>0</v>
      </c>
      <c r="AJ96" s="222">
        <f>IF(AND(AH96&gt;0,AI96&gt;0),AI96/AH96,N($E96))</f>
        <v>0</v>
      </c>
      <c r="AK96" s="220">
        <f>IF($B96="",0,SUMIFS(出库明细!$E$4:$E$3003,出库明细!$D$4:$D$3003,$B96,出库明细!$B$4:$B$3003,"&gt;="&amp;DATE(年度,3,1),出库明细!$B$4:$B$3003,"&lt;"&amp;DATE(年度,3+1,1)))</f>
        <v>0</v>
      </c>
      <c r="AL96" s="186">
        <f>AK96*AJ96</f>
        <v>0</v>
      </c>
      <c r="AM96" s="220">
        <f>_辅助!BO94</f>
        <v>0</v>
      </c>
      <c r="AN96" s="186">
        <f>_辅助!AE94</f>
        <v>0</v>
      </c>
      <c r="AO96" s="221">
        <f>AH96-AK96-AM96</f>
        <v>0</v>
      </c>
      <c r="AP96" s="187">
        <f>AI96-AL96-AN96</f>
        <v>0</v>
      </c>
      <c r="AQ96" s="236">
        <f>IF(AND(AH96&gt;0,AI96&gt;0),0,AL96)</f>
        <v>0</v>
      </c>
      <c r="AR96" s="220">
        <f>IF($B96="",0,SUMIFS(采购进货!$E$4:$E$1503,采购进货!$D$4:$D$1503,$B96,采购进货!$B$4:$B$1503,"&gt;="&amp;DATE(年度,4,1),采购进货!$B$4:$B$1503,"&lt;"&amp;DATE(年度,4+1,1))+SUMIFS(采购进货!$H$4:$H$1503,采购进货!$D$4:$D$1503,$B96,采购进货!$B$4:$B$1503,"&gt;="&amp;DATE(年度,4,1),采购进货!$B$4:$B$1503,"&lt;"&amp;DATE(年度,4+1,1)))</f>
        <v>0</v>
      </c>
      <c r="AS96" s="186">
        <f>IF($B96="",0,SUMIFS(采购进货!$G$4:$G$1503,采购进货!$D$4:$D$1503,$B96,采购进货!$B$4:$B$1503,"&gt;="&amp;DATE(年度,4,1),采购进货!$B$4:$B$1503,"&lt;"&amp;DATE(年度,4+1,1)))</f>
        <v>0</v>
      </c>
      <c r="AT96" s="234">
        <f>AO96+AR96</f>
        <v>0</v>
      </c>
      <c r="AU96" s="235">
        <f>AP96+AS96</f>
        <v>0</v>
      </c>
      <c r="AV96" s="222">
        <f>IF(AND(AT96&gt;0,AU96&gt;0),AU96/AT96,N($E96))</f>
        <v>0</v>
      </c>
      <c r="AW96" s="220">
        <f>IF($B96="",0,SUMIFS(出库明细!$E$4:$E$3003,出库明细!$D$4:$D$3003,$B96,出库明细!$B$4:$B$3003,"&gt;="&amp;DATE(年度,4,1),出库明细!$B$4:$B$3003,"&lt;"&amp;DATE(年度,4+1,1)))</f>
        <v>0</v>
      </c>
      <c r="AX96" s="186">
        <f>AW96*AV96</f>
        <v>0</v>
      </c>
      <c r="AY96" s="220">
        <f>_辅助!BP94</f>
        <v>0</v>
      </c>
      <c r="AZ96" s="186">
        <f>_辅助!AF94</f>
        <v>0</v>
      </c>
      <c r="BA96" s="221">
        <f>AT96-AW96-AY96</f>
        <v>0</v>
      </c>
      <c r="BB96" s="187">
        <f>AU96-AX96-AZ96</f>
        <v>0</v>
      </c>
      <c r="BC96" s="236">
        <f>IF(AND(AT96&gt;0,AU96&gt;0),0,AX96)</f>
        <v>0</v>
      </c>
      <c r="BD96" s="220">
        <f>IF($B96="",0,SUMIFS(采购进货!$E$4:$E$1503,采购进货!$D$4:$D$1503,$B96,采购进货!$B$4:$B$1503,"&gt;="&amp;DATE(年度,5,1),采购进货!$B$4:$B$1503,"&lt;"&amp;DATE(年度,5+1,1))+SUMIFS(采购进货!$H$4:$H$1503,采购进货!$D$4:$D$1503,$B96,采购进货!$B$4:$B$1503,"&gt;="&amp;DATE(年度,5,1),采购进货!$B$4:$B$1503,"&lt;"&amp;DATE(年度,5+1,1)))</f>
        <v>0</v>
      </c>
      <c r="BE96" s="186">
        <f>IF($B96="",0,SUMIFS(采购进货!$G$4:$G$1503,采购进货!$D$4:$D$1503,$B96,采购进货!$B$4:$B$1503,"&gt;="&amp;DATE(年度,5,1),采购进货!$B$4:$B$1503,"&lt;"&amp;DATE(年度,5+1,1)))</f>
        <v>0</v>
      </c>
      <c r="BF96" s="234">
        <f>BA96+BD96</f>
        <v>0</v>
      </c>
      <c r="BG96" s="235">
        <f>BB96+BE96</f>
        <v>0</v>
      </c>
      <c r="BH96" s="222">
        <f>IF(AND(BF96&gt;0,BG96&gt;0),BG96/BF96,N($E96))</f>
        <v>0</v>
      </c>
      <c r="BI96" s="220">
        <f>IF($B96="",0,SUMIFS(出库明细!$E$4:$E$3003,出库明细!$D$4:$D$3003,$B96,出库明细!$B$4:$B$3003,"&gt;="&amp;DATE(年度,5,1),出库明细!$B$4:$B$3003,"&lt;"&amp;DATE(年度,5+1,1)))</f>
        <v>0</v>
      </c>
      <c r="BJ96" s="186">
        <f>BI96*BH96</f>
        <v>0</v>
      </c>
      <c r="BK96" s="220">
        <f>_辅助!BQ94</f>
        <v>0</v>
      </c>
      <c r="BL96" s="186">
        <f>_辅助!AG94</f>
        <v>0</v>
      </c>
      <c r="BM96" s="221">
        <f>BF96-BI96-BK96</f>
        <v>0</v>
      </c>
      <c r="BN96" s="187">
        <f>BG96-BJ96-BL96</f>
        <v>0</v>
      </c>
      <c r="BO96" s="236">
        <f>IF(AND(BF96&gt;0,BG96&gt;0),0,BJ96)</f>
        <v>0</v>
      </c>
      <c r="BP96" s="220">
        <f>IF($B96="",0,SUMIFS(采购进货!$E$4:$E$1503,采购进货!$D$4:$D$1503,$B96,采购进货!$B$4:$B$1503,"&gt;="&amp;DATE(年度,6,1),采购进货!$B$4:$B$1503,"&lt;"&amp;DATE(年度,6+1,1))+SUMIFS(采购进货!$H$4:$H$1503,采购进货!$D$4:$D$1503,$B96,采购进货!$B$4:$B$1503,"&gt;="&amp;DATE(年度,6,1),采购进货!$B$4:$B$1503,"&lt;"&amp;DATE(年度,6+1,1)))</f>
        <v>0</v>
      </c>
      <c r="BQ96" s="186">
        <f>IF($B96="",0,SUMIFS(采购进货!$G$4:$G$1503,采购进货!$D$4:$D$1503,$B96,采购进货!$B$4:$B$1503,"&gt;="&amp;DATE(年度,6,1),采购进货!$B$4:$B$1503,"&lt;"&amp;DATE(年度,6+1,1)))</f>
        <v>0</v>
      </c>
      <c r="BR96" s="234">
        <f>BM96+BP96</f>
        <v>0</v>
      </c>
      <c r="BS96" s="235">
        <f>BN96+BQ96</f>
        <v>0</v>
      </c>
      <c r="BT96" s="222">
        <f>IF(AND(BR96&gt;0,BS96&gt;0),BS96/BR96,N($E96))</f>
        <v>0</v>
      </c>
      <c r="BU96" s="220">
        <f>IF($B96="",0,SUMIFS(出库明细!$E$4:$E$3003,出库明细!$D$4:$D$3003,$B96,出库明细!$B$4:$B$3003,"&gt;="&amp;DATE(年度,6,1),出库明细!$B$4:$B$3003,"&lt;"&amp;DATE(年度,6+1,1)))</f>
        <v>0</v>
      </c>
      <c r="BV96" s="186">
        <f>BU96*BT96</f>
        <v>0</v>
      </c>
      <c r="BW96" s="220">
        <f>_辅助!BR94</f>
        <v>0</v>
      </c>
      <c r="BX96" s="186">
        <f>_辅助!AH94</f>
        <v>0</v>
      </c>
      <c r="BY96" s="221">
        <f>BR96-BU96-BW96</f>
        <v>0</v>
      </c>
      <c r="BZ96" s="187">
        <f>BS96-BV96-BX96</f>
        <v>0</v>
      </c>
      <c r="CA96" s="236">
        <f>IF(AND(BR96&gt;0,BS96&gt;0),0,BV96)</f>
        <v>0</v>
      </c>
      <c r="CB96" s="220">
        <f>IF($B96="",0,SUMIFS(采购进货!$E$4:$E$1503,采购进货!$D$4:$D$1503,$B96,采购进货!$B$4:$B$1503,"&gt;="&amp;DATE(年度,7,1),采购进货!$B$4:$B$1503,"&lt;"&amp;DATE(年度,7+1,1))+SUMIFS(采购进货!$H$4:$H$1503,采购进货!$D$4:$D$1503,$B96,采购进货!$B$4:$B$1503,"&gt;="&amp;DATE(年度,7,1),采购进货!$B$4:$B$1503,"&lt;"&amp;DATE(年度,7+1,1)))</f>
        <v>0</v>
      </c>
      <c r="CC96" s="186">
        <f>IF($B96="",0,SUMIFS(采购进货!$G$4:$G$1503,采购进货!$D$4:$D$1503,$B96,采购进货!$B$4:$B$1503,"&gt;="&amp;DATE(年度,7,1),采购进货!$B$4:$B$1503,"&lt;"&amp;DATE(年度,7+1,1)))</f>
        <v>0</v>
      </c>
      <c r="CD96" s="234">
        <f>BY96+CB96</f>
        <v>0</v>
      </c>
      <c r="CE96" s="235">
        <f>BZ96+CC96</f>
        <v>0</v>
      </c>
      <c r="CF96" s="222">
        <f>IF(AND(CD96&gt;0,CE96&gt;0),CE96/CD96,N($E96))</f>
        <v>0</v>
      </c>
      <c r="CG96" s="220">
        <f>IF($B96="",0,SUMIFS(出库明细!$E$4:$E$3003,出库明细!$D$4:$D$3003,$B96,出库明细!$B$4:$B$3003,"&gt;="&amp;DATE(年度,7,1),出库明细!$B$4:$B$3003,"&lt;"&amp;DATE(年度,7+1,1)))</f>
        <v>0</v>
      </c>
      <c r="CH96" s="186">
        <f>CG96*CF96</f>
        <v>0</v>
      </c>
      <c r="CI96" s="220">
        <f>_辅助!BS94</f>
        <v>0</v>
      </c>
      <c r="CJ96" s="186">
        <f>_辅助!AI94</f>
        <v>0</v>
      </c>
      <c r="CK96" s="221">
        <f>CD96-CG96-CI96</f>
        <v>0</v>
      </c>
      <c r="CL96" s="187">
        <f>CE96-CH96-CJ96</f>
        <v>0</v>
      </c>
      <c r="CM96" s="236">
        <f>IF(AND(CD96&gt;0,CE96&gt;0),0,CH96)</f>
        <v>0</v>
      </c>
      <c r="CN96" s="220">
        <f>IF($B96="",0,SUMIFS(采购进货!$E$4:$E$1503,采购进货!$D$4:$D$1503,$B96,采购进货!$B$4:$B$1503,"&gt;="&amp;DATE(年度,8,1),采购进货!$B$4:$B$1503,"&lt;"&amp;DATE(年度,8+1,1))+SUMIFS(采购进货!$H$4:$H$1503,采购进货!$D$4:$D$1503,$B96,采购进货!$B$4:$B$1503,"&gt;="&amp;DATE(年度,8,1),采购进货!$B$4:$B$1503,"&lt;"&amp;DATE(年度,8+1,1)))</f>
        <v>0</v>
      </c>
      <c r="CO96" s="186">
        <f>IF($B96="",0,SUMIFS(采购进货!$G$4:$G$1503,采购进货!$D$4:$D$1503,$B96,采购进货!$B$4:$B$1503,"&gt;="&amp;DATE(年度,8,1),采购进货!$B$4:$B$1503,"&lt;"&amp;DATE(年度,8+1,1)))</f>
        <v>0</v>
      </c>
      <c r="CP96" s="234">
        <f>CK96+CN96</f>
        <v>0</v>
      </c>
      <c r="CQ96" s="235">
        <f>CL96+CO96</f>
        <v>0</v>
      </c>
      <c r="CR96" s="222">
        <f>IF(AND(CP96&gt;0,CQ96&gt;0),CQ96/CP96,N($E96))</f>
        <v>0</v>
      </c>
      <c r="CS96" s="220">
        <f>IF($B96="",0,SUMIFS(出库明细!$E$4:$E$3003,出库明细!$D$4:$D$3003,$B96,出库明细!$B$4:$B$3003,"&gt;="&amp;DATE(年度,8,1),出库明细!$B$4:$B$3003,"&lt;"&amp;DATE(年度,8+1,1)))</f>
        <v>0</v>
      </c>
      <c r="CT96" s="186">
        <f>CS96*CR96</f>
        <v>0</v>
      </c>
      <c r="CU96" s="220">
        <f>_辅助!BT94</f>
        <v>0</v>
      </c>
      <c r="CV96" s="186">
        <f>_辅助!AJ94</f>
        <v>0</v>
      </c>
      <c r="CW96" s="221">
        <f>CP96-CS96-CU96</f>
        <v>0</v>
      </c>
      <c r="CX96" s="187">
        <f>CQ96-CT96-CV96</f>
        <v>0</v>
      </c>
      <c r="CY96" s="236">
        <f>IF(AND(CP96&gt;0,CQ96&gt;0),0,CT96)</f>
        <v>0</v>
      </c>
      <c r="CZ96" s="220">
        <f>IF($B96="",0,SUMIFS(采购进货!$E$4:$E$1503,采购进货!$D$4:$D$1503,$B96,采购进货!$B$4:$B$1503,"&gt;="&amp;DATE(年度,9,1),采购进货!$B$4:$B$1503,"&lt;"&amp;DATE(年度,9+1,1))+SUMIFS(采购进货!$H$4:$H$1503,采购进货!$D$4:$D$1503,$B96,采购进货!$B$4:$B$1503,"&gt;="&amp;DATE(年度,9,1),采购进货!$B$4:$B$1503,"&lt;"&amp;DATE(年度,9+1,1)))</f>
        <v>0</v>
      </c>
      <c r="DA96" s="186">
        <f>IF($B96="",0,SUMIFS(采购进货!$G$4:$G$1503,采购进货!$D$4:$D$1503,$B96,采购进货!$B$4:$B$1503,"&gt;="&amp;DATE(年度,9,1),采购进货!$B$4:$B$1503,"&lt;"&amp;DATE(年度,9+1,1)))</f>
        <v>0</v>
      </c>
      <c r="DB96" s="234">
        <f>CW96+CZ96</f>
        <v>0</v>
      </c>
      <c r="DC96" s="235">
        <f>CX96+DA96</f>
        <v>0</v>
      </c>
      <c r="DD96" s="222">
        <f>IF(AND(DB96&gt;0,DC96&gt;0),DC96/DB96,N($E96))</f>
        <v>0</v>
      </c>
      <c r="DE96" s="220">
        <f>IF($B96="",0,SUMIFS(出库明细!$E$4:$E$3003,出库明细!$D$4:$D$3003,$B96,出库明细!$B$4:$B$3003,"&gt;="&amp;DATE(年度,9,1),出库明细!$B$4:$B$3003,"&lt;"&amp;DATE(年度,9+1,1)))</f>
        <v>0</v>
      </c>
      <c r="DF96" s="186">
        <f>DE96*DD96</f>
        <v>0</v>
      </c>
      <c r="DG96" s="220">
        <f>_辅助!BU94</f>
        <v>0</v>
      </c>
      <c r="DH96" s="186">
        <f>_辅助!AK94</f>
        <v>0</v>
      </c>
      <c r="DI96" s="221">
        <f>DB96-DE96-DG96</f>
        <v>0</v>
      </c>
      <c r="DJ96" s="187">
        <f>DC96-DF96-DH96</f>
        <v>0</v>
      </c>
      <c r="DK96" s="236">
        <f>IF(AND(DB96&gt;0,DC96&gt;0),0,DF96)</f>
        <v>0</v>
      </c>
      <c r="DL96" s="220">
        <f>IF($B96="",0,SUMIFS(采购进货!$E$4:$E$1503,采购进货!$D$4:$D$1503,$B96,采购进货!$B$4:$B$1503,"&gt;="&amp;DATE(年度,10,1),采购进货!$B$4:$B$1503,"&lt;"&amp;DATE(年度,10+1,1))+SUMIFS(采购进货!$H$4:$H$1503,采购进货!$D$4:$D$1503,$B96,采购进货!$B$4:$B$1503,"&gt;="&amp;DATE(年度,10,1),采购进货!$B$4:$B$1503,"&lt;"&amp;DATE(年度,10+1,1)))</f>
        <v>0</v>
      </c>
      <c r="DM96" s="186">
        <f>IF($B96="",0,SUMIFS(采购进货!$G$4:$G$1503,采购进货!$D$4:$D$1503,$B96,采购进货!$B$4:$B$1503,"&gt;="&amp;DATE(年度,10,1),采购进货!$B$4:$B$1503,"&lt;"&amp;DATE(年度,10+1,1)))</f>
        <v>0</v>
      </c>
      <c r="DN96" s="234">
        <f>DI96+DL96</f>
        <v>0</v>
      </c>
      <c r="DO96" s="235">
        <f>DJ96+DM96</f>
        <v>0</v>
      </c>
      <c r="DP96" s="222">
        <f>IF(AND(DN96&gt;0,DO96&gt;0),DO96/DN96,N($E96))</f>
        <v>0</v>
      </c>
      <c r="DQ96" s="220">
        <f>IF($B96="",0,SUMIFS(出库明细!$E$4:$E$3003,出库明细!$D$4:$D$3003,$B96,出库明细!$B$4:$B$3003,"&gt;="&amp;DATE(年度,10,1),出库明细!$B$4:$B$3003,"&lt;"&amp;DATE(年度,10+1,1)))</f>
        <v>0</v>
      </c>
      <c r="DR96" s="186">
        <f>DQ96*DP96</f>
        <v>0</v>
      </c>
      <c r="DS96" s="220">
        <f>_辅助!BV94</f>
        <v>0</v>
      </c>
      <c r="DT96" s="186">
        <f>_辅助!AL94</f>
        <v>0</v>
      </c>
      <c r="DU96" s="221">
        <f>DN96-DQ96-DS96</f>
        <v>0</v>
      </c>
      <c r="DV96" s="187">
        <f>DO96-DR96-DT96</f>
        <v>0</v>
      </c>
      <c r="DW96" s="236">
        <f>IF(AND(DN96&gt;0,DO96&gt;0),0,DR96)</f>
        <v>0</v>
      </c>
      <c r="DX96" s="220">
        <f>IF($B96="",0,SUMIFS(采购进货!$E$4:$E$1503,采购进货!$D$4:$D$1503,$B96,采购进货!$B$4:$B$1503,"&gt;="&amp;DATE(年度,11,1),采购进货!$B$4:$B$1503,"&lt;"&amp;DATE(年度,11+1,1))+SUMIFS(采购进货!$H$4:$H$1503,采购进货!$D$4:$D$1503,$B96,采购进货!$B$4:$B$1503,"&gt;="&amp;DATE(年度,11,1),采购进货!$B$4:$B$1503,"&lt;"&amp;DATE(年度,11+1,1)))</f>
        <v>0</v>
      </c>
      <c r="DY96" s="186">
        <f>IF($B96="",0,SUMIFS(采购进货!$G$4:$G$1503,采购进货!$D$4:$D$1503,$B96,采购进货!$B$4:$B$1503,"&gt;="&amp;DATE(年度,11,1),采购进货!$B$4:$B$1503,"&lt;"&amp;DATE(年度,11+1,1)))</f>
        <v>0</v>
      </c>
      <c r="DZ96" s="234">
        <f>DU96+DX96</f>
        <v>0</v>
      </c>
      <c r="EA96" s="235">
        <f>DV96+DY96</f>
        <v>0</v>
      </c>
      <c r="EB96" s="222">
        <f>IF(AND(DZ96&gt;0,EA96&gt;0),EA96/DZ96,N($E96))</f>
        <v>0</v>
      </c>
      <c r="EC96" s="220">
        <f>IF($B96="",0,SUMIFS(出库明细!$E$4:$E$3003,出库明细!$D$4:$D$3003,$B96,出库明细!$B$4:$B$3003,"&gt;="&amp;DATE(年度,11,1),出库明细!$B$4:$B$3003,"&lt;"&amp;DATE(年度,11+1,1)))</f>
        <v>0</v>
      </c>
      <c r="ED96" s="186">
        <f>EC96*EB96</f>
        <v>0</v>
      </c>
      <c r="EE96" s="220">
        <f>_辅助!BW94</f>
        <v>0</v>
      </c>
      <c r="EF96" s="186">
        <f>_辅助!AM94</f>
        <v>0</v>
      </c>
      <c r="EG96" s="221">
        <f>DZ96-EC96-EE96</f>
        <v>0</v>
      </c>
      <c r="EH96" s="187">
        <f>EA96-ED96-EF96</f>
        <v>0</v>
      </c>
      <c r="EI96" s="236">
        <f>IF(AND(DZ96&gt;0,EA96&gt;0),0,ED96)</f>
        <v>0</v>
      </c>
      <c r="EJ96" s="220">
        <f>IF($B96="",0,SUMIFS(采购进货!$E$4:$E$1503,采购进货!$D$4:$D$1503,$B96,采购进货!$B$4:$B$1503,"&gt;="&amp;DATE(年度,12,1),采购进货!$B$4:$B$1503,"&lt;"&amp;DATE(年度,12+1,1))+SUMIFS(采购进货!$H$4:$H$1503,采购进货!$D$4:$D$1503,$B96,采购进货!$B$4:$B$1503,"&gt;="&amp;DATE(年度,12,1),采购进货!$B$4:$B$1503,"&lt;"&amp;DATE(年度,12+1,1)))</f>
        <v>0</v>
      </c>
      <c r="EK96" s="186">
        <f>IF($B96="",0,SUMIFS(采购进货!$G$4:$G$1503,采购进货!$D$4:$D$1503,$B96,采购进货!$B$4:$B$1503,"&gt;="&amp;DATE(年度,12,1),采购进货!$B$4:$B$1503,"&lt;"&amp;DATE(年度,12+1,1)))</f>
        <v>0</v>
      </c>
      <c r="EL96" s="234">
        <f>EG96+EJ96</f>
        <v>0</v>
      </c>
      <c r="EM96" s="235">
        <f>EH96+EK96</f>
        <v>0</v>
      </c>
      <c r="EN96" s="222">
        <f>IF(AND(EL96&gt;0,EM96&gt;0),EM96/EL96,N($E96))</f>
        <v>0</v>
      </c>
      <c r="EO96" s="220">
        <f>IF($B96="",0,SUMIFS(出库明细!$E$4:$E$3003,出库明细!$D$4:$D$3003,$B96,出库明细!$B$4:$B$3003,"&gt;="&amp;DATE(年度,12,1),出库明细!$B$4:$B$3003,"&lt;"&amp;DATE(年度,12+1,1)))</f>
        <v>0</v>
      </c>
      <c r="EP96" s="186">
        <f>EO96*EN96</f>
        <v>0</v>
      </c>
      <c r="EQ96" s="220">
        <f>_辅助!BX94</f>
        <v>0</v>
      </c>
      <c r="ER96" s="186">
        <f>_辅助!AN94</f>
        <v>0</v>
      </c>
      <c r="ES96" s="221">
        <f>EL96-EO96-EQ96</f>
        <v>0</v>
      </c>
      <c r="ET96" s="187">
        <f>EM96-EP96-ER96</f>
        <v>0</v>
      </c>
      <c r="EU96" s="236">
        <f>IF(AND(EL96&gt;0,EM96&gt;0),0,EP96)</f>
        <v>0</v>
      </c>
    </row>
    <row r="97">
      <c r="A97" s="194">
        <f>IF(B97="","",ROW()-7)</f>
      </c>
      <c r="B97" s="141">
        <f>IF(基础资料!E94="","",基础资料!E94&amp;"")</f>
      </c>
      <c r="C97" s="230">
        <f>IF(基础资料!G94="","",基础资料!G94&amp;"")</f>
      </c>
      <c r="D97" s="194">
        <f>IF(基础资料!I94="","",基础资料!I94)</f>
      </c>
      <c r="E97" s="231">
        <f>IF(基础资料!J94="","",基础资料!J94)</f>
      </c>
      <c r="F97" s="232">
        <f>N(基础资料!L94)</f>
        <v>0</v>
      </c>
      <c r="G97" s="233">
        <f>IF(基础资料!N94="",0,基础资料!N94)</f>
        <v>0</v>
      </c>
      <c r="H97" s="220">
        <f>IF($B97="",0,SUMIFS(采购进货!$E$4:$E$1503,采购进货!$D$4:$D$1503,$B97,采购进货!$B$4:$B$1503,"&gt;="&amp;DATE(年度,1,1),采购进货!$B$4:$B$1503,"&lt;"&amp;DATE(年度,1+1,1))+SUMIFS(采购进货!$H$4:$H$1503,采购进货!$D$4:$D$1503,$B97,采购进货!$B$4:$B$1503,"&gt;="&amp;DATE(年度,1,1),采购进货!$B$4:$B$1503,"&lt;"&amp;DATE(年度,1+1,1)))</f>
        <v>0</v>
      </c>
      <c r="I97" s="186">
        <f>IF($B97="",0,SUMIFS(采购进货!$G$4:$G$1503,采购进货!$D$4:$D$1503,$B97,采购进货!$B$4:$B$1503,"&gt;="&amp;DATE(年度,1,1),采购进货!$B$4:$B$1503,"&lt;"&amp;DATE(年度,1+1,1)))</f>
        <v>0</v>
      </c>
      <c r="J97" s="234">
        <f>F97+H97</f>
        <v>0</v>
      </c>
      <c r="K97" s="235">
        <f>G97+I97</f>
        <v>0</v>
      </c>
      <c r="L97" s="222">
        <f>IF(AND(J97&gt;0,K97&gt;0),K97/J97,N($E97))</f>
        <v>0</v>
      </c>
      <c r="M97" s="220">
        <f>IF($B97="",0,SUMIFS(出库明细!$E$4:$E$3003,出库明细!$D$4:$D$3003,$B97,出库明细!$B$4:$B$3003,"&gt;="&amp;DATE(年度,1,1),出库明细!$B$4:$B$3003,"&lt;"&amp;DATE(年度,1+1,1)))</f>
        <v>0</v>
      </c>
      <c r="N97" s="186">
        <f>M97*L97</f>
        <v>0</v>
      </c>
      <c r="O97" s="220">
        <f>_辅助!BM95</f>
        <v>0</v>
      </c>
      <c r="P97" s="186">
        <f>_辅助!AC95</f>
        <v>0</v>
      </c>
      <c r="Q97" s="221">
        <f>J97-M97-O97</f>
        <v>0</v>
      </c>
      <c r="R97" s="187">
        <f>K97-N97-P97</f>
        <v>0</v>
      </c>
      <c r="S97" s="236">
        <f>IF(AND(J97&gt;0,K97&gt;0),0,N97)</f>
        <v>0</v>
      </c>
      <c r="T97" s="220">
        <f>IF($B97="",0,SUMIFS(采购进货!$E$4:$E$1503,采购进货!$D$4:$D$1503,$B97,采购进货!$B$4:$B$1503,"&gt;="&amp;DATE(年度,2,1),采购进货!$B$4:$B$1503,"&lt;"&amp;DATE(年度,2+1,1))+SUMIFS(采购进货!$H$4:$H$1503,采购进货!$D$4:$D$1503,$B97,采购进货!$B$4:$B$1503,"&gt;="&amp;DATE(年度,2,1),采购进货!$B$4:$B$1503,"&lt;"&amp;DATE(年度,2+1,1)))</f>
        <v>0</v>
      </c>
      <c r="U97" s="186">
        <f>IF($B97="",0,SUMIFS(采购进货!$G$4:$G$1503,采购进货!$D$4:$D$1503,$B97,采购进货!$B$4:$B$1503,"&gt;="&amp;DATE(年度,2,1),采购进货!$B$4:$B$1503,"&lt;"&amp;DATE(年度,2+1,1)))</f>
        <v>0</v>
      </c>
      <c r="V97" s="234">
        <f>Q97+T97</f>
        <v>0</v>
      </c>
      <c r="W97" s="235">
        <f>R97+U97</f>
        <v>0</v>
      </c>
      <c r="X97" s="222">
        <f>IF(AND(V97&gt;0,W97&gt;0),W97/V97,N($E97))</f>
        <v>0</v>
      </c>
      <c r="Y97" s="220">
        <f>IF($B97="",0,SUMIFS(出库明细!$E$4:$E$3003,出库明细!$D$4:$D$3003,$B97,出库明细!$B$4:$B$3003,"&gt;="&amp;DATE(年度,2,1),出库明细!$B$4:$B$3003,"&lt;"&amp;DATE(年度,2+1,1)))</f>
        <v>0</v>
      </c>
      <c r="Z97" s="186">
        <f>Y97*X97</f>
        <v>0</v>
      </c>
      <c r="AA97" s="220">
        <f>_辅助!BN95</f>
        <v>0</v>
      </c>
      <c r="AB97" s="186">
        <f>_辅助!AD95</f>
        <v>0</v>
      </c>
      <c r="AC97" s="221">
        <f>V97-Y97-AA97</f>
        <v>0</v>
      </c>
      <c r="AD97" s="187">
        <f>W97-Z97-AB97</f>
        <v>0</v>
      </c>
      <c r="AE97" s="236">
        <f>IF(AND(V97&gt;0,W97&gt;0),0,Z97)</f>
        <v>0</v>
      </c>
      <c r="AF97" s="220">
        <f>IF($B97="",0,SUMIFS(采购进货!$E$4:$E$1503,采购进货!$D$4:$D$1503,$B97,采购进货!$B$4:$B$1503,"&gt;="&amp;DATE(年度,3,1),采购进货!$B$4:$B$1503,"&lt;"&amp;DATE(年度,3+1,1))+SUMIFS(采购进货!$H$4:$H$1503,采购进货!$D$4:$D$1503,$B97,采购进货!$B$4:$B$1503,"&gt;="&amp;DATE(年度,3,1),采购进货!$B$4:$B$1503,"&lt;"&amp;DATE(年度,3+1,1)))</f>
        <v>0</v>
      </c>
      <c r="AG97" s="186">
        <f>IF($B97="",0,SUMIFS(采购进货!$G$4:$G$1503,采购进货!$D$4:$D$1503,$B97,采购进货!$B$4:$B$1503,"&gt;="&amp;DATE(年度,3,1),采购进货!$B$4:$B$1503,"&lt;"&amp;DATE(年度,3+1,1)))</f>
        <v>0</v>
      </c>
      <c r="AH97" s="234">
        <f>AC97+AF97</f>
        <v>0</v>
      </c>
      <c r="AI97" s="235">
        <f>AD97+AG97</f>
        <v>0</v>
      </c>
      <c r="AJ97" s="222">
        <f>IF(AND(AH97&gt;0,AI97&gt;0),AI97/AH97,N($E97))</f>
        <v>0</v>
      </c>
      <c r="AK97" s="220">
        <f>IF($B97="",0,SUMIFS(出库明细!$E$4:$E$3003,出库明细!$D$4:$D$3003,$B97,出库明细!$B$4:$B$3003,"&gt;="&amp;DATE(年度,3,1),出库明细!$B$4:$B$3003,"&lt;"&amp;DATE(年度,3+1,1)))</f>
        <v>0</v>
      </c>
      <c r="AL97" s="186">
        <f>AK97*AJ97</f>
        <v>0</v>
      </c>
      <c r="AM97" s="220">
        <f>_辅助!BO95</f>
        <v>0</v>
      </c>
      <c r="AN97" s="186">
        <f>_辅助!AE95</f>
        <v>0</v>
      </c>
      <c r="AO97" s="221">
        <f>AH97-AK97-AM97</f>
        <v>0</v>
      </c>
      <c r="AP97" s="187">
        <f>AI97-AL97-AN97</f>
        <v>0</v>
      </c>
      <c r="AQ97" s="236">
        <f>IF(AND(AH97&gt;0,AI97&gt;0),0,AL97)</f>
        <v>0</v>
      </c>
      <c r="AR97" s="220">
        <f>IF($B97="",0,SUMIFS(采购进货!$E$4:$E$1503,采购进货!$D$4:$D$1503,$B97,采购进货!$B$4:$B$1503,"&gt;="&amp;DATE(年度,4,1),采购进货!$B$4:$B$1503,"&lt;"&amp;DATE(年度,4+1,1))+SUMIFS(采购进货!$H$4:$H$1503,采购进货!$D$4:$D$1503,$B97,采购进货!$B$4:$B$1503,"&gt;="&amp;DATE(年度,4,1),采购进货!$B$4:$B$1503,"&lt;"&amp;DATE(年度,4+1,1)))</f>
        <v>0</v>
      </c>
      <c r="AS97" s="186">
        <f>IF($B97="",0,SUMIFS(采购进货!$G$4:$G$1503,采购进货!$D$4:$D$1503,$B97,采购进货!$B$4:$B$1503,"&gt;="&amp;DATE(年度,4,1),采购进货!$B$4:$B$1503,"&lt;"&amp;DATE(年度,4+1,1)))</f>
        <v>0</v>
      </c>
      <c r="AT97" s="234">
        <f>AO97+AR97</f>
        <v>0</v>
      </c>
      <c r="AU97" s="235">
        <f>AP97+AS97</f>
        <v>0</v>
      </c>
      <c r="AV97" s="222">
        <f>IF(AND(AT97&gt;0,AU97&gt;0),AU97/AT97,N($E97))</f>
        <v>0</v>
      </c>
      <c r="AW97" s="220">
        <f>IF($B97="",0,SUMIFS(出库明细!$E$4:$E$3003,出库明细!$D$4:$D$3003,$B97,出库明细!$B$4:$B$3003,"&gt;="&amp;DATE(年度,4,1),出库明细!$B$4:$B$3003,"&lt;"&amp;DATE(年度,4+1,1)))</f>
        <v>0</v>
      </c>
      <c r="AX97" s="186">
        <f>AW97*AV97</f>
        <v>0</v>
      </c>
      <c r="AY97" s="220">
        <f>_辅助!BP95</f>
        <v>0</v>
      </c>
      <c r="AZ97" s="186">
        <f>_辅助!AF95</f>
        <v>0</v>
      </c>
      <c r="BA97" s="221">
        <f>AT97-AW97-AY97</f>
        <v>0</v>
      </c>
      <c r="BB97" s="187">
        <f>AU97-AX97-AZ97</f>
        <v>0</v>
      </c>
      <c r="BC97" s="236">
        <f>IF(AND(AT97&gt;0,AU97&gt;0),0,AX97)</f>
        <v>0</v>
      </c>
      <c r="BD97" s="220">
        <f>IF($B97="",0,SUMIFS(采购进货!$E$4:$E$1503,采购进货!$D$4:$D$1503,$B97,采购进货!$B$4:$B$1503,"&gt;="&amp;DATE(年度,5,1),采购进货!$B$4:$B$1503,"&lt;"&amp;DATE(年度,5+1,1))+SUMIFS(采购进货!$H$4:$H$1503,采购进货!$D$4:$D$1503,$B97,采购进货!$B$4:$B$1503,"&gt;="&amp;DATE(年度,5,1),采购进货!$B$4:$B$1503,"&lt;"&amp;DATE(年度,5+1,1)))</f>
        <v>0</v>
      </c>
      <c r="BE97" s="186">
        <f>IF($B97="",0,SUMIFS(采购进货!$G$4:$G$1503,采购进货!$D$4:$D$1503,$B97,采购进货!$B$4:$B$1503,"&gt;="&amp;DATE(年度,5,1),采购进货!$B$4:$B$1503,"&lt;"&amp;DATE(年度,5+1,1)))</f>
        <v>0</v>
      </c>
      <c r="BF97" s="234">
        <f>BA97+BD97</f>
        <v>0</v>
      </c>
      <c r="BG97" s="235">
        <f>BB97+BE97</f>
        <v>0</v>
      </c>
      <c r="BH97" s="222">
        <f>IF(AND(BF97&gt;0,BG97&gt;0),BG97/BF97,N($E97))</f>
        <v>0</v>
      </c>
      <c r="BI97" s="220">
        <f>IF($B97="",0,SUMIFS(出库明细!$E$4:$E$3003,出库明细!$D$4:$D$3003,$B97,出库明细!$B$4:$B$3003,"&gt;="&amp;DATE(年度,5,1),出库明细!$B$4:$B$3003,"&lt;"&amp;DATE(年度,5+1,1)))</f>
        <v>0</v>
      </c>
      <c r="BJ97" s="186">
        <f>BI97*BH97</f>
        <v>0</v>
      </c>
      <c r="BK97" s="220">
        <f>_辅助!BQ95</f>
        <v>0</v>
      </c>
      <c r="BL97" s="186">
        <f>_辅助!AG95</f>
        <v>0</v>
      </c>
      <c r="BM97" s="221">
        <f>BF97-BI97-BK97</f>
        <v>0</v>
      </c>
      <c r="BN97" s="187">
        <f>BG97-BJ97-BL97</f>
        <v>0</v>
      </c>
      <c r="BO97" s="236">
        <f>IF(AND(BF97&gt;0,BG97&gt;0),0,BJ97)</f>
        <v>0</v>
      </c>
      <c r="BP97" s="220">
        <f>IF($B97="",0,SUMIFS(采购进货!$E$4:$E$1503,采购进货!$D$4:$D$1503,$B97,采购进货!$B$4:$B$1503,"&gt;="&amp;DATE(年度,6,1),采购进货!$B$4:$B$1503,"&lt;"&amp;DATE(年度,6+1,1))+SUMIFS(采购进货!$H$4:$H$1503,采购进货!$D$4:$D$1503,$B97,采购进货!$B$4:$B$1503,"&gt;="&amp;DATE(年度,6,1),采购进货!$B$4:$B$1503,"&lt;"&amp;DATE(年度,6+1,1)))</f>
        <v>0</v>
      </c>
      <c r="BQ97" s="186">
        <f>IF($B97="",0,SUMIFS(采购进货!$G$4:$G$1503,采购进货!$D$4:$D$1503,$B97,采购进货!$B$4:$B$1503,"&gt;="&amp;DATE(年度,6,1),采购进货!$B$4:$B$1503,"&lt;"&amp;DATE(年度,6+1,1)))</f>
        <v>0</v>
      </c>
      <c r="BR97" s="234">
        <f>BM97+BP97</f>
        <v>0</v>
      </c>
      <c r="BS97" s="235">
        <f>BN97+BQ97</f>
        <v>0</v>
      </c>
      <c r="BT97" s="222">
        <f>IF(AND(BR97&gt;0,BS97&gt;0),BS97/BR97,N($E97))</f>
        <v>0</v>
      </c>
      <c r="BU97" s="220">
        <f>IF($B97="",0,SUMIFS(出库明细!$E$4:$E$3003,出库明细!$D$4:$D$3003,$B97,出库明细!$B$4:$B$3003,"&gt;="&amp;DATE(年度,6,1),出库明细!$B$4:$B$3003,"&lt;"&amp;DATE(年度,6+1,1)))</f>
        <v>0</v>
      </c>
      <c r="BV97" s="186">
        <f>BU97*BT97</f>
        <v>0</v>
      </c>
      <c r="BW97" s="220">
        <f>_辅助!BR95</f>
        <v>0</v>
      </c>
      <c r="BX97" s="186">
        <f>_辅助!AH95</f>
        <v>0</v>
      </c>
      <c r="BY97" s="221">
        <f>BR97-BU97-BW97</f>
        <v>0</v>
      </c>
      <c r="BZ97" s="187">
        <f>BS97-BV97-BX97</f>
        <v>0</v>
      </c>
      <c r="CA97" s="236">
        <f>IF(AND(BR97&gt;0,BS97&gt;0),0,BV97)</f>
        <v>0</v>
      </c>
      <c r="CB97" s="220">
        <f>IF($B97="",0,SUMIFS(采购进货!$E$4:$E$1503,采购进货!$D$4:$D$1503,$B97,采购进货!$B$4:$B$1503,"&gt;="&amp;DATE(年度,7,1),采购进货!$B$4:$B$1503,"&lt;"&amp;DATE(年度,7+1,1))+SUMIFS(采购进货!$H$4:$H$1503,采购进货!$D$4:$D$1503,$B97,采购进货!$B$4:$B$1503,"&gt;="&amp;DATE(年度,7,1),采购进货!$B$4:$B$1503,"&lt;"&amp;DATE(年度,7+1,1)))</f>
        <v>0</v>
      </c>
      <c r="CC97" s="186">
        <f>IF($B97="",0,SUMIFS(采购进货!$G$4:$G$1503,采购进货!$D$4:$D$1503,$B97,采购进货!$B$4:$B$1503,"&gt;="&amp;DATE(年度,7,1),采购进货!$B$4:$B$1503,"&lt;"&amp;DATE(年度,7+1,1)))</f>
        <v>0</v>
      </c>
      <c r="CD97" s="234">
        <f>BY97+CB97</f>
        <v>0</v>
      </c>
      <c r="CE97" s="235">
        <f>BZ97+CC97</f>
        <v>0</v>
      </c>
      <c r="CF97" s="222">
        <f>IF(AND(CD97&gt;0,CE97&gt;0),CE97/CD97,N($E97))</f>
        <v>0</v>
      </c>
      <c r="CG97" s="220">
        <f>IF($B97="",0,SUMIFS(出库明细!$E$4:$E$3003,出库明细!$D$4:$D$3003,$B97,出库明细!$B$4:$B$3003,"&gt;="&amp;DATE(年度,7,1),出库明细!$B$4:$B$3003,"&lt;"&amp;DATE(年度,7+1,1)))</f>
        <v>0</v>
      </c>
      <c r="CH97" s="186">
        <f>CG97*CF97</f>
        <v>0</v>
      </c>
      <c r="CI97" s="220">
        <f>_辅助!BS95</f>
        <v>0</v>
      </c>
      <c r="CJ97" s="186">
        <f>_辅助!AI95</f>
        <v>0</v>
      </c>
      <c r="CK97" s="221">
        <f>CD97-CG97-CI97</f>
        <v>0</v>
      </c>
      <c r="CL97" s="187">
        <f>CE97-CH97-CJ97</f>
        <v>0</v>
      </c>
      <c r="CM97" s="236">
        <f>IF(AND(CD97&gt;0,CE97&gt;0),0,CH97)</f>
        <v>0</v>
      </c>
      <c r="CN97" s="220">
        <f>IF($B97="",0,SUMIFS(采购进货!$E$4:$E$1503,采购进货!$D$4:$D$1503,$B97,采购进货!$B$4:$B$1503,"&gt;="&amp;DATE(年度,8,1),采购进货!$B$4:$B$1503,"&lt;"&amp;DATE(年度,8+1,1))+SUMIFS(采购进货!$H$4:$H$1503,采购进货!$D$4:$D$1503,$B97,采购进货!$B$4:$B$1503,"&gt;="&amp;DATE(年度,8,1),采购进货!$B$4:$B$1503,"&lt;"&amp;DATE(年度,8+1,1)))</f>
        <v>0</v>
      </c>
      <c r="CO97" s="186">
        <f>IF($B97="",0,SUMIFS(采购进货!$G$4:$G$1503,采购进货!$D$4:$D$1503,$B97,采购进货!$B$4:$B$1503,"&gt;="&amp;DATE(年度,8,1),采购进货!$B$4:$B$1503,"&lt;"&amp;DATE(年度,8+1,1)))</f>
        <v>0</v>
      </c>
      <c r="CP97" s="234">
        <f>CK97+CN97</f>
        <v>0</v>
      </c>
      <c r="CQ97" s="235">
        <f>CL97+CO97</f>
        <v>0</v>
      </c>
      <c r="CR97" s="222">
        <f>IF(AND(CP97&gt;0,CQ97&gt;0),CQ97/CP97,N($E97))</f>
        <v>0</v>
      </c>
      <c r="CS97" s="220">
        <f>IF($B97="",0,SUMIFS(出库明细!$E$4:$E$3003,出库明细!$D$4:$D$3003,$B97,出库明细!$B$4:$B$3003,"&gt;="&amp;DATE(年度,8,1),出库明细!$B$4:$B$3003,"&lt;"&amp;DATE(年度,8+1,1)))</f>
        <v>0</v>
      </c>
      <c r="CT97" s="186">
        <f>CS97*CR97</f>
        <v>0</v>
      </c>
      <c r="CU97" s="220">
        <f>_辅助!BT95</f>
        <v>0</v>
      </c>
      <c r="CV97" s="186">
        <f>_辅助!AJ95</f>
        <v>0</v>
      </c>
      <c r="CW97" s="221">
        <f>CP97-CS97-CU97</f>
        <v>0</v>
      </c>
      <c r="CX97" s="187">
        <f>CQ97-CT97-CV97</f>
        <v>0</v>
      </c>
      <c r="CY97" s="236">
        <f>IF(AND(CP97&gt;0,CQ97&gt;0),0,CT97)</f>
        <v>0</v>
      </c>
      <c r="CZ97" s="220">
        <f>IF($B97="",0,SUMIFS(采购进货!$E$4:$E$1503,采购进货!$D$4:$D$1503,$B97,采购进货!$B$4:$B$1503,"&gt;="&amp;DATE(年度,9,1),采购进货!$B$4:$B$1503,"&lt;"&amp;DATE(年度,9+1,1))+SUMIFS(采购进货!$H$4:$H$1503,采购进货!$D$4:$D$1503,$B97,采购进货!$B$4:$B$1503,"&gt;="&amp;DATE(年度,9,1),采购进货!$B$4:$B$1503,"&lt;"&amp;DATE(年度,9+1,1)))</f>
        <v>0</v>
      </c>
      <c r="DA97" s="186">
        <f>IF($B97="",0,SUMIFS(采购进货!$G$4:$G$1503,采购进货!$D$4:$D$1503,$B97,采购进货!$B$4:$B$1503,"&gt;="&amp;DATE(年度,9,1),采购进货!$B$4:$B$1503,"&lt;"&amp;DATE(年度,9+1,1)))</f>
        <v>0</v>
      </c>
      <c r="DB97" s="234">
        <f>CW97+CZ97</f>
        <v>0</v>
      </c>
      <c r="DC97" s="235">
        <f>CX97+DA97</f>
        <v>0</v>
      </c>
      <c r="DD97" s="222">
        <f>IF(AND(DB97&gt;0,DC97&gt;0),DC97/DB97,N($E97))</f>
        <v>0</v>
      </c>
      <c r="DE97" s="220">
        <f>IF($B97="",0,SUMIFS(出库明细!$E$4:$E$3003,出库明细!$D$4:$D$3003,$B97,出库明细!$B$4:$B$3003,"&gt;="&amp;DATE(年度,9,1),出库明细!$B$4:$B$3003,"&lt;"&amp;DATE(年度,9+1,1)))</f>
        <v>0</v>
      </c>
      <c r="DF97" s="186">
        <f>DE97*DD97</f>
        <v>0</v>
      </c>
      <c r="DG97" s="220">
        <f>_辅助!BU95</f>
        <v>0</v>
      </c>
      <c r="DH97" s="186">
        <f>_辅助!AK95</f>
        <v>0</v>
      </c>
      <c r="DI97" s="221">
        <f>DB97-DE97-DG97</f>
        <v>0</v>
      </c>
      <c r="DJ97" s="187">
        <f>DC97-DF97-DH97</f>
        <v>0</v>
      </c>
      <c r="DK97" s="236">
        <f>IF(AND(DB97&gt;0,DC97&gt;0),0,DF97)</f>
        <v>0</v>
      </c>
      <c r="DL97" s="220">
        <f>IF($B97="",0,SUMIFS(采购进货!$E$4:$E$1503,采购进货!$D$4:$D$1503,$B97,采购进货!$B$4:$B$1503,"&gt;="&amp;DATE(年度,10,1),采购进货!$B$4:$B$1503,"&lt;"&amp;DATE(年度,10+1,1))+SUMIFS(采购进货!$H$4:$H$1503,采购进货!$D$4:$D$1503,$B97,采购进货!$B$4:$B$1503,"&gt;="&amp;DATE(年度,10,1),采购进货!$B$4:$B$1503,"&lt;"&amp;DATE(年度,10+1,1)))</f>
        <v>0</v>
      </c>
      <c r="DM97" s="186">
        <f>IF($B97="",0,SUMIFS(采购进货!$G$4:$G$1503,采购进货!$D$4:$D$1503,$B97,采购进货!$B$4:$B$1503,"&gt;="&amp;DATE(年度,10,1),采购进货!$B$4:$B$1503,"&lt;"&amp;DATE(年度,10+1,1)))</f>
        <v>0</v>
      </c>
      <c r="DN97" s="234">
        <f>DI97+DL97</f>
        <v>0</v>
      </c>
      <c r="DO97" s="235">
        <f>DJ97+DM97</f>
        <v>0</v>
      </c>
      <c r="DP97" s="222">
        <f>IF(AND(DN97&gt;0,DO97&gt;0),DO97/DN97,N($E97))</f>
        <v>0</v>
      </c>
      <c r="DQ97" s="220">
        <f>IF($B97="",0,SUMIFS(出库明细!$E$4:$E$3003,出库明细!$D$4:$D$3003,$B97,出库明细!$B$4:$B$3003,"&gt;="&amp;DATE(年度,10,1),出库明细!$B$4:$B$3003,"&lt;"&amp;DATE(年度,10+1,1)))</f>
        <v>0</v>
      </c>
      <c r="DR97" s="186">
        <f>DQ97*DP97</f>
        <v>0</v>
      </c>
      <c r="DS97" s="220">
        <f>_辅助!BV95</f>
        <v>0</v>
      </c>
      <c r="DT97" s="186">
        <f>_辅助!AL95</f>
        <v>0</v>
      </c>
      <c r="DU97" s="221">
        <f>DN97-DQ97-DS97</f>
        <v>0</v>
      </c>
      <c r="DV97" s="187">
        <f>DO97-DR97-DT97</f>
        <v>0</v>
      </c>
      <c r="DW97" s="236">
        <f>IF(AND(DN97&gt;0,DO97&gt;0),0,DR97)</f>
        <v>0</v>
      </c>
      <c r="DX97" s="220">
        <f>IF($B97="",0,SUMIFS(采购进货!$E$4:$E$1503,采购进货!$D$4:$D$1503,$B97,采购进货!$B$4:$B$1503,"&gt;="&amp;DATE(年度,11,1),采购进货!$B$4:$B$1503,"&lt;"&amp;DATE(年度,11+1,1))+SUMIFS(采购进货!$H$4:$H$1503,采购进货!$D$4:$D$1503,$B97,采购进货!$B$4:$B$1503,"&gt;="&amp;DATE(年度,11,1),采购进货!$B$4:$B$1503,"&lt;"&amp;DATE(年度,11+1,1)))</f>
        <v>0</v>
      </c>
      <c r="DY97" s="186">
        <f>IF($B97="",0,SUMIFS(采购进货!$G$4:$G$1503,采购进货!$D$4:$D$1503,$B97,采购进货!$B$4:$B$1503,"&gt;="&amp;DATE(年度,11,1),采购进货!$B$4:$B$1503,"&lt;"&amp;DATE(年度,11+1,1)))</f>
        <v>0</v>
      </c>
      <c r="DZ97" s="234">
        <f>DU97+DX97</f>
        <v>0</v>
      </c>
      <c r="EA97" s="235">
        <f>DV97+DY97</f>
        <v>0</v>
      </c>
      <c r="EB97" s="222">
        <f>IF(AND(DZ97&gt;0,EA97&gt;0),EA97/DZ97,N($E97))</f>
        <v>0</v>
      </c>
      <c r="EC97" s="220">
        <f>IF($B97="",0,SUMIFS(出库明细!$E$4:$E$3003,出库明细!$D$4:$D$3003,$B97,出库明细!$B$4:$B$3003,"&gt;="&amp;DATE(年度,11,1),出库明细!$B$4:$B$3003,"&lt;"&amp;DATE(年度,11+1,1)))</f>
        <v>0</v>
      </c>
      <c r="ED97" s="186">
        <f>EC97*EB97</f>
        <v>0</v>
      </c>
      <c r="EE97" s="220">
        <f>_辅助!BW95</f>
        <v>0</v>
      </c>
      <c r="EF97" s="186">
        <f>_辅助!AM95</f>
        <v>0</v>
      </c>
      <c r="EG97" s="221">
        <f>DZ97-EC97-EE97</f>
        <v>0</v>
      </c>
      <c r="EH97" s="187">
        <f>EA97-ED97-EF97</f>
        <v>0</v>
      </c>
      <c r="EI97" s="236">
        <f>IF(AND(DZ97&gt;0,EA97&gt;0),0,ED97)</f>
        <v>0</v>
      </c>
      <c r="EJ97" s="220">
        <f>IF($B97="",0,SUMIFS(采购进货!$E$4:$E$1503,采购进货!$D$4:$D$1503,$B97,采购进货!$B$4:$B$1503,"&gt;="&amp;DATE(年度,12,1),采购进货!$B$4:$B$1503,"&lt;"&amp;DATE(年度,12+1,1))+SUMIFS(采购进货!$H$4:$H$1503,采购进货!$D$4:$D$1503,$B97,采购进货!$B$4:$B$1503,"&gt;="&amp;DATE(年度,12,1),采购进货!$B$4:$B$1503,"&lt;"&amp;DATE(年度,12+1,1)))</f>
        <v>0</v>
      </c>
      <c r="EK97" s="186">
        <f>IF($B97="",0,SUMIFS(采购进货!$G$4:$G$1503,采购进货!$D$4:$D$1503,$B97,采购进货!$B$4:$B$1503,"&gt;="&amp;DATE(年度,12,1),采购进货!$B$4:$B$1503,"&lt;"&amp;DATE(年度,12+1,1)))</f>
        <v>0</v>
      </c>
      <c r="EL97" s="234">
        <f>EG97+EJ97</f>
        <v>0</v>
      </c>
      <c r="EM97" s="235">
        <f>EH97+EK97</f>
        <v>0</v>
      </c>
      <c r="EN97" s="222">
        <f>IF(AND(EL97&gt;0,EM97&gt;0),EM97/EL97,N($E97))</f>
        <v>0</v>
      </c>
      <c r="EO97" s="220">
        <f>IF($B97="",0,SUMIFS(出库明细!$E$4:$E$3003,出库明细!$D$4:$D$3003,$B97,出库明细!$B$4:$B$3003,"&gt;="&amp;DATE(年度,12,1),出库明细!$B$4:$B$3003,"&lt;"&amp;DATE(年度,12+1,1)))</f>
        <v>0</v>
      </c>
      <c r="EP97" s="186">
        <f>EO97*EN97</f>
        <v>0</v>
      </c>
      <c r="EQ97" s="220">
        <f>_辅助!BX95</f>
        <v>0</v>
      </c>
      <c r="ER97" s="186">
        <f>_辅助!AN95</f>
        <v>0</v>
      </c>
      <c r="ES97" s="221">
        <f>EL97-EO97-EQ97</f>
        <v>0</v>
      </c>
      <c r="ET97" s="187">
        <f>EM97-EP97-ER97</f>
        <v>0</v>
      </c>
      <c r="EU97" s="236">
        <f>IF(AND(EL97&gt;0,EM97&gt;0),0,EP97)</f>
        <v>0</v>
      </c>
    </row>
    <row r="98">
      <c r="A98" s="194">
        <f>IF(B98="","",ROW()-7)</f>
      </c>
      <c r="B98" s="141">
        <f>IF(基础资料!E95="","",基础资料!E95&amp;"")</f>
      </c>
      <c r="C98" s="230">
        <f>IF(基础资料!G95="","",基础资料!G95&amp;"")</f>
      </c>
      <c r="D98" s="194">
        <f>IF(基础资料!I95="","",基础资料!I95)</f>
      </c>
      <c r="E98" s="231">
        <f>IF(基础资料!J95="","",基础资料!J95)</f>
      </c>
      <c r="F98" s="232">
        <f>N(基础资料!L95)</f>
        <v>0</v>
      </c>
      <c r="G98" s="233">
        <f>IF(基础资料!N95="",0,基础资料!N95)</f>
        <v>0</v>
      </c>
      <c r="H98" s="220">
        <f>IF($B98="",0,SUMIFS(采购进货!$E$4:$E$1503,采购进货!$D$4:$D$1503,$B98,采购进货!$B$4:$B$1503,"&gt;="&amp;DATE(年度,1,1),采购进货!$B$4:$B$1503,"&lt;"&amp;DATE(年度,1+1,1))+SUMIFS(采购进货!$H$4:$H$1503,采购进货!$D$4:$D$1503,$B98,采购进货!$B$4:$B$1503,"&gt;="&amp;DATE(年度,1,1),采购进货!$B$4:$B$1503,"&lt;"&amp;DATE(年度,1+1,1)))</f>
        <v>0</v>
      </c>
      <c r="I98" s="186">
        <f>IF($B98="",0,SUMIFS(采购进货!$G$4:$G$1503,采购进货!$D$4:$D$1503,$B98,采购进货!$B$4:$B$1503,"&gt;="&amp;DATE(年度,1,1),采购进货!$B$4:$B$1503,"&lt;"&amp;DATE(年度,1+1,1)))</f>
        <v>0</v>
      </c>
      <c r="J98" s="234">
        <f>F98+H98</f>
        <v>0</v>
      </c>
      <c r="K98" s="235">
        <f>G98+I98</f>
        <v>0</v>
      </c>
      <c r="L98" s="222">
        <f>IF(AND(J98&gt;0,K98&gt;0),K98/J98,N($E98))</f>
        <v>0</v>
      </c>
      <c r="M98" s="220">
        <f>IF($B98="",0,SUMIFS(出库明细!$E$4:$E$3003,出库明细!$D$4:$D$3003,$B98,出库明细!$B$4:$B$3003,"&gt;="&amp;DATE(年度,1,1),出库明细!$B$4:$B$3003,"&lt;"&amp;DATE(年度,1+1,1)))</f>
        <v>0</v>
      </c>
      <c r="N98" s="186">
        <f>M98*L98</f>
        <v>0</v>
      </c>
      <c r="O98" s="220">
        <f>_辅助!BM96</f>
        <v>0</v>
      </c>
      <c r="P98" s="186">
        <f>_辅助!AC96</f>
        <v>0</v>
      </c>
      <c r="Q98" s="221">
        <f>J98-M98-O98</f>
        <v>0</v>
      </c>
      <c r="R98" s="187">
        <f>K98-N98-P98</f>
        <v>0</v>
      </c>
      <c r="S98" s="236">
        <f>IF(AND(J98&gt;0,K98&gt;0),0,N98)</f>
        <v>0</v>
      </c>
      <c r="T98" s="220">
        <f>IF($B98="",0,SUMIFS(采购进货!$E$4:$E$1503,采购进货!$D$4:$D$1503,$B98,采购进货!$B$4:$B$1503,"&gt;="&amp;DATE(年度,2,1),采购进货!$B$4:$B$1503,"&lt;"&amp;DATE(年度,2+1,1))+SUMIFS(采购进货!$H$4:$H$1503,采购进货!$D$4:$D$1503,$B98,采购进货!$B$4:$B$1503,"&gt;="&amp;DATE(年度,2,1),采购进货!$B$4:$B$1503,"&lt;"&amp;DATE(年度,2+1,1)))</f>
        <v>0</v>
      </c>
      <c r="U98" s="186">
        <f>IF($B98="",0,SUMIFS(采购进货!$G$4:$G$1503,采购进货!$D$4:$D$1503,$B98,采购进货!$B$4:$B$1503,"&gt;="&amp;DATE(年度,2,1),采购进货!$B$4:$B$1503,"&lt;"&amp;DATE(年度,2+1,1)))</f>
        <v>0</v>
      </c>
      <c r="V98" s="234">
        <f>Q98+T98</f>
        <v>0</v>
      </c>
      <c r="W98" s="235">
        <f>R98+U98</f>
        <v>0</v>
      </c>
      <c r="X98" s="222">
        <f>IF(AND(V98&gt;0,W98&gt;0),W98/V98,N($E98))</f>
        <v>0</v>
      </c>
      <c r="Y98" s="220">
        <f>IF($B98="",0,SUMIFS(出库明细!$E$4:$E$3003,出库明细!$D$4:$D$3003,$B98,出库明细!$B$4:$B$3003,"&gt;="&amp;DATE(年度,2,1),出库明细!$B$4:$B$3003,"&lt;"&amp;DATE(年度,2+1,1)))</f>
        <v>0</v>
      </c>
      <c r="Z98" s="186">
        <f>Y98*X98</f>
        <v>0</v>
      </c>
      <c r="AA98" s="220">
        <f>_辅助!BN96</f>
        <v>0</v>
      </c>
      <c r="AB98" s="186">
        <f>_辅助!AD96</f>
        <v>0</v>
      </c>
      <c r="AC98" s="221">
        <f>V98-Y98-AA98</f>
        <v>0</v>
      </c>
      <c r="AD98" s="187">
        <f>W98-Z98-AB98</f>
        <v>0</v>
      </c>
      <c r="AE98" s="236">
        <f>IF(AND(V98&gt;0,W98&gt;0),0,Z98)</f>
        <v>0</v>
      </c>
      <c r="AF98" s="220">
        <f>IF($B98="",0,SUMIFS(采购进货!$E$4:$E$1503,采购进货!$D$4:$D$1503,$B98,采购进货!$B$4:$B$1503,"&gt;="&amp;DATE(年度,3,1),采购进货!$B$4:$B$1503,"&lt;"&amp;DATE(年度,3+1,1))+SUMIFS(采购进货!$H$4:$H$1503,采购进货!$D$4:$D$1503,$B98,采购进货!$B$4:$B$1503,"&gt;="&amp;DATE(年度,3,1),采购进货!$B$4:$B$1503,"&lt;"&amp;DATE(年度,3+1,1)))</f>
        <v>0</v>
      </c>
      <c r="AG98" s="186">
        <f>IF($B98="",0,SUMIFS(采购进货!$G$4:$G$1503,采购进货!$D$4:$D$1503,$B98,采购进货!$B$4:$B$1503,"&gt;="&amp;DATE(年度,3,1),采购进货!$B$4:$B$1503,"&lt;"&amp;DATE(年度,3+1,1)))</f>
        <v>0</v>
      </c>
      <c r="AH98" s="234">
        <f>AC98+AF98</f>
        <v>0</v>
      </c>
      <c r="AI98" s="235">
        <f>AD98+AG98</f>
        <v>0</v>
      </c>
      <c r="AJ98" s="222">
        <f>IF(AND(AH98&gt;0,AI98&gt;0),AI98/AH98,N($E98))</f>
        <v>0</v>
      </c>
      <c r="AK98" s="220">
        <f>IF($B98="",0,SUMIFS(出库明细!$E$4:$E$3003,出库明细!$D$4:$D$3003,$B98,出库明细!$B$4:$B$3003,"&gt;="&amp;DATE(年度,3,1),出库明细!$B$4:$B$3003,"&lt;"&amp;DATE(年度,3+1,1)))</f>
        <v>0</v>
      </c>
      <c r="AL98" s="186">
        <f>AK98*AJ98</f>
        <v>0</v>
      </c>
      <c r="AM98" s="220">
        <f>_辅助!BO96</f>
        <v>0</v>
      </c>
      <c r="AN98" s="186">
        <f>_辅助!AE96</f>
        <v>0</v>
      </c>
      <c r="AO98" s="221">
        <f>AH98-AK98-AM98</f>
        <v>0</v>
      </c>
      <c r="AP98" s="187">
        <f>AI98-AL98-AN98</f>
        <v>0</v>
      </c>
      <c r="AQ98" s="236">
        <f>IF(AND(AH98&gt;0,AI98&gt;0),0,AL98)</f>
        <v>0</v>
      </c>
      <c r="AR98" s="220">
        <f>IF($B98="",0,SUMIFS(采购进货!$E$4:$E$1503,采购进货!$D$4:$D$1503,$B98,采购进货!$B$4:$B$1503,"&gt;="&amp;DATE(年度,4,1),采购进货!$B$4:$B$1503,"&lt;"&amp;DATE(年度,4+1,1))+SUMIFS(采购进货!$H$4:$H$1503,采购进货!$D$4:$D$1503,$B98,采购进货!$B$4:$B$1503,"&gt;="&amp;DATE(年度,4,1),采购进货!$B$4:$B$1503,"&lt;"&amp;DATE(年度,4+1,1)))</f>
        <v>0</v>
      </c>
      <c r="AS98" s="186">
        <f>IF($B98="",0,SUMIFS(采购进货!$G$4:$G$1503,采购进货!$D$4:$D$1503,$B98,采购进货!$B$4:$B$1503,"&gt;="&amp;DATE(年度,4,1),采购进货!$B$4:$B$1503,"&lt;"&amp;DATE(年度,4+1,1)))</f>
        <v>0</v>
      </c>
      <c r="AT98" s="234">
        <f>AO98+AR98</f>
        <v>0</v>
      </c>
      <c r="AU98" s="235">
        <f>AP98+AS98</f>
        <v>0</v>
      </c>
      <c r="AV98" s="222">
        <f>IF(AND(AT98&gt;0,AU98&gt;0),AU98/AT98,N($E98))</f>
        <v>0</v>
      </c>
      <c r="AW98" s="220">
        <f>IF($B98="",0,SUMIFS(出库明细!$E$4:$E$3003,出库明细!$D$4:$D$3003,$B98,出库明细!$B$4:$B$3003,"&gt;="&amp;DATE(年度,4,1),出库明细!$B$4:$B$3003,"&lt;"&amp;DATE(年度,4+1,1)))</f>
        <v>0</v>
      </c>
      <c r="AX98" s="186">
        <f>AW98*AV98</f>
        <v>0</v>
      </c>
      <c r="AY98" s="220">
        <f>_辅助!BP96</f>
        <v>0</v>
      </c>
      <c r="AZ98" s="186">
        <f>_辅助!AF96</f>
        <v>0</v>
      </c>
      <c r="BA98" s="221">
        <f>AT98-AW98-AY98</f>
        <v>0</v>
      </c>
      <c r="BB98" s="187">
        <f>AU98-AX98-AZ98</f>
        <v>0</v>
      </c>
      <c r="BC98" s="236">
        <f>IF(AND(AT98&gt;0,AU98&gt;0),0,AX98)</f>
        <v>0</v>
      </c>
      <c r="BD98" s="220">
        <f>IF($B98="",0,SUMIFS(采购进货!$E$4:$E$1503,采购进货!$D$4:$D$1503,$B98,采购进货!$B$4:$B$1503,"&gt;="&amp;DATE(年度,5,1),采购进货!$B$4:$B$1503,"&lt;"&amp;DATE(年度,5+1,1))+SUMIFS(采购进货!$H$4:$H$1503,采购进货!$D$4:$D$1503,$B98,采购进货!$B$4:$B$1503,"&gt;="&amp;DATE(年度,5,1),采购进货!$B$4:$B$1503,"&lt;"&amp;DATE(年度,5+1,1)))</f>
        <v>0</v>
      </c>
      <c r="BE98" s="186">
        <f>IF($B98="",0,SUMIFS(采购进货!$G$4:$G$1503,采购进货!$D$4:$D$1503,$B98,采购进货!$B$4:$B$1503,"&gt;="&amp;DATE(年度,5,1),采购进货!$B$4:$B$1503,"&lt;"&amp;DATE(年度,5+1,1)))</f>
        <v>0</v>
      </c>
      <c r="BF98" s="234">
        <f>BA98+BD98</f>
        <v>0</v>
      </c>
      <c r="BG98" s="235">
        <f>BB98+BE98</f>
        <v>0</v>
      </c>
      <c r="BH98" s="222">
        <f>IF(AND(BF98&gt;0,BG98&gt;0),BG98/BF98,N($E98))</f>
        <v>0</v>
      </c>
      <c r="BI98" s="220">
        <f>IF($B98="",0,SUMIFS(出库明细!$E$4:$E$3003,出库明细!$D$4:$D$3003,$B98,出库明细!$B$4:$B$3003,"&gt;="&amp;DATE(年度,5,1),出库明细!$B$4:$B$3003,"&lt;"&amp;DATE(年度,5+1,1)))</f>
        <v>0</v>
      </c>
      <c r="BJ98" s="186">
        <f>BI98*BH98</f>
        <v>0</v>
      </c>
      <c r="BK98" s="220">
        <f>_辅助!BQ96</f>
        <v>0</v>
      </c>
      <c r="BL98" s="186">
        <f>_辅助!AG96</f>
        <v>0</v>
      </c>
      <c r="BM98" s="221">
        <f>BF98-BI98-BK98</f>
        <v>0</v>
      </c>
      <c r="BN98" s="187">
        <f>BG98-BJ98-BL98</f>
        <v>0</v>
      </c>
      <c r="BO98" s="236">
        <f>IF(AND(BF98&gt;0,BG98&gt;0),0,BJ98)</f>
        <v>0</v>
      </c>
      <c r="BP98" s="220">
        <f>IF($B98="",0,SUMIFS(采购进货!$E$4:$E$1503,采购进货!$D$4:$D$1503,$B98,采购进货!$B$4:$B$1503,"&gt;="&amp;DATE(年度,6,1),采购进货!$B$4:$B$1503,"&lt;"&amp;DATE(年度,6+1,1))+SUMIFS(采购进货!$H$4:$H$1503,采购进货!$D$4:$D$1503,$B98,采购进货!$B$4:$B$1503,"&gt;="&amp;DATE(年度,6,1),采购进货!$B$4:$B$1503,"&lt;"&amp;DATE(年度,6+1,1)))</f>
        <v>0</v>
      </c>
      <c r="BQ98" s="186">
        <f>IF($B98="",0,SUMIFS(采购进货!$G$4:$G$1503,采购进货!$D$4:$D$1503,$B98,采购进货!$B$4:$B$1503,"&gt;="&amp;DATE(年度,6,1),采购进货!$B$4:$B$1503,"&lt;"&amp;DATE(年度,6+1,1)))</f>
        <v>0</v>
      </c>
      <c r="BR98" s="234">
        <f>BM98+BP98</f>
        <v>0</v>
      </c>
      <c r="BS98" s="235">
        <f>BN98+BQ98</f>
        <v>0</v>
      </c>
      <c r="BT98" s="222">
        <f>IF(AND(BR98&gt;0,BS98&gt;0),BS98/BR98,N($E98))</f>
        <v>0</v>
      </c>
      <c r="BU98" s="220">
        <f>IF($B98="",0,SUMIFS(出库明细!$E$4:$E$3003,出库明细!$D$4:$D$3003,$B98,出库明细!$B$4:$B$3003,"&gt;="&amp;DATE(年度,6,1),出库明细!$B$4:$B$3003,"&lt;"&amp;DATE(年度,6+1,1)))</f>
        <v>0</v>
      </c>
      <c r="BV98" s="186">
        <f>BU98*BT98</f>
        <v>0</v>
      </c>
      <c r="BW98" s="220">
        <f>_辅助!BR96</f>
        <v>0</v>
      </c>
      <c r="BX98" s="186">
        <f>_辅助!AH96</f>
        <v>0</v>
      </c>
      <c r="BY98" s="221">
        <f>BR98-BU98-BW98</f>
        <v>0</v>
      </c>
      <c r="BZ98" s="187">
        <f>BS98-BV98-BX98</f>
        <v>0</v>
      </c>
      <c r="CA98" s="236">
        <f>IF(AND(BR98&gt;0,BS98&gt;0),0,BV98)</f>
        <v>0</v>
      </c>
      <c r="CB98" s="220">
        <f>IF($B98="",0,SUMIFS(采购进货!$E$4:$E$1503,采购进货!$D$4:$D$1503,$B98,采购进货!$B$4:$B$1503,"&gt;="&amp;DATE(年度,7,1),采购进货!$B$4:$B$1503,"&lt;"&amp;DATE(年度,7+1,1))+SUMIFS(采购进货!$H$4:$H$1503,采购进货!$D$4:$D$1503,$B98,采购进货!$B$4:$B$1503,"&gt;="&amp;DATE(年度,7,1),采购进货!$B$4:$B$1503,"&lt;"&amp;DATE(年度,7+1,1)))</f>
        <v>0</v>
      </c>
      <c r="CC98" s="186">
        <f>IF($B98="",0,SUMIFS(采购进货!$G$4:$G$1503,采购进货!$D$4:$D$1503,$B98,采购进货!$B$4:$B$1503,"&gt;="&amp;DATE(年度,7,1),采购进货!$B$4:$B$1503,"&lt;"&amp;DATE(年度,7+1,1)))</f>
        <v>0</v>
      </c>
      <c r="CD98" s="234">
        <f>BY98+CB98</f>
        <v>0</v>
      </c>
      <c r="CE98" s="235">
        <f>BZ98+CC98</f>
        <v>0</v>
      </c>
      <c r="CF98" s="222">
        <f>IF(AND(CD98&gt;0,CE98&gt;0),CE98/CD98,N($E98))</f>
        <v>0</v>
      </c>
      <c r="CG98" s="220">
        <f>IF($B98="",0,SUMIFS(出库明细!$E$4:$E$3003,出库明细!$D$4:$D$3003,$B98,出库明细!$B$4:$B$3003,"&gt;="&amp;DATE(年度,7,1),出库明细!$B$4:$B$3003,"&lt;"&amp;DATE(年度,7+1,1)))</f>
        <v>0</v>
      </c>
      <c r="CH98" s="186">
        <f>CG98*CF98</f>
        <v>0</v>
      </c>
      <c r="CI98" s="220">
        <f>_辅助!BS96</f>
        <v>0</v>
      </c>
      <c r="CJ98" s="186">
        <f>_辅助!AI96</f>
        <v>0</v>
      </c>
      <c r="CK98" s="221">
        <f>CD98-CG98-CI98</f>
        <v>0</v>
      </c>
      <c r="CL98" s="187">
        <f>CE98-CH98-CJ98</f>
        <v>0</v>
      </c>
      <c r="CM98" s="236">
        <f>IF(AND(CD98&gt;0,CE98&gt;0),0,CH98)</f>
        <v>0</v>
      </c>
      <c r="CN98" s="220">
        <f>IF($B98="",0,SUMIFS(采购进货!$E$4:$E$1503,采购进货!$D$4:$D$1503,$B98,采购进货!$B$4:$B$1503,"&gt;="&amp;DATE(年度,8,1),采购进货!$B$4:$B$1503,"&lt;"&amp;DATE(年度,8+1,1))+SUMIFS(采购进货!$H$4:$H$1503,采购进货!$D$4:$D$1503,$B98,采购进货!$B$4:$B$1503,"&gt;="&amp;DATE(年度,8,1),采购进货!$B$4:$B$1503,"&lt;"&amp;DATE(年度,8+1,1)))</f>
        <v>0</v>
      </c>
      <c r="CO98" s="186">
        <f>IF($B98="",0,SUMIFS(采购进货!$G$4:$G$1503,采购进货!$D$4:$D$1503,$B98,采购进货!$B$4:$B$1503,"&gt;="&amp;DATE(年度,8,1),采购进货!$B$4:$B$1503,"&lt;"&amp;DATE(年度,8+1,1)))</f>
        <v>0</v>
      </c>
      <c r="CP98" s="234">
        <f>CK98+CN98</f>
        <v>0</v>
      </c>
      <c r="CQ98" s="235">
        <f>CL98+CO98</f>
        <v>0</v>
      </c>
      <c r="CR98" s="222">
        <f>IF(AND(CP98&gt;0,CQ98&gt;0),CQ98/CP98,N($E98))</f>
        <v>0</v>
      </c>
      <c r="CS98" s="220">
        <f>IF($B98="",0,SUMIFS(出库明细!$E$4:$E$3003,出库明细!$D$4:$D$3003,$B98,出库明细!$B$4:$B$3003,"&gt;="&amp;DATE(年度,8,1),出库明细!$B$4:$B$3003,"&lt;"&amp;DATE(年度,8+1,1)))</f>
        <v>0</v>
      </c>
      <c r="CT98" s="186">
        <f>CS98*CR98</f>
        <v>0</v>
      </c>
      <c r="CU98" s="220">
        <f>_辅助!BT96</f>
        <v>0</v>
      </c>
      <c r="CV98" s="186">
        <f>_辅助!AJ96</f>
        <v>0</v>
      </c>
      <c r="CW98" s="221">
        <f>CP98-CS98-CU98</f>
        <v>0</v>
      </c>
      <c r="CX98" s="187">
        <f>CQ98-CT98-CV98</f>
        <v>0</v>
      </c>
      <c r="CY98" s="236">
        <f>IF(AND(CP98&gt;0,CQ98&gt;0),0,CT98)</f>
        <v>0</v>
      </c>
      <c r="CZ98" s="220">
        <f>IF($B98="",0,SUMIFS(采购进货!$E$4:$E$1503,采购进货!$D$4:$D$1503,$B98,采购进货!$B$4:$B$1503,"&gt;="&amp;DATE(年度,9,1),采购进货!$B$4:$B$1503,"&lt;"&amp;DATE(年度,9+1,1))+SUMIFS(采购进货!$H$4:$H$1503,采购进货!$D$4:$D$1503,$B98,采购进货!$B$4:$B$1503,"&gt;="&amp;DATE(年度,9,1),采购进货!$B$4:$B$1503,"&lt;"&amp;DATE(年度,9+1,1)))</f>
        <v>0</v>
      </c>
      <c r="DA98" s="186">
        <f>IF($B98="",0,SUMIFS(采购进货!$G$4:$G$1503,采购进货!$D$4:$D$1503,$B98,采购进货!$B$4:$B$1503,"&gt;="&amp;DATE(年度,9,1),采购进货!$B$4:$B$1503,"&lt;"&amp;DATE(年度,9+1,1)))</f>
        <v>0</v>
      </c>
      <c r="DB98" s="234">
        <f>CW98+CZ98</f>
        <v>0</v>
      </c>
      <c r="DC98" s="235">
        <f>CX98+DA98</f>
        <v>0</v>
      </c>
      <c r="DD98" s="222">
        <f>IF(AND(DB98&gt;0,DC98&gt;0),DC98/DB98,N($E98))</f>
        <v>0</v>
      </c>
      <c r="DE98" s="220">
        <f>IF($B98="",0,SUMIFS(出库明细!$E$4:$E$3003,出库明细!$D$4:$D$3003,$B98,出库明细!$B$4:$B$3003,"&gt;="&amp;DATE(年度,9,1),出库明细!$B$4:$B$3003,"&lt;"&amp;DATE(年度,9+1,1)))</f>
        <v>0</v>
      </c>
      <c r="DF98" s="186">
        <f>DE98*DD98</f>
        <v>0</v>
      </c>
      <c r="DG98" s="220">
        <f>_辅助!BU96</f>
        <v>0</v>
      </c>
      <c r="DH98" s="186">
        <f>_辅助!AK96</f>
        <v>0</v>
      </c>
      <c r="DI98" s="221">
        <f>DB98-DE98-DG98</f>
        <v>0</v>
      </c>
      <c r="DJ98" s="187">
        <f>DC98-DF98-DH98</f>
        <v>0</v>
      </c>
      <c r="DK98" s="236">
        <f>IF(AND(DB98&gt;0,DC98&gt;0),0,DF98)</f>
        <v>0</v>
      </c>
      <c r="DL98" s="220">
        <f>IF($B98="",0,SUMIFS(采购进货!$E$4:$E$1503,采购进货!$D$4:$D$1503,$B98,采购进货!$B$4:$B$1503,"&gt;="&amp;DATE(年度,10,1),采购进货!$B$4:$B$1503,"&lt;"&amp;DATE(年度,10+1,1))+SUMIFS(采购进货!$H$4:$H$1503,采购进货!$D$4:$D$1503,$B98,采购进货!$B$4:$B$1503,"&gt;="&amp;DATE(年度,10,1),采购进货!$B$4:$B$1503,"&lt;"&amp;DATE(年度,10+1,1)))</f>
        <v>0</v>
      </c>
      <c r="DM98" s="186">
        <f>IF($B98="",0,SUMIFS(采购进货!$G$4:$G$1503,采购进货!$D$4:$D$1503,$B98,采购进货!$B$4:$B$1503,"&gt;="&amp;DATE(年度,10,1),采购进货!$B$4:$B$1503,"&lt;"&amp;DATE(年度,10+1,1)))</f>
        <v>0</v>
      </c>
      <c r="DN98" s="234">
        <f>DI98+DL98</f>
        <v>0</v>
      </c>
      <c r="DO98" s="235">
        <f>DJ98+DM98</f>
        <v>0</v>
      </c>
      <c r="DP98" s="222">
        <f>IF(AND(DN98&gt;0,DO98&gt;0),DO98/DN98,N($E98))</f>
        <v>0</v>
      </c>
      <c r="DQ98" s="220">
        <f>IF($B98="",0,SUMIFS(出库明细!$E$4:$E$3003,出库明细!$D$4:$D$3003,$B98,出库明细!$B$4:$B$3003,"&gt;="&amp;DATE(年度,10,1),出库明细!$B$4:$B$3003,"&lt;"&amp;DATE(年度,10+1,1)))</f>
        <v>0</v>
      </c>
      <c r="DR98" s="186">
        <f>DQ98*DP98</f>
        <v>0</v>
      </c>
      <c r="DS98" s="220">
        <f>_辅助!BV96</f>
        <v>0</v>
      </c>
      <c r="DT98" s="186">
        <f>_辅助!AL96</f>
        <v>0</v>
      </c>
      <c r="DU98" s="221">
        <f>DN98-DQ98-DS98</f>
        <v>0</v>
      </c>
      <c r="DV98" s="187">
        <f>DO98-DR98-DT98</f>
        <v>0</v>
      </c>
      <c r="DW98" s="236">
        <f>IF(AND(DN98&gt;0,DO98&gt;0),0,DR98)</f>
        <v>0</v>
      </c>
      <c r="DX98" s="220">
        <f>IF($B98="",0,SUMIFS(采购进货!$E$4:$E$1503,采购进货!$D$4:$D$1503,$B98,采购进货!$B$4:$B$1503,"&gt;="&amp;DATE(年度,11,1),采购进货!$B$4:$B$1503,"&lt;"&amp;DATE(年度,11+1,1))+SUMIFS(采购进货!$H$4:$H$1503,采购进货!$D$4:$D$1503,$B98,采购进货!$B$4:$B$1503,"&gt;="&amp;DATE(年度,11,1),采购进货!$B$4:$B$1503,"&lt;"&amp;DATE(年度,11+1,1)))</f>
        <v>0</v>
      </c>
      <c r="DY98" s="186">
        <f>IF($B98="",0,SUMIFS(采购进货!$G$4:$G$1503,采购进货!$D$4:$D$1503,$B98,采购进货!$B$4:$B$1503,"&gt;="&amp;DATE(年度,11,1),采购进货!$B$4:$B$1503,"&lt;"&amp;DATE(年度,11+1,1)))</f>
        <v>0</v>
      </c>
      <c r="DZ98" s="234">
        <f>DU98+DX98</f>
        <v>0</v>
      </c>
      <c r="EA98" s="235">
        <f>DV98+DY98</f>
        <v>0</v>
      </c>
      <c r="EB98" s="222">
        <f>IF(AND(DZ98&gt;0,EA98&gt;0),EA98/DZ98,N($E98))</f>
        <v>0</v>
      </c>
      <c r="EC98" s="220">
        <f>IF($B98="",0,SUMIFS(出库明细!$E$4:$E$3003,出库明细!$D$4:$D$3003,$B98,出库明细!$B$4:$B$3003,"&gt;="&amp;DATE(年度,11,1),出库明细!$B$4:$B$3003,"&lt;"&amp;DATE(年度,11+1,1)))</f>
        <v>0</v>
      </c>
      <c r="ED98" s="186">
        <f>EC98*EB98</f>
        <v>0</v>
      </c>
      <c r="EE98" s="220">
        <f>_辅助!BW96</f>
        <v>0</v>
      </c>
      <c r="EF98" s="186">
        <f>_辅助!AM96</f>
        <v>0</v>
      </c>
      <c r="EG98" s="221">
        <f>DZ98-EC98-EE98</f>
        <v>0</v>
      </c>
      <c r="EH98" s="187">
        <f>EA98-ED98-EF98</f>
        <v>0</v>
      </c>
      <c r="EI98" s="236">
        <f>IF(AND(DZ98&gt;0,EA98&gt;0),0,ED98)</f>
        <v>0</v>
      </c>
      <c r="EJ98" s="220">
        <f>IF($B98="",0,SUMIFS(采购进货!$E$4:$E$1503,采购进货!$D$4:$D$1503,$B98,采购进货!$B$4:$B$1503,"&gt;="&amp;DATE(年度,12,1),采购进货!$B$4:$B$1503,"&lt;"&amp;DATE(年度,12+1,1))+SUMIFS(采购进货!$H$4:$H$1503,采购进货!$D$4:$D$1503,$B98,采购进货!$B$4:$B$1503,"&gt;="&amp;DATE(年度,12,1),采购进货!$B$4:$B$1503,"&lt;"&amp;DATE(年度,12+1,1)))</f>
        <v>0</v>
      </c>
      <c r="EK98" s="186">
        <f>IF($B98="",0,SUMIFS(采购进货!$G$4:$G$1503,采购进货!$D$4:$D$1503,$B98,采购进货!$B$4:$B$1503,"&gt;="&amp;DATE(年度,12,1),采购进货!$B$4:$B$1503,"&lt;"&amp;DATE(年度,12+1,1)))</f>
        <v>0</v>
      </c>
      <c r="EL98" s="234">
        <f>EG98+EJ98</f>
        <v>0</v>
      </c>
      <c r="EM98" s="235">
        <f>EH98+EK98</f>
        <v>0</v>
      </c>
      <c r="EN98" s="222">
        <f>IF(AND(EL98&gt;0,EM98&gt;0),EM98/EL98,N($E98))</f>
        <v>0</v>
      </c>
      <c r="EO98" s="220">
        <f>IF($B98="",0,SUMIFS(出库明细!$E$4:$E$3003,出库明细!$D$4:$D$3003,$B98,出库明细!$B$4:$B$3003,"&gt;="&amp;DATE(年度,12,1),出库明细!$B$4:$B$3003,"&lt;"&amp;DATE(年度,12+1,1)))</f>
        <v>0</v>
      </c>
      <c r="EP98" s="186">
        <f>EO98*EN98</f>
        <v>0</v>
      </c>
      <c r="EQ98" s="220">
        <f>_辅助!BX96</f>
        <v>0</v>
      </c>
      <c r="ER98" s="186">
        <f>_辅助!AN96</f>
        <v>0</v>
      </c>
      <c r="ES98" s="221">
        <f>EL98-EO98-EQ98</f>
        <v>0</v>
      </c>
      <c r="ET98" s="187">
        <f>EM98-EP98-ER98</f>
        <v>0</v>
      </c>
      <c r="EU98" s="236">
        <f>IF(AND(EL98&gt;0,EM98&gt;0),0,EP98)</f>
        <v>0</v>
      </c>
    </row>
    <row r="99">
      <c r="A99" s="194">
        <f>IF(B99="","",ROW()-7)</f>
      </c>
      <c r="B99" s="141">
        <f>IF(基础资料!E96="","",基础资料!E96&amp;"")</f>
      </c>
      <c r="C99" s="230">
        <f>IF(基础资料!G96="","",基础资料!G96&amp;"")</f>
      </c>
      <c r="D99" s="194">
        <f>IF(基础资料!I96="","",基础资料!I96)</f>
      </c>
      <c r="E99" s="231">
        <f>IF(基础资料!J96="","",基础资料!J96)</f>
      </c>
      <c r="F99" s="232">
        <f>N(基础资料!L96)</f>
        <v>0</v>
      </c>
      <c r="G99" s="233">
        <f>IF(基础资料!N96="",0,基础资料!N96)</f>
        <v>0</v>
      </c>
      <c r="H99" s="220">
        <f>IF($B99="",0,SUMIFS(采购进货!$E$4:$E$1503,采购进货!$D$4:$D$1503,$B99,采购进货!$B$4:$B$1503,"&gt;="&amp;DATE(年度,1,1),采购进货!$B$4:$B$1503,"&lt;"&amp;DATE(年度,1+1,1))+SUMIFS(采购进货!$H$4:$H$1503,采购进货!$D$4:$D$1503,$B99,采购进货!$B$4:$B$1503,"&gt;="&amp;DATE(年度,1,1),采购进货!$B$4:$B$1503,"&lt;"&amp;DATE(年度,1+1,1)))</f>
        <v>0</v>
      </c>
      <c r="I99" s="186">
        <f>IF($B99="",0,SUMIFS(采购进货!$G$4:$G$1503,采购进货!$D$4:$D$1503,$B99,采购进货!$B$4:$B$1503,"&gt;="&amp;DATE(年度,1,1),采购进货!$B$4:$B$1503,"&lt;"&amp;DATE(年度,1+1,1)))</f>
        <v>0</v>
      </c>
      <c r="J99" s="234">
        <f>F99+H99</f>
        <v>0</v>
      </c>
      <c r="K99" s="235">
        <f>G99+I99</f>
        <v>0</v>
      </c>
      <c r="L99" s="222">
        <f>IF(AND(J99&gt;0,K99&gt;0),K99/J99,N($E99))</f>
        <v>0</v>
      </c>
      <c r="M99" s="220">
        <f>IF($B99="",0,SUMIFS(出库明细!$E$4:$E$3003,出库明细!$D$4:$D$3003,$B99,出库明细!$B$4:$B$3003,"&gt;="&amp;DATE(年度,1,1),出库明细!$B$4:$B$3003,"&lt;"&amp;DATE(年度,1+1,1)))</f>
        <v>0</v>
      </c>
      <c r="N99" s="186">
        <f>M99*L99</f>
        <v>0</v>
      </c>
      <c r="O99" s="220">
        <f>_辅助!BM97</f>
        <v>0</v>
      </c>
      <c r="P99" s="186">
        <f>_辅助!AC97</f>
        <v>0</v>
      </c>
      <c r="Q99" s="221">
        <f>J99-M99-O99</f>
        <v>0</v>
      </c>
      <c r="R99" s="187">
        <f>K99-N99-P99</f>
        <v>0</v>
      </c>
      <c r="S99" s="236">
        <f>IF(AND(J99&gt;0,K99&gt;0),0,N99)</f>
        <v>0</v>
      </c>
      <c r="T99" s="220">
        <f>IF($B99="",0,SUMIFS(采购进货!$E$4:$E$1503,采购进货!$D$4:$D$1503,$B99,采购进货!$B$4:$B$1503,"&gt;="&amp;DATE(年度,2,1),采购进货!$B$4:$B$1503,"&lt;"&amp;DATE(年度,2+1,1))+SUMIFS(采购进货!$H$4:$H$1503,采购进货!$D$4:$D$1503,$B99,采购进货!$B$4:$B$1503,"&gt;="&amp;DATE(年度,2,1),采购进货!$B$4:$B$1503,"&lt;"&amp;DATE(年度,2+1,1)))</f>
        <v>0</v>
      </c>
      <c r="U99" s="186">
        <f>IF($B99="",0,SUMIFS(采购进货!$G$4:$G$1503,采购进货!$D$4:$D$1503,$B99,采购进货!$B$4:$B$1503,"&gt;="&amp;DATE(年度,2,1),采购进货!$B$4:$B$1503,"&lt;"&amp;DATE(年度,2+1,1)))</f>
        <v>0</v>
      </c>
      <c r="V99" s="234">
        <f>Q99+T99</f>
        <v>0</v>
      </c>
      <c r="W99" s="235">
        <f>R99+U99</f>
        <v>0</v>
      </c>
      <c r="X99" s="222">
        <f>IF(AND(V99&gt;0,W99&gt;0),W99/V99,N($E99))</f>
        <v>0</v>
      </c>
      <c r="Y99" s="220">
        <f>IF($B99="",0,SUMIFS(出库明细!$E$4:$E$3003,出库明细!$D$4:$D$3003,$B99,出库明细!$B$4:$B$3003,"&gt;="&amp;DATE(年度,2,1),出库明细!$B$4:$B$3003,"&lt;"&amp;DATE(年度,2+1,1)))</f>
        <v>0</v>
      </c>
      <c r="Z99" s="186">
        <f>Y99*X99</f>
        <v>0</v>
      </c>
      <c r="AA99" s="220">
        <f>_辅助!BN97</f>
        <v>0</v>
      </c>
      <c r="AB99" s="186">
        <f>_辅助!AD97</f>
        <v>0</v>
      </c>
      <c r="AC99" s="221">
        <f>V99-Y99-AA99</f>
        <v>0</v>
      </c>
      <c r="AD99" s="187">
        <f>W99-Z99-AB99</f>
        <v>0</v>
      </c>
      <c r="AE99" s="236">
        <f>IF(AND(V99&gt;0,W99&gt;0),0,Z99)</f>
        <v>0</v>
      </c>
      <c r="AF99" s="220">
        <f>IF($B99="",0,SUMIFS(采购进货!$E$4:$E$1503,采购进货!$D$4:$D$1503,$B99,采购进货!$B$4:$B$1503,"&gt;="&amp;DATE(年度,3,1),采购进货!$B$4:$B$1503,"&lt;"&amp;DATE(年度,3+1,1))+SUMIFS(采购进货!$H$4:$H$1503,采购进货!$D$4:$D$1503,$B99,采购进货!$B$4:$B$1503,"&gt;="&amp;DATE(年度,3,1),采购进货!$B$4:$B$1503,"&lt;"&amp;DATE(年度,3+1,1)))</f>
        <v>0</v>
      </c>
      <c r="AG99" s="186">
        <f>IF($B99="",0,SUMIFS(采购进货!$G$4:$G$1503,采购进货!$D$4:$D$1503,$B99,采购进货!$B$4:$B$1503,"&gt;="&amp;DATE(年度,3,1),采购进货!$B$4:$B$1503,"&lt;"&amp;DATE(年度,3+1,1)))</f>
        <v>0</v>
      </c>
      <c r="AH99" s="234">
        <f>AC99+AF99</f>
        <v>0</v>
      </c>
      <c r="AI99" s="235">
        <f>AD99+AG99</f>
        <v>0</v>
      </c>
      <c r="AJ99" s="222">
        <f>IF(AND(AH99&gt;0,AI99&gt;0),AI99/AH99,N($E99))</f>
        <v>0</v>
      </c>
      <c r="AK99" s="220">
        <f>IF($B99="",0,SUMIFS(出库明细!$E$4:$E$3003,出库明细!$D$4:$D$3003,$B99,出库明细!$B$4:$B$3003,"&gt;="&amp;DATE(年度,3,1),出库明细!$B$4:$B$3003,"&lt;"&amp;DATE(年度,3+1,1)))</f>
        <v>0</v>
      </c>
      <c r="AL99" s="186">
        <f>AK99*AJ99</f>
        <v>0</v>
      </c>
      <c r="AM99" s="220">
        <f>_辅助!BO97</f>
        <v>0</v>
      </c>
      <c r="AN99" s="186">
        <f>_辅助!AE97</f>
        <v>0</v>
      </c>
      <c r="AO99" s="221">
        <f>AH99-AK99-AM99</f>
        <v>0</v>
      </c>
      <c r="AP99" s="187">
        <f>AI99-AL99-AN99</f>
        <v>0</v>
      </c>
      <c r="AQ99" s="236">
        <f>IF(AND(AH99&gt;0,AI99&gt;0),0,AL99)</f>
        <v>0</v>
      </c>
      <c r="AR99" s="220">
        <f>IF($B99="",0,SUMIFS(采购进货!$E$4:$E$1503,采购进货!$D$4:$D$1503,$B99,采购进货!$B$4:$B$1503,"&gt;="&amp;DATE(年度,4,1),采购进货!$B$4:$B$1503,"&lt;"&amp;DATE(年度,4+1,1))+SUMIFS(采购进货!$H$4:$H$1503,采购进货!$D$4:$D$1503,$B99,采购进货!$B$4:$B$1503,"&gt;="&amp;DATE(年度,4,1),采购进货!$B$4:$B$1503,"&lt;"&amp;DATE(年度,4+1,1)))</f>
        <v>0</v>
      </c>
      <c r="AS99" s="186">
        <f>IF($B99="",0,SUMIFS(采购进货!$G$4:$G$1503,采购进货!$D$4:$D$1503,$B99,采购进货!$B$4:$B$1503,"&gt;="&amp;DATE(年度,4,1),采购进货!$B$4:$B$1503,"&lt;"&amp;DATE(年度,4+1,1)))</f>
        <v>0</v>
      </c>
      <c r="AT99" s="234">
        <f>AO99+AR99</f>
        <v>0</v>
      </c>
      <c r="AU99" s="235">
        <f>AP99+AS99</f>
        <v>0</v>
      </c>
      <c r="AV99" s="222">
        <f>IF(AND(AT99&gt;0,AU99&gt;0),AU99/AT99,N($E99))</f>
        <v>0</v>
      </c>
      <c r="AW99" s="220">
        <f>IF($B99="",0,SUMIFS(出库明细!$E$4:$E$3003,出库明细!$D$4:$D$3003,$B99,出库明细!$B$4:$B$3003,"&gt;="&amp;DATE(年度,4,1),出库明细!$B$4:$B$3003,"&lt;"&amp;DATE(年度,4+1,1)))</f>
        <v>0</v>
      </c>
      <c r="AX99" s="186">
        <f>AW99*AV99</f>
        <v>0</v>
      </c>
      <c r="AY99" s="220">
        <f>_辅助!BP97</f>
        <v>0</v>
      </c>
      <c r="AZ99" s="186">
        <f>_辅助!AF97</f>
        <v>0</v>
      </c>
      <c r="BA99" s="221">
        <f>AT99-AW99-AY99</f>
        <v>0</v>
      </c>
      <c r="BB99" s="187">
        <f>AU99-AX99-AZ99</f>
        <v>0</v>
      </c>
      <c r="BC99" s="236">
        <f>IF(AND(AT99&gt;0,AU99&gt;0),0,AX99)</f>
        <v>0</v>
      </c>
      <c r="BD99" s="220">
        <f>IF($B99="",0,SUMIFS(采购进货!$E$4:$E$1503,采购进货!$D$4:$D$1503,$B99,采购进货!$B$4:$B$1503,"&gt;="&amp;DATE(年度,5,1),采购进货!$B$4:$B$1503,"&lt;"&amp;DATE(年度,5+1,1))+SUMIFS(采购进货!$H$4:$H$1503,采购进货!$D$4:$D$1503,$B99,采购进货!$B$4:$B$1503,"&gt;="&amp;DATE(年度,5,1),采购进货!$B$4:$B$1503,"&lt;"&amp;DATE(年度,5+1,1)))</f>
        <v>0</v>
      </c>
      <c r="BE99" s="186">
        <f>IF($B99="",0,SUMIFS(采购进货!$G$4:$G$1503,采购进货!$D$4:$D$1503,$B99,采购进货!$B$4:$B$1503,"&gt;="&amp;DATE(年度,5,1),采购进货!$B$4:$B$1503,"&lt;"&amp;DATE(年度,5+1,1)))</f>
        <v>0</v>
      </c>
      <c r="BF99" s="234">
        <f>BA99+BD99</f>
        <v>0</v>
      </c>
      <c r="BG99" s="235">
        <f>BB99+BE99</f>
        <v>0</v>
      </c>
      <c r="BH99" s="222">
        <f>IF(AND(BF99&gt;0,BG99&gt;0),BG99/BF99,N($E99))</f>
        <v>0</v>
      </c>
      <c r="BI99" s="220">
        <f>IF($B99="",0,SUMIFS(出库明细!$E$4:$E$3003,出库明细!$D$4:$D$3003,$B99,出库明细!$B$4:$B$3003,"&gt;="&amp;DATE(年度,5,1),出库明细!$B$4:$B$3003,"&lt;"&amp;DATE(年度,5+1,1)))</f>
        <v>0</v>
      </c>
      <c r="BJ99" s="186">
        <f>BI99*BH99</f>
        <v>0</v>
      </c>
      <c r="BK99" s="220">
        <f>_辅助!BQ97</f>
        <v>0</v>
      </c>
      <c r="BL99" s="186">
        <f>_辅助!AG97</f>
        <v>0</v>
      </c>
      <c r="BM99" s="221">
        <f>BF99-BI99-BK99</f>
        <v>0</v>
      </c>
      <c r="BN99" s="187">
        <f>BG99-BJ99-BL99</f>
        <v>0</v>
      </c>
      <c r="BO99" s="236">
        <f>IF(AND(BF99&gt;0,BG99&gt;0),0,BJ99)</f>
        <v>0</v>
      </c>
      <c r="BP99" s="220">
        <f>IF($B99="",0,SUMIFS(采购进货!$E$4:$E$1503,采购进货!$D$4:$D$1503,$B99,采购进货!$B$4:$B$1503,"&gt;="&amp;DATE(年度,6,1),采购进货!$B$4:$B$1503,"&lt;"&amp;DATE(年度,6+1,1))+SUMIFS(采购进货!$H$4:$H$1503,采购进货!$D$4:$D$1503,$B99,采购进货!$B$4:$B$1503,"&gt;="&amp;DATE(年度,6,1),采购进货!$B$4:$B$1503,"&lt;"&amp;DATE(年度,6+1,1)))</f>
        <v>0</v>
      </c>
      <c r="BQ99" s="186">
        <f>IF($B99="",0,SUMIFS(采购进货!$G$4:$G$1503,采购进货!$D$4:$D$1503,$B99,采购进货!$B$4:$B$1503,"&gt;="&amp;DATE(年度,6,1),采购进货!$B$4:$B$1503,"&lt;"&amp;DATE(年度,6+1,1)))</f>
        <v>0</v>
      </c>
      <c r="BR99" s="234">
        <f>BM99+BP99</f>
        <v>0</v>
      </c>
      <c r="BS99" s="235">
        <f>BN99+BQ99</f>
        <v>0</v>
      </c>
      <c r="BT99" s="222">
        <f>IF(AND(BR99&gt;0,BS99&gt;0),BS99/BR99,N($E99))</f>
        <v>0</v>
      </c>
      <c r="BU99" s="220">
        <f>IF($B99="",0,SUMIFS(出库明细!$E$4:$E$3003,出库明细!$D$4:$D$3003,$B99,出库明细!$B$4:$B$3003,"&gt;="&amp;DATE(年度,6,1),出库明细!$B$4:$B$3003,"&lt;"&amp;DATE(年度,6+1,1)))</f>
        <v>0</v>
      </c>
      <c r="BV99" s="186">
        <f>BU99*BT99</f>
        <v>0</v>
      </c>
      <c r="BW99" s="220">
        <f>_辅助!BR97</f>
        <v>0</v>
      </c>
      <c r="BX99" s="186">
        <f>_辅助!AH97</f>
        <v>0</v>
      </c>
      <c r="BY99" s="221">
        <f>BR99-BU99-BW99</f>
        <v>0</v>
      </c>
      <c r="BZ99" s="187">
        <f>BS99-BV99-BX99</f>
        <v>0</v>
      </c>
      <c r="CA99" s="236">
        <f>IF(AND(BR99&gt;0,BS99&gt;0),0,BV99)</f>
        <v>0</v>
      </c>
      <c r="CB99" s="220">
        <f>IF($B99="",0,SUMIFS(采购进货!$E$4:$E$1503,采购进货!$D$4:$D$1503,$B99,采购进货!$B$4:$B$1503,"&gt;="&amp;DATE(年度,7,1),采购进货!$B$4:$B$1503,"&lt;"&amp;DATE(年度,7+1,1))+SUMIFS(采购进货!$H$4:$H$1503,采购进货!$D$4:$D$1503,$B99,采购进货!$B$4:$B$1503,"&gt;="&amp;DATE(年度,7,1),采购进货!$B$4:$B$1503,"&lt;"&amp;DATE(年度,7+1,1)))</f>
        <v>0</v>
      </c>
      <c r="CC99" s="186">
        <f>IF($B99="",0,SUMIFS(采购进货!$G$4:$G$1503,采购进货!$D$4:$D$1503,$B99,采购进货!$B$4:$B$1503,"&gt;="&amp;DATE(年度,7,1),采购进货!$B$4:$B$1503,"&lt;"&amp;DATE(年度,7+1,1)))</f>
        <v>0</v>
      </c>
      <c r="CD99" s="234">
        <f>BY99+CB99</f>
        <v>0</v>
      </c>
      <c r="CE99" s="235">
        <f>BZ99+CC99</f>
        <v>0</v>
      </c>
      <c r="CF99" s="222">
        <f>IF(AND(CD99&gt;0,CE99&gt;0),CE99/CD99,N($E99))</f>
        <v>0</v>
      </c>
      <c r="CG99" s="220">
        <f>IF($B99="",0,SUMIFS(出库明细!$E$4:$E$3003,出库明细!$D$4:$D$3003,$B99,出库明细!$B$4:$B$3003,"&gt;="&amp;DATE(年度,7,1),出库明细!$B$4:$B$3003,"&lt;"&amp;DATE(年度,7+1,1)))</f>
        <v>0</v>
      </c>
      <c r="CH99" s="186">
        <f>CG99*CF99</f>
        <v>0</v>
      </c>
      <c r="CI99" s="220">
        <f>_辅助!BS97</f>
        <v>0</v>
      </c>
      <c r="CJ99" s="186">
        <f>_辅助!AI97</f>
        <v>0</v>
      </c>
      <c r="CK99" s="221">
        <f>CD99-CG99-CI99</f>
        <v>0</v>
      </c>
      <c r="CL99" s="187">
        <f>CE99-CH99-CJ99</f>
        <v>0</v>
      </c>
      <c r="CM99" s="236">
        <f>IF(AND(CD99&gt;0,CE99&gt;0),0,CH99)</f>
        <v>0</v>
      </c>
      <c r="CN99" s="220">
        <f>IF($B99="",0,SUMIFS(采购进货!$E$4:$E$1503,采购进货!$D$4:$D$1503,$B99,采购进货!$B$4:$B$1503,"&gt;="&amp;DATE(年度,8,1),采购进货!$B$4:$B$1503,"&lt;"&amp;DATE(年度,8+1,1))+SUMIFS(采购进货!$H$4:$H$1503,采购进货!$D$4:$D$1503,$B99,采购进货!$B$4:$B$1503,"&gt;="&amp;DATE(年度,8,1),采购进货!$B$4:$B$1503,"&lt;"&amp;DATE(年度,8+1,1)))</f>
        <v>0</v>
      </c>
      <c r="CO99" s="186">
        <f>IF($B99="",0,SUMIFS(采购进货!$G$4:$G$1503,采购进货!$D$4:$D$1503,$B99,采购进货!$B$4:$B$1503,"&gt;="&amp;DATE(年度,8,1),采购进货!$B$4:$B$1503,"&lt;"&amp;DATE(年度,8+1,1)))</f>
        <v>0</v>
      </c>
      <c r="CP99" s="234">
        <f>CK99+CN99</f>
        <v>0</v>
      </c>
      <c r="CQ99" s="235">
        <f>CL99+CO99</f>
        <v>0</v>
      </c>
      <c r="CR99" s="222">
        <f>IF(AND(CP99&gt;0,CQ99&gt;0),CQ99/CP99,N($E99))</f>
        <v>0</v>
      </c>
      <c r="CS99" s="220">
        <f>IF($B99="",0,SUMIFS(出库明细!$E$4:$E$3003,出库明细!$D$4:$D$3003,$B99,出库明细!$B$4:$B$3003,"&gt;="&amp;DATE(年度,8,1),出库明细!$B$4:$B$3003,"&lt;"&amp;DATE(年度,8+1,1)))</f>
        <v>0</v>
      </c>
      <c r="CT99" s="186">
        <f>CS99*CR99</f>
        <v>0</v>
      </c>
      <c r="CU99" s="220">
        <f>_辅助!BT97</f>
        <v>0</v>
      </c>
      <c r="CV99" s="186">
        <f>_辅助!AJ97</f>
        <v>0</v>
      </c>
      <c r="CW99" s="221">
        <f>CP99-CS99-CU99</f>
        <v>0</v>
      </c>
      <c r="CX99" s="187">
        <f>CQ99-CT99-CV99</f>
        <v>0</v>
      </c>
      <c r="CY99" s="236">
        <f>IF(AND(CP99&gt;0,CQ99&gt;0),0,CT99)</f>
        <v>0</v>
      </c>
      <c r="CZ99" s="220">
        <f>IF($B99="",0,SUMIFS(采购进货!$E$4:$E$1503,采购进货!$D$4:$D$1503,$B99,采购进货!$B$4:$B$1503,"&gt;="&amp;DATE(年度,9,1),采购进货!$B$4:$B$1503,"&lt;"&amp;DATE(年度,9+1,1))+SUMIFS(采购进货!$H$4:$H$1503,采购进货!$D$4:$D$1503,$B99,采购进货!$B$4:$B$1503,"&gt;="&amp;DATE(年度,9,1),采购进货!$B$4:$B$1503,"&lt;"&amp;DATE(年度,9+1,1)))</f>
        <v>0</v>
      </c>
      <c r="DA99" s="186">
        <f>IF($B99="",0,SUMIFS(采购进货!$G$4:$G$1503,采购进货!$D$4:$D$1503,$B99,采购进货!$B$4:$B$1503,"&gt;="&amp;DATE(年度,9,1),采购进货!$B$4:$B$1503,"&lt;"&amp;DATE(年度,9+1,1)))</f>
        <v>0</v>
      </c>
      <c r="DB99" s="234">
        <f>CW99+CZ99</f>
        <v>0</v>
      </c>
      <c r="DC99" s="235">
        <f>CX99+DA99</f>
        <v>0</v>
      </c>
      <c r="DD99" s="222">
        <f>IF(AND(DB99&gt;0,DC99&gt;0),DC99/DB99,N($E99))</f>
        <v>0</v>
      </c>
      <c r="DE99" s="220">
        <f>IF($B99="",0,SUMIFS(出库明细!$E$4:$E$3003,出库明细!$D$4:$D$3003,$B99,出库明细!$B$4:$B$3003,"&gt;="&amp;DATE(年度,9,1),出库明细!$B$4:$B$3003,"&lt;"&amp;DATE(年度,9+1,1)))</f>
        <v>0</v>
      </c>
      <c r="DF99" s="186">
        <f>DE99*DD99</f>
        <v>0</v>
      </c>
      <c r="DG99" s="220">
        <f>_辅助!BU97</f>
        <v>0</v>
      </c>
      <c r="DH99" s="186">
        <f>_辅助!AK97</f>
        <v>0</v>
      </c>
      <c r="DI99" s="221">
        <f>DB99-DE99-DG99</f>
        <v>0</v>
      </c>
      <c r="DJ99" s="187">
        <f>DC99-DF99-DH99</f>
        <v>0</v>
      </c>
      <c r="DK99" s="236">
        <f>IF(AND(DB99&gt;0,DC99&gt;0),0,DF99)</f>
        <v>0</v>
      </c>
      <c r="DL99" s="220">
        <f>IF($B99="",0,SUMIFS(采购进货!$E$4:$E$1503,采购进货!$D$4:$D$1503,$B99,采购进货!$B$4:$B$1503,"&gt;="&amp;DATE(年度,10,1),采购进货!$B$4:$B$1503,"&lt;"&amp;DATE(年度,10+1,1))+SUMIFS(采购进货!$H$4:$H$1503,采购进货!$D$4:$D$1503,$B99,采购进货!$B$4:$B$1503,"&gt;="&amp;DATE(年度,10,1),采购进货!$B$4:$B$1503,"&lt;"&amp;DATE(年度,10+1,1)))</f>
        <v>0</v>
      </c>
      <c r="DM99" s="186">
        <f>IF($B99="",0,SUMIFS(采购进货!$G$4:$G$1503,采购进货!$D$4:$D$1503,$B99,采购进货!$B$4:$B$1503,"&gt;="&amp;DATE(年度,10,1),采购进货!$B$4:$B$1503,"&lt;"&amp;DATE(年度,10+1,1)))</f>
        <v>0</v>
      </c>
      <c r="DN99" s="234">
        <f>DI99+DL99</f>
        <v>0</v>
      </c>
      <c r="DO99" s="235">
        <f>DJ99+DM99</f>
        <v>0</v>
      </c>
      <c r="DP99" s="222">
        <f>IF(AND(DN99&gt;0,DO99&gt;0),DO99/DN99,N($E99))</f>
        <v>0</v>
      </c>
      <c r="DQ99" s="220">
        <f>IF($B99="",0,SUMIFS(出库明细!$E$4:$E$3003,出库明细!$D$4:$D$3003,$B99,出库明细!$B$4:$B$3003,"&gt;="&amp;DATE(年度,10,1),出库明细!$B$4:$B$3003,"&lt;"&amp;DATE(年度,10+1,1)))</f>
        <v>0</v>
      </c>
      <c r="DR99" s="186">
        <f>DQ99*DP99</f>
        <v>0</v>
      </c>
      <c r="DS99" s="220">
        <f>_辅助!BV97</f>
        <v>0</v>
      </c>
      <c r="DT99" s="186">
        <f>_辅助!AL97</f>
        <v>0</v>
      </c>
      <c r="DU99" s="221">
        <f>DN99-DQ99-DS99</f>
        <v>0</v>
      </c>
      <c r="DV99" s="187">
        <f>DO99-DR99-DT99</f>
        <v>0</v>
      </c>
      <c r="DW99" s="236">
        <f>IF(AND(DN99&gt;0,DO99&gt;0),0,DR99)</f>
        <v>0</v>
      </c>
      <c r="DX99" s="220">
        <f>IF($B99="",0,SUMIFS(采购进货!$E$4:$E$1503,采购进货!$D$4:$D$1503,$B99,采购进货!$B$4:$B$1503,"&gt;="&amp;DATE(年度,11,1),采购进货!$B$4:$B$1503,"&lt;"&amp;DATE(年度,11+1,1))+SUMIFS(采购进货!$H$4:$H$1503,采购进货!$D$4:$D$1503,$B99,采购进货!$B$4:$B$1503,"&gt;="&amp;DATE(年度,11,1),采购进货!$B$4:$B$1503,"&lt;"&amp;DATE(年度,11+1,1)))</f>
        <v>0</v>
      </c>
      <c r="DY99" s="186">
        <f>IF($B99="",0,SUMIFS(采购进货!$G$4:$G$1503,采购进货!$D$4:$D$1503,$B99,采购进货!$B$4:$B$1503,"&gt;="&amp;DATE(年度,11,1),采购进货!$B$4:$B$1503,"&lt;"&amp;DATE(年度,11+1,1)))</f>
        <v>0</v>
      </c>
      <c r="DZ99" s="234">
        <f>DU99+DX99</f>
        <v>0</v>
      </c>
      <c r="EA99" s="235">
        <f>DV99+DY99</f>
        <v>0</v>
      </c>
      <c r="EB99" s="222">
        <f>IF(AND(DZ99&gt;0,EA99&gt;0),EA99/DZ99,N($E99))</f>
        <v>0</v>
      </c>
      <c r="EC99" s="220">
        <f>IF($B99="",0,SUMIFS(出库明细!$E$4:$E$3003,出库明细!$D$4:$D$3003,$B99,出库明细!$B$4:$B$3003,"&gt;="&amp;DATE(年度,11,1),出库明细!$B$4:$B$3003,"&lt;"&amp;DATE(年度,11+1,1)))</f>
        <v>0</v>
      </c>
      <c r="ED99" s="186">
        <f>EC99*EB99</f>
        <v>0</v>
      </c>
      <c r="EE99" s="220">
        <f>_辅助!BW97</f>
        <v>0</v>
      </c>
      <c r="EF99" s="186">
        <f>_辅助!AM97</f>
        <v>0</v>
      </c>
      <c r="EG99" s="221">
        <f>DZ99-EC99-EE99</f>
        <v>0</v>
      </c>
      <c r="EH99" s="187">
        <f>EA99-ED99-EF99</f>
        <v>0</v>
      </c>
      <c r="EI99" s="236">
        <f>IF(AND(DZ99&gt;0,EA99&gt;0),0,ED99)</f>
        <v>0</v>
      </c>
      <c r="EJ99" s="220">
        <f>IF($B99="",0,SUMIFS(采购进货!$E$4:$E$1503,采购进货!$D$4:$D$1503,$B99,采购进货!$B$4:$B$1503,"&gt;="&amp;DATE(年度,12,1),采购进货!$B$4:$B$1503,"&lt;"&amp;DATE(年度,12+1,1))+SUMIFS(采购进货!$H$4:$H$1503,采购进货!$D$4:$D$1503,$B99,采购进货!$B$4:$B$1503,"&gt;="&amp;DATE(年度,12,1),采购进货!$B$4:$B$1503,"&lt;"&amp;DATE(年度,12+1,1)))</f>
        <v>0</v>
      </c>
      <c r="EK99" s="186">
        <f>IF($B99="",0,SUMIFS(采购进货!$G$4:$G$1503,采购进货!$D$4:$D$1503,$B99,采购进货!$B$4:$B$1503,"&gt;="&amp;DATE(年度,12,1),采购进货!$B$4:$B$1503,"&lt;"&amp;DATE(年度,12+1,1)))</f>
        <v>0</v>
      </c>
      <c r="EL99" s="234">
        <f>EG99+EJ99</f>
        <v>0</v>
      </c>
      <c r="EM99" s="235">
        <f>EH99+EK99</f>
        <v>0</v>
      </c>
      <c r="EN99" s="222">
        <f>IF(AND(EL99&gt;0,EM99&gt;0),EM99/EL99,N($E99))</f>
        <v>0</v>
      </c>
      <c r="EO99" s="220">
        <f>IF($B99="",0,SUMIFS(出库明细!$E$4:$E$3003,出库明细!$D$4:$D$3003,$B99,出库明细!$B$4:$B$3003,"&gt;="&amp;DATE(年度,12,1),出库明细!$B$4:$B$3003,"&lt;"&amp;DATE(年度,12+1,1)))</f>
        <v>0</v>
      </c>
      <c r="EP99" s="186">
        <f>EO99*EN99</f>
        <v>0</v>
      </c>
      <c r="EQ99" s="220">
        <f>_辅助!BX97</f>
        <v>0</v>
      </c>
      <c r="ER99" s="186">
        <f>_辅助!AN97</f>
        <v>0</v>
      </c>
      <c r="ES99" s="221">
        <f>EL99-EO99-EQ99</f>
        <v>0</v>
      </c>
      <c r="ET99" s="187">
        <f>EM99-EP99-ER99</f>
        <v>0</v>
      </c>
      <c r="EU99" s="236">
        <f>IF(AND(EL99&gt;0,EM99&gt;0),0,EP99)</f>
        <v>0</v>
      </c>
    </row>
    <row r="100">
      <c r="A100" s="194">
        <f>IF(B100="","",ROW()-7)</f>
      </c>
      <c r="B100" s="141">
        <f>IF(基础资料!E97="","",基础资料!E97&amp;"")</f>
      </c>
      <c r="C100" s="230">
        <f>IF(基础资料!G97="","",基础资料!G97&amp;"")</f>
      </c>
      <c r="D100" s="194">
        <f>IF(基础资料!I97="","",基础资料!I97)</f>
      </c>
      <c r="E100" s="231">
        <f>IF(基础资料!J97="","",基础资料!J97)</f>
      </c>
      <c r="F100" s="232">
        <f>N(基础资料!L97)</f>
        <v>0</v>
      </c>
      <c r="G100" s="233">
        <f>IF(基础资料!N97="",0,基础资料!N97)</f>
        <v>0</v>
      </c>
      <c r="H100" s="220">
        <f>IF($B100="",0,SUMIFS(采购进货!$E$4:$E$1503,采购进货!$D$4:$D$1503,$B100,采购进货!$B$4:$B$1503,"&gt;="&amp;DATE(年度,1,1),采购进货!$B$4:$B$1503,"&lt;"&amp;DATE(年度,1+1,1))+SUMIFS(采购进货!$H$4:$H$1503,采购进货!$D$4:$D$1503,$B100,采购进货!$B$4:$B$1503,"&gt;="&amp;DATE(年度,1,1),采购进货!$B$4:$B$1503,"&lt;"&amp;DATE(年度,1+1,1)))</f>
        <v>0</v>
      </c>
      <c r="I100" s="186">
        <f>IF($B100="",0,SUMIFS(采购进货!$G$4:$G$1503,采购进货!$D$4:$D$1503,$B100,采购进货!$B$4:$B$1503,"&gt;="&amp;DATE(年度,1,1),采购进货!$B$4:$B$1503,"&lt;"&amp;DATE(年度,1+1,1)))</f>
        <v>0</v>
      </c>
      <c r="J100" s="234">
        <f>F100+H100</f>
        <v>0</v>
      </c>
      <c r="K100" s="235">
        <f>G100+I100</f>
        <v>0</v>
      </c>
      <c r="L100" s="222">
        <f>IF(AND(J100&gt;0,K100&gt;0),K100/J100,N($E100))</f>
        <v>0</v>
      </c>
      <c r="M100" s="220">
        <f>IF($B100="",0,SUMIFS(出库明细!$E$4:$E$3003,出库明细!$D$4:$D$3003,$B100,出库明细!$B$4:$B$3003,"&gt;="&amp;DATE(年度,1,1),出库明细!$B$4:$B$3003,"&lt;"&amp;DATE(年度,1+1,1)))</f>
        <v>0</v>
      </c>
      <c r="N100" s="186">
        <f>M100*L100</f>
        <v>0</v>
      </c>
      <c r="O100" s="220">
        <f>_辅助!BM98</f>
        <v>0</v>
      </c>
      <c r="P100" s="186">
        <f>_辅助!AC98</f>
        <v>0</v>
      </c>
      <c r="Q100" s="221">
        <f>J100-M100-O100</f>
        <v>0</v>
      </c>
      <c r="R100" s="187">
        <f>K100-N100-P100</f>
        <v>0</v>
      </c>
      <c r="S100" s="236">
        <f>IF(AND(J100&gt;0,K100&gt;0),0,N100)</f>
        <v>0</v>
      </c>
      <c r="T100" s="220">
        <f>IF($B100="",0,SUMIFS(采购进货!$E$4:$E$1503,采购进货!$D$4:$D$1503,$B100,采购进货!$B$4:$B$1503,"&gt;="&amp;DATE(年度,2,1),采购进货!$B$4:$B$1503,"&lt;"&amp;DATE(年度,2+1,1))+SUMIFS(采购进货!$H$4:$H$1503,采购进货!$D$4:$D$1503,$B100,采购进货!$B$4:$B$1503,"&gt;="&amp;DATE(年度,2,1),采购进货!$B$4:$B$1503,"&lt;"&amp;DATE(年度,2+1,1)))</f>
        <v>0</v>
      </c>
      <c r="U100" s="186">
        <f>IF($B100="",0,SUMIFS(采购进货!$G$4:$G$1503,采购进货!$D$4:$D$1503,$B100,采购进货!$B$4:$B$1503,"&gt;="&amp;DATE(年度,2,1),采购进货!$B$4:$B$1503,"&lt;"&amp;DATE(年度,2+1,1)))</f>
        <v>0</v>
      </c>
      <c r="V100" s="234">
        <f>Q100+T100</f>
        <v>0</v>
      </c>
      <c r="W100" s="235">
        <f>R100+U100</f>
        <v>0</v>
      </c>
      <c r="X100" s="222">
        <f>IF(AND(V100&gt;0,W100&gt;0),W100/V100,N($E100))</f>
        <v>0</v>
      </c>
      <c r="Y100" s="220">
        <f>IF($B100="",0,SUMIFS(出库明细!$E$4:$E$3003,出库明细!$D$4:$D$3003,$B100,出库明细!$B$4:$B$3003,"&gt;="&amp;DATE(年度,2,1),出库明细!$B$4:$B$3003,"&lt;"&amp;DATE(年度,2+1,1)))</f>
        <v>0</v>
      </c>
      <c r="Z100" s="186">
        <f>Y100*X100</f>
        <v>0</v>
      </c>
      <c r="AA100" s="220">
        <f>_辅助!BN98</f>
        <v>0</v>
      </c>
      <c r="AB100" s="186">
        <f>_辅助!AD98</f>
        <v>0</v>
      </c>
      <c r="AC100" s="221">
        <f>V100-Y100-AA100</f>
        <v>0</v>
      </c>
      <c r="AD100" s="187">
        <f>W100-Z100-AB100</f>
        <v>0</v>
      </c>
      <c r="AE100" s="236">
        <f>IF(AND(V100&gt;0,W100&gt;0),0,Z100)</f>
        <v>0</v>
      </c>
      <c r="AF100" s="220">
        <f>IF($B100="",0,SUMIFS(采购进货!$E$4:$E$1503,采购进货!$D$4:$D$1503,$B100,采购进货!$B$4:$B$1503,"&gt;="&amp;DATE(年度,3,1),采购进货!$B$4:$B$1503,"&lt;"&amp;DATE(年度,3+1,1))+SUMIFS(采购进货!$H$4:$H$1503,采购进货!$D$4:$D$1503,$B100,采购进货!$B$4:$B$1503,"&gt;="&amp;DATE(年度,3,1),采购进货!$B$4:$B$1503,"&lt;"&amp;DATE(年度,3+1,1)))</f>
        <v>0</v>
      </c>
      <c r="AG100" s="186">
        <f>IF($B100="",0,SUMIFS(采购进货!$G$4:$G$1503,采购进货!$D$4:$D$1503,$B100,采购进货!$B$4:$B$1503,"&gt;="&amp;DATE(年度,3,1),采购进货!$B$4:$B$1503,"&lt;"&amp;DATE(年度,3+1,1)))</f>
        <v>0</v>
      </c>
      <c r="AH100" s="234">
        <f>AC100+AF100</f>
        <v>0</v>
      </c>
      <c r="AI100" s="235">
        <f>AD100+AG100</f>
        <v>0</v>
      </c>
      <c r="AJ100" s="222">
        <f>IF(AND(AH100&gt;0,AI100&gt;0),AI100/AH100,N($E100))</f>
        <v>0</v>
      </c>
      <c r="AK100" s="220">
        <f>IF($B100="",0,SUMIFS(出库明细!$E$4:$E$3003,出库明细!$D$4:$D$3003,$B100,出库明细!$B$4:$B$3003,"&gt;="&amp;DATE(年度,3,1),出库明细!$B$4:$B$3003,"&lt;"&amp;DATE(年度,3+1,1)))</f>
        <v>0</v>
      </c>
      <c r="AL100" s="186">
        <f>AK100*AJ100</f>
        <v>0</v>
      </c>
      <c r="AM100" s="220">
        <f>_辅助!BO98</f>
        <v>0</v>
      </c>
      <c r="AN100" s="186">
        <f>_辅助!AE98</f>
        <v>0</v>
      </c>
      <c r="AO100" s="221">
        <f>AH100-AK100-AM100</f>
        <v>0</v>
      </c>
      <c r="AP100" s="187">
        <f>AI100-AL100-AN100</f>
        <v>0</v>
      </c>
      <c r="AQ100" s="236">
        <f>IF(AND(AH100&gt;0,AI100&gt;0),0,AL100)</f>
        <v>0</v>
      </c>
      <c r="AR100" s="220">
        <f>IF($B100="",0,SUMIFS(采购进货!$E$4:$E$1503,采购进货!$D$4:$D$1503,$B100,采购进货!$B$4:$B$1503,"&gt;="&amp;DATE(年度,4,1),采购进货!$B$4:$B$1503,"&lt;"&amp;DATE(年度,4+1,1))+SUMIFS(采购进货!$H$4:$H$1503,采购进货!$D$4:$D$1503,$B100,采购进货!$B$4:$B$1503,"&gt;="&amp;DATE(年度,4,1),采购进货!$B$4:$B$1503,"&lt;"&amp;DATE(年度,4+1,1)))</f>
        <v>0</v>
      </c>
      <c r="AS100" s="186">
        <f>IF($B100="",0,SUMIFS(采购进货!$G$4:$G$1503,采购进货!$D$4:$D$1503,$B100,采购进货!$B$4:$B$1503,"&gt;="&amp;DATE(年度,4,1),采购进货!$B$4:$B$1503,"&lt;"&amp;DATE(年度,4+1,1)))</f>
        <v>0</v>
      </c>
      <c r="AT100" s="234">
        <f>AO100+AR100</f>
        <v>0</v>
      </c>
      <c r="AU100" s="235">
        <f>AP100+AS100</f>
        <v>0</v>
      </c>
      <c r="AV100" s="222">
        <f>IF(AND(AT100&gt;0,AU100&gt;0),AU100/AT100,N($E100))</f>
        <v>0</v>
      </c>
      <c r="AW100" s="220">
        <f>IF($B100="",0,SUMIFS(出库明细!$E$4:$E$3003,出库明细!$D$4:$D$3003,$B100,出库明细!$B$4:$B$3003,"&gt;="&amp;DATE(年度,4,1),出库明细!$B$4:$B$3003,"&lt;"&amp;DATE(年度,4+1,1)))</f>
        <v>0</v>
      </c>
      <c r="AX100" s="186">
        <f>AW100*AV100</f>
        <v>0</v>
      </c>
      <c r="AY100" s="220">
        <f>_辅助!BP98</f>
        <v>0</v>
      </c>
      <c r="AZ100" s="186">
        <f>_辅助!AF98</f>
        <v>0</v>
      </c>
      <c r="BA100" s="221">
        <f>AT100-AW100-AY100</f>
        <v>0</v>
      </c>
      <c r="BB100" s="187">
        <f>AU100-AX100-AZ100</f>
        <v>0</v>
      </c>
      <c r="BC100" s="236">
        <f>IF(AND(AT100&gt;0,AU100&gt;0),0,AX100)</f>
        <v>0</v>
      </c>
      <c r="BD100" s="220">
        <f>IF($B100="",0,SUMIFS(采购进货!$E$4:$E$1503,采购进货!$D$4:$D$1503,$B100,采购进货!$B$4:$B$1503,"&gt;="&amp;DATE(年度,5,1),采购进货!$B$4:$B$1503,"&lt;"&amp;DATE(年度,5+1,1))+SUMIFS(采购进货!$H$4:$H$1503,采购进货!$D$4:$D$1503,$B100,采购进货!$B$4:$B$1503,"&gt;="&amp;DATE(年度,5,1),采购进货!$B$4:$B$1503,"&lt;"&amp;DATE(年度,5+1,1)))</f>
        <v>0</v>
      </c>
      <c r="BE100" s="186">
        <f>IF($B100="",0,SUMIFS(采购进货!$G$4:$G$1503,采购进货!$D$4:$D$1503,$B100,采购进货!$B$4:$B$1503,"&gt;="&amp;DATE(年度,5,1),采购进货!$B$4:$B$1503,"&lt;"&amp;DATE(年度,5+1,1)))</f>
        <v>0</v>
      </c>
      <c r="BF100" s="234">
        <f>BA100+BD100</f>
        <v>0</v>
      </c>
      <c r="BG100" s="235">
        <f>BB100+BE100</f>
        <v>0</v>
      </c>
      <c r="BH100" s="222">
        <f>IF(AND(BF100&gt;0,BG100&gt;0),BG100/BF100,N($E100))</f>
        <v>0</v>
      </c>
      <c r="BI100" s="220">
        <f>IF($B100="",0,SUMIFS(出库明细!$E$4:$E$3003,出库明细!$D$4:$D$3003,$B100,出库明细!$B$4:$B$3003,"&gt;="&amp;DATE(年度,5,1),出库明细!$B$4:$B$3003,"&lt;"&amp;DATE(年度,5+1,1)))</f>
        <v>0</v>
      </c>
      <c r="BJ100" s="186">
        <f>BI100*BH100</f>
        <v>0</v>
      </c>
      <c r="BK100" s="220">
        <f>_辅助!BQ98</f>
        <v>0</v>
      </c>
      <c r="BL100" s="186">
        <f>_辅助!AG98</f>
        <v>0</v>
      </c>
      <c r="BM100" s="221">
        <f>BF100-BI100-BK100</f>
        <v>0</v>
      </c>
      <c r="BN100" s="187">
        <f>BG100-BJ100-BL100</f>
        <v>0</v>
      </c>
      <c r="BO100" s="236">
        <f>IF(AND(BF100&gt;0,BG100&gt;0),0,BJ100)</f>
        <v>0</v>
      </c>
      <c r="BP100" s="220">
        <f>IF($B100="",0,SUMIFS(采购进货!$E$4:$E$1503,采购进货!$D$4:$D$1503,$B100,采购进货!$B$4:$B$1503,"&gt;="&amp;DATE(年度,6,1),采购进货!$B$4:$B$1503,"&lt;"&amp;DATE(年度,6+1,1))+SUMIFS(采购进货!$H$4:$H$1503,采购进货!$D$4:$D$1503,$B100,采购进货!$B$4:$B$1503,"&gt;="&amp;DATE(年度,6,1),采购进货!$B$4:$B$1503,"&lt;"&amp;DATE(年度,6+1,1)))</f>
        <v>0</v>
      </c>
      <c r="BQ100" s="186">
        <f>IF($B100="",0,SUMIFS(采购进货!$G$4:$G$1503,采购进货!$D$4:$D$1503,$B100,采购进货!$B$4:$B$1503,"&gt;="&amp;DATE(年度,6,1),采购进货!$B$4:$B$1503,"&lt;"&amp;DATE(年度,6+1,1)))</f>
        <v>0</v>
      </c>
      <c r="BR100" s="234">
        <f>BM100+BP100</f>
        <v>0</v>
      </c>
      <c r="BS100" s="235">
        <f>BN100+BQ100</f>
        <v>0</v>
      </c>
      <c r="BT100" s="222">
        <f>IF(AND(BR100&gt;0,BS100&gt;0),BS100/BR100,N($E100))</f>
        <v>0</v>
      </c>
      <c r="BU100" s="220">
        <f>IF($B100="",0,SUMIFS(出库明细!$E$4:$E$3003,出库明细!$D$4:$D$3003,$B100,出库明细!$B$4:$B$3003,"&gt;="&amp;DATE(年度,6,1),出库明细!$B$4:$B$3003,"&lt;"&amp;DATE(年度,6+1,1)))</f>
        <v>0</v>
      </c>
      <c r="BV100" s="186">
        <f>BU100*BT100</f>
        <v>0</v>
      </c>
      <c r="BW100" s="220">
        <f>_辅助!BR98</f>
        <v>0</v>
      </c>
      <c r="BX100" s="186">
        <f>_辅助!AH98</f>
        <v>0</v>
      </c>
      <c r="BY100" s="221">
        <f>BR100-BU100-BW100</f>
        <v>0</v>
      </c>
      <c r="BZ100" s="187">
        <f>BS100-BV100-BX100</f>
        <v>0</v>
      </c>
      <c r="CA100" s="236">
        <f>IF(AND(BR100&gt;0,BS100&gt;0),0,BV100)</f>
        <v>0</v>
      </c>
      <c r="CB100" s="220">
        <f>IF($B100="",0,SUMIFS(采购进货!$E$4:$E$1503,采购进货!$D$4:$D$1503,$B100,采购进货!$B$4:$B$1503,"&gt;="&amp;DATE(年度,7,1),采购进货!$B$4:$B$1503,"&lt;"&amp;DATE(年度,7+1,1))+SUMIFS(采购进货!$H$4:$H$1503,采购进货!$D$4:$D$1503,$B100,采购进货!$B$4:$B$1503,"&gt;="&amp;DATE(年度,7,1),采购进货!$B$4:$B$1503,"&lt;"&amp;DATE(年度,7+1,1)))</f>
        <v>0</v>
      </c>
      <c r="CC100" s="186">
        <f>IF($B100="",0,SUMIFS(采购进货!$G$4:$G$1503,采购进货!$D$4:$D$1503,$B100,采购进货!$B$4:$B$1503,"&gt;="&amp;DATE(年度,7,1),采购进货!$B$4:$B$1503,"&lt;"&amp;DATE(年度,7+1,1)))</f>
        <v>0</v>
      </c>
      <c r="CD100" s="234">
        <f>BY100+CB100</f>
        <v>0</v>
      </c>
      <c r="CE100" s="235">
        <f>BZ100+CC100</f>
        <v>0</v>
      </c>
      <c r="CF100" s="222">
        <f>IF(AND(CD100&gt;0,CE100&gt;0),CE100/CD100,N($E100))</f>
        <v>0</v>
      </c>
      <c r="CG100" s="220">
        <f>IF($B100="",0,SUMIFS(出库明细!$E$4:$E$3003,出库明细!$D$4:$D$3003,$B100,出库明细!$B$4:$B$3003,"&gt;="&amp;DATE(年度,7,1),出库明细!$B$4:$B$3003,"&lt;"&amp;DATE(年度,7+1,1)))</f>
        <v>0</v>
      </c>
      <c r="CH100" s="186">
        <f>CG100*CF100</f>
        <v>0</v>
      </c>
      <c r="CI100" s="220">
        <f>_辅助!BS98</f>
        <v>0</v>
      </c>
      <c r="CJ100" s="186">
        <f>_辅助!AI98</f>
        <v>0</v>
      </c>
      <c r="CK100" s="221">
        <f>CD100-CG100-CI100</f>
        <v>0</v>
      </c>
      <c r="CL100" s="187">
        <f>CE100-CH100-CJ100</f>
        <v>0</v>
      </c>
      <c r="CM100" s="236">
        <f>IF(AND(CD100&gt;0,CE100&gt;0),0,CH100)</f>
        <v>0</v>
      </c>
      <c r="CN100" s="220">
        <f>IF($B100="",0,SUMIFS(采购进货!$E$4:$E$1503,采购进货!$D$4:$D$1503,$B100,采购进货!$B$4:$B$1503,"&gt;="&amp;DATE(年度,8,1),采购进货!$B$4:$B$1503,"&lt;"&amp;DATE(年度,8+1,1))+SUMIFS(采购进货!$H$4:$H$1503,采购进货!$D$4:$D$1503,$B100,采购进货!$B$4:$B$1503,"&gt;="&amp;DATE(年度,8,1),采购进货!$B$4:$B$1503,"&lt;"&amp;DATE(年度,8+1,1)))</f>
        <v>0</v>
      </c>
      <c r="CO100" s="186">
        <f>IF($B100="",0,SUMIFS(采购进货!$G$4:$G$1503,采购进货!$D$4:$D$1503,$B100,采购进货!$B$4:$B$1503,"&gt;="&amp;DATE(年度,8,1),采购进货!$B$4:$B$1503,"&lt;"&amp;DATE(年度,8+1,1)))</f>
        <v>0</v>
      </c>
      <c r="CP100" s="234">
        <f>CK100+CN100</f>
        <v>0</v>
      </c>
      <c r="CQ100" s="235">
        <f>CL100+CO100</f>
        <v>0</v>
      </c>
      <c r="CR100" s="222">
        <f>IF(AND(CP100&gt;0,CQ100&gt;0),CQ100/CP100,N($E100))</f>
        <v>0</v>
      </c>
      <c r="CS100" s="220">
        <f>IF($B100="",0,SUMIFS(出库明细!$E$4:$E$3003,出库明细!$D$4:$D$3003,$B100,出库明细!$B$4:$B$3003,"&gt;="&amp;DATE(年度,8,1),出库明细!$B$4:$B$3003,"&lt;"&amp;DATE(年度,8+1,1)))</f>
        <v>0</v>
      </c>
      <c r="CT100" s="186">
        <f>CS100*CR100</f>
        <v>0</v>
      </c>
      <c r="CU100" s="220">
        <f>_辅助!BT98</f>
        <v>0</v>
      </c>
      <c r="CV100" s="186">
        <f>_辅助!AJ98</f>
        <v>0</v>
      </c>
      <c r="CW100" s="221">
        <f>CP100-CS100-CU100</f>
        <v>0</v>
      </c>
      <c r="CX100" s="187">
        <f>CQ100-CT100-CV100</f>
        <v>0</v>
      </c>
      <c r="CY100" s="236">
        <f>IF(AND(CP100&gt;0,CQ100&gt;0),0,CT100)</f>
        <v>0</v>
      </c>
      <c r="CZ100" s="220">
        <f>IF($B100="",0,SUMIFS(采购进货!$E$4:$E$1503,采购进货!$D$4:$D$1503,$B100,采购进货!$B$4:$B$1503,"&gt;="&amp;DATE(年度,9,1),采购进货!$B$4:$B$1503,"&lt;"&amp;DATE(年度,9+1,1))+SUMIFS(采购进货!$H$4:$H$1503,采购进货!$D$4:$D$1503,$B100,采购进货!$B$4:$B$1503,"&gt;="&amp;DATE(年度,9,1),采购进货!$B$4:$B$1503,"&lt;"&amp;DATE(年度,9+1,1)))</f>
        <v>0</v>
      </c>
      <c r="DA100" s="186">
        <f>IF($B100="",0,SUMIFS(采购进货!$G$4:$G$1503,采购进货!$D$4:$D$1503,$B100,采购进货!$B$4:$B$1503,"&gt;="&amp;DATE(年度,9,1),采购进货!$B$4:$B$1503,"&lt;"&amp;DATE(年度,9+1,1)))</f>
        <v>0</v>
      </c>
      <c r="DB100" s="234">
        <f>CW100+CZ100</f>
        <v>0</v>
      </c>
      <c r="DC100" s="235">
        <f>CX100+DA100</f>
        <v>0</v>
      </c>
      <c r="DD100" s="222">
        <f>IF(AND(DB100&gt;0,DC100&gt;0),DC100/DB100,N($E100))</f>
        <v>0</v>
      </c>
      <c r="DE100" s="220">
        <f>IF($B100="",0,SUMIFS(出库明细!$E$4:$E$3003,出库明细!$D$4:$D$3003,$B100,出库明细!$B$4:$B$3003,"&gt;="&amp;DATE(年度,9,1),出库明细!$B$4:$B$3003,"&lt;"&amp;DATE(年度,9+1,1)))</f>
        <v>0</v>
      </c>
      <c r="DF100" s="186">
        <f>DE100*DD100</f>
        <v>0</v>
      </c>
      <c r="DG100" s="220">
        <f>_辅助!BU98</f>
        <v>0</v>
      </c>
      <c r="DH100" s="186">
        <f>_辅助!AK98</f>
        <v>0</v>
      </c>
      <c r="DI100" s="221">
        <f>DB100-DE100-DG100</f>
        <v>0</v>
      </c>
      <c r="DJ100" s="187">
        <f>DC100-DF100-DH100</f>
        <v>0</v>
      </c>
      <c r="DK100" s="236">
        <f>IF(AND(DB100&gt;0,DC100&gt;0),0,DF100)</f>
        <v>0</v>
      </c>
      <c r="DL100" s="220">
        <f>IF($B100="",0,SUMIFS(采购进货!$E$4:$E$1503,采购进货!$D$4:$D$1503,$B100,采购进货!$B$4:$B$1503,"&gt;="&amp;DATE(年度,10,1),采购进货!$B$4:$B$1503,"&lt;"&amp;DATE(年度,10+1,1))+SUMIFS(采购进货!$H$4:$H$1503,采购进货!$D$4:$D$1503,$B100,采购进货!$B$4:$B$1503,"&gt;="&amp;DATE(年度,10,1),采购进货!$B$4:$B$1503,"&lt;"&amp;DATE(年度,10+1,1)))</f>
        <v>0</v>
      </c>
      <c r="DM100" s="186">
        <f>IF($B100="",0,SUMIFS(采购进货!$G$4:$G$1503,采购进货!$D$4:$D$1503,$B100,采购进货!$B$4:$B$1503,"&gt;="&amp;DATE(年度,10,1),采购进货!$B$4:$B$1503,"&lt;"&amp;DATE(年度,10+1,1)))</f>
        <v>0</v>
      </c>
      <c r="DN100" s="234">
        <f>DI100+DL100</f>
        <v>0</v>
      </c>
      <c r="DO100" s="235">
        <f>DJ100+DM100</f>
        <v>0</v>
      </c>
      <c r="DP100" s="222">
        <f>IF(AND(DN100&gt;0,DO100&gt;0),DO100/DN100,N($E100))</f>
        <v>0</v>
      </c>
      <c r="DQ100" s="220">
        <f>IF($B100="",0,SUMIFS(出库明细!$E$4:$E$3003,出库明细!$D$4:$D$3003,$B100,出库明细!$B$4:$B$3003,"&gt;="&amp;DATE(年度,10,1),出库明细!$B$4:$B$3003,"&lt;"&amp;DATE(年度,10+1,1)))</f>
        <v>0</v>
      </c>
      <c r="DR100" s="186">
        <f>DQ100*DP100</f>
        <v>0</v>
      </c>
      <c r="DS100" s="220">
        <f>_辅助!BV98</f>
        <v>0</v>
      </c>
      <c r="DT100" s="186">
        <f>_辅助!AL98</f>
        <v>0</v>
      </c>
      <c r="DU100" s="221">
        <f>DN100-DQ100-DS100</f>
        <v>0</v>
      </c>
      <c r="DV100" s="187">
        <f>DO100-DR100-DT100</f>
        <v>0</v>
      </c>
      <c r="DW100" s="236">
        <f>IF(AND(DN100&gt;0,DO100&gt;0),0,DR100)</f>
        <v>0</v>
      </c>
      <c r="DX100" s="220">
        <f>IF($B100="",0,SUMIFS(采购进货!$E$4:$E$1503,采购进货!$D$4:$D$1503,$B100,采购进货!$B$4:$B$1503,"&gt;="&amp;DATE(年度,11,1),采购进货!$B$4:$B$1503,"&lt;"&amp;DATE(年度,11+1,1))+SUMIFS(采购进货!$H$4:$H$1503,采购进货!$D$4:$D$1503,$B100,采购进货!$B$4:$B$1503,"&gt;="&amp;DATE(年度,11,1),采购进货!$B$4:$B$1503,"&lt;"&amp;DATE(年度,11+1,1)))</f>
        <v>0</v>
      </c>
      <c r="DY100" s="186">
        <f>IF($B100="",0,SUMIFS(采购进货!$G$4:$G$1503,采购进货!$D$4:$D$1503,$B100,采购进货!$B$4:$B$1503,"&gt;="&amp;DATE(年度,11,1),采购进货!$B$4:$B$1503,"&lt;"&amp;DATE(年度,11+1,1)))</f>
        <v>0</v>
      </c>
      <c r="DZ100" s="234">
        <f>DU100+DX100</f>
        <v>0</v>
      </c>
      <c r="EA100" s="235">
        <f>DV100+DY100</f>
        <v>0</v>
      </c>
      <c r="EB100" s="222">
        <f>IF(AND(DZ100&gt;0,EA100&gt;0),EA100/DZ100,N($E100))</f>
        <v>0</v>
      </c>
      <c r="EC100" s="220">
        <f>IF($B100="",0,SUMIFS(出库明细!$E$4:$E$3003,出库明细!$D$4:$D$3003,$B100,出库明细!$B$4:$B$3003,"&gt;="&amp;DATE(年度,11,1),出库明细!$B$4:$B$3003,"&lt;"&amp;DATE(年度,11+1,1)))</f>
        <v>0</v>
      </c>
      <c r="ED100" s="186">
        <f>EC100*EB100</f>
        <v>0</v>
      </c>
      <c r="EE100" s="220">
        <f>_辅助!BW98</f>
        <v>0</v>
      </c>
      <c r="EF100" s="186">
        <f>_辅助!AM98</f>
        <v>0</v>
      </c>
      <c r="EG100" s="221">
        <f>DZ100-EC100-EE100</f>
        <v>0</v>
      </c>
      <c r="EH100" s="187">
        <f>EA100-ED100-EF100</f>
        <v>0</v>
      </c>
      <c r="EI100" s="236">
        <f>IF(AND(DZ100&gt;0,EA100&gt;0),0,ED100)</f>
        <v>0</v>
      </c>
      <c r="EJ100" s="220">
        <f>IF($B100="",0,SUMIFS(采购进货!$E$4:$E$1503,采购进货!$D$4:$D$1503,$B100,采购进货!$B$4:$B$1503,"&gt;="&amp;DATE(年度,12,1),采购进货!$B$4:$B$1503,"&lt;"&amp;DATE(年度,12+1,1))+SUMIFS(采购进货!$H$4:$H$1503,采购进货!$D$4:$D$1503,$B100,采购进货!$B$4:$B$1503,"&gt;="&amp;DATE(年度,12,1),采购进货!$B$4:$B$1503,"&lt;"&amp;DATE(年度,12+1,1)))</f>
        <v>0</v>
      </c>
      <c r="EK100" s="186">
        <f>IF($B100="",0,SUMIFS(采购进货!$G$4:$G$1503,采购进货!$D$4:$D$1503,$B100,采购进货!$B$4:$B$1503,"&gt;="&amp;DATE(年度,12,1),采购进货!$B$4:$B$1503,"&lt;"&amp;DATE(年度,12+1,1)))</f>
        <v>0</v>
      </c>
      <c r="EL100" s="234">
        <f>EG100+EJ100</f>
        <v>0</v>
      </c>
      <c r="EM100" s="235">
        <f>EH100+EK100</f>
        <v>0</v>
      </c>
      <c r="EN100" s="222">
        <f>IF(AND(EL100&gt;0,EM100&gt;0),EM100/EL100,N($E100))</f>
        <v>0</v>
      </c>
      <c r="EO100" s="220">
        <f>IF($B100="",0,SUMIFS(出库明细!$E$4:$E$3003,出库明细!$D$4:$D$3003,$B100,出库明细!$B$4:$B$3003,"&gt;="&amp;DATE(年度,12,1),出库明细!$B$4:$B$3003,"&lt;"&amp;DATE(年度,12+1,1)))</f>
        <v>0</v>
      </c>
      <c r="EP100" s="186">
        <f>EO100*EN100</f>
        <v>0</v>
      </c>
      <c r="EQ100" s="220">
        <f>_辅助!BX98</f>
        <v>0</v>
      </c>
      <c r="ER100" s="186">
        <f>_辅助!AN98</f>
        <v>0</v>
      </c>
      <c r="ES100" s="221">
        <f>EL100-EO100-EQ100</f>
        <v>0</v>
      </c>
      <c r="ET100" s="187">
        <f>EM100-EP100-ER100</f>
        <v>0</v>
      </c>
      <c r="EU100" s="236">
        <f>IF(AND(EL100&gt;0,EM100&gt;0),0,EP100)</f>
        <v>0</v>
      </c>
    </row>
    <row r="101">
      <c r="A101" s="194">
        <f>IF(B101="","",ROW()-7)</f>
      </c>
      <c r="B101" s="141">
        <f>IF(基础资料!E98="","",基础资料!E98&amp;"")</f>
      </c>
      <c r="C101" s="230">
        <f>IF(基础资料!G98="","",基础资料!G98&amp;"")</f>
      </c>
      <c r="D101" s="194">
        <f>IF(基础资料!I98="","",基础资料!I98)</f>
      </c>
      <c r="E101" s="231">
        <f>IF(基础资料!J98="","",基础资料!J98)</f>
      </c>
      <c r="F101" s="232">
        <f>N(基础资料!L98)</f>
        <v>0</v>
      </c>
      <c r="G101" s="233">
        <f>IF(基础资料!N98="",0,基础资料!N98)</f>
        <v>0</v>
      </c>
      <c r="H101" s="220">
        <f>IF($B101="",0,SUMIFS(采购进货!$E$4:$E$1503,采购进货!$D$4:$D$1503,$B101,采购进货!$B$4:$B$1503,"&gt;="&amp;DATE(年度,1,1),采购进货!$B$4:$B$1503,"&lt;"&amp;DATE(年度,1+1,1))+SUMIFS(采购进货!$H$4:$H$1503,采购进货!$D$4:$D$1503,$B101,采购进货!$B$4:$B$1503,"&gt;="&amp;DATE(年度,1,1),采购进货!$B$4:$B$1503,"&lt;"&amp;DATE(年度,1+1,1)))</f>
        <v>0</v>
      </c>
      <c r="I101" s="186">
        <f>IF($B101="",0,SUMIFS(采购进货!$G$4:$G$1503,采购进货!$D$4:$D$1503,$B101,采购进货!$B$4:$B$1503,"&gt;="&amp;DATE(年度,1,1),采购进货!$B$4:$B$1503,"&lt;"&amp;DATE(年度,1+1,1)))</f>
        <v>0</v>
      </c>
      <c r="J101" s="234">
        <f>F101+H101</f>
        <v>0</v>
      </c>
      <c r="K101" s="235">
        <f>G101+I101</f>
        <v>0</v>
      </c>
      <c r="L101" s="222">
        <f>IF(AND(J101&gt;0,K101&gt;0),K101/J101,N($E101))</f>
        <v>0</v>
      </c>
      <c r="M101" s="220">
        <f>IF($B101="",0,SUMIFS(出库明细!$E$4:$E$3003,出库明细!$D$4:$D$3003,$B101,出库明细!$B$4:$B$3003,"&gt;="&amp;DATE(年度,1,1),出库明细!$B$4:$B$3003,"&lt;"&amp;DATE(年度,1+1,1)))</f>
        <v>0</v>
      </c>
      <c r="N101" s="186">
        <f>M101*L101</f>
        <v>0</v>
      </c>
      <c r="O101" s="220">
        <f>_辅助!BM99</f>
        <v>0</v>
      </c>
      <c r="P101" s="186">
        <f>_辅助!AC99</f>
        <v>0</v>
      </c>
      <c r="Q101" s="221">
        <f>J101-M101-O101</f>
        <v>0</v>
      </c>
      <c r="R101" s="187">
        <f>K101-N101-P101</f>
        <v>0</v>
      </c>
      <c r="S101" s="236">
        <f>IF(AND(J101&gt;0,K101&gt;0),0,N101)</f>
        <v>0</v>
      </c>
      <c r="T101" s="220">
        <f>IF($B101="",0,SUMIFS(采购进货!$E$4:$E$1503,采购进货!$D$4:$D$1503,$B101,采购进货!$B$4:$B$1503,"&gt;="&amp;DATE(年度,2,1),采购进货!$B$4:$B$1503,"&lt;"&amp;DATE(年度,2+1,1))+SUMIFS(采购进货!$H$4:$H$1503,采购进货!$D$4:$D$1503,$B101,采购进货!$B$4:$B$1503,"&gt;="&amp;DATE(年度,2,1),采购进货!$B$4:$B$1503,"&lt;"&amp;DATE(年度,2+1,1)))</f>
        <v>0</v>
      </c>
      <c r="U101" s="186">
        <f>IF($B101="",0,SUMIFS(采购进货!$G$4:$G$1503,采购进货!$D$4:$D$1503,$B101,采购进货!$B$4:$B$1503,"&gt;="&amp;DATE(年度,2,1),采购进货!$B$4:$B$1503,"&lt;"&amp;DATE(年度,2+1,1)))</f>
        <v>0</v>
      </c>
      <c r="V101" s="234">
        <f>Q101+T101</f>
        <v>0</v>
      </c>
      <c r="W101" s="235">
        <f>R101+U101</f>
        <v>0</v>
      </c>
      <c r="X101" s="222">
        <f>IF(AND(V101&gt;0,W101&gt;0),W101/V101,N($E101))</f>
        <v>0</v>
      </c>
      <c r="Y101" s="220">
        <f>IF($B101="",0,SUMIFS(出库明细!$E$4:$E$3003,出库明细!$D$4:$D$3003,$B101,出库明细!$B$4:$B$3003,"&gt;="&amp;DATE(年度,2,1),出库明细!$B$4:$B$3003,"&lt;"&amp;DATE(年度,2+1,1)))</f>
        <v>0</v>
      </c>
      <c r="Z101" s="186">
        <f>Y101*X101</f>
        <v>0</v>
      </c>
      <c r="AA101" s="220">
        <f>_辅助!BN99</f>
        <v>0</v>
      </c>
      <c r="AB101" s="186">
        <f>_辅助!AD99</f>
        <v>0</v>
      </c>
      <c r="AC101" s="221">
        <f>V101-Y101-AA101</f>
        <v>0</v>
      </c>
      <c r="AD101" s="187">
        <f>W101-Z101-AB101</f>
        <v>0</v>
      </c>
      <c r="AE101" s="236">
        <f>IF(AND(V101&gt;0,W101&gt;0),0,Z101)</f>
        <v>0</v>
      </c>
      <c r="AF101" s="220">
        <f>IF($B101="",0,SUMIFS(采购进货!$E$4:$E$1503,采购进货!$D$4:$D$1503,$B101,采购进货!$B$4:$B$1503,"&gt;="&amp;DATE(年度,3,1),采购进货!$B$4:$B$1503,"&lt;"&amp;DATE(年度,3+1,1))+SUMIFS(采购进货!$H$4:$H$1503,采购进货!$D$4:$D$1503,$B101,采购进货!$B$4:$B$1503,"&gt;="&amp;DATE(年度,3,1),采购进货!$B$4:$B$1503,"&lt;"&amp;DATE(年度,3+1,1)))</f>
        <v>0</v>
      </c>
      <c r="AG101" s="186">
        <f>IF($B101="",0,SUMIFS(采购进货!$G$4:$G$1503,采购进货!$D$4:$D$1503,$B101,采购进货!$B$4:$B$1503,"&gt;="&amp;DATE(年度,3,1),采购进货!$B$4:$B$1503,"&lt;"&amp;DATE(年度,3+1,1)))</f>
        <v>0</v>
      </c>
      <c r="AH101" s="234">
        <f>AC101+AF101</f>
        <v>0</v>
      </c>
      <c r="AI101" s="235">
        <f>AD101+AG101</f>
        <v>0</v>
      </c>
      <c r="AJ101" s="222">
        <f>IF(AND(AH101&gt;0,AI101&gt;0),AI101/AH101,N($E101))</f>
        <v>0</v>
      </c>
      <c r="AK101" s="220">
        <f>IF($B101="",0,SUMIFS(出库明细!$E$4:$E$3003,出库明细!$D$4:$D$3003,$B101,出库明细!$B$4:$B$3003,"&gt;="&amp;DATE(年度,3,1),出库明细!$B$4:$B$3003,"&lt;"&amp;DATE(年度,3+1,1)))</f>
        <v>0</v>
      </c>
      <c r="AL101" s="186">
        <f>AK101*AJ101</f>
        <v>0</v>
      </c>
      <c r="AM101" s="220">
        <f>_辅助!BO99</f>
        <v>0</v>
      </c>
      <c r="AN101" s="186">
        <f>_辅助!AE99</f>
        <v>0</v>
      </c>
      <c r="AO101" s="221">
        <f>AH101-AK101-AM101</f>
        <v>0</v>
      </c>
      <c r="AP101" s="187">
        <f>AI101-AL101-AN101</f>
        <v>0</v>
      </c>
      <c r="AQ101" s="236">
        <f>IF(AND(AH101&gt;0,AI101&gt;0),0,AL101)</f>
        <v>0</v>
      </c>
      <c r="AR101" s="220">
        <f>IF($B101="",0,SUMIFS(采购进货!$E$4:$E$1503,采购进货!$D$4:$D$1503,$B101,采购进货!$B$4:$B$1503,"&gt;="&amp;DATE(年度,4,1),采购进货!$B$4:$B$1503,"&lt;"&amp;DATE(年度,4+1,1))+SUMIFS(采购进货!$H$4:$H$1503,采购进货!$D$4:$D$1503,$B101,采购进货!$B$4:$B$1503,"&gt;="&amp;DATE(年度,4,1),采购进货!$B$4:$B$1503,"&lt;"&amp;DATE(年度,4+1,1)))</f>
        <v>0</v>
      </c>
      <c r="AS101" s="186">
        <f>IF($B101="",0,SUMIFS(采购进货!$G$4:$G$1503,采购进货!$D$4:$D$1503,$B101,采购进货!$B$4:$B$1503,"&gt;="&amp;DATE(年度,4,1),采购进货!$B$4:$B$1503,"&lt;"&amp;DATE(年度,4+1,1)))</f>
        <v>0</v>
      </c>
      <c r="AT101" s="234">
        <f>AO101+AR101</f>
        <v>0</v>
      </c>
      <c r="AU101" s="235">
        <f>AP101+AS101</f>
        <v>0</v>
      </c>
      <c r="AV101" s="222">
        <f>IF(AND(AT101&gt;0,AU101&gt;0),AU101/AT101,N($E101))</f>
        <v>0</v>
      </c>
      <c r="AW101" s="220">
        <f>IF($B101="",0,SUMIFS(出库明细!$E$4:$E$3003,出库明细!$D$4:$D$3003,$B101,出库明细!$B$4:$B$3003,"&gt;="&amp;DATE(年度,4,1),出库明细!$B$4:$B$3003,"&lt;"&amp;DATE(年度,4+1,1)))</f>
        <v>0</v>
      </c>
      <c r="AX101" s="186">
        <f>AW101*AV101</f>
        <v>0</v>
      </c>
      <c r="AY101" s="220">
        <f>_辅助!BP99</f>
        <v>0</v>
      </c>
      <c r="AZ101" s="186">
        <f>_辅助!AF99</f>
        <v>0</v>
      </c>
      <c r="BA101" s="221">
        <f>AT101-AW101-AY101</f>
        <v>0</v>
      </c>
      <c r="BB101" s="187">
        <f>AU101-AX101-AZ101</f>
        <v>0</v>
      </c>
      <c r="BC101" s="236">
        <f>IF(AND(AT101&gt;0,AU101&gt;0),0,AX101)</f>
        <v>0</v>
      </c>
      <c r="BD101" s="220">
        <f>IF($B101="",0,SUMIFS(采购进货!$E$4:$E$1503,采购进货!$D$4:$D$1503,$B101,采购进货!$B$4:$B$1503,"&gt;="&amp;DATE(年度,5,1),采购进货!$B$4:$B$1503,"&lt;"&amp;DATE(年度,5+1,1))+SUMIFS(采购进货!$H$4:$H$1503,采购进货!$D$4:$D$1503,$B101,采购进货!$B$4:$B$1503,"&gt;="&amp;DATE(年度,5,1),采购进货!$B$4:$B$1503,"&lt;"&amp;DATE(年度,5+1,1)))</f>
        <v>0</v>
      </c>
      <c r="BE101" s="186">
        <f>IF($B101="",0,SUMIFS(采购进货!$G$4:$G$1503,采购进货!$D$4:$D$1503,$B101,采购进货!$B$4:$B$1503,"&gt;="&amp;DATE(年度,5,1),采购进货!$B$4:$B$1503,"&lt;"&amp;DATE(年度,5+1,1)))</f>
        <v>0</v>
      </c>
      <c r="BF101" s="234">
        <f>BA101+BD101</f>
        <v>0</v>
      </c>
      <c r="BG101" s="235">
        <f>BB101+BE101</f>
        <v>0</v>
      </c>
      <c r="BH101" s="222">
        <f>IF(AND(BF101&gt;0,BG101&gt;0),BG101/BF101,N($E101))</f>
        <v>0</v>
      </c>
      <c r="BI101" s="220">
        <f>IF($B101="",0,SUMIFS(出库明细!$E$4:$E$3003,出库明细!$D$4:$D$3003,$B101,出库明细!$B$4:$B$3003,"&gt;="&amp;DATE(年度,5,1),出库明细!$B$4:$B$3003,"&lt;"&amp;DATE(年度,5+1,1)))</f>
        <v>0</v>
      </c>
      <c r="BJ101" s="186">
        <f>BI101*BH101</f>
        <v>0</v>
      </c>
      <c r="BK101" s="220">
        <f>_辅助!BQ99</f>
        <v>0</v>
      </c>
      <c r="BL101" s="186">
        <f>_辅助!AG99</f>
        <v>0</v>
      </c>
      <c r="BM101" s="221">
        <f>BF101-BI101-BK101</f>
        <v>0</v>
      </c>
      <c r="BN101" s="187">
        <f>BG101-BJ101-BL101</f>
        <v>0</v>
      </c>
      <c r="BO101" s="236">
        <f>IF(AND(BF101&gt;0,BG101&gt;0),0,BJ101)</f>
        <v>0</v>
      </c>
      <c r="BP101" s="220">
        <f>IF($B101="",0,SUMIFS(采购进货!$E$4:$E$1503,采购进货!$D$4:$D$1503,$B101,采购进货!$B$4:$B$1503,"&gt;="&amp;DATE(年度,6,1),采购进货!$B$4:$B$1503,"&lt;"&amp;DATE(年度,6+1,1))+SUMIFS(采购进货!$H$4:$H$1503,采购进货!$D$4:$D$1503,$B101,采购进货!$B$4:$B$1503,"&gt;="&amp;DATE(年度,6,1),采购进货!$B$4:$B$1503,"&lt;"&amp;DATE(年度,6+1,1)))</f>
        <v>0</v>
      </c>
      <c r="BQ101" s="186">
        <f>IF($B101="",0,SUMIFS(采购进货!$G$4:$G$1503,采购进货!$D$4:$D$1503,$B101,采购进货!$B$4:$B$1503,"&gt;="&amp;DATE(年度,6,1),采购进货!$B$4:$B$1503,"&lt;"&amp;DATE(年度,6+1,1)))</f>
        <v>0</v>
      </c>
      <c r="BR101" s="234">
        <f>BM101+BP101</f>
        <v>0</v>
      </c>
      <c r="BS101" s="235">
        <f>BN101+BQ101</f>
        <v>0</v>
      </c>
      <c r="BT101" s="222">
        <f>IF(AND(BR101&gt;0,BS101&gt;0),BS101/BR101,N($E101))</f>
        <v>0</v>
      </c>
      <c r="BU101" s="220">
        <f>IF($B101="",0,SUMIFS(出库明细!$E$4:$E$3003,出库明细!$D$4:$D$3003,$B101,出库明细!$B$4:$B$3003,"&gt;="&amp;DATE(年度,6,1),出库明细!$B$4:$B$3003,"&lt;"&amp;DATE(年度,6+1,1)))</f>
        <v>0</v>
      </c>
      <c r="BV101" s="186">
        <f>BU101*BT101</f>
        <v>0</v>
      </c>
      <c r="BW101" s="220">
        <f>_辅助!BR99</f>
        <v>0</v>
      </c>
      <c r="BX101" s="186">
        <f>_辅助!AH99</f>
        <v>0</v>
      </c>
      <c r="BY101" s="221">
        <f>BR101-BU101-BW101</f>
        <v>0</v>
      </c>
      <c r="BZ101" s="187">
        <f>BS101-BV101-BX101</f>
        <v>0</v>
      </c>
      <c r="CA101" s="236">
        <f>IF(AND(BR101&gt;0,BS101&gt;0),0,BV101)</f>
        <v>0</v>
      </c>
      <c r="CB101" s="220">
        <f>IF($B101="",0,SUMIFS(采购进货!$E$4:$E$1503,采购进货!$D$4:$D$1503,$B101,采购进货!$B$4:$B$1503,"&gt;="&amp;DATE(年度,7,1),采购进货!$B$4:$B$1503,"&lt;"&amp;DATE(年度,7+1,1))+SUMIFS(采购进货!$H$4:$H$1503,采购进货!$D$4:$D$1503,$B101,采购进货!$B$4:$B$1503,"&gt;="&amp;DATE(年度,7,1),采购进货!$B$4:$B$1503,"&lt;"&amp;DATE(年度,7+1,1)))</f>
        <v>0</v>
      </c>
      <c r="CC101" s="186">
        <f>IF($B101="",0,SUMIFS(采购进货!$G$4:$G$1503,采购进货!$D$4:$D$1503,$B101,采购进货!$B$4:$B$1503,"&gt;="&amp;DATE(年度,7,1),采购进货!$B$4:$B$1503,"&lt;"&amp;DATE(年度,7+1,1)))</f>
        <v>0</v>
      </c>
      <c r="CD101" s="234">
        <f>BY101+CB101</f>
        <v>0</v>
      </c>
      <c r="CE101" s="235">
        <f>BZ101+CC101</f>
        <v>0</v>
      </c>
      <c r="CF101" s="222">
        <f>IF(AND(CD101&gt;0,CE101&gt;0),CE101/CD101,N($E101))</f>
        <v>0</v>
      </c>
      <c r="CG101" s="220">
        <f>IF($B101="",0,SUMIFS(出库明细!$E$4:$E$3003,出库明细!$D$4:$D$3003,$B101,出库明细!$B$4:$B$3003,"&gt;="&amp;DATE(年度,7,1),出库明细!$B$4:$B$3003,"&lt;"&amp;DATE(年度,7+1,1)))</f>
        <v>0</v>
      </c>
      <c r="CH101" s="186">
        <f>CG101*CF101</f>
        <v>0</v>
      </c>
      <c r="CI101" s="220">
        <f>_辅助!BS99</f>
        <v>0</v>
      </c>
      <c r="CJ101" s="186">
        <f>_辅助!AI99</f>
        <v>0</v>
      </c>
      <c r="CK101" s="221">
        <f>CD101-CG101-CI101</f>
        <v>0</v>
      </c>
      <c r="CL101" s="187">
        <f>CE101-CH101-CJ101</f>
        <v>0</v>
      </c>
      <c r="CM101" s="236">
        <f>IF(AND(CD101&gt;0,CE101&gt;0),0,CH101)</f>
        <v>0</v>
      </c>
      <c r="CN101" s="220">
        <f>IF($B101="",0,SUMIFS(采购进货!$E$4:$E$1503,采购进货!$D$4:$D$1503,$B101,采购进货!$B$4:$B$1503,"&gt;="&amp;DATE(年度,8,1),采购进货!$B$4:$B$1503,"&lt;"&amp;DATE(年度,8+1,1))+SUMIFS(采购进货!$H$4:$H$1503,采购进货!$D$4:$D$1503,$B101,采购进货!$B$4:$B$1503,"&gt;="&amp;DATE(年度,8,1),采购进货!$B$4:$B$1503,"&lt;"&amp;DATE(年度,8+1,1)))</f>
        <v>0</v>
      </c>
      <c r="CO101" s="186">
        <f>IF($B101="",0,SUMIFS(采购进货!$G$4:$G$1503,采购进货!$D$4:$D$1503,$B101,采购进货!$B$4:$B$1503,"&gt;="&amp;DATE(年度,8,1),采购进货!$B$4:$B$1503,"&lt;"&amp;DATE(年度,8+1,1)))</f>
        <v>0</v>
      </c>
      <c r="CP101" s="234">
        <f>CK101+CN101</f>
        <v>0</v>
      </c>
      <c r="CQ101" s="235">
        <f>CL101+CO101</f>
        <v>0</v>
      </c>
      <c r="CR101" s="222">
        <f>IF(AND(CP101&gt;0,CQ101&gt;0),CQ101/CP101,N($E101))</f>
        <v>0</v>
      </c>
      <c r="CS101" s="220">
        <f>IF($B101="",0,SUMIFS(出库明细!$E$4:$E$3003,出库明细!$D$4:$D$3003,$B101,出库明细!$B$4:$B$3003,"&gt;="&amp;DATE(年度,8,1),出库明细!$B$4:$B$3003,"&lt;"&amp;DATE(年度,8+1,1)))</f>
        <v>0</v>
      </c>
      <c r="CT101" s="186">
        <f>CS101*CR101</f>
        <v>0</v>
      </c>
      <c r="CU101" s="220">
        <f>_辅助!BT99</f>
        <v>0</v>
      </c>
      <c r="CV101" s="186">
        <f>_辅助!AJ99</f>
        <v>0</v>
      </c>
      <c r="CW101" s="221">
        <f>CP101-CS101-CU101</f>
        <v>0</v>
      </c>
      <c r="CX101" s="187">
        <f>CQ101-CT101-CV101</f>
        <v>0</v>
      </c>
      <c r="CY101" s="236">
        <f>IF(AND(CP101&gt;0,CQ101&gt;0),0,CT101)</f>
        <v>0</v>
      </c>
      <c r="CZ101" s="220">
        <f>IF($B101="",0,SUMIFS(采购进货!$E$4:$E$1503,采购进货!$D$4:$D$1503,$B101,采购进货!$B$4:$B$1503,"&gt;="&amp;DATE(年度,9,1),采购进货!$B$4:$B$1503,"&lt;"&amp;DATE(年度,9+1,1))+SUMIFS(采购进货!$H$4:$H$1503,采购进货!$D$4:$D$1503,$B101,采购进货!$B$4:$B$1503,"&gt;="&amp;DATE(年度,9,1),采购进货!$B$4:$B$1503,"&lt;"&amp;DATE(年度,9+1,1)))</f>
        <v>0</v>
      </c>
      <c r="DA101" s="186">
        <f>IF($B101="",0,SUMIFS(采购进货!$G$4:$G$1503,采购进货!$D$4:$D$1503,$B101,采购进货!$B$4:$B$1503,"&gt;="&amp;DATE(年度,9,1),采购进货!$B$4:$B$1503,"&lt;"&amp;DATE(年度,9+1,1)))</f>
        <v>0</v>
      </c>
      <c r="DB101" s="234">
        <f>CW101+CZ101</f>
        <v>0</v>
      </c>
      <c r="DC101" s="235">
        <f>CX101+DA101</f>
        <v>0</v>
      </c>
      <c r="DD101" s="222">
        <f>IF(AND(DB101&gt;0,DC101&gt;0),DC101/DB101,N($E101))</f>
        <v>0</v>
      </c>
      <c r="DE101" s="220">
        <f>IF($B101="",0,SUMIFS(出库明细!$E$4:$E$3003,出库明细!$D$4:$D$3003,$B101,出库明细!$B$4:$B$3003,"&gt;="&amp;DATE(年度,9,1),出库明细!$B$4:$B$3003,"&lt;"&amp;DATE(年度,9+1,1)))</f>
        <v>0</v>
      </c>
      <c r="DF101" s="186">
        <f>DE101*DD101</f>
        <v>0</v>
      </c>
      <c r="DG101" s="220">
        <f>_辅助!BU99</f>
        <v>0</v>
      </c>
      <c r="DH101" s="186">
        <f>_辅助!AK99</f>
        <v>0</v>
      </c>
      <c r="DI101" s="221">
        <f>DB101-DE101-DG101</f>
        <v>0</v>
      </c>
      <c r="DJ101" s="187">
        <f>DC101-DF101-DH101</f>
        <v>0</v>
      </c>
      <c r="DK101" s="236">
        <f>IF(AND(DB101&gt;0,DC101&gt;0),0,DF101)</f>
        <v>0</v>
      </c>
      <c r="DL101" s="220">
        <f>IF($B101="",0,SUMIFS(采购进货!$E$4:$E$1503,采购进货!$D$4:$D$1503,$B101,采购进货!$B$4:$B$1503,"&gt;="&amp;DATE(年度,10,1),采购进货!$B$4:$B$1503,"&lt;"&amp;DATE(年度,10+1,1))+SUMIFS(采购进货!$H$4:$H$1503,采购进货!$D$4:$D$1503,$B101,采购进货!$B$4:$B$1503,"&gt;="&amp;DATE(年度,10,1),采购进货!$B$4:$B$1503,"&lt;"&amp;DATE(年度,10+1,1)))</f>
        <v>0</v>
      </c>
      <c r="DM101" s="186">
        <f>IF($B101="",0,SUMIFS(采购进货!$G$4:$G$1503,采购进货!$D$4:$D$1503,$B101,采购进货!$B$4:$B$1503,"&gt;="&amp;DATE(年度,10,1),采购进货!$B$4:$B$1503,"&lt;"&amp;DATE(年度,10+1,1)))</f>
        <v>0</v>
      </c>
      <c r="DN101" s="234">
        <f>DI101+DL101</f>
        <v>0</v>
      </c>
      <c r="DO101" s="235">
        <f>DJ101+DM101</f>
        <v>0</v>
      </c>
      <c r="DP101" s="222">
        <f>IF(AND(DN101&gt;0,DO101&gt;0),DO101/DN101,N($E101))</f>
        <v>0</v>
      </c>
      <c r="DQ101" s="220">
        <f>IF($B101="",0,SUMIFS(出库明细!$E$4:$E$3003,出库明细!$D$4:$D$3003,$B101,出库明细!$B$4:$B$3003,"&gt;="&amp;DATE(年度,10,1),出库明细!$B$4:$B$3003,"&lt;"&amp;DATE(年度,10+1,1)))</f>
        <v>0</v>
      </c>
      <c r="DR101" s="186">
        <f>DQ101*DP101</f>
        <v>0</v>
      </c>
      <c r="DS101" s="220">
        <f>_辅助!BV99</f>
        <v>0</v>
      </c>
      <c r="DT101" s="186">
        <f>_辅助!AL99</f>
        <v>0</v>
      </c>
      <c r="DU101" s="221">
        <f>DN101-DQ101-DS101</f>
        <v>0</v>
      </c>
      <c r="DV101" s="187">
        <f>DO101-DR101-DT101</f>
        <v>0</v>
      </c>
      <c r="DW101" s="236">
        <f>IF(AND(DN101&gt;0,DO101&gt;0),0,DR101)</f>
        <v>0</v>
      </c>
      <c r="DX101" s="220">
        <f>IF($B101="",0,SUMIFS(采购进货!$E$4:$E$1503,采购进货!$D$4:$D$1503,$B101,采购进货!$B$4:$B$1503,"&gt;="&amp;DATE(年度,11,1),采购进货!$B$4:$B$1503,"&lt;"&amp;DATE(年度,11+1,1))+SUMIFS(采购进货!$H$4:$H$1503,采购进货!$D$4:$D$1503,$B101,采购进货!$B$4:$B$1503,"&gt;="&amp;DATE(年度,11,1),采购进货!$B$4:$B$1503,"&lt;"&amp;DATE(年度,11+1,1)))</f>
        <v>0</v>
      </c>
      <c r="DY101" s="186">
        <f>IF($B101="",0,SUMIFS(采购进货!$G$4:$G$1503,采购进货!$D$4:$D$1503,$B101,采购进货!$B$4:$B$1503,"&gt;="&amp;DATE(年度,11,1),采购进货!$B$4:$B$1503,"&lt;"&amp;DATE(年度,11+1,1)))</f>
        <v>0</v>
      </c>
      <c r="DZ101" s="234">
        <f>DU101+DX101</f>
        <v>0</v>
      </c>
      <c r="EA101" s="235">
        <f>DV101+DY101</f>
        <v>0</v>
      </c>
      <c r="EB101" s="222">
        <f>IF(AND(DZ101&gt;0,EA101&gt;0),EA101/DZ101,N($E101))</f>
        <v>0</v>
      </c>
      <c r="EC101" s="220">
        <f>IF($B101="",0,SUMIFS(出库明细!$E$4:$E$3003,出库明细!$D$4:$D$3003,$B101,出库明细!$B$4:$B$3003,"&gt;="&amp;DATE(年度,11,1),出库明细!$B$4:$B$3003,"&lt;"&amp;DATE(年度,11+1,1)))</f>
        <v>0</v>
      </c>
      <c r="ED101" s="186">
        <f>EC101*EB101</f>
        <v>0</v>
      </c>
      <c r="EE101" s="220">
        <f>_辅助!BW99</f>
        <v>0</v>
      </c>
      <c r="EF101" s="186">
        <f>_辅助!AM99</f>
        <v>0</v>
      </c>
      <c r="EG101" s="221">
        <f>DZ101-EC101-EE101</f>
        <v>0</v>
      </c>
      <c r="EH101" s="187">
        <f>EA101-ED101-EF101</f>
        <v>0</v>
      </c>
      <c r="EI101" s="236">
        <f>IF(AND(DZ101&gt;0,EA101&gt;0),0,ED101)</f>
        <v>0</v>
      </c>
      <c r="EJ101" s="220">
        <f>IF($B101="",0,SUMIFS(采购进货!$E$4:$E$1503,采购进货!$D$4:$D$1503,$B101,采购进货!$B$4:$B$1503,"&gt;="&amp;DATE(年度,12,1),采购进货!$B$4:$B$1503,"&lt;"&amp;DATE(年度,12+1,1))+SUMIFS(采购进货!$H$4:$H$1503,采购进货!$D$4:$D$1503,$B101,采购进货!$B$4:$B$1503,"&gt;="&amp;DATE(年度,12,1),采购进货!$B$4:$B$1503,"&lt;"&amp;DATE(年度,12+1,1)))</f>
        <v>0</v>
      </c>
      <c r="EK101" s="186">
        <f>IF($B101="",0,SUMIFS(采购进货!$G$4:$G$1503,采购进货!$D$4:$D$1503,$B101,采购进货!$B$4:$B$1503,"&gt;="&amp;DATE(年度,12,1),采购进货!$B$4:$B$1503,"&lt;"&amp;DATE(年度,12+1,1)))</f>
        <v>0</v>
      </c>
      <c r="EL101" s="234">
        <f>EG101+EJ101</f>
        <v>0</v>
      </c>
      <c r="EM101" s="235">
        <f>EH101+EK101</f>
        <v>0</v>
      </c>
      <c r="EN101" s="222">
        <f>IF(AND(EL101&gt;0,EM101&gt;0),EM101/EL101,N($E101))</f>
        <v>0</v>
      </c>
      <c r="EO101" s="220">
        <f>IF($B101="",0,SUMIFS(出库明细!$E$4:$E$3003,出库明细!$D$4:$D$3003,$B101,出库明细!$B$4:$B$3003,"&gt;="&amp;DATE(年度,12,1),出库明细!$B$4:$B$3003,"&lt;"&amp;DATE(年度,12+1,1)))</f>
        <v>0</v>
      </c>
      <c r="EP101" s="186">
        <f>EO101*EN101</f>
        <v>0</v>
      </c>
      <c r="EQ101" s="220">
        <f>_辅助!BX99</f>
        <v>0</v>
      </c>
      <c r="ER101" s="186">
        <f>_辅助!AN99</f>
        <v>0</v>
      </c>
      <c r="ES101" s="221">
        <f>EL101-EO101-EQ101</f>
        <v>0</v>
      </c>
      <c r="ET101" s="187">
        <f>EM101-EP101-ER101</f>
        <v>0</v>
      </c>
      <c r="EU101" s="236">
        <f>IF(AND(EL101&gt;0,EM101&gt;0),0,EP101)</f>
        <v>0</v>
      </c>
    </row>
    <row r="102">
      <c r="A102" s="194">
        <f>IF(B102="","",ROW()-7)</f>
      </c>
      <c r="B102" s="141">
        <f>IF(基础资料!E99="","",基础资料!E99&amp;"")</f>
      </c>
      <c r="C102" s="230">
        <f>IF(基础资料!G99="","",基础资料!G99&amp;"")</f>
      </c>
      <c r="D102" s="194">
        <f>IF(基础资料!I99="","",基础资料!I99)</f>
      </c>
      <c r="E102" s="231">
        <f>IF(基础资料!J99="","",基础资料!J99)</f>
      </c>
      <c r="F102" s="232">
        <f>N(基础资料!L99)</f>
        <v>0</v>
      </c>
      <c r="G102" s="233">
        <f>IF(基础资料!N99="",0,基础资料!N99)</f>
        <v>0</v>
      </c>
      <c r="H102" s="220">
        <f>IF($B102="",0,SUMIFS(采购进货!$E$4:$E$1503,采购进货!$D$4:$D$1503,$B102,采购进货!$B$4:$B$1503,"&gt;="&amp;DATE(年度,1,1),采购进货!$B$4:$B$1503,"&lt;"&amp;DATE(年度,1+1,1))+SUMIFS(采购进货!$H$4:$H$1503,采购进货!$D$4:$D$1503,$B102,采购进货!$B$4:$B$1503,"&gt;="&amp;DATE(年度,1,1),采购进货!$B$4:$B$1503,"&lt;"&amp;DATE(年度,1+1,1)))</f>
        <v>0</v>
      </c>
      <c r="I102" s="186">
        <f>IF($B102="",0,SUMIFS(采购进货!$G$4:$G$1503,采购进货!$D$4:$D$1503,$B102,采购进货!$B$4:$B$1503,"&gt;="&amp;DATE(年度,1,1),采购进货!$B$4:$B$1503,"&lt;"&amp;DATE(年度,1+1,1)))</f>
        <v>0</v>
      </c>
      <c r="J102" s="234">
        <f>F102+H102</f>
        <v>0</v>
      </c>
      <c r="K102" s="235">
        <f>G102+I102</f>
        <v>0</v>
      </c>
      <c r="L102" s="222">
        <f>IF(AND(J102&gt;0,K102&gt;0),K102/J102,N($E102))</f>
        <v>0</v>
      </c>
      <c r="M102" s="220">
        <f>IF($B102="",0,SUMIFS(出库明细!$E$4:$E$3003,出库明细!$D$4:$D$3003,$B102,出库明细!$B$4:$B$3003,"&gt;="&amp;DATE(年度,1,1),出库明细!$B$4:$B$3003,"&lt;"&amp;DATE(年度,1+1,1)))</f>
        <v>0</v>
      </c>
      <c r="N102" s="186">
        <f>M102*L102</f>
        <v>0</v>
      </c>
      <c r="O102" s="220">
        <f>_辅助!BM100</f>
        <v>0</v>
      </c>
      <c r="P102" s="186">
        <f>_辅助!AC100</f>
        <v>0</v>
      </c>
      <c r="Q102" s="221">
        <f>J102-M102-O102</f>
        <v>0</v>
      </c>
      <c r="R102" s="187">
        <f>K102-N102-P102</f>
        <v>0</v>
      </c>
      <c r="S102" s="236">
        <f>IF(AND(J102&gt;0,K102&gt;0),0,N102)</f>
        <v>0</v>
      </c>
      <c r="T102" s="220">
        <f>IF($B102="",0,SUMIFS(采购进货!$E$4:$E$1503,采购进货!$D$4:$D$1503,$B102,采购进货!$B$4:$B$1503,"&gt;="&amp;DATE(年度,2,1),采购进货!$B$4:$B$1503,"&lt;"&amp;DATE(年度,2+1,1))+SUMIFS(采购进货!$H$4:$H$1503,采购进货!$D$4:$D$1503,$B102,采购进货!$B$4:$B$1503,"&gt;="&amp;DATE(年度,2,1),采购进货!$B$4:$B$1503,"&lt;"&amp;DATE(年度,2+1,1)))</f>
        <v>0</v>
      </c>
      <c r="U102" s="186">
        <f>IF($B102="",0,SUMIFS(采购进货!$G$4:$G$1503,采购进货!$D$4:$D$1503,$B102,采购进货!$B$4:$B$1503,"&gt;="&amp;DATE(年度,2,1),采购进货!$B$4:$B$1503,"&lt;"&amp;DATE(年度,2+1,1)))</f>
        <v>0</v>
      </c>
      <c r="V102" s="234">
        <f>Q102+T102</f>
        <v>0</v>
      </c>
      <c r="W102" s="235">
        <f>R102+U102</f>
        <v>0</v>
      </c>
      <c r="X102" s="222">
        <f>IF(AND(V102&gt;0,W102&gt;0),W102/V102,N($E102))</f>
        <v>0</v>
      </c>
      <c r="Y102" s="220">
        <f>IF($B102="",0,SUMIFS(出库明细!$E$4:$E$3003,出库明细!$D$4:$D$3003,$B102,出库明细!$B$4:$B$3003,"&gt;="&amp;DATE(年度,2,1),出库明细!$B$4:$B$3003,"&lt;"&amp;DATE(年度,2+1,1)))</f>
        <v>0</v>
      </c>
      <c r="Z102" s="186">
        <f>Y102*X102</f>
        <v>0</v>
      </c>
      <c r="AA102" s="220">
        <f>_辅助!BN100</f>
        <v>0</v>
      </c>
      <c r="AB102" s="186">
        <f>_辅助!AD100</f>
        <v>0</v>
      </c>
      <c r="AC102" s="221">
        <f>V102-Y102-AA102</f>
        <v>0</v>
      </c>
      <c r="AD102" s="187">
        <f>W102-Z102-AB102</f>
        <v>0</v>
      </c>
      <c r="AE102" s="236">
        <f>IF(AND(V102&gt;0,W102&gt;0),0,Z102)</f>
        <v>0</v>
      </c>
      <c r="AF102" s="220">
        <f>IF($B102="",0,SUMIFS(采购进货!$E$4:$E$1503,采购进货!$D$4:$D$1503,$B102,采购进货!$B$4:$B$1503,"&gt;="&amp;DATE(年度,3,1),采购进货!$B$4:$B$1503,"&lt;"&amp;DATE(年度,3+1,1))+SUMIFS(采购进货!$H$4:$H$1503,采购进货!$D$4:$D$1503,$B102,采购进货!$B$4:$B$1503,"&gt;="&amp;DATE(年度,3,1),采购进货!$B$4:$B$1503,"&lt;"&amp;DATE(年度,3+1,1)))</f>
        <v>0</v>
      </c>
      <c r="AG102" s="186">
        <f>IF($B102="",0,SUMIFS(采购进货!$G$4:$G$1503,采购进货!$D$4:$D$1503,$B102,采购进货!$B$4:$B$1503,"&gt;="&amp;DATE(年度,3,1),采购进货!$B$4:$B$1503,"&lt;"&amp;DATE(年度,3+1,1)))</f>
        <v>0</v>
      </c>
      <c r="AH102" s="234">
        <f>AC102+AF102</f>
        <v>0</v>
      </c>
      <c r="AI102" s="235">
        <f>AD102+AG102</f>
        <v>0</v>
      </c>
      <c r="AJ102" s="222">
        <f>IF(AND(AH102&gt;0,AI102&gt;0),AI102/AH102,N($E102))</f>
        <v>0</v>
      </c>
      <c r="AK102" s="220">
        <f>IF($B102="",0,SUMIFS(出库明细!$E$4:$E$3003,出库明细!$D$4:$D$3003,$B102,出库明细!$B$4:$B$3003,"&gt;="&amp;DATE(年度,3,1),出库明细!$B$4:$B$3003,"&lt;"&amp;DATE(年度,3+1,1)))</f>
        <v>0</v>
      </c>
      <c r="AL102" s="186">
        <f>AK102*AJ102</f>
        <v>0</v>
      </c>
      <c r="AM102" s="220">
        <f>_辅助!BO100</f>
        <v>0</v>
      </c>
      <c r="AN102" s="186">
        <f>_辅助!AE100</f>
        <v>0</v>
      </c>
      <c r="AO102" s="221">
        <f>AH102-AK102-AM102</f>
        <v>0</v>
      </c>
      <c r="AP102" s="187">
        <f>AI102-AL102-AN102</f>
        <v>0</v>
      </c>
      <c r="AQ102" s="236">
        <f>IF(AND(AH102&gt;0,AI102&gt;0),0,AL102)</f>
        <v>0</v>
      </c>
      <c r="AR102" s="220">
        <f>IF($B102="",0,SUMIFS(采购进货!$E$4:$E$1503,采购进货!$D$4:$D$1503,$B102,采购进货!$B$4:$B$1503,"&gt;="&amp;DATE(年度,4,1),采购进货!$B$4:$B$1503,"&lt;"&amp;DATE(年度,4+1,1))+SUMIFS(采购进货!$H$4:$H$1503,采购进货!$D$4:$D$1503,$B102,采购进货!$B$4:$B$1503,"&gt;="&amp;DATE(年度,4,1),采购进货!$B$4:$B$1503,"&lt;"&amp;DATE(年度,4+1,1)))</f>
        <v>0</v>
      </c>
      <c r="AS102" s="186">
        <f>IF($B102="",0,SUMIFS(采购进货!$G$4:$G$1503,采购进货!$D$4:$D$1503,$B102,采购进货!$B$4:$B$1503,"&gt;="&amp;DATE(年度,4,1),采购进货!$B$4:$B$1503,"&lt;"&amp;DATE(年度,4+1,1)))</f>
        <v>0</v>
      </c>
      <c r="AT102" s="234">
        <f>AO102+AR102</f>
        <v>0</v>
      </c>
      <c r="AU102" s="235">
        <f>AP102+AS102</f>
        <v>0</v>
      </c>
      <c r="AV102" s="222">
        <f>IF(AND(AT102&gt;0,AU102&gt;0),AU102/AT102,N($E102))</f>
        <v>0</v>
      </c>
      <c r="AW102" s="220">
        <f>IF($B102="",0,SUMIFS(出库明细!$E$4:$E$3003,出库明细!$D$4:$D$3003,$B102,出库明细!$B$4:$B$3003,"&gt;="&amp;DATE(年度,4,1),出库明细!$B$4:$B$3003,"&lt;"&amp;DATE(年度,4+1,1)))</f>
        <v>0</v>
      </c>
      <c r="AX102" s="186">
        <f>AW102*AV102</f>
        <v>0</v>
      </c>
      <c r="AY102" s="220">
        <f>_辅助!BP100</f>
        <v>0</v>
      </c>
      <c r="AZ102" s="186">
        <f>_辅助!AF100</f>
        <v>0</v>
      </c>
      <c r="BA102" s="221">
        <f>AT102-AW102-AY102</f>
        <v>0</v>
      </c>
      <c r="BB102" s="187">
        <f>AU102-AX102-AZ102</f>
        <v>0</v>
      </c>
      <c r="BC102" s="236">
        <f>IF(AND(AT102&gt;0,AU102&gt;0),0,AX102)</f>
        <v>0</v>
      </c>
      <c r="BD102" s="220">
        <f>IF($B102="",0,SUMIFS(采购进货!$E$4:$E$1503,采购进货!$D$4:$D$1503,$B102,采购进货!$B$4:$B$1503,"&gt;="&amp;DATE(年度,5,1),采购进货!$B$4:$B$1503,"&lt;"&amp;DATE(年度,5+1,1))+SUMIFS(采购进货!$H$4:$H$1503,采购进货!$D$4:$D$1503,$B102,采购进货!$B$4:$B$1503,"&gt;="&amp;DATE(年度,5,1),采购进货!$B$4:$B$1503,"&lt;"&amp;DATE(年度,5+1,1)))</f>
        <v>0</v>
      </c>
      <c r="BE102" s="186">
        <f>IF($B102="",0,SUMIFS(采购进货!$G$4:$G$1503,采购进货!$D$4:$D$1503,$B102,采购进货!$B$4:$B$1503,"&gt;="&amp;DATE(年度,5,1),采购进货!$B$4:$B$1503,"&lt;"&amp;DATE(年度,5+1,1)))</f>
        <v>0</v>
      </c>
      <c r="BF102" s="234">
        <f>BA102+BD102</f>
        <v>0</v>
      </c>
      <c r="BG102" s="235">
        <f>BB102+BE102</f>
        <v>0</v>
      </c>
      <c r="BH102" s="222">
        <f>IF(AND(BF102&gt;0,BG102&gt;0),BG102/BF102,N($E102))</f>
        <v>0</v>
      </c>
      <c r="BI102" s="220">
        <f>IF($B102="",0,SUMIFS(出库明细!$E$4:$E$3003,出库明细!$D$4:$D$3003,$B102,出库明细!$B$4:$B$3003,"&gt;="&amp;DATE(年度,5,1),出库明细!$B$4:$B$3003,"&lt;"&amp;DATE(年度,5+1,1)))</f>
        <v>0</v>
      </c>
      <c r="BJ102" s="186">
        <f>BI102*BH102</f>
        <v>0</v>
      </c>
      <c r="BK102" s="220">
        <f>_辅助!BQ100</f>
        <v>0</v>
      </c>
      <c r="BL102" s="186">
        <f>_辅助!AG100</f>
        <v>0</v>
      </c>
      <c r="BM102" s="221">
        <f>BF102-BI102-BK102</f>
        <v>0</v>
      </c>
      <c r="BN102" s="187">
        <f>BG102-BJ102-BL102</f>
        <v>0</v>
      </c>
      <c r="BO102" s="236">
        <f>IF(AND(BF102&gt;0,BG102&gt;0),0,BJ102)</f>
        <v>0</v>
      </c>
      <c r="BP102" s="220">
        <f>IF($B102="",0,SUMIFS(采购进货!$E$4:$E$1503,采购进货!$D$4:$D$1503,$B102,采购进货!$B$4:$B$1503,"&gt;="&amp;DATE(年度,6,1),采购进货!$B$4:$B$1503,"&lt;"&amp;DATE(年度,6+1,1))+SUMIFS(采购进货!$H$4:$H$1503,采购进货!$D$4:$D$1503,$B102,采购进货!$B$4:$B$1503,"&gt;="&amp;DATE(年度,6,1),采购进货!$B$4:$B$1503,"&lt;"&amp;DATE(年度,6+1,1)))</f>
        <v>0</v>
      </c>
      <c r="BQ102" s="186">
        <f>IF($B102="",0,SUMIFS(采购进货!$G$4:$G$1503,采购进货!$D$4:$D$1503,$B102,采购进货!$B$4:$B$1503,"&gt;="&amp;DATE(年度,6,1),采购进货!$B$4:$B$1503,"&lt;"&amp;DATE(年度,6+1,1)))</f>
        <v>0</v>
      </c>
      <c r="BR102" s="234">
        <f>BM102+BP102</f>
        <v>0</v>
      </c>
      <c r="BS102" s="235">
        <f>BN102+BQ102</f>
        <v>0</v>
      </c>
      <c r="BT102" s="222">
        <f>IF(AND(BR102&gt;0,BS102&gt;0),BS102/BR102,N($E102))</f>
        <v>0</v>
      </c>
      <c r="BU102" s="220">
        <f>IF($B102="",0,SUMIFS(出库明细!$E$4:$E$3003,出库明细!$D$4:$D$3003,$B102,出库明细!$B$4:$B$3003,"&gt;="&amp;DATE(年度,6,1),出库明细!$B$4:$B$3003,"&lt;"&amp;DATE(年度,6+1,1)))</f>
        <v>0</v>
      </c>
      <c r="BV102" s="186">
        <f>BU102*BT102</f>
        <v>0</v>
      </c>
      <c r="BW102" s="220">
        <f>_辅助!BR100</f>
        <v>0</v>
      </c>
      <c r="BX102" s="186">
        <f>_辅助!AH100</f>
        <v>0</v>
      </c>
      <c r="BY102" s="221">
        <f>BR102-BU102-BW102</f>
        <v>0</v>
      </c>
      <c r="BZ102" s="187">
        <f>BS102-BV102-BX102</f>
        <v>0</v>
      </c>
      <c r="CA102" s="236">
        <f>IF(AND(BR102&gt;0,BS102&gt;0),0,BV102)</f>
        <v>0</v>
      </c>
      <c r="CB102" s="220">
        <f>IF($B102="",0,SUMIFS(采购进货!$E$4:$E$1503,采购进货!$D$4:$D$1503,$B102,采购进货!$B$4:$B$1503,"&gt;="&amp;DATE(年度,7,1),采购进货!$B$4:$B$1503,"&lt;"&amp;DATE(年度,7+1,1))+SUMIFS(采购进货!$H$4:$H$1503,采购进货!$D$4:$D$1503,$B102,采购进货!$B$4:$B$1503,"&gt;="&amp;DATE(年度,7,1),采购进货!$B$4:$B$1503,"&lt;"&amp;DATE(年度,7+1,1)))</f>
        <v>0</v>
      </c>
      <c r="CC102" s="186">
        <f>IF($B102="",0,SUMIFS(采购进货!$G$4:$G$1503,采购进货!$D$4:$D$1503,$B102,采购进货!$B$4:$B$1503,"&gt;="&amp;DATE(年度,7,1),采购进货!$B$4:$B$1503,"&lt;"&amp;DATE(年度,7+1,1)))</f>
        <v>0</v>
      </c>
      <c r="CD102" s="234">
        <f>BY102+CB102</f>
        <v>0</v>
      </c>
      <c r="CE102" s="235">
        <f>BZ102+CC102</f>
        <v>0</v>
      </c>
      <c r="CF102" s="222">
        <f>IF(AND(CD102&gt;0,CE102&gt;0),CE102/CD102,N($E102))</f>
        <v>0</v>
      </c>
      <c r="CG102" s="220">
        <f>IF($B102="",0,SUMIFS(出库明细!$E$4:$E$3003,出库明细!$D$4:$D$3003,$B102,出库明细!$B$4:$B$3003,"&gt;="&amp;DATE(年度,7,1),出库明细!$B$4:$B$3003,"&lt;"&amp;DATE(年度,7+1,1)))</f>
        <v>0</v>
      </c>
      <c r="CH102" s="186">
        <f>CG102*CF102</f>
        <v>0</v>
      </c>
      <c r="CI102" s="220">
        <f>_辅助!BS100</f>
        <v>0</v>
      </c>
      <c r="CJ102" s="186">
        <f>_辅助!AI100</f>
        <v>0</v>
      </c>
      <c r="CK102" s="221">
        <f>CD102-CG102-CI102</f>
        <v>0</v>
      </c>
      <c r="CL102" s="187">
        <f>CE102-CH102-CJ102</f>
        <v>0</v>
      </c>
      <c r="CM102" s="236">
        <f>IF(AND(CD102&gt;0,CE102&gt;0),0,CH102)</f>
        <v>0</v>
      </c>
      <c r="CN102" s="220">
        <f>IF($B102="",0,SUMIFS(采购进货!$E$4:$E$1503,采购进货!$D$4:$D$1503,$B102,采购进货!$B$4:$B$1503,"&gt;="&amp;DATE(年度,8,1),采购进货!$B$4:$B$1503,"&lt;"&amp;DATE(年度,8+1,1))+SUMIFS(采购进货!$H$4:$H$1503,采购进货!$D$4:$D$1503,$B102,采购进货!$B$4:$B$1503,"&gt;="&amp;DATE(年度,8,1),采购进货!$B$4:$B$1503,"&lt;"&amp;DATE(年度,8+1,1)))</f>
        <v>0</v>
      </c>
      <c r="CO102" s="186">
        <f>IF($B102="",0,SUMIFS(采购进货!$G$4:$G$1503,采购进货!$D$4:$D$1503,$B102,采购进货!$B$4:$B$1503,"&gt;="&amp;DATE(年度,8,1),采购进货!$B$4:$B$1503,"&lt;"&amp;DATE(年度,8+1,1)))</f>
        <v>0</v>
      </c>
      <c r="CP102" s="234">
        <f>CK102+CN102</f>
        <v>0</v>
      </c>
      <c r="CQ102" s="235">
        <f>CL102+CO102</f>
        <v>0</v>
      </c>
      <c r="CR102" s="222">
        <f>IF(AND(CP102&gt;0,CQ102&gt;0),CQ102/CP102,N($E102))</f>
        <v>0</v>
      </c>
      <c r="CS102" s="220">
        <f>IF($B102="",0,SUMIFS(出库明细!$E$4:$E$3003,出库明细!$D$4:$D$3003,$B102,出库明细!$B$4:$B$3003,"&gt;="&amp;DATE(年度,8,1),出库明细!$B$4:$B$3003,"&lt;"&amp;DATE(年度,8+1,1)))</f>
        <v>0</v>
      </c>
      <c r="CT102" s="186">
        <f>CS102*CR102</f>
        <v>0</v>
      </c>
      <c r="CU102" s="220">
        <f>_辅助!BT100</f>
        <v>0</v>
      </c>
      <c r="CV102" s="186">
        <f>_辅助!AJ100</f>
        <v>0</v>
      </c>
      <c r="CW102" s="221">
        <f>CP102-CS102-CU102</f>
        <v>0</v>
      </c>
      <c r="CX102" s="187">
        <f>CQ102-CT102-CV102</f>
        <v>0</v>
      </c>
      <c r="CY102" s="236">
        <f>IF(AND(CP102&gt;0,CQ102&gt;0),0,CT102)</f>
        <v>0</v>
      </c>
      <c r="CZ102" s="220">
        <f>IF($B102="",0,SUMIFS(采购进货!$E$4:$E$1503,采购进货!$D$4:$D$1503,$B102,采购进货!$B$4:$B$1503,"&gt;="&amp;DATE(年度,9,1),采购进货!$B$4:$B$1503,"&lt;"&amp;DATE(年度,9+1,1))+SUMIFS(采购进货!$H$4:$H$1503,采购进货!$D$4:$D$1503,$B102,采购进货!$B$4:$B$1503,"&gt;="&amp;DATE(年度,9,1),采购进货!$B$4:$B$1503,"&lt;"&amp;DATE(年度,9+1,1)))</f>
        <v>0</v>
      </c>
      <c r="DA102" s="186">
        <f>IF($B102="",0,SUMIFS(采购进货!$G$4:$G$1503,采购进货!$D$4:$D$1503,$B102,采购进货!$B$4:$B$1503,"&gt;="&amp;DATE(年度,9,1),采购进货!$B$4:$B$1503,"&lt;"&amp;DATE(年度,9+1,1)))</f>
        <v>0</v>
      </c>
      <c r="DB102" s="234">
        <f>CW102+CZ102</f>
        <v>0</v>
      </c>
      <c r="DC102" s="235">
        <f>CX102+DA102</f>
        <v>0</v>
      </c>
      <c r="DD102" s="222">
        <f>IF(AND(DB102&gt;0,DC102&gt;0),DC102/DB102,N($E102))</f>
        <v>0</v>
      </c>
      <c r="DE102" s="220">
        <f>IF($B102="",0,SUMIFS(出库明细!$E$4:$E$3003,出库明细!$D$4:$D$3003,$B102,出库明细!$B$4:$B$3003,"&gt;="&amp;DATE(年度,9,1),出库明细!$B$4:$B$3003,"&lt;"&amp;DATE(年度,9+1,1)))</f>
        <v>0</v>
      </c>
      <c r="DF102" s="186">
        <f>DE102*DD102</f>
        <v>0</v>
      </c>
      <c r="DG102" s="220">
        <f>_辅助!BU100</f>
        <v>0</v>
      </c>
      <c r="DH102" s="186">
        <f>_辅助!AK100</f>
        <v>0</v>
      </c>
      <c r="DI102" s="221">
        <f>DB102-DE102-DG102</f>
        <v>0</v>
      </c>
      <c r="DJ102" s="187">
        <f>DC102-DF102-DH102</f>
        <v>0</v>
      </c>
      <c r="DK102" s="236">
        <f>IF(AND(DB102&gt;0,DC102&gt;0),0,DF102)</f>
        <v>0</v>
      </c>
      <c r="DL102" s="220">
        <f>IF($B102="",0,SUMIFS(采购进货!$E$4:$E$1503,采购进货!$D$4:$D$1503,$B102,采购进货!$B$4:$B$1503,"&gt;="&amp;DATE(年度,10,1),采购进货!$B$4:$B$1503,"&lt;"&amp;DATE(年度,10+1,1))+SUMIFS(采购进货!$H$4:$H$1503,采购进货!$D$4:$D$1503,$B102,采购进货!$B$4:$B$1503,"&gt;="&amp;DATE(年度,10,1),采购进货!$B$4:$B$1503,"&lt;"&amp;DATE(年度,10+1,1)))</f>
        <v>0</v>
      </c>
      <c r="DM102" s="186">
        <f>IF($B102="",0,SUMIFS(采购进货!$G$4:$G$1503,采购进货!$D$4:$D$1503,$B102,采购进货!$B$4:$B$1503,"&gt;="&amp;DATE(年度,10,1),采购进货!$B$4:$B$1503,"&lt;"&amp;DATE(年度,10+1,1)))</f>
        <v>0</v>
      </c>
      <c r="DN102" s="234">
        <f>DI102+DL102</f>
        <v>0</v>
      </c>
      <c r="DO102" s="235">
        <f>DJ102+DM102</f>
        <v>0</v>
      </c>
      <c r="DP102" s="222">
        <f>IF(AND(DN102&gt;0,DO102&gt;0),DO102/DN102,N($E102))</f>
        <v>0</v>
      </c>
      <c r="DQ102" s="220">
        <f>IF($B102="",0,SUMIFS(出库明细!$E$4:$E$3003,出库明细!$D$4:$D$3003,$B102,出库明细!$B$4:$B$3003,"&gt;="&amp;DATE(年度,10,1),出库明细!$B$4:$B$3003,"&lt;"&amp;DATE(年度,10+1,1)))</f>
        <v>0</v>
      </c>
      <c r="DR102" s="186">
        <f>DQ102*DP102</f>
        <v>0</v>
      </c>
      <c r="DS102" s="220">
        <f>_辅助!BV100</f>
        <v>0</v>
      </c>
      <c r="DT102" s="186">
        <f>_辅助!AL100</f>
        <v>0</v>
      </c>
      <c r="DU102" s="221">
        <f>DN102-DQ102-DS102</f>
        <v>0</v>
      </c>
      <c r="DV102" s="187">
        <f>DO102-DR102-DT102</f>
        <v>0</v>
      </c>
      <c r="DW102" s="236">
        <f>IF(AND(DN102&gt;0,DO102&gt;0),0,DR102)</f>
        <v>0</v>
      </c>
      <c r="DX102" s="220">
        <f>IF($B102="",0,SUMIFS(采购进货!$E$4:$E$1503,采购进货!$D$4:$D$1503,$B102,采购进货!$B$4:$B$1503,"&gt;="&amp;DATE(年度,11,1),采购进货!$B$4:$B$1503,"&lt;"&amp;DATE(年度,11+1,1))+SUMIFS(采购进货!$H$4:$H$1503,采购进货!$D$4:$D$1503,$B102,采购进货!$B$4:$B$1503,"&gt;="&amp;DATE(年度,11,1),采购进货!$B$4:$B$1503,"&lt;"&amp;DATE(年度,11+1,1)))</f>
        <v>0</v>
      </c>
      <c r="DY102" s="186">
        <f>IF($B102="",0,SUMIFS(采购进货!$G$4:$G$1503,采购进货!$D$4:$D$1503,$B102,采购进货!$B$4:$B$1503,"&gt;="&amp;DATE(年度,11,1),采购进货!$B$4:$B$1503,"&lt;"&amp;DATE(年度,11+1,1)))</f>
        <v>0</v>
      </c>
      <c r="DZ102" s="234">
        <f>DU102+DX102</f>
        <v>0</v>
      </c>
      <c r="EA102" s="235">
        <f>DV102+DY102</f>
        <v>0</v>
      </c>
      <c r="EB102" s="222">
        <f>IF(AND(DZ102&gt;0,EA102&gt;0),EA102/DZ102,N($E102))</f>
        <v>0</v>
      </c>
      <c r="EC102" s="220">
        <f>IF($B102="",0,SUMIFS(出库明细!$E$4:$E$3003,出库明细!$D$4:$D$3003,$B102,出库明细!$B$4:$B$3003,"&gt;="&amp;DATE(年度,11,1),出库明细!$B$4:$B$3003,"&lt;"&amp;DATE(年度,11+1,1)))</f>
        <v>0</v>
      </c>
      <c r="ED102" s="186">
        <f>EC102*EB102</f>
        <v>0</v>
      </c>
      <c r="EE102" s="220">
        <f>_辅助!BW100</f>
        <v>0</v>
      </c>
      <c r="EF102" s="186">
        <f>_辅助!AM100</f>
        <v>0</v>
      </c>
      <c r="EG102" s="221">
        <f>DZ102-EC102-EE102</f>
        <v>0</v>
      </c>
      <c r="EH102" s="187">
        <f>EA102-ED102-EF102</f>
        <v>0</v>
      </c>
      <c r="EI102" s="236">
        <f>IF(AND(DZ102&gt;0,EA102&gt;0),0,ED102)</f>
        <v>0</v>
      </c>
      <c r="EJ102" s="220">
        <f>IF($B102="",0,SUMIFS(采购进货!$E$4:$E$1503,采购进货!$D$4:$D$1503,$B102,采购进货!$B$4:$B$1503,"&gt;="&amp;DATE(年度,12,1),采购进货!$B$4:$B$1503,"&lt;"&amp;DATE(年度,12+1,1))+SUMIFS(采购进货!$H$4:$H$1503,采购进货!$D$4:$D$1503,$B102,采购进货!$B$4:$B$1503,"&gt;="&amp;DATE(年度,12,1),采购进货!$B$4:$B$1503,"&lt;"&amp;DATE(年度,12+1,1)))</f>
        <v>0</v>
      </c>
      <c r="EK102" s="186">
        <f>IF($B102="",0,SUMIFS(采购进货!$G$4:$G$1503,采购进货!$D$4:$D$1503,$B102,采购进货!$B$4:$B$1503,"&gt;="&amp;DATE(年度,12,1),采购进货!$B$4:$B$1503,"&lt;"&amp;DATE(年度,12+1,1)))</f>
        <v>0</v>
      </c>
      <c r="EL102" s="234">
        <f>EG102+EJ102</f>
        <v>0</v>
      </c>
      <c r="EM102" s="235">
        <f>EH102+EK102</f>
        <v>0</v>
      </c>
      <c r="EN102" s="222">
        <f>IF(AND(EL102&gt;0,EM102&gt;0),EM102/EL102,N($E102))</f>
        <v>0</v>
      </c>
      <c r="EO102" s="220">
        <f>IF($B102="",0,SUMIFS(出库明细!$E$4:$E$3003,出库明细!$D$4:$D$3003,$B102,出库明细!$B$4:$B$3003,"&gt;="&amp;DATE(年度,12,1),出库明细!$B$4:$B$3003,"&lt;"&amp;DATE(年度,12+1,1)))</f>
        <v>0</v>
      </c>
      <c r="EP102" s="186">
        <f>EO102*EN102</f>
        <v>0</v>
      </c>
      <c r="EQ102" s="220">
        <f>_辅助!BX100</f>
        <v>0</v>
      </c>
      <c r="ER102" s="186">
        <f>_辅助!AN100</f>
        <v>0</v>
      </c>
      <c r="ES102" s="221">
        <f>EL102-EO102-EQ102</f>
        <v>0</v>
      </c>
      <c r="ET102" s="187">
        <f>EM102-EP102-ER102</f>
        <v>0</v>
      </c>
      <c r="EU102" s="236">
        <f>IF(AND(EL102&gt;0,EM102&gt;0),0,EP102)</f>
        <v>0</v>
      </c>
    </row>
    <row r="103">
      <c r="A103" s="194">
        <f>IF(B103="","",ROW()-7)</f>
      </c>
      <c r="B103" s="141">
        <f>IF(基础资料!E100="","",基础资料!E100&amp;"")</f>
      </c>
      <c r="C103" s="230">
        <f>IF(基础资料!G100="","",基础资料!G100&amp;"")</f>
      </c>
      <c r="D103" s="194">
        <f>IF(基础资料!I100="","",基础资料!I100)</f>
      </c>
      <c r="E103" s="231">
        <f>IF(基础资料!J100="","",基础资料!J100)</f>
      </c>
      <c r="F103" s="232">
        <f>N(基础资料!L100)</f>
        <v>0</v>
      </c>
      <c r="G103" s="233">
        <f>IF(基础资料!N100="",0,基础资料!N100)</f>
        <v>0</v>
      </c>
      <c r="H103" s="220">
        <f>IF($B103="",0,SUMIFS(采购进货!$E$4:$E$1503,采购进货!$D$4:$D$1503,$B103,采购进货!$B$4:$B$1503,"&gt;="&amp;DATE(年度,1,1),采购进货!$B$4:$B$1503,"&lt;"&amp;DATE(年度,1+1,1))+SUMIFS(采购进货!$H$4:$H$1503,采购进货!$D$4:$D$1503,$B103,采购进货!$B$4:$B$1503,"&gt;="&amp;DATE(年度,1,1),采购进货!$B$4:$B$1503,"&lt;"&amp;DATE(年度,1+1,1)))</f>
        <v>0</v>
      </c>
      <c r="I103" s="186">
        <f>IF($B103="",0,SUMIFS(采购进货!$G$4:$G$1503,采购进货!$D$4:$D$1503,$B103,采购进货!$B$4:$B$1503,"&gt;="&amp;DATE(年度,1,1),采购进货!$B$4:$B$1503,"&lt;"&amp;DATE(年度,1+1,1)))</f>
        <v>0</v>
      </c>
      <c r="J103" s="234">
        <f>F103+H103</f>
        <v>0</v>
      </c>
      <c r="K103" s="235">
        <f>G103+I103</f>
        <v>0</v>
      </c>
      <c r="L103" s="222">
        <f>IF(AND(J103&gt;0,K103&gt;0),K103/J103,N($E103))</f>
        <v>0</v>
      </c>
      <c r="M103" s="220">
        <f>IF($B103="",0,SUMIFS(出库明细!$E$4:$E$3003,出库明细!$D$4:$D$3003,$B103,出库明细!$B$4:$B$3003,"&gt;="&amp;DATE(年度,1,1),出库明细!$B$4:$B$3003,"&lt;"&amp;DATE(年度,1+1,1)))</f>
        <v>0</v>
      </c>
      <c r="N103" s="186">
        <f>M103*L103</f>
        <v>0</v>
      </c>
      <c r="O103" s="220">
        <f>_辅助!BM101</f>
        <v>0</v>
      </c>
      <c r="P103" s="186">
        <f>_辅助!AC101</f>
        <v>0</v>
      </c>
      <c r="Q103" s="221">
        <f>J103-M103-O103</f>
        <v>0</v>
      </c>
      <c r="R103" s="187">
        <f>K103-N103-P103</f>
        <v>0</v>
      </c>
      <c r="S103" s="236">
        <f>IF(AND(J103&gt;0,K103&gt;0),0,N103)</f>
        <v>0</v>
      </c>
      <c r="T103" s="220">
        <f>IF($B103="",0,SUMIFS(采购进货!$E$4:$E$1503,采购进货!$D$4:$D$1503,$B103,采购进货!$B$4:$B$1503,"&gt;="&amp;DATE(年度,2,1),采购进货!$B$4:$B$1503,"&lt;"&amp;DATE(年度,2+1,1))+SUMIFS(采购进货!$H$4:$H$1503,采购进货!$D$4:$D$1503,$B103,采购进货!$B$4:$B$1503,"&gt;="&amp;DATE(年度,2,1),采购进货!$B$4:$B$1503,"&lt;"&amp;DATE(年度,2+1,1)))</f>
        <v>0</v>
      </c>
      <c r="U103" s="186">
        <f>IF($B103="",0,SUMIFS(采购进货!$G$4:$G$1503,采购进货!$D$4:$D$1503,$B103,采购进货!$B$4:$B$1503,"&gt;="&amp;DATE(年度,2,1),采购进货!$B$4:$B$1503,"&lt;"&amp;DATE(年度,2+1,1)))</f>
        <v>0</v>
      </c>
      <c r="V103" s="234">
        <f>Q103+T103</f>
        <v>0</v>
      </c>
      <c r="W103" s="235">
        <f>R103+U103</f>
        <v>0</v>
      </c>
      <c r="X103" s="222">
        <f>IF(AND(V103&gt;0,W103&gt;0),W103/V103,N($E103))</f>
        <v>0</v>
      </c>
      <c r="Y103" s="220">
        <f>IF($B103="",0,SUMIFS(出库明细!$E$4:$E$3003,出库明细!$D$4:$D$3003,$B103,出库明细!$B$4:$B$3003,"&gt;="&amp;DATE(年度,2,1),出库明细!$B$4:$B$3003,"&lt;"&amp;DATE(年度,2+1,1)))</f>
        <v>0</v>
      </c>
      <c r="Z103" s="186">
        <f>Y103*X103</f>
        <v>0</v>
      </c>
      <c r="AA103" s="220">
        <f>_辅助!BN101</f>
        <v>0</v>
      </c>
      <c r="AB103" s="186">
        <f>_辅助!AD101</f>
        <v>0</v>
      </c>
      <c r="AC103" s="221">
        <f>V103-Y103-AA103</f>
        <v>0</v>
      </c>
      <c r="AD103" s="187">
        <f>W103-Z103-AB103</f>
        <v>0</v>
      </c>
      <c r="AE103" s="236">
        <f>IF(AND(V103&gt;0,W103&gt;0),0,Z103)</f>
        <v>0</v>
      </c>
      <c r="AF103" s="220">
        <f>IF($B103="",0,SUMIFS(采购进货!$E$4:$E$1503,采购进货!$D$4:$D$1503,$B103,采购进货!$B$4:$B$1503,"&gt;="&amp;DATE(年度,3,1),采购进货!$B$4:$B$1503,"&lt;"&amp;DATE(年度,3+1,1))+SUMIFS(采购进货!$H$4:$H$1503,采购进货!$D$4:$D$1503,$B103,采购进货!$B$4:$B$1503,"&gt;="&amp;DATE(年度,3,1),采购进货!$B$4:$B$1503,"&lt;"&amp;DATE(年度,3+1,1)))</f>
        <v>0</v>
      </c>
      <c r="AG103" s="186">
        <f>IF($B103="",0,SUMIFS(采购进货!$G$4:$G$1503,采购进货!$D$4:$D$1503,$B103,采购进货!$B$4:$B$1503,"&gt;="&amp;DATE(年度,3,1),采购进货!$B$4:$B$1503,"&lt;"&amp;DATE(年度,3+1,1)))</f>
        <v>0</v>
      </c>
      <c r="AH103" s="234">
        <f>AC103+AF103</f>
        <v>0</v>
      </c>
      <c r="AI103" s="235">
        <f>AD103+AG103</f>
        <v>0</v>
      </c>
      <c r="AJ103" s="222">
        <f>IF(AND(AH103&gt;0,AI103&gt;0),AI103/AH103,N($E103))</f>
        <v>0</v>
      </c>
      <c r="AK103" s="220">
        <f>IF($B103="",0,SUMIFS(出库明细!$E$4:$E$3003,出库明细!$D$4:$D$3003,$B103,出库明细!$B$4:$B$3003,"&gt;="&amp;DATE(年度,3,1),出库明细!$B$4:$B$3003,"&lt;"&amp;DATE(年度,3+1,1)))</f>
        <v>0</v>
      </c>
      <c r="AL103" s="186">
        <f>AK103*AJ103</f>
        <v>0</v>
      </c>
      <c r="AM103" s="220">
        <f>_辅助!BO101</f>
        <v>0</v>
      </c>
      <c r="AN103" s="186">
        <f>_辅助!AE101</f>
        <v>0</v>
      </c>
      <c r="AO103" s="221">
        <f>AH103-AK103-AM103</f>
        <v>0</v>
      </c>
      <c r="AP103" s="187">
        <f>AI103-AL103-AN103</f>
        <v>0</v>
      </c>
      <c r="AQ103" s="236">
        <f>IF(AND(AH103&gt;0,AI103&gt;0),0,AL103)</f>
        <v>0</v>
      </c>
      <c r="AR103" s="220">
        <f>IF($B103="",0,SUMIFS(采购进货!$E$4:$E$1503,采购进货!$D$4:$D$1503,$B103,采购进货!$B$4:$B$1503,"&gt;="&amp;DATE(年度,4,1),采购进货!$B$4:$B$1503,"&lt;"&amp;DATE(年度,4+1,1))+SUMIFS(采购进货!$H$4:$H$1503,采购进货!$D$4:$D$1503,$B103,采购进货!$B$4:$B$1503,"&gt;="&amp;DATE(年度,4,1),采购进货!$B$4:$B$1503,"&lt;"&amp;DATE(年度,4+1,1)))</f>
        <v>0</v>
      </c>
      <c r="AS103" s="186">
        <f>IF($B103="",0,SUMIFS(采购进货!$G$4:$G$1503,采购进货!$D$4:$D$1503,$B103,采购进货!$B$4:$B$1503,"&gt;="&amp;DATE(年度,4,1),采购进货!$B$4:$B$1503,"&lt;"&amp;DATE(年度,4+1,1)))</f>
        <v>0</v>
      </c>
      <c r="AT103" s="234">
        <f>AO103+AR103</f>
        <v>0</v>
      </c>
      <c r="AU103" s="235">
        <f>AP103+AS103</f>
        <v>0</v>
      </c>
      <c r="AV103" s="222">
        <f>IF(AND(AT103&gt;0,AU103&gt;0),AU103/AT103,N($E103))</f>
        <v>0</v>
      </c>
      <c r="AW103" s="220">
        <f>IF($B103="",0,SUMIFS(出库明细!$E$4:$E$3003,出库明细!$D$4:$D$3003,$B103,出库明细!$B$4:$B$3003,"&gt;="&amp;DATE(年度,4,1),出库明细!$B$4:$B$3003,"&lt;"&amp;DATE(年度,4+1,1)))</f>
        <v>0</v>
      </c>
      <c r="AX103" s="186">
        <f>AW103*AV103</f>
        <v>0</v>
      </c>
      <c r="AY103" s="220">
        <f>_辅助!BP101</f>
        <v>0</v>
      </c>
      <c r="AZ103" s="186">
        <f>_辅助!AF101</f>
        <v>0</v>
      </c>
      <c r="BA103" s="221">
        <f>AT103-AW103-AY103</f>
        <v>0</v>
      </c>
      <c r="BB103" s="187">
        <f>AU103-AX103-AZ103</f>
        <v>0</v>
      </c>
      <c r="BC103" s="236">
        <f>IF(AND(AT103&gt;0,AU103&gt;0),0,AX103)</f>
        <v>0</v>
      </c>
      <c r="BD103" s="220">
        <f>IF($B103="",0,SUMIFS(采购进货!$E$4:$E$1503,采购进货!$D$4:$D$1503,$B103,采购进货!$B$4:$B$1503,"&gt;="&amp;DATE(年度,5,1),采购进货!$B$4:$B$1503,"&lt;"&amp;DATE(年度,5+1,1))+SUMIFS(采购进货!$H$4:$H$1503,采购进货!$D$4:$D$1503,$B103,采购进货!$B$4:$B$1503,"&gt;="&amp;DATE(年度,5,1),采购进货!$B$4:$B$1503,"&lt;"&amp;DATE(年度,5+1,1)))</f>
        <v>0</v>
      </c>
      <c r="BE103" s="186">
        <f>IF($B103="",0,SUMIFS(采购进货!$G$4:$G$1503,采购进货!$D$4:$D$1503,$B103,采购进货!$B$4:$B$1503,"&gt;="&amp;DATE(年度,5,1),采购进货!$B$4:$B$1503,"&lt;"&amp;DATE(年度,5+1,1)))</f>
        <v>0</v>
      </c>
      <c r="BF103" s="234">
        <f>BA103+BD103</f>
        <v>0</v>
      </c>
      <c r="BG103" s="235">
        <f>BB103+BE103</f>
        <v>0</v>
      </c>
      <c r="BH103" s="222">
        <f>IF(AND(BF103&gt;0,BG103&gt;0),BG103/BF103,N($E103))</f>
        <v>0</v>
      </c>
      <c r="BI103" s="220">
        <f>IF($B103="",0,SUMIFS(出库明细!$E$4:$E$3003,出库明细!$D$4:$D$3003,$B103,出库明细!$B$4:$B$3003,"&gt;="&amp;DATE(年度,5,1),出库明细!$B$4:$B$3003,"&lt;"&amp;DATE(年度,5+1,1)))</f>
        <v>0</v>
      </c>
      <c r="BJ103" s="186">
        <f>BI103*BH103</f>
        <v>0</v>
      </c>
      <c r="BK103" s="220">
        <f>_辅助!BQ101</f>
        <v>0</v>
      </c>
      <c r="BL103" s="186">
        <f>_辅助!AG101</f>
        <v>0</v>
      </c>
      <c r="BM103" s="221">
        <f>BF103-BI103-BK103</f>
        <v>0</v>
      </c>
      <c r="BN103" s="187">
        <f>BG103-BJ103-BL103</f>
        <v>0</v>
      </c>
      <c r="BO103" s="236">
        <f>IF(AND(BF103&gt;0,BG103&gt;0),0,BJ103)</f>
        <v>0</v>
      </c>
      <c r="BP103" s="220">
        <f>IF($B103="",0,SUMIFS(采购进货!$E$4:$E$1503,采购进货!$D$4:$D$1503,$B103,采购进货!$B$4:$B$1503,"&gt;="&amp;DATE(年度,6,1),采购进货!$B$4:$B$1503,"&lt;"&amp;DATE(年度,6+1,1))+SUMIFS(采购进货!$H$4:$H$1503,采购进货!$D$4:$D$1503,$B103,采购进货!$B$4:$B$1503,"&gt;="&amp;DATE(年度,6,1),采购进货!$B$4:$B$1503,"&lt;"&amp;DATE(年度,6+1,1)))</f>
        <v>0</v>
      </c>
      <c r="BQ103" s="186">
        <f>IF($B103="",0,SUMIFS(采购进货!$G$4:$G$1503,采购进货!$D$4:$D$1503,$B103,采购进货!$B$4:$B$1503,"&gt;="&amp;DATE(年度,6,1),采购进货!$B$4:$B$1503,"&lt;"&amp;DATE(年度,6+1,1)))</f>
        <v>0</v>
      </c>
      <c r="BR103" s="234">
        <f>BM103+BP103</f>
        <v>0</v>
      </c>
      <c r="BS103" s="235">
        <f>BN103+BQ103</f>
        <v>0</v>
      </c>
      <c r="BT103" s="222">
        <f>IF(AND(BR103&gt;0,BS103&gt;0),BS103/BR103,N($E103))</f>
        <v>0</v>
      </c>
      <c r="BU103" s="220">
        <f>IF($B103="",0,SUMIFS(出库明细!$E$4:$E$3003,出库明细!$D$4:$D$3003,$B103,出库明细!$B$4:$B$3003,"&gt;="&amp;DATE(年度,6,1),出库明细!$B$4:$B$3003,"&lt;"&amp;DATE(年度,6+1,1)))</f>
        <v>0</v>
      </c>
      <c r="BV103" s="186">
        <f>BU103*BT103</f>
        <v>0</v>
      </c>
      <c r="BW103" s="220">
        <f>_辅助!BR101</f>
        <v>0</v>
      </c>
      <c r="BX103" s="186">
        <f>_辅助!AH101</f>
        <v>0</v>
      </c>
      <c r="BY103" s="221">
        <f>BR103-BU103-BW103</f>
        <v>0</v>
      </c>
      <c r="BZ103" s="187">
        <f>BS103-BV103-BX103</f>
        <v>0</v>
      </c>
      <c r="CA103" s="236">
        <f>IF(AND(BR103&gt;0,BS103&gt;0),0,BV103)</f>
        <v>0</v>
      </c>
      <c r="CB103" s="220">
        <f>IF($B103="",0,SUMIFS(采购进货!$E$4:$E$1503,采购进货!$D$4:$D$1503,$B103,采购进货!$B$4:$B$1503,"&gt;="&amp;DATE(年度,7,1),采购进货!$B$4:$B$1503,"&lt;"&amp;DATE(年度,7+1,1))+SUMIFS(采购进货!$H$4:$H$1503,采购进货!$D$4:$D$1503,$B103,采购进货!$B$4:$B$1503,"&gt;="&amp;DATE(年度,7,1),采购进货!$B$4:$B$1503,"&lt;"&amp;DATE(年度,7+1,1)))</f>
        <v>0</v>
      </c>
      <c r="CC103" s="186">
        <f>IF($B103="",0,SUMIFS(采购进货!$G$4:$G$1503,采购进货!$D$4:$D$1503,$B103,采购进货!$B$4:$B$1503,"&gt;="&amp;DATE(年度,7,1),采购进货!$B$4:$B$1503,"&lt;"&amp;DATE(年度,7+1,1)))</f>
        <v>0</v>
      </c>
      <c r="CD103" s="234">
        <f>BY103+CB103</f>
        <v>0</v>
      </c>
      <c r="CE103" s="235">
        <f>BZ103+CC103</f>
        <v>0</v>
      </c>
      <c r="CF103" s="222">
        <f>IF(AND(CD103&gt;0,CE103&gt;0),CE103/CD103,N($E103))</f>
        <v>0</v>
      </c>
      <c r="CG103" s="220">
        <f>IF($B103="",0,SUMIFS(出库明细!$E$4:$E$3003,出库明细!$D$4:$D$3003,$B103,出库明细!$B$4:$B$3003,"&gt;="&amp;DATE(年度,7,1),出库明细!$B$4:$B$3003,"&lt;"&amp;DATE(年度,7+1,1)))</f>
        <v>0</v>
      </c>
      <c r="CH103" s="186">
        <f>CG103*CF103</f>
        <v>0</v>
      </c>
      <c r="CI103" s="220">
        <f>_辅助!BS101</f>
        <v>0</v>
      </c>
      <c r="CJ103" s="186">
        <f>_辅助!AI101</f>
        <v>0</v>
      </c>
      <c r="CK103" s="221">
        <f>CD103-CG103-CI103</f>
        <v>0</v>
      </c>
      <c r="CL103" s="187">
        <f>CE103-CH103-CJ103</f>
        <v>0</v>
      </c>
      <c r="CM103" s="236">
        <f>IF(AND(CD103&gt;0,CE103&gt;0),0,CH103)</f>
        <v>0</v>
      </c>
      <c r="CN103" s="220">
        <f>IF($B103="",0,SUMIFS(采购进货!$E$4:$E$1503,采购进货!$D$4:$D$1503,$B103,采购进货!$B$4:$B$1503,"&gt;="&amp;DATE(年度,8,1),采购进货!$B$4:$B$1503,"&lt;"&amp;DATE(年度,8+1,1))+SUMIFS(采购进货!$H$4:$H$1503,采购进货!$D$4:$D$1503,$B103,采购进货!$B$4:$B$1503,"&gt;="&amp;DATE(年度,8,1),采购进货!$B$4:$B$1503,"&lt;"&amp;DATE(年度,8+1,1)))</f>
        <v>0</v>
      </c>
      <c r="CO103" s="186">
        <f>IF($B103="",0,SUMIFS(采购进货!$G$4:$G$1503,采购进货!$D$4:$D$1503,$B103,采购进货!$B$4:$B$1503,"&gt;="&amp;DATE(年度,8,1),采购进货!$B$4:$B$1503,"&lt;"&amp;DATE(年度,8+1,1)))</f>
        <v>0</v>
      </c>
      <c r="CP103" s="234">
        <f>CK103+CN103</f>
        <v>0</v>
      </c>
      <c r="CQ103" s="235">
        <f>CL103+CO103</f>
        <v>0</v>
      </c>
      <c r="CR103" s="222">
        <f>IF(AND(CP103&gt;0,CQ103&gt;0),CQ103/CP103,N($E103))</f>
        <v>0</v>
      </c>
      <c r="CS103" s="220">
        <f>IF($B103="",0,SUMIFS(出库明细!$E$4:$E$3003,出库明细!$D$4:$D$3003,$B103,出库明细!$B$4:$B$3003,"&gt;="&amp;DATE(年度,8,1),出库明细!$B$4:$B$3003,"&lt;"&amp;DATE(年度,8+1,1)))</f>
        <v>0</v>
      </c>
      <c r="CT103" s="186">
        <f>CS103*CR103</f>
        <v>0</v>
      </c>
      <c r="CU103" s="220">
        <f>_辅助!BT101</f>
        <v>0</v>
      </c>
      <c r="CV103" s="186">
        <f>_辅助!AJ101</f>
        <v>0</v>
      </c>
      <c r="CW103" s="221">
        <f>CP103-CS103-CU103</f>
        <v>0</v>
      </c>
      <c r="CX103" s="187">
        <f>CQ103-CT103-CV103</f>
        <v>0</v>
      </c>
      <c r="CY103" s="236">
        <f>IF(AND(CP103&gt;0,CQ103&gt;0),0,CT103)</f>
        <v>0</v>
      </c>
      <c r="CZ103" s="220">
        <f>IF($B103="",0,SUMIFS(采购进货!$E$4:$E$1503,采购进货!$D$4:$D$1503,$B103,采购进货!$B$4:$B$1503,"&gt;="&amp;DATE(年度,9,1),采购进货!$B$4:$B$1503,"&lt;"&amp;DATE(年度,9+1,1))+SUMIFS(采购进货!$H$4:$H$1503,采购进货!$D$4:$D$1503,$B103,采购进货!$B$4:$B$1503,"&gt;="&amp;DATE(年度,9,1),采购进货!$B$4:$B$1503,"&lt;"&amp;DATE(年度,9+1,1)))</f>
        <v>0</v>
      </c>
      <c r="DA103" s="186">
        <f>IF($B103="",0,SUMIFS(采购进货!$G$4:$G$1503,采购进货!$D$4:$D$1503,$B103,采购进货!$B$4:$B$1503,"&gt;="&amp;DATE(年度,9,1),采购进货!$B$4:$B$1503,"&lt;"&amp;DATE(年度,9+1,1)))</f>
        <v>0</v>
      </c>
      <c r="DB103" s="234">
        <f>CW103+CZ103</f>
        <v>0</v>
      </c>
      <c r="DC103" s="235">
        <f>CX103+DA103</f>
        <v>0</v>
      </c>
      <c r="DD103" s="222">
        <f>IF(AND(DB103&gt;0,DC103&gt;0),DC103/DB103,N($E103))</f>
        <v>0</v>
      </c>
      <c r="DE103" s="220">
        <f>IF($B103="",0,SUMIFS(出库明细!$E$4:$E$3003,出库明细!$D$4:$D$3003,$B103,出库明细!$B$4:$B$3003,"&gt;="&amp;DATE(年度,9,1),出库明细!$B$4:$B$3003,"&lt;"&amp;DATE(年度,9+1,1)))</f>
        <v>0</v>
      </c>
      <c r="DF103" s="186">
        <f>DE103*DD103</f>
        <v>0</v>
      </c>
      <c r="DG103" s="220">
        <f>_辅助!BU101</f>
        <v>0</v>
      </c>
      <c r="DH103" s="186">
        <f>_辅助!AK101</f>
        <v>0</v>
      </c>
      <c r="DI103" s="221">
        <f>DB103-DE103-DG103</f>
        <v>0</v>
      </c>
      <c r="DJ103" s="187">
        <f>DC103-DF103-DH103</f>
        <v>0</v>
      </c>
      <c r="DK103" s="236">
        <f>IF(AND(DB103&gt;0,DC103&gt;0),0,DF103)</f>
        <v>0</v>
      </c>
      <c r="DL103" s="220">
        <f>IF($B103="",0,SUMIFS(采购进货!$E$4:$E$1503,采购进货!$D$4:$D$1503,$B103,采购进货!$B$4:$B$1503,"&gt;="&amp;DATE(年度,10,1),采购进货!$B$4:$B$1503,"&lt;"&amp;DATE(年度,10+1,1))+SUMIFS(采购进货!$H$4:$H$1503,采购进货!$D$4:$D$1503,$B103,采购进货!$B$4:$B$1503,"&gt;="&amp;DATE(年度,10,1),采购进货!$B$4:$B$1503,"&lt;"&amp;DATE(年度,10+1,1)))</f>
        <v>0</v>
      </c>
      <c r="DM103" s="186">
        <f>IF($B103="",0,SUMIFS(采购进货!$G$4:$G$1503,采购进货!$D$4:$D$1503,$B103,采购进货!$B$4:$B$1503,"&gt;="&amp;DATE(年度,10,1),采购进货!$B$4:$B$1503,"&lt;"&amp;DATE(年度,10+1,1)))</f>
        <v>0</v>
      </c>
      <c r="DN103" s="234">
        <f>DI103+DL103</f>
        <v>0</v>
      </c>
      <c r="DO103" s="235">
        <f>DJ103+DM103</f>
        <v>0</v>
      </c>
      <c r="DP103" s="222">
        <f>IF(AND(DN103&gt;0,DO103&gt;0),DO103/DN103,N($E103))</f>
        <v>0</v>
      </c>
      <c r="DQ103" s="220">
        <f>IF($B103="",0,SUMIFS(出库明细!$E$4:$E$3003,出库明细!$D$4:$D$3003,$B103,出库明细!$B$4:$B$3003,"&gt;="&amp;DATE(年度,10,1),出库明细!$B$4:$B$3003,"&lt;"&amp;DATE(年度,10+1,1)))</f>
        <v>0</v>
      </c>
      <c r="DR103" s="186">
        <f>DQ103*DP103</f>
        <v>0</v>
      </c>
      <c r="DS103" s="220">
        <f>_辅助!BV101</f>
        <v>0</v>
      </c>
      <c r="DT103" s="186">
        <f>_辅助!AL101</f>
        <v>0</v>
      </c>
      <c r="DU103" s="221">
        <f>DN103-DQ103-DS103</f>
        <v>0</v>
      </c>
      <c r="DV103" s="187">
        <f>DO103-DR103-DT103</f>
        <v>0</v>
      </c>
      <c r="DW103" s="236">
        <f>IF(AND(DN103&gt;0,DO103&gt;0),0,DR103)</f>
        <v>0</v>
      </c>
      <c r="DX103" s="220">
        <f>IF($B103="",0,SUMIFS(采购进货!$E$4:$E$1503,采购进货!$D$4:$D$1503,$B103,采购进货!$B$4:$B$1503,"&gt;="&amp;DATE(年度,11,1),采购进货!$B$4:$B$1503,"&lt;"&amp;DATE(年度,11+1,1))+SUMIFS(采购进货!$H$4:$H$1503,采购进货!$D$4:$D$1503,$B103,采购进货!$B$4:$B$1503,"&gt;="&amp;DATE(年度,11,1),采购进货!$B$4:$B$1503,"&lt;"&amp;DATE(年度,11+1,1)))</f>
        <v>0</v>
      </c>
      <c r="DY103" s="186">
        <f>IF($B103="",0,SUMIFS(采购进货!$G$4:$G$1503,采购进货!$D$4:$D$1503,$B103,采购进货!$B$4:$B$1503,"&gt;="&amp;DATE(年度,11,1),采购进货!$B$4:$B$1503,"&lt;"&amp;DATE(年度,11+1,1)))</f>
        <v>0</v>
      </c>
      <c r="DZ103" s="234">
        <f>DU103+DX103</f>
        <v>0</v>
      </c>
      <c r="EA103" s="235">
        <f>DV103+DY103</f>
        <v>0</v>
      </c>
      <c r="EB103" s="222">
        <f>IF(AND(DZ103&gt;0,EA103&gt;0),EA103/DZ103,N($E103))</f>
        <v>0</v>
      </c>
      <c r="EC103" s="220">
        <f>IF($B103="",0,SUMIFS(出库明细!$E$4:$E$3003,出库明细!$D$4:$D$3003,$B103,出库明细!$B$4:$B$3003,"&gt;="&amp;DATE(年度,11,1),出库明细!$B$4:$B$3003,"&lt;"&amp;DATE(年度,11+1,1)))</f>
        <v>0</v>
      </c>
      <c r="ED103" s="186">
        <f>EC103*EB103</f>
        <v>0</v>
      </c>
      <c r="EE103" s="220">
        <f>_辅助!BW101</f>
        <v>0</v>
      </c>
      <c r="EF103" s="186">
        <f>_辅助!AM101</f>
        <v>0</v>
      </c>
      <c r="EG103" s="221">
        <f>DZ103-EC103-EE103</f>
        <v>0</v>
      </c>
      <c r="EH103" s="187">
        <f>EA103-ED103-EF103</f>
        <v>0</v>
      </c>
      <c r="EI103" s="236">
        <f>IF(AND(DZ103&gt;0,EA103&gt;0),0,ED103)</f>
        <v>0</v>
      </c>
      <c r="EJ103" s="220">
        <f>IF($B103="",0,SUMIFS(采购进货!$E$4:$E$1503,采购进货!$D$4:$D$1503,$B103,采购进货!$B$4:$B$1503,"&gt;="&amp;DATE(年度,12,1),采购进货!$B$4:$B$1503,"&lt;"&amp;DATE(年度,12+1,1))+SUMIFS(采购进货!$H$4:$H$1503,采购进货!$D$4:$D$1503,$B103,采购进货!$B$4:$B$1503,"&gt;="&amp;DATE(年度,12,1),采购进货!$B$4:$B$1503,"&lt;"&amp;DATE(年度,12+1,1)))</f>
        <v>0</v>
      </c>
      <c r="EK103" s="186">
        <f>IF($B103="",0,SUMIFS(采购进货!$G$4:$G$1503,采购进货!$D$4:$D$1503,$B103,采购进货!$B$4:$B$1503,"&gt;="&amp;DATE(年度,12,1),采购进货!$B$4:$B$1503,"&lt;"&amp;DATE(年度,12+1,1)))</f>
        <v>0</v>
      </c>
      <c r="EL103" s="234">
        <f>EG103+EJ103</f>
        <v>0</v>
      </c>
      <c r="EM103" s="235">
        <f>EH103+EK103</f>
        <v>0</v>
      </c>
      <c r="EN103" s="222">
        <f>IF(AND(EL103&gt;0,EM103&gt;0),EM103/EL103,N($E103))</f>
        <v>0</v>
      </c>
      <c r="EO103" s="220">
        <f>IF($B103="",0,SUMIFS(出库明细!$E$4:$E$3003,出库明细!$D$4:$D$3003,$B103,出库明细!$B$4:$B$3003,"&gt;="&amp;DATE(年度,12,1),出库明细!$B$4:$B$3003,"&lt;"&amp;DATE(年度,12+1,1)))</f>
        <v>0</v>
      </c>
      <c r="EP103" s="186">
        <f>EO103*EN103</f>
        <v>0</v>
      </c>
      <c r="EQ103" s="220">
        <f>_辅助!BX101</f>
        <v>0</v>
      </c>
      <c r="ER103" s="186">
        <f>_辅助!AN101</f>
        <v>0</v>
      </c>
      <c r="ES103" s="221">
        <f>EL103-EO103-EQ103</f>
        <v>0</v>
      </c>
      <c r="ET103" s="187">
        <f>EM103-EP103-ER103</f>
        <v>0</v>
      </c>
      <c r="EU103" s="236">
        <f>IF(AND(EL103&gt;0,EM103&gt;0),0,EP103)</f>
        <v>0</v>
      </c>
    </row>
    <row r="104">
      <c r="A104" s="194">
        <f>IF(B104="","",ROW()-7)</f>
      </c>
      <c r="B104" s="141">
        <f>IF(基础资料!E101="","",基础资料!E101&amp;"")</f>
      </c>
      <c r="C104" s="230">
        <f>IF(基础资料!G101="","",基础资料!G101&amp;"")</f>
      </c>
      <c r="D104" s="194">
        <f>IF(基础资料!I101="","",基础资料!I101)</f>
      </c>
      <c r="E104" s="231">
        <f>IF(基础资料!J101="","",基础资料!J101)</f>
      </c>
      <c r="F104" s="232">
        <f>N(基础资料!L101)</f>
        <v>0</v>
      </c>
      <c r="G104" s="233">
        <f>IF(基础资料!N101="",0,基础资料!N101)</f>
        <v>0</v>
      </c>
      <c r="H104" s="220">
        <f>IF($B104="",0,SUMIFS(采购进货!$E$4:$E$1503,采购进货!$D$4:$D$1503,$B104,采购进货!$B$4:$B$1503,"&gt;="&amp;DATE(年度,1,1),采购进货!$B$4:$B$1503,"&lt;"&amp;DATE(年度,1+1,1))+SUMIFS(采购进货!$H$4:$H$1503,采购进货!$D$4:$D$1503,$B104,采购进货!$B$4:$B$1503,"&gt;="&amp;DATE(年度,1,1),采购进货!$B$4:$B$1503,"&lt;"&amp;DATE(年度,1+1,1)))</f>
        <v>0</v>
      </c>
      <c r="I104" s="186">
        <f>IF($B104="",0,SUMIFS(采购进货!$G$4:$G$1503,采购进货!$D$4:$D$1503,$B104,采购进货!$B$4:$B$1503,"&gt;="&amp;DATE(年度,1,1),采购进货!$B$4:$B$1503,"&lt;"&amp;DATE(年度,1+1,1)))</f>
        <v>0</v>
      </c>
      <c r="J104" s="234">
        <f>F104+H104</f>
        <v>0</v>
      </c>
      <c r="K104" s="235">
        <f>G104+I104</f>
        <v>0</v>
      </c>
      <c r="L104" s="222">
        <f>IF(AND(J104&gt;0,K104&gt;0),K104/J104,N($E104))</f>
        <v>0</v>
      </c>
      <c r="M104" s="220">
        <f>IF($B104="",0,SUMIFS(出库明细!$E$4:$E$3003,出库明细!$D$4:$D$3003,$B104,出库明细!$B$4:$B$3003,"&gt;="&amp;DATE(年度,1,1),出库明细!$B$4:$B$3003,"&lt;"&amp;DATE(年度,1+1,1)))</f>
        <v>0</v>
      </c>
      <c r="N104" s="186">
        <f>M104*L104</f>
        <v>0</v>
      </c>
      <c r="O104" s="220">
        <f>_辅助!BM102</f>
        <v>0</v>
      </c>
      <c r="P104" s="186">
        <f>_辅助!AC102</f>
        <v>0</v>
      </c>
      <c r="Q104" s="221">
        <f>J104-M104-O104</f>
        <v>0</v>
      </c>
      <c r="R104" s="187">
        <f>K104-N104-P104</f>
        <v>0</v>
      </c>
      <c r="S104" s="236">
        <f>IF(AND(J104&gt;0,K104&gt;0),0,N104)</f>
        <v>0</v>
      </c>
      <c r="T104" s="220">
        <f>IF($B104="",0,SUMIFS(采购进货!$E$4:$E$1503,采购进货!$D$4:$D$1503,$B104,采购进货!$B$4:$B$1503,"&gt;="&amp;DATE(年度,2,1),采购进货!$B$4:$B$1503,"&lt;"&amp;DATE(年度,2+1,1))+SUMIFS(采购进货!$H$4:$H$1503,采购进货!$D$4:$D$1503,$B104,采购进货!$B$4:$B$1503,"&gt;="&amp;DATE(年度,2,1),采购进货!$B$4:$B$1503,"&lt;"&amp;DATE(年度,2+1,1)))</f>
        <v>0</v>
      </c>
      <c r="U104" s="186">
        <f>IF($B104="",0,SUMIFS(采购进货!$G$4:$G$1503,采购进货!$D$4:$D$1503,$B104,采购进货!$B$4:$B$1503,"&gt;="&amp;DATE(年度,2,1),采购进货!$B$4:$B$1503,"&lt;"&amp;DATE(年度,2+1,1)))</f>
        <v>0</v>
      </c>
      <c r="V104" s="234">
        <f>Q104+T104</f>
        <v>0</v>
      </c>
      <c r="W104" s="235">
        <f>R104+U104</f>
        <v>0</v>
      </c>
      <c r="X104" s="222">
        <f>IF(AND(V104&gt;0,W104&gt;0),W104/V104,N($E104))</f>
        <v>0</v>
      </c>
      <c r="Y104" s="220">
        <f>IF($B104="",0,SUMIFS(出库明细!$E$4:$E$3003,出库明细!$D$4:$D$3003,$B104,出库明细!$B$4:$B$3003,"&gt;="&amp;DATE(年度,2,1),出库明细!$B$4:$B$3003,"&lt;"&amp;DATE(年度,2+1,1)))</f>
        <v>0</v>
      </c>
      <c r="Z104" s="186">
        <f>Y104*X104</f>
        <v>0</v>
      </c>
      <c r="AA104" s="220">
        <f>_辅助!BN102</f>
        <v>0</v>
      </c>
      <c r="AB104" s="186">
        <f>_辅助!AD102</f>
        <v>0</v>
      </c>
      <c r="AC104" s="221">
        <f>V104-Y104-AA104</f>
        <v>0</v>
      </c>
      <c r="AD104" s="187">
        <f>W104-Z104-AB104</f>
        <v>0</v>
      </c>
      <c r="AE104" s="236">
        <f>IF(AND(V104&gt;0,W104&gt;0),0,Z104)</f>
        <v>0</v>
      </c>
      <c r="AF104" s="220">
        <f>IF($B104="",0,SUMIFS(采购进货!$E$4:$E$1503,采购进货!$D$4:$D$1503,$B104,采购进货!$B$4:$B$1503,"&gt;="&amp;DATE(年度,3,1),采购进货!$B$4:$B$1503,"&lt;"&amp;DATE(年度,3+1,1))+SUMIFS(采购进货!$H$4:$H$1503,采购进货!$D$4:$D$1503,$B104,采购进货!$B$4:$B$1503,"&gt;="&amp;DATE(年度,3,1),采购进货!$B$4:$B$1503,"&lt;"&amp;DATE(年度,3+1,1)))</f>
        <v>0</v>
      </c>
      <c r="AG104" s="186">
        <f>IF($B104="",0,SUMIFS(采购进货!$G$4:$G$1503,采购进货!$D$4:$D$1503,$B104,采购进货!$B$4:$B$1503,"&gt;="&amp;DATE(年度,3,1),采购进货!$B$4:$B$1503,"&lt;"&amp;DATE(年度,3+1,1)))</f>
        <v>0</v>
      </c>
      <c r="AH104" s="234">
        <f>AC104+AF104</f>
        <v>0</v>
      </c>
      <c r="AI104" s="235">
        <f>AD104+AG104</f>
        <v>0</v>
      </c>
      <c r="AJ104" s="222">
        <f>IF(AND(AH104&gt;0,AI104&gt;0),AI104/AH104,N($E104))</f>
        <v>0</v>
      </c>
      <c r="AK104" s="220">
        <f>IF($B104="",0,SUMIFS(出库明细!$E$4:$E$3003,出库明细!$D$4:$D$3003,$B104,出库明细!$B$4:$B$3003,"&gt;="&amp;DATE(年度,3,1),出库明细!$B$4:$B$3003,"&lt;"&amp;DATE(年度,3+1,1)))</f>
        <v>0</v>
      </c>
      <c r="AL104" s="186">
        <f>AK104*AJ104</f>
        <v>0</v>
      </c>
      <c r="AM104" s="220">
        <f>_辅助!BO102</f>
        <v>0</v>
      </c>
      <c r="AN104" s="186">
        <f>_辅助!AE102</f>
        <v>0</v>
      </c>
      <c r="AO104" s="221">
        <f>AH104-AK104-AM104</f>
        <v>0</v>
      </c>
      <c r="AP104" s="187">
        <f>AI104-AL104-AN104</f>
        <v>0</v>
      </c>
      <c r="AQ104" s="236">
        <f>IF(AND(AH104&gt;0,AI104&gt;0),0,AL104)</f>
        <v>0</v>
      </c>
      <c r="AR104" s="220">
        <f>IF($B104="",0,SUMIFS(采购进货!$E$4:$E$1503,采购进货!$D$4:$D$1503,$B104,采购进货!$B$4:$B$1503,"&gt;="&amp;DATE(年度,4,1),采购进货!$B$4:$B$1503,"&lt;"&amp;DATE(年度,4+1,1))+SUMIFS(采购进货!$H$4:$H$1503,采购进货!$D$4:$D$1503,$B104,采购进货!$B$4:$B$1503,"&gt;="&amp;DATE(年度,4,1),采购进货!$B$4:$B$1503,"&lt;"&amp;DATE(年度,4+1,1)))</f>
        <v>0</v>
      </c>
      <c r="AS104" s="186">
        <f>IF($B104="",0,SUMIFS(采购进货!$G$4:$G$1503,采购进货!$D$4:$D$1503,$B104,采购进货!$B$4:$B$1503,"&gt;="&amp;DATE(年度,4,1),采购进货!$B$4:$B$1503,"&lt;"&amp;DATE(年度,4+1,1)))</f>
        <v>0</v>
      </c>
      <c r="AT104" s="234">
        <f>AO104+AR104</f>
        <v>0</v>
      </c>
      <c r="AU104" s="235">
        <f>AP104+AS104</f>
        <v>0</v>
      </c>
      <c r="AV104" s="222">
        <f>IF(AND(AT104&gt;0,AU104&gt;0),AU104/AT104,N($E104))</f>
        <v>0</v>
      </c>
      <c r="AW104" s="220">
        <f>IF($B104="",0,SUMIFS(出库明细!$E$4:$E$3003,出库明细!$D$4:$D$3003,$B104,出库明细!$B$4:$B$3003,"&gt;="&amp;DATE(年度,4,1),出库明细!$B$4:$B$3003,"&lt;"&amp;DATE(年度,4+1,1)))</f>
        <v>0</v>
      </c>
      <c r="AX104" s="186">
        <f>AW104*AV104</f>
        <v>0</v>
      </c>
      <c r="AY104" s="220">
        <f>_辅助!BP102</f>
        <v>0</v>
      </c>
      <c r="AZ104" s="186">
        <f>_辅助!AF102</f>
        <v>0</v>
      </c>
      <c r="BA104" s="221">
        <f>AT104-AW104-AY104</f>
        <v>0</v>
      </c>
      <c r="BB104" s="187">
        <f>AU104-AX104-AZ104</f>
        <v>0</v>
      </c>
      <c r="BC104" s="236">
        <f>IF(AND(AT104&gt;0,AU104&gt;0),0,AX104)</f>
        <v>0</v>
      </c>
      <c r="BD104" s="220">
        <f>IF($B104="",0,SUMIFS(采购进货!$E$4:$E$1503,采购进货!$D$4:$D$1503,$B104,采购进货!$B$4:$B$1503,"&gt;="&amp;DATE(年度,5,1),采购进货!$B$4:$B$1503,"&lt;"&amp;DATE(年度,5+1,1))+SUMIFS(采购进货!$H$4:$H$1503,采购进货!$D$4:$D$1503,$B104,采购进货!$B$4:$B$1503,"&gt;="&amp;DATE(年度,5,1),采购进货!$B$4:$B$1503,"&lt;"&amp;DATE(年度,5+1,1)))</f>
        <v>0</v>
      </c>
      <c r="BE104" s="186">
        <f>IF($B104="",0,SUMIFS(采购进货!$G$4:$G$1503,采购进货!$D$4:$D$1503,$B104,采购进货!$B$4:$B$1503,"&gt;="&amp;DATE(年度,5,1),采购进货!$B$4:$B$1503,"&lt;"&amp;DATE(年度,5+1,1)))</f>
        <v>0</v>
      </c>
      <c r="BF104" s="234">
        <f>BA104+BD104</f>
        <v>0</v>
      </c>
      <c r="BG104" s="235">
        <f>BB104+BE104</f>
        <v>0</v>
      </c>
      <c r="BH104" s="222">
        <f>IF(AND(BF104&gt;0,BG104&gt;0),BG104/BF104,N($E104))</f>
        <v>0</v>
      </c>
      <c r="BI104" s="220">
        <f>IF($B104="",0,SUMIFS(出库明细!$E$4:$E$3003,出库明细!$D$4:$D$3003,$B104,出库明细!$B$4:$B$3003,"&gt;="&amp;DATE(年度,5,1),出库明细!$B$4:$B$3003,"&lt;"&amp;DATE(年度,5+1,1)))</f>
        <v>0</v>
      </c>
      <c r="BJ104" s="186">
        <f>BI104*BH104</f>
        <v>0</v>
      </c>
      <c r="BK104" s="220">
        <f>_辅助!BQ102</f>
        <v>0</v>
      </c>
      <c r="BL104" s="186">
        <f>_辅助!AG102</f>
        <v>0</v>
      </c>
      <c r="BM104" s="221">
        <f>BF104-BI104-BK104</f>
        <v>0</v>
      </c>
      <c r="BN104" s="187">
        <f>BG104-BJ104-BL104</f>
        <v>0</v>
      </c>
      <c r="BO104" s="236">
        <f>IF(AND(BF104&gt;0,BG104&gt;0),0,BJ104)</f>
        <v>0</v>
      </c>
      <c r="BP104" s="220">
        <f>IF($B104="",0,SUMIFS(采购进货!$E$4:$E$1503,采购进货!$D$4:$D$1503,$B104,采购进货!$B$4:$B$1503,"&gt;="&amp;DATE(年度,6,1),采购进货!$B$4:$B$1503,"&lt;"&amp;DATE(年度,6+1,1))+SUMIFS(采购进货!$H$4:$H$1503,采购进货!$D$4:$D$1503,$B104,采购进货!$B$4:$B$1503,"&gt;="&amp;DATE(年度,6,1),采购进货!$B$4:$B$1503,"&lt;"&amp;DATE(年度,6+1,1)))</f>
        <v>0</v>
      </c>
      <c r="BQ104" s="186">
        <f>IF($B104="",0,SUMIFS(采购进货!$G$4:$G$1503,采购进货!$D$4:$D$1503,$B104,采购进货!$B$4:$B$1503,"&gt;="&amp;DATE(年度,6,1),采购进货!$B$4:$B$1503,"&lt;"&amp;DATE(年度,6+1,1)))</f>
        <v>0</v>
      </c>
      <c r="BR104" s="234">
        <f>BM104+BP104</f>
        <v>0</v>
      </c>
      <c r="BS104" s="235">
        <f>BN104+BQ104</f>
        <v>0</v>
      </c>
      <c r="BT104" s="222">
        <f>IF(AND(BR104&gt;0,BS104&gt;0),BS104/BR104,N($E104))</f>
        <v>0</v>
      </c>
      <c r="BU104" s="220">
        <f>IF($B104="",0,SUMIFS(出库明细!$E$4:$E$3003,出库明细!$D$4:$D$3003,$B104,出库明细!$B$4:$B$3003,"&gt;="&amp;DATE(年度,6,1),出库明细!$B$4:$B$3003,"&lt;"&amp;DATE(年度,6+1,1)))</f>
        <v>0</v>
      </c>
      <c r="BV104" s="186">
        <f>BU104*BT104</f>
        <v>0</v>
      </c>
      <c r="BW104" s="220">
        <f>_辅助!BR102</f>
        <v>0</v>
      </c>
      <c r="BX104" s="186">
        <f>_辅助!AH102</f>
        <v>0</v>
      </c>
      <c r="BY104" s="221">
        <f>BR104-BU104-BW104</f>
        <v>0</v>
      </c>
      <c r="BZ104" s="187">
        <f>BS104-BV104-BX104</f>
        <v>0</v>
      </c>
      <c r="CA104" s="236">
        <f>IF(AND(BR104&gt;0,BS104&gt;0),0,BV104)</f>
        <v>0</v>
      </c>
      <c r="CB104" s="220">
        <f>IF($B104="",0,SUMIFS(采购进货!$E$4:$E$1503,采购进货!$D$4:$D$1503,$B104,采购进货!$B$4:$B$1503,"&gt;="&amp;DATE(年度,7,1),采购进货!$B$4:$B$1503,"&lt;"&amp;DATE(年度,7+1,1))+SUMIFS(采购进货!$H$4:$H$1503,采购进货!$D$4:$D$1503,$B104,采购进货!$B$4:$B$1503,"&gt;="&amp;DATE(年度,7,1),采购进货!$B$4:$B$1503,"&lt;"&amp;DATE(年度,7+1,1)))</f>
        <v>0</v>
      </c>
      <c r="CC104" s="186">
        <f>IF($B104="",0,SUMIFS(采购进货!$G$4:$G$1503,采购进货!$D$4:$D$1503,$B104,采购进货!$B$4:$B$1503,"&gt;="&amp;DATE(年度,7,1),采购进货!$B$4:$B$1503,"&lt;"&amp;DATE(年度,7+1,1)))</f>
        <v>0</v>
      </c>
      <c r="CD104" s="234">
        <f>BY104+CB104</f>
        <v>0</v>
      </c>
      <c r="CE104" s="235">
        <f>BZ104+CC104</f>
        <v>0</v>
      </c>
      <c r="CF104" s="222">
        <f>IF(AND(CD104&gt;0,CE104&gt;0),CE104/CD104,N($E104))</f>
        <v>0</v>
      </c>
      <c r="CG104" s="220">
        <f>IF($B104="",0,SUMIFS(出库明细!$E$4:$E$3003,出库明细!$D$4:$D$3003,$B104,出库明细!$B$4:$B$3003,"&gt;="&amp;DATE(年度,7,1),出库明细!$B$4:$B$3003,"&lt;"&amp;DATE(年度,7+1,1)))</f>
        <v>0</v>
      </c>
      <c r="CH104" s="186">
        <f>CG104*CF104</f>
        <v>0</v>
      </c>
      <c r="CI104" s="220">
        <f>_辅助!BS102</f>
        <v>0</v>
      </c>
      <c r="CJ104" s="186">
        <f>_辅助!AI102</f>
        <v>0</v>
      </c>
      <c r="CK104" s="221">
        <f>CD104-CG104-CI104</f>
        <v>0</v>
      </c>
      <c r="CL104" s="187">
        <f>CE104-CH104-CJ104</f>
        <v>0</v>
      </c>
      <c r="CM104" s="236">
        <f>IF(AND(CD104&gt;0,CE104&gt;0),0,CH104)</f>
        <v>0</v>
      </c>
      <c r="CN104" s="220">
        <f>IF($B104="",0,SUMIFS(采购进货!$E$4:$E$1503,采购进货!$D$4:$D$1503,$B104,采购进货!$B$4:$B$1503,"&gt;="&amp;DATE(年度,8,1),采购进货!$B$4:$B$1503,"&lt;"&amp;DATE(年度,8+1,1))+SUMIFS(采购进货!$H$4:$H$1503,采购进货!$D$4:$D$1503,$B104,采购进货!$B$4:$B$1503,"&gt;="&amp;DATE(年度,8,1),采购进货!$B$4:$B$1503,"&lt;"&amp;DATE(年度,8+1,1)))</f>
        <v>0</v>
      </c>
      <c r="CO104" s="186">
        <f>IF($B104="",0,SUMIFS(采购进货!$G$4:$G$1503,采购进货!$D$4:$D$1503,$B104,采购进货!$B$4:$B$1503,"&gt;="&amp;DATE(年度,8,1),采购进货!$B$4:$B$1503,"&lt;"&amp;DATE(年度,8+1,1)))</f>
        <v>0</v>
      </c>
      <c r="CP104" s="234">
        <f>CK104+CN104</f>
        <v>0</v>
      </c>
      <c r="CQ104" s="235">
        <f>CL104+CO104</f>
        <v>0</v>
      </c>
      <c r="CR104" s="222">
        <f>IF(AND(CP104&gt;0,CQ104&gt;0),CQ104/CP104,N($E104))</f>
        <v>0</v>
      </c>
      <c r="CS104" s="220">
        <f>IF($B104="",0,SUMIFS(出库明细!$E$4:$E$3003,出库明细!$D$4:$D$3003,$B104,出库明细!$B$4:$B$3003,"&gt;="&amp;DATE(年度,8,1),出库明细!$B$4:$B$3003,"&lt;"&amp;DATE(年度,8+1,1)))</f>
        <v>0</v>
      </c>
      <c r="CT104" s="186">
        <f>CS104*CR104</f>
        <v>0</v>
      </c>
      <c r="CU104" s="220">
        <f>_辅助!BT102</f>
        <v>0</v>
      </c>
      <c r="CV104" s="186">
        <f>_辅助!AJ102</f>
        <v>0</v>
      </c>
      <c r="CW104" s="221">
        <f>CP104-CS104-CU104</f>
        <v>0</v>
      </c>
      <c r="CX104" s="187">
        <f>CQ104-CT104-CV104</f>
        <v>0</v>
      </c>
      <c r="CY104" s="236">
        <f>IF(AND(CP104&gt;0,CQ104&gt;0),0,CT104)</f>
        <v>0</v>
      </c>
      <c r="CZ104" s="220">
        <f>IF($B104="",0,SUMIFS(采购进货!$E$4:$E$1503,采购进货!$D$4:$D$1503,$B104,采购进货!$B$4:$B$1503,"&gt;="&amp;DATE(年度,9,1),采购进货!$B$4:$B$1503,"&lt;"&amp;DATE(年度,9+1,1))+SUMIFS(采购进货!$H$4:$H$1503,采购进货!$D$4:$D$1503,$B104,采购进货!$B$4:$B$1503,"&gt;="&amp;DATE(年度,9,1),采购进货!$B$4:$B$1503,"&lt;"&amp;DATE(年度,9+1,1)))</f>
        <v>0</v>
      </c>
      <c r="DA104" s="186">
        <f>IF($B104="",0,SUMIFS(采购进货!$G$4:$G$1503,采购进货!$D$4:$D$1503,$B104,采购进货!$B$4:$B$1503,"&gt;="&amp;DATE(年度,9,1),采购进货!$B$4:$B$1503,"&lt;"&amp;DATE(年度,9+1,1)))</f>
        <v>0</v>
      </c>
      <c r="DB104" s="234">
        <f>CW104+CZ104</f>
        <v>0</v>
      </c>
      <c r="DC104" s="235">
        <f>CX104+DA104</f>
        <v>0</v>
      </c>
      <c r="DD104" s="222">
        <f>IF(AND(DB104&gt;0,DC104&gt;0),DC104/DB104,N($E104))</f>
        <v>0</v>
      </c>
      <c r="DE104" s="220">
        <f>IF($B104="",0,SUMIFS(出库明细!$E$4:$E$3003,出库明细!$D$4:$D$3003,$B104,出库明细!$B$4:$B$3003,"&gt;="&amp;DATE(年度,9,1),出库明细!$B$4:$B$3003,"&lt;"&amp;DATE(年度,9+1,1)))</f>
        <v>0</v>
      </c>
      <c r="DF104" s="186">
        <f>DE104*DD104</f>
        <v>0</v>
      </c>
      <c r="DG104" s="220">
        <f>_辅助!BU102</f>
        <v>0</v>
      </c>
      <c r="DH104" s="186">
        <f>_辅助!AK102</f>
        <v>0</v>
      </c>
      <c r="DI104" s="221">
        <f>DB104-DE104-DG104</f>
        <v>0</v>
      </c>
      <c r="DJ104" s="187">
        <f>DC104-DF104-DH104</f>
        <v>0</v>
      </c>
      <c r="DK104" s="236">
        <f>IF(AND(DB104&gt;0,DC104&gt;0),0,DF104)</f>
        <v>0</v>
      </c>
      <c r="DL104" s="220">
        <f>IF($B104="",0,SUMIFS(采购进货!$E$4:$E$1503,采购进货!$D$4:$D$1503,$B104,采购进货!$B$4:$B$1503,"&gt;="&amp;DATE(年度,10,1),采购进货!$B$4:$B$1503,"&lt;"&amp;DATE(年度,10+1,1))+SUMIFS(采购进货!$H$4:$H$1503,采购进货!$D$4:$D$1503,$B104,采购进货!$B$4:$B$1503,"&gt;="&amp;DATE(年度,10,1),采购进货!$B$4:$B$1503,"&lt;"&amp;DATE(年度,10+1,1)))</f>
        <v>0</v>
      </c>
      <c r="DM104" s="186">
        <f>IF($B104="",0,SUMIFS(采购进货!$G$4:$G$1503,采购进货!$D$4:$D$1503,$B104,采购进货!$B$4:$B$1503,"&gt;="&amp;DATE(年度,10,1),采购进货!$B$4:$B$1503,"&lt;"&amp;DATE(年度,10+1,1)))</f>
        <v>0</v>
      </c>
      <c r="DN104" s="234">
        <f>DI104+DL104</f>
        <v>0</v>
      </c>
      <c r="DO104" s="235">
        <f>DJ104+DM104</f>
        <v>0</v>
      </c>
      <c r="DP104" s="222">
        <f>IF(AND(DN104&gt;0,DO104&gt;0),DO104/DN104,N($E104))</f>
        <v>0</v>
      </c>
      <c r="DQ104" s="220">
        <f>IF($B104="",0,SUMIFS(出库明细!$E$4:$E$3003,出库明细!$D$4:$D$3003,$B104,出库明细!$B$4:$B$3003,"&gt;="&amp;DATE(年度,10,1),出库明细!$B$4:$B$3003,"&lt;"&amp;DATE(年度,10+1,1)))</f>
        <v>0</v>
      </c>
      <c r="DR104" s="186">
        <f>DQ104*DP104</f>
        <v>0</v>
      </c>
      <c r="DS104" s="220">
        <f>_辅助!BV102</f>
        <v>0</v>
      </c>
      <c r="DT104" s="186">
        <f>_辅助!AL102</f>
        <v>0</v>
      </c>
      <c r="DU104" s="221">
        <f>DN104-DQ104-DS104</f>
        <v>0</v>
      </c>
      <c r="DV104" s="187">
        <f>DO104-DR104-DT104</f>
        <v>0</v>
      </c>
      <c r="DW104" s="236">
        <f>IF(AND(DN104&gt;0,DO104&gt;0),0,DR104)</f>
        <v>0</v>
      </c>
      <c r="DX104" s="220">
        <f>IF($B104="",0,SUMIFS(采购进货!$E$4:$E$1503,采购进货!$D$4:$D$1503,$B104,采购进货!$B$4:$B$1503,"&gt;="&amp;DATE(年度,11,1),采购进货!$B$4:$B$1503,"&lt;"&amp;DATE(年度,11+1,1))+SUMIFS(采购进货!$H$4:$H$1503,采购进货!$D$4:$D$1503,$B104,采购进货!$B$4:$B$1503,"&gt;="&amp;DATE(年度,11,1),采购进货!$B$4:$B$1503,"&lt;"&amp;DATE(年度,11+1,1)))</f>
        <v>0</v>
      </c>
      <c r="DY104" s="186">
        <f>IF($B104="",0,SUMIFS(采购进货!$G$4:$G$1503,采购进货!$D$4:$D$1503,$B104,采购进货!$B$4:$B$1503,"&gt;="&amp;DATE(年度,11,1),采购进货!$B$4:$B$1503,"&lt;"&amp;DATE(年度,11+1,1)))</f>
        <v>0</v>
      </c>
      <c r="DZ104" s="234">
        <f>DU104+DX104</f>
        <v>0</v>
      </c>
      <c r="EA104" s="235">
        <f>DV104+DY104</f>
        <v>0</v>
      </c>
      <c r="EB104" s="222">
        <f>IF(AND(DZ104&gt;0,EA104&gt;0),EA104/DZ104,N($E104))</f>
        <v>0</v>
      </c>
      <c r="EC104" s="220">
        <f>IF($B104="",0,SUMIFS(出库明细!$E$4:$E$3003,出库明细!$D$4:$D$3003,$B104,出库明细!$B$4:$B$3003,"&gt;="&amp;DATE(年度,11,1),出库明细!$B$4:$B$3003,"&lt;"&amp;DATE(年度,11+1,1)))</f>
        <v>0</v>
      </c>
      <c r="ED104" s="186">
        <f>EC104*EB104</f>
        <v>0</v>
      </c>
      <c r="EE104" s="220">
        <f>_辅助!BW102</f>
        <v>0</v>
      </c>
      <c r="EF104" s="186">
        <f>_辅助!AM102</f>
        <v>0</v>
      </c>
      <c r="EG104" s="221">
        <f>DZ104-EC104-EE104</f>
        <v>0</v>
      </c>
      <c r="EH104" s="187">
        <f>EA104-ED104-EF104</f>
        <v>0</v>
      </c>
      <c r="EI104" s="236">
        <f>IF(AND(DZ104&gt;0,EA104&gt;0),0,ED104)</f>
        <v>0</v>
      </c>
      <c r="EJ104" s="220">
        <f>IF($B104="",0,SUMIFS(采购进货!$E$4:$E$1503,采购进货!$D$4:$D$1503,$B104,采购进货!$B$4:$B$1503,"&gt;="&amp;DATE(年度,12,1),采购进货!$B$4:$B$1503,"&lt;"&amp;DATE(年度,12+1,1))+SUMIFS(采购进货!$H$4:$H$1503,采购进货!$D$4:$D$1503,$B104,采购进货!$B$4:$B$1503,"&gt;="&amp;DATE(年度,12,1),采购进货!$B$4:$B$1503,"&lt;"&amp;DATE(年度,12+1,1)))</f>
        <v>0</v>
      </c>
      <c r="EK104" s="186">
        <f>IF($B104="",0,SUMIFS(采购进货!$G$4:$G$1503,采购进货!$D$4:$D$1503,$B104,采购进货!$B$4:$B$1503,"&gt;="&amp;DATE(年度,12,1),采购进货!$B$4:$B$1503,"&lt;"&amp;DATE(年度,12+1,1)))</f>
        <v>0</v>
      </c>
      <c r="EL104" s="234">
        <f>EG104+EJ104</f>
        <v>0</v>
      </c>
      <c r="EM104" s="235">
        <f>EH104+EK104</f>
        <v>0</v>
      </c>
      <c r="EN104" s="222">
        <f>IF(AND(EL104&gt;0,EM104&gt;0),EM104/EL104,N($E104))</f>
        <v>0</v>
      </c>
      <c r="EO104" s="220">
        <f>IF($B104="",0,SUMIFS(出库明细!$E$4:$E$3003,出库明细!$D$4:$D$3003,$B104,出库明细!$B$4:$B$3003,"&gt;="&amp;DATE(年度,12,1),出库明细!$B$4:$B$3003,"&lt;"&amp;DATE(年度,12+1,1)))</f>
        <v>0</v>
      </c>
      <c r="EP104" s="186">
        <f>EO104*EN104</f>
        <v>0</v>
      </c>
      <c r="EQ104" s="220">
        <f>_辅助!BX102</f>
        <v>0</v>
      </c>
      <c r="ER104" s="186">
        <f>_辅助!AN102</f>
        <v>0</v>
      </c>
      <c r="ES104" s="221">
        <f>EL104-EO104-EQ104</f>
        <v>0</v>
      </c>
      <c r="ET104" s="187">
        <f>EM104-EP104-ER104</f>
        <v>0</v>
      </c>
      <c r="EU104" s="236">
        <f>IF(AND(EL104&gt;0,EM104&gt;0),0,EP104)</f>
        <v>0</v>
      </c>
    </row>
    <row r="105">
      <c r="A105" s="194">
        <f>IF(B105="","",ROW()-7)</f>
      </c>
      <c r="B105" s="141">
        <f>IF(基础资料!E102="","",基础资料!E102&amp;"")</f>
      </c>
      <c r="C105" s="230">
        <f>IF(基础资料!G102="","",基础资料!G102&amp;"")</f>
      </c>
      <c r="D105" s="194">
        <f>IF(基础资料!I102="","",基础资料!I102)</f>
      </c>
      <c r="E105" s="231">
        <f>IF(基础资料!J102="","",基础资料!J102)</f>
      </c>
      <c r="F105" s="232">
        <f>N(基础资料!L102)</f>
        <v>0</v>
      </c>
      <c r="G105" s="233">
        <f>IF(基础资料!N102="",0,基础资料!N102)</f>
        <v>0</v>
      </c>
      <c r="H105" s="220">
        <f>IF($B105="",0,SUMIFS(采购进货!$E$4:$E$1503,采购进货!$D$4:$D$1503,$B105,采购进货!$B$4:$B$1503,"&gt;="&amp;DATE(年度,1,1),采购进货!$B$4:$B$1503,"&lt;"&amp;DATE(年度,1+1,1))+SUMIFS(采购进货!$H$4:$H$1503,采购进货!$D$4:$D$1503,$B105,采购进货!$B$4:$B$1503,"&gt;="&amp;DATE(年度,1,1),采购进货!$B$4:$B$1503,"&lt;"&amp;DATE(年度,1+1,1)))</f>
        <v>0</v>
      </c>
      <c r="I105" s="186">
        <f>IF($B105="",0,SUMIFS(采购进货!$G$4:$G$1503,采购进货!$D$4:$D$1503,$B105,采购进货!$B$4:$B$1503,"&gt;="&amp;DATE(年度,1,1),采购进货!$B$4:$B$1503,"&lt;"&amp;DATE(年度,1+1,1)))</f>
        <v>0</v>
      </c>
      <c r="J105" s="234">
        <f>F105+H105</f>
        <v>0</v>
      </c>
      <c r="K105" s="235">
        <f>G105+I105</f>
        <v>0</v>
      </c>
      <c r="L105" s="222">
        <f>IF(AND(J105&gt;0,K105&gt;0),K105/J105,N($E105))</f>
        <v>0</v>
      </c>
      <c r="M105" s="220">
        <f>IF($B105="",0,SUMIFS(出库明细!$E$4:$E$3003,出库明细!$D$4:$D$3003,$B105,出库明细!$B$4:$B$3003,"&gt;="&amp;DATE(年度,1,1),出库明细!$B$4:$B$3003,"&lt;"&amp;DATE(年度,1+1,1)))</f>
        <v>0</v>
      </c>
      <c r="N105" s="186">
        <f>M105*L105</f>
        <v>0</v>
      </c>
      <c r="O105" s="220">
        <f>_辅助!BM103</f>
        <v>0</v>
      </c>
      <c r="P105" s="186">
        <f>_辅助!AC103</f>
        <v>0</v>
      </c>
      <c r="Q105" s="221">
        <f>J105-M105-O105</f>
        <v>0</v>
      </c>
      <c r="R105" s="187">
        <f>K105-N105-P105</f>
        <v>0</v>
      </c>
      <c r="S105" s="236">
        <f>IF(AND(J105&gt;0,K105&gt;0),0,N105)</f>
        <v>0</v>
      </c>
      <c r="T105" s="220">
        <f>IF($B105="",0,SUMIFS(采购进货!$E$4:$E$1503,采购进货!$D$4:$D$1503,$B105,采购进货!$B$4:$B$1503,"&gt;="&amp;DATE(年度,2,1),采购进货!$B$4:$B$1503,"&lt;"&amp;DATE(年度,2+1,1))+SUMIFS(采购进货!$H$4:$H$1503,采购进货!$D$4:$D$1503,$B105,采购进货!$B$4:$B$1503,"&gt;="&amp;DATE(年度,2,1),采购进货!$B$4:$B$1503,"&lt;"&amp;DATE(年度,2+1,1)))</f>
        <v>0</v>
      </c>
      <c r="U105" s="186">
        <f>IF($B105="",0,SUMIFS(采购进货!$G$4:$G$1503,采购进货!$D$4:$D$1503,$B105,采购进货!$B$4:$B$1503,"&gt;="&amp;DATE(年度,2,1),采购进货!$B$4:$B$1503,"&lt;"&amp;DATE(年度,2+1,1)))</f>
        <v>0</v>
      </c>
      <c r="V105" s="234">
        <f>Q105+T105</f>
        <v>0</v>
      </c>
      <c r="W105" s="235">
        <f>R105+U105</f>
        <v>0</v>
      </c>
      <c r="X105" s="222">
        <f>IF(AND(V105&gt;0,W105&gt;0),W105/V105,N($E105))</f>
        <v>0</v>
      </c>
      <c r="Y105" s="220">
        <f>IF($B105="",0,SUMIFS(出库明细!$E$4:$E$3003,出库明细!$D$4:$D$3003,$B105,出库明细!$B$4:$B$3003,"&gt;="&amp;DATE(年度,2,1),出库明细!$B$4:$B$3003,"&lt;"&amp;DATE(年度,2+1,1)))</f>
        <v>0</v>
      </c>
      <c r="Z105" s="186">
        <f>Y105*X105</f>
        <v>0</v>
      </c>
      <c r="AA105" s="220">
        <f>_辅助!BN103</f>
        <v>0</v>
      </c>
      <c r="AB105" s="186">
        <f>_辅助!AD103</f>
        <v>0</v>
      </c>
      <c r="AC105" s="221">
        <f>V105-Y105-AA105</f>
        <v>0</v>
      </c>
      <c r="AD105" s="187">
        <f>W105-Z105-AB105</f>
        <v>0</v>
      </c>
      <c r="AE105" s="236">
        <f>IF(AND(V105&gt;0,W105&gt;0),0,Z105)</f>
        <v>0</v>
      </c>
      <c r="AF105" s="220">
        <f>IF($B105="",0,SUMIFS(采购进货!$E$4:$E$1503,采购进货!$D$4:$D$1503,$B105,采购进货!$B$4:$B$1503,"&gt;="&amp;DATE(年度,3,1),采购进货!$B$4:$B$1503,"&lt;"&amp;DATE(年度,3+1,1))+SUMIFS(采购进货!$H$4:$H$1503,采购进货!$D$4:$D$1503,$B105,采购进货!$B$4:$B$1503,"&gt;="&amp;DATE(年度,3,1),采购进货!$B$4:$B$1503,"&lt;"&amp;DATE(年度,3+1,1)))</f>
        <v>0</v>
      </c>
      <c r="AG105" s="186">
        <f>IF($B105="",0,SUMIFS(采购进货!$G$4:$G$1503,采购进货!$D$4:$D$1503,$B105,采购进货!$B$4:$B$1503,"&gt;="&amp;DATE(年度,3,1),采购进货!$B$4:$B$1503,"&lt;"&amp;DATE(年度,3+1,1)))</f>
        <v>0</v>
      </c>
      <c r="AH105" s="234">
        <f>AC105+AF105</f>
        <v>0</v>
      </c>
      <c r="AI105" s="235">
        <f>AD105+AG105</f>
        <v>0</v>
      </c>
      <c r="AJ105" s="222">
        <f>IF(AND(AH105&gt;0,AI105&gt;0),AI105/AH105,N($E105))</f>
        <v>0</v>
      </c>
      <c r="AK105" s="220">
        <f>IF($B105="",0,SUMIFS(出库明细!$E$4:$E$3003,出库明细!$D$4:$D$3003,$B105,出库明细!$B$4:$B$3003,"&gt;="&amp;DATE(年度,3,1),出库明细!$B$4:$B$3003,"&lt;"&amp;DATE(年度,3+1,1)))</f>
        <v>0</v>
      </c>
      <c r="AL105" s="186">
        <f>AK105*AJ105</f>
        <v>0</v>
      </c>
      <c r="AM105" s="220">
        <f>_辅助!BO103</f>
        <v>0</v>
      </c>
      <c r="AN105" s="186">
        <f>_辅助!AE103</f>
        <v>0</v>
      </c>
      <c r="AO105" s="221">
        <f>AH105-AK105-AM105</f>
        <v>0</v>
      </c>
      <c r="AP105" s="187">
        <f>AI105-AL105-AN105</f>
        <v>0</v>
      </c>
      <c r="AQ105" s="236">
        <f>IF(AND(AH105&gt;0,AI105&gt;0),0,AL105)</f>
        <v>0</v>
      </c>
      <c r="AR105" s="220">
        <f>IF($B105="",0,SUMIFS(采购进货!$E$4:$E$1503,采购进货!$D$4:$D$1503,$B105,采购进货!$B$4:$B$1503,"&gt;="&amp;DATE(年度,4,1),采购进货!$B$4:$B$1503,"&lt;"&amp;DATE(年度,4+1,1))+SUMIFS(采购进货!$H$4:$H$1503,采购进货!$D$4:$D$1503,$B105,采购进货!$B$4:$B$1503,"&gt;="&amp;DATE(年度,4,1),采购进货!$B$4:$B$1503,"&lt;"&amp;DATE(年度,4+1,1)))</f>
        <v>0</v>
      </c>
      <c r="AS105" s="186">
        <f>IF($B105="",0,SUMIFS(采购进货!$G$4:$G$1503,采购进货!$D$4:$D$1503,$B105,采购进货!$B$4:$B$1503,"&gt;="&amp;DATE(年度,4,1),采购进货!$B$4:$B$1503,"&lt;"&amp;DATE(年度,4+1,1)))</f>
        <v>0</v>
      </c>
      <c r="AT105" s="234">
        <f>AO105+AR105</f>
        <v>0</v>
      </c>
      <c r="AU105" s="235">
        <f>AP105+AS105</f>
        <v>0</v>
      </c>
      <c r="AV105" s="222">
        <f>IF(AND(AT105&gt;0,AU105&gt;0),AU105/AT105,N($E105))</f>
        <v>0</v>
      </c>
      <c r="AW105" s="220">
        <f>IF($B105="",0,SUMIFS(出库明细!$E$4:$E$3003,出库明细!$D$4:$D$3003,$B105,出库明细!$B$4:$B$3003,"&gt;="&amp;DATE(年度,4,1),出库明细!$B$4:$B$3003,"&lt;"&amp;DATE(年度,4+1,1)))</f>
        <v>0</v>
      </c>
      <c r="AX105" s="186">
        <f>AW105*AV105</f>
        <v>0</v>
      </c>
      <c r="AY105" s="220">
        <f>_辅助!BP103</f>
        <v>0</v>
      </c>
      <c r="AZ105" s="186">
        <f>_辅助!AF103</f>
        <v>0</v>
      </c>
      <c r="BA105" s="221">
        <f>AT105-AW105-AY105</f>
        <v>0</v>
      </c>
      <c r="BB105" s="187">
        <f>AU105-AX105-AZ105</f>
        <v>0</v>
      </c>
      <c r="BC105" s="236">
        <f>IF(AND(AT105&gt;0,AU105&gt;0),0,AX105)</f>
        <v>0</v>
      </c>
      <c r="BD105" s="220">
        <f>IF($B105="",0,SUMIFS(采购进货!$E$4:$E$1503,采购进货!$D$4:$D$1503,$B105,采购进货!$B$4:$B$1503,"&gt;="&amp;DATE(年度,5,1),采购进货!$B$4:$B$1503,"&lt;"&amp;DATE(年度,5+1,1))+SUMIFS(采购进货!$H$4:$H$1503,采购进货!$D$4:$D$1503,$B105,采购进货!$B$4:$B$1503,"&gt;="&amp;DATE(年度,5,1),采购进货!$B$4:$B$1503,"&lt;"&amp;DATE(年度,5+1,1)))</f>
        <v>0</v>
      </c>
      <c r="BE105" s="186">
        <f>IF($B105="",0,SUMIFS(采购进货!$G$4:$G$1503,采购进货!$D$4:$D$1503,$B105,采购进货!$B$4:$B$1503,"&gt;="&amp;DATE(年度,5,1),采购进货!$B$4:$B$1503,"&lt;"&amp;DATE(年度,5+1,1)))</f>
        <v>0</v>
      </c>
      <c r="BF105" s="234">
        <f>BA105+BD105</f>
        <v>0</v>
      </c>
      <c r="BG105" s="235">
        <f>BB105+BE105</f>
        <v>0</v>
      </c>
      <c r="BH105" s="222">
        <f>IF(AND(BF105&gt;0,BG105&gt;0),BG105/BF105,N($E105))</f>
        <v>0</v>
      </c>
      <c r="BI105" s="220">
        <f>IF($B105="",0,SUMIFS(出库明细!$E$4:$E$3003,出库明细!$D$4:$D$3003,$B105,出库明细!$B$4:$B$3003,"&gt;="&amp;DATE(年度,5,1),出库明细!$B$4:$B$3003,"&lt;"&amp;DATE(年度,5+1,1)))</f>
        <v>0</v>
      </c>
      <c r="BJ105" s="186">
        <f>BI105*BH105</f>
        <v>0</v>
      </c>
      <c r="BK105" s="220">
        <f>_辅助!BQ103</f>
        <v>0</v>
      </c>
      <c r="BL105" s="186">
        <f>_辅助!AG103</f>
        <v>0</v>
      </c>
      <c r="BM105" s="221">
        <f>BF105-BI105-BK105</f>
        <v>0</v>
      </c>
      <c r="BN105" s="187">
        <f>BG105-BJ105-BL105</f>
        <v>0</v>
      </c>
      <c r="BO105" s="236">
        <f>IF(AND(BF105&gt;0,BG105&gt;0),0,BJ105)</f>
        <v>0</v>
      </c>
      <c r="BP105" s="220">
        <f>IF($B105="",0,SUMIFS(采购进货!$E$4:$E$1503,采购进货!$D$4:$D$1503,$B105,采购进货!$B$4:$B$1503,"&gt;="&amp;DATE(年度,6,1),采购进货!$B$4:$B$1503,"&lt;"&amp;DATE(年度,6+1,1))+SUMIFS(采购进货!$H$4:$H$1503,采购进货!$D$4:$D$1503,$B105,采购进货!$B$4:$B$1503,"&gt;="&amp;DATE(年度,6,1),采购进货!$B$4:$B$1503,"&lt;"&amp;DATE(年度,6+1,1)))</f>
        <v>0</v>
      </c>
      <c r="BQ105" s="186">
        <f>IF($B105="",0,SUMIFS(采购进货!$G$4:$G$1503,采购进货!$D$4:$D$1503,$B105,采购进货!$B$4:$B$1503,"&gt;="&amp;DATE(年度,6,1),采购进货!$B$4:$B$1503,"&lt;"&amp;DATE(年度,6+1,1)))</f>
        <v>0</v>
      </c>
      <c r="BR105" s="234">
        <f>BM105+BP105</f>
        <v>0</v>
      </c>
      <c r="BS105" s="235">
        <f>BN105+BQ105</f>
        <v>0</v>
      </c>
      <c r="BT105" s="222">
        <f>IF(AND(BR105&gt;0,BS105&gt;0),BS105/BR105,N($E105))</f>
        <v>0</v>
      </c>
      <c r="BU105" s="220">
        <f>IF($B105="",0,SUMIFS(出库明细!$E$4:$E$3003,出库明细!$D$4:$D$3003,$B105,出库明细!$B$4:$B$3003,"&gt;="&amp;DATE(年度,6,1),出库明细!$B$4:$B$3003,"&lt;"&amp;DATE(年度,6+1,1)))</f>
        <v>0</v>
      </c>
      <c r="BV105" s="186">
        <f>BU105*BT105</f>
        <v>0</v>
      </c>
      <c r="BW105" s="220">
        <f>_辅助!BR103</f>
        <v>0</v>
      </c>
      <c r="BX105" s="186">
        <f>_辅助!AH103</f>
        <v>0</v>
      </c>
      <c r="BY105" s="221">
        <f>BR105-BU105-BW105</f>
        <v>0</v>
      </c>
      <c r="BZ105" s="187">
        <f>BS105-BV105-BX105</f>
        <v>0</v>
      </c>
      <c r="CA105" s="236">
        <f>IF(AND(BR105&gt;0,BS105&gt;0),0,BV105)</f>
        <v>0</v>
      </c>
      <c r="CB105" s="220">
        <f>IF($B105="",0,SUMIFS(采购进货!$E$4:$E$1503,采购进货!$D$4:$D$1503,$B105,采购进货!$B$4:$B$1503,"&gt;="&amp;DATE(年度,7,1),采购进货!$B$4:$B$1503,"&lt;"&amp;DATE(年度,7+1,1))+SUMIFS(采购进货!$H$4:$H$1503,采购进货!$D$4:$D$1503,$B105,采购进货!$B$4:$B$1503,"&gt;="&amp;DATE(年度,7,1),采购进货!$B$4:$B$1503,"&lt;"&amp;DATE(年度,7+1,1)))</f>
        <v>0</v>
      </c>
      <c r="CC105" s="186">
        <f>IF($B105="",0,SUMIFS(采购进货!$G$4:$G$1503,采购进货!$D$4:$D$1503,$B105,采购进货!$B$4:$B$1503,"&gt;="&amp;DATE(年度,7,1),采购进货!$B$4:$B$1503,"&lt;"&amp;DATE(年度,7+1,1)))</f>
        <v>0</v>
      </c>
      <c r="CD105" s="234">
        <f>BY105+CB105</f>
        <v>0</v>
      </c>
      <c r="CE105" s="235">
        <f>BZ105+CC105</f>
        <v>0</v>
      </c>
      <c r="CF105" s="222">
        <f>IF(AND(CD105&gt;0,CE105&gt;0),CE105/CD105,N($E105))</f>
        <v>0</v>
      </c>
      <c r="CG105" s="220">
        <f>IF($B105="",0,SUMIFS(出库明细!$E$4:$E$3003,出库明细!$D$4:$D$3003,$B105,出库明细!$B$4:$B$3003,"&gt;="&amp;DATE(年度,7,1),出库明细!$B$4:$B$3003,"&lt;"&amp;DATE(年度,7+1,1)))</f>
        <v>0</v>
      </c>
      <c r="CH105" s="186">
        <f>CG105*CF105</f>
        <v>0</v>
      </c>
      <c r="CI105" s="220">
        <f>_辅助!BS103</f>
        <v>0</v>
      </c>
      <c r="CJ105" s="186">
        <f>_辅助!AI103</f>
        <v>0</v>
      </c>
      <c r="CK105" s="221">
        <f>CD105-CG105-CI105</f>
        <v>0</v>
      </c>
      <c r="CL105" s="187">
        <f>CE105-CH105-CJ105</f>
        <v>0</v>
      </c>
      <c r="CM105" s="236">
        <f>IF(AND(CD105&gt;0,CE105&gt;0),0,CH105)</f>
        <v>0</v>
      </c>
      <c r="CN105" s="220">
        <f>IF($B105="",0,SUMIFS(采购进货!$E$4:$E$1503,采购进货!$D$4:$D$1503,$B105,采购进货!$B$4:$B$1503,"&gt;="&amp;DATE(年度,8,1),采购进货!$B$4:$B$1503,"&lt;"&amp;DATE(年度,8+1,1))+SUMIFS(采购进货!$H$4:$H$1503,采购进货!$D$4:$D$1503,$B105,采购进货!$B$4:$B$1503,"&gt;="&amp;DATE(年度,8,1),采购进货!$B$4:$B$1503,"&lt;"&amp;DATE(年度,8+1,1)))</f>
        <v>0</v>
      </c>
      <c r="CO105" s="186">
        <f>IF($B105="",0,SUMIFS(采购进货!$G$4:$G$1503,采购进货!$D$4:$D$1503,$B105,采购进货!$B$4:$B$1503,"&gt;="&amp;DATE(年度,8,1),采购进货!$B$4:$B$1503,"&lt;"&amp;DATE(年度,8+1,1)))</f>
        <v>0</v>
      </c>
      <c r="CP105" s="234">
        <f>CK105+CN105</f>
        <v>0</v>
      </c>
      <c r="CQ105" s="235">
        <f>CL105+CO105</f>
        <v>0</v>
      </c>
      <c r="CR105" s="222">
        <f>IF(AND(CP105&gt;0,CQ105&gt;0),CQ105/CP105,N($E105))</f>
        <v>0</v>
      </c>
      <c r="CS105" s="220">
        <f>IF($B105="",0,SUMIFS(出库明细!$E$4:$E$3003,出库明细!$D$4:$D$3003,$B105,出库明细!$B$4:$B$3003,"&gt;="&amp;DATE(年度,8,1),出库明细!$B$4:$B$3003,"&lt;"&amp;DATE(年度,8+1,1)))</f>
        <v>0</v>
      </c>
      <c r="CT105" s="186">
        <f>CS105*CR105</f>
        <v>0</v>
      </c>
      <c r="CU105" s="220">
        <f>_辅助!BT103</f>
        <v>0</v>
      </c>
      <c r="CV105" s="186">
        <f>_辅助!AJ103</f>
        <v>0</v>
      </c>
      <c r="CW105" s="221">
        <f>CP105-CS105-CU105</f>
        <v>0</v>
      </c>
      <c r="CX105" s="187">
        <f>CQ105-CT105-CV105</f>
        <v>0</v>
      </c>
      <c r="CY105" s="236">
        <f>IF(AND(CP105&gt;0,CQ105&gt;0),0,CT105)</f>
        <v>0</v>
      </c>
      <c r="CZ105" s="220">
        <f>IF($B105="",0,SUMIFS(采购进货!$E$4:$E$1503,采购进货!$D$4:$D$1503,$B105,采购进货!$B$4:$B$1503,"&gt;="&amp;DATE(年度,9,1),采购进货!$B$4:$B$1503,"&lt;"&amp;DATE(年度,9+1,1))+SUMIFS(采购进货!$H$4:$H$1503,采购进货!$D$4:$D$1503,$B105,采购进货!$B$4:$B$1503,"&gt;="&amp;DATE(年度,9,1),采购进货!$B$4:$B$1503,"&lt;"&amp;DATE(年度,9+1,1)))</f>
        <v>0</v>
      </c>
      <c r="DA105" s="186">
        <f>IF($B105="",0,SUMIFS(采购进货!$G$4:$G$1503,采购进货!$D$4:$D$1503,$B105,采购进货!$B$4:$B$1503,"&gt;="&amp;DATE(年度,9,1),采购进货!$B$4:$B$1503,"&lt;"&amp;DATE(年度,9+1,1)))</f>
        <v>0</v>
      </c>
      <c r="DB105" s="234">
        <f>CW105+CZ105</f>
        <v>0</v>
      </c>
      <c r="DC105" s="235">
        <f>CX105+DA105</f>
        <v>0</v>
      </c>
      <c r="DD105" s="222">
        <f>IF(AND(DB105&gt;0,DC105&gt;0),DC105/DB105,N($E105))</f>
        <v>0</v>
      </c>
      <c r="DE105" s="220">
        <f>IF($B105="",0,SUMIFS(出库明细!$E$4:$E$3003,出库明细!$D$4:$D$3003,$B105,出库明细!$B$4:$B$3003,"&gt;="&amp;DATE(年度,9,1),出库明细!$B$4:$B$3003,"&lt;"&amp;DATE(年度,9+1,1)))</f>
        <v>0</v>
      </c>
      <c r="DF105" s="186">
        <f>DE105*DD105</f>
        <v>0</v>
      </c>
      <c r="DG105" s="220">
        <f>_辅助!BU103</f>
        <v>0</v>
      </c>
      <c r="DH105" s="186">
        <f>_辅助!AK103</f>
        <v>0</v>
      </c>
      <c r="DI105" s="221">
        <f>DB105-DE105-DG105</f>
        <v>0</v>
      </c>
      <c r="DJ105" s="187">
        <f>DC105-DF105-DH105</f>
        <v>0</v>
      </c>
      <c r="DK105" s="236">
        <f>IF(AND(DB105&gt;0,DC105&gt;0),0,DF105)</f>
        <v>0</v>
      </c>
      <c r="DL105" s="220">
        <f>IF($B105="",0,SUMIFS(采购进货!$E$4:$E$1503,采购进货!$D$4:$D$1503,$B105,采购进货!$B$4:$B$1503,"&gt;="&amp;DATE(年度,10,1),采购进货!$B$4:$B$1503,"&lt;"&amp;DATE(年度,10+1,1))+SUMIFS(采购进货!$H$4:$H$1503,采购进货!$D$4:$D$1503,$B105,采购进货!$B$4:$B$1503,"&gt;="&amp;DATE(年度,10,1),采购进货!$B$4:$B$1503,"&lt;"&amp;DATE(年度,10+1,1)))</f>
        <v>0</v>
      </c>
      <c r="DM105" s="186">
        <f>IF($B105="",0,SUMIFS(采购进货!$G$4:$G$1503,采购进货!$D$4:$D$1503,$B105,采购进货!$B$4:$B$1503,"&gt;="&amp;DATE(年度,10,1),采购进货!$B$4:$B$1503,"&lt;"&amp;DATE(年度,10+1,1)))</f>
        <v>0</v>
      </c>
      <c r="DN105" s="234">
        <f>DI105+DL105</f>
        <v>0</v>
      </c>
      <c r="DO105" s="235">
        <f>DJ105+DM105</f>
        <v>0</v>
      </c>
      <c r="DP105" s="222">
        <f>IF(AND(DN105&gt;0,DO105&gt;0),DO105/DN105,N($E105))</f>
        <v>0</v>
      </c>
      <c r="DQ105" s="220">
        <f>IF($B105="",0,SUMIFS(出库明细!$E$4:$E$3003,出库明细!$D$4:$D$3003,$B105,出库明细!$B$4:$B$3003,"&gt;="&amp;DATE(年度,10,1),出库明细!$B$4:$B$3003,"&lt;"&amp;DATE(年度,10+1,1)))</f>
        <v>0</v>
      </c>
      <c r="DR105" s="186">
        <f>DQ105*DP105</f>
        <v>0</v>
      </c>
      <c r="DS105" s="220">
        <f>_辅助!BV103</f>
        <v>0</v>
      </c>
      <c r="DT105" s="186">
        <f>_辅助!AL103</f>
        <v>0</v>
      </c>
      <c r="DU105" s="221">
        <f>DN105-DQ105-DS105</f>
        <v>0</v>
      </c>
      <c r="DV105" s="187">
        <f>DO105-DR105-DT105</f>
        <v>0</v>
      </c>
      <c r="DW105" s="236">
        <f>IF(AND(DN105&gt;0,DO105&gt;0),0,DR105)</f>
        <v>0</v>
      </c>
      <c r="DX105" s="220">
        <f>IF($B105="",0,SUMIFS(采购进货!$E$4:$E$1503,采购进货!$D$4:$D$1503,$B105,采购进货!$B$4:$B$1503,"&gt;="&amp;DATE(年度,11,1),采购进货!$B$4:$B$1503,"&lt;"&amp;DATE(年度,11+1,1))+SUMIFS(采购进货!$H$4:$H$1503,采购进货!$D$4:$D$1503,$B105,采购进货!$B$4:$B$1503,"&gt;="&amp;DATE(年度,11,1),采购进货!$B$4:$B$1503,"&lt;"&amp;DATE(年度,11+1,1)))</f>
        <v>0</v>
      </c>
      <c r="DY105" s="186">
        <f>IF($B105="",0,SUMIFS(采购进货!$G$4:$G$1503,采购进货!$D$4:$D$1503,$B105,采购进货!$B$4:$B$1503,"&gt;="&amp;DATE(年度,11,1),采购进货!$B$4:$B$1503,"&lt;"&amp;DATE(年度,11+1,1)))</f>
        <v>0</v>
      </c>
      <c r="DZ105" s="234">
        <f>DU105+DX105</f>
        <v>0</v>
      </c>
      <c r="EA105" s="235">
        <f>DV105+DY105</f>
        <v>0</v>
      </c>
      <c r="EB105" s="222">
        <f>IF(AND(DZ105&gt;0,EA105&gt;0),EA105/DZ105,N($E105))</f>
        <v>0</v>
      </c>
      <c r="EC105" s="220">
        <f>IF($B105="",0,SUMIFS(出库明细!$E$4:$E$3003,出库明细!$D$4:$D$3003,$B105,出库明细!$B$4:$B$3003,"&gt;="&amp;DATE(年度,11,1),出库明细!$B$4:$B$3003,"&lt;"&amp;DATE(年度,11+1,1)))</f>
        <v>0</v>
      </c>
      <c r="ED105" s="186">
        <f>EC105*EB105</f>
        <v>0</v>
      </c>
      <c r="EE105" s="220">
        <f>_辅助!BW103</f>
        <v>0</v>
      </c>
      <c r="EF105" s="186">
        <f>_辅助!AM103</f>
        <v>0</v>
      </c>
      <c r="EG105" s="221">
        <f>DZ105-EC105-EE105</f>
        <v>0</v>
      </c>
      <c r="EH105" s="187">
        <f>EA105-ED105-EF105</f>
        <v>0</v>
      </c>
      <c r="EI105" s="236">
        <f>IF(AND(DZ105&gt;0,EA105&gt;0),0,ED105)</f>
        <v>0</v>
      </c>
      <c r="EJ105" s="220">
        <f>IF($B105="",0,SUMIFS(采购进货!$E$4:$E$1503,采购进货!$D$4:$D$1503,$B105,采购进货!$B$4:$B$1503,"&gt;="&amp;DATE(年度,12,1),采购进货!$B$4:$B$1503,"&lt;"&amp;DATE(年度,12+1,1))+SUMIFS(采购进货!$H$4:$H$1503,采购进货!$D$4:$D$1503,$B105,采购进货!$B$4:$B$1503,"&gt;="&amp;DATE(年度,12,1),采购进货!$B$4:$B$1503,"&lt;"&amp;DATE(年度,12+1,1)))</f>
        <v>0</v>
      </c>
      <c r="EK105" s="186">
        <f>IF($B105="",0,SUMIFS(采购进货!$G$4:$G$1503,采购进货!$D$4:$D$1503,$B105,采购进货!$B$4:$B$1503,"&gt;="&amp;DATE(年度,12,1),采购进货!$B$4:$B$1503,"&lt;"&amp;DATE(年度,12+1,1)))</f>
        <v>0</v>
      </c>
      <c r="EL105" s="234">
        <f>EG105+EJ105</f>
        <v>0</v>
      </c>
      <c r="EM105" s="235">
        <f>EH105+EK105</f>
        <v>0</v>
      </c>
      <c r="EN105" s="222">
        <f>IF(AND(EL105&gt;0,EM105&gt;0),EM105/EL105,N($E105))</f>
        <v>0</v>
      </c>
      <c r="EO105" s="220">
        <f>IF($B105="",0,SUMIFS(出库明细!$E$4:$E$3003,出库明细!$D$4:$D$3003,$B105,出库明细!$B$4:$B$3003,"&gt;="&amp;DATE(年度,12,1),出库明细!$B$4:$B$3003,"&lt;"&amp;DATE(年度,12+1,1)))</f>
        <v>0</v>
      </c>
      <c r="EP105" s="186">
        <f>EO105*EN105</f>
        <v>0</v>
      </c>
      <c r="EQ105" s="220">
        <f>_辅助!BX103</f>
        <v>0</v>
      </c>
      <c r="ER105" s="186">
        <f>_辅助!AN103</f>
        <v>0</v>
      </c>
      <c r="ES105" s="221">
        <f>EL105-EO105-EQ105</f>
        <v>0</v>
      </c>
      <c r="ET105" s="187">
        <f>EM105-EP105-ER105</f>
        <v>0</v>
      </c>
      <c r="EU105" s="236">
        <f>IF(AND(EL105&gt;0,EM105&gt;0),0,EP105)</f>
        <v>0</v>
      </c>
    </row>
    <row r="106">
      <c r="A106" s="194">
        <f>IF(B106="","",ROW()-7)</f>
      </c>
      <c r="B106" s="141">
        <f>IF(基础资料!E103="","",基础资料!E103&amp;"")</f>
      </c>
      <c r="C106" s="230">
        <f>IF(基础资料!G103="","",基础资料!G103&amp;"")</f>
      </c>
      <c r="D106" s="194">
        <f>IF(基础资料!I103="","",基础资料!I103)</f>
      </c>
      <c r="E106" s="231">
        <f>IF(基础资料!J103="","",基础资料!J103)</f>
      </c>
      <c r="F106" s="232">
        <f>N(基础资料!L103)</f>
        <v>0</v>
      </c>
      <c r="G106" s="233">
        <f>IF(基础资料!N103="",0,基础资料!N103)</f>
        <v>0</v>
      </c>
      <c r="H106" s="220">
        <f>IF($B106="",0,SUMIFS(采购进货!$E$4:$E$1503,采购进货!$D$4:$D$1503,$B106,采购进货!$B$4:$B$1503,"&gt;="&amp;DATE(年度,1,1),采购进货!$B$4:$B$1503,"&lt;"&amp;DATE(年度,1+1,1))+SUMIFS(采购进货!$H$4:$H$1503,采购进货!$D$4:$D$1503,$B106,采购进货!$B$4:$B$1503,"&gt;="&amp;DATE(年度,1,1),采购进货!$B$4:$B$1503,"&lt;"&amp;DATE(年度,1+1,1)))</f>
        <v>0</v>
      </c>
      <c r="I106" s="186">
        <f>IF($B106="",0,SUMIFS(采购进货!$G$4:$G$1503,采购进货!$D$4:$D$1503,$B106,采购进货!$B$4:$B$1503,"&gt;="&amp;DATE(年度,1,1),采购进货!$B$4:$B$1503,"&lt;"&amp;DATE(年度,1+1,1)))</f>
        <v>0</v>
      </c>
      <c r="J106" s="234">
        <f>F106+H106</f>
        <v>0</v>
      </c>
      <c r="K106" s="235">
        <f>G106+I106</f>
        <v>0</v>
      </c>
      <c r="L106" s="222">
        <f>IF(AND(J106&gt;0,K106&gt;0),K106/J106,N($E106))</f>
        <v>0</v>
      </c>
      <c r="M106" s="220">
        <f>IF($B106="",0,SUMIFS(出库明细!$E$4:$E$3003,出库明细!$D$4:$D$3003,$B106,出库明细!$B$4:$B$3003,"&gt;="&amp;DATE(年度,1,1),出库明细!$B$4:$B$3003,"&lt;"&amp;DATE(年度,1+1,1)))</f>
        <v>0</v>
      </c>
      <c r="N106" s="186">
        <f>M106*L106</f>
        <v>0</v>
      </c>
      <c r="O106" s="220">
        <f>_辅助!BM104</f>
        <v>0</v>
      </c>
      <c r="P106" s="186">
        <f>_辅助!AC104</f>
        <v>0</v>
      </c>
      <c r="Q106" s="221">
        <f>J106-M106-O106</f>
        <v>0</v>
      </c>
      <c r="R106" s="187">
        <f>K106-N106-P106</f>
        <v>0</v>
      </c>
      <c r="S106" s="236">
        <f>IF(AND(J106&gt;0,K106&gt;0),0,N106)</f>
        <v>0</v>
      </c>
      <c r="T106" s="220">
        <f>IF($B106="",0,SUMIFS(采购进货!$E$4:$E$1503,采购进货!$D$4:$D$1503,$B106,采购进货!$B$4:$B$1503,"&gt;="&amp;DATE(年度,2,1),采购进货!$B$4:$B$1503,"&lt;"&amp;DATE(年度,2+1,1))+SUMIFS(采购进货!$H$4:$H$1503,采购进货!$D$4:$D$1503,$B106,采购进货!$B$4:$B$1503,"&gt;="&amp;DATE(年度,2,1),采购进货!$B$4:$B$1503,"&lt;"&amp;DATE(年度,2+1,1)))</f>
        <v>0</v>
      </c>
      <c r="U106" s="186">
        <f>IF($B106="",0,SUMIFS(采购进货!$G$4:$G$1503,采购进货!$D$4:$D$1503,$B106,采购进货!$B$4:$B$1503,"&gt;="&amp;DATE(年度,2,1),采购进货!$B$4:$B$1503,"&lt;"&amp;DATE(年度,2+1,1)))</f>
        <v>0</v>
      </c>
      <c r="V106" s="234">
        <f>Q106+T106</f>
        <v>0</v>
      </c>
      <c r="W106" s="235">
        <f>R106+U106</f>
        <v>0</v>
      </c>
      <c r="X106" s="222">
        <f>IF(AND(V106&gt;0,W106&gt;0),W106/V106,N($E106))</f>
        <v>0</v>
      </c>
      <c r="Y106" s="220">
        <f>IF($B106="",0,SUMIFS(出库明细!$E$4:$E$3003,出库明细!$D$4:$D$3003,$B106,出库明细!$B$4:$B$3003,"&gt;="&amp;DATE(年度,2,1),出库明细!$B$4:$B$3003,"&lt;"&amp;DATE(年度,2+1,1)))</f>
        <v>0</v>
      </c>
      <c r="Z106" s="186">
        <f>Y106*X106</f>
        <v>0</v>
      </c>
      <c r="AA106" s="220">
        <f>_辅助!BN104</f>
        <v>0</v>
      </c>
      <c r="AB106" s="186">
        <f>_辅助!AD104</f>
        <v>0</v>
      </c>
      <c r="AC106" s="221">
        <f>V106-Y106-AA106</f>
        <v>0</v>
      </c>
      <c r="AD106" s="187">
        <f>W106-Z106-AB106</f>
        <v>0</v>
      </c>
      <c r="AE106" s="236">
        <f>IF(AND(V106&gt;0,W106&gt;0),0,Z106)</f>
        <v>0</v>
      </c>
      <c r="AF106" s="220">
        <f>IF($B106="",0,SUMIFS(采购进货!$E$4:$E$1503,采购进货!$D$4:$D$1503,$B106,采购进货!$B$4:$B$1503,"&gt;="&amp;DATE(年度,3,1),采购进货!$B$4:$B$1503,"&lt;"&amp;DATE(年度,3+1,1))+SUMIFS(采购进货!$H$4:$H$1503,采购进货!$D$4:$D$1503,$B106,采购进货!$B$4:$B$1503,"&gt;="&amp;DATE(年度,3,1),采购进货!$B$4:$B$1503,"&lt;"&amp;DATE(年度,3+1,1)))</f>
        <v>0</v>
      </c>
      <c r="AG106" s="186">
        <f>IF($B106="",0,SUMIFS(采购进货!$G$4:$G$1503,采购进货!$D$4:$D$1503,$B106,采购进货!$B$4:$B$1503,"&gt;="&amp;DATE(年度,3,1),采购进货!$B$4:$B$1503,"&lt;"&amp;DATE(年度,3+1,1)))</f>
        <v>0</v>
      </c>
      <c r="AH106" s="234">
        <f>AC106+AF106</f>
        <v>0</v>
      </c>
      <c r="AI106" s="235">
        <f>AD106+AG106</f>
        <v>0</v>
      </c>
      <c r="AJ106" s="222">
        <f>IF(AND(AH106&gt;0,AI106&gt;0),AI106/AH106,N($E106))</f>
        <v>0</v>
      </c>
      <c r="AK106" s="220">
        <f>IF($B106="",0,SUMIFS(出库明细!$E$4:$E$3003,出库明细!$D$4:$D$3003,$B106,出库明细!$B$4:$B$3003,"&gt;="&amp;DATE(年度,3,1),出库明细!$B$4:$B$3003,"&lt;"&amp;DATE(年度,3+1,1)))</f>
        <v>0</v>
      </c>
      <c r="AL106" s="186">
        <f>AK106*AJ106</f>
        <v>0</v>
      </c>
      <c r="AM106" s="220">
        <f>_辅助!BO104</f>
        <v>0</v>
      </c>
      <c r="AN106" s="186">
        <f>_辅助!AE104</f>
        <v>0</v>
      </c>
      <c r="AO106" s="221">
        <f>AH106-AK106-AM106</f>
        <v>0</v>
      </c>
      <c r="AP106" s="187">
        <f>AI106-AL106-AN106</f>
        <v>0</v>
      </c>
      <c r="AQ106" s="236">
        <f>IF(AND(AH106&gt;0,AI106&gt;0),0,AL106)</f>
        <v>0</v>
      </c>
      <c r="AR106" s="220">
        <f>IF($B106="",0,SUMIFS(采购进货!$E$4:$E$1503,采购进货!$D$4:$D$1503,$B106,采购进货!$B$4:$B$1503,"&gt;="&amp;DATE(年度,4,1),采购进货!$B$4:$B$1503,"&lt;"&amp;DATE(年度,4+1,1))+SUMIFS(采购进货!$H$4:$H$1503,采购进货!$D$4:$D$1503,$B106,采购进货!$B$4:$B$1503,"&gt;="&amp;DATE(年度,4,1),采购进货!$B$4:$B$1503,"&lt;"&amp;DATE(年度,4+1,1)))</f>
        <v>0</v>
      </c>
      <c r="AS106" s="186">
        <f>IF($B106="",0,SUMIFS(采购进货!$G$4:$G$1503,采购进货!$D$4:$D$1503,$B106,采购进货!$B$4:$B$1503,"&gt;="&amp;DATE(年度,4,1),采购进货!$B$4:$B$1503,"&lt;"&amp;DATE(年度,4+1,1)))</f>
        <v>0</v>
      </c>
      <c r="AT106" s="234">
        <f>AO106+AR106</f>
        <v>0</v>
      </c>
      <c r="AU106" s="235">
        <f>AP106+AS106</f>
        <v>0</v>
      </c>
      <c r="AV106" s="222">
        <f>IF(AND(AT106&gt;0,AU106&gt;0),AU106/AT106,N($E106))</f>
        <v>0</v>
      </c>
      <c r="AW106" s="220">
        <f>IF($B106="",0,SUMIFS(出库明细!$E$4:$E$3003,出库明细!$D$4:$D$3003,$B106,出库明细!$B$4:$B$3003,"&gt;="&amp;DATE(年度,4,1),出库明细!$B$4:$B$3003,"&lt;"&amp;DATE(年度,4+1,1)))</f>
        <v>0</v>
      </c>
      <c r="AX106" s="186">
        <f>AW106*AV106</f>
        <v>0</v>
      </c>
      <c r="AY106" s="220">
        <f>_辅助!BP104</f>
        <v>0</v>
      </c>
      <c r="AZ106" s="186">
        <f>_辅助!AF104</f>
        <v>0</v>
      </c>
      <c r="BA106" s="221">
        <f>AT106-AW106-AY106</f>
        <v>0</v>
      </c>
      <c r="BB106" s="187">
        <f>AU106-AX106-AZ106</f>
        <v>0</v>
      </c>
      <c r="BC106" s="236">
        <f>IF(AND(AT106&gt;0,AU106&gt;0),0,AX106)</f>
        <v>0</v>
      </c>
      <c r="BD106" s="220">
        <f>IF($B106="",0,SUMIFS(采购进货!$E$4:$E$1503,采购进货!$D$4:$D$1503,$B106,采购进货!$B$4:$B$1503,"&gt;="&amp;DATE(年度,5,1),采购进货!$B$4:$B$1503,"&lt;"&amp;DATE(年度,5+1,1))+SUMIFS(采购进货!$H$4:$H$1503,采购进货!$D$4:$D$1503,$B106,采购进货!$B$4:$B$1503,"&gt;="&amp;DATE(年度,5,1),采购进货!$B$4:$B$1503,"&lt;"&amp;DATE(年度,5+1,1)))</f>
        <v>0</v>
      </c>
      <c r="BE106" s="186">
        <f>IF($B106="",0,SUMIFS(采购进货!$G$4:$G$1503,采购进货!$D$4:$D$1503,$B106,采购进货!$B$4:$B$1503,"&gt;="&amp;DATE(年度,5,1),采购进货!$B$4:$B$1503,"&lt;"&amp;DATE(年度,5+1,1)))</f>
        <v>0</v>
      </c>
      <c r="BF106" s="234">
        <f>BA106+BD106</f>
        <v>0</v>
      </c>
      <c r="BG106" s="235">
        <f>BB106+BE106</f>
        <v>0</v>
      </c>
      <c r="BH106" s="222">
        <f>IF(AND(BF106&gt;0,BG106&gt;0),BG106/BF106,N($E106))</f>
        <v>0</v>
      </c>
      <c r="BI106" s="220">
        <f>IF($B106="",0,SUMIFS(出库明细!$E$4:$E$3003,出库明细!$D$4:$D$3003,$B106,出库明细!$B$4:$B$3003,"&gt;="&amp;DATE(年度,5,1),出库明细!$B$4:$B$3003,"&lt;"&amp;DATE(年度,5+1,1)))</f>
        <v>0</v>
      </c>
      <c r="BJ106" s="186">
        <f>BI106*BH106</f>
        <v>0</v>
      </c>
      <c r="BK106" s="220">
        <f>_辅助!BQ104</f>
        <v>0</v>
      </c>
      <c r="BL106" s="186">
        <f>_辅助!AG104</f>
        <v>0</v>
      </c>
      <c r="BM106" s="221">
        <f>BF106-BI106-BK106</f>
        <v>0</v>
      </c>
      <c r="BN106" s="187">
        <f>BG106-BJ106-BL106</f>
        <v>0</v>
      </c>
      <c r="BO106" s="236">
        <f>IF(AND(BF106&gt;0,BG106&gt;0),0,BJ106)</f>
        <v>0</v>
      </c>
      <c r="BP106" s="220">
        <f>IF($B106="",0,SUMIFS(采购进货!$E$4:$E$1503,采购进货!$D$4:$D$1503,$B106,采购进货!$B$4:$B$1503,"&gt;="&amp;DATE(年度,6,1),采购进货!$B$4:$B$1503,"&lt;"&amp;DATE(年度,6+1,1))+SUMIFS(采购进货!$H$4:$H$1503,采购进货!$D$4:$D$1503,$B106,采购进货!$B$4:$B$1503,"&gt;="&amp;DATE(年度,6,1),采购进货!$B$4:$B$1503,"&lt;"&amp;DATE(年度,6+1,1)))</f>
        <v>0</v>
      </c>
      <c r="BQ106" s="186">
        <f>IF($B106="",0,SUMIFS(采购进货!$G$4:$G$1503,采购进货!$D$4:$D$1503,$B106,采购进货!$B$4:$B$1503,"&gt;="&amp;DATE(年度,6,1),采购进货!$B$4:$B$1503,"&lt;"&amp;DATE(年度,6+1,1)))</f>
        <v>0</v>
      </c>
      <c r="BR106" s="234">
        <f>BM106+BP106</f>
        <v>0</v>
      </c>
      <c r="BS106" s="235">
        <f>BN106+BQ106</f>
        <v>0</v>
      </c>
      <c r="BT106" s="222">
        <f>IF(AND(BR106&gt;0,BS106&gt;0),BS106/BR106,N($E106))</f>
        <v>0</v>
      </c>
      <c r="BU106" s="220">
        <f>IF($B106="",0,SUMIFS(出库明细!$E$4:$E$3003,出库明细!$D$4:$D$3003,$B106,出库明细!$B$4:$B$3003,"&gt;="&amp;DATE(年度,6,1),出库明细!$B$4:$B$3003,"&lt;"&amp;DATE(年度,6+1,1)))</f>
        <v>0</v>
      </c>
      <c r="BV106" s="186">
        <f>BU106*BT106</f>
        <v>0</v>
      </c>
      <c r="BW106" s="220">
        <f>_辅助!BR104</f>
        <v>0</v>
      </c>
      <c r="BX106" s="186">
        <f>_辅助!AH104</f>
        <v>0</v>
      </c>
      <c r="BY106" s="221">
        <f>BR106-BU106-BW106</f>
        <v>0</v>
      </c>
      <c r="BZ106" s="187">
        <f>BS106-BV106-BX106</f>
        <v>0</v>
      </c>
      <c r="CA106" s="236">
        <f>IF(AND(BR106&gt;0,BS106&gt;0),0,BV106)</f>
        <v>0</v>
      </c>
      <c r="CB106" s="220">
        <f>IF($B106="",0,SUMIFS(采购进货!$E$4:$E$1503,采购进货!$D$4:$D$1503,$B106,采购进货!$B$4:$B$1503,"&gt;="&amp;DATE(年度,7,1),采购进货!$B$4:$B$1503,"&lt;"&amp;DATE(年度,7+1,1))+SUMIFS(采购进货!$H$4:$H$1503,采购进货!$D$4:$D$1503,$B106,采购进货!$B$4:$B$1503,"&gt;="&amp;DATE(年度,7,1),采购进货!$B$4:$B$1503,"&lt;"&amp;DATE(年度,7+1,1)))</f>
        <v>0</v>
      </c>
      <c r="CC106" s="186">
        <f>IF($B106="",0,SUMIFS(采购进货!$G$4:$G$1503,采购进货!$D$4:$D$1503,$B106,采购进货!$B$4:$B$1503,"&gt;="&amp;DATE(年度,7,1),采购进货!$B$4:$B$1503,"&lt;"&amp;DATE(年度,7+1,1)))</f>
        <v>0</v>
      </c>
      <c r="CD106" s="234">
        <f>BY106+CB106</f>
        <v>0</v>
      </c>
      <c r="CE106" s="235">
        <f>BZ106+CC106</f>
        <v>0</v>
      </c>
      <c r="CF106" s="222">
        <f>IF(AND(CD106&gt;0,CE106&gt;0),CE106/CD106,N($E106))</f>
        <v>0</v>
      </c>
      <c r="CG106" s="220">
        <f>IF($B106="",0,SUMIFS(出库明细!$E$4:$E$3003,出库明细!$D$4:$D$3003,$B106,出库明细!$B$4:$B$3003,"&gt;="&amp;DATE(年度,7,1),出库明细!$B$4:$B$3003,"&lt;"&amp;DATE(年度,7+1,1)))</f>
        <v>0</v>
      </c>
      <c r="CH106" s="186">
        <f>CG106*CF106</f>
        <v>0</v>
      </c>
      <c r="CI106" s="220">
        <f>_辅助!BS104</f>
        <v>0</v>
      </c>
      <c r="CJ106" s="186">
        <f>_辅助!AI104</f>
        <v>0</v>
      </c>
      <c r="CK106" s="221">
        <f>CD106-CG106-CI106</f>
        <v>0</v>
      </c>
      <c r="CL106" s="187">
        <f>CE106-CH106-CJ106</f>
        <v>0</v>
      </c>
      <c r="CM106" s="236">
        <f>IF(AND(CD106&gt;0,CE106&gt;0),0,CH106)</f>
        <v>0</v>
      </c>
      <c r="CN106" s="220">
        <f>IF($B106="",0,SUMIFS(采购进货!$E$4:$E$1503,采购进货!$D$4:$D$1503,$B106,采购进货!$B$4:$B$1503,"&gt;="&amp;DATE(年度,8,1),采购进货!$B$4:$B$1503,"&lt;"&amp;DATE(年度,8+1,1))+SUMIFS(采购进货!$H$4:$H$1503,采购进货!$D$4:$D$1503,$B106,采购进货!$B$4:$B$1503,"&gt;="&amp;DATE(年度,8,1),采购进货!$B$4:$B$1503,"&lt;"&amp;DATE(年度,8+1,1)))</f>
        <v>0</v>
      </c>
      <c r="CO106" s="186">
        <f>IF($B106="",0,SUMIFS(采购进货!$G$4:$G$1503,采购进货!$D$4:$D$1503,$B106,采购进货!$B$4:$B$1503,"&gt;="&amp;DATE(年度,8,1),采购进货!$B$4:$B$1503,"&lt;"&amp;DATE(年度,8+1,1)))</f>
        <v>0</v>
      </c>
      <c r="CP106" s="234">
        <f>CK106+CN106</f>
        <v>0</v>
      </c>
      <c r="CQ106" s="235">
        <f>CL106+CO106</f>
        <v>0</v>
      </c>
      <c r="CR106" s="222">
        <f>IF(AND(CP106&gt;0,CQ106&gt;0),CQ106/CP106,N($E106))</f>
        <v>0</v>
      </c>
      <c r="CS106" s="220">
        <f>IF($B106="",0,SUMIFS(出库明细!$E$4:$E$3003,出库明细!$D$4:$D$3003,$B106,出库明细!$B$4:$B$3003,"&gt;="&amp;DATE(年度,8,1),出库明细!$B$4:$B$3003,"&lt;"&amp;DATE(年度,8+1,1)))</f>
        <v>0</v>
      </c>
      <c r="CT106" s="186">
        <f>CS106*CR106</f>
        <v>0</v>
      </c>
      <c r="CU106" s="220">
        <f>_辅助!BT104</f>
        <v>0</v>
      </c>
      <c r="CV106" s="186">
        <f>_辅助!AJ104</f>
        <v>0</v>
      </c>
      <c r="CW106" s="221">
        <f>CP106-CS106-CU106</f>
        <v>0</v>
      </c>
      <c r="CX106" s="187">
        <f>CQ106-CT106-CV106</f>
        <v>0</v>
      </c>
      <c r="CY106" s="236">
        <f>IF(AND(CP106&gt;0,CQ106&gt;0),0,CT106)</f>
        <v>0</v>
      </c>
      <c r="CZ106" s="220">
        <f>IF($B106="",0,SUMIFS(采购进货!$E$4:$E$1503,采购进货!$D$4:$D$1503,$B106,采购进货!$B$4:$B$1503,"&gt;="&amp;DATE(年度,9,1),采购进货!$B$4:$B$1503,"&lt;"&amp;DATE(年度,9+1,1))+SUMIFS(采购进货!$H$4:$H$1503,采购进货!$D$4:$D$1503,$B106,采购进货!$B$4:$B$1503,"&gt;="&amp;DATE(年度,9,1),采购进货!$B$4:$B$1503,"&lt;"&amp;DATE(年度,9+1,1)))</f>
        <v>0</v>
      </c>
      <c r="DA106" s="186">
        <f>IF($B106="",0,SUMIFS(采购进货!$G$4:$G$1503,采购进货!$D$4:$D$1503,$B106,采购进货!$B$4:$B$1503,"&gt;="&amp;DATE(年度,9,1),采购进货!$B$4:$B$1503,"&lt;"&amp;DATE(年度,9+1,1)))</f>
        <v>0</v>
      </c>
      <c r="DB106" s="234">
        <f>CW106+CZ106</f>
        <v>0</v>
      </c>
      <c r="DC106" s="235">
        <f>CX106+DA106</f>
        <v>0</v>
      </c>
      <c r="DD106" s="222">
        <f>IF(AND(DB106&gt;0,DC106&gt;0),DC106/DB106,N($E106))</f>
        <v>0</v>
      </c>
      <c r="DE106" s="220">
        <f>IF($B106="",0,SUMIFS(出库明细!$E$4:$E$3003,出库明细!$D$4:$D$3003,$B106,出库明细!$B$4:$B$3003,"&gt;="&amp;DATE(年度,9,1),出库明细!$B$4:$B$3003,"&lt;"&amp;DATE(年度,9+1,1)))</f>
        <v>0</v>
      </c>
      <c r="DF106" s="186">
        <f>DE106*DD106</f>
        <v>0</v>
      </c>
      <c r="DG106" s="220">
        <f>_辅助!BU104</f>
        <v>0</v>
      </c>
      <c r="DH106" s="186">
        <f>_辅助!AK104</f>
        <v>0</v>
      </c>
      <c r="DI106" s="221">
        <f>DB106-DE106-DG106</f>
        <v>0</v>
      </c>
      <c r="DJ106" s="187">
        <f>DC106-DF106-DH106</f>
        <v>0</v>
      </c>
      <c r="DK106" s="236">
        <f>IF(AND(DB106&gt;0,DC106&gt;0),0,DF106)</f>
        <v>0</v>
      </c>
      <c r="DL106" s="220">
        <f>IF($B106="",0,SUMIFS(采购进货!$E$4:$E$1503,采购进货!$D$4:$D$1503,$B106,采购进货!$B$4:$B$1503,"&gt;="&amp;DATE(年度,10,1),采购进货!$B$4:$B$1503,"&lt;"&amp;DATE(年度,10+1,1))+SUMIFS(采购进货!$H$4:$H$1503,采购进货!$D$4:$D$1503,$B106,采购进货!$B$4:$B$1503,"&gt;="&amp;DATE(年度,10,1),采购进货!$B$4:$B$1503,"&lt;"&amp;DATE(年度,10+1,1)))</f>
        <v>0</v>
      </c>
      <c r="DM106" s="186">
        <f>IF($B106="",0,SUMIFS(采购进货!$G$4:$G$1503,采购进货!$D$4:$D$1503,$B106,采购进货!$B$4:$B$1503,"&gt;="&amp;DATE(年度,10,1),采购进货!$B$4:$B$1503,"&lt;"&amp;DATE(年度,10+1,1)))</f>
        <v>0</v>
      </c>
      <c r="DN106" s="234">
        <f>DI106+DL106</f>
        <v>0</v>
      </c>
      <c r="DO106" s="235">
        <f>DJ106+DM106</f>
        <v>0</v>
      </c>
      <c r="DP106" s="222">
        <f>IF(AND(DN106&gt;0,DO106&gt;0),DO106/DN106,N($E106))</f>
        <v>0</v>
      </c>
      <c r="DQ106" s="220">
        <f>IF($B106="",0,SUMIFS(出库明细!$E$4:$E$3003,出库明细!$D$4:$D$3003,$B106,出库明细!$B$4:$B$3003,"&gt;="&amp;DATE(年度,10,1),出库明细!$B$4:$B$3003,"&lt;"&amp;DATE(年度,10+1,1)))</f>
        <v>0</v>
      </c>
      <c r="DR106" s="186">
        <f>DQ106*DP106</f>
        <v>0</v>
      </c>
      <c r="DS106" s="220">
        <f>_辅助!BV104</f>
        <v>0</v>
      </c>
      <c r="DT106" s="186">
        <f>_辅助!AL104</f>
        <v>0</v>
      </c>
      <c r="DU106" s="221">
        <f>DN106-DQ106-DS106</f>
        <v>0</v>
      </c>
      <c r="DV106" s="187">
        <f>DO106-DR106-DT106</f>
        <v>0</v>
      </c>
      <c r="DW106" s="236">
        <f>IF(AND(DN106&gt;0,DO106&gt;0),0,DR106)</f>
        <v>0</v>
      </c>
      <c r="DX106" s="220">
        <f>IF($B106="",0,SUMIFS(采购进货!$E$4:$E$1503,采购进货!$D$4:$D$1503,$B106,采购进货!$B$4:$B$1503,"&gt;="&amp;DATE(年度,11,1),采购进货!$B$4:$B$1503,"&lt;"&amp;DATE(年度,11+1,1))+SUMIFS(采购进货!$H$4:$H$1503,采购进货!$D$4:$D$1503,$B106,采购进货!$B$4:$B$1503,"&gt;="&amp;DATE(年度,11,1),采购进货!$B$4:$B$1503,"&lt;"&amp;DATE(年度,11+1,1)))</f>
        <v>0</v>
      </c>
      <c r="DY106" s="186">
        <f>IF($B106="",0,SUMIFS(采购进货!$G$4:$G$1503,采购进货!$D$4:$D$1503,$B106,采购进货!$B$4:$B$1503,"&gt;="&amp;DATE(年度,11,1),采购进货!$B$4:$B$1503,"&lt;"&amp;DATE(年度,11+1,1)))</f>
        <v>0</v>
      </c>
      <c r="DZ106" s="234">
        <f>DU106+DX106</f>
        <v>0</v>
      </c>
      <c r="EA106" s="235">
        <f>DV106+DY106</f>
        <v>0</v>
      </c>
      <c r="EB106" s="222">
        <f>IF(AND(DZ106&gt;0,EA106&gt;0),EA106/DZ106,N($E106))</f>
        <v>0</v>
      </c>
      <c r="EC106" s="220">
        <f>IF($B106="",0,SUMIFS(出库明细!$E$4:$E$3003,出库明细!$D$4:$D$3003,$B106,出库明细!$B$4:$B$3003,"&gt;="&amp;DATE(年度,11,1),出库明细!$B$4:$B$3003,"&lt;"&amp;DATE(年度,11+1,1)))</f>
        <v>0</v>
      </c>
      <c r="ED106" s="186">
        <f>EC106*EB106</f>
        <v>0</v>
      </c>
      <c r="EE106" s="220">
        <f>_辅助!BW104</f>
        <v>0</v>
      </c>
      <c r="EF106" s="186">
        <f>_辅助!AM104</f>
        <v>0</v>
      </c>
      <c r="EG106" s="221">
        <f>DZ106-EC106-EE106</f>
        <v>0</v>
      </c>
      <c r="EH106" s="187">
        <f>EA106-ED106-EF106</f>
        <v>0</v>
      </c>
      <c r="EI106" s="236">
        <f>IF(AND(DZ106&gt;0,EA106&gt;0),0,ED106)</f>
        <v>0</v>
      </c>
      <c r="EJ106" s="220">
        <f>IF($B106="",0,SUMIFS(采购进货!$E$4:$E$1503,采购进货!$D$4:$D$1503,$B106,采购进货!$B$4:$B$1503,"&gt;="&amp;DATE(年度,12,1),采购进货!$B$4:$B$1503,"&lt;"&amp;DATE(年度,12+1,1))+SUMIFS(采购进货!$H$4:$H$1503,采购进货!$D$4:$D$1503,$B106,采购进货!$B$4:$B$1503,"&gt;="&amp;DATE(年度,12,1),采购进货!$B$4:$B$1503,"&lt;"&amp;DATE(年度,12+1,1)))</f>
        <v>0</v>
      </c>
      <c r="EK106" s="186">
        <f>IF($B106="",0,SUMIFS(采购进货!$G$4:$G$1503,采购进货!$D$4:$D$1503,$B106,采购进货!$B$4:$B$1503,"&gt;="&amp;DATE(年度,12,1),采购进货!$B$4:$B$1503,"&lt;"&amp;DATE(年度,12+1,1)))</f>
        <v>0</v>
      </c>
      <c r="EL106" s="234">
        <f>EG106+EJ106</f>
        <v>0</v>
      </c>
      <c r="EM106" s="235">
        <f>EH106+EK106</f>
        <v>0</v>
      </c>
      <c r="EN106" s="222">
        <f>IF(AND(EL106&gt;0,EM106&gt;0),EM106/EL106,N($E106))</f>
        <v>0</v>
      </c>
      <c r="EO106" s="220">
        <f>IF($B106="",0,SUMIFS(出库明细!$E$4:$E$3003,出库明细!$D$4:$D$3003,$B106,出库明细!$B$4:$B$3003,"&gt;="&amp;DATE(年度,12,1),出库明细!$B$4:$B$3003,"&lt;"&amp;DATE(年度,12+1,1)))</f>
        <v>0</v>
      </c>
      <c r="EP106" s="186">
        <f>EO106*EN106</f>
        <v>0</v>
      </c>
      <c r="EQ106" s="220">
        <f>_辅助!BX104</f>
        <v>0</v>
      </c>
      <c r="ER106" s="186">
        <f>_辅助!AN104</f>
        <v>0</v>
      </c>
      <c r="ES106" s="221">
        <f>EL106-EO106-EQ106</f>
        <v>0</v>
      </c>
      <c r="ET106" s="187">
        <f>EM106-EP106-ER106</f>
        <v>0</v>
      </c>
      <c r="EU106" s="236">
        <f>IF(AND(EL106&gt;0,EM106&gt;0),0,EP106)</f>
        <v>0</v>
      </c>
    </row>
    <row r="107">
      <c r="A107" s="194">
        <f>IF(B107="","",ROW()-7)</f>
      </c>
      <c r="B107" s="141">
        <f>IF(基础资料!E104="","",基础资料!E104&amp;"")</f>
      </c>
      <c r="C107" s="230">
        <f>IF(基础资料!G104="","",基础资料!G104&amp;"")</f>
      </c>
      <c r="D107" s="194">
        <f>IF(基础资料!I104="","",基础资料!I104)</f>
      </c>
      <c r="E107" s="231">
        <f>IF(基础资料!J104="","",基础资料!J104)</f>
      </c>
      <c r="F107" s="232">
        <f>N(基础资料!L104)</f>
        <v>0</v>
      </c>
      <c r="G107" s="233">
        <f>IF(基础资料!N104="",0,基础资料!N104)</f>
        <v>0</v>
      </c>
      <c r="H107" s="220">
        <f>IF($B107="",0,SUMIFS(采购进货!$E$4:$E$1503,采购进货!$D$4:$D$1503,$B107,采购进货!$B$4:$B$1503,"&gt;="&amp;DATE(年度,1,1),采购进货!$B$4:$B$1503,"&lt;"&amp;DATE(年度,1+1,1))+SUMIFS(采购进货!$H$4:$H$1503,采购进货!$D$4:$D$1503,$B107,采购进货!$B$4:$B$1503,"&gt;="&amp;DATE(年度,1,1),采购进货!$B$4:$B$1503,"&lt;"&amp;DATE(年度,1+1,1)))</f>
        <v>0</v>
      </c>
      <c r="I107" s="186">
        <f>IF($B107="",0,SUMIFS(采购进货!$G$4:$G$1503,采购进货!$D$4:$D$1503,$B107,采购进货!$B$4:$B$1503,"&gt;="&amp;DATE(年度,1,1),采购进货!$B$4:$B$1503,"&lt;"&amp;DATE(年度,1+1,1)))</f>
        <v>0</v>
      </c>
      <c r="J107" s="234">
        <f>F107+H107</f>
        <v>0</v>
      </c>
      <c r="K107" s="235">
        <f>G107+I107</f>
        <v>0</v>
      </c>
      <c r="L107" s="222">
        <f>IF(AND(J107&gt;0,K107&gt;0),K107/J107,N($E107))</f>
        <v>0</v>
      </c>
      <c r="M107" s="220">
        <f>IF($B107="",0,SUMIFS(出库明细!$E$4:$E$3003,出库明细!$D$4:$D$3003,$B107,出库明细!$B$4:$B$3003,"&gt;="&amp;DATE(年度,1,1),出库明细!$B$4:$B$3003,"&lt;"&amp;DATE(年度,1+1,1)))</f>
        <v>0</v>
      </c>
      <c r="N107" s="186">
        <f>M107*L107</f>
        <v>0</v>
      </c>
      <c r="O107" s="220">
        <f>_辅助!BM105</f>
        <v>0</v>
      </c>
      <c r="P107" s="186">
        <f>_辅助!AC105</f>
        <v>0</v>
      </c>
      <c r="Q107" s="221">
        <f>J107-M107-O107</f>
        <v>0</v>
      </c>
      <c r="R107" s="187">
        <f>K107-N107-P107</f>
        <v>0</v>
      </c>
      <c r="S107" s="236">
        <f>IF(AND(J107&gt;0,K107&gt;0),0,N107)</f>
        <v>0</v>
      </c>
      <c r="T107" s="220">
        <f>IF($B107="",0,SUMIFS(采购进货!$E$4:$E$1503,采购进货!$D$4:$D$1503,$B107,采购进货!$B$4:$B$1503,"&gt;="&amp;DATE(年度,2,1),采购进货!$B$4:$B$1503,"&lt;"&amp;DATE(年度,2+1,1))+SUMIFS(采购进货!$H$4:$H$1503,采购进货!$D$4:$D$1503,$B107,采购进货!$B$4:$B$1503,"&gt;="&amp;DATE(年度,2,1),采购进货!$B$4:$B$1503,"&lt;"&amp;DATE(年度,2+1,1)))</f>
        <v>0</v>
      </c>
      <c r="U107" s="186">
        <f>IF($B107="",0,SUMIFS(采购进货!$G$4:$G$1503,采购进货!$D$4:$D$1503,$B107,采购进货!$B$4:$B$1503,"&gt;="&amp;DATE(年度,2,1),采购进货!$B$4:$B$1503,"&lt;"&amp;DATE(年度,2+1,1)))</f>
        <v>0</v>
      </c>
      <c r="V107" s="234">
        <f>Q107+T107</f>
        <v>0</v>
      </c>
      <c r="W107" s="235">
        <f>R107+U107</f>
        <v>0</v>
      </c>
      <c r="X107" s="222">
        <f>IF(AND(V107&gt;0,W107&gt;0),W107/V107,N($E107))</f>
        <v>0</v>
      </c>
      <c r="Y107" s="220">
        <f>IF($B107="",0,SUMIFS(出库明细!$E$4:$E$3003,出库明细!$D$4:$D$3003,$B107,出库明细!$B$4:$B$3003,"&gt;="&amp;DATE(年度,2,1),出库明细!$B$4:$B$3003,"&lt;"&amp;DATE(年度,2+1,1)))</f>
        <v>0</v>
      </c>
      <c r="Z107" s="186">
        <f>Y107*X107</f>
        <v>0</v>
      </c>
      <c r="AA107" s="220">
        <f>_辅助!BN105</f>
        <v>0</v>
      </c>
      <c r="AB107" s="186">
        <f>_辅助!AD105</f>
        <v>0</v>
      </c>
      <c r="AC107" s="221">
        <f>V107-Y107-AA107</f>
        <v>0</v>
      </c>
      <c r="AD107" s="187">
        <f>W107-Z107-AB107</f>
        <v>0</v>
      </c>
      <c r="AE107" s="236">
        <f>IF(AND(V107&gt;0,W107&gt;0),0,Z107)</f>
        <v>0</v>
      </c>
      <c r="AF107" s="220">
        <f>IF($B107="",0,SUMIFS(采购进货!$E$4:$E$1503,采购进货!$D$4:$D$1503,$B107,采购进货!$B$4:$B$1503,"&gt;="&amp;DATE(年度,3,1),采购进货!$B$4:$B$1503,"&lt;"&amp;DATE(年度,3+1,1))+SUMIFS(采购进货!$H$4:$H$1503,采购进货!$D$4:$D$1503,$B107,采购进货!$B$4:$B$1503,"&gt;="&amp;DATE(年度,3,1),采购进货!$B$4:$B$1503,"&lt;"&amp;DATE(年度,3+1,1)))</f>
        <v>0</v>
      </c>
      <c r="AG107" s="186">
        <f>IF($B107="",0,SUMIFS(采购进货!$G$4:$G$1503,采购进货!$D$4:$D$1503,$B107,采购进货!$B$4:$B$1503,"&gt;="&amp;DATE(年度,3,1),采购进货!$B$4:$B$1503,"&lt;"&amp;DATE(年度,3+1,1)))</f>
        <v>0</v>
      </c>
      <c r="AH107" s="234">
        <f>AC107+AF107</f>
        <v>0</v>
      </c>
      <c r="AI107" s="235">
        <f>AD107+AG107</f>
        <v>0</v>
      </c>
      <c r="AJ107" s="222">
        <f>IF(AND(AH107&gt;0,AI107&gt;0),AI107/AH107,N($E107))</f>
        <v>0</v>
      </c>
      <c r="AK107" s="220">
        <f>IF($B107="",0,SUMIFS(出库明细!$E$4:$E$3003,出库明细!$D$4:$D$3003,$B107,出库明细!$B$4:$B$3003,"&gt;="&amp;DATE(年度,3,1),出库明细!$B$4:$B$3003,"&lt;"&amp;DATE(年度,3+1,1)))</f>
        <v>0</v>
      </c>
      <c r="AL107" s="186">
        <f>AK107*AJ107</f>
        <v>0</v>
      </c>
      <c r="AM107" s="220">
        <f>_辅助!BO105</f>
        <v>0</v>
      </c>
      <c r="AN107" s="186">
        <f>_辅助!AE105</f>
        <v>0</v>
      </c>
      <c r="AO107" s="221">
        <f>AH107-AK107-AM107</f>
        <v>0</v>
      </c>
      <c r="AP107" s="187">
        <f>AI107-AL107-AN107</f>
        <v>0</v>
      </c>
      <c r="AQ107" s="236">
        <f>IF(AND(AH107&gt;0,AI107&gt;0),0,AL107)</f>
        <v>0</v>
      </c>
      <c r="AR107" s="220">
        <f>IF($B107="",0,SUMIFS(采购进货!$E$4:$E$1503,采购进货!$D$4:$D$1503,$B107,采购进货!$B$4:$B$1503,"&gt;="&amp;DATE(年度,4,1),采购进货!$B$4:$B$1503,"&lt;"&amp;DATE(年度,4+1,1))+SUMIFS(采购进货!$H$4:$H$1503,采购进货!$D$4:$D$1503,$B107,采购进货!$B$4:$B$1503,"&gt;="&amp;DATE(年度,4,1),采购进货!$B$4:$B$1503,"&lt;"&amp;DATE(年度,4+1,1)))</f>
        <v>0</v>
      </c>
      <c r="AS107" s="186">
        <f>IF($B107="",0,SUMIFS(采购进货!$G$4:$G$1503,采购进货!$D$4:$D$1503,$B107,采购进货!$B$4:$B$1503,"&gt;="&amp;DATE(年度,4,1),采购进货!$B$4:$B$1503,"&lt;"&amp;DATE(年度,4+1,1)))</f>
        <v>0</v>
      </c>
      <c r="AT107" s="234">
        <f>AO107+AR107</f>
        <v>0</v>
      </c>
      <c r="AU107" s="235">
        <f>AP107+AS107</f>
        <v>0</v>
      </c>
      <c r="AV107" s="222">
        <f>IF(AND(AT107&gt;0,AU107&gt;0),AU107/AT107,N($E107))</f>
        <v>0</v>
      </c>
      <c r="AW107" s="220">
        <f>IF($B107="",0,SUMIFS(出库明细!$E$4:$E$3003,出库明细!$D$4:$D$3003,$B107,出库明细!$B$4:$B$3003,"&gt;="&amp;DATE(年度,4,1),出库明细!$B$4:$B$3003,"&lt;"&amp;DATE(年度,4+1,1)))</f>
        <v>0</v>
      </c>
      <c r="AX107" s="186">
        <f>AW107*AV107</f>
        <v>0</v>
      </c>
      <c r="AY107" s="220">
        <f>_辅助!BP105</f>
        <v>0</v>
      </c>
      <c r="AZ107" s="186">
        <f>_辅助!AF105</f>
        <v>0</v>
      </c>
      <c r="BA107" s="221">
        <f>AT107-AW107-AY107</f>
        <v>0</v>
      </c>
      <c r="BB107" s="187">
        <f>AU107-AX107-AZ107</f>
        <v>0</v>
      </c>
      <c r="BC107" s="236">
        <f>IF(AND(AT107&gt;0,AU107&gt;0),0,AX107)</f>
        <v>0</v>
      </c>
      <c r="BD107" s="220">
        <f>IF($B107="",0,SUMIFS(采购进货!$E$4:$E$1503,采购进货!$D$4:$D$1503,$B107,采购进货!$B$4:$B$1503,"&gt;="&amp;DATE(年度,5,1),采购进货!$B$4:$B$1503,"&lt;"&amp;DATE(年度,5+1,1))+SUMIFS(采购进货!$H$4:$H$1503,采购进货!$D$4:$D$1503,$B107,采购进货!$B$4:$B$1503,"&gt;="&amp;DATE(年度,5,1),采购进货!$B$4:$B$1503,"&lt;"&amp;DATE(年度,5+1,1)))</f>
        <v>0</v>
      </c>
      <c r="BE107" s="186">
        <f>IF($B107="",0,SUMIFS(采购进货!$G$4:$G$1503,采购进货!$D$4:$D$1503,$B107,采购进货!$B$4:$B$1503,"&gt;="&amp;DATE(年度,5,1),采购进货!$B$4:$B$1503,"&lt;"&amp;DATE(年度,5+1,1)))</f>
        <v>0</v>
      </c>
      <c r="BF107" s="234">
        <f>BA107+BD107</f>
        <v>0</v>
      </c>
      <c r="BG107" s="235">
        <f>BB107+BE107</f>
        <v>0</v>
      </c>
      <c r="BH107" s="222">
        <f>IF(AND(BF107&gt;0,BG107&gt;0),BG107/BF107,N($E107))</f>
        <v>0</v>
      </c>
      <c r="BI107" s="220">
        <f>IF($B107="",0,SUMIFS(出库明细!$E$4:$E$3003,出库明细!$D$4:$D$3003,$B107,出库明细!$B$4:$B$3003,"&gt;="&amp;DATE(年度,5,1),出库明细!$B$4:$B$3003,"&lt;"&amp;DATE(年度,5+1,1)))</f>
        <v>0</v>
      </c>
      <c r="BJ107" s="186">
        <f>BI107*BH107</f>
        <v>0</v>
      </c>
      <c r="BK107" s="220">
        <f>_辅助!BQ105</f>
        <v>0</v>
      </c>
      <c r="BL107" s="186">
        <f>_辅助!AG105</f>
        <v>0</v>
      </c>
      <c r="BM107" s="221">
        <f>BF107-BI107-BK107</f>
        <v>0</v>
      </c>
      <c r="BN107" s="187">
        <f>BG107-BJ107-BL107</f>
        <v>0</v>
      </c>
      <c r="BO107" s="236">
        <f>IF(AND(BF107&gt;0,BG107&gt;0),0,BJ107)</f>
        <v>0</v>
      </c>
      <c r="BP107" s="220">
        <f>IF($B107="",0,SUMIFS(采购进货!$E$4:$E$1503,采购进货!$D$4:$D$1503,$B107,采购进货!$B$4:$B$1503,"&gt;="&amp;DATE(年度,6,1),采购进货!$B$4:$B$1503,"&lt;"&amp;DATE(年度,6+1,1))+SUMIFS(采购进货!$H$4:$H$1503,采购进货!$D$4:$D$1503,$B107,采购进货!$B$4:$B$1503,"&gt;="&amp;DATE(年度,6,1),采购进货!$B$4:$B$1503,"&lt;"&amp;DATE(年度,6+1,1)))</f>
        <v>0</v>
      </c>
      <c r="BQ107" s="186">
        <f>IF($B107="",0,SUMIFS(采购进货!$G$4:$G$1503,采购进货!$D$4:$D$1503,$B107,采购进货!$B$4:$B$1503,"&gt;="&amp;DATE(年度,6,1),采购进货!$B$4:$B$1503,"&lt;"&amp;DATE(年度,6+1,1)))</f>
        <v>0</v>
      </c>
      <c r="BR107" s="234">
        <f>BM107+BP107</f>
        <v>0</v>
      </c>
      <c r="BS107" s="235">
        <f>BN107+BQ107</f>
        <v>0</v>
      </c>
      <c r="BT107" s="222">
        <f>IF(AND(BR107&gt;0,BS107&gt;0),BS107/BR107,N($E107))</f>
        <v>0</v>
      </c>
      <c r="BU107" s="220">
        <f>IF($B107="",0,SUMIFS(出库明细!$E$4:$E$3003,出库明细!$D$4:$D$3003,$B107,出库明细!$B$4:$B$3003,"&gt;="&amp;DATE(年度,6,1),出库明细!$B$4:$B$3003,"&lt;"&amp;DATE(年度,6+1,1)))</f>
        <v>0</v>
      </c>
      <c r="BV107" s="186">
        <f>BU107*BT107</f>
        <v>0</v>
      </c>
      <c r="BW107" s="220">
        <f>_辅助!BR105</f>
        <v>0</v>
      </c>
      <c r="BX107" s="186">
        <f>_辅助!AH105</f>
        <v>0</v>
      </c>
      <c r="BY107" s="221">
        <f>BR107-BU107-BW107</f>
        <v>0</v>
      </c>
      <c r="BZ107" s="187">
        <f>BS107-BV107-BX107</f>
        <v>0</v>
      </c>
      <c r="CA107" s="236">
        <f>IF(AND(BR107&gt;0,BS107&gt;0),0,BV107)</f>
        <v>0</v>
      </c>
      <c r="CB107" s="220">
        <f>IF($B107="",0,SUMIFS(采购进货!$E$4:$E$1503,采购进货!$D$4:$D$1503,$B107,采购进货!$B$4:$B$1503,"&gt;="&amp;DATE(年度,7,1),采购进货!$B$4:$B$1503,"&lt;"&amp;DATE(年度,7+1,1))+SUMIFS(采购进货!$H$4:$H$1503,采购进货!$D$4:$D$1503,$B107,采购进货!$B$4:$B$1503,"&gt;="&amp;DATE(年度,7,1),采购进货!$B$4:$B$1503,"&lt;"&amp;DATE(年度,7+1,1)))</f>
        <v>0</v>
      </c>
      <c r="CC107" s="186">
        <f>IF($B107="",0,SUMIFS(采购进货!$G$4:$G$1503,采购进货!$D$4:$D$1503,$B107,采购进货!$B$4:$B$1503,"&gt;="&amp;DATE(年度,7,1),采购进货!$B$4:$B$1503,"&lt;"&amp;DATE(年度,7+1,1)))</f>
        <v>0</v>
      </c>
      <c r="CD107" s="234">
        <f>BY107+CB107</f>
        <v>0</v>
      </c>
      <c r="CE107" s="235">
        <f>BZ107+CC107</f>
        <v>0</v>
      </c>
      <c r="CF107" s="222">
        <f>IF(AND(CD107&gt;0,CE107&gt;0),CE107/CD107,N($E107))</f>
        <v>0</v>
      </c>
      <c r="CG107" s="220">
        <f>IF($B107="",0,SUMIFS(出库明细!$E$4:$E$3003,出库明细!$D$4:$D$3003,$B107,出库明细!$B$4:$B$3003,"&gt;="&amp;DATE(年度,7,1),出库明细!$B$4:$B$3003,"&lt;"&amp;DATE(年度,7+1,1)))</f>
        <v>0</v>
      </c>
      <c r="CH107" s="186">
        <f>CG107*CF107</f>
        <v>0</v>
      </c>
      <c r="CI107" s="220">
        <f>_辅助!BS105</f>
        <v>0</v>
      </c>
      <c r="CJ107" s="186">
        <f>_辅助!AI105</f>
        <v>0</v>
      </c>
      <c r="CK107" s="221">
        <f>CD107-CG107-CI107</f>
        <v>0</v>
      </c>
      <c r="CL107" s="187">
        <f>CE107-CH107-CJ107</f>
        <v>0</v>
      </c>
      <c r="CM107" s="236">
        <f>IF(AND(CD107&gt;0,CE107&gt;0),0,CH107)</f>
        <v>0</v>
      </c>
      <c r="CN107" s="220">
        <f>IF($B107="",0,SUMIFS(采购进货!$E$4:$E$1503,采购进货!$D$4:$D$1503,$B107,采购进货!$B$4:$B$1503,"&gt;="&amp;DATE(年度,8,1),采购进货!$B$4:$B$1503,"&lt;"&amp;DATE(年度,8+1,1))+SUMIFS(采购进货!$H$4:$H$1503,采购进货!$D$4:$D$1503,$B107,采购进货!$B$4:$B$1503,"&gt;="&amp;DATE(年度,8,1),采购进货!$B$4:$B$1503,"&lt;"&amp;DATE(年度,8+1,1)))</f>
        <v>0</v>
      </c>
      <c r="CO107" s="186">
        <f>IF($B107="",0,SUMIFS(采购进货!$G$4:$G$1503,采购进货!$D$4:$D$1503,$B107,采购进货!$B$4:$B$1503,"&gt;="&amp;DATE(年度,8,1),采购进货!$B$4:$B$1503,"&lt;"&amp;DATE(年度,8+1,1)))</f>
        <v>0</v>
      </c>
      <c r="CP107" s="234">
        <f>CK107+CN107</f>
        <v>0</v>
      </c>
      <c r="CQ107" s="235">
        <f>CL107+CO107</f>
        <v>0</v>
      </c>
      <c r="CR107" s="222">
        <f>IF(AND(CP107&gt;0,CQ107&gt;0),CQ107/CP107,N($E107))</f>
        <v>0</v>
      </c>
      <c r="CS107" s="220">
        <f>IF($B107="",0,SUMIFS(出库明细!$E$4:$E$3003,出库明细!$D$4:$D$3003,$B107,出库明细!$B$4:$B$3003,"&gt;="&amp;DATE(年度,8,1),出库明细!$B$4:$B$3003,"&lt;"&amp;DATE(年度,8+1,1)))</f>
        <v>0</v>
      </c>
      <c r="CT107" s="186">
        <f>CS107*CR107</f>
        <v>0</v>
      </c>
      <c r="CU107" s="220">
        <f>_辅助!BT105</f>
        <v>0</v>
      </c>
      <c r="CV107" s="186">
        <f>_辅助!AJ105</f>
        <v>0</v>
      </c>
      <c r="CW107" s="221">
        <f>CP107-CS107-CU107</f>
        <v>0</v>
      </c>
      <c r="CX107" s="187">
        <f>CQ107-CT107-CV107</f>
        <v>0</v>
      </c>
      <c r="CY107" s="236">
        <f>IF(AND(CP107&gt;0,CQ107&gt;0),0,CT107)</f>
        <v>0</v>
      </c>
      <c r="CZ107" s="220">
        <f>IF($B107="",0,SUMIFS(采购进货!$E$4:$E$1503,采购进货!$D$4:$D$1503,$B107,采购进货!$B$4:$B$1503,"&gt;="&amp;DATE(年度,9,1),采购进货!$B$4:$B$1503,"&lt;"&amp;DATE(年度,9+1,1))+SUMIFS(采购进货!$H$4:$H$1503,采购进货!$D$4:$D$1503,$B107,采购进货!$B$4:$B$1503,"&gt;="&amp;DATE(年度,9,1),采购进货!$B$4:$B$1503,"&lt;"&amp;DATE(年度,9+1,1)))</f>
        <v>0</v>
      </c>
      <c r="DA107" s="186">
        <f>IF($B107="",0,SUMIFS(采购进货!$G$4:$G$1503,采购进货!$D$4:$D$1503,$B107,采购进货!$B$4:$B$1503,"&gt;="&amp;DATE(年度,9,1),采购进货!$B$4:$B$1503,"&lt;"&amp;DATE(年度,9+1,1)))</f>
        <v>0</v>
      </c>
      <c r="DB107" s="234">
        <f>CW107+CZ107</f>
        <v>0</v>
      </c>
      <c r="DC107" s="235">
        <f>CX107+DA107</f>
        <v>0</v>
      </c>
      <c r="DD107" s="222">
        <f>IF(AND(DB107&gt;0,DC107&gt;0),DC107/DB107,N($E107))</f>
        <v>0</v>
      </c>
      <c r="DE107" s="220">
        <f>IF($B107="",0,SUMIFS(出库明细!$E$4:$E$3003,出库明细!$D$4:$D$3003,$B107,出库明细!$B$4:$B$3003,"&gt;="&amp;DATE(年度,9,1),出库明细!$B$4:$B$3003,"&lt;"&amp;DATE(年度,9+1,1)))</f>
        <v>0</v>
      </c>
      <c r="DF107" s="186">
        <f>DE107*DD107</f>
        <v>0</v>
      </c>
      <c r="DG107" s="220">
        <f>_辅助!BU105</f>
        <v>0</v>
      </c>
      <c r="DH107" s="186">
        <f>_辅助!AK105</f>
        <v>0</v>
      </c>
      <c r="DI107" s="221">
        <f>DB107-DE107-DG107</f>
        <v>0</v>
      </c>
      <c r="DJ107" s="187">
        <f>DC107-DF107-DH107</f>
        <v>0</v>
      </c>
      <c r="DK107" s="236">
        <f>IF(AND(DB107&gt;0,DC107&gt;0),0,DF107)</f>
        <v>0</v>
      </c>
      <c r="DL107" s="220">
        <f>IF($B107="",0,SUMIFS(采购进货!$E$4:$E$1503,采购进货!$D$4:$D$1503,$B107,采购进货!$B$4:$B$1503,"&gt;="&amp;DATE(年度,10,1),采购进货!$B$4:$B$1503,"&lt;"&amp;DATE(年度,10+1,1))+SUMIFS(采购进货!$H$4:$H$1503,采购进货!$D$4:$D$1503,$B107,采购进货!$B$4:$B$1503,"&gt;="&amp;DATE(年度,10,1),采购进货!$B$4:$B$1503,"&lt;"&amp;DATE(年度,10+1,1)))</f>
        <v>0</v>
      </c>
      <c r="DM107" s="186">
        <f>IF($B107="",0,SUMIFS(采购进货!$G$4:$G$1503,采购进货!$D$4:$D$1503,$B107,采购进货!$B$4:$B$1503,"&gt;="&amp;DATE(年度,10,1),采购进货!$B$4:$B$1503,"&lt;"&amp;DATE(年度,10+1,1)))</f>
        <v>0</v>
      </c>
      <c r="DN107" s="234">
        <f>DI107+DL107</f>
        <v>0</v>
      </c>
      <c r="DO107" s="235">
        <f>DJ107+DM107</f>
        <v>0</v>
      </c>
      <c r="DP107" s="222">
        <f>IF(AND(DN107&gt;0,DO107&gt;0),DO107/DN107,N($E107))</f>
        <v>0</v>
      </c>
      <c r="DQ107" s="220">
        <f>IF($B107="",0,SUMIFS(出库明细!$E$4:$E$3003,出库明细!$D$4:$D$3003,$B107,出库明细!$B$4:$B$3003,"&gt;="&amp;DATE(年度,10,1),出库明细!$B$4:$B$3003,"&lt;"&amp;DATE(年度,10+1,1)))</f>
        <v>0</v>
      </c>
      <c r="DR107" s="186">
        <f>DQ107*DP107</f>
        <v>0</v>
      </c>
      <c r="DS107" s="220">
        <f>_辅助!BV105</f>
        <v>0</v>
      </c>
      <c r="DT107" s="186">
        <f>_辅助!AL105</f>
        <v>0</v>
      </c>
      <c r="DU107" s="221">
        <f>DN107-DQ107-DS107</f>
        <v>0</v>
      </c>
      <c r="DV107" s="187">
        <f>DO107-DR107-DT107</f>
        <v>0</v>
      </c>
      <c r="DW107" s="236">
        <f>IF(AND(DN107&gt;0,DO107&gt;0),0,DR107)</f>
        <v>0</v>
      </c>
      <c r="DX107" s="220">
        <f>IF($B107="",0,SUMIFS(采购进货!$E$4:$E$1503,采购进货!$D$4:$D$1503,$B107,采购进货!$B$4:$B$1503,"&gt;="&amp;DATE(年度,11,1),采购进货!$B$4:$B$1503,"&lt;"&amp;DATE(年度,11+1,1))+SUMIFS(采购进货!$H$4:$H$1503,采购进货!$D$4:$D$1503,$B107,采购进货!$B$4:$B$1503,"&gt;="&amp;DATE(年度,11,1),采购进货!$B$4:$B$1503,"&lt;"&amp;DATE(年度,11+1,1)))</f>
        <v>0</v>
      </c>
      <c r="DY107" s="186">
        <f>IF($B107="",0,SUMIFS(采购进货!$G$4:$G$1503,采购进货!$D$4:$D$1503,$B107,采购进货!$B$4:$B$1503,"&gt;="&amp;DATE(年度,11,1),采购进货!$B$4:$B$1503,"&lt;"&amp;DATE(年度,11+1,1)))</f>
        <v>0</v>
      </c>
      <c r="DZ107" s="234">
        <f>DU107+DX107</f>
        <v>0</v>
      </c>
      <c r="EA107" s="235">
        <f>DV107+DY107</f>
        <v>0</v>
      </c>
      <c r="EB107" s="222">
        <f>IF(AND(DZ107&gt;0,EA107&gt;0),EA107/DZ107,N($E107))</f>
        <v>0</v>
      </c>
      <c r="EC107" s="220">
        <f>IF($B107="",0,SUMIFS(出库明细!$E$4:$E$3003,出库明细!$D$4:$D$3003,$B107,出库明细!$B$4:$B$3003,"&gt;="&amp;DATE(年度,11,1),出库明细!$B$4:$B$3003,"&lt;"&amp;DATE(年度,11+1,1)))</f>
        <v>0</v>
      </c>
      <c r="ED107" s="186">
        <f>EC107*EB107</f>
        <v>0</v>
      </c>
      <c r="EE107" s="220">
        <f>_辅助!BW105</f>
        <v>0</v>
      </c>
      <c r="EF107" s="186">
        <f>_辅助!AM105</f>
        <v>0</v>
      </c>
      <c r="EG107" s="221">
        <f>DZ107-EC107-EE107</f>
        <v>0</v>
      </c>
      <c r="EH107" s="187">
        <f>EA107-ED107-EF107</f>
        <v>0</v>
      </c>
      <c r="EI107" s="236">
        <f>IF(AND(DZ107&gt;0,EA107&gt;0),0,ED107)</f>
        <v>0</v>
      </c>
      <c r="EJ107" s="220">
        <f>IF($B107="",0,SUMIFS(采购进货!$E$4:$E$1503,采购进货!$D$4:$D$1503,$B107,采购进货!$B$4:$B$1503,"&gt;="&amp;DATE(年度,12,1),采购进货!$B$4:$B$1503,"&lt;"&amp;DATE(年度,12+1,1))+SUMIFS(采购进货!$H$4:$H$1503,采购进货!$D$4:$D$1503,$B107,采购进货!$B$4:$B$1503,"&gt;="&amp;DATE(年度,12,1),采购进货!$B$4:$B$1503,"&lt;"&amp;DATE(年度,12+1,1)))</f>
        <v>0</v>
      </c>
      <c r="EK107" s="186">
        <f>IF($B107="",0,SUMIFS(采购进货!$G$4:$G$1503,采购进货!$D$4:$D$1503,$B107,采购进货!$B$4:$B$1503,"&gt;="&amp;DATE(年度,12,1),采购进货!$B$4:$B$1503,"&lt;"&amp;DATE(年度,12+1,1)))</f>
        <v>0</v>
      </c>
      <c r="EL107" s="234">
        <f>EG107+EJ107</f>
        <v>0</v>
      </c>
      <c r="EM107" s="235">
        <f>EH107+EK107</f>
        <v>0</v>
      </c>
      <c r="EN107" s="222">
        <f>IF(AND(EL107&gt;0,EM107&gt;0),EM107/EL107,N($E107))</f>
        <v>0</v>
      </c>
      <c r="EO107" s="220">
        <f>IF($B107="",0,SUMIFS(出库明细!$E$4:$E$3003,出库明细!$D$4:$D$3003,$B107,出库明细!$B$4:$B$3003,"&gt;="&amp;DATE(年度,12,1),出库明细!$B$4:$B$3003,"&lt;"&amp;DATE(年度,12+1,1)))</f>
        <v>0</v>
      </c>
      <c r="EP107" s="186">
        <f>EO107*EN107</f>
        <v>0</v>
      </c>
      <c r="EQ107" s="220">
        <f>_辅助!BX105</f>
        <v>0</v>
      </c>
      <c r="ER107" s="186">
        <f>_辅助!AN105</f>
        <v>0</v>
      </c>
      <c r="ES107" s="221">
        <f>EL107-EO107-EQ107</f>
        <v>0</v>
      </c>
      <c r="ET107" s="187">
        <f>EM107-EP107-ER107</f>
        <v>0</v>
      </c>
      <c r="EU107" s="236">
        <f>IF(AND(EL107&gt;0,EM107&gt;0),0,EP107)</f>
        <v>0</v>
      </c>
    </row>
    <row r="108">
      <c r="B108" s="121" t="inlineStr">
        <is>
          <t>合计</t>
        </is>
      </c>
      <c r="F108" s="225">
        <f>SUM(F8:F107)</f>
        <v>0</v>
      </c>
      <c r="G108" s="188">
        <f>SUM(G8:G107)</f>
        <v>0</v>
      </c>
      <c r="H108" s="225">
        <f>SUM(H8:H107)</f>
        <v>0</v>
      </c>
      <c r="I108" s="188">
        <f>SUM(I8:I107)</f>
        <v>0</v>
      </c>
      <c r="J108" s="225">
        <f>SUM(J8:J107)</f>
        <v>0</v>
      </c>
      <c r="K108" s="188">
        <f>SUM(K8:K107)</f>
        <v>0</v>
      </c>
      <c r="L108" s="224" t="n"/>
      <c r="M108" s="225">
        <f>SUM(M8:M107)</f>
        <v>0</v>
      </c>
      <c r="N108" s="188">
        <f>SUM(N8:N107)</f>
        <v>0</v>
      </c>
      <c r="O108" s="225">
        <f>SUM(O8:O107)</f>
        <v>0</v>
      </c>
      <c r="P108" s="188">
        <f>SUM(P8:P107)</f>
        <v>0</v>
      </c>
      <c r="Q108" s="225">
        <f>SUM(Q8:Q107)</f>
        <v>0</v>
      </c>
      <c r="R108" s="188">
        <f>SUM(R8:R107)</f>
        <v>0</v>
      </c>
      <c r="S108" s="188">
        <f>SUM(S8:S107)</f>
        <v>0</v>
      </c>
      <c r="T108" s="225">
        <f>SUM(T8:T107)</f>
        <v>0</v>
      </c>
      <c r="U108" s="188">
        <f>SUM(U8:U107)</f>
        <v>0</v>
      </c>
      <c r="V108" s="225">
        <f>SUM(V8:V107)</f>
        <v>0</v>
      </c>
      <c r="W108" s="188">
        <f>SUM(W8:W107)</f>
        <v>0</v>
      </c>
      <c r="X108" s="224" t="n"/>
      <c r="Y108" s="225">
        <f>SUM(Y8:Y107)</f>
        <v>0</v>
      </c>
      <c r="Z108" s="188">
        <f>SUM(Z8:Z107)</f>
        <v>0</v>
      </c>
      <c r="AA108" s="225">
        <f>SUM(AA8:AA107)</f>
        <v>0</v>
      </c>
      <c r="AB108" s="188">
        <f>SUM(AB8:AB107)</f>
        <v>0</v>
      </c>
      <c r="AC108" s="225">
        <f>SUM(AC8:AC107)</f>
        <v>0</v>
      </c>
      <c r="AD108" s="188">
        <f>SUM(AD8:AD107)</f>
        <v>0</v>
      </c>
      <c r="AE108" s="188">
        <f>SUM(AE8:AE107)</f>
        <v>0</v>
      </c>
      <c r="AF108" s="225">
        <f>SUM(AF8:AF107)</f>
        <v>0</v>
      </c>
      <c r="AG108" s="188">
        <f>SUM(AG8:AG107)</f>
        <v>0</v>
      </c>
      <c r="AH108" s="225">
        <f>SUM(AH8:AH107)</f>
        <v>0</v>
      </c>
      <c r="AI108" s="188">
        <f>SUM(AI8:AI107)</f>
        <v>0</v>
      </c>
      <c r="AJ108" s="224" t="n"/>
      <c r="AK108" s="225">
        <f>SUM(AK8:AK107)</f>
        <v>0</v>
      </c>
      <c r="AL108" s="188">
        <f>SUM(AL8:AL107)</f>
        <v>0</v>
      </c>
      <c r="AM108" s="225">
        <f>SUM(AM8:AM107)</f>
        <v>0</v>
      </c>
      <c r="AN108" s="188">
        <f>SUM(AN8:AN107)</f>
        <v>0</v>
      </c>
      <c r="AO108" s="225">
        <f>SUM(AO8:AO107)</f>
        <v>0</v>
      </c>
      <c r="AP108" s="188">
        <f>SUM(AP8:AP107)</f>
        <v>0</v>
      </c>
      <c r="AQ108" s="188">
        <f>SUM(AQ8:AQ107)</f>
        <v>0</v>
      </c>
      <c r="AR108" s="225">
        <f>SUM(AR8:AR107)</f>
        <v>0</v>
      </c>
      <c r="AS108" s="188">
        <f>SUM(AS8:AS107)</f>
        <v>0</v>
      </c>
      <c r="AT108" s="225">
        <f>SUM(AT8:AT107)</f>
        <v>0</v>
      </c>
      <c r="AU108" s="188">
        <f>SUM(AU8:AU107)</f>
        <v>0</v>
      </c>
      <c r="AV108" s="224" t="n"/>
      <c r="AW108" s="225">
        <f>SUM(AW8:AW107)</f>
        <v>0</v>
      </c>
      <c r="AX108" s="188">
        <f>SUM(AX8:AX107)</f>
        <v>0</v>
      </c>
      <c r="AY108" s="225">
        <f>SUM(AY8:AY107)</f>
        <v>0</v>
      </c>
      <c r="AZ108" s="188">
        <f>SUM(AZ8:AZ107)</f>
        <v>0</v>
      </c>
      <c r="BA108" s="225">
        <f>SUM(BA8:BA107)</f>
        <v>0</v>
      </c>
      <c r="BB108" s="188">
        <f>SUM(BB8:BB107)</f>
        <v>0</v>
      </c>
      <c r="BC108" s="188">
        <f>SUM(BC8:BC107)</f>
        <v>0</v>
      </c>
      <c r="BD108" s="225">
        <f>SUM(BD8:BD107)</f>
        <v>0</v>
      </c>
      <c r="BE108" s="188">
        <f>SUM(BE8:BE107)</f>
        <v>0</v>
      </c>
      <c r="BF108" s="225">
        <f>SUM(BF8:BF107)</f>
        <v>0</v>
      </c>
      <c r="BG108" s="188">
        <f>SUM(BG8:BG107)</f>
        <v>0</v>
      </c>
      <c r="BH108" s="224" t="n"/>
      <c r="BI108" s="225">
        <f>SUM(BI8:BI107)</f>
        <v>52</v>
      </c>
      <c r="BJ108" s="188">
        <f>SUM(BJ8:BJ107)</f>
        <v>0</v>
      </c>
      <c r="BK108" s="225">
        <f>SUM(BK8:BK107)</f>
        <v>0</v>
      </c>
      <c r="BL108" s="188">
        <f>SUM(BL8:BL107)</f>
        <v>0</v>
      </c>
      <c r="BM108" s="225">
        <f>SUM(BM8:BM107)</f>
        <v>-52</v>
      </c>
      <c r="BN108" s="188">
        <f>SUM(BN8:BN107)</f>
        <v>0</v>
      </c>
      <c r="BO108" s="188">
        <f>SUM(BO8:BO107)</f>
        <v>0</v>
      </c>
      <c r="BP108" s="225">
        <f>SUM(BP8:BP107)</f>
        <v>0</v>
      </c>
      <c r="BQ108" s="188">
        <f>SUM(BQ8:BQ107)</f>
        <v>0</v>
      </c>
      <c r="BR108" s="225">
        <f>SUM(BR8:BR107)</f>
        <v>-52</v>
      </c>
      <c r="BS108" s="188">
        <f>SUM(BS8:BS107)</f>
        <v>0</v>
      </c>
      <c r="BT108" s="224" t="n"/>
      <c r="BU108" s="225">
        <f>SUM(BU8:BU107)</f>
        <v>912.5</v>
      </c>
      <c r="BV108" s="188">
        <f>SUM(BV8:BV107)</f>
        <v>37774.932</v>
      </c>
      <c r="BW108" s="225">
        <f>SUM(BW8:BW107)</f>
        <v>151.425</v>
      </c>
      <c r="BX108" s="188">
        <f>SUM(BX8:BX107)</f>
        <v>6432.565</v>
      </c>
      <c r="BY108" s="225">
        <f>SUM(BY8:BY107)</f>
        <v>-1115.925</v>
      </c>
      <c r="BZ108" s="188">
        <f>SUM(BZ8:BZ107)</f>
        <v>-44207.497</v>
      </c>
      <c r="CA108" s="188">
        <f>SUM(CA8:CA107)</f>
        <v>37774.932</v>
      </c>
      <c r="CB108" s="225">
        <f>SUM(CB8:CB107)</f>
        <v>0</v>
      </c>
      <c r="CC108" s="188">
        <f>SUM(CC8:CC107)</f>
        <v>0</v>
      </c>
      <c r="CD108" s="225">
        <f>SUM(CD8:CD107)</f>
        <v>-1115.925</v>
      </c>
      <c r="CE108" s="188">
        <f>SUM(CE8:CE107)</f>
        <v>-44207.497</v>
      </c>
      <c r="CF108" s="224" t="n"/>
      <c r="CG108" s="225">
        <f>SUM(CG8:CG107)</f>
        <v>8052</v>
      </c>
      <c r="CH108" s="188">
        <f>SUM(CH8:CH107)</f>
        <v>409899.1266</v>
      </c>
      <c r="CI108" s="225">
        <f>SUM(CI8:CI107)</f>
        <v>4.75</v>
      </c>
      <c r="CJ108" s="188">
        <f>SUM(CJ8:CJ107)</f>
        <v>185.455</v>
      </c>
      <c r="CK108" s="225">
        <f>SUM(CK8:CK107)</f>
        <v>-9172.675</v>
      </c>
      <c r="CL108" s="188">
        <f>SUM(CL8:CL107)</f>
        <v>-454292.0786</v>
      </c>
      <c r="CM108" s="188">
        <f>SUM(CM8:CM107)</f>
        <v>409899.1266</v>
      </c>
      <c r="CN108" s="225">
        <f>SUM(CN8:CN107)</f>
        <v>0</v>
      </c>
      <c r="CO108" s="188">
        <f>SUM(CO8:CO107)</f>
        <v>0</v>
      </c>
      <c r="CP108" s="225">
        <f>SUM(CP8:CP107)</f>
        <v>-9172.675</v>
      </c>
      <c r="CQ108" s="188">
        <f>SUM(CQ8:CQ107)</f>
        <v>-454292.0786</v>
      </c>
      <c r="CR108" s="224" t="n"/>
      <c r="CS108" s="225">
        <f>SUM(CS8:CS107)</f>
        <v>10703.5</v>
      </c>
      <c r="CT108" s="188">
        <f>SUM(CT8:CT107)</f>
        <v>574460.763</v>
      </c>
      <c r="CU108" s="225">
        <f>SUM(CU8:CU107)</f>
        <v>303.614285714286</v>
      </c>
      <c r="CV108" s="188">
        <f>SUM(CV8:CV107)</f>
        <v>11037.195536</v>
      </c>
      <c r="CW108" s="225">
        <f>SUM(CW8:CW107)</f>
        <v>-20179.7892857143</v>
      </c>
      <c r="CX108" s="188">
        <f>SUM(CX8:CX107)</f>
        <v>-1039790.037136</v>
      </c>
      <c r="CY108" s="188">
        <f>SUM(CY8:CY107)</f>
        <v>574460.763</v>
      </c>
      <c r="CZ108" s="225">
        <f>SUM(CZ8:CZ107)</f>
        <v>0</v>
      </c>
      <c r="DA108" s="188">
        <f>SUM(DA8:DA107)</f>
        <v>0</v>
      </c>
      <c r="DB108" s="225">
        <f>SUM(DB8:DB107)</f>
        <v>-20179.7892857143</v>
      </c>
      <c r="DC108" s="188">
        <f>SUM(DC8:DC107)</f>
        <v>-1039790.037136</v>
      </c>
      <c r="DD108" s="224" t="n"/>
      <c r="DE108" s="225">
        <f>SUM(DE8:DE107)</f>
        <v>4608</v>
      </c>
      <c r="DF108" s="188">
        <f>SUM(DF8:DF107)</f>
        <v>113673.9498</v>
      </c>
      <c r="DG108" s="225">
        <f>SUM(DG8:DG107)</f>
        <v>0</v>
      </c>
      <c r="DH108" s="188">
        <f>SUM(DH8:DH107)</f>
        <v>0</v>
      </c>
      <c r="DI108" s="225">
        <f>SUM(DI8:DI107)</f>
        <v>-24787.7892857143</v>
      </c>
      <c r="DJ108" s="188">
        <f>SUM(DJ8:DJ107)</f>
        <v>-1153463.986936</v>
      </c>
      <c r="DK108" s="188">
        <f>SUM(DK8:DK107)</f>
        <v>113673.9498</v>
      </c>
      <c r="DL108" s="225">
        <f>SUM(DL8:DL107)</f>
        <v>0</v>
      </c>
      <c r="DM108" s="188">
        <f>SUM(DM8:DM107)</f>
        <v>0</v>
      </c>
      <c r="DN108" s="225">
        <f>SUM(DN8:DN107)</f>
        <v>-24787.7892857143</v>
      </c>
      <c r="DO108" s="188">
        <f>SUM(DO8:DO107)</f>
        <v>-1153463.986936</v>
      </c>
      <c r="DP108" s="224" t="n"/>
      <c r="DQ108" s="225">
        <f>SUM(DQ8:DQ107)</f>
        <v>0</v>
      </c>
      <c r="DR108" s="188">
        <f>SUM(DR8:DR107)</f>
        <v>0</v>
      </c>
      <c r="DS108" s="225">
        <f>SUM(DS8:DS107)</f>
        <v>0</v>
      </c>
      <c r="DT108" s="188">
        <f>SUM(DT8:DT107)</f>
        <v>0</v>
      </c>
      <c r="DU108" s="225">
        <f>SUM(DU8:DU107)</f>
        <v>-24787.7892857143</v>
      </c>
      <c r="DV108" s="188">
        <f>SUM(DV8:DV107)</f>
        <v>-1153463.986936</v>
      </c>
      <c r="DW108" s="188">
        <f>SUM(DW8:DW107)</f>
        <v>0</v>
      </c>
      <c r="DX108" s="225">
        <f>SUM(DX8:DX107)</f>
        <v>0</v>
      </c>
      <c r="DY108" s="188">
        <f>SUM(DY8:DY107)</f>
        <v>0</v>
      </c>
      <c r="DZ108" s="225">
        <f>SUM(DZ8:DZ107)</f>
        <v>-24787.7892857143</v>
      </c>
      <c r="EA108" s="188">
        <f>SUM(EA8:EA107)</f>
        <v>-1153463.986936</v>
      </c>
      <c r="EB108" s="224" t="n"/>
      <c r="EC108" s="225">
        <f>SUM(EC8:EC107)</f>
        <v>0</v>
      </c>
      <c r="ED108" s="188">
        <f>SUM(ED8:ED107)</f>
        <v>0</v>
      </c>
      <c r="EE108" s="225">
        <f>SUM(EE8:EE107)</f>
        <v>0</v>
      </c>
      <c r="EF108" s="188">
        <f>SUM(EF8:EF107)</f>
        <v>0</v>
      </c>
      <c r="EG108" s="225">
        <f>SUM(EG8:EG107)</f>
        <v>-24787.7892857143</v>
      </c>
      <c r="EH108" s="188">
        <f>SUM(EH8:EH107)</f>
        <v>-1153463.986936</v>
      </c>
      <c r="EI108" s="188">
        <f>SUM(EI8:EI107)</f>
        <v>0</v>
      </c>
      <c r="EJ108" s="225">
        <f>SUM(EJ8:EJ107)</f>
        <v>0</v>
      </c>
      <c r="EK108" s="188">
        <f>SUM(EK8:EK107)</f>
        <v>0</v>
      </c>
      <c r="EL108" s="225">
        <f>SUM(EL8:EL107)</f>
        <v>-24787.7892857143</v>
      </c>
      <c r="EM108" s="188">
        <f>SUM(EM8:EM107)</f>
        <v>-1153463.986936</v>
      </c>
      <c r="EN108" s="224" t="n"/>
      <c r="EO108" s="225">
        <f>SUM(EO8:EO107)</f>
        <v>0</v>
      </c>
      <c r="EP108" s="188">
        <f>SUM(EP8:EP107)</f>
        <v>0</v>
      </c>
      <c r="EQ108" s="225">
        <f>SUM(EQ8:EQ107)</f>
        <v>0</v>
      </c>
      <c r="ER108" s="188">
        <f>SUM(ER8:ER107)</f>
        <v>0</v>
      </c>
      <c r="ES108" s="225">
        <f>SUM(ES8:ES107)</f>
        <v>-24787.7892857143</v>
      </c>
      <c r="ET108" s="188">
        <f>SUM(ET8:ET107)</f>
        <v>-1153463.986936</v>
      </c>
      <c r="EU108" s="188">
        <f>SUM(EU8:EU107)</f>
        <v>0</v>
      </c>
    </row>
  </sheetData>
  <mergeCells count="21">
    <mergeCell ref="EJ5:EU5"/>
    <mergeCell ref="E5:E6"/>
    <mergeCell ref="BD5:BO5"/>
    <mergeCell ref="F5:F6"/>
    <mergeCell ref="BP5:CA5"/>
    <mergeCell ref="A1:N1"/>
    <mergeCell ref="AF5:AQ5"/>
    <mergeCell ref="AR5:BC5"/>
    <mergeCell ref="CB5:CM5"/>
    <mergeCell ref="A5:A6"/>
    <mergeCell ref="G5:G6"/>
    <mergeCell ref="CN5:CY5"/>
    <mergeCell ref="A2:N2"/>
    <mergeCell ref="H5:S5"/>
    <mergeCell ref="CZ5:DK5"/>
    <mergeCell ref="B5:B6"/>
    <mergeCell ref="DL5:DW5"/>
    <mergeCell ref="D5:D6"/>
    <mergeCell ref="DX5:EI5"/>
    <mergeCell ref="T5:AE5"/>
    <mergeCell ref="C5:C6"/>
  </mergeCells>
  <conditionalFormatting sqref="Q8:Q107">
    <cfRule type="expression" priority="1" dxfId="7">
      <formula>Q8&lt;0</formula>
    </cfRule>
  </conditionalFormatting>
  <conditionalFormatting sqref="AC8:AC107">
    <cfRule type="expression" priority="2" dxfId="7">
      <formula>AC8&lt;0</formula>
    </cfRule>
  </conditionalFormatting>
  <conditionalFormatting sqref="AO8:AO107">
    <cfRule type="expression" priority="3" dxfId="7">
      <formula>AO8&lt;0</formula>
    </cfRule>
  </conditionalFormatting>
  <conditionalFormatting sqref="BA8:BA107">
    <cfRule type="expression" priority="4" dxfId="7">
      <formula>BA8&lt;0</formula>
    </cfRule>
  </conditionalFormatting>
  <conditionalFormatting sqref="BM8:BM107">
    <cfRule type="expression" priority="5" dxfId="7">
      <formula>BM8&lt;0</formula>
    </cfRule>
  </conditionalFormatting>
  <conditionalFormatting sqref="BY8:BY107">
    <cfRule type="expression" priority="6" dxfId="7">
      <formula>BY8&lt;0</formula>
    </cfRule>
  </conditionalFormatting>
  <conditionalFormatting sqref="CK8:CK107">
    <cfRule type="expression" priority="7" dxfId="7">
      <formula>CK8&lt;0</formula>
    </cfRule>
  </conditionalFormatting>
  <conditionalFormatting sqref="CW8:CW107">
    <cfRule type="expression" priority="8" dxfId="7">
      <formula>CW8&lt;0</formula>
    </cfRule>
  </conditionalFormatting>
  <conditionalFormatting sqref="DI8:DI107">
    <cfRule type="expression" priority="9" dxfId="7">
      <formula>DI8&lt;0</formula>
    </cfRule>
  </conditionalFormatting>
  <conditionalFormatting sqref="DU8:DU107">
    <cfRule type="expression" priority="10" dxfId="7">
      <formula>DU8&lt;0</formula>
    </cfRule>
  </conditionalFormatting>
  <conditionalFormatting sqref="EG8:EG107">
    <cfRule type="expression" priority="11" dxfId="7">
      <formula>EG8&lt;0</formula>
    </cfRule>
  </conditionalFormatting>
  <conditionalFormatting sqref="ES8:ES107">
    <cfRule type="expression" priority="12" dxfId="7">
      <formula>ES8&lt;0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33C0C"/>
    <outlinePr summaryBelow="1" summaryRight="1"/>
    <pageSetUpPr/>
  </sheetPr>
  <dimension ref="A1:F41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ColWidth="14" defaultRowHeight="12"/>
  <cols>
    <col width="34" customWidth="1" style="71" min="1" max="1"/>
    <col width="49" customWidth="1" style="71" min="2" max="2"/>
    <col width="51" customWidth="1" style="71" min="3" max="3"/>
    <col width="42" customWidth="1" style="71" min="5" max="5"/>
    <col hidden="1" width="13" customWidth="1" style="71" min="6" max="6"/>
  </cols>
  <sheetData>
    <row r="1" ht="38" customHeight="1" s="71">
      <c r="A1" s="237" t="inlineStr">
        <is>
          <t>产品过期报损汇总一览</t>
        </is>
      </c>
    </row>
    <row r="2" ht="29" customHeight="1" s="71">
      <c r="A2" s="238" t="inlineStr">
        <is>
          <t>统计月份</t>
        </is>
      </c>
      <c r="B2" s="238" t="inlineStr">
        <is>
          <t>总报损金额</t>
        </is>
      </c>
      <c r="C2" s="238" t="inlineStr">
        <is>
          <t>总报损数量</t>
        </is>
      </c>
      <c r="D2" s="238" t="inlineStr">
        <is>
          <t>报损品项数</t>
        </is>
      </c>
      <c r="E2" s="238" t="inlineStr">
        <is>
          <t>涉及公司数</t>
        </is>
      </c>
    </row>
    <row r="3" ht="24" customHeight="1" s="71">
      <c r="A3" s="239" t="inlineStr">
        <is>
          <t>全年</t>
        </is>
      </c>
      <c r="B3" s="240">
        <f>_辅助!BY162</f>
        <v>17655.215536</v>
      </c>
      <c r="C3" s="241">
        <f>_辅助!BY163</f>
        <v>8877</v>
      </c>
      <c r="D3" s="242">
        <f>COUNTIF(_辅助!BY6:BY105,"&gt;0")</f>
        <v>28</v>
      </c>
      <c r="E3" s="242">
        <f>COUNTIF(_辅助!BY110:BY159,"&gt;0")</f>
        <v>4</v>
      </c>
    </row>
    <row r="4" ht="15" customHeight="1" s="71"/>
    <row r="5" ht="29" customHeight="1" s="71">
      <c r="A5" s="243" t="inlineStr">
        <is>
          <t>分公司报损汇总（按所选月份）</t>
        </is>
      </c>
    </row>
    <row r="6" ht="24" customHeight="1" s="71">
      <c r="A6" s="238" t="inlineStr">
        <is>
          <t>序号</t>
        </is>
      </c>
      <c r="B6" s="238" t="inlineStr">
        <is>
          <t>公司名称</t>
        </is>
      </c>
      <c r="C6" s="238" t="inlineStr">
        <is>
          <t>报损总金额(元)</t>
        </is>
      </c>
      <c r="D6" s="238" t="inlineStr">
        <is>
          <t>金额占比</t>
        </is>
      </c>
    </row>
    <row r="7" ht="15" customHeight="1" s="71">
      <c r="A7" s="244" t="n">
        <v>1</v>
      </c>
      <c r="B7" s="245" t="str">
        <f>IF(基础资料!Q5="","",基础资料!Q5)</f>
        <v>东鹏公司</v>
      </c>
      <c r="C7" s="246">
        <f>IF(B7="","",_辅助!BY110)</f>
        <v>6839.1592</v>
      </c>
      <c r="D7" s="247">
        <f>IF(OR(B7="",N($C$13)=0),"",C7/$C$13)</f>
        <v>0.387373305415307</v>
      </c>
    </row>
    <row r="8" ht="15" customHeight="1" s="71">
      <c r="A8" s="248" t="n">
        <v>2</v>
      </c>
      <c r="B8" s="249" t="str">
        <f>IF(基础资料!Q6="","",基础资料!Q6)</f>
        <v>农夫山泉公司</v>
      </c>
      <c r="C8" s="250">
        <f>IF(B8="","",_辅助!BY111)</f>
        <v>8766.693336</v>
      </c>
      <c r="D8" s="251">
        <f>IF(OR(B8="",N($C$13)=0),"",C8/$C$13)</f>
        <v>0.496549776927062</v>
      </c>
    </row>
    <row r="9" ht="15" customHeight="1" s="71">
      <c r="A9" s="244" t="n">
        <v>3</v>
      </c>
      <c r="B9" s="245" t="str">
        <f>IF(基础资料!Q7="","",基础资料!Q7)</f>
        <v>青岛公司</v>
      </c>
      <c r="C9" s="246">
        <f>IF(B9="","",_辅助!BY112)</f>
        <v>1016.54</v>
      </c>
      <c r="D9" s="247">
        <f>IF(OR(B9="",N($C$13)=0),"",C9/$C$13)</f>
        <v>0.0575773203066944</v>
      </c>
    </row>
    <row r="10" ht="15" customHeight="1" s="71">
      <c r="A10" s="244" t="n">
        <v>4</v>
      </c>
      <c r="B10" s="245" t="str">
        <f>IF(基础资料!Q8="","",基础资料!Q8)</f>
        <v>其他公司</v>
      </c>
      <c r="C10" s="246">
        <f>IF(B10="","",_辅助!BY113)</f>
        <v>1032.823</v>
      </c>
      <c r="D10" s="247">
        <f>IF(OR(B10="",N($C$13)=0),"",C10/$C$13)</f>
        <v>0.0584995973509366</v>
      </c>
    </row>
    <row r="11" ht="15" customHeight="1" s="71">
      <c r="A11" s="244" t="n">
        <v>5</v>
      </c>
      <c r="B11" s="245">
        <f>IF(基础资料!Q9="","",基础资料!Q9)</f>
      </c>
      <c r="C11" s="246">
        <f>IF(B11="","",_辅助!BY114)</f>
      </c>
      <c r="D11" s="247">
        <f>IF(OR(B11="",N($C$13)=0),"",C11/$C$13)</f>
      </c>
    </row>
    <row r="12" ht="15" customHeight="1" s="71">
      <c r="A12" s="244" t="n">
        <v>6</v>
      </c>
      <c r="B12" s="249">
        <f>IF(基础资料!Q10="","",基础资料!Q10)</f>
      </c>
      <c r="C12" s="250">
        <f>IF(B12="","",_辅助!BY115)</f>
      </c>
      <c r="D12" s="251">
        <f>IF(OR(B12="",N($C$13)=0),"",C12/$C$13)</f>
      </c>
    </row>
    <row r="13" ht="24" customHeight="1" s="71">
      <c r="A13" s="252" t="inlineStr">
        <is>
          <t>合计</t>
        </is>
      </c>
      <c r="B13" s="253" t="n"/>
      <c r="C13" s="254">
        <f>SUM(C7:C12)</f>
        <v>17655.215536</v>
      </c>
      <c r="D13" s="255">
        <f>IF(N(C13)=0,"",SUM(D7:D12))</f>
        <v>1</v>
      </c>
    </row>
    <row r="14" ht="15" customHeight="1" s="71"/>
    <row r="15" ht="29" customHeight="1" s="71">
      <c r="A15" s="243" t="inlineStr">
        <is>
          <t>分品项报损汇总（按金额降序 · 所选月份）</t>
        </is>
      </c>
    </row>
    <row r="16" ht="24" customHeight="1" s="71">
      <c r="A16" s="238" t="inlineStr">
        <is>
          <t>排名</t>
        </is>
      </c>
      <c r="B16" s="238" t="inlineStr">
        <is>
          <t>产品名称</t>
        </is>
      </c>
      <c r="C16" s="238" t="inlineStr">
        <is>
          <t>所属公司</t>
        </is>
      </c>
      <c r="D16" s="238" t="inlineStr">
        <is>
          <t>报损总金额(元)</t>
        </is>
      </c>
      <c r="E16" s="238" t="inlineStr">
        <is>
          <t>金额占比</t>
        </is>
      </c>
    </row>
    <row r="17" ht="15" customHeight="1" s="71">
      <c r="A17" s="244" t="n">
        <v>1</v>
      </c>
      <c r="B17" s="245" t="str">
        <f>IF($F17="","",INDEX(_辅助!$AA$6:$AA$105,$F17))</f>
        <v>农夫500ML饮料</v>
      </c>
      <c r="C17" s="245" t="str">
        <f>IF($F17="","",INDEX(基础资料!$F$5:$F$104,$F17)&amp;"")</f>
        <v>农夫山泉公司</v>
      </c>
      <c r="D17" s="246">
        <f>IF($F17="","",INDEX(_辅助!$BY$6:$BY$105,$F17))</f>
        <v>7032.631</v>
      </c>
      <c r="E17" s="247">
        <f>IF(OR($F17="",N($D$41)=0),"",D17/$D$41)</f>
        <v>0.398331642321786</v>
      </c>
      <c r="F17">
        <f>IFERROR(MATCH(LARGE(_辅助!$BZ$6:$BZ$105,1),_辅助!$BZ$6:$BZ$105,0),"")</f>
        <v>21</v>
      </c>
    </row>
    <row r="18" ht="15" customHeight="1" s="71">
      <c r="A18" s="248" t="n">
        <v>2</v>
      </c>
      <c r="B18" s="249" t="str">
        <f>IF($F18="","",INDEX(_辅助!$AA$6:$AA$105,$F18))</f>
        <v>东鹏菊花茶</v>
      </c>
      <c r="C18" s="249" t="str">
        <f>IF($F18="","",INDEX(基础资料!$F$5:$F$104,$F18)&amp;"")</f>
        <v>东鹏公司</v>
      </c>
      <c r="D18" s="250">
        <f>IF($F18="","",INDEX(_辅助!$BY$6:$BY$105,$F18))</f>
        <v>5201.496</v>
      </c>
      <c r="E18" s="251">
        <f>IF(OR($F18="",N($D$41)=0),"",D18/$D$41)</f>
        <v>0.294615264786422</v>
      </c>
      <c r="F18">
        <f>IFERROR(MATCH(LARGE(_辅助!$BZ$6:$BZ$105,2),_辅助!$BZ$6:$BZ$105,0),"")</f>
        <v>16</v>
      </c>
    </row>
    <row r="19" ht="15" customHeight="1" s="71">
      <c r="A19" s="244" t="n">
        <v>3</v>
      </c>
      <c r="B19" s="245" t="str">
        <f>IF($F19="","",INDEX(_辅助!$AA$6:$AA$105,$F19))</f>
        <v>东鹏250ML特饮</v>
      </c>
      <c r="C19" s="245" t="str">
        <f>IF($F19="","",INDEX(基础资料!$F$5:$F$104,$F19)&amp;"")</f>
        <v>东鹏公司</v>
      </c>
      <c r="D19" s="246">
        <f>IF($F19="","",INDEX(_辅助!$BY$6:$BY$105,$F19))</f>
        <v>1057.02</v>
      </c>
      <c r="E19" s="247">
        <f>IF(OR($F19="",N($D$41)=0),"",D19/$D$41)</f>
        <v>0.0598701272065852</v>
      </c>
      <c r="F19">
        <f>IFERROR(MATCH(LARGE(_辅助!$BZ$6:$BZ$105,3),_辅助!$BZ$6:$BZ$105,0),"")</f>
        <v>2</v>
      </c>
    </row>
    <row r="20" ht="15" customHeight="1" s="71">
      <c r="A20" s="248" t="n">
        <v>4</v>
      </c>
      <c r="B20" s="249" t="str">
        <f>IF($F20="","",INDEX(_辅助!$AA$6:$AA$105,$F20))</f>
        <v>农夫900ML饮料</v>
      </c>
      <c r="C20" s="249" t="str">
        <f>IF($F20="","",INDEX(基础资料!$F$5:$F$104,$F20)&amp;"")</f>
        <v>农夫山泉公司</v>
      </c>
      <c r="D20" s="250">
        <f>IF($F20="","",INDEX(_辅助!$BY$6:$BY$105,$F20))</f>
        <v>1021.65</v>
      </c>
      <c r="E20" s="251">
        <f>IF(OR($F20="",N($D$41)=0),"",D20/$D$41)</f>
        <v>0.0578667531935136</v>
      </c>
      <c r="F20">
        <f>IFERROR(MATCH(LARGE(_辅助!$BZ$6:$BZ$105,4),_辅助!$BZ$6:$BZ$105,0),"")</f>
        <v>22</v>
      </c>
    </row>
    <row r="21" ht="15" customHeight="1" s="71">
      <c r="A21" s="244" t="n">
        <v>5</v>
      </c>
      <c r="B21" s="245" t="str">
        <f>IF($F21="","",INDEX(_辅助!$AA$6:$AA$105,$F21))</f>
        <v>青岛清爽8</v>
      </c>
      <c r="C21" s="245" t="str">
        <f>IF($F21="","",INDEX(基础资料!$F$5:$F$104,$F21)&amp;"")</f>
        <v>青岛公司</v>
      </c>
      <c r="D21" s="246">
        <f>IF($F21="","",INDEX(_辅助!$BY$6:$BY$105,$F21))</f>
        <v>552.72</v>
      </c>
      <c r="E21" s="247">
        <f>IF(OR($F21="",N($D$41)=0),"",D21/$D$41)</f>
        <v>0.0313063297852678</v>
      </c>
      <c r="F21">
        <f>IFERROR(MATCH(LARGE(_辅助!$BZ$6:$BZ$105,5),_辅助!$BZ$6:$BZ$105,0),"")</f>
        <v>33</v>
      </c>
    </row>
    <row r="22" ht="15" customHeight="1" s="71">
      <c r="A22" s="248" t="n">
        <v>6</v>
      </c>
      <c r="B22" s="249" t="str">
        <f>IF($F22="","",INDEX(_辅助!$AA$6:$AA$105,$F22))</f>
        <v>艾精隆110克瓜子</v>
      </c>
      <c r="C22" s="249" t="str">
        <f>IF($F22="","",INDEX(基础资料!$F$5:$F$104,$F22)&amp;"")</f>
        <v>其他公司</v>
      </c>
      <c r="D22" s="250">
        <f>IF($F22="","",INDEX(_辅助!$BY$6:$BY$105,$F22))</f>
        <v>396.8</v>
      </c>
      <c r="E22" s="251">
        <f>IF(OR($F22="",N($D$41)=0),"",D22/$D$41)</f>
        <v>0.0224749451056489</v>
      </c>
      <c r="F22">
        <f>IFERROR(MATCH(LARGE(_辅助!$BZ$6:$BZ$105,6),_辅助!$BZ$6:$BZ$105,0),"")</f>
        <v>43</v>
      </c>
    </row>
    <row r="23" ht="15" customHeight="1" s="71">
      <c r="A23" s="244" t="n">
        <v>7</v>
      </c>
      <c r="B23" s="245" t="str">
        <f>IF($F23="","",INDEX(_辅助!$AA$6:$AA$105,$F23))</f>
        <v>东鹏500ML特饮</v>
      </c>
      <c r="C23" s="245" t="str">
        <f>IF($F23="","",INDEX(基础资料!$F$5:$F$104,$F23)&amp;"")</f>
        <v>东鹏公司</v>
      </c>
      <c r="D23" s="246">
        <f>IF($F23="","",INDEX(_辅助!$BY$6:$BY$105,$F23))</f>
        <v>348.84</v>
      </c>
      <c r="E23" s="247">
        <f>IF(OR($F23="",N($D$41)=0),"",D23/$D$41)</f>
        <v>0.0197584673655609</v>
      </c>
      <c r="F23">
        <f>IFERROR(MATCH(LARGE(_辅助!$BZ$6:$BZ$105,7),_辅助!$BZ$6:$BZ$105,0),"")</f>
        <v>1</v>
      </c>
    </row>
    <row r="24" ht="15" customHeight="1" s="71">
      <c r="A24" s="248" t="n">
        <v>8</v>
      </c>
      <c r="B24" s="249" t="str">
        <f>IF($F24="","",INDEX(_辅助!$AA$6:$AA$105,$F24))</f>
        <v>农夫1.5L东方树叶</v>
      </c>
      <c r="C24" s="249" t="str">
        <f>IF($F24="","",INDEX(基础资料!$F$5:$F$104,$F24)&amp;"")</f>
        <v>农夫山泉公司</v>
      </c>
      <c r="D24" s="250">
        <f>IF($F24="","",INDEX(_辅助!$BY$6:$BY$105,$F24))</f>
        <v>196</v>
      </c>
      <c r="E24" s="251">
        <f>IF(OR($F24="",N($D$41)=0),"",D24/$D$41)</f>
        <v>0.0111015353848467</v>
      </c>
      <c r="F24">
        <f>IFERROR(MATCH(LARGE(_辅助!$BZ$6:$BZ$105,8),_辅助!$BZ$6:$BZ$105,0),"")</f>
        <v>32</v>
      </c>
    </row>
    <row r="25" ht="15" customHeight="1" s="71">
      <c r="A25" s="244" t="n">
        <v>9</v>
      </c>
      <c r="B25" s="245" t="str">
        <f>IF($F25="","",INDEX(_辅助!$AA$6:$AA$105,$F25))</f>
        <v>农夫550ML纯净水</v>
      </c>
      <c r="C25" s="245" t="str">
        <f>IF($F25="","",INDEX(基础资料!$F$5:$F$104,$F25)&amp;"")</f>
        <v>农夫山泉公司</v>
      </c>
      <c r="D25" s="246">
        <f>IF($F25="","",INDEX(_辅助!$BY$6:$BY$105,$F25))</f>
        <v>169.375</v>
      </c>
      <c r="E25" s="247">
        <f>IF(OR($F25="",N($D$41)=0),"",D25/$D$41)</f>
        <v>0.00959348242759397</v>
      </c>
      <c r="F25">
        <f>IFERROR(MATCH(LARGE(_辅助!$BZ$6:$BZ$105,9),_辅助!$BZ$6:$BZ$105,0),"")</f>
        <v>24</v>
      </c>
    </row>
    <row r="26" ht="15" customHeight="1" s="71">
      <c r="A26" s="248" t="n">
        <v>10</v>
      </c>
      <c r="B26" s="249" t="str">
        <f>IF($F26="","",INDEX(_辅助!$AA$6:$AA$105,$F26))</f>
        <v>青岛经典</v>
      </c>
      <c r="C26" s="249" t="str">
        <f>IF($F26="","",INDEX(基础资料!$F$5:$F$104,$F26)&amp;"")</f>
        <v>青岛公司</v>
      </c>
      <c r="D26" s="250">
        <f>IF($F26="","",INDEX(_辅助!$BY$6:$BY$105,$F26))</f>
        <v>166.8</v>
      </c>
      <c r="E26" s="251">
        <f>IF(OR($F26="",N($D$41)=0),"",D26/$D$41)</f>
        <v>0.00944763317445121</v>
      </c>
      <c r="F26">
        <f>IFERROR(MATCH(LARGE(_辅助!$BZ$6:$BZ$105,10),_辅助!$BZ$6:$BZ$105,0),"")</f>
        <v>35</v>
      </c>
    </row>
    <row r="27" ht="15" customHeight="1" s="71">
      <c r="A27" s="244" t="n">
        <v>11</v>
      </c>
      <c r="B27" s="245" t="str">
        <f>IF($F27="","",INDEX(_辅助!$AA$6:$AA$105,$F27))</f>
        <v>青岛清爽8奖盖过期</v>
      </c>
      <c r="C27" s="245" t="str">
        <f>IF($F27="","",INDEX(基础资料!$F$5:$F$104,$F27)&amp;"")</f>
        <v>青岛公司</v>
      </c>
      <c r="D27" s="246">
        <f>IF($F27="","",INDEX(_辅助!$BY$6:$BY$105,$F27))</f>
        <v>164.64</v>
      </c>
      <c r="E27" s="247">
        <f>IF(OR($F27="",N($D$41)=0),"",D27/$D$41)</f>
        <v>0.00932528972327126</v>
      </c>
      <c r="F27">
        <f>IFERROR(MATCH(LARGE(_辅助!$BZ$6:$BZ$105,11),_辅助!$BZ$6:$BZ$105,0),"")</f>
        <v>34</v>
      </c>
    </row>
    <row r="28" ht="15" customHeight="1" s="71">
      <c r="A28" s="248" t="n">
        <v>12</v>
      </c>
      <c r="B28" s="249" t="str">
        <f>IF($F28="","",INDEX(_辅助!$AA$6:$AA$105,$F28))</f>
        <v>农夫苏打水</v>
      </c>
      <c r="C28" s="249" t="str">
        <f>IF($F28="","",INDEX(基础资料!$F$5:$F$104,$F28)&amp;"")</f>
        <v>农夫山泉公司</v>
      </c>
      <c r="D28" s="250">
        <f>IF($F28="","",INDEX(_辅助!$BY$6:$BY$105,$F28))</f>
        <v>163.44</v>
      </c>
      <c r="E28" s="251">
        <f>IF(OR($F28="",N($D$41)=0),"",D28/$D$41)</f>
        <v>0.00925732113928241</v>
      </c>
      <c r="F28">
        <f>IFERROR(MATCH(LARGE(_辅助!$BZ$6:$BZ$105,12),_辅助!$BZ$6:$BZ$105,0),"")</f>
        <v>27</v>
      </c>
    </row>
    <row r="29" ht="15" customHeight="1" s="71">
      <c r="A29" s="244" t="n">
        <v>13</v>
      </c>
      <c r="B29" s="245" t="str">
        <f>IF($F29="","",INDEX(_辅助!$AA$6:$AA$105,$F29))</f>
        <v>艾精隆60克原味瓜子</v>
      </c>
      <c r="C29" s="245" t="str">
        <f>IF($F29="","",INDEX(基础资料!$F$5:$F$104,$F29)&amp;"")</f>
        <v>其他公司</v>
      </c>
      <c r="D29" s="246">
        <f>IF($F29="","",INDEX(_辅助!$BY$6:$BY$105,$F29))</f>
        <v>163.423</v>
      </c>
      <c r="E29" s="247">
        <f>IF(OR($F29="",N($D$41)=0),"",D29/$D$41)</f>
        <v>0.00925635825100923</v>
      </c>
      <c r="F29">
        <f>IFERROR(MATCH(LARGE(_辅助!$BZ$6:$BZ$105,13),_辅助!$BZ$6:$BZ$105,0),"")</f>
        <v>40</v>
      </c>
    </row>
    <row r="30" ht="15" customHeight="1" s="71">
      <c r="A30" s="248" t="n">
        <v>14</v>
      </c>
      <c r="B30" s="249" t="str">
        <f>IF($F30="","",INDEX(_辅助!$AA$6:$AA$105,$F30))</f>
        <v>艾精隆208克花生</v>
      </c>
      <c r="C30" s="249" t="str">
        <f>IF($F30="","",INDEX(基础资料!$F$5:$F$104,$F30)&amp;"")</f>
        <v>其他公司</v>
      </c>
      <c r="D30" s="250">
        <f>IF($F30="","",INDEX(_辅助!$BY$6:$BY$105,$F30))</f>
        <v>147.2</v>
      </c>
      <c r="E30" s="251">
        <f>IF(OR($F30="",N($D$41)=0),"",D30/$D$41)</f>
        <v>0.00833747963596654</v>
      </c>
      <c r="F30">
        <f>IFERROR(MATCH(LARGE(_辅助!$BZ$6:$BZ$105,14),_辅助!$BZ$6:$BZ$105,0),"")</f>
        <v>41</v>
      </c>
    </row>
    <row r="31" ht="15" customHeight="1" s="71">
      <c r="A31" s="244" t="n">
        <v>15</v>
      </c>
      <c r="B31" s="245" t="str">
        <f>IF($F31="","",INDEX(_辅助!$AA$6:$AA$105,$F31))</f>
        <v>艾精隆155克瓜子</v>
      </c>
      <c r="C31" s="245" t="str">
        <f>IF($F31="","",INDEX(基础资料!$F$5:$F$104,$F31)&amp;"")</f>
        <v>其他公司</v>
      </c>
      <c r="D31" s="246">
        <f>IF($F31="","",INDEX(_辅助!$BY$6:$BY$105,$F31))</f>
        <v>140.8</v>
      </c>
      <c r="E31" s="247">
        <f>IF(OR($F31="",N($D$41)=0),"",D31/$D$41)</f>
        <v>0.00797498052135929</v>
      </c>
      <c r="F31">
        <f>IFERROR(MATCH(LARGE(_辅助!$BZ$6:$BZ$105,15),_辅助!$BZ$6:$BZ$105,0),"")</f>
        <v>38</v>
      </c>
    </row>
    <row r="32" ht="15" customHeight="1" s="71">
      <c r="A32" s="248" t="n">
        <v>16</v>
      </c>
      <c r="B32" s="249" t="str">
        <f>IF($F32="","",INDEX(_辅助!$AA$6:$AA$105,$F32))</f>
        <v>艾精隆多味葵</v>
      </c>
      <c r="C32" s="249" t="str">
        <f>IF($F32="","",INDEX(基础资料!$F$5:$F$104,$F32)&amp;"")</f>
        <v>其他公司</v>
      </c>
      <c r="D32" s="250">
        <f>IF($F32="","",INDEX(_辅助!$BY$6:$BY$105,$F32))</f>
        <v>95</v>
      </c>
      <c r="E32" s="251">
        <f>IF(OR($F32="",N($D$41)=0),"",D32/$D$41)</f>
        <v>0.00538084623245123</v>
      </c>
      <c r="F32">
        <f>IFERROR(MATCH(LARGE(_辅助!$BZ$6:$BZ$105,16),_辅助!$BZ$6:$BZ$105,0),"")</f>
        <v>44</v>
      </c>
    </row>
    <row r="33" ht="15" customHeight="1" s="71">
      <c r="A33" s="244" t="n">
        <v>17</v>
      </c>
      <c r="B33" s="245" t="str">
        <f>IF($F33="","",INDEX(_辅助!$AA$6:$AA$105,$F33))</f>
        <v>东鹏555补水</v>
      </c>
      <c r="C33" s="245" t="str">
        <f>IF($F33="","",INDEX(基础资料!$F$5:$F$104,$F33)&amp;"")</f>
        <v>东鹏公司</v>
      </c>
      <c r="D33" s="246">
        <f>IF($F33="","",INDEX(_辅助!$BY$6:$BY$105,$F33))</f>
        <v>75.372</v>
      </c>
      <c r="E33" s="247">
        <f>IF(OR($F33="",N($D$41)=0),"",D33/$D$41)</f>
        <v>0.00426910676034015</v>
      </c>
      <c r="F33">
        <f>IFERROR(MATCH(LARGE(_辅助!$BZ$6:$BZ$105,17),_辅助!$BZ$6:$BZ$105,0),"")</f>
        <v>3</v>
      </c>
    </row>
    <row r="34" ht="15" customHeight="1" s="71">
      <c r="A34" s="248" t="n">
        <v>18</v>
      </c>
      <c r="B34" s="249" t="str">
        <f>IF($F34="","",INDEX(_辅助!$AA$6:$AA$105,$F34))</f>
        <v>东鹏小海岛椰</v>
      </c>
      <c r="C34" s="249" t="str">
        <f>IF($F34="","",INDEX(基础资料!$F$5:$F$104,$F34)&amp;"")</f>
        <v>东鹏公司</v>
      </c>
      <c r="D34" s="250">
        <f>IF($F34="","",INDEX(_辅助!$BY$6:$BY$105,$F34))</f>
        <v>73.8</v>
      </c>
      <c r="E34" s="251">
        <f>IF(OR($F34="",N($D$41)=0),"",D34/$D$41)</f>
        <v>0.00418006791531474</v>
      </c>
      <c r="F34">
        <f>IFERROR(MATCH(LARGE(_辅助!$BZ$6:$BZ$105,18),_辅助!$BZ$6:$BZ$105,0),"")</f>
        <v>11</v>
      </c>
    </row>
    <row r="35" ht="15" customHeight="1" s="71">
      <c r="A35" s="244" t="n">
        <v>19</v>
      </c>
      <c r="B35" s="245" t="str">
        <f>IF($F35="","",INDEX(_辅助!$AA$6:$AA$105,$F35))</f>
        <v>青岛白啤</v>
      </c>
      <c r="C35" s="245" t="str">
        <f>IF($F35="","",INDEX(基础资料!$F$5:$F$104,$F35)&amp;"")</f>
        <v>青岛公司</v>
      </c>
      <c r="D35" s="246">
        <f>IF($F35="","",INDEX(_辅助!$BY$6:$BY$105,$F35))</f>
        <v>72.38</v>
      </c>
      <c r="E35" s="247">
        <f>IF(OR($F35="",N($D$41)=0),"",D35/$D$41)</f>
        <v>0.00409963842426126</v>
      </c>
      <c r="F35">
        <f>IFERROR(MATCH(LARGE(_辅助!$BZ$6:$BZ$105,19),_辅助!$BZ$6:$BZ$105,0),"")</f>
        <v>37</v>
      </c>
    </row>
    <row r="36" ht="15" customHeight="1" s="71">
      <c r="A36" s="248" t="n">
        <v>20</v>
      </c>
      <c r="B36" s="249" t="str">
        <f>IF($F36="","",INDEX(_辅助!$AA$6:$AA$105,$F36))</f>
        <v>农夫2L水</v>
      </c>
      <c r="C36" s="249" t="str">
        <f>IF($F36="","",INDEX(基础资料!$F$5:$F$104,$F36)&amp;"")</f>
        <v>农夫山泉公司</v>
      </c>
      <c r="D36" s="250">
        <f>IF($F36="","",INDEX(_辅助!$BY$6:$BY$105,$F36))</f>
        <v>69.75</v>
      </c>
      <c r="E36" s="251">
        <f>IF(OR($F36="",N($D$41)=0),"",D36/$D$41)</f>
        <v>0.00395067394435235</v>
      </c>
      <c r="F36">
        <f>IFERROR(MATCH(LARGE(_辅助!$BZ$6:$BZ$105,20),_辅助!$BZ$6:$BZ$105,0),"")</f>
        <v>28</v>
      </c>
    </row>
    <row r="37" ht="15" customHeight="1" s="71">
      <c r="A37" s="248" t="n"/>
      <c r="B37" s="249" t="inlineStr">
        <is>
          <t>其余品项 / 没对上商品档案的</t>
        </is>
      </c>
      <c r="C37" s="256" t="n"/>
      <c r="D37" s="250">
        <f>D41-SUM(D17:D36)</f>
        <v>346.078536000005</v>
      </c>
      <c r="E37" s="257" t="n"/>
    </row>
    <row r="38" ht="15" customHeight="1" s="71">
      <c r="A38" s="248" t="n"/>
      <c r="B38" s="258" t="n"/>
      <c r="C38" s="256" t="n"/>
      <c r="D38" s="250" t="n"/>
      <c r="E38" s="257" t="n"/>
    </row>
    <row r="39" ht="15" customHeight="1" s="71">
      <c r="A39" s="248" t="n"/>
      <c r="B39" s="258" t="n"/>
      <c r="C39" s="256" t="n"/>
      <c r="D39" s="250" t="n"/>
      <c r="E39" s="257" t="n"/>
    </row>
    <row r="40" ht="15" customHeight="1" s="71">
      <c r="A40" s="248" t="n"/>
      <c r="B40" s="258" t="n"/>
      <c r="C40" s="256" t="n"/>
      <c r="D40" s="250" t="n"/>
      <c r="E40" s="257" t="n"/>
    </row>
    <row r="41" ht="24" customHeight="1" s="71">
      <c r="A41" s="252" t="inlineStr">
        <is>
          <t>合计</t>
        </is>
      </c>
      <c r="B41" s="259" t="n"/>
      <c r="C41" s="253" t="n"/>
      <c r="D41" s="254">
        <f>B3</f>
        <v>17655.215536</v>
      </c>
      <c r="E41" s="260">
        <f>IF(N(D41)=0,"",1)</f>
        <v>1</v>
      </c>
    </row>
  </sheetData>
  <mergeCells count="5">
    <mergeCell ref="A1:D1"/>
    <mergeCell ref="A5:D5"/>
    <mergeCell ref="A41:C41"/>
    <mergeCell ref="A15:E15"/>
    <mergeCell ref="A13:B13"/>
  </mergeCells>
  <dataValidations count="1">
    <dataValidation sqref="A3" showDropDown="0" showInputMessage="1" showErrorMessage="1" allowBlank="1" errorTitle="不在清单里" error="请从下拉里选；清单里没有的，先到【基础资料】/【总览汇总】里登记" promptTitle="提示" prompt="选「全年」或某个月" type="list" errorStyle="stop">
      <formula1>"全年,1,2,3,4,5,6,7,8,9,10,11,12"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33C0C"/>
    <outlinePr summaryBelow="1" summaryRight="1"/>
    <pageSetUpPr/>
  </sheetPr>
  <dimension ref="A1:J1000"/>
  <sheetViews>
    <sheetView tabSelected="0" workbookViewId="0">
      <pane ySplit="5" topLeftCell="A6" activePane="bottomLeft" state="frozen"/>
      <selection pane="bottomLeft" activeCell="A1" sqref="A1"/>
    </sheetView>
  </sheetViews>
  <sheetFormatPr baseColWidth="8" defaultColWidth="14" defaultRowHeight="12"/>
  <cols>
    <col width="25" customWidth="1" style="71" min="1" max="1"/>
    <col width="13" customWidth="1" style="71" min="2" max="2"/>
    <col width="21.1428571428571" customWidth="1" style="71" min="3" max="3"/>
    <col width="10.8571428571429" customWidth="1" style="71" min="4" max="4"/>
    <col width="12" customWidth="1" style="71" min="5" max="5"/>
    <col width="9" customWidth="1" style="71" min="6" max="6"/>
    <col width="17" customWidth="1" style="71" min="7" max="7"/>
    <col width="51" customWidth="1" style="71" min="8" max="8"/>
    <col width="12" customWidth="1" style="71" min="9" max="9"/>
    <col width="9" customWidth="1" style="71" min="10" max="10"/>
  </cols>
  <sheetData>
    <row r="1" ht="38" customHeight="1" s="71">
      <c r="A1" s="237" t="inlineStr">
        <is>
          <t>产品过期报损明细台账</t>
        </is>
      </c>
    </row>
    <row r="2" ht="24" customHeight="1" s="71">
      <c r="A2" s="238" t="inlineStr">
        <is>
          <t>统计周期</t>
        </is>
      </c>
      <c r="B2" s="261" t="n">
        <v>46174</v>
      </c>
      <c r="C2" s="238" t="inlineStr">
        <is>
          <t>统计人</t>
        </is>
      </c>
      <c r="D2" s="249" t="n"/>
      <c r="E2" s="238" t="inlineStr">
        <is>
          <t>统计日期</t>
        </is>
      </c>
      <c r="F2" s="249" t="n"/>
      <c r="G2" s="238" t="inlineStr">
        <is>
          <t>数据行范围</t>
        </is>
      </c>
      <c r="H2" s="249" t="inlineStr">
        <is>
          <t>A6:J1000</t>
        </is>
      </c>
      <c r="I2" s="176">
        <f>H35</f>
        <v>6432.565</v>
      </c>
    </row>
    <row r="3" ht="15" customHeight="1" s="71"/>
    <row r="4" ht="15" customHeight="1" s="71"/>
    <row r="5" ht="29" customHeight="1" s="71">
      <c r="A5" s="238" t="inlineStr">
        <is>
          <t>序号</t>
        </is>
      </c>
      <c r="B5" s="238" t="inlineStr">
        <is>
          <t>所属公司</t>
        </is>
      </c>
      <c r="C5" s="238" t="inlineStr">
        <is>
          <t>产品名称</t>
        </is>
      </c>
      <c r="D5" s="238" t="inlineStr">
        <is>
          <t>规格型号</t>
        </is>
      </c>
      <c r="E5" s="238" t="inlineStr">
        <is>
          <t>报损数量</t>
        </is>
      </c>
      <c r="F5" s="238" t="inlineStr">
        <is>
          <t>单位</t>
        </is>
      </c>
      <c r="G5" s="238" t="inlineStr">
        <is>
          <t>产品单价(元)</t>
        </is>
      </c>
      <c r="H5" s="238" t="inlineStr">
        <is>
          <t>报损金额(元)</t>
        </is>
      </c>
      <c r="I5" s="238" t="inlineStr">
        <is>
          <t>报损原因</t>
        </is>
      </c>
      <c r="J5" s="238" t="inlineStr">
        <is>
          <t>备注</t>
        </is>
      </c>
    </row>
    <row r="6" ht="15" customHeight="1" s="71">
      <c r="A6" s="244" t="n">
        <v>1</v>
      </c>
      <c r="B6" s="245" t="inlineStr">
        <is>
          <t>青岛公司</t>
        </is>
      </c>
      <c r="C6" s="262" t="inlineStr">
        <is>
          <t>青岛清爽8</t>
        </is>
      </c>
      <c r="D6" s="245" t="inlineStr">
        <is>
          <t>1*12</t>
        </is>
      </c>
      <c r="E6" s="262">
        <f>2+20+41+40+6</f>
        <v>109</v>
      </c>
      <c r="F6" s="244" t="inlineStr">
        <is>
          <t>罐</t>
        </is>
      </c>
      <c r="G6" s="262" t="n">
        <v>2.94</v>
      </c>
      <c r="H6" s="246">
        <f>IF(AND(E6&lt;&gt;"",G6&lt;&gt;""),E6*G6,"")</f>
        <v>320.46</v>
      </c>
      <c r="I6" s="245" t="n"/>
      <c r="J6" s="245" t="n"/>
    </row>
    <row r="7" ht="15" customHeight="1" s="71">
      <c r="A7" s="248" t="n">
        <v>2</v>
      </c>
      <c r="B7" s="245" t="inlineStr">
        <is>
          <t>青岛公司</t>
        </is>
      </c>
      <c r="C7" s="262" t="inlineStr">
        <is>
          <t>青岛经典</t>
        </is>
      </c>
      <c r="D7" s="245" t="inlineStr">
        <is>
          <t>1*12</t>
        </is>
      </c>
      <c r="E7" s="262">
        <f>8</f>
        <v>8</v>
      </c>
      <c r="F7" s="248" t="inlineStr">
        <is>
          <t>罐</t>
        </is>
      </c>
      <c r="G7" s="262" t="n">
        <v>4.17</v>
      </c>
      <c r="H7" s="250">
        <f>IF(AND(E7&lt;&gt;"",G7&lt;&gt;""),E7*G7,"")</f>
        <v>33.36</v>
      </c>
      <c r="I7" s="249" t="n"/>
      <c r="J7" s="249" t="n"/>
    </row>
    <row r="8" ht="15" customHeight="1" s="71">
      <c r="A8" s="244" t="n">
        <v>3</v>
      </c>
      <c r="B8" s="245" t="inlineStr">
        <is>
          <t>青岛公司</t>
        </is>
      </c>
      <c r="C8" s="262" t="inlineStr">
        <is>
          <t>青岛崂山</t>
        </is>
      </c>
      <c r="D8" s="245" t="inlineStr">
        <is>
          <t>1*12</t>
        </is>
      </c>
      <c r="E8" s="262">
        <f>3+4+14</f>
        <v>21</v>
      </c>
      <c r="F8" s="244" t="n"/>
      <c r="G8" s="262" t="n">
        <v>2</v>
      </c>
      <c r="H8" s="246">
        <f>IF(AND(E8&lt;&gt;"",G8&lt;&gt;""),E8*G8,"")</f>
        <v>42</v>
      </c>
      <c r="I8" s="245" t="n"/>
      <c r="J8" s="245" t="n"/>
    </row>
    <row r="9" ht="15" customHeight="1" s="71">
      <c r="A9" s="248" t="n">
        <v>4</v>
      </c>
      <c r="B9" s="245" t="inlineStr">
        <is>
          <t>青岛公司</t>
        </is>
      </c>
      <c r="C9" s="262" t="inlineStr">
        <is>
          <t>青岛白啤</t>
        </is>
      </c>
      <c r="D9" s="245" t="inlineStr">
        <is>
          <t>1*12</t>
        </is>
      </c>
      <c r="E9" s="262">
        <f>5</f>
        <v>5</v>
      </c>
      <c r="F9" s="248" t="n"/>
      <c r="G9" s="262" t="n">
        <v>5.17</v>
      </c>
      <c r="H9" s="250">
        <f>IF(AND(E9&lt;&gt;"",G9&lt;&gt;""),E9*G9,"")</f>
        <v>25.85</v>
      </c>
      <c r="I9" s="249" t="n"/>
      <c r="J9" s="249" t="n"/>
    </row>
    <row r="10" ht="15" customHeight="1" s="71">
      <c r="A10" s="244" t="n">
        <v>5</v>
      </c>
      <c r="B10" s="245" t="inlineStr">
        <is>
          <t>青岛公司</t>
        </is>
      </c>
      <c r="C10" s="262" t="inlineStr">
        <is>
          <t>青岛清爽8奖盖过期</t>
        </is>
      </c>
      <c r="D10" s="245" t="inlineStr">
        <is>
          <t>1*12</t>
        </is>
      </c>
      <c r="E10" s="262">
        <f>17+39</f>
        <v>56</v>
      </c>
      <c r="F10" s="244" t="n"/>
      <c r="G10" s="262" t="n">
        <v>2.94</v>
      </c>
      <c r="H10" s="246">
        <f>IF(AND(E10&lt;&gt;"",G10&lt;&gt;""),E10*G10,"")</f>
        <v>164.64</v>
      </c>
      <c r="I10" s="245" t="n"/>
      <c r="J10" s="245" t="n"/>
    </row>
    <row r="11" ht="15" customHeight="1" s="71">
      <c r="A11" s="248" t="n">
        <v>6</v>
      </c>
      <c r="B11" s="249" t="n"/>
      <c r="C11" s="262" t="n"/>
      <c r="D11" s="249" t="n"/>
      <c r="E11" s="262" t="n"/>
      <c r="F11" s="248" t="n"/>
      <c r="G11" s="262" t="n"/>
      <c r="H11" s="250">
        <f>SUM(H6:H10)</f>
        <v>586.31</v>
      </c>
      <c r="I11" s="249" t="n"/>
      <c r="J11" s="249" t="n"/>
    </row>
    <row r="12" ht="15" customHeight="1" s="71">
      <c r="A12" s="244" t="n">
        <v>7</v>
      </c>
      <c r="B12" s="245" t="inlineStr">
        <is>
          <t>农夫山泉公司</t>
        </is>
      </c>
      <c r="C12" s="262" t="inlineStr">
        <is>
          <t>农夫500ML饮料</t>
        </is>
      </c>
      <c r="D12" s="245" t="inlineStr">
        <is>
          <t>1*15</t>
        </is>
      </c>
      <c r="E12" s="262">
        <f>29+1+39+5+1+16+23+11+40+41+47+68+82+311+196+396+16+221</f>
        <v>1543</v>
      </c>
      <c r="F12" s="244" t="n"/>
      <c r="G12" s="262" t="n">
        <v>3.067</v>
      </c>
      <c r="H12" s="246">
        <f>IF(AND(E12&lt;&gt;"",G12&lt;&gt;""),E12*G12,"")</f>
        <v>4732.381</v>
      </c>
      <c r="I12" s="245" t="n"/>
      <c r="J12" s="245" t="n"/>
    </row>
    <row r="13" ht="15" customHeight="1" s="71">
      <c r="A13" s="248" t="n">
        <v>8</v>
      </c>
      <c r="B13" s="245" t="inlineStr">
        <is>
          <t>农夫山泉公司</t>
        </is>
      </c>
      <c r="C13" s="262" t="inlineStr">
        <is>
          <t>农夫900ML饮料</t>
        </is>
      </c>
      <c r="D13" s="249" t="inlineStr">
        <is>
          <t>1*12</t>
        </is>
      </c>
      <c r="E13" s="262">
        <f>2+4+2+3+24+8+6</f>
        <v>49</v>
      </c>
      <c r="F13" s="248" t="n"/>
      <c r="G13" s="262" t="n">
        <v>4.17</v>
      </c>
      <c r="H13" s="250">
        <f>IF(AND(E13&lt;&gt;"",G13&lt;&gt;""),E13*G13,"")</f>
        <v>204.33</v>
      </c>
      <c r="I13" s="249" t="n"/>
      <c r="J13" s="249" t="n"/>
    </row>
    <row r="14" ht="15" customHeight="1" s="71">
      <c r="A14" s="244" t="n">
        <v>9</v>
      </c>
      <c r="B14" s="245" t="inlineStr">
        <is>
          <t>农夫山泉公司</t>
        </is>
      </c>
      <c r="C14" s="262" t="inlineStr">
        <is>
          <t>农夫苏打水</t>
        </is>
      </c>
      <c r="D14" s="245" t="inlineStr">
        <is>
          <t>1*15</t>
        </is>
      </c>
      <c r="E14" s="262">
        <f>19+2+3+2+4+15</f>
        <v>45</v>
      </c>
      <c r="F14" s="244" t="n"/>
      <c r="G14" s="262" t="n">
        <v>2.27</v>
      </c>
      <c r="H14" s="246">
        <f>IF(AND(E14&lt;&gt;"",G14&lt;&gt;""),E14*G14,"")</f>
        <v>102.15</v>
      </c>
      <c r="I14" s="245" t="n"/>
      <c r="J14" s="245" t="n"/>
    </row>
    <row r="15" ht="15" customHeight="1" s="71">
      <c r="A15" s="248" t="n">
        <v>10</v>
      </c>
      <c r="B15" s="245" t="inlineStr">
        <is>
          <t>农夫山泉公司</t>
        </is>
      </c>
      <c r="C15" s="262" t="inlineStr">
        <is>
          <t>农夫550ML水</t>
        </is>
      </c>
      <c r="D15" s="249" t="inlineStr">
        <is>
          <t>1*24</t>
        </is>
      </c>
      <c r="E15" s="262" t="n"/>
      <c r="F15" s="248" t="n"/>
      <c r="G15" s="262" t="n">
        <v>0.834</v>
      </c>
      <c r="H15" s="250">
        <f>IF(AND(E15&lt;&gt;"",G15&lt;&gt;""),E15*G15,"")</f>
      </c>
      <c r="I15" s="249" t="n"/>
      <c r="J15" s="249" t="n"/>
    </row>
    <row r="16" ht="15" customHeight="1" s="71">
      <c r="A16" s="244" t="n">
        <v>11</v>
      </c>
      <c r="B16" s="245" t="inlineStr">
        <is>
          <t>农夫山泉公司</t>
        </is>
      </c>
      <c r="C16" s="262" t="inlineStr">
        <is>
          <t>农夫1.5L水</t>
        </is>
      </c>
      <c r="D16" s="245" t="inlineStr">
        <is>
          <t>1*12</t>
        </is>
      </c>
      <c r="E16" s="262" t="n"/>
      <c r="F16" s="244" t="n"/>
      <c r="G16" s="262" t="n">
        <v>1.667</v>
      </c>
      <c r="H16" s="246">
        <f>IF(AND(E16&lt;&gt;"",G16&lt;&gt;""),E16*G16,"")</f>
      </c>
      <c r="I16" s="245" t="n"/>
      <c r="J16" s="245" t="n"/>
    </row>
    <row r="17" ht="15" customHeight="1" s="71">
      <c r="A17" s="248" t="n">
        <v>12</v>
      </c>
      <c r="B17" s="245" t="inlineStr">
        <is>
          <t>农夫山泉公司</t>
        </is>
      </c>
      <c r="C17" s="262" t="inlineStr">
        <is>
          <t>农夫2L水</t>
        </is>
      </c>
      <c r="D17" s="249" t="inlineStr">
        <is>
          <t>1*8</t>
        </is>
      </c>
      <c r="E17" s="262" t="n"/>
      <c r="F17" s="248" t="n"/>
      <c r="G17" s="262" t="n"/>
      <c r="H17" s="250">
        <f>IF(AND(E17&lt;&gt;"",G17&lt;&gt;""),E17*G17,"")</f>
      </c>
      <c r="I17" s="249" t="n"/>
      <c r="J17" s="249" t="n"/>
    </row>
    <row r="18" ht="15" customHeight="1" s="71">
      <c r="A18" s="244" t="n">
        <v>13</v>
      </c>
      <c r="B18" s="245" t="inlineStr">
        <is>
          <t>农夫山泉公司</t>
        </is>
      </c>
      <c r="C18" s="262" t="inlineStr">
        <is>
          <t>农夫5L水</t>
        </is>
      </c>
      <c r="D18" s="245" t="inlineStr">
        <is>
          <t>1*4</t>
        </is>
      </c>
      <c r="E18" s="262" t="n"/>
      <c r="F18" s="244" t="n"/>
      <c r="G18" s="262" t="n"/>
      <c r="H18" s="246">
        <f>IF(AND(E18&lt;&gt;"",G18&lt;&gt;""),E18*G18,"")</f>
      </c>
      <c r="I18" s="245" t="n"/>
      <c r="J18" s="245" t="n"/>
    </row>
    <row r="19" ht="15" customHeight="1" s="71">
      <c r="A19" s="248" t="n">
        <v>14</v>
      </c>
      <c r="B19" s="245" t="inlineStr">
        <is>
          <t>农夫山泉公司</t>
        </is>
      </c>
      <c r="C19" s="262" t="inlineStr">
        <is>
          <t>农夫12.9L水</t>
        </is>
      </c>
      <c r="D19" s="249" t="n"/>
      <c r="E19" s="262" t="n"/>
      <c r="F19" s="248" t="n"/>
      <c r="G19" s="262" t="n"/>
      <c r="H19" s="250">
        <f>IF(AND(E19&lt;&gt;"",G19&lt;&gt;""),E19*G19,"")</f>
      </c>
      <c r="I19" s="249" t="n"/>
      <c r="J19" s="249" t="n"/>
    </row>
    <row r="20" ht="15" customHeight="1" s="71">
      <c r="A20" s="244" t="n">
        <v>15</v>
      </c>
      <c r="B20" s="245" t="inlineStr">
        <is>
          <t>农夫山泉公司</t>
        </is>
      </c>
      <c r="C20" s="262" t="inlineStr">
        <is>
          <t>农夫1.25L果园</t>
        </is>
      </c>
      <c r="D20" s="245" t="inlineStr">
        <is>
          <t>1*6</t>
        </is>
      </c>
      <c r="E20" s="262">
        <f>11</f>
        <v>11</v>
      </c>
      <c r="F20" s="244" t="n"/>
      <c r="G20" s="262" t="n"/>
      <c r="H20" s="246">
        <f>IF(AND(E20&lt;&gt;"",G20&lt;&gt;""),E20*G20,"")</f>
      </c>
      <c r="I20" s="245" t="n"/>
      <c r="J20" s="245" t="n"/>
    </row>
    <row r="21" ht="15" customHeight="1" s="71">
      <c r="A21" s="248" t="n">
        <v>16</v>
      </c>
      <c r="B21" s="245" t="inlineStr">
        <is>
          <t>农夫山泉公司</t>
        </is>
      </c>
      <c r="C21" s="262" t="inlineStr">
        <is>
          <t>农夫1.5L东方树叶</t>
        </is>
      </c>
      <c r="D21" s="249" t="inlineStr">
        <is>
          <t>1*6</t>
        </is>
      </c>
      <c r="E21" s="262">
        <f>1</f>
        <v>1</v>
      </c>
      <c r="F21" s="248" t="n"/>
      <c r="G21" s="262" t="n"/>
      <c r="H21" s="250">
        <f>IF(AND(E21&lt;&gt;"",G21&lt;&gt;""),E21*G21,"")</f>
      </c>
      <c r="I21" s="249" t="n"/>
      <c r="J21" s="249" t="n"/>
    </row>
    <row r="22" ht="15" customHeight="1" s="71">
      <c r="A22" s="244" t="n">
        <v>17</v>
      </c>
      <c r="B22" s="245" t="n"/>
      <c r="C22" s="262" t="n"/>
      <c r="D22" s="245" t="n"/>
      <c r="E22" s="262" t="n"/>
      <c r="F22" s="244" t="n"/>
      <c r="G22" s="262" t="n"/>
      <c r="H22" s="246">
        <f>SUM(H12:H21)</f>
        <v>5038.861</v>
      </c>
      <c r="I22" s="245" t="n"/>
      <c r="J22" s="245" t="n"/>
    </row>
    <row r="23" ht="15" customHeight="1" s="71">
      <c r="A23" s="248" t="n">
        <v>18</v>
      </c>
      <c r="B23" s="249" t="inlineStr">
        <is>
          <t>东鹏公司</t>
        </is>
      </c>
      <c r="C23" s="262" t="inlineStr">
        <is>
          <t>东鹏500ML特饮</t>
        </is>
      </c>
      <c r="D23" s="249" t="inlineStr">
        <is>
          <t>1*24</t>
        </is>
      </c>
      <c r="E23" s="262">
        <f>5+27+16+7</f>
        <v>55</v>
      </c>
      <c r="F23" s="248" t="n"/>
      <c r="G23" s="262" t="n">
        <v>3.23</v>
      </c>
      <c r="H23" s="250">
        <f>IF(AND(E23&lt;&gt;"",G23&lt;&gt;""),E23*G23,"")</f>
        <v>177.65</v>
      </c>
      <c r="I23" s="249" t="n"/>
      <c r="J23" s="249" t="n"/>
    </row>
    <row r="24" ht="15" customHeight="1" s="71">
      <c r="A24" s="244" t="n">
        <v>19</v>
      </c>
      <c r="B24" s="249" t="inlineStr">
        <is>
          <t>东鹏公司</t>
        </is>
      </c>
      <c r="C24" s="262" t="inlineStr">
        <is>
          <t>东鹏250ML特饮</t>
        </is>
      </c>
      <c r="D24" s="245" t="inlineStr">
        <is>
          <t>1*24</t>
        </is>
      </c>
      <c r="E24" s="262">
        <f>24+4+5+24+217</f>
        <v>274</v>
      </c>
      <c r="F24" s="244" t="n"/>
      <c r="G24" s="262" t="n">
        <v>1.58</v>
      </c>
      <c r="H24" s="246">
        <f>IF(AND(E24&lt;&gt;"",G24&lt;&gt;""),E24*G24,"")</f>
        <v>432.92</v>
      </c>
      <c r="I24" s="245" t="n"/>
      <c r="J24" s="245" t="n"/>
    </row>
    <row r="25" ht="15" customHeight="1" s="71">
      <c r="A25" s="248" t="n">
        <v>20</v>
      </c>
      <c r="B25" s="249" t="inlineStr">
        <is>
          <t>东鹏公司</t>
        </is>
      </c>
      <c r="C25" s="262" t="inlineStr">
        <is>
          <t>东鹏555补水</t>
        </is>
      </c>
      <c r="D25" s="249" t="inlineStr">
        <is>
          <t>1*24</t>
        </is>
      </c>
      <c r="E25" s="262">
        <f>24</f>
        <v>24</v>
      </c>
      <c r="F25" s="248" t="n"/>
      <c r="G25" s="262" t="n">
        <v>2.284</v>
      </c>
      <c r="H25" s="250">
        <f>IF(AND(E25&lt;&gt;"",G25&lt;&gt;""),E25*G25,"")</f>
        <v>54.816</v>
      </c>
      <c r="I25" s="249" t="n"/>
      <c r="J25" s="249" t="n"/>
    </row>
    <row r="26" ht="15" customHeight="1" s="71">
      <c r="A26" s="244" t="n">
        <v>21</v>
      </c>
      <c r="B26" s="249" t="inlineStr">
        <is>
          <t>东鹏公司</t>
        </is>
      </c>
      <c r="C26" s="262" t="inlineStr">
        <is>
          <t>东鹏1L补水</t>
        </is>
      </c>
      <c r="D26" s="245" t="inlineStr">
        <is>
          <t>1*12</t>
        </is>
      </c>
      <c r="E26" s="262" t="n"/>
      <c r="F26" s="244" t="n"/>
      <c r="G26" s="262" t="n"/>
      <c r="H26" s="246">
        <f>IF(AND(E26&lt;&gt;"",G26&lt;&gt;""),E26*G26,"")</f>
      </c>
      <c r="I26" s="245" t="n"/>
      <c r="J26" s="245" t="n"/>
    </row>
    <row r="27" ht="15" customHeight="1" s="71">
      <c r="A27" s="248" t="n">
        <v>22</v>
      </c>
      <c r="B27" s="249" t="inlineStr">
        <is>
          <t>东鹏公司</t>
        </is>
      </c>
      <c r="C27" s="262" t="inlineStr">
        <is>
          <t>东鹏小海岛椰</t>
        </is>
      </c>
      <c r="D27" s="249" t="inlineStr">
        <is>
          <t>1*12</t>
        </is>
      </c>
      <c r="E27" s="262">
        <f>30</f>
        <v>30</v>
      </c>
      <c r="F27" s="248" t="n"/>
      <c r="G27" s="262" t="n">
        <v>2.46</v>
      </c>
      <c r="H27" s="250">
        <f>IF(AND(E27&lt;&gt;"",G27&lt;&gt;""),E27*G27,"")</f>
        <v>73.8</v>
      </c>
      <c r="I27" s="249" t="n"/>
      <c r="J27" s="249" t="n"/>
    </row>
    <row r="28" ht="15" customHeight="1" s="71">
      <c r="A28" s="244" t="n">
        <v>23</v>
      </c>
      <c r="B28" s="249" t="inlineStr">
        <is>
          <t>东鹏公司</t>
        </is>
      </c>
      <c r="C28" s="262" t="inlineStr">
        <is>
          <t>东鹏1.25L海岛椰</t>
        </is>
      </c>
      <c r="D28" s="245" t="inlineStr">
        <is>
          <t>1*6</t>
        </is>
      </c>
      <c r="E28" s="262" t="n"/>
      <c r="F28" s="244" t="n"/>
      <c r="G28" s="262" t="n"/>
      <c r="H28" s="246">
        <f>IF(AND(E28&lt;&gt;"",G28&lt;&gt;""),E28*G28,"")</f>
      </c>
      <c r="I28" s="245" t="n"/>
      <c r="J28" s="245" t="n"/>
    </row>
    <row r="29" ht="15" customHeight="1" s="71">
      <c r="A29" s="248" t="n">
        <v>24</v>
      </c>
      <c r="B29" s="249" t="inlineStr">
        <is>
          <t>东鹏公司</t>
        </is>
      </c>
      <c r="C29" s="262" t="inlineStr">
        <is>
          <t>东鹏小果茶</t>
        </is>
      </c>
      <c r="D29" s="249" t="inlineStr">
        <is>
          <t>1*24</t>
        </is>
      </c>
      <c r="E29" s="262" t="n"/>
      <c r="F29" s="248" t="n"/>
      <c r="G29" s="262" t="n"/>
      <c r="H29" s="250">
        <f>IF(AND(E29&lt;&gt;"",G29&lt;&gt;""),E29*G29,"")</f>
      </c>
      <c r="I29" s="249" t="n"/>
      <c r="J29" s="249" t="n"/>
    </row>
    <row r="30" ht="15" customHeight="1" s="71">
      <c r="A30" s="244" t="n">
        <v>25</v>
      </c>
      <c r="B30" s="249" t="inlineStr">
        <is>
          <t>东鹏公司</t>
        </is>
      </c>
      <c r="C30" s="262" t="inlineStr">
        <is>
          <t>东鹏1L果之茶</t>
        </is>
      </c>
      <c r="D30" s="245" t="inlineStr">
        <is>
          <t>1*12</t>
        </is>
      </c>
      <c r="E30" s="262" t="n"/>
      <c r="F30" s="244" t="n"/>
      <c r="G30" s="262" t="n"/>
      <c r="H30" s="246">
        <f>IF(AND(E30&lt;&gt;"",G30&lt;&gt;""),E30*G30,"")</f>
      </c>
      <c r="I30" s="245" t="n"/>
      <c r="J30" s="245" t="n"/>
    </row>
    <row r="31" ht="15" customHeight="1" s="71">
      <c r="A31" s="248" t="n">
        <v>26</v>
      </c>
      <c r="B31" s="249" t="inlineStr">
        <is>
          <t>东鹏公司</t>
        </is>
      </c>
      <c r="C31" s="262" t="inlineStr">
        <is>
          <t>东鹏港式奶茶</t>
        </is>
      </c>
      <c r="D31" s="249" t="inlineStr">
        <is>
          <t>1*24</t>
        </is>
      </c>
      <c r="E31" s="262" t="n"/>
      <c r="F31" s="248" t="n"/>
      <c r="G31" s="262" t="n"/>
      <c r="H31" s="250">
        <f>IF(AND(E31&lt;&gt;"",G31&lt;&gt;""),E31*G31,"")</f>
      </c>
      <c r="I31" s="249" t="n"/>
      <c r="J31" s="249" t="n"/>
    </row>
    <row r="32" ht="15" customHeight="1" s="71">
      <c r="A32" s="244" t="n">
        <v>27</v>
      </c>
      <c r="B32" s="249" t="inlineStr">
        <is>
          <t>东鹏公司</t>
        </is>
      </c>
      <c r="C32" s="262" t="inlineStr">
        <is>
          <t>东鹏菊花茶</t>
        </is>
      </c>
      <c r="D32" s="245" t="inlineStr">
        <is>
          <t>1*24</t>
        </is>
      </c>
      <c r="E32" s="262">
        <f>114</f>
        <v>114</v>
      </c>
      <c r="F32" s="244" t="n"/>
      <c r="G32" s="262" t="n"/>
      <c r="H32" s="246">
        <f>IF(AND(E32&lt;&gt;"",G32&lt;&gt;""),E32*G32,"")</f>
      </c>
      <c r="I32" s="245" t="n"/>
      <c r="J32" s="245" t="n"/>
    </row>
    <row r="33" ht="15" customHeight="1" s="71">
      <c r="A33" s="248" t="n">
        <v>28</v>
      </c>
      <c r="B33" s="249" t="inlineStr">
        <is>
          <t>东鹏公司</t>
        </is>
      </c>
      <c r="C33" s="262" t="inlineStr">
        <is>
          <t>东鹏500大咖</t>
        </is>
      </c>
      <c r="D33" s="249" t="inlineStr">
        <is>
          <t>1*15</t>
        </is>
      </c>
      <c r="E33" s="262">
        <f>14</f>
        <v>14</v>
      </c>
      <c r="F33" s="248" t="n"/>
      <c r="G33" s="262" t="n">
        <v>4.872</v>
      </c>
      <c r="H33" s="250">
        <f>IF(AND(E33&lt;&gt;"",G33&lt;&gt;""),E33*G33,"")</f>
        <v>68.208</v>
      </c>
      <c r="I33" s="249" t="n"/>
      <c r="J33" s="249" t="n"/>
    </row>
    <row r="34" ht="15" customHeight="1" s="71">
      <c r="A34" s="244" t="n">
        <v>29</v>
      </c>
      <c r="B34" s="245" t="n"/>
      <c r="C34" s="245" t="n"/>
      <c r="D34" s="245" t="n"/>
      <c r="E34" s="244" t="n"/>
      <c r="F34" s="244" t="n"/>
      <c r="G34" s="244" t="n"/>
      <c r="H34" s="246">
        <f>SUM(H23:H33)</f>
        <v>807.394</v>
      </c>
      <c r="I34" s="245" t="n"/>
      <c r="J34" s="245" t="n"/>
    </row>
    <row r="35" ht="15" customHeight="1" s="71">
      <c r="A35" s="248" t="n">
        <v>30</v>
      </c>
      <c r="B35" s="249" t="n"/>
      <c r="C35" s="249" t="n"/>
      <c r="D35" s="249" t="n"/>
      <c r="E35" s="248" t="n"/>
      <c r="F35" s="248" t="n"/>
      <c r="G35" s="248" t="n"/>
      <c r="H35" s="250">
        <f>SUMIF(B6:B34,"&lt;&gt;",H6:H34)</f>
        <v>6432.565</v>
      </c>
      <c r="I35" s="249" t="n"/>
      <c r="J35" s="249" t="n"/>
    </row>
    <row r="36" ht="15" customHeight="1" s="71">
      <c r="A36" s="244" t="n">
        <v>31</v>
      </c>
      <c r="B36" s="245" t="n"/>
      <c r="C36" s="245" t="n"/>
      <c r="D36" s="245" t="n"/>
      <c r="E36" s="244" t="n"/>
      <c r="F36" s="244" t="n"/>
      <c r="G36" s="244" t="n"/>
      <c r="H36" s="246">
        <f>IF(AND(E36&lt;&gt;"",G36&lt;&gt;""),E36*G36,"")</f>
      </c>
      <c r="I36" s="245" t="n"/>
      <c r="J36" s="245" t="n"/>
    </row>
    <row r="37" ht="15" customHeight="1" s="71">
      <c r="A37" s="248" t="n">
        <v>32</v>
      </c>
      <c r="B37" s="249" t="n"/>
      <c r="C37" s="249" t="n"/>
      <c r="D37" s="249" t="n"/>
      <c r="E37" s="248" t="n"/>
      <c r="F37" s="248" t="n"/>
      <c r="G37" s="248" t="n"/>
      <c r="H37" s="250">
        <f>IF(AND(E37&lt;&gt;"",G37&lt;&gt;""),E37*G37,"")</f>
      </c>
      <c r="I37" s="249" t="n"/>
      <c r="J37" s="249" t="n"/>
    </row>
    <row r="38" ht="15" customHeight="1" s="71">
      <c r="A38" s="244" t="n">
        <v>33</v>
      </c>
      <c r="B38" s="245" t="n"/>
      <c r="C38" s="245" t="n"/>
      <c r="D38" s="245" t="n"/>
      <c r="E38" s="244" t="n"/>
      <c r="F38" s="244" t="n"/>
      <c r="G38" s="244" t="n"/>
      <c r="H38" s="246">
        <f>IF(AND(E38&lt;&gt;"",G38&lt;&gt;""),E38*G38,"")</f>
      </c>
      <c r="I38" s="245" t="n"/>
      <c r="J38" s="245" t="n"/>
    </row>
    <row r="39" ht="15" customHeight="1" s="71">
      <c r="A39" s="248" t="n">
        <v>34</v>
      </c>
      <c r="B39" s="249" t="n"/>
      <c r="C39" s="249" t="n"/>
      <c r="D39" s="249" t="n"/>
      <c r="E39" s="248" t="n"/>
      <c r="F39" s="248" t="n"/>
      <c r="G39" s="248" t="n"/>
      <c r="H39" s="250">
        <f>IF(AND(E39&lt;&gt;"",G39&lt;&gt;""),E39*G39,"")</f>
      </c>
      <c r="I39" s="249" t="n"/>
      <c r="J39" s="249" t="n"/>
    </row>
    <row r="40" ht="15" customHeight="1" s="71">
      <c r="A40" s="244" t="n">
        <v>35</v>
      </c>
      <c r="B40" s="245" t="n"/>
      <c r="C40" s="245" t="n"/>
      <c r="D40" s="245" t="n"/>
      <c r="E40" s="244" t="n"/>
      <c r="F40" s="244" t="n"/>
      <c r="G40" s="244" t="n"/>
      <c r="H40" s="246">
        <f>IF(AND(E40&lt;&gt;"",G40&lt;&gt;""),E40*G40,"")</f>
      </c>
      <c r="I40" s="245" t="n"/>
      <c r="J40" s="245" t="n"/>
    </row>
    <row r="41" ht="15" customHeight="1" s="71">
      <c r="A41" s="248" t="n">
        <v>36</v>
      </c>
      <c r="B41" s="249" t="n"/>
      <c r="C41" s="249" t="n"/>
      <c r="D41" s="249" t="n"/>
      <c r="E41" s="248" t="n"/>
      <c r="F41" s="248" t="n"/>
      <c r="G41" s="248" t="n"/>
      <c r="H41" s="250">
        <f>IF(AND(E41&lt;&gt;"",G41&lt;&gt;""),E41*G41,"")</f>
      </c>
      <c r="I41" s="249" t="n"/>
      <c r="J41" s="249" t="n"/>
    </row>
    <row r="42" ht="15" customHeight="1" s="71">
      <c r="A42" s="244" t="n">
        <v>37</v>
      </c>
      <c r="B42" s="245" t="n"/>
      <c r="C42" s="245" t="n"/>
      <c r="D42" s="245" t="n"/>
      <c r="E42" s="244" t="n"/>
      <c r="F42" s="244" t="n"/>
      <c r="G42" s="244" t="n"/>
      <c r="H42" s="246">
        <f>IF(AND(E42&lt;&gt;"",G42&lt;&gt;""),E42*G42,"")</f>
      </c>
      <c r="I42" s="245" t="n"/>
      <c r="J42" s="245" t="n"/>
    </row>
    <row r="43" ht="15" customHeight="1" s="71">
      <c r="A43" s="248" t="n">
        <v>38</v>
      </c>
      <c r="B43" s="249" t="n"/>
      <c r="C43" s="249" t="n"/>
      <c r="D43" s="249" t="n"/>
      <c r="E43" s="248" t="n"/>
      <c r="F43" s="248" t="n"/>
      <c r="G43" s="248" t="n"/>
      <c r="H43" s="250">
        <f>IF(AND(E43&lt;&gt;"",G43&lt;&gt;""),E43*G43,"")</f>
      </c>
      <c r="I43" s="249" t="n"/>
      <c r="J43" s="249" t="n"/>
    </row>
    <row r="44" ht="15" customHeight="1" s="71">
      <c r="A44" s="244" t="n">
        <v>39</v>
      </c>
      <c r="B44" s="245" t="n"/>
      <c r="C44" s="245" t="n"/>
      <c r="D44" s="245" t="n"/>
      <c r="E44" s="244" t="n"/>
      <c r="F44" s="244" t="n"/>
      <c r="G44" s="244" t="n"/>
      <c r="H44" s="246">
        <f>IF(AND(E44&lt;&gt;"",G44&lt;&gt;""),E44*G44,"")</f>
      </c>
      <c r="I44" s="245" t="n"/>
      <c r="J44" s="245" t="n"/>
    </row>
    <row r="45" ht="15" customHeight="1" s="71">
      <c r="A45" s="248" t="n">
        <v>40</v>
      </c>
      <c r="B45" s="249" t="n"/>
      <c r="C45" s="249" t="n"/>
      <c r="D45" s="249" t="n"/>
      <c r="E45" s="248" t="n"/>
      <c r="F45" s="248" t="n"/>
      <c r="G45" s="248" t="n"/>
      <c r="H45" s="250">
        <f>IF(AND(E45&lt;&gt;"",G45&lt;&gt;""),E45*G45,"")</f>
      </c>
      <c r="I45" s="249" t="n"/>
      <c r="J45" s="249" t="n"/>
    </row>
    <row r="46" ht="15" customHeight="1" s="71">
      <c r="A46" s="244" t="n">
        <v>41</v>
      </c>
      <c r="B46" s="245" t="n"/>
      <c r="C46" s="245" t="n"/>
      <c r="D46" s="245" t="n"/>
      <c r="E46" s="244" t="n"/>
      <c r="F46" s="244" t="n"/>
      <c r="G46" s="244" t="n"/>
      <c r="H46" s="246">
        <f>IF(AND(E46&lt;&gt;"",G46&lt;&gt;""),E46*G46,"")</f>
      </c>
      <c r="I46" s="245" t="n"/>
      <c r="J46" s="245" t="n"/>
    </row>
    <row r="47" ht="15" customHeight="1" s="71">
      <c r="A47" s="248" t="n">
        <v>42</v>
      </c>
      <c r="B47" s="249" t="n"/>
      <c r="C47" s="249" t="n"/>
      <c r="D47" s="249" t="n"/>
      <c r="E47" s="248" t="n"/>
      <c r="F47" s="248" t="n"/>
      <c r="G47" s="248" t="n"/>
      <c r="H47" s="250">
        <f>IF(AND(E47&lt;&gt;"",G47&lt;&gt;""),E47*G47,"")</f>
      </c>
      <c r="I47" s="249" t="n"/>
      <c r="J47" s="249" t="n"/>
    </row>
    <row r="48" ht="15" customHeight="1" s="71">
      <c r="A48" s="244" t="n">
        <v>43</v>
      </c>
      <c r="B48" s="245" t="n"/>
      <c r="C48" s="245" t="n"/>
      <c r="D48" s="245" t="n"/>
      <c r="E48" s="244" t="n"/>
      <c r="F48" s="244" t="n"/>
      <c r="G48" s="244" t="n"/>
      <c r="H48" s="246">
        <f>IF(AND(E48&lt;&gt;"",G48&lt;&gt;""),E48*G48,"")</f>
      </c>
      <c r="I48" s="245" t="n"/>
      <c r="J48" s="245" t="n"/>
    </row>
    <row r="49" ht="15" customHeight="1" s="71">
      <c r="A49" s="248" t="n">
        <v>44</v>
      </c>
      <c r="B49" s="249" t="n"/>
      <c r="C49" s="249" t="n"/>
      <c r="D49" s="249" t="n"/>
      <c r="E49" s="248" t="n"/>
      <c r="F49" s="248" t="n"/>
      <c r="G49" s="248" t="n"/>
      <c r="H49" s="250">
        <f>IF(AND(E49&lt;&gt;"",G49&lt;&gt;""),E49*G49,"")</f>
      </c>
      <c r="I49" s="249" t="n"/>
      <c r="J49" s="249" t="n"/>
    </row>
    <row r="50" ht="15" customHeight="1" s="71">
      <c r="A50" s="244" t="n">
        <v>45</v>
      </c>
      <c r="B50" s="245" t="n"/>
      <c r="C50" s="245" t="n"/>
      <c r="D50" s="245" t="n"/>
      <c r="E50" s="244" t="n"/>
      <c r="F50" s="244" t="n"/>
      <c r="G50" s="244" t="n"/>
      <c r="H50" s="246">
        <f>IF(AND(E50&lt;&gt;"",G50&lt;&gt;""),E50*G50,"")</f>
      </c>
      <c r="I50" s="245" t="n"/>
      <c r="J50" s="245" t="n"/>
    </row>
    <row r="51" ht="15" customHeight="1" s="71">
      <c r="A51" s="248" t="n">
        <v>46</v>
      </c>
      <c r="B51" s="249" t="n"/>
      <c r="C51" s="249" t="n"/>
      <c r="D51" s="249" t="n"/>
      <c r="E51" s="248" t="n"/>
      <c r="F51" s="248" t="n"/>
      <c r="G51" s="248" t="n"/>
      <c r="H51" s="250">
        <f>IF(AND(E51&lt;&gt;"",G51&lt;&gt;""),E51*G51,"")</f>
      </c>
      <c r="I51" s="249" t="n"/>
      <c r="J51" s="249" t="n"/>
    </row>
    <row r="52" ht="15" customHeight="1" s="71">
      <c r="A52" s="244" t="n">
        <v>47</v>
      </c>
      <c r="B52" s="245" t="n"/>
      <c r="C52" s="245" t="n"/>
      <c r="D52" s="245" t="n"/>
      <c r="E52" s="244" t="n"/>
      <c r="F52" s="244" t="n"/>
      <c r="G52" s="244" t="n"/>
      <c r="H52" s="246">
        <f>IF(AND(E52&lt;&gt;"",G52&lt;&gt;""),E52*G52,"")</f>
      </c>
      <c r="I52" s="245" t="n"/>
      <c r="J52" s="245" t="n"/>
    </row>
    <row r="53" ht="15" customHeight="1" s="71">
      <c r="A53" s="248" t="n">
        <v>48</v>
      </c>
      <c r="B53" s="249" t="n"/>
      <c r="C53" s="249" t="n"/>
      <c r="D53" s="249" t="n"/>
      <c r="E53" s="248" t="n"/>
      <c r="F53" s="248" t="n"/>
      <c r="G53" s="248" t="n"/>
      <c r="H53" s="250">
        <f>IF(AND(E53&lt;&gt;"",G53&lt;&gt;""),E53*G53,"")</f>
      </c>
      <c r="I53" s="249" t="n"/>
      <c r="J53" s="249" t="n"/>
    </row>
    <row r="54" ht="15" customHeight="1" s="71">
      <c r="A54" s="244" t="n">
        <v>49</v>
      </c>
      <c r="B54" s="245" t="n"/>
      <c r="C54" s="245" t="n"/>
      <c r="D54" s="245" t="n"/>
      <c r="E54" s="244" t="n"/>
      <c r="F54" s="244" t="n"/>
      <c r="G54" s="244" t="n"/>
      <c r="H54" s="246">
        <f>IF(AND(E54&lt;&gt;"",G54&lt;&gt;""),E54*G54,"")</f>
      </c>
      <c r="I54" s="245" t="n"/>
      <c r="J54" s="245" t="n"/>
    </row>
    <row r="55" ht="15" customHeight="1" s="71">
      <c r="A55" s="248" t="n">
        <v>50</v>
      </c>
      <c r="B55" s="249" t="n"/>
      <c r="C55" s="249" t="n"/>
      <c r="D55" s="249" t="n"/>
      <c r="E55" s="248" t="n"/>
      <c r="F55" s="248" t="n"/>
      <c r="G55" s="248" t="n"/>
      <c r="H55" s="250">
        <f>IF(AND(E55&lt;&gt;"",G55&lt;&gt;""),E55*G55,"")</f>
      </c>
      <c r="I55" s="249" t="n"/>
      <c r="J55" s="249" t="n"/>
    </row>
    <row r="56" ht="15" customHeight="1" s="71">
      <c r="A56" s="244" t="n">
        <v>51</v>
      </c>
      <c r="B56" s="245" t="n"/>
      <c r="C56" s="245" t="n"/>
      <c r="D56" s="245" t="n"/>
      <c r="E56" s="244" t="n"/>
      <c r="F56" s="244" t="n"/>
      <c r="G56" s="244" t="n"/>
      <c r="H56" s="246">
        <f>IF(AND(E56&lt;&gt;"",G56&lt;&gt;""),E56*G56,"")</f>
      </c>
      <c r="I56" s="245" t="n"/>
      <c r="J56" s="245" t="n"/>
    </row>
    <row r="57" ht="15" customHeight="1" s="71">
      <c r="A57" s="248" t="n">
        <v>52</v>
      </c>
      <c r="B57" s="249" t="n"/>
      <c r="C57" s="249" t="n"/>
      <c r="D57" s="249" t="n"/>
      <c r="E57" s="248" t="n"/>
      <c r="F57" s="248" t="n"/>
      <c r="G57" s="248" t="n"/>
      <c r="H57" s="250">
        <f>IF(AND(E57&lt;&gt;"",G57&lt;&gt;""),E57*G57,"")</f>
      </c>
      <c r="I57" s="249" t="n"/>
      <c r="J57" s="249" t="n"/>
    </row>
    <row r="58" ht="15" customHeight="1" s="71">
      <c r="A58" s="244" t="n">
        <v>53</v>
      </c>
      <c r="B58" s="245" t="n"/>
      <c r="C58" s="245" t="n"/>
      <c r="D58" s="245" t="n"/>
      <c r="E58" s="244" t="n"/>
      <c r="F58" s="244" t="n"/>
      <c r="G58" s="244" t="n"/>
      <c r="H58" s="246">
        <f>IF(AND(E58&lt;&gt;"",G58&lt;&gt;""),E58*G58,"")</f>
      </c>
      <c r="I58" s="245" t="n"/>
      <c r="J58" s="245" t="n"/>
    </row>
    <row r="59" ht="15" customHeight="1" s="71">
      <c r="A59" s="248" t="n">
        <v>54</v>
      </c>
      <c r="B59" s="249" t="n"/>
      <c r="C59" s="249" t="n"/>
      <c r="D59" s="249" t="n"/>
      <c r="E59" s="248" t="n"/>
      <c r="F59" s="248" t="n"/>
      <c r="G59" s="248" t="n"/>
      <c r="H59" s="250">
        <f>IF(AND(E59&lt;&gt;"",G59&lt;&gt;""),E59*G59,"")</f>
      </c>
      <c r="I59" s="249" t="n"/>
      <c r="J59" s="249" t="n"/>
    </row>
    <row r="60" ht="15" customHeight="1" s="71">
      <c r="A60" s="244" t="n">
        <v>55</v>
      </c>
      <c r="B60" s="245" t="n"/>
      <c r="C60" s="245" t="n"/>
      <c r="D60" s="245" t="n"/>
      <c r="E60" s="244" t="n"/>
      <c r="F60" s="244" t="n"/>
      <c r="G60" s="244" t="n"/>
      <c r="H60" s="246">
        <f>IF(AND(E60&lt;&gt;"",G60&lt;&gt;""),E60*G60,"")</f>
      </c>
      <c r="I60" s="245" t="n"/>
      <c r="J60" s="245" t="n"/>
    </row>
    <row r="61" ht="15" customHeight="1" s="71">
      <c r="A61" s="248" t="n">
        <v>56</v>
      </c>
      <c r="B61" s="249" t="n"/>
      <c r="C61" s="249" t="n"/>
      <c r="D61" s="249" t="n"/>
      <c r="E61" s="248" t="n"/>
      <c r="F61" s="248" t="n"/>
      <c r="G61" s="248" t="n"/>
      <c r="H61" s="250">
        <f>IF(AND(E61&lt;&gt;"",G61&lt;&gt;""),E61*G61,"")</f>
      </c>
      <c r="I61" s="249" t="n"/>
      <c r="J61" s="249" t="n"/>
    </row>
    <row r="62" ht="15" customHeight="1" s="71">
      <c r="A62" s="244" t="n">
        <v>57</v>
      </c>
      <c r="B62" s="245" t="n"/>
      <c r="C62" s="245" t="n"/>
      <c r="D62" s="245" t="n"/>
      <c r="E62" s="244" t="n"/>
      <c r="F62" s="244" t="n"/>
      <c r="G62" s="244" t="n"/>
      <c r="H62" s="246">
        <f>IF(AND(E62&lt;&gt;"",G62&lt;&gt;""),E62*G62,"")</f>
      </c>
      <c r="I62" s="245" t="n"/>
      <c r="J62" s="245" t="n"/>
    </row>
    <row r="63" ht="15" customHeight="1" s="71">
      <c r="A63" s="248" t="n">
        <v>58</v>
      </c>
      <c r="B63" s="249" t="n"/>
      <c r="C63" s="249" t="n"/>
      <c r="D63" s="249" t="n"/>
      <c r="E63" s="248" t="n"/>
      <c r="F63" s="248" t="n"/>
      <c r="G63" s="248" t="n"/>
      <c r="H63" s="250">
        <f>IF(AND(E63&lt;&gt;"",G63&lt;&gt;""),E63*G63,"")</f>
      </c>
      <c r="I63" s="249" t="n"/>
      <c r="J63" s="249" t="n"/>
    </row>
    <row r="64" ht="15" customHeight="1" s="71">
      <c r="A64" s="244" t="n">
        <v>59</v>
      </c>
      <c r="B64" s="245" t="n"/>
      <c r="C64" s="245" t="n"/>
      <c r="D64" s="245" t="n"/>
      <c r="E64" s="244" t="n"/>
      <c r="F64" s="244" t="n"/>
      <c r="G64" s="244" t="n"/>
      <c r="H64" s="246">
        <f>IF(AND(E64&lt;&gt;"",G64&lt;&gt;""),E64*G64,"")</f>
      </c>
      <c r="I64" s="245" t="n"/>
      <c r="J64" s="245" t="n"/>
    </row>
    <row r="65" ht="15" customHeight="1" s="71">
      <c r="A65" s="248" t="n">
        <v>60</v>
      </c>
      <c r="B65" s="249" t="n"/>
      <c r="C65" s="249" t="n"/>
      <c r="D65" s="249" t="n"/>
      <c r="E65" s="248" t="n"/>
      <c r="F65" s="248" t="n"/>
      <c r="G65" s="248" t="n"/>
      <c r="H65" s="250">
        <f>IF(AND(E65&lt;&gt;"",G65&lt;&gt;""),E65*G65,"")</f>
      </c>
      <c r="I65" s="249" t="n"/>
      <c r="J65" s="249" t="n"/>
    </row>
    <row r="66" ht="15" customHeight="1" s="71">
      <c r="A66" s="244" t="n">
        <v>61</v>
      </c>
      <c r="B66" s="245" t="n"/>
      <c r="C66" s="245" t="n"/>
      <c r="D66" s="245" t="n"/>
      <c r="E66" s="244" t="n"/>
      <c r="F66" s="244" t="n"/>
      <c r="G66" s="244" t="n"/>
      <c r="H66" s="246">
        <f>IF(AND(E66&lt;&gt;"",G66&lt;&gt;""),E66*G66,"")</f>
      </c>
      <c r="I66" s="245" t="n"/>
      <c r="J66" s="245" t="n"/>
    </row>
    <row r="67" ht="15" customHeight="1" s="71">
      <c r="A67" s="248" t="n">
        <v>62</v>
      </c>
      <c r="B67" s="249" t="n"/>
      <c r="C67" s="249" t="n"/>
      <c r="D67" s="249" t="n"/>
      <c r="E67" s="248" t="n"/>
      <c r="F67" s="248" t="n"/>
      <c r="G67" s="248" t="n"/>
      <c r="H67" s="250">
        <f>IF(AND(E67&lt;&gt;"",G67&lt;&gt;""),E67*G67,"")</f>
      </c>
      <c r="I67" s="249" t="n"/>
      <c r="J67" s="249" t="n"/>
    </row>
    <row r="68" ht="15" customHeight="1" s="71">
      <c r="A68" s="244" t="n">
        <v>63</v>
      </c>
      <c r="B68" s="245" t="n"/>
      <c r="C68" s="245" t="n"/>
      <c r="D68" s="245" t="n"/>
      <c r="E68" s="244" t="n"/>
      <c r="F68" s="244" t="n"/>
      <c r="G68" s="244" t="n"/>
      <c r="H68" s="246">
        <f>IF(AND(E68&lt;&gt;"",G68&lt;&gt;""),E68*G68,"")</f>
      </c>
      <c r="I68" s="245" t="n"/>
      <c r="J68" s="245" t="n"/>
    </row>
    <row r="69" ht="15" customHeight="1" s="71">
      <c r="A69" s="248" t="n">
        <v>64</v>
      </c>
      <c r="B69" s="249" t="n"/>
      <c r="C69" s="249" t="n"/>
      <c r="D69" s="249" t="n"/>
      <c r="E69" s="248" t="n"/>
      <c r="F69" s="248" t="n"/>
      <c r="G69" s="248" t="n"/>
      <c r="H69" s="250">
        <f>IF(AND(E69&lt;&gt;"",G69&lt;&gt;""),E69*G69,"")</f>
      </c>
      <c r="I69" s="249" t="n"/>
      <c r="J69" s="249" t="n"/>
    </row>
    <row r="70" ht="15" customHeight="1" s="71">
      <c r="A70" s="244" t="n">
        <v>65</v>
      </c>
      <c r="B70" s="245" t="n"/>
      <c r="C70" s="245" t="n"/>
      <c r="D70" s="245" t="n"/>
      <c r="E70" s="244" t="n"/>
      <c r="F70" s="244" t="n"/>
      <c r="G70" s="244" t="n"/>
      <c r="H70" s="246">
        <f>IF(AND(E70&lt;&gt;"",G70&lt;&gt;""),E70*G70,"")</f>
      </c>
      <c r="I70" s="245" t="n"/>
      <c r="J70" s="245" t="n"/>
    </row>
    <row r="71" ht="15" customHeight="1" s="71">
      <c r="A71" s="248" t="n">
        <v>66</v>
      </c>
      <c r="B71" s="249" t="n"/>
      <c r="C71" s="249" t="n"/>
      <c r="D71" s="249" t="n"/>
      <c r="E71" s="248" t="n"/>
      <c r="F71" s="248" t="n"/>
      <c r="G71" s="248" t="n"/>
      <c r="H71" s="250">
        <f>IF(AND(E71&lt;&gt;"",G71&lt;&gt;""),E71*G71,"")</f>
      </c>
      <c r="I71" s="249" t="n"/>
      <c r="J71" s="249" t="n"/>
    </row>
    <row r="72" ht="15" customHeight="1" s="71">
      <c r="A72" s="244" t="n">
        <v>67</v>
      </c>
      <c r="B72" s="245" t="n"/>
      <c r="C72" s="245" t="n"/>
      <c r="D72" s="245" t="n"/>
      <c r="E72" s="244" t="n"/>
      <c r="F72" s="244" t="n"/>
      <c r="G72" s="244" t="n"/>
      <c r="H72" s="246">
        <f>IF(AND(E72&lt;&gt;"",G72&lt;&gt;""),E72*G72,"")</f>
      </c>
      <c r="I72" s="245" t="n"/>
      <c r="J72" s="245" t="n"/>
    </row>
    <row r="73" ht="15" customHeight="1" s="71">
      <c r="A73" s="248" t="n">
        <v>68</v>
      </c>
      <c r="B73" s="249" t="n"/>
      <c r="C73" s="249" t="n"/>
      <c r="D73" s="249" t="n"/>
      <c r="E73" s="248" t="n"/>
      <c r="F73" s="248" t="n"/>
      <c r="G73" s="248" t="n"/>
      <c r="H73" s="250">
        <f>IF(AND(E73&lt;&gt;"",G73&lt;&gt;""),E73*G73,"")</f>
      </c>
      <c r="I73" s="249" t="n"/>
      <c r="J73" s="249" t="n"/>
    </row>
    <row r="74" ht="15" customHeight="1" s="71">
      <c r="A74" s="244" t="n">
        <v>69</v>
      </c>
      <c r="B74" s="245" t="n"/>
      <c r="C74" s="245" t="n"/>
      <c r="D74" s="245" t="n"/>
      <c r="E74" s="244" t="n"/>
      <c r="F74" s="244" t="n"/>
      <c r="G74" s="244" t="n"/>
      <c r="H74" s="246">
        <f>IF(AND(E74&lt;&gt;"",G74&lt;&gt;""),E74*G74,"")</f>
      </c>
      <c r="I74" s="245" t="n"/>
      <c r="J74" s="245" t="n"/>
    </row>
    <row r="75" ht="15" customHeight="1" s="71">
      <c r="A75" s="248" t="n">
        <v>70</v>
      </c>
      <c r="B75" s="249" t="n"/>
      <c r="C75" s="249" t="n"/>
      <c r="D75" s="249" t="n"/>
      <c r="E75" s="248" t="n"/>
      <c r="F75" s="248" t="n"/>
      <c r="G75" s="248" t="n"/>
      <c r="H75" s="250">
        <f>IF(AND(E75&lt;&gt;"",G75&lt;&gt;""),E75*G75,"")</f>
      </c>
      <c r="I75" s="249" t="n"/>
      <c r="J75" s="249" t="n"/>
    </row>
    <row r="76" ht="15" customHeight="1" s="71">
      <c r="A76" s="244" t="n">
        <v>71</v>
      </c>
      <c r="B76" s="245" t="n"/>
      <c r="C76" s="245" t="n"/>
      <c r="D76" s="245" t="n"/>
      <c r="E76" s="244" t="n"/>
      <c r="F76" s="244" t="n"/>
      <c r="G76" s="244" t="n"/>
      <c r="H76" s="246">
        <f>IF(AND(E76&lt;&gt;"",G76&lt;&gt;""),E76*G76,"")</f>
      </c>
      <c r="I76" s="245" t="n"/>
      <c r="J76" s="245" t="n"/>
    </row>
    <row r="77" ht="15" customHeight="1" s="71">
      <c r="A77" s="248" t="n">
        <v>72</v>
      </c>
      <c r="B77" s="249" t="n"/>
      <c r="C77" s="249" t="n"/>
      <c r="D77" s="249" t="n"/>
      <c r="E77" s="248" t="n"/>
      <c r="F77" s="248" t="n"/>
      <c r="G77" s="248" t="n"/>
      <c r="H77" s="250">
        <f>IF(AND(E77&lt;&gt;"",G77&lt;&gt;""),E77*G77,"")</f>
      </c>
      <c r="I77" s="249" t="n"/>
      <c r="J77" s="249" t="n"/>
    </row>
    <row r="78" ht="15" customHeight="1" s="71">
      <c r="A78" s="244" t="n">
        <v>73</v>
      </c>
      <c r="B78" s="245" t="n"/>
      <c r="C78" s="245" t="n"/>
      <c r="D78" s="245" t="n"/>
      <c r="E78" s="244" t="n"/>
      <c r="F78" s="244" t="n"/>
      <c r="G78" s="244" t="n"/>
      <c r="H78" s="246">
        <f>IF(AND(E78&lt;&gt;"",G78&lt;&gt;""),E78*G78,"")</f>
      </c>
      <c r="I78" s="245" t="n"/>
      <c r="J78" s="245" t="n"/>
    </row>
    <row r="79" ht="15" customHeight="1" s="71">
      <c r="A79" s="248" t="n">
        <v>74</v>
      </c>
      <c r="B79" s="249" t="n"/>
      <c r="C79" s="249" t="n"/>
      <c r="D79" s="249" t="n"/>
      <c r="E79" s="248" t="n"/>
      <c r="F79" s="248" t="n"/>
      <c r="G79" s="248" t="n"/>
      <c r="H79" s="250">
        <f>IF(AND(E79&lt;&gt;"",G79&lt;&gt;""),E79*G79,"")</f>
      </c>
      <c r="I79" s="249" t="n"/>
      <c r="J79" s="249" t="n"/>
    </row>
    <row r="80" ht="15" customHeight="1" s="71">
      <c r="A80" s="244" t="n">
        <v>75</v>
      </c>
      <c r="B80" s="245" t="n"/>
      <c r="C80" s="245" t="n"/>
      <c r="D80" s="245" t="n"/>
      <c r="E80" s="244" t="n"/>
      <c r="F80" s="244" t="n"/>
      <c r="G80" s="244" t="n"/>
      <c r="H80" s="246">
        <f>IF(AND(E80&lt;&gt;"",G80&lt;&gt;""),E80*G80,"")</f>
      </c>
      <c r="I80" s="245" t="n"/>
      <c r="J80" s="245" t="n"/>
    </row>
    <row r="81" ht="15" customHeight="1" s="71">
      <c r="A81" s="248" t="n">
        <v>76</v>
      </c>
      <c r="B81" s="249" t="n"/>
      <c r="C81" s="249" t="n"/>
      <c r="D81" s="249" t="n"/>
      <c r="E81" s="248" t="n"/>
      <c r="F81" s="248" t="n"/>
      <c r="G81" s="248" t="n"/>
      <c r="H81" s="250">
        <f>IF(AND(E81&lt;&gt;"",G81&lt;&gt;""),E81*G81,"")</f>
      </c>
      <c r="I81" s="249" t="n"/>
      <c r="J81" s="249" t="n"/>
    </row>
    <row r="82" ht="15" customHeight="1" s="71">
      <c r="A82" s="244" t="n">
        <v>77</v>
      </c>
      <c r="B82" s="245" t="n"/>
      <c r="C82" s="245" t="n"/>
      <c r="D82" s="245" t="n"/>
      <c r="E82" s="244" t="n"/>
      <c r="F82" s="244" t="n"/>
      <c r="G82" s="244" t="n"/>
      <c r="H82" s="246">
        <f>IF(AND(E82&lt;&gt;"",G82&lt;&gt;""),E82*G82,"")</f>
      </c>
      <c r="I82" s="245" t="n"/>
      <c r="J82" s="245" t="n"/>
    </row>
    <row r="83" ht="15" customHeight="1" s="71">
      <c r="A83" s="248" t="n">
        <v>78</v>
      </c>
      <c r="B83" s="249" t="n"/>
      <c r="C83" s="249" t="n"/>
      <c r="D83" s="249" t="n"/>
      <c r="E83" s="248" t="n"/>
      <c r="F83" s="248" t="n"/>
      <c r="G83" s="248" t="n"/>
      <c r="H83" s="250">
        <f>IF(AND(E83&lt;&gt;"",G83&lt;&gt;""),E83*G83,"")</f>
      </c>
      <c r="I83" s="249" t="n"/>
      <c r="J83" s="249" t="n"/>
    </row>
    <row r="84" ht="15" customHeight="1" s="71">
      <c r="A84" s="244" t="n">
        <v>79</v>
      </c>
      <c r="B84" s="245" t="n"/>
      <c r="C84" s="245" t="n"/>
      <c r="D84" s="245" t="n"/>
      <c r="E84" s="244" t="n"/>
      <c r="F84" s="244" t="n"/>
      <c r="G84" s="244" t="n"/>
      <c r="H84" s="246">
        <f>IF(AND(E84&lt;&gt;"",G84&lt;&gt;""),E84*G84,"")</f>
      </c>
      <c r="I84" s="245" t="n"/>
      <c r="J84" s="245" t="n"/>
    </row>
    <row r="85" ht="15" customHeight="1" s="71">
      <c r="A85" s="248" t="n">
        <v>80</v>
      </c>
      <c r="B85" s="249" t="n"/>
      <c r="C85" s="249" t="n"/>
      <c r="D85" s="249" t="n"/>
      <c r="E85" s="248" t="n"/>
      <c r="F85" s="248" t="n"/>
      <c r="G85" s="248" t="n"/>
      <c r="H85" s="250">
        <f>IF(AND(E85&lt;&gt;"",G85&lt;&gt;""),E85*G85,"")</f>
      </c>
      <c r="I85" s="249" t="n"/>
      <c r="J85" s="249" t="n"/>
    </row>
    <row r="86" ht="15" customHeight="1" s="71">
      <c r="A86" s="244" t="n">
        <v>81</v>
      </c>
      <c r="B86" s="245" t="n"/>
      <c r="C86" s="245" t="n"/>
      <c r="D86" s="245" t="n"/>
      <c r="E86" s="244" t="n"/>
      <c r="F86" s="244" t="n"/>
      <c r="G86" s="244" t="n"/>
      <c r="H86" s="246">
        <f>IF(AND(E86&lt;&gt;"",G86&lt;&gt;""),E86*G86,"")</f>
      </c>
      <c r="I86" s="245" t="n"/>
      <c r="J86" s="245" t="n"/>
    </row>
    <row r="87" ht="15" customHeight="1" s="71">
      <c r="A87" s="248" t="n">
        <v>82</v>
      </c>
      <c r="B87" s="249" t="n"/>
      <c r="C87" s="249" t="n"/>
      <c r="D87" s="249" t="n"/>
      <c r="E87" s="248" t="n"/>
      <c r="F87" s="248" t="n"/>
      <c r="G87" s="248" t="n"/>
      <c r="H87" s="250">
        <f>IF(AND(E87&lt;&gt;"",G87&lt;&gt;""),E87*G87,"")</f>
      </c>
      <c r="I87" s="249" t="n"/>
      <c r="J87" s="249" t="n"/>
    </row>
    <row r="88" ht="15" customHeight="1" s="71">
      <c r="A88" s="244" t="n">
        <v>83</v>
      </c>
      <c r="B88" s="245" t="n"/>
      <c r="C88" s="245" t="n"/>
      <c r="D88" s="245" t="n"/>
      <c r="E88" s="244" t="n"/>
      <c r="F88" s="244" t="n"/>
      <c r="G88" s="244" t="n"/>
      <c r="H88" s="246">
        <f>IF(AND(E88&lt;&gt;"",G88&lt;&gt;""),E88*G88,"")</f>
      </c>
      <c r="I88" s="245" t="n"/>
      <c r="J88" s="245" t="n"/>
    </row>
    <row r="89" ht="15" customHeight="1" s="71">
      <c r="A89" s="248" t="n">
        <v>84</v>
      </c>
      <c r="B89" s="249" t="n"/>
      <c r="C89" s="249" t="n"/>
      <c r="D89" s="249" t="n"/>
      <c r="E89" s="248" t="n"/>
      <c r="F89" s="248" t="n"/>
      <c r="G89" s="248" t="n"/>
      <c r="H89" s="250">
        <f>IF(AND(E89&lt;&gt;"",G89&lt;&gt;""),E89*G89,"")</f>
      </c>
      <c r="I89" s="249" t="n"/>
      <c r="J89" s="249" t="n"/>
    </row>
    <row r="90" ht="15" customHeight="1" s="71">
      <c r="A90" s="244" t="n">
        <v>85</v>
      </c>
      <c r="B90" s="245" t="n"/>
      <c r="C90" s="245" t="n"/>
      <c r="D90" s="245" t="n"/>
      <c r="E90" s="244" t="n"/>
      <c r="F90" s="244" t="n"/>
      <c r="G90" s="244" t="n"/>
      <c r="H90" s="246">
        <f>IF(AND(E90&lt;&gt;"",G90&lt;&gt;""),E90*G90,"")</f>
      </c>
      <c r="I90" s="245" t="n"/>
      <c r="J90" s="245" t="n"/>
    </row>
    <row r="91" ht="15" customHeight="1" s="71">
      <c r="A91" s="248" t="n">
        <v>86</v>
      </c>
      <c r="B91" s="249" t="n"/>
      <c r="C91" s="249" t="n"/>
      <c r="D91" s="249" t="n"/>
      <c r="E91" s="248" t="n"/>
      <c r="F91" s="248" t="n"/>
      <c r="G91" s="248" t="n"/>
      <c r="H91" s="250">
        <f>IF(AND(E91&lt;&gt;"",G91&lt;&gt;""),E91*G91,"")</f>
      </c>
      <c r="I91" s="249" t="n"/>
      <c r="J91" s="249" t="n"/>
    </row>
    <row r="92" ht="15" customHeight="1" s="71">
      <c r="A92" s="244" t="n">
        <v>87</v>
      </c>
      <c r="B92" s="245" t="n"/>
      <c r="C92" s="245" t="n"/>
      <c r="D92" s="245" t="n"/>
      <c r="E92" s="244" t="n"/>
      <c r="F92" s="244" t="n"/>
      <c r="G92" s="244" t="n"/>
      <c r="H92" s="246">
        <f>IF(AND(E92&lt;&gt;"",G92&lt;&gt;""),E92*G92,"")</f>
      </c>
      <c r="I92" s="245" t="n"/>
      <c r="J92" s="245" t="n"/>
    </row>
    <row r="93" ht="15" customHeight="1" s="71">
      <c r="A93" s="248" t="n">
        <v>88</v>
      </c>
      <c r="B93" s="249" t="n"/>
      <c r="C93" s="249" t="n"/>
      <c r="D93" s="249" t="n"/>
      <c r="E93" s="248" t="n"/>
      <c r="F93" s="248" t="n"/>
      <c r="G93" s="248" t="n"/>
      <c r="H93" s="250">
        <f>IF(AND(E93&lt;&gt;"",G93&lt;&gt;""),E93*G93,"")</f>
      </c>
      <c r="I93" s="249" t="n"/>
      <c r="J93" s="249" t="n"/>
    </row>
    <row r="94" ht="15" customHeight="1" s="71">
      <c r="A94" s="244" t="n">
        <v>89</v>
      </c>
      <c r="B94" s="245" t="n"/>
      <c r="C94" s="245" t="n"/>
      <c r="D94" s="245" t="n"/>
      <c r="E94" s="244" t="n"/>
      <c r="F94" s="244" t="n"/>
      <c r="G94" s="244" t="n"/>
      <c r="H94" s="246">
        <f>IF(AND(E94&lt;&gt;"",G94&lt;&gt;""),E94*G94,"")</f>
      </c>
      <c r="I94" s="245" t="n"/>
      <c r="J94" s="245" t="n"/>
    </row>
    <row r="95" ht="15" customHeight="1" s="71">
      <c r="A95" s="248" t="n">
        <v>90</v>
      </c>
      <c r="B95" s="249" t="n"/>
      <c r="C95" s="249" t="n"/>
      <c r="D95" s="249" t="n"/>
      <c r="E95" s="248" t="n"/>
      <c r="F95" s="248" t="n"/>
      <c r="G95" s="248" t="n"/>
      <c r="H95" s="250">
        <f>IF(AND(E95&lt;&gt;"",G95&lt;&gt;""),E95*G95,"")</f>
      </c>
      <c r="I95" s="249" t="n"/>
      <c r="J95" s="249" t="n"/>
    </row>
    <row r="96" ht="15" customHeight="1" s="71">
      <c r="A96" s="244" t="n">
        <v>91</v>
      </c>
      <c r="B96" s="245" t="n"/>
      <c r="C96" s="245" t="n"/>
      <c r="D96" s="245" t="n"/>
      <c r="E96" s="244" t="n"/>
      <c r="F96" s="244" t="n"/>
      <c r="G96" s="244" t="n"/>
      <c r="H96" s="246">
        <f>IF(AND(E96&lt;&gt;"",G96&lt;&gt;""),E96*G96,"")</f>
      </c>
      <c r="I96" s="245" t="n"/>
      <c r="J96" s="245" t="n"/>
    </row>
    <row r="97" ht="15" customHeight="1" s="71">
      <c r="A97" s="248" t="n">
        <v>92</v>
      </c>
      <c r="B97" s="249" t="n"/>
      <c r="C97" s="249" t="n"/>
      <c r="D97" s="249" t="n"/>
      <c r="E97" s="248" t="n"/>
      <c r="F97" s="248" t="n"/>
      <c r="G97" s="248" t="n"/>
      <c r="H97" s="250">
        <f>IF(AND(E97&lt;&gt;"",G97&lt;&gt;""),E97*G97,"")</f>
      </c>
      <c r="I97" s="249" t="n"/>
      <c r="J97" s="249" t="n"/>
    </row>
    <row r="98" ht="15" customHeight="1" s="71">
      <c r="A98" s="244" t="n">
        <v>93</v>
      </c>
      <c r="B98" s="245" t="n"/>
      <c r="C98" s="245" t="n"/>
      <c r="D98" s="245" t="n"/>
      <c r="E98" s="244" t="n"/>
      <c r="F98" s="244" t="n"/>
      <c r="G98" s="244" t="n"/>
      <c r="H98" s="246">
        <f>IF(AND(E98&lt;&gt;"",G98&lt;&gt;""),E98*G98,"")</f>
      </c>
      <c r="I98" s="245" t="n"/>
      <c r="J98" s="245" t="n"/>
    </row>
    <row r="99" ht="15" customHeight="1" s="71">
      <c r="A99" s="248" t="n">
        <v>94</v>
      </c>
      <c r="B99" s="249" t="n"/>
      <c r="C99" s="249" t="n"/>
      <c r="D99" s="249" t="n"/>
      <c r="E99" s="248" t="n"/>
      <c r="F99" s="248" t="n"/>
      <c r="G99" s="248" t="n"/>
      <c r="H99" s="250">
        <f>IF(AND(E99&lt;&gt;"",G99&lt;&gt;""),E99*G99,"")</f>
      </c>
      <c r="I99" s="249" t="n"/>
      <c r="J99" s="249" t="n"/>
    </row>
    <row r="100" ht="15" customHeight="1" s="71">
      <c r="A100" s="244" t="n">
        <v>95</v>
      </c>
      <c r="B100" s="245" t="n"/>
      <c r="C100" s="245" t="n"/>
      <c r="D100" s="245" t="n"/>
      <c r="E100" s="244" t="n"/>
      <c r="F100" s="244" t="n"/>
      <c r="G100" s="244" t="n"/>
      <c r="H100" s="246">
        <f>IF(AND(E100&lt;&gt;"",G100&lt;&gt;""),E100*G100,"")</f>
      </c>
      <c r="I100" s="245" t="n"/>
      <c r="J100" s="245" t="n"/>
    </row>
    <row r="101" ht="15" customHeight="1" s="71">
      <c r="A101" s="248" t="n">
        <v>96</v>
      </c>
      <c r="B101" s="249" t="n"/>
      <c r="C101" s="249" t="n"/>
      <c r="D101" s="249" t="n"/>
      <c r="E101" s="248" t="n"/>
      <c r="F101" s="248" t="n"/>
      <c r="G101" s="248" t="n"/>
      <c r="H101" s="250">
        <f>IF(AND(E101&lt;&gt;"",G101&lt;&gt;""),E101*G101,"")</f>
      </c>
      <c r="I101" s="249" t="n"/>
      <c r="J101" s="249" t="n"/>
    </row>
    <row r="102" ht="15" customHeight="1" s="71">
      <c r="A102" s="244" t="n">
        <v>97</v>
      </c>
      <c r="B102" s="245" t="n"/>
      <c r="C102" s="245" t="n"/>
      <c r="D102" s="245" t="n"/>
      <c r="E102" s="244" t="n"/>
      <c r="F102" s="244" t="n"/>
      <c r="G102" s="244" t="n"/>
      <c r="H102" s="246">
        <f>IF(AND(E102&lt;&gt;"",G102&lt;&gt;""),E102*G102,"")</f>
      </c>
      <c r="I102" s="245" t="n"/>
      <c r="J102" s="245" t="n"/>
    </row>
    <row r="103" ht="15" customHeight="1" s="71">
      <c r="A103" s="248" t="n">
        <v>98</v>
      </c>
      <c r="B103" s="249" t="n"/>
      <c r="C103" s="249" t="n"/>
      <c r="D103" s="249" t="n"/>
      <c r="E103" s="248" t="n"/>
      <c r="F103" s="248" t="n"/>
      <c r="G103" s="248" t="n"/>
      <c r="H103" s="250">
        <f>IF(AND(E103&lt;&gt;"",G103&lt;&gt;""),E103*G103,"")</f>
      </c>
      <c r="I103" s="249" t="n"/>
      <c r="J103" s="249" t="n"/>
    </row>
    <row r="104" ht="15" customHeight="1" s="71">
      <c r="A104" s="244" t="n">
        <v>99</v>
      </c>
      <c r="B104" s="245" t="n"/>
      <c r="C104" s="245" t="n"/>
      <c r="D104" s="245" t="n"/>
      <c r="E104" s="244" t="n"/>
      <c r="F104" s="244" t="n"/>
      <c r="G104" s="244" t="n"/>
      <c r="H104" s="246">
        <f>IF(AND(E104&lt;&gt;"",G104&lt;&gt;""),E104*G104,"")</f>
      </c>
      <c r="I104" s="245" t="n"/>
      <c r="J104" s="245" t="n"/>
    </row>
    <row r="105" ht="15" customHeight="1" s="71">
      <c r="A105" s="248" t="n">
        <v>100</v>
      </c>
      <c r="B105" s="249" t="n"/>
      <c r="C105" s="249" t="n"/>
      <c r="D105" s="249" t="n"/>
      <c r="E105" s="248" t="n"/>
      <c r="F105" s="248" t="n"/>
      <c r="G105" s="248" t="n"/>
      <c r="H105" s="250">
        <f>IF(AND(E105&lt;&gt;"",G105&lt;&gt;""),E105*G105,"")</f>
      </c>
      <c r="I105" s="249" t="n"/>
      <c r="J105" s="249" t="n"/>
    </row>
    <row r="106" ht="15" customHeight="1" s="71">
      <c r="A106" s="244" t="n">
        <v>101</v>
      </c>
      <c r="B106" s="245" t="n"/>
      <c r="C106" s="245" t="n"/>
      <c r="D106" s="245" t="n"/>
      <c r="E106" s="244" t="n"/>
      <c r="F106" s="244" t="n"/>
      <c r="G106" s="244" t="n"/>
      <c r="H106" s="246">
        <f>IF(AND(E106&lt;&gt;"",G106&lt;&gt;""),E106*G106,"")</f>
      </c>
      <c r="I106" s="245" t="n"/>
      <c r="J106" s="245" t="n"/>
    </row>
    <row r="107" ht="15" customHeight="1" s="71">
      <c r="A107" s="248" t="n">
        <v>102</v>
      </c>
      <c r="B107" s="249" t="n"/>
      <c r="C107" s="249" t="n"/>
      <c r="D107" s="249" t="n"/>
      <c r="E107" s="248" t="n"/>
      <c r="F107" s="248" t="n"/>
      <c r="G107" s="248" t="n"/>
      <c r="H107" s="250">
        <f>IF(AND(E107&lt;&gt;"",G107&lt;&gt;""),E107*G107,"")</f>
      </c>
      <c r="I107" s="249" t="n"/>
      <c r="J107" s="249" t="n"/>
    </row>
    <row r="108" ht="15" customHeight="1" s="71">
      <c r="A108" s="244" t="n">
        <v>103</v>
      </c>
      <c r="B108" s="245" t="n"/>
      <c r="C108" s="245" t="n"/>
      <c r="D108" s="245" t="n"/>
      <c r="E108" s="244" t="n"/>
      <c r="F108" s="244" t="n"/>
      <c r="G108" s="244" t="n"/>
      <c r="H108" s="246">
        <f>IF(AND(E108&lt;&gt;"",G108&lt;&gt;""),E108*G108,"")</f>
      </c>
      <c r="I108" s="245" t="n"/>
      <c r="J108" s="245" t="n"/>
    </row>
    <row r="109" ht="15" customHeight="1" s="71">
      <c r="A109" s="248" t="n">
        <v>104</v>
      </c>
      <c r="B109" s="249" t="n"/>
      <c r="C109" s="249" t="n"/>
      <c r="D109" s="249" t="n"/>
      <c r="E109" s="248" t="n"/>
      <c r="F109" s="248" t="n"/>
      <c r="G109" s="248" t="n"/>
      <c r="H109" s="250">
        <f>IF(AND(E109&lt;&gt;"",G109&lt;&gt;""),E109*G109,"")</f>
      </c>
      <c r="I109" s="249" t="n"/>
      <c r="J109" s="249" t="n"/>
    </row>
    <row r="110" ht="15" customHeight="1" s="71">
      <c r="A110" s="244" t="n">
        <v>105</v>
      </c>
      <c r="B110" s="245" t="n"/>
      <c r="C110" s="245" t="n"/>
      <c r="D110" s="245" t="n"/>
      <c r="E110" s="244" t="n"/>
      <c r="F110" s="244" t="n"/>
      <c r="G110" s="244" t="n"/>
      <c r="H110" s="246">
        <f>IF(AND(E110&lt;&gt;"",G110&lt;&gt;""),E110*G110,"")</f>
      </c>
      <c r="I110" s="245" t="n"/>
      <c r="J110" s="245" t="n"/>
    </row>
    <row r="111" ht="15" customHeight="1" s="71">
      <c r="A111" s="248" t="n">
        <v>106</v>
      </c>
      <c r="B111" s="249" t="n"/>
      <c r="C111" s="249" t="n"/>
      <c r="D111" s="249" t="n"/>
      <c r="E111" s="248" t="n"/>
      <c r="F111" s="248" t="n"/>
      <c r="G111" s="248" t="n"/>
      <c r="H111" s="250">
        <f>IF(AND(E111&lt;&gt;"",G111&lt;&gt;""),E111*G111,"")</f>
      </c>
      <c r="I111" s="249" t="n"/>
      <c r="J111" s="249" t="n"/>
    </row>
    <row r="112" ht="15" customHeight="1" s="71">
      <c r="A112" s="244" t="n">
        <v>107</v>
      </c>
      <c r="B112" s="245" t="n"/>
      <c r="C112" s="245" t="n"/>
      <c r="D112" s="245" t="n"/>
      <c r="E112" s="244" t="n"/>
      <c r="F112" s="244" t="n"/>
      <c r="G112" s="244" t="n"/>
      <c r="H112" s="246">
        <f>IF(AND(E112&lt;&gt;"",G112&lt;&gt;""),E112*G112,"")</f>
      </c>
      <c r="I112" s="245" t="n"/>
      <c r="J112" s="245" t="n"/>
    </row>
    <row r="113" ht="15" customHeight="1" s="71">
      <c r="A113" s="248" t="n">
        <v>108</v>
      </c>
      <c r="B113" s="249" t="n"/>
      <c r="C113" s="249" t="n"/>
      <c r="D113" s="249" t="n"/>
      <c r="E113" s="248" t="n"/>
      <c r="F113" s="248" t="n"/>
      <c r="G113" s="248" t="n"/>
      <c r="H113" s="250">
        <f>IF(AND(E113&lt;&gt;"",G113&lt;&gt;""),E113*G113,"")</f>
      </c>
      <c r="I113" s="249" t="n"/>
      <c r="J113" s="249" t="n"/>
    </row>
    <row r="114" ht="15" customHeight="1" s="71">
      <c r="A114" s="244" t="n">
        <v>109</v>
      </c>
      <c r="B114" s="245" t="n"/>
      <c r="C114" s="245" t="n"/>
      <c r="D114" s="245" t="n"/>
      <c r="E114" s="244" t="n"/>
      <c r="F114" s="244" t="n"/>
      <c r="G114" s="244" t="n"/>
      <c r="H114" s="246">
        <f>IF(AND(E114&lt;&gt;"",G114&lt;&gt;""),E114*G114,"")</f>
      </c>
      <c r="I114" s="245" t="n"/>
      <c r="J114" s="245" t="n"/>
    </row>
    <row r="115" ht="15" customHeight="1" s="71">
      <c r="A115" s="248" t="n">
        <v>110</v>
      </c>
      <c r="B115" s="249" t="n"/>
      <c r="C115" s="249" t="n"/>
      <c r="D115" s="249" t="n"/>
      <c r="E115" s="248" t="n"/>
      <c r="F115" s="248" t="n"/>
      <c r="G115" s="248" t="n"/>
      <c r="H115" s="250">
        <f>IF(AND(E115&lt;&gt;"",G115&lt;&gt;""),E115*G115,"")</f>
      </c>
      <c r="I115" s="249" t="n"/>
      <c r="J115" s="249" t="n"/>
    </row>
    <row r="116" ht="15" customHeight="1" s="71">
      <c r="A116" s="244" t="n">
        <v>111</v>
      </c>
      <c r="B116" s="245" t="n"/>
      <c r="C116" s="245" t="n"/>
      <c r="D116" s="245" t="n"/>
      <c r="E116" s="244" t="n"/>
      <c r="F116" s="244" t="n"/>
      <c r="G116" s="244" t="n"/>
      <c r="H116" s="246">
        <f>IF(AND(E116&lt;&gt;"",G116&lt;&gt;""),E116*G116,"")</f>
      </c>
      <c r="I116" s="245" t="n"/>
      <c r="J116" s="245" t="n"/>
    </row>
    <row r="117" ht="15" customHeight="1" s="71">
      <c r="A117" s="248" t="n">
        <v>112</v>
      </c>
      <c r="B117" s="249" t="n"/>
      <c r="C117" s="249" t="n"/>
      <c r="D117" s="249" t="n"/>
      <c r="E117" s="248" t="n"/>
      <c r="F117" s="248" t="n"/>
      <c r="G117" s="248" t="n"/>
      <c r="H117" s="250">
        <f>IF(AND(E117&lt;&gt;"",G117&lt;&gt;""),E117*G117,"")</f>
      </c>
      <c r="I117" s="249" t="n"/>
      <c r="J117" s="249" t="n"/>
    </row>
    <row r="118" ht="15" customHeight="1" s="71">
      <c r="A118" s="244" t="n">
        <v>113</v>
      </c>
      <c r="B118" s="245" t="n"/>
      <c r="C118" s="245" t="n"/>
      <c r="D118" s="245" t="n"/>
      <c r="E118" s="244" t="n"/>
      <c r="F118" s="244" t="n"/>
      <c r="G118" s="244" t="n"/>
      <c r="H118" s="246">
        <f>IF(AND(E118&lt;&gt;"",G118&lt;&gt;""),E118*G118,"")</f>
      </c>
      <c r="I118" s="245" t="n"/>
      <c r="J118" s="245" t="n"/>
    </row>
    <row r="119" ht="15" customHeight="1" s="71">
      <c r="A119" s="248" t="n">
        <v>114</v>
      </c>
      <c r="B119" s="249" t="n"/>
      <c r="C119" s="249" t="n"/>
      <c r="D119" s="249" t="n"/>
      <c r="E119" s="248" t="n"/>
      <c r="F119" s="248" t="n"/>
      <c r="G119" s="248" t="n"/>
      <c r="H119" s="250">
        <f>IF(AND(E119&lt;&gt;"",G119&lt;&gt;""),E119*G119,"")</f>
      </c>
      <c r="I119" s="249" t="n"/>
      <c r="J119" s="249" t="n"/>
    </row>
    <row r="120" ht="15" customHeight="1" s="71">
      <c r="A120" s="244" t="n">
        <v>115</v>
      </c>
      <c r="B120" s="245" t="n"/>
      <c r="C120" s="245" t="n"/>
      <c r="D120" s="245" t="n"/>
      <c r="E120" s="244" t="n"/>
      <c r="F120" s="244" t="n"/>
      <c r="G120" s="244" t="n"/>
      <c r="H120" s="246">
        <f>IF(AND(E120&lt;&gt;"",G120&lt;&gt;""),E120*G120,"")</f>
      </c>
      <c r="I120" s="245" t="n"/>
      <c r="J120" s="245" t="n"/>
    </row>
    <row r="121" ht="15" customHeight="1" s="71">
      <c r="A121" s="248" t="n">
        <v>116</v>
      </c>
      <c r="B121" s="249" t="n"/>
      <c r="C121" s="249" t="n"/>
      <c r="D121" s="249" t="n"/>
      <c r="E121" s="248" t="n"/>
      <c r="F121" s="248" t="n"/>
      <c r="G121" s="248" t="n"/>
      <c r="H121" s="250">
        <f>IF(AND(E121&lt;&gt;"",G121&lt;&gt;""),E121*G121,"")</f>
      </c>
      <c r="I121" s="249" t="n"/>
      <c r="J121" s="249" t="n"/>
    </row>
    <row r="122" ht="15" customHeight="1" s="71">
      <c r="A122" s="244" t="n">
        <v>117</v>
      </c>
      <c r="B122" s="245" t="n"/>
      <c r="C122" s="245" t="n"/>
      <c r="D122" s="245" t="n"/>
      <c r="E122" s="244" t="n"/>
      <c r="F122" s="244" t="n"/>
      <c r="G122" s="244" t="n"/>
      <c r="H122" s="246">
        <f>IF(AND(E122&lt;&gt;"",G122&lt;&gt;""),E122*G122,"")</f>
      </c>
      <c r="I122" s="245" t="n"/>
      <c r="J122" s="245" t="n"/>
    </row>
    <row r="123" ht="15" customHeight="1" s="71">
      <c r="A123" s="248" t="n">
        <v>118</v>
      </c>
      <c r="B123" s="249" t="n"/>
      <c r="C123" s="249" t="n"/>
      <c r="D123" s="249" t="n"/>
      <c r="E123" s="248" t="n"/>
      <c r="F123" s="248" t="n"/>
      <c r="G123" s="248" t="n"/>
      <c r="H123" s="250">
        <f>IF(AND(E123&lt;&gt;"",G123&lt;&gt;""),E123*G123,"")</f>
      </c>
      <c r="I123" s="249" t="n"/>
      <c r="J123" s="249" t="n"/>
    </row>
    <row r="124" ht="15" customHeight="1" s="71">
      <c r="A124" s="244" t="n">
        <v>119</v>
      </c>
      <c r="B124" s="245" t="n"/>
      <c r="C124" s="245" t="n"/>
      <c r="D124" s="245" t="n"/>
      <c r="E124" s="244" t="n"/>
      <c r="F124" s="244" t="n"/>
      <c r="G124" s="244" t="n"/>
      <c r="H124" s="246">
        <f>IF(AND(E124&lt;&gt;"",G124&lt;&gt;""),E124*G124,"")</f>
      </c>
      <c r="I124" s="245" t="n"/>
      <c r="J124" s="245" t="n"/>
    </row>
    <row r="125" ht="15" customHeight="1" s="71">
      <c r="A125" s="248" t="n">
        <v>120</v>
      </c>
      <c r="B125" s="249" t="n"/>
      <c r="C125" s="249" t="n"/>
      <c r="D125" s="249" t="n"/>
      <c r="E125" s="248" t="n"/>
      <c r="F125" s="248" t="n"/>
      <c r="G125" s="248" t="n"/>
      <c r="H125" s="250">
        <f>IF(AND(E125&lt;&gt;"",G125&lt;&gt;""),E125*G125,"")</f>
      </c>
      <c r="I125" s="249" t="n"/>
      <c r="J125" s="249" t="n"/>
    </row>
    <row r="126" ht="15" customHeight="1" s="71">
      <c r="A126" s="244" t="n">
        <v>121</v>
      </c>
      <c r="B126" s="245" t="n"/>
      <c r="C126" s="245" t="n"/>
      <c r="D126" s="245" t="n"/>
      <c r="E126" s="244" t="n"/>
      <c r="F126" s="244" t="n"/>
      <c r="G126" s="244" t="n"/>
      <c r="H126" s="246">
        <f>IF(AND(E126&lt;&gt;"",G126&lt;&gt;""),E126*G126,"")</f>
      </c>
      <c r="I126" s="245" t="n"/>
      <c r="J126" s="245" t="n"/>
    </row>
    <row r="127" ht="15" customHeight="1" s="71">
      <c r="A127" s="248" t="n">
        <v>122</v>
      </c>
      <c r="B127" s="249" t="n"/>
      <c r="C127" s="249" t="n"/>
      <c r="D127" s="249" t="n"/>
      <c r="E127" s="248" t="n"/>
      <c r="F127" s="248" t="n"/>
      <c r="G127" s="248" t="n"/>
      <c r="H127" s="250">
        <f>IF(AND(E127&lt;&gt;"",G127&lt;&gt;""),E127*G127,"")</f>
      </c>
      <c r="I127" s="249" t="n"/>
      <c r="J127" s="249" t="n"/>
    </row>
    <row r="128" ht="15" customHeight="1" s="71">
      <c r="A128" s="244" t="n">
        <v>123</v>
      </c>
      <c r="B128" s="245" t="n"/>
      <c r="C128" s="245" t="n"/>
      <c r="D128" s="245" t="n"/>
      <c r="E128" s="244" t="n"/>
      <c r="F128" s="244" t="n"/>
      <c r="G128" s="244" t="n"/>
      <c r="H128" s="246">
        <f>IF(AND(E128&lt;&gt;"",G128&lt;&gt;""),E128*G128,"")</f>
      </c>
      <c r="I128" s="245" t="n"/>
      <c r="J128" s="245" t="n"/>
    </row>
    <row r="129" ht="15" customHeight="1" s="71">
      <c r="A129" s="248" t="n">
        <v>124</v>
      </c>
      <c r="B129" s="249" t="n"/>
      <c r="C129" s="249" t="n"/>
      <c r="D129" s="249" t="n"/>
      <c r="E129" s="248" t="n"/>
      <c r="F129" s="248" t="n"/>
      <c r="G129" s="248" t="n"/>
      <c r="H129" s="250">
        <f>IF(AND(E129&lt;&gt;"",G129&lt;&gt;""),E129*G129,"")</f>
      </c>
      <c r="I129" s="249" t="n"/>
      <c r="J129" s="249" t="n"/>
    </row>
    <row r="130" ht="15" customHeight="1" s="71">
      <c r="A130" s="244" t="n">
        <v>125</v>
      </c>
      <c r="B130" s="245" t="n"/>
      <c r="C130" s="245" t="n"/>
      <c r="D130" s="245" t="n"/>
      <c r="E130" s="244" t="n"/>
      <c r="F130" s="244" t="n"/>
      <c r="G130" s="244" t="n"/>
      <c r="H130" s="246">
        <f>IF(AND(E130&lt;&gt;"",G130&lt;&gt;""),E130*G130,"")</f>
      </c>
      <c r="I130" s="245" t="n"/>
      <c r="J130" s="245" t="n"/>
    </row>
    <row r="131" ht="15" customHeight="1" s="71">
      <c r="A131" s="248" t="n">
        <v>126</v>
      </c>
      <c r="B131" s="249" t="n"/>
      <c r="C131" s="249" t="n"/>
      <c r="D131" s="249" t="n"/>
      <c r="E131" s="248" t="n"/>
      <c r="F131" s="248" t="n"/>
      <c r="G131" s="248" t="n"/>
      <c r="H131" s="250">
        <f>IF(AND(E131&lt;&gt;"",G131&lt;&gt;""),E131*G131,"")</f>
      </c>
      <c r="I131" s="249" t="n"/>
      <c r="J131" s="249" t="n"/>
    </row>
    <row r="132" ht="15" customHeight="1" s="71">
      <c r="A132" s="244" t="n">
        <v>127</v>
      </c>
      <c r="B132" s="245" t="n"/>
      <c r="C132" s="245" t="n"/>
      <c r="D132" s="245" t="n"/>
      <c r="E132" s="244" t="n"/>
      <c r="F132" s="244" t="n"/>
      <c r="G132" s="244" t="n"/>
      <c r="H132" s="246">
        <f>IF(AND(E132&lt;&gt;"",G132&lt;&gt;""),E132*G132,"")</f>
      </c>
      <c r="I132" s="245" t="n"/>
      <c r="J132" s="245" t="n"/>
    </row>
    <row r="133" ht="15" customHeight="1" s="71">
      <c r="A133" s="248" t="n">
        <v>128</v>
      </c>
      <c r="B133" s="249" t="n"/>
      <c r="C133" s="249" t="n"/>
      <c r="D133" s="249" t="n"/>
      <c r="E133" s="248" t="n"/>
      <c r="F133" s="248" t="n"/>
      <c r="G133" s="248" t="n"/>
      <c r="H133" s="250">
        <f>IF(AND(E133&lt;&gt;"",G133&lt;&gt;""),E133*G133,"")</f>
      </c>
      <c r="I133" s="249" t="n"/>
      <c r="J133" s="249" t="n"/>
    </row>
    <row r="134" ht="15" customHeight="1" s="71">
      <c r="A134" s="244" t="n">
        <v>129</v>
      </c>
      <c r="B134" s="245" t="n"/>
      <c r="C134" s="245" t="n"/>
      <c r="D134" s="245" t="n"/>
      <c r="E134" s="244" t="n"/>
      <c r="F134" s="244" t="n"/>
      <c r="G134" s="244" t="n"/>
      <c r="H134" s="246">
        <f>IF(AND(E134&lt;&gt;"",G134&lt;&gt;""),E134*G134,"")</f>
      </c>
      <c r="I134" s="245" t="n"/>
      <c r="J134" s="245" t="n"/>
    </row>
    <row r="135" ht="15" customHeight="1" s="71">
      <c r="A135" s="248" t="n">
        <v>130</v>
      </c>
      <c r="B135" s="249" t="n"/>
      <c r="C135" s="249" t="n"/>
      <c r="D135" s="249" t="n"/>
      <c r="E135" s="248" t="n"/>
      <c r="F135" s="248" t="n"/>
      <c r="G135" s="248" t="n"/>
      <c r="H135" s="250">
        <f>IF(AND(E135&lt;&gt;"",G135&lt;&gt;""),E135*G135,"")</f>
      </c>
      <c r="I135" s="249" t="n"/>
      <c r="J135" s="249" t="n"/>
    </row>
    <row r="136" ht="15" customHeight="1" s="71">
      <c r="A136" s="244" t="n">
        <v>131</v>
      </c>
      <c r="B136" s="245" t="n"/>
      <c r="C136" s="245" t="n"/>
      <c r="D136" s="245" t="n"/>
      <c r="E136" s="244" t="n"/>
      <c r="F136" s="244" t="n"/>
      <c r="G136" s="244" t="n"/>
      <c r="H136" s="246">
        <f>IF(AND(E136&lt;&gt;"",G136&lt;&gt;""),E136*G136,"")</f>
      </c>
      <c r="I136" s="245" t="n"/>
      <c r="J136" s="245" t="n"/>
    </row>
    <row r="137" ht="15" customHeight="1" s="71">
      <c r="A137" s="248" t="n">
        <v>132</v>
      </c>
      <c r="B137" s="249" t="n"/>
      <c r="C137" s="249" t="n"/>
      <c r="D137" s="249" t="n"/>
      <c r="E137" s="248" t="n"/>
      <c r="F137" s="248" t="n"/>
      <c r="G137" s="248" t="n"/>
      <c r="H137" s="250">
        <f>IF(AND(E137&lt;&gt;"",G137&lt;&gt;""),E137*G137,"")</f>
      </c>
      <c r="I137" s="249" t="n"/>
      <c r="J137" s="249" t="n"/>
    </row>
    <row r="138" ht="15" customHeight="1" s="71">
      <c r="A138" s="244" t="n">
        <v>133</v>
      </c>
      <c r="B138" s="245" t="n"/>
      <c r="C138" s="245" t="n"/>
      <c r="D138" s="245" t="n"/>
      <c r="E138" s="244" t="n"/>
      <c r="F138" s="244" t="n"/>
      <c r="G138" s="244" t="n"/>
      <c r="H138" s="246">
        <f>IF(AND(E138&lt;&gt;"",G138&lt;&gt;""),E138*G138,"")</f>
      </c>
      <c r="I138" s="245" t="n"/>
      <c r="J138" s="245" t="n"/>
    </row>
    <row r="139" ht="15" customHeight="1" s="71">
      <c r="A139" s="248" t="n">
        <v>134</v>
      </c>
      <c r="B139" s="249" t="n"/>
      <c r="C139" s="249" t="n"/>
      <c r="D139" s="249" t="n"/>
      <c r="E139" s="248" t="n"/>
      <c r="F139" s="248" t="n"/>
      <c r="G139" s="248" t="n"/>
      <c r="H139" s="250">
        <f>IF(AND(E139&lt;&gt;"",G139&lt;&gt;""),E139*G139,"")</f>
      </c>
      <c r="I139" s="249" t="n"/>
      <c r="J139" s="249" t="n"/>
    </row>
    <row r="140" ht="15" customHeight="1" s="71">
      <c r="A140" s="244" t="n">
        <v>135</v>
      </c>
      <c r="B140" s="245" t="n"/>
      <c r="C140" s="245" t="n"/>
      <c r="D140" s="245" t="n"/>
      <c r="E140" s="244" t="n"/>
      <c r="F140" s="244" t="n"/>
      <c r="G140" s="244" t="n"/>
      <c r="H140" s="246">
        <f>IF(AND(E140&lt;&gt;"",G140&lt;&gt;""),E140*G140,"")</f>
      </c>
      <c r="I140" s="245" t="n"/>
      <c r="J140" s="245" t="n"/>
    </row>
    <row r="141" ht="15" customHeight="1" s="71">
      <c r="A141" s="248" t="n">
        <v>136</v>
      </c>
      <c r="B141" s="249" t="n"/>
      <c r="C141" s="249" t="n"/>
      <c r="D141" s="249" t="n"/>
      <c r="E141" s="248" t="n"/>
      <c r="F141" s="248" t="n"/>
      <c r="G141" s="248" t="n"/>
      <c r="H141" s="250">
        <f>IF(AND(E141&lt;&gt;"",G141&lt;&gt;""),E141*G141,"")</f>
      </c>
      <c r="I141" s="249" t="n"/>
      <c r="J141" s="249" t="n"/>
    </row>
    <row r="142" ht="15" customHeight="1" s="71">
      <c r="A142" s="244" t="n">
        <v>137</v>
      </c>
      <c r="B142" s="245" t="n"/>
      <c r="C142" s="245" t="n"/>
      <c r="D142" s="245" t="n"/>
      <c r="E142" s="244" t="n"/>
      <c r="F142" s="244" t="n"/>
      <c r="G142" s="244" t="n"/>
      <c r="H142" s="246">
        <f>IF(AND(E142&lt;&gt;"",G142&lt;&gt;""),E142*G142,"")</f>
      </c>
      <c r="I142" s="245" t="n"/>
      <c r="J142" s="245" t="n"/>
    </row>
    <row r="143" ht="15" customHeight="1" s="71">
      <c r="A143" s="248" t="n">
        <v>138</v>
      </c>
      <c r="B143" s="249" t="n"/>
      <c r="C143" s="249" t="n"/>
      <c r="D143" s="249" t="n"/>
      <c r="E143" s="248" t="n"/>
      <c r="F143" s="248" t="n"/>
      <c r="G143" s="248" t="n"/>
      <c r="H143" s="250">
        <f>IF(AND(E143&lt;&gt;"",G143&lt;&gt;""),E143*G143,"")</f>
      </c>
      <c r="I143" s="249" t="n"/>
      <c r="J143" s="249" t="n"/>
    </row>
    <row r="144" ht="15" customHeight="1" s="71">
      <c r="A144" s="244" t="n">
        <v>139</v>
      </c>
      <c r="B144" s="245" t="n"/>
      <c r="C144" s="245" t="n"/>
      <c r="D144" s="245" t="n"/>
      <c r="E144" s="244" t="n"/>
      <c r="F144" s="244" t="n"/>
      <c r="G144" s="244" t="n"/>
      <c r="H144" s="246">
        <f>IF(AND(E144&lt;&gt;"",G144&lt;&gt;""),E144*G144,"")</f>
      </c>
      <c r="I144" s="245" t="n"/>
      <c r="J144" s="245" t="n"/>
    </row>
    <row r="145" ht="15" customHeight="1" s="71">
      <c r="A145" s="248" t="n">
        <v>140</v>
      </c>
      <c r="B145" s="249" t="n"/>
      <c r="C145" s="249" t="n"/>
      <c r="D145" s="249" t="n"/>
      <c r="E145" s="248" t="n"/>
      <c r="F145" s="248" t="n"/>
      <c r="G145" s="248" t="n"/>
      <c r="H145" s="250">
        <f>IF(AND(E145&lt;&gt;"",G145&lt;&gt;""),E145*G145,"")</f>
      </c>
      <c r="I145" s="249" t="n"/>
      <c r="J145" s="249" t="n"/>
    </row>
    <row r="146" ht="15" customHeight="1" s="71">
      <c r="A146" s="244" t="n">
        <v>141</v>
      </c>
      <c r="B146" s="245" t="n"/>
      <c r="C146" s="245" t="n"/>
      <c r="D146" s="245" t="n"/>
      <c r="E146" s="244" t="n"/>
      <c r="F146" s="244" t="n"/>
      <c r="G146" s="244" t="n"/>
      <c r="H146" s="246">
        <f>IF(AND(E146&lt;&gt;"",G146&lt;&gt;""),E146*G146,"")</f>
      </c>
      <c r="I146" s="245" t="n"/>
      <c r="J146" s="245" t="n"/>
    </row>
    <row r="147" ht="15" customHeight="1" s="71">
      <c r="A147" s="248" t="n">
        <v>142</v>
      </c>
      <c r="B147" s="249" t="n"/>
      <c r="C147" s="249" t="n"/>
      <c r="D147" s="249" t="n"/>
      <c r="E147" s="248" t="n"/>
      <c r="F147" s="248" t="n"/>
      <c r="G147" s="248" t="n"/>
      <c r="H147" s="250">
        <f>IF(AND(E147&lt;&gt;"",G147&lt;&gt;""),E147*G147,"")</f>
      </c>
      <c r="I147" s="249" t="n"/>
      <c r="J147" s="249" t="n"/>
    </row>
    <row r="148" ht="15" customHeight="1" s="71">
      <c r="A148" s="244" t="n">
        <v>143</v>
      </c>
      <c r="B148" s="245" t="n"/>
      <c r="C148" s="245" t="n"/>
      <c r="D148" s="245" t="n"/>
      <c r="E148" s="244" t="n"/>
      <c r="F148" s="244" t="n"/>
      <c r="G148" s="244" t="n"/>
      <c r="H148" s="246">
        <f>IF(AND(E148&lt;&gt;"",G148&lt;&gt;""),E148*G148,"")</f>
      </c>
      <c r="I148" s="245" t="n"/>
      <c r="J148" s="245" t="n"/>
    </row>
    <row r="149" ht="15" customHeight="1" s="71">
      <c r="A149" s="248" t="n">
        <v>144</v>
      </c>
      <c r="B149" s="249" t="n"/>
      <c r="C149" s="249" t="n"/>
      <c r="D149" s="249" t="n"/>
      <c r="E149" s="248" t="n"/>
      <c r="F149" s="248" t="n"/>
      <c r="G149" s="248" t="n"/>
      <c r="H149" s="250">
        <f>IF(AND(E149&lt;&gt;"",G149&lt;&gt;""),E149*G149,"")</f>
      </c>
      <c r="I149" s="249" t="n"/>
      <c r="J149" s="249" t="n"/>
    </row>
    <row r="150" ht="15" customHeight="1" s="71">
      <c r="A150" s="244" t="n">
        <v>145</v>
      </c>
      <c r="B150" s="245" t="n"/>
      <c r="C150" s="245" t="n"/>
      <c r="D150" s="245" t="n"/>
      <c r="E150" s="244" t="n"/>
      <c r="F150" s="244" t="n"/>
      <c r="G150" s="244" t="n"/>
      <c r="H150" s="246">
        <f>IF(AND(E150&lt;&gt;"",G150&lt;&gt;""),E150*G150,"")</f>
      </c>
      <c r="I150" s="245" t="n"/>
      <c r="J150" s="245" t="n"/>
    </row>
    <row r="151" ht="15" customHeight="1" s="71">
      <c r="A151" s="248" t="n">
        <v>146</v>
      </c>
      <c r="B151" s="249" t="n"/>
      <c r="C151" s="249" t="n"/>
      <c r="D151" s="249" t="n"/>
      <c r="E151" s="248" t="n"/>
      <c r="F151" s="248" t="n"/>
      <c r="G151" s="248" t="n"/>
      <c r="H151" s="250">
        <f>IF(AND(E151&lt;&gt;"",G151&lt;&gt;""),E151*G151,"")</f>
      </c>
      <c r="I151" s="249" t="n"/>
      <c r="J151" s="249" t="n"/>
    </row>
    <row r="152" ht="15" customHeight="1" s="71">
      <c r="A152" s="244" t="n">
        <v>147</v>
      </c>
      <c r="B152" s="245" t="n"/>
      <c r="C152" s="245" t="n"/>
      <c r="D152" s="245" t="n"/>
      <c r="E152" s="244" t="n"/>
      <c r="F152" s="244" t="n"/>
      <c r="G152" s="244" t="n"/>
      <c r="H152" s="246">
        <f>IF(AND(E152&lt;&gt;"",G152&lt;&gt;""),E152*G152,"")</f>
      </c>
      <c r="I152" s="245" t="n"/>
      <c r="J152" s="245" t="n"/>
    </row>
    <row r="153" ht="15" customHeight="1" s="71">
      <c r="A153" s="248" t="n">
        <v>148</v>
      </c>
      <c r="B153" s="249" t="n"/>
      <c r="C153" s="249" t="n"/>
      <c r="D153" s="249" t="n"/>
      <c r="E153" s="248" t="n"/>
      <c r="F153" s="248" t="n"/>
      <c r="G153" s="248" t="n"/>
      <c r="H153" s="250">
        <f>IF(AND(E153&lt;&gt;"",G153&lt;&gt;""),E153*G153,"")</f>
      </c>
      <c r="I153" s="249" t="n"/>
      <c r="J153" s="249" t="n"/>
    </row>
    <row r="154" ht="15" customHeight="1" s="71">
      <c r="A154" s="244" t="n">
        <v>149</v>
      </c>
      <c r="B154" s="245" t="n"/>
      <c r="C154" s="245" t="n"/>
      <c r="D154" s="245" t="n"/>
      <c r="E154" s="244" t="n"/>
      <c r="F154" s="244" t="n"/>
      <c r="G154" s="244" t="n"/>
      <c r="H154" s="246">
        <f>IF(AND(E154&lt;&gt;"",G154&lt;&gt;""),E154*G154,"")</f>
      </c>
      <c r="I154" s="245" t="n"/>
      <c r="J154" s="245" t="n"/>
    </row>
    <row r="155" ht="15" customHeight="1" s="71">
      <c r="A155" s="248" t="n">
        <v>150</v>
      </c>
      <c r="B155" s="249" t="n"/>
      <c r="C155" s="249" t="n"/>
      <c r="D155" s="249" t="n"/>
      <c r="E155" s="248" t="n"/>
      <c r="F155" s="248" t="n"/>
      <c r="G155" s="248" t="n"/>
      <c r="H155" s="250">
        <f>IF(AND(E155&lt;&gt;"",G155&lt;&gt;""),E155*G155,"")</f>
      </c>
      <c r="I155" s="249" t="n"/>
      <c r="J155" s="249" t="n"/>
    </row>
    <row r="156" ht="15" customHeight="1" s="71">
      <c r="A156" s="244" t="n">
        <v>151</v>
      </c>
      <c r="B156" s="245" t="n"/>
      <c r="C156" s="245" t="n"/>
      <c r="D156" s="245" t="n"/>
      <c r="E156" s="244" t="n"/>
      <c r="F156" s="244" t="n"/>
      <c r="G156" s="244" t="n"/>
      <c r="H156" s="246">
        <f>IF(AND(E156&lt;&gt;"",G156&lt;&gt;""),E156*G156,"")</f>
      </c>
      <c r="I156" s="245" t="n"/>
      <c r="J156" s="245" t="n"/>
    </row>
    <row r="157" ht="15" customHeight="1" s="71">
      <c r="A157" s="248" t="n">
        <v>152</v>
      </c>
      <c r="B157" s="249" t="n"/>
      <c r="C157" s="249" t="n"/>
      <c r="D157" s="249" t="n"/>
      <c r="E157" s="248" t="n"/>
      <c r="F157" s="248" t="n"/>
      <c r="G157" s="248" t="n"/>
      <c r="H157" s="250">
        <f>IF(AND(E157&lt;&gt;"",G157&lt;&gt;""),E157*G157,"")</f>
      </c>
      <c r="I157" s="249" t="n"/>
      <c r="J157" s="249" t="n"/>
    </row>
    <row r="158" ht="15" customHeight="1" s="71">
      <c r="A158" s="244" t="n">
        <v>153</v>
      </c>
      <c r="B158" s="245" t="n"/>
      <c r="C158" s="245" t="n"/>
      <c r="D158" s="245" t="n"/>
      <c r="E158" s="244" t="n"/>
      <c r="F158" s="244" t="n"/>
      <c r="G158" s="244" t="n"/>
      <c r="H158" s="246">
        <f>IF(AND(E158&lt;&gt;"",G158&lt;&gt;""),E158*G158,"")</f>
      </c>
      <c r="I158" s="245" t="n"/>
      <c r="J158" s="245" t="n"/>
    </row>
    <row r="159" ht="15" customHeight="1" s="71">
      <c r="A159" s="248" t="n">
        <v>154</v>
      </c>
      <c r="B159" s="249" t="n"/>
      <c r="C159" s="249" t="n"/>
      <c r="D159" s="249" t="n"/>
      <c r="E159" s="248" t="n"/>
      <c r="F159" s="248" t="n"/>
      <c r="G159" s="248" t="n"/>
      <c r="H159" s="250">
        <f>IF(AND(E159&lt;&gt;"",G159&lt;&gt;""),E159*G159,"")</f>
      </c>
      <c r="I159" s="249" t="n"/>
      <c r="J159" s="249" t="n"/>
    </row>
    <row r="160" ht="15" customHeight="1" s="71">
      <c r="A160" s="244" t="n">
        <v>155</v>
      </c>
      <c r="B160" s="245" t="n"/>
      <c r="C160" s="245" t="n"/>
      <c r="D160" s="245" t="n"/>
      <c r="E160" s="244" t="n"/>
      <c r="F160" s="244" t="n"/>
      <c r="G160" s="244" t="n"/>
      <c r="H160" s="246">
        <f>IF(AND(E160&lt;&gt;"",G160&lt;&gt;""),E160*G160,"")</f>
      </c>
      <c r="I160" s="245" t="n"/>
      <c r="J160" s="245" t="n"/>
    </row>
    <row r="161" ht="15" customHeight="1" s="71">
      <c r="A161" s="248" t="n">
        <v>156</v>
      </c>
      <c r="B161" s="249" t="n"/>
      <c r="C161" s="249" t="n"/>
      <c r="D161" s="249" t="n"/>
      <c r="E161" s="248" t="n"/>
      <c r="F161" s="248" t="n"/>
      <c r="G161" s="248" t="n"/>
      <c r="H161" s="250">
        <f>IF(AND(E161&lt;&gt;"",G161&lt;&gt;""),E161*G161,"")</f>
      </c>
      <c r="I161" s="249" t="n"/>
      <c r="J161" s="249" t="n"/>
    </row>
    <row r="162" ht="15" customHeight="1" s="71">
      <c r="A162" s="244" t="n">
        <v>157</v>
      </c>
      <c r="B162" s="245" t="n"/>
      <c r="C162" s="245" t="n"/>
      <c r="D162" s="245" t="n"/>
      <c r="E162" s="244" t="n"/>
      <c r="F162" s="244" t="n"/>
      <c r="G162" s="244" t="n"/>
      <c r="H162" s="246">
        <f>IF(AND(E162&lt;&gt;"",G162&lt;&gt;""),E162*G162,"")</f>
      </c>
      <c r="I162" s="245" t="n"/>
      <c r="J162" s="245" t="n"/>
    </row>
    <row r="163" ht="15" customHeight="1" s="71">
      <c r="A163" s="248" t="n">
        <v>158</v>
      </c>
      <c r="B163" s="249" t="n"/>
      <c r="C163" s="249" t="n"/>
      <c r="D163" s="249" t="n"/>
      <c r="E163" s="248" t="n"/>
      <c r="F163" s="248" t="n"/>
      <c r="G163" s="248" t="n"/>
      <c r="H163" s="250">
        <f>IF(AND(E163&lt;&gt;"",G163&lt;&gt;""),E163*G163,"")</f>
      </c>
      <c r="I163" s="249" t="n"/>
      <c r="J163" s="249" t="n"/>
    </row>
    <row r="164" ht="15" customHeight="1" s="71">
      <c r="A164" s="244" t="n">
        <v>159</v>
      </c>
      <c r="B164" s="245" t="n"/>
      <c r="C164" s="245" t="n"/>
      <c r="D164" s="245" t="n"/>
      <c r="E164" s="244" t="n"/>
      <c r="F164" s="244" t="n"/>
      <c r="G164" s="244" t="n"/>
      <c r="H164" s="246">
        <f>IF(AND(E164&lt;&gt;"",G164&lt;&gt;""),E164*G164,"")</f>
      </c>
      <c r="I164" s="245" t="n"/>
      <c r="J164" s="245" t="n"/>
    </row>
    <row r="165" ht="15" customHeight="1" s="71">
      <c r="A165" s="248" t="n">
        <v>160</v>
      </c>
      <c r="B165" s="249" t="n"/>
      <c r="C165" s="249" t="n"/>
      <c r="D165" s="249" t="n"/>
      <c r="E165" s="248" t="n"/>
      <c r="F165" s="248" t="n"/>
      <c r="G165" s="248" t="n"/>
      <c r="H165" s="250">
        <f>IF(AND(E165&lt;&gt;"",G165&lt;&gt;""),E165*G165,"")</f>
      </c>
      <c r="I165" s="249" t="n"/>
      <c r="J165" s="249" t="n"/>
    </row>
    <row r="166" ht="15" customHeight="1" s="71">
      <c r="A166" s="244" t="n">
        <v>161</v>
      </c>
      <c r="B166" s="245" t="n"/>
      <c r="C166" s="245" t="n"/>
      <c r="D166" s="245" t="n"/>
      <c r="E166" s="244" t="n"/>
      <c r="F166" s="244" t="n"/>
      <c r="G166" s="244" t="n"/>
      <c r="H166" s="246">
        <f>IF(AND(E166&lt;&gt;"",G166&lt;&gt;""),E166*G166,"")</f>
      </c>
      <c r="I166" s="245" t="n"/>
      <c r="J166" s="245" t="n"/>
    </row>
    <row r="167" ht="15" customHeight="1" s="71">
      <c r="A167" s="248" t="n">
        <v>162</v>
      </c>
      <c r="B167" s="249" t="n"/>
      <c r="C167" s="249" t="n"/>
      <c r="D167" s="249" t="n"/>
      <c r="E167" s="248" t="n"/>
      <c r="F167" s="248" t="n"/>
      <c r="G167" s="248" t="n"/>
      <c r="H167" s="250">
        <f>IF(AND(E167&lt;&gt;"",G167&lt;&gt;""),E167*G167,"")</f>
      </c>
      <c r="I167" s="249" t="n"/>
      <c r="J167" s="249" t="n"/>
    </row>
    <row r="168" ht="15" customHeight="1" s="71">
      <c r="A168" s="244" t="n">
        <v>163</v>
      </c>
      <c r="B168" s="245" t="n"/>
      <c r="C168" s="245" t="n"/>
      <c r="D168" s="245" t="n"/>
      <c r="E168" s="244" t="n"/>
      <c r="F168" s="244" t="n"/>
      <c r="G168" s="244" t="n"/>
      <c r="H168" s="246">
        <f>IF(AND(E168&lt;&gt;"",G168&lt;&gt;""),E168*G168,"")</f>
      </c>
      <c r="I168" s="245" t="n"/>
      <c r="J168" s="245" t="n"/>
    </row>
    <row r="169" ht="15" customHeight="1" s="71">
      <c r="A169" s="248" t="n">
        <v>164</v>
      </c>
      <c r="B169" s="249" t="n"/>
      <c r="C169" s="249" t="n"/>
      <c r="D169" s="249" t="n"/>
      <c r="E169" s="248" t="n"/>
      <c r="F169" s="248" t="n"/>
      <c r="G169" s="248" t="n"/>
      <c r="H169" s="250">
        <f>IF(AND(E169&lt;&gt;"",G169&lt;&gt;""),E169*G169,"")</f>
      </c>
      <c r="I169" s="249" t="n"/>
      <c r="J169" s="249" t="n"/>
    </row>
    <row r="170" ht="15" customHeight="1" s="71">
      <c r="A170" s="244" t="n">
        <v>165</v>
      </c>
      <c r="B170" s="245" t="n"/>
      <c r="C170" s="245" t="n"/>
      <c r="D170" s="245" t="n"/>
      <c r="E170" s="244" t="n"/>
      <c r="F170" s="244" t="n"/>
      <c r="G170" s="244" t="n"/>
      <c r="H170" s="246">
        <f>IF(AND(E170&lt;&gt;"",G170&lt;&gt;""),E170*G170,"")</f>
      </c>
      <c r="I170" s="245" t="n"/>
      <c r="J170" s="245" t="n"/>
    </row>
    <row r="171" ht="15" customHeight="1" s="71">
      <c r="A171" s="248" t="n">
        <v>166</v>
      </c>
      <c r="B171" s="249" t="n"/>
      <c r="C171" s="249" t="n"/>
      <c r="D171" s="249" t="n"/>
      <c r="E171" s="248" t="n"/>
      <c r="F171" s="248" t="n"/>
      <c r="G171" s="248" t="n"/>
      <c r="H171" s="250">
        <f>IF(AND(E171&lt;&gt;"",G171&lt;&gt;""),E171*G171,"")</f>
      </c>
      <c r="I171" s="249" t="n"/>
      <c r="J171" s="249" t="n"/>
    </row>
    <row r="172" ht="15" customHeight="1" s="71">
      <c r="A172" s="244" t="n">
        <v>167</v>
      </c>
      <c r="B172" s="245" t="n"/>
      <c r="C172" s="245" t="n"/>
      <c r="D172" s="245" t="n"/>
      <c r="E172" s="244" t="n"/>
      <c r="F172" s="244" t="n"/>
      <c r="G172" s="244" t="n"/>
      <c r="H172" s="246">
        <f>IF(AND(E172&lt;&gt;"",G172&lt;&gt;""),E172*G172,"")</f>
      </c>
      <c r="I172" s="245" t="n"/>
      <c r="J172" s="245" t="n"/>
    </row>
    <row r="173" ht="15" customHeight="1" s="71">
      <c r="A173" s="248" t="n">
        <v>168</v>
      </c>
      <c r="B173" s="249" t="n"/>
      <c r="C173" s="249" t="n"/>
      <c r="D173" s="249" t="n"/>
      <c r="E173" s="248" t="n"/>
      <c r="F173" s="248" t="n"/>
      <c r="G173" s="248" t="n"/>
      <c r="H173" s="250">
        <f>IF(AND(E173&lt;&gt;"",G173&lt;&gt;""),E173*G173,"")</f>
      </c>
      <c r="I173" s="249" t="n"/>
      <c r="J173" s="249" t="n"/>
    </row>
    <row r="174" ht="15" customHeight="1" s="71">
      <c r="A174" s="244" t="n">
        <v>169</v>
      </c>
      <c r="B174" s="245" t="n"/>
      <c r="C174" s="245" t="n"/>
      <c r="D174" s="245" t="n"/>
      <c r="E174" s="244" t="n"/>
      <c r="F174" s="244" t="n"/>
      <c r="G174" s="244" t="n"/>
      <c r="H174" s="246">
        <f>IF(AND(E174&lt;&gt;"",G174&lt;&gt;""),E174*G174,"")</f>
      </c>
      <c r="I174" s="245" t="n"/>
      <c r="J174" s="245" t="n"/>
    </row>
    <row r="175" ht="15" customHeight="1" s="71">
      <c r="A175" s="248" t="n">
        <v>170</v>
      </c>
      <c r="B175" s="249" t="n"/>
      <c r="C175" s="249" t="n"/>
      <c r="D175" s="249" t="n"/>
      <c r="E175" s="248" t="n"/>
      <c r="F175" s="248" t="n"/>
      <c r="G175" s="248" t="n"/>
      <c r="H175" s="250">
        <f>IF(AND(E175&lt;&gt;"",G175&lt;&gt;""),E175*G175,"")</f>
      </c>
      <c r="I175" s="249" t="n"/>
      <c r="J175" s="249" t="n"/>
    </row>
    <row r="176" ht="15" customHeight="1" s="71">
      <c r="A176" s="244" t="n">
        <v>171</v>
      </c>
      <c r="B176" s="245" t="n"/>
      <c r="C176" s="245" t="n"/>
      <c r="D176" s="245" t="n"/>
      <c r="E176" s="244" t="n"/>
      <c r="F176" s="244" t="n"/>
      <c r="G176" s="244" t="n"/>
      <c r="H176" s="246">
        <f>IF(AND(E176&lt;&gt;"",G176&lt;&gt;""),E176*G176,"")</f>
      </c>
      <c r="I176" s="245" t="n"/>
      <c r="J176" s="245" t="n"/>
    </row>
    <row r="177" ht="15" customHeight="1" s="71">
      <c r="A177" s="248" t="n">
        <v>172</v>
      </c>
      <c r="B177" s="249" t="n"/>
      <c r="C177" s="249" t="n"/>
      <c r="D177" s="249" t="n"/>
      <c r="E177" s="248" t="n"/>
      <c r="F177" s="248" t="n"/>
      <c r="G177" s="248" t="n"/>
      <c r="H177" s="250">
        <f>IF(AND(E177&lt;&gt;"",G177&lt;&gt;""),E177*G177,"")</f>
      </c>
      <c r="I177" s="249" t="n"/>
      <c r="J177" s="249" t="n"/>
    </row>
    <row r="178" ht="15" customHeight="1" s="71">
      <c r="A178" s="244" t="n">
        <v>173</v>
      </c>
      <c r="B178" s="245" t="n"/>
      <c r="C178" s="245" t="n"/>
      <c r="D178" s="245" t="n"/>
      <c r="E178" s="244" t="n"/>
      <c r="F178" s="244" t="n"/>
      <c r="G178" s="244" t="n"/>
      <c r="H178" s="246">
        <f>IF(AND(E178&lt;&gt;"",G178&lt;&gt;""),E178*G178,"")</f>
      </c>
      <c r="I178" s="245" t="n"/>
      <c r="J178" s="245" t="n"/>
    </row>
    <row r="179" ht="15" customHeight="1" s="71">
      <c r="A179" s="248" t="n">
        <v>174</v>
      </c>
      <c r="B179" s="249" t="n"/>
      <c r="C179" s="249" t="n"/>
      <c r="D179" s="249" t="n"/>
      <c r="E179" s="248" t="n"/>
      <c r="F179" s="248" t="n"/>
      <c r="G179" s="248" t="n"/>
      <c r="H179" s="250">
        <f>IF(AND(E179&lt;&gt;"",G179&lt;&gt;""),E179*G179,"")</f>
      </c>
      <c r="I179" s="249" t="n"/>
      <c r="J179" s="249" t="n"/>
    </row>
    <row r="180" ht="15" customHeight="1" s="71">
      <c r="A180" s="244" t="n">
        <v>175</v>
      </c>
      <c r="B180" s="245" t="n"/>
      <c r="C180" s="245" t="n"/>
      <c r="D180" s="245" t="n"/>
      <c r="E180" s="244" t="n"/>
      <c r="F180" s="244" t="n"/>
      <c r="G180" s="244" t="n"/>
      <c r="H180" s="246">
        <f>IF(AND(E180&lt;&gt;"",G180&lt;&gt;""),E180*G180,"")</f>
      </c>
      <c r="I180" s="245" t="n"/>
      <c r="J180" s="245" t="n"/>
    </row>
    <row r="181" ht="15" customHeight="1" s="71">
      <c r="A181" s="248" t="n">
        <v>176</v>
      </c>
      <c r="B181" s="249" t="n"/>
      <c r="C181" s="249" t="n"/>
      <c r="D181" s="249" t="n"/>
      <c r="E181" s="248" t="n"/>
      <c r="F181" s="248" t="n"/>
      <c r="G181" s="248" t="n"/>
      <c r="H181" s="250">
        <f>IF(AND(E181&lt;&gt;"",G181&lt;&gt;""),E181*G181,"")</f>
      </c>
      <c r="I181" s="249" t="n"/>
      <c r="J181" s="249" t="n"/>
    </row>
    <row r="182" ht="15" customHeight="1" s="71">
      <c r="A182" s="244" t="n">
        <v>177</v>
      </c>
      <c r="B182" s="245" t="n"/>
      <c r="C182" s="245" t="n"/>
      <c r="D182" s="245" t="n"/>
      <c r="E182" s="244" t="n"/>
      <c r="F182" s="244" t="n"/>
      <c r="G182" s="244" t="n"/>
      <c r="H182" s="246">
        <f>IF(AND(E182&lt;&gt;"",G182&lt;&gt;""),E182*G182,"")</f>
      </c>
      <c r="I182" s="245" t="n"/>
      <c r="J182" s="245" t="n"/>
    </row>
    <row r="183" ht="15" customHeight="1" s="71">
      <c r="A183" s="248" t="n">
        <v>178</v>
      </c>
      <c r="B183" s="249" t="n"/>
      <c r="C183" s="249" t="n"/>
      <c r="D183" s="249" t="n"/>
      <c r="E183" s="248" t="n"/>
      <c r="F183" s="248" t="n"/>
      <c r="G183" s="248" t="n"/>
      <c r="H183" s="250">
        <f>IF(AND(E183&lt;&gt;"",G183&lt;&gt;""),E183*G183,"")</f>
      </c>
      <c r="I183" s="249" t="n"/>
      <c r="J183" s="249" t="n"/>
    </row>
    <row r="184" ht="15" customHeight="1" s="71">
      <c r="A184" s="244" t="n">
        <v>179</v>
      </c>
      <c r="B184" s="245" t="n"/>
      <c r="C184" s="245" t="n"/>
      <c r="D184" s="245" t="n"/>
      <c r="E184" s="244" t="n"/>
      <c r="F184" s="244" t="n"/>
      <c r="G184" s="244" t="n"/>
      <c r="H184" s="246">
        <f>IF(AND(E184&lt;&gt;"",G184&lt;&gt;""),E184*G184,"")</f>
      </c>
      <c r="I184" s="245" t="n"/>
      <c r="J184" s="245" t="n"/>
    </row>
    <row r="185" ht="15" customHeight="1" s="71">
      <c r="A185" s="248" t="n">
        <v>180</v>
      </c>
      <c r="B185" s="249" t="n"/>
      <c r="C185" s="249" t="n"/>
      <c r="D185" s="249" t="n"/>
      <c r="E185" s="248" t="n"/>
      <c r="F185" s="248" t="n"/>
      <c r="G185" s="248" t="n"/>
      <c r="H185" s="250">
        <f>IF(AND(E185&lt;&gt;"",G185&lt;&gt;""),E185*G185,"")</f>
      </c>
      <c r="I185" s="249" t="n"/>
      <c r="J185" s="249" t="n"/>
    </row>
    <row r="186" ht="15" customHeight="1" s="71">
      <c r="A186" s="244" t="n">
        <v>181</v>
      </c>
      <c r="B186" s="245" t="n"/>
      <c r="C186" s="245" t="n"/>
      <c r="D186" s="245" t="n"/>
      <c r="E186" s="244" t="n"/>
      <c r="F186" s="244" t="n"/>
      <c r="G186" s="244" t="n"/>
      <c r="H186" s="246">
        <f>IF(AND(E186&lt;&gt;"",G186&lt;&gt;""),E186*G186,"")</f>
      </c>
      <c r="I186" s="245" t="n"/>
      <c r="J186" s="245" t="n"/>
    </row>
    <row r="187" ht="15" customHeight="1" s="71">
      <c r="A187" s="248" t="n">
        <v>182</v>
      </c>
      <c r="B187" s="249" t="n"/>
      <c r="C187" s="249" t="n"/>
      <c r="D187" s="249" t="n"/>
      <c r="E187" s="248" t="n"/>
      <c r="F187" s="248" t="n"/>
      <c r="G187" s="248" t="n"/>
      <c r="H187" s="250">
        <f>IF(AND(E187&lt;&gt;"",G187&lt;&gt;""),E187*G187,"")</f>
      </c>
      <c r="I187" s="249" t="n"/>
      <c r="J187" s="249" t="n"/>
    </row>
    <row r="188" ht="15" customHeight="1" s="71">
      <c r="A188" s="244" t="n">
        <v>183</v>
      </c>
      <c r="B188" s="245" t="n"/>
      <c r="C188" s="245" t="n"/>
      <c r="D188" s="245" t="n"/>
      <c r="E188" s="244" t="n"/>
      <c r="F188" s="244" t="n"/>
      <c r="G188" s="244" t="n"/>
      <c r="H188" s="246">
        <f>IF(AND(E188&lt;&gt;"",G188&lt;&gt;""),E188*G188,"")</f>
      </c>
      <c r="I188" s="245" t="n"/>
      <c r="J188" s="245" t="n"/>
    </row>
    <row r="189" ht="15" customHeight="1" s="71">
      <c r="A189" s="248" t="n">
        <v>184</v>
      </c>
      <c r="B189" s="249" t="n"/>
      <c r="C189" s="249" t="n"/>
      <c r="D189" s="249" t="n"/>
      <c r="E189" s="248" t="n"/>
      <c r="F189" s="248" t="n"/>
      <c r="G189" s="248" t="n"/>
      <c r="H189" s="250">
        <f>IF(AND(E189&lt;&gt;"",G189&lt;&gt;""),E189*G189,"")</f>
      </c>
      <c r="I189" s="249" t="n"/>
      <c r="J189" s="249" t="n"/>
    </row>
    <row r="190" ht="15" customHeight="1" s="71">
      <c r="A190" s="244" t="n">
        <v>185</v>
      </c>
      <c r="B190" s="245" t="n"/>
      <c r="C190" s="245" t="n"/>
      <c r="D190" s="245" t="n"/>
      <c r="E190" s="244" t="n"/>
      <c r="F190" s="244" t="n"/>
      <c r="G190" s="244" t="n"/>
      <c r="H190" s="246">
        <f>IF(AND(E190&lt;&gt;"",G190&lt;&gt;""),E190*G190,"")</f>
      </c>
      <c r="I190" s="245" t="n"/>
      <c r="J190" s="245" t="n"/>
    </row>
    <row r="191" ht="15" customHeight="1" s="71">
      <c r="A191" s="248" t="n">
        <v>186</v>
      </c>
      <c r="B191" s="249" t="n"/>
      <c r="C191" s="249" t="n"/>
      <c r="D191" s="249" t="n"/>
      <c r="E191" s="248" t="n"/>
      <c r="F191" s="248" t="n"/>
      <c r="G191" s="248" t="n"/>
      <c r="H191" s="250">
        <f>IF(AND(E191&lt;&gt;"",G191&lt;&gt;""),E191*G191,"")</f>
      </c>
      <c r="I191" s="249" t="n"/>
      <c r="J191" s="249" t="n"/>
    </row>
    <row r="192" ht="15" customHeight="1" s="71">
      <c r="A192" s="244" t="n">
        <v>187</v>
      </c>
      <c r="B192" s="245" t="n"/>
      <c r="C192" s="245" t="n"/>
      <c r="D192" s="245" t="n"/>
      <c r="E192" s="244" t="n"/>
      <c r="F192" s="244" t="n"/>
      <c r="G192" s="244" t="n"/>
      <c r="H192" s="246">
        <f>IF(AND(E192&lt;&gt;"",G192&lt;&gt;""),E192*G192,"")</f>
      </c>
      <c r="I192" s="245" t="n"/>
      <c r="J192" s="245" t="n"/>
    </row>
    <row r="193" ht="15" customHeight="1" s="71">
      <c r="A193" s="248" t="n">
        <v>188</v>
      </c>
      <c r="B193" s="249" t="n"/>
      <c r="C193" s="249" t="n"/>
      <c r="D193" s="249" t="n"/>
      <c r="E193" s="248" t="n"/>
      <c r="F193" s="248" t="n"/>
      <c r="G193" s="248" t="n"/>
      <c r="H193" s="250">
        <f>IF(AND(E193&lt;&gt;"",G193&lt;&gt;""),E193*G193,"")</f>
      </c>
      <c r="I193" s="249" t="n"/>
      <c r="J193" s="249" t="n"/>
    </row>
    <row r="194" ht="15" customHeight="1" s="71">
      <c r="A194" s="244" t="n">
        <v>189</v>
      </c>
      <c r="B194" s="245" t="n"/>
      <c r="C194" s="245" t="n"/>
      <c r="D194" s="245" t="n"/>
      <c r="E194" s="244" t="n"/>
      <c r="F194" s="244" t="n"/>
      <c r="G194" s="244" t="n"/>
      <c r="H194" s="246">
        <f>IF(AND(E194&lt;&gt;"",G194&lt;&gt;""),E194*G194,"")</f>
      </c>
      <c r="I194" s="245" t="n"/>
      <c r="J194" s="245" t="n"/>
    </row>
    <row r="195" ht="15" customHeight="1" s="71">
      <c r="A195" s="248" t="n">
        <v>190</v>
      </c>
      <c r="B195" s="249" t="n"/>
      <c r="C195" s="249" t="n"/>
      <c r="D195" s="249" t="n"/>
      <c r="E195" s="248" t="n"/>
      <c r="F195" s="248" t="n"/>
      <c r="G195" s="248" t="n"/>
      <c r="H195" s="250">
        <f>IF(AND(E195&lt;&gt;"",G195&lt;&gt;""),E195*G195,"")</f>
      </c>
      <c r="I195" s="249" t="n"/>
      <c r="J195" s="249" t="n"/>
    </row>
    <row r="196" ht="15" customHeight="1" s="71">
      <c r="A196" s="244" t="n">
        <v>191</v>
      </c>
      <c r="B196" s="245" t="n"/>
      <c r="C196" s="245" t="n"/>
      <c r="D196" s="245" t="n"/>
      <c r="E196" s="244" t="n"/>
      <c r="F196" s="244" t="n"/>
      <c r="G196" s="244" t="n"/>
      <c r="H196" s="246">
        <f>IF(AND(E196&lt;&gt;"",G196&lt;&gt;""),E196*G196,"")</f>
      </c>
      <c r="I196" s="245" t="n"/>
      <c r="J196" s="245" t="n"/>
    </row>
    <row r="197" ht="15" customHeight="1" s="71">
      <c r="A197" s="248" t="n">
        <v>192</v>
      </c>
      <c r="B197" s="249" t="n"/>
      <c r="C197" s="249" t="n"/>
      <c r="D197" s="249" t="n"/>
      <c r="E197" s="248" t="n"/>
      <c r="F197" s="248" t="n"/>
      <c r="G197" s="248" t="n"/>
      <c r="H197" s="250">
        <f>IF(AND(E197&lt;&gt;"",G197&lt;&gt;""),E197*G197,"")</f>
      </c>
      <c r="I197" s="249" t="n"/>
      <c r="J197" s="249" t="n"/>
    </row>
    <row r="198" ht="15" customHeight="1" s="71">
      <c r="A198" s="244" t="n">
        <v>193</v>
      </c>
      <c r="B198" s="245" t="n"/>
      <c r="C198" s="245" t="n"/>
      <c r="D198" s="245" t="n"/>
      <c r="E198" s="244" t="n"/>
      <c r="F198" s="244" t="n"/>
      <c r="G198" s="244" t="n"/>
      <c r="H198" s="246">
        <f>IF(AND(E198&lt;&gt;"",G198&lt;&gt;""),E198*G198,"")</f>
      </c>
      <c r="I198" s="245" t="n"/>
      <c r="J198" s="245" t="n"/>
    </row>
    <row r="199" ht="15" customHeight="1" s="71">
      <c r="A199" s="248" t="n">
        <v>194</v>
      </c>
      <c r="B199" s="249" t="n"/>
      <c r="C199" s="249" t="n"/>
      <c r="D199" s="249" t="n"/>
      <c r="E199" s="248" t="n"/>
      <c r="F199" s="248" t="n"/>
      <c r="G199" s="248" t="n"/>
      <c r="H199" s="250">
        <f>IF(AND(E199&lt;&gt;"",G199&lt;&gt;""),E199*G199,"")</f>
      </c>
      <c r="I199" s="249" t="n"/>
      <c r="J199" s="249" t="n"/>
    </row>
    <row r="200" ht="15" customHeight="1" s="71">
      <c r="A200" s="244" t="n">
        <v>195</v>
      </c>
      <c r="B200" s="245" t="n"/>
      <c r="C200" s="245" t="n"/>
      <c r="D200" s="245" t="n"/>
      <c r="E200" s="244" t="n"/>
      <c r="F200" s="244" t="n"/>
      <c r="G200" s="244" t="n"/>
      <c r="H200" s="246">
        <f>IF(AND(E200&lt;&gt;"",G200&lt;&gt;""),E200*G200,"")</f>
      </c>
      <c r="I200" s="245" t="n"/>
      <c r="J200" s="245" t="n"/>
    </row>
    <row r="201" ht="15" customHeight="1" s="71">
      <c r="A201" s="248" t="n">
        <v>196</v>
      </c>
      <c r="B201" s="249" t="n"/>
      <c r="C201" s="249" t="n"/>
      <c r="D201" s="249" t="n"/>
      <c r="E201" s="248" t="n"/>
      <c r="F201" s="248" t="n"/>
      <c r="G201" s="248" t="n"/>
      <c r="H201" s="250">
        <f>IF(AND(E201&lt;&gt;"",G201&lt;&gt;""),E201*G201,"")</f>
      </c>
      <c r="I201" s="249" t="n"/>
      <c r="J201" s="249" t="n"/>
    </row>
    <row r="202" ht="15" customHeight="1" s="71">
      <c r="A202" s="244" t="n">
        <v>197</v>
      </c>
      <c r="B202" s="245" t="n"/>
      <c r="C202" s="245" t="n"/>
      <c r="D202" s="245" t="n"/>
      <c r="E202" s="244" t="n"/>
      <c r="F202" s="244" t="n"/>
      <c r="G202" s="244" t="n"/>
      <c r="H202" s="246">
        <f>IF(AND(E202&lt;&gt;"",G202&lt;&gt;""),E202*G202,"")</f>
      </c>
      <c r="I202" s="245" t="n"/>
      <c r="J202" s="245" t="n"/>
    </row>
    <row r="203" ht="15" customHeight="1" s="71">
      <c r="A203" s="248" t="n">
        <v>198</v>
      </c>
      <c r="B203" s="249" t="n"/>
      <c r="C203" s="249" t="n"/>
      <c r="D203" s="249" t="n"/>
      <c r="E203" s="248" t="n"/>
      <c r="F203" s="248" t="n"/>
      <c r="G203" s="248" t="n"/>
      <c r="H203" s="250">
        <f>IF(AND(E203&lt;&gt;"",G203&lt;&gt;""),E203*G203,"")</f>
      </c>
      <c r="I203" s="249" t="n"/>
      <c r="J203" s="249" t="n"/>
    </row>
    <row r="204" ht="15" customHeight="1" s="71">
      <c r="A204" s="244" t="n">
        <v>199</v>
      </c>
      <c r="B204" s="245" t="n"/>
      <c r="C204" s="245" t="n"/>
      <c r="D204" s="245" t="n"/>
      <c r="E204" s="244" t="n"/>
      <c r="F204" s="244" t="n"/>
      <c r="G204" s="244" t="n"/>
      <c r="H204" s="246">
        <f>IF(AND(E204&lt;&gt;"",G204&lt;&gt;""),E204*G204,"")</f>
      </c>
      <c r="I204" s="245" t="n"/>
      <c r="J204" s="245" t="n"/>
    </row>
    <row r="205" ht="15" customHeight="1" s="71">
      <c r="A205" s="248" t="n">
        <v>200</v>
      </c>
      <c r="B205" s="249" t="n"/>
      <c r="C205" s="249" t="n"/>
      <c r="D205" s="249" t="n"/>
      <c r="E205" s="248" t="n"/>
      <c r="F205" s="248" t="n"/>
      <c r="G205" s="248" t="n"/>
      <c r="H205" s="250">
        <f>IF(AND(E205&lt;&gt;"",G205&lt;&gt;""),E205*G205,"")</f>
      </c>
      <c r="I205" s="249" t="n"/>
      <c r="J205" s="249" t="n"/>
    </row>
    <row r="206" ht="15" customHeight="1" s="71">
      <c r="A206" s="244" t="n">
        <v>201</v>
      </c>
      <c r="B206" s="245" t="n"/>
      <c r="C206" s="245" t="n"/>
      <c r="D206" s="245" t="n"/>
      <c r="E206" s="244" t="n"/>
      <c r="F206" s="244" t="n"/>
      <c r="G206" s="244" t="n"/>
      <c r="H206" s="246">
        <f>IF(AND(E206&lt;&gt;"",G206&lt;&gt;""),E206*G206,"")</f>
      </c>
      <c r="I206" s="245" t="n"/>
      <c r="J206" s="245" t="n"/>
    </row>
    <row r="207" ht="15" customHeight="1" s="71">
      <c r="A207" s="248" t="n">
        <v>202</v>
      </c>
      <c r="B207" s="249" t="n"/>
      <c r="C207" s="249" t="n"/>
      <c r="D207" s="249" t="n"/>
      <c r="E207" s="248" t="n"/>
      <c r="F207" s="248" t="n"/>
      <c r="G207" s="248" t="n"/>
      <c r="H207" s="250">
        <f>IF(AND(E207&lt;&gt;"",G207&lt;&gt;""),E207*G207,"")</f>
      </c>
      <c r="I207" s="249" t="n"/>
      <c r="J207" s="249" t="n"/>
    </row>
    <row r="208" ht="15" customHeight="1" s="71">
      <c r="A208" s="244" t="n">
        <v>203</v>
      </c>
      <c r="B208" s="245" t="n"/>
      <c r="C208" s="245" t="n"/>
      <c r="D208" s="245" t="n"/>
      <c r="E208" s="244" t="n"/>
      <c r="F208" s="244" t="n"/>
      <c r="G208" s="244" t="n"/>
      <c r="H208" s="246">
        <f>IF(AND(E208&lt;&gt;"",G208&lt;&gt;""),E208*G208,"")</f>
      </c>
      <c r="I208" s="245" t="n"/>
      <c r="J208" s="245" t="n"/>
    </row>
    <row r="209" ht="15" customHeight="1" s="71">
      <c r="A209" s="248" t="n">
        <v>204</v>
      </c>
      <c r="B209" s="249" t="n"/>
      <c r="C209" s="249" t="n"/>
      <c r="D209" s="249" t="n"/>
      <c r="E209" s="248" t="n"/>
      <c r="F209" s="248" t="n"/>
      <c r="G209" s="248" t="n"/>
      <c r="H209" s="250">
        <f>IF(AND(E209&lt;&gt;"",G209&lt;&gt;""),E209*G209,"")</f>
      </c>
      <c r="I209" s="249" t="n"/>
      <c r="J209" s="249" t="n"/>
    </row>
    <row r="210" ht="15" customHeight="1" s="71">
      <c r="A210" s="244" t="n">
        <v>205</v>
      </c>
      <c r="B210" s="245" t="n"/>
      <c r="C210" s="245" t="n"/>
      <c r="D210" s="245" t="n"/>
      <c r="E210" s="244" t="n"/>
      <c r="F210" s="244" t="n"/>
      <c r="G210" s="244" t="n"/>
      <c r="H210" s="246">
        <f>IF(AND(E210&lt;&gt;"",G210&lt;&gt;""),E210*G210,"")</f>
      </c>
      <c r="I210" s="245" t="n"/>
      <c r="J210" s="245" t="n"/>
    </row>
    <row r="211" ht="15" customHeight="1" s="71">
      <c r="A211" s="248" t="n">
        <v>206</v>
      </c>
      <c r="B211" s="249" t="n"/>
      <c r="C211" s="249" t="n"/>
      <c r="D211" s="249" t="n"/>
      <c r="E211" s="248" t="n"/>
      <c r="F211" s="248" t="n"/>
      <c r="G211" s="248" t="n"/>
      <c r="H211" s="250">
        <f>IF(AND(E211&lt;&gt;"",G211&lt;&gt;""),E211*G211,"")</f>
      </c>
      <c r="I211" s="249" t="n"/>
      <c r="J211" s="249" t="n"/>
    </row>
    <row r="212" ht="15" customHeight="1" s="71">
      <c r="A212" s="244" t="n">
        <v>207</v>
      </c>
      <c r="B212" s="245" t="n"/>
      <c r="C212" s="245" t="n"/>
      <c r="D212" s="245" t="n"/>
      <c r="E212" s="244" t="n"/>
      <c r="F212" s="244" t="n"/>
      <c r="G212" s="244" t="n"/>
      <c r="H212" s="246">
        <f>IF(AND(E212&lt;&gt;"",G212&lt;&gt;""),E212*G212,"")</f>
      </c>
      <c r="I212" s="245" t="n"/>
      <c r="J212" s="245" t="n"/>
    </row>
    <row r="213" ht="15" customHeight="1" s="71">
      <c r="A213" s="248" t="n">
        <v>208</v>
      </c>
      <c r="B213" s="249" t="n"/>
      <c r="C213" s="249" t="n"/>
      <c r="D213" s="249" t="n"/>
      <c r="E213" s="248" t="n"/>
      <c r="F213" s="248" t="n"/>
      <c r="G213" s="248" t="n"/>
      <c r="H213" s="250">
        <f>IF(AND(E213&lt;&gt;"",G213&lt;&gt;""),E213*G213,"")</f>
      </c>
      <c r="I213" s="249" t="n"/>
      <c r="J213" s="249" t="n"/>
    </row>
    <row r="214" ht="15" customHeight="1" s="71">
      <c r="A214" s="244" t="n">
        <v>209</v>
      </c>
      <c r="B214" s="245" t="n"/>
      <c r="C214" s="245" t="n"/>
      <c r="D214" s="245" t="n"/>
      <c r="E214" s="244" t="n"/>
      <c r="F214" s="244" t="n"/>
      <c r="G214" s="244" t="n"/>
      <c r="H214" s="246">
        <f>IF(AND(E214&lt;&gt;"",G214&lt;&gt;""),E214*G214,"")</f>
      </c>
      <c r="I214" s="245" t="n"/>
      <c r="J214" s="245" t="n"/>
    </row>
    <row r="215" ht="15" customHeight="1" s="71">
      <c r="A215" s="248" t="n">
        <v>210</v>
      </c>
      <c r="B215" s="249" t="n"/>
      <c r="C215" s="249" t="n"/>
      <c r="D215" s="249" t="n"/>
      <c r="E215" s="248" t="n"/>
      <c r="F215" s="248" t="n"/>
      <c r="G215" s="248" t="n"/>
      <c r="H215" s="250">
        <f>IF(AND(E215&lt;&gt;"",G215&lt;&gt;""),E215*G215,"")</f>
      </c>
      <c r="I215" s="249" t="n"/>
      <c r="J215" s="249" t="n"/>
    </row>
    <row r="216" ht="15" customHeight="1" s="71">
      <c r="A216" s="244" t="n">
        <v>211</v>
      </c>
      <c r="B216" s="245" t="n"/>
      <c r="C216" s="245" t="n"/>
      <c r="D216" s="245" t="n"/>
      <c r="E216" s="244" t="n"/>
      <c r="F216" s="244" t="n"/>
      <c r="G216" s="244" t="n"/>
      <c r="H216" s="246">
        <f>IF(AND(E216&lt;&gt;"",G216&lt;&gt;""),E216*G216,"")</f>
      </c>
      <c r="I216" s="245" t="n"/>
      <c r="J216" s="245" t="n"/>
    </row>
    <row r="217" ht="15" customHeight="1" s="71">
      <c r="A217" s="248" t="n">
        <v>212</v>
      </c>
      <c r="B217" s="249" t="n"/>
      <c r="C217" s="249" t="n"/>
      <c r="D217" s="249" t="n"/>
      <c r="E217" s="248" t="n"/>
      <c r="F217" s="248" t="n"/>
      <c r="G217" s="248" t="n"/>
      <c r="H217" s="250">
        <f>IF(AND(E217&lt;&gt;"",G217&lt;&gt;""),E217*G217,"")</f>
      </c>
      <c r="I217" s="249" t="n"/>
      <c r="J217" s="249" t="n"/>
    </row>
    <row r="218" ht="15" customHeight="1" s="71">
      <c r="A218" s="244" t="n">
        <v>213</v>
      </c>
      <c r="B218" s="245" t="n"/>
      <c r="C218" s="245" t="n"/>
      <c r="D218" s="245" t="n"/>
      <c r="E218" s="244" t="n"/>
      <c r="F218" s="244" t="n"/>
      <c r="G218" s="244" t="n"/>
      <c r="H218" s="246">
        <f>IF(AND(E218&lt;&gt;"",G218&lt;&gt;""),E218*G218,"")</f>
      </c>
      <c r="I218" s="245" t="n"/>
      <c r="J218" s="245" t="n"/>
    </row>
    <row r="219" ht="15" customHeight="1" s="71">
      <c r="A219" s="248" t="n">
        <v>214</v>
      </c>
      <c r="B219" s="249" t="n"/>
      <c r="C219" s="249" t="n"/>
      <c r="D219" s="249" t="n"/>
      <c r="E219" s="248" t="n"/>
      <c r="F219" s="248" t="n"/>
      <c r="G219" s="248" t="n"/>
      <c r="H219" s="250">
        <f>IF(AND(E219&lt;&gt;"",G219&lt;&gt;""),E219*G219,"")</f>
      </c>
      <c r="I219" s="249" t="n"/>
      <c r="J219" s="249" t="n"/>
    </row>
    <row r="220" ht="15" customHeight="1" s="71">
      <c r="A220" s="244" t="n">
        <v>215</v>
      </c>
      <c r="B220" s="245" t="n"/>
      <c r="C220" s="245" t="n"/>
      <c r="D220" s="245" t="n"/>
      <c r="E220" s="244" t="n"/>
      <c r="F220" s="244" t="n"/>
      <c r="G220" s="244" t="n"/>
      <c r="H220" s="246">
        <f>IF(AND(E220&lt;&gt;"",G220&lt;&gt;""),E220*G220,"")</f>
      </c>
      <c r="I220" s="245" t="n"/>
      <c r="J220" s="245" t="n"/>
    </row>
    <row r="221" ht="15" customHeight="1" s="71">
      <c r="A221" s="248" t="n">
        <v>216</v>
      </c>
      <c r="B221" s="249" t="n"/>
      <c r="C221" s="249" t="n"/>
      <c r="D221" s="249" t="n"/>
      <c r="E221" s="248" t="n"/>
      <c r="F221" s="248" t="n"/>
      <c r="G221" s="248" t="n"/>
      <c r="H221" s="250">
        <f>IF(AND(E221&lt;&gt;"",G221&lt;&gt;""),E221*G221,"")</f>
      </c>
      <c r="I221" s="249" t="n"/>
      <c r="J221" s="249" t="n"/>
    </row>
    <row r="222" ht="15" customHeight="1" s="71">
      <c r="A222" s="244" t="n">
        <v>217</v>
      </c>
      <c r="B222" s="245" t="n"/>
      <c r="C222" s="245" t="n"/>
      <c r="D222" s="245" t="n"/>
      <c r="E222" s="244" t="n"/>
      <c r="F222" s="244" t="n"/>
      <c r="G222" s="244" t="n"/>
      <c r="H222" s="246">
        <f>IF(AND(E222&lt;&gt;"",G222&lt;&gt;""),E222*G222,"")</f>
      </c>
      <c r="I222" s="245" t="n"/>
      <c r="J222" s="245" t="n"/>
    </row>
    <row r="223" ht="15" customHeight="1" s="71">
      <c r="A223" s="248" t="n">
        <v>218</v>
      </c>
      <c r="B223" s="249" t="n"/>
      <c r="C223" s="249" t="n"/>
      <c r="D223" s="249" t="n"/>
      <c r="E223" s="248" t="n"/>
      <c r="F223" s="248" t="n"/>
      <c r="G223" s="248" t="n"/>
      <c r="H223" s="250">
        <f>IF(AND(E223&lt;&gt;"",G223&lt;&gt;""),E223*G223,"")</f>
      </c>
      <c r="I223" s="249" t="n"/>
      <c r="J223" s="249" t="n"/>
    </row>
    <row r="224" ht="15" customHeight="1" s="71">
      <c r="A224" s="244" t="n">
        <v>219</v>
      </c>
      <c r="B224" s="245" t="n"/>
      <c r="C224" s="245" t="n"/>
      <c r="D224" s="245" t="n"/>
      <c r="E224" s="244" t="n"/>
      <c r="F224" s="244" t="n"/>
      <c r="G224" s="244" t="n"/>
      <c r="H224" s="246">
        <f>IF(AND(E224&lt;&gt;"",G224&lt;&gt;""),E224*G224,"")</f>
      </c>
      <c r="I224" s="245" t="n"/>
      <c r="J224" s="245" t="n"/>
    </row>
    <row r="225" ht="15" customHeight="1" s="71">
      <c r="A225" s="248" t="n">
        <v>220</v>
      </c>
      <c r="B225" s="249" t="n"/>
      <c r="C225" s="249" t="n"/>
      <c r="D225" s="249" t="n"/>
      <c r="E225" s="248" t="n"/>
      <c r="F225" s="248" t="n"/>
      <c r="G225" s="248" t="n"/>
      <c r="H225" s="250">
        <f>IF(AND(E225&lt;&gt;"",G225&lt;&gt;""),E225*G225,"")</f>
      </c>
      <c r="I225" s="249" t="n"/>
      <c r="J225" s="249" t="n"/>
    </row>
    <row r="226" ht="15" customHeight="1" s="71">
      <c r="A226" s="244" t="n">
        <v>221</v>
      </c>
      <c r="B226" s="245" t="n"/>
      <c r="C226" s="245" t="n"/>
      <c r="D226" s="245" t="n"/>
      <c r="E226" s="244" t="n"/>
      <c r="F226" s="244" t="n"/>
      <c r="G226" s="244" t="n"/>
      <c r="H226" s="246">
        <f>IF(AND(E226&lt;&gt;"",G226&lt;&gt;""),E226*G226,"")</f>
      </c>
      <c r="I226" s="245" t="n"/>
      <c r="J226" s="245" t="n"/>
    </row>
    <row r="227" ht="15" customHeight="1" s="71">
      <c r="A227" s="248" t="n">
        <v>222</v>
      </c>
      <c r="B227" s="249" t="n"/>
      <c r="C227" s="249" t="n"/>
      <c r="D227" s="249" t="n"/>
      <c r="E227" s="248" t="n"/>
      <c r="F227" s="248" t="n"/>
      <c r="G227" s="248" t="n"/>
      <c r="H227" s="250">
        <f>IF(AND(E227&lt;&gt;"",G227&lt;&gt;""),E227*G227,"")</f>
      </c>
      <c r="I227" s="249" t="n"/>
      <c r="J227" s="249" t="n"/>
    </row>
    <row r="228" ht="15" customHeight="1" s="71">
      <c r="A228" s="244" t="n">
        <v>223</v>
      </c>
      <c r="B228" s="245" t="n"/>
      <c r="C228" s="245" t="n"/>
      <c r="D228" s="245" t="n"/>
      <c r="E228" s="244" t="n"/>
      <c r="F228" s="244" t="n"/>
      <c r="G228" s="244" t="n"/>
      <c r="H228" s="246">
        <f>IF(AND(E228&lt;&gt;"",G228&lt;&gt;""),E228*G228,"")</f>
      </c>
      <c r="I228" s="245" t="n"/>
      <c r="J228" s="245" t="n"/>
    </row>
    <row r="229" ht="15" customHeight="1" s="71">
      <c r="A229" s="248" t="n">
        <v>224</v>
      </c>
      <c r="B229" s="249" t="n"/>
      <c r="C229" s="249" t="n"/>
      <c r="D229" s="249" t="n"/>
      <c r="E229" s="248" t="n"/>
      <c r="F229" s="248" t="n"/>
      <c r="G229" s="248" t="n"/>
      <c r="H229" s="250">
        <f>IF(AND(E229&lt;&gt;"",G229&lt;&gt;""),E229*G229,"")</f>
      </c>
      <c r="I229" s="249" t="n"/>
      <c r="J229" s="249" t="n"/>
    </row>
    <row r="230" ht="15" customHeight="1" s="71">
      <c r="A230" s="244" t="n">
        <v>225</v>
      </c>
      <c r="B230" s="245" t="n"/>
      <c r="C230" s="245" t="n"/>
      <c r="D230" s="245" t="n"/>
      <c r="E230" s="244" t="n"/>
      <c r="F230" s="244" t="n"/>
      <c r="G230" s="244" t="n"/>
      <c r="H230" s="246">
        <f>IF(AND(E230&lt;&gt;"",G230&lt;&gt;""),E230*G230,"")</f>
      </c>
      <c r="I230" s="245" t="n"/>
      <c r="J230" s="245" t="n"/>
    </row>
    <row r="231" ht="15" customHeight="1" s="71">
      <c r="A231" s="248" t="n">
        <v>226</v>
      </c>
      <c r="B231" s="249" t="n"/>
      <c r="C231" s="249" t="n"/>
      <c r="D231" s="249" t="n"/>
      <c r="E231" s="248" t="n"/>
      <c r="F231" s="248" t="n"/>
      <c r="G231" s="248" t="n"/>
      <c r="H231" s="250">
        <f>IF(AND(E231&lt;&gt;"",G231&lt;&gt;""),E231*G231,"")</f>
      </c>
      <c r="I231" s="249" t="n"/>
      <c r="J231" s="249" t="n"/>
    </row>
    <row r="232" ht="15" customHeight="1" s="71">
      <c r="A232" s="244" t="n">
        <v>227</v>
      </c>
      <c r="B232" s="245" t="n"/>
      <c r="C232" s="245" t="n"/>
      <c r="D232" s="245" t="n"/>
      <c r="E232" s="244" t="n"/>
      <c r="F232" s="244" t="n"/>
      <c r="G232" s="244" t="n"/>
      <c r="H232" s="246">
        <f>IF(AND(E232&lt;&gt;"",G232&lt;&gt;""),E232*G232,"")</f>
      </c>
      <c r="I232" s="245" t="n"/>
      <c r="J232" s="245" t="n"/>
    </row>
    <row r="233" ht="15" customHeight="1" s="71">
      <c r="A233" s="248" t="n">
        <v>228</v>
      </c>
      <c r="B233" s="249" t="n"/>
      <c r="C233" s="249" t="n"/>
      <c r="D233" s="249" t="n"/>
      <c r="E233" s="248" t="n"/>
      <c r="F233" s="248" t="n"/>
      <c r="G233" s="248" t="n"/>
      <c r="H233" s="250">
        <f>IF(AND(E233&lt;&gt;"",G233&lt;&gt;""),E233*G233,"")</f>
      </c>
      <c r="I233" s="249" t="n"/>
      <c r="J233" s="249" t="n"/>
    </row>
    <row r="234" ht="15" customHeight="1" s="71">
      <c r="A234" s="244" t="n">
        <v>229</v>
      </c>
      <c r="B234" s="245" t="n"/>
      <c r="C234" s="245" t="n"/>
      <c r="D234" s="245" t="n"/>
      <c r="E234" s="244" t="n"/>
      <c r="F234" s="244" t="n"/>
      <c r="G234" s="244" t="n"/>
      <c r="H234" s="246">
        <f>IF(AND(E234&lt;&gt;"",G234&lt;&gt;""),E234*G234,"")</f>
      </c>
      <c r="I234" s="245" t="n"/>
      <c r="J234" s="245" t="n"/>
    </row>
    <row r="235" ht="15" customHeight="1" s="71">
      <c r="A235" s="248" t="n">
        <v>230</v>
      </c>
      <c r="B235" s="249" t="n"/>
      <c r="C235" s="249" t="n"/>
      <c r="D235" s="249" t="n"/>
      <c r="E235" s="248" t="n"/>
      <c r="F235" s="248" t="n"/>
      <c r="G235" s="248" t="n"/>
      <c r="H235" s="250">
        <f>IF(AND(E235&lt;&gt;"",G235&lt;&gt;""),E235*G235,"")</f>
      </c>
      <c r="I235" s="249" t="n"/>
      <c r="J235" s="249" t="n"/>
    </row>
    <row r="236" ht="15" customHeight="1" s="71">
      <c r="A236" s="244" t="n">
        <v>231</v>
      </c>
      <c r="B236" s="245" t="n"/>
      <c r="C236" s="245" t="n"/>
      <c r="D236" s="245" t="n"/>
      <c r="E236" s="244" t="n"/>
      <c r="F236" s="244" t="n"/>
      <c r="G236" s="244" t="n"/>
      <c r="H236" s="246">
        <f>IF(AND(E236&lt;&gt;"",G236&lt;&gt;""),E236*G236,"")</f>
      </c>
      <c r="I236" s="245" t="n"/>
      <c r="J236" s="245" t="n"/>
    </row>
    <row r="237" ht="15" customHeight="1" s="71">
      <c r="A237" s="248" t="n">
        <v>232</v>
      </c>
      <c r="B237" s="249" t="n"/>
      <c r="C237" s="249" t="n"/>
      <c r="D237" s="249" t="n"/>
      <c r="E237" s="248" t="n"/>
      <c r="F237" s="248" t="n"/>
      <c r="G237" s="248" t="n"/>
      <c r="H237" s="250">
        <f>IF(AND(E237&lt;&gt;"",G237&lt;&gt;""),E237*G237,"")</f>
      </c>
      <c r="I237" s="249" t="n"/>
      <c r="J237" s="249" t="n"/>
    </row>
    <row r="238" ht="15" customHeight="1" s="71">
      <c r="A238" s="244" t="n">
        <v>233</v>
      </c>
      <c r="B238" s="245" t="n"/>
      <c r="C238" s="245" t="n"/>
      <c r="D238" s="245" t="n"/>
      <c r="E238" s="244" t="n"/>
      <c r="F238" s="244" t="n"/>
      <c r="G238" s="244" t="n"/>
      <c r="H238" s="246">
        <f>IF(AND(E238&lt;&gt;"",G238&lt;&gt;""),E238*G238,"")</f>
      </c>
      <c r="I238" s="245" t="n"/>
      <c r="J238" s="245" t="n"/>
    </row>
    <row r="239" ht="15" customHeight="1" s="71">
      <c r="A239" s="248" t="n">
        <v>234</v>
      </c>
      <c r="B239" s="249" t="n"/>
      <c r="C239" s="249" t="n"/>
      <c r="D239" s="249" t="n"/>
      <c r="E239" s="248" t="n"/>
      <c r="F239" s="248" t="n"/>
      <c r="G239" s="248" t="n"/>
      <c r="H239" s="250">
        <f>IF(AND(E239&lt;&gt;"",G239&lt;&gt;""),E239*G239,"")</f>
      </c>
      <c r="I239" s="249" t="n"/>
      <c r="J239" s="249" t="n"/>
    </row>
    <row r="240" ht="15" customHeight="1" s="71">
      <c r="A240" s="244" t="n">
        <v>235</v>
      </c>
      <c r="B240" s="245" t="n"/>
      <c r="C240" s="245" t="n"/>
      <c r="D240" s="245" t="n"/>
      <c r="E240" s="244" t="n"/>
      <c r="F240" s="244" t="n"/>
      <c r="G240" s="244" t="n"/>
      <c r="H240" s="246">
        <f>IF(AND(E240&lt;&gt;"",G240&lt;&gt;""),E240*G240,"")</f>
      </c>
      <c r="I240" s="245" t="n"/>
      <c r="J240" s="245" t="n"/>
    </row>
    <row r="241" ht="15" customHeight="1" s="71">
      <c r="A241" s="248" t="n">
        <v>236</v>
      </c>
      <c r="B241" s="249" t="n"/>
      <c r="C241" s="249" t="n"/>
      <c r="D241" s="249" t="n"/>
      <c r="E241" s="248" t="n"/>
      <c r="F241" s="248" t="n"/>
      <c r="G241" s="248" t="n"/>
      <c r="H241" s="250">
        <f>IF(AND(E241&lt;&gt;"",G241&lt;&gt;""),E241*G241,"")</f>
      </c>
      <c r="I241" s="249" t="n"/>
      <c r="J241" s="249" t="n"/>
    </row>
    <row r="242" ht="15" customHeight="1" s="71">
      <c r="A242" s="244" t="n">
        <v>237</v>
      </c>
      <c r="B242" s="245" t="n"/>
      <c r="C242" s="245" t="n"/>
      <c r="D242" s="245" t="n"/>
      <c r="E242" s="244" t="n"/>
      <c r="F242" s="244" t="n"/>
      <c r="G242" s="244" t="n"/>
      <c r="H242" s="246">
        <f>IF(AND(E242&lt;&gt;"",G242&lt;&gt;""),E242*G242,"")</f>
      </c>
      <c r="I242" s="245" t="n"/>
      <c r="J242" s="245" t="n"/>
    </row>
    <row r="243" ht="15" customHeight="1" s="71">
      <c r="A243" s="248" t="n">
        <v>238</v>
      </c>
      <c r="B243" s="249" t="n"/>
      <c r="C243" s="249" t="n"/>
      <c r="D243" s="249" t="n"/>
      <c r="E243" s="248" t="n"/>
      <c r="F243" s="248" t="n"/>
      <c r="G243" s="248" t="n"/>
      <c r="H243" s="250">
        <f>IF(AND(E243&lt;&gt;"",G243&lt;&gt;""),E243*G243,"")</f>
      </c>
      <c r="I243" s="249" t="n"/>
      <c r="J243" s="249" t="n"/>
    </row>
    <row r="244" ht="15" customHeight="1" s="71">
      <c r="A244" s="244" t="n">
        <v>239</v>
      </c>
      <c r="B244" s="245" t="n"/>
      <c r="C244" s="245" t="n"/>
      <c r="D244" s="245" t="n"/>
      <c r="E244" s="244" t="n"/>
      <c r="F244" s="244" t="n"/>
      <c r="G244" s="244" t="n"/>
      <c r="H244" s="246">
        <f>IF(AND(E244&lt;&gt;"",G244&lt;&gt;""),E244*G244,"")</f>
      </c>
      <c r="I244" s="245" t="n"/>
      <c r="J244" s="245" t="n"/>
    </row>
    <row r="245" ht="15" customHeight="1" s="71">
      <c r="A245" s="248" t="n">
        <v>240</v>
      </c>
      <c r="B245" s="249" t="n"/>
      <c r="C245" s="249" t="n"/>
      <c r="D245" s="249" t="n"/>
      <c r="E245" s="248" t="n"/>
      <c r="F245" s="248" t="n"/>
      <c r="G245" s="248" t="n"/>
      <c r="H245" s="250">
        <f>IF(AND(E245&lt;&gt;"",G245&lt;&gt;""),E245*G245,"")</f>
      </c>
      <c r="I245" s="249" t="n"/>
      <c r="J245" s="249" t="n"/>
    </row>
    <row r="246" ht="15" customHeight="1" s="71">
      <c r="A246" s="244" t="n">
        <v>241</v>
      </c>
      <c r="B246" s="245" t="n"/>
      <c r="C246" s="245" t="n"/>
      <c r="D246" s="245" t="n"/>
      <c r="E246" s="244" t="n"/>
      <c r="F246" s="244" t="n"/>
      <c r="G246" s="244" t="n"/>
      <c r="H246" s="246">
        <f>IF(AND(E246&lt;&gt;"",G246&lt;&gt;""),E246*G246,"")</f>
      </c>
      <c r="I246" s="245" t="n"/>
      <c r="J246" s="245" t="n"/>
    </row>
    <row r="247" ht="15" customHeight="1" s="71">
      <c r="A247" s="248" t="n">
        <v>242</v>
      </c>
      <c r="B247" s="249" t="n"/>
      <c r="C247" s="249" t="n"/>
      <c r="D247" s="249" t="n"/>
      <c r="E247" s="248" t="n"/>
      <c r="F247" s="248" t="n"/>
      <c r="G247" s="248" t="n"/>
      <c r="H247" s="250">
        <f>IF(AND(E247&lt;&gt;"",G247&lt;&gt;""),E247*G247,"")</f>
      </c>
      <c r="I247" s="249" t="n"/>
      <c r="J247" s="249" t="n"/>
    </row>
    <row r="248" ht="15" customHeight="1" s="71">
      <c r="A248" s="244" t="n">
        <v>243</v>
      </c>
      <c r="B248" s="245" t="n"/>
      <c r="C248" s="245" t="n"/>
      <c r="D248" s="245" t="n"/>
      <c r="E248" s="244" t="n"/>
      <c r="F248" s="244" t="n"/>
      <c r="G248" s="244" t="n"/>
      <c r="H248" s="246">
        <f>IF(AND(E248&lt;&gt;"",G248&lt;&gt;""),E248*G248,"")</f>
      </c>
      <c r="I248" s="245" t="n"/>
      <c r="J248" s="245" t="n"/>
    </row>
    <row r="249" ht="15" customHeight="1" s="71">
      <c r="A249" s="248" t="n">
        <v>244</v>
      </c>
      <c r="B249" s="249" t="n"/>
      <c r="C249" s="249" t="n"/>
      <c r="D249" s="249" t="n"/>
      <c r="E249" s="248" t="n"/>
      <c r="F249" s="248" t="n"/>
      <c r="G249" s="248" t="n"/>
      <c r="H249" s="250">
        <f>IF(AND(E249&lt;&gt;"",G249&lt;&gt;""),E249*G249,"")</f>
      </c>
      <c r="I249" s="249" t="n"/>
      <c r="J249" s="249" t="n"/>
    </row>
    <row r="250" ht="15" customHeight="1" s="71">
      <c r="A250" s="244" t="n">
        <v>245</v>
      </c>
      <c r="B250" s="245" t="n"/>
      <c r="C250" s="245" t="n"/>
      <c r="D250" s="245" t="n"/>
      <c r="E250" s="244" t="n"/>
      <c r="F250" s="244" t="n"/>
      <c r="G250" s="244" t="n"/>
      <c r="H250" s="246">
        <f>IF(AND(E250&lt;&gt;"",G250&lt;&gt;""),E250*G250,"")</f>
      </c>
      <c r="I250" s="245" t="n"/>
      <c r="J250" s="245" t="n"/>
    </row>
    <row r="251" ht="15" customHeight="1" s="71">
      <c r="A251" s="248" t="n">
        <v>246</v>
      </c>
      <c r="B251" s="249" t="n"/>
      <c r="C251" s="249" t="n"/>
      <c r="D251" s="249" t="n"/>
      <c r="E251" s="248" t="n"/>
      <c r="F251" s="248" t="n"/>
      <c r="G251" s="248" t="n"/>
      <c r="H251" s="250">
        <f>IF(AND(E251&lt;&gt;"",G251&lt;&gt;""),E251*G251,"")</f>
      </c>
      <c r="I251" s="249" t="n"/>
      <c r="J251" s="249" t="n"/>
    </row>
    <row r="252" ht="15" customHeight="1" s="71">
      <c r="A252" s="244" t="n">
        <v>247</v>
      </c>
      <c r="B252" s="245" t="n"/>
      <c r="C252" s="245" t="n"/>
      <c r="D252" s="245" t="n"/>
      <c r="E252" s="244" t="n"/>
      <c r="F252" s="244" t="n"/>
      <c r="G252" s="244" t="n"/>
      <c r="H252" s="246">
        <f>IF(AND(E252&lt;&gt;"",G252&lt;&gt;""),E252*G252,"")</f>
      </c>
      <c r="I252" s="245" t="n"/>
      <c r="J252" s="245" t="n"/>
    </row>
    <row r="253" ht="15" customHeight="1" s="71">
      <c r="A253" s="248" t="n">
        <v>248</v>
      </c>
      <c r="B253" s="249" t="n"/>
      <c r="C253" s="249" t="n"/>
      <c r="D253" s="249" t="n"/>
      <c r="E253" s="248" t="n"/>
      <c r="F253" s="248" t="n"/>
      <c r="G253" s="248" t="n"/>
      <c r="H253" s="250">
        <f>IF(AND(E253&lt;&gt;"",G253&lt;&gt;""),E253*G253,"")</f>
      </c>
      <c r="I253" s="249" t="n"/>
      <c r="J253" s="249" t="n"/>
    </row>
    <row r="254" ht="15" customHeight="1" s="71">
      <c r="A254" s="244" t="n">
        <v>249</v>
      </c>
      <c r="B254" s="245" t="n"/>
      <c r="C254" s="245" t="n"/>
      <c r="D254" s="245" t="n"/>
      <c r="E254" s="244" t="n"/>
      <c r="F254" s="244" t="n"/>
      <c r="G254" s="244" t="n"/>
      <c r="H254" s="246">
        <f>IF(AND(E254&lt;&gt;"",G254&lt;&gt;""),E254*G254,"")</f>
      </c>
      <c r="I254" s="245" t="n"/>
      <c r="J254" s="245" t="n"/>
    </row>
    <row r="255" ht="15" customHeight="1" s="71">
      <c r="A255" s="248" t="n">
        <v>250</v>
      </c>
      <c r="B255" s="249" t="n"/>
      <c r="C255" s="249" t="n"/>
      <c r="D255" s="249" t="n"/>
      <c r="E255" s="248" t="n"/>
      <c r="F255" s="248" t="n"/>
      <c r="G255" s="248" t="n"/>
      <c r="H255" s="250">
        <f>IF(AND(E255&lt;&gt;"",G255&lt;&gt;""),E255*G255,"")</f>
      </c>
      <c r="I255" s="249" t="n"/>
      <c r="J255" s="249" t="n"/>
    </row>
    <row r="256" ht="15" customHeight="1" s="71">
      <c r="A256" s="244" t="n">
        <v>251</v>
      </c>
      <c r="B256" s="245" t="n"/>
      <c r="C256" s="245" t="n"/>
      <c r="D256" s="245" t="n"/>
      <c r="E256" s="244" t="n"/>
      <c r="F256" s="244" t="n"/>
      <c r="G256" s="244" t="n"/>
      <c r="H256" s="246">
        <f>IF(AND(E256&lt;&gt;"",G256&lt;&gt;""),E256*G256,"")</f>
      </c>
      <c r="I256" s="245" t="n"/>
      <c r="J256" s="245" t="n"/>
    </row>
    <row r="257" ht="15" customHeight="1" s="71">
      <c r="A257" s="248" t="n">
        <v>252</v>
      </c>
      <c r="B257" s="249" t="n"/>
      <c r="C257" s="249" t="n"/>
      <c r="D257" s="249" t="n"/>
      <c r="E257" s="248" t="n"/>
      <c r="F257" s="248" t="n"/>
      <c r="G257" s="248" t="n"/>
      <c r="H257" s="250">
        <f>IF(AND(E257&lt;&gt;"",G257&lt;&gt;""),E257*G257,"")</f>
      </c>
      <c r="I257" s="249" t="n"/>
      <c r="J257" s="249" t="n"/>
    </row>
    <row r="258" ht="15" customHeight="1" s="71">
      <c r="A258" s="244" t="n">
        <v>253</v>
      </c>
      <c r="B258" s="245" t="n"/>
      <c r="C258" s="245" t="n"/>
      <c r="D258" s="245" t="n"/>
      <c r="E258" s="244" t="n"/>
      <c r="F258" s="244" t="n"/>
      <c r="G258" s="244" t="n"/>
      <c r="H258" s="246">
        <f>IF(AND(E258&lt;&gt;"",G258&lt;&gt;""),E258*G258,"")</f>
      </c>
      <c r="I258" s="245" t="n"/>
      <c r="J258" s="245" t="n"/>
    </row>
    <row r="259" ht="15" customHeight="1" s="71">
      <c r="A259" s="248" t="n">
        <v>254</v>
      </c>
      <c r="B259" s="249" t="n"/>
      <c r="C259" s="249" t="n"/>
      <c r="D259" s="249" t="n"/>
      <c r="E259" s="248" t="n"/>
      <c r="F259" s="248" t="n"/>
      <c r="G259" s="248" t="n"/>
      <c r="H259" s="250">
        <f>IF(AND(E259&lt;&gt;"",G259&lt;&gt;""),E259*G259,"")</f>
      </c>
      <c r="I259" s="249" t="n"/>
      <c r="J259" s="249" t="n"/>
    </row>
    <row r="260" ht="15" customHeight="1" s="71">
      <c r="A260" s="244" t="n">
        <v>255</v>
      </c>
      <c r="B260" s="245" t="n"/>
      <c r="C260" s="245" t="n"/>
      <c r="D260" s="245" t="n"/>
      <c r="E260" s="244" t="n"/>
      <c r="F260" s="244" t="n"/>
      <c r="G260" s="244" t="n"/>
      <c r="H260" s="246">
        <f>IF(AND(E260&lt;&gt;"",G260&lt;&gt;""),E260*G260,"")</f>
      </c>
      <c r="I260" s="245" t="n"/>
      <c r="J260" s="245" t="n"/>
    </row>
    <row r="261" ht="15" customHeight="1" s="71">
      <c r="A261" s="248" t="n">
        <v>256</v>
      </c>
      <c r="B261" s="249" t="n"/>
      <c r="C261" s="249" t="n"/>
      <c r="D261" s="249" t="n"/>
      <c r="E261" s="248" t="n"/>
      <c r="F261" s="248" t="n"/>
      <c r="G261" s="248" t="n"/>
      <c r="H261" s="250">
        <f>IF(AND(E261&lt;&gt;"",G261&lt;&gt;""),E261*G261,"")</f>
      </c>
      <c r="I261" s="249" t="n"/>
      <c r="J261" s="249" t="n"/>
    </row>
    <row r="262" ht="15" customHeight="1" s="71">
      <c r="A262" s="244" t="n">
        <v>257</v>
      </c>
      <c r="B262" s="245" t="n"/>
      <c r="C262" s="245" t="n"/>
      <c r="D262" s="245" t="n"/>
      <c r="E262" s="244" t="n"/>
      <c r="F262" s="244" t="n"/>
      <c r="G262" s="244" t="n"/>
      <c r="H262" s="246">
        <f>IF(AND(E262&lt;&gt;"",G262&lt;&gt;""),E262*G262,"")</f>
      </c>
      <c r="I262" s="245" t="n"/>
      <c r="J262" s="245" t="n"/>
    </row>
    <row r="263" ht="15" customHeight="1" s="71">
      <c r="A263" s="248" t="n">
        <v>258</v>
      </c>
      <c r="B263" s="249" t="n"/>
      <c r="C263" s="249" t="n"/>
      <c r="D263" s="249" t="n"/>
      <c r="E263" s="248" t="n"/>
      <c r="F263" s="248" t="n"/>
      <c r="G263" s="248" t="n"/>
      <c r="H263" s="250">
        <f>IF(AND(E263&lt;&gt;"",G263&lt;&gt;""),E263*G263,"")</f>
      </c>
      <c r="I263" s="249" t="n"/>
      <c r="J263" s="249" t="n"/>
    </row>
    <row r="264" ht="15" customHeight="1" s="71">
      <c r="A264" s="244" t="n">
        <v>259</v>
      </c>
      <c r="B264" s="245" t="n"/>
      <c r="C264" s="245" t="n"/>
      <c r="D264" s="245" t="n"/>
      <c r="E264" s="244" t="n"/>
      <c r="F264" s="244" t="n"/>
      <c r="G264" s="244" t="n"/>
      <c r="H264" s="246">
        <f>IF(AND(E264&lt;&gt;"",G264&lt;&gt;""),E264*G264,"")</f>
      </c>
      <c r="I264" s="245" t="n"/>
      <c r="J264" s="245" t="n"/>
    </row>
    <row r="265" ht="15" customHeight="1" s="71">
      <c r="A265" s="248" t="n">
        <v>260</v>
      </c>
      <c r="B265" s="249" t="n"/>
      <c r="C265" s="249" t="n"/>
      <c r="D265" s="249" t="n"/>
      <c r="E265" s="248" t="n"/>
      <c r="F265" s="248" t="n"/>
      <c r="G265" s="248" t="n"/>
      <c r="H265" s="250">
        <f>IF(AND(E265&lt;&gt;"",G265&lt;&gt;""),E265*G265,"")</f>
      </c>
      <c r="I265" s="249" t="n"/>
      <c r="J265" s="249" t="n"/>
    </row>
    <row r="266" ht="15" customHeight="1" s="71">
      <c r="A266" s="244" t="n">
        <v>261</v>
      </c>
      <c r="B266" s="245" t="n"/>
      <c r="C266" s="245" t="n"/>
      <c r="D266" s="245" t="n"/>
      <c r="E266" s="244" t="n"/>
      <c r="F266" s="244" t="n"/>
      <c r="G266" s="244" t="n"/>
      <c r="H266" s="246">
        <f>IF(AND(E266&lt;&gt;"",G266&lt;&gt;""),E266*G266,"")</f>
      </c>
      <c r="I266" s="245" t="n"/>
      <c r="J266" s="245" t="n"/>
    </row>
    <row r="267" ht="15" customHeight="1" s="71">
      <c r="A267" s="248" t="n">
        <v>262</v>
      </c>
      <c r="B267" s="249" t="n"/>
      <c r="C267" s="249" t="n"/>
      <c r="D267" s="249" t="n"/>
      <c r="E267" s="248" t="n"/>
      <c r="F267" s="248" t="n"/>
      <c r="G267" s="248" t="n"/>
      <c r="H267" s="250">
        <f>IF(AND(E267&lt;&gt;"",G267&lt;&gt;""),E267*G267,"")</f>
      </c>
      <c r="I267" s="249" t="n"/>
      <c r="J267" s="249" t="n"/>
    </row>
    <row r="268" ht="15" customHeight="1" s="71">
      <c r="A268" s="244" t="n">
        <v>263</v>
      </c>
      <c r="B268" s="245" t="n"/>
      <c r="C268" s="245" t="n"/>
      <c r="D268" s="245" t="n"/>
      <c r="E268" s="244" t="n"/>
      <c r="F268" s="244" t="n"/>
      <c r="G268" s="244" t="n"/>
      <c r="H268" s="246">
        <f>IF(AND(E268&lt;&gt;"",G268&lt;&gt;""),E268*G268,"")</f>
      </c>
      <c r="I268" s="245" t="n"/>
      <c r="J268" s="245" t="n"/>
    </row>
    <row r="269" ht="15" customHeight="1" s="71">
      <c r="A269" s="248" t="n">
        <v>264</v>
      </c>
      <c r="B269" s="249" t="n"/>
      <c r="C269" s="249" t="n"/>
      <c r="D269" s="249" t="n"/>
      <c r="E269" s="248" t="n"/>
      <c r="F269" s="248" t="n"/>
      <c r="G269" s="248" t="n"/>
      <c r="H269" s="250">
        <f>IF(AND(E269&lt;&gt;"",G269&lt;&gt;""),E269*G269,"")</f>
      </c>
      <c r="I269" s="249" t="n"/>
      <c r="J269" s="249" t="n"/>
    </row>
    <row r="270" ht="15" customHeight="1" s="71">
      <c r="A270" s="244" t="n">
        <v>265</v>
      </c>
      <c r="B270" s="245" t="n"/>
      <c r="C270" s="245" t="n"/>
      <c r="D270" s="245" t="n"/>
      <c r="E270" s="244" t="n"/>
      <c r="F270" s="244" t="n"/>
      <c r="G270" s="244" t="n"/>
      <c r="H270" s="246">
        <f>IF(AND(E270&lt;&gt;"",G270&lt;&gt;""),E270*G270,"")</f>
      </c>
      <c r="I270" s="245" t="n"/>
      <c r="J270" s="245" t="n"/>
    </row>
    <row r="271" ht="15" customHeight="1" s="71">
      <c r="A271" s="248" t="n">
        <v>266</v>
      </c>
      <c r="B271" s="249" t="n"/>
      <c r="C271" s="249" t="n"/>
      <c r="D271" s="249" t="n"/>
      <c r="E271" s="248" t="n"/>
      <c r="F271" s="248" t="n"/>
      <c r="G271" s="248" t="n"/>
      <c r="H271" s="250">
        <f>IF(AND(E271&lt;&gt;"",G271&lt;&gt;""),E271*G271,"")</f>
      </c>
      <c r="I271" s="249" t="n"/>
      <c r="J271" s="249" t="n"/>
    </row>
    <row r="272" ht="15" customHeight="1" s="71">
      <c r="A272" s="244" t="n">
        <v>267</v>
      </c>
      <c r="B272" s="245" t="n"/>
      <c r="C272" s="245" t="n"/>
      <c r="D272" s="245" t="n"/>
      <c r="E272" s="244" t="n"/>
      <c r="F272" s="244" t="n"/>
      <c r="G272" s="244" t="n"/>
      <c r="H272" s="246">
        <f>IF(AND(E272&lt;&gt;"",G272&lt;&gt;""),E272*G272,"")</f>
      </c>
      <c r="I272" s="245" t="n"/>
      <c r="J272" s="245" t="n"/>
    </row>
    <row r="273" ht="15" customHeight="1" s="71">
      <c r="A273" s="248" t="n">
        <v>268</v>
      </c>
      <c r="B273" s="249" t="n"/>
      <c r="C273" s="249" t="n"/>
      <c r="D273" s="249" t="n"/>
      <c r="E273" s="248" t="n"/>
      <c r="F273" s="248" t="n"/>
      <c r="G273" s="248" t="n"/>
      <c r="H273" s="250">
        <f>IF(AND(E273&lt;&gt;"",G273&lt;&gt;""),E273*G273,"")</f>
      </c>
      <c r="I273" s="249" t="n"/>
      <c r="J273" s="249" t="n"/>
    </row>
    <row r="274" ht="15" customHeight="1" s="71">
      <c r="A274" s="244" t="n">
        <v>269</v>
      </c>
      <c r="B274" s="245" t="n"/>
      <c r="C274" s="245" t="n"/>
      <c r="D274" s="245" t="n"/>
      <c r="E274" s="244" t="n"/>
      <c r="F274" s="244" t="n"/>
      <c r="G274" s="244" t="n"/>
      <c r="H274" s="246">
        <f>IF(AND(E274&lt;&gt;"",G274&lt;&gt;""),E274*G274,"")</f>
      </c>
      <c r="I274" s="245" t="n"/>
      <c r="J274" s="245" t="n"/>
    </row>
    <row r="275" ht="15" customHeight="1" s="71">
      <c r="A275" s="248" t="n">
        <v>270</v>
      </c>
      <c r="B275" s="249" t="n"/>
      <c r="C275" s="249" t="n"/>
      <c r="D275" s="249" t="n"/>
      <c r="E275" s="248" t="n"/>
      <c r="F275" s="248" t="n"/>
      <c r="G275" s="248" t="n"/>
      <c r="H275" s="250">
        <f>IF(AND(E275&lt;&gt;"",G275&lt;&gt;""),E275*G275,"")</f>
      </c>
      <c r="I275" s="249" t="n"/>
      <c r="J275" s="249" t="n"/>
    </row>
    <row r="276" ht="15" customHeight="1" s="71">
      <c r="A276" s="244" t="n">
        <v>271</v>
      </c>
      <c r="B276" s="245" t="n"/>
      <c r="C276" s="245" t="n"/>
      <c r="D276" s="245" t="n"/>
      <c r="E276" s="244" t="n"/>
      <c r="F276" s="244" t="n"/>
      <c r="G276" s="244" t="n"/>
      <c r="H276" s="246">
        <f>IF(AND(E276&lt;&gt;"",G276&lt;&gt;""),E276*G276,"")</f>
      </c>
      <c r="I276" s="245" t="n"/>
      <c r="J276" s="245" t="n"/>
    </row>
    <row r="277" ht="15" customHeight="1" s="71">
      <c r="A277" s="248" t="n">
        <v>272</v>
      </c>
      <c r="B277" s="249" t="n"/>
      <c r="C277" s="249" t="n"/>
      <c r="D277" s="249" t="n"/>
      <c r="E277" s="248" t="n"/>
      <c r="F277" s="248" t="n"/>
      <c r="G277" s="248" t="n"/>
      <c r="H277" s="250">
        <f>IF(AND(E277&lt;&gt;"",G277&lt;&gt;""),E277*G277,"")</f>
      </c>
      <c r="I277" s="249" t="n"/>
      <c r="J277" s="249" t="n"/>
    </row>
    <row r="278" ht="15" customHeight="1" s="71">
      <c r="A278" s="244" t="n">
        <v>273</v>
      </c>
      <c r="B278" s="245" t="n"/>
      <c r="C278" s="245" t="n"/>
      <c r="D278" s="245" t="n"/>
      <c r="E278" s="244" t="n"/>
      <c r="F278" s="244" t="n"/>
      <c r="G278" s="244" t="n"/>
      <c r="H278" s="246">
        <f>IF(AND(E278&lt;&gt;"",G278&lt;&gt;""),E278*G278,"")</f>
      </c>
      <c r="I278" s="245" t="n"/>
      <c r="J278" s="245" t="n"/>
    </row>
    <row r="279" ht="15" customHeight="1" s="71">
      <c r="A279" s="248" t="n">
        <v>274</v>
      </c>
      <c r="B279" s="249" t="n"/>
      <c r="C279" s="249" t="n"/>
      <c r="D279" s="249" t="n"/>
      <c r="E279" s="248" t="n"/>
      <c r="F279" s="248" t="n"/>
      <c r="G279" s="248" t="n"/>
      <c r="H279" s="250">
        <f>IF(AND(E279&lt;&gt;"",G279&lt;&gt;""),E279*G279,"")</f>
      </c>
      <c r="I279" s="249" t="n"/>
      <c r="J279" s="249" t="n"/>
    </row>
    <row r="280" ht="15" customHeight="1" s="71">
      <c r="A280" s="244" t="n">
        <v>275</v>
      </c>
      <c r="B280" s="245" t="n"/>
      <c r="C280" s="245" t="n"/>
      <c r="D280" s="245" t="n"/>
      <c r="E280" s="244" t="n"/>
      <c r="F280" s="244" t="n"/>
      <c r="G280" s="244" t="n"/>
      <c r="H280" s="246">
        <f>IF(AND(E280&lt;&gt;"",G280&lt;&gt;""),E280*G280,"")</f>
      </c>
      <c r="I280" s="245" t="n"/>
      <c r="J280" s="245" t="n"/>
    </row>
    <row r="281" ht="15" customHeight="1" s="71">
      <c r="A281" s="248" t="n">
        <v>276</v>
      </c>
      <c r="B281" s="249" t="n"/>
      <c r="C281" s="249" t="n"/>
      <c r="D281" s="249" t="n"/>
      <c r="E281" s="248" t="n"/>
      <c r="F281" s="248" t="n"/>
      <c r="G281" s="248" t="n"/>
      <c r="H281" s="250">
        <f>IF(AND(E281&lt;&gt;"",G281&lt;&gt;""),E281*G281,"")</f>
      </c>
      <c r="I281" s="249" t="n"/>
      <c r="J281" s="249" t="n"/>
    </row>
    <row r="282" ht="15" customHeight="1" s="71">
      <c r="A282" s="244" t="n">
        <v>277</v>
      </c>
      <c r="B282" s="245" t="n"/>
      <c r="C282" s="245" t="n"/>
      <c r="D282" s="245" t="n"/>
      <c r="E282" s="244" t="n"/>
      <c r="F282" s="244" t="n"/>
      <c r="G282" s="244" t="n"/>
      <c r="H282" s="246">
        <f>IF(AND(E282&lt;&gt;"",G282&lt;&gt;""),E282*G282,"")</f>
      </c>
      <c r="I282" s="245" t="n"/>
      <c r="J282" s="245" t="n"/>
    </row>
    <row r="283" ht="15" customHeight="1" s="71">
      <c r="A283" s="248" t="n">
        <v>278</v>
      </c>
      <c r="B283" s="249" t="n"/>
      <c r="C283" s="249" t="n"/>
      <c r="D283" s="249" t="n"/>
      <c r="E283" s="248" t="n"/>
      <c r="F283" s="248" t="n"/>
      <c r="G283" s="248" t="n"/>
      <c r="H283" s="250">
        <f>IF(AND(E283&lt;&gt;"",G283&lt;&gt;""),E283*G283,"")</f>
      </c>
      <c r="I283" s="249" t="n"/>
      <c r="J283" s="249" t="n"/>
    </row>
    <row r="284" ht="15" customHeight="1" s="71">
      <c r="A284" s="244" t="n">
        <v>279</v>
      </c>
      <c r="B284" s="245" t="n"/>
      <c r="C284" s="245" t="n"/>
      <c r="D284" s="245" t="n"/>
      <c r="E284" s="244" t="n"/>
      <c r="F284" s="244" t="n"/>
      <c r="G284" s="244" t="n"/>
      <c r="H284" s="246">
        <f>IF(AND(E284&lt;&gt;"",G284&lt;&gt;""),E284*G284,"")</f>
      </c>
      <c r="I284" s="245" t="n"/>
      <c r="J284" s="245" t="n"/>
    </row>
    <row r="285" ht="15" customHeight="1" s="71">
      <c r="A285" s="248" t="n">
        <v>280</v>
      </c>
      <c r="B285" s="249" t="n"/>
      <c r="C285" s="249" t="n"/>
      <c r="D285" s="249" t="n"/>
      <c r="E285" s="248" t="n"/>
      <c r="F285" s="248" t="n"/>
      <c r="G285" s="248" t="n"/>
      <c r="H285" s="250">
        <f>IF(AND(E285&lt;&gt;"",G285&lt;&gt;""),E285*G285,"")</f>
      </c>
      <c r="I285" s="249" t="n"/>
      <c r="J285" s="249" t="n"/>
    </row>
    <row r="286" ht="15" customHeight="1" s="71">
      <c r="A286" s="244" t="n">
        <v>281</v>
      </c>
      <c r="B286" s="245" t="n"/>
      <c r="C286" s="245" t="n"/>
      <c r="D286" s="245" t="n"/>
      <c r="E286" s="244" t="n"/>
      <c r="F286" s="244" t="n"/>
      <c r="G286" s="244" t="n"/>
      <c r="H286" s="246">
        <f>IF(AND(E286&lt;&gt;"",G286&lt;&gt;""),E286*G286,"")</f>
      </c>
      <c r="I286" s="245" t="n"/>
      <c r="J286" s="245" t="n"/>
    </row>
    <row r="287" ht="15" customHeight="1" s="71">
      <c r="A287" s="248" t="n">
        <v>282</v>
      </c>
      <c r="B287" s="249" t="n"/>
      <c r="C287" s="249" t="n"/>
      <c r="D287" s="249" t="n"/>
      <c r="E287" s="248" t="n"/>
      <c r="F287" s="248" t="n"/>
      <c r="G287" s="248" t="n"/>
      <c r="H287" s="250">
        <f>IF(AND(E287&lt;&gt;"",G287&lt;&gt;""),E287*G287,"")</f>
      </c>
      <c r="I287" s="249" t="n"/>
      <c r="J287" s="249" t="n"/>
    </row>
    <row r="288" ht="15" customHeight="1" s="71">
      <c r="A288" s="244" t="n">
        <v>283</v>
      </c>
      <c r="B288" s="245" t="n"/>
      <c r="C288" s="245" t="n"/>
      <c r="D288" s="245" t="n"/>
      <c r="E288" s="244" t="n"/>
      <c r="F288" s="244" t="n"/>
      <c r="G288" s="244" t="n"/>
      <c r="H288" s="246">
        <f>IF(AND(E288&lt;&gt;"",G288&lt;&gt;""),E288*G288,"")</f>
      </c>
      <c r="I288" s="245" t="n"/>
      <c r="J288" s="245" t="n"/>
    </row>
    <row r="289" ht="15" customHeight="1" s="71">
      <c r="A289" s="248" t="n">
        <v>284</v>
      </c>
      <c r="B289" s="249" t="n"/>
      <c r="C289" s="249" t="n"/>
      <c r="D289" s="249" t="n"/>
      <c r="E289" s="248" t="n"/>
      <c r="F289" s="248" t="n"/>
      <c r="G289" s="248" t="n"/>
      <c r="H289" s="250">
        <f>IF(AND(E289&lt;&gt;"",G289&lt;&gt;""),E289*G289,"")</f>
      </c>
      <c r="I289" s="249" t="n"/>
      <c r="J289" s="249" t="n"/>
    </row>
    <row r="290" ht="15" customHeight="1" s="71">
      <c r="A290" s="244" t="n">
        <v>285</v>
      </c>
      <c r="B290" s="245" t="n"/>
      <c r="C290" s="245" t="n"/>
      <c r="D290" s="245" t="n"/>
      <c r="E290" s="244" t="n"/>
      <c r="F290" s="244" t="n"/>
      <c r="G290" s="244" t="n"/>
      <c r="H290" s="246">
        <f>IF(AND(E290&lt;&gt;"",G290&lt;&gt;""),E290*G290,"")</f>
      </c>
      <c r="I290" s="245" t="n"/>
      <c r="J290" s="245" t="n"/>
    </row>
    <row r="291" ht="15" customHeight="1" s="71">
      <c r="A291" s="248" t="n">
        <v>286</v>
      </c>
      <c r="B291" s="249" t="n"/>
      <c r="C291" s="249" t="n"/>
      <c r="D291" s="249" t="n"/>
      <c r="E291" s="248" t="n"/>
      <c r="F291" s="248" t="n"/>
      <c r="G291" s="248" t="n"/>
      <c r="H291" s="250">
        <f>IF(AND(E291&lt;&gt;"",G291&lt;&gt;""),E291*G291,"")</f>
      </c>
      <c r="I291" s="249" t="n"/>
      <c r="J291" s="249" t="n"/>
    </row>
    <row r="292" ht="15" customHeight="1" s="71">
      <c r="A292" s="244" t="n">
        <v>287</v>
      </c>
      <c r="B292" s="245" t="n"/>
      <c r="C292" s="245" t="n"/>
      <c r="D292" s="245" t="n"/>
      <c r="E292" s="244" t="n"/>
      <c r="F292" s="244" t="n"/>
      <c r="G292" s="244" t="n"/>
      <c r="H292" s="246">
        <f>IF(AND(E292&lt;&gt;"",G292&lt;&gt;""),E292*G292,"")</f>
      </c>
      <c r="I292" s="245" t="n"/>
      <c r="J292" s="245" t="n"/>
    </row>
    <row r="293" ht="15" customHeight="1" s="71">
      <c r="A293" s="248" t="n">
        <v>288</v>
      </c>
      <c r="B293" s="249" t="n"/>
      <c r="C293" s="249" t="n"/>
      <c r="D293" s="249" t="n"/>
      <c r="E293" s="248" t="n"/>
      <c r="F293" s="248" t="n"/>
      <c r="G293" s="248" t="n"/>
      <c r="H293" s="250">
        <f>IF(AND(E293&lt;&gt;"",G293&lt;&gt;""),E293*G293,"")</f>
      </c>
      <c r="I293" s="249" t="n"/>
      <c r="J293" s="249" t="n"/>
    </row>
    <row r="294" ht="15" customHeight="1" s="71">
      <c r="A294" s="244" t="n">
        <v>289</v>
      </c>
      <c r="B294" s="245" t="n"/>
      <c r="C294" s="245" t="n"/>
      <c r="D294" s="245" t="n"/>
      <c r="E294" s="244" t="n"/>
      <c r="F294" s="244" t="n"/>
      <c r="G294" s="244" t="n"/>
      <c r="H294" s="246">
        <f>IF(AND(E294&lt;&gt;"",G294&lt;&gt;""),E294*G294,"")</f>
      </c>
      <c r="I294" s="245" t="n"/>
      <c r="J294" s="245" t="n"/>
    </row>
    <row r="295" ht="15" customHeight="1" s="71">
      <c r="A295" s="248" t="n">
        <v>290</v>
      </c>
      <c r="B295" s="249" t="n"/>
      <c r="C295" s="249" t="n"/>
      <c r="D295" s="249" t="n"/>
      <c r="E295" s="248" t="n"/>
      <c r="F295" s="248" t="n"/>
      <c r="G295" s="248" t="n"/>
      <c r="H295" s="250">
        <f>IF(AND(E295&lt;&gt;"",G295&lt;&gt;""),E295*G295,"")</f>
      </c>
      <c r="I295" s="249" t="n"/>
      <c r="J295" s="249" t="n"/>
    </row>
    <row r="296" ht="15" customHeight="1" s="71">
      <c r="A296" s="244" t="n">
        <v>291</v>
      </c>
      <c r="B296" s="245" t="n"/>
      <c r="C296" s="245" t="n"/>
      <c r="D296" s="245" t="n"/>
      <c r="E296" s="244" t="n"/>
      <c r="F296" s="244" t="n"/>
      <c r="G296" s="244" t="n"/>
      <c r="H296" s="246">
        <f>IF(AND(E296&lt;&gt;"",G296&lt;&gt;""),E296*G296,"")</f>
      </c>
      <c r="I296" s="245" t="n"/>
      <c r="J296" s="245" t="n"/>
    </row>
    <row r="297" ht="15" customHeight="1" s="71">
      <c r="A297" s="248" t="n">
        <v>292</v>
      </c>
      <c r="B297" s="249" t="n"/>
      <c r="C297" s="249" t="n"/>
      <c r="D297" s="249" t="n"/>
      <c r="E297" s="248" t="n"/>
      <c r="F297" s="248" t="n"/>
      <c r="G297" s="248" t="n"/>
      <c r="H297" s="250">
        <f>IF(AND(E297&lt;&gt;"",G297&lt;&gt;""),E297*G297,"")</f>
      </c>
      <c r="I297" s="249" t="n"/>
      <c r="J297" s="249" t="n"/>
    </row>
    <row r="298" ht="15" customHeight="1" s="71">
      <c r="A298" s="244" t="n">
        <v>293</v>
      </c>
      <c r="B298" s="245" t="n"/>
      <c r="C298" s="245" t="n"/>
      <c r="D298" s="245" t="n"/>
      <c r="E298" s="244" t="n"/>
      <c r="F298" s="244" t="n"/>
      <c r="G298" s="244" t="n"/>
      <c r="H298" s="246">
        <f>IF(AND(E298&lt;&gt;"",G298&lt;&gt;""),E298*G298,"")</f>
      </c>
      <c r="I298" s="245" t="n"/>
      <c r="J298" s="245" t="n"/>
    </row>
    <row r="299" ht="15" customHeight="1" s="71">
      <c r="A299" s="248" t="n">
        <v>294</v>
      </c>
      <c r="B299" s="249" t="n"/>
      <c r="C299" s="249" t="n"/>
      <c r="D299" s="249" t="n"/>
      <c r="E299" s="248" t="n"/>
      <c r="F299" s="248" t="n"/>
      <c r="G299" s="248" t="n"/>
      <c r="H299" s="250">
        <f>IF(AND(E299&lt;&gt;"",G299&lt;&gt;""),E299*G299,"")</f>
      </c>
      <c r="I299" s="249" t="n"/>
      <c r="J299" s="249" t="n"/>
    </row>
    <row r="300" ht="15" customHeight="1" s="71">
      <c r="A300" s="244" t="n">
        <v>295</v>
      </c>
      <c r="B300" s="245" t="n"/>
      <c r="C300" s="245" t="n"/>
      <c r="D300" s="245" t="n"/>
      <c r="E300" s="244" t="n"/>
      <c r="F300" s="244" t="n"/>
      <c r="G300" s="244" t="n"/>
      <c r="H300" s="246">
        <f>IF(AND(E300&lt;&gt;"",G300&lt;&gt;""),E300*G300,"")</f>
      </c>
      <c r="I300" s="245" t="n"/>
      <c r="J300" s="245" t="n"/>
    </row>
    <row r="301" ht="15" customHeight="1" s="71">
      <c r="A301" s="248" t="n">
        <v>296</v>
      </c>
      <c r="B301" s="249" t="n"/>
      <c r="C301" s="249" t="n"/>
      <c r="D301" s="249" t="n"/>
      <c r="E301" s="248" t="n"/>
      <c r="F301" s="248" t="n"/>
      <c r="G301" s="248" t="n"/>
      <c r="H301" s="250">
        <f>IF(AND(E301&lt;&gt;"",G301&lt;&gt;""),E301*G301,"")</f>
      </c>
      <c r="I301" s="249" t="n"/>
      <c r="J301" s="249" t="n"/>
    </row>
    <row r="302" ht="15" customHeight="1" s="71">
      <c r="A302" s="244" t="n">
        <v>297</v>
      </c>
      <c r="B302" s="245" t="n"/>
      <c r="C302" s="245" t="n"/>
      <c r="D302" s="245" t="n"/>
      <c r="E302" s="244" t="n"/>
      <c r="F302" s="244" t="n"/>
      <c r="G302" s="244" t="n"/>
      <c r="H302" s="246">
        <f>IF(AND(E302&lt;&gt;"",G302&lt;&gt;""),E302*G302,"")</f>
      </c>
      <c r="I302" s="245" t="n"/>
      <c r="J302" s="245" t="n"/>
    </row>
    <row r="303" ht="15" customHeight="1" s="71">
      <c r="A303" s="248" t="n">
        <v>298</v>
      </c>
      <c r="B303" s="249" t="n"/>
      <c r="C303" s="249" t="n"/>
      <c r="D303" s="249" t="n"/>
      <c r="E303" s="248" t="n"/>
      <c r="F303" s="248" t="n"/>
      <c r="G303" s="248" t="n"/>
      <c r="H303" s="250">
        <f>IF(AND(E303&lt;&gt;"",G303&lt;&gt;""),E303*G303,"")</f>
      </c>
      <c r="I303" s="249" t="n"/>
      <c r="J303" s="249" t="n"/>
    </row>
    <row r="304" ht="15" customHeight="1" s="71">
      <c r="A304" s="244" t="n">
        <v>299</v>
      </c>
      <c r="B304" s="245" t="n"/>
      <c r="C304" s="245" t="n"/>
      <c r="D304" s="245" t="n"/>
      <c r="E304" s="244" t="n"/>
      <c r="F304" s="244" t="n"/>
      <c r="G304" s="244" t="n"/>
      <c r="H304" s="246">
        <f>IF(AND(E304&lt;&gt;"",G304&lt;&gt;""),E304*G304,"")</f>
      </c>
      <c r="I304" s="245" t="n"/>
      <c r="J304" s="245" t="n"/>
    </row>
    <row r="305" ht="15" customHeight="1" s="71">
      <c r="A305" s="248" t="n">
        <v>300</v>
      </c>
      <c r="B305" s="249" t="n"/>
      <c r="C305" s="249" t="n"/>
      <c r="D305" s="249" t="n"/>
      <c r="E305" s="248" t="n"/>
      <c r="F305" s="248" t="n"/>
      <c r="G305" s="248" t="n"/>
      <c r="H305" s="250">
        <f>IF(AND(E305&lt;&gt;"",G305&lt;&gt;""),E305*G305,"")</f>
      </c>
      <c r="I305" s="249" t="n"/>
      <c r="J305" s="249" t="n"/>
    </row>
    <row r="306" ht="15" customHeight="1" s="71">
      <c r="A306" s="244" t="n">
        <v>301</v>
      </c>
      <c r="B306" s="245" t="n"/>
      <c r="C306" s="245" t="n"/>
      <c r="D306" s="245" t="n"/>
      <c r="E306" s="244" t="n"/>
      <c r="F306" s="244" t="n"/>
      <c r="G306" s="244" t="n"/>
      <c r="H306" s="246">
        <f>IF(AND(E306&lt;&gt;"",G306&lt;&gt;""),E306*G306,"")</f>
      </c>
      <c r="I306" s="245" t="n"/>
      <c r="J306" s="245" t="n"/>
    </row>
    <row r="307" ht="15" customHeight="1" s="71">
      <c r="A307" s="248" t="n">
        <v>302</v>
      </c>
      <c r="B307" s="249" t="n"/>
      <c r="C307" s="249" t="n"/>
      <c r="D307" s="249" t="n"/>
      <c r="E307" s="248" t="n"/>
      <c r="F307" s="248" t="n"/>
      <c r="G307" s="248" t="n"/>
      <c r="H307" s="250">
        <f>IF(AND(E307&lt;&gt;"",G307&lt;&gt;""),E307*G307,"")</f>
      </c>
      <c r="I307" s="249" t="n"/>
      <c r="J307" s="249" t="n"/>
    </row>
    <row r="308" ht="15" customHeight="1" s="71">
      <c r="A308" s="244" t="n">
        <v>303</v>
      </c>
      <c r="B308" s="245" t="n"/>
      <c r="C308" s="245" t="n"/>
      <c r="D308" s="245" t="n"/>
      <c r="E308" s="244" t="n"/>
      <c r="F308" s="244" t="n"/>
      <c r="G308" s="244" t="n"/>
      <c r="H308" s="246">
        <f>IF(AND(E308&lt;&gt;"",G308&lt;&gt;""),E308*G308,"")</f>
      </c>
      <c r="I308" s="245" t="n"/>
      <c r="J308" s="245" t="n"/>
    </row>
    <row r="309" ht="15" customHeight="1" s="71">
      <c r="A309" s="248" t="n">
        <v>304</v>
      </c>
      <c r="B309" s="249" t="n"/>
      <c r="C309" s="249" t="n"/>
      <c r="D309" s="249" t="n"/>
      <c r="E309" s="248" t="n"/>
      <c r="F309" s="248" t="n"/>
      <c r="G309" s="248" t="n"/>
      <c r="H309" s="250">
        <f>IF(AND(E309&lt;&gt;"",G309&lt;&gt;""),E309*G309,"")</f>
      </c>
      <c r="I309" s="249" t="n"/>
      <c r="J309" s="249" t="n"/>
    </row>
    <row r="310" ht="15" customHeight="1" s="71">
      <c r="A310" s="244" t="n">
        <v>305</v>
      </c>
      <c r="B310" s="245" t="n"/>
      <c r="C310" s="245" t="n"/>
      <c r="D310" s="245" t="n"/>
      <c r="E310" s="244" t="n"/>
      <c r="F310" s="244" t="n"/>
      <c r="G310" s="244" t="n"/>
      <c r="H310" s="246">
        <f>IF(AND(E310&lt;&gt;"",G310&lt;&gt;""),E310*G310,"")</f>
      </c>
      <c r="I310" s="245" t="n"/>
      <c r="J310" s="245" t="n"/>
    </row>
    <row r="311" ht="15" customHeight="1" s="71">
      <c r="A311" s="248" t="n">
        <v>306</v>
      </c>
      <c r="B311" s="249" t="n"/>
      <c r="C311" s="249" t="n"/>
      <c r="D311" s="249" t="n"/>
      <c r="E311" s="248" t="n"/>
      <c r="F311" s="248" t="n"/>
      <c r="G311" s="248" t="n"/>
      <c r="H311" s="250">
        <f>IF(AND(E311&lt;&gt;"",G311&lt;&gt;""),E311*G311,"")</f>
      </c>
      <c r="I311" s="249" t="n"/>
      <c r="J311" s="249" t="n"/>
    </row>
    <row r="312" ht="15" customHeight="1" s="71">
      <c r="A312" s="244" t="n">
        <v>307</v>
      </c>
      <c r="B312" s="245" t="n"/>
      <c r="C312" s="245" t="n"/>
      <c r="D312" s="245" t="n"/>
      <c r="E312" s="244" t="n"/>
      <c r="F312" s="244" t="n"/>
      <c r="G312" s="244" t="n"/>
      <c r="H312" s="246">
        <f>IF(AND(E312&lt;&gt;"",G312&lt;&gt;""),E312*G312,"")</f>
      </c>
      <c r="I312" s="245" t="n"/>
      <c r="J312" s="245" t="n"/>
    </row>
    <row r="313" ht="15" customHeight="1" s="71">
      <c r="A313" s="248" t="n">
        <v>308</v>
      </c>
      <c r="B313" s="249" t="n"/>
      <c r="C313" s="249" t="n"/>
      <c r="D313" s="249" t="n"/>
      <c r="E313" s="248" t="n"/>
      <c r="F313" s="248" t="n"/>
      <c r="G313" s="248" t="n"/>
      <c r="H313" s="250">
        <f>IF(AND(E313&lt;&gt;"",G313&lt;&gt;""),E313*G313,"")</f>
      </c>
      <c r="I313" s="249" t="n"/>
      <c r="J313" s="249" t="n"/>
    </row>
    <row r="314" ht="15" customHeight="1" s="71">
      <c r="A314" s="244" t="n">
        <v>309</v>
      </c>
      <c r="B314" s="245" t="n"/>
      <c r="C314" s="245" t="n"/>
      <c r="D314" s="245" t="n"/>
      <c r="E314" s="244" t="n"/>
      <c r="F314" s="244" t="n"/>
      <c r="G314" s="244" t="n"/>
      <c r="H314" s="246">
        <f>IF(AND(E314&lt;&gt;"",G314&lt;&gt;""),E314*G314,"")</f>
      </c>
      <c r="I314" s="245" t="n"/>
      <c r="J314" s="245" t="n"/>
    </row>
    <row r="315" ht="15" customHeight="1" s="71">
      <c r="A315" s="248" t="n">
        <v>310</v>
      </c>
      <c r="B315" s="249" t="n"/>
      <c r="C315" s="249" t="n"/>
      <c r="D315" s="249" t="n"/>
      <c r="E315" s="248" t="n"/>
      <c r="F315" s="248" t="n"/>
      <c r="G315" s="248" t="n"/>
      <c r="H315" s="250">
        <f>IF(AND(E315&lt;&gt;"",G315&lt;&gt;""),E315*G315,"")</f>
      </c>
      <c r="I315" s="249" t="n"/>
      <c r="J315" s="249" t="n"/>
    </row>
    <row r="316" ht="15" customHeight="1" s="71">
      <c r="A316" s="244" t="n">
        <v>311</v>
      </c>
      <c r="B316" s="245" t="n"/>
      <c r="C316" s="245" t="n"/>
      <c r="D316" s="245" t="n"/>
      <c r="E316" s="244" t="n"/>
      <c r="F316" s="244" t="n"/>
      <c r="G316" s="244" t="n"/>
      <c r="H316" s="246">
        <f>IF(AND(E316&lt;&gt;"",G316&lt;&gt;""),E316*G316,"")</f>
      </c>
      <c r="I316" s="245" t="n"/>
      <c r="J316" s="245" t="n"/>
    </row>
    <row r="317" ht="15" customHeight="1" s="71">
      <c r="A317" s="248" t="n">
        <v>312</v>
      </c>
      <c r="B317" s="249" t="n"/>
      <c r="C317" s="249" t="n"/>
      <c r="D317" s="249" t="n"/>
      <c r="E317" s="248" t="n"/>
      <c r="F317" s="248" t="n"/>
      <c r="G317" s="248" t="n"/>
      <c r="H317" s="250">
        <f>IF(AND(E317&lt;&gt;"",G317&lt;&gt;""),E317*G317,"")</f>
      </c>
      <c r="I317" s="249" t="n"/>
      <c r="J317" s="249" t="n"/>
    </row>
    <row r="318" ht="15" customHeight="1" s="71">
      <c r="A318" s="244" t="n">
        <v>313</v>
      </c>
      <c r="B318" s="245" t="n"/>
      <c r="C318" s="245" t="n"/>
      <c r="D318" s="245" t="n"/>
      <c r="E318" s="244" t="n"/>
      <c r="F318" s="244" t="n"/>
      <c r="G318" s="244" t="n"/>
      <c r="H318" s="246">
        <f>IF(AND(E318&lt;&gt;"",G318&lt;&gt;""),E318*G318,"")</f>
      </c>
      <c r="I318" s="245" t="n"/>
      <c r="J318" s="245" t="n"/>
    </row>
    <row r="319" ht="15" customHeight="1" s="71">
      <c r="A319" s="248" t="n">
        <v>314</v>
      </c>
      <c r="B319" s="249" t="n"/>
      <c r="C319" s="249" t="n"/>
      <c r="D319" s="249" t="n"/>
      <c r="E319" s="248" t="n"/>
      <c r="F319" s="248" t="n"/>
      <c r="G319" s="248" t="n"/>
      <c r="H319" s="250">
        <f>IF(AND(E319&lt;&gt;"",G319&lt;&gt;""),E319*G319,"")</f>
      </c>
      <c r="I319" s="249" t="n"/>
      <c r="J319" s="249" t="n"/>
    </row>
    <row r="320" ht="15" customHeight="1" s="71">
      <c r="A320" s="244" t="n">
        <v>315</v>
      </c>
      <c r="B320" s="245" t="n"/>
      <c r="C320" s="245" t="n"/>
      <c r="D320" s="245" t="n"/>
      <c r="E320" s="244" t="n"/>
      <c r="F320" s="244" t="n"/>
      <c r="G320" s="244" t="n"/>
      <c r="H320" s="246">
        <f>IF(AND(E320&lt;&gt;"",G320&lt;&gt;""),E320*G320,"")</f>
      </c>
      <c r="I320" s="245" t="n"/>
      <c r="J320" s="245" t="n"/>
    </row>
    <row r="321" ht="15" customHeight="1" s="71">
      <c r="A321" s="248" t="n">
        <v>316</v>
      </c>
      <c r="B321" s="249" t="n"/>
      <c r="C321" s="249" t="n"/>
      <c r="D321" s="249" t="n"/>
      <c r="E321" s="248" t="n"/>
      <c r="F321" s="248" t="n"/>
      <c r="G321" s="248" t="n"/>
      <c r="H321" s="250">
        <f>IF(AND(E321&lt;&gt;"",G321&lt;&gt;""),E321*G321,"")</f>
      </c>
      <c r="I321" s="249" t="n"/>
      <c r="J321" s="249" t="n"/>
    </row>
    <row r="322" ht="15" customHeight="1" s="71">
      <c r="A322" s="244" t="n">
        <v>317</v>
      </c>
      <c r="B322" s="245" t="n"/>
      <c r="C322" s="245" t="n"/>
      <c r="D322" s="245" t="n"/>
      <c r="E322" s="244" t="n"/>
      <c r="F322" s="244" t="n"/>
      <c r="G322" s="244" t="n"/>
      <c r="H322" s="246">
        <f>IF(AND(E322&lt;&gt;"",G322&lt;&gt;""),E322*G322,"")</f>
      </c>
      <c r="I322" s="245" t="n"/>
      <c r="J322" s="245" t="n"/>
    </row>
    <row r="323" ht="15" customHeight="1" s="71">
      <c r="A323" s="248" t="n">
        <v>318</v>
      </c>
      <c r="B323" s="249" t="n"/>
      <c r="C323" s="249" t="n"/>
      <c r="D323" s="249" t="n"/>
      <c r="E323" s="248" t="n"/>
      <c r="F323" s="248" t="n"/>
      <c r="G323" s="248" t="n"/>
      <c r="H323" s="250">
        <f>IF(AND(E323&lt;&gt;"",G323&lt;&gt;""),E323*G323,"")</f>
      </c>
      <c r="I323" s="249" t="n"/>
      <c r="J323" s="249" t="n"/>
    </row>
    <row r="324" ht="15" customHeight="1" s="71">
      <c r="A324" s="244" t="n">
        <v>319</v>
      </c>
      <c r="B324" s="245" t="n"/>
      <c r="C324" s="245" t="n"/>
      <c r="D324" s="245" t="n"/>
      <c r="E324" s="244" t="n"/>
      <c r="F324" s="244" t="n"/>
      <c r="G324" s="244" t="n"/>
      <c r="H324" s="246">
        <f>IF(AND(E324&lt;&gt;"",G324&lt;&gt;""),E324*G324,"")</f>
      </c>
      <c r="I324" s="245" t="n"/>
      <c r="J324" s="245" t="n"/>
    </row>
    <row r="325" ht="15" customHeight="1" s="71">
      <c r="A325" s="248" t="n">
        <v>320</v>
      </c>
      <c r="B325" s="249" t="n"/>
      <c r="C325" s="249" t="n"/>
      <c r="D325" s="249" t="n"/>
      <c r="E325" s="248" t="n"/>
      <c r="F325" s="248" t="n"/>
      <c r="G325" s="248" t="n"/>
      <c r="H325" s="250">
        <f>IF(AND(E325&lt;&gt;"",G325&lt;&gt;""),E325*G325,"")</f>
      </c>
      <c r="I325" s="249" t="n"/>
      <c r="J325" s="249" t="n"/>
    </row>
    <row r="326" ht="15" customHeight="1" s="71">
      <c r="A326" s="244" t="n">
        <v>321</v>
      </c>
      <c r="B326" s="245" t="n"/>
      <c r="C326" s="245" t="n"/>
      <c r="D326" s="245" t="n"/>
      <c r="E326" s="244" t="n"/>
      <c r="F326" s="244" t="n"/>
      <c r="G326" s="244" t="n"/>
      <c r="H326" s="246">
        <f>IF(AND(E326&lt;&gt;"",G326&lt;&gt;""),E326*G326,"")</f>
      </c>
      <c r="I326" s="245" t="n"/>
      <c r="J326" s="245" t="n"/>
    </row>
    <row r="327" ht="15" customHeight="1" s="71">
      <c r="A327" s="248" t="n">
        <v>322</v>
      </c>
      <c r="B327" s="249" t="n"/>
      <c r="C327" s="249" t="n"/>
      <c r="D327" s="249" t="n"/>
      <c r="E327" s="248" t="n"/>
      <c r="F327" s="248" t="n"/>
      <c r="G327" s="248" t="n"/>
      <c r="H327" s="250">
        <f>IF(AND(E327&lt;&gt;"",G327&lt;&gt;""),E327*G327,"")</f>
      </c>
      <c r="I327" s="249" t="n"/>
      <c r="J327" s="249" t="n"/>
    </row>
    <row r="328" ht="15" customHeight="1" s="71">
      <c r="A328" s="244" t="n">
        <v>323</v>
      </c>
      <c r="B328" s="245" t="n"/>
      <c r="C328" s="245" t="n"/>
      <c r="D328" s="245" t="n"/>
      <c r="E328" s="244" t="n"/>
      <c r="F328" s="244" t="n"/>
      <c r="G328" s="244" t="n"/>
      <c r="H328" s="246">
        <f>IF(AND(E328&lt;&gt;"",G328&lt;&gt;""),E328*G328,"")</f>
      </c>
      <c r="I328" s="245" t="n"/>
      <c r="J328" s="245" t="n"/>
    </row>
    <row r="329" ht="15" customHeight="1" s="71">
      <c r="A329" s="248" t="n">
        <v>324</v>
      </c>
      <c r="B329" s="249" t="n"/>
      <c r="C329" s="249" t="n"/>
      <c r="D329" s="249" t="n"/>
      <c r="E329" s="248" t="n"/>
      <c r="F329" s="248" t="n"/>
      <c r="G329" s="248" t="n"/>
      <c r="H329" s="250">
        <f>IF(AND(E329&lt;&gt;"",G329&lt;&gt;""),E329*G329,"")</f>
      </c>
      <c r="I329" s="249" t="n"/>
      <c r="J329" s="249" t="n"/>
    </row>
    <row r="330" ht="15" customHeight="1" s="71">
      <c r="A330" s="244" t="n">
        <v>325</v>
      </c>
      <c r="B330" s="245" t="n"/>
      <c r="C330" s="245" t="n"/>
      <c r="D330" s="245" t="n"/>
      <c r="E330" s="244" t="n"/>
      <c r="F330" s="244" t="n"/>
      <c r="G330" s="244" t="n"/>
      <c r="H330" s="246">
        <f>IF(AND(E330&lt;&gt;"",G330&lt;&gt;""),E330*G330,"")</f>
      </c>
      <c r="I330" s="245" t="n"/>
      <c r="J330" s="245" t="n"/>
    </row>
    <row r="331" ht="15" customHeight="1" s="71">
      <c r="A331" s="248" t="n">
        <v>326</v>
      </c>
      <c r="B331" s="249" t="n"/>
      <c r="C331" s="249" t="n"/>
      <c r="D331" s="249" t="n"/>
      <c r="E331" s="248" t="n"/>
      <c r="F331" s="248" t="n"/>
      <c r="G331" s="248" t="n"/>
      <c r="H331" s="250">
        <f>IF(AND(E331&lt;&gt;"",G331&lt;&gt;""),E331*G331,"")</f>
      </c>
      <c r="I331" s="249" t="n"/>
      <c r="J331" s="249" t="n"/>
    </row>
    <row r="332" ht="15" customHeight="1" s="71">
      <c r="A332" s="244" t="n">
        <v>327</v>
      </c>
      <c r="B332" s="245" t="n"/>
      <c r="C332" s="245" t="n"/>
      <c r="D332" s="245" t="n"/>
      <c r="E332" s="244" t="n"/>
      <c r="F332" s="244" t="n"/>
      <c r="G332" s="244" t="n"/>
      <c r="H332" s="246">
        <f>IF(AND(E332&lt;&gt;"",G332&lt;&gt;""),E332*G332,"")</f>
      </c>
      <c r="I332" s="245" t="n"/>
      <c r="J332" s="245" t="n"/>
    </row>
    <row r="333" ht="15" customHeight="1" s="71">
      <c r="A333" s="248" t="n">
        <v>328</v>
      </c>
      <c r="B333" s="249" t="n"/>
      <c r="C333" s="249" t="n"/>
      <c r="D333" s="249" t="n"/>
      <c r="E333" s="248" t="n"/>
      <c r="F333" s="248" t="n"/>
      <c r="G333" s="248" t="n"/>
      <c r="H333" s="250">
        <f>IF(AND(E333&lt;&gt;"",G333&lt;&gt;""),E333*G333,"")</f>
      </c>
      <c r="I333" s="249" t="n"/>
      <c r="J333" s="249" t="n"/>
    </row>
    <row r="334" ht="15" customHeight="1" s="71">
      <c r="A334" s="244" t="n">
        <v>329</v>
      </c>
      <c r="B334" s="245" t="n"/>
      <c r="C334" s="245" t="n"/>
      <c r="D334" s="245" t="n"/>
      <c r="E334" s="244" t="n"/>
      <c r="F334" s="244" t="n"/>
      <c r="G334" s="244" t="n"/>
      <c r="H334" s="246">
        <f>IF(AND(E334&lt;&gt;"",G334&lt;&gt;""),E334*G334,"")</f>
      </c>
      <c r="I334" s="245" t="n"/>
      <c r="J334" s="245" t="n"/>
    </row>
    <row r="335" ht="15" customHeight="1" s="71">
      <c r="A335" s="248" t="n">
        <v>330</v>
      </c>
      <c r="B335" s="249" t="n"/>
      <c r="C335" s="249" t="n"/>
      <c r="D335" s="249" t="n"/>
      <c r="E335" s="248" t="n"/>
      <c r="F335" s="248" t="n"/>
      <c r="G335" s="248" t="n"/>
      <c r="H335" s="250">
        <f>IF(AND(E335&lt;&gt;"",G335&lt;&gt;""),E335*G335,"")</f>
      </c>
      <c r="I335" s="249" t="n"/>
      <c r="J335" s="249" t="n"/>
    </row>
    <row r="336" ht="15" customHeight="1" s="71">
      <c r="A336" s="244" t="n">
        <v>331</v>
      </c>
      <c r="B336" s="245" t="n"/>
      <c r="C336" s="245" t="n"/>
      <c r="D336" s="245" t="n"/>
      <c r="E336" s="244" t="n"/>
      <c r="F336" s="244" t="n"/>
      <c r="G336" s="244" t="n"/>
      <c r="H336" s="246">
        <f>IF(AND(E336&lt;&gt;"",G336&lt;&gt;""),E336*G336,"")</f>
      </c>
      <c r="I336" s="245" t="n"/>
      <c r="J336" s="245" t="n"/>
    </row>
    <row r="337" ht="15" customHeight="1" s="71">
      <c r="A337" s="248" t="n">
        <v>332</v>
      </c>
      <c r="B337" s="249" t="n"/>
      <c r="C337" s="249" t="n"/>
      <c r="D337" s="249" t="n"/>
      <c r="E337" s="248" t="n"/>
      <c r="F337" s="248" t="n"/>
      <c r="G337" s="248" t="n"/>
      <c r="H337" s="250">
        <f>IF(AND(E337&lt;&gt;"",G337&lt;&gt;""),E337*G337,"")</f>
      </c>
      <c r="I337" s="249" t="n"/>
      <c r="J337" s="249" t="n"/>
    </row>
    <row r="338" ht="15" customHeight="1" s="71">
      <c r="A338" s="244" t="n">
        <v>333</v>
      </c>
      <c r="B338" s="245" t="n"/>
      <c r="C338" s="245" t="n"/>
      <c r="D338" s="245" t="n"/>
      <c r="E338" s="244" t="n"/>
      <c r="F338" s="244" t="n"/>
      <c r="G338" s="244" t="n"/>
      <c r="H338" s="246">
        <f>IF(AND(E338&lt;&gt;"",G338&lt;&gt;""),E338*G338,"")</f>
      </c>
      <c r="I338" s="245" t="n"/>
      <c r="J338" s="245" t="n"/>
    </row>
    <row r="339" ht="15" customHeight="1" s="71">
      <c r="A339" s="248" t="n">
        <v>334</v>
      </c>
      <c r="B339" s="249" t="n"/>
      <c r="C339" s="249" t="n"/>
      <c r="D339" s="249" t="n"/>
      <c r="E339" s="248" t="n"/>
      <c r="F339" s="248" t="n"/>
      <c r="G339" s="248" t="n"/>
      <c r="H339" s="250">
        <f>IF(AND(E339&lt;&gt;"",G339&lt;&gt;""),E339*G339,"")</f>
      </c>
      <c r="I339" s="249" t="n"/>
      <c r="J339" s="249" t="n"/>
    </row>
    <row r="340" ht="15" customHeight="1" s="71">
      <c r="A340" s="244" t="n">
        <v>335</v>
      </c>
      <c r="B340" s="245" t="n"/>
      <c r="C340" s="245" t="n"/>
      <c r="D340" s="245" t="n"/>
      <c r="E340" s="244" t="n"/>
      <c r="F340" s="244" t="n"/>
      <c r="G340" s="244" t="n"/>
      <c r="H340" s="246">
        <f>IF(AND(E340&lt;&gt;"",G340&lt;&gt;""),E340*G340,"")</f>
      </c>
      <c r="I340" s="245" t="n"/>
      <c r="J340" s="245" t="n"/>
    </row>
    <row r="341" ht="15" customHeight="1" s="71">
      <c r="A341" s="248" t="n">
        <v>336</v>
      </c>
      <c r="B341" s="249" t="n"/>
      <c r="C341" s="249" t="n"/>
      <c r="D341" s="249" t="n"/>
      <c r="E341" s="248" t="n"/>
      <c r="F341" s="248" t="n"/>
      <c r="G341" s="248" t="n"/>
      <c r="H341" s="250">
        <f>IF(AND(E341&lt;&gt;"",G341&lt;&gt;""),E341*G341,"")</f>
      </c>
      <c r="I341" s="249" t="n"/>
      <c r="J341" s="249" t="n"/>
    </row>
    <row r="342" ht="15" customHeight="1" s="71">
      <c r="A342" s="244" t="n">
        <v>337</v>
      </c>
      <c r="B342" s="245" t="n"/>
      <c r="C342" s="245" t="n"/>
      <c r="D342" s="245" t="n"/>
      <c r="E342" s="244" t="n"/>
      <c r="F342" s="244" t="n"/>
      <c r="G342" s="244" t="n"/>
      <c r="H342" s="246">
        <f>IF(AND(E342&lt;&gt;"",G342&lt;&gt;""),E342*G342,"")</f>
      </c>
      <c r="I342" s="245" t="n"/>
      <c r="J342" s="245" t="n"/>
    </row>
    <row r="343" ht="15" customHeight="1" s="71">
      <c r="A343" s="248" t="n">
        <v>338</v>
      </c>
      <c r="B343" s="249" t="n"/>
      <c r="C343" s="249" t="n"/>
      <c r="D343" s="249" t="n"/>
      <c r="E343" s="248" t="n"/>
      <c r="F343" s="248" t="n"/>
      <c r="G343" s="248" t="n"/>
      <c r="H343" s="250">
        <f>IF(AND(E343&lt;&gt;"",G343&lt;&gt;""),E343*G343,"")</f>
      </c>
      <c r="I343" s="249" t="n"/>
      <c r="J343" s="249" t="n"/>
    </row>
    <row r="344" ht="15" customHeight="1" s="71">
      <c r="A344" s="244" t="n">
        <v>339</v>
      </c>
      <c r="B344" s="245" t="n"/>
      <c r="C344" s="245" t="n"/>
      <c r="D344" s="245" t="n"/>
      <c r="E344" s="244" t="n"/>
      <c r="F344" s="244" t="n"/>
      <c r="G344" s="244" t="n"/>
      <c r="H344" s="246">
        <f>IF(AND(E344&lt;&gt;"",G344&lt;&gt;""),E344*G344,"")</f>
      </c>
      <c r="I344" s="245" t="n"/>
      <c r="J344" s="245" t="n"/>
    </row>
    <row r="345" ht="15" customHeight="1" s="71">
      <c r="A345" s="248" t="n">
        <v>340</v>
      </c>
      <c r="B345" s="249" t="n"/>
      <c r="C345" s="249" t="n"/>
      <c r="D345" s="249" t="n"/>
      <c r="E345" s="248" t="n"/>
      <c r="F345" s="248" t="n"/>
      <c r="G345" s="248" t="n"/>
      <c r="H345" s="250">
        <f>IF(AND(E345&lt;&gt;"",G345&lt;&gt;""),E345*G345,"")</f>
      </c>
      <c r="I345" s="249" t="n"/>
      <c r="J345" s="249" t="n"/>
    </row>
    <row r="346" ht="15" customHeight="1" s="71">
      <c r="A346" s="244" t="n">
        <v>341</v>
      </c>
      <c r="B346" s="245" t="n"/>
      <c r="C346" s="245" t="n"/>
      <c r="D346" s="245" t="n"/>
      <c r="E346" s="244" t="n"/>
      <c r="F346" s="244" t="n"/>
      <c r="G346" s="244" t="n"/>
      <c r="H346" s="246">
        <f>IF(AND(E346&lt;&gt;"",G346&lt;&gt;""),E346*G346,"")</f>
      </c>
      <c r="I346" s="245" t="n"/>
      <c r="J346" s="245" t="n"/>
    </row>
    <row r="347" ht="15" customHeight="1" s="71">
      <c r="A347" s="248" t="n">
        <v>342</v>
      </c>
      <c r="B347" s="249" t="n"/>
      <c r="C347" s="249" t="n"/>
      <c r="D347" s="249" t="n"/>
      <c r="E347" s="248" t="n"/>
      <c r="F347" s="248" t="n"/>
      <c r="G347" s="248" t="n"/>
      <c r="H347" s="250">
        <f>IF(AND(E347&lt;&gt;"",G347&lt;&gt;""),E347*G347,"")</f>
      </c>
      <c r="I347" s="249" t="n"/>
      <c r="J347" s="249" t="n"/>
    </row>
    <row r="348" ht="15" customHeight="1" s="71">
      <c r="A348" s="244" t="n">
        <v>343</v>
      </c>
      <c r="B348" s="245" t="n"/>
      <c r="C348" s="245" t="n"/>
      <c r="D348" s="245" t="n"/>
      <c r="E348" s="244" t="n"/>
      <c r="F348" s="244" t="n"/>
      <c r="G348" s="244" t="n"/>
      <c r="H348" s="246">
        <f>IF(AND(E348&lt;&gt;"",G348&lt;&gt;""),E348*G348,"")</f>
      </c>
      <c r="I348" s="245" t="n"/>
      <c r="J348" s="245" t="n"/>
    </row>
    <row r="349" ht="15" customHeight="1" s="71">
      <c r="A349" s="248" t="n">
        <v>344</v>
      </c>
      <c r="B349" s="249" t="n"/>
      <c r="C349" s="249" t="n"/>
      <c r="D349" s="249" t="n"/>
      <c r="E349" s="248" t="n"/>
      <c r="F349" s="248" t="n"/>
      <c r="G349" s="248" t="n"/>
      <c r="H349" s="250">
        <f>IF(AND(E349&lt;&gt;"",G349&lt;&gt;""),E349*G349,"")</f>
      </c>
      <c r="I349" s="249" t="n"/>
      <c r="J349" s="249" t="n"/>
    </row>
    <row r="350" ht="15" customHeight="1" s="71">
      <c r="A350" s="244" t="n">
        <v>345</v>
      </c>
      <c r="B350" s="245" t="n"/>
      <c r="C350" s="245" t="n"/>
      <c r="D350" s="245" t="n"/>
      <c r="E350" s="244" t="n"/>
      <c r="F350" s="244" t="n"/>
      <c r="G350" s="244" t="n"/>
      <c r="H350" s="246">
        <f>IF(AND(E350&lt;&gt;"",G350&lt;&gt;""),E350*G350,"")</f>
      </c>
      <c r="I350" s="245" t="n"/>
      <c r="J350" s="245" t="n"/>
    </row>
    <row r="351" ht="15" customHeight="1" s="71">
      <c r="A351" s="248" t="n">
        <v>346</v>
      </c>
      <c r="B351" s="249" t="n"/>
      <c r="C351" s="249" t="n"/>
      <c r="D351" s="249" t="n"/>
      <c r="E351" s="248" t="n"/>
      <c r="F351" s="248" t="n"/>
      <c r="G351" s="248" t="n"/>
      <c r="H351" s="250">
        <f>IF(AND(E351&lt;&gt;"",G351&lt;&gt;""),E351*G351,"")</f>
      </c>
      <c r="I351" s="249" t="n"/>
      <c r="J351" s="249" t="n"/>
    </row>
    <row r="352" ht="15" customHeight="1" s="71">
      <c r="A352" s="244" t="n">
        <v>347</v>
      </c>
      <c r="B352" s="245" t="n"/>
      <c r="C352" s="245" t="n"/>
      <c r="D352" s="245" t="n"/>
      <c r="E352" s="244" t="n"/>
      <c r="F352" s="244" t="n"/>
      <c r="G352" s="244" t="n"/>
      <c r="H352" s="246">
        <f>IF(AND(E352&lt;&gt;"",G352&lt;&gt;""),E352*G352,"")</f>
      </c>
      <c r="I352" s="245" t="n"/>
      <c r="J352" s="245" t="n"/>
    </row>
    <row r="353" ht="15" customHeight="1" s="71">
      <c r="A353" s="248" t="n">
        <v>348</v>
      </c>
      <c r="B353" s="249" t="n"/>
      <c r="C353" s="249" t="n"/>
      <c r="D353" s="249" t="n"/>
      <c r="E353" s="248" t="n"/>
      <c r="F353" s="248" t="n"/>
      <c r="G353" s="248" t="n"/>
      <c r="H353" s="250">
        <f>IF(AND(E353&lt;&gt;"",G353&lt;&gt;""),E353*G353,"")</f>
      </c>
      <c r="I353" s="249" t="n"/>
      <c r="J353" s="249" t="n"/>
    </row>
    <row r="354" ht="15" customHeight="1" s="71">
      <c r="A354" s="244" t="n">
        <v>349</v>
      </c>
      <c r="B354" s="245" t="n"/>
      <c r="C354" s="245" t="n"/>
      <c r="D354" s="245" t="n"/>
      <c r="E354" s="244" t="n"/>
      <c r="F354" s="244" t="n"/>
      <c r="G354" s="244" t="n"/>
      <c r="H354" s="246">
        <f>IF(AND(E354&lt;&gt;"",G354&lt;&gt;""),E354*G354,"")</f>
      </c>
      <c r="I354" s="245" t="n"/>
      <c r="J354" s="245" t="n"/>
    </row>
    <row r="355" ht="15" customHeight="1" s="71">
      <c r="A355" s="248" t="n">
        <v>350</v>
      </c>
      <c r="B355" s="249" t="n"/>
      <c r="C355" s="249" t="n"/>
      <c r="D355" s="249" t="n"/>
      <c r="E355" s="248" t="n"/>
      <c r="F355" s="248" t="n"/>
      <c r="G355" s="248" t="n"/>
      <c r="H355" s="250">
        <f>IF(AND(E355&lt;&gt;"",G355&lt;&gt;""),E355*G355,"")</f>
      </c>
      <c r="I355" s="249" t="n"/>
      <c r="J355" s="249" t="n"/>
    </row>
    <row r="356" ht="15" customHeight="1" s="71">
      <c r="A356" s="244" t="n">
        <v>351</v>
      </c>
      <c r="B356" s="245" t="n"/>
      <c r="C356" s="245" t="n"/>
      <c r="D356" s="245" t="n"/>
      <c r="E356" s="244" t="n"/>
      <c r="F356" s="244" t="n"/>
      <c r="G356" s="244" t="n"/>
      <c r="H356" s="246">
        <f>IF(AND(E356&lt;&gt;"",G356&lt;&gt;""),E356*G356,"")</f>
      </c>
      <c r="I356" s="245" t="n"/>
      <c r="J356" s="245" t="n"/>
    </row>
    <row r="357" ht="15" customHeight="1" s="71">
      <c r="A357" s="248" t="n">
        <v>352</v>
      </c>
      <c r="B357" s="249" t="n"/>
      <c r="C357" s="249" t="n"/>
      <c r="D357" s="249" t="n"/>
      <c r="E357" s="248" t="n"/>
      <c r="F357" s="248" t="n"/>
      <c r="G357" s="248" t="n"/>
      <c r="H357" s="250">
        <f>IF(AND(E357&lt;&gt;"",G357&lt;&gt;""),E357*G357,"")</f>
      </c>
      <c r="I357" s="249" t="n"/>
      <c r="J357" s="249" t="n"/>
    </row>
    <row r="358" ht="15" customHeight="1" s="71">
      <c r="A358" s="244" t="n">
        <v>353</v>
      </c>
      <c r="B358" s="245" t="n"/>
      <c r="C358" s="245" t="n"/>
      <c r="D358" s="245" t="n"/>
      <c r="E358" s="244" t="n"/>
      <c r="F358" s="244" t="n"/>
      <c r="G358" s="244" t="n"/>
      <c r="H358" s="246">
        <f>IF(AND(E358&lt;&gt;"",G358&lt;&gt;""),E358*G358,"")</f>
      </c>
      <c r="I358" s="245" t="n"/>
      <c r="J358" s="245" t="n"/>
    </row>
    <row r="359" ht="15" customHeight="1" s="71">
      <c r="A359" s="248" t="n">
        <v>354</v>
      </c>
      <c r="B359" s="249" t="n"/>
      <c r="C359" s="249" t="n"/>
      <c r="D359" s="249" t="n"/>
      <c r="E359" s="248" t="n"/>
      <c r="F359" s="248" t="n"/>
      <c r="G359" s="248" t="n"/>
      <c r="H359" s="250">
        <f>IF(AND(E359&lt;&gt;"",G359&lt;&gt;""),E359*G359,"")</f>
      </c>
      <c r="I359" s="249" t="n"/>
      <c r="J359" s="249" t="n"/>
    </row>
    <row r="360" ht="15" customHeight="1" s="71">
      <c r="A360" s="244" t="n">
        <v>355</v>
      </c>
      <c r="B360" s="245" t="n"/>
      <c r="C360" s="245" t="n"/>
      <c r="D360" s="245" t="n"/>
      <c r="E360" s="244" t="n"/>
      <c r="F360" s="244" t="n"/>
      <c r="G360" s="244" t="n"/>
      <c r="H360" s="246">
        <f>IF(AND(E360&lt;&gt;"",G360&lt;&gt;""),E360*G360,"")</f>
      </c>
      <c r="I360" s="245" t="n"/>
      <c r="J360" s="245" t="n"/>
    </row>
    <row r="361" ht="15" customHeight="1" s="71">
      <c r="A361" s="248" t="n">
        <v>356</v>
      </c>
      <c r="B361" s="249" t="n"/>
      <c r="C361" s="249" t="n"/>
      <c r="D361" s="249" t="n"/>
      <c r="E361" s="248" t="n"/>
      <c r="F361" s="248" t="n"/>
      <c r="G361" s="248" t="n"/>
      <c r="H361" s="250">
        <f>IF(AND(E361&lt;&gt;"",G361&lt;&gt;""),E361*G361,"")</f>
      </c>
      <c r="I361" s="249" t="n"/>
      <c r="J361" s="249" t="n"/>
    </row>
    <row r="362" ht="15" customHeight="1" s="71">
      <c r="A362" s="244" t="n">
        <v>357</v>
      </c>
      <c r="B362" s="245" t="n"/>
      <c r="C362" s="245" t="n"/>
      <c r="D362" s="245" t="n"/>
      <c r="E362" s="244" t="n"/>
      <c r="F362" s="244" t="n"/>
      <c r="G362" s="244" t="n"/>
      <c r="H362" s="246">
        <f>IF(AND(E362&lt;&gt;"",G362&lt;&gt;""),E362*G362,"")</f>
      </c>
      <c r="I362" s="245" t="n"/>
      <c r="J362" s="245" t="n"/>
    </row>
    <row r="363" ht="15" customHeight="1" s="71">
      <c r="A363" s="248" t="n">
        <v>358</v>
      </c>
      <c r="B363" s="249" t="n"/>
      <c r="C363" s="249" t="n"/>
      <c r="D363" s="249" t="n"/>
      <c r="E363" s="248" t="n"/>
      <c r="F363" s="248" t="n"/>
      <c r="G363" s="248" t="n"/>
      <c r="H363" s="250">
        <f>IF(AND(E363&lt;&gt;"",G363&lt;&gt;""),E363*G363,"")</f>
      </c>
      <c r="I363" s="249" t="n"/>
      <c r="J363" s="249" t="n"/>
    </row>
    <row r="364" ht="15" customHeight="1" s="71">
      <c r="A364" s="244" t="n">
        <v>359</v>
      </c>
      <c r="B364" s="245" t="n"/>
      <c r="C364" s="245" t="n"/>
      <c r="D364" s="245" t="n"/>
      <c r="E364" s="244" t="n"/>
      <c r="F364" s="244" t="n"/>
      <c r="G364" s="244" t="n"/>
      <c r="H364" s="246">
        <f>IF(AND(E364&lt;&gt;"",G364&lt;&gt;""),E364*G364,"")</f>
      </c>
      <c r="I364" s="245" t="n"/>
      <c r="J364" s="245" t="n"/>
    </row>
    <row r="365" ht="15" customHeight="1" s="71">
      <c r="A365" s="248" t="n">
        <v>360</v>
      </c>
      <c r="B365" s="249" t="n"/>
      <c r="C365" s="249" t="n"/>
      <c r="D365" s="249" t="n"/>
      <c r="E365" s="248" t="n"/>
      <c r="F365" s="248" t="n"/>
      <c r="G365" s="248" t="n"/>
      <c r="H365" s="250">
        <f>IF(AND(E365&lt;&gt;"",G365&lt;&gt;""),E365*G365,"")</f>
      </c>
      <c r="I365" s="249" t="n"/>
      <c r="J365" s="249" t="n"/>
    </row>
    <row r="366" ht="15" customHeight="1" s="71">
      <c r="A366" s="244" t="n">
        <v>361</v>
      </c>
      <c r="B366" s="245" t="n"/>
      <c r="C366" s="245" t="n"/>
      <c r="D366" s="245" t="n"/>
      <c r="E366" s="244" t="n"/>
      <c r="F366" s="244" t="n"/>
      <c r="G366" s="244" t="n"/>
      <c r="H366" s="246">
        <f>IF(AND(E366&lt;&gt;"",G366&lt;&gt;""),E366*G366,"")</f>
      </c>
      <c r="I366" s="245" t="n"/>
      <c r="J366" s="245" t="n"/>
    </row>
    <row r="367" ht="15" customHeight="1" s="71">
      <c r="A367" s="248" t="n">
        <v>362</v>
      </c>
      <c r="B367" s="249" t="n"/>
      <c r="C367" s="249" t="n"/>
      <c r="D367" s="249" t="n"/>
      <c r="E367" s="248" t="n"/>
      <c r="F367" s="248" t="n"/>
      <c r="G367" s="248" t="n"/>
      <c r="H367" s="250">
        <f>IF(AND(E367&lt;&gt;"",G367&lt;&gt;""),E367*G367,"")</f>
      </c>
      <c r="I367" s="249" t="n"/>
      <c r="J367" s="249" t="n"/>
    </row>
    <row r="368" ht="15" customHeight="1" s="71">
      <c r="A368" s="244" t="n">
        <v>363</v>
      </c>
      <c r="B368" s="245" t="n"/>
      <c r="C368" s="245" t="n"/>
      <c r="D368" s="245" t="n"/>
      <c r="E368" s="244" t="n"/>
      <c r="F368" s="244" t="n"/>
      <c r="G368" s="244" t="n"/>
      <c r="H368" s="246">
        <f>IF(AND(E368&lt;&gt;"",G368&lt;&gt;""),E368*G368,"")</f>
      </c>
      <c r="I368" s="245" t="n"/>
      <c r="J368" s="245" t="n"/>
    </row>
    <row r="369" ht="15" customHeight="1" s="71">
      <c r="A369" s="248" t="n">
        <v>364</v>
      </c>
      <c r="B369" s="249" t="n"/>
      <c r="C369" s="249" t="n"/>
      <c r="D369" s="249" t="n"/>
      <c r="E369" s="248" t="n"/>
      <c r="F369" s="248" t="n"/>
      <c r="G369" s="248" t="n"/>
      <c r="H369" s="250">
        <f>IF(AND(E369&lt;&gt;"",G369&lt;&gt;""),E369*G369,"")</f>
      </c>
      <c r="I369" s="249" t="n"/>
      <c r="J369" s="249" t="n"/>
    </row>
    <row r="370" ht="15" customHeight="1" s="71">
      <c r="A370" s="244" t="n">
        <v>365</v>
      </c>
      <c r="B370" s="245" t="n"/>
      <c r="C370" s="245" t="n"/>
      <c r="D370" s="245" t="n"/>
      <c r="E370" s="244" t="n"/>
      <c r="F370" s="244" t="n"/>
      <c r="G370" s="244" t="n"/>
      <c r="H370" s="246">
        <f>IF(AND(E370&lt;&gt;"",G370&lt;&gt;""),E370*G370,"")</f>
      </c>
      <c r="I370" s="245" t="n"/>
      <c r="J370" s="245" t="n"/>
    </row>
    <row r="371" ht="15" customHeight="1" s="71">
      <c r="A371" s="248" t="n">
        <v>366</v>
      </c>
      <c r="B371" s="249" t="n"/>
      <c r="C371" s="249" t="n"/>
      <c r="D371" s="249" t="n"/>
      <c r="E371" s="248" t="n"/>
      <c r="F371" s="248" t="n"/>
      <c r="G371" s="248" t="n"/>
      <c r="H371" s="250">
        <f>IF(AND(E371&lt;&gt;"",G371&lt;&gt;""),E371*G371,"")</f>
      </c>
      <c r="I371" s="249" t="n"/>
      <c r="J371" s="249" t="n"/>
    </row>
    <row r="372" ht="15" customHeight="1" s="71">
      <c r="A372" s="244" t="n">
        <v>367</v>
      </c>
      <c r="B372" s="245" t="n"/>
      <c r="C372" s="245" t="n"/>
      <c r="D372" s="245" t="n"/>
      <c r="E372" s="244" t="n"/>
      <c r="F372" s="244" t="n"/>
      <c r="G372" s="244" t="n"/>
      <c r="H372" s="246">
        <f>IF(AND(E372&lt;&gt;"",G372&lt;&gt;""),E372*G372,"")</f>
      </c>
      <c r="I372" s="245" t="n"/>
      <c r="J372" s="245" t="n"/>
    </row>
    <row r="373" ht="15" customHeight="1" s="71">
      <c r="A373" s="248" t="n">
        <v>368</v>
      </c>
      <c r="B373" s="249" t="n"/>
      <c r="C373" s="249" t="n"/>
      <c r="D373" s="249" t="n"/>
      <c r="E373" s="248" t="n"/>
      <c r="F373" s="248" t="n"/>
      <c r="G373" s="248" t="n"/>
      <c r="H373" s="250">
        <f>IF(AND(E373&lt;&gt;"",G373&lt;&gt;""),E373*G373,"")</f>
      </c>
      <c r="I373" s="249" t="n"/>
      <c r="J373" s="249" t="n"/>
    </row>
    <row r="374" ht="15" customHeight="1" s="71">
      <c r="A374" s="244" t="n">
        <v>369</v>
      </c>
      <c r="B374" s="245" t="n"/>
      <c r="C374" s="245" t="n"/>
      <c r="D374" s="245" t="n"/>
      <c r="E374" s="244" t="n"/>
      <c r="F374" s="244" t="n"/>
      <c r="G374" s="244" t="n"/>
      <c r="H374" s="246">
        <f>IF(AND(E374&lt;&gt;"",G374&lt;&gt;""),E374*G374,"")</f>
      </c>
      <c r="I374" s="245" t="n"/>
      <c r="J374" s="245" t="n"/>
    </row>
    <row r="375" ht="15" customHeight="1" s="71">
      <c r="A375" s="248" t="n">
        <v>370</v>
      </c>
      <c r="B375" s="249" t="n"/>
      <c r="C375" s="249" t="n"/>
      <c r="D375" s="249" t="n"/>
      <c r="E375" s="248" t="n"/>
      <c r="F375" s="248" t="n"/>
      <c r="G375" s="248" t="n"/>
      <c r="H375" s="250">
        <f>IF(AND(E375&lt;&gt;"",G375&lt;&gt;""),E375*G375,"")</f>
      </c>
      <c r="I375" s="249" t="n"/>
      <c r="J375" s="249" t="n"/>
    </row>
    <row r="376" ht="15" customHeight="1" s="71">
      <c r="A376" s="244" t="n">
        <v>371</v>
      </c>
      <c r="B376" s="245" t="n"/>
      <c r="C376" s="245" t="n"/>
      <c r="D376" s="245" t="n"/>
      <c r="E376" s="244" t="n"/>
      <c r="F376" s="244" t="n"/>
      <c r="G376" s="244" t="n"/>
      <c r="H376" s="246">
        <f>IF(AND(E376&lt;&gt;"",G376&lt;&gt;""),E376*G376,"")</f>
      </c>
      <c r="I376" s="245" t="n"/>
      <c r="J376" s="245" t="n"/>
    </row>
    <row r="377" ht="15" customHeight="1" s="71">
      <c r="A377" s="248" t="n">
        <v>372</v>
      </c>
      <c r="B377" s="249" t="n"/>
      <c r="C377" s="249" t="n"/>
      <c r="D377" s="249" t="n"/>
      <c r="E377" s="248" t="n"/>
      <c r="F377" s="248" t="n"/>
      <c r="G377" s="248" t="n"/>
      <c r="H377" s="250">
        <f>IF(AND(E377&lt;&gt;"",G377&lt;&gt;""),E377*G377,"")</f>
      </c>
      <c r="I377" s="249" t="n"/>
      <c r="J377" s="249" t="n"/>
    </row>
    <row r="378" ht="15" customHeight="1" s="71">
      <c r="A378" s="244" t="n">
        <v>373</v>
      </c>
      <c r="B378" s="245" t="n"/>
      <c r="C378" s="245" t="n"/>
      <c r="D378" s="245" t="n"/>
      <c r="E378" s="244" t="n"/>
      <c r="F378" s="244" t="n"/>
      <c r="G378" s="244" t="n"/>
      <c r="H378" s="246">
        <f>IF(AND(E378&lt;&gt;"",G378&lt;&gt;""),E378*G378,"")</f>
      </c>
      <c r="I378" s="245" t="n"/>
      <c r="J378" s="245" t="n"/>
    </row>
    <row r="379" ht="15" customHeight="1" s="71">
      <c r="A379" s="248" t="n">
        <v>374</v>
      </c>
      <c r="B379" s="249" t="n"/>
      <c r="C379" s="249" t="n"/>
      <c r="D379" s="249" t="n"/>
      <c r="E379" s="248" t="n"/>
      <c r="F379" s="248" t="n"/>
      <c r="G379" s="248" t="n"/>
      <c r="H379" s="250">
        <f>IF(AND(E379&lt;&gt;"",G379&lt;&gt;""),E379*G379,"")</f>
      </c>
      <c r="I379" s="249" t="n"/>
      <c r="J379" s="249" t="n"/>
    </row>
    <row r="380" ht="15" customHeight="1" s="71">
      <c r="A380" s="244" t="n">
        <v>375</v>
      </c>
      <c r="B380" s="245" t="n"/>
      <c r="C380" s="245" t="n"/>
      <c r="D380" s="245" t="n"/>
      <c r="E380" s="244" t="n"/>
      <c r="F380" s="244" t="n"/>
      <c r="G380" s="244" t="n"/>
      <c r="H380" s="246">
        <f>IF(AND(E380&lt;&gt;"",G380&lt;&gt;""),E380*G380,"")</f>
      </c>
      <c r="I380" s="245" t="n"/>
      <c r="J380" s="245" t="n"/>
    </row>
    <row r="381" ht="15" customHeight="1" s="71">
      <c r="A381" s="248" t="n">
        <v>376</v>
      </c>
      <c r="B381" s="249" t="n"/>
      <c r="C381" s="249" t="n"/>
      <c r="D381" s="249" t="n"/>
      <c r="E381" s="248" t="n"/>
      <c r="F381" s="248" t="n"/>
      <c r="G381" s="248" t="n"/>
      <c r="H381" s="250">
        <f>IF(AND(E381&lt;&gt;"",G381&lt;&gt;""),E381*G381,"")</f>
      </c>
      <c r="I381" s="249" t="n"/>
      <c r="J381" s="249" t="n"/>
    </row>
    <row r="382" ht="15" customHeight="1" s="71">
      <c r="A382" s="244" t="n">
        <v>377</v>
      </c>
      <c r="B382" s="245" t="n"/>
      <c r="C382" s="245" t="n"/>
      <c r="D382" s="245" t="n"/>
      <c r="E382" s="244" t="n"/>
      <c r="F382" s="244" t="n"/>
      <c r="G382" s="244" t="n"/>
      <c r="H382" s="246">
        <f>IF(AND(E382&lt;&gt;"",G382&lt;&gt;""),E382*G382,"")</f>
      </c>
      <c r="I382" s="245" t="n"/>
      <c r="J382" s="245" t="n"/>
    </row>
    <row r="383" ht="15" customHeight="1" s="71">
      <c r="A383" s="248" t="n">
        <v>378</v>
      </c>
      <c r="B383" s="249" t="n"/>
      <c r="C383" s="249" t="n"/>
      <c r="D383" s="249" t="n"/>
      <c r="E383" s="248" t="n"/>
      <c r="F383" s="248" t="n"/>
      <c r="G383" s="248" t="n"/>
      <c r="H383" s="250">
        <f>IF(AND(E383&lt;&gt;"",G383&lt;&gt;""),E383*G383,"")</f>
      </c>
      <c r="I383" s="249" t="n"/>
      <c r="J383" s="249" t="n"/>
    </row>
    <row r="384" ht="15" customHeight="1" s="71">
      <c r="A384" s="244" t="n">
        <v>379</v>
      </c>
      <c r="B384" s="245" t="n"/>
      <c r="C384" s="245" t="n"/>
      <c r="D384" s="245" t="n"/>
      <c r="E384" s="244" t="n"/>
      <c r="F384" s="244" t="n"/>
      <c r="G384" s="244" t="n"/>
      <c r="H384" s="246">
        <f>IF(AND(E384&lt;&gt;"",G384&lt;&gt;""),E384*G384,"")</f>
      </c>
      <c r="I384" s="245" t="n"/>
      <c r="J384" s="245" t="n"/>
    </row>
    <row r="385" ht="15" customHeight="1" s="71">
      <c r="A385" s="248" t="n">
        <v>380</v>
      </c>
      <c r="B385" s="249" t="n"/>
      <c r="C385" s="249" t="n"/>
      <c r="D385" s="249" t="n"/>
      <c r="E385" s="248" t="n"/>
      <c r="F385" s="248" t="n"/>
      <c r="G385" s="248" t="n"/>
      <c r="H385" s="250">
        <f>IF(AND(E385&lt;&gt;"",G385&lt;&gt;""),E385*G385,"")</f>
      </c>
      <c r="I385" s="249" t="n"/>
      <c r="J385" s="249" t="n"/>
    </row>
    <row r="386" ht="15" customHeight="1" s="71">
      <c r="A386" s="244" t="n">
        <v>381</v>
      </c>
      <c r="B386" s="245" t="n"/>
      <c r="C386" s="245" t="n"/>
      <c r="D386" s="245" t="n"/>
      <c r="E386" s="244" t="n"/>
      <c r="F386" s="244" t="n"/>
      <c r="G386" s="244" t="n"/>
      <c r="H386" s="246">
        <f>IF(AND(E386&lt;&gt;"",G386&lt;&gt;""),E386*G386,"")</f>
      </c>
      <c r="I386" s="245" t="n"/>
      <c r="J386" s="245" t="n"/>
    </row>
    <row r="387" ht="15" customHeight="1" s="71">
      <c r="A387" s="248" t="n">
        <v>382</v>
      </c>
      <c r="B387" s="249" t="n"/>
      <c r="C387" s="249" t="n"/>
      <c r="D387" s="249" t="n"/>
      <c r="E387" s="248" t="n"/>
      <c r="F387" s="248" t="n"/>
      <c r="G387" s="248" t="n"/>
      <c r="H387" s="250">
        <f>IF(AND(E387&lt;&gt;"",G387&lt;&gt;""),E387*G387,"")</f>
      </c>
      <c r="I387" s="249" t="n"/>
      <c r="J387" s="249" t="n"/>
    </row>
    <row r="388" ht="15" customHeight="1" s="71">
      <c r="A388" s="244" t="n">
        <v>383</v>
      </c>
      <c r="B388" s="245" t="n"/>
      <c r="C388" s="245" t="n"/>
      <c r="D388" s="245" t="n"/>
      <c r="E388" s="244" t="n"/>
      <c r="F388" s="244" t="n"/>
      <c r="G388" s="244" t="n"/>
      <c r="H388" s="246">
        <f>IF(AND(E388&lt;&gt;"",G388&lt;&gt;""),E388*G388,"")</f>
      </c>
      <c r="I388" s="245" t="n"/>
      <c r="J388" s="245" t="n"/>
    </row>
    <row r="389" ht="15" customHeight="1" s="71">
      <c r="A389" s="248" t="n">
        <v>384</v>
      </c>
      <c r="B389" s="249" t="n"/>
      <c r="C389" s="249" t="n"/>
      <c r="D389" s="249" t="n"/>
      <c r="E389" s="248" t="n"/>
      <c r="F389" s="248" t="n"/>
      <c r="G389" s="248" t="n"/>
      <c r="H389" s="250">
        <f>IF(AND(E389&lt;&gt;"",G389&lt;&gt;""),E389*G389,"")</f>
      </c>
      <c r="I389" s="249" t="n"/>
      <c r="J389" s="249" t="n"/>
    </row>
    <row r="390" ht="15" customHeight="1" s="71">
      <c r="A390" s="244" t="n">
        <v>385</v>
      </c>
      <c r="B390" s="245" t="n"/>
      <c r="C390" s="245" t="n"/>
      <c r="D390" s="245" t="n"/>
      <c r="E390" s="244" t="n"/>
      <c r="F390" s="244" t="n"/>
      <c r="G390" s="244" t="n"/>
      <c r="H390" s="246">
        <f>IF(AND(E390&lt;&gt;"",G390&lt;&gt;""),E390*G390,"")</f>
      </c>
      <c r="I390" s="245" t="n"/>
      <c r="J390" s="245" t="n"/>
    </row>
    <row r="391" ht="15" customHeight="1" s="71">
      <c r="A391" s="248" t="n">
        <v>386</v>
      </c>
      <c r="B391" s="249" t="n"/>
      <c r="C391" s="249" t="n"/>
      <c r="D391" s="249" t="n"/>
      <c r="E391" s="248" t="n"/>
      <c r="F391" s="248" t="n"/>
      <c r="G391" s="248" t="n"/>
      <c r="H391" s="250">
        <f>IF(AND(E391&lt;&gt;"",G391&lt;&gt;""),E391*G391,"")</f>
      </c>
      <c r="I391" s="249" t="n"/>
      <c r="J391" s="249" t="n"/>
    </row>
    <row r="392" ht="15" customHeight="1" s="71">
      <c r="A392" s="244" t="n">
        <v>387</v>
      </c>
      <c r="B392" s="245" t="n"/>
      <c r="C392" s="245" t="n"/>
      <c r="D392" s="245" t="n"/>
      <c r="E392" s="244" t="n"/>
      <c r="F392" s="244" t="n"/>
      <c r="G392" s="244" t="n"/>
      <c r="H392" s="246">
        <f>IF(AND(E392&lt;&gt;"",G392&lt;&gt;""),E392*G392,"")</f>
      </c>
      <c r="I392" s="245" t="n"/>
      <c r="J392" s="245" t="n"/>
    </row>
    <row r="393" ht="15" customHeight="1" s="71">
      <c r="A393" s="248" t="n">
        <v>388</v>
      </c>
      <c r="B393" s="249" t="n"/>
      <c r="C393" s="249" t="n"/>
      <c r="D393" s="249" t="n"/>
      <c r="E393" s="248" t="n"/>
      <c r="F393" s="248" t="n"/>
      <c r="G393" s="248" t="n"/>
      <c r="H393" s="250">
        <f>IF(AND(E393&lt;&gt;"",G393&lt;&gt;""),E393*G393,"")</f>
      </c>
      <c r="I393" s="249" t="n"/>
      <c r="J393" s="249" t="n"/>
    </row>
    <row r="394" ht="15" customHeight="1" s="71">
      <c r="A394" s="244" t="n">
        <v>389</v>
      </c>
      <c r="B394" s="245" t="n"/>
      <c r="C394" s="245" t="n"/>
      <c r="D394" s="245" t="n"/>
      <c r="E394" s="244" t="n"/>
      <c r="F394" s="244" t="n"/>
      <c r="G394" s="244" t="n"/>
      <c r="H394" s="246">
        <f>IF(AND(E394&lt;&gt;"",G394&lt;&gt;""),E394*G394,"")</f>
      </c>
      <c r="I394" s="245" t="n"/>
      <c r="J394" s="245" t="n"/>
    </row>
    <row r="395" ht="15" customHeight="1" s="71">
      <c r="A395" s="248" t="n">
        <v>390</v>
      </c>
      <c r="B395" s="249" t="n"/>
      <c r="C395" s="249" t="n"/>
      <c r="D395" s="249" t="n"/>
      <c r="E395" s="248" t="n"/>
      <c r="F395" s="248" t="n"/>
      <c r="G395" s="248" t="n"/>
      <c r="H395" s="250">
        <f>IF(AND(E395&lt;&gt;"",G395&lt;&gt;""),E395*G395,"")</f>
      </c>
      <c r="I395" s="249" t="n"/>
      <c r="J395" s="249" t="n"/>
    </row>
    <row r="396" ht="15" customHeight="1" s="71">
      <c r="A396" s="244" t="n">
        <v>391</v>
      </c>
      <c r="B396" s="245" t="n"/>
      <c r="C396" s="245" t="n"/>
      <c r="D396" s="245" t="n"/>
      <c r="E396" s="244" t="n"/>
      <c r="F396" s="244" t="n"/>
      <c r="G396" s="244" t="n"/>
      <c r="H396" s="246">
        <f>IF(AND(E396&lt;&gt;"",G396&lt;&gt;""),E396*G396,"")</f>
      </c>
      <c r="I396" s="245" t="n"/>
      <c r="J396" s="245" t="n"/>
    </row>
    <row r="397" ht="15" customHeight="1" s="71">
      <c r="A397" s="248" t="n">
        <v>392</v>
      </c>
      <c r="B397" s="249" t="n"/>
      <c r="C397" s="249" t="n"/>
      <c r="D397" s="249" t="n"/>
      <c r="E397" s="248" t="n"/>
      <c r="F397" s="248" t="n"/>
      <c r="G397" s="248" t="n"/>
      <c r="H397" s="250">
        <f>IF(AND(E397&lt;&gt;"",G397&lt;&gt;""),E397*G397,"")</f>
      </c>
      <c r="I397" s="249" t="n"/>
      <c r="J397" s="249" t="n"/>
    </row>
    <row r="398" ht="15" customHeight="1" s="71">
      <c r="A398" s="244" t="n">
        <v>393</v>
      </c>
      <c r="B398" s="245" t="n"/>
      <c r="C398" s="245" t="n"/>
      <c r="D398" s="245" t="n"/>
      <c r="E398" s="244" t="n"/>
      <c r="F398" s="244" t="n"/>
      <c r="G398" s="244" t="n"/>
      <c r="H398" s="246">
        <f>IF(AND(E398&lt;&gt;"",G398&lt;&gt;""),E398*G398,"")</f>
      </c>
      <c r="I398" s="245" t="n"/>
      <c r="J398" s="245" t="n"/>
    </row>
    <row r="399" ht="15" customHeight="1" s="71">
      <c r="A399" s="248" t="n">
        <v>394</v>
      </c>
      <c r="B399" s="249" t="n"/>
      <c r="C399" s="249" t="n"/>
      <c r="D399" s="249" t="n"/>
      <c r="E399" s="248" t="n"/>
      <c r="F399" s="248" t="n"/>
      <c r="G399" s="248" t="n"/>
      <c r="H399" s="250">
        <f>IF(AND(E399&lt;&gt;"",G399&lt;&gt;""),E399*G399,"")</f>
      </c>
      <c r="I399" s="249" t="n"/>
      <c r="J399" s="249" t="n"/>
    </row>
    <row r="400" ht="15" customHeight="1" s="71">
      <c r="A400" s="244" t="n">
        <v>395</v>
      </c>
      <c r="B400" s="245" t="n"/>
      <c r="C400" s="245" t="n"/>
      <c r="D400" s="245" t="n"/>
      <c r="E400" s="244" t="n"/>
      <c r="F400" s="244" t="n"/>
      <c r="G400" s="244" t="n"/>
      <c r="H400" s="246">
        <f>IF(AND(E400&lt;&gt;"",G400&lt;&gt;""),E400*G400,"")</f>
      </c>
      <c r="I400" s="245" t="n"/>
      <c r="J400" s="245" t="n"/>
    </row>
    <row r="401" ht="15" customHeight="1" s="71">
      <c r="A401" s="248" t="n">
        <v>396</v>
      </c>
      <c r="B401" s="249" t="n"/>
      <c r="C401" s="249" t="n"/>
      <c r="D401" s="249" t="n"/>
      <c r="E401" s="248" t="n"/>
      <c r="F401" s="248" t="n"/>
      <c r="G401" s="248" t="n"/>
      <c r="H401" s="250">
        <f>IF(AND(E401&lt;&gt;"",G401&lt;&gt;""),E401*G401,"")</f>
      </c>
      <c r="I401" s="249" t="n"/>
      <c r="J401" s="249" t="n"/>
    </row>
    <row r="402" ht="15" customHeight="1" s="71">
      <c r="A402" s="244" t="n">
        <v>397</v>
      </c>
      <c r="B402" s="245" t="n"/>
      <c r="C402" s="245" t="n"/>
      <c r="D402" s="245" t="n"/>
      <c r="E402" s="244" t="n"/>
      <c r="F402" s="244" t="n"/>
      <c r="G402" s="244" t="n"/>
      <c r="H402" s="246">
        <f>IF(AND(E402&lt;&gt;"",G402&lt;&gt;""),E402*G402,"")</f>
      </c>
      <c r="I402" s="245" t="n"/>
      <c r="J402" s="245" t="n"/>
    </row>
    <row r="403" ht="15" customHeight="1" s="71">
      <c r="A403" s="248" t="n">
        <v>398</v>
      </c>
      <c r="B403" s="249" t="n"/>
      <c r="C403" s="249" t="n"/>
      <c r="D403" s="249" t="n"/>
      <c r="E403" s="248" t="n"/>
      <c r="F403" s="248" t="n"/>
      <c r="G403" s="248" t="n"/>
      <c r="H403" s="250">
        <f>IF(AND(E403&lt;&gt;"",G403&lt;&gt;""),E403*G403,"")</f>
      </c>
      <c r="I403" s="249" t="n"/>
      <c r="J403" s="249" t="n"/>
    </row>
    <row r="404" ht="15" customHeight="1" s="71">
      <c r="A404" s="244" t="n">
        <v>399</v>
      </c>
      <c r="B404" s="245" t="n"/>
      <c r="C404" s="245" t="n"/>
      <c r="D404" s="245" t="n"/>
      <c r="E404" s="244" t="n"/>
      <c r="F404" s="244" t="n"/>
      <c r="G404" s="244" t="n"/>
      <c r="H404" s="246">
        <f>IF(AND(E404&lt;&gt;"",G404&lt;&gt;""),E404*G404,"")</f>
      </c>
      <c r="I404" s="245" t="n"/>
      <c r="J404" s="245" t="n"/>
    </row>
    <row r="405" ht="15" customHeight="1" s="71">
      <c r="A405" s="248" t="n">
        <v>400</v>
      </c>
      <c r="B405" s="249" t="n"/>
      <c r="C405" s="249" t="n"/>
      <c r="D405" s="249" t="n"/>
      <c r="E405" s="248" t="n"/>
      <c r="F405" s="248" t="n"/>
      <c r="G405" s="248" t="n"/>
      <c r="H405" s="250">
        <f>IF(AND(E405&lt;&gt;"",G405&lt;&gt;""),E405*G405,"")</f>
      </c>
      <c r="I405" s="249" t="n"/>
      <c r="J405" s="249" t="n"/>
    </row>
    <row r="406" ht="15" customHeight="1" s="71">
      <c r="A406" s="244" t="n">
        <v>401</v>
      </c>
      <c r="B406" s="245" t="n"/>
      <c r="C406" s="245" t="n"/>
      <c r="D406" s="245" t="n"/>
      <c r="E406" s="244" t="n"/>
      <c r="F406" s="244" t="n"/>
      <c r="G406" s="244" t="n"/>
      <c r="H406" s="246">
        <f>IF(AND(E406&lt;&gt;"",G406&lt;&gt;""),E406*G406,"")</f>
      </c>
      <c r="I406" s="245" t="n"/>
      <c r="J406" s="245" t="n"/>
    </row>
    <row r="407" ht="15" customHeight="1" s="71">
      <c r="A407" s="248" t="n">
        <v>402</v>
      </c>
      <c r="B407" s="249" t="n"/>
      <c r="C407" s="249" t="n"/>
      <c r="D407" s="249" t="n"/>
      <c r="E407" s="248" t="n"/>
      <c r="F407" s="248" t="n"/>
      <c r="G407" s="248" t="n"/>
      <c r="H407" s="250">
        <f>IF(AND(E407&lt;&gt;"",G407&lt;&gt;""),E407*G407,"")</f>
      </c>
      <c r="I407" s="249" t="n"/>
      <c r="J407" s="249" t="n"/>
    </row>
    <row r="408" ht="15" customHeight="1" s="71">
      <c r="A408" s="244" t="n">
        <v>403</v>
      </c>
      <c r="B408" s="245" t="n"/>
      <c r="C408" s="245" t="n"/>
      <c r="D408" s="245" t="n"/>
      <c r="E408" s="244" t="n"/>
      <c r="F408" s="244" t="n"/>
      <c r="G408" s="244" t="n"/>
      <c r="H408" s="246">
        <f>IF(AND(E408&lt;&gt;"",G408&lt;&gt;""),E408*G408,"")</f>
      </c>
      <c r="I408" s="245" t="n"/>
      <c r="J408" s="245" t="n"/>
    </row>
    <row r="409" ht="15" customHeight="1" s="71">
      <c r="A409" s="248" t="n">
        <v>404</v>
      </c>
      <c r="B409" s="249" t="n"/>
      <c r="C409" s="249" t="n"/>
      <c r="D409" s="249" t="n"/>
      <c r="E409" s="248" t="n"/>
      <c r="F409" s="248" t="n"/>
      <c r="G409" s="248" t="n"/>
      <c r="H409" s="250">
        <f>IF(AND(E409&lt;&gt;"",G409&lt;&gt;""),E409*G409,"")</f>
      </c>
      <c r="I409" s="249" t="n"/>
      <c r="J409" s="249" t="n"/>
    </row>
    <row r="410" ht="15" customHeight="1" s="71">
      <c r="A410" s="244" t="n">
        <v>405</v>
      </c>
      <c r="B410" s="245" t="n"/>
      <c r="C410" s="245" t="n"/>
      <c r="D410" s="245" t="n"/>
      <c r="E410" s="244" t="n"/>
      <c r="F410" s="244" t="n"/>
      <c r="G410" s="244" t="n"/>
      <c r="H410" s="246">
        <f>IF(AND(E410&lt;&gt;"",G410&lt;&gt;""),E410*G410,"")</f>
      </c>
      <c r="I410" s="245" t="n"/>
      <c r="J410" s="245" t="n"/>
    </row>
    <row r="411" ht="15" customHeight="1" s="71">
      <c r="A411" s="248" t="n">
        <v>406</v>
      </c>
      <c r="B411" s="249" t="n"/>
      <c r="C411" s="249" t="n"/>
      <c r="D411" s="249" t="n"/>
      <c r="E411" s="248" t="n"/>
      <c r="F411" s="248" t="n"/>
      <c r="G411" s="248" t="n"/>
      <c r="H411" s="250">
        <f>IF(AND(E411&lt;&gt;"",G411&lt;&gt;""),E411*G411,"")</f>
      </c>
      <c r="I411" s="249" t="n"/>
      <c r="J411" s="249" t="n"/>
    </row>
    <row r="412" ht="15" customHeight="1" s="71">
      <c r="A412" s="244" t="n">
        <v>407</v>
      </c>
      <c r="B412" s="245" t="n"/>
      <c r="C412" s="245" t="n"/>
      <c r="D412" s="245" t="n"/>
      <c r="E412" s="244" t="n"/>
      <c r="F412" s="244" t="n"/>
      <c r="G412" s="244" t="n"/>
      <c r="H412" s="246">
        <f>IF(AND(E412&lt;&gt;"",G412&lt;&gt;""),E412*G412,"")</f>
      </c>
      <c r="I412" s="245" t="n"/>
      <c r="J412" s="245" t="n"/>
    </row>
    <row r="413" ht="15" customHeight="1" s="71">
      <c r="A413" s="248" t="n">
        <v>408</v>
      </c>
      <c r="B413" s="249" t="n"/>
      <c r="C413" s="249" t="n"/>
      <c r="D413" s="249" t="n"/>
      <c r="E413" s="248" t="n"/>
      <c r="F413" s="248" t="n"/>
      <c r="G413" s="248" t="n"/>
      <c r="H413" s="250">
        <f>IF(AND(E413&lt;&gt;"",G413&lt;&gt;""),E413*G413,"")</f>
      </c>
      <c r="I413" s="249" t="n"/>
      <c r="J413" s="249" t="n"/>
    </row>
    <row r="414" ht="15" customHeight="1" s="71">
      <c r="A414" s="244" t="n">
        <v>409</v>
      </c>
      <c r="B414" s="245" t="n"/>
      <c r="C414" s="245" t="n"/>
      <c r="D414" s="245" t="n"/>
      <c r="E414" s="244" t="n"/>
      <c r="F414" s="244" t="n"/>
      <c r="G414" s="244" t="n"/>
      <c r="H414" s="246">
        <f>IF(AND(E414&lt;&gt;"",G414&lt;&gt;""),E414*G414,"")</f>
      </c>
      <c r="I414" s="245" t="n"/>
      <c r="J414" s="245" t="n"/>
    </row>
    <row r="415" ht="15" customHeight="1" s="71">
      <c r="A415" s="248" t="n">
        <v>410</v>
      </c>
      <c r="B415" s="249" t="n"/>
      <c r="C415" s="249" t="n"/>
      <c r="D415" s="249" t="n"/>
      <c r="E415" s="248" t="n"/>
      <c r="F415" s="248" t="n"/>
      <c r="G415" s="248" t="n"/>
      <c r="H415" s="250">
        <f>IF(AND(E415&lt;&gt;"",G415&lt;&gt;""),E415*G415,"")</f>
      </c>
      <c r="I415" s="249" t="n"/>
      <c r="J415" s="249" t="n"/>
    </row>
    <row r="416" ht="15" customHeight="1" s="71">
      <c r="A416" s="244" t="n">
        <v>411</v>
      </c>
      <c r="B416" s="245" t="n"/>
      <c r="C416" s="245" t="n"/>
      <c r="D416" s="245" t="n"/>
      <c r="E416" s="244" t="n"/>
      <c r="F416" s="244" t="n"/>
      <c r="G416" s="244" t="n"/>
      <c r="H416" s="246">
        <f>IF(AND(E416&lt;&gt;"",G416&lt;&gt;""),E416*G416,"")</f>
      </c>
      <c r="I416" s="245" t="n"/>
      <c r="J416" s="245" t="n"/>
    </row>
    <row r="417" ht="15" customHeight="1" s="71">
      <c r="A417" s="248" t="n">
        <v>412</v>
      </c>
      <c r="B417" s="249" t="n"/>
      <c r="C417" s="249" t="n"/>
      <c r="D417" s="249" t="n"/>
      <c r="E417" s="248" t="n"/>
      <c r="F417" s="248" t="n"/>
      <c r="G417" s="248" t="n"/>
      <c r="H417" s="250">
        <f>IF(AND(E417&lt;&gt;"",G417&lt;&gt;""),E417*G417,"")</f>
      </c>
      <c r="I417" s="249" t="n"/>
      <c r="J417" s="249" t="n"/>
    </row>
    <row r="418" ht="15" customHeight="1" s="71">
      <c r="A418" s="244" t="n">
        <v>413</v>
      </c>
      <c r="B418" s="245" t="n"/>
      <c r="C418" s="245" t="n"/>
      <c r="D418" s="245" t="n"/>
      <c r="E418" s="244" t="n"/>
      <c r="F418" s="244" t="n"/>
      <c r="G418" s="244" t="n"/>
      <c r="H418" s="246">
        <f>IF(AND(E418&lt;&gt;"",G418&lt;&gt;""),E418*G418,"")</f>
      </c>
      <c r="I418" s="245" t="n"/>
      <c r="J418" s="245" t="n"/>
    </row>
    <row r="419" ht="15" customHeight="1" s="71">
      <c r="A419" s="248" t="n">
        <v>414</v>
      </c>
      <c r="B419" s="249" t="n"/>
      <c r="C419" s="249" t="n"/>
      <c r="D419" s="249" t="n"/>
      <c r="E419" s="248" t="n"/>
      <c r="F419" s="248" t="n"/>
      <c r="G419" s="248" t="n"/>
      <c r="H419" s="250">
        <f>IF(AND(E419&lt;&gt;"",G419&lt;&gt;""),E419*G419,"")</f>
      </c>
      <c r="I419" s="249" t="n"/>
      <c r="J419" s="249" t="n"/>
    </row>
    <row r="420" ht="15" customHeight="1" s="71">
      <c r="A420" s="244" t="n">
        <v>415</v>
      </c>
      <c r="B420" s="245" t="n"/>
      <c r="C420" s="245" t="n"/>
      <c r="D420" s="245" t="n"/>
      <c r="E420" s="244" t="n"/>
      <c r="F420" s="244" t="n"/>
      <c r="G420" s="244" t="n"/>
      <c r="H420" s="246">
        <f>IF(AND(E420&lt;&gt;"",G420&lt;&gt;""),E420*G420,"")</f>
      </c>
      <c r="I420" s="245" t="n"/>
      <c r="J420" s="245" t="n"/>
    </row>
    <row r="421" ht="15" customHeight="1" s="71">
      <c r="A421" s="248" t="n">
        <v>416</v>
      </c>
      <c r="B421" s="249" t="n"/>
      <c r="C421" s="249" t="n"/>
      <c r="D421" s="249" t="n"/>
      <c r="E421" s="248" t="n"/>
      <c r="F421" s="248" t="n"/>
      <c r="G421" s="248" t="n"/>
      <c r="H421" s="250">
        <f>IF(AND(E421&lt;&gt;"",G421&lt;&gt;""),E421*G421,"")</f>
      </c>
      <c r="I421" s="249" t="n"/>
      <c r="J421" s="249" t="n"/>
    </row>
    <row r="422" ht="15" customHeight="1" s="71">
      <c r="A422" s="244" t="n">
        <v>417</v>
      </c>
      <c r="B422" s="245" t="n"/>
      <c r="C422" s="245" t="n"/>
      <c r="D422" s="245" t="n"/>
      <c r="E422" s="244" t="n"/>
      <c r="F422" s="244" t="n"/>
      <c r="G422" s="244" t="n"/>
      <c r="H422" s="246">
        <f>IF(AND(E422&lt;&gt;"",G422&lt;&gt;""),E422*G422,"")</f>
      </c>
      <c r="I422" s="245" t="n"/>
      <c r="J422" s="245" t="n"/>
    </row>
    <row r="423" ht="15" customHeight="1" s="71">
      <c r="A423" s="248" t="n">
        <v>418</v>
      </c>
      <c r="B423" s="249" t="n"/>
      <c r="C423" s="249" t="n"/>
      <c r="D423" s="249" t="n"/>
      <c r="E423" s="248" t="n"/>
      <c r="F423" s="248" t="n"/>
      <c r="G423" s="248" t="n"/>
      <c r="H423" s="250">
        <f>IF(AND(E423&lt;&gt;"",G423&lt;&gt;""),E423*G423,"")</f>
      </c>
      <c r="I423" s="249" t="n"/>
      <c r="J423" s="249" t="n"/>
    </row>
    <row r="424" ht="15" customHeight="1" s="71">
      <c r="A424" s="244" t="n">
        <v>419</v>
      </c>
      <c r="B424" s="245" t="n"/>
      <c r="C424" s="245" t="n"/>
      <c r="D424" s="245" t="n"/>
      <c r="E424" s="244" t="n"/>
      <c r="F424" s="244" t="n"/>
      <c r="G424" s="244" t="n"/>
      <c r="H424" s="246">
        <f>IF(AND(E424&lt;&gt;"",G424&lt;&gt;""),E424*G424,"")</f>
      </c>
      <c r="I424" s="245" t="n"/>
      <c r="J424" s="245" t="n"/>
    </row>
    <row r="425" ht="15" customHeight="1" s="71">
      <c r="A425" s="248" t="n">
        <v>420</v>
      </c>
      <c r="B425" s="249" t="n"/>
      <c r="C425" s="249" t="n"/>
      <c r="D425" s="249" t="n"/>
      <c r="E425" s="248" t="n"/>
      <c r="F425" s="248" t="n"/>
      <c r="G425" s="248" t="n"/>
      <c r="H425" s="250">
        <f>IF(AND(E425&lt;&gt;"",G425&lt;&gt;""),E425*G425,"")</f>
      </c>
      <c r="I425" s="249" t="n"/>
      <c r="J425" s="249" t="n"/>
    </row>
    <row r="426" ht="15" customHeight="1" s="71">
      <c r="A426" s="244" t="n">
        <v>421</v>
      </c>
      <c r="B426" s="245" t="n"/>
      <c r="C426" s="245" t="n"/>
      <c r="D426" s="245" t="n"/>
      <c r="E426" s="244" t="n"/>
      <c r="F426" s="244" t="n"/>
      <c r="G426" s="244" t="n"/>
      <c r="H426" s="246">
        <f>IF(AND(E426&lt;&gt;"",G426&lt;&gt;""),E426*G426,"")</f>
      </c>
      <c r="I426" s="245" t="n"/>
      <c r="J426" s="245" t="n"/>
    </row>
    <row r="427" ht="15" customHeight="1" s="71">
      <c r="A427" s="248" t="n">
        <v>422</v>
      </c>
      <c r="B427" s="249" t="n"/>
      <c r="C427" s="249" t="n"/>
      <c r="D427" s="249" t="n"/>
      <c r="E427" s="248" t="n"/>
      <c r="F427" s="248" t="n"/>
      <c r="G427" s="248" t="n"/>
      <c r="H427" s="250">
        <f>IF(AND(E427&lt;&gt;"",G427&lt;&gt;""),E427*G427,"")</f>
      </c>
      <c r="I427" s="249" t="n"/>
      <c r="J427" s="249" t="n"/>
    </row>
    <row r="428" ht="15" customHeight="1" s="71">
      <c r="A428" s="244" t="n">
        <v>423</v>
      </c>
      <c r="B428" s="245" t="n"/>
      <c r="C428" s="245" t="n"/>
      <c r="D428" s="245" t="n"/>
      <c r="E428" s="244" t="n"/>
      <c r="F428" s="244" t="n"/>
      <c r="G428" s="244" t="n"/>
      <c r="H428" s="246">
        <f>IF(AND(E428&lt;&gt;"",G428&lt;&gt;""),E428*G428,"")</f>
      </c>
      <c r="I428" s="245" t="n"/>
      <c r="J428" s="245" t="n"/>
    </row>
    <row r="429" ht="15" customHeight="1" s="71">
      <c r="A429" s="248" t="n">
        <v>424</v>
      </c>
      <c r="B429" s="249" t="n"/>
      <c r="C429" s="249" t="n"/>
      <c r="D429" s="249" t="n"/>
      <c r="E429" s="248" t="n"/>
      <c r="F429" s="248" t="n"/>
      <c r="G429" s="248" t="n"/>
      <c r="H429" s="250">
        <f>IF(AND(E429&lt;&gt;"",G429&lt;&gt;""),E429*G429,"")</f>
      </c>
      <c r="I429" s="249" t="n"/>
      <c r="J429" s="249" t="n"/>
    </row>
    <row r="430" ht="15" customHeight="1" s="71">
      <c r="A430" s="244" t="n">
        <v>425</v>
      </c>
      <c r="B430" s="245" t="n"/>
      <c r="C430" s="245" t="n"/>
      <c r="D430" s="245" t="n"/>
      <c r="E430" s="244" t="n"/>
      <c r="F430" s="244" t="n"/>
      <c r="G430" s="244" t="n"/>
      <c r="H430" s="246">
        <f>IF(AND(E430&lt;&gt;"",G430&lt;&gt;""),E430*G430,"")</f>
      </c>
      <c r="I430" s="245" t="n"/>
      <c r="J430" s="245" t="n"/>
    </row>
    <row r="431" ht="15" customHeight="1" s="71">
      <c r="A431" s="248" t="n">
        <v>426</v>
      </c>
      <c r="B431" s="249" t="n"/>
      <c r="C431" s="249" t="n"/>
      <c r="D431" s="249" t="n"/>
      <c r="E431" s="248" t="n"/>
      <c r="F431" s="248" t="n"/>
      <c r="G431" s="248" t="n"/>
      <c r="H431" s="250">
        <f>IF(AND(E431&lt;&gt;"",G431&lt;&gt;""),E431*G431,"")</f>
      </c>
      <c r="I431" s="249" t="n"/>
      <c r="J431" s="249" t="n"/>
    </row>
    <row r="432" ht="15" customHeight="1" s="71">
      <c r="A432" s="244" t="n">
        <v>427</v>
      </c>
      <c r="B432" s="245" t="n"/>
      <c r="C432" s="245" t="n"/>
      <c r="D432" s="245" t="n"/>
      <c r="E432" s="244" t="n"/>
      <c r="F432" s="244" t="n"/>
      <c r="G432" s="244" t="n"/>
      <c r="H432" s="246">
        <f>IF(AND(E432&lt;&gt;"",G432&lt;&gt;""),E432*G432,"")</f>
      </c>
      <c r="I432" s="245" t="n"/>
      <c r="J432" s="245" t="n"/>
    </row>
    <row r="433" ht="15" customHeight="1" s="71">
      <c r="A433" s="248" t="n">
        <v>428</v>
      </c>
      <c r="B433" s="249" t="n"/>
      <c r="C433" s="249" t="n"/>
      <c r="D433" s="249" t="n"/>
      <c r="E433" s="248" t="n"/>
      <c r="F433" s="248" t="n"/>
      <c r="G433" s="248" t="n"/>
      <c r="H433" s="250">
        <f>IF(AND(E433&lt;&gt;"",G433&lt;&gt;""),E433*G433,"")</f>
      </c>
      <c r="I433" s="249" t="n"/>
      <c r="J433" s="249" t="n"/>
    </row>
    <row r="434" ht="15" customHeight="1" s="71">
      <c r="A434" s="244" t="n">
        <v>429</v>
      </c>
      <c r="B434" s="245" t="n"/>
      <c r="C434" s="245" t="n"/>
      <c r="D434" s="245" t="n"/>
      <c r="E434" s="244" t="n"/>
      <c r="F434" s="244" t="n"/>
      <c r="G434" s="244" t="n"/>
      <c r="H434" s="246">
        <f>IF(AND(E434&lt;&gt;"",G434&lt;&gt;""),E434*G434,"")</f>
      </c>
      <c r="I434" s="245" t="n"/>
      <c r="J434" s="245" t="n"/>
    </row>
    <row r="435" ht="15" customHeight="1" s="71">
      <c r="A435" s="248" t="n">
        <v>430</v>
      </c>
      <c r="B435" s="249" t="n"/>
      <c r="C435" s="249" t="n"/>
      <c r="D435" s="249" t="n"/>
      <c r="E435" s="248" t="n"/>
      <c r="F435" s="248" t="n"/>
      <c r="G435" s="248" t="n"/>
      <c r="H435" s="250">
        <f>IF(AND(E435&lt;&gt;"",G435&lt;&gt;""),E435*G435,"")</f>
      </c>
      <c r="I435" s="249" t="n"/>
      <c r="J435" s="249" t="n"/>
    </row>
    <row r="436" ht="15" customHeight="1" s="71">
      <c r="A436" s="244" t="n">
        <v>431</v>
      </c>
      <c r="B436" s="245" t="n"/>
      <c r="C436" s="245" t="n"/>
      <c r="D436" s="245" t="n"/>
      <c r="E436" s="244" t="n"/>
      <c r="F436" s="244" t="n"/>
      <c r="G436" s="244" t="n"/>
      <c r="H436" s="246">
        <f>IF(AND(E436&lt;&gt;"",G436&lt;&gt;""),E436*G436,"")</f>
      </c>
      <c r="I436" s="245" t="n"/>
      <c r="J436" s="245" t="n"/>
    </row>
    <row r="437" ht="15" customHeight="1" s="71">
      <c r="A437" s="248" t="n">
        <v>432</v>
      </c>
      <c r="B437" s="249" t="n"/>
      <c r="C437" s="249" t="n"/>
      <c r="D437" s="249" t="n"/>
      <c r="E437" s="248" t="n"/>
      <c r="F437" s="248" t="n"/>
      <c r="G437" s="248" t="n"/>
      <c r="H437" s="250">
        <f>IF(AND(E437&lt;&gt;"",G437&lt;&gt;""),E437*G437,"")</f>
      </c>
      <c r="I437" s="249" t="n"/>
      <c r="J437" s="249" t="n"/>
    </row>
    <row r="438" ht="15" customHeight="1" s="71">
      <c r="A438" s="244" t="n">
        <v>433</v>
      </c>
      <c r="B438" s="245" t="n"/>
      <c r="C438" s="245" t="n"/>
      <c r="D438" s="245" t="n"/>
      <c r="E438" s="244" t="n"/>
      <c r="F438" s="244" t="n"/>
      <c r="G438" s="244" t="n"/>
      <c r="H438" s="246">
        <f>IF(AND(E438&lt;&gt;"",G438&lt;&gt;""),E438*G438,"")</f>
      </c>
      <c r="I438" s="245" t="n"/>
      <c r="J438" s="245" t="n"/>
    </row>
    <row r="439" ht="15" customHeight="1" s="71">
      <c r="A439" s="248" t="n">
        <v>434</v>
      </c>
      <c r="B439" s="249" t="n"/>
      <c r="C439" s="249" t="n"/>
      <c r="D439" s="249" t="n"/>
      <c r="E439" s="248" t="n"/>
      <c r="F439" s="248" t="n"/>
      <c r="G439" s="248" t="n"/>
      <c r="H439" s="250">
        <f>IF(AND(E439&lt;&gt;"",G439&lt;&gt;""),E439*G439,"")</f>
      </c>
      <c r="I439" s="249" t="n"/>
      <c r="J439" s="249" t="n"/>
    </row>
    <row r="440" ht="15" customHeight="1" s="71">
      <c r="A440" s="244" t="n">
        <v>435</v>
      </c>
      <c r="B440" s="245" t="n"/>
      <c r="C440" s="245" t="n"/>
      <c r="D440" s="245" t="n"/>
      <c r="E440" s="244" t="n"/>
      <c r="F440" s="244" t="n"/>
      <c r="G440" s="244" t="n"/>
      <c r="H440" s="246">
        <f>IF(AND(E440&lt;&gt;"",G440&lt;&gt;""),E440*G440,"")</f>
      </c>
      <c r="I440" s="245" t="n"/>
      <c r="J440" s="245" t="n"/>
    </row>
    <row r="441" ht="15" customHeight="1" s="71">
      <c r="A441" s="248" t="n">
        <v>436</v>
      </c>
      <c r="B441" s="249" t="n"/>
      <c r="C441" s="249" t="n"/>
      <c r="D441" s="249" t="n"/>
      <c r="E441" s="248" t="n"/>
      <c r="F441" s="248" t="n"/>
      <c r="G441" s="248" t="n"/>
      <c r="H441" s="250">
        <f>IF(AND(E441&lt;&gt;"",G441&lt;&gt;""),E441*G441,"")</f>
      </c>
      <c r="I441" s="249" t="n"/>
      <c r="J441" s="249" t="n"/>
    </row>
    <row r="442" ht="15" customHeight="1" s="71">
      <c r="A442" s="244" t="n">
        <v>437</v>
      </c>
      <c r="B442" s="245" t="n"/>
      <c r="C442" s="245" t="n"/>
      <c r="D442" s="245" t="n"/>
      <c r="E442" s="244" t="n"/>
      <c r="F442" s="244" t="n"/>
      <c r="G442" s="244" t="n"/>
      <c r="H442" s="246">
        <f>IF(AND(E442&lt;&gt;"",G442&lt;&gt;""),E442*G442,"")</f>
      </c>
      <c r="I442" s="245" t="n"/>
      <c r="J442" s="245" t="n"/>
    </row>
    <row r="443" ht="15" customHeight="1" s="71">
      <c r="A443" s="248" t="n">
        <v>438</v>
      </c>
      <c r="B443" s="249" t="n"/>
      <c r="C443" s="249" t="n"/>
      <c r="D443" s="249" t="n"/>
      <c r="E443" s="248" t="n"/>
      <c r="F443" s="248" t="n"/>
      <c r="G443" s="248" t="n"/>
      <c r="H443" s="250">
        <f>IF(AND(E443&lt;&gt;"",G443&lt;&gt;""),E443*G443,"")</f>
      </c>
      <c r="I443" s="249" t="n"/>
      <c r="J443" s="249" t="n"/>
    </row>
    <row r="444" ht="15" customHeight="1" s="71">
      <c r="A444" s="244" t="n">
        <v>439</v>
      </c>
      <c r="B444" s="245" t="n"/>
      <c r="C444" s="245" t="n"/>
      <c r="D444" s="245" t="n"/>
      <c r="E444" s="244" t="n"/>
      <c r="F444" s="244" t="n"/>
      <c r="G444" s="244" t="n"/>
      <c r="H444" s="246">
        <f>IF(AND(E444&lt;&gt;"",G444&lt;&gt;""),E444*G444,"")</f>
      </c>
      <c r="I444" s="245" t="n"/>
      <c r="J444" s="245" t="n"/>
    </row>
    <row r="445" ht="15" customHeight="1" s="71">
      <c r="A445" s="248" t="n">
        <v>440</v>
      </c>
      <c r="B445" s="249" t="n"/>
      <c r="C445" s="249" t="n"/>
      <c r="D445" s="249" t="n"/>
      <c r="E445" s="248" t="n"/>
      <c r="F445" s="248" t="n"/>
      <c r="G445" s="248" t="n"/>
      <c r="H445" s="250">
        <f>IF(AND(E445&lt;&gt;"",G445&lt;&gt;""),E445*G445,"")</f>
      </c>
      <c r="I445" s="249" t="n"/>
      <c r="J445" s="249" t="n"/>
    </row>
    <row r="446" ht="15" customHeight="1" s="71">
      <c r="A446" s="244" t="n">
        <v>441</v>
      </c>
      <c r="B446" s="245" t="n"/>
      <c r="C446" s="245" t="n"/>
      <c r="D446" s="245" t="n"/>
      <c r="E446" s="244" t="n"/>
      <c r="F446" s="244" t="n"/>
      <c r="G446" s="244" t="n"/>
      <c r="H446" s="246">
        <f>IF(AND(E446&lt;&gt;"",G446&lt;&gt;""),E446*G446,"")</f>
      </c>
      <c r="I446" s="245" t="n"/>
      <c r="J446" s="245" t="n"/>
    </row>
    <row r="447" ht="15" customHeight="1" s="71">
      <c r="A447" s="248" t="n">
        <v>442</v>
      </c>
      <c r="B447" s="249" t="n"/>
      <c r="C447" s="249" t="n"/>
      <c r="D447" s="249" t="n"/>
      <c r="E447" s="248" t="n"/>
      <c r="F447" s="248" t="n"/>
      <c r="G447" s="248" t="n"/>
      <c r="H447" s="250">
        <f>IF(AND(E447&lt;&gt;"",G447&lt;&gt;""),E447*G447,"")</f>
      </c>
      <c r="I447" s="249" t="n"/>
      <c r="J447" s="249" t="n"/>
    </row>
    <row r="448" ht="15" customHeight="1" s="71">
      <c r="A448" s="244" t="n">
        <v>443</v>
      </c>
      <c r="B448" s="245" t="n"/>
      <c r="C448" s="245" t="n"/>
      <c r="D448" s="245" t="n"/>
      <c r="E448" s="244" t="n"/>
      <c r="F448" s="244" t="n"/>
      <c r="G448" s="244" t="n"/>
      <c r="H448" s="246">
        <f>IF(AND(E448&lt;&gt;"",G448&lt;&gt;""),E448*G448,"")</f>
      </c>
      <c r="I448" s="245" t="n"/>
      <c r="J448" s="245" t="n"/>
    </row>
    <row r="449" ht="15" customHeight="1" s="71">
      <c r="A449" s="248" t="n">
        <v>444</v>
      </c>
      <c r="B449" s="249" t="n"/>
      <c r="C449" s="249" t="n"/>
      <c r="D449" s="249" t="n"/>
      <c r="E449" s="248" t="n"/>
      <c r="F449" s="248" t="n"/>
      <c r="G449" s="248" t="n"/>
      <c r="H449" s="250">
        <f>IF(AND(E449&lt;&gt;"",G449&lt;&gt;""),E449*G449,"")</f>
      </c>
      <c r="I449" s="249" t="n"/>
      <c r="J449" s="249" t="n"/>
    </row>
    <row r="450" ht="15" customHeight="1" s="71">
      <c r="A450" s="244" t="n">
        <v>445</v>
      </c>
      <c r="B450" s="245" t="n"/>
      <c r="C450" s="245" t="n"/>
      <c r="D450" s="245" t="n"/>
      <c r="E450" s="244" t="n"/>
      <c r="F450" s="244" t="n"/>
      <c r="G450" s="244" t="n"/>
      <c r="H450" s="246">
        <f>IF(AND(E450&lt;&gt;"",G450&lt;&gt;""),E450*G450,"")</f>
      </c>
      <c r="I450" s="245" t="n"/>
      <c r="J450" s="245" t="n"/>
    </row>
    <row r="451" ht="15" customHeight="1" s="71">
      <c r="A451" s="248" t="n">
        <v>446</v>
      </c>
      <c r="B451" s="249" t="n"/>
      <c r="C451" s="249" t="n"/>
      <c r="D451" s="249" t="n"/>
      <c r="E451" s="248" t="n"/>
      <c r="F451" s="248" t="n"/>
      <c r="G451" s="248" t="n"/>
      <c r="H451" s="250">
        <f>IF(AND(E451&lt;&gt;"",G451&lt;&gt;""),E451*G451,"")</f>
      </c>
      <c r="I451" s="249" t="n"/>
      <c r="J451" s="249" t="n"/>
    </row>
    <row r="452" ht="15" customHeight="1" s="71">
      <c r="A452" s="244" t="n">
        <v>447</v>
      </c>
      <c r="B452" s="245" t="n"/>
      <c r="C452" s="245" t="n"/>
      <c r="D452" s="245" t="n"/>
      <c r="E452" s="244" t="n"/>
      <c r="F452" s="244" t="n"/>
      <c r="G452" s="244" t="n"/>
      <c r="H452" s="246">
        <f>IF(AND(E452&lt;&gt;"",G452&lt;&gt;""),E452*G452,"")</f>
      </c>
      <c r="I452" s="245" t="n"/>
      <c r="J452" s="245" t="n"/>
    </row>
    <row r="453" ht="15" customHeight="1" s="71">
      <c r="A453" s="248" t="n">
        <v>448</v>
      </c>
      <c r="B453" s="249" t="n"/>
      <c r="C453" s="249" t="n"/>
      <c r="D453" s="249" t="n"/>
      <c r="E453" s="248" t="n"/>
      <c r="F453" s="248" t="n"/>
      <c r="G453" s="248" t="n"/>
      <c r="H453" s="250">
        <f>IF(AND(E453&lt;&gt;"",G453&lt;&gt;""),E453*G453,"")</f>
      </c>
      <c r="I453" s="249" t="n"/>
      <c r="J453" s="249" t="n"/>
    </row>
    <row r="454" ht="15" customHeight="1" s="71">
      <c r="A454" s="244" t="n">
        <v>449</v>
      </c>
      <c r="B454" s="245" t="n"/>
      <c r="C454" s="245" t="n"/>
      <c r="D454" s="245" t="n"/>
      <c r="E454" s="244" t="n"/>
      <c r="F454" s="244" t="n"/>
      <c r="G454" s="244" t="n"/>
      <c r="H454" s="246">
        <f>IF(AND(E454&lt;&gt;"",G454&lt;&gt;""),E454*G454,"")</f>
      </c>
      <c r="I454" s="245" t="n"/>
      <c r="J454" s="245" t="n"/>
    </row>
    <row r="455" ht="15" customHeight="1" s="71">
      <c r="A455" s="248" t="n">
        <v>450</v>
      </c>
      <c r="B455" s="249" t="n"/>
      <c r="C455" s="249" t="n"/>
      <c r="D455" s="249" t="n"/>
      <c r="E455" s="248" t="n"/>
      <c r="F455" s="248" t="n"/>
      <c r="G455" s="248" t="n"/>
      <c r="H455" s="250">
        <f>IF(AND(E455&lt;&gt;"",G455&lt;&gt;""),E455*G455,"")</f>
      </c>
      <c r="I455" s="249" t="n"/>
      <c r="J455" s="249" t="n"/>
    </row>
    <row r="456" ht="15" customHeight="1" s="71">
      <c r="A456" s="244" t="n">
        <v>451</v>
      </c>
      <c r="B456" s="245" t="n"/>
      <c r="C456" s="245" t="n"/>
      <c r="D456" s="245" t="n"/>
      <c r="E456" s="244" t="n"/>
      <c r="F456" s="244" t="n"/>
      <c r="G456" s="244" t="n"/>
      <c r="H456" s="246">
        <f>IF(AND(E456&lt;&gt;"",G456&lt;&gt;""),E456*G456,"")</f>
      </c>
      <c r="I456" s="245" t="n"/>
      <c r="J456" s="245" t="n"/>
    </row>
    <row r="457" ht="15" customHeight="1" s="71">
      <c r="A457" s="248" t="n">
        <v>452</v>
      </c>
      <c r="B457" s="249" t="n"/>
      <c r="C457" s="249" t="n"/>
      <c r="D457" s="249" t="n"/>
      <c r="E457" s="248" t="n"/>
      <c r="F457" s="248" t="n"/>
      <c r="G457" s="248" t="n"/>
      <c r="H457" s="250">
        <f>IF(AND(E457&lt;&gt;"",G457&lt;&gt;""),E457*G457,"")</f>
      </c>
      <c r="I457" s="249" t="n"/>
      <c r="J457" s="249" t="n"/>
    </row>
    <row r="458" ht="15" customHeight="1" s="71">
      <c r="A458" s="244" t="n">
        <v>453</v>
      </c>
      <c r="B458" s="245" t="n"/>
      <c r="C458" s="245" t="n"/>
      <c r="D458" s="245" t="n"/>
      <c r="E458" s="244" t="n"/>
      <c r="F458" s="244" t="n"/>
      <c r="G458" s="244" t="n"/>
      <c r="H458" s="246">
        <f>IF(AND(E458&lt;&gt;"",G458&lt;&gt;""),E458*G458,"")</f>
      </c>
      <c r="I458" s="245" t="n"/>
      <c r="J458" s="245" t="n"/>
    </row>
    <row r="459" ht="15" customHeight="1" s="71">
      <c r="A459" s="248" t="n">
        <v>454</v>
      </c>
      <c r="B459" s="249" t="n"/>
      <c r="C459" s="249" t="n"/>
      <c r="D459" s="249" t="n"/>
      <c r="E459" s="248" t="n"/>
      <c r="F459" s="248" t="n"/>
      <c r="G459" s="248" t="n"/>
      <c r="H459" s="250">
        <f>IF(AND(E459&lt;&gt;"",G459&lt;&gt;""),E459*G459,"")</f>
      </c>
      <c r="I459" s="249" t="n"/>
      <c r="J459" s="249" t="n"/>
    </row>
    <row r="460" ht="15" customHeight="1" s="71">
      <c r="A460" s="244" t="n">
        <v>455</v>
      </c>
      <c r="B460" s="245" t="n"/>
      <c r="C460" s="245" t="n"/>
      <c r="D460" s="245" t="n"/>
      <c r="E460" s="244" t="n"/>
      <c r="F460" s="244" t="n"/>
      <c r="G460" s="244" t="n"/>
      <c r="H460" s="246">
        <f>IF(AND(E460&lt;&gt;"",G460&lt;&gt;""),E460*G460,"")</f>
      </c>
      <c r="I460" s="245" t="n"/>
      <c r="J460" s="245" t="n"/>
    </row>
    <row r="461" ht="15" customHeight="1" s="71">
      <c r="A461" s="248" t="n">
        <v>456</v>
      </c>
      <c r="B461" s="249" t="n"/>
      <c r="C461" s="249" t="n"/>
      <c r="D461" s="249" t="n"/>
      <c r="E461" s="248" t="n"/>
      <c r="F461" s="248" t="n"/>
      <c r="G461" s="248" t="n"/>
      <c r="H461" s="250">
        <f>IF(AND(E461&lt;&gt;"",G461&lt;&gt;""),E461*G461,"")</f>
      </c>
      <c r="I461" s="249" t="n"/>
      <c r="J461" s="249" t="n"/>
    </row>
    <row r="462" ht="15" customHeight="1" s="71">
      <c r="A462" s="244" t="n">
        <v>457</v>
      </c>
      <c r="B462" s="245" t="n"/>
      <c r="C462" s="245" t="n"/>
      <c r="D462" s="245" t="n"/>
      <c r="E462" s="244" t="n"/>
      <c r="F462" s="244" t="n"/>
      <c r="G462" s="244" t="n"/>
      <c r="H462" s="246">
        <f>IF(AND(E462&lt;&gt;"",G462&lt;&gt;""),E462*G462,"")</f>
      </c>
      <c r="I462" s="245" t="n"/>
      <c r="J462" s="245" t="n"/>
    </row>
    <row r="463" ht="15" customHeight="1" s="71">
      <c r="A463" s="248" t="n">
        <v>458</v>
      </c>
      <c r="B463" s="249" t="n"/>
      <c r="C463" s="249" t="n"/>
      <c r="D463" s="249" t="n"/>
      <c r="E463" s="248" t="n"/>
      <c r="F463" s="248" t="n"/>
      <c r="G463" s="248" t="n"/>
      <c r="H463" s="250">
        <f>IF(AND(E463&lt;&gt;"",G463&lt;&gt;""),E463*G463,"")</f>
      </c>
      <c r="I463" s="249" t="n"/>
      <c r="J463" s="249" t="n"/>
    </row>
    <row r="464" ht="15" customHeight="1" s="71">
      <c r="A464" s="244" t="n">
        <v>459</v>
      </c>
      <c r="B464" s="245" t="n"/>
      <c r="C464" s="245" t="n"/>
      <c r="D464" s="245" t="n"/>
      <c r="E464" s="244" t="n"/>
      <c r="F464" s="244" t="n"/>
      <c r="G464" s="244" t="n"/>
      <c r="H464" s="246">
        <f>IF(AND(E464&lt;&gt;"",G464&lt;&gt;""),E464*G464,"")</f>
      </c>
      <c r="I464" s="245" t="n"/>
      <c r="J464" s="245" t="n"/>
    </row>
    <row r="465" ht="15" customHeight="1" s="71">
      <c r="A465" s="248" t="n">
        <v>460</v>
      </c>
      <c r="B465" s="249" t="n"/>
      <c r="C465" s="249" t="n"/>
      <c r="D465" s="249" t="n"/>
      <c r="E465" s="248" t="n"/>
      <c r="F465" s="248" t="n"/>
      <c r="G465" s="248" t="n"/>
      <c r="H465" s="250">
        <f>IF(AND(E465&lt;&gt;"",G465&lt;&gt;""),E465*G465,"")</f>
      </c>
      <c r="I465" s="249" t="n"/>
      <c r="J465" s="249" t="n"/>
    </row>
    <row r="466" ht="15" customHeight="1" s="71">
      <c r="A466" s="244" t="n">
        <v>461</v>
      </c>
      <c r="B466" s="245" t="n"/>
      <c r="C466" s="245" t="n"/>
      <c r="D466" s="245" t="n"/>
      <c r="E466" s="244" t="n"/>
      <c r="F466" s="244" t="n"/>
      <c r="G466" s="244" t="n"/>
      <c r="H466" s="246">
        <f>IF(AND(E466&lt;&gt;"",G466&lt;&gt;""),E466*G466,"")</f>
      </c>
      <c r="I466" s="245" t="n"/>
      <c r="J466" s="245" t="n"/>
    </row>
    <row r="467" ht="15" customHeight="1" s="71">
      <c r="A467" s="248" t="n">
        <v>462</v>
      </c>
      <c r="B467" s="249" t="n"/>
      <c r="C467" s="249" t="n"/>
      <c r="D467" s="249" t="n"/>
      <c r="E467" s="248" t="n"/>
      <c r="F467" s="248" t="n"/>
      <c r="G467" s="248" t="n"/>
      <c r="H467" s="250">
        <f>IF(AND(E467&lt;&gt;"",G467&lt;&gt;""),E467*G467,"")</f>
      </c>
      <c r="I467" s="249" t="n"/>
      <c r="J467" s="249" t="n"/>
    </row>
    <row r="468" ht="15" customHeight="1" s="71">
      <c r="A468" s="244" t="n">
        <v>463</v>
      </c>
      <c r="B468" s="245" t="n"/>
      <c r="C468" s="245" t="n"/>
      <c r="D468" s="245" t="n"/>
      <c r="E468" s="244" t="n"/>
      <c r="F468" s="244" t="n"/>
      <c r="G468" s="244" t="n"/>
      <c r="H468" s="246">
        <f>IF(AND(E468&lt;&gt;"",G468&lt;&gt;""),E468*G468,"")</f>
      </c>
      <c r="I468" s="245" t="n"/>
      <c r="J468" s="245" t="n"/>
    </row>
    <row r="469" ht="15" customHeight="1" s="71">
      <c r="A469" s="248" t="n">
        <v>464</v>
      </c>
      <c r="B469" s="249" t="n"/>
      <c r="C469" s="249" t="n"/>
      <c r="D469" s="249" t="n"/>
      <c r="E469" s="248" t="n"/>
      <c r="F469" s="248" t="n"/>
      <c r="G469" s="248" t="n"/>
      <c r="H469" s="250">
        <f>IF(AND(E469&lt;&gt;"",G469&lt;&gt;""),E469*G469,"")</f>
      </c>
      <c r="I469" s="249" t="n"/>
      <c r="J469" s="249" t="n"/>
    </row>
    <row r="470" ht="15" customHeight="1" s="71">
      <c r="A470" s="244" t="n">
        <v>465</v>
      </c>
      <c r="B470" s="245" t="n"/>
      <c r="C470" s="245" t="n"/>
      <c r="D470" s="245" t="n"/>
      <c r="E470" s="244" t="n"/>
      <c r="F470" s="244" t="n"/>
      <c r="G470" s="244" t="n"/>
      <c r="H470" s="246">
        <f>IF(AND(E470&lt;&gt;"",G470&lt;&gt;""),E470*G470,"")</f>
      </c>
      <c r="I470" s="245" t="n"/>
      <c r="J470" s="245" t="n"/>
    </row>
    <row r="471" ht="15" customHeight="1" s="71">
      <c r="A471" s="248" t="n">
        <v>466</v>
      </c>
      <c r="B471" s="249" t="n"/>
      <c r="C471" s="249" t="n"/>
      <c r="D471" s="249" t="n"/>
      <c r="E471" s="248" t="n"/>
      <c r="F471" s="248" t="n"/>
      <c r="G471" s="248" t="n"/>
      <c r="H471" s="250">
        <f>IF(AND(E471&lt;&gt;"",G471&lt;&gt;""),E471*G471,"")</f>
      </c>
      <c r="I471" s="249" t="n"/>
      <c r="J471" s="249" t="n"/>
    </row>
    <row r="472" ht="15" customHeight="1" s="71">
      <c r="A472" s="244" t="n">
        <v>467</v>
      </c>
      <c r="B472" s="245" t="n"/>
      <c r="C472" s="245" t="n"/>
      <c r="D472" s="245" t="n"/>
      <c r="E472" s="244" t="n"/>
      <c r="F472" s="244" t="n"/>
      <c r="G472" s="244" t="n"/>
      <c r="H472" s="246">
        <f>IF(AND(E472&lt;&gt;"",G472&lt;&gt;""),E472*G472,"")</f>
      </c>
      <c r="I472" s="245" t="n"/>
      <c r="J472" s="245" t="n"/>
    </row>
    <row r="473" ht="15" customHeight="1" s="71">
      <c r="A473" s="248" t="n">
        <v>468</v>
      </c>
      <c r="B473" s="249" t="n"/>
      <c r="C473" s="249" t="n"/>
      <c r="D473" s="249" t="n"/>
      <c r="E473" s="248" t="n"/>
      <c r="F473" s="248" t="n"/>
      <c r="G473" s="248" t="n"/>
      <c r="H473" s="250">
        <f>IF(AND(E473&lt;&gt;"",G473&lt;&gt;""),E473*G473,"")</f>
      </c>
      <c r="I473" s="249" t="n"/>
      <c r="J473" s="249" t="n"/>
    </row>
    <row r="474" ht="15" customHeight="1" s="71">
      <c r="A474" s="244" t="n">
        <v>469</v>
      </c>
      <c r="B474" s="245" t="n"/>
      <c r="C474" s="245" t="n"/>
      <c r="D474" s="245" t="n"/>
      <c r="E474" s="244" t="n"/>
      <c r="F474" s="244" t="n"/>
      <c r="G474" s="244" t="n"/>
      <c r="H474" s="246">
        <f>IF(AND(E474&lt;&gt;"",G474&lt;&gt;""),E474*G474,"")</f>
      </c>
      <c r="I474" s="245" t="n"/>
      <c r="J474" s="245" t="n"/>
    </row>
    <row r="475" ht="15" customHeight="1" s="71">
      <c r="A475" s="248" t="n">
        <v>470</v>
      </c>
      <c r="B475" s="249" t="n"/>
      <c r="C475" s="249" t="n"/>
      <c r="D475" s="249" t="n"/>
      <c r="E475" s="248" t="n"/>
      <c r="F475" s="248" t="n"/>
      <c r="G475" s="248" t="n"/>
      <c r="H475" s="250">
        <f>IF(AND(E475&lt;&gt;"",G475&lt;&gt;""),E475*G475,"")</f>
      </c>
      <c r="I475" s="249" t="n"/>
      <c r="J475" s="249" t="n"/>
    </row>
    <row r="476" ht="15" customHeight="1" s="71">
      <c r="A476" s="244" t="n">
        <v>471</v>
      </c>
      <c r="B476" s="245" t="n"/>
      <c r="C476" s="245" t="n"/>
      <c r="D476" s="245" t="n"/>
      <c r="E476" s="244" t="n"/>
      <c r="F476" s="244" t="n"/>
      <c r="G476" s="244" t="n"/>
      <c r="H476" s="246">
        <f>IF(AND(E476&lt;&gt;"",G476&lt;&gt;""),E476*G476,"")</f>
      </c>
      <c r="I476" s="245" t="n"/>
      <c r="J476" s="245" t="n"/>
    </row>
    <row r="477" ht="15" customHeight="1" s="71">
      <c r="A477" s="248" t="n">
        <v>472</v>
      </c>
      <c r="B477" s="249" t="n"/>
      <c r="C477" s="249" t="n"/>
      <c r="D477" s="249" t="n"/>
      <c r="E477" s="248" t="n"/>
      <c r="F477" s="248" t="n"/>
      <c r="G477" s="248" t="n"/>
      <c r="H477" s="250">
        <f>IF(AND(E477&lt;&gt;"",G477&lt;&gt;""),E477*G477,"")</f>
      </c>
      <c r="I477" s="249" t="n"/>
      <c r="J477" s="249" t="n"/>
    </row>
    <row r="478" ht="15" customHeight="1" s="71">
      <c r="A478" s="244" t="n">
        <v>473</v>
      </c>
      <c r="B478" s="245" t="n"/>
      <c r="C478" s="245" t="n"/>
      <c r="D478" s="245" t="n"/>
      <c r="E478" s="244" t="n"/>
      <c r="F478" s="244" t="n"/>
      <c r="G478" s="244" t="n"/>
      <c r="H478" s="246">
        <f>IF(AND(E478&lt;&gt;"",G478&lt;&gt;""),E478*G478,"")</f>
      </c>
      <c r="I478" s="245" t="n"/>
      <c r="J478" s="245" t="n"/>
    </row>
    <row r="479" ht="15" customHeight="1" s="71">
      <c r="A479" s="248" t="n">
        <v>474</v>
      </c>
      <c r="B479" s="249" t="n"/>
      <c r="C479" s="249" t="n"/>
      <c r="D479" s="249" t="n"/>
      <c r="E479" s="248" t="n"/>
      <c r="F479" s="248" t="n"/>
      <c r="G479" s="248" t="n"/>
      <c r="H479" s="250">
        <f>IF(AND(E479&lt;&gt;"",G479&lt;&gt;""),E479*G479,"")</f>
      </c>
      <c r="I479" s="249" t="n"/>
      <c r="J479" s="249" t="n"/>
    </row>
    <row r="480" ht="15" customHeight="1" s="71">
      <c r="A480" s="244" t="n">
        <v>475</v>
      </c>
      <c r="B480" s="245" t="n"/>
      <c r="C480" s="245" t="n"/>
      <c r="D480" s="245" t="n"/>
      <c r="E480" s="244" t="n"/>
      <c r="F480" s="244" t="n"/>
      <c r="G480" s="244" t="n"/>
      <c r="H480" s="246">
        <f>IF(AND(E480&lt;&gt;"",G480&lt;&gt;""),E480*G480,"")</f>
      </c>
      <c r="I480" s="245" t="n"/>
      <c r="J480" s="245" t="n"/>
    </row>
    <row r="481" ht="15" customHeight="1" s="71">
      <c r="A481" s="248" t="n">
        <v>476</v>
      </c>
      <c r="B481" s="249" t="n"/>
      <c r="C481" s="249" t="n"/>
      <c r="D481" s="249" t="n"/>
      <c r="E481" s="248" t="n"/>
      <c r="F481" s="248" t="n"/>
      <c r="G481" s="248" t="n"/>
      <c r="H481" s="250">
        <f>IF(AND(E481&lt;&gt;"",G481&lt;&gt;""),E481*G481,"")</f>
      </c>
      <c r="I481" s="249" t="n"/>
      <c r="J481" s="249" t="n"/>
    </row>
    <row r="482" ht="15" customHeight="1" s="71">
      <c r="A482" s="244" t="n">
        <v>477</v>
      </c>
      <c r="B482" s="245" t="n"/>
      <c r="C482" s="245" t="n"/>
      <c r="D482" s="245" t="n"/>
      <c r="E482" s="244" t="n"/>
      <c r="F482" s="244" t="n"/>
      <c r="G482" s="244" t="n"/>
      <c r="H482" s="246">
        <f>IF(AND(E482&lt;&gt;"",G482&lt;&gt;""),E482*G482,"")</f>
      </c>
      <c r="I482" s="245" t="n"/>
      <c r="J482" s="245" t="n"/>
    </row>
    <row r="483" ht="15" customHeight="1" s="71">
      <c r="A483" s="248" t="n">
        <v>478</v>
      </c>
      <c r="B483" s="249" t="n"/>
      <c r="C483" s="249" t="n"/>
      <c r="D483" s="249" t="n"/>
      <c r="E483" s="248" t="n"/>
      <c r="F483" s="248" t="n"/>
      <c r="G483" s="248" t="n"/>
      <c r="H483" s="250">
        <f>IF(AND(E483&lt;&gt;"",G483&lt;&gt;""),E483*G483,"")</f>
      </c>
      <c r="I483" s="249" t="n"/>
      <c r="J483" s="249" t="n"/>
    </row>
    <row r="484" ht="15" customHeight="1" s="71">
      <c r="A484" s="244" t="n">
        <v>479</v>
      </c>
      <c r="B484" s="245" t="n"/>
      <c r="C484" s="245" t="n"/>
      <c r="D484" s="245" t="n"/>
      <c r="E484" s="244" t="n"/>
      <c r="F484" s="244" t="n"/>
      <c r="G484" s="244" t="n"/>
      <c r="H484" s="246">
        <f>IF(AND(E484&lt;&gt;"",G484&lt;&gt;""),E484*G484,"")</f>
      </c>
      <c r="I484" s="245" t="n"/>
      <c r="J484" s="245" t="n"/>
    </row>
    <row r="485" ht="15" customHeight="1" s="71">
      <c r="A485" s="248" t="n">
        <v>480</v>
      </c>
      <c r="B485" s="249" t="n"/>
      <c r="C485" s="249" t="n"/>
      <c r="D485" s="249" t="n"/>
      <c r="E485" s="248" t="n"/>
      <c r="F485" s="248" t="n"/>
      <c r="G485" s="248" t="n"/>
      <c r="H485" s="250">
        <f>IF(AND(E485&lt;&gt;"",G485&lt;&gt;""),E485*G485,"")</f>
      </c>
      <c r="I485" s="249" t="n"/>
      <c r="J485" s="249" t="n"/>
    </row>
    <row r="486" ht="15" customHeight="1" s="71">
      <c r="A486" s="244" t="n">
        <v>481</v>
      </c>
      <c r="B486" s="245" t="n"/>
      <c r="C486" s="245" t="n"/>
      <c r="D486" s="245" t="n"/>
      <c r="E486" s="244" t="n"/>
      <c r="F486" s="244" t="n"/>
      <c r="G486" s="244" t="n"/>
      <c r="H486" s="246">
        <f>IF(AND(E486&lt;&gt;"",G486&lt;&gt;""),E486*G486,"")</f>
      </c>
      <c r="I486" s="245" t="n"/>
      <c r="J486" s="245" t="n"/>
    </row>
    <row r="487" ht="15" customHeight="1" s="71">
      <c r="A487" s="248" t="n">
        <v>482</v>
      </c>
      <c r="B487" s="249" t="n"/>
      <c r="C487" s="249" t="n"/>
      <c r="D487" s="249" t="n"/>
      <c r="E487" s="248" t="n"/>
      <c r="F487" s="248" t="n"/>
      <c r="G487" s="248" t="n"/>
      <c r="H487" s="250">
        <f>IF(AND(E487&lt;&gt;"",G487&lt;&gt;""),E487*G487,"")</f>
      </c>
      <c r="I487" s="249" t="n"/>
      <c r="J487" s="249" t="n"/>
    </row>
    <row r="488" ht="15" customHeight="1" s="71">
      <c r="A488" s="244" t="n">
        <v>483</v>
      </c>
      <c r="B488" s="245" t="n"/>
      <c r="C488" s="245" t="n"/>
      <c r="D488" s="245" t="n"/>
      <c r="E488" s="244" t="n"/>
      <c r="F488" s="244" t="n"/>
      <c r="G488" s="244" t="n"/>
      <c r="H488" s="246">
        <f>IF(AND(E488&lt;&gt;"",G488&lt;&gt;""),E488*G488,"")</f>
      </c>
      <c r="I488" s="245" t="n"/>
      <c r="J488" s="245" t="n"/>
    </row>
    <row r="489" ht="15" customHeight="1" s="71">
      <c r="A489" s="248" t="n">
        <v>484</v>
      </c>
      <c r="B489" s="249" t="n"/>
      <c r="C489" s="249" t="n"/>
      <c r="D489" s="249" t="n"/>
      <c r="E489" s="248" t="n"/>
      <c r="F489" s="248" t="n"/>
      <c r="G489" s="248" t="n"/>
      <c r="H489" s="250">
        <f>IF(AND(E489&lt;&gt;"",G489&lt;&gt;""),E489*G489,"")</f>
      </c>
      <c r="I489" s="249" t="n"/>
      <c r="J489" s="249" t="n"/>
    </row>
    <row r="490" ht="15" customHeight="1" s="71">
      <c r="A490" s="244" t="n">
        <v>485</v>
      </c>
      <c r="B490" s="245" t="n"/>
      <c r="C490" s="245" t="n"/>
      <c r="D490" s="245" t="n"/>
      <c r="E490" s="244" t="n"/>
      <c r="F490" s="244" t="n"/>
      <c r="G490" s="244" t="n"/>
      <c r="H490" s="246">
        <f>IF(AND(E490&lt;&gt;"",G490&lt;&gt;""),E490*G490,"")</f>
      </c>
      <c r="I490" s="245" t="n"/>
      <c r="J490" s="245" t="n"/>
    </row>
    <row r="491" ht="15" customHeight="1" s="71">
      <c r="A491" s="248" t="n">
        <v>486</v>
      </c>
      <c r="B491" s="249" t="n"/>
      <c r="C491" s="249" t="n"/>
      <c r="D491" s="249" t="n"/>
      <c r="E491" s="248" t="n"/>
      <c r="F491" s="248" t="n"/>
      <c r="G491" s="248" t="n"/>
      <c r="H491" s="250">
        <f>IF(AND(E491&lt;&gt;"",G491&lt;&gt;""),E491*G491,"")</f>
      </c>
      <c r="I491" s="249" t="n"/>
      <c r="J491" s="249" t="n"/>
    </row>
    <row r="492" ht="15" customHeight="1" s="71">
      <c r="A492" s="244" t="n">
        <v>487</v>
      </c>
      <c r="B492" s="245" t="n"/>
      <c r="C492" s="245" t="n"/>
      <c r="D492" s="245" t="n"/>
      <c r="E492" s="244" t="n"/>
      <c r="F492" s="244" t="n"/>
      <c r="G492" s="244" t="n"/>
      <c r="H492" s="246">
        <f>IF(AND(E492&lt;&gt;"",G492&lt;&gt;""),E492*G492,"")</f>
      </c>
      <c r="I492" s="245" t="n"/>
      <c r="J492" s="245" t="n"/>
    </row>
    <row r="493" ht="15" customHeight="1" s="71">
      <c r="A493" s="248" t="n">
        <v>488</v>
      </c>
      <c r="B493" s="249" t="n"/>
      <c r="C493" s="249" t="n"/>
      <c r="D493" s="249" t="n"/>
      <c r="E493" s="248" t="n"/>
      <c r="F493" s="248" t="n"/>
      <c r="G493" s="248" t="n"/>
      <c r="H493" s="250">
        <f>IF(AND(E493&lt;&gt;"",G493&lt;&gt;""),E493*G493,"")</f>
      </c>
      <c r="I493" s="249" t="n"/>
      <c r="J493" s="249" t="n"/>
    </row>
    <row r="494" ht="15" customHeight="1" s="71">
      <c r="A494" s="244" t="n">
        <v>489</v>
      </c>
      <c r="B494" s="245" t="n"/>
      <c r="C494" s="245" t="n"/>
      <c r="D494" s="245" t="n"/>
      <c r="E494" s="244" t="n"/>
      <c r="F494" s="244" t="n"/>
      <c r="G494" s="244" t="n"/>
      <c r="H494" s="246">
        <f>IF(AND(E494&lt;&gt;"",G494&lt;&gt;""),E494*G494,"")</f>
      </c>
      <c r="I494" s="245" t="n"/>
      <c r="J494" s="245" t="n"/>
    </row>
    <row r="495" ht="15" customHeight="1" s="71">
      <c r="A495" s="248" t="n">
        <v>490</v>
      </c>
      <c r="B495" s="249" t="n"/>
      <c r="C495" s="249" t="n"/>
      <c r="D495" s="249" t="n"/>
      <c r="E495" s="248" t="n"/>
      <c r="F495" s="248" t="n"/>
      <c r="G495" s="248" t="n"/>
      <c r="H495" s="250">
        <f>IF(AND(E495&lt;&gt;"",G495&lt;&gt;""),E495*G495,"")</f>
      </c>
      <c r="I495" s="249" t="n"/>
      <c r="J495" s="249" t="n"/>
    </row>
    <row r="496" ht="15" customHeight="1" s="71">
      <c r="A496" s="244" t="n">
        <v>491</v>
      </c>
      <c r="B496" s="245" t="n"/>
      <c r="C496" s="245" t="n"/>
      <c r="D496" s="245" t="n"/>
      <c r="E496" s="244" t="n"/>
      <c r="F496" s="244" t="n"/>
      <c r="G496" s="244" t="n"/>
      <c r="H496" s="246">
        <f>IF(AND(E496&lt;&gt;"",G496&lt;&gt;""),E496*G496,"")</f>
      </c>
      <c r="I496" s="245" t="n"/>
      <c r="J496" s="245" t="n"/>
    </row>
    <row r="497" ht="15" customHeight="1" s="71">
      <c r="A497" s="248" t="n">
        <v>492</v>
      </c>
      <c r="B497" s="249" t="n"/>
      <c r="C497" s="249" t="n"/>
      <c r="D497" s="249" t="n"/>
      <c r="E497" s="248" t="n"/>
      <c r="F497" s="248" t="n"/>
      <c r="G497" s="248" t="n"/>
      <c r="H497" s="250">
        <f>IF(AND(E497&lt;&gt;"",G497&lt;&gt;""),E497*G497,"")</f>
      </c>
      <c r="I497" s="249" t="n"/>
      <c r="J497" s="249" t="n"/>
    </row>
    <row r="498" ht="15" customHeight="1" s="71">
      <c r="A498" s="244" t="n">
        <v>493</v>
      </c>
      <c r="B498" s="245" t="n"/>
      <c r="C498" s="245" t="n"/>
      <c r="D498" s="245" t="n"/>
      <c r="E498" s="244" t="n"/>
      <c r="F498" s="244" t="n"/>
      <c r="G498" s="244" t="n"/>
      <c r="H498" s="246">
        <f>IF(AND(E498&lt;&gt;"",G498&lt;&gt;""),E498*G498,"")</f>
      </c>
      <c r="I498" s="245" t="n"/>
      <c r="J498" s="245" t="n"/>
    </row>
    <row r="499" ht="15" customHeight="1" s="71">
      <c r="A499" s="248" t="n">
        <v>494</v>
      </c>
      <c r="B499" s="249" t="n"/>
      <c r="C499" s="249" t="n"/>
      <c r="D499" s="249" t="n"/>
      <c r="E499" s="248" t="n"/>
      <c r="F499" s="248" t="n"/>
      <c r="G499" s="248" t="n"/>
      <c r="H499" s="250">
        <f>IF(AND(E499&lt;&gt;"",G499&lt;&gt;""),E499*G499,"")</f>
      </c>
      <c r="I499" s="249" t="n"/>
      <c r="J499" s="249" t="n"/>
    </row>
    <row r="500" ht="15" customHeight="1" s="71">
      <c r="A500" s="244" t="n">
        <v>495</v>
      </c>
      <c r="B500" s="245" t="n"/>
      <c r="C500" s="245" t="n"/>
      <c r="D500" s="245" t="n"/>
      <c r="E500" s="244" t="n"/>
      <c r="F500" s="244" t="n"/>
      <c r="G500" s="244" t="n"/>
      <c r="H500" s="246">
        <f>IF(AND(E500&lt;&gt;"",G500&lt;&gt;""),E500*G500,"")</f>
      </c>
      <c r="I500" s="245" t="n"/>
      <c r="J500" s="245" t="n"/>
    </row>
    <row r="501" ht="15" customHeight="1" s="71">
      <c r="A501" s="248" t="n">
        <v>496</v>
      </c>
      <c r="B501" s="249" t="n"/>
      <c r="C501" s="249" t="n"/>
      <c r="D501" s="249" t="n"/>
      <c r="E501" s="248" t="n"/>
      <c r="F501" s="248" t="n"/>
      <c r="G501" s="248" t="n"/>
      <c r="H501" s="250">
        <f>IF(AND(E501&lt;&gt;"",G501&lt;&gt;""),E501*G501,"")</f>
      </c>
      <c r="I501" s="249" t="n"/>
      <c r="J501" s="249" t="n"/>
    </row>
    <row r="502" ht="15" customHeight="1" s="71">
      <c r="A502" s="244" t="n">
        <v>497</v>
      </c>
      <c r="B502" s="245" t="n"/>
      <c r="C502" s="245" t="n"/>
      <c r="D502" s="245" t="n"/>
      <c r="E502" s="244" t="n"/>
      <c r="F502" s="244" t="n"/>
      <c r="G502" s="244" t="n"/>
      <c r="H502" s="246">
        <f>IF(AND(E502&lt;&gt;"",G502&lt;&gt;""),E502*G502,"")</f>
      </c>
      <c r="I502" s="245" t="n"/>
      <c r="J502" s="245" t="n"/>
    </row>
    <row r="503" ht="15" customHeight="1" s="71">
      <c r="A503" s="248" t="n">
        <v>498</v>
      </c>
      <c r="B503" s="249" t="n"/>
      <c r="C503" s="249" t="n"/>
      <c r="D503" s="249" t="n"/>
      <c r="E503" s="248" t="n"/>
      <c r="F503" s="248" t="n"/>
      <c r="G503" s="248" t="n"/>
      <c r="H503" s="250">
        <f>IF(AND(E503&lt;&gt;"",G503&lt;&gt;""),E503*G503,"")</f>
      </c>
      <c r="I503" s="249" t="n"/>
      <c r="J503" s="249" t="n"/>
    </row>
    <row r="504" ht="15" customHeight="1" s="71">
      <c r="A504" s="244" t="n">
        <v>499</v>
      </c>
      <c r="B504" s="245" t="n"/>
      <c r="C504" s="245" t="n"/>
      <c r="D504" s="245" t="n"/>
      <c r="E504" s="244" t="n"/>
      <c r="F504" s="244" t="n"/>
      <c r="G504" s="244" t="n"/>
      <c r="H504" s="246">
        <f>IF(AND(E504&lt;&gt;"",G504&lt;&gt;""),E504*G504,"")</f>
      </c>
      <c r="I504" s="245" t="n"/>
      <c r="J504" s="245" t="n"/>
    </row>
    <row r="505" ht="15" customHeight="1" s="71">
      <c r="A505" s="248" t="n">
        <v>500</v>
      </c>
      <c r="B505" s="249" t="n"/>
      <c r="C505" s="249" t="n"/>
      <c r="D505" s="249" t="n"/>
      <c r="E505" s="248" t="n"/>
      <c r="F505" s="248" t="n"/>
      <c r="G505" s="248" t="n"/>
      <c r="H505" s="250">
        <f>IF(AND(E505&lt;&gt;"",G505&lt;&gt;""),E505*G505,"")</f>
      </c>
      <c r="I505" s="249" t="n"/>
      <c r="J505" s="249" t="n"/>
    </row>
    <row r="506" ht="15" customHeight="1" s="71">
      <c r="A506" s="244" t="n">
        <v>501</v>
      </c>
      <c r="B506" s="245" t="n"/>
      <c r="C506" s="245" t="n"/>
      <c r="D506" s="245" t="n"/>
      <c r="E506" s="244" t="n"/>
      <c r="F506" s="244" t="n"/>
      <c r="G506" s="244" t="n"/>
      <c r="H506" s="246">
        <f>IF(AND(E506&lt;&gt;"",G506&lt;&gt;""),E506*G506,"")</f>
      </c>
      <c r="I506" s="245" t="n"/>
      <c r="J506" s="245" t="n"/>
    </row>
    <row r="507" ht="15" customHeight="1" s="71">
      <c r="A507" s="248" t="n">
        <v>502</v>
      </c>
      <c r="B507" s="249" t="n"/>
      <c r="C507" s="249" t="n"/>
      <c r="D507" s="249" t="n"/>
      <c r="E507" s="248" t="n"/>
      <c r="F507" s="248" t="n"/>
      <c r="G507" s="248" t="n"/>
      <c r="H507" s="250">
        <f>IF(AND(E507&lt;&gt;"",G507&lt;&gt;""),E507*G507,"")</f>
      </c>
      <c r="I507" s="249" t="n"/>
      <c r="J507" s="249" t="n"/>
    </row>
    <row r="508" ht="15" customHeight="1" s="71">
      <c r="A508" s="244" t="n">
        <v>503</v>
      </c>
      <c r="B508" s="245" t="n"/>
      <c r="C508" s="245" t="n"/>
      <c r="D508" s="245" t="n"/>
      <c r="E508" s="244" t="n"/>
      <c r="F508" s="244" t="n"/>
      <c r="G508" s="244" t="n"/>
      <c r="H508" s="246">
        <f>IF(AND(E508&lt;&gt;"",G508&lt;&gt;""),E508*G508,"")</f>
      </c>
      <c r="I508" s="245" t="n"/>
      <c r="J508" s="245" t="n"/>
    </row>
    <row r="509" ht="15" customHeight="1" s="71">
      <c r="A509" s="248" t="n">
        <v>504</v>
      </c>
      <c r="B509" s="249" t="n"/>
      <c r="C509" s="249" t="n"/>
      <c r="D509" s="249" t="n"/>
      <c r="E509" s="248" t="n"/>
      <c r="F509" s="248" t="n"/>
      <c r="G509" s="248" t="n"/>
      <c r="H509" s="250">
        <f>IF(AND(E509&lt;&gt;"",G509&lt;&gt;""),E509*G509,"")</f>
      </c>
      <c r="I509" s="249" t="n"/>
      <c r="J509" s="249" t="n"/>
    </row>
    <row r="510" ht="15" customHeight="1" s="71">
      <c r="A510" s="244" t="n">
        <v>505</v>
      </c>
      <c r="B510" s="245" t="n"/>
      <c r="C510" s="245" t="n"/>
      <c r="D510" s="245" t="n"/>
      <c r="E510" s="244" t="n"/>
      <c r="F510" s="244" t="n"/>
      <c r="G510" s="244" t="n"/>
      <c r="H510" s="246">
        <f>IF(AND(E510&lt;&gt;"",G510&lt;&gt;""),E510*G510,"")</f>
      </c>
      <c r="I510" s="245" t="n"/>
      <c r="J510" s="245" t="n"/>
    </row>
    <row r="511" ht="15" customHeight="1" s="71">
      <c r="A511" s="248" t="n">
        <v>506</v>
      </c>
      <c r="B511" s="249" t="n"/>
      <c r="C511" s="249" t="n"/>
      <c r="D511" s="249" t="n"/>
      <c r="E511" s="248" t="n"/>
      <c r="F511" s="248" t="n"/>
      <c r="G511" s="248" t="n"/>
      <c r="H511" s="250">
        <f>IF(AND(E511&lt;&gt;"",G511&lt;&gt;""),E511*G511,"")</f>
      </c>
      <c r="I511" s="249" t="n"/>
      <c r="J511" s="249" t="n"/>
    </row>
    <row r="512" ht="15" customHeight="1" s="71">
      <c r="A512" s="244" t="n">
        <v>507</v>
      </c>
      <c r="B512" s="245" t="n"/>
      <c r="C512" s="245" t="n"/>
      <c r="D512" s="245" t="n"/>
      <c r="E512" s="244" t="n"/>
      <c r="F512" s="244" t="n"/>
      <c r="G512" s="244" t="n"/>
      <c r="H512" s="246">
        <f>IF(AND(E512&lt;&gt;"",G512&lt;&gt;""),E512*G512,"")</f>
      </c>
      <c r="I512" s="245" t="n"/>
      <c r="J512" s="245" t="n"/>
    </row>
    <row r="513" ht="15" customHeight="1" s="71">
      <c r="A513" s="248" t="n">
        <v>508</v>
      </c>
      <c r="B513" s="249" t="n"/>
      <c r="C513" s="249" t="n"/>
      <c r="D513" s="249" t="n"/>
      <c r="E513" s="248" t="n"/>
      <c r="F513" s="248" t="n"/>
      <c r="G513" s="248" t="n"/>
      <c r="H513" s="250">
        <f>IF(AND(E513&lt;&gt;"",G513&lt;&gt;""),E513*G513,"")</f>
      </c>
      <c r="I513" s="249" t="n"/>
      <c r="J513" s="249" t="n"/>
    </row>
    <row r="514" ht="15" customHeight="1" s="71">
      <c r="A514" s="244" t="n">
        <v>509</v>
      </c>
      <c r="B514" s="245" t="n"/>
      <c r="C514" s="245" t="n"/>
      <c r="D514" s="245" t="n"/>
      <c r="E514" s="244" t="n"/>
      <c r="F514" s="244" t="n"/>
      <c r="G514" s="244" t="n"/>
      <c r="H514" s="246">
        <f>IF(AND(E514&lt;&gt;"",G514&lt;&gt;""),E514*G514,"")</f>
      </c>
      <c r="I514" s="245" t="n"/>
      <c r="J514" s="245" t="n"/>
    </row>
    <row r="515" ht="15" customHeight="1" s="71">
      <c r="A515" s="248" t="n">
        <v>510</v>
      </c>
      <c r="B515" s="249" t="n"/>
      <c r="C515" s="249" t="n"/>
      <c r="D515" s="249" t="n"/>
      <c r="E515" s="248" t="n"/>
      <c r="F515" s="248" t="n"/>
      <c r="G515" s="248" t="n"/>
      <c r="H515" s="250">
        <f>IF(AND(E515&lt;&gt;"",G515&lt;&gt;""),E515*G515,"")</f>
      </c>
      <c r="I515" s="249" t="n"/>
      <c r="J515" s="249" t="n"/>
    </row>
    <row r="516" ht="15" customHeight="1" s="71">
      <c r="A516" s="244" t="n">
        <v>511</v>
      </c>
      <c r="B516" s="245" t="n"/>
      <c r="C516" s="245" t="n"/>
      <c r="D516" s="245" t="n"/>
      <c r="E516" s="244" t="n"/>
      <c r="F516" s="244" t="n"/>
      <c r="G516" s="244" t="n"/>
      <c r="H516" s="246">
        <f>IF(AND(E516&lt;&gt;"",G516&lt;&gt;""),E516*G516,"")</f>
      </c>
      <c r="I516" s="245" t="n"/>
      <c r="J516" s="245" t="n"/>
    </row>
    <row r="517" ht="15" customHeight="1" s="71">
      <c r="A517" s="248" t="n">
        <v>512</v>
      </c>
      <c r="B517" s="249" t="n"/>
      <c r="C517" s="249" t="n"/>
      <c r="D517" s="249" t="n"/>
      <c r="E517" s="248" t="n"/>
      <c r="F517" s="248" t="n"/>
      <c r="G517" s="248" t="n"/>
      <c r="H517" s="250">
        <f>IF(AND(E517&lt;&gt;"",G517&lt;&gt;""),E517*G517,"")</f>
      </c>
      <c r="I517" s="249" t="n"/>
      <c r="J517" s="249" t="n"/>
    </row>
    <row r="518" ht="15" customHeight="1" s="71">
      <c r="A518" s="244" t="n">
        <v>513</v>
      </c>
      <c r="B518" s="245" t="n"/>
      <c r="C518" s="245" t="n"/>
      <c r="D518" s="245" t="n"/>
      <c r="E518" s="244" t="n"/>
      <c r="F518" s="244" t="n"/>
      <c r="G518" s="244" t="n"/>
      <c r="H518" s="246">
        <f>IF(AND(E518&lt;&gt;"",G518&lt;&gt;""),E518*G518,"")</f>
      </c>
      <c r="I518" s="245" t="n"/>
      <c r="J518" s="245" t="n"/>
    </row>
    <row r="519" ht="15" customHeight="1" s="71">
      <c r="A519" s="248" t="n">
        <v>514</v>
      </c>
      <c r="B519" s="249" t="n"/>
      <c r="C519" s="249" t="n"/>
      <c r="D519" s="249" t="n"/>
      <c r="E519" s="248" t="n"/>
      <c r="F519" s="248" t="n"/>
      <c r="G519" s="248" t="n"/>
      <c r="H519" s="250">
        <f>IF(AND(E519&lt;&gt;"",G519&lt;&gt;""),E519*G519,"")</f>
      </c>
      <c r="I519" s="249" t="n"/>
      <c r="J519" s="249" t="n"/>
    </row>
    <row r="520" ht="15" customHeight="1" s="71">
      <c r="A520" s="244" t="n">
        <v>515</v>
      </c>
      <c r="B520" s="245" t="n"/>
      <c r="C520" s="245" t="n"/>
      <c r="D520" s="245" t="n"/>
      <c r="E520" s="244" t="n"/>
      <c r="F520" s="244" t="n"/>
      <c r="G520" s="244" t="n"/>
      <c r="H520" s="246">
        <f>IF(AND(E520&lt;&gt;"",G520&lt;&gt;""),E520*G520,"")</f>
      </c>
      <c r="I520" s="245" t="n"/>
      <c r="J520" s="245" t="n"/>
    </row>
    <row r="521" ht="15" customHeight="1" s="71">
      <c r="A521" s="248" t="n">
        <v>516</v>
      </c>
      <c r="B521" s="249" t="n"/>
      <c r="C521" s="249" t="n"/>
      <c r="D521" s="249" t="n"/>
      <c r="E521" s="248" t="n"/>
      <c r="F521" s="248" t="n"/>
      <c r="G521" s="248" t="n"/>
      <c r="H521" s="250">
        <f>IF(AND(E521&lt;&gt;"",G521&lt;&gt;""),E521*G521,"")</f>
      </c>
      <c r="I521" s="249" t="n"/>
      <c r="J521" s="249" t="n"/>
    </row>
    <row r="522" ht="15" customHeight="1" s="71">
      <c r="A522" s="244" t="n">
        <v>517</v>
      </c>
      <c r="B522" s="245" t="n"/>
      <c r="C522" s="245" t="n"/>
      <c r="D522" s="245" t="n"/>
      <c r="E522" s="244" t="n"/>
      <c r="F522" s="244" t="n"/>
      <c r="G522" s="244" t="n"/>
      <c r="H522" s="246">
        <f>IF(AND(E522&lt;&gt;"",G522&lt;&gt;""),E522*G522,"")</f>
      </c>
      <c r="I522" s="245" t="n"/>
      <c r="J522" s="245" t="n"/>
    </row>
    <row r="523" ht="15" customHeight="1" s="71">
      <c r="A523" s="248" t="n">
        <v>518</v>
      </c>
      <c r="B523" s="249" t="n"/>
      <c r="C523" s="249" t="n"/>
      <c r="D523" s="249" t="n"/>
      <c r="E523" s="248" t="n"/>
      <c r="F523" s="248" t="n"/>
      <c r="G523" s="248" t="n"/>
      <c r="H523" s="250">
        <f>IF(AND(E523&lt;&gt;"",G523&lt;&gt;""),E523*G523,"")</f>
      </c>
      <c r="I523" s="249" t="n"/>
      <c r="J523" s="249" t="n"/>
    </row>
    <row r="524" ht="15" customHeight="1" s="71">
      <c r="A524" s="244" t="n">
        <v>519</v>
      </c>
      <c r="B524" s="245" t="n"/>
      <c r="C524" s="245" t="n"/>
      <c r="D524" s="245" t="n"/>
      <c r="E524" s="244" t="n"/>
      <c r="F524" s="244" t="n"/>
      <c r="G524" s="244" t="n"/>
      <c r="H524" s="246">
        <f>IF(AND(E524&lt;&gt;"",G524&lt;&gt;""),E524*G524,"")</f>
      </c>
      <c r="I524" s="245" t="n"/>
      <c r="J524" s="245" t="n"/>
    </row>
    <row r="525" ht="15" customHeight="1" s="71">
      <c r="A525" s="248" t="n">
        <v>520</v>
      </c>
      <c r="B525" s="249" t="n"/>
      <c r="C525" s="249" t="n"/>
      <c r="D525" s="249" t="n"/>
      <c r="E525" s="248" t="n"/>
      <c r="F525" s="248" t="n"/>
      <c r="G525" s="248" t="n"/>
      <c r="H525" s="250">
        <f>IF(AND(E525&lt;&gt;"",G525&lt;&gt;""),E525*G525,"")</f>
      </c>
      <c r="I525" s="249" t="n"/>
      <c r="J525" s="249" t="n"/>
    </row>
    <row r="526" ht="15" customHeight="1" s="71">
      <c r="A526" s="244" t="n">
        <v>521</v>
      </c>
      <c r="B526" s="245" t="n"/>
      <c r="C526" s="245" t="n"/>
      <c r="D526" s="245" t="n"/>
      <c r="E526" s="244" t="n"/>
      <c r="F526" s="244" t="n"/>
      <c r="G526" s="244" t="n"/>
      <c r="H526" s="246">
        <f>IF(AND(E526&lt;&gt;"",G526&lt;&gt;""),E526*G526,"")</f>
      </c>
      <c r="I526" s="245" t="n"/>
      <c r="J526" s="245" t="n"/>
    </row>
    <row r="527" ht="15" customHeight="1" s="71">
      <c r="A527" s="248" t="n">
        <v>522</v>
      </c>
      <c r="B527" s="249" t="n"/>
      <c r="C527" s="249" t="n"/>
      <c r="D527" s="249" t="n"/>
      <c r="E527" s="248" t="n"/>
      <c r="F527" s="248" t="n"/>
      <c r="G527" s="248" t="n"/>
      <c r="H527" s="250">
        <f>IF(AND(E527&lt;&gt;"",G527&lt;&gt;""),E527*G527,"")</f>
      </c>
      <c r="I527" s="249" t="n"/>
      <c r="J527" s="249" t="n"/>
    </row>
    <row r="528" ht="15" customHeight="1" s="71">
      <c r="A528" s="244" t="n">
        <v>523</v>
      </c>
      <c r="B528" s="245" t="n"/>
      <c r="C528" s="245" t="n"/>
      <c r="D528" s="245" t="n"/>
      <c r="E528" s="244" t="n"/>
      <c r="F528" s="244" t="n"/>
      <c r="G528" s="244" t="n"/>
      <c r="H528" s="246">
        <f>IF(AND(E528&lt;&gt;"",G528&lt;&gt;""),E528*G528,"")</f>
      </c>
      <c r="I528" s="245" t="n"/>
      <c r="J528" s="245" t="n"/>
    </row>
    <row r="529" ht="15" customHeight="1" s="71">
      <c r="A529" s="248" t="n">
        <v>524</v>
      </c>
      <c r="B529" s="249" t="n"/>
      <c r="C529" s="249" t="n"/>
      <c r="D529" s="249" t="n"/>
      <c r="E529" s="248" t="n"/>
      <c r="F529" s="248" t="n"/>
      <c r="G529" s="248" t="n"/>
      <c r="H529" s="250">
        <f>IF(AND(E529&lt;&gt;"",G529&lt;&gt;""),E529*G529,"")</f>
      </c>
      <c r="I529" s="249" t="n"/>
      <c r="J529" s="249" t="n"/>
    </row>
    <row r="530" ht="15" customHeight="1" s="71">
      <c r="A530" s="244" t="n">
        <v>525</v>
      </c>
      <c r="B530" s="245" t="n"/>
      <c r="C530" s="245" t="n"/>
      <c r="D530" s="245" t="n"/>
      <c r="E530" s="244" t="n"/>
      <c r="F530" s="244" t="n"/>
      <c r="G530" s="244" t="n"/>
      <c r="H530" s="246">
        <f>IF(AND(E530&lt;&gt;"",G530&lt;&gt;""),E530*G530,"")</f>
      </c>
      <c r="I530" s="245" t="n"/>
      <c r="J530" s="245" t="n"/>
    </row>
    <row r="531" ht="15" customHeight="1" s="71">
      <c r="A531" s="248" t="n">
        <v>526</v>
      </c>
      <c r="B531" s="249" t="n"/>
      <c r="C531" s="249" t="n"/>
      <c r="D531" s="249" t="n"/>
      <c r="E531" s="248" t="n"/>
      <c r="F531" s="248" t="n"/>
      <c r="G531" s="248" t="n"/>
      <c r="H531" s="250">
        <f>IF(AND(E531&lt;&gt;"",G531&lt;&gt;""),E531*G531,"")</f>
      </c>
      <c r="I531" s="249" t="n"/>
      <c r="J531" s="249" t="n"/>
    </row>
    <row r="532" ht="15" customHeight="1" s="71">
      <c r="A532" s="244" t="n">
        <v>527</v>
      </c>
      <c r="B532" s="245" t="n"/>
      <c r="C532" s="245" t="n"/>
      <c r="D532" s="245" t="n"/>
      <c r="E532" s="244" t="n"/>
      <c r="F532" s="244" t="n"/>
      <c r="G532" s="244" t="n"/>
      <c r="H532" s="246">
        <f>IF(AND(E532&lt;&gt;"",G532&lt;&gt;""),E532*G532,"")</f>
      </c>
      <c r="I532" s="245" t="n"/>
      <c r="J532" s="245" t="n"/>
    </row>
    <row r="533" ht="15" customHeight="1" s="71">
      <c r="A533" s="248" t="n">
        <v>528</v>
      </c>
      <c r="B533" s="249" t="n"/>
      <c r="C533" s="249" t="n"/>
      <c r="D533" s="249" t="n"/>
      <c r="E533" s="248" t="n"/>
      <c r="F533" s="248" t="n"/>
      <c r="G533" s="248" t="n"/>
      <c r="H533" s="250">
        <f>IF(AND(E533&lt;&gt;"",G533&lt;&gt;""),E533*G533,"")</f>
      </c>
      <c r="I533" s="249" t="n"/>
      <c r="J533" s="249" t="n"/>
    </row>
    <row r="534" ht="15" customHeight="1" s="71">
      <c r="A534" s="244" t="n">
        <v>529</v>
      </c>
      <c r="B534" s="245" t="n"/>
      <c r="C534" s="245" t="n"/>
      <c r="D534" s="245" t="n"/>
      <c r="E534" s="244" t="n"/>
      <c r="F534" s="244" t="n"/>
      <c r="G534" s="244" t="n"/>
      <c r="H534" s="246">
        <f>IF(AND(E534&lt;&gt;"",G534&lt;&gt;""),E534*G534,"")</f>
      </c>
      <c r="I534" s="245" t="n"/>
      <c r="J534" s="245" t="n"/>
    </row>
    <row r="535" ht="15" customHeight="1" s="71">
      <c r="A535" s="248" t="n">
        <v>530</v>
      </c>
      <c r="B535" s="249" t="n"/>
      <c r="C535" s="249" t="n"/>
      <c r="D535" s="249" t="n"/>
      <c r="E535" s="248" t="n"/>
      <c r="F535" s="248" t="n"/>
      <c r="G535" s="248" t="n"/>
      <c r="H535" s="250">
        <f>IF(AND(E535&lt;&gt;"",G535&lt;&gt;""),E535*G535,"")</f>
      </c>
      <c r="I535" s="249" t="n"/>
      <c r="J535" s="249" t="n"/>
    </row>
    <row r="536" ht="15" customHeight="1" s="71">
      <c r="A536" s="244" t="n">
        <v>531</v>
      </c>
      <c r="B536" s="245" t="n"/>
      <c r="C536" s="245" t="n"/>
      <c r="D536" s="245" t="n"/>
      <c r="E536" s="244" t="n"/>
      <c r="F536" s="244" t="n"/>
      <c r="G536" s="244" t="n"/>
      <c r="H536" s="246">
        <f>IF(AND(E536&lt;&gt;"",G536&lt;&gt;""),E536*G536,"")</f>
      </c>
      <c r="I536" s="245" t="n"/>
      <c r="J536" s="245" t="n"/>
    </row>
    <row r="537" ht="15" customHeight="1" s="71">
      <c r="A537" s="248" t="n">
        <v>532</v>
      </c>
      <c r="B537" s="249" t="n"/>
      <c r="C537" s="249" t="n"/>
      <c r="D537" s="249" t="n"/>
      <c r="E537" s="248" t="n"/>
      <c r="F537" s="248" t="n"/>
      <c r="G537" s="248" t="n"/>
      <c r="H537" s="250">
        <f>IF(AND(E537&lt;&gt;"",G537&lt;&gt;""),E537*G537,"")</f>
      </c>
      <c r="I537" s="249" t="n"/>
      <c r="J537" s="249" t="n"/>
    </row>
    <row r="538" ht="15" customHeight="1" s="71">
      <c r="A538" s="244" t="n">
        <v>533</v>
      </c>
      <c r="B538" s="245" t="n"/>
      <c r="C538" s="245" t="n"/>
      <c r="D538" s="245" t="n"/>
      <c r="E538" s="244" t="n"/>
      <c r="F538" s="244" t="n"/>
      <c r="G538" s="244" t="n"/>
      <c r="H538" s="246">
        <f>IF(AND(E538&lt;&gt;"",G538&lt;&gt;""),E538*G538,"")</f>
      </c>
      <c r="I538" s="245" t="n"/>
      <c r="J538" s="245" t="n"/>
    </row>
    <row r="539" ht="15" customHeight="1" s="71">
      <c r="A539" s="248" t="n">
        <v>534</v>
      </c>
      <c r="B539" s="249" t="n"/>
      <c r="C539" s="249" t="n"/>
      <c r="D539" s="249" t="n"/>
      <c r="E539" s="248" t="n"/>
      <c r="F539" s="248" t="n"/>
      <c r="G539" s="248" t="n"/>
      <c r="H539" s="250">
        <f>IF(AND(E539&lt;&gt;"",G539&lt;&gt;""),E539*G539,"")</f>
      </c>
      <c r="I539" s="249" t="n"/>
      <c r="J539" s="249" t="n"/>
    </row>
    <row r="540" ht="15" customHeight="1" s="71">
      <c r="A540" s="244" t="n">
        <v>535</v>
      </c>
      <c r="B540" s="245" t="n"/>
      <c r="C540" s="245" t="n"/>
      <c r="D540" s="245" t="n"/>
      <c r="E540" s="244" t="n"/>
      <c r="F540" s="244" t="n"/>
      <c r="G540" s="244" t="n"/>
      <c r="H540" s="246">
        <f>IF(AND(E540&lt;&gt;"",G540&lt;&gt;""),E540*G540,"")</f>
      </c>
      <c r="I540" s="245" t="n"/>
      <c r="J540" s="245" t="n"/>
    </row>
    <row r="541" ht="15" customHeight="1" s="71">
      <c r="A541" s="248" t="n">
        <v>536</v>
      </c>
      <c r="B541" s="249" t="n"/>
      <c r="C541" s="249" t="n"/>
      <c r="D541" s="249" t="n"/>
      <c r="E541" s="248" t="n"/>
      <c r="F541" s="248" t="n"/>
      <c r="G541" s="248" t="n"/>
      <c r="H541" s="250">
        <f>IF(AND(E541&lt;&gt;"",G541&lt;&gt;""),E541*G541,"")</f>
      </c>
      <c r="I541" s="249" t="n"/>
      <c r="J541" s="249" t="n"/>
    </row>
    <row r="542" ht="15" customHeight="1" s="71">
      <c r="A542" s="244" t="n">
        <v>537</v>
      </c>
      <c r="B542" s="245" t="n"/>
      <c r="C542" s="245" t="n"/>
      <c r="D542" s="245" t="n"/>
      <c r="E542" s="244" t="n"/>
      <c r="F542" s="244" t="n"/>
      <c r="G542" s="244" t="n"/>
      <c r="H542" s="246">
        <f>IF(AND(E542&lt;&gt;"",G542&lt;&gt;""),E542*G542,"")</f>
      </c>
      <c r="I542" s="245" t="n"/>
      <c r="J542" s="245" t="n"/>
    </row>
    <row r="543" ht="15" customHeight="1" s="71">
      <c r="A543" s="248" t="n">
        <v>538</v>
      </c>
      <c r="B543" s="249" t="n"/>
      <c r="C543" s="249" t="n"/>
      <c r="D543" s="249" t="n"/>
      <c r="E543" s="248" t="n"/>
      <c r="F543" s="248" t="n"/>
      <c r="G543" s="248" t="n"/>
      <c r="H543" s="250">
        <f>IF(AND(E543&lt;&gt;"",G543&lt;&gt;""),E543*G543,"")</f>
      </c>
      <c r="I543" s="249" t="n"/>
      <c r="J543" s="249" t="n"/>
    </row>
    <row r="544" ht="15" customHeight="1" s="71">
      <c r="A544" s="244" t="n">
        <v>539</v>
      </c>
      <c r="B544" s="245" t="n"/>
      <c r="C544" s="245" t="n"/>
      <c r="D544" s="245" t="n"/>
      <c r="E544" s="244" t="n"/>
      <c r="F544" s="244" t="n"/>
      <c r="G544" s="244" t="n"/>
      <c r="H544" s="246">
        <f>IF(AND(E544&lt;&gt;"",G544&lt;&gt;""),E544*G544,"")</f>
      </c>
      <c r="I544" s="245" t="n"/>
      <c r="J544" s="245" t="n"/>
    </row>
    <row r="545" ht="15" customHeight="1" s="71">
      <c r="A545" s="248" t="n">
        <v>540</v>
      </c>
      <c r="B545" s="249" t="n"/>
      <c r="C545" s="249" t="n"/>
      <c r="D545" s="249" t="n"/>
      <c r="E545" s="248" t="n"/>
      <c r="F545" s="248" t="n"/>
      <c r="G545" s="248" t="n"/>
      <c r="H545" s="250">
        <f>IF(AND(E545&lt;&gt;"",G545&lt;&gt;""),E545*G545,"")</f>
      </c>
      <c r="I545" s="249" t="n"/>
      <c r="J545" s="249" t="n"/>
    </row>
    <row r="546" ht="15" customHeight="1" s="71">
      <c r="A546" s="244" t="n">
        <v>541</v>
      </c>
      <c r="B546" s="245" t="n"/>
      <c r="C546" s="245" t="n"/>
      <c r="D546" s="245" t="n"/>
      <c r="E546" s="244" t="n"/>
      <c r="F546" s="244" t="n"/>
      <c r="G546" s="244" t="n"/>
      <c r="H546" s="246">
        <f>IF(AND(E546&lt;&gt;"",G546&lt;&gt;""),E546*G546,"")</f>
      </c>
      <c r="I546" s="245" t="n"/>
      <c r="J546" s="245" t="n"/>
    </row>
    <row r="547" ht="15" customHeight="1" s="71">
      <c r="A547" s="248" t="n">
        <v>542</v>
      </c>
      <c r="B547" s="249" t="n"/>
      <c r="C547" s="249" t="n"/>
      <c r="D547" s="249" t="n"/>
      <c r="E547" s="248" t="n"/>
      <c r="F547" s="248" t="n"/>
      <c r="G547" s="248" t="n"/>
      <c r="H547" s="250">
        <f>IF(AND(E547&lt;&gt;"",G547&lt;&gt;""),E547*G547,"")</f>
      </c>
      <c r="I547" s="249" t="n"/>
      <c r="J547" s="249" t="n"/>
    </row>
    <row r="548" ht="15" customHeight="1" s="71">
      <c r="A548" s="244" t="n">
        <v>543</v>
      </c>
      <c r="B548" s="245" t="n"/>
      <c r="C548" s="245" t="n"/>
      <c r="D548" s="245" t="n"/>
      <c r="E548" s="244" t="n"/>
      <c r="F548" s="244" t="n"/>
      <c r="G548" s="244" t="n"/>
      <c r="H548" s="246">
        <f>IF(AND(E548&lt;&gt;"",G548&lt;&gt;""),E548*G548,"")</f>
      </c>
      <c r="I548" s="245" t="n"/>
      <c r="J548" s="245" t="n"/>
    </row>
    <row r="549" ht="15" customHeight="1" s="71">
      <c r="A549" s="248" t="n">
        <v>544</v>
      </c>
      <c r="B549" s="249" t="n"/>
      <c r="C549" s="249" t="n"/>
      <c r="D549" s="249" t="n"/>
      <c r="E549" s="248" t="n"/>
      <c r="F549" s="248" t="n"/>
      <c r="G549" s="248" t="n"/>
      <c r="H549" s="250">
        <f>IF(AND(E549&lt;&gt;"",G549&lt;&gt;""),E549*G549,"")</f>
      </c>
      <c r="I549" s="249" t="n"/>
      <c r="J549" s="249" t="n"/>
    </row>
    <row r="550" ht="15" customHeight="1" s="71">
      <c r="A550" s="244" t="n">
        <v>545</v>
      </c>
      <c r="B550" s="245" t="n"/>
      <c r="C550" s="245" t="n"/>
      <c r="D550" s="245" t="n"/>
      <c r="E550" s="244" t="n"/>
      <c r="F550" s="244" t="n"/>
      <c r="G550" s="244" t="n"/>
      <c r="H550" s="246">
        <f>IF(AND(E550&lt;&gt;"",G550&lt;&gt;""),E550*G550,"")</f>
      </c>
      <c r="I550" s="245" t="n"/>
      <c r="J550" s="245" t="n"/>
    </row>
    <row r="551" ht="15" customHeight="1" s="71">
      <c r="A551" s="248" t="n">
        <v>546</v>
      </c>
      <c r="B551" s="249" t="n"/>
      <c r="C551" s="249" t="n"/>
      <c r="D551" s="249" t="n"/>
      <c r="E551" s="248" t="n"/>
      <c r="F551" s="248" t="n"/>
      <c r="G551" s="248" t="n"/>
      <c r="H551" s="250">
        <f>IF(AND(E551&lt;&gt;"",G551&lt;&gt;""),E551*G551,"")</f>
      </c>
      <c r="I551" s="249" t="n"/>
      <c r="J551" s="249" t="n"/>
    </row>
    <row r="552" ht="15" customHeight="1" s="71">
      <c r="A552" s="244" t="n">
        <v>547</v>
      </c>
      <c r="B552" s="245" t="n"/>
      <c r="C552" s="245" t="n"/>
      <c r="D552" s="245" t="n"/>
      <c r="E552" s="244" t="n"/>
      <c r="F552" s="244" t="n"/>
      <c r="G552" s="244" t="n"/>
      <c r="H552" s="246">
        <f>IF(AND(E552&lt;&gt;"",G552&lt;&gt;""),E552*G552,"")</f>
      </c>
      <c r="I552" s="245" t="n"/>
      <c r="J552" s="245" t="n"/>
    </row>
    <row r="553" ht="15" customHeight="1" s="71">
      <c r="A553" s="248" t="n">
        <v>548</v>
      </c>
      <c r="B553" s="249" t="n"/>
      <c r="C553" s="249" t="n"/>
      <c r="D553" s="249" t="n"/>
      <c r="E553" s="248" t="n"/>
      <c r="F553" s="248" t="n"/>
      <c r="G553" s="248" t="n"/>
      <c r="H553" s="250">
        <f>IF(AND(E553&lt;&gt;"",G553&lt;&gt;""),E553*G553,"")</f>
      </c>
      <c r="I553" s="249" t="n"/>
      <c r="J553" s="249" t="n"/>
    </row>
    <row r="554" ht="15" customHeight="1" s="71">
      <c r="A554" s="244" t="n">
        <v>549</v>
      </c>
      <c r="B554" s="245" t="n"/>
      <c r="C554" s="245" t="n"/>
      <c r="D554" s="245" t="n"/>
      <c r="E554" s="244" t="n"/>
      <c r="F554" s="244" t="n"/>
      <c r="G554" s="244" t="n"/>
      <c r="H554" s="246">
        <f>IF(AND(E554&lt;&gt;"",G554&lt;&gt;""),E554*G554,"")</f>
      </c>
      <c r="I554" s="245" t="n"/>
      <c r="J554" s="245" t="n"/>
    </row>
    <row r="555" ht="15" customHeight="1" s="71">
      <c r="A555" s="248" t="n">
        <v>550</v>
      </c>
      <c r="B555" s="249" t="n"/>
      <c r="C555" s="249" t="n"/>
      <c r="D555" s="249" t="n"/>
      <c r="E555" s="248" t="n"/>
      <c r="F555" s="248" t="n"/>
      <c r="G555" s="248" t="n"/>
      <c r="H555" s="250">
        <f>IF(AND(E555&lt;&gt;"",G555&lt;&gt;""),E555*G555,"")</f>
      </c>
      <c r="I555" s="249" t="n"/>
      <c r="J555" s="249" t="n"/>
    </row>
    <row r="556" ht="15" customHeight="1" s="71">
      <c r="A556" s="244" t="n">
        <v>551</v>
      </c>
      <c r="B556" s="245" t="n"/>
      <c r="C556" s="245" t="n"/>
      <c r="D556" s="245" t="n"/>
      <c r="E556" s="244" t="n"/>
      <c r="F556" s="244" t="n"/>
      <c r="G556" s="244" t="n"/>
      <c r="H556" s="246">
        <f>IF(AND(E556&lt;&gt;"",G556&lt;&gt;""),E556*G556,"")</f>
      </c>
      <c r="I556" s="245" t="n"/>
      <c r="J556" s="245" t="n"/>
    </row>
    <row r="557" ht="15" customHeight="1" s="71">
      <c r="A557" s="248" t="n">
        <v>552</v>
      </c>
      <c r="B557" s="249" t="n"/>
      <c r="C557" s="249" t="n"/>
      <c r="D557" s="249" t="n"/>
      <c r="E557" s="248" t="n"/>
      <c r="F557" s="248" t="n"/>
      <c r="G557" s="248" t="n"/>
      <c r="H557" s="250">
        <f>IF(AND(E557&lt;&gt;"",G557&lt;&gt;""),E557*G557,"")</f>
      </c>
      <c r="I557" s="249" t="n"/>
      <c r="J557" s="249" t="n"/>
    </row>
    <row r="558" ht="15" customHeight="1" s="71">
      <c r="A558" s="244" t="n">
        <v>553</v>
      </c>
      <c r="B558" s="245" t="n"/>
      <c r="C558" s="245" t="n"/>
      <c r="D558" s="245" t="n"/>
      <c r="E558" s="244" t="n"/>
      <c r="F558" s="244" t="n"/>
      <c r="G558" s="244" t="n"/>
      <c r="H558" s="246">
        <f>IF(AND(E558&lt;&gt;"",G558&lt;&gt;""),E558*G558,"")</f>
      </c>
      <c r="I558" s="245" t="n"/>
      <c r="J558" s="245" t="n"/>
    </row>
    <row r="559" ht="15" customHeight="1" s="71">
      <c r="A559" s="248" t="n">
        <v>554</v>
      </c>
      <c r="B559" s="249" t="n"/>
      <c r="C559" s="249" t="n"/>
      <c r="D559" s="249" t="n"/>
      <c r="E559" s="248" t="n"/>
      <c r="F559" s="248" t="n"/>
      <c r="G559" s="248" t="n"/>
      <c r="H559" s="250">
        <f>IF(AND(E559&lt;&gt;"",G559&lt;&gt;""),E559*G559,"")</f>
      </c>
      <c r="I559" s="249" t="n"/>
      <c r="J559" s="249" t="n"/>
    </row>
    <row r="560" ht="15" customHeight="1" s="71">
      <c r="A560" s="244" t="n">
        <v>555</v>
      </c>
      <c r="B560" s="245" t="n"/>
      <c r="C560" s="245" t="n"/>
      <c r="D560" s="245" t="n"/>
      <c r="E560" s="244" t="n"/>
      <c r="F560" s="244" t="n"/>
      <c r="G560" s="244" t="n"/>
      <c r="H560" s="246">
        <f>IF(AND(E560&lt;&gt;"",G560&lt;&gt;""),E560*G560,"")</f>
      </c>
      <c r="I560" s="245" t="n"/>
      <c r="J560" s="245" t="n"/>
    </row>
    <row r="561" ht="15" customHeight="1" s="71">
      <c r="A561" s="248" t="n">
        <v>556</v>
      </c>
      <c r="B561" s="249" t="n"/>
      <c r="C561" s="249" t="n"/>
      <c r="D561" s="249" t="n"/>
      <c r="E561" s="248" t="n"/>
      <c r="F561" s="248" t="n"/>
      <c r="G561" s="248" t="n"/>
      <c r="H561" s="250">
        <f>IF(AND(E561&lt;&gt;"",G561&lt;&gt;""),E561*G561,"")</f>
      </c>
      <c r="I561" s="249" t="n"/>
      <c r="J561" s="249" t="n"/>
    </row>
    <row r="562" ht="15" customHeight="1" s="71">
      <c r="A562" s="244" t="n">
        <v>557</v>
      </c>
      <c r="B562" s="245" t="n"/>
      <c r="C562" s="245" t="n"/>
      <c r="D562" s="245" t="n"/>
      <c r="E562" s="244" t="n"/>
      <c r="F562" s="244" t="n"/>
      <c r="G562" s="244" t="n"/>
      <c r="H562" s="246">
        <f>IF(AND(E562&lt;&gt;"",G562&lt;&gt;""),E562*G562,"")</f>
      </c>
      <c r="I562" s="245" t="n"/>
      <c r="J562" s="245" t="n"/>
    </row>
    <row r="563" ht="15" customHeight="1" s="71">
      <c r="A563" s="248" t="n">
        <v>558</v>
      </c>
      <c r="B563" s="249" t="n"/>
      <c r="C563" s="249" t="n"/>
      <c r="D563" s="249" t="n"/>
      <c r="E563" s="248" t="n"/>
      <c r="F563" s="248" t="n"/>
      <c r="G563" s="248" t="n"/>
      <c r="H563" s="250">
        <f>IF(AND(E563&lt;&gt;"",G563&lt;&gt;""),E563*G563,"")</f>
      </c>
      <c r="I563" s="249" t="n"/>
      <c r="J563" s="249" t="n"/>
    </row>
    <row r="564" ht="15" customHeight="1" s="71">
      <c r="A564" s="244" t="n">
        <v>559</v>
      </c>
      <c r="B564" s="245" t="n"/>
      <c r="C564" s="245" t="n"/>
      <c r="D564" s="245" t="n"/>
      <c r="E564" s="244" t="n"/>
      <c r="F564" s="244" t="n"/>
      <c r="G564" s="244" t="n"/>
      <c r="H564" s="246">
        <f>IF(AND(E564&lt;&gt;"",G564&lt;&gt;""),E564*G564,"")</f>
      </c>
      <c r="I564" s="245" t="n"/>
      <c r="J564" s="245" t="n"/>
    </row>
    <row r="565" ht="15" customHeight="1" s="71">
      <c r="A565" s="248" t="n">
        <v>560</v>
      </c>
      <c r="B565" s="249" t="n"/>
      <c r="C565" s="249" t="n"/>
      <c r="D565" s="249" t="n"/>
      <c r="E565" s="248" t="n"/>
      <c r="F565" s="248" t="n"/>
      <c r="G565" s="248" t="n"/>
      <c r="H565" s="250">
        <f>IF(AND(E565&lt;&gt;"",G565&lt;&gt;""),E565*G565,"")</f>
      </c>
      <c r="I565" s="249" t="n"/>
      <c r="J565" s="249" t="n"/>
    </row>
    <row r="566" ht="15" customHeight="1" s="71">
      <c r="A566" s="244" t="n">
        <v>561</v>
      </c>
      <c r="B566" s="245" t="n"/>
      <c r="C566" s="245" t="n"/>
      <c r="D566" s="245" t="n"/>
      <c r="E566" s="244" t="n"/>
      <c r="F566" s="244" t="n"/>
      <c r="G566" s="244" t="n"/>
      <c r="H566" s="246">
        <f>IF(AND(E566&lt;&gt;"",G566&lt;&gt;""),E566*G566,"")</f>
      </c>
      <c r="I566" s="245" t="n"/>
      <c r="J566" s="245" t="n"/>
    </row>
    <row r="567" ht="15" customHeight="1" s="71">
      <c r="A567" s="248" t="n">
        <v>562</v>
      </c>
      <c r="B567" s="249" t="n"/>
      <c r="C567" s="249" t="n"/>
      <c r="D567" s="249" t="n"/>
      <c r="E567" s="248" t="n"/>
      <c r="F567" s="248" t="n"/>
      <c r="G567" s="248" t="n"/>
      <c r="H567" s="250">
        <f>IF(AND(E567&lt;&gt;"",G567&lt;&gt;""),E567*G567,"")</f>
      </c>
      <c r="I567" s="249" t="n"/>
      <c r="J567" s="249" t="n"/>
    </row>
    <row r="568" ht="15" customHeight="1" s="71">
      <c r="A568" s="244" t="n">
        <v>563</v>
      </c>
      <c r="B568" s="245" t="n"/>
      <c r="C568" s="245" t="n"/>
      <c r="D568" s="245" t="n"/>
      <c r="E568" s="244" t="n"/>
      <c r="F568" s="244" t="n"/>
      <c r="G568" s="244" t="n"/>
      <c r="H568" s="246">
        <f>IF(AND(E568&lt;&gt;"",G568&lt;&gt;""),E568*G568,"")</f>
      </c>
      <c r="I568" s="245" t="n"/>
      <c r="J568" s="245" t="n"/>
    </row>
    <row r="569" ht="15" customHeight="1" s="71">
      <c r="A569" s="248" t="n">
        <v>564</v>
      </c>
      <c r="B569" s="249" t="n"/>
      <c r="C569" s="249" t="n"/>
      <c r="D569" s="249" t="n"/>
      <c r="E569" s="248" t="n"/>
      <c r="F569" s="248" t="n"/>
      <c r="G569" s="248" t="n"/>
      <c r="H569" s="250">
        <f>IF(AND(E569&lt;&gt;"",G569&lt;&gt;""),E569*G569,"")</f>
      </c>
      <c r="I569" s="249" t="n"/>
      <c r="J569" s="249" t="n"/>
    </row>
    <row r="570" ht="15" customHeight="1" s="71">
      <c r="A570" s="244" t="n">
        <v>565</v>
      </c>
      <c r="B570" s="245" t="n"/>
      <c r="C570" s="245" t="n"/>
      <c r="D570" s="245" t="n"/>
      <c r="E570" s="244" t="n"/>
      <c r="F570" s="244" t="n"/>
      <c r="G570" s="244" t="n"/>
      <c r="H570" s="246">
        <f>IF(AND(E570&lt;&gt;"",G570&lt;&gt;""),E570*G570,"")</f>
      </c>
      <c r="I570" s="245" t="n"/>
      <c r="J570" s="245" t="n"/>
    </row>
    <row r="571" ht="15" customHeight="1" s="71">
      <c r="A571" s="248" t="n">
        <v>566</v>
      </c>
      <c r="B571" s="249" t="n"/>
      <c r="C571" s="249" t="n"/>
      <c r="D571" s="249" t="n"/>
      <c r="E571" s="248" t="n"/>
      <c r="F571" s="248" t="n"/>
      <c r="G571" s="248" t="n"/>
      <c r="H571" s="250">
        <f>IF(AND(E571&lt;&gt;"",G571&lt;&gt;""),E571*G571,"")</f>
      </c>
      <c r="I571" s="249" t="n"/>
      <c r="J571" s="249" t="n"/>
    </row>
    <row r="572" ht="15" customHeight="1" s="71">
      <c r="A572" s="244" t="n">
        <v>567</v>
      </c>
      <c r="B572" s="245" t="n"/>
      <c r="C572" s="245" t="n"/>
      <c r="D572" s="245" t="n"/>
      <c r="E572" s="244" t="n"/>
      <c r="F572" s="244" t="n"/>
      <c r="G572" s="244" t="n"/>
      <c r="H572" s="246">
        <f>IF(AND(E572&lt;&gt;"",G572&lt;&gt;""),E572*G572,"")</f>
      </c>
      <c r="I572" s="245" t="n"/>
      <c r="J572" s="245" t="n"/>
    </row>
    <row r="573" ht="15" customHeight="1" s="71">
      <c r="A573" s="248" t="n">
        <v>568</v>
      </c>
      <c r="B573" s="249" t="n"/>
      <c r="C573" s="249" t="n"/>
      <c r="D573" s="249" t="n"/>
      <c r="E573" s="248" t="n"/>
      <c r="F573" s="248" t="n"/>
      <c r="G573" s="248" t="n"/>
      <c r="H573" s="250">
        <f>IF(AND(E573&lt;&gt;"",G573&lt;&gt;""),E573*G573,"")</f>
      </c>
      <c r="I573" s="249" t="n"/>
      <c r="J573" s="249" t="n"/>
    </row>
    <row r="574" ht="15" customHeight="1" s="71">
      <c r="A574" s="244" t="n">
        <v>569</v>
      </c>
      <c r="B574" s="245" t="n"/>
      <c r="C574" s="245" t="n"/>
      <c r="D574" s="245" t="n"/>
      <c r="E574" s="244" t="n"/>
      <c r="F574" s="244" t="n"/>
      <c r="G574" s="244" t="n"/>
      <c r="H574" s="246">
        <f>IF(AND(E574&lt;&gt;"",G574&lt;&gt;""),E574*G574,"")</f>
      </c>
      <c r="I574" s="245" t="n"/>
      <c r="J574" s="245" t="n"/>
    </row>
    <row r="575" ht="15" customHeight="1" s="71">
      <c r="A575" s="248" t="n">
        <v>570</v>
      </c>
      <c r="B575" s="249" t="n"/>
      <c r="C575" s="249" t="n"/>
      <c r="D575" s="249" t="n"/>
      <c r="E575" s="248" t="n"/>
      <c r="F575" s="248" t="n"/>
      <c r="G575" s="248" t="n"/>
      <c r="H575" s="250">
        <f>IF(AND(E575&lt;&gt;"",G575&lt;&gt;""),E575*G575,"")</f>
      </c>
      <c r="I575" s="249" t="n"/>
      <c r="J575" s="249" t="n"/>
    </row>
    <row r="576" ht="15" customHeight="1" s="71">
      <c r="A576" s="244" t="n">
        <v>571</v>
      </c>
      <c r="B576" s="245" t="n"/>
      <c r="C576" s="245" t="n"/>
      <c r="D576" s="245" t="n"/>
      <c r="E576" s="244" t="n"/>
      <c r="F576" s="244" t="n"/>
      <c r="G576" s="244" t="n"/>
      <c r="H576" s="246">
        <f>IF(AND(E576&lt;&gt;"",G576&lt;&gt;""),E576*G576,"")</f>
      </c>
      <c r="I576" s="245" t="n"/>
      <c r="J576" s="245" t="n"/>
    </row>
    <row r="577" ht="15" customHeight="1" s="71">
      <c r="A577" s="248" t="n">
        <v>572</v>
      </c>
      <c r="B577" s="249" t="n"/>
      <c r="C577" s="249" t="n"/>
      <c r="D577" s="249" t="n"/>
      <c r="E577" s="248" t="n"/>
      <c r="F577" s="248" t="n"/>
      <c r="G577" s="248" t="n"/>
      <c r="H577" s="250">
        <f>IF(AND(E577&lt;&gt;"",G577&lt;&gt;""),E577*G577,"")</f>
      </c>
      <c r="I577" s="249" t="n"/>
      <c r="J577" s="249" t="n"/>
    </row>
    <row r="578" ht="15" customHeight="1" s="71">
      <c r="A578" s="244" t="n">
        <v>573</v>
      </c>
      <c r="B578" s="245" t="n"/>
      <c r="C578" s="245" t="n"/>
      <c r="D578" s="245" t="n"/>
      <c r="E578" s="244" t="n"/>
      <c r="F578" s="244" t="n"/>
      <c r="G578" s="244" t="n"/>
      <c r="H578" s="246">
        <f>IF(AND(E578&lt;&gt;"",G578&lt;&gt;""),E578*G578,"")</f>
      </c>
      <c r="I578" s="245" t="n"/>
      <c r="J578" s="245" t="n"/>
    </row>
    <row r="579" ht="15" customHeight="1" s="71">
      <c r="A579" s="248" t="n">
        <v>574</v>
      </c>
      <c r="B579" s="249" t="n"/>
      <c r="C579" s="249" t="n"/>
      <c r="D579" s="249" t="n"/>
      <c r="E579" s="248" t="n"/>
      <c r="F579" s="248" t="n"/>
      <c r="G579" s="248" t="n"/>
      <c r="H579" s="250">
        <f>IF(AND(E579&lt;&gt;"",G579&lt;&gt;""),E579*G579,"")</f>
      </c>
      <c r="I579" s="249" t="n"/>
      <c r="J579" s="249" t="n"/>
    </row>
    <row r="580" ht="15" customHeight="1" s="71">
      <c r="A580" s="244" t="n">
        <v>575</v>
      </c>
      <c r="B580" s="245" t="n"/>
      <c r="C580" s="245" t="n"/>
      <c r="D580" s="245" t="n"/>
      <c r="E580" s="244" t="n"/>
      <c r="F580" s="244" t="n"/>
      <c r="G580" s="244" t="n"/>
      <c r="H580" s="246">
        <f>IF(AND(E580&lt;&gt;"",G580&lt;&gt;""),E580*G580,"")</f>
      </c>
      <c r="I580" s="245" t="n"/>
      <c r="J580" s="245" t="n"/>
    </row>
    <row r="581" ht="15" customHeight="1" s="71">
      <c r="A581" s="248" t="n">
        <v>576</v>
      </c>
      <c r="B581" s="249" t="n"/>
      <c r="C581" s="249" t="n"/>
      <c r="D581" s="249" t="n"/>
      <c r="E581" s="248" t="n"/>
      <c r="F581" s="248" t="n"/>
      <c r="G581" s="248" t="n"/>
      <c r="H581" s="250">
        <f>IF(AND(E581&lt;&gt;"",G581&lt;&gt;""),E581*G581,"")</f>
      </c>
      <c r="I581" s="249" t="n"/>
      <c r="J581" s="249" t="n"/>
    </row>
    <row r="582" ht="15" customHeight="1" s="71">
      <c r="A582" s="244" t="n">
        <v>577</v>
      </c>
      <c r="B582" s="245" t="n"/>
      <c r="C582" s="245" t="n"/>
      <c r="D582" s="245" t="n"/>
      <c r="E582" s="244" t="n"/>
      <c r="F582" s="244" t="n"/>
      <c r="G582" s="244" t="n"/>
      <c r="H582" s="246">
        <f>IF(AND(E582&lt;&gt;"",G582&lt;&gt;""),E582*G582,"")</f>
      </c>
      <c r="I582" s="245" t="n"/>
      <c r="J582" s="245" t="n"/>
    </row>
    <row r="583" ht="15" customHeight="1" s="71">
      <c r="A583" s="248" t="n">
        <v>578</v>
      </c>
      <c r="B583" s="249" t="n"/>
      <c r="C583" s="249" t="n"/>
      <c r="D583" s="249" t="n"/>
      <c r="E583" s="248" t="n"/>
      <c r="F583" s="248" t="n"/>
      <c r="G583" s="248" t="n"/>
      <c r="H583" s="250">
        <f>IF(AND(E583&lt;&gt;"",G583&lt;&gt;""),E583*G583,"")</f>
      </c>
      <c r="I583" s="249" t="n"/>
      <c r="J583" s="249" t="n"/>
    </row>
    <row r="584" ht="15" customHeight="1" s="71">
      <c r="A584" s="244" t="n">
        <v>579</v>
      </c>
      <c r="B584" s="245" t="n"/>
      <c r="C584" s="245" t="n"/>
      <c r="D584" s="245" t="n"/>
      <c r="E584" s="244" t="n"/>
      <c r="F584" s="244" t="n"/>
      <c r="G584" s="244" t="n"/>
      <c r="H584" s="246">
        <f>IF(AND(E584&lt;&gt;"",G584&lt;&gt;""),E584*G584,"")</f>
      </c>
      <c r="I584" s="245" t="n"/>
      <c r="J584" s="245" t="n"/>
    </row>
    <row r="585" ht="15" customHeight="1" s="71">
      <c r="A585" s="248" t="n">
        <v>580</v>
      </c>
      <c r="B585" s="249" t="n"/>
      <c r="C585" s="249" t="n"/>
      <c r="D585" s="249" t="n"/>
      <c r="E585" s="248" t="n"/>
      <c r="F585" s="248" t="n"/>
      <c r="G585" s="248" t="n"/>
      <c r="H585" s="250">
        <f>IF(AND(E585&lt;&gt;"",G585&lt;&gt;""),E585*G585,"")</f>
      </c>
      <c r="I585" s="249" t="n"/>
      <c r="J585" s="249" t="n"/>
    </row>
    <row r="586" ht="15" customHeight="1" s="71">
      <c r="A586" s="244" t="n">
        <v>581</v>
      </c>
      <c r="B586" s="245" t="n"/>
      <c r="C586" s="245" t="n"/>
      <c r="D586" s="245" t="n"/>
      <c r="E586" s="244" t="n"/>
      <c r="F586" s="244" t="n"/>
      <c r="G586" s="244" t="n"/>
      <c r="H586" s="246">
        <f>IF(AND(E586&lt;&gt;"",G586&lt;&gt;""),E586*G586,"")</f>
      </c>
      <c r="I586" s="245" t="n"/>
      <c r="J586" s="245" t="n"/>
    </row>
    <row r="587" ht="15" customHeight="1" s="71">
      <c r="A587" s="248" t="n">
        <v>582</v>
      </c>
      <c r="B587" s="249" t="n"/>
      <c r="C587" s="249" t="n"/>
      <c r="D587" s="249" t="n"/>
      <c r="E587" s="248" t="n"/>
      <c r="F587" s="248" t="n"/>
      <c r="G587" s="248" t="n"/>
      <c r="H587" s="250">
        <f>IF(AND(E587&lt;&gt;"",G587&lt;&gt;""),E587*G587,"")</f>
      </c>
      <c r="I587" s="249" t="n"/>
      <c r="J587" s="249" t="n"/>
    </row>
    <row r="588" ht="15" customHeight="1" s="71">
      <c r="A588" s="244" t="n">
        <v>583</v>
      </c>
      <c r="B588" s="245" t="n"/>
      <c r="C588" s="245" t="n"/>
      <c r="D588" s="245" t="n"/>
      <c r="E588" s="244" t="n"/>
      <c r="F588" s="244" t="n"/>
      <c r="G588" s="244" t="n"/>
      <c r="H588" s="246">
        <f>IF(AND(E588&lt;&gt;"",G588&lt;&gt;""),E588*G588,"")</f>
      </c>
      <c r="I588" s="245" t="n"/>
      <c r="J588" s="245" t="n"/>
    </row>
    <row r="589" ht="15" customHeight="1" s="71">
      <c r="A589" s="248" t="n">
        <v>584</v>
      </c>
      <c r="B589" s="249" t="n"/>
      <c r="C589" s="249" t="n"/>
      <c r="D589" s="249" t="n"/>
      <c r="E589" s="248" t="n"/>
      <c r="F589" s="248" t="n"/>
      <c r="G589" s="248" t="n"/>
      <c r="H589" s="250">
        <f>IF(AND(E589&lt;&gt;"",G589&lt;&gt;""),E589*G589,"")</f>
      </c>
      <c r="I589" s="249" t="n"/>
      <c r="J589" s="249" t="n"/>
    </row>
    <row r="590" ht="15" customHeight="1" s="71">
      <c r="A590" s="244" t="n">
        <v>585</v>
      </c>
      <c r="B590" s="245" t="n"/>
      <c r="C590" s="245" t="n"/>
      <c r="D590" s="245" t="n"/>
      <c r="E590" s="244" t="n"/>
      <c r="F590" s="244" t="n"/>
      <c r="G590" s="244" t="n"/>
      <c r="H590" s="246">
        <f>IF(AND(E590&lt;&gt;"",G590&lt;&gt;""),E590*G590,"")</f>
      </c>
      <c r="I590" s="245" t="n"/>
      <c r="J590" s="245" t="n"/>
    </row>
    <row r="591" ht="15" customHeight="1" s="71">
      <c r="A591" s="248" t="n">
        <v>586</v>
      </c>
      <c r="B591" s="249" t="n"/>
      <c r="C591" s="249" t="n"/>
      <c r="D591" s="249" t="n"/>
      <c r="E591" s="248" t="n"/>
      <c r="F591" s="248" t="n"/>
      <c r="G591" s="248" t="n"/>
      <c r="H591" s="250">
        <f>IF(AND(E591&lt;&gt;"",G591&lt;&gt;""),E591*G591,"")</f>
      </c>
      <c r="I591" s="249" t="n"/>
      <c r="J591" s="249" t="n"/>
    </row>
    <row r="592" ht="15" customHeight="1" s="71">
      <c r="A592" s="244" t="n">
        <v>587</v>
      </c>
      <c r="B592" s="245" t="n"/>
      <c r="C592" s="245" t="n"/>
      <c r="D592" s="245" t="n"/>
      <c r="E592" s="244" t="n"/>
      <c r="F592" s="244" t="n"/>
      <c r="G592" s="244" t="n"/>
      <c r="H592" s="246">
        <f>IF(AND(E592&lt;&gt;"",G592&lt;&gt;""),E592*G592,"")</f>
      </c>
      <c r="I592" s="245" t="n"/>
      <c r="J592" s="245" t="n"/>
    </row>
    <row r="593" ht="15" customHeight="1" s="71">
      <c r="A593" s="248" t="n">
        <v>588</v>
      </c>
      <c r="B593" s="249" t="n"/>
      <c r="C593" s="249" t="n"/>
      <c r="D593" s="249" t="n"/>
      <c r="E593" s="248" t="n"/>
      <c r="F593" s="248" t="n"/>
      <c r="G593" s="248" t="n"/>
      <c r="H593" s="250">
        <f>IF(AND(E593&lt;&gt;"",G593&lt;&gt;""),E593*G593,"")</f>
      </c>
      <c r="I593" s="249" t="n"/>
      <c r="J593" s="249" t="n"/>
    </row>
    <row r="594" ht="15" customHeight="1" s="71">
      <c r="A594" s="244" t="n">
        <v>589</v>
      </c>
      <c r="B594" s="245" t="n"/>
      <c r="C594" s="245" t="n"/>
      <c r="D594" s="245" t="n"/>
      <c r="E594" s="244" t="n"/>
      <c r="F594" s="244" t="n"/>
      <c r="G594" s="244" t="n"/>
      <c r="H594" s="246">
        <f>IF(AND(E594&lt;&gt;"",G594&lt;&gt;""),E594*G594,"")</f>
      </c>
      <c r="I594" s="245" t="n"/>
      <c r="J594" s="245" t="n"/>
    </row>
    <row r="595" ht="15" customHeight="1" s="71">
      <c r="A595" s="248" t="n">
        <v>590</v>
      </c>
      <c r="B595" s="249" t="n"/>
      <c r="C595" s="249" t="n"/>
      <c r="D595" s="249" t="n"/>
      <c r="E595" s="248" t="n"/>
      <c r="F595" s="248" t="n"/>
      <c r="G595" s="248" t="n"/>
      <c r="H595" s="250">
        <f>IF(AND(E595&lt;&gt;"",G595&lt;&gt;""),E595*G595,"")</f>
      </c>
      <c r="I595" s="249" t="n"/>
      <c r="J595" s="249" t="n"/>
    </row>
    <row r="596" ht="15" customHeight="1" s="71">
      <c r="A596" s="244" t="n">
        <v>591</v>
      </c>
      <c r="B596" s="245" t="n"/>
      <c r="C596" s="245" t="n"/>
      <c r="D596" s="245" t="n"/>
      <c r="E596" s="244" t="n"/>
      <c r="F596" s="244" t="n"/>
      <c r="G596" s="244" t="n"/>
      <c r="H596" s="246">
        <f>IF(AND(E596&lt;&gt;"",G596&lt;&gt;""),E596*G596,"")</f>
      </c>
      <c r="I596" s="245" t="n"/>
      <c r="J596" s="245" t="n"/>
    </row>
    <row r="597" ht="15" customHeight="1" s="71">
      <c r="A597" s="248" t="n">
        <v>592</v>
      </c>
      <c r="B597" s="249" t="n"/>
      <c r="C597" s="249" t="n"/>
      <c r="D597" s="249" t="n"/>
      <c r="E597" s="248" t="n"/>
      <c r="F597" s="248" t="n"/>
      <c r="G597" s="248" t="n"/>
      <c r="H597" s="250">
        <f>IF(AND(E597&lt;&gt;"",G597&lt;&gt;""),E597*G597,"")</f>
      </c>
      <c r="I597" s="249" t="n"/>
      <c r="J597" s="249" t="n"/>
    </row>
    <row r="598" ht="15" customHeight="1" s="71">
      <c r="A598" s="244" t="n">
        <v>593</v>
      </c>
      <c r="B598" s="245" t="n"/>
      <c r="C598" s="245" t="n"/>
      <c r="D598" s="245" t="n"/>
      <c r="E598" s="244" t="n"/>
      <c r="F598" s="244" t="n"/>
      <c r="G598" s="244" t="n"/>
      <c r="H598" s="246">
        <f>IF(AND(E598&lt;&gt;"",G598&lt;&gt;""),E598*G598,"")</f>
      </c>
      <c r="I598" s="245" t="n"/>
      <c r="J598" s="245" t="n"/>
    </row>
    <row r="599" ht="15" customHeight="1" s="71">
      <c r="A599" s="248" t="n">
        <v>594</v>
      </c>
      <c r="B599" s="249" t="n"/>
      <c r="C599" s="249" t="n"/>
      <c r="D599" s="249" t="n"/>
      <c r="E599" s="248" t="n"/>
      <c r="F599" s="248" t="n"/>
      <c r="G599" s="248" t="n"/>
      <c r="H599" s="250">
        <f>IF(AND(E599&lt;&gt;"",G599&lt;&gt;""),E599*G599,"")</f>
      </c>
      <c r="I599" s="249" t="n"/>
      <c r="J599" s="249" t="n"/>
    </row>
    <row r="600" ht="15" customHeight="1" s="71">
      <c r="A600" s="244" t="n">
        <v>595</v>
      </c>
      <c r="B600" s="245" t="n"/>
      <c r="C600" s="245" t="n"/>
      <c r="D600" s="245" t="n"/>
      <c r="E600" s="244" t="n"/>
      <c r="F600" s="244" t="n"/>
      <c r="G600" s="244" t="n"/>
      <c r="H600" s="246">
        <f>IF(AND(E600&lt;&gt;"",G600&lt;&gt;""),E600*G600,"")</f>
      </c>
      <c r="I600" s="245" t="n"/>
      <c r="J600" s="245" t="n"/>
    </row>
    <row r="601" ht="15" customHeight="1" s="71">
      <c r="A601" s="248" t="n">
        <v>596</v>
      </c>
      <c r="B601" s="249" t="n"/>
      <c r="C601" s="249" t="n"/>
      <c r="D601" s="249" t="n"/>
      <c r="E601" s="248" t="n"/>
      <c r="F601" s="248" t="n"/>
      <c r="G601" s="248" t="n"/>
      <c r="H601" s="250">
        <f>IF(AND(E601&lt;&gt;"",G601&lt;&gt;""),E601*G601,"")</f>
      </c>
      <c r="I601" s="249" t="n"/>
      <c r="J601" s="249" t="n"/>
    </row>
    <row r="602" ht="15" customHeight="1" s="71">
      <c r="A602" s="244" t="n">
        <v>597</v>
      </c>
      <c r="B602" s="245" t="n"/>
      <c r="C602" s="245" t="n"/>
      <c r="D602" s="245" t="n"/>
      <c r="E602" s="244" t="n"/>
      <c r="F602" s="244" t="n"/>
      <c r="G602" s="244" t="n"/>
      <c r="H602" s="246">
        <f>IF(AND(E602&lt;&gt;"",G602&lt;&gt;""),E602*G602,"")</f>
      </c>
      <c r="I602" s="245" t="n"/>
      <c r="J602" s="245" t="n"/>
    </row>
    <row r="603" ht="15" customHeight="1" s="71">
      <c r="A603" s="248" t="n">
        <v>598</v>
      </c>
      <c r="B603" s="249" t="n"/>
      <c r="C603" s="249" t="n"/>
      <c r="D603" s="249" t="n"/>
      <c r="E603" s="248" t="n"/>
      <c r="F603" s="248" t="n"/>
      <c r="G603" s="248" t="n"/>
      <c r="H603" s="250">
        <f>IF(AND(E603&lt;&gt;"",G603&lt;&gt;""),E603*G603,"")</f>
      </c>
      <c r="I603" s="249" t="n"/>
      <c r="J603" s="249" t="n"/>
    </row>
    <row r="604" ht="15" customHeight="1" s="71">
      <c r="A604" s="244" t="n">
        <v>599</v>
      </c>
      <c r="B604" s="245" t="n"/>
      <c r="C604" s="245" t="n"/>
      <c r="D604" s="245" t="n"/>
      <c r="E604" s="244" t="n"/>
      <c r="F604" s="244" t="n"/>
      <c r="G604" s="244" t="n"/>
      <c r="H604" s="246">
        <f>IF(AND(E604&lt;&gt;"",G604&lt;&gt;""),E604*G604,"")</f>
      </c>
      <c r="I604" s="245" t="n"/>
      <c r="J604" s="245" t="n"/>
    </row>
    <row r="605" ht="15" customHeight="1" s="71">
      <c r="A605" s="248" t="n">
        <v>600</v>
      </c>
      <c r="B605" s="249" t="n"/>
      <c r="C605" s="249" t="n"/>
      <c r="D605" s="249" t="n"/>
      <c r="E605" s="248" t="n"/>
      <c r="F605" s="248" t="n"/>
      <c r="G605" s="248" t="n"/>
      <c r="H605" s="250">
        <f>IF(AND(E605&lt;&gt;"",G605&lt;&gt;""),E605*G605,"")</f>
      </c>
      <c r="I605" s="249" t="n"/>
      <c r="J605" s="249" t="n"/>
    </row>
    <row r="606" ht="15" customHeight="1" s="71">
      <c r="A606" s="244" t="n">
        <v>601</v>
      </c>
      <c r="B606" s="245" t="n"/>
      <c r="C606" s="245" t="n"/>
      <c r="D606" s="245" t="n"/>
      <c r="E606" s="244" t="n"/>
      <c r="F606" s="244" t="n"/>
      <c r="G606" s="244" t="n"/>
      <c r="H606" s="246">
        <f>IF(AND(E606&lt;&gt;"",G606&lt;&gt;""),E606*G606,"")</f>
      </c>
      <c r="I606" s="245" t="n"/>
      <c r="J606" s="245" t="n"/>
    </row>
    <row r="607" ht="15" customHeight="1" s="71">
      <c r="A607" s="248" t="n">
        <v>602</v>
      </c>
      <c r="B607" s="249" t="n"/>
      <c r="C607" s="249" t="n"/>
      <c r="D607" s="249" t="n"/>
      <c r="E607" s="248" t="n"/>
      <c r="F607" s="248" t="n"/>
      <c r="G607" s="248" t="n"/>
      <c r="H607" s="250">
        <f>IF(AND(E607&lt;&gt;"",G607&lt;&gt;""),E607*G607,"")</f>
      </c>
      <c r="I607" s="249" t="n"/>
      <c r="J607" s="249" t="n"/>
    </row>
    <row r="608" ht="15" customHeight="1" s="71">
      <c r="A608" s="244" t="n">
        <v>603</v>
      </c>
      <c r="B608" s="245" t="n"/>
      <c r="C608" s="245" t="n"/>
      <c r="D608" s="245" t="n"/>
      <c r="E608" s="244" t="n"/>
      <c r="F608" s="244" t="n"/>
      <c r="G608" s="244" t="n"/>
      <c r="H608" s="246">
        <f>IF(AND(E608&lt;&gt;"",G608&lt;&gt;""),E608*G608,"")</f>
      </c>
      <c r="I608" s="245" t="n"/>
      <c r="J608" s="245" t="n"/>
    </row>
    <row r="609" ht="15" customHeight="1" s="71">
      <c r="A609" s="248" t="n">
        <v>604</v>
      </c>
      <c r="B609" s="249" t="n"/>
      <c r="C609" s="249" t="n"/>
      <c r="D609" s="249" t="n"/>
      <c r="E609" s="248" t="n"/>
      <c r="F609" s="248" t="n"/>
      <c r="G609" s="248" t="n"/>
      <c r="H609" s="250">
        <f>IF(AND(E609&lt;&gt;"",G609&lt;&gt;""),E609*G609,"")</f>
      </c>
      <c r="I609" s="249" t="n"/>
      <c r="J609" s="249" t="n"/>
    </row>
    <row r="610" ht="15" customHeight="1" s="71">
      <c r="A610" s="244" t="n">
        <v>605</v>
      </c>
      <c r="B610" s="245" t="n"/>
      <c r="C610" s="245" t="n"/>
      <c r="D610" s="245" t="n"/>
      <c r="E610" s="244" t="n"/>
      <c r="F610" s="244" t="n"/>
      <c r="G610" s="244" t="n"/>
      <c r="H610" s="246">
        <f>IF(AND(E610&lt;&gt;"",G610&lt;&gt;""),E610*G610,"")</f>
      </c>
      <c r="I610" s="245" t="n"/>
      <c r="J610" s="245" t="n"/>
    </row>
    <row r="611" ht="15" customHeight="1" s="71">
      <c r="A611" s="248" t="n">
        <v>606</v>
      </c>
      <c r="B611" s="249" t="n"/>
      <c r="C611" s="249" t="n"/>
      <c r="D611" s="249" t="n"/>
      <c r="E611" s="248" t="n"/>
      <c r="F611" s="248" t="n"/>
      <c r="G611" s="248" t="n"/>
      <c r="H611" s="250">
        <f>IF(AND(E611&lt;&gt;"",G611&lt;&gt;""),E611*G611,"")</f>
      </c>
      <c r="I611" s="249" t="n"/>
      <c r="J611" s="249" t="n"/>
    </row>
    <row r="612" ht="15" customHeight="1" s="71">
      <c r="A612" s="244" t="n">
        <v>607</v>
      </c>
      <c r="B612" s="245" t="n"/>
      <c r="C612" s="245" t="n"/>
      <c r="D612" s="245" t="n"/>
      <c r="E612" s="244" t="n"/>
      <c r="F612" s="244" t="n"/>
      <c r="G612" s="244" t="n"/>
      <c r="H612" s="246">
        <f>IF(AND(E612&lt;&gt;"",G612&lt;&gt;""),E612*G612,"")</f>
      </c>
      <c r="I612" s="245" t="n"/>
      <c r="J612" s="245" t="n"/>
    </row>
    <row r="613" ht="15" customHeight="1" s="71">
      <c r="A613" s="248" t="n">
        <v>608</v>
      </c>
      <c r="B613" s="249" t="n"/>
      <c r="C613" s="249" t="n"/>
      <c r="D613" s="249" t="n"/>
      <c r="E613" s="248" t="n"/>
      <c r="F613" s="248" t="n"/>
      <c r="G613" s="248" t="n"/>
      <c r="H613" s="250">
        <f>IF(AND(E613&lt;&gt;"",G613&lt;&gt;""),E613*G613,"")</f>
      </c>
      <c r="I613" s="249" t="n"/>
      <c r="J613" s="249" t="n"/>
    </row>
    <row r="614" ht="15" customHeight="1" s="71">
      <c r="A614" s="244" t="n">
        <v>609</v>
      </c>
      <c r="B614" s="245" t="n"/>
      <c r="C614" s="245" t="n"/>
      <c r="D614" s="245" t="n"/>
      <c r="E614" s="244" t="n"/>
      <c r="F614" s="244" t="n"/>
      <c r="G614" s="244" t="n"/>
      <c r="H614" s="246">
        <f>IF(AND(E614&lt;&gt;"",G614&lt;&gt;""),E614*G614,"")</f>
      </c>
      <c r="I614" s="245" t="n"/>
      <c r="J614" s="245" t="n"/>
    </row>
    <row r="615" ht="15" customHeight="1" s="71">
      <c r="A615" s="248" t="n">
        <v>610</v>
      </c>
      <c r="B615" s="249" t="n"/>
      <c r="C615" s="249" t="n"/>
      <c r="D615" s="249" t="n"/>
      <c r="E615" s="248" t="n"/>
      <c r="F615" s="248" t="n"/>
      <c r="G615" s="248" t="n"/>
      <c r="H615" s="250">
        <f>IF(AND(E615&lt;&gt;"",G615&lt;&gt;""),E615*G615,"")</f>
      </c>
      <c r="I615" s="249" t="n"/>
      <c r="J615" s="249" t="n"/>
    </row>
    <row r="616" ht="15" customHeight="1" s="71">
      <c r="A616" s="244" t="n">
        <v>611</v>
      </c>
      <c r="B616" s="245" t="n"/>
      <c r="C616" s="245" t="n"/>
      <c r="D616" s="245" t="n"/>
      <c r="E616" s="244" t="n"/>
      <c r="F616" s="244" t="n"/>
      <c r="G616" s="244" t="n"/>
      <c r="H616" s="246">
        <f>IF(AND(E616&lt;&gt;"",G616&lt;&gt;""),E616*G616,"")</f>
      </c>
      <c r="I616" s="245" t="n"/>
      <c r="J616" s="245" t="n"/>
    </row>
    <row r="617" ht="15" customHeight="1" s="71">
      <c r="A617" s="248" t="n">
        <v>612</v>
      </c>
      <c r="B617" s="249" t="n"/>
      <c r="C617" s="249" t="n"/>
      <c r="D617" s="249" t="n"/>
      <c r="E617" s="248" t="n"/>
      <c r="F617" s="248" t="n"/>
      <c r="G617" s="248" t="n"/>
      <c r="H617" s="250">
        <f>IF(AND(E617&lt;&gt;"",G617&lt;&gt;""),E617*G617,"")</f>
      </c>
      <c r="I617" s="249" t="n"/>
      <c r="J617" s="249" t="n"/>
    </row>
    <row r="618" ht="15" customHeight="1" s="71">
      <c r="A618" s="244" t="n">
        <v>613</v>
      </c>
      <c r="B618" s="245" t="n"/>
      <c r="C618" s="245" t="n"/>
      <c r="D618" s="245" t="n"/>
      <c r="E618" s="244" t="n"/>
      <c r="F618" s="244" t="n"/>
      <c r="G618" s="244" t="n"/>
      <c r="H618" s="246">
        <f>IF(AND(E618&lt;&gt;"",G618&lt;&gt;""),E618*G618,"")</f>
      </c>
      <c r="I618" s="245" t="n"/>
      <c r="J618" s="245" t="n"/>
    </row>
    <row r="619" ht="15" customHeight="1" s="71">
      <c r="A619" s="248" t="n">
        <v>614</v>
      </c>
      <c r="B619" s="249" t="n"/>
      <c r="C619" s="249" t="n"/>
      <c r="D619" s="249" t="n"/>
      <c r="E619" s="248" t="n"/>
      <c r="F619" s="248" t="n"/>
      <c r="G619" s="248" t="n"/>
      <c r="H619" s="250">
        <f>IF(AND(E619&lt;&gt;"",G619&lt;&gt;""),E619*G619,"")</f>
      </c>
      <c r="I619" s="249" t="n"/>
      <c r="J619" s="249" t="n"/>
    </row>
    <row r="620" ht="15" customHeight="1" s="71">
      <c r="A620" s="244" t="n">
        <v>615</v>
      </c>
      <c r="B620" s="245" t="n"/>
      <c r="C620" s="245" t="n"/>
      <c r="D620" s="245" t="n"/>
      <c r="E620" s="244" t="n"/>
      <c r="F620" s="244" t="n"/>
      <c r="G620" s="244" t="n"/>
      <c r="H620" s="246">
        <f>IF(AND(E620&lt;&gt;"",G620&lt;&gt;""),E620*G620,"")</f>
      </c>
      <c r="I620" s="245" t="n"/>
      <c r="J620" s="245" t="n"/>
    </row>
    <row r="621" ht="15" customHeight="1" s="71">
      <c r="A621" s="248" t="n">
        <v>616</v>
      </c>
      <c r="B621" s="249" t="n"/>
      <c r="C621" s="249" t="n"/>
      <c r="D621" s="249" t="n"/>
      <c r="E621" s="248" t="n"/>
      <c r="F621" s="248" t="n"/>
      <c r="G621" s="248" t="n"/>
      <c r="H621" s="250">
        <f>IF(AND(E621&lt;&gt;"",G621&lt;&gt;""),E621*G621,"")</f>
      </c>
      <c r="I621" s="249" t="n"/>
      <c r="J621" s="249" t="n"/>
    </row>
    <row r="622" ht="15" customHeight="1" s="71">
      <c r="A622" s="244" t="n">
        <v>617</v>
      </c>
      <c r="B622" s="245" t="n"/>
      <c r="C622" s="245" t="n"/>
      <c r="D622" s="245" t="n"/>
      <c r="E622" s="244" t="n"/>
      <c r="F622" s="244" t="n"/>
      <c r="G622" s="244" t="n"/>
      <c r="H622" s="246">
        <f>IF(AND(E622&lt;&gt;"",G622&lt;&gt;""),E622*G622,"")</f>
      </c>
      <c r="I622" s="245" t="n"/>
      <c r="J622" s="245" t="n"/>
    </row>
    <row r="623" ht="15" customHeight="1" s="71">
      <c r="A623" s="248" t="n">
        <v>618</v>
      </c>
      <c r="B623" s="249" t="n"/>
      <c r="C623" s="249" t="n"/>
      <c r="D623" s="249" t="n"/>
      <c r="E623" s="248" t="n"/>
      <c r="F623" s="248" t="n"/>
      <c r="G623" s="248" t="n"/>
      <c r="H623" s="250">
        <f>IF(AND(E623&lt;&gt;"",G623&lt;&gt;""),E623*G623,"")</f>
      </c>
      <c r="I623" s="249" t="n"/>
      <c r="J623" s="249" t="n"/>
    </row>
    <row r="624" ht="15" customHeight="1" s="71">
      <c r="A624" s="244" t="n">
        <v>619</v>
      </c>
      <c r="B624" s="245" t="n"/>
      <c r="C624" s="245" t="n"/>
      <c r="D624" s="245" t="n"/>
      <c r="E624" s="244" t="n"/>
      <c r="F624" s="244" t="n"/>
      <c r="G624" s="244" t="n"/>
      <c r="H624" s="246">
        <f>IF(AND(E624&lt;&gt;"",G624&lt;&gt;""),E624*G624,"")</f>
      </c>
      <c r="I624" s="245" t="n"/>
      <c r="J624" s="245" t="n"/>
    </row>
    <row r="625" ht="15" customHeight="1" s="71">
      <c r="A625" s="248" t="n">
        <v>620</v>
      </c>
      <c r="B625" s="249" t="n"/>
      <c r="C625" s="249" t="n"/>
      <c r="D625" s="249" t="n"/>
      <c r="E625" s="248" t="n"/>
      <c r="F625" s="248" t="n"/>
      <c r="G625" s="248" t="n"/>
      <c r="H625" s="250">
        <f>IF(AND(E625&lt;&gt;"",G625&lt;&gt;""),E625*G625,"")</f>
      </c>
      <c r="I625" s="249" t="n"/>
      <c r="J625" s="249" t="n"/>
    </row>
    <row r="626" ht="15" customHeight="1" s="71">
      <c r="A626" s="244" t="n">
        <v>621</v>
      </c>
      <c r="B626" s="245" t="n"/>
      <c r="C626" s="245" t="n"/>
      <c r="D626" s="245" t="n"/>
      <c r="E626" s="244" t="n"/>
      <c r="F626" s="244" t="n"/>
      <c r="G626" s="244" t="n"/>
      <c r="H626" s="246">
        <f>IF(AND(E626&lt;&gt;"",G626&lt;&gt;""),E626*G626,"")</f>
      </c>
      <c r="I626" s="245" t="n"/>
      <c r="J626" s="245" t="n"/>
    </row>
    <row r="627" ht="15" customHeight="1" s="71">
      <c r="A627" s="248" t="n">
        <v>622</v>
      </c>
      <c r="B627" s="249" t="n"/>
      <c r="C627" s="249" t="n"/>
      <c r="D627" s="249" t="n"/>
      <c r="E627" s="248" t="n"/>
      <c r="F627" s="248" t="n"/>
      <c r="G627" s="248" t="n"/>
      <c r="H627" s="250">
        <f>IF(AND(E627&lt;&gt;"",G627&lt;&gt;""),E627*G627,"")</f>
      </c>
      <c r="I627" s="249" t="n"/>
      <c r="J627" s="249" t="n"/>
    </row>
    <row r="628" ht="15" customHeight="1" s="71">
      <c r="A628" s="244" t="n">
        <v>623</v>
      </c>
      <c r="B628" s="245" t="n"/>
      <c r="C628" s="245" t="n"/>
      <c r="D628" s="245" t="n"/>
      <c r="E628" s="244" t="n"/>
      <c r="F628" s="244" t="n"/>
      <c r="G628" s="244" t="n"/>
      <c r="H628" s="246">
        <f>IF(AND(E628&lt;&gt;"",G628&lt;&gt;""),E628*G628,"")</f>
      </c>
      <c r="I628" s="245" t="n"/>
      <c r="J628" s="245" t="n"/>
    </row>
    <row r="629" ht="15" customHeight="1" s="71">
      <c r="A629" s="248" t="n">
        <v>624</v>
      </c>
      <c r="B629" s="249" t="n"/>
      <c r="C629" s="249" t="n"/>
      <c r="D629" s="249" t="n"/>
      <c r="E629" s="248" t="n"/>
      <c r="F629" s="248" t="n"/>
      <c r="G629" s="248" t="n"/>
      <c r="H629" s="250">
        <f>IF(AND(E629&lt;&gt;"",G629&lt;&gt;""),E629*G629,"")</f>
      </c>
      <c r="I629" s="249" t="n"/>
      <c r="J629" s="249" t="n"/>
    </row>
    <row r="630" ht="15" customHeight="1" s="71">
      <c r="A630" s="244" t="n">
        <v>625</v>
      </c>
      <c r="B630" s="245" t="n"/>
      <c r="C630" s="245" t="n"/>
      <c r="D630" s="245" t="n"/>
      <c r="E630" s="244" t="n"/>
      <c r="F630" s="244" t="n"/>
      <c r="G630" s="244" t="n"/>
      <c r="H630" s="246">
        <f>IF(AND(E630&lt;&gt;"",G630&lt;&gt;""),E630*G630,"")</f>
      </c>
      <c r="I630" s="245" t="n"/>
      <c r="J630" s="245" t="n"/>
    </row>
    <row r="631" ht="15" customHeight="1" s="71">
      <c r="A631" s="248" t="n">
        <v>626</v>
      </c>
      <c r="B631" s="249" t="n"/>
      <c r="C631" s="249" t="n"/>
      <c r="D631" s="249" t="n"/>
      <c r="E631" s="248" t="n"/>
      <c r="F631" s="248" t="n"/>
      <c r="G631" s="248" t="n"/>
      <c r="H631" s="250">
        <f>IF(AND(E631&lt;&gt;"",G631&lt;&gt;""),E631*G631,"")</f>
      </c>
      <c r="I631" s="249" t="n"/>
      <c r="J631" s="249" t="n"/>
    </row>
    <row r="632" ht="15" customHeight="1" s="71">
      <c r="A632" s="244" t="n">
        <v>627</v>
      </c>
      <c r="B632" s="245" t="n"/>
      <c r="C632" s="245" t="n"/>
      <c r="D632" s="245" t="n"/>
      <c r="E632" s="244" t="n"/>
      <c r="F632" s="244" t="n"/>
      <c r="G632" s="244" t="n"/>
      <c r="H632" s="246">
        <f>IF(AND(E632&lt;&gt;"",G632&lt;&gt;""),E632*G632,"")</f>
      </c>
      <c r="I632" s="245" t="n"/>
      <c r="J632" s="245" t="n"/>
    </row>
    <row r="633" ht="15" customHeight="1" s="71">
      <c r="A633" s="248" t="n">
        <v>628</v>
      </c>
      <c r="B633" s="249" t="n"/>
      <c r="C633" s="249" t="n"/>
      <c r="D633" s="249" t="n"/>
      <c r="E633" s="248" t="n"/>
      <c r="F633" s="248" t="n"/>
      <c r="G633" s="248" t="n"/>
      <c r="H633" s="250">
        <f>IF(AND(E633&lt;&gt;"",G633&lt;&gt;""),E633*G633,"")</f>
      </c>
      <c r="I633" s="249" t="n"/>
      <c r="J633" s="249" t="n"/>
    </row>
    <row r="634" ht="15" customHeight="1" s="71">
      <c r="A634" s="244" t="n">
        <v>629</v>
      </c>
      <c r="B634" s="245" t="n"/>
      <c r="C634" s="245" t="n"/>
      <c r="D634" s="245" t="n"/>
      <c r="E634" s="244" t="n"/>
      <c r="F634" s="244" t="n"/>
      <c r="G634" s="244" t="n"/>
      <c r="H634" s="246">
        <f>IF(AND(E634&lt;&gt;"",G634&lt;&gt;""),E634*G634,"")</f>
      </c>
      <c r="I634" s="245" t="n"/>
      <c r="J634" s="245" t="n"/>
    </row>
    <row r="635" ht="15" customHeight="1" s="71">
      <c r="A635" s="248" t="n">
        <v>630</v>
      </c>
      <c r="B635" s="249" t="n"/>
      <c r="C635" s="249" t="n"/>
      <c r="D635" s="249" t="n"/>
      <c r="E635" s="248" t="n"/>
      <c r="F635" s="248" t="n"/>
      <c r="G635" s="248" t="n"/>
      <c r="H635" s="250">
        <f>IF(AND(E635&lt;&gt;"",G635&lt;&gt;""),E635*G635,"")</f>
      </c>
      <c r="I635" s="249" t="n"/>
      <c r="J635" s="249" t="n"/>
    </row>
    <row r="636" ht="15" customHeight="1" s="71">
      <c r="A636" s="244" t="n">
        <v>631</v>
      </c>
      <c r="B636" s="245" t="n"/>
      <c r="C636" s="245" t="n"/>
      <c r="D636" s="245" t="n"/>
      <c r="E636" s="244" t="n"/>
      <c r="F636" s="244" t="n"/>
      <c r="G636" s="244" t="n"/>
      <c r="H636" s="246">
        <f>IF(AND(E636&lt;&gt;"",G636&lt;&gt;""),E636*G636,"")</f>
      </c>
      <c r="I636" s="245" t="n"/>
      <c r="J636" s="245" t="n"/>
    </row>
    <row r="637" ht="15" customHeight="1" s="71">
      <c r="A637" s="248" t="n">
        <v>632</v>
      </c>
      <c r="B637" s="249" t="n"/>
      <c r="C637" s="249" t="n"/>
      <c r="D637" s="249" t="n"/>
      <c r="E637" s="248" t="n"/>
      <c r="F637" s="248" t="n"/>
      <c r="G637" s="248" t="n"/>
      <c r="H637" s="250">
        <f>IF(AND(E637&lt;&gt;"",G637&lt;&gt;""),E637*G637,"")</f>
      </c>
      <c r="I637" s="249" t="n"/>
      <c r="J637" s="249" t="n"/>
    </row>
    <row r="638" ht="15" customHeight="1" s="71">
      <c r="A638" s="244" t="n">
        <v>633</v>
      </c>
      <c r="B638" s="245" t="n"/>
      <c r="C638" s="245" t="n"/>
      <c r="D638" s="245" t="n"/>
      <c r="E638" s="244" t="n"/>
      <c r="F638" s="244" t="n"/>
      <c r="G638" s="244" t="n"/>
      <c r="H638" s="246">
        <f>IF(AND(E638&lt;&gt;"",G638&lt;&gt;""),E638*G638,"")</f>
      </c>
      <c r="I638" s="245" t="n"/>
      <c r="J638" s="245" t="n"/>
    </row>
    <row r="639" ht="15" customHeight="1" s="71">
      <c r="A639" s="248" t="n">
        <v>634</v>
      </c>
      <c r="B639" s="249" t="n"/>
      <c r="C639" s="249" t="n"/>
      <c r="D639" s="249" t="n"/>
      <c r="E639" s="248" t="n"/>
      <c r="F639" s="248" t="n"/>
      <c r="G639" s="248" t="n"/>
      <c r="H639" s="250">
        <f>IF(AND(E639&lt;&gt;"",G639&lt;&gt;""),E639*G639,"")</f>
      </c>
      <c r="I639" s="249" t="n"/>
      <c r="J639" s="249" t="n"/>
    </row>
    <row r="640" ht="15" customHeight="1" s="71">
      <c r="A640" s="244" t="n">
        <v>635</v>
      </c>
      <c r="B640" s="245" t="n"/>
      <c r="C640" s="245" t="n"/>
      <c r="D640" s="245" t="n"/>
      <c r="E640" s="244" t="n"/>
      <c r="F640" s="244" t="n"/>
      <c r="G640" s="244" t="n"/>
      <c r="H640" s="246">
        <f>IF(AND(E640&lt;&gt;"",G640&lt;&gt;""),E640*G640,"")</f>
      </c>
      <c r="I640" s="245" t="n"/>
      <c r="J640" s="245" t="n"/>
    </row>
    <row r="641" ht="15" customHeight="1" s="71">
      <c r="A641" s="248" t="n">
        <v>636</v>
      </c>
      <c r="B641" s="249" t="n"/>
      <c r="C641" s="249" t="n"/>
      <c r="D641" s="249" t="n"/>
      <c r="E641" s="248" t="n"/>
      <c r="F641" s="248" t="n"/>
      <c r="G641" s="248" t="n"/>
      <c r="H641" s="250">
        <f>IF(AND(E641&lt;&gt;"",G641&lt;&gt;""),E641*G641,"")</f>
      </c>
      <c r="I641" s="249" t="n"/>
      <c r="J641" s="249" t="n"/>
    </row>
    <row r="642" ht="15" customHeight="1" s="71">
      <c r="A642" s="244" t="n">
        <v>637</v>
      </c>
      <c r="B642" s="245" t="n"/>
      <c r="C642" s="245" t="n"/>
      <c r="D642" s="245" t="n"/>
      <c r="E642" s="244" t="n"/>
      <c r="F642" s="244" t="n"/>
      <c r="G642" s="244" t="n"/>
      <c r="H642" s="246">
        <f>IF(AND(E642&lt;&gt;"",G642&lt;&gt;""),E642*G642,"")</f>
      </c>
      <c r="I642" s="245" t="n"/>
      <c r="J642" s="245" t="n"/>
    </row>
    <row r="643" ht="15" customHeight="1" s="71">
      <c r="A643" s="248" t="n">
        <v>638</v>
      </c>
      <c r="B643" s="249" t="n"/>
      <c r="C643" s="249" t="n"/>
      <c r="D643" s="249" t="n"/>
      <c r="E643" s="248" t="n"/>
      <c r="F643" s="248" t="n"/>
      <c r="G643" s="248" t="n"/>
      <c r="H643" s="250">
        <f>IF(AND(E643&lt;&gt;"",G643&lt;&gt;""),E643*G643,"")</f>
      </c>
      <c r="I643" s="249" t="n"/>
      <c r="J643" s="249" t="n"/>
    </row>
    <row r="644" ht="15" customHeight="1" s="71">
      <c r="A644" s="244" t="n">
        <v>639</v>
      </c>
      <c r="B644" s="245" t="n"/>
      <c r="C644" s="245" t="n"/>
      <c r="D644" s="245" t="n"/>
      <c r="E644" s="244" t="n"/>
      <c r="F644" s="244" t="n"/>
      <c r="G644" s="244" t="n"/>
      <c r="H644" s="246">
        <f>IF(AND(E644&lt;&gt;"",G644&lt;&gt;""),E644*G644,"")</f>
      </c>
      <c r="I644" s="245" t="n"/>
      <c r="J644" s="245" t="n"/>
    </row>
    <row r="645" ht="15" customHeight="1" s="71">
      <c r="A645" s="248" t="n">
        <v>640</v>
      </c>
      <c r="B645" s="249" t="n"/>
      <c r="C645" s="249" t="n"/>
      <c r="D645" s="249" t="n"/>
      <c r="E645" s="248" t="n"/>
      <c r="F645" s="248" t="n"/>
      <c r="G645" s="248" t="n"/>
      <c r="H645" s="250">
        <f>IF(AND(E645&lt;&gt;"",G645&lt;&gt;""),E645*G645,"")</f>
      </c>
      <c r="I645" s="249" t="n"/>
      <c r="J645" s="249" t="n"/>
    </row>
    <row r="646" ht="15" customHeight="1" s="71">
      <c r="A646" s="244" t="n">
        <v>641</v>
      </c>
      <c r="B646" s="245" t="n"/>
      <c r="C646" s="245" t="n"/>
      <c r="D646" s="245" t="n"/>
      <c r="E646" s="244" t="n"/>
      <c r="F646" s="244" t="n"/>
      <c r="G646" s="244" t="n"/>
      <c r="H646" s="246">
        <f>IF(AND(E646&lt;&gt;"",G646&lt;&gt;""),E646*G646,"")</f>
      </c>
      <c r="I646" s="245" t="n"/>
      <c r="J646" s="245" t="n"/>
    </row>
    <row r="647" ht="15" customHeight="1" s="71">
      <c r="A647" s="248" t="n">
        <v>642</v>
      </c>
      <c r="B647" s="249" t="n"/>
      <c r="C647" s="249" t="n"/>
      <c r="D647" s="249" t="n"/>
      <c r="E647" s="248" t="n"/>
      <c r="F647" s="248" t="n"/>
      <c r="G647" s="248" t="n"/>
      <c r="H647" s="250">
        <f>IF(AND(E647&lt;&gt;"",G647&lt;&gt;""),E647*G647,"")</f>
      </c>
      <c r="I647" s="249" t="n"/>
      <c r="J647" s="249" t="n"/>
    </row>
    <row r="648" ht="15" customHeight="1" s="71">
      <c r="A648" s="244" t="n">
        <v>643</v>
      </c>
      <c r="B648" s="245" t="n"/>
      <c r="C648" s="245" t="n"/>
      <c r="D648" s="245" t="n"/>
      <c r="E648" s="244" t="n"/>
      <c r="F648" s="244" t="n"/>
      <c r="G648" s="244" t="n"/>
      <c r="H648" s="246">
        <f>IF(AND(E648&lt;&gt;"",G648&lt;&gt;""),E648*G648,"")</f>
      </c>
      <c r="I648" s="245" t="n"/>
      <c r="J648" s="245" t="n"/>
    </row>
    <row r="649" ht="15" customHeight="1" s="71">
      <c r="A649" s="248" t="n">
        <v>644</v>
      </c>
      <c r="B649" s="249" t="n"/>
      <c r="C649" s="249" t="n"/>
      <c r="D649" s="249" t="n"/>
      <c r="E649" s="248" t="n"/>
      <c r="F649" s="248" t="n"/>
      <c r="G649" s="248" t="n"/>
      <c r="H649" s="250">
        <f>IF(AND(E649&lt;&gt;"",G649&lt;&gt;""),E649*G649,"")</f>
      </c>
      <c r="I649" s="249" t="n"/>
      <c r="J649" s="249" t="n"/>
    </row>
    <row r="650" ht="15" customHeight="1" s="71">
      <c r="A650" s="244" t="n">
        <v>645</v>
      </c>
      <c r="B650" s="245" t="n"/>
      <c r="C650" s="245" t="n"/>
      <c r="D650" s="245" t="n"/>
      <c r="E650" s="244" t="n"/>
      <c r="F650" s="244" t="n"/>
      <c r="G650" s="244" t="n"/>
      <c r="H650" s="246">
        <f>IF(AND(E650&lt;&gt;"",G650&lt;&gt;""),E650*G650,"")</f>
      </c>
      <c r="I650" s="245" t="n"/>
      <c r="J650" s="245" t="n"/>
    </row>
    <row r="651" ht="15" customHeight="1" s="71">
      <c r="A651" s="248" t="n">
        <v>646</v>
      </c>
      <c r="B651" s="249" t="n"/>
      <c r="C651" s="249" t="n"/>
      <c r="D651" s="249" t="n"/>
      <c r="E651" s="248" t="n"/>
      <c r="F651" s="248" t="n"/>
      <c r="G651" s="248" t="n"/>
      <c r="H651" s="250">
        <f>IF(AND(E651&lt;&gt;"",G651&lt;&gt;""),E651*G651,"")</f>
      </c>
      <c r="I651" s="249" t="n"/>
      <c r="J651" s="249" t="n"/>
    </row>
    <row r="652" ht="15" customHeight="1" s="71">
      <c r="A652" s="244" t="n">
        <v>647</v>
      </c>
      <c r="B652" s="245" t="n"/>
      <c r="C652" s="245" t="n"/>
      <c r="D652" s="245" t="n"/>
      <c r="E652" s="244" t="n"/>
      <c r="F652" s="244" t="n"/>
      <c r="G652" s="244" t="n"/>
      <c r="H652" s="246">
        <f>IF(AND(E652&lt;&gt;"",G652&lt;&gt;""),E652*G652,"")</f>
      </c>
      <c r="I652" s="245" t="n"/>
      <c r="J652" s="245" t="n"/>
    </row>
    <row r="653" ht="15" customHeight="1" s="71">
      <c r="A653" s="248" t="n">
        <v>648</v>
      </c>
      <c r="B653" s="249" t="n"/>
      <c r="C653" s="249" t="n"/>
      <c r="D653" s="249" t="n"/>
      <c r="E653" s="248" t="n"/>
      <c r="F653" s="248" t="n"/>
      <c r="G653" s="248" t="n"/>
      <c r="H653" s="250">
        <f>IF(AND(E653&lt;&gt;"",G653&lt;&gt;""),E653*G653,"")</f>
      </c>
      <c r="I653" s="249" t="n"/>
      <c r="J653" s="249" t="n"/>
    </row>
    <row r="654" ht="15" customHeight="1" s="71">
      <c r="A654" s="244" t="n">
        <v>649</v>
      </c>
      <c r="B654" s="245" t="n"/>
      <c r="C654" s="245" t="n"/>
      <c r="D654" s="245" t="n"/>
      <c r="E654" s="244" t="n"/>
      <c r="F654" s="244" t="n"/>
      <c r="G654" s="244" t="n"/>
      <c r="H654" s="246">
        <f>IF(AND(E654&lt;&gt;"",G654&lt;&gt;""),E654*G654,"")</f>
      </c>
      <c r="I654" s="245" t="n"/>
      <c r="J654" s="245" t="n"/>
    </row>
    <row r="655" ht="15" customHeight="1" s="71">
      <c r="A655" s="248" t="n">
        <v>650</v>
      </c>
      <c r="B655" s="249" t="n"/>
      <c r="C655" s="249" t="n"/>
      <c r="D655" s="249" t="n"/>
      <c r="E655" s="248" t="n"/>
      <c r="F655" s="248" t="n"/>
      <c r="G655" s="248" t="n"/>
      <c r="H655" s="250">
        <f>IF(AND(E655&lt;&gt;"",G655&lt;&gt;""),E655*G655,"")</f>
      </c>
      <c r="I655" s="249" t="n"/>
      <c r="J655" s="249" t="n"/>
    </row>
    <row r="656" ht="15" customHeight="1" s="71">
      <c r="A656" s="244" t="n">
        <v>651</v>
      </c>
      <c r="B656" s="245" t="n"/>
      <c r="C656" s="245" t="n"/>
      <c r="D656" s="245" t="n"/>
      <c r="E656" s="244" t="n"/>
      <c r="F656" s="244" t="n"/>
      <c r="G656" s="244" t="n"/>
      <c r="H656" s="246">
        <f>IF(AND(E656&lt;&gt;"",G656&lt;&gt;""),E656*G656,"")</f>
      </c>
      <c r="I656" s="245" t="n"/>
      <c r="J656" s="245" t="n"/>
    </row>
    <row r="657" ht="15" customHeight="1" s="71">
      <c r="A657" s="248" t="n">
        <v>652</v>
      </c>
      <c r="B657" s="249" t="n"/>
      <c r="C657" s="249" t="n"/>
      <c r="D657" s="249" t="n"/>
      <c r="E657" s="248" t="n"/>
      <c r="F657" s="248" t="n"/>
      <c r="G657" s="248" t="n"/>
      <c r="H657" s="250">
        <f>IF(AND(E657&lt;&gt;"",G657&lt;&gt;""),E657*G657,"")</f>
      </c>
      <c r="I657" s="249" t="n"/>
      <c r="J657" s="249" t="n"/>
    </row>
    <row r="658" ht="15" customHeight="1" s="71">
      <c r="A658" s="244" t="n">
        <v>653</v>
      </c>
      <c r="B658" s="245" t="n"/>
      <c r="C658" s="245" t="n"/>
      <c r="D658" s="245" t="n"/>
      <c r="E658" s="244" t="n"/>
      <c r="F658" s="244" t="n"/>
      <c r="G658" s="244" t="n"/>
      <c r="H658" s="246">
        <f>IF(AND(E658&lt;&gt;"",G658&lt;&gt;""),E658*G658,"")</f>
      </c>
      <c r="I658" s="245" t="n"/>
      <c r="J658" s="245" t="n"/>
    </row>
    <row r="659" ht="15" customHeight="1" s="71">
      <c r="A659" s="248" t="n">
        <v>654</v>
      </c>
      <c r="B659" s="249" t="n"/>
      <c r="C659" s="249" t="n"/>
      <c r="D659" s="249" t="n"/>
      <c r="E659" s="248" t="n"/>
      <c r="F659" s="248" t="n"/>
      <c r="G659" s="248" t="n"/>
      <c r="H659" s="250">
        <f>IF(AND(E659&lt;&gt;"",G659&lt;&gt;""),E659*G659,"")</f>
      </c>
      <c r="I659" s="249" t="n"/>
      <c r="J659" s="249" t="n"/>
    </row>
    <row r="660" ht="15" customHeight="1" s="71">
      <c r="A660" s="244" t="n">
        <v>655</v>
      </c>
      <c r="B660" s="245" t="n"/>
      <c r="C660" s="245" t="n"/>
      <c r="D660" s="245" t="n"/>
      <c r="E660" s="244" t="n"/>
      <c r="F660" s="244" t="n"/>
      <c r="G660" s="244" t="n"/>
      <c r="H660" s="246">
        <f>IF(AND(E660&lt;&gt;"",G660&lt;&gt;""),E660*G660,"")</f>
      </c>
      <c r="I660" s="245" t="n"/>
      <c r="J660" s="245" t="n"/>
    </row>
    <row r="661" ht="15" customHeight="1" s="71">
      <c r="A661" s="248" t="n">
        <v>656</v>
      </c>
      <c r="B661" s="249" t="n"/>
      <c r="C661" s="249" t="n"/>
      <c r="D661" s="249" t="n"/>
      <c r="E661" s="248" t="n"/>
      <c r="F661" s="248" t="n"/>
      <c r="G661" s="248" t="n"/>
      <c r="H661" s="250">
        <f>IF(AND(E661&lt;&gt;"",G661&lt;&gt;""),E661*G661,"")</f>
      </c>
      <c r="I661" s="249" t="n"/>
      <c r="J661" s="249" t="n"/>
    </row>
    <row r="662" ht="15" customHeight="1" s="71">
      <c r="A662" s="244" t="n">
        <v>657</v>
      </c>
      <c r="B662" s="245" t="n"/>
      <c r="C662" s="245" t="n"/>
      <c r="D662" s="245" t="n"/>
      <c r="E662" s="244" t="n"/>
      <c r="F662" s="244" t="n"/>
      <c r="G662" s="244" t="n"/>
      <c r="H662" s="246">
        <f>IF(AND(E662&lt;&gt;"",G662&lt;&gt;""),E662*G662,"")</f>
      </c>
      <c r="I662" s="245" t="n"/>
      <c r="J662" s="245" t="n"/>
    </row>
    <row r="663" ht="15" customHeight="1" s="71">
      <c r="A663" s="248" t="n">
        <v>658</v>
      </c>
      <c r="B663" s="249" t="n"/>
      <c r="C663" s="249" t="n"/>
      <c r="D663" s="249" t="n"/>
      <c r="E663" s="248" t="n"/>
      <c r="F663" s="248" t="n"/>
      <c r="G663" s="248" t="n"/>
      <c r="H663" s="250">
        <f>IF(AND(E663&lt;&gt;"",G663&lt;&gt;""),E663*G663,"")</f>
      </c>
      <c r="I663" s="249" t="n"/>
      <c r="J663" s="249" t="n"/>
    </row>
    <row r="664" ht="15" customHeight="1" s="71">
      <c r="A664" s="244" t="n">
        <v>659</v>
      </c>
      <c r="B664" s="245" t="n"/>
      <c r="C664" s="245" t="n"/>
      <c r="D664" s="245" t="n"/>
      <c r="E664" s="244" t="n"/>
      <c r="F664" s="244" t="n"/>
      <c r="G664" s="244" t="n"/>
      <c r="H664" s="246">
        <f>IF(AND(E664&lt;&gt;"",G664&lt;&gt;""),E664*G664,"")</f>
      </c>
      <c r="I664" s="245" t="n"/>
      <c r="J664" s="245" t="n"/>
    </row>
    <row r="665" ht="15" customHeight="1" s="71">
      <c r="A665" s="248" t="n">
        <v>660</v>
      </c>
      <c r="B665" s="249" t="n"/>
      <c r="C665" s="249" t="n"/>
      <c r="D665" s="249" t="n"/>
      <c r="E665" s="248" t="n"/>
      <c r="F665" s="248" t="n"/>
      <c r="G665" s="248" t="n"/>
      <c r="H665" s="250">
        <f>IF(AND(E665&lt;&gt;"",G665&lt;&gt;""),E665*G665,"")</f>
      </c>
      <c r="I665" s="249" t="n"/>
      <c r="J665" s="249" t="n"/>
    </row>
    <row r="666" ht="15" customHeight="1" s="71">
      <c r="A666" s="244" t="n">
        <v>661</v>
      </c>
      <c r="B666" s="245" t="n"/>
      <c r="C666" s="245" t="n"/>
      <c r="D666" s="245" t="n"/>
      <c r="E666" s="244" t="n"/>
      <c r="F666" s="244" t="n"/>
      <c r="G666" s="244" t="n"/>
      <c r="H666" s="246">
        <f>IF(AND(E666&lt;&gt;"",G666&lt;&gt;""),E666*G666,"")</f>
      </c>
      <c r="I666" s="245" t="n"/>
      <c r="J666" s="245" t="n"/>
    </row>
    <row r="667" ht="15" customHeight="1" s="71">
      <c r="A667" s="248" t="n">
        <v>662</v>
      </c>
      <c r="B667" s="249" t="n"/>
      <c r="C667" s="249" t="n"/>
      <c r="D667" s="249" t="n"/>
      <c r="E667" s="248" t="n"/>
      <c r="F667" s="248" t="n"/>
      <c r="G667" s="248" t="n"/>
      <c r="H667" s="250">
        <f>IF(AND(E667&lt;&gt;"",G667&lt;&gt;""),E667*G667,"")</f>
      </c>
      <c r="I667" s="249" t="n"/>
      <c r="J667" s="249" t="n"/>
    </row>
    <row r="668" ht="15" customHeight="1" s="71">
      <c r="A668" s="244" t="n">
        <v>663</v>
      </c>
      <c r="B668" s="245" t="n"/>
      <c r="C668" s="245" t="n"/>
      <c r="D668" s="245" t="n"/>
      <c r="E668" s="244" t="n"/>
      <c r="F668" s="244" t="n"/>
      <c r="G668" s="244" t="n"/>
      <c r="H668" s="246">
        <f>IF(AND(E668&lt;&gt;"",G668&lt;&gt;""),E668*G668,"")</f>
      </c>
      <c r="I668" s="245" t="n"/>
      <c r="J668" s="245" t="n"/>
    </row>
    <row r="669" ht="15" customHeight="1" s="71">
      <c r="A669" s="248" t="n">
        <v>664</v>
      </c>
      <c r="B669" s="249" t="n"/>
      <c r="C669" s="249" t="n"/>
      <c r="D669" s="249" t="n"/>
      <c r="E669" s="248" t="n"/>
      <c r="F669" s="248" t="n"/>
      <c r="G669" s="248" t="n"/>
      <c r="H669" s="250">
        <f>IF(AND(E669&lt;&gt;"",G669&lt;&gt;""),E669*G669,"")</f>
      </c>
      <c r="I669" s="249" t="n"/>
      <c r="J669" s="249" t="n"/>
    </row>
    <row r="670" ht="15" customHeight="1" s="71">
      <c r="A670" s="244" t="n">
        <v>665</v>
      </c>
      <c r="B670" s="245" t="n"/>
      <c r="C670" s="245" t="n"/>
      <c r="D670" s="245" t="n"/>
      <c r="E670" s="244" t="n"/>
      <c r="F670" s="244" t="n"/>
      <c r="G670" s="244" t="n"/>
      <c r="H670" s="246">
        <f>IF(AND(E670&lt;&gt;"",G670&lt;&gt;""),E670*G670,"")</f>
      </c>
      <c r="I670" s="245" t="n"/>
      <c r="J670" s="245" t="n"/>
    </row>
    <row r="671" ht="15" customHeight="1" s="71">
      <c r="A671" s="248" t="n">
        <v>666</v>
      </c>
      <c r="B671" s="249" t="n"/>
      <c r="C671" s="249" t="n"/>
      <c r="D671" s="249" t="n"/>
      <c r="E671" s="248" t="n"/>
      <c r="F671" s="248" t="n"/>
      <c r="G671" s="248" t="n"/>
      <c r="H671" s="250">
        <f>IF(AND(E671&lt;&gt;"",G671&lt;&gt;""),E671*G671,"")</f>
      </c>
      <c r="I671" s="249" t="n"/>
      <c r="J671" s="249" t="n"/>
    </row>
    <row r="672" ht="15" customHeight="1" s="71">
      <c r="A672" s="244" t="n">
        <v>667</v>
      </c>
      <c r="B672" s="245" t="n"/>
      <c r="C672" s="245" t="n"/>
      <c r="D672" s="245" t="n"/>
      <c r="E672" s="244" t="n"/>
      <c r="F672" s="244" t="n"/>
      <c r="G672" s="244" t="n"/>
      <c r="H672" s="246">
        <f>IF(AND(E672&lt;&gt;"",G672&lt;&gt;""),E672*G672,"")</f>
      </c>
      <c r="I672" s="245" t="n"/>
      <c r="J672" s="245" t="n"/>
    </row>
    <row r="673" ht="15" customHeight="1" s="71">
      <c r="A673" s="248" t="n">
        <v>668</v>
      </c>
      <c r="B673" s="249" t="n"/>
      <c r="C673" s="249" t="n"/>
      <c r="D673" s="249" t="n"/>
      <c r="E673" s="248" t="n"/>
      <c r="F673" s="248" t="n"/>
      <c r="G673" s="248" t="n"/>
      <c r="H673" s="250">
        <f>IF(AND(E673&lt;&gt;"",G673&lt;&gt;""),E673*G673,"")</f>
      </c>
      <c r="I673" s="249" t="n"/>
      <c r="J673" s="249" t="n"/>
    </row>
    <row r="674" ht="15" customHeight="1" s="71">
      <c r="A674" s="244" t="n">
        <v>669</v>
      </c>
      <c r="B674" s="245" t="n"/>
      <c r="C674" s="245" t="n"/>
      <c r="D674" s="245" t="n"/>
      <c r="E674" s="244" t="n"/>
      <c r="F674" s="244" t="n"/>
      <c r="G674" s="244" t="n"/>
      <c r="H674" s="246">
        <f>IF(AND(E674&lt;&gt;"",G674&lt;&gt;""),E674*G674,"")</f>
      </c>
      <c r="I674" s="245" t="n"/>
      <c r="J674" s="245" t="n"/>
    </row>
    <row r="675" ht="15" customHeight="1" s="71">
      <c r="A675" s="248" t="n">
        <v>670</v>
      </c>
      <c r="B675" s="249" t="n"/>
      <c r="C675" s="249" t="n"/>
      <c r="D675" s="249" t="n"/>
      <c r="E675" s="248" t="n"/>
      <c r="F675" s="248" t="n"/>
      <c r="G675" s="248" t="n"/>
      <c r="H675" s="250">
        <f>IF(AND(E675&lt;&gt;"",G675&lt;&gt;""),E675*G675,"")</f>
      </c>
      <c r="I675" s="249" t="n"/>
      <c r="J675" s="249" t="n"/>
    </row>
    <row r="676" ht="15" customHeight="1" s="71">
      <c r="A676" s="244" t="n">
        <v>671</v>
      </c>
      <c r="B676" s="245" t="n"/>
      <c r="C676" s="245" t="n"/>
      <c r="D676" s="245" t="n"/>
      <c r="E676" s="244" t="n"/>
      <c r="F676" s="244" t="n"/>
      <c r="G676" s="244" t="n"/>
      <c r="H676" s="246">
        <f>IF(AND(E676&lt;&gt;"",G676&lt;&gt;""),E676*G676,"")</f>
      </c>
      <c r="I676" s="245" t="n"/>
      <c r="J676" s="245" t="n"/>
    </row>
    <row r="677" ht="15" customHeight="1" s="71">
      <c r="A677" s="248" t="n">
        <v>672</v>
      </c>
      <c r="B677" s="249" t="n"/>
      <c r="C677" s="249" t="n"/>
      <c r="D677" s="249" t="n"/>
      <c r="E677" s="248" t="n"/>
      <c r="F677" s="248" t="n"/>
      <c r="G677" s="248" t="n"/>
      <c r="H677" s="250">
        <f>IF(AND(E677&lt;&gt;"",G677&lt;&gt;""),E677*G677,"")</f>
      </c>
      <c r="I677" s="249" t="n"/>
      <c r="J677" s="249" t="n"/>
    </row>
    <row r="678" ht="15" customHeight="1" s="71">
      <c r="A678" s="244" t="n">
        <v>673</v>
      </c>
      <c r="B678" s="245" t="n"/>
      <c r="C678" s="245" t="n"/>
      <c r="D678" s="245" t="n"/>
      <c r="E678" s="244" t="n"/>
      <c r="F678" s="244" t="n"/>
      <c r="G678" s="244" t="n"/>
      <c r="H678" s="246">
        <f>IF(AND(E678&lt;&gt;"",G678&lt;&gt;""),E678*G678,"")</f>
      </c>
      <c r="I678" s="245" t="n"/>
      <c r="J678" s="245" t="n"/>
    </row>
    <row r="679" ht="15" customHeight="1" s="71">
      <c r="A679" s="248" t="n">
        <v>674</v>
      </c>
      <c r="B679" s="249" t="n"/>
      <c r="C679" s="249" t="n"/>
      <c r="D679" s="249" t="n"/>
      <c r="E679" s="248" t="n"/>
      <c r="F679" s="248" t="n"/>
      <c r="G679" s="248" t="n"/>
      <c r="H679" s="250">
        <f>IF(AND(E679&lt;&gt;"",G679&lt;&gt;""),E679*G679,"")</f>
      </c>
      <c r="I679" s="249" t="n"/>
      <c r="J679" s="249" t="n"/>
    </row>
    <row r="680" ht="15" customHeight="1" s="71">
      <c r="A680" s="244" t="n">
        <v>675</v>
      </c>
      <c r="B680" s="245" t="n"/>
      <c r="C680" s="245" t="n"/>
      <c r="D680" s="245" t="n"/>
      <c r="E680" s="244" t="n"/>
      <c r="F680" s="244" t="n"/>
      <c r="G680" s="244" t="n"/>
      <c r="H680" s="246">
        <f>IF(AND(E680&lt;&gt;"",G680&lt;&gt;""),E680*G680,"")</f>
      </c>
      <c r="I680" s="245" t="n"/>
      <c r="J680" s="245" t="n"/>
    </row>
    <row r="681" ht="15" customHeight="1" s="71">
      <c r="A681" s="248" t="n">
        <v>676</v>
      </c>
      <c r="B681" s="249" t="n"/>
      <c r="C681" s="249" t="n"/>
      <c r="D681" s="249" t="n"/>
      <c r="E681" s="248" t="n"/>
      <c r="F681" s="248" t="n"/>
      <c r="G681" s="248" t="n"/>
      <c r="H681" s="250">
        <f>IF(AND(E681&lt;&gt;"",G681&lt;&gt;""),E681*G681,"")</f>
      </c>
      <c r="I681" s="249" t="n"/>
      <c r="J681" s="249" t="n"/>
    </row>
    <row r="682" ht="15" customHeight="1" s="71">
      <c r="A682" s="244" t="n">
        <v>677</v>
      </c>
      <c r="B682" s="245" t="n"/>
      <c r="C682" s="245" t="n"/>
      <c r="D682" s="245" t="n"/>
      <c r="E682" s="244" t="n"/>
      <c r="F682" s="244" t="n"/>
      <c r="G682" s="244" t="n"/>
      <c r="H682" s="246">
        <f>IF(AND(E682&lt;&gt;"",G682&lt;&gt;""),E682*G682,"")</f>
      </c>
      <c r="I682" s="245" t="n"/>
      <c r="J682" s="245" t="n"/>
    </row>
    <row r="683" ht="15" customHeight="1" s="71">
      <c r="A683" s="248" t="n">
        <v>678</v>
      </c>
      <c r="B683" s="249" t="n"/>
      <c r="C683" s="249" t="n"/>
      <c r="D683" s="249" t="n"/>
      <c r="E683" s="248" t="n"/>
      <c r="F683" s="248" t="n"/>
      <c r="G683" s="248" t="n"/>
      <c r="H683" s="250">
        <f>IF(AND(E683&lt;&gt;"",G683&lt;&gt;""),E683*G683,"")</f>
      </c>
      <c r="I683" s="249" t="n"/>
      <c r="J683" s="249" t="n"/>
    </row>
    <row r="684" ht="15" customHeight="1" s="71">
      <c r="A684" s="244" t="n">
        <v>679</v>
      </c>
      <c r="B684" s="245" t="n"/>
      <c r="C684" s="245" t="n"/>
      <c r="D684" s="245" t="n"/>
      <c r="E684" s="244" t="n"/>
      <c r="F684" s="244" t="n"/>
      <c r="G684" s="244" t="n"/>
      <c r="H684" s="246">
        <f>IF(AND(E684&lt;&gt;"",G684&lt;&gt;""),E684*G684,"")</f>
      </c>
      <c r="I684" s="245" t="n"/>
      <c r="J684" s="245" t="n"/>
    </row>
    <row r="685" ht="15" customHeight="1" s="71">
      <c r="A685" s="248" t="n">
        <v>680</v>
      </c>
      <c r="B685" s="249" t="n"/>
      <c r="C685" s="249" t="n"/>
      <c r="D685" s="249" t="n"/>
      <c r="E685" s="248" t="n"/>
      <c r="F685" s="248" t="n"/>
      <c r="G685" s="248" t="n"/>
      <c r="H685" s="250">
        <f>IF(AND(E685&lt;&gt;"",G685&lt;&gt;""),E685*G685,"")</f>
      </c>
      <c r="I685" s="249" t="n"/>
      <c r="J685" s="249" t="n"/>
    </row>
    <row r="686" ht="15" customHeight="1" s="71">
      <c r="A686" s="244" t="n">
        <v>681</v>
      </c>
      <c r="B686" s="245" t="n"/>
      <c r="C686" s="245" t="n"/>
      <c r="D686" s="245" t="n"/>
      <c r="E686" s="244" t="n"/>
      <c r="F686" s="244" t="n"/>
      <c r="G686" s="244" t="n"/>
      <c r="H686" s="246">
        <f>IF(AND(E686&lt;&gt;"",G686&lt;&gt;""),E686*G686,"")</f>
      </c>
      <c r="I686" s="245" t="n"/>
      <c r="J686" s="245" t="n"/>
    </row>
    <row r="687" ht="15" customHeight="1" s="71">
      <c r="A687" s="248" t="n">
        <v>682</v>
      </c>
      <c r="B687" s="249" t="n"/>
      <c r="C687" s="249" t="n"/>
      <c r="D687" s="249" t="n"/>
      <c r="E687" s="248" t="n"/>
      <c r="F687" s="248" t="n"/>
      <c r="G687" s="248" t="n"/>
      <c r="H687" s="250">
        <f>IF(AND(E687&lt;&gt;"",G687&lt;&gt;""),E687*G687,"")</f>
      </c>
      <c r="I687" s="249" t="n"/>
      <c r="J687" s="249" t="n"/>
    </row>
    <row r="688" ht="15" customHeight="1" s="71">
      <c r="A688" s="244" t="n">
        <v>683</v>
      </c>
      <c r="B688" s="245" t="n"/>
      <c r="C688" s="245" t="n"/>
      <c r="D688" s="245" t="n"/>
      <c r="E688" s="244" t="n"/>
      <c r="F688" s="244" t="n"/>
      <c r="G688" s="244" t="n"/>
      <c r="H688" s="246">
        <f>IF(AND(E688&lt;&gt;"",G688&lt;&gt;""),E688*G688,"")</f>
      </c>
      <c r="I688" s="245" t="n"/>
      <c r="J688" s="245" t="n"/>
    </row>
    <row r="689" ht="15" customHeight="1" s="71">
      <c r="A689" s="248" t="n">
        <v>684</v>
      </c>
      <c r="B689" s="249" t="n"/>
      <c r="C689" s="249" t="n"/>
      <c r="D689" s="249" t="n"/>
      <c r="E689" s="248" t="n"/>
      <c r="F689" s="248" t="n"/>
      <c r="G689" s="248" t="n"/>
      <c r="H689" s="250">
        <f>IF(AND(E689&lt;&gt;"",G689&lt;&gt;""),E689*G689,"")</f>
      </c>
      <c r="I689" s="249" t="n"/>
      <c r="J689" s="249" t="n"/>
    </row>
    <row r="690" ht="15" customHeight="1" s="71">
      <c r="A690" s="244" t="n">
        <v>685</v>
      </c>
      <c r="B690" s="245" t="n"/>
      <c r="C690" s="245" t="n"/>
      <c r="D690" s="245" t="n"/>
      <c r="E690" s="244" t="n"/>
      <c r="F690" s="244" t="n"/>
      <c r="G690" s="244" t="n"/>
      <c r="H690" s="246">
        <f>IF(AND(E690&lt;&gt;"",G690&lt;&gt;""),E690*G690,"")</f>
      </c>
      <c r="I690" s="245" t="n"/>
      <c r="J690" s="245" t="n"/>
    </row>
    <row r="691" ht="15" customHeight="1" s="71">
      <c r="A691" s="248" t="n">
        <v>686</v>
      </c>
      <c r="B691" s="249" t="n"/>
      <c r="C691" s="249" t="n"/>
      <c r="D691" s="249" t="n"/>
      <c r="E691" s="248" t="n"/>
      <c r="F691" s="248" t="n"/>
      <c r="G691" s="248" t="n"/>
      <c r="H691" s="250">
        <f>IF(AND(E691&lt;&gt;"",G691&lt;&gt;""),E691*G691,"")</f>
      </c>
      <c r="I691" s="249" t="n"/>
      <c r="J691" s="249" t="n"/>
    </row>
    <row r="692" ht="15" customHeight="1" s="71">
      <c r="A692" s="244" t="n">
        <v>687</v>
      </c>
      <c r="B692" s="245" t="n"/>
      <c r="C692" s="245" t="n"/>
      <c r="D692" s="245" t="n"/>
      <c r="E692" s="244" t="n"/>
      <c r="F692" s="244" t="n"/>
      <c r="G692" s="244" t="n"/>
      <c r="H692" s="246">
        <f>IF(AND(E692&lt;&gt;"",G692&lt;&gt;""),E692*G692,"")</f>
      </c>
      <c r="I692" s="245" t="n"/>
      <c r="J692" s="245" t="n"/>
    </row>
    <row r="693" ht="15" customHeight="1" s="71">
      <c r="A693" s="248" t="n">
        <v>688</v>
      </c>
      <c r="B693" s="249" t="n"/>
      <c r="C693" s="249" t="n"/>
      <c r="D693" s="249" t="n"/>
      <c r="E693" s="248" t="n"/>
      <c r="F693" s="248" t="n"/>
      <c r="G693" s="248" t="n"/>
      <c r="H693" s="250">
        <f>IF(AND(E693&lt;&gt;"",G693&lt;&gt;""),E693*G693,"")</f>
      </c>
      <c r="I693" s="249" t="n"/>
      <c r="J693" s="249" t="n"/>
    </row>
    <row r="694" ht="15" customHeight="1" s="71">
      <c r="A694" s="244" t="n">
        <v>689</v>
      </c>
      <c r="B694" s="245" t="n"/>
      <c r="C694" s="245" t="n"/>
      <c r="D694" s="245" t="n"/>
      <c r="E694" s="244" t="n"/>
      <c r="F694" s="244" t="n"/>
      <c r="G694" s="244" t="n"/>
      <c r="H694" s="246">
        <f>IF(AND(E694&lt;&gt;"",G694&lt;&gt;""),E694*G694,"")</f>
      </c>
      <c r="I694" s="245" t="n"/>
      <c r="J694" s="245" t="n"/>
    </row>
    <row r="695" ht="15" customHeight="1" s="71">
      <c r="A695" s="248" t="n">
        <v>690</v>
      </c>
      <c r="B695" s="249" t="n"/>
      <c r="C695" s="249" t="n"/>
      <c r="D695" s="249" t="n"/>
      <c r="E695" s="248" t="n"/>
      <c r="F695" s="248" t="n"/>
      <c r="G695" s="248" t="n"/>
      <c r="H695" s="250">
        <f>IF(AND(E695&lt;&gt;"",G695&lt;&gt;""),E695*G695,"")</f>
      </c>
      <c r="I695" s="249" t="n"/>
      <c r="J695" s="249" t="n"/>
    </row>
    <row r="696" ht="15" customHeight="1" s="71">
      <c r="A696" s="244" t="n">
        <v>691</v>
      </c>
      <c r="B696" s="245" t="n"/>
      <c r="C696" s="245" t="n"/>
      <c r="D696" s="245" t="n"/>
      <c r="E696" s="244" t="n"/>
      <c r="F696" s="244" t="n"/>
      <c r="G696" s="244" t="n"/>
      <c r="H696" s="246">
        <f>IF(AND(E696&lt;&gt;"",G696&lt;&gt;""),E696*G696,"")</f>
      </c>
      <c r="I696" s="245" t="n"/>
      <c r="J696" s="245" t="n"/>
    </row>
    <row r="697" ht="15" customHeight="1" s="71">
      <c r="A697" s="248" t="n">
        <v>692</v>
      </c>
      <c r="B697" s="249" t="n"/>
      <c r="C697" s="249" t="n"/>
      <c r="D697" s="249" t="n"/>
      <c r="E697" s="248" t="n"/>
      <c r="F697" s="248" t="n"/>
      <c r="G697" s="248" t="n"/>
      <c r="H697" s="250">
        <f>IF(AND(E697&lt;&gt;"",G697&lt;&gt;""),E697*G697,"")</f>
      </c>
      <c r="I697" s="249" t="n"/>
      <c r="J697" s="249" t="n"/>
    </row>
    <row r="698" ht="15" customHeight="1" s="71">
      <c r="A698" s="244" t="n">
        <v>693</v>
      </c>
      <c r="B698" s="245" t="n"/>
      <c r="C698" s="245" t="n"/>
      <c r="D698" s="245" t="n"/>
      <c r="E698" s="244" t="n"/>
      <c r="F698" s="244" t="n"/>
      <c r="G698" s="244" t="n"/>
      <c r="H698" s="246">
        <f>IF(AND(E698&lt;&gt;"",G698&lt;&gt;""),E698*G698,"")</f>
      </c>
      <c r="I698" s="245" t="n"/>
      <c r="J698" s="245" t="n"/>
    </row>
    <row r="699" ht="15" customHeight="1" s="71">
      <c r="A699" s="248" t="n">
        <v>694</v>
      </c>
      <c r="B699" s="249" t="n"/>
      <c r="C699" s="249" t="n"/>
      <c r="D699" s="249" t="n"/>
      <c r="E699" s="248" t="n"/>
      <c r="F699" s="248" t="n"/>
      <c r="G699" s="248" t="n"/>
      <c r="H699" s="250">
        <f>IF(AND(E699&lt;&gt;"",G699&lt;&gt;""),E699*G699,"")</f>
      </c>
      <c r="I699" s="249" t="n"/>
      <c r="J699" s="249" t="n"/>
    </row>
    <row r="700" ht="15" customHeight="1" s="71">
      <c r="A700" s="244" t="n">
        <v>695</v>
      </c>
      <c r="B700" s="245" t="n"/>
      <c r="C700" s="245" t="n"/>
      <c r="D700" s="245" t="n"/>
      <c r="E700" s="244" t="n"/>
      <c r="F700" s="244" t="n"/>
      <c r="G700" s="244" t="n"/>
      <c r="H700" s="246">
        <f>IF(AND(E700&lt;&gt;"",G700&lt;&gt;""),E700*G700,"")</f>
      </c>
      <c r="I700" s="245" t="n"/>
      <c r="J700" s="245" t="n"/>
    </row>
    <row r="701" ht="15" customHeight="1" s="71">
      <c r="A701" s="248" t="n">
        <v>696</v>
      </c>
      <c r="B701" s="249" t="n"/>
      <c r="C701" s="249" t="n"/>
      <c r="D701" s="249" t="n"/>
      <c r="E701" s="248" t="n"/>
      <c r="F701" s="248" t="n"/>
      <c r="G701" s="248" t="n"/>
      <c r="H701" s="250">
        <f>IF(AND(E701&lt;&gt;"",G701&lt;&gt;""),E701*G701,"")</f>
      </c>
      <c r="I701" s="249" t="n"/>
      <c r="J701" s="249" t="n"/>
    </row>
    <row r="702" ht="15" customHeight="1" s="71">
      <c r="A702" s="244" t="n">
        <v>697</v>
      </c>
      <c r="B702" s="245" t="n"/>
      <c r="C702" s="245" t="n"/>
      <c r="D702" s="245" t="n"/>
      <c r="E702" s="244" t="n"/>
      <c r="F702" s="244" t="n"/>
      <c r="G702" s="244" t="n"/>
      <c r="H702" s="246">
        <f>IF(AND(E702&lt;&gt;"",G702&lt;&gt;""),E702*G702,"")</f>
      </c>
      <c r="I702" s="245" t="n"/>
      <c r="J702" s="245" t="n"/>
    </row>
    <row r="703" ht="15" customHeight="1" s="71">
      <c r="A703" s="248" t="n">
        <v>698</v>
      </c>
      <c r="B703" s="249" t="n"/>
      <c r="C703" s="249" t="n"/>
      <c r="D703" s="249" t="n"/>
      <c r="E703" s="248" t="n"/>
      <c r="F703" s="248" t="n"/>
      <c r="G703" s="248" t="n"/>
      <c r="H703" s="250">
        <f>IF(AND(E703&lt;&gt;"",G703&lt;&gt;""),E703*G703,"")</f>
      </c>
      <c r="I703" s="249" t="n"/>
      <c r="J703" s="249" t="n"/>
    </row>
    <row r="704" ht="15" customHeight="1" s="71">
      <c r="A704" s="244" t="n">
        <v>699</v>
      </c>
      <c r="B704" s="245" t="n"/>
      <c r="C704" s="245" t="n"/>
      <c r="D704" s="245" t="n"/>
      <c r="E704" s="244" t="n"/>
      <c r="F704" s="244" t="n"/>
      <c r="G704" s="244" t="n"/>
      <c r="H704" s="246">
        <f>IF(AND(E704&lt;&gt;"",G704&lt;&gt;""),E704*G704,"")</f>
      </c>
      <c r="I704" s="245" t="n"/>
      <c r="J704" s="245" t="n"/>
    </row>
    <row r="705" ht="15" customHeight="1" s="71">
      <c r="A705" s="248" t="n">
        <v>700</v>
      </c>
      <c r="B705" s="249" t="n"/>
      <c r="C705" s="249" t="n"/>
      <c r="D705" s="249" t="n"/>
      <c r="E705" s="248" t="n"/>
      <c r="F705" s="248" t="n"/>
      <c r="G705" s="248" t="n"/>
      <c r="H705" s="250">
        <f>IF(AND(E705&lt;&gt;"",G705&lt;&gt;""),E705*G705,"")</f>
      </c>
      <c r="I705" s="249" t="n"/>
      <c r="J705" s="249" t="n"/>
    </row>
    <row r="706" ht="15" customHeight="1" s="71">
      <c r="A706" s="244" t="n">
        <v>701</v>
      </c>
      <c r="B706" s="245" t="n"/>
      <c r="C706" s="245" t="n"/>
      <c r="D706" s="245" t="n"/>
      <c r="E706" s="244" t="n"/>
      <c r="F706" s="244" t="n"/>
      <c r="G706" s="244" t="n"/>
      <c r="H706" s="246">
        <f>IF(AND(E706&lt;&gt;"",G706&lt;&gt;""),E706*G706,"")</f>
      </c>
      <c r="I706" s="245" t="n"/>
      <c r="J706" s="245" t="n"/>
    </row>
    <row r="707" ht="15" customHeight="1" s="71">
      <c r="A707" s="248" t="n">
        <v>702</v>
      </c>
      <c r="B707" s="249" t="n"/>
      <c r="C707" s="249" t="n"/>
      <c r="D707" s="249" t="n"/>
      <c r="E707" s="248" t="n"/>
      <c r="F707" s="248" t="n"/>
      <c r="G707" s="248" t="n"/>
      <c r="H707" s="250">
        <f>IF(AND(E707&lt;&gt;"",G707&lt;&gt;""),E707*G707,"")</f>
      </c>
      <c r="I707" s="249" t="n"/>
      <c r="J707" s="249" t="n"/>
    </row>
    <row r="708" ht="15" customHeight="1" s="71">
      <c r="A708" s="244" t="n">
        <v>703</v>
      </c>
      <c r="B708" s="245" t="n"/>
      <c r="C708" s="245" t="n"/>
      <c r="D708" s="245" t="n"/>
      <c r="E708" s="244" t="n"/>
      <c r="F708" s="244" t="n"/>
      <c r="G708" s="244" t="n"/>
      <c r="H708" s="246">
        <f>IF(AND(E708&lt;&gt;"",G708&lt;&gt;""),E708*G708,"")</f>
      </c>
      <c r="I708" s="245" t="n"/>
      <c r="J708" s="245" t="n"/>
    </row>
    <row r="709" ht="15" customHeight="1" s="71">
      <c r="A709" s="248" t="n">
        <v>704</v>
      </c>
      <c r="B709" s="249" t="n"/>
      <c r="C709" s="249" t="n"/>
      <c r="D709" s="249" t="n"/>
      <c r="E709" s="248" t="n"/>
      <c r="F709" s="248" t="n"/>
      <c r="G709" s="248" t="n"/>
      <c r="H709" s="250">
        <f>IF(AND(E709&lt;&gt;"",G709&lt;&gt;""),E709*G709,"")</f>
      </c>
      <c r="I709" s="249" t="n"/>
      <c r="J709" s="249" t="n"/>
    </row>
    <row r="710" ht="15" customHeight="1" s="71">
      <c r="A710" s="244" t="n">
        <v>705</v>
      </c>
      <c r="B710" s="245" t="n"/>
      <c r="C710" s="245" t="n"/>
      <c r="D710" s="245" t="n"/>
      <c r="E710" s="244" t="n"/>
      <c r="F710" s="244" t="n"/>
      <c r="G710" s="244" t="n"/>
      <c r="H710" s="246">
        <f>IF(AND(E710&lt;&gt;"",G710&lt;&gt;""),E710*G710,"")</f>
      </c>
      <c r="I710" s="245" t="n"/>
      <c r="J710" s="245" t="n"/>
    </row>
    <row r="711" ht="15" customHeight="1" s="71">
      <c r="A711" s="248" t="n">
        <v>706</v>
      </c>
      <c r="B711" s="249" t="n"/>
      <c r="C711" s="249" t="n"/>
      <c r="D711" s="249" t="n"/>
      <c r="E711" s="248" t="n"/>
      <c r="F711" s="248" t="n"/>
      <c r="G711" s="248" t="n"/>
      <c r="H711" s="250">
        <f>IF(AND(E711&lt;&gt;"",G711&lt;&gt;""),E711*G711,"")</f>
      </c>
      <c r="I711" s="249" t="n"/>
      <c r="J711" s="249" t="n"/>
    </row>
    <row r="712" ht="15" customHeight="1" s="71">
      <c r="A712" s="244" t="n">
        <v>707</v>
      </c>
      <c r="B712" s="245" t="n"/>
      <c r="C712" s="245" t="n"/>
      <c r="D712" s="245" t="n"/>
      <c r="E712" s="244" t="n"/>
      <c r="F712" s="244" t="n"/>
      <c r="G712" s="244" t="n"/>
      <c r="H712" s="246">
        <f>IF(AND(E712&lt;&gt;"",G712&lt;&gt;""),E712*G712,"")</f>
      </c>
      <c r="I712" s="245" t="n"/>
      <c r="J712" s="245" t="n"/>
    </row>
    <row r="713" ht="15" customHeight="1" s="71">
      <c r="A713" s="248" t="n">
        <v>708</v>
      </c>
      <c r="B713" s="249" t="n"/>
      <c r="C713" s="249" t="n"/>
      <c r="D713" s="249" t="n"/>
      <c r="E713" s="248" t="n"/>
      <c r="F713" s="248" t="n"/>
      <c r="G713" s="248" t="n"/>
      <c r="H713" s="250">
        <f>IF(AND(E713&lt;&gt;"",G713&lt;&gt;""),E713*G713,"")</f>
      </c>
      <c r="I713" s="249" t="n"/>
      <c r="J713" s="249" t="n"/>
    </row>
    <row r="714" ht="15" customHeight="1" s="71">
      <c r="A714" s="244" t="n">
        <v>709</v>
      </c>
      <c r="B714" s="245" t="n"/>
      <c r="C714" s="245" t="n"/>
      <c r="D714" s="245" t="n"/>
      <c r="E714" s="244" t="n"/>
      <c r="F714" s="244" t="n"/>
      <c r="G714" s="244" t="n"/>
      <c r="H714" s="246">
        <f>IF(AND(E714&lt;&gt;"",G714&lt;&gt;""),E714*G714,"")</f>
      </c>
      <c r="I714" s="245" t="n"/>
      <c r="J714" s="245" t="n"/>
    </row>
    <row r="715" ht="15" customHeight="1" s="71">
      <c r="A715" s="248" t="n">
        <v>710</v>
      </c>
      <c r="B715" s="249" t="n"/>
      <c r="C715" s="249" t="n"/>
      <c r="D715" s="249" t="n"/>
      <c r="E715" s="248" t="n"/>
      <c r="F715" s="248" t="n"/>
      <c r="G715" s="248" t="n"/>
      <c r="H715" s="250">
        <f>IF(AND(E715&lt;&gt;"",G715&lt;&gt;""),E715*G715,"")</f>
      </c>
      <c r="I715" s="249" t="n"/>
      <c r="J715" s="249" t="n"/>
    </row>
    <row r="716" ht="15" customHeight="1" s="71">
      <c r="A716" s="244" t="n">
        <v>711</v>
      </c>
      <c r="B716" s="245" t="n"/>
      <c r="C716" s="245" t="n"/>
      <c r="D716" s="245" t="n"/>
      <c r="E716" s="244" t="n"/>
      <c r="F716" s="244" t="n"/>
      <c r="G716" s="244" t="n"/>
      <c r="H716" s="246">
        <f>IF(AND(E716&lt;&gt;"",G716&lt;&gt;""),E716*G716,"")</f>
      </c>
      <c r="I716" s="245" t="n"/>
      <c r="J716" s="245" t="n"/>
    </row>
    <row r="717" ht="15" customHeight="1" s="71">
      <c r="A717" s="248" t="n">
        <v>712</v>
      </c>
      <c r="B717" s="249" t="n"/>
      <c r="C717" s="249" t="n"/>
      <c r="D717" s="249" t="n"/>
      <c r="E717" s="248" t="n"/>
      <c r="F717" s="248" t="n"/>
      <c r="G717" s="248" t="n"/>
      <c r="H717" s="250">
        <f>IF(AND(E717&lt;&gt;"",G717&lt;&gt;""),E717*G717,"")</f>
      </c>
      <c r="I717" s="249" t="n"/>
      <c r="J717" s="249" t="n"/>
    </row>
    <row r="718" ht="15" customHeight="1" s="71">
      <c r="A718" s="244" t="n">
        <v>713</v>
      </c>
      <c r="B718" s="245" t="n"/>
      <c r="C718" s="245" t="n"/>
      <c r="D718" s="245" t="n"/>
      <c r="E718" s="244" t="n"/>
      <c r="F718" s="244" t="n"/>
      <c r="G718" s="244" t="n"/>
      <c r="H718" s="246">
        <f>IF(AND(E718&lt;&gt;"",G718&lt;&gt;""),E718*G718,"")</f>
      </c>
      <c r="I718" s="245" t="n"/>
      <c r="J718" s="245" t="n"/>
    </row>
    <row r="719" ht="15" customHeight="1" s="71">
      <c r="A719" s="248" t="n">
        <v>714</v>
      </c>
      <c r="B719" s="249" t="n"/>
      <c r="C719" s="249" t="n"/>
      <c r="D719" s="249" t="n"/>
      <c r="E719" s="248" t="n"/>
      <c r="F719" s="248" t="n"/>
      <c r="G719" s="248" t="n"/>
      <c r="H719" s="250">
        <f>IF(AND(E719&lt;&gt;"",G719&lt;&gt;""),E719*G719,"")</f>
      </c>
      <c r="I719" s="249" t="n"/>
      <c r="J719" s="249" t="n"/>
    </row>
    <row r="720" ht="15" customHeight="1" s="71">
      <c r="A720" s="244" t="n">
        <v>715</v>
      </c>
      <c r="B720" s="245" t="n"/>
      <c r="C720" s="245" t="n"/>
      <c r="D720" s="245" t="n"/>
      <c r="E720" s="244" t="n"/>
      <c r="F720" s="244" t="n"/>
      <c r="G720" s="244" t="n"/>
      <c r="H720" s="246">
        <f>IF(AND(E720&lt;&gt;"",G720&lt;&gt;""),E720*G720,"")</f>
      </c>
      <c r="I720" s="245" t="n"/>
      <c r="J720" s="245" t="n"/>
    </row>
    <row r="721" ht="15" customHeight="1" s="71">
      <c r="A721" s="248" t="n">
        <v>716</v>
      </c>
      <c r="B721" s="249" t="n"/>
      <c r="C721" s="249" t="n"/>
      <c r="D721" s="249" t="n"/>
      <c r="E721" s="248" t="n"/>
      <c r="F721" s="248" t="n"/>
      <c r="G721" s="248" t="n"/>
      <c r="H721" s="250">
        <f>IF(AND(E721&lt;&gt;"",G721&lt;&gt;""),E721*G721,"")</f>
      </c>
      <c r="I721" s="249" t="n"/>
      <c r="J721" s="249" t="n"/>
    </row>
    <row r="722" ht="15" customHeight="1" s="71">
      <c r="A722" s="244" t="n">
        <v>717</v>
      </c>
      <c r="B722" s="245" t="n"/>
      <c r="C722" s="245" t="n"/>
      <c r="D722" s="245" t="n"/>
      <c r="E722" s="244" t="n"/>
      <c r="F722" s="244" t="n"/>
      <c r="G722" s="244" t="n"/>
      <c r="H722" s="246">
        <f>IF(AND(E722&lt;&gt;"",G722&lt;&gt;""),E722*G722,"")</f>
      </c>
      <c r="I722" s="245" t="n"/>
      <c r="J722" s="245" t="n"/>
    </row>
    <row r="723" ht="15" customHeight="1" s="71">
      <c r="A723" s="248" t="n">
        <v>718</v>
      </c>
      <c r="B723" s="249" t="n"/>
      <c r="C723" s="249" t="n"/>
      <c r="D723" s="249" t="n"/>
      <c r="E723" s="248" t="n"/>
      <c r="F723" s="248" t="n"/>
      <c r="G723" s="248" t="n"/>
      <c r="H723" s="250">
        <f>IF(AND(E723&lt;&gt;"",G723&lt;&gt;""),E723*G723,"")</f>
      </c>
      <c r="I723" s="249" t="n"/>
      <c r="J723" s="249" t="n"/>
    </row>
    <row r="724" ht="15" customHeight="1" s="71">
      <c r="A724" s="244" t="n">
        <v>719</v>
      </c>
      <c r="B724" s="245" t="n"/>
      <c r="C724" s="245" t="n"/>
      <c r="D724" s="245" t="n"/>
      <c r="E724" s="244" t="n"/>
      <c r="F724" s="244" t="n"/>
      <c r="G724" s="244" t="n"/>
      <c r="H724" s="246">
        <f>IF(AND(E724&lt;&gt;"",G724&lt;&gt;""),E724*G724,"")</f>
      </c>
      <c r="I724" s="245" t="n"/>
      <c r="J724" s="245" t="n"/>
    </row>
    <row r="725" ht="15" customHeight="1" s="71">
      <c r="A725" s="248" t="n">
        <v>720</v>
      </c>
      <c r="B725" s="249" t="n"/>
      <c r="C725" s="249" t="n"/>
      <c r="D725" s="249" t="n"/>
      <c r="E725" s="248" t="n"/>
      <c r="F725" s="248" t="n"/>
      <c r="G725" s="248" t="n"/>
      <c r="H725" s="250">
        <f>IF(AND(E725&lt;&gt;"",G725&lt;&gt;""),E725*G725,"")</f>
      </c>
      <c r="I725" s="249" t="n"/>
      <c r="J725" s="249" t="n"/>
    </row>
    <row r="726" ht="15" customHeight="1" s="71">
      <c r="A726" s="244" t="n">
        <v>721</v>
      </c>
      <c r="B726" s="245" t="n"/>
      <c r="C726" s="245" t="n"/>
      <c r="D726" s="245" t="n"/>
      <c r="E726" s="244" t="n"/>
      <c r="F726" s="244" t="n"/>
      <c r="G726" s="244" t="n"/>
      <c r="H726" s="246">
        <f>IF(AND(E726&lt;&gt;"",G726&lt;&gt;""),E726*G726,"")</f>
      </c>
      <c r="I726" s="245" t="n"/>
      <c r="J726" s="245" t="n"/>
    </row>
    <row r="727" ht="15" customHeight="1" s="71">
      <c r="A727" s="248" t="n">
        <v>722</v>
      </c>
      <c r="B727" s="249" t="n"/>
      <c r="C727" s="249" t="n"/>
      <c r="D727" s="249" t="n"/>
      <c r="E727" s="248" t="n"/>
      <c r="F727" s="248" t="n"/>
      <c r="G727" s="248" t="n"/>
      <c r="H727" s="250">
        <f>IF(AND(E727&lt;&gt;"",G727&lt;&gt;""),E727*G727,"")</f>
      </c>
      <c r="I727" s="249" t="n"/>
      <c r="J727" s="249" t="n"/>
    </row>
    <row r="728" ht="15" customHeight="1" s="71">
      <c r="A728" s="244" t="n">
        <v>723</v>
      </c>
      <c r="B728" s="245" t="n"/>
      <c r="C728" s="245" t="n"/>
      <c r="D728" s="245" t="n"/>
      <c r="E728" s="244" t="n"/>
      <c r="F728" s="244" t="n"/>
      <c r="G728" s="244" t="n"/>
      <c r="H728" s="246">
        <f>IF(AND(E728&lt;&gt;"",G728&lt;&gt;""),E728*G728,"")</f>
      </c>
      <c r="I728" s="245" t="n"/>
      <c r="J728" s="245" t="n"/>
    </row>
    <row r="729" ht="15" customHeight="1" s="71">
      <c r="A729" s="248" t="n">
        <v>724</v>
      </c>
      <c r="B729" s="249" t="n"/>
      <c r="C729" s="249" t="n"/>
      <c r="D729" s="249" t="n"/>
      <c r="E729" s="248" t="n"/>
      <c r="F729" s="248" t="n"/>
      <c r="G729" s="248" t="n"/>
      <c r="H729" s="250">
        <f>IF(AND(E729&lt;&gt;"",G729&lt;&gt;""),E729*G729,"")</f>
      </c>
      <c r="I729" s="249" t="n"/>
      <c r="J729" s="249" t="n"/>
    </row>
    <row r="730" ht="15" customHeight="1" s="71">
      <c r="A730" s="244" t="n">
        <v>725</v>
      </c>
      <c r="B730" s="245" t="n"/>
      <c r="C730" s="245" t="n"/>
      <c r="D730" s="245" t="n"/>
      <c r="E730" s="244" t="n"/>
      <c r="F730" s="244" t="n"/>
      <c r="G730" s="244" t="n"/>
      <c r="H730" s="246">
        <f>IF(AND(E730&lt;&gt;"",G730&lt;&gt;""),E730*G730,"")</f>
      </c>
      <c r="I730" s="245" t="n"/>
      <c r="J730" s="245" t="n"/>
    </row>
    <row r="731" ht="15" customHeight="1" s="71">
      <c r="A731" s="248" t="n">
        <v>726</v>
      </c>
      <c r="B731" s="249" t="n"/>
      <c r="C731" s="249" t="n"/>
      <c r="D731" s="249" t="n"/>
      <c r="E731" s="248" t="n"/>
      <c r="F731" s="248" t="n"/>
      <c r="G731" s="248" t="n"/>
      <c r="H731" s="250">
        <f>IF(AND(E731&lt;&gt;"",G731&lt;&gt;""),E731*G731,"")</f>
      </c>
      <c r="I731" s="249" t="n"/>
      <c r="J731" s="249" t="n"/>
    </row>
    <row r="732" ht="15" customHeight="1" s="71">
      <c r="A732" s="244" t="n">
        <v>727</v>
      </c>
      <c r="B732" s="245" t="n"/>
      <c r="C732" s="245" t="n"/>
      <c r="D732" s="245" t="n"/>
      <c r="E732" s="244" t="n"/>
      <c r="F732" s="244" t="n"/>
      <c r="G732" s="244" t="n"/>
      <c r="H732" s="246">
        <f>IF(AND(E732&lt;&gt;"",G732&lt;&gt;""),E732*G732,"")</f>
      </c>
      <c r="I732" s="245" t="n"/>
      <c r="J732" s="245" t="n"/>
    </row>
    <row r="733" ht="15" customHeight="1" s="71">
      <c r="A733" s="248" t="n">
        <v>728</v>
      </c>
      <c r="B733" s="249" t="n"/>
      <c r="C733" s="249" t="n"/>
      <c r="D733" s="249" t="n"/>
      <c r="E733" s="248" t="n"/>
      <c r="F733" s="248" t="n"/>
      <c r="G733" s="248" t="n"/>
      <c r="H733" s="250">
        <f>IF(AND(E733&lt;&gt;"",G733&lt;&gt;""),E733*G733,"")</f>
      </c>
      <c r="I733" s="249" t="n"/>
      <c r="J733" s="249" t="n"/>
    </row>
    <row r="734" ht="15" customHeight="1" s="71">
      <c r="A734" s="244" t="n">
        <v>729</v>
      </c>
      <c r="B734" s="245" t="n"/>
      <c r="C734" s="245" t="n"/>
      <c r="D734" s="245" t="n"/>
      <c r="E734" s="244" t="n"/>
      <c r="F734" s="244" t="n"/>
      <c r="G734" s="244" t="n"/>
      <c r="H734" s="246">
        <f>IF(AND(E734&lt;&gt;"",G734&lt;&gt;""),E734*G734,"")</f>
      </c>
      <c r="I734" s="245" t="n"/>
      <c r="J734" s="245" t="n"/>
    </row>
    <row r="735" ht="15" customHeight="1" s="71">
      <c r="A735" s="248" t="n">
        <v>730</v>
      </c>
      <c r="B735" s="249" t="n"/>
      <c r="C735" s="249" t="n"/>
      <c r="D735" s="249" t="n"/>
      <c r="E735" s="248" t="n"/>
      <c r="F735" s="248" t="n"/>
      <c r="G735" s="248" t="n"/>
      <c r="H735" s="250">
        <f>IF(AND(E735&lt;&gt;"",G735&lt;&gt;""),E735*G735,"")</f>
      </c>
      <c r="I735" s="249" t="n"/>
      <c r="J735" s="249" t="n"/>
    </row>
    <row r="736" ht="15" customHeight="1" s="71">
      <c r="A736" s="244" t="n">
        <v>731</v>
      </c>
      <c r="B736" s="245" t="n"/>
      <c r="C736" s="245" t="n"/>
      <c r="D736" s="245" t="n"/>
      <c r="E736" s="244" t="n"/>
      <c r="F736" s="244" t="n"/>
      <c r="G736" s="244" t="n"/>
      <c r="H736" s="246">
        <f>IF(AND(E736&lt;&gt;"",G736&lt;&gt;""),E736*G736,"")</f>
      </c>
      <c r="I736" s="245" t="n"/>
      <c r="J736" s="245" t="n"/>
    </row>
    <row r="737" ht="15" customHeight="1" s="71">
      <c r="A737" s="248" t="n">
        <v>732</v>
      </c>
      <c r="B737" s="249" t="n"/>
      <c r="C737" s="249" t="n"/>
      <c r="D737" s="249" t="n"/>
      <c r="E737" s="248" t="n"/>
      <c r="F737" s="248" t="n"/>
      <c r="G737" s="248" t="n"/>
      <c r="H737" s="250">
        <f>IF(AND(E737&lt;&gt;"",G737&lt;&gt;""),E737*G737,"")</f>
      </c>
      <c r="I737" s="249" t="n"/>
      <c r="J737" s="249" t="n"/>
    </row>
    <row r="738" ht="15" customHeight="1" s="71">
      <c r="A738" s="244" t="n">
        <v>733</v>
      </c>
      <c r="B738" s="245" t="n"/>
      <c r="C738" s="245" t="n"/>
      <c r="D738" s="245" t="n"/>
      <c r="E738" s="244" t="n"/>
      <c r="F738" s="244" t="n"/>
      <c r="G738" s="244" t="n"/>
      <c r="H738" s="246">
        <f>IF(AND(E738&lt;&gt;"",G738&lt;&gt;""),E738*G738,"")</f>
      </c>
      <c r="I738" s="245" t="n"/>
      <c r="J738" s="245" t="n"/>
    </row>
    <row r="739" ht="15" customHeight="1" s="71">
      <c r="A739" s="248" t="n">
        <v>734</v>
      </c>
      <c r="B739" s="249" t="n"/>
      <c r="C739" s="249" t="n"/>
      <c r="D739" s="249" t="n"/>
      <c r="E739" s="248" t="n"/>
      <c r="F739" s="248" t="n"/>
      <c r="G739" s="248" t="n"/>
      <c r="H739" s="250">
        <f>IF(AND(E739&lt;&gt;"",G739&lt;&gt;""),E739*G739,"")</f>
      </c>
      <c r="I739" s="249" t="n"/>
      <c r="J739" s="249" t="n"/>
    </row>
    <row r="740" ht="15" customHeight="1" s="71">
      <c r="A740" s="244" t="n">
        <v>735</v>
      </c>
      <c r="B740" s="245" t="n"/>
      <c r="C740" s="245" t="n"/>
      <c r="D740" s="245" t="n"/>
      <c r="E740" s="244" t="n"/>
      <c r="F740" s="244" t="n"/>
      <c r="G740" s="244" t="n"/>
      <c r="H740" s="246">
        <f>IF(AND(E740&lt;&gt;"",G740&lt;&gt;""),E740*G740,"")</f>
      </c>
      <c r="I740" s="245" t="n"/>
      <c r="J740" s="245" t="n"/>
    </row>
    <row r="741" ht="15" customHeight="1" s="71">
      <c r="A741" s="248" t="n">
        <v>736</v>
      </c>
      <c r="B741" s="249" t="n"/>
      <c r="C741" s="249" t="n"/>
      <c r="D741" s="249" t="n"/>
      <c r="E741" s="248" t="n"/>
      <c r="F741" s="248" t="n"/>
      <c r="G741" s="248" t="n"/>
      <c r="H741" s="250">
        <f>IF(AND(E741&lt;&gt;"",G741&lt;&gt;""),E741*G741,"")</f>
      </c>
      <c r="I741" s="249" t="n"/>
      <c r="J741" s="249" t="n"/>
    </row>
    <row r="742" ht="15" customHeight="1" s="71">
      <c r="A742" s="244" t="n">
        <v>737</v>
      </c>
      <c r="B742" s="245" t="n"/>
      <c r="C742" s="245" t="n"/>
      <c r="D742" s="245" t="n"/>
      <c r="E742" s="244" t="n"/>
      <c r="F742" s="244" t="n"/>
      <c r="G742" s="244" t="n"/>
      <c r="H742" s="246">
        <f>IF(AND(E742&lt;&gt;"",G742&lt;&gt;""),E742*G742,"")</f>
      </c>
      <c r="I742" s="245" t="n"/>
      <c r="J742" s="245" t="n"/>
    </row>
    <row r="743" ht="15" customHeight="1" s="71">
      <c r="A743" s="248" t="n">
        <v>738</v>
      </c>
      <c r="B743" s="249" t="n"/>
      <c r="C743" s="249" t="n"/>
      <c r="D743" s="249" t="n"/>
      <c r="E743" s="248" t="n"/>
      <c r="F743" s="248" t="n"/>
      <c r="G743" s="248" t="n"/>
      <c r="H743" s="250">
        <f>IF(AND(E743&lt;&gt;"",G743&lt;&gt;""),E743*G743,"")</f>
      </c>
      <c r="I743" s="249" t="n"/>
      <c r="J743" s="249" t="n"/>
    </row>
    <row r="744" ht="15" customHeight="1" s="71">
      <c r="A744" s="244" t="n">
        <v>739</v>
      </c>
      <c r="B744" s="245" t="n"/>
      <c r="C744" s="245" t="n"/>
      <c r="D744" s="245" t="n"/>
      <c r="E744" s="244" t="n"/>
      <c r="F744" s="244" t="n"/>
      <c r="G744" s="244" t="n"/>
      <c r="H744" s="246">
        <f>IF(AND(E744&lt;&gt;"",G744&lt;&gt;""),E744*G744,"")</f>
      </c>
      <c r="I744" s="245" t="n"/>
      <c r="J744" s="245" t="n"/>
    </row>
    <row r="745" ht="15" customHeight="1" s="71">
      <c r="A745" s="248" t="n">
        <v>740</v>
      </c>
      <c r="B745" s="249" t="n"/>
      <c r="C745" s="249" t="n"/>
      <c r="D745" s="249" t="n"/>
      <c r="E745" s="248" t="n"/>
      <c r="F745" s="248" t="n"/>
      <c r="G745" s="248" t="n"/>
      <c r="H745" s="250">
        <f>IF(AND(E745&lt;&gt;"",G745&lt;&gt;""),E745*G745,"")</f>
      </c>
      <c r="I745" s="249" t="n"/>
      <c r="J745" s="249" t="n"/>
    </row>
    <row r="746" ht="15" customHeight="1" s="71">
      <c r="A746" s="244" t="n">
        <v>741</v>
      </c>
      <c r="B746" s="245" t="n"/>
      <c r="C746" s="245" t="n"/>
      <c r="D746" s="245" t="n"/>
      <c r="E746" s="244" t="n"/>
      <c r="F746" s="244" t="n"/>
      <c r="G746" s="244" t="n"/>
      <c r="H746" s="246">
        <f>IF(AND(E746&lt;&gt;"",G746&lt;&gt;""),E746*G746,"")</f>
      </c>
      <c r="I746" s="245" t="n"/>
      <c r="J746" s="245" t="n"/>
    </row>
    <row r="747" ht="15" customHeight="1" s="71">
      <c r="A747" s="248" t="n">
        <v>742</v>
      </c>
      <c r="B747" s="249" t="n"/>
      <c r="C747" s="249" t="n"/>
      <c r="D747" s="249" t="n"/>
      <c r="E747" s="248" t="n"/>
      <c r="F747" s="248" t="n"/>
      <c r="G747" s="248" t="n"/>
      <c r="H747" s="250">
        <f>IF(AND(E747&lt;&gt;"",G747&lt;&gt;""),E747*G747,"")</f>
      </c>
      <c r="I747" s="249" t="n"/>
      <c r="J747" s="249" t="n"/>
    </row>
    <row r="748" ht="15" customHeight="1" s="71">
      <c r="A748" s="244" t="n">
        <v>743</v>
      </c>
      <c r="B748" s="245" t="n"/>
      <c r="C748" s="245" t="n"/>
      <c r="D748" s="245" t="n"/>
      <c r="E748" s="244" t="n"/>
      <c r="F748" s="244" t="n"/>
      <c r="G748" s="244" t="n"/>
      <c r="H748" s="246">
        <f>IF(AND(E748&lt;&gt;"",G748&lt;&gt;""),E748*G748,"")</f>
      </c>
      <c r="I748" s="245" t="n"/>
      <c r="J748" s="245" t="n"/>
    </row>
    <row r="749" ht="15" customHeight="1" s="71">
      <c r="A749" s="248" t="n">
        <v>744</v>
      </c>
      <c r="B749" s="249" t="n"/>
      <c r="C749" s="249" t="n"/>
      <c r="D749" s="249" t="n"/>
      <c r="E749" s="248" t="n"/>
      <c r="F749" s="248" t="n"/>
      <c r="G749" s="248" t="n"/>
      <c r="H749" s="250">
        <f>IF(AND(E749&lt;&gt;"",G749&lt;&gt;""),E749*G749,"")</f>
      </c>
      <c r="I749" s="249" t="n"/>
      <c r="J749" s="249" t="n"/>
    </row>
    <row r="750" ht="15" customHeight="1" s="71">
      <c r="A750" s="244" t="n">
        <v>745</v>
      </c>
      <c r="B750" s="245" t="n"/>
      <c r="C750" s="245" t="n"/>
      <c r="D750" s="245" t="n"/>
      <c r="E750" s="244" t="n"/>
      <c r="F750" s="244" t="n"/>
      <c r="G750" s="244" t="n"/>
      <c r="H750" s="246">
        <f>IF(AND(E750&lt;&gt;"",G750&lt;&gt;""),E750*G750,"")</f>
      </c>
      <c r="I750" s="245" t="n"/>
      <c r="J750" s="245" t="n"/>
    </row>
    <row r="751" ht="15" customHeight="1" s="71">
      <c r="A751" s="248" t="n">
        <v>746</v>
      </c>
      <c r="B751" s="249" t="n"/>
      <c r="C751" s="249" t="n"/>
      <c r="D751" s="249" t="n"/>
      <c r="E751" s="248" t="n"/>
      <c r="F751" s="248" t="n"/>
      <c r="G751" s="248" t="n"/>
      <c r="H751" s="250">
        <f>IF(AND(E751&lt;&gt;"",G751&lt;&gt;""),E751*G751,"")</f>
      </c>
      <c r="I751" s="249" t="n"/>
      <c r="J751" s="249" t="n"/>
    </row>
    <row r="752" ht="15" customHeight="1" s="71">
      <c r="A752" s="244" t="n">
        <v>747</v>
      </c>
      <c r="B752" s="245" t="n"/>
      <c r="C752" s="245" t="n"/>
      <c r="D752" s="245" t="n"/>
      <c r="E752" s="244" t="n"/>
      <c r="F752" s="244" t="n"/>
      <c r="G752" s="244" t="n"/>
      <c r="H752" s="246">
        <f>IF(AND(E752&lt;&gt;"",G752&lt;&gt;""),E752*G752,"")</f>
      </c>
      <c r="I752" s="245" t="n"/>
      <c r="J752" s="245" t="n"/>
    </row>
    <row r="753" ht="15" customHeight="1" s="71">
      <c r="A753" s="248" t="n">
        <v>748</v>
      </c>
      <c r="B753" s="249" t="n"/>
      <c r="C753" s="249" t="n"/>
      <c r="D753" s="249" t="n"/>
      <c r="E753" s="248" t="n"/>
      <c r="F753" s="248" t="n"/>
      <c r="G753" s="248" t="n"/>
      <c r="H753" s="250">
        <f>IF(AND(E753&lt;&gt;"",G753&lt;&gt;""),E753*G753,"")</f>
      </c>
      <c r="I753" s="249" t="n"/>
      <c r="J753" s="249" t="n"/>
    </row>
    <row r="754" ht="15" customHeight="1" s="71">
      <c r="A754" s="244" t="n">
        <v>749</v>
      </c>
      <c r="B754" s="245" t="n"/>
      <c r="C754" s="245" t="n"/>
      <c r="D754" s="245" t="n"/>
      <c r="E754" s="244" t="n"/>
      <c r="F754" s="244" t="n"/>
      <c r="G754" s="244" t="n"/>
      <c r="H754" s="246">
        <f>IF(AND(E754&lt;&gt;"",G754&lt;&gt;""),E754*G754,"")</f>
      </c>
      <c r="I754" s="245" t="n"/>
      <c r="J754" s="245" t="n"/>
    </row>
    <row r="755" ht="15" customHeight="1" s="71">
      <c r="A755" s="248" t="n">
        <v>750</v>
      </c>
      <c r="B755" s="249" t="n"/>
      <c r="C755" s="249" t="n"/>
      <c r="D755" s="249" t="n"/>
      <c r="E755" s="248" t="n"/>
      <c r="F755" s="248" t="n"/>
      <c r="G755" s="248" t="n"/>
      <c r="H755" s="250">
        <f>IF(AND(E755&lt;&gt;"",G755&lt;&gt;""),E755*G755,"")</f>
      </c>
      <c r="I755" s="249" t="n"/>
      <c r="J755" s="249" t="n"/>
    </row>
    <row r="756" ht="15" customHeight="1" s="71">
      <c r="A756" s="244" t="n">
        <v>751</v>
      </c>
      <c r="B756" s="245" t="n"/>
      <c r="C756" s="245" t="n"/>
      <c r="D756" s="245" t="n"/>
      <c r="E756" s="244" t="n"/>
      <c r="F756" s="244" t="n"/>
      <c r="G756" s="244" t="n"/>
      <c r="H756" s="246">
        <f>IF(AND(E756&lt;&gt;"",G756&lt;&gt;""),E756*G756,"")</f>
      </c>
      <c r="I756" s="245" t="n"/>
      <c r="J756" s="245" t="n"/>
    </row>
    <row r="757" ht="15" customHeight="1" s="71">
      <c r="A757" s="248" t="n">
        <v>752</v>
      </c>
      <c r="B757" s="249" t="n"/>
      <c r="C757" s="249" t="n"/>
      <c r="D757" s="249" t="n"/>
      <c r="E757" s="248" t="n"/>
      <c r="F757" s="248" t="n"/>
      <c r="G757" s="248" t="n"/>
      <c r="H757" s="250">
        <f>IF(AND(E757&lt;&gt;"",G757&lt;&gt;""),E757*G757,"")</f>
      </c>
      <c r="I757" s="249" t="n"/>
      <c r="J757" s="249" t="n"/>
    </row>
    <row r="758" ht="15" customHeight="1" s="71">
      <c r="A758" s="244" t="n">
        <v>753</v>
      </c>
      <c r="B758" s="245" t="n"/>
      <c r="C758" s="245" t="n"/>
      <c r="D758" s="245" t="n"/>
      <c r="E758" s="244" t="n"/>
      <c r="F758" s="244" t="n"/>
      <c r="G758" s="244" t="n"/>
      <c r="H758" s="246">
        <f>IF(AND(E758&lt;&gt;"",G758&lt;&gt;""),E758*G758,"")</f>
      </c>
      <c r="I758" s="245" t="n"/>
      <c r="J758" s="245" t="n"/>
    </row>
    <row r="759" ht="15" customHeight="1" s="71">
      <c r="A759" s="248" t="n">
        <v>754</v>
      </c>
      <c r="B759" s="249" t="n"/>
      <c r="C759" s="249" t="n"/>
      <c r="D759" s="249" t="n"/>
      <c r="E759" s="248" t="n"/>
      <c r="F759" s="248" t="n"/>
      <c r="G759" s="248" t="n"/>
      <c r="H759" s="250">
        <f>IF(AND(E759&lt;&gt;"",G759&lt;&gt;""),E759*G759,"")</f>
      </c>
      <c r="I759" s="249" t="n"/>
      <c r="J759" s="249" t="n"/>
    </row>
    <row r="760" ht="15" customHeight="1" s="71">
      <c r="A760" s="244" t="n">
        <v>755</v>
      </c>
      <c r="B760" s="245" t="n"/>
      <c r="C760" s="245" t="n"/>
      <c r="D760" s="245" t="n"/>
      <c r="E760" s="244" t="n"/>
      <c r="F760" s="244" t="n"/>
      <c r="G760" s="244" t="n"/>
      <c r="H760" s="246">
        <f>IF(AND(E760&lt;&gt;"",G760&lt;&gt;""),E760*G760,"")</f>
      </c>
      <c r="I760" s="245" t="n"/>
      <c r="J760" s="245" t="n"/>
    </row>
    <row r="761" ht="15" customHeight="1" s="71">
      <c r="A761" s="248" t="n">
        <v>756</v>
      </c>
      <c r="B761" s="249" t="n"/>
      <c r="C761" s="249" t="n"/>
      <c r="D761" s="249" t="n"/>
      <c r="E761" s="248" t="n"/>
      <c r="F761" s="248" t="n"/>
      <c r="G761" s="248" t="n"/>
      <c r="H761" s="250">
        <f>IF(AND(E761&lt;&gt;"",G761&lt;&gt;""),E761*G761,"")</f>
      </c>
      <c r="I761" s="249" t="n"/>
      <c r="J761" s="249" t="n"/>
    </row>
    <row r="762" ht="15" customHeight="1" s="71">
      <c r="A762" s="244" t="n">
        <v>757</v>
      </c>
      <c r="B762" s="245" t="n"/>
      <c r="C762" s="245" t="n"/>
      <c r="D762" s="245" t="n"/>
      <c r="E762" s="244" t="n"/>
      <c r="F762" s="244" t="n"/>
      <c r="G762" s="244" t="n"/>
      <c r="H762" s="246">
        <f>IF(AND(E762&lt;&gt;"",G762&lt;&gt;""),E762*G762,"")</f>
      </c>
      <c r="I762" s="245" t="n"/>
      <c r="J762" s="245" t="n"/>
    </row>
    <row r="763" ht="15" customHeight="1" s="71">
      <c r="A763" s="248" t="n">
        <v>758</v>
      </c>
      <c r="B763" s="249" t="n"/>
      <c r="C763" s="249" t="n"/>
      <c r="D763" s="249" t="n"/>
      <c r="E763" s="248" t="n"/>
      <c r="F763" s="248" t="n"/>
      <c r="G763" s="248" t="n"/>
      <c r="H763" s="250">
        <f>IF(AND(E763&lt;&gt;"",G763&lt;&gt;""),E763*G763,"")</f>
      </c>
      <c r="I763" s="249" t="n"/>
      <c r="J763" s="249" t="n"/>
    </row>
    <row r="764" ht="15" customHeight="1" s="71">
      <c r="A764" s="244" t="n">
        <v>759</v>
      </c>
      <c r="B764" s="245" t="n"/>
      <c r="C764" s="245" t="n"/>
      <c r="D764" s="245" t="n"/>
      <c r="E764" s="244" t="n"/>
      <c r="F764" s="244" t="n"/>
      <c r="G764" s="244" t="n"/>
      <c r="H764" s="246">
        <f>IF(AND(E764&lt;&gt;"",G764&lt;&gt;""),E764*G764,"")</f>
      </c>
      <c r="I764" s="245" t="n"/>
      <c r="J764" s="245" t="n"/>
    </row>
    <row r="765" ht="15" customHeight="1" s="71">
      <c r="A765" s="248" t="n">
        <v>760</v>
      </c>
      <c r="B765" s="249" t="n"/>
      <c r="C765" s="249" t="n"/>
      <c r="D765" s="249" t="n"/>
      <c r="E765" s="248" t="n"/>
      <c r="F765" s="248" t="n"/>
      <c r="G765" s="248" t="n"/>
      <c r="H765" s="250">
        <f>IF(AND(E765&lt;&gt;"",G765&lt;&gt;""),E765*G765,"")</f>
      </c>
      <c r="I765" s="249" t="n"/>
      <c r="J765" s="249" t="n"/>
    </row>
    <row r="766" ht="15" customHeight="1" s="71">
      <c r="A766" s="244" t="n">
        <v>761</v>
      </c>
      <c r="B766" s="245" t="n"/>
      <c r="C766" s="245" t="n"/>
      <c r="D766" s="245" t="n"/>
      <c r="E766" s="244" t="n"/>
      <c r="F766" s="244" t="n"/>
      <c r="G766" s="244" t="n"/>
      <c r="H766" s="246">
        <f>IF(AND(E766&lt;&gt;"",G766&lt;&gt;""),E766*G766,"")</f>
      </c>
      <c r="I766" s="245" t="n"/>
      <c r="J766" s="245" t="n"/>
    </row>
    <row r="767" ht="15" customHeight="1" s="71">
      <c r="A767" s="248" t="n">
        <v>762</v>
      </c>
      <c r="B767" s="249" t="n"/>
      <c r="C767" s="249" t="n"/>
      <c r="D767" s="249" t="n"/>
      <c r="E767" s="248" t="n"/>
      <c r="F767" s="248" t="n"/>
      <c r="G767" s="248" t="n"/>
      <c r="H767" s="250">
        <f>IF(AND(E767&lt;&gt;"",G767&lt;&gt;""),E767*G767,"")</f>
      </c>
      <c r="I767" s="249" t="n"/>
      <c r="J767" s="249" t="n"/>
    </row>
    <row r="768" ht="15" customHeight="1" s="71">
      <c r="A768" s="244" t="n">
        <v>763</v>
      </c>
      <c r="B768" s="245" t="n"/>
      <c r="C768" s="245" t="n"/>
      <c r="D768" s="245" t="n"/>
      <c r="E768" s="244" t="n"/>
      <c r="F768" s="244" t="n"/>
      <c r="G768" s="244" t="n"/>
      <c r="H768" s="246">
        <f>IF(AND(E768&lt;&gt;"",G768&lt;&gt;""),E768*G768,"")</f>
      </c>
      <c r="I768" s="245" t="n"/>
      <c r="J768" s="245" t="n"/>
    </row>
    <row r="769" ht="15" customHeight="1" s="71">
      <c r="A769" s="248" t="n">
        <v>764</v>
      </c>
      <c r="B769" s="249" t="n"/>
      <c r="C769" s="249" t="n"/>
      <c r="D769" s="249" t="n"/>
      <c r="E769" s="248" t="n"/>
      <c r="F769" s="248" t="n"/>
      <c r="G769" s="248" t="n"/>
      <c r="H769" s="250">
        <f>IF(AND(E769&lt;&gt;"",G769&lt;&gt;""),E769*G769,"")</f>
      </c>
      <c r="I769" s="249" t="n"/>
      <c r="J769" s="249" t="n"/>
    </row>
    <row r="770" ht="15" customHeight="1" s="71">
      <c r="A770" s="244" t="n">
        <v>765</v>
      </c>
      <c r="B770" s="245" t="n"/>
      <c r="C770" s="245" t="n"/>
      <c r="D770" s="245" t="n"/>
      <c r="E770" s="244" t="n"/>
      <c r="F770" s="244" t="n"/>
      <c r="G770" s="244" t="n"/>
      <c r="H770" s="246">
        <f>IF(AND(E770&lt;&gt;"",G770&lt;&gt;""),E770*G770,"")</f>
      </c>
      <c r="I770" s="245" t="n"/>
      <c r="J770" s="245" t="n"/>
    </row>
    <row r="771" ht="15" customHeight="1" s="71">
      <c r="A771" s="248" t="n">
        <v>766</v>
      </c>
      <c r="B771" s="249" t="n"/>
      <c r="C771" s="249" t="n"/>
      <c r="D771" s="249" t="n"/>
      <c r="E771" s="248" t="n"/>
      <c r="F771" s="248" t="n"/>
      <c r="G771" s="248" t="n"/>
      <c r="H771" s="250">
        <f>IF(AND(E771&lt;&gt;"",G771&lt;&gt;""),E771*G771,"")</f>
      </c>
      <c r="I771" s="249" t="n"/>
      <c r="J771" s="249" t="n"/>
    </row>
    <row r="772" ht="15" customHeight="1" s="71">
      <c r="A772" s="244" t="n">
        <v>767</v>
      </c>
      <c r="B772" s="245" t="n"/>
      <c r="C772" s="245" t="n"/>
      <c r="D772" s="245" t="n"/>
      <c r="E772" s="244" t="n"/>
      <c r="F772" s="244" t="n"/>
      <c r="G772" s="244" t="n"/>
      <c r="H772" s="246">
        <f>IF(AND(E772&lt;&gt;"",G772&lt;&gt;""),E772*G772,"")</f>
      </c>
      <c r="I772" s="245" t="n"/>
      <c r="J772" s="245" t="n"/>
    </row>
    <row r="773" ht="15" customHeight="1" s="71">
      <c r="A773" s="248" t="n">
        <v>768</v>
      </c>
      <c r="B773" s="249" t="n"/>
      <c r="C773" s="249" t="n"/>
      <c r="D773" s="249" t="n"/>
      <c r="E773" s="248" t="n"/>
      <c r="F773" s="248" t="n"/>
      <c r="G773" s="248" t="n"/>
      <c r="H773" s="250">
        <f>IF(AND(E773&lt;&gt;"",G773&lt;&gt;""),E773*G773,"")</f>
      </c>
      <c r="I773" s="249" t="n"/>
      <c r="J773" s="249" t="n"/>
    </row>
    <row r="774" ht="15" customHeight="1" s="71">
      <c r="A774" s="244" t="n">
        <v>769</v>
      </c>
      <c r="B774" s="245" t="n"/>
      <c r="C774" s="245" t="n"/>
      <c r="D774" s="245" t="n"/>
      <c r="E774" s="244" t="n"/>
      <c r="F774" s="244" t="n"/>
      <c r="G774" s="244" t="n"/>
      <c r="H774" s="246">
        <f>IF(AND(E774&lt;&gt;"",G774&lt;&gt;""),E774*G774,"")</f>
      </c>
      <c r="I774" s="245" t="n"/>
      <c r="J774" s="245" t="n"/>
    </row>
    <row r="775" ht="15" customHeight="1" s="71">
      <c r="A775" s="248" t="n">
        <v>770</v>
      </c>
      <c r="B775" s="249" t="n"/>
      <c r="C775" s="249" t="n"/>
      <c r="D775" s="249" t="n"/>
      <c r="E775" s="248" t="n"/>
      <c r="F775" s="248" t="n"/>
      <c r="G775" s="248" t="n"/>
      <c r="H775" s="250">
        <f>IF(AND(E775&lt;&gt;"",G775&lt;&gt;""),E775*G775,"")</f>
      </c>
      <c r="I775" s="249" t="n"/>
      <c r="J775" s="249" t="n"/>
    </row>
    <row r="776" ht="15" customHeight="1" s="71">
      <c r="A776" s="244" t="n">
        <v>771</v>
      </c>
      <c r="B776" s="245" t="n"/>
      <c r="C776" s="245" t="n"/>
      <c r="D776" s="245" t="n"/>
      <c r="E776" s="244" t="n"/>
      <c r="F776" s="244" t="n"/>
      <c r="G776" s="244" t="n"/>
      <c r="H776" s="246">
        <f>IF(AND(E776&lt;&gt;"",G776&lt;&gt;""),E776*G776,"")</f>
      </c>
      <c r="I776" s="245" t="n"/>
      <c r="J776" s="245" t="n"/>
    </row>
    <row r="777" ht="15" customHeight="1" s="71">
      <c r="A777" s="248" t="n">
        <v>772</v>
      </c>
      <c r="B777" s="249" t="n"/>
      <c r="C777" s="249" t="n"/>
      <c r="D777" s="249" t="n"/>
      <c r="E777" s="248" t="n"/>
      <c r="F777" s="248" t="n"/>
      <c r="G777" s="248" t="n"/>
      <c r="H777" s="250">
        <f>IF(AND(E777&lt;&gt;"",G777&lt;&gt;""),E777*G777,"")</f>
      </c>
      <c r="I777" s="249" t="n"/>
      <c r="J777" s="249" t="n"/>
    </row>
    <row r="778" ht="15" customHeight="1" s="71">
      <c r="A778" s="244" t="n">
        <v>773</v>
      </c>
      <c r="B778" s="245" t="n"/>
      <c r="C778" s="245" t="n"/>
      <c r="D778" s="245" t="n"/>
      <c r="E778" s="244" t="n"/>
      <c r="F778" s="244" t="n"/>
      <c r="G778" s="244" t="n"/>
      <c r="H778" s="246">
        <f>IF(AND(E778&lt;&gt;"",G778&lt;&gt;""),E778*G778,"")</f>
      </c>
      <c r="I778" s="245" t="n"/>
      <c r="J778" s="245" t="n"/>
    </row>
    <row r="779" ht="15" customHeight="1" s="71">
      <c r="A779" s="248" t="n">
        <v>774</v>
      </c>
      <c r="B779" s="249" t="n"/>
      <c r="C779" s="249" t="n"/>
      <c r="D779" s="249" t="n"/>
      <c r="E779" s="248" t="n"/>
      <c r="F779" s="248" t="n"/>
      <c r="G779" s="248" t="n"/>
      <c r="H779" s="250">
        <f>IF(AND(E779&lt;&gt;"",G779&lt;&gt;""),E779*G779,"")</f>
      </c>
      <c r="I779" s="249" t="n"/>
      <c r="J779" s="249" t="n"/>
    </row>
    <row r="780" ht="15" customHeight="1" s="71">
      <c r="A780" s="244" t="n">
        <v>775</v>
      </c>
      <c r="B780" s="245" t="n"/>
      <c r="C780" s="245" t="n"/>
      <c r="D780" s="245" t="n"/>
      <c r="E780" s="244" t="n"/>
      <c r="F780" s="244" t="n"/>
      <c r="G780" s="244" t="n"/>
      <c r="H780" s="246">
        <f>IF(AND(E780&lt;&gt;"",G780&lt;&gt;""),E780*G780,"")</f>
      </c>
      <c r="I780" s="245" t="n"/>
      <c r="J780" s="245" t="n"/>
    </row>
    <row r="781" ht="15" customHeight="1" s="71">
      <c r="A781" s="248" t="n">
        <v>776</v>
      </c>
      <c r="B781" s="249" t="n"/>
      <c r="C781" s="249" t="n"/>
      <c r="D781" s="249" t="n"/>
      <c r="E781" s="248" t="n"/>
      <c r="F781" s="248" t="n"/>
      <c r="G781" s="248" t="n"/>
      <c r="H781" s="250">
        <f>IF(AND(E781&lt;&gt;"",G781&lt;&gt;""),E781*G781,"")</f>
      </c>
      <c r="I781" s="249" t="n"/>
      <c r="J781" s="249" t="n"/>
    </row>
    <row r="782" ht="15" customHeight="1" s="71">
      <c r="A782" s="244" t="n">
        <v>777</v>
      </c>
      <c r="B782" s="245" t="n"/>
      <c r="C782" s="245" t="n"/>
      <c r="D782" s="245" t="n"/>
      <c r="E782" s="244" t="n"/>
      <c r="F782" s="244" t="n"/>
      <c r="G782" s="244" t="n"/>
      <c r="H782" s="246">
        <f>IF(AND(E782&lt;&gt;"",G782&lt;&gt;""),E782*G782,"")</f>
      </c>
      <c r="I782" s="245" t="n"/>
      <c r="J782" s="245" t="n"/>
    </row>
    <row r="783" ht="15" customHeight="1" s="71">
      <c r="A783" s="248" t="n">
        <v>778</v>
      </c>
      <c r="B783" s="249" t="n"/>
      <c r="C783" s="249" t="n"/>
      <c r="D783" s="249" t="n"/>
      <c r="E783" s="248" t="n"/>
      <c r="F783" s="248" t="n"/>
      <c r="G783" s="248" t="n"/>
      <c r="H783" s="250">
        <f>IF(AND(E783&lt;&gt;"",G783&lt;&gt;""),E783*G783,"")</f>
      </c>
      <c r="I783" s="249" t="n"/>
      <c r="J783" s="249" t="n"/>
    </row>
    <row r="784" ht="15" customHeight="1" s="71">
      <c r="A784" s="244" t="n">
        <v>779</v>
      </c>
      <c r="B784" s="245" t="n"/>
      <c r="C784" s="245" t="n"/>
      <c r="D784" s="245" t="n"/>
      <c r="E784" s="244" t="n"/>
      <c r="F784" s="244" t="n"/>
      <c r="G784" s="244" t="n"/>
      <c r="H784" s="246">
        <f>IF(AND(E784&lt;&gt;"",G784&lt;&gt;""),E784*G784,"")</f>
      </c>
      <c r="I784" s="245" t="n"/>
      <c r="J784" s="245" t="n"/>
    </row>
    <row r="785" ht="15" customHeight="1" s="71">
      <c r="A785" s="248" t="n">
        <v>780</v>
      </c>
      <c r="B785" s="249" t="n"/>
      <c r="C785" s="249" t="n"/>
      <c r="D785" s="249" t="n"/>
      <c r="E785" s="248" t="n"/>
      <c r="F785" s="248" t="n"/>
      <c r="G785" s="248" t="n"/>
      <c r="H785" s="250">
        <f>IF(AND(E785&lt;&gt;"",G785&lt;&gt;""),E785*G785,"")</f>
      </c>
      <c r="I785" s="249" t="n"/>
      <c r="J785" s="249" t="n"/>
    </row>
    <row r="786" ht="15" customHeight="1" s="71">
      <c r="A786" s="244" t="n">
        <v>781</v>
      </c>
      <c r="B786" s="245" t="n"/>
      <c r="C786" s="245" t="n"/>
      <c r="D786" s="245" t="n"/>
      <c r="E786" s="244" t="n"/>
      <c r="F786" s="244" t="n"/>
      <c r="G786" s="244" t="n"/>
      <c r="H786" s="246">
        <f>IF(AND(E786&lt;&gt;"",G786&lt;&gt;""),E786*G786,"")</f>
      </c>
      <c r="I786" s="245" t="n"/>
      <c r="J786" s="245" t="n"/>
    </row>
    <row r="787" ht="15" customHeight="1" s="71">
      <c r="A787" s="248" t="n">
        <v>782</v>
      </c>
      <c r="B787" s="249" t="n"/>
      <c r="C787" s="249" t="n"/>
      <c r="D787" s="249" t="n"/>
      <c r="E787" s="248" t="n"/>
      <c r="F787" s="248" t="n"/>
      <c r="G787" s="248" t="n"/>
      <c r="H787" s="250">
        <f>IF(AND(E787&lt;&gt;"",G787&lt;&gt;""),E787*G787,"")</f>
      </c>
      <c r="I787" s="249" t="n"/>
      <c r="J787" s="249" t="n"/>
    </row>
    <row r="788" ht="15" customHeight="1" s="71">
      <c r="A788" s="244" t="n">
        <v>783</v>
      </c>
      <c r="B788" s="245" t="n"/>
      <c r="C788" s="245" t="n"/>
      <c r="D788" s="245" t="n"/>
      <c r="E788" s="244" t="n"/>
      <c r="F788" s="244" t="n"/>
      <c r="G788" s="244" t="n"/>
      <c r="H788" s="246">
        <f>IF(AND(E788&lt;&gt;"",G788&lt;&gt;""),E788*G788,"")</f>
      </c>
      <c r="I788" s="245" t="n"/>
      <c r="J788" s="245" t="n"/>
    </row>
    <row r="789" ht="15" customHeight="1" s="71">
      <c r="A789" s="248" t="n">
        <v>784</v>
      </c>
      <c r="B789" s="249" t="n"/>
      <c r="C789" s="249" t="n"/>
      <c r="D789" s="249" t="n"/>
      <c r="E789" s="248" t="n"/>
      <c r="F789" s="248" t="n"/>
      <c r="G789" s="248" t="n"/>
      <c r="H789" s="250">
        <f>IF(AND(E789&lt;&gt;"",G789&lt;&gt;""),E789*G789,"")</f>
      </c>
      <c r="I789" s="249" t="n"/>
      <c r="J789" s="249" t="n"/>
    </row>
    <row r="790" ht="15" customHeight="1" s="71">
      <c r="A790" s="244" t="n">
        <v>785</v>
      </c>
      <c r="B790" s="245" t="n"/>
      <c r="C790" s="245" t="n"/>
      <c r="D790" s="245" t="n"/>
      <c r="E790" s="244" t="n"/>
      <c r="F790" s="244" t="n"/>
      <c r="G790" s="244" t="n"/>
      <c r="H790" s="246">
        <f>IF(AND(E790&lt;&gt;"",G790&lt;&gt;""),E790*G790,"")</f>
      </c>
      <c r="I790" s="245" t="n"/>
      <c r="J790" s="245" t="n"/>
    </row>
    <row r="791" ht="15" customHeight="1" s="71">
      <c r="A791" s="248" t="n">
        <v>786</v>
      </c>
      <c r="B791" s="249" t="n"/>
      <c r="C791" s="249" t="n"/>
      <c r="D791" s="249" t="n"/>
      <c r="E791" s="248" t="n"/>
      <c r="F791" s="248" t="n"/>
      <c r="G791" s="248" t="n"/>
      <c r="H791" s="250">
        <f>IF(AND(E791&lt;&gt;"",G791&lt;&gt;""),E791*G791,"")</f>
      </c>
      <c r="I791" s="249" t="n"/>
      <c r="J791" s="249" t="n"/>
    </row>
    <row r="792" ht="15" customHeight="1" s="71">
      <c r="A792" s="244" t="n">
        <v>787</v>
      </c>
      <c r="B792" s="245" t="n"/>
      <c r="C792" s="245" t="n"/>
      <c r="D792" s="245" t="n"/>
      <c r="E792" s="244" t="n"/>
      <c r="F792" s="244" t="n"/>
      <c r="G792" s="244" t="n"/>
      <c r="H792" s="246">
        <f>IF(AND(E792&lt;&gt;"",G792&lt;&gt;""),E792*G792,"")</f>
      </c>
      <c r="I792" s="245" t="n"/>
      <c r="J792" s="245" t="n"/>
    </row>
    <row r="793" ht="15" customHeight="1" s="71">
      <c r="A793" s="248" t="n">
        <v>788</v>
      </c>
      <c r="B793" s="249" t="n"/>
      <c r="C793" s="249" t="n"/>
      <c r="D793" s="249" t="n"/>
      <c r="E793" s="248" t="n"/>
      <c r="F793" s="248" t="n"/>
      <c r="G793" s="248" t="n"/>
      <c r="H793" s="250">
        <f>IF(AND(E793&lt;&gt;"",G793&lt;&gt;""),E793*G793,"")</f>
      </c>
      <c r="I793" s="249" t="n"/>
      <c r="J793" s="249" t="n"/>
    </row>
    <row r="794" ht="15" customHeight="1" s="71">
      <c r="A794" s="244" t="n">
        <v>789</v>
      </c>
      <c r="B794" s="245" t="n"/>
      <c r="C794" s="245" t="n"/>
      <c r="D794" s="245" t="n"/>
      <c r="E794" s="244" t="n"/>
      <c r="F794" s="244" t="n"/>
      <c r="G794" s="244" t="n"/>
      <c r="H794" s="246">
        <f>IF(AND(E794&lt;&gt;"",G794&lt;&gt;""),E794*G794,"")</f>
      </c>
      <c r="I794" s="245" t="n"/>
      <c r="J794" s="245" t="n"/>
    </row>
    <row r="795" ht="15" customHeight="1" s="71">
      <c r="A795" s="248" t="n">
        <v>790</v>
      </c>
      <c r="B795" s="249" t="n"/>
      <c r="C795" s="249" t="n"/>
      <c r="D795" s="249" t="n"/>
      <c r="E795" s="248" t="n"/>
      <c r="F795" s="248" t="n"/>
      <c r="G795" s="248" t="n"/>
      <c r="H795" s="250">
        <f>IF(AND(E795&lt;&gt;"",G795&lt;&gt;""),E795*G795,"")</f>
      </c>
      <c r="I795" s="249" t="n"/>
      <c r="J795" s="249" t="n"/>
    </row>
    <row r="796" ht="15" customHeight="1" s="71">
      <c r="A796" s="244" t="n">
        <v>791</v>
      </c>
      <c r="B796" s="245" t="n"/>
      <c r="C796" s="245" t="n"/>
      <c r="D796" s="245" t="n"/>
      <c r="E796" s="244" t="n"/>
      <c r="F796" s="244" t="n"/>
      <c r="G796" s="244" t="n"/>
      <c r="H796" s="246">
        <f>IF(AND(E796&lt;&gt;"",G796&lt;&gt;""),E796*G796,"")</f>
      </c>
      <c r="I796" s="245" t="n"/>
      <c r="J796" s="245" t="n"/>
    </row>
    <row r="797" ht="15" customHeight="1" s="71">
      <c r="A797" s="248" t="n">
        <v>792</v>
      </c>
      <c r="B797" s="249" t="n"/>
      <c r="C797" s="249" t="n"/>
      <c r="D797" s="249" t="n"/>
      <c r="E797" s="248" t="n"/>
      <c r="F797" s="248" t="n"/>
      <c r="G797" s="248" t="n"/>
      <c r="H797" s="250">
        <f>IF(AND(E797&lt;&gt;"",G797&lt;&gt;""),E797*G797,"")</f>
      </c>
      <c r="I797" s="249" t="n"/>
      <c r="J797" s="249" t="n"/>
    </row>
    <row r="798" ht="15" customHeight="1" s="71">
      <c r="A798" s="244" t="n">
        <v>793</v>
      </c>
      <c r="B798" s="245" t="n"/>
      <c r="C798" s="245" t="n"/>
      <c r="D798" s="245" t="n"/>
      <c r="E798" s="244" t="n"/>
      <c r="F798" s="244" t="n"/>
      <c r="G798" s="244" t="n"/>
      <c r="H798" s="246">
        <f>IF(AND(E798&lt;&gt;"",G798&lt;&gt;""),E798*G798,"")</f>
      </c>
      <c r="I798" s="245" t="n"/>
      <c r="J798" s="245" t="n"/>
    </row>
    <row r="799" ht="15" customHeight="1" s="71">
      <c r="A799" s="248" t="n">
        <v>794</v>
      </c>
      <c r="B799" s="249" t="n"/>
      <c r="C799" s="249" t="n"/>
      <c r="D799" s="249" t="n"/>
      <c r="E799" s="248" t="n"/>
      <c r="F799" s="248" t="n"/>
      <c r="G799" s="248" t="n"/>
      <c r="H799" s="250">
        <f>IF(AND(E799&lt;&gt;"",G799&lt;&gt;""),E799*G799,"")</f>
      </c>
      <c r="I799" s="249" t="n"/>
      <c r="J799" s="249" t="n"/>
    </row>
    <row r="800" ht="15" customHeight="1" s="71">
      <c r="A800" s="244" t="n">
        <v>795</v>
      </c>
      <c r="B800" s="245" t="n"/>
      <c r="C800" s="245" t="n"/>
      <c r="D800" s="245" t="n"/>
      <c r="E800" s="244" t="n"/>
      <c r="F800" s="244" t="n"/>
      <c r="G800" s="244" t="n"/>
      <c r="H800" s="246">
        <f>IF(AND(E800&lt;&gt;"",G800&lt;&gt;""),E800*G800,"")</f>
      </c>
      <c r="I800" s="245" t="n"/>
      <c r="J800" s="245" t="n"/>
    </row>
    <row r="801" ht="15" customHeight="1" s="71">
      <c r="A801" s="248" t="n">
        <v>796</v>
      </c>
      <c r="B801" s="249" t="n"/>
      <c r="C801" s="249" t="n"/>
      <c r="D801" s="249" t="n"/>
      <c r="E801" s="248" t="n"/>
      <c r="F801" s="248" t="n"/>
      <c r="G801" s="248" t="n"/>
      <c r="H801" s="250">
        <f>IF(AND(E801&lt;&gt;"",G801&lt;&gt;""),E801*G801,"")</f>
      </c>
      <c r="I801" s="249" t="n"/>
      <c r="J801" s="249" t="n"/>
    </row>
    <row r="802" ht="15" customHeight="1" s="71">
      <c r="A802" s="244" t="n">
        <v>797</v>
      </c>
      <c r="B802" s="245" t="n"/>
      <c r="C802" s="245" t="n"/>
      <c r="D802" s="245" t="n"/>
      <c r="E802" s="244" t="n"/>
      <c r="F802" s="244" t="n"/>
      <c r="G802" s="244" t="n"/>
      <c r="H802" s="246">
        <f>IF(AND(E802&lt;&gt;"",G802&lt;&gt;""),E802*G802,"")</f>
      </c>
      <c r="I802" s="245" t="n"/>
      <c r="J802" s="245" t="n"/>
    </row>
    <row r="803" ht="15" customHeight="1" s="71">
      <c r="A803" s="248" t="n">
        <v>798</v>
      </c>
      <c r="B803" s="249" t="n"/>
      <c r="C803" s="249" t="n"/>
      <c r="D803" s="249" t="n"/>
      <c r="E803" s="248" t="n"/>
      <c r="F803" s="248" t="n"/>
      <c r="G803" s="248" t="n"/>
      <c r="H803" s="250">
        <f>IF(AND(E803&lt;&gt;"",G803&lt;&gt;""),E803*G803,"")</f>
      </c>
      <c r="I803" s="249" t="n"/>
      <c r="J803" s="249" t="n"/>
    </row>
    <row r="804" ht="15" customHeight="1" s="71">
      <c r="A804" s="244" t="n">
        <v>799</v>
      </c>
      <c r="B804" s="245" t="n"/>
      <c r="C804" s="245" t="n"/>
      <c r="D804" s="245" t="n"/>
      <c r="E804" s="244" t="n"/>
      <c r="F804" s="244" t="n"/>
      <c r="G804" s="244" t="n"/>
      <c r="H804" s="246">
        <f>IF(AND(E804&lt;&gt;"",G804&lt;&gt;""),E804*G804,"")</f>
      </c>
      <c r="I804" s="245" t="n"/>
      <c r="J804" s="245" t="n"/>
    </row>
    <row r="805" ht="15" customHeight="1" s="71">
      <c r="A805" s="248" t="n">
        <v>800</v>
      </c>
      <c r="B805" s="249" t="n"/>
      <c r="C805" s="249" t="n"/>
      <c r="D805" s="249" t="n"/>
      <c r="E805" s="248" t="n"/>
      <c r="F805" s="248" t="n"/>
      <c r="G805" s="248" t="n"/>
      <c r="H805" s="250">
        <f>IF(AND(E805&lt;&gt;"",G805&lt;&gt;""),E805*G805,"")</f>
      </c>
      <c r="I805" s="249" t="n"/>
      <c r="J805" s="249" t="n"/>
    </row>
    <row r="806" ht="15" customHeight="1" s="71">
      <c r="A806" s="244" t="n">
        <v>801</v>
      </c>
      <c r="B806" s="245" t="n"/>
      <c r="C806" s="245" t="n"/>
      <c r="D806" s="245" t="n"/>
      <c r="E806" s="244" t="n"/>
      <c r="F806" s="244" t="n"/>
      <c r="G806" s="244" t="n"/>
      <c r="H806" s="246">
        <f>IF(AND(E806&lt;&gt;"",G806&lt;&gt;""),E806*G806,"")</f>
      </c>
      <c r="I806" s="245" t="n"/>
      <c r="J806" s="245" t="n"/>
    </row>
    <row r="807" ht="15" customHeight="1" s="71">
      <c r="A807" s="248" t="n">
        <v>802</v>
      </c>
      <c r="B807" s="249" t="n"/>
      <c r="C807" s="249" t="n"/>
      <c r="D807" s="249" t="n"/>
      <c r="E807" s="248" t="n"/>
      <c r="F807" s="248" t="n"/>
      <c r="G807" s="248" t="n"/>
      <c r="H807" s="250">
        <f>IF(AND(E807&lt;&gt;"",G807&lt;&gt;""),E807*G807,"")</f>
      </c>
      <c r="I807" s="249" t="n"/>
      <c r="J807" s="249" t="n"/>
    </row>
    <row r="808" ht="15" customHeight="1" s="71">
      <c r="A808" s="244" t="n">
        <v>803</v>
      </c>
      <c r="B808" s="245" t="n"/>
      <c r="C808" s="245" t="n"/>
      <c r="D808" s="245" t="n"/>
      <c r="E808" s="244" t="n"/>
      <c r="F808" s="244" t="n"/>
      <c r="G808" s="244" t="n"/>
      <c r="H808" s="246">
        <f>IF(AND(E808&lt;&gt;"",G808&lt;&gt;""),E808*G808,"")</f>
      </c>
      <c r="I808" s="245" t="n"/>
      <c r="J808" s="245" t="n"/>
    </row>
    <row r="809" ht="15" customHeight="1" s="71">
      <c r="A809" s="248" t="n">
        <v>804</v>
      </c>
      <c r="B809" s="249" t="n"/>
      <c r="C809" s="249" t="n"/>
      <c r="D809" s="249" t="n"/>
      <c r="E809" s="248" t="n"/>
      <c r="F809" s="248" t="n"/>
      <c r="G809" s="248" t="n"/>
      <c r="H809" s="250">
        <f>IF(AND(E809&lt;&gt;"",G809&lt;&gt;""),E809*G809,"")</f>
      </c>
      <c r="I809" s="249" t="n"/>
      <c r="J809" s="249" t="n"/>
    </row>
    <row r="810" ht="15" customHeight="1" s="71">
      <c r="A810" s="244" t="n">
        <v>805</v>
      </c>
      <c r="B810" s="245" t="n"/>
      <c r="C810" s="245" t="n"/>
      <c r="D810" s="245" t="n"/>
      <c r="E810" s="244" t="n"/>
      <c r="F810" s="244" t="n"/>
      <c r="G810" s="244" t="n"/>
      <c r="H810" s="246">
        <f>IF(AND(E810&lt;&gt;"",G810&lt;&gt;""),E810*G810,"")</f>
      </c>
      <c r="I810" s="245" t="n"/>
      <c r="J810" s="245" t="n"/>
    </row>
    <row r="811" ht="15" customHeight="1" s="71">
      <c r="A811" s="248" t="n">
        <v>806</v>
      </c>
      <c r="B811" s="249" t="n"/>
      <c r="C811" s="249" t="n"/>
      <c r="D811" s="249" t="n"/>
      <c r="E811" s="248" t="n"/>
      <c r="F811" s="248" t="n"/>
      <c r="G811" s="248" t="n"/>
      <c r="H811" s="250">
        <f>IF(AND(E811&lt;&gt;"",G811&lt;&gt;""),E811*G811,"")</f>
      </c>
      <c r="I811" s="249" t="n"/>
      <c r="J811" s="249" t="n"/>
    </row>
    <row r="812" ht="15" customHeight="1" s="71">
      <c r="A812" s="244" t="n">
        <v>807</v>
      </c>
      <c r="B812" s="245" t="n"/>
      <c r="C812" s="245" t="n"/>
      <c r="D812" s="245" t="n"/>
      <c r="E812" s="244" t="n"/>
      <c r="F812" s="244" t="n"/>
      <c r="G812" s="244" t="n"/>
      <c r="H812" s="246">
        <f>IF(AND(E812&lt;&gt;"",G812&lt;&gt;""),E812*G812,"")</f>
      </c>
      <c r="I812" s="245" t="n"/>
      <c r="J812" s="245" t="n"/>
    </row>
    <row r="813" ht="15" customHeight="1" s="71">
      <c r="A813" s="248" t="n">
        <v>808</v>
      </c>
      <c r="B813" s="249" t="n"/>
      <c r="C813" s="249" t="n"/>
      <c r="D813" s="249" t="n"/>
      <c r="E813" s="248" t="n"/>
      <c r="F813" s="248" t="n"/>
      <c r="G813" s="248" t="n"/>
      <c r="H813" s="250">
        <f>IF(AND(E813&lt;&gt;"",G813&lt;&gt;""),E813*G813,"")</f>
      </c>
      <c r="I813" s="249" t="n"/>
      <c r="J813" s="249" t="n"/>
    </row>
    <row r="814" ht="15" customHeight="1" s="71">
      <c r="A814" s="244" t="n">
        <v>809</v>
      </c>
      <c r="B814" s="245" t="n"/>
      <c r="C814" s="245" t="n"/>
      <c r="D814" s="245" t="n"/>
      <c r="E814" s="244" t="n"/>
      <c r="F814" s="244" t="n"/>
      <c r="G814" s="244" t="n"/>
      <c r="H814" s="246">
        <f>IF(AND(E814&lt;&gt;"",G814&lt;&gt;""),E814*G814,"")</f>
      </c>
      <c r="I814" s="245" t="n"/>
      <c r="J814" s="245" t="n"/>
    </row>
    <row r="815" ht="15" customHeight="1" s="71">
      <c r="A815" s="248" t="n">
        <v>810</v>
      </c>
      <c r="B815" s="249" t="n"/>
      <c r="C815" s="249" t="n"/>
      <c r="D815" s="249" t="n"/>
      <c r="E815" s="248" t="n"/>
      <c r="F815" s="248" t="n"/>
      <c r="G815" s="248" t="n"/>
      <c r="H815" s="250">
        <f>IF(AND(E815&lt;&gt;"",G815&lt;&gt;""),E815*G815,"")</f>
      </c>
      <c r="I815" s="249" t="n"/>
      <c r="J815" s="249" t="n"/>
    </row>
    <row r="816" ht="15" customHeight="1" s="71">
      <c r="A816" s="244" t="n">
        <v>811</v>
      </c>
      <c r="B816" s="245" t="n"/>
      <c r="C816" s="245" t="n"/>
      <c r="D816" s="245" t="n"/>
      <c r="E816" s="244" t="n"/>
      <c r="F816" s="244" t="n"/>
      <c r="G816" s="244" t="n"/>
      <c r="H816" s="246">
        <f>IF(AND(E816&lt;&gt;"",G816&lt;&gt;""),E816*G816,"")</f>
      </c>
      <c r="I816" s="245" t="n"/>
      <c r="J816" s="245" t="n"/>
    </row>
    <row r="817" ht="15" customHeight="1" s="71">
      <c r="A817" s="248" t="n">
        <v>812</v>
      </c>
      <c r="B817" s="249" t="n"/>
      <c r="C817" s="249" t="n"/>
      <c r="D817" s="249" t="n"/>
      <c r="E817" s="248" t="n"/>
      <c r="F817" s="248" t="n"/>
      <c r="G817" s="248" t="n"/>
      <c r="H817" s="250">
        <f>IF(AND(E817&lt;&gt;"",G817&lt;&gt;""),E817*G817,"")</f>
      </c>
      <c r="I817" s="249" t="n"/>
      <c r="J817" s="249" t="n"/>
    </row>
    <row r="818" ht="15" customHeight="1" s="71">
      <c r="A818" s="244" t="n">
        <v>813</v>
      </c>
      <c r="B818" s="245" t="n"/>
      <c r="C818" s="245" t="n"/>
      <c r="D818" s="245" t="n"/>
      <c r="E818" s="244" t="n"/>
      <c r="F818" s="244" t="n"/>
      <c r="G818" s="244" t="n"/>
      <c r="H818" s="246">
        <f>IF(AND(E818&lt;&gt;"",G818&lt;&gt;""),E818*G818,"")</f>
      </c>
      <c r="I818" s="245" t="n"/>
      <c r="J818" s="245" t="n"/>
    </row>
    <row r="819" ht="15" customHeight="1" s="71">
      <c r="A819" s="248" t="n">
        <v>814</v>
      </c>
      <c r="B819" s="249" t="n"/>
      <c r="C819" s="249" t="n"/>
      <c r="D819" s="249" t="n"/>
      <c r="E819" s="248" t="n"/>
      <c r="F819" s="248" t="n"/>
      <c r="G819" s="248" t="n"/>
      <c r="H819" s="250">
        <f>IF(AND(E819&lt;&gt;"",G819&lt;&gt;""),E819*G819,"")</f>
      </c>
      <c r="I819" s="249" t="n"/>
      <c r="J819" s="249" t="n"/>
    </row>
    <row r="820" ht="15" customHeight="1" s="71">
      <c r="A820" s="244" t="n">
        <v>815</v>
      </c>
      <c r="B820" s="245" t="n"/>
      <c r="C820" s="245" t="n"/>
      <c r="D820" s="245" t="n"/>
      <c r="E820" s="244" t="n"/>
      <c r="F820" s="244" t="n"/>
      <c r="G820" s="244" t="n"/>
      <c r="H820" s="246">
        <f>IF(AND(E820&lt;&gt;"",G820&lt;&gt;""),E820*G820,"")</f>
      </c>
      <c r="I820" s="245" t="n"/>
      <c r="J820" s="245" t="n"/>
    </row>
    <row r="821" ht="15" customHeight="1" s="71">
      <c r="A821" s="248" t="n">
        <v>816</v>
      </c>
      <c r="B821" s="249" t="n"/>
      <c r="C821" s="249" t="n"/>
      <c r="D821" s="249" t="n"/>
      <c r="E821" s="248" t="n"/>
      <c r="F821" s="248" t="n"/>
      <c r="G821" s="248" t="n"/>
      <c r="H821" s="250">
        <f>IF(AND(E821&lt;&gt;"",G821&lt;&gt;""),E821*G821,"")</f>
      </c>
      <c r="I821" s="249" t="n"/>
      <c r="J821" s="249" t="n"/>
    </row>
    <row r="822" ht="15" customHeight="1" s="71">
      <c r="A822" s="244" t="n">
        <v>817</v>
      </c>
      <c r="B822" s="245" t="n"/>
      <c r="C822" s="245" t="n"/>
      <c r="D822" s="245" t="n"/>
      <c r="E822" s="244" t="n"/>
      <c r="F822" s="244" t="n"/>
      <c r="G822" s="244" t="n"/>
      <c r="H822" s="246">
        <f>IF(AND(E822&lt;&gt;"",G822&lt;&gt;""),E822*G822,"")</f>
      </c>
      <c r="I822" s="245" t="n"/>
      <c r="J822" s="245" t="n"/>
    </row>
    <row r="823" ht="15" customHeight="1" s="71">
      <c r="A823" s="248" t="n">
        <v>818</v>
      </c>
      <c r="B823" s="249" t="n"/>
      <c r="C823" s="249" t="n"/>
      <c r="D823" s="249" t="n"/>
      <c r="E823" s="248" t="n"/>
      <c r="F823" s="248" t="n"/>
      <c r="G823" s="248" t="n"/>
      <c r="H823" s="250">
        <f>IF(AND(E823&lt;&gt;"",G823&lt;&gt;""),E823*G823,"")</f>
      </c>
      <c r="I823" s="249" t="n"/>
      <c r="J823" s="249" t="n"/>
    </row>
    <row r="824" ht="15" customHeight="1" s="71">
      <c r="A824" s="244" t="n">
        <v>819</v>
      </c>
      <c r="B824" s="245" t="n"/>
      <c r="C824" s="245" t="n"/>
      <c r="D824" s="245" t="n"/>
      <c r="E824" s="244" t="n"/>
      <c r="F824" s="244" t="n"/>
      <c r="G824" s="244" t="n"/>
      <c r="H824" s="246">
        <f>IF(AND(E824&lt;&gt;"",G824&lt;&gt;""),E824*G824,"")</f>
      </c>
      <c r="I824" s="245" t="n"/>
      <c r="J824" s="245" t="n"/>
    </row>
    <row r="825" ht="15" customHeight="1" s="71">
      <c r="A825" s="248" t="n">
        <v>820</v>
      </c>
      <c r="B825" s="249" t="n"/>
      <c r="C825" s="249" t="n"/>
      <c r="D825" s="249" t="n"/>
      <c r="E825" s="248" t="n"/>
      <c r="F825" s="248" t="n"/>
      <c r="G825" s="248" t="n"/>
      <c r="H825" s="250">
        <f>IF(AND(E825&lt;&gt;"",G825&lt;&gt;""),E825*G825,"")</f>
      </c>
      <c r="I825" s="249" t="n"/>
      <c r="J825" s="249" t="n"/>
    </row>
    <row r="826" ht="15" customHeight="1" s="71">
      <c r="A826" s="244" t="n">
        <v>821</v>
      </c>
      <c r="B826" s="245" t="n"/>
      <c r="C826" s="245" t="n"/>
      <c r="D826" s="245" t="n"/>
      <c r="E826" s="244" t="n"/>
      <c r="F826" s="244" t="n"/>
      <c r="G826" s="244" t="n"/>
      <c r="H826" s="246">
        <f>IF(AND(E826&lt;&gt;"",G826&lt;&gt;""),E826*G826,"")</f>
      </c>
      <c r="I826" s="245" t="n"/>
      <c r="J826" s="245" t="n"/>
    </row>
    <row r="827" ht="15" customHeight="1" s="71">
      <c r="A827" s="248" t="n">
        <v>822</v>
      </c>
      <c r="B827" s="249" t="n"/>
      <c r="C827" s="249" t="n"/>
      <c r="D827" s="249" t="n"/>
      <c r="E827" s="248" t="n"/>
      <c r="F827" s="248" t="n"/>
      <c r="G827" s="248" t="n"/>
      <c r="H827" s="250">
        <f>IF(AND(E827&lt;&gt;"",G827&lt;&gt;""),E827*G827,"")</f>
      </c>
      <c r="I827" s="249" t="n"/>
      <c r="J827" s="249" t="n"/>
    </row>
    <row r="828" ht="15" customHeight="1" s="71">
      <c r="A828" s="244" t="n">
        <v>823</v>
      </c>
      <c r="B828" s="245" t="n"/>
      <c r="C828" s="245" t="n"/>
      <c r="D828" s="245" t="n"/>
      <c r="E828" s="244" t="n"/>
      <c r="F828" s="244" t="n"/>
      <c r="G828" s="244" t="n"/>
      <c r="H828" s="246">
        <f>IF(AND(E828&lt;&gt;"",G828&lt;&gt;""),E828*G828,"")</f>
      </c>
      <c r="I828" s="245" t="n"/>
      <c r="J828" s="245" t="n"/>
    </row>
    <row r="829" ht="15" customHeight="1" s="71">
      <c r="A829" s="248" t="n">
        <v>824</v>
      </c>
      <c r="B829" s="249" t="n"/>
      <c r="C829" s="249" t="n"/>
      <c r="D829" s="249" t="n"/>
      <c r="E829" s="248" t="n"/>
      <c r="F829" s="248" t="n"/>
      <c r="G829" s="248" t="n"/>
      <c r="H829" s="250">
        <f>IF(AND(E829&lt;&gt;"",G829&lt;&gt;""),E829*G829,"")</f>
      </c>
      <c r="I829" s="249" t="n"/>
      <c r="J829" s="249" t="n"/>
    </row>
    <row r="830" ht="15" customHeight="1" s="71">
      <c r="A830" s="244" t="n">
        <v>825</v>
      </c>
      <c r="B830" s="245" t="n"/>
      <c r="C830" s="245" t="n"/>
      <c r="D830" s="245" t="n"/>
      <c r="E830" s="244" t="n"/>
      <c r="F830" s="244" t="n"/>
      <c r="G830" s="244" t="n"/>
      <c r="H830" s="246">
        <f>IF(AND(E830&lt;&gt;"",G830&lt;&gt;""),E830*G830,"")</f>
      </c>
      <c r="I830" s="245" t="n"/>
      <c r="J830" s="245" t="n"/>
    </row>
    <row r="831" ht="15" customHeight="1" s="71">
      <c r="A831" s="248" t="n">
        <v>826</v>
      </c>
      <c r="B831" s="249" t="n"/>
      <c r="C831" s="249" t="n"/>
      <c r="D831" s="249" t="n"/>
      <c r="E831" s="248" t="n"/>
      <c r="F831" s="248" t="n"/>
      <c r="G831" s="248" t="n"/>
      <c r="H831" s="250">
        <f>IF(AND(E831&lt;&gt;"",G831&lt;&gt;""),E831*G831,"")</f>
      </c>
      <c r="I831" s="249" t="n"/>
      <c r="J831" s="249" t="n"/>
    </row>
    <row r="832" ht="15" customHeight="1" s="71">
      <c r="A832" s="244" t="n">
        <v>827</v>
      </c>
      <c r="B832" s="245" t="n"/>
      <c r="C832" s="245" t="n"/>
      <c r="D832" s="245" t="n"/>
      <c r="E832" s="244" t="n"/>
      <c r="F832" s="244" t="n"/>
      <c r="G832" s="244" t="n"/>
      <c r="H832" s="246">
        <f>IF(AND(E832&lt;&gt;"",G832&lt;&gt;""),E832*G832,"")</f>
      </c>
      <c r="I832" s="245" t="n"/>
      <c r="J832" s="245" t="n"/>
    </row>
    <row r="833" ht="15" customHeight="1" s="71">
      <c r="A833" s="248" t="n">
        <v>828</v>
      </c>
      <c r="B833" s="249" t="n"/>
      <c r="C833" s="249" t="n"/>
      <c r="D833" s="249" t="n"/>
      <c r="E833" s="248" t="n"/>
      <c r="F833" s="248" t="n"/>
      <c r="G833" s="248" t="n"/>
      <c r="H833" s="250">
        <f>IF(AND(E833&lt;&gt;"",G833&lt;&gt;""),E833*G833,"")</f>
      </c>
      <c r="I833" s="249" t="n"/>
      <c r="J833" s="249" t="n"/>
    </row>
    <row r="834" ht="15" customHeight="1" s="71">
      <c r="A834" s="244" t="n">
        <v>829</v>
      </c>
      <c r="B834" s="245" t="n"/>
      <c r="C834" s="245" t="n"/>
      <c r="D834" s="245" t="n"/>
      <c r="E834" s="244" t="n"/>
      <c r="F834" s="244" t="n"/>
      <c r="G834" s="244" t="n"/>
      <c r="H834" s="246">
        <f>IF(AND(E834&lt;&gt;"",G834&lt;&gt;""),E834*G834,"")</f>
      </c>
      <c r="I834" s="245" t="n"/>
      <c r="J834" s="245" t="n"/>
    </row>
    <row r="835" ht="15" customHeight="1" s="71">
      <c r="A835" s="248" t="n">
        <v>830</v>
      </c>
      <c r="B835" s="249" t="n"/>
      <c r="C835" s="249" t="n"/>
      <c r="D835" s="249" t="n"/>
      <c r="E835" s="248" t="n"/>
      <c r="F835" s="248" t="n"/>
      <c r="G835" s="248" t="n"/>
      <c r="H835" s="250">
        <f>IF(AND(E835&lt;&gt;"",G835&lt;&gt;""),E835*G835,"")</f>
      </c>
      <c r="I835" s="249" t="n"/>
      <c r="J835" s="249" t="n"/>
    </row>
    <row r="836" ht="15" customHeight="1" s="71">
      <c r="A836" s="244" t="n">
        <v>831</v>
      </c>
      <c r="B836" s="245" t="n"/>
      <c r="C836" s="245" t="n"/>
      <c r="D836" s="245" t="n"/>
      <c r="E836" s="244" t="n"/>
      <c r="F836" s="244" t="n"/>
      <c r="G836" s="244" t="n"/>
      <c r="H836" s="246">
        <f>IF(AND(E836&lt;&gt;"",G836&lt;&gt;""),E836*G836,"")</f>
      </c>
      <c r="I836" s="245" t="n"/>
      <c r="J836" s="245" t="n"/>
    </row>
    <row r="837" ht="15" customHeight="1" s="71">
      <c r="A837" s="248" t="n">
        <v>832</v>
      </c>
      <c r="B837" s="249" t="n"/>
      <c r="C837" s="249" t="n"/>
      <c r="D837" s="249" t="n"/>
      <c r="E837" s="248" t="n"/>
      <c r="F837" s="248" t="n"/>
      <c r="G837" s="248" t="n"/>
      <c r="H837" s="250">
        <f>IF(AND(E837&lt;&gt;"",G837&lt;&gt;""),E837*G837,"")</f>
      </c>
      <c r="I837" s="249" t="n"/>
      <c r="J837" s="249" t="n"/>
    </row>
    <row r="838" ht="15" customHeight="1" s="71">
      <c r="A838" s="244" t="n">
        <v>833</v>
      </c>
      <c r="B838" s="245" t="n"/>
      <c r="C838" s="245" t="n"/>
      <c r="D838" s="245" t="n"/>
      <c r="E838" s="244" t="n"/>
      <c r="F838" s="244" t="n"/>
      <c r="G838" s="244" t="n"/>
      <c r="H838" s="246">
        <f>IF(AND(E838&lt;&gt;"",G838&lt;&gt;""),E838*G838,"")</f>
      </c>
      <c r="I838" s="245" t="n"/>
      <c r="J838" s="245" t="n"/>
    </row>
    <row r="839" ht="15" customHeight="1" s="71">
      <c r="A839" s="248" t="n">
        <v>834</v>
      </c>
      <c r="B839" s="249" t="n"/>
      <c r="C839" s="249" t="n"/>
      <c r="D839" s="249" t="n"/>
      <c r="E839" s="248" t="n"/>
      <c r="F839" s="248" t="n"/>
      <c r="G839" s="248" t="n"/>
      <c r="H839" s="250">
        <f>IF(AND(E839&lt;&gt;"",G839&lt;&gt;""),E839*G839,"")</f>
      </c>
      <c r="I839" s="249" t="n"/>
      <c r="J839" s="249" t="n"/>
    </row>
    <row r="840" ht="15" customHeight="1" s="71">
      <c r="A840" s="244" t="n">
        <v>835</v>
      </c>
      <c r="B840" s="245" t="n"/>
      <c r="C840" s="245" t="n"/>
      <c r="D840" s="245" t="n"/>
      <c r="E840" s="244" t="n"/>
      <c r="F840" s="244" t="n"/>
      <c r="G840" s="244" t="n"/>
      <c r="H840" s="246">
        <f>IF(AND(E840&lt;&gt;"",G840&lt;&gt;""),E840*G840,"")</f>
      </c>
      <c r="I840" s="245" t="n"/>
      <c r="J840" s="245" t="n"/>
    </row>
    <row r="841" ht="15" customHeight="1" s="71">
      <c r="A841" s="248" t="n">
        <v>836</v>
      </c>
      <c r="B841" s="249" t="n"/>
      <c r="C841" s="249" t="n"/>
      <c r="D841" s="249" t="n"/>
      <c r="E841" s="248" t="n"/>
      <c r="F841" s="248" t="n"/>
      <c r="G841" s="248" t="n"/>
      <c r="H841" s="250">
        <f>IF(AND(E841&lt;&gt;"",G841&lt;&gt;""),E841*G841,"")</f>
      </c>
      <c r="I841" s="249" t="n"/>
      <c r="J841" s="249" t="n"/>
    </row>
    <row r="842" ht="15" customHeight="1" s="71">
      <c r="A842" s="244" t="n">
        <v>837</v>
      </c>
      <c r="B842" s="245" t="n"/>
      <c r="C842" s="245" t="n"/>
      <c r="D842" s="245" t="n"/>
      <c r="E842" s="244" t="n"/>
      <c r="F842" s="244" t="n"/>
      <c r="G842" s="244" t="n"/>
      <c r="H842" s="246">
        <f>IF(AND(E842&lt;&gt;"",G842&lt;&gt;""),E842*G842,"")</f>
      </c>
      <c r="I842" s="245" t="n"/>
      <c r="J842" s="245" t="n"/>
    </row>
    <row r="843" ht="15" customHeight="1" s="71">
      <c r="A843" s="248" t="n">
        <v>838</v>
      </c>
      <c r="B843" s="249" t="n"/>
      <c r="C843" s="249" t="n"/>
      <c r="D843" s="249" t="n"/>
      <c r="E843" s="248" t="n"/>
      <c r="F843" s="248" t="n"/>
      <c r="G843" s="248" t="n"/>
      <c r="H843" s="250">
        <f>IF(AND(E843&lt;&gt;"",G843&lt;&gt;""),E843*G843,"")</f>
      </c>
      <c r="I843" s="249" t="n"/>
      <c r="J843" s="249" t="n"/>
    </row>
    <row r="844" ht="15" customHeight="1" s="71">
      <c r="A844" s="244" t="n">
        <v>839</v>
      </c>
      <c r="B844" s="245" t="n"/>
      <c r="C844" s="245" t="n"/>
      <c r="D844" s="245" t="n"/>
      <c r="E844" s="244" t="n"/>
      <c r="F844" s="244" t="n"/>
      <c r="G844" s="244" t="n"/>
      <c r="H844" s="246">
        <f>IF(AND(E844&lt;&gt;"",G844&lt;&gt;""),E844*G844,"")</f>
      </c>
      <c r="I844" s="245" t="n"/>
      <c r="J844" s="245" t="n"/>
    </row>
    <row r="845" ht="15" customHeight="1" s="71">
      <c r="A845" s="248" t="n">
        <v>840</v>
      </c>
      <c r="B845" s="249" t="n"/>
      <c r="C845" s="249" t="n"/>
      <c r="D845" s="249" t="n"/>
      <c r="E845" s="248" t="n"/>
      <c r="F845" s="248" t="n"/>
      <c r="G845" s="248" t="n"/>
      <c r="H845" s="250">
        <f>IF(AND(E845&lt;&gt;"",G845&lt;&gt;""),E845*G845,"")</f>
      </c>
      <c r="I845" s="249" t="n"/>
      <c r="J845" s="249" t="n"/>
    </row>
    <row r="846" ht="15" customHeight="1" s="71">
      <c r="A846" s="244" t="n">
        <v>841</v>
      </c>
      <c r="B846" s="245" t="n"/>
      <c r="C846" s="245" t="n"/>
      <c r="D846" s="245" t="n"/>
      <c r="E846" s="244" t="n"/>
      <c r="F846" s="244" t="n"/>
      <c r="G846" s="244" t="n"/>
      <c r="H846" s="246">
        <f>IF(AND(E846&lt;&gt;"",G846&lt;&gt;""),E846*G846,"")</f>
      </c>
      <c r="I846" s="245" t="n"/>
      <c r="J846" s="245" t="n"/>
    </row>
    <row r="847" ht="15" customHeight="1" s="71">
      <c r="A847" s="248" t="n">
        <v>842</v>
      </c>
      <c r="B847" s="249" t="n"/>
      <c r="C847" s="249" t="n"/>
      <c r="D847" s="249" t="n"/>
      <c r="E847" s="248" t="n"/>
      <c r="F847" s="248" t="n"/>
      <c r="G847" s="248" t="n"/>
      <c r="H847" s="250">
        <f>IF(AND(E847&lt;&gt;"",G847&lt;&gt;""),E847*G847,"")</f>
      </c>
      <c r="I847" s="249" t="n"/>
      <c r="J847" s="249" t="n"/>
    </row>
    <row r="848" ht="15" customHeight="1" s="71">
      <c r="A848" s="244" t="n">
        <v>843</v>
      </c>
      <c r="B848" s="245" t="n"/>
      <c r="C848" s="245" t="n"/>
      <c r="D848" s="245" t="n"/>
      <c r="E848" s="244" t="n"/>
      <c r="F848" s="244" t="n"/>
      <c r="G848" s="244" t="n"/>
      <c r="H848" s="246">
        <f>IF(AND(E848&lt;&gt;"",G848&lt;&gt;""),E848*G848,"")</f>
      </c>
      <c r="I848" s="245" t="n"/>
      <c r="J848" s="245" t="n"/>
    </row>
    <row r="849" ht="15" customHeight="1" s="71">
      <c r="A849" s="248" t="n">
        <v>844</v>
      </c>
      <c r="B849" s="249" t="n"/>
      <c r="C849" s="249" t="n"/>
      <c r="D849" s="249" t="n"/>
      <c r="E849" s="248" t="n"/>
      <c r="F849" s="248" t="n"/>
      <c r="G849" s="248" t="n"/>
      <c r="H849" s="250">
        <f>IF(AND(E849&lt;&gt;"",G849&lt;&gt;""),E849*G849,"")</f>
      </c>
      <c r="I849" s="249" t="n"/>
      <c r="J849" s="249" t="n"/>
    </row>
    <row r="850" ht="15" customHeight="1" s="71">
      <c r="A850" s="244" t="n">
        <v>845</v>
      </c>
      <c r="B850" s="245" t="n"/>
      <c r="C850" s="245" t="n"/>
      <c r="D850" s="245" t="n"/>
      <c r="E850" s="244" t="n"/>
      <c r="F850" s="244" t="n"/>
      <c r="G850" s="244" t="n"/>
      <c r="H850" s="246">
        <f>IF(AND(E850&lt;&gt;"",G850&lt;&gt;""),E850*G850,"")</f>
      </c>
      <c r="I850" s="245" t="n"/>
      <c r="J850" s="245" t="n"/>
    </row>
    <row r="851" ht="15" customHeight="1" s="71">
      <c r="A851" s="248" t="n">
        <v>846</v>
      </c>
      <c r="B851" s="249" t="n"/>
      <c r="C851" s="249" t="n"/>
      <c r="D851" s="249" t="n"/>
      <c r="E851" s="248" t="n"/>
      <c r="F851" s="248" t="n"/>
      <c r="G851" s="248" t="n"/>
      <c r="H851" s="250">
        <f>IF(AND(E851&lt;&gt;"",G851&lt;&gt;""),E851*G851,"")</f>
      </c>
      <c r="I851" s="249" t="n"/>
      <c r="J851" s="249" t="n"/>
    </row>
    <row r="852" ht="15" customHeight="1" s="71">
      <c r="A852" s="244" t="n">
        <v>847</v>
      </c>
      <c r="B852" s="245" t="n"/>
      <c r="C852" s="245" t="n"/>
      <c r="D852" s="245" t="n"/>
      <c r="E852" s="244" t="n"/>
      <c r="F852" s="244" t="n"/>
      <c r="G852" s="244" t="n"/>
      <c r="H852" s="246">
        <f>IF(AND(E852&lt;&gt;"",G852&lt;&gt;""),E852*G852,"")</f>
      </c>
      <c r="I852" s="245" t="n"/>
      <c r="J852" s="245" t="n"/>
    </row>
    <row r="853" ht="15" customHeight="1" s="71">
      <c r="A853" s="248" t="n">
        <v>848</v>
      </c>
      <c r="B853" s="249" t="n"/>
      <c r="C853" s="249" t="n"/>
      <c r="D853" s="249" t="n"/>
      <c r="E853" s="248" t="n"/>
      <c r="F853" s="248" t="n"/>
      <c r="G853" s="248" t="n"/>
      <c r="H853" s="250">
        <f>IF(AND(E853&lt;&gt;"",G853&lt;&gt;""),E853*G853,"")</f>
      </c>
      <c r="I853" s="249" t="n"/>
      <c r="J853" s="249" t="n"/>
    </row>
    <row r="854" ht="15" customHeight="1" s="71">
      <c r="A854" s="244" t="n">
        <v>849</v>
      </c>
      <c r="B854" s="245" t="n"/>
      <c r="C854" s="245" t="n"/>
      <c r="D854" s="245" t="n"/>
      <c r="E854" s="244" t="n"/>
      <c r="F854" s="244" t="n"/>
      <c r="G854" s="244" t="n"/>
      <c r="H854" s="246">
        <f>IF(AND(E854&lt;&gt;"",G854&lt;&gt;""),E854*G854,"")</f>
      </c>
      <c r="I854" s="245" t="n"/>
      <c r="J854" s="245" t="n"/>
    </row>
    <row r="855" ht="15" customHeight="1" s="71">
      <c r="A855" s="248" t="n">
        <v>850</v>
      </c>
      <c r="B855" s="249" t="n"/>
      <c r="C855" s="249" t="n"/>
      <c r="D855" s="249" t="n"/>
      <c r="E855" s="248" t="n"/>
      <c r="F855" s="248" t="n"/>
      <c r="G855" s="248" t="n"/>
      <c r="H855" s="250">
        <f>IF(AND(E855&lt;&gt;"",G855&lt;&gt;""),E855*G855,"")</f>
      </c>
      <c r="I855" s="249" t="n"/>
      <c r="J855" s="249" t="n"/>
    </row>
    <row r="856" ht="15" customHeight="1" s="71">
      <c r="A856" s="244" t="n">
        <v>851</v>
      </c>
      <c r="B856" s="245" t="n"/>
      <c r="C856" s="245" t="n"/>
      <c r="D856" s="245" t="n"/>
      <c r="E856" s="244" t="n"/>
      <c r="F856" s="244" t="n"/>
      <c r="G856" s="244" t="n"/>
      <c r="H856" s="246">
        <f>IF(AND(E856&lt;&gt;"",G856&lt;&gt;""),E856*G856,"")</f>
      </c>
      <c r="I856" s="245" t="n"/>
      <c r="J856" s="245" t="n"/>
    </row>
    <row r="857" ht="15" customHeight="1" s="71">
      <c r="A857" s="248" t="n">
        <v>852</v>
      </c>
      <c r="B857" s="249" t="n"/>
      <c r="C857" s="249" t="n"/>
      <c r="D857" s="249" t="n"/>
      <c r="E857" s="248" t="n"/>
      <c r="F857" s="248" t="n"/>
      <c r="G857" s="248" t="n"/>
      <c r="H857" s="250">
        <f>IF(AND(E857&lt;&gt;"",G857&lt;&gt;""),E857*G857,"")</f>
      </c>
      <c r="I857" s="249" t="n"/>
      <c r="J857" s="249" t="n"/>
    </row>
    <row r="858" ht="15" customHeight="1" s="71">
      <c r="A858" s="244" t="n">
        <v>853</v>
      </c>
      <c r="B858" s="245" t="n"/>
      <c r="C858" s="245" t="n"/>
      <c r="D858" s="245" t="n"/>
      <c r="E858" s="244" t="n"/>
      <c r="F858" s="244" t="n"/>
      <c r="G858" s="244" t="n"/>
      <c r="H858" s="246">
        <f>IF(AND(E858&lt;&gt;"",G858&lt;&gt;""),E858*G858,"")</f>
      </c>
      <c r="I858" s="245" t="n"/>
      <c r="J858" s="245" t="n"/>
    </row>
    <row r="859" ht="15" customHeight="1" s="71">
      <c r="A859" s="248" t="n">
        <v>854</v>
      </c>
      <c r="B859" s="249" t="n"/>
      <c r="C859" s="249" t="n"/>
      <c r="D859" s="249" t="n"/>
      <c r="E859" s="248" t="n"/>
      <c r="F859" s="248" t="n"/>
      <c r="G859" s="248" t="n"/>
      <c r="H859" s="250">
        <f>IF(AND(E859&lt;&gt;"",G859&lt;&gt;""),E859*G859,"")</f>
      </c>
      <c r="I859" s="249" t="n"/>
      <c r="J859" s="249" t="n"/>
    </row>
    <row r="860" ht="15" customHeight="1" s="71">
      <c r="A860" s="244" t="n">
        <v>855</v>
      </c>
      <c r="B860" s="245" t="n"/>
      <c r="C860" s="245" t="n"/>
      <c r="D860" s="245" t="n"/>
      <c r="E860" s="244" t="n"/>
      <c r="F860" s="244" t="n"/>
      <c r="G860" s="244" t="n"/>
      <c r="H860" s="246">
        <f>IF(AND(E860&lt;&gt;"",G860&lt;&gt;""),E860*G860,"")</f>
      </c>
      <c r="I860" s="245" t="n"/>
      <c r="J860" s="245" t="n"/>
    </row>
    <row r="861" ht="15" customHeight="1" s="71">
      <c r="A861" s="248" t="n">
        <v>856</v>
      </c>
      <c r="B861" s="249" t="n"/>
      <c r="C861" s="249" t="n"/>
      <c r="D861" s="249" t="n"/>
      <c r="E861" s="248" t="n"/>
      <c r="F861" s="248" t="n"/>
      <c r="G861" s="248" t="n"/>
      <c r="H861" s="250">
        <f>IF(AND(E861&lt;&gt;"",G861&lt;&gt;""),E861*G861,"")</f>
      </c>
      <c r="I861" s="249" t="n"/>
      <c r="J861" s="249" t="n"/>
    </row>
    <row r="862" ht="15" customHeight="1" s="71">
      <c r="A862" s="244" t="n">
        <v>857</v>
      </c>
      <c r="B862" s="245" t="n"/>
      <c r="C862" s="245" t="n"/>
      <c r="D862" s="245" t="n"/>
      <c r="E862" s="244" t="n"/>
      <c r="F862" s="244" t="n"/>
      <c r="G862" s="244" t="n"/>
      <c r="H862" s="246">
        <f>IF(AND(E862&lt;&gt;"",G862&lt;&gt;""),E862*G862,"")</f>
      </c>
      <c r="I862" s="245" t="n"/>
      <c r="J862" s="245" t="n"/>
    </row>
    <row r="863" ht="15" customHeight="1" s="71">
      <c r="A863" s="248" t="n">
        <v>858</v>
      </c>
      <c r="B863" s="249" t="n"/>
      <c r="C863" s="249" t="n"/>
      <c r="D863" s="249" t="n"/>
      <c r="E863" s="248" t="n"/>
      <c r="F863" s="248" t="n"/>
      <c r="G863" s="248" t="n"/>
      <c r="H863" s="250">
        <f>IF(AND(E863&lt;&gt;"",G863&lt;&gt;""),E863*G863,"")</f>
      </c>
      <c r="I863" s="249" t="n"/>
      <c r="J863" s="249" t="n"/>
    </row>
    <row r="864" ht="15" customHeight="1" s="71">
      <c r="A864" s="244" t="n">
        <v>859</v>
      </c>
      <c r="B864" s="245" t="n"/>
      <c r="C864" s="245" t="n"/>
      <c r="D864" s="245" t="n"/>
      <c r="E864" s="244" t="n"/>
      <c r="F864" s="244" t="n"/>
      <c r="G864" s="244" t="n"/>
      <c r="H864" s="246">
        <f>IF(AND(E864&lt;&gt;"",G864&lt;&gt;""),E864*G864,"")</f>
      </c>
      <c r="I864" s="245" t="n"/>
      <c r="J864" s="245" t="n"/>
    </row>
    <row r="865" ht="15" customHeight="1" s="71">
      <c r="A865" s="248" t="n">
        <v>860</v>
      </c>
      <c r="B865" s="249" t="n"/>
      <c r="C865" s="249" t="n"/>
      <c r="D865" s="249" t="n"/>
      <c r="E865" s="248" t="n"/>
      <c r="F865" s="248" t="n"/>
      <c r="G865" s="248" t="n"/>
      <c r="H865" s="250">
        <f>IF(AND(E865&lt;&gt;"",G865&lt;&gt;""),E865*G865,"")</f>
      </c>
      <c r="I865" s="249" t="n"/>
      <c r="J865" s="249" t="n"/>
    </row>
    <row r="866" ht="15" customHeight="1" s="71">
      <c r="A866" s="244" t="n">
        <v>861</v>
      </c>
      <c r="B866" s="245" t="n"/>
      <c r="C866" s="245" t="n"/>
      <c r="D866" s="245" t="n"/>
      <c r="E866" s="244" t="n"/>
      <c r="F866" s="244" t="n"/>
      <c r="G866" s="244" t="n"/>
      <c r="H866" s="246">
        <f>IF(AND(E866&lt;&gt;"",G866&lt;&gt;""),E866*G866,"")</f>
      </c>
      <c r="I866" s="245" t="n"/>
      <c r="J866" s="245" t="n"/>
    </row>
    <row r="867" ht="15" customHeight="1" s="71">
      <c r="A867" s="248" t="n">
        <v>862</v>
      </c>
      <c r="B867" s="249" t="n"/>
      <c r="C867" s="249" t="n"/>
      <c r="D867" s="249" t="n"/>
      <c r="E867" s="248" t="n"/>
      <c r="F867" s="248" t="n"/>
      <c r="G867" s="248" t="n"/>
      <c r="H867" s="250">
        <f>IF(AND(E867&lt;&gt;"",G867&lt;&gt;""),E867*G867,"")</f>
      </c>
      <c r="I867" s="249" t="n"/>
      <c r="J867" s="249" t="n"/>
    </row>
    <row r="868" ht="15" customHeight="1" s="71">
      <c r="A868" s="244" t="n">
        <v>863</v>
      </c>
      <c r="B868" s="245" t="n"/>
      <c r="C868" s="245" t="n"/>
      <c r="D868" s="245" t="n"/>
      <c r="E868" s="244" t="n"/>
      <c r="F868" s="244" t="n"/>
      <c r="G868" s="244" t="n"/>
      <c r="H868" s="246">
        <f>IF(AND(E868&lt;&gt;"",G868&lt;&gt;""),E868*G868,"")</f>
      </c>
      <c r="I868" s="245" t="n"/>
      <c r="J868" s="245" t="n"/>
    </row>
    <row r="869" ht="15" customHeight="1" s="71">
      <c r="A869" s="248" t="n">
        <v>864</v>
      </c>
      <c r="B869" s="249" t="n"/>
      <c r="C869" s="249" t="n"/>
      <c r="D869" s="249" t="n"/>
      <c r="E869" s="248" t="n"/>
      <c r="F869" s="248" t="n"/>
      <c r="G869" s="248" t="n"/>
      <c r="H869" s="250">
        <f>IF(AND(E869&lt;&gt;"",G869&lt;&gt;""),E869*G869,"")</f>
      </c>
      <c r="I869" s="249" t="n"/>
      <c r="J869" s="249" t="n"/>
    </row>
    <row r="870" ht="15" customHeight="1" s="71">
      <c r="A870" s="244" t="n">
        <v>865</v>
      </c>
      <c r="B870" s="245" t="n"/>
      <c r="C870" s="245" t="n"/>
      <c r="D870" s="245" t="n"/>
      <c r="E870" s="244" t="n"/>
      <c r="F870" s="244" t="n"/>
      <c r="G870" s="244" t="n"/>
      <c r="H870" s="246">
        <f>IF(AND(E870&lt;&gt;"",G870&lt;&gt;""),E870*G870,"")</f>
      </c>
      <c r="I870" s="245" t="n"/>
      <c r="J870" s="245" t="n"/>
    </row>
    <row r="871" ht="15" customHeight="1" s="71">
      <c r="A871" s="248" t="n">
        <v>866</v>
      </c>
      <c r="B871" s="249" t="n"/>
      <c r="C871" s="249" t="n"/>
      <c r="D871" s="249" t="n"/>
      <c r="E871" s="248" t="n"/>
      <c r="F871" s="248" t="n"/>
      <c r="G871" s="248" t="n"/>
      <c r="H871" s="250">
        <f>IF(AND(E871&lt;&gt;"",G871&lt;&gt;""),E871*G871,"")</f>
      </c>
      <c r="I871" s="249" t="n"/>
      <c r="J871" s="249" t="n"/>
    </row>
    <row r="872" ht="15" customHeight="1" s="71">
      <c r="A872" s="244" t="n">
        <v>867</v>
      </c>
      <c r="B872" s="245" t="n"/>
      <c r="C872" s="245" t="n"/>
      <c r="D872" s="245" t="n"/>
      <c r="E872" s="244" t="n"/>
      <c r="F872" s="244" t="n"/>
      <c r="G872" s="244" t="n"/>
      <c r="H872" s="246">
        <f>IF(AND(E872&lt;&gt;"",G872&lt;&gt;""),E872*G872,"")</f>
      </c>
      <c r="I872" s="245" t="n"/>
      <c r="J872" s="245" t="n"/>
    </row>
    <row r="873" ht="15" customHeight="1" s="71">
      <c r="A873" s="248" t="n">
        <v>868</v>
      </c>
      <c r="B873" s="249" t="n"/>
      <c r="C873" s="249" t="n"/>
      <c r="D873" s="249" t="n"/>
      <c r="E873" s="248" t="n"/>
      <c r="F873" s="248" t="n"/>
      <c r="G873" s="248" t="n"/>
      <c r="H873" s="250">
        <f>IF(AND(E873&lt;&gt;"",G873&lt;&gt;""),E873*G873,"")</f>
      </c>
      <c r="I873" s="249" t="n"/>
      <c r="J873" s="249" t="n"/>
    </row>
    <row r="874" ht="15" customHeight="1" s="71">
      <c r="A874" s="244" t="n">
        <v>869</v>
      </c>
      <c r="B874" s="245" t="n"/>
      <c r="C874" s="245" t="n"/>
      <c r="D874" s="245" t="n"/>
      <c r="E874" s="244" t="n"/>
      <c r="F874" s="244" t="n"/>
      <c r="G874" s="244" t="n"/>
      <c r="H874" s="246">
        <f>IF(AND(E874&lt;&gt;"",G874&lt;&gt;""),E874*G874,"")</f>
      </c>
      <c r="I874" s="245" t="n"/>
      <c r="J874" s="245" t="n"/>
    </row>
    <row r="875" ht="15" customHeight="1" s="71">
      <c r="A875" s="248" t="n">
        <v>870</v>
      </c>
      <c r="B875" s="249" t="n"/>
      <c r="C875" s="249" t="n"/>
      <c r="D875" s="249" t="n"/>
      <c r="E875" s="248" t="n"/>
      <c r="F875" s="248" t="n"/>
      <c r="G875" s="248" t="n"/>
      <c r="H875" s="250">
        <f>IF(AND(E875&lt;&gt;"",G875&lt;&gt;""),E875*G875,"")</f>
      </c>
      <c r="I875" s="249" t="n"/>
      <c r="J875" s="249" t="n"/>
    </row>
    <row r="876" ht="15" customHeight="1" s="71">
      <c r="A876" s="244" t="n">
        <v>871</v>
      </c>
      <c r="B876" s="245" t="n"/>
      <c r="C876" s="245" t="n"/>
      <c r="D876" s="245" t="n"/>
      <c r="E876" s="244" t="n"/>
      <c r="F876" s="244" t="n"/>
      <c r="G876" s="244" t="n"/>
      <c r="H876" s="246">
        <f>IF(AND(E876&lt;&gt;"",G876&lt;&gt;""),E876*G876,"")</f>
      </c>
      <c r="I876" s="245" t="n"/>
      <c r="J876" s="245" t="n"/>
    </row>
    <row r="877" ht="15" customHeight="1" s="71">
      <c r="A877" s="248" t="n">
        <v>872</v>
      </c>
      <c r="B877" s="249" t="n"/>
      <c r="C877" s="249" t="n"/>
      <c r="D877" s="249" t="n"/>
      <c r="E877" s="248" t="n"/>
      <c r="F877" s="248" t="n"/>
      <c r="G877" s="248" t="n"/>
      <c r="H877" s="250">
        <f>IF(AND(E877&lt;&gt;"",G877&lt;&gt;""),E877*G877,"")</f>
      </c>
      <c r="I877" s="249" t="n"/>
      <c r="J877" s="249" t="n"/>
    </row>
    <row r="878" ht="15" customHeight="1" s="71">
      <c r="A878" s="244" t="n">
        <v>873</v>
      </c>
      <c r="B878" s="245" t="n"/>
      <c r="C878" s="245" t="n"/>
      <c r="D878" s="245" t="n"/>
      <c r="E878" s="244" t="n"/>
      <c r="F878" s="244" t="n"/>
      <c r="G878" s="244" t="n"/>
      <c r="H878" s="246">
        <f>IF(AND(E878&lt;&gt;"",G878&lt;&gt;""),E878*G878,"")</f>
      </c>
      <c r="I878" s="245" t="n"/>
      <c r="J878" s="245" t="n"/>
    </row>
    <row r="879" ht="15" customHeight="1" s="71">
      <c r="A879" s="248" t="n">
        <v>874</v>
      </c>
      <c r="B879" s="249" t="n"/>
      <c r="C879" s="249" t="n"/>
      <c r="D879" s="249" t="n"/>
      <c r="E879" s="248" t="n"/>
      <c r="F879" s="248" t="n"/>
      <c r="G879" s="248" t="n"/>
      <c r="H879" s="250">
        <f>IF(AND(E879&lt;&gt;"",G879&lt;&gt;""),E879*G879,"")</f>
      </c>
      <c r="I879" s="249" t="n"/>
      <c r="J879" s="249" t="n"/>
    </row>
    <row r="880" ht="15" customHeight="1" s="71">
      <c r="A880" s="244" t="n">
        <v>875</v>
      </c>
      <c r="B880" s="245" t="n"/>
      <c r="C880" s="245" t="n"/>
      <c r="D880" s="245" t="n"/>
      <c r="E880" s="244" t="n"/>
      <c r="F880" s="244" t="n"/>
      <c r="G880" s="244" t="n"/>
      <c r="H880" s="246">
        <f>IF(AND(E880&lt;&gt;"",G880&lt;&gt;""),E880*G880,"")</f>
      </c>
      <c r="I880" s="245" t="n"/>
      <c r="J880" s="245" t="n"/>
    </row>
    <row r="881" ht="15" customHeight="1" s="71">
      <c r="A881" s="248" t="n">
        <v>876</v>
      </c>
      <c r="B881" s="249" t="n"/>
      <c r="C881" s="249" t="n"/>
      <c r="D881" s="249" t="n"/>
      <c r="E881" s="248" t="n"/>
      <c r="F881" s="248" t="n"/>
      <c r="G881" s="248" t="n"/>
      <c r="H881" s="250">
        <f>IF(AND(E881&lt;&gt;"",G881&lt;&gt;""),E881*G881,"")</f>
      </c>
      <c r="I881" s="249" t="n"/>
      <c r="J881" s="249" t="n"/>
    </row>
    <row r="882" ht="15" customHeight="1" s="71">
      <c r="A882" s="244" t="n">
        <v>877</v>
      </c>
      <c r="B882" s="245" t="n"/>
      <c r="C882" s="245" t="n"/>
      <c r="D882" s="245" t="n"/>
      <c r="E882" s="244" t="n"/>
      <c r="F882" s="244" t="n"/>
      <c r="G882" s="244" t="n"/>
      <c r="H882" s="246">
        <f>IF(AND(E882&lt;&gt;"",G882&lt;&gt;""),E882*G882,"")</f>
      </c>
      <c r="I882" s="245" t="n"/>
      <c r="J882" s="245" t="n"/>
    </row>
    <row r="883" ht="15" customHeight="1" s="71">
      <c r="A883" s="248" t="n">
        <v>878</v>
      </c>
      <c r="B883" s="249" t="n"/>
      <c r="C883" s="249" t="n"/>
      <c r="D883" s="249" t="n"/>
      <c r="E883" s="248" t="n"/>
      <c r="F883" s="248" t="n"/>
      <c r="G883" s="248" t="n"/>
      <c r="H883" s="250">
        <f>IF(AND(E883&lt;&gt;"",G883&lt;&gt;""),E883*G883,"")</f>
      </c>
      <c r="I883" s="249" t="n"/>
      <c r="J883" s="249" t="n"/>
    </row>
    <row r="884" ht="15" customHeight="1" s="71">
      <c r="A884" s="244" t="n">
        <v>879</v>
      </c>
      <c r="B884" s="245" t="n"/>
      <c r="C884" s="245" t="n"/>
      <c r="D884" s="245" t="n"/>
      <c r="E884" s="244" t="n"/>
      <c r="F884" s="244" t="n"/>
      <c r="G884" s="244" t="n"/>
      <c r="H884" s="246">
        <f>IF(AND(E884&lt;&gt;"",G884&lt;&gt;""),E884*G884,"")</f>
      </c>
      <c r="I884" s="245" t="n"/>
      <c r="J884" s="245" t="n"/>
    </row>
    <row r="885" ht="15" customHeight="1" s="71">
      <c r="A885" s="248" t="n">
        <v>880</v>
      </c>
      <c r="B885" s="249" t="n"/>
      <c r="C885" s="249" t="n"/>
      <c r="D885" s="249" t="n"/>
      <c r="E885" s="248" t="n"/>
      <c r="F885" s="248" t="n"/>
      <c r="G885" s="248" t="n"/>
      <c r="H885" s="250">
        <f>IF(AND(E885&lt;&gt;"",G885&lt;&gt;""),E885*G885,"")</f>
      </c>
      <c r="I885" s="249" t="n"/>
      <c r="J885" s="249" t="n"/>
    </row>
    <row r="886" ht="15" customHeight="1" s="71">
      <c r="A886" s="244" t="n">
        <v>881</v>
      </c>
      <c r="B886" s="245" t="n"/>
      <c r="C886" s="245" t="n"/>
      <c r="D886" s="245" t="n"/>
      <c r="E886" s="244" t="n"/>
      <c r="F886" s="244" t="n"/>
      <c r="G886" s="244" t="n"/>
      <c r="H886" s="246">
        <f>IF(AND(E886&lt;&gt;"",G886&lt;&gt;""),E886*G886,"")</f>
      </c>
      <c r="I886" s="245" t="n"/>
      <c r="J886" s="245" t="n"/>
    </row>
    <row r="887" ht="15" customHeight="1" s="71">
      <c r="A887" s="248" t="n">
        <v>882</v>
      </c>
      <c r="B887" s="249" t="n"/>
      <c r="C887" s="249" t="n"/>
      <c r="D887" s="249" t="n"/>
      <c r="E887" s="248" t="n"/>
      <c r="F887" s="248" t="n"/>
      <c r="G887" s="248" t="n"/>
      <c r="H887" s="250">
        <f>IF(AND(E887&lt;&gt;"",G887&lt;&gt;""),E887*G887,"")</f>
      </c>
      <c r="I887" s="249" t="n"/>
      <c r="J887" s="249" t="n"/>
    </row>
    <row r="888" ht="15" customHeight="1" s="71">
      <c r="A888" s="244" t="n">
        <v>883</v>
      </c>
      <c r="B888" s="245" t="n"/>
      <c r="C888" s="245" t="n"/>
      <c r="D888" s="245" t="n"/>
      <c r="E888" s="244" t="n"/>
      <c r="F888" s="244" t="n"/>
      <c r="G888" s="244" t="n"/>
      <c r="H888" s="246">
        <f>IF(AND(E888&lt;&gt;"",G888&lt;&gt;""),E888*G888,"")</f>
      </c>
      <c r="I888" s="245" t="n"/>
      <c r="J888" s="245" t="n"/>
    </row>
    <row r="889" ht="15" customHeight="1" s="71">
      <c r="A889" s="248" t="n">
        <v>884</v>
      </c>
      <c r="B889" s="249" t="n"/>
      <c r="C889" s="249" t="n"/>
      <c r="D889" s="249" t="n"/>
      <c r="E889" s="248" t="n"/>
      <c r="F889" s="248" t="n"/>
      <c r="G889" s="248" t="n"/>
      <c r="H889" s="250">
        <f>IF(AND(E889&lt;&gt;"",G889&lt;&gt;""),E889*G889,"")</f>
      </c>
      <c r="I889" s="249" t="n"/>
      <c r="J889" s="249" t="n"/>
    </row>
    <row r="890" ht="15" customHeight="1" s="71">
      <c r="A890" s="244" t="n">
        <v>885</v>
      </c>
      <c r="B890" s="245" t="n"/>
      <c r="C890" s="245" t="n"/>
      <c r="D890" s="245" t="n"/>
      <c r="E890" s="244" t="n"/>
      <c r="F890" s="244" t="n"/>
      <c r="G890" s="244" t="n"/>
      <c r="H890" s="246">
        <f>IF(AND(E890&lt;&gt;"",G890&lt;&gt;""),E890*G890,"")</f>
      </c>
      <c r="I890" s="245" t="n"/>
      <c r="J890" s="245" t="n"/>
    </row>
    <row r="891" ht="15" customHeight="1" s="71">
      <c r="A891" s="248" t="n">
        <v>886</v>
      </c>
      <c r="B891" s="249" t="n"/>
      <c r="C891" s="249" t="n"/>
      <c r="D891" s="249" t="n"/>
      <c r="E891" s="248" t="n"/>
      <c r="F891" s="248" t="n"/>
      <c r="G891" s="248" t="n"/>
      <c r="H891" s="250">
        <f>IF(AND(E891&lt;&gt;"",G891&lt;&gt;""),E891*G891,"")</f>
      </c>
      <c r="I891" s="249" t="n"/>
      <c r="J891" s="249" t="n"/>
    </row>
    <row r="892" ht="15" customHeight="1" s="71">
      <c r="A892" s="244" t="n">
        <v>887</v>
      </c>
      <c r="B892" s="245" t="n"/>
      <c r="C892" s="245" t="n"/>
      <c r="D892" s="245" t="n"/>
      <c r="E892" s="244" t="n"/>
      <c r="F892" s="244" t="n"/>
      <c r="G892" s="244" t="n"/>
      <c r="H892" s="246">
        <f>IF(AND(E892&lt;&gt;"",G892&lt;&gt;""),E892*G892,"")</f>
      </c>
      <c r="I892" s="245" t="n"/>
      <c r="J892" s="245" t="n"/>
    </row>
    <row r="893" ht="15" customHeight="1" s="71">
      <c r="A893" s="248" t="n">
        <v>888</v>
      </c>
      <c r="B893" s="249" t="n"/>
      <c r="C893" s="249" t="n"/>
      <c r="D893" s="249" t="n"/>
      <c r="E893" s="248" t="n"/>
      <c r="F893" s="248" t="n"/>
      <c r="G893" s="248" t="n"/>
      <c r="H893" s="250">
        <f>IF(AND(E893&lt;&gt;"",G893&lt;&gt;""),E893*G893,"")</f>
      </c>
      <c r="I893" s="249" t="n"/>
      <c r="J893" s="249" t="n"/>
    </row>
    <row r="894" ht="15" customHeight="1" s="71">
      <c r="A894" s="244" t="n">
        <v>889</v>
      </c>
      <c r="B894" s="245" t="n"/>
      <c r="C894" s="245" t="n"/>
      <c r="D894" s="245" t="n"/>
      <c r="E894" s="244" t="n"/>
      <c r="F894" s="244" t="n"/>
      <c r="G894" s="244" t="n"/>
      <c r="H894" s="246">
        <f>IF(AND(E894&lt;&gt;"",G894&lt;&gt;""),E894*G894,"")</f>
      </c>
      <c r="I894" s="245" t="n"/>
      <c r="J894" s="245" t="n"/>
    </row>
    <row r="895" ht="15" customHeight="1" s="71">
      <c r="A895" s="248" t="n">
        <v>890</v>
      </c>
      <c r="B895" s="249" t="n"/>
      <c r="C895" s="249" t="n"/>
      <c r="D895" s="249" t="n"/>
      <c r="E895" s="248" t="n"/>
      <c r="F895" s="248" t="n"/>
      <c r="G895" s="248" t="n"/>
      <c r="H895" s="250">
        <f>IF(AND(E895&lt;&gt;"",G895&lt;&gt;""),E895*G895,"")</f>
      </c>
      <c r="I895" s="249" t="n"/>
      <c r="J895" s="249" t="n"/>
    </row>
    <row r="896" ht="15" customHeight="1" s="71">
      <c r="A896" s="244" t="n">
        <v>891</v>
      </c>
      <c r="B896" s="245" t="n"/>
      <c r="C896" s="245" t="n"/>
      <c r="D896" s="245" t="n"/>
      <c r="E896" s="244" t="n"/>
      <c r="F896" s="244" t="n"/>
      <c r="G896" s="244" t="n"/>
      <c r="H896" s="246">
        <f>IF(AND(E896&lt;&gt;"",G896&lt;&gt;""),E896*G896,"")</f>
      </c>
      <c r="I896" s="245" t="n"/>
      <c r="J896" s="245" t="n"/>
    </row>
    <row r="897" ht="15" customHeight="1" s="71">
      <c r="A897" s="248" t="n">
        <v>892</v>
      </c>
      <c r="B897" s="249" t="n"/>
      <c r="C897" s="249" t="n"/>
      <c r="D897" s="249" t="n"/>
      <c r="E897" s="248" t="n"/>
      <c r="F897" s="248" t="n"/>
      <c r="G897" s="248" t="n"/>
      <c r="H897" s="250">
        <f>IF(AND(E897&lt;&gt;"",G897&lt;&gt;""),E897*G897,"")</f>
      </c>
      <c r="I897" s="249" t="n"/>
      <c r="J897" s="249" t="n"/>
    </row>
    <row r="898" ht="15" customHeight="1" s="71">
      <c r="A898" s="244" t="n">
        <v>893</v>
      </c>
      <c r="B898" s="245" t="n"/>
      <c r="C898" s="245" t="n"/>
      <c r="D898" s="245" t="n"/>
      <c r="E898" s="244" t="n"/>
      <c r="F898" s="244" t="n"/>
      <c r="G898" s="244" t="n"/>
      <c r="H898" s="246">
        <f>IF(AND(E898&lt;&gt;"",G898&lt;&gt;""),E898*G898,"")</f>
      </c>
      <c r="I898" s="245" t="n"/>
      <c r="J898" s="245" t="n"/>
    </row>
    <row r="899" ht="15" customHeight="1" s="71">
      <c r="A899" s="248" t="n">
        <v>894</v>
      </c>
      <c r="B899" s="249" t="n"/>
      <c r="C899" s="249" t="n"/>
      <c r="D899" s="249" t="n"/>
      <c r="E899" s="248" t="n"/>
      <c r="F899" s="248" t="n"/>
      <c r="G899" s="248" t="n"/>
      <c r="H899" s="250">
        <f>IF(AND(E899&lt;&gt;"",G899&lt;&gt;""),E899*G899,"")</f>
      </c>
      <c r="I899" s="249" t="n"/>
      <c r="J899" s="249" t="n"/>
    </row>
    <row r="900" ht="15" customHeight="1" s="71">
      <c r="A900" s="244" t="n">
        <v>895</v>
      </c>
      <c r="B900" s="245" t="n"/>
      <c r="C900" s="245" t="n"/>
      <c r="D900" s="245" t="n"/>
      <c r="E900" s="244" t="n"/>
      <c r="F900" s="244" t="n"/>
      <c r="G900" s="244" t="n"/>
      <c r="H900" s="246">
        <f>IF(AND(E900&lt;&gt;"",G900&lt;&gt;""),E900*G900,"")</f>
      </c>
      <c r="I900" s="245" t="n"/>
      <c r="J900" s="245" t="n"/>
    </row>
    <row r="901" ht="15" customHeight="1" s="71">
      <c r="A901" s="248" t="n">
        <v>896</v>
      </c>
      <c r="B901" s="249" t="n"/>
      <c r="C901" s="249" t="n"/>
      <c r="D901" s="249" t="n"/>
      <c r="E901" s="248" t="n"/>
      <c r="F901" s="248" t="n"/>
      <c r="G901" s="248" t="n"/>
      <c r="H901" s="250">
        <f>IF(AND(E901&lt;&gt;"",G901&lt;&gt;""),E901*G901,"")</f>
      </c>
      <c r="I901" s="249" t="n"/>
      <c r="J901" s="249" t="n"/>
    </row>
    <row r="902" ht="15" customHeight="1" s="71">
      <c r="A902" s="244" t="n">
        <v>897</v>
      </c>
      <c r="B902" s="245" t="n"/>
      <c r="C902" s="245" t="n"/>
      <c r="D902" s="245" t="n"/>
      <c r="E902" s="244" t="n"/>
      <c r="F902" s="244" t="n"/>
      <c r="G902" s="244" t="n"/>
      <c r="H902" s="246">
        <f>IF(AND(E902&lt;&gt;"",G902&lt;&gt;""),E902*G902,"")</f>
      </c>
      <c r="I902" s="245" t="n"/>
      <c r="J902" s="245" t="n"/>
    </row>
    <row r="903" ht="15" customHeight="1" s="71">
      <c r="A903" s="248" t="n">
        <v>898</v>
      </c>
      <c r="B903" s="249" t="n"/>
      <c r="C903" s="249" t="n"/>
      <c r="D903" s="249" t="n"/>
      <c r="E903" s="248" t="n"/>
      <c r="F903" s="248" t="n"/>
      <c r="G903" s="248" t="n"/>
      <c r="H903" s="250">
        <f>IF(AND(E903&lt;&gt;"",G903&lt;&gt;""),E903*G903,"")</f>
      </c>
      <c r="I903" s="249" t="n"/>
      <c r="J903" s="249" t="n"/>
    </row>
    <row r="904" ht="15" customHeight="1" s="71">
      <c r="A904" s="244" t="n">
        <v>899</v>
      </c>
      <c r="B904" s="245" t="n"/>
      <c r="C904" s="245" t="n"/>
      <c r="D904" s="245" t="n"/>
      <c r="E904" s="244" t="n"/>
      <c r="F904" s="244" t="n"/>
      <c r="G904" s="244" t="n"/>
      <c r="H904" s="246">
        <f>IF(AND(E904&lt;&gt;"",G904&lt;&gt;""),E904*G904,"")</f>
      </c>
      <c r="I904" s="245" t="n"/>
      <c r="J904" s="245" t="n"/>
    </row>
    <row r="905" ht="15" customHeight="1" s="71">
      <c r="A905" s="248" t="n">
        <v>900</v>
      </c>
      <c r="B905" s="249" t="n"/>
      <c r="C905" s="249" t="n"/>
      <c r="D905" s="249" t="n"/>
      <c r="E905" s="248" t="n"/>
      <c r="F905" s="248" t="n"/>
      <c r="G905" s="248" t="n"/>
      <c r="H905" s="250">
        <f>IF(AND(E905&lt;&gt;"",G905&lt;&gt;""),E905*G905,"")</f>
      </c>
      <c r="I905" s="249" t="n"/>
      <c r="J905" s="249" t="n"/>
    </row>
    <row r="906" ht="15" customHeight="1" s="71">
      <c r="A906" s="244" t="n">
        <v>901</v>
      </c>
      <c r="B906" s="245" t="n"/>
      <c r="C906" s="245" t="n"/>
      <c r="D906" s="245" t="n"/>
      <c r="E906" s="244" t="n"/>
      <c r="F906" s="244" t="n"/>
      <c r="G906" s="244" t="n"/>
      <c r="H906" s="246">
        <f>IF(AND(E906&lt;&gt;"",G906&lt;&gt;""),E906*G906,"")</f>
      </c>
      <c r="I906" s="245" t="n"/>
      <c r="J906" s="245" t="n"/>
    </row>
    <row r="907" ht="15" customHeight="1" s="71">
      <c r="A907" s="248" t="n">
        <v>902</v>
      </c>
      <c r="B907" s="249" t="n"/>
      <c r="C907" s="249" t="n"/>
      <c r="D907" s="249" t="n"/>
      <c r="E907" s="248" t="n"/>
      <c r="F907" s="248" t="n"/>
      <c r="G907" s="248" t="n"/>
      <c r="H907" s="250">
        <f>IF(AND(E907&lt;&gt;"",G907&lt;&gt;""),E907*G907,"")</f>
      </c>
      <c r="I907" s="249" t="n"/>
      <c r="J907" s="249" t="n"/>
    </row>
    <row r="908" ht="15" customHeight="1" s="71">
      <c r="A908" s="244" t="n">
        <v>903</v>
      </c>
      <c r="B908" s="245" t="n"/>
      <c r="C908" s="245" t="n"/>
      <c r="D908" s="245" t="n"/>
      <c r="E908" s="244" t="n"/>
      <c r="F908" s="244" t="n"/>
      <c r="G908" s="244" t="n"/>
      <c r="H908" s="246">
        <f>IF(AND(E908&lt;&gt;"",G908&lt;&gt;""),E908*G908,"")</f>
      </c>
      <c r="I908" s="245" t="n"/>
      <c r="J908" s="245" t="n"/>
    </row>
    <row r="909" ht="15" customHeight="1" s="71">
      <c r="A909" s="248" t="n">
        <v>904</v>
      </c>
      <c r="B909" s="249" t="n"/>
      <c r="C909" s="249" t="n"/>
      <c r="D909" s="249" t="n"/>
      <c r="E909" s="248" t="n"/>
      <c r="F909" s="248" t="n"/>
      <c r="G909" s="248" t="n"/>
      <c r="H909" s="250">
        <f>IF(AND(E909&lt;&gt;"",G909&lt;&gt;""),E909*G909,"")</f>
      </c>
      <c r="I909" s="249" t="n"/>
      <c r="J909" s="249" t="n"/>
    </row>
    <row r="910" ht="15" customHeight="1" s="71">
      <c r="A910" s="244" t="n">
        <v>905</v>
      </c>
      <c r="B910" s="245" t="n"/>
      <c r="C910" s="245" t="n"/>
      <c r="D910" s="245" t="n"/>
      <c r="E910" s="244" t="n"/>
      <c r="F910" s="244" t="n"/>
      <c r="G910" s="244" t="n"/>
      <c r="H910" s="246">
        <f>IF(AND(E910&lt;&gt;"",G910&lt;&gt;""),E910*G910,"")</f>
      </c>
      <c r="I910" s="245" t="n"/>
      <c r="J910" s="245" t="n"/>
    </row>
    <row r="911" ht="15" customHeight="1" s="71">
      <c r="A911" s="248" t="n">
        <v>906</v>
      </c>
      <c r="B911" s="249" t="n"/>
      <c r="C911" s="249" t="n"/>
      <c r="D911" s="249" t="n"/>
      <c r="E911" s="248" t="n"/>
      <c r="F911" s="248" t="n"/>
      <c r="G911" s="248" t="n"/>
      <c r="H911" s="250">
        <f>IF(AND(E911&lt;&gt;"",G911&lt;&gt;""),E911*G911,"")</f>
      </c>
      <c r="I911" s="249" t="n"/>
      <c r="J911" s="249" t="n"/>
    </row>
    <row r="912" ht="15" customHeight="1" s="71">
      <c r="A912" s="244" t="n">
        <v>907</v>
      </c>
      <c r="B912" s="245" t="n"/>
      <c r="C912" s="245" t="n"/>
      <c r="D912" s="245" t="n"/>
      <c r="E912" s="244" t="n"/>
      <c r="F912" s="244" t="n"/>
      <c r="G912" s="244" t="n"/>
      <c r="H912" s="246">
        <f>IF(AND(E912&lt;&gt;"",G912&lt;&gt;""),E912*G912,"")</f>
      </c>
      <c r="I912" s="245" t="n"/>
      <c r="J912" s="245" t="n"/>
    </row>
    <row r="913" ht="15" customHeight="1" s="71">
      <c r="A913" s="248" t="n">
        <v>908</v>
      </c>
      <c r="B913" s="249" t="n"/>
      <c r="C913" s="249" t="n"/>
      <c r="D913" s="249" t="n"/>
      <c r="E913" s="248" t="n"/>
      <c r="F913" s="248" t="n"/>
      <c r="G913" s="248" t="n"/>
      <c r="H913" s="250">
        <f>IF(AND(E913&lt;&gt;"",G913&lt;&gt;""),E913*G913,"")</f>
      </c>
      <c r="I913" s="249" t="n"/>
      <c r="J913" s="249" t="n"/>
    </row>
    <row r="914" ht="15" customHeight="1" s="71">
      <c r="A914" s="244" t="n">
        <v>909</v>
      </c>
      <c r="B914" s="245" t="n"/>
      <c r="C914" s="245" t="n"/>
      <c r="D914" s="245" t="n"/>
      <c r="E914" s="244" t="n"/>
      <c r="F914" s="244" t="n"/>
      <c r="G914" s="244" t="n"/>
      <c r="H914" s="246">
        <f>IF(AND(E914&lt;&gt;"",G914&lt;&gt;""),E914*G914,"")</f>
      </c>
      <c r="I914" s="245" t="n"/>
      <c r="J914" s="245" t="n"/>
    </row>
    <row r="915" ht="15" customHeight="1" s="71">
      <c r="A915" s="248" t="n">
        <v>910</v>
      </c>
      <c r="B915" s="249" t="n"/>
      <c r="C915" s="249" t="n"/>
      <c r="D915" s="249" t="n"/>
      <c r="E915" s="248" t="n"/>
      <c r="F915" s="248" t="n"/>
      <c r="G915" s="248" t="n"/>
      <c r="H915" s="250">
        <f>IF(AND(E915&lt;&gt;"",G915&lt;&gt;""),E915*G915,"")</f>
      </c>
      <c r="I915" s="249" t="n"/>
      <c r="J915" s="249" t="n"/>
    </row>
    <row r="916" ht="15" customHeight="1" s="71">
      <c r="A916" s="244" t="n">
        <v>911</v>
      </c>
      <c r="B916" s="245" t="n"/>
      <c r="C916" s="245" t="n"/>
      <c r="D916" s="245" t="n"/>
      <c r="E916" s="244" t="n"/>
      <c r="F916" s="244" t="n"/>
      <c r="G916" s="244" t="n"/>
      <c r="H916" s="246">
        <f>IF(AND(E916&lt;&gt;"",G916&lt;&gt;""),E916*G916,"")</f>
      </c>
      <c r="I916" s="245" t="n"/>
      <c r="J916" s="245" t="n"/>
    </row>
    <row r="917" ht="15" customHeight="1" s="71">
      <c r="A917" s="248" t="n">
        <v>912</v>
      </c>
      <c r="B917" s="249" t="n"/>
      <c r="C917" s="249" t="n"/>
      <c r="D917" s="249" t="n"/>
      <c r="E917" s="248" t="n"/>
      <c r="F917" s="248" t="n"/>
      <c r="G917" s="248" t="n"/>
      <c r="H917" s="250">
        <f>IF(AND(E917&lt;&gt;"",G917&lt;&gt;""),E917*G917,"")</f>
      </c>
      <c r="I917" s="249" t="n"/>
      <c r="J917" s="249" t="n"/>
    </row>
    <row r="918" ht="15" customHeight="1" s="71">
      <c r="A918" s="244" t="n">
        <v>913</v>
      </c>
      <c r="B918" s="245" t="n"/>
      <c r="C918" s="245" t="n"/>
      <c r="D918" s="245" t="n"/>
      <c r="E918" s="244" t="n"/>
      <c r="F918" s="244" t="n"/>
      <c r="G918" s="244" t="n"/>
      <c r="H918" s="246">
        <f>IF(AND(E918&lt;&gt;"",G918&lt;&gt;""),E918*G918,"")</f>
      </c>
      <c r="I918" s="245" t="n"/>
      <c r="J918" s="245" t="n"/>
    </row>
    <row r="919" ht="15" customHeight="1" s="71">
      <c r="A919" s="248" t="n">
        <v>914</v>
      </c>
      <c r="B919" s="249" t="n"/>
      <c r="C919" s="249" t="n"/>
      <c r="D919" s="249" t="n"/>
      <c r="E919" s="248" t="n"/>
      <c r="F919" s="248" t="n"/>
      <c r="G919" s="248" t="n"/>
      <c r="H919" s="250">
        <f>IF(AND(E919&lt;&gt;"",G919&lt;&gt;""),E919*G919,"")</f>
      </c>
      <c r="I919" s="249" t="n"/>
      <c r="J919" s="249" t="n"/>
    </row>
    <row r="920" ht="15" customHeight="1" s="71">
      <c r="A920" s="244" t="n">
        <v>915</v>
      </c>
      <c r="B920" s="245" t="n"/>
      <c r="C920" s="245" t="n"/>
      <c r="D920" s="245" t="n"/>
      <c r="E920" s="244" t="n"/>
      <c r="F920" s="244" t="n"/>
      <c r="G920" s="244" t="n"/>
      <c r="H920" s="246">
        <f>IF(AND(E920&lt;&gt;"",G920&lt;&gt;""),E920*G920,"")</f>
      </c>
      <c r="I920" s="245" t="n"/>
      <c r="J920" s="245" t="n"/>
    </row>
    <row r="921" ht="15" customHeight="1" s="71">
      <c r="A921" s="248" t="n">
        <v>916</v>
      </c>
      <c r="B921" s="249" t="n"/>
      <c r="C921" s="249" t="n"/>
      <c r="D921" s="249" t="n"/>
      <c r="E921" s="248" t="n"/>
      <c r="F921" s="248" t="n"/>
      <c r="G921" s="248" t="n"/>
      <c r="H921" s="250">
        <f>IF(AND(E921&lt;&gt;"",G921&lt;&gt;""),E921*G921,"")</f>
      </c>
      <c r="I921" s="249" t="n"/>
      <c r="J921" s="249" t="n"/>
    </row>
    <row r="922" ht="15" customHeight="1" s="71">
      <c r="A922" s="244" t="n">
        <v>917</v>
      </c>
      <c r="B922" s="245" t="n"/>
      <c r="C922" s="245" t="n"/>
      <c r="D922" s="245" t="n"/>
      <c r="E922" s="244" t="n"/>
      <c r="F922" s="244" t="n"/>
      <c r="G922" s="244" t="n"/>
      <c r="H922" s="246">
        <f>IF(AND(E922&lt;&gt;"",G922&lt;&gt;""),E922*G922,"")</f>
      </c>
      <c r="I922" s="245" t="n"/>
      <c r="J922" s="245" t="n"/>
    </row>
    <row r="923" ht="15" customHeight="1" s="71">
      <c r="A923" s="248" t="n">
        <v>918</v>
      </c>
      <c r="B923" s="249" t="n"/>
      <c r="C923" s="249" t="n"/>
      <c r="D923" s="249" t="n"/>
      <c r="E923" s="248" t="n"/>
      <c r="F923" s="248" t="n"/>
      <c r="G923" s="248" t="n"/>
      <c r="H923" s="250">
        <f>IF(AND(E923&lt;&gt;"",G923&lt;&gt;""),E923*G923,"")</f>
      </c>
      <c r="I923" s="249" t="n"/>
      <c r="J923" s="249" t="n"/>
    </row>
    <row r="924" ht="15" customHeight="1" s="71">
      <c r="A924" s="244" t="n">
        <v>919</v>
      </c>
      <c r="B924" s="245" t="n"/>
      <c r="C924" s="245" t="n"/>
      <c r="D924" s="245" t="n"/>
      <c r="E924" s="244" t="n"/>
      <c r="F924" s="244" t="n"/>
      <c r="G924" s="244" t="n"/>
      <c r="H924" s="246">
        <f>IF(AND(E924&lt;&gt;"",G924&lt;&gt;""),E924*G924,"")</f>
      </c>
      <c r="I924" s="245" t="n"/>
      <c r="J924" s="245" t="n"/>
    </row>
    <row r="925" ht="15" customHeight="1" s="71">
      <c r="A925" s="248" t="n">
        <v>920</v>
      </c>
      <c r="B925" s="249" t="n"/>
      <c r="C925" s="249" t="n"/>
      <c r="D925" s="249" t="n"/>
      <c r="E925" s="248" t="n"/>
      <c r="F925" s="248" t="n"/>
      <c r="G925" s="248" t="n"/>
      <c r="H925" s="250">
        <f>IF(AND(E925&lt;&gt;"",G925&lt;&gt;""),E925*G925,"")</f>
      </c>
      <c r="I925" s="249" t="n"/>
      <c r="J925" s="249" t="n"/>
    </row>
    <row r="926" ht="15" customHeight="1" s="71">
      <c r="A926" s="244" t="n">
        <v>921</v>
      </c>
      <c r="B926" s="245" t="n"/>
      <c r="C926" s="245" t="n"/>
      <c r="D926" s="245" t="n"/>
      <c r="E926" s="244" t="n"/>
      <c r="F926" s="244" t="n"/>
      <c r="G926" s="244" t="n"/>
      <c r="H926" s="246">
        <f>IF(AND(E926&lt;&gt;"",G926&lt;&gt;""),E926*G926,"")</f>
      </c>
      <c r="I926" s="245" t="n"/>
      <c r="J926" s="245" t="n"/>
    </row>
    <row r="927" ht="15" customHeight="1" s="71">
      <c r="A927" s="248" t="n">
        <v>922</v>
      </c>
      <c r="B927" s="249" t="n"/>
      <c r="C927" s="249" t="n"/>
      <c r="D927" s="249" t="n"/>
      <c r="E927" s="248" t="n"/>
      <c r="F927" s="248" t="n"/>
      <c r="G927" s="248" t="n"/>
      <c r="H927" s="250">
        <f>IF(AND(E927&lt;&gt;"",G927&lt;&gt;""),E927*G927,"")</f>
      </c>
      <c r="I927" s="249" t="n"/>
      <c r="J927" s="249" t="n"/>
    </row>
    <row r="928" ht="15" customHeight="1" s="71">
      <c r="A928" s="244" t="n">
        <v>923</v>
      </c>
      <c r="B928" s="245" t="n"/>
      <c r="C928" s="245" t="n"/>
      <c r="D928" s="245" t="n"/>
      <c r="E928" s="244" t="n"/>
      <c r="F928" s="244" t="n"/>
      <c r="G928" s="244" t="n"/>
      <c r="H928" s="246">
        <f>IF(AND(E928&lt;&gt;"",G928&lt;&gt;""),E928*G928,"")</f>
      </c>
      <c r="I928" s="245" t="n"/>
      <c r="J928" s="245" t="n"/>
    </row>
    <row r="929" ht="15" customHeight="1" s="71">
      <c r="A929" s="248" t="n">
        <v>924</v>
      </c>
      <c r="B929" s="249" t="n"/>
      <c r="C929" s="249" t="n"/>
      <c r="D929" s="249" t="n"/>
      <c r="E929" s="248" t="n"/>
      <c r="F929" s="248" t="n"/>
      <c r="G929" s="248" t="n"/>
      <c r="H929" s="250">
        <f>IF(AND(E929&lt;&gt;"",G929&lt;&gt;""),E929*G929,"")</f>
      </c>
      <c r="I929" s="249" t="n"/>
      <c r="J929" s="249" t="n"/>
    </row>
    <row r="930" ht="15" customHeight="1" s="71">
      <c r="A930" s="244" t="n">
        <v>925</v>
      </c>
      <c r="B930" s="245" t="n"/>
      <c r="C930" s="245" t="n"/>
      <c r="D930" s="245" t="n"/>
      <c r="E930" s="244" t="n"/>
      <c r="F930" s="244" t="n"/>
      <c r="G930" s="244" t="n"/>
      <c r="H930" s="246">
        <f>IF(AND(E930&lt;&gt;"",G930&lt;&gt;""),E930*G930,"")</f>
      </c>
      <c r="I930" s="245" t="n"/>
      <c r="J930" s="245" t="n"/>
    </row>
    <row r="931" ht="15" customHeight="1" s="71">
      <c r="A931" s="248" t="n">
        <v>926</v>
      </c>
      <c r="B931" s="249" t="n"/>
      <c r="C931" s="249" t="n"/>
      <c r="D931" s="249" t="n"/>
      <c r="E931" s="248" t="n"/>
      <c r="F931" s="248" t="n"/>
      <c r="G931" s="248" t="n"/>
      <c r="H931" s="250">
        <f>IF(AND(E931&lt;&gt;"",G931&lt;&gt;""),E931*G931,"")</f>
      </c>
      <c r="I931" s="249" t="n"/>
      <c r="J931" s="249" t="n"/>
    </row>
    <row r="932" ht="15" customHeight="1" s="71">
      <c r="A932" s="244" t="n">
        <v>927</v>
      </c>
      <c r="B932" s="245" t="n"/>
      <c r="C932" s="245" t="n"/>
      <c r="D932" s="245" t="n"/>
      <c r="E932" s="244" t="n"/>
      <c r="F932" s="244" t="n"/>
      <c r="G932" s="244" t="n"/>
      <c r="H932" s="246">
        <f>IF(AND(E932&lt;&gt;"",G932&lt;&gt;""),E932*G932,"")</f>
      </c>
      <c r="I932" s="245" t="n"/>
      <c r="J932" s="245" t="n"/>
    </row>
    <row r="933" ht="15" customHeight="1" s="71">
      <c r="A933" s="248" t="n">
        <v>928</v>
      </c>
      <c r="B933" s="249" t="n"/>
      <c r="C933" s="249" t="n"/>
      <c r="D933" s="249" t="n"/>
      <c r="E933" s="248" t="n"/>
      <c r="F933" s="248" t="n"/>
      <c r="G933" s="248" t="n"/>
      <c r="H933" s="250">
        <f>IF(AND(E933&lt;&gt;"",G933&lt;&gt;""),E933*G933,"")</f>
      </c>
      <c r="I933" s="249" t="n"/>
      <c r="J933" s="249" t="n"/>
    </row>
    <row r="934" ht="15" customHeight="1" s="71">
      <c r="A934" s="244" t="n">
        <v>929</v>
      </c>
      <c r="B934" s="245" t="n"/>
      <c r="C934" s="245" t="n"/>
      <c r="D934" s="245" t="n"/>
      <c r="E934" s="244" t="n"/>
      <c r="F934" s="244" t="n"/>
      <c r="G934" s="244" t="n"/>
      <c r="H934" s="246">
        <f>IF(AND(E934&lt;&gt;"",G934&lt;&gt;""),E934*G934,"")</f>
      </c>
      <c r="I934" s="245" t="n"/>
      <c r="J934" s="245" t="n"/>
    </row>
    <row r="935" ht="15" customHeight="1" s="71">
      <c r="A935" s="248" t="n">
        <v>930</v>
      </c>
      <c r="B935" s="249" t="n"/>
      <c r="C935" s="249" t="n"/>
      <c r="D935" s="249" t="n"/>
      <c r="E935" s="248" t="n"/>
      <c r="F935" s="248" t="n"/>
      <c r="G935" s="248" t="n"/>
      <c r="H935" s="250">
        <f>IF(AND(E935&lt;&gt;"",G935&lt;&gt;""),E935*G935,"")</f>
      </c>
      <c r="I935" s="249" t="n"/>
      <c r="J935" s="249" t="n"/>
    </row>
    <row r="936" ht="15" customHeight="1" s="71">
      <c r="A936" s="244" t="n">
        <v>931</v>
      </c>
      <c r="B936" s="245" t="n"/>
      <c r="C936" s="245" t="n"/>
      <c r="D936" s="245" t="n"/>
      <c r="E936" s="244" t="n"/>
      <c r="F936" s="244" t="n"/>
      <c r="G936" s="244" t="n"/>
      <c r="H936" s="246">
        <f>IF(AND(E936&lt;&gt;"",G936&lt;&gt;""),E936*G936,"")</f>
      </c>
      <c r="I936" s="245" t="n"/>
      <c r="J936" s="245" t="n"/>
    </row>
    <row r="937" ht="15" customHeight="1" s="71">
      <c r="A937" s="248" t="n">
        <v>932</v>
      </c>
      <c r="B937" s="249" t="n"/>
      <c r="C937" s="249" t="n"/>
      <c r="D937" s="249" t="n"/>
      <c r="E937" s="248" t="n"/>
      <c r="F937" s="248" t="n"/>
      <c r="G937" s="248" t="n"/>
      <c r="H937" s="250">
        <f>IF(AND(E937&lt;&gt;"",G937&lt;&gt;""),E937*G937,"")</f>
      </c>
      <c r="I937" s="249" t="n"/>
      <c r="J937" s="249" t="n"/>
    </row>
    <row r="938" ht="15" customHeight="1" s="71">
      <c r="A938" s="244" t="n">
        <v>933</v>
      </c>
      <c r="B938" s="245" t="n"/>
      <c r="C938" s="245" t="n"/>
      <c r="D938" s="245" t="n"/>
      <c r="E938" s="244" t="n"/>
      <c r="F938" s="244" t="n"/>
      <c r="G938" s="244" t="n"/>
      <c r="H938" s="246">
        <f>IF(AND(E938&lt;&gt;"",G938&lt;&gt;""),E938*G938,"")</f>
      </c>
      <c r="I938" s="245" t="n"/>
      <c r="J938" s="245" t="n"/>
    </row>
    <row r="939" ht="15" customHeight="1" s="71">
      <c r="A939" s="248" t="n">
        <v>934</v>
      </c>
      <c r="B939" s="249" t="n"/>
      <c r="C939" s="249" t="n"/>
      <c r="D939" s="249" t="n"/>
      <c r="E939" s="248" t="n"/>
      <c r="F939" s="248" t="n"/>
      <c r="G939" s="248" t="n"/>
      <c r="H939" s="250">
        <f>IF(AND(E939&lt;&gt;"",G939&lt;&gt;""),E939*G939,"")</f>
      </c>
      <c r="I939" s="249" t="n"/>
      <c r="J939" s="249" t="n"/>
    </row>
    <row r="940" ht="15" customHeight="1" s="71">
      <c r="A940" s="244" t="n">
        <v>935</v>
      </c>
      <c r="B940" s="245" t="n"/>
      <c r="C940" s="245" t="n"/>
      <c r="D940" s="245" t="n"/>
      <c r="E940" s="244" t="n"/>
      <c r="F940" s="244" t="n"/>
      <c r="G940" s="244" t="n"/>
      <c r="H940" s="246">
        <f>IF(AND(E940&lt;&gt;"",G940&lt;&gt;""),E940*G940,"")</f>
      </c>
      <c r="I940" s="245" t="n"/>
      <c r="J940" s="245" t="n"/>
    </row>
    <row r="941" ht="15" customHeight="1" s="71">
      <c r="A941" s="248" t="n">
        <v>936</v>
      </c>
      <c r="B941" s="249" t="n"/>
      <c r="C941" s="249" t="n"/>
      <c r="D941" s="249" t="n"/>
      <c r="E941" s="248" t="n"/>
      <c r="F941" s="248" t="n"/>
      <c r="G941" s="248" t="n"/>
      <c r="H941" s="250">
        <f>IF(AND(E941&lt;&gt;"",G941&lt;&gt;""),E941*G941,"")</f>
      </c>
      <c r="I941" s="249" t="n"/>
      <c r="J941" s="249" t="n"/>
    </row>
    <row r="942" ht="15" customHeight="1" s="71">
      <c r="A942" s="244" t="n">
        <v>937</v>
      </c>
      <c r="B942" s="245" t="n"/>
      <c r="C942" s="245" t="n"/>
      <c r="D942" s="245" t="n"/>
      <c r="E942" s="244" t="n"/>
      <c r="F942" s="244" t="n"/>
      <c r="G942" s="244" t="n"/>
      <c r="H942" s="246">
        <f>IF(AND(E942&lt;&gt;"",G942&lt;&gt;""),E942*G942,"")</f>
      </c>
      <c r="I942" s="245" t="n"/>
      <c r="J942" s="245" t="n"/>
    </row>
    <row r="943" ht="15" customHeight="1" s="71">
      <c r="A943" s="248" t="n">
        <v>938</v>
      </c>
      <c r="B943" s="249" t="n"/>
      <c r="C943" s="249" t="n"/>
      <c r="D943" s="249" t="n"/>
      <c r="E943" s="248" t="n"/>
      <c r="F943" s="248" t="n"/>
      <c r="G943" s="248" t="n"/>
      <c r="H943" s="250">
        <f>IF(AND(E943&lt;&gt;"",G943&lt;&gt;""),E943*G943,"")</f>
      </c>
      <c r="I943" s="249" t="n"/>
      <c r="J943" s="249" t="n"/>
    </row>
    <row r="944" ht="15" customHeight="1" s="71">
      <c r="A944" s="244" t="n">
        <v>939</v>
      </c>
      <c r="B944" s="245" t="n"/>
      <c r="C944" s="245" t="n"/>
      <c r="D944" s="245" t="n"/>
      <c r="E944" s="244" t="n"/>
      <c r="F944" s="244" t="n"/>
      <c r="G944" s="244" t="n"/>
      <c r="H944" s="246">
        <f>IF(AND(E944&lt;&gt;"",G944&lt;&gt;""),E944*G944,"")</f>
      </c>
      <c r="I944" s="245" t="n"/>
      <c r="J944" s="245" t="n"/>
    </row>
    <row r="945" ht="15" customHeight="1" s="71">
      <c r="A945" s="248" t="n">
        <v>940</v>
      </c>
      <c r="B945" s="249" t="n"/>
      <c r="C945" s="249" t="n"/>
      <c r="D945" s="249" t="n"/>
      <c r="E945" s="248" t="n"/>
      <c r="F945" s="248" t="n"/>
      <c r="G945" s="248" t="n"/>
      <c r="H945" s="250">
        <f>IF(AND(E945&lt;&gt;"",G945&lt;&gt;""),E945*G945,"")</f>
      </c>
      <c r="I945" s="249" t="n"/>
      <c r="J945" s="249" t="n"/>
    </row>
    <row r="946" ht="15" customHeight="1" s="71">
      <c r="A946" s="244" t="n">
        <v>941</v>
      </c>
      <c r="B946" s="245" t="n"/>
      <c r="C946" s="245" t="n"/>
      <c r="D946" s="245" t="n"/>
      <c r="E946" s="244" t="n"/>
      <c r="F946" s="244" t="n"/>
      <c r="G946" s="244" t="n"/>
      <c r="H946" s="246">
        <f>IF(AND(E946&lt;&gt;"",G946&lt;&gt;""),E946*G946,"")</f>
      </c>
      <c r="I946" s="245" t="n"/>
      <c r="J946" s="245" t="n"/>
    </row>
    <row r="947" ht="15" customHeight="1" s="71">
      <c r="A947" s="248" t="n">
        <v>942</v>
      </c>
      <c r="B947" s="249" t="n"/>
      <c r="C947" s="249" t="n"/>
      <c r="D947" s="249" t="n"/>
      <c r="E947" s="248" t="n"/>
      <c r="F947" s="248" t="n"/>
      <c r="G947" s="248" t="n"/>
      <c r="H947" s="250">
        <f>IF(AND(E947&lt;&gt;"",G947&lt;&gt;""),E947*G947,"")</f>
      </c>
      <c r="I947" s="249" t="n"/>
      <c r="J947" s="249" t="n"/>
    </row>
    <row r="948" ht="15" customHeight="1" s="71">
      <c r="A948" s="244" t="n">
        <v>943</v>
      </c>
      <c r="B948" s="245" t="n"/>
      <c r="C948" s="245" t="n"/>
      <c r="D948" s="245" t="n"/>
      <c r="E948" s="244" t="n"/>
      <c r="F948" s="244" t="n"/>
      <c r="G948" s="244" t="n"/>
      <c r="H948" s="246">
        <f>IF(AND(E948&lt;&gt;"",G948&lt;&gt;""),E948*G948,"")</f>
      </c>
      <c r="I948" s="245" t="n"/>
      <c r="J948" s="245" t="n"/>
    </row>
    <row r="949" ht="15" customHeight="1" s="71">
      <c r="A949" s="248" t="n">
        <v>944</v>
      </c>
      <c r="B949" s="249" t="n"/>
      <c r="C949" s="249" t="n"/>
      <c r="D949" s="249" t="n"/>
      <c r="E949" s="248" t="n"/>
      <c r="F949" s="248" t="n"/>
      <c r="G949" s="248" t="n"/>
      <c r="H949" s="250">
        <f>IF(AND(E949&lt;&gt;"",G949&lt;&gt;""),E949*G949,"")</f>
      </c>
      <c r="I949" s="249" t="n"/>
      <c r="J949" s="249" t="n"/>
    </row>
    <row r="950" ht="15" customHeight="1" s="71">
      <c r="A950" s="244" t="n">
        <v>945</v>
      </c>
      <c r="B950" s="245" t="n"/>
      <c r="C950" s="245" t="n"/>
      <c r="D950" s="245" t="n"/>
      <c r="E950" s="244" t="n"/>
      <c r="F950" s="244" t="n"/>
      <c r="G950" s="244" t="n"/>
      <c r="H950" s="246">
        <f>IF(AND(E950&lt;&gt;"",G950&lt;&gt;""),E950*G950,"")</f>
      </c>
      <c r="I950" s="245" t="n"/>
      <c r="J950" s="245" t="n"/>
    </row>
    <row r="951" ht="15" customHeight="1" s="71">
      <c r="A951" s="248" t="n">
        <v>946</v>
      </c>
      <c r="B951" s="249" t="n"/>
      <c r="C951" s="249" t="n"/>
      <c r="D951" s="249" t="n"/>
      <c r="E951" s="248" t="n"/>
      <c r="F951" s="248" t="n"/>
      <c r="G951" s="248" t="n"/>
      <c r="H951" s="250">
        <f>IF(AND(E951&lt;&gt;"",G951&lt;&gt;""),E951*G951,"")</f>
      </c>
      <c r="I951" s="249" t="n"/>
      <c r="J951" s="249" t="n"/>
    </row>
    <row r="952" ht="15" customHeight="1" s="71">
      <c r="A952" s="244" t="n">
        <v>947</v>
      </c>
      <c r="B952" s="245" t="n"/>
      <c r="C952" s="245" t="n"/>
      <c r="D952" s="245" t="n"/>
      <c r="E952" s="244" t="n"/>
      <c r="F952" s="244" t="n"/>
      <c r="G952" s="244" t="n"/>
      <c r="H952" s="246">
        <f>IF(AND(E952&lt;&gt;"",G952&lt;&gt;""),E952*G952,"")</f>
      </c>
      <c r="I952" s="245" t="n"/>
      <c r="J952" s="245" t="n"/>
    </row>
    <row r="953" ht="15" customHeight="1" s="71">
      <c r="A953" s="248" t="n">
        <v>948</v>
      </c>
      <c r="B953" s="249" t="n"/>
      <c r="C953" s="249" t="n"/>
      <c r="D953" s="249" t="n"/>
      <c r="E953" s="248" t="n"/>
      <c r="F953" s="248" t="n"/>
      <c r="G953" s="248" t="n"/>
      <c r="H953" s="250">
        <f>IF(AND(E953&lt;&gt;"",G953&lt;&gt;""),E953*G953,"")</f>
      </c>
      <c r="I953" s="249" t="n"/>
      <c r="J953" s="249" t="n"/>
    </row>
    <row r="954" ht="15" customHeight="1" s="71">
      <c r="A954" s="244" t="n">
        <v>949</v>
      </c>
      <c r="B954" s="245" t="n"/>
      <c r="C954" s="245" t="n"/>
      <c r="D954" s="245" t="n"/>
      <c r="E954" s="244" t="n"/>
      <c r="F954" s="244" t="n"/>
      <c r="G954" s="244" t="n"/>
      <c r="H954" s="246">
        <f>IF(AND(E954&lt;&gt;"",G954&lt;&gt;""),E954*G954,"")</f>
      </c>
      <c r="I954" s="245" t="n"/>
      <c r="J954" s="245" t="n"/>
    </row>
    <row r="955" ht="15" customHeight="1" s="71">
      <c r="A955" s="248" t="n">
        <v>950</v>
      </c>
      <c r="B955" s="249" t="n"/>
      <c r="C955" s="249" t="n"/>
      <c r="D955" s="249" t="n"/>
      <c r="E955" s="248" t="n"/>
      <c r="F955" s="248" t="n"/>
      <c r="G955" s="248" t="n"/>
      <c r="H955" s="250">
        <f>IF(AND(E955&lt;&gt;"",G955&lt;&gt;""),E955*G955,"")</f>
      </c>
      <c r="I955" s="249" t="n"/>
      <c r="J955" s="249" t="n"/>
    </row>
    <row r="956" ht="15" customHeight="1" s="71">
      <c r="A956" s="244" t="n">
        <v>951</v>
      </c>
      <c r="B956" s="245" t="n"/>
      <c r="C956" s="245" t="n"/>
      <c r="D956" s="245" t="n"/>
      <c r="E956" s="244" t="n"/>
      <c r="F956" s="244" t="n"/>
      <c r="G956" s="244" t="n"/>
      <c r="H956" s="246">
        <f>IF(AND(E956&lt;&gt;"",G956&lt;&gt;""),E956*G956,"")</f>
      </c>
      <c r="I956" s="245" t="n"/>
      <c r="J956" s="245" t="n"/>
    </row>
    <row r="957" ht="15" customHeight="1" s="71">
      <c r="A957" s="248" t="n">
        <v>952</v>
      </c>
      <c r="B957" s="249" t="n"/>
      <c r="C957" s="249" t="n"/>
      <c r="D957" s="249" t="n"/>
      <c r="E957" s="248" t="n"/>
      <c r="F957" s="248" t="n"/>
      <c r="G957" s="248" t="n"/>
      <c r="H957" s="250">
        <f>IF(AND(E957&lt;&gt;"",G957&lt;&gt;""),E957*G957,"")</f>
      </c>
      <c r="I957" s="249" t="n"/>
      <c r="J957" s="249" t="n"/>
    </row>
    <row r="958" ht="15" customHeight="1" s="71">
      <c r="A958" s="244" t="n">
        <v>953</v>
      </c>
      <c r="B958" s="245" t="n"/>
      <c r="C958" s="245" t="n"/>
      <c r="D958" s="245" t="n"/>
      <c r="E958" s="244" t="n"/>
      <c r="F958" s="244" t="n"/>
      <c r="G958" s="244" t="n"/>
      <c r="H958" s="246">
        <f>IF(AND(E958&lt;&gt;"",G958&lt;&gt;""),E958*G958,"")</f>
      </c>
      <c r="I958" s="245" t="n"/>
      <c r="J958" s="245" t="n"/>
    </row>
    <row r="959" ht="15" customHeight="1" s="71">
      <c r="A959" s="248" t="n">
        <v>954</v>
      </c>
      <c r="B959" s="249" t="n"/>
      <c r="C959" s="249" t="n"/>
      <c r="D959" s="249" t="n"/>
      <c r="E959" s="248" t="n"/>
      <c r="F959" s="248" t="n"/>
      <c r="G959" s="248" t="n"/>
      <c r="H959" s="250">
        <f>IF(AND(E959&lt;&gt;"",G959&lt;&gt;""),E959*G959,"")</f>
      </c>
      <c r="I959" s="249" t="n"/>
      <c r="J959" s="249" t="n"/>
    </row>
    <row r="960" ht="15" customHeight="1" s="71">
      <c r="A960" s="244" t="n">
        <v>955</v>
      </c>
      <c r="B960" s="245" t="n"/>
      <c r="C960" s="245" t="n"/>
      <c r="D960" s="245" t="n"/>
      <c r="E960" s="244" t="n"/>
      <c r="F960" s="244" t="n"/>
      <c r="G960" s="244" t="n"/>
      <c r="H960" s="246">
        <f>IF(AND(E960&lt;&gt;"",G960&lt;&gt;""),E960*G960,"")</f>
      </c>
      <c r="I960" s="245" t="n"/>
      <c r="J960" s="245" t="n"/>
    </row>
    <row r="961" ht="15" customHeight="1" s="71">
      <c r="A961" s="248" t="n">
        <v>956</v>
      </c>
      <c r="B961" s="249" t="n"/>
      <c r="C961" s="249" t="n"/>
      <c r="D961" s="249" t="n"/>
      <c r="E961" s="248" t="n"/>
      <c r="F961" s="248" t="n"/>
      <c r="G961" s="248" t="n"/>
      <c r="H961" s="250">
        <f>IF(AND(E961&lt;&gt;"",G961&lt;&gt;""),E961*G961,"")</f>
      </c>
      <c r="I961" s="249" t="n"/>
      <c r="J961" s="249" t="n"/>
    </row>
    <row r="962" ht="15" customHeight="1" s="71">
      <c r="A962" s="244" t="n">
        <v>957</v>
      </c>
      <c r="B962" s="245" t="n"/>
      <c r="C962" s="245" t="n"/>
      <c r="D962" s="245" t="n"/>
      <c r="E962" s="244" t="n"/>
      <c r="F962" s="244" t="n"/>
      <c r="G962" s="244" t="n"/>
      <c r="H962" s="246">
        <f>IF(AND(E962&lt;&gt;"",G962&lt;&gt;""),E962*G962,"")</f>
      </c>
      <c r="I962" s="245" t="n"/>
      <c r="J962" s="245" t="n"/>
    </row>
    <row r="963" ht="15" customHeight="1" s="71">
      <c r="A963" s="248" t="n">
        <v>958</v>
      </c>
      <c r="B963" s="249" t="n"/>
      <c r="C963" s="249" t="n"/>
      <c r="D963" s="249" t="n"/>
      <c r="E963" s="248" t="n"/>
      <c r="F963" s="248" t="n"/>
      <c r="G963" s="248" t="n"/>
      <c r="H963" s="250">
        <f>IF(AND(E963&lt;&gt;"",G963&lt;&gt;""),E963*G963,"")</f>
      </c>
      <c r="I963" s="249" t="n"/>
      <c r="J963" s="249" t="n"/>
    </row>
    <row r="964" ht="15" customHeight="1" s="71">
      <c r="A964" s="244" t="n">
        <v>959</v>
      </c>
      <c r="B964" s="245" t="n"/>
      <c r="C964" s="245" t="n"/>
      <c r="D964" s="245" t="n"/>
      <c r="E964" s="244" t="n"/>
      <c r="F964" s="244" t="n"/>
      <c r="G964" s="244" t="n"/>
      <c r="H964" s="246">
        <f>IF(AND(E964&lt;&gt;"",G964&lt;&gt;""),E964*G964,"")</f>
      </c>
      <c r="I964" s="245" t="n"/>
      <c r="J964" s="245" t="n"/>
    </row>
    <row r="965" ht="15" customHeight="1" s="71">
      <c r="A965" s="248" t="n">
        <v>960</v>
      </c>
      <c r="B965" s="249" t="n"/>
      <c r="C965" s="249" t="n"/>
      <c r="D965" s="249" t="n"/>
      <c r="E965" s="248" t="n"/>
      <c r="F965" s="248" t="n"/>
      <c r="G965" s="248" t="n"/>
      <c r="H965" s="250">
        <f>IF(AND(E965&lt;&gt;"",G965&lt;&gt;""),E965*G965,"")</f>
      </c>
      <c r="I965" s="249" t="n"/>
      <c r="J965" s="249" t="n"/>
    </row>
    <row r="966" ht="15" customHeight="1" s="71">
      <c r="A966" s="244" t="n">
        <v>961</v>
      </c>
      <c r="B966" s="245" t="n"/>
      <c r="C966" s="245" t="n"/>
      <c r="D966" s="245" t="n"/>
      <c r="E966" s="244" t="n"/>
      <c r="F966" s="244" t="n"/>
      <c r="G966" s="244" t="n"/>
      <c r="H966" s="246">
        <f>IF(AND(E966&lt;&gt;"",G966&lt;&gt;""),E966*G966,"")</f>
      </c>
      <c r="I966" s="245" t="n"/>
      <c r="J966" s="245" t="n"/>
    </row>
    <row r="967" ht="15" customHeight="1" s="71">
      <c r="A967" s="248" t="n">
        <v>962</v>
      </c>
      <c r="B967" s="249" t="n"/>
      <c r="C967" s="249" t="n"/>
      <c r="D967" s="249" t="n"/>
      <c r="E967" s="248" t="n"/>
      <c r="F967" s="248" t="n"/>
      <c r="G967" s="248" t="n"/>
      <c r="H967" s="250">
        <f>IF(AND(E967&lt;&gt;"",G967&lt;&gt;""),E967*G967,"")</f>
      </c>
      <c r="I967" s="249" t="n"/>
      <c r="J967" s="249" t="n"/>
    </row>
    <row r="968" ht="15" customHeight="1" s="71">
      <c r="A968" s="244" t="n">
        <v>963</v>
      </c>
      <c r="B968" s="245" t="n"/>
      <c r="C968" s="245" t="n"/>
      <c r="D968" s="245" t="n"/>
      <c r="E968" s="244" t="n"/>
      <c r="F968" s="244" t="n"/>
      <c r="G968" s="244" t="n"/>
      <c r="H968" s="246">
        <f>IF(AND(E968&lt;&gt;"",G968&lt;&gt;""),E968*G968,"")</f>
      </c>
      <c r="I968" s="245" t="n"/>
      <c r="J968" s="245" t="n"/>
    </row>
    <row r="969" ht="15" customHeight="1" s="71">
      <c r="A969" s="248" t="n">
        <v>964</v>
      </c>
      <c r="B969" s="249" t="n"/>
      <c r="C969" s="249" t="n"/>
      <c r="D969" s="249" t="n"/>
      <c r="E969" s="248" t="n"/>
      <c r="F969" s="248" t="n"/>
      <c r="G969" s="248" t="n"/>
      <c r="H969" s="250">
        <f>IF(AND(E969&lt;&gt;"",G969&lt;&gt;""),E969*G969,"")</f>
      </c>
      <c r="I969" s="249" t="n"/>
      <c r="J969" s="249" t="n"/>
    </row>
    <row r="970" ht="15" customHeight="1" s="71">
      <c r="A970" s="244" t="n">
        <v>965</v>
      </c>
      <c r="B970" s="245" t="n"/>
      <c r="C970" s="245" t="n"/>
      <c r="D970" s="245" t="n"/>
      <c r="E970" s="244" t="n"/>
      <c r="F970" s="244" t="n"/>
      <c r="G970" s="244" t="n"/>
      <c r="H970" s="246">
        <f>IF(AND(E970&lt;&gt;"",G970&lt;&gt;""),E970*G970,"")</f>
      </c>
      <c r="I970" s="245" t="n"/>
      <c r="J970" s="245" t="n"/>
    </row>
    <row r="971" ht="15" customHeight="1" s="71">
      <c r="A971" s="248" t="n">
        <v>966</v>
      </c>
      <c r="B971" s="249" t="n"/>
      <c r="C971" s="249" t="n"/>
      <c r="D971" s="249" t="n"/>
      <c r="E971" s="248" t="n"/>
      <c r="F971" s="248" t="n"/>
      <c r="G971" s="248" t="n"/>
      <c r="H971" s="250">
        <f>IF(AND(E971&lt;&gt;"",G971&lt;&gt;""),E971*G971,"")</f>
      </c>
      <c r="I971" s="249" t="n"/>
      <c r="J971" s="249" t="n"/>
    </row>
    <row r="972" ht="15" customHeight="1" s="71">
      <c r="A972" s="244" t="n">
        <v>967</v>
      </c>
      <c r="B972" s="245" t="n"/>
      <c r="C972" s="245" t="n"/>
      <c r="D972" s="245" t="n"/>
      <c r="E972" s="244" t="n"/>
      <c r="F972" s="244" t="n"/>
      <c r="G972" s="244" t="n"/>
      <c r="H972" s="246">
        <f>IF(AND(E972&lt;&gt;"",G972&lt;&gt;""),E972*G972,"")</f>
      </c>
      <c r="I972" s="245" t="n"/>
      <c r="J972" s="245" t="n"/>
    </row>
    <row r="973" ht="15" customHeight="1" s="71">
      <c r="A973" s="248" t="n">
        <v>968</v>
      </c>
      <c r="B973" s="249" t="n"/>
      <c r="C973" s="249" t="n"/>
      <c r="D973" s="249" t="n"/>
      <c r="E973" s="248" t="n"/>
      <c r="F973" s="248" t="n"/>
      <c r="G973" s="248" t="n"/>
      <c r="H973" s="250">
        <f>IF(AND(E973&lt;&gt;"",G973&lt;&gt;""),E973*G973,"")</f>
      </c>
      <c r="I973" s="249" t="n"/>
      <c r="J973" s="249" t="n"/>
    </row>
    <row r="974" ht="15" customHeight="1" s="71">
      <c r="A974" s="244" t="n">
        <v>969</v>
      </c>
      <c r="B974" s="245" t="n"/>
      <c r="C974" s="245" t="n"/>
      <c r="D974" s="245" t="n"/>
      <c r="E974" s="244" t="n"/>
      <c r="F974" s="244" t="n"/>
      <c r="G974" s="244" t="n"/>
      <c r="H974" s="246">
        <f>IF(AND(E974&lt;&gt;"",G974&lt;&gt;""),E974*G974,"")</f>
      </c>
      <c r="I974" s="245" t="n"/>
      <c r="J974" s="245" t="n"/>
    </row>
    <row r="975" ht="15" customHeight="1" s="71">
      <c r="A975" s="248" t="n">
        <v>970</v>
      </c>
      <c r="B975" s="249" t="n"/>
      <c r="C975" s="249" t="n"/>
      <c r="D975" s="249" t="n"/>
      <c r="E975" s="248" t="n"/>
      <c r="F975" s="248" t="n"/>
      <c r="G975" s="248" t="n"/>
      <c r="H975" s="250">
        <f>IF(AND(E975&lt;&gt;"",G975&lt;&gt;""),E975*G975,"")</f>
      </c>
      <c r="I975" s="249" t="n"/>
      <c r="J975" s="249" t="n"/>
    </row>
    <row r="976" ht="15" customHeight="1" s="71">
      <c r="A976" s="244" t="n">
        <v>971</v>
      </c>
      <c r="B976" s="245" t="n"/>
      <c r="C976" s="245" t="n"/>
      <c r="D976" s="245" t="n"/>
      <c r="E976" s="244" t="n"/>
      <c r="F976" s="244" t="n"/>
      <c r="G976" s="244" t="n"/>
      <c r="H976" s="246">
        <f>IF(AND(E976&lt;&gt;"",G976&lt;&gt;""),E976*G976,"")</f>
      </c>
      <c r="I976" s="245" t="n"/>
      <c r="J976" s="245" t="n"/>
    </row>
    <row r="977" ht="15" customHeight="1" s="71">
      <c r="A977" s="248" t="n">
        <v>972</v>
      </c>
      <c r="B977" s="249" t="n"/>
      <c r="C977" s="249" t="n"/>
      <c r="D977" s="249" t="n"/>
      <c r="E977" s="248" t="n"/>
      <c r="F977" s="248" t="n"/>
      <c r="G977" s="248" t="n"/>
      <c r="H977" s="250">
        <f>IF(AND(E977&lt;&gt;"",G977&lt;&gt;""),E977*G977,"")</f>
      </c>
      <c r="I977" s="249" t="n"/>
      <c r="J977" s="249" t="n"/>
    </row>
    <row r="978" ht="15" customHeight="1" s="71">
      <c r="A978" s="244" t="n">
        <v>973</v>
      </c>
      <c r="B978" s="245" t="n"/>
      <c r="C978" s="245" t="n"/>
      <c r="D978" s="245" t="n"/>
      <c r="E978" s="244" t="n"/>
      <c r="F978" s="244" t="n"/>
      <c r="G978" s="244" t="n"/>
      <c r="H978" s="246">
        <f>IF(AND(E978&lt;&gt;"",G978&lt;&gt;""),E978*G978,"")</f>
      </c>
      <c r="I978" s="245" t="n"/>
      <c r="J978" s="245" t="n"/>
    </row>
    <row r="979" ht="15" customHeight="1" s="71">
      <c r="A979" s="248" t="n">
        <v>974</v>
      </c>
      <c r="B979" s="249" t="n"/>
      <c r="C979" s="249" t="n"/>
      <c r="D979" s="249" t="n"/>
      <c r="E979" s="248" t="n"/>
      <c r="F979" s="248" t="n"/>
      <c r="G979" s="248" t="n"/>
      <c r="H979" s="250">
        <f>IF(AND(E979&lt;&gt;"",G979&lt;&gt;""),E979*G979,"")</f>
      </c>
      <c r="I979" s="249" t="n"/>
      <c r="J979" s="249" t="n"/>
    </row>
    <row r="980" ht="15" customHeight="1" s="71">
      <c r="A980" s="244" t="n">
        <v>975</v>
      </c>
      <c r="B980" s="245" t="n"/>
      <c r="C980" s="245" t="n"/>
      <c r="D980" s="245" t="n"/>
      <c r="E980" s="244" t="n"/>
      <c r="F980" s="244" t="n"/>
      <c r="G980" s="244" t="n"/>
      <c r="H980" s="246">
        <f>IF(AND(E980&lt;&gt;"",G980&lt;&gt;""),E980*G980,"")</f>
      </c>
      <c r="I980" s="245" t="n"/>
      <c r="J980" s="245" t="n"/>
    </row>
    <row r="981" ht="15" customHeight="1" s="71">
      <c r="A981" s="248" t="n">
        <v>976</v>
      </c>
      <c r="B981" s="249" t="n"/>
      <c r="C981" s="249" t="n"/>
      <c r="D981" s="249" t="n"/>
      <c r="E981" s="248" t="n"/>
      <c r="F981" s="248" t="n"/>
      <c r="G981" s="248" t="n"/>
      <c r="H981" s="250">
        <f>IF(AND(E981&lt;&gt;"",G981&lt;&gt;""),E981*G981,"")</f>
      </c>
      <c r="I981" s="249" t="n"/>
      <c r="J981" s="249" t="n"/>
    </row>
    <row r="982" ht="15" customHeight="1" s="71">
      <c r="A982" s="244" t="n">
        <v>977</v>
      </c>
      <c r="B982" s="245" t="n"/>
      <c r="C982" s="245" t="n"/>
      <c r="D982" s="245" t="n"/>
      <c r="E982" s="244" t="n"/>
      <c r="F982" s="244" t="n"/>
      <c r="G982" s="244" t="n"/>
      <c r="H982" s="246">
        <f>IF(AND(E982&lt;&gt;"",G982&lt;&gt;""),E982*G982,"")</f>
      </c>
      <c r="I982" s="245" t="n"/>
      <c r="J982" s="245" t="n"/>
    </row>
    <row r="983" ht="15" customHeight="1" s="71">
      <c r="A983" s="248" t="n">
        <v>978</v>
      </c>
      <c r="B983" s="249" t="n"/>
      <c r="C983" s="249" t="n"/>
      <c r="D983" s="249" t="n"/>
      <c r="E983" s="248" t="n"/>
      <c r="F983" s="248" t="n"/>
      <c r="G983" s="248" t="n"/>
      <c r="H983" s="250">
        <f>IF(AND(E983&lt;&gt;"",G983&lt;&gt;""),E983*G983,"")</f>
      </c>
      <c r="I983" s="249" t="n"/>
      <c r="J983" s="249" t="n"/>
    </row>
    <row r="984" ht="15" customHeight="1" s="71">
      <c r="A984" s="244" t="n">
        <v>979</v>
      </c>
      <c r="B984" s="245" t="n"/>
      <c r="C984" s="245" t="n"/>
      <c r="D984" s="245" t="n"/>
      <c r="E984" s="244" t="n"/>
      <c r="F984" s="244" t="n"/>
      <c r="G984" s="244" t="n"/>
      <c r="H984" s="246">
        <f>IF(AND(E984&lt;&gt;"",G984&lt;&gt;""),E984*G984,"")</f>
      </c>
      <c r="I984" s="245" t="n"/>
      <c r="J984" s="245" t="n"/>
    </row>
    <row r="985" ht="15" customHeight="1" s="71">
      <c r="A985" s="248" t="n">
        <v>980</v>
      </c>
      <c r="B985" s="249" t="n"/>
      <c r="C985" s="249" t="n"/>
      <c r="D985" s="249" t="n"/>
      <c r="E985" s="248" t="n"/>
      <c r="F985" s="248" t="n"/>
      <c r="G985" s="248" t="n"/>
      <c r="H985" s="250">
        <f>IF(AND(E985&lt;&gt;"",G985&lt;&gt;""),E985*G985,"")</f>
      </c>
      <c r="I985" s="249" t="n"/>
      <c r="J985" s="249" t="n"/>
    </row>
    <row r="986" ht="15" customHeight="1" s="71">
      <c r="A986" s="244" t="n">
        <v>981</v>
      </c>
      <c r="B986" s="245" t="n"/>
      <c r="C986" s="245" t="n"/>
      <c r="D986" s="245" t="n"/>
      <c r="E986" s="244" t="n"/>
      <c r="F986" s="244" t="n"/>
      <c r="G986" s="244" t="n"/>
      <c r="H986" s="246">
        <f>IF(AND(E986&lt;&gt;"",G986&lt;&gt;""),E986*G986,"")</f>
      </c>
      <c r="I986" s="245" t="n"/>
      <c r="J986" s="245" t="n"/>
    </row>
    <row r="987" ht="15" customHeight="1" s="71">
      <c r="A987" s="248" t="n">
        <v>982</v>
      </c>
      <c r="B987" s="249" t="n"/>
      <c r="C987" s="249" t="n"/>
      <c r="D987" s="249" t="n"/>
      <c r="E987" s="248" t="n"/>
      <c r="F987" s="248" t="n"/>
      <c r="G987" s="248" t="n"/>
      <c r="H987" s="250">
        <f>IF(AND(E987&lt;&gt;"",G987&lt;&gt;""),E987*G987,"")</f>
      </c>
      <c r="I987" s="249" t="n"/>
      <c r="J987" s="249" t="n"/>
    </row>
    <row r="988" ht="15" customHeight="1" s="71">
      <c r="A988" s="244" t="n">
        <v>983</v>
      </c>
      <c r="B988" s="245" t="n"/>
      <c r="C988" s="245" t="n"/>
      <c r="D988" s="245" t="n"/>
      <c r="E988" s="244" t="n"/>
      <c r="F988" s="244" t="n"/>
      <c r="G988" s="244" t="n"/>
      <c r="H988" s="246">
        <f>IF(AND(E988&lt;&gt;"",G988&lt;&gt;""),E988*G988,"")</f>
      </c>
      <c r="I988" s="245" t="n"/>
      <c r="J988" s="245" t="n"/>
    </row>
    <row r="989" ht="15" customHeight="1" s="71">
      <c r="A989" s="248" t="n">
        <v>984</v>
      </c>
      <c r="B989" s="249" t="n"/>
      <c r="C989" s="249" t="n"/>
      <c r="D989" s="249" t="n"/>
      <c r="E989" s="248" t="n"/>
      <c r="F989" s="248" t="n"/>
      <c r="G989" s="248" t="n"/>
      <c r="H989" s="250">
        <f>IF(AND(E989&lt;&gt;"",G989&lt;&gt;""),E989*G989,"")</f>
      </c>
      <c r="I989" s="249" t="n"/>
      <c r="J989" s="249" t="n"/>
    </row>
    <row r="990" ht="15" customHeight="1" s="71">
      <c r="A990" s="244" t="n">
        <v>985</v>
      </c>
      <c r="B990" s="245" t="n"/>
      <c r="C990" s="245" t="n"/>
      <c r="D990" s="245" t="n"/>
      <c r="E990" s="244" t="n"/>
      <c r="F990" s="244" t="n"/>
      <c r="G990" s="244" t="n"/>
      <c r="H990" s="246">
        <f>IF(AND(E990&lt;&gt;"",G990&lt;&gt;""),E990*G990,"")</f>
      </c>
      <c r="I990" s="245" t="n"/>
      <c r="J990" s="245" t="n"/>
    </row>
    <row r="991" ht="15" customHeight="1" s="71">
      <c r="A991" s="248" t="n">
        <v>986</v>
      </c>
      <c r="B991" s="249" t="n"/>
      <c r="C991" s="249" t="n"/>
      <c r="D991" s="249" t="n"/>
      <c r="E991" s="248" t="n"/>
      <c r="F991" s="248" t="n"/>
      <c r="G991" s="248" t="n"/>
      <c r="H991" s="250">
        <f>IF(AND(E991&lt;&gt;"",G991&lt;&gt;""),E991*G991,"")</f>
      </c>
      <c r="I991" s="249" t="n"/>
      <c r="J991" s="249" t="n"/>
    </row>
    <row r="992" ht="15" customHeight="1" s="71">
      <c r="A992" s="244" t="n">
        <v>987</v>
      </c>
      <c r="B992" s="245" t="n"/>
      <c r="C992" s="245" t="n"/>
      <c r="D992" s="245" t="n"/>
      <c r="E992" s="244" t="n"/>
      <c r="F992" s="244" t="n"/>
      <c r="G992" s="244" t="n"/>
      <c r="H992" s="246">
        <f>IF(AND(E992&lt;&gt;"",G992&lt;&gt;""),E992*G992,"")</f>
      </c>
      <c r="I992" s="245" t="n"/>
      <c r="J992" s="245" t="n"/>
    </row>
    <row r="993" ht="15" customHeight="1" s="71">
      <c r="A993" s="248" t="n">
        <v>988</v>
      </c>
      <c r="B993" s="249" t="n"/>
      <c r="C993" s="249" t="n"/>
      <c r="D993" s="249" t="n"/>
      <c r="E993" s="248" t="n"/>
      <c r="F993" s="248" t="n"/>
      <c r="G993" s="248" t="n"/>
      <c r="H993" s="250">
        <f>IF(AND(E993&lt;&gt;"",G993&lt;&gt;""),E993*G993,"")</f>
      </c>
      <c r="I993" s="249" t="n"/>
      <c r="J993" s="249" t="n"/>
    </row>
    <row r="994" ht="15" customHeight="1" s="71">
      <c r="A994" s="244" t="n">
        <v>989</v>
      </c>
      <c r="B994" s="245" t="n"/>
      <c r="C994" s="245" t="n"/>
      <c r="D994" s="245" t="n"/>
      <c r="E994" s="244" t="n"/>
      <c r="F994" s="244" t="n"/>
      <c r="G994" s="244" t="n"/>
      <c r="H994" s="246">
        <f>IF(AND(E994&lt;&gt;"",G994&lt;&gt;""),E994*G994,"")</f>
      </c>
      <c r="I994" s="245" t="n"/>
      <c r="J994" s="245" t="n"/>
    </row>
    <row r="995" ht="15" customHeight="1" s="71">
      <c r="A995" s="248" t="n">
        <v>990</v>
      </c>
      <c r="B995" s="249" t="n"/>
      <c r="C995" s="249" t="n"/>
      <c r="D995" s="249" t="n"/>
      <c r="E995" s="248" t="n"/>
      <c r="F995" s="248" t="n"/>
      <c r="G995" s="248" t="n"/>
      <c r="H995" s="250">
        <f>IF(AND(E995&lt;&gt;"",G995&lt;&gt;""),E995*G995,"")</f>
      </c>
      <c r="I995" s="249" t="n"/>
      <c r="J995" s="249" t="n"/>
    </row>
    <row r="996" ht="15" customHeight="1" s="71">
      <c r="A996" s="244" t="n">
        <v>991</v>
      </c>
      <c r="B996" s="245" t="n"/>
      <c r="C996" s="245" t="n"/>
      <c r="D996" s="245" t="n"/>
      <c r="E996" s="244" t="n"/>
      <c r="F996" s="244" t="n"/>
      <c r="G996" s="244" t="n"/>
      <c r="H996" s="246">
        <f>IF(AND(E996&lt;&gt;"",G996&lt;&gt;""),E996*G996,"")</f>
      </c>
      <c r="I996" s="245" t="n"/>
      <c r="J996" s="245" t="n"/>
    </row>
    <row r="997" ht="15" customHeight="1" s="71">
      <c r="A997" s="248" t="n">
        <v>992</v>
      </c>
      <c r="B997" s="249" t="n"/>
      <c r="C997" s="249" t="n"/>
      <c r="D997" s="249" t="n"/>
      <c r="E997" s="248" t="n"/>
      <c r="F997" s="248" t="n"/>
      <c r="G997" s="248" t="n"/>
      <c r="H997" s="250">
        <f>IF(AND(E997&lt;&gt;"",G997&lt;&gt;""),E997*G997,"")</f>
      </c>
      <c r="I997" s="249" t="n"/>
      <c r="J997" s="249" t="n"/>
    </row>
    <row r="998" ht="15" customHeight="1" s="71">
      <c r="A998" s="244" t="n">
        <v>993</v>
      </c>
      <c r="B998" s="245" t="n"/>
      <c r="C998" s="245" t="n"/>
      <c r="D998" s="245" t="n"/>
      <c r="E998" s="244" t="n"/>
      <c r="F998" s="244" t="n"/>
      <c r="G998" s="244" t="n"/>
      <c r="H998" s="246">
        <f>IF(AND(E998&lt;&gt;"",G998&lt;&gt;""),E998*G998,"")</f>
      </c>
      <c r="I998" s="245" t="n"/>
      <c r="J998" s="245" t="n"/>
    </row>
    <row r="999" ht="15" customHeight="1" s="71">
      <c r="A999" s="248" t="n">
        <v>994</v>
      </c>
      <c r="B999" s="249" t="n"/>
      <c r="C999" s="249" t="n"/>
      <c r="D999" s="249" t="n"/>
      <c r="E999" s="248" t="n"/>
      <c r="F999" s="248" t="n"/>
      <c r="G999" s="248" t="n"/>
      <c r="H999" s="250">
        <f>IF(AND(E999&lt;&gt;"",G999&lt;&gt;""),E999*G999,"")</f>
      </c>
      <c r="I999" s="249" t="n"/>
      <c r="J999" s="249" t="n"/>
    </row>
    <row r="1000" ht="15" customHeight="1" s="71">
      <c r="A1000" s="244" t="n">
        <v>995</v>
      </c>
      <c r="B1000" s="245" t="n"/>
      <c r="C1000" s="245" t="n"/>
      <c r="D1000" s="245" t="n"/>
      <c r="E1000" s="244" t="n"/>
      <c r="F1000" s="244" t="n"/>
      <c r="G1000" s="244" t="n"/>
      <c r="H1000" s="246">
        <f>IF(AND(E1000&lt;&gt;"",G1000&lt;&gt;""),E1000*G1000,"")</f>
      </c>
      <c r="I1000" s="245" t="n"/>
      <c r="J1000" s="245" t="n"/>
    </row>
  </sheetData>
  <mergeCells count="1">
    <mergeCell ref="A1:J1"/>
  </mergeCells>
  <conditionalFormatting sqref="E6:G34">
    <cfRule type="expression" priority="1" dxfId="0">
      <formula>AND($C6&lt;&gt;"",$E6&lt;&gt;"",$G6="")</formula>
    </cfRule>
  </conditionalFormatting>
  <dataValidations count="3">
    <dataValidation sqref="B6:B1000" showDropDown="0" showInputMessage="0" showErrorMessage="1" allowBlank="1" type="list">
      <formula1>"青岛公司,农夫山泉公司,东鹏公司,其他公司"</formula1>
    </dataValidation>
    <dataValidation sqref="F6:F1000" showDropDown="0" showInputMessage="0" showErrorMessage="1" allowBlank="1" type="list">
      <formula1>"瓶,箱,罐,包,盒"</formula1>
    </dataValidation>
    <dataValidation sqref="I6:I1000" showDropDown="0" showInputMessage="0" showErrorMessage="1" allowBlank="1" type="list">
      <formula1>"过期,破损,质量问题,临期,其他"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33C0C"/>
    <outlinePr summaryBelow="1" summaryRight="1"/>
    <pageSetUpPr/>
  </sheetPr>
  <dimension ref="A1:J1000"/>
  <sheetViews>
    <sheetView tabSelected="0" workbookViewId="0">
      <selection activeCell="A1" sqref="A1"/>
    </sheetView>
  </sheetViews>
  <sheetFormatPr baseColWidth="8" defaultColWidth="9.142857142857141" defaultRowHeight="12"/>
  <cols>
    <col width="13.2857142857143" customWidth="1" style="71" min="1" max="1"/>
    <col width="15.5714285714286" customWidth="1" style="71" min="2" max="2"/>
    <col width="15" customWidth="1" style="71" min="3" max="3"/>
    <col width="16.2857142857143" customWidth="1" style="71" min="4" max="4"/>
    <col width="14.5714285714286" customWidth="1" style="71" min="8" max="8"/>
  </cols>
  <sheetData>
    <row r="1" ht="21" customHeight="1" s="71">
      <c r="A1" s="237" t="inlineStr">
        <is>
          <t>产品过期报损明细台账</t>
        </is>
      </c>
    </row>
    <row r="2" ht="30" customHeight="1" s="71">
      <c r="A2" s="238" t="inlineStr">
        <is>
          <t>统计周期</t>
        </is>
      </c>
      <c r="B2" s="261" t="n">
        <v>46204</v>
      </c>
      <c r="C2" s="238" t="inlineStr">
        <is>
          <t>统计人</t>
        </is>
      </c>
      <c r="D2" s="249" t="n"/>
      <c r="E2" s="238" t="inlineStr">
        <is>
          <t>统计日期</t>
        </is>
      </c>
      <c r="F2" s="249" t="n"/>
      <c r="G2" s="238" t="inlineStr">
        <is>
          <t>数据行范围</t>
        </is>
      </c>
      <c r="H2" s="249" t="inlineStr">
        <is>
          <t>A6:J1000</t>
        </is>
      </c>
      <c r="I2" s="176">
        <f>H35</f>
        <v>185.455</v>
      </c>
    </row>
    <row r="3"/>
    <row r="4"/>
    <row r="5" ht="30" customHeight="1" s="71">
      <c r="A5" s="238" t="inlineStr">
        <is>
          <t>序号</t>
        </is>
      </c>
      <c r="B5" s="238" t="inlineStr">
        <is>
          <t>所属公司</t>
        </is>
      </c>
      <c r="C5" s="238" t="inlineStr">
        <is>
          <t>产品名称</t>
        </is>
      </c>
      <c r="D5" s="238" t="inlineStr">
        <is>
          <t>规格型号</t>
        </is>
      </c>
      <c r="E5" s="238" t="inlineStr">
        <is>
          <t>报损数量</t>
        </is>
      </c>
      <c r="F5" s="238" t="inlineStr">
        <is>
          <t>单位</t>
        </is>
      </c>
      <c r="G5" s="238" t="inlineStr">
        <is>
          <t>产品单价(元)</t>
        </is>
      </c>
      <c r="H5" s="238" t="inlineStr">
        <is>
          <t>报损金额(元)</t>
        </is>
      </c>
      <c r="I5" s="238" t="inlineStr">
        <is>
          <t>报损原因</t>
        </is>
      </c>
      <c r="J5" s="238" t="inlineStr">
        <is>
          <t>备注</t>
        </is>
      </c>
    </row>
    <row r="6" ht="16.5" customHeight="1" s="71">
      <c r="A6" s="244" t="n">
        <v>1</v>
      </c>
      <c r="B6" s="245" t="inlineStr">
        <is>
          <t>青岛公司</t>
        </is>
      </c>
      <c r="C6" s="262" t="inlineStr">
        <is>
          <t>青岛清爽8</t>
        </is>
      </c>
      <c r="D6" s="245" t="inlineStr">
        <is>
          <t>1*12</t>
        </is>
      </c>
      <c r="E6" s="262">
        <f>25+12</f>
        <v>37</v>
      </c>
      <c r="F6" s="244" t="inlineStr">
        <is>
          <t>罐</t>
        </is>
      </c>
      <c r="G6" s="262" t="n">
        <v>2.94</v>
      </c>
      <c r="H6" s="246">
        <f>IF(AND(E6&lt;&gt;"",G6&lt;&gt;""),E6*G6,"")</f>
        <v>108.78</v>
      </c>
    </row>
    <row r="7" ht="16.5" customHeight="1" s="71">
      <c r="A7" s="248" t="n">
        <v>2</v>
      </c>
      <c r="B7" s="245" t="inlineStr">
        <is>
          <t>青岛公司</t>
        </is>
      </c>
      <c r="C7" s="262" t="inlineStr">
        <is>
          <t>青岛经典</t>
        </is>
      </c>
      <c r="D7" s="245" t="inlineStr">
        <is>
          <t>1*12</t>
        </is>
      </c>
      <c r="E7" s="262" t="n"/>
      <c r="F7" s="248" t="inlineStr">
        <is>
          <t>罐</t>
        </is>
      </c>
      <c r="G7" s="262" t="n">
        <v>4.17</v>
      </c>
      <c r="H7" s="246">
        <f>IF(AND(E7&lt;&gt;"",G7&lt;&gt;""),E7*G7,"")</f>
      </c>
    </row>
    <row r="8" ht="16.5" customHeight="1" s="71">
      <c r="A8" s="244" t="n">
        <v>3</v>
      </c>
      <c r="B8" s="245" t="inlineStr">
        <is>
          <t>青岛公司</t>
        </is>
      </c>
      <c r="C8" s="262" t="inlineStr">
        <is>
          <t>青岛崂山</t>
        </is>
      </c>
      <c r="D8" s="245" t="inlineStr">
        <is>
          <t>1*12</t>
        </is>
      </c>
      <c r="E8" s="262" t="n"/>
      <c r="F8" s="244" t="n"/>
      <c r="G8" s="262" t="n">
        <v>2</v>
      </c>
      <c r="H8" s="246">
        <f>IF(AND(E8&lt;&gt;"",G8&lt;&gt;""),E8*G8,"")</f>
      </c>
    </row>
    <row r="9" ht="16.5" customHeight="1" s="71">
      <c r="A9" s="248" t="n">
        <v>4</v>
      </c>
      <c r="B9" s="245" t="inlineStr">
        <is>
          <t>青岛公司</t>
        </is>
      </c>
      <c r="C9" s="262" t="inlineStr">
        <is>
          <t>青岛白啤</t>
        </is>
      </c>
      <c r="D9" s="245" t="inlineStr">
        <is>
          <t>1*12</t>
        </is>
      </c>
      <c r="E9" s="262" t="n"/>
      <c r="F9" s="248" t="n"/>
      <c r="G9" s="262" t="n">
        <v>5.17</v>
      </c>
      <c r="H9" s="246">
        <f>IF(AND(E9&lt;&gt;"",G9&lt;&gt;""),E9*G9,"")</f>
      </c>
    </row>
    <row r="10" ht="16.5" customHeight="1" s="71">
      <c r="A10" s="244" t="n">
        <v>5</v>
      </c>
      <c r="B10" s="245" t="inlineStr">
        <is>
          <t>青岛公司</t>
        </is>
      </c>
      <c r="C10" s="262" t="inlineStr">
        <is>
          <t>青岛清爽8奖盖过期</t>
        </is>
      </c>
      <c r="D10" s="245" t="inlineStr">
        <is>
          <t>1*12</t>
        </is>
      </c>
      <c r="E10" s="262" t="n"/>
      <c r="F10" s="244" t="n"/>
      <c r="G10" s="262" t="n">
        <v>2.94</v>
      </c>
      <c r="H10" s="246">
        <f>IF(AND(E10&lt;&gt;"",G10&lt;&gt;""),E10*G10,"")</f>
      </c>
    </row>
    <row r="11" ht="16.5" customHeight="1" s="71">
      <c r="A11" s="248" t="n">
        <v>6</v>
      </c>
      <c r="B11" s="249" t="n"/>
      <c r="C11" s="262" t="n"/>
      <c r="D11" s="249" t="n"/>
      <c r="E11" s="262" t="n"/>
      <c r="F11" s="248" t="n"/>
      <c r="G11" s="262" t="n"/>
      <c r="H11" s="246">
        <f>SUM(H6:H10)</f>
        <v>108.78</v>
      </c>
    </row>
    <row r="12" ht="16.5" customHeight="1" s="71">
      <c r="A12" s="244" t="n">
        <v>7</v>
      </c>
      <c r="B12" s="245" t="inlineStr">
        <is>
          <t>农夫山泉公司</t>
        </is>
      </c>
      <c r="C12" s="262" t="inlineStr">
        <is>
          <t>农夫500ML饮料</t>
        </is>
      </c>
      <c r="D12" s="245" t="inlineStr">
        <is>
          <t>1*15</t>
        </is>
      </c>
      <c r="E12" s="262">
        <f>25</f>
        <v>25</v>
      </c>
      <c r="F12" s="244" t="n"/>
      <c r="G12" s="262" t="n">
        <v>3.067</v>
      </c>
      <c r="H12" s="246">
        <f>IF(AND(E12&lt;&gt;"",G12&lt;&gt;""),E12*G12,"")</f>
        <v>76.675</v>
      </c>
    </row>
    <row r="13" ht="16.5" customHeight="1" s="71">
      <c r="A13" s="248" t="n">
        <v>8</v>
      </c>
      <c r="B13" s="245" t="inlineStr">
        <is>
          <t>农夫山泉公司</t>
        </is>
      </c>
      <c r="C13" s="262" t="inlineStr">
        <is>
          <t>农夫900ML饮料</t>
        </is>
      </c>
      <c r="D13" s="249" t="inlineStr">
        <is>
          <t>1*12</t>
        </is>
      </c>
      <c r="E13" s="262" t="n"/>
      <c r="F13" s="248" t="n"/>
      <c r="G13" s="262" t="n">
        <v>4.17</v>
      </c>
      <c r="H13" s="246">
        <f>IF(AND(E13&lt;&gt;"",G13&lt;&gt;""),E13*G13,"")</f>
      </c>
    </row>
    <row r="14" ht="16.5" customHeight="1" s="71">
      <c r="A14" s="244" t="n">
        <v>9</v>
      </c>
      <c r="B14" s="245" t="inlineStr">
        <is>
          <t>农夫山泉公司</t>
        </is>
      </c>
      <c r="C14" s="262" t="inlineStr">
        <is>
          <t>农夫苏打水</t>
        </is>
      </c>
      <c r="D14" s="245" t="inlineStr">
        <is>
          <t>1*15</t>
        </is>
      </c>
      <c r="E14" s="262" t="n"/>
      <c r="F14" s="244" t="n"/>
      <c r="G14" s="262" t="n">
        <v>2.27</v>
      </c>
      <c r="H14" s="246">
        <f>IF(AND(E14&lt;&gt;"",G14&lt;&gt;""),E14*G14,"")</f>
      </c>
    </row>
    <row r="15" ht="16.5" customHeight="1" s="71">
      <c r="A15" s="248" t="n">
        <v>10</v>
      </c>
      <c r="B15" s="245" t="inlineStr">
        <is>
          <t>农夫山泉公司</t>
        </is>
      </c>
      <c r="C15" s="262" t="inlineStr">
        <is>
          <t>农夫550ML水</t>
        </is>
      </c>
      <c r="D15" s="249" t="inlineStr">
        <is>
          <t>1*24</t>
        </is>
      </c>
      <c r="E15" s="262" t="n"/>
      <c r="F15" s="248" t="n"/>
      <c r="G15" s="262" t="n">
        <v>0.834</v>
      </c>
      <c r="H15" s="246">
        <f>IF(AND(E15&lt;&gt;"",G15&lt;&gt;""),E15*G15,"")</f>
      </c>
    </row>
    <row r="16" ht="16.5" customHeight="1" s="71">
      <c r="A16" s="244" t="n">
        <v>11</v>
      </c>
      <c r="B16" s="245" t="inlineStr">
        <is>
          <t>农夫山泉公司</t>
        </is>
      </c>
      <c r="C16" s="262" t="inlineStr">
        <is>
          <t>农夫1.5L水</t>
        </is>
      </c>
      <c r="D16" s="245" t="inlineStr">
        <is>
          <t>1*12</t>
        </is>
      </c>
      <c r="E16" s="262" t="n"/>
      <c r="F16" s="244" t="n"/>
      <c r="G16" s="262" t="n">
        <v>1.667</v>
      </c>
      <c r="H16" s="246">
        <f>IF(AND(E16&lt;&gt;"",G16&lt;&gt;""),E16*G16,"")</f>
      </c>
    </row>
    <row r="17" ht="16.5" customHeight="1" s="71">
      <c r="A17" s="248" t="n">
        <v>12</v>
      </c>
      <c r="B17" s="245" t="inlineStr">
        <is>
          <t>农夫山泉公司</t>
        </is>
      </c>
      <c r="C17" s="262" t="inlineStr">
        <is>
          <t>农夫2L水</t>
        </is>
      </c>
      <c r="D17" s="249" t="inlineStr">
        <is>
          <t>1*8</t>
        </is>
      </c>
      <c r="E17" s="262" t="n"/>
      <c r="F17" s="248" t="n"/>
      <c r="G17" s="262" t="n"/>
      <c r="H17" s="246">
        <f>IF(AND(E17&lt;&gt;"",G17&lt;&gt;""),E17*G17,"")</f>
      </c>
    </row>
    <row r="18" ht="16.5" customHeight="1" s="71">
      <c r="A18" s="244" t="n">
        <v>13</v>
      </c>
      <c r="B18" s="245" t="inlineStr">
        <is>
          <t>农夫山泉公司</t>
        </is>
      </c>
      <c r="C18" s="262" t="inlineStr">
        <is>
          <t>农夫5L水</t>
        </is>
      </c>
      <c r="D18" s="245" t="inlineStr">
        <is>
          <t>1*4</t>
        </is>
      </c>
      <c r="E18" s="262" t="n"/>
      <c r="F18" s="244" t="n"/>
      <c r="G18" s="262" t="n"/>
      <c r="H18" s="246">
        <f>IF(AND(E18&lt;&gt;"",G18&lt;&gt;""),E18*G18,"")</f>
      </c>
    </row>
    <row r="19" ht="16.5" customHeight="1" s="71">
      <c r="A19" s="248" t="n">
        <v>14</v>
      </c>
      <c r="B19" s="245" t="inlineStr">
        <is>
          <t>农夫山泉公司</t>
        </is>
      </c>
      <c r="C19" s="262" t="inlineStr">
        <is>
          <t>农夫12.9L水</t>
        </is>
      </c>
      <c r="D19" s="249" t="n"/>
      <c r="E19" s="262" t="n"/>
      <c r="F19" s="248" t="n"/>
      <c r="G19" s="262" t="n"/>
      <c r="H19" s="246">
        <f>IF(AND(E19&lt;&gt;"",G19&lt;&gt;""),E19*G19,"")</f>
      </c>
    </row>
    <row r="20" ht="16.5" customHeight="1" s="71">
      <c r="A20" s="244" t="n">
        <v>15</v>
      </c>
      <c r="B20" s="245" t="inlineStr">
        <is>
          <t>农夫山泉公司</t>
        </is>
      </c>
      <c r="C20" s="262" t="inlineStr">
        <is>
          <t>农夫1.25L果园</t>
        </is>
      </c>
      <c r="D20" s="245" t="inlineStr">
        <is>
          <t>1*6</t>
        </is>
      </c>
      <c r="E20" s="262" t="n"/>
      <c r="F20" s="244" t="n"/>
      <c r="G20" s="262" t="n">
        <v>6.416667</v>
      </c>
      <c r="H20" s="246">
        <f>IF(AND(E20&lt;&gt;"",G20&lt;&gt;""),E20*G20,"")</f>
      </c>
    </row>
    <row r="21" ht="16.5" customHeight="1" s="71">
      <c r="A21" s="248" t="n">
        <v>16</v>
      </c>
      <c r="B21" s="245" t="inlineStr">
        <is>
          <t>农夫山泉公司</t>
        </is>
      </c>
      <c r="C21" s="262" t="inlineStr">
        <is>
          <t>农夫1.5L东方树叶</t>
        </is>
      </c>
      <c r="D21" s="249" t="inlineStr">
        <is>
          <t>1*6</t>
        </is>
      </c>
      <c r="E21" s="262" t="n"/>
      <c r="F21" s="248" t="n"/>
      <c r="G21" s="262" t="n">
        <v>7</v>
      </c>
      <c r="H21" s="246">
        <f>IF(AND(E21&lt;&gt;"",G21&lt;&gt;""),E21*G21,"")</f>
      </c>
    </row>
    <row r="22" ht="16.5" customHeight="1" s="71">
      <c r="A22" s="244" t="n">
        <v>17</v>
      </c>
      <c r="B22" s="245" t="n"/>
      <c r="C22" s="262" t="n"/>
      <c r="D22" s="245" t="n"/>
      <c r="E22" s="262" t="n"/>
      <c r="F22" s="244" t="n"/>
      <c r="G22" s="262" t="n"/>
      <c r="H22" s="246">
        <f>SUM(H12:H21)</f>
        <v>76.675</v>
      </c>
    </row>
    <row r="23" ht="16.5" customHeight="1" s="71">
      <c r="A23" s="248" t="n">
        <v>18</v>
      </c>
      <c r="B23" s="249" t="inlineStr">
        <is>
          <t>东鹏公司</t>
        </is>
      </c>
      <c r="C23" s="262" t="inlineStr">
        <is>
          <t>东鹏500ML特饮</t>
        </is>
      </c>
      <c r="D23" s="249" t="inlineStr">
        <is>
          <t>1*24</t>
        </is>
      </c>
      <c r="E23" s="262" t="n"/>
      <c r="F23" s="248" t="n"/>
      <c r="G23" s="262" t="n">
        <v>3.23</v>
      </c>
      <c r="H23" s="246">
        <f>IF(AND(E23&lt;&gt;"",G23&lt;&gt;""),E23*G23,"")</f>
      </c>
    </row>
    <row r="24" ht="16.5" customHeight="1" s="71">
      <c r="A24" s="244" t="n">
        <v>19</v>
      </c>
      <c r="B24" s="249" t="inlineStr">
        <is>
          <t>东鹏公司</t>
        </is>
      </c>
      <c r="C24" s="262" t="inlineStr">
        <is>
          <t>东鹏250ML特饮</t>
        </is>
      </c>
      <c r="D24" s="245" t="inlineStr">
        <is>
          <t>1*24</t>
        </is>
      </c>
      <c r="E24" s="262" t="n"/>
      <c r="F24" s="244" t="n"/>
      <c r="G24" s="262" t="n">
        <v>1.58</v>
      </c>
      <c r="H24" s="246">
        <f>IF(AND(E24&lt;&gt;"",G24&lt;&gt;""),E24*G24,"")</f>
      </c>
    </row>
    <row r="25" ht="16.5" customHeight="1" s="71">
      <c r="A25" s="248" t="n">
        <v>20</v>
      </c>
      <c r="B25" s="249" t="inlineStr">
        <is>
          <t>东鹏公司</t>
        </is>
      </c>
      <c r="C25" s="262" t="inlineStr">
        <is>
          <t>东鹏555补水</t>
        </is>
      </c>
      <c r="D25" s="249" t="inlineStr">
        <is>
          <t>1*24</t>
        </is>
      </c>
      <c r="E25" s="262" t="n"/>
      <c r="F25" s="248" t="n"/>
      <c r="G25" s="262" t="n">
        <v>2.284</v>
      </c>
      <c r="H25" s="246">
        <f>IF(AND(E25&lt;&gt;"",G25&lt;&gt;""),E25*G25,"")</f>
      </c>
    </row>
    <row r="26" ht="16.5" customHeight="1" s="71">
      <c r="A26" s="244" t="n">
        <v>21</v>
      </c>
      <c r="B26" s="249" t="inlineStr">
        <is>
          <t>东鹏公司</t>
        </is>
      </c>
      <c r="C26" s="262" t="inlineStr">
        <is>
          <t>东鹏1L补水</t>
        </is>
      </c>
      <c r="D26" s="245" t="inlineStr">
        <is>
          <t>1*12</t>
        </is>
      </c>
      <c r="E26" s="262" t="n"/>
      <c r="F26" s="244" t="n"/>
      <c r="G26" s="262" t="n">
        <v>3.6058</v>
      </c>
      <c r="H26" s="246">
        <f>IF(AND(E26&lt;&gt;"",G26&lt;&gt;""),E26*G26,"")</f>
      </c>
    </row>
    <row r="27" ht="16.5" customHeight="1" s="71">
      <c r="A27" s="248" t="n">
        <v>22</v>
      </c>
      <c r="B27" s="249" t="inlineStr">
        <is>
          <t>东鹏公司</t>
        </is>
      </c>
      <c r="C27" s="262" t="inlineStr">
        <is>
          <t>东鹏小海岛椰</t>
        </is>
      </c>
      <c r="D27" s="249" t="inlineStr">
        <is>
          <t>1*12</t>
        </is>
      </c>
      <c r="E27" s="262" t="n"/>
      <c r="F27" s="248" t="n"/>
      <c r="G27" s="262" t="n">
        <v>2.46</v>
      </c>
      <c r="H27" s="246">
        <f>IF(AND(E27&lt;&gt;"",G27&lt;&gt;""),E27*G27,"")</f>
      </c>
    </row>
    <row r="28" ht="16.5" customHeight="1" s="71">
      <c r="A28" s="244" t="n">
        <v>23</v>
      </c>
      <c r="B28" s="249" t="inlineStr">
        <is>
          <t>东鹏公司</t>
        </is>
      </c>
      <c r="C28" s="262" t="inlineStr">
        <is>
          <t>东鹏1.25L海岛椰</t>
        </is>
      </c>
      <c r="D28" s="245" t="inlineStr">
        <is>
          <t>1*6</t>
        </is>
      </c>
      <c r="E28" s="262" t="n"/>
      <c r="F28" s="244" t="n"/>
      <c r="G28" s="262" t="n"/>
      <c r="H28" s="246">
        <f>IF(AND(E28&lt;&gt;"",G28&lt;&gt;""),E28*G28,"")</f>
      </c>
    </row>
    <row r="29" ht="16.5" customHeight="1" s="71">
      <c r="A29" s="248" t="n">
        <v>24</v>
      </c>
      <c r="B29" s="249" t="inlineStr">
        <is>
          <t>东鹏公司</t>
        </is>
      </c>
      <c r="C29" s="262" t="inlineStr">
        <is>
          <t>东鹏小果茶</t>
        </is>
      </c>
      <c r="D29" s="249" t="inlineStr">
        <is>
          <t>1*24</t>
        </is>
      </c>
      <c r="E29" s="262" t="n"/>
      <c r="F29" s="248" t="n"/>
      <c r="G29" s="262" t="n"/>
      <c r="H29" s="246">
        <f>IF(AND(E29&lt;&gt;"",G29&lt;&gt;""),E29*G29,"")</f>
      </c>
    </row>
    <row r="30" ht="16.5" customHeight="1" s="71">
      <c r="A30" s="244" t="n">
        <v>25</v>
      </c>
      <c r="B30" s="249" t="inlineStr">
        <is>
          <t>东鹏公司</t>
        </is>
      </c>
      <c r="C30" s="262" t="inlineStr">
        <is>
          <t>东鹏1L果之茶</t>
        </is>
      </c>
      <c r="D30" s="245" t="inlineStr">
        <is>
          <t>1*12</t>
        </is>
      </c>
      <c r="E30" s="262" t="n"/>
      <c r="F30" s="244" t="n"/>
      <c r="G30" s="262" t="n"/>
      <c r="H30" s="246">
        <f>IF(AND(E30&lt;&gt;"",G30&lt;&gt;""),E30*G30,"")</f>
      </c>
    </row>
    <row r="31" ht="16.5" customHeight="1" s="71">
      <c r="A31" s="248" t="n">
        <v>26</v>
      </c>
      <c r="B31" s="249" t="inlineStr">
        <is>
          <t>东鹏公司</t>
        </is>
      </c>
      <c r="C31" s="262" t="inlineStr">
        <is>
          <t>东鹏港式奶茶</t>
        </is>
      </c>
      <c r="D31" s="249" t="inlineStr">
        <is>
          <t>1*24</t>
        </is>
      </c>
      <c r="E31" s="262" t="n"/>
      <c r="F31" s="248" t="n"/>
      <c r="G31" s="262" t="n"/>
      <c r="H31" s="246">
        <f>IF(AND(E31&lt;&gt;"",G31&lt;&gt;""),E31*G31,"")</f>
      </c>
    </row>
    <row r="32" ht="16.5" customHeight="1" s="71">
      <c r="A32" s="244" t="n">
        <v>27</v>
      </c>
      <c r="B32" s="249" t="inlineStr">
        <is>
          <t>东鹏公司</t>
        </is>
      </c>
      <c r="C32" s="262" t="inlineStr">
        <is>
          <t>东鹏菊花茶</t>
        </is>
      </c>
      <c r="D32" s="245" t="inlineStr">
        <is>
          <t>1*24</t>
        </is>
      </c>
      <c r="E32" s="262" t="n"/>
      <c r="F32" s="244" t="n"/>
      <c r="G32" s="262" t="n"/>
      <c r="H32" s="246">
        <f>IF(AND(E32&lt;&gt;"",G32&lt;&gt;""),E32*G32,"")</f>
      </c>
    </row>
    <row r="33" ht="16.5" customHeight="1" s="71">
      <c r="A33" s="248" t="n">
        <v>28</v>
      </c>
      <c r="B33" s="249" t="inlineStr">
        <is>
          <t>东鹏公司</t>
        </is>
      </c>
      <c r="C33" s="262" t="inlineStr">
        <is>
          <t>东鹏500大咖</t>
        </is>
      </c>
      <c r="D33" s="249" t="inlineStr">
        <is>
          <t>1*15</t>
        </is>
      </c>
      <c r="E33" s="262" t="n"/>
      <c r="F33" s="248" t="n"/>
      <c r="G33" s="262" t="n">
        <v>4.872</v>
      </c>
      <c r="H33" s="246">
        <f>IF(AND(E33&lt;&gt;"",G33&lt;&gt;""),E33*G33,"")</f>
      </c>
    </row>
    <row r="34" ht="16.5" customHeight="1" s="71">
      <c r="A34" s="244" t="n">
        <v>29</v>
      </c>
      <c r="B34" s="245" t="n"/>
      <c r="C34" s="245" t="n"/>
      <c r="D34" s="245" t="n"/>
      <c r="E34" s="244" t="n"/>
      <c r="F34" s="244" t="n"/>
      <c r="G34" s="244" t="n"/>
      <c r="H34" s="246">
        <f>SUM(H23:H33)</f>
        <v>0</v>
      </c>
    </row>
    <row r="35" ht="16.5" customHeight="1" s="71">
      <c r="A35" s="248" t="n">
        <v>30</v>
      </c>
      <c r="B35" s="249" t="n"/>
      <c r="C35" s="249" t="n"/>
      <c r="D35" s="249" t="n"/>
      <c r="E35" s="248" t="n"/>
      <c r="F35" s="248" t="n"/>
      <c r="G35" s="248" t="n"/>
      <c r="H35" s="250">
        <f>SUMIF(B6:B34,"&lt;&gt;",H6:H34)</f>
        <v>185.455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J1"/>
  </mergeCells>
  <conditionalFormatting sqref="E6:G34">
    <cfRule type="expression" priority="1" dxfId="0">
      <formula>AND($C6&lt;&gt;"",$E6&lt;&gt;"",$G6="")</formula>
    </cfRule>
  </conditionalFormatting>
  <dataValidations count="2">
    <dataValidation sqref="B6:B35" showDropDown="0" showInputMessage="0" showErrorMessage="1" allowBlank="1" type="list">
      <formula1>"青岛公司,农夫山泉公司,东鹏公司,其他公司"</formula1>
    </dataValidation>
    <dataValidation sqref="F6:F35" showDropDown="0" showInputMessage="0" showErrorMessage="1" allowBlank="1" type="list">
      <formula1>"瓶,箱,罐,包,盒"</formula1>
    </dataValidation>
  </dataValidations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tabColor rgb="00833C0C"/>
    <outlinePr summaryBelow="1" summaryRight="1"/>
    <pageSetUpPr/>
  </sheetPr>
  <dimension ref="A1:J1000"/>
  <sheetViews>
    <sheetView tabSelected="0" zoomScale="90" workbookViewId="0">
      <pane ySplit="1" topLeftCell="A2" activePane="bottomLeft" state="frozen"/>
      <selection pane="bottomLeft" activeCell="A1" sqref="A1"/>
    </sheetView>
  </sheetViews>
  <sheetFormatPr baseColWidth="8" defaultColWidth="9.142857142857141" defaultRowHeight="12"/>
  <cols>
    <col width="11.2857142857143" customWidth="1" style="71" min="1" max="1"/>
    <col width="12.5714285714286" customWidth="1" style="71" min="2" max="2"/>
    <col width="21.1428571428571" customWidth="1" style="71" min="3" max="3"/>
    <col width="13" customWidth="1" style="71" min="4" max="4"/>
    <col width="19.2857142857143" customWidth="1" style="71" min="5" max="5"/>
    <col width="13.0095238095238" customWidth="1" style="71" min="6" max="6"/>
    <col width="13.9619047619048" customWidth="1" style="71" min="8" max="8"/>
  </cols>
  <sheetData>
    <row r="1" ht="21" customHeight="1" s="71">
      <c r="A1" s="237" t="inlineStr">
        <is>
          <t>产品过期报损明细台账</t>
        </is>
      </c>
    </row>
    <row r="2" ht="30" customHeight="1" s="71">
      <c r="A2" s="238" t="inlineStr">
        <is>
          <t>统计周期</t>
        </is>
      </c>
      <c r="B2" s="261" t="n">
        <v>46235</v>
      </c>
      <c r="C2" s="238" t="inlineStr">
        <is>
          <t>统计人</t>
        </is>
      </c>
      <c r="D2" s="249" t="n"/>
      <c r="E2" s="238" t="inlineStr">
        <is>
          <t>统计日期</t>
        </is>
      </c>
      <c r="F2" s="249" t="n"/>
      <c r="G2" s="238" t="inlineStr">
        <is>
          <t>数据行范围</t>
        </is>
      </c>
      <c r="H2" s="249" t="inlineStr">
        <is>
          <t>A6:J1000</t>
        </is>
      </c>
      <c r="I2" s="263">
        <f>H46</f>
        <v>11037.195536</v>
      </c>
    </row>
    <row r="3"/>
    <row r="4"/>
    <row r="5" ht="30" customHeight="1" s="71">
      <c r="A5" s="238" t="inlineStr">
        <is>
          <t>序号</t>
        </is>
      </c>
      <c r="B5" s="238" t="inlineStr">
        <is>
          <t>所属公司</t>
        </is>
      </c>
      <c r="C5" s="238" t="inlineStr">
        <is>
          <t>产品名称</t>
        </is>
      </c>
      <c r="D5" s="238" t="inlineStr">
        <is>
          <t>规格型号</t>
        </is>
      </c>
      <c r="E5" s="238" t="inlineStr">
        <is>
          <t>报损数量</t>
        </is>
      </c>
      <c r="F5" s="238" t="inlineStr">
        <is>
          <t>单位</t>
        </is>
      </c>
      <c r="G5" s="238" t="inlineStr">
        <is>
          <t>产品单价(元)</t>
        </is>
      </c>
      <c r="H5" s="238" t="inlineStr">
        <is>
          <t>报损金额(元)</t>
        </is>
      </c>
      <c r="I5" s="238" t="inlineStr">
        <is>
          <t>报损原因</t>
        </is>
      </c>
      <c r="J5" s="238" t="inlineStr">
        <is>
          <t>备注</t>
        </is>
      </c>
    </row>
    <row r="6" ht="16.5" customHeight="1" s="71">
      <c r="A6" s="244" t="n">
        <v>1</v>
      </c>
      <c r="B6" s="245" t="inlineStr">
        <is>
          <t>青岛公司</t>
        </is>
      </c>
      <c r="C6" s="262" t="inlineStr">
        <is>
          <t>青岛清爽8</t>
        </is>
      </c>
      <c r="D6" s="245" t="inlineStr">
        <is>
          <t>1*12</t>
        </is>
      </c>
      <c r="E6" s="262">
        <f>6+6+23+7</f>
        <v>42</v>
      </c>
      <c r="F6" s="244" t="inlineStr">
        <is>
          <t>罐</t>
        </is>
      </c>
      <c r="G6" s="262" t="n">
        <v>2.94</v>
      </c>
      <c r="H6" s="246">
        <f>IF(AND(E6&lt;&gt;"",G6&lt;&gt;""),E6*G6,"")</f>
        <v>123.48</v>
      </c>
      <c r="I6" s="245" t="n"/>
      <c r="J6" s="245" t="n"/>
    </row>
    <row r="7" ht="16.5" customHeight="1" s="71">
      <c r="A7" s="248" t="n">
        <v>2</v>
      </c>
      <c r="B7" s="245" t="inlineStr">
        <is>
          <t>青岛公司</t>
        </is>
      </c>
      <c r="C7" s="262" t="inlineStr">
        <is>
          <t>青岛经典</t>
        </is>
      </c>
      <c r="D7" s="245" t="inlineStr">
        <is>
          <t>1*12</t>
        </is>
      </c>
      <c r="E7" s="262">
        <f>12+4+16</f>
        <v>32</v>
      </c>
      <c r="F7" s="248" t="inlineStr">
        <is>
          <t>罐</t>
        </is>
      </c>
      <c r="G7" s="262" t="n">
        <v>4.17</v>
      </c>
      <c r="H7" s="246">
        <f>IF(AND(E7&lt;&gt;"",G7&lt;&gt;""),E7*G7,"")</f>
        <v>133.44</v>
      </c>
      <c r="I7" s="249" t="n"/>
      <c r="J7" s="249" t="n"/>
    </row>
    <row r="8" ht="16.5" customHeight="1" s="71">
      <c r="A8" s="244" t="n">
        <v>3</v>
      </c>
      <c r="B8" s="245" t="inlineStr">
        <is>
          <t>青岛公司</t>
        </is>
      </c>
      <c r="C8" s="262" t="inlineStr">
        <is>
          <t>青岛崂山</t>
        </is>
      </c>
      <c r="D8" s="245" t="inlineStr">
        <is>
          <t>1*12</t>
        </is>
      </c>
      <c r="E8" s="262">
        <f>6+3</f>
        <v>9</v>
      </c>
      <c r="F8" s="244" t="n"/>
      <c r="G8" s="262" t="n">
        <v>2</v>
      </c>
      <c r="H8" s="246">
        <f>IF(AND(E8&lt;&gt;"",G8&lt;&gt;""),E8*G8,"")</f>
        <v>18</v>
      </c>
      <c r="I8" s="245" t="n"/>
      <c r="J8" s="245" t="n"/>
    </row>
    <row r="9" ht="16.5" customHeight="1" s="71">
      <c r="A9" s="248" t="n">
        <v>4</v>
      </c>
      <c r="B9" s="245" t="inlineStr">
        <is>
          <t>青岛公司</t>
        </is>
      </c>
      <c r="C9" s="262" t="inlineStr">
        <is>
          <t>青岛白啤</t>
        </is>
      </c>
      <c r="D9" s="245" t="inlineStr">
        <is>
          <t>1*12</t>
        </is>
      </c>
      <c r="E9" s="262" t="n">
        <v>9</v>
      </c>
      <c r="F9" s="248" t="n"/>
      <c r="G9" s="262" t="n">
        <v>5.17</v>
      </c>
      <c r="H9" s="246">
        <f>IF(AND(E9&lt;&gt;"",G9&lt;&gt;""),E9*G9,"")</f>
        <v>46.53</v>
      </c>
      <c r="I9" s="249" t="n"/>
      <c r="J9" s="249" t="n"/>
    </row>
    <row r="10" ht="16.5" customHeight="1" s="71">
      <c r="A10" s="244" t="n">
        <v>5</v>
      </c>
      <c r="B10" s="245" t="inlineStr">
        <is>
          <t>青岛公司</t>
        </is>
      </c>
      <c r="C10" s="262" t="inlineStr">
        <is>
          <t>青岛清爽8奖盖过期</t>
        </is>
      </c>
      <c r="D10" s="245" t="inlineStr">
        <is>
          <t>1*12</t>
        </is>
      </c>
      <c r="E10" s="262" t="n"/>
      <c r="F10" s="244" t="n"/>
      <c r="G10" s="262" t="n">
        <v>2.94</v>
      </c>
      <c r="H10" s="246">
        <f>IF(AND(E10&lt;&gt;"",G10&lt;&gt;""),E10*G10,"")</f>
      </c>
      <c r="I10" s="245" t="n"/>
      <c r="J10" s="245" t="n"/>
    </row>
    <row r="11" ht="16.5" customHeight="1" s="71">
      <c r="A11" s="248" t="n">
        <v>6</v>
      </c>
      <c r="B11" s="249" t="n"/>
      <c r="C11" s="262" t="n"/>
      <c r="D11" s="249" t="n"/>
      <c r="E11" s="262" t="n"/>
      <c r="F11" s="248" t="n"/>
      <c r="G11" s="262" t="n"/>
      <c r="H11" s="264">
        <f>SUM(H6:H10)</f>
        <v>321.45</v>
      </c>
      <c r="I11" s="249" t="n"/>
      <c r="J11" s="249" t="n"/>
    </row>
    <row r="12" ht="33" customHeight="1" s="71">
      <c r="A12" s="244" t="n">
        <v>7</v>
      </c>
      <c r="B12" s="245" t="inlineStr">
        <is>
          <t>农夫山泉公司</t>
        </is>
      </c>
      <c r="C12" s="262" t="inlineStr">
        <is>
          <t>农夫500ML饮料</t>
        </is>
      </c>
      <c r="D12" s="245" t="inlineStr">
        <is>
          <t>1*15</t>
        </is>
      </c>
      <c r="E12" s="262">
        <f>7+46+21+8+8+37+10+30+97+8+53+3+86+84+71+141+15</f>
        <v>725</v>
      </c>
      <c r="F12" s="244" t="n"/>
      <c r="G12" s="262" t="n">
        <v>3.067</v>
      </c>
      <c r="H12" s="246">
        <f>IF(AND(E12&lt;&gt;"",G12&lt;&gt;""),E12*G12,"")</f>
        <v>2223.575</v>
      </c>
      <c r="I12" s="245" t="n"/>
      <c r="J12" s="245" t="n"/>
    </row>
    <row r="13" ht="33" customHeight="1" s="71">
      <c r="A13" s="248" t="n">
        <v>8</v>
      </c>
      <c r="B13" s="245" t="inlineStr">
        <is>
          <t>农夫山泉公司</t>
        </is>
      </c>
      <c r="C13" s="262" t="inlineStr">
        <is>
          <t>农夫900ML饮料</t>
        </is>
      </c>
      <c r="D13" s="249" t="inlineStr">
        <is>
          <t>1*12</t>
        </is>
      </c>
      <c r="E13" s="262">
        <f>31+21+7+20+35+46+28+2+6</f>
        <v>196</v>
      </c>
      <c r="F13" s="248" t="n"/>
      <c r="G13" s="262" t="n">
        <v>4.17</v>
      </c>
      <c r="H13" s="246">
        <f>IF(AND(E13&lt;&gt;"",G13&lt;&gt;""),E13*G13,"")</f>
        <v>817.32</v>
      </c>
      <c r="I13" s="249" t="n"/>
      <c r="J13" s="249" t="n"/>
    </row>
    <row r="14" ht="33" customHeight="1" s="71">
      <c r="A14" s="244" t="n">
        <v>9</v>
      </c>
      <c r="B14" s="245" t="inlineStr">
        <is>
          <t>农夫山泉公司</t>
        </is>
      </c>
      <c r="C14" s="262" t="inlineStr">
        <is>
          <t>农夫苏打水</t>
        </is>
      </c>
      <c r="D14" s="245" t="inlineStr">
        <is>
          <t>1*15</t>
        </is>
      </c>
      <c r="E14" s="262">
        <f>18+9</f>
        <v>27</v>
      </c>
      <c r="F14" s="244" t="n"/>
      <c r="G14" s="262" t="n">
        <v>2.27</v>
      </c>
      <c r="H14" s="246">
        <f>IF(AND(E14&lt;&gt;"",G14&lt;&gt;""),E14*G14,"")</f>
        <v>61.29</v>
      </c>
      <c r="I14" s="245" t="n"/>
      <c r="J14" s="245" t="n"/>
    </row>
    <row r="15" ht="33" customHeight="1" s="71">
      <c r="A15" s="248" t="n">
        <v>10</v>
      </c>
      <c r="B15" s="245" t="inlineStr">
        <is>
          <t>农夫山泉公司</t>
        </is>
      </c>
      <c r="C15" s="262" t="inlineStr">
        <is>
          <t>农夫550ML水</t>
        </is>
      </c>
      <c r="D15" s="249" t="inlineStr">
        <is>
          <t>1*24</t>
        </is>
      </c>
      <c r="E15" s="262" t="n">
        <v>3</v>
      </c>
      <c r="F15" s="248" t="n"/>
      <c r="G15" s="262" t="n">
        <v>0.834</v>
      </c>
      <c r="H15" s="246">
        <f>IF(AND(E15&lt;&gt;"",G15&lt;&gt;""),E15*G15,"")</f>
        <v>2.502</v>
      </c>
      <c r="I15" s="249" t="n"/>
      <c r="J15" s="249" t="n"/>
    </row>
    <row r="16" ht="33" customHeight="1" s="71">
      <c r="A16" s="244" t="n">
        <v>11</v>
      </c>
      <c r="B16" s="245" t="inlineStr">
        <is>
          <t>农夫山泉公司</t>
        </is>
      </c>
      <c r="C16" s="262" t="inlineStr">
        <is>
          <t>农夫1.5L水</t>
        </is>
      </c>
      <c r="D16" s="245" t="inlineStr">
        <is>
          <t>1*12</t>
        </is>
      </c>
      <c r="E16" s="262" t="n">
        <v>36</v>
      </c>
      <c r="F16" s="244" t="n"/>
      <c r="G16" s="262" t="n">
        <v>1.667</v>
      </c>
      <c r="H16" s="246">
        <f>IF(AND(E16&lt;&gt;"",G16&lt;&gt;""),E16*G16,"")</f>
        <v>60.012</v>
      </c>
      <c r="I16" s="245" t="n"/>
      <c r="J16" s="245" t="n"/>
    </row>
    <row r="17" ht="33" customHeight="1" s="71">
      <c r="A17" s="244" t="n"/>
      <c r="B17" s="245" t="inlineStr">
        <is>
          <t>农夫山泉公司</t>
        </is>
      </c>
      <c r="C17" s="262" t="inlineStr">
        <is>
          <t>农夫550ML纯净水</t>
        </is>
      </c>
      <c r="D17" s="245" t="inlineStr">
        <is>
          <t>1*24</t>
        </is>
      </c>
      <c r="E17" s="262">
        <f>264+1+6</f>
        <v>271</v>
      </c>
      <c r="F17" s="244" t="n"/>
      <c r="G17" s="262" t="n">
        <v>0.625</v>
      </c>
      <c r="H17" s="246">
        <f>IF(AND(E17&lt;&gt;"",G17&lt;&gt;""),E17*G17,"")</f>
        <v>169.375</v>
      </c>
      <c r="I17" s="245" t="n"/>
      <c r="J17" s="245" t="n"/>
    </row>
    <row r="18" ht="33" customHeight="1" s="71">
      <c r="A18" s="248" t="n">
        <v>12</v>
      </c>
      <c r="B18" s="245" t="inlineStr">
        <is>
          <t>农夫山泉公司</t>
        </is>
      </c>
      <c r="C18" s="262" t="inlineStr">
        <is>
          <t>农夫2L水</t>
        </is>
      </c>
      <c r="D18" s="249" t="inlineStr">
        <is>
          <t>1*8</t>
        </is>
      </c>
      <c r="E18" s="262" t="n">
        <v>31</v>
      </c>
      <c r="F18" s="248" t="n"/>
      <c r="G18" s="262" t="n">
        <v>2.25</v>
      </c>
      <c r="H18" s="246">
        <f>IF(AND(E18&lt;&gt;"",G18&lt;&gt;""),E18*G18,"")</f>
        <v>69.75</v>
      </c>
      <c r="I18" s="249" t="n"/>
      <c r="J18" s="249" t="n"/>
    </row>
    <row r="19" ht="33" customHeight="1" s="71">
      <c r="A19" s="244" t="n">
        <v>13</v>
      </c>
      <c r="B19" s="245" t="inlineStr">
        <is>
          <t>农夫山泉公司</t>
        </is>
      </c>
      <c r="C19" s="262" t="inlineStr">
        <is>
          <t>农夫5L水</t>
        </is>
      </c>
      <c r="D19" s="245" t="inlineStr">
        <is>
          <t>1*4</t>
        </is>
      </c>
      <c r="E19" s="262" t="n"/>
      <c r="F19" s="244" t="n"/>
      <c r="G19" s="262" t="n"/>
      <c r="H19" s="246">
        <f>IF(AND(E19&lt;&gt;"",G19&lt;&gt;""),E19*G19,"")</f>
      </c>
      <c r="I19" s="245" t="n"/>
      <c r="J19" s="245" t="n"/>
    </row>
    <row r="20" ht="33" customHeight="1" s="71">
      <c r="A20" s="248" t="n">
        <v>14</v>
      </c>
      <c r="B20" s="245" t="inlineStr">
        <is>
          <t>农夫山泉公司</t>
        </is>
      </c>
      <c r="C20" s="262" t="inlineStr">
        <is>
          <t>农夫12.9L水</t>
        </is>
      </c>
      <c r="D20" s="249" t="n"/>
      <c r="E20" s="262" t="n"/>
      <c r="F20" s="248" t="n"/>
      <c r="G20" s="262" t="n"/>
      <c r="H20" s="246">
        <f>IF(AND(E20&lt;&gt;"",G20&lt;&gt;""),E20*G20,"")</f>
      </c>
      <c r="I20" s="249" t="n"/>
      <c r="J20" s="249" t="n"/>
    </row>
    <row r="21" ht="33" customHeight="1" s="71">
      <c r="A21" s="244" t="n">
        <v>15</v>
      </c>
      <c r="B21" s="245" t="inlineStr">
        <is>
          <t>农夫山泉公司</t>
        </is>
      </c>
      <c r="C21" s="262" t="inlineStr">
        <is>
          <t>农夫1.25L果园</t>
        </is>
      </c>
      <c r="D21" s="245" t="inlineStr">
        <is>
          <t>1*6</t>
        </is>
      </c>
      <c r="E21" s="262" t="n">
        <v>8</v>
      </c>
      <c r="F21" s="244" t="n"/>
      <c r="G21" s="262" t="n">
        <v>6.416667</v>
      </c>
      <c r="H21" s="246">
        <f>IF(AND(E21&lt;&gt;"",G21&lt;&gt;""),E21*G21,"")</f>
        <v>51.333336</v>
      </c>
      <c r="I21" s="245" t="n"/>
      <c r="J21" s="245" t="n"/>
    </row>
    <row r="22" ht="33" customHeight="1" s="71">
      <c r="A22" s="248" t="n">
        <v>16</v>
      </c>
      <c r="B22" s="245" t="inlineStr">
        <is>
          <t>农夫山泉公司</t>
        </is>
      </c>
      <c r="C22" s="262" t="inlineStr">
        <is>
          <t>农夫1.5L东方树叶</t>
        </is>
      </c>
      <c r="D22" s="249" t="inlineStr">
        <is>
          <t>1*6</t>
        </is>
      </c>
      <c r="E22" s="262">
        <f>15+2+11</f>
        <v>28</v>
      </c>
      <c r="F22" s="248" t="n"/>
      <c r="G22" s="262" t="n">
        <v>7</v>
      </c>
      <c r="H22" s="246">
        <f>IF(AND(E22&lt;&gt;"",G22&lt;&gt;""),E22*G22,"")</f>
        <v>196</v>
      </c>
      <c r="I22" s="249" t="n"/>
      <c r="J22" s="249" t="n"/>
    </row>
    <row r="23" ht="16.5" customHeight="1" s="71">
      <c r="A23" s="244" t="n">
        <v>17</v>
      </c>
      <c r="B23" s="245" t="n"/>
      <c r="C23" s="262" t="n"/>
      <c r="D23" s="245" t="n"/>
      <c r="E23" s="262" t="n"/>
      <c r="F23" s="244" t="n"/>
      <c r="G23" s="262" t="n"/>
      <c r="H23" s="264">
        <f>SUM(H12:H22)</f>
        <v>3651.157336</v>
      </c>
      <c r="I23" s="245" t="n"/>
      <c r="J23" s="245" t="n"/>
    </row>
    <row r="24" ht="16.5" customHeight="1" s="71">
      <c r="A24" s="244" t="n"/>
      <c r="B24" s="245" t="inlineStr">
        <is>
          <t>其他公司</t>
        </is>
      </c>
      <c r="C24" s="262" t="inlineStr">
        <is>
          <t>艾精隆155克瓜子</t>
        </is>
      </c>
      <c r="D24" s="245" t="inlineStr">
        <is>
          <t>1*30</t>
        </is>
      </c>
      <c r="E24" s="262" t="n">
        <v>44</v>
      </c>
      <c r="F24" s="244" t="n"/>
      <c r="G24" s="262" t="n">
        <v>3.2</v>
      </c>
      <c r="H24" s="246">
        <f>IF(AND(E24&lt;&gt;"",G24&lt;&gt;""),E24*G24,"")</f>
        <v>140.8</v>
      </c>
      <c r="I24" s="245" t="n"/>
      <c r="J24" s="245" t="n"/>
    </row>
    <row r="25" ht="16.5" customHeight="1" s="71">
      <c r="A25" s="244" t="n"/>
      <c r="B25" s="245" t="inlineStr">
        <is>
          <t>其他公司</t>
        </is>
      </c>
      <c r="C25" s="262" t="inlineStr">
        <is>
          <t>艾精隆60克香瓜子</t>
        </is>
      </c>
      <c r="D25" s="245" t="inlineStr">
        <is>
          <t>1*40</t>
        </is>
      </c>
      <c r="E25" s="262" t="n">
        <v>38</v>
      </c>
      <c r="F25" s="244" t="n"/>
      <c r="G25" s="262" t="n">
        <v>1.2</v>
      </c>
      <c r="H25" s="246">
        <f>IF(AND(E25&lt;&gt;"",G25&lt;&gt;""),E25*G25,"")</f>
        <v>45.6</v>
      </c>
      <c r="I25" s="245" t="n"/>
      <c r="J25" s="245" t="n"/>
    </row>
    <row r="26" ht="16.5" customHeight="1" s="71">
      <c r="A26" s="244" t="n"/>
      <c r="B26" s="245" t="inlineStr">
        <is>
          <t>其他公司</t>
        </is>
      </c>
      <c r="C26" s="262" t="inlineStr">
        <is>
          <t>艾精隆60克原味瓜子</t>
        </is>
      </c>
      <c r="D26" s="245" t="inlineStr">
        <is>
          <t>1*35</t>
        </is>
      </c>
      <c r="E26" s="262" t="n">
        <v>130</v>
      </c>
      <c r="F26" s="244" t="n"/>
      <c r="G26" s="262" t="n">
        <v>1.2571</v>
      </c>
      <c r="H26" s="246">
        <f>IF(AND(E26&lt;&gt;"",G26&lt;&gt;""),E26*G26,"")</f>
        <v>163.423</v>
      </c>
      <c r="I26" s="245" t="n"/>
      <c r="J26" s="245" t="n"/>
    </row>
    <row r="27" ht="16.5" customHeight="1" s="71">
      <c r="A27" s="244" t="n"/>
      <c r="B27" s="245" t="inlineStr">
        <is>
          <t>其他公司</t>
        </is>
      </c>
      <c r="C27" s="262" t="inlineStr">
        <is>
          <t>艾精隆208克花生</t>
        </is>
      </c>
      <c r="D27" s="245" t="inlineStr">
        <is>
          <t>1*30</t>
        </is>
      </c>
      <c r="E27" s="262" t="n">
        <v>46</v>
      </c>
      <c r="F27" s="244" t="n"/>
      <c r="G27" s="262" t="n">
        <v>3.2</v>
      </c>
      <c r="H27" s="246">
        <f>IF(AND(E27&lt;&gt;"",G27&lt;&gt;""),E27*G27,"")</f>
        <v>147.2</v>
      </c>
      <c r="I27" s="245" t="n"/>
      <c r="J27" s="245" t="n"/>
    </row>
    <row r="28" ht="16.5" customHeight="1" s="71">
      <c r="A28" s="244" t="n"/>
      <c r="B28" s="245" t="inlineStr">
        <is>
          <t>其他公司</t>
        </is>
      </c>
      <c r="C28" s="262" t="inlineStr">
        <is>
          <t>艾精隆500克多味</t>
        </is>
      </c>
      <c r="D28" s="245" t="inlineStr">
        <is>
          <t>1*20</t>
        </is>
      </c>
      <c r="E28" s="262" t="n">
        <v>4</v>
      </c>
      <c r="F28" s="244" t="n"/>
      <c r="G28" s="262" t="n">
        <v>11</v>
      </c>
      <c r="H28" s="246">
        <f>IF(AND(E28&lt;&gt;"",G28&lt;&gt;""),E28*G28,"")</f>
        <v>44</v>
      </c>
      <c r="I28" s="245" t="n"/>
      <c r="J28" s="245" t="n"/>
    </row>
    <row r="29" ht="16.5" customHeight="1" s="71">
      <c r="A29" s="244" t="n"/>
      <c r="B29" s="245" t="inlineStr">
        <is>
          <t>其他公司</t>
        </is>
      </c>
      <c r="C29" s="262" t="inlineStr">
        <is>
          <t>艾精隆110克瓜子</t>
        </is>
      </c>
      <c r="D29" s="245" t="inlineStr">
        <is>
          <t>1*40</t>
        </is>
      </c>
      <c r="E29" s="262">
        <f>29+23+12+24+36</f>
        <v>124</v>
      </c>
      <c r="F29" s="244" t="n"/>
      <c r="G29" s="262" t="n">
        <v>3.2</v>
      </c>
      <c r="H29" s="246">
        <f>IF(AND(E29&lt;&gt;"",G29&lt;&gt;""),E29*G29,"")</f>
        <v>396.8</v>
      </c>
      <c r="I29" s="245" t="n"/>
      <c r="J29" s="245" t="n"/>
    </row>
    <row r="30" ht="16.5" customHeight="1" s="71">
      <c r="A30" s="244" t="n"/>
      <c r="B30" s="245" t="inlineStr">
        <is>
          <t>其他公司</t>
        </is>
      </c>
      <c r="C30" s="262" t="inlineStr">
        <is>
          <t>艾精隆多味葵</t>
        </is>
      </c>
      <c r="D30" s="245" t="inlineStr">
        <is>
          <t>1*10</t>
        </is>
      </c>
      <c r="E30" s="262" t="n">
        <v>1</v>
      </c>
      <c r="F30" s="244" t="n"/>
      <c r="G30" s="262" t="n">
        <v>95</v>
      </c>
      <c r="H30" s="246">
        <f>IF(AND(E30&lt;&gt;"",G30&lt;&gt;""),E30*G30,"")</f>
        <v>95</v>
      </c>
      <c r="I30" s="245" t="n"/>
      <c r="J30" s="245" t="n"/>
    </row>
    <row r="31" ht="16.5" customHeight="1" s="71">
      <c r="A31" s="244" t="n"/>
      <c r="B31" s="245" t="n"/>
      <c r="C31" s="262" t="n"/>
      <c r="D31" s="245" t="n"/>
      <c r="E31" s="262" t="n"/>
      <c r="F31" s="244" t="n"/>
      <c r="G31" s="262" t="n"/>
      <c r="H31" s="246">
        <f>IF(AND(E31&lt;&gt;"",G31&lt;&gt;""),E31*G31,"")</f>
      </c>
      <c r="I31" s="245" t="n"/>
      <c r="J31" s="245" t="n"/>
    </row>
    <row r="32" ht="16.5" customHeight="1" s="71">
      <c r="A32" s="244" t="n"/>
      <c r="B32" s="245" t="n"/>
      <c r="C32" s="262" t="n"/>
      <c r="D32" s="245" t="n"/>
      <c r="E32" s="262" t="n"/>
      <c r="F32" s="244" t="n"/>
      <c r="G32" s="262" t="n"/>
      <c r="H32" s="246">
        <f>IF(AND(E32&lt;&gt;"",G32&lt;&gt;""),E32*G32,"")</f>
      </c>
      <c r="I32" s="245" t="n"/>
      <c r="J32" s="245" t="n"/>
    </row>
    <row r="33" ht="16.5" customHeight="1" s="71">
      <c r="A33" s="244" t="n"/>
      <c r="B33" s="245" t="n"/>
      <c r="C33" s="262" t="n"/>
      <c r="D33" s="245" t="n"/>
      <c r="E33" s="262" t="n"/>
      <c r="F33" s="244" t="n"/>
      <c r="G33" s="262" t="n"/>
      <c r="H33" s="264">
        <f>SUM(H24:H32)</f>
        <v>1032.823</v>
      </c>
      <c r="I33" s="245" t="n"/>
      <c r="J33" s="245" t="n"/>
    </row>
    <row r="34" ht="16.5" customHeight="1" s="71">
      <c r="A34" s="248" t="n">
        <v>18</v>
      </c>
      <c r="B34" s="249" t="inlineStr">
        <is>
          <t>东鹏公司</t>
        </is>
      </c>
      <c r="C34" s="262" t="inlineStr">
        <is>
          <t>东鹏500ML特饮</t>
        </is>
      </c>
      <c r="D34" s="249" t="inlineStr">
        <is>
          <t>1*24</t>
        </is>
      </c>
      <c r="E34" s="262">
        <f>5+24+24</f>
        <v>53</v>
      </c>
      <c r="F34" s="248" t="n"/>
      <c r="G34" s="262" t="n">
        <v>3.23</v>
      </c>
      <c r="H34" s="246">
        <f>IF(AND(E34&lt;&gt;"",G34&lt;&gt;""),E34*G34,"")</f>
        <v>171.19</v>
      </c>
      <c r="I34" s="249" t="n"/>
      <c r="J34" s="249" t="n"/>
    </row>
    <row r="35" ht="16.5" customHeight="1" s="71">
      <c r="A35" s="244" t="n">
        <v>19</v>
      </c>
      <c r="B35" s="249" t="inlineStr">
        <is>
          <t>东鹏公司</t>
        </is>
      </c>
      <c r="C35" s="262" t="inlineStr">
        <is>
          <t>东鹏250ML特饮</t>
        </is>
      </c>
      <c r="D35" s="245" t="inlineStr">
        <is>
          <t>1*24</t>
        </is>
      </c>
      <c r="E35" s="262">
        <f>112+4+279</f>
        <v>395</v>
      </c>
      <c r="F35" s="244" t="n"/>
      <c r="G35" s="262" t="n">
        <v>1.58</v>
      </c>
      <c r="H35" s="246">
        <f>IF(AND(E35&lt;&gt;"",G35&lt;&gt;""),E35*G35,"")</f>
        <v>624.1</v>
      </c>
      <c r="I35" s="245" t="n"/>
      <c r="J35" s="245" t="n"/>
    </row>
    <row r="36" ht="16.5" customHeight="1" s="71">
      <c r="A36" s="248" t="n">
        <v>20</v>
      </c>
      <c r="B36" s="249" t="inlineStr">
        <is>
          <t>东鹏公司</t>
        </is>
      </c>
      <c r="C36" s="262" t="inlineStr">
        <is>
          <t>东鹏555补水</t>
        </is>
      </c>
      <c r="D36" s="249" t="inlineStr">
        <is>
          <t>1*24</t>
        </is>
      </c>
      <c r="E36" s="262" t="n">
        <v>9</v>
      </c>
      <c r="F36" s="248" t="n"/>
      <c r="G36" s="262" t="n">
        <v>2.284</v>
      </c>
      <c r="H36" s="246">
        <f>IF(AND(E36&lt;&gt;"",G36&lt;&gt;""),E36*G36,"")</f>
        <v>20.556</v>
      </c>
      <c r="I36" s="249" t="n"/>
      <c r="J36" s="249" t="n"/>
    </row>
    <row r="37" ht="16.5" customHeight="1" s="71">
      <c r="A37" s="244" t="n">
        <v>21</v>
      </c>
      <c r="B37" s="249" t="inlineStr">
        <is>
          <t>东鹏公司</t>
        </is>
      </c>
      <c r="C37" s="262" t="inlineStr">
        <is>
          <t>东鹏1L补水</t>
        </is>
      </c>
      <c r="D37" s="245" t="inlineStr">
        <is>
          <t>1*12</t>
        </is>
      </c>
      <c r="E37" s="262" t="n">
        <v>4</v>
      </c>
      <c r="F37" s="244" t="n"/>
      <c r="G37" s="262" t="n">
        <v>3.6058</v>
      </c>
      <c r="H37" s="246">
        <f>IF(AND(E37&lt;&gt;"",G37&lt;&gt;""),E37*G37,"")</f>
        <v>14.4232</v>
      </c>
      <c r="I37" s="245" t="n"/>
      <c r="J37" s="245" t="n"/>
    </row>
    <row r="38" ht="16.5" customHeight="1" s="71">
      <c r="A38" s="248" t="n">
        <v>22</v>
      </c>
      <c r="B38" s="249" t="inlineStr">
        <is>
          <t>东鹏公司</t>
        </is>
      </c>
      <c r="C38" s="262" t="inlineStr">
        <is>
          <t>东鹏小海岛椰</t>
        </is>
      </c>
      <c r="D38" s="249" t="inlineStr">
        <is>
          <t>1*12</t>
        </is>
      </c>
      <c r="E38" s="262" t="n"/>
      <c r="F38" s="248" t="n"/>
      <c r="G38" s="262" t="n">
        <v>2.46</v>
      </c>
      <c r="H38" s="246">
        <f>IF(AND(E38&lt;&gt;"",G38&lt;&gt;""),E38*G38,"")</f>
      </c>
      <c r="I38" s="249" t="n"/>
      <c r="J38" s="249" t="n"/>
    </row>
    <row r="39" ht="16.5" customHeight="1" s="71">
      <c r="A39" s="244" t="n">
        <v>23</v>
      </c>
      <c r="B39" s="249" t="inlineStr">
        <is>
          <t>东鹏公司</t>
        </is>
      </c>
      <c r="C39" s="262" t="inlineStr">
        <is>
          <t>东鹏1.25L海岛椰</t>
        </is>
      </c>
      <c r="D39" s="245" t="inlineStr">
        <is>
          <t>1*6</t>
        </is>
      </c>
      <c r="E39" s="262" t="n"/>
      <c r="F39" s="244" t="n"/>
      <c r="G39" s="262" t="n"/>
      <c r="H39" s="246">
        <f>IF(AND(E39&lt;&gt;"",G39&lt;&gt;""),E39*G39,"")</f>
      </c>
      <c r="I39" s="245" t="n"/>
      <c r="J39" s="245" t="n"/>
    </row>
    <row r="40" ht="16.5" customHeight="1" s="71">
      <c r="A40" s="248" t="n">
        <v>24</v>
      </c>
      <c r="B40" s="249" t="inlineStr">
        <is>
          <t>东鹏公司</t>
        </is>
      </c>
      <c r="C40" s="262" t="inlineStr">
        <is>
          <t>东鹏小果茶</t>
        </is>
      </c>
      <c r="D40" s="249" t="inlineStr">
        <is>
          <t>1*24</t>
        </is>
      </c>
      <c r="E40" s="262" t="n"/>
      <c r="F40" s="248" t="n"/>
      <c r="G40" s="262" t="n"/>
      <c r="H40" s="246">
        <f>IF(AND(E40&lt;&gt;"",G40&lt;&gt;""),E40*G40,"")</f>
      </c>
      <c r="I40" s="249" t="n"/>
      <c r="J40" s="249" t="n"/>
    </row>
    <row r="41" ht="16.5" customHeight="1" s="71">
      <c r="A41" s="244" t="n">
        <v>25</v>
      </c>
      <c r="B41" s="249" t="inlineStr">
        <is>
          <t>东鹏公司</t>
        </is>
      </c>
      <c r="C41" s="262" t="inlineStr">
        <is>
          <t>东鹏1L果之茶</t>
        </is>
      </c>
      <c r="D41" s="245" t="inlineStr">
        <is>
          <t>1*12</t>
        </is>
      </c>
      <c r="E41" s="262" t="n">
        <v>3</v>
      </c>
      <c r="F41" s="244" t="n"/>
      <c r="G41" s="262" t="n"/>
      <c r="H41" s="246">
        <f>IF(AND(E41&lt;&gt;"",G41&lt;&gt;""),E41*G41,"")</f>
      </c>
      <c r="I41" s="245" t="n"/>
      <c r="J41" s="245" t="n"/>
    </row>
    <row r="42" ht="16.5" customHeight="1" s="71">
      <c r="A42" s="248" t="n">
        <v>26</v>
      </c>
      <c r="B42" s="249" t="inlineStr">
        <is>
          <t>东鹏公司</t>
        </is>
      </c>
      <c r="C42" s="262" t="inlineStr">
        <is>
          <t>东鹏港式奶茶</t>
        </is>
      </c>
      <c r="D42" s="249" t="inlineStr">
        <is>
          <t>1*24</t>
        </is>
      </c>
      <c r="E42" s="262" t="n">
        <v>2094</v>
      </c>
      <c r="F42" s="248" t="n"/>
      <c r="G42" s="262" t="n"/>
      <c r="H42" s="246">
        <f>IF(AND(E42&lt;&gt;"",G42&lt;&gt;""),E42*G42,"")</f>
      </c>
      <c r="I42" s="249" t="n"/>
      <c r="J42" s="249" t="n"/>
    </row>
    <row r="43" ht="16.5" customHeight="1" s="71">
      <c r="A43" s="244" t="n">
        <v>27</v>
      </c>
      <c r="B43" s="249" t="inlineStr">
        <is>
          <t>东鹏公司</t>
        </is>
      </c>
      <c r="C43" s="262" t="inlineStr">
        <is>
          <t>东鹏菊花茶</t>
        </is>
      </c>
      <c r="D43" s="245" t="inlineStr">
        <is>
          <t>1*24</t>
        </is>
      </c>
      <c r="E43" s="262" t="n">
        <v>2094</v>
      </c>
      <c r="F43" s="244" t="n"/>
      <c r="G43" s="262" t="n">
        <v>2.484</v>
      </c>
      <c r="H43" s="246">
        <f>IF(AND(E43&lt;&gt;"",G43&lt;&gt;""),E43*G43,"")</f>
        <v>5201.496</v>
      </c>
      <c r="I43" s="245" t="n"/>
      <c r="J43" s="245" t="n"/>
    </row>
    <row r="44" ht="16.5" customHeight="1" s="71">
      <c r="A44" s="248" t="n">
        <v>28</v>
      </c>
      <c r="B44" s="249" t="inlineStr">
        <is>
          <t>东鹏公司</t>
        </is>
      </c>
      <c r="C44" s="262" t="inlineStr">
        <is>
          <t>东鹏500大咖</t>
        </is>
      </c>
      <c r="D44" s="249" t="inlineStr">
        <is>
          <t>1*15</t>
        </is>
      </c>
      <c r="E44" s="262" t="n"/>
      <c r="F44" s="248" t="n"/>
      <c r="G44" s="262" t="n">
        <v>4.872</v>
      </c>
      <c r="H44" s="246">
        <f>IF(AND(E44&lt;&gt;"",G44&lt;&gt;""),E44*G44,"")</f>
      </c>
      <c r="I44" s="249" t="n"/>
      <c r="J44" s="249" t="n"/>
    </row>
    <row r="45" ht="16.5" customHeight="1" s="71">
      <c r="A45" s="244" t="n">
        <v>29</v>
      </c>
      <c r="B45" s="245" t="n"/>
      <c r="C45" s="245" t="n"/>
      <c r="D45" s="245" t="n"/>
      <c r="E45" s="244" t="n"/>
      <c r="F45" s="244" t="n"/>
      <c r="G45" s="244" t="n"/>
      <c r="H45" s="264">
        <f>SUM(H34:H44)</f>
        <v>6031.7652</v>
      </c>
      <c r="I45" s="245" t="n"/>
      <c r="J45" s="245" t="n"/>
    </row>
    <row r="46" ht="16.5" customHeight="1" s="71">
      <c r="A46" s="248" t="n">
        <v>30</v>
      </c>
      <c r="B46" s="249" t="n"/>
      <c r="C46" s="249" t="n"/>
      <c r="D46" s="249" t="n"/>
      <c r="E46" s="248" t="n"/>
      <c r="F46" s="248" t="n"/>
      <c r="G46" s="248" t="n"/>
      <c r="H46" s="250">
        <f>SUMIF(B6:B45,"&lt;&gt;",H6:H45)</f>
        <v>11037.195536</v>
      </c>
      <c r="I46" s="249" t="n"/>
      <c r="J46" s="249" t="n"/>
    </row>
    <row r="47" ht="16.5" customHeight="1" s="71">
      <c r="A47" s="244" t="n">
        <v>31</v>
      </c>
      <c r="B47" s="245" t="n"/>
      <c r="C47" s="245" t="n"/>
      <c r="D47" s="245" t="n"/>
      <c r="E47" s="244" t="n"/>
      <c r="F47" s="244" t="n"/>
      <c r="G47" s="244" t="n"/>
      <c r="H47" s="246">
        <f>IF(AND(E47&lt;&gt;"",G47&lt;&gt;""),E47*G47,"")</f>
      </c>
      <c r="I47" s="245" t="n"/>
      <c r="J47" s="245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J1"/>
    <mergeCell ref="I2:J2"/>
  </mergeCells>
  <conditionalFormatting sqref="E6:G45">
    <cfRule type="expression" priority="1" dxfId="0">
      <formula>AND($C6&lt;&gt;"",$E6&lt;&gt;"",$G6="")</formula>
    </cfRule>
  </conditionalFormatting>
  <dataValidations count="3">
    <dataValidation sqref="B6:B47" showDropDown="0" showInputMessage="0" showErrorMessage="1" allowBlank="1" type="list">
      <formula1>"青岛公司,农夫山泉公司,东鹏公司,其他公司"</formula1>
    </dataValidation>
    <dataValidation sqref="F6:F47" showDropDown="0" showInputMessage="0" showErrorMessage="1" allowBlank="1" type="list">
      <formula1>"瓶,箱,罐,包,盒"</formula1>
    </dataValidation>
    <dataValidation sqref="I6:I47" showDropDown="0" showInputMessage="0" showErrorMessage="1" allowBlank="1" type="list">
      <formula1>"过期,破损,质量问题,临期,其他"</formula1>
    </dataValidation>
  </dataValidations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tabColor rgb="00833C0C"/>
    <outlinePr summaryBelow="1" summaryRight="1"/>
    <pageSetUpPr/>
  </sheetPr>
  <dimension ref="A1:J1000"/>
  <sheetViews>
    <sheetView tabSelected="0" zoomScale="90" workbookViewId="0">
      <pane ySplit="1" topLeftCell="A2" activePane="bottomLeft" state="frozen"/>
      <selection pane="bottomLeft" activeCell="A1" sqref="A1"/>
    </sheetView>
  </sheetViews>
  <sheetFormatPr baseColWidth="8" defaultColWidth="9.142857142857141" defaultRowHeight="12"/>
  <cols>
    <col width="11.2857142857143" customWidth="1" style="71" min="1" max="1"/>
    <col width="12.5714285714286" customWidth="1" style="71" min="2" max="2"/>
    <col width="21.1428571428571" customWidth="1" style="71" min="3" max="3"/>
    <col width="13" customWidth="1" style="71" min="4" max="4"/>
    <col width="19.2857142857143" customWidth="1" style="71" min="5" max="5"/>
    <col width="13.0095238095238" customWidth="1" style="71" min="6" max="6"/>
    <col width="13.9619047619048" customWidth="1" style="71" min="8" max="8"/>
  </cols>
  <sheetData>
    <row r="1" ht="21" customHeight="1" s="71">
      <c r="A1" s="237" t="inlineStr">
        <is>
          <t>产品过期报损明细台账</t>
        </is>
      </c>
    </row>
    <row r="2" ht="30" customHeight="1" s="71">
      <c r="A2" s="238" t="inlineStr">
        <is>
          <t>统计周期</t>
        </is>
      </c>
      <c r="B2" s="261" t="n">
        <v>46266</v>
      </c>
      <c r="C2" s="238" t="inlineStr">
        <is>
          <t>统计人</t>
        </is>
      </c>
      <c r="D2" s="249" t="n"/>
      <c r="E2" s="238" t="inlineStr">
        <is>
          <t>统计日期</t>
        </is>
      </c>
      <c r="F2" s="249" t="n"/>
      <c r="G2" s="238" t="inlineStr">
        <is>
          <t>数据行范围</t>
        </is>
      </c>
      <c r="H2" s="249" t="inlineStr">
        <is>
          <t>A6:J1000</t>
        </is>
      </c>
      <c r="I2" s="263">
        <f>H46</f>
        <v>0</v>
      </c>
    </row>
    <row r="3"/>
    <row r="4"/>
    <row r="5" ht="30" customHeight="1" s="71">
      <c r="A5" s="238" t="inlineStr">
        <is>
          <t>序号</t>
        </is>
      </c>
      <c r="B5" s="238" t="inlineStr">
        <is>
          <t>所属公司</t>
        </is>
      </c>
      <c r="C5" s="238" t="inlineStr">
        <is>
          <t>产品名称</t>
        </is>
      </c>
      <c r="D5" s="238" t="inlineStr">
        <is>
          <t>规格型号</t>
        </is>
      </c>
      <c r="E5" s="238" t="inlineStr">
        <is>
          <t>报损数量</t>
        </is>
      </c>
      <c r="F5" s="238" t="inlineStr">
        <is>
          <t>单位</t>
        </is>
      </c>
      <c r="G5" s="238" t="inlineStr">
        <is>
          <t>产品单价(元)</t>
        </is>
      </c>
      <c r="H5" s="238" t="inlineStr">
        <is>
          <t>报损金额(元)</t>
        </is>
      </c>
      <c r="I5" s="238" t="inlineStr">
        <is>
          <t>报损原因</t>
        </is>
      </c>
      <c r="J5" s="238" t="inlineStr">
        <is>
          <t>备注</t>
        </is>
      </c>
    </row>
    <row r="6" ht="16.5" customHeight="1" s="71">
      <c r="A6" s="244" t="n">
        <v>1</v>
      </c>
      <c r="B6" s="245" t="inlineStr">
        <is>
          <t>青岛公司</t>
        </is>
      </c>
      <c r="C6" s="262" t="inlineStr">
        <is>
          <t>青岛清爽8</t>
        </is>
      </c>
      <c r="D6" s="245" t="inlineStr">
        <is>
          <t>1*12</t>
        </is>
      </c>
      <c r="E6" s="262" t="n"/>
      <c r="F6" s="244" t="inlineStr">
        <is>
          <t>罐</t>
        </is>
      </c>
      <c r="G6" s="262" t="n">
        <v>2.94</v>
      </c>
      <c r="H6" s="246">
        <f>IF(AND(E6&lt;&gt;"",G6&lt;&gt;""),E6*G6,"")</f>
      </c>
      <c r="I6" s="245" t="n"/>
      <c r="J6" s="245" t="n"/>
    </row>
    <row r="7" ht="16.5" customHeight="1" s="71">
      <c r="A7" s="248" t="n">
        <v>2</v>
      </c>
      <c r="B7" s="245" t="inlineStr">
        <is>
          <t>青岛公司</t>
        </is>
      </c>
      <c r="C7" s="262" t="inlineStr">
        <is>
          <t>青岛经典</t>
        </is>
      </c>
      <c r="D7" s="245" t="inlineStr">
        <is>
          <t>1*12</t>
        </is>
      </c>
      <c r="E7" s="262" t="n"/>
      <c r="F7" s="248" t="inlineStr">
        <is>
          <t>罐</t>
        </is>
      </c>
      <c r="G7" s="262" t="n">
        <v>4.17</v>
      </c>
      <c r="H7" s="246">
        <f>IF(AND(E7&lt;&gt;"",G7&lt;&gt;""),E7*G7,"")</f>
      </c>
      <c r="I7" s="249" t="n"/>
      <c r="J7" s="249" t="n"/>
    </row>
    <row r="8" ht="16.5" customHeight="1" s="71">
      <c r="A8" s="244" t="n">
        <v>3</v>
      </c>
      <c r="B8" s="245" t="inlineStr">
        <is>
          <t>青岛公司</t>
        </is>
      </c>
      <c r="C8" s="262" t="inlineStr">
        <is>
          <t>青岛崂山</t>
        </is>
      </c>
      <c r="D8" s="245" t="inlineStr">
        <is>
          <t>1*12</t>
        </is>
      </c>
      <c r="E8" s="262" t="n"/>
      <c r="F8" s="244" t="n"/>
      <c r="G8" s="262" t="n">
        <v>2</v>
      </c>
      <c r="H8" s="246">
        <f>IF(AND(E8&lt;&gt;"",G8&lt;&gt;""),E8*G8,"")</f>
      </c>
      <c r="I8" s="245" t="n"/>
      <c r="J8" s="245" t="n"/>
    </row>
    <row r="9" ht="16.5" customHeight="1" s="71">
      <c r="A9" s="248" t="n">
        <v>4</v>
      </c>
      <c r="B9" s="245" t="inlineStr">
        <is>
          <t>青岛公司</t>
        </is>
      </c>
      <c r="C9" s="262" t="inlineStr">
        <is>
          <t>青岛白啤</t>
        </is>
      </c>
      <c r="D9" s="245" t="inlineStr">
        <is>
          <t>1*12</t>
        </is>
      </c>
      <c r="E9" s="262" t="n"/>
      <c r="F9" s="248" t="n"/>
      <c r="G9" s="262" t="n">
        <v>5.17</v>
      </c>
      <c r="H9" s="246">
        <f>IF(AND(E9&lt;&gt;"",G9&lt;&gt;""),E9*G9,"")</f>
      </c>
      <c r="I9" s="249" t="n"/>
      <c r="J9" s="249" t="n"/>
    </row>
    <row r="10" ht="16.5" customHeight="1" s="71">
      <c r="A10" s="244" t="n">
        <v>5</v>
      </c>
      <c r="B10" s="245" t="inlineStr">
        <is>
          <t>青岛公司</t>
        </is>
      </c>
      <c r="C10" s="262" t="inlineStr">
        <is>
          <t>青岛清爽8奖盖过期</t>
        </is>
      </c>
      <c r="D10" s="245" t="inlineStr">
        <is>
          <t>1*12</t>
        </is>
      </c>
      <c r="E10" s="262" t="n"/>
      <c r="F10" s="244" t="n"/>
      <c r="G10" s="262" t="n">
        <v>2.94</v>
      </c>
      <c r="H10" s="246">
        <f>IF(AND(E10&lt;&gt;"",G10&lt;&gt;""),E10*G10,"")</f>
      </c>
      <c r="I10" s="245" t="n"/>
      <c r="J10" s="245" t="n"/>
    </row>
    <row r="11" ht="16.5" customHeight="1" s="71">
      <c r="A11" s="248" t="n">
        <v>6</v>
      </c>
      <c r="B11" s="249" t="n"/>
      <c r="C11" s="262" t="n"/>
      <c r="D11" s="249" t="n"/>
      <c r="E11" s="262" t="n"/>
      <c r="F11" s="248" t="n"/>
      <c r="G11" s="262" t="n"/>
      <c r="H11" s="264">
        <f>SUM(H6:H10)</f>
        <v>0</v>
      </c>
      <c r="I11" s="249" t="n"/>
      <c r="J11" s="249" t="n"/>
    </row>
    <row r="12" ht="33" customHeight="1" s="71">
      <c r="A12" s="244" t="n">
        <v>7</v>
      </c>
      <c r="B12" s="245" t="inlineStr">
        <is>
          <t>农夫山泉公司</t>
        </is>
      </c>
      <c r="C12" s="262" t="inlineStr">
        <is>
          <t>农夫500ML饮料</t>
        </is>
      </c>
      <c r="D12" s="245" t="inlineStr">
        <is>
          <t>1*15</t>
        </is>
      </c>
      <c r="E12" s="262" t="n"/>
      <c r="F12" s="244" t="n"/>
      <c r="G12" s="262" t="n">
        <v>3.067</v>
      </c>
      <c r="H12" s="246">
        <f>IF(AND(E12&lt;&gt;"",G12&lt;&gt;""),E12*G12,"")</f>
      </c>
      <c r="I12" s="245" t="n"/>
      <c r="J12" s="245" t="n"/>
    </row>
    <row r="13" ht="33" customHeight="1" s="71">
      <c r="A13" s="248" t="n">
        <v>8</v>
      </c>
      <c r="B13" s="245" t="inlineStr">
        <is>
          <t>农夫山泉公司</t>
        </is>
      </c>
      <c r="C13" s="262" t="inlineStr">
        <is>
          <t>农夫900ML饮料</t>
        </is>
      </c>
      <c r="D13" s="249" t="inlineStr">
        <is>
          <t>1*12</t>
        </is>
      </c>
      <c r="E13" s="262" t="n"/>
      <c r="F13" s="248" t="n"/>
      <c r="G13" s="262" t="n">
        <v>4.17</v>
      </c>
      <c r="H13" s="246">
        <f>IF(AND(E13&lt;&gt;"",G13&lt;&gt;""),E13*G13,"")</f>
      </c>
      <c r="I13" s="249" t="n"/>
      <c r="J13" s="249" t="n"/>
    </row>
    <row r="14" ht="33" customHeight="1" s="71">
      <c r="A14" s="244" t="n">
        <v>9</v>
      </c>
      <c r="B14" s="245" t="inlineStr">
        <is>
          <t>农夫山泉公司</t>
        </is>
      </c>
      <c r="C14" s="262" t="inlineStr">
        <is>
          <t>农夫苏打水</t>
        </is>
      </c>
      <c r="D14" s="245" t="inlineStr">
        <is>
          <t>1*15</t>
        </is>
      </c>
      <c r="E14" s="262" t="n"/>
      <c r="F14" s="244" t="n"/>
      <c r="G14" s="262" t="n">
        <v>2.27</v>
      </c>
      <c r="H14" s="246">
        <f>IF(AND(E14&lt;&gt;"",G14&lt;&gt;""),E14*G14,"")</f>
      </c>
      <c r="I14" s="245" t="n"/>
      <c r="J14" s="245" t="n"/>
    </row>
    <row r="15" ht="33" customHeight="1" s="71">
      <c r="A15" s="248" t="n">
        <v>10</v>
      </c>
      <c r="B15" s="245" t="inlineStr">
        <is>
          <t>农夫山泉公司</t>
        </is>
      </c>
      <c r="C15" s="262" t="inlineStr">
        <is>
          <t>农夫550ML水</t>
        </is>
      </c>
      <c r="D15" s="249" t="inlineStr">
        <is>
          <t>1*24</t>
        </is>
      </c>
      <c r="E15" s="262" t="n"/>
      <c r="F15" s="248" t="n"/>
      <c r="G15" s="262" t="n">
        <v>0.834</v>
      </c>
      <c r="H15" s="246">
        <f>IF(AND(E15&lt;&gt;"",G15&lt;&gt;""),E15*G15,"")</f>
      </c>
      <c r="I15" s="249" t="n"/>
      <c r="J15" s="249" t="n"/>
    </row>
    <row r="16" ht="33" customHeight="1" s="71">
      <c r="A16" s="244" t="n">
        <v>11</v>
      </c>
      <c r="B16" s="245" t="inlineStr">
        <is>
          <t>农夫山泉公司</t>
        </is>
      </c>
      <c r="C16" s="262" t="inlineStr">
        <is>
          <t>农夫1.5L水</t>
        </is>
      </c>
      <c r="D16" s="245" t="inlineStr">
        <is>
          <t>1*12</t>
        </is>
      </c>
      <c r="E16" s="262" t="n"/>
      <c r="F16" s="244" t="n"/>
      <c r="G16" s="262" t="n">
        <v>1.667</v>
      </c>
      <c r="H16" s="246">
        <f>IF(AND(E16&lt;&gt;"",G16&lt;&gt;""),E16*G16,"")</f>
      </c>
      <c r="I16" s="245" t="n"/>
      <c r="J16" s="245" t="n"/>
    </row>
    <row r="17" ht="33" customHeight="1" s="71">
      <c r="A17" s="244" t="n"/>
      <c r="B17" s="245" t="inlineStr">
        <is>
          <t>农夫山泉公司</t>
        </is>
      </c>
      <c r="C17" s="262" t="inlineStr">
        <is>
          <t>农夫550ML纯净水</t>
        </is>
      </c>
      <c r="D17" s="245" t="inlineStr">
        <is>
          <t>1*24</t>
        </is>
      </c>
      <c r="E17" s="262" t="n"/>
      <c r="F17" s="244" t="n"/>
      <c r="G17" s="262" t="n">
        <v>0.625</v>
      </c>
      <c r="H17" s="246">
        <f>IF(AND(E17&lt;&gt;"",G17&lt;&gt;""),E17*G17,"")</f>
      </c>
      <c r="I17" s="245" t="n"/>
      <c r="J17" s="245" t="n"/>
    </row>
    <row r="18" ht="33" customHeight="1" s="71">
      <c r="A18" s="248" t="n">
        <v>12</v>
      </c>
      <c r="B18" s="245" t="inlineStr">
        <is>
          <t>农夫山泉公司</t>
        </is>
      </c>
      <c r="C18" s="262" t="inlineStr">
        <is>
          <t>农夫2L水</t>
        </is>
      </c>
      <c r="D18" s="249" t="inlineStr">
        <is>
          <t>1*8</t>
        </is>
      </c>
      <c r="E18" s="262" t="n"/>
      <c r="F18" s="248" t="n"/>
      <c r="G18" s="262" t="n">
        <v>2.25</v>
      </c>
      <c r="H18" s="246">
        <f>IF(AND(E18&lt;&gt;"",G18&lt;&gt;""),E18*G18,"")</f>
      </c>
      <c r="I18" s="249" t="n"/>
      <c r="J18" s="249" t="n"/>
    </row>
    <row r="19" ht="33" customHeight="1" s="71">
      <c r="A19" s="244" t="n">
        <v>13</v>
      </c>
      <c r="B19" s="245" t="inlineStr">
        <is>
          <t>农夫山泉公司</t>
        </is>
      </c>
      <c r="C19" s="262" t="inlineStr">
        <is>
          <t>农夫5L水</t>
        </is>
      </c>
      <c r="D19" s="245" t="inlineStr">
        <is>
          <t>1*4</t>
        </is>
      </c>
      <c r="E19" s="262" t="n"/>
      <c r="F19" s="244" t="n"/>
      <c r="G19" s="262" t="n"/>
      <c r="H19" s="246">
        <f>IF(AND(E19&lt;&gt;"",G19&lt;&gt;""),E19*G19,"")</f>
      </c>
      <c r="I19" s="245" t="n"/>
      <c r="J19" s="245" t="n"/>
    </row>
    <row r="20" ht="33" customHeight="1" s="71">
      <c r="A20" s="248" t="n">
        <v>14</v>
      </c>
      <c r="B20" s="245" t="inlineStr">
        <is>
          <t>农夫山泉公司</t>
        </is>
      </c>
      <c r="C20" s="262" t="inlineStr">
        <is>
          <t>农夫12.9L水</t>
        </is>
      </c>
      <c r="D20" s="249" t="n"/>
      <c r="E20" s="262" t="n"/>
      <c r="F20" s="248" t="n"/>
      <c r="G20" s="262" t="n"/>
      <c r="H20" s="246">
        <f>IF(AND(E20&lt;&gt;"",G20&lt;&gt;""),E20*G20,"")</f>
      </c>
      <c r="I20" s="249" t="n"/>
      <c r="J20" s="249" t="n"/>
    </row>
    <row r="21" ht="33" customHeight="1" s="71">
      <c r="A21" s="244" t="n">
        <v>15</v>
      </c>
      <c r="B21" s="245" t="inlineStr">
        <is>
          <t>农夫山泉公司</t>
        </is>
      </c>
      <c r="C21" s="262" t="inlineStr">
        <is>
          <t>农夫1.25L果园</t>
        </is>
      </c>
      <c r="D21" s="245" t="inlineStr">
        <is>
          <t>1*6</t>
        </is>
      </c>
      <c r="E21" s="262" t="n"/>
      <c r="F21" s="244" t="n"/>
      <c r="G21" s="262" t="n">
        <v>6.416667</v>
      </c>
      <c r="H21" s="246">
        <f>IF(AND(E21&lt;&gt;"",G21&lt;&gt;""),E21*G21,"")</f>
      </c>
      <c r="I21" s="245" t="n"/>
      <c r="J21" s="245" t="n"/>
    </row>
    <row r="22" ht="33" customHeight="1" s="71">
      <c r="A22" s="248" t="n">
        <v>16</v>
      </c>
      <c r="B22" s="245" t="inlineStr">
        <is>
          <t>农夫山泉公司</t>
        </is>
      </c>
      <c r="C22" s="262" t="inlineStr">
        <is>
          <t>农夫1.5L东方树叶</t>
        </is>
      </c>
      <c r="D22" s="249" t="inlineStr">
        <is>
          <t>1*6</t>
        </is>
      </c>
      <c r="E22" s="262" t="n"/>
      <c r="F22" s="248" t="n"/>
      <c r="G22" s="262" t="n">
        <v>7</v>
      </c>
      <c r="H22" s="246">
        <f>IF(AND(E22&lt;&gt;"",G22&lt;&gt;""),E22*G22,"")</f>
      </c>
      <c r="I22" s="249" t="n"/>
      <c r="J22" s="249" t="n"/>
    </row>
    <row r="23" ht="16.5" customHeight="1" s="71">
      <c r="A23" s="244" t="n">
        <v>17</v>
      </c>
      <c r="B23" s="245" t="n"/>
      <c r="C23" s="262" t="n"/>
      <c r="D23" s="245" t="n"/>
      <c r="E23" s="262" t="n"/>
      <c r="F23" s="244" t="n"/>
      <c r="G23" s="262" t="n"/>
      <c r="H23" s="264">
        <f>SUM(H12:H22)</f>
        <v>0</v>
      </c>
      <c r="I23" s="245" t="n"/>
      <c r="J23" s="245" t="n"/>
    </row>
    <row r="24" ht="16.5" customHeight="1" s="71">
      <c r="A24" s="244" t="n"/>
      <c r="B24" s="245" t="inlineStr">
        <is>
          <t>其他公司</t>
        </is>
      </c>
      <c r="C24" s="262" t="inlineStr">
        <is>
          <t>艾精隆155克瓜子</t>
        </is>
      </c>
      <c r="D24" s="245" t="inlineStr">
        <is>
          <t>1*30</t>
        </is>
      </c>
      <c r="E24" s="262" t="n"/>
      <c r="F24" s="244" t="n"/>
      <c r="G24" s="262" t="n">
        <v>3.2</v>
      </c>
      <c r="H24" s="246">
        <f>IF(AND(E24&lt;&gt;"",G24&lt;&gt;""),E24*G24,"")</f>
      </c>
      <c r="I24" s="245" t="n"/>
      <c r="J24" s="245" t="n"/>
    </row>
    <row r="25" ht="16.5" customHeight="1" s="71">
      <c r="A25" s="244" t="n"/>
      <c r="B25" s="245" t="inlineStr">
        <is>
          <t>其他公司</t>
        </is>
      </c>
      <c r="C25" s="262" t="inlineStr">
        <is>
          <t>艾精隆60克香瓜子</t>
        </is>
      </c>
      <c r="D25" s="245" t="inlineStr">
        <is>
          <t>1*40</t>
        </is>
      </c>
      <c r="E25" s="262" t="n"/>
      <c r="F25" s="244" t="n"/>
      <c r="G25" s="262" t="n">
        <v>1.2</v>
      </c>
      <c r="H25" s="246">
        <f>IF(AND(E25&lt;&gt;"",G25&lt;&gt;""),E25*G25,"")</f>
      </c>
      <c r="I25" s="245" t="n"/>
      <c r="J25" s="245" t="n"/>
    </row>
    <row r="26" ht="16.5" customHeight="1" s="71">
      <c r="A26" s="244" t="n"/>
      <c r="B26" s="245" t="inlineStr">
        <is>
          <t>其他公司</t>
        </is>
      </c>
      <c r="C26" s="262" t="inlineStr">
        <is>
          <t>艾精隆60克原味瓜子</t>
        </is>
      </c>
      <c r="D26" s="245" t="inlineStr">
        <is>
          <t>1*35</t>
        </is>
      </c>
      <c r="E26" s="262" t="n"/>
      <c r="F26" s="244" t="n"/>
      <c r="G26" s="262" t="n">
        <v>1.2571</v>
      </c>
      <c r="H26" s="246">
        <f>IF(AND(E26&lt;&gt;"",G26&lt;&gt;""),E26*G26,"")</f>
      </c>
      <c r="I26" s="245" t="n"/>
      <c r="J26" s="245" t="n"/>
    </row>
    <row r="27" ht="16.5" customHeight="1" s="71">
      <c r="A27" s="244" t="n"/>
      <c r="B27" s="245" t="inlineStr">
        <is>
          <t>其他公司</t>
        </is>
      </c>
      <c r="C27" s="262" t="inlineStr">
        <is>
          <t>艾精隆208克花生</t>
        </is>
      </c>
      <c r="D27" s="245" t="inlineStr">
        <is>
          <t>1*30</t>
        </is>
      </c>
      <c r="E27" s="262" t="n"/>
      <c r="F27" s="244" t="n"/>
      <c r="G27" s="262" t="n">
        <v>3.2</v>
      </c>
      <c r="H27" s="246">
        <f>IF(AND(E27&lt;&gt;"",G27&lt;&gt;""),E27*G27,"")</f>
      </c>
      <c r="I27" s="245" t="n"/>
      <c r="J27" s="245" t="n"/>
    </row>
    <row r="28" ht="16.5" customHeight="1" s="71">
      <c r="A28" s="244" t="n"/>
      <c r="B28" s="245" t="inlineStr">
        <is>
          <t>其他公司</t>
        </is>
      </c>
      <c r="C28" s="262" t="inlineStr">
        <is>
          <t>艾精隆500克多味</t>
        </is>
      </c>
      <c r="D28" s="245" t="inlineStr">
        <is>
          <t>1*20</t>
        </is>
      </c>
      <c r="E28" s="262" t="n"/>
      <c r="F28" s="244" t="n"/>
      <c r="G28" s="262" t="n">
        <v>11</v>
      </c>
      <c r="H28" s="246">
        <f>IF(AND(E28&lt;&gt;"",G28&lt;&gt;""),E28*G28,"")</f>
      </c>
      <c r="I28" s="245" t="n"/>
      <c r="J28" s="245" t="n"/>
    </row>
    <row r="29" ht="16.5" customHeight="1" s="71">
      <c r="A29" s="244" t="n"/>
      <c r="B29" s="245" t="inlineStr">
        <is>
          <t>其他公司</t>
        </is>
      </c>
      <c r="C29" s="262" t="inlineStr">
        <is>
          <t>艾精隆110克瓜子</t>
        </is>
      </c>
      <c r="D29" s="245" t="inlineStr">
        <is>
          <t>1*40</t>
        </is>
      </c>
      <c r="E29" s="262" t="n"/>
      <c r="F29" s="244" t="n"/>
      <c r="G29" s="262" t="n">
        <v>3.2</v>
      </c>
      <c r="H29" s="246">
        <f>IF(AND(E29&lt;&gt;"",G29&lt;&gt;""),E29*G29,"")</f>
      </c>
      <c r="I29" s="245" t="n"/>
      <c r="J29" s="245" t="n"/>
    </row>
    <row r="30" ht="16.5" customHeight="1" s="71">
      <c r="A30" s="244" t="n"/>
      <c r="B30" s="245" t="inlineStr">
        <is>
          <t>其他公司</t>
        </is>
      </c>
      <c r="C30" s="262" t="inlineStr">
        <is>
          <t>艾精隆多味葵</t>
        </is>
      </c>
      <c r="D30" s="245" t="inlineStr">
        <is>
          <t>1*10</t>
        </is>
      </c>
      <c r="E30" s="262" t="n"/>
      <c r="F30" s="244" t="n"/>
      <c r="G30" s="262" t="n">
        <v>95</v>
      </c>
      <c r="H30" s="246">
        <f>IF(AND(E30&lt;&gt;"",G30&lt;&gt;""),E30*G30,"")</f>
      </c>
      <c r="I30" s="245" t="n"/>
      <c r="J30" s="245" t="n"/>
    </row>
    <row r="31" ht="16.5" customHeight="1" s="71">
      <c r="A31" s="244" t="n"/>
      <c r="B31" s="245" t="n"/>
      <c r="C31" s="262" t="n"/>
      <c r="D31" s="245" t="n"/>
      <c r="E31" s="262" t="n"/>
      <c r="F31" s="244" t="n"/>
      <c r="G31" s="262" t="n"/>
      <c r="H31" s="246">
        <f>IF(AND(E31&lt;&gt;"",G31&lt;&gt;""),E31*G31,"")</f>
      </c>
      <c r="I31" s="245" t="n"/>
      <c r="J31" s="245" t="n"/>
    </row>
    <row r="32" ht="16.5" customHeight="1" s="71">
      <c r="A32" s="244" t="n"/>
      <c r="B32" s="245" t="n"/>
      <c r="C32" s="262" t="n"/>
      <c r="D32" s="245" t="n"/>
      <c r="E32" s="262" t="n"/>
      <c r="F32" s="244" t="n"/>
      <c r="G32" s="262" t="n"/>
      <c r="H32" s="246">
        <f>IF(AND(E32&lt;&gt;"",G32&lt;&gt;""),E32*G32,"")</f>
      </c>
      <c r="I32" s="245" t="n"/>
      <c r="J32" s="245" t="n"/>
    </row>
    <row r="33" ht="16.5" customHeight="1" s="71">
      <c r="A33" s="244" t="n"/>
      <c r="B33" s="245" t="n"/>
      <c r="C33" s="262" t="n"/>
      <c r="D33" s="245" t="n"/>
      <c r="E33" s="262" t="n"/>
      <c r="F33" s="244" t="n"/>
      <c r="G33" s="262" t="n"/>
      <c r="H33" s="264">
        <f>SUM(H24:H32)</f>
        <v>0</v>
      </c>
      <c r="I33" s="245" t="n"/>
      <c r="J33" s="245" t="n"/>
    </row>
    <row r="34" ht="16.5" customHeight="1" s="71">
      <c r="A34" s="248" t="n">
        <v>18</v>
      </c>
      <c r="B34" s="249" t="inlineStr">
        <is>
          <t>东鹏公司</t>
        </is>
      </c>
      <c r="C34" s="262" t="inlineStr">
        <is>
          <t>东鹏500ML特饮</t>
        </is>
      </c>
      <c r="D34" s="249" t="inlineStr">
        <is>
          <t>1*24</t>
        </is>
      </c>
      <c r="E34" s="262" t="n"/>
      <c r="F34" s="248" t="n"/>
      <c r="G34" s="262" t="n">
        <v>3.23</v>
      </c>
      <c r="H34" s="246">
        <f>IF(AND(E34&lt;&gt;"",G34&lt;&gt;""),E34*G34,"")</f>
      </c>
      <c r="I34" s="249" t="n"/>
      <c r="J34" s="249" t="n"/>
    </row>
    <row r="35" ht="16.5" customHeight="1" s="71">
      <c r="A35" s="244" t="n">
        <v>19</v>
      </c>
      <c r="B35" s="249" t="inlineStr">
        <is>
          <t>东鹏公司</t>
        </is>
      </c>
      <c r="C35" s="262" t="inlineStr">
        <is>
          <t>东鹏250ML特饮</t>
        </is>
      </c>
      <c r="D35" s="245" t="inlineStr">
        <is>
          <t>1*24</t>
        </is>
      </c>
      <c r="E35" s="262" t="n"/>
      <c r="F35" s="244" t="n"/>
      <c r="G35" s="262" t="n">
        <v>1.58</v>
      </c>
      <c r="H35" s="246">
        <f>IF(AND(E35&lt;&gt;"",G35&lt;&gt;""),E35*G35,"")</f>
      </c>
      <c r="I35" s="245" t="n"/>
      <c r="J35" s="245" t="n"/>
    </row>
    <row r="36" ht="16.5" customHeight="1" s="71">
      <c r="A36" s="248" t="n">
        <v>20</v>
      </c>
      <c r="B36" s="249" t="inlineStr">
        <is>
          <t>东鹏公司</t>
        </is>
      </c>
      <c r="C36" s="262" t="inlineStr">
        <is>
          <t>东鹏555补水</t>
        </is>
      </c>
      <c r="D36" s="249" t="inlineStr">
        <is>
          <t>1*24</t>
        </is>
      </c>
      <c r="E36" s="262" t="n"/>
      <c r="F36" s="248" t="n"/>
      <c r="G36" s="262" t="n">
        <v>2.284</v>
      </c>
      <c r="H36" s="246">
        <f>IF(AND(E36&lt;&gt;"",G36&lt;&gt;""),E36*G36,"")</f>
      </c>
      <c r="I36" s="249" t="n"/>
      <c r="J36" s="249" t="n"/>
    </row>
    <row r="37" ht="16.5" customHeight="1" s="71">
      <c r="A37" s="244" t="n">
        <v>21</v>
      </c>
      <c r="B37" s="249" t="inlineStr">
        <is>
          <t>东鹏公司</t>
        </is>
      </c>
      <c r="C37" s="262" t="inlineStr">
        <is>
          <t>东鹏1L补水</t>
        </is>
      </c>
      <c r="D37" s="245" t="inlineStr">
        <is>
          <t>1*12</t>
        </is>
      </c>
      <c r="E37" s="262" t="n"/>
      <c r="F37" s="244" t="n"/>
      <c r="G37" s="262" t="n">
        <v>3.6058</v>
      </c>
      <c r="H37" s="246">
        <f>IF(AND(E37&lt;&gt;"",G37&lt;&gt;""),E37*G37,"")</f>
      </c>
      <c r="I37" s="245" t="n"/>
      <c r="J37" s="245" t="n"/>
    </row>
    <row r="38" ht="16.5" customHeight="1" s="71">
      <c r="A38" s="248" t="n">
        <v>22</v>
      </c>
      <c r="B38" s="249" t="inlineStr">
        <is>
          <t>东鹏公司</t>
        </is>
      </c>
      <c r="C38" s="262" t="inlineStr">
        <is>
          <t>东鹏小海岛椰</t>
        </is>
      </c>
      <c r="D38" s="249" t="inlineStr">
        <is>
          <t>1*12</t>
        </is>
      </c>
      <c r="E38" s="262" t="n"/>
      <c r="F38" s="248" t="n"/>
      <c r="G38" s="262" t="n">
        <v>2.46</v>
      </c>
      <c r="H38" s="246">
        <f>IF(AND(E38&lt;&gt;"",G38&lt;&gt;""),E38*G38,"")</f>
      </c>
      <c r="I38" s="249" t="n"/>
      <c r="J38" s="249" t="n"/>
    </row>
    <row r="39" ht="16.5" customHeight="1" s="71">
      <c r="A39" s="244" t="n">
        <v>23</v>
      </c>
      <c r="B39" s="249" t="inlineStr">
        <is>
          <t>东鹏公司</t>
        </is>
      </c>
      <c r="C39" s="262" t="inlineStr">
        <is>
          <t>东鹏1.25L海岛椰</t>
        </is>
      </c>
      <c r="D39" s="245" t="inlineStr">
        <is>
          <t>1*6</t>
        </is>
      </c>
      <c r="E39" s="262" t="n"/>
      <c r="F39" s="244" t="n"/>
      <c r="G39" s="262" t="n"/>
      <c r="H39" s="246">
        <f>IF(AND(E39&lt;&gt;"",G39&lt;&gt;""),E39*G39,"")</f>
      </c>
      <c r="I39" s="245" t="n"/>
      <c r="J39" s="245" t="n"/>
    </row>
    <row r="40" ht="16.5" customHeight="1" s="71">
      <c r="A40" s="248" t="n">
        <v>24</v>
      </c>
      <c r="B40" s="249" t="inlineStr">
        <is>
          <t>东鹏公司</t>
        </is>
      </c>
      <c r="C40" s="262" t="inlineStr">
        <is>
          <t>东鹏小果茶</t>
        </is>
      </c>
      <c r="D40" s="249" t="inlineStr">
        <is>
          <t>1*24</t>
        </is>
      </c>
      <c r="E40" s="262" t="n"/>
      <c r="F40" s="248" t="n"/>
      <c r="G40" s="262" t="n"/>
      <c r="H40" s="246">
        <f>IF(AND(E40&lt;&gt;"",G40&lt;&gt;""),E40*G40,"")</f>
      </c>
      <c r="I40" s="249" t="n"/>
      <c r="J40" s="249" t="n"/>
    </row>
    <row r="41" ht="16.5" customHeight="1" s="71">
      <c r="A41" s="244" t="n">
        <v>25</v>
      </c>
      <c r="B41" s="249" t="inlineStr">
        <is>
          <t>东鹏公司</t>
        </is>
      </c>
      <c r="C41" s="262" t="inlineStr">
        <is>
          <t>东鹏1L果之茶</t>
        </is>
      </c>
      <c r="D41" s="245" t="inlineStr">
        <is>
          <t>1*12</t>
        </is>
      </c>
      <c r="E41" s="262" t="n"/>
      <c r="F41" s="244" t="n"/>
      <c r="G41" s="262" t="n"/>
      <c r="H41" s="246">
        <f>IF(AND(E41&lt;&gt;"",G41&lt;&gt;""),E41*G41,"")</f>
      </c>
      <c r="I41" s="245" t="n"/>
      <c r="J41" s="245" t="n"/>
    </row>
    <row r="42" ht="16.5" customHeight="1" s="71">
      <c r="A42" s="248" t="n">
        <v>26</v>
      </c>
      <c r="B42" s="249" t="inlineStr">
        <is>
          <t>东鹏公司</t>
        </is>
      </c>
      <c r="C42" s="262" t="inlineStr">
        <is>
          <t>东鹏港式奶茶</t>
        </is>
      </c>
      <c r="D42" s="249" t="inlineStr">
        <is>
          <t>1*24</t>
        </is>
      </c>
      <c r="E42" s="262" t="n"/>
      <c r="F42" s="248" t="n"/>
      <c r="G42" s="262" t="n"/>
      <c r="H42" s="246">
        <f>IF(AND(E42&lt;&gt;"",G42&lt;&gt;""),E42*G42,"")</f>
      </c>
      <c r="I42" s="249" t="n"/>
      <c r="J42" s="249" t="n"/>
    </row>
    <row r="43" ht="16.5" customHeight="1" s="71">
      <c r="A43" s="244" t="n">
        <v>27</v>
      </c>
      <c r="B43" s="249" t="inlineStr">
        <is>
          <t>东鹏公司</t>
        </is>
      </c>
      <c r="C43" s="262" t="inlineStr">
        <is>
          <t>东鹏菊花茶</t>
        </is>
      </c>
      <c r="D43" s="245" t="inlineStr">
        <is>
          <t>1*24</t>
        </is>
      </c>
      <c r="E43" s="262" t="n"/>
      <c r="F43" s="244" t="n"/>
      <c r="G43" s="262" t="n">
        <v>2.484</v>
      </c>
      <c r="H43" s="246">
        <f>IF(AND(E43&lt;&gt;"",G43&lt;&gt;""),E43*G43,"")</f>
      </c>
      <c r="I43" s="245" t="n"/>
      <c r="J43" s="245" t="n"/>
    </row>
    <row r="44" ht="16.5" customHeight="1" s="71">
      <c r="A44" s="248" t="n">
        <v>28</v>
      </c>
      <c r="B44" s="249" t="inlineStr">
        <is>
          <t>东鹏公司</t>
        </is>
      </c>
      <c r="C44" s="262" t="inlineStr">
        <is>
          <t>东鹏500大咖</t>
        </is>
      </c>
      <c r="D44" s="249" t="inlineStr">
        <is>
          <t>1*15</t>
        </is>
      </c>
      <c r="E44" s="262" t="n"/>
      <c r="F44" s="248" t="n"/>
      <c r="G44" s="262" t="n">
        <v>4.872</v>
      </c>
      <c r="H44" s="246">
        <f>IF(AND(E44&lt;&gt;"",G44&lt;&gt;""),E44*G44,"")</f>
      </c>
      <c r="I44" s="249" t="n"/>
      <c r="J44" s="249" t="n"/>
    </row>
    <row r="45" ht="16.5" customHeight="1" s="71">
      <c r="A45" s="244" t="n">
        <v>29</v>
      </c>
      <c r="B45" s="245" t="n"/>
      <c r="C45" s="245" t="n"/>
      <c r="D45" s="245" t="n"/>
      <c r="E45" s="244" t="n"/>
      <c r="F45" s="244" t="n"/>
      <c r="G45" s="244" t="n"/>
      <c r="H45" s="264">
        <f>SUM(H34:H44)</f>
        <v>0</v>
      </c>
      <c r="I45" s="245" t="n"/>
      <c r="J45" s="245" t="n"/>
    </row>
    <row r="46" ht="16.5" customHeight="1" s="71">
      <c r="A46" s="248" t="n">
        <v>30</v>
      </c>
      <c r="B46" s="249" t="n"/>
      <c r="C46" s="249" t="n"/>
      <c r="D46" s="249" t="n"/>
      <c r="E46" s="248" t="n"/>
      <c r="F46" s="248" t="n"/>
      <c r="G46" s="248" t="n"/>
      <c r="H46" s="250">
        <f>SUMIF(B6:B45,"&lt;&gt;",H6:H45)</f>
        <v>0</v>
      </c>
      <c r="I46" s="249" t="n"/>
      <c r="J46" s="249" t="n"/>
    </row>
    <row r="47" ht="16.5" customHeight="1" s="71">
      <c r="A47" s="244" t="n">
        <v>31</v>
      </c>
      <c r="B47" s="245" t="n"/>
      <c r="C47" s="245" t="n"/>
      <c r="D47" s="245" t="n"/>
      <c r="E47" s="244" t="n"/>
      <c r="F47" s="244" t="n"/>
      <c r="G47" s="244" t="n"/>
      <c r="H47" s="246">
        <f>IF(AND(E47&lt;&gt;"",G47&lt;&gt;""),E47*G47,"")</f>
      </c>
      <c r="I47" s="245" t="n"/>
      <c r="J47" s="245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J1"/>
    <mergeCell ref="I2:J2"/>
  </mergeCells>
  <conditionalFormatting sqref="E6:G45">
    <cfRule type="expression" priority="1" dxfId="0">
      <formula>AND($C6&lt;&gt;"",$E6&lt;&gt;"",$G6="")</formula>
    </cfRule>
  </conditionalFormatting>
  <dataValidations count="3">
    <dataValidation sqref="B6:B47" showDropDown="0" showInputMessage="0" showErrorMessage="1" allowBlank="1" type="list">
      <formula1>"青岛公司,农夫山泉公司,东鹏公司,其他公司"</formula1>
    </dataValidation>
    <dataValidation sqref="F6:F47" showDropDown="0" showInputMessage="0" showErrorMessage="1" allowBlank="1" type="list">
      <formula1>"瓶,箱,罐,包,盒"</formula1>
    </dataValidation>
    <dataValidation sqref="I6:I47" showDropDown="0" showInputMessage="0" showErrorMessage="1" allowBlank="1" type="list">
      <formula1>"过期,破损,质量问题,临期,其他"</formula1>
    </dataValidation>
  </dataValidations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tabColor rgb="00375623"/>
    <outlinePr summaryBelow="1" summaryRight="1"/>
    <pageSetUpPr/>
  </sheetPr>
  <dimension ref="A1:Q63"/>
  <sheetViews>
    <sheetView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71" min="1" max="1"/>
    <col width="16" customWidth="1" style="71" min="2" max="2"/>
    <col width="11" customWidth="1" style="71" min="3" max="3"/>
    <col width="10.5" customWidth="1" style="71" min="4" max="4"/>
    <col width="10.5" customWidth="1" style="71" min="5" max="5"/>
    <col width="10.5" customWidth="1" style="71" min="6" max="6"/>
    <col width="10.5" customWidth="1" style="71" min="7" max="7"/>
    <col width="10.5" customWidth="1" style="71" min="8" max="8"/>
    <col width="10.5" customWidth="1" style="71" min="9" max="9"/>
    <col width="10.5" customWidth="1" style="71" min="10" max="10"/>
    <col width="10.5" customWidth="1" style="71" min="11" max="11"/>
    <col width="10.5" customWidth="1" style="71" min="12" max="12"/>
    <col width="10.5" customWidth="1" style="71" min="13" max="13"/>
    <col width="10.5" customWidth="1" style="71" min="14" max="14"/>
    <col width="10.5" customWidth="1" style="71" min="15" max="15"/>
    <col width="12" customWidth="1" style="71" min="16" max="16"/>
    <col width="7" customWidth="1" style="71" min="17" max="17"/>
  </cols>
  <sheetData>
    <row r="1" ht="33" customHeight="1" s="71">
      <c r="A1" s="183" t="inlineStr">
        <is>
          <t>费用汇总（按费用项目 × 月份 · 自动）</t>
        </is>
      </c>
    </row>
    <row r="2" ht="24" customHeight="1" s="71">
      <c r="A2" s="73" t="inlineStr">
        <is>
          <t>💡 从【资金台帐】里「费用支出」的钱按费用项目、按月汇总；底下按利润表归类小计，直接进利润表。没选费用项目的费用单列一行，并入管理费用。</t>
        </is>
      </c>
    </row>
    <row r="3" hidden="1" s="71">
      <c r="D3" t="n">
        <v>1</v>
      </c>
      <c r="E3" t="n">
        <v>2</v>
      </c>
      <c r="F3" t="n">
        <v>3</v>
      </c>
      <c r="G3" t="n">
        <v>4</v>
      </c>
      <c r="H3" t="n">
        <v>5</v>
      </c>
      <c r="I3" t="n">
        <v>6</v>
      </c>
      <c r="J3" t="n">
        <v>7</v>
      </c>
      <c r="K3" t="n">
        <v>8</v>
      </c>
      <c r="L3" t="n">
        <v>9</v>
      </c>
      <c r="M3" t="n">
        <v>10</v>
      </c>
      <c r="N3" t="n">
        <v>11</v>
      </c>
      <c r="O3" t="n">
        <v>12</v>
      </c>
    </row>
    <row r="4" ht="30" customHeight="1" s="71">
      <c r="A4" s="219" t="inlineStr">
        <is>
          <t>序号</t>
        </is>
      </c>
      <c r="B4" s="219" t="inlineStr">
        <is>
          <t>费用项目</t>
        </is>
      </c>
      <c r="C4" s="219" t="inlineStr">
        <is>
          <t>利润表归类</t>
        </is>
      </c>
      <c r="D4" s="219" t="inlineStr">
        <is>
          <t>1月</t>
        </is>
      </c>
      <c r="E4" s="219" t="inlineStr">
        <is>
          <t>2月</t>
        </is>
      </c>
      <c r="F4" s="219" t="inlineStr">
        <is>
          <t>3月</t>
        </is>
      </c>
      <c r="G4" s="219" t="inlineStr">
        <is>
          <t>4月</t>
        </is>
      </c>
      <c r="H4" s="219" t="inlineStr">
        <is>
          <t>5月</t>
        </is>
      </c>
      <c r="I4" s="219" t="inlineStr">
        <is>
          <t>6月</t>
        </is>
      </c>
      <c r="J4" s="219" t="inlineStr">
        <is>
          <t>7月</t>
        </is>
      </c>
      <c r="K4" s="219" t="inlineStr">
        <is>
          <t>8月</t>
        </is>
      </c>
      <c r="L4" s="219" t="inlineStr">
        <is>
          <t>9月</t>
        </is>
      </c>
      <c r="M4" s="219" t="inlineStr">
        <is>
          <t>10月</t>
        </is>
      </c>
      <c r="N4" s="219" t="inlineStr">
        <is>
          <t>11月</t>
        </is>
      </c>
      <c r="O4" s="219" t="inlineStr">
        <is>
          <t>12月</t>
        </is>
      </c>
      <c r="P4" s="219" t="inlineStr">
        <is>
          <t>全年合计</t>
        </is>
      </c>
      <c r="Q4" s="219" t="inlineStr">
        <is>
          <t>占比</t>
        </is>
      </c>
    </row>
    <row r="5">
      <c r="A5" s="194">
        <f>IF(B5="","",ROW()-4)</f>
        <v>1</v>
      </c>
      <c r="B5" s="141" t="str">
        <f>IF(基础资料!AI5="","",基础资料!AI5&amp;"")</f>
        <v>工资</v>
      </c>
      <c r="C5" s="141" t="str">
        <f>IF(B5="","",基础资料!AJ5&amp;"")</f>
        <v>销售费用</v>
      </c>
      <c r="D5" s="186">
        <f>IF($B5="","",-SUMIFS(资金台帐!$S$7:$S$3006,资金台帐!$P$7:$P$3006,"费用",资金台帐!$L$7:$L$3006,$B5,资金台帐!$B$7:$B$3006,"&gt;="&amp;DATE(年度,1,1),资金台帐!$B$7:$B$3006,"&lt;"&amp;DATE(年度,1+1,1)))</f>
        <v>0</v>
      </c>
      <c r="E5" s="186">
        <f>IF($B5="","",-SUMIFS(资金台帐!$S$7:$S$3006,资金台帐!$P$7:$P$3006,"费用",资金台帐!$L$7:$L$3006,$B5,资金台帐!$B$7:$B$3006,"&gt;="&amp;DATE(年度,2,1),资金台帐!$B$7:$B$3006,"&lt;"&amp;DATE(年度,2+1,1)))</f>
        <v>0</v>
      </c>
      <c r="F5" s="186">
        <f>IF($B5="","",-SUMIFS(资金台帐!$S$7:$S$3006,资金台帐!$P$7:$P$3006,"费用",资金台帐!$L$7:$L$3006,$B5,资金台帐!$B$7:$B$3006,"&gt;="&amp;DATE(年度,3,1),资金台帐!$B$7:$B$3006,"&lt;"&amp;DATE(年度,3+1,1)))</f>
        <v>0</v>
      </c>
      <c r="G5" s="186">
        <f>IF($B5="","",-SUMIFS(资金台帐!$S$7:$S$3006,资金台帐!$P$7:$P$3006,"费用",资金台帐!$L$7:$L$3006,$B5,资金台帐!$B$7:$B$3006,"&gt;="&amp;DATE(年度,4,1),资金台帐!$B$7:$B$3006,"&lt;"&amp;DATE(年度,4+1,1)))</f>
        <v>0</v>
      </c>
      <c r="H5" s="186">
        <f>IF($B5="","",-SUMIFS(资金台帐!$S$7:$S$3006,资金台帐!$P$7:$P$3006,"费用",资金台帐!$L$7:$L$3006,$B5,资金台帐!$B$7:$B$3006,"&gt;="&amp;DATE(年度,5,1),资金台帐!$B$7:$B$3006,"&lt;"&amp;DATE(年度,5+1,1)))</f>
        <v>0</v>
      </c>
      <c r="I5" s="186">
        <f>IF($B5="","",-SUMIFS(资金台帐!$S$7:$S$3006,资金台帐!$P$7:$P$3006,"费用",资金台帐!$L$7:$L$3006,$B5,资金台帐!$B$7:$B$3006,"&gt;="&amp;DATE(年度,6,1),资金台帐!$B$7:$B$3006,"&lt;"&amp;DATE(年度,6+1,1)))</f>
        <v>0</v>
      </c>
      <c r="J5" s="186">
        <f>IF($B5="","",-SUMIFS(资金台帐!$S$7:$S$3006,资金台帐!$P$7:$P$3006,"费用",资金台帐!$L$7:$L$3006,$B5,资金台帐!$B$7:$B$3006,"&gt;="&amp;DATE(年度,7,1),资金台帐!$B$7:$B$3006,"&lt;"&amp;DATE(年度,7+1,1)))</f>
        <v>0</v>
      </c>
      <c r="K5" s="186">
        <f>IF($B5="","",-SUMIFS(资金台帐!$S$7:$S$3006,资金台帐!$P$7:$P$3006,"费用",资金台帐!$L$7:$L$3006,$B5,资金台帐!$B$7:$B$3006,"&gt;="&amp;DATE(年度,8,1),资金台帐!$B$7:$B$3006,"&lt;"&amp;DATE(年度,8+1,1)))</f>
        <v>0</v>
      </c>
      <c r="L5" s="186">
        <f>IF($B5="","",-SUMIFS(资金台帐!$S$7:$S$3006,资金台帐!$P$7:$P$3006,"费用",资金台帐!$L$7:$L$3006,$B5,资金台帐!$B$7:$B$3006,"&gt;="&amp;DATE(年度,9,1),资金台帐!$B$7:$B$3006,"&lt;"&amp;DATE(年度,9+1,1)))</f>
        <v>0</v>
      </c>
      <c r="M5" s="186">
        <f>IF($B5="","",-SUMIFS(资金台帐!$S$7:$S$3006,资金台帐!$P$7:$P$3006,"费用",资金台帐!$L$7:$L$3006,$B5,资金台帐!$B$7:$B$3006,"&gt;="&amp;DATE(年度,10,1),资金台帐!$B$7:$B$3006,"&lt;"&amp;DATE(年度,10+1,1)))</f>
        <v>0</v>
      </c>
      <c r="N5" s="186">
        <f>IF($B5="","",-SUMIFS(资金台帐!$S$7:$S$3006,资金台帐!$P$7:$P$3006,"费用",资金台帐!$L$7:$L$3006,$B5,资金台帐!$B$7:$B$3006,"&gt;="&amp;DATE(年度,11,1),资金台帐!$B$7:$B$3006,"&lt;"&amp;DATE(年度,11+1,1)))</f>
        <v>0</v>
      </c>
      <c r="O5" s="186">
        <f>IF($B5="","",-SUMIFS(资金台帐!$S$7:$S$3006,资金台帐!$P$7:$P$3006,"费用",资金台帐!$L$7:$L$3006,$B5,资金台帐!$B$7:$B$3006,"&gt;="&amp;DATE(年度,12,1),资金台帐!$B$7:$B$3006,"&lt;"&amp;DATE(年度,12+1,1)))</f>
        <v>0</v>
      </c>
      <c r="P5" s="187">
        <f>IF(B5="","",SUM(D5:O5))</f>
        <v>0</v>
      </c>
      <c r="Q5" s="265">
        <f>IF(OR(B5="",N($P$56)=0),"",P5/$P$56)</f>
      </c>
    </row>
    <row r="6">
      <c r="A6" s="194">
        <f>IF(B6="","",ROW()-4)</f>
        <v>2</v>
      </c>
      <c r="B6" s="141" t="str">
        <f>IF(基础资料!AI6="","",基础资料!AI6&amp;"")</f>
        <v>提成奖金</v>
      </c>
      <c r="C6" s="141" t="str">
        <f>IF(B6="","",基础资料!AJ6&amp;"")</f>
        <v>销售费用</v>
      </c>
      <c r="D6" s="186">
        <f>IF($B6="","",-SUMIFS(资金台帐!$S$7:$S$3006,资金台帐!$P$7:$P$3006,"费用",资金台帐!$L$7:$L$3006,$B6,资金台帐!$B$7:$B$3006,"&gt;="&amp;DATE(年度,1,1),资金台帐!$B$7:$B$3006,"&lt;"&amp;DATE(年度,1+1,1)))</f>
        <v>0</v>
      </c>
      <c r="E6" s="186">
        <f>IF($B6="","",-SUMIFS(资金台帐!$S$7:$S$3006,资金台帐!$P$7:$P$3006,"费用",资金台帐!$L$7:$L$3006,$B6,资金台帐!$B$7:$B$3006,"&gt;="&amp;DATE(年度,2,1),资金台帐!$B$7:$B$3006,"&lt;"&amp;DATE(年度,2+1,1)))</f>
        <v>0</v>
      </c>
      <c r="F6" s="186">
        <f>IF($B6="","",-SUMIFS(资金台帐!$S$7:$S$3006,资金台帐!$P$7:$P$3006,"费用",资金台帐!$L$7:$L$3006,$B6,资金台帐!$B$7:$B$3006,"&gt;="&amp;DATE(年度,3,1),资金台帐!$B$7:$B$3006,"&lt;"&amp;DATE(年度,3+1,1)))</f>
        <v>0</v>
      </c>
      <c r="G6" s="186">
        <f>IF($B6="","",-SUMIFS(资金台帐!$S$7:$S$3006,资金台帐!$P$7:$P$3006,"费用",资金台帐!$L$7:$L$3006,$B6,资金台帐!$B$7:$B$3006,"&gt;="&amp;DATE(年度,4,1),资金台帐!$B$7:$B$3006,"&lt;"&amp;DATE(年度,4+1,1)))</f>
        <v>0</v>
      </c>
      <c r="H6" s="186">
        <f>IF($B6="","",-SUMIFS(资金台帐!$S$7:$S$3006,资金台帐!$P$7:$P$3006,"费用",资金台帐!$L$7:$L$3006,$B6,资金台帐!$B$7:$B$3006,"&gt;="&amp;DATE(年度,5,1),资金台帐!$B$7:$B$3006,"&lt;"&amp;DATE(年度,5+1,1)))</f>
        <v>0</v>
      </c>
      <c r="I6" s="186">
        <f>IF($B6="","",-SUMIFS(资金台帐!$S$7:$S$3006,资金台帐!$P$7:$P$3006,"费用",资金台帐!$L$7:$L$3006,$B6,资金台帐!$B$7:$B$3006,"&gt;="&amp;DATE(年度,6,1),资金台帐!$B$7:$B$3006,"&lt;"&amp;DATE(年度,6+1,1)))</f>
        <v>0</v>
      </c>
      <c r="J6" s="186">
        <f>IF($B6="","",-SUMIFS(资金台帐!$S$7:$S$3006,资金台帐!$P$7:$P$3006,"费用",资金台帐!$L$7:$L$3006,$B6,资金台帐!$B$7:$B$3006,"&gt;="&amp;DATE(年度,7,1),资金台帐!$B$7:$B$3006,"&lt;"&amp;DATE(年度,7+1,1)))</f>
        <v>0</v>
      </c>
      <c r="K6" s="186">
        <f>IF($B6="","",-SUMIFS(资金台帐!$S$7:$S$3006,资金台帐!$P$7:$P$3006,"费用",资金台帐!$L$7:$L$3006,$B6,资金台帐!$B$7:$B$3006,"&gt;="&amp;DATE(年度,8,1),资金台帐!$B$7:$B$3006,"&lt;"&amp;DATE(年度,8+1,1)))</f>
        <v>0</v>
      </c>
      <c r="L6" s="186">
        <f>IF($B6="","",-SUMIFS(资金台帐!$S$7:$S$3006,资金台帐!$P$7:$P$3006,"费用",资金台帐!$L$7:$L$3006,$B6,资金台帐!$B$7:$B$3006,"&gt;="&amp;DATE(年度,9,1),资金台帐!$B$7:$B$3006,"&lt;"&amp;DATE(年度,9+1,1)))</f>
        <v>0</v>
      </c>
      <c r="M6" s="186">
        <f>IF($B6="","",-SUMIFS(资金台帐!$S$7:$S$3006,资金台帐!$P$7:$P$3006,"费用",资金台帐!$L$7:$L$3006,$B6,资金台帐!$B$7:$B$3006,"&gt;="&amp;DATE(年度,10,1),资金台帐!$B$7:$B$3006,"&lt;"&amp;DATE(年度,10+1,1)))</f>
        <v>0</v>
      </c>
      <c r="N6" s="186">
        <f>IF($B6="","",-SUMIFS(资金台帐!$S$7:$S$3006,资金台帐!$P$7:$P$3006,"费用",资金台帐!$L$7:$L$3006,$B6,资金台帐!$B$7:$B$3006,"&gt;="&amp;DATE(年度,11,1),资金台帐!$B$7:$B$3006,"&lt;"&amp;DATE(年度,11+1,1)))</f>
        <v>0</v>
      </c>
      <c r="O6" s="186">
        <f>IF($B6="","",-SUMIFS(资金台帐!$S$7:$S$3006,资金台帐!$P$7:$P$3006,"费用",资金台帐!$L$7:$L$3006,$B6,资金台帐!$B$7:$B$3006,"&gt;="&amp;DATE(年度,12,1),资金台帐!$B$7:$B$3006,"&lt;"&amp;DATE(年度,12+1,1)))</f>
        <v>0</v>
      </c>
      <c r="P6" s="187">
        <f>IF(B6="","",SUM(D6:O6))</f>
        <v>0</v>
      </c>
      <c r="Q6" s="265">
        <f>IF(OR(B6="",N($P$56)=0),"",P6/$P$56)</f>
      </c>
    </row>
    <row r="7">
      <c r="A7" s="194">
        <f>IF(B7="","",ROW()-4)</f>
        <v>3</v>
      </c>
      <c r="B7" s="141" t="str">
        <f>IF(基础资料!AI7="","",基础资料!AI7&amp;"")</f>
        <v>运费油费</v>
      </c>
      <c r="C7" s="141" t="str">
        <f>IF(B7="","",基础资料!AJ7&amp;"")</f>
        <v>销售费用</v>
      </c>
      <c r="D7" s="186">
        <f>IF($B7="","",-SUMIFS(资金台帐!$S$7:$S$3006,资金台帐!$P$7:$P$3006,"费用",资金台帐!$L$7:$L$3006,$B7,资金台帐!$B$7:$B$3006,"&gt;="&amp;DATE(年度,1,1),资金台帐!$B$7:$B$3006,"&lt;"&amp;DATE(年度,1+1,1)))</f>
        <v>0</v>
      </c>
      <c r="E7" s="186">
        <f>IF($B7="","",-SUMIFS(资金台帐!$S$7:$S$3006,资金台帐!$P$7:$P$3006,"费用",资金台帐!$L$7:$L$3006,$B7,资金台帐!$B$7:$B$3006,"&gt;="&amp;DATE(年度,2,1),资金台帐!$B$7:$B$3006,"&lt;"&amp;DATE(年度,2+1,1)))</f>
        <v>0</v>
      </c>
      <c r="F7" s="186">
        <f>IF($B7="","",-SUMIFS(资金台帐!$S$7:$S$3006,资金台帐!$P$7:$P$3006,"费用",资金台帐!$L$7:$L$3006,$B7,资金台帐!$B$7:$B$3006,"&gt;="&amp;DATE(年度,3,1),资金台帐!$B$7:$B$3006,"&lt;"&amp;DATE(年度,3+1,1)))</f>
        <v>0</v>
      </c>
      <c r="G7" s="186">
        <f>IF($B7="","",-SUMIFS(资金台帐!$S$7:$S$3006,资金台帐!$P$7:$P$3006,"费用",资金台帐!$L$7:$L$3006,$B7,资金台帐!$B$7:$B$3006,"&gt;="&amp;DATE(年度,4,1),资金台帐!$B$7:$B$3006,"&lt;"&amp;DATE(年度,4+1,1)))</f>
        <v>0</v>
      </c>
      <c r="H7" s="186">
        <f>IF($B7="","",-SUMIFS(资金台帐!$S$7:$S$3006,资金台帐!$P$7:$P$3006,"费用",资金台帐!$L$7:$L$3006,$B7,资金台帐!$B$7:$B$3006,"&gt;="&amp;DATE(年度,5,1),资金台帐!$B$7:$B$3006,"&lt;"&amp;DATE(年度,5+1,1)))</f>
        <v>0</v>
      </c>
      <c r="I7" s="186">
        <f>IF($B7="","",-SUMIFS(资金台帐!$S$7:$S$3006,资金台帐!$P$7:$P$3006,"费用",资金台帐!$L$7:$L$3006,$B7,资金台帐!$B$7:$B$3006,"&gt;="&amp;DATE(年度,6,1),资金台帐!$B$7:$B$3006,"&lt;"&amp;DATE(年度,6+1,1)))</f>
        <v>0</v>
      </c>
      <c r="J7" s="186">
        <f>IF($B7="","",-SUMIFS(资金台帐!$S$7:$S$3006,资金台帐!$P$7:$P$3006,"费用",资金台帐!$L$7:$L$3006,$B7,资金台帐!$B$7:$B$3006,"&gt;="&amp;DATE(年度,7,1),资金台帐!$B$7:$B$3006,"&lt;"&amp;DATE(年度,7+1,1)))</f>
        <v>0</v>
      </c>
      <c r="K7" s="186">
        <f>IF($B7="","",-SUMIFS(资金台帐!$S$7:$S$3006,资金台帐!$P$7:$P$3006,"费用",资金台帐!$L$7:$L$3006,$B7,资金台帐!$B$7:$B$3006,"&gt;="&amp;DATE(年度,8,1),资金台帐!$B$7:$B$3006,"&lt;"&amp;DATE(年度,8+1,1)))</f>
        <v>0</v>
      </c>
      <c r="L7" s="186">
        <f>IF($B7="","",-SUMIFS(资金台帐!$S$7:$S$3006,资金台帐!$P$7:$P$3006,"费用",资金台帐!$L$7:$L$3006,$B7,资金台帐!$B$7:$B$3006,"&gt;="&amp;DATE(年度,9,1),资金台帐!$B$7:$B$3006,"&lt;"&amp;DATE(年度,9+1,1)))</f>
        <v>0</v>
      </c>
      <c r="M7" s="186">
        <f>IF($B7="","",-SUMIFS(资金台帐!$S$7:$S$3006,资金台帐!$P$7:$P$3006,"费用",资金台帐!$L$7:$L$3006,$B7,资金台帐!$B$7:$B$3006,"&gt;="&amp;DATE(年度,10,1),资金台帐!$B$7:$B$3006,"&lt;"&amp;DATE(年度,10+1,1)))</f>
        <v>0</v>
      </c>
      <c r="N7" s="186">
        <f>IF($B7="","",-SUMIFS(资金台帐!$S$7:$S$3006,资金台帐!$P$7:$P$3006,"费用",资金台帐!$L$7:$L$3006,$B7,资金台帐!$B$7:$B$3006,"&gt;="&amp;DATE(年度,11,1),资金台帐!$B$7:$B$3006,"&lt;"&amp;DATE(年度,11+1,1)))</f>
        <v>0</v>
      </c>
      <c r="O7" s="186">
        <f>IF($B7="","",-SUMIFS(资金台帐!$S$7:$S$3006,资金台帐!$P$7:$P$3006,"费用",资金台帐!$L$7:$L$3006,$B7,资金台帐!$B$7:$B$3006,"&gt;="&amp;DATE(年度,12,1),资金台帐!$B$7:$B$3006,"&lt;"&amp;DATE(年度,12+1,1)))</f>
        <v>0</v>
      </c>
      <c r="P7" s="187">
        <f>IF(B7="","",SUM(D7:O7))</f>
        <v>0</v>
      </c>
      <c r="Q7" s="265">
        <f>IF(OR(B7="",N($P$56)=0),"",P7/$P$56)</f>
      </c>
    </row>
    <row r="8">
      <c r="A8" s="194">
        <f>IF(B8="","",ROW()-4)</f>
        <v>4</v>
      </c>
      <c r="B8" s="141" t="str">
        <f>IF(基础资料!AI8="","",基础资料!AI8&amp;"")</f>
        <v>车辆费用</v>
      </c>
      <c r="C8" s="141" t="str">
        <f>IF(B8="","",基础资料!AJ8&amp;"")</f>
        <v>销售费用</v>
      </c>
      <c r="D8" s="186">
        <f>IF($B8="","",-SUMIFS(资金台帐!$S$7:$S$3006,资金台帐!$P$7:$P$3006,"费用",资金台帐!$L$7:$L$3006,$B8,资金台帐!$B$7:$B$3006,"&gt;="&amp;DATE(年度,1,1),资金台帐!$B$7:$B$3006,"&lt;"&amp;DATE(年度,1+1,1)))</f>
        <v>0</v>
      </c>
      <c r="E8" s="186">
        <f>IF($B8="","",-SUMIFS(资金台帐!$S$7:$S$3006,资金台帐!$P$7:$P$3006,"费用",资金台帐!$L$7:$L$3006,$B8,资金台帐!$B$7:$B$3006,"&gt;="&amp;DATE(年度,2,1),资金台帐!$B$7:$B$3006,"&lt;"&amp;DATE(年度,2+1,1)))</f>
        <v>0</v>
      </c>
      <c r="F8" s="186">
        <f>IF($B8="","",-SUMIFS(资金台帐!$S$7:$S$3006,资金台帐!$P$7:$P$3006,"费用",资金台帐!$L$7:$L$3006,$B8,资金台帐!$B$7:$B$3006,"&gt;="&amp;DATE(年度,3,1),资金台帐!$B$7:$B$3006,"&lt;"&amp;DATE(年度,3+1,1)))</f>
        <v>0</v>
      </c>
      <c r="G8" s="186">
        <f>IF($B8="","",-SUMIFS(资金台帐!$S$7:$S$3006,资金台帐!$P$7:$P$3006,"费用",资金台帐!$L$7:$L$3006,$B8,资金台帐!$B$7:$B$3006,"&gt;="&amp;DATE(年度,4,1),资金台帐!$B$7:$B$3006,"&lt;"&amp;DATE(年度,4+1,1)))</f>
        <v>0</v>
      </c>
      <c r="H8" s="186">
        <f>IF($B8="","",-SUMIFS(资金台帐!$S$7:$S$3006,资金台帐!$P$7:$P$3006,"费用",资金台帐!$L$7:$L$3006,$B8,资金台帐!$B$7:$B$3006,"&gt;="&amp;DATE(年度,5,1),资金台帐!$B$7:$B$3006,"&lt;"&amp;DATE(年度,5+1,1)))</f>
        <v>0</v>
      </c>
      <c r="I8" s="186">
        <f>IF($B8="","",-SUMIFS(资金台帐!$S$7:$S$3006,资金台帐!$P$7:$P$3006,"费用",资金台帐!$L$7:$L$3006,$B8,资金台帐!$B$7:$B$3006,"&gt;="&amp;DATE(年度,6,1),资金台帐!$B$7:$B$3006,"&lt;"&amp;DATE(年度,6+1,1)))</f>
        <v>0</v>
      </c>
      <c r="J8" s="186">
        <f>IF($B8="","",-SUMIFS(资金台帐!$S$7:$S$3006,资金台帐!$P$7:$P$3006,"费用",资金台帐!$L$7:$L$3006,$B8,资金台帐!$B$7:$B$3006,"&gt;="&amp;DATE(年度,7,1),资金台帐!$B$7:$B$3006,"&lt;"&amp;DATE(年度,7+1,1)))</f>
        <v>0</v>
      </c>
      <c r="K8" s="186">
        <f>IF($B8="","",-SUMIFS(资金台帐!$S$7:$S$3006,资金台帐!$P$7:$P$3006,"费用",资金台帐!$L$7:$L$3006,$B8,资金台帐!$B$7:$B$3006,"&gt;="&amp;DATE(年度,8,1),资金台帐!$B$7:$B$3006,"&lt;"&amp;DATE(年度,8+1,1)))</f>
        <v>0</v>
      </c>
      <c r="L8" s="186">
        <f>IF($B8="","",-SUMIFS(资金台帐!$S$7:$S$3006,资金台帐!$P$7:$P$3006,"费用",资金台帐!$L$7:$L$3006,$B8,资金台帐!$B$7:$B$3006,"&gt;="&amp;DATE(年度,9,1),资金台帐!$B$7:$B$3006,"&lt;"&amp;DATE(年度,9+1,1)))</f>
        <v>0</v>
      </c>
      <c r="M8" s="186">
        <f>IF($B8="","",-SUMIFS(资金台帐!$S$7:$S$3006,资金台帐!$P$7:$P$3006,"费用",资金台帐!$L$7:$L$3006,$B8,资金台帐!$B$7:$B$3006,"&gt;="&amp;DATE(年度,10,1),资金台帐!$B$7:$B$3006,"&lt;"&amp;DATE(年度,10+1,1)))</f>
        <v>0</v>
      </c>
      <c r="N8" s="186">
        <f>IF($B8="","",-SUMIFS(资金台帐!$S$7:$S$3006,资金台帐!$P$7:$P$3006,"费用",资金台帐!$L$7:$L$3006,$B8,资金台帐!$B$7:$B$3006,"&gt;="&amp;DATE(年度,11,1),资金台帐!$B$7:$B$3006,"&lt;"&amp;DATE(年度,11+1,1)))</f>
        <v>0</v>
      </c>
      <c r="O8" s="186">
        <f>IF($B8="","",-SUMIFS(资金台帐!$S$7:$S$3006,资金台帐!$P$7:$P$3006,"费用",资金台帐!$L$7:$L$3006,$B8,资金台帐!$B$7:$B$3006,"&gt;="&amp;DATE(年度,12,1),资金台帐!$B$7:$B$3006,"&lt;"&amp;DATE(年度,12+1,1)))</f>
        <v>0</v>
      </c>
      <c r="P8" s="187">
        <f>IF(B8="","",SUM(D8:O8))</f>
        <v>0</v>
      </c>
      <c r="Q8" s="265">
        <f>IF(OR(B8="",N($P$56)=0),"",P8/$P$56)</f>
      </c>
    </row>
    <row r="9">
      <c r="A9" s="194">
        <f>IF(B9="","",ROW()-4)</f>
        <v>5</v>
      </c>
      <c r="B9" s="141" t="str">
        <f>IF(基础资料!AI9="","",基础资料!AI9&amp;"")</f>
        <v>装卸费</v>
      </c>
      <c r="C9" s="141" t="str">
        <f>IF(B9="","",基础资料!AJ9&amp;"")</f>
        <v>销售费用</v>
      </c>
      <c r="D9" s="186">
        <f>IF($B9="","",-SUMIFS(资金台帐!$S$7:$S$3006,资金台帐!$P$7:$P$3006,"费用",资金台帐!$L$7:$L$3006,$B9,资金台帐!$B$7:$B$3006,"&gt;="&amp;DATE(年度,1,1),资金台帐!$B$7:$B$3006,"&lt;"&amp;DATE(年度,1+1,1)))</f>
        <v>0</v>
      </c>
      <c r="E9" s="186">
        <f>IF($B9="","",-SUMIFS(资金台帐!$S$7:$S$3006,资金台帐!$P$7:$P$3006,"费用",资金台帐!$L$7:$L$3006,$B9,资金台帐!$B$7:$B$3006,"&gt;="&amp;DATE(年度,2,1),资金台帐!$B$7:$B$3006,"&lt;"&amp;DATE(年度,2+1,1)))</f>
        <v>0</v>
      </c>
      <c r="F9" s="186">
        <f>IF($B9="","",-SUMIFS(资金台帐!$S$7:$S$3006,资金台帐!$P$7:$P$3006,"费用",资金台帐!$L$7:$L$3006,$B9,资金台帐!$B$7:$B$3006,"&gt;="&amp;DATE(年度,3,1),资金台帐!$B$7:$B$3006,"&lt;"&amp;DATE(年度,3+1,1)))</f>
        <v>0</v>
      </c>
      <c r="G9" s="186">
        <f>IF($B9="","",-SUMIFS(资金台帐!$S$7:$S$3006,资金台帐!$P$7:$P$3006,"费用",资金台帐!$L$7:$L$3006,$B9,资金台帐!$B$7:$B$3006,"&gt;="&amp;DATE(年度,4,1),资金台帐!$B$7:$B$3006,"&lt;"&amp;DATE(年度,4+1,1)))</f>
        <v>0</v>
      </c>
      <c r="H9" s="186">
        <f>IF($B9="","",-SUMIFS(资金台帐!$S$7:$S$3006,资金台帐!$P$7:$P$3006,"费用",资金台帐!$L$7:$L$3006,$B9,资金台帐!$B$7:$B$3006,"&gt;="&amp;DATE(年度,5,1),资金台帐!$B$7:$B$3006,"&lt;"&amp;DATE(年度,5+1,1)))</f>
        <v>0</v>
      </c>
      <c r="I9" s="186">
        <f>IF($B9="","",-SUMIFS(资金台帐!$S$7:$S$3006,资金台帐!$P$7:$P$3006,"费用",资金台帐!$L$7:$L$3006,$B9,资金台帐!$B$7:$B$3006,"&gt;="&amp;DATE(年度,6,1),资金台帐!$B$7:$B$3006,"&lt;"&amp;DATE(年度,6+1,1)))</f>
        <v>0</v>
      </c>
      <c r="J9" s="186">
        <f>IF($B9="","",-SUMIFS(资金台帐!$S$7:$S$3006,资金台帐!$P$7:$P$3006,"费用",资金台帐!$L$7:$L$3006,$B9,资金台帐!$B$7:$B$3006,"&gt;="&amp;DATE(年度,7,1),资金台帐!$B$7:$B$3006,"&lt;"&amp;DATE(年度,7+1,1)))</f>
        <v>0</v>
      </c>
      <c r="K9" s="186">
        <f>IF($B9="","",-SUMIFS(资金台帐!$S$7:$S$3006,资金台帐!$P$7:$P$3006,"费用",资金台帐!$L$7:$L$3006,$B9,资金台帐!$B$7:$B$3006,"&gt;="&amp;DATE(年度,8,1),资金台帐!$B$7:$B$3006,"&lt;"&amp;DATE(年度,8+1,1)))</f>
        <v>0</v>
      </c>
      <c r="L9" s="186">
        <f>IF($B9="","",-SUMIFS(资金台帐!$S$7:$S$3006,资金台帐!$P$7:$P$3006,"费用",资金台帐!$L$7:$L$3006,$B9,资金台帐!$B$7:$B$3006,"&gt;="&amp;DATE(年度,9,1),资金台帐!$B$7:$B$3006,"&lt;"&amp;DATE(年度,9+1,1)))</f>
        <v>0</v>
      </c>
      <c r="M9" s="186">
        <f>IF($B9="","",-SUMIFS(资金台帐!$S$7:$S$3006,资金台帐!$P$7:$P$3006,"费用",资金台帐!$L$7:$L$3006,$B9,资金台帐!$B$7:$B$3006,"&gt;="&amp;DATE(年度,10,1),资金台帐!$B$7:$B$3006,"&lt;"&amp;DATE(年度,10+1,1)))</f>
        <v>0</v>
      </c>
      <c r="N9" s="186">
        <f>IF($B9="","",-SUMIFS(资金台帐!$S$7:$S$3006,资金台帐!$P$7:$P$3006,"费用",资金台帐!$L$7:$L$3006,$B9,资金台帐!$B$7:$B$3006,"&gt;="&amp;DATE(年度,11,1),资金台帐!$B$7:$B$3006,"&lt;"&amp;DATE(年度,11+1,1)))</f>
        <v>0</v>
      </c>
      <c r="O9" s="186">
        <f>IF($B9="","",-SUMIFS(资金台帐!$S$7:$S$3006,资金台帐!$P$7:$P$3006,"费用",资金台帐!$L$7:$L$3006,$B9,资金台帐!$B$7:$B$3006,"&gt;="&amp;DATE(年度,12,1),资金台帐!$B$7:$B$3006,"&lt;"&amp;DATE(年度,12+1,1)))</f>
        <v>0</v>
      </c>
      <c r="P9" s="187">
        <f>IF(B9="","",SUM(D9:O9))</f>
        <v>0</v>
      </c>
      <c r="Q9" s="265">
        <f>IF(OR(B9="",N($P$56)=0),"",P9/$P$56)</f>
      </c>
    </row>
    <row r="10">
      <c r="A10" s="194">
        <f>IF(B10="","",ROW()-4)</f>
        <v>6</v>
      </c>
      <c r="B10" s="141" t="str">
        <f>IF(基础资料!AI10="","",基础资料!AI10&amp;"")</f>
        <v>促销陈列费</v>
      </c>
      <c r="C10" s="141" t="str">
        <f>IF(B10="","",基础资料!AJ10&amp;"")</f>
        <v>销售费用</v>
      </c>
      <c r="D10" s="186">
        <f>IF($B10="","",-SUMIFS(资金台帐!$S$7:$S$3006,资金台帐!$P$7:$P$3006,"费用",资金台帐!$L$7:$L$3006,$B10,资金台帐!$B$7:$B$3006,"&gt;="&amp;DATE(年度,1,1),资金台帐!$B$7:$B$3006,"&lt;"&amp;DATE(年度,1+1,1)))</f>
        <v>0</v>
      </c>
      <c r="E10" s="186">
        <f>IF($B10="","",-SUMIFS(资金台帐!$S$7:$S$3006,资金台帐!$P$7:$P$3006,"费用",资金台帐!$L$7:$L$3006,$B10,资金台帐!$B$7:$B$3006,"&gt;="&amp;DATE(年度,2,1),资金台帐!$B$7:$B$3006,"&lt;"&amp;DATE(年度,2+1,1)))</f>
        <v>0</v>
      </c>
      <c r="F10" s="186">
        <f>IF($B10="","",-SUMIFS(资金台帐!$S$7:$S$3006,资金台帐!$P$7:$P$3006,"费用",资金台帐!$L$7:$L$3006,$B10,资金台帐!$B$7:$B$3006,"&gt;="&amp;DATE(年度,3,1),资金台帐!$B$7:$B$3006,"&lt;"&amp;DATE(年度,3+1,1)))</f>
        <v>0</v>
      </c>
      <c r="G10" s="186">
        <f>IF($B10="","",-SUMIFS(资金台帐!$S$7:$S$3006,资金台帐!$P$7:$P$3006,"费用",资金台帐!$L$7:$L$3006,$B10,资金台帐!$B$7:$B$3006,"&gt;="&amp;DATE(年度,4,1),资金台帐!$B$7:$B$3006,"&lt;"&amp;DATE(年度,4+1,1)))</f>
        <v>0</v>
      </c>
      <c r="H10" s="186">
        <f>IF($B10="","",-SUMIFS(资金台帐!$S$7:$S$3006,资金台帐!$P$7:$P$3006,"费用",资金台帐!$L$7:$L$3006,$B10,资金台帐!$B$7:$B$3006,"&gt;="&amp;DATE(年度,5,1),资金台帐!$B$7:$B$3006,"&lt;"&amp;DATE(年度,5+1,1)))</f>
        <v>0</v>
      </c>
      <c r="I10" s="186">
        <f>IF($B10="","",-SUMIFS(资金台帐!$S$7:$S$3006,资金台帐!$P$7:$P$3006,"费用",资金台帐!$L$7:$L$3006,$B10,资金台帐!$B$7:$B$3006,"&gt;="&amp;DATE(年度,6,1),资金台帐!$B$7:$B$3006,"&lt;"&amp;DATE(年度,6+1,1)))</f>
        <v>0</v>
      </c>
      <c r="J10" s="186">
        <f>IF($B10="","",-SUMIFS(资金台帐!$S$7:$S$3006,资金台帐!$P$7:$P$3006,"费用",资金台帐!$L$7:$L$3006,$B10,资金台帐!$B$7:$B$3006,"&gt;="&amp;DATE(年度,7,1),资金台帐!$B$7:$B$3006,"&lt;"&amp;DATE(年度,7+1,1)))</f>
        <v>0</v>
      </c>
      <c r="K10" s="186">
        <f>IF($B10="","",-SUMIFS(资金台帐!$S$7:$S$3006,资金台帐!$P$7:$P$3006,"费用",资金台帐!$L$7:$L$3006,$B10,资金台帐!$B$7:$B$3006,"&gt;="&amp;DATE(年度,8,1),资金台帐!$B$7:$B$3006,"&lt;"&amp;DATE(年度,8+1,1)))</f>
        <v>0</v>
      </c>
      <c r="L10" s="186">
        <f>IF($B10="","",-SUMIFS(资金台帐!$S$7:$S$3006,资金台帐!$P$7:$P$3006,"费用",资金台帐!$L$7:$L$3006,$B10,资金台帐!$B$7:$B$3006,"&gt;="&amp;DATE(年度,9,1),资金台帐!$B$7:$B$3006,"&lt;"&amp;DATE(年度,9+1,1)))</f>
        <v>0</v>
      </c>
      <c r="M10" s="186">
        <f>IF($B10="","",-SUMIFS(资金台帐!$S$7:$S$3006,资金台帐!$P$7:$P$3006,"费用",资金台帐!$L$7:$L$3006,$B10,资金台帐!$B$7:$B$3006,"&gt;="&amp;DATE(年度,10,1),资金台帐!$B$7:$B$3006,"&lt;"&amp;DATE(年度,10+1,1)))</f>
        <v>0</v>
      </c>
      <c r="N10" s="186">
        <f>IF($B10="","",-SUMIFS(资金台帐!$S$7:$S$3006,资金台帐!$P$7:$P$3006,"费用",资金台帐!$L$7:$L$3006,$B10,资金台帐!$B$7:$B$3006,"&gt;="&amp;DATE(年度,11,1),资金台帐!$B$7:$B$3006,"&lt;"&amp;DATE(年度,11+1,1)))</f>
        <v>0</v>
      </c>
      <c r="O10" s="186">
        <f>IF($B10="","",-SUMIFS(资金台帐!$S$7:$S$3006,资金台帐!$P$7:$P$3006,"费用",资金台帐!$L$7:$L$3006,$B10,资金台帐!$B$7:$B$3006,"&gt;="&amp;DATE(年度,12,1),资金台帐!$B$7:$B$3006,"&lt;"&amp;DATE(年度,12+1,1)))</f>
        <v>0</v>
      </c>
      <c r="P10" s="187">
        <f>IF(B10="","",SUM(D10:O10))</f>
        <v>0</v>
      </c>
      <c r="Q10" s="265">
        <f>IF(OR(B10="",N($P$56)=0),"",P10/$P$56)</f>
      </c>
    </row>
    <row r="11">
      <c r="A11" s="194">
        <f>IF(B11="","",ROW()-4)</f>
        <v>7</v>
      </c>
      <c r="B11" s="141" t="str">
        <f>IF(基础资料!AI11="","",基础资料!AI11&amp;"")</f>
        <v>业务招待费</v>
      </c>
      <c r="C11" s="141" t="str">
        <f>IF(B11="","",基础资料!AJ11&amp;"")</f>
        <v>管理费用</v>
      </c>
      <c r="D11" s="186">
        <f>IF($B11="","",-SUMIFS(资金台帐!$S$7:$S$3006,资金台帐!$P$7:$P$3006,"费用",资金台帐!$L$7:$L$3006,$B11,资金台帐!$B$7:$B$3006,"&gt;="&amp;DATE(年度,1,1),资金台帐!$B$7:$B$3006,"&lt;"&amp;DATE(年度,1+1,1)))</f>
        <v>0</v>
      </c>
      <c r="E11" s="186">
        <f>IF($B11="","",-SUMIFS(资金台帐!$S$7:$S$3006,资金台帐!$P$7:$P$3006,"费用",资金台帐!$L$7:$L$3006,$B11,资金台帐!$B$7:$B$3006,"&gt;="&amp;DATE(年度,2,1),资金台帐!$B$7:$B$3006,"&lt;"&amp;DATE(年度,2+1,1)))</f>
        <v>0</v>
      </c>
      <c r="F11" s="186">
        <f>IF($B11="","",-SUMIFS(资金台帐!$S$7:$S$3006,资金台帐!$P$7:$P$3006,"费用",资金台帐!$L$7:$L$3006,$B11,资金台帐!$B$7:$B$3006,"&gt;="&amp;DATE(年度,3,1),资金台帐!$B$7:$B$3006,"&lt;"&amp;DATE(年度,3+1,1)))</f>
        <v>0</v>
      </c>
      <c r="G11" s="186">
        <f>IF($B11="","",-SUMIFS(资金台帐!$S$7:$S$3006,资金台帐!$P$7:$P$3006,"费用",资金台帐!$L$7:$L$3006,$B11,资金台帐!$B$7:$B$3006,"&gt;="&amp;DATE(年度,4,1),资金台帐!$B$7:$B$3006,"&lt;"&amp;DATE(年度,4+1,1)))</f>
        <v>0</v>
      </c>
      <c r="H11" s="186">
        <f>IF($B11="","",-SUMIFS(资金台帐!$S$7:$S$3006,资金台帐!$P$7:$P$3006,"费用",资金台帐!$L$7:$L$3006,$B11,资金台帐!$B$7:$B$3006,"&gt;="&amp;DATE(年度,5,1),资金台帐!$B$7:$B$3006,"&lt;"&amp;DATE(年度,5+1,1)))</f>
        <v>0</v>
      </c>
      <c r="I11" s="186">
        <f>IF($B11="","",-SUMIFS(资金台帐!$S$7:$S$3006,资金台帐!$P$7:$P$3006,"费用",资金台帐!$L$7:$L$3006,$B11,资金台帐!$B$7:$B$3006,"&gt;="&amp;DATE(年度,6,1),资金台帐!$B$7:$B$3006,"&lt;"&amp;DATE(年度,6+1,1)))</f>
        <v>0</v>
      </c>
      <c r="J11" s="186">
        <f>IF($B11="","",-SUMIFS(资金台帐!$S$7:$S$3006,资金台帐!$P$7:$P$3006,"费用",资金台帐!$L$7:$L$3006,$B11,资金台帐!$B$7:$B$3006,"&gt;="&amp;DATE(年度,7,1),资金台帐!$B$7:$B$3006,"&lt;"&amp;DATE(年度,7+1,1)))</f>
        <v>0</v>
      </c>
      <c r="K11" s="186">
        <f>IF($B11="","",-SUMIFS(资金台帐!$S$7:$S$3006,资金台帐!$P$7:$P$3006,"费用",资金台帐!$L$7:$L$3006,$B11,资金台帐!$B$7:$B$3006,"&gt;="&amp;DATE(年度,8,1),资金台帐!$B$7:$B$3006,"&lt;"&amp;DATE(年度,8+1,1)))</f>
        <v>0</v>
      </c>
      <c r="L11" s="186">
        <f>IF($B11="","",-SUMIFS(资金台帐!$S$7:$S$3006,资金台帐!$P$7:$P$3006,"费用",资金台帐!$L$7:$L$3006,$B11,资金台帐!$B$7:$B$3006,"&gt;="&amp;DATE(年度,9,1),资金台帐!$B$7:$B$3006,"&lt;"&amp;DATE(年度,9+1,1)))</f>
        <v>0</v>
      </c>
      <c r="M11" s="186">
        <f>IF($B11="","",-SUMIFS(资金台帐!$S$7:$S$3006,资金台帐!$P$7:$P$3006,"费用",资金台帐!$L$7:$L$3006,$B11,资金台帐!$B$7:$B$3006,"&gt;="&amp;DATE(年度,10,1),资金台帐!$B$7:$B$3006,"&lt;"&amp;DATE(年度,10+1,1)))</f>
        <v>0</v>
      </c>
      <c r="N11" s="186">
        <f>IF($B11="","",-SUMIFS(资金台帐!$S$7:$S$3006,资金台帐!$P$7:$P$3006,"费用",资金台帐!$L$7:$L$3006,$B11,资金台帐!$B$7:$B$3006,"&gt;="&amp;DATE(年度,11,1),资金台帐!$B$7:$B$3006,"&lt;"&amp;DATE(年度,11+1,1)))</f>
        <v>0</v>
      </c>
      <c r="O11" s="186">
        <f>IF($B11="","",-SUMIFS(资金台帐!$S$7:$S$3006,资金台帐!$P$7:$P$3006,"费用",资金台帐!$L$7:$L$3006,$B11,资金台帐!$B$7:$B$3006,"&gt;="&amp;DATE(年度,12,1),资金台帐!$B$7:$B$3006,"&lt;"&amp;DATE(年度,12+1,1)))</f>
        <v>0</v>
      </c>
      <c r="P11" s="187">
        <f>IF(B11="","",SUM(D11:O11))</f>
        <v>0</v>
      </c>
      <c r="Q11" s="265">
        <f>IF(OR(B11="",N($P$56)=0),"",P11/$P$56)</f>
      </c>
    </row>
    <row r="12">
      <c r="A12" s="194">
        <f>IF(B12="","",ROW()-4)</f>
        <v>8</v>
      </c>
      <c r="B12" s="141" t="str">
        <f>IF(基础资料!AI12="","",基础资料!AI12&amp;"")</f>
        <v>管理人员工资</v>
      </c>
      <c r="C12" s="141" t="str">
        <f>IF(B12="","",基础资料!AJ12&amp;"")</f>
        <v>管理费用</v>
      </c>
      <c r="D12" s="186">
        <f>IF($B12="","",-SUMIFS(资金台帐!$S$7:$S$3006,资金台帐!$P$7:$P$3006,"费用",资金台帐!$L$7:$L$3006,$B12,资金台帐!$B$7:$B$3006,"&gt;="&amp;DATE(年度,1,1),资金台帐!$B$7:$B$3006,"&lt;"&amp;DATE(年度,1+1,1)))</f>
        <v>0</v>
      </c>
      <c r="E12" s="186">
        <f>IF($B12="","",-SUMIFS(资金台帐!$S$7:$S$3006,资金台帐!$P$7:$P$3006,"费用",资金台帐!$L$7:$L$3006,$B12,资金台帐!$B$7:$B$3006,"&gt;="&amp;DATE(年度,2,1),资金台帐!$B$7:$B$3006,"&lt;"&amp;DATE(年度,2+1,1)))</f>
        <v>0</v>
      </c>
      <c r="F12" s="186">
        <f>IF($B12="","",-SUMIFS(资金台帐!$S$7:$S$3006,资金台帐!$P$7:$P$3006,"费用",资金台帐!$L$7:$L$3006,$B12,资金台帐!$B$7:$B$3006,"&gt;="&amp;DATE(年度,3,1),资金台帐!$B$7:$B$3006,"&lt;"&amp;DATE(年度,3+1,1)))</f>
        <v>0</v>
      </c>
      <c r="G12" s="186">
        <f>IF($B12="","",-SUMIFS(资金台帐!$S$7:$S$3006,资金台帐!$P$7:$P$3006,"费用",资金台帐!$L$7:$L$3006,$B12,资金台帐!$B$7:$B$3006,"&gt;="&amp;DATE(年度,4,1),资金台帐!$B$7:$B$3006,"&lt;"&amp;DATE(年度,4+1,1)))</f>
        <v>0</v>
      </c>
      <c r="H12" s="186">
        <f>IF($B12="","",-SUMIFS(资金台帐!$S$7:$S$3006,资金台帐!$P$7:$P$3006,"费用",资金台帐!$L$7:$L$3006,$B12,资金台帐!$B$7:$B$3006,"&gt;="&amp;DATE(年度,5,1),资金台帐!$B$7:$B$3006,"&lt;"&amp;DATE(年度,5+1,1)))</f>
        <v>0</v>
      </c>
      <c r="I12" s="186">
        <f>IF($B12="","",-SUMIFS(资金台帐!$S$7:$S$3006,资金台帐!$P$7:$P$3006,"费用",资金台帐!$L$7:$L$3006,$B12,资金台帐!$B$7:$B$3006,"&gt;="&amp;DATE(年度,6,1),资金台帐!$B$7:$B$3006,"&lt;"&amp;DATE(年度,6+1,1)))</f>
        <v>0</v>
      </c>
      <c r="J12" s="186">
        <f>IF($B12="","",-SUMIFS(资金台帐!$S$7:$S$3006,资金台帐!$P$7:$P$3006,"费用",资金台帐!$L$7:$L$3006,$B12,资金台帐!$B$7:$B$3006,"&gt;="&amp;DATE(年度,7,1),资金台帐!$B$7:$B$3006,"&lt;"&amp;DATE(年度,7+1,1)))</f>
        <v>0</v>
      </c>
      <c r="K12" s="186">
        <f>IF($B12="","",-SUMIFS(资金台帐!$S$7:$S$3006,资金台帐!$P$7:$P$3006,"费用",资金台帐!$L$7:$L$3006,$B12,资金台帐!$B$7:$B$3006,"&gt;="&amp;DATE(年度,8,1),资金台帐!$B$7:$B$3006,"&lt;"&amp;DATE(年度,8+1,1)))</f>
        <v>0</v>
      </c>
      <c r="L12" s="186">
        <f>IF($B12="","",-SUMIFS(资金台帐!$S$7:$S$3006,资金台帐!$P$7:$P$3006,"费用",资金台帐!$L$7:$L$3006,$B12,资金台帐!$B$7:$B$3006,"&gt;="&amp;DATE(年度,9,1),资金台帐!$B$7:$B$3006,"&lt;"&amp;DATE(年度,9+1,1)))</f>
        <v>0</v>
      </c>
      <c r="M12" s="186">
        <f>IF($B12="","",-SUMIFS(资金台帐!$S$7:$S$3006,资金台帐!$P$7:$P$3006,"费用",资金台帐!$L$7:$L$3006,$B12,资金台帐!$B$7:$B$3006,"&gt;="&amp;DATE(年度,10,1),资金台帐!$B$7:$B$3006,"&lt;"&amp;DATE(年度,10+1,1)))</f>
        <v>0</v>
      </c>
      <c r="N12" s="186">
        <f>IF($B12="","",-SUMIFS(资金台帐!$S$7:$S$3006,资金台帐!$P$7:$P$3006,"费用",资金台帐!$L$7:$L$3006,$B12,资金台帐!$B$7:$B$3006,"&gt;="&amp;DATE(年度,11,1),资金台帐!$B$7:$B$3006,"&lt;"&amp;DATE(年度,11+1,1)))</f>
        <v>0</v>
      </c>
      <c r="O12" s="186">
        <f>IF($B12="","",-SUMIFS(资金台帐!$S$7:$S$3006,资金台帐!$P$7:$P$3006,"费用",资金台帐!$L$7:$L$3006,$B12,资金台帐!$B$7:$B$3006,"&gt;="&amp;DATE(年度,12,1),资金台帐!$B$7:$B$3006,"&lt;"&amp;DATE(年度,12+1,1)))</f>
        <v>0</v>
      </c>
      <c r="P12" s="187">
        <f>IF(B12="","",SUM(D12:O12))</f>
        <v>0</v>
      </c>
      <c r="Q12" s="265">
        <f>IF(OR(B12="",N($P$56)=0),"",P12/$P$56)</f>
      </c>
    </row>
    <row r="13">
      <c r="A13" s="194">
        <f>IF(B13="","",ROW()-4)</f>
        <v>9</v>
      </c>
      <c r="B13" s="141" t="str">
        <f>IF(基础资料!AI13="","",基础资料!AI13&amp;"")</f>
        <v>仓库租金</v>
      </c>
      <c r="C13" s="141" t="str">
        <f>IF(B13="","",基础资料!AJ13&amp;"")</f>
        <v>管理费用</v>
      </c>
      <c r="D13" s="186">
        <f>IF($B13="","",-SUMIFS(资金台帐!$S$7:$S$3006,资金台帐!$P$7:$P$3006,"费用",资金台帐!$L$7:$L$3006,$B13,资金台帐!$B$7:$B$3006,"&gt;="&amp;DATE(年度,1,1),资金台帐!$B$7:$B$3006,"&lt;"&amp;DATE(年度,1+1,1)))</f>
        <v>0</v>
      </c>
      <c r="E13" s="186">
        <f>IF($B13="","",-SUMIFS(资金台帐!$S$7:$S$3006,资金台帐!$P$7:$P$3006,"费用",资金台帐!$L$7:$L$3006,$B13,资金台帐!$B$7:$B$3006,"&gt;="&amp;DATE(年度,2,1),资金台帐!$B$7:$B$3006,"&lt;"&amp;DATE(年度,2+1,1)))</f>
        <v>0</v>
      </c>
      <c r="F13" s="186">
        <f>IF($B13="","",-SUMIFS(资金台帐!$S$7:$S$3006,资金台帐!$P$7:$P$3006,"费用",资金台帐!$L$7:$L$3006,$B13,资金台帐!$B$7:$B$3006,"&gt;="&amp;DATE(年度,3,1),资金台帐!$B$7:$B$3006,"&lt;"&amp;DATE(年度,3+1,1)))</f>
        <v>0</v>
      </c>
      <c r="G13" s="186">
        <f>IF($B13="","",-SUMIFS(资金台帐!$S$7:$S$3006,资金台帐!$P$7:$P$3006,"费用",资金台帐!$L$7:$L$3006,$B13,资金台帐!$B$7:$B$3006,"&gt;="&amp;DATE(年度,4,1),资金台帐!$B$7:$B$3006,"&lt;"&amp;DATE(年度,4+1,1)))</f>
        <v>0</v>
      </c>
      <c r="H13" s="186">
        <f>IF($B13="","",-SUMIFS(资金台帐!$S$7:$S$3006,资金台帐!$P$7:$P$3006,"费用",资金台帐!$L$7:$L$3006,$B13,资金台帐!$B$7:$B$3006,"&gt;="&amp;DATE(年度,5,1),资金台帐!$B$7:$B$3006,"&lt;"&amp;DATE(年度,5+1,1)))</f>
        <v>0</v>
      </c>
      <c r="I13" s="186">
        <f>IF($B13="","",-SUMIFS(资金台帐!$S$7:$S$3006,资金台帐!$P$7:$P$3006,"费用",资金台帐!$L$7:$L$3006,$B13,资金台帐!$B$7:$B$3006,"&gt;="&amp;DATE(年度,6,1),资金台帐!$B$7:$B$3006,"&lt;"&amp;DATE(年度,6+1,1)))</f>
        <v>0</v>
      </c>
      <c r="J13" s="186">
        <f>IF($B13="","",-SUMIFS(资金台帐!$S$7:$S$3006,资金台帐!$P$7:$P$3006,"费用",资金台帐!$L$7:$L$3006,$B13,资金台帐!$B$7:$B$3006,"&gt;="&amp;DATE(年度,7,1),资金台帐!$B$7:$B$3006,"&lt;"&amp;DATE(年度,7+1,1)))</f>
        <v>0</v>
      </c>
      <c r="K13" s="186">
        <f>IF($B13="","",-SUMIFS(资金台帐!$S$7:$S$3006,资金台帐!$P$7:$P$3006,"费用",资金台帐!$L$7:$L$3006,$B13,资金台帐!$B$7:$B$3006,"&gt;="&amp;DATE(年度,8,1),资金台帐!$B$7:$B$3006,"&lt;"&amp;DATE(年度,8+1,1)))</f>
        <v>0</v>
      </c>
      <c r="L13" s="186">
        <f>IF($B13="","",-SUMIFS(资金台帐!$S$7:$S$3006,资金台帐!$P$7:$P$3006,"费用",资金台帐!$L$7:$L$3006,$B13,资金台帐!$B$7:$B$3006,"&gt;="&amp;DATE(年度,9,1),资金台帐!$B$7:$B$3006,"&lt;"&amp;DATE(年度,9+1,1)))</f>
        <v>0</v>
      </c>
      <c r="M13" s="186">
        <f>IF($B13="","",-SUMIFS(资金台帐!$S$7:$S$3006,资金台帐!$P$7:$P$3006,"费用",资金台帐!$L$7:$L$3006,$B13,资金台帐!$B$7:$B$3006,"&gt;="&amp;DATE(年度,10,1),资金台帐!$B$7:$B$3006,"&lt;"&amp;DATE(年度,10+1,1)))</f>
        <v>0</v>
      </c>
      <c r="N13" s="186">
        <f>IF($B13="","",-SUMIFS(资金台帐!$S$7:$S$3006,资金台帐!$P$7:$P$3006,"费用",资金台帐!$L$7:$L$3006,$B13,资金台帐!$B$7:$B$3006,"&gt;="&amp;DATE(年度,11,1),资金台帐!$B$7:$B$3006,"&lt;"&amp;DATE(年度,11+1,1)))</f>
        <v>0</v>
      </c>
      <c r="O13" s="186">
        <f>IF($B13="","",-SUMIFS(资金台帐!$S$7:$S$3006,资金台帐!$P$7:$P$3006,"费用",资金台帐!$L$7:$L$3006,$B13,资金台帐!$B$7:$B$3006,"&gt;="&amp;DATE(年度,12,1),资金台帐!$B$7:$B$3006,"&lt;"&amp;DATE(年度,12+1,1)))</f>
        <v>0</v>
      </c>
      <c r="P13" s="187">
        <f>IF(B13="","",SUM(D13:O13))</f>
        <v>0</v>
      </c>
      <c r="Q13" s="265">
        <f>IF(OR(B13="",N($P$56)=0),"",P13/$P$56)</f>
      </c>
    </row>
    <row r="14">
      <c r="A14" s="194">
        <f>IF(B14="","",ROW()-4)</f>
        <v>10</v>
      </c>
      <c r="B14" s="141" t="str">
        <f>IF(基础资料!AI14="","",基础资料!AI14&amp;"")</f>
        <v>水电费</v>
      </c>
      <c r="C14" s="141" t="str">
        <f>IF(B14="","",基础资料!AJ14&amp;"")</f>
        <v>管理费用</v>
      </c>
      <c r="D14" s="186">
        <f>IF($B14="","",-SUMIFS(资金台帐!$S$7:$S$3006,资金台帐!$P$7:$P$3006,"费用",资金台帐!$L$7:$L$3006,$B14,资金台帐!$B$7:$B$3006,"&gt;="&amp;DATE(年度,1,1),资金台帐!$B$7:$B$3006,"&lt;"&amp;DATE(年度,1+1,1)))</f>
        <v>0</v>
      </c>
      <c r="E14" s="186">
        <f>IF($B14="","",-SUMIFS(资金台帐!$S$7:$S$3006,资金台帐!$P$7:$P$3006,"费用",资金台帐!$L$7:$L$3006,$B14,资金台帐!$B$7:$B$3006,"&gt;="&amp;DATE(年度,2,1),资金台帐!$B$7:$B$3006,"&lt;"&amp;DATE(年度,2+1,1)))</f>
        <v>0</v>
      </c>
      <c r="F14" s="186">
        <f>IF($B14="","",-SUMIFS(资金台帐!$S$7:$S$3006,资金台帐!$P$7:$P$3006,"费用",资金台帐!$L$7:$L$3006,$B14,资金台帐!$B$7:$B$3006,"&gt;="&amp;DATE(年度,3,1),资金台帐!$B$7:$B$3006,"&lt;"&amp;DATE(年度,3+1,1)))</f>
        <v>0</v>
      </c>
      <c r="G14" s="186">
        <f>IF($B14="","",-SUMIFS(资金台帐!$S$7:$S$3006,资金台帐!$P$7:$P$3006,"费用",资金台帐!$L$7:$L$3006,$B14,资金台帐!$B$7:$B$3006,"&gt;="&amp;DATE(年度,4,1),资金台帐!$B$7:$B$3006,"&lt;"&amp;DATE(年度,4+1,1)))</f>
        <v>0</v>
      </c>
      <c r="H14" s="186">
        <f>IF($B14="","",-SUMIFS(资金台帐!$S$7:$S$3006,资金台帐!$P$7:$P$3006,"费用",资金台帐!$L$7:$L$3006,$B14,资金台帐!$B$7:$B$3006,"&gt;="&amp;DATE(年度,5,1),资金台帐!$B$7:$B$3006,"&lt;"&amp;DATE(年度,5+1,1)))</f>
        <v>0</v>
      </c>
      <c r="I14" s="186">
        <f>IF($B14="","",-SUMIFS(资金台帐!$S$7:$S$3006,资金台帐!$P$7:$P$3006,"费用",资金台帐!$L$7:$L$3006,$B14,资金台帐!$B$7:$B$3006,"&gt;="&amp;DATE(年度,6,1),资金台帐!$B$7:$B$3006,"&lt;"&amp;DATE(年度,6+1,1)))</f>
        <v>0</v>
      </c>
      <c r="J14" s="186">
        <f>IF($B14="","",-SUMIFS(资金台帐!$S$7:$S$3006,资金台帐!$P$7:$P$3006,"费用",资金台帐!$L$7:$L$3006,$B14,资金台帐!$B$7:$B$3006,"&gt;="&amp;DATE(年度,7,1),资金台帐!$B$7:$B$3006,"&lt;"&amp;DATE(年度,7+1,1)))</f>
        <v>0</v>
      </c>
      <c r="K14" s="186">
        <f>IF($B14="","",-SUMIFS(资金台帐!$S$7:$S$3006,资金台帐!$P$7:$P$3006,"费用",资金台帐!$L$7:$L$3006,$B14,资金台帐!$B$7:$B$3006,"&gt;="&amp;DATE(年度,8,1),资金台帐!$B$7:$B$3006,"&lt;"&amp;DATE(年度,8+1,1)))</f>
        <v>0</v>
      </c>
      <c r="L14" s="186">
        <f>IF($B14="","",-SUMIFS(资金台帐!$S$7:$S$3006,资金台帐!$P$7:$P$3006,"费用",资金台帐!$L$7:$L$3006,$B14,资金台帐!$B$7:$B$3006,"&gt;="&amp;DATE(年度,9,1),资金台帐!$B$7:$B$3006,"&lt;"&amp;DATE(年度,9+1,1)))</f>
        <v>0</v>
      </c>
      <c r="M14" s="186">
        <f>IF($B14="","",-SUMIFS(资金台帐!$S$7:$S$3006,资金台帐!$P$7:$P$3006,"费用",资金台帐!$L$7:$L$3006,$B14,资金台帐!$B$7:$B$3006,"&gt;="&amp;DATE(年度,10,1),资金台帐!$B$7:$B$3006,"&lt;"&amp;DATE(年度,10+1,1)))</f>
        <v>0</v>
      </c>
      <c r="N14" s="186">
        <f>IF($B14="","",-SUMIFS(资金台帐!$S$7:$S$3006,资金台帐!$P$7:$P$3006,"费用",资金台帐!$L$7:$L$3006,$B14,资金台帐!$B$7:$B$3006,"&gt;="&amp;DATE(年度,11,1),资金台帐!$B$7:$B$3006,"&lt;"&amp;DATE(年度,11+1,1)))</f>
        <v>0</v>
      </c>
      <c r="O14" s="186">
        <f>IF($B14="","",-SUMIFS(资金台帐!$S$7:$S$3006,资金台帐!$P$7:$P$3006,"费用",资金台帐!$L$7:$L$3006,$B14,资金台帐!$B$7:$B$3006,"&gt;="&amp;DATE(年度,12,1),资金台帐!$B$7:$B$3006,"&lt;"&amp;DATE(年度,12+1,1)))</f>
        <v>0</v>
      </c>
      <c r="P14" s="187">
        <f>IF(B14="","",SUM(D14:O14))</f>
        <v>0</v>
      </c>
      <c r="Q14" s="265">
        <f>IF(OR(B14="",N($P$56)=0),"",P14/$P$56)</f>
      </c>
    </row>
    <row r="15">
      <c r="A15" s="194">
        <f>IF(B15="","",ROW()-4)</f>
        <v>11</v>
      </c>
      <c r="B15" s="141" t="str">
        <f>IF(基础资料!AI15="","",基础资料!AI15&amp;"")</f>
        <v>通讯费</v>
      </c>
      <c r="C15" s="141" t="str">
        <f>IF(B15="","",基础资料!AJ15&amp;"")</f>
        <v>管理费用</v>
      </c>
      <c r="D15" s="186">
        <f>IF($B15="","",-SUMIFS(资金台帐!$S$7:$S$3006,资金台帐!$P$7:$P$3006,"费用",资金台帐!$L$7:$L$3006,$B15,资金台帐!$B$7:$B$3006,"&gt;="&amp;DATE(年度,1,1),资金台帐!$B$7:$B$3006,"&lt;"&amp;DATE(年度,1+1,1)))</f>
        <v>0</v>
      </c>
      <c r="E15" s="186">
        <f>IF($B15="","",-SUMIFS(资金台帐!$S$7:$S$3006,资金台帐!$P$7:$P$3006,"费用",资金台帐!$L$7:$L$3006,$B15,资金台帐!$B$7:$B$3006,"&gt;="&amp;DATE(年度,2,1),资金台帐!$B$7:$B$3006,"&lt;"&amp;DATE(年度,2+1,1)))</f>
        <v>0</v>
      </c>
      <c r="F15" s="186">
        <f>IF($B15="","",-SUMIFS(资金台帐!$S$7:$S$3006,资金台帐!$P$7:$P$3006,"费用",资金台帐!$L$7:$L$3006,$B15,资金台帐!$B$7:$B$3006,"&gt;="&amp;DATE(年度,3,1),资金台帐!$B$7:$B$3006,"&lt;"&amp;DATE(年度,3+1,1)))</f>
        <v>0</v>
      </c>
      <c r="G15" s="186">
        <f>IF($B15="","",-SUMIFS(资金台帐!$S$7:$S$3006,资金台帐!$P$7:$P$3006,"费用",资金台帐!$L$7:$L$3006,$B15,资金台帐!$B$7:$B$3006,"&gt;="&amp;DATE(年度,4,1),资金台帐!$B$7:$B$3006,"&lt;"&amp;DATE(年度,4+1,1)))</f>
        <v>0</v>
      </c>
      <c r="H15" s="186">
        <f>IF($B15="","",-SUMIFS(资金台帐!$S$7:$S$3006,资金台帐!$P$7:$P$3006,"费用",资金台帐!$L$7:$L$3006,$B15,资金台帐!$B$7:$B$3006,"&gt;="&amp;DATE(年度,5,1),资金台帐!$B$7:$B$3006,"&lt;"&amp;DATE(年度,5+1,1)))</f>
        <v>0</v>
      </c>
      <c r="I15" s="186">
        <f>IF($B15="","",-SUMIFS(资金台帐!$S$7:$S$3006,资金台帐!$P$7:$P$3006,"费用",资金台帐!$L$7:$L$3006,$B15,资金台帐!$B$7:$B$3006,"&gt;="&amp;DATE(年度,6,1),资金台帐!$B$7:$B$3006,"&lt;"&amp;DATE(年度,6+1,1)))</f>
        <v>0</v>
      </c>
      <c r="J15" s="186">
        <f>IF($B15="","",-SUMIFS(资金台帐!$S$7:$S$3006,资金台帐!$P$7:$P$3006,"费用",资金台帐!$L$7:$L$3006,$B15,资金台帐!$B$7:$B$3006,"&gt;="&amp;DATE(年度,7,1),资金台帐!$B$7:$B$3006,"&lt;"&amp;DATE(年度,7+1,1)))</f>
        <v>0</v>
      </c>
      <c r="K15" s="186">
        <f>IF($B15="","",-SUMIFS(资金台帐!$S$7:$S$3006,资金台帐!$P$7:$P$3006,"费用",资金台帐!$L$7:$L$3006,$B15,资金台帐!$B$7:$B$3006,"&gt;="&amp;DATE(年度,8,1),资金台帐!$B$7:$B$3006,"&lt;"&amp;DATE(年度,8+1,1)))</f>
        <v>0</v>
      </c>
      <c r="L15" s="186">
        <f>IF($B15="","",-SUMIFS(资金台帐!$S$7:$S$3006,资金台帐!$P$7:$P$3006,"费用",资金台帐!$L$7:$L$3006,$B15,资金台帐!$B$7:$B$3006,"&gt;="&amp;DATE(年度,9,1),资金台帐!$B$7:$B$3006,"&lt;"&amp;DATE(年度,9+1,1)))</f>
        <v>0</v>
      </c>
      <c r="M15" s="186">
        <f>IF($B15="","",-SUMIFS(资金台帐!$S$7:$S$3006,资金台帐!$P$7:$P$3006,"费用",资金台帐!$L$7:$L$3006,$B15,资金台帐!$B$7:$B$3006,"&gt;="&amp;DATE(年度,10,1),资金台帐!$B$7:$B$3006,"&lt;"&amp;DATE(年度,10+1,1)))</f>
        <v>0</v>
      </c>
      <c r="N15" s="186">
        <f>IF($B15="","",-SUMIFS(资金台帐!$S$7:$S$3006,资金台帐!$P$7:$P$3006,"费用",资金台帐!$L$7:$L$3006,$B15,资金台帐!$B$7:$B$3006,"&gt;="&amp;DATE(年度,11,1),资金台帐!$B$7:$B$3006,"&lt;"&amp;DATE(年度,11+1,1)))</f>
        <v>0</v>
      </c>
      <c r="O15" s="186">
        <f>IF($B15="","",-SUMIFS(资金台帐!$S$7:$S$3006,资金台帐!$P$7:$P$3006,"费用",资金台帐!$L$7:$L$3006,$B15,资金台帐!$B$7:$B$3006,"&gt;="&amp;DATE(年度,12,1),资金台帐!$B$7:$B$3006,"&lt;"&amp;DATE(年度,12+1,1)))</f>
        <v>0</v>
      </c>
      <c r="P15" s="187">
        <f>IF(B15="","",SUM(D15:O15))</f>
        <v>0</v>
      </c>
      <c r="Q15" s="265">
        <f>IF(OR(B15="",N($P$56)=0),"",P15/$P$56)</f>
      </c>
    </row>
    <row r="16">
      <c r="A16" s="194">
        <f>IF(B16="","",ROW()-4)</f>
        <v>12</v>
      </c>
      <c r="B16" s="141" t="str">
        <f>IF(基础资料!AI16="","",基础资料!AI16&amp;"")</f>
        <v>办公费</v>
      </c>
      <c r="C16" s="141" t="str">
        <f>IF(B16="","",基础资料!AJ16&amp;"")</f>
        <v>管理费用</v>
      </c>
      <c r="D16" s="186">
        <f>IF($B16="","",-SUMIFS(资金台帐!$S$7:$S$3006,资金台帐!$P$7:$P$3006,"费用",资金台帐!$L$7:$L$3006,$B16,资金台帐!$B$7:$B$3006,"&gt;="&amp;DATE(年度,1,1),资金台帐!$B$7:$B$3006,"&lt;"&amp;DATE(年度,1+1,1)))</f>
        <v>0</v>
      </c>
      <c r="E16" s="186">
        <f>IF($B16="","",-SUMIFS(资金台帐!$S$7:$S$3006,资金台帐!$P$7:$P$3006,"费用",资金台帐!$L$7:$L$3006,$B16,资金台帐!$B$7:$B$3006,"&gt;="&amp;DATE(年度,2,1),资金台帐!$B$7:$B$3006,"&lt;"&amp;DATE(年度,2+1,1)))</f>
        <v>0</v>
      </c>
      <c r="F16" s="186">
        <f>IF($B16="","",-SUMIFS(资金台帐!$S$7:$S$3006,资金台帐!$P$7:$P$3006,"费用",资金台帐!$L$7:$L$3006,$B16,资金台帐!$B$7:$B$3006,"&gt;="&amp;DATE(年度,3,1),资金台帐!$B$7:$B$3006,"&lt;"&amp;DATE(年度,3+1,1)))</f>
        <v>0</v>
      </c>
      <c r="G16" s="186">
        <f>IF($B16="","",-SUMIFS(资金台帐!$S$7:$S$3006,资金台帐!$P$7:$P$3006,"费用",资金台帐!$L$7:$L$3006,$B16,资金台帐!$B$7:$B$3006,"&gt;="&amp;DATE(年度,4,1),资金台帐!$B$7:$B$3006,"&lt;"&amp;DATE(年度,4+1,1)))</f>
        <v>0</v>
      </c>
      <c r="H16" s="186">
        <f>IF($B16="","",-SUMIFS(资金台帐!$S$7:$S$3006,资金台帐!$P$7:$P$3006,"费用",资金台帐!$L$7:$L$3006,$B16,资金台帐!$B$7:$B$3006,"&gt;="&amp;DATE(年度,5,1),资金台帐!$B$7:$B$3006,"&lt;"&amp;DATE(年度,5+1,1)))</f>
        <v>0</v>
      </c>
      <c r="I16" s="186">
        <f>IF($B16="","",-SUMIFS(资金台帐!$S$7:$S$3006,资金台帐!$P$7:$P$3006,"费用",资金台帐!$L$7:$L$3006,$B16,资金台帐!$B$7:$B$3006,"&gt;="&amp;DATE(年度,6,1),资金台帐!$B$7:$B$3006,"&lt;"&amp;DATE(年度,6+1,1)))</f>
        <v>0</v>
      </c>
      <c r="J16" s="186">
        <f>IF($B16="","",-SUMIFS(资金台帐!$S$7:$S$3006,资金台帐!$P$7:$P$3006,"费用",资金台帐!$L$7:$L$3006,$B16,资金台帐!$B$7:$B$3006,"&gt;="&amp;DATE(年度,7,1),资金台帐!$B$7:$B$3006,"&lt;"&amp;DATE(年度,7+1,1)))</f>
        <v>0</v>
      </c>
      <c r="K16" s="186">
        <f>IF($B16="","",-SUMIFS(资金台帐!$S$7:$S$3006,资金台帐!$P$7:$P$3006,"费用",资金台帐!$L$7:$L$3006,$B16,资金台帐!$B$7:$B$3006,"&gt;="&amp;DATE(年度,8,1),资金台帐!$B$7:$B$3006,"&lt;"&amp;DATE(年度,8+1,1)))</f>
        <v>0</v>
      </c>
      <c r="L16" s="186">
        <f>IF($B16="","",-SUMIFS(资金台帐!$S$7:$S$3006,资金台帐!$P$7:$P$3006,"费用",资金台帐!$L$7:$L$3006,$B16,资金台帐!$B$7:$B$3006,"&gt;="&amp;DATE(年度,9,1),资金台帐!$B$7:$B$3006,"&lt;"&amp;DATE(年度,9+1,1)))</f>
        <v>0</v>
      </c>
      <c r="M16" s="186">
        <f>IF($B16="","",-SUMIFS(资金台帐!$S$7:$S$3006,资金台帐!$P$7:$P$3006,"费用",资金台帐!$L$7:$L$3006,$B16,资金台帐!$B$7:$B$3006,"&gt;="&amp;DATE(年度,10,1),资金台帐!$B$7:$B$3006,"&lt;"&amp;DATE(年度,10+1,1)))</f>
        <v>0</v>
      </c>
      <c r="N16" s="186">
        <f>IF($B16="","",-SUMIFS(资金台帐!$S$7:$S$3006,资金台帐!$P$7:$P$3006,"费用",资金台帐!$L$7:$L$3006,$B16,资金台帐!$B$7:$B$3006,"&gt;="&amp;DATE(年度,11,1),资金台帐!$B$7:$B$3006,"&lt;"&amp;DATE(年度,11+1,1)))</f>
        <v>0</v>
      </c>
      <c r="O16" s="186">
        <f>IF($B16="","",-SUMIFS(资金台帐!$S$7:$S$3006,资金台帐!$P$7:$P$3006,"费用",资金台帐!$L$7:$L$3006,$B16,资金台帐!$B$7:$B$3006,"&gt;="&amp;DATE(年度,12,1),资金台帐!$B$7:$B$3006,"&lt;"&amp;DATE(年度,12+1,1)))</f>
        <v>0</v>
      </c>
      <c r="P16" s="187">
        <f>IF(B16="","",SUM(D16:O16))</f>
        <v>0</v>
      </c>
      <c r="Q16" s="265">
        <f>IF(OR(B16="",N($P$56)=0),"",P16/$P$56)</f>
      </c>
    </row>
    <row r="17">
      <c r="A17" s="194">
        <f>IF(B17="","",ROW()-4)</f>
        <v>13</v>
      </c>
      <c r="B17" s="141" t="str">
        <f>IF(基础资料!AI17="","",基础资料!AI17&amp;"")</f>
        <v>其他费用</v>
      </c>
      <c r="C17" s="141" t="str">
        <f>IF(B17="","",基础资料!AJ17&amp;"")</f>
        <v>管理费用</v>
      </c>
      <c r="D17" s="186">
        <f>IF($B17="","",-SUMIFS(资金台帐!$S$7:$S$3006,资金台帐!$P$7:$P$3006,"费用",资金台帐!$L$7:$L$3006,$B17,资金台帐!$B$7:$B$3006,"&gt;="&amp;DATE(年度,1,1),资金台帐!$B$7:$B$3006,"&lt;"&amp;DATE(年度,1+1,1)))</f>
        <v>0</v>
      </c>
      <c r="E17" s="186">
        <f>IF($B17="","",-SUMIFS(资金台帐!$S$7:$S$3006,资金台帐!$P$7:$P$3006,"费用",资金台帐!$L$7:$L$3006,$B17,资金台帐!$B$7:$B$3006,"&gt;="&amp;DATE(年度,2,1),资金台帐!$B$7:$B$3006,"&lt;"&amp;DATE(年度,2+1,1)))</f>
        <v>0</v>
      </c>
      <c r="F17" s="186">
        <f>IF($B17="","",-SUMIFS(资金台帐!$S$7:$S$3006,资金台帐!$P$7:$P$3006,"费用",资金台帐!$L$7:$L$3006,$B17,资金台帐!$B$7:$B$3006,"&gt;="&amp;DATE(年度,3,1),资金台帐!$B$7:$B$3006,"&lt;"&amp;DATE(年度,3+1,1)))</f>
        <v>0</v>
      </c>
      <c r="G17" s="186">
        <f>IF($B17="","",-SUMIFS(资金台帐!$S$7:$S$3006,资金台帐!$P$7:$P$3006,"费用",资金台帐!$L$7:$L$3006,$B17,资金台帐!$B$7:$B$3006,"&gt;="&amp;DATE(年度,4,1),资金台帐!$B$7:$B$3006,"&lt;"&amp;DATE(年度,4+1,1)))</f>
        <v>0</v>
      </c>
      <c r="H17" s="186">
        <f>IF($B17="","",-SUMIFS(资金台帐!$S$7:$S$3006,资金台帐!$P$7:$P$3006,"费用",资金台帐!$L$7:$L$3006,$B17,资金台帐!$B$7:$B$3006,"&gt;="&amp;DATE(年度,5,1),资金台帐!$B$7:$B$3006,"&lt;"&amp;DATE(年度,5+1,1)))</f>
        <v>0</v>
      </c>
      <c r="I17" s="186">
        <f>IF($B17="","",-SUMIFS(资金台帐!$S$7:$S$3006,资金台帐!$P$7:$P$3006,"费用",资金台帐!$L$7:$L$3006,$B17,资金台帐!$B$7:$B$3006,"&gt;="&amp;DATE(年度,6,1),资金台帐!$B$7:$B$3006,"&lt;"&amp;DATE(年度,6+1,1)))</f>
        <v>0</v>
      </c>
      <c r="J17" s="186">
        <f>IF($B17="","",-SUMIFS(资金台帐!$S$7:$S$3006,资金台帐!$P$7:$P$3006,"费用",资金台帐!$L$7:$L$3006,$B17,资金台帐!$B$7:$B$3006,"&gt;="&amp;DATE(年度,7,1),资金台帐!$B$7:$B$3006,"&lt;"&amp;DATE(年度,7+1,1)))</f>
        <v>0</v>
      </c>
      <c r="K17" s="186">
        <f>IF($B17="","",-SUMIFS(资金台帐!$S$7:$S$3006,资金台帐!$P$7:$P$3006,"费用",资金台帐!$L$7:$L$3006,$B17,资金台帐!$B$7:$B$3006,"&gt;="&amp;DATE(年度,8,1),资金台帐!$B$7:$B$3006,"&lt;"&amp;DATE(年度,8+1,1)))</f>
        <v>0</v>
      </c>
      <c r="L17" s="186">
        <f>IF($B17="","",-SUMIFS(资金台帐!$S$7:$S$3006,资金台帐!$P$7:$P$3006,"费用",资金台帐!$L$7:$L$3006,$B17,资金台帐!$B$7:$B$3006,"&gt;="&amp;DATE(年度,9,1),资金台帐!$B$7:$B$3006,"&lt;"&amp;DATE(年度,9+1,1)))</f>
        <v>0</v>
      </c>
      <c r="M17" s="186">
        <f>IF($B17="","",-SUMIFS(资金台帐!$S$7:$S$3006,资金台帐!$P$7:$P$3006,"费用",资金台帐!$L$7:$L$3006,$B17,资金台帐!$B$7:$B$3006,"&gt;="&amp;DATE(年度,10,1),资金台帐!$B$7:$B$3006,"&lt;"&amp;DATE(年度,10+1,1)))</f>
        <v>0</v>
      </c>
      <c r="N17" s="186">
        <f>IF($B17="","",-SUMIFS(资金台帐!$S$7:$S$3006,资金台帐!$P$7:$P$3006,"费用",资金台帐!$L$7:$L$3006,$B17,资金台帐!$B$7:$B$3006,"&gt;="&amp;DATE(年度,11,1),资金台帐!$B$7:$B$3006,"&lt;"&amp;DATE(年度,11+1,1)))</f>
        <v>0</v>
      </c>
      <c r="O17" s="186">
        <f>IF($B17="","",-SUMIFS(资金台帐!$S$7:$S$3006,资金台帐!$P$7:$P$3006,"费用",资金台帐!$L$7:$L$3006,$B17,资金台帐!$B$7:$B$3006,"&gt;="&amp;DATE(年度,12,1),资金台帐!$B$7:$B$3006,"&lt;"&amp;DATE(年度,12+1,1)))</f>
        <v>0</v>
      </c>
      <c r="P17" s="187">
        <f>IF(B17="","",SUM(D17:O17))</f>
        <v>0</v>
      </c>
      <c r="Q17" s="265">
        <f>IF(OR(B17="",N($P$56)=0),"",P17/$P$56)</f>
      </c>
    </row>
    <row r="18">
      <c r="A18" s="194">
        <f>IF(B18="","",ROW()-4)</f>
        <v>14</v>
      </c>
      <c r="B18" s="141" t="str">
        <f>IF(基础资料!AI18="","",基础资料!AI18&amp;"")</f>
        <v>手续费</v>
      </c>
      <c r="C18" s="141" t="str">
        <f>IF(B18="","",基础资料!AJ18&amp;"")</f>
        <v>财务费用</v>
      </c>
      <c r="D18" s="186">
        <f>IF($B18="","",-SUMIFS(资金台帐!$S$7:$S$3006,资金台帐!$P$7:$P$3006,"费用",资金台帐!$L$7:$L$3006,$B18,资金台帐!$B$7:$B$3006,"&gt;="&amp;DATE(年度,1,1),资金台帐!$B$7:$B$3006,"&lt;"&amp;DATE(年度,1+1,1)))</f>
        <v>0</v>
      </c>
      <c r="E18" s="186">
        <f>IF($B18="","",-SUMIFS(资金台帐!$S$7:$S$3006,资金台帐!$P$7:$P$3006,"费用",资金台帐!$L$7:$L$3006,$B18,资金台帐!$B$7:$B$3006,"&gt;="&amp;DATE(年度,2,1),资金台帐!$B$7:$B$3006,"&lt;"&amp;DATE(年度,2+1,1)))</f>
        <v>0</v>
      </c>
      <c r="F18" s="186">
        <f>IF($B18="","",-SUMIFS(资金台帐!$S$7:$S$3006,资金台帐!$P$7:$P$3006,"费用",资金台帐!$L$7:$L$3006,$B18,资金台帐!$B$7:$B$3006,"&gt;="&amp;DATE(年度,3,1),资金台帐!$B$7:$B$3006,"&lt;"&amp;DATE(年度,3+1,1)))</f>
        <v>0</v>
      </c>
      <c r="G18" s="186">
        <f>IF($B18="","",-SUMIFS(资金台帐!$S$7:$S$3006,资金台帐!$P$7:$P$3006,"费用",资金台帐!$L$7:$L$3006,$B18,资金台帐!$B$7:$B$3006,"&gt;="&amp;DATE(年度,4,1),资金台帐!$B$7:$B$3006,"&lt;"&amp;DATE(年度,4+1,1)))</f>
        <v>0</v>
      </c>
      <c r="H18" s="186">
        <f>IF($B18="","",-SUMIFS(资金台帐!$S$7:$S$3006,资金台帐!$P$7:$P$3006,"费用",资金台帐!$L$7:$L$3006,$B18,资金台帐!$B$7:$B$3006,"&gt;="&amp;DATE(年度,5,1),资金台帐!$B$7:$B$3006,"&lt;"&amp;DATE(年度,5+1,1)))</f>
        <v>0</v>
      </c>
      <c r="I18" s="186">
        <f>IF($B18="","",-SUMIFS(资金台帐!$S$7:$S$3006,资金台帐!$P$7:$P$3006,"费用",资金台帐!$L$7:$L$3006,$B18,资金台帐!$B$7:$B$3006,"&gt;="&amp;DATE(年度,6,1),资金台帐!$B$7:$B$3006,"&lt;"&amp;DATE(年度,6+1,1)))</f>
        <v>0</v>
      </c>
      <c r="J18" s="186">
        <f>IF($B18="","",-SUMIFS(资金台帐!$S$7:$S$3006,资金台帐!$P$7:$P$3006,"费用",资金台帐!$L$7:$L$3006,$B18,资金台帐!$B$7:$B$3006,"&gt;="&amp;DATE(年度,7,1),资金台帐!$B$7:$B$3006,"&lt;"&amp;DATE(年度,7+1,1)))</f>
        <v>0</v>
      </c>
      <c r="K18" s="186">
        <f>IF($B18="","",-SUMIFS(资金台帐!$S$7:$S$3006,资金台帐!$P$7:$P$3006,"费用",资金台帐!$L$7:$L$3006,$B18,资金台帐!$B$7:$B$3006,"&gt;="&amp;DATE(年度,8,1),资金台帐!$B$7:$B$3006,"&lt;"&amp;DATE(年度,8+1,1)))</f>
        <v>0</v>
      </c>
      <c r="L18" s="186">
        <f>IF($B18="","",-SUMIFS(资金台帐!$S$7:$S$3006,资金台帐!$P$7:$P$3006,"费用",资金台帐!$L$7:$L$3006,$B18,资金台帐!$B$7:$B$3006,"&gt;="&amp;DATE(年度,9,1),资金台帐!$B$7:$B$3006,"&lt;"&amp;DATE(年度,9+1,1)))</f>
        <v>0</v>
      </c>
      <c r="M18" s="186">
        <f>IF($B18="","",-SUMIFS(资金台帐!$S$7:$S$3006,资金台帐!$P$7:$P$3006,"费用",资金台帐!$L$7:$L$3006,$B18,资金台帐!$B$7:$B$3006,"&gt;="&amp;DATE(年度,10,1),资金台帐!$B$7:$B$3006,"&lt;"&amp;DATE(年度,10+1,1)))</f>
        <v>0</v>
      </c>
      <c r="N18" s="186">
        <f>IF($B18="","",-SUMIFS(资金台帐!$S$7:$S$3006,资金台帐!$P$7:$P$3006,"费用",资金台帐!$L$7:$L$3006,$B18,资金台帐!$B$7:$B$3006,"&gt;="&amp;DATE(年度,11,1),资金台帐!$B$7:$B$3006,"&lt;"&amp;DATE(年度,11+1,1)))</f>
        <v>0</v>
      </c>
      <c r="O18" s="186">
        <f>IF($B18="","",-SUMIFS(资金台帐!$S$7:$S$3006,资金台帐!$P$7:$P$3006,"费用",资金台帐!$L$7:$L$3006,$B18,资金台帐!$B$7:$B$3006,"&gt;="&amp;DATE(年度,12,1),资金台帐!$B$7:$B$3006,"&lt;"&amp;DATE(年度,12+1,1)))</f>
        <v>0</v>
      </c>
      <c r="P18" s="187">
        <f>IF(B18="","",SUM(D18:O18))</f>
        <v>0</v>
      </c>
      <c r="Q18" s="265">
        <f>IF(OR(B18="",N($P$56)=0),"",P18/$P$56)</f>
      </c>
    </row>
    <row r="19">
      <c r="A19" s="194">
        <f>IF(B19="","",ROW()-4)</f>
        <v>15</v>
      </c>
      <c r="B19" s="141" t="str">
        <f>IF(基础资料!AI19="","",基础资料!AI19&amp;"")</f>
        <v>利息支出</v>
      </c>
      <c r="C19" s="141" t="str">
        <f>IF(B19="","",基础资料!AJ19&amp;"")</f>
        <v>财务费用</v>
      </c>
      <c r="D19" s="186">
        <f>IF($B19="","",-SUMIFS(资金台帐!$S$7:$S$3006,资金台帐!$P$7:$P$3006,"费用",资金台帐!$L$7:$L$3006,$B19,资金台帐!$B$7:$B$3006,"&gt;="&amp;DATE(年度,1,1),资金台帐!$B$7:$B$3006,"&lt;"&amp;DATE(年度,1+1,1)))</f>
        <v>0</v>
      </c>
      <c r="E19" s="186">
        <f>IF($B19="","",-SUMIFS(资金台帐!$S$7:$S$3006,资金台帐!$P$7:$P$3006,"费用",资金台帐!$L$7:$L$3006,$B19,资金台帐!$B$7:$B$3006,"&gt;="&amp;DATE(年度,2,1),资金台帐!$B$7:$B$3006,"&lt;"&amp;DATE(年度,2+1,1)))</f>
        <v>0</v>
      </c>
      <c r="F19" s="186">
        <f>IF($B19="","",-SUMIFS(资金台帐!$S$7:$S$3006,资金台帐!$P$7:$P$3006,"费用",资金台帐!$L$7:$L$3006,$B19,资金台帐!$B$7:$B$3006,"&gt;="&amp;DATE(年度,3,1),资金台帐!$B$7:$B$3006,"&lt;"&amp;DATE(年度,3+1,1)))</f>
        <v>0</v>
      </c>
      <c r="G19" s="186">
        <f>IF($B19="","",-SUMIFS(资金台帐!$S$7:$S$3006,资金台帐!$P$7:$P$3006,"费用",资金台帐!$L$7:$L$3006,$B19,资金台帐!$B$7:$B$3006,"&gt;="&amp;DATE(年度,4,1),资金台帐!$B$7:$B$3006,"&lt;"&amp;DATE(年度,4+1,1)))</f>
        <v>0</v>
      </c>
      <c r="H19" s="186">
        <f>IF($B19="","",-SUMIFS(资金台帐!$S$7:$S$3006,资金台帐!$P$7:$P$3006,"费用",资金台帐!$L$7:$L$3006,$B19,资金台帐!$B$7:$B$3006,"&gt;="&amp;DATE(年度,5,1),资金台帐!$B$7:$B$3006,"&lt;"&amp;DATE(年度,5+1,1)))</f>
        <v>0</v>
      </c>
      <c r="I19" s="186">
        <f>IF($B19="","",-SUMIFS(资金台帐!$S$7:$S$3006,资金台帐!$P$7:$P$3006,"费用",资金台帐!$L$7:$L$3006,$B19,资金台帐!$B$7:$B$3006,"&gt;="&amp;DATE(年度,6,1),资金台帐!$B$7:$B$3006,"&lt;"&amp;DATE(年度,6+1,1)))</f>
        <v>0</v>
      </c>
      <c r="J19" s="186">
        <f>IF($B19="","",-SUMIFS(资金台帐!$S$7:$S$3006,资金台帐!$P$7:$P$3006,"费用",资金台帐!$L$7:$L$3006,$B19,资金台帐!$B$7:$B$3006,"&gt;="&amp;DATE(年度,7,1),资金台帐!$B$7:$B$3006,"&lt;"&amp;DATE(年度,7+1,1)))</f>
        <v>0</v>
      </c>
      <c r="K19" s="186">
        <f>IF($B19="","",-SUMIFS(资金台帐!$S$7:$S$3006,资金台帐!$P$7:$P$3006,"费用",资金台帐!$L$7:$L$3006,$B19,资金台帐!$B$7:$B$3006,"&gt;="&amp;DATE(年度,8,1),资金台帐!$B$7:$B$3006,"&lt;"&amp;DATE(年度,8+1,1)))</f>
        <v>0</v>
      </c>
      <c r="L19" s="186">
        <f>IF($B19="","",-SUMIFS(资金台帐!$S$7:$S$3006,资金台帐!$P$7:$P$3006,"费用",资金台帐!$L$7:$L$3006,$B19,资金台帐!$B$7:$B$3006,"&gt;="&amp;DATE(年度,9,1),资金台帐!$B$7:$B$3006,"&lt;"&amp;DATE(年度,9+1,1)))</f>
        <v>0</v>
      </c>
      <c r="M19" s="186">
        <f>IF($B19="","",-SUMIFS(资金台帐!$S$7:$S$3006,资金台帐!$P$7:$P$3006,"费用",资金台帐!$L$7:$L$3006,$B19,资金台帐!$B$7:$B$3006,"&gt;="&amp;DATE(年度,10,1),资金台帐!$B$7:$B$3006,"&lt;"&amp;DATE(年度,10+1,1)))</f>
        <v>0</v>
      </c>
      <c r="N19" s="186">
        <f>IF($B19="","",-SUMIFS(资金台帐!$S$7:$S$3006,资金台帐!$P$7:$P$3006,"费用",资金台帐!$L$7:$L$3006,$B19,资金台帐!$B$7:$B$3006,"&gt;="&amp;DATE(年度,11,1),资金台帐!$B$7:$B$3006,"&lt;"&amp;DATE(年度,11+1,1)))</f>
        <v>0</v>
      </c>
      <c r="O19" s="186">
        <f>IF($B19="","",-SUMIFS(资金台帐!$S$7:$S$3006,资金台帐!$P$7:$P$3006,"费用",资金台帐!$L$7:$L$3006,$B19,资金台帐!$B$7:$B$3006,"&gt;="&amp;DATE(年度,12,1),资金台帐!$B$7:$B$3006,"&lt;"&amp;DATE(年度,12+1,1)))</f>
        <v>0</v>
      </c>
      <c r="P19" s="187">
        <f>IF(B19="","",SUM(D19:O19))</f>
        <v>0</v>
      </c>
      <c r="Q19" s="265">
        <f>IF(OR(B19="",N($P$56)=0),"",P19/$P$56)</f>
      </c>
    </row>
    <row r="20">
      <c r="A20" s="194">
        <f>IF(B20="","",ROW()-4)</f>
        <v>16</v>
      </c>
      <c r="B20" s="141" t="str">
        <f>IF(基础资料!AI20="","",基础资料!AI20&amp;"")</f>
        <v>税费</v>
      </c>
      <c r="C20" s="141" t="str">
        <f>IF(B20="","",基础资料!AJ20&amp;"")</f>
        <v>税金及附加</v>
      </c>
      <c r="D20" s="186">
        <f>IF($B20="","",-SUMIFS(资金台帐!$S$7:$S$3006,资金台帐!$P$7:$P$3006,"费用",资金台帐!$L$7:$L$3006,$B20,资金台帐!$B$7:$B$3006,"&gt;="&amp;DATE(年度,1,1),资金台帐!$B$7:$B$3006,"&lt;"&amp;DATE(年度,1+1,1)))</f>
        <v>0</v>
      </c>
      <c r="E20" s="186">
        <f>IF($B20="","",-SUMIFS(资金台帐!$S$7:$S$3006,资金台帐!$P$7:$P$3006,"费用",资金台帐!$L$7:$L$3006,$B20,资金台帐!$B$7:$B$3006,"&gt;="&amp;DATE(年度,2,1),资金台帐!$B$7:$B$3006,"&lt;"&amp;DATE(年度,2+1,1)))</f>
        <v>0</v>
      </c>
      <c r="F20" s="186">
        <f>IF($B20="","",-SUMIFS(资金台帐!$S$7:$S$3006,资金台帐!$P$7:$P$3006,"费用",资金台帐!$L$7:$L$3006,$B20,资金台帐!$B$7:$B$3006,"&gt;="&amp;DATE(年度,3,1),资金台帐!$B$7:$B$3006,"&lt;"&amp;DATE(年度,3+1,1)))</f>
        <v>0</v>
      </c>
      <c r="G20" s="186">
        <f>IF($B20="","",-SUMIFS(资金台帐!$S$7:$S$3006,资金台帐!$P$7:$P$3006,"费用",资金台帐!$L$7:$L$3006,$B20,资金台帐!$B$7:$B$3006,"&gt;="&amp;DATE(年度,4,1),资金台帐!$B$7:$B$3006,"&lt;"&amp;DATE(年度,4+1,1)))</f>
        <v>0</v>
      </c>
      <c r="H20" s="186">
        <f>IF($B20="","",-SUMIFS(资金台帐!$S$7:$S$3006,资金台帐!$P$7:$P$3006,"费用",资金台帐!$L$7:$L$3006,$B20,资金台帐!$B$7:$B$3006,"&gt;="&amp;DATE(年度,5,1),资金台帐!$B$7:$B$3006,"&lt;"&amp;DATE(年度,5+1,1)))</f>
        <v>0</v>
      </c>
      <c r="I20" s="186">
        <f>IF($B20="","",-SUMIFS(资金台帐!$S$7:$S$3006,资金台帐!$P$7:$P$3006,"费用",资金台帐!$L$7:$L$3006,$B20,资金台帐!$B$7:$B$3006,"&gt;="&amp;DATE(年度,6,1),资金台帐!$B$7:$B$3006,"&lt;"&amp;DATE(年度,6+1,1)))</f>
        <v>0</v>
      </c>
      <c r="J20" s="186">
        <f>IF($B20="","",-SUMIFS(资金台帐!$S$7:$S$3006,资金台帐!$P$7:$P$3006,"费用",资金台帐!$L$7:$L$3006,$B20,资金台帐!$B$7:$B$3006,"&gt;="&amp;DATE(年度,7,1),资金台帐!$B$7:$B$3006,"&lt;"&amp;DATE(年度,7+1,1)))</f>
        <v>0</v>
      </c>
      <c r="K20" s="186">
        <f>IF($B20="","",-SUMIFS(资金台帐!$S$7:$S$3006,资金台帐!$P$7:$P$3006,"费用",资金台帐!$L$7:$L$3006,$B20,资金台帐!$B$7:$B$3006,"&gt;="&amp;DATE(年度,8,1),资金台帐!$B$7:$B$3006,"&lt;"&amp;DATE(年度,8+1,1)))</f>
        <v>0</v>
      </c>
      <c r="L20" s="186">
        <f>IF($B20="","",-SUMIFS(资金台帐!$S$7:$S$3006,资金台帐!$P$7:$P$3006,"费用",资金台帐!$L$7:$L$3006,$B20,资金台帐!$B$7:$B$3006,"&gt;="&amp;DATE(年度,9,1),资金台帐!$B$7:$B$3006,"&lt;"&amp;DATE(年度,9+1,1)))</f>
        <v>0</v>
      </c>
      <c r="M20" s="186">
        <f>IF($B20="","",-SUMIFS(资金台帐!$S$7:$S$3006,资金台帐!$P$7:$P$3006,"费用",资金台帐!$L$7:$L$3006,$B20,资金台帐!$B$7:$B$3006,"&gt;="&amp;DATE(年度,10,1),资金台帐!$B$7:$B$3006,"&lt;"&amp;DATE(年度,10+1,1)))</f>
        <v>0</v>
      </c>
      <c r="N20" s="186">
        <f>IF($B20="","",-SUMIFS(资金台帐!$S$7:$S$3006,资金台帐!$P$7:$P$3006,"费用",资金台帐!$L$7:$L$3006,$B20,资金台帐!$B$7:$B$3006,"&gt;="&amp;DATE(年度,11,1),资金台帐!$B$7:$B$3006,"&lt;"&amp;DATE(年度,11+1,1)))</f>
        <v>0</v>
      </c>
      <c r="O20" s="186">
        <f>IF($B20="","",-SUMIFS(资金台帐!$S$7:$S$3006,资金台帐!$P$7:$P$3006,"费用",资金台帐!$L$7:$L$3006,$B20,资金台帐!$B$7:$B$3006,"&gt;="&amp;DATE(年度,12,1),资金台帐!$B$7:$B$3006,"&lt;"&amp;DATE(年度,12+1,1)))</f>
        <v>0</v>
      </c>
      <c r="P20" s="187">
        <f>IF(B20="","",SUM(D20:O20))</f>
        <v>0</v>
      </c>
      <c r="Q20" s="265">
        <f>IF(OR(B20="",N($P$56)=0),"",P20/$P$56)</f>
      </c>
    </row>
    <row r="21">
      <c r="A21" s="194">
        <f>IF(B21="","",ROW()-4)</f>
        <v>17</v>
      </c>
      <c r="B21" s="141" t="str">
        <f>IF(基础资料!AI21="","",基础资料!AI21&amp;"")</f>
        <v>罚款赔偿</v>
      </c>
      <c r="C21" s="141" t="str">
        <f>IF(B21="","",基础资料!AJ21&amp;"")</f>
        <v>营业外支出</v>
      </c>
      <c r="D21" s="186">
        <f>IF($B21="","",-SUMIFS(资金台帐!$S$7:$S$3006,资金台帐!$P$7:$P$3006,"费用",资金台帐!$L$7:$L$3006,$B21,资金台帐!$B$7:$B$3006,"&gt;="&amp;DATE(年度,1,1),资金台帐!$B$7:$B$3006,"&lt;"&amp;DATE(年度,1+1,1)))</f>
        <v>0</v>
      </c>
      <c r="E21" s="186">
        <f>IF($B21="","",-SUMIFS(资金台帐!$S$7:$S$3006,资金台帐!$P$7:$P$3006,"费用",资金台帐!$L$7:$L$3006,$B21,资金台帐!$B$7:$B$3006,"&gt;="&amp;DATE(年度,2,1),资金台帐!$B$7:$B$3006,"&lt;"&amp;DATE(年度,2+1,1)))</f>
        <v>0</v>
      </c>
      <c r="F21" s="186">
        <f>IF($B21="","",-SUMIFS(资金台帐!$S$7:$S$3006,资金台帐!$P$7:$P$3006,"费用",资金台帐!$L$7:$L$3006,$B21,资金台帐!$B$7:$B$3006,"&gt;="&amp;DATE(年度,3,1),资金台帐!$B$7:$B$3006,"&lt;"&amp;DATE(年度,3+1,1)))</f>
        <v>0</v>
      </c>
      <c r="G21" s="186">
        <f>IF($B21="","",-SUMIFS(资金台帐!$S$7:$S$3006,资金台帐!$P$7:$P$3006,"费用",资金台帐!$L$7:$L$3006,$B21,资金台帐!$B$7:$B$3006,"&gt;="&amp;DATE(年度,4,1),资金台帐!$B$7:$B$3006,"&lt;"&amp;DATE(年度,4+1,1)))</f>
        <v>0</v>
      </c>
      <c r="H21" s="186">
        <f>IF($B21="","",-SUMIFS(资金台帐!$S$7:$S$3006,资金台帐!$P$7:$P$3006,"费用",资金台帐!$L$7:$L$3006,$B21,资金台帐!$B$7:$B$3006,"&gt;="&amp;DATE(年度,5,1),资金台帐!$B$7:$B$3006,"&lt;"&amp;DATE(年度,5+1,1)))</f>
        <v>0</v>
      </c>
      <c r="I21" s="186">
        <f>IF($B21="","",-SUMIFS(资金台帐!$S$7:$S$3006,资金台帐!$P$7:$P$3006,"费用",资金台帐!$L$7:$L$3006,$B21,资金台帐!$B$7:$B$3006,"&gt;="&amp;DATE(年度,6,1),资金台帐!$B$7:$B$3006,"&lt;"&amp;DATE(年度,6+1,1)))</f>
        <v>0</v>
      </c>
      <c r="J21" s="186">
        <f>IF($B21="","",-SUMIFS(资金台帐!$S$7:$S$3006,资金台帐!$P$7:$P$3006,"费用",资金台帐!$L$7:$L$3006,$B21,资金台帐!$B$7:$B$3006,"&gt;="&amp;DATE(年度,7,1),资金台帐!$B$7:$B$3006,"&lt;"&amp;DATE(年度,7+1,1)))</f>
        <v>0</v>
      </c>
      <c r="K21" s="186">
        <f>IF($B21="","",-SUMIFS(资金台帐!$S$7:$S$3006,资金台帐!$P$7:$P$3006,"费用",资金台帐!$L$7:$L$3006,$B21,资金台帐!$B$7:$B$3006,"&gt;="&amp;DATE(年度,8,1),资金台帐!$B$7:$B$3006,"&lt;"&amp;DATE(年度,8+1,1)))</f>
        <v>0</v>
      </c>
      <c r="L21" s="186">
        <f>IF($B21="","",-SUMIFS(资金台帐!$S$7:$S$3006,资金台帐!$P$7:$P$3006,"费用",资金台帐!$L$7:$L$3006,$B21,资金台帐!$B$7:$B$3006,"&gt;="&amp;DATE(年度,9,1),资金台帐!$B$7:$B$3006,"&lt;"&amp;DATE(年度,9+1,1)))</f>
        <v>0</v>
      </c>
      <c r="M21" s="186">
        <f>IF($B21="","",-SUMIFS(资金台帐!$S$7:$S$3006,资金台帐!$P$7:$P$3006,"费用",资金台帐!$L$7:$L$3006,$B21,资金台帐!$B$7:$B$3006,"&gt;="&amp;DATE(年度,10,1),资金台帐!$B$7:$B$3006,"&lt;"&amp;DATE(年度,10+1,1)))</f>
        <v>0</v>
      </c>
      <c r="N21" s="186">
        <f>IF($B21="","",-SUMIFS(资金台帐!$S$7:$S$3006,资金台帐!$P$7:$P$3006,"费用",资金台帐!$L$7:$L$3006,$B21,资金台帐!$B$7:$B$3006,"&gt;="&amp;DATE(年度,11,1),资金台帐!$B$7:$B$3006,"&lt;"&amp;DATE(年度,11+1,1)))</f>
        <v>0</v>
      </c>
      <c r="O21" s="186">
        <f>IF($B21="","",-SUMIFS(资金台帐!$S$7:$S$3006,资金台帐!$P$7:$P$3006,"费用",资金台帐!$L$7:$L$3006,$B21,资金台帐!$B$7:$B$3006,"&gt;="&amp;DATE(年度,12,1),资金台帐!$B$7:$B$3006,"&lt;"&amp;DATE(年度,12+1,1)))</f>
        <v>0</v>
      </c>
      <c r="P21" s="187">
        <f>IF(B21="","",SUM(D21:O21))</f>
        <v>0</v>
      </c>
      <c r="Q21" s="265">
        <f>IF(OR(B21="",N($P$56)=0),"",P21/$P$56)</f>
      </c>
    </row>
    <row r="22">
      <c r="A22" s="194">
        <f>IF(B22="","",ROW()-4)</f>
        <v>18</v>
      </c>
      <c r="B22" s="141" t="str">
        <f>IF(基础资料!AI22="","",基础资料!AI22&amp;"")</f>
        <v>所得税</v>
      </c>
      <c r="C22" s="141" t="str">
        <f>IF(B22="","",基础资料!AJ22&amp;"")</f>
        <v>所得税费用</v>
      </c>
      <c r="D22" s="186">
        <f>IF($B22="","",-SUMIFS(资金台帐!$S$7:$S$3006,资金台帐!$P$7:$P$3006,"费用",资金台帐!$L$7:$L$3006,$B22,资金台帐!$B$7:$B$3006,"&gt;="&amp;DATE(年度,1,1),资金台帐!$B$7:$B$3006,"&lt;"&amp;DATE(年度,1+1,1)))</f>
        <v>0</v>
      </c>
      <c r="E22" s="186">
        <f>IF($B22="","",-SUMIFS(资金台帐!$S$7:$S$3006,资金台帐!$P$7:$P$3006,"费用",资金台帐!$L$7:$L$3006,$B22,资金台帐!$B$7:$B$3006,"&gt;="&amp;DATE(年度,2,1),资金台帐!$B$7:$B$3006,"&lt;"&amp;DATE(年度,2+1,1)))</f>
        <v>0</v>
      </c>
      <c r="F22" s="186">
        <f>IF($B22="","",-SUMIFS(资金台帐!$S$7:$S$3006,资金台帐!$P$7:$P$3006,"费用",资金台帐!$L$7:$L$3006,$B22,资金台帐!$B$7:$B$3006,"&gt;="&amp;DATE(年度,3,1),资金台帐!$B$7:$B$3006,"&lt;"&amp;DATE(年度,3+1,1)))</f>
        <v>0</v>
      </c>
      <c r="G22" s="186">
        <f>IF($B22="","",-SUMIFS(资金台帐!$S$7:$S$3006,资金台帐!$P$7:$P$3006,"费用",资金台帐!$L$7:$L$3006,$B22,资金台帐!$B$7:$B$3006,"&gt;="&amp;DATE(年度,4,1),资金台帐!$B$7:$B$3006,"&lt;"&amp;DATE(年度,4+1,1)))</f>
        <v>0</v>
      </c>
      <c r="H22" s="186">
        <f>IF($B22="","",-SUMIFS(资金台帐!$S$7:$S$3006,资金台帐!$P$7:$P$3006,"费用",资金台帐!$L$7:$L$3006,$B22,资金台帐!$B$7:$B$3006,"&gt;="&amp;DATE(年度,5,1),资金台帐!$B$7:$B$3006,"&lt;"&amp;DATE(年度,5+1,1)))</f>
        <v>0</v>
      </c>
      <c r="I22" s="186">
        <f>IF($B22="","",-SUMIFS(资金台帐!$S$7:$S$3006,资金台帐!$P$7:$P$3006,"费用",资金台帐!$L$7:$L$3006,$B22,资金台帐!$B$7:$B$3006,"&gt;="&amp;DATE(年度,6,1),资金台帐!$B$7:$B$3006,"&lt;"&amp;DATE(年度,6+1,1)))</f>
        <v>0</v>
      </c>
      <c r="J22" s="186">
        <f>IF($B22="","",-SUMIFS(资金台帐!$S$7:$S$3006,资金台帐!$P$7:$P$3006,"费用",资金台帐!$L$7:$L$3006,$B22,资金台帐!$B$7:$B$3006,"&gt;="&amp;DATE(年度,7,1),资金台帐!$B$7:$B$3006,"&lt;"&amp;DATE(年度,7+1,1)))</f>
        <v>0</v>
      </c>
      <c r="K22" s="186">
        <f>IF($B22="","",-SUMIFS(资金台帐!$S$7:$S$3006,资金台帐!$P$7:$P$3006,"费用",资金台帐!$L$7:$L$3006,$B22,资金台帐!$B$7:$B$3006,"&gt;="&amp;DATE(年度,8,1),资金台帐!$B$7:$B$3006,"&lt;"&amp;DATE(年度,8+1,1)))</f>
        <v>0</v>
      </c>
      <c r="L22" s="186">
        <f>IF($B22="","",-SUMIFS(资金台帐!$S$7:$S$3006,资金台帐!$P$7:$P$3006,"费用",资金台帐!$L$7:$L$3006,$B22,资金台帐!$B$7:$B$3006,"&gt;="&amp;DATE(年度,9,1),资金台帐!$B$7:$B$3006,"&lt;"&amp;DATE(年度,9+1,1)))</f>
        <v>0</v>
      </c>
      <c r="M22" s="186">
        <f>IF($B22="","",-SUMIFS(资金台帐!$S$7:$S$3006,资金台帐!$P$7:$P$3006,"费用",资金台帐!$L$7:$L$3006,$B22,资金台帐!$B$7:$B$3006,"&gt;="&amp;DATE(年度,10,1),资金台帐!$B$7:$B$3006,"&lt;"&amp;DATE(年度,10+1,1)))</f>
        <v>0</v>
      </c>
      <c r="N22" s="186">
        <f>IF($B22="","",-SUMIFS(资金台帐!$S$7:$S$3006,资金台帐!$P$7:$P$3006,"费用",资金台帐!$L$7:$L$3006,$B22,资金台帐!$B$7:$B$3006,"&gt;="&amp;DATE(年度,11,1),资金台帐!$B$7:$B$3006,"&lt;"&amp;DATE(年度,11+1,1)))</f>
        <v>0</v>
      </c>
      <c r="O22" s="186">
        <f>IF($B22="","",-SUMIFS(资金台帐!$S$7:$S$3006,资金台帐!$P$7:$P$3006,"费用",资金台帐!$L$7:$L$3006,$B22,资金台帐!$B$7:$B$3006,"&gt;="&amp;DATE(年度,12,1),资金台帐!$B$7:$B$3006,"&lt;"&amp;DATE(年度,12+1,1)))</f>
        <v>0</v>
      </c>
      <c r="P22" s="187">
        <f>IF(B22="","",SUM(D22:O22))</f>
        <v>0</v>
      </c>
      <c r="Q22" s="265">
        <f>IF(OR(B22="",N($P$56)=0),"",P22/$P$56)</f>
      </c>
    </row>
    <row r="23">
      <c r="A23" s="194">
        <f>IF(B23="","",ROW()-4)</f>
      </c>
      <c r="B23" s="141">
        <f>IF(基础资料!AI23="","",基础资料!AI23&amp;"")</f>
      </c>
      <c r="C23" s="141">
        <f>IF(B23="","",基础资料!AJ23&amp;"")</f>
      </c>
      <c r="D23" s="186">
        <f>IF($B23="","",-SUMIFS(资金台帐!$S$7:$S$3006,资金台帐!$P$7:$P$3006,"费用",资金台帐!$L$7:$L$3006,$B23,资金台帐!$B$7:$B$3006,"&gt;="&amp;DATE(年度,1,1),资金台帐!$B$7:$B$3006,"&lt;"&amp;DATE(年度,1+1,1)))</f>
      </c>
      <c r="E23" s="186">
        <f>IF($B23="","",-SUMIFS(资金台帐!$S$7:$S$3006,资金台帐!$P$7:$P$3006,"费用",资金台帐!$L$7:$L$3006,$B23,资金台帐!$B$7:$B$3006,"&gt;="&amp;DATE(年度,2,1),资金台帐!$B$7:$B$3006,"&lt;"&amp;DATE(年度,2+1,1)))</f>
      </c>
      <c r="F23" s="186">
        <f>IF($B23="","",-SUMIFS(资金台帐!$S$7:$S$3006,资金台帐!$P$7:$P$3006,"费用",资金台帐!$L$7:$L$3006,$B23,资金台帐!$B$7:$B$3006,"&gt;="&amp;DATE(年度,3,1),资金台帐!$B$7:$B$3006,"&lt;"&amp;DATE(年度,3+1,1)))</f>
      </c>
      <c r="G23" s="186">
        <f>IF($B23="","",-SUMIFS(资金台帐!$S$7:$S$3006,资金台帐!$P$7:$P$3006,"费用",资金台帐!$L$7:$L$3006,$B23,资金台帐!$B$7:$B$3006,"&gt;="&amp;DATE(年度,4,1),资金台帐!$B$7:$B$3006,"&lt;"&amp;DATE(年度,4+1,1)))</f>
      </c>
      <c r="H23" s="186">
        <f>IF($B23="","",-SUMIFS(资金台帐!$S$7:$S$3006,资金台帐!$P$7:$P$3006,"费用",资金台帐!$L$7:$L$3006,$B23,资金台帐!$B$7:$B$3006,"&gt;="&amp;DATE(年度,5,1),资金台帐!$B$7:$B$3006,"&lt;"&amp;DATE(年度,5+1,1)))</f>
      </c>
      <c r="I23" s="186">
        <f>IF($B23="","",-SUMIFS(资金台帐!$S$7:$S$3006,资金台帐!$P$7:$P$3006,"费用",资金台帐!$L$7:$L$3006,$B23,资金台帐!$B$7:$B$3006,"&gt;="&amp;DATE(年度,6,1),资金台帐!$B$7:$B$3006,"&lt;"&amp;DATE(年度,6+1,1)))</f>
      </c>
      <c r="J23" s="186">
        <f>IF($B23="","",-SUMIFS(资金台帐!$S$7:$S$3006,资金台帐!$P$7:$P$3006,"费用",资金台帐!$L$7:$L$3006,$B23,资金台帐!$B$7:$B$3006,"&gt;="&amp;DATE(年度,7,1),资金台帐!$B$7:$B$3006,"&lt;"&amp;DATE(年度,7+1,1)))</f>
      </c>
      <c r="K23" s="186">
        <f>IF($B23="","",-SUMIFS(资金台帐!$S$7:$S$3006,资金台帐!$P$7:$P$3006,"费用",资金台帐!$L$7:$L$3006,$B23,资金台帐!$B$7:$B$3006,"&gt;="&amp;DATE(年度,8,1),资金台帐!$B$7:$B$3006,"&lt;"&amp;DATE(年度,8+1,1)))</f>
      </c>
      <c r="L23" s="186">
        <f>IF($B23="","",-SUMIFS(资金台帐!$S$7:$S$3006,资金台帐!$P$7:$P$3006,"费用",资金台帐!$L$7:$L$3006,$B23,资金台帐!$B$7:$B$3006,"&gt;="&amp;DATE(年度,9,1),资金台帐!$B$7:$B$3006,"&lt;"&amp;DATE(年度,9+1,1)))</f>
      </c>
      <c r="M23" s="186">
        <f>IF($B23="","",-SUMIFS(资金台帐!$S$7:$S$3006,资金台帐!$P$7:$P$3006,"费用",资金台帐!$L$7:$L$3006,$B23,资金台帐!$B$7:$B$3006,"&gt;="&amp;DATE(年度,10,1),资金台帐!$B$7:$B$3006,"&lt;"&amp;DATE(年度,10+1,1)))</f>
      </c>
      <c r="N23" s="186">
        <f>IF($B23="","",-SUMIFS(资金台帐!$S$7:$S$3006,资金台帐!$P$7:$P$3006,"费用",资金台帐!$L$7:$L$3006,$B23,资金台帐!$B$7:$B$3006,"&gt;="&amp;DATE(年度,11,1),资金台帐!$B$7:$B$3006,"&lt;"&amp;DATE(年度,11+1,1)))</f>
      </c>
      <c r="O23" s="186">
        <f>IF($B23="","",-SUMIFS(资金台帐!$S$7:$S$3006,资金台帐!$P$7:$P$3006,"费用",资金台帐!$L$7:$L$3006,$B23,资金台帐!$B$7:$B$3006,"&gt;="&amp;DATE(年度,12,1),资金台帐!$B$7:$B$3006,"&lt;"&amp;DATE(年度,12+1,1)))</f>
      </c>
      <c r="P23" s="187">
        <f>IF(B23="","",SUM(D23:O23))</f>
      </c>
      <c r="Q23" s="265">
        <f>IF(OR(B23="",N($P$56)=0),"",P23/$P$56)</f>
      </c>
    </row>
    <row r="24">
      <c r="A24" s="194">
        <f>IF(B24="","",ROW()-4)</f>
      </c>
      <c r="B24" s="141">
        <f>IF(基础资料!AI24="","",基础资料!AI24&amp;"")</f>
      </c>
      <c r="C24" s="141">
        <f>IF(B24="","",基础资料!AJ24&amp;"")</f>
      </c>
      <c r="D24" s="186">
        <f>IF($B24="","",-SUMIFS(资金台帐!$S$7:$S$3006,资金台帐!$P$7:$P$3006,"费用",资金台帐!$L$7:$L$3006,$B24,资金台帐!$B$7:$B$3006,"&gt;="&amp;DATE(年度,1,1),资金台帐!$B$7:$B$3006,"&lt;"&amp;DATE(年度,1+1,1)))</f>
      </c>
      <c r="E24" s="186">
        <f>IF($B24="","",-SUMIFS(资金台帐!$S$7:$S$3006,资金台帐!$P$7:$P$3006,"费用",资金台帐!$L$7:$L$3006,$B24,资金台帐!$B$7:$B$3006,"&gt;="&amp;DATE(年度,2,1),资金台帐!$B$7:$B$3006,"&lt;"&amp;DATE(年度,2+1,1)))</f>
      </c>
      <c r="F24" s="186">
        <f>IF($B24="","",-SUMIFS(资金台帐!$S$7:$S$3006,资金台帐!$P$7:$P$3006,"费用",资金台帐!$L$7:$L$3006,$B24,资金台帐!$B$7:$B$3006,"&gt;="&amp;DATE(年度,3,1),资金台帐!$B$7:$B$3006,"&lt;"&amp;DATE(年度,3+1,1)))</f>
      </c>
      <c r="G24" s="186">
        <f>IF($B24="","",-SUMIFS(资金台帐!$S$7:$S$3006,资金台帐!$P$7:$P$3006,"费用",资金台帐!$L$7:$L$3006,$B24,资金台帐!$B$7:$B$3006,"&gt;="&amp;DATE(年度,4,1),资金台帐!$B$7:$B$3006,"&lt;"&amp;DATE(年度,4+1,1)))</f>
      </c>
      <c r="H24" s="186">
        <f>IF($B24="","",-SUMIFS(资金台帐!$S$7:$S$3006,资金台帐!$P$7:$P$3006,"费用",资金台帐!$L$7:$L$3006,$B24,资金台帐!$B$7:$B$3006,"&gt;="&amp;DATE(年度,5,1),资金台帐!$B$7:$B$3006,"&lt;"&amp;DATE(年度,5+1,1)))</f>
      </c>
      <c r="I24" s="186">
        <f>IF($B24="","",-SUMIFS(资金台帐!$S$7:$S$3006,资金台帐!$P$7:$P$3006,"费用",资金台帐!$L$7:$L$3006,$B24,资金台帐!$B$7:$B$3006,"&gt;="&amp;DATE(年度,6,1),资金台帐!$B$7:$B$3006,"&lt;"&amp;DATE(年度,6+1,1)))</f>
      </c>
      <c r="J24" s="186">
        <f>IF($B24="","",-SUMIFS(资金台帐!$S$7:$S$3006,资金台帐!$P$7:$P$3006,"费用",资金台帐!$L$7:$L$3006,$B24,资金台帐!$B$7:$B$3006,"&gt;="&amp;DATE(年度,7,1),资金台帐!$B$7:$B$3006,"&lt;"&amp;DATE(年度,7+1,1)))</f>
      </c>
      <c r="K24" s="186">
        <f>IF($B24="","",-SUMIFS(资金台帐!$S$7:$S$3006,资金台帐!$P$7:$P$3006,"费用",资金台帐!$L$7:$L$3006,$B24,资金台帐!$B$7:$B$3006,"&gt;="&amp;DATE(年度,8,1),资金台帐!$B$7:$B$3006,"&lt;"&amp;DATE(年度,8+1,1)))</f>
      </c>
      <c r="L24" s="186">
        <f>IF($B24="","",-SUMIFS(资金台帐!$S$7:$S$3006,资金台帐!$P$7:$P$3006,"费用",资金台帐!$L$7:$L$3006,$B24,资金台帐!$B$7:$B$3006,"&gt;="&amp;DATE(年度,9,1),资金台帐!$B$7:$B$3006,"&lt;"&amp;DATE(年度,9+1,1)))</f>
      </c>
      <c r="M24" s="186">
        <f>IF($B24="","",-SUMIFS(资金台帐!$S$7:$S$3006,资金台帐!$P$7:$P$3006,"费用",资金台帐!$L$7:$L$3006,$B24,资金台帐!$B$7:$B$3006,"&gt;="&amp;DATE(年度,10,1),资金台帐!$B$7:$B$3006,"&lt;"&amp;DATE(年度,10+1,1)))</f>
      </c>
      <c r="N24" s="186">
        <f>IF($B24="","",-SUMIFS(资金台帐!$S$7:$S$3006,资金台帐!$P$7:$P$3006,"费用",资金台帐!$L$7:$L$3006,$B24,资金台帐!$B$7:$B$3006,"&gt;="&amp;DATE(年度,11,1),资金台帐!$B$7:$B$3006,"&lt;"&amp;DATE(年度,11+1,1)))</f>
      </c>
      <c r="O24" s="186">
        <f>IF($B24="","",-SUMIFS(资金台帐!$S$7:$S$3006,资金台帐!$P$7:$P$3006,"费用",资金台帐!$L$7:$L$3006,$B24,资金台帐!$B$7:$B$3006,"&gt;="&amp;DATE(年度,12,1),资金台帐!$B$7:$B$3006,"&lt;"&amp;DATE(年度,12+1,1)))</f>
      </c>
      <c r="P24" s="187">
        <f>IF(B24="","",SUM(D24:O24))</f>
      </c>
      <c r="Q24" s="265">
        <f>IF(OR(B24="",N($P$56)=0),"",P24/$P$56)</f>
      </c>
    </row>
    <row r="25">
      <c r="A25" s="194">
        <f>IF(B25="","",ROW()-4)</f>
      </c>
      <c r="B25" s="141">
        <f>IF(基础资料!AI25="","",基础资料!AI25&amp;"")</f>
      </c>
      <c r="C25" s="141">
        <f>IF(B25="","",基础资料!AJ25&amp;"")</f>
      </c>
      <c r="D25" s="186">
        <f>IF($B25="","",-SUMIFS(资金台帐!$S$7:$S$3006,资金台帐!$P$7:$P$3006,"费用",资金台帐!$L$7:$L$3006,$B25,资金台帐!$B$7:$B$3006,"&gt;="&amp;DATE(年度,1,1),资金台帐!$B$7:$B$3006,"&lt;"&amp;DATE(年度,1+1,1)))</f>
      </c>
      <c r="E25" s="186">
        <f>IF($B25="","",-SUMIFS(资金台帐!$S$7:$S$3006,资金台帐!$P$7:$P$3006,"费用",资金台帐!$L$7:$L$3006,$B25,资金台帐!$B$7:$B$3006,"&gt;="&amp;DATE(年度,2,1),资金台帐!$B$7:$B$3006,"&lt;"&amp;DATE(年度,2+1,1)))</f>
      </c>
      <c r="F25" s="186">
        <f>IF($B25="","",-SUMIFS(资金台帐!$S$7:$S$3006,资金台帐!$P$7:$P$3006,"费用",资金台帐!$L$7:$L$3006,$B25,资金台帐!$B$7:$B$3006,"&gt;="&amp;DATE(年度,3,1),资金台帐!$B$7:$B$3006,"&lt;"&amp;DATE(年度,3+1,1)))</f>
      </c>
      <c r="G25" s="186">
        <f>IF($B25="","",-SUMIFS(资金台帐!$S$7:$S$3006,资金台帐!$P$7:$P$3006,"费用",资金台帐!$L$7:$L$3006,$B25,资金台帐!$B$7:$B$3006,"&gt;="&amp;DATE(年度,4,1),资金台帐!$B$7:$B$3006,"&lt;"&amp;DATE(年度,4+1,1)))</f>
      </c>
      <c r="H25" s="186">
        <f>IF($B25="","",-SUMIFS(资金台帐!$S$7:$S$3006,资金台帐!$P$7:$P$3006,"费用",资金台帐!$L$7:$L$3006,$B25,资金台帐!$B$7:$B$3006,"&gt;="&amp;DATE(年度,5,1),资金台帐!$B$7:$B$3006,"&lt;"&amp;DATE(年度,5+1,1)))</f>
      </c>
      <c r="I25" s="186">
        <f>IF($B25="","",-SUMIFS(资金台帐!$S$7:$S$3006,资金台帐!$P$7:$P$3006,"费用",资金台帐!$L$7:$L$3006,$B25,资金台帐!$B$7:$B$3006,"&gt;="&amp;DATE(年度,6,1),资金台帐!$B$7:$B$3006,"&lt;"&amp;DATE(年度,6+1,1)))</f>
      </c>
      <c r="J25" s="186">
        <f>IF($B25="","",-SUMIFS(资金台帐!$S$7:$S$3006,资金台帐!$P$7:$P$3006,"费用",资金台帐!$L$7:$L$3006,$B25,资金台帐!$B$7:$B$3006,"&gt;="&amp;DATE(年度,7,1),资金台帐!$B$7:$B$3006,"&lt;"&amp;DATE(年度,7+1,1)))</f>
      </c>
      <c r="K25" s="186">
        <f>IF($B25="","",-SUMIFS(资金台帐!$S$7:$S$3006,资金台帐!$P$7:$P$3006,"费用",资金台帐!$L$7:$L$3006,$B25,资金台帐!$B$7:$B$3006,"&gt;="&amp;DATE(年度,8,1),资金台帐!$B$7:$B$3006,"&lt;"&amp;DATE(年度,8+1,1)))</f>
      </c>
      <c r="L25" s="186">
        <f>IF($B25="","",-SUMIFS(资金台帐!$S$7:$S$3006,资金台帐!$P$7:$P$3006,"费用",资金台帐!$L$7:$L$3006,$B25,资金台帐!$B$7:$B$3006,"&gt;="&amp;DATE(年度,9,1),资金台帐!$B$7:$B$3006,"&lt;"&amp;DATE(年度,9+1,1)))</f>
      </c>
      <c r="M25" s="186">
        <f>IF($B25="","",-SUMIFS(资金台帐!$S$7:$S$3006,资金台帐!$P$7:$P$3006,"费用",资金台帐!$L$7:$L$3006,$B25,资金台帐!$B$7:$B$3006,"&gt;="&amp;DATE(年度,10,1),资金台帐!$B$7:$B$3006,"&lt;"&amp;DATE(年度,10+1,1)))</f>
      </c>
      <c r="N25" s="186">
        <f>IF($B25="","",-SUMIFS(资金台帐!$S$7:$S$3006,资金台帐!$P$7:$P$3006,"费用",资金台帐!$L$7:$L$3006,$B25,资金台帐!$B$7:$B$3006,"&gt;="&amp;DATE(年度,11,1),资金台帐!$B$7:$B$3006,"&lt;"&amp;DATE(年度,11+1,1)))</f>
      </c>
      <c r="O25" s="186">
        <f>IF($B25="","",-SUMIFS(资金台帐!$S$7:$S$3006,资金台帐!$P$7:$P$3006,"费用",资金台帐!$L$7:$L$3006,$B25,资金台帐!$B$7:$B$3006,"&gt;="&amp;DATE(年度,12,1),资金台帐!$B$7:$B$3006,"&lt;"&amp;DATE(年度,12+1,1)))</f>
      </c>
      <c r="P25" s="187">
        <f>IF(B25="","",SUM(D25:O25))</f>
      </c>
      <c r="Q25" s="265">
        <f>IF(OR(B25="",N($P$56)=0),"",P25/$P$56)</f>
      </c>
    </row>
    <row r="26">
      <c r="A26" s="194">
        <f>IF(B26="","",ROW()-4)</f>
      </c>
      <c r="B26" s="141">
        <f>IF(基础资料!AI26="","",基础资料!AI26&amp;"")</f>
      </c>
      <c r="C26" s="141">
        <f>IF(B26="","",基础资料!AJ26&amp;"")</f>
      </c>
      <c r="D26" s="186">
        <f>IF($B26="","",-SUMIFS(资金台帐!$S$7:$S$3006,资金台帐!$P$7:$P$3006,"费用",资金台帐!$L$7:$L$3006,$B26,资金台帐!$B$7:$B$3006,"&gt;="&amp;DATE(年度,1,1),资金台帐!$B$7:$B$3006,"&lt;"&amp;DATE(年度,1+1,1)))</f>
      </c>
      <c r="E26" s="186">
        <f>IF($B26="","",-SUMIFS(资金台帐!$S$7:$S$3006,资金台帐!$P$7:$P$3006,"费用",资金台帐!$L$7:$L$3006,$B26,资金台帐!$B$7:$B$3006,"&gt;="&amp;DATE(年度,2,1),资金台帐!$B$7:$B$3006,"&lt;"&amp;DATE(年度,2+1,1)))</f>
      </c>
      <c r="F26" s="186">
        <f>IF($B26="","",-SUMIFS(资金台帐!$S$7:$S$3006,资金台帐!$P$7:$P$3006,"费用",资金台帐!$L$7:$L$3006,$B26,资金台帐!$B$7:$B$3006,"&gt;="&amp;DATE(年度,3,1),资金台帐!$B$7:$B$3006,"&lt;"&amp;DATE(年度,3+1,1)))</f>
      </c>
      <c r="G26" s="186">
        <f>IF($B26="","",-SUMIFS(资金台帐!$S$7:$S$3006,资金台帐!$P$7:$P$3006,"费用",资金台帐!$L$7:$L$3006,$B26,资金台帐!$B$7:$B$3006,"&gt;="&amp;DATE(年度,4,1),资金台帐!$B$7:$B$3006,"&lt;"&amp;DATE(年度,4+1,1)))</f>
      </c>
      <c r="H26" s="186">
        <f>IF($B26="","",-SUMIFS(资金台帐!$S$7:$S$3006,资金台帐!$P$7:$P$3006,"费用",资金台帐!$L$7:$L$3006,$B26,资金台帐!$B$7:$B$3006,"&gt;="&amp;DATE(年度,5,1),资金台帐!$B$7:$B$3006,"&lt;"&amp;DATE(年度,5+1,1)))</f>
      </c>
      <c r="I26" s="186">
        <f>IF($B26="","",-SUMIFS(资金台帐!$S$7:$S$3006,资金台帐!$P$7:$P$3006,"费用",资金台帐!$L$7:$L$3006,$B26,资金台帐!$B$7:$B$3006,"&gt;="&amp;DATE(年度,6,1),资金台帐!$B$7:$B$3006,"&lt;"&amp;DATE(年度,6+1,1)))</f>
      </c>
      <c r="J26" s="186">
        <f>IF($B26="","",-SUMIFS(资金台帐!$S$7:$S$3006,资金台帐!$P$7:$P$3006,"费用",资金台帐!$L$7:$L$3006,$B26,资金台帐!$B$7:$B$3006,"&gt;="&amp;DATE(年度,7,1),资金台帐!$B$7:$B$3006,"&lt;"&amp;DATE(年度,7+1,1)))</f>
      </c>
      <c r="K26" s="186">
        <f>IF($B26="","",-SUMIFS(资金台帐!$S$7:$S$3006,资金台帐!$P$7:$P$3006,"费用",资金台帐!$L$7:$L$3006,$B26,资金台帐!$B$7:$B$3006,"&gt;="&amp;DATE(年度,8,1),资金台帐!$B$7:$B$3006,"&lt;"&amp;DATE(年度,8+1,1)))</f>
      </c>
      <c r="L26" s="186">
        <f>IF($B26="","",-SUMIFS(资金台帐!$S$7:$S$3006,资金台帐!$P$7:$P$3006,"费用",资金台帐!$L$7:$L$3006,$B26,资金台帐!$B$7:$B$3006,"&gt;="&amp;DATE(年度,9,1),资金台帐!$B$7:$B$3006,"&lt;"&amp;DATE(年度,9+1,1)))</f>
      </c>
      <c r="M26" s="186">
        <f>IF($B26="","",-SUMIFS(资金台帐!$S$7:$S$3006,资金台帐!$P$7:$P$3006,"费用",资金台帐!$L$7:$L$3006,$B26,资金台帐!$B$7:$B$3006,"&gt;="&amp;DATE(年度,10,1),资金台帐!$B$7:$B$3006,"&lt;"&amp;DATE(年度,10+1,1)))</f>
      </c>
      <c r="N26" s="186">
        <f>IF($B26="","",-SUMIFS(资金台帐!$S$7:$S$3006,资金台帐!$P$7:$P$3006,"费用",资金台帐!$L$7:$L$3006,$B26,资金台帐!$B$7:$B$3006,"&gt;="&amp;DATE(年度,11,1),资金台帐!$B$7:$B$3006,"&lt;"&amp;DATE(年度,11+1,1)))</f>
      </c>
      <c r="O26" s="186">
        <f>IF($B26="","",-SUMIFS(资金台帐!$S$7:$S$3006,资金台帐!$P$7:$P$3006,"费用",资金台帐!$L$7:$L$3006,$B26,资金台帐!$B$7:$B$3006,"&gt;="&amp;DATE(年度,12,1),资金台帐!$B$7:$B$3006,"&lt;"&amp;DATE(年度,12+1,1)))</f>
      </c>
      <c r="P26" s="187">
        <f>IF(B26="","",SUM(D26:O26))</f>
      </c>
      <c r="Q26" s="265">
        <f>IF(OR(B26="",N($P$56)=0),"",P26/$P$56)</f>
      </c>
    </row>
    <row r="27">
      <c r="A27" s="194">
        <f>IF(B27="","",ROW()-4)</f>
      </c>
      <c r="B27" s="141">
        <f>IF(基础资料!AI27="","",基础资料!AI27&amp;"")</f>
      </c>
      <c r="C27" s="141">
        <f>IF(B27="","",基础资料!AJ27&amp;"")</f>
      </c>
      <c r="D27" s="186">
        <f>IF($B27="","",-SUMIFS(资金台帐!$S$7:$S$3006,资金台帐!$P$7:$P$3006,"费用",资金台帐!$L$7:$L$3006,$B27,资金台帐!$B$7:$B$3006,"&gt;="&amp;DATE(年度,1,1),资金台帐!$B$7:$B$3006,"&lt;"&amp;DATE(年度,1+1,1)))</f>
      </c>
      <c r="E27" s="186">
        <f>IF($B27="","",-SUMIFS(资金台帐!$S$7:$S$3006,资金台帐!$P$7:$P$3006,"费用",资金台帐!$L$7:$L$3006,$B27,资金台帐!$B$7:$B$3006,"&gt;="&amp;DATE(年度,2,1),资金台帐!$B$7:$B$3006,"&lt;"&amp;DATE(年度,2+1,1)))</f>
      </c>
      <c r="F27" s="186">
        <f>IF($B27="","",-SUMIFS(资金台帐!$S$7:$S$3006,资金台帐!$P$7:$P$3006,"费用",资金台帐!$L$7:$L$3006,$B27,资金台帐!$B$7:$B$3006,"&gt;="&amp;DATE(年度,3,1),资金台帐!$B$7:$B$3006,"&lt;"&amp;DATE(年度,3+1,1)))</f>
      </c>
      <c r="G27" s="186">
        <f>IF($B27="","",-SUMIFS(资金台帐!$S$7:$S$3006,资金台帐!$P$7:$P$3006,"费用",资金台帐!$L$7:$L$3006,$B27,资金台帐!$B$7:$B$3006,"&gt;="&amp;DATE(年度,4,1),资金台帐!$B$7:$B$3006,"&lt;"&amp;DATE(年度,4+1,1)))</f>
      </c>
      <c r="H27" s="186">
        <f>IF($B27="","",-SUMIFS(资金台帐!$S$7:$S$3006,资金台帐!$P$7:$P$3006,"费用",资金台帐!$L$7:$L$3006,$B27,资金台帐!$B$7:$B$3006,"&gt;="&amp;DATE(年度,5,1),资金台帐!$B$7:$B$3006,"&lt;"&amp;DATE(年度,5+1,1)))</f>
      </c>
      <c r="I27" s="186">
        <f>IF($B27="","",-SUMIFS(资金台帐!$S$7:$S$3006,资金台帐!$P$7:$P$3006,"费用",资金台帐!$L$7:$L$3006,$B27,资金台帐!$B$7:$B$3006,"&gt;="&amp;DATE(年度,6,1),资金台帐!$B$7:$B$3006,"&lt;"&amp;DATE(年度,6+1,1)))</f>
      </c>
      <c r="J27" s="186">
        <f>IF($B27="","",-SUMIFS(资金台帐!$S$7:$S$3006,资金台帐!$P$7:$P$3006,"费用",资金台帐!$L$7:$L$3006,$B27,资金台帐!$B$7:$B$3006,"&gt;="&amp;DATE(年度,7,1),资金台帐!$B$7:$B$3006,"&lt;"&amp;DATE(年度,7+1,1)))</f>
      </c>
      <c r="K27" s="186">
        <f>IF($B27="","",-SUMIFS(资金台帐!$S$7:$S$3006,资金台帐!$P$7:$P$3006,"费用",资金台帐!$L$7:$L$3006,$B27,资金台帐!$B$7:$B$3006,"&gt;="&amp;DATE(年度,8,1),资金台帐!$B$7:$B$3006,"&lt;"&amp;DATE(年度,8+1,1)))</f>
      </c>
      <c r="L27" s="186">
        <f>IF($B27="","",-SUMIFS(资金台帐!$S$7:$S$3006,资金台帐!$P$7:$P$3006,"费用",资金台帐!$L$7:$L$3006,$B27,资金台帐!$B$7:$B$3006,"&gt;="&amp;DATE(年度,9,1),资金台帐!$B$7:$B$3006,"&lt;"&amp;DATE(年度,9+1,1)))</f>
      </c>
      <c r="M27" s="186">
        <f>IF($B27="","",-SUMIFS(资金台帐!$S$7:$S$3006,资金台帐!$P$7:$P$3006,"费用",资金台帐!$L$7:$L$3006,$B27,资金台帐!$B$7:$B$3006,"&gt;="&amp;DATE(年度,10,1),资金台帐!$B$7:$B$3006,"&lt;"&amp;DATE(年度,10+1,1)))</f>
      </c>
      <c r="N27" s="186">
        <f>IF($B27="","",-SUMIFS(资金台帐!$S$7:$S$3006,资金台帐!$P$7:$P$3006,"费用",资金台帐!$L$7:$L$3006,$B27,资金台帐!$B$7:$B$3006,"&gt;="&amp;DATE(年度,11,1),资金台帐!$B$7:$B$3006,"&lt;"&amp;DATE(年度,11+1,1)))</f>
      </c>
      <c r="O27" s="186">
        <f>IF($B27="","",-SUMIFS(资金台帐!$S$7:$S$3006,资金台帐!$P$7:$P$3006,"费用",资金台帐!$L$7:$L$3006,$B27,资金台帐!$B$7:$B$3006,"&gt;="&amp;DATE(年度,12,1),资金台帐!$B$7:$B$3006,"&lt;"&amp;DATE(年度,12+1,1)))</f>
      </c>
      <c r="P27" s="187">
        <f>IF(B27="","",SUM(D27:O27))</f>
      </c>
      <c r="Q27" s="265">
        <f>IF(OR(B27="",N($P$56)=0),"",P27/$P$56)</f>
      </c>
    </row>
    <row r="28">
      <c r="A28" s="194">
        <f>IF(B28="","",ROW()-4)</f>
      </c>
      <c r="B28" s="141">
        <f>IF(基础资料!AI28="","",基础资料!AI28&amp;"")</f>
      </c>
      <c r="C28" s="141">
        <f>IF(B28="","",基础资料!AJ28&amp;"")</f>
      </c>
      <c r="D28" s="186">
        <f>IF($B28="","",-SUMIFS(资金台帐!$S$7:$S$3006,资金台帐!$P$7:$P$3006,"费用",资金台帐!$L$7:$L$3006,$B28,资金台帐!$B$7:$B$3006,"&gt;="&amp;DATE(年度,1,1),资金台帐!$B$7:$B$3006,"&lt;"&amp;DATE(年度,1+1,1)))</f>
      </c>
      <c r="E28" s="186">
        <f>IF($B28="","",-SUMIFS(资金台帐!$S$7:$S$3006,资金台帐!$P$7:$P$3006,"费用",资金台帐!$L$7:$L$3006,$B28,资金台帐!$B$7:$B$3006,"&gt;="&amp;DATE(年度,2,1),资金台帐!$B$7:$B$3006,"&lt;"&amp;DATE(年度,2+1,1)))</f>
      </c>
      <c r="F28" s="186">
        <f>IF($B28="","",-SUMIFS(资金台帐!$S$7:$S$3006,资金台帐!$P$7:$P$3006,"费用",资金台帐!$L$7:$L$3006,$B28,资金台帐!$B$7:$B$3006,"&gt;="&amp;DATE(年度,3,1),资金台帐!$B$7:$B$3006,"&lt;"&amp;DATE(年度,3+1,1)))</f>
      </c>
      <c r="G28" s="186">
        <f>IF($B28="","",-SUMIFS(资金台帐!$S$7:$S$3006,资金台帐!$P$7:$P$3006,"费用",资金台帐!$L$7:$L$3006,$B28,资金台帐!$B$7:$B$3006,"&gt;="&amp;DATE(年度,4,1),资金台帐!$B$7:$B$3006,"&lt;"&amp;DATE(年度,4+1,1)))</f>
      </c>
      <c r="H28" s="186">
        <f>IF($B28="","",-SUMIFS(资金台帐!$S$7:$S$3006,资金台帐!$P$7:$P$3006,"费用",资金台帐!$L$7:$L$3006,$B28,资金台帐!$B$7:$B$3006,"&gt;="&amp;DATE(年度,5,1),资金台帐!$B$7:$B$3006,"&lt;"&amp;DATE(年度,5+1,1)))</f>
      </c>
      <c r="I28" s="186">
        <f>IF($B28="","",-SUMIFS(资金台帐!$S$7:$S$3006,资金台帐!$P$7:$P$3006,"费用",资金台帐!$L$7:$L$3006,$B28,资金台帐!$B$7:$B$3006,"&gt;="&amp;DATE(年度,6,1),资金台帐!$B$7:$B$3006,"&lt;"&amp;DATE(年度,6+1,1)))</f>
      </c>
      <c r="J28" s="186">
        <f>IF($B28="","",-SUMIFS(资金台帐!$S$7:$S$3006,资金台帐!$P$7:$P$3006,"费用",资金台帐!$L$7:$L$3006,$B28,资金台帐!$B$7:$B$3006,"&gt;="&amp;DATE(年度,7,1),资金台帐!$B$7:$B$3006,"&lt;"&amp;DATE(年度,7+1,1)))</f>
      </c>
      <c r="K28" s="186">
        <f>IF($B28="","",-SUMIFS(资金台帐!$S$7:$S$3006,资金台帐!$P$7:$P$3006,"费用",资金台帐!$L$7:$L$3006,$B28,资金台帐!$B$7:$B$3006,"&gt;="&amp;DATE(年度,8,1),资金台帐!$B$7:$B$3006,"&lt;"&amp;DATE(年度,8+1,1)))</f>
      </c>
      <c r="L28" s="186">
        <f>IF($B28="","",-SUMIFS(资金台帐!$S$7:$S$3006,资金台帐!$P$7:$P$3006,"费用",资金台帐!$L$7:$L$3006,$B28,资金台帐!$B$7:$B$3006,"&gt;="&amp;DATE(年度,9,1),资金台帐!$B$7:$B$3006,"&lt;"&amp;DATE(年度,9+1,1)))</f>
      </c>
      <c r="M28" s="186">
        <f>IF($B28="","",-SUMIFS(资金台帐!$S$7:$S$3006,资金台帐!$P$7:$P$3006,"费用",资金台帐!$L$7:$L$3006,$B28,资金台帐!$B$7:$B$3006,"&gt;="&amp;DATE(年度,10,1),资金台帐!$B$7:$B$3006,"&lt;"&amp;DATE(年度,10+1,1)))</f>
      </c>
      <c r="N28" s="186">
        <f>IF($B28="","",-SUMIFS(资金台帐!$S$7:$S$3006,资金台帐!$P$7:$P$3006,"费用",资金台帐!$L$7:$L$3006,$B28,资金台帐!$B$7:$B$3006,"&gt;="&amp;DATE(年度,11,1),资金台帐!$B$7:$B$3006,"&lt;"&amp;DATE(年度,11+1,1)))</f>
      </c>
      <c r="O28" s="186">
        <f>IF($B28="","",-SUMIFS(资金台帐!$S$7:$S$3006,资金台帐!$P$7:$P$3006,"费用",资金台帐!$L$7:$L$3006,$B28,资金台帐!$B$7:$B$3006,"&gt;="&amp;DATE(年度,12,1),资金台帐!$B$7:$B$3006,"&lt;"&amp;DATE(年度,12+1,1)))</f>
      </c>
      <c r="P28" s="187">
        <f>IF(B28="","",SUM(D28:O28))</f>
      </c>
      <c r="Q28" s="265">
        <f>IF(OR(B28="",N($P$56)=0),"",P28/$P$56)</f>
      </c>
    </row>
    <row r="29">
      <c r="A29" s="194">
        <f>IF(B29="","",ROW()-4)</f>
      </c>
      <c r="B29" s="141">
        <f>IF(基础资料!AI29="","",基础资料!AI29&amp;"")</f>
      </c>
      <c r="C29" s="141">
        <f>IF(B29="","",基础资料!AJ29&amp;"")</f>
      </c>
      <c r="D29" s="186">
        <f>IF($B29="","",-SUMIFS(资金台帐!$S$7:$S$3006,资金台帐!$P$7:$P$3006,"费用",资金台帐!$L$7:$L$3006,$B29,资金台帐!$B$7:$B$3006,"&gt;="&amp;DATE(年度,1,1),资金台帐!$B$7:$B$3006,"&lt;"&amp;DATE(年度,1+1,1)))</f>
      </c>
      <c r="E29" s="186">
        <f>IF($B29="","",-SUMIFS(资金台帐!$S$7:$S$3006,资金台帐!$P$7:$P$3006,"费用",资金台帐!$L$7:$L$3006,$B29,资金台帐!$B$7:$B$3006,"&gt;="&amp;DATE(年度,2,1),资金台帐!$B$7:$B$3006,"&lt;"&amp;DATE(年度,2+1,1)))</f>
      </c>
      <c r="F29" s="186">
        <f>IF($B29="","",-SUMIFS(资金台帐!$S$7:$S$3006,资金台帐!$P$7:$P$3006,"费用",资金台帐!$L$7:$L$3006,$B29,资金台帐!$B$7:$B$3006,"&gt;="&amp;DATE(年度,3,1),资金台帐!$B$7:$B$3006,"&lt;"&amp;DATE(年度,3+1,1)))</f>
      </c>
      <c r="G29" s="186">
        <f>IF($B29="","",-SUMIFS(资金台帐!$S$7:$S$3006,资金台帐!$P$7:$P$3006,"费用",资金台帐!$L$7:$L$3006,$B29,资金台帐!$B$7:$B$3006,"&gt;="&amp;DATE(年度,4,1),资金台帐!$B$7:$B$3006,"&lt;"&amp;DATE(年度,4+1,1)))</f>
      </c>
      <c r="H29" s="186">
        <f>IF($B29="","",-SUMIFS(资金台帐!$S$7:$S$3006,资金台帐!$P$7:$P$3006,"费用",资金台帐!$L$7:$L$3006,$B29,资金台帐!$B$7:$B$3006,"&gt;="&amp;DATE(年度,5,1),资金台帐!$B$7:$B$3006,"&lt;"&amp;DATE(年度,5+1,1)))</f>
      </c>
      <c r="I29" s="186">
        <f>IF($B29="","",-SUMIFS(资金台帐!$S$7:$S$3006,资金台帐!$P$7:$P$3006,"费用",资金台帐!$L$7:$L$3006,$B29,资金台帐!$B$7:$B$3006,"&gt;="&amp;DATE(年度,6,1),资金台帐!$B$7:$B$3006,"&lt;"&amp;DATE(年度,6+1,1)))</f>
      </c>
      <c r="J29" s="186">
        <f>IF($B29="","",-SUMIFS(资金台帐!$S$7:$S$3006,资金台帐!$P$7:$P$3006,"费用",资金台帐!$L$7:$L$3006,$B29,资金台帐!$B$7:$B$3006,"&gt;="&amp;DATE(年度,7,1),资金台帐!$B$7:$B$3006,"&lt;"&amp;DATE(年度,7+1,1)))</f>
      </c>
      <c r="K29" s="186">
        <f>IF($B29="","",-SUMIFS(资金台帐!$S$7:$S$3006,资金台帐!$P$7:$P$3006,"费用",资金台帐!$L$7:$L$3006,$B29,资金台帐!$B$7:$B$3006,"&gt;="&amp;DATE(年度,8,1),资金台帐!$B$7:$B$3006,"&lt;"&amp;DATE(年度,8+1,1)))</f>
      </c>
      <c r="L29" s="186">
        <f>IF($B29="","",-SUMIFS(资金台帐!$S$7:$S$3006,资金台帐!$P$7:$P$3006,"费用",资金台帐!$L$7:$L$3006,$B29,资金台帐!$B$7:$B$3006,"&gt;="&amp;DATE(年度,9,1),资金台帐!$B$7:$B$3006,"&lt;"&amp;DATE(年度,9+1,1)))</f>
      </c>
      <c r="M29" s="186">
        <f>IF($B29="","",-SUMIFS(资金台帐!$S$7:$S$3006,资金台帐!$P$7:$P$3006,"费用",资金台帐!$L$7:$L$3006,$B29,资金台帐!$B$7:$B$3006,"&gt;="&amp;DATE(年度,10,1),资金台帐!$B$7:$B$3006,"&lt;"&amp;DATE(年度,10+1,1)))</f>
      </c>
      <c r="N29" s="186">
        <f>IF($B29="","",-SUMIFS(资金台帐!$S$7:$S$3006,资金台帐!$P$7:$P$3006,"费用",资金台帐!$L$7:$L$3006,$B29,资金台帐!$B$7:$B$3006,"&gt;="&amp;DATE(年度,11,1),资金台帐!$B$7:$B$3006,"&lt;"&amp;DATE(年度,11+1,1)))</f>
      </c>
      <c r="O29" s="186">
        <f>IF($B29="","",-SUMIFS(资金台帐!$S$7:$S$3006,资金台帐!$P$7:$P$3006,"费用",资金台帐!$L$7:$L$3006,$B29,资金台帐!$B$7:$B$3006,"&gt;="&amp;DATE(年度,12,1),资金台帐!$B$7:$B$3006,"&lt;"&amp;DATE(年度,12+1,1)))</f>
      </c>
      <c r="P29" s="187">
        <f>IF(B29="","",SUM(D29:O29))</f>
      </c>
      <c r="Q29" s="265">
        <f>IF(OR(B29="",N($P$56)=0),"",P29/$P$56)</f>
      </c>
    </row>
    <row r="30">
      <c r="A30" s="194">
        <f>IF(B30="","",ROW()-4)</f>
      </c>
      <c r="B30" s="141">
        <f>IF(基础资料!AI30="","",基础资料!AI30&amp;"")</f>
      </c>
      <c r="C30" s="141">
        <f>IF(B30="","",基础资料!AJ30&amp;"")</f>
      </c>
      <c r="D30" s="186">
        <f>IF($B30="","",-SUMIFS(资金台帐!$S$7:$S$3006,资金台帐!$P$7:$P$3006,"费用",资金台帐!$L$7:$L$3006,$B30,资金台帐!$B$7:$B$3006,"&gt;="&amp;DATE(年度,1,1),资金台帐!$B$7:$B$3006,"&lt;"&amp;DATE(年度,1+1,1)))</f>
      </c>
      <c r="E30" s="186">
        <f>IF($B30="","",-SUMIFS(资金台帐!$S$7:$S$3006,资金台帐!$P$7:$P$3006,"费用",资金台帐!$L$7:$L$3006,$B30,资金台帐!$B$7:$B$3006,"&gt;="&amp;DATE(年度,2,1),资金台帐!$B$7:$B$3006,"&lt;"&amp;DATE(年度,2+1,1)))</f>
      </c>
      <c r="F30" s="186">
        <f>IF($B30="","",-SUMIFS(资金台帐!$S$7:$S$3006,资金台帐!$P$7:$P$3006,"费用",资金台帐!$L$7:$L$3006,$B30,资金台帐!$B$7:$B$3006,"&gt;="&amp;DATE(年度,3,1),资金台帐!$B$7:$B$3006,"&lt;"&amp;DATE(年度,3+1,1)))</f>
      </c>
      <c r="G30" s="186">
        <f>IF($B30="","",-SUMIFS(资金台帐!$S$7:$S$3006,资金台帐!$P$7:$P$3006,"费用",资金台帐!$L$7:$L$3006,$B30,资金台帐!$B$7:$B$3006,"&gt;="&amp;DATE(年度,4,1),资金台帐!$B$7:$B$3006,"&lt;"&amp;DATE(年度,4+1,1)))</f>
      </c>
      <c r="H30" s="186">
        <f>IF($B30="","",-SUMIFS(资金台帐!$S$7:$S$3006,资金台帐!$P$7:$P$3006,"费用",资金台帐!$L$7:$L$3006,$B30,资金台帐!$B$7:$B$3006,"&gt;="&amp;DATE(年度,5,1),资金台帐!$B$7:$B$3006,"&lt;"&amp;DATE(年度,5+1,1)))</f>
      </c>
      <c r="I30" s="186">
        <f>IF($B30="","",-SUMIFS(资金台帐!$S$7:$S$3006,资金台帐!$P$7:$P$3006,"费用",资金台帐!$L$7:$L$3006,$B30,资金台帐!$B$7:$B$3006,"&gt;="&amp;DATE(年度,6,1),资金台帐!$B$7:$B$3006,"&lt;"&amp;DATE(年度,6+1,1)))</f>
      </c>
      <c r="J30" s="186">
        <f>IF($B30="","",-SUMIFS(资金台帐!$S$7:$S$3006,资金台帐!$P$7:$P$3006,"费用",资金台帐!$L$7:$L$3006,$B30,资金台帐!$B$7:$B$3006,"&gt;="&amp;DATE(年度,7,1),资金台帐!$B$7:$B$3006,"&lt;"&amp;DATE(年度,7+1,1)))</f>
      </c>
      <c r="K30" s="186">
        <f>IF($B30="","",-SUMIFS(资金台帐!$S$7:$S$3006,资金台帐!$P$7:$P$3006,"费用",资金台帐!$L$7:$L$3006,$B30,资金台帐!$B$7:$B$3006,"&gt;="&amp;DATE(年度,8,1),资金台帐!$B$7:$B$3006,"&lt;"&amp;DATE(年度,8+1,1)))</f>
      </c>
      <c r="L30" s="186">
        <f>IF($B30="","",-SUMIFS(资金台帐!$S$7:$S$3006,资金台帐!$P$7:$P$3006,"费用",资金台帐!$L$7:$L$3006,$B30,资金台帐!$B$7:$B$3006,"&gt;="&amp;DATE(年度,9,1),资金台帐!$B$7:$B$3006,"&lt;"&amp;DATE(年度,9+1,1)))</f>
      </c>
      <c r="M30" s="186">
        <f>IF($B30="","",-SUMIFS(资金台帐!$S$7:$S$3006,资金台帐!$P$7:$P$3006,"费用",资金台帐!$L$7:$L$3006,$B30,资金台帐!$B$7:$B$3006,"&gt;="&amp;DATE(年度,10,1),资金台帐!$B$7:$B$3006,"&lt;"&amp;DATE(年度,10+1,1)))</f>
      </c>
      <c r="N30" s="186">
        <f>IF($B30="","",-SUMIFS(资金台帐!$S$7:$S$3006,资金台帐!$P$7:$P$3006,"费用",资金台帐!$L$7:$L$3006,$B30,资金台帐!$B$7:$B$3006,"&gt;="&amp;DATE(年度,11,1),资金台帐!$B$7:$B$3006,"&lt;"&amp;DATE(年度,11+1,1)))</f>
      </c>
      <c r="O30" s="186">
        <f>IF($B30="","",-SUMIFS(资金台帐!$S$7:$S$3006,资金台帐!$P$7:$P$3006,"费用",资金台帐!$L$7:$L$3006,$B30,资金台帐!$B$7:$B$3006,"&gt;="&amp;DATE(年度,12,1),资金台帐!$B$7:$B$3006,"&lt;"&amp;DATE(年度,12+1,1)))</f>
      </c>
      <c r="P30" s="187">
        <f>IF(B30="","",SUM(D30:O30))</f>
      </c>
      <c r="Q30" s="265">
        <f>IF(OR(B30="",N($P$56)=0),"",P30/$P$56)</f>
      </c>
    </row>
    <row r="31">
      <c r="A31" s="194">
        <f>IF(B31="","",ROW()-4)</f>
      </c>
      <c r="B31" s="141">
        <f>IF(基础资料!AI31="","",基础资料!AI31&amp;"")</f>
      </c>
      <c r="C31" s="141">
        <f>IF(B31="","",基础资料!AJ31&amp;"")</f>
      </c>
      <c r="D31" s="186">
        <f>IF($B31="","",-SUMIFS(资金台帐!$S$7:$S$3006,资金台帐!$P$7:$P$3006,"费用",资金台帐!$L$7:$L$3006,$B31,资金台帐!$B$7:$B$3006,"&gt;="&amp;DATE(年度,1,1),资金台帐!$B$7:$B$3006,"&lt;"&amp;DATE(年度,1+1,1)))</f>
      </c>
      <c r="E31" s="186">
        <f>IF($B31="","",-SUMIFS(资金台帐!$S$7:$S$3006,资金台帐!$P$7:$P$3006,"费用",资金台帐!$L$7:$L$3006,$B31,资金台帐!$B$7:$B$3006,"&gt;="&amp;DATE(年度,2,1),资金台帐!$B$7:$B$3006,"&lt;"&amp;DATE(年度,2+1,1)))</f>
      </c>
      <c r="F31" s="186">
        <f>IF($B31="","",-SUMIFS(资金台帐!$S$7:$S$3006,资金台帐!$P$7:$P$3006,"费用",资金台帐!$L$7:$L$3006,$B31,资金台帐!$B$7:$B$3006,"&gt;="&amp;DATE(年度,3,1),资金台帐!$B$7:$B$3006,"&lt;"&amp;DATE(年度,3+1,1)))</f>
      </c>
      <c r="G31" s="186">
        <f>IF($B31="","",-SUMIFS(资金台帐!$S$7:$S$3006,资金台帐!$P$7:$P$3006,"费用",资金台帐!$L$7:$L$3006,$B31,资金台帐!$B$7:$B$3006,"&gt;="&amp;DATE(年度,4,1),资金台帐!$B$7:$B$3006,"&lt;"&amp;DATE(年度,4+1,1)))</f>
      </c>
      <c r="H31" s="186">
        <f>IF($B31="","",-SUMIFS(资金台帐!$S$7:$S$3006,资金台帐!$P$7:$P$3006,"费用",资金台帐!$L$7:$L$3006,$B31,资金台帐!$B$7:$B$3006,"&gt;="&amp;DATE(年度,5,1),资金台帐!$B$7:$B$3006,"&lt;"&amp;DATE(年度,5+1,1)))</f>
      </c>
      <c r="I31" s="186">
        <f>IF($B31="","",-SUMIFS(资金台帐!$S$7:$S$3006,资金台帐!$P$7:$P$3006,"费用",资金台帐!$L$7:$L$3006,$B31,资金台帐!$B$7:$B$3006,"&gt;="&amp;DATE(年度,6,1),资金台帐!$B$7:$B$3006,"&lt;"&amp;DATE(年度,6+1,1)))</f>
      </c>
      <c r="J31" s="186">
        <f>IF($B31="","",-SUMIFS(资金台帐!$S$7:$S$3006,资金台帐!$P$7:$P$3006,"费用",资金台帐!$L$7:$L$3006,$B31,资金台帐!$B$7:$B$3006,"&gt;="&amp;DATE(年度,7,1),资金台帐!$B$7:$B$3006,"&lt;"&amp;DATE(年度,7+1,1)))</f>
      </c>
      <c r="K31" s="186">
        <f>IF($B31="","",-SUMIFS(资金台帐!$S$7:$S$3006,资金台帐!$P$7:$P$3006,"费用",资金台帐!$L$7:$L$3006,$B31,资金台帐!$B$7:$B$3006,"&gt;="&amp;DATE(年度,8,1),资金台帐!$B$7:$B$3006,"&lt;"&amp;DATE(年度,8+1,1)))</f>
      </c>
      <c r="L31" s="186">
        <f>IF($B31="","",-SUMIFS(资金台帐!$S$7:$S$3006,资金台帐!$P$7:$P$3006,"费用",资金台帐!$L$7:$L$3006,$B31,资金台帐!$B$7:$B$3006,"&gt;="&amp;DATE(年度,9,1),资金台帐!$B$7:$B$3006,"&lt;"&amp;DATE(年度,9+1,1)))</f>
      </c>
      <c r="M31" s="186">
        <f>IF($B31="","",-SUMIFS(资金台帐!$S$7:$S$3006,资金台帐!$P$7:$P$3006,"费用",资金台帐!$L$7:$L$3006,$B31,资金台帐!$B$7:$B$3006,"&gt;="&amp;DATE(年度,10,1),资金台帐!$B$7:$B$3006,"&lt;"&amp;DATE(年度,10+1,1)))</f>
      </c>
      <c r="N31" s="186">
        <f>IF($B31="","",-SUMIFS(资金台帐!$S$7:$S$3006,资金台帐!$P$7:$P$3006,"费用",资金台帐!$L$7:$L$3006,$B31,资金台帐!$B$7:$B$3006,"&gt;="&amp;DATE(年度,11,1),资金台帐!$B$7:$B$3006,"&lt;"&amp;DATE(年度,11+1,1)))</f>
      </c>
      <c r="O31" s="186">
        <f>IF($B31="","",-SUMIFS(资金台帐!$S$7:$S$3006,资金台帐!$P$7:$P$3006,"费用",资金台帐!$L$7:$L$3006,$B31,资金台帐!$B$7:$B$3006,"&gt;="&amp;DATE(年度,12,1),资金台帐!$B$7:$B$3006,"&lt;"&amp;DATE(年度,12+1,1)))</f>
      </c>
      <c r="P31" s="187">
        <f>IF(B31="","",SUM(D31:O31))</f>
      </c>
      <c r="Q31" s="265">
        <f>IF(OR(B31="",N($P$56)=0),"",P31/$P$56)</f>
      </c>
    </row>
    <row r="32">
      <c r="A32" s="194">
        <f>IF(B32="","",ROW()-4)</f>
      </c>
      <c r="B32" s="141">
        <f>IF(基础资料!AI32="","",基础资料!AI32&amp;"")</f>
      </c>
      <c r="C32" s="141">
        <f>IF(B32="","",基础资料!AJ32&amp;"")</f>
      </c>
      <c r="D32" s="186">
        <f>IF($B32="","",-SUMIFS(资金台帐!$S$7:$S$3006,资金台帐!$P$7:$P$3006,"费用",资金台帐!$L$7:$L$3006,$B32,资金台帐!$B$7:$B$3006,"&gt;="&amp;DATE(年度,1,1),资金台帐!$B$7:$B$3006,"&lt;"&amp;DATE(年度,1+1,1)))</f>
      </c>
      <c r="E32" s="186">
        <f>IF($B32="","",-SUMIFS(资金台帐!$S$7:$S$3006,资金台帐!$P$7:$P$3006,"费用",资金台帐!$L$7:$L$3006,$B32,资金台帐!$B$7:$B$3006,"&gt;="&amp;DATE(年度,2,1),资金台帐!$B$7:$B$3006,"&lt;"&amp;DATE(年度,2+1,1)))</f>
      </c>
      <c r="F32" s="186">
        <f>IF($B32="","",-SUMIFS(资金台帐!$S$7:$S$3006,资金台帐!$P$7:$P$3006,"费用",资金台帐!$L$7:$L$3006,$B32,资金台帐!$B$7:$B$3006,"&gt;="&amp;DATE(年度,3,1),资金台帐!$B$7:$B$3006,"&lt;"&amp;DATE(年度,3+1,1)))</f>
      </c>
      <c r="G32" s="186">
        <f>IF($B32="","",-SUMIFS(资金台帐!$S$7:$S$3006,资金台帐!$P$7:$P$3006,"费用",资金台帐!$L$7:$L$3006,$B32,资金台帐!$B$7:$B$3006,"&gt;="&amp;DATE(年度,4,1),资金台帐!$B$7:$B$3006,"&lt;"&amp;DATE(年度,4+1,1)))</f>
      </c>
      <c r="H32" s="186">
        <f>IF($B32="","",-SUMIFS(资金台帐!$S$7:$S$3006,资金台帐!$P$7:$P$3006,"费用",资金台帐!$L$7:$L$3006,$B32,资金台帐!$B$7:$B$3006,"&gt;="&amp;DATE(年度,5,1),资金台帐!$B$7:$B$3006,"&lt;"&amp;DATE(年度,5+1,1)))</f>
      </c>
      <c r="I32" s="186">
        <f>IF($B32="","",-SUMIFS(资金台帐!$S$7:$S$3006,资金台帐!$P$7:$P$3006,"费用",资金台帐!$L$7:$L$3006,$B32,资金台帐!$B$7:$B$3006,"&gt;="&amp;DATE(年度,6,1),资金台帐!$B$7:$B$3006,"&lt;"&amp;DATE(年度,6+1,1)))</f>
      </c>
      <c r="J32" s="186">
        <f>IF($B32="","",-SUMIFS(资金台帐!$S$7:$S$3006,资金台帐!$P$7:$P$3006,"费用",资金台帐!$L$7:$L$3006,$B32,资金台帐!$B$7:$B$3006,"&gt;="&amp;DATE(年度,7,1),资金台帐!$B$7:$B$3006,"&lt;"&amp;DATE(年度,7+1,1)))</f>
      </c>
      <c r="K32" s="186">
        <f>IF($B32="","",-SUMIFS(资金台帐!$S$7:$S$3006,资金台帐!$P$7:$P$3006,"费用",资金台帐!$L$7:$L$3006,$B32,资金台帐!$B$7:$B$3006,"&gt;="&amp;DATE(年度,8,1),资金台帐!$B$7:$B$3006,"&lt;"&amp;DATE(年度,8+1,1)))</f>
      </c>
      <c r="L32" s="186">
        <f>IF($B32="","",-SUMIFS(资金台帐!$S$7:$S$3006,资金台帐!$P$7:$P$3006,"费用",资金台帐!$L$7:$L$3006,$B32,资金台帐!$B$7:$B$3006,"&gt;="&amp;DATE(年度,9,1),资金台帐!$B$7:$B$3006,"&lt;"&amp;DATE(年度,9+1,1)))</f>
      </c>
      <c r="M32" s="186">
        <f>IF($B32="","",-SUMIFS(资金台帐!$S$7:$S$3006,资金台帐!$P$7:$P$3006,"费用",资金台帐!$L$7:$L$3006,$B32,资金台帐!$B$7:$B$3006,"&gt;="&amp;DATE(年度,10,1),资金台帐!$B$7:$B$3006,"&lt;"&amp;DATE(年度,10+1,1)))</f>
      </c>
      <c r="N32" s="186">
        <f>IF($B32="","",-SUMIFS(资金台帐!$S$7:$S$3006,资金台帐!$P$7:$P$3006,"费用",资金台帐!$L$7:$L$3006,$B32,资金台帐!$B$7:$B$3006,"&gt;="&amp;DATE(年度,11,1),资金台帐!$B$7:$B$3006,"&lt;"&amp;DATE(年度,11+1,1)))</f>
      </c>
      <c r="O32" s="186">
        <f>IF($B32="","",-SUMIFS(资金台帐!$S$7:$S$3006,资金台帐!$P$7:$P$3006,"费用",资金台帐!$L$7:$L$3006,$B32,资金台帐!$B$7:$B$3006,"&gt;="&amp;DATE(年度,12,1),资金台帐!$B$7:$B$3006,"&lt;"&amp;DATE(年度,12+1,1)))</f>
      </c>
      <c r="P32" s="187">
        <f>IF(B32="","",SUM(D32:O32))</f>
      </c>
      <c r="Q32" s="265">
        <f>IF(OR(B32="",N($P$56)=0),"",P32/$P$56)</f>
      </c>
    </row>
    <row r="33">
      <c r="A33" s="194">
        <f>IF(B33="","",ROW()-4)</f>
      </c>
      <c r="B33" s="141">
        <f>IF(基础资料!AI33="","",基础资料!AI33&amp;"")</f>
      </c>
      <c r="C33" s="141">
        <f>IF(B33="","",基础资料!AJ33&amp;"")</f>
      </c>
      <c r="D33" s="186">
        <f>IF($B33="","",-SUMIFS(资金台帐!$S$7:$S$3006,资金台帐!$P$7:$P$3006,"费用",资金台帐!$L$7:$L$3006,$B33,资金台帐!$B$7:$B$3006,"&gt;="&amp;DATE(年度,1,1),资金台帐!$B$7:$B$3006,"&lt;"&amp;DATE(年度,1+1,1)))</f>
      </c>
      <c r="E33" s="186">
        <f>IF($B33="","",-SUMIFS(资金台帐!$S$7:$S$3006,资金台帐!$P$7:$P$3006,"费用",资金台帐!$L$7:$L$3006,$B33,资金台帐!$B$7:$B$3006,"&gt;="&amp;DATE(年度,2,1),资金台帐!$B$7:$B$3006,"&lt;"&amp;DATE(年度,2+1,1)))</f>
      </c>
      <c r="F33" s="186">
        <f>IF($B33="","",-SUMIFS(资金台帐!$S$7:$S$3006,资金台帐!$P$7:$P$3006,"费用",资金台帐!$L$7:$L$3006,$B33,资金台帐!$B$7:$B$3006,"&gt;="&amp;DATE(年度,3,1),资金台帐!$B$7:$B$3006,"&lt;"&amp;DATE(年度,3+1,1)))</f>
      </c>
      <c r="G33" s="186">
        <f>IF($B33="","",-SUMIFS(资金台帐!$S$7:$S$3006,资金台帐!$P$7:$P$3006,"费用",资金台帐!$L$7:$L$3006,$B33,资金台帐!$B$7:$B$3006,"&gt;="&amp;DATE(年度,4,1),资金台帐!$B$7:$B$3006,"&lt;"&amp;DATE(年度,4+1,1)))</f>
      </c>
      <c r="H33" s="186">
        <f>IF($B33="","",-SUMIFS(资金台帐!$S$7:$S$3006,资金台帐!$P$7:$P$3006,"费用",资金台帐!$L$7:$L$3006,$B33,资金台帐!$B$7:$B$3006,"&gt;="&amp;DATE(年度,5,1),资金台帐!$B$7:$B$3006,"&lt;"&amp;DATE(年度,5+1,1)))</f>
      </c>
      <c r="I33" s="186">
        <f>IF($B33="","",-SUMIFS(资金台帐!$S$7:$S$3006,资金台帐!$P$7:$P$3006,"费用",资金台帐!$L$7:$L$3006,$B33,资金台帐!$B$7:$B$3006,"&gt;="&amp;DATE(年度,6,1),资金台帐!$B$7:$B$3006,"&lt;"&amp;DATE(年度,6+1,1)))</f>
      </c>
      <c r="J33" s="186">
        <f>IF($B33="","",-SUMIFS(资金台帐!$S$7:$S$3006,资金台帐!$P$7:$P$3006,"费用",资金台帐!$L$7:$L$3006,$B33,资金台帐!$B$7:$B$3006,"&gt;="&amp;DATE(年度,7,1),资金台帐!$B$7:$B$3006,"&lt;"&amp;DATE(年度,7+1,1)))</f>
      </c>
      <c r="K33" s="186">
        <f>IF($B33="","",-SUMIFS(资金台帐!$S$7:$S$3006,资金台帐!$P$7:$P$3006,"费用",资金台帐!$L$7:$L$3006,$B33,资金台帐!$B$7:$B$3006,"&gt;="&amp;DATE(年度,8,1),资金台帐!$B$7:$B$3006,"&lt;"&amp;DATE(年度,8+1,1)))</f>
      </c>
      <c r="L33" s="186">
        <f>IF($B33="","",-SUMIFS(资金台帐!$S$7:$S$3006,资金台帐!$P$7:$P$3006,"费用",资金台帐!$L$7:$L$3006,$B33,资金台帐!$B$7:$B$3006,"&gt;="&amp;DATE(年度,9,1),资金台帐!$B$7:$B$3006,"&lt;"&amp;DATE(年度,9+1,1)))</f>
      </c>
      <c r="M33" s="186">
        <f>IF($B33="","",-SUMIFS(资金台帐!$S$7:$S$3006,资金台帐!$P$7:$P$3006,"费用",资金台帐!$L$7:$L$3006,$B33,资金台帐!$B$7:$B$3006,"&gt;="&amp;DATE(年度,10,1),资金台帐!$B$7:$B$3006,"&lt;"&amp;DATE(年度,10+1,1)))</f>
      </c>
      <c r="N33" s="186">
        <f>IF($B33="","",-SUMIFS(资金台帐!$S$7:$S$3006,资金台帐!$P$7:$P$3006,"费用",资金台帐!$L$7:$L$3006,$B33,资金台帐!$B$7:$B$3006,"&gt;="&amp;DATE(年度,11,1),资金台帐!$B$7:$B$3006,"&lt;"&amp;DATE(年度,11+1,1)))</f>
      </c>
      <c r="O33" s="186">
        <f>IF($B33="","",-SUMIFS(资金台帐!$S$7:$S$3006,资金台帐!$P$7:$P$3006,"费用",资金台帐!$L$7:$L$3006,$B33,资金台帐!$B$7:$B$3006,"&gt;="&amp;DATE(年度,12,1),资金台帐!$B$7:$B$3006,"&lt;"&amp;DATE(年度,12+1,1)))</f>
      </c>
      <c r="P33" s="187">
        <f>IF(B33="","",SUM(D33:O33))</f>
      </c>
      <c r="Q33" s="265">
        <f>IF(OR(B33="",N($P$56)=0),"",P33/$P$56)</f>
      </c>
    </row>
    <row r="34">
      <c r="A34" s="194">
        <f>IF(B34="","",ROW()-4)</f>
      </c>
      <c r="B34" s="141">
        <f>IF(基础资料!AI34="","",基础资料!AI34&amp;"")</f>
      </c>
      <c r="C34" s="141">
        <f>IF(B34="","",基础资料!AJ34&amp;"")</f>
      </c>
      <c r="D34" s="186">
        <f>IF($B34="","",-SUMIFS(资金台帐!$S$7:$S$3006,资金台帐!$P$7:$P$3006,"费用",资金台帐!$L$7:$L$3006,$B34,资金台帐!$B$7:$B$3006,"&gt;="&amp;DATE(年度,1,1),资金台帐!$B$7:$B$3006,"&lt;"&amp;DATE(年度,1+1,1)))</f>
      </c>
      <c r="E34" s="186">
        <f>IF($B34="","",-SUMIFS(资金台帐!$S$7:$S$3006,资金台帐!$P$7:$P$3006,"费用",资金台帐!$L$7:$L$3006,$B34,资金台帐!$B$7:$B$3006,"&gt;="&amp;DATE(年度,2,1),资金台帐!$B$7:$B$3006,"&lt;"&amp;DATE(年度,2+1,1)))</f>
      </c>
      <c r="F34" s="186">
        <f>IF($B34="","",-SUMIFS(资金台帐!$S$7:$S$3006,资金台帐!$P$7:$P$3006,"费用",资金台帐!$L$7:$L$3006,$B34,资金台帐!$B$7:$B$3006,"&gt;="&amp;DATE(年度,3,1),资金台帐!$B$7:$B$3006,"&lt;"&amp;DATE(年度,3+1,1)))</f>
      </c>
      <c r="G34" s="186">
        <f>IF($B34="","",-SUMIFS(资金台帐!$S$7:$S$3006,资金台帐!$P$7:$P$3006,"费用",资金台帐!$L$7:$L$3006,$B34,资金台帐!$B$7:$B$3006,"&gt;="&amp;DATE(年度,4,1),资金台帐!$B$7:$B$3006,"&lt;"&amp;DATE(年度,4+1,1)))</f>
      </c>
      <c r="H34" s="186">
        <f>IF($B34="","",-SUMIFS(资金台帐!$S$7:$S$3006,资金台帐!$P$7:$P$3006,"费用",资金台帐!$L$7:$L$3006,$B34,资金台帐!$B$7:$B$3006,"&gt;="&amp;DATE(年度,5,1),资金台帐!$B$7:$B$3006,"&lt;"&amp;DATE(年度,5+1,1)))</f>
      </c>
      <c r="I34" s="186">
        <f>IF($B34="","",-SUMIFS(资金台帐!$S$7:$S$3006,资金台帐!$P$7:$P$3006,"费用",资金台帐!$L$7:$L$3006,$B34,资金台帐!$B$7:$B$3006,"&gt;="&amp;DATE(年度,6,1),资金台帐!$B$7:$B$3006,"&lt;"&amp;DATE(年度,6+1,1)))</f>
      </c>
      <c r="J34" s="186">
        <f>IF($B34="","",-SUMIFS(资金台帐!$S$7:$S$3006,资金台帐!$P$7:$P$3006,"费用",资金台帐!$L$7:$L$3006,$B34,资金台帐!$B$7:$B$3006,"&gt;="&amp;DATE(年度,7,1),资金台帐!$B$7:$B$3006,"&lt;"&amp;DATE(年度,7+1,1)))</f>
      </c>
      <c r="K34" s="186">
        <f>IF($B34="","",-SUMIFS(资金台帐!$S$7:$S$3006,资金台帐!$P$7:$P$3006,"费用",资金台帐!$L$7:$L$3006,$B34,资金台帐!$B$7:$B$3006,"&gt;="&amp;DATE(年度,8,1),资金台帐!$B$7:$B$3006,"&lt;"&amp;DATE(年度,8+1,1)))</f>
      </c>
      <c r="L34" s="186">
        <f>IF($B34="","",-SUMIFS(资金台帐!$S$7:$S$3006,资金台帐!$P$7:$P$3006,"费用",资金台帐!$L$7:$L$3006,$B34,资金台帐!$B$7:$B$3006,"&gt;="&amp;DATE(年度,9,1),资金台帐!$B$7:$B$3006,"&lt;"&amp;DATE(年度,9+1,1)))</f>
      </c>
      <c r="M34" s="186">
        <f>IF($B34="","",-SUMIFS(资金台帐!$S$7:$S$3006,资金台帐!$P$7:$P$3006,"费用",资金台帐!$L$7:$L$3006,$B34,资金台帐!$B$7:$B$3006,"&gt;="&amp;DATE(年度,10,1),资金台帐!$B$7:$B$3006,"&lt;"&amp;DATE(年度,10+1,1)))</f>
      </c>
      <c r="N34" s="186">
        <f>IF($B34="","",-SUMIFS(资金台帐!$S$7:$S$3006,资金台帐!$P$7:$P$3006,"费用",资金台帐!$L$7:$L$3006,$B34,资金台帐!$B$7:$B$3006,"&gt;="&amp;DATE(年度,11,1),资金台帐!$B$7:$B$3006,"&lt;"&amp;DATE(年度,11+1,1)))</f>
      </c>
      <c r="O34" s="186">
        <f>IF($B34="","",-SUMIFS(资金台帐!$S$7:$S$3006,资金台帐!$P$7:$P$3006,"费用",资金台帐!$L$7:$L$3006,$B34,资金台帐!$B$7:$B$3006,"&gt;="&amp;DATE(年度,12,1),资金台帐!$B$7:$B$3006,"&lt;"&amp;DATE(年度,12+1,1)))</f>
      </c>
      <c r="P34" s="187">
        <f>IF(B34="","",SUM(D34:O34))</f>
      </c>
      <c r="Q34" s="265">
        <f>IF(OR(B34="",N($P$56)=0),"",P34/$P$56)</f>
      </c>
    </row>
    <row r="35">
      <c r="A35" s="194">
        <f>IF(B35="","",ROW()-4)</f>
      </c>
      <c r="B35" s="141">
        <f>IF(基础资料!AI35="","",基础资料!AI35&amp;"")</f>
      </c>
      <c r="C35" s="141">
        <f>IF(B35="","",基础资料!AJ35&amp;"")</f>
      </c>
      <c r="D35" s="186">
        <f>IF($B35="","",-SUMIFS(资金台帐!$S$7:$S$3006,资金台帐!$P$7:$P$3006,"费用",资金台帐!$L$7:$L$3006,$B35,资金台帐!$B$7:$B$3006,"&gt;="&amp;DATE(年度,1,1),资金台帐!$B$7:$B$3006,"&lt;"&amp;DATE(年度,1+1,1)))</f>
      </c>
      <c r="E35" s="186">
        <f>IF($B35="","",-SUMIFS(资金台帐!$S$7:$S$3006,资金台帐!$P$7:$P$3006,"费用",资金台帐!$L$7:$L$3006,$B35,资金台帐!$B$7:$B$3006,"&gt;="&amp;DATE(年度,2,1),资金台帐!$B$7:$B$3006,"&lt;"&amp;DATE(年度,2+1,1)))</f>
      </c>
      <c r="F35" s="186">
        <f>IF($B35="","",-SUMIFS(资金台帐!$S$7:$S$3006,资金台帐!$P$7:$P$3006,"费用",资金台帐!$L$7:$L$3006,$B35,资金台帐!$B$7:$B$3006,"&gt;="&amp;DATE(年度,3,1),资金台帐!$B$7:$B$3006,"&lt;"&amp;DATE(年度,3+1,1)))</f>
      </c>
      <c r="G35" s="186">
        <f>IF($B35="","",-SUMIFS(资金台帐!$S$7:$S$3006,资金台帐!$P$7:$P$3006,"费用",资金台帐!$L$7:$L$3006,$B35,资金台帐!$B$7:$B$3006,"&gt;="&amp;DATE(年度,4,1),资金台帐!$B$7:$B$3006,"&lt;"&amp;DATE(年度,4+1,1)))</f>
      </c>
      <c r="H35" s="186">
        <f>IF($B35="","",-SUMIFS(资金台帐!$S$7:$S$3006,资金台帐!$P$7:$P$3006,"费用",资金台帐!$L$7:$L$3006,$B35,资金台帐!$B$7:$B$3006,"&gt;="&amp;DATE(年度,5,1),资金台帐!$B$7:$B$3006,"&lt;"&amp;DATE(年度,5+1,1)))</f>
      </c>
      <c r="I35" s="186">
        <f>IF($B35="","",-SUMIFS(资金台帐!$S$7:$S$3006,资金台帐!$P$7:$P$3006,"费用",资金台帐!$L$7:$L$3006,$B35,资金台帐!$B$7:$B$3006,"&gt;="&amp;DATE(年度,6,1),资金台帐!$B$7:$B$3006,"&lt;"&amp;DATE(年度,6+1,1)))</f>
      </c>
      <c r="J35" s="186">
        <f>IF($B35="","",-SUMIFS(资金台帐!$S$7:$S$3006,资金台帐!$P$7:$P$3006,"费用",资金台帐!$L$7:$L$3006,$B35,资金台帐!$B$7:$B$3006,"&gt;="&amp;DATE(年度,7,1),资金台帐!$B$7:$B$3006,"&lt;"&amp;DATE(年度,7+1,1)))</f>
      </c>
      <c r="K35" s="186">
        <f>IF($B35="","",-SUMIFS(资金台帐!$S$7:$S$3006,资金台帐!$P$7:$P$3006,"费用",资金台帐!$L$7:$L$3006,$B35,资金台帐!$B$7:$B$3006,"&gt;="&amp;DATE(年度,8,1),资金台帐!$B$7:$B$3006,"&lt;"&amp;DATE(年度,8+1,1)))</f>
      </c>
      <c r="L35" s="186">
        <f>IF($B35="","",-SUMIFS(资金台帐!$S$7:$S$3006,资金台帐!$P$7:$P$3006,"费用",资金台帐!$L$7:$L$3006,$B35,资金台帐!$B$7:$B$3006,"&gt;="&amp;DATE(年度,9,1),资金台帐!$B$7:$B$3006,"&lt;"&amp;DATE(年度,9+1,1)))</f>
      </c>
      <c r="M35" s="186">
        <f>IF($B35="","",-SUMIFS(资金台帐!$S$7:$S$3006,资金台帐!$P$7:$P$3006,"费用",资金台帐!$L$7:$L$3006,$B35,资金台帐!$B$7:$B$3006,"&gt;="&amp;DATE(年度,10,1),资金台帐!$B$7:$B$3006,"&lt;"&amp;DATE(年度,10+1,1)))</f>
      </c>
      <c r="N35" s="186">
        <f>IF($B35="","",-SUMIFS(资金台帐!$S$7:$S$3006,资金台帐!$P$7:$P$3006,"费用",资金台帐!$L$7:$L$3006,$B35,资金台帐!$B$7:$B$3006,"&gt;="&amp;DATE(年度,11,1),资金台帐!$B$7:$B$3006,"&lt;"&amp;DATE(年度,11+1,1)))</f>
      </c>
      <c r="O35" s="186">
        <f>IF($B35="","",-SUMIFS(资金台帐!$S$7:$S$3006,资金台帐!$P$7:$P$3006,"费用",资金台帐!$L$7:$L$3006,$B35,资金台帐!$B$7:$B$3006,"&gt;="&amp;DATE(年度,12,1),资金台帐!$B$7:$B$3006,"&lt;"&amp;DATE(年度,12+1,1)))</f>
      </c>
      <c r="P35" s="187">
        <f>IF(B35="","",SUM(D35:O35))</f>
      </c>
      <c r="Q35" s="265">
        <f>IF(OR(B35="",N($P$56)=0),"",P35/$P$56)</f>
      </c>
    </row>
    <row r="36">
      <c r="A36" s="194">
        <f>IF(B36="","",ROW()-4)</f>
      </c>
      <c r="B36" s="141">
        <f>IF(基础资料!AI36="","",基础资料!AI36&amp;"")</f>
      </c>
      <c r="C36" s="141">
        <f>IF(B36="","",基础资料!AJ36&amp;"")</f>
      </c>
      <c r="D36" s="186">
        <f>IF($B36="","",-SUMIFS(资金台帐!$S$7:$S$3006,资金台帐!$P$7:$P$3006,"费用",资金台帐!$L$7:$L$3006,$B36,资金台帐!$B$7:$B$3006,"&gt;="&amp;DATE(年度,1,1),资金台帐!$B$7:$B$3006,"&lt;"&amp;DATE(年度,1+1,1)))</f>
      </c>
      <c r="E36" s="186">
        <f>IF($B36="","",-SUMIFS(资金台帐!$S$7:$S$3006,资金台帐!$P$7:$P$3006,"费用",资金台帐!$L$7:$L$3006,$B36,资金台帐!$B$7:$B$3006,"&gt;="&amp;DATE(年度,2,1),资金台帐!$B$7:$B$3006,"&lt;"&amp;DATE(年度,2+1,1)))</f>
      </c>
      <c r="F36" s="186">
        <f>IF($B36="","",-SUMIFS(资金台帐!$S$7:$S$3006,资金台帐!$P$7:$P$3006,"费用",资金台帐!$L$7:$L$3006,$B36,资金台帐!$B$7:$B$3006,"&gt;="&amp;DATE(年度,3,1),资金台帐!$B$7:$B$3006,"&lt;"&amp;DATE(年度,3+1,1)))</f>
      </c>
      <c r="G36" s="186">
        <f>IF($B36="","",-SUMIFS(资金台帐!$S$7:$S$3006,资金台帐!$P$7:$P$3006,"费用",资金台帐!$L$7:$L$3006,$B36,资金台帐!$B$7:$B$3006,"&gt;="&amp;DATE(年度,4,1),资金台帐!$B$7:$B$3006,"&lt;"&amp;DATE(年度,4+1,1)))</f>
      </c>
      <c r="H36" s="186">
        <f>IF($B36="","",-SUMIFS(资金台帐!$S$7:$S$3006,资金台帐!$P$7:$P$3006,"费用",资金台帐!$L$7:$L$3006,$B36,资金台帐!$B$7:$B$3006,"&gt;="&amp;DATE(年度,5,1),资金台帐!$B$7:$B$3006,"&lt;"&amp;DATE(年度,5+1,1)))</f>
      </c>
      <c r="I36" s="186">
        <f>IF($B36="","",-SUMIFS(资金台帐!$S$7:$S$3006,资金台帐!$P$7:$P$3006,"费用",资金台帐!$L$7:$L$3006,$B36,资金台帐!$B$7:$B$3006,"&gt;="&amp;DATE(年度,6,1),资金台帐!$B$7:$B$3006,"&lt;"&amp;DATE(年度,6+1,1)))</f>
      </c>
      <c r="J36" s="186">
        <f>IF($B36="","",-SUMIFS(资金台帐!$S$7:$S$3006,资金台帐!$P$7:$P$3006,"费用",资金台帐!$L$7:$L$3006,$B36,资金台帐!$B$7:$B$3006,"&gt;="&amp;DATE(年度,7,1),资金台帐!$B$7:$B$3006,"&lt;"&amp;DATE(年度,7+1,1)))</f>
      </c>
      <c r="K36" s="186">
        <f>IF($B36="","",-SUMIFS(资金台帐!$S$7:$S$3006,资金台帐!$P$7:$P$3006,"费用",资金台帐!$L$7:$L$3006,$B36,资金台帐!$B$7:$B$3006,"&gt;="&amp;DATE(年度,8,1),资金台帐!$B$7:$B$3006,"&lt;"&amp;DATE(年度,8+1,1)))</f>
      </c>
      <c r="L36" s="186">
        <f>IF($B36="","",-SUMIFS(资金台帐!$S$7:$S$3006,资金台帐!$P$7:$P$3006,"费用",资金台帐!$L$7:$L$3006,$B36,资金台帐!$B$7:$B$3006,"&gt;="&amp;DATE(年度,9,1),资金台帐!$B$7:$B$3006,"&lt;"&amp;DATE(年度,9+1,1)))</f>
      </c>
      <c r="M36" s="186">
        <f>IF($B36="","",-SUMIFS(资金台帐!$S$7:$S$3006,资金台帐!$P$7:$P$3006,"费用",资金台帐!$L$7:$L$3006,$B36,资金台帐!$B$7:$B$3006,"&gt;="&amp;DATE(年度,10,1),资金台帐!$B$7:$B$3006,"&lt;"&amp;DATE(年度,10+1,1)))</f>
      </c>
      <c r="N36" s="186">
        <f>IF($B36="","",-SUMIFS(资金台帐!$S$7:$S$3006,资金台帐!$P$7:$P$3006,"费用",资金台帐!$L$7:$L$3006,$B36,资金台帐!$B$7:$B$3006,"&gt;="&amp;DATE(年度,11,1),资金台帐!$B$7:$B$3006,"&lt;"&amp;DATE(年度,11+1,1)))</f>
      </c>
      <c r="O36" s="186">
        <f>IF($B36="","",-SUMIFS(资金台帐!$S$7:$S$3006,资金台帐!$P$7:$P$3006,"费用",资金台帐!$L$7:$L$3006,$B36,资金台帐!$B$7:$B$3006,"&gt;="&amp;DATE(年度,12,1),资金台帐!$B$7:$B$3006,"&lt;"&amp;DATE(年度,12+1,1)))</f>
      </c>
      <c r="P36" s="187">
        <f>IF(B36="","",SUM(D36:O36))</f>
      </c>
      <c r="Q36" s="265">
        <f>IF(OR(B36="",N($P$56)=0),"",P36/$P$56)</f>
      </c>
    </row>
    <row r="37">
      <c r="A37" s="194">
        <f>IF(B37="","",ROW()-4)</f>
      </c>
      <c r="B37" s="141">
        <f>IF(基础资料!AI37="","",基础资料!AI37&amp;"")</f>
      </c>
      <c r="C37" s="141">
        <f>IF(B37="","",基础资料!AJ37&amp;"")</f>
      </c>
      <c r="D37" s="186">
        <f>IF($B37="","",-SUMIFS(资金台帐!$S$7:$S$3006,资金台帐!$P$7:$P$3006,"费用",资金台帐!$L$7:$L$3006,$B37,资金台帐!$B$7:$B$3006,"&gt;="&amp;DATE(年度,1,1),资金台帐!$B$7:$B$3006,"&lt;"&amp;DATE(年度,1+1,1)))</f>
      </c>
      <c r="E37" s="186">
        <f>IF($B37="","",-SUMIFS(资金台帐!$S$7:$S$3006,资金台帐!$P$7:$P$3006,"费用",资金台帐!$L$7:$L$3006,$B37,资金台帐!$B$7:$B$3006,"&gt;="&amp;DATE(年度,2,1),资金台帐!$B$7:$B$3006,"&lt;"&amp;DATE(年度,2+1,1)))</f>
      </c>
      <c r="F37" s="186">
        <f>IF($B37="","",-SUMIFS(资金台帐!$S$7:$S$3006,资金台帐!$P$7:$P$3006,"费用",资金台帐!$L$7:$L$3006,$B37,资金台帐!$B$7:$B$3006,"&gt;="&amp;DATE(年度,3,1),资金台帐!$B$7:$B$3006,"&lt;"&amp;DATE(年度,3+1,1)))</f>
      </c>
      <c r="G37" s="186">
        <f>IF($B37="","",-SUMIFS(资金台帐!$S$7:$S$3006,资金台帐!$P$7:$P$3006,"费用",资金台帐!$L$7:$L$3006,$B37,资金台帐!$B$7:$B$3006,"&gt;="&amp;DATE(年度,4,1),资金台帐!$B$7:$B$3006,"&lt;"&amp;DATE(年度,4+1,1)))</f>
      </c>
      <c r="H37" s="186">
        <f>IF($B37="","",-SUMIFS(资金台帐!$S$7:$S$3006,资金台帐!$P$7:$P$3006,"费用",资金台帐!$L$7:$L$3006,$B37,资金台帐!$B$7:$B$3006,"&gt;="&amp;DATE(年度,5,1),资金台帐!$B$7:$B$3006,"&lt;"&amp;DATE(年度,5+1,1)))</f>
      </c>
      <c r="I37" s="186">
        <f>IF($B37="","",-SUMIFS(资金台帐!$S$7:$S$3006,资金台帐!$P$7:$P$3006,"费用",资金台帐!$L$7:$L$3006,$B37,资金台帐!$B$7:$B$3006,"&gt;="&amp;DATE(年度,6,1),资金台帐!$B$7:$B$3006,"&lt;"&amp;DATE(年度,6+1,1)))</f>
      </c>
      <c r="J37" s="186">
        <f>IF($B37="","",-SUMIFS(资金台帐!$S$7:$S$3006,资金台帐!$P$7:$P$3006,"费用",资金台帐!$L$7:$L$3006,$B37,资金台帐!$B$7:$B$3006,"&gt;="&amp;DATE(年度,7,1),资金台帐!$B$7:$B$3006,"&lt;"&amp;DATE(年度,7+1,1)))</f>
      </c>
      <c r="K37" s="186">
        <f>IF($B37="","",-SUMIFS(资金台帐!$S$7:$S$3006,资金台帐!$P$7:$P$3006,"费用",资金台帐!$L$7:$L$3006,$B37,资金台帐!$B$7:$B$3006,"&gt;="&amp;DATE(年度,8,1),资金台帐!$B$7:$B$3006,"&lt;"&amp;DATE(年度,8+1,1)))</f>
      </c>
      <c r="L37" s="186">
        <f>IF($B37="","",-SUMIFS(资金台帐!$S$7:$S$3006,资金台帐!$P$7:$P$3006,"费用",资金台帐!$L$7:$L$3006,$B37,资金台帐!$B$7:$B$3006,"&gt;="&amp;DATE(年度,9,1),资金台帐!$B$7:$B$3006,"&lt;"&amp;DATE(年度,9+1,1)))</f>
      </c>
      <c r="M37" s="186">
        <f>IF($B37="","",-SUMIFS(资金台帐!$S$7:$S$3006,资金台帐!$P$7:$P$3006,"费用",资金台帐!$L$7:$L$3006,$B37,资金台帐!$B$7:$B$3006,"&gt;="&amp;DATE(年度,10,1),资金台帐!$B$7:$B$3006,"&lt;"&amp;DATE(年度,10+1,1)))</f>
      </c>
      <c r="N37" s="186">
        <f>IF($B37="","",-SUMIFS(资金台帐!$S$7:$S$3006,资金台帐!$P$7:$P$3006,"费用",资金台帐!$L$7:$L$3006,$B37,资金台帐!$B$7:$B$3006,"&gt;="&amp;DATE(年度,11,1),资金台帐!$B$7:$B$3006,"&lt;"&amp;DATE(年度,11+1,1)))</f>
      </c>
      <c r="O37" s="186">
        <f>IF($B37="","",-SUMIFS(资金台帐!$S$7:$S$3006,资金台帐!$P$7:$P$3006,"费用",资金台帐!$L$7:$L$3006,$B37,资金台帐!$B$7:$B$3006,"&gt;="&amp;DATE(年度,12,1),资金台帐!$B$7:$B$3006,"&lt;"&amp;DATE(年度,12+1,1)))</f>
      </c>
      <c r="P37" s="187">
        <f>IF(B37="","",SUM(D37:O37))</f>
      </c>
      <c r="Q37" s="265">
        <f>IF(OR(B37="",N($P$56)=0),"",P37/$P$56)</f>
      </c>
    </row>
    <row r="38">
      <c r="A38" s="194">
        <f>IF(B38="","",ROW()-4)</f>
      </c>
      <c r="B38" s="141">
        <f>IF(基础资料!AI38="","",基础资料!AI38&amp;"")</f>
      </c>
      <c r="C38" s="141">
        <f>IF(B38="","",基础资料!AJ38&amp;"")</f>
      </c>
      <c r="D38" s="186">
        <f>IF($B38="","",-SUMIFS(资金台帐!$S$7:$S$3006,资金台帐!$P$7:$P$3006,"费用",资金台帐!$L$7:$L$3006,$B38,资金台帐!$B$7:$B$3006,"&gt;="&amp;DATE(年度,1,1),资金台帐!$B$7:$B$3006,"&lt;"&amp;DATE(年度,1+1,1)))</f>
      </c>
      <c r="E38" s="186">
        <f>IF($B38="","",-SUMIFS(资金台帐!$S$7:$S$3006,资金台帐!$P$7:$P$3006,"费用",资金台帐!$L$7:$L$3006,$B38,资金台帐!$B$7:$B$3006,"&gt;="&amp;DATE(年度,2,1),资金台帐!$B$7:$B$3006,"&lt;"&amp;DATE(年度,2+1,1)))</f>
      </c>
      <c r="F38" s="186">
        <f>IF($B38="","",-SUMIFS(资金台帐!$S$7:$S$3006,资金台帐!$P$7:$P$3006,"费用",资金台帐!$L$7:$L$3006,$B38,资金台帐!$B$7:$B$3006,"&gt;="&amp;DATE(年度,3,1),资金台帐!$B$7:$B$3006,"&lt;"&amp;DATE(年度,3+1,1)))</f>
      </c>
      <c r="G38" s="186">
        <f>IF($B38="","",-SUMIFS(资金台帐!$S$7:$S$3006,资金台帐!$P$7:$P$3006,"费用",资金台帐!$L$7:$L$3006,$B38,资金台帐!$B$7:$B$3006,"&gt;="&amp;DATE(年度,4,1),资金台帐!$B$7:$B$3006,"&lt;"&amp;DATE(年度,4+1,1)))</f>
      </c>
      <c r="H38" s="186">
        <f>IF($B38="","",-SUMIFS(资金台帐!$S$7:$S$3006,资金台帐!$P$7:$P$3006,"费用",资金台帐!$L$7:$L$3006,$B38,资金台帐!$B$7:$B$3006,"&gt;="&amp;DATE(年度,5,1),资金台帐!$B$7:$B$3006,"&lt;"&amp;DATE(年度,5+1,1)))</f>
      </c>
      <c r="I38" s="186">
        <f>IF($B38="","",-SUMIFS(资金台帐!$S$7:$S$3006,资金台帐!$P$7:$P$3006,"费用",资金台帐!$L$7:$L$3006,$B38,资金台帐!$B$7:$B$3006,"&gt;="&amp;DATE(年度,6,1),资金台帐!$B$7:$B$3006,"&lt;"&amp;DATE(年度,6+1,1)))</f>
      </c>
      <c r="J38" s="186">
        <f>IF($B38="","",-SUMIFS(资金台帐!$S$7:$S$3006,资金台帐!$P$7:$P$3006,"费用",资金台帐!$L$7:$L$3006,$B38,资金台帐!$B$7:$B$3006,"&gt;="&amp;DATE(年度,7,1),资金台帐!$B$7:$B$3006,"&lt;"&amp;DATE(年度,7+1,1)))</f>
      </c>
      <c r="K38" s="186">
        <f>IF($B38="","",-SUMIFS(资金台帐!$S$7:$S$3006,资金台帐!$P$7:$P$3006,"费用",资金台帐!$L$7:$L$3006,$B38,资金台帐!$B$7:$B$3006,"&gt;="&amp;DATE(年度,8,1),资金台帐!$B$7:$B$3006,"&lt;"&amp;DATE(年度,8+1,1)))</f>
      </c>
      <c r="L38" s="186">
        <f>IF($B38="","",-SUMIFS(资金台帐!$S$7:$S$3006,资金台帐!$P$7:$P$3006,"费用",资金台帐!$L$7:$L$3006,$B38,资金台帐!$B$7:$B$3006,"&gt;="&amp;DATE(年度,9,1),资金台帐!$B$7:$B$3006,"&lt;"&amp;DATE(年度,9+1,1)))</f>
      </c>
      <c r="M38" s="186">
        <f>IF($B38="","",-SUMIFS(资金台帐!$S$7:$S$3006,资金台帐!$P$7:$P$3006,"费用",资金台帐!$L$7:$L$3006,$B38,资金台帐!$B$7:$B$3006,"&gt;="&amp;DATE(年度,10,1),资金台帐!$B$7:$B$3006,"&lt;"&amp;DATE(年度,10+1,1)))</f>
      </c>
      <c r="N38" s="186">
        <f>IF($B38="","",-SUMIFS(资金台帐!$S$7:$S$3006,资金台帐!$P$7:$P$3006,"费用",资金台帐!$L$7:$L$3006,$B38,资金台帐!$B$7:$B$3006,"&gt;="&amp;DATE(年度,11,1),资金台帐!$B$7:$B$3006,"&lt;"&amp;DATE(年度,11+1,1)))</f>
      </c>
      <c r="O38" s="186">
        <f>IF($B38="","",-SUMIFS(资金台帐!$S$7:$S$3006,资金台帐!$P$7:$P$3006,"费用",资金台帐!$L$7:$L$3006,$B38,资金台帐!$B$7:$B$3006,"&gt;="&amp;DATE(年度,12,1),资金台帐!$B$7:$B$3006,"&lt;"&amp;DATE(年度,12+1,1)))</f>
      </c>
      <c r="P38" s="187">
        <f>IF(B38="","",SUM(D38:O38))</f>
      </c>
      <c r="Q38" s="265">
        <f>IF(OR(B38="",N($P$56)=0),"",P38/$P$56)</f>
      </c>
    </row>
    <row r="39">
      <c r="A39" s="194">
        <f>IF(B39="","",ROW()-4)</f>
      </c>
      <c r="B39" s="141">
        <f>IF(基础资料!AI39="","",基础资料!AI39&amp;"")</f>
      </c>
      <c r="C39" s="141">
        <f>IF(B39="","",基础资料!AJ39&amp;"")</f>
      </c>
      <c r="D39" s="186">
        <f>IF($B39="","",-SUMIFS(资金台帐!$S$7:$S$3006,资金台帐!$P$7:$P$3006,"费用",资金台帐!$L$7:$L$3006,$B39,资金台帐!$B$7:$B$3006,"&gt;="&amp;DATE(年度,1,1),资金台帐!$B$7:$B$3006,"&lt;"&amp;DATE(年度,1+1,1)))</f>
      </c>
      <c r="E39" s="186">
        <f>IF($B39="","",-SUMIFS(资金台帐!$S$7:$S$3006,资金台帐!$P$7:$P$3006,"费用",资金台帐!$L$7:$L$3006,$B39,资金台帐!$B$7:$B$3006,"&gt;="&amp;DATE(年度,2,1),资金台帐!$B$7:$B$3006,"&lt;"&amp;DATE(年度,2+1,1)))</f>
      </c>
      <c r="F39" s="186">
        <f>IF($B39="","",-SUMIFS(资金台帐!$S$7:$S$3006,资金台帐!$P$7:$P$3006,"费用",资金台帐!$L$7:$L$3006,$B39,资金台帐!$B$7:$B$3006,"&gt;="&amp;DATE(年度,3,1),资金台帐!$B$7:$B$3006,"&lt;"&amp;DATE(年度,3+1,1)))</f>
      </c>
      <c r="G39" s="186">
        <f>IF($B39="","",-SUMIFS(资金台帐!$S$7:$S$3006,资金台帐!$P$7:$P$3006,"费用",资金台帐!$L$7:$L$3006,$B39,资金台帐!$B$7:$B$3006,"&gt;="&amp;DATE(年度,4,1),资金台帐!$B$7:$B$3006,"&lt;"&amp;DATE(年度,4+1,1)))</f>
      </c>
      <c r="H39" s="186">
        <f>IF($B39="","",-SUMIFS(资金台帐!$S$7:$S$3006,资金台帐!$P$7:$P$3006,"费用",资金台帐!$L$7:$L$3006,$B39,资金台帐!$B$7:$B$3006,"&gt;="&amp;DATE(年度,5,1),资金台帐!$B$7:$B$3006,"&lt;"&amp;DATE(年度,5+1,1)))</f>
      </c>
      <c r="I39" s="186">
        <f>IF($B39="","",-SUMIFS(资金台帐!$S$7:$S$3006,资金台帐!$P$7:$P$3006,"费用",资金台帐!$L$7:$L$3006,$B39,资金台帐!$B$7:$B$3006,"&gt;="&amp;DATE(年度,6,1),资金台帐!$B$7:$B$3006,"&lt;"&amp;DATE(年度,6+1,1)))</f>
      </c>
      <c r="J39" s="186">
        <f>IF($B39="","",-SUMIFS(资金台帐!$S$7:$S$3006,资金台帐!$P$7:$P$3006,"费用",资金台帐!$L$7:$L$3006,$B39,资金台帐!$B$7:$B$3006,"&gt;="&amp;DATE(年度,7,1),资金台帐!$B$7:$B$3006,"&lt;"&amp;DATE(年度,7+1,1)))</f>
      </c>
      <c r="K39" s="186">
        <f>IF($B39="","",-SUMIFS(资金台帐!$S$7:$S$3006,资金台帐!$P$7:$P$3006,"费用",资金台帐!$L$7:$L$3006,$B39,资金台帐!$B$7:$B$3006,"&gt;="&amp;DATE(年度,8,1),资金台帐!$B$7:$B$3006,"&lt;"&amp;DATE(年度,8+1,1)))</f>
      </c>
      <c r="L39" s="186">
        <f>IF($B39="","",-SUMIFS(资金台帐!$S$7:$S$3006,资金台帐!$P$7:$P$3006,"费用",资金台帐!$L$7:$L$3006,$B39,资金台帐!$B$7:$B$3006,"&gt;="&amp;DATE(年度,9,1),资金台帐!$B$7:$B$3006,"&lt;"&amp;DATE(年度,9+1,1)))</f>
      </c>
      <c r="M39" s="186">
        <f>IF($B39="","",-SUMIFS(资金台帐!$S$7:$S$3006,资金台帐!$P$7:$P$3006,"费用",资金台帐!$L$7:$L$3006,$B39,资金台帐!$B$7:$B$3006,"&gt;="&amp;DATE(年度,10,1),资金台帐!$B$7:$B$3006,"&lt;"&amp;DATE(年度,10+1,1)))</f>
      </c>
      <c r="N39" s="186">
        <f>IF($B39="","",-SUMIFS(资金台帐!$S$7:$S$3006,资金台帐!$P$7:$P$3006,"费用",资金台帐!$L$7:$L$3006,$B39,资金台帐!$B$7:$B$3006,"&gt;="&amp;DATE(年度,11,1),资金台帐!$B$7:$B$3006,"&lt;"&amp;DATE(年度,11+1,1)))</f>
      </c>
      <c r="O39" s="186">
        <f>IF($B39="","",-SUMIFS(资金台帐!$S$7:$S$3006,资金台帐!$P$7:$P$3006,"费用",资金台帐!$L$7:$L$3006,$B39,资金台帐!$B$7:$B$3006,"&gt;="&amp;DATE(年度,12,1),资金台帐!$B$7:$B$3006,"&lt;"&amp;DATE(年度,12+1,1)))</f>
      </c>
      <c r="P39" s="187">
        <f>IF(B39="","",SUM(D39:O39))</f>
      </c>
      <c r="Q39" s="265">
        <f>IF(OR(B39="",N($P$56)=0),"",P39/$P$56)</f>
      </c>
    </row>
    <row r="40">
      <c r="A40" s="194">
        <f>IF(B40="","",ROW()-4)</f>
      </c>
      <c r="B40" s="141">
        <f>IF(基础资料!AI40="","",基础资料!AI40&amp;"")</f>
      </c>
      <c r="C40" s="141">
        <f>IF(B40="","",基础资料!AJ40&amp;"")</f>
      </c>
      <c r="D40" s="186">
        <f>IF($B40="","",-SUMIFS(资金台帐!$S$7:$S$3006,资金台帐!$P$7:$P$3006,"费用",资金台帐!$L$7:$L$3006,$B40,资金台帐!$B$7:$B$3006,"&gt;="&amp;DATE(年度,1,1),资金台帐!$B$7:$B$3006,"&lt;"&amp;DATE(年度,1+1,1)))</f>
      </c>
      <c r="E40" s="186">
        <f>IF($B40="","",-SUMIFS(资金台帐!$S$7:$S$3006,资金台帐!$P$7:$P$3006,"费用",资金台帐!$L$7:$L$3006,$B40,资金台帐!$B$7:$B$3006,"&gt;="&amp;DATE(年度,2,1),资金台帐!$B$7:$B$3006,"&lt;"&amp;DATE(年度,2+1,1)))</f>
      </c>
      <c r="F40" s="186">
        <f>IF($B40="","",-SUMIFS(资金台帐!$S$7:$S$3006,资金台帐!$P$7:$P$3006,"费用",资金台帐!$L$7:$L$3006,$B40,资金台帐!$B$7:$B$3006,"&gt;="&amp;DATE(年度,3,1),资金台帐!$B$7:$B$3006,"&lt;"&amp;DATE(年度,3+1,1)))</f>
      </c>
      <c r="G40" s="186">
        <f>IF($B40="","",-SUMIFS(资金台帐!$S$7:$S$3006,资金台帐!$P$7:$P$3006,"费用",资金台帐!$L$7:$L$3006,$B40,资金台帐!$B$7:$B$3006,"&gt;="&amp;DATE(年度,4,1),资金台帐!$B$7:$B$3006,"&lt;"&amp;DATE(年度,4+1,1)))</f>
      </c>
      <c r="H40" s="186">
        <f>IF($B40="","",-SUMIFS(资金台帐!$S$7:$S$3006,资金台帐!$P$7:$P$3006,"费用",资金台帐!$L$7:$L$3006,$B40,资金台帐!$B$7:$B$3006,"&gt;="&amp;DATE(年度,5,1),资金台帐!$B$7:$B$3006,"&lt;"&amp;DATE(年度,5+1,1)))</f>
      </c>
      <c r="I40" s="186">
        <f>IF($B40="","",-SUMIFS(资金台帐!$S$7:$S$3006,资金台帐!$P$7:$P$3006,"费用",资金台帐!$L$7:$L$3006,$B40,资金台帐!$B$7:$B$3006,"&gt;="&amp;DATE(年度,6,1),资金台帐!$B$7:$B$3006,"&lt;"&amp;DATE(年度,6+1,1)))</f>
      </c>
      <c r="J40" s="186">
        <f>IF($B40="","",-SUMIFS(资金台帐!$S$7:$S$3006,资金台帐!$P$7:$P$3006,"费用",资金台帐!$L$7:$L$3006,$B40,资金台帐!$B$7:$B$3006,"&gt;="&amp;DATE(年度,7,1),资金台帐!$B$7:$B$3006,"&lt;"&amp;DATE(年度,7+1,1)))</f>
      </c>
      <c r="K40" s="186">
        <f>IF($B40="","",-SUMIFS(资金台帐!$S$7:$S$3006,资金台帐!$P$7:$P$3006,"费用",资金台帐!$L$7:$L$3006,$B40,资金台帐!$B$7:$B$3006,"&gt;="&amp;DATE(年度,8,1),资金台帐!$B$7:$B$3006,"&lt;"&amp;DATE(年度,8+1,1)))</f>
      </c>
      <c r="L40" s="186">
        <f>IF($B40="","",-SUMIFS(资金台帐!$S$7:$S$3006,资金台帐!$P$7:$P$3006,"费用",资金台帐!$L$7:$L$3006,$B40,资金台帐!$B$7:$B$3006,"&gt;="&amp;DATE(年度,9,1),资金台帐!$B$7:$B$3006,"&lt;"&amp;DATE(年度,9+1,1)))</f>
      </c>
      <c r="M40" s="186">
        <f>IF($B40="","",-SUMIFS(资金台帐!$S$7:$S$3006,资金台帐!$P$7:$P$3006,"费用",资金台帐!$L$7:$L$3006,$B40,资金台帐!$B$7:$B$3006,"&gt;="&amp;DATE(年度,10,1),资金台帐!$B$7:$B$3006,"&lt;"&amp;DATE(年度,10+1,1)))</f>
      </c>
      <c r="N40" s="186">
        <f>IF($B40="","",-SUMIFS(资金台帐!$S$7:$S$3006,资金台帐!$P$7:$P$3006,"费用",资金台帐!$L$7:$L$3006,$B40,资金台帐!$B$7:$B$3006,"&gt;="&amp;DATE(年度,11,1),资金台帐!$B$7:$B$3006,"&lt;"&amp;DATE(年度,11+1,1)))</f>
      </c>
      <c r="O40" s="186">
        <f>IF($B40="","",-SUMIFS(资金台帐!$S$7:$S$3006,资金台帐!$P$7:$P$3006,"费用",资金台帐!$L$7:$L$3006,$B40,资金台帐!$B$7:$B$3006,"&gt;="&amp;DATE(年度,12,1),资金台帐!$B$7:$B$3006,"&lt;"&amp;DATE(年度,12+1,1)))</f>
      </c>
      <c r="P40" s="187">
        <f>IF(B40="","",SUM(D40:O40))</f>
      </c>
      <c r="Q40" s="265">
        <f>IF(OR(B40="",N($P$56)=0),"",P40/$P$56)</f>
      </c>
    </row>
    <row r="41">
      <c r="A41" s="194">
        <f>IF(B41="","",ROW()-4)</f>
      </c>
      <c r="B41" s="141">
        <f>IF(基础资料!AI41="","",基础资料!AI41&amp;"")</f>
      </c>
      <c r="C41" s="141">
        <f>IF(B41="","",基础资料!AJ41&amp;"")</f>
      </c>
      <c r="D41" s="186">
        <f>IF($B41="","",-SUMIFS(资金台帐!$S$7:$S$3006,资金台帐!$P$7:$P$3006,"费用",资金台帐!$L$7:$L$3006,$B41,资金台帐!$B$7:$B$3006,"&gt;="&amp;DATE(年度,1,1),资金台帐!$B$7:$B$3006,"&lt;"&amp;DATE(年度,1+1,1)))</f>
      </c>
      <c r="E41" s="186">
        <f>IF($B41="","",-SUMIFS(资金台帐!$S$7:$S$3006,资金台帐!$P$7:$P$3006,"费用",资金台帐!$L$7:$L$3006,$B41,资金台帐!$B$7:$B$3006,"&gt;="&amp;DATE(年度,2,1),资金台帐!$B$7:$B$3006,"&lt;"&amp;DATE(年度,2+1,1)))</f>
      </c>
      <c r="F41" s="186">
        <f>IF($B41="","",-SUMIFS(资金台帐!$S$7:$S$3006,资金台帐!$P$7:$P$3006,"费用",资金台帐!$L$7:$L$3006,$B41,资金台帐!$B$7:$B$3006,"&gt;="&amp;DATE(年度,3,1),资金台帐!$B$7:$B$3006,"&lt;"&amp;DATE(年度,3+1,1)))</f>
      </c>
      <c r="G41" s="186">
        <f>IF($B41="","",-SUMIFS(资金台帐!$S$7:$S$3006,资金台帐!$P$7:$P$3006,"费用",资金台帐!$L$7:$L$3006,$B41,资金台帐!$B$7:$B$3006,"&gt;="&amp;DATE(年度,4,1),资金台帐!$B$7:$B$3006,"&lt;"&amp;DATE(年度,4+1,1)))</f>
      </c>
      <c r="H41" s="186">
        <f>IF($B41="","",-SUMIFS(资金台帐!$S$7:$S$3006,资金台帐!$P$7:$P$3006,"费用",资金台帐!$L$7:$L$3006,$B41,资金台帐!$B$7:$B$3006,"&gt;="&amp;DATE(年度,5,1),资金台帐!$B$7:$B$3006,"&lt;"&amp;DATE(年度,5+1,1)))</f>
      </c>
      <c r="I41" s="186">
        <f>IF($B41="","",-SUMIFS(资金台帐!$S$7:$S$3006,资金台帐!$P$7:$P$3006,"费用",资金台帐!$L$7:$L$3006,$B41,资金台帐!$B$7:$B$3006,"&gt;="&amp;DATE(年度,6,1),资金台帐!$B$7:$B$3006,"&lt;"&amp;DATE(年度,6+1,1)))</f>
      </c>
      <c r="J41" s="186">
        <f>IF($B41="","",-SUMIFS(资金台帐!$S$7:$S$3006,资金台帐!$P$7:$P$3006,"费用",资金台帐!$L$7:$L$3006,$B41,资金台帐!$B$7:$B$3006,"&gt;="&amp;DATE(年度,7,1),资金台帐!$B$7:$B$3006,"&lt;"&amp;DATE(年度,7+1,1)))</f>
      </c>
      <c r="K41" s="186">
        <f>IF($B41="","",-SUMIFS(资金台帐!$S$7:$S$3006,资金台帐!$P$7:$P$3006,"费用",资金台帐!$L$7:$L$3006,$B41,资金台帐!$B$7:$B$3006,"&gt;="&amp;DATE(年度,8,1),资金台帐!$B$7:$B$3006,"&lt;"&amp;DATE(年度,8+1,1)))</f>
      </c>
      <c r="L41" s="186">
        <f>IF($B41="","",-SUMIFS(资金台帐!$S$7:$S$3006,资金台帐!$P$7:$P$3006,"费用",资金台帐!$L$7:$L$3006,$B41,资金台帐!$B$7:$B$3006,"&gt;="&amp;DATE(年度,9,1),资金台帐!$B$7:$B$3006,"&lt;"&amp;DATE(年度,9+1,1)))</f>
      </c>
      <c r="M41" s="186">
        <f>IF($B41="","",-SUMIFS(资金台帐!$S$7:$S$3006,资金台帐!$P$7:$P$3006,"费用",资金台帐!$L$7:$L$3006,$B41,资金台帐!$B$7:$B$3006,"&gt;="&amp;DATE(年度,10,1),资金台帐!$B$7:$B$3006,"&lt;"&amp;DATE(年度,10+1,1)))</f>
      </c>
      <c r="N41" s="186">
        <f>IF($B41="","",-SUMIFS(资金台帐!$S$7:$S$3006,资金台帐!$P$7:$P$3006,"费用",资金台帐!$L$7:$L$3006,$B41,资金台帐!$B$7:$B$3006,"&gt;="&amp;DATE(年度,11,1),资金台帐!$B$7:$B$3006,"&lt;"&amp;DATE(年度,11+1,1)))</f>
      </c>
      <c r="O41" s="186">
        <f>IF($B41="","",-SUMIFS(资金台帐!$S$7:$S$3006,资金台帐!$P$7:$P$3006,"费用",资金台帐!$L$7:$L$3006,$B41,资金台帐!$B$7:$B$3006,"&gt;="&amp;DATE(年度,12,1),资金台帐!$B$7:$B$3006,"&lt;"&amp;DATE(年度,12+1,1)))</f>
      </c>
      <c r="P41" s="187">
        <f>IF(B41="","",SUM(D41:O41))</f>
      </c>
      <c r="Q41" s="265">
        <f>IF(OR(B41="",N($P$56)=0),"",P41/$P$56)</f>
      </c>
    </row>
    <row r="42">
      <c r="A42" s="194">
        <f>IF(B42="","",ROW()-4)</f>
      </c>
      <c r="B42" s="141">
        <f>IF(基础资料!AI42="","",基础资料!AI42&amp;"")</f>
      </c>
      <c r="C42" s="141">
        <f>IF(B42="","",基础资料!AJ42&amp;"")</f>
      </c>
      <c r="D42" s="186">
        <f>IF($B42="","",-SUMIFS(资金台帐!$S$7:$S$3006,资金台帐!$P$7:$P$3006,"费用",资金台帐!$L$7:$L$3006,$B42,资金台帐!$B$7:$B$3006,"&gt;="&amp;DATE(年度,1,1),资金台帐!$B$7:$B$3006,"&lt;"&amp;DATE(年度,1+1,1)))</f>
      </c>
      <c r="E42" s="186">
        <f>IF($B42="","",-SUMIFS(资金台帐!$S$7:$S$3006,资金台帐!$P$7:$P$3006,"费用",资金台帐!$L$7:$L$3006,$B42,资金台帐!$B$7:$B$3006,"&gt;="&amp;DATE(年度,2,1),资金台帐!$B$7:$B$3006,"&lt;"&amp;DATE(年度,2+1,1)))</f>
      </c>
      <c r="F42" s="186">
        <f>IF($B42="","",-SUMIFS(资金台帐!$S$7:$S$3006,资金台帐!$P$7:$P$3006,"费用",资金台帐!$L$7:$L$3006,$B42,资金台帐!$B$7:$B$3006,"&gt;="&amp;DATE(年度,3,1),资金台帐!$B$7:$B$3006,"&lt;"&amp;DATE(年度,3+1,1)))</f>
      </c>
      <c r="G42" s="186">
        <f>IF($B42="","",-SUMIFS(资金台帐!$S$7:$S$3006,资金台帐!$P$7:$P$3006,"费用",资金台帐!$L$7:$L$3006,$B42,资金台帐!$B$7:$B$3006,"&gt;="&amp;DATE(年度,4,1),资金台帐!$B$7:$B$3006,"&lt;"&amp;DATE(年度,4+1,1)))</f>
      </c>
      <c r="H42" s="186">
        <f>IF($B42="","",-SUMIFS(资金台帐!$S$7:$S$3006,资金台帐!$P$7:$P$3006,"费用",资金台帐!$L$7:$L$3006,$B42,资金台帐!$B$7:$B$3006,"&gt;="&amp;DATE(年度,5,1),资金台帐!$B$7:$B$3006,"&lt;"&amp;DATE(年度,5+1,1)))</f>
      </c>
      <c r="I42" s="186">
        <f>IF($B42="","",-SUMIFS(资金台帐!$S$7:$S$3006,资金台帐!$P$7:$P$3006,"费用",资金台帐!$L$7:$L$3006,$B42,资金台帐!$B$7:$B$3006,"&gt;="&amp;DATE(年度,6,1),资金台帐!$B$7:$B$3006,"&lt;"&amp;DATE(年度,6+1,1)))</f>
      </c>
      <c r="J42" s="186">
        <f>IF($B42="","",-SUMIFS(资金台帐!$S$7:$S$3006,资金台帐!$P$7:$P$3006,"费用",资金台帐!$L$7:$L$3006,$B42,资金台帐!$B$7:$B$3006,"&gt;="&amp;DATE(年度,7,1),资金台帐!$B$7:$B$3006,"&lt;"&amp;DATE(年度,7+1,1)))</f>
      </c>
      <c r="K42" s="186">
        <f>IF($B42="","",-SUMIFS(资金台帐!$S$7:$S$3006,资金台帐!$P$7:$P$3006,"费用",资金台帐!$L$7:$L$3006,$B42,资金台帐!$B$7:$B$3006,"&gt;="&amp;DATE(年度,8,1),资金台帐!$B$7:$B$3006,"&lt;"&amp;DATE(年度,8+1,1)))</f>
      </c>
      <c r="L42" s="186">
        <f>IF($B42="","",-SUMIFS(资金台帐!$S$7:$S$3006,资金台帐!$P$7:$P$3006,"费用",资金台帐!$L$7:$L$3006,$B42,资金台帐!$B$7:$B$3006,"&gt;="&amp;DATE(年度,9,1),资金台帐!$B$7:$B$3006,"&lt;"&amp;DATE(年度,9+1,1)))</f>
      </c>
      <c r="M42" s="186">
        <f>IF($B42="","",-SUMIFS(资金台帐!$S$7:$S$3006,资金台帐!$P$7:$P$3006,"费用",资金台帐!$L$7:$L$3006,$B42,资金台帐!$B$7:$B$3006,"&gt;="&amp;DATE(年度,10,1),资金台帐!$B$7:$B$3006,"&lt;"&amp;DATE(年度,10+1,1)))</f>
      </c>
      <c r="N42" s="186">
        <f>IF($B42="","",-SUMIFS(资金台帐!$S$7:$S$3006,资金台帐!$P$7:$P$3006,"费用",资金台帐!$L$7:$L$3006,$B42,资金台帐!$B$7:$B$3006,"&gt;="&amp;DATE(年度,11,1),资金台帐!$B$7:$B$3006,"&lt;"&amp;DATE(年度,11+1,1)))</f>
      </c>
      <c r="O42" s="186">
        <f>IF($B42="","",-SUMIFS(资金台帐!$S$7:$S$3006,资金台帐!$P$7:$P$3006,"费用",资金台帐!$L$7:$L$3006,$B42,资金台帐!$B$7:$B$3006,"&gt;="&amp;DATE(年度,12,1),资金台帐!$B$7:$B$3006,"&lt;"&amp;DATE(年度,12+1,1)))</f>
      </c>
      <c r="P42" s="187">
        <f>IF(B42="","",SUM(D42:O42))</f>
      </c>
      <c r="Q42" s="265">
        <f>IF(OR(B42="",N($P$56)=0),"",P42/$P$56)</f>
      </c>
    </row>
    <row r="43">
      <c r="A43" s="194">
        <f>IF(B43="","",ROW()-4)</f>
      </c>
      <c r="B43" s="141">
        <f>IF(基础资料!AI43="","",基础资料!AI43&amp;"")</f>
      </c>
      <c r="C43" s="141">
        <f>IF(B43="","",基础资料!AJ43&amp;"")</f>
      </c>
      <c r="D43" s="186">
        <f>IF($B43="","",-SUMIFS(资金台帐!$S$7:$S$3006,资金台帐!$P$7:$P$3006,"费用",资金台帐!$L$7:$L$3006,$B43,资金台帐!$B$7:$B$3006,"&gt;="&amp;DATE(年度,1,1),资金台帐!$B$7:$B$3006,"&lt;"&amp;DATE(年度,1+1,1)))</f>
      </c>
      <c r="E43" s="186">
        <f>IF($B43="","",-SUMIFS(资金台帐!$S$7:$S$3006,资金台帐!$P$7:$P$3006,"费用",资金台帐!$L$7:$L$3006,$B43,资金台帐!$B$7:$B$3006,"&gt;="&amp;DATE(年度,2,1),资金台帐!$B$7:$B$3006,"&lt;"&amp;DATE(年度,2+1,1)))</f>
      </c>
      <c r="F43" s="186">
        <f>IF($B43="","",-SUMIFS(资金台帐!$S$7:$S$3006,资金台帐!$P$7:$P$3006,"费用",资金台帐!$L$7:$L$3006,$B43,资金台帐!$B$7:$B$3006,"&gt;="&amp;DATE(年度,3,1),资金台帐!$B$7:$B$3006,"&lt;"&amp;DATE(年度,3+1,1)))</f>
      </c>
      <c r="G43" s="186">
        <f>IF($B43="","",-SUMIFS(资金台帐!$S$7:$S$3006,资金台帐!$P$7:$P$3006,"费用",资金台帐!$L$7:$L$3006,$B43,资金台帐!$B$7:$B$3006,"&gt;="&amp;DATE(年度,4,1),资金台帐!$B$7:$B$3006,"&lt;"&amp;DATE(年度,4+1,1)))</f>
      </c>
      <c r="H43" s="186">
        <f>IF($B43="","",-SUMIFS(资金台帐!$S$7:$S$3006,资金台帐!$P$7:$P$3006,"费用",资金台帐!$L$7:$L$3006,$B43,资金台帐!$B$7:$B$3006,"&gt;="&amp;DATE(年度,5,1),资金台帐!$B$7:$B$3006,"&lt;"&amp;DATE(年度,5+1,1)))</f>
      </c>
      <c r="I43" s="186">
        <f>IF($B43="","",-SUMIFS(资金台帐!$S$7:$S$3006,资金台帐!$P$7:$P$3006,"费用",资金台帐!$L$7:$L$3006,$B43,资金台帐!$B$7:$B$3006,"&gt;="&amp;DATE(年度,6,1),资金台帐!$B$7:$B$3006,"&lt;"&amp;DATE(年度,6+1,1)))</f>
      </c>
      <c r="J43" s="186">
        <f>IF($B43="","",-SUMIFS(资金台帐!$S$7:$S$3006,资金台帐!$P$7:$P$3006,"费用",资金台帐!$L$7:$L$3006,$B43,资金台帐!$B$7:$B$3006,"&gt;="&amp;DATE(年度,7,1),资金台帐!$B$7:$B$3006,"&lt;"&amp;DATE(年度,7+1,1)))</f>
      </c>
      <c r="K43" s="186">
        <f>IF($B43="","",-SUMIFS(资金台帐!$S$7:$S$3006,资金台帐!$P$7:$P$3006,"费用",资金台帐!$L$7:$L$3006,$B43,资金台帐!$B$7:$B$3006,"&gt;="&amp;DATE(年度,8,1),资金台帐!$B$7:$B$3006,"&lt;"&amp;DATE(年度,8+1,1)))</f>
      </c>
      <c r="L43" s="186">
        <f>IF($B43="","",-SUMIFS(资金台帐!$S$7:$S$3006,资金台帐!$P$7:$P$3006,"费用",资金台帐!$L$7:$L$3006,$B43,资金台帐!$B$7:$B$3006,"&gt;="&amp;DATE(年度,9,1),资金台帐!$B$7:$B$3006,"&lt;"&amp;DATE(年度,9+1,1)))</f>
      </c>
      <c r="M43" s="186">
        <f>IF($B43="","",-SUMIFS(资金台帐!$S$7:$S$3006,资金台帐!$P$7:$P$3006,"费用",资金台帐!$L$7:$L$3006,$B43,资金台帐!$B$7:$B$3006,"&gt;="&amp;DATE(年度,10,1),资金台帐!$B$7:$B$3006,"&lt;"&amp;DATE(年度,10+1,1)))</f>
      </c>
      <c r="N43" s="186">
        <f>IF($B43="","",-SUMIFS(资金台帐!$S$7:$S$3006,资金台帐!$P$7:$P$3006,"费用",资金台帐!$L$7:$L$3006,$B43,资金台帐!$B$7:$B$3006,"&gt;="&amp;DATE(年度,11,1),资金台帐!$B$7:$B$3006,"&lt;"&amp;DATE(年度,11+1,1)))</f>
      </c>
      <c r="O43" s="186">
        <f>IF($B43="","",-SUMIFS(资金台帐!$S$7:$S$3006,资金台帐!$P$7:$P$3006,"费用",资金台帐!$L$7:$L$3006,$B43,资金台帐!$B$7:$B$3006,"&gt;="&amp;DATE(年度,12,1),资金台帐!$B$7:$B$3006,"&lt;"&amp;DATE(年度,12+1,1)))</f>
      </c>
      <c r="P43" s="187">
        <f>IF(B43="","",SUM(D43:O43))</f>
      </c>
      <c r="Q43" s="265">
        <f>IF(OR(B43="",N($P$56)=0),"",P43/$P$56)</f>
      </c>
    </row>
    <row r="44">
      <c r="A44" s="194">
        <f>IF(B44="","",ROW()-4)</f>
      </c>
      <c r="B44" s="141">
        <f>IF(基础资料!AI44="","",基础资料!AI44&amp;"")</f>
      </c>
      <c r="C44" s="141">
        <f>IF(B44="","",基础资料!AJ44&amp;"")</f>
      </c>
      <c r="D44" s="186">
        <f>IF($B44="","",-SUMIFS(资金台帐!$S$7:$S$3006,资金台帐!$P$7:$P$3006,"费用",资金台帐!$L$7:$L$3006,$B44,资金台帐!$B$7:$B$3006,"&gt;="&amp;DATE(年度,1,1),资金台帐!$B$7:$B$3006,"&lt;"&amp;DATE(年度,1+1,1)))</f>
      </c>
      <c r="E44" s="186">
        <f>IF($B44="","",-SUMIFS(资金台帐!$S$7:$S$3006,资金台帐!$P$7:$P$3006,"费用",资金台帐!$L$7:$L$3006,$B44,资金台帐!$B$7:$B$3006,"&gt;="&amp;DATE(年度,2,1),资金台帐!$B$7:$B$3006,"&lt;"&amp;DATE(年度,2+1,1)))</f>
      </c>
      <c r="F44" s="186">
        <f>IF($B44="","",-SUMIFS(资金台帐!$S$7:$S$3006,资金台帐!$P$7:$P$3006,"费用",资金台帐!$L$7:$L$3006,$B44,资金台帐!$B$7:$B$3006,"&gt;="&amp;DATE(年度,3,1),资金台帐!$B$7:$B$3006,"&lt;"&amp;DATE(年度,3+1,1)))</f>
      </c>
      <c r="G44" s="186">
        <f>IF($B44="","",-SUMIFS(资金台帐!$S$7:$S$3006,资金台帐!$P$7:$P$3006,"费用",资金台帐!$L$7:$L$3006,$B44,资金台帐!$B$7:$B$3006,"&gt;="&amp;DATE(年度,4,1),资金台帐!$B$7:$B$3006,"&lt;"&amp;DATE(年度,4+1,1)))</f>
      </c>
      <c r="H44" s="186">
        <f>IF($B44="","",-SUMIFS(资金台帐!$S$7:$S$3006,资金台帐!$P$7:$P$3006,"费用",资金台帐!$L$7:$L$3006,$B44,资金台帐!$B$7:$B$3006,"&gt;="&amp;DATE(年度,5,1),资金台帐!$B$7:$B$3006,"&lt;"&amp;DATE(年度,5+1,1)))</f>
      </c>
      <c r="I44" s="186">
        <f>IF($B44="","",-SUMIFS(资金台帐!$S$7:$S$3006,资金台帐!$P$7:$P$3006,"费用",资金台帐!$L$7:$L$3006,$B44,资金台帐!$B$7:$B$3006,"&gt;="&amp;DATE(年度,6,1),资金台帐!$B$7:$B$3006,"&lt;"&amp;DATE(年度,6+1,1)))</f>
      </c>
      <c r="J44" s="186">
        <f>IF($B44="","",-SUMIFS(资金台帐!$S$7:$S$3006,资金台帐!$P$7:$P$3006,"费用",资金台帐!$L$7:$L$3006,$B44,资金台帐!$B$7:$B$3006,"&gt;="&amp;DATE(年度,7,1),资金台帐!$B$7:$B$3006,"&lt;"&amp;DATE(年度,7+1,1)))</f>
      </c>
      <c r="K44" s="186">
        <f>IF($B44="","",-SUMIFS(资金台帐!$S$7:$S$3006,资金台帐!$P$7:$P$3006,"费用",资金台帐!$L$7:$L$3006,$B44,资金台帐!$B$7:$B$3006,"&gt;="&amp;DATE(年度,8,1),资金台帐!$B$7:$B$3006,"&lt;"&amp;DATE(年度,8+1,1)))</f>
      </c>
      <c r="L44" s="186">
        <f>IF($B44="","",-SUMIFS(资金台帐!$S$7:$S$3006,资金台帐!$P$7:$P$3006,"费用",资金台帐!$L$7:$L$3006,$B44,资金台帐!$B$7:$B$3006,"&gt;="&amp;DATE(年度,9,1),资金台帐!$B$7:$B$3006,"&lt;"&amp;DATE(年度,9+1,1)))</f>
      </c>
      <c r="M44" s="186">
        <f>IF($B44="","",-SUMIFS(资金台帐!$S$7:$S$3006,资金台帐!$P$7:$P$3006,"费用",资金台帐!$L$7:$L$3006,$B44,资金台帐!$B$7:$B$3006,"&gt;="&amp;DATE(年度,10,1),资金台帐!$B$7:$B$3006,"&lt;"&amp;DATE(年度,10+1,1)))</f>
      </c>
      <c r="N44" s="186">
        <f>IF($B44="","",-SUMIFS(资金台帐!$S$7:$S$3006,资金台帐!$P$7:$P$3006,"费用",资金台帐!$L$7:$L$3006,$B44,资金台帐!$B$7:$B$3006,"&gt;="&amp;DATE(年度,11,1),资金台帐!$B$7:$B$3006,"&lt;"&amp;DATE(年度,11+1,1)))</f>
      </c>
      <c r="O44" s="186">
        <f>IF($B44="","",-SUMIFS(资金台帐!$S$7:$S$3006,资金台帐!$P$7:$P$3006,"费用",资金台帐!$L$7:$L$3006,$B44,资金台帐!$B$7:$B$3006,"&gt;="&amp;DATE(年度,12,1),资金台帐!$B$7:$B$3006,"&lt;"&amp;DATE(年度,12+1,1)))</f>
      </c>
      <c r="P44" s="187">
        <f>IF(B44="","",SUM(D44:O44))</f>
      </c>
      <c r="Q44" s="265">
        <f>IF(OR(B44="",N($P$56)=0),"",P44/$P$56)</f>
      </c>
    </row>
    <row r="45">
      <c r="A45" s="194">
        <f>IF(B45="","",ROW()-4)</f>
      </c>
      <c r="B45" s="141">
        <f>IF(基础资料!AI45="","",基础资料!AI45&amp;"")</f>
      </c>
      <c r="C45" s="141">
        <f>IF(B45="","",基础资料!AJ45&amp;"")</f>
      </c>
      <c r="D45" s="186">
        <f>IF($B45="","",-SUMIFS(资金台帐!$S$7:$S$3006,资金台帐!$P$7:$P$3006,"费用",资金台帐!$L$7:$L$3006,$B45,资金台帐!$B$7:$B$3006,"&gt;="&amp;DATE(年度,1,1),资金台帐!$B$7:$B$3006,"&lt;"&amp;DATE(年度,1+1,1)))</f>
      </c>
      <c r="E45" s="186">
        <f>IF($B45="","",-SUMIFS(资金台帐!$S$7:$S$3006,资金台帐!$P$7:$P$3006,"费用",资金台帐!$L$7:$L$3006,$B45,资金台帐!$B$7:$B$3006,"&gt;="&amp;DATE(年度,2,1),资金台帐!$B$7:$B$3006,"&lt;"&amp;DATE(年度,2+1,1)))</f>
      </c>
      <c r="F45" s="186">
        <f>IF($B45="","",-SUMIFS(资金台帐!$S$7:$S$3006,资金台帐!$P$7:$P$3006,"费用",资金台帐!$L$7:$L$3006,$B45,资金台帐!$B$7:$B$3006,"&gt;="&amp;DATE(年度,3,1),资金台帐!$B$7:$B$3006,"&lt;"&amp;DATE(年度,3+1,1)))</f>
      </c>
      <c r="G45" s="186">
        <f>IF($B45="","",-SUMIFS(资金台帐!$S$7:$S$3006,资金台帐!$P$7:$P$3006,"费用",资金台帐!$L$7:$L$3006,$B45,资金台帐!$B$7:$B$3006,"&gt;="&amp;DATE(年度,4,1),资金台帐!$B$7:$B$3006,"&lt;"&amp;DATE(年度,4+1,1)))</f>
      </c>
      <c r="H45" s="186">
        <f>IF($B45="","",-SUMIFS(资金台帐!$S$7:$S$3006,资金台帐!$P$7:$P$3006,"费用",资金台帐!$L$7:$L$3006,$B45,资金台帐!$B$7:$B$3006,"&gt;="&amp;DATE(年度,5,1),资金台帐!$B$7:$B$3006,"&lt;"&amp;DATE(年度,5+1,1)))</f>
      </c>
      <c r="I45" s="186">
        <f>IF($B45="","",-SUMIFS(资金台帐!$S$7:$S$3006,资金台帐!$P$7:$P$3006,"费用",资金台帐!$L$7:$L$3006,$B45,资金台帐!$B$7:$B$3006,"&gt;="&amp;DATE(年度,6,1),资金台帐!$B$7:$B$3006,"&lt;"&amp;DATE(年度,6+1,1)))</f>
      </c>
      <c r="J45" s="186">
        <f>IF($B45="","",-SUMIFS(资金台帐!$S$7:$S$3006,资金台帐!$P$7:$P$3006,"费用",资金台帐!$L$7:$L$3006,$B45,资金台帐!$B$7:$B$3006,"&gt;="&amp;DATE(年度,7,1),资金台帐!$B$7:$B$3006,"&lt;"&amp;DATE(年度,7+1,1)))</f>
      </c>
      <c r="K45" s="186">
        <f>IF($B45="","",-SUMIFS(资金台帐!$S$7:$S$3006,资金台帐!$P$7:$P$3006,"费用",资金台帐!$L$7:$L$3006,$B45,资金台帐!$B$7:$B$3006,"&gt;="&amp;DATE(年度,8,1),资金台帐!$B$7:$B$3006,"&lt;"&amp;DATE(年度,8+1,1)))</f>
      </c>
      <c r="L45" s="186">
        <f>IF($B45="","",-SUMIFS(资金台帐!$S$7:$S$3006,资金台帐!$P$7:$P$3006,"费用",资金台帐!$L$7:$L$3006,$B45,资金台帐!$B$7:$B$3006,"&gt;="&amp;DATE(年度,9,1),资金台帐!$B$7:$B$3006,"&lt;"&amp;DATE(年度,9+1,1)))</f>
      </c>
      <c r="M45" s="186">
        <f>IF($B45="","",-SUMIFS(资金台帐!$S$7:$S$3006,资金台帐!$P$7:$P$3006,"费用",资金台帐!$L$7:$L$3006,$B45,资金台帐!$B$7:$B$3006,"&gt;="&amp;DATE(年度,10,1),资金台帐!$B$7:$B$3006,"&lt;"&amp;DATE(年度,10+1,1)))</f>
      </c>
      <c r="N45" s="186">
        <f>IF($B45="","",-SUMIFS(资金台帐!$S$7:$S$3006,资金台帐!$P$7:$P$3006,"费用",资金台帐!$L$7:$L$3006,$B45,资金台帐!$B$7:$B$3006,"&gt;="&amp;DATE(年度,11,1),资金台帐!$B$7:$B$3006,"&lt;"&amp;DATE(年度,11+1,1)))</f>
      </c>
      <c r="O45" s="186">
        <f>IF($B45="","",-SUMIFS(资金台帐!$S$7:$S$3006,资金台帐!$P$7:$P$3006,"费用",资金台帐!$L$7:$L$3006,$B45,资金台帐!$B$7:$B$3006,"&gt;="&amp;DATE(年度,12,1),资金台帐!$B$7:$B$3006,"&lt;"&amp;DATE(年度,12+1,1)))</f>
      </c>
      <c r="P45" s="187">
        <f>IF(B45="","",SUM(D45:O45))</f>
      </c>
      <c r="Q45" s="265">
        <f>IF(OR(B45="",N($P$56)=0),"",P45/$P$56)</f>
      </c>
    </row>
    <row r="46">
      <c r="A46" s="194">
        <f>IF(B46="","",ROW()-4)</f>
      </c>
      <c r="B46" s="141">
        <f>IF(基础资料!AI46="","",基础资料!AI46&amp;"")</f>
      </c>
      <c r="C46" s="141">
        <f>IF(B46="","",基础资料!AJ46&amp;"")</f>
      </c>
      <c r="D46" s="186">
        <f>IF($B46="","",-SUMIFS(资金台帐!$S$7:$S$3006,资金台帐!$P$7:$P$3006,"费用",资金台帐!$L$7:$L$3006,$B46,资金台帐!$B$7:$B$3006,"&gt;="&amp;DATE(年度,1,1),资金台帐!$B$7:$B$3006,"&lt;"&amp;DATE(年度,1+1,1)))</f>
      </c>
      <c r="E46" s="186">
        <f>IF($B46="","",-SUMIFS(资金台帐!$S$7:$S$3006,资金台帐!$P$7:$P$3006,"费用",资金台帐!$L$7:$L$3006,$B46,资金台帐!$B$7:$B$3006,"&gt;="&amp;DATE(年度,2,1),资金台帐!$B$7:$B$3006,"&lt;"&amp;DATE(年度,2+1,1)))</f>
      </c>
      <c r="F46" s="186">
        <f>IF($B46="","",-SUMIFS(资金台帐!$S$7:$S$3006,资金台帐!$P$7:$P$3006,"费用",资金台帐!$L$7:$L$3006,$B46,资金台帐!$B$7:$B$3006,"&gt;="&amp;DATE(年度,3,1),资金台帐!$B$7:$B$3006,"&lt;"&amp;DATE(年度,3+1,1)))</f>
      </c>
      <c r="G46" s="186">
        <f>IF($B46="","",-SUMIFS(资金台帐!$S$7:$S$3006,资金台帐!$P$7:$P$3006,"费用",资金台帐!$L$7:$L$3006,$B46,资金台帐!$B$7:$B$3006,"&gt;="&amp;DATE(年度,4,1),资金台帐!$B$7:$B$3006,"&lt;"&amp;DATE(年度,4+1,1)))</f>
      </c>
      <c r="H46" s="186">
        <f>IF($B46="","",-SUMIFS(资金台帐!$S$7:$S$3006,资金台帐!$P$7:$P$3006,"费用",资金台帐!$L$7:$L$3006,$B46,资金台帐!$B$7:$B$3006,"&gt;="&amp;DATE(年度,5,1),资金台帐!$B$7:$B$3006,"&lt;"&amp;DATE(年度,5+1,1)))</f>
      </c>
      <c r="I46" s="186">
        <f>IF($B46="","",-SUMIFS(资金台帐!$S$7:$S$3006,资金台帐!$P$7:$P$3006,"费用",资金台帐!$L$7:$L$3006,$B46,资金台帐!$B$7:$B$3006,"&gt;="&amp;DATE(年度,6,1),资金台帐!$B$7:$B$3006,"&lt;"&amp;DATE(年度,6+1,1)))</f>
      </c>
      <c r="J46" s="186">
        <f>IF($B46="","",-SUMIFS(资金台帐!$S$7:$S$3006,资金台帐!$P$7:$P$3006,"费用",资金台帐!$L$7:$L$3006,$B46,资金台帐!$B$7:$B$3006,"&gt;="&amp;DATE(年度,7,1),资金台帐!$B$7:$B$3006,"&lt;"&amp;DATE(年度,7+1,1)))</f>
      </c>
      <c r="K46" s="186">
        <f>IF($B46="","",-SUMIFS(资金台帐!$S$7:$S$3006,资金台帐!$P$7:$P$3006,"费用",资金台帐!$L$7:$L$3006,$B46,资金台帐!$B$7:$B$3006,"&gt;="&amp;DATE(年度,8,1),资金台帐!$B$7:$B$3006,"&lt;"&amp;DATE(年度,8+1,1)))</f>
      </c>
      <c r="L46" s="186">
        <f>IF($B46="","",-SUMIFS(资金台帐!$S$7:$S$3006,资金台帐!$P$7:$P$3006,"费用",资金台帐!$L$7:$L$3006,$B46,资金台帐!$B$7:$B$3006,"&gt;="&amp;DATE(年度,9,1),资金台帐!$B$7:$B$3006,"&lt;"&amp;DATE(年度,9+1,1)))</f>
      </c>
      <c r="M46" s="186">
        <f>IF($B46="","",-SUMIFS(资金台帐!$S$7:$S$3006,资金台帐!$P$7:$P$3006,"费用",资金台帐!$L$7:$L$3006,$B46,资金台帐!$B$7:$B$3006,"&gt;="&amp;DATE(年度,10,1),资金台帐!$B$7:$B$3006,"&lt;"&amp;DATE(年度,10+1,1)))</f>
      </c>
      <c r="N46" s="186">
        <f>IF($B46="","",-SUMIFS(资金台帐!$S$7:$S$3006,资金台帐!$P$7:$P$3006,"费用",资金台帐!$L$7:$L$3006,$B46,资金台帐!$B$7:$B$3006,"&gt;="&amp;DATE(年度,11,1),资金台帐!$B$7:$B$3006,"&lt;"&amp;DATE(年度,11+1,1)))</f>
      </c>
      <c r="O46" s="186">
        <f>IF($B46="","",-SUMIFS(资金台帐!$S$7:$S$3006,资金台帐!$P$7:$P$3006,"费用",资金台帐!$L$7:$L$3006,$B46,资金台帐!$B$7:$B$3006,"&gt;="&amp;DATE(年度,12,1),资金台帐!$B$7:$B$3006,"&lt;"&amp;DATE(年度,12+1,1)))</f>
      </c>
      <c r="P46" s="187">
        <f>IF(B46="","",SUM(D46:O46))</f>
      </c>
      <c r="Q46" s="265">
        <f>IF(OR(B46="",N($P$56)=0),"",P46/$P$56)</f>
      </c>
    </row>
    <row r="47">
      <c r="A47" s="194">
        <f>IF(B47="","",ROW()-4)</f>
      </c>
      <c r="B47" s="141">
        <f>IF(基础资料!AI47="","",基础资料!AI47&amp;"")</f>
      </c>
      <c r="C47" s="141">
        <f>IF(B47="","",基础资料!AJ47&amp;"")</f>
      </c>
      <c r="D47" s="186">
        <f>IF($B47="","",-SUMIFS(资金台帐!$S$7:$S$3006,资金台帐!$P$7:$P$3006,"费用",资金台帐!$L$7:$L$3006,$B47,资金台帐!$B$7:$B$3006,"&gt;="&amp;DATE(年度,1,1),资金台帐!$B$7:$B$3006,"&lt;"&amp;DATE(年度,1+1,1)))</f>
      </c>
      <c r="E47" s="186">
        <f>IF($B47="","",-SUMIFS(资金台帐!$S$7:$S$3006,资金台帐!$P$7:$P$3006,"费用",资金台帐!$L$7:$L$3006,$B47,资金台帐!$B$7:$B$3006,"&gt;="&amp;DATE(年度,2,1),资金台帐!$B$7:$B$3006,"&lt;"&amp;DATE(年度,2+1,1)))</f>
      </c>
      <c r="F47" s="186">
        <f>IF($B47="","",-SUMIFS(资金台帐!$S$7:$S$3006,资金台帐!$P$7:$P$3006,"费用",资金台帐!$L$7:$L$3006,$B47,资金台帐!$B$7:$B$3006,"&gt;="&amp;DATE(年度,3,1),资金台帐!$B$7:$B$3006,"&lt;"&amp;DATE(年度,3+1,1)))</f>
      </c>
      <c r="G47" s="186">
        <f>IF($B47="","",-SUMIFS(资金台帐!$S$7:$S$3006,资金台帐!$P$7:$P$3006,"费用",资金台帐!$L$7:$L$3006,$B47,资金台帐!$B$7:$B$3006,"&gt;="&amp;DATE(年度,4,1),资金台帐!$B$7:$B$3006,"&lt;"&amp;DATE(年度,4+1,1)))</f>
      </c>
      <c r="H47" s="186">
        <f>IF($B47="","",-SUMIFS(资金台帐!$S$7:$S$3006,资金台帐!$P$7:$P$3006,"费用",资金台帐!$L$7:$L$3006,$B47,资金台帐!$B$7:$B$3006,"&gt;="&amp;DATE(年度,5,1),资金台帐!$B$7:$B$3006,"&lt;"&amp;DATE(年度,5+1,1)))</f>
      </c>
      <c r="I47" s="186">
        <f>IF($B47="","",-SUMIFS(资金台帐!$S$7:$S$3006,资金台帐!$P$7:$P$3006,"费用",资金台帐!$L$7:$L$3006,$B47,资金台帐!$B$7:$B$3006,"&gt;="&amp;DATE(年度,6,1),资金台帐!$B$7:$B$3006,"&lt;"&amp;DATE(年度,6+1,1)))</f>
      </c>
      <c r="J47" s="186">
        <f>IF($B47="","",-SUMIFS(资金台帐!$S$7:$S$3006,资金台帐!$P$7:$P$3006,"费用",资金台帐!$L$7:$L$3006,$B47,资金台帐!$B$7:$B$3006,"&gt;="&amp;DATE(年度,7,1),资金台帐!$B$7:$B$3006,"&lt;"&amp;DATE(年度,7+1,1)))</f>
      </c>
      <c r="K47" s="186">
        <f>IF($B47="","",-SUMIFS(资金台帐!$S$7:$S$3006,资金台帐!$P$7:$P$3006,"费用",资金台帐!$L$7:$L$3006,$B47,资金台帐!$B$7:$B$3006,"&gt;="&amp;DATE(年度,8,1),资金台帐!$B$7:$B$3006,"&lt;"&amp;DATE(年度,8+1,1)))</f>
      </c>
      <c r="L47" s="186">
        <f>IF($B47="","",-SUMIFS(资金台帐!$S$7:$S$3006,资金台帐!$P$7:$P$3006,"费用",资金台帐!$L$7:$L$3006,$B47,资金台帐!$B$7:$B$3006,"&gt;="&amp;DATE(年度,9,1),资金台帐!$B$7:$B$3006,"&lt;"&amp;DATE(年度,9+1,1)))</f>
      </c>
      <c r="M47" s="186">
        <f>IF($B47="","",-SUMIFS(资金台帐!$S$7:$S$3006,资金台帐!$P$7:$P$3006,"费用",资金台帐!$L$7:$L$3006,$B47,资金台帐!$B$7:$B$3006,"&gt;="&amp;DATE(年度,10,1),资金台帐!$B$7:$B$3006,"&lt;"&amp;DATE(年度,10+1,1)))</f>
      </c>
      <c r="N47" s="186">
        <f>IF($B47="","",-SUMIFS(资金台帐!$S$7:$S$3006,资金台帐!$P$7:$P$3006,"费用",资金台帐!$L$7:$L$3006,$B47,资金台帐!$B$7:$B$3006,"&gt;="&amp;DATE(年度,11,1),资金台帐!$B$7:$B$3006,"&lt;"&amp;DATE(年度,11+1,1)))</f>
      </c>
      <c r="O47" s="186">
        <f>IF($B47="","",-SUMIFS(资金台帐!$S$7:$S$3006,资金台帐!$P$7:$P$3006,"费用",资金台帐!$L$7:$L$3006,$B47,资金台帐!$B$7:$B$3006,"&gt;="&amp;DATE(年度,12,1),资金台帐!$B$7:$B$3006,"&lt;"&amp;DATE(年度,12+1,1)))</f>
      </c>
      <c r="P47" s="187">
        <f>IF(B47="","",SUM(D47:O47))</f>
      </c>
      <c r="Q47" s="265">
        <f>IF(OR(B47="",N($P$56)=0),"",P47/$P$56)</f>
      </c>
    </row>
    <row r="48">
      <c r="A48" s="194">
        <f>IF(B48="","",ROW()-4)</f>
      </c>
      <c r="B48" s="141">
        <f>IF(基础资料!AI48="","",基础资料!AI48&amp;"")</f>
      </c>
      <c r="C48" s="141">
        <f>IF(B48="","",基础资料!AJ48&amp;"")</f>
      </c>
      <c r="D48" s="186">
        <f>IF($B48="","",-SUMIFS(资金台帐!$S$7:$S$3006,资金台帐!$P$7:$P$3006,"费用",资金台帐!$L$7:$L$3006,$B48,资金台帐!$B$7:$B$3006,"&gt;="&amp;DATE(年度,1,1),资金台帐!$B$7:$B$3006,"&lt;"&amp;DATE(年度,1+1,1)))</f>
      </c>
      <c r="E48" s="186">
        <f>IF($B48="","",-SUMIFS(资金台帐!$S$7:$S$3006,资金台帐!$P$7:$P$3006,"费用",资金台帐!$L$7:$L$3006,$B48,资金台帐!$B$7:$B$3006,"&gt;="&amp;DATE(年度,2,1),资金台帐!$B$7:$B$3006,"&lt;"&amp;DATE(年度,2+1,1)))</f>
      </c>
      <c r="F48" s="186">
        <f>IF($B48="","",-SUMIFS(资金台帐!$S$7:$S$3006,资金台帐!$P$7:$P$3006,"费用",资金台帐!$L$7:$L$3006,$B48,资金台帐!$B$7:$B$3006,"&gt;="&amp;DATE(年度,3,1),资金台帐!$B$7:$B$3006,"&lt;"&amp;DATE(年度,3+1,1)))</f>
      </c>
      <c r="G48" s="186">
        <f>IF($B48="","",-SUMIFS(资金台帐!$S$7:$S$3006,资金台帐!$P$7:$P$3006,"费用",资金台帐!$L$7:$L$3006,$B48,资金台帐!$B$7:$B$3006,"&gt;="&amp;DATE(年度,4,1),资金台帐!$B$7:$B$3006,"&lt;"&amp;DATE(年度,4+1,1)))</f>
      </c>
      <c r="H48" s="186">
        <f>IF($B48="","",-SUMIFS(资金台帐!$S$7:$S$3006,资金台帐!$P$7:$P$3006,"费用",资金台帐!$L$7:$L$3006,$B48,资金台帐!$B$7:$B$3006,"&gt;="&amp;DATE(年度,5,1),资金台帐!$B$7:$B$3006,"&lt;"&amp;DATE(年度,5+1,1)))</f>
      </c>
      <c r="I48" s="186">
        <f>IF($B48="","",-SUMIFS(资金台帐!$S$7:$S$3006,资金台帐!$P$7:$P$3006,"费用",资金台帐!$L$7:$L$3006,$B48,资金台帐!$B$7:$B$3006,"&gt;="&amp;DATE(年度,6,1),资金台帐!$B$7:$B$3006,"&lt;"&amp;DATE(年度,6+1,1)))</f>
      </c>
      <c r="J48" s="186">
        <f>IF($B48="","",-SUMIFS(资金台帐!$S$7:$S$3006,资金台帐!$P$7:$P$3006,"费用",资金台帐!$L$7:$L$3006,$B48,资金台帐!$B$7:$B$3006,"&gt;="&amp;DATE(年度,7,1),资金台帐!$B$7:$B$3006,"&lt;"&amp;DATE(年度,7+1,1)))</f>
      </c>
      <c r="K48" s="186">
        <f>IF($B48="","",-SUMIFS(资金台帐!$S$7:$S$3006,资金台帐!$P$7:$P$3006,"费用",资金台帐!$L$7:$L$3006,$B48,资金台帐!$B$7:$B$3006,"&gt;="&amp;DATE(年度,8,1),资金台帐!$B$7:$B$3006,"&lt;"&amp;DATE(年度,8+1,1)))</f>
      </c>
      <c r="L48" s="186">
        <f>IF($B48="","",-SUMIFS(资金台帐!$S$7:$S$3006,资金台帐!$P$7:$P$3006,"费用",资金台帐!$L$7:$L$3006,$B48,资金台帐!$B$7:$B$3006,"&gt;="&amp;DATE(年度,9,1),资金台帐!$B$7:$B$3006,"&lt;"&amp;DATE(年度,9+1,1)))</f>
      </c>
      <c r="M48" s="186">
        <f>IF($B48="","",-SUMIFS(资金台帐!$S$7:$S$3006,资金台帐!$P$7:$P$3006,"费用",资金台帐!$L$7:$L$3006,$B48,资金台帐!$B$7:$B$3006,"&gt;="&amp;DATE(年度,10,1),资金台帐!$B$7:$B$3006,"&lt;"&amp;DATE(年度,10+1,1)))</f>
      </c>
      <c r="N48" s="186">
        <f>IF($B48="","",-SUMIFS(资金台帐!$S$7:$S$3006,资金台帐!$P$7:$P$3006,"费用",资金台帐!$L$7:$L$3006,$B48,资金台帐!$B$7:$B$3006,"&gt;="&amp;DATE(年度,11,1),资金台帐!$B$7:$B$3006,"&lt;"&amp;DATE(年度,11+1,1)))</f>
      </c>
      <c r="O48" s="186">
        <f>IF($B48="","",-SUMIFS(资金台帐!$S$7:$S$3006,资金台帐!$P$7:$P$3006,"费用",资金台帐!$L$7:$L$3006,$B48,资金台帐!$B$7:$B$3006,"&gt;="&amp;DATE(年度,12,1),资金台帐!$B$7:$B$3006,"&lt;"&amp;DATE(年度,12+1,1)))</f>
      </c>
      <c r="P48" s="187">
        <f>IF(B48="","",SUM(D48:O48))</f>
      </c>
      <c r="Q48" s="265">
        <f>IF(OR(B48="",N($P$56)=0),"",P48/$P$56)</f>
      </c>
    </row>
    <row r="49">
      <c r="A49" s="194">
        <f>IF(B49="","",ROW()-4)</f>
      </c>
      <c r="B49" s="141">
        <f>IF(基础资料!AI49="","",基础资料!AI49&amp;"")</f>
      </c>
      <c r="C49" s="141">
        <f>IF(B49="","",基础资料!AJ49&amp;"")</f>
      </c>
      <c r="D49" s="186">
        <f>IF($B49="","",-SUMIFS(资金台帐!$S$7:$S$3006,资金台帐!$P$7:$P$3006,"费用",资金台帐!$L$7:$L$3006,$B49,资金台帐!$B$7:$B$3006,"&gt;="&amp;DATE(年度,1,1),资金台帐!$B$7:$B$3006,"&lt;"&amp;DATE(年度,1+1,1)))</f>
      </c>
      <c r="E49" s="186">
        <f>IF($B49="","",-SUMIFS(资金台帐!$S$7:$S$3006,资金台帐!$P$7:$P$3006,"费用",资金台帐!$L$7:$L$3006,$B49,资金台帐!$B$7:$B$3006,"&gt;="&amp;DATE(年度,2,1),资金台帐!$B$7:$B$3006,"&lt;"&amp;DATE(年度,2+1,1)))</f>
      </c>
      <c r="F49" s="186">
        <f>IF($B49="","",-SUMIFS(资金台帐!$S$7:$S$3006,资金台帐!$P$7:$P$3006,"费用",资金台帐!$L$7:$L$3006,$B49,资金台帐!$B$7:$B$3006,"&gt;="&amp;DATE(年度,3,1),资金台帐!$B$7:$B$3006,"&lt;"&amp;DATE(年度,3+1,1)))</f>
      </c>
      <c r="G49" s="186">
        <f>IF($B49="","",-SUMIFS(资金台帐!$S$7:$S$3006,资金台帐!$P$7:$P$3006,"费用",资金台帐!$L$7:$L$3006,$B49,资金台帐!$B$7:$B$3006,"&gt;="&amp;DATE(年度,4,1),资金台帐!$B$7:$B$3006,"&lt;"&amp;DATE(年度,4+1,1)))</f>
      </c>
      <c r="H49" s="186">
        <f>IF($B49="","",-SUMIFS(资金台帐!$S$7:$S$3006,资金台帐!$P$7:$P$3006,"费用",资金台帐!$L$7:$L$3006,$B49,资金台帐!$B$7:$B$3006,"&gt;="&amp;DATE(年度,5,1),资金台帐!$B$7:$B$3006,"&lt;"&amp;DATE(年度,5+1,1)))</f>
      </c>
      <c r="I49" s="186">
        <f>IF($B49="","",-SUMIFS(资金台帐!$S$7:$S$3006,资金台帐!$P$7:$P$3006,"费用",资金台帐!$L$7:$L$3006,$B49,资金台帐!$B$7:$B$3006,"&gt;="&amp;DATE(年度,6,1),资金台帐!$B$7:$B$3006,"&lt;"&amp;DATE(年度,6+1,1)))</f>
      </c>
      <c r="J49" s="186">
        <f>IF($B49="","",-SUMIFS(资金台帐!$S$7:$S$3006,资金台帐!$P$7:$P$3006,"费用",资金台帐!$L$7:$L$3006,$B49,资金台帐!$B$7:$B$3006,"&gt;="&amp;DATE(年度,7,1),资金台帐!$B$7:$B$3006,"&lt;"&amp;DATE(年度,7+1,1)))</f>
      </c>
      <c r="K49" s="186">
        <f>IF($B49="","",-SUMIFS(资金台帐!$S$7:$S$3006,资金台帐!$P$7:$P$3006,"费用",资金台帐!$L$7:$L$3006,$B49,资金台帐!$B$7:$B$3006,"&gt;="&amp;DATE(年度,8,1),资金台帐!$B$7:$B$3006,"&lt;"&amp;DATE(年度,8+1,1)))</f>
      </c>
      <c r="L49" s="186">
        <f>IF($B49="","",-SUMIFS(资金台帐!$S$7:$S$3006,资金台帐!$P$7:$P$3006,"费用",资金台帐!$L$7:$L$3006,$B49,资金台帐!$B$7:$B$3006,"&gt;="&amp;DATE(年度,9,1),资金台帐!$B$7:$B$3006,"&lt;"&amp;DATE(年度,9+1,1)))</f>
      </c>
      <c r="M49" s="186">
        <f>IF($B49="","",-SUMIFS(资金台帐!$S$7:$S$3006,资金台帐!$P$7:$P$3006,"费用",资金台帐!$L$7:$L$3006,$B49,资金台帐!$B$7:$B$3006,"&gt;="&amp;DATE(年度,10,1),资金台帐!$B$7:$B$3006,"&lt;"&amp;DATE(年度,10+1,1)))</f>
      </c>
      <c r="N49" s="186">
        <f>IF($B49="","",-SUMIFS(资金台帐!$S$7:$S$3006,资金台帐!$P$7:$P$3006,"费用",资金台帐!$L$7:$L$3006,$B49,资金台帐!$B$7:$B$3006,"&gt;="&amp;DATE(年度,11,1),资金台帐!$B$7:$B$3006,"&lt;"&amp;DATE(年度,11+1,1)))</f>
      </c>
      <c r="O49" s="186">
        <f>IF($B49="","",-SUMIFS(资金台帐!$S$7:$S$3006,资金台帐!$P$7:$P$3006,"费用",资金台帐!$L$7:$L$3006,$B49,资金台帐!$B$7:$B$3006,"&gt;="&amp;DATE(年度,12,1),资金台帐!$B$7:$B$3006,"&lt;"&amp;DATE(年度,12+1,1)))</f>
      </c>
      <c r="P49" s="187">
        <f>IF(B49="","",SUM(D49:O49))</f>
      </c>
      <c r="Q49" s="265">
        <f>IF(OR(B49="",N($P$56)=0),"",P49/$P$56)</f>
      </c>
    </row>
    <row r="50">
      <c r="A50" s="194">
        <f>IF(B50="","",ROW()-4)</f>
      </c>
      <c r="B50" s="141">
        <f>IF(基础资料!AI50="","",基础资料!AI50&amp;"")</f>
      </c>
      <c r="C50" s="141">
        <f>IF(B50="","",基础资料!AJ50&amp;"")</f>
      </c>
      <c r="D50" s="186">
        <f>IF($B50="","",-SUMIFS(资金台帐!$S$7:$S$3006,资金台帐!$P$7:$P$3006,"费用",资金台帐!$L$7:$L$3006,$B50,资金台帐!$B$7:$B$3006,"&gt;="&amp;DATE(年度,1,1),资金台帐!$B$7:$B$3006,"&lt;"&amp;DATE(年度,1+1,1)))</f>
      </c>
      <c r="E50" s="186">
        <f>IF($B50="","",-SUMIFS(资金台帐!$S$7:$S$3006,资金台帐!$P$7:$P$3006,"费用",资金台帐!$L$7:$L$3006,$B50,资金台帐!$B$7:$B$3006,"&gt;="&amp;DATE(年度,2,1),资金台帐!$B$7:$B$3006,"&lt;"&amp;DATE(年度,2+1,1)))</f>
      </c>
      <c r="F50" s="186">
        <f>IF($B50="","",-SUMIFS(资金台帐!$S$7:$S$3006,资金台帐!$P$7:$P$3006,"费用",资金台帐!$L$7:$L$3006,$B50,资金台帐!$B$7:$B$3006,"&gt;="&amp;DATE(年度,3,1),资金台帐!$B$7:$B$3006,"&lt;"&amp;DATE(年度,3+1,1)))</f>
      </c>
      <c r="G50" s="186">
        <f>IF($B50="","",-SUMIFS(资金台帐!$S$7:$S$3006,资金台帐!$P$7:$P$3006,"费用",资金台帐!$L$7:$L$3006,$B50,资金台帐!$B$7:$B$3006,"&gt;="&amp;DATE(年度,4,1),资金台帐!$B$7:$B$3006,"&lt;"&amp;DATE(年度,4+1,1)))</f>
      </c>
      <c r="H50" s="186">
        <f>IF($B50="","",-SUMIFS(资金台帐!$S$7:$S$3006,资金台帐!$P$7:$P$3006,"费用",资金台帐!$L$7:$L$3006,$B50,资金台帐!$B$7:$B$3006,"&gt;="&amp;DATE(年度,5,1),资金台帐!$B$7:$B$3006,"&lt;"&amp;DATE(年度,5+1,1)))</f>
      </c>
      <c r="I50" s="186">
        <f>IF($B50="","",-SUMIFS(资金台帐!$S$7:$S$3006,资金台帐!$P$7:$P$3006,"费用",资金台帐!$L$7:$L$3006,$B50,资金台帐!$B$7:$B$3006,"&gt;="&amp;DATE(年度,6,1),资金台帐!$B$7:$B$3006,"&lt;"&amp;DATE(年度,6+1,1)))</f>
      </c>
      <c r="J50" s="186">
        <f>IF($B50="","",-SUMIFS(资金台帐!$S$7:$S$3006,资金台帐!$P$7:$P$3006,"费用",资金台帐!$L$7:$L$3006,$B50,资金台帐!$B$7:$B$3006,"&gt;="&amp;DATE(年度,7,1),资金台帐!$B$7:$B$3006,"&lt;"&amp;DATE(年度,7+1,1)))</f>
      </c>
      <c r="K50" s="186">
        <f>IF($B50="","",-SUMIFS(资金台帐!$S$7:$S$3006,资金台帐!$P$7:$P$3006,"费用",资金台帐!$L$7:$L$3006,$B50,资金台帐!$B$7:$B$3006,"&gt;="&amp;DATE(年度,8,1),资金台帐!$B$7:$B$3006,"&lt;"&amp;DATE(年度,8+1,1)))</f>
      </c>
      <c r="L50" s="186">
        <f>IF($B50="","",-SUMIFS(资金台帐!$S$7:$S$3006,资金台帐!$P$7:$P$3006,"费用",资金台帐!$L$7:$L$3006,$B50,资金台帐!$B$7:$B$3006,"&gt;="&amp;DATE(年度,9,1),资金台帐!$B$7:$B$3006,"&lt;"&amp;DATE(年度,9+1,1)))</f>
      </c>
      <c r="M50" s="186">
        <f>IF($B50="","",-SUMIFS(资金台帐!$S$7:$S$3006,资金台帐!$P$7:$P$3006,"费用",资金台帐!$L$7:$L$3006,$B50,资金台帐!$B$7:$B$3006,"&gt;="&amp;DATE(年度,10,1),资金台帐!$B$7:$B$3006,"&lt;"&amp;DATE(年度,10+1,1)))</f>
      </c>
      <c r="N50" s="186">
        <f>IF($B50="","",-SUMIFS(资金台帐!$S$7:$S$3006,资金台帐!$P$7:$P$3006,"费用",资金台帐!$L$7:$L$3006,$B50,资金台帐!$B$7:$B$3006,"&gt;="&amp;DATE(年度,11,1),资金台帐!$B$7:$B$3006,"&lt;"&amp;DATE(年度,11+1,1)))</f>
      </c>
      <c r="O50" s="186">
        <f>IF($B50="","",-SUMIFS(资金台帐!$S$7:$S$3006,资金台帐!$P$7:$P$3006,"费用",资金台帐!$L$7:$L$3006,$B50,资金台帐!$B$7:$B$3006,"&gt;="&amp;DATE(年度,12,1),资金台帐!$B$7:$B$3006,"&lt;"&amp;DATE(年度,12+1,1)))</f>
      </c>
      <c r="P50" s="187">
        <f>IF(B50="","",SUM(D50:O50))</f>
      </c>
      <c r="Q50" s="265">
        <f>IF(OR(B50="",N($P$56)=0),"",P50/$P$56)</f>
      </c>
    </row>
    <row r="51">
      <c r="A51" s="194">
        <f>IF(B51="","",ROW()-4)</f>
      </c>
      <c r="B51" s="141">
        <f>IF(基础资料!AI51="","",基础资料!AI51&amp;"")</f>
      </c>
      <c r="C51" s="141">
        <f>IF(B51="","",基础资料!AJ51&amp;"")</f>
      </c>
      <c r="D51" s="186">
        <f>IF($B51="","",-SUMIFS(资金台帐!$S$7:$S$3006,资金台帐!$P$7:$P$3006,"费用",资金台帐!$L$7:$L$3006,$B51,资金台帐!$B$7:$B$3006,"&gt;="&amp;DATE(年度,1,1),资金台帐!$B$7:$B$3006,"&lt;"&amp;DATE(年度,1+1,1)))</f>
      </c>
      <c r="E51" s="186">
        <f>IF($B51="","",-SUMIFS(资金台帐!$S$7:$S$3006,资金台帐!$P$7:$P$3006,"费用",资金台帐!$L$7:$L$3006,$B51,资金台帐!$B$7:$B$3006,"&gt;="&amp;DATE(年度,2,1),资金台帐!$B$7:$B$3006,"&lt;"&amp;DATE(年度,2+1,1)))</f>
      </c>
      <c r="F51" s="186">
        <f>IF($B51="","",-SUMIFS(资金台帐!$S$7:$S$3006,资金台帐!$P$7:$P$3006,"费用",资金台帐!$L$7:$L$3006,$B51,资金台帐!$B$7:$B$3006,"&gt;="&amp;DATE(年度,3,1),资金台帐!$B$7:$B$3006,"&lt;"&amp;DATE(年度,3+1,1)))</f>
      </c>
      <c r="G51" s="186">
        <f>IF($B51="","",-SUMIFS(资金台帐!$S$7:$S$3006,资金台帐!$P$7:$P$3006,"费用",资金台帐!$L$7:$L$3006,$B51,资金台帐!$B$7:$B$3006,"&gt;="&amp;DATE(年度,4,1),资金台帐!$B$7:$B$3006,"&lt;"&amp;DATE(年度,4+1,1)))</f>
      </c>
      <c r="H51" s="186">
        <f>IF($B51="","",-SUMIFS(资金台帐!$S$7:$S$3006,资金台帐!$P$7:$P$3006,"费用",资金台帐!$L$7:$L$3006,$B51,资金台帐!$B$7:$B$3006,"&gt;="&amp;DATE(年度,5,1),资金台帐!$B$7:$B$3006,"&lt;"&amp;DATE(年度,5+1,1)))</f>
      </c>
      <c r="I51" s="186">
        <f>IF($B51="","",-SUMIFS(资金台帐!$S$7:$S$3006,资金台帐!$P$7:$P$3006,"费用",资金台帐!$L$7:$L$3006,$B51,资金台帐!$B$7:$B$3006,"&gt;="&amp;DATE(年度,6,1),资金台帐!$B$7:$B$3006,"&lt;"&amp;DATE(年度,6+1,1)))</f>
      </c>
      <c r="J51" s="186">
        <f>IF($B51="","",-SUMIFS(资金台帐!$S$7:$S$3006,资金台帐!$P$7:$P$3006,"费用",资金台帐!$L$7:$L$3006,$B51,资金台帐!$B$7:$B$3006,"&gt;="&amp;DATE(年度,7,1),资金台帐!$B$7:$B$3006,"&lt;"&amp;DATE(年度,7+1,1)))</f>
      </c>
      <c r="K51" s="186">
        <f>IF($B51="","",-SUMIFS(资金台帐!$S$7:$S$3006,资金台帐!$P$7:$P$3006,"费用",资金台帐!$L$7:$L$3006,$B51,资金台帐!$B$7:$B$3006,"&gt;="&amp;DATE(年度,8,1),资金台帐!$B$7:$B$3006,"&lt;"&amp;DATE(年度,8+1,1)))</f>
      </c>
      <c r="L51" s="186">
        <f>IF($B51="","",-SUMIFS(资金台帐!$S$7:$S$3006,资金台帐!$P$7:$P$3006,"费用",资金台帐!$L$7:$L$3006,$B51,资金台帐!$B$7:$B$3006,"&gt;="&amp;DATE(年度,9,1),资金台帐!$B$7:$B$3006,"&lt;"&amp;DATE(年度,9+1,1)))</f>
      </c>
      <c r="M51" s="186">
        <f>IF($B51="","",-SUMIFS(资金台帐!$S$7:$S$3006,资金台帐!$P$7:$P$3006,"费用",资金台帐!$L$7:$L$3006,$B51,资金台帐!$B$7:$B$3006,"&gt;="&amp;DATE(年度,10,1),资金台帐!$B$7:$B$3006,"&lt;"&amp;DATE(年度,10+1,1)))</f>
      </c>
      <c r="N51" s="186">
        <f>IF($B51="","",-SUMIFS(资金台帐!$S$7:$S$3006,资金台帐!$P$7:$P$3006,"费用",资金台帐!$L$7:$L$3006,$B51,资金台帐!$B$7:$B$3006,"&gt;="&amp;DATE(年度,11,1),资金台帐!$B$7:$B$3006,"&lt;"&amp;DATE(年度,11+1,1)))</f>
      </c>
      <c r="O51" s="186">
        <f>IF($B51="","",-SUMIFS(资金台帐!$S$7:$S$3006,资金台帐!$P$7:$P$3006,"费用",资金台帐!$L$7:$L$3006,$B51,资金台帐!$B$7:$B$3006,"&gt;="&amp;DATE(年度,12,1),资金台帐!$B$7:$B$3006,"&lt;"&amp;DATE(年度,12+1,1)))</f>
      </c>
      <c r="P51" s="187">
        <f>IF(B51="","",SUM(D51:O51))</f>
      </c>
      <c r="Q51" s="265">
        <f>IF(OR(B51="",N($P$56)=0),"",P51/$P$56)</f>
      </c>
    </row>
    <row r="52">
      <c r="A52" s="194">
        <f>IF(B52="","",ROW()-4)</f>
      </c>
      <c r="B52" s="141">
        <f>IF(基础资料!AI52="","",基础资料!AI52&amp;"")</f>
      </c>
      <c r="C52" s="141">
        <f>IF(B52="","",基础资料!AJ52&amp;"")</f>
      </c>
      <c r="D52" s="186">
        <f>IF($B52="","",-SUMIFS(资金台帐!$S$7:$S$3006,资金台帐!$P$7:$P$3006,"费用",资金台帐!$L$7:$L$3006,$B52,资金台帐!$B$7:$B$3006,"&gt;="&amp;DATE(年度,1,1),资金台帐!$B$7:$B$3006,"&lt;"&amp;DATE(年度,1+1,1)))</f>
      </c>
      <c r="E52" s="186">
        <f>IF($B52="","",-SUMIFS(资金台帐!$S$7:$S$3006,资金台帐!$P$7:$P$3006,"费用",资金台帐!$L$7:$L$3006,$B52,资金台帐!$B$7:$B$3006,"&gt;="&amp;DATE(年度,2,1),资金台帐!$B$7:$B$3006,"&lt;"&amp;DATE(年度,2+1,1)))</f>
      </c>
      <c r="F52" s="186">
        <f>IF($B52="","",-SUMIFS(资金台帐!$S$7:$S$3006,资金台帐!$P$7:$P$3006,"费用",资金台帐!$L$7:$L$3006,$B52,资金台帐!$B$7:$B$3006,"&gt;="&amp;DATE(年度,3,1),资金台帐!$B$7:$B$3006,"&lt;"&amp;DATE(年度,3+1,1)))</f>
      </c>
      <c r="G52" s="186">
        <f>IF($B52="","",-SUMIFS(资金台帐!$S$7:$S$3006,资金台帐!$P$7:$P$3006,"费用",资金台帐!$L$7:$L$3006,$B52,资金台帐!$B$7:$B$3006,"&gt;="&amp;DATE(年度,4,1),资金台帐!$B$7:$B$3006,"&lt;"&amp;DATE(年度,4+1,1)))</f>
      </c>
      <c r="H52" s="186">
        <f>IF($B52="","",-SUMIFS(资金台帐!$S$7:$S$3006,资金台帐!$P$7:$P$3006,"费用",资金台帐!$L$7:$L$3006,$B52,资金台帐!$B$7:$B$3006,"&gt;="&amp;DATE(年度,5,1),资金台帐!$B$7:$B$3006,"&lt;"&amp;DATE(年度,5+1,1)))</f>
      </c>
      <c r="I52" s="186">
        <f>IF($B52="","",-SUMIFS(资金台帐!$S$7:$S$3006,资金台帐!$P$7:$P$3006,"费用",资金台帐!$L$7:$L$3006,$B52,资金台帐!$B$7:$B$3006,"&gt;="&amp;DATE(年度,6,1),资金台帐!$B$7:$B$3006,"&lt;"&amp;DATE(年度,6+1,1)))</f>
      </c>
      <c r="J52" s="186">
        <f>IF($B52="","",-SUMIFS(资金台帐!$S$7:$S$3006,资金台帐!$P$7:$P$3006,"费用",资金台帐!$L$7:$L$3006,$B52,资金台帐!$B$7:$B$3006,"&gt;="&amp;DATE(年度,7,1),资金台帐!$B$7:$B$3006,"&lt;"&amp;DATE(年度,7+1,1)))</f>
      </c>
      <c r="K52" s="186">
        <f>IF($B52="","",-SUMIFS(资金台帐!$S$7:$S$3006,资金台帐!$P$7:$P$3006,"费用",资金台帐!$L$7:$L$3006,$B52,资金台帐!$B$7:$B$3006,"&gt;="&amp;DATE(年度,8,1),资金台帐!$B$7:$B$3006,"&lt;"&amp;DATE(年度,8+1,1)))</f>
      </c>
      <c r="L52" s="186">
        <f>IF($B52="","",-SUMIFS(资金台帐!$S$7:$S$3006,资金台帐!$P$7:$P$3006,"费用",资金台帐!$L$7:$L$3006,$B52,资金台帐!$B$7:$B$3006,"&gt;="&amp;DATE(年度,9,1),资金台帐!$B$7:$B$3006,"&lt;"&amp;DATE(年度,9+1,1)))</f>
      </c>
      <c r="M52" s="186">
        <f>IF($B52="","",-SUMIFS(资金台帐!$S$7:$S$3006,资金台帐!$P$7:$P$3006,"费用",资金台帐!$L$7:$L$3006,$B52,资金台帐!$B$7:$B$3006,"&gt;="&amp;DATE(年度,10,1),资金台帐!$B$7:$B$3006,"&lt;"&amp;DATE(年度,10+1,1)))</f>
      </c>
      <c r="N52" s="186">
        <f>IF($B52="","",-SUMIFS(资金台帐!$S$7:$S$3006,资金台帐!$P$7:$P$3006,"费用",资金台帐!$L$7:$L$3006,$B52,资金台帐!$B$7:$B$3006,"&gt;="&amp;DATE(年度,11,1),资金台帐!$B$7:$B$3006,"&lt;"&amp;DATE(年度,11+1,1)))</f>
      </c>
      <c r="O52" s="186">
        <f>IF($B52="","",-SUMIFS(资金台帐!$S$7:$S$3006,资金台帐!$P$7:$P$3006,"费用",资金台帐!$L$7:$L$3006,$B52,资金台帐!$B$7:$B$3006,"&gt;="&amp;DATE(年度,12,1),资金台帐!$B$7:$B$3006,"&lt;"&amp;DATE(年度,12+1,1)))</f>
      </c>
      <c r="P52" s="187">
        <f>IF(B52="","",SUM(D52:O52))</f>
      </c>
      <c r="Q52" s="265">
        <f>IF(OR(B52="",N($P$56)=0),"",P52/$P$56)</f>
      </c>
    </row>
    <row r="53">
      <c r="A53" s="194">
        <f>IF(B53="","",ROW()-4)</f>
      </c>
      <c r="B53" s="141">
        <f>IF(基础资料!AI53="","",基础资料!AI53&amp;"")</f>
      </c>
      <c r="C53" s="141">
        <f>IF(B53="","",基础资料!AJ53&amp;"")</f>
      </c>
      <c r="D53" s="186">
        <f>IF($B53="","",-SUMIFS(资金台帐!$S$7:$S$3006,资金台帐!$P$7:$P$3006,"费用",资金台帐!$L$7:$L$3006,$B53,资金台帐!$B$7:$B$3006,"&gt;="&amp;DATE(年度,1,1),资金台帐!$B$7:$B$3006,"&lt;"&amp;DATE(年度,1+1,1)))</f>
      </c>
      <c r="E53" s="186">
        <f>IF($B53="","",-SUMIFS(资金台帐!$S$7:$S$3006,资金台帐!$P$7:$P$3006,"费用",资金台帐!$L$7:$L$3006,$B53,资金台帐!$B$7:$B$3006,"&gt;="&amp;DATE(年度,2,1),资金台帐!$B$7:$B$3006,"&lt;"&amp;DATE(年度,2+1,1)))</f>
      </c>
      <c r="F53" s="186">
        <f>IF($B53="","",-SUMIFS(资金台帐!$S$7:$S$3006,资金台帐!$P$7:$P$3006,"费用",资金台帐!$L$7:$L$3006,$B53,资金台帐!$B$7:$B$3006,"&gt;="&amp;DATE(年度,3,1),资金台帐!$B$7:$B$3006,"&lt;"&amp;DATE(年度,3+1,1)))</f>
      </c>
      <c r="G53" s="186">
        <f>IF($B53="","",-SUMIFS(资金台帐!$S$7:$S$3006,资金台帐!$P$7:$P$3006,"费用",资金台帐!$L$7:$L$3006,$B53,资金台帐!$B$7:$B$3006,"&gt;="&amp;DATE(年度,4,1),资金台帐!$B$7:$B$3006,"&lt;"&amp;DATE(年度,4+1,1)))</f>
      </c>
      <c r="H53" s="186">
        <f>IF($B53="","",-SUMIFS(资金台帐!$S$7:$S$3006,资金台帐!$P$7:$P$3006,"费用",资金台帐!$L$7:$L$3006,$B53,资金台帐!$B$7:$B$3006,"&gt;="&amp;DATE(年度,5,1),资金台帐!$B$7:$B$3006,"&lt;"&amp;DATE(年度,5+1,1)))</f>
      </c>
      <c r="I53" s="186">
        <f>IF($B53="","",-SUMIFS(资金台帐!$S$7:$S$3006,资金台帐!$P$7:$P$3006,"费用",资金台帐!$L$7:$L$3006,$B53,资金台帐!$B$7:$B$3006,"&gt;="&amp;DATE(年度,6,1),资金台帐!$B$7:$B$3006,"&lt;"&amp;DATE(年度,6+1,1)))</f>
      </c>
      <c r="J53" s="186">
        <f>IF($B53="","",-SUMIFS(资金台帐!$S$7:$S$3006,资金台帐!$P$7:$P$3006,"费用",资金台帐!$L$7:$L$3006,$B53,资金台帐!$B$7:$B$3006,"&gt;="&amp;DATE(年度,7,1),资金台帐!$B$7:$B$3006,"&lt;"&amp;DATE(年度,7+1,1)))</f>
      </c>
      <c r="K53" s="186">
        <f>IF($B53="","",-SUMIFS(资金台帐!$S$7:$S$3006,资金台帐!$P$7:$P$3006,"费用",资金台帐!$L$7:$L$3006,$B53,资金台帐!$B$7:$B$3006,"&gt;="&amp;DATE(年度,8,1),资金台帐!$B$7:$B$3006,"&lt;"&amp;DATE(年度,8+1,1)))</f>
      </c>
      <c r="L53" s="186">
        <f>IF($B53="","",-SUMIFS(资金台帐!$S$7:$S$3006,资金台帐!$P$7:$P$3006,"费用",资金台帐!$L$7:$L$3006,$B53,资金台帐!$B$7:$B$3006,"&gt;="&amp;DATE(年度,9,1),资金台帐!$B$7:$B$3006,"&lt;"&amp;DATE(年度,9+1,1)))</f>
      </c>
      <c r="M53" s="186">
        <f>IF($B53="","",-SUMIFS(资金台帐!$S$7:$S$3006,资金台帐!$P$7:$P$3006,"费用",资金台帐!$L$7:$L$3006,$B53,资金台帐!$B$7:$B$3006,"&gt;="&amp;DATE(年度,10,1),资金台帐!$B$7:$B$3006,"&lt;"&amp;DATE(年度,10+1,1)))</f>
      </c>
      <c r="N53" s="186">
        <f>IF($B53="","",-SUMIFS(资金台帐!$S$7:$S$3006,资金台帐!$P$7:$P$3006,"费用",资金台帐!$L$7:$L$3006,$B53,资金台帐!$B$7:$B$3006,"&gt;="&amp;DATE(年度,11,1),资金台帐!$B$7:$B$3006,"&lt;"&amp;DATE(年度,11+1,1)))</f>
      </c>
      <c r="O53" s="186">
        <f>IF($B53="","",-SUMIFS(资金台帐!$S$7:$S$3006,资金台帐!$P$7:$P$3006,"费用",资金台帐!$L$7:$L$3006,$B53,资金台帐!$B$7:$B$3006,"&gt;="&amp;DATE(年度,12,1),资金台帐!$B$7:$B$3006,"&lt;"&amp;DATE(年度,12+1,1)))</f>
      </c>
      <c r="P53" s="187">
        <f>IF(B53="","",SUM(D53:O53))</f>
      </c>
      <c r="Q53" s="265">
        <f>IF(OR(B53="",N($P$56)=0),"",P53/$P$56)</f>
      </c>
    </row>
    <row r="54">
      <c r="A54" s="194">
        <f>IF(B54="","",ROW()-4)</f>
      </c>
      <c r="B54" s="141">
        <f>IF(基础资料!AI54="","",基础资料!AI54&amp;"")</f>
      </c>
      <c r="C54" s="141">
        <f>IF(B54="","",基础资料!AJ54&amp;"")</f>
      </c>
      <c r="D54" s="186">
        <f>IF($B54="","",-SUMIFS(资金台帐!$S$7:$S$3006,资金台帐!$P$7:$P$3006,"费用",资金台帐!$L$7:$L$3006,$B54,资金台帐!$B$7:$B$3006,"&gt;="&amp;DATE(年度,1,1),资金台帐!$B$7:$B$3006,"&lt;"&amp;DATE(年度,1+1,1)))</f>
      </c>
      <c r="E54" s="186">
        <f>IF($B54="","",-SUMIFS(资金台帐!$S$7:$S$3006,资金台帐!$P$7:$P$3006,"费用",资金台帐!$L$7:$L$3006,$B54,资金台帐!$B$7:$B$3006,"&gt;="&amp;DATE(年度,2,1),资金台帐!$B$7:$B$3006,"&lt;"&amp;DATE(年度,2+1,1)))</f>
      </c>
      <c r="F54" s="186">
        <f>IF($B54="","",-SUMIFS(资金台帐!$S$7:$S$3006,资金台帐!$P$7:$P$3006,"费用",资金台帐!$L$7:$L$3006,$B54,资金台帐!$B$7:$B$3006,"&gt;="&amp;DATE(年度,3,1),资金台帐!$B$7:$B$3006,"&lt;"&amp;DATE(年度,3+1,1)))</f>
      </c>
      <c r="G54" s="186">
        <f>IF($B54="","",-SUMIFS(资金台帐!$S$7:$S$3006,资金台帐!$P$7:$P$3006,"费用",资金台帐!$L$7:$L$3006,$B54,资金台帐!$B$7:$B$3006,"&gt;="&amp;DATE(年度,4,1),资金台帐!$B$7:$B$3006,"&lt;"&amp;DATE(年度,4+1,1)))</f>
      </c>
      <c r="H54" s="186">
        <f>IF($B54="","",-SUMIFS(资金台帐!$S$7:$S$3006,资金台帐!$P$7:$P$3006,"费用",资金台帐!$L$7:$L$3006,$B54,资金台帐!$B$7:$B$3006,"&gt;="&amp;DATE(年度,5,1),资金台帐!$B$7:$B$3006,"&lt;"&amp;DATE(年度,5+1,1)))</f>
      </c>
      <c r="I54" s="186">
        <f>IF($B54="","",-SUMIFS(资金台帐!$S$7:$S$3006,资金台帐!$P$7:$P$3006,"费用",资金台帐!$L$7:$L$3006,$B54,资金台帐!$B$7:$B$3006,"&gt;="&amp;DATE(年度,6,1),资金台帐!$B$7:$B$3006,"&lt;"&amp;DATE(年度,6+1,1)))</f>
      </c>
      <c r="J54" s="186">
        <f>IF($B54="","",-SUMIFS(资金台帐!$S$7:$S$3006,资金台帐!$P$7:$P$3006,"费用",资金台帐!$L$7:$L$3006,$B54,资金台帐!$B$7:$B$3006,"&gt;="&amp;DATE(年度,7,1),资金台帐!$B$7:$B$3006,"&lt;"&amp;DATE(年度,7+1,1)))</f>
      </c>
      <c r="K54" s="186">
        <f>IF($B54="","",-SUMIFS(资金台帐!$S$7:$S$3006,资金台帐!$P$7:$P$3006,"费用",资金台帐!$L$7:$L$3006,$B54,资金台帐!$B$7:$B$3006,"&gt;="&amp;DATE(年度,8,1),资金台帐!$B$7:$B$3006,"&lt;"&amp;DATE(年度,8+1,1)))</f>
      </c>
      <c r="L54" s="186">
        <f>IF($B54="","",-SUMIFS(资金台帐!$S$7:$S$3006,资金台帐!$P$7:$P$3006,"费用",资金台帐!$L$7:$L$3006,$B54,资金台帐!$B$7:$B$3006,"&gt;="&amp;DATE(年度,9,1),资金台帐!$B$7:$B$3006,"&lt;"&amp;DATE(年度,9+1,1)))</f>
      </c>
      <c r="M54" s="186">
        <f>IF($B54="","",-SUMIFS(资金台帐!$S$7:$S$3006,资金台帐!$P$7:$P$3006,"费用",资金台帐!$L$7:$L$3006,$B54,资金台帐!$B$7:$B$3006,"&gt;="&amp;DATE(年度,10,1),资金台帐!$B$7:$B$3006,"&lt;"&amp;DATE(年度,10+1,1)))</f>
      </c>
      <c r="N54" s="186">
        <f>IF($B54="","",-SUMIFS(资金台帐!$S$7:$S$3006,资金台帐!$P$7:$P$3006,"费用",资金台帐!$L$7:$L$3006,$B54,资金台帐!$B$7:$B$3006,"&gt;="&amp;DATE(年度,11,1),资金台帐!$B$7:$B$3006,"&lt;"&amp;DATE(年度,11+1,1)))</f>
      </c>
      <c r="O54" s="186">
        <f>IF($B54="","",-SUMIFS(资金台帐!$S$7:$S$3006,资金台帐!$P$7:$P$3006,"费用",资金台帐!$L$7:$L$3006,$B54,资金台帐!$B$7:$B$3006,"&gt;="&amp;DATE(年度,12,1),资金台帐!$B$7:$B$3006,"&lt;"&amp;DATE(年度,12+1,1)))</f>
      </c>
      <c r="P54" s="187">
        <f>IF(B54="","",SUM(D54:O54))</f>
      </c>
      <c r="Q54" s="265">
        <f>IF(OR(B54="",N($P$56)=0),"",P54/$P$56)</f>
      </c>
    </row>
    <row r="55">
      <c r="B55" s="266" t="inlineStr">
        <is>
          <t>没选/没对上费用项目的</t>
        </is>
      </c>
      <c r="C55" s="141" t="inlineStr">
        <is>
          <t>管理费用</t>
        </is>
      </c>
      <c r="D55" s="186">
        <f>D56-SUM(D5:D54)</f>
        <v>0</v>
      </c>
      <c r="E55" s="186">
        <f>E56-SUM(E5:E54)</f>
        <v>0</v>
      </c>
      <c r="F55" s="186">
        <f>F56-SUM(F5:F54)</f>
        <v>0</v>
      </c>
      <c r="G55" s="186">
        <f>G56-SUM(G5:G54)</f>
        <v>0</v>
      </c>
      <c r="H55" s="186">
        <f>H56-SUM(H5:H54)</f>
        <v>0</v>
      </c>
      <c r="I55" s="186">
        <f>I56-SUM(I5:I54)</f>
        <v>0</v>
      </c>
      <c r="J55" s="186">
        <f>J56-SUM(J5:J54)</f>
        <v>0</v>
      </c>
      <c r="K55" s="186">
        <f>K56-SUM(K5:K54)</f>
        <v>0</v>
      </c>
      <c r="L55" s="186">
        <f>L56-SUM(L5:L54)</f>
        <v>0</v>
      </c>
      <c r="M55" s="186">
        <f>M56-SUM(M5:M54)</f>
        <v>0</v>
      </c>
      <c r="N55" s="186">
        <f>N56-SUM(N5:N54)</f>
        <v>0</v>
      </c>
      <c r="O55" s="186">
        <f>O56-SUM(O5:O54)</f>
        <v>0</v>
      </c>
      <c r="P55" s="187">
        <f>SUM(D55:O55)</f>
        <v>0</v>
      </c>
    </row>
    <row r="56">
      <c r="B56" s="121" t="inlineStr">
        <is>
          <t>费用合计</t>
        </is>
      </c>
      <c r="D56" s="188">
        <f>-SUMIFS(资金台帐!$S$7:$S$3006,资金台帐!$P$7:$P$3006,"费用",资金台帐!$B$7:$B$3006,"&gt;="&amp;DATE(年度,1,1),资金台帐!$B$7:$B$3006,"&lt;"&amp;DATE(年度,1+1,1))</f>
        <v>0</v>
      </c>
      <c r="E56" s="188">
        <f>-SUMIFS(资金台帐!$S$7:$S$3006,资金台帐!$P$7:$P$3006,"费用",资金台帐!$B$7:$B$3006,"&gt;="&amp;DATE(年度,2,1),资金台帐!$B$7:$B$3006,"&lt;"&amp;DATE(年度,2+1,1))</f>
        <v>0</v>
      </c>
      <c r="F56" s="188">
        <f>-SUMIFS(资金台帐!$S$7:$S$3006,资金台帐!$P$7:$P$3006,"费用",资金台帐!$B$7:$B$3006,"&gt;="&amp;DATE(年度,3,1),资金台帐!$B$7:$B$3006,"&lt;"&amp;DATE(年度,3+1,1))</f>
        <v>0</v>
      </c>
      <c r="G56" s="188">
        <f>-SUMIFS(资金台帐!$S$7:$S$3006,资金台帐!$P$7:$P$3006,"费用",资金台帐!$B$7:$B$3006,"&gt;="&amp;DATE(年度,4,1),资金台帐!$B$7:$B$3006,"&lt;"&amp;DATE(年度,4+1,1))</f>
        <v>0</v>
      </c>
      <c r="H56" s="188">
        <f>-SUMIFS(资金台帐!$S$7:$S$3006,资金台帐!$P$7:$P$3006,"费用",资金台帐!$B$7:$B$3006,"&gt;="&amp;DATE(年度,5,1),资金台帐!$B$7:$B$3006,"&lt;"&amp;DATE(年度,5+1,1))</f>
        <v>0</v>
      </c>
      <c r="I56" s="188">
        <f>-SUMIFS(资金台帐!$S$7:$S$3006,资金台帐!$P$7:$P$3006,"费用",资金台帐!$B$7:$B$3006,"&gt;="&amp;DATE(年度,6,1),资金台帐!$B$7:$B$3006,"&lt;"&amp;DATE(年度,6+1,1))</f>
        <v>0</v>
      </c>
      <c r="J56" s="188">
        <f>-SUMIFS(资金台帐!$S$7:$S$3006,资金台帐!$P$7:$P$3006,"费用",资金台帐!$B$7:$B$3006,"&gt;="&amp;DATE(年度,7,1),资金台帐!$B$7:$B$3006,"&lt;"&amp;DATE(年度,7+1,1))</f>
        <v>0</v>
      </c>
      <c r="K56" s="188">
        <f>-SUMIFS(资金台帐!$S$7:$S$3006,资金台帐!$P$7:$P$3006,"费用",资金台帐!$B$7:$B$3006,"&gt;="&amp;DATE(年度,8,1),资金台帐!$B$7:$B$3006,"&lt;"&amp;DATE(年度,8+1,1))</f>
        <v>0</v>
      </c>
      <c r="L56" s="188">
        <f>-SUMIFS(资金台帐!$S$7:$S$3006,资金台帐!$P$7:$P$3006,"费用",资金台帐!$B$7:$B$3006,"&gt;="&amp;DATE(年度,9,1),资金台帐!$B$7:$B$3006,"&lt;"&amp;DATE(年度,9+1,1))</f>
        <v>0</v>
      </c>
      <c r="M56" s="188">
        <f>-SUMIFS(资金台帐!$S$7:$S$3006,资金台帐!$P$7:$P$3006,"费用",资金台帐!$B$7:$B$3006,"&gt;="&amp;DATE(年度,10,1),资金台帐!$B$7:$B$3006,"&lt;"&amp;DATE(年度,10+1,1))</f>
        <v>0</v>
      </c>
      <c r="N56" s="188">
        <f>-SUMIFS(资金台帐!$S$7:$S$3006,资金台帐!$P$7:$P$3006,"费用",资金台帐!$B$7:$B$3006,"&gt;="&amp;DATE(年度,11,1),资金台帐!$B$7:$B$3006,"&lt;"&amp;DATE(年度,11+1,1))</f>
        <v>0</v>
      </c>
      <c r="O56" s="188">
        <f>-SUMIFS(资金台帐!$S$7:$S$3006,资金台帐!$P$7:$P$3006,"费用",资金台帐!$B$7:$B$3006,"&gt;="&amp;DATE(年度,12,1),资金台帐!$B$7:$B$3006,"&lt;"&amp;DATE(年度,12+1,1))</f>
        <v>0</v>
      </c>
      <c r="P56" s="188">
        <f>SUM(D56:O56)</f>
        <v>0</v>
      </c>
    </row>
    <row r="57">
      <c r="B57" s="74" t="inlineStr">
        <is>
          <t>按利润表归类</t>
        </is>
      </c>
    </row>
    <row r="58">
      <c r="B58" s="267" t="inlineStr">
        <is>
          <t>销售费用</t>
        </is>
      </c>
      <c r="D58" s="268">
        <f>SUMIF($C$5:$C$54,"销售费用",D$5:D$54)</f>
        <v>0</v>
      </c>
      <c r="E58" s="268">
        <f>SUMIF($C$5:$C$54,"销售费用",E$5:E$54)</f>
        <v>0</v>
      </c>
      <c r="F58" s="268">
        <f>SUMIF($C$5:$C$54,"销售费用",F$5:F$54)</f>
        <v>0</v>
      </c>
      <c r="G58" s="268">
        <f>SUMIF($C$5:$C$54,"销售费用",G$5:G$54)</f>
        <v>0</v>
      </c>
      <c r="H58" s="268">
        <f>SUMIF($C$5:$C$54,"销售费用",H$5:H$54)</f>
        <v>0</v>
      </c>
      <c r="I58" s="268">
        <f>SUMIF($C$5:$C$54,"销售费用",I$5:I$54)</f>
        <v>0</v>
      </c>
      <c r="J58" s="268">
        <f>SUMIF($C$5:$C$54,"销售费用",J$5:J$54)</f>
        <v>0</v>
      </c>
      <c r="K58" s="268">
        <f>SUMIF($C$5:$C$54,"销售费用",K$5:K$54)</f>
        <v>0</v>
      </c>
      <c r="L58" s="268">
        <f>SUMIF($C$5:$C$54,"销售费用",L$5:L$54)</f>
        <v>0</v>
      </c>
      <c r="M58" s="268">
        <f>SUMIF($C$5:$C$54,"销售费用",M$5:M$54)</f>
        <v>0</v>
      </c>
      <c r="N58" s="268">
        <f>SUMIF($C$5:$C$54,"销售费用",N$5:N$54)</f>
        <v>0</v>
      </c>
      <c r="O58" s="268">
        <f>SUMIF($C$5:$C$54,"销售费用",O$5:O$54)</f>
        <v>0</v>
      </c>
      <c r="P58" s="269">
        <f>SUM(D58:O58)</f>
        <v>0</v>
      </c>
    </row>
    <row r="59">
      <c r="B59" s="267" t="inlineStr">
        <is>
          <t>管理费用</t>
        </is>
      </c>
      <c r="D59" s="268">
        <f>D56-D58-D60-D61-D62-D63</f>
        <v>0</v>
      </c>
      <c r="E59" s="268">
        <f>E56-E58-E60-E61-E62-E63</f>
        <v>0</v>
      </c>
      <c r="F59" s="268">
        <f>F56-F58-F60-F61-F62-F63</f>
        <v>0</v>
      </c>
      <c r="G59" s="268">
        <f>G56-G58-G60-G61-G62-G63</f>
        <v>0</v>
      </c>
      <c r="H59" s="268">
        <f>H56-H58-H60-H61-H62-H63</f>
        <v>0</v>
      </c>
      <c r="I59" s="268">
        <f>I56-I58-I60-I61-I62-I63</f>
        <v>0</v>
      </c>
      <c r="J59" s="268">
        <f>J56-J58-J60-J61-J62-J63</f>
        <v>0</v>
      </c>
      <c r="K59" s="268">
        <f>K56-K58-K60-K61-K62-K63</f>
        <v>0</v>
      </c>
      <c r="L59" s="268">
        <f>L56-L58-L60-L61-L62-L63</f>
        <v>0</v>
      </c>
      <c r="M59" s="268">
        <f>M56-M58-M60-M61-M62-M63</f>
        <v>0</v>
      </c>
      <c r="N59" s="268">
        <f>N56-N58-N60-N61-N62-N63</f>
        <v>0</v>
      </c>
      <c r="O59" s="268">
        <f>O56-O58-O60-O61-O62-O63</f>
        <v>0</v>
      </c>
      <c r="P59" s="269">
        <f>SUM(D59:O59)</f>
        <v>0</v>
      </c>
    </row>
    <row r="60">
      <c r="B60" s="267" t="inlineStr">
        <is>
          <t>财务费用</t>
        </is>
      </c>
      <c r="D60" s="268">
        <f>SUMIF($C$5:$C$54,"财务费用",D$5:D$54)</f>
        <v>0</v>
      </c>
      <c r="E60" s="268">
        <f>SUMIF($C$5:$C$54,"财务费用",E$5:E$54)</f>
        <v>0</v>
      </c>
      <c r="F60" s="268">
        <f>SUMIF($C$5:$C$54,"财务费用",F$5:F$54)</f>
        <v>0</v>
      </c>
      <c r="G60" s="268">
        <f>SUMIF($C$5:$C$54,"财务费用",G$5:G$54)</f>
        <v>0</v>
      </c>
      <c r="H60" s="268">
        <f>SUMIF($C$5:$C$54,"财务费用",H$5:H$54)</f>
        <v>0</v>
      </c>
      <c r="I60" s="268">
        <f>SUMIF($C$5:$C$54,"财务费用",I$5:I$54)</f>
        <v>0</v>
      </c>
      <c r="J60" s="268">
        <f>SUMIF($C$5:$C$54,"财务费用",J$5:J$54)</f>
        <v>0</v>
      </c>
      <c r="K60" s="268">
        <f>SUMIF($C$5:$C$54,"财务费用",K$5:K$54)</f>
        <v>0</v>
      </c>
      <c r="L60" s="268">
        <f>SUMIF($C$5:$C$54,"财务费用",L$5:L$54)</f>
        <v>0</v>
      </c>
      <c r="M60" s="268">
        <f>SUMIF($C$5:$C$54,"财务费用",M$5:M$54)</f>
        <v>0</v>
      </c>
      <c r="N60" s="268">
        <f>SUMIF($C$5:$C$54,"财务费用",N$5:N$54)</f>
        <v>0</v>
      </c>
      <c r="O60" s="268">
        <f>SUMIF($C$5:$C$54,"财务费用",O$5:O$54)</f>
        <v>0</v>
      </c>
      <c r="P60" s="269">
        <f>SUM(D60:O60)</f>
        <v>0</v>
      </c>
    </row>
    <row r="61">
      <c r="B61" s="267" t="inlineStr">
        <is>
          <t>税金及附加</t>
        </is>
      </c>
      <c r="D61" s="268">
        <f>SUMIF($C$5:$C$54,"税金及附加",D$5:D$54)</f>
        <v>0</v>
      </c>
      <c r="E61" s="268">
        <f>SUMIF($C$5:$C$54,"税金及附加",E$5:E$54)</f>
        <v>0</v>
      </c>
      <c r="F61" s="268">
        <f>SUMIF($C$5:$C$54,"税金及附加",F$5:F$54)</f>
        <v>0</v>
      </c>
      <c r="G61" s="268">
        <f>SUMIF($C$5:$C$54,"税金及附加",G$5:G$54)</f>
        <v>0</v>
      </c>
      <c r="H61" s="268">
        <f>SUMIF($C$5:$C$54,"税金及附加",H$5:H$54)</f>
        <v>0</v>
      </c>
      <c r="I61" s="268">
        <f>SUMIF($C$5:$C$54,"税金及附加",I$5:I$54)</f>
        <v>0</v>
      </c>
      <c r="J61" s="268">
        <f>SUMIF($C$5:$C$54,"税金及附加",J$5:J$54)</f>
        <v>0</v>
      </c>
      <c r="K61" s="268">
        <f>SUMIF($C$5:$C$54,"税金及附加",K$5:K$54)</f>
        <v>0</v>
      </c>
      <c r="L61" s="268">
        <f>SUMIF($C$5:$C$54,"税金及附加",L$5:L$54)</f>
        <v>0</v>
      </c>
      <c r="M61" s="268">
        <f>SUMIF($C$5:$C$54,"税金及附加",M$5:M$54)</f>
        <v>0</v>
      </c>
      <c r="N61" s="268">
        <f>SUMIF($C$5:$C$54,"税金及附加",N$5:N$54)</f>
        <v>0</v>
      </c>
      <c r="O61" s="268">
        <f>SUMIF($C$5:$C$54,"税金及附加",O$5:O$54)</f>
        <v>0</v>
      </c>
      <c r="P61" s="269">
        <f>SUM(D61:O61)</f>
        <v>0</v>
      </c>
    </row>
    <row r="62">
      <c r="B62" s="267" t="inlineStr">
        <is>
          <t>营业外支出</t>
        </is>
      </c>
      <c r="D62" s="268">
        <f>SUMIF($C$5:$C$54,"营业外支出",D$5:D$54)</f>
        <v>0</v>
      </c>
      <c r="E62" s="268">
        <f>SUMIF($C$5:$C$54,"营业外支出",E$5:E$54)</f>
        <v>0</v>
      </c>
      <c r="F62" s="268">
        <f>SUMIF($C$5:$C$54,"营业外支出",F$5:F$54)</f>
        <v>0</v>
      </c>
      <c r="G62" s="268">
        <f>SUMIF($C$5:$C$54,"营业外支出",G$5:G$54)</f>
        <v>0</v>
      </c>
      <c r="H62" s="268">
        <f>SUMIF($C$5:$C$54,"营业外支出",H$5:H$54)</f>
        <v>0</v>
      </c>
      <c r="I62" s="268">
        <f>SUMIF($C$5:$C$54,"营业外支出",I$5:I$54)</f>
        <v>0</v>
      </c>
      <c r="J62" s="268">
        <f>SUMIF($C$5:$C$54,"营业外支出",J$5:J$54)</f>
        <v>0</v>
      </c>
      <c r="K62" s="268">
        <f>SUMIF($C$5:$C$54,"营业外支出",K$5:K$54)</f>
        <v>0</v>
      </c>
      <c r="L62" s="268">
        <f>SUMIF($C$5:$C$54,"营业外支出",L$5:L$54)</f>
        <v>0</v>
      </c>
      <c r="M62" s="268">
        <f>SUMIF($C$5:$C$54,"营业外支出",M$5:M$54)</f>
        <v>0</v>
      </c>
      <c r="N62" s="268">
        <f>SUMIF($C$5:$C$54,"营业外支出",N$5:N$54)</f>
        <v>0</v>
      </c>
      <c r="O62" s="268">
        <f>SUMIF($C$5:$C$54,"营业外支出",O$5:O$54)</f>
        <v>0</v>
      </c>
      <c r="P62" s="269">
        <f>SUM(D62:O62)</f>
        <v>0</v>
      </c>
    </row>
    <row r="63">
      <c r="B63" s="267" t="inlineStr">
        <is>
          <t>所得税费用</t>
        </is>
      </c>
      <c r="D63" s="268">
        <f>SUMIF($C$5:$C$54,"所得税费用",D$5:D$54)</f>
        <v>0</v>
      </c>
      <c r="E63" s="268">
        <f>SUMIF($C$5:$C$54,"所得税费用",E$5:E$54)</f>
        <v>0</v>
      </c>
      <c r="F63" s="268">
        <f>SUMIF($C$5:$C$54,"所得税费用",F$5:F$54)</f>
        <v>0</v>
      </c>
      <c r="G63" s="268">
        <f>SUMIF($C$5:$C$54,"所得税费用",G$5:G$54)</f>
        <v>0</v>
      </c>
      <c r="H63" s="268">
        <f>SUMIF($C$5:$C$54,"所得税费用",H$5:H$54)</f>
        <v>0</v>
      </c>
      <c r="I63" s="268">
        <f>SUMIF($C$5:$C$54,"所得税费用",I$5:I$54)</f>
        <v>0</v>
      </c>
      <c r="J63" s="268">
        <f>SUMIF($C$5:$C$54,"所得税费用",J$5:J$54)</f>
        <v>0</v>
      </c>
      <c r="K63" s="268">
        <f>SUMIF($C$5:$C$54,"所得税费用",K$5:K$54)</f>
        <v>0</v>
      </c>
      <c r="L63" s="268">
        <f>SUMIF($C$5:$C$54,"所得税费用",L$5:L$54)</f>
        <v>0</v>
      </c>
      <c r="M63" s="268">
        <f>SUMIF($C$5:$C$54,"所得税费用",M$5:M$54)</f>
        <v>0</v>
      </c>
      <c r="N63" s="268">
        <f>SUMIF($C$5:$C$54,"所得税费用",N$5:N$54)</f>
        <v>0</v>
      </c>
      <c r="O63" s="268">
        <f>SUMIF($C$5:$C$54,"所得税费用",O$5:O$54)</f>
        <v>0</v>
      </c>
      <c r="P63" s="269">
        <f>SUM(D63:O63)</f>
        <v>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375623"/>
    <outlinePr summaryBelow="1" summaryRight="1"/>
    <pageSetUpPr/>
  </sheetPr>
  <dimension ref="A1:Q35"/>
  <sheetViews>
    <sheetView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style="71" min="1" max="1"/>
    <col width="5" customWidth="1" style="71" min="2" max="2"/>
    <col width="13" customWidth="1" style="71" min="3" max="3"/>
    <col width="13" customWidth="1" style="71" min="4" max="4"/>
    <col width="11.5" customWidth="1" style="71" min="5" max="5"/>
    <col width="11.5" customWidth="1" style="71" min="6" max="6"/>
    <col width="11.5" customWidth="1" style="71" min="7" max="7"/>
    <col width="11.5" customWidth="1" style="71" min="8" max="8"/>
    <col width="11.5" customWidth="1" style="71" min="9" max="9"/>
    <col width="11.5" customWidth="1" style="71" min="10" max="10"/>
    <col width="11.5" customWidth="1" style="71" min="11" max="11"/>
    <col width="11.5" customWidth="1" style="71" min="12" max="12"/>
    <col width="11.5" customWidth="1" style="71" min="13" max="13"/>
    <col width="11.5" customWidth="1" style="71" min="14" max="14"/>
    <col width="11.5" customWidth="1" style="71" min="15" max="15"/>
    <col width="11.5" customWidth="1" style="71" min="16" max="16"/>
    <col width="13" customWidth="1" style="71" min="17" max="17"/>
  </cols>
  <sheetData>
    <row r="1" ht="33" customHeight="1" s="71">
      <c r="A1" s="183" t="inlineStr">
        <is>
          <t>利润表（按月 · 自动）</t>
        </is>
      </c>
    </row>
    <row r="2" ht="24" customHeight="1" s="71">
      <c r="A2" s="73" t="inlineStr">
        <is>
          <t>💡 不用填：收入取【出库明细】，成本取【成本计算】，费用/返利/营业外收支取【资金台帐】，报损取各月报损表。选报表月份看「本月」和「本年累计」，右边是 1～12 月逐月数。</t>
        </is>
      </c>
    </row>
    <row r="3">
      <c r="A3" s="189" t="inlineStr">
        <is>
          <t>报表月份：</t>
        </is>
      </c>
      <c r="B3" s="125" t="n">
        <v>9</v>
      </c>
      <c r="C3" s="270" t="str">
        <f>年度&amp;"年"&amp;B3&amp;"月"</f>
        <v>2026年9月</v>
      </c>
      <c r="E3" s="270">
        <f>IF(基础资料!B6="","",基础资料!B6)</f>
      </c>
    </row>
    <row r="4" hidden="1" s="71">
      <c r="E4" t="n">
        <v>1</v>
      </c>
      <c r="F4" t="n">
        <v>2</v>
      </c>
      <c r="G4" t="n">
        <v>3</v>
      </c>
      <c r="H4" t="n">
        <v>4</v>
      </c>
      <c r="I4" t="n">
        <v>5</v>
      </c>
      <c r="J4" t="n">
        <v>6</v>
      </c>
      <c r="K4" t="n">
        <v>7</v>
      </c>
      <c r="L4" t="n">
        <v>8</v>
      </c>
      <c r="M4" t="n">
        <v>9</v>
      </c>
      <c r="N4" t="n">
        <v>10</v>
      </c>
      <c r="O4" t="n">
        <v>11</v>
      </c>
      <c r="P4" t="n">
        <v>12</v>
      </c>
    </row>
    <row r="5" ht="26" customHeight="1" s="71">
      <c r="A5" s="219" t="inlineStr">
        <is>
          <t>项  目</t>
        </is>
      </c>
      <c r="B5" s="219" t="inlineStr">
        <is>
          <t>行次</t>
        </is>
      </c>
      <c r="C5" s="105" t="inlineStr">
        <is>
          <t>本月金额</t>
        </is>
      </c>
      <c r="D5" s="105" t="inlineStr">
        <is>
          <t>本年累计</t>
        </is>
      </c>
      <c r="E5" s="229" t="inlineStr">
        <is>
          <t>1月</t>
        </is>
      </c>
      <c r="F5" s="229" t="inlineStr">
        <is>
          <t>2月</t>
        </is>
      </c>
      <c r="G5" s="229" t="inlineStr">
        <is>
          <t>3月</t>
        </is>
      </c>
      <c r="H5" s="229" t="inlineStr">
        <is>
          <t>4月</t>
        </is>
      </c>
      <c r="I5" s="229" t="inlineStr">
        <is>
          <t>5月</t>
        </is>
      </c>
      <c r="J5" s="229" t="inlineStr">
        <is>
          <t>6月</t>
        </is>
      </c>
      <c r="K5" s="229" t="inlineStr">
        <is>
          <t>7月</t>
        </is>
      </c>
      <c r="L5" s="229" t="inlineStr">
        <is>
          <t>8月</t>
        </is>
      </c>
      <c r="M5" s="229" t="inlineStr">
        <is>
          <t>9月</t>
        </is>
      </c>
      <c r="N5" s="229" t="inlineStr">
        <is>
          <t>10月</t>
        </is>
      </c>
      <c r="O5" s="229" t="inlineStr">
        <is>
          <t>11月</t>
        </is>
      </c>
      <c r="P5" s="229" t="inlineStr">
        <is>
          <t>12月</t>
        </is>
      </c>
      <c r="Q5" s="219" t="inlineStr">
        <is>
          <t>全年合计</t>
        </is>
      </c>
    </row>
    <row r="6">
      <c r="A6" s="107" t="inlineStr">
        <is>
          <t>一、营业收入</t>
        </is>
      </c>
      <c r="B6" s="271" t="n">
        <v>1</v>
      </c>
      <c r="C6" s="269">
        <f>INDEX(E6:P6,$B$3)</f>
        <v>274752</v>
      </c>
      <c r="D6" s="269">
        <f>SUMPRODUCT(($E$4:$P$4&lt;=$B$3)*E6:P6)</f>
        <v>1707307.7</v>
      </c>
      <c r="E6" s="269">
        <f>E7+E8</f>
        <v>0</v>
      </c>
      <c r="F6" s="269">
        <f>F7+F8</f>
        <v>0</v>
      </c>
      <c r="G6" s="269">
        <f>G7+G8</f>
        <v>0</v>
      </c>
      <c r="H6" s="269">
        <f>H7+H8</f>
        <v>0</v>
      </c>
      <c r="I6" s="269">
        <f>I7+I8</f>
        <v>2444</v>
      </c>
      <c r="J6" s="269">
        <f>J7+J8</f>
        <v>59519.5</v>
      </c>
      <c r="K6" s="269">
        <f>K7+K8</f>
        <v>570412</v>
      </c>
      <c r="L6" s="269">
        <f>L7+L8</f>
        <v>800180.2</v>
      </c>
      <c r="M6" s="269">
        <f>M7+M8</f>
        <v>274752</v>
      </c>
      <c r="N6" s="269">
        <f>N7+N8</f>
        <v>0</v>
      </c>
      <c r="O6" s="269">
        <f>O7+O8</f>
        <v>0</v>
      </c>
      <c r="P6" s="269">
        <f>P7+P8</f>
        <v>0</v>
      </c>
      <c r="Q6" s="269">
        <f>SUM(E6:P6)</f>
        <v>1707307.7</v>
      </c>
    </row>
    <row r="7">
      <c r="A7" s="142" t="inlineStr">
        <is>
          <t xml:space="preserve">    主营业务收入（出库领用）</t>
        </is>
      </c>
      <c r="B7" s="230" t="n">
        <v>2</v>
      </c>
      <c r="C7" s="272">
        <f>INDEX(E7:P7,$B$3)</f>
        <v>274752</v>
      </c>
      <c r="D7" s="272">
        <f>SUMPRODUCT(($E$4:$P$4&lt;=$B$3)*E7:P7)</f>
        <v>1707307.7</v>
      </c>
      <c r="E7" s="186">
        <f>SUMIFS(出库明细!$G$4:$G$3003,出库明细!$B$4:$B$3003,"&gt;="&amp;DATE(年度,1,1),出库明细!$B$4:$B$3003,"&lt;"&amp;DATE(年度,1+1,1))</f>
        <v>0</v>
      </c>
      <c r="F7" s="186">
        <f>SUMIFS(出库明细!$G$4:$G$3003,出库明细!$B$4:$B$3003,"&gt;="&amp;DATE(年度,2,1),出库明细!$B$4:$B$3003,"&lt;"&amp;DATE(年度,2+1,1))</f>
        <v>0</v>
      </c>
      <c r="G7" s="186">
        <f>SUMIFS(出库明细!$G$4:$G$3003,出库明细!$B$4:$B$3003,"&gt;="&amp;DATE(年度,3,1),出库明细!$B$4:$B$3003,"&lt;"&amp;DATE(年度,3+1,1))</f>
        <v>0</v>
      </c>
      <c r="H7" s="186">
        <f>SUMIFS(出库明细!$G$4:$G$3003,出库明细!$B$4:$B$3003,"&gt;="&amp;DATE(年度,4,1),出库明细!$B$4:$B$3003,"&lt;"&amp;DATE(年度,4+1,1))</f>
        <v>0</v>
      </c>
      <c r="I7" s="186">
        <f>SUMIFS(出库明细!$G$4:$G$3003,出库明细!$B$4:$B$3003,"&gt;="&amp;DATE(年度,5,1),出库明细!$B$4:$B$3003,"&lt;"&amp;DATE(年度,5+1,1))</f>
        <v>2444</v>
      </c>
      <c r="J7" s="186">
        <f>SUMIFS(出库明细!$G$4:$G$3003,出库明细!$B$4:$B$3003,"&gt;="&amp;DATE(年度,6,1),出库明细!$B$4:$B$3003,"&lt;"&amp;DATE(年度,6+1,1))</f>
        <v>59519.5</v>
      </c>
      <c r="K7" s="186">
        <f>SUMIFS(出库明细!$G$4:$G$3003,出库明细!$B$4:$B$3003,"&gt;="&amp;DATE(年度,7,1),出库明细!$B$4:$B$3003,"&lt;"&amp;DATE(年度,7+1,1))</f>
        <v>570412</v>
      </c>
      <c r="L7" s="186">
        <f>SUMIFS(出库明细!$G$4:$G$3003,出库明细!$B$4:$B$3003,"&gt;="&amp;DATE(年度,8,1),出库明细!$B$4:$B$3003,"&lt;"&amp;DATE(年度,8+1,1))</f>
        <v>800180.2</v>
      </c>
      <c r="M7" s="186">
        <f>SUMIFS(出库明细!$G$4:$G$3003,出库明细!$B$4:$B$3003,"&gt;="&amp;DATE(年度,9,1),出库明细!$B$4:$B$3003,"&lt;"&amp;DATE(年度,9+1,1))</f>
        <v>274752</v>
      </c>
      <c r="N7" s="186">
        <f>SUMIFS(出库明细!$G$4:$G$3003,出库明细!$B$4:$B$3003,"&gt;="&amp;DATE(年度,10,1),出库明细!$B$4:$B$3003,"&lt;"&amp;DATE(年度,10+1,1))</f>
        <v>0</v>
      </c>
      <c r="O7" s="186">
        <f>SUMIFS(出库明细!$G$4:$G$3003,出库明细!$B$4:$B$3003,"&gt;="&amp;DATE(年度,11,1),出库明细!$B$4:$B$3003,"&lt;"&amp;DATE(年度,11+1,1))</f>
        <v>0</v>
      </c>
      <c r="P7" s="186">
        <f>SUMIFS(出库明细!$G$4:$G$3003,出库明细!$B$4:$B$3003,"&gt;="&amp;DATE(年度,12,1),出库明细!$B$4:$B$3003,"&lt;"&amp;DATE(年度,12+1,1))</f>
        <v>0</v>
      </c>
      <c r="Q7" s="186">
        <f>SUM(E7:P7)</f>
        <v>1707307.7</v>
      </c>
    </row>
    <row r="8">
      <c r="A8" s="142" t="inlineStr">
        <is>
          <t xml:space="preserve">    其他业务收入（厂家返利/补贴）</t>
        </is>
      </c>
      <c r="B8" s="230" t="n">
        <v>3</v>
      </c>
      <c r="C8" s="272">
        <f>INDEX(E8:P8,$B$3)</f>
        <v>0</v>
      </c>
      <c r="D8" s="272">
        <f>SUMPRODUCT(($E$4:$P$4&lt;=$B$3)*E8:P8)</f>
        <v>0</v>
      </c>
      <c r="E8" s="186">
        <f>SUMIFS(资金台帐!$S$7:$S$3006,资金台帐!$P$7:$P$3006,"返利收入",资金台帐!$B$7:$B$3006,"&gt;="&amp;DATE(年度,1,1),资金台帐!$B$7:$B$3006,"&lt;"&amp;DATE(年度,1+1,1))</f>
        <v>0</v>
      </c>
      <c r="F8" s="186">
        <f>SUMIFS(资金台帐!$S$7:$S$3006,资金台帐!$P$7:$P$3006,"返利收入",资金台帐!$B$7:$B$3006,"&gt;="&amp;DATE(年度,2,1),资金台帐!$B$7:$B$3006,"&lt;"&amp;DATE(年度,2+1,1))</f>
        <v>0</v>
      </c>
      <c r="G8" s="186">
        <f>SUMIFS(资金台帐!$S$7:$S$3006,资金台帐!$P$7:$P$3006,"返利收入",资金台帐!$B$7:$B$3006,"&gt;="&amp;DATE(年度,3,1),资金台帐!$B$7:$B$3006,"&lt;"&amp;DATE(年度,3+1,1))</f>
        <v>0</v>
      </c>
      <c r="H8" s="186">
        <f>SUMIFS(资金台帐!$S$7:$S$3006,资金台帐!$P$7:$P$3006,"返利收入",资金台帐!$B$7:$B$3006,"&gt;="&amp;DATE(年度,4,1),资金台帐!$B$7:$B$3006,"&lt;"&amp;DATE(年度,4+1,1))</f>
        <v>0</v>
      </c>
      <c r="I8" s="186">
        <f>SUMIFS(资金台帐!$S$7:$S$3006,资金台帐!$P$7:$P$3006,"返利收入",资金台帐!$B$7:$B$3006,"&gt;="&amp;DATE(年度,5,1),资金台帐!$B$7:$B$3006,"&lt;"&amp;DATE(年度,5+1,1))</f>
        <v>0</v>
      </c>
      <c r="J8" s="186">
        <f>SUMIFS(资金台帐!$S$7:$S$3006,资金台帐!$P$7:$P$3006,"返利收入",资金台帐!$B$7:$B$3006,"&gt;="&amp;DATE(年度,6,1),资金台帐!$B$7:$B$3006,"&lt;"&amp;DATE(年度,6+1,1))</f>
        <v>0</v>
      </c>
      <c r="K8" s="186">
        <f>SUMIFS(资金台帐!$S$7:$S$3006,资金台帐!$P$7:$P$3006,"返利收入",资金台帐!$B$7:$B$3006,"&gt;="&amp;DATE(年度,7,1),资金台帐!$B$7:$B$3006,"&lt;"&amp;DATE(年度,7+1,1))</f>
        <v>0</v>
      </c>
      <c r="L8" s="186">
        <f>SUMIFS(资金台帐!$S$7:$S$3006,资金台帐!$P$7:$P$3006,"返利收入",资金台帐!$B$7:$B$3006,"&gt;="&amp;DATE(年度,8,1),资金台帐!$B$7:$B$3006,"&lt;"&amp;DATE(年度,8+1,1))</f>
        <v>0</v>
      </c>
      <c r="M8" s="186">
        <f>SUMIFS(资金台帐!$S$7:$S$3006,资金台帐!$P$7:$P$3006,"返利收入",资金台帐!$B$7:$B$3006,"&gt;="&amp;DATE(年度,9,1),资金台帐!$B$7:$B$3006,"&lt;"&amp;DATE(年度,9+1,1))</f>
        <v>0</v>
      </c>
      <c r="N8" s="186">
        <f>SUMIFS(资金台帐!$S$7:$S$3006,资金台帐!$P$7:$P$3006,"返利收入",资金台帐!$B$7:$B$3006,"&gt;="&amp;DATE(年度,10,1),资金台帐!$B$7:$B$3006,"&lt;"&amp;DATE(年度,10+1,1))</f>
        <v>0</v>
      </c>
      <c r="O8" s="186">
        <f>SUMIFS(资金台帐!$S$7:$S$3006,资金台帐!$P$7:$P$3006,"返利收入",资金台帐!$B$7:$B$3006,"&gt;="&amp;DATE(年度,11,1),资金台帐!$B$7:$B$3006,"&lt;"&amp;DATE(年度,11+1,1))</f>
        <v>0</v>
      </c>
      <c r="P8" s="186">
        <f>SUMIFS(资金台帐!$S$7:$S$3006,资金台帐!$P$7:$P$3006,"返利收入",资金台帐!$B$7:$B$3006,"&gt;="&amp;DATE(年度,12,1),资金台帐!$B$7:$B$3006,"&lt;"&amp;DATE(年度,12+1,1))</f>
        <v>0</v>
      </c>
      <c r="Q8" s="186">
        <f>SUM(E8:P8)</f>
        <v>0</v>
      </c>
    </row>
    <row r="9">
      <c r="A9" s="107" t="inlineStr">
        <is>
          <t>减：营业成本</t>
        </is>
      </c>
      <c r="B9" s="271" t="n">
        <v>4</v>
      </c>
      <c r="C9" s="269">
        <f>INDEX(E9:P9,$B$3)</f>
        <v>113673.9498</v>
      </c>
      <c r="D9" s="269">
        <f>SUMPRODUCT(($E$4:$P$4&lt;=$B$3)*E9:P9)</f>
        <v>1135808.7714</v>
      </c>
      <c r="E9" s="269">
        <f>E10</f>
        <v>0</v>
      </c>
      <c r="F9" s="269">
        <f>F10</f>
        <v>0</v>
      </c>
      <c r="G9" s="269">
        <f>G10</f>
        <v>0</v>
      </c>
      <c r="H9" s="269">
        <f>H10</f>
        <v>0</v>
      </c>
      <c r="I9" s="269">
        <f>I10</f>
        <v>0</v>
      </c>
      <c r="J9" s="269">
        <f>J10</f>
        <v>37774.932</v>
      </c>
      <c r="K9" s="269">
        <f>K10</f>
        <v>409899.1266</v>
      </c>
      <c r="L9" s="269">
        <f>L10</f>
        <v>574460.763</v>
      </c>
      <c r="M9" s="269">
        <f>M10</f>
        <v>113673.9498</v>
      </c>
      <c r="N9" s="269">
        <f>N10</f>
        <v>0</v>
      </c>
      <c r="O9" s="269">
        <f>O10</f>
        <v>0</v>
      </c>
      <c r="P9" s="269">
        <f>P10</f>
        <v>0</v>
      </c>
      <c r="Q9" s="269">
        <f>SUM(E9:P9)</f>
        <v>1135808.7714</v>
      </c>
    </row>
    <row r="10">
      <c r="A10" s="142" t="inlineStr">
        <is>
          <t xml:space="preserve">    主营业务成本（出库成本）</t>
        </is>
      </c>
      <c r="B10" s="230" t="n">
        <v>5</v>
      </c>
      <c r="C10" s="272">
        <f>INDEX(E10:P10,$B$3)</f>
        <v>113673.9498</v>
      </c>
      <c r="D10" s="272">
        <f>SUMPRODUCT(($E$4:$P$4&lt;=$B$3)*E10:P10)</f>
        <v>1135808.7714</v>
      </c>
      <c r="E10" s="186">
        <f>INDEX(成本计算!$H$108:$EU$108,(1-1)*12+7)</f>
        <v>0</v>
      </c>
      <c r="F10" s="186">
        <f>INDEX(成本计算!$H$108:$EU$108,(2-1)*12+7)</f>
        <v>0</v>
      </c>
      <c r="G10" s="186">
        <f>INDEX(成本计算!$H$108:$EU$108,(3-1)*12+7)</f>
        <v>0</v>
      </c>
      <c r="H10" s="186">
        <f>INDEX(成本计算!$H$108:$EU$108,(4-1)*12+7)</f>
        <v>0</v>
      </c>
      <c r="I10" s="186">
        <f>INDEX(成本计算!$H$108:$EU$108,(5-1)*12+7)</f>
        <v>0</v>
      </c>
      <c r="J10" s="186">
        <f>INDEX(成本计算!$H$108:$EU$108,(6-1)*12+7)</f>
        <v>37774.932</v>
      </c>
      <c r="K10" s="186">
        <f>INDEX(成本计算!$H$108:$EU$108,(7-1)*12+7)</f>
        <v>409899.1266</v>
      </c>
      <c r="L10" s="186">
        <f>INDEX(成本计算!$H$108:$EU$108,(8-1)*12+7)</f>
        <v>574460.763</v>
      </c>
      <c r="M10" s="186">
        <f>INDEX(成本计算!$H$108:$EU$108,(9-1)*12+7)</f>
        <v>113673.9498</v>
      </c>
      <c r="N10" s="186">
        <f>INDEX(成本计算!$H$108:$EU$108,(10-1)*12+7)</f>
        <v>0</v>
      </c>
      <c r="O10" s="186">
        <f>INDEX(成本计算!$H$108:$EU$108,(11-1)*12+7)</f>
        <v>0</v>
      </c>
      <c r="P10" s="186">
        <f>INDEX(成本计算!$H$108:$EU$108,(12-1)*12+7)</f>
        <v>0</v>
      </c>
      <c r="Q10" s="186">
        <f>SUM(E10:P10)</f>
        <v>1135808.7714</v>
      </c>
    </row>
    <row r="11">
      <c r="A11" s="273" t="inlineStr">
        <is>
          <t xml:space="preserve">      其中：按参考进价估算的</t>
        </is>
      </c>
      <c r="B11" s="230" t="n">
        <v>6</v>
      </c>
      <c r="C11" s="274">
        <f>INDEX(E11:P11,$B$3)</f>
        <v>113673.9498</v>
      </c>
      <c r="D11" s="274">
        <f>SUMPRODUCT(($E$4:$P$4&lt;=$B$3)*E11:P11)</f>
        <v>1135808.7714</v>
      </c>
      <c r="E11" s="236">
        <f>INDEX(成本计算!$H$108:$EU$108,(1-1)*12+12)</f>
        <v>0</v>
      </c>
      <c r="F11" s="236">
        <f>INDEX(成本计算!$H$108:$EU$108,(2-1)*12+12)</f>
        <v>0</v>
      </c>
      <c r="G11" s="236">
        <f>INDEX(成本计算!$H$108:$EU$108,(3-1)*12+12)</f>
        <v>0</v>
      </c>
      <c r="H11" s="236">
        <f>INDEX(成本计算!$H$108:$EU$108,(4-1)*12+12)</f>
        <v>0</v>
      </c>
      <c r="I11" s="236">
        <f>INDEX(成本计算!$H$108:$EU$108,(5-1)*12+12)</f>
        <v>0</v>
      </c>
      <c r="J11" s="236">
        <f>INDEX(成本计算!$H$108:$EU$108,(6-1)*12+12)</f>
        <v>37774.932</v>
      </c>
      <c r="K11" s="236">
        <f>INDEX(成本计算!$H$108:$EU$108,(7-1)*12+12)</f>
        <v>409899.1266</v>
      </c>
      <c r="L11" s="236">
        <f>INDEX(成本计算!$H$108:$EU$108,(8-1)*12+12)</f>
        <v>574460.763</v>
      </c>
      <c r="M11" s="236">
        <f>INDEX(成本计算!$H$108:$EU$108,(9-1)*12+12)</f>
        <v>113673.9498</v>
      </c>
      <c r="N11" s="236">
        <f>INDEX(成本计算!$H$108:$EU$108,(10-1)*12+12)</f>
        <v>0</v>
      </c>
      <c r="O11" s="236">
        <f>INDEX(成本计算!$H$108:$EU$108,(11-1)*12+12)</f>
        <v>0</v>
      </c>
      <c r="P11" s="236">
        <f>INDEX(成本计算!$H$108:$EU$108,(12-1)*12+12)</f>
        <v>0</v>
      </c>
      <c r="Q11" s="236">
        <f>SUM(E11:P11)</f>
        <v>1135808.7714</v>
      </c>
    </row>
    <row r="12">
      <c r="A12" s="107" t="inlineStr">
        <is>
          <t>二、毛利（主营收入－主营成本）</t>
        </is>
      </c>
      <c r="B12" s="271" t="n">
        <v>7</v>
      </c>
      <c r="C12" s="269">
        <f>INDEX(E12:P12,$B$3)</f>
        <v>161078.0502</v>
      </c>
      <c r="D12" s="269">
        <f>SUMPRODUCT(($E$4:$P$4&lt;=$B$3)*E12:P12)</f>
        <v>571498.9286</v>
      </c>
      <c r="E12" s="269">
        <f>E7-E10</f>
        <v>0</v>
      </c>
      <c r="F12" s="269">
        <f>F7-F10</f>
        <v>0</v>
      </c>
      <c r="G12" s="269">
        <f>G7-G10</f>
        <v>0</v>
      </c>
      <c r="H12" s="269">
        <f>H7-H10</f>
        <v>0</v>
      </c>
      <c r="I12" s="269">
        <f>I7-I10</f>
        <v>2444</v>
      </c>
      <c r="J12" s="269">
        <f>J7-J10</f>
        <v>21744.568</v>
      </c>
      <c r="K12" s="269">
        <f>K7-K10</f>
        <v>160512.8734</v>
      </c>
      <c r="L12" s="269">
        <f>L7-L10</f>
        <v>225719.437</v>
      </c>
      <c r="M12" s="269">
        <f>M7-M10</f>
        <v>161078.0502</v>
      </c>
      <c r="N12" s="269">
        <f>N7-N10</f>
        <v>0</v>
      </c>
      <c r="O12" s="269">
        <f>O7-O10</f>
        <v>0</v>
      </c>
      <c r="P12" s="269">
        <f>P7-P10</f>
        <v>0</v>
      </c>
      <c r="Q12" s="269">
        <f>SUM(E12:P12)</f>
        <v>571498.9286</v>
      </c>
    </row>
    <row r="13">
      <c r="A13" s="142" t="inlineStr">
        <is>
          <t xml:space="preserve">    毛利率</t>
        </is>
      </c>
      <c r="B13" s="230" t="n">
        <v>8</v>
      </c>
      <c r="C13" s="275">
        <f>IF(N(C7)=0,"",C12/C7)</f>
        <v>0.586267070667366</v>
      </c>
      <c r="D13" s="275">
        <f>IF(N(D7)=0,"",D12/D7)</f>
        <v>0.334736924457144</v>
      </c>
      <c r="E13" s="275">
        <f>IF(N(E7)=0,"",E12/E7)</f>
      </c>
      <c r="F13" s="275">
        <f>IF(N(F7)=0,"",F12/F7)</f>
      </c>
      <c r="G13" s="275">
        <f>IF(N(G7)=0,"",G12/G7)</f>
      </c>
      <c r="H13" s="275">
        <f>IF(N(H7)=0,"",H12/H7)</f>
      </c>
      <c r="I13" s="275">
        <f>IF(N(I7)=0,"",I12/I7)</f>
        <v>1</v>
      </c>
      <c r="J13" s="275">
        <f>IF(N(J7)=0,"",J12/J7)</f>
        <v>0.365335192667949</v>
      </c>
      <c r="K13" s="275">
        <f>IF(N(K7)=0,"",K12/K7)</f>
        <v>0.28139813573347</v>
      </c>
      <c r="L13" s="275">
        <f>IF(N(L7)=0,"",L12/L7)</f>
        <v>0.282085756433363</v>
      </c>
      <c r="M13" s="275">
        <f>IF(N(M7)=0,"",M12/M7)</f>
        <v>0.586267070667366</v>
      </c>
      <c r="N13" s="275">
        <f>IF(N(N7)=0,"",N12/N7)</f>
      </c>
      <c r="O13" s="275">
        <f>IF(N(O7)=0,"",O12/O7)</f>
      </c>
      <c r="P13" s="275">
        <f>IF(N(P7)=0,"",P12/P7)</f>
      </c>
      <c r="Q13" s="275">
        <f>IF(N(Q7)=0,"",Q12/Q7)</f>
        <v>0.334736924457144</v>
      </c>
    </row>
    <row r="14">
      <c r="A14" s="142" t="inlineStr">
        <is>
          <t>减：税金及附加</t>
        </is>
      </c>
      <c r="B14" s="230" t="n">
        <v>9</v>
      </c>
      <c r="C14" s="272">
        <f>INDEX(E14:P14,$B$3)</f>
        <v>0</v>
      </c>
      <c r="D14" s="272">
        <f>SUMPRODUCT(($E$4:$P$4&lt;=$B$3)*E14:P14)</f>
        <v>0</v>
      </c>
      <c r="E14" s="186">
        <f>INDEX(费用汇总!$D$61:$O$61,1)</f>
        <v>0</v>
      </c>
      <c r="F14" s="186">
        <f>INDEX(费用汇总!$D$61:$O$61,2)</f>
        <v>0</v>
      </c>
      <c r="G14" s="186">
        <f>INDEX(费用汇总!$D$61:$O$61,3)</f>
        <v>0</v>
      </c>
      <c r="H14" s="186">
        <f>INDEX(费用汇总!$D$61:$O$61,4)</f>
        <v>0</v>
      </c>
      <c r="I14" s="186">
        <f>INDEX(费用汇总!$D$61:$O$61,5)</f>
        <v>0</v>
      </c>
      <c r="J14" s="186">
        <f>INDEX(费用汇总!$D$61:$O$61,6)</f>
        <v>0</v>
      </c>
      <c r="K14" s="186">
        <f>INDEX(费用汇总!$D$61:$O$61,7)</f>
        <v>0</v>
      </c>
      <c r="L14" s="186">
        <f>INDEX(费用汇总!$D$61:$O$61,8)</f>
        <v>0</v>
      </c>
      <c r="M14" s="186">
        <f>INDEX(费用汇总!$D$61:$O$61,9)</f>
        <v>0</v>
      </c>
      <c r="N14" s="186">
        <f>INDEX(费用汇总!$D$61:$O$61,10)</f>
        <v>0</v>
      </c>
      <c r="O14" s="186">
        <f>INDEX(费用汇总!$D$61:$O$61,11)</f>
        <v>0</v>
      </c>
      <c r="P14" s="186">
        <f>INDEX(费用汇总!$D$61:$O$61,12)</f>
        <v>0</v>
      </c>
      <c r="Q14" s="186">
        <f>SUM(E14:P14)</f>
        <v>0</v>
      </c>
    </row>
    <row r="15">
      <c r="A15" s="142" t="inlineStr">
        <is>
          <t xml:space="preserve">    销售费用</t>
        </is>
      </c>
      <c r="B15" s="230" t="n">
        <v>10</v>
      </c>
      <c r="C15" s="272">
        <f>INDEX(E15:P15,$B$3)</f>
        <v>0</v>
      </c>
      <c r="D15" s="272">
        <f>SUMPRODUCT(($E$4:$P$4&lt;=$B$3)*E15:P15)</f>
        <v>0</v>
      </c>
      <c r="E15" s="186">
        <f>INDEX(费用汇总!$D$58:$O$58,1)</f>
        <v>0</v>
      </c>
      <c r="F15" s="186">
        <f>INDEX(费用汇总!$D$58:$O$58,2)</f>
        <v>0</v>
      </c>
      <c r="G15" s="186">
        <f>INDEX(费用汇总!$D$58:$O$58,3)</f>
        <v>0</v>
      </c>
      <c r="H15" s="186">
        <f>INDEX(费用汇总!$D$58:$O$58,4)</f>
        <v>0</v>
      </c>
      <c r="I15" s="186">
        <f>INDEX(费用汇总!$D$58:$O$58,5)</f>
        <v>0</v>
      </c>
      <c r="J15" s="186">
        <f>INDEX(费用汇总!$D$58:$O$58,6)</f>
        <v>0</v>
      </c>
      <c r="K15" s="186">
        <f>INDEX(费用汇总!$D$58:$O$58,7)</f>
        <v>0</v>
      </c>
      <c r="L15" s="186">
        <f>INDEX(费用汇总!$D$58:$O$58,8)</f>
        <v>0</v>
      </c>
      <c r="M15" s="186">
        <f>INDEX(费用汇总!$D$58:$O$58,9)</f>
        <v>0</v>
      </c>
      <c r="N15" s="186">
        <f>INDEX(费用汇总!$D$58:$O$58,10)</f>
        <v>0</v>
      </c>
      <c r="O15" s="186">
        <f>INDEX(费用汇总!$D$58:$O$58,11)</f>
        <v>0</v>
      </c>
      <c r="P15" s="186">
        <f>INDEX(费用汇总!$D$58:$O$58,12)</f>
        <v>0</v>
      </c>
      <c r="Q15" s="186">
        <f>SUM(E15:P15)</f>
        <v>0</v>
      </c>
    </row>
    <row r="16">
      <c r="A16" s="142" t="inlineStr">
        <is>
          <t xml:space="preserve">    管理费用</t>
        </is>
      </c>
      <c r="B16" s="230" t="n">
        <v>11</v>
      </c>
      <c r="C16" s="272">
        <f>INDEX(E16:P16,$B$3)</f>
        <v>0</v>
      </c>
      <c r="D16" s="272">
        <f>SUMPRODUCT(($E$4:$P$4&lt;=$B$3)*E16:P16)</f>
        <v>0</v>
      </c>
      <c r="E16" s="186">
        <f>INDEX(费用汇总!$D$59:$O$59,1)</f>
        <v>0</v>
      </c>
      <c r="F16" s="186">
        <f>INDEX(费用汇总!$D$59:$O$59,2)</f>
        <v>0</v>
      </c>
      <c r="G16" s="186">
        <f>INDEX(费用汇总!$D$59:$O$59,3)</f>
        <v>0</v>
      </c>
      <c r="H16" s="186">
        <f>INDEX(费用汇总!$D$59:$O$59,4)</f>
        <v>0</v>
      </c>
      <c r="I16" s="186">
        <f>INDEX(费用汇总!$D$59:$O$59,5)</f>
        <v>0</v>
      </c>
      <c r="J16" s="186">
        <f>INDEX(费用汇总!$D$59:$O$59,6)</f>
        <v>0</v>
      </c>
      <c r="K16" s="186">
        <f>INDEX(费用汇总!$D$59:$O$59,7)</f>
        <v>0</v>
      </c>
      <c r="L16" s="186">
        <f>INDEX(费用汇总!$D$59:$O$59,8)</f>
        <v>0</v>
      </c>
      <c r="M16" s="186">
        <f>INDEX(费用汇总!$D$59:$O$59,9)</f>
        <v>0</v>
      </c>
      <c r="N16" s="186">
        <f>INDEX(费用汇总!$D$59:$O$59,10)</f>
        <v>0</v>
      </c>
      <c r="O16" s="186">
        <f>INDEX(费用汇总!$D$59:$O$59,11)</f>
        <v>0</v>
      </c>
      <c r="P16" s="186">
        <f>INDEX(费用汇总!$D$59:$O$59,12)</f>
        <v>0</v>
      </c>
      <c r="Q16" s="186">
        <f>SUM(E16:P16)</f>
        <v>0</v>
      </c>
    </row>
    <row r="17">
      <c r="A17" s="142" t="inlineStr">
        <is>
          <t xml:space="preserve">    财务费用</t>
        </is>
      </c>
      <c r="B17" s="230" t="n">
        <v>12</v>
      </c>
      <c r="C17" s="272">
        <f>INDEX(E17:P17,$B$3)</f>
        <v>0</v>
      </c>
      <c r="D17" s="272">
        <f>SUMPRODUCT(($E$4:$P$4&lt;=$B$3)*E17:P17)</f>
        <v>0</v>
      </c>
      <c r="E17" s="186">
        <f>INDEX(费用汇总!$D$60:$O$60,1)</f>
        <v>0</v>
      </c>
      <c r="F17" s="186">
        <f>INDEX(费用汇总!$D$60:$O$60,2)</f>
        <v>0</v>
      </c>
      <c r="G17" s="186">
        <f>INDEX(费用汇总!$D$60:$O$60,3)</f>
        <v>0</v>
      </c>
      <c r="H17" s="186">
        <f>INDEX(费用汇总!$D$60:$O$60,4)</f>
        <v>0</v>
      </c>
      <c r="I17" s="186">
        <f>INDEX(费用汇总!$D$60:$O$60,5)</f>
        <v>0</v>
      </c>
      <c r="J17" s="186">
        <f>INDEX(费用汇总!$D$60:$O$60,6)</f>
        <v>0</v>
      </c>
      <c r="K17" s="186">
        <f>INDEX(费用汇总!$D$60:$O$60,7)</f>
        <v>0</v>
      </c>
      <c r="L17" s="186">
        <f>INDEX(费用汇总!$D$60:$O$60,8)</f>
        <v>0</v>
      </c>
      <c r="M17" s="186">
        <f>INDEX(费用汇总!$D$60:$O$60,9)</f>
        <v>0</v>
      </c>
      <c r="N17" s="186">
        <f>INDEX(费用汇总!$D$60:$O$60,10)</f>
        <v>0</v>
      </c>
      <c r="O17" s="186">
        <f>INDEX(费用汇总!$D$60:$O$60,11)</f>
        <v>0</v>
      </c>
      <c r="P17" s="186">
        <f>INDEX(费用汇总!$D$60:$O$60,12)</f>
        <v>0</v>
      </c>
      <c r="Q17" s="186">
        <f>SUM(E17:P17)</f>
        <v>0</v>
      </c>
    </row>
    <row r="18">
      <c r="A18" s="142" t="inlineStr">
        <is>
          <t xml:space="preserve">    商品报损损失</t>
        </is>
      </c>
      <c r="B18" s="230" t="n">
        <v>13</v>
      </c>
      <c r="C18" s="272">
        <f>INDEX(E18:P18,$B$3)</f>
        <v>0</v>
      </c>
      <c r="D18" s="272">
        <f>SUMPRODUCT(($E$4:$P$4&lt;=$B$3)*E18:P18)</f>
        <v>17655.215536</v>
      </c>
      <c r="E18" s="186">
        <f>INDEX(_辅助!$AC$162:$AN$162,1)</f>
        <v>0</v>
      </c>
      <c r="F18" s="186">
        <f>INDEX(_辅助!$AC$162:$AN$162,2)</f>
        <v>0</v>
      </c>
      <c r="G18" s="186">
        <f>INDEX(_辅助!$AC$162:$AN$162,3)</f>
        <v>0</v>
      </c>
      <c r="H18" s="186">
        <f>INDEX(_辅助!$AC$162:$AN$162,4)</f>
        <v>0</v>
      </c>
      <c r="I18" s="186">
        <f>INDEX(_辅助!$AC$162:$AN$162,5)</f>
        <v>0</v>
      </c>
      <c r="J18" s="186">
        <f>INDEX(_辅助!$AC$162:$AN$162,6)</f>
        <v>6432.565</v>
      </c>
      <c r="K18" s="186">
        <f>INDEX(_辅助!$AC$162:$AN$162,7)</f>
        <v>185.455</v>
      </c>
      <c r="L18" s="186">
        <f>INDEX(_辅助!$AC$162:$AN$162,8)</f>
        <v>11037.195536</v>
      </c>
      <c r="M18" s="186">
        <f>INDEX(_辅助!$AC$162:$AN$162,9)</f>
        <v>0</v>
      </c>
      <c r="N18" s="186">
        <f>INDEX(_辅助!$AC$162:$AN$162,10)</f>
        <v>0</v>
      </c>
      <c r="O18" s="186">
        <f>INDEX(_辅助!$AC$162:$AN$162,11)</f>
        <v>0</v>
      </c>
      <c r="P18" s="186">
        <f>INDEX(_辅助!$AC$162:$AN$162,12)</f>
        <v>0</v>
      </c>
      <c r="Q18" s="186">
        <f>SUM(E18:P18)</f>
        <v>17655.215536</v>
      </c>
    </row>
    <row r="19">
      <c r="A19" s="107" t="inlineStr">
        <is>
          <t>三、营业利润</t>
        </is>
      </c>
      <c r="B19" s="271" t="n">
        <v>14</v>
      </c>
      <c r="C19" s="269">
        <f>INDEX(E19:P19,$B$3)</f>
        <v>161078.0502</v>
      </c>
      <c r="D19" s="269">
        <f>SUMPRODUCT(($E$4:$P$4&lt;=$B$3)*E19:P19)</f>
        <v>553843.713064</v>
      </c>
      <c r="E19" s="269">
        <f>E6-E9-E14-E15-E16-E17-E18</f>
        <v>0</v>
      </c>
      <c r="F19" s="269">
        <f>F6-F9-F14-F15-F16-F17-F18</f>
        <v>0</v>
      </c>
      <c r="G19" s="269">
        <f>G6-G9-G14-G15-G16-G17-G18</f>
        <v>0</v>
      </c>
      <c r="H19" s="269">
        <f>H6-H9-H14-H15-H16-H17-H18</f>
        <v>0</v>
      </c>
      <c r="I19" s="269">
        <f>I6-I9-I14-I15-I16-I17-I18</f>
        <v>2444</v>
      </c>
      <c r="J19" s="269">
        <f>J6-J9-J14-J15-J16-J17-J18</f>
        <v>15312.003</v>
      </c>
      <c r="K19" s="269">
        <f>K6-K9-K14-K15-K16-K17-K18</f>
        <v>160327.4184</v>
      </c>
      <c r="L19" s="269">
        <f>L6-L9-L14-L15-L16-L17-L18</f>
        <v>214682.241464</v>
      </c>
      <c r="M19" s="269">
        <f>M6-M9-M14-M15-M16-M17-M18</f>
        <v>161078.0502</v>
      </c>
      <c r="N19" s="269">
        <f>N6-N9-N14-N15-N16-N17-N18</f>
        <v>0</v>
      </c>
      <c r="O19" s="269">
        <f>O6-O9-O14-O15-O16-O17-O18</f>
        <v>0</v>
      </c>
      <c r="P19" s="269">
        <f>P6-P9-P14-P15-P16-P17-P18</f>
        <v>0</v>
      </c>
      <c r="Q19" s="269">
        <f>SUM(E19:P19)</f>
        <v>553843.713064</v>
      </c>
    </row>
    <row r="20">
      <c r="A20" s="142" t="inlineStr">
        <is>
          <t>加：营业外收入</t>
        </is>
      </c>
      <c r="B20" s="230" t="n">
        <v>15</v>
      </c>
      <c r="C20" s="272">
        <f>INDEX(E20:P20,$B$3)</f>
        <v>0</v>
      </c>
      <c r="D20" s="272">
        <f>SUMPRODUCT(($E$4:$P$4&lt;=$B$3)*E20:P20)</f>
        <v>0</v>
      </c>
      <c r="E20" s="186">
        <f>SUMIFS(资金台帐!$S$7:$S$3006,资金台帐!$P$7:$P$3006,"其他收入",资金台帐!$B$7:$B$3006,"&gt;="&amp;DATE(年度,1,1),资金台帐!$B$7:$B$3006,"&lt;"&amp;DATE(年度,1+1,1))</f>
        <v>0</v>
      </c>
      <c r="F20" s="186">
        <f>SUMIFS(资金台帐!$S$7:$S$3006,资金台帐!$P$7:$P$3006,"其他收入",资金台帐!$B$7:$B$3006,"&gt;="&amp;DATE(年度,2,1),资金台帐!$B$7:$B$3006,"&lt;"&amp;DATE(年度,2+1,1))</f>
        <v>0</v>
      </c>
      <c r="G20" s="186">
        <f>SUMIFS(资金台帐!$S$7:$S$3006,资金台帐!$P$7:$P$3006,"其他收入",资金台帐!$B$7:$B$3006,"&gt;="&amp;DATE(年度,3,1),资金台帐!$B$7:$B$3006,"&lt;"&amp;DATE(年度,3+1,1))</f>
        <v>0</v>
      </c>
      <c r="H20" s="186">
        <f>SUMIFS(资金台帐!$S$7:$S$3006,资金台帐!$P$7:$P$3006,"其他收入",资金台帐!$B$7:$B$3006,"&gt;="&amp;DATE(年度,4,1),资金台帐!$B$7:$B$3006,"&lt;"&amp;DATE(年度,4+1,1))</f>
        <v>0</v>
      </c>
      <c r="I20" s="186">
        <f>SUMIFS(资金台帐!$S$7:$S$3006,资金台帐!$P$7:$P$3006,"其他收入",资金台帐!$B$7:$B$3006,"&gt;="&amp;DATE(年度,5,1),资金台帐!$B$7:$B$3006,"&lt;"&amp;DATE(年度,5+1,1))</f>
        <v>0</v>
      </c>
      <c r="J20" s="186">
        <f>SUMIFS(资金台帐!$S$7:$S$3006,资金台帐!$P$7:$P$3006,"其他收入",资金台帐!$B$7:$B$3006,"&gt;="&amp;DATE(年度,6,1),资金台帐!$B$7:$B$3006,"&lt;"&amp;DATE(年度,6+1,1))</f>
        <v>0</v>
      </c>
      <c r="K20" s="186">
        <f>SUMIFS(资金台帐!$S$7:$S$3006,资金台帐!$P$7:$P$3006,"其他收入",资金台帐!$B$7:$B$3006,"&gt;="&amp;DATE(年度,7,1),资金台帐!$B$7:$B$3006,"&lt;"&amp;DATE(年度,7+1,1))</f>
        <v>0</v>
      </c>
      <c r="L20" s="186">
        <f>SUMIFS(资金台帐!$S$7:$S$3006,资金台帐!$P$7:$P$3006,"其他收入",资金台帐!$B$7:$B$3006,"&gt;="&amp;DATE(年度,8,1),资金台帐!$B$7:$B$3006,"&lt;"&amp;DATE(年度,8+1,1))</f>
        <v>0</v>
      </c>
      <c r="M20" s="186">
        <f>SUMIFS(资金台帐!$S$7:$S$3006,资金台帐!$P$7:$P$3006,"其他收入",资金台帐!$B$7:$B$3006,"&gt;="&amp;DATE(年度,9,1),资金台帐!$B$7:$B$3006,"&lt;"&amp;DATE(年度,9+1,1))</f>
        <v>0</v>
      </c>
      <c r="N20" s="186">
        <f>SUMIFS(资金台帐!$S$7:$S$3006,资金台帐!$P$7:$P$3006,"其他收入",资金台帐!$B$7:$B$3006,"&gt;="&amp;DATE(年度,10,1),资金台帐!$B$7:$B$3006,"&lt;"&amp;DATE(年度,10+1,1))</f>
        <v>0</v>
      </c>
      <c r="O20" s="186">
        <f>SUMIFS(资金台帐!$S$7:$S$3006,资金台帐!$P$7:$P$3006,"其他收入",资金台帐!$B$7:$B$3006,"&gt;="&amp;DATE(年度,11,1),资金台帐!$B$7:$B$3006,"&lt;"&amp;DATE(年度,11+1,1))</f>
        <v>0</v>
      </c>
      <c r="P20" s="186">
        <f>SUMIFS(资金台帐!$S$7:$S$3006,资金台帐!$P$7:$P$3006,"其他收入",资金台帐!$B$7:$B$3006,"&gt;="&amp;DATE(年度,12,1),资金台帐!$B$7:$B$3006,"&lt;"&amp;DATE(年度,12+1,1))</f>
        <v>0</v>
      </c>
      <c r="Q20" s="186">
        <f>SUM(E20:P20)</f>
        <v>0</v>
      </c>
    </row>
    <row r="21">
      <c r="A21" s="142" t="inlineStr">
        <is>
          <t>减：营业外支出</t>
        </is>
      </c>
      <c r="B21" s="230" t="n">
        <v>16</v>
      </c>
      <c r="C21" s="272">
        <f>INDEX(E21:P21,$B$3)</f>
        <v>0</v>
      </c>
      <c r="D21" s="272">
        <f>SUMPRODUCT(($E$4:$P$4&lt;=$B$3)*E21:P21)</f>
        <v>0</v>
      </c>
      <c r="E21" s="186">
        <f>INDEX(费用汇总!$D$62:$O$62,1)</f>
        <v>0</v>
      </c>
      <c r="F21" s="186">
        <f>INDEX(费用汇总!$D$62:$O$62,2)</f>
        <v>0</v>
      </c>
      <c r="G21" s="186">
        <f>INDEX(费用汇总!$D$62:$O$62,3)</f>
        <v>0</v>
      </c>
      <c r="H21" s="186">
        <f>INDEX(费用汇总!$D$62:$O$62,4)</f>
        <v>0</v>
      </c>
      <c r="I21" s="186">
        <f>INDEX(费用汇总!$D$62:$O$62,5)</f>
        <v>0</v>
      </c>
      <c r="J21" s="186">
        <f>INDEX(费用汇总!$D$62:$O$62,6)</f>
        <v>0</v>
      </c>
      <c r="K21" s="186">
        <f>INDEX(费用汇总!$D$62:$O$62,7)</f>
        <v>0</v>
      </c>
      <c r="L21" s="186">
        <f>INDEX(费用汇总!$D$62:$O$62,8)</f>
        <v>0</v>
      </c>
      <c r="M21" s="186">
        <f>INDEX(费用汇总!$D$62:$O$62,9)</f>
        <v>0</v>
      </c>
      <c r="N21" s="186">
        <f>INDEX(费用汇总!$D$62:$O$62,10)</f>
        <v>0</v>
      </c>
      <c r="O21" s="186">
        <f>INDEX(费用汇总!$D$62:$O$62,11)</f>
        <v>0</v>
      </c>
      <c r="P21" s="186">
        <f>INDEX(费用汇总!$D$62:$O$62,12)</f>
        <v>0</v>
      </c>
      <c r="Q21" s="186">
        <f>SUM(E21:P21)</f>
        <v>0</v>
      </c>
    </row>
    <row r="22">
      <c r="A22" s="107" t="inlineStr">
        <is>
          <t>四、利润总额</t>
        </is>
      </c>
      <c r="B22" s="271" t="n">
        <v>17</v>
      </c>
      <c r="C22" s="269">
        <f>INDEX(E22:P22,$B$3)</f>
        <v>161078.0502</v>
      </c>
      <c r="D22" s="269">
        <f>SUMPRODUCT(($E$4:$P$4&lt;=$B$3)*E22:P22)</f>
        <v>553843.713064</v>
      </c>
      <c r="E22" s="269">
        <f>E19+E20-E21</f>
        <v>0</v>
      </c>
      <c r="F22" s="269">
        <f>F19+F20-F21</f>
        <v>0</v>
      </c>
      <c r="G22" s="269">
        <f>G19+G20-G21</f>
        <v>0</v>
      </c>
      <c r="H22" s="269">
        <f>H19+H20-H21</f>
        <v>0</v>
      </c>
      <c r="I22" s="269">
        <f>I19+I20-I21</f>
        <v>2444</v>
      </c>
      <c r="J22" s="269">
        <f>J19+J20-J21</f>
        <v>15312.003</v>
      </c>
      <c r="K22" s="269">
        <f>K19+K20-K21</f>
        <v>160327.4184</v>
      </c>
      <c r="L22" s="269">
        <f>L19+L20-L21</f>
        <v>214682.241464</v>
      </c>
      <c r="M22" s="269">
        <f>M19+M20-M21</f>
        <v>161078.0502</v>
      </c>
      <c r="N22" s="269">
        <f>N19+N20-N21</f>
        <v>0</v>
      </c>
      <c r="O22" s="269">
        <f>O19+O20-O21</f>
        <v>0</v>
      </c>
      <c r="P22" s="269">
        <f>P19+P20-P21</f>
        <v>0</v>
      </c>
      <c r="Q22" s="269">
        <f>SUM(E22:P22)</f>
        <v>553843.713064</v>
      </c>
    </row>
    <row r="23">
      <c r="A23" s="142" t="inlineStr">
        <is>
          <t>减：所得税费用</t>
        </is>
      </c>
      <c r="B23" s="230" t="n">
        <v>18</v>
      </c>
      <c r="C23" s="272">
        <f>INDEX(E23:P23,$B$3)</f>
        <v>0</v>
      </c>
      <c r="D23" s="272">
        <f>SUMPRODUCT(($E$4:$P$4&lt;=$B$3)*E23:P23)</f>
        <v>0</v>
      </c>
      <c r="E23" s="186">
        <f>INDEX(费用汇总!$D$63:$O$63,1)</f>
        <v>0</v>
      </c>
      <c r="F23" s="186">
        <f>INDEX(费用汇总!$D$63:$O$63,2)</f>
        <v>0</v>
      </c>
      <c r="G23" s="186">
        <f>INDEX(费用汇总!$D$63:$O$63,3)</f>
        <v>0</v>
      </c>
      <c r="H23" s="186">
        <f>INDEX(费用汇总!$D$63:$O$63,4)</f>
        <v>0</v>
      </c>
      <c r="I23" s="186">
        <f>INDEX(费用汇总!$D$63:$O$63,5)</f>
        <v>0</v>
      </c>
      <c r="J23" s="186">
        <f>INDEX(费用汇总!$D$63:$O$63,6)</f>
        <v>0</v>
      </c>
      <c r="K23" s="186">
        <f>INDEX(费用汇总!$D$63:$O$63,7)</f>
        <v>0</v>
      </c>
      <c r="L23" s="186">
        <f>INDEX(费用汇总!$D$63:$O$63,8)</f>
        <v>0</v>
      </c>
      <c r="M23" s="186">
        <f>INDEX(费用汇总!$D$63:$O$63,9)</f>
        <v>0</v>
      </c>
      <c r="N23" s="186">
        <f>INDEX(费用汇总!$D$63:$O$63,10)</f>
        <v>0</v>
      </c>
      <c r="O23" s="186">
        <f>INDEX(费用汇总!$D$63:$O$63,11)</f>
        <v>0</v>
      </c>
      <c r="P23" s="186">
        <f>INDEX(费用汇总!$D$63:$O$63,12)</f>
        <v>0</v>
      </c>
      <c r="Q23" s="186">
        <f>SUM(E23:P23)</f>
        <v>0</v>
      </c>
    </row>
    <row r="24">
      <c r="A24" s="276" t="inlineStr">
        <is>
          <t>五、净利润</t>
        </is>
      </c>
      <c r="B24" s="277" t="n">
        <v>19</v>
      </c>
      <c r="C24" s="278">
        <f>INDEX(E24:P24,$B$3)</f>
        <v>161078.0502</v>
      </c>
      <c r="D24" s="278">
        <f>SUMPRODUCT(($E$4:$P$4&lt;=$B$3)*E24:P24)</f>
        <v>553843.713064</v>
      </c>
      <c r="E24" s="278">
        <f>E22-E23</f>
        <v>0</v>
      </c>
      <c r="F24" s="278">
        <f>F22-F23</f>
        <v>0</v>
      </c>
      <c r="G24" s="278">
        <f>G22-G23</f>
        <v>0</v>
      </c>
      <c r="H24" s="278">
        <f>H22-H23</f>
        <v>0</v>
      </c>
      <c r="I24" s="278">
        <f>I22-I23</f>
        <v>2444</v>
      </c>
      <c r="J24" s="278">
        <f>J22-J23</f>
        <v>15312.003</v>
      </c>
      <c r="K24" s="278">
        <f>K22-K23</f>
        <v>160327.4184</v>
      </c>
      <c r="L24" s="278">
        <f>L22-L23</f>
        <v>214682.241464</v>
      </c>
      <c r="M24" s="278">
        <f>M22-M23</f>
        <v>161078.0502</v>
      </c>
      <c r="N24" s="278">
        <f>N22-N23</f>
        <v>0</v>
      </c>
      <c r="O24" s="278">
        <f>O22-O23</f>
        <v>0</v>
      </c>
      <c r="P24" s="278">
        <f>P22-P23</f>
        <v>0</v>
      </c>
      <c r="Q24" s="278">
        <f>SUM(E24:P24)</f>
        <v>553843.713064</v>
      </c>
    </row>
    <row r="25">
      <c r="A25" s="142" t="inlineStr">
        <is>
          <t xml:space="preserve">    净利率</t>
        </is>
      </c>
      <c r="B25" s="230" t="n">
        <v>20</v>
      </c>
      <c r="C25" s="275">
        <f>IF(N(C6)=0,"",C24/C6)</f>
        <v>0.586267070667366</v>
      </c>
      <c r="D25" s="275">
        <f>IF(N(D6)=0,"",D24/D6)</f>
        <v>0.324395955728426</v>
      </c>
      <c r="E25" s="275">
        <f>IF(N(E6)=0,"",E24/E6)</f>
      </c>
      <c r="F25" s="275">
        <f>IF(N(F6)=0,"",F24/F6)</f>
      </c>
      <c r="G25" s="275">
        <f>IF(N(G6)=0,"",G24/G6)</f>
      </c>
      <c r="H25" s="275">
        <f>IF(N(H6)=0,"",H24/H6)</f>
      </c>
      <c r="I25" s="275">
        <f>IF(N(I6)=0,"",I24/I6)</f>
        <v>1</v>
      </c>
      <c r="J25" s="275">
        <f>IF(N(J6)=0,"",J24/J6)</f>
        <v>0.257260276043986</v>
      </c>
      <c r="K25" s="275">
        <f>IF(N(K6)=0,"",K24/K6)</f>
        <v>0.281073011086723</v>
      </c>
      <c r="L25" s="275">
        <f>IF(N(L6)=0,"",L24/L6)</f>
        <v>0.268292368973889</v>
      </c>
      <c r="M25" s="275">
        <f>IF(N(M6)=0,"",M24/M6)</f>
        <v>0.586267070667366</v>
      </c>
      <c r="N25" s="275">
        <f>IF(N(N6)=0,"",N24/N6)</f>
      </c>
      <c r="O25" s="275">
        <f>IF(N(O6)=0,"",O24/O6)</f>
      </c>
      <c r="P25" s="275">
        <f>IF(N(P6)=0,"",P24/P6)</f>
      </c>
      <c r="Q25" s="275">
        <f>IF(N(Q6)=0,"",Q24/Q6)</f>
        <v>0.324395955728426</v>
      </c>
    </row>
    <row r="27">
      <c r="A27" s="74" t="inlineStr">
        <is>
          <t>参考指标</t>
        </is>
      </c>
    </row>
    <row r="28">
      <c r="A28" s="142" t="inlineStr">
        <is>
          <t xml:space="preserve">    出库数量（件）</t>
        </is>
      </c>
      <c r="B28" s="230" t="n">
        <v>23</v>
      </c>
      <c r="C28" s="279">
        <f>INDEX(E28:P28,$B$3)</f>
        <v>4608</v>
      </c>
      <c r="D28" s="279">
        <f>SUMPRODUCT(($E$4:$P$4&lt;=$B$3)*E28:P28)</f>
        <v>24328</v>
      </c>
      <c r="E28" s="220">
        <f>SUMIFS(出库明细!$E$4:$E$3003,出库明细!$B$4:$B$3003,"&gt;="&amp;DATE(年度,1,1),出库明细!$B$4:$B$3003,"&lt;"&amp;DATE(年度,1+1,1))</f>
        <v>0</v>
      </c>
      <c r="F28" s="220">
        <f>SUMIFS(出库明细!$E$4:$E$3003,出库明细!$B$4:$B$3003,"&gt;="&amp;DATE(年度,2,1),出库明细!$B$4:$B$3003,"&lt;"&amp;DATE(年度,2+1,1))</f>
        <v>0</v>
      </c>
      <c r="G28" s="220">
        <f>SUMIFS(出库明细!$E$4:$E$3003,出库明细!$B$4:$B$3003,"&gt;="&amp;DATE(年度,3,1),出库明细!$B$4:$B$3003,"&lt;"&amp;DATE(年度,3+1,1))</f>
        <v>0</v>
      </c>
      <c r="H28" s="220">
        <f>SUMIFS(出库明细!$E$4:$E$3003,出库明细!$B$4:$B$3003,"&gt;="&amp;DATE(年度,4,1),出库明细!$B$4:$B$3003,"&lt;"&amp;DATE(年度,4+1,1))</f>
        <v>0</v>
      </c>
      <c r="I28" s="220">
        <f>SUMIFS(出库明细!$E$4:$E$3003,出库明细!$B$4:$B$3003,"&gt;="&amp;DATE(年度,5,1),出库明细!$B$4:$B$3003,"&lt;"&amp;DATE(年度,5+1,1))</f>
        <v>52</v>
      </c>
      <c r="J28" s="220">
        <f>SUMIFS(出库明细!$E$4:$E$3003,出库明细!$B$4:$B$3003,"&gt;="&amp;DATE(年度,6,1),出库明细!$B$4:$B$3003,"&lt;"&amp;DATE(年度,6+1,1))</f>
        <v>912.5</v>
      </c>
      <c r="K28" s="220">
        <f>SUMIFS(出库明细!$E$4:$E$3003,出库明细!$B$4:$B$3003,"&gt;="&amp;DATE(年度,7,1),出库明细!$B$4:$B$3003,"&lt;"&amp;DATE(年度,7+1,1))</f>
        <v>8052</v>
      </c>
      <c r="L28" s="220">
        <f>SUMIFS(出库明细!$E$4:$E$3003,出库明细!$B$4:$B$3003,"&gt;="&amp;DATE(年度,8,1),出库明细!$B$4:$B$3003,"&lt;"&amp;DATE(年度,8+1,1))</f>
        <v>10703.5</v>
      </c>
      <c r="M28" s="220">
        <f>SUMIFS(出库明细!$E$4:$E$3003,出库明细!$B$4:$B$3003,"&gt;="&amp;DATE(年度,9,1),出库明细!$B$4:$B$3003,"&lt;"&amp;DATE(年度,9+1,1))</f>
        <v>4608</v>
      </c>
      <c r="N28" s="220">
        <f>SUMIFS(出库明细!$E$4:$E$3003,出库明细!$B$4:$B$3003,"&gt;="&amp;DATE(年度,10,1),出库明细!$B$4:$B$3003,"&lt;"&amp;DATE(年度,10+1,1))</f>
        <v>0</v>
      </c>
      <c r="O28" s="220">
        <f>SUMIFS(出库明细!$E$4:$E$3003,出库明细!$B$4:$B$3003,"&gt;="&amp;DATE(年度,11,1),出库明细!$B$4:$B$3003,"&lt;"&amp;DATE(年度,11+1,1))</f>
        <v>0</v>
      </c>
      <c r="P28" s="220">
        <f>SUMIFS(出库明细!$E$4:$E$3003,出库明细!$B$4:$B$3003,"&gt;="&amp;DATE(年度,12,1),出库明细!$B$4:$B$3003,"&lt;"&amp;DATE(年度,12+1,1))</f>
        <v>0</v>
      </c>
      <c r="Q28" s="220">
        <f>SUM(E28:P28)</f>
        <v>24328</v>
      </c>
    </row>
    <row r="29">
      <c r="A29" s="142" t="inlineStr">
        <is>
          <t xml:space="preserve">    客户回款</t>
        </is>
      </c>
      <c r="B29" s="230" t="n">
        <v>24</v>
      </c>
      <c r="C29" s="272">
        <f>INDEX(E29:P29,$B$3)</f>
        <v>2700</v>
      </c>
      <c r="D29" s="272">
        <f>SUMPRODUCT(($E$4:$P$4&lt;=$B$3)*E29:P29)</f>
        <v>3869309.69</v>
      </c>
      <c r="E29" s="186">
        <f>SUMIFS(资金台帐!$S$7:$S$3006,资金台帐!$P$7:$P$3006,"应收",资金台帐!$B$7:$B$3006,"&gt;="&amp;DATE(年度,1,1),资金台帐!$B$7:$B$3006,"&lt;"&amp;DATE(年度,1+1,1))</f>
        <v>0</v>
      </c>
      <c r="F29" s="186">
        <f>SUMIFS(资金台帐!$S$7:$S$3006,资金台帐!$P$7:$P$3006,"应收",资金台帐!$B$7:$B$3006,"&gt;="&amp;DATE(年度,2,1),资金台帐!$B$7:$B$3006,"&lt;"&amp;DATE(年度,2+1,1))</f>
        <v>0</v>
      </c>
      <c r="G29" s="186">
        <f>SUMIFS(资金台帐!$S$7:$S$3006,资金台帐!$P$7:$P$3006,"应收",资金台帐!$B$7:$B$3006,"&gt;="&amp;DATE(年度,3,1),资金台帐!$B$7:$B$3006,"&lt;"&amp;DATE(年度,3+1,1))</f>
        <v>0</v>
      </c>
      <c r="H29" s="186">
        <f>SUMIFS(资金台帐!$S$7:$S$3006,资金台帐!$P$7:$P$3006,"应收",资金台帐!$B$7:$B$3006,"&gt;="&amp;DATE(年度,4,1),资金台帐!$B$7:$B$3006,"&lt;"&amp;DATE(年度,4+1,1))</f>
        <v>0</v>
      </c>
      <c r="I29" s="186">
        <f>SUMIFS(资金台帐!$S$7:$S$3006,资金台帐!$P$7:$P$3006,"应收",资金台帐!$B$7:$B$3006,"&gt;="&amp;DATE(年度,5,1),资金台帐!$B$7:$B$3006,"&lt;"&amp;DATE(年度,5+1,1))</f>
        <v>100000</v>
      </c>
      <c r="J29" s="186">
        <f>SUMIFS(资金台帐!$S$7:$S$3006,资金台帐!$P$7:$P$3006,"应收",资金台帐!$B$7:$B$3006,"&gt;="&amp;DATE(年度,6,1),资金台帐!$B$7:$B$3006,"&lt;"&amp;DATE(年度,6+1,1))</f>
        <v>2540133.19</v>
      </c>
      <c r="K29" s="186">
        <f>SUMIFS(资金台帐!$S$7:$S$3006,资金台帐!$P$7:$P$3006,"应收",资金台帐!$B$7:$B$3006,"&gt;="&amp;DATE(年度,7,1),资金台帐!$B$7:$B$3006,"&lt;"&amp;DATE(年度,7+1,1))</f>
        <v>926799</v>
      </c>
      <c r="L29" s="186">
        <f>SUMIFS(资金台帐!$S$7:$S$3006,资金台帐!$P$7:$P$3006,"应收",资金台帐!$B$7:$B$3006,"&gt;="&amp;DATE(年度,8,1),资金台帐!$B$7:$B$3006,"&lt;"&amp;DATE(年度,8+1,1))</f>
        <v>299677.5</v>
      </c>
      <c r="M29" s="186">
        <f>SUMIFS(资金台帐!$S$7:$S$3006,资金台帐!$P$7:$P$3006,"应收",资金台帐!$B$7:$B$3006,"&gt;="&amp;DATE(年度,9,1),资金台帐!$B$7:$B$3006,"&lt;"&amp;DATE(年度,9+1,1))</f>
        <v>2700</v>
      </c>
      <c r="N29" s="186">
        <f>SUMIFS(资金台帐!$S$7:$S$3006,资金台帐!$P$7:$P$3006,"应收",资金台帐!$B$7:$B$3006,"&gt;="&amp;DATE(年度,10,1),资金台帐!$B$7:$B$3006,"&lt;"&amp;DATE(年度,10+1,1))</f>
        <v>0</v>
      </c>
      <c r="O29" s="186">
        <f>SUMIFS(资金台帐!$S$7:$S$3006,资金台帐!$P$7:$P$3006,"应收",资金台帐!$B$7:$B$3006,"&gt;="&amp;DATE(年度,11,1),资金台帐!$B$7:$B$3006,"&lt;"&amp;DATE(年度,11+1,1))</f>
        <v>0</v>
      </c>
      <c r="P29" s="186">
        <f>SUMIFS(资金台帐!$S$7:$S$3006,资金台帐!$P$7:$P$3006,"应收",资金台帐!$B$7:$B$3006,"&gt;="&amp;DATE(年度,12,1),资金台帐!$B$7:$B$3006,"&lt;"&amp;DATE(年度,12+1,1))</f>
        <v>0</v>
      </c>
      <c r="Q29" s="186">
        <f>SUM(E29:P29)</f>
        <v>3869309.69</v>
      </c>
    </row>
    <row r="30">
      <c r="A30" s="142" t="inlineStr">
        <is>
          <t xml:space="preserve">    付供应商货款</t>
        </is>
      </c>
      <c r="B30" s="230" t="n">
        <v>25</v>
      </c>
      <c r="C30" s="272">
        <f>INDEX(E30:P30,$B$3)</f>
        <v>0</v>
      </c>
      <c r="D30" s="272">
        <f>SUMPRODUCT(($E$4:$P$4&lt;=$B$3)*E30:P30)</f>
        <v>0</v>
      </c>
      <c r="E30" s="186">
        <f>-SUMIFS(资金台帐!$S$7:$S$3006,资金台帐!$P$7:$P$3006,"应付",资金台帐!$B$7:$B$3006,"&gt;="&amp;DATE(年度,1,1),资金台帐!$B$7:$B$3006,"&lt;"&amp;DATE(年度,1+1,1))</f>
        <v>0</v>
      </c>
      <c r="F30" s="186">
        <f>-SUMIFS(资金台帐!$S$7:$S$3006,资金台帐!$P$7:$P$3006,"应付",资金台帐!$B$7:$B$3006,"&gt;="&amp;DATE(年度,2,1),资金台帐!$B$7:$B$3006,"&lt;"&amp;DATE(年度,2+1,1))</f>
        <v>0</v>
      </c>
      <c r="G30" s="186">
        <f>-SUMIFS(资金台帐!$S$7:$S$3006,资金台帐!$P$7:$P$3006,"应付",资金台帐!$B$7:$B$3006,"&gt;="&amp;DATE(年度,3,1),资金台帐!$B$7:$B$3006,"&lt;"&amp;DATE(年度,3+1,1))</f>
        <v>0</v>
      </c>
      <c r="H30" s="186">
        <f>-SUMIFS(资金台帐!$S$7:$S$3006,资金台帐!$P$7:$P$3006,"应付",资金台帐!$B$7:$B$3006,"&gt;="&amp;DATE(年度,4,1),资金台帐!$B$7:$B$3006,"&lt;"&amp;DATE(年度,4+1,1))</f>
        <v>0</v>
      </c>
      <c r="I30" s="186">
        <f>-SUMIFS(资金台帐!$S$7:$S$3006,资金台帐!$P$7:$P$3006,"应付",资金台帐!$B$7:$B$3006,"&gt;="&amp;DATE(年度,5,1),资金台帐!$B$7:$B$3006,"&lt;"&amp;DATE(年度,5+1,1))</f>
        <v>0</v>
      </c>
      <c r="J30" s="186">
        <f>-SUMIFS(资金台帐!$S$7:$S$3006,资金台帐!$P$7:$P$3006,"应付",资金台帐!$B$7:$B$3006,"&gt;="&amp;DATE(年度,6,1),资金台帐!$B$7:$B$3006,"&lt;"&amp;DATE(年度,6+1,1))</f>
        <v>0</v>
      </c>
      <c r="K30" s="186">
        <f>-SUMIFS(资金台帐!$S$7:$S$3006,资金台帐!$P$7:$P$3006,"应付",资金台帐!$B$7:$B$3006,"&gt;="&amp;DATE(年度,7,1),资金台帐!$B$7:$B$3006,"&lt;"&amp;DATE(年度,7+1,1))</f>
        <v>0</v>
      </c>
      <c r="L30" s="186">
        <f>-SUMIFS(资金台帐!$S$7:$S$3006,资金台帐!$P$7:$P$3006,"应付",资金台帐!$B$7:$B$3006,"&gt;="&amp;DATE(年度,8,1),资金台帐!$B$7:$B$3006,"&lt;"&amp;DATE(年度,8+1,1))</f>
        <v>0</v>
      </c>
      <c r="M30" s="186">
        <f>-SUMIFS(资金台帐!$S$7:$S$3006,资金台帐!$P$7:$P$3006,"应付",资金台帐!$B$7:$B$3006,"&gt;="&amp;DATE(年度,9,1),资金台帐!$B$7:$B$3006,"&lt;"&amp;DATE(年度,9+1,1))</f>
        <v>0</v>
      </c>
      <c r="N30" s="186">
        <f>-SUMIFS(资金台帐!$S$7:$S$3006,资金台帐!$P$7:$P$3006,"应付",资金台帐!$B$7:$B$3006,"&gt;="&amp;DATE(年度,10,1),资金台帐!$B$7:$B$3006,"&lt;"&amp;DATE(年度,10+1,1))</f>
        <v>0</v>
      </c>
      <c r="O30" s="186">
        <f>-SUMIFS(资金台帐!$S$7:$S$3006,资金台帐!$P$7:$P$3006,"应付",资金台帐!$B$7:$B$3006,"&gt;="&amp;DATE(年度,11,1),资金台帐!$B$7:$B$3006,"&lt;"&amp;DATE(年度,11+1,1))</f>
        <v>0</v>
      </c>
      <c r="P30" s="186">
        <f>-SUMIFS(资金台帐!$S$7:$S$3006,资金台帐!$P$7:$P$3006,"应付",资金台帐!$B$7:$B$3006,"&gt;="&amp;DATE(年度,12,1),资金台帐!$B$7:$B$3006,"&lt;"&amp;DATE(年度,12+1,1))</f>
        <v>0</v>
      </c>
      <c r="Q30" s="186">
        <f>SUM(E30:P30)</f>
        <v>0</v>
      </c>
    </row>
    <row r="31">
      <c r="A31" s="142" t="inlineStr">
        <is>
          <t xml:space="preserve">    采购进货金额</t>
        </is>
      </c>
      <c r="B31" s="230" t="n">
        <v>26</v>
      </c>
      <c r="C31" s="272">
        <f>INDEX(E31:P31,$B$3)</f>
        <v>0</v>
      </c>
      <c r="D31" s="272">
        <f>SUMPRODUCT(($E$4:$P$4&lt;=$B$3)*E31:P31)</f>
        <v>0</v>
      </c>
      <c r="E31" s="186">
        <f>SUMIFS(采购进货!$G$4:$G$1503,采购进货!$B$4:$B$1503,"&gt;="&amp;DATE(年度,1,1),采购进货!$B$4:$B$1503,"&lt;"&amp;DATE(年度,1+1,1))</f>
        <v>0</v>
      </c>
      <c r="F31" s="186">
        <f>SUMIFS(采购进货!$G$4:$G$1503,采购进货!$B$4:$B$1503,"&gt;="&amp;DATE(年度,2,1),采购进货!$B$4:$B$1503,"&lt;"&amp;DATE(年度,2+1,1))</f>
        <v>0</v>
      </c>
      <c r="G31" s="186">
        <f>SUMIFS(采购进货!$G$4:$G$1503,采购进货!$B$4:$B$1503,"&gt;="&amp;DATE(年度,3,1),采购进货!$B$4:$B$1503,"&lt;"&amp;DATE(年度,3+1,1))</f>
        <v>0</v>
      </c>
      <c r="H31" s="186">
        <f>SUMIFS(采购进货!$G$4:$G$1503,采购进货!$B$4:$B$1503,"&gt;="&amp;DATE(年度,4,1),采购进货!$B$4:$B$1503,"&lt;"&amp;DATE(年度,4+1,1))</f>
        <v>0</v>
      </c>
      <c r="I31" s="186">
        <f>SUMIFS(采购进货!$G$4:$G$1503,采购进货!$B$4:$B$1503,"&gt;="&amp;DATE(年度,5,1),采购进货!$B$4:$B$1503,"&lt;"&amp;DATE(年度,5+1,1))</f>
        <v>0</v>
      </c>
      <c r="J31" s="186">
        <f>SUMIFS(采购进货!$G$4:$G$1503,采购进货!$B$4:$B$1503,"&gt;="&amp;DATE(年度,6,1),采购进货!$B$4:$B$1503,"&lt;"&amp;DATE(年度,6+1,1))</f>
        <v>0</v>
      </c>
      <c r="K31" s="186">
        <f>SUMIFS(采购进货!$G$4:$G$1503,采购进货!$B$4:$B$1503,"&gt;="&amp;DATE(年度,7,1),采购进货!$B$4:$B$1503,"&lt;"&amp;DATE(年度,7+1,1))</f>
        <v>0</v>
      </c>
      <c r="L31" s="186">
        <f>SUMIFS(采购进货!$G$4:$G$1503,采购进货!$B$4:$B$1503,"&gt;="&amp;DATE(年度,8,1),采购进货!$B$4:$B$1503,"&lt;"&amp;DATE(年度,8+1,1))</f>
        <v>0</v>
      </c>
      <c r="M31" s="186">
        <f>SUMIFS(采购进货!$G$4:$G$1503,采购进货!$B$4:$B$1503,"&gt;="&amp;DATE(年度,9,1),采购进货!$B$4:$B$1503,"&lt;"&amp;DATE(年度,9+1,1))</f>
        <v>0</v>
      </c>
      <c r="N31" s="186">
        <f>SUMIFS(采购进货!$G$4:$G$1503,采购进货!$B$4:$B$1503,"&gt;="&amp;DATE(年度,10,1),采购进货!$B$4:$B$1503,"&lt;"&amp;DATE(年度,10+1,1))</f>
        <v>0</v>
      </c>
      <c r="O31" s="186">
        <f>SUMIFS(采购进货!$G$4:$G$1503,采购进货!$B$4:$B$1503,"&gt;="&amp;DATE(年度,11,1),采购进货!$B$4:$B$1503,"&lt;"&amp;DATE(年度,11+1,1))</f>
        <v>0</v>
      </c>
      <c r="P31" s="186">
        <f>SUMIFS(采购进货!$G$4:$G$1503,采购进货!$B$4:$B$1503,"&gt;="&amp;DATE(年度,12,1),采购进货!$B$4:$B$1503,"&lt;"&amp;DATE(年度,12+1,1))</f>
        <v>0</v>
      </c>
      <c r="Q31" s="186">
        <f>SUM(E31:P31)</f>
        <v>0</v>
      </c>
    </row>
    <row r="32">
      <c r="A32" s="142" t="inlineStr">
        <is>
          <t xml:space="preserve">    月末资金余额</t>
        </is>
      </c>
      <c r="B32" s="230" t="n">
        <v>27</v>
      </c>
      <c r="C32" s="186">
        <f>INDEX(E32:P32,$B$3)</f>
        <v>3869309.69</v>
      </c>
      <c r="D32" s="186">
        <f>INDEX(E32:P32,$B$3)</f>
        <v>3869309.69</v>
      </c>
      <c r="E32" s="186">
        <f>SUM(基础资料!$X$5:$X$24)+SUMIFS(资金台帐!$S$7:$S$3006,资金台帐!$B$7:$B$3006,"&gt;="&amp;年初日,资金台帐!$B$7:$B$3006,"&lt;"&amp;DATE(年度,1+1,1))</f>
        <v>0</v>
      </c>
      <c r="F32" s="186">
        <f>SUM(基础资料!$X$5:$X$24)+SUMIFS(资金台帐!$S$7:$S$3006,资金台帐!$B$7:$B$3006,"&gt;="&amp;年初日,资金台帐!$B$7:$B$3006,"&lt;"&amp;DATE(年度,2+1,1))</f>
        <v>0</v>
      </c>
      <c r="G32" s="186">
        <f>SUM(基础资料!$X$5:$X$24)+SUMIFS(资金台帐!$S$7:$S$3006,资金台帐!$B$7:$B$3006,"&gt;="&amp;年初日,资金台帐!$B$7:$B$3006,"&lt;"&amp;DATE(年度,3+1,1))</f>
        <v>0</v>
      </c>
      <c r="H32" s="186">
        <f>SUM(基础资料!$X$5:$X$24)+SUMIFS(资金台帐!$S$7:$S$3006,资金台帐!$B$7:$B$3006,"&gt;="&amp;年初日,资金台帐!$B$7:$B$3006,"&lt;"&amp;DATE(年度,4+1,1))</f>
        <v>0</v>
      </c>
      <c r="I32" s="186">
        <f>SUM(基础资料!$X$5:$X$24)+SUMIFS(资金台帐!$S$7:$S$3006,资金台帐!$B$7:$B$3006,"&gt;="&amp;年初日,资金台帐!$B$7:$B$3006,"&lt;"&amp;DATE(年度,5+1,1))</f>
        <v>100000</v>
      </c>
      <c r="J32" s="186">
        <f>SUM(基础资料!$X$5:$X$24)+SUMIFS(资金台帐!$S$7:$S$3006,资金台帐!$B$7:$B$3006,"&gt;="&amp;年初日,资金台帐!$B$7:$B$3006,"&lt;"&amp;DATE(年度,6+1,1))</f>
        <v>2640133.19</v>
      </c>
      <c r="K32" s="186">
        <f>SUM(基础资料!$X$5:$X$24)+SUMIFS(资金台帐!$S$7:$S$3006,资金台帐!$B$7:$B$3006,"&gt;="&amp;年初日,资金台帐!$B$7:$B$3006,"&lt;"&amp;DATE(年度,7+1,1))</f>
        <v>3566932.19</v>
      </c>
      <c r="L32" s="186">
        <f>SUM(基础资料!$X$5:$X$24)+SUMIFS(资金台帐!$S$7:$S$3006,资金台帐!$B$7:$B$3006,"&gt;="&amp;年初日,资金台帐!$B$7:$B$3006,"&lt;"&amp;DATE(年度,8+1,1))</f>
        <v>3866609.69</v>
      </c>
      <c r="M32" s="186">
        <f>SUM(基础资料!$X$5:$X$24)+SUMIFS(资金台帐!$S$7:$S$3006,资金台帐!$B$7:$B$3006,"&gt;="&amp;年初日,资金台帐!$B$7:$B$3006,"&lt;"&amp;DATE(年度,9+1,1))</f>
        <v>3869309.69</v>
      </c>
      <c r="N32" s="186">
        <f>SUM(基础资料!$X$5:$X$24)+SUMIFS(资金台帐!$S$7:$S$3006,资金台帐!$B$7:$B$3006,"&gt;="&amp;年初日,资金台帐!$B$7:$B$3006,"&lt;"&amp;DATE(年度,10+1,1))</f>
        <v>3869309.69</v>
      </c>
      <c r="O32" s="186">
        <f>SUM(基础资料!$X$5:$X$24)+SUMIFS(资金台帐!$S$7:$S$3006,资金台帐!$B$7:$B$3006,"&gt;="&amp;年初日,资金台帐!$B$7:$B$3006,"&lt;"&amp;DATE(年度,11+1,1))</f>
        <v>3869309.69</v>
      </c>
      <c r="P32" s="186">
        <f>SUM(基础资料!$X$5:$X$24)+SUMIFS(资金台帐!$S$7:$S$3006,资金台帐!$B$7:$B$3006,"&gt;="&amp;年初日,资金台帐!$B$7:$B$3006,"&lt;"&amp;DATE(年度,12+1,1))</f>
        <v>3869309.69</v>
      </c>
      <c r="Q32" s="186">
        <f>P32</f>
        <v>3869309.69</v>
      </c>
    </row>
    <row r="34">
      <c r="A34" s="120" t="inlineStr">
        <is>
          <t>说明：没录进货时，成本先按【基础资料】商品档案的「参考进价」估算（上面「其中」那一行）；参考进价也没填的商品成本按 0 算，毛利会虚高——【公司库存】的提示列会标出来。</t>
        </is>
      </c>
    </row>
    <row r="35"/>
  </sheetData>
  <mergeCells count="3">
    <mergeCell ref="A2:Q2"/>
    <mergeCell ref="A1:Q1"/>
    <mergeCell ref="A34:Q35"/>
  </mergeCells>
  <dataValidations count="1">
    <dataValidation sqref="B3" showDropDown="0" showInputMessage="1" showErrorMessage="1" allowBlank="1" errorTitle="不在清单里" error="请从下拉里选；清单里没有的，先到【基础资料】/【总览汇总】里登记" promptTitle="提示" prompt="选月份" type="list" errorStyle="stop">
      <formula1>"1,2,3,4,5,6,7,8,9,10,11,12"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375623"/>
    <outlinePr summaryBelow="1" summaryRight="1"/>
    <pageSetUpPr/>
  </sheetPr>
  <dimension ref="A1:I30"/>
  <sheetViews>
    <sheetView tabSelected="0" workbookViewId="0">
      <selection activeCell="A1" sqref="A1"/>
    </sheetView>
  </sheetViews>
  <sheetFormatPr baseColWidth="8" defaultRowHeight="15"/>
  <cols>
    <col width="30" customWidth="1" style="71" min="1" max="1"/>
    <col width="5" customWidth="1" style="71" min="2" max="2"/>
    <col width="16" customWidth="1" style="71" min="3" max="3"/>
    <col width="16" customWidth="1" style="71" min="4" max="4"/>
    <col width="2" customWidth="1" style="71" min="5" max="5"/>
    <col width="28" customWidth="1" style="71" min="6" max="6"/>
    <col width="5" customWidth="1" style="71" min="7" max="7"/>
    <col width="16" customWidth="1" style="71" min="8" max="8"/>
    <col width="16" customWidth="1" style="71" min="9" max="9"/>
  </cols>
  <sheetData>
    <row r="1" ht="33" customHeight="1" s="71">
      <c r="A1" s="183" t="inlineStr">
        <is>
          <t>资产负债表（简易 · 自动）</t>
        </is>
      </c>
    </row>
    <row r="2" ht="24" customHeight="1" s="71">
      <c r="A2" s="73" t="inlineStr">
        <is>
          <t>💡 不用填：由期初数（基础资料、总览汇总 K 列）加上本年各张明细滚出来。「平衡检查」必须是 √；底下「附注」列出了几项要留意的数（没登记的客户、没分类的收支等），不为 0 就去对应的表里查。</t>
        </is>
      </c>
    </row>
    <row r="3">
      <c r="A3" s="189" t="inlineStr">
        <is>
          <t>报表月份：</t>
        </is>
      </c>
      <c r="B3" s="125" t="n">
        <v>9</v>
      </c>
      <c r="C3" s="189" t="inlineStr">
        <is>
          <t>截止日期：</t>
        </is>
      </c>
      <c r="D3" s="280">
        <f>DATE(年度,B3+1,0)</f>
        <v>46295.0</v>
      </c>
    </row>
    <row r="5" ht="26" customHeight="1" s="71">
      <c r="A5" s="219" t="inlineStr">
        <is>
          <t>资  产</t>
        </is>
      </c>
      <c r="B5" s="219" t="inlineStr">
        <is>
          <t>行次</t>
        </is>
      </c>
      <c r="C5" s="219" t="inlineStr">
        <is>
          <t>期末余额</t>
        </is>
      </c>
      <c r="D5" s="219" t="inlineStr">
        <is>
          <t>年初余额</t>
        </is>
      </c>
      <c r="F5" s="219" t="inlineStr">
        <is>
          <t>负债和所有者权益</t>
        </is>
      </c>
      <c r="G5" s="219" t="inlineStr">
        <is>
          <t>行次</t>
        </is>
      </c>
      <c r="H5" s="219" t="inlineStr">
        <is>
          <t>期末余额</t>
        </is>
      </c>
      <c r="I5" s="219" t="inlineStr">
        <is>
          <t>年初余额</t>
        </is>
      </c>
    </row>
    <row r="6">
      <c r="A6" s="142" t="inlineStr">
        <is>
          <t>货币资金</t>
        </is>
      </c>
      <c r="B6" s="230" t="n">
        <v>1</v>
      </c>
      <c r="C6" s="186">
        <f>SUM(基础资料!$X$5:$X$24)+SUMIFS(资金台帐!$S$7:$S$3006,资金台帐!$B$7:$B$3006,"&gt;="&amp;年初日,资金台帐!$B$7:$B$3006,"&lt;="&amp;$D$3)</f>
        <v>3869309.69</v>
      </c>
      <c r="D6" s="186">
        <f>SUM(基础资料!$X$5:$X$24)</f>
        <v>0</v>
      </c>
      <c r="F6" s="142" t="inlineStr">
        <is>
          <t>应付账款</t>
        </is>
      </c>
      <c r="G6" s="230" t="n">
        <v>7</v>
      </c>
      <c r="H6" s="186">
        <f>SUMIF(_辅助!$K$5:$K$54,"&gt;0")+MAX(0,$C$26)</f>
        <v>0</v>
      </c>
      <c r="I6" s="186">
        <f>SUMIF(基础资料!$R$5:$R$54,"&gt;0")</f>
        <v>0</v>
      </c>
    </row>
    <row r="7">
      <c r="A7" s="142" t="inlineStr">
        <is>
          <t>应收账款</t>
        </is>
      </c>
      <c r="B7" s="230" t="n">
        <v>2</v>
      </c>
      <c r="C7" s="186">
        <f>SUMIF(_辅助!$J$5:$J$304,"&gt;0")+MAX(0,$C$24)</f>
        <v>61456.5</v>
      </c>
      <c r="D7" s="186">
        <f>SUMIF(总览汇总!$K$5:$K$304,"&gt;0")</f>
        <v>0</v>
      </c>
      <c r="F7" s="142" t="inlineStr">
        <is>
          <t>预收账款（客户存条/预存款）</t>
        </is>
      </c>
      <c r="G7" s="230" t="n">
        <v>8</v>
      </c>
      <c r="H7" s="186">
        <f>-SUMIF(_辅助!$J$5:$J$304,"&lt;0")+MAX(0,-$C$24)</f>
        <v>2223458.49</v>
      </c>
      <c r="I7" s="186">
        <f>-SUMIF(总览汇总!$K$5:$K$304,"&lt;0")</f>
        <v>0</v>
      </c>
    </row>
    <row r="8">
      <c r="A8" s="142" t="inlineStr">
        <is>
          <t>预付账款</t>
        </is>
      </c>
      <c r="B8" s="230" t="n">
        <v>3</v>
      </c>
      <c r="C8" s="186">
        <f>-SUMIF(_辅助!$K$5:$K$54,"&lt;0")+MAX(0,-$C$26)</f>
        <v>0</v>
      </c>
      <c r="D8" s="186">
        <f>-SUMIF(基础资料!$R$5:$R$54,"&lt;0")</f>
        <v>0</v>
      </c>
      <c r="F8" s="142" t="inlineStr">
        <is>
          <t>短期借款</t>
        </is>
      </c>
      <c r="G8" s="230" t="n">
        <v>9</v>
      </c>
      <c r="H8" s="186">
        <f>基础资料!$B$9+SUMIFS(资金台帐!$S$7:$S$3006,资金台帐!$P$7:$P$3006,"借款",资金台帐!$B$7:$B$3006,"&gt;="&amp;年初日,资金台帐!$B$7:$B$3006,"&lt;="&amp;$D$3)</f>
        <v>0</v>
      </c>
      <c r="I8" s="186">
        <f>基础资料!$B$9</f>
        <v>0</v>
      </c>
    </row>
    <row r="9">
      <c r="A9" s="142" t="inlineStr">
        <is>
          <t>其他应收款</t>
        </is>
      </c>
      <c r="B9" s="230" t="n">
        <v>4</v>
      </c>
      <c r="C9" s="186">
        <f>MAX(0,$C$20)</f>
        <v>0</v>
      </c>
      <c r="D9" s="186">
        <f>MAX(0,基础资料!$B$10)</f>
        <v>0</v>
      </c>
      <c r="F9" s="142" t="inlineStr">
        <is>
          <t>其他应付款</t>
        </is>
      </c>
      <c r="G9" s="230" t="n">
        <v>10</v>
      </c>
      <c r="H9" s="186">
        <f>MAX(0,-$C$20)</f>
        <v>0</v>
      </c>
      <c r="I9" s="186">
        <f>MAX(0,-基础资料!$B$10)</f>
        <v>0</v>
      </c>
    </row>
    <row r="10">
      <c r="A10" s="142" t="inlineStr">
        <is>
          <t>存货</t>
        </is>
      </c>
      <c r="B10" s="230" t="n">
        <v>5</v>
      </c>
      <c r="C10" s="186">
        <f>INDEX(成本计算!$H108:$EU108,($B$3-1)*12+11)-$C$29+$C$30</f>
        <v>-1153463.986936</v>
      </c>
      <c r="D10" s="186">
        <f>SUM(基础资料!$N$5:$N$104)</f>
        <v>0</v>
      </c>
      <c r="F10" s="121" t="inlineStr">
        <is>
          <t>负债合计</t>
        </is>
      </c>
      <c r="G10" s="277" t="n">
        <v>11</v>
      </c>
      <c r="H10" s="188">
        <f>SUM(H6:H9)</f>
        <v>2223458.49</v>
      </c>
      <c r="I10" s="188">
        <f>SUM(I6:I9)</f>
        <v>0</v>
      </c>
    </row>
    <row r="11">
      <c r="A11" s="84" t="n"/>
      <c r="B11" s="84" t="n"/>
      <c r="C11" s="84" t="n"/>
      <c r="D11" s="84" t="n"/>
      <c r="F11" s="142" t="inlineStr">
        <is>
          <t>年初净资产（期初权益）</t>
        </is>
      </c>
      <c r="G11" s="230" t="n">
        <v>12</v>
      </c>
      <c r="H11" s="186">
        <f>I11</f>
        <v>0</v>
      </c>
      <c r="I11" s="186">
        <f>D16-I10</f>
        <v>0</v>
      </c>
    </row>
    <row r="12">
      <c r="A12" s="84" t="n"/>
      <c r="B12" s="84" t="n"/>
      <c r="C12" s="84" t="n"/>
      <c r="D12" s="84" t="n"/>
      <c r="F12" s="142" t="inlineStr">
        <is>
          <t>加：本年股东投入</t>
        </is>
      </c>
      <c r="G12" s="230" t="n">
        <v>13</v>
      </c>
      <c r="H12" s="186">
        <f>SUMIFS(资金台帐!$S$7:$S$3006,资金台帐!$P$7:$P$3006,"投入",资金台帐!$B$7:$B$3006,"&gt;="&amp;年初日,资金台帐!$B$7:$B$3006,"&lt;="&amp;$D$3)</f>
        <v>0</v>
      </c>
      <c r="I12" s="186" t="n"/>
    </row>
    <row r="13">
      <c r="A13" s="84" t="n"/>
      <c r="B13" s="84" t="n"/>
      <c r="C13" s="84" t="n"/>
      <c r="D13" s="84" t="n"/>
      <c r="F13" s="142" t="inlineStr">
        <is>
          <t>减：本年股东提取</t>
        </is>
      </c>
      <c r="G13" s="230" t="n">
        <v>14</v>
      </c>
      <c r="H13" s="186">
        <f>-SUMIFS(资金台帐!$S$7:$S$3006,资金台帐!$P$7:$P$3006,"提取",资金台帐!$B$7:$B$3006,"&gt;="&amp;年初日,资金台帐!$B$7:$B$3006,"&lt;="&amp;$D$3)</f>
        <v>0</v>
      </c>
      <c r="I13" s="186" t="n"/>
    </row>
    <row r="14">
      <c r="A14" s="84" t="n"/>
      <c r="B14" s="84" t="n"/>
      <c r="C14" s="84" t="n"/>
      <c r="D14" s="84" t="n"/>
      <c r="F14" s="142" t="inlineStr">
        <is>
          <t>加：本年利润（截至报表月）</t>
        </is>
      </c>
      <c r="G14" s="230" t="n">
        <v>15</v>
      </c>
      <c r="H14" s="186">
        <f>SUMPRODUCT((利润表!$E$4:$P$4&lt;=$B$3)*利润表!$E$24:$P$24)</f>
        <v>553843.713064</v>
      </c>
      <c r="I14" s="186" t="n"/>
    </row>
    <row r="15">
      <c r="A15" s="84" t="n"/>
      <c r="B15" s="84" t="n"/>
      <c r="C15" s="84" t="n"/>
      <c r="D15" s="84" t="n"/>
      <c r="F15" s="121" t="inlineStr">
        <is>
          <t>所有者权益合计</t>
        </is>
      </c>
      <c r="G15" s="277" t="n">
        <v>16</v>
      </c>
      <c r="H15" s="188">
        <f>H11+H12-H13+H14</f>
        <v>553843.713064</v>
      </c>
      <c r="I15" s="188">
        <f>I11</f>
        <v>0</v>
      </c>
    </row>
    <row r="16">
      <c r="A16" s="121" t="inlineStr">
        <is>
          <t>资产总计</t>
        </is>
      </c>
      <c r="B16" s="277" t="n">
        <v>6</v>
      </c>
      <c r="C16" s="188">
        <f>SUM(C6:C15)</f>
        <v>2777302.203064</v>
      </c>
      <c r="D16" s="188">
        <f>SUM(D6:D15)</f>
        <v>0</v>
      </c>
      <c r="F16" s="121" t="inlineStr">
        <is>
          <t>负债和所有者权益合计</t>
        </is>
      </c>
      <c r="G16" s="277" t="n">
        <v>17</v>
      </c>
      <c r="H16" s="188">
        <f>H10+H15</f>
        <v>2777302.203064</v>
      </c>
      <c r="I16" s="188">
        <f>I10+I15</f>
        <v>0</v>
      </c>
    </row>
    <row r="18">
      <c r="A18" s="74" t="inlineStr">
        <is>
          <t>平衡检查</t>
        </is>
      </c>
      <c r="C18" s="187">
        <f>ROUND(C16-H16,2)</f>
        <v>0</v>
      </c>
      <c r="D18" s="207" t="str">
        <f>IF(ABS(C18)&lt;0.01,"√ 资产＝负债＋所有者权益","✗ 差 "&amp;TEXT(C18,"#,##0.00")&amp;" 元，看附注")</f>
        <v>√ 资产＝负债＋所有者权益</v>
      </c>
    </row>
    <row r="20">
      <c r="A20" s="213" t="inlineStr">
        <is>
          <t>其他往来净额（辅助）</t>
        </is>
      </c>
      <c r="C20" s="281">
        <f>基础资料!$B$10-SUMIFS(资金台帐!$S$7:$S$3006,资金台帐!$P$7:$P$3006,"其他往来",资金台帐!$B$7:$B$3006,"&gt;="&amp;年初日,资金台帐!$B$7:$B$3006,"&lt;="&amp;$D$3)-$C$27-$C$28</f>
        <v>0</v>
      </c>
    </row>
    <row r="22">
      <c r="A22" s="74" t="inlineStr">
        <is>
          <t>附注（不为 0 的要去查）</t>
        </is>
      </c>
    </row>
    <row r="23" ht="28" customHeight="1" s="71">
      <c r="A23" s="83" t="inlineStr">
        <is>
          <t>客户往来净额（正＝客户欠我们，负＝客户预存）</t>
        </is>
      </c>
      <c r="B23" s="80" t="n"/>
      <c r="C23" s="186">
        <f>SUM(总览汇总!$K$5:$K$304)+SUMIFS(出库明细!$G$4:$G$3003,出库明细!$B$4:$B$3003,"&gt;="&amp;年初日,出库明细!$B$4:$B$3003,"&lt;="&amp;$D$3)-SUMIFS(资金台帐!$S$7:$S$3006,资金台帐!$P$7:$P$3006,"应收",资金台帐!$B$7:$B$3006,"&gt;="&amp;年初日,资金台帐!$B$7:$B$3006,"&lt;="&amp;$D$3)</f>
        <v>-2162001.99</v>
      </c>
      <c r="D23" s="89" t="inlineStr"/>
    </row>
    <row r="24" ht="28" customHeight="1" s="71">
      <c r="A24" s="83" t="inlineStr">
        <is>
          <t xml:space="preserve">　其中：不在总览汇总名单里的客户（或资金台帐里没选客户的回款）</t>
        </is>
      </c>
      <c r="B24" s="80" t="n"/>
      <c r="C24" s="186">
        <f>C23-SUM(_辅助!$J$5:$J$304)</f>
        <v>0</v>
      </c>
      <c r="D24" s="89" t="inlineStr">
        <is>
          <t>→ 看【数据校验】客户那几项</t>
        </is>
      </c>
    </row>
    <row r="25" ht="28" customHeight="1" s="71">
      <c r="A25" s="83" t="inlineStr">
        <is>
          <t>供应商往来净额（正＝我们欠厂家，负＝预付）</t>
        </is>
      </c>
      <c r="B25" s="80" t="n"/>
      <c r="C25" s="186">
        <f>SUM(基础资料!$R$5:$R$54)+SUMIFS(采购进货!$G$4:$G$1503,采购进货!$B$4:$B$1503,"&gt;="&amp;年初日,采购进货!$B$4:$B$1503,"&lt;="&amp;$D$3)+SUMIFS(资金台帐!$S$7:$S$3006,资金台帐!$P$7:$P$3006,"应付",资金台帐!$B$7:$B$3006,"&gt;="&amp;年初日,资金台帐!$B$7:$B$3006,"&lt;="&amp;$D$3)</f>
        <v>0</v>
      </c>
      <c r="D25" s="89" t="inlineStr"/>
    </row>
    <row r="26" ht="28" customHeight="1" s="71">
      <c r="A26" s="83" t="inlineStr">
        <is>
          <t xml:space="preserve">　其中：不在供应商档案里的供应商</t>
        </is>
      </c>
      <c r="B26" s="80" t="n"/>
      <c r="C26" s="186">
        <f>C25-SUM(_辅助!$K$5:$K$54)</f>
        <v>0</v>
      </c>
      <c r="D26" s="89" t="inlineStr">
        <is>
          <t>→ 看【数据校验】</t>
        </is>
      </c>
    </row>
    <row r="27" ht="28" customHeight="1" s="71">
      <c r="A27" s="83" t="inlineStr">
        <is>
          <t>资金台帐里没分类的收支净额（算进其他往来）</t>
        </is>
      </c>
      <c r="B27" s="80" t="n"/>
      <c r="C27" s="186">
        <f>SUMIFS(资金台帐!$S$7:$S$3006,资金台帐!$B$7:$B$3006,"&gt;="&amp;年初日,资金台帐!$B$7:$B$3006,"&lt;="&amp;$D$3)-(SUMIFS(资金台帐!$S$7:$S$3006,资金台帐!$P$7:$P$3006,"应收",资金台帐!$B$7:$B$3006,"&gt;="&amp;年初日,资金台帐!$B$7:$B$3006,"&lt;="&amp;$D$3)+SUMIFS(资金台帐!$S$7:$S$3006,资金台帐!$P$7:$P$3006,"应付",资金台帐!$B$7:$B$3006,"&gt;="&amp;年初日,资金台帐!$B$7:$B$3006,"&lt;="&amp;$D$3)+SUMIFS(资金台帐!$S$7:$S$3006,资金台帐!$P$7:$P$3006,"费用",资金台帐!$B$7:$B$3006,"&gt;="&amp;年初日,资金台帐!$B$7:$B$3006,"&lt;="&amp;$D$3)+SUMIFS(资金台帐!$S$7:$S$3006,资金台帐!$P$7:$P$3006,"返利收入",资金台帐!$B$7:$B$3006,"&gt;="&amp;年初日,资金台帐!$B$7:$B$3006,"&lt;="&amp;$D$3)+SUMIFS(资金台帐!$S$7:$S$3006,资金台帐!$P$7:$P$3006,"其他收入",资金台帐!$B$7:$B$3006,"&gt;="&amp;年初日,资金台帐!$B$7:$B$3006,"&lt;="&amp;$D$3)+SUMIFS(资金台帐!$S$7:$S$3006,资金台帐!$P$7:$P$3006,"投入",资金台帐!$B$7:$B$3006,"&gt;="&amp;年初日,资金台帐!$B$7:$B$3006,"&lt;="&amp;$D$3)+SUMIFS(资金台帐!$S$7:$S$3006,资金台帐!$P$7:$P$3006,"提取",资金台帐!$B$7:$B$3006,"&gt;="&amp;年初日,资金台帐!$B$7:$B$3006,"&lt;="&amp;$D$3)+SUMIFS(资金台帐!$S$7:$S$3006,资金台帐!$P$7:$P$3006,"借款",资金台帐!$B$7:$B$3006,"&gt;="&amp;年初日,资金台帐!$B$7:$B$3006,"&lt;="&amp;$D$3)+SUMIFS(资金台帐!$S$7:$S$3006,资金台帐!$P$7:$P$3006,"转账",资金台帐!$B$7:$B$3006,"&gt;="&amp;年初日,资金台帐!$B$7:$B$3006,"&lt;="&amp;$D$3)+SUMIFS(资金台帐!$S$7:$S$3006,资金台帐!$P$7:$P$3006,"其他往来",资金台帐!$B$7:$B$3006,"&gt;="&amp;年初日,资金台帐!$B$7:$B$3006,"&lt;="&amp;$D$3))</f>
        <v>0</v>
      </c>
      <c r="D27" s="89" t="inlineStr">
        <is>
          <t>→ 资金台帐校验列</t>
        </is>
      </c>
    </row>
    <row r="28" ht="28" customHeight="1" s="71">
      <c r="A28" s="83" t="inlineStr">
        <is>
          <t>没配对的内部转账（转出≠转入，算进其他往来）</t>
        </is>
      </c>
      <c r="B28" s="80" t="n"/>
      <c r="C28" s="186">
        <f>SUMIFS(资金台帐!$S$7:$S$3006,资金台帐!$P$7:$P$3006,"转账",资金台帐!$B$7:$B$3006,"&gt;="&amp;年初日,资金台帐!$B$7:$B$3006,"&lt;="&amp;$D$3)</f>
        <v>0</v>
      </c>
      <c r="D28" s="89" t="inlineStr">
        <is>
          <t>→ 内部转账要记成一出一进两行</t>
        </is>
      </c>
    </row>
    <row r="29" ht="28" customHeight="1" s="71">
      <c r="A29" s="83" t="inlineStr">
        <is>
          <t>报损表里没对上商品档案的报损金额（已从存货里减）</t>
        </is>
      </c>
      <c r="B29" s="80" t="n"/>
      <c r="C29" s="186">
        <f>SUMPRODUCT((_辅助!$AC$4:$AN$4&lt;=$B$3)*_辅助!$AC$164:$AN$164)</f>
        <v>0</v>
      </c>
      <c r="D29" s="89" t="inlineStr">
        <is>
          <t>→ 基础资料·商品档案「报损表品名」</t>
        </is>
      </c>
    </row>
    <row r="30" ht="28" customHeight="1" s="71">
      <c r="A30" s="83" t="inlineStr">
        <is>
          <t>采购进货里不在商品档案的商品金额（已加进存货）</t>
        </is>
      </c>
      <c r="B30" s="80" t="n"/>
      <c r="C30" s="186">
        <f>SUMIFS(采购进货!$G$4:$G$1503,采购进货!$B$4:$B$1503,"&gt;="&amp;年初日,采购进货!$B$4:$B$1503,"&lt;="&amp;$D$3)-SUMIFS(成本计算!$H108:$EU108,成本计算!$H$4:$EU$4,"&lt;="&amp;$B$3,成本计算!$H$6:$EU$6,"采购金额")</f>
        <v>0</v>
      </c>
      <c r="D30" s="89" t="inlineStr">
        <is>
          <t>→ 采购进货校验列</t>
        </is>
      </c>
    </row>
  </sheetData>
  <mergeCells count="12">
    <mergeCell ref="A26:B26"/>
    <mergeCell ref="A24:B24"/>
    <mergeCell ref="A30:B30"/>
    <mergeCell ref="A2:I2"/>
    <mergeCell ref="A29:B29"/>
    <mergeCell ref="A25:B25"/>
    <mergeCell ref="D18:I18"/>
    <mergeCell ref="A28:B28"/>
    <mergeCell ref="A1:I1"/>
    <mergeCell ref="A23:B23"/>
    <mergeCell ref="A27:B27"/>
    <mergeCell ref="D3:E3"/>
  </mergeCells>
  <conditionalFormatting sqref="D18">
    <cfRule type="expression" priority="1" dxfId="9">
      <formula>LEFT($D$18,1)="√"</formula>
    </cfRule>
    <cfRule type="expression" priority="2" dxfId="10">
      <formula>LEFT($D$18,1)="✗"</formula>
    </cfRule>
  </conditionalFormatting>
  <dataValidations count="1">
    <dataValidation sqref="B3" showDropDown="0" showInputMessage="1" showErrorMessage="1" allowBlank="1" errorTitle="不在清单里" error="请从下拉里选；清单里没有的，先到【基础资料】/【总览汇总】里登记" promptTitle="提示" prompt="选月份：看这个月底的数" type="list" errorStyle="stop">
      <formula1>"1,2,3,4,5,6,7,8,9,10,11,12"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33C0C"/>
    <outlinePr summaryBelow="1" summaryRight="1"/>
    <pageSetUpPr/>
  </sheetPr>
  <dimension ref="A1:F33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71" min="1" max="1"/>
    <col width="38" customWidth="1" style="71" min="2" max="2"/>
    <col width="13" customWidth="1" style="71" min="3" max="3"/>
    <col width="11" customWidth="1" style="71" min="4" max="4"/>
    <col width="46" customWidth="1" style="71" min="5" max="5"/>
    <col width="14" customWidth="1" style="71" min="6" max="6"/>
  </cols>
  <sheetData>
    <row r="1" ht="33" customHeight="1" s="71">
      <c r="A1" s="282" t="inlineStr">
        <is>
          <t>数据校验（全自动 · 每项应为 √）</t>
        </is>
      </c>
    </row>
    <row r="2" ht="24" customHeight="1" s="71">
      <c r="A2" s="73" t="inlineStr">
        <is>
          <t>💡 这里把「会让报表算错」的情况一项项数出来。✗ 要改；⚠ 是提醒，看一眼确认没问题就行。改完回来看，变成 √ 就好了。</t>
        </is>
      </c>
    </row>
    <row r="4" ht="28" customHeight="1" s="71">
      <c r="A4" s="106" t="inlineStr">
        <is>
          <t>序号</t>
        </is>
      </c>
      <c r="B4" s="106" t="inlineStr">
        <is>
          <t>检查项</t>
        </is>
      </c>
      <c r="C4" s="106" t="inlineStr">
        <is>
          <t>数量/金额</t>
        </is>
      </c>
      <c r="D4" s="106" t="inlineStr">
        <is>
          <t>状态</t>
        </is>
      </c>
      <c r="E4" s="106" t="inlineStr">
        <is>
          <t>怎么处理</t>
        </is>
      </c>
      <c r="F4" s="106" t="inlineStr">
        <is>
          <t>去哪看</t>
        </is>
      </c>
    </row>
    <row r="5" ht="30" customHeight="1" s="71">
      <c r="A5" s="194" t="n">
        <v>1</v>
      </c>
      <c r="B5" s="83" t="inlineStr">
        <is>
          <t>资金台帐：校验列打 ✗ 的行</t>
        </is>
      </c>
      <c r="C5" s="283">
        <f>COUNTIF(资金台帐!$N$7:$N$3006,"✗*")</f>
        <v>0</v>
      </c>
      <c r="D5" s="119" t="str">
        <f>IF(ROUND(N(C5),2)=0,"√","✗ 要改")</f>
        <v>√</v>
      </c>
      <c r="E5" s="87" t="inlineStr">
        <is>
          <t>筛选校验列，按提示改</t>
        </is>
      </c>
      <c r="F5" s="284" t="inlineStr">
        <is>
          <t>→ 资金台帐</t>
        </is>
      </c>
    </row>
    <row r="6" ht="30" customHeight="1" s="71">
      <c r="A6" s="194" t="n">
        <v>2</v>
      </c>
      <c r="B6" s="83" t="inlineStr">
        <is>
          <t>资金台帐：账户余额变成负数的行</t>
        </is>
      </c>
      <c r="C6" s="283">
        <f>COUNTIF(资金台帐!$N$7:$N$3006,"⚠*")</f>
        <v>0</v>
      </c>
      <c r="D6" s="119" t="str">
        <f>IF(ROUND(N(C6),2)=0,"√","⚠ 看一下")</f>
        <v>√</v>
      </c>
      <c r="E6" s="87" t="inlineStr">
        <is>
          <t>多半是漏记了一笔收入，或账户选错</t>
        </is>
      </c>
      <c r="F6" s="284" t="inlineStr">
        <is>
          <t>→ 资金台帐</t>
        </is>
      </c>
    </row>
    <row r="7" ht="30" customHeight="1" s="71">
      <c r="A7" s="194" t="n">
        <v>3</v>
      </c>
      <c r="B7" s="83" t="inlineStr">
        <is>
          <t>出库明细：客户不在总览汇总名单里</t>
        </is>
      </c>
      <c r="C7" s="283">
        <f>SUMPRODUCT((出库明细!$C$4:$C$3003&lt;&gt;"")*(COUNTIF(总览汇总!$B$5:$B$304,出库明细!$C$4:$C$3003)=0))</f>
        <v>0</v>
      </c>
      <c r="D7" s="119" t="str">
        <f>IF(ROUND(N(C7),2)=0,"√","✗ 要改")</f>
        <v>√</v>
      </c>
      <c r="E7" s="87" t="inlineStr">
        <is>
          <t>去【总览汇总】B 列加上这个客户，或者把名字改成名单里的写法</t>
        </is>
      </c>
      <c r="F7" s="284" t="inlineStr">
        <is>
          <t>→ 出库明细</t>
        </is>
      </c>
    </row>
    <row r="8" ht="30" customHeight="1" s="71">
      <c r="A8" s="194" t="n">
        <v>4</v>
      </c>
      <c r="B8" s="83" t="inlineStr">
        <is>
          <t>存条明细：客户不在总览汇总名单里</t>
        </is>
      </c>
      <c r="C8" s="283">
        <f>SUMPRODUCT((存条明细!$C$4:$C$1003&lt;&gt;"")*(COUNTIF(总览汇总!$B$5:$B$304,存条明细!$C$4:$C$1003)=0))</f>
        <v>0</v>
      </c>
      <c r="D8" s="119" t="str">
        <f>IF(ROUND(N(C8),2)=0,"√","✗ 要改")</f>
        <v>√</v>
      </c>
      <c r="E8" s="87" t="inlineStr">
        <is>
          <t>同上</t>
        </is>
      </c>
      <c r="F8" s="284" t="inlineStr">
        <is>
          <t>→ 存条明细</t>
        </is>
      </c>
    </row>
    <row r="9" ht="30" customHeight="1" s="71">
      <c r="A9" s="194" t="n">
        <v>5</v>
      </c>
      <c r="B9" s="83" t="inlineStr">
        <is>
          <t>出库明细：商品不在商品档案里</t>
        </is>
      </c>
      <c r="C9" s="283">
        <f>SUMPRODUCT((出库明细!$D$4:$D$3003&lt;&gt;"")*(COUNTIF(基础资料!$E$5:$E$104,出库明细!$D$4:$D$3003)=0))</f>
        <v>0</v>
      </c>
      <c r="D9" s="119" t="str">
        <f>IF(ROUND(N(C9),2)=0,"√","✗ 要改")</f>
        <v>√</v>
      </c>
      <c r="E9" s="87" t="inlineStr">
        <is>
          <t>去【基础资料·商品档案】加上，或改成档案里的写法</t>
        </is>
      </c>
      <c r="F9" s="284" t="inlineStr">
        <is>
          <t>→ 出库明细</t>
        </is>
      </c>
    </row>
    <row r="10" ht="30" customHeight="1" s="71">
      <c r="A10" s="194" t="n">
        <v>6</v>
      </c>
      <c r="B10" s="83" t="inlineStr">
        <is>
          <t>存条明细：商品不在商品档案里</t>
        </is>
      </c>
      <c r="C10" s="283">
        <f>SUMPRODUCT((存条明细!$D$4:$D$1003&lt;&gt;"")*(COUNTIF(基础资料!$E$5:$E$104,存条明细!$D$4:$D$1003)=0))</f>
        <v>0</v>
      </c>
      <c r="D10" s="119" t="str">
        <f>IF(ROUND(N(C10),2)=0,"√","✗ 要改")</f>
        <v>√</v>
      </c>
      <c r="E10" s="87" t="inlineStr">
        <is>
          <t>同上</t>
        </is>
      </c>
      <c r="F10" s="284" t="inlineStr">
        <is>
          <t>→ 存条明细</t>
        </is>
      </c>
    </row>
    <row r="11" ht="30" customHeight="1" s="71">
      <c r="A11" s="194" t="n">
        <v>7</v>
      </c>
      <c r="B11" s="83" t="inlineStr">
        <is>
          <t>出库明细：日期不是真日期或不在本年度</t>
        </is>
      </c>
      <c r="C11" s="283">
        <f>COUNTIF(出库明细!$C$4:$C$3003,"?*")-COUNTIFS(出库明细!$C$4:$C$3003,"?*",出库明细!$B$4:$B$3003,"&gt;="&amp;年初日,出库明细!$B$4:$B$3003,"&lt;="&amp;年末日)</f>
        <v>0</v>
      </c>
      <c r="D11" s="119" t="str">
        <f>IF(ROUND(N(C11),2)=0,"√","✗ 要改")</f>
        <v>√</v>
      </c>
      <c r="E11" s="87" t="inlineStr">
        <is>
          <t>日期要像 2026/9/25 这样录</t>
        </is>
      </c>
      <c r="F11" s="284" t="inlineStr">
        <is>
          <t>→ 出库明细</t>
        </is>
      </c>
    </row>
    <row r="12" ht="30" customHeight="1" s="71">
      <c r="A12" s="194" t="n">
        <v>8</v>
      </c>
      <c r="B12" s="83" t="inlineStr">
        <is>
          <t>存条明细：日期不是真日期或不在本年度</t>
        </is>
      </c>
      <c r="C12" s="283">
        <f>COUNTIF(存条明细!$C$4:$C$1003,"?*")-COUNTIFS(存条明细!$C$4:$C$1003,"?*",存条明细!$B$4:$B$1003,"&gt;="&amp;年初日,存条明细!$B$4:$B$1003,"&lt;="&amp;年末日)</f>
        <v>0</v>
      </c>
      <c r="D12" s="119" t="str">
        <f>IF(ROUND(N(C12),2)=0,"√","✗ 要改")</f>
        <v>√</v>
      </c>
      <c r="E12" s="87" t="inlineStr">
        <is>
          <t>同上</t>
        </is>
      </c>
      <c r="F12" s="284" t="inlineStr">
        <is>
          <t>→ 存条明细</t>
        </is>
      </c>
    </row>
    <row r="13" ht="30" customHeight="1" s="71">
      <c r="A13" s="194" t="n">
        <v>9</v>
      </c>
      <c r="B13" s="83" t="inlineStr">
        <is>
          <t>出库明细：金额≠数量×单价（金额被手工改过）</t>
        </is>
      </c>
      <c r="C13" s="283">
        <f>SUM(_辅助!N4:N3003)</f>
        <v>2</v>
      </c>
      <c r="D13" s="119" t="str">
        <f>IF(ROUND(N(C13),2)=0,"√","⚠ 看一下")</f>
        <v>⚠ 看一下</v>
      </c>
      <c r="E13" s="87" t="inlineStr">
        <is>
          <t>金额列本来是公式，被手填了数；确认一下是不是故意的</t>
        </is>
      </c>
      <c r="F13" s="284" t="inlineStr">
        <is>
          <t>→ 出库明细</t>
        </is>
      </c>
    </row>
    <row r="14" ht="30" customHeight="1" s="71">
      <c r="A14" s="194" t="n">
        <v>10</v>
      </c>
      <c r="B14" s="83" t="inlineStr">
        <is>
          <t>存条明细：金额≠数量×单价（金额被手工改过）</t>
        </is>
      </c>
      <c r="C14" s="283">
        <f>SUM(_辅助!O4:O1003)</f>
        <v>5</v>
      </c>
      <c r="D14" s="119" t="str">
        <f>IF(ROUND(N(C14),2)=0,"√","⚠ 看一下")</f>
        <v>⚠ 看一下</v>
      </c>
      <c r="E14" s="87" t="inlineStr">
        <is>
          <t>同上</t>
        </is>
      </c>
      <c r="F14" s="284" t="inlineStr">
        <is>
          <t>→ 存条明细</t>
        </is>
      </c>
    </row>
    <row r="15" ht="30" customHeight="1" s="71">
      <c r="A15" s="194" t="n">
        <v>11</v>
      </c>
      <c r="B15" s="83" t="inlineStr">
        <is>
          <t>出库明细：有数量没单价的行（赠品）</t>
        </is>
      </c>
      <c r="C15" s="283">
        <f>COUNTIFS(出库明细!$C$4:$C$3003,"?*",出库明细!$E$4:$E$3003,"&lt;&gt;",出库明细!$F$4:$F$3003,"")</f>
        <v>14</v>
      </c>
      <c r="D15" s="119" t="str">
        <f>IF(ROUND(N(C15),2)=0,"√","⚠ 看一下")</f>
        <v>⚠ 看一下</v>
      </c>
      <c r="E15" s="87" t="inlineStr">
        <is>
          <t>赠品这样录没问题：收入为 0，成本照算</t>
        </is>
      </c>
      <c r="F15" s="284" t="inlineStr">
        <is>
          <t>→ 出库明细</t>
        </is>
      </c>
    </row>
    <row r="16" ht="30" customHeight="1" s="71">
      <c r="A16" s="194" t="n">
        <v>12</v>
      </c>
      <c r="B16" s="83" t="inlineStr">
        <is>
          <t>采购进货：校验列打 ✗ 的行</t>
        </is>
      </c>
      <c r="C16" s="283">
        <f>COUNTIF(采购进货!$J$4:$J$1503,"✗*")</f>
        <v>0</v>
      </c>
      <c r="D16" s="119" t="str">
        <f>IF(ROUND(N(C16),2)=0,"√","✗ 要改")</f>
        <v>√</v>
      </c>
      <c r="E16" s="87" t="inlineStr">
        <is>
          <t>按校验列提示改</t>
        </is>
      </c>
      <c r="F16" s="284" t="inlineStr">
        <is>
          <t>→ 采购进货</t>
        </is>
      </c>
    </row>
    <row r="17" ht="30" customHeight="1" s="71">
      <c r="A17" s="194" t="n">
        <v>13</v>
      </c>
      <c r="B17" s="83" t="inlineStr">
        <is>
          <t>公司库存：结存为负的商品</t>
        </is>
      </c>
      <c r="C17" s="283">
        <f>COUNTIF(公司库存!$Q$6:$Q$105,"✗*")</f>
        <v>39</v>
      </c>
      <c r="D17" s="119" t="str">
        <f>IF(ROUND(N(C17),2)=0,"√","✗ 要改")</f>
        <v>✗ 要改</v>
      </c>
      <c r="E17" s="87" t="inlineStr">
        <is>
          <t>进货没录全：把进货单补进【采购进货】，或在商品档案填期初库存</t>
        </is>
      </c>
      <c r="F17" s="284" t="inlineStr">
        <is>
          <t>→ 公司库存</t>
        </is>
      </c>
    </row>
    <row r="18" ht="30" customHeight="1" s="71">
      <c r="A18" s="194" t="n">
        <v>14</v>
      </c>
      <c r="B18" s="83" t="inlineStr">
        <is>
          <t>公司库存：有出库却没有进价的商品</t>
        </is>
      </c>
      <c r="C18" s="283">
        <f>COUNTIF(公司库存!$Q$6:$Q$105,"*没有进价*")</f>
        <v>11</v>
      </c>
      <c r="D18" s="119" t="str">
        <f>IF(ROUND(N(C18),2)=0,"√","⚠ 看一下")</f>
        <v>⚠ 看一下</v>
      </c>
      <c r="E18" s="87" t="inlineStr">
        <is>
          <t>在【基础资料·商品档案】填「参考进价」，不然这些商品成本按 0 算、毛利虚高</t>
        </is>
      </c>
      <c r="F18" s="284" t="inlineStr">
        <is>
          <t>→ 公司库存</t>
        </is>
      </c>
    </row>
    <row r="19" ht="30" customHeight="1" s="71">
      <c r="A19" s="194" t="n">
        <v>15</v>
      </c>
      <c r="B19" s="83" t="inlineStr">
        <is>
          <t>公司库存：仓库的货不够兑现客户存条</t>
        </is>
      </c>
      <c r="C19" s="283">
        <f>COUNTIF(公司库存!$Q$6:$Q$105,"*不够兑现*")</f>
        <v>3</v>
      </c>
      <c r="D19" s="119" t="str">
        <f>IF(ROUND(N(C19),2)=0,"√","⚠ 看一下")</f>
        <v>⚠ 看一下</v>
      </c>
      <c r="E19" s="87" t="inlineStr">
        <is>
          <t>该进货了（或进货没录）</t>
        </is>
      </c>
      <c r="F19" s="284" t="inlineStr">
        <is>
          <t>→ 公司库存</t>
        </is>
      </c>
    </row>
    <row r="20" ht="30" customHeight="1" s="71">
      <c r="A20" s="194" t="n">
        <v>16</v>
      </c>
      <c r="B20" s="83" t="inlineStr">
        <is>
          <t>总览汇总：客户名字重复</t>
        </is>
      </c>
      <c r="C20" s="283">
        <f>SUMPRODUCT((总览汇总!$B$5:$B$304&lt;&gt;"")*(COUNTIF(总览汇总!$B$5:$B$304,总览汇总!$B$5:$B$304)&gt;1))</f>
        <v>0</v>
      </c>
      <c r="D20" s="119" t="str">
        <f>IF(ROUND(N(C20),2)=0,"√","✗ 要改")</f>
        <v>√</v>
      </c>
      <c r="E20" s="87" t="inlineStr">
        <is>
          <t>同一个客户只能占一行，不然领用和收款会算两遍</t>
        </is>
      </c>
      <c r="F20" s="284" t="inlineStr">
        <is>
          <t>→ 总览汇总</t>
        </is>
      </c>
    </row>
    <row r="21" ht="30" customHeight="1" s="71">
      <c r="A21" s="194" t="n">
        <v>17</v>
      </c>
      <c r="B21" s="83" t="inlineStr">
        <is>
          <t>商品档案：商品名字重复</t>
        </is>
      </c>
      <c r="C21" s="283">
        <f>SUMPRODUCT((基础资料!$E$5:$E$104&lt;&gt;"")*(COUNTIF(基础资料!$E$5:$E$104,基础资料!$E$5:$E$104)&gt;1))</f>
        <v>0</v>
      </c>
      <c r="D21" s="119" t="str">
        <f>IF(ROUND(N(C21),2)=0,"√","✗ 要改")</f>
        <v>√</v>
      </c>
      <c r="E21" s="87" t="inlineStr">
        <is>
          <t>删掉重复的那一行</t>
        </is>
      </c>
      <c r="F21" s="284" t="inlineStr">
        <is>
          <t>→ 基础资料</t>
        </is>
      </c>
    </row>
    <row r="22" ht="30" customHeight="1" s="71">
      <c r="A22" s="194" t="n">
        <v>18</v>
      </c>
      <c r="B22" s="83" t="inlineStr">
        <is>
          <t>资金台帐选的客户，收款没进总览汇总的金额</t>
        </is>
      </c>
      <c r="C22" s="283">
        <f>ROUND(SUMIFS(资金台帐!$S$7:$S$3006,资金台帐!$P$7:$P$3006,"应收")-总览汇总!F305,2)</f>
        <v>0</v>
      </c>
      <c r="D22" s="119" t="str">
        <f>IF(ROUND(N(C22),2)=0,"√","✗ 要改")</f>
        <v>√</v>
      </c>
      <c r="E22" s="87" t="inlineStr">
        <is>
          <t>客户名没在总览汇总登记、或者没选客户；【资产负债表】附注也有这个数</t>
        </is>
      </c>
      <c r="F22" s="284" t="inlineStr">
        <is>
          <t>→ 资金台帐</t>
        </is>
      </c>
    </row>
    <row r="23" ht="30" customHeight="1" s="71">
      <c r="A23" s="194" t="n">
        <v>19</v>
      </c>
      <c r="B23" s="83" t="inlineStr">
        <is>
          <t>出库明细的金额，没进总览汇总的部分</t>
        </is>
      </c>
      <c r="C23" s="283">
        <f>ROUND(SUM(出库明细!$G$4:$G$3003)-总览汇总!D305,2)</f>
        <v>0</v>
      </c>
      <c r="D23" s="119" t="str">
        <f>IF(ROUND(N(C23),2)=0,"√","✗ 要改")</f>
        <v>√</v>
      </c>
      <c r="E23" s="87" t="inlineStr">
        <is>
          <t>有出库的客户没在总览汇总登记</t>
        </is>
      </c>
      <c r="F23" s="284" t="inlineStr">
        <is>
          <t>→ 总览汇总</t>
        </is>
      </c>
    </row>
    <row r="24" ht="30" customHeight="1" s="71">
      <c r="A24" s="194" t="n">
        <v>20</v>
      </c>
      <c r="B24" s="83" t="inlineStr">
        <is>
          <t>商品库存合计 ≠ 存条明细合计（有行没填客户或商品）</t>
        </is>
      </c>
      <c r="C24" s="283">
        <f>ROUND(SUM(存条明细!$G$4:$G$1003)-商品库存!F604,2)</f>
        <v>0</v>
      </c>
      <c r="D24" s="119" t="str">
        <f>IF(ROUND(N(C24),2)=0,"√","✗ 要改")</f>
        <v>√</v>
      </c>
      <c r="E24" s="87" t="inlineStr">
        <is>
          <t>存条明细里有行没填客户或商品</t>
        </is>
      </c>
      <c r="F24" s="284" t="inlineStr">
        <is>
          <t>→ 存条明细</t>
        </is>
      </c>
    </row>
    <row r="25" ht="30" customHeight="1" s="71">
      <c r="A25" s="194" t="n">
        <v>21</v>
      </c>
      <c r="B25" s="83" t="inlineStr">
        <is>
          <t>资产负债表：不平的金额</t>
        </is>
      </c>
      <c r="C25" s="283">
        <f>资产负债表!C18</f>
        <v>0</v>
      </c>
      <c r="D25" s="119" t="str">
        <f>IF(ROUND(N(C25),2)=0,"√","✗ 要改")</f>
        <v>√</v>
      </c>
      <c r="E25" s="87" t="inlineStr">
        <is>
          <t>看资产负债表附注</t>
        </is>
      </c>
      <c r="F25" s="284" t="inlineStr">
        <is>
          <t>→ 资产负债表</t>
        </is>
      </c>
    </row>
    <row r="26" ht="30" customHeight="1" s="71">
      <c r="A26" s="194" t="n">
        <v>22</v>
      </c>
      <c r="B26" s="83" t="inlineStr">
        <is>
          <t>资金台帐：内部转账没配对（转出≠转入）</t>
        </is>
      </c>
      <c r="C26" s="283">
        <f>资产负债表!C28</f>
        <v>0</v>
      </c>
      <c r="D26" s="119" t="str">
        <f>IF(ROUND(N(C26),2)=0,"√","✗ 要改")</f>
        <v>√</v>
      </c>
      <c r="E26" s="87" t="inlineStr">
        <is>
          <t>内部转账要记一出一进两行</t>
        </is>
      </c>
      <c r="F26" s="284" t="inlineStr">
        <is>
          <t>→ 资金台帐</t>
        </is>
      </c>
    </row>
    <row r="27" ht="30" customHeight="1" s="71">
      <c r="A27" s="194" t="n">
        <v>23</v>
      </c>
      <c r="B27" s="83" t="inlineStr">
        <is>
          <t>资金台帐：没分类的收支净额</t>
        </is>
      </c>
      <c r="C27" s="283">
        <f>资产负债表!C27</f>
        <v>0</v>
      </c>
      <c r="D27" s="119" t="str">
        <f>IF(ROUND(N(C27),2)=0,"√","✗ 要改")</f>
        <v>√</v>
      </c>
      <c r="E27" s="87" t="inlineStr">
        <is>
          <t>在资金台帐里选上收支项目</t>
        </is>
      </c>
      <c r="F27" s="284" t="inlineStr">
        <is>
          <t>→ 资金台帐</t>
        </is>
      </c>
    </row>
    <row r="28" ht="30" customHeight="1" s="71">
      <c r="A28" s="194" t="n">
        <v>24</v>
      </c>
      <c r="B28" s="83" t="inlineStr">
        <is>
          <t>报损表里没对上商品档案的报损金额（全年）</t>
        </is>
      </c>
      <c r="C28" s="283">
        <f>ROUND(SUM(_辅助!AC164:AN164),2)</f>
        <v>0</v>
      </c>
      <c r="D28" s="119" t="str">
        <f>IF(ROUND(N(C28),2)=0,"√","⚠ 看一下")</f>
        <v>√</v>
      </c>
      <c r="E28" s="87" t="inlineStr">
        <is>
          <t>在商品档案「报损表品名」填上报损表里的写法（不影响利润，只影响库存按商品拆分）</t>
        </is>
      </c>
      <c r="F28" s="284" t="inlineStr">
        <is>
          <t>→ 基础资料</t>
        </is>
      </c>
    </row>
    <row r="29" ht="30" customHeight="1" s="71">
      <c r="A29" s="194" t="n">
        <v>25</v>
      </c>
      <c r="B29" s="83" t="inlineStr">
        <is>
          <t>报损月表清单：填了但找不到的表名</t>
        </is>
      </c>
      <c r="C29" s="283">
        <f>COUNTIF(基础资料!AO5:AO16,"✗*")</f>
        <v>0</v>
      </c>
      <c r="D29" s="119" t="str">
        <f>IF(ROUND(N(C29),2)=0,"√","✗ 要改")</f>
        <v>√</v>
      </c>
      <c r="E29" s="87" t="inlineStr">
        <is>
          <t>表名要和工作表标签一字不差</t>
        </is>
      </c>
      <c r="F29" s="284" t="inlineStr">
        <is>
          <t>→ 基础资料</t>
        </is>
      </c>
    </row>
    <row r="30" ht="30" customHeight="1" s="71">
      <c r="A30" s="194" t="n">
        <v>26</v>
      </c>
      <c r="B30" s="83" t="inlineStr">
        <is>
          <t>资金账户：当前余额为负的账户</t>
        </is>
      </c>
      <c r="C30" s="283">
        <f>COUNTIF(基础资料!Y5:Y24,"&lt;0")</f>
        <v>0</v>
      </c>
      <c r="D30" s="119" t="str">
        <f>IF(ROUND(N(C30),2)=0,"√","⚠ 看一下")</f>
        <v>√</v>
      </c>
      <c r="E30" s="87" t="inlineStr">
        <is>
          <t>年初余额没填，或漏记了收入</t>
        </is>
      </c>
      <c r="F30" s="284" t="inlineStr">
        <is>
          <t>→ 基础资料</t>
        </is>
      </c>
    </row>
    <row r="32">
      <c r="B32" s="121" t="inlineStr">
        <is>
          <t>要改（✗）的项数</t>
        </is>
      </c>
      <c r="C32" s="285">
        <f>COUNTIF(D5:D30,"✗*")</f>
        <v>1</v>
      </c>
    </row>
    <row r="33">
      <c r="B33" s="121" t="inlineStr">
        <is>
          <t>提醒（⚠）的项数</t>
        </is>
      </c>
      <c r="C33" s="121">
        <f>COUNTIF(D5:D30,"⚠*")</f>
        <v>5</v>
      </c>
    </row>
  </sheetData>
  <mergeCells count="2">
    <mergeCell ref="A2:F2"/>
    <mergeCell ref="A1:F1"/>
  </mergeCells>
  <conditionalFormatting sqref="D5:D30">
    <cfRule type="expression" priority="1" dxfId="1">
      <formula>LEFT($D5,1)="✗"</formula>
    </cfRule>
    <cfRule type="expression" priority="2" dxfId="2">
      <formula>LEFT($D5,1)="⚠"</formula>
    </cfRule>
    <cfRule type="expression" priority="3" dxfId="11">
      <formula>$D5="√"</formula>
    </cfRule>
  </conditionalFormatting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CA6003"/>
  <sheetViews>
    <sheetView tabSelected="0" workbookViewId="0">
      <selection activeCell="A1" sqref="A1"/>
    </sheetView>
  </sheetViews>
  <sheetFormatPr baseColWidth="8" defaultRowHeight="15"/>
  <sheetData>
    <row r="3">
      <c r="A3" s="78" t="inlineStr">
        <is>
          <t>商品库存组合键</t>
        </is>
      </c>
      <c r="B3" s="78" t="inlineStr">
        <is>
          <t>第k个组合在A列的位置</t>
        </is>
      </c>
      <c r="D3" s="78" t="inlineStr">
        <is>
          <t>客户查询：第几个</t>
        </is>
      </c>
      <c r="E3" s="78" t="inlineStr">
        <is>
          <t>客户对账单：存条第几个</t>
        </is>
      </c>
      <c r="F3" s="78" t="inlineStr">
        <is>
          <t>客户对账单排序键</t>
        </is>
      </c>
      <c r="H3" s="78" t="inlineStr">
        <is>
          <t>供应商对账单排序键</t>
        </is>
      </c>
      <c r="J3" s="78" t="inlineStr">
        <is>
          <t>客户余额(资产负债表日)</t>
        </is>
      </c>
      <c r="K3" s="78" t="inlineStr">
        <is>
          <t>供应商余额(资产负债表日)</t>
        </is>
      </c>
      <c r="N3" s="78" t="inlineStr">
        <is>
          <t>出库:金额≠数量×单价</t>
        </is>
      </c>
      <c r="O3" s="78" t="inlineStr">
        <is>
          <t>存条:金额≠数量×单价</t>
        </is>
      </c>
      <c r="AA3" s="78" t="inlineStr">
        <is>
          <t>报损中转站：每个商品每月报损（按报损表品名匹配）</t>
        </is>
      </c>
      <c r="AC3" s="78" t="inlineStr">
        <is>
          <t>金额</t>
        </is>
      </c>
      <c r="AO3" s="78" t="inlineStr">
        <is>
          <t>原始数量</t>
        </is>
      </c>
      <c r="BA3" s="78" t="inlineStr">
        <is>
          <t>按箱/件录的数量</t>
        </is>
      </c>
      <c r="BM3" s="78" t="inlineStr">
        <is>
          <t>折成件</t>
        </is>
      </c>
    </row>
    <row r="4">
      <c r="A4">
        <f>IF(OR(存条明细!C4="",存条明细!D4=""),"",IF(COUNTIFS(存条明细!$C$4:C4,存条明细!C4,存条明细!$D$4:D4,存条明细!D4)&gt;1,"",IFERROR(MATCH(存条明细!C4,总览汇总!$B$5:$B$304,0),900)*10000000+IFERROR(MATCH(存条明细!D4,基础资料!$E$5:$E$104,0),900)*10000+ROW()))</f>
        <v>10020004</v>
      </c>
      <c r="B4">
        <f>IFERROR(MATCH(SMALL($A$4:$A$4003,1),$A$4:$A$4003,0),"")</f>
        <v>132</v>
      </c>
      <c r="D4">
        <f>IF(AND(商品库存!B4&lt;&gt;"",商品库存!B4=客户查询!$B$4),COUNTIF(商品库存!$B$4:B4,客户查询!$B$4),"")</f>
        <v>1</v>
      </c>
      <c r="E4">
        <f>IF(AND(商品库存!B4&lt;&gt;"",商品库存!B4=客户对账单!$B$4),COUNTIF(商品库存!$B$4:B4,客户对账单!$B$4),"")</f>
        <v>1</v>
      </c>
      <c r="F4">
        <f>IF(AND(出库明细!C4&lt;&gt;"",出库明细!C4=客户对账单!$B$4,ISNUMBER(出库明细!B4),出库明细!B4&gt;=客户对账单!$G$4,出库明细!B4&lt;=客户对账单!$I$4),出库明细!B4+ROW()/100000,"")</f>
      </c>
      <c r="H4">
        <f>IF(AND(采购进货!C4&lt;&gt;"",采购进货!C4=供应商对账单!$B$4,ISNUMBER(采购进货!B4),采购进货!B4&gt;=供应商对账单!$G$4,采购进货!B4&lt;=供应商对账单!$I$4),采购进货!B4+ROW()/100000,"")</f>
      </c>
      <c r="N4">
        <f>IF(AND(ISNUMBER(出库明细!G4),ISNUMBER(出库明细!E4),ISNUMBER(出库明细!F4)),IF(ABS(出库明细!G4-出库明细!E4*出库明细!F4)&gt;0.005,1,0),0)</f>
        <v>0</v>
      </c>
      <c r="O4">
        <f>IF(AND(ISNUMBER(存条明细!G4),ISNUMBER(存条明细!E4),ISNUMBER(存条明细!F4)),IF(ABS(存条明细!G4-存条明细!E4*存条明细!F4)&gt;0.005,1,0),0)</f>
        <v>0</v>
      </c>
      <c r="AC4" t="n">
        <v>1</v>
      </c>
      <c r="AD4" t="n">
        <v>2</v>
      </c>
      <c r="AE4" t="n">
        <v>3</v>
      </c>
      <c r="AF4" t="n">
        <v>4</v>
      </c>
      <c r="AG4" t="n">
        <v>5</v>
      </c>
      <c r="AH4" t="n">
        <v>6</v>
      </c>
      <c r="AI4" t="n">
        <v>7</v>
      </c>
      <c r="AJ4" t="n">
        <v>8</v>
      </c>
      <c r="AK4" t="n">
        <v>9</v>
      </c>
      <c r="AL4" t="n">
        <v>10</v>
      </c>
      <c r="AM4" t="n">
        <v>11</v>
      </c>
      <c r="AN4" t="n">
        <v>12</v>
      </c>
      <c r="AO4" t="n">
        <v>1</v>
      </c>
      <c r="AP4" t="n">
        <v>2</v>
      </c>
      <c r="AQ4" t="n">
        <v>3</v>
      </c>
      <c r="AR4" t="n">
        <v>4</v>
      </c>
      <c r="AS4" t="n">
        <v>5</v>
      </c>
      <c r="AT4" t="n">
        <v>6</v>
      </c>
      <c r="AU4" t="n">
        <v>7</v>
      </c>
      <c r="AV4" t="n">
        <v>8</v>
      </c>
      <c r="AW4" t="n">
        <v>9</v>
      </c>
      <c r="AX4" t="n">
        <v>10</v>
      </c>
      <c r="AY4" t="n">
        <v>11</v>
      </c>
      <c r="AZ4" t="n">
        <v>12</v>
      </c>
      <c r="BA4" t="n">
        <v>1</v>
      </c>
      <c r="BB4" t="n">
        <v>2</v>
      </c>
      <c r="BC4" t="n">
        <v>3</v>
      </c>
      <c r="BD4" t="n">
        <v>4</v>
      </c>
      <c r="BE4" t="n">
        <v>5</v>
      </c>
      <c r="BF4" t="n">
        <v>6</v>
      </c>
      <c r="BG4" t="n">
        <v>7</v>
      </c>
      <c r="BH4" t="n">
        <v>8</v>
      </c>
      <c r="BI4" t="n">
        <v>9</v>
      </c>
      <c r="BJ4" t="n">
        <v>10</v>
      </c>
      <c r="BK4" t="n">
        <v>11</v>
      </c>
      <c r="BL4" t="n">
        <v>12</v>
      </c>
      <c r="BM4" t="n">
        <v>1</v>
      </c>
      <c r="BN4" t="n">
        <v>2</v>
      </c>
      <c r="BO4" t="n">
        <v>3</v>
      </c>
      <c r="BP4" t="n">
        <v>4</v>
      </c>
      <c r="BQ4" t="n">
        <v>5</v>
      </c>
      <c r="BR4" t="n">
        <v>6</v>
      </c>
      <c r="BS4" t="n">
        <v>7</v>
      </c>
      <c r="BT4" t="n">
        <v>8</v>
      </c>
      <c r="BU4" t="n">
        <v>9</v>
      </c>
      <c r="BV4" t="n">
        <v>10</v>
      </c>
      <c r="BW4" t="n">
        <v>11</v>
      </c>
      <c r="BX4" t="n">
        <v>12</v>
      </c>
    </row>
    <row r="5">
      <c r="A5">
        <f>IF(OR(存条明细!C5="",存条明细!D5=""),"",IF(COUNTIFS(存条明细!$C$4:C5,存条明细!C5,存条明细!$D$4:D5,存条明细!D5)&gt;1,"",IFERROR(MATCH(存条明细!C5,总览汇总!$B$5:$B$304,0),900)*10000000+IFERROR(MATCH(存条明细!D5,基础资料!$E$5:$E$104,0),900)*10000+ROW()))</f>
        <v>10030005</v>
      </c>
      <c r="B5">
        <f>IFERROR(MATCH(SMALL($A$4:$A$4003,2),$A$4:$A$4003,0),"")</f>
        <v>1</v>
      </c>
      <c r="D5">
        <f>IF(AND(商品库存!B5&lt;&gt;"",商品库存!B5=客户查询!$B$4),COUNTIF(商品库存!$B$4:B5,客户查询!$B$4),"")</f>
        <v>2</v>
      </c>
      <c r="E5">
        <f>IF(AND(商品库存!B5&lt;&gt;"",商品库存!B5=客户对账单!$B$4),COUNTIF(商品库存!$B$4:B5,客户对账单!$B$4),"")</f>
        <v>2</v>
      </c>
      <c r="F5">
        <f>IF(AND(出库明细!C5&lt;&gt;"",出库明细!C5=客户对账单!$B$4,ISNUMBER(出库明细!B5),出库明细!B5&gt;=客户对账单!$G$4,出库明细!B5&lt;=客户对账单!$I$4),出库明细!B5+ROW()/100000,"")</f>
      </c>
      <c r="H5">
        <f>IF(AND(采购进货!C5&lt;&gt;"",采购进货!C5=供应商对账单!$B$4,ISNUMBER(采购进货!B5),采购进货!B5&gt;=供应商对账单!$G$4,采购进货!B5&lt;=供应商对账单!$I$4),采购进货!B5+ROW()/100000,"")</f>
      </c>
      <c r="J5">
        <f>IF(总览汇总!$B5="","",N(总览汇总!$K5)+SUMIFS(出库明细!$G$4:$G$3003,出库明细!$C$4:$C$3003,总览汇总!$B5,出库明细!$B$4:$B$3003,"&gt;="&amp;年初日,出库明细!$B$4:$B$3003,"&lt;="&amp;资产负债表!$D$3)-SUMIFS(资金台帐!$S$7:$S$3006,资金台帐!$J$7:$J$3006,总览汇总!$B5,资金台帐!$P$7:$P$3006,"应收",资金台帐!$B$7:$B$3006,"&gt;="&amp;年初日,资金台帐!$B$7:$B$3006,"&lt;="&amp;资产负债表!$D$3))</f>
        <v>-70745</v>
      </c>
      <c r="K5">
        <f>IF(基础资料!$Q5="","",N(基础资料!$R5)+SUMIFS(采购进货!$G$4:$G$1503,采购进货!$C$4:$C$1503,基础资料!$Q5,采购进货!$B$4:$B$1503,"&gt;="&amp;年初日,采购进货!$B$4:$B$1503,"&lt;="&amp;资产负债表!$D$3)+SUMIFS(资金台帐!$S$7:$S$3006,资金台帐!$K$7:$K$3006,基础资料!$Q5,资金台帐!$P$7:$P$3006,"应付",资金台帐!$B$7:$B$3006,"&gt;="&amp;年初日,资金台帐!$B$7:$B$3006,"&lt;="&amp;资产负债表!$D$3))</f>
        <v>0</v>
      </c>
      <c r="N5">
        <f>IF(AND(ISNUMBER(出库明细!G5),ISNUMBER(出库明细!E5),ISNUMBER(出库明细!F5)),IF(ABS(出库明细!G5-出库明细!E5*出库明细!F5)&gt;0.005,1,0),0)</f>
        <v>0</v>
      </c>
      <c r="O5">
        <f>IF(AND(ISNUMBER(存条明细!G5),ISNUMBER(存条明细!E5),ISNUMBER(存条明细!F5)),IF(ABS(存条明细!G5-存条明细!E5*存条明细!F5)&gt;0.005,1,0),0)</f>
        <v>0</v>
      </c>
      <c r="AA5" t="inlineStr">
        <is>
          <t>报损品名</t>
        </is>
      </c>
      <c r="AB5" t="inlineStr">
        <is>
          <t>每件数量</t>
        </is>
      </c>
      <c r="AC5">
        <f>IFERROR(INDEX(基础资料!$AN$5:$AN$16,1)&amp;"","")</f>
      </c>
      <c r="AD5">
        <f>IFERROR(INDEX(基础资料!$AN$5:$AN$16,2)&amp;"","")</f>
      </c>
      <c r="AE5">
        <f>IFERROR(INDEX(基础资料!$AN$5:$AN$16,3)&amp;"","")</f>
      </c>
      <c r="AF5">
        <f>IFERROR(INDEX(基础资料!$AN$5:$AN$16,4)&amp;"","")</f>
      </c>
      <c r="AG5">
        <f>IFERROR(INDEX(基础资料!$AN$5:$AN$16,5)&amp;"","")</f>
      </c>
      <c r="AH5" t="str">
        <f>IFERROR(INDEX(基础资料!$AN$5:$AN$16,6)&amp;"","")</f>
        <v>报损明细台账</v>
      </c>
      <c r="AI5" t="str">
        <f>IFERROR(INDEX(基础资料!$AN$5:$AN$16,7)&amp;"","")</f>
        <v>2026年7月报损</v>
      </c>
      <c r="AJ5" t="str">
        <f>IFERROR(INDEX(基础资料!$AN$5:$AN$16,8)&amp;"","")</f>
        <v>2026年8月报损</v>
      </c>
      <c r="AK5" t="str">
        <f>IFERROR(INDEX(基础资料!$AN$5:$AN$16,9)&amp;"","")</f>
        <v>2026年9月报损</v>
      </c>
      <c r="AL5">
        <f>IFERROR(INDEX(基础资料!$AN$5:$AN$16,10)&amp;"","")</f>
      </c>
      <c r="AM5">
        <f>IFERROR(INDEX(基础资料!$AN$5:$AN$16,11)&amp;"","")</f>
      </c>
      <c r="AN5">
        <f>IFERROR(INDEX(基础资料!$AN$5:$AN$16,12)&amp;"","")</f>
      </c>
      <c r="AO5">
        <f>IFERROR(INDEX(基础资料!$AN$5:$AN$16,1)&amp;"","")</f>
      </c>
      <c r="AP5">
        <f>IFERROR(INDEX(基础资料!$AN$5:$AN$16,2)&amp;"","")</f>
      </c>
      <c r="AQ5">
        <f>IFERROR(INDEX(基础资料!$AN$5:$AN$16,3)&amp;"","")</f>
      </c>
      <c r="AR5">
        <f>IFERROR(INDEX(基础资料!$AN$5:$AN$16,4)&amp;"","")</f>
      </c>
      <c r="AS5">
        <f>IFERROR(INDEX(基础资料!$AN$5:$AN$16,5)&amp;"","")</f>
      </c>
      <c r="AT5" t="str">
        <f>IFERROR(INDEX(基础资料!$AN$5:$AN$16,6)&amp;"","")</f>
        <v>报损明细台账</v>
      </c>
      <c r="AU5" t="str">
        <f>IFERROR(INDEX(基础资料!$AN$5:$AN$16,7)&amp;"","")</f>
        <v>2026年7月报损</v>
      </c>
      <c r="AV5" t="str">
        <f>IFERROR(INDEX(基础资料!$AN$5:$AN$16,8)&amp;"","")</f>
        <v>2026年8月报损</v>
      </c>
      <c r="AW5" t="str">
        <f>IFERROR(INDEX(基础资料!$AN$5:$AN$16,9)&amp;"","")</f>
        <v>2026年9月报损</v>
      </c>
      <c r="AX5">
        <f>IFERROR(INDEX(基础资料!$AN$5:$AN$16,10)&amp;"","")</f>
      </c>
      <c r="AY5">
        <f>IFERROR(INDEX(基础资料!$AN$5:$AN$16,11)&amp;"","")</f>
      </c>
      <c r="AZ5">
        <f>IFERROR(INDEX(基础资料!$AN$5:$AN$16,12)&amp;"","")</f>
      </c>
      <c r="BA5">
        <f>IFERROR(INDEX(基础资料!$AN$5:$AN$16,1)&amp;"","")</f>
      </c>
      <c r="BB5">
        <f>IFERROR(INDEX(基础资料!$AN$5:$AN$16,2)&amp;"","")</f>
      </c>
      <c r="BC5">
        <f>IFERROR(INDEX(基础资料!$AN$5:$AN$16,3)&amp;"","")</f>
      </c>
      <c r="BD5">
        <f>IFERROR(INDEX(基础资料!$AN$5:$AN$16,4)&amp;"","")</f>
      </c>
      <c r="BE5">
        <f>IFERROR(INDEX(基础资料!$AN$5:$AN$16,5)&amp;"","")</f>
      </c>
      <c r="BF5" t="str">
        <f>IFERROR(INDEX(基础资料!$AN$5:$AN$16,6)&amp;"","")</f>
        <v>报损明细台账</v>
      </c>
      <c r="BG5" t="str">
        <f>IFERROR(INDEX(基础资料!$AN$5:$AN$16,7)&amp;"","")</f>
        <v>2026年7月报损</v>
      </c>
      <c r="BH5" t="str">
        <f>IFERROR(INDEX(基础资料!$AN$5:$AN$16,8)&amp;"","")</f>
        <v>2026年8月报损</v>
      </c>
      <c r="BI5" t="str">
        <f>IFERROR(INDEX(基础资料!$AN$5:$AN$16,9)&amp;"","")</f>
        <v>2026年9月报损</v>
      </c>
      <c r="BJ5">
        <f>IFERROR(INDEX(基础资料!$AN$5:$AN$16,10)&amp;"","")</f>
      </c>
      <c r="BK5">
        <f>IFERROR(INDEX(基础资料!$AN$5:$AN$16,11)&amp;"","")</f>
      </c>
      <c r="BL5">
        <f>IFERROR(INDEX(基础资料!$AN$5:$AN$16,12)&amp;"","")</f>
      </c>
      <c r="BM5">
        <f>IFERROR(INDEX(基础资料!$AN$5:$AN$16,1)&amp;"","")</f>
      </c>
      <c r="BN5">
        <f>IFERROR(INDEX(基础资料!$AN$5:$AN$16,2)&amp;"","")</f>
      </c>
      <c r="BO5">
        <f>IFERROR(INDEX(基础资料!$AN$5:$AN$16,3)&amp;"","")</f>
      </c>
      <c r="BP5">
        <f>IFERROR(INDEX(基础资料!$AN$5:$AN$16,4)&amp;"","")</f>
      </c>
      <c r="BQ5">
        <f>IFERROR(INDEX(基础资料!$AN$5:$AN$16,5)&amp;"","")</f>
      </c>
      <c r="BR5" t="str">
        <f>IFERROR(INDEX(基础资料!$AN$5:$AN$16,6)&amp;"","")</f>
        <v>报损明细台账</v>
      </c>
      <c r="BS5" t="str">
        <f>IFERROR(INDEX(基础资料!$AN$5:$AN$16,7)&amp;"","")</f>
        <v>2026年7月报损</v>
      </c>
      <c r="BT5" t="str">
        <f>IFERROR(INDEX(基础资料!$AN$5:$AN$16,8)&amp;"","")</f>
        <v>2026年8月报损</v>
      </c>
      <c r="BU5" t="str">
        <f>IFERROR(INDEX(基础资料!$AN$5:$AN$16,9)&amp;"","")</f>
        <v>2026年9月报损</v>
      </c>
      <c r="BV5">
        <f>IFERROR(INDEX(基础资料!$AN$5:$AN$16,10)&amp;"","")</f>
      </c>
      <c r="BW5">
        <f>IFERROR(INDEX(基础资料!$AN$5:$AN$16,11)&amp;"","")</f>
      </c>
      <c r="BX5">
        <f>IFERROR(INDEX(基础资料!$AN$5:$AN$16,12)&amp;"","")</f>
      </c>
      <c r="BY5" t="inlineStr">
        <is>
          <t>所选月份金额</t>
        </is>
      </c>
      <c r="BZ5" t="inlineStr">
        <is>
          <t>排名键</t>
        </is>
      </c>
      <c r="CA5" t="inlineStr">
        <is>
          <t>所选月份数量</t>
        </is>
      </c>
    </row>
    <row r="6">
      <c r="A6">
        <f>IF(OR(存条明细!C6="",存条明细!D6=""),"",IF(COUNTIFS(存条明细!$C$4:C6,存条明细!C6,存条明细!$D$4:D6,存条明细!D6)&gt;1,"",IFERROR(MATCH(存条明细!C6,总览汇总!$B$5:$B$304,0),900)*10000000+IFERROR(MATCH(存条明细!D6,基础资料!$E$5:$E$104,0),900)*10000+ROW()))</f>
        <v>10040006</v>
      </c>
      <c r="B6">
        <f>IFERROR(MATCH(SMALL($A$4:$A$4003,3),$A$4:$A$4003,0),"")</f>
        <v>2</v>
      </c>
      <c r="D6">
        <f>IF(AND(商品库存!B6&lt;&gt;"",商品库存!B6=客户查询!$B$4),COUNTIF(商品库存!$B$4:B6,客户查询!$B$4),"")</f>
        <v>3</v>
      </c>
      <c r="E6">
        <f>IF(AND(商品库存!B6&lt;&gt;"",商品库存!B6=客户对账单!$B$4),COUNTIF(商品库存!$B$4:B6,客户对账单!$B$4),"")</f>
        <v>3</v>
      </c>
      <c r="F6">
        <f>IF(AND(出库明细!C6&lt;&gt;"",出库明细!C6=客户对账单!$B$4,ISNUMBER(出库明细!B6),出库明细!B6&gt;=客户对账单!$G$4,出库明细!B6&lt;=客户对账单!$I$4),出库明细!B6+ROW()/100000,"")</f>
      </c>
      <c r="H6">
        <f>IF(AND(采购进货!C6&lt;&gt;"",采购进货!C6=供应商对账单!$B$4,ISNUMBER(采购进货!B6),采购进货!B6&gt;=供应商对账单!$G$4,采购进货!B6&lt;=供应商对账单!$I$4),采购进货!B6+ROW()/100000,"")</f>
      </c>
      <c r="J6">
        <f>IF(总览汇总!$B6="","",N(总览汇总!$K6)+SUMIFS(出库明细!$G$4:$G$3003,出库明细!$C$4:$C$3003,总览汇总!$B6,出库明细!$B$4:$B$3003,"&gt;="&amp;年初日,出库明细!$B$4:$B$3003,"&lt;="&amp;资产负债表!$D$3)-SUMIFS(资金台帐!$S$7:$S$3006,资金台帐!$J$7:$J$3006,总览汇总!$B6,资金台帐!$P$7:$P$3006,"应收",资金台帐!$B$7:$B$3006,"&gt;="&amp;年初日,资金台帐!$B$7:$B$3006,"&lt;="&amp;资产负债表!$D$3))</f>
        <v>-52524.5</v>
      </c>
      <c r="K6">
        <f>IF(基础资料!$Q6="","",N(基础资料!$R6)+SUMIFS(采购进货!$G$4:$G$1503,采购进货!$C$4:$C$1503,基础资料!$Q6,采购进货!$B$4:$B$1503,"&gt;="&amp;年初日,采购进货!$B$4:$B$1503,"&lt;="&amp;资产负债表!$D$3)+SUMIFS(资金台帐!$S$7:$S$3006,资金台帐!$K$7:$K$3006,基础资料!$Q6,资金台帐!$P$7:$P$3006,"应付",资金台帐!$B$7:$B$3006,"&gt;="&amp;年初日,资金台帐!$B$7:$B$3006,"&lt;="&amp;资产负债表!$D$3))</f>
        <v>0</v>
      </c>
      <c r="N6">
        <f>IF(AND(ISNUMBER(出库明细!G6),ISNUMBER(出库明细!E6),ISNUMBER(出库明细!F6)),IF(ABS(出库明细!G6-出库明细!E6*出库明细!F6)&gt;0.005,1,0),0)</f>
        <v>0</v>
      </c>
      <c r="O6">
        <f>IF(AND(ISNUMBER(存条明细!G6),ISNUMBER(存条明细!E6),ISNUMBER(存条明细!F6)),IF(ABS(存条明细!G6-存条明细!E6*存条明细!F6)&gt;0.005,1,0),0)</f>
        <v>0</v>
      </c>
      <c r="AA6" t="str">
        <f>IF(基础资料!G5="","",基础资料!G5&amp;"")</f>
        <v>东鹏500ML特饮</v>
      </c>
      <c r="AB6">
        <f>IF(N(基础资料!I5)&lt;=0,1,基础资料!I5)</f>
        <v>24</v>
      </c>
      <c r="AC6">
        <f>IF(OR($AA6="",AC$5=""),0,SUMIF(INDIRECT("'"&amp;AC$5&amp;"'!C6:C1000"),$AA6,INDIRECT("'"&amp;AC$5&amp;"'!H6:H1000")))</f>
        <v>0</v>
      </c>
      <c r="AD6">
        <f>IF(OR($AA6="",AD$5=""),0,SUMIF(INDIRECT("'"&amp;AD$5&amp;"'!C6:C1000"),$AA6,INDIRECT("'"&amp;AD$5&amp;"'!H6:H1000")))</f>
        <v>0</v>
      </c>
      <c r="AE6">
        <f>IF(OR($AA6="",AE$5=""),0,SUMIF(INDIRECT("'"&amp;AE$5&amp;"'!C6:C1000"),$AA6,INDIRECT("'"&amp;AE$5&amp;"'!H6:H1000")))</f>
        <v>0</v>
      </c>
      <c r="AF6">
        <f>IF(OR($AA6="",AF$5=""),0,SUMIF(INDIRECT("'"&amp;AF$5&amp;"'!C6:C1000"),$AA6,INDIRECT("'"&amp;AF$5&amp;"'!H6:H1000")))</f>
        <v>0</v>
      </c>
      <c r="AG6">
        <f>IF(OR($AA6="",AG$5=""),0,SUMIF(INDIRECT("'"&amp;AG$5&amp;"'!C6:C1000"),$AA6,INDIRECT("'"&amp;AG$5&amp;"'!H6:H1000")))</f>
        <v>0</v>
      </c>
      <c r="AH6">
        <f>IF(OR($AA6="",AH$5=""),0,SUMIF(INDIRECT("'"&amp;AH$5&amp;"'!C6:C1000"),$AA6,INDIRECT("'"&amp;AH$5&amp;"'!H6:H1000")))</f>
        <v>177.65</v>
      </c>
      <c r="AI6">
        <f>IF(OR($AA6="",AI$5=""),0,SUMIF(INDIRECT("'"&amp;AI$5&amp;"'!C6:C1000"),$AA6,INDIRECT("'"&amp;AI$5&amp;"'!H6:H1000")))</f>
        <v>0</v>
      </c>
      <c r="AJ6">
        <f>IF(OR($AA6="",AJ$5=""),0,SUMIF(INDIRECT("'"&amp;AJ$5&amp;"'!C6:C1000"),$AA6,INDIRECT("'"&amp;AJ$5&amp;"'!H6:H1000")))</f>
        <v>171.19</v>
      </c>
      <c r="AK6">
        <f>IF(OR($AA6="",AK$5=""),0,SUMIF(INDIRECT("'"&amp;AK$5&amp;"'!C6:C1000"),$AA6,INDIRECT("'"&amp;AK$5&amp;"'!H6:H1000")))</f>
        <v>0</v>
      </c>
      <c r="AL6">
        <f>IF(OR($AA6="",AL$5=""),0,SUMIF(INDIRECT("'"&amp;AL$5&amp;"'!C6:C1000"),$AA6,INDIRECT("'"&amp;AL$5&amp;"'!H6:H1000")))</f>
        <v>0</v>
      </c>
      <c r="AM6">
        <f>IF(OR($AA6="",AM$5=""),0,SUMIF(INDIRECT("'"&amp;AM$5&amp;"'!C6:C1000"),$AA6,INDIRECT("'"&amp;AM$5&amp;"'!H6:H1000")))</f>
        <v>0</v>
      </c>
      <c r="AN6">
        <f>IF(OR($AA6="",AN$5=""),0,SUMIF(INDIRECT("'"&amp;AN$5&amp;"'!C6:C1000"),$AA6,INDIRECT("'"&amp;AN$5&amp;"'!H6:H1000")))</f>
        <v>0</v>
      </c>
      <c r="AO6">
        <f>IF(OR($AA6="",AC$5=""),0,SUMIF(INDIRECT("'"&amp;AC$5&amp;"'!C6:C1000"),$AA6,INDIRECT("'"&amp;AC$5&amp;"'!E6:E1000")))</f>
        <v>0</v>
      </c>
      <c r="AP6">
        <f>IF(OR($AA6="",AD$5=""),0,SUMIF(INDIRECT("'"&amp;AD$5&amp;"'!C6:C1000"),$AA6,INDIRECT("'"&amp;AD$5&amp;"'!E6:E1000")))</f>
        <v>0</v>
      </c>
      <c r="AQ6">
        <f>IF(OR($AA6="",AE$5=""),0,SUMIF(INDIRECT("'"&amp;AE$5&amp;"'!C6:C1000"),$AA6,INDIRECT("'"&amp;AE$5&amp;"'!E6:E1000")))</f>
        <v>0</v>
      </c>
      <c r="AR6">
        <f>IF(OR($AA6="",AF$5=""),0,SUMIF(INDIRECT("'"&amp;AF$5&amp;"'!C6:C1000"),$AA6,INDIRECT("'"&amp;AF$5&amp;"'!E6:E1000")))</f>
        <v>0</v>
      </c>
      <c r="AS6">
        <f>IF(OR($AA6="",AG$5=""),0,SUMIF(INDIRECT("'"&amp;AG$5&amp;"'!C6:C1000"),$AA6,INDIRECT("'"&amp;AG$5&amp;"'!E6:E1000")))</f>
        <v>0</v>
      </c>
      <c r="AT6">
        <f>IF(OR($AA6="",AH$5=""),0,SUMIF(INDIRECT("'"&amp;AH$5&amp;"'!C6:C1000"),$AA6,INDIRECT("'"&amp;AH$5&amp;"'!E6:E1000")))</f>
        <v>55</v>
      </c>
      <c r="AU6">
        <f>IF(OR($AA6="",AI$5=""),0,SUMIF(INDIRECT("'"&amp;AI$5&amp;"'!C6:C1000"),$AA6,INDIRECT("'"&amp;AI$5&amp;"'!E6:E1000")))</f>
        <v>0</v>
      </c>
      <c r="AV6">
        <f>IF(OR($AA6="",AJ$5=""),0,SUMIF(INDIRECT("'"&amp;AJ$5&amp;"'!C6:C1000"),$AA6,INDIRECT("'"&amp;AJ$5&amp;"'!E6:E1000")))</f>
        <v>53</v>
      </c>
      <c r="AW6">
        <f>IF(OR($AA6="",AK$5=""),0,SUMIF(INDIRECT("'"&amp;AK$5&amp;"'!C6:C1000"),$AA6,INDIRECT("'"&amp;AK$5&amp;"'!E6:E1000")))</f>
        <v>0</v>
      </c>
      <c r="AX6">
        <f>IF(OR($AA6="",AL$5=""),0,SUMIF(INDIRECT("'"&amp;AL$5&amp;"'!C6:C1000"),$AA6,INDIRECT("'"&amp;AL$5&amp;"'!E6:E1000")))</f>
        <v>0</v>
      </c>
      <c r="AY6">
        <f>IF(OR($AA6="",AM$5=""),0,SUMIF(INDIRECT("'"&amp;AM$5&amp;"'!C6:C1000"),$AA6,INDIRECT("'"&amp;AM$5&amp;"'!E6:E1000")))</f>
        <v>0</v>
      </c>
      <c r="AZ6">
        <f>IF(OR($AA6="",AN$5=""),0,SUMIF(INDIRECT("'"&amp;AN$5&amp;"'!C6:C1000"),$AA6,INDIRECT("'"&amp;AN$5&amp;"'!E6:E1000")))</f>
        <v>0</v>
      </c>
      <c r="BA6">
        <f>IF(OR($AA6="",AC$5=""),0,SUMIFS(INDIRECT("'"&amp;AC$5&amp;"'!E6:E1000"),INDIRECT("'"&amp;AC$5&amp;"'!C6:C1000"),$AA6,INDIRECT("'"&amp;AC$5&amp;"'!F6:F1000"),"箱")+SUMIFS(INDIRECT("'"&amp;AC$5&amp;"'!E6:E1000"),INDIRECT("'"&amp;AC$5&amp;"'!C6:C1000"),$AA6,INDIRECT("'"&amp;AC$5&amp;"'!F6:F1000"),"件"))</f>
        <v>0</v>
      </c>
      <c r="BB6">
        <f>IF(OR($AA6="",AD$5=""),0,SUMIFS(INDIRECT("'"&amp;AD$5&amp;"'!E6:E1000"),INDIRECT("'"&amp;AD$5&amp;"'!C6:C1000"),$AA6,INDIRECT("'"&amp;AD$5&amp;"'!F6:F1000"),"箱")+SUMIFS(INDIRECT("'"&amp;AD$5&amp;"'!E6:E1000"),INDIRECT("'"&amp;AD$5&amp;"'!C6:C1000"),$AA6,INDIRECT("'"&amp;AD$5&amp;"'!F6:F1000"),"件"))</f>
        <v>0</v>
      </c>
      <c r="BC6">
        <f>IF(OR($AA6="",AE$5=""),0,SUMIFS(INDIRECT("'"&amp;AE$5&amp;"'!E6:E1000"),INDIRECT("'"&amp;AE$5&amp;"'!C6:C1000"),$AA6,INDIRECT("'"&amp;AE$5&amp;"'!F6:F1000"),"箱")+SUMIFS(INDIRECT("'"&amp;AE$5&amp;"'!E6:E1000"),INDIRECT("'"&amp;AE$5&amp;"'!C6:C1000"),$AA6,INDIRECT("'"&amp;AE$5&amp;"'!F6:F1000"),"件"))</f>
        <v>0</v>
      </c>
      <c r="BD6">
        <f>IF(OR($AA6="",AF$5=""),0,SUMIFS(INDIRECT("'"&amp;AF$5&amp;"'!E6:E1000"),INDIRECT("'"&amp;AF$5&amp;"'!C6:C1000"),$AA6,INDIRECT("'"&amp;AF$5&amp;"'!F6:F1000"),"箱")+SUMIFS(INDIRECT("'"&amp;AF$5&amp;"'!E6:E1000"),INDIRECT("'"&amp;AF$5&amp;"'!C6:C1000"),$AA6,INDIRECT("'"&amp;AF$5&amp;"'!F6:F1000"),"件"))</f>
        <v>0</v>
      </c>
      <c r="BE6">
        <f>IF(OR($AA6="",AG$5=""),0,SUMIFS(INDIRECT("'"&amp;AG$5&amp;"'!E6:E1000"),INDIRECT("'"&amp;AG$5&amp;"'!C6:C1000"),$AA6,INDIRECT("'"&amp;AG$5&amp;"'!F6:F1000"),"箱")+SUMIFS(INDIRECT("'"&amp;AG$5&amp;"'!E6:E1000"),INDIRECT("'"&amp;AG$5&amp;"'!C6:C1000"),$AA6,INDIRECT("'"&amp;AG$5&amp;"'!F6:F1000"),"件"))</f>
        <v>0</v>
      </c>
      <c r="BF6">
        <f>IF(OR($AA6="",AH$5=""),0,SUMIFS(INDIRECT("'"&amp;AH$5&amp;"'!E6:E1000"),INDIRECT("'"&amp;AH$5&amp;"'!C6:C1000"),$AA6,INDIRECT("'"&amp;AH$5&amp;"'!F6:F1000"),"箱")+SUMIFS(INDIRECT("'"&amp;AH$5&amp;"'!E6:E1000"),INDIRECT("'"&amp;AH$5&amp;"'!C6:C1000"),$AA6,INDIRECT("'"&amp;AH$5&amp;"'!F6:F1000"),"件"))</f>
        <v>0</v>
      </c>
      <c r="BG6">
        <f>IF(OR($AA6="",AI$5=""),0,SUMIFS(INDIRECT("'"&amp;AI$5&amp;"'!E6:E1000"),INDIRECT("'"&amp;AI$5&amp;"'!C6:C1000"),$AA6,INDIRECT("'"&amp;AI$5&amp;"'!F6:F1000"),"箱")+SUMIFS(INDIRECT("'"&amp;AI$5&amp;"'!E6:E1000"),INDIRECT("'"&amp;AI$5&amp;"'!C6:C1000"),$AA6,INDIRECT("'"&amp;AI$5&amp;"'!F6:F1000"),"件"))</f>
        <v>0</v>
      </c>
      <c r="BH6">
        <f>IF(OR($AA6="",AJ$5=""),0,SUMIFS(INDIRECT("'"&amp;AJ$5&amp;"'!E6:E1000"),INDIRECT("'"&amp;AJ$5&amp;"'!C6:C1000"),$AA6,INDIRECT("'"&amp;AJ$5&amp;"'!F6:F1000"),"箱")+SUMIFS(INDIRECT("'"&amp;AJ$5&amp;"'!E6:E1000"),INDIRECT("'"&amp;AJ$5&amp;"'!C6:C1000"),$AA6,INDIRECT("'"&amp;AJ$5&amp;"'!F6:F1000"),"件"))</f>
        <v>0</v>
      </c>
      <c r="BI6">
        <f>IF(OR($AA6="",AK$5=""),0,SUMIFS(INDIRECT("'"&amp;AK$5&amp;"'!E6:E1000"),INDIRECT("'"&amp;AK$5&amp;"'!C6:C1000"),$AA6,INDIRECT("'"&amp;AK$5&amp;"'!F6:F1000"),"箱")+SUMIFS(INDIRECT("'"&amp;AK$5&amp;"'!E6:E1000"),INDIRECT("'"&amp;AK$5&amp;"'!C6:C1000"),$AA6,INDIRECT("'"&amp;AK$5&amp;"'!F6:F1000"),"件"))</f>
        <v>0</v>
      </c>
      <c r="BJ6">
        <f>IF(OR($AA6="",AL$5=""),0,SUMIFS(INDIRECT("'"&amp;AL$5&amp;"'!E6:E1000"),INDIRECT("'"&amp;AL$5&amp;"'!C6:C1000"),$AA6,INDIRECT("'"&amp;AL$5&amp;"'!F6:F1000"),"箱")+SUMIFS(INDIRECT("'"&amp;AL$5&amp;"'!E6:E1000"),INDIRECT("'"&amp;AL$5&amp;"'!C6:C1000"),$AA6,INDIRECT("'"&amp;AL$5&amp;"'!F6:F1000"),"件"))</f>
        <v>0</v>
      </c>
      <c r="BK6">
        <f>IF(OR($AA6="",AM$5=""),0,SUMIFS(INDIRECT("'"&amp;AM$5&amp;"'!E6:E1000"),INDIRECT("'"&amp;AM$5&amp;"'!C6:C1000"),$AA6,INDIRECT("'"&amp;AM$5&amp;"'!F6:F1000"),"箱")+SUMIFS(INDIRECT("'"&amp;AM$5&amp;"'!E6:E1000"),INDIRECT("'"&amp;AM$5&amp;"'!C6:C1000"),$AA6,INDIRECT("'"&amp;AM$5&amp;"'!F6:F1000"),"件"))</f>
        <v>0</v>
      </c>
      <c r="BL6">
        <f>IF(OR($AA6="",AN$5=""),0,SUMIFS(INDIRECT("'"&amp;AN$5&amp;"'!E6:E1000"),INDIRECT("'"&amp;AN$5&amp;"'!C6:C1000"),$AA6,INDIRECT("'"&amp;AN$5&amp;"'!F6:F1000"),"箱")+SUMIFS(INDIRECT("'"&amp;AN$5&amp;"'!E6:E1000"),INDIRECT("'"&amp;AN$5&amp;"'!C6:C1000"),$AA6,INDIRECT("'"&amp;AN$5&amp;"'!F6:F1000"),"件"))</f>
        <v>0</v>
      </c>
      <c r="BM6">
        <f>(AO6-BA6)/$AB6+BA6</f>
        <v>0</v>
      </c>
      <c r="BN6">
        <f>(AP6-BB6)/$AB6+BB6</f>
        <v>0</v>
      </c>
      <c r="BO6">
        <f>(AQ6-BC6)/$AB6+BC6</f>
        <v>0</v>
      </c>
      <c r="BP6">
        <f>(AR6-BD6)/$AB6+BD6</f>
        <v>0</v>
      </c>
      <c r="BQ6">
        <f>(AS6-BE6)/$AB6+BE6</f>
        <v>0</v>
      </c>
      <c r="BR6">
        <f>(AT6-BF6)/$AB6+BF6</f>
        <v>2.29166666666667</v>
      </c>
      <c r="BS6">
        <f>(AU6-BG6)/$AB6+BG6</f>
        <v>0</v>
      </c>
      <c r="BT6">
        <f>(AV6-BH6)/$AB6+BH6</f>
        <v>2.20833333333333</v>
      </c>
      <c r="BU6">
        <f>(AW6-BI6)/$AB6+BI6</f>
        <v>0</v>
      </c>
      <c r="BV6">
        <f>(AX6-BJ6)/$AB6+BJ6</f>
        <v>0</v>
      </c>
      <c r="BW6">
        <f>(AY6-BK6)/$AB6+BK6</f>
        <v>0</v>
      </c>
      <c r="BX6">
        <f>(AZ6-BL6)/$AB6+BL6</f>
        <v>0</v>
      </c>
      <c r="BY6">
        <f>SUMPRODUCT((($AC$4:$AN$4=报损汇总一览!$A$3)+(报损汇总一览!$A$3="全年"))*AC6:AN6)</f>
        <v>348.84</v>
      </c>
      <c r="BZ6">
        <f>IF(BY6&gt;0,BY6+(1000-ROW())/10000000,"")</f>
        <v>348.8400994</v>
      </c>
      <c r="CA6">
        <f>SUMPRODUCT((($AC$4:$AN$4=报损汇总一览!$A$3)+(报损汇总一览!$A$3="全年"))*AO6:AZ6)</f>
        <v>108</v>
      </c>
    </row>
    <row r="7">
      <c r="A7">
        <f>IF(OR(存条明细!C7="",存条明细!D7=""),"",IF(COUNTIFS(存条明细!$C$4:C7,存条明细!C7,存条明细!$D$4:D7,存条明细!D7)&gt;1,"",IFERROR(MATCH(存条明细!C7,总览汇总!$B$5:$B$304,0),900)*10000000+IFERROR(MATCH(存条明细!D7,基础资料!$E$5:$E$104,0),900)*10000+ROW()))</f>
        <v>10060007</v>
      </c>
      <c r="B7">
        <f>IFERROR(MATCH(SMALL($A$4:$A$4003,4),$A$4:$A$4003,0),"")</f>
        <v>3</v>
      </c>
      <c r="D7">
        <f>IF(AND(商品库存!B7&lt;&gt;"",商品库存!B7=客户查询!$B$4),COUNTIF(商品库存!$B$4:B7,客户查询!$B$4),"")</f>
        <v>4</v>
      </c>
      <c r="E7">
        <f>IF(AND(商品库存!B7&lt;&gt;"",商品库存!B7=客户对账单!$B$4),COUNTIF(商品库存!$B$4:B7,客户对账单!$B$4),"")</f>
        <v>4</v>
      </c>
      <c r="F7">
        <f>IF(AND(出库明细!C7&lt;&gt;"",出库明细!C7=客户对账单!$B$4,ISNUMBER(出库明细!B7),出库明细!B7&gt;=客户对账单!$G$4,出库明细!B7&lt;=客户对账单!$I$4),出库明细!B7+ROW()/100000,"")</f>
      </c>
      <c r="H7">
        <f>IF(AND(采购进货!C7&lt;&gt;"",采购进货!C7=供应商对账单!$B$4,ISNUMBER(采购进货!B7),采购进货!B7&gt;=供应商对账单!$G$4,采购进货!B7&lt;=供应商对账单!$I$4),采购进货!B7+ROW()/100000,"")</f>
      </c>
      <c r="J7">
        <f>IF(总览汇总!$B7="","",N(总览汇总!$K7)+SUMIFS(出库明细!$G$4:$G$3003,出库明细!$C$4:$C$3003,总览汇总!$B7,出库明细!$B$4:$B$3003,"&gt;="&amp;年初日,出库明细!$B$4:$B$3003,"&lt;="&amp;资产负债表!$D$3)-SUMIFS(资金台帐!$S$7:$S$3006,资金台帐!$J$7:$J$3006,总览汇总!$B7,资金台帐!$P$7:$P$3006,"应收",资金台帐!$B$7:$B$3006,"&gt;="&amp;年初日,资金台帐!$B$7:$B$3006,"&lt;="&amp;资产负债表!$D$3))</f>
        <v>-451856.47</v>
      </c>
      <c r="K7">
        <f>IF(基础资料!$Q7="","",N(基础资料!$R7)+SUMIFS(采购进货!$G$4:$G$1503,采购进货!$C$4:$C$1503,基础资料!$Q7,采购进货!$B$4:$B$1503,"&gt;="&amp;年初日,采购进货!$B$4:$B$1503,"&lt;="&amp;资产负债表!$D$3)+SUMIFS(资金台帐!$S$7:$S$3006,资金台帐!$K$7:$K$3006,基础资料!$Q7,资金台帐!$P$7:$P$3006,"应付",资金台帐!$B$7:$B$3006,"&gt;="&amp;年初日,资金台帐!$B$7:$B$3006,"&lt;="&amp;资产负债表!$D$3))</f>
        <v>0</v>
      </c>
      <c r="N7">
        <f>IF(AND(ISNUMBER(出库明细!G7),ISNUMBER(出库明细!E7),ISNUMBER(出库明细!F7)),IF(ABS(出库明细!G7-出库明细!E7*出库明细!F7)&gt;0.005,1,0),0)</f>
        <v>0</v>
      </c>
      <c r="O7">
        <f>IF(AND(ISNUMBER(存条明细!G7),ISNUMBER(存条明细!E7),ISNUMBER(存条明细!F7)),IF(ABS(存条明细!G7-存条明细!E7*存条明细!F7)&gt;0.005,1,0),0)</f>
        <v>0</v>
      </c>
      <c r="AA7" t="str">
        <f>IF(基础资料!G6="","",基础资料!G6&amp;"")</f>
        <v>东鹏250ML特饮</v>
      </c>
      <c r="AB7">
        <f>IF(N(基础资料!I6)&lt;=0,1,基础资料!I6)</f>
        <v>24</v>
      </c>
      <c r="AC7">
        <f>IF(OR($AA7="",AC$5=""),0,SUMIF(INDIRECT("'"&amp;AC$5&amp;"'!C6:C1000"),$AA7,INDIRECT("'"&amp;AC$5&amp;"'!H6:H1000")))</f>
        <v>0</v>
      </c>
      <c r="AD7">
        <f>IF(OR($AA7="",AD$5=""),0,SUMIF(INDIRECT("'"&amp;AD$5&amp;"'!C6:C1000"),$AA7,INDIRECT("'"&amp;AD$5&amp;"'!H6:H1000")))</f>
        <v>0</v>
      </c>
      <c r="AE7">
        <f>IF(OR($AA7="",AE$5=""),0,SUMIF(INDIRECT("'"&amp;AE$5&amp;"'!C6:C1000"),$AA7,INDIRECT("'"&amp;AE$5&amp;"'!H6:H1000")))</f>
        <v>0</v>
      </c>
      <c r="AF7">
        <f>IF(OR($AA7="",AF$5=""),0,SUMIF(INDIRECT("'"&amp;AF$5&amp;"'!C6:C1000"),$AA7,INDIRECT("'"&amp;AF$5&amp;"'!H6:H1000")))</f>
        <v>0</v>
      </c>
      <c r="AG7">
        <f>IF(OR($AA7="",AG$5=""),0,SUMIF(INDIRECT("'"&amp;AG$5&amp;"'!C6:C1000"),$AA7,INDIRECT("'"&amp;AG$5&amp;"'!H6:H1000")))</f>
        <v>0</v>
      </c>
      <c r="AH7">
        <f>IF(OR($AA7="",AH$5=""),0,SUMIF(INDIRECT("'"&amp;AH$5&amp;"'!C6:C1000"),$AA7,INDIRECT("'"&amp;AH$5&amp;"'!H6:H1000")))</f>
        <v>432.92</v>
      </c>
      <c r="AI7">
        <f>IF(OR($AA7="",AI$5=""),0,SUMIF(INDIRECT("'"&amp;AI$5&amp;"'!C6:C1000"),$AA7,INDIRECT("'"&amp;AI$5&amp;"'!H6:H1000")))</f>
        <v>0</v>
      </c>
      <c r="AJ7">
        <f>IF(OR($AA7="",AJ$5=""),0,SUMIF(INDIRECT("'"&amp;AJ$5&amp;"'!C6:C1000"),$AA7,INDIRECT("'"&amp;AJ$5&amp;"'!H6:H1000")))</f>
        <v>624.1</v>
      </c>
      <c r="AK7">
        <f>IF(OR($AA7="",AK$5=""),0,SUMIF(INDIRECT("'"&amp;AK$5&amp;"'!C6:C1000"),$AA7,INDIRECT("'"&amp;AK$5&amp;"'!H6:H1000")))</f>
        <v>0</v>
      </c>
      <c r="AL7">
        <f>IF(OR($AA7="",AL$5=""),0,SUMIF(INDIRECT("'"&amp;AL$5&amp;"'!C6:C1000"),$AA7,INDIRECT("'"&amp;AL$5&amp;"'!H6:H1000")))</f>
        <v>0</v>
      </c>
      <c r="AM7">
        <f>IF(OR($AA7="",AM$5=""),0,SUMIF(INDIRECT("'"&amp;AM$5&amp;"'!C6:C1000"),$AA7,INDIRECT("'"&amp;AM$5&amp;"'!H6:H1000")))</f>
        <v>0</v>
      </c>
      <c r="AN7">
        <f>IF(OR($AA7="",AN$5=""),0,SUMIF(INDIRECT("'"&amp;AN$5&amp;"'!C6:C1000"),$AA7,INDIRECT("'"&amp;AN$5&amp;"'!H6:H1000")))</f>
        <v>0</v>
      </c>
      <c r="AO7">
        <f>IF(OR($AA7="",AC$5=""),0,SUMIF(INDIRECT("'"&amp;AC$5&amp;"'!C6:C1000"),$AA7,INDIRECT("'"&amp;AC$5&amp;"'!E6:E1000")))</f>
        <v>0</v>
      </c>
      <c r="AP7">
        <f>IF(OR($AA7="",AD$5=""),0,SUMIF(INDIRECT("'"&amp;AD$5&amp;"'!C6:C1000"),$AA7,INDIRECT("'"&amp;AD$5&amp;"'!E6:E1000")))</f>
        <v>0</v>
      </c>
      <c r="AQ7">
        <f>IF(OR($AA7="",AE$5=""),0,SUMIF(INDIRECT("'"&amp;AE$5&amp;"'!C6:C1000"),$AA7,INDIRECT("'"&amp;AE$5&amp;"'!E6:E1000")))</f>
        <v>0</v>
      </c>
      <c r="AR7">
        <f>IF(OR($AA7="",AF$5=""),0,SUMIF(INDIRECT("'"&amp;AF$5&amp;"'!C6:C1000"),$AA7,INDIRECT("'"&amp;AF$5&amp;"'!E6:E1000")))</f>
        <v>0</v>
      </c>
      <c r="AS7">
        <f>IF(OR($AA7="",AG$5=""),0,SUMIF(INDIRECT("'"&amp;AG$5&amp;"'!C6:C1000"),$AA7,INDIRECT("'"&amp;AG$5&amp;"'!E6:E1000")))</f>
        <v>0</v>
      </c>
      <c r="AT7">
        <f>IF(OR($AA7="",AH$5=""),0,SUMIF(INDIRECT("'"&amp;AH$5&amp;"'!C6:C1000"),$AA7,INDIRECT("'"&amp;AH$5&amp;"'!E6:E1000")))</f>
        <v>274</v>
      </c>
      <c r="AU7">
        <f>IF(OR($AA7="",AI$5=""),0,SUMIF(INDIRECT("'"&amp;AI$5&amp;"'!C6:C1000"),$AA7,INDIRECT("'"&amp;AI$5&amp;"'!E6:E1000")))</f>
        <v>0</v>
      </c>
      <c r="AV7">
        <f>IF(OR($AA7="",AJ$5=""),0,SUMIF(INDIRECT("'"&amp;AJ$5&amp;"'!C6:C1000"),$AA7,INDIRECT("'"&amp;AJ$5&amp;"'!E6:E1000")))</f>
        <v>395</v>
      </c>
      <c r="AW7">
        <f>IF(OR($AA7="",AK$5=""),0,SUMIF(INDIRECT("'"&amp;AK$5&amp;"'!C6:C1000"),$AA7,INDIRECT("'"&amp;AK$5&amp;"'!E6:E1000")))</f>
        <v>0</v>
      </c>
      <c r="AX7">
        <f>IF(OR($AA7="",AL$5=""),0,SUMIF(INDIRECT("'"&amp;AL$5&amp;"'!C6:C1000"),$AA7,INDIRECT("'"&amp;AL$5&amp;"'!E6:E1000")))</f>
        <v>0</v>
      </c>
      <c r="AY7">
        <f>IF(OR($AA7="",AM$5=""),0,SUMIF(INDIRECT("'"&amp;AM$5&amp;"'!C6:C1000"),$AA7,INDIRECT("'"&amp;AM$5&amp;"'!E6:E1000")))</f>
        <v>0</v>
      </c>
      <c r="AZ7">
        <f>IF(OR($AA7="",AN$5=""),0,SUMIF(INDIRECT("'"&amp;AN$5&amp;"'!C6:C1000"),$AA7,INDIRECT("'"&amp;AN$5&amp;"'!E6:E1000")))</f>
        <v>0</v>
      </c>
      <c r="BA7">
        <f>IF(OR($AA7="",AC$5=""),0,SUMIFS(INDIRECT("'"&amp;AC$5&amp;"'!E6:E1000"),INDIRECT("'"&amp;AC$5&amp;"'!C6:C1000"),$AA7,INDIRECT("'"&amp;AC$5&amp;"'!F6:F1000"),"箱")+SUMIFS(INDIRECT("'"&amp;AC$5&amp;"'!E6:E1000"),INDIRECT("'"&amp;AC$5&amp;"'!C6:C1000"),$AA7,INDIRECT("'"&amp;AC$5&amp;"'!F6:F1000"),"件"))</f>
        <v>0</v>
      </c>
      <c r="BB7">
        <f>IF(OR($AA7="",AD$5=""),0,SUMIFS(INDIRECT("'"&amp;AD$5&amp;"'!E6:E1000"),INDIRECT("'"&amp;AD$5&amp;"'!C6:C1000"),$AA7,INDIRECT("'"&amp;AD$5&amp;"'!F6:F1000"),"箱")+SUMIFS(INDIRECT("'"&amp;AD$5&amp;"'!E6:E1000"),INDIRECT("'"&amp;AD$5&amp;"'!C6:C1000"),$AA7,INDIRECT("'"&amp;AD$5&amp;"'!F6:F1000"),"件"))</f>
        <v>0</v>
      </c>
      <c r="BC7">
        <f>IF(OR($AA7="",AE$5=""),0,SUMIFS(INDIRECT("'"&amp;AE$5&amp;"'!E6:E1000"),INDIRECT("'"&amp;AE$5&amp;"'!C6:C1000"),$AA7,INDIRECT("'"&amp;AE$5&amp;"'!F6:F1000"),"箱")+SUMIFS(INDIRECT("'"&amp;AE$5&amp;"'!E6:E1000"),INDIRECT("'"&amp;AE$5&amp;"'!C6:C1000"),$AA7,INDIRECT("'"&amp;AE$5&amp;"'!F6:F1000"),"件"))</f>
        <v>0</v>
      </c>
      <c r="BD7">
        <f>IF(OR($AA7="",AF$5=""),0,SUMIFS(INDIRECT("'"&amp;AF$5&amp;"'!E6:E1000"),INDIRECT("'"&amp;AF$5&amp;"'!C6:C1000"),$AA7,INDIRECT("'"&amp;AF$5&amp;"'!F6:F1000"),"箱")+SUMIFS(INDIRECT("'"&amp;AF$5&amp;"'!E6:E1000"),INDIRECT("'"&amp;AF$5&amp;"'!C6:C1000"),$AA7,INDIRECT("'"&amp;AF$5&amp;"'!F6:F1000"),"件"))</f>
        <v>0</v>
      </c>
      <c r="BE7">
        <f>IF(OR($AA7="",AG$5=""),0,SUMIFS(INDIRECT("'"&amp;AG$5&amp;"'!E6:E1000"),INDIRECT("'"&amp;AG$5&amp;"'!C6:C1000"),$AA7,INDIRECT("'"&amp;AG$5&amp;"'!F6:F1000"),"箱")+SUMIFS(INDIRECT("'"&amp;AG$5&amp;"'!E6:E1000"),INDIRECT("'"&amp;AG$5&amp;"'!C6:C1000"),$AA7,INDIRECT("'"&amp;AG$5&amp;"'!F6:F1000"),"件"))</f>
        <v>0</v>
      </c>
      <c r="BF7">
        <f>IF(OR($AA7="",AH$5=""),0,SUMIFS(INDIRECT("'"&amp;AH$5&amp;"'!E6:E1000"),INDIRECT("'"&amp;AH$5&amp;"'!C6:C1000"),$AA7,INDIRECT("'"&amp;AH$5&amp;"'!F6:F1000"),"箱")+SUMIFS(INDIRECT("'"&amp;AH$5&amp;"'!E6:E1000"),INDIRECT("'"&amp;AH$5&amp;"'!C6:C1000"),$AA7,INDIRECT("'"&amp;AH$5&amp;"'!F6:F1000"),"件"))</f>
        <v>0</v>
      </c>
      <c r="BG7">
        <f>IF(OR($AA7="",AI$5=""),0,SUMIFS(INDIRECT("'"&amp;AI$5&amp;"'!E6:E1000"),INDIRECT("'"&amp;AI$5&amp;"'!C6:C1000"),$AA7,INDIRECT("'"&amp;AI$5&amp;"'!F6:F1000"),"箱")+SUMIFS(INDIRECT("'"&amp;AI$5&amp;"'!E6:E1000"),INDIRECT("'"&amp;AI$5&amp;"'!C6:C1000"),$AA7,INDIRECT("'"&amp;AI$5&amp;"'!F6:F1000"),"件"))</f>
        <v>0</v>
      </c>
      <c r="BH7">
        <f>IF(OR($AA7="",AJ$5=""),0,SUMIFS(INDIRECT("'"&amp;AJ$5&amp;"'!E6:E1000"),INDIRECT("'"&amp;AJ$5&amp;"'!C6:C1000"),$AA7,INDIRECT("'"&amp;AJ$5&amp;"'!F6:F1000"),"箱")+SUMIFS(INDIRECT("'"&amp;AJ$5&amp;"'!E6:E1000"),INDIRECT("'"&amp;AJ$5&amp;"'!C6:C1000"),$AA7,INDIRECT("'"&amp;AJ$5&amp;"'!F6:F1000"),"件"))</f>
        <v>0</v>
      </c>
      <c r="BI7">
        <f>IF(OR($AA7="",AK$5=""),0,SUMIFS(INDIRECT("'"&amp;AK$5&amp;"'!E6:E1000"),INDIRECT("'"&amp;AK$5&amp;"'!C6:C1000"),$AA7,INDIRECT("'"&amp;AK$5&amp;"'!F6:F1000"),"箱")+SUMIFS(INDIRECT("'"&amp;AK$5&amp;"'!E6:E1000"),INDIRECT("'"&amp;AK$5&amp;"'!C6:C1000"),$AA7,INDIRECT("'"&amp;AK$5&amp;"'!F6:F1000"),"件"))</f>
        <v>0</v>
      </c>
      <c r="BJ7">
        <f>IF(OR($AA7="",AL$5=""),0,SUMIFS(INDIRECT("'"&amp;AL$5&amp;"'!E6:E1000"),INDIRECT("'"&amp;AL$5&amp;"'!C6:C1000"),$AA7,INDIRECT("'"&amp;AL$5&amp;"'!F6:F1000"),"箱")+SUMIFS(INDIRECT("'"&amp;AL$5&amp;"'!E6:E1000"),INDIRECT("'"&amp;AL$5&amp;"'!C6:C1000"),$AA7,INDIRECT("'"&amp;AL$5&amp;"'!F6:F1000"),"件"))</f>
        <v>0</v>
      </c>
      <c r="BK7">
        <f>IF(OR($AA7="",AM$5=""),0,SUMIFS(INDIRECT("'"&amp;AM$5&amp;"'!E6:E1000"),INDIRECT("'"&amp;AM$5&amp;"'!C6:C1000"),$AA7,INDIRECT("'"&amp;AM$5&amp;"'!F6:F1000"),"箱")+SUMIFS(INDIRECT("'"&amp;AM$5&amp;"'!E6:E1000"),INDIRECT("'"&amp;AM$5&amp;"'!C6:C1000"),$AA7,INDIRECT("'"&amp;AM$5&amp;"'!F6:F1000"),"件"))</f>
        <v>0</v>
      </c>
      <c r="BL7">
        <f>IF(OR($AA7="",AN$5=""),0,SUMIFS(INDIRECT("'"&amp;AN$5&amp;"'!E6:E1000"),INDIRECT("'"&amp;AN$5&amp;"'!C6:C1000"),$AA7,INDIRECT("'"&amp;AN$5&amp;"'!F6:F1000"),"箱")+SUMIFS(INDIRECT("'"&amp;AN$5&amp;"'!E6:E1000"),INDIRECT("'"&amp;AN$5&amp;"'!C6:C1000"),$AA7,INDIRECT("'"&amp;AN$5&amp;"'!F6:F1000"),"件"))</f>
        <v>0</v>
      </c>
      <c r="BM7">
        <f>(AO7-BA7)/$AB7+BA7</f>
        <v>0</v>
      </c>
      <c r="BN7">
        <f>(AP7-BB7)/$AB7+BB7</f>
        <v>0</v>
      </c>
      <c r="BO7">
        <f>(AQ7-BC7)/$AB7+BC7</f>
        <v>0</v>
      </c>
      <c r="BP7">
        <f>(AR7-BD7)/$AB7+BD7</f>
        <v>0</v>
      </c>
      <c r="BQ7">
        <f>(AS7-BE7)/$AB7+BE7</f>
        <v>0</v>
      </c>
      <c r="BR7">
        <f>(AT7-BF7)/$AB7+BF7</f>
        <v>11.4166666666667</v>
      </c>
      <c r="BS7">
        <f>(AU7-BG7)/$AB7+BG7</f>
        <v>0</v>
      </c>
      <c r="BT7">
        <f>(AV7-BH7)/$AB7+BH7</f>
        <v>16.4583333333333</v>
      </c>
      <c r="BU7">
        <f>(AW7-BI7)/$AB7+BI7</f>
        <v>0</v>
      </c>
      <c r="BV7">
        <f>(AX7-BJ7)/$AB7+BJ7</f>
        <v>0</v>
      </c>
      <c r="BW7">
        <f>(AY7-BK7)/$AB7+BK7</f>
        <v>0</v>
      </c>
      <c r="BX7">
        <f>(AZ7-BL7)/$AB7+BL7</f>
        <v>0</v>
      </c>
      <c r="BY7">
        <f>SUMPRODUCT((($AC$4:$AN$4=报损汇总一览!$A$3)+(报损汇总一览!$A$3="全年"))*AC7:AN7)</f>
        <v>1057.02</v>
      </c>
      <c r="BZ7">
        <f>IF(BY7&gt;0,BY7+(1000-ROW())/10000000,"")</f>
        <v>1057.0200993</v>
      </c>
      <c r="CA7">
        <f>SUMPRODUCT((($AC$4:$AN$4=报损汇总一览!$A$3)+(报损汇总一览!$A$3="全年"))*AO7:AZ7)</f>
        <v>669</v>
      </c>
    </row>
    <row r="8">
      <c r="A8">
        <f>IF(OR(存条明细!C8="",存条明细!D8=""),"",IF(COUNTIFS(存条明细!$C$4:C8,存条明细!C8,存条明细!$D$4:D8,存条明细!D8)&gt;1,"",IFERROR(MATCH(存条明细!C8,总览汇总!$B$5:$B$304,0),900)*10000000+IFERROR(MATCH(存条明细!D8,基础资料!$E$5:$E$104,0),900)*10000+ROW()))</f>
        <v>10070008</v>
      </c>
      <c r="B8">
        <f>IFERROR(MATCH(SMALL($A$4:$A$4003,5),$A$4:$A$4003,0),"")</f>
        <v>126</v>
      </c>
      <c r="D8">
        <f>IF(AND(商品库存!B8&lt;&gt;"",商品库存!B8=客户查询!$B$4),COUNTIF(商品库存!$B$4:B8,客户查询!$B$4),"")</f>
        <v>5</v>
      </c>
      <c r="E8">
        <f>IF(AND(商品库存!B8&lt;&gt;"",商品库存!B8=客户对账单!$B$4),COUNTIF(商品库存!$B$4:B8,客户对账单!$B$4),"")</f>
        <v>5</v>
      </c>
      <c r="F8">
        <f>IF(AND(出库明细!C8&lt;&gt;"",出库明细!C8=客户对账单!$B$4,ISNUMBER(出库明细!B8),出库明细!B8&gt;=客户对账单!$G$4,出库明细!B8&lt;=客户对账单!$I$4),出库明细!B8+ROW()/100000,"")</f>
      </c>
      <c r="H8">
        <f>IF(AND(采购进货!C8&lt;&gt;"",采购进货!C8=供应商对账单!$B$4,ISNUMBER(采购进货!B8),采购进货!B8&gt;=供应商对账单!$G$4,采购进货!B8&lt;=供应商对账单!$I$4),采购进货!B8+ROW()/100000,"")</f>
      </c>
      <c r="J8">
        <f>IF(总览汇总!$B8="","",N(总览汇总!$K8)+SUMIFS(出库明细!$G$4:$G$3003,出库明细!$C$4:$C$3003,总览汇总!$B8,出库明细!$B$4:$B$3003,"&gt;="&amp;年初日,出库明细!$B$4:$B$3003,"&lt;="&amp;资产负债表!$D$3)-SUMIFS(资金台帐!$S$7:$S$3006,资金台帐!$J$7:$J$3006,总览汇总!$B8,资金台帐!$P$7:$P$3006,"应收",资金台帐!$B$7:$B$3006,"&gt;="&amp;年初日,资金台帐!$B$7:$B$3006,"&lt;="&amp;资产负债表!$D$3))</f>
        <v>-465075.22</v>
      </c>
      <c r="K8">
        <f>IF(基础资料!$Q8="","",N(基础资料!$R8)+SUMIFS(采购进货!$G$4:$G$1503,采购进货!$C$4:$C$1503,基础资料!$Q8,采购进货!$B$4:$B$1503,"&gt;="&amp;年初日,采购进货!$B$4:$B$1503,"&lt;="&amp;资产负债表!$D$3)+SUMIFS(资金台帐!$S$7:$S$3006,资金台帐!$K$7:$K$3006,基础资料!$Q8,资金台帐!$P$7:$P$3006,"应付",资金台帐!$B$7:$B$3006,"&gt;="&amp;年初日,资金台帐!$B$7:$B$3006,"&lt;="&amp;资产负债表!$D$3))</f>
        <v>0</v>
      </c>
      <c r="N8">
        <f>IF(AND(ISNUMBER(出库明细!G8),ISNUMBER(出库明细!E8),ISNUMBER(出库明细!F8)),IF(ABS(出库明细!G8-出库明细!E8*出库明细!F8)&gt;0.005,1,0),0)</f>
        <v>0</v>
      </c>
      <c r="O8">
        <f>IF(AND(ISNUMBER(存条明细!G8),ISNUMBER(存条明细!E8),ISNUMBER(存条明细!F8)),IF(ABS(存条明细!G8-存条明细!E8*存条明细!F8)&gt;0.005,1,0),0)</f>
        <v>0</v>
      </c>
      <c r="AA8" t="str">
        <f>IF(基础资料!G7="","",基础资料!G7&amp;"")</f>
        <v>东鹏555补水</v>
      </c>
      <c r="AB8">
        <f>IF(N(基础资料!I7)&lt;=0,1,基础资料!I7)</f>
        <v>24</v>
      </c>
      <c r="AC8">
        <f>IF(OR($AA8="",AC$5=""),0,SUMIF(INDIRECT("'"&amp;AC$5&amp;"'!C6:C1000"),$AA8,INDIRECT("'"&amp;AC$5&amp;"'!H6:H1000")))</f>
        <v>0</v>
      </c>
      <c r="AD8">
        <f>IF(OR($AA8="",AD$5=""),0,SUMIF(INDIRECT("'"&amp;AD$5&amp;"'!C6:C1000"),$AA8,INDIRECT("'"&amp;AD$5&amp;"'!H6:H1000")))</f>
        <v>0</v>
      </c>
      <c r="AE8">
        <f>IF(OR($AA8="",AE$5=""),0,SUMIF(INDIRECT("'"&amp;AE$5&amp;"'!C6:C1000"),$AA8,INDIRECT("'"&amp;AE$5&amp;"'!H6:H1000")))</f>
        <v>0</v>
      </c>
      <c r="AF8">
        <f>IF(OR($AA8="",AF$5=""),0,SUMIF(INDIRECT("'"&amp;AF$5&amp;"'!C6:C1000"),$AA8,INDIRECT("'"&amp;AF$5&amp;"'!H6:H1000")))</f>
        <v>0</v>
      </c>
      <c r="AG8">
        <f>IF(OR($AA8="",AG$5=""),0,SUMIF(INDIRECT("'"&amp;AG$5&amp;"'!C6:C1000"),$AA8,INDIRECT("'"&amp;AG$5&amp;"'!H6:H1000")))</f>
        <v>0</v>
      </c>
      <c r="AH8">
        <f>IF(OR($AA8="",AH$5=""),0,SUMIF(INDIRECT("'"&amp;AH$5&amp;"'!C6:C1000"),$AA8,INDIRECT("'"&amp;AH$5&amp;"'!H6:H1000")))</f>
        <v>54.816</v>
      </c>
      <c r="AI8">
        <f>IF(OR($AA8="",AI$5=""),0,SUMIF(INDIRECT("'"&amp;AI$5&amp;"'!C6:C1000"),$AA8,INDIRECT("'"&amp;AI$5&amp;"'!H6:H1000")))</f>
        <v>0</v>
      </c>
      <c r="AJ8">
        <f>IF(OR($AA8="",AJ$5=""),0,SUMIF(INDIRECT("'"&amp;AJ$5&amp;"'!C6:C1000"),$AA8,INDIRECT("'"&amp;AJ$5&amp;"'!H6:H1000")))</f>
        <v>20.556</v>
      </c>
      <c r="AK8">
        <f>IF(OR($AA8="",AK$5=""),0,SUMIF(INDIRECT("'"&amp;AK$5&amp;"'!C6:C1000"),$AA8,INDIRECT("'"&amp;AK$5&amp;"'!H6:H1000")))</f>
        <v>0</v>
      </c>
      <c r="AL8">
        <f>IF(OR($AA8="",AL$5=""),0,SUMIF(INDIRECT("'"&amp;AL$5&amp;"'!C6:C1000"),$AA8,INDIRECT("'"&amp;AL$5&amp;"'!H6:H1000")))</f>
        <v>0</v>
      </c>
      <c r="AM8">
        <f>IF(OR($AA8="",AM$5=""),0,SUMIF(INDIRECT("'"&amp;AM$5&amp;"'!C6:C1000"),$AA8,INDIRECT("'"&amp;AM$5&amp;"'!H6:H1000")))</f>
        <v>0</v>
      </c>
      <c r="AN8">
        <f>IF(OR($AA8="",AN$5=""),0,SUMIF(INDIRECT("'"&amp;AN$5&amp;"'!C6:C1000"),$AA8,INDIRECT("'"&amp;AN$5&amp;"'!H6:H1000")))</f>
        <v>0</v>
      </c>
      <c r="AO8">
        <f>IF(OR($AA8="",AC$5=""),0,SUMIF(INDIRECT("'"&amp;AC$5&amp;"'!C6:C1000"),$AA8,INDIRECT("'"&amp;AC$5&amp;"'!E6:E1000")))</f>
        <v>0</v>
      </c>
      <c r="AP8">
        <f>IF(OR($AA8="",AD$5=""),0,SUMIF(INDIRECT("'"&amp;AD$5&amp;"'!C6:C1000"),$AA8,INDIRECT("'"&amp;AD$5&amp;"'!E6:E1000")))</f>
        <v>0</v>
      </c>
      <c r="AQ8">
        <f>IF(OR($AA8="",AE$5=""),0,SUMIF(INDIRECT("'"&amp;AE$5&amp;"'!C6:C1000"),$AA8,INDIRECT("'"&amp;AE$5&amp;"'!E6:E1000")))</f>
        <v>0</v>
      </c>
      <c r="AR8">
        <f>IF(OR($AA8="",AF$5=""),0,SUMIF(INDIRECT("'"&amp;AF$5&amp;"'!C6:C1000"),$AA8,INDIRECT("'"&amp;AF$5&amp;"'!E6:E1000")))</f>
        <v>0</v>
      </c>
      <c r="AS8">
        <f>IF(OR($AA8="",AG$5=""),0,SUMIF(INDIRECT("'"&amp;AG$5&amp;"'!C6:C1000"),$AA8,INDIRECT("'"&amp;AG$5&amp;"'!E6:E1000")))</f>
        <v>0</v>
      </c>
      <c r="AT8">
        <f>IF(OR($AA8="",AH$5=""),0,SUMIF(INDIRECT("'"&amp;AH$5&amp;"'!C6:C1000"),$AA8,INDIRECT("'"&amp;AH$5&amp;"'!E6:E1000")))</f>
        <v>24</v>
      </c>
      <c r="AU8">
        <f>IF(OR($AA8="",AI$5=""),0,SUMIF(INDIRECT("'"&amp;AI$5&amp;"'!C6:C1000"),$AA8,INDIRECT("'"&amp;AI$5&amp;"'!E6:E1000")))</f>
        <v>0</v>
      </c>
      <c r="AV8">
        <f>IF(OR($AA8="",AJ$5=""),0,SUMIF(INDIRECT("'"&amp;AJ$5&amp;"'!C6:C1000"),$AA8,INDIRECT("'"&amp;AJ$5&amp;"'!E6:E1000")))</f>
        <v>9</v>
      </c>
      <c r="AW8">
        <f>IF(OR($AA8="",AK$5=""),0,SUMIF(INDIRECT("'"&amp;AK$5&amp;"'!C6:C1000"),$AA8,INDIRECT("'"&amp;AK$5&amp;"'!E6:E1000")))</f>
        <v>0</v>
      </c>
      <c r="AX8">
        <f>IF(OR($AA8="",AL$5=""),0,SUMIF(INDIRECT("'"&amp;AL$5&amp;"'!C6:C1000"),$AA8,INDIRECT("'"&amp;AL$5&amp;"'!E6:E1000")))</f>
        <v>0</v>
      </c>
      <c r="AY8">
        <f>IF(OR($AA8="",AM$5=""),0,SUMIF(INDIRECT("'"&amp;AM$5&amp;"'!C6:C1000"),$AA8,INDIRECT("'"&amp;AM$5&amp;"'!E6:E1000")))</f>
        <v>0</v>
      </c>
      <c r="AZ8">
        <f>IF(OR($AA8="",AN$5=""),0,SUMIF(INDIRECT("'"&amp;AN$5&amp;"'!C6:C1000"),$AA8,INDIRECT("'"&amp;AN$5&amp;"'!E6:E1000")))</f>
        <v>0</v>
      </c>
      <c r="BA8">
        <f>IF(OR($AA8="",AC$5=""),0,SUMIFS(INDIRECT("'"&amp;AC$5&amp;"'!E6:E1000"),INDIRECT("'"&amp;AC$5&amp;"'!C6:C1000"),$AA8,INDIRECT("'"&amp;AC$5&amp;"'!F6:F1000"),"箱")+SUMIFS(INDIRECT("'"&amp;AC$5&amp;"'!E6:E1000"),INDIRECT("'"&amp;AC$5&amp;"'!C6:C1000"),$AA8,INDIRECT("'"&amp;AC$5&amp;"'!F6:F1000"),"件"))</f>
        <v>0</v>
      </c>
      <c r="BB8">
        <f>IF(OR($AA8="",AD$5=""),0,SUMIFS(INDIRECT("'"&amp;AD$5&amp;"'!E6:E1000"),INDIRECT("'"&amp;AD$5&amp;"'!C6:C1000"),$AA8,INDIRECT("'"&amp;AD$5&amp;"'!F6:F1000"),"箱")+SUMIFS(INDIRECT("'"&amp;AD$5&amp;"'!E6:E1000"),INDIRECT("'"&amp;AD$5&amp;"'!C6:C1000"),$AA8,INDIRECT("'"&amp;AD$5&amp;"'!F6:F1000"),"件"))</f>
        <v>0</v>
      </c>
      <c r="BC8">
        <f>IF(OR($AA8="",AE$5=""),0,SUMIFS(INDIRECT("'"&amp;AE$5&amp;"'!E6:E1000"),INDIRECT("'"&amp;AE$5&amp;"'!C6:C1000"),$AA8,INDIRECT("'"&amp;AE$5&amp;"'!F6:F1000"),"箱")+SUMIFS(INDIRECT("'"&amp;AE$5&amp;"'!E6:E1000"),INDIRECT("'"&amp;AE$5&amp;"'!C6:C1000"),$AA8,INDIRECT("'"&amp;AE$5&amp;"'!F6:F1000"),"件"))</f>
        <v>0</v>
      </c>
      <c r="BD8">
        <f>IF(OR($AA8="",AF$5=""),0,SUMIFS(INDIRECT("'"&amp;AF$5&amp;"'!E6:E1000"),INDIRECT("'"&amp;AF$5&amp;"'!C6:C1000"),$AA8,INDIRECT("'"&amp;AF$5&amp;"'!F6:F1000"),"箱")+SUMIFS(INDIRECT("'"&amp;AF$5&amp;"'!E6:E1000"),INDIRECT("'"&amp;AF$5&amp;"'!C6:C1000"),$AA8,INDIRECT("'"&amp;AF$5&amp;"'!F6:F1000"),"件"))</f>
        <v>0</v>
      </c>
      <c r="BE8">
        <f>IF(OR($AA8="",AG$5=""),0,SUMIFS(INDIRECT("'"&amp;AG$5&amp;"'!E6:E1000"),INDIRECT("'"&amp;AG$5&amp;"'!C6:C1000"),$AA8,INDIRECT("'"&amp;AG$5&amp;"'!F6:F1000"),"箱")+SUMIFS(INDIRECT("'"&amp;AG$5&amp;"'!E6:E1000"),INDIRECT("'"&amp;AG$5&amp;"'!C6:C1000"),$AA8,INDIRECT("'"&amp;AG$5&amp;"'!F6:F1000"),"件"))</f>
        <v>0</v>
      </c>
      <c r="BF8">
        <f>IF(OR($AA8="",AH$5=""),0,SUMIFS(INDIRECT("'"&amp;AH$5&amp;"'!E6:E1000"),INDIRECT("'"&amp;AH$5&amp;"'!C6:C1000"),$AA8,INDIRECT("'"&amp;AH$5&amp;"'!F6:F1000"),"箱")+SUMIFS(INDIRECT("'"&amp;AH$5&amp;"'!E6:E1000"),INDIRECT("'"&amp;AH$5&amp;"'!C6:C1000"),$AA8,INDIRECT("'"&amp;AH$5&amp;"'!F6:F1000"),"件"))</f>
        <v>0</v>
      </c>
      <c r="BG8">
        <f>IF(OR($AA8="",AI$5=""),0,SUMIFS(INDIRECT("'"&amp;AI$5&amp;"'!E6:E1000"),INDIRECT("'"&amp;AI$5&amp;"'!C6:C1000"),$AA8,INDIRECT("'"&amp;AI$5&amp;"'!F6:F1000"),"箱")+SUMIFS(INDIRECT("'"&amp;AI$5&amp;"'!E6:E1000"),INDIRECT("'"&amp;AI$5&amp;"'!C6:C1000"),$AA8,INDIRECT("'"&amp;AI$5&amp;"'!F6:F1000"),"件"))</f>
        <v>0</v>
      </c>
      <c r="BH8">
        <f>IF(OR($AA8="",AJ$5=""),0,SUMIFS(INDIRECT("'"&amp;AJ$5&amp;"'!E6:E1000"),INDIRECT("'"&amp;AJ$5&amp;"'!C6:C1000"),$AA8,INDIRECT("'"&amp;AJ$5&amp;"'!F6:F1000"),"箱")+SUMIFS(INDIRECT("'"&amp;AJ$5&amp;"'!E6:E1000"),INDIRECT("'"&amp;AJ$5&amp;"'!C6:C1000"),$AA8,INDIRECT("'"&amp;AJ$5&amp;"'!F6:F1000"),"件"))</f>
        <v>0</v>
      </c>
      <c r="BI8">
        <f>IF(OR($AA8="",AK$5=""),0,SUMIFS(INDIRECT("'"&amp;AK$5&amp;"'!E6:E1000"),INDIRECT("'"&amp;AK$5&amp;"'!C6:C1000"),$AA8,INDIRECT("'"&amp;AK$5&amp;"'!F6:F1000"),"箱")+SUMIFS(INDIRECT("'"&amp;AK$5&amp;"'!E6:E1000"),INDIRECT("'"&amp;AK$5&amp;"'!C6:C1000"),$AA8,INDIRECT("'"&amp;AK$5&amp;"'!F6:F1000"),"件"))</f>
        <v>0</v>
      </c>
      <c r="BJ8">
        <f>IF(OR($AA8="",AL$5=""),0,SUMIFS(INDIRECT("'"&amp;AL$5&amp;"'!E6:E1000"),INDIRECT("'"&amp;AL$5&amp;"'!C6:C1000"),$AA8,INDIRECT("'"&amp;AL$5&amp;"'!F6:F1000"),"箱")+SUMIFS(INDIRECT("'"&amp;AL$5&amp;"'!E6:E1000"),INDIRECT("'"&amp;AL$5&amp;"'!C6:C1000"),$AA8,INDIRECT("'"&amp;AL$5&amp;"'!F6:F1000"),"件"))</f>
        <v>0</v>
      </c>
      <c r="BK8">
        <f>IF(OR($AA8="",AM$5=""),0,SUMIFS(INDIRECT("'"&amp;AM$5&amp;"'!E6:E1000"),INDIRECT("'"&amp;AM$5&amp;"'!C6:C1000"),$AA8,INDIRECT("'"&amp;AM$5&amp;"'!F6:F1000"),"箱")+SUMIFS(INDIRECT("'"&amp;AM$5&amp;"'!E6:E1000"),INDIRECT("'"&amp;AM$5&amp;"'!C6:C1000"),$AA8,INDIRECT("'"&amp;AM$5&amp;"'!F6:F1000"),"件"))</f>
        <v>0</v>
      </c>
      <c r="BL8">
        <f>IF(OR($AA8="",AN$5=""),0,SUMIFS(INDIRECT("'"&amp;AN$5&amp;"'!E6:E1000"),INDIRECT("'"&amp;AN$5&amp;"'!C6:C1000"),$AA8,INDIRECT("'"&amp;AN$5&amp;"'!F6:F1000"),"箱")+SUMIFS(INDIRECT("'"&amp;AN$5&amp;"'!E6:E1000"),INDIRECT("'"&amp;AN$5&amp;"'!C6:C1000"),$AA8,INDIRECT("'"&amp;AN$5&amp;"'!F6:F1000"),"件"))</f>
        <v>0</v>
      </c>
      <c r="BM8">
        <f>(AO8-BA8)/$AB8+BA8</f>
        <v>0</v>
      </c>
      <c r="BN8">
        <f>(AP8-BB8)/$AB8+BB8</f>
        <v>0</v>
      </c>
      <c r="BO8">
        <f>(AQ8-BC8)/$AB8+BC8</f>
        <v>0</v>
      </c>
      <c r="BP8">
        <f>(AR8-BD8)/$AB8+BD8</f>
        <v>0</v>
      </c>
      <c r="BQ8">
        <f>(AS8-BE8)/$AB8+BE8</f>
        <v>0</v>
      </c>
      <c r="BR8">
        <f>(AT8-BF8)/$AB8+BF8</f>
        <v>1</v>
      </c>
      <c r="BS8">
        <f>(AU8-BG8)/$AB8+BG8</f>
        <v>0</v>
      </c>
      <c r="BT8">
        <f>(AV8-BH8)/$AB8+BH8</f>
        <v>0.375</v>
      </c>
      <c r="BU8">
        <f>(AW8-BI8)/$AB8+BI8</f>
        <v>0</v>
      </c>
      <c r="BV8">
        <f>(AX8-BJ8)/$AB8+BJ8</f>
        <v>0</v>
      </c>
      <c r="BW8">
        <f>(AY8-BK8)/$AB8+BK8</f>
        <v>0</v>
      </c>
      <c r="BX8">
        <f>(AZ8-BL8)/$AB8+BL8</f>
        <v>0</v>
      </c>
      <c r="BY8">
        <f>SUMPRODUCT((($AC$4:$AN$4=报损汇总一览!$A$3)+(报损汇总一览!$A$3="全年"))*AC8:AN8)</f>
        <v>75.372</v>
      </c>
      <c r="BZ8">
        <f>IF(BY8&gt;0,BY8+(1000-ROW())/10000000,"")</f>
        <v>75.3720992</v>
      </c>
      <c r="CA8">
        <f>SUMPRODUCT((($AC$4:$AN$4=报损汇总一览!$A$3)+(报损汇总一览!$A$3="全年"))*AO8:AZ8)</f>
        <v>33</v>
      </c>
    </row>
    <row r="9">
      <c r="A9">
        <f>IF(OR(存条明细!C9="",存条明细!D9=""),"",IF(COUNTIFS(存条明细!$C$4:C9,存条明细!C9,存条明细!$D$4:D9,存条明细!D9)&gt;1,"",IFERROR(MATCH(存条明细!C9,总览汇总!$B$5:$B$304,0),900)*10000000+IFERROR(MATCH(存条明细!D9,基础资料!$E$5:$E$104,0),900)*10000+ROW()))</f>
        <v>20010009</v>
      </c>
      <c r="B9">
        <f>IFERROR(MATCH(SMALL($A$4:$A$4003,6),$A$4:$A$4003,0),"")</f>
        <v>4</v>
      </c>
      <c r="D9">
        <f>IF(AND(商品库存!B9&lt;&gt;"",商品库存!B9=客户查询!$B$4),COUNTIF(商品库存!$B$4:B9,客户查询!$B$4),"")</f>
        <v>6</v>
      </c>
      <c r="E9">
        <f>IF(AND(商品库存!B9&lt;&gt;"",商品库存!B9=客户对账单!$B$4),COUNTIF(商品库存!$B$4:B9,客户对账单!$B$4),"")</f>
        <v>6</v>
      </c>
      <c r="F9">
        <f>IF(AND(出库明细!C9&lt;&gt;"",出库明细!C9=客户对账单!$B$4,ISNUMBER(出库明细!B9),出库明细!B9&gt;=客户对账单!$G$4,出库明细!B9&lt;=客户对账单!$I$4),出库明细!B9+ROW()/100000,"")</f>
      </c>
      <c r="H9">
        <f>IF(AND(采购进货!C9&lt;&gt;"",采购进货!C9=供应商对账单!$B$4,ISNUMBER(采购进货!B9),采购进货!B9&gt;=供应商对账单!$G$4,采购进货!B9&lt;=供应商对账单!$I$4),采购进货!B9+ROW()/100000,"")</f>
      </c>
      <c r="J9">
        <f>IF(总览汇总!$B9="","",N(总览汇总!$K9)+SUMIFS(出库明细!$G$4:$G$3003,出库明细!$C$4:$C$3003,总览汇总!$B9,出库明细!$B$4:$B$3003,"&gt;="&amp;年初日,出库明细!$B$4:$B$3003,"&lt;="&amp;资产负债表!$D$3)-SUMIFS(资金台帐!$S$7:$S$3006,资金台帐!$J$7:$J$3006,总览汇总!$B9,资金台帐!$P$7:$P$3006,"应收",资金台帐!$B$7:$B$3006,"&gt;="&amp;年初日,资金台帐!$B$7:$B$3006,"&lt;="&amp;资产负债表!$D$3))</f>
        <v>-9870.8</v>
      </c>
      <c r="K9">
        <f>IF(基础资料!$Q9="","",N(基础资料!$R9)+SUMIFS(采购进货!$G$4:$G$1503,采购进货!$C$4:$C$1503,基础资料!$Q9,采购进货!$B$4:$B$1503,"&gt;="&amp;年初日,采购进货!$B$4:$B$1503,"&lt;="&amp;资产负债表!$D$3)+SUMIFS(资金台帐!$S$7:$S$3006,资金台帐!$K$7:$K$3006,基础资料!$Q9,资金台帐!$P$7:$P$3006,"应付",资金台帐!$B$7:$B$3006,"&gt;="&amp;年初日,资金台帐!$B$7:$B$3006,"&lt;="&amp;资产负债表!$D$3))</f>
      </c>
      <c r="N9">
        <f>IF(AND(ISNUMBER(出库明细!G9),ISNUMBER(出库明细!E9),ISNUMBER(出库明细!F9)),IF(ABS(出库明细!G9-出库明细!E9*出库明细!F9)&gt;0.005,1,0),0)</f>
        <v>0</v>
      </c>
      <c r="O9">
        <f>IF(AND(ISNUMBER(存条明细!G9),ISNUMBER(存条明细!E9),ISNUMBER(存条明细!F9)),IF(ABS(存条明细!G9-存条明细!E9*存条明细!F9)&gt;0.005,1,0),0)</f>
        <v>0</v>
      </c>
      <c r="AA9" t="str">
        <f>IF(基础资料!G8="","",基础资料!G8&amp;"")</f>
        <v>东鹏1L补水</v>
      </c>
      <c r="AB9">
        <f>IF(N(基础资料!I8)&lt;=0,1,基础资料!I8)</f>
        <v>12</v>
      </c>
      <c r="AC9">
        <f>IF(OR($AA9="",AC$5=""),0,SUMIF(INDIRECT("'"&amp;AC$5&amp;"'!C6:C1000"),$AA9,INDIRECT("'"&amp;AC$5&amp;"'!H6:H1000")))</f>
        <v>0</v>
      </c>
      <c r="AD9">
        <f>IF(OR($AA9="",AD$5=""),0,SUMIF(INDIRECT("'"&amp;AD$5&amp;"'!C6:C1000"),$AA9,INDIRECT("'"&amp;AD$5&amp;"'!H6:H1000")))</f>
        <v>0</v>
      </c>
      <c r="AE9">
        <f>IF(OR($AA9="",AE$5=""),0,SUMIF(INDIRECT("'"&amp;AE$5&amp;"'!C6:C1000"),$AA9,INDIRECT("'"&amp;AE$5&amp;"'!H6:H1000")))</f>
        <v>0</v>
      </c>
      <c r="AF9">
        <f>IF(OR($AA9="",AF$5=""),0,SUMIF(INDIRECT("'"&amp;AF$5&amp;"'!C6:C1000"),$AA9,INDIRECT("'"&amp;AF$5&amp;"'!H6:H1000")))</f>
        <v>0</v>
      </c>
      <c r="AG9">
        <f>IF(OR($AA9="",AG$5=""),0,SUMIF(INDIRECT("'"&amp;AG$5&amp;"'!C6:C1000"),$AA9,INDIRECT("'"&amp;AG$5&amp;"'!H6:H1000")))</f>
        <v>0</v>
      </c>
      <c r="AH9">
        <f>IF(OR($AA9="",AH$5=""),0,SUMIF(INDIRECT("'"&amp;AH$5&amp;"'!C6:C1000"),$AA9,INDIRECT("'"&amp;AH$5&amp;"'!H6:H1000")))</f>
        <v>0</v>
      </c>
      <c r="AI9">
        <f>IF(OR($AA9="",AI$5=""),0,SUMIF(INDIRECT("'"&amp;AI$5&amp;"'!C6:C1000"),$AA9,INDIRECT("'"&amp;AI$5&amp;"'!H6:H1000")))</f>
        <v>0</v>
      </c>
      <c r="AJ9">
        <f>IF(OR($AA9="",AJ$5=""),0,SUMIF(INDIRECT("'"&amp;AJ$5&amp;"'!C6:C1000"),$AA9,INDIRECT("'"&amp;AJ$5&amp;"'!H6:H1000")))</f>
        <v>14.4232</v>
      </c>
      <c r="AK9">
        <f>IF(OR($AA9="",AK$5=""),0,SUMIF(INDIRECT("'"&amp;AK$5&amp;"'!C6:C1000"),$AA9,INDIRECT("'"&amp;AK$5&amp;"'!H6:H1000")))</f>
        <v>0</v>
      </c>
      <c r="AL9">
        <f>IF(OR($AA9="",AL$5=""),0,SUMIF(INDIRECT("'"&amp;AL$5&amp;"'!C6:C1000"),$AA9,INDIRECT("'"&amp;AL$5&amp;"'!H6:H1000")))</f>
        <v>0</v>
      </c>
      <c r="AM9">
        <f>IF(OR($AA9="",AM$5=""),0,SUMIF(INDIRECT("'"&amp;AM$5&amp;"'!C6:C1000"),$AA9,INDIRECT("'"&amp;AM$5&amp;"'!H6:H1000")))</f>
        <v>0</v>
      </c>
      <c r="AN9">
        <f>IF(OR($AA9="",AN$5=""),0,SUMIF(INDIRECT("'"&amp;AN$5&amp;"'!C6:C1000"),$AA9,INDIRECT("'"&amp;AN$5&amp;"'!H6:H1000")))</f>
        <v>0</v>
      </c>
      <c r="AO9">
        <f>IF(OR($AA9="",AC$5=""),0,SUMIF(INDIRECT("'"&amp;AC$5&amp;"'!C6:C1000"),$AA9,INDIRECT("'"&amp;AC$5&amp;"'!E6:E1000")))</f>
        <v>0</v>
      </c>
      <c r="AP9">
        <f>IF(OR($AA9="",AD$5=""),0,SUMIF(INDIRECT("'"&amp;AD$5&amp;"'!C6:C1000"),$AA9,INDIRECT("'"&amp;AD$5&amp;"'!E6:E1000")))</f>
        <v>0</v>
      </c>
      <c r="AQ9">
        <f>IF(OR($AA9="",AE$5=""),0,SUMIF(INDIRECT("'"&amp;AE$5&amp;"'!C6:C1000"),$AA9,INDIRECT("'"&amp;AE$5&amp;"'!E6:E1000")))</f>
        <v>0</v>
      </c>
      <c r="AR9">
        <f>IF(OR($AA9="",AF$5=""),0,SUMIF(INDIRECT("'"&amp;AF$5&amp;"'!C6:C1000"),$AA9,INDIRECT("'"&amp;AF$5&amp;"'!E6:E1000")))</f>
        <v>0</v>
      </c>
      <c r="AS9">
        <f>IF(OR($AA9="",AG$5=""),0,SUMIF(INDIRECT("'"&amp;AG$5&amp;"'!C6:C1000"),$AA9,INDIRECT("'"&amp;AG$5&amp;"'!E6:E1000")))</f>
        <v>0</v>
      </c>
      <c r="AT9">
        <f>IF(OR($AA9="",AH$5=""),0,SUMIF(INDIRECT("'"&amp;AH$5&amp;"'!C6:C1000"),$AA9,INDIRECT("'"&amp;AH$5&amp;"'!E6:E1000")))</f>
        <v>0</v>
      </c>
      <c r="AU9">
        <f>IF(OR($AA9="",AI$5=""),0,SUMIF(INDIRECT("'"&amp;AI$5&amp;"'!C6:C1000"),$AA9,INDIRECT("'"&amp;AI$5&amp;"'!E6:E1000")))</f>
        <v>0</v>
      </c>
      <c r="AV9">
        <f>IF(OR($AA9="",AJ$5=""),0,SUMIF(INDIRECT("'"&amp;AJ$5&amp;"'!C6:C1000"),$AA9,INDIRECT("'"&amp;AJ$5&amp;"'!E6:E1000")))</f>
        <v>4</v>
      </c>
      <c r="AW9">
        <f>IF(OR($AA9="",AK$5=""),0,SUMIF(INDIRECT("'"&amp;AK$5&amp;"'!C6:C1000"),$AA9,INDIRECT("'"&amp;AK$5&amp;"'!E6:E1000")))</f>
        <v>0</v>
      </c>
      <c r="AX9">
        <f>IF(OR($AA9="",AL$5=""),0,SUMIF(INDIRECT("'"&amp;AL$5&amp;"'!C6:C1000"),$AA9,INDIRECT("'"&amp;AL$5&amp;"'!E6:E1000")))</f>
        <v>0</v>
      </c>
      <c r="AY9">
        <f>IF(OR($AA9="",AM$5=""),0,SUMIF(INDIRECT("'"&amp;AM$5&amp;"'!C6:C1000"),$AA9,INDIRECT("'"&amp;AM$5&amp;"'!E6:E1000")))</f>
        <v>0</v>
      </c>
      <c r="AZ9">
        <f>IF(OR($AA9="",AN$5=""),0,SUMIF(INDIRECT("'"&amp;AN$5&amp;"'!C6:C1000"),$AA9,INDIRECT("'"&amp;AN$5&amp;"'!E6:E1000")))</f>
        <v>0</v>
      </c>
      <c r="BA9">
        <f>IF(OR($AA9="",AC$5=""),0,SUMIFS(INDIRECT("'"&amp;AC$5&amp;"'!E6:E1000"),INDIRECT("'"&amp;AC$5&amp;"'!C6:C1000"),$AA9,INDIRECT("'"&amp;AC$5&amp;"'!F6:F1000"),"箱")+SUMIFS(INDIRECT("'"&amp;AC$5&amp;"'!E6:E1000"),INDIRECT("'"&amp;AC$5&amp;"'!C6:C1000"),$AA9,INDIRECT("'"&amp;AC$5&amp;"'!F6:F1000"),"件"))</f>
        <v>0</v>
      </c>
      <c r="BB9">
        <f>IF(OR($AA9="",AD$5=""),0,SUMIFS(INDIRECT("'"&amp;AD$5&amp;"'!E6:E1000"),INDIRECT("'"&amp;AD$5&amp;"'!C6:C1000"),$AA9,INDIRECT("'"&amp;AD$5&amp;"'!F6:F1000"),"箱")+SUMIFS(INDIRECT("'"&amp;AD$5&amp;"'!E6:E1000"),INDIRECT("'"&amp;AD$5&amp;"'!C6:C1000"),$AA9,INDIRECT("'"&amp;AD$5&amp;"'!F6:F1000"),"件"))</f>
        <v>0</v>
      </c>
      <c r="BC9">
        <f>IF(OR($AA9="",AE$5=""),0,SUMIFS(INDIRECT("'"&amp;AE$5&amp;"'!E6:E1000"),INDIRECT("'"&amp;AE$5&amp;"'!C6:C1000"),$AA9,INDIRECT("'"&amp;AE$5&amp;"'!F6:F1000"),"箱")+SUMIFS(INDIRECT("'"&amp;AE$5&amp;"'!E6:E1000"),INDIRECT("'"&amp;AE$5&amp;"'!C6:C1000"),$AA9,INDIRECT("'"&amp;AE$5&amp;"'!F6:F1000"),"件"))</f>
        <v>0</v>
      </c>
      <c r="BD9">
        <f>IF(OR($AA9="",AF$5=""),0,SUMIFS(INDIRECT("'"&amp;AF$5&amp;"'!E6:E1000"),INDIRECT("'"&amp;AF$5&amp;"'!C6:C1000"),$AA9,INDIRECT("'"&amp;AF$5&amp;"'!F6:F1000"),"箱")+SUMIFS(INDIRECT("'"&amp;AF$5&amp;"'!E6:E1000"),INDIRECT("'"&amp;AF$5&amp;"'!C6:C1000"),$AA9,INDIRECT("'"&amp;AF$5&amp;"'!F6:F1000"),"件"))</f>
        <v>0</v>
      </c>
      <c r="BE9">
        <f>IF(OR($AA9="",AG$5=""),0,SUMIFS(INDIRECT("'"&amp;AG$5&amp;"'!E6:E1000"),INDIRECT("'"&amp;AG$5&amp;"'!C6:C1000"),$AA9,INDIRECT("'"&amp;AG$5&amp;"'!F6:F1000"),"箱")+SUMIFS(INDIRECT("'"&amp;AG$5&amp;"'!E6:E1000"),INDIRECT("'"&amp;AG$5&amp;"'!C6:C1000"),$AA9,INDIRECT("'"&amp;AG$5&amp;"'!F6:F1000"),"件"))</f>
        <v>0</v>
      </c>
      <c r="BF9">
        <f>IF(OR($AA9="",AH$5=""),0,SUMIFS(INDIRECT("'"&amp;AH$5&amp;"'!E6:E1000"),INDIRECT("'"&amp;AH$5&amp;"'!C6:C1000"),$AA9,INDIRECT("'"&amp;AH$5&amp;"'!F6:F1000"),"箱")+SUMIFS(INDIRECT("'"&amp;AH$5&amp;"'!E6:E1000"),INDIRECT("'"&amp;AH$5&amp;"'!C6:C1000"),$AA9,INDIRECT("'"&amp;AH$5&amp;"'!F6:F1000"),"件"))</f>
        <v>0</v>
      </c>
      <c r="BG9">
        <f>IF(OR($AA9="",AI$5=""),0,SUMIFS(INDIRECT("'"&amp;AI$5&amp;"'!E6:E1000"),INDIRECT("'"&amp;AI$5&amp;"'!C6:C1000"),$AA9,INDIRECT("'"&amp;AI$5&amp;"'!F6:F1000"),"箱")+SUMIFS(INDIRECT("'"&amp;AI$5&amp;"'!E6:E1000"),INDIRECT("'"&amp;AI$5&amp;"'!C6:C1000"),$AA9,INDIRECT("'"&amp;AI$5&amp;"'!F6:F1000"),"件"))</f>
        <v>0</v>
      </c>
      <c r="BH9">
        <f>IF(OR($AA9="",AJ$5=""),0,SUMIFS(INDIRECT("'"&amp;AJ$5&amp;"'!E6:E1000"),INDIRECT("'"&amp;AJ$5&amp;"'!C6:C1000"),$AA9,INDIRECT("'"&amp;AJ$5&amp;"'!F6:F1000"),"箱")+SUMIFS(INDIRECT("'"&amp;AJ$5&amp;"'!E6:E1000"),INDIRECT("'"&amp;AJ$5&amp;"'!C6:C1000"),$AA9,INDIRECT("'"&amp;AJ$5&amp;"'!F6:F1000"),"件"))</f>
        <v>0</v>
      </c>
      <c r="BI9">
        <f>IF(OR($AA9="",AK$5=""),0,SUMIFS(INDIRECT("'"&amp;AK$5&amp;"'!E6:E1000"),INDIRECT("'"&amp;AK$5&amp;"'!C6:C1000"),$AA9,INDIRECT("'"&amp;AK$5&amp;"'!F6:F1000"),"箱")+SUMIFS(INDIRECT("'"&amp;AK$5&amp;"'!E6:E1000"),INDIRECT("'"&amp;AK$5&amp;"'!C6:C1000"),$AA9,INDIRECT("'"&amp;AK$5&amp;"'!F6:F1000"),"件"))</f>
        <v>0</v>
      </c>
      <c r="BJ9">
        <f>IF(OR($AA9="",AL$5=""),0,SUMIFS(INDIRECT("'"&amp;AL$5&amp;"'!E6:E1000"),INDIRECT("'"&amp;AL$5&amp;"'!C6:C1000"),$AA9,INDIRECT("'"&amp;AL$5&amp;"'!F6:F1000"),"箱")+SUMIFS(INDIRECT("'"&amp;AL$5&amp;"'!E6:E1000"),INDIRECT("'"&amp;AL$5&amp;"'!C6:C1000"),$AA9,INDIRECT("'"&amp;AL$5&amp;"'!F6:F1000"),"件"))</f>
        <v>0</v>
      </c>
      <c r="BK9">
        <f>IF(OR($AA9="",AM$5=""),0,SUMIFS(INDIRECT("'"&amp;AM$5&amp;"'!E6:E1000"),INDIRECT("'"&amp;AM$5&amp;"'!C6:C1000"),$AA9,INDIRECT("'"&amp;AM$5&amp;"'!F6:F1000"),"箱")+SUMIFS(INDIRECT("'"&amp;AM$5&amp;"'!E6:E1000"),INDIRECT("'"&amp;AM$5&amp;"'!C6:C1000"),$AA9,INDIRECT("'"&amp;AM$5&amp;"'!F6:F1000"),"件"))</f>
        <v>0</v>
      </c>
      <c r="BL9">
        <f>IF(OR($AA9="",AN$5=""),0,SUMIFS(INDIRECT("'"&amp;AN$5&amp;"'!E6:E1000"),INDIRECT("'"&amp;AN$5&amp;"'!C6:C1000"),$AA9,INDIRECT("'"&amp;AN$5&amp;"'!F6:F1000"),"箱")+SUMIFS(INDIRECT("'"&amp;AN$5&amp;"'!E6:E1000"),INDIRECT("'"&amp;AN$5&amp;"'!C6:C1000"),$AA9,INDIRECT("'"&amp;AN$5&amp;"'!F6:F1000"),"件"))</f>
        <v>0</v>
      </c>
      <c r="BM9">
        <f>(AO9-BA9)/$AB9+BA9</f>
        <v>0</v>
      </c>
      <c r="BN9">
        <f>(AP9-BB9)/$AB9+BB9</f>
        <v>0</v>
      </c>
      <c r="BO9">
        <f>(AQ9-BC9)/$AB9+BC9</f>
        <v>0</v>
      </c>
      <c r="BP9">
        <f>(AR9-BD9)/$AB9+BD9</f>
        <v>0</v>
      </c>
      <c r="BQ9">
        <f>(AS9-BE9)/$AB9+BE9</f>
        <v>0</v>
      </c>
      <c r="BR9">
        <f>(AT9-BF9)/$AB9+BF9</f>
        <v>0</v>
      </c>
      <c r="BS9">
        <f>(AU9-BG9)/$AB9+BG9</f>
        <v>0</v>
      </c>
      <c r="BT9">
        <f>(AV9-BH9)/$AB9+BH9</f>
        <v>0.333333333333333</v>
      </c>
      <c r="BU9">
        <f>(AW9-BI9)/$AB9+BI9</f>
        <v>0</v>
      </c>
      <c r="BV9">
        <f>(AX9-BJ9)/$AB9+BJ9</f>
        <v>0</v>
      </c>
      <c r="BW9">
        <f>(AY9-BK9)/$AB9+BK9</f>
        <v>0</v>
      </c>
      <c r="BX9">
        <f>(AZ9-BL9)/$AB9+BL9</f>
        <v>0</v>
      </c>
      <c r="BY9">
        <f>SUMPRODUCT((($AC$4:$AN$4=报损汇总一览!$A$3)+(报损汇总一览!$A$3="全年"))*AC9:AN9)</f>
        <v>14.4232</v>
      </c>
      <c r="BZ9">
        <f>IF(BY9&gt;0,BY9+(1000-ROW())/10000000,"")</f>
        <v>14.4232991</v>
      </c>
      <c r="CA9">
        <f>SUMPRODUCT((($AC$4:$AN$4=报损汇总一览!$A$3)+(报损汇总一览!$A$3="全年"))*AO9:AZ9)</f>
        <v>4</v>
      </c>
    </row>
    <row r="10">
      <c r="A10">
        <f>IF(OR(存条明细!C10="",存条明细!D10=""),"",IF(COUNTIFS(存条明细!$C$4:C10,存条明细!C10,存条明细!$D$4:D10,存条明细!D10)&gt;1,"",IFERROR(MATCH(存条明细!C10,总览汇总!$B$5:$B$304,0),900)*10000000+IFERROR(MATCH(存条明细!D10,基础资料!$E$5:$E$104,0),900)*10000+ROW()))</f>
        <v>30010010</v>
      </c>
      <c r="B10">
        <f>IFERROR(MATCH(SMALL($A$4:$A$4003,7),$A$4:$A$4003,0),"")</f>
        <v>5</v>
      </c>
      <c r="D10">
        <f>IF(AND(商品库存!B10&lt;&gt;"",商品库存!B10=客户查询!$B$4),COUNTIF(商品库存!$B$4:B10,客户查询!$B$4),"")</f>
        <v>7</v>
      </c>
      <c r="E10">
        <f>IF(AND(商品库存!B10&lt;&gt;"",商品库存!B10=客户对账单!$B$4),COUNTIF(商品库存!$B$4:B10,客户对账单!$B$4),"")</f>
        <v>7</v>
      </c>
      <c r="F10">
        <f>IF(AND(出库明细!C10&lt;&gt;"",出库明细!C10=客户对账单!$B$4,ISNUMBER(出库明细!B10),出库明细!B10&gt;=客户对账单!$G$4,出库明细!B10&lt;=客户对账单!$I$4),出库明细!B10+ROW()/100000,"")</f>
      </c>
      <c r="H10">
        <f>IF(AND(采购进货!C10&lt;&gt;"",采购进货!C10=供应商对账单!$B$4,ISNUMBER(采购进货!B10),采购进货!B10&gt;=供应商对账单!$G$4,采购进货!B10&lt;=供应商对账单!$I$4),采购进货!B10+ROW()/100000,"")</f>
      </c>
      <c r="J10">
        <f>IF(总览汇总!$B10="","",N(总览汇总!$K10)+SUMIFS(出库明细!$G$4:$G$3003,出库明细!$C$4:$C$3003,总览汇总!$B10,出库明细!$B$4:$B$3003,"&gt;="&amp;年初日,出库明细!$B$4:$B$3003,"&lt;="&amp;资产负债表!$D$3)-SUMIFS(资金台帐!$S$7:$S$3006,资金台帐!$J$7:$J$3006,总览汇总!$B10,资金台帐!$P$7:$P$3006,"应收",资金台帐!$B$7:$B$3006,"&gt;="&amp;年初日,资金台帐!$B$7:$B$3006,"&lt;="&amp;资产负债表!$D$3))</f>
        <v>-273865</v>
      </c>
      <c r="K10">
        <f>IF(基础资料!$Q10="","",N(基础资料!$R10)+SUMIFS(采购进货!$G$4:$G$1503,采购进货!$C$4:$C$1503,基础资料!$Q10,采购进货!$B$4:$B$1503,"&gt;="&amp;年初日,采购进货!$B$4:$B$1503,"&lt;="&amp;资产负债表!$D$3)+SUMIFS(资金台帐!$S$7:$S$3006,资金台帐!$K$7:$K$3006,基础资料!$Q10,资金台帐!$P$7:$P$3006,"应付",资金台帐!$B$7:$B$3006,"&gt;="&amp;年初日,资金台帐!$B$7:$B$3006,"&lt;="&amp;资产负债表!$D$3))</f>
      </c>
      <c r="N10">
        <f>IF(AND(ISNUMBER(出库明细!G10),ISNUMBER(出库明细!E10),ISNUMBER(出库明细!F10)),IF(ABS(出库明细!G10-出库明细!E10*出库明细!F10)&gt;0.005,1,0),0)</f>
        <v>0</v>
      </c>
      <c r="O10">
        <f>IF(AND(ISNUMBER(存条明细!G10),ISNUMBER(存条明细!E10),ISNUMBER(存条明细!F10)),IF(ABS(存条明细!G10-存条明细!E10*存条明细!F10)&gt;0.005,1,0),0)</f>
        <v>0</v>
      </c>
      <c r="AA10" t="str">
        <f>IF(基础资料!G9="","",基础资料!G9&amp;"")</f>
        <v>东鹏小果茶</v>
      </c>
      <c r="AB10">
        <f>IF(N(基础资料!I9)&lt;=0,1,基础资料!I9)</f>
        <v>24</v>
      </c>
      <c r="AC10">
        <f>IF(OR($AA10="",AC$5=""),0,SUMIF(INDIRECT("'"&amp;AC$5&amp;"'!C6:C1000"),$AA10,INDIRECT("'"&amp;AC$5&amp;"'!H6:H1000")))</f>
        <v>0</v>
      </c>
      <c r="AD10">
        <f>IF(OR($AA10="",AD$5=""),0,SUMIF(INDIRECT("'"&amp;AD$5&amp;"'!C6:C1000"),$AA10,INDIRECT("'"&amp;AD$5&amp;"'!H6:H1000")))</f>
        <v>0</v>
      </c>
      <c r="AE10">
        <f>IF(OR($AA10="",AE$5=""),0,SUMIF(INDIRECT("'"&amp;AE$5&amp;"'!C6:C1000"),$AA10,INDIRECT("'"&amp;AE$5&amp;"'!H6:H1000")))</f>
        <v>0</v>
      </c>
      <c r="AF10">
        <f>IF(OR($AA10="",AF$5=""),0,SUMIF(INDIRECT("'"&amp;AF$5&amp;"'!C6:C1000"),$AA10,INDIRECT("'"&amp;AF$5&amp;"'!H6:H1000")))</f>
        <v>0</v>
      </c>
      <c r="AG10">
        <f>IF(OR($AA10="",AG$5=""),0,SUMIF(INDIRECT("'"&amp;AG$5&amp;"'!C6:C1000"),$AA10,INDIRECT("'"&amp;AG$5&amp;"'!H6:H1000")))</f>
        <v>0</v>
      </c>
      <c r="AH10">
        <f>IF(OR($AA10="",AH$5=""),0,SUMIF(INDIRECT("'"&amp;AH$5&amp;"'!C6:C1000"),$AA10,INDIRECT("'"&amp;AH$5&amp;"'!H6:H1000")))</f>
        <v>0</v>
      </c>
      <c r="AI10">
        <f>IF(OR($AA10="",AI$5=""),0,SUMIF(INDIRECT("'"&amp;AI$5&amp;"'!C6:C1000"),$AA10,INDIRECT("'"&amp;AI$5&amp;"'!H6:H1000")))</f>
        <v>0</v>
      </c>
      <c r="AJ10">
        <f>IF(OR($AA10="",AJ$5=""),0,SUMIF(INDIRECT("'"&amp;AJ$5&amp;"'!C6:C1000"),$AA10,INDIRECT("'"&amp;AJ$5&amp;"'!H6:H1000")))</f>
        <v>0</v>
      </c>
      <c r="AK10">
        <f>IF(OR($AA10="",AK$5=""),0,SUMIF(INDIRECT("'"&amp;AK$5&amp;"'!C6:C1000"),$AA10,INDIRECT("'"&amp;AK$5&amp;"'!H6:H1000")))</f>
        <v>0</v>
      </c>
      <c r="AL10">
        <f>IF(OR($AA10="",AL$5=""),0,SUMIF(INDIRECT("'"&amp;AL$5&amp;"'!C6:C1000"),$AA10,INDIRECT("'"&amp;AL$5&amp;"'!H6:H1000")))</f>
        <v>0</v>
      </c>
      <c r="AM10">
        <f>IF(OR($AA10="",AM$5=""),0,SUMIF(INDIRECT("'"&amp;AM$5&amp;"'!C6:C1000"),$AA10,INDIRECT("'"&amp;AM$5&amp;"'!H6:H1000")))</f>
        <v>0</v>
      </c>
      <c r="AN10">
        <f>IF(OR($AA10="",AN$5=""),0,SUMIF(INDIRECT("'"&amp;AN$5&amp;"'!C6:C1000"),$AA10,INDIRECT("'"&amp;AN$5&amp;"'!H6:H1000")))</f>
        <v>0</v>
      </c>
      <c r="AO10">
        <f>IF(OR($AA10="",AC$5=""),0,SUMIF(INDIRECT("'"&amp;AC$5&amp;"'!C6:C1000"),$AA10,INDIRECT("'"&amp;AC$5&amp;"'!E6:E1000")))</f>
        <v>0</v>
      </c>
      <c r="AP10">
        <f>IF(OR($AA10="",AD$5=""),0,SUMIF(INDIRECT("'"&amp;AD$5&amp;"'!C6:C1000"),$AA10,INDIRECT("'"&amp;AD$5&amp;"'!E6:E1000")))</f>
        <v>0</v>
      </c>
      <c r="AQ10">
        <f>IF(OR($AA10="",AE$5=""),0,SUMIF(INDIRECT("'"&amp;AE$5&amp;"'!C6:C1000"),$AA10,INDIRECT("'"&amp;AE$5&amp;"'!E6:E1000")))</f>
        <v>0</v>
      </c>
      <c r="AR10">
        <f>IF(OR($AA10="",AF$5=""),0,SUMIF(INDIRECT("'"&amp;AF$5&amp;"'!C6:C1000"),$AA10,INDIRECT("'"&amp;AF$5&amp;"'!E6:E1000")))</f>
        <v>0</v>
      </c>
      <c r="AS10">
        <f>IF(OR($AA10="",AG$5=""),0,SUMIF(INDIRECT("'"&amp;AG$5&amp;"'!C6:C1000"),$AA10,INDIRECT("'"&amp;AG$5&amp;"'!E6:E1000")))</f>
        <v>0</v>
      </c>
      <c r="AT10">
        <f>IF(OR($AA10="",AH$5=""),0,SUMIF(INDIRECT("'"&amp;AH$5&amp;"'!C6:C1000"),$AA10,INDIRECT("'"&amp;AH$5&amp;"'!E6:E1000")))</f>
        <v>0</v>
      </c>
      <c r="AU10">
        <f>IF(OR($AA10="",AI$5=""),0,SUMIF(INDIRECT("'"&amp;AI$5&amp;"'!C6:C1000"),$AA10,INDIRECT("'"&amp;AI$5&amp;"'!E6:E1000")))</f>
        <v>0</v>
      </c>
      <c r="AV10">
        <f>IF(OR($AA10="",AJ$5=""),0,SUMIF(INDIRECT("'"&amp;AJ$5&amp;"'!C6:C1000"),$AA10,INDIRECT("'"&amp;AJ$5&amp;"'!E6:E1000")))</f>
        <v>0</v>
      </c>
      <c r="AW10">
        <f>IF(OR($AA10="",AK$5=""),0,SUMIF(INDIRECT("'"&amp;AK$5&amp;"'!C6:C1000"),$AA10,INDIRECT("'"&amp;AK$5&amp;"'!E6:E1000")))</f>
        <v>0</v>
      </c>
      <c r="AX10">
        <f>IF(OR($AA10="",AL$5=""),0,SUMIF(INDIRECT("'"&amp;AL$5&amp;"'!C6:C1000"),$AA10,INDIRECT("'"&amp;AL$5&amp;"'!E6:E1000")))</f>
        <v>0</v>
      </c>
      <c r="AY10">
        <f>IF(OR($AA10="",AM$5=""),0,SUMIF(INDIRECT("'"&amp;AM$5&amp;"'!C6:C1000"),$AA10,INDIRECT("'"&amp;AM$5&amp;"'!E6:E1000")))</f>
        <v>0</v>
      </c>
      <c r="AZ10">
        <f>IF(OR($AA10="",AN$5=""),0,SUMIF(INDIRECT("'"&amp;AN$5&amp;"'!C6:C1000"),$AA10,INDIRECT("'"&amp;AN$5&amp;"'!E6:E1000")))</f>
        <v>0</v>
      </c>
      <c r="BA10">
        <f>IF(OR($AA10="",AC$5=""),0,SUMIFS(INDIRECT("'"&amp;AC$5&amp;"'!E6:E1000"),INDIRECT("'"&amp;AC$5&amp;"'!C6:C1000"),$AA10,INDIRECT("'"&amp;AC$5&amp;"'!F6:F1000"),"箱")+SUMIFS(INDIRECT("'"&amp;AC$5&amp;"'!E6:E1000"),INDIRECT("'"&amp;AC$5&amp;"'!C6:C1000"),$AA10,INDIRECT("'"&amp;AC$5&amp;"'!F6:F1000"),"件"))</f>
        <v>0</v>
      </c>
      <c r="BB10">
        <f>IF(OR($AA10="",AD$5=""),0,SUMIFS(INDIRECT("'"&amp;AD$5&amp;"'!E6:E1000"),INDIRECT("'"&amp;AD$5&amp;"'!C6:C1000"),$AA10,INDIRECT("'"&amp;AD$5&amp;"'!F6:F1000"),"箱")+SUMIFS(INDIRECT("'"&amp;AD$5&amp;"'!E6:E1000"),INDIRECT("'"&amp;AD$5&amp;"'!C6:C1000"),$AA10,INDIRECT("'"&amp;AD$5&amp;"'!F6:F1000"),"件"))</f>
        <v>0</v>
      </c>
      <c r="BC10">
        <f>IF(OR($AA10="",AE$5=""),0,SUMIFS(INDIRECT("'"&amp;AE$5&amp;"'!E6:E1000"),INDIRECT("'"&amp;AE$5&amp;"'!C6:C1000"),$AA10,INDIRECT("'"&amp;AE$5&amp;"'!F6:F1000"),"箱")+SUMIFS(INDIRECT("'"&amp;AE$5&amp;"'!E6:E1000"),INDIRECT("'"&amp;AE$5&amp;"'!C6:C1000"),$AA10,INDIRECT("'"&amp;AE$5&amp;"'!F6:F1000"),"件"))</f>
        <v>0</v>
      </c>
      <c r="BD10">
        <f>IF(OR($AA10="",AF$5=""),0,SUMIFS(INDIRECT("'"&amp;AF$5&amp;"'!E6:E1000"),INDIRECT("'"&amp;AF$5&amp;"'!C6:C1000"),$AA10,INDIRECT("'"&amp;AF$5&amp;"'!F6:F1000"),"箱")+SUMIFS(INDIRECT("'"&amp;AF$5&amp;"'!E6:E1000"),INDIRECT("'"&amp;AF$5&amp;"'!C6:C1000"),$AA10,INDIRECT("'"&amp;AF$5&amp;"'!F6:F1000"),"件"))</f>
        <v>0</v>
      </c>
      <c r="BE10">
        <f>IF(OR($AA10="",AG$5=""),0,SUMIFS(INDIRECT("'"&amp;AG$5&amp;"'!E6:E1000"),INDIRECT("'"&amp;AG$5&amp;"'!C6:C1000"),$AA10,INDIRECT("'"&amp;AG$5&amp;"'!F6:F1000"),"箱")+SUMIFS(INDIRECT("'"&amp;AG$5&amp;"'!E6:E1000"),INDIRECT("'"&amp;AG$5&amp;"'!C6:C1000"),$AA10,INDIRECT("'"&amp;AG$5&amp;"'!F6:F1000"),"件"))</f>
        <v>0</v>
      </c>
      <c r="BF10">
        <f>IF(OR($AA10="",AH$5=""),0,SUMIFS(INDIRECT("'"&amp;AH$5&amp;"'!E6:E1000"),INDIRECT("'"&amp;AH$5&amp;"'!C6:C1000"),$AA10,INDIRECT("'"&amp;AH$5&amp;"'!F6:F1000"),"箱")+SUMIFS(INDIRECT("'"&amp;AH$5&amp;"'!E6:E1000"),INDIRECT("'"&amp;AH$5&amp;"'!C6:C1000"),$AA10,INDIRECT("'"&amp;AH$5&amp;"'!F6:F1000"),"件"))</f>
        <v>0</v>
      </c>
      <c r="BG10">
        <f>IF(OR($AA10="",AI$5=""),0,SUMIFS(INDIRECT("'"&amp;AI$5&amp;"'!E6:E1000"),INDIRECT("'"&amp;AI$5&amp;"'!C6:C1000"),$AA10,INDIRECT("'"&amp;AI$5&amp;"'!F6:F1000"),"箱")+SUMIFS(INDIRECT("'"&amp;AI$5&amp;"'!E6:E1000"),INDIRECT("'"&amp;AI$5&amp;"'!C6:C1000"),$AA10,INDIRECT("'"&amp;AI$5&amp;"'!F6:F1000"),"件"))</f>
        <v>0</v>
      </c>
      <c r="BH10">
        <f>IF(OR($AA10="",AJ$5=""),0,SUMIFS(INDIRECT("'"&amp;AJ$5&amp;"'!E6:E1000"),INDIRECT("'"&amp;AJ$5&amp;"'!C6:C1000"),$AA10,INDIRECT("'"&amp;AJ$5&amp;"'!F6:F1000"),"箱")+SUMIFS(INDIRECT("'"&amp;AJ$5&amp;"'!E6:E1000"),INDIRECT("'"&amp;AJ$5&amp;"'!C6:C1000"),$AA10,INDIRECT("'"&amp;AJ$5&amp;"'!F6:F1000"),"件"))</f>
        <v>0</v>
      </c>
      <c r="BI10">
        <f>IF(OR($AA10="",AK$5=""),0,SUMIFS(INDIRECT("'"&amp;AK$5&amp;"'!E6:E1000"),INDIRECT("'"&amp;AK$5&amp;"'!C6:C1000"),$AA10,INDIRECT("'"&amp;AK$5&amp;"'!F6:F1000"),"箱")+SUMIFS(INDIRECT("'"&amp;AK$5&amp;"'!E6:E1000"),INDIRECT("'"&amp;AK$5&amp;"'!C6:C1000"),$AA10,INDIRECT("'"&amp;AK$5&amp;"'!F6:F1000"),"件"))</f>
        <v>0</v>
      </c>
      <c r="BJ10">
        <f>IF(OR($AA10="",AL$5=""),0,SUMIFS(INDIRECT("'"&amp;AL$5&amp;"'!E6:E1000"),INDIRECT("'"&amp;AL$5&amp;"'!C6:C1000"),$AA10,INDIRECT("'"&amp;AL$5&amp;"'!F6:F1000"),"箱")+SUMIFS(INDIRECT("'"&amp;AL$5&amp;"'!E6:E1000"),INDIRECT("'"&amp;AL$5&amp;"'!C6:C1000"),$AA10,INDIRECT("'"&amp;AL$5&amp;"'!F6:F1000"),"件"))</f>
        <v>0</v>
      </c>
      <c r="BK10">
        <f>IF(OR($AA10="",AM$5=""),0,SUMIFS(INDIRECT("'"&amp;AM$5&amp;"'!E6:E1000"),INDIRECT("'"&amp;AM$5&amp;"'!C6:C1000"),$AA10,INDIRECT("'"&amp;AM$5&amp;"'!F6:F1000"),"箱")+SUMIFS(INDIRECT("'"&amp;AM$5&amp;"'!E6:E1000"),INDIRECT("'"&amp;AM$5&amp;"'!C6:C1000"),$AA10,INDIRECT("'"&amp;AM$5&amp;"'!F6:F1000"),"件"))</f>
        <v>0</v>
      </c>
      <c r="BL10">
        <f>IF(OR($AA10="",AN$5=""),0,SUMIFS(INDIRECT("'"&amp;AN$5&amp;"'!E6:E1000"),INDIRECT("'"&amp;AN$5&amp;"'!C6:C1000"),$AA10,INDIRECT("'"&amp;AN$5&amp;"'!F6:F1000"),"箱")+SUMIFS(INDIRECT("'"&amp;AN$5&amp;"'!E6:E1000"),INDIRECT("'"&amp;AN$5&amp;"'!C6:C1000"),$AA10,INDIRECT("'"&amp;AN$5&amp;"'!F6:F1000"),"件"))</f>
        <v>0</v>
      </c>
      <c r="BM10">
        <f>(AO10-BA10)/$AB10+BA10</f>
        <v>0</v>
      </c>
      <c r="BN10">
        <f>(AP10-BB10)/$AB10+BB10</f>
        <v>0</v>
      </c>
      <c r="BO10">
        <f>(AQ10-BC10)/$AB10+BC10</f>
        <v>0</v>
      </c>
      <c r="BP10">
        <f>(AR10-BD10)/$AB10+BD10</f>
        <v>0</v>
      </c>
      <c r="BQ10">
        <f>(AS10-BE10)/$AB10+BE10</f>
        <v>0</v>
      </c>
      <c r="BR10">
        <f>(AT10-BF10)/$AB10+BF10</f>
        <v>0</v>
      </c>
      <c r="BS10">
        <f>(AU10-BG10)/$AB10+BG10</f>
        <v>0</v>
      </c>
      <c r="BT10">
        <f>(AV10-BH10)/$AB10+BH10</f>
        <v>0</v>
      </c>
      <c r="BU10">
        <f>(AW10-BI10)/$AB10+BI10</f>
        <v>0</v>
      </c>
      <c r="BV10">
        <f>(AX10-BJ10)/$AB10+BJ10</f>
        <v>0</v>
      </c>
      <c r="BW10">
        <f>(AY10-BK10)/$AB10+BK10</f>
        <v>0</v>
      </c>
      <c r="BX10">
        <f>(AZ10-BL10)/$AB10+BL10</f>
        <v>0</v>
      </c>
      <c r="BY10">
        <f>SUMPRODUCT((($AC$4:$AN$4=报损汇总一览!$A$3)+(报损汇总一览!$A$3="全年"))*AC10:AN10)</f>
        <v>0</v>
      </c>
      <c r="BZ10">
        <f>IF(BY10&gt;0,BY10+(1000-ROW())/10000000,"")</f>
      </c>
      <c r="CA10">
        <f>SUMPRODUCT((($AC$4:$AN$4=报损汇总一览!$A$3)+(报损汇总一览!$A$3="全年"))*AO10:AZ10)</f>
        <v>0</v>
      </c>
    </row>
    <row r="11">
      <c r="A11">
        <f>IF(OR(存条明细!C11="",存条明细!D11=""),"",IF(COUNTIFS(存条明细!$C$4:C11,存条明细!C11,存条明细!$D$4:D11,存条明细!D11)&gt;1,"",IFERROR(MATCH(存条明细!C11,总览汇总!$B$5:$B$304,0),900)*10000000+IFERROR(MATCH(存条明细!D11,基础资料!$E$5:$E$104,0),900)*10000+ROW()))</f>
        <v>30040011</v>
      </c>
      <c r="B11">
        <f>IFERROR(MATCH(SMALL($A$4:$A$4003,8),$A$4:$A$4003,0),"")</f>
        <v>128</v>
      </c>
      <c r="D11">
        <f>IF(AND(商品库存!B11&lt;&gt;"",商品库存!B11=客户查询!$B$4),COUNTIF(商品库存!$B$4:B11,客户查询!$B$4),"")</f>
        <v>8</v>
      </c>
      <c r="E11">
        <f>IF(AND(商品库存!B11&lt;&gt;"",商品库存!B11=客户对账单!$B$4),COUNTIF(商品库存!$B$4:B11,客户对账单!$B$4),"")</f>
        <v>8</v>
      </c>
      <c r="F11">
        <f>IF(AND(出库明细!C11&lt;&gt;"",出库明细!C11=客户对账单!$B$4,ISNUMBER(出库明细!B11),出库明细!B11&gt;=客户对账单!$G$4,出库明细!B11&lt;=客户对账单!$I$4),出库明细!B11+ROW()/100000,"")</f>
      </c>
      <c r="H11">
        <f>IF(AND(采购进货!C11&lt;&gt;"",采购进货!C11=供应商对账单!$B$4,ISNUMBER(采购进货!B11),采购进货!B11&gt;=供应商对账单!$G$4,采购进货!B11&lt;=供应商对账单!$I$4),采购进货!B11+ROW()/100000,"")</f>
      </c>
      <c r="J11">
        <f>IF(总览汇总!$B11="","",N(总览汇总!$K11)+SUMIFS(出库明细!$G$4:$G$3003,出库明细!$C$4:$C$3003,总览汇总!$B11,出库明细!$B$4:$B$3003,"&gt;="&amp;年初日,出库明细!$B$4:$B$3003,"&lt;="&amp;资产负债表!$D$3)-SUMIFS(资金台帐!$S$7:$S$3006,资金台帐!$J$7:$J$3006,总览汇总!$B11,资金台帐!$P$7:$P$3006,"应收",资金台帐!$B$7:$B$3006,"&gt;="&amp;年初日,资金台帐!$B$7:$B$3006,"&lt;="&amp;资产负债表!$D$3))</f>
        <v>2037.5</v>
      </c>
      <c r="K11">
        <f>IF(基础资料!$Q11="","",N(基础资料!$R11)+SUMIFS(采购进货!$G$4:$G$1503,采购进货!$C$4:$C$1503,基础资料!$Q11,采购进货!$B$4:$B$1503,"&gt;="&amp;年初日,采购进货!$B$4:$B$1503,"&lt;="&amp;资产负债表!$D$3)+SUMIFS(资金台帐!$S$7:$S$3006,资金台帐!$K$7:$K$3006,基础资料!$Q11,资金台帐!$P$7:$P$3006,"应付",资金台帐!$B$7:$B$3006,"&gt;="&amp;年初日,资金台帐!$B$7:$B$3006,"&lt;="&amp;资产负债表!$D$3))</f>
      </c>
      <c r="N11">
        <f>IF(AND(ISNUMBER(出库明细!G11),ISNUMBER(出库明细!E11),ISNUMBER(出库明细!F11)),IF(ABS(出库明细!G11-出库明细!E11*出库明细!F11)&gt;0.005,1,0),0)</f>
        <v>0</v>
      </c>
      <c r="O11">
        <f>IF(AND(ISNUMBER(存条明细!G11),ISNUMBER(存条明细!E11),ISNUMBER(存条明细!F11)),IF(ABS(存条明细!G11-存条明细!E11*存条明细!F11)&gt;0.005,1,0),0)</f>
        <v>0</v>
      </c>
      <c r="AA11" t="str">
        <f>IF(基础资料!G10="","",基础资料!G10&amp;"")</f>
        <v>东鹏1L果之茶</v>
      </c>
      <c r="AB11">
        <f>IF(N(基础资料!I10)&lt;=0,1,基础资料!I10)</f>
        <v>12</v>
      </c>
      <c r="AC11">
        <f>IF(OR($AA11="",AC$5=""),0,SUMIF(INDIRECT("'"&amp;AC$5&amp;"'!C6:C1000"),$AA11,INDIRECT("'"&amp;AC$5&amp;"'!H6:H1000")))</f>
        <v>0</v>
      </c>
      <c r="AD11">
        <f>IF(OR($AA11="",AD$5=""),0,SUMIF(INDIRECT("'"&amp;AD$5&amp;"'!C6:C1000"),$AA11,INDIRECT("'"&amp;AD$5&amp;"'!H6:H1000")))</f>
        <v>0</v>
      </c>
      <c r="AE11">
        <f>IF(OR($AA11="",AE$5=""),0,SUMIF(INDIRECT("'"&amp;AE$5&amp;"'!C6:C1000"),$AA11,INDIRECT("'"&amp;AE$5&amp;"'!H6:H1000")))</f>
        <v>0</v>
      </c>
      <c r="AF11">
        <f>IF(OR($AA11="",AF$5=""),0,SUMIF(INDIRECT("'"&amp;AF$5&amp;"'!C6:C1000"),$AA11,INDIRECT("'"&amp;AF$5&amp;"'!H6:H1000")))</f>
        <v>0</v>
      </c>
      <c r="AG11">
        <f>IF(OR($AA11="",AG$5=""),0,SUMIF(INDIRECT("'"&amp;AG$5&amp;"'!C6:C1000"),$AA11,INDIRECT("'"&amp;AG$5&amp;"'!H6:H1000")))</f>
        <v>0</v>
      </c>
      <c r="AH11">
        <f>IF(OR($AA11="",AH$5=""),0,SUMIF(INDIRECT("'"&amp;AH$5&amp;"'!C6:C1000"),$AA11,INDIRECT("'"&amp;AH$5&amp;"'!H6:H1000")))</f>
        <v>0</v>
      </c>
      <c r="AI11">
        <f>IF(OR($AA11="",AI$5=""),0,SUMIF(INDIRECT("'"&amp;AI$5&amp;"'!C6:C1000"),$AA11,INDIRECT("'"&amp;AI$5&amp;"'!H6:H1000")))</f>
        <v>0</v>
      </c>
      <c r="AJ11">
        <f>IF(OR($AA11="",AJ$5=""),0,SUMIF(INDIRECT("'"&amp;AJ$5&amp;"'!C6:C1000"),$AA11,INDIRECT("'"&amp;AJ$5&amp;"'!H6:H1000")))</f>
        <v>0</v>
      </c>
      <c r="AK11">
        <f>IF(OR($AA11="",AK$5=""),0,SUMIF(INDIRECT("'"&amp;AK$5&amp;"'!C6:C1000"),$AA11,INDIRECT("'"&amp;AK$5&amp;"'!H6:H1000")))</f>
        <v>0</v>
      </c>
      <c r="AL11">
        <f>IF(OR($AA11="",AL$5=""),0,SUMIF(INDIRECT("'"&amp;AL$5&amp;"'!C6:C1000"),$AA11,INDIRECT("'"&amp;AL$5&amp;"'!H6:H1000")))</f>
        <v>0</v>
      </c>
      <c r="AM11">
        <f>IF(OR($AA11="",AM$5=""),0,SUMIF(INDIRECT("'"&amp;AM$5&amp;"'!C6:C1000"),$AA11,INDIRECT("'"&amp;AM$5&amp;"'!H6:H1000")))</f>
        <v>0</v>
      </c>
      <c r="AN11">
        <f>IF(OR($AA11="",AN$5=""),0,SUMIF(INDIRECT("'"&amp;AN$5&amp;"'!C6:C1000"),$AA11,INDIRECT("'"&amp;AN$5&amp;"'!H6:H1000")))</f>
        <v>0</v>
      </c>
      <c r="AO11">
        <f>IF(OR($AA11="",AC$5=""),0,SUMIF(INDIRECT("'"&amp;AC$5&amp;"'!C6:C1000"),$AA11,INDIRECT("'"&amp;AC$5&amp;"'!E6:E1000")))</f>
        <v>0</v>
      </c>
      <c r="AP11">
        <f>IF(OR($AA11="",AD$5=""),0,SUMIF(INDIRECT("'"&amp;AD$5&amp;"'!C6:C1000"),$AA11,INDIRECT("'"&amp;AD$5&amp;"'!E6:E1000")))</f>
        <v>0</v>
      </c>
      <c r="AQ11">
        <f>IF(OR($AA11="",AE$5=""),0,SUMIF(INDIRECT("'"&amp;AE$5&amp;"'!C6:C1000"),$AA11,INDIRECT("'"&amp;AE$5&amp;"'!E6:E1000")))</f>
        <v>0</v>
      </c>
      <c r="AR11">
        <f>IF(OR($AA11="",AF$5=""),0,SUMIF(INDIRECT("'"&amp;AF$5&amp;"'!C6:C1000"),$AA11,INDIRECT("'"&amp;AF$5&amp;"'!E6:E1000")))</f>
        <v>0</v>
      </c>
      <c r="AS11">
        <f>IF(OR($AA11="",AG$5=""),0,SUMIF(INDIRECT("'"&amp;AG$5&amp;"'!C6:C1000"),$AA11,INDIRECT("'"&amp;AG$5&amp;"'!E6:E1000")))</f>
        <v>0</v>
      </c>
      <c r="AT11">
        <f>IF(OR($AA11="",AH$5=""),0,SUMIF(INDIRECT("'"&amp;AH$5&amp;"'!C6:C1000"),$AA11,INDIRECT("'"&amp;AH$5&amp;"'!E6:E1000")))</f>
        <v>0</v>
      </c>
      <c r="AU11">
        <f>IF(OR($AA11="",AI$5=""),0,SUMIF(INDIRECT("'"&amp;AI$5&amp;"'!C6:C1000"),$AA11,INDIRECT("'"&amp;AI$5&amp;"'!E6:E1000")))</f>
        <v>0</v>
      </c>
      <c r="AV11">
        <f>IF(OR($AA11="",AJ$5=""),0,SUMIF(INDIRECT("'"&amp;AJ$5&amp;"'!C6:C1000"),$AA11,INDIRECT("'"&amp;AJ$5&amp;"'!E6:E1000")))</f>
        <v>3</v>
      </c>
      <c r="AW11">
        <f>IF(OR($AA11="",AK$5=""),0,SUMIF(INDIRECT("'"&amp;AK$5&amp;"'!C6:C1000"),$AA11,INDIRECT("'"&amp;AK$5&amp;"'!E6:E1000")))</f>
        <v>0</v>
      </c>
      <c r="AX11">
        <f>IF(OR($AA11="",AL$5=""),0,SUMIF(INDIRECT("'"&amp;AL$5&amp;"'!C6:C1000"),$AA11,INDIRECT("'"&amp;AL$5&amp;"'!E6:E1000")))</f>
        <v>0</v>
      </c>
      <c r="AY11">
        <f>IF(OR($AA11="",AM$5=""),0,SUMIF(INDIRECT("'"&amp;AM$5&amp;"'!C6:C1000"),$AA11,INDIRECT("'"&amp;AM$5&amp;"'!E6:E1000")))</f>
        <v>0</v>
      </c>
      <c r="AZ11">
        <f>IF(OR($AA11="",AN$5=""),0,SUMIF(INDIRECT("'"&amp;AN$5&amp;"'!C6:C1000"),$AA11,INDIRECT("'"&amp;AN$5&amp;"'!E6:E1000")))</f>
        <v>0</v>
      </c>
      <c r="BA11">
        <f>IF(OR($AA11="",AC$5=""),0,SUMIFS(INDIRECT("'"&amp;AC$5&amp;"'!E6:E1000"),INDIRECT("'"&amp;AC$5&amp;"'!C6:C1000"),$AA11,INDIRECT("'"&amp;AC$5&amp;"'!F6:F1000"),"箱")+SUMIFS(INDIRECT("'"&amp;AC$5&amp;"'!E6:E1000"),INDIRECT("'"&amp;AC$5&amp;"'!C6:C1000"),$AA11,INDIRECT("'"&amp;AC$5&amp;"'!F6:F1000"),"件"))</f>
        <v>0</v>
      </c>
      <c r="BB11">
        <f>IF(OR($AA11="",AD$5=""),0,SUMIFS(INDIRECT("'"&amp;AD$5&amp;"'!E6:E1000"),INDIRECT("'"&amp;AD$5&amp;"'!C6:C1000"),$AA11,INDIRECT("'"&amp;AD$5&amp;"'!F6:F1000"),"箱")+SUMIFS(INDIRECT("'"&amp;AD$5&amp;"'!E6:E1000"),INDIRECT("'"&amp;AD$5&amp;"'!C6:C1000"),$AA11,INDIRECT("'"&amp;AD$5&amp;"'!F6:F1000"),"件"))</f>
        <v>0</v>
      </c>
      <c r="BC11">
        <f>IF(OR($AA11="",AE$5=""),0,SUMIFS(INDIRECT("'"&amp;AE$5&amp;"'!E6:E1000"),INDIRECT("'"&amp;AE$5&amp;"'!C6:C1000"),$AA11,INDIRECT("'"&amp;AE$5&amp;"'!F6:F1000"),"箱")+SUMIFS(INDIRECT("'"&amp;AE$5&amp;"'!E6:E1000"),INDIRECT("'"&amp;AE$5&amp;"'!C6:C1000"),$AA11,INDIRECT("'"&amp;AE$5&amp;"'!F6:F1000"),"件"))</f>
        <v>0</v>
      </c>
      <c r="BD11">
        <f>IF(OR($AA11="",AF$5=""),0,SUMIFS(INDIRECT("'"&amp;AF$5&amp;"'!E6:E1000"),INDIRECT("'"&amp;AF$5&amp;"'!C6:C1000"),$AA11,INDIRECT("'"&amp;AF$5&amp;"'!F6:F1000"),"箱")+SUMIFS(INDIRECT("'"&amp;AF$5&amp;"'!E6:E1000"),INDIRECT("'"&amp;AF$5&amp;"'!C6:C1000"),$AA11,INDIRECT("'"&amp;AF$5&amp;"'!F6:F1000"),"件"))</f>
        <v>0</v>
      </c>
      <c r="BE11">
        <f>IF(OR($AA11="",AG$5=""),0,SUMIFS(INDIRECT("'"&amp;AG$5&amp;"'!E6:E1000"),INDIRECT("'"&amp;AG$5&amp;"'!C6:C1000"),$AA11,INDIRECT("'"&amp;AG$5&amp;"'!F6:F1000"),"箱")+SUMIFS(INDIRECT("'"&amp;AG$5&amp;"'!E6:E1000"),INDIRECT("'"&amp;AG$5&amp;"'!C6:C1000"),$AA11,INDIRECT("'"&amp;AG$5&amp;"'!F6:F1000"),"件"))</f>
        <v>0</v>
      </c>
      <c r="BF11">
        <f>IF(OR($AA11="",AH$5=""),0,SUMIFS(INDIRECT("'"&amp;AH$5&amp;"'!E6:E1000"),INDIRECT("'"&amp;AH$5&amp;"'!C6:C1000"),$AA11,INDIRECT("'"&amp;AH$5&amp;"'!F6:F1000"),"箱")+SUMIFS(INDIRECT("'"&amp;AH$5&amp;"'!E6:E1000"),INDIRECT("'"&amp;AH$5&amp;"'!C6:C1000"),$AA11,INDIRECT("'"&amp;AH$5&amp;"'!F6:F1000"),"件"))</f>
        <v>0</v>
      </c>
      <c r="BG11">
        <f>IF(OR($AA11="",AI$5=""),0,SUMIFS(INDIRECT("'"&amp;AI$5&amp;"'!E6:E1000"),INDIRECT("'"&amp;AI$5&amp;"'!C6:C1000"),$AA11,INDIRECT("'"&amp;AI$5&amp;"'!F6:F1000"),"箱")+SUMIFS(INDIRECT("'"&amp;AI$5&amp;"'!E6:E1000"),INDIRECT("'"&amp;AI$5&amp;"'!C6:C1000"),$AA11,INDIRECT("'"&amp;AI$5&amp;"'!F6:F1000"),"件"))</f>
        <v>0</v>
      </c>
      <c r="BH11">
        <f>IF(OR($AA11="",AJ$5=""),0,SUMIFS(INDIRECT("'"&amp;AJ$5&amp;"'!E6:E1000"),INDIRECT("'"&amp;AJ$5&amp;"'!C6:C1000"),$AA11,INDIRECT("'"&amp;AJ$5&amp;"'!F6:F1000"),"箱")+SUMIFS(INDIRECT("'"&amp;AJ$5&amp;"'!E6:E1000"),INDIRECT("'"&amp;AJ$5&amp;"'!C6:C1000"),$AA11,INDIRECT("'"&amp;AJ$5&amp;"'!F6:F1000"),"件"))</f>
        <v>0</v>
      </c>
      <c r="BI11">
        <f>IF(OR($AA11="",AK$5=""),0,SUMIFS(INDIRECT("'"&amp;AK$5&amp;"'!E6:E1000"),INDIRECT("'"&amp;AK$5&amp;"'!C6:C1000"),$AA11,INDIRECT("'"&amp;AK$5&amp;"'!F6:F1000"),"箱")+SUMIFS(INDIRECT("'"&amp;AK$5&amp;"'!E6:E1000"),INDIRECT("'"&amp;AK$5&amp;"'!C6:C1000"),$AA11,INDIRECT("'"&amp;AK$5&amp;"'!F6:F1000"),"件"))</f>
        <v>0</v>
      </c>
      <c r="BJ11">
        <f>IF(OR($AA11="",AL$5=""),0,SUMIFS(INDIRECT("'"&amp;AL$5&amp;"'!E6:E1000"),INDIRECT("'"&amp;AL$5&amp;"'!C6:C1000"),$AA11,INDIRECT("'"&amp;AL$5&amp;"'!F6:F1000"),"箱")+SUMIFS(INDIRECT("'"&amp;AL$5&amp;"'!E6:E1000"),INDIRECT("'"&amp;AL$5&amp;"'!C6:C1000"),$AA11,INDIRECT("'"&amp;AL$5&amp;"'!F6:F1000"),"件"))</f>
        <v>0</v>
      </c>
      <c r="BK11">
        <f>IF(OR($AA11="",AM$5=""),0,SUMIFS(INDIRECT("'"&amp;AM$5&amp;"'!E6:E1000"),INDIRECT("'"&amp;AM$5&amp;"'!C6:C1000"),$AA11,INDIRECT("'"&amp;AM$5&amp;"'!F6:F1000"),"箱")+SUMIFS(INDIRECT("'"&amp;AM$5&amp;"'!E6:E1000"),INDIRECT("'"&amp;AM$5&amp;"'!C6:C1000"),$AA11,INDIRECT("'"&amp;AM$5&amp;"'!F6:F1000"),"件"))</f>
        <v>0</v>
      </c>
      <c r="BL11">
        <f>IF(OR($AA11="",AN$5=""),0,SUMIFS(INDIRECT("'"&amp;AN$5&amp;"'!E6:E1000"),INDIRECT("'"&amp;AN$5&amp;"'!C6:C1000"),$AA11,INDIRECT("'"&amp;AN$5&amp;"'!F6:F1000"),"箱")+SUMIFS(INDIRECT("'"&amp;AN$5&amp;"'!E6:E1000"),INDIRECT("'"&amp;AN$5&amp;"'!C6:C1000"),$AA11,INDIRECT("'"&amp;AN$5&amp;"'!F6:F1000"),"件"))</f>
        <v>0</v>
      </c>
      <c r="BM11">
        <f>(AO11-BA11)/$AB11+BA11</f>
        <v>0</v>
      </c>
      <c r="BN11">
        <f>(AP11-BB11)/$AB11+BB11</f>
        <v>0</v>
      </c>
      <c r="BO11">
        <f>(AQ11-BC11)/$AB11+BC11</f>
        <v>0</v>
      </c>
      <c r="BP11">
        <f>(AR11-BD11)/$AB11+BD11</f>
        <v>0</v>
      </c>
      <c r="BQ11">
        <f>(AS11-BE11)/$AB11+BE11</f>
        <v>0</v>
      </c>
      <c r="BR11">
        <f>(AT11-BF11)/$AB11+BF11</f>
        <v>0</v>
      </c>
      <c r="BS11">
        <f>(AU11-BG11)/$AB11+BG11</f>
        <v>0</v>
      </c>
      <c r="BT11">
        <f>(AV11-BH11)/$AB11+BH11</f>
        <v>0.25</v>
      </c>
      <c r="BU11">
        <f>(AW11-BI11)/$AB11+BI11</f>
        <v>0</v>
      </c>
      <c r="BV11">
        <f>(AX11-BJ11)/$AB11+BJ11</f>
        <v>0</v>
      </c>
      <c r="BW11">
        <f>(AY11-BK11)/$AB11+BK11</f>
        <v>0</v>
      </c>
      <c r="BX11">
        <f>(AZ11-BL11)/$AB11+BL11</f>
        <v>0</v>
      </c>
      <c r="BY11">
        <f>SUMPRODUCT((($AC$4:$AN$4=报损汇总一览!$A$3)+(报损汇总一览!$A$3="全年"))*AC11:AN11)</f>
        <v>0</v>
      </c>
      <c r="BZ11">
        <f>IF(BY11&gt;0,BY11+(1000-ROW())/10000000,"")</f>
      </c>
      <c r="CA11">
        <f>SUMPRODUCT((($AC$4:$AN$4=报损汇总一览!$A$3)+(报损汇总一览!$A$3="全年"))*AO11:AZ11)</f>
        <v>3</v>
      </c>
    </row>
    <row r="12">
      <c r="A12">
        <f>IF(OR(存条明细!C12="",存条明细!D12=""),"",IF(COUNTIFS(存条明细!$C$4:C12,存条明细!C12,存条明细!$D$4:D12,存条明细!D12)&gt;1,"",IFERROR(MATCH(存条明细!C12,总览汇总!$B$5:$B$304,0),900)*10000000+IFERROR(MATCH(存条明细!D12,基础资料!$E$5:$E$104,0),900)*10000+ROW()))</f>
        <v>30030012</v>
      </c>
      <c r="B12">
        <f>IFERROR(MATCH(SMALL($A$4:$A$4003,9),$A$4:$A$4003,0),"")</f>
        <v>1153</v>
      </c>
      <c r="D12">
        <f>IF(AND(商品库存!B12&lt;&gt;"",商品库存!B12=客户查询!$B$4),COUNTIF(商品库存!$B$4:B12,客户查询!$B$4),"")</f>
        <v>9</v>
      </c>
      <c r="E12">
        <f>IF(AND(商品库存!B12&lt;&gt;"",商品库存!B12=客户对账单!$B$4),COUNTIF(商品库存!$B$4:B12,客户对账单!$B$4),"")</f>
        <v>9</v>
      </c>
      <c r="F12">
        <f>IF(AND(出库明细!C12&lt;&gt;"",出库明细!C12=客户对账单!$B$4,ISNUMBER(出库明细!B12),出库明细!B12&gt;=客户对账单!$G$4,出库明细!B12&lt;=客户对账单!$I$4),出库明细!B12+ROW()/100000,"")</f>
      </c>
      <c r="H12">
        <f>IF(AND(采购进货!C12&lt;&gt;"",采购进货!C12=供应商对账单!$B$4,ISNUMBER(采购进货!B12),采购进货!B12&gt;=供应商对账单!$G$4,采购进货!B12&lt;=供应商对账单!$I$4),采购进货!B12+ROW()/100000,"")</f>
      </c>
      <c r="J12">
        <f>IF(总览汇总!$B12="","",N(总览汇总!$K12)+SUMIFS(出库明细!$G$4:$G$3003,出库明细!$C$4:$C$3003,总览汇总!$B12,出库明细!$B$4:$B$3003,"&gt;="&amp;年初日,出库明细!$B$4:$B$3003,"&lt;="&amp;资产负债表!$D$3)-SUMIFS(资金台帐!$S$7:$S$3006,资金台帐!$J$7:$J$3006,总览汇总!$B12,资金台帐!$P$7:$P$3006,"应收",资金台帐!$B$7:$B$3006,"&gt;="&amp;年初日,资金台帐!$B$7:$B$3006,"&lt;="&amp;资产负债表!$D$3))</f>
        <v>0</v>
      </c>
      <c r="K12">
        <f>IF(基础资料!$Q12="","",N(基础资料!$R12)+SUMIFS(采购进货!$G$4:$G$1503,采购进货!$C$4:$C$1503,基础资料!$Q12,采购进货!$B$4:$B$1503,"&gt;="&amp;年初日,采购进货!$B$4:$B$1503,"&lt;="&amp;资产负债表!$D$3)+SUMIFS(资金台帐!$S$7:$S$3006,资金台帐!$K$7:$K$3006,基础资料!$Q12,资金台帐!$P$7:$P$3006,"应付",资金台帐!$B$7:$B$3006,"&gt;="&amp;年初日,资金台帐!$B$7:$B$3006,"&lt;="&amp;资产负债表!$D$3))</f>
      </c>
      <c r="N12">
        <f>IF(AND(ISNUMBER(出库明细!G12),ISNUMBER(出库明细!E12),ISNUMBER(出库明细!F12)),IF(ABS(出库明细!G12-出库明细!E12*出库明细!F12)&gt;0.005,1,0),0)</f>
        <v>0</v>
      </c>
      <c r="O12">
        <f>IF(AND(ISNUMBER(存条明细!G12),ISNUMBER(存条明细!E12),ISNUMBER(存条明细!F12)),IF(ABS(存条明细!G12-存条明细!E12*存条明细!F12)&gt;0.005,1,0),0)</f>
        <v>0</v>
      </c>
      <c r="AA12" t="str">
        <f>IF(基础资料!G11="","",基础资料!G11&amp;"")</f>
        <v>东鹏港式奶茶</v>
      </c>
      <c r="AB12">
        <f>IF(N(基础资料!I11)&lt;=0,1,基础资料!I11)</f>
        <v>24</v>
      </c>
      <c r="AC12">
        <f>IF(OR($AA12="",AC$5=""),0,SUMIF(INDIRECT("'"&amp;AC$5&amp;"'!C6:C1000"),$AA12,INDIRECT("'"&amp;AC$5&amp;"'!H6:H1000")))</f>
        <v>0</v>
      </c>
      <c r="AD12">
        <f>IF(OR($AA12="",AD$5=""),0,SUMIF(INDIRECT("'"&amp;AD$5&amp;"'!C6:C1000"),$AA12,INDIRECT("'"&amp;AD$5&amp;"'!H6:H1000")))</f>
        <v>0</v>
      </c>
      <c r="AE12">
        <f>IF(OR($AA12="",AE$5=""),0,SUMIF(INDIRECT("'"&amp;AE$5&amp;"'!C6:C1000"),$AA12,INDIRECT("'"&amp;AE$5&amp;"'!H6:H1000")))</f>
        <v>0</v>
      </c>
      <c r="AF12">
        <f>IF(OR($AA12="",AF$5=""),0,SUMIF(INDIRECT("'"&amp;AF$5&amp;"'!C6:C1000"),$AA12,INDIRECT("'"&amp;AF$5&amp;"'!H6:H1000")))</f>
        <v>0</v>
      </c>
      <c r="AG12">
        <f>IF(OR($AA12="",AG$5=""),0,SUMIF(INDIRECT("'"&amp;AG$5&amp;"'!C6:C1000"),$AA12,INDIRECT("'"&amp;AG$5&amp;"'!H6:H1000")))</f>
        <v>0</v>
      </c>
      <c r="AH12">
        <f>IF(OR($AA12="",AH$5=""),0,SUMIF(INDIRECT("'"&amp;AH$5&amp;"'!C6:C1000"),$AA12,INDIRECT("'"&amp;AH$5&amp;"'!H6:H1000")))</f>
        <v>0</v>
      </c>
      <c r="AI12">
        <f>IF(OR($AA12="",AI$5=""),0,SUMIF(INDIRECT("'"&amp;AI$5&amp;"'!C6:C1000"),$AA12,INDIRECT("'"&amp;AI$5&amp;"'!H6:H1000")))</f>
        <v>0</v>
      </c>
      <c r="AJ12">
        <f>IF(OR($AA12="",AJ$5=""),0,SUMIF(INDIRECT("'"&amp;AJ$5&amp;"'!C6:C1000"),$AA12,INDIRECT("'"&amp;AJ$5&amp;"'!H6:H1000")))</f>
        <v>0</v>
      </c>
      <c r="AK12">
        <f>IF(OR($AA12="",AK$5=""),0,SUMIF(INDIRECT("'"&amp;AK$5&amp;"'!C6:C1000"),$AA12,INDIRECT("'"&amp;AK$5&amp;"'!H6:H1000")))</f>
        <v>0</v>
      </c>
      <c r="AL12">
        <f>IF(OR($AA12="",AL$5=""),0,SUMIF(INDIRECT("'"&amp;AL$5&amp;"'!C6:C1000"),$AA12,INDIRECT("'"&amp;AL$5&amp;"'!H6:H1000")))</f>
        <v>0</v>
      </c>
      <c r="AM12">
        <f>IF(OR($AA12="",AM$5=""),0,SUMIF(INDIRECT("'"&amp;AM$5&amp;"'!C6:C1000"),$AA12,INDIRECT("'"&amp;AM$5&amp;"'!H6:H1000")))</f>
        <v>0</v>
      </c>
      <c r="AN12">
        <f>IF(OR($AA12="",AN$5=""),0,SUMIF(INDIRECT("'"&amp;AN$5&amp;"'!C6:C1000"),$AA12,INDIRECT("'"&amp;AN$5&amp;"'!H6:H1000")))</f>
        <v>0</v>
      </c>
      <c r="AO12">
        <f>IF(OR($AA12="",AC$5=""),0,SUMIF(INDIRECT("'"&amp;AC$5&amp;"'!C6:C1000"),$AA12,INDIRECT("'"&amp;AC$5&amp;"'!E6:E1000")))</f>
        <v>0</v>
      </c>
      <c r="AP12">
        <f>IF(OR($AA12="",AD$5=""),0,SUMIF(INDIRECT("'"&amp;AD$5&amp;"'!C6:C1000"),$AA12,INDIRECT("'"&amp;AD$5&amp;"'!E6:E1000")))</f>
        <v>0</v>
      </c>
      <c r="AQ12">
        <f>IF(OR($AA12="",AE$5=""),0,SUMIF(INDIRECT("'"&amp;AE$5&amp;"'!C6:C1000"),$AA12,INDIRECT("'"&amp;AE$5&amp;"'!E6:E1000")))</f>
        <v>0</v>
      </c>
      <c r="AR12">
        <f>IF(OR($AA12="",AF$5=""),0,SUMIF(INDIRECT("'"&amp;AF$5&amp;"'!C6:C1000"),$AA12,INDIRECT("'"&amp;AF$5&amp;"'!E6:E1000")))</f>
        <v>0</v>
      </c>
      <c r="AS12">
        <f>IF(OR($AA12="",AG$5=""),0,SUMIF(INDIRECT("'"&amp;AG$5&amp;"'!C6:C1000"),$AA12,INDIRECT("'"&amp;AG$5&amp;"'!E6:E1000")))</f>
        <v>0</v>
      </c>
      <c r="AT12">
        <f>IF(OR($AA12="",AH$5=""),0,SUMIF(INDIRECT("'"&amp;AH$5&amp;"'!C6:C1000"),$AA12,INDIRECT("'"&amp;AH$5&amp;"'!E6:E1000")))</f>
        <v>0</v>
      </c>
      <c r="AU12">
        <f>IF(OR($AA12="",AI$5=""),0,SUMIF(INDIRECT("'"&amp;AI$5&amp;"'!C6:C1000"),$AA12,INDIRECT("'"&amp;AI$5&amp;"'!E6:E1000")))</f>
        <v>0</v>
      </c>
      <c r="AV12">
        <f>IF(OR($AA12="",AJ$5=""),0,SUMIF(INDIRECT("'"&amp;AJ$5&amp;"'!C6:C1000"),$AA12,INDIRECT("'"&amp;AJ$5&amp;"'!E6:E1000")))</f>
        <v>2094</v>
      </c>
      <c r="AW12">
        <f>IF(OR($AA12="",AK$5=""),0,SUMIF(INDIRECT("'"&amp;AK$5&amp;"'!C6:C1000"),$AA12,INDIRECT("'"&amp;AK$5&amp;"'!E6:E1000")))</f>
        <v>0</v>
      </c>
      <c r="AX12">
        <f>IF(OR($AA12="",AL$5=""),0,SUMIF(INDIRECT("'"&amp;AL$5&amp;"'!C6:C1000"),$AA12,INDIRECT("'"&amp;AL$5&amp;"'!E6:E1000")))</f>
        <v>0</v>
      </c>
      <c r="AY12">
        <f>IF(OR($AA12="",AM$5=""),0,SUMIF(INDIRECT("'"&amp;AM$5&amp;"'!C6:C1000"),$AA12,INDIRECT("'"&amp;AM$5&amp;"'!E6:E1000")))</f>
        <v>0</v>
      </c>
      <c r="AZ12">
        <f>IF(OR($AA12="",AN$5=""),0,SUMIF(INDIRECT("'"&amp;AN$5&amp;"'!C6:C1000"),$AA12,INDIRECT("'"&amp;AN$5&amp;"'!E6:E1000")))</f>
        <v>0</v>
      </c>
      <c r="BA12">
        <f>IF(OR($AA12="",AC$5=""),0,SUMIFS(INDIRECT("'"&amp;AC$5&amp;"'!E6:E1000"),INDIRECT("'"&amp;AC$5&amp;"'!C6:C1000"),$AA12,INDIRECT("'"&amp;AC$5&amp;"'!F6:F1000"),"箱")+SUMIFS(INDIRECT("'"&amp;AC$5&amp;"'!E6:E1000"),INDIRECT("'"&amp;AC$5&amp;"'!C6:C1000"),$AA12,INDIRECT("'"&amp;AC$5&amp;"'!F6:F1000"),"件"))</f>
        <v>0</v>
      </c>
      <c r="BB12">
        <f>IF(OR($AA12="",AD$5=""),0,SUMIFS(INDIRECT("'"&amp;AD$5&amp;"'!E6:E1000"),INDIRECT("'"&amp;AD$5&amp;"'!C6:C1000"),$AA12,INDIRECT("'"&amp;AD$5&amp;"'!F6:F1000"),"箱")+SUMIFS(INDIRECT("'"&amp;AD$5&amp;"'!E6:E1000"),INDIRECT("'"&amp;AD$5&amp;"'!C6:C1000"),$AA12,INDIRECT("'"&amp;AD$5&amp;"'!F6:F1000"),"件"))</f>
        <v>0</v>
      </c>
      <c r="BC12">
        <f>IF(OR($AA12="",AE$5=""),0,SUMIFS(INDIRECT("'"&amp;AE$5&amp;"'!E6:E1000"),INDIRECT("'"&amp;AE$5&amp;"'!C6:C1000"),$AA12,INDIRECT("'"&amp;AE$5&amp;"'!F6:F1000"),"箱")+SUMIFS(INDIRECT("'"&amp;AE$5&amp;"'!E6:E1000"),INDIRECT("'"&amp;AE$5&amp;"'!C6:C1000"),$AA12,INDIRECT("'"&amp;AE$5&amp;"'!F6:F1000"),"件"))</f>
        <v>0</v>
      </c>
      <c r="BD12">
        <f>IF(OR($AA12="",AF$5=""),0,SUMIFS(INDIRECT("'"&amp;AF$5&amp;"'!E6:E1000"),INDIRECT("'"&amp;AF$5&amp;"'!C6:C1000"),$AA12,INDIRECT("'"&amp;AF$5&amp;"'!F6:F1000"),"箱")+SUMIFS(INDIRECT("'"&amp;AF$5&amp;"'!E6:E1000"),INDIRECT("'"&amp;AF$5&amp;"'!C6:C1000"),$AA12,INDIRECT("'"&amp;AF$5&amp;"'!F6:F1000"),"件"))</f>
        <v>0</v>
      </c>
      <c r="BE12">
        <f>IF(OR($AA12="",AG$5=""),0,SUMIFS(INDIRECT("'"&amp;AG$5&amp;"'!E6:E1000"),INDIRECT("'"&amp;AG$5&amp;"'!C6:C1000"),$AA12,INDIRECT("'"&amp;AG$5&amp;"'!F6:F1000"),"箱")+SUMIFS(INDIRECT("'"&amp;AG$5&amp;"'!E6:E1000"),INDIRECT("'"&amp;AG$5&amp;"'!C6:C1000"),$AA12,INDIRECT("'"&amp;AG$5&amp;"'!F6:F1000"),"件"))</f>
        <v>0</v>
      </c>
      <c r="BF12">
        <f>IF(OR($AA12="",AH$5=""),0,SUMIFS(INDIRECT("'"&amp;AH$5&amp;"'!E6:E1000"),INDIRECT("'"&amp;AH$5&amp;"'!C6:C1000"),$AA12,INDIRECT("'"&amp;AH$5&amp;"'!F6:F1000"),"箱")+SUMIFS(INDIRECT("'"&amp;AH$5&amp;"'!E6:E1000"),INDIRECT("'"&amp;AH$5&amp;"'!C6:C1000"),$AA12,INDIRECT("'"&amp;AH$5&amp;"'!F6:F1000"),"件"))</f>
        <v>0</v>
      </c>
      <c r="BG12">
        <f>IF(OR($AA12="",AI$5=""),0,SUMIFS(INDIRECT("'"&amp;AI$5&amp;"'!E6:E1000"),INDIRECT("'"&amp;AI$5&amp;"'!C6:C1000"),$AA12,INDIRECT("'"&amp;AI$5&amp;"'!F6:F1000"),"箱")+SUMIFS(INDIRECT("'"&amp;AI$5&amp;"'!E6:E1000"),INDIRECT("'"&amp;AI$5&amp;"'!C6:C1000"),$AA12,INDIRECT("'"&amp;AI$5&amp;"'!F6:F1000"),"件"))</f>
        <v>0</v>
      </c>
      <c r="BH12">
        <f>IF(OR($AA12="",AJ$5=""),0,SUMIFS(INDIRECT("'"&amp;AJ$5&amp;"'!E6:E1000"),INDIRECT("'"&amp;AJ$5&amp;"'!C6:C1000"),$AA12,INDIRECT("'"&amp;AJ$5&amp;"'!F6:F1000"),"箱")+SUMIFS(INDIRECT("'"&amp;AJ$5&amp;"'!E6:E1000"),INDIRECT("'"&amp;AJ$5&amp;"'!C6:C1000"),$AA12,INDIRECT("'"&amp;AJ$5&amp;"'!F6:F1000"),"件"))</f>
        <v>0</v>
      </c>
      <c r="BI12">
        <f>IF(OR($AA12="",AK$5=""),0,SUMIFS(INDIRECT("'"&amp;AK$5&amp;"'!E6:E1000"),INDIRECT("'"&amp;AK$5&amp;"'!C6:C1000"),$AA12,INDIRECT("'"&amp;AK$5&amp;"'!F6:F1000"),"箱")+SUMIFS(INDIRECT("'"&amp;AK$5&amp;"'!E6:E1000"),INDIRECT("'"&amp;AK$5&amp;"'!C6:C1000"),$AA12,INDIRECT("'"&amp;AK$5&amp;"'!F6:F1000"),"件"))</f>
        <v>0</v>
      </c>
      <c r="BJ12">
        <f>IF(OR($AA12="",AL$5=""),0,SUMIFS(INDIRECT("'"&amp;AL$5&amp;"'!E6:E1000"),INDIRECT("'"&amp;AL$5&amp;"'!C6:C1000"),$AA12,INDIRECT("'"&amp;AL$5&amp;"'!F6:F1000"),"箱")+SUMIFS(INDIRECT("'"&amp;AL$5&amp;"'!E6:E1000"),INDIRECT("'"&amp;AL$5&amp;"'!C6:C1000"),$AA12,INDIRECT("'"&amp;AL$5&amp;"'!F6:F1000"),"件"))</f>
        <v>0</v>
      </c>
      <c r="BK12">
        <f>IF(OR($AA12="",AM$5=""),0,SUMIFS(INDIRECT("'"&amp;AM$5&amp;"'!E6:E1000"),INDIRECT("'"&amp;AM$5&amp;"'!C6:C1000"),$AA12,INDIRECT("'"&amp;AM$5&amp;"'!F6:F1000"),"箱")+SUMIFS(INDIRECT("'"&amp;AM$5&amp;"'!E6:E1000"),INDIRECT("'"&amp;AM$5&amp;"'!C6:C1000"),$AA12,INDIRECT("'"&amp;AM$5&amp;"'!F6:F1000"),"件"))</f>
        <v>0</v>
      </c>
      <c r="BL12">
        <f>IF(OR($AA12="",AN$5=""),0,SUMIFS(INDIRECT("'"&amp;AN$5&amp;"'!E6:E1000"),INDIRECT("'"&amp;AN$5&amp;"'!C6:C1000"),$AA12,INDIRECT("'"&amp;AN$5&amp;"'!F6:F1000"),"箱")+SUMIFS(INDIRECT("'"&amp;AN$5&amp;"'!E6:E1000"),INDIRECT("'"&amp;AN$5&amp;"'!C6:C1000"),$AA12,INDIRECT("'"&amp;AN$5&amp;"'!F6:F1000"),"件"))</f>
        <v>0</v>
      </c>
      <c r="BM12">
        <f>(AO12-BA12)/$AB12+BA12</f>
        <v>0</v>
      </c>
      <c r="BN12">
        <f>(AP12-BB12)/$AB12+BB12</f>
        <v>0</v>
      </c>
      <c r="BO12">
        <f>(AQ12-BC12)/$AB12+BC12</f>
        <v>0</v>
      </c>
      <c r="BP12">
        <f>(AR12-BD12)/$AB12+BD12</f>
        <v>0</v>
      </c>
      <c r="BQ12">
        <f>(AS12-BE12)/$AB12+BE12</f>
        <v>0</v>
      </c>
      <c r="BR12">
        <f>(AT12-BF12)/$AB12+BF12</f>
        <v>0</v>
      </c>
      <c r="BS12">
        <f>(AU12-BG12)/$AB12+BG12</f>
        <v>0</v>
      </c>
      <c r="BT12">
        <f>(AV12-BH12)/$AB12+BH12</f>
        <v>87.25</v>
      </c>
      <c r="BU12">
        <f>(AW12-BI12)/$AB12+BI12</f>
        <v>0</v>
      </c>
      <c r="BV12">
        <f>(AX12-BJ12)/$AB12+BJ12</f>
        <v>0</v>
      </c>
      <c r="BW12">
        <f>(AY12-BK12)/$AB12+BK12</f>
        <v>0</v>
      </c>
      <c r="BX12">
        <f>(AZ12-BL12)/$AB12+BL12</f>
        <v>0</v>
      </c>
      <c r="BY12">
        <f>SUMPRODUCT((($AC$4:$AN$4=报损汇总一览!$A$3)+(报损汇总一览!$A$3="全年"))*AC12:AN12)</f>
        <v>0</v>
      </c>
      <c r="BZ12">
        <f>IF(BY12&gt;0,BY12+(1000-ROW())/10000000,"")</f>
      </c>
      <c r="CA12">
        <f>SUMPRODUCT((($AC$4:$AN$4=报损汇总一览!$A$3)+(报损汇总一览!$A$3="全年"))*AO12:AZ12)</f>
        <v>2094</v>
      </c>
    </row>
    <row r="13">
      <c r="A13">
        <f>IF(OR(存条明细!C13="",存条明细!D13=""),"",IF(COUNTIFS(存条明细!$C$4:C13,存条明细!C13,存条明细!$D$4:D13,存条明细!D13)&gt;1,"",IFERROR(MATCH(存条明细!C13,总览汇总!$B$5:$B$304,0),900)*10000000+IFERROR(MATCH(存条明细!D13,基础资料!$E$5:$E$104,0),900)*10000+ROW()))</f>
        <v>30050013</v>
      </c>
      <c r="B13">
        <f>IFERROR(MATCH(SMALL($A$4:$A$4003,10),$A$4:$A$4003,0),"")</f>
        <v>6</v>
      </c>
      <c r="D13">
        <f>IF(AND(商品库存!B13&lt;&gt;"",商品库存!B13=客户查询!$B$4),COUNTIF(商品库存!$B$4:B13,客户查询!$B$4),"")</f>
      </c>
      <c r="E13">
        <f>IF(AND(商品库存!B13&lt;&gt;"",商品库存!B13=客户对账单!$B$4),COUNTIF(商品库存!$B$4:B13,客户对账单!$B$4),"")</f>
      </c>
      <c r="F13">
        <f>IF(AND(出库明细!C13&lt;&gt;"",出库明细!C13=客户对账单!$B$4,ISNUMBER(出库明细!B13),出库明细!B13&gt;=客户对账单!$G$4,出库明细!B13&lt;=客户对账单!$I$4),出库明细!B13+ROW()/100000,"")</f>
      </c>
      <c r="H13">
        <f>IF(AND(采购进货!C13&lt;&gt;"",采购进货!C13=供应商对账单!$B$4,ISNUMBER(采购进货!B13),采购进货!B13&gt;=供应商对账单!$G$4,采购进货!B13&lt;=供应商对账单!$I$4),采购进货!B13+ROW()/100000,"")</f>
      </c>
      <c r="J13">
        <f>IF(总览汇总!$B13="","",N(总览汇总!$K13)+SUMIFS(出库明细!$G$4:$G$3003,出库明细!$C$4:$C$3003,总览汇总!$B13,出库明细!$B$4:$B$3003,"&gt;="&amp;年初日,出库明细!$B$4:$B$3003,"&lt;="&amp;资产负债表!$D$3)-SUMIFS(资金台帐!$S$7:$S$3006,资金台帐!$J$7:$J$3006,总览汇总!$B13,资金台帐!$P$7:$P$3006,"应收",资金台帐!$B$7:$B$3006,"&gt;="&amp;年初日,资金台帐!$B$7:$B$3006,"&lt;="&amp;资产负债表!$D$3))</f>
        <v>-1473</v>
      </c>
      <c r="K13">
        <f>IF(基础资料!$Q13="","",N(基础资料!$R13)+SUMIFS(采购进货!$G$4:$G$1503,采购进货!$C$4:$C$1503,基础资料!$Q13,采购进货!$B$4:$B$1503,"&gt;="&amp;年初日,采购进货!$B$4:$B$1503,"&lt;="&amp;资产负债表!$D$3)+SUMIFS(资金台帐!$S$7:$S$3006,资金台帐!$K$7:$K$3006,基础资料!$Q13,资金台帐!$P$7:$P$3006,"应付",资金台帐!$B$7:$B$3006,"&gt;="&amp;年初日,资金台帐!$B$7:$B$3006,"&lt;="&amp;资产负债表!$D$3))</f>
      </c>
      <c r="N13">
        <f>IF(AND(ISNUMBER(出库明细!G13),ISNUMBER(出库明细!E13),ISNUMBER(出库明细!F13)),IF(ABS(出库明细!G13-出库明细!E13*出库明细!F13)&gt;0.005,1,0),0)</f>
        <v>0</v>
      </c>
      <c r="O13">
        <f>IF(AND(ISNUMBER(存条明细!G13),ISNUMBER(存条明细!E13),ISNUMBER(存条明细!F13)),IF(ABS(存条明细!G13-存条明细!E13*存条明细!F13)&gt;0.005,1,0),0)</f>
        <v>0</v>
      </c>
      <c r="AA13" t="str">
        <f>IF(基础资料!G12="","",基础资料!G12&amp;"")</f>
        <v>东鹏500大咖</v>
      </c>
      <c r="AB13">
        <f>IF(N(基础资料!I12)&lt;=0,1,基础资料!I12)</f>
        <v>15</v>
      </c>
      <c r="AC13">
        <f>IF(OR($AA13="",AC$5=""),0,SUMIF(INDIRECT("'"&amp;AC$5&amp;"'!C6:C1000"),$AA13,INDIRECT("'"&amp;AC$5&amp;"'!H6:H1000")))</f>
        <v>0</v>
      </c>
      <c r="AD13">
        <f>IF(OR($AA13="",AD$5=""),0,SUMIF(INDIRECT("'"&amp;AD$5&amp;"'!C6:C1000"),$AA13,INDIRECT("'"&amp;AD$5&amp;"'!H6:H1000")))</f>
        <v>0</v>
      </c>
      <c r="AE13">
        <f>IF(OR($AA13="",AE$5=""),0,SUMIF(INDIRECT("'"&amp;AE$5&amp;"'!C6:C1000"),$AA13,INDIRECT("'"&amp;AE$5&amp;"'!H6:H1000")))</f>
        <v>0</v>
      </c>
      <c r="AF13">
        <f>IF(OR($AA13="",AF$5=""),0,SUMIF(INDIRECT("'"&amp;AF$5&amp;"'!C6:C1000"),$AA13,INDIRECT("'"&amp;AF$5&amp;"'!H6:H1000")))</f>
        <v>0</v>
      </c>
      <c r="AG13">
        <f>IF(OR($AA13="",AG$5=""),0,SUMIF(INDIRECT("'"&amp;AG$5&amp;"'!C6:C1000"),$AA13,INDIRECT("'"&amp;AG$5&amp;"'!H6:H1000")))</f>
        <v>0</v>
      </c>
      <c r="AH13">
        <f>IF(OR($AA13="",AH$5=""),0,SUMIF(INDIRECT("'"&amp;AH$5&amp;"'!C6:C1000"),$AA13,INDIRECT("'"&amp;AH$5&amp;"'!H6:H1000")))</f>
        <v>68.208</v>
      </c>
      <c r="AI13">
        <f>IF(OR($AA13="",AI$5=""),0,SUMIF(INDIRECT("'"&amp;AI$5&amp;"'!C6:C1000"),$AA13,INDIRECT("'"&amp;AI$5&amp;"'!H6:H1000")))</f>
        <v>0</v>
      </c>
      <c r="AJ13">
        <f>IF(OR($AA13="",AJ$5=""),0,SUMIF(INDIRECT("'"&amp;AJ$5&amp;"'!C6:C1000"),$AA13,INDIRECT("'"&amp;AJ$5&amp;"'!H6:H1000")))</f>
        <v>0</v>
      </c>
      <c r="AK13">
        <f>IF(OR($AA13="",AK$5=""),0,SUMIF(INDIRECT("'"&amp;AK$5&amp;"'!C6:C1000"),$AA13,INDIRECT("'"&amp;AK$5&amp;"'!H6:H1000")))</f>
        <v>0</v>
      </c>
      <c r="AL13">
        <f>IF(OR($AA13="",AL$5=""),0,SUMIF(INDIRECT("'"&amp;AL$5&amp;"'!C6:C1000"),$AA13,INDIRECT("'"&amp;AL$5&amp;"'!H6:H1000")))</f>
        <v>0</v>
      </c>
      <c r="AM13">
        <f>IF(OR($AA13="",AM$5=""),0,SUMIF(INDIRECT("'"&amp;AM$5&amp;"'!C6:C1000"),$AA13,INDIRECT("'"&amp;AM$5&amp;"'!H6:H1000")))</f>
        <v>0</v>
      </c>
      <c r="AN13">
        <f>IF(OR($AA13="",AN$5=""),0,SUMIF(INDIRECT("'"&amp;AN$5&amp;"'!C6:C1000"),$AA13,INDIRECT("'"&amp;AN$5&amp;"'!H6:H1000")))</f>
        <v>0</v>
      </c>
      <c r="AO13">
        <f>IF(OR($AA13="",AC$5=""),0,SUMIF(INDIRECT("'"&amp;AC$5&amp;"'!C6:C1000"),$AA13,INDIRECT("'"&amp;AC$5&amp;"'!E6:E1000")))</f>
        <v>0</v>
      </c>
      <c r="AP13">
        <f>IF(OR($AA13="",AD$5=""),0,SUMIF(INDIRECT("'"&amp;AD$5&amp;"'!C6:C1000"),$AA13,INDIRECT("'"&amp;AD$5&amp;"'!E6:E1000")))</f>
        <v>0</v>
      </c>
      <c r="AQ13">
        <f>IF(OR($AA13="",AE$5=""),0,SUMIF(INDIRECT("'"&amp;AE$5&amp;"'!C6:C1000"),$AA13,INDIRECT("'"&amp;AE$5&amp;"'!E6:E1000")))</f>
        <v>0</v>
      </c>
      <c r="AR13">
        <f>IF(OR($AA13="",AF$5=""),0,SUMIF(INDIRECT("'"&amp;AF$5&amp;"'!C6:C1000"),$AA13,INDIRECT("'"&amp;AF$5&amp;"'!E6:E1000")))</f>
        <v>0</v>
      </c>
      <c r="AS13">
        <f>IF(OR($AA13="",AG$5=""),0,SUMIF(INDIRECT("'"&amp;AG$5&amp;"'!C6:C1000"),$AA13,INDIRECT("'"&amp;AG$5&amp;"'!E6:E1000")))</f>
        <v>0</v>
      </c>
      <c r="AT13">
        <f>IF(OR($AA13="",AH$5=""),0,SUMIF(INDIRECT("'"&amp;AH$5&amp;"'!C6:C1000"),$AA13,INDIRECT("'"&amp;AH$5&amp;"'!E6:E1000")))</f>
        <v>14</v>
      </c>
      <c r="AU13">
        <f>IF(OR($AA13="",AI$5=""),0,SUMIF(INDIRECT("'"&amp;AI$5&amp;"'!C6:C1000"),$AA13,INDIRECT("'"&amp;AI$5&amp;"'!E6:E1000")))</f>
        <v>0</v>
      </c>
      <c r="AV13">
        <f>IF(OR($AA13="",AJ$5=""),0,SUMIF(INDIRECT("'"&amp;AJ$5&amp;"'!C6:C1000"),$AA13,INDIRECT("'"&amp;AJ$5&amp;"'!E6:E1000")))</f>
        <v>0</v>
      </c>
      <c r="AW13">
        <f>IF(OR($AA13="",AK$5=""),0,SUMIF(INDIRECT("'"&amp;AK$5&amp;"'!C6:C1000"),$AA13,INDIRECT("'"&amp;AK$5&amp;"'!E6:E1000")))</f>
        <v>0</v>
      </c>
      <c r="AX13">
        <f>IF(OR($AA13="",AL$5=""),0,SUMIF(INDIRECT("'"&amp;AL$5&amp;"'!C6:C1000"),$AA13,INDIRECT("'"&amp;AL$5&amp;"'!E6:E1000")))</f>
        <v>0</v>
      </c>
      <c r="AY13">
        <f>IF(OR($AA13="",AM$5=""),0,SUMIF(INDIRECT("'"&amp;AM$5&amp;"'!C6:C1000"),$AA13,INDIRECT("'"&amp;AM$5&amp;"'!E6:E1000")))</f>
        <v>0</v>
      </c>
      <c r="AZ13">
        <f>IF(OR($AA13="",AN$5=""),0,SUMIF(INDIRECT("'"&amp;AN$5&amp;"'!C6:C1000"),$AA13,INDIRECT("'"&amp;AN$5&amp;"'!E6:E1000")))</f>
        <v>0</v>
      </c>
      <c r="BA13">
        <f>IF(OR($AA13="",AC$5=""),0,SUMIFS(INDIRECT("'"&amp;AC$5&amp;"'!E6:E1000"),INDIRECT("'"&amp;AC$5&amp;"'!C6:C1000"),$AA13,INDIRECT("'"&amp;AC$5&amp;"'!F6:F1000"),"箱")+SUMIFS(INDIRECT("'"&amp;AC$5&amp;"'!E6:E1000"),INDIRECT("'"&amp;AC$5&amp;"'!C6:C1000"),$AA13,INDIRECT("'"&amp;AC$5&amp;"'!F6:F1000"),"件"))</f>
        <v>0</v>
      </c>
      <c r="BB13">
        <f>IF(OR($AA13="",AD$5=""),0,SUMIFS(INDIRECT("'"&amp;AD$5&amp;"'!E6:E1000"),INDIRECT("'"&amp;AD$5&amp;"'!C6:C1000"),$AA13,INDIRECT("'"&amp;AD$5&amp;"'!F6:F1000"),"箱")+SUMIFS(INDIRECT("'"&amp;AD$5&amp;"'!E6:E1000"),INDIRECT("'"&amp;AD$5&amp;"'!C6:C1000"),$AA13,INDIRECT("'"&amp;AD$5&amp;"'!F6:F1000"),"件"))</f>
        <v>0</v>
      </c>
      <c r="BC13">
        <f>IF(OR($AA13="",AE$5=""),0,SUMIFS(INDIRECT("'"&amp;AE$5&amp;"'!E6:E1000"),INDIRECT("'"&amp;AE$5&amp;"'!C6:C1000"),$AA13,INDIRECT("'"&amp;AE$5&amp;"'!F6:F1000"),"箱")+SUMIFS(INDIRECT("'"&amp;AE$5&amp;"'!E6:E1000"),INDIRECT("'"&amp;AE$5&amp;"'!C6:C1000"),$AA13,INDIRECT("'"&amp;AE$5&amp;"'!F6:F1000"),"件"))</f>
        <v>0</v>
      </c>
      <c r="BD13">
        <f>IF(OR($AA13="",AF$5=""),0,SUMIFS(INDIRECT("'"&amp;AF$5&amp;"'!E6:E1000"),INDIRECT("'"&amp;AF$5&amp;"'!C6:C1000"),$AA13,INDIRECT("'"&amp;AF$5&amp;"'!F6:F1000"),"箱")+SUMIFS(INDIRECT("'"&amp;AF$5&amp;"'!E6:E1000"),INDIRECT("'"&amp;AF$5&amp;"'!C6:C1000"),$AA13,INDIRECT("'"&amp;AF$5&amp;"'!F6:F1000"),"件"))</f>
        <v>0</v>
      </c>
      <c r="BE13">
        <f>IF(OR($AA13="",AG$5=""),0,SUMIFS(INDIRECT("'"&amp;AG$5&amp;"'!E6:E1000"),INDIRECT("'"&amp;AG$5&amp;"'!C6:C1000"),$AA13,INDIRECT("'"&amp;AG$5&amp;"'!F6:F1000"),"箱")+SUMIFS(INDIRECT("'"&amp;AG$5&amp;"'!E6:E1000"),INDIRECT("'"&amp;AG$5&amp;"'!C6:C1000"),$AA13,INDIRECT("'"&amp;AG$5&amp;"'!F6:F1000"),"件"))</f>
        <v>0</v>
      </c>
      <c r="BF13">
        <f>IF(OR($AA13="",AH$5=""),0,SUMIFS(INDIRECT("'"&amp;AH$5&amp;"'!E6:E1000"),INDIRECT("'"&amp;AH$5&amp;"'!C6:C1000"),$AA13,INDIRECT("'"&amp;AH$5&amp;"'!F6:F1000"),"箱")+SUMIFS(INDIRECT("'"&amp;AH$5&amp;"'!E6:E1000"),INDIRECT("'"&amp;AH$5&amp;"'!C6:C1000"),$AA13,INDIRECT("'"&amp;AH$5&amp;"'!F6:F1000"),"件"))</f>
        <v>0</v>
      </c>
      <c r="BG13">
        <f>IF(OR($AA13="",AI$5=""),0,SUMIFS(INDIRECT("'"&amp;AI$5&amp;"'!E6:E1000"),INDIRECT("'"&amp;AI$5&amp;"'!C6:C1000"),$AA13,INDIRECT("'"&amp;AI$5&amp;"'!F6:F1000"),"箱")+SUMIFS(INDIRECT("'"&amp;AI$5&amp;"'!E6:E1000"),INDIRECT("'"&amp;AI$5&amp;"'!C6:C1000"),$AA13,INDIRECT("'"&amp;AI$5&amp;"'!F6:F1000"),"件"))</f>
        <v>0</v>
      </c>
      <c r="BH13">
        <f>IF(OR($AA13="",AJ$5=""),0,SUMIFS(INDIRECT("'"&amp;AJ$5&amp;"'!E6:E1000"),INDIRECT("'"&amp;AJ$5&amp;"'!C6:C1000"),$AA13,INDIRECT("'"&amp;AJ$5&amp;"'!F6:F1000"),"箱")+SUMIFS(INDIRECT("'"&amp;AJ$5&amp;"'!E6:E1000"),INDIRECT("'"&amp;AJ$5&amp;"'!C6:C1000"),$AA13,INDIRECT("'"&amp;AJ$5&amp;"'!F6:F1000"),"件"))</f>
        <v>0</v>
      </c>
      <c r="BI13">
        <f>IF(OR($AA13="",AK$5=""),0,SUMIFS(INDIRECT("'"&amp;AK$5&amp;"'!E6:E1000"),INDIRECT("'"&amp;AK$5&amp;"'!C6:C1000"),$AA13,INDIRECT("'"&amp;AK$5&amp;"'!F6:F1000"),"箱")+SUMIFS(INDIRECT("'"&amp;AK$5&amp;"'!E6:E1000"),INDIRECT("'"&amp;AK$5&amp;"'!C6:C1000"),$AA13,INDIRECT("'"&amp;AK$5&amp;"'!F6:F1000"),"件"))</f>
        <v>0</v>
      </c>
      <c r="BJ13">
        <f>IF(OR($AA13="",AL$5=""),0,SUMIFS(INDIRECT("'"&amp;AL$5&amp;"'!E6:E1000"),INDIRECT("'"&amp;AL$5&amp;"'!C6:C1000"),$AA13,INDIRECT("'"&amp;AL$5&amp;"'!F6:F1000"),"箱")+SUMIFS(INDIRECT("'"&amp;AL$5&amp;"'!E6:E1000"),INDIRECT("'"&amp;AL$5&amp;"'!C6:C1000"),$AA13,INDIRECT("'"&amp;AL$5&amp;"'!F6:F1000"),"件"))</f>
        <v>0</v>
      </c>
      <c r="BK13">
        <f>IF(OR($AA13="",AM$5=""),0,SUMIFS(INDIRECT("'"&amp;AM$5&amp;"'!E6:E1000"),INDIRECT("'"&amp;AM$5&amp;"'!C6:C1000"),$AA13,INDIRECT("'"&amp;AM$5&amp;"'!F6:F1000"),"箱")+SUMIFS(INDIRECT("'"&amp;AM$5&amp;"'!E6:E1000"),INDIRECT("'"&amp;AM$5&amp;"'!C6:C1000"),$AA13,INDIRECT("'"&amp;AM$5&amp;"'!F6:F1000"),"件"))</f>
        <v>0</v>
      </c>
      <c r="BL13">
        <f>IF(OR($AA13="",AN$5=""),0,SUMIFS(INDIRECT("'"&amp;AN$5&amp;"'!E6:E1000"),INDIRECT("'"&amp;AN$5&amp;"'!C6:C1000"),$AA13,INDIRECT("'"&amp;AN$5&amp;"'!F6:F1000"),"箱")+SUMIFS(INDIRECT("'"&amp;AN$5&amp;"'!E6:E1000"),INDIRECT("'"&amp;AN$5&amp;"'!C6:C1000"),$AA13,INDIRECT("'"&amp;AN$5&amp;"'!F6:F1000"),"件"))</f>
        <v>0</v>
      </c>
      <c r="BM13">
        <f>(AO13-BA13)/$AB13+BA13</f>
        <v>0</v>
      </c>
      <c r="BN13">
        <f>(AP13-BB13)/$AB13+BB13</f>
        <v>0</v>
      </c>
      <c r="BO13">
        <f>(AQ13-BC13)/$AB13+BC13</f>
        <v>0</v>
      </c>
      <c r="BP13">
        <f>(AR13-BD13)/$AB13+BD13</f>
        <v>0</v>
      </c>
      <c r="BQ13">
        <f>(AS13-BE13)/$AB13+BE13</f>
        <v>0</v>
      </c>
      <c r="BR13">
        <f>(AT13-BF13)/$AB13+BF13</f>
        <v>0.933333333333333</v>
      </c>
      <c r="BS13">
        <f>(AU13-BG13)/$AB13+BG13</f>
        <v>0</v>
      </c>
      <c r="BT13">
        <f>(AV13-BH13)/$AB13+BH13</f>
        <v>0</v>
      </c>
      <c r="BU13">
        <f>(AW13-BI13)/$AB13+BI13</f>
        <v>0</v>
      </c>
      <c r="BV13">
        <f>(AX13-BJ13)/$AB13+BJ13</f>
        <v>0</v>
      </c>
      <c r="BW13">
        <f>(AY13-BK13)/$AB13+BK13</f>
        <v>0</v>
      </c>
      <c r="BX13">
        <f>(AZ13-BL13)/$AB13+BL13</f>
        <v>0</v>
      </c>
      <c r="BY13">
        <f>SUMPRODUCT((($AC$4:$AN$4=报损汇总一览!$A$3)+(报损汇总一览!$A$3="全年"))*AC13:AN13)</f>
        <v>68.208</v>
      </c>
      <c r="BZ13">
        <f>IF(BY13&gt;0,BY13+(1000-ROW())/10000000,"")</f>
        <v>68.2080987</v>
      </c>
      <c r="CA13">
        <f>SUMPRODUCT((($AC$4:$AN$4=报损汇总一览!$A$3)+(报损汇总一览!$A$3="全年"))*AO13:AZ13)</f>
        <v>14</v>
      </c>
    </row>
    <row r="14">
      <c r="A14">
        <f>IF(OR(存条明细!C14="",存条明细!D14=""),"",IF(COUNTIFS(存条明细!$C$4:C14,存条明细!C14,存条明细!$D$4:D14,存条明细!D14)&gt;1,"",IFERROR(MATCH(存条明细!C14,总览汇总!$B$5:$B$304,0),900)*10000000+IFERROR(MATCH(存条明细!D14,基础资料!$E$5:$E$104,0),900)*10000+ROW()))</f>
        <v>30080014</v>
      </c>
      <c r="B14">
        <f>IFERROR(MATCH(SMALL($A$4:$A$4003,11),$A$4:$A$4003,0),"")</f>
        <v>1150</v>
      </c>
      <c r="D14">
        <f>IF(AND(商品库存!B14&lt;&gt;"",商品库存!B14=客户查询!$B$4),COUNTIF(商品库存!$B$4:B14,客户查询!$B$4),"")</f>
      </c>
      <c r="E14">
        <f>IF(AND(商品库存!B14&lt;&gt;"",商品库存!B14=客户对账单!$B$4),COUNTIF(商品库存!$B$4:B14,客户对账单!$B$4),"")</f>
      </c>
      <c r="F14">
        <f>IF(AND(出库明细!C14&lt;&gt;"",出库明细!C14=客户对账单!$B$4,ISNUMBER(出库明细!B14),出库明细!B14&gt;=客户对账单!$G$4,出库明细!B14&lt;=客户对账单!$I$4),出库明细!B14+ROW()/100000,"")</f>
      </c>
      <c r="H14">
        <f>IF(AND(采购进货!C14&lt;&gt;"",采购进货!C14=供应商对账单!$B$4,ISNUMBER(采购进货!B14),采购进货!B14&gt;=供应商对账单!$G$4,采购进货!B14&lt;=供应商对账单!$I$4),采购进货!B14+ROW()/100000,"")</f>
      </c>
      <c r="J14">
        <f>IF(总览汇总!$B14="","",N(总览汇总!$K14)+SUMIFS(出库明细!$G$4:$G$3003,出库明细!$C$4:$C$3003,总览汇总!$B14,出库明细!$B$4:$B$3003,"&gt;="&amp;年初日,出库明细!$B$4:$B$3003,"&lt;="&amp;资产负债表!$D$3)-SUMIFS(资金台帐!$S$7:$S$3006,资金台帐!$J$7:$J$3006,总览汇总!$B14,资金台帐!$P$7:$P$3006,"应收",资金台帐!$B$7:$B$3006,"&gt;="&amp;年初日,资金台帐!$B$7:$B$3006,"&lt;="&amp;资产负债表!$D$3))</f>
        <v>-14454</v>
      </c>
      <c r="K14">
        <f>IF(基础资料!$Q14="","",N(基础资料!$R14)+SUMIFS(采购进货!$G$4:$G$1503,采购进货!$C$4:$C$1503,基础资料!$Q14,采购进货!$B$4:$B$1503,"&gt;="&amp;年初日,采购进货!$B$4:$B$1503,"&lt;="&amp;资产负债表!$D$3)+SUMIFS(资金台帐!$S$7:$S$3006,资金台帐!$K$7:$K$3006,基础资料!$Q14,资金台帐!$P$7:$P$3006,"应付",资金台帐!$B$7:$B$3006,"&gt;="&amp;年初日,资金台帐!$B$7:$B$3006,"&lt;="&amp;资产负债表!$D$3))</f>
      </c>
      <c r="N14">
        <f>IF(AND(ISNUMBER(出库明细!G14),ISNUMBER(出库明细!E14),ISNUMBER(出库明细!F14)),IF(ABS(出库明细!G14-出库明细!E14*出库明细!F14)&gt;0.005,1,0),0)</f>
        <v>0</v>
      </c>
      <c r="O14">
        <f>IF(AND(ISNUMBER(存条明细!G14),ISNUMBER(存条明细!E14),ISNUMBER(存条明细!F14)),IF(ABS(存条明细!G14-存条明细!E14*存条明细!F14)&gt;0.005,1,0),0)</f>
        <v>0</v>
      </c>
      <c r="AA14">
        <f>IF(基础资料!G13="","",基础资料!G13&amp;"")</f>
      </c>
      <c r="AB14">
        <f>IF(N(基础资料!I13)&lt;=0,1,基础资料!I13)</f>
        <v>1</v>
      </c>
      <c r="AC14">
        <f>IF(OR($AA14="",AC$5=""),0,SUMIF(INDIRECT("'"&amp;AC$5&amp;"'!C6:C1000"),$AA14,INDIRECT("'"&amp;AC$5&amp;"'!H6:H1000")))</f>
        <v>0</v>
      </c>
      <c r="AD14">
        <f>IF(OR($AA14="",AD$5=""),0,SUMIF(INDIRECT("'"&amp;AD$5&amp;"'!C6:C1000"),$AA14,INDIRECT("'"&amp;AD$5&amp;"'!H6:H1000")))</f>
        <v>0</v>
      </c>
      <c r="AE14">
        <f>IF(OR($AA14="",AE$5=""),0,SUMIF(INDIRECT("'"&amp;AE$5&amp;"'!C6:C1000"),$AA14,INDIRECT("'"&amp;AE$5&amp;"'!H6:H1000")))</f>
        <v>0</v>
      </c>
      <c r="AF14">
        <f>IF(OR($AA14="",AF$5=""),0,SUMIF(INDIRECT("'"&amp;AF$5&amp;"'!C6:C1000"),$AA14,INDIRECT("'"&amp;AF$5&amp;"'!H6:H1000")))</f>
        <v>0</v>
      </c>
      <c r="AG14">
        <f>IF(OR($AA14="",AG$5=""),0,SUMIF(INDIRECT("'"&amp;AG$5&amp;"'!C6:C1000"),$AA14,INDIRECT("'"&amp;AG$5&amp;"'!H6:H1000")))</f>
        <v>0</v>
      </c>
      <c r="AH14">
        <f>IF(OR($AA14="",AH$5=""),0,SUMIF(INDIRECT("'"&amp;AH$5&amp;"'!C6:C1000"),$AA14,INDIRECT("'"&amp;AH$5&amp;"'!H6:H1000")))</f>
        <v>0</v>
      </c>
      <c r="AI14">
        <f>IF(OR($AA14="",AI$5=""),0,SUMIF(INDIRECT("'"&amp;AI$5&amp;"'!C6:C1000"),$AA14,INDIRECT("'"&amp;AI$5&amp;"'!H6:H1000")))</f>
        <v>0</v>
      </c>
      <c r="AJ14">
        <f>IF(OR($AA14="",AJ$5=""),0,SUMIF(INDIRECT("'"&amp;AJ$5&amp;"'!C6:C1000"),$AA14,INDIRECT("'"&amp;AJ$5&amp;"'!H6:H1000")))</f>
        <v>0</v>
      </c>
      <c r="AK14">
        <f>IF(OR($AA14="",AK$5=""),0,SUMIF(INDIRECT("'"&amp;AK$5&amp;"'!C6:C1000"),$AA14,INDIRECT("'"&amp;AK$5&amp;"'!H6:H1000")))</f>
        <v>0</v>
      </c>
      <c r="AL14">
        <f>IF(OR($AA14="",AL$5=""),0,SUMIF(INDIRECT("'"&amp;AL$5&amp;"'!C6:C1000"),$AA14,INDIRECT("'"&amp;AL$5&amp;"'!H6:H1000")))</f>
        <v>0</v>
      </c>
      <c r="AM14">
        <f>IF(OR($AA14="",AM$5=""),0,SUMIF(INDIRECT("'"&amp;AM$5&amp;"'!C6:C1000"),$AA14,INDIRECT("'"&amp;AM$5&amp;"'!H6:H1000")))</f>
        <v>0</v>
      </c>
      <c r="AN14">
        <f>IF(OR($AA14="",AN$5=""),0,SUMIF(INDIRECT("'"&amp;AN$5&amp;"'!C6:C1000"),$AA14,INDIRECT("'"&amp;AN$5&amp;"'!H6:H1000")))</f>
        <v>0</v>
      </c>
      <c r="AO14">
        <f>IF(OR($AA14="",AC$5=""),0,SUMIF(INDIRECT("'"&amp;AC$5&amp;"'!C6:C1000"),$AA14,INDIRECT("'"&amp;AC$5&amp;"'!E6:E1000")))</f>
        <v>0</v>
      </c>
      <c r="AP14">
        <f>IF(OR($AA14="",AD$5=""),0,SUMIF(INDIRECT("'"&amp;AD$5&amp;"'!C6:C1000"),$AA14,INDIRECT("'"&amp;AD$5&amp;"'!E6:E1000")))</f>
        <v>0</v>
      </c>
      <c r="AQ14">
        <f>IF(OR($AA14="",AE$5=""),0,SUMIF(INDIRECT("'"&amp;AE$5&amp;"'!C6:C1000"),$AA14,INDIRECT("'"&amp;AE$5&amp;"'!E6:E1000")))</f>
        <v>0</v>
      </c>
      <c r="AR14">
        <f>IF(OR($AA14="",AF$5=""),0,SUMIF(INDIRECT("'"&amp;AF$5&amp;"'!C6:C1000"),$AA14,INDIRECT("'"&amp;AF$5&amp;"'!E6:E1000")))</f>
        <v>0</v>
      </c>
      <c r="AS14">
        <f>IF(OR($AA14="",AG$5=""),0,SUMIF(INDIRECT("'"&amp;AG$5&amp;"'!C6:C1000"),$AA14,INDIRECT("'"&amp;AG$5&amp;"'!E6:E1000")))</f>
        <v>0</v>
      </c>
      <c r="AT14">
        <f>IF(OR($AA14="",AH$5=""),0,SUMIF(INDIRECT("'"&amp;AH$5&amp;"'!C6:C1000"),$AA14,INDIRECT("'"&amp;AH$5&amp;"'!E6:E1000")))</f>
        <v>0</v>
      </c>
      <c r="AU14">
        <f>IF(OR($AA14="",AI$5=""),0,SUMIF(INDIRECT("'"&amp;AI$5&amp;"'!C6:C1000"),$AA14,INDIRECT("'"&amp;AI$5&amp;"'!E6:E1000")))</f>
        <v>0</v>
      </c>
      <c r="AV14">
        <f>IF(OR($AA14="",AJ$5=""),0,SUMIF(INDIRECT("'"&amp;AJ$5&amp;"'!C6:C1000"),$AA14,INDIRECT("'"&amp;AJ$5&amp;"'!E6:E1000")))</f>
        <v>0</v>
      </c>
      <c r="AW14">
        <f>IF(OR($AA14="",AK$5=""),0,SUMIF(INDIRECT("'"&amp;AK$5&amp;"'!C6:C1000"),$AA14,INDIRECT("'"&amp;AK$5&amp;"'!E6:E1000")))</f>
        <v>0</v>
      </c>
      <c r="AX14">
        <f>IF(OR($AA14="",AL$5=""),0,SUMIF(INDIRECT("'"&amp;AL$5&amp;"'!C6:C1000"),$AA14,INDIRECT("'"&amp;AL$5&amp;"'!E6:E1000")))</f>
        <v>0</v>
      </c>
      <c r="AY14">
        <f>IF(OR($AA14="",AM$5=""),0,SUMIF(INDIRECT("'"&amp;AM$5&amp;"'!C6:C1000"),$AA14,INDIRECT("'"&amp;AM$5&amp;"'!E6:E1000")))</f>
        <v>0</v>
      </c>
      <c r="AZ14">
        <f>IF(OR($AA14="",AN$5=""),0,SUMIF(INDIRECT("'"&amp;AN$5&amp;"'!C6:C1000"),$AA14,INDIRECT("'"&amp;AN$5&amp;"'!E6:E1000")))</f>
        <v>0</v>
      </c>
      <c r="BA14">
        <f>IF(OR($AA14="",AC$5=""),0,SUMIFS(INDIRECT("'"&amp;AC$5&amp;"'!E6:E1000"),INDIRECT("'"&amp;AC$5&amp;"'!C6:C1000"),$AA14,INDIRECT("'"&amp;AC$5&amp;"'!F6:F1000"),"箱")+SUMIFS(INDIRECT("'"&amp;AC$5&amp;"'!E6:E1000"),INDIRECT("'"&amp;AC$5&amp;"'!C6:C1000"),$AA14,INDIRECT("'"&amp;AC$5&amp;"'!F6:F1000"),"件"))</f>
        <v>0</v>
      </c>
      <c r="BB14">
        <f>IF(OR($AA14="",AD$5=""),0,SUMIFS(INDIRECT("'"&amp;AD$5&amp;"'!E6:E1000"),INDIRECT("'"&amp;AD$5&amp;"'!C6:C1000"),$AA14,INDIRECT("'"&amp;AD$5&amp;"'!F6:F1000"),"箱")+SUMIFS(INDIRECT("'"&amp;AD$5&amp;"'!E6:E1000"),INDIRECT("'"&amp;AD$5&amp;"'!C6:C1000"),$AA14,INDIRECT("'"&amp;AD$5&amp;"'!F6:F1000"),"件"))</f>
        <v>0</v>
      </c>
      <c r="BC14">
        <f>IF(OR($AA14="",AE$5=""),0,SUMIFS(INDIRECT("'"&amp;AE$5&amp;"'!E6:E1000"),INDIRECT("'"&amp;AE$5&amp;"'!C6:C1000"),$AA14,INDIRECT("'"&amp;AE$5&amp;"'!F6:F1000"),"箱")+SUMIFS(INDIRECT("'"&amp;AE$5&amp;"'!E6:E1000"),INDIRECT("'"&amp;AE$5&amp;"'!C6:C1000"),$AA14,INDIRECT("'"&amp;AE$5&amp;"'!F6:F1000"),"件"))</f>
        <v>0</v>
      </c>
      <c r="BD14">
        <f>IF(OR($AA14="",AF$5=""),0,SUMIFS(INDIRECT("'"&amp;AF$5&amp;"'!E6:E1000"),INDIRECT("'"&amp;AF$5&amp;"'!C6:C1000"),$AA14,INDIRECT("'"&amp;AF$5&amp;"'!F6:F1000"),"箱")+SUMIFS(INDIRECT("'"&amp;AF$5&amp;"'!E6:E1000"),INDIRECT("'"&amp;AF$5&amp;"'!C6:C1000"),$AA14,INDIRECT("'"&amp;AF$5&amp;"'!F6:F1000"),"件"))</f>
        <v>0</v>
      </c>
      <c r="BE14">
        <f>IF(OR($AA14="",AG$5=""),0,SUMIFS(INDIRECT("'"&amp;AG$5&amp;"'!E6:E1000"),INDIRECT("'"&amp;AG$5&amp;"'!C6:C1000"),$AA14,INDIRECT("'"&amp;AG$5&amp;"'!F6:F1000"),"箱")+SUMIFS(INDIRECT("'"&amp;AG$5&amp;"'!E6:E1000"),INDIRECT("'"&amp;AG$5&amp;"'!C6:C1000"),$AA14,INDIRECT("'"&amp;AG$5&amp;"'!F6:F1000"),"件"))</f>
        <v>0</v>
      </c>
      <c r="BF14">
        <f>IF(OR($AA14="",AH$5=""),0,SUMIFS(INDIRECT("'"&amp;AH$5&amp;"'!E6:E1000"),INDIRECT("'"&amp;AH$5&amp;"'!C6:C1000"),$AA14,INDIRECT("'"&amp;AH$5&amp;"'!F6:F1000"),"箱")+SUMIFS(INDIRECT("'"&amp;AH$5&amp;"'!E6:E1000"),INDIRECT("'"&amp;AH$5&amp;"'!C6:C1000"),$AA14,INDIRECT("'"&amp;AH$5&amp;"'!F6:F1000"),"件"))</f>
        <v>0</v>
      </c>
      <c r="BG14">
        <f>IF(OR($AA14="",AI$5=""),0,SUMIFS(INDIRECT("'"&amp;AI$5&amp;"'!E6:E1000"),INDIRECT("'"&amp;AI$5&amp;"'!C6:C1000"),$AA14,INDIRECT("'"&amp;AI$5&amp;"'!F6:F1000"),"箱")+SUMIFS(INDIRECT("'"&amp;AI$5&amp;"'!E6:E1000"),INDIRECT("'"&amp;AI$5&amp;"'!C6:C1000"),$AA14,INDIRECT("'"&amp;AI$5&amp;"'!F6:F1000"),"件"))</f>
        <v>0</v>
      </c>
      <c r="BH14">
        <f>IF(OR($AA14="",AJ$5=""),0,SUMIFS(INDIRECT("'"&amp;AJ$5&amp;"'!E6:E1000"),INDIRECT("'"&amp;AJ$5&amp;"'!C6:C1000"),$AA14,INDIRECT("'"&amp;AJ$5&amp;"'!F6:F1000"),"箱")+SUMIFS(INDIRECT("'"&amp;AJ$5&amp;"'!E6:E1000"),INDIRECT("'"&amp;AJ$5&amp;"'!C6:C1000"),$AA14,INDIRECT("'"&amp;AJ$5&amp;"'!F6:F1000"),"件"))</f>
        <v>0</v>
      </c>
      <c r="BI14">
        <f>IF(OR($AA14="",AK$5=""),0,SUMIFS(INDIRECT("'"&amp;AK$5&amp;"'!E6:E1000"),INDIRECT("'"&amp;AK$5&amp;"'!C6:C1000"),$AA14,INDIRECT("'"&amp;AK$5&amp;"'!F6:F1000"),"箱")+SUMIFS(INDIRECT("'"&amp;AK$5&amp;"'!E6:E1000"),INDIRECT("'"&amp;AK$5&amp;"'!C6:C1000"),$AA14,INDIRECT("'"&amp;AK$5&amp;"'!F6:F1000"),"件"))</f>
        <v>0</v>
      </c>
      <c r="BJ14">
        <f>IF(OR($AA14="",AL$5=""),0,SUMIFS(INDIRECT("'"&amp;AL$5&amp;"'!E6:E1000"),INDIRECT("'"&amp;AL$5&amp;"'!C6:C1000"),$AA14,INDIRECT("'"&amp;AL$5&amp;"'!F6:F1000"),"箱")+SUMIFS(INDIRECT("'"&amp;AL$5&amp;"'!E6:E1000"),INDIRECT("'"&amp;AL$5&amp;"'!C6:C1000"),$AA14,INDIRECT("'"&amp;AL$5&amp;"'!F6:F1000"),"件"))</f>
        <v>0</v>
      </c>
      <c r="BK14">
        <f>IF(OR($AA14="",AM$5=""),0,SUMIFS(INDIRECT("'"&amp;AM$5&amp;"'!E6:E1000"),INDIRECT("'"&amp;AM$5&amp;"'!C6:C1000"),$AA14,INDIRECT("'"&amp;AM$5&amp;"'!F6:F1000"),"箱")+SUMIFS(INDIRECT("'"&amp;AM$5&amp;"'!E6:E1000"),INDIRECT("'"&amp;AM$5&amp;"'!C6:C1000"),$AA14,INDIRECT("'"&amp;AM$5&amp;"'!F6:F1000"),"件"))</f>
        <v>0</v>
      </c>
      <c r="BL14">
        <f>IF(OR($AA14="",AN$5=""),0,SUMIFS(INDIRECT("'"&amp;AN$5&amp;"'!E6:E1000"),INDIRECT("'"&amp;AN$5&amp;"'!C6:C1000"),$AA14,INDIRECT("'"&amp;AN$5&amp;"'!F6:F1000"),"箱")+SUMIFS(INDIRECT("'"&amp;AN$5&amp;"'!E6:E1000"),INDIRECT("'"&amp;AN$5&amp;"'!C6:C1000"),$AA14,INDIRECT("'"&amp;AN$5&amp;"'!F6:F1000"),"件"))</f>
        <v>0</v>
      </c>
      <c r="BM14">
        <f>(AO14-BA14)/$AB14+BA14</f>
        <v>0</v>
      </c>
      <c r="BN14">
        <f>(AP14-BB14)/$AB14+BB14</f>
        <v>0</v>
      </c>
      <c r="BO14">
        <f>(AQ14-BC14)/$AB14+BC14</f>
        <v>0</v>
      </c>
      <c r="BP14">
        <f>(AR14-BD14)/$AB14+BD14</f>
        <v>0</v>
      </c>
      <c r="BQ14">
        <f>(AS14-BE14)/$AB14+BE14</f>
        <v>0</v>
      </c>
      <c r="BR14">
        <f>(AT14-BF14)/$AB14+BF14</f>
        <v>0</v>
      </c>
      <c r="BS14">
        <f>(AU14-BG14)/$AB14+BG14</f>
        <v>0</v>
      </c>
      <c r="BT14">
        <f>(AV14-BH14)/$AB14+BH14</f>
        <v>0</v>
      </c>
      <c r="BU14">
        <f>(AW14-BI14)/$AB14+BI14</f>
        <v>0</v>
      </c>
      <c r="BV14">
        <f>(AX14-BJ14)/$AB14+BJ14</f>
        <v>0</v>
      </c>
      <c r="BW14">
        <f>(AY14-BK14)/$AB14+BK14</f>
        <v>0</v>
      </c>
      <c r="BX14">
        <f>(AZ14-BL14)/$AB14+BL14</f>
        <v>0</v>
      </c>
      <c r="BY14">
        <f>SUMPRODUCT((($AC$4:$AN$4=报损汇总一览!$A$3)+(报损汇总一览!$A$3="全年"))*AC14:AN14)</f>
        <v>0</v>
      </c>
      <c r="BZ14">
        <f>IF(BY14&gt;0,BY14+(1000-ROW())/10000000,"")</f>
      </c>
      <c r="CA14">
        <f>SUMPRODUCT((($AC$4:$AN$4=报损汇总一览!$A$3)+(报损汇总一览!$A$3="全年"))*AO14:AZ14)</f>
        <v>0</v>
      </c>
    </row>
    <row r="15">
      <c r="A15">
        <f>IF(OR(存条明细!C15="",存条明细!D15=""),"",IF(COUNTIFS(存条明细!$C$4:C15,存条明细!C15,存条明细!$D$4:D15,存条明细!D15)&gt;1,"",IFERROR(MATCH(存条明细!C15,总览汇总!$B$5:$B$304,0),900)*10000000+IFERROR(MATCH(存条明细!D15,基础资料!$E$5:$E$104,0),900)*10000+ROW()))</f>
        <v>30070015</v>
      </c>
      <c r="B15">
        <f>IFERROR(MATCH(SMALL($A$4:$A$4003,12),$A$4:$A$4003,0),"")</f>
        <v>1147</v>
      </c>
      <c r="D15">
        <f>IF(AND(商品库存!B15&lt;&gt;"",商品库存!B15=客户查询!$B$4),COUNTIF(商品库存!$B$4:B15,客户查询!$B$4),"")</f>
      </c>
      <c r="E15">
        <f>IF(AND(商品库存!B15&lt;&gt;"",商品库存!B15=客户对账单!$B$4),COUNTIF(商品库存!$B$4:B15,客户对账单!$B$4),"")</f>
      </c>
      <c r="F15">
        <f>IF(AND(出库明细!C15&lt;&gt;"",出库明细!C15=客户对账单!$B$4,ISNUMBER(出库明细!B15),出库明细!B15&gt;=客户对账单!$G$4,出库明细!B15&lt;=客户对账单!$I$4),出库明细!B15+ROW()/100000,"")</f>
      </c>
      <c r="H15">
        <f>IF(AND(采购进货!C15&lt;&gt;"",采购进货!C15=供应商对账单!$B$4,ISNUMBER(采购进货!B15),采购进货!B15&gt;=供应商对账单!$G$4,采购进货!B15&lt;=供应商对账单!$I$4),采购进货!B15+ROW()/100000,"")</f>
      </c>
      <c r="J15">
        <f>IF(总览汇总!$B15="","",N(总览汇总!$K15)+SUMIFS(出库明细!$G$4:$G$3003,出库明细!$C$4:$C$3003,总览汇总!$B15,出库明细!$B$4:$B$3003,"&gt;="&amp;年初日,出库明细!$B$4:$B$3003,"&lt;="&amp;资产负债表!$D$3)-SUMIFS(资金台帐!$S$7:$S$3006,资金台帐!$J$7:$J$3006,总览汇总!$B15,资金台帐!$P$7:$P$3006,"应收",资金台帐!$B$7:$B$3006,"&gt;="&amp;年初日,资金台帐!$B$7:$B$3006,"&lt;="&amp;资产负债表!$D$3))</f>
        <v>-11993</v>
      </c>
      <c r="K15">
        <f>IF(基础资料!$Q15="","",N(基础资料!$R15)+SUMIFS(采购进货!$G$4:$G$1503,采购进货!$C$4:$C$1503,基础资料!$Q15,采购进货!$B$4:$B$1503,"&gt;="&amp;年初日,采购进货!$B$4:$B$1503,"&lt;="&amp;资产负债表!$D$3)+SUMIFS(资金台帐!$S$7:$S$3006,资金台帐!$K$7:$K$3006,基础资料!$Q15,资金台帐!$P$7:$P$3006,"应付",资金台帐!$B$7:$B$3006,"&gt;="&amp;年初日,资金台帐!$B$7:$B$3006,"&lt;="&amp;资产负债表!$D$3))</f>
      </c>
      <c r="N15">
        <f>IF(AND(ISNUMBER(出库明细!G15),ISNUMBER(出库明细!E15),ISNUMBER(出库明细!F15)),IF(ABS(出库明细!G15-出库明细!E15*出库明细!F15)&gt;0.005,1,0),0)</f>
        <v>0</v>
      </c>
      <c r="O15">
        <f>IF(AND(ISNUMBER(存条明细!G15),ISNUMBER(存条明细!E15),ISNUMBER(存条明细!F15)),IF(ABS(存条明细!G15-存条明细!E15*存条明细!F15)&gt;0.005,1,0),0)</f>
        <v>0</v>
      </c>
      <c r="AA15">
        <f>IF(基础资料!G14="","",基础资料!G14&amp;"")</f>
      </c>
      <c r="AB15">
        <f>IF(N(基础资料!I14)&lt;=0,1,基础资料!I14)</f>
        <v>1</v>
      </c>
      <c r="AC15">
        <f>IF(OR($AA15="",AC$5=""),0,SUMIF(INDIRECT("'"&amp;AC$5&amp;"'!C6:C1000"),$AA15,INDIRECT("'"&amp;AC$5&amp;"'!H6:H1000")))</f>
        <v>0</v>
      </c>
      <c r="AD15">
        <f>IF(OR($AA15="",AD$5=""),0,SUMIF(INDIRECT("'"&amp;AD$5&amp;"'!C6:C1000"),$AA15,INDIRECT("'"&amp;AD$5&amp;"'!H6:H1000")))</f>
        <v>0</v>
      </c>
      <c r="AE15">
        <f>IF(OR($AA15="",AE$5=""),0,SUMIF(INDIRECT("'"&amp;AE$5&amp;"'!C6:C1000"),$AA15,INDIRECT("'"&amp;AE$5&amp;"'!H6:H1000")))</f>
        <v>0</v>
      </c>
      <c r="AF15">
        <f>IF(OR($AA15="",AF$5=""),0,SUMIF(INDIRECT("'"&amp;AF$5&amp;"'!C6:C1000"),$AA15,INDIRECT("'"&amp;AF$5&amp;"'!H6:H1000")))</f>
        <v>0</v>
      </c>
      <c r="AG15">
        <f>IF(OR($AA15="",AG$5=""),0,SUMIF(INDIRECT("'"&amp;AG$5&amp;"'!C6:C1000"),$AA15,INDIRECT("'"&amp;AG$5&amp;"'!H6:H1000")))</f>
        <v>0</v>
      </c>
      <c r="AH15">
        <f>IF(OR($AA15="",AH$5=""),0,SUMIF(INDIRECT("'"&amp;AH$5&amp;"'!C6:C1000"),$AA15,INDIRECT("'"&amp;AH$5&amp;"'!H6:H1000")))</f>
        <v>0</v>
      </c>
      <c r="AI15">
        <f>IF(OR($AA15="",AI$5=""),0,SUMIF(INDIRECT("'"&amp;AI$5&amp;"'!C6:C1000"),$AA15,INDIRECT("'"&amp;AI$5&amp;"'!H6:H1000")))</f>
        <v>0</v>
      </c>
      <c r="AJ15">
        <f>IF(OR($AA15="",AJ$5=""),0,SUMIF(INDIRECT("'"&amp;AJ$5&amp;"'!C6:C1000"),$AA15,INDIRECT("'"&amp;AJ$5&amp;"'!H6:H1000")))</f>
        <v>0</v>
      </c>
      <c r="AK15">
        <f>IF(OR($AA15="",AK$5=""),0,SUMIF(INDIRECT("'"&amp;AK$5&amp;"'!C6:C1000"),$AA15,INDIRECT("'"&amp;AK$5&amp;"'!H6:H1000")))</f>
        <v>0</v>
      </c>
      <c r="AL15">
        <f>IF(OR($AA15="",AL$5=""),0,SUMIF(INDIRECT("'"&amp;AL$5&amp;"'!C6:C1000"),$AA15,INDIRECT("'"&amp;AL$5&amp;"'!H6:H1000")))</f>
        <v>0</v>
      </c>
      <c r="AM15">
        <f>IF(OR($AA15="",AM$5=""),0,SUMIF(INDIRECT("'"&amp;AM$5&amp;"'!C6:C1000"),$AA15,INDIRECT("'"&amp;AM$5&amp;"'!H6:H1000")))</f>
        <v>0</v>
      </c>
      <c r="AN15">
        <f>IF(OR($AA15="",AN$5=""),0,SUMIF(INDIRECT("'"&amp;AN$5&amp;"'!C6:C1000"),$AA15,INDIRECT("'"&amp;AN$5&amp;"'!H6:H1000")))</f>
        <v>0</v>
      </c>
      <c r="AO15">
        <f>IF(OR($AA15="",AC$5=""),0,SUMIF(INDIRECT("'"&amp;AC$5&amp;"'!C6:C1000"),$AA15,INDIRECT("'"&amp;AC$5&amp;"'!E6:E1000")))</f>
        <v>0</v>
      </c>
      <c r="AP15">
        <f>IF(OR($AA15="",AD$5=""),0,SUMIF(INDIRECT("'"&amp;AD$5&amp;"'!C6:C1000"),$AA15,INDIRECT("'"&amp;AD$5&amp;"'!E6:E1000")))</f>
        <v>0</v>
      </c>
      <c r="AQ15">
        <f>IF(OR($AA15="",AE$5=""),0,SUMIF(INDIRECT("'"&amp;AE$5&amp;"'!C6:C1000"),$AA15,INDIRECT("'"&amp;AE$5&amp;"'!E6:E1000")))</f>
        <v>0</v>
      </c>
      <c r="AR15">
        <f>IF(OR($AA15="",AF$5=""),0,SUMIF(INDIRECT("'"&amp;AF$5&amp;"'!C6:C1000"),$AA15,INDIRECT("'"&amp;AF$5&amp;"'!E6:E1000")))</f>
        <v>0</v>
      </c>
      <c r="AS15">
        <f>IF(OR($AA15="",AG$5=""),0,SUMIF(INDIRECT("'"&amp;AG$5&amp;"'!C6:C1000"),$AA15,INDIRECT("'"&amp;AG$5&amp;"'!E6:E1000")))</f>
        <v>0</v>
      </c>
      <c r="AT15">
        <f>IF(OR($AA15="",AH$5=""),0,SUMIF(INDIRECT("'"&amp;AH$5&amp;"'!C6:C1000"),$AA15,INDIRECT("'"&amp;AH$5&amp;"'!E6:E1000")))</f>
        <v>0</v>
      </c>
      <c r="AU15">
        <f>IF(OR($AA15="",AI$5=""),0,SUMIF(INDIRECT("'"&amp;AI$5&amp;"'!C6:C1000"),$AA15,INDIRECT("'"&amp;AI$5&amp;"'!E6:E1000")))</f>
        <v>0</v>
      </c>
      <c r="AV15">
        <f>IF(OR($AA15="",AJ$5=""),0,SUMIF(INDIRECT("'"&amp;AJ$5&amp;"'!C6:C1000"),$AA15,INDIRECT("'"&amp;AJ$5&amp;"'!E6:E1000")))</f>
        <v>0</v>
      </c>
      <c r="AW15">
        <f>IF(OR($AA15="",AK$5=""),0,SUMIF(INDIRECT("'"&amp;AK$5&amp;"'!C6:C1000"),$AA15,INDIRECT("'"&amp;AK$5&amp;"'!E6:E1000")))</f>
        <v>0</v>
      </c>
      <c r="AX15">
        <f>IF(OR($AA15="",AL$5=""),0,SUMIF(INDIRECT("'"&amp;AL$5&amp;"'!C6:C1000"),$AA15,INDIRECT("'"&amp;AL$5&amp;"'!E6:E1000")))</f>
        <v>0</v>
      </c>
      <c r="AY15">
        <f>IF(OR($AA15="",AM$5=""),0,SUMIF(INDIRECT("'"&amp;AM$5&amp;"'!C6:C1000"),$AA15,INDIRECT("'"&amp;AM$5&amp;"'!E6:E1000")))</f>
        <v>0</v>
      </c>
      <c r="AZ15">
        <f>IF(OR($AA15="",AN$5=""),0,SUMIF(INDIRECT("'"&amp;AN$5&amp;"'!C6:C1000"),$AA15,INDIRECT("'"&amp;AN$5&amp;"'!E6:E1000")))</f>
        <v>0</v>
      </c>
      <c r="BA15">
        <f>IF(OR($AA15="",AC$5=""),0,SUMIFS(INDIRECT("'"&amp;AC$5&amp;"'!E6:E1000"),INDIRECT("'"&amp;AC$5&amp;"'!C6:C1000"),$AA15,INDIRECT("'"&amp;AC$5&amp;"'!F6:F1000"),"箱")+SUMIFS(INDIRECT("'"&amp;AC$5&amp;"'!E6:E1000"),INDIRECT("'"&amp;AC$5&amp;"'!C6:C1000"),$AA15,INDIRECT("'"&amp;AC$5&amp;"'!F6:F1000"),"件"))</f>
        <v>0</v>
      </c>
      <c r="BB15">
        <f>IF(OR($AA15="",AD$5=""),0,SUMIFS(INDIRECT("'"&amp;AD$5&amp;"'!E6:E1000"),INDIRECT("'"&amp;AD$5&amp;"'!C6:C1000"),$AA15,INDIRECT("'"&amp;AD$5&amp;"'!F6:F1000"),"箱")+SUMIFS(INDIRECT("'"&amp;AD$5&amp;"'!E6:E1000"),INDIRECT("'"&amp;AD$5&amp;"'!C6:C1000"),$AA15,INDIRECT("'"&amp;AD$5&amp;"'!F6:F1000"),"件"))</f>
        <v>0</v>
      </c>
      <c r="BC15">
        <f>IF(OR($AA15="",AE$5=""),0,SUMIFS(INDIRECT("'"&amp;AE$5&amp;"'!E6:E1000"),INDIRECT("'"&amp;AE$5&amp;"'!C6:C1000"),$AA15,INDIRECT("'"&amp;AE$5&amp;"'!F6:F1000"),"箱")+SUMIFS(INDIRECT("'"&amp;AE$5&amp;"'!E6:E1000"),INDIRECT("'"&amp;AE$5&amp;"'!C6:C1000"),$AA15,INDIRECT("'"&amp;AE$5&amp;"'!F6:F1000"),"件"))</f>
        <v>0</v>
      </c>
      <c r="BD15">
        <f>IF(OR($AA15="",AF$5=""),0,SUMIFS(INDIRECT("'"&amp;AF$5&amp;"'!E6:E1000"),INDIRECT("'"&amp;AF$5&amp;"'!C6:C1000"),$AA15,INDIRECT("'"&amp;AF$5&amp;"'!F6:F1000"),"箱")+SUMIFS(INDIRECT("'"&amp;AF$5&amp;"'!E6:E1000"),INDIRECT("'"&amp;AF$5&amp;"'!C6:C1000"),$AA15,INDIRECT("'"&amp;AF$5&amp;"'!F6:F1000"),"件"))</f>
        <v>0</v>
      </c>
      <c r="BE15">
        <f>IF(OR($AA15="",AG$5=""),0,SUMIFS(INDIRECT("'"&amp;AG$5&amp;"'!E6:E1000"),INDIRECT("'"&amp;AG$5&amp;"'!C6:C1000"),$AA15,INDIRECT("'"&amp;AG$5&amp;"'!F6:F1000"),"箱")+SUMIFS(INDIRECT("'"&amp;AG$5&amp;"'!E6:E1000"),INDIRECT("'"&amp;AG$5&amp;"'!C6:C1000"),$AA15,INDIRECT("'"&amp;AG$5&amp;"'!F6:F1000"),"件"))</f>
        <v>0</v>
      </c>
      <c r="BF15">
        <f>IF(OR($AA15="",AH$5=""),0,SUMIFS(INDIRECT("'"&amp;AH$5&amp;"'!E6:E1000"),INDIRECT("'"&amp;AH$5&amp;"'!C6:C1000"),$AA15,INDIRECT("'"&amp;AH$5&amp;"'!F6:F1000"),"箱")+SUMIFS(INDIRECT("'"&amp;AH$5&amp;"'!E6:E1000"),INDIRECT("'"&amp;AH$5&amp;"'!C6:C1000"),$AA15,INDIRECT("'"&amp;AH$5&amp;"'!F6:F1000"),"件"))</f>
        <v>0</v>
      </c>
      <c r="BG15">
        <f>IF(OR($AA15="",AI$5=""),0,SUMIFS(INDIRECT("'"&amp;AI$5&amp;"'!E6:E1000"),INDIRECT("'"&amp;AI$5&amp;"'!C6:C1000"),$AA15,INDIRECT("'"&amp;AI$5&amp;"'!F6:F1000"),"箱")+SUMIFS(INDIRECT("'"&amp;AI$5&amp;"'!E6:E1000"),INDIRECT("'"&amp;AI$5&amp;"'!C6:C1000"),$AA15,INDIRECT("'"&amp;AI$5&amp;"'!F6:F1000"),"件"))</f>
        <v>0</v>
      </c>
      <c r="BH15">
        <f>IF(OR($AA15="",AJ$5=""),0,SUMIFS(INDIRECT("'"&amp;AJ$5&amp;"'!E6:E1000"),INDIRECT("'"&amp;AJ$5&amp;"'!C6:C1000"),$AA15,INDIRECT("'"&amp;AJ$5&amp;"'!F6:F1000"),"箱")+SUMIFS(INDIRECT("'"&amp;AJ$5&amp;"'!E6:E1000"),INDIRECT("'"&amp;AJ$5&amp;"'!C6:C1000"),$AA15,INDIRECT("'"&amp;AJ$5&amp;"'!F6:F1000"),"件"))</f>
        <v>0</v>
      </c>
      <c r="BI15">
        <f>IF(OR($AA15="",AK$5=""),0,SUMIFS(INDIRECT("'"&amp;AK$5&amp;"'!E6:E1000"),INDIRECT("'"&amp;AK$5&amp;"'!C6:C1000"),$AA15,INDIRECT("'"&amp;AK$5&amp;"'!F6:F1000"),"箱")+SUMIFS(INDIRECT("'"&amp;AK$5&amp;"'!E6:E1000"),INDIRECT("'"&amp;AK$5&amp;"'!C6:C1000"),$AA15,INDIRECT("'"&amp;AK$5&amp;"'!F6:F1000"),"件"))</f>
        <v>0</v>
      </c>
      <c r="BJ15">
        <f>IF(OR($AA15="",AL$5=""),0,SUMIFS(INDIRECT("'"&amp;AL$5&amp;"'!E6:E1000"),INDIRECT("'"&amp;AL$5&amp;"'!C6:C1000"),$AA15,INDIRECT("'"&amp;AL$5&amp;"'!F6:F1000"),"箱")+SUMIFS(INDIRECT("'"&amp;AL$5&amp;"'!E6:E1000"),INDIRECT("'"&amp;AL$5&amp;"'!C6:C1000"),$AA15,INDIRECT("'"&amp;AL$5&amp;"'!F6:F1000"),"件"))</f>
        <v>0</v>
      </c>
      <c r="BK15">
        <f>IF(OR($AA15="",AM$5=""),0,SUMIFS(INDIRECT("'"&amp;AM$5&amp;"'!E6:E1000"),INDIRECT("'"&amp;AM$5&amp;"'!C6:C1000"),$AA15,INDIRECT("'"&amp;AM$5&amp;"'!F6:F1000"),"箱")+SUMIFS(INDIRECT("'"&amp;AM$5&amp;"'!E6:E1000"),INDIRECT("'"&amp;AM$5&amp;"'!C6:C1000"),$AA15,INDIRECT("'"&amp;AM$5&amp;"'!F6:F1000"),"件"))</f>
        <v>0</v>
      </c>
      <c r="BL15">
        <f>IF(OR($AA15="",AN$5=""),0,SUMIFS(INDIRECT("'"&amp;AN$5&amp;"'!E6:E1000"),INDIRECT("'"&amp;AN$5&amp;"'!C6:C1000"),$AA15,INDIRECT("'"&amp;AN$5&amp;"'!F6:F1000"),"箱")+SUMIFS(INDIRECT("'"&amp;AN$5&amp;"'!E6:E1000"),INDIRECT("'"&amp;AN$5&amp;"'!C6:C1000"),$AA15,INDIRECT("'"&amp;AN$5&amp;"'!F6:F1000"),"件"))</f>
        <v>0</v>
      </c>
      <c r="BM15">
        <f>(AO15-BA15)/$AB15+BA15</f>
        <v>0</v>
      </c>
      <c r="BN15">
        <f>(AP15-BB15)/$AB15+BB15</f>
        <v>0</v>
      </c>
      <c r="BO15">
        <f>(AQ15-BC15)/$AB15+BC15</f>
        <v>0</v>
      </c>
      <c r="BP15">
        <f>(AR15-BD15)/$AB15+BD15</f>
        <v>0</v>
      </c>
      <c r="BQ15">
        <f>(AS15-BE15)/$AB15+BE15</f>
        <v>0</v>
      </c>
      <c r="BR15">
        <f>(AT15-BF15)/$AB15+BF15</f>
        <v>0</v>
      </c>
      <c r="BS15">
        <f>(AU15-BG15)/$AB15+BG15</f>
        <v>0</v>
      </c>
      <c r="BT15">
        <f>(AV15-BH15)/$AB15+BH15</f>
        <v>0</v>
      </c>
      <c r="BU15">
        <f>(AW15-BI15)/$AB15+BI15</f>
        <v>0</v>
      </c>
      <c r="BV15">
        <f>(AX15-BJ15)/$AB15+BJ15</f>
        <v>0</v>
      </c>
      <c r="BW15">
        <f>(AY15-BK15)/$AB15+BK15</f>
        <v>0</v>
      </c>
      <c r="BX15">
        <f>(AZ15-BL15)/$AB15+BL15</f>
        <v>0</v>
      </c>
      <c r="BY15">
        <f>SUMPRODUCT((($AC$4:$AN$4=报损汇总一览!$A$3)+(报损汇总一览!$A$3="全年"))*AC15:AN15)</f>
        <v>0</v>
      </c>
      <c r="BZ15">
        <f>IF(BY15&gt;0,BY15+(1000-ROW())/10000000,"")</f>
      </c>
      <c r="CA15">
        <f>SUMPRODUCT((($AC$4:$AN$4=报损汇总一览!$A$3)+(报损汇总一览!$A$3="全年"))*AO15:AZ15)</f>
        <v>0</v>
      </c>
    </row>
    <row r="16">
      <c r="A16">
        <f>IF(OR(存条明细!C16="",存条明细!D16=""),"",IF(COUNTIFS(存条明细!$C$4:C16,存条明细!C16,存条明细!$D$4:D16,存条明细!D16)&gt;1,"",IFERROR(MATCH(存条明细!C16,总览汇总!$B$5:$B$304,0),900)*10000000+IFERROR(MATCH(存条明细!D16,基础资料!$E$5:$E$104,0),900)*10000+ROW()))</f>
        <v>30060016</v>
      </c>
      <c r="B16">
        <f>IFERROR(MATCH(SMALL($A$4:$A$4003,13),$A$4:$A$4003,0),"")</f>
        <v>1145</v>
      </c>
      <c r="D16">
        <f>IF(AND(商品库存!B16&lt;&gt;"",商品库存!B16=客户查询!$B$4),COUNTIF(商品库存!$B$4:B16,客户查询!$B$4),"")</f>
      </c>
      <c r="E16">
        <f>IF(AND(商品库存!B16&lt;&gt;"",商品库存!B16=客户对账单!$B$4),COUNTIF(商品库存!$B$4:B16,客户对账单!$B$4),"")</f>
      </c>
      <c r="F16">
        <f>IF(AND(出库明细!C16&lt;&gt;"",出库明细!C16=客户对账单!$B$4,ISNUMBER(出库明细!B16),出库明细!B16&gt;=客户对账单!$G$4,出库明细!B16&lt;=客户对账单!$I$4),出库明细!B16+ROW()/100000,"")</f>
      </c>
      <c r="H16">
        <f>IF(AND(采购进货!C16&lt;&gt;"",采购进货!C16=供应商对账单!$B$4,ISNUMBER(采购进货!B16),采购进货!B16&gt;=供应商对账单!$G$4,采购进货!B16&lt;=供应商对账单!$I$4),采购进货!B16+ROW()/100000,"")</f>
      </c>
      <c r="J16">
        <f>IF(总览汇总!$B16="","",N(总览汇总!$K16)+SUMIFS(出库明细!$G$4:$G$3003,出库明细!$C$4:$C$3003,总览汇总!$B16,出库明细!$B$4:$B$3003,"&gt;="&amp;年初日,出库明细!$B$4:$B$3003,"&lt;="&amp;资产负债表!$D$3)-SUMIFS(资金台帐!$S$7:$S$3006,资金台帐!$J$7:$J$3006,总览汇总!$B16,资金台帐!$P$7:$P$3006,"应收",资金台帐!$B$7:$B$3006,"&gt;="&amp;年初日,资金台帐!$B$7:$B$3006,"&lt;="&amp;资产负债表!$D$3))</f>
        <v>-49665</v>
      </c>
      <c r="K16">
        <f>IF(基础资料!$Q16="","",N(基础资料!$R16)+SUMIFS(采购进货!$G$4:$G$1503,采购进货!$C$4:$C$1503,基础资料!$Q16,采购进货!$B$4:$B$1503,"&gt;="&amp;年初日,采购进货!$B$4:$B$1503,"&lt;="&amp;资产负债表!$D$3)+SUMIFS(资金台帐!$S$7:$S$3006,资金台帐!$K$7:$K$3006,基础资料!$Q16,资金台帐!$P$7:$P$3006,"应付",资金台帐!$B$7:$B$3006,"&gt;="&amp;年初日,资金台帐!$B$7:$B$3006,"&lt;="&amp;资产负债表!$D$3))</f>
      </c>
      <c r="N16">
        <f>IF(AND(ISNUMBER(出库明细!G16),ISNUMBER(出库明细!E16),ISNUMBER(出库明细!F16)),IF(ABS(出库明细!G16-出库明细!E16*出库明细!F16)&gt;0.005,1,0),0)</f>
        <v>0</v>
      </c>
      <c r="O16">
        <f>IF(AND(ISNUMBER(存条明细!G16),ISNUMBER(存条明细!E16),ISNUMBER(存条明细!F16)),IF(ABS(存条明细!G16-存条明细!E16*存条明细!F16)&gt;0.005,1,0),0)</f>
        <v>0</v>
      </c>
      <c r="AA16" t="str">
        <f>IF(基础资料!G15="","",基础资料!G15&amp;"")</f>
        <v>东鹏小海岛椰</v>
      </c>
      <c r="AB16">
        <f>IF(N(基础资料!I15)&lt;=0,1,基础资料!I15)</f>
        <v>12</v>
      </c>
      <c r="AC16">
        <f>IF(OR($AA16="",AC$5=""),0,SUMIF(INDIRECT("'"&amp;AC$5&amp;"'!C6:C1000"),$AA16,INDIRECT("'"&amp;AC$5&amp;"'!H6:H1000")))</f>
        <v>0</v>
      </c>
      <c r="AD16">
        <f>IF(OR($AA16="",AD$5=""),0,SUMIF(INDIRECT("'"&amp;AD$5&amp;"'!C6:C1000"),$AA16,INDIRECT("'"&amp;AD$5&amp;"'!H6:H1000")))</f>
        <v>0</v>
      </c>
      <c r="AE16">
        <f>IF(OR($AA16="",AE$5=""),0,SUMIF(INDIRECT("'"&amp;AE$5&amp;"'!C6:C1000"),$AA16,INDIRECT("'"&amp;AE$5&amp;"'!H6:H1000")))</f>
        <v>0</v>
      </c>
      <c r="AF16">
        <f>IF(OR($AA16="",AF$5=""),0,SUMIF(INDIRECT("'"&amp;AF$5&amp;"'!C6:C1000"),$AA16,INDIRECT("'"&amp;AF$5&amp;"'!H6:H1000")))</f>
        <v>0</v>
      </c>
      <c r="AG16">
        <f>IF(OR($AA16="",AG$5=""),0,SUMIF(INDIRECT("'"&amp;AG$5&amp;"'!C6:C1000"),$AA16,INDIRECT("'"&amp;AG$5&amp;"'!H6:H1000")))</f>
        <v>0</v>
      </c>
      <c r="AH16">
        <f>IF(OR($AA16="",AH$5=""),0,SUMIF(INDIRECT("'"&amp;AH$5&amp;"'!C6:C1000"),$AA16,INDIRECT("'"&amp;AH$5&amp;"'!H6:H1000")))</f>
        <v>73.8</v>
      </c>
      <c r="AI16">
        <f>IF(OR($AA16="",AI$5=""),0,SUMIF(INDIRECT("'"&amp;AI$5&amp;"'!C6:C1000"),$AA16,INDIRECT("'"&amp;AI$5&amp;"'!H6:H1000")))</f>
        <v>0</v>
      </c>
      <c r="AJ16">
        <f>IF(OR($AA16="",AJ$5=""),0,SUMIF(INDIRECT("'"&amp;AJ$5&amp;"'!C6:C1000"),$AA16,INDIRECT("'"&amp;AJ$5&amp;"'!H6:H1000")))</f>
        <v>0</v>
      </c>
      <c r="AK16">
        <f>IF(OR($AA16="",AK$5=""),0,SUMIF(INDIRECT("'"&amp;AK$5&amp;"'!C6:C1000"),$AA16,INDIRECT("'"&amp;AK$5&amp;"'!H6:H1000")))</f>
        <v>0</v>
      </c>
      <c r="AL16">
        <f>IF(OR($AA16="",AL$5=""),0,SUMIF(INDIRECT("'"&amp;AL$5&amp;"'!C6:C1000"),$AA16,INDIRECT("'"&amp;AL$5&amp;"'!H6:H1000")))</f>
        <v>0</v>
      </c>
      <c r="AM16">
        <f>IF(OR($AA16="",AM$5=""),0,SUMIF(INDIRECT("'"&amp;AM$5&amp;"'!C6:C1000"),$AA16,INDIRECT("'"&amp;AM$5&amp;"'!H6:H1000")))</f>
        <v>0</v>
      </c>
      <c r="AN16">
        <f>IF(OR($AA16="",AN$5=""),0,SUMIF(INDIRECT("'"&amp;AN$5&amp;"'!C6:C1000"),$AA16,INDIRECT("'"&amp;AN$5&amp;"'!H6:H1000")))</f>
        <v>0</v>
      </c>
      <c r="AO16">
        <f>IF(OR($AA16="",AC$5=""),0,SUMIF(INDIRECT("'"&amp;AC$5&amp;"'!C6:C1000"),$AA16,INDIRECT("'"&amp;AC$5&amp;"'!E6:E1000")))</f>
        <v>0</v>
      </c>
      <c r="AP16">
        <f>IF(OR($AA16="",AD$5=""),0,SUMIF(INDIRECT("'"&amp;AD$5&amp;"'!C6:C1000"),$AA16,INDIRECT("'"&amp;AD$5&amp;"'!E6:E1000")))</f>
        <v>0</v>
      </c>
      <c r="AQ16">
        <f>IF(OR($AA16="",AE$5=""),0,SUMIF(INDIRECT("'"&amp;AE$5&amp;"'!C6:C1000"),$AA16,INDIRECT("'"&amp;AE$5&amp;"'!E6:E1000")))</f>
        <v>0</v>
      </c>
      <c r="AR16">
        <f>IF(OR($AA16="",AF$5=""),0,SUMIF(INDIRECT("'"&amp;AF$5&amp;"'!C6:C1000"),$AA16,INDIRECT("'"&amp;AF$5&amp;"'!E6:E1000")))</f>
        <v>0</v>
      </c>
      <c r="AS16">
        <f>IF(OR($AA16="",AG$5=""),0,SUMIF(INDIRECT("'"&amp;AG$5&amp;"'!C6:C1000"),$AA16,INDIRECT("'"&amp;AG$5&amp;"'!E6:E1000")))</f>
        <v>0</v>
      </c>
      <c r="AT16">
        <f>IF(OR($AA16="",AH$5=""),0,SUMIF(INDIRECT("'"&amp;AH$5&amp;"'!C6:C1000"),$AA16,INDIRECT("'"&amp;AH$5&amp;"'!E6:E1000")))</f>
        <v>30</v>
      </c>
      <c r="AU16">
        <f>IF(OR($AA16="",AI$5=""),0,SUMIF(INDIRECT("'"&amp;AI$5&amp;"'!C6:C1000"),$AA16,INDIRECT("'"&amp;AI$5&amp;"'!E6:E1000")))</f>
        <v>0</v>
      </c>
      <c r="AV16">
        <f>IF(OR($AA16="",AJ$5=""),0,SUMIF(INDIRECT("'"&amp;AJ$5&amp;"'!C6:C1000"),$AA16,INDIRECT("'"&amp;AJ$5&amp;"'!E6:E1000")))</f>
        <v>0</v>
      </c>
      <c r="AW16">
        <f>IF(OR($AA16="",AK$5=""),0,SUMIF(INDIRECT("'"&amp;AK$5&amp;"'!C6:C1000"),$AA16,INDIRECT("'"&amp;AK$5&amp;"'!E6:E1000")))</f>
        <v>0</v>
      </c>
      <c r="AX16">
        <f>IF(OR($AA16="",AL$5=""),0,SUMIF(INDIRECT("'"&amp;AL$5&amp;"'!C6:C1000"),$AA16,INDIRECT("'"&amp;AL$5&amp;"'!E6:E1000")))</f>
        <v>0</v>
      </c>
      <c r="AY16">
        <f>IF(OR($AA16="",AM$5=""),0,SUMIF(INDIRECT("'"&amp;AM$5&amp;"'!C6:C1000"),$AA16,INDIRECT("'"&amp;AM$5&amp;"'!E6:E1000")))</f>
        <v>0</v>
      </c>
      <c r="AZ16">
        <f>IF(OR($AA16="",AN$5=""),0,SUMIF(INDIRECT("'"&amp;AN$5&amp;"'!C6:C1000"),$AA16,INDIRECT("'"&amp;AN$5&amp;"'!E6:E1000")))</f>
        <v>0</v>
      </c>
      <c r="BA16">
        <f>IF(OR($AA16="",AC$5=""),0,SUMIFS(INDIRECT("'"&amp;AC$5&amp;"'!E6:E1000"),INDIRECT("'"&amp;AC$5&amp;"'!C6:C1000"),$AA16,INDIRECT("'"&amp;AC$5&amp;"'!F6:F1000"),"箱")+SUMIFS(INDIRECT("'"&amp;AC$5&amp;"'!E6:E1000"),INDIRECT("'"&amp;AC$5&amp;"'!C6:C1000"),$AA16,INDIRECT("'"&amp;AC$5&amp;"'!F6:F1000"),"件"))</f>
        <v>0</v>
      </c>
      <c r="BB16">
        <f>IF(OR($AA16="",AD$5=""),0,SUMIFS(INDIRECT("'"&amp;AD$5&amp;"'!E6:E1000"),INDIRECT("'"&amp;AD$5&amp;"'!C6:C1000"),$AA16,INDIRECT("'"&amp;AD$5&amp;"'!F6:F1000"),"箱")+SUMIFS(INDIRECT("'"&amp;AD$5&amp;"'!E6:E1000"),INDIRECT("'"&amp;AD$5&amp;"'!C6:C1000"),$AA16,INDIRECT("'"&amp;AD$5&amp;"'!F6:F1000"),"件"))</f>
        <v>0</v>
      </c>
      <c r="BC16">
        <f>IF(OR($AA16="",AE$5=""),0,SUMIFS(INDIRECT("'"&amp;AE$5&amp;"'!E6:E1000"),INDIRECT("'"&amp;AE$5&amp;"'!C6:C1000"),$AA16,INDIRECT("'"&amp;AE$5&amp;"'!F6:F1000"),"箱")+SUMIFS(INDIRECT("'"&amp;AE$5&amp;"'!E6:E1000"),INDIRECT("'"&amp;AE$5&amp;"'!C6:C1000"),$AA16,INDIRECT("'"&amp;AE$5&amp;"'!F6:F1000"),"件"))</f>
        <v>0</v>
      </c>
      <c r="BD16">
        <f>IF(OR($AA16="",AF$5=""),0,SUMIFS(INDIRECT("'"&amp;AF$5&amp;"'!E6:E1000"),INDIRECT("'"&amp;AF$5&amp;"'!C6:C1000"),$AA16,INDIRECT("'"&amp;AF$5&amp;"'!F6:F1000"),"箱")+SUMIFS(INDIRECT("'"&amp;AF$5&amp;"'!E6:E1000"),INDIRECT("'"&amp;AF$5&amp;"'!C6:C1000"),$AA16,INDIRECT("'"&amp;AF$5&amp;"'!F6:F1000"),"件"))</f>
        <v>0</v>
      </c>
      <c r="BE16">
        <f>IF(OR($AA16="",AG$5=""),0,SUMIFS(INDIRECT("'"&amp;AG$5&amp;"'!E6:E1000"),INDIRECT("'"&amp;AG$5&amp;"'!C6:C1000"),$AA16,INDIRECT("'"&amp;AG$5&amp;"'!F6:F1000"),"箱")+SUMIFS(INDIRECT("'"&amp;AG$5&amp;"'!E6:E1000"),INDIRECT("'"&amp;AG$5&amp;"'!C6:C1000"),$AA16,INDIRECT("'"&amp;AG$5&amp;"'!F6:F1000"),"件"))</f>
        <v>0</v>
      </c>
      <c r="BF16">
        <f>IF(OR($AA16="",AH$5=""),0,SUMIFS(INDIRECT("'"&amp;AH$5&amp;"'!E6:E1000"),INDIRECT("'"&amp;AH$5&amp;"'!C6:C1000"),$AA16,INDIRECT("'"&amp;AH$5&amp;"'!F6:F1000"),"箱")+SUMIFS(INDIRECT("'"&amp;AH$5&amp;"'!E6:E1000"),INDIRECT("'"&amp;AH$5&amp;"'!C6:C1000"),$AA16,INDIRECT("'"&amp;AH$5&amp;"'!F6:F1000"),"件"))</f>
        <v>0</v>
      </c>
      <c r="BG16">
        <f>IF(OR($AA16="",AI$5=""),0,SUMIFS(INDIRECT("'"&amp;AI$5&amp;"'!E6:E1000"),INDIRECT("'"&amp;AI$5&amp;"'!C6:C1000"),$AA16,INDIRECT("'"&amp;AI$5&amp;"'!F6:F1000"),"箱")+SUMIFS(INDIRECT("'"&amp;AI$5&amp;"'!E6:E1000"),INDIRECT("'"&amp;AI$5&amp;"'!C6:C1000"),$AA16,INDIRECT("'"&amp;AI$5&amp;"'!F6:F1000"),"件"))</f>
        <v>0</v>
      </c>
      <c r="BH16">
        <f>IF(OR($AA16="",AJ$5=""),0,SUMIFS(INDIRECT("'"&amp;AJ$5&amp;"'!E6:E1000"),INDIRECT("'"&amp;AJ$5&amp;"'!C6:C1000"),$AA16,INDIRECT("'"&amp;AJ$5&amp;"'!F6:F1000"),"箱")+SUMIFS(INDIRECT("'"&amp;AJ$5&amp;"'!E6:E1000"),INDIRECT("'"&amp;AJ$5&amp;"'!C6:C1000"),$AA16,INDIRECT("'"&amp;AJ$5&amp;"'!F6:F1000"),"件"))</f>
        <v>0</v>
      </c>
      <c r="BI16">
        <f>IF(OR($AA16="",AK$5=""),0,SUMIFS(INDIRECT("'"&amp;AK$5&amp;"'!E6:E1000"),INDIRECT("'"&amp;AK$5&amp;"'!C6:C1000"),$AA16,INDIRECT("'"&amp;AK$5&amp;"'!F6:F1000"),"箱")+SUMIFS(INDIRECT("'"&amp;AK$5&amp;"'!E6:E1000"),INDIRECT("'"&amp;AK$5&amp;"'!C6:C1000"),$AA16,INDIRECT("'"&amp;AK$5&amp;"'!F6:F1000"),"件"))</f>
        <v>0</v>
      </c>
      <c r="BJ16">
        <f>IF(OR($AA16="",AL$5=""),0,SUMIFS(INDIRECT("'"&amp;AL$5&amp;"'!E6:E1000"),INDIRECT("'"&amp;AL$5&amp;"'!C6:C1000"),$AA16,INDIRECT("'"&amp;AL$5&amp;"'!F6:F1000"),"箱")+SUMIFS(INDIRECT("'"&amp;AL$5&amp;"'!E6:E1000"),INDIRECT("'"&amp;AL$5&amp;"'!C6:C1000"),$AA16,INDIRECT("'"&amp;AL$5&amp;"'!F6:F1000"),"件"))</f>
        <v>0</v>
      </c>
      <c r="BK16">
        <f>IF(OR($AA16="",AM$5=""),0,SUMIFS(INDIRECT("'"&amp;AM$5&amp;"'!E6:E1000"),INDIRECT("'"&amp;AM$5&amp;"'!C6:C1000"),$AA16,INDIRECT("'"&amp;AM$5&amp;"'!F6:F1000"),"箱")+SUMIFS(INDIRECT("'"&amp;AM$5&amp;"'!E6:E1000"),INDIRECT("'"&amp;AM$5&amp;"'!C6:C1000"),$AA16,INDIRECT("'"&amp;AM$5&amp;"'!F6:F1000"),"件"))</f>
        <v>0</v>
      </c>
      <c r="BL16">
        <f>IF(OR($AA16="",AN$5=""),0,SUMIFS(INDIRECT("'"&amp;AN$5&amp;"'!E6:E1000"),INDIRECT("'"&amp;AN$5&amp;"'!C6:C1000"),$AA16,INDIRECT("'"&amp;AN$5&amp;"'!F6:F1000"),"箱")+SUMIFS(INDIRECT("'"&amp;AN$5&amp;"'!E6:E1000"),INDIRECT("'"&amp;AN$5&amp;"'!C6:C1000"),$AA16,INDIRECT("'"&amp;AN$5&amp;"'!F6:F1000"),"件"))</f>
        <v>0</v>
      </c>
      <c r="BM16">
        <f>(AO16-BA16)/$AB16+BA16</f>
        <v>0</v>
      </c>
      <c r="BN16">
        <f>(AP16-BB16)/$AB16+BB16</f>
        <v>0</v>
      </c>
      <c r="BO16">
        <f>(AQ16-BC16)/$AB16+BC16</f>
        <v>0</v>
      </c>
      <c r="BP16">
        <f>(AR16-BD16)/$AB16+BD16</f>
        <v>0</v>
      </c>
      <c r="BQ16">
        <f>(AS16-BE16)/$AB16+BE16</f>
        <v>0</v>
      </c>
      <c r="BR16">
        <f>(AT16-BF16)/$AB16+BF16</f>
        <v>2.5</v>
      </c>
      <c r="BS16">
        <f>(AU16-BG16)/$AB16+BG16</f>
        <v>0</v>
      </c>
      <c r="BT16">
        <f>(AV16-BH16)/$AB16+BH16</f>
        <v>0</v>
      </c>
      <c r="BU16">
        <f>(AW16-BI16)/$AB16+BI16</f>
        <v>0</v>
      </c>
      <c r="BV16">
        <f>(AX16-BJ16)/$AB16+BJ16</f>
        <v>0</v>
      </c>
      <c r="BW16">
        <f>(AY16-BK16)/$AB16+BK16</f>
        <v>0</v>
      </c>
      <c r="BX16">
        <f>(AZ16-BL16)/$AB16+BL16</f>
        <v>0</v>
      </c>
      <c r="BY16">
        <f>SUMPRODUCT((($AC$4:$AN$4=报损汇总一览!$A$3)+(报损汇总一览!$A$3="全年"))*AC16:AN16)</f>
        <v>73.8</v>
      </c>
      <c r="BZ16">
        <f>IF(BY16&gt;0,BY16+(1000-ROW())/10000000,"")</f>
        <v>73.8000984</v>
      </c>
      <c r="CA16">
        <f>SUMPRODUCT((($AC$4:$AN$4=报损汇总一览!$A$3)+(报损汇总一览!$A$3="全年"))*AO16:AZ16)</f>
        <v>30</v>
      </c>
    </row>
    <row r="17">
      <c r="A17">
        <f>IF(OR(存条明细!C17="",存条明细!D17=""),"",IF(COUNTIFS(存条明细!$C$4:C17,存条明细!C17,存条明细!$D$4:D17,存条明细!D17)&gt;1,"",IFERROR(MATCH(存条明细!C17,总览汇总!$B$5:$B$304,0),900)*10000000+IFERROR(MATCH(存条明细!D17,基础资料!$E$5:$E$104,0),900)*10000+ROW()))</f>
        <v>30090017</v>
      </c>
      <c r="B17">
        <f>IFERROR(MATCH(SMALL($A$4:$A$4003,14),$A$4:$A$4003,0),"")</f>
        <v>7</v>
      </c>
      <c r="D17">
        <f>IF(AND(商品库存!B17&lt;&gt;"",商品库存!B17=客户查询!$B$4),COUNTIF(商品库存!$B$4:B17,客户查询!$B$4),"")</f>
      </c>
      <c r="E17">
        <f>IF(AND(商品库存!B17&lt;&gt;"",商品库存!B17=客户对账单!$B$4),COUNTIF(商品库存!$B$4:B17,客户对账单!$B$4),"")</f>
      </c>
      <c r="F17">
        <f>IF(AND(出库明细!C17&lt;&gt;"",出库明细!C17=客户对账单!$B$4,ISNUMBER(出库明细!B17),出库明细!B17&gt;=客户对账单!$G$4,出库明细!B17&lt;=客户对账单!$I$4),出库明细!B17+ROW()/100000,"")</f>
      </c>
      <c r="H17">
        <f>IF(AND(采购进货!C17&lt;&gt;"",采购进货!C17=供应商对账单!$B$4,ISNUMBER(采购进货!B17),采购进货!B17&gt;=供应商对账单!$G$4,采购进货!B17&lt;=供应商对账单!$I$4),采购进货!B17+ROW()/100000,"")</f>
      </c>
      <c r="J17">
        <f>IF(总览汇总!$B17="","",N(总览汇总!$K17)+SUMIFS(出库明细!$G$4:$G$3003,出库明细!$C$4:$C$3003,总览汇总!$B17,出库明细!$B$4:$B$3003,"&gt;="&amp;年初日,出库明细!$B$4:$B$3003,"&lt;="&amp;资产负债表!$D$3)-SUMIFS(资金台帐!$S$7:$S$3006,资金台帐!$J$7:$J$3006,总览汇总!$B17,资金台帐!$P$7:$P$3006,"应收",资金台帐!$B$7:$B$3006,"&gt;="&amp;年初日,资金台帐!$B$7:$B$3006,"&lt;="&amp;资产负债表!$D$3))</f>
        <v>-367.5</v>
      </c>
      <c r="K17">
        <f>IF(基础资料!$Q17="","",N(基础资料!$R17)+SUMIFS(采购进货!$G$4:$G$1503,采购进货!$C$4:$C$1503,基础资料!$Q17,采购进货!$B$4:$B$1503,"&gt;="&amp;年初日,采购进货!$B$4:$B$1503,"&lt;="&amp;资产负债表!$D$3)+SUMIFS(资金台帐!$S$7:$S$3006,资金台帐!$K$7:$K$3006,基础资料!$Q17,资金台帐!$P$7:$P$3006,"应付",资金台帐!$B$7:$B$3006,"&gt;="&amp;年初日,资金台帐!$B$7:$B$3006,"&lt;="&amp;资产负债表!$D$3))</f>
      </c>
      <c r="N17">
        <f>IF(AND(ISNUMBER(出库明细!G17),ISNUMBER(出库明细!E17),ISNUMBER(出库明细!F17)),IF(ABS(出库明细!G17-出库明细!E17*出库明细!F17)&gt;0.005,1,0),0)</f>
        <v>0</v>
      </c>
      <c r="O17">
        <f>IF(AND(ISNUMBER(存条明细!G17),ISNUMBER(存条明细!E17),ISNUMBER(存条明细!F17)),IF(ABS(存条明细!G17-存条明细!E17*存条明细!F17)&gt;0.005,1,0),0)</f>
        <v>0</v>
      </c>
      <c r="AA17">
        <f>IF(基础资料!G16="","",基础资料!G16&amp;"")</f>
      </c>
      <c r="AB17">
        <f>IF(N(基础资料!I16)&lt;=0,1,基础资料!I16)</f>
        <v>1</v>
      </c>
      <c r="AC17">
        <f>IF(OR($AA17="",AC$5=""),0,SUMIF(INDIRECT("'"&amp;AC$5&amp;"'!C6:C1000"),$AA17,INDIRECT("'"&amp;AC$5&amp;"'!H6:H1000")))</f>
        <v>0</v>
      </c>
      <c r="AD17">
        <f>IF(OR($AA17="",AD$5=""),0,SUMIF(INDIRECT("'"&amp;AD$5&amp;"'!C6:C1000"),$AA17,INDIRECT("'"&amp;AD$5&amp;"'!H6:H1000")))</f>
        <v>0</v>
      </c>
      <c r="AE17">
        <f>IF(OR($AA17="",AE$5=""),0,SUMIF(INDIRECT("'"&amp;AE$5&amp;"'!C6:C1000"),$AA17,INDIRECT("'"&amp;AE$5&amp;"'!H6:H1000")))</f>
        <v>0</v>
      </c>
      <c r="AF17">
        <f>IF(OR($AA17="",AF$5=""),0,SUMIF(INDIRECT("'"&amp;AF$5&amp;"'!C6:C1000"),$AA17,INDIRECT("'"&amp;AF$5&amp;"'!H6:H1000")))</f>
        <v>0</v>
      </c>
      <c r="AG17">
        <f>IF(OR($AA17="",AG$5=""),0,SUMIF(INDIRECT("'"&amp;AG$5&amp;"'!C6:C1000"),$AA17,INDIRECT("'"&amp;AG$5&amp;"'!H6:H1000")))</f>
        <v>0</v>
      </c>
      <c r="AH17">
        <f>IF(OR($AA17="",AH$5=""),0,SUMIF(INDIRECT("'"&amp;AH$5&amp;"'!C6:C1000"),$AA17,INDIRECT("'"&amp;AH$5&amp;"'!H6:H1000")))</f>
        <v>0</v>
      </c>
      <c r="AI17">
        <f>IF(OR($AA17="",AI$5=""),0,SUMIF(INDIRECT("'"&amp;AI$5&amp;"'!C6:C1000"),$AA17,INDIRECT("'"&amp;AI$5&amp;"'!H6:H1000")))</f>
        <v>0</v>
      </c>
      <c r="AJ17">
        <f>IF(OR($AA17="",AJ$5=""),0,SUMIF(INDIRECT("'"&amp;AJ$5&amp;"'!C6:C1000"),$AA17,INDIRECT("'"&amp;AJ$5&amp;"'!H6:H1000")))</f>
        <v>0</v>
      </c>
      <c r="AK17">
        <f>IF(OR($AA17="",AK$5=""),0,SUMIF(INDIRECT("'"&amp;AK$5&amp;"'!C6:C1000"),$AA17,INDIRECT("'"&amp;AK$5&amp;"'!H6:H1000")))</f>
        <v>0</v>
      </c>
      <c r="AL17">
        <f>IF(OR($AA17="",AL$5=""),0,SUMIF(INDIRECT("'"&amp;AL$5&amp;"'!C6:C1000"),$AA17,INDIRECT("'"&amp;AL$5&amp;"'!H6:H1000")))</f>
        <v>0</v>
      </c>
      <c r="AM17">
        <f>IF(OR($AA17="",AM$5=""),0,SUMIF(INDIRECT("'"&amp;AM$5&amp;"'!C6:C1000"),$AA17,INDIRECT("'"&amp;AM$5&amp;"'!H6:H1000")))</f>
        <v>0</v>
      </c>
      <c r="AN17">
        <f>IF(OR($AA17="",AN$5=""),0,SUMIF(INDIRECT("'"&amp;AN$5&amp;"'!C6:C1000"),$AA17,INDIRECT("'"&amp;AN$5&amp;"'!H6:H1000")))</f>
        <v>0</v>
      </c>
      <c r="AO17">
        <f>IF(OR($AA17="",AC$5=""),0,SUMIF(INDIRECT("'"&amp;AC$5&amp;"'!C6:C1000"),$AA17,INDIRECT("'"&amp;AC$5&amp;"'!E6:E1000")))</f>
        <v>0</v>
      </c>
      <c r="AP17">
        <f>IF(OR($AA17="",AD$5=""),0,SUMIF(INDIRECT("'"&amp;AD$5&amp;"'!C6:C1000"),$AA17,INDIRECT("'"&amp;AD$5&amp;"'!E6:E1000")))</f>
        <v>0</v>
      </c>
      <c r="AQ17">
        <f>IF(OR($AA17="",AE$5=""),0,SUMIF(INDIRECT("'"&amp;AE$5&amp;"'!C6:C1000"),$AA17,INDIRECT("'"&amp;AE$5&amp;"'!E6:E1000")))</f>
        <v>0</v>
      </c>
      <c r="AR17">
        <f>IF(OR($AA17="",AF$5=""),0,SUMIF(INDIRECT("'"&amp;AF$5&amp;"'!C6:C1000"),$AA17,INDIRECT("'"&amp;AF$5&amp;"'!E6:E1000")))</f>
        <v>0</v>
      </c>
      <c r="AS17">
        <f>IF(OR($AA17="",AG$5=""),0,SUMIF(INDIRECT("'"&amp;AG$5&amp;"'!C6:C1000"),$AA17,INDIRECT("'"&amp;AG$5&amp;"'!E6:E1000")))</f>
        <v>0</v>
      </c>
      <c r="AT17">
        <f>IF(OR($AA17="",AH$5=""),0,SUMIF(INDIRECT("'"&amp;AH$5&amp;"'!C6:C1000"),$AA17,INDIRECT("'"&amp;AH$5&amp;"'!E6:E1000")))</f>
        <v>0</v>
      </c>
      <c r="AU17">
        <f>IF(OR($AA17="",AI$5=""),0,SUMIF(INDIRECT("'"&amp;AI$5&amp;"'!C6:C1000"),$AA17,INDIRECT("'"&amp;AI$5&amp;"'!E6:E1000")))</f>
        <v>0</v>
      </c>
      <c r="AV17">
        <f>IF(OR($AA17="",AJ$5=""),0,SUMIF(INDIRECT("'"&amp;AJ$5&amp;"'!C6:C1000"),$AA17,INDIRECT("'"&amp;AJ$5&amp;"'!E6:E1000")))</f>
        <v>0</v>
      </c>
      <c r="AW17">
        <f>IF(OR($AA17="",AK$5=""),0,SUMIF(INDIRECT("'"&amp;AK$5&amp;"'!C6:C1000"),$AA17,INDIRECT("'"&amp;AK$5&amp;"'!E6:E1000")))</f>
        <v>0</v>
      </c>
      <c r="AX17">
        <f>IF(OR($AA17="",AL$5=""),0,SUMIF(INDIRECT("'"&amp;AL$5&amp;"'!C6:C1000"),$AA17,INDIRECT("'"&amp;AL$5&amp;"'!E6:E1000")))</f>
        <v>0</v>
      </c>
      <c r="AY17">
        <f>IF(OR($AA17="",AM$5=""),0,SUMIF(INDIRECT("'"&amp;AM$5&amp;"'!C6:C1000"),$AA17,INDIRECT("'"&amp;AM$5&amp;"'!E6:E1000")))</f>
        <v>0</v>
      </c>
      <c r="AZ17">
        <f>IF(OR($AA17="",AN$5=""),0,SUMIF(INDIRECT("'"&amp;AN$5&amp;"'!C6:C1000"),$AA17,INDIRECT("'"&amp;AN$5&amp;"'!E6:E1000")))</f>
        <v>0</v>
      </c>
      <c r="BA17">
        <f>IF(OR($AA17="",AC$5=""),0,SUMIFS(INDIRECT("'"&amp;AC$5&amp;"'!E6:E1000"),INDIRECT("'"&amp;AC$5&amp;"'!C6:C1000"),$AA17,INDIRECT("'"&amp;AC$5&amp;"'!F6:F1000"),"箱")+SUMIFS(INDIRECT("'"&amp;AC$5&amp;"'!E6:E1000"),INDIRECT("'"&amp;AC$5&amp;"'!C6:C1000"),$AA17,INDIRECT("'"&amp;AC$5&amp;"'!F6:F1000"),"件"))</f>
        <v>0</v>
      </c>
      <c r="BB17">
        <f>IF(OR($AA17="",AD$5=""),0,SUMIFS(INDIRECT("'"&amp;AD$5&amp;"'!E6:E1000"),INDIRECT("'"&amp;AD$5&amp;"'!C6:C1000"),$AA17,INDIRECT("'"&amp;AD$5&amp;"'!F6:F1000"),"箱")+SUMIFS(INDIRECT("'"&amp;AD$5&amp;"'!E6:E1000"),INDIRECT("'"&amp;AD$5&amp;"'!C6:C1000"),$AA17,INDIRECT("'"&amp;AD$5&amp;"'!F6:F1000"),"件"))</f>
        <v>0</v>
      </c>
      <c r="BC17">
        <f>IF(OR($AA17="",AE$5=""),0,SUMIFS(INDIRECT("'"&amp;AE$5&amp;"'!E6:E1000"),INDIRECT("'"&amp;AE$5&amp;"'!C6:C1000"),$AA17,INDIRECT("'"&amp;AE$5&amp;"'!F6:F1000"),"箱")+SUMIFS(INDIRECT("'"&amp;AE$5&amp;"'!E6:E1000"),INDIRECT("'"&amp;AE$5&amp;"'!C6:C1000"),$AA17,INDIRECT("'"&amp;AE$5&amp;"'!F6:F1000"),"件"))</f>
        <v>0</v>
      </c>
      <c r="BD17">
        <f>IF(OR($AA17="",AF$5=""),0,SUMIFS(INDIRECT("'"&amp;AF$5&amp;"'!E6:E1000"),INDIRECT("'"&amp;AF$5&amp;"'!C6:C1000"),$AA17,INDIRECT("'"&amp;AF$5&amp;"'!F6:F1000"),"箱")+SUMIFS(INDIRECT("'"&amp;AF$5&amp;"'!E6:E1000"),INDIRECT("'"&amp;AF$5&amp;"'!C6:C1000"),$AA17,INDIRECT("'"&amp;AF$5&amp;"'!F6:F1000"),"件"))</f>
        <v>0</v>
      </c>
      <c r="BE17">
        <f>IF(OR($AA17="",AG$5=""),0,SUMIFS(INDIRECT("'"&amp;AG$5&amp;"'!E6:E1000"),INDIRECT("'"&amp;AG$5&amp;"'!C6:C1000"),$AA17,INDIRECT("'"&amp;AG$5&amp;"'!F6:F1000"),"箱")+SUMIFS(INDIRECT("'"&amp;AG$5&amp;"'!E6:E1000"),INDIRECT("'"&amp;AG$5&amp;"'!C6:C1000"),$AA17,INDIRECT("'"&amp;AG$5&amp;"'!F6:F1000"),"件"))</f>
        <v>0</v>
      </c>
      <c r="BF17">
        <f>IF(OR($AA17="",AH$5=""),0,SUMIFS(INDIRECT("'"&amp;AH$5&amp;"'!E6:E1000"),INDIRECT("'"&amp;AH$5&amp;"'!C6:C1000"),$AA17,INDIRECT("'"&amp;AH$5&amp;"'!F6:F1000"),"箱")+SUMIFS(INDIRECT("'"&amp;AH$5&amp;"'!E6:E1000"),INDIRECT("'"&amp;AH$5&amp;"'!C6:C1000"),$AA17,INDIRECT("'"&amp;AH$5&amp;"'!F6:F1000"),"件"))</f>
        <v>0</v>
      </c>
      <c r="BG17">
        <f>IF(OR($AA17="",AI$5=""),0,SUMIFS(INDIRECT("'"&amp;AI$5&amp;"'!E6:E1000"),INDIRECT("'"&amp;AI$5&amp;"'!C6:C1000"),$AA17,INDIRECT("'"&amp;AI$5&amp;"'!F6:F1000"),"箱")+SUMIFS(INDIRECT("'"&amp;AI$5&amp;"'!E6:E1000"),INDIRECT("'"&amp;AI$5&amp;"'!C6:C1000"),$AA17,INDIRECT("'"&amp;AI$5&amp;"'!F6:F1000"),"件"))</f>
        <v>0</v>
      </c>
      <c r="BH17">
        <f>IF(OR($AA17="",AJ$5=""),0,SUMIFS(INDIRECT("'"&amp;AJ$5&amp;"'!E6:E1000"),INDIRECT("'"&amp;AJ$5&amp;"'!C6:C1000"),$AA17,INDIRECT("'"&amp;AJ$5&amp;"'!F6:F1000"),"箱")+SUMIFS(INDIRECT("'"&amp;AJ$5&amp;"'!E6:E1000"),INDIRECT("'"&amp;AJ$5&amp;"'!C6:C1000"),$AA17,INDIRECT("'"&amp;AJ$5&amp;"'!F6:F1000"),"件"))</f>
        <v>0</v>
      </c>
      <c r="BI17">
        <f>IF(OR($AA17="",AK$5=""),0,SUMIFS(INDIRECT("'"&amp;AK$5&amp;"'!E6:E1000"),INDIRECT("'"&amp;AK$5&amp;"'!C6:C1000"),$AA17,INDIRECT("'"&amp;AK$5&amp;"'!F6:F1000"),"箱")+SUMIFS(INDIRECT("'"&amp;AK$5&amp;"'!E6:E1000"),INDIRECT("'"&amp;AK$5&amp;"'!C6:C1000"),$AA17,INDIRECT("'"&amp;AK$5&amp;"'!F6:F1000"),"件"))</f>
        <v>0</v>
      </c>
      <c r="BJ17">
        <f>IF(OR($AA17="",AL$5=""),0,SUMIFS(INDIRECT("'"&amp;AL$5&amp;"'!E6:E1000"),INDIRECT("'"&amp;AL$5&amp;"'!C6:C1000"),$AA17,INDIRECT("'"&amp;AL$5&amp;"'!F6:F1000"),"箱")+SUMIFS(INDIRECT("'"&amp;AL$5&amp;"'!E6:E1000"),INDIRECT("'"&amp;AL$5&amp;"'!C6:C1000"),$AA17,INDIRECT("'"&amp;AL$5&amp;"'!F6:F1000"),"件"))</f>
        <v>0</v>
      </c>
      <c r="BK17">
        <f>IF(OR($AA17="",AM$5=""),0,SUMIFS(INDIRECT("'"&amp;AM$5&amp;"'!E6:E1000"),INDIRECT("'"&amp;AM$5&amp;"'!C6:C1000"),$AA17,INDIRECT("'"&amp;AM$5&amp;"'!F6:F1000"),"箱")+SUMIFS(INDIRECT("'"&amp;AM$5&amp;"'!E6:E1000"),INDIRECT("'"&amp;AM$5&amp;"'!C6:C1000"),$AA17,INDIRECT("'"&amp;AM$5&amp;"'!F6:F1000"),"件"))</f>
        <v>0</v>
      </c>
      <c r="BL17">
        <f>IF(OR($AA17="",AN$5=""),0,SUMIFS(INDIRECT("'"&amp;AN$5&amp;"'!E6:E1000"),INDIRECT("'"&amp;AN$5&amp;"'!C6:C1000"),$AA17,INDIRECT("'"&amp;AN$5&amp;"'!F6:F1000"),"箱")+SUMIFS(INDIRECT("'"&amp;AN$5&amp;"'!E6:E1000"),INDIRECT("'"&amp;AN$5&amp;"'!C6:C1000"),$AA17,INDIRECT("'"&amp;AN$5&amp;"'!F6:F1000"),"件"))</f>
        <v>0</v>
      </c>
      <c r="BM17">
        <f>(AO17-BA17)/$AB17+BA17</f>
        <v>0</v>
      </c>
      <c r="BN17">
        <f>(AP17-BB17)/$AB17+BB17</f>
        <v>0</v>
      </c>
      <c r="BO17">
        <f>(AQ17-BC17)/$AB17+BC17</f>
        <v>0</v>
      </c>
      <c r="BP17">
        <f>(AR17-BD17)/$AB17+BD17</f>
        <v>0</v>
      </c>
      <c r="BQ17">
        <f>(AS17-BE17)/$AB17+BE17</f>
        <v>0</v>
      </c>
      <c r="BR17">
        <f>(AT17-BF17)/$AB17+BF17</f>
        <v>0</v>
      </c>
      <c r="BS17">
        <f>(AU17-BG17)/$AB17+BG17</f>
        <v>0</v>
      </c>
      <c r="BT17">
        <f>(AV17-BH17)/$AB17+BH17</f>
        <v>0</v>
      </c>
      <c r="BU17">
        <f>(AW17-BI17)/$AB17+BI17</f>
        <v>0</v>
      </c>
      <c r="BV17">
        <f>(AX17-BJ17)/$AB17+BJ17</f>
        <v>0</v>
      </c>
      <c r="BW17">
        <f>(AY17-BK17)/$AB17+BK17</f>
        <v>0</v>
      </c>
      <c r="BX17">
        <f>(AZ17-BL17)/$AB17+BL17</f>
        <v>0</v>
      </c>
      <c r="BY17">
        <f>SUMPRODUCT((($AC$4:$AN$4=报损汇总一览!$A$3)+(报损汇总一览!$A$3="全年"))*AC17:AN17)</f>
        <v>0</v>
      </c>
      <c r="BZ17">
        <f>IF(BY17&gt;0,BY17+(1000-ROW())/10000000,"")</f>
      </c>
      <c r="CA17">
        <f>SUMPRODUCT((($AC$4:$AN$4=报损汇总一览!$A$3)+(报损汇总一览!$A$3="全年"))*AO17:AZ17)</f>
        <v>0</v>
      </c>
    </row>
    <row r="18">
      <c r="A18">
        <f>IF(OR(存条明细!C18="",存条明细!D18=""),"",IF(COUNTIFS(存条明细!$C$4:C18,存条明细!C18,存条明细!$D$4:D18,存条明细!D18)&gt;1,"",IFERROR(MATCH(存条明细!C18,总览汇总!$B$5:$B$304,0),900)*10000000+IFERROR(MATCH(存条明细!D18,基础资料!$E$5:$E$104,0),900)*10000+ROW()))</f>
        <v>30110018</v>
      </c>
      <c r="B18">
        <f>IFERROR(MATCH(SMALL($A$4:$A$4003,15),$A$4:$A$4003,0),"")</f>
        <v>9</v>
      </c>
      <c r="D18">
        <f>IF(AND(商品库存!B18&lt;&gt;"",商品库存!B18=客户查询!$B$4),COUNTIF(商品库存!$B$4:B18,客户查询!$B$4),"")</f>
      </c>
      <c r="E18">
        <f>IF(AND(商品库存!B18&lt;&gt;"",商品库存!B18=客户对账单!$B$4),COUNTIF(商品库存!$B$4:B18,客户对账单!$B$4),"")</f>
      </c>
      <c r="F18">
        <f>IF(AND(出库明细!C18&lt;&gt;"",出库明细!C18=客户对账单!$B$4,ISNUMBER(出库明细!B18),出库明细!B18&gt;=客户对账单!$G$4,出库明细!B18&lt;=客户对账单!$I$4),出库明细!B18+ROW()/100000,"")</f>
      </c>
      <c r="H18">
        <f>IF(AND(采购进货!C18&lt;&gt;"",采购进货!C18=供应商对账单!$B$4,ISNUMBER(采购进货!B18),采购进货!B18&gt;=供应商对账单!$G$4,采购进货!B18&lt;=供应商对账单!$I$4),采购进货!B18+ROW()/100000,"")</f>
      </c>
      <c r="J18">
        <f>IF(总览汇总!$B18="","",N(总览汇总!$K18)+SUMIFS(出库明细!$G$4:$G$3003,出库明细!$C$4:$C$3003,总览汇总!$B18,出库明细!$B$4:$B$3003,"&gt;="&amp;年初日,出库明细!$B$4:$B$3003,"&lt;="&amp;资产负债表!$D$3)-SUMIFS(资金台帐!$S$7:$S$3006,资金台帐!$J$7:$J$3006,总览汇总!$B18,资金台帐!$P$7:$P$3006,"应收",资金台帐!$B$7:$B$3006,"&gt;="&amp;年初日,资金台帐!$B$7:$B$3006,"&lt;="&amp;资产负债表!$D$3))</f>
        <v>-46040</v>
      </c>
      <c r="K18">
        <f>IF(基础资料!$Q18="","",N(基础资料!$R18)+SUMIFS(采购进货!$G$4:$G$1503,采购进货!$C$4:$C$1503,基础资料!$Q18,采购进货!$B$4:$B$1503,"&gt;="&amp;年初日,采购进货!$B$4:$B$1503,"&lt;="&amp;资产负债表!$D$3)+SUMIFS(资金台帐!$S$7:$S$3006,资金台帐!$K$7:$K$3006,基础资料!$Q18,资金台帐!$P$7:$P$3006,"应付",资金台帐!$B$7:$B$3006,"&gt;="&amp;年初日,资金台帐!$B$7:$B$3006,"&lt;="&amp;资产负债表!$D$3))</f>
      </c>
      <c r="N18">
        <f>IF(AND(ISNUMBER(出库明细!G18),ISNUMBER(出库明细!E18),ISNUMBER(出库明细!F18)),IF(ABS(出库明细!G18-出库明细!E18*出库明细!F18)&gt;0.005,1,0),0)</f>
        <v>0</v>
      </c>
      <c r="O18">
        <f>IF(AND(ISNUMBER(存条明细!G18),ISNUMBER(存条明细!E18),ISNUMBER(存条明细!F18)),IF(ABS(存条明细!G18-存条明细!E18*存条明细!F18)&gt;0.005,1,0),0)</f>
        <v>0</v>
      </c>
      <c r="AA18" t="str">
        <f>IF(基础资料!G17="","",基础资料!G17&amp;"")</f>
        <v>东鹏1.25L海岛椰</v>
      </c>
      <c r="AB18">
        <f>IF(N(基础资料!I17)&lt;=0,1,基础资料!I17)</f>
        <v>6</v>
      </c>
      <c r="AC18">
        <f>IF(OR($AA18="",AC$5=""),0,SUMIF(INDIRECT("'"&amp;AC$5&amp;"'!C6:C1000"),$AA18,INDIRECT("'"&amp;AC$5&amp;"'!H6:H1000")))</f>
        <v>0</v>
      </c>
      <c r="AD18">
        <f>IF(OR($AA18="",AD$5=""),0,SUMIF(INDIRECT("'"&amp;AD$5&amp;"'!C6:C1000"),$AA18,INDIRECT("'"&amp;AD$5&amp;"'!H6:H1000")))</f>
        <v>0</v>
      </c>
      <c r="AE18">
        <f>IF(OR($AA18="",AE$5=""),0,SUMIF(INDIRECT("'"&amp;AE$5&amp;"'!C6:C1000"),$AA18,INDIRECT("'"&amp;AE$5&amp;"'!H6:H1000")))</f>
        <v>0</v>
      </c>
      <c r="AF18">
        <f>IF(OR($AA18="",AF$5=""),0,SUMIF(INDIRECT("'"&amp;AF$5&amp;"'!C6:C1000"),$AA18,INDIRECT("'"&amp;AF$5&amp;"'!H6:H1000")))</f>
        <v>0</v>
      </c>
      <c r="AG18">
        <f>IF(OR($AA18="",AG$5=""),0,SUMIF(INDIRECT("'"&amp;AG$5&amp;"'!C6:C1000"),$AA18,INDIRECT("'"&amp;AG$5&amp;"'!H6:H1000")))</f>
        <v>0</v>
      </c>
      <c r="AH18">
        <f>IF(OR($AA18="",AH$5=""),0,SUMIF(INDIRECT("'"&amp;AH$5&amp;"'!C6:C1000"),$AA18,INDIRECT("'"&amp;AH$5&amp;"'!H6:H1000")))</f>
        <v>0</v>
      </c>
      <c r="AI18">
        <f>IF(OR($AA18="",AI$5=""),0,SUMIF(INDIRECT("'"&amp;AI$5&amp;"'!C6:C1000"),$AA18,INDIRECT("'"&amp;AI$5&amp;"'!H6:H1000")))</f>
        <v>0</v>
      </c>
      <c r="AJ18">
        <f>IF(OR($AA18="",AJ$5=""),0,SUMIF(INDIRECT("'"&amp;AJ$5&amp;"'!C6:C1000"),$AA18,INDIRECT("'"&amp;AJ$5&amp;"'!H6:H1000")))</f>
        <v>0</v>
      </c>
      <c r="AK18">
        <f>IF(OR($AA18="",AK$5=""),0,SUMIF(INDIRECT("'"&amp;AK$5&amp;"'!C6:C1000"),$AA18,INDIRECT("'"&amp;AK$5&amp;"'!H6:H1000")))</f>
        <v>0</v>
      </c>
      <c r="AL18">
        <f>IF(OR($AA18="",AL$5=""),0,SUMIF(INDIRECT("'"&amp;AL$5&amp;"'!C6:C1000"),$AA18,INDIRECT("'"&amp;AL$5&amp;"'!H6:H1000")))</f>
        <v>0</v>
      </c>
      <c r="AM18">
        <f>IF(OR($AA18="",AM$5=""),0,SUMIF(INDIRECT("'"&amp;AM$5&amp;"'!C6:C1000"),$AA18,INDIRECT("'"&amp;AM$5&amp;"'!H6:H1000")))</f>
        <v>0</v>
      </c>
      <c r="AN18">
        <f>IF(OR($AA18="",AN$5=""),0,SUMIF(INDIRECT("'"&amp;AN$5&amp;"'!C6:C1000"),$AA18,INDIRECT("'"&amp;AN$5&amp;"'!H6:H1000")))</f>
        <v>0</v>
      </c>
      <c r="AO18">
        <f>IF(OR($AA18="",AC$5=""),0,SUMIF(INDIRECT("'"&amp;AC$5&amp;"'!C6:C1000"),$AA18,INDIRECT("'"&amp;AC$5&amp;"'!E6:E1000")))</f>
        <v>0</v>
      </c>
      <c r="AP18">
        <f>IF(OR($AA18="",AD$5=""),0,SUMIF(INDIRECT("'"&amp;AD$5&amp;"'!C6:C1000"),$AA18,INDIRECT("'"&amp;AD$5&amp;"'!E6:E1000")))</f>
        <v>0</v>
      </c>
      <c r="AQ18">
        <f>IF(OR($AA18="",AE$5=""),0,SUMIF(INDIRECT("'"&amp;AE$5&amp;"'!C6:C1000"),$AA18,INDIRECT("'"&amp;AE$5&amp;"'!E6:E1000")))</f>
        <v>0</v>
      </c>
      <c r="AR18">
        <f>IF(OR($AA18="",AF$5=""),0,SUMIF(INDIRECT("'"&amp;AF$5&amp;"'!C6:C1000"),$AA18,INDIRECT("'"&amp;AF$5&amp;"'!E6:E1000")))</f>
        <v>0</v>
      </c>
      <c r="AS18">
        <f>IF(OR($AA18="",AG$5=""),0,SUMIF(INDIRECT("'"&amp;AG$5&amp;"'!C6:C1000"),$AA18,INDIRECT("'"&amp;AG$5&amp;"'!E6:E1000")))</f>
        <v>0</v>
      </c>
      <c r="AT18">
        <f>IF(OR($AA18="",AH$5=""),0,SUMIF(INDIRECT("'"&amp;AH$5&amp;"'!C6:C1000"),$AA18,INDIRECT("'"&amp;AH$5&amp;"'!E6:E1000")))</f>
        <v>0</v>
      </c>
      <c r="AU18">
        <f>IF(OR($AA18="",AI$5=""),0,SUMIF(INDIRECT("'"&amp;AI$5&amp;"'!C6:C1000"),$AA18,INDIRECT("'"&amp;AI$5&amp;"'!E6:E1000")))</f>
        <v>0</v>
      </c>
      <c r="AV18">
        <f>IF(OR($AA18="",AJ$5=""),0,SUMIF(INDIRECT("'"&amp;AJ$5&amp;"'!C6:C1000"),$AA18,INDIRECT("'"&amp;AJ$5&amp;"'!E6:E1000")))</f>
        <v>0</v>
      </c>
      <c r="AW18">
        <f>IF(OR($AA18="",AK$5=""),0,SUMIF(INDIRECT("'"&amp;AK$5&amp;"'!C6:C1000"),$AA18,INDIRECT("'"&amp;AK$5&amp;"'!E6:E1000")))</f>
        <v>0</v>
      </c>
      <c r="AX18">
        <f>IF(OR($AA18="",AL$5=""),0,SUMIF(INDIRECT("'"&amp;AL$5&amp;"'!C6:C1000"),$AA18,INDIRECT("'"&amp;AL$5&amp;"'!E6:E1000")))</f>
        <v>0</v>
      </c>
      <c r="AY18">
        <f>IF(OR($AA18="",AM$5=""),0,SUMIF(INDIRECT("'"&amp;AM$5&amp;"'!C6:C1000"),$AA18,INDIRECT("'"&amp;AM$5&amp;"'!E6:E1000")))</f>
        <v>0</v>
      </c>
      <c r="AZ18">
        <f>IF(OR($AA18="",AN$5=""),0,SUMIF(INDIRECT("'"&amp;AN$5&amp;"'!C6:C1000"),$AA18,INDIRECT("'"&amp;AN$5&amp;"'!E6:E1000")))</f>
        <v>0</v>
      </c>
      <c r="BA18">
        <f>IF(OR($AA18="",AC$5=""),0,SUMIFS(INDIRECT("'"&amp;AC$5&amp;"'!E6:E1000"),INDIRECT("'"&amp;AC$5&amp;"'!C6:C1000"),$AA18,INDIRECT("'"&amp;AC$5&amp;"'!F6:F1000"),"箱")+SUMIFS(INDIRECT("'"&amp;AC$5&amp;"'!E6:E1000"),INDIRECT("'"&amp;AC$5&amp;"'!C6:C1000"),$AA18,INDIRECT("'"&amp;AC$5&amp;"'!F6:F1000"),"件"))</f>
        <v>0</v>
      </c>
      <c r="BB18">
        <f>IF(OR($AA18="",AD$5=""),0,SUMIFS(INDIRECT("'"&amp;AD$5&amp;"'!E6:E1000"),INDIRECT("'"&amp;AD$5&amp;"'!C6:C1000"),$AA18,INDIRECT("'"&amp;AD$5&amp;"'!F6:F1000"),"箱")+SUMIFS(INDIRECT("'"&amp;AD$5&amp;"'!E6:E1000"),INDIRECT("'"&amp;AD$5&amp;"'!C6:C1000"),$AA18,INDIRECT("'"&amp;AD$5&amp;"'!F6:F1000"),"件"))</f>
        <v>0</v>
      </c>
      <c r="BC18">
        <f>IF(OR($AA18="",AE$5=""),0,SUMIFS(INDIRECT("'"&amp;AE$5&amp;"'!E6:E1000"),INDIRECT("'"&amp;AE$5&amp;"'!C6:C1000"),$AA18,INDIRECT("'"&amp;AE$5&amp;"'!F6:F1000"),"箱")+SUMIFS(INDIRECT("'"&amp;AE$5&amp;"'!E6:E1000"),INDIRECT("'"&amp;AE$5&amp;"'!C6:C1000"),$AA18,INDIRECT("'"&amp;AE$5&amp;"'!F6:F1000"),"件"))</f>
        <v>0</v>
      </c>
      <c r="BD18">
        <f>IF(OR($AA18="",AF$5=""),0,SUMIFS(INDIRECT("'"&amp;AF$5&amp;"'!E6:E1000"),INDIRECT("'"&amp;AF$5&amp;"'!C6:C1000"),$AA18,INDIRECT("'"&amp;AF$5&amp;"'!F6:F1000"),"箱")+SUMIFS(INDIRECT("'"&amp;AF$5&amp;"'!E6:E1000"),INDIRECT("'"&amp;AF$5&amp;"'!C6:C1000"),$AA18,INDIRECT("'"&amp;AF$5&amp;"'!F6:F1000"),"件"))</f>
        <v>0</v>
      </c>
      <c r="BE18">
        <f>IF(OR($AA18="",AG$5=""),0,SUMIFS(INDIRECT("'"&amp;AG$5&amp;"'!E6:E1000"),INDIRECT("'"&amp;AG$5&amp;"'!C6:C1000"),$AA18,INDIRECT("'"&amp;AG$5&amp;"'!F6:F1000"),"箱")+SUMIFS(INDIRECT("'"&amp;AG$5&amp;"'!E6:E1000"),INDIRECT("'"&amp;AG$5&amp;"'!C6:C1000"),$AA18,INDIRECT("'"&amp;AG$5&amp;"'!F6:F1000"),"件"))</f>
        <v>0</v>
      </c>
      <c r="BF18">
        <f>IF(OR($AA18="",AH$5=""),0,SUMIFS(INDIRECT("'"&amp;AH$5&amp;"'!E6:E1000"),INDIRECT("'"&amp;AH$5&amp;"'!C6:C1000"),$AA18,INDIRECT("'"&amp;AH$5&amp;"'!F6:F1000"),"箱")+SUMIFS(INDIRECT("'"&amp;AH$5&amp;"'!E6:E1000"),INDIRECT("'"&amp;AH$5&amp;"'!C6:C1000"),$AA18,INDIRECT("'"&amp;AH$5&amp;"'!F6:F1000"),"件"))</f>
        <v>0</v>
      </c>
      <c r="BG18">
        <f>IF(OR($AA18="",AI$5=""),0,SUMIFS(INDIRECT("'"&amp;AI$5&amp;"'!E6:E1000"),INDIRECT("'"&amp;AI$5&amp;"'!C6:C1000"),$AA18,INDIRECT("'"&amp;AI$5&amp;"'!F6:F1000"),"箱")+SUMIFS(INDIRECT("'"&amp;AI$5&amp;"'!E6:E1000"),INDIRECT("'"&amp;AI$5&amp;"'!C6:C1000"),$AA18,INDIRECT("'"&amp;AI$5&amp;"'!F6:F1000"),"件"))</f>
        <v>0</v>
      </c>
      <c r="BH18">
        <f>IF(OR($AA18="",AJ$5=""),0,SUMIFS(INDIRECT("'"&amp;AJ$5&amp;"'!E6:E1000"),INDIRECT("'"&amp;AJ$5&amp;"'!C6:C1000"),$AA18,INDIRECT("'"&amp;AJ$5&amp;"'!F6:F1000"),"箱")+SUMIFS(INDIRECT("'"&amp;AJ$5&amp;"'!E6:E1000"),INDIRECT("'"&amp;AJ$5&amp;"'!C6:C1000"),$AA18,INDIRECT("'"&amp;AJ$5&amp;"'!F6:F1000"),"件"))</f>
        <v>0</v>
      </c>
      <c r="BI18">
        <f>IF(OR($AA18="",AK$5=""),0,SUMIFS(INDIRECT("'"&amp;AK$5&amp;"'!E6:E1000"),INDIRECT("'"&amp;AK$5&amp;"'!C6:C1000"),$AA18,INDIRECT("'"&amp;AK$5&amp;"'!F6:F1000"),"箱")+SUMIFS(INDIRECT("'"&amp;AK$5&amp;"'!E6:E1000"),INDIRECT("'"&amp;AK$5&amp;"'!C6:C1000"),$AA18,INDIRECT("'"&amp;AK$5&amp;"'!F6:F1000"),"件"))</f>
        <v>0</v>
      </c>
      <c r="BJ18">
        <f>IF(OR($AA18="",AL$5=""),0,SUMIFS(INDIRECT("'"&amp;AL$5&amp;"'!E6:E1000"),INDIRECT("'"&amp;AL$5&amp;"'!C6:C1000"),$AA18,INDIRECT("'"&amp;AL$5&amp;"'!F6:F1000"),"箱")+SUMIFS(INDIRECT("'"&amp;AL$5&amp;"'!E6:E1000"),INDIRECT("'"&amp;AL$5&amp;"'!C6:C1000"),$AA18,INDIRECT("'"&amp;AL$5&amp;"'!F6:F1000"),"件"))</f>
        <v>0</v>
      </c>
      <c r="BK18">
        <f>IF(OR($AA18="",AM$5=""),0,SUMIFS(INDIRECT("'"&amp;AM$5&amp;"'!E6:E1000"),INDIRECT("'"&amp;AM$5&amp;"'!C6:C1000"),$AA18,INDIRECT("'"&amp;AM$5&amp;"'!F6:F1000"),"箱")+SUMIFS(INDIRECT("'"&amp;AM$5&amp;"'!E6:E1000"),INDIRECT("'"&amp;AM$5&amp;"'!C6:C1000"),$AA18,INDIRECT("'"&amp;AM$5&amp;"'!F6:F1000"),"件"))</f>
        <v>0</v>
      </c>
      <c r="BL18">
        <f>IF(OR($AA18="",AN$5=""),0,SUMIFS(INDIRECT("'"&amp;AN$5&amp;"'!E6:E1000"),INDIRECT("'"&amp;AN$5&amp;"'!C6:C1000"),$AA18,INDIRECT("'"&amp;AN$5&amp;"'!F6:F1000"),"箱")+SUMIFS(INDIRECT("'"&amp;AN$5&amp;"'!E6:E1000"),INDIRECT("'"&amp;AN$5&amp;"'!C6:C1000"),$AA18,INDIRECT("'"&amp;AN$5&amp;"'!F6:F1000"),"件"))</f>
        <v>0</v>
      </c>
      <c r="BM18">
        <f>(AO18-BA18)/$AB18+BA18</f>
        <v>0</v>
      </c>
      <c r="BN18">
        <f>(AP18-BB18)/$AB18+BB18</f>
        <v>0</v>
      </c>
      <c r="BO18">
        <f>(AQ18-BC18)/$AB18+BC18</f>
        <v>0</v>
      </c>
      <c r="BP18">
        <f>(AR18-BD18)/$AB18+BD18</f>
        <v>0</v>
      </c>
      <c r="BQ18">
        <f>(AS18-BE18)/$AB18+BE18</f>
        <v>0</v>
      </c>
      <c r="BR18">
        <f>(AT18-BF18)/$AB18+BF18</f>
        <v>0</v>
      </c>
      <c r="BS18">
        <f>(AU18-BG18)/$AB18+BG18</f>
        <v>0</v>
      </c>
      <c r="BT18">
        <f>(AV18-BH18)/$AB18+BH18</f>
        <v>0</v>
      </c>
      <c r="BU18">
        <f>(AW18-BI18)/$AB18+BI18</f>
        <v>0</v>
      </c>
      <c r="BV18">
        <f>(AX18-BJ18)/$AB18+BJ18</f>
        <v>0</v>
      </c>
      <c r="BW18">
        <f>(AY18-BK18)/$AB18+BK18</f>
        <v>0</v>
      </c>
      <c r="BX18">
        <f>(AZ18-BL18)/$AB18+BL18</f>
        <v>0</v>
      </c>
      <c r="BY18">
        <f>SUMPRODUCT((($AC$4:$AN$4=报损汇总一览!$A$3)+(报损汇总一览!$A$3="全年"))*AC18:AN18)</f>
        <v>0</v>
      </c>
      <c r="BZ18">
        <f>IF(BY18&gt;0,BY18+(1000-ROW())/10000000,"")</f>
      </c>
      <c r="CA18">
        <f>SUMPRODUCT((($AC$4:$AN$4=报损汇总一览!$A$3)+(报损汇总一览!$A$3="全年"))*AO18:AZ18)</f>
        <v>0</v>
      </c>
    </row>
    <row r="19">
      <c r="A19">
        <f>IF(OR(存条明细!C19="",存条明细!D19=""),"",IF(COUNTIFS(存条明细!$C$4:C19,存条明细!C19,存条明细!$D$4:D19,存条明细!D19)&gt;1,"",IFERROR(MATCH(存条明细!C19,总览汇总!$B$5:$B$304,0),900)*10000000+IFERROR(MATCH(存条明细!D19,基础资料!$E$5:$E$104,0),900)*10000+ROW()))</f>
        <v>30130019</v>
      </c>
      <c r="B19">
        <f>IFERROR(MATCH(SMALL($A$4:$A$4003,16),$A$4:$A$4003,0),"")</f>
        <v>8</v>
      </c>
      <c r="D19">
        <f>IF(AND(商品库存!B19&lt;&gt;"",商品库存!B19=客户查询!$B$4),COUNTIF(商品库存!$B$4:B19,客户查询!$B$4),"")</f>
      </c>
      <c r="E19">
        <f>IF(AND(商品库存!B19&lt;&gt;"",商品库存!B19=客户对账单!$B$4),COUNTIF(商品库存!$B$4:B19,客户对账单!$B$4),"")</f>
      </c>
      <c r="F19">
        <f>IF(AND(出库明细!C19&lt;&gt;"",出库明细!C19=客户对账单!$B$4,ISNUMBER(出库明细!B19),出库明细!B19&gt;=客户对账单!$G$4,出库明细!B19&lt;=客户对账单!$I$4),出库明细!B19+ROW()/100000,"")</f>
      </c>
      <c r="H19">
        <f>IF(AND(采购进货!C19&lt;&gt;"",采购进货!C19=供应商对账单!$B$4,ISNUMBER(采购进货!B19),采购进货!B19&gt;=供应商对账单!$G$4,采购进货!B19&lt;=供应商对账单!$I$4),采购进货!B19+ROW()/100000,"")</f>
      </c>
      <c r="J19">
        <f>IF(总览汇总!$B19="","",N(总览汇总!$K19)+SUMIFS(出库明细!$G$4:$G$3003,出库明细!$C$4:$C$3003,总览汇总!$B19,出库明细!$B$4:$B$3003,"&gt;="&amp;年初日,出库明细!$B$4:$B$3003,"&lt;="&amp;资产负债表!$D$3)-SUMIFS(资金台帐!$S$7:$S$3006,资金台帐!$J$7:$J$3006,总览汇总!$B19,资金台帐!$P$7:$P$3006,"应收",资金台帐!$B$7:$B$3006,"&gt;="&amp;年初日,资金台帐!$B$7:$B$3006,"&lt;="&amp;资产负债表!$D$3))</f>
        <v>-7167.5</v>
      </c>
      <c r="K19">
        <f>IF(基础资料!$Q19="","",N(基础资料!$R19)+SUMIFS(采购进货!$G$4:$G$1503,采购进货!$C$4:$C$1503,基础资料!$Q19,采购进货!$B$4:$B$1503,"&gt;="&amp;年初日,采购进货!$B$4:$B$1503,"&lt;="&amp;资产负债表!$D$3)+SUMIFS(资金台帐!$S$7:$S$3006,资金台帐!$K$7:$K$3006,基础资料!$Q19,资金台帐!$P$7:$P$3006,"应付",资金台帐!$B$7:$B$3006,"&gt;="&amp;年初日,资金台帐!$B$7:$B$3006,"&lt;="&amp;资产负债表!$D$3))</f>
      </c>
      <c r="N19">
        <f>IF(AND(ISNUMBER(出库明细!G19),ISNUMBER(出库明细!E19),ISNUMBER(出库明细!F19)),IF(ABS(出库明细!G19-出库明细!E19*出库明细!F19)&gt;0.005,1,0),0)</f>
        <v>0</v>
      </c>
      <c r="O19">
        <f>IF(AND(ISNUMBER(存条明细!G19),ISNUMBER(存条明细!E19),ISNUMBER(存条明细!F19)),IF(ABS(存条明细!G19-存条明细!E19*存条明细!F19)&gt;0.005,1,0),0)</f>
        <v>0</v>
      </c>
      <c r="AA19">
        <f>IF(基础资料!G18="","",基础资料!G18&amp;"")</f>
      </c>
      <c r="AB19">
        <f>IF(N(基础资料!I18)&lt;=0,1,基础资料!I18)</f>
        <v>1</v>
      </c>
      <c r="AC19">
        <f>IF(OR($AA19="",AC$5=""),0,SUMIF(INDIRECT("'"&amp;AC$5&amp;"'!C6:C1000"),$AA19,INDIRECT("'"&amp;AC$5&amp;"'!H6:H1000")))</f>
        <v>0</v>
      </c>
      <c r="AD19">
        <f>IF(OR($AA19="",AD$5=""),0,SUMIF(INDIRECT("'"&amp;AD$5&amp;"'!C6:C1000"),$AA19,INDIRECT("'"&amp;AD$5&amp;"'!H6:H1000")))</f>
        <v>0</v>
      </c>
      <c r="AE19">
        <f>IF(OR($AA19="",AE$5=""),0,SUMIF(INDIRECT("'"&amp;AE$5&amp;"'!C6:C1000"),$AA19,INDIRECT("'"&amp;AE$5&amp;"'!H6:H1000")))</f>
        <v>0</v>
      </c>
      <c r="AF19">
        <f>IF(OR($AA19="",AF$5=""),0,SUMIF(INDIRECT("'"&amp;AF$5&amp;"'!C6:C1000"),$AA19,INDIRECT("'"&amp;AF$5&amp;"'!H6:H1000")))</f>
        <v>0</v>
      </c>
      <c r="AG19">
        <f>IF(OR($AA19="",AG$5=""),0,SUMIF(INDIRECT("'"&amp;AG$5&amp;"'!C6:C1000"),$AA19,INDIRECT("'"&amp;AG$5&amp;"'!H6:H1000")))</f>
        <v>0</v>
      </c>
      <c r="AH19">
        <f>IF(OR($AA19="",AH$5=""),0,SUMIF(INDIRECT("'"&amp;AH$5&amp;"'!C6:C1000"),$AA19,INDIRECT("'"&amp;AH$5&amp;"'!H6:H1000")))</f>
        <v>0</v>
      </c>
      <c r="AI19">
        <f>IF(OR($AA19="",AI$5=""),0,SUMIF(INDIRECT("'"&amp;AI$5&amp;"'!C6:C1000"),$AA19,INDIRECT("'"&amp;AI$5&amp;"'!H6:H1000")))</f>
        <v>0</v>
      </c>
      <c r="AJ19">
        <f>IF(OR($AA19="",AJ$5=""),0,SUMIF(INDIRECT("'"&amp;AJ$5&amp;"'!C6:C1000"),$AA19,INDIRECT("'"&amp;AJ$5&amp;"'!H6:H1000")))</f>
        <v>0</v>
      </c>
      <c r="AK19">
        <f>IF(OR($AA19="",AK$5=""),0,SUMIF(INDIRECT("'"&amp;AK$5&amp;"'!C6:C1000"),$AA19,INDIRECT("'"&amp;AK$5&amp;"'!H6:H1000")))</f>
        <v>0</v>
      </c>
      <c r="AL19">
        <f>IF(OR($AA19="",AL$5=""),0,SUMIF(INDIRECT("'"&amp;AL$5&amp;"'!C6:C1000"),$AA19,INDIRECT("'"&amp;AL$5&amp;"'!H6:H1000")))</f>
        <v>0</v>
      </c>
      <c r="AM19">
        <f>IF(OR($AA19="",AM$5=""),0,SUMIF(INDIRECT("'"&amp;AM$5&amp;"'!C6:C1000"),$AA19,INDIRECT("'"&amp;AM$5&amp;"'!H6:H1000")))</f>
        <v>0</v>
      </c>
      <c r="AN19">
        <f>IF(OR($AA19="",AN$5=""),0,SUMIF(INDIRECT("'"&amp;AN$5&amp;"'!C6:C1000"),$AA19,INDIRECT("'"&amp;AN$5&amp;"'!H6:H1000")))</f>
        <v>0</v>
      </c>
      <c r="AO19">
        <f>IF(OR($AA19="",AC$5=""),0,SUMIF(INDIRECT("'"&amp;AC$5&amp;"'!C6:C1000"),$AA19,INDIRECT("'"&amp;AC$5&amp;"'!E6:E1000")))</f>
        <v>0</v>
      </c>
      <c r="AP19">
        <f>IF(OR($AA19="",AD$5=""),0,SUMIF(INDIRECT("'"&amp;AD$5&amp;"'!C6:C1000"),$AA19,INDIRECT("'"&amp;AD$5&amp;"'!E6:E1000")))</f>
        <v>0</v>
      </c>
      <c r="AQ19">
        <f>IF(OR($AA19="",AE$5=""),0,SUMIF(INDIRECT("'"&amp;AE$5&amp;"'!C6:C1000"),$AA19,INDIRECT("'"&amp;AE$5&amp;"'!E6:E1000")))</f>
        <v>0</v>
      </c>
      <c r="AR19">
        <f>IF(OR($AA19="",AF$5=""),0,SUMIF(INDIRECT("'"&amp;AF$5&amp;"'!C6:C1000"),$AA19,INDIRECT("'"&amp;AF$5&amp;"'!E6:E1000")))</f>
        <v>0</v>
      </c>
      <c r="AS19">
        <f>IF(OR($AA19="",AG$5=""),0,SUMIF(INDIRECT("'"&amp;AG$5&amp;"'!C6:C1000"),$AA19,INDIRECT("'"&amp;AG$5&amp;"'!E6:E1000")))</f>
        <v>0</v>
      </c>
      <c r="AT19">
        <f>IF(OR($AA19="",AH$5=""),0,SUMIF(INDIRECT("'"&amp;AH$5&amp;"'!C6:C1000"),$AA19,INDIRECT("'"&amp;AH$5&amp;"'!E6:E1000")))</f>
        <v>0</v>
      </c>
      <c r="AU19">
        <f>IF(OR($AA19="",AI$5=""),0,SUMIF(INDIRECT("'"&amp;AI$5&amp;"'!C6:C1000"),$AA19,INDIRECT("'"&amp;AI$5&amp;"'!E6:E1000")))</f>
        <v>0</v>
      </c>
      <c r="AV19">
        <f>IF(OR($AA19="",AJ$5=""),0,SUMIF(INDIRECT("'"&amp;AJ$5&amp;"'!C6:C1000"),$AA19,INDIRECT("'"&amp;AJ$5&amp;"'!E6:E1000")))</f>
        <v>0</v>
      </c>
      <c r="AW19">
        <f>IF(OR($AA19="",AK$5=""),0,SUMIF(INDIRECT("'"&amp;AK$5&amp;"'!C6:C1000"),$AA19,INDIRECT("'"&amp;AK$5&amp;"'!E6:E1000")))</f>
        <v>0</v>
      </c>
      <c r="AX19">
        <f>IF(OR($AA19="",AL$5=""),0,SUMIF(INDIRECT("'"&amp;AL$5&amp;"'!C6:C1000"),$AA19,INDIRECT("'"&amp;AL$5&amp;"'!E6:E1000")))</f>
        <v>0</v>
      </c>
      <c r="AY19">
        <f>IF(OR($AA19="",AM$5=""),0,SUMIF(INDIRECT("'"&amp;AM$5&amp;"'!C6:C1000"),$AA19,INDIRECT("'"&amp;AM$5&amp;"'!E6:E1000")))</f>
        <v>0</v>
      </c>
      <c r="AZ19">
        <f>IF(OR($AA19="",AN$5=""),0,SUMIF(INDIRECT("'"&amp;AN$5&amp;"'!C6:C1000"),$AA19,INDIRECT("'"&amp;AN$5&amp;"'!E6:E1000")))</f>
        <v>0</v>
      </c>
      <c r="BA19">
        <f>IF(OR($AA19="",AC$5=""),0,SUMIFS(INDIRECT("'"&amp;AC$5&amp;"'!E6:E1000"),INDIRECT("'"&amp;AC$5&amp;"'!C6:C1000"),$AA19,INDIRECT("'"&amp;AC$5&amp;"'!F6:F1000"),"箱")+SUMIFS(INDIRECT("'"&amp;AC$5&amp;"'!E6:E1000"),INDIRECT("'"&amp;AC$5&amp;"'!C6:C1000"),$AA19,INDIRECT("'"&amp;AC$5&amp;"'!F6:F1000"),"件"))</f>
        <v>0</v>
      </c>
      <c r="BB19">
        <f>IF(OR($AA19="",AD$5=""),0,SUMIFS(INDIRECT("'"&amp;AD$5&amp;"'!E6:E1000"),INDIRECT("'"&amp;AD$5&amp;"'!C6:C1000"),$AA19,INDIRECT("'"&amp;AD$5&amp;"'!F6:F1000"),"箱")+SUMIFS(INDIRECT("'"&amp;AD$5&amp;"'!E6:E1000"),INDIRECT("'"&amp;AD$5&amp;"'!C6:C1000"),$AA19,INDIRECT("'"&amp;AD$5&amp;"'!F6:F1000"),"件"))</f>
        <v>0</v>
      </c>
      <c r="BC19">
        <f>IF(OR($AA19="",AE$5=""),0,SUMIFS(INDIRECT("'"&amp;AE$5&amp;"'!E6:E1000"),INDIRECT("'"&amp;AE$5&amp;"'!C6:C1000"),$AA19,INDIRECT("'"&amp;AE$5&amp;"'!F6:F1000"),"箱")+SUMIFS(INDIRECT("'"&amp;AE$5&amp;"'!E6:E1000"),INDIRECT("'"&amp;AE$5&amp;"'!C6:C1000"),$AA19,INDIRECT("'"&amp;AE$5&amp;"'!F6:F1000"),"件"))</f>
        <v>0</v>
      </c>
      <c r="BD19">
        <f>IF(OR($AA19="",AF$5=""),0,SUMIFS(INDIRECT("'"&amp;AF$5&amp;"'!E6:E1000"),INDIRECT("'"&amp;AF$5&amp;"'!C6:C1000"),$AA19,INDIRECT("'"&amp;AF$5&amp;"'!F6:F1000"),"箱")+SUMIFS(INDIRECT("'"&amp;AF$5&amp;"'!E6:E1000"),INDIRECT("'"&amp;AF$5&amp;"'!C6:C1000"),$AA19,INDIRECT("'"&amp;AF$5&amp;"'!F6:F1000"),"件"))</f>
        <v>0</v>
      </c>
      <c r="BE19">
        <f>IF(OR($AA19="",AG$5=""),0,SUMIFS(INDIRECT("'"&amp;AG$5&amp;"'!E6:E1000"),INDIRECT("'"&amp;AG$5&amp;"'!C6:C1000"),$AA19,INDIRECT("'"&amp;AG$5&amp;"'!F6:F1000"),"箱")+SUMIFS(INDIRECT("'"&amp;AG$5&amp;"'!E6:E1000"),INDIRECT("'"&amp;AG$5&amp;"'!C6:C1000"),$AA19,INDIRECT("'"&amp;AG$5&amp;"'!F6:F1000"),"件"))</f>
        <v>0</v>
      </c>
      <c r="BF19">
        <f>IF(OR($AA19="",AH$5=""),0,SUMIFS(INDIRECT("'"&amp;AH$5&amp;"'!E6:E1000"),INDIRECT("'"&amp;AH$5&amp;"'!C6:C1000"),$AA19,INDIRECT("'"&amp;AH$5&amp;"'!F6:F1000"),"箱")+SUMIFS(INDIRECT("'"&amp;AH$5&amp;"'!E6:E1000"),INDIRECT("'"&amp;AH$5&amp;"'!C6:C1000"),$AA19,INDIRECT("'"&amp;AH$5&amp;"'!F6:F1000"),"件"))</f>
        <v>0</v>
      </c>
      <c r="BG19">
        <f>IF(OR($AA19="",AI$5=""),0,SUMIFS(INDIRECT("'"&amp;AI$5&amp;"'!E6:E1000"),INDIRECT("'"&amp;AI$5&amp;"'!C6:C1000"),$AA19,INDIRECT("'"&amp;AI$5&amp;"'!F6:F1000"),"箱")+SUMIFS(INDIRECT("'"&amp;AI$5&amp;"'!E6:E1000"),INDIRECT("'"&amp;AI$5&amp;"'!C6:C1000"),$AA19,INDIRECT("'"&amp;AI$5&amp;"'!F6:F1000"),"件"))</f>
        <v>0</v>
      </c>
      <c r="BH19">
        <f>IF(OR($AA19="",AJ$5=""),0,SUMIFS(INDIRECT("'"&amp;AJ$5&amp;"'!E6:E1000"),INDIRECT("'"&amp;AJ$5&amp;"'!C6:C1000"),$AA19,INDIRECT("'"&amp;AJ$5&amp;"'!F6:F1000"),"箱")+SUMIFS(INDIRECT("'"&amp;AJ$5&amp;"'!E6:E1000"),INDIRECT("'"&amp;AJ$5&amp;"'!C6:C1000"),$AA19,INDIRECT("'"&amp;AJ$5&amp;"'!F6:F1000"),"件"))</f>
        <v>0</v>
      </c>
      <c r="BI19">
        <f>IF(OR($AA19="",AK$5=""),0,SUMIFS(INDIRECT("'"&amp;AK$5&amp;"'!E6:E1000"),INDIRECT("'"&amp;AK$5&amp;"'!C6:C1000"),$AA19,INDIRECT("'"&amp;AK$5&amp;"'!F6:F1000"),"箱")+SUMIFS(INDIRECT("'"&amp;AK$5&amp;"'!E6:E1000"),INDIRECT("'"&amp;AK$5&amp;"'!C6:C1000"),$AA19,INDIRECT("'"&amp;AK$5&amp;"'!F6:F1000"),"件"))</f>
        <v>0</v>
      </c>
      <c r="BJ19">
        <f>IF(OR($AA19="",AL$5=""),0,SUMIFS(INDIRECT("'"&amp;AL$5&amp;"'!E6:E1000"),INDIRECT("'"&amp;AL$5&amp;"'!C6:C1000"),$AA19,INDIRECT("'"&amp;AL$5&amp;"'!F6:F1000"),"箱")+SUMIFS(INDIRECT("'"&amp;AL$5&amp;"'!E6:E1000"),INDIRECT("'"&amp;AL$5&amp;"'!C6:C1000"),$AA19,INDIRECT("'"&amp;AL$5&amp;"'!F6:F1000"),"件"))</f>
        <v>0</v>
      </c>
      <c r="BK19">
        <f>IF(OR($AA19="",AM$5=""),0,SUMIFS(INDIRECT("'"&amp;AM$5&amp;"'!E6:E1000"),INDIRECT("'"&amp;AM$5&amp;"'!C6:C1000"),$AA19,INDIRECT("'"&amp;AM$5&amp;"'!F6:F1000"),"箱")+SUMIFS(INDIRECT("'"&amp;AM$5&amp;"'!E6:E1000"),INDIRECT("'"&amp;AM$5&amp;"'!C6:C1000"),$AA19,INDIRECT("'"&amp;AM$5&amp;"'!F6:F1000"),"件"))</f>
        <v>0</v>
      </c>
      <c r="BL19">
        <f>IF(OR($AA19="",AN$5=""),0,SUMIFS(INDIRECT("'"&amp;AN$5&amp;"'!E6:E1000"),INDIRECT("'"&amp;AN$5&amp;"'!C6:C1000"),$AA19,INDIRECT("'"&amp;AN$5&amp;"'!F6:F1000"),"箱")+SUMIFS(INDIRECT("'"&amp;AN$5&amp;"'!E6:E1000"),INDIRECT("'"&amp;AN$5&amp;"'!C6:C1000"),$AA19,INDIRECT("'"&amp;AN$5&amp;"'!F6:F1000"),"件"))</f>
        <v>0</v>
      </c>
      <c r="BM19">
        <f>(AO19-BA19)/$AB19+BA19</f>
        <v>0</v>
      </c>
      <c r="BN19">
        <f>(AP19-BB19)/$AB19+BB19</f>
        <v>0</v>
      </c>
      <c r="BO19">
        <f>(AQ19-BC19)/$AB19+BC19</f>
        <v>0</v>
      </c>
      <c r="BP19">
        <f>(AR19-BD19)/$AB19+BD19</f>
        <v>0</v>
      </c>
      <c r="BQ19">
        <f>(AS19-BE19)/$AB19+BE19</f>
        <v>0</v>
      </c>
      <c r="BR19">
        <f>(AT19-BF19)/$AB19+BF19</f>
        <v>0</v>
      </c>
      <c r="BS19">
        <f>(AU19-BG19)/$AB19+BG19</f>
        <v>0</v>
      </c>
      <c r="BT19">
        <f>(AV19-BH19)/$AB19+BH19</f>
        <v>0</v>
      </c>
      <c r="BU19">
        <f>(AW19-BI19)/$AB19+BI19</f>
        <v>0</v>
      </c>
      <c r="BV19">
        <f>(AX19-BJ19)/$AB19+BJ19</f>
        <v>0</v>
      </c>
      <c r="BW19">
        <f>(AY19-BK19)/$AB19+BK19</f>
        <v>0</v>
      </c>
      <c r="BX19">
        <f>(AZ19-BL19)/$AB19+BL19</f>
        <v>0</v>
      </c>
      <c r="BY19">
        <f>SUMPRODUCT((($AC$4:$AN$4=报损汇总一览!$A$3)+(报损汇总一览!$A$3="全年"))*AC19:AN19)</f>
        <v>0</v>
      </c>
      <c r="BZ19">
        <f>IF(BY19&gt;0,BY19+(1000-ROW())/10000000,"")</f>
      </c>
      <c r="CA19">
        <f>SUMPRODUCT((($AC$4:$AN$4=报损汇总一览!$A$3)+(报损汇总一览!$A$3="全年"))*AO19:AZ19)</f>
        <v>0</v>
      </c>
    </row>
    <row r="20">
      <c r="A20">
        <f>IF(OR(存条明细!C20="",存条明细!D20=""),"",IF(COUNTIFS(存条明细!$C$4:C20,存条明细!C20,存条明细!$D$4:D20,存条明细!D20)&gt;1,"",IFERROR(MATCH(存条明细!C20,总览汇总!$B$5:$B$304,0),900)*10000000+IFERROR(MATCH(存条明细!D20,基础资料!$E$5:$E$104,0),900)*10000+ROW()))</f>
        <v>30210020</v>
      </c>
      <c r="B20">
        <f>IFERROR(MATCH(SMALL($A$4:$A$4003,17),$A$4:$A$4003,0),"")</f>
        <v>10</v>
      </c>
      <c r="D20">
        <f>IF(AND(商品库存!B20&lt;&gt;"",商品库存!B20=客户查询!$B$4),COUNTIF(商品库存!$B$4:B20,客户查询!$B$4),"")</f>
      </c>
      <c r="E20">
        <f>IF(AND(商品库存!B20&lt;&gt;"",商品库存!B20=客户对账单!$B$4),COUNTIF(商品库存!$B$4:B20,客户对账单!$B$4),"")</f>
      </c>
      <c r="F20">
        <f>IF(AND(出库明细!C20&lt;&gt;"",出库明细!C20=客户对账单!$B$4,ISNUMBER(出库明细!B20),出库明细!B20&gt;=客户对账单!$G$4,出库明细!B20&lt;=客户对账单!$I$4),出库明细!B20+ROW()/100000,"")</f>
      </c>
      <c r="H20">
        <f>IF(AND(采购进货!C20&lt;&gt;"",采购进货!C20=供应商对账单!$B$4,ISNUMBER(采购进货!B20),采购进货!B20&gt;=供应商对账单!$G$4,采购进货!B20&lt;=供应商对账单!$I$4),采购进货!B20+ROW()/100000,"")</f>
      </c>
      <c r="J20">
        <f>IF(总览汇总!$B20="","",N(总览汇总!$K20)+SUMIFS(出库明细!$G$4:$G$3003,出库明细!$C$4:$C$3003,总览汇总!$B20,出库明细!$B$4:$B$3003,"&gt;="&amp;年初日,出库明细!$B$4:$B$3003,"&lt;="&amp;资产负债表!$D$3)-SUMIFS(资金台帐!$S$7:$S$3006,资金台帐!$J$7:$J$3006,总览汇总!$B20,资金台帐!$P$7:$P$3006,"应收",资金台帐!$B$7:$B$3006,"&gt;="&amp;年初日,资金台帐!$B$7:$B$3006,"&lt;="&amp;资产负债表!$D$3))</f>
        <v>-25398.5</v>
      </c>
      <c r="K20">
        <f>IF(基础资料!$Q20="","",N(基础资料!$R20)+SUMIFS(采购进货!$G$4:$G$1503,采购进货!$C$4:$C$1503,基础资料!$Q20,采购进货!$B$4:$B$1503,"&gt;="&amp;年初日,采购进货!$B$4:$B$1503,"&lt;="&amp;资产负债表!$D$3)+SUMIFS(资金台帐!$S$7:$S$3006,资金台帐!$K$7:$K$3006,基础资料!$Q20,资金台帐!$P$7:$P$3006,"应付",资金台帐!$B$7:$B$3006,"&gt;="&amp;年初日,资金台帐!$B$7:$B$3006,"&lt;="&amp;资产负债表!$D$3))</f>
      </c>
      <c r="N20">
        <f>IF(AND(ISNUMBER(出库明细!G20),ISNUMBER(出库明细!E20),ISNUMBER(出库明细!F20)),IF(ABS(出库明细!G20-出库明细!E20*出库明细!F20)&gt;0.005,1,0),0)</f>
        <v>0</v>
      </c>
      <c r="O20">
        <f>IF(AND(ISNUMBER(存条明细!G20),ISNUMBER(存条明细!E20),ISNUMBER(存条明细!F20)),IF(ABS(存条明细!G20-存条明细!E20*存条明细!F20)&gt;0.005,1,0),0)</f>
        <v>0</v>
      </c>
      <c r="AA20">
        <f>IF(基础资料!G19="","",基础资料!G19&amp;"")</f>
      </c>
      <c r="AB20">
        <f>IF(N(基础资料!I19)&lt;=0,1,基础资料!I19)</f>
        <v>1</v>
      </c>
      <c r="AC20">
        <f>IF(OR($AA20="",AC$5=""),0,SUMIF(INDIRECT("'"&amp;AC$5&amp;"'!C6:C1000"),$AA20,INDIRECT("'"&amp;AC$5&amp;"'!H6:H1000")))</f>
        <v>0</v>
      </c>
      <c r="AD20">
        <f>IF(OR($AA20="",AD$5=""),0,SUMIF(INDIRECT("'"&amp;AD$5&amp;"'!C6:C1000"),$AA20,INDIRECT("'"&amp;AD$5&amp;"'!H6:H1000")))</f>
        <v>0</v>
      </c>
      <c r="AE20">
        <f>IF(OR($AA20="",AE$5=""),0,SUMIF(INDIRECT("'"&amp;AE$5&amp;"'!C6:C1000"),$AA20,INDIRECT("'"&amp;AE$5&amp;"'!H6:H1000")))</f>
        <v>0</v>
      </c>
      <c r="AF20">
        <f>IF(OR($AA20="",AF$5=""),0,SUMIF(INDIRECT("'"&amp;AF$5&amp;"'!C6:C1000"),$AA20,INDIRECT("'"&amp;AF$5&amp;"'!H6:H1000")))</f>
        <v>0</v>
      </c>
      <c r="AG20">
        <f>IF(OR($AA20="",AG$5=""),0,SUMIF(INDIRECT("'"&amp;AG$5&amp;"'!C6:C1000"),$AA20,INDIRECT("'"&amp;AG$5&amp;"'!H6:H1000")))</f>
        <v>0</v>
      </c>
      <c r="AH20">
        <f>IF(OR($AA20="",AH$5=""),0,SUMIF(INDIRECT("'"&amp;AH$5&amp;"'!C6:C1000"),$AA20,INDIRECT("'"&amp;AH$5&amp;"'!H6:H1000")))</f>
        <v>0</v>
      </c>
      <c r="AI20">
        <f>IF(OR($AA20="",AI$5=""),0,SUMIF(INDIRECT("'"&amp;AI$5&amp;"'!C6:C1000"),$AA20,INDIRECT("'"&amp;AI$5&amp;"'!H6:H1000")))</f>
        <v>0</v>
      </c>
      <c r="AJ20">
        <f>IF(OR($AA20="",AJ$5=""),0,SUMIF(INDIRECT("'"&amp;AJ$5&amp;"'!C6:C1000"),$AA20,INDIRECT("'"&amp;AJ$5&amp;"'!H6:H1000")))</f>
        <v>0</v>
      </c>
      <c r="AK20">
        <f>IF(OR($AA20="",AK$5=""),0,SUMIF(INDIRECT("'"&amp;AK$5&amp;"'!C6:C1000"),$AA20,INDIRECT("'"&amp;AK$5&amp;"'!H6:H1000")))</f>
        <v>0</v>
      </c>
      <c r="AL20">
        <f>IF(OR($AA20="",AL$5=""),0,SUMIF(INDIRECT("'"&amp;AL$5&amp;"'!C6:C1000"),$AA20,INDIRECT("'"&amp;AL$5&amp;"'!H6:H1000")))</f>
        <v>0</v>
      </c>
      <c r="AM20">
        <f>IF(OR($AA20="",AM$5=""),0,SUMIF(INDIRECT("'"&amp;AM$5&amp;"'!C6:C1000"),$AA20,INDIRECT("'"&amp;AM$5&amp;"'!H6:H1000")))</f>
        <v>0</v>
      </c>
      <c r="AN20">
        <f>IF(OR($AA20="",AN$5=""),0,SUMIF(INDIRECT("'"&amp;AN$5&amp;"'!C6:C1000"),$AA20,INDIRECT("'"&amp;AN$5&amp;"'!H6:H1000")))</f>
        <v>0</v>
      </c>
      <c r="AO20">
        <f>IF(OR($AA20="",AC$5=""),0,SUMIF(INDIRECT("'"&amp;AC$5&amp;"'!C6:C1000"),$AA20,INDIRECT("'"&amp;AC$5&amp;"'!E6:E1000")))</f>
        <v>0</v>
      </c>
      <c r="AP20">
        <f>IF(OR($AA20="",AD$5=""),0,SUMIF(INDIRECT("'"&amp;AD$5&amp;"'!C6:C1000"),$AA20,INDIRECT("'"&amp;AD$5&amp;"'!E6:E1000")))</f>
        <v>0</v>
      </c>
      <c r="AQ20">
        <f>IF(OR($AA20="",AE$5=""),0,SUMIF(INDIRECT("'"&amp;AE$5&amp;"'!C6:C1000"),$AA20,INDIRECT("'"&amp;AE$5&amp;"'!E6:E1000")))</f>
        <v>0</v>
      </c>
      <c r="AR20">
        <f>IF(OR($AA20="",AF$5=""),0,SUMIF(INDIRECT("'"&amp;AF$5&amp;"'!C6:C1000"),$AA20,INDIRECT("'"&amp;AF$5&amp;"'!E6:E1000")))</f>
        <v>0</v>
      </c>
      <c r="AS20">
        <f>IF(OR($AA20="",AG$5=""),0,SUMIF(INDIRECT("'"&amp;AG$5&amp;"'!C6:C1000"),$AA20,INDIRECT("'"&amp;AG$5&amp;"'!E6:E1000")))</f>
        <v>0</v>
      </c>
      <c r="AT20">
        <f>IF(OR($AA20="",AH$5=""),0,SUMIF(INDIRECT("'"&amp;AH$5&amp;"'!C6:C1000"),$AA20,INDIRECT("'"&amp;AH$5&amp;"'!E6:E1000")))</f>
        <v>0</v>
      </c>
      <c r="AU20">
        <f>IF(OR($AA20="",AI$5=""),0,SUMIF(INDIRECT("'"&amp;AI$5&amp;"'!C6:C1000"),$AA20,INDIRECT("'"&amp;AI$5&amp;"'!E6:E1000")))</f>
        <v>0</v>
      </c>
      <c r="AV20">
        <f>IF(OR($AA20="",AJ$5=""),0,SUMIF(INDIRECT("'"&amp;AJ$5&amp;"'!C6:C1000"),$AA20,INDIRECT("'"&amp;AJ$5&amp;"'!E6:E1000")))</f>
        <v>0</v>
      </c>
      <c r="AW20">
        <f>IF(OR($AA20="",AK$5=""),0,SUMIF(INDIRECT("'"&amp;AK$5&amp;"'!C6:C1000"),$AA20,INDIRECT("'"&amp;AK$5&amp;"'!E6:E1000")))</f>
        <v>0</v>
      </c>
      <c r="AX20">
        <f>IF(OR($AA20="",AL$5=""),0,SUMIF(INDIRECT("'"&amp;AL$5&amp;"'!C6:C1000"),$AA20,INDIRECT("'"&amp;AL$5&amp;"'!E6:E1000")))</f>
        <v>0</v>
      </c>
      <c r="AY20">
        <f>IF(OR($AA20="",AM$5=""),0,SUMIF(INDIRECT("'"&amp;AM$5&amp;"'!C6:C1000"),$AA20,INDIRECT("'"&amp;AM$5&amp;"'!E6:E1000")))</f>
        <v>0</v>
      </c>
      <c r="AZ20">
        <f>IF(OR($AA20="",AN$5=""),0,SUMIF(INDIRECT("'"&amp;AN$5&amp;"'!C6:C1000"),$AA20,INDIRECT("'"&amp;AN$5&amp;"'!E6:E1000")))</f>
        <v>0</v>
      </c>
      <c r="BA20">
        <f>IF(OR($AA20="",AC$5=""),0,SUMIFS(INDIRECT("'"&amp;AC$5&amp;"'!E6:E1000"),INDIRECT("'"&amp;AC$5&amp;"'!C6:C1000"),$AA20,INDIRECT("'"&amp;AC$5&amp;"'!F6:F1000"),"箱")+SUMIFS(INDIRECT("'"&amp;AC$5&amp;"'!E6:E1000"),INDIRECT("'"&amp;AC$5&amp;"'!C6:C1000"),$AA20,INDIRECT("'"&amp;AC$5&amp;"'!F6:F1000"),"件"))</f>
        <v>0</v>
      </c>
      <c r="BB20">
        <f>IF(OR($AA20="",AD$5=""),0,SUMIFS(INDIRECT("'"&amp;AD$5&amp;"'!E6:E1000"),INDIRECT("'"&amp;AD$5&amp;"'!C6:C1000"),$AA20,INDIRECT("'"&amp;AD$5&amp;"'!F6:F1000"),"箱")+SUMIFS(INDIRECT("'"&amp;AD$5&amp;"'!E6:E1000"),INDIRECT("'"&amp;AD$5&amp;"'!C6:C1000"),$AA20,INDIRECT("'"&amp;AD$5&amp;"'!F6:F1000"),"件"))</f>
        <v>0</v>
      </c>
      <c r="BC20">
        <f>IF(OR($AA20="",AE$5=""),0,SUMIFS(INDIRECT("'"&amp;AE$5&amp;"'!E6:E1000"),INDIRECT("'"&amp;AE$5&amp;"'!C6:C1000"),$AA20,INDIRECT("'"&amp;AE$5&amp;"'!F6:F1000"),"箱")+SUMIFS(INDIRECT("'"&amp;AE$5&amp;"'!E6:E1000"),INDIRECT("'"&amp;AE$5&amp;"'!C6:C1000"),$AA20,INDIRECT("'"&amp;AE$5&amp;"'!F6:F1000"),"件"))</f>
        <v>0</v>
      </c>
      <c r="BD20">
        <f>IF(OR($AA20="",AF$5=""),0,SUMIFS(INDIRECT("'"&amp;AF$5&amp;"'!E6:E1000"),INDIRECT("'"&amp;AF$5&amp;"'!C6:C1000"),$AA20,INDIRECT("'"&amp;AF$5&amp;"'!F6:F1000"),"箱")+SUMIFS(INDIRECT("'"&amp;AF$5&amp;"'!E6:E1000"),INDIRECT("'"&amp;AF$5&amp;"'!C6:C1000"),$AA20,INDIRECT("'"&amp;AF$5&amp;"'!F6:F1000"),"件"))</f>
        <v>0</v>
      </c>
      <c r="BE20">
        <f>IF(OR($AA20="",AG$5=""),0,SUMIFS(INDIRECT("'"&amp;AG$5&amp;"'!E6:E1000"),INDIRECT("'"&amp;AG$5&amp;"'!C6:C1000"),$AA20,INDIRECT("'"&amp;AG$5&amp;"'!F6:F1000"),"箱")+SUMIFS(INDIRECT("'"&amp;AG$5&amp;"'!E6:E1000"),INDIRECT("'"&amp;AG$5&amp;"'!C6:C1000"),$AA20,INDIRECT("'"&amp;AG$5&amp;"'!F6:F1000"),"件"))</f>
        <v>0</v>
      </c>
      <c r="BF20">
        <f>IF(OR($AA20="",AH$5=""),0,SUMIFS(INDIRECT("'"&amp;AH$5&amp;"'!E6:E1000"),INDIRECT("'"&amp;AH$5&amp;"'!C6:C1000"),$AA20,INDIRECT("'"&amp;AH$5&amp;"'!F6:F1000"),"箱")+SUMIFS(INDIRECT("'"&amp;AH$5&amp;"'!E6:E1000"),INDIRECT("'"&amp;AH$5&amp;"'!C6:C1000"),$AA20,INDIRECT("'"&amp;AH$5&amp;"'!F6:F1000"),"件"))</f>
        <v>0</v>
      </c>
      <c r="BG20">
        <f>IF(OR($AA20="",AI$5=""),0,SUMIFS(INDIRECT("'"&amp;AI$5&amp;"'!E6:E1000"),INDIRECT("'"&amp;AI$5&amp;"'!C6:C1000"),$AA20,INDIRECT("'"&amp;AI$5&amp;"'!F6:F1000"),"箱")+SUMIFS(INDIRECT("'"&amp;AI$5&amp;"'!E6:E1000"),INDIRECT("'"&amp;AI$5&amp;"'!C6:C1000"),$AA20,INDIRECT("'"&amp;AI$5&amp;"'!F6:F1000"),"件"))</f>
        <v>0</v>
      </c>
      <c r="BH20">
        <f>IF(OR($AA20="",AJ$5=""),0,SUMIFS(INDIRECT("'"&amp;AJ$5&amp;"'!E6:E1000"),INDIRECT("'"&amp;AJ$5&amp;"'!C6:C1000"),$AA20,INDIRECT("'"&amp;AJ$5&amp;"'!F6:F1000"),"箱")+SUMIFS(INDIRECT("'"&amp;AJ$5&amp;"'!E6:E1000"),INDIRECT("'"&amp;AJ$5&amp;"'!C6:C1000"),$AA20,INDIRECT("'"&amp;AJ$5&amp;"'!F6:F1000"),"件"))</f>
        <v>0</v>
      </c>
      <c r="BI20">
        <f>IF(OR($AA20="",AK$5=""),0,SUMIFS(INDIRECT("'"&amp;AK$5&amp;"'!E6:E1000"),INDIRECT("'"&amp;AK$5&amp;"'!C6:C1000"),$AA20,INDIRECT("'"&amp;AK$5&amp;"'!F6:F1000"),"箱")+SUMIFS(INDIRECT("'"&amp;AK$5&amp;"'!E6:E1000"),INDIRECT("'"&amp;AK$5&amp;"'!C6:C1000"),$AA20,INDIRECT("'"&amp;AK$5&amp;"'!F6:F1000"),"件"))</f>
        <v>0</v>
      </c>
      <c r="BJ20">
        <f>IF(OR($AA20="",AL$5=""),0,SUMIFS(INDIRECT("'"&amp;AL$5&amp;"'!E6:E1000"),INDIRECT("'"&amp;AL$5&amp;"'!C6:C1000"),$AA20,INDIRECT("'"&amp;AL$5&amp;"'!F6:F1000"),"箱")+SUMIFS(INDIRECT("'"&amp;AL$5&amp;"'!E6:E1000"),INDIRECT("'"&amp;AL$5&amp;"'!C6:C1000"),$AA20,INDIRECT("'"&amp;AL$5&amp;"'!F6:F1000"),"件"))</f>
        <v>0</v>
      </c>
      <c r="BK20">
        <f>IF(OR($AA20="",AM$5=""),0,SUMIFS(INDIRECT("'"&amp;AM$5&amp;"'!E6:E1000"),INDIRECT("'"&amp;AM$5&amp;"'!C6:C1000"),$AA20,INDIRECT("'"&amp;AM$5&amp;"'!F6:F1000"),"箱")+SUMIFS(INDIRECT("'"&amp;AM$5&amp;"'!E6:E1000"),INDIRECT("'"&amp;AM$5&amp;"'!C6:C1000"),$AA20,INDIRECT("'"&amp;AM$5&amp;"'!F6:F1000"),"件"))</f>
        <v>0</v>
      </c>
      <c r="BL20">
        <f>IF(OR($AA20="",AN$5=""),0,SUMIFS(INDIRECT("'"&amp;AN$5&amp;"'!E6:E1000"),INDIRECT("'"&amp;AN$5&amp;"'!C6:C1000"),$AA20,INDIRECT("'"&amp;AN$5&amp;"'!F6:F1000"),"箱")+SUMIFS(INDIRECT("'"&amp;AN$5&amp;"'!E6:E1000"),INDIRECT("'"&amp;AN$5&amp;"'!C6:C1000"),$AA20,INDIRECT("'"&amp;AN$5&amp;"'!F6:F1000"),"件"))</f>
        <v>0</v>
      </c>
      <c r="BM20">
        <f>(AO20-BA20)/$AB20+BA20</f>
        <v>0</v>
      </c>
      <c r="BN20">
        <f>(AP20-BB20)/$AB20+BB20</f>
        <v>0</v>
      </c>
      <c r="BO20">
        <f>(AQ20-BC20)/$AB20+BC20</f>
        <v>0</v>
      </c>
      <c r="BP20">
        <f>(AR20-BD20)/$AB20+BD20</f>
        <v>0</v>
      </c>
      <c r="BQ20">
        <f>(AS20-BE20)/$AB20+BE20</f>
        <v>0</v>
      </c>
      <c r="BR20">
        <f>(AT20-BF20)/$AB20+BF20</f>
        <v>0</v>
      </c>
      <c r="BS20">
        <f>(AU20-BG20)/$AB20+BG20</f>
        <v>0</v>
      </c>
      <c r="BT20">
        <f>(AV20-BH20)/$AB20+BH20</f>
        <v>0</v>
      </c>
      <c r="BU20">
        <f>(AW20-BI20)/$AB20+BI20</f>
        <v>0</v>
      </c>
      <c r="BV20">
        <f>(AX20-BJ20)/$AB20+BJ20</f>
        <v>0</v>
      </c>
      <c r="BW20">
        <f>(AY20-BK20)/$AB20+BK20</f>
        <v>0</v>
      </c>
      <c r="BX20">
        <f>(AZ20-BL20)/$AB20+BL20</f>
        <v>0</v>
      </c>
      <c r="BY20">
        <f>SUMPRODUCT((($AC$4:$AN$4=报损汇总一览!$A$3)+(报损汇总一览!$A$3="全年"))*AC20:AN20)</f>
        <v>0</v>
      </c>
      <c r="BZ20">
        <f>IF(BY20&gt;0,BY20+(1000-ROW())/10000000,"")</f>
      </c>
      <c r="CA20">
        <f>SUMPRODUCT((($AC$4:$AN$4=报损汇总一览!$A$3)+(报损汇总一览!$A$3="全年"))*AO20:AZ20)</f>
        <v>0</v>
      </c>
    </row>
    <row r="21">
      <c r="A21">
        <f>IF(OR(存条明细!C21="",存条明细!D21=""),"",IF(COUNTIFS(存条明细!$C$4:C21,存条明细!C21,存条明细!$D$4:D21,存条明细!D21)&gt;1,"",IFERROR(MATCH(存条明细!C21,总览汇总!$B$5:$B$304,0),900)*10000000+IFERROR(MATCH(存条明细!D21,基础资料!$E$5:$E$104,0),900)*10000+ROW()))</f>
        <v>30220021</v>
      </c>
      <c r="B21">
        <f>IFERROR(MATCH(SMALL($A$4:$A$4003,18),$A$4:$A$4003,0),"")</f>
        <v>13</v>
      </c>
      <c r="D21">
        <f>IF(AND(商品库存!B21&lt;&gt;"",商品库存!B21=客户查询!$B$4),COUNTIF(商品库存!$B$4:B21,客户查询!$B$4),"")</f>
      </c>
      <c r="E21">
        <f>IF(AND(商品库存!B21&lt;&gt;"",商品库存!B21=客户对账单!$B$4),COUNTIF(商品库存!$B$4:B21,客户对账单!$B$4),"")</f>
      </c>
      <c r="F21">
        <f>IF(AND(出库明细!C21&lt;&gt;"",出库明细!C21=客户对账单!$B$4,ISNUMBER(出库明细!B21),出库明细!B21&gt;=客户对账单!$G$4,出库明细!B21&lt;=客户对账单!$I$4),出库明细!B21+ROW()/100000,"")</f>
      </c>
      <c r="H21">
        <f>IF(AND(采购进货!C21&lt;&gt;"",采购进货!C21=供应商对账单!$B$4,ISNUMBER(采购进货!B21),采购进货!B21&gt;=供应商对账单!$G$4,采购进货!B21&lt;=供应商对账单!$I$4),采购进货!B21+ROW()/100000,"")</f>
      </c>
      <c r="J21">
        <f>IF(总览汇总!$B21="","",N(总览汇总!$K21)+SUMIFS(出库明细!$G$4:$G$3003,出库明细!$C$4:$C$3003,总览汇总!$B21,出库明细!$B$4:$B$3003,"&gt;="&amp;年初日,出库明细!$B$4:$B$3003,"&lt;="&amp;资产负债表!$D$3)-SUMIFS(资金台帐!$S$7:$S$3006,资金台帐!$J$7:$J$3006,总览汇总!$B21,资金台帐!$P$7:$P$3006,"应收",资金台帐!$B$7:$B$3006,"&gt;="&amp;年初日,资金台帐!$B$7:$B$3006,"&lt;="&amp;资产负债表!$D$3))</f>
        <v>35000</v>
      </c>
      <c r="K21">
        <f>IF(基础资料!$Q21="","",N(基础资料!$R21)+SUMIFS(采购进货!$G$4:$G$1503,采购进货!$C$4:$C$1503,基础资料!$Q21,采购进货!$B$4:$B$1503,"&gt;="&amp;年初日,采购进货!$B$4:$B$1503,"&lt;="&amp;资产负债表!$D$3)+SUMIFS(资金台帐!$S$7:$S$3006,资金台帐!$K$7:$K$3006,基础资料!$Q21,资金台帐!$P$7:$P$3006,"应付",资金台帐!$B$7:$B$3006,"&gt;="&amp;年初日,资金台帐!$B$7:$B$3006,"&lt;="&amp;资产负债表!$D$3))</f>
      </c>
      <c r="N21">
        <f>IF(AND(ISNUMBER(出库明细!G21),ISNUMBER(出库明细!E21),ISNUMBER(出库明细!F21)),IF(ABS(出库明细!G21-出库明细!E21*出库明细!F21)&gt;0.005,1,0),0)</f>
        <v>0</v>
      </c>
      <c r="O21">
        <f>IF(AND(ISNUMBER(存条明细!G21),ISNUMBER(存条明细!E21),ISNUMBER(存条明细!F21)),IF(ABS(存条明细!G21-存条明细!E21*存条明细!F21)&gt;0.005,1,0),0)</f>
        <v>0</v>
      </c>
      <c r="AA21" t="str">
        <f>IF(基础资料!G20="","",基础资料!G20&amp;"")</f>
        <v>东鹏菊花茶</v>
      </c>
      <c r="AB21">
        <f>IF(N(基础资料!I20)&lt;=0,1,基础资料!I20)</f>
        <v>24</v>
      </c>
      <c r="AC21">
        <f>IF(OR($AA21="",AC$5=""),0,SUMIF(INDIRECT("'"&amp;AC$5&amp;"'!C6:C1000"),$AA21,INDIRECT("'"&amp;AC$5&amp;"'!H6:H1000")))</f>
        <v>0</v>
      </c>
      <c r="AD21">
        <f>IF(OR($AA21="",AD$5=""),0,SUMIF(INDIRECT("'"&amp;AD$5&amp;"'!C6:C1000"),$AA21,INDIRECT("'"&amp;AD$5&amp;"'!H6:H1000")))</f>
        <v>0</v>
      </c>
      <c r="AE21">
        <f>IF(OR($AA21="",AE$5=""),0,SUMIF(INDIRECT("'"&amp;AE$5&amp;"'!C6:C1000"),$AA21,INDIRECT("'"&amp;AE$5&amp;"'!H6:H1000")))</f>
        <v>0</v>
      </c>
      <c r="AF21">
        <f>IF(OR($AA21="",AF$5=""),0,SUMIF(INDIRECT("'"&amp;AF$5&amp;"'!C6:C1000"),$AA21,INDIRECT("'"&amp;AF$5&amp;"'!H6:H1000")))</f>
        <v>0</v>
      </c>
      <c r="AG21">
        <f>IF(OR($AA21="",AG$5=""),0,SUMIF(INDIRECT("'"&amp;AG$5&amp;"'!C6:C1000"),$AA21,INDIRECT("'"&amp;AG$5&amp;"'!H6:H1000")))</f>
        <v>0</v>
      </c>
      <c r="AH21">
        <f>IF(OR($AA21="",AH$5=""),0,SUMIF(INDIRECT("'"&amp;AH$5&amp;"'!C6:C1000"),$AA21,INDIRECT("'"&amp;AH$5&amp;"'!H6:H1000")))</f>
        <v>0</v>
      </c>
      <c r="AI21">
        <f>IF(OR($AA21="",AI$5=""),0,SUMIF(INDIRECT("'"&amp;AI$5&amp;"'!C6:C1000"),$AA21,INDIRECT("'"&amp;AI$5&amp;"'!H6:H1000")))</f>
        <v>0</v>
      </c>
      <c r="AJ21">
        <f>IF(OR($AA21="",AJ$5=""),0,SUMIF(INDIRECT("'"&amp;AJ$5&amp;"'!C6:C1000"),$AA21,INDIRECT("'"&amp;AJ$5&amp;"'!H6:H1000")))</f>
        <v>5201.496</v>
      </c>
      <c r="AK21">
        <f>IF(OR($AA21="",AK$5=""),0,SUMIF(INDIRECT("'"&amp;AK$5&amp;"'!C6:C1000"),$AA21,INDIRECT("'"&amp;AK$5&amp;"'!H6:H1000")))</f>
        <v>0</v>
      </c>
      <c r="AL21">
        <f>IF(OR($AA21="",AL$5=""),0,SUMIF(INDIRECT("'"&amp;AL$5&amp;"'!C6:C1000"),$AA21,INDIRECT("'"&amp;AL$5&amp;"'!H6:H1000")))</f>
        <v>0</v>
      </c>
      <c r="AM21">
        <f>IF(OR($AA21="",AM$5=""),0,SUMIF(INDIRECT("'"&amp;AM$5&amp;"'!C6:C1000"),$AA21,INDIRECT("'"&amp;AM$5&amp;"'!H6:H1000")))</f>
        <v>0</v>
      </c>
      <c r="AN21">
        <f>IF(OR($AA21="",AN$5=""),0,SUMIF(INDIRECT("'"&amp;AN$5&amp;"'!C6:C1000"),$AA21,INDIRECT("'"&amp;AN$5&amp;"'!H6:H1000")))</f>
        <v>0</v>
      </c>
      <c r="AO21">
        <f>IF(OR($AA21="",AC$5=""),0,SUMIF(INDIRECT("'"&amp;AC$5&amp;"'!C6:C1000"),$AA21,INDIRECT("'"&amp;AC$5&amp;"'!E6:E1000")))</f>
        <v>0</v>
      </c>
      <c r="AP21">
        <f>IF(OR($AA21="",AD$5=""),0,SUMIF(INDIRECT("'"&amp;AD$5&amp;"'!C6:C1000"),$AA21,INDIRECT("'"&amp;AD$5&amp;"'!E6:E1000")))</f>
        <v>0</v>
      </c>
      <c r="AQ21">
        <f>IF(OR($AA21="",AE$5=""),0,SUMIF(INDIRECT("'"&amp;AE$5&amp;"'!C6:C1000"),$AA21,INDIRECT("'"&amp;AE$5&amp;"'!E6:E1000")))</f>
        <v>0</v>
      </c>
      <c r="AR21">
        <f>IF(OR($AA21="",AF$5=""),0,SUMIF(INDIRECT("'"&amp;AF$5&amp;"'!C6:C1000"),$AA21,INDIRECT("'"&amp;AF$5&amp;"'!E6:E1000")))</f>
        <v>0</v>
      </c>
      <c r="AS21">
        <f>IF(OR($AA21="",AG$5=""),0,SUMIF(INDIRECT("'"&amp;AG$5&amp;"'!C6:C1000"),$AA21,INDIRECT("'"&amp;AG$5&amp;"'!E6:E1000")))</f>
        <v>0</v>
      </c>
      <c r="AT21">
        <f>IF(OR($AA21="",AH$5=""),0,SUMIF(INDIRECT("'"&amp;AH$5&amp;"'!C6:C1000"),$AA21,INDIRECT("'"&amp;AH$5&amp;"'!E6:E1000")))</f>
        <v>114</v>
      </c>
      <c r="AU21">
        <f>IF(OR($AA21="",AI$5=""),0,SUMIF(INDIRECT("'"&amp;AI$5&amp;"'!C6:C1000"),$AA21,INDIRECT("'"&amp;AI$5&amp;"'!E6:E1000")))</f>
        <v>0</v>
      </c>
      <c r="AV21">
        <f>IF(OR($AA21="",AJ$5=""),0,SUMIF(INDIRECT("'"&amp;AJ$5&amp;"'!C6:C1000"),$AA21,INDIRECT("'"&amp;AJ$5&amp;"'!E6:E1000")))</f>
        <v>2094</v>
      </c>
      <c r="AW21">
        <f>IF(OR($AA21="",AK$5=""),0,SUMIF(INDIRECT("'"&amp;AK$5&amp;"'!C6:C1000"),$AA21,INDIRECT("'"&amp;AK$5&amp;"'!E6:E1000")))</f>
        <v>0</v>
      </c>
      <c r="AX21">
        <f>IF(OR($AA21="",AL$5=""),0,SUMIF(INDIRECT("'"&amp;AL$5&amp;"'!C6:C1000"),$AA21,INDIRECT("'"&amp;AL$5&amp;"'!E6:E1000")))</f>
        <v>0</v>
      </c>
      <c r="AY21">
        <f>IF(OR($AA21="",AM$5=""),0,SUMIF(INDIRECT("'"&amp;AM$5&amp;"'!C6:C1000"),$AA21,INDIRECT("'"&amp;AM$5&amp;"'!E6:E1000")))</f>
        <v>0</v>
      </c>
      <c r="AZ21">
        <f>IF(OR($AA21="",AN$5=""),0,SUMIF(INDIRECT("'"&amp;AN$5&amp;"'!C6:C1000"),$AA21,INDIRECT("'"&amp;AN$5&amp;"'!E6:E1000")))</f>
        <v>0</v>
      </c>
      <c r="BA21">
        <f>IF(OR($AA21="",AC$5=""),0,SUMIFS(INDIRECT("'"&amp;AC$5&amp;"'!E6:E1000"),INDIRECT("'"&amp;AC$5&amp;"'!C6:C1000"),$AA21,INDIRECT("'"&amp;AC$5&amp;"'!F6:F1000"),"箱")+SUMIFS(INDIRECT("'"&amp;AC$5&amp;"'!E6:E1000"),INDIRECT("'"&amp;AC$5&amp;"'!C6:C1000"),$AA21,INDIRECT("'"&amp;AC$5&amp;"'!F6:F1000"),"件"))</f>
        <v>0</v>
      </c>
      <c r="BB21">
        <f>IF(OR($AA21="",AD$5=""),0,SUMIFS(INDIRECT("'"&amp;AD$5&amp;"'!E6:E1000"),INDIRECT("'"&amp;AD$5&amp;"'!C6:C1000"),$AA21,INDIRECT("'"&amp;AD$5&amp;"'!F6:F1000"),"箱")+SUMIFS(INDIRECT("'"&amp;AD$5&amp;"'!E6:E1000"),INDIRECT("'"&amp;AD$5&amp;"'!C6:C1000"),$AA21,INDIRECT("'"&amp;AD$5&amp;"'!F6:F1000"),"件"))</f>
        <v>0</v>
      </c>
      <c r="BC21">
        <f>IF(OR($AA21="",AE$5=""),0,SUMIFS(INDIRECT("'"&amp;AE$5&amp;"'!E6:E1000"),INDIRECT("'"&amp;AE$5&amp;"'!C6:C1000"),$AA21,INDIRECT("'"&amp;AE$5&amp;"'!F6:F1000"),"箱")+SUMIFS(INDIRECT("'"&amp;AE$5&amp;"'!E6:E1000"),INDIRECT("'"&amp;AE$5&amp;"'!C6:C1000"),$AA21,INDIRECT("'"&amp;AE$5&amp;"'!F6:F1000"),"件"))</f>
        <v>0</v>
      </c>
      <c r="BD21">
        <f>IF(OR($AA21="",AF$5=""),0,SUMIFS(INDIRECT("'"&amp;AF$5&amp;"'!E6:E1000"),INDIRECT("'"&amp;AF$5&amp;"'!C6:C1000"),$AA21,INDIRECT("'"&amp;AF$5&amp;"'!F6:F1000"),"箱")+SUMIFS(INDIRECT("'"&amp;AF$5&amp;"'!E6:E1000"),INDIRECT("'"&amp;AF$5&amp;"'!C6:C1000"),$AA21,INDIRECT("'"&amp;AF$5&amp;"'!F6:F1000"),"件"))</f>
        <v>0</v>
      </c>
      <c r="BE21">
        <f>IF(OR($AA21="",AG$5=""),0,SUMIFS(INDIRECT("'"&amp;AG$5&amp;"'!E6:E1000"),INDIRECT("'"&amp;AG$5&amp;"'!C6:C1000"),$AA21,INDIRECT("'"&amp;AG$5&amp;"'!F6:F1000"),"箱")+SUMIFS(INDIRECT("'"&amp;AG$5&amp;"'!E6:E1000"),INDIRECT("'"&amp;AG$5&amp;"'!C6:C1000"),$AA21,INDIRECT("'"&amp;AG$5&amp;"'!F6:F1000"),"件"))</f>
        <v>0</v>
      </c>
      <c r="BF21">
        <f>IF(OR($AA21="",AH$5=""),0,SUMIFS(INDIRECT("'"&amp;AH$5&amp;"'!E6:E1000"),INDIRECT("'"&amp;AH$5&amp;"'!C6:C1000"),$AA21,INDIRECT("'"&amp;AH$5&amp;"'!F6:F1000"),"箱")+SUMIFS(INDIRECT("'"&amp;AH$5&amp;"'!E6:E1000"),INDIRECT("'"&amp;AH$5&amp;"'!C6:C1000"),$AA21,INDIRECT("'"&amp;AH$5&amp;"'!F6:F1000"),"件"))</f>
        <v>0</v>
      </c>
      <c r="BG21">
        <f>IF(OR($AA21="",AI$5=""),0,SUMIFS(INDIRECT("'"&amp;AI$5&amp;"'!E6:E1000"),INDIRECT("'"&amp;AI$5&amp;"'!C6:C1000"),$AA21,INDIRECT("'"&amp;AI$5&amp;"'!F6:F1000"),"箱")+SUMIFS(INDIRECT("'"&amp;AI$5&amp;"'!E6:E1000"),INDIRECT("'"&amp;AI$5&amp;"'!C6:C1000"),$AA21,INDIRECT("'"&amp;AI$5&amp;"'!F6:F1000"),"件"))</f>
        <v>0</v>
      </c>
      <c r="BH21">
        <f>IF(OR($AA21="",AJ$5=""),0,SUMIFS(INDIRECT("'"&amp;AJ$5&amp;"'!E6:E1000"),INDIRECT("'"&amp;AJ$5&amp;"'!C6:C1000"),$AA21,INDIRECT("'"&amp;AJ$5&amp;"'!F6:F1000"),"箱")+SUMIFS(INDIRECT("'"&amp;AJ$5&amp;"'!E6:E1000"),INDIRECT("'"&amp;AJ$5&amp;"'!C6:C1000"),$AA21,INDIRECT("'"&amp;AJ$5&amp;"'!F6:F1000"),"件"))</f>
        <v>0</v>
      </c>
      <c r="BI21">
        <f>IF(OR($AA21="",AK$5=""),0,SUMIFS(INDIRECT("'"&amp;AK$5&amp;"'!E6:E1000"),INDIRECT("'"&amp;AK$5&amp;"'!C6:C1000"),$AA21,INDIRECT("'"&amp;AK$5&amp;"'!F6:F1000"),"箱")+SUMIFS(INDIRECT("'"&amp;AK$5&amp;"'!E6:E1000"),INDIRECT("'"&amp;AK$5&amp;"'!C6:C1000"),$AA21,INDIRECT("'"&amp;AK$5&amp;"'!F6:F1000"),"件"))</f>
        <v>0</v>
      </c>
      <c r="BJ21">
        <f>IF(OR($AA21="",AL$5=""),0,SUMIFS(INDIRECT("'"&amp;AL$5&amp;"'!E6:E1000"),INDIRECT("'"&amp;AL$5&amp;"'!C6:C1000"),$AA21,INDIRECT("'"&amp;AL$5&amp;"'!F6:F1000"),"箱")+SUMIFS(INDIRECT("'"&amp;AL$5&amp;"'!E6:E1000"),INDIRECT("'"&amp;AL$5&amp;"'!C6:C1000"),$AA21,INDIRECT("'"&amp;AL$5&amp;"'!F6:F1000"),"件"))</f>
        <v>0</v>
      </c>
      <c r="BK21">
        <f>IF(OR($AA21="",AM$5=""),0,SUMIFS(INDIRECT("'"&amp;AM$5&amp;"'!E6:E1000"),INDIRECT("'"&amp;AM$5&amp;"'!C6:C1000"),$AA21,INDIRECT("'"&amp;AM$5&amp;"'!F6:F1000"),"箱")+SUMIFS(INDIRECT("'"&amp;AM$5&amp;"'!E6:E1000"),INDIRECT("'"&amp;AM$5&amp;"'!C6:C1000"),$AA21,INDIRECT("'"&amp;AM$5&amp;"'!F6:F1000"),"件"))</f>
        <v>0</v>
      </c>
      <c r="BL21">
        <f>IF(OR($AA21="",AN$5=""),0,SUMIFS(INDIRECT("'"&amp;AN$5&amp;"'!E6:E1000"),INDIRECT("'"&amp;AN$5&amp;"'!C6:C1000"),$AA21,INDIRECT("'"&amp;AN$5&amp;"'!F6:F1000"),"箱")+SUMIFS(INDIRECT("'"&amp;AN$5&amp;"'!E6:E1000"),INDIRECT("'"&amp;AN$5&amp;"'!C6:C1000"),$AA21,INDIRECT("'"&amp;AN$5&amp;"'!F6:F1000"),"件"))</f>
        <v>0</v>
      </c>
      <c r="BM21">
        <f>(AO21-BA21)/$AB21+BA21</f>
        <v>0</v>
      </c>
      <c r="BN21">
        <f>(AP21-BB21)/$AB21+BB21</f>
        <v>0</v>
      </c>
      <c r="BO21">
        <f>(AQ21-BC21)/$AB21+BC21</f>
        <v>0</v>
      </c>
      <c r="BP21">
        <f>(AR21-BD21)/$AB21+BD21</f>
        <v>0</v>
      </c>
      <c r="BQ21">
        <f>(AS21-BE21)/$AB21+BE21</f>
        <v>0</v>
      </c>
      <c r="BR21">
        <f>(AT21-BF21)/$AB21+BF21</f>
        <v>4.75</v>
      </c>
      <c r="BS21">
        <f>(AU21-BG21)/$AB21+BG21</f>
        <v>0</v>
      </c>
      <c r="BT21">
        <f>(AV21-BH21)/$AB21+BH21</f>
        <v>87.25</v>
      </c>
      <c r="BU21">
        <f>(AW21-BI21)/$AB21+BI21</f>
        <v>0</v>
      </c>
      <c r="BV21">
        <f>(AX21-BJ21)/$AB21+BJ21</f>
        <v>0</v>
      </c>
      <c r="BW21">
        <f>(AY21-BK21)/$AB21+BK21</f>
        <v>0</v>
      </c>
      <c r="BX21">
        <f>(AZ21-BL21)/$AB21+BL21</f>
        <v>0</v>
      </c>
      <c r="BY21">
        <f>SUMPRODUCT((($AC$4:$AN$4=报损汇总一览!$A$3)+(报损汇总一览!$A$3="全年"))*AC21:AN21)</f>
        <v>5201.496</v>
      </c>
      <c r="BZ21">
        <f>IF(BY21&gt;0,BY21+(1000-ROW())/10000000,"")</f>
        <v>5201.4960979</v>
      </c>
      <c r="CA21">
        <f>SUMPRODUCT((($AC$4:$AN$4=报损汇总一览!$A$3)+(报损汇总一览!$A$3="全年"))*AO21:AZ21)</f>
        <v>2208</v>
      </c>
    </row>
    <row r="22">
      <c r="A22">
        <f>IF(OR(存条明细!C22="",存条明细!D22=""),"",IF(COUNTIFS(存条明细!$C$4:C22,存条明细!C22,存条明细!$D$4:D22,存条明细!D22)&gt;1,"",IFERROR(MATCH(存条明细!C22,总览汇总!$B$5:$B$304,0),900)*10000000+IFERROR(MATCH(存条明细!D22,基础资料!$E$5:$E$104,0),900)*10000+ROW()))</f>
        <v>30230022</v>
      </c>
      <c r="B22">
        <f>IFERROR(MATCH(SMALL($A$4:$A$4003,19),$A$4:$A$4003,0),"")</f>
        <v>12</v>
      </c>
      <c r="D22">
        <f>IF(AND(商品库存!B22&lt;&gt;"",商品库存!B22=客户查询!$B$4),COUNTIF(商品库存!$B$4:B22,客户查询!$B$4),"")</f>
      </c>
      <c r="E22">
        <f>IF(AND(商品库存!B22&lt;&gt;"",商品库存!B22=客户对账单!$B$4),COUNTIF(商品库存!$B$4:B22,客户对账单!$B$4),"")</f>
      </c>
      <c r="F22">
        <f>IF(AND(出库明细!C22&lt;&gt;"",出库明细!C22=客户对账单!$B$4,ISNUMBER(出库明细!B22),出库明细!B22&gt;=客户对账单!$G$4,出库明细!B22&lt;=客户对账单!$I$4),出库明细!B22+ROW()/100000,"")</f>
      </c>
      <c r="H22">
        <f>IF(AND(采购进货!C22&lt;&gt;"",采购进货!C22=供应商对账单!$B$4,ISNUMBER(采购进货!B22),采购进货!B22&gt;=供应商对账单!$G$4,采购进货!B22&lt;=供应商对账单!$I$4),采购进货!B22+ROW()/100000,"")</f>
      </c>
      <c r="J22">
        <f>IF(总览汇总!$B22="","",N(总览汇总!$K22)+SUMIFS(出库明细!$G$4:$G$3003,出库明细!$C$4:$C$3003,总览汇总!$B22,出库明细!$B$4:$B$3003,"&gt;="&amp;年初日,出库明细!$B$4:$B$3003,"&lt;="&amp;资产负债表!$D$3)-SUMIFS(资金台帐!$S$7:$S$3006,资金台帐!$J$7:$J$3006,总览汇总!$B22,资金台帐!$P$7:$P$3006,"应收",资金台帐!$B$7:$B$3006,"&gt;="&amp;年初日,资金台帐!$B$7:$B$3006,"&lt;="&amp;资产负债表!$D$3))</f>
        <v>-8100</v>
      </c>
      <c r="K22">
        <f>IF(基础资料!$Q22="","",N(基础资料!$R22)+SUMIFS(采购进货!$G$4:$G$1503,采购进货!$C$4:$C$1503,基础资料!$Q22,采购进货!$B$4:$B$1503,"&gt;="&amp;年初日,采购进货!$B$4:$B$1503,"&lt;="&amp;资产负债表!$D$3)+SUMIFS(资金台帐!$S$7:$S$3006,资金台帐!$K$7:$K$3006,基础资料!$Q22,资金台帐!$P$7:$P$3006,"应付",资金台帐!$B$7:$B$3006,"&gt;="&amp;年初日,资金台帐!$B$7:$B$3006,"&lt;="&amp;资产负债表!$D$3))</f>
      </c>
      <c r="N22">
        <f>IF(AND(ISNUMBER(出库明细!G22),ISNUMBER(出库明细!E22),ISNUMBER(出库明细!F22)),IF(ABS(出库明细!G22-出库明细!E22*出库明细!F22)&gt;0.005,1,0),0)</f>
        <v>0</v>
      </c>
      <c r="O22">
        <f>IF(AND(ISNUMBER(存条明细!G22),ISNUMBER(存条明细!E22),ISNUMBER(存条明细!F22)),IF(ABS(存条明细!G22-存条明细!E22*存条明细!F22)&gt;0.005,1,0),0)</f>
        <v>0</v>
      </c>
      <c r="AA22">
        <f>IF(基础资料!G21="","",基础资料!G21&amp;"")</f>
      </c>
      <c r="AB22">
        <f>IF(N(基础资料!I21)&lt;=0,1,基础资料!I21)</f>
        <v>1</v>
      </c>
      <c r="AC22">
        <f>IF(OR($AA22="",AC$5=""),0,SUMIF(INDIRECT("'"&amp;AC$5&amp;"'!C6:C1000"),$AA22,INDIRECT("'"&amp;AC$5&amp;"'!H6:H1000")))</f>
        <v>0</v>
      </c>
      <c r="AD22">
        <f>IF(OR($AA22="",AD$5=""),0,SUMIF(INDIRECT("'"&amp;AD$5&amp;"'!C6:C1000"),$AA22,INDIRECT("'"&amp;AD$5&amp;"'!H6:H1000")))</f>
        <v>0</v>
      </c>
      <c r="AE22">
        <f>IF(OR($AA22="",AE$5=""),0,SUMIF(INDIRECT("'"&amp;AE$5&amp;"'!C6:C1000"),$AA22,INDIRECT("'"&amp;AE$5&amp;"'!H6:H1000")))</f>
        <v>0</v>
      </c>
      <c r="AF22">
        <f>IF(OR($AA22="",AF$5=""),0,SUMIF(INDIRECT("'"&amp;AF$5&amp;"'!C6:C1000"),$AA22,INDIRECT("'"&amp;AF$5&amp;"'!H6:H1000")))</f>
        <v>0</v>
      </c>
      <c r="AG22">
        <f>IF(OR($AA22="",AG$5=""),0,SUMIF(INDIRECT("'"&amp;AG$5&amp;"'!C6:C1000"),$AA22,INDIRECT("'"&amp;AG$5&amp;"'!H6:H1000")))</f>
        <v>0</v>
      </c>
      <c r="AH22">
        <f>IF(OR($AA22="",AH$5=""),0,SUMIF(INDIRECT("'"&amp;AH$5&amp;"'!C6:C1000"),$AA22,INDIRECT("'"&amp;AH$5&amp;"'!H6:H1000")))</f>
        <v>0</v>
      </c>
      <c r="AI22">
        <f>IF(OR($AA22="",AI$5=""),0,SUMIF(INDIRECT("'"&amp;AI$5&amp;"'!C6:C1000"),$AA22,INDIRECT("'"&amp;AI$5&amp;"'!H6:H1000")))</f>
        <v>0</v>
      </c>
      <c r="AJ22">
        <f>IF(OR($AA22="",AJ$5=""),0,SUMIF(INDIRECT("'"&amp;AJ$5&amp;"'!C6:C1000"),$AA22,INDIRECT("'"&amp;AJ$5&amp;"'!H6:H1000")))</f>
        <v>0</v>
      </c>
      <c r="AK22">
        <f>IF(OR($AA22="",AK$5=""),0,SUMIF(INDIRECT("'"&amp;AK$5&amp;"'!C6:C1000"),$AA22,INDIRECT("'"&amp;AK$5&amp;"'!H6:H1000")))</f>
        <v>0</v>
      </c>
      <c r="AL22">
        <f>IF(OR($AA22="",AL$5=""),0,SUMIF(INDIRECT("'"&amp;AL$5&amp;"'!C6:C1000"),$AA22,INDIRECT("'"&amp;AL$5&amp;"'!H6:H1000")))</f>
        <v>0</v>
      </c>
      <c r="AM22">
        <f>IF(OR($AA22="",AM$5=""),0,SUMIF(INDIRECT("'"&amp;AM$5&amp;"'!C6:C1000"),$AA22,INDIRECT("'"&amp;AM$5&amp;"'!H6:H1000")))</f>
        <v>0</v>
      </c>
      <c r="AN22">
        <f>IF(OR($AA22="",AN$5=""),0,SUMIF(INDIRECT("'"&amp;AN$5&amp;"'!C6:C1000"),$AA22,INDIRECT("'"&amp;AN$5&amp;"'!H6:H1000")))</f>
        <v>0</v>
      </c>
      <c r="AO22">
        <f>IF(OR($AA22="",AC$5=""),0,SUMIF(INDIRECT("'"&amp;AC$5&amp;"'!C6:C1000"),$AA22,INDIRECT("'"&amp;AC$5&amp;"'!E6:E1000")))</f>
        <v>0</v>
      </c>
      <c r="AP22">
        <f>IF(OR($AA22="",AD$5=""),0,SUMIF(INDIRECT("'"&amp;AD$5&amp;"'!C6:C1000"),$AA22,INDIRECT("'"&amp;AD$5&amp;"'!E6:E1000")))</f>
        <v>0</v>
      </c>
      <c r="AQ22">
        <f>IF(OR($AA22="",AE$5=""),0,SUMIF(INDIRECT("'"&amp;AE$5&amp;"'!C6:C1000"),$AA22,INDIRECT("'"&amp;AE$5&amp;"'!E6:E1000")))</f>
        <v>0</v>
      </c>
      <c r="AR22">
        <f>IF(OR($AA22="",AF$5=""),0,SUMIF(INDIRECT("'"&amp;AF$5&amp;"'!C6:C1000"),$AA22,INDIRECT("'"&amp;AF$5&amp;"'!E6:E1000")))</f>
        <v>0</v>
      </c>
      <c r="AS22">
        <f>IF(OR($AA22="",AG$5=""),0,SUMIF(INDIRECT("'"&amp;AG$5&amp;"'!C6:C1000"),$AA22,INDIRECT("'"&amp;AG$5&amp;"'!E6:E1000")))</f>
        <v>0</v>
      </c>
      <c r="AT22">
        <f>IF(OR($AA22="",AH$5=""),0,SUMIF(INDIRECT("'"&amp;AH$5&amp;"'!C6:C1000"),$AA22,INDIRECT("'"&amp;AH$5&amp;"'!E6:E1000")))</f>
        <v>0</v>
      </c>
      <c r="AU22">
        <f>IF(OR($AA22="",AI$5=""),0,SUMIF(INDIRECT("'"&amp;AI$5&amp;"'!C6:C1000"),$AA22,INDIRECT("'"&amp;AI$5&amp;"'!E6:E1000")))</f>
        <v>0</v>
      </c>
      <c r="AV22">
        <f>IF(OR($AA22="",AJ$5=""),0,SUMIF(INDIRECT("'"&amp;AJ$5&amp;"'!C6:C1000"),$AA22,INDIRECT("'"&amp;AJ$5&amp;"'!E6:E1000")))</f>
        <v>0</v>
      </c>
      <c r="AW22">
        <f>IF(OR($AA22="",AK$5=""),0,SUMIF(INDIRECT("'"&amp;AK$5&amp;"'!C6:C1000"),$AA22,INDIRECT("'"&amp;AK$5&amp;"'!E6:E1000")))</f>
        <v>0</v>
      </c>
      <c r="AX22">
        <f>IF(OR($AA22="",AL$5=""),0,SUMIF(INDIRECT("'"&amp;AL$5&amp;"'!C6:C1000"),$AA22,INDIRECT("'"&amp;AL$5&amp;"'!E6:E1000")))</f>
        <v>0</v>
      </c>
      <c r="AY22">
        <f>IF(OR($AA22="",AM$5=""),0,SUMIF(INDIRECT("'"&amp;AM$5&amp;"'!C6:C1000"),$AA22,INDIRECT("'"&amp;AM$5&amp;"'!E6:E1000")))</f>
        <v>0</v>
      </c>
      <c r="AZ22">
        <f>IF(OR($AA22="",AN$5=""),0,SUMIF(INDIRECT("'"&amp;AN$5&amp;"'!C6:C1000"),$AA22,INDIRECT("'"&amp;AN$5&amp;"'!E6:E1000")))</f>
        <v>0</v>
      </c>
      <c r="BA22">
        <f>IF(OR($AA22="",AC$5=""),0,SUMIFS(INDIRECT("'"&amp;AC$5&amp;"'!E6:E1000"),INDIRECT("'"&amp;AC$5&amp;"'!C6:C1000"),$AA22,INDIRECT("'"&amp;AC$5&amp;"'!F6:F1000"),"箱")+SUMIFS(INDIRECT("'"&amp;AC$5&amp;"'!E6:E1000"),INDIRECT("'"&amp;AC$5&amp;"'!C6:C1000"),$AA22,INDIRECT("'"&amp;AC$5&amp;"'!F6:F1000"),"件"))</f>
        <v>0</v>
      </c>
      <c r="BB22">
        <f>IF(OR($AA22="",AD$5=""),0,SUMIFS(INDIRECT("'"&amp;AD$5&amp;"'!E6:E1000"),INDIRECT("'"&amp;AD$5&amp;"'!C6:C1000"),$AA22,INDIRECT("'"&amp;AD$5&amp;"'!F6:F1000"),"箱")+SUMIFS(INDIRECT("'"&amp;AD$5&amp;"'!E6:E1000"),INDIRECT("'"&amp;AD$5&amp;"'!C6:C1000"),$AA22,INDIRECT("'"&amp;AD$5&amp;"'!F6:F1000"),"件"))</f>
        <v>0</v>
      </c>
      <c r="BC22">
        <f>IF(OR($AA22="",AE$5=""),0,SUMIFS(INDIRECT("'"&amp;AE$5&amp;"'!E6:E1000"),INDIRECT("'"&amp;AE$5&amp;"'!C6:C1000"),$AA22,INDIRECT("'"&amp;AE$5&amp;"'!F6:F1000"),"箱")+SUMIFS(INDIRECT("'"&amp;AE$5&amp;"'!E6:E1000"),INDIRECT("'"&amp;AE$5&amp;"'!C6:C1000"),$AA22,INDIRECT("'"&amp;AE$5&amp;"'!F6:F1000"),"件"))</f>
        <v>0</v>
      </c>
      <c r="BD22">
        <f>IF(OR($AA22="",AF$5=""),0,SUMIFS(INDIRECT("'"&amp;AF$5&amp;"'!E6:E1000"),INDIRECT("'"&amp;AF$5&amp;"'!C6:C1000"),$AA22,INDIRECT("'"&amp;AF$5&amp;"'!F6:F1000"),"箱")+SUMIFS(INDIRECT("'"&amp;AF$5&amp;"'!E6:E1000"),INDIRECT("'"&amp;AF$5&amp;"'!C6:C1000"),$AA22,INDIRECT("'"&amp;AF$5&amp;"'!F6:F1000"),"件"))</f>
        <v>0</v>
      </c>
      <c r="BE22">
        <f>IF(OR($AA22="",AG$5=""),0,SUMIFS(INDIRECT("'"&amp;AG$5&amp;"'!E6:E1000"),INDIRECT("'"&amp;AG$5&amp;"'!C6:C1000"),$AA22,INDIRECT("'"&amp;AG$5&amp;"'!F6:F1000"),"箱")+SUMIFS(INDIRECT("'"&amp;AG$5&amp;"'!E6:E1000"),INDIRECT("'"&amp;AG$5&amp;"'!C6:C1000"),$AA22,INDIRECT("'"&amp;AG$5&amp;"'!F6:F1000"),"件"))</f>
        <v>0</v>
      </c>
      <c r="BF22">
        <f>IF(OR($AA22="",AH$5=""),0,SUMIFS(INDIRECT("'"&amp;AH$5&amp;"'!E6:E1000"),INDIRECT("'"&amp;AH$5&amp;"'!C6:C1000"),$AA22,INDIRECT("'"&amp;AH$5&amp;"'!F6:F1000"),"箱")+SUMIFS(INDIRECT("'"&amp;AH$5&amp;"'!E6:E1000"),INDIRECT("'"&amp;AH$5&amp;"'!C6:C1000"),$AA22,INDIRECT("'"&amp;AH$5&amp;"'!F6:F1000"),"件"))</f>
        <v>0</v>
      </c>
      <c r="BG22">
        <f>IF(OR($AA22="",AI$5=""),0,SUMIFS(INDIRECT("'"&amp;AI$5&amp;"'!E6:E1000"),INDIRECT("'"&amp;AI$5&amp;"'!C6:C1000"),$AA22,INDIRECT("'"&amp;AI$5&amp;"'!F6:F1000"),"箱")+SUMIFS(INDIRECT("'"&amp;AI$5&amp;"'!E6:E1000"),INDIRECT("'"&amp;AI$5&amp;"'!C6:C1000"),$AA22,INDIRECT("'"&amp;AI$5&amp;"'!F6:F1000"),"件"))</f>
        <v>0</v>
      </c>
      <c r="BH22">
        <f>IF(OR($AA22="",AJ$5=""),0,SUMIFS(INDIRECT("'"&amp;AJ$5&amp;"'!E6:E1000"),INDIRECT("'"&amp;AJ$5&amp;"'!C6:C1000"),$AA22,INDIRECT("'"&amp;AJ$5&amp;"'!F6:F1000"),"箱")+SUMIFS(INDIRECT("'"&amp;AJ$5&amp;"'!E6:E1000"),INDIRECT("'"&amp;AJ$5&amp;"'!C6:C1000"),$AA22,INDIRECT("'"&amp;AJ$5&amp;"'!F6:F1000"),"件"))</f>
        <v>0</v>
      </c>
      <c r="BI22">
        <f>IF(OR($AA22="",AK$5=""),0,SUMIFS(INDIRECT("'"&amp;AK$5&amp;"'!E6:E1000"),INDIRECT("'"&amp;AK$5&amp;"'!C6:C1000"),$AA22,INDIRECT("'"&amp;AK$5&amp;"'!F6:F1000"),"箱")+SUMIFS(INDIRECT("'"&amp;AK$5&amp;"'!E6:E1000"),INDIRECT("'"&amp;AK$5&amp;"'!C6:C1000"),$AA22,INDIRECT("'"&amp;AK$5&amp;"'!F6:F1000"),"件"))</f>
        <v>0</v>
      </c>
      <c r="BJ22">
        <f>IF(OR($AA22="",AL$5=""),0,SUMIFS(INDIRECT("'"&amp;AL$5&amp;"'!E6:E1000"),INDIRECT("'"&amp;AL$5&amp;"'!C6:C1000"),$AA22,INDIRECT("'"&amp;AL$5&amp;"'!F6:F1000"),"箱")+SUMIFS(INDIRECT("'"&amp;AL$5&amp;"'!E6:E1000"),INDIRECT("'"&amp;AL$5&amp;"'!C6:C1000"),$AA22,INDIRECT("'"&amp;AL$5&amp;"'!F6:F1000"),"件"))</f>
        <v>0</v>
      </c>
      <c r="BK22">
        <f>IF(OR($AA22="",AM$5=""),0,SUMIFS(INDIRECT("'"&amp;AM$5&amp;"'!E6:E1000"),INDIRECT("'"&amp;AM$5&amp;"'!C6:C1000"),$AA22,INDIRECT("'"&amp;AM$5&amp;"'!F6:F1000"),"箱")+SUMIFS(INDIRECT("'"&amp;AM$5&amp;"'!E6:E1000"),INDIRECT("'"&amp;AM$5&amp;"'!C6:C1000"),$AA22,INDIRECT("'"&amp;AM$5&amp;"'!F6:F1000"),"件"))</f>
        <v>0</v>
      </c>
      <c r="BL22">
        <f>IF(OR($AA22="",AN$5=""),0,SUMIFS(INDIRECT("'"&amp;AN$5&amp;"'!E6:E1000"),INDIRECT("'"&amp;AN$5&amp;"'!C6:C1000"),$AA22,INDIRECT("'"&amp;AN$5&amp;"'!F6:F1000"),"箱")+SUMIFS(INDIRECT("'"&amp;AN$5&amp;"'!E6:E1000"),INDIRECT("'"&amp;AN$5&amp;"'!C6:C1000"),$AA22,INDIRECT("'"&amp;AN$5&amp;"'!F6:F1000"),"件"))</f>
        <v>0</v>
      </c>
      <c r="BM22">
        <f>(AO22-BA22)/$AB22+BA22</f>
        <v>0</v>
      </c>
      <c r="BN22">
        <f>(AP22-BB22)/$AB22+BB22</f>
        <v>0</v>
      </c>
      <c r="BO22">
        <f>(AQ22-BC22)/$AB22+BC22</f>
        <v>0</v>
      </c>
      <c r="BP22">
        <f>(AR22-BD22)/$AB22+BD22</f>
        <v>0</v>
      </c>
      <c r="BQ22">
        <f>(AS22-BE22)/$AB22+BE22</f>
        <v>0</v>
      </c>
      <c r="BR22">
        <f>(AT22-BF22)/$AB22+BF22</f>
        <v>0</v>
      </c>
      <c r="BS22">
        <f>(AU22-BG22)/$AB22+BG22</f>
        <v>0</v>
      </c>
      <c r="BT22">
        <f>(AV22-BH22)/$AB22+BH22</f>
        <v>0</v>
      </c>
      <c r="BU22">
        <f>(AW22-BI22)/$AB22+BI22</f>
        <v>0</v>
      </c>
      <c r="BV22">
        <f>(AX22-BJ22)/$AB22+BJ22</f>
        <v>0</v>
      </c>
      <c r="BW22">
        <f>(AY22-BK22)/$AB22+BK22</f>
        <v>0</v>
      </c>
      <c r="BX22">
        <f>(AZ22-BL22)/$AB22+BL22</f>
        <v>0</v>
      </c>
      <c r="BY22">
        <f>SUMPRODUCT((($AC$4:$AN$4=报损汇总一览!$A$3)+(报损汇总一览!$A$3="全年"))*AC22:AN22)</f>
        <v>0</v>
      </c>
      <c r="BZ22">
        <f>IF(BY22&gt;0,BY22+(1000-ROW())/10000000,"")</f>
      </c>
      <c r="CA22">
        <f>SUMPRODUCT((($AC$4:$AN$4=报损汇总一览!$A$3)+(报损汇总一览!$A$3="全年"))*AO22:AZ22)</f>
        <v>0</v>
      </c>
    </row>
    <row r="23">
      <c r="A23">
        <f>IF(OR(存条明细!C23="",存条明细!D23=""),"",IF(COUNTIFS(存条明细!$C$4:C23,存条明细!C23,存条明细!$D$4:D23,存条明细!D23)&gt;1,"",IFERROR(MATCH(存条明细!C23,总览汇总!$B$5:$B$304,0),900)*10000000+IFERROR(MATCH(存条明细!D23,基础资料!$E$5:$E$104,0),900)*10000+ROW()))</f>
        <v>40010023</v>
      </c>
      <c r="B23">
        <f>IFERROR(MATCH(SMALL($A$4:$A$4003,20),$A$4:$A$4003,0),"")</f>
        <v>11</v>
      </c>
      <c r="D23">
        <f>IF(AND(商品库存!B23&lt;&gt;"",商品库存!B23=客户查询!$B$4),COUNTIF(商品库存!$B$4:B23,客户查询!$B$4),"")</f>
      </c>
      <c r="E23">
        <f>IF(AND(商品库存!B23&lt;&gt;"",商品库存!B23=客户对账单!$B$4),COUNTIF(商品库存!$B$4:B23,客户对账单!$B$4),"")</f>
      </c>
      <c r="F23">
        <f>IF(AND(出库明细!C23&lt;&gt;"",出库明细!C23=客户对账单!$B$4,ISNUMBER(出库明细!B23),出库明细!B23&gt;=客户对账单!$G$4,出库明细!B23&lt;=客户对账单!$I$4),出库明细!B23+ROW()/100000,"")</f>
      </c>
      <c r="H23">
        <f>IF(AND(采购进货!C23&lt;&gt;"",采购进货!C23=供应商对账单!$B$4,ISNUMBER(采购进货!B23),采购进货!B23&gt;=供应商对账单!$G$4,采购进货!B23&lt;=供应商对账单!$I$4),采购进货!B23+ROW()/100000,"")</f>
      </c>
      <c r="J23">
        <f>IF(总览汇总!$B23="","",N(总览汇总!$K23)+SUMIFS(出库明细!$G$4:$G$3003,出库明细!$C$4:$C$3003,总览汇总!$B23,出库明细!$B$4:$B$3003,"&gt;="&amp;年初日,出库明细!$B$4:$B$3003,"&lt;="&amp;资产负债表!$D$3)-SUMIFS(资金台帐!$S$7:$S$3006,资金台帐!$J$7:$J$3006,总览汇总!$B23,资金台帐!$P$7:$P$3006,"应收",资金台帐!$B$7:$B$3006,"&gt;="&amp;年初日,资金台帐!$B$7:$B$3006,"&lt;="&amp;资产负债表!$D$3))</f>
        <v>-7120</v>
      </c>
      <c r="K23">
        <f>IF(基础资料!$Q23="","",N(基础资料!$R23)+SUMIFS(采购进货!$G$4:$G$1503,采购进货!$C$4:$C$1503,基础资料!$Q23,采购进货!$B$4:$B$1503,"&gt;="&amp;年初日,采购进货!$B$4:$B$1503,"&lt;="&amp;资产负债表!$D$3)+SUMIFS(资金台帐!$S$7:$S$3006,资金台帐!$K$7:$K$3006,基础资料!$Q23,资金台帐!$P$7:$P$3006,"应付",资金台帐!$B$7:$B$3006,"&gt;="&amp;年初日,资金台帐!$B$7:$B$3006,"&lt;="&amp;资产负债表!$D$3))</f>
      </c>
      <c r="N23">
        <f>IF(AND(ISNUMBER(出库明细!G23),ISNUMBER(出库明细!E23),ISNUMBER(出库明细!F23)),IF(ABS(出库明细!G23-出库明细!E23*出库明细!F23)&gt;0.005,1,0),0)</f>
        <v>0</v>
      </c>
      <c r="O23">
        <f>IF(AND(ISNUMBER(存条明细!G23),ISNUMBER(存条明细!E23),ISNUMBER(存条明细!F23)),IF(ABS(存条明细!G23-存条明细!E23*存条明细!F23)&gt;0.005,1,0),0)</f>
        <v>0</v>
      </c>
      <c r="AA23">
        <f>IF(基础资料!G22="","",基础资料!G22&amp;"")</f>
      </c>
      <c r="AB23">
        <f>IF(N(基础资料!I22)&lt;=0,1,基础资料!I22)</f>
        <v>1</v>
      </c>
      <c r="AC23">
        <f>IF(OR($AA23="",AC$5=""),0,SUMIF(INDIRECT("'"&amp;AC$5&amp;"'!C6:C1000"),$AA23,INDIRECT("'"&amp;AC$5&amp;"'!H6:H1000")))</f>
        <v>0</v>
      </c>
      <c r="AD23">
        <f>IF(OR($AA23="",AD$5=""),0,SUMIF(INDIRECT("'"&amp;AD$5&amp;"'!C6:C1000"),$AA23,INDIRECT("'"&amp;AD$5&amp;"'!H6:H1000")))</f>
        <v>0</v>
      </c>
      <c r="AE23">
        <f>IF(OR($AA23="",AE$5=""),0,SUMIF(INDIRECT("'"&amp;AE$5&amp;"'!C6:C1000"),$AA23,INDIRECT("'"&amp;AE$5&amp;"'!H6:H1000")))</f>
        <v>0</v>
      </c>
      <c r="AF23">
        <f>IF(OR($AA23="",AF$5=""),0,SUMIF(INDIRECT("'"&amp;AF$5&amp;"'!C6:C1000"),$AA23,INDIRECT("'"&amp;AF$5&amp;"'!H6:H1000")))</f>
        <v>0</v>
      </c>
      <c r="AG23">
        <f>IF(OR($AA23="",AG$5=""),0,SUMIF(INDIRECT("'"&amp;AG$5&amp;"'!C6:C1000"),$AA23,INDIRECT("'"&amp;AG$5&amp;"'!H6:H1000")))</f>
        <v>0</v>
      </c>
      <c r="AH23">
        <f>IF(OR($AA23="",AH$5=""),0,SUMIF(INDIRECT("'"&amp;AH$5&amp;"'!C6:C1000"),$AA23,INDIRECT("'"&amp;AH$5&amp;"'!H6:H1000")))</f>
        <v>0</v>
      </c>
      <c r="AI23">
        <f>IF(OR($AA23="",AI$5=""),0,SUMIF(INDIRECT("'"&amp;AI$5&amp;"'!C6:C1000"),$AA23,INDIRECT("'"&amp;AI$5&amp;"'!H6:H1000")))</f>
        <v>0</v>
      </c>
      <c r="AJ23">
        <f>IF(OR($AA23="",AJ$5=""),0,SUMIF(INDIRECT("'"&amp;AJ$5&amp;"'!C6:C1000"),$AA23,INDIRECT("'"&amp;AJ$5&amp;"'!H6:H1000")))</f>
        <v>0</v>
      </c>
      <c r="AK23">
        <f>IF(OR($AA23="",AK$5=""),0,SUMIF(INDIRECT("'"&amp;AK$5&amp;"'!C6:C1000"),$AA23,INDIRECT("'"&amp;AK$5&amp;"'!H6:H1000")))</f>
        <v>0</v>
      </c>
      <c r="AL23">
        <f>IF(OR($AA23="",AL$5=""),0,SUMIF(INDIRECT("'"&amp;AL$5&amp;"'!C6:C1000"),$AA23,INDIRECT("'"&amp;AL$5&amp;"'!H6:H1000")))</f>
        <v>0</v>
      </c>
      <c r="AM23">
        <f>IF(OR($AA23="",AM$5=""),0,SUMIF(INDIRECT("'"&amp;AM$5&amp;"'!C6:C1000"),$AA23,INDIRECT("'"&amp;AM$5&amp;"'!H6:H1000")))</f>
        <v>0</v>
      </c>
      <c r="AN23">
        <f>IF(OR($AA23="",AN$5=""),0,SUMIF(INDIRECT("'"&amp;AN$5&amp;"'!C6:C1000"),$AA23,INDIRECT("'"&amp;AN$5&amp;"'!H6:H1000")))</f>
        <v>0</v>
      </c>
      <c r="AO23">
        <f>IF(OR($AA23="",AC$5=""),0,SUMIF(INDIRECT("'"&amp;AC$5&amp;"'!C6:C1000"),$AA23,INDIRECT("'"&amp;AC$5&amp;"'!E6:E1000")))</f>
        <v>0</v>
      </c>
      <c r="AP23">
        <f>IF(OR($AA23="",AD$5=""),0,SUMIF(INDIRECT("'"&amp;AD$5&amp;"'!C6:C1000"),$AA23,INDIRECT("'"&amp;AD$5&amp;"'!E6:E1000")))</f>
        <v>0</v>
      </c>
      <c r="AQ23">
        <f>IF(OR($AA23="",AE$5=""),0,SUMIF(INDIRECT("'"&amp;AE$5&amp;"'!C6:C1000"),$AA23,INDIRECT("'"&amp;AE$5&amp;"'!E6:E1000")))</f>
        <v>0</v>
      </c>
      <c r="AR23">
        <f>IF(OR($AA23="",AF$5=""),0,SUMIF(INDIRECT("'"&amp;AF$5&amp;"'!C6:C1000"),$AA23,INDIRECT("'"&amp;AF$5&amp;"'!E6:E1000")))</f>
        <v>0</v>
      </c>
      <c r="AS23">
        <f>IF(OR($AA23="",AG$5=""),0,SUMIF(INDIRECT("'"&amp;AG$5&amp;"'!C6:C1000"),$AA23,INDIRECT("'"&amp;AG$5&amp;"'!E6:E1000")))</f>
        <v>0</v>
      </c>
      <c r="AT23">
        <f>IF(OR($AA23="",AH$5=""),0,SUMIF(INDIRECT("'"&amp;AH$5&amp;"'!C6:C1000"),$AA23,INDIRECT("'"&amp;AH$5&amp;"'!E6:E1000")))</f>
        <v>0</v>
      </c>
      <c r="AU23">
        <f>IF(OR($AA23="",AI$5=""),0,SUMIF(INDIRECT("'"&amp;AI$5&amp;"'!C6:C1000"),$AA23,INDIRECT("'"&amp;AI$5&amp;"'!E6:E1000")))</f>
        <v>0</v>
      </c>
      <c r="AV23">
        <f>IF(OR($AA23="",AJ$5=""),0,SUMIF(INDIRECT("'"&amp;AJ$5&amp;"'!C6:C1000"),$AA23,INDIRECT("'"&amp;AJ$5&amp;"'!E6:E1000")))</f>
        <v>0</v>
      </c>
      <c r="AW23">
        <f>IF(OR($AA23="",AK$5=""),0,SUMIF(INDIRECT("'"&amp;AK$5&amp;"'!C6:C1000"),$AA23,INDIRECT("'"&amp;AK$5&amp;"'!E6:E1000")))</f>
        <v>0</v>
      </c>
      <c r="AX23">
        <f>IF(OR($AA23="",AL$5=""),0,SUMIF(INDIRECT("'"&amp;AL$5&amp;"'!C6:C1000"),$AA23,INDIRECT("'"&amp;AL$5&amp;"'!E6:E1000")))</f>
        <v>0</v>
      </c>
      <c r="AY23">
        <f>IF(OR($AA23="",AM$5=""),0,SUMIF(INDIRECT("'"&amp;AM$5&amp;"'!C6:C1000"),$AA23,INDIRECT("'"&amp;AM$5&amp;"'!E6:E1000")))</f>
        <v>0</v>
      </c>
      <c r="AZ23">
        <f>IF(OR($AA23="",AN$5=""),0,SUMIF(INDIRECT("'"&amp;AN$5&amp;"'!C6:C1000"),$AA23,INDIRECT("'"&amp;AN$5&amp;"'!E6:E1000")))</f>
        <v>0</v>
      </c>
      <c r="BA23">
        <f>IF(OR($AA23="",AC$5=""),0,SUMIFS(INDIRECT("'"&amp;AC$5&amp;"'!E6:E1000"),INDIRECT("'"&amp;AC$5&amp;"'!C6:C1000"),$AA23,INDIRECT("'"&amp;AC$5&amp;"'!F6:F1000"),"箱")+SUMIFS(INDIRECT("'"&amp;AC$5&amp;"'!E6:E1000"),INDIRECT("'"&amp;AC$5&amp;"'!C6:C1000"),$AA23,INDIRECT("'"&amp;AC$5&amp;"'!F6:F1000"),"件"))</f>
        <v>0</v>
      </c>
      <c r="BB23">
        <f>IF(OR($AA23="",AD$5=""),0,SUMIFS(INDIRECT("'"&amp;AD$5&amp;"'!E6:E1000"),INDIRECT("'"&amp;AD$5&amp;"'!C6:C1000"),$AA23,INDIRECT("'"&amp;AD$5&amp;"'!F6:F1000"),"箱")+SUMIFS(INDIRECT("'"&amp;AD$5&amp;"'!E6:E1000"),INDIRECT("'"&amp;AD$5&amp;"'!C6:C1000"),$AA23,INDIRECT("'"&amp;AD$5&amp;"'!F6:F1000"),"件"))</f>
        <v>0</v>
      </c>
      <c r="BC23">
        <f>IF(OR($AA23="",AE$5=""),0,SUMIFS(INDIRECT("'"&amp;AE$5&amp;"'!E6:E1000"),INDIRECT("'"&amp;AE$5&amp;"'!C6:C1000"),$AA23,INDIRECT("'"&amp;AE$5&amp;"'!F6:F1000"),"箱")+SUMIFS(INDIRECT("'"&amp;AE$5&amp;"'!E6:E1000"),INDIRECT("'"&amp;AE$5&amp;"'!C6:C1000"),$AA23,INDIRECT("'"&amp;AE$5&amp;"'!F6:F1000"),"件"))</f>
        <v>0</v>
      </c>
      <c r="BD23">
        <f>IF(OR($AA23="",AF$5=""),0,SUMIFS(INDIRECT("'"&amp;AF$5&amp;"'!E6:E1000"),INDIRECT("'"&amp;AF$5&amp;"'!C6:C1000"),$AA23,INDIRECT("'"&amp;AF$5&amp;"'!F6:F1000"),"箱")+SUMIFS(INDIRECT("'"&amp;AF$5&amp;"'!E6:E1000"),INDIRECT("'"&amp;AF$5&amp;"'!C6:C1000"),$AA23,INDIRECT("'"&amp;AF$5&amp;"'!F6:F1000"),"件"))</f>
        <v>0</v>
      </c>
      <c r="BE23">
        <f>IF(OR($AA23="",AG$5=""),0,SUMIFS(INDIRECT("'"&amp;AG$5&amp;"'!E6:E1000"),INDIRECT("'"&amp;AG$5&amp;"'!C6:C1000"),$AA23,INDIRECT("'"&amp;AG$5&amp;"'!F6:F1000"),"箱")+SUMIFS(INDIRECT("'"&amp;AG$5&amp;"'!E6:E1000"),INDIRECT("'"&amp;AG$5&amp;"'!C6:C1000"),$AA23,INDIRECT("'"&amp;AG$5&amp;"'!F6:F1000"),"件"))</f>
        <v>0</v>
      </c>
      <c r="BF23">
        <f>IF(OR($AA23="",AH$5=""),0,SUMIFS(INDIRECT("'"&amp;AH$5&amp;"'!E6:E1000"),INDIRECT("'"&amp;AH$5&amp;"'!C6:C1000"),$AA23,INDIRECT("'"&amp;AH$5&amp;"'!F6:F1000"),"箱")+SUMIFS(INDIRECT("'"&amp;AH$5&amp;"'!E6:E1000"),INDIRECT("'"&amp;AH$5&amp;"'!C6:C1000"),$AA23,INDIRECT("'"&amp;AH$5&amp;"'!F6:F1000"),"件"))</f>
        <v>0</v>
      </c>
      <c r="BG23">
        <f>IF(OR($AA23="",AI$5=""),0,SUMIFS(INDIRECT("'"&amp;AI$5&amp;"'!E6:E1000"),INDIRECT("'"&amp;AI$5&amp;"'!C6:C1000"),$AA23,INDIRECT("'"&amp;AI$5&amp;"'!F6:F1000"),"箱")+SUMIFS(INDIRECT("'"&amp;AI$5&amp;"'!E6:E1000"),INDIRECT("'"&amp;AI$5&amp;"'!C6:C1000"),$AA23,INDIRECT("'"&amp;AI$5&amp;"'!F6:F1000"),"件"))</f>
        <v>0</v>
      </c>
      <c r="BH23">
        <f>IF(OR($AA23="",AJ$5=""),0,SUMIFS(INDIRECT("'"&amp;AJ$5&amp;"'!E6:E1000"),INDIRECT("'"&amp;AJ$5&amp;"'!C6:C1000"),$AA23,INDIRECT("'"&amp;AJ$5&amp;"'!F6:F1000"),"箱")+SUMIFS(INDIRECT("'"&amp;AJ$5&amp;"'!E6:E1000"),INDIRECT("'"&amp;AJ$5&amp;"'!C6:C1000"),$AA23,INDIRECT("'"&amp;AJ$5&amp;"'!F6:F1000"),"件"))</f>
        <v>0</v>
      </c>
      <c r="BI23">
        <f>IF(OR($AA23="",AK$5=""),0,SUMIFS(INDIRECT("'"&amp;AK$5&amp;"'!E6:E1000"),INDIRECT("'"&amp;AK$5&amp;"'!C6:C1000"),$AA23,INDIRECT("'"&amp;AK$5&amp;"'!F6:F1000"),"箱")+SUMIFS(INDIRECT("'"&amp;AK$5&amp;"'!E6:E1000"),INDIRECT("'"&amp;AK$5&amp;"'!C6:C1000"),$AA23,INDIRECT("'"&amp;AK$5&amp;"'!F6:F1000"),"件"))</f>
        <v>0</v>
      </c>
      <c r="BJ23">
        <f>IF(OR($AA23="",AL$5=""),0,SUMIFS(INDIRECT("'"&amp;AL$5&amp;"'!E6:E1000"),INDIRECT("'"&amp;AL$5&amp;"'!C6:C1000"),$AA23,INDIRECT("'"&amp;AL$5&amp;"'!F6:F1000"),"箱")+SUMIFS(INDIRECT("'"&amp;AL$5&amp;"'!E6:E1000"),INDIRECT("'"&amp;AL$5&amp;"'!C6:C1000"),$AA23,INDIRECT("'"&amp;AL$5&amp;"'!F6:F1000"),"件"))</f>
        <v>0</v>
      </c>
      <c r="BK23">
        <f>IF(OR($AA23="",AM$5=""),0,SUMIFS(INDIRECT("'"&amp;AM$5&amp;"'!E6:E1000"),INDIRECT("'"&amp;AM$5&amp;"'!C6:C1000"),$AA23,INDIRECT("'"&amp;AM$5&amp;"'!F6:F1000"),"箱")+SUMIFS(INDIRECT("'"&amp;AM$5&amp;"'!E6:E1000"),INDIRECT("'"&amp;AM$5&amp;"'!C6:C1000"),$AA23,INDIRECT("'"&amp;AM$5&amp;"'!F6:F1000"),"件"))</f>
        <v>0</v>
      </c>
      <c r="BL23">
        <f>IF(OR($AA23="",AN$5=""),0,SUMIFS(INDIRECT("'"&amp;AN$5&amp;"'!E6:E1000"),INDIRECT("'"&amp;AN$5&amp;"'!C6:C1000"),$AA23,INDIRECT("'"&amp;AN$5&amp;"'!F6:F1000"),"箱")+SUMIFS(INDIRECT("'"&amp;AN$5&amp;"'!E6:E1000"),INDIRECT("'"&amp;AN$5&amp;"'!C6:C1000"),$AA23,INDIRECT("'"&amp;AN$5&amp;"'!F6:F1000"),"件"))</f>
        <v>0</v>
      </c>
      <c r="BM23">
        <f>(AO23-BA23)/$AB23+BA23</f>
        <v>0</v>
      </c>
      <c r="BN23">
        <f>(AP23-BB23)/$AB23+BB23</f>
        <v>0</v>
      </c>
      <c r="BO23">
        <f>(AQ23-BC23)/$AB23+BC23</f>
        <v>0</v>
      </c>
      <c r="BP23">
        <f>(AR23-BD23)/$AB23+BD23</f>
        <v>0</v>
      </c>
      <c r="BQ23">
        <f>(AS23-BE23)/$AB23+BE23</f>
        <v>0</v>
      </c>
      <c r="BR23">
        <f>(AT23-BF23)/$AB23+BF23</f>
        <v>0</v>
      </c>
      <c r="BS23">
        <f>(AU23-BG23)/$AB23+BG23</f>
        <v>0</v>
      </c>
      <c r="BT23">
        <f>(AV23-BH23)/$AB23+BH23</f>
        <v>0</v>
      </c>
      <c r="BU23">
        <f>(AW23-BI23)/$AB23+BI23</f>
        <v>0</v>
      </c>
      <c r="BV23">
        <f>(AX23-BJ23)/$AB23+BJ23</f>
        <v>0</v>
      </c>
      <c r="BW23">
        <f>(AY23-BK23)/$AB23+BK23</f>
        <v>0</v>
      </c>
      <c r="BX23">
        <f>(AZ23-BL23)/$AB23+BL23</f>
        <v>0</v>
      </c>
      <c r="BY23">
        <f>SUMPRODUCT((($AC$4:$AN$4=报损汇总一览!$A$3)+(报损汇总一览!$A$3="全年"))*AC23:AN23)</f>
        <v>0</v>
      </c>
      <c r="BZ23">
        <f>IF(BY23&gt;0,BY23+(1000-ROW())/10000000,"")</f>
      </c>
      <c r="CA23">
        <f>SUMPRODUCT((($AC$4:$AN$4=报损汇总一览!$A$3)+(报损汇总一览!$A$3="全年"))*AO23:AZ23)</f>
        <v>0</v>
      </c>
    </row>
    <row r="24">
      <c r="A24">
        <f>IF(OR(存条明细!C24="",存条明细!D24=""),"",IF(COUNTIFS(存条明细!$C$4:C24,存条明细!C24,存条明细!$D$4:D24,存条明细!D24)&gt;1,"",IFERROR(MATCH(存条明细!C24,总览汇总!$B$5:$B$304,0),900)*10000000+IFERROR(MATCH(存条明细!D24,基础资料!$E$5:$E$104,0),900)*10000+ROW()))</f>
        <v>40030024</v>
      </c>
      <c r="B24">
        <f>IFERROR(MATCH(SMALL($A$4:$A$4003,21),$A$4:$A$4003,0),"")</f>
        <v>14</v>
      </c>
      <c r="D24">
        <f>IF(AND(商品库存!B24&lt;&gt;"",商品库存!B24=客户查询!$B$4),COUNTIF(商品库存!$B$4:B24,客户查询!$B$4),"")</f>
      </c>
      <c r="E24">
        <f>IF(AND(商品库存!B24&lt;&gt;"",商品库存!B24=客户对账单!$B$4),COUNTIF(商品库存!$B$4:B24,客户对账单!$B$4),"")</f>
      </c>
      <c r="F24">
        <f>IF(AND(出库明细!C24&lt;&gt;"",出库明细!C24=客户对账单!$B$4,ISNUMBER(出库明细!B24),出库明细!B24&gt;=客户对账单!$G$4,出库明细!B24&lt;=客户对账单!$I$4),出库明细!B24+ROW()/100000,"")</f>
      </c>
      <c r="H24">
        <f>IF(AND(采购进货!C24&lt;&gt;"",采购进货!C24=供应商对账单!$B$4,ISNUMBER(采购进货!B24),采购进货!B24&gt;=供应商对账单!$G$4,采购进货!B24&lt;=供应商对账单!$I$4),采购进货!B24+ROW()/100000,"")</f>
      </c>
      <c r="J24">
        <f>IF(总览汇总!$B24="","",N(总览汇总!$K24)+SUMIFS(出库明细!$G$4:$G$3003,出库明细!$C$4:$C$3003,总览汇总!$B24,出库明细!$B$4:$B$3003,"&gt;="&amp;年初日,出库明细!$B$4:$B$3003,"&lt;="&amp;资产负债表!$D$3)-SUMIFS(资金台帐!$S$7:$S$3006,资金台帐!$J$7:$J$3006,总览汇总!$B24,资金台帐!$P$7:$P$3006,"应收",资金台帐!$B$7:$B$3006,"&gt;="&amp;年初日,资金台帐!$B$7:$B$3006,"&lt;="&amp;资产负债表!$D$3))</f>
        <v>-170022.5</v>
      </c>
      <c r="K24">
        <f>IF(基础资料!$Q24="","",N(基础资料!$R24)+SUMIFS(采购进货!$G$4:$G$1503,采购进货!$C$4:$C$1503,基础资料!$Q24,采购进货!$B$4:$B$1503,"&gt;="&amp;年初日,采购进货!$B$4:$B$1503,"&lt;="&amp;资产负债表!$D$3)+SUMIFS(资金台帐!$S$7:$S$3006,资金台帐!$K$7:$K$3006,基础资料!$Q24,资金台帐!$P$7:$P$3006,"应付",资金台帐!$B$7:$B$3006,"&gt;="&amp;年初日,资金台帐!$B$7:$B$3006,"&lt;="&amp;资产负债表!$D$3))</f>
      </c>
      <c r="N24">
        <f>IF(AND(ISNUMBER(出库明细!G24),ISNUMBER(出库明细!E24),ISNUMBER(出库明细!F24)),IF(ABS(出库明细!G24-出库明细!E24*出库明细!F24)&gt;0.005,1,0),0)</f>
        <v>0</v>
      </c>
      <c r="O24">
        <f>IF(AND(ISNUMBER(存条明细!G24),ISNUMBER(存条明细!E24),ISNUMBER(存条明细!F24)),IF(ABS(存条明细!G24-存条明细!E24*存条明细!F24)&gt;0.005,1,0),0)</f>
        <v>0</v>
      </c>
      <c r="AA24">
        <f>IF(基础资料!G23="","",基础资料!G23&amp;"")</f>
      </c>
      <c r="AB24">
        <f>IF(N(基础资料!I23)&lt;=0,1,基础资料!I23)</f>
        <v>1</v>
      </c>
      <c r="AC24">
        <f>IF(OR($AA24="",AC$5=""),0,SUMIF(INDIRECT("'"&amp;AC$5&amp;"'!C6:C1000"),$AA24,INDIRECT("'"&amp;AC$5&amp;"'!H6:H1000")))</f>
        <v>0</v>
      </c>
      <c r="AD24">
        <f>IF(OR($AA24="",AD$5=""),0,SUMIF(INDIRECT("'"&amp;AD$5&amp;"'!C6:C1000"),$AA24,INDIRECT("'"&amp;AD$5&amp;"'!H6:H1000")))</f>
        <v>0</v>
      </c>
      <c r="AE24">
        <f>IF(OR($AA24="",AE$5=""),0,SUMIF(INDIRECT("'"&amp;AE$5&amp;"'!C6:C1000"),$AA24,INDIRECT("'"&amp;AE$5&amp;"'!H6:H1000")))</f>
        <v>0</v>
      </c>
      <c r="AF24">
        <f>IF(OR($AA24="",AF$5=""),0,SUMIF(INDIRECT("'"&amp;AF$5&amp;"'!C6:C1000"),$AA24,INDIRECT("'"&amp;AF$5&amp;"'!H6:H1000")))</f>
        <v>0</v>
      </c>
      <c r="AG24">
        <f>IF(OR($AA24="",AG$5=""),0,SUMIF(INDIRECT("'"&amp;AG$5&amp;"'!C6:C1000"),$AA24,INDIRECT("'"&amp;AG$5&amp;"'!H6:H1000")))</f>
        <v>0</v>
      </c>
      <c r="AH24">
        <f>IF(OR($AA24="",AH$5=""),0,SUMIF(INDIRECT("'"&amp;AH$5&amp;"'!C6:C1000"),$AA24,INDIRECT("'"&amp;AH$5&amp;"'!H6:H1000")))</f>
        <v>0</v>
      </c>
      <c r="AI24">
        <f>IF(OR($AA24="",AI$5=""),0,SUMIF(INDIRECT("'"&amp;AI$5&amp;"'!C6:C1000"),$AA24,INDIRECT("'"&amp;AI$5&amp;"'!H6:H1000")))</f>
        <v>0</v>
      </c>
      <c r="AJ24">
        <f>IF(OR($AA24="",AJ$5=""),0,SUMIF(INDIRECT("'"&amp;AJ$5&amp;"'!C6:C1000"),$AA24,INDIRECT("'"&amp;AJ$5&amp;"'!H6:H1000")))</f>
        <v>0</v>
      </c>
      <c r="AK24">
        <f>IF(OR($AA24="",AK$5=""),0,SUMIF(INDIRECT("'"&amp;AK$5&amp;"'!C6:C1000"),$AA24,INDIRECT("'"&amp;AK$5&amp;"'!H6:H1000")))</f>
        <v>0</v>
      </c>
      <c r="AL24">
        <f>IF(OR($AA24="",AL$5=""),0,SUMIF(INDIRECT("'"&amp;AL$5&amp;"'!C6:C1000"),$AA24,INDIRECT("'"&amp;AL$5&amp;"'!H6:H1000")))</f>
        <v>0</v>
      </c>
      <c r="AM24">
        <f>IF(OR($AA24="",AM$5=""),0,SUMIF(INDIRECT("'"&amp;AM$5&amp;"'!C6:C1000"),$AA24,INDIRECT("'"&amp;AM$5&amp;"'!H6:H1000")))</f>
        <v>0</v>
      </c>
      <c r="AN24">
        <f>IF(OR($AA24="",AN$5=""),0,SUMIF(INDIRECT("'"&amp;AN$5&amp;"'!C6:C1000"),$AA24,INDIRECT("'"&amp;AN$5&amp;"'!H6:H1000")))</f>
        <v>0</v>
      </c>
      <c r="AO24">
        <f>IF(OR($AA24="",AC$5=""),0,SUMIF(INDIRECT("'"&amp;AC$5&amp;"'!C6:C1000"),$AA24,INDIRECT("'"&amp;AC$5&amp;"'!E6:E1000")))</f>
        <v>0</v>
      </c>
      <c r="AP24">
        <f>IF(OR($AA24="",AD$5=""),0,SUMIF(INDIRECT("'"&amp;AD$5&amp;"'!C6:C1000"),$AA24,INDIRECT("'"&amp;AD$5&amp;"'!E6:E1000")))</f>
        <v>0</v>
      </c>
      <c r="AQ24">
        <f>IF(OR($AA24="",AE$5=""),0,SUMIF(INDIRECT("'"&amp;AE$5&amp;"'!C6:C1000"),$AA24,INDIRECT("'"&amp;AE$5&amp;"'!E6:E1000")))</f>
        <v>0</v>
      </c>
      <c r="AR24">
        <f>IF(OR($AA24="",AF$5=""),0,SUMIF(INDIRECT("'"&amp;AF$5&amp;"'!C6:C1000"),$AA24,INDIRECT("'"&amp;AF$5&amp;"'!E6:E1000")))</f>
        <v>0</v>
      </c>
      <c r="AS24">
        <f>IF(OR($AA24="",AG$5=""),0,SUMIF(INDIRECT("'"&amp;AG$5&amp;"'!C6:C1000"),$AA24,INDIRECT("'"&amp;AG$5&amp;"'!E6:E1000")))</f>
        <v>0</v>
      </c>
      <c r="AT24">
        <f>IF(OR($AA24="",AH$5=""),0,SUMIF(INDIRECT("'"&amp;AH$5&amp;"'!C6:C1000"),$AA24,INDIRECT("'"&amp;AH$5&amp;"'!E6:E1000")))</f>
        <v>0</v>
      </c>
      <c r="AU24">
        <f>IF(OR($AA24="",AI$5=""),0,SUMIF(INDIRECT("'"&amp;AI$5&amp;"'!C6:C1000"),$AA24,INDIRECT("'"&amp;AI$5&amp;"'!E6:E1000")))</f>
        <v>0</v>
      </c>
      <c r="AV24">
        <f>IF(OR($AA24="",AJ$5=""),0,SUMIF(INDIRECT("'"&amp;AJ$5&amp;"'!C6:C1000"),$AA24,INDIRECT("'"&amp;AJ$5&amp;"'!E6:E1000")))</f>
        <v>0</v>
      </c>
      <c r="AW24">
        <f>IF(OR($AA24="",AK$5=""),0,SUMIF(INDIRECT("'"&amp;AK$5&amp;"'!C6:C1000"),$AA24,INDIRECT("'"&amp;AK$5&amp;"'!E6:E1000")))</f>
        <v>0</v>
      </c>
      <c r="AX24">
        <f>IF(OR($AA24="",AL$5=""),0,SUMIF(INDIRECT("'"&amp;AL$5&amp;"'!C6:C1000"),$AA24,INDIRECT("'"&amp;AL$5&amp;"'!E6:E1000")))</f>
        <v>0</v>
      </c>
      <c r="AY24">
        <f>IF(OR($AA24="",AM$5=""),0,SUMIF(INDIRECT("'"&amp;AM$5&amp;"'!C6:C1000"),$AA24,INDIRECT("'"&amp;AM$5&amp;"'!E6:E1000")))</f>
        <v>0</v>
      </c>
      <c r="AZ24">
        <f>IF(OR($AA24="",AN$5=""),0,SUMIF(INDIRECT("'"&amp;AN$5&amp;"'!C6:C1000"),$AA24,INDIRECT("'"&amp;AN$5&amp;"'!E6:E1000")))</f>
        <v>0</v>
      </c>
      <c r="BA24">
        <f>IF(OR($AA24="",AC$5=""),0,SUMIFS(INDIRECT("'"&amp;AC$5&amp;"'!E6:E1000"),INDIRECT("'"&amp;AC$5&amp;"'!C6:C1000"),$AA24,INDIRECT("'"&amp;AC$5&amp;"'!F6:F1000"),"箱")+SUMIFS(INDIRECT("'"&amp;AC$5&amp;"'!E6:E1000"),INDIRECT("'"&amp;AC$5&amp;"'!C6:C1000"),$AA24,INDIRECT("'"&amp;AC$5&amp;"'!F6:F1000"),"件"))</f>
        <v>0</v>
      </c>
      <c r="BB24">
        <f>IF(OR($AA24="",AD$5=""),0,SUMIFS(INDIRECT("'"&amp;AD$5&amp;"'!E6:E1000"),INDIRECT("'"&amp;AD$5&amp;"'!C6:C1000"),$AA24,INDIRECT("'"&amp;AD$5&amp;"'!F6:F1000"),"箱")+SUMIFS(INDIRECT("'"&amp;AD$5&amp;"'!E6:E1000"),INDIRECT("'"&amp;AD$5&amp;"'!C6:C1000"),$AA24,INDIRECT("'"&amp;AD$5&amp;"'!F6:F1000"),"件"))</f>
        <v>0</v>
      </c>
      <c r="BC24">
        <f>IF(OR($AA24="",AE$5=""),0,SUMIFS(INDIRECT("'"&amp;AE$5&amp;"'!E6:E1000"),INDIRECT("'"&amp;AE$5&amp;"'!C6:C1000"),$AA24,INDIRECT("'"&amp;AE$5&amp;"'!F6:F1000"),"箱")+SUMIFS(INDIRECT("'"&amp;AE$5&amp;"'!E6:E1000"),INDIRECT("'"&amp;AE$5&amp;"'!C6:C1000"),$AA24,INDIRECT("'"&amp;AE$5&amp;"'!F6:F1000"),"件"))</f>
        <v>0</v>
      </c>
      <c r="BD24">
        <f>IF(OR($AA24="",AF$5=""),0,SUMIFS(INDIRECT("'"&amp;AF$5&amp;"'!E6:E1000"),INDIRECT("'"&amp;AF$5&amp;"'!C6:C1000"),$AA24,INDIRECT("'"&amp;AF$5&amp;"'!F6:F1000"),"箱")+SUMIFS(INDIRECT("'"&amp;AF$5&amp;"'!E6:E1000"),INDIRECT("'"&amp;AF$5&amp;"'!C6:C1000"),$AA24,INDIRECT("'"&amp;AF$5&amp;"'!F6:F1000"),"件"))</f>
        <v>0</v>
      </c>
      <c r="BE24">
        <f>IF(OR($AA24="",AG$5=""),0,SUMIFS(INDIRECT("'"&amp;AG$5&amp;"'!E6:E1000"),INDIRECT("'"&amp;AG$5&amp;"'!C6:C1000"),$AA24,INDIRECT("'"&amp;AG$5&amp;"'!F6:F1000"),"箱")+SUMIFS(INDIRECT("'"&amp;AG$5&amp;"'!E6:E1000"),INDIRECT("'"&amp;AG$5&amp;"'!C6:C1000"),$AA24,INDIRECT("'"&amp;AG$5&amp;"'!F6:F1000"),"件"))</f>
        <v>0</v>
      </c>
      <c r="BF24">
        <f>IF(OR($AA24="",AH$5=""),0,SUMIFS(INDIRECT("'"&amp;AH$5&amp;"'!E6:E1000"),INDIRECT("'"&amp;AH$5&amp;"'!C6:C1000"),$AA24,INDIRECT("'"&amp;AH$5&amp;"'!F6:F1000"),"箱")+SUMIFS(INDIRECT("'"&amp;AH$5&amp;"'!E6:E1000"),INDIRECT("'"&amp;AH$5&amp;"'!C6:C1000"),$AA24,INDIRECT("'"&amp;AH$5&amp;"'!F6:F1000"),"件"))</f>
        <v>0</v>
      </c>
      <c r="BG24">
        <f>IF(OR($AA24="",AI$5=""),0,SUMIFS(INDIRECT("'"&amp;AI$5&amp;"'!E6:E1000"),INDIRECT("'"&amp;AI$5&amp;"'!C6:C1000"),$AA24,INDIRECT("'"&amp;AI$5&amp;"'!F6:F1000"),"箱")+SUMIFS(INDIRECT("'"&amp;AI$5&amp;"'!E6:E1000"),INDIRECT("'"&amp;AI$5&amp;"'!C6:C1000"),$AA24,INDIRECT("'"&amp;AI$5&amp;"'!F6:F1000"),"件"))</f>
        <v>0</v>
      </c>
      <c r="BH24">
        <f>IF(OR($AA24="",AJ$5=""),0,SUMIFS(INDIRECT("'"&amp;AJ$5&amp;"'!E6:E1000"),INDIRECT("'"&amp;AJ$5&amp;"'!C6:C1000"),$AA24,INDIRECT("'"&amp;AJ$5&amp;"'!F6:F1000"),"箱")+SUMIFS(INDIRECT("'"&amp;AJ$5&amp;"'!E6:E1000"),INDIRECT("'"&amp;AJ$5&amp;"'!C6:C1000"),$AA24,INDIRECT("'"&amp;AJ$5&amp;"'!F6:F1000"),"件"))</f>
        <v>0</v>
      </c>
      <c r="BI24">
        <f>IF(OR($AA24="",AK$5=""),0,SUMIFS(INDIRECT("'"&amp;AK$5&amp;"'!E6:E1000"),INDIRECT("'"&amp;AK$5&amp;"'!C6:C1000"),$AA24,INDIRECT("'"&amp;AK$5&amp;"'!F6:F1000"),"箱")+SUMIFS(INDIRECT("'"&amp;AK$5&amp;"'!E6:E1000"),INDIRECT("'"&amp;AK$5&amp;"'!C6:C1000"),$AA24,INDIRECT("'"&amp;AK$5&amp;"'!F6:F1000"),"件"))</f>
        <v>0</v>
      </c>
      <c r="BJ24">
        <f>IF(OR($AA24="",AL$5=""),0,SUMIFS(INDIRECT("'"&amp;AL$5&amp;"'!E6:E1000"),INDIRECT("'"&amp;AL$5&amp;"'!C6:C1000"),$AA24,INDIRECT("'"&amp;AL$5&amp;"'!F6:F1000"),"箱")+SUMIFS(INDIRECT("'"&amp;AL$5&amp;"'!E6:E1000"),INDIRECT("'"&amp;AL$5&amp;"'!C6:C1000"),$AA24,INDIRECT("'"&amp;AL$5&amp;"'!F6:F1000"),"件"))</f>
        <v>0</v>
      </c>
      <c r="BK24">
        <f>IF(OR($AA24="",AM$5=""),0,SUMIFS(INDIRECT("'"&amp;AM$5&amp;"'!E6:E1000"),INDIRECT("'"&amp;AM$5&amp;"'!C6:C1000"),$AA24,INDIRECT("'"&amp;AM$5&amp;"'!F6:F1000"),"箱")+SUMIFS(INDIRECT("'"&amp;AM$5&amp;"'!E6:E1000"),INDIRECT("'"&amp;AM$5&amp;"'!C6:C1000"),$AA24,INDIRECT("'"&amp;AM$5&amp;"'!F6:F1000"),"件"))</f>
        <v>0</v>
      </c>
      <c r="BL24">
        <f>IF(OR($AA24="",AN$5=""),0,SUMIFS(INDIRECT("'"&amp;AN$5&amp;"'!E6:E1000"),INDIRECT("'"&amp;AN$5&amp;"'!C6:C1000"),$AA24,INDIRECT("'"&amp;AN$5&amp;"'!F6:F1000"),"箱")+SUMIFS(INDIRECT("'"&amp;AN$5&amp;"'!E6:E1000"),INDIRECT("'"&amp;AN$5&amp;"'!C6:C1000"),$AA24,INDIRECT("'"&amp;AN$5&amp;"'!F6:F1000"),"件"))</f>
        <v>0</v>
      </c>
      <c r="BM24">
        <f>(AO24-BA24)/$AB24+BA24</f>
        <v>0</v>
      </c>
      <c r="BN24">
        <f>(AP24-BB24)/$AB24+BB24</f>
        <v>0</v>
      </c>
      <c r="BO24">
        <f>(AQ24-BC24)/$AB24+BC24</f>
        <v>0</v>
      </c>
      <c r="BP24">
        <f>(AR24-BD24)/$AB24+BD24</f>
        <v>0</v>
      </c>
      <c r="BQ24">
        <f>(AS24-BE24)/$AB24+BE24</f>
        <v>0</v>
      </c>
      <c r="BR24">
        <f>(AT24-BF24)/$AB24+BF24</f>
        <v>0</v>
      </c>
      <c r="BS24">
        <f>(AU24-BG24)/$AB24+BG24</f>
        <v>0</v>
      </c>
      <c r="BT24">
        <f>(AV24-BH24)/$AB24+BH24</f>
        <v>0</v>
      </c>
      <c r="BU24">
        <f>(AW24-BI24)/$AB24+BI24</f>
        <v>0</v>
      </c>
      <c r="BV24">
        <f>(AX24-BJ24)/$AB24+BJ24</f>
        <v>0</v>
      </c>
      <c r="BW24">
        <f>(AY24-BK24)/$AB24+BK24</f>
        <v>0</v>
      </c>
      <c r="BX24">
        <f>(AZ24-BL24)/$AB24+BL24</f>
        <v>0</v>
      </c>
      <c r="BY24">
        <f>SUMPRODUCT((($AC$4:$AN$4=报损汇总一览!$A$3)+(报损汇总一览!$A$3="全年"))*AC24:AN24)</f>
        <v>0</v>
      </c>
      <c r="BZ24">
        <f>IF(BY24&gt;0,BY24+(1000-ROW())/10000000,"")</f>
      </c>
      <c r="CA24">
        <f>SUMPRODUCT((($AC$4:$AN$4=报损汇总一览!$A$3)+(报损汇总一览!$A$3="全年"))*AO24:AZ24)</f>
        <v>0</v>
      </c>
    </row>
    <row r="25">
      <c r="A25">
        <f>IF(OR(存条明细!C25="",存条明细!D25=""),"",IF(COUNTIFS(存条明细!$C$4:C25,存条明细!C25,存条明细!$D$4:D25,存条明细!D25)&gt;1,"",IFERROR(MATCH(存条明细!C25,总览汇总!$B$5:$B$304,0),900)*10000000+IFERROR(MATCH(存条明细!D25,基础资料!$E$5:$E$104,0),900)*10000+ROW()))</f>
        <v>40040025</v>
      </c>
      <c r="B25">
        <f>IFERROR(MATCH(SMALL($A$4:$A$4003,22),$A$4:$A$4003,0),"")</f>
        <v>15</v>
      </c>
      <c r="D25">
        <f>IF(AND(商品库存!B25&lt;&gt;"",商品库存!B25=客户查询!$B$4),COUNTIF(商品库存!$B$4:B25,客户查询!$B$4),"")</f>
      </c>
      <c r="E25">
        <f>IF(AND(商品库存!B25&lt;&gt;"",商品库存!B25=客户对账单!$B$4),COUNTIF(商品库存!$B$4:B25,客户对账单!$B$4),"")</f>
      </c>
      <c r="F25">
        <f>IF(AND(出库明细!C25&lt;&gt;"",出库明细!C25=客户对账单!$B$4,ISNUMBER(出库明细!B25),出库明细!B25&gt;=客户对账单!$G$4,出库明细!B25&lt;=客户对账单!$I$4),出库明细!B25+ROW()/100000,"")</f>
      </c>
      <c r="H25">
        <f>IF(AND(采购进货!C25&lt;&gt;"",采购进货!C25=供应商对账单!$B$4,ISNUMBER(采购进货!B25),采购进货!B25&gt;=供应商对账单!$G$4,采购进货!B25&lt;=供应商对账单!$I$4),采购进货!B25+ROW()/100000,"")</f>
      </c>
      <c r="J25">
        <f>IF(总览汇总!$B25="","",N(总览汇总!$K25)+SUMIFS(出库明细!$G$4:$G$3003,出库明细!$C$4:$C$3003,总览汇总!$B25,出库明细!$B$4:$B$3003,"&gt;="&amp;年初日,出库明细!$B$4:$B$3003,"&lt;="&amp;资产负债表!$D$3)-SUMIFS(资金台帐!$S$7:$S$3006,资金台帐!$J$7:$J$3006,总览汇总!$B25,资金台帐!$P$7:$P$3006,"应收",资金台帐!$B$7:$B$3006,"&gt;="&amp;年初日,资金台帐!$B$7:$B$3006,"&lt;="&amp;资产负债表!$D$3))</f>
        <v>-4500</v>
      </c>
      <c r="K25">
        <f>IF(基础资料!$Q25="","",N(基础资料!$R25)+SUMIFS(采购进货!$G$4:$G$1503,采购进货!$C$4:$C$1503,基础资料!$Q25,采购进货!$B$4:$B$1503,"&gt;="&amp;年初日,采购进货!$B$4:$B$1503,"&lt;="&amp;资产负债表!$D$3)+SUMIFS(资金台帐!$S$7:$S$3006,资金台帐!$K$7:$K$3006,基础资料!$Q25,资金台帐!$P$7:$P$3006,"应付",资金台帐!$B$7:$B$3006,"&gt;="&amp;年初日,资金台帐!$B$7:$B$3006,"&lt;="&amp;资产负债表!$D$3))</f>
      </c>
      <c r="N25">
        <f>IF(AND(ISNUMBER(出库明细!G25),ISNUMBER(出库明细!E25),ISNUMBER(出库明细!F25)),IF(ABS(出库明细!G25-出库明细!E25*出库明细!F25)&gt;0.005,1,0),0)</f>
        <v>0</v>
      </c>
      <c r="O25">
        <f>IF(AND(ISNUMBER(存条明细!G25),ISNUMBER(存条明细!E25),ISNUMBER(存条明细!F25)),IF(ABS(存条明细!G25-存条明细!E25*存条明细!F25)&gt;0.005,1,0),0)</f>
        <v>0</v>
      </c>
      <c r="AA25">
        <f>IF(基础资料!G24="","",基础资料!G24&amp;"")</f>
      </c>
      <c r="AB25">
        <f>IF(N(基础资料!I24)&lt;=0,1,基础资料!I24)</f>
        <v>1</v>
      </c>
      <c r="AC25">
        <f>IF(OR($AA25="",AC$5=""),0,SUMIF(INDIRECT("'"&amp;AC$5&amp;"'!C6:C1000"),$AA25,INDIRECT("'"&amp;AC$5&amp;"'!H6:H1000")))</f>
        <v>0</v>
      </c>
      <c r="AD25">
        <f>IF(OR($AA25="",AD$5=""),0,SUMIF(INDIRECT("'"&amp;AD$5&amp;"'!C6:C1000"),$AA25,INDIRECT("'"&amp;AD$5&amp;"'!H6:H1000")))</f>
        <v>0</v>
      </c>
      <c r="AE25">
        <f>IF(OR($AA25="",AE$5=""),0,SUMIF(INDIRECT("'"&amp;AE$5&amp;"'!C6:C1000"),$AA25,INDIRECT("'"&amp;AE$5&amp;"'!H6:H1000")))</f>
        <v>0</v>
      </c>
      <c r="AF25">
        <f>IF(OR($AA25="",AF$5=""),0,SUMIF(INDIRECT("'"&amp;AF$5&amp;"'!C6:C1000"),$AA25,INDIRECT("'"&amp;AF$5&amp;"'!H6:H1000")))</f>
        <v>0</v>
      </c>
      <c r="AG25">
        <f>IF(OR($AA25="",AG$5=""),0,SUMIF(INDIRECT("'"&amp;AG$5&amp;"'!C6:C1000"),$AA25,INDIRECT("'"&amp;AG$5&amp;"'!H6:H1000")))</f>
        <v>0</v>
      </c>
      <c r="AH25">
        <f>IF(OR($AA25="",AH$5=""),0,SUMIF(INDIRECT("'"&amp;AH$5&amp;"'!C6:C1000"),$AA25,INDIRECT("'"&amp;AH$5&amp;"'!H6:H1000")))</f>
        <v>0</v>
      </c>
      <c r="AI25">
        <f>IF(OR($AA25="",AI$5=""),0,SUMIF(INDIRECT("'"&amp;AI$5&amp;"'!C6:C1000"),$AA25,INDIRECT("'"&amp;AI$5&amp;"'!H6:H1000")))</f>
        <v>0</v>
      </c>
      <c r="AJ25">
        <f>IF(OR($AA25="",AJ$5=""),0,SUMIF(INDIRECT("'"&amp;AJ$5&amp;"'!C6:C1000"),$AA25,INDIRECT("'"&amp;AJ$5&amp;"'!H6:H1000")))</f>
        <v>0</v>
      </c>
      <c r="AK25">
        <f>IF(OR($AA25="",AK$5=""),0,SUMIF(INDIRECT("'"&amp;AK$5&amp;"'!C6:C1000"),$AA25,INDIRECT("'"&amp;AK$5&amp;"'!H6:H1000")))</f>
        <v>0</v>
      </c>
      <c r="AL25">
        <f>IF(OR($AA25="",AL$5=""),0,SUMIF(INDIRECT("'"&amp;AL$5&amp;"'!C6:C1000"),$AA25,INDIRECT("'"&amp;AL$5&amp;"'!H6:H1000")))</f>
        <v>0</v>
      </c>
      <c r="AM25">
        <f>IF(OR($AA25="",AM$5=""),0,SUMIF(INDIRECT("'"&amp;AM$5&amp;"'!C6:C1000"),$AA25,INDIRECT("'"&amp;AM$5&amp;"'!H6:H1000")))</f>
        <v>0</v>
      </c>
      <c r="AN25">
        <f>IF(OR($AA25="",AN$5=""),0,SUMIF(INDIRECT("'"&amp;AN$5&amp;"'!C6:C1000"),$AA25,INDIRECT("'"&amp;AN$5&amp;"'!H6:H1000")))</f>
        <v>0</v>
      </c>
      <c r="AO25">
        <f>IF(OR($AA25="",AC$5=""),0,SUMIF(INDIRECT("'"&amp;AC$5&amp;"'!C6:C1000"),$AA25,INDIRECT("'"&amp;AC$5&amp;"'!E6:E1000")))</f>
        <v>0</v>
      </c>
      <c r="AP25">
        <f>IF(OR($AA25="",AD$5=""),0,SUMIF(INDIRECT("'"&amp;AD$5&amp;"'!C6:C1000"),$AA25,INDIRECT("'"&amp;AD$5&amp;"'!E6:E1000")))</f>
        <v>0</v>
      </c>
      <c r="AQ25">
        <f>IF(OR($AA25="",AE$5=""),0,SUMIF(INDIRECT("'"&amp;AE$5&amp;"'!C6:C1000"),$AA25,INDIRECT("'"&amp;AE$5&amp;"'!E6:E1000")))</f>
        <v>0</v>
      </c>
      <c r="AR25">
        <f>IF(OR($AA25="",AF$5=""),0,SUMIF(INDIRECT("'"&amp;AF$5&amp;"'!C6:C1000"),$AA25,INDIRECT("'"&amp;AF$5&amp;"'!E6:E1000")))</f>
        <v>0</v>
      </c>
      <c r="AS25">
        <f>IF(OR($AA25="",AG$5=""),0,SUMIF(INDIRECT("'"&amp;AG$5&amp;"'!C6:C1000"),$AA25,INDIRECT("'"&amp;AG$5&amp;"'!E6:E1000")))</f>
        <v>0</v>
      </c>
      <c r="AT25">
        <f>IF(OR($AA25="",AH$5=""),0,SUMIF(INDIRECT("'"&amp;AH$5&amp;"'!C6:C1000"),$AA25,INDIRECT("'"&amp;AH$5&amp;"'!E6:E1000")))</f>
        <v>0</v>
      </c>
      <c r="AU25">
        <f>IF(OR($AA25="",AI$5=""),0,SUMIF(INDIRECT("'"&amp;AI$5&amp;"'!C6:C1000"),$AA25,INDIRECT("'"&amp;AI$5&amp;"'!E6:E1000")))</f>
        <v>0</v>
      </c>
      <c r="AV25">
        <f>IF(OR($AA25="",AJ$5=""),0,SUMIF(INDIRECT("'"&amp;AJ$5&amp;"'!C6:C1000"),$AA25,INDIRECT("'"&amp;AJ$5&amp;"'!E6:E1000")))</f>
        <v>0</v>
      </c>
      <c r="AW25">
        <f>IF(OR($AA25="",AK$5=""),0,SUMIF(INDIRECT("'"&amp;AK$5&amp;"'!C6:C1000"),$AA25,INDIRECT("'"&amp;AK$5&amp;"'!E6:E1000")))</f>
        <v>0</v>
      </c>
      <c r="AX25">
        <f>IF(OR($AA25="",AL$5=""),0,SUMIF(INDIRECT("'"&amp;AL$5&amp;"'!C6:C1000"),$AA25,INDIRECT("'"&amp;AL$5&amp;"'!E6:E1000")))</f>
        <v>0</v>
      </c>
      <c r="AY25">
        <f>IF(OR($AA25="",AM$5=""),0,SUMIF(INDIRECT("'"&amp;AM$5&amp;"'!C6:C1000"),$AA25,INDIRECT("'"&amp;AM$5&amp;"'!E6:E1000")))</f>
        <v>0</v>
      </c>
      <c r="AZ25">
        <f>IF(OR($AA25="",AN$5=""),0,SUMIF(INDIRECT("'"&amp;AN$5&amp;"'!C6:C1000"),$AA25,INDIRECT("'"&amp;AN$5&amp;"'!E6:E1000")))</f>
        <v>0</v>
      </c>
      <c r="BA25">
        <f>IF(OR($AA25="",AC$5=""),0,SUMIFS(INDIRECT("'"&amp;AC$5&amp;"'!E6:E1000"),INDIRECT("'"&amp;AC$5&amp;"'!C6:C1000"),$AA25,INDIRECT("'"&amp;AC$5&amp;"'!F6:F1000"),"箱")+SUMIFS(INDIRECT("'"&amp;AC$5&amp;"'!E6:E1000"),INDIRECT("'"&amp;AC$5&amp;"'!C6:C1000"),$AA25,INDIRECT("'"&amp;AC$5&amp;"'!F6:F1000"),"件"))</f>
        <v>0</v>
      </c>
      <c r="BB25">
        <f>IF(OR($AA25="",AD$5=""),0,SUMIFS(INDIRECT("'"&amp;AD$5&amp;"'!E6:E1000"),INDIRECT("'"&amp;AD$5&amp;"'!C6:C1000"),$AA25,INDIRECT("'"&amp;AD$5&amp;"'!F6:F1000"),"箱")+SUMIFS(INDIRECT("'"&amp;AD$5&amp;"'!E6:E1000"),INDIRECT("'"&amp;AD$5&amp;"'!C6:C1000"),$AA25,INDIRECT("'"&amp;AD$5&amp;"'!F6:F1000"),"件"))</f>
        <v>0</v>
      </c>
      <c r="BC25">
        <f>IF(OR($AA25="",AE$5=""),0,SUMIFS(INDIRECT("'"&amp;AE$5&amp;"'!E6:E1000"),INDIRECT("'"&amp;AE$5&amp;"'!C6:C1000"),$AA25,INDIRECT("'"&amp;AE$5&amp;"'!F6:F1000"),"箱")+SUMIFS(INDIRECT("'"&amp;AE$5&amp;"'!E6:E1000"),INDIRECT("'"&amp;AE$5&amp;"'!C6:C1000"),$AA25,INDIRECT("'"&amp;AE$5&amp;"'!F6:F1000"),"件"))</f>
        <v>0</v>
      </c>
      <c r="BD25">
        <f>IF(OR($AA25="",AF$5=""),0,SUMIFS(INDIRECT("'"&amp;AF$5&amp;"'!E6:E1000"),INDIRECT("'"&amp;AF$5&amp;"'!C6:C1000"),$AA25,INDIRECT("'"&amp;AF$5&amp;"'!F6:F1000"),"箱")+SUMIFS(INDIRECT("'"&amp;AF$5&amp;"'!E6:E1000"),INDIRECT("'"&amp;AF$5&amp;"'!C6:C1000"),$AA25,INDIRECT("'"&amp;AF$5&amp;"'!F6:F1000"),"件"))</f>
        <v>0</v>
      </c>
      <c r="BE25">
        <f>IF(OR($AA25="",AG$5=""),0,SUMIFS(INDIRECT("'"&amp;AG$5&amp;"'!E6:E1000"),INDIRECT("'"&amp;AG$5&amp;"'!C6:C1000"),$AA25,INDIRECT("'"&amp;AG$5&amp;"'!F6:F1000"),"箱")+SUMIFS(INDIRECT("'"&amp;AG$5&amp;"'!E6:E1000"),INDIRECT("'"&amp;AG$5&amp;"'!C6:C1000"),$AA25,INDIRECT("'"&amp;AG$5&amp;"'!F6:F1000"),"件"))</f>
        <v>0</v>
      </c>
      <c r="BF25">
        <f>IF(OR($AA25="",AH$5=""),0,SUMIFS(INDIRECT("'"&amp;AH$5&amp;"'!E6:E1000"),INDIRECT("'"&amp;AH$5&amp;"'!C6:C1000"),$AA25,INDIRECT("'"&amp;AH$5&amp;"'!F6:F1000"),"箱")+SUMIFS(INDIRECT("'"&amp;AH$5&amp;"'!E6:E1000"),INDIRECT("'"&amp;AH$5&amp;"'!C6:C1000"),$AA25,INDIRECT("'"&amp;AH$5&amp;"'!F6:F1000"),"件"))</f>
        <v>0</v>
      </c>
      <c r="BG25">
        <f>IF(OR($AA25="",AI$5=""),0,SUMIFS(INDIRECT("'"&amp;AI$5&amp;"'!E6:E1000"),INDIRECT("'"&amp;AI$5&amp;"'!C6:C1000"),$AA25,INDIRECT("'"&amp;AI$5&amp;"'!F6:F1000"),"箱")+SUMIFS(INDIRECT("'"&amp;AI$5&amp;"'!E6:E1000"),INDIRECT("'"&amp;AI$5&amp;"'!C6:C1000"),$AA25,INDIRECT("'"&amp;AI$5&amp;"'!F6:F1000"),"件"))</f>
        <v>0</v>
      </c>
      <c r="BH25">
        <f>IF(OR($AA25="",AJ$5=""),0,SUMIFS(INDIRECT("'"&amp;AJ$5&amp;"'!E6:E1000"),INDIRECT("'"&amp;AJ$5&amp;"'!C6:C1000"),$AA25,INDIRECT("'"&amp;AJ$5&amp;"'!F6:F1000"),"箱")+SUMIFS(INDIRECT("'"&amp;AJ$5&amp;"'!E6:E1000"),INDIRECT("'"&amp;AJ$5&amp;"'!C6:C1000"),$AA25,INDIRECT("'"&amp;AJ$5&amp;"'!F6:F1000"),"件"))</f>
        <v>0</v>
      </c>
      <c r="BI25">
        <f>IF(OR($AA25="",AK$5=""),0,SUMIFS(INDIRECT("'"&amp;AK$5&amp;"'!E6:E1000"),INDIRECT("'"&amp;AK$5&amp;"'!C6:C1000"),$AA25,INDIRECT("'"&amp;AK$5&amp;"'!F6:F1000"),"箱")+SUMIFS(INDIRECT("'"&amp;AK$5&amp;"'!E6:E1000"),INDIRECT("'"&amp;AK$5&amp;"'!C6:C1000"),$AA25,INDIRECT("'"&amp;AK$5&amp;"'!F6:F1000"),"件"))</f>
        <v>0</v>
      </c>
      <c r="BJ25">
        <f>IF(OR($AA25="",AL$5=""),0,SUMIFS(INDIRECT("'"&amp;AL$5&amp;"'!E6:E1000"),INDIRECT("'"&amp;AL$5&amp;"'!C6:C1000"),$AA25,INDIRECT("'"&amp;AL$5&amp;"'!F6:F1000"),"箱")+SUMIFS(INDIRECT("'"&amp;AL$5&amp;"'!E6:E1000"),INDIRECT("'"&amp;AL$5&amp;"'!C6:C1000"),$AA25,INDIRECT("'"&amp;AL$5&amp;"'!F6:F1000"),"件"))</f>
        <v>0</v>
      </c>
      <c r="BK25">
        <f>IF(OR($AA25="",AM$5=""),0,SUMIFS(INDIRECT("'"&amp;AM$5&amp;"'!E6:E1000"),INDIRECT("'"&amp;AM$5&amp;"'!C6:C1000"),$AA25,INDIRECT("'"&amp;AM$5&amp;"'!F6:F1000"),"箱")+SUMIFS(INDIRECT("'"&amp;AM$5&amp;"'!E6:E1000"),INDIRECT("'"&amp;AM$5&amp;"'!C6:C1000"),$AA25,INDIRECT("'"&amp;AM$5&amp;"'!F6:F1000"),"件"))</f>
        <v>0</v>
      </c>
      <c r="BL25">
        <f>IF(OR($AA25="",AN$5=""),0,SUMIFS(INDIRECT("'"&amp;AN$5&amp;"'!E6:E1000"),INDIRECT("'"&amp;AN$5&amp;"'!C6:C1000"),$AA25,INDIRECT("'"&amp;AN$5&amp;"'!F6:F1000"),"箱")+SUMIFS(INDIRECT("'"&amp;AN$5&amp;"'!E6:E1000"),INDIRECT("'"&amp;AN$5&amp;"'!C6:C1000"),$AA25,INDIRECT("'"&amp;AN$5&amp;"'!F6:F1000"),"件"))</f>
        <v>0</v>
      </c>
      <c r="BM25">
        <f>(AO25-BA25)/$AB25+BA25</f>
        <v>0</v>
      </c>
      <c r="BN25">
        <f>(AP25-BB25)/$AB25+BB25</f>
        <v>0</v>
      </c>
      <c r="BO25">
        <f>(AQ25-BC25)/$AB25+BC25</f>
        <v>0</v>
      </c>
      <c r="BP25">
        <f>(AR25-BD25)/$AB25+BD25</f>
        <v>0</v>
      </c>
      <c r="BQ25">
        <f>(AS25-BE25)/$AB25+BE25</f>
        <v>0</v>
      </c>
      <c r="BR25">
        <f>(AT25-BF25)/$AB25+BF25</f>
        <v>0</v>
      </c>
      <c r="BS25">
        <f>(AU25-BG25)/$AB25+BG25</f>
        <v>0</v>
      </c>
      <c r="BT25">
        <f>(AV25-BH25)/$AB25+BH25</f>
        <v>0</v>
      </c>
      <c r="BU25">
        <f>(AW25-BI25)/$AB25+BI25</f>
        <v>0</v>
      </c>
      <c r="BV25">
        <f>(AX25-BJ25)/$AB25+BJ25</f>
        <v>0</v>
      </c>
      <c r="BW25">
        <f>(AY25-BK25)/$AB25+BK25</f>
        <v>0</v>
      </c>
      <c r="BX25">
        <f>(AZ25-BL25)/$AB25+BL25</f>
        <v>0</v>
      </c>
      <c r="BY25">
        <f>SUMPRODUCT((($AC$4:$AN$4=报损汇总一览!$A$3)+(报损汇总一览!$A$3="全年"))*AC25:AN25)</f>
        <v>0</v>
      </c>
      <c r="BZ25">
        <f>IF(BY25&gt;0,BY25+(1000-ROW())/10000000,"")</f>
      </c>
      <c r="CA25">
        <f>SUMPRODUCT((($AC$4:$AN$4=报损汇总一览!$A$3)+(报损汇总一览!$A$3="全年"))*AO25:AZ25)</f>
        <v>0</v>
      </c>
    </row>
    <row r="26">
      <c r="A26">
        <f>IF(OR(存条明细!C26="",存条明细!D26=""),"",IF(COUNTIFS(存条明细!$C$4:C26,存条明细!C26,存条明细!$D$4:D26,存条明细!D26)&gt;1,"",IFERROR(MATCH(存条明细!C26,总览汇总!$B$5:$B$304,0),900)*10000000+IFERROR(MATCH(存条明细!D26,基础资料!$E$5:$E$104,0),900)*10000+ROW()))</f>
        <v>40100026</v>
      </c>
      <c r="B26">
        <f>IFERROR(MATCH(SMALL($A$4:$A$4003,23),$A$4:$A$4003,0),"")</f>
        <v>16</v>
      </c>
      <c r="D26">
        <f>IF(AND(商品库存!B26&lt;&gt;"",商品库存!B26=客户查询!$B$4),COUNTIF(商品库存!$B$4:B26,客户查询!$B$4),"")</f>
      </c>
      <c r="E26">
        <f>IF(AND(商品库存!B26&lt;&gt;"",商品库存!B26=客户对账单!$B$4),COUNTIF(商品库存!$B$4:B26,客户对账单!$B$4),"")</f>
      </c>
      <c r="F26">
        <f>IF(AND(出库明细!C26&lt;&gt;"",出库明细!C26=客户对账单!$B$4,ISNUMBER(出库明细!B26),出库明细!B26&gt;=客户对账单!$G$4,出库明细!B26&lt;=客户对账单!$I$4),出库明细!B26+ROW()/100000,"")</f>
      </c>
      <c r="H26">
        <f>IF(AND(采购进货!C26&lt;&gt;"",采购进货!C26=供应商对账单!$B$4,ISNUMBER(采购进货!B26),采购进货!B26&gt;=供应商对账单!$G$4,采购进货!B26&lt;=供应商对账单!$I$4),采购进货!B26+ROW()/100000,"")</f>
      </c>
      <c r="J26">
        <f>IF(总览汇总!$B26="","",N(总览汇总!$K26)+SUMIFS(出库明细!$G$4:$G$3003,出库明细!$C$4:$C$3003,总览汇总!$B26,出库明细!$B$4:$B$3003,"&gt;="&amp;年初日,出库明细!$B$4:$B$3003,"&lt;="&amp;资产负债表!$D$3)-SUMIFS(资金台帐!$S$7:$S$3006,资金台帐!$J$7:$J$3006,总览汇总!$B26,资金台帐!$P$7:$P$3006,"应收",资金台帐!$B$7:$B$3006,"&gt;="&amp;年初日,资金台帐!$B$7:$B$3006,"&lt;="&amp;资产负债表!$D$3))</f>
        <v>-1800</v>
      </c>
      <c r="K26">
        <f>IF(基础资料!$Q26="","",N(基础资料!$R26)+SUMIFS(采购进货!$G$4:$G$1503,采购进货!$C$4:$C$1503,基础资料!$Q26,采购进货!$B$4:$B$1503,"&gt;="&amp;年初日,采购进货!$B$4:$B$1503,"&lt;="&amp;资产负债表!$D$3)+SUMIFS(资金台帐!$S$7:$S$3006,资金台帐!$K$7:$K$3006,基础资料!$Q26,资金台帐!$P$7:$P$3006,"应付",资金台帐!$B$7:$B$3006,"&gt;="&amp;年初日,资金台帐!$B$7:$B$3006,"&lt;="&amp;资产负债表!$D$3))</f>
      </c>
      <c r="N26">
        <f>IF(AND(ISNUMBER(出库明细!G26),ISNUMBER(出库明细!E26),ISNUMBER(出库明细!F26)),IF(ABS(出库明细!G26-出库明细!E26*出库明细!F26)&gt;0.005,1,0),0)</f>
        <v>0</v>
      </c>
      <c r="O26">
        <f>IF(AND(ISNUMBER(存条明细!G26),ISNUMBER(存条明细!E26),ISNUMBER(存条明细!F26)),IF(ABS(存条明细!G26-存条明细!E26*存条明细!F26)&gt;0.005,1,0),0)</f>
        <v>0</v>
      </c>
      <c r="AA26" t="str">
        <f>IF(基础资料!G25="","",基础资料!G25&amp;"")</f>
        <v>农夫500ML饮料</v>
      </c>
      <c r="AB26">
        <f>IF(N(基础资料!I25)&lt;=0,1,基础资料!I25)</f>
        <v>15</v>
      </c>
      <c r="AC26">
        <f>IF(OR($AA26="",AC$5=""),0,SUMIF(INDIRECT("'"&amp;AC$5&amp;"'!C6:C1000"),$AA26,INDIRECT("'"&amp;AC$5&amp;"'!H6:H1000")))</f>
        <v>0</v>
      </c>
      <c r="AD26">
        <f>IF(OR($AA26="",AD$5=""),0,SUMIF(INDIRECT("'"&amp;AD$5&amp;"'!C6:C1000"),$AA26,INDIRECT("'"&amp;AD$5&amp;"'!H6:H1000")))</f>
        <v>0</v>
      </c>
      <c r="AE26">
        <f>IF(OR($AA26="",AE$5=""),0,SUMIF(INDIRECT("'"&amp;AE$5&amp;"'!C6:C1000"),$AA26,INDIRECT("'"&amp;AE$5&amp;"'!H6:H1000")))</f>
        <v>0</v>
      </c>
      <c r="AF26">
        <f>IF(OR($AA26="",AF$5=""),0,SUMIF(INDIRECT("'"&amp;AF$5&amp;"'!C6:C1000"),$AA26,INDIRECT("'"&amp;AF$5&amp;"'!H6:H1000")))</f>
        <v>0</v>
      </c>
      <c r="AG26">
        <f>IF(OR($AA26="",AG$5=""),0,SUMIF(INDIRECT("'"&amp;AG$5&amp;"'!C6:C1000"),$AA26,INDIRECT("'"&amp;AG$5&amp;"'!H6:H1000")))</f>
        <v>0</v>
      </c>
      <c r="AH26">
        <f>IF(OR($AA26="",AH$5=""),0,SUMIF(INDIRECT("'"&amp;AH$5&amp;"'!C6:C1000"),$AA26,INDIRECT("'"&amp;AH$5&amp;"'!H6:H1000")))</f>
        <v>4732.381</v>
      </c>
      <c r="AI26">
        <f>IF(OR($AA26="",AI$5=""),0,SUMIF(INDIRECT("'"&amp;AI$5&amp;"'!C6:C1000"),$AA26,INDIRECT("'"&amp;AI$5&amp;"'!H6:H1000")))</f>
        <v>76.675</v>
      </c>
      <c r="AJ26">
        <f>IF(OR($AA26="",AJ$5=""),0,SUMIF(INDIRECT("'"&amp;AJ$5&amp;"'!C6:C1000"),$AA26,INDIRECT("'"&amp;AJ$5&amp;"'!H6:H1000")))</f>
        <v>2223.575</v>
      </c>
      <c r="AK26">
        <f>IF(OR($AA26="",AK$5=""),0,SUMIF(INDIRECT("'"&amp;AK$5&amp;"'!C6:C1000"),$AA26,INDIRECT("'"&amp;AK$5&amp;"'!H6:H1000")))</f>
        <v>0</v>
      </c>
      <c r="AL26">
        <f>IF(OR($AA26="",AL$5=""),0,SUMIF(INDIRECT("'"&amp;AL$5&amp;"'!C6:C1000"),$AA26,INDIRECT("'"&amp;AL$5&amp;"'!H6:H1000")))</f>
        <v>0</v>
      </c>
      <c r="AM26">
        <f>IF(OR($AA26="",AM$5=""),0,SUMIF(INDIRECT("'"&amp;AM$5&amp;"'!C6:C1000"),$AA26,INDIRECT("'"&amp;AM$5&amp;"'!H6:H1000")))</f>
        <v>0</v>
      </c>
      <c r="AN26">
        <f>IF(OR($AA26="",AN$5=""),0,SUMIF(INDIRECT("'"&amp;AN$5&amp;"'!C6:C1000"),$AA26,INDIRECT("'"&amp;AN$5&amp;"'!H6:H1000")))</f>
        <v>0</v>
      </c>
      <c r="AO26">
        <f>IF(OR($AA26="",AC$5=""),0,SUMIF(INDIRECT("'"&amp;AC$5&amp;"'!C6:C1000"),$AA26,INDIRECT("'"&amp;AC$5&amp;"'!E6:E1000")))</f>
        <v>0</v>
      </c>
      <c r="AP26">
        <f>IF(OR($AA26="",AD$5=""),0,SUMIF(INDIRECT("'"&amp;AD$5&amp;"'!C6:C1000"),$AA26,INDIRECT("'"&amp;AD$5&amp;"'!E6:E1000")))</f>
        <v>0</v>
      </c>
      <c r="AQ26">
        <f>IF(OR($AA26="",AE$5=""),0,SUMIF(INDIRECT("'"&amp;AE$5&amp;"'!C6:C1000"),$AA26,INDIRECT("'"&amp;AE$5&amp;"'!E6:E1000")))</f>
        <v>0</v>
      </c>
      <c r="AR26">
        <f>IF(OR($AA26="",AF$5=""),0,SUMIF(INDIRECT("'"&amp;AF$5&amp;"'!C6:C1000"),$AA26,INDIRECT("'"&amp;AF$5&amp;"'!E6:E1000")))</f>
        <v>0</v>
      </c>
      <c r="AS26">
        <f>IF(OR($AA26="",AG$5=""),0,SUMIF(INDIRECT("'"&amp;AG$5&amp;"'!C6:C1000"),$AA26,INDIRECT("'"&amp;AG$5&amp;"'!E6:E1000")))</f>
        <v>0</v>
      </c>
      <c r="AT26">
        <f>IF(OR($AA26="",AH$5=""),0,SUMIF(INDIRECT("'"&amp;AH$5&amp;"'!C6:C1000"),$AA26,INDIRECT("'"&amp;AH$5&amp;"'!E6:E1000")))</f>
        <v>1543</v>
      </c>
      <c r="AU26">
        <f>IF(OR($AA26="",AI$5=""),0,SUMIF(INDIRECT("'"&amp;AI$5&amp;"'!C6:C1000"),$AA26,INDIRECT("'"&amp;AI$5&amp;"'!E6:E1000")))</f>
        <v>25</v>
      </c>
      <c r="AV26">
        <f>IF(OR($AA26="",AJ$5=""),0,SUMIF(INDIRECT("'"&amp;AJ$5&amp;"'!C6:C1000"),$AA26,INDIRECT("'"&amp;AJ$5&amp;"'!E6:E1000")))</f>
        <v>725</v>
      </c>
      <c r="AW26">
        <f>IF(OR($AA26="",AK$5=""),0,SUMIF(INDIRECT("'"&amp;AK$5&amp;"'!C6:C1000"),$AA26,INDIRECT("'"&amp;AK$5&amp;"'!E6:E1000")))</f>
        <v>0</v>
      </c>
      <c r="AX26">
        <f>IF(OR($AA26="",AL$5=""),0,SUMIF(INDIRECT("'"&amp;AL$5&amp;"'!C6:C1000"),$AA26,INDIRECT("'"&amp;AL$5&amp;"'!E6:E1000")))</f>
        <v>0</v>
      </c>
      <c r="AY26">
        <f>IF(OR($AA26="",AM$5=""),0,SUMIF(INDIRECT("'"&amp;AM$5&amp;"'!C6:C1000"),$AA26,INDIRECT("'"&amp;AM$5&amp;"'!E6:E1000")))</f>
        <v>0</v>
      </c>
      <c r="AZ26">
        <f>IF(OR($AA26="",AN$5=""),0,SUMIF(INDIRECT("'"&amp;AN$5&amp;"'!C6:C1000"),$AA26,INDIRECT("'"&amp;AN$5&amp;"'!E6:E1000")))</f>
        <v>0</v>
      </c>
      <c r="BA26">
        <f>IF(OR($AA26="",AC$5=""),0,SUMIFS(INDIRECT("'"&amp;AC$5&amp;"'!E6:E1000"),INDIRECT("'"&amp;AC$5&amp;"'!C6:C1000"),$AA26,INDIRECT("'"&amp;AC$5&amp;"'!F6:F1000"),"箱")+SUMIFS(INDIRECT("'"&amp;AC$5&amp;"'!E6:E1000"),INDIRECT("'"&amp;AC$5&amp;"'!C6:C1000"),$AA26,INDIRECT("'"&amp;AC$5&amp;"'!F6:F1000"),"件"))</f>
        <v>0</v>
      </c>
      <c r="BB26">
        <f>IF(OR($AA26="",AD$5=""),0,SUMIFS(INDIRECT("'"&amp;AD$5&amp;"'!E6:E1000"),INDIRECT("'"&amp;AD$5&amp;"'!C6:C1000"),$AA26,INDIRECT("'"&amp;AD$5&amp;"'!F6:F1000"),"箱")+SUMIFS(INDIRECT("'"&amp;AD$5&amp;"'!E6:E1000"),INDIRECT("'"&amp;AD$5&amp;"'!C6:C1000"),$AA26,INDIRECT("'"&amp;AD$5&amp;"'!F6:F1000"),"件"))</f>
        <v>0</v>
      </c>
      <c r="BC26">
        <f>IF(OR($AA26="",AE$5=""),0,SUMIFS(INDIRECT("'"&amp;AE$5&amp;"'!E6:E1000"),INDIRECT("'"&amp;AE$5&amp;"'!C6:C1000"),$AA26,INDIRECT("'"&amp;AE$5&amp;"'!F6:F1000"),"箱")+SUMIFS(INDIRECT("'"&amp;AE$5&amp;"'!E6:E1000"),INDIRECT("'"&amp;AE$5&amp;"'!C6:C1000"),$AA26,INDIRECT("'"&amp;AE$5&amp;"'!F6:F1000"),"件"))</f>
        <v>0</v>
      </c>
      <c r="BD26">
        <f>IF(OR($AA26="",AF$5=""),0,SUMIFS(INDIRECT("'"&amp;AF$5&amp;"'!E6:E1000"),INDIRECT("'"&amp;AF$5&amp;"'!C6:C1000"),$AA26,INDIRECT("'"&amp;AF$5&amp;"'!F6:F1000"),"箱")+SUMIFS(INDIRECT("'"&amp;AF$5&amp;"'!E6:E1000"),INDIRECT("'"&amp;AF$5&amp;"'!C6:C1000"),$AA26,INDIRECT("'"&amp;AF$5&amp;"'!F6:F1000"),"件"))</f>
        <v>0</v>
      </c>
      <c r="BE26">
        <f>IF(OR($AA26="",AG$5=""),0,SUMIFS(INDIRECT("'"&amp;AG$5&amp;"'!E6:E1000"),INDIRECT("'"&amp;AG$5&amp;"'!C6:C1000"),$AA26,INDIRECT("'"&amp;AG$5&amp;"'!F6:F1000"),"箱")+SUMIFS(INDIRECT("'"&amp;AG$5&amp;"'!E6:E1000"),INDIRECT("'"&amp;AG$5&amp;"'!C6:C1000"),$AA26,INDIRECT("'"&amp;AG$5&amp;"'!F6:F1000"),"件"))</f>
        <v>0</v>
      </c>
      <c r="BF26">
        <f>IF(OR($AA26="",AH$5=""),0,SUMIFS(INDIRECT("'"&amp;AH$5&amp;"'!E6:E1000"),INDIRECT("'"&amp;AH$5&amp;"'!C6:C1000"),$AA26,INDIRECT("'"&amp;AH$5&amp;"'!F6:F1000"),"箱")+SUMIFS(INDIRECT("'"&amp;AH$5&amp;"'!E6:E1000"),INDIRECT("'"&amp;AH$5&amp;"'!C6:C1000"),$AA26,INDIRECT("'"&amp;AH$5&amp;"'!F6:F1000"),"件"))</f>
        <v>0</v>
      </c>
      <c r="BG26">
        <f>IF(OR($AA26="",AI$5=""),0,SUMIFS(INDIRECT("'"&amp;AI$5&amp;"'!E6:E1000"),INDIRECT("'"&amp;AI$5&amp;"'!C6:C1000"),$AA26,INDIRECT("'"&amp;AI$5&amp;"'!F6:F1000"),"箱")+SUMIFS(INDIRECT("'"&amp;AI$5&amp;"'!E6:E1000"),INDIRECT("'"&amp;AI$5&amp;"'!C6:C1000"),$AA26,INDIRECT("'"&amp;AI$5&amp;"'!F6:F1000"),"件"))</f>
        <v>0</v>
      </c>
      <c r="BH26">
        <f>IF(OR($AA26="",AJ$5=""),0,SUMIFS(INDIRECT("'"&amp;AJ$5&amp;"'!E6:E1000"),INDIRECT("'"&amp;AJ$5&amp;"'!C6:C1000"),$AA26,INDIRECT("'"&amp;AJ$5&amp;"'!F6:F1000"),"箱")+SUMIFS(INDIRECT("'"&amp;AJ$5&amp;"'!E6:E1000"),INDIRECT("'"&amp;AJ$5&amp;"'!C6:C1000"),$AA26,INDIRECT("'"&amp;AJ$5&amp;"'!F6:F1000"),"件"))</f>
        <v>0</v>
      </c>
      <c r="BI26">
        <f>IF(OR($AA26="",AK$5=""),0,SUMIFS(INDIRECT("'"&amp;AK$5&amp;"'!E6:E1000"),INDIRECT("'"&amp;AK$5&amp;"'!C6:C1000"),$AA26,INDIRECT("'"&amp;AK$5&amp;"'!F6:F1000"),"箱")+SUMIFS(INDIRECT("'"&amp;AK$5&amp;"'!E6:E1000"),INDIRECT("'"&amp;AK$5&amp;"'!C6:C1000"),$AA26,INDIRECT("'"&amp;AK$5&amp;"'!F6:F1000"),"件"))</f>
        <v>0</v>
      </c>
      <c r="BJ26">
        <f>IF(OR($AA26="",AL$5=""),0,SUMIFS(INDIRECT("'"&amp;AL$5&amp;"'!E6:E1000"),INDIRECT("'"&amp;AL$5&amp;"'!C6:C1000"),$AA26,INDIRECT("'"&amp;AL$5&amp;"'!F6:F1000"),"箱")+SUMIFS(INDIRECT("'"&amp;AL$5&amp;"'!E6:E1000"),INDIRECT("'"&amp;AL$5&amp;"'!C6:C1000"),$AA26,INDIRECT("'"&amp;AL$5&amp;"'!F6:F1000"),"件"))</f>
        <v>0</v>
      </c>
      <c r="BK26">
        <f>IF(OR($AA26="",AM$5=""),0,SUMIFS(INDIRECT("'"&amp;AM$5&amp;"'!E6:E1000"),INDIRECT("'"&amp;AM$5&amp;"'!C6:C1000"),$AA26,INDIRECT("'"&amp;AM$5&amp;"'!F6:F1000"),"箱")+SUMIFS(INDIRECT("'"&amp;AM$5&amp;"'!E6:E1000"),INDIRECT("'"&amp;AM$5&amp;"'!C6:C1000"),$AA26,INDIRECT("'"&amp;AM$5&amp;"'!F6:F1000"),"件"))</f>
        <v>0</v>
      </c>
      <c r="BL26">
        <f>IF(OR($AA26="",AN$5=""),0,SUMIFS(INDIRECT("'"&amp;AN$5&amp;"'!E6:E1000"),INDIRECT("'"&amp;AN$5&amp;"'!C6:C1000"),$AA26,INDIRECT("'"&amp;AN$5&amp;"'!F6:F1000"),"箱")+SUMIFS(INDIRECT("'"&amp;AN$5&amp;"'!E6:E1000"),INDIRECT("'"&amp;AN$5&amp;"'!C6:C1000"),$AA26,INDIRECT("'"&amp;AN$5&amp;"'!F6:F1000"),"件"))</f>
        <v>0</v>
      </c>
      <c r="BM26">
        <f>(AO26-BA26)/$AB26+BA26</f>
        <v>0</v>
      </c>
      <c r="BN26">
        <f>(AP26-BB26)/$AB26+BB26</f>
        <v>0</v>
      </c>
      <c r="BO26">
        <f>(AQ26-BC26)/$AB26+BC26</f>
        <v>0</v>
      </c>
      <c r="BP26">
        <f>(AR26-BD26)/$AB26+BD26</f>
        <v>0</v>
      </c>
      <c r="BQ26">
        <f>(AS26-BE26)/$AB26+BE26</f>
        <v>0</v>
      </c>
      <c r="BR26">
        <f>(AT26-BF26)/$AB26+BF26</f>
        <v>102.866666666667</v>
      </c>
      <c r="BS26">
        <f>(AU26-BG26)/$AB26+BG26</f>
        <v>1.66666666666667</v>
      </c>
      <c r="BT26">
        <f>(AV26-BH26)/$AB26+BH26</f>
        <v>48.3333333333333</v>
      </c>
      <c r="BU26">
        <f>(AW26-BI26)/$AB26+BI26</f>
        <v>0</v>
      </c>
      <c r="BV26">
        <f>(AX26-BJ26)/$AB26+BJ26</f>
        <v>0</v>
      </c>
      <c r="BW26">
        <f>(AY26-BK26)/$AB26+BK26</f>
        <v>0</v>
      </c>
      <c r="BX26">
        <f>(AZ26-BL26)/$AB26+BL26</f>
        <v>0</v>
      </c>
      <c r="BY26">
        <f>SUMPRODUCT((($AC$4:$AN$4=报损汇总一览!$A$3)+(报损汇总一览!$A$3="全年"))*AC26:AN26)</f>
        <v>7032.631</v>
      </c>
      <c r="BZ26">
        <f>IF(BY26&gt;0,BY26+(1000-ROW())/10000000,"")</f>
        <v>7032.6310974</v>
      </c>
      <c r="CA26">
        <f>SUMPRODUCT((($AC$4:$AN$4=报损汇总一览!$A$3)+(报损汇总一览!$A$3="全年"))*AO26:AZ26)</f>
        <v>2293</v>
      </c>
    </row>
    <row r="27">
      <c r="A27">
        <f>IF(OR(存条明细!C27="",存条明细!D27=""),"",IF(COUNTIFS(存条明细!$C$4:C27,存条明细!C27,存条明细!$D$4:D27,存条明细!D27)&gt;1,"",IFERROR(MATCH(存条明细!C27,总览汇总!$B$5:$B$304,0),900)*10000000+IFERROR(MATCH(存条明细!D27,基础资料!$E$5:$E$104,0),900)*10000+ROW()))</f>
        <v>40080027</v>
      </c>
      <c r="B27">
        <f>IFERROR(MATCH(SMALL($A$4:$A$4003,24),$A$4:$A$4003,0),"")</f>
        <v>151</v>
      </c>
      <c r="D27">
        <f>IF(AND(商品库存!B27&lt;&gt;"",商品库存!B27=客户查询!$B$4),COUNTIF(商品库存!$B$4:B27,客户查询!$B$4),"")</f>
      </c>
      <c r="E27">
        <f>IF(AND(商品库存!B27&lt;&gt;"",商品库存!B27=客户对账单!$B$4),COUNTIF(商品库存!$B$4:B27,客户对账单!$B$4),"")</f>
      </c>
      <c r="F27">
        <f>IF(AND(出库明细!C27&lt;&gt;"",出库明细!C27=客户对账单!$B$4,ISNUMBER(出库明细!B27),出库明细!B27&gt;=客户对账单!$G$4,出库明细!B27&lt;=客户对账单!$I$4),出库明细!B27+ROW()/100000,"")</f>
      </c>
      <c r="H27">
        <f>IF(AND(采购进货!C27&lt;&gt;"",采购进货!C27=供应商对账单!$B$4,ISNUMBER(采购进货!B27),采购进货!B27&gt;=供应商对账单!$G$4,采购进货!B27&lt;=供应商对账单!$I$4),采购进货!B27+ROW()/100000,"")</f>
      </c>
      <c r="J27">
        <f>IF(总览汇总!$B27="","",N(总览汇总!$K27)+SUMIFS(出库明细!$G$4:$G$3003,出库明细!$C$4:$C$3003,总览汇总!$B27,出库明细!$B$4:$B$3003,"&gt;="&amp;年初日,出库明细!$B$4:$B$3003,"&lt;="&amp;资产负债表!$D$3)-SUMIFS(资金台帐!$S$7:$S$3006,资金台帐!$J$7:$J$3006,总览汇总!$B27,资金台帐!$P$7:$P$3006,"应收",资金台帐!$B$7:$B$3006,"&gt;="&amp;年初日,资金台帐!$B$7:$B$3006,"&lt;="&amp;资产负债表!$D$3))</f>
        <v>-1067</v>
      </c>
      <c r="K27">
        <f>IF(基础资料!$Q27="","",N(基础资料!$R27)+SUMIFS(采购进货!$G$4:$G$1503,采购进货!$C$4:$C$1503,基础资料!$Q27,采购进货!$B$4:$B$1503,"&gt;="&amp;年初日,采购进货!$B$4:$B$1503,"&lt;="&amp;资产负债表!$D$3)+SUMIFS(资金台帐!$S$7:$S$3006,资金台帐!$K$7:$K$3006,基础资料!$Q27,资金台帐!$P$7:$P$3006,"应付",资金台帐!$B$7:$B$3006,"&gt;="&amp;年初日,资金台帐!$B$7:$B$3006,"&lt;="&amp;资产负债表!$D$3))</f>
      </c>
      <c r="N27">
        <f>IF(AND(ISNUMBER(出库明细!G27),ISNUMBER(出库明细!E27),ISNUMBER(出库明细!F27)),IF(ABS(出库明细!G27-出库明细!E27*出库明细!F27)&gt;0.005,1,0),0)</f>
        <v>0</v>
      </c>
      <c r="O27">
        <f>IF(AND(ISNUMBER(存条明细!G27),ISNUMBER(存条明细!E27),ISNUMBER(存条明细!F27)),IF(ABS(存条明细!G27-存条明细!E27*存条明细!F27)&gt;0.005,1,0),0)</f>
        <v>0</v>
      </c>
      <c r="AA27" t="str">
        <f>IF(基础资料!G26="","",基础资料!G26&amp;"")</f>
        <v>农夫900ML饮料</v>
      </c>
      <c r="AB27">
        <f>IF(N(基础资料!I26)&lt;=0,1,基础资料!I26)</f>
        <v>12</v>
      </c>
      <c r="AC27">
        <f>IF(OR($AA27="",AC$5=""),0,SUMIF(INDIRECT("'"&amp;AC$5&amp;"'!C6:C1000"),$AA27,INDIRECT("'"&amp;AC$5&amp;"'!H6:H1000")))</f>
        <v>0</v>
      </c>
      <c r="AD27">
        <f>IF(OR($AA27="",AD$5=""),0,SUMIF(INDIRECT("'"&amp;AD$5&amp;"'!C6:C1000"),$AA27,INDIRECT("'"&amp;AD$5&amp;"'!H6:H1000")))</f>
        <v>0</v>
      </c>
      <c r="AE27">
        <f>IF(OR($AA27="",AE$5=""),0,SUMIF(INDIRECT("'"&amp;AE$5&amp;"'!C6:C1000"),$AA27,INDIRECT("'"&amp;AE$5&amp;"'!H6:H1000")))</f>
        <v>0</v>
      </c>
      <c r="AF27">
        <f>IF(OR($AA27="",AF$5=""),0,SUMIF(INDIRECT("'"&amp;AF$5&amp;"'!C6:C1000"),$AA27,INDIRECT("'"&amp;AF$5&amp;"'!H6:H1000")))</f>
        <v>0</v>
      </c>
      <c r="AG27">
        <f>IF(OR($AA27="",AG$5=""),0,SUMIF(INDIRECT("'"&amp;AG$5&amp;"'!C6:C1000"),$AA27,INDIRECT("'"&amp;AG$5&amp;"'!H6:H1000")))</f>
        <v>0</v>
      </c>
      <c r="AH27">
        <f>IF(OR($AA27="",AH$5=""),0,SUMIF(INDIRECT("'"&amp;AH$5&amp;"'!C6:C1000"),$AA27,INDIRECT("'"&amp;AH$5&amp;"'!H6:H1000")))</f>
        <v>204.33</v>
      </c>
      <c r="AI27">
        <f>IF(OR($AA27="",AI$5=""),0,SUMIF(INDIRECT("'"&amp;AI$5&amp;"'!C6:C1000"),$AA27,INDIRECT("'"&amp;AI$5&amp;"'!H6:H1000")))</f>
        <v>0</v>
      </c>
      <c r="AJ27">
        <f>IF(OR($AA27="",AJ$5=""),0,SUMIF(INDIRECT("'"&amp;AJ$5&amp;"'!C6:C1000"),$AA27,INDIRECT("'"&amp;AJ$5&amp;"'!H6:H1000")))</f>
        <v>817.32</v>
      </c>
      <c r="AK27">
        <f>IF(OR($AA27="",AK$5=""),0,SUMIF(INDIRECT("'"&amp;AK$5&amp;"'!C6:C1000"),$AA27,INDIRECT("'"&amp;AK$5&amp;"'!H6:H1000")))</f>
        <v>0</v>
      </c>
      <c r="AL27">
        <f>IF(OR($AA27="",AL$5=""),0,SUMIF(INDIRECT("'"&amp;AL$5&amp;"'!C6:C1000"),$AA27,INDIRECT("'"&amp;AL$5&amp;"'!H6:H1000")))</f>
        <v>0</v>
      </c>
      <c r="AM27">
        <f>IF(OR($AA27="",AM$5=""),0,SUMIF(INDIRECT("'"&amp;AM$5&amp;"'!C6:C1000"),$AA27,INDIRECT("'"&amp;AM$5&amp;"'!H6:H1000")))</f>
        <v>0</v>
      </c>
      <c r="AN27">
        <f>IF(OR($AA27="",AN$5=""),0,SUMIF(INDIRECT("'"&amp;AN$5&amp;"'!C6:C1000"),$AA27,INDIRECT("'"&amp;AN$5&amp;"'!H6:H1000")))</f>
        <v>0</v>
      </c>
      <c r="AO27">
        <f>IF(OR($AA27="",AC$5=""),0,SUMIF(INDIRECT("'"&amp;AC$5&amp;"'!C6:C1000"),$AA27,INDIRECT("'"&amp;AC$5&amp;"'!E6:E1000")))</f>
        <v>0</v>
      </c>
      <c r="AP27">
        <f>IF(OR($AA27="",AD$5=""),0,SUMIF(INDIRECT("'"&amp;AD$5&amp;"'!C6:C1000"),$AA27,INDIRECT("'"&amp;AD$5&amp;"'!E6:E1000")))</f>
        <v>0</v>
      </c>
      <c r="AQ27">
        <f>IF(OR($AA27="",AE$5=""),0,SUMIF(INDIRECT("'"&amp;AE$5&amp;"'!C6:C1000"),$AA27,INDIRECT("'"&amp;AE$5&amp;"'!E6:E1000")))</f>
        <v>0</v>
      </c>
      <c r="AR27">
        <f>IF(OR($AA27="",AF$5=""),0,SUMIF(INDIRECT("'"&amp;AF$5&amp;"'!C6:C1000"),$AA27,INDIRECT("'"&amp;AF$5&amp;"'!E6:E1000")))</f>
        <v>0</v>
      </c>
      <c r="AS27">
        <f>IF(OR($AA27="",AG$5=""),0,SUMIF(INDIRECT("'"&amp;AG$5&amp;"'!C6:C1000"),$AA27,INDIRECT("'"&amp;AG$5&amp;"'!E6:E1000")))</f>
        <v>0</v>
      </c>
      <c r="AT27">
        <f>IF(OR($AA27="",AH$5=""),0,SUMIF(INDIRECT("'"&amp;AH$5&amp;"'!C6:C1000"),$AA27,INDIRECT("'"&amp;AH$5&amp;"'!E6:E1000")))</f>
        <v>49</v>
      </c>
      <c r="AU27">
        <f>IF(OR($AA27="",AI$5=""),0,SUMIF(INDIRECT("'"&amp;AI$5&amp;"'!C6:C1000"),$AA27,INDIRECT("'"&amp;AI$5&amp;"'!E6:E1000")))</f>
        <v>0</v>
      </c>
      <c r="AV27">
        <f>IF(OR($AA27="",AJ$5=""),0,SUMIF(INDIRECT("'"&amp;AJ$5&amp;"'!C6:C1000"),$AA27,INDIRECT("'"&amp;AJ$5&amp;"'!E6:E1000")))</f>
        <v>196</v>
      </c>
      <c r="AW27">
        <f>IF(OR($AA27="",AK$5=""),0,SUMIF(INDIRECT("'"&amp;AK$5&amp;"'!C6:C1000"),$AA27,INDIRECT("'"&amp;AK$5&amp;"'!E6:E1000")))</f>
        <v>0</v>
      </c>
      <c r="AX27">
        <f>IF(OR($AA27="",AL$5=""),0,SUMIF(INDIRECT("'"&amp;AL$5&amp;"'!C6:C1000"),$AA27,INDIRECT("'"&amp;AL$5&amp;"'!E6:E1000")))</f>
        <v>0</v>
      </c>
      <c r="AY27">
        <f>IF(OR($AA27="",AM$5=""),0,SUMIF(INDIRECT("'"&amp;AM$5&amp;"'!C6:C1000"),$AA27,INDIRECT("'"&amp;AM$5&amp;"'!E6:E1000")))</f>
        <v>0</v>
      </c>
      <c r="AZ27">
        <f>IF(OR($AA27="",AN$5=""),0,SUMIF(INDIRECT("'"&amp;AN$5&amp;"'!C6:C1000"),$AA27,INDIRECT("'"&amp;AN$5&amp;"'!E6:E1000")))</f>
        <v>0</v>
      </c>
      <c r="BA27">
        <f>IF(OR($AA27="",AC$5=""),0,SUMIFS(INDIRECT("'"&amp;AC$5&amp;"'!E6:E1000"),INDIRECT("'"&amp;AC$5&amp;"'!C6:C1000"),$AA27,INDIRECT("'"&amp;AC$5&amp;"'!F6:F1000"),"箱")+SUMIFS(INDIRECT("'"&amp;AC$5&amp;"'!E6:E1000"),INDIRECT("'"&amp;AC$5&amp;"'!C6:C1000"),$AA27,INDIRECT("'"&amp;AC$5&amp;"'!F6:F1000"),"件"))</f>
        <v>0</v>
      </c>
      <c r="BB27">
        <f>IF(OR($AA27="",AD$5=""),0,SUMIFS(INDIRECT("'"&amp;AD$5&amp;"'!E6:E1000"),INDIRECT("'"&amp;AD$5&amp;"'!C6:C1000"),$AA27,INDIRECT("'"&amp;AD$5&amp;"'!F6:F1000"),"箱")+SUMIFS(INDIRECT("'"&amp;AD$5&amp;"'!E6:E1000"),INDIRECT("'"&amp;AD$5&amp;"'!C6:C1000"),$AA27,INDIRECT("'"&amp;AD$5&amp;"'!F6:F1000"),"件"))</f>
        <v>0</v>
      </c>
      <c r="BC27">
        <f>IF(OR($AA27="",AE$5=""),0,SUMIFS(INDIRECT("'"&amp;AE$5&amp;"'!E6:E1000"),INDIRECT("'"&amp;AE$5&amp;"'!C6:C1000"),$AA27,INDIRECT("'"&amp;AE$5&amp;"'!F6:F1000"),"箱")+SUMIFS(INDIRECT("'"&amp;AE$5&amp;"'!E6:E1000"),INDIRECT("'"&amp;AE$5&amp;"'!C6:C1000"),$AA27,INDIRECT("'"&amp;AE$5&amp;"'!F6:F1000"),"件"))</f>
        <v>0</v>
      </c>
      <c r="BD27">
        <f>IF(OR($AA27="",AF$5=""),0,SUMIFS(INDIRECT("'"&amp;AF$5&amp;"'!E6:E1000"),INDIRECT("'"&amp;AF$5&amp;"'!C6:C1000"),$AA27,INDIRECT("'"&amp;AF$5&amp;"'!F6:F1000"),"箱")+SUMIFS(INDIRECT("'"&amp;AF$5&amp;"'!E6:E1000"),INDIRECT("'"&amp;AF$5&amp;"'!C6:C1000"),$AA27,INDIRECT("'"&amp;AF$5&amp;"'!F6:F1000"),"件"))</f>
        <v>0</v>
      </c>
      <c r="BE27">
        <f>IF(OR($AA27="",AG$5=""),0,SUMIFS(INDIRECT("'"&amp;AG$5&amp;"'!E6:E1000"),INDIRECT("'"&amp;AG$5&amp;"'!C6:C1000"),$AA27,INDIRECT("'"&amp;AG$5&amp;"'!F6:F1000"),"箱")+SUMIFS(INDIRECT("'"&amp;AG$5&amp;"'!E6:E1000"),INDIRECT("'"&amp;AG$5&amp;"'!C6:C1000"),$AA27,INDIRECT("'"&amp;AG$5&amp;"'!F6:F1000"),"件"))</f>
        <v>0</v>
      </c>
      <c r="BF27">
        <f>IF(OR($AA27="",AH$5=""),0,SUMIFS(INDIRECT("'"&amp;AH$5&amp;"'!E6:E1000"),INDIRECT("'"&amp;AH$5&amp;"'!C6:C1000"),$AA27,INDIRECT("'"&amp;AH$5&amp;"'!F6:F1000"),"箱")+SUMIFS(INDIRECT("'"&amp;AH$5&amp;"'!E6:E1000"),INDIRECT("'"&amp;AH$5&amp;"'!C6:C1000"),$AA27,INDIRECT("'"&amp;AH$5&amp;"'!F6:F1000"),"件"))</f>
        <v>0</v>
      </c>
      <c r="BG27">
        <f>IF(OR($AA27="",AI$5=""),0,SUMIFS(INDIRECT("'"&amp;AI$5&amp;"'!E6:E1000"),INDIRECT("'"&amp;AI$5&amp;"'!C6:C1000"),$AA27,INDIRECT("'"&amp;AI$5&amp;"'!F6:F1000"),"箱")+SUMIFS(INDIRECT("'"&amp;AI$5&amp;"'!E6:E1000"),INDIRECT("'"&amp;AI$5&amp;"'!C6:C1000"),$AA27,INDIRECT("'"&amp;AI$5&amp;"'!F6:F1000"),"件"))</f>
        <v>0</v>
      </c>
      <c r="BH27">
        <f>IF(OR($AA27="",AJ$5=""),0,SUMIFS(INDIRECT("'"&amp;AJ$5&amp;"'!E6:E1000"),INDIRECT("'"&amp;AJ$5&amp;"'!C6:C1000"),$AA27,INDIRECT("'"&amp;AJ$5&amp;"'!F6:F1000"),"箱")+SUMIFS(INDIRECT("'"&amp;AJ$5&amp;"'!E6:E1000"),INDIRECT("'"&amp;AJ$5&amp;"'!C6:C1000"),$AA27,INDIRECT("'"&amp;AJ$5&amp;"'!F6:F1000"),"件"))</f>
        <v>0</v>
      </c>
      <c r="BI27">
        <f>IF(OR($AA27="",AK$5=""),0,SUMIFS(INDIRECT("'"&amp;AK$5&amp;"'!E6:E1000"),INDIRECT("'"&amp;AK$5&amp;"'!C6:C1000"),$AA27,INDIRECT("'"&amp;AK$5&amp;"'!F6:F1000"),"箱")+SUMIFS(INDIRECT("'"&amp;AK$5&amp;"'!E6:E1000"),INDIRECT("'"&amp;AK$5&amp;"'!C6:C1000"),$AA27,INDIRECT("'"&amp;AK$5&amp;"'!F6:F1000"),"件"))</f>
        <v>0</v>
      </c>
      <c r="BJ27">
        <f>IF(OR($AA27="",AL$5=""),0,SUMIFS(INDIRECT("'"&amp;AL$5&amp;"'!E6:E1000"),INDIRECT("'"&amp;AL$5&amp;"'!C6:C1000"),$AA27,INDIRECT("'"&amp;AL$5&amp;"'!F6:F1000"),"箱")+SUMIFS(INDIRECT("'"&amp;AL$5&amp;"'!E6:E1000"),INDIRECT("'"&amp;AL$5&amp;"'!C6:C1000"),$AA27,INDIRECT("'"&amp;AL$5&amp;"'!F6:F1000"),"件"))</f>
        <v>0</v>
      </c>
      <c r="BK27">
        <f>IF(OR($AA27="",AM$5=""),0,SUMIFS(INDIRECT("'"&amp;AM$5&amp;"'!E6:E1000"),INDIRECT("'"&amp;AM$5&amp;"'!C6:C1000"),$AA27,INDIRECT("'"&amp;AM$5&amp;"'!F6:F1000"),"箱")+SUMIFS(INDIRECT("'"&amp;AM$5&amp;"'!E6:E1000"),INDIRECT("'"&amp;AM$5&amp;"'!C6:C1000"),$AA27,INDIRECT("'"&amp;AM$5&amp;"'!F6:F1000"),"件"))</f>
        <v>0</v>
      </c>
      <c r="BL27">
        <f>IF(OR($AA27="",AN$5=""),0,SUMIFS(INDIRECT("'"&amp;AN$5&amp;"'!E6:E1000"),INDIRECT("'"&amp;AN$5&amp;"'!C6:C1000"),$AA27,INDIRECT("'"&amp;AN$5&amp;"'!F6:F1000"),"箱")+SUMIFS(INDIRECT("'"&amp;AN$5&amp;"'!E6:E1000"),INDIRECT("'"&amp;AN$5&amp;"'!C6:C1000"),$AA27,INDIRECT("'"&amp;AN$5&amp;"'!F6:F1000"),"件"))</f>
        <v>0</v>
      </c>
      <c r="BM27">
        <f>(AO27-BA27)/$AB27+BA27</f>
        <v>0</v>
      </c>
      <c r="BN27">
        <f>(AP27-BB27)/$AB27+BB27</f>
        <v>0</v>
      </c>
      <c r="BO27">
        <f>(AQ27-BC27)/$AB27+BC27</f>
        <v>0</v>
      </c>
      <c r="BP27">
        <f>(AR27-BD27)/$AB27+BD27</f>
        <v>0</v>
      </c>
      <c r="BQ27">
        <f>(AS27-BE27)/$AB27+BE27</f>
        <v>0</v>
      </c>
      <c r="BR27">
        <f>(AT27-BF27)/$AB27+BF27</f>
        <v>4.08333333333333</v>
      </c>
      <c r="BS27">
        <f>(AU27-BG27)/$AB27+BG27</f>
        <v>0</v>
      </c>
      <c r="BT27">
        <f>(AV27-BH27)/$AB27+BH27</f>
        <v>16.3333333333333</v>
      </c>
      <c r="BU27">
        <f>(AW27-BI27)/$AB27+BI27</f>
        <v>0</v>
      </c>
      <c r="BV27">
        <f>(AX27-BJ27)/$AB27+BJ27</f>
        <v>0</v>
      </c>
      <c r="BW27">
        <f>(AY27-BK27)/$AB27+BK27</f>
        <v>0</v>
      </c>
      <c r="BX27">
        <f>(AZ27-BL27)/$AB27+BL27</f>
        <v>0</v>
      </c>
      <c r="BY27">
        <f>SUMPRODUCT((($AC$4:$AN$4=报损汇总一览!$A$3)+(报损汇总一览!$A$3="全年"))*AC27:AN27)</f>
        <v>1021.65</v>
      </c>
      <c r="BZ27">
        <f>IF(BY27&gt;0,BY27+(1000-ROW())/10000000,"")</f>
        <v>1021.6500973</v>
      </c>
      <c r="CA27">
        <f>SUMPRODUCT((($AC$4:$AN$4=报损汇总一览!$A$3)+(报损汇总一览!$A$3="全年"))*AO27:AZ27)</f>
        <v>245</v>
      </c>
    </row>
    <row r="28">
      <c r="A28">
        <f>IF(OR(存条明细!C28="",存条明细!D28=""),"",IF(COUNTIFS(存条明细!$C$4:C28,存条明细!C28,存条明细!$D$4:D28,存条明细!D28)&gt;1,"",IFERROR(MATCH(存条明细!C28,总览汇总!$B$5:$B$304,0),900)*10000000+IFERROR(MATCH(存条明细!D28,基础资料!$E$5:$E$104,0),900)*10000+ROW()))</f>
        <v>40060028</v>
      </c>
      <c r="B28">
        <f>IFERROR(MATCH(SMALL($A$4:$A$4003,25),$A$4:$A$4003,0),"")</f>
        <v>17</v>
      </c>
      <c r="D28">
        <f>IF(AND(商品库存!B28&lt;&gt;"",商品库存!B28=客户查询!$B$4),COUNTIF(商品库存!$B$4:B28,客户查询!$B$4),"")</f>
      </c>
      <c r="E28">
        <f>IF(AND(商品库存!B28&lt;&gt;"",商品库存!B28=客户对账单!$B$4),COUNTIF(商品库存!$B$4:B28,客户对账单!$B$4),"")</f>
      </c>
      <c r="F28">
        <f>IF(AND(出库明细!C28&lt;&gt;"",出库明细!C28=客户对账单!$B$4,ISNUMBER(出库明细!B28),出库明细!B28&gt;=客户对账单!$G$4,出库明细!B28&lt;=客户对账单!$I$4),出库明细!B28+ROW()/100000,"")</f>
      </c>
      <c r="H28">
        <f>IF(AND(采购进货!C28&lt;&gt;"",采购进货!C28=供应商对账单!$B$4,ISNUMBER(采购进货!B28),采购进货!B28&gt;=供应商对账单!$G$4,采购进货!B28&lt;=供应商对账单!$I$4),采购进货!B28+ROW()/100000,"")</f>
      </c>
      <c r="J28">
        <f>IF(总览汇总!$B28="","",N(总览汇总!$K28)+SUMIFS(出库明细!$G$4:$G$3003,出库明细!$C$4:$C$3003,总览汇总!$B28,出库明细!$B$4:$B$3003,"&gt;="&amp;年初日,出库明细!$B$4:$B$3003,"&lt;="&amp;资产负债表!$D$3)-SUMIFS(资金台帐!$S$7:$S$3006,资金台帐!$J$7:$J$3006,总览汇总!$B28,资金台帐!$P$7:$P$3006,"应收",资金台帐!$B$7:$B$3006,"&gt;="&amp;年初日,资金台帐!$B$7:$B$3006,"&lt;="&amp;资产负债表!$D$3))</f>
        <v>-10950</v>
      </c>
      <c r="K28">
        <f>IF(基础资料!$Q28="","",N(基础资料!$R28)+SUMIFS(采购进货!$G$4:$G$1503,采购进货!$C$4:$C$1503,基础资料!$Q28,采购进货!$B$4:$B$1503,"&gt;="&amp;年初日,采购进货!$B$4:$B$1503,"&lt;="&amp;资产负债表!$D$3)+SUMIFS(资金台帐!$S$7:$S$3006,资金台帐!$K$7:$K$3006,基础资料!$Q28,资金台帐!$P$7:$P$3006,"应付",资金台帐!$B$7:$B$3006,"&gt;="&amp;年初日,资金台帐!$B$7:$B$3006,"&lt;="&amp;资产负债表!$D$3))</f>
      </c>
      <c r="N28">
        <f>IF(AND(ISNUMBER(出库明细!G28),ISNUMBER(出库明细!E28),ISNUMBER(出库明细!F28)),IF(ABS(出库明细!G28-出库明细!E28*出库明细!F28)&gt;0.005,1,0),0)</f>
        <v>0</v>
      </c>
      <c r="O28">
        <f>IF(AND(ISNUMBER(存条明细!G28),ISNUMBER(存条明细!E28),ISNUMBER(存条明细!F28)),IF(ABS(存条明细!G28-存条明细!E28*存条明细!F28)&gt;0.005,1,0),0)</f>
        <v>0</v>
      </c>
      <c r="AA28" t="str">
        <f>IF(基础资料!G27="","",基础资料!G27&amp;"")</f>
        <v>农夫550ML水</v>
      </c>
      <c r="AB28">
        <f>IF(N(基础资料!I27)&lt;=0,1,基础资料!I27)</f>
        <v>24</v>
      </c>
      <c r="AC28">
        <f>IF(OR($AA28="",AC$5=""),0,SUMIF(INDIRECT("'"&amp;AC$5&amp;"'!C6:C1000"),$AA28,INDIRECT("'"&amp;AC$5&amp;"'!H6:H1000")))</f>
        <v>0</v>
      </c>
      <c r="AD28">
        <f>IF(OR($AA28="",AD$5=""),0,SUMIF(INDIRECT("'"&amp;AD$5&amp;"'!C6:C1000"),$AA28,INDIRECT("'"&amp;AD$5&amp;"'!H6:H1000")))</f>
        <v>0</v>
      </c>
      <c r="AE28">
        <f>IF(OR($AA28="",AE$5=""),0,SUMIF(INDIRECT("'"&amp;AE$5&amp;"'!C6:C1000"),$AA28,INDIRECT("'"&amp;AE$5&amp;"'!H6:H1000")))</f>
        <v>0</v>
      </c>
      <c r="AF28">
        <f>IF(OR($AA28="",AF$5=""),0,SUMIF(INDIRECT("'"&amp;AF$5&amp;"'!C6:C1000"),$AA28,INDIRECT("'"&amp;AF$5&amp;"'!H6:H1000")))</f>
        <v>0</v>
      </c>
      <c r="AG28">
        <f>IF(OR($AA28="",AG$5=""),0,SUMIF(INDIRECT("'"&amp;AG$5&amp;"'!C6:C1000"),$AA28,INDIRECT("'"&amp;AG$5&amp;"'!H6:H1000")))</f>
        <v>0</v>
      </c>
      <c r="AH28">
        <f>IF(OR($AA28="",AH$5=""),0,SUMIF(INDIRECT("'"&amp;AH$5&amp;"'!C6:C1000"),$AA28,INDIRECT("'"&amp;AH$5&amp;"'!H6:H1000")))</f>
        <v>0</v>
      </c>
      <c r="AI28">
        <f>IF(OR($AA28="",AI$5=""),0,SUMIF(INDIRECT("'"&amp;AI$5&amp;"'!C6:C1000"),$AA28,INDIRECT("'"&amp;AI$5&amp;"'!H6:H1000")))</f>
        <v>0</v>
      </c>
      <c r="AJ28">
        <f>IF(OR($AA28="",AJ$5=""),0,SUMIF(INDIRECT("'"&amp;AJ$5&amp;"'!C6:C1000"),$AA28,INDIRECT("'"&amp;AJ$5&amp;"'!H6:H1000")))</f>
        <v>2.502</v>
      </c>
      <c r="AK28">
        <f>IF(OR($AA28="",AK$5=""),0,SUMIF(INDIRECT("'"&amp;AK$5&amp;"'!C6:C1000"),$AA28,INDIRECT("'"&amp;AK$5&amp;"'!H6:H1000")))</f>
        <v>0</v>
      </c>
      <c r="AL28">
        <f>IF(OR($AA28="",AL$5=""),0,SUMIF(INDIRECT("'"&amp;AL$5&amp;"'!C6:C1000"),$AA28,INDIRECT("'"&amp;AL$5&amp;"'!H6:H1000")))</f>
        <v>0</v>
      </c>
      <c r="AM28">
        <f>IF(OR($AA28="",AM$5=""),0,SUMIF(INDIRECT("'"&amp;AM$5&amp;"'!C6:C1000"),$AA28,INDIRECT("'"&amp;AM$5&amp;"'!H6:H1000")))</f>
        <v>0</v>
      </c>
      <c r="AN28">
        <f>IF(OR($AA28="",AN$5=""),0,SUMIF(INDIRECT("'"&amp;AN$5&amp;"'!C6:C1000"),$AA28,INDIRECT("'"&amp;AN$5&amp;"'!H6:H1000")))</f>
        <v>0</v>
      </c>
      <c r="AO28">
        <f>IF(OR($AA28="",AC$5=""),0,SUMIF(INDIRECT("'"&amp;AC$5&amp;"'!C6:C1000"),$AA28,INDIRECT("'"&amp;AC$5&amp;"'!E6:E1000")))</f>
        <v>0</v>
      </c>
      <c r="AP28">
        <f>IF(OR($AA28="",AD$5=""),0,SUMIF(INDIRECT("'"&amp;AD$5&amp;"'!C6:C1000"),$AA28,INDIRECT("'"&amp;AD$5&amp;"'!E6:E1000")))</f>
        <v>0</v>
      </c>
      <c r="AQ28">
        <f>IF(OR($AA28="",AE$5=""),0,SUMIF(INDIRECT("'"&amp;AE$5&amp;"'!C6:C1000"),$AA28,INDIRECT("'"&amp;AE$5&amp;"'!E6:E1000")))</f>
        <v>0</v>
      </c>
      <c r="AR28">
        <f>IF(OR($AA28="",AF$5=""),0,SUMIF(INDIRECT("'"&amp;AF$5&amp;"'!C6:C1000"),$AA28,INDIRECT("'"&amp;AF$5&amp;"'!E6:E1000")))</f>
        <v>0</v>
      </c>
      <c r="AS28">
        <f>IF(OR($AA28="",AG$5=""),0,SUMIF(INDIRECT("'"&amp;AG$5&amp;"'!C6:C1000"),$AA28,INDIRECT("'"&amp;AG$5&amp;"'!E6:E1000")))</f>
        <v>0</v>
      </c>
      <c r="AT28">
        <f>IF(OR($AA28="",AH$5=""),0,SUMIF(INDIRECT("'"&amp;AH$5&amp;"'!C6:C1000"),$AA28,INDIRECT("'"&amp;AH$5&amp;"'!E6:E1000")))</f>
        <v>0</v>
      </c>
      <c r="AU28">
        <f>IF(OR($AA28="",AI$5=""),0,SUMIF(INDIRECT("'"&amp;AI$5&amp;"'!C6:C1000"),$AA28,INDIRECT("'"&amp;AI$5&amp;"'!E6:E1000")))</f>
        <v>0</v>
      </c>
      <c r="AV28">
        <f>IF(OR($AA28="",AJ$5=""),0,SUMIF(INDIRECT("'"&amp;AJ$5&amp;"'!C6:C1000"),$AA28,INDIRECT("'"&amp;AJ$5&amp;"'!E6:E1000")))</f>
        <v>3</v>
      </c>
      <c r="AW28">
        <f>IF(OR($AA28="",AK$5=""),0,SUMIF(INDIRECT("'"&amp;AK$5&amp;"'!C6:C1000"),$AA28,INDIRECT("'"&amp;AK$5&amp;"'!E6:E1000")))</f>
        <v>0</v>
      </c>
      <c r="AX28">
        <f>IF(OR($AA28="",AL$5=""),0,SUMIF(INDIRECT("'"&amp;AL$5&amp;"'!C6:C1000"),$AA28,INDIRECT("'"&amp;AL$5&amp;"'!E6:E1000")))</f>
        <v>0</v>
      </c>
      <c r="AY28">
        <f>IF(OR($AA28="",AM$5=""),0,SUMIF(INDIRECT("'"&amp;AM$5&amp;"'!C6:C1000"),$AA28,INDIRECT("'"&amp;AM$5&amp;"'!E6:E1000")))</f>
        <v>0</v>
      </c>
      <c r="AZ28">
        <f>IF(OR($AA28="",AN$5=""),0,SUMIF(INDIRECT("'"&amp;AN$5&amp;"'!C6:C1000"),$AA28,INDIRECT("'"&amp;AN$5&amp;"'!E6:E1000")))</f>
        <v>0</v>
      </c>
      <c r="BA28">
        <f>IF(OR($AA28="",AC$5=""),0,SUMIFS(INDIRECT("'"&amp;AC$5&amp;"'!E6:E1000"),INDIRECT("'"&amp;AC$5&amp;"'!C6:C1000"),$AA28,INDIRECT("'"&amp;AC$5&amp;"'!F6:F1000"),"箱")+SUMIFS(INDIRECT("'"&amp;AC$5&amp;"'!E6:E1000"),INDIRECT("'"&amp;AC$5&amp;"'!C6:C1000"),$AA28,INDIRECT("'"&amp;AC$5&amp;"'!F6:F1000"),"件"))</f>
        <v>0</v>
      </c>
      <c r="BB28">
        <f>IF(OR($AA28="",AD$5=""),0,SUMIFS(INDIRECT("'"&amp;AD$5&amp;"'!E6:E1000"),INDIRECT("'"&amp;AD$5&amp;"'!C6:C1000"),$AA28,INDIRECT("'"&amp;AD$5&amp;"'!F6:F1000"),"箱")+SUMIFS(INDIRECT("'"&amp;AD$5&amp;"'!E6:E1000"),INDIRECT("'"&amp;AD$5&amp;"'!C6:C1000"),$AA28,INDIRECT("'"&amp;AD$5&amp;"'!F6:F1000"),"件"))</f>
        <v>0</v>
      </c>
      <c r="BC28">
        <f>IF(OR($AA28="",AE$5=""),0,SUMIFS(INDIRECT("'"&amp;AE$5&amp;"'!E6:E1000"),INDIRECT("'"&amp;AE$5&amp;"'!C6:C1000"),$AA28,INDIRECT("'"&amp;AE$5&amp;"'!F6:F1000"),"箱")+SUMIFS(INDIRECT("'"&amp;AE$5&amp;"'!E6:E1000"),INDIRECT("'"&amp;AE$5&amp;"'!C6:C1000"),$AA28,INDIRECT("'"&amp;AE$5&amp;"'!F6:F1000"),"件"))</f>
        <v>0</v>
      </c>
      <c r="BD28">
        <f>IF(OR($AA28="",AF$5=""),0,SUMIFS(INDIRECT("'"&amp;AF$5&amp;"'!E6:E1000"),INDIRECT("'"&amp;AF$5&amp;"'!C6:C1000"),$AA28,INDIRECT("'"&amp;AF$5&amp;"'!F6:F1000"),"箱")+SUMIFS(INDIRECT("'"&amp;AF$5&amp;"'!E6:E1000"),INDIRECT("'"&amp;AF$5&amp;"'!C6:C1000"),$AA28,INDIRECT("'"&amp;AF$5&amp;"'!F6:F1000"),"件"))</f>
        <v>0</v>
      </c>
      <c r="BE28">
        <f>IF(OR($AA28="",AG$5=""),0,SUMIFS(INDIRECT("'"&amp;AG$5&amp;"'!E6:E1000"),INDIRECT("'"&amp;AG$5&amp;"'!C6:C1000"),$AA28,INDIRECT("'"&amp;AG$5&amp;"'!F6:F1000"),"箱")+SUMIFS(INDIRECT("'"&amp;AG$5&amp;"'!E6:E1000"),INDIRECT("'"&amp;AG$5&amp;"'!C6:C1000"),$AA28,INDIRECT("'"&amp;AG$5&amp;"'!F6:F1000"),"件"))</f>
        <v>0</v>
      </c>
      <c r="BF28">
        <f>IF(OR($AA28="",AH$5=""),0,SUMIFS(INDIRECT("'"&amp;AH$5&amp;"'!E6:E1000"),INDIRECT("'"&amp;AH$5&amp;"'!C6:C1000"),$AA28,INDIRECT("'"&amp;AH$5&amp;"'!F6:F1000"),"箱")+SUMIFS(INDIRECT("'"&amp;AH$5&amp;"'!E6:E1000"),INDIRECT("'"&amp;AH$5&amp;"'!C6:C1000"),$AA28,INDIRECT("'"&amp;AH$5&amp;"'!F6:F1000"),"件"))</f>
        <v>0</v>
      </c>
      <c r="BG28">
        <f>IF(OR($AA28="",AI$5=""),0,SUMIFS(INDIRECT("'"&amp;AI$5&amp;"'!E6:E1000"),INDIRECT("'"&amp;AI$5&amp;"'!C6:C1000"),$AA28,INDIRECT("'"&amp;AI$5&amp;"'!F6:F1000"),"箱")+SUMIFS(INDIRECT("'"&amp;AI$5&amp;"'!E6:E1000"),INDIRECT("'"&amp;AI$5&amp;"'!C6:C1000"),$AA28,INDIRECT("'"&amp;AI$5&amp;"'!F6:F1000"),"件"))</f>
        <v>0</v>
      </c>
      <c r="BH28">
        <f>IF(OR($AA28="",AJ$5=""),0,SUMIFS(INDIRECT("'"&amp;AJ$5&amp;"'!E6:E1000"),INDIRECT("'"&amp;AJ$5&amp;"'!C6:C1000"),$AA28,INDIRECT("'"&amp;AJ$5&amp;"'!F6:F1000"),"箱")+SUMIFS(INDIRECT("'"&amp;AJ$5&amp;"'!E6:E1000"),INDIRECT("'"&amp;AJ$5&amp;"'!C6:C1000"),$AA28,INDIRECT("'"&amp;AJ$5&amp;"'!F6:F1000"),"件"))</f>
        <v>0</v>
      </c>
      <c r="BI28">
        <f>IF(OR($AA28="",AK$5=""),0,SUMIFS(INDIRECT("'"&amp;AK$5&amp;"'!E6:E1000"),INDIRECT("'"&amp;AK$5&amp;"'!C6:C1000"),$AA28,INDIRECT("'"&amp;AK$5&amp;"'!F6:F1000"),"箱")+SUMIFS(INDIRECT("'"&amp;AK$5&amp;"'!E6:E1000"),INDIRECT("'"&amp;AK$5&amp;"'!C6:C1000"),$AA28,INDIRECT("'"&amp;AK$5&amp;"'!F6:F1000"),"件"))</f>
        <v>0</v>
      </c>
      <c r="BJ28">
        <f>IF(OR($AA28="",AL$5=""),0,SUMIFS(INDIRECT("'"&amp;AL$5&amp;"'!E6:E1000"),INDIRECT("'"&amp;AL$5&amp;"'!C6:C1000"),$AA28,INDIRECT("'"&amp;AL$5&amp;"'!F6:F1000"),"箱")+SUMIFS(INDIRECT("'"&amp;AL$5&amp;"'!E6:E1000"),INDIRECT("'"&amp;AL$5&amp;"'!C6:C1000"),$AA28,INDIRECT("'"&amp;AL$5&amp;"'!F6:F1000"),"件"))</f>
        <v>0</v>
      </c>
      <c r="BK28">
        <f>IF(OR($AA28="",AM$5=""),0,SUMIFS(INDIRECT("'"&amp;AM$5&amp;"'!E6:E1000"),INDIRECT("'"&amp;AM$5&amp;"'!C6:C1000"),$AA28,INDIRECT("'"&amp;AM$5&amp;"'!F6:F1000"),"箱")+SUMIFS(INDIRECT("'"&amp;AM$5&amp;"'!E6:E1000"),INDIRECT("'"&amp;AM$5&amp;"'!C6:C1000"),$AA28,INDIRECT("'"&amp;AM$5&amp;"'!F6:F1000"),"件"))</f>
        <v>0</v>
      </c>
      <c r="BL28">
        <f>IF(OR($AA28="",AN$5=""),0,SUMIFS(INDIRECT("'"&amp;AN$5&amp;"'!E6:E1000"),INDIRECT("'"&amp;AN$5&amp;"'!C6:C1000"),$AA28,INDIRECT("'"&amp;AN$5&amp;"'!F6:F1000"),"箱")+SUMIFS(INDIRECT("'"&amp;AN$5&amp;"'!E6:E1000"),INDIRECT("'"&amp;AN$5&amp;"'!C6:C1000"),$AA28,INDIRECT("'"&amp;AN$5&amp;"'!F6:F1000"),"件"))</f>
        <v>0</v>
      </c>
      <c r="BM28">
        <f>(AO28-BA28)/$AB28+BA28</f>
        <v>0</v>
      </c>
      <c r="BN28">
        <f>(AP28-BB28)/$AB28+BB28</f>
        <v>0</v>
      </c>
      <c r="BO28">
        <f>(AQ28-BC28)/$AB28+BC28</f>
        <v>0</v>
      </c>
      <c r="BP28">
        <f>(AR28-BD28)/$AB28+BD28</f>
        <v>0</v>
      </c>
      <c r="BQ28">
        <f>(AS28-BE28)/$AB28+BE28</f>
        <v>0</v>
      </c>
      <c r="BR28">
        <f>(AT28-BF28)/$AB28+BF28</f>
        <v>0</v>
      </c>
      <c r="BS28">
        <f>(AU28-BG28)/$AB28+BG28</f>
        <v>0</v>
      </c>
      <c r="BT28">
        <f>(AV28-BH28)/$AB28+BH28</f>
        <v>0.125</v>
      </c>
      <c r="BU28">
        <f>(AW28-BI28)/$AB28+BI28</f>
        <v>0</v>
      </c>
      <c r="BV28">
        <f>(AX28-BJ28)/$AB28+BJ28</f>
        <v>0</v>
      </c>
      <c r="BW28">
        <f>(AY28-BK28)/$AB28+BK28</f>
        <v>0</v>
      </c>
      <c r="BX28">
        <f>(AZ28-BL28)/$AB28+BL28</f>
        <v>0</v>
      </c>
      <c r="BY28">
        <f>SUMPRODUCT((($AC$4:$AN$4=报损汇总一览!$A$3)+(报损汇总一览!$A$3="全年"))*AC28:AN28)</f>
        <v>2.502</v>
      </c>
      <c r="BZ28">
        <f>IF(BY28&gt;0,BY28+(1000-ROW())/10000000,"")</f>
        <v>2.5020972</v>
      </c>
      <c r="CA28">
        <f>SUMPRODUCT((($AC$4:$AN$4=报损汇总一览!$A$3)+(报损汇总一览!$A$3="全年"))*AO28:AZ28)</f>
        <v>3</v>
      </c>
    </row>
    <row r="29">
      <c r="A29">
        <f>IF(OR(存条明细!C29="",存条明细!D29=""),"",IF(COUNTIFS(存条明细!$C$4:C29,存条明细!C29,存条明细!$D$4:D29,存条明细!D29)&gt;1,"",IFERROR(MATCH(存条明细!C29,总览汇总!$B$5:$B$304,0),900)*10000000+IFERROR(MATCH(存条明细!D29,基础资料!$E$5:$E$104,0),900)*10000+ROW()))</f>
        <v>40070029</v>
      </c>
      <c r="B29">
        <f>IFERROR(MATCH(SMALL($A$4:$A$4003,26),$A$4:$A$4003,0),"")</f>
        <v>18</v>
      </c>
      <c r="D29">
        <f>IF(AND(商品库存!B29&lt;&gt;"",商品库存!B29=客户查询!$B$4),COUNTIF(商品库存!$B$4:B29,客户查询!$B$4),"")</f>
      </c>
      <c r="E29">
        <f>IF(AND(商品库存!B29&lt;&gt;"",商品库存!B29=客户对账单!$B$4),COUNTIF(商品库存!$B$4:B29,客户对账单!$B$4),"")</f>
      </c>
      <c r="F29">
        <f>IF(AND(出库明细!C29&lt;&gt;"",出库明细!C29=客户对账单!$B$4,ISNUMBER(出库明细!B29),出库明细!B29&gt;=客户对账单!$G$4,出库明细!B29&lt;=客户对账单!$I$4),出库明细!B29+ROW()/100000,"")</f>
      </c>
      <c r="H29">
        <f>IF(AND(采购进货!C29&lt;&gt;"",采购进货!C29=供应商对账单!$B$4,ISNUMBER(采购进货!B29),采购进货!B29&gt;=供应商对账单!$G$4,采购进货!B29&lt;=供应商对账单!$I$4),采购进货!B29+ROW()/100000,"")</f>
      </c>
      <c r="J29">
        <f>IF(总览汇总!$B29="","",N(总览汇总!$K29)+SUMIFS(出库明细!$G$4:$G$3003,出库明细!$C$4:$C$3003,总览汇总!$B29,出库明细!$B$4:$B$3003,"&gt;="&amp;年初日,出库明细!$B$4:$B$3003,"&lt;="&amp;资产负债表!$D$3)-SUMIFS(资金台帐!$S$7:$S$3006,资金台帐!$J$7:$J$3006,总览汇总!$B29,资金台帐!$P$7:$P$3006,"应收",资金台帐!$B$7:$B$3006,"&gt;="&amp;年初日,资金台帐!$B$7:$B$3006,"&lt;="&amp;资产负债表!$D$3))</f>
        <v>-3240</v>
      </c>
      <c r="K29">
        <f>IF(基础资料!$Q29="","",N(基础资料!$R29)+SUMIFS(采购进货!$G$4:$G$1503,采购进货!$C$4:$C$1503,基础资料!$Q29,采购进货!$B$4:$B$1503,"&gt;="&amp;年初日,采购进货!$B$4:$B$1503,"&lt;="&amp;资产负债表!$D$3)+SUMIFS(资金台帐!$S$7:$S$3006,资金台帐!$K$7:$K$3006,基础资料!$Q29,资金台帐!$P$7:$P$3006,"应付",资金台帐!$B$7:$B$3006,"&gt;="&amp;年初日,资金台帐!$B$7:$B$3006,"&lt;="&amp;资产负债表!$D$3))</f>
      </c>
      <c r="N29">
        <f>IF(AND(ISNUMBER(出库明细!G29),ISNUMBER(出库明细!E29),ISNUMBER(出库明细!F29)),IF(ABS(出库明细!G29-出库明细!E29*出库明细!F29)&gt;0.005,1,0),0)</f>
        <v>0</v>
      </c>
      <c r="O29">
        <f>IF(AND(ISNUMBER(存条明细!G29),ISNUMBER(存条明细!E29),ISNUMBER(存条明细!F29)),IF(ABS(存条明细!G29-存条明细!E29*存条明细!F29)&gt;0.005,1,0),0)</f>
        <v>0</v>
      </c>
      <c r="AA29" t="str">
        <f>IF(基础资料!G28="","",基础资料!G28&amp;"")</f>
        <v>农夫550ML纯净水</v>
      </c>
      <c r="AB29">
        <f>IF(N(基础资料!I28)&lt;=0,1,基础资料!I28)</f>
        <v>24</v>
      </c>
      <c r="AC29">
        <f>IF(OR($AA29="",AC$5=""),0,SUMIF(INDIRECT("'"&amp;AC$5&amp;"'!C6:C1000"),$AA29,INDIRECT("'"&amp;AC$5&amp;"'!H6:H1000")))</f>
        <v>0</v>
      </c>
      <c r="AD29">
        <f>IF(OR($AA29="",AD$5=""),0,SUMIF(INDIRECT("'"&amp;AD$5&amp;"'!C6:C1000"),$AA29,INDIRECT("'"&amp;AD$5&amp;"'!H6:H1000")))</f>
        <v>0</v>
      </c>
      <c r="AE29">
        <f>IF(OR($AA29="",AE$5=""),0,SUMIF(INDIRECT("'"&amp;AE$5&amp;"'!C6:C1000"),$AA29,INDIRECT("'"&amp;AE$5&amp;"'!H6:H1000")))</f>
        <v>0</v>
      </c>
      <c r="AF29">
        <f>IF(OR($AA29="",AF$5=""),0,SUMIF(INDIRECT("'"&amp;AF$5&amp;"'!C6:C1000"),$AA29,INDIRECT("'"&amp;AF$5&amp;"'!H6:H1000")))</f>
        <v>0</v>
      </c>
      <c r="AG29">
        <f>IF(OR($AA29="",AG$5=""),0,SUMIF(INDIRECT("'"&amp;AG$5&amp;"'!C6:C1000"),$AA29,INDIRECT("'"&amp;AG$5&amp;"'!H6:H1000")))</f>
        <v>0</v>
      </c>
      <c r="AH29">
        <f>IF(OR($AA29="",AH$5=""),0,SUMIF(INDIRECT("'"&amp;AH$5&amp;"'!C6:C1000"),$AA29,INDIRECT("'"&amp;AH$5&amp;"'!H6:H1000")))</f>
        <v>0</v>
      </c>
      <c r="AI29">
        <f>IF(OR($AA29="",AI$5=""),0,SUMIF(INDIRECT("'"&amp;AI$5&amp;"'!C6:C1000"),$AA29,INDIRECT("'"&amp;AI$5&amp;"'!H6:H1000")))</f>
        <v>0</v>
      </c>
      <c r="AJ29">
        <f>IF(OR($AA29="",AJ$5=""),0,SUMIF(INDIRECT("'"&amp;AJ$5&amp;"'!C6:C1000"),$AA29,INDIRECT("'"&amp;AJ$5&amp;"'!H6:H1000")))</f>
        <v>169.375</v>
      </c>
      <c r="AK29">
        <f>IF(OR($AA29="",AK$5=""),0,SUMIF(INDIRECT("'"&amp;AK$5&amp;"'!C6:C1000"),$AA29,INDIRECT("'"&amp;AK$5&amp;"'!H6:H1000")))</f>
        <v>0</v>
      </c>
      <c r="AL29">
        <f>IF(OR($AA29="",AL$5=""),0,SUMIF(INDIRECT("'"&amp;AL$5&amp;"'!C6:C1000"),$AA29,INDIRECT("'"&amp;AL$5&amp;"'!H6:H1000")))</f>
        <v>0</v>
      </c>
      <c r="AM29">
        <f>IF(OR($AA29="",AM$5=""),0,SUMIF(INDIRECT("'"&amp;AM$5&amp;"'!C6:C1000"),$AA29,INDIRECT("'"&amp;AM$5&amp;"'!H6:H1000")))</f>
        <v>0</v>
      </c>
      <c r="AN29">
        <f>IF(OR($AA29="",AN$5=""),0,SUMIF(INDIRECT("'"&amp;AN$5&amp;"'!C6:C1000"),$AA29,INDIRECT("'"&amp;AN$5&amp;"'!H6:H1000")))</f>
        <v>0</v>
      </c>
      <c r="AO29">
        <f>IF(OR($AA29="",AC$5=""),0,SUMIF(INDIRECT("'"&amp;AC$5&amp;"'!C6:C1000"),$AA29,INDIRECT("'"&amp;AC$5&amp;"'!E6:E1000")))</f>
        <v>0</v>
      </c>
      <c r="AP29">
        <f>IF(OR($AA29="",AD$5=""),0,SUMIF(INDIRECT("'"&amp;AD$5&amp;"'!C6:C1000"),$AA29,INDIRECT("'"&amp;AD$5&amp;"'!E6:E1000")))</f>
        <v>0</v>
      </c>
      <c r="AQ29">
        <f>IF(OR($AA29="",AE$5=""),0,SUMIF(INDIRECT("'"&amp;AE$5&amp;"'!C6:C1000"),$AA29,INDIRECT("'"&amp;AE$5&amp;"'!E6:E1000")))</f>
        <v>0</v>
      </c>
      <c r="AR29">
        <f>IF(OR($AA29="",AF$5=""),0,SUMIF(INDIRECT("'"&amp;AF$5&amp;"'!C6:C1000"),$AA29,INDIRECT("'"&amp;AF$5&amp;"'!E6:E1000")))</f>
        <v>0</v>
      </c>
      <c r="AS29">
        <f>IF(OR($AA29="",AG$5=""),0,SUMIF(INDIRECT("'"&amp;AG$5&amp;"'!C6:C1000"),$AA29,INDIRECT("'"&amp;AG$5&amp;"'!E6:E1000")))</f>
        <v>0</v>
      </c>
      <c r="AT29">
        <f>IF(OR($AA29="",AH$5=""),0,SUMIF(INDIRECT("'"&amp;AH$5&amp;"'!C6:C1000"),$AA29,INDIRECT("'"&amp;AH$5&amp;"'!E6:E1000")))</f>
        <v>0</v>
      </c>
      <c r="AU29">
        <f>IF(OR($AA29="",AI$5=""),0,SUMIF(INDIRECT("'"&amp;AI$5&amp;"'!C6:C1000"),$AA29,INDIRECT("'"&amp;AI$5&amp;"'!E6:E1000")))</f>
        <v>0</v>
      </c>
      <c r="AV29">
        <f>IF(OR($AA29="",AJ$5=""),0,SUMIF(INDIRECT("'"&amp;AJ$5&amp;"'!C6:C1000"),$AA29,INDIRECT("'"&amp;AJ$5&amp;"'!E6:E1000")))</f>
        <v>271</v>
      </c>
      <c r="AW29">
        <f>IF(OR($AA29="",AK$5=""),0,SUMIF(INDIRECT("'"&amp;AK$5&amp;"'!C6:C1000"),$AA29,INDIRECT("'"&amp;AK$5&amp;"'!E6:E1000")))</f>
        <v>0</v>
      </c>
      <c r="AX29">
        <f>IF(OR($AA29="",AL$5=""),0,SUMIF(INDIRECT("'"&amp;AL$5&amp;"'!C6:C1000"),$AA29,INDIRECT("'"&amp;AL$5&amp;"'!E6:E1000")))</f>
        <v>0</v>
      </c>
      <c r="AY29">
        <f>IF(OR($AA29="",AM$5=""),0,SUMIF(INDIRECT("'"&amp;AM$5&amp;"'!C6:C1000"),$AA29,INDIRECT("'"&amp;AM$5&amp;"'!E6:E1000")))</f>
        <v>0</v>
      </c>
      <c r="AZ29">
        <f>IF(OR($AA29="",AN$5=""),0,SUMIF(INDIRECT("'"&amp;AN$5&amp;"'!C6:C1000"),$AA29,INDIRECT("'"&amp;AN$5&amp;"'!E6:E1000")))</f>
        <v>0</v>
      </c>
      <c r="BA29">
        <f>IF(OR($AA29="",AC$5=""),0,SUMIFS(INDIRECT("'"&amp;AC$5&amp;"'!E6:E1000"),INDIRECT("'"&amp;AC$5&amp;"'!C6:C1000"),$AA29,INDIRECT("'"&amp;AC$5&amp;"'!F6:F1000"),"箱")+SUMIFS(INDIRECT("'"&amp;AC$5&amp;"'!E6:E1000"),INDIRECT("'"&amp;AC$5&amp;"'!C6:C1000"),$AA29,INDIRECT("'"&amp;AC$5&amp;"'!F6:F1000"),"件"))</f>
        <v>0</v>
      </c>
      <c r="BB29">
        <f>IF(OR($AA29="",AD$5=""),0,SUMIFS(INDIRECT("'"&amp;AD$5&amp;"'!E6:E1000"),INDIRECT("'"&amp;AD$5&amp;"'!C6:C1000"),$AA29,INDIRECT("'"&amp;AD$5&amp;"'!F6:F1000"),"箱")+SUMIFS(INDIRECT("'"&amp;AD$5&amp;"'!E6:E1000"),INDIRECT("'"&amp;AD$5&amp;"'!C6:C1000"),$AA29,INDIRECT("'"&amp;AD$5&amp;"'!F6:F1000"),"件"))</f>
        <v>0</v>
      </c>
      <c r="BC29">
        <f>IF(OR($AA29="",AE$5=""),0,SUMIFS(INDIRECT("'"&amp;AE$5&amp;"'!E6:E1000"),INDIRECT("'"&amp;AE$5&amp;"'!C6:C1000"),$AA29,INDIRECT("'"&amp;AE$5&amp;"'!F6:F1000"),"箱")+SUMIFS(INDIRECT("'"&amp;AE$5&amp;"'!E6:E1000"),INDIRECT("'"&amp;AE$5&amp;"'!C6:C1000"),$AA29,INDIRECT("'"&amp;AE$5&amp;"'!F6:F1000"),"件"))</f>
        <v>0</v>
      </c>
      <c r="BD29">
        <f>IF(OR($AA29="",AF$5=""),0,SUMIFS(INDIRECT("'"&amp;AF$5&amp;"'!E6:E1000"),INDIRECT("'"&amp;AF$5&amp;"'!C6:C1000"),$AA29,INDIRECT("'"&amp;AF$5&amp;"'!F6:F1000"),"箱")+SUMIFS(INDIRECT("'"&amp;AF$5&amp;"'!E6:E1000"),INDIRECT("'"&amp;AF$5&amp;"'!C6:C1000"),$AA29,INDIRECT("'"&amp;AF$5&amp;"'!F6:F1000"),"件"))</f>
        <v>0</v>
      </c>
      <c r="BE29">
        <f>IF(OR($AA29="",AG$5=""),0,SUMIFS(INDIRECT("'"&amp;AG$5&amp;"'!E6:E1000"),INDIRECT("'"&amp;AG$5&amp;"'!C6:C1000"),$AA29,INDIRECT("'"&amp;AG$5&amp;"'!F6:F1000"),"箱")+SUMIFS(INDIRECT("'"&amp;AG$5&amp;"'!E6:E1000"),INDIRECT("'"&amp;AG$5&amp;"'!C6:C1000"),$AA29,INDIRECT("'"&amp;AG$5&amp;"'!F6:F1000"),"件"))</f>
        <v>0</v>
      </c>
      <c r="BF29">
        <f>IF(OR($AA29="",AH$5=""),0,SUMIFS(INDIRECT("'"&amp;AH$5&amp;"'!E6:E1000"),INDIRECT("'"&amp;AH$5&amp;"'!C6:C1000"),$AA29,INDIRECT("'"&amp;AH$5&amp;"'!F6:F1000"),"箱")+SUMIFS(INDIRECT("'"&amp;AH$5&amp;"'!E6:E1000"),INDIRECT("'"&amp;AH$5&amp;"'!C6:C1000"),$AA29,INDIRECT("'"&amp;AH$5&amp;"'!F6:F1000"),"件"))</f>
        <v>0</v>
      </c>
      <c r="BG29">
        <f>IF(OR($AA29="",AI$5=""),0,SUMIFS(INDIRECT("'"&amp;AI$5&amp;"'!E6:E1000"),INDIRECT("'"&amp;AI$5&amp;"'!C6:C1000"),$AA29,INDIRECT("'"&amp;AI$5&amp;"'!F6:F1000"),"箱")+SUMIFS(INDIRECT("'"&amp;AI$5&amp;"'!E6:E1000"),INDIRECT("'"&amp;AI$5&amp;"'!C6:C1000"),$AA29,INDIRECT("'"&amp;AI$5&amp;"'!F6:F1000"),"件"))</f>
        <v>0</v>
      </c>
      <c r="BH29">
        <f>IF(OR($AA29="",AJ$5=""),0,SUMIFS(INDIRECT("'"&amp;AJ$5&amp;"'!E6:E1000"),INDIRECT("'"&amp;AJ$5&amp;"'!C6:C1000"),$AA29,INDIRECT("'"&amp;AJ$5&amp;"'!F6:F1000"),"箱")+SUMIFS(INDIRECT("'"&amp;AJ$5&amp;"'!E6:E1000"),INDIRECT("'"&amp;AJ$5&amp;"'!C6:C1000"),$AA29,INDIRECT("'"&amp;AJ$5&amp;"'!F6:F1000"),"件"))</f>
        <v>0</v>
      </c>
      <c r="BI29">
        <f>IF(OR($AA29="",AK$5=""),0,SUMIFS(INDIRECT("'"&amp;AK$5&amp;"'!E6:E1000"),INDIRECT("'"&amp;AK$5&amp;"'!C6:C1000"),$AA29,INDIRECT("'"&amp;AK$5&amp;"'!F6:F1000"),"箱")+SUMIFS(INDIRECT("'"&amp;AK$5&amp;"'!E6:E1000"),INDIRECT("'"&amp;AK$5&amp;"'!C6:C1000"),$AA29,INDIRECT("'"&amp;AK$5&amp;"'!F6:F1000"),"件"))</f>
        <v>0</v>
      </c>
      <c r="BJ29">
        <f>IF(OR($AA29="",AL$5=""),0,SUMIFS(INDIRECT("'"&amp;AL$5&amp;"'!E6:E1000"),INDIRECT("'"&amp;AL$5&amp;"'!C6:C1000"),$AA29,INDIRECT("'"&amp;AL$5&amp;"'!F6:F1000"),"箱")+SUMIFS(INDIRECT("'"&amp;AL$5&amp;"'!E6:E1000"),INDIRECT("'"&amp;AL$5&amp;"'!C6:C1000"),$AA29,INDIRECT("'"&amp;AL$5&amp;"'!F6:F1000"),"件"))</f>
        <v>0</v>
      </c>
      <c r="BK29">
        <f>IF(OR($AA29="",AM$5=""),0,SUMIFS(INDIRECT("'"&amp;AM$5&amp;"'!E6:E1000"),INDIRECT("'"&amp;AM$5&amp;"'!C6:C1000"),$AA29,INDIRECT("'"&amp;AM$5&amp;"'!F6:F1000"),"箱")+SUMIFS(INDIRECT("'"&amp;AM$5&amp;"'!E6:E1000"),INDIRECT("'"&amp;AM$5&amp;"'!C6:C1000"),$AA29,INDIRECT("'"&amp;AM$5&amp;"'!F6:F1000"),"件"))</f>
        <v>0</v>
      </c>
      <c r="BL29">
        <f>IF(OR($AA29="",AN$5=""),0,SUMIFS(INDIRECT("'"&amp;AN$5&amp;"'!E6:E1000"),INDIRECT("'"&amp;AN$5&amp;"'!C6:C1000"),$AA29,INDIRECT("'"&amp;AN$5&amp;"'!F6:F1000"),"箱")+SUMIFS(INDIRECT("'"&amp;AN$5&amp;"'!E6:E1000"),INDIRECT("'"&amp;AN$5&amp;"'!C6:C1000"),$AA29,INDIRECT("'"&amp;AN$5&amp;"'!F6:F1000"),"件"))</f>
        <v>0</v>
      </c>
      <c r="BM29">
        <f>(AO29-BA29)/$AB29+BA29</f>
        <v>0</v>
      </c>
      <c r="BN29">
        <f>(AP29-BB29)/$AB29+BB29</f>
        <v>0</v>
      </c>
      <c r="BO29">
        <f>(AQ29-BC29)/$AB29+BC29</f>
        <v>0</v>
      </c>
      <c r="BP29">
        <f>(AR29-BD29)/$AB29+BD29</f>
        <v>0</v>
      </c>
      <c r="BQ29">
        <f>(AS29-BE29)/$AB29+BE29</f>
        <v>0</v>
      </c>
      <c r="BR29">
        <f>(AT29-BF29)/$AB29+BF29</f>
        <v>0</v>
      </c>
      <c r="BS29">
        <f>(AU29-BG29)/$AB29+BG29</f>
        <v>0</v>
      </c>
      <c r="BT29">
        <f>(AV29-BH29)/$AB29+BH29</f>
        <v>11.2916666666667</v>
      </c>
      <c r="BU29">
        <f>(AW29-BI29)/$AB29+BI29</f>
        <v>0</v>
      </c>
      <c r="BV29">
        <f>(AX29-BJ29)/$AB29+BJ29</f>
        <v>0</v>
      </c>
      <c r="BW29">
        <f>(AY29-BK29)/$AB29+BK29</f>
        <v>0</v>
      </c>
      <c r="BX29">
        <f>(AZ29-BL29)/$AB29+BL29</f>
        <v>0</v>
      </c>
      <c r="BY29">
        <f>SUMPRODUCT((($AC$4:$AN$4=报损汇总一览!$A$3)+(报损汇总一览!$A$3="全年"))*AC29:AN29)</f>
        <v>169.375</v>
      </c>
      <c r="BZ29">
        <f>IF(BY29&gt;0,BY29+(1000-ROW())/10000000,"")</f>
        <v>169.3750971</v>
      </c>
      <c r="CA29">
        <f>SUMPRODUCT((($AC$4:$AN$4=报损汇总一览!$A$3)+(报损汇总一览!$A$3="全年"))*AO29:AZ29)</f>
        <v>271</v>
      </c>
    </row>
    <row r="30">
      <c r="A30">
        <f>IF(OR(存条明细!C30="",存条明细!D30=""),"",IF(COUNTIFS(存条明细!$C$4:C30,存条明细!C30,存条明细!$D$4:D30,存条明细!D30)&gt;1,"",IFERROR(MATCH(存条明细!C30,总览汇总!$B$5:$B$304,0),900)*10000000+IFERROR(MATCH(存条明细!D30,基础资料!$E$5:$E$104,0),900)*10000+ROW()))</f>
        <v>40050030</v>
      </c>
      <c r="B30">
        <f>IFERROR(MATCH(SMALL($A$4:$A$4003,27),$A$4:$A$4003,0),"")</f>
        <v>19</v>
      </c>
      <c r="D30">
        <f>IF(AND(商品库存!B30&lt;&gt;"",商品库存!B30=客户查询!$B$4),COUNTIF(商品库存!$B$4:B30,客户查询!$B$4),"")</f>
      </c>
      <c r="E30">
        <f>IF(AND(商品库存!B30&lt;&gt;"",商品库存!B30=客户对账单!$B$4),COUNTIF(商品库存!$B$4:B30,客户对账单!$B$4),"")</f>
      </c>
      <c r="F30">
        <f>IF(AND(出库明细!C30&lt;&gt;"",出库明细!C30=客户对账单!$B$4,ISNUMBER(出库明细!B30),出库明细!B30&gt;=客户对账单!$G$4,出库明细!B30&lt;=客户对账单!$I$4),出库明细!B30+ROW()/100000,"")</f>
      </c>
      <c r="H30">
        <f>IF(AND(采购进货!C30&lt;&gt;"",采购进货!C30=供应商对账单!$B$4,ISNUMBER(采购进货!B30),采购进货!B30&gt;=供应商对账单!$G$4,采购进货!B30&lt;=供应商对账单!$I$4),采购进货!B30+ROW()/100000,"")</f>
      </c>
      <c r="J30">
        <f>IF(总览汇总!$B30="","",N(总览汇总!$K30)+SUMIFS(出库明细!$G$4:$G$3003,出库明细!$C$4:$C$3003,总览汇总!$B30,出库明细!$B$4:$B$3003,"&gt;="&amp;年初日,出库明细!$B$4:$B$3003,"&lt;="&amp;资产负债表!$D$3)-SUMIFS(资金台帐!$S$7:$S$3006,资金台帐!$J$7:$J$3006,总览汇总!$B30,资金台帐!$P$7:$P$3006,"应收",资金台帐!$B$7:$B$3006,"&gt;="&amp;年初日,资金台帐!$B$7:$B$3006,"&lt;="&amp;资产负债表!$D$3))</f>
        <v>-704</v>
      </c>
      <c r="K30">
        <f>IF(基础资料!$Q30="","",N(基础资料!$R30)+SUMIFS(采购进货!$G$4:$G$1503,采购进货!$C$4:$C$1503,基础资料!$Q30,采购进货!$B$4:$B$1503,"&gt;="&amp;年初日,采购进货!$B$4:$B$1503,"&lt;="&amp;资产负债表!$D$3)+SUMIFS(资金台帐!$S$7:$S$3006,资金台帐!$K$7:$K$3006,基础资料!$Q30,资金台帐!$P$7:$P$3006,"应付",资金台帐!$B$7:$B$3006,"&gt;="&amp;年初日,资金台帐!$B$7:$B$3006,"&lt;="&amp;资产负债表!$D$3))</f>
      </c>
      <c r="N30">
        <f>IF(AND(ISNUMBER(出库明细!G30),ISNUMBER(出库明细!E30),ISNUMBER(出库明细!F30)),IF(ABS(出库明细!G30-出库明细!E30*出库明细!F30)&gt;0.005,1,0),0)</f>
        <v>0</v>
      </c>
      <c r="O30">
        <f>IF(AND(ISNUMBER(存条明细!G30),ISNUMBER(存条明细!E30),ISNUMBER(存条明细!F30)),IF(ABS(存条明细!G30-存条明细!E30*存条明细!F30)&gt;0.005,1,0),0)</f>
        <v>0</v>
      </c>
      <c r="AA30">
        <f>IF(基础资料!G29="","",基础资料!G29&amp;"")</f>
      </c>
      <c r="AB30">
        <f>IF(N(基础资料!I29)&lt;=0,1,基础资料!I29)</f>
        <v>12</v>
      </c>
      <c r="AC30">
        <f>IF(OR($AA30="",AC$5=""),0,SUMIF(INDIRECT("'"&amp;AC$5&amp;"'!C6:C1000"),$AA30,INDIRECT("'"&amp;AC$5&amp;"'!H6:H1000")))</f>
        <v>0</v>
      </c>
      <c r="AD30">
        <f>IF(OR($AA30="",AD$5=""),0,SUMIF(INDIRECT("'"&amp;AD$5&amp;"'!C6:C1000"),$AA30,INDIRECT("'"&amp;AD$5&amp;"'!H6:H1000")))</f>
        <v>0</v>
      </c>
      <c r="AE30">
        <f>IF(OR($AA30="",AE$5=""),0,SUMIF(INDIRECT("'"&amp;AE$5&amp;"'!C6:C1000"),$AA30,INDIRECT("'"&amp;AE$5&amp;"'!H6:H1000")))</f>
        <v>0</v>
      </c>
      <c r="AF30">
        <f>IF(OR($AA30="",AF$5=""),0,SUMIF(INDIRECT("'"&amp;AF$5&amp;"'!C6:C1000"),$AA30,INDIRECT("'"&amp;AF$5&amp;"'!H6:H1000")))</f>
        <v>0</v>
      </c>
      <c r="AG30">
        <f>IF(OR($AA30="",AG$5=""),0,SUMIF(INDIRECT("'"&amp;AG$5&amp;"'!C6:C1000"),$AA30,INDIRECT("'"&amp;AG$5&amp;"'!H6:H1000")))</f>
        <v>0</v>
      </c>
      <c r="AH30">
        <f>IF(OR($AA30="",AH$5=""),0,SUMIF(INDIRECT("'"&amp;AH$5&amp;"'!C6:C1000"),$AA30,INDIRECT("'"&amp;AH$5&amp;"'!H6:H1000")))</f>
        <v>0</v>
      </c>
      <c r="AI30">
        <f>IF(OR($AA30="",AI$5=""),0,SUMIF(INDIRECT("'"&amp;AI$5&amp;"'!C6:C1000"),$AA30,INDIRECT("'"&amp;AI$5&amp;"'!H6:H1000")))</f>
        <v>0</v>
      </c>
      <c r="AJ30">
        <f>IF(OR($AA30="",AJ$5=""),0,SUMIF(INDIRECT("'"&amp;AJ$5&amp;"'!C6:C1000"),$AA30,INDIRECT("'"&amp;AJ$5&amp;"'!H6:H1000")))</f>
        <v>0</v>
      </c>
      <c r="AK30">
        <f>IF(OR($AA30="",AK$5=""),0,SUMIF(INDIRECT("'"&amp;AK$5&amp;"'!C6:C1000"),$AA30,INDIRECT("'"&amp;AK$5&amp;"'!H6:H1000")))</f>
        <v>0</v>
      </c>
      <c r="AL30">
        <f>IF(OR($AA30="",AL$5=""),0,SUMIF(INDIRECT("'"&amp;AL$5&amp;"'!C6:C1000"),$AA30,INDIRECT("'"&amp;AL$5&amp;"'!H6:H1000")))</f>
        <v>0</v>
      </c>
      <c r="AM30">
        <f>IF(OR($AA30="",AM$5=""),0,SUMIF(INDIRECT("'"&amp;AM$5&amp;"'!C6:C1000"),$AA30,INDIRECT("'"&amp;AM$5&amp;"'!H6:H1000")))</f>
        <v>0</v>
      </c>
      <c r="AN30">
        <f>IF(OR($AA30="",AN$5=""),0,SUMIF(INDIRECT("'"&amp;AN$5&amp;"'!C6:C1000"),$AA30,INDIRECT("'"&amp;AN$5&amp;"'!H6:H1000")))</f>
        <v>0</v>
      </c>
      <c r="AO30">
        <f>IF(OR($AA30="",AC$5=""),0,SUMIF(INDIRECT("'"&amp;AC$5&amp;"'!C6:C1000"),$AA30,INDIRECT("'"&amp;AC$5&amp;"'!E6:E1000")))</f>
        <v>0</v>
      </c>
      <c r="AP30">
        <f>IF(OR($AA30="",AD$5=""),0,SUMIF(INDIRECT("'"&amp;AD$5&amp;"'!C6:C1000"),$AA30,INDIRECT("'"&amp;AD$5&amp;"'!E6:E1000")))</f>
        <v>0</v>
      </c>
      <c r="AQ30">
        <f>IF(OR($AA30="",AE$5=""),0,SUMIF(INDIRECT("'"&amp;AE$5&amp;"'!C6:C1000"),$AA30,INDIRECT("'"&amp;AE$5&amp;"'!E6:E1000")))</f>
        <v>0</v>
      </c>
      <c r="AR30">
        <f>IF(OR($AA30="",AF$5=""),0,SUMIF(INDIRECT("'"&amp;AF$5&amp;"'!C6:C1000"),$AA30,INDIRECT("'"&amp;AF$5&amp;"'!E6:E1000")))</f>
        <v>0</v>
      </c>
      <c r="AS30">
        <f>IF(OR($AA30="",AG$5=""),0,SUMIF(INDIRECT("'"&amp;AG$5&amp;"'!C6:C1000"),$AA30,INDIRECT("'"&amp;AG$5&amp;"'!E6:E1000")))</f>
        <v>0</v>
      </c>
      <c r="AT30">
        <f>IF(OR($AA30="",AH$5=""),0,SUMIF(INDIRECT("'"&amp;AH$5&amp;"'!C6:C1000"),$AA30,INDIRECT("'"&amp;AH$5&amp;"'!E6:E1000")))</f>
        <v>0</v>
      </c>
      <c r="AU30">
        <f>IF(OR($AA30="",AI$5=""),0,SUMIF(INDIRECT("'"&amp;AI$5&amp;"'!C6:C1000"),$AA30,INDIRECT("'"&amp;AI$5&amp;"'!E6:E1000")))</f>
        <v>0</v>
      </c>
      <c r="AV30">
        <f>IF(OR($AA30="",AJ$5=""),0,SUMIF(INDIRECT("'"&amp;AJ$5&amp;"'!C6:C1000"),$AA30,INDIRECT("'"&amp;AJ$5&amp;"'!E6:E1000")))</f>
        <v>0</v>
      </c>
      <c r="AW30">
        <f>IF(OR($AA30="",AK$5=""),0,SUMIF(INDIRECT("'"&amp;AK$5&amp;"'!C6:C1000"),$AA30,INDIRECT("'"&amp;AK$5&amp;"'!E6:E1000")))</f>
        <v>0</v>
      </c>
      <c r="AX30">
        <f>IF(OR($AA30="",AL$5=""),0,SUMIF(INDIRECT("'"&amp;AL$5&amp;"'!C6:C1000"),$AA30,INDIRECT("'"&amp;AL$5&amp;"'!E6:E1000")))</f>
        <v>0</v>
      </c>
      <c r="AY30">
        <f>IF(OR($AA30="",AM$5=""),0,SUMIF(INDIRECT("'"&amp;AM$5&amp;"'!C6:C1000"),$AA30,INDIRECT("'"&amp;AM$5&amp;"'!E6:E1000")))</f>
        <v>0</v>
      </c>
      <c r="AZ30">
        <f>IF(OR($AA30="",AN$5=""),0,SUMIF(INDIRECT("'"&amp;AN$5&amp;"'!C6:C1000"),$AA30,INDIRECT("'"&amp;AN$5&amp;"'!E6:E1000")))</f>
        <v>0</v>
      </c>
      <c r="BA30">
        <f>IF(OR($AA30="",AC$5=""),0,SUMIFS(INDIRECT("'"&amp;AC$5&amp;"'!E6:E1000"),INDIRECT("'"&amp;AC$5&amp;"'!C6:C1000"),$AA30,INDIRECT("'"&amp;AC$5&amp;"'!F6:F1000"),"箱")+SUMIFS(INDIRECT("'"&amp;AC$5&amp;"'!E6:E1000"),INDIRECT("'"&amp;AC$5&amp;"'!C6:C1000"),$AA30,INDIRECT("'"&amp;AC$5&amp;"'!F6:F1000"),"件"))</f>
        <v>0</v>
      </c>
      <c r="BB30">
        <f>IF(OR($AA30="",AD$5=""),0,SUMIFS(INDIRECT("'"&amp;AD$5&amp;"'!E6:E1000"),INDIRECT("'"&amp;AD$5&amp;"'!C6:C1000"),$AA30,INDIRECT("'"&amp;AD$5&amp;"'!F6:F1000"),"箱")+SUMIFS(INDIRECT("'"&amp;AD$5&amp;"'!E6:E1000"),INDIRECT("'"&amp;AD$5&amp;"'!C6:C1000"),$AA30,INDIRECT("'"&amp;AD$5&amp;"'!F6:F1000"),"件"))</f>
        <v>0</v>
      </c>
      <c r="BC30">
        <f>IF(OR($AA30="",AE$5=""),0,SUMIFS(INDIRECT("'"&amp;AE$5&amp;"'!E6:E1000"),INDIRECT("'"&amp;AE$5&amp;"'!C6:C1000"),$AA30,INDIRECT("'"&amp;AE$5&amp;"'!F6:F1000"),"箱")+SUMIFS(INDIRECT("'"&amp;AE$5&amp;"'!E6:E1000"),INDIRECT("'"&amp;AE$5&amp;"'!C6:C1000"),$AA30,INDIRECT("'"&amp;AE$5&amp;"'!F6:F1000"),"件"))</f>
        <v>0</v>
      </c>
      <c r="BD30">
        <f>IF(OR($AA30="",AF$5=""),0,SUMIFS(INDIRECT("'"&amp;AF$5&amp;"'!E6:E1000"),INDIRECT("'"&amp;AF$5&amp;"'!C6:C1000"),$AA30,INDIRECT("'"&amp;AF$5&amp;"'!F6:F1000"),"箱")+SUMIFS(INDIRECT("'"&amp;AF$5&amp;"'!E6:E1000"),INDIRECT("'"&amp;AF$5&amp;"'!C6:C1000"),$AA30,INDIRECT("'"&amp;AF$5&amp;"'!F6:F1000"),"件"))</f>
        <v>0</v>
      </c>
      <c r="BE30">
        <f>IF(OR($AA30="",AG$5=""),0,SUMIFS(INDIRECT("'"&amp;AG$5&amp;"'!E6:E1000"),INDIRECT("'"&amp;AG$5&amp;"'!C6:C1000"),$AA30,INDIRECT("'"&amp;AG$5&amp;"'!F6:F1000"),"箱")+SUMIFS(INDIRECT("'"&amp;AG$5&amp;"'!E6:E1000"),INDIRECT("'"&amp;AG$5&amp;"'!C6:C1000"),$AA30,INDIRECT("'"&amp;AG$5&amp;"'!F6:F1000"),"件"))</f>
        <v>0</v>
      </c>
      <c r="BF30">
        <f>IF(OR($AA30="",AH$5=""),0,SUMIFS(INDIRECT("'"&amp;AH$5&amp;"'!E6:E1000"),INDIRECT("'"&amp;AH$5&amp;"'!C6:C1000"),$AA30,INDIRECT("'"&amp;AH$5&amp;"'!F6:F1000"),"箱")+SUMIFS(INDIRECT("'"&amp;AH$5&amp;"'!E6:E1000"),INDIRECT("'"&amp;AH$5&amp;"'!C6:C1000"),$AA30,INDIRECT("'"&amp;AH$5&amp;"'!F6:F1000"),"件"))</f>
        <v>0</v>
      </c>
      <c r="BG30">
        <f>IF(OR($AA30="",AI$5=""),0,SUMIFS(INDIRECT("'"&amp;AI$5&amp;"'!E6:E1000"),INDIRECT("'"&amp;AI$5&amp;"'!C6:C1000"),$AA30,INDIRECT("'"&amp;AI$5&amp;"'!F6:F1000"),"箱")+SUMIFS(INDIRECT("'"&amp;AI$5&amp;"'!E6:E1000"),INDIRECT("'"&amp;AI$5&amp;"'!C6:C1000"),$AA30,INDIRECT("'"&amp;AI$5&amp;"'!F6:F1000"),"件"))</f>
        <v>0</v>
      </c>
      <c r="BH30">
        <f>IF(OR($AA30="",AJ$5=""),0,SUMIFS(INDIRECT("'"&amp;AJ$5&amp;"'!E6:E1000"),INDIRECT("'"&amp;AJ$5&amp;"'!C6:C1000"),$AA30,INDIRECT("'"&amp;AJ$5&amp;"'!F6:F1000"),"箱")+SUMIFS(INDIRECT("'"&amp;AJ$5&amp;"'!E6:E1000"),INDIRECT("'"&amp;AJ$5&amp;"'!C6:C1000"),$AA30,INDIRECT("'"&amp;AJ$5&amp;"'!F6:F1000"),"件"))</f>
        <v>0</v>
      </c>
      <c r="BI30">
        <f>IF(OR($AA30="",AK$5=""),0,SUMIFS(INDIRECT("'"&amp;AK$5&amp;"'!E6:E1000"),INDIRECT("'"&amp;AK$5&amp;"'!C6:C1000"),$AA30,INDIRECT("'"&amp;AK$5&amp;"'!F6:F1000"),"箱")+SUMIFS(INDIRECT("'"&amp;AK$5&amp;"'!E6:E1000"),INDIRECT("'"&amp;AK$5&amp;"'!C6:C1000"),$AA30,INDIRECT("'"&amp;AK$5&amp;"'!F6:F1000"),"件"))</f>
        <v>0</v>
      </c>
      <c r="BJ30">
        <f>IF(OR($AA30="",AL$5=""),0,SUMIFS(INDIRECT("'"&amp;AL$5&amp;"'!E6:E1000"),INDIRECT("'"&amp;AL$5&amp;"'!C6:C1000"),$AA30,INDIRECT("'"&amp;AL$5&amp;"'!F6:F1000"),"箱")+SUMIFS(INDIRECT("'"&amp;AL$5&amp;"'!E6:E1000"),INDIRECT("'"&amp;AL$5&amp;"'!C6:C1000"),$AA30,INDIRECT("'"&amp;AL$5&amp;"'!F6:F1000"),"件"))</f>
        <v>0</v>
      </c>
      <c r="BK30">
        <f>IF(OR($AA30="",AM$5=""),0,SUMIFS(INDIRECT("'"&amp;AM$5&amp;"'!E6:E1000"),INDIRECT("'"&amp;AM$5&amp;"'!C6:C1000"),$AA30,INDIRECT("'"&amp;AM$5&amp;"'!F6:F1000"),"箱")+SUMIFS(INDIRECT("'"&amp;AM$5&amp;"'!E6:E1000"),INDIRECT("'"&amp;AM$5&amp;"'!C6:C1000"),$AA30,INDIRECT("'"&amp;AM$5&amp;"'!F6:F1000"),"件"))</f>
        <v>0</v>
      </c>
      <c r="BL30">
        <f>IF(OR($AA30="",AN$5=""),0,SUMIFS(INDIRECT("'"&amp;AN$5&amp;"'!E6:E1000"),INDIRECT("'"&amp;AN$5&amp;"'!C6:C1000"),$AA30,INDIRECT("'"&amp;AN$5&amp;"'!F6:F1000"),"箱")+SUMIFS(INDIRECT("'"&amp;AN$5&amp;"'!E6:E1000"),INDIRECT("'"&amp;AN$5&amp;"'!C6:C1000"),$AA30,INDIRECT("'"&amp;AN$5&amp;"'!F6:F1000"),"件"))</f>
        <v>0</v>
      </c>
      <c r="BM30">
        <f>(AO30-BA30)/$AB30+BA30</f>
        <v>0</v>
      </c>
      <c r="BN30">
        <f>(AP30-BB30)/$AB30+BB30</f>
        <v>0</v>
      </c>
      <c r="BO30">
        <f>(AQ30-BC30)/$AB30+BC30</f>
        <v>0</v>
      </c>
      <c r="BP30">
        <f>(AR30-BD30)/$AB30+BD30</f>
        <v>0</v>
      </c>
      <c r="BQ30">
        <f>(AS30-BE30)/$AB30+BE30</f>
        <v>0</v>
      </c>
      <c r="BR30">
        <f>(AT30-BF30)/$AB30+BF30</f>
        <v>0</v>
      </c>
      <c r="BS30">
        <f>(AU30-BG30)/$AB30+BG30</f>
        <v>0</v>
      </c>
      <c r="BT30">
        <f>(AV30-BH30)/$AB30+BH30</f>
        <v>0</v>
      </c>
      <c r="BU30">
        <f>(AW30-BI30)/$AB30+BI30</f>
        <v>0</v>
      </c>
      <c r="BV30">
        <f>(AX30-BJ30)/$AB30+BJ30</f>
        <v>0</v>
      </c>
      <c r="BW30">
        <f>(AY30-BK30)/$AB30+BK30</f>
        <v>0</v>
      </c>
      <c r="BX30">
        <f>(AZ30-BL30)/$AB30+BL30</f>
        <v>0</v>
      </c>
      <c r="BY30">
        <f>SUMPRODUCT((($AC$4:$AN$4=报损汇总一览!$A$3)+(报损汇总一览!$A$3="全年"))*AC30:AN30)</f>
        <v>0</v>
      </c>
      <c r="BZ30">
        <f>IF(BY30&gt;0,BY30+(1000-ROW())/10000000,"")</f>
      </c>
      <c r="CA30">
        <f>SUMPRODUCT((($AC$4:$AN$4=报损汇总一览!$A$3)+(报损汇总一览!$A$3="全年"))*AO30:AZ30)</f>
        <v>0</v>
      </c>
    </row>
    <row r="31">
      <c r="A31">
        <f>IF(OR(存条明细!C31="",存条明细!D31=""),"",IF(COUNTIFS(存条明细!$C$4:C31,存条明细!C31,存条明细!$D$4:D31,存条明细!D31)&gt;1,"",IFERROR(MATCH(存条明细!C31,总览汇总!$B$5:$B$304,0),900)*10000000+IFERROR(MATCH(存条明细!D31,基础资料!$E$5:$E$104,0),900)*10000+ROW()))</f>
        <v>40110031</v>
      </c>
      <c r="B31">
        <f>IFERROR(MATCH(SMALL($A$4:$A$4003,28),$A$4:$A$4003,0),"")</f>
        <v>20</v>
      </c>
      <c r="D31">
        <f>IF(AND(商品库存!B31&lt;&gt;"",商品库存!B31=客户查询!$B$4),COUNTIF(商品库存!$B$4:B31,客户查询!$B$4),"")</f>
      </c>
      <c r="E31">
        <f>IF(AND(商品库存!B31&lt;&gt;"",商品库存!B31=客户对账单!$B$4),COUNTIF(商品库存!$B$4:B31,客户对账单!$B$4),"")</f>
      </c>
      <c r="F31">
        <f>IF(AND(出库明细!C31&lt;&gt;"",出库明细!C31=客户对账单!$B$4,ISNUMBER(出库明细!B31),出库明细!B31&gt;=客户对账单!$G$4,出库明细!B31&lt;=客户对账单!$I$4),出库明细!B31+ROW()/100000,"")</f>
      </c>
      <c r="H31">
        <f>IF(AND(采购进货!C31&lt;&gt;"",采购进货!C31=供应商对账单!$B$4,ISNUMBER(采购进货!B31),采购进货!B31&gt;=供应商对账单!$G$4,采购进货!B31&lt;=供应商对账单!$I$4),采购进货!B31+ROW()/100000,"")</f>
      </c>
      <c r="J31">
        <f>IF(总览汇总!$B31="","",N(总览汇总!$K31)+SUMIFS(出库明细!$G$4:$G$3003,出库明细!$C$4:$C$3003,总览汇总!$B31,出库明细!$B$4:$B$3003,"&gt;="&amp;年初日,出库明细!$B$4:$B$3003,"&lt;="&amp;资产负债表!$D$3)-SUMIFS(资金台帐!$S$7:$S$3006,资金台帐!$J$7:$J$3006,总览汇总!$B31,资金台帐!$P$7:$P$3006,"应收",资金台帐!$B$7:$B$3006,"&gt;="&amp;年初日,资金台帐!$B$7:$B$3006,"&lt;="&amp;资产负债表!$D$3))</f>
        <v>-2506</v>
      </c>
      <c r="K31">
        <f>IF(基础资料!$Q31="","",N(基础资料!$R31)+SUMIFS(采购进货!$G$4:$G$1503,采购进货!$C$4:$C$1503,基础资料!$Q31,采购进货!$B$4:$B$1503,"&gt;="&amp;年初日,采购进货!$B$4:$B$1503,"&lt;="&amp;资产负债表!$D$3)+SUMIFS(资金台帐!$S$7:$S$3006,资金台帐!$K$7:$K$3006,基础资料!$Q31,资金台帐!$P$7:$P$3006,"应付",资金台帐!$B$7:$B$3006,"&gt;="&amp;年初日,资金台帐!$B$7:$B$3006,"&lt;="&amp;资产负债表!$D$3))</f>
      </c>
      <c r="N31">
        <f>IF(AND(ISNUMBER(出库明细!G31),ISNUMBER(出库明细!E31),ISNUMBER(出库明细!F31)),IF(ABS(出库明细!G31-出库明细!E31*出库明细!F31)&gt;0.005,1,0),0)</f>
        <v>0</v>
      </c>
      <c r="O31">
        <f>IF(AND(ISNUMBER(存条明细!G31),ISNUMBER(存条明细!E31),ISNUMBER(存条明细!F31)),IF(ABS(存条明细!G31-存条明细!E31*存条明细!F31)&gt;0.005,1,0),0)</f>
        <v>0</v>
      </c>
      <c r="AA31" t="str">
        <f>IF(基础资料!G30="","",基础资料!G30&amp;"")</f>
        <v>农夫1.5L水</v>
      </c>
      <c r="AB31">
        <f>IF(N(基础资料!I30)&lt;=0,1,基础资料!I30)</f>
        <v>12</v>
      </c>
      <c r="AC31">
        <f>IF(OR($AA31="",AC$5=""),0,SUMIF(INDIRECT("'"&amp;AC$5&amp;"'!C6:C1000"),$AA31,INDIRECT("'"&amp;AC$5&amp;"'!H6:H1000")))</f>
        <v>0</v>
      </c>
      <c r="AD31">
        <f>IF(OR($AA31="",AD$5=""),0,SUMIF(INDIRECT("'"&amp;AD$5&amp;"'!C6:C1000"),$AA31,INDIRECT("'"&amp;AD$5&amp;"'!H6:H1000")))</f>
        <v>0</v>
      </c>
      <c r="AE31">
        <f>IF(OR($AA31="",AE$5=""),0,SUMIF(INDIRECT("'"&amp;AE$5&amp;"'!C6:C1000"),$AA31,INDIRECT("'"&amp;AE$5&amp;"'!H6:H1000")))</f>
        <v>0</v>
      </c>
      <c r="AF31">
        <f>IF(OR($AA31="",AF$5=""),0,SUMIF(INDIRECT("'"&amp;AF$5&amp;"'!C6:C1000"),$AA31,INDIRECT("'"&amp;AF$5&amp;"'!H6:H1000")))</f>
        <v>0</v>
      </c>
      <c r="AG31">
        <f>IF(OR($AA31="",AG$5=""),0,SUMIF(INDIRECT("'"&amp;AG$5&amp;"'!C6:C1000"),$AA31,INDIRECT("'"&amp;AG$5&amp;"'!H6:H1000")))</f>
        <v>0</v>
      </c>
      <c r="AH31">
        <f>IF(OR($AA31="",AH$5=""),0,SUMIF(INDIRECT("'"&amp;AH$5&amp;"'!C6:C1000"),$AA31,INDIRECT("'"&amp;AH$5&amp;"'!H6:H1000")))</f>
        <v>0</v>
      </c>
      <c r="AI31">
        <f>IF(OR($AA31="",AI$5=""),0,SUMIF(INDIRECT("'"&amp;AI$5&amp;"'!C6:C1000"),$AA31,INDIRECT("'"&amp;AI$5&amp;"'!H6:H1000")))</f>
        <v>0</v>
      </c>
      <c r="AJ31">
        <f>IF(OR($AA31="",AJ$5=""),0,SUMIF(INDIRECT("'"&amp;AJ$5&amp;"'!C6:C1000"),$AA31,INDIRECT("'"&amp;AJ$5&amp;"'!H6:H1000")))</f>
        <v>60.012</v>
      </c>
      <c r="AK31">
        <f>IF(OR($AA31="",AK$5=""),0,SUMIF(INDIRECT("'"&amp;AK$5&amp;"'!C6:C1000"),$AA31,INDIRECT("'"&amp;AK$5&amp;"'!H6:H1000")))</f>
        <v>0</v>
      </c>
      <c r="AL31">
        <f>IF(OR($AA31="",AL$5=""),0,SUMIF(INDIRECT("'"&amp;AL$5&amp;"'!C6:C1000"),$AA31,INDIRECT("'"&amp;AL$5&amp;"'!H6:H1000")))</f>
        <v>0</v>
      </c>
      <c r="AM31">
        <f>IF(OR($AA31="",AM$5=""),0,SUMIF(INDIRECT("'"&amp;AM$5&amp;"'!C6:C1000"),$AA31,INDIRECT("'"&amp;AM$5&amp;"'!H6:H1000")))</f>
        <v>0</v>
      </c>
      <c r="AN31">
        <f>IF(OR($AA31="",AN$5=""),0,SUMIF(INDIRECT("'"&amp;AN$5&amp;"'!C6:C1000"),$AA31,INDIRECT("'"&amp;AN$5&amp;"'!H6:H1000")))</f>
        <v>0</v>
      </c>
      <c r="AO31">
        <f>IF(OR($AA31="",AC$5=""),0,SUMIF(INDIRECT("'"&amp;AC$5&amp;"'!C6:C1000"),$AA31,INDIRECT("'"&amp;AC$5&amp;"'!E6:E1000")))</f>
        <v>0</v>
      </c>
      <c r="AP31">
        <f>IF(OR($AA31="",AD$5=""),0,SUMIF(INDIRECT("'"&amp;AD$5&amp;"'!C6:C1000"),$AA31,INDIRECT("'"&amp;AD$5&amp;"'!E6:E1000")))</f>
        <v>0</v>
      </c>
      <c r="AQ31">
        <f>IF(OR($AA31="",AE$5=""),0,SUMIF(INDIRECT("'"&amp;AE$5&amp;"'!C6:C1000"),$AA31,INDIRECT("'"&amp;AE$5&amp;"'!E6:E1000")))</f>
        <v>0</v>
      </c>
      <c r="AR31">
        <f>IF(OR($AA31="",AF$5=""),0,SUMIF(INDIRECT("'"&amp;AF$5&amp;"'!C6:C1000"),$AA31,INDIRECT("'"&amp;AF$5&amp;"'!E6:E1000")))</f>
        <v>0</v>
      </c>
      <c r="AS31">
        <f>IF(OR($AA31="",AG$5=""),0,SUMIF(INDIRECT("'"&amp;AG$5&amp;"'!C6:C1000"),$AA31,INDIRECT("'"&amp;AG$5&amp;"'!E6:E1000")))</f>
        <v>0</v>
      </c>
      <c r="AT31">
        <f>IF(OR($AA31="",AH$5=""),0,SUMIF(INDIRECT("'"&amp;AH$5&amp;"'!C6:C1000"),$AA31,INDIRECT("'"&amp;AH$5&amp;"'!E6:E1000")))</f>
        <v>0</v>
      </c>
      <c r="AU31">
        <f>IF(OR($AA31="",AI$5=""),0,SUMIF(INDIRECT("'"&amp;AI$5&amp;"'!C6:C1000"),$AA31,INDIRECT("'"&amp;AI$5&amp;"'!E6:E1000")))</f>
        <v>0</v>
      </c>
      <c r="AV31">
        <f>IF(OR($AA31="",AJ$5=""),0,SUMIF(INDIRECT("'"&amp;AJ$5&amp;"'!C6:C1000"),$AA31,INDIRECT("'"&amp;AJ$5&amp;"'!E6:E1000")))</f>
        <v>36</v>
      </c>
      <c r="AW31">
        <f>IF(OR($AA31="",AK$5=""),0,SUMIF(INDIRECT("'"&amp;AK$5&amp;"'!C6:C1000"),$AA31,INDIRECT("'"&amp;AK$5&amp;"'!E6:E1000")))</f>
        <v>0</v>
      </c>
      <c r="AX31">
        <f>IF(OR($AA31="",AL$5=""),0,SUMIF(INDIRECT("'"&amp;AL$5&amp;"'!C6:C1000"),$AA31,INDIRECT("'"&amp;AL$5&amp;"'!E6:E1000")))</f>
        <v>0</v>
      </c>
      <c r="AY31">
        <f>IF(OR($AA31="",AM$5=""),0,SUMIF(INDIRECT("'"&amp;AM$5&amp;"'!C6:C1000"),$AA31,INDIRECT("'"&amp;AM$5&amp;"'!E6:E1000")))</f>
        <v>0</v>
      </c>
      <c r="AZ31">
        <f>IF(OR($AA31="",AN$5=""),0,SUMIF(INDIRECT("'"&amp;AN$5&amp;"'!C6:C1000"),$AA31,INDIRECT("'"&amp;AN$5&amp;"'!E6:E1000")))</f>
        <v>0</v>
      </c>
      <c r="BA31">
        <f>IF(OR($AA31="",AC$5=""),0,SUMIFS(INDIRECT("'"&amp;AC$5&amp;"'!E6:E1000"),INDIRECT("'"&amp;AC$5&amp;"'!C6:C1000"),$AA31,INDIRECT("'"&amp;AC$5&amp;"'!F6:F1000"),"箱")+SUMIFS(INDIRECT("'"&amp;AC$5&amp;"'!E6:E1000"),INDIRECT("'"&amp;AC$5&amp;"'!C6:C1000"),$AA31,INDIRECT("'"&amp;AC$5&amp;"'!F6:F1000"),"件"))</f>
        <v>0</v>
      </c>
      <c r="BB31">
        <f>IF(OR($AA31="",AD$5=""),0,SUMIFS(INDIRECT("'"&amp;AD$5&amp;"'!E6:E1000"),INDIRECT("'"&amp;AD$5&amp;"'!C6:C1000"),$AA31,INDIRECT("'"&amp;AD$5&amp;"'!F6:F1000"),"箱")+SUMIFS(INDIRECT("'"&amp;AD$5&amp;"'!E6:E1000"),INDIRECT("'"&amp;AD$5&amp;"'!C6:C1000"),$AA31,INDIRECT("'"&amp;AD$5&amp;"'!F6:F1000"),"件"))</f>
        <v>0</v>
      </c>
      <c r="BC31">
        <f>IF(OR($AA31="",AE$5=""),0,SUMIFS(INDIRECT("'"&amp;AE$5&amp;"'!E6:E1000"),INDIRECT("'"&amp;AE$5&amp;"'!C6:C1000"),$AA31,INDIRECT("'"&amp;AE$5&amp;"'!F6:F1000"),"箱")+SUMIFS(INDIRECT("'"&amp;AE$5&amp;"'!E6:E1000"),INDIRECT("'"&amp;AE$5&amp;"'!C6:C1000"),$AA31,INDIRECT("'"&amp;AE$5&amp;"'!F6:F1000"),"件"))</f>
        <v>0</v>
      </c>
      <c r="BD31">
        <f>IF(OR($AA31="",AF$5=""),0,SUMIFS(INDIRECT("'"&amp;AF$5&amp;"'!E6:E1000"),INDIRECT("'"&amp;AF$5&amp;"'!C6:C1000"),$AA31,INDIRECT("'"&amp;AF$5&amp;"'!F6:F1000"),"箱")+SUMIFS(INDIRECT("'"&amp;AF$5&amp;"'!E6:E1000"),INDIRECT("'"&amp;AF$5&amp;"'!C6:C1000"),$AA31,INDIRECT("'"&amp;AF$5&amp;"'!F6:F1000"),"件"))</f>
        <v>0</v>
      </c>
      <c r="BE31">
        <f>IF(OR($AA31="",AG$5=""),0,SUMIFS(INDIRECT("'"&amp;AG$5&amp;"'!E6:E1000"),INDIRECT("'"&amp;AG$5&amp;"'!C6:C1000"),$AA31,INDIRECT("'"&amp;AG$5&amp;"'!F6:F1000"),"箱")+SUMIFS(INDIRECT("'"&amp;AG$5&amp;"'!E6:E1000"),INDIRECT("'"&amp;AG$5&amp;"'!C6:C1000"),$AA31,INDIRECT("'"&amp;AG$5&amp;"'!F6:F1000"),"件"))</f>
        <v>0</v>
      </c>
      <c r="BF31">
        <f>IF(OR($AA31="",AH$5=""),0,SUMIFS(INDIRECT("'"&amp;AH$5&amp;"'!E6:E1000"),INDIRECT("'"&amp;AH$5&amp;"'!C6:C1000"),$AA31,INDIRECT("'"&amp;AH$5&amp;"'!F6:F1000"),"箱")+SUMIFS(INDIRECT("'"&amp;AH$5&amp;"'!E6:E1000"),INDIRECT("'"&amp;AH$5&amp;"'!C6:C1000"),$AA31,INDIRECT("'"&amp;AH$5&amp;"'!F6:F1000"),"件"))</f>
        <v>0</v>
      </c>
      <c r="BG31">
        <f>IF(OR($AA31="",AI$5=""),0,SUMIFS(INDIRECT("'"&amp;AI$5&amp;"'!E6:E1000"),INDIRECT("'"&amp;AI$5&amp;"'!C6:C1000"),$AA31,INDIRECT("'"&amp;AI$5&amp;"'!F6:F1000"),"箱")+SUMIFS(INDIRECT("'"&amp;AI$5&amp;"'!E6:E1000"),INDIRECT("'"&amp;AI$5&amp;"'!C6:C1000"),$AA31,INDIRECT("'"&amp;AI$5&amp;"'!F6:F1000"),"件"))</f>
        <v>0</v>
      </c>
      <c r="BH31">
        <f>IF(OR($AA31="",AJ$5=""),0,SUMIFS(INDIRECT("'"&amp;AJ$5&amp;"'!E6:E1000"),INDIRECT("'"&amp;AJ$5&amp;"'!C6:C1000"),$AA31,INDIRECT("'"&amp;AJ$5&amp;"'!F6:F1000"),"箱")+SUMIFS(INDIRECT("'"&amp;AJ$5&amp;"'!E6:E1000"),INDIRECT("'"&amp;AJ$5&amp;"'!C6:C1000"),$AA31,INDIRECT("'"&amp;AJ$5&amp;"'!F6:F1000"),"件"))</f>
        <v>0</v>
      </c>
      <c r="BI31">
        <f>IF(OR($AA31="",AK$5=""),0,SUMIFS(INDIRECT("'"&amp;AK$5&amp;"'!E6:E1000"),INDIRECT("'"&amp;AK$5&amp;"'!C6:C1000"),$AA31,INDIRECT("'"&amp;AK$5&amp;"'!F6:F1000"),"箱")+SUMIFS(INDIRECT("'"&amp;AK$5&amp;"'!E6:E1000"),INDIRECT("'"&amp;AK$5&amp;"'!C6:C1000"),$AA31,INDIRECT("'"&amp;AK$5&amp;"'!F6:F1000"),"件"))</f>
        <v>0</v>
      </c>
      <c r="BJ31">
        <f>IF(OR($AA31="",AL$5=""),0,SUMIFS(INDIRECT("'"&amp;AL$5&amp;"'!E6:E1000"),INDIRECT("'"&amp;AL$5&amp;"'!C6:C1000"),$AA31,INDIRECT("'"&amp;AL$5&amp;"'!F6:F1000"),"箱")+SUMIFS(INDIRECT("'"&amp;AL$5&amp;"'!E6:E1000"),INDIRECT("'"&amp;AL$5&amp;"'!C6:C1000"),$AA31,INDIRECT("'"&amp;AL$5&amp;"'!F6:F1000"),"件"))</f>
        <v>0</v>
      </c>
      <c r="BK31">
        <f>IF(OR($AA31="",AM$5=""),0,SUMIFS(INDIRECT("'"&amp;AM$5&amp;"'!E6:E1000"),INDIRECT("'"&amp;AM$5&amp;"'!C6:C1000"),$AA31,INDIRECT("'"&amp;AM$5&amp;"'!F6:F1000"),"箱")+SUMIFS(INDIRECT("'"&amp;AM$5&amp;"'!E6:E1000"),INDIRECT("'"&amp;AM$5&amp;"'!C6:C1000"),$AA31,INDIRECT("'"&amp;AM$5&amp;"'!F6:F1000"),"件"))</f>
        <v>0</v>
      </c>
      <c r="BL31">
        <f>IF(OR($AA31="",AN$5=""),0,SUMIFS(INDIRECT("'"&amp;AN$5&amp;"'!E6:E1000"),INDIRECT("'"&amp;AN$5&amp;"'!C6:C1000"),$AA31,INDIRECT("'"&amp;AN$5&amp;"'!F6:F1000"),"箱")+SUMIFS(INDIRECT("'"&amp;AN$5&amp;"'!E6:E1000"),INDIRECT("'"&amp;AN$5&amp;"'!C6:C1000"),$AA31,INDIRECT("'"&amp;AN$5&amp;"'!F6:F1000"),"件"))</f>
        <v>0</v>
      </c>
      <c r="BM31">
        <f>(AO31-BA31)/$AB31+BA31</f>
        <v>0</v>
      </c>
      <c r="BN31">
        <f>(AP31-BB31)/$AB31+BB31</f>
        <v>0</v>
      </c>
      <c r="BO31">
        <f>(AQ31-BC31)/$AB31+BC31</f>
        <v>0</v>
      </c>
      <c r="BP31">
        <f>(AR31-BD31)/$AB31+BD31</f>
        <v>0</v>
      </c>
      <c r="BQ31">
        <f>(AS31-BE31)/$AB31+BE31</f>
        <v>0</v>
      </c>
      <c r="BR31">
        <f>(AT31-BF31)/$AB31+BF31</f>
        <v>0</v>
      </c>
      <c r="BS31">
        <f>(AU31-BG31)/$AB31+BG31</f>
        <v>0</v>
      </c>
      <c r="BT31">
        <f>(AV31-BH31)/$AB31+BH31</f>
        <v>3</v>
      </c>
      <c r="BU31">
        <f>(AW31-BI31)/$AB31+BI31</f>
        <v>0</v>
      </c>
      <c r="BV31">
        <f>(AX31-BJ31)/$AB31+BJ31</f>
        <v>0</v>
      </c>
      <c r="BW31">
        <f>(AY31-BK31)/$AB31+BK31</f>
        <v>0</v>
      </c>
      <c r="BX31">
        <f>(AZ31-BL31)/$AB31+BL31</f>
        <v>0</v>
      </c>
      <c r="BY31">
        <f>SUMPRODUCT((($AC$4:$AN$4=报损汇总一览!$A$3)+(报损汇总一览!$A$3="全年"))*AC31:AN31)</f>
        <v>60.012</v>
      </c>
      <c r="BZ31">
        <f>IF(BY31&gt;0,BY31+(1000-ROW())/10000000,"")</f>
        <v>60.0120969</v>
      </c>
      <c r="CA31">
        <f>SUMPRODUCT((($AC$4:$AN$4=报损汇总一览!$A$3)+(报损汇总一览!$A$3="全年"))*AO31:AZ31)</f>
        <v>36</v>
      </c>
    </row>
    <row r="32">
      <c r="A32">
        <f>IF(OR(存条明细!C32="",存条明细!D32=""),"",IF(COUNTIFS(存条明细!$C$4:C32,存条明细!C32,存条明细!$D$4:D32,存条明细!D32)&gt;1,"",IFERROR(MATCH(存条明细!C32,总览汇总!$B$5:$B$304,0),900)*10000000+IFERROR(MATCH(存条明细!D32,基础资料!$E$5:$E$104,0),900)*10000+ROW()))</f>
        <v>40170032</v>
      </c>
      <c r="B32">
        <f>IFERROR(MATCH(SMALL($A$4:$A$4003,29),$A$4:$A$4003,0),"")</f>
        <v>21</v>
      </c>
      <c r="D32">
        <f>IF(AND(商品库存!B32&lt;&gt;"",商品库存!B32=客户查询!$B$4),COUNTIF(商品库存!$B$4:B32,客户查询!$B$4),"")</f>
      </c>
      <c r="E32">
        <f>IF(AND(商品库存!B32&lt;&gt;"",商品库存!B32=客户对账单!$B$4),COUNTIF(商品库存!$B$4:B32,客户对账单!$B$4),"")</f>
      </c>
      <c r="F32">
        <f>IF(AND(出库明细!C32&lt;&gt;"",出库明细!C32=客户对账单!$B$4,ISNUMBER(出库明细!B32),出库明细!B32&gt;=客户对账单!$G$4,出库明细!B32&lt;=客户对账单!$I$4),出库明细!B32+ROW()/100000,"")</f>
      </c>
      <c r="H32">
        <f>IF(AND(采购进货!C32&lt;&gt;"",采购进货!C32=供应商对账单!$B$4,ISNUMBER(采购进货!B32),采购进货!B32&gt;=供应商对账单!$G$4,采购进货!B32&lt;=供应商对账单!$I$4),采购进货!B32+ROW()/100000,"")</f>
      </c>
      <c r="J32">
        <f>IF(总览汇总!$B32="","",N(总览汇总!$K32)+SUMIFS(出库明细!$G$4:$G$3003,出库明细!$C$4:$C$3003,总览汇总!$B32,出库明细!$B$4:$B$3003,"&gt;="&amp;年初日,出库明细!$B$4:$B$3003,"&lt;="&amp;资产负债表!$D$3)-SUMIFS(资金台帐!$S$7:$S$3006,资金台帐!$J$7:$J$3006,总览汇总!$B32,资金台帐!$P$7:$P$3006,"应收",资金台帐!$B$7:$B$3006,"&gt;="&amp;年初日,资金台帐!$B$7:$B$3006,"&lt;="&amp;资产负债表!$D$3))</f>
        <v>0</v>
      </c>
      <c r="K32">
        <f>IF(基础资料!$Q32="","",N(基础资料!$R32)+SUMIFS(采购进货!$G$4:$G$1503,采购进货!$C$4:$C$1503,基础资料!$Q32,采购进货!$B$4:$B$1503,"&gt;="&amp;年初日,采购进货!$B$4:$B$1503,"&lt;="&amp;资产负债表!$D$3)+SUMIFS(资金台帐!$S$7:$S$3006,资金台帐!$K$7:$K$3006,基础资料!$Q32,资金台帐!$P$7:$P$3006,"应付",资金台帐!$B$7:$B$3006,"&gt;="&amp;年初日,资金台帐!$B$7:$B$3006,"&lt;="&amp;资产负债表!$D$3))</f>
      </c>
      <c r="N32">
        <f>IF(AND(ISNUMBER(出库明细!G32),ISNUMBER(出库明细!E32),ISNUMBER(出库明细!F32)),IF(ABS(出库明细!G32-出库明细!E32*出库明细!F32)&gt;0.005,1,0),0)</f>
        <v>0</v>
      </c>
      <c r="O32">
        <f>IF(AND(ISNUMBER(存条明细!G32),ISNUMBER(存条明细!E32),ISNUMBER(存条明细!F32)),IF(ABS(存条明细!G32-存条明细!E32*存条明细!F32)&gt;0.005,1,0),0)</f>
        <v>0</v>
      </c>
      <c r="AA32" t="str">
        <f>IF(基础资料!G31="","",基础资料!G31&amp;"")</f>
        <v>农夫苏打水</v>
      </c>
      <c r="AB32">
        <f>IF(N(基础资料!I31)&lt;=0,1,基础资料!I31)</f>
        <v>15</v>
      </c>
      <c r="AC32">
        <f>IF(OR($AA32="",AC$5=""),0,SUMIF(INDIRECT("'"&amp;AC$5&amp;"'!C6:C1000"),$AA32,INDIRECT("'"&amp;AC$5&amp;"'!H6:H1000")))</f>
        <v>0</v>
      </c>
      <c r="AD32">
        <f>IF(OR($AA32="",AD$5=""),0,SUMIF(INDIRECT("'"&amp;AD$5&amp;"'!C6:C1000"),$AA32,INDIRECT("'"&amp;AD$5&amp;"'!H6:H1000")))</f>
        <v>0</v>
      </c>
      <c r="AE32">
        <f>IF(OR($AA32="",AE$5=""),0,SUMIF(INDIRECT("'"&amp;AE$5&amp;"'!C6:C1000"),$AA32,INDIRECT("'"&amp;AE$5&amp;"'!H6:H1000")))</f>
        <v>0</v>
      </c>
      <c r="AF32">
        <f>IF(OR($AA32="",AF$5=""),0,SUMIF(INDIRECT("'"&amp;AF$5&amp;"'!C6:C1000"),$AA32,INDIRECT("'"&amp;AF$5&amp;"'!H6:H1000")))</f>
        <v>0</v>
      </c>
      <c r="AG32">
        <f>IF(OR($AA32="",AG$5=""),0,SUMIF(INDIRECT("'"&amp;AG$5&amp;"'!C6:C1000"),$AA32,INDIRECT("'"&amp;AG$5&amp;"'!H6:H1000")))</f>
        <v>0</v>
      </c>
      <c r="AH32">
        <f>IF(OR($AA32="",AH$5=""),0,SUMIF(INDIRECT("'"&amp;AH$5&amp;"'!C6:C1000"),$AA32,INDIRECT("'"&amp;AH$5&amp;"'!H6:H1000")))</f>
        <v>102.15</v>
      </c>
      <c r="AI32">
        <f>IF(OR($AA32="",AI$5=""),0,SUMIF(INDIRECT("'"&amp;AI$5&amp;"'!C6:C1000"),$AA32,INDIRECT("'"&amp;AI$5&amp;"'!H6:H1000")))</f>
        <v>0</v>
      </c>
      <c r="AJ32">
        <f>IF(OR($AA32="",AJ$5=""),0,SUMIF(INDIRECT("'"&amp;AJ$5&amp;"'!C6:C1000"),$AA32,INDIRECT("'"&amp;AJ$5&amp;"'!H6:H1000")))</f>
        <v>61.29</v>
      </c>
      <c r="AK32">
        <f>IF(OR($AA32="",AK$5=""),0,SUMIF(INDIRECT("'"&amp;AK$5&amp;"'!C6:C1000"),$AA32,INDIRECT("'"&amp;AK$5&amp;"'!H6:H1000")))</f>
        <v>0</v>
      </c>
      <c r="AL32">
        <f>IF(OR($AA32="",AL$5=""),0,SUMIF(INDIRECT("'"&amp;AL$5&amp;"'!C6:C1000"),$AA32,INDIRECT("'"&amp;AL$5&amp;"'!H6:H1000")))</f>
        <v>0</v>
      </c>
      <c r="AM32">
        <f>IF(OR($AA32="",AM$5=""),0,SUMIF(INDIRECT("'"&amp;AM$5&amp;"'!C6:C1000"),$AA32,INDIRECT("'"&amp;AM$5&amp;"'!H6:H1000")))</f>
        <v>0</v>
      </c>
      <c r="AN32">
        <f>IF(OR($AA32="",AN$5=""),0,SUMIF(INDIRECT("'"&amp;AN$5&amp;"'!C6:C1000"),$AA32,INDIRECT("'"&amp;AN$5&amp;"'!H6:H1000")))</f>
        <v>0</v>
      </c>
      <c r="AO32">
        <f>IF(OR($AA32="",AC$5=""),0,SUMIF(INDIRECT("'"&amp;AC$5&amp;"'!C6:C1000"),$AA32,INDIRECT("'"&amp;AC$5&amp;"'!E6:E1000")))</f>
        <v>0</v>
      </c>
      <c r="AP32">
        <f>IF(OR($AA32="",AD$5=""),0,SUMIF(INDIRECT("'"&amp;AD$5&amp;"'!C6:C1000"),$AA32,INDIRECT("'"&amp;AD$5&amp;"'!E6:E1000")))</f>
        <v>0</v>
      </c>
      <c r="AQ32">
        <f>IF(OR($AA32="",AE$5=""),0,SUMIF(INDIRECT("'"&amp;AE$5&amp;"'!C6:C1000"),$AA32,INDIRECT("'"&amp;AE$5&amp;"'!E6:E1000")))</f>
        <v>0</v>
      </c>
      <c r="AR32">
        <f>IF(OR($AA32="",AF$5=""),0,SUMIF(INDIRECT("'"&amp;AF$5&amp;"'!C6:C1000"),$AA32,INDIRECT("'"&amp;AF$5&amp;"'!E6:E1000")))</f>
        <v>0</v>
      </c>
      <c r="AS32">
        <f>IF(OR($AA32="",AG$5=""),0,SUMIF(INDIRECT("'"&amp;AG$5&amp;"'!C6:C1000"),$AA32,INDIRECT("'"&amp;AG$5&amp;"'!E6:E1000")))</f>
        <v>0</v>
      </c>
      <c r="AT32">
        <f>IF(OR($AA32="",AH$5=""),0,SUMIF(INDIRECT("'"&amp;AH$5&amp;"'!C6:C1000"),$AA32,INDIRECT("'"&amp;AH$5&amp;"'!E6:E1000")))</f>
        <v>45</v>
      </c>
      <c r="AU32">
        <f>IF(OR($AA32="",AI$5=""),0,SUMIF(INDIRECT("'"&amp;AI$5&amp;"'!C6:C1000"),$AA32,INDIRECT("'"&amp;AI$5&amp;"'!E6:E1000")))</f>
        <v>0</v>
      </c>
      <c r="AV32">
        <f>IF(OR($AA32="",AJ$5=""),0,SUMIF(INDIRECT("'"&amp;AJ$5&amp;"'!C6:C1000"),$AA32,INDIRECT("'"&amp;AJ$5&amp;"'!E6:E1000")))</f>
        <v>27</v>
      </c>
      <c r="AW32">
        <f>IF(OR($AA32="",AK$5=""),0,SUMIF(INDIRECT("'"&amp;AK$5&amp;"'!C6:C1000"),$AA32,INDIRECT("'"&amp;AK$5&amp;"'!E6:E1000")))</f>
        <v>0</v>
      </c>
      <c r="AX32">
        <f>IF(OR($AA32="",AL$5=""),0,SUMIF(INDIRECT("'"&amp;AL$5&amp;"'!C6:C1000"),$AA32,INDIRECT("'"&amp;AL$5&amp;"'!E6:E1000")))</f>
        <v>0</v>
      </c>
      <c r="AY32">
        <f>IF(OR($AA32="",AM$5=""),0,SUMIF(INDIRECT("'"&amp;AM$5&amp;"'!C6:C1000"),$AA32,INDIRECT("'"&amp;AM$5&amp;"'!E6:E1000")))</f>
        <v>0</v>
      </c>
      <c r="AZ32">
        <f>IF(OR($AA32="",AN$5=""),0,SUMIF(INDIRECT("'"&amp;AN$5&amp;"'!C6:C1000"),$AA32,INDIRECT("'"&amp;AN$5&amp;"'!E6:E1000")))</f>
        <v>0</v>
      </c>
      <c r="BA32">
        <f>IF(OR($AA32="",AC$5=""),0,SUMIFS(INDIRECT("'"&amp;AC$5&amp;"'!E6:E1000"),INDIRECT("'"&amp;AC$5&amp;"'!C6:C1000"),$AA32,INDIRECT("'"&amp;AC$5&amp;"'!F6:F1000"),"箱")+SUMIFS(INDIRECT("'"&amp;AC$5&amp;"'!E6:E1000"),INDIRECT("'"&amp;AC$5&amp;"'!C6:C1000"),$AA32,INDIRECT("'"&amp;AC$5&amp;"'!F6:F1000"),"件"))</f>
        <v>0</v>
      </c>
      <c r="BB32">
        <f>IF(OR($AA32="",AD$5=""),0,SUMIFS(INDIRECT("'"&amp;AD$5&amp;"'!E6:E1000"),INDIRECT("'"&amp;AD$5&amp;"'!C6:C1000"),$AA32,INDIRECT("'"&amp;AD$5&amp;"'!F6:F1000"),"箱")+SUMIFS(INDIRECT("'"&amp;AD$5&amp;"'!E6:E1000"),INDIRECT("'"&amp;AD$5&amp;"'!C6:C1000"),$AA32,INDIRECT("'"&amp;AD$5&amp;"'!F6:F1000"),"件"))</f>
        <v>0</v>
      </c>
      <c r="BC32">
        <f>IF(OR($AA32="",AE$5=""),0,SUMIFS(INDIRECT("'"&amp;AE$5&amp;"'!E6:E1000"),INDIRECT("'"&amp;AE$5&amp;"'!C6:C1000"),$AA32,INDIRECT("'"&amp;AE$5&amp;"'!F6:F1000"),"箱")+SUMIFS(INDIRECT("'"&amp;AE$5&amp;"'!E6:E1000"),INDIRECT("'"&amp;AE$5&amp;"'!C6:C1000"),$AA32,INDIRECT("'"&amp;AE$5&amp;"'!F6:F1000"),"件"))</f>
        <v>0</v>
      </c>
      <c r="BD32">
        <f>IF(OR($AA32="",AF$5=""),0,SUMIFS(INDIRECT("'"&amp;AF$5&amp;"'!E6:E1000"),INDIRECT("'"&amp;AF$5&amp;"'!C6:C1000"),$AA32,INDIRECT("'"&amp;AF$5&amp;"'!F6:F1000"),"箱")+SUMIFS(INDIRECT("'"&amp;AF$5&amp;"'!E6:E1000"),INDIRECT("'"&amp;AF$5&amp;"'!C6:C1000"),$AA32,INDIRECT("'"&amp;AF$5&amp;"'!F6:F1000"),"件"))</f>
        <v>0</v>
      </c>
      <c r="BE32">
        <f>IF(OR($AA32="",AG$5=""),0,SUMIFS(INDIRECT("'"&amp;AG$5&amp;"'!E6:E1000"),INDIRECT("'"&amp;AG$5&amp;"'!C6:C1000"),$AA32,INDIRECT("'"&amp;AG$5&amp;"'!F6:F1000"),"箱")+SUMIFS(INDIRECT("'"&amp;AG$5&amp;"'!E6:E1000"),INDIRECT("'"&amp;AG$5&amp;"'!C6:C1000"),$AA32,INDIRECT("'"&amp;AG$5&amp;"'!F6:F1000"),"件"))</f>
        <v>0</v>
      </c>
      <c r="BF32">
        <f>IF(OR($AA32="",AH$5=""),0,SUMIFS(INDIRECT("'"&amp;AH$5&amp;"'!E6:E1000"),INDIRECT("'"&amp;AH$5&amp;"'!C6:C1000"),$AA32,INDIRECT("'"&amp;AH$5&amp;"'!F6:F1000"),"箱")+SUMIFS(INDIRECT("'"&amp;AH$5&amp;"'!E6:E1000"),INDIRECT("'"&amp;AH$5&amp;"'!C6:C1000"),$AA32,INDIRECT("'"&amp;AH$5&amp;"'!F6:F1000"),"件"))</f>
        <v>0</v>
      </c>
      <c r="BG32">
        <f>IF(OR($AA32="",AI$5=""),0,SUMIFS(INDIRECT("'"&amp;AI$5&amp;"'!E6:E1000"),INDIRECT("'"&amp;AI$5&amp;"'!C6:C1000"),$AA32,INDIRECT("'"&amp;AI$5&amp;"'!F6:F1000"),"箱")+SUMIFS(INDIRECT("'"&amp;AI$5&amp;"'!E6:E1000"),INDIRECT("'"&amp;AI$5&amp;"'!C6:C1000"),$AA32,INDIRECT("'"&amp;AI$5&amp;"'!F6:F1000"),"件"))</f>
        <v>0</v>
      </c>
      <c r="BH32">
        <f>IF(OR($AA32="",AJ$5=""),0,SUMIFS(INDIRECT("'"&amp;AJ$5&amp;"'!E6:E1000"),INDIRECT("'"&amp;AJ$5&amp;"'!C6:C1000"),$AA32,INDIRECT("'"&amp;AJ$5&amp;"'!F6:F1000"),"箱")+SUMIFS(INDIRECT("'"&amp;AJ$5&amp;"'!E6:E1000"),INDIRECT("'"&amp;AJ$5&amp;"'!C6:C1000"),$AA32,INDIRECT("'"&amp;AJ$5&amp;"'!F6:F1000"),"件"))</f>
        <v>0</v>
      </c>
      <c r="BI32">
        <f>IF(OR($AA32="",AK$5=""),0,SUMIFS(INDIRECT("'"&amp;AK$5&amp;"'!E6:E1000"),INDIRECT("'"&amp;AK$5&amp;"'!C6:C1000"),$AA32,INDIRECT("'"&amp;AK$5&amp;"'!F6:F1000"),"箱")+SUMIFS(INDIRECT("'"&amp;AK$5&amp;"'!E6:E1000"),INDIRECT("'"&amp;AK$5&amp;"'!C6:C1000"),$AA32,INDIRECT("'"&amp;AK$5&amp;"'!F6:F1000"),"件"))</f>
        <v>0</v>
      </c>
      <c r="BJ32">
        <f>IF(OR($AA32="",AL$5=""),0,SUMIFS(INDIRECT("'"&amp;AL$5&amp;"'!E6:E1000"),INDIRECT("'"&amp;AL$5&amp;"'!C6:C1000"),$AA32,INDIRECT("'"&amp;AL$5&amp;"'!F6:F1000"),"箱")+SUMIFS(INDIRECT("'"&amp;AL$5&amp;"'!E6:E1000"),INDIRECT("'"&amp;AL$5&amp;"'!C6:C1000"),$AA32,INDIRECT("'"&amp;AL$5&amp;"'!F6:F1000"),"件"))</f>
        <v>0</v>
      </c>
      <c r="BK32">
        <f>IF(OR($AA32="",AM$5=""),0,SUMIFS(INDIRECT("'"&amp;AM$5&amp;"'!E6:E1000"),INDIRECT("'"&amp;AM$5&amp;"'!C6:C1000"),$AA32,INDIRECT("'"&amp;AM$5&amp;"'!F6:F1000"),"箱")+SUMIFS(INDIRECT("'"&amp;AM$5&amp;"'!E6:E1000"),INDIRECT("'"&amp;AM$5&amp;"'!C6:C1000"),$AA32,INDIRECT("'"&amp;AM$5&amp;"'!F6:F1000"),"件"))</f>
        <v>0</v>
      </c>
      <c r="BL32">
        <f>IF(OR($AA32="",AN$5=""),0,SUMIFS(INDIRECT("'"&amp;AN$5&amp;"'!E6:E1000"),INDIRECT("'"&amp;AN$5&amp;"'!C6:C1000"),$AA32,INDIRECT("'"&amp;AN$5&amp;"'!F6:F1000"),"箱")+SUMIFS(INDIRECT("'"&amp;AN$5&amp;"'!E6:E1000"),INDIRECT("'"&amp;AN$5&amp;"'!C6:C1000"),$AA32,INDIRECT("'"&amp;AN$5&amp;"'!F6:F1000"),"件"))</f>
        <v>0</v>
      </c>
      <c r="BM32">
        <f>(AO32-BA32)/$AB32+BA32</f>
        <v>0</v>
      </c>
      <c r="BN32">
        <f>(AP32-BB32)/$AB32+BB32</f>
        <v>0</v>
      </c>
      <c r="BO32">
        <f>(AQ32-BC32)/$AB32+BC32</f>
        <v>0</v>
      </c>
      <c r="BP32">
        <f>(AR32-BD32)/$AB32+BD32</f>
        <v>0</v>
      </c>
      <c r="BQ32">
        <f>(AS32-BE32)/$AB32+BE32</f>
        <v>0</v>
      </c>
      <c r="BR32">
        <f>(AT32-BF32)/$AB32+BF32</f>
        <v>3</v>
      </c>
      <c r="BS32">
        <f>(AU32-BG32)/$AB32+BG32</f>
        <v>0</v>
      </c>
      <c r="BT32">
        <f>(AV32-BH32)/$AB32+BH32</f>
        <v>1.8</v>
      </c>
      <c r="BU32">
        <f>(AW32-BI32)/$AB32+BI32</f>
        <v>0</v>
      </c>
      <c r="BV32">
        <f>(AX32-BJ32)/$AB32+BJ32</f>
        <v>0</v>
      </c>
      <c r="BW32">
        <f>(AY32-BK32)/$AB32+BK32</f>
        <v>0</v>
      </c>
      <c r="BX32">
        <f>(AZ32-BL32)/$AB32+BL32</f>
        <v>0</v>
      </c>
      <c r="BY32">
        <f>SUMPRODUCT((($AC$4:$AN$4=报损汇总一览!$A$3)+(报损汇总一览!$A$3="全年"))*AC32:AN32)</f>
        <v>163.44</v>
      </c>
      <c r="BZ32">
        <f>IF(BY32&gt;0,BY32+(1000-ROW())/10000000,"")</f>
        <v>163.4400968</v>
      </c>
      <c r="CA32">
        <f>SUMPRODUCT((($AC$4:$AN$4=报损汇总一览!$A$3)+(报损汇总一览!$A$3="全年"))*AO32:AZ32)</f>
        <v>72</v>
      </c>
    </row>
    <row r="33">
      <c r="A33">
        <f>IF(OR(存条明细!C33="",存条明细!D33=""),"",IF(COUNTIFS(存条明细!$C$4:C33,存条明细!C33,存条明细!$D$4:D33,存条明细!D33)&gt;1,"",IFERROR(MATCH(存条明细!C33,总览汇总!$B$5:$B$304,0),900)*10000000+IFERROR(MATCH(存条明细!D33,基础资料!$E$5:$E$104,0),900)*10000+ROW()))</f>
        <v>40180033</v>
      </c>
      <c r="B33">
        <f>IFERROR(MATCH(SMALL($A$4:$A$4003,30),$A$4:$A$4003,0),"")</f>
        <v>22</v>
      </c>
      <c r="D33">
        <f>IF(AND(商品库存!B33&lt;&gt;"",商品库存!B33=客户查询!$B$4),COUNTIF(商品库存!$B$4:B33,客户查询!$B$4),"")</f>
      </c>
      <c r="E33">
        <f>IF(AND(商品库存!B33&lt;&gt;"",商品库存!B33=客户对账单!$B$4),COUNTIF(商品库存!$B$4:B33,客户对账单!$B$4),"")</f>
      </c>
      <c r="F33">
        <f>IF(AND(出库明细!C33&lt;&gt;"",出库明细!C33=客户对账单!$B$4,ISNUMBER(出库明细!B33),出库明细!B33&gt;=客户对账单!$G$4,出库明细!B33&lt;=客户对账单!$I$4),出库明细!B33+ROW()/100000,"")</f>
      </c>
      <c r="H33">
        <f>IF(AND(采购进货!C33&lt;&gt;"",采购进货!C33=供应商对账单!$B$4,ISNUMBER(采购进货!B33),采购进货!B33&gt;=供应商对账单!$G$4,采购进货!B33&lt;=供应商对账单!$I$4),采购进货!B33+ROW()/100000,"")</f>
      </c>
      <c r="J33">
        <f>IF(总览汇总!$B33="","",N(总览汇总!$K33)+SUMIFS(出库明细!$G$4:$G$3003,出库明细!$C$4:$C$3003,总览汇总!$B33,出库明细!$B$4:$B$3003,"&gt;="&amp;年初日,出库明细!$B$4:$B$3003,"&lt;="&amp;资产负债表!$D$3)-SUMIFS(资金台帐!$S$7:$S$3006,资金台帐!$J$7:$J$3006,总览汇总!$B33,资金台帐!$P$7:$P$3006,"应收",资金台帐!$B$7:$B$3006,"&gt;="&amp;年初日,资金台帐!$B$7:$B$3006,"&lt;="&amp;资产负债表!$D$3))</f>
        <v>-2182</v>
      </c>
      <c r="K33">
        <f>IF(基础资料!$Q33="","",N(基础资料!$R33)+SUMIFS(采购进货!$G$4:$G$1503,采购进货!$C$4:$C$1503,基础资料!$Q33,采购进货!$B$4:$B$1503,"&gt;="&amp;年初日,采购进货!$B$4:$B$1503,"&lt;="&amp;资产负债表!$D$3)+SUMIFS(资金台帐!$S$7:$S$3006,资金台帐!$K$7:$K$3006,基础资料!$Q33,资金台帐!$P$7:$P$3006,"应付",资金台帐!$B$7:$B$3006,"&gt;="&amp;年初日,资金台帐!$B$7:$B$3006,"&lt;="&amp;资产负债表!$D$3))</f>
      </c>
      <c r="N33">
        <f>IF(AND(ISNUMBER(出库明细!G33),ISNUMBER(出库明细!E33),ISNUMBER(出库明细!F33)),IF(ABS(出库明细!G33-出库明细!E33*出库明细!F33)&gt;0.005,1,0),0)</f>
        <v>0</v>
      </c>
      <c r="O33">
        <f>IF(AND(ISNUMBER(存条明细!G33),ISNUMBER(存条明细!E33),ISNUMBER(存条明细!F33)),IF(ABS(存条明细!G33-存条明细!E33*存条明细!F33)&gt;0.005,1,0),0)</f>
        <v>0</v>
      </c>
      <c r="AA33" t="str">
        <f>IF(基础资料!G32="","",基础资料!G32&amp;"")</f>
        <v>农夫2L水</v>
      </c>
      <c r="AB33">
        <f>IF(N(基础资料!I32)&lt;=0,1,基础资料!I32)</f>
        <v>8</v>
      </c>
      <c r="AC33">
        <f>IF(OR($AA33="",AC$5=""),0,SUMIF(INDIRECT("'"&amp;AC$5&amp;"'!C6:C1000"),$AA33,INDIRECT("'"&amp;AC$5&amp;"'!H6:H1000")))</f>
        <v>0</v>
      </c>
      <c r="AD33">
        <f>IF(OR($AA33="",AD$5=""),0,SUMIF(INDIRECT("'"&amp;AD$5&amp;"'!C6:C1000"),$AA33,INDIRECT("'"&amp;AD$5&amp;"'!H6:H1000")))</f>
        <v>0</v>
      </c>
      <c r="AE33">
        <f>IF(OR($AA33="",AE$5=""),0,SUMIF(INDIRECT("'"&amp;AE$5&amp;"'!C6:C1000"),$AA33,INDIRECT("'"&amp;AE$5&amp;"'!H6:H1000")))</f>
        <v>0</v>
      </c>
      <c r="AF33">
        <f>IF(OR($AA33="",AF$5=""),0,SUMIF(INDIRECT("'"&amp;AF$5&amp;"'!C6:C1000"),$AA33,INDIRECT("'"&amp;AF$5&amp;"'!H6:H1000")))</f>
        <v>0</v>
      </c>
      <c r="AG33">
        <f>IF(OR($AA33="",AG$5=""),0,SUMIF(INDIRECT("'"&amp;AG$5&amp;"'!C6:C1000"),$AA33,INDIRECT("'"&amp;AG$5&amp;"'!H6:H1000")))</f>
        <v>0</v>
      </c>
      <c r="AH33">
        <f>IF(OR($AA33="",AH$5=""),0,SUMIF(INDIRECT("'"&amp;AH$5&amp;"'!C6:C1000"),$AA33,INDIRECT("'"&amp;AH$5&amp;"'!H6:H1000")))</f>
        <v>0</v>
      </c>
      <c r="AI33">
        <f>IF(OR($AA33="",AI$5=""),0,SUMIF(INDIRECT("'"&amp;AI$5&amp;"'!C6:C1000"),$AA33,INDIRECT("'"&amp;AI$5&amp;"'!H6:H1000")))</f>
        <v>0</v>
      </c>
      <c r="AJ33">
        <f>IF(OR($AA33="",AJ$5=""),0,SUMIF(INDIRECT("'"&amp;AJ$5&amp;"'!C6:C1000"),$AA33,INDIRECT("'"&amp;AJ$5&amp;"'!H6:H1000")))</f>
        <v>69.75</v>
      </c>
      <c r="AK33">
        <f>IF(OR($AA33="",AK$5=""),0,SUMIF(INDIRECT("'"&amp;AK$5&amp;"'!C6:C1000"),$AA33,INDIRECT("'"&amp;AK$5&amp;"'!H6:H1000")))</f>
        <v>0</v>
      </c>
      <c r="AL33">
        <f>IF(OR($AA33="",AL$5=""),0,SUMIF(INDIRECT("'"&amp;AL$5&amp;"'!C6:C1000"),$AA33,INDIRECT("'"&amp;AL$5&amp;"'!H6:H1000")))</f>
        <v>0</v>
      </c>
      <c r="AM33">
        <f>IF(OR($AA33="",AM$5=""),0,SUMIF(INDIRECT("'"&amp;AM$5&amp;"'!C6:C1000"),$AA33,INDIRECT("'"&amp;AM$5&amp;"'!H6:H1000")))</f>
        <v>0</v>
      </c>
      <c r="AN33">
        <f>IF(OR($AA33="",AN$5=""),0,SUMIF(INDIRECT("'"&amp;AN$5&amp;"'!C6:C1000"),$AA33,INDIRECT("'"&amp;AN$5&amp;"'!H6:H1000")))</f>
        <v>0</v>
      </c>
      <c r="AO33">
        <f>IF(OR($AA33="",AC$5=""),0,SUMIF(INDIRECT("'"&amp;AC$5&amp;"'!C6:C1000"),$AA33,INDIRECT("'"&amp;AC$5&amp;"'!E6:E1000")))</f>
        <v>0</v>
      </c>
      <c r="AP33">
        <f>IF(OR($AA33="",AD$5=""),0,SUMIF(INDIRECT("'"&amp;AD$5&amp;"'!C6:C1000"),$AA33,INDIRECT("'"&amp;AD$5&amp;"'!E6:E1000")))</f>
        <v>0</v>
      </c>
      <c r="AQ33">
        <f>IF(OR($AA33="",AE$5=""),0,SUMIF(INDIRECT("'"&amp;AE$5&amp;"'!C6:C1000"),$AA33,INDIRECT("'"&amp;AE$5&amp;"'!E6:E1000")))</f>
        <v>0</v>
      </c>
      <c r="AR33">
        <f>IF(OR($AA33="",AF$5=""),0,SUMIF(INDIRECT("'"&amp;AF$5&amp;"'!C6:C1000"),$AA33,INDIRECT("'"&amp;AF$5&amp;"'!E6:E1000")))</f>
        <v>0</v>
      </c>
      <c r="AS33">
        <f>IF(OR($AA33="",AG$5=""),0,SUMIF(INDIRECT("'"&amp;AG$5&amp;"'!C6:C1000"),$AA33,INDIRECT("'"&amp;AG$5&amp;"'!E6:E1000")))</f>
        <v>0</v>
      </c>
      <c r="AT33">
        <f>IF(OR($AA33="",AH$5=""),0,SUMIF(INDIRECT("'"&amp;AH$5&amp;"'!C6:C1000"),$AA33,INDIRECT("'"&amp;AH$5&amp;"'!E6:E1000")))</f>
        <v>0</v>
      </c>
      <c r="AU33">
        <f>IF(OR($AA33="",AI$5=""),0,SUMIF(INDIRECT("'"&amp;AI$5&amp;"'!C6:C1000"),$AA33,INDIRECT("'"&amp;AI$5&amp;"'!E6:E1000")))</f>
        <v>0</v>
      </c>
      <c r="AV33">
        <f>IF(OR($AA33="",AJ$5=""),0,SUMIF(INDIRECT("'"&amp;AJ$5&amp;"'!C6:C1000"),$AA33,INDIRECT("'"&amp;AJ$5&amp;"'!E6:E1000")))</f>
        <v>31</v>
      </c>
      <c r="AW33">
        <f>IF(OR($AA33="",AK$5=""),0,SUMIF(INDIRECT("'"&amp;AK$5&amp;"'!C6:C1000"),$AA33,INDIRECT("'"&amp;AK$5&amp;"'!E6:E1000")))</f>
        <v>0</v>
      </c>
      <c r="AX33">
        <f>IF(OR($AA33="",AL$5=""),0,SUMIF(INDIRECT("'"&amp;AL$5&amp;"'!C6:C1000"),$AA33,INDIRECT("'"&amp;AL$5&amp;"'!E6:E1000")))</f>
        <v>0</v>
      </c>
      <c r="AY33">
        <f>IF(OR($AA33="",AM$5=""),0,SUMIF(INDIRECT("'"&amp;AM$5&amp;"'!C6:C1000"),$AA33,INDIRECT("'"&amp;AM$5&amp;"'!E6:E1000")))</f>
        <v>0</v>
      </c>
      <c r="AZ33">
        <f>IF(OR($AA33="",AN$5=""),0,SUMIF(INDIRECT("'"&amp;AN$5&amp;"'!C6:C1000"),$AA33,INDIRECT("'"&amp;AN$5&amp;"'!E6:E1000")))</f>
        <v>0</v>
      </c>
      <c r="BA33">
        <f>IF(OR($AA33="",AC$5=""),0,SUMIFS(INDIRECT("'"&amp;AC$5&amp;"'!E6:E1000"),INDIRECT("'"&amp;AC$5&amp;"'!C6:C1000"),$AA33,INDIRECT("'"&amp;AC$5&amp;"'!F6:F1000"),"箱")+SUMIFS(INDIRECT("'"&amp;AC$5&amp;"'!E6:E1000"),INDIRECT("'"&amp;AC$5&amp;"'!C6:C1000"),$AA33,INDIRECT("'"&amp;AC$5&amp;"'!F6:F1000"),"件"))</f>
        <v>0</v>
      </c>
      <c r="BB33">
        <f>IF(OR($AA33="",AD$5=""),0,SUMIFS(INDIRECT("'"&amp;AD$5&amp;"'!E6:E1000"),INDIRECT("'"&amp;AD$5&amp;"'!C6:C1000"),$AA33,INDIRECT("'"&amp;AD$5&amp;"'!F6:F1000"),"箱")+SUMIFS(INDIRECT("'"&amp;AD$5&amp;"'!E6:E1000"),INDIRECT("'"&amp;AD$5&amp;"'!C6:C1000"),$AA33,INDIRECT("'"&amp;AD$5&amp;"'!F6:F1000"),"件"))</f>
        <v>0</v>
      </c>
      <c r="BC33">
        <f>IF(OR($AA33="",AE$5=""),0,SUMIFS(INDIRECT("'"&amp;AE$5&amp;"'!E6:E1000"),INDIRECT("'"&amp;AE$5&amp;"'!C6:C1000"),$AA33,INDIRECT("'"&amp;AE$5&amp;"'!F6:F1000"),"箱")+SUMIFS(INDIRECT("'"&amp;AE$5&amp;"'!E6:E1000"),INDIRECT("'"&amp;AE$5&amp;"'!C6:C1000"),$AA33,INDIRECT("'"&amp;AE$5&amp;"'!F6:F1000"),"件"))</f>
        <v>0</v>
      </c>
      <c r="BD33">
        <f>IF(OR($AA33="",AF$5=""),0,SUMIFS(INDIRECT("'"&amp;AF$5&amp;"'!E6:E1000"),INDIRECT("'"&amp;AF$5&amp;"'!C6:C1000"),$AA33,INDIRECT("'"&amp;AF$5&amp;"'!F6:F1000"),"箱")+SUMIFS(INDIRECT("'"&amp;AF$5&amp;"'!E6:E1000"),INDIRECT("'"&amp;AF$5&amp;"'!C6:C1000"),$AA33,INDIRECT("'"&amp;AF$5&amp;"'!F6:F1000"),"件"))</f>
        <v>0</v>
      </c>
      <c r="BE33">
        <f>IF(OR($AA33="",AG$5=""),0,SUMIFS(INDIRECT("'"&amp;AG$5&amp;"'!E6:E1000"),INDIRECT("'"&amp;AG$5&amp;"'!C6:C1000"),$AA33,INDIRECT("'"&amp;AG$5&amp;"'!F6:F1000"),"箱")+SUMIFS(INDIRECT("'"&amp;AG$5&amp;"'!E6:E1000"),INDIRECT("'"&amp;AG$5&amp;"'!C6:C1000"),$AA33,INDIRECT("'"&amp;AG$5&amp;"'!F6:F1000"),"件"))</f>
        <v>0</v>
      </c>
      <c r="BF33">
        <f>IF(OR($AA33="",AH$5=""),0,SUMIFS(INDIRECT("'"&amp;AH$5&amp;"'!E6:E1000"),INDIRECT("'"&amp;AH$5&amp;"'!C6:C1000"),$AA33,INDIRECT("'"&amp;AH$5&amp;"'!F6:F1000"),"箱")+SUMIFS(INDIRECT("'"&amp;AH$5&amp;"'!E6:E1000"),INDIRECT("'"&amp;AH$5&amp;"'!C6:C1000"),$AA33,INDIRECT("'"&amp;AH$5&amp;"'!F6:F1000"),"件"))</f>
        <v>0</v>
      </c>
      <c r="BG33">
        <f>IF(OR($AA33="",AI$5=""),0,SUMIFS(INDIRECT("'"&amp;AI$5&amp;"'!E6:E1000"),INDIRECT("'"&amp;AI$5&amp;"'!C6:C1000"),$AA33,INDIRECT("'"&amp;AI$5&amp;"'!F6:F1000"),"箱")+SUMIFS(INDIRECT("'"&amp;AI$5&amp;"'!E6:E1000"),INDIRECT("'"&amp;AI$5&amp;"'!C6:C1000"),$AA33,INDIRECT("'"&amp;AI$5&amp;"'!F6:F1000"),"件"))</f>
        <v>0</v>
      </c>
      <c r="BH33">
        <f>IF(OR($AA33="",AJ$5=""),0,SUMIFS(INDIRECT("'"&amp;AJ$5&amp;"'!E6:E1000"),INDIRECT("'"&amp;AJ$5&amp;"'!C6:C1000"),$AA33,INDIRECT("'"&amp;AJ$5&amp;"'!F6:F1000"),"箱")+SUMIFS(INDIRECT("'"&amp;AJ$5&amp;"'!E6:E1000"),INDIRECT("'"&amp;AJ$5&amp;"'!C6:C1000"),$AA33,INDIRECT("'"&amp;AJ$5&amp;"'!F6:F1000"),"件"))</f>
        <v>0</v>
      </c>
      <c r="BI33">
        <f>IF(OR($AA33="",AK$5=""),0,SUMIFS(INDIRECT("'"&amp;AK$5&amp;"'!E6:E1000"),INDIRECT("'"&amp;AK$5&amp;"'!C6:C1000"),$AA33,INDIRECT("'"&amp;AK$5&amp;"'!F6:F1000"),"箱")+SUMIFS(INDIRECT("'"&amp;AK$5&amp;"'!E6:E1000"),INDIRECT("'"&amp;AK$5&amp;"'!C6:C1000"),$AA33,INDIRECT("'"&amp;AK$5&amp;"'!F6:F1000"),"件"))</f>
        <v>0</v>
      </c>
      <c r="BJ33">
        <f>IF(OR($AA33="",AL$5=""),0,SUMIFS(INDIRECT("'"&amp;AL$5&amp;"'!E6:E1000"),INDIRECT("'"&amp;AL$5&amp;"'!C6:C1000"),$AA33,INDIRECT("'"&amp;AL$5&amp;"'!F6:F1000"),"箱")+SUMIFS(INDIRECT("'"&amp;AL$5&amp;"'!E6:E1000"),INDIRECT("'"&amp;AL$5&amp;"'!C6:C1000"),$AA33,INDIRECT("'"&amp;AL$5&amp;"'!F6:F1000"),"件"))</f>
        <v>0</v>
      </c>
      <c r="BK33">
        <f>IF(OR($AA33="",AM$5=""),0,SUMIFS(INDIRECT("'"&amp;AM$5&amp;"'!E6:E1000"),INDIRECT("'"&amp;AM$5&amp;"'!C6:C1000"),$AA33,INDIRECT("'"&amp;AM$5&amp;"'!F6:F1000"),"箱")+SUMIFS(INDIRECT("'"&amp;AM$5&amp;"'!E6:E1000"),INDIRECT("'"&amp;AM$5&amp;"'!C6:C1000"),$AA33,INDIRECT("'"&amp;AM$5&amp;"'!F6:F1000"),"件"))</f>
        <v>0</v>
      </c>
      <c r="BL33">
        <f>IF(OR($AA33="",AN$5=""),0,SUMIFS(INDIRECT("'"&amp;AN$5&amp;"'!E6:E1000"),INDIRECT("'"&amp;AN$5&amp;"'!C6:C1000"),$AA33,INDIRECT("'"&amp;AN$5&amp;"'!F6:F1000"),"箱")+SUMIFS(INDIRECT("'"&amp;AN$5&amp;"'!E6:E1000"),INDIRECT("'"&amp;AN$5&amp;"'!C6:C1000"),$AA33,INDIRECT("'"&amp;AN$5&amp;"'!F6:F1000"),"件"))</f>
        <v>0</v>
      </c>
      <c r="BM33">
        <f>(AO33-BA33)/$AB33+BA33</f>
        <v>0</v>
      </c>
      <c r="BN33">
        <f>(AP33-BB33)/$AB33+BB33</f>
        <v>0</v>
      </c>
      <c r="BO33">
        <f>(AQ33-BC33)/$AB33+BC33</f>
        <v>0</v>
      </c>
      <c r="BP33">
        <f>(AR33-BD33)/$AB33+BD33</f>
        <v>0</v>
      </c>
      <c r="BQ33">
        <f>(AS33-BE33)/$AB33+BE33</f>
        <v>0</v>
      </c>
      <c r="BR33">
        <f>(AT33-BF33)/$AB33+BF33</f>
        <v>0</v>
      </c>
      <c r="BS33">
        <f>(AU33-BG33)/$AB33+BG33</f>
        <v>0</v>
      </c>
      <c r="BT33">
        <f>(AV33-BH33)/$AB33+BH33</f>
        <v>3.875</v>
      </c>
      <c r="BU33">
        <f>(AW33-BI33)/$AB33+BI33</f>
        <v>0</v>
      </c>
      <c r="BV33">
        <f>(AX33-BJ33)/$AB33+BJ33</f>
        <v>0</v>
      </c>
      <c r="BW33">
        <f>(AY33-BK33)/$AB33+BK33</f>
        <v>0</v>
      </c>
      <c r="BX33">
        <f>(AZ33-BL33)/$AB33+BL33</f>
        <v>0</v>
      </c>
      <c r="BY33">
        <f>SUMPRODUCT((($AC$4:$AN$4=报损汇总一览!$A$3)+(报损汇总一览!$A$3="全年"))*AC33:AN33)</f>
        <v>69.75</v>
      </c>
      <c r="BZ33">
        <f>IF(BY33&gt;0,BY33+(1000-ROW())/10000000,"")</f>
        <v>69.7500967</v>
      </c>
      <c r="CA33">
        <f>SUMPRODUCT((($AC$4:$AN$4=报损汇总一览!$A$3)+(报损汇总一览!$A$3="全年"))*AO33:AZ33)</f>
        <v>31</v>
      </c>
    </row>
    <row r="34">
      <c r="A34">
        <f>IF(OR(存条明细!C34="",存条明细!D34=""),"",IF(COUNTIFS(存条明细!$C$4:C34,存条明细!C34,存条明细!$D$4:D34,存条明细!D34)&gt;1,"",IFERROR(MATCH(存条明细!C34,总览汇总!$B$5:$B$304,0),900)*10000000+IFERROR(MATCH(存条明细!D34,基础资料!$E$5:$E$104,0),900)*10000+ROW()))</f>
        <v>50040034</v>
      </c>
      <c r="B34">
        <f>IFERROR(MATCH(SMALL($A$4:$A$4003,31),$A$4:$A$4003,0),"")</f>
        <v>27</v>
      </c>
      <c r="D34">
        <f>IF(AND(商品库存!B34&lt;&gt;"",商品库存!B34=客户查询!$B$4),COUNTIF(商品库存!$B$4:B34,客户查询!$B$4),"")</f>
      </c>
      <c r="E34">
        <f>IF(AND(商品库存!B34&lt;&gt;"",商品库存!B34=客户对账单!$B$4),COUNTIF(商品库存!$B$4:B34,客户对账单!$B$4),"")</f>
      </c>
      <c r="F34">
        <f>IF(AND(出库明细!C34&lt;&gt;"",出库明细!C34=客户对账单!$B$4,ISNUMBER(出库明细!B34),出库明细!B34&gt;=客户对账单!$G$4,出库明细!B34&lt;=客户对账单!$I$4),出库明细!B34+ROW()/100000,"")</f>
      </c>
      <c r="H34">
        <f>IF(AND(采购进货!C34&lt;&gt;"",采购进货!C34=供应商对账单!$B$4,ISNUMBER(采购进货!B34),采购进货!B34&gt;=供应商对账单!$G$4,采购进货!B34&lt;=供应商对账单!$I$4),采购进货!B34+ROW()/100000,"")</f>
      </c>
      <c r="J34">
        <f>IF(总览汇总!$B34="","",N(总览汇总!$K34)+SUMIFS(出库明细!$G$4:$G$3003,出库明细!$C$4:$C$3003,总览汇总!$B34,出库明细!$B$4:$B$3003,"&gt;="&amp;年初日,出库明细!$B$4:$B$3003,"&lt;="&amp;资产负债表!$D$3)-SUMIFS(资金台帐!$S$7:$S$3006,资金台帐!$J$7:$J$3006,总览汇总!$B34,资金台帐!$P$7:$P$3006,"应收",资金台帐!$B$7:$B$3006,"&gt;="&amp;年初日,资金台帐!$B$7:$B$3006,"&lt;="&amp;资产负债表!$D$3))</f>
        <v>-20913.5</v>
      </c>
      <c r="K34">
        <f>IF(基础资料!$Q34="","",N(基础资料!$R34)+SUMIFS(采购进货!$G$4:$G$1503,采购进货!$C$4:$C$1503,基础资料!$Q34,采购进货!$B$4:$B$1503,"&gt;="&amp;年初日,采购进货!$B$4:$B$1503,"&lt;="&amp;资产负债表!$D$3)+SUMIFS(资金台帐!$S$7:$S$3006,资金台帐!$K$7:$K$3006,基础资料!$Q34,资金台帐!$P$7:$P$3006,"应付",资金台帐!$B$7:$B$3006,"&gt;="&amp;年初日,资金台帐!$B$7:$B$3006,"&lt;="&amp;资产负债表!$D$3))</f>
      </c>
      <c r="N34">
        <f>IF(AND(ISNUMBER(出库明细!G34),ISNUMBER(出库明细!E34),ISNUMBER(出库明细!F34)),IF(ABS(出库明细!G34-出库明细!E34*出库明细!F34)&gt;0.005,1,0),0)</f>
        <v>0</v>
      </c>
      <c r="O34">
        <f>IF(AND(ISNUMBER(存条明细!G34),ISNUMBER(存条明细!E34),ISNUMBER(存条明细!F34)),IF(ABS(存条明细!G34-存条明细!E34*存条明细!F34)&gt;0.005,1,0),0)</f>
        <v>0</v>
      </c>
      <c r="AA34" t="str">
        <f>IF(基础资料!G33="","",基础资料!G33&amp;"")</f>
        <v>农夫5L水</v>
      </c>
      <c r="AB34">
        <f>IF(N(基础资料!I33)&lt;=0,1,基础资料!I33)</f>
        <v>4</v>
      </c>
      <c r="AC34">
        <f>IF(OR($AA34="",AC$5=""),0,SUMIF(INDIRECT("'"&amp;AC$5&amp;"'!C6:C1000"),$AA34,INDIRECT("'"&amp;AC$5&amp;"'!H6:H1000")))</f>
        <v>0</v>
      </c>
      <c r="AD34">
        <f>IF(OR($AA34="",AD$5=""),0,SUMIF(INDIRECT("'"&amp;AD$5&amp;"'!C6:C1000"),$AA34,INDIRECT("'"&amp;AD$5&amp;"'!H6:H1000")))</f>
        <v>0</v>
      </c>
      <c r="AE34">
        <f>IF(OR($AA34="",AE$5=""),0,SUMIF(INDIRECT("'"&amp;AE$5&amp;"'!C6:C1000"),$AA34,INDIRECT("'"&amp;AE$5&amp;"'!H6:H1000")))</f>
        <v>0</v>
      </c>
      <c r="AF34">
        <f>IF(OR($AA34="",AF$5=""),0,SUMIF(INDIRECT("'"&amp;AF$5&amp;"'!C6:C1000"),$AA34,INDIRECT("'"&amp;AF$5&amp;"'!H6:H1000")))</f>
        <v>0</v>
      </c>
      <c r="AG34">
        <f>IF(OR($AA34="",AG$5=""),0,SUMIF(INDIRECT("'"&amp;AG$5&amp;"'!C6:C1000"),$AA34,INDIRECT("'"&amp;AG$5&amp;"'!H6:H1000")))</f>
        <v>0</v>
      </c>
      <c r="AH34">
        <f>IF(OR($AA34="",AH$5=""),0,SUMIF(INDIRECT("'"&amp;AH$5&amp;"'!C6:C1000"),$AA34,INDIRECT("'"&amp;AH$5&amp;"'!H6:H1000")))</f>
        <v>0</v>
      </c>
      <c r="AI34">
        <f>IF(OR($AA34="",AI$5=""),0,SUMIF(INDIRECT("'"&amp;AI$5&amp;"'!C6:C1000"),$AA34,INDIRECT("'"&amp;AI$5&amp;"'!H6:H1000")))</f>
        <v>0</v>
      </c>
      <c r="AJ34">
        <f>IF(OR($AA34="",AJ$5=""),0,SUMIF(INDIRECT("'"&amp;AJ$5&amp;"'!C6:C1000"),$AA34,INDIRECT("'"&amp;AJ$5&amp;"'!H6:H1000")))</f>
        <v>0</v>
      </c>
      <c r="AK34">
        <f>IF(OR($AA34="",AK$5=""),0,SUMIF(INDIRECT("'"&amp;AK$5&amp;"'!C6:C1000"),$AA34,INDIRECT("'"&amp;AK$5&amp;"'!H6:H1000")))</f>
        <v>0</v>
      </c>
      <c r="AL34">
        <f>IF(OR($AA34="",AL$5=""),0,SUMIF(INDIRECT("'"&amp;AL$5&amp;"'!C6:C1000"),$AA34,INDIRECT("'"&amp;AL$5&amp;"'!H6:H1000")))</f>
        <v>0</v>
      </c>
      <c r="AM34">
        <f>IF(OR($AA34="",AM$5=""),0,SUMIF(INDIRECT("'"&amp;AM$5&amp;"'!C6:C1000"),$AA34,INDIRECT("'"&amp;AM$5&amp;"'!H6:H1000")))</f>
        <v>0</v>
      </c>
      <c r="AN34">
        <f>IF(OR($AA34="",AN$5=""),0,SUMIF(INDIRECT("'"&amp;AN$5&amp;"'!C6:C1000"),$AA34,INDIRECT("'"&amp;AN$5&amp;"'!H6:H1000")))</f>
        <v>0</v>
      </c>
      <c r="AO34">
        <f>IF(OR($AA34="",AC$5=""),0,SUMIF(INDIRECT("'"&amp;AC$5&amp;"'!C6:C1000"),$AA34,INDIRECT("'"&amp;AC$5&amp;"'!E6:E1000")))</f>
        <v>0</v>
      </c>
      <c r="AP34">
        <f>IF(OR($AA34="",AD$5=""),0,SUMIF(INDIRECT("'"&amp;AD$5&amp;"'!C6:C1000"),$AA34,INDIRECT("'"&amp;AD$5&amp;"'!E6:E1000")))</f>
        <v>0</v>
      </c>
      <c r="AQ34">
        <f>IF(OR($AA34="",AE$5=""),0,SUMIF(INDIRECT("'"&amp;AE$5&amp;"'!C6:C1000"),$AA34,INDIRECT("'"&amp;AE$5&amp;"'!E6:E1000")))</f>
        <v>0</v>
      </c>
      <c r="AR34">
        <f>IF(OR($AA34="",AF$5=""),0,SUMIF(INDIRECT("'"&amp;AF$5&amp;"'!C6:C1000"),$AA34,INDIRECT("'"&amp;AF$5&amp;"'!E6:E1000")))</f>
        <v>0</v>
      </c>
      <c r="AS34">
        <f>IF(OR($AA34="",AG$5=""),0,SUMIF(INDIRECT("'"&amp;AG$5&amp;"'!C6:C1000"),$AA34,INDIRECT("'"&amp;AG$5&amp;"'!E6:E1000")))</f>
        <v>0</v>
      </c>
      <c r="AT34">
        <f>IF(OR($AA34="",AH$5=""),0,SUMIF(INDIRECT("'"&amp;AH$5&amp;"'!C6:C1000"),$AA34,INDIRECT("'"&amp;AH$5&amp;"'!E6:E1000")))</f>
        <v>0</v>
      </c>
      <c r="AU34">
        <f>IF(OR($AA34="",AI$5=""),0,SUMIF(INDIRECT("'"&amp;AI$5&amp;"'!C6:C1000"),$AA34,INDIRECT("'"&amp;AI$5&amp;"'!E6:E1000")))</f>
        <v>0</v>
      </c>
      <c r="AV34">
        <f>IF(OR($AA34="",AJ$5=""),0,SUMIF(INDIRECT("'"&amp;AJ$5&amp;"'!C6:C1000"),$AA34,INDIRECT("'"&amp;AJ$5&amp;"'!E6:E1000")))</f>
        <v>0</v>
      </c>
      <c r="AW34">
        <f>IF(OR($AA34="",AK$5=""),0,SUMIF(INDIRECT("'"&amp;AK$5&amp;"'!C6:C1000"),$AA34,INDIRECT("'"&amp;AK$5&amp;"'!E6:E1000")))</f>
        <v>0</v>
      </c>
      <c r="AX34">
        <f>IF(OR($AA34="",AL$5=""),0,SUMIF(INDIRECT("'"&amp;AL$5&amp;"'!C6:C1000"),$AA34,INDIRECT("'"&amp;AL$5&amp;"'!E6:E1000")))</f>
        <v>0</v>
      </c>
      <c r="AY34">
        <f>IF(OR($AA34="",AM$5=""),0,SUMIF(INDIRECT("'"&amp;AM$5&amp;"'!C6:C1000"),$AA34,INDIRECT("'"&amp;AM$5&amp;"'!E6:E1000")))</f>
        <v>0</v>
      </c>
      <c r="AZ34">
        <f>IF(OR($AA34="",AN$5=""),0,SUMIF(INDIRECT("'"&amp;AN$5&amp;"'!C6:C1000"),$AA34,INDIRECT("'"&amp;AN$5&amp;"'!E6:E1000")))</f>
        <v>0</v>
      </c>
      <c r="BA34">
        <f>IF(OR($AA34="",AC$5=""),0,SUMIFS(INDIRECT("'"&amp;AC$5&amp;"'!E6:E1000"),INDIRECT("'"&amp;AC$5&amp;"'!C6:C1000"),$AA34,INDIRECT("'"&amp;AC$5&amp;"'!F6:F1000"),"箱")+SUMIFS(INDIRECT("'"&amp;AC$5&amp;"'!E6:E1000"),INDIRECT("'"&amp;AC$5&amp;"'!C6:C1000"),$AA34,INDIRECT("'"&amp;AC$5&amp;"'!F6:F1000"),"件"))</f>
        <v>0</v>
      </c>
      <c r="BB34">
        <f>IF(OR($AA34="",AD$5=""),0,SUMIFS(INDIRECT("'"&amp;AD$5&amp;"'!E6:E1000"),INDIRECT("'"&amp;AD$5&amp;"'!C6:C1000"),$AA34,INDIRECT("'"&amp;AD$5&amp;"'!F6:F1000"),"箱")+SUMIFS(INDIRECT("'"&amp;AD$5&amp;"'!E6:E1000"),INDIRECT("'"&amp;AD$5&amp;"'!C6:C1000"),$AA34,INDIRECT("'"&amp;AD$5&amp;"'!F6:F1000"),"件"))</f>
        <v>0</v>
      </c>
      <c r="BC34">
        <f>IF(OR($AA34="",AE$5=""),0,SUMIFS(INDIRECT("'"&amp;AE$5&amp;"'!E6:E1000"),INDIRECT("'"&amp;AE$5&amp;"'!C6:C1000"),$AA34,INDIRECT("'"&amp;AE$5&amp;"'!F6:F1000"),"箱")+SUMIFS(INDIRECT("'"&amp;AE$5&amp;"'!E6:E1000"),INDIRECT("'"&amp;AE$5&amp;"'!C6:C1000"),$AA34,INDIRECT("'"&amp;AE$5&amp;"'!F6:F1000"),"件"))</f>
        <v>0</v>
      </c>
      <c r="BD34">
        <f>IF(OR($AA34="",AF$5=""),0,SUMIFS(INDIRECT("'"&amp;AF$5&amp;"'!E6:E1000"),INDIRECT("'"&amp;AF$5&amp;"'!C6:C1000"),$AA34,INDIRECT("'"&amp;AF$5&amp;"'!F6:F1000"),"箱")+SUMIFS(INDIRECT("'"&amp;AF$5&amp;"'!E6:E1000"),INDIRECT("'"&amp;AF$5&amp;"'!C6:C1000"),$AA34,INDIRECT("'"&amp;AF$5&amp;"'!F6:F1000"),"件"))</f>
        <v>0</v>
      </c>
      <c r="BE34">
        <f>IF(OR($AA34="",AG$5=""),0,SUMIFS(INDIRECT("'"&amp;AG$5&amp;"'!E6:E1000"),INDIRECT("'"&amp;AG$5&amp;"'!C6:C1000"),$AA34,INDIRECT("'"&amp;AG$5&amp;"'!F6:F1000"),"箱")+SUMIFS(INDIRECT("'"&amp;AG$5&amp;"'!E6:E1000"),INDIRECT("'"&amp;AG$5&amp;"'!C6:C1000"),$AA34,INDIRECT("'"&amp;AG$5&amp;"'!F6:F1000"),"件"))</f>
        <v>0</v>
      </c>
      <c r="BF34">
        <f>IF(OR($AA34="",AH$5=""),0,SUMIFS(INDIRECT("'"&amp;AH$5&amp;"'!E6:E1000"),INDIRECT("'"&amp;AH$5&amp;"'!C6:C1000"),$AA34,INDIRECT("'"&amp;AH$5&amp;"'!F6:F1000"),"箱")+SUMIFS(INDIRECT("'"&amp;AH$5&amp;"'!E6:E1000"),INDIRECT("'"&amp;AH$5&amp;"'!C6:C1000"),$AA34,INDIRECT("'"&amp;AH$5&amp;"'!F6:F1000"),"件"))</f>
        <v>0</v>
      </c>
      <c r="BG34">
        <f>IF(OR($AA34="",AI$5=""),0,SUMIFS(INDIRECT("'"&amp;AI$5&amp;"'!E6:E1000"),INDIRECT("'"&amp;AI$5&amp;"'!C6:C1000"),$AA34,INDIRECT("'"&amp;AI$5&amp;"'!F6:F1000"),"箱")+SUMIFS(INDIRECT("'"&amp;AI$5&amp;"'!E6:E1000"),INDIRECT("'"&amp;AI$5&amp;"'!C6:C1000"),$AA34,INDIRECT("'"&amp;AI$5&amp;"'!F6:F1000"),"件"))</f>
        <v>0</v>
      </c>
      <c r="BH34">
        <f>IF(OR($AA34="",AJ$5=""),0,SUMIFS(INDIRECT("'"&amp;AJ$5&amp;"'!E6:E1000"),INDIRECT("'"&amp;AJ$5&amp;"'!C6:C1000"),$AA34,INDIRECT("'"&amp;AJ$5&amp;"'!F6:F1000"),"箱")+SUMIFS(INDIRECT("'"&amp;AJ$5&amp;"'!E6:E1000"),INDIRECT("'"&amp;AJ$5&amp;"'!C6:C1000"),$AA34,INDIRECT("'"&amp;AJ$5&amp;"'!F6:F1000"),"件"))</f>
        <v>0</v>
      </c>
      <c r="BI34">
        <f>IF(OR($AA34="",AK$5=""),0,SUMIFS(INDIRECT("'"&amp;AK$5&amp;"'!E6:E1000"),INDIRECT("'"&amp;AK$5&amp;"'!C6:C1000"),$AA34,INDIRECT("'"&amp;AK$5&amp;"'!F6:F1000"),"箱")+SUMIFS(INDIRECT("'"&amp;AK$5&amp;"'!E6:E1000"),INDIRECT("'"&amp;AK$5&amp;"'!C6:C1000"),$AA34,INDIRECT("'"&amp;AK$5&amp;"'!F6:F1000"),"件"))</f>
        <v>0</v>
      </c>
      <c r="BJ34">
        <f>IF(OR($AA34="",AL$5=""),0,SUMIFS(INDIRECT("'"&amp;AL$5&amp;"'!E6:E1000"),INDIRECT("'"&amp;AL$5&amp;"'!C6:C1000"),$AA34,INDIRECT("'"&amp;AL$5&amp;"'!F6:F1000"),"箱")+SUMIFS(INDIRECT("'"&amp;AL$5&amp;"'!E6:E1000"),INDIRECT("'"&amp;AL$5&amp;"'!C6:C1000"),$AA34,INDIRECT("'"&amp;AL$5&amp;"'!F6:F1000"),"件"))</f>
        <v>0</v>
      </c>
      <c r="BK34">
        <f>IF(OR($AA34="",AM$5=""),0,SUMIFS(INDIRECT("'"&amp;AM$5&amp;"'!E6:E1000"),INDIRECT("'"&amp;AM$5&amp;"'!C6:C1000"),$AA34,INDIRECT("'"&amp;AM$5&amp;"'!F6:F1000"),"箱")+SUMIFS(INDIRECT("'"&amp;AM$5&amp;"'!E6:E1000"),INDIRECT("'"&amp;AM$5&amp;"'!C6:C1000"),$AA34,INDIRECT("'"&amp;AM$5&amp;"'!F6:F1000"),"件"))</f>
        <v>0</v>
      </c>
      <c r="BL34">
        <f>IF(OR($AA34="",AN$5=""),0,SUMIFS(INDIRECT("'"&amp;AN$5&amp;"'!E6:E1000"),INDIRECT("'"&amp;AN$5&amp;"'!C6:C1000"),$AA34,INDIRECT("'"&amp;AN$5&amp;"'!F6:F1000"),"箱")+SUMIFS(INDIRECT("'"&amp;AN$5&amp;"'!E6:E1000"),INDIRECT("'"&amp;AN$5&amp;"'!C6:C1000"),$AA34,INDIRECT("'"&amp;AN$5&amp;"'!F6:F1000"),"件"))</f>
        <v>0</v>
      </c>
      <c r="BM34">
        <f>(AO34-BA34)/$AB34+BA34</f>
        <v>0</v>
      </c>
      <c r="BN34">
        <f>(AP34-BB34)/$AB34+BB34</f>
        <v>0</v>
      </c>
      <c r="BO34">
        <f>(AQ34-BC34)/$AB34+BC34</f>
        <v>0</v>
      </c>
      <c r="BP34">
        <f>(AR34-BD34)/$AB34+BD34</f>
        <v>0</v>
      </c>
      <c r="BQ34">
        <f>(AS34-BE34)/$AB34+BE34</f>
        <v>0</v>
      </c>
      <c r="BR34">
        <f>(AT34-BF34)/$AB34+BF34</f>
        <v>0</v>
      </c>
      <c r="BS34">
        <f>(AU34-BG34)/$AB34+BG34</f>
        <v>0</v>
      </c>
      <c r="BT34">
        <f>(AV34-BH34)/$AB34+BH34</f>
        <v>0</v>
      </c>
      <c r="BU34">
        <f>(AW34-BI34)/$AB34+BI34</f>
        <v>0</v>
      </c>
      <c r="BV34">
        <f>(AX34-BJ34)/$AB34+BJ34</f>
        <v>0</v>
      </c>
      <c r="BW34">
        <f>(AY34-BK34)/$AB34+BK34</f>
        <v>0</v>
      </c>
      <c r="BX34">
        <f>(AZ34-BL34)/$AB34+BL34</f>
        <v>0</v>
      </c>
      <c r="BY34">
        <f>SUMPRODUCT((($AC$4:$AN$4=报损汇总一览!$A$3)+(报损汇总一览!$A$3="全年"))*AC34:AN34)</f>
        <v>0</v>
      </c>
      <c r="BZ34">
        <f>IF(BY34&gt;0,BY34+(1000-ROW())/10000000,"")</f>
      </c>
      <c r="CA34">
        <f>SUMPRODUCT((($AC$4:$AN$4=报损汇总一览!$A$3)+(报损汇总一览!$A$3="全年"))*AO34:AZ34)</f>
        <v>0</v>
      </c>
    </row>
    <row r="35">
      <c r="A35">
        <f>IF(OR(存条明细!C35="",存条明细!D35=""),"",IF(COUNTIFS(存条明细!$C$4:C35,存条明细!C35,存条明细!$D$4:D35,存条明细!D35)&gt;1,"",IFERROR(MATCH(存条明细!C35,总览汇总!$B$5:$B$304,0),900)*10000000+IFERROR(MATCH(存条明细!D35,基础资料!$E$5:$E$104,0),900)*10000+ROW()))</f>
        <v>50070035</v>
      </c>
      <c r="B35">
        <f>IFERROR(MATCH(SMALL($A$4:$A$4003,32),$A$4:$A$4003,0),"")</f>
        <v>25</v>
      </c>
      <c r="D35">
        <f>IF(AND(商品库存!B35&lt;&gt;"",商品库存!B35=客户查询!$B$4),COUNTIF(商品库存!$B$4:B35,客户查询!$B$4),"")</f>
      </c>
      <c r="E35">
        <f>IF(AND(商品库存!B35&lt;&gt;"",商品库存!B35=客户对账单!$B$4),COUNTIF(商品库存!$B$4:B35,客户对账单!$B$4),"")</f>
      </c>
      <c r="F35">
        <f>IF(AND(出库明细!C35&lt;&gt;"",出库明细!C35=客户对账单!$B$4,ISNUMBER(出库明细!B35),出库明细!B35&gt;=客户对账单!$G$4,出库明细!B35&lt;=客户对账单!$I$4),出库明细!B35+ROW()/100000,"")</f>
      </c>
      <c r="H35">
        <f>IF(AND(采购进货!C35&lt;&gt;"",采购进货!C35=供应商对账单!$B$4,ISNUMBER(采购进货!B35),采购进货!B35&gt;=供应商对账单!$G$4,采购进货!B35&lt;=供应商对账单!$I$4),采购进货!B35+ROW()/100000,"")</f>
      </c>
      <c r="J35">
        <f>IF(总览汇总!$B35="","",N(总览汇总!$K35)+SUMIFS(出库明细!$G$4:$G$3003,出库明细!$C$4:$C$3003,总览汇总!$B35,出库明细!$B$4:$B$3003,"&gt;="&amp;年初日,出库明细!$B$4:$B$3003,"&lt;="&amp;资产负债表!$D$3)-SUMIFS(资金台帐!$S$7:$S$3006,资金台帐!$J$7:$J$3006,总览汇总!$B35,资金台帐!$P$7:$P$3006,"应收",资金台帐!$B$7:$B$3006,"&gt;="&amp;年初日,资金台帐!$B$7:$B$3006,"&lt;="&amp;资产负债表!$D$3))</f>
        <v>-21135</v>
      </c>
      <c r="K35">
        <f>IF(基础资料!$Q35="","",N(基础资料!$R35)+SUMIFS(采购进货!$G$4:$G$1503,采购进货!$C$4:$C$1503,基础资料!$Q35,采购进货!$B$4:$B$1503,"&gt;="&amp;年初日,采购进货!$B$4:$B$1503,"&lt;="&amp;资产负债表!$D$3)+SUMIFS(资金台帐!$S$7:$S$3006,资金台帐!$K$7:$K$3006,基础资料!$Q35,资金台帐!$P$7:$P$3006,"应付",资金台帐!$B$7:$B$3006,"&gt;="&amp;年初日,资金台帐!$B$7:$B$3006,"&lt;="&amp;资产负债表!$D$3))</f>
      </c>
      <c r="N35">
        <f>IF(AND(ISNUMBER(出库明细!G35),ISNUMBER(出库明细!E35),ISNUMBER(出库明细!F35)),IF(ABS(出库明细!G35-出库明细!E35*出库明细!F35)&gt;0.005,1,0),0)</f>
        <v>0</v>
      </c>
      <c r="O35">
        <f>IF(AND(ISNUMBER(存条明细!G35),ISNUMBER(存条明细!E35),ISNUMBER(存条明细!F35)),IF(ABS(存条明细!G35-存条明细!E35*存条明细!F35)&gt;0.005,1,0),0)</f>
        <v>0</v>
      </c>
      <c r="AA35" t="str">
        <f>IF(基础资料!G34="","",基础资料!G34&amp;"")</f>
        <v>农夫12.9L水</v>
      </c>
      <c r="AB35">
        <f>IF(N(基础资料!I34)&lt;=0,1,基础资料!I34)</f>
        <v>1</v>
      </c>
      <c r="AC35">
        <f>IF(OR($AA35="",AC$5=""),0,SUMIF(INDIRECT("'"&amp;AC$5&amp;"'!C6:C1000"),$AA35,INDIRECT("'"&amp;AC$5&amp;"'!H6:H1000")))</f>
        <v>0</v>
      </c>
      <c r="AD35">
        <f>IF(OR($AA35="",AD$5=""),0,SUMIF(INDIRECT("'"&amp;AD$5&amp;"'!C6:C1000"),$AA35,INDIRECT("'"&amp;AD$5&amp;"'!H6:H1000")))</f>
        <v>0</v>
      </c>
      <c r="AE35">
        <f>IF(OR($AA35="",AE$5=""),0,SUMIF(INDIRECT("'"&amp;AE$5&amp;"'!C6:C1000"),$AA35,INDIRECT("'"&amp;AE$5&amp;"'!H6:H1000")))</f>
        <v>0</v>
      </c>
      <c r="AF35">
        <f>IF(OR($AA35="",AF$5=""),0,SUMIF(INDIRECT("'"&amp;AF$5&amp;"'!C6:C1000"),$AA35,INDIRECT("'"&amp;AF$5&amp;"'!H6:H1000")))</f>
        <v>0</v>
      </c>
      <c r="AG35">
        <f>IF(OR($AA35="",AG$5=""),0,SUMIF(INDIRECT("'"&amp;AG$5&amp;"'!C6:C1000"),$AA35,INDIRECT("'"&amp;AG$5&amp;"'!H6:H1000")))</f>
        <v>0</v>
      </c>
      <c r="AH35">
        <f>IF(OR($AA35="",AH$5=""),0,SUMIF(INDIRECT("'"&amp;AH$5&amp;"'!C6:C1000"),$AA35,INDIRECT("'"&amp;AH$5&amp;"'!H6:H1000")))</f>
        <v>0</v>
      </c>
      <c r="AI35">
        <f>IF(OR($AA35="",AI$5=""),0,SUMIF(INDIRECT("'"&amp;AI$5&amp;"'!C6:C1000"),$AA35,INDIRECT("'"&amp;AI$5&amp;"'!H6:H1000")))</f>
        <v>0</v>
      </c>
      <c r="AJ35">
        <f>IF(OR($AA35="",AJ$5=""),0,SUMIF(INDIRECT("'"&amp;AJ$5&amp;"'!C6:C1000"),$AA35,INDIRECT("'"&amp;AJ$5&amp;"'!H6:H1000")))</f>
        <v>0</v>
      </c>
      <c r="AK35">
        <f>IF(OR($AA35="",AK$5=""),0,SUMIF(INDIRECT("'"&amp;AK$5&amp;"'!C6:C1000"),$AA35,INDIRECT("'"&amp;AK$5&amp;"'!H6:H1000")))</f>
        <v>0</v>
      </c>
      <c r="AL35">
        <f>IF(OR($AA35="",AL$5=""),0,SUMIF(INDIRECT("'"&amp;AL$5&amp;"'!C6:C1000"),$AA35,INDIRECT("'"&amp;AL$5&amp;"'!H6:H1000")))</f>
        <v>0</v>
      </c>
      <c r="AM35">
        <f>IF(OR($AA35="",AM$5=""),0,SUMIF(INDIRECT("'"&amp;AM$5&amp;"'!C6:C1000"),$AA35,INDIRECT("'"&amp;AM$5&amp;"'!H6:H1000")))</f>
        <v>0</v>
      </c>
      <c r="AN35">
        <f>IF(OR($AA35="",AN$5=""),0,SUMIF(INDIRECT("'"&amp;AN$5&amp;"'!C6:C1000"),$AA35,INDIRECT("'"&amp;AN$5&amp;"'!H6:H1000")))</f>
        <v>0</v>
      </c>
      <c r="AO35">
        <f>IF(OR($AA35="",AC$5=""),0,SUMIF(INDIRECT("'"&amp;AC$5&amp;"'!C6:C1000"),$AA35,INDIRECT("'"&amp;AC$5&amp;"'!E6:E1000")))</f>
        <v>0</v>
      </c>
      <c r="AP35">
        <f>IF(OR($AA35="",AD$5=""),0,SUMIF(INDIRECT("'"&amp;AD$5&amp;"'!C6:C1000"),$AA35,INDIRECT("'"&amp;AD$5&amp;"'!E6:E1000")))</f>
        <v>0</v>
      </c>
      <c r="AQ35">
        <f>IF(OR($AA35="",AE$5=""),0,SUMIF(INDIRECT("'"&amp;AE$5&amp;"'!C6:C1000"),$AA35,INDIRECT("'"&amp;AE$5&amp;"'!E6:E1000")))</f>
        <v>0</v>
      </c>
      <c r="AR35">
        <f>IF(OR($AA35="",AF$5=""),0,SUMIF(INDIRECT("'"&amp;AF$5&amp;"'!C6:C1000"),$AA35,INDIRECT("'"&amp;AF$5&amp;"'!E6:E1000")))</f>
        <v>0</v>
      </c>
      <c r="AS35">
        <f>IF(OR($AA35="",AG$5=""),0,SUMIF(INDIRECT("'"&amp;AG$5&amp;"'!C6:C1000"),$AA35,INDIRECT("'"&amp;AG$5&amp;"'!E6:E1000")))</f>
        <v>0</v>
      </c>
      <c r="AT35">
        <f>IF(OR($AA35="",AH$5=""),0,SUMIF(INDIRECT("'"&amp;AH$5&amp;"'!C6:C1000"),$AA35,INDIRECT("'"&amp;AH$5&amp;"'!E6:E1000")))</f>
        <v>0</v>
      </c>
      <c r="AU35">
        <f>IF(OR($AA35="",AI$5=""),0,SUMIF(INDIRECT("'"&amp;AI$5&amp;"'!C6:C1000"),$AA35,INDIRECT("'"&amp;AI$5&amp;"'!E6:E1000")))</f>
        <v>0</v>
      </c>
      <c r="AV35">
        <f>IF(OR($AA35="",AJ$5=""),0,SUMIF(INDIRECT("'"&amp;AJ$5&amp;"'!C6:C1000"),$AA35,INDIRECT("'"&amp;AJ$5&amp;"'!E6:E1000")))</f>
        <v>0</v>
      </c>
      <c r="AW35">
        <f>IF(OR($AA35="",AK$5=""),0,SUMIF(INDIRECT("'"&amp;AK$5&amp;"'!C6:C1000"),$AA35,INDIRECT("'"&amp;AK$5&amp;"'!E6:E1000")))</f>
        <v>0</v>
      </c>
      <c r="AX35">
        <f>IF(OR($AA35="",AL$5=""),0,SUMIF(INDIRECT("'"&amp;AL$5&amp;"'!C6:C1000"),$AA35,INDIRECT("'"&amp;AL$5&amp;"'!E6:E1000")))</f>
        <v>0</v>
      </c>
      <c r="AY35">
        <f>IF(OR($AA35="",AM$5=""),0,SUMIF(INDIRECT("'"&amp;AM$5&amp;"'!C6:C1000"),$AA35,INDIRECT("'"&amp;AM$5&amp;"'!E6:E1000")))</f>
        <v>0</v>
      </c>
      <c r="AZ35">
        <f>IF(OR($AA35="",AN$5=""),0,SUMIF(INDIRECT("'"&amp;AN$5&amp;"'!C6:C1000"),$AA35,INDIRECT("'"&amp;AN$5&amp;"'!E6:E1000")))</f>
        <v>0</v>
      </c>
      <c r="BA35">
        <f>IF(OR($AA35="",AC$5=""),0,SUMIFS(INDIRECT("'"&amp;AC$5&amp;"'!E6:E1000"),INDIRECT("'"&amp;AC$5&amp;"'!C6:C1000"),$AA35,INDIRECT("'"&amp;AC$5&amp;"'!F6:F1000"),"箱")+SUMIFS(INDIRECT("'"&amp;AC$5&amp;"'!E6:E1000"),INDIRECT("'"&amp;AC$5&amp;"'!C6:C1000"),$AA35,INDIRECT("'"&amp;AC$5&amp;"'!F6:F1000"),"件"))</f>
        <v>0</v>
      </c>
      <c r="BB35">
        <f>IF(OR($AA35="",AD$5=""),0,SUMIFS(INDIRECT("'"&amp;AD$5&amp;"'!E6:E1000"),INDIRECT("'"&amp;AD$5&amp;"'!C6:C1000"),$AA35,INDIRECT("'"&amp;AD$5&amp;"'!F6:F1000"),"箱")+SUMIFS(INDIRECT("'"&amp;AD$5&amp;"'!E6:E1000"),INDIRECT("'"&amp;AD$5&amp;"'!C6:C1000"),$AA35,INDIRECT("'"&amp;AD$5&amp;"'!F6:F1000"),"件"))</f>
        <v>0</v>
      </c>
      <c r="BC35">
        <f>IF(OR($AA35="",AE$5=""),0,SUMIFS(INDIRECT("'"&amp;AE$5&amp;"'!E6:E1000"),INDIRECT("'"&amp;AE$5&amp;"'!C6:C1000"),$AA35,INDIRECT("'"&amp;AE$5&amp;"'!F6:F1000"),"箱")+SUMIFS(INDIRECT("'"&amp;AE$5&amp;"'!E6:E1000"),INDIRECT("'"&amp;AE$5&amp;"'!C6:C1000"),$AA35,INDIRECT("'"&amp;AE$5&amp;"'!F6:F1000"),"件"))</f>
        <v>0</v>
      </c>
      <c r="BD35">
        <f>IF(OR($AA35="",AF$5=""),0,SUMIFS(INDIRECT("'"&amp;AF$5&amp;"'!E6:E1000"),INDIRECT("'"&amp;AF$5&amp;"'!C6:C1000"),$AA35,INDIRECT("'"&amp;AF$5&amp;"'!F6:F1000"),"箱")+SUMIFS(INDIRECT("'"&amp;AF$5&amp;"'!E6:E1000"),INDIRECT("'"&amp;AF$5&amp;"'!C6:C1000"),$AA35,INDIRECT("'"&amp;AF$5&amp;"'!F6:F1000"),"件"))</f>
        <v>0</v>
      </c>
      <c r="BE35">
        <f>IF(OR($AA35="",AG$5=""),0,SUMIFS(INDIRECT("'"&amp;AG$5&amp;"'!E6:E1000"),INDIRECT("'"&amp;AG$5&amp;"'!C6:C1000"),$AA35,INDIRECT("'"&amp;AG$5&amp;"'!F6:F1000"),"箱")+SUMIFS(INDIRECT("'"&amp;AG$5&amp;"'!E6:E1000"),INDIRECT("'"&amp;AG$5&amp;"'!C6:C1000"),$AA35,INDIRECT("'"&amp;AG$5&amp;"'!F6:F1000"),"件"))</f>
        <v>0</v>
      </c>
      <c r="BF35">
        <f>IF(OR($AA35="",AH$5=""),0,SUMIFS(INDIRECT("'"&amp;AH$5&amp;"'!E6:E1000"),INDIRECT("'"&amp;AH$5&amp;"'!C6:C1000"),$AA35,INDIRECT("'"&amp;AH$5&amp;"'!F6:F1000"),"箱")+SUMIFS(INDIRECT("'"&amp;AH$5&amp;"'!E6:E1000"),INDIRECT("'"&amp;AH$5&amp;"'!C6:C1000"),$AA35,INDIRECT("'"&amp;AH$5&amp;"'!F6:F1000"),"件"))</f>
        <v>0</v>
      </c>
      <c r="BG35">
        <f>IF(OR($AA35="",AI$5=""),0,SUMIFS(INDIRECT("'"&amp;AI$5&amp;"'!E6:E1000"),INDIRECT("'"&amp;AI$5&amp;"'!C6:C1000"),$AA35,INDIRECT("'"&amp;AI$5&amp;"'!F6:F1000"),"箱")+SUMIFS(INDIRECT("'"&amp;AI$5&amp;"'!E6:E1000"),INDIRECT("'"&amp;AI$5&amp;"'!C6:C1000"),$AA35,INDIRECT("'"&amp;AI$5&amp;"'!F6:F1000"),"件"))</f>
        <v>0</v>
      </c>
      <c r="BH35">
        <f>IF(OR($AA35="",AJ$5=""),0,SUMIFS(INDIRECT("'"&amp;AJ$5&amp;"'!E6:E1000"),INDIRECT("'"&amp;AJ$5&amp;"'!C6:C1000"),$AA35,INDIRECT("'"&amp;AJ$5&amp;"'!F6:F1000"),"箱")+SUMIFS(INDIRECT("'"&amp;AJ$5&amp;"'!E6:E1000"),INDIRECT("'"&amp;AJ$5&amp;"'!C6:C1000"),$AA35,INDIRECT("'"&amp;AJ$5&amp;"'!F6:F1000"),"件"))</f>
        <v>0</v>
      </c>
      <c r="BI35">
        <f>IF(OR($AA35="",AK$5=""),0,SUMIFS(INDIRECT("'"&amp;AK$5&amp;"'!E6:E1000"),INDIRECT("'"&amp;AK$5&amp;"'!C6:C1000"),$AA35,INDIRECT("'"&amp;AK$5&amp;"'!F6:F1000"),"箱")+SUMIFS(INDIRECT("'"&amp;AK$5&amp;"'!E6:E1000"),INDIRECT("'"&amp;AK$5&amp;"'!C6:C1000"),$AA35,INDIRECT("'"&amp;AK$5&amp;"'!F6:F1000"),"件"))</f>
        <v>0</v>
      </c>
      <c r="BJ35">
        <f>IF(OR($AA35="",AL$5=""),0,SUMIFS(INDIRECT("'"&amp;AL$5&amp;"'!E6:E1000"),INDIRECT("'"&amp;AL$5&amp;"'!C6:C1000"),$AA35,INDIRECT("'"&amp;AL$5&amp;"'!F6:F1000"),"箱")+SUMIFS(INDIRECT("'"&amp;AL$5&amp;"'!E6:E1000"),INDIRECT("'"&amp;AL$5&amp;"'!C6:C1000"),$AA35,INDIRECT("'"&amp;AL$5&amp;"'!F6:F1000"),"件"))</f>
        <v>0</v>
      </c>
      <c r="BK35">
        <f>IF(OR($AA35="",AM$5=""),0,SUMIFS(INDIRECT("'"&amp;AM$5&amp;"'!E6:E1000"),INDIRECT("'"&amp;AM$5&amp;"'!C6:C1000"),$AA35,INDIRECT("'"&amp;AM$5&amp;"'!F6:F1000"),"箱")+SUMIFS(INDIRECT("'"&amp;AM$5&amp;"'!E6:E1000"),INDIRECT("'"&amp;AM$5&amp;"'!C6:C1000"),$AA35,INDIRECT("'"&amp;AM$5&amp;"'!F6:F1000"),"件"))</f>
        <v>0</v>
      </c>
      <c r="BL35">
        <f>IF(OR($AA35="",AN$5=""),0,SUMIFS(INDIRECT("'"&amp;AN$5&amp;"'!E6:E1000"),INDIRECT("'"&amp;AN$5&amp;"'!C6:C1000"),$AA35,INDIRECT("'"&amp;AN$5&amp;"'!F6:F1000"),"箱")+SUMIFS(INDIRECT("'"&amp;AN$5&amp;"'!E6:E1000"),INDIRECT("'"&amp;AN$5&amp;"'!C6:C1000"),$AA35,INDIRECT("'"&amp;AN$5&amp;"'!F6:F1000"),"件"))</f>
        <v>0</v>
      </c>
      <c r="BM35">
        <f>(AO35-BA35)/$AB35+BA35</f>
        <v>0</v>
      </c>
      <c r="BN35">
        <f>(AP35-BB35)/$AB35+BB35</f>
        <v>0</v>
      </c>
      <c r="BO35">
        <f>(AQ35-BC35)/$AB35+BC35</f>
        <v>0</v>
      </c>
      <c r="BP35">
        <f>(AR35-BD35)/$AB35+BD35</f>
        <v>0</v>
      </c>
      <c r="BQ35">
        <f>(AS35-BE35)/$AB35+BE35</f>
        <v>0</v>
      </c>
      <c r="BR35">
        <f>(AT35-BF35)/$AB35+BF35</f>
        <v>0</v>
      </c>
      <c r="BS35">
        <f>(AU35-BG35)/$AB35+BG35</f>
        <v>0</v>
      </c>
      <c r="BT35">
        <f>(AV35-BH35)/$AB35+BH35</f>
        <v>0</v>
      </c>
      <c r="BU35">
        <f>(AW35-BI35)/$AB35+BI35</f>
        <v>0</v>
      </c>
      <c r="BV35">
        <f>(AX35-BJ35)/$AB35+BJ35</f>
        <v>0</v>
      </c>
      <c r="BW35">
        <f>(AY35-BK35)/$AB35+BK35</f>
        <v>0</v>
      </c>
      <c r="BX35">
        <f>(AZ35-BL35)/$AB35+BL35</f>
        <v>0</v>
      </c>
      <c r="BY35">
        <f>SUMPRODUCT((($AC$4:$AN$4=报损汇总一览!$A$3)+(报损汇总一览!$A$3="全年"))*AC35:AN35)</f>
        <v>0</v>
      </c>
      <c r="BZ35">
        <f>IF(BY35&gt;0,BY35+(1000-ROW())/10000000,"")</f>
      </c>
      <c r="CA35">
        <f>SUMPRODUCT((($AC$4:$AN$4=报损汇总一览!$A$3)+(报损汇总一览!$A$3="全年"))*AO35:AZ35)</f>
        <v>0</v>
      </c>
    </row>
    <row r="36">
      <c r="A36">
        <f>IF(OR(存条明细!C36="",存条明细!D36=""),"",IF(COUNTIFS(存条明细!$C$4:C36,存条明细!C36,存条明细!$D$4:D36,存条明细!D36)&gt;1,"",IFERROR(MATCH(存条明细!C36,总览汇总!$B$5:$B$304,0),900)*10000000+IFERROR(MATCH(存条明细!D36,基础资料!$E$5:$E$104,0),900)*10000+ROW()))</f>
        <v>60010036</v>
      </c>
      <c r="B36">
        <f>IFERROR(MATCH(SMALL($A$4:$A$4003,33),$A$4:$A$4003,0),"")</f>
        <v>26</v>
      </c>
      <c r="D36">
        <f>IF(AND(商品库存!B36&lt;&gt;"",商品库存!B36=客户查询!$B$4),COUNTIF(商品库存!$B$4:B36,客户查询!$B$4),"")</f>
      </c>
      <c r="E36">
        <f>IF(AND(商品库存!B36&lt;&gt;"",商品库存!B36=客户对账单!$B$4),COUNTIF(商品库存!$B$4:B36,客户对账单!$B$4),"")</f>
      </c>
      <c r="F36">
        <f>IF(AND(出库明细!C36&lt;&gt;"",出库明细!C36=客户对账单!$B$4,ISNUMBER(出库明细!B36),出库明细!B36&gt;=客户对账单!$G$4,出库明细!B36&lt;=客户对账单!$I$4),出库明细!B36+ROW()/100000,"")</f>
      </c>
      <c r="H36">
        <f>IF(AND(采购进货!C36&lt;&gt;"",采购进货!C36=供应商对账单!$B$4,ISNUMBER(采购进货!B36),采购进货!B36&gt;=供应商对账单!$G$4,采购进货!B36&lt;=供应商对账单!$I$4),采购进货!B36+ROW()/100000,"")</f>
      </c>
      <c r="J36">
        <f>IF(总览汇总!$B36="","",N(总览汇总!$K36)+SUMIFS(出库明细!$G$4:$G$3003,出库明细!$C$4:$C$3003,总览汇总!$B36,出库明细!$B$4:$B$3003,"&gt;="&amp;年初日,出库明细!$B$4:$B$3003,"&lt;="&amp;资产负债表!$D$3)-SUMIFS(资金台帐!$S$7:$S$3006,资金台帐!$J$7:$J$3006,总览汇总!$B36,资金台帐!$P$7:$P$3006,"应收",资金台帐!$B$7:$B$3006,"&gt;="&amp;年初日,资金台帐!$B$7:$B$3006,"&lt;="&amp;资产负债表!$D$3))</f>
        <v>344</v>
      </c>
      <c r="K36">
        <f>IF(基础资料!$Q36="","",N(基础资料!$R36)+SUMIFS(采购进货!$G$4:$G$1503,采购进货!$C$4:$C$1503,基础资料!$Q36,采购进货!$B$4:$B$1503,"&gt;="&amp;年初日,采购进货!$B$4:$B$1503,"&lt;="&amp;资产负债表!$D$3)+SUMIFS(资金台帐!$S$7:$S$3006,资金台帐!$K$7:$K$3006,基础资料!$Q36,资金台帐!$P$7:$P$3006,"应付",资金台帐!$B$7:$B$3006,"&gt;="&amp;年初日,资金台帐!$B$7:$B$3006,"&lt;="&amp;资产负债表!$D$3))</f>
      </c>
      <c r="N36">
        <f>IF(AND(ISNUMBER(出库明细!G36),ISNUMBER(出库明细!E36),ISNUMBER(出库明细!F36)),IF(ABS(出库明细!G36-出库明细!E36*出库明细!F36)&gt;0.005,1,0),0)</f>
        <v>0</v>
      </c>
      <c r="O36">
        <f>IF(AND(ISNUMBER(存条明细!G36),ISNUMBER(存条明细!E36),ISNUMBER(存条明细!F36)),IF(ABS(存条明细!G36-存条明细!E36*存条明细!F36)&gt;0.005,1,0),0)</f>
        <v>0</v>
      </c>
      <c r="AA36" t="str">
        <f>IF(基础资料!G35="","",基础资料!G35&amp;"")</f>
        <v>农夫1.25L果园</v>
      </c>
      <c r="AB36">
        <f>IF(N(基础资料!I35)&lt;=0,1,基础资料!I35)</f>
        <v>6</v>
      </c>
      <c r="AC36">
        <f>IF(OR($AA36="",AC$5=""),0,SUMIF(INDIRECT("'"&amp;AC$5&amp;"'!C6:C1000"),$AA36,INDIRECT("'"&amp;AC$5&amp;"'!H6:H1000")))</f>
        <v>0</v>
      </c>
      <c r="AD36">
        <f>IF(OR($AA36="",AD$5=""),0,SUMIF(INDIRECT("'"&amp;AD$5&amp;"'!C6:C1000"),$AA36,INDIRECT("'"&amp;AD$5&amp;"'!H6:H1000")))</f>
        <v>0</v>
      </c>
      <c r="AE36">
        <f>IF(OR($AA36="",AE$5=""),0,SUMIF(INDIRECT("'"&amp;AE$5&amp;"'!C6:C1000"),$AA36,INDIRECT("'"&amp;AE$5&amp;"'!H6:H1000")))</f>
        <v>0</v>
      </c>
      <c r="AF36">
        <f>IF(OR($AA36="",AF$5=""),0,SUMIF(INDIRECT("'"&amp;AF$5&amp;"'!C6:C1000"),$AA36,INDIRECT("'"&amp;AF$5&amp;"'!H6:H1000")))</f>
        <v>0</v>
      </c>
      <c r="AG36">
        <f>IF(OR($AA36="",AG$5=""),0,SUMIF(INDIRECT("'"&amp;AG$5&amp;"'!C6:C1000"),$AA36,INDIRECT("'"&amp;AG$5&amp;"'!H6:H1000")))</f>
        <v>0</v>
      </c>
      <c r="AH36">
        <f>IF(OR($AA36="",AH$5=""),0,SUMIF(INDIRECT("'"&amp;AH$5&amp;"'!C6:C1000"),$AA36,INDIRECT("'"&amp;AH$5&amp;"'!H6:H1000")))</f>
        <v>0</v>
      </c>
      <c r="AI36">
        <f>IF(OR($AA36="",AI$5=""),0,SUMIF(INDIRECT("'"&amp;AI$5&amp;"'!C6:C1000"),$AA36,INDIRECT("'"&amp;AI$5&amp;"'!H6:H1000")))</f>
        <v>0</v>
      </c>
      <c r="AJ36">
        <f>IF(OR($AA36="",AJ$5=""),0,SUMIF(INDIRECT("'"&amp;AJ$5&amp;"'!C6:C1000"),$AA36,INDIRECT("'"&amp;AJ$5&amp;"'!H6:H1000")))</f>
        <v>51.333336</v>
      </c>
      <c r="AK36">
        <f>IF(OR($AA36="",AK$5=""),0,SUMIF(INDIRECT("'"&amp;AK$5&amp;"'!C6:C1000"),$AA36,INDIRECT("'"&amp;AK$5&amp;"'!H6:H1000")))</f>
        <v>0</v>
      </c>
      <c r="AL36">
        <f>IF(OR($AA36="",AL$5=""),0,SUMIF(INDIRECT("'"&amp;AL$5&amp;"'!C6:C1000"),$AA36,INDIRECT("'"&amp;AL$5&amp;"'!H6:H1000")))</f>
        <v>0</v>
      </c>
      <c r="AM36">
        <f>IF(OR($AA36="",AM$5=""),0,SUMIF(INDIRECT("'"&amp;AM$5&amp;"'!C6:C1000"),$AA36,INDIRECT("'"&amp;AM$5&amp;"'!H6:H1000")))</f>
        <v>0</v>
      </c>
      <c r="AN36">
        <f>IF(OR($AA36="",AN$5=""),0,SUMIF(INDIRECT("'"&amp;AN$5&amp;"'!C6:C1000"),$AA36,INDIRECT("'"&amp;AN$5&amp;"'!H6:H1000")))</f>
        <v>0</v>
      </c>
      <c r="AO36">
        <f>IF(OR($AA36="",AC$5=""),0,SUMIF(INDIRECT("'"&amp;AC$5&amp;"'!C6:C1000"),$AA36,INDIRECT("'"&amp;AC$5&amp;"'!E6:E1000")))</f>
        <v>0</v>
      </c>
      <c r="AP36">
        <f>IF(OR($AA36="",AD$5=""),0,SUMIF(INDIRECT("'"&amp;AD$5&amp;"'!C6:C1000"),$AA36,INDIRECT("'"&amp;AD$5&amp;"'!E6:E1000")))</f>
        <v>0</v>
      </c>
      <c r="AQ36">
        <f>IF(OR($AA36="",AE$5=""),0,SUMIF(INDIRECT("'"&amp;AE$5&amp;"'!C6:C1000"),$AA36,INDIRECT("'"&amp;AE$5&amp;"'!E6:E1000")))</f>
        <v>0</v>
      </c>
      <c r="AR36">
        <f>IF(OR($AA36="",AF$5=""),0,SUMIF(INDIRECT("'"&amp;AF$5&amp;"'!C6:C1000"),$AA36,INDIRECT("'"&amp;AF$5&amp;"'!E6:E1000")))</f>
        <v>0</v>
      </c>
      <c r="AS36">
        <f>IF(OR($AA36="",AG$5=""),0,SUMIF(INDIRECT("'"&amp;AG$5&amp;"'!C6:C1000"),$AA36,INDIRECT("'"&amp;AG$5&amp;"'!E6:E1000")))</f>
        <v>0</v>
      </c>
      <c r="AT36">
        <f>IF(OR($AA36="",AH$5=""),0,SUMIF(INDIRECT("'"&amp;AH$5&amp;"'!C6:C1000"),$AA36,INDIRECT("'"&amp;AH$5&amp;"'!E6:E1000")))</f>
        <v>11</v>
      </c>
      <c r="AU36">
        <f>IF(OR($AA36="",AI$5=""),0,SUMIF(INDIRECT("'"&amp;AI$5&amp;"'!C6:C1000"),$AA36,INDIRECT("'"&amp;AI$5&amp;"'!E6:E1000")))</f>
        <v>0</v>
      </c>
      <c r="AV36">
        <f>IF(OR($AA36="",AJ$5=""),0,SUMIF(INDIRECT("'"&amp;AJ$5&amp;"'!C6:C1000"),$AA36,INDIRECT("'"&amp;AJ$5&amp;"'!E6:E1000")))</f>
        <v>8</v>
      </c>
      <c r="AW36">
        <f>IF(OR($AA36="",AK$5=""),0,SUMIF(INDIRECT("'"&amp;AK$5&amp;"'!C6:C1000"),$AA36,INDIRECT("'"&amp;AK$5&amp;"'!E6:E1000")))</f>
        <v>0</v>
      </c>
      <c r="AX36">
        <f>IF(OR($AA36="",AL$5=""),0,SUMIF(INDIRECT("'"&amp;AL$5&amp;"'!C6:C1000"),$AA36,INDIRECT("'"&amp;AL$5&amp;"'!E6:E1000")))</f>
        <v>0</v>
      </c>
      <c r="AY36">
        <f>IF(OR($AA36="",AM$5=""),0,SUMIF(INDIRECT("'"&amp;AM$5&amp;"'!C6:C1000"),$AA36,INDIRECT("'"&amp;AM$5&amp;"'!E6:E1000")))</f>
        <v>0</v>
      </c>
      <c r="AZ36">
        <f>IF(OR($AA36="",AN$5=""),0,SUMIF(INDIRECT("'"&amp;AN$5&amp;"'!C6:C1000"),$AA36,INDIRECT("'"&amp;AN$5&amp;"'!E6:E1000")))</f>
        <v>0</v>
      </c>
      <c r="BA36">
        <f>IF(OR($AA36="",AC$5=""),0,SUMIFS(INDIRECT("'"&amp;AC$5&amp;"'!E6:E1000"),INDIRECT("'"&amp;AC$5&amp;"'!C6:C1000"),$AA36,INDIRECT("'"&amp;AC$5&amp;"'!F6:F1000"),"箱")+SUMIFS(INDIRECT("'"&amp;AC$5&amp;"'!E6:E1000"),INDIRECT("'"&amp;AC$5&amp;"'!C6:C1000"),$AA36,INDIRECT("'"&amp;AC$5&amp;"'!F6:F1000"),"件"))</f>
        <v>0</v>
      </c>
      <c r="BB36">
        <f>IF(OR($AA36="",AD$5=""),0,SUMIFS(INDIRECT("'"&amp;AD$5&amp;"'!E6:E1000"),INDIRECT("'"&amp;AD$5&amp;"'!C6:C1000"),$AA36,INDIRECT("'"&amp;AD$5&amp;"'!F6:F1000"),"箱")+SUMIFS(INDIRECT("'"&amp;AD$5&amp;"'!E6:E1000"),INDIRECT("'"&amp;AD$5&amp;"'!C6:C1000"),$AA36,INDIRECT("'"&amp;AD$5&amp;"'!F6:F1000"),"件"))</f>
        <v>0</v>
      </c>
      <c r="BC36">
        <f>IF(OR($AA36="",AE$5=""),0,SUMIFS(INDIRECT("'"&amp;AE$5&amp;"'!E6:E1000"),INDIRECT("'"&amp;AE$5&amp;"'!C6:C1000"),$AA36,INDIRECT("'"&amp;AE$5&amp;"'!F6:F1000"),"箱")+SUMIFS(INDIRECT("'"&amp;AE$5&amp;"'!E6:E1000"),INDIRECT("'"&amp;AE$5&amp;"'!C6:C1000"),$AA36,INDIRECT("'"&amp;AE$5&amp;"'!F6:F1000"),"件"))</f>
        <v>0</v>
      </c>
      <c r="BD36">
        <f>IF(OR($AA36="",AF$5=""),0,SUMIFS(INDIRECT("'"&amp;AF$5&amp;"'!E6:E1000"),INDIRECT("'"&amp;AF$5&amp;"'!C6:C1000"),$AA36,INDIRECT("'"&amp;AF$5&amp;"'!F6:F1000"),"箱")+SUMIFS(INDIRECT("'"&amp;AF$5&amp;"'!E6:E1000"),INDIRECT("'"&amp;AF$5&amp;"'!C6:C1000"),$AA36,INDIRECT("'"&amp;AF$5&amp;"'!F6:F1000"),"件"))</f>
        <v>0</v>
      </c>
      <c r="BE36">
        <f>IF(OR($AA36="",AG$5=""),0,SUMIFS(INDIRECT("'"&amp;AG$5&amp;"'!E6:E1000"),INDIRECT("'"&amp;AG$5&amp;"'!C6:C1000"),$AA36,INDIRECT("'"&amp;AG$5&amp;"'!F6:F1000"),"箱")+SUMIFS(INDIRECT("'"&amp;AG$5&amp;"'!E6:E1000"),INDIRECT("'"&amp;AG$5&amp;"'!C6:C1000"),$AA36,INDIRECT("'"&amp;AG$5&amp;"'!F6:F1000"),"件"))</f>
        <v>0</v>
      </c>
      <c r="BF36">
        <f>IF(OR($AA36="",AH$5=""),0,SUMIFS(INDIRECT("'"&amp;AH$5&amp;"'!E6:E1000"),INDIRECT("'"&amp;AH$5&amp;"'!C6:C1000"),$AA36,INDIRECT("'"&amp;AH$5&amp;"'!F6:F1000"),"箱")+SUMIFS(INDIRECT("'"&amp;AH$5&amp;"'!E6:E1000"),INDIRECT("'"&amp;AH$5&amp;"'!C6:C1000"),$AA36,INDIRECT("'"&amp;AH$5&amp;"'!F6:F1000"),"件"))</f>
        <v>0</v>
      </c>
      <c r="BG36">
        <f>IF(OR($AA36="",AI$5=""),0,SUMIFS(INDIRECT("'"&amp;AI$5&amp;"'!E6:E1000"),INDIRECT("'"&amp;AI$5&amp;"'!C6:C1000"),$AA36,INDIRECT("'"&amp;AI$5&amp;"'!F6:F1000"),"箱")+SUMIFS(INDIRECT("'"&amp;AI$5&amp;"'!E6:E1000"),INDIRECT("'"&amp;AI$5&amp;"'!C6:C1000"),$AA36,INDIRECT("'"&amp;AI$5&amp;"'!F6:F1000"),"件"))</f>
        <v>0</v>
      </c>
      <c r="BH36">
        <f>IF(OR($AA36="",AJ$5=""),0,SUMIFS(INDIRECT("'"&amp;AJ$5&amp;"'!E6:E1000"),INDIRECT("'"&amp;AJ$5&amp;"'!C6:C1000"),$AA36,INDIRECT("'"&amp;AJ$5&amp;"'!F6:F1000"),"箱")+SUMIFS(INDIRECT("'"&amp;AJ$5&amp;"'!E6:E1000"),INDIRECT("'"&amp;AJ$5&amp;"'!C6:C1000"),$AA36,INDIRECT("'"&amp;AJ$5&amp;"'!F6:F1000"),"件"))</f>
        <v>0</v>
      </c>
      <c r="BI36">
        <f>IF(OR($AA36="",AK$5=""),0,SUMIFS(INDIRECT("'"&amp;AK$5&amp;"'!E6:E1000"),INDIRECT("'"&amp;AK$5&amp;"'!C6:C1000"),$AA36,INDIRECT("'"&amp;AK$5&amp;"'!F6:F1000"),"箱")+SUMIFS(INDIRECT("'"&amp;AK$5&amp;"'!E6:E1000"),INDIRECT("'"&amp;AK$5&amp;"'!C6:C1000"),$AA36,INDIRECT("'"&amp;AK$5&amp;"'!F6:F1000"),"件"))</f>
        <v>0</v>
      </c>
      <c r="BJ36">
        <f>IF(OR($AA36="",AL$5=""),0,SUMIFS(INDIRECT("'"&amp;AL$5&amp;"'!E6:E1000"),INDIRECT("'"&amp;AL$5&amp;"'!C6:C1000"),$AA36,INDIRECT("'"&amp;AL$5&amp;"'!F6:F1000"),"箱")+SUMIFS(INDIRECT("'"&amp;AL$5&amp;"'!E6:E1000"),INDIRECT("'"&amp;AL$5&amp;"'!C6:C1000"),$AA36,INDIRECT("'"&amp;AL$5&amp;"'!F6:F1000"),"件"))</f>
        <v>0</v>
      </c>
      <c r="BK36">
        <f>IF(OR($AA36="",AM$5=""),0,SUMIFS(INDIRECT("'"&amp;AM$5&amp;"'!E6:E1000"),INDIRECT("'"&amp;AM$5&amp;"'!C6:C1000"),$AA36,INDIRECT("'"&amp;AM$5&amp;"'!F6:F1000"),"箱")+SUMIFS(INDIRECT("'"&amp;AM$5&amp;"'!E6:E1000"),INDIRECT("'"&amp;AM$5&amp;"'!C6:C1000"),$AA36,INDIRECT("'"&amp;AM$5&amp;"'!F6:F1000"),"件"))</f>
        <v>0</v>
      </c>
      <c r="BL36">
        <f>IF(OR($AA36="",AN$5=""),0,SUMIFS(INDIRECT("'"&amp;AN$5&amp;"'!E6:E1000"),INDIRECT("'"&amp;AN$5&amp;"'!C6:C1000"),$AA36,INDIRECT("'"&amp;AN$5&amp;"'!F6:F1000"),"箱")+SUMIFS(INDIRECT("'"&amp;AN$5&amp;"'!E6:E1000"),INDIRECT("'"&amp;AN$5&amp;"'!C6:C1000"),$AA36,INDIRECT("'"&amp;AN$5&amp;"'!F6:F1000"),"件"))</f>
        <v>0</v>
      </c>
      <c r="BM36">
        <f>(AO36-BA36)/$AB36+BA36</f>
        <v>0</v>
      </c>
      <c r="BN36">
        <f>(AP36-BB36)/$AB36+BB36</f>
        <v>0</v>
      </c>
      <c r="BO36">
        <f>(AQ36-BC36)/$AB36+BC36</f>
        <v>0</v>
      </c>
      <c r="BP36">
        <f>(AR36-BD36)/$AB36+BD36</f>
        <v>0</v>
      </c>
      <c r="BQ36">
        <f>(AS36-BE36)/$AB36+BE36</f>
        <v>0</v>
      </c>
      <c r="BR36">
        <f>(AT36-BF36)/$AB36+BF36</f>
        <v>1.83333333333333</v>
      </c>
      <c r="BS36">
        <f>(AU36-BG36)/$AB36+BG36</f>
        <v>0</v>
      </c>
      <c r="BT36">
        <f>(AV36-BH36)/$AB36+BH36</f>
        <v>1.33333333333333</v>
      </c>
      <c r="BU36">
        <f>(AW36-BI36)/$AB36+BI36</f>
        <v>0</v>
      </c>
      <c r="BV36">
        <f>(AX36-BJ36)/$AB36+BJ36</f>
        <v>0</v>
      </c>
      <c r="BW36">
        <f>(AY36-BK36)/$AB36+BK36</f>
        <v>0</v>
      </c>
      <c r="BX36">
        <f>(AZ36-BL36)/$AB36+BL36</f>
        <v>0</v>
      </c>
      <c r="BY36">
        <f>SUMPRODUCT((($AC$4:$AN$4=报损汇总一览!$A$3)+(报损汇总一览!$A$3="全年"))*AC36:AN36)</f>
        <v>51.333336</v>
      </c>
      <c r="BZ36">
        <f>IF(BY36&gt;0,BY36+(1000-ROW())/10000000,"")</f>
        <v>51.3334324</v>
      </c>
      <c r="CA36">
        <f>SUMPRODUCT((($AC$4:$AN$4=报损汇总一览!$A$3)+(报损汇总一览!$A$3="全年"))*AO36:AZ36)</f>
        <v>19</v>
      </c>
    </row>
    <row r="37">
      <c r="A37">
        <f>IF(OR(存条明细!C37="",存条明细!D37=""),"",IF(COUNTIFS(存条明细!$C$4:C37,存条明细!C37,存条明细!$D$4:D37,存条明细!D37)&gt;1,"",IFERROR(MATCH(存条明细!C37,总览汇总!$B$5:$B$304,0),900)*10000000+IFERROR(MATCH(存条明细!D37,基础资料!$E$5:$E$104,0),900)*10000+ROW()))</f>
        <v>60030037</v>
      </c>
      <c r="B37">
        <f>IFERROR(MATCH(SMALL($A$4:$A$4003,34),$A$4:$A$4003,0),"")</f>
        <v>24</v>
      </c>
      <c r="D37">
        <f>IF(AND(商品库存!B37&lt;&gt;"",商品库存!B37=客户查询!$B$4),COUNTIF(商品库存!$B$4:B37,客户查询!$B$4),"")</f>
      </c>
      <c r="E37">
        <f>IF(AND(商品库存!B37&lt;&gt;"",商品库存!B37=客户对账单!$B$4),COUNTIF(商品库存!$B$4:B37,客户对账单!$B$4),"")</f>
      </c>
      <c r="F37">
        <f>IF(AND(出库明细!C37&lt;&gt;"",出库明细!C37=客户对账单!$B$4,ISNUMBER(出库明细!B37),出库明细!B37&gt;=客户对账单!$G$4,出库明细!B37&lt;=客户对账单!$I$4),出库明细!B37+ROW()/100000,"")</f>
      </c>
      <c r="H37">
        <f>IF(AND(采购进货!C37&lt;&gt;"",采购进货!C37=供应商对账单!$B$4,ISNUMBER(采购进货!B37),采购进货!B37&gt;=供应商对账单!$G$4,采购进货!B37&lt;=供应商对账单!$I$4),采购进货!B37+ROW()/100000,"")</f>
      </c>
      <c r="J37">
        <f>IF(总览汇总!$B37="","",N(总览汇总!$K37)+SUMIFS(出库明细!$G$4:$G$3003,出库明细!$C$4:$C$3003,总览汇总!$B37,出库明细!$B$4:$B$3003,"&gt;="&amp;年初日,出库明细!$B$4:$B$3003,"&lt;="&amp;资产负债表!$D$3)-SUMIFS(资金台帐!$S$7:$S$3006,资金台帐!$J$7:$J$3006,总览汇总!$B37,资金台帐!$P$7:$P$3006,"应收",资金台帐!$B$7:$B$3006,"&gt;="&amp;年初日,资金台帐!$B$7:$B$3006,"&lt;="&amp;资产负债表!$D$3))</f>
        <v>-13183</v>
      </c>
      <c r="K37">
        <f>IF(基础资料!$Q37="","",N(基础资料!$R37)+SUMIFS(采购进货!$G$4:$G$1503,采购进货!$C$4:$C$1503,基础资料!$Q37,采购进货!$B$4:$B$1503,"&gt;="&amp;年初日,采购进货!$B$4:$B$1503,"&lt;="&amp;资产负债表!$D$3)+SUMIFS(资金台帐!$S$7:$S$3006,资金台帐!$K$7:$K$3006,基础资料!$Q37,资金台帐!$P$7:$P$3006,"应付",资金台帐!$B$7:$B$3006,"&gt;="&amp;年初日,资金台帐!$B$7:$B$3006,"&lt;="&amp;资产负债表!$D$3))</f>
      </c>
      <c r="N37">
        <f>IF(AND(ISNUMBER(出库明细!G37),ISNUMBER(出库明细!E37),ISNUMBER(出库明细!F37)),IF(ABS(出库明细!G37-出库明细!E37*出库明细!F37)&gt;0.005,1,0),0)</f>
        <v>0</v>
      </c>
      <c r="O37">
        <f>IF(AND(ISNUMBER(存条明细!G37),ISNUMBER(存条明细!E37),ISNUMBER(存条明细!F37)),IF(ABS(存条明细!G37-存条明细!E37*存条明细!F37)&gt;0.005,1,0),0)</f>
        <v>0</v>
      </c>
      <c r="AA37" t="str">
        <f>IF(基础资料!G36="","",基础资料!G36&amp;"")</f>
        <v>农夫1.5L东方树叶</v>
      </c>
      <c r="AB37">
        <f>IF(N(基础资料!I36)&lt;=0,1,基础资料!I36)</f>
        <v>6</v>
      </c>
      <c r="AC37">
        <f>IF(OR($AA37="",AC$5=""),0,SUMIF(INDIRECT("'"&amp;AC$5&amp;"'!C6:C1000"),$AA37,INDIRECT("'"&amp;AC$5&amp;"'!H6:H1000")))</f>
        <v>0</v>
      </c>
      <c r="AD37">
        <f>IF(OR($AA37="",AD$5=""),0,SUMIF(INDIRECT("'"&amp;AD$5&amp;"'!C6:C1000"),$AA37,INDIRECT("'"&amp;AD$5&amp;"'!H6:H1000")))</f>
        <v>0</v>
      </c>
      <c r="AE37">
        <f>IF(OR($AA37="",AE$5=""),0,SUMIF(INDIRECT("'"&amp;AE$5&amp;"'!C6:C1000"),$AA37,INDIRECT("'"&amp;AE$5&amp;"'!H6:H1000")))</f>
        <v>0</v>
      </c>
      <c r="AF37">
        <f>IF(OR($AA37="",AF$5=""),0,SUMIF(INDIRECT("'"&amp;AF$5&amp;"'!C6:C1000"),$AA37,INDIRECT("'"&amp;AF$5&amp;"'!H6:H1000")))</f>
        <v>0</v>
      </c>
      <c r="AG37">
        <f>IF(OR($AA37="",AG$5=""),0,SUMIF(INDIRECT("'"&amp;AG$5&amp;"'!C6:C1000"),$AA37,INDIRECT("'"&amp;AG$5&amp;"'!H6:H1000")))</f>
        <v>0</v>
      </c>
      <c r="AH37">
        <f>IF(OR($AA37="",AH$5=""),0,SUMIF(INDIRECT("'"&amp;AH$5&amp;"'!C6:C1000"),$AA37,INDIRECT("'"&amp;AH$5&amp;"'!H6:H1000")))</f>
        <v>0</v>
      </c>
      <c r="AI37">
        <f>IF(OR($AA37="",AI$5=""),0,SUMIF(INDIRECT("'"&amp;AI$5&amp;"'!C6:C1000"),$AA37,INDIRECT("'"&amp;AI$5&amp;"'!H6:H1000")))</f>
        <v>0</v>
      </c>
      <c r="AJ37">
        <f>IF(OR($AA37="",AJ$5=""),0,SUMIF(INDIRECT("'"&amp;AJ$5&amp;"'!C6:C1000"),$AA37,INDIRECT("'"&amp;AJ$5&amp;"'!H6:H1000")))</f>
        <v>196</v>
      </c>
      <c r="AK37">
        <f>IF(OR($AA37="",AK$5=""),0,SUMIF(INDIRECT("'"&amp;AK$5&amp;"'!C6:C1000"),$AA37,INDIRECT("'"&amp;AK$5&amp;"'!H6:H1000")))</f>
        <v>0</v>
      </c>
      <c r="AL37">
        <f>IF(OR($AA37="",AL$5=""),0,SUMIF(INDIRECT("'"&amp;AL$5&amp;"'!C6:C1000"),$AA37,INDIRECT("'"&amp;AL$5&amp;"'!H6:H1000")))</f>
        <v>0</v>
      </c>
      <c r="AM37">
        <f>IF(OR($AA37="",AM$5=""),0,SUMIF(INDIRECT("'"&amp;AM$5&amp;"'!C6:C1000"),$AA37,INDIRECT("'"&amp;AM$5&amp;"'!H6:H1000")))</f>
        <v>0</v>
      </c>
      <c r="AN37">
        <f>IF(OR($AA37="",AN$5=""),0,SUMIF(INDIRECT("'"&amp;AN$5&amp;"'!C6:C1000"),$AA37,INDIRECT("'"&amp;AN$5&amp;"'!H6:H1000")))</f>
        <v>0</v>
      </c>
      <c r="AO37">
        <f>IF(OR($AA37="",AC$5=""),0,SUMIF(INDIRECT("'"&amp;AC$5&amp;"'!C6:C1000"),$AA37,INDIRECT("'"&amp;AC$5&amp;"'!E6:E1000")))</f>
        <v>0</v>
      </c>
      <c r="AP37">
        <f>IF(OR($AA37="",AD$5=""),0,SUMIF(INDIRECT("'"&amp;AD$5&amp;"'!C6:C1000"),$AA37,INDIRECT("'"&amp;AD$5&amp;"'!E6:E1000")))</f>
        <v>0</v>
      </c>
      <c r="AQ37">
        <f>IF(OR($AA37="",AE$5=""),0,SUMIF(INDIRECT("'"&amp;AE$5&amp;"'!C6:C1000"),$AA37,INDIRECT("'"&amp;AE$5&amp;"'!E6:E1000")))</f>
        <v>0</v>
      </c>
      <c r="AR37">
        <f>IF(OR($AA37="",AF$5=""),0,SUMIF(INDIRECT("'"&amp;AF$5&amp;"'!C6:C1000"),$AA37,INDIRECT("'"&amp;AF$5&amp;"'!E6:E1000")))</f>
        <v>0</v>
      </c>
      <c r="AS37">
        <f>IF(OR($AA37="",AG$5=""),0,SUMIF(INDIRECT("'"&amp;AG$5&amp;"'!C6:C1000"),$AA37,INDIRECT("'"&amp;AG$5&amp;"'!E6:E1000")))</f>
        <v>0</v>
      </c>
      <c r="AT37">
        <f>IF(OR($AA37="",AH$5=""),0,SUMIF(INDIRECT("'"&amp;AH$5&amp;"'!C6:C1000"),$AA37,INDIRECT("'"&amp;AH$5&amp;"'!E6:E1000")))</f>
        <v>1</v>
      </c>
      <c r="AU37">
        <f>IF(OR($AA37="",AI$5=""),0,SUMIF(INDIRECT("'"&amp;AI$5&amp;"'!C6:C1000"),$AA37,INDIRECT("'"&amp;AI$5&amp;"'!E6:E1000")))</f>
        <v>0</v>
      </c>
      <c r="AV37">
        <f>IF(OR($AA37="",AJ$5=""),0,SUMIF(INDIRECT("'"&amp;AJ$5&amp;"'!C6:C1000"),$AA37,INDIRECT("'"&amp;AJ$5&amp;"'!E6:E1000")))</f>
        <v>28</v>
      </c>
      <c r="AW37">
        <f>IF(OR($AA37="",AK$5=""),0,SUMIF(INDIRECT("'"&amp;AK$5&amp;"'!C6:C1000"),$AA37,INDIRECT("'"&amp;AK$5&amp;"'!E6:E1000")))</f>
        <v>0</v>
      </c>
      <c r="AX37">
        <f>IF(OR($AA37="",AL$5=""),0,SUMIF(INDIRECT("'"&amp;AL$5&amp;"'!C6:C1000"),$AA37,INDIRECT("'"&amp;AL$5&amp;"'!E6:E1000")))</f>
        <v>0</v>
      </c>
      <c r="AY37">
        <f>IF(OR($AA37="",AM$5=""),0,SUMIF(INDIRECT("'"&amp;AM$5&amp;"'!C6:C1000"),$AA37,INDIRECT("'"&amp;AM$5&amp;"'!E6:E1000")))</f>
        <v>0</v>
      </c>
      <c r="AZ37">
        <f>IF(OR($AA37="",AN$5=""),0,SUMIF(INDIRECT("'"&amp;AN$5&amp;"'!C6:C1000"),$AA37,INDIRECT("'"&amp;AN$5&amp;"'!E6:E1000")))</f>
        <v>0</v>
      </c>
      <c r="BA37">
        <f>IF(OR($AA37="",AC$5=""),0,SUMIFS(INDIRECT("'"&amp;AC$5&amp;"'!E6:E1000"),INDIRECT("'"&amp;AC$5&amp;"'!C6:C1000"),$AA37,INDIRECT("'"&amp;AC$5&amp;"'!F6:F1000"),"箱")+SUMIFS(INDIRECT("'"&amp;AC$5&amp;"'!E6:E1000"),INDIRECT("'"&amp;AC$5&amp;"'!C6:C1000"),$AA37,INDIRECT("'"&amp;AC$5&amp;"'!F6:F1000"),"件"))</f>
        <v>0</v>
      </c>
      <c r="BB37">
        <f>IF(OR($AA37="",AD$5=""),0,SUMIFS(INDIRECT("'"&amp;AD$5&amp;"'!E6:E1000"),INDIRECT("'"&amp;AD$5&amp;"'!C6:C1000"),$AA37,INDIRECT("'"&amp;AD$5&amp;"'!F6:F1000"),"箱")+SUMIFS(INDIRECT("'"&amp;AD$5&amp;"'!E6:E1000"),INDIRECT("'"&amp;AD$5&amp;"'!C6:C1000"),$AA37,INDIRECT("'"&amp;AD$5&amp;"'!F6:F1000"),"件"))</f>
        <v>0</v>
      </c>
      <c r="BC37">
        <f>IF(OR($AA37="",AE$5=""),0,SUMIFS(INDIRECT("'"&amp;AE$5&amp;"'!E6:E1000"),INDIRECT("'"&amp;AE$5&amp;"'!C6:C1000"),$AA37,INDIRECT("'"&amp;AE$5&amp;"'!F6:F1000"),"箱")+SUMIFS(INDIRECT("'"&amp;AE$5&amp;"'!E6:E1000"),INDIRECT("'"&amp;AE$5&amp;"'!C6:C1000"),$AA37,INDIRECT("'"&amp;AE$5&amp;"'!F6:F1000"),"件"))</f>
        <v>0</v>
      </c>
      <c r="BD37">
        <f>IF(OR($AA37="",AF$5=""),0,SUMIFS(INDIRECT("'"&amp;AF$5&amp;"'!E6:E1000"),INDIRECT("'"&amp;AF$5&amp;"'!C6:C1000"),$AA37,INDIRECT("'"&amp;AF$5&amp;"'!F6:F1000"),"箱")+SUMIFS(INDIRECT("'"&amp;AF$5&amp;"'!E6:E1000"),INDIRECT("'"&amp;AF$5&amp;"'!C6:C1000"),$AA37,INDIRECT("'"&amp;AF$5&amp;"'!F6:F1000"),"件"))</f>
        <v>0</v>
      </c>
      <c r="BE37">
        <f>IF(OR($AA37="",AG$5=""),0,SUMIFS(INDIRECT("'"&amp;AG$5&amp;"'!E6:E1000"),INDIRECT("'"&amp;AG$5&amp;"'!C6:C1000"),$AA37,INDIRECT("'"&amp;AG$5&amp;"'!F6:F1000"),"箱")+SUMIFS(INDIRECT("'"&amp;AG$5&amp;"'!E6:E1000"),INDIRECT("'"&amp;AG$5&amp;"'!C6:C1000"),$AA37,INDIRECT("'"&amp;AG$5&amp;"'!F6:F1000"),"件"))</f>
        <v>0</v>
      </c>
      <c r="BF37">
        <f>IF(OR($AA37="",AH$5=""),0,SUMIFS(INDIRECT("'"&amp;AH$5&amp;"'!E6:E1000"),INDIRECT("'"&amp;AH$5&amp;"'!C6:C1000"),$AA37,INDIRECT("'"&amp;AH$5&amp;"'!F6:F1000"),"箱")+SUMIFS(INDIRECT("'"&amp;AH$5&amp;"'!E6:E1000"),INDIRECT("'"&amp;AH$5&amp;"'!C6:C1000"),$AA37,INDIRECT("'"&amp;AH$5&amp;"'!F6:F1000"),"件"))</f>
        <v>0</v>
      </c>
      <c r="BG37">
        <f>IF(OR($AA37="",AI$5=""),0,SUMIFS(INDIRECT("'"&amp;AI$5&amp;"'!E6:E1000"),INDIRECT("'"&amp;AI$5&amp;"'!C6:C1000"),$AA37,INDIRECT("'"&amp;AI$5&amp;"'!F6:F1000"),"箱")+SUMIFS(INDIRECT("'"&amp;AI$5&amp;"'!E6:E1000"),INDIRECT("'"&amp;AI$5&amp;"'!C6:C1000"),$AA37,INDIRECT("'"&amp;AI$5&amp;"'!F6:F1000"),"件"))</f>
        <v>0</v>
      </c>
      <c r="BH37">
        <f>IF(OR($AA37="",AJ$5=""),0,SUMIFS(INDIRECT("'"&amp;AJ$5&amp;"'!E6:E1000"),INDIRECT("'"&amp;AJ$5&amp;"'!C6:C1000"),$AA37,INDIRECT("'"&amp;AJ$5&amp;"'!F6:F1000"),"箱")+SUMIFS(INDIRECT("'"&amp;AJ$5&amp;"'!E6:E1000"),INDIRECT("'"&amp;AJ$5&amp;"'!C6:C1000"),$AA37,INDIRECT("'"&amp;AJ$5&amp;"'!F6:F1000"),"件"))</f>
        <v>0</v>
      </c>
      <c r="BI37">
        <f>IF(OR($AA37="",AK$5=""),0,SUMIFS(INDIRECT("'"&amp;AK$5&amp;"'!E6:E1000"),INDIRECT("'"&amp;AK$5&amp;"'!C6:C1000"),$AA37,INDIRECT("'"&amp;AK$5&amp;"'!F6:F1000"),"箱")+SUMIFS(INDIRECT("'"&amp;AK$5&amp;"'!E6:E1000"),INDIRECT("'"&amp;AK$5&amp;"'!C6:C1000"),$AA37,INDIRECT("'"&amp;AK$5&amp;"'!F6:F1000"),"件"))</f>
        <v>0</v>
      </c>
      <c r="BJ37">
        <f>IF(OR($AA37="",AL$5=""),0,SUMIFS(INDIRECT("'"&amp;AL$5&amp;"'!E6:E1000"),INDIRECT("'"&amp;AL$5&amp;"'!C6:C1000"),$AA37,INDIRECT("'"&amp;AL$5&amp;"'!F6:F1000"),"箱")+SUMIFS(INDIRECT("'"&amp;AL$5&amp;"'!E6:E1000"),INDIRECT("'"&amp;AL$5&amp;"'!C6:C1000"),$AA37,INDIRECT("'"&amp;AL$5&amp;"'!F6:F1000"),"件"))</f>
        <v>0</v>
      </c>
      <c r="BK37">
        <f>IF(OR($AA37="",AM$5=""),0,SUMIFS(INDIRECT("'"&amp;AM$5&amp;"'!E6:E1000"),INDIRECT("'"&amp;AM$5&amp;"'!C6:C1000"),$AA37,INDIRECT("'"&amp;AM$5&amp;"'!F6:F1000"),"箱")+SUMIFS(INDIRECT("'"&amp;AM$5&amp;"'!E6:E1000"),INDIRECT("'"&amp;AM$5&amp;"'!C6:C1000"),$AA37,INDIRECT("'"&amp;AM$5&amp;"'!F6:F1000"),"件"))</f>
        <v>0</v>
      </c>
      <c r="BL37">
        <f>IF(OR($AA37="",AN$5=""),0,SUMIFS(INDIRECT("'"&amp;AN$5&amp;"'!E6:E1000"),INDIRECT("'"&amp;AN$5&amp;"'!C6:C1000"),$AA37,INDIRECT("'"&amp;AN$5&amp;"'!F6:F1000"),"箱")+SUMIFS(INDIRECT("'"&amp;AN$5&amp;"'!E6:E1000"),INDIRECT("'"&amp;AN$5&amp;"'!C6:C1000"),$AA37,INDIRECT("'"&amp;AN$5&amp;"'!F6:F1000"),"件"))</f>
        <v>0</v>
      </c>
      <c r="BM37">
        <f>(AO37-BA37)/$AB37+BA37</f>
        <v>0</v>
      </c>
      <c r="BN37">
        <f>(AP37-BB37)/$AB37+BB37</f>
        <v>0</v>
      </c>
      <c r="BO37">
        <f>(AQ37-BC37)/$AB37+BC37</f>
        <v>0</v>
      </c>
      <c r="BP37">
        <f>(AR37-BD37)/$AB37+BD37</f>
        <v>0</v>
      </c>
      <c r="BQ37">
        <f>(AS37-BE37)/$AB37+BE37</f>
        <v>0</v>
      </c>
      <c r="BR37">
        <f>(AT37-BF37)/$AB37+BF37</f>
        <v>0.166666666666667</v>
      </c>
      <c r="BS37">
        <f>(AU37-BG37)/$AB37+BG37</f>
        <v>0</v>
      </c>
      <c r="BT37">
        <f>(AV37-BH37)/$AB37+BH37</f>
        <v>4.66666666666667</v>
      </c>
      <c r="BU37">
        <f>(AW37-BI37)/$AB37+BI37</f>
        <v>0</v>
      </c>
      <c r="BV37">
        <f>(AX37-BJ37)/$AB37+BJ37</f>
        <v>0</v>
      </c>
      <c r="BW37">
        <f>(AY37-BK37)/$AB37+BK37</f>
        <v>0</v>
      </c>
      <c r="BX37">
        <f>(AZ37-BL37)/$AB37+BL37</f>
        <v>0</v>
      </c>
      <c r="BY37">
        <f>SUMPRODUCT((($AC$4:$AN$4=报损汇总一览!$A$3)+(报损汇总一览!$A$3="全年"))*AC37:AN37)</f>
        <v>196</v>
      </c>
      <c r="BZ37">
        <f>IF(BY37&gt;0,BY37+(1000-ROW())/10000000,"")</f>
        <v>196.0000963</v>
      </c>
      <c r="CA37">
        <f>SUMPRODUCT((($AC$4:$AN$4=报损汇总一览!$A$3)+(报损汇总一览!$A$3="全年"))*AO37:AZ37)</f>
        <v>29</v>
      </c>
    </row>
    <row r="38">
      <c r="A38">
        <f>IF(OR(存条明细!C38="",存条明细!D38=""),"",IF(COUNTIFS(存条明细!$C$4:C38,存条明细!C38,存条明细!$D$4:D38,存条明细!D38)&gt;1,"",IFERROR(MATCH(存条明细!C38,总览汇总!$B$5:$B$304,0),900)*10000000+IFERROR(MATCH(存条明细!D38,基础资料!$E$5:$E$104,0),900)*10000+ROW()))</f>
        <v>60040038</v>
      </c>
      <c r="B38">
        <f>IFERROR(MATCH(SMALL($A$4:$A$4003,35),$A$4:$A$4003,0),"")</f>
        <v>1011</v>
      </c>
      <c r="D38">
        <f>IF(AND(商品库存!B38&lt;&gt;"",商品库存!B38=客户查询!$B$4),COUNTIF(商品库存!$B$4:B38,客户查询!$B$4),"")</f>
      </c>
      <c r="E38">
        <f>IF(AND(商品库存!B38&lt;&gt;"",商品库存!B38=客户对账单!$B$4),COUNTIF(商品库存!$B$4:B38,客户对账单!$B$4),"")</f>
      </c>
      <c r="F38">
        <f>IF(AND(出库明细!C38&lt;&gt;"",出库明细!C38=客户对账单!$B$4,ISNUMBER(出库明细!B38),出库明细!B38&gt;=客户对账单!$G$4,出库明细!B38&lt;=客户对账单!$I$4),出库明细!B38+ROW()/100000,"")</f>
      </c>
      <c r="H38">
        <f>IF(AND(采购进货!C38&lt;&gt;"",采购进货!C38=供应商对账单!$B$4,ISNUMBER(采购进货!B38),采购进货!B38&gt;=供应商对账单!$G$4,采购进货!B38&lt;=供应商对账单!$I$4),采购进货!B38+ROW()/100000,"")</f>
      </c>
      <c r="J38">
        <f>IF(总览汇总!$B38="","",N(总览汇总!$K38)+SUMIFS(出库明细!$G$4:$G$3003,出库明细!$C$4:$C$3003,总览汇总!$B38,出库明细!$B$4:$B$3003,"&gt;="&amp;年初日,出库明细!$B$4:$B$3003,"&lt;="&amp;资产负债表!$D$3)-SUMIFS(资金台帐!$S$7:$S$3006,资金台帐!$J$7:$J$3006,总览汇总!$B38,资金台帐!$P$7:$P$3006,"应收",资金台帐!$B$7:$B$3006,"&gt;="&amp;年初日,资金台帐!$B$7:$B$3006,"&lt;="&amp;资产负债表!$D$3))</f>
        <v>0</v>
      </c>
      <c r="K38">
        <f>IF(基础资料!$Q38="","",N(基础资料!$R38)+SUMIFS(采购进货!$G$4:$G$1503,采购进货!$C$4:$C$1503,基础资料!$Q38,采购进货!$B$4:$B$1503,"&gt;="&amp;年初日,采购进货!$B$4:$B$1503,"&lt;="&amp;资产负债表!$D$3)+SUMIFS(资金台帐!$S$7:$S$3006,资金台帐!$K$7:$K$3006,基础资料!$Q38,资金台帐!$P$7:$P$3006,"应付",资金台帐!$B$7:$B$3006,"&gt;="&amp;年初日,资金台帐!$B$7:$B$3006,"&lt;="&amp;资产负债表!$D$3))</f>
      </c>
      <c r="N38">
        <f>IF(AND(ISNUMBER(出库明细!G38),ISNUMBER(出库明细!E38),ISNUMBER(出库明细!F38)),IF(ABS(出库明细!G38-出库明细!E38*出库明细!F38)&gt;0.005,1,0),0)</f>
        <v>0</v>
      </c>
      <c r="O38">
        <f>IF(AND(ISNUMBER(存条明细!G38),ISNUMBER(存条明细!E38),ISNUMBER(存条明细!F38)),IF(ABS(存条明细!G38-存条明细!E38*存条明细!F38)&gt;0.005,1,0),0)</f>
        <v>0</v>
      </c>
      <c r="AA38" t="str">
        <f>IF(基础资料!G37="","",基础资料!G37&amp;"")</f>
        <v>青岛清爽8</v>
      </c>
      <c r="AB38">
        <f>IF(N(基础资料!I37)&lt;=0,1,基础资料!I37)</f>
        <v>12</v>
      </c>
      <c r="AC38">
        <f>IF(OR($AA38="",AC$5=""),0,SUMIF(INDIRECT("'"&amp;AC$5&amp;"'!C6:C1000"),$AA38,INDIRECT("'"&amp;AC$5&amp;"'!H6:H1000")))</f>
        <v>0</v>
      </c>
      <c r="AD38">
        <f>IF(OR($AA38="",AD$5=""),0,SUMIF(INDIRECT("'"&amp;AD$5&amp;"'!C6:C1000"),$AA38,INDIRECT("'"&amp;AD$5&amp;"'!H6:H1000")))</f>
        <v>0</v>
      </c>
      <c r="AE38">
        <f>IF(OR($AA38="",AE$5=""),0,SUMIF(INDIRECT("'"&amp;AE$5&amp;"'!C6:C1000"),$AA38,INDIRECT("'"&amp;AE$5&amp;"'!H6:H1000")))</f>
        <v>0</v>
      </c>
      <c r="AF38">
        <f>IF(OR($AA38="",AF$5=""),0,SUMIF(INDIRECT("'"&amp;AF$5&amp;"'!C6:C1000"),$AA38,INDIRECT("'"&amp;AF$5&amp;"'!H6:H1000")))</f>
        <v>0</v>
      </c>
      <c r="AG38">
        <f>IF(OR($AA38="",AG$5=""),0,SUMIF(INDIRECT("'"&amp;AG$5&amp;"'!C6:C1000"),$AA38,INDIRECT("'"&amp;AG$5&amp;"'!H6:H1000")))</f>
        <v>0</v>
      </c>
      <c r="AH38">
        <f>IF(OR($AA38="",AH$5=""),0,SUMIF(INDIRECT("'"&amp;AH$5&amp;"'!C6:C1000"),$AA38,INDIRECT("'"&amp;AH$5&amp;"'!H6:H1000")))</f>
        <v>320.46</v>
      </c>
      <c r="AI38">
        <f>IF(OR($AA38="",AI$5=""),0,SUMIF(INDIRECT("'"&amp;AI$5&amp;"'!C6:C1000"),$AA38,INDIRECT("'"&amp;AI$5&amp;"'!H6:H1000")))</f>
        <v>108.78</v>
      </c>
      <c r="AJ38">
        <f>IF(OR($AA38="",AJ$5=""),0,SUMIF(INDIRECT("'"&amp;AJ$5&amp;"'!C6:C1000"),$AA38,INDIRECT("'"&amp;AJ$5&amp;"'!H6:H1000")))</f>
        <v>123.48</v>
      </c>
      <c r="AK38">
        <f>IF(OR($AA38="",AK$5=""),0,SUMIF(INDIRECT("'"&amp;AK$5&amp;"'!C6:C1000"),$AA38,INDIRECT("'"&amp;AK$5&amp;"'!H6:H1000")))</f>
        <v>0</v>
      </c>
      <c r="AL38">
        <f>IF(OR($AA38="",AL$5=""),0,SUMIF(INDIRECT("'"&amp;AL$5&amp;"'!C6:C1000"),$AA38,INDIRECT("'"&amp;AL$5&amp;"'!H6:H1000")))</f>
        <v>0</v>
      </c>
      <c r="AM38">
        <f>IF(OR($AA38="",AM$5=""),0,SUMIF(INDIRECT("'"&amp;AM$5&amp;"'!C6:C1000"),$AA38,INDIRECT("'"&amp;AM$5&amp;"'!H6:H1000")))</f>
        <v>0</v>
      </c>
      <c r="AN38">
        <f>IF(OR($AA38="",AN$5=""),0,SUMIF(INDIRECT("'"&amp;AN$5&amp;"'!C6:C1000"),$AA38,INDIRECT("'"&amp;AN$5&amp;"'!H6:H1000")))</f>
        <v>0</v>
      </c>
      <c r="AO38">
        <f>IF(OR($AA38="",AC$5=""),0,SUMIF(INDIRECT("'"&amp;AC$5&amp;"'!C6:C1000"),$AA38,INDIRECT("'"&amp;AC$5&amp;"'!E6:E1000")))</f>
        <v>0</v>
      </c>
      <c r="AP38">
        <f>IF(OR($AA38="",AD$5=""),0,SUMIF(INDIRECT("'"&amp;AD$5&amp;"'!C6:C1000"),$AA38,INDIRECT("'"&amp;AD$5&amp;"'!E6:E1000")))</f>
        <v>0</v>
      </c>
      <c r="AQ38">
        <f>IF(OR($AA38="",AE$5=""),0,SUMIF(INDIRECT("'"&amp;AE$5&amp;"'!C6:C1000"),$AA38,INDIRECT("'"&amp;AE$5&amp;"'!E6:E1000")))</f>
        <v>0</v>
      </c>
      <c r="AR38">
        <f>IF(OR($AA38="",AF$5=""),0,SUMIF(INDIRECT("'"&amp;AF$5&amp;"'!C6:C1000"),$AA38,INDIRECT("'"&amp;AF$5&amp;"'!E6:E1000")))</f>
        <v>0</v>
      </c>
      <c r="AS38">
        <f>IF(OR($AA38="",AG$5=""),0,SUMIF(INDIRECT("'"&amp;AG$5&amp;"'!C6:C1000"),$AA38,INDIRECT("'"&amp;AG$5&amp;"'!E6:E1000")))</f>
        <v>0</v>
      </c>
      <c r="AT38">
        <f>IF(OR($AA38="",AH$5=""),0,SUMIF(INDIRECT("'"&amp;AH$5&amp;"'!C6:C1000"),$AA38,INDIRECT("'"&amp;AH$5&amp;"'!E6:E1000")))</f>
        <v>109</v>
      </c>
      <c r="AU38">
        <f>IF(OR($AA38="",AI$5=""),0,SUMIF(INDIRECT("'"&amp;AI$5&amp;"'!C6:C1000"),$AA38,INDIRECT("'"&amp;AI$5&amp;"'!E6:E1000")))</f>
        <v>37</v>
      </c>
      <c r="AV38">
        <f>IF(OR($AA38="",AJ$5=""),0,SUMIF(INDIRECT("'"&amp;AJ$5&amp;"'!C6:C1000"),$AA38,INDIRECT("'"&amp;AJ$5&amp;"'!E6:E1000")))</f>
        <v>42</v>
      </c>
      <c r="AW38">
        <f>IF(OR($AA38="",AK$5=""),0,SUMIF(INDIRECT("'"&amp;AK$5&amp;"'!C6:C1000"),$AA38,INDIRECT("'"&amp;AK$5&amp;"'!E6:E1000")))</f>
        <v>0</v>
      </c>
      <c r="AX38">
        <f>IF(OR($AA38="",AL$5=""),0,SUMIF(INDIRECT("'"&amp;AL$5&amp;"'!C6:C1000"),$AA38,INDIRECT("'"&amp;AL$5&amp;"'!E6:E1000")))</f>
        <v>0</v>
      </c>
      <c r="AY38">
        <f>IF(OR($AA38="",AM$5=""),0,SUMIF(INDIRECT("'"&amp;AM$5&amp;"'!C6:C1000"),$AA38,INDIRECT("'"&amp;AM$5&amp;"'!E6:E1000")))</f>
        <v>0</v>
      </c>
      <c r="AZ38">
        <f>IF(OR($AA38="",AN$5=""),0,SUMIF(INDIRECT("'"&amp;AN$5&amp;"'!C6:C1000"),$AA38,INDIRECT("'"&amp;AN$5&amp;"'!E6:E1000")))</f>
        <v>0</v>
      </c>
      <c r="BA38">
        <f>IF(OR($AA38="",AC$5=""),0,SUMIFS(INDIRECT("'"&amp;AC$5&amp;"'!E6:E1000"),INDIRECT("'"&amp;AC$5&amp;"'!C6:C1000"),$AA38,INDIRECT("'"&amp;AC$5&amp;"'!F6:F1000"),"箱")+SUMIFS(INDIRECT("'"&amp;AC$5&amp;"'!E6:E1000"),INDIRECT("'"&amp;AC$5&amp;"'!C6:C1000"),$AA38,INDIRECT("'"&amp;AC$5&amp;"'!F6:F1000"),"件"))</f>
        <v>0</v>
      </c>
      <c r="BB38">
        <f>IF(OR($AA38="",AD$5=""),0,SUMIFS(INDIRECT("'"&amp;AD$5&amp;"'!E6:E1000"),INDIRECT("'"&amp;AD$5&amp;"'!C6:C1000"),$AA38,INDIRECT("'"&amp;AD$5&amp;"'!F6:F1000"),"箱")+SUMIFS(INDIRECT("'"&amp;AD$5&amp;"'!E6:E1000"),INDIRECT("'"&amp;AD$5&amp;"'!C6:C1000"),$AA38,INDIRECT("'"&amp;AD$5&amp;"'!F6:F1000"),"件"))</f>
        <v>0</v>
      </c>
      <c r="BC38">
        <f>IF(OR($AA38="",AE$5=""),0,SUMIFS(INDIRECT("'"&amp;AE$5&amp;"'!E6:E1000"),INDIRECT("'"&amp;AE$5&amp;"'!C6:C1000"),$AA38,INDIRECT("'"&amp;AE$5&amp;"'!F6:F1000"),"箱")+SUMIFS(INDIRECT("'"&amp;AE$5&amp;"'!E6:E1000"),INDIRECT("'"&amp;AE$5&amp;"'!C6:C1000"),$AA38,INDIRECT("'"&amp;AE$5&amp;"'!F6:F1000"),"件"))</f>
        <v>0</v>
      </c>
      <c r="BD38">
        <f>IF(OR($AA38="",AF$5=""),0,SUMIFS(INDIRECT("'"&amp;AF$5&amp;"'!E6:E1000"),INDIRECT("'"&amp;AF$5&amp;"'!C6:C1000"),$AA38,INDIRECT("'"&amp;AF$5&amp;"'!F6:F1000"),"箱")+SUMIFS(INDIRECT("'"&amp;AF$5&amp;"'!E6:E1000"),INDIRECT("'"&amp;AF$5&amp;"'!C6:C1000"),$AA38,INDIRECT("'"&amp;AF$5&amp;"'!F6:F1000"),"件"))</f>
        <v>0</v>
      </c>
      <c r="BE38">
        <f>IF(OR($AA38="",AG$5=""),0,SUMIFS(INDIRECT("'"&amp;AG$5&amp;"'!E6:E1000"),INDIRECT("'"&amp;AG$5&amp;"'!C6:C1000"),$AA38,INDIRECT("'"&amp;AG$5&amp;"'!F6:F1000"),"箱")+SUMIFS(INDIRECT("'"&amp;AG$5&amp;"'!E6:E1000"),INDIRECT("'"&amp;AG$5&amp;"'!C6:C1000"),$AA38,INDIRECT("'"&amp;AG$5&amp;"'!F6:F1000"),"件"))</f>
        <v>0</v>
      </c>
      <c r="BF38">
        <f>IF(OR($AA38="",AH$5=""),0,SUMIFS(INDIRECT("'"&amp;AH$5&amp;"'!E6:E1000"),INDIRECT("'"&amp;AH$5&amp;"'!C6:C1000"),$AA38,INDIRECT("'"&amp;AH$5&amp;"'!F6:F1000"),"箱")+SUMIFS(INDIRECT("'"&amp;AH$5&amp;"'!E6:E1000"),INDIRECT("'"&amp;AH$5&amp;"'!C6:C1000"),$AA38,INDIRECT("'"&amp;AH$5&amp;"'!F6:F1000"),"件"))</f>
        <v>0</v>
      </c>
      <c r="BG38">
        <f>IF(OR($AA38="",AI$5=""),0,SUMIFS(INDIRECT("'"&amp;AI$5&amp;"'!E6:E1000"),INDIRECT("'"&amp;AI$5&amp;"'!C6:C1000"),$AA38,INDIRECT("'"&amp;AI$5&amp;"'!F6:F1000"),"箱")+SUMIFS(INDIRECT("'"&amp;AI$5&amp;"'!E6:E1000"),INDIRECT("'"&amp;AI$5&amp;"'!C6:C1000"),$AA38,INDIRECT("'"&amp;AI$5&amp;"'!F6:F1000"),"件"))</f>
        <v>0</v>
      </c>
      <c r="BH38">
        <f>IF(OR($AA38="",AJ$5=""),0,SUMIFS(INDIRECT("'"&amp;AJ$5&amp;"'!E6:E1000"),INDIRECT("'"&amp;AJ$5&amp;"'!C6:C1000"),$AA38,INDIRECT("'"&amp;AJ$5&amp;"'!F6:F1000"),"箱")+SUMIFS(INDIRECT("'"&amp;AJ$5&amp;"'!E6:E1000"),INDIRECT("'"&amp;AJ$5&amp;"'!C6:C1000"),$AA38,INDIRECT("'"&amp;AJ$5&amp;"'!F6:F1000"),"件"))</f>
        <v>0</v>
      </c>
      <c r="BI38">
        <f>IF(OR($AA38="",AK$5=""),0,SUMIFS(INDIRECT("'"&amp;AK$5&amp;"'!E6:E1000"),INDIRECT("'"&amp;AK$5&amp;"'!C6:C1000"),$AA38,INDIRECT("'"&amp;AK$5&amp;"'!F6:F1000"),"箱")+SUMIFS(INDIRECT("'"&amp;AK$5&amp;"'!E6:E1000"),INDIRECT("'"&amp;AK$5&amp;"'!C6:C1000"),$AA38,INDIRECT("'"&amp;AK$5&amp;"'!F6:F1000"),"件"))</f>
        <v>0</v>
      </c>
      <c r="BJ38">
        <f>IF(OR($AA38="",AL$5=""),0,SUMIFS(INDIRECT("'"&amp;AL$5&amp;"'!E6:E1000"),INDIRECT("'"&amp;AL$5&amp;"'!C6:C1000"),$AA38,INDIRECT("'"&amp;AL$5&amp;"'!F6:F1000"),"箱")+SUMIFS(INDIRECT("'"&amp;AL$5&amp;"'!E6:E1000"),INDIRECT("'"&amp;AL$5&amp;"'!C6:C1000"),$AA38,INDIRECT("'"&amp;AL$5&amp;"'!F6:F1000"),"件"))</f>
        <v>0</v>
      </c>
      <c r="BK38">
        <f>IF(OR($AA38="",AM$5=""),0,SUMIFS(INDIRECT("'"&amp;AM$5&amp;"'!E6:E1000"),INDIRECT("'"&amp;AM$5&amp;"'!C6:C1000"),$AA38,INDIRECT("'"&amp;AM$5&amp;"'!F6:F1000"),"箱")+SUMIFS(INDIRECT("'"&amp;AM$5&amp;"'!E6:E1000"),INDIRECT("'"&amp;AM$5&amp;"'!C6:C1000"),$AA38,INDIRECT("'"&amp;AM$5&amp;"'!F6:F1000"),"件"))</f>
        <v>0</v>
      </c>
      <c r="BL38">
        <f>IF(OR($AA38="",AN$5=""),0,SUMIFS(INDIRECT("'"&amp;AN$5&amp;"'!E6:E1000"),INDIRECT("'"&amp;AN$5&amp;"'!C6:C1000"),$AA38,INDIRECT("'"&amp;AN$5&amp;"'!F6:F1000"),"箱")+SUMIFS(INDIRECT("'"&amp;AN$5&amp;"'!E6:E1000"),INDIRECT("'"&amp;AN$5&amp;"'!C6:C1000"),$AA38,INDIRECT("'"&amp;AN$5&amp;"'!F6:F1000"),"件"))</f>
        <v>0</v>
      </c>
      <c r="BM38">
        <f>(AO38-BA38)/$AB38+BA38</f>
        <v>0</v>
      </c>
      <c r="BN38">
        <f>(AP38-BB38)/$AB38+BB38</f>
        <v>0</v>
      </c>
      <c r="BO38">
        <f>(AQ38-BC38)/$AB38+BC38</f>
        <v>0</v>
      </c>
      <c r="BP38">
        <f>(AR38-BD38)/$AB38+BD38</f>
        <v>0</v>
      </c>
      <c r="BQ38">
        <f>(AS38-BE38)/$AB38+BE38</f>
        <v>0</v>
      </c>
      <c r="BR38">
        <f>(AT38-BF38)/$AB38+BF38</f>
        <v>9.08333333333333</v>
      </c>
      <c r="BS38">
        <f>(AU38-BG38)/$AB38+BG38</f>
        <v>3.08333333333333</v>
      </c>
      <c r="BT38">
        <f>(AV38-BH38)/$AB38+BH38</f>
        <v>3.5</v>
      </c>
      <c r="BU38">
        <f>(AW38-BI38)/$AB38+BI38</f>
        <v>0</v>
      </c>
      <c r="BV38">
        <f>(AX38-BJ38)/$AB38+BJ38</f>
        <v>0</v>
      </c>
      <c r="BW38">
        <f>(AY38-BK38)/$AB38+BK38</f>
        <v>0</v>
      </c>
      <c r="BX38">
        <f>(AZ38-BL38)/$AB38+BL38</f>
        <v>0</v>
      </c>
      <c r="BY38">
        <f>SUMPRODUCT((($AC$4:$AN$4=报损汇总一览!$A$3)+(报损汇总一览!$A$3="全年"))*AC38:AN38)</f>
        <v>552.72</v>
      </c>
      <c r="BZ38">
        <f>IF(BY38&gt;0,BY38+(1000-ROW())/10000000,"")</f>
        <v>552.7200962</v>
      </c>
      <c r="CA38">
        <f>SUMPRODUCT((($AC$4:$AN$4=报损汇总一览!$A$3)+(报损汇总一览!$A$3="全年"))*AO38:AZ38)</f>
        <v>188</v>
      </c>
    </row>
    <row r="39">
      <c r="A39">
        <f>IF(OR(存条明细!C39="",存条明细!D39=""),"",IF(COUNTIFS(存条明细!$C$4:C39,存条明细!C39,存条明细!$D$4:D39,存条明细!D39)&gt;1,"",IFERROR(MATCH(存条明细!C39,总览汇总!$B$5:$B$304,0),900)*10000000+IFERROR(MATCH(存条明细!D39,基础资料!$E$5:$E$104,0),900)*10000+ROW()))</f>
        <v>60050039</v>
      </c>
      <c r="B39">
        <f>IFERROR(MATCH(SMALL($A$4:$A$4003,36),$A$4:$A$4003,0),"")</f>
        <v>23</v>
      </c>
      <c r="D39">
        <f>IF(AND(商品库存!B39&lt;&gt;"",商品库存!B39=客户查询!$B$4),COUNTIF(商品库存!$B$4:B39,客户查询!$B$4),"")</f>
      </c>
      <c r="E39">
        <f>IF(AND(商品库存!B39&lt;&gt;"",商品库存!B39=客户对账单!$B$4),COUNTIF(商品库存!$B$4:B39,客户对账单!$B$4),"")</f>
      </c>
      <c r="F39">
        <f>IF(AND(出库明细!C39&lt;&gt;"",出库明细!C39=客户对账单!$B$4,ISNUMBER(出库明细!B39),出库明细!B39&gt;=客户对账单!$G$4,出库明细!B39&lt;=客户对账单!$I$4),出库明细!B39+ROW()/100000,"")</f>
      </c>
      <c r="H39">
        <f>IF(AND(采购进货!C39&lt;&gt;"",采购进货!C39=供应商对账单!$B$4,ISNUMBER(采购进货!B39),采购进货!B39&gt;=供应商对账单!$G$4,采购进货!B39&lt;=供应商对账单!$I$4),采购进货!B39+ROW()/100000,"")</f>
      </c>
      <c r="J39">
        <f>IF(总览汇总!$B39="","",N(总览汇总!$K39)+SUMIFS(出库明细!$G$4:$G$3003,出库明细!$C$4:$C$3003,总览汇总!$B39,出库明细!$B$4:$B$3003,"&gt;="&amp;年初日,出库明细!$B$4:$B$3003,"&lt;="&amp;资产负债表!$D$3)-SUMIFS(资金台帐!$S$7:$S$3006,资金台帐!$J$7:$J$3006,总览汇总!$B39,资金台帐!$P$7:$P$3006,"应收",资金台帐!$B$7:$B$3006,"&gt;="&amp;年初日,资金台帐!$B$7:$B$3006,"&lt;="&amp;资产负债表!$D$3))</f>
        <v>1027</v>
      </c>
      <c r="K39">
        <f>IF(基础资料!$Q39="","",N(基础资料!$R39)+SUMIFS(采购进货!$G$4:$G$1503,采购进货!$C$4:$C$1503,基础资料!$Q39,采购进货!$B$4:$B$1503,"&gt;="&amp;年初日,采购进货!$B$4:$B$1503,"&lt;="&amp;资产负债表!$D$3)+SUMIFS(资金台帐!$S$7:$S$3006,资金台帐!$K$7:$K$3006,基础资料!$Q39,资金台帐!$P$7:$P$3006,"应付",资金台帐!$B$7:$B$3006,"&gt;="&amp;年初日,资金台帐!$B$7:$B$3006,"&lt;="&amp;资产负债表!$D$3))</f>
      </c>
      <c r="N39">
        <f>IF(AND(ISNUMBER(出库明细!G39),ISNUMBER(出库明细!E39),ISNUMBER(出库明细!F39)),IF(ABS(出库明细!G39-出库明细!E39*出库明细!F39)&gt;0.005,1,0),0)</f>
        <v>0</v>
      </c>
      <c r="O39">
        <f>IF(AND(ISNUMBER(存条明细!G39),ISNUMBER(存条明细!E39),ISNUMBER(存条明细!F39)),IF(ABS(存条明细!G39-存条明细!E39*存条明细!F39)&gt;0.005,1,0),0)</f>
        <v>0</v>
      </c>
      <c r="AA39" t="str">
        <f>IF(基础资料!G38="","",基础资料!G38&amp;"")</f>
        <v>青岛清爽8奖盖过期</v>
      </c>
      <c r="AB39">
        <f>IF(N(基础资料!I38)&lt;=0,1,基础资料!I38)</f>
        <v>12</v>
      </c>
      <c r="AC39">
        <f>IF(OR($AA39="",AC$5=""),0,SUMIF(INDIRECT("'"&amp;AC$5&amp;"'!C6:C1000"),$AA39,INDIRECT("'"&amp;AC$5&amp;"'!H6:H1000")))</f>
        <v>0</v>
      </c>
      <c r="AD39">
        <f>IF(OR($AA39="",AD$5=""),0,SUMIF(INDIRECT("'"&amp;AD$5&amp;"'!C6:C1000"),$AA39,INDIRECT("'"&amp;AD$5&amp;"'!H6:H1000")))</f>
        <v>0</v>
      </c>
      <c r="AE39">
        <f>IF(OR($AA39="",AE$5=""),0,SUMIF(INDIRECT("'"&amp;AE$5&amp;"'!C6:C1000"),$AA39,INDIRECT("'"&amp;AE$5&amp;"'!H6:H1000")))</f>
        <v>0</v>
      </c>
      <c r="AF39">
        <f>IF(OR($AA39="",AF$5=""),0,SUMIF(INDIRECT("'"&amp;AF$5&amp;"'!C6:C1000"),$AA39,INDIRECT("'"&amp;AF$5&amp;"'!H6:H1000")))</f>
        <v>0</v>
      </c>
      <c r="AG39">
        <f>IF(OR($AA39="",AG$5=""),0,SUMIF(INDIRECT("'"&amp;AG$5&amp;"'!C6:C1000"),$AA39,INDIRECT("'"&amp;AG$5&amp;"'!H6:H1000")))</f>
        <v>0</v>
      </c>
      <c r="AH39">
        <f>IF(OR($AA39="",AH$5=""),0,SUMIF(INDIRECT("'"&amp;AH$5&amp;"'!C6:C1000"),$AA39,INDIRECT("'"&amp;AH$5&amp;"'!H6:H1000")))</f>
        <v>164.64</v>
      </c>
      <c r="AI39">
        <f>IF(OR($AA39="",AI$5=""),0,SUMIF(INDIRECT("'"&amp;AI$5&amp;"'!C6:C1000"),$AA39,INDIRECT("'"&amp;AI$5&amp;"'!H6:H1000")))</f>
        <v>0</v>
      </c>
      <c r="AJ39">
        <f>IF(OR($AA39="",AJ$5=""),0,SUMIF(INDIRECT("'"&amp;AJ$5&amp;"'!C6:C1000"),$AA39,INDIRECT("'"&amp;AJ$5&amp;"'!H6:H1000")))</f>
        <v>0</v>
      </c>
      <c r="AK39">
        <f>IF(OR($AA39="",AK$5=""),0,SUMIF(INDIRECT("'"&amp;AK$5&amp;"'!C6:C1000"),$AA39,INDIRECT("'"&amp;AK$5&amp;"'!H6:H1000")))</f>
        <v>0</v>
      </c>
      <c r="AL39">
        <f>IF(OR($AA39="",AL$5=""),0,SUMIF(INDIRECT("'"&amp;AL$5&amp;"'!C6:C1000"),$AA39,INDIRECT("'"&amp;AL$5&amp;"'!H6:H1000")))</f>
        <v>0</v>
      </c>
      <c r="AM39">
        <f>IF(OR($AA39="",AM$5=""),0,SUMIF(INDIRECT("'"&amp;AM$5&amp;"'!C6:C1000"),$AA39,INDIRECT("'"&amp;AM$5&amp;"'!H6:H1000")))</f>
        <v>0</v>
      </c>
      <c r="AN39">
        <f>IF(OR($AA39="",AN$5=""),0,SUMIF(INDIRECT("'"&amp;AN$5&amp;"'!C6:C1000"),$AA39,INDIRECT("'"&amp;AN$5&amp;"'!H6:H1000")))</f>
        <v>0</v>
      </c>
      <c r="AO39">
        <f>IF(OR($AA39="",AC$5=""),0,SUMIF(INDIRECT("'"&amp;AC$5&amp;"'!C6:C1000"),$AA39,INDIRECT("'"&amp;AC$5&amp;"'!E6:E1000")))</f>
        <v>0</v>
      </c>
      <c r="AP39">
        <f>IF(OR($AA39="",AD$5=""),0,SUMIF(INDIRECT("'"&amp;AD$5&amp;"'!C6:C1000"),$AA39,INDIRECT("'"&amp;AD$5&amp;"'!E6:E1000")))</f>
        <v>0</v>
      </c>
      <c r="AQ39">
        <f>IF(OR($AA39="",AE$5=""),0,SUMIF(INDIRECT("'"&amp;AE$5&amp;"'!C6:C1000"),$AA39,INDIRECT("'"&amp;AE$5&amp;"'!E6:E1000")))</f>
        <v>0</v>
      </c>
      <c r="AR39">
        <f>IF(OR($AA39="",AF$5=""),0,SUMIF(INDIRECT("'"&amp;AF$5&amp;"'!C6:C1000"),$AA39,INDIRECT("'"&amp;AF$5&amp;"'!E6:E1000")))</f>
        <v>0</v>
      </c>
      <c r="AS39">
        <f>IF(OR($AA39="",AG$5=""),0,SUMIF(INDIRECT("'"&amp;AG$5&amp;"'!C6:C1000"),$AA39,INDIRECT("'"&amp;AG$5&amp;"'!E6:E1000")))</f>
        <v>0</v>
      </c>
      <c r="AT39">
        <f>IF(OR($AA39="",AH$5=""),0,SUMIF(INDIRECT("'"&amp;AH$5&amp;"'!C6:C1000"),$AA39,INDIRECT("'"&amp;AH$5&amp;"'!E6:E1000")))</f>
        <v>56</v>
      </c>
      <c r="AU39">
        <f>IF(OR($AA39="",AI$5=""),0,SUMIF(INDIRECT("'"&amp;AI$5&amp;"'!C6:C1000"),$AA39,INDIRECT("'"&amp;AI$5&amp;"'!E6:E1000")))</f>
        <v>0</v>
      </c>
      <c r="AV39">
        <f>IF(OR($AA39="",AJ$5=""),0,SUMIF(INDIRECT("'"&amp;AJ$5&amp;"'!C6:C1000"),$AA39,INDIRECT("'"&amp;AJ$5&amp;"'!E6:E1000")))</f>
        <v>0</v>
      </c>
      <c r="AW39">
        <f>IF(OR($AA39="",AK$5=""),0,SUMIF(INDIRECT("'"&amp;AK$5&amp;"'!C6:C1000"),$AA39,INDIRECT("'"&amp;AK$5&amp;"'!E6:E1000")))</f>
        <v>0</v>
      </c>
      <c r="AX39">
        <f>IF(OR($AA39="",AL$5=""),0,SUMIF(INDIRECT("'"&amp;AL$5&amp;"'!C6:C1000"),$AA39,INDIRECT("'"&amp;AL$5&amp;"'!E6:E1000")))</f>
        <v>0</v>
      </c>
      <c r="AY39">
        <f>IF(OR($AA39="",AM$5=""),0,SUMIF(INDIRECT("'"&amp;AM$5&amp;"'!C6:C1000"),$AA39,INDIRECT("'"&amp;AM$5&amp;"'!E6:E1000")))</f>
        <v>0</v>
      </c>
      <c r="AZ39">
        <f>IF(OR($AA39="",AN$5=""),0,SUMIF(INDIRECT("'"&amp;AN$5&amp;"'!C6:C1000"),$AA39,INDIRECT("'"&amp;AN$5&amp;"'!E6:E1000")))</f>
        <v>0</v>
      </c>
      <c r="BA39">
        <f>IF(OR($AA39="",AC$5=""),0,SUMIFS(INDIRECT("'"&amp;AC$5&amp;"'!E6:E1000"),INDIRECT("'"&amp;AC$5&amp;"'!C6:C1000"),$AA39,INDIRECT("'"&amp;AC$5&amp;"'!F6:F1000"),"箱")+SUMIFS(INDIRECT("'"&amp;AC$5&amp;"'!E6:E1000"),INDIRECT("'"&amp;AC$5&amp;"'!C6:C1000"),$AA39,INDIRECT("'"&amp;AC$5&amp;"'!F6:F1000"),"件"))</f>
        <v>0</v>
      </c>
      <c r="BB39">
        <f>IF(OR($AA39="",AD$5=""),0,SUMIFS(INDIRECT("'"&amp;AD$5&amp;"'!E6:E1000"),INDIRECT("'"&amp;AD$5&amp;"'!C6:C1000"),$AA39,INDIRECT("'"&amp;AD$5&amp;"'!F6:F1000"),"箱")+SUMIFS(INDIRECT("'"&amp;AD$5&amp;"'!E6:E1000"),INDIRECT("'"&amp;AD$5&amp;"'!C6:C1000"),$AA39,INDIRECT("'"&amp;AD$5&amp;"'!F6:F1000"),"件"))</f>
        <v>0</v>
      </c>
      <c r="BC39">
        <f>IF(OR($AA39="",AE$5=""),0,SUMIFS(INDIRECT("'"&amp;AE$5&amp;"'!E6:E1000"),INDIRECT("'"&amp;AE$5&amp;"'!C6:C1000"),$AA39,INDIRECT("'"&amp;AE$5&amp;"'!F6:F1000"),"箱")+SUMIFS(INDIRECT("'"&amp;AE$5&amp;"'!E6:E1000"),INDIRECT("'"&amp;AE$5&amp;"'!C6:C1000"),$AA39,INDIRECT("'"&amp;AE$5&amp;"'!F6:F1000"),"件"))</f>
        <v>0</v>
      </c>
      <c r="BD39">
        <f>IF(OR($AA39="",AF$5=""),0,SUMIFS(INDIRECT("'"&amp;AF$5&amp;"'!E6:E1000"),INDIRECT("'"&amp;AF$5&amp;"'!C6:C1000"),$AA39,INDIRECT("'"&amp;AF$5&amp;"'!F6:F1000"),"箱")+SUMIFS(INDIRECT("'"&amp;AF$5&amp;"'!E6:E1000"),INDIRECT("'"&amp;AF$5&amp;"'!C6:C1000"),$AA39,INDIRECT("'"&amp;AF$5&amp;"'!F6:F1000"),"件"))</f>
        <v>0</v>
      </c>
      <c r="BE39">
        <f>IF(OR($AA39="",AG$5=""),0,SUMIFS(INDIRECT("'"&amp;AG$5&amp;"'!E6:E1000"),INDIRECT("'"&amp;AG$5&amp;"'!C6:C1000"),$AA39,INDIRECT("'"&amp;AG$5&amp;"'!F6:F1000"),"箱")+SUMIFS(INDIRECT("'"&amp;AG$5&amp;"'!E6:E1000"),INDIRECT("'"&amp;AG$5&amp;"'!C6:C1000"),$AA39,INDIRECT("'"&amp;AG$5&amp;"'!F6:F1000"),"件"))</f>
        <v>0</v>
      </c>
      <c r="BF39">
        <f>IF(OR($AA39="",AH$5=""),0,SUMIFS(INDIRECT("'"&amp;AH$5&amp;"'!E6:E1000"),INDIRECT("'"&amp;AH$5&amp;"'!C6:C1000"),$AA39,INDIRECT("'"&amp;AH$5&amp;"'!F6:F1000"),"箱")+SUMIFS(INDIRECT("'"&amp;AH$5&amp;"'!E6:E1000"),INDIRECT("'"&amp;AH$5&amp;"'!C6:C1000"),$AA39,INDIRECT("'"&amp;AH$5&amp;"'!F6:F1000"),"件"))</f>
        <v>0</v>
      </c>
      <c r="BG39">
        <f>IF(OR($AA39="",AI$5=""),0,SUMIFS(INDIRECT("'"&amp;AI$5&amp;"'!E6:E1000"),INDIRECT("'"&amp;AI$5&amp;"'!C6:C1000"),$AA39,INDIRECT("'"&amp;AI$5&amp;"'!F6:F1000"),"箱")+SUMIFS(INDIRECT("'"&amp;AI$5&amp;"'!E6:E1000"),INDIRECT("'"&amp;AI$5&amp;"'!C6:C1000"),$AA39,INDIRECT("'"&amp;AI$5&amp;"'!F6:F1000"),"件"))</f>
        <v>0</v>
      </c>
      <c r="BH39">
        <f>IF(OR($AA39="",AJ$5=""),0,SUMIFS(INDIRECT("'"&amp;AJ$5&amp;"'!E6:E1000"),INDIRECT("'"&amp;AJ$5&amp;"'!C6:C1000"),$AA39,INDIRECT("'"&amp;AJ$5&amp;"'!F6:F1000"),"箱")+SUMIFS(INDIRECT("'"&amp;AJ$5&amp;"'!E6:E1000"),INDIRECT("'"&amp;AJ$5&amp;"'!C6:C1000"),$AA39,INDIRECT("'"&amp;AJ$5&amp;"'!F6:F1000"),"件"))</f>
        <v>0</v>
      </c>
      <c r="BI39">
        <f>IF(OR($AA39="",AK$5=""),0,SUMIFS(INDIRECT("'"&amp;AK$5&amp;"'!E6:E1000"),INDIRECT("'"&amp;AK$5&amp;"'!C6:C1000"),$AA39,INDIRECT("'"&amp;AK$5&amp;"'!F6:F1000"),"箱")+SUMIFS(INDIRECT("'"&amp;AK$5&amp;"'!E6:E1000"),INDIRECT("'"&amp;AK$5&amp;"'!C6:C1000"),$AA39,INDIRECT("'"&amp;AK$5&amp;"'!F6:F1000"),"件"))</f>
        <v>0</v>
      </c>
      <c r="BJ39">
        <f>IF(OR($AA39="",AL$5=""),0,SUMIFS(INDIRECT("'"&amp;AL$5&amp;"'!E6:E1000"),INDIRECT("'"&amp;AL$5&amp;"'!C6:C1000"),$AA39,INDIRECT("'"&amp;AL$5&amp;"'!F6:F1000"),"箱")+SUMIFS(INDIRECT("'"&amp;AL$5&amp;"'!E6:E1000"),INDIRECT("'"&amp;AL$5&amp;"'!C6:C1000"),$AA39,INDIRECT("'"&amp;AL$5&amp;"'!F6:F1000"),"件"))</f>
        <v>0</v>
      </c>
      <c r="BK39">
        <f>IF(OR($AA39="",AM$5=""),0,SUMIFS(INDIRECT("'"&amp;AM$5&amp;"'!E6:E1000"),INDIRECT("'"&amp;AM$5&amp;"'!C6:C1000"),$AA39,INDIRECT("'"&amp;AM$5&amp;"'!F6:F1000"),"箱")+SUMIFS(INDIRECT("'"&amp;AM$5&amp;"'!E6:E1000"),INDIRECT("'"&amp;AM$5&amp;"'!C6:C1000"),$AA39,INDIRECT("'"&amp;AM$5&amp;"'!F6:F1000"),"件"))</f>
        <v>0</v>
      </c>
      <c r="BL39">
        <f>IF(OR($AA39="",AN$5=""),0,SUMIFS(INDIRECT("'"&amp;AN$5&amp;"'!E6:E1000"),INDIRECT("'"&amp;AN$5&amp;"'!C6:C1000"),$AA39,INDIRECT("'"&amp;AN$5&amp;"'!F6:F1000"),"箱")+SUMIFS(INDIRECT("'"&amp;AN$5&amp;"'!E6:E1000"),INDIRECT("'"&amp;AN$5&amp;"'!C6:C1000"),$AA39,INDIRECT("'"&amp;AN$5&amp;"'!F6:F1000"),"件"))</f>
        <v>0</v>
      </c>
      <c r="BM39">
        <f>(AO39-BA39)/$AB39+BA39</f>
        <v>0</v>
      </c>
      <c r="BN39">
        <f>(AP39-BB39)/$AB39+BB39</f>
        <v>0</v>
      </c>
      <c r="BO39">
        <f>(AQ39-BC39)/$AB39+BC39</f>
        <v>0</v>
      </c>
      <c r="BP39">
        <f>(AR39-BD39)/$AB39+BD39</f>
        <v>0</v>
      </c>
      <c r="BQ39">
        <f>(AS39-BE39)/$AB39+BE39</f>
        <v>0</v>
      </c>
      <c r="BR39">
        <f>(AT39-BF39)/$AB39+BF39</f>
        <v>4.66666666666667</v>
      </c>
      <c r="BS39">
        <f>(AU39-BG39)/$AB39+BG39</f>
        <v>0</v>
      </c>
      <c r="BT39">
        <f>(AV39-BH39)/$AB39+BH39</f>
        <v>0</v>
      </c>
      <c r="BU39">
        <f>(AW39-BI39)/$AB39+BI39</f>
        <v>0</v>
      </c>
      <c r="BV39">
        <f>(AX39-BJ39)/$AB39+BJ39</f>
        <v>0</v>
      </c>
      <c r="BW39">
        <f>(AY39-BK39)/$AB39+BK39</f>
        <v>0</v>
      </c>
      <c r="BX39">
        <f>(AZ39-BL39)/$AB39+BL39</f>
        <v>0</v>
      </c>
      <c r="BY39">
        <f>SUMPRODUCT((($AC$4:$AN$4=报损汇总一览!$A$3)+(报损汇总一览!$A$3="全年"))*AC39:AN39)</f>
        <v>164.64</v>
      </c>
      <c r="BZ39">
        <f>IF(BY39&gt;0,BY39+(1000-ROW())/10000000,"")</f>
        <v>164.6400961</v>
      </c>
      <c r="CA39">
        <f>SUMPRODUCT((($AC$4:$AN$4=报损汇总一览!$A$3)+(报损汇总一览!$A$3="全年"))*AO39:AZ39)</f>
        <v>56</v>
      </c>
    </row>
    <row r="40">
      <c r="A40">
        <f>IF(OR(存条明细!C40="",存条明细!D40=""),"",IF(COUNTIFS(存条明细!$C$4:C40,存条明细!C40,存条明细!$D$4:D40,存条明细!D40)&gt;1,"",IFERROR(MATCH(存条明细!C40,总览汇总!$B$5:$B$304,0),900)*10000000+IFERROR(MATCH(存条明细!D40,基础资料!$E$5:$E$104,0),900)*10000+ROW()))</f>
        <v>60070040</v>
      </c>
      <c r="B40">
        <f>IFERROR(MATCH(SMALL($A$4:$A$4003,37),$A$4:$A$4003,0),"")</f>
        <v>28</v>
      </c>
      <c r="D40">
        <f>IF(AND(商品库存!B40&lt;&gt;"",商品库存!B40=客户查询!$B$4),COUNTIF(商品库存!$B$4:B40,客户查询!$B$4),"")</f>
      </c>
      <c r="E40">
        <f>IF(AND(商品库存!B40&lt;&gt;"",商品库存!B40=客户对账单!$B$4),COUNTIF(商品库存!$B$4:B40,客户对账单!$B$4),"")</f>
      </c>
      <c r="F40">
        <f>IF(AND(出库明细!C40&lt;&gt;"",出库明细!C40=客户对账单!$B$4,ISNUMBER(出库明细!B40),出库明细!B40&gt;=客户对账单!$G$4,出库明细!B40&lt;=客户对账单!$I$4),出库明细!B40+ROW()/100000,"")</f>
      </c>
      <c r="H40">
        <f>IF(AND(采购进货!C40&lt;&gt;"",采购进货!C40=供应商对账单!$B$4,ISNUMBER(采购进货!B40),采购进货!B40&gt;=供应商对账单!$G$4,采购进货!B40&lt;=供应商对账单!$I$4),采购进货!B40+ROW()/100000,"")</f>
      </c>
      <c r="J40">
        <f>IF(总览汇总!$B40="","",N(总览汇总!$K40)+SUMIFS(出库明细!$G$4:$G$3003,出库明细!$C$4:$C$3003,总览汇总!$B40,出库明细!$B$4:$B$3003,"&gt;="&amp;年初日,出库明细!$B$4:$B$3003,"&lt;="&amp;资产负债表!$D$3)-SUMIFS(资金台帐!$S$7:$S$3006,资金台帐!$J$7:$J$3006,总览汇总!$B40,资金台帐!$P$7:$P$3006,"应收",资金台帐!$B$7:$B$3006,"&gt;="&amp;年初日,资金台帐!$B$7:$B$3006,"&lt;="&amp;资产负债表!$D$3))</f>
        <v>-391</v>
      </c>
      <c r="K40">
        <f>IF(基础资料!$Q40="","",N(基础资料!$R40)+SUMIFS(采购进货!$G$4:$G$1503,采购进货!$C$4:$C$1503,基础资料!$Q40,采购进货!$B$4:$B$1503,"&gt;="&amp;年初日,采购进货!$B$4:$B$1503,"&lt;="&amp;资产负债表!$D$3)+SUMIFS(资金台帐!$S$7:$S$3006,资金台帐!$K$7:$K$3006,基础资料!$Q40,资金台帐!$P$7:$P$3006,"应付",资金台帐!$B$7:$B$3006,"&gt;="&amp;年初日,资金台帐!$B$7:$B$3006,"&lt;="&amp;资产负债表!$D$3))</f>
      </c>
      <c r="N40">
        <f>IF(AND(ISNUMBER(出库明细!G40),ISNUMBER(出库明细!E40),ISNUMBER(出库明细!F40)),IF(ABS(出库明细!G40-出库明细!E40*出库明细!F40)&gt;0.005,1,0),0)</f>
        <v>0</v>
      </c>
      <c r="O40">
        <f>IF(AND(ISNUMBER(存条明细!G40),ISNUMBER(存条明细!E40),ISNUMBER(存条明细!F40)),IF(ABS(存条明细!G40-存条明细!E40*存条明细!F40)&gt;0.005,1,0),0)</f>
        <v>0</v>
      </c>
      <c r="AA40" t="str">
        <f>IF(基础资料!G39="","",基础资料!G39&amp;"")</f>
        <v>青岛经典</v>
      </c>
      <c r="AB40">
        <f>IF(N(基础资料!I39)&lt;=0,1,基础资料!I39)</f>
        <v>12</v>
      </c>
      <c r="AC40">
        <f>IF(OR($AA40="",AC$5=""),0,SUMIF(INDIRECT("'"&amp;AC$5&amp;"'!C6:C1000"),$AA40,INDIRECT("'"&amp;AC$5&amp;"'!H6:H1000")))</f>
        <v>0</v>
      </c>
      <c r="AD40">
        <f>IF(OR($AA40="",AD$5=""),0,SUMIF(INDIRECT("'"&amp;AD$5&amp;"'!C6:C1000"),$AA40,INDIRECT("'"&amp;AD$5&amp;"'!H6:H1000")))</f>
        <v>0</v>
      </c>
      <c r="AE40">
        <f>IF(OR($AA40="",AE$5=""),0,SUMIF(INDIRECT("'"&amp;AE$5&amp;"'!C6:C1000"),$AA40,INDIRECT("'"&amp;AE$5&amp;"'!H6:H1000")))</f>
        <v>0</v>
      </c>
      <c r="AF40">
        <f>IF(OR($AA40="",AF$5=""),0,SUMIF(INDIRECT("'"&amp;AF$5&amp;"'!C6:C1000"),$AA40,INDIRECT("'"&amp;AF$5&amp;"'!H6:H1000")))</f>
        <v>0</v>
      </c>
      <c r="AG40">
        <f>IF(OR($AA40="",AG$5=""),0,SUMIF(INDIRECT("'"&amp;AG$5&amp;"'!C6:C1000"),$AA40,INDIRECT("'"&amp;AG$5&amp;"'!H6:H1000")))</f>
        <v>0</v>
      </c>
      <c r="AH40">
        <f>IF(OR($AA40="",AH$5=""),0,SUMIF(INDIRECT("'"&amp;AH$5&amp;"'!C6:C1000"),$AA40,INDIRECT("'"&amp;AH$5&amp;"'!H6:H1000")))</f>
        <v>33.36</v>
      </c>
      <c r="AI40">
        <f>IF(OR($AA40="",AI$5=""),0,SUMIF(INDIRECT("'"&amp;AI$5&amp;"'!C6:C1000"),$AA40,INDIRECT("'"&amp;AI$5&amp;"'!H6:H1000")))</f>
        <v>0</v>
      </c>
      <c r="AJ40">
        <f>IF(OR($AA40="",AJ$5=""),0,SUMIF(INDIRECT("'"&amp;AJ$5&amp;"'!C6:C1000"),$AA40,INDIRECT("'"&amp;AJ$5&amp;"'!H6:H1000")))</f>
        <v>133.44</v>
      </c>
      <c r="AK40">
        <f>IF(OR($AA40="",AK$5=""),0,SUMIF(INDIRECT("'"&amp;AK$5&amp;"'!C6:C1000"),$AA40,INDIRECT("'"&amp;AK$5&amp;"'!H6:H1000")))</f>
        <v>0</v>
      </c>
      <c r="AL40">
        <f>IF(OR($AA40="",AL$5=""),0,SUMIF(INDIRECT("'"&amp;AL$5&amp;"'!C6:C1000"),$AA40,INDIRECT("'"&amp;AL$5&amp;"'!H6:H1000")))</f>
        <v>0</v>
      </c>
      <c r="AM40">
        <f>IF(OR($AA40="",AM$5=""),0,SUMIF(INDIRECT("'"&amp;AM$5&amp;"'!C6:C1000"),$AA40,INDIRECT("'"&amp;AM$5&amp;"'!H6:H1000")))</f>
        <v>0</v>
      </c>
      <c r="AN40">
        <f>IF(OR($AA40="",AN$5=""),0,SUMIF(INDIRECT("'"&amp;AN$5&amp;"'!C6:C1000"),$AA40,INDIRECT("'"&amp;AN$5&amp;"'!H6:H1000")))</f>
        <v>0</v>
      </c>
      <c r="AO40">
        <f>IF(OR($AA40="",AC$5=""),0,SUMIF(INDIRECT("'"&amp;AC$5&amp;"'!C6:C1000"),$AA40,INDIRECT("'"&amp;AC$5&amp;"'!E6:E1000")))</f>
        <v>0</v>
      </c>
      <c r="AP40">
        <f>IF(OR($AA40="",AD$5=""),0,SUMIF(INDIRECT("'"&amp;AD$5&amp;"'!C6:C1000"),$AA40,INDIRECT("'"&amp;AD$5&amp;"'!E6:E1000")))</f>
        <v>0</v>
      </c>
      <c r="AQ40">
        <f>IF(OR($AA40="",AE$5=""),0,SUMIF(INDIRECT("'"&amp;AE$5&amp;"'!C6:C1000"),$AA40,INDIRECT("'"&amp;AE$5&amp;"'!E6:E1000")))</f>
        <v>0</v>
      </c>
      <c r="AR40">
        <f>IF(OR($AA40="",AF$5=""),0,SUMIF(INDIRECT("'"&amp;AF$5&amp;"'!C6:C1000"),$AA40,INDIRECT("'"&amp;AF$5&amp;"'!E6:E1000")))</f>
        <v>0</v>
      </c>
      <c r="AS40">
        <f>IF(OR($AA40="",AG$5=""),0,SUMIF(INDIRECT("'"&amp;AG$5&amp;"'!C6:C1000"),$AA40,INDIRECT("'"&amp;AG$5&amp;"'!E6:E1000")))</f>
        <v>0</v>
      </c>
      <c r="AT40">
        <f>IF(OR($AA40="",AH$5=""),0,SUMIF(INDIRECT("'"&amp;AH$5&amp;"'!C6:C1000"),$AA40,INDIRECT("'"&amp;AH$5&amp;"'!E6:E1000")))</f>
        <v>8</v>
      </c>
      <c r="AU40">
        <f>IF(OR($AA40="",AI$5=""),0,SUMIF(INDIRECT("'"&amp;AI$5&amp;"'!C6:C1000"),$AA40,INDIRECT("'"&amp;AI$5&amp;"'!E6:E1000")))</f>
        <v>0</v>
      </c>
      <c r="AV40">
        <f>IF(OR($AA40="",AJ$5=""),0,SUMIF(INDIRECT("'"&amp;AJ$5&amp;"'!C6:C1000"),$AA40,INDIRECT("'"&amp;AJ$5&amp;"'!E6:E1000")))</f>
        <v>32</v>
      </c>
      <c r="AW40">
        <f>IF(OR($AA40="",AK$5=""),0,SUMIF(INDIRECT("'"&amp;AK$5&amp;"'!C6:C1000"),$AA40,INDIRECT("'"&amp;AK$5&amp;"'!E6:E1000")))</f>
        <v>0</v>
      </c>
      <c r="AX40">
        <f>IF(OR($AA40="",AL$5=""),0,SUMIF(INDIRECT("'"&amp;AL$5&amp;"'!C6:C1000"),$AA40,INDIRECT("'"&amp;AL$5&amp;"'!E6:E1000")))</f>
        <v>0</v>
      </c>
      <c r="AY40">
        <f>IF(OR($AA40="",AM$5=""),0,SUMIF(INDIRECT("'"&amp;AM$5&amp;"'!C6:C1000"),$AA40,INDIRECT("'"&amp;AM$5&amp;"'!E6:E1000")))</f>
        <v>0</v>
      </c>
      <c r="AZ40">
        <f>IF(OR($AA40="",AN$5=""),0,SUMIF(INDIRECT("'"&amp;AN$5&amp;"'!C6:C1000"),$AA40,INDIRECT("'"&amp;AN$5&amp;"'!E6:E1000")))</f>
        <v>0</v>
      </c>
      <c r="BA40">
        <f>IF(OR($AA40="",AC$5=""),0,SUMIFS(INDIRECT("'"&amp;AC$5&amp;"'!E6:E1000"),INDIRECT("'"&amp;AC$5&amp;"'!C6:C1000"),$AA40,INDIRECT("'"&amp;AC$5&amp;"'!F6:F1000"),"箱")+SUMIFS(INDIRECT("'"&amp;AC$5&amp;"'!E6:E1000"),INDIRECT("'"&amp;AC$5&amp;"'!C6:C1000"),$AA40,INDIRECT("'"&amp;AC$5&amp;"'!F6:F1000"),"件"))</f>
        <v>0</v>
      </c>
      <c r="BB40">
        <f>IF(OR($AA40="",AD$5=""),0,SUMIFS(INDIRECT("'"&amp;AD$5&amp;"'!E6:E1000"),INDIRECT("'"&amp;AD$5&amp;"'!C6:C1000"),$AA40,INDIRECT("'"&amp;AD$5&amp;"'!F6:F1000"),"箱")+SUMIFS(INDIRECT("'"&amp;AD$5&amp;"'!E6:E1000"),INDIRECT("'"&amp;AD$5&amp;"'!C6:C1000"),$AA40,INDIRECT("'"&amp;AD$5&amp;"'!F6:F1000"),"件"))</f>
        <v>0</v>
      </c>
      <c r="BC40">
        <f>IF(OR($AA40="",AE$5=""),0,SUMIFS(INDIRECT("'"&amp;AE$5&amp;"'!E6:E1000"),INDIRECT("'"&amp;AE$5&amp;"'!C6:C1000"),$AA40,INDIRECT("'"&amp;AE$5&amp;"'!F6:F1000"),"箱")+SUMIFS(INDIRECT("'"&amp;AE$5&amp;"'!E6:E1000"),INDIRECT("'"&amp;AE$5&amp;"'!C6:C1000"),$AA40,INDIRECT("'"&amp;AE$5&amp;"'!F6:F1000"),"件"))</f>
        <v>0</v>
      </c>
      <c r="BD40">
        <f>IF(OR($AA40="",AF$5=""),0,SUMIFS(INDIRECT("'"&amp;AF$5&amp;"'!E6:E1000"),INDIRECT("'"&amp;AF$5&amp;"'!C6:C1000"),$AA40,INDIRECT("'"&amp;AF$5&amp;"'!F6:F1000"),"箱")+SUMIFS(INDIRECT("'"&amp;AF$5&amp;"'!E6:E1000"),INDIRECT("'"&amp;AF$5&amp;"'!C6:C1000"),$AA40,INDIRECT("'"&amp;AF$5&amp;"'!F6:F1000"),"件"))</f>
        <v>0</v>
      </c>
      <c r="BE40">
        <f>IF(OR($AA40="",AG$5=""),0,SUMIFS(INDIRECT("'"&amp;AG$5&amp;"'!E6:E1000"),INDIRECT("'"&amp;AG$5&amp;"'!C6:C1000"),$AA40,INDIRECT("'"&amp;AG$5&amp;"'!F6:F1000"),"箱")+SUMIFS(INDIRECT("'"&amp;AG$5&amp;"'!E6:E1000"),INDIRECT("'"&amp;AG$5&amp;"'!C6:C1000"),$AA40,INDIRECT("'"&amp;AG$5&amp;"'!F6:F1000"),"件"))</f>
        <v>0</v>
      </c>
      <c r="BF40">
        <f>IF(OR($AA40="",AH$5=""),0,SUMIFS(INDIRECT("'"&amp;AH$5&amp;"'!E6:E1000"),INDIRECT("'"&amp;AH$5&amp;"'!C6:C1000"),$AA40,INDIRECT("'"&amp;AH$5&amp;"'!F6:F1000"),"箱")+SUMIFS(INDIRECT("'"&amp;AH$5&amp;"'!E6:E1000"),INDIRECT("'"&amp;AH$5&amp;"'!C6:C1000"),$AA40,INDIRECT("'"&amp;AH$5&amp;"'!F6:F1000"),"件"))</f>
        <v>0</v>
      </c>
      <c r="BG40">
        <f>IF(OR($AA40="",AI$5=""),0,SUMIFS(INDIRECT("'"&amp;AI$5&amp;"'!E6:E1000"),INDIRECT("'"&amp;AI$5&amp;"'!C6:C1000"),$AA40,INDIRECT("'"&amp;AI$5&amp;"'!F6:F1000"),"箱")+SUMIFS(INDIRECT("'"&amp;AI$5&amp;"'!E6:E1000"),INDIRECT("'"&amp;AI$5&amp;"'!C6:C1000"),$AA40,INDIRECT("'"&amp;AI$5&amp;"'!F6:F1000"),"件"))</f>
        <v>0</v>
      </c>
      <c r="BH40">
        <f>IF(OR($AA40="",AJ$5=""),0,SUMIFS(INDIRECT("'"&amp;AJ$5&amp;"'!E6:E1000"),INDIRECT("'"&amp;AJ$5&amp;"'!C6:C1000"),$AA40,INDIRECT("'"&amp;AJ$5&amp;"'!F6:F1000"),"箱")+SUMIFS(INDIRECT("'"&amp;AJ$5&amp;"'!E6:E1000"),INDIRECT("'"&amp;AJ$5&amp;"'!C6:C1000"),$AA40,INDIRECT("'"&amp;AJ$5&amp;"'!F6:F1000"),"件"))</f>
        <v>0</v>
      </c>
      <c r="BI40">
        <f>IF(OR($AA40="",AK$5=""),0,SUMIFS(INDIRECT("'"&amp;AK$5&amp;"'!E6:E1000"),INDIRECT("'"&amp;AK$5&amp;"'!C6:C1000"),$AA40,INDIRECT("'"&amp;AK$5&amp;"'!F6:F1000"),"箱")+SUMIFS(INDIRECT("'"&amp;AK$5&amp;"'!E6:E1000"),INDIRECT("'"&amp;AK$5&amp;"'!C6:C1000"),$AA40,INDIRECT("'"&amp;AK$5&amp;"'!F6:F1000"),"件"))</f>
        <v>0</v>
      </c>
      <c r="BJ40">
        <f>IF(OR($AA40="",AL$5=""),0,SUMIFS(INDIRECT("'"&amp;AL$5&amp;"'!E6:E1000"),INDIRECT("'"&amp;AL$5&amp;"'!C6:C1000"),$AA40,INDIRECT("'"&amp;AL$5&amp;"'!F6:F1000"),"箱")+SUMIFS(INDIRECT("'"&amp;AL$5&amp;"'!E6:E1000"),INDIRECT("'"&amp;AL$5&amp;"'!C6:C1000"),$AA40,INDIRECT("'"&amp;AL$5&amp;"'!F6:F1000"),"件"))</f>
        <v>0</v>
      </c>
      <c r="BK40">
        <f>IF(OR($AA40="",AM$5=""),0,SUMIFS(INDIRECT("'"&amp;AM$5&amp;"'!E6:E1000"),INDIRECT("'"&amp;AM$5&amp;"'!C6:C1000"),$AA40,INDIRECT("'"&amp;AM$5&amp;"'!F6:F1000"),"箱")+SUMIFS(INDIRECT("'"&amp;AM$5&amp;"'!E6:E1000"),INDIRECT("'"&amp;AM$5&amp;"'!C6:C1000"),$AA40,INDIRECT("'"&amp;AM$5&amp;"'!F6:F1000"),"件"))</f>
        <v>0</v>
      </c>
      <c r="BL40">
        <f>IF(OR($AA40="",AN$5=""),0,SUMIFS(INDIRECT("'"&amp;AN$5&amp;"'!E6:E1000"),INDIRECT("'"&amp;AN$5&amp;"'!C6:C1000"),$AA40,INDIRECT("'"&amp;AN$5&amp;"'!F6:F1000"),"箱")+SUMIFS(INDIRECT("'"&amp;AN$5&amp;"'!E6:E1000"),INDIRECT("'"&amp;AN$5&amp;"'!C6:C1000"),$AA40,INDIRECT("'"&amp;AN$5&amp;"'!F6:F1000"),"件"))</f>
        <v>0</v>
      </c>
      <c r="BM40">
        <f>(AO40-BA40)/$AB40+BA40</f>
        <v>0</v>
      </c>
      <c r="BN40">
        <f>(AP40-BB40)/$AB40+BB40</f>
        <v>0</v>
      </c>
      <c r="BO40">
        <f>(AQ40-BC40)/$AB40+BC40</f>
        <v>0</v>
      </c>
      <c r="BP40">
        <f>(AR40-BD40)/$AB40+BD40</f>
        <v>0</v>
      </c>
      <c r="BQ40">
        <f>(AS40-BE40)/$AB40+BE40</f>
        <v>0</v>
      </c>
      <c r="BR40">
        <f>(AT40-BF40)/$AB40+BF40</f>
        <v>0.666666666666667</v>
      </c>
      <c r="BS40">
        <f>(AU40-BG40)/$AB40+BG40</f>
        <v>0</v>
      </c>
      <c r="BT40">
        <f>(AV40-BH40)/$AB40+BH40</f>
        <v>2.66666666666667</v>
      </c>
      <c r="BU40">
        <f>(AW40-BI40)/$AB40+BI40</f>
        <v>0</v>
      </c>
      <c r="BV40">
        <f>(AX40-BJ40)/$AB40+BJ40</f>
        <v>0</v>
      </c>
      <c r="BW40">
        <f>(AY40-BK40)/$AB40+BK40</f>
        <v>0</v>
      </c>
      <c r="BX40">
        <f>(AZ40-BL40)/$AB40+BL40</f>
        <v>0</v>
      </c>
      <c r="BY40">
        <f>SUMPRODUCT((($AC$4:$AN$4=报损汇总一览!$A$3)+(报损汇总一览!$A$3="全年"))*AC40:AN40)</f>
        <v>166.8</v>
      </c>
      <c r="BZ40">
        <f>IF(BY40&gt;0,BY40+(1000-ROW())/10000000,"")</f>
        <v>166.800096</v>
      </c>
      <c r="CA40">
        <f>SUMPRODUCT((($AC$4:$AN$4=报损汇总一览!$A$3)+(报损汇总一览!$A$3="全年"))*AO40:AZ40)</f>
        <v>40</v>
      </c>
    </row>
    <row r="41">
      <c r="A41">
        <f>IF(OR(存条明细!C41="",存条明细!D41=""),"",IF(COUNTIFS(存条明细!$C$4:C41,存条明细!C41,存条明细!$D$4:D41,存条明细!D41)&gt;1,"",IFERROR(MATCH(存条明细!C41,总览汇总!$B$5:$B$304,0),900)*10000000+IFERROR(MATCH(存条明细!D41,基础资料!$E$5:$E$104,0),900)*10000+ROW()))</f>
        <v>60180041</v>
      </c>
      <c r="B41">
        <f>IFERROR(MATCH(SMALL($A$4:$A$4003,38),$A$4:$A$4003,0),"")</f>
        <v>149</v>
      </c>
      <c r="D41">
        <f>IF(AND(商品库存!B41&lt;&gt;"",商品库存!B41=客户查询!$B$4),COUNTIF(商品库存!$B$4:B41,客户查询!$B$4),"")</f>
      </c>
      <c r="E41">
        <f>IF(AND(商品库存!B41&lt;&gt;"",商品库存!B41=客户对账单!$B$4),COUNTIF(商品库存!$B$4:B41,客户对账单!$B$4),"")</f>
      </c>
      <c r="F41">
        <f>IF(AND(出库明细!C41&lt;&gt;"",出库明细!C41=客户对账单!$B$4,ISNUMBER(出库明细!B41),出库明细!B41&gt;=客户对账单!$G$4,出库明细!B41&lt;=客户对账单!$I$4),出库明细!B41+ROW()/100000,"")</f>
      </c>
      <c r="H41">
        <f>IF(AND(采购进货!C41&lt;&gt;"",采购进货!C41=供应商对账单!$B$4,ISNUMBER(采购进货!B41),采购进货!B41&gt;=供应商对账单!$G$4,采购进货!B41&lt;=供应商对账单!$I$4),采购进货!B41+ROW()/100000,"")</f>
      </c>
      <c r="J41">
        <f>IF(总览汇总!$B41="","",N(总览汇总!$K41)+SUMIFS(出库明细!$G$4:$G$3003,出库明细!$C$4:$C$3003,总览汇总!$B41,出库明细!$B$4:$B$3003,"&gt;="&amp;年初日,出库明细!$B$4:$B$3003,"&lt;="&amp;资产负债表!$D$3)-SUMIFS(资金台帐!$S$7:$S$3006,资金台帐!$J$7:$J$3006,总览汇总!$B41,资金台帐!$P$7:$P$3006,"应收",资金台帐!$B$7:$B$3006,"&gt;="&amp;年初日,资金台帐!$B$7:$B$3006,"&lt;="&amp;资产负债表!$D$3))</f>
        <v>-282285</v>
      </c>
      <c r="K41">
        <f>IF(基础资料!$Q41="","",N(基础资料!$R41)+SUMIFS(采购进货!$G$4:$G$1503,采购进货!$C$4:$C$1503,基础资料!$Q41,采购进货!$B$4:$B$1503,"&gt;="&amp;年初日,采购进货!$B$4:$B$1503,"&lt;="&amp;资产负债表!$D$3)+SUMIFS(资金台帐!$S$7:$S$3006,资金台帐!$K$7:$K$3006,基础资料!$Q41,资金台帐!$P$7:$P$3006,"应付",资金台帐!$B$7:$B$3006,"&gt;="&amp;年初日,资金台帐!$B$7:$B$3006,"&lt;="&amp;资产负债表!$D$3))</f>
      </c>
      <c r="N41">
        <f>IF(AND(ISNUMBER(出库明细!G41),ISNUMBER(出库明细!E41),ISNUMBER(出库明细!F41)),IF(ABS(出库明细!G41-出库明细!E41*出库明细!F41)&gt;0.005,1,0),0)</f>
        <v>0</v>
      </c>
      <c r="O41">
        <f>IF(AND(ISNUMBER(存条明细!G41),ISNUMBER(存条明细!E41),ISNUMBER(存条明细!F41)),IF(ABS(存条明细!G41-存条明细!E41*存条明细!F41)&gt;0.005,1,0),0)</f>
        <v>0</v>
      </c>
      <c r="AA41" t="str">
        <f>IF(基础资料!G40="","",基础资料!G40&amp;"")</f>
        <v>青岛崂山</v>
      </c>
      <c r="AB41">
        <f>IF(N(基础资料!I40)&lt;=0,1,基础资料!I40)</f>
        <v>12</v>
      </c>
      <c r="AC41">
        <f>IF(OR($AA41="",AC$5=""),0,SUMIF(INDIRECT("'"&amp;AC$5&amp;"'!C6:C1000"),$AA41,INDIRECT("'"&amp;AC$5&amp;"'!H6:H1000")))</f>
        <v>0</v>
      </c>
      <c r="AD41">
        <f>IF(OR($AA41="",AD$5=""),0,SUMIF(INDIRECT("'"&amp;AD$5&amp;"'!C6:C1000"),$AA41,INDIRECT("'"&amp;AD$5&amp;"'!H6:H1000")))</f>
        <v>0</v>
      </c>
      <c r="AE41">
        <f>IF(OR($AA41="",AE$5=""),0,SUMIF(INDIRECT("'"&amp;AE$5&amp;"'!C6:C1000"),$AA41,INDIRECT("'"&amp;AE$5&amp;"'!H6:H1000")))</f>
        <v>0</v>
      </c>
      <c r="AF41">
        <f>IF(OR($AA41="",AF$5=""),0,SUMIF(INDIRECT("'"&amp;AF$5&amp;"'!C6:C1000"),$AA41,INDIRECT("'"&amp;AF$5&amp;"'!H6:H1000")))</f>
        <v>0</v>
      </c>
      <c r="AG41">
        <f>IF(OR($AA41="",AG$5=""),0,SUMIF(INDIRECT("'"&amp;AG$5&amp;"'!C6:C1000"),$AA41,INDIRECT("'"&amp;AG$5&amp;"'!H6:H1000")))</f>
        <v>0</v>
      </c>
      <c r="AH41">
        <f>IF(OR($AA41="",AH$5=""),0,SUMIF(INDIRECT("'"&amp;AH$5&amp;"'!C6:C1000"),$AA41,INDIRECT("'"&amp;AH$5&amp;"'!H6:H1000")))</f>
        <v>42</v>
      </c>
      <c r="AI41">
        <f>IF(OR($AA41="",AI$5=""),0,SUMIF(INDIRECT("'"&amp;AI$5&amp;"'!C6:C1000"),$AA41,INDIRECT("'"&amp;AI$5&amp;"'!H6:H1000")))</f>
        <v>0</v>
      </c>
      <c r="AJ41">
        <f>IF(OR($AA41="",AJ$5=""),0,SUMIF(INDIRECT("'"&amp;AJ$5&amp;"'!C6:C1000"),$AA41,INDIRECT("'"&amp;AJ$5&amp;"'!H6:H1000")))</f>
        <v>18</v>
      </c>
      <c r="AK41">
        <f>IF(OR($AA41="",AK$5=""),0,SUMIF(INDIRECT("'"&amp;AK$5&amp;"'!C6:C1000"),$AA41,INDIRECT("'"&amp;AK$5&amp;"'!H6:H1000")))</f>
        <v>0</v>
      </c>
      <c r="AL41">
        <f>IF(OR($AA41="",AL$5=""),0,SUMIF(INDIRECT("'"&amp;AL$5&amp;"'!C6:C1000"),$AA41,INDIRECT("'"&amp;AL$5&amp;"'!H6:H1000")))</f>
        <v>0</v>
      </c>
      <c r="AM41">
        <f>IF(OR($AA41="",AM$5=""),0,SUMIF(INDIRECT("'"&amp;AM$5&amp;"'!C6:C1000"),$AA41,INDIRECT("'"&amp;AM$5&amp;"'!H6:H1000")))</f>
        <v>0</v>
      </c>
      <c r="AN41">
        <f>IF(OR($AA41="",AN$5=""),0,SUMIF(INDIRECT("'"&amp;AN$5&amp;"'!C6:C1000"),$AA41,INDIRECT("'"&amp;AN$5&amp;"'!H6:H1000")))</f>
        <v>0</v>
      </c>
      <c r="AO41">
        <f>IF(OR($AA41="",AC$5=""),0,SUMIF(INDIRECT("'"&amp;AC$5&amp;"'!C6:C1000"),$AA41,INDIRECT("'"&amp;AC$5&amp;"'!E6:E1000")))</f>
        <v>0</v>
      </c>
      <c r="AP41">
        <f>IF(OR($AA41="",AD$5=""),0,SUMIF(INDIRECT("'"&amp;AD$5&amp;"'!C6:C1000"),$AA41,INDIRECT("'"&amp;AD$5&amp;"'!E6:E1000")))</f>
        <v>0</v>
      </c>
      <c r="AQ41">
        <f>IF(OR($AA41="",AE$5=""),0,SUMIF(INDIRECT("'"&amp;AE$5&amp;"'!C6:C1000"),$AA41,INDIRECT("'"&amp;AE$5&amp;"'!E6:E1000")))</f>
        <v>0</v>
      </c>
      <c r="AR41">
        <f>IF(OR($AA41="",AF$5=""),0,SUMIF(INDIRECT("'"&amp;AF$5&amp;"'!C6:C1000"),$AA41,INDIRECT("'"&amp;AF$5&amp;"'!E6:E1000")))</f>
        <v>0</v>
      </c>
      <c r="AS41">
        <f>IF(OR($AA41="",AG$5=""),0,SUMIF(INDIRECT("'"&amp;AG$5&amp;"'!C6:C1000"),$AA41,INDIRECT("'"&amp;AG$5&amp;"'!E6:E1000")))</f>
        <v>0</v>
      </c>
      <c r="AT41">
        <f>IF(OR($AA41="",AH$5=""),0,SUMIF(INDIRECT("'"&amp;AH$5&amp;"'!C6:C1000"),$AA41,INDIRECT("'"&amp;AH$5&amp;"'!E6:E1000")))</f>
        <v>21</v>
      </c>
      <c r="AU41">
        <f>IF(OR($AA41="",AI$5=""),0,SUMIF(INDIRECT("'"&amp;AI$5&amp;"'!C6:C1000"),$AA41,INDIRECT("'"&amp;AI$5&amp;"'!E6:E1000")))</f>
        <v>0</v>
      </c>
      <c r="AV41">
        <f>IF(OR($AA41="",AJ$5=""),0,SUMIF(INDIRECT("'"&amp;AJ$5&amp;"'!C6:C1000"),$AA41,INDIRECT("'"&amp;AJ$5&amp;"'!E6:E1000")))</f>
        <v>9</v>
      </c>
      <c r="AW41">
        <f>IF(OR($AA41="",AK$5=""),0,SUMIF(INDIRECT("'"&amp;AK$5&amp;"'!C6:C1000"),$AA41,INDIRECT("'"&amp;AK$5&amp;"'!E6:E1000")))</f>
        <v>0</v>
      </c>
      <c r="AX41">
        <f>IF(OR($AA41="",AL$5=""),0,SUMIF(INDIRECT("'"&amp;AL$5&amp;"'!C6:C1000"),$AA41,INDIRECT("'"&amp;AL$5&amp;"'!E6:E1000")))</f>
        <v>0</v>
      </c>
      <c r="AY41">
        <f>IF(OR($AA41="",AM$5=""),0,SUMIF(INDIRECT("'"&amp;AM$5&amp;"'!C6:C1000"),$AA41,INDIRECT("'"&amp;AM$5&amp;"'!E6:E1000")))</f>
        <v>0</v>
      </c>
      <c r="AZ41">
        <f>IF(OR($AA41="",AN$5=""),0,SUMIF(INDIRECT("'"&amp;AN$5&amp;"'!C6:C1000"),$AA41,INDIRECT("'"&amp;AN$5&amp;"'!E6:E1000")))</f>
        <v>0</v>
      </c>
      <c r="BA41">
        <f>IF(OR($AA41="",AC$5=""),0,SUMIFS(INDIRECT("'"&amp;AC$5&amp;"'!E6:E1000"),INDIRECT("'"&amp;AC$5&amp;"'!C6:C1000"),$AA41,INDIRECT("'"&amp;AC$5&amp;"'!F6:F1000"),"箱")+SUMIFS(INDIRECT("'"&amp;AC$5&amp;"'!E6:E1000"),INDIRECT("'"&amp;AC$5&amp;"'!C6:C1000"),$AA41,INDIRECT("'"&amp;AC$5&amp;"'!F6:F1000"),"件"))</f>
        <v>0</v>
      </c>
      <c r="BB41">
        <f>IF(OR($AA41="",AD$5=""),0,SUMIFS(INDIRECT("'"&amp;AD$5&amp;"'!E6:E1000"),INDIRECT("'"&amp;AD$5&amp;"'!C6:C1000"),$AA41,INDIRECT("'"&amp;AD$5&amp;"'!F6:F1000"),"箱")+SUMIFS(INDIRECT("'"&amp;AD$5&amp;"'!E6:E1000"),INDIRECT("'"&amp;AD$5&amp;"'!C6:C1000"),$AA41,INDIRECT("'"&amp;AD$5&amp;"'!F6:F1000"),"件"))</f>
        <v>0</v>
      </c>
      <c r="BC41">
        <f>IF(OR($AA41="",AE$5=""),0,SUMIFS(INDIRECT("'"&amp;AE$5&amp;"'!E6:E1000"),INDIRECT("'"&amp;AE$5&amp;"'!C6:C1000"),$AA41,INDIRECT("'"&amp;AE$5&amp;"'!F6:F1000"),"箱")+SUMIFS(INDIRECT("'"&amp;AE$5&amp;"'!E6:E1000"),INDIRECT("'"&amp;AE$5&amp;"'!C6:C1000"),$AA41,INDIRECT("'"&amp;AE$5&amp;"'!F6:F1000"),"件"))</f>
        <v>0</v>
      </c>
      <c r="BD41">
        <f>IF(OR($AA41="",AF$5=""),0,SUMIFS(INDIRECT("'"&amp;AF$5&amp;"'!E6:E1000"),INDIRECT("'"&amp;AF$5&amp;"'!C6:C1000"),$AA41,INDIRECT("'"&amp;AF$5&amp;"'!F6:F1000"),"箱")+SUMIFS(INDIRECT("'"&amp;AF$5&amp;"'!E6:E1000"),INDIRECT("'"&amp;AF$5&amp;"'!C6:C1000"),$AA41,INDIRECT("'"&amp;AF$5&amp;"'!F6:F1000"),"件"))</f>
        <v>0</v>
      </c>
      <c r="BE41">
        <f>IF(OR($AA41="",AG$5=""),0,SUMIFS(INDIRECT("'"&amp;AG$5&amp;"'!E6:E1000"),INDIRECT("'"&amp;AG$5&amp;"'!C6:C1000"),$AA41,INDIRECT("'"&amp;AG$5&amp;"'!F6:F1000"),"箱")+SUMIFS(INDIRECT("'"&amp;AG$5&amp;"'!E6:E1000"),INDIRECT("'"&amp;AG$5&amp;"'!C6:C1000"),$AA41,INDIRECT("'"&amp;AG$5&amp;"'!F6:F1000"),"件"))</f>
        <v>0</v>
      </c>
      <c r="BF41">
        <f>IF(OR($AA41="",AH$5=""),0,SUMIFS(INDIRECT("'"&amp;AH$5&amp;"'!E6:E1000"),INDIRECT("'"&amp;AH$5&amp;"'!C6:C1000"),$AA41,INDIRECT("'"&amp;AH$5&amp;"'!F6:F1000"),"箱")+SUMIFS(INDIRECT("'"&amp;AH$5&amp;"'!E6:E1000"),INDIRECT("'"&amp;AH$5&amp;"'!C6:C1000"),$AA41,INDIRECT("'"&amp;AH$5&amp;"'!F6:F1000"),"件"))</f>
        <v>0</v>
      </c>
      <c r="BG41">
        <f>IF(OR($AA41="",AI$5=""),0,SUMIFS(INDIRECT("'"&amp;AI$5&amp;"'!E6:E1000"),INDIRECT("'"&amp;AI$5&amp;"'!C6:C1000"),$AA41,INDIRECT("'"&amp;AI$5&amp;"'!F6:F1000"),"箱")+SUMIFS(INDIRECT("'"&amp;AI$5&amp;"'!E6:E1000"),INDIRECT("'"&amp;AI$5&amp;"'!C6:C1000"),$AA41,INDIRECT("'"&amp;AI$5&amp;"'!F6:F1000"),"件"))</f>
        <v>0</v>
      </c>
      <c r="BH41">
        <f>IF(OR($AA41="",AJ$5=""),0,SUMIFS(INDIRECT("'"&amp;AJ$5&amp;"'!E6:E1000"),INDIRECT("'"&amp;AJ$5&amp;"'!C6:C1000"),$AA41,INDIRECT("'"&amp;AJ$5&amp;"'!F6:F1000"),"箱")+SUMIFS(INDIRECT("'"&amp;AJ$5&amp;"'!E6:E1000"),INDIRECT("'"&amp;AJ$5&amp;"'!C6:C1000"),$AA41,INDIRECT("'"&amp;AJ$5&amp;"'!F6:F1000"),"件"))</f>
        <v>0</v>
      </c>
      <c r="BI41">
        <f>IF(OR($AA41="",AK$5=""),0,SUMIFS(INDIRECT("'"&amp;AK$5&amp;"'!E6:E1000"),INDIRECT("'"&amp;AK$5&amp;"'!C6:C1000"),$AA41,INDIRECT("'"&amp;AK$5&amp;"'!F6:F1000"),"箱")+SUMIFS(INDIRECT("'"&amp;AK$5&amp;"'!E6:E1000"),INDIRECT("'"&amp;AK$5&amp;"'!C6:C1000"),$AA41,INDIRECT("'"&amp;AK$5&amp;"'!F6:F1000"),"件"))</f>
        <v>0</v>
      </c>
      <c r="BJ41">
        <f>IF(OR($AA41="",AL$5=""),0,SUMIFS(INDIRECT("'"&amp;AL$5&amp;"'!E6:E1000"),INDIRECT("'"&amp;AL$5&amp;"'!C6:C1000"),$AA41,INDIRECT("'"&amp;AL$5&amp;"'!F6:F1000"),"箱")+SUMIFS(INDIRECT("'"&amp;AL$5&amp;"'!E6:E1000"),INDIRECT("'"&amp;AL$5&amp;"'!C6:C1000"),$AA41,INDIRECT("'"&amp;AL$5&amp;"'!F6:F1000"),"件"))</f>
        <v>0</v>
      </c>
      <c r="BK41">
        <f>IF(OR($AA41="",AM$5=""),0,SUMIFS(INDIRECT("'"&amp;AM$5&amp;"'!E6:E1000"),INDIRECT("'"&amp;AM$5&amp;"'!C6:C1000"),$AA41,INDIRECT("'"&amp;AM$5&amp;"'!F6:F1000"),"箱")+SUMIFS(INDIRECT("'"&amp;AM$5&amp;"'!E6:E1000"),INDIRECT("'"&amp;AM$5&amp;"'!C6:C1000"),$AA41,INDIRECT("'"&amp;AM$5&amp;"'!F6:F1000"),"件"))</f>
        <v>0</v>
      </c>
      <c r="BL41">
        <f>IF(OR($AA41="",AN$5=""),0,SUMIFS(INDIRECT("'"&amp;AN$5&amp;"'!E6:E1000"),INDIRECT("'"&amp;AN$5&amp;"'!C6:C1000"),$AA41,INDIRECT("'"&amp;AN$5&amp;"'!F6:F1000"),"箱")+SUMIFS(INDIRECT("'"&amp;AN$5&amp;"'!E6:E1000"),INDIRECT("'"&amp;AN$5&amp;"'!C6:C1000"),$AA41,INDIRECT("'"&amp;AN$5&amp;"'!F6:F1000"),"件"))</f>
        <v>0</v>
      </c>
      <c r="BM41">
        <f>(AO41-BA41)/$AB41+BA41</f>
        <v>0</v>
      </c>
      <c r="BN41">
        <f>(AP41-BB41)/$AB41+BB41</f>
        <v>0</v>
      </c>
      <c r="BO41">
        <f>(AQ41-BC41)/$AB41+BC41</f>
        <v>0</v>
      </c>
      <c r="BP41">
        <f>(AR41-BD41)/$AB41+BD41</f>
        <v>0</v>
      </c>
      <c r="BQ41">
        <f>(AS41-BE41)/$AB41+BE41</f>
        <v>0</v>
      </c>
      <c r="BR41">
        <f>(AT41-BF41)/$AB41+BF41</f>
        <v>1.75</v>
      </c>
      <c r="BS41">
        <f>(AU41-BG41)/$AB41+BG41</f>
        <v>0</v>
      </c>
      <c r="BT41">
        <f>(AV41-BH41)/$AB41+BH41</f>
        <v>0.75</v>
      </c>
      <c r="BU41">
        <f>(AW41-BI41)/$AB41+BI41</f>
        <v>0</v>
      </c>
      <c r="BV41">
        <f>(AX41-BJ41)/$AB41+BJ41</f>
        <v>0</v>
      </c>
      <c r="BW41">
        <f>(AY41-BK41)/$AB41+BK41</f>
        <v>0</v>
      </c>
      <c r="BX41">
        <f>(AZ41-BL41)/$AB41+BL41</f>
        <v>0</v>
      </c>
      <c r="BY41">
        <f>SUMPRODUCT((($AC$4:$AN$4=报损汇总一览!$A$3)+(报损汇总一览!$A$3="全年"))*AC41:AN41)</f>
        <v>60</v>
      </c>
      <c r="BZ41">
        <f>IF(BY41&gt;0,BY41+(1000-ROW())/10000000,"")</f>
        <v>60.0000959</v>
      </c>
      <c r="CA41">
        <f>SUMPRODUCT((($AC$4:$AN$4=报损汇总一览!$A$3)+(报损汇总一览!$A$3="全年"))*AO41:AZ41)</f>
        <v>30</v>
      </c>
    </row>
    <row r="42">
      <c r="A42">
        <f>IF(OR(存条明细!C42="",存条明细!D42=""),"",IF(COUNTIFS(存条明细!$C$4:C42,存条明细!C42,存条明细!$D$4:D42,存条明细!D42)&gt;1,"",IFERROR(MATCH(存条明细!C42,总览汇总!$B$5:$B$304,0),900)*10000000+IFERROR(MATCH(存条明细!D42,基础资料!$E$5:$E$104,0),900)*10000+ROW()))</f>
        <v>60060042</v>
      </c>
      <c r="B42">
        <f>IFERROR(MATCH(SMALL($A$4:$A$4003,39),$A$4:$A$4003,0),"")</f>
        <v>1336</v>
      </c>
      <c r="D42">
        <f>IF(AND(商品库存!B42&lt;&gt;"",商品库存!B42=客户查询!$B$4),COUNTIF(商品库存!$B$4:B42,客户查询!$B$4),"")</f>
      </c>
      <c r="E42">
        <f>IF(AND(商品库存!B42&lt;&gt;"",商品库存!B42=客户对账单!$B$4),COUNTIF(商品库存!$B$4:B42,客户对账单!$B$4),"")</f>
      </c>
      <c r="F42">
        <f>IF(AND(出库明细!C42&lt;&gt;"",出库明细!C42=客户对账单!$B$4,ISNUMBER(出库明细!B42),出库明细!B42&gt;=客户对账单!$G$4,出库明细!B42&lt;=客户对账单!$I$4),出库明细!B42+ROW()/100000,"")</f>
      </c>
      <c r="H42">
        <f>IF(AND(采购进货!C42&lt;&gt;"",采购进货!C42=供应商对账单!$B$4,ISNUMBER(采购进货!B42),采购进货!B42&gt;=供应商对账单!$G$4,采购进货!B42&lt;=供应商对账单!$I$4),采购进货!B42+ROW()/100000,"")</f>
      </c>
      <c r="J42">
        <f>IF(总览汇总!$B42="","",N(总览汇总!$K42)+SUMIFS(出库明细!$G$4:$G$3003,出库明细!$C$4:$C$3003,总览汇总!$B42,出库明细!$B$4:$B$3003,"&gt;="&amp;年初日,出库明细!$B$4:$B$3003,"&lt;="&amp;资产负债表!$D$3)-SUMIFS(资金台帐!$S$7:$S$3006,资金台帐!$J$7:$J$3006,总览汇总!$B42,资金台帐!$P$7:$P$3006,"应收",资金台帐!$B$7:$B$3006,"&gt;="&amp;年初日,资金台帐!$B$7:$B$3006,"&lt;="&amp;资产负债表!$D$3))</f>
        <v>0</v>
      </c>
      <c r="K42">
        <f>IF(基础资料!$Q42="","",N(基础资料!$R42)+SUMIFS(采购进货!$G$4:$G$1503,采购进货!$C$4:$C$1503,基础资料!$Q42,采购进货!$B$4:$B$1503,"&gt;="&amp;年初日,采购进货!$B$4:$B$1503,"&lt;="&amp;资产负债表!$D$3)+SUMIFS(资金台帐!$S$7:$S$3006,资金台帐!$K$7:$K$3006,基础资料!$Q42,资金台帐!$P$7:$P$3006,"应付",资金台帐!$B$7:$B$3006,"&gt;="&amp;年初日,资金台帐!$B$7:$B$3006,"&lt;="&amp;资产负债表!$D$3))</f>
      </c>
      <c r="N42">
        <f>IF(AND(ISNUMBER(出库明细!G42),ISNUMBER(出库明细!E42),ISNUMBER(出库明细!F42)),IF(ABS(出库明细!G42-出库明细!E42*出库明细!F42)&gt;0.005,1,0),0)</f>
        <v>0</v>
      </c>
      <c r="O42">
        <f>IF(AND(ISNUMBER(存条明细!G42),ISNUMBER(存条明细!E42),ISNUMBER(存条明细!F42)),IF(ABS(存条明细!G42-存条明细!E42*存条明细!F42)&gt;0.005,1,0),0)</f>
        <v>0</v>
      </c>
      <c r="AA42" t="str">
        <f>IF(基础资料!G41="","",基础资料!G41&amp;"")</f>
        <v>青岛白啤</v>
      </c>
      <c r="AB42">
        <f>IF(N(基础资料!I41)&lt;=0,1,基础资料!I41)</f>
        <v>12</v>
      </c>
      <c r="AC42">
        <f>IF(OR($AA42="",AC$5=""),0,SUMIF(INDIRECT("'"&amp;AC$5&amp;"'!C6:C1000"),$AA42,INDIRECT("'"&amp;AC$5&amp;"'!H6:H1000")))</f>
        <v>0</v>
      </c>
      <c r="AD42">
        <f>IF(OR($AA42="",AD$5=""),0,SUMIF(INDIRECT("'"&amp;AD$5&amp;"'!C6:C1000"),$AA42,INDIRECT("'"&amp;AD$5&amp;"'!H6:H1000")))</f>
        <v>0</v>
      </c>
      <c r="AE42">
        <f>IF(OR($AA42="",AE$5=""),0,SUMIF(INDIRECT("'"&amp;AE$5&amp;"'!C6:C1000"),$AA42,INDIRECT("'"&amp;AE$5&amp;"'!H6:H1000")))</f>
        <v>0</v>
      </c>
      <c r="AF42">
        <f>IF(OR($AA42="",AF$5=""),0,SUMIF(INDIRECT("'"&amp;AF$5&amp;"'!C6:C1000"),$AA42,INDIRECT("'"&amp;AF$5&amp;"'!H6:H1000")))</f>
        <v>0</v>
      </c>
      <c r="AG42">
        <f>IF(OR($AA42="",AG$5=""),0,SUMIF(INDIRECT("'"&amp;AG$5&amp;"'!C6:C1000"),$AA42,INDIRECT("'"&amp;AG$5&amp;"'!H6:H1000")))</f>
        <v>0</v>
      </c>
      <c r="AH42">
        <f>IF(OR($AA42="",AH$5=""),0,SUMIF(INDIRECT("'"&amp;AH$5&amp;"'!C6:C1000"),$AA42,INDIRECT("'"&amp;AH$5&amp;"'!H6:H1000")))</f>
        <v>25.85</v>
      </c>
      <c r="AI42">
        <f>IF(OR($AA42="",AI$5=""),0,SUMIF(INDIRECT("'"&amp;AI$5&amp;"'!C6:C1000"),$AA42,INDIRECT("'"&amp;AI$5&amp;"'!H6:H1000")))</f>
        <v>0</v>
      </c>
      <c r="AJ42">
        <f>IF(OR($AA42="",AJ$5=""),0,SUMIF(INDIRECT("'"&amp;AJ$5&amp;"'!C6:C1000"),$AA42,INDIRECT("'"&amp;AJ$5&amp;"'!H6:H1000")))</f>
        <v>46.53</v>
      </c>
      <c r="AK42">
        <f>IF(OR($AA42="",AK$5=""),0,SUMIF(INDIRECT("'"&amp;AK$5&amp;"'!C6:C1000"),$AA42,INDIRECT("'"&amp;AK$5&amp;"'!H6:H1000")))</f>
        <v>0</v>
      </c>
      <c r="AL42">
        <f>IF(OR($AA42="",AL$5=""),0,SUMIF(INDIRECT("'"&amp;AL$5&amp;"'!C6:C1000"),$AA42,INDIRECT("'"&amp;AL$5&amp;"'!H6:H1000")))</f>
        <v>0</v>
      </c>
      <c r="AM42">
        <f>IF(OR($AA42="",AM$5=""),0,SUMIF(INDIRECT("'"&amp;AM$5&amp;"'!C6:C1000"),$AA42,INDIRECT("'"&amp;AM$5&amp;"'!H6:H1000")))</f>
        <v>0</v>
      </c>
      <c r="AN42">
        <f>IF(OR($AA42="",AN$5=""),0,SUMIF(INDIRECT("'"&amp;AN$5&amp;"'!C6:C1000"),$AA42,INDIRECT("'"&amp;AN$5&amp;"'!H6:H1000")))</f>
        <v>0</v>
      </c>
      <c r="AO42">
        <f>IF(OR($AA42="",AC$5=""),0,SUMIF(INDIRECT("'"&amp;AC$5&amp;"'!C6:C1000"),$AA42,INDIRECT("'"&amp;AC$5&amp;"'!E6:E1000")))</f>
        <v>0</v>
      </c>
      <c r="AP42">
        <f>IF(OR($AA42="",AD$5=""),0,SUMIF(INDIRECT("'"&amp;AD$5&amp;"'!C6:C1000"),$AA42,INDIRECT("'"&amp;AD$5&amp;"'!E6:E1000")))</f>
        <v>0</v>
      </c>
      <c r="AQ42">
        <f>IF(OR($AA42="",AE$5=""),0,SUMIF(INDIRECT("'"&amp;AE$5&amp;"'!C6:C1000"),$AA42,INDIRECT("'"&amp;AE$5&amp;"'!E6:E1000")))</f>
        <v>0</v>
      </c>
      <c r="AR42">
        <f>IF(OR($AA42="",AF$5=""),0,SUMIF(INDIRECT("'"&amp;AF$5&amp;"'!C6:C1000"),$AA42,INDIRECT("'"&amp;AF$5&amp;"'!E6:E1000")))</f>
        <v>0</v>
      </c>
      <c r="AS42">
        <f>IF(OR($AA42="",AG$5=""),0,SUMIF(INDIRECT("'"&amp;AG$5&amp;"'!C6:C1000"),$AA42,INDIRECT("'"&amp;AG$5&amp;"'!E6:E1000")))</f>
        <v>0</v>
      </c>
      <c r="AT42">
        <f>IF(OR($AA42="",AH$5=""),0,SUMIF(INDIRECT("'"&amp;AH$5&amp;"'!C6:C1000"),$AA42,INDIRECT("'"&amp;AH$5&amp;"'!E6:E1000")))</f>
        <v>5</v>
      </c>
      <c r="AU42">
        <f>IF(OR($AA42="",AI$5=""),0,SUMIF(INDIRECT("'"&amp;AI$5&amp;"'!C6:C1000"),$AA42,INDIRECT("'"&amp;AI$5&amp;"'!E6:E1000")))</f>
        <v>0</v>
      </c>
      <c r="AV42">
        <f>IF(OR($AA42="",AJ$5=""),0,SUMIF(INDIRECT("'"&amp;AJ$5&amp;"'!C6:C1000"),$AA42,INDIRECT("'"&amp;AJ$5&amp;"'!E6:E1000")))</f>
        <v>9</v>
      </c>
      <c r="AW42">
        <f>IF(OR($AA42="",AK$5=""),0,SUMIF(INDIRECT("'"&amp;AK$5&amp;"'!C6:C1000"),$AA42,INDIRECT("'"&amp;AK$5&amp;"'!E6:E1000")))</f>
        <v>0</v>
      </c>
      <c r="AX42">
        <f>IF(OR($AA42="",AL$5=""),0,SUMIF(INDIRECT("'"&amp;AL$5&amp;"'!C6:C1000"),$AA42,INDIRECT("'"&amp;AL$5&amp;"'!E6:E1000")))</f>
        <v>0</v>
      </c>
      <c r="AY42">
        <f>IF(OR($AA42="",AM$5=""),0,SUMIF(INDIRECT("'"&amp;AM$5&amp;"'!C6:C1000"),$AA42,INDIRECT("'"&amp;AM$5&amp;"'!E6:E1000")))</f>
        <v>0</v>
      </c>
      <c r="AZ42">
        <f>IF(OR($AA42="",AN$5=""),0,SUMIF(INDIRECT("'"&amp;AN$5&amp;"'!C6:C1000"),$AA42,INDIRECT("'"&amp;AN$5&amp;"'!E6:E1000")))</f>
        <v>0</v>
      </c>
      <c r="BA42">
        <f>IF(OR($AA42="",AC$5=""),0,SUMIFS(INDIRECT("'"&amp;AC$5&amp;"'!E6:E1000"),INDIRECT("'"&amp;AC$5&amp;"'!C6:C1000"),$AA42,INDIRECT("'"&amp;AC$5&amp;"'!F6:F1000"),"箱")+SUMIFS(INDIRECT("'"&amp;AC$5&amp;"'!E6:E1000"),INDIRECT("'"&amp;AC$5&amp;"'!C6:C1000"),$AA42,INDIRECT("'"&amp;AC$5&amp;"'!F6:F1000"),"件"))</f>
        <v>0</v>
      </c>
      <c r="BB42">
        <f>IF(OR($AA42="",AD$5=""),0,SUMIFS(INDIRECT("'"&amp;AD$5&amp;"'!E6:E1000"),INDIRECT("'"&amp;AD$5&amp;"'!C6:C1000"),$AA42,INDIRECT("'"&amp;AD$5&amp;"'!F6:F1000"),"箱")+SUMIFS(INDIRECT("'"&amp;AD$5&amp;"'!E6:E1000"),INDIRECT("'"&amp;AD$5&amp;"'!C6:C1000"),$AA42,INDIRECT("'"&amp;AD$5&amp;"'!F6:F1000"),"件"))</f>
        <v>0</v>
      </c>
      <c r="BC42">
        <f>IF(OR($AA42="",AE$5=""),0,SUMIFS(INDIRECT("'"&amp;AE$5&amp;"'!E6:E1000"),INDIRECT("'"&amp;AE$5&amp;"'!C6:C1000"),$AA42,INDIRECT("'"&amp;AE$5&amp;"'!F6:F1000"),"箱")+SUMIFS(INDIRECT("'"&amp;AE$5&amp;"'!E6:E1000"),INDIRECT("'"&amp;AE$5&amp;"'!C6:C1000"),$AA42,INDIRECT("'"&amp;AE$5&amp;"'!F6:F1000"),"件"))</f>
        <v>0</v>
      </c>
      <c r="BD42">
        <f>IF(OR($AA42="",AF$5=""),0,SUMIFS(INDIRECT("'"&amp;AF$5&amp;"'!E6:E1000"),INDIRECT("'"&amp;AF$5&amp;"'!C6:C1000"),$AA42,INDIRECT("'"&amp;AF$5&amp;"'!F6:F1000"),"箱")+SUMIFS(INDIRECT("'"&amp;AF$5&amp;"'!E6:E1000"),INDIRECT("'"&amp;AF$5&amp;"'!C6:C1000"),$AA42,INDIRECT("'"&amp;AF$5&amp;"'!F6:F1000"),"件"))</f>
        <v>0</v>
      </c>
      <c r="BE42">
        <f>IF(OR($AA42="",AG$5=""),0,SUMIFS(INDIRECT("'"&amp;AG$5&amp;"'!E6:E1000"),INDIRECT("'"&amp;AG$5&amp;"'!C6:C1000"),$AA42,INDIRECT("'"&amp;AG$5&amp;"'!F6:F1000"),"箱")+SUMIFS(INDIRECT("'"&amp;AG$5&amp;"'!E6:E1000"),INDIRECT("'"&amp;AG$5&amp;"'!C6:C1000"),$AA42,INDIRECT("'"&amp;AG$5&amp;"'!F6:F1000"),"件"))</f>
        <v>0</v>
      </c>
      <c r="BF42">
        <f>IF(OR($AA42="",AH$5=""),0,SUMIFS(INDIRECT("'"&amp;AH$5&amp;"'!E6:E1000"),INDIRECT("'"&amp;AH$5&amp;"'!C6:C1000"),$AA42,INDIRECT("'"&amp;AH$5&amp;"'!F6:F1000"),"箱")+SUMIFS(INDIRECT("'"&amp;AH$5&amp;"'!E6:E1000"),INDIRECT("'"&amp;AH$5&amp;"'!C6:C1000"),$AA42,INDIRECT("'"&amp;AH$5&amp;"'!F6:F1000"),"件"))</f>
        <v>0</v>
      </c>
      <c r="BG42">
        <f>IF(OR($AA42="",AI$5=""),0,SUMIFS(INDIRECT("'"&amp;AI$5&amp;"'!E6:E1000"),INDIRECT("'"&amp;AI$5&amp;"'!C6:C1000"),$AA42,INDIRECT("'"&amp;AI$5&amp;"'!F6:F1000"),"箱")+SUMIFS(INDIRECT("'"&amp;AI$5&amp;"'!E6:E1000"),INDIRECT("'"&amp;AI$5&amp;"'!C6:C1000"),$AA42,INDIRECT("'"&amp;AI$5&amp;"'!F6:F1000"),"件"))</f>
        <v>0</v>
      </c>
      <c r="BH42">
        <f>IF(OR($AA42="",AJ$5=""),0,SUMIFS(INDIRECT("'"&amp;AJ$5&amp;"'!E6:E1000"),INDIRECT("'"&amp;AJ$5&amp;"'!C6:C1000"),$AA42,INDIRECT("'"&amp;AJ$5&amp;"'!F6:F1000"),"箱")+SUMIFS(INDIRECT("'"&amp;AJ$5&amp;"'!E6:E1000"),INDIRECT("'"&amp;AJ$5&amp;"'!C6:C1000"),$AA42,INDIRECT("'"&amp;AJ$5&amp;"'!F6:F1000"),"件"))</f>
        <v>0</v>
      </c>
      <c r="BI42">
        <f>IF(OR($AA42="",AK$5=""),0,SUMIFS(INDIRECT("'"&amp;AK$5&amp;"'!E6:E1000"),INDIRECT("'"&amp;AK$5&amp;"'!C6:C1000"),$AA42,INDIRECT("'"&amp;AK$5&amp;"'!F6:F1000"),"箱")+SUMIFS(INDIRECT("'"&amp;AK$5&amp;"'!E6:E1000"),INDIRECT("'"&amp;AK$5&amp;"'!C6:C1000"),$AA42,INDIRECT("'"&amp;AK$5&amp;"'!F6:F1000"),"件"))</f>
        <v>0</v>
      </c>
      <c r="BJ42">
        <f>IF(OR($AA42="",AL$5=""),0,SUMIFS(INDIRECT("'"&amp;AL$5&amp;"'!E6:E1000"),INDIRECT("'"&amp;AL$5&amp;"'!C6:C1000"),$AA42,INDIRECT("'"&amp;AL$5&amp;"'!F6:F1000"),"箱")+SUMIFS(INDIRECT("'"&amp;AL$5&amp;"'!E6:E1000"),INDIRECT("'"&amp;AL$5&amp;"'!C6:C1000"),$AA42,INDIRECT("'"&amp;AL$5&amp;"'!F6:F1000"),"件"))</f>
        <v>0</v>
      </c>
      <c r="BK42">
        <f>IF(OR($AA42="",AM$5=""),0,SUMIFS(INDIRECT("'"&amp;AM$5&amp;"'!E6:E1000"),INDIRECT("'"&amp;AM$5&amp;"'!C6:C1000"),$AA42,INDIRECT("'"&amp;AM$5&amp;"'!F6:F1000"),"箱")+SUMIFS(INDIRECT("'"&amp;AM$5&amp;"'!E6:E1000"),INDIRECT("'"&amp;AM$5&amp;"'!C6:C1000"),$AA42,INDIRECT("'"&amp;AM$5&amp;"'!F6:F1000"),"件"))</f>
        <v>0</v>
      </c>
      <c r="BL42">
        <f>IF(OR($AA42="",AN$5=""),0,SUMIFS(INDIRECT("'"&amp;AN$5&amp;"'!E6:E1000"),INDIRECT("'"&amp;AN$5&amp;"'!C6:C1000"),$AA42,INDIRECT("'"&amp;AN$5&amp;"'!F6:F1000"),"箱")+SUMIFS(INDIRECT("'"&amp;AN$5&amp;"'!E6:E1000"),INDIRECT("'"&amp;AN$5&amp;"'!C6:C1000"),$AA42,INDIRECT("'"&amp;AN$5&amp;"'!F6:F1000"),"件"))</f>
        <v>0</v>
      </c>
      <c r="BM42">
        <f>(AO42-BA42)/$AB42+BA42</f>
        <v>0</v>
      </c>
      <c r="BN42">
        <f>(AP42-BB42)/$AB42+BB42</f>
        <v>0</v>
      </c>
      <c r="BO42">
        <f>(AQ42-BC42)/$AB42+BC42</f>
        <v>0</v>
      </c>
      <c r="BP42">
        <f>(AR42-BD42)/$AB42+BD42</f>
        <v>0</v>
      </c>
      <c r="BQ42">
        <f>(AS42-BE42)/$AB42+BE42</f>
        <v>0</v>
      </c>
      <c r="BR42">
        <f>(AT42-BF42)/$AB42+BF42</f>
        <v>0.416666666666667</v>
      </c>
      <c r="BS42">
        <f>(AU42-BG42)/$AB42+BG42</f>
        <v>0</v>
      </c>
      <c r="BT42">
        <f>(AV42-BH42)/$AB42+BH42</f>
        <v>0.75</v>
      </c>
      <c r="BU42">
        <f>(AW42-BI42)/$AB42+BI42</f>
        <v>0</v>
      </c>
      <c r="BV42">
        <f>(AX42-BJ42)/$AB42+BJ42</f>
        <v>0</v>
      </c>
      <c r="BW42">
        <f>(AY42-BK42)/$AB42+BK42</f>
        <v>0</v>
      </c>
      <c r="BX42">
        <f>(AZ42-BL42)/$AB42+BL42</f>
        <v>0</v>
      </c>
      <c r="BY42">
        <f>SUMPRODUCT((($AC$4:$AN$4=报损汇总一览!$A$3)+(报损汇总一览!$A$3="全年"))*AC42:AN42)</f>
        <v>72.38</v>
      </c>
      <c r="BZ42">
        <f>IF(BY42&gt;0,BY42+(1000-ROW())/10000000,"")</f>
        <v>72.3800958</v>
      </c>
      <c r="CA42">
        <f>SUMPRODUCT((($AC$4:$AN$4=报损汇总一览!$A$3)+(报损汇总一览!$A$3="全年"))*AO42:AZ42)</f>
        <v>14</v>
      </c>
    </row>
    <row r="43">
      <c r="A43">
        <f>IF(OR(存条明细!C43="",存条明细!D43=""),"",IF(COUNTIFS(存条明细!$C$4:C43,存条明细!C43,存条明细!$D$4:D43,存条明细!D43)&gt;1,"",IFERROR(MATCH(存条明细!C43,总览汇总!$B$5:$B$304,0),900)*10000000+IFERROR(MATCH(存条明细!D43,基础资料!$E$5:$E$104,0),900)*10000+ROW()))</f>
      </c>
      <c r="B43">
        <f>IFERROR(MATCH(SMALL($A$4:$A$4003,40),$A$4:$A$4003,0),"")</f>
        <v>29</v>
      </c>
      <c r="D43">
        <f>IF(AND(商品库存!B43&lt;&gt;"",商品库存!B43=客户查询!$B$4),COUNTIF(商品库存!$B$4:B43,客户查询!$B$4),"")</f>
      </c>
      <c r="E43">
        <f>IF(AND(商品库存!B43&lt;&gt;"",商品库存!B43=客户对账单!$B$4),COUNTIF(商品库存!$B$4:B43,客户对账单!$B$4),"")</f>
      </c>
      <c r="F43">
        <f>IF(AND(出库明细!C43&lt;&gt;"",出库明细!C43=客户对账单!$B$4,ISNUMBER(出库明细!B43),出库明细!B43&gt;=客户对账单!$G$4,出库明细!B43&lt;=客户对账单!$I$4),出库明细!B43+ROW()/100000,"")</f>
      </c>
      <c r="H43">
        <f>IF(AND(采购进货!C43&lt;&gt;"",采购进货!C43=供应商对账单!$B$4,ISNUMBER(采购进货!B43),采购进货!B43&gt;=供应商对账单!$G$4,采购进货!B43&lt;=供应商对账单!$I$4),采购进货!B43+ROW()/100000,"")</f>
      </c>
      <c r="J43">
        <f>IF(总览汇总!$B43="","",N(总览汇总!$K43)+SUMIFS(出库明细!$G$4:$G$3003,出库明细!$C$4:$C$3003,总览汇总!$B43,出库明细!$B$4:$B$3003,"&gt;="&amp;年初日,出库明细!$B$4:$B$3003,"&lt;="&amp;资产负债表!$D$3)-SUMIFS(资金台帐!$S$7:$S$3006,资金台帐!$J$7:$J$3006,总览汇总!$B43,资金台帐!$P$7:$P$3006,"应收",资金台帐!$B$7:$B$3006,"&gt;="&amp;年初日,资金台帐!$B$7:$B$3006,"&lt;="&amp;资产负债表!$D$3))</f>
        <v>0</v>
      </c>
      <c r="K43">
        <f>IF(基础资料!$Q43="","",N(基础资料!$R43)+SUMIFS(采购进货!$G$4:$G$1503,采购进货!$C$4:$C$1503,基础资料!$Q43,采购进货!$B$4:$B$1503,"&gt;="&amp;年初日,采购进货!$B$4:$B$1503,"&lt;="&amp;资产负债表!$D$3)+SUMIFS(资金台帐!$S$7:$S$3006,资金台帐!$K$7:$K$3006,基础资料!$Q43,资金台帐!$P$7:$P$3006,"应付",资金台帐!$B$7:$B$3006,"&gt;="&amp;年初日,资金台帐!$B$7:$B$3006,"&lt;="&amp;资产负债表!$D$3))</f>
      </c>
      <c r="N43">
        <f>IF(AND(ISNUMBER(出库明细!G43),ISNUMBER(出库明细!E43),ISNUMBER(出库明细!F43)),IF(ABS(出库明细!G43-出库明细!E43*出库明细!F43)&gt;0.005,1,0),0)</f>
        <v>0</v>
      </c>
      <c r="O43">
        <f>IF(AND(ISNUMBER(存条明细!G43),ISNUMBER(存条明细!E43),ISNUMBER(存条明细!F43)),IF(ABS(存条明细!G43-存条明细!E43*存条明细!F43)&gt;0.005,1,0),0)</f>
        <v>0</v>
      </c>
      <c r="AA43" t="str">
        <f>IF(基础资料!G42="","",基础资料!G42&amp;"")</f>
        <v>艾精隆155克瓜子</v>
      </c>
      <c r="AB43">
        <f>IF(N(基础资料!I42)&lt;=0,1,基础资料!I42)</f>
        <v>30</v>
      </c>
      <c r="AC43">
        <f>IF(OR($AA43="",AC$5=""),0,SUMIF(INDIRECT("'"&amp;AC$5&amp;"'!C6:C1000"),$AA43,INDIRECT("'"&amp;AC$5&amp;"'!H6:H1000")))</f>
        <v>0</v>
      </c>
      <c r="AD43">
        <f>IF(OR($AA43="",AD$5=""),0,SUMIF(INDIRECT("'"&amp;AD$5&amp;"'!C6:C1000"),$AA43,INDIRECT("'"&amp;AD$5&amp;"'!H6:H1000")))</f>
        <v>0</v>
      </c>
      <c r="AE43">
        <f>IF(OR($AA43="",AE$5=""),0,SUMIF(INDIRECT("'"&amp;AE$5&amp;"'!C6:C1000"),$AA43,INDIRECT("'"&amp;AE$5&amp;"'!H6:H1000")))</f>
        <v>0</v>
      </c>
      <c r="AF43">
        <f>IF(OR($AA43="",AF$5=""),0,SUMIF(INDIRECT("'"&amp;AF$5&amp;"'!C6:C1000"),$AA43,INDIRECT("'"&amp;AF$5&amp;"'!H6:H1000")))</f>
        <v>0</v>
      </c>
      <c r="AG43">
        <f>IF(OR($AA43="",AG$5=""),0,SUMIF(INDIRECT("'"&amp;AG$5&amp;"'!C6:C1000"),$AA43,INDIRECT("'"&amp;AG$5&amp;"'!H6:H1000")))</f>
        <v>0</v>
      </c>
      <c r="AH43">
        <f>IF(OR($AA43="",AH$5=""),0,SUMIF(INDIRECT("'"&amp;AH$5&amp;"'!C6:C1000"),$AA43,INDIRECT("'"&amp;AH$5&amp;"'!H6:H1000")))</f>
        <v>0</v>
      </c>
      <c r="AI43">
        <f>IF(OR($AA43="",AI$5=""),0,SUMIF(INDIRECT("'"&amp;AI$5&amp;"'!C6:C1000"),$AA43,INDIRECT("'"&amp;AI$5&amp;"'!H6:H1000")))</f>
        <v>0</v>
      </c>
      <c r="AJ43">
        <f>IF(OR($AA43="",AJ$5=""),0,SUMIF(INDIRECT("'"&amp;AJ$5&amp;"'!C6:C1000"),$AA43,INDIRECT("'"&amp;AJ$5&amp;"'!H6:H1000")))</f>
        <v>140.8</v>
      </c>
      <c r="AK43">
        <f>IF(OR($AA43="",AK$5=""),0,SUMIF(INDIRECT("'"&amp;AK$5&amp;"'!C6:C1000"),$AA43,INDIRECT("'"&amp;AK$5&amp;"'!H6:H1000")))</f>
        <v>0</v>
      </c>
      <c r="AL43">
        <f>IF(OR($AA43="",AL$5=""),0,SUMIF(INDIRECT("'"&amp;AL$5&amp;"'!C6:C1000"),$AA43,INDIRECT("'"&amp;AL$5&amp;"'!H6:H1000")))</f>
        <v>0</v>
      </c>
      <c r="AM43">
        <f>IF(OR($AA43="",AM$5=""),0,SUMIF(INDIRECT("'"&amp;AM$5&amp;"'!C6:C1000"),$AA43,INDIRECT("'"&amp;AM$5&amp;"'!H6:H1000")))</f>
        <v>0</v>
      </c>
      <c r="AN43">
        <f>IF(OR($AA43="",AN$5=""),0,SUMIF(INDIRECT("'"&amp;AN$5&amp;"'!C6:C1000"),$AA43,INDIRECT("'"&amp;AN$5&amp;"'!H6:H1000")))</f>
        <v>0</v>
      </c>
      <c r="AO43">
        <f>IF(OR($AA43="",AC$5=""),0,SUMIF(INDIRECT("'"&amp;AC$5&amp;"'!C6:C1000"),$AA43,INDIRECT("'"&amp;AC$5&amp;"'!E6:E1000")))</f>
        <v>0</v>
      </c>
      <c r="AP43">
        <f>IF(OR($AA43="",AD$5=""),0,SUMIF(INDIRECT("'"&amp;AD$5&amp;"'!C6:C1000"),$AA43,INDIRECT("'"&amp;AD$5&amp;"'!E6:E1000")))</f>
        <v>0</v>
      </c>
      <c r="AQ43">
        <f>IF(OR($AA43="",AE$5=""),0,SUMIF(INDIRECT("'"&amp;AE$5&amp;"'!C6:C1000"),$AA43,INDIRECT("'"&amp;AE$5&amp;"'!E6:E1000")))</f>
        <v>0</v>
      </c>
      <c r="AR43">
        <f>IF(OR($AA43="",AF$5=""),0,SUMIF(INDIRECT("'"&amp;AF$5&amp;"'!C6:C1000"),$AA43,INDIRECT("'"&amp;AF$5&amp;"'!E6:E1000")))</f>
        <v>0</v>
      </c>
      <c r="AS43">
        <f>IF(OR($AA43="",AG$5=""),0,SUMIF(INDIRECT("'"&amp;AG$5&amp;"'!C6:C1000"),$AA43,INDIRECT("'"&amp;AG$5&amp;"'!E6:E1000")))</f>
        <v>0</v>
      </c>
      <c r="AT43">
        <f>IF(OR($AA43="",AH$5=""),0,SUMIF(INDIRECT("'"&amp;AH$5&amp;"'!C6:C1000"),$AA43,INDIRECT("'"&amp;AH$5&amp;"'!E6:E1000")))</f>
        <v>0</v>
      </c>
      <c r="AU43">
        <f>IF(OR($AA43="",AI$5=""),0,SUMIF(INDIRECT("'"&amp;AI$5&amp;"'!C6:C1000"),$AA43,INDIRECT("'"&amp;AI$5&amp;"'!E6:E1000")))</f>
        <v>0</v>
      </c>
      <c r="AV43">
        <f>IF(OR($AA43="",AJ$5=""),0,SUMIF(INDIRECT("'"&amp;AJ$5&amp;"'!C6:C1000"),$AA43,INDIRECT("'"&amp;AJ$5&amp;"'!E6:E1000")))</f>
        <v>44</v>
      </c>
      <c r="AW43">
        <f>IF(OR($AA43="",AK$5=""),0,SUMIF(INDIRECT("'"&amp;AK$5&amp;"'!C6:C1000"),$AA43,INDIRECT("'"&amp;AK$5&amp;"'!E6:E1000")))</f>
        <v>0</v>
      </c>
      <c r="AX43">
        <f>IF(OR($AA43="",AL$5=""),0,SUMIF(INDIRECT("'"&amp;AL$5&amp;"'!C6:C1000"),$AA43,INDIRECT("'"&amp;AL$5&amp;"'!E6:E1000")))</f>
        <v>0</v>
      </c>
      <c r="AY43">
        <f>IF(OR($AA43="",AM$5=""),0,SUMIF(INDIRECT("'"&amp;AM$5&amp;"'!C6:C1000"),$AA43,INDIRECT("'"&amp;AM$5&amp;"'!E6:E1000")))</f>
        <v>0</v>
      </c>
      <c r="AZ43">
        <f>IF(OR($AA43="",AN$5=""),0,SUMIF(INDIRECT("'"&amp;AN$5&amp;"'!C6:C1000"),$AA43,INDIRECT("'"&amp;AN$5&amp;"'!E6:E1000")))</f>
        <v>0</v>
      </c>
      <c r="BA43">
        <f>IF(OR($AA43="",AC$5=""),0,SUMIFS(INDIRECT("'"&amp;AC$5&amp;"'!E6:E1000"),INDIRECT("'"&amp;AC$5&amp;"'!C6:C1000"),$AA43,INDIRECT("'"&amp;AC$5&amp;"'!F6:F1000"),"箱")+SUMIFS(INDIRECT("'"&amp;AC$5&amp;"'!E6:E1000"),INDIRECT("'"&amp;AC$5&amp;"'!C6:C1000"),$AA43,INDIRECT("'"&amp;AC$5&amp;"'!F6:F1000"),"件"))</f>
        <v>0</v>
      </c>
      <c r="BB43">
        <f>IF(OR($AA43="",AD$5=""),0,SUMIFS(INDIRECT("'"&amp;AD$5&amp;"'!E6:E1000"),INDIRECT("'"&amp;AD$5&amp;"'!C6:C1000"),$AA43,INDIRECT("'"&amp;AD$5&amp;"'!F6:F1000"),"箱")+SUMIFS(INDIRECT("'"&amp;AD$5&amp;"'!E6:E1000"),INDIRECT("'"&amp;AD$5&amp;"'!C6:C1000"),$AA43,INDIRECT("'"&amp;AD$5&amp;"'!F6:F1000"),"件"))</f>
        <v>0</v>
      </c>
      <c r="BC43">
        <f>IF(OR($AA43="",AE$5=""),0,SUMIFS(INDIRECT("'"&amp;AE$5&amp;"'!E6:E1000"),INDIRECT("'"&amp;AE$5&amp;"'!C6:C1000"),$AA43,INDIRECT("'"&amp;AE$5&amp;"'!F6:F1000"),"箱")+SUMIFS(INDIRECT("'"&amp;AE$5&amp;"'!E6:E1000"),INDIRECT("'"&amp;AE$5&amp;"'!C6:C1000"),$AA43,INDIRECT("'"&amp;AE$5&amp;"'!F6:F1000"),"件"))</f>
        <v>0</v>
      </c>
      <c r="BD43">
        <f>IF(OR($AA43="",AF$5=""),0,SUMIFS(INDIRECT("'"&amp;AF$5&amp;"'!E6:E1000"),INDIRECT("'"&amp;AF$5&amp;"'!C6:C1000"),$AA43,INDIRECT("'"&amp;AF$5&amp;"'!F6:F1000"),"箱")+SUMIFS(INDIRECT("'"&amp;AF$5&amp;"'!E6:E1000"),INDIRECT("'"&amp;AF$5&amp;"'!C6:C1000"),$AA43,INDIRECT("'"&amp;AF$5&amp;"'!F6:F1000"),"件"))</f>
        <v>0</v>
      </c>
      <c r="BE43">
        <f>IF(OR($AA43="",AG$5=""),0,SUMIFS(INDIRECT("'"&amp;AG$5&amp;"'!E6:E1000"),INDIRECT("'"&amp;AG$5&amp;"'!C6:C1000"),$AA43,INDIRECT("'"&amp;AG$5&amp;"'!F6:F1000"),"箱")+SUMIFS(INDIRECT("'"&amp;AG$5&amp;"'!E6:E1000"),INDIRECT("'"&amp;AG$5&amp;"'!C6:C1000"),$AA43,INDIRECT("'"&amp;AG$5&amp;"'!F6:F1000"),"件"))</f>
        <v>0</v>
      </c>
      <c r="BF43">
        <f>IF(OR($AA43="",AH$5=""),0,SUMIFS(INDIRECT("'"&amp;AH$5&amp;"'!E6:E1000"),INDIRECT("'"&amp;AH$5&amp;"'!C6:C1000"),$AA43,INDIRECT("'"&amp;AH$5&amp;"'!F6:F1000"),"箱")+SUMIFS(INDIRECT("'"&amp;AH$5&amp;"'!E6:E1000"),INDIRECT("'"&amp;AH$5&amp;"'!C6:C1000"),$AA43,INDIRECT("'"&amp;AH$5&amp;"'!F6:F1000"),"件"))</f>
        <v>0</v>
      </c>
      <c r="BG43">
        <f>IF(OR($AA43="",AI$5=""),0,SUMIFS(INDIRECT("'"&amp;AI$5&amp;"'!E6:E1000"),INDIRECT("'"&amp;AI$5&amp;"'!C6:C1000"),$AA43,INDIRECT("'"&amp;AI$5&amp;"'!F6:F1000"),"箱")+SUMIFS(INDIRECT("'"&amp;AI$5&amp;"'!E6:E1000"),INDIRECT("'"&amp;AI$5&amp;"'!C6:C1000"),$AA43,INDIRECT("'"&amp;AI$5&amp;"'!F6:F1000"),"件"))</f>
        <v>0</v>
      </c>
      <c r="BH43">
        <f>IF(OR($AA43="",AJ$5=""),0,SUMIFS(INDIRECT("'"&amp;AJ$5&amp;"'!E6:E1000"),INDIRECT("'"&amp;AJ$5&amp;"'!C6:C1000"),$AA43,INDIRECT("'"&amp;AJ$5&amp;"'!F6:F1000"),"箱")+SUMIFS(INDIRECT("'"&amp;AJ$5&amp;"'!E6:E1000"),INDIRECT("'"&amp;AJ$5&amp;"'!C6:C1000"),$AA43,INDIRECT("'"&amp;AJ$5&amp;"'!F6:F1000"),"件"))</f>
        <v>0</v>
      </c>
      <c r="BI43">
        <f>IF(OR($AA43="",AK$5=""),0,SUMIFS(INDIRECT("'"&amp;AK$5&amp;"'!E6:E1000"),INDIRECT("'"&amp;AK$5&amp;"'!C6:C1000"),$AA43,INDIRECT("'"&amp;AK$5&amp;"'!F6:F1000"),"箱")+SUMIFS(INDIRECT("'"&amp;AK$5&amp;"'!E6:E1000"),INDIRECT("'"&amp;AK$5&amp;"'!C6:C1000"),$AA43,INDIRECT("'"&amp;AK$5&amp;"'!F6:F1000"),"件"))</f>
        <v>0</v>
      </c>
      <c r="BJ43">
        <f>IF(OR($AA43="",AL$5=""),0,SUMIFS(INDIRECT("'"&amp;AL$5&amp;"'!E6:E1000"),INDIRECT("'"&amp;AL$5&amp;"'!C6:C1000"),$AA43,INDIRECT("'"&amp;AL$5&amp;"'!F6:F1000"),"箱")+SUMIFS(INDIRECT("'"&amp;AL$5&amp;"'!E6:E1000"),INDIRECT("'"&amp;AL$5&amp;"'!C6:C1000"),$AA43,INDIRECT("'"&amp;AL$5&amp;"'!F6:F1000"),"件"))</f>
        <v>0</v>
      </c>
      <c r="BK43">
        <f>IF(OR($AA43="",AM$5=""),0,SUMIFS(INDIRECT("'"&amp;AM$5&amp;"'!E6:E1000"),INDIRECT("'"&amp;AM$5&amp;"'!C6:C1000"),$AA43,INDIRECT("'"&amp;AM$5&amp;"'!F6:F1000"),"箱")+SUMIFS(INDIRECT("'"&amp;AM$5&amp;"'!E6:E1000"),INDIRECT("'"&amp;AM$5&amp;"'!C6:C1000"),$AA43,INDIRECT("'"&amp;AM$5&amp;"'!F6:F1000"),"件"))</f>
        <v>0</v>
      </c>
      <c r="BL43">
        <f>IF(OR($AA43="",AN$5=""),0,SUMIFS(INDIRECT("'"&amp;AN$5&amp;"'!E6:E1000"),INDIRECT("'"&amp;AN$5&amp;"'!C6:C1000"),$AA43,INDIRECT("'"&amp;AN$5&amp;"'!F6:F1000"),"箱")+SUMIFS(INDIRECT("'"&amp;AN$5&amp;"'!E6:E1000"),INDIRECT("'"&amp;AN$5&amp;"'!C6:C1000"),$AA43,INDIRECT("'"&amp;AN$5&amp;"'!F6:F1000"),"件"))</f>
        <v>0</v>
      </c>
      <c r="BM43">
        <f>(AO43-BA43)/$AB43+BA43</f>
        <v>0</v>
      </c>
      <c r="BN43">
        <f>(AP43-BB43)/$AB43+BB43</f>
        <v>0</v>
      </c>
      <c r="BO43">
        <f>(AQ43-BC43)/$AB43+BC43</f>
        <v>0</v>
      </c>
      <c r="BP43">
        <f>(AR43-BD43)/$AB43+BD43</f>
        <v>0</v>
      </c>
      <c r="BQ43">
        <f>(AS43-BE43)/$AB43+BE43</f>
        <v>0</v>
      </c>
      <c r="BR43">
        <f>(AT43-BF43)/$AB43+BF43</f>
        <v>0</v>
      </c>
      <c r="BS43">
        <f>(AU43-BG43)/$AB43+BG43</f>
        <v>0</v>
      </c>
      <c r="BT43">
        <f>(AV43-BH43)/$AB43+BH43</f>
        <v>1.46666666666667</v>
      </c>
      <c r="BU43">
        <f>(AW43-BI43)/$AB43+BI43</f>
        <v>0</v>
      </c>
      <c r="BV43">
        <f>(AX43-BJ43)/$AB43+BJ43</f>
        <v>0</v>
      </c>
      <c r="BW43">
        <f>(AY43-BK43)/$AB43+BK43</f>
        <v>0</v>
      </c>
      <c r="BX43">
        <f>(AZ43-BL43)/$AB43+BL43</f>
        <v>0</v>
      </c>
      <c r="BY43">
        <f>SUMPRODUCT((($AC$4:$AN$4=报损汇总一览!$A$3)+(报损汇总一览!$A$3="全年"))*AC43:AN43)</f>
        <v>140.8</v>
      </c>
      <c r="BZ43">
        <f>IF(BY43&gt;0,BY43+(1000-ROW())/10000000,"")</f>
        <v>140.8000957</v>
      </c>
      <c r="CA43">
        <f>SUMPRODUCT((($AC$4:$AN$4=报损汇总一览!$A$3)+(报损汇总一览!$A$3="全年"))*AO43:AZ43)</f>
        <v>44</v>
      </c>
    </row>
    <row r="44">
      <c r="A44">
        <f>IF(OR(存条明细!C44="",存条明细!D44=""),"",IF(COUNTIFS(存条明细!$C$4:C44,存条明细!C44,存条明细!$D$4:D44,存条明细!D44)&gt;1,"",IFERROR(MATCH(存条明细!C44,总览汇总!$B$5:$B$304,0),900)*10000000+IFERROR(MATCH(存条明细!D44,基础资料!$E$5:$E$104,0),900)*10000+ROW()))</f>
      </c>
      <c r="B44">
        <f>IFERROR(MATCH(SMALL($A$4:$A$4003,41),$A$4:$A$4003,0),"")</f>
        <v>30</v>
      </c>
      <c r="D44">
        <f>IF(AND(商品库存!B44&lt;&gt;"",商品库存!B44=客户查询!$B$4),COUNTIF(商品库存!$B$4:B44,客户查询!$B$4),"")</f>
      </c>
      <c r="E44">
        <f>IF(AND(商品库存!B44&lt;&gt;"",商品库存!B44=客户对账单!$B$4),COUNTIF(商品库存!$B$4:B44,客户对账单!$B$4),"")</f>
      </c>
      <c r="F44">
        <f>IF(AND(出库明细!C44&lt;&gt;"",出库明细!C44=客户对账单!$B$4,ISNUMBER(出库明细!B44),出库明细!B44&gt;=客户对账单!$G$4,出库明细!B44&lt;=客户对账单!$I$4),出库明细!B44+ROW()/100000,"")</f>
      </c>
      <c r="H44">
        <f>IF(AND(采购进货!C44&lt;&gt;"",采购进货!C44=供应商对账单!$B$4,ISNUMBER(采购进货!B44),采购进货!B44&gt;=供应商对账单!$G$4,采购进货!B44&lt;=供应商对账单!$I$4),采购进货!B44+ROW()/100000,"")</f>
      </c>
      <c r="J44">
        <f>IF(总览汇总!$B44="","",N(总览汇总!$K44)+SUMIFS(出库明细!$G$4:$G$3003,出库明细!$C$4:$C$3003,总览汇总!$B44,出库明细!$B$4:$B$3003,"&gt;="&amp;年初日,出库明细!$B$4:$B$3003,"&lt;="&amp;资产负债表!$D$3)-SUMIFS(资金台帐!$S$7:$S$3006,资金台帐!$J$7:$J$3006,总览汇总!$B44,资金台帐!$P$7:$P$3006,"应收",资金台帐!$B$7:$B$3006,"&gt;="&amp;年初日,资金台帐!$B$7:$B$3006,"&lt;="&amp;资产负债表!$D$3))</f>
        <v>0</v>
      </c>
      <c r="K44">
        <f>IF(基础资料!$Q44="","",N(基础资料!$R44)+SUMIFS(采购进货!$G$4:$G$1503,采购进货!$C$4:$C$1503,基础资料!$Q44,采购进货!$B$4:$B$1503,"&gt;="&amp;年初日,采购进货!$B$4:$B$1503,"&lt;="&amp;资产负债表!$D$3)+SUMIFS(资金台帐!$S$7:$S$3006,资金台帐!$K$7:$K$3006,基础资料!$Q44,资金台帐!$P$7:$P$3006,"应付",资金台帐!$B$7:$B$3006,"&gt;="&amp;年初日,资金台帐!$B$7:$B$3006,"&lt;="&amp;资产负债表!$D$3))</f>
      </c>
      <c r="N44">
        <f>IF(AND(ISNUMBER(出库明细!G44),ISNUMBER(出库明细!E44),ISNUMBER(出库明细!F44)),IF(ABS(出库明细!G44-出库明细!E44*出库明细!F44)&gt;0.005,1,0),0)</f>
        <v>0</v>
      </c>
      <c r="O44">
        <f>IF(AND(ISNUMBER(存条明细!G44),ISNUMBER(存条明细!E44),ISNUMBER(存条明细!F44)),IF(ABS(存条明细!G44-存条明细!E44*存条明细!F44)&gt;0.005,1,0),0)</f>
        <v>1</v>
      </c>
      <c r="AA44" t="str">
        <f>IF(基础资料!G43="","",基础资料!G43&amp;"")</f>
        <v>艾精隆60克香瓜子</v>
      </c>
      <c r="AB44">
        <f>IF(N(基础资料!I43)&lt;=0,1,基础资料!I43)</f>
        <v>40</v>
      </c>
      <c r="AC44">
        <f>IF(OR($AA44="",AC$5=""),0,SUMIF(INDIRECT("'"&amp;AC$5&amp;"'!C6:C1000"),$AA44,INDIRECT("'"&amp;AC$5&amp;"'!H6:H1000")))</f>
        <v>0</v>
      </c>
      <c r="AD44">
        <f>IF(OR($AA44="",AD$5=""),0,SUMIF(INDIRECT("'"&amp;AD$5&amp;"'!C6:C1000"),$AA44,INDIRECT("'"&amp;AD$5&amp;"'!H6:H1000")))</f>
        <v>0</v>
      </c>
      <c r="AE44">
        <f>IF(OR($AA44="",AE$5=""),0,SUMIF(INDIRECT("'"&amp;AE$5&amp;"'!C6:C1000"),$AA44,INDIRECT("'"&amp;AE$5&amp;"'!H6:H1000")))</f>
        <v>0</v>
      </c>
      <c r="AF44">
        <f>IF(OR($AA44="",AF$5=""),0,SUMIF(INDIRECT("'"&amp;AF$5&amp;"'!C6:C1000"),$AA44,INDIRECT("'"&amp;AF$5&amp;"'!H6:H1000")))</f>
        <v>0</v>
      </c>
      <c r="AG44">
        <f>IF(OR($AA44="",AG$5=""),0,SUMIF(INDIRECT("'"&amp;AG$5&amp;"'!C6:C1000"),$AA44,INDIRECT("'"&amp;AG$5&amp;"'!H6:H1000")))</f>
        <v>0</v>
      </c>
      <c r="AH44">
        <f>IF(OR($AA44="",AH$5=""),0,SUMIF(INDIRECT("'"&amp;AH$5&amp;"'!C6:C1000"),$AA44,INDIRECT("'"&amp;AH$5&amp;"'!H6:H1000")))</f>
        <v>0</v>
      </c>
      <c r="AI44">
        <f>IF(OR($AA44="",AI$5=""),0,SUMIF(INDIRECT("'"&amp;AI$5&amp;"'!C6:C1000"),$AA44,INDIRECT("'"&amp;AI$5&amp;"'!H6:H1000")))</f>
        <v>0</v>
      </c>
      <c r="AJ44">
        <f>IF(OR($AA44="",AJ$5=""),0,SUMIF(INDIRECT("'"&amp;AJ$5&amp;"'!C6:C1000"),$AA44,INDIRECT("'"&amp;AJ$5&amp;"'!H6:H1000")))</f>
        <v>45.6</v>
      </c>
      <c r="AK44">
        <f>IF(OR($AA44="",AK$5=""),0,SUMIF(INDIRECT("'"&amp;AK$5&amp;"'!C6:C1000"),$AA44,INDIRECT("'"&amp;AK$5&amp;"'!H6:H1000")))</f>
        <v>0</v>
      </c>
      <c r="AL44">
        <f>IF(OR($AA44="",AL$5=""),0,SUMIF(INDIRECT("'"&amp;AL$5&amp;"'!C6:C1000"),$AA44,INDIRECT("'"&amp;AL$5&amp;"'!H6:H1000")))</f>
        <v>0</v>
      </c>
      <c r="AM44">
        <f>IF(OR($AA44="",AM$5=""),0,SUMIF(INDIRECT("'"&amp;AM$5&amp;"'!C6:C1000"),$AA44,INDIRECT("'"&amp;AM$5&amp;"'!H6:H1000")))</f>
        <v>0</v>
      </c>
      <c r="AN44">
        <f>IF(OR($AA44="",AN$5=""),0,SUMIF(INDIRECT("'"&amp;AN$5&amp;"'!C6:C1000"),$AA44,INDIRECT("'"&amp;AN$5&amp;"'!H6:H1000")))</f>
        <v>0</v>
      </c>
      <c r="AO44">
        <f>IF(OR($AA44="",AC$5=""),0,SUMIF(INDIRECT("'"&amp;AC$5&amp;"'!C6:C1000"),$AA44,INDIRECT("'"&amp;AC$5&amp;"'!E6:E1000")))</f>
        <v>0</v>
      </c>
      <c r="AP44">
        <f>IF(OR($AA44="",AD$5=""),0,SUMIF(INDIRECT("'"&amp;AD$5&amp;"'!C6:C1000"),$AA44,INDIRECT("'"&amp;AD$5&amp;"'!E6:E1000")))</f>
        <v>0</v>
      </c>
      <c r="AQ44">
        <f>IF(OR($AA44="",AE$5=""),0,SUMIF(INDIRECT("'"&amp;AE$5&amp;"'!C6:C1000"),$AA44,INDIRECT("'"&amp;AE$5&amp;"'!E6:E1000")))</f>
        <v>0</v>
      </c>
      <c r="AR44">
        <f>IF(OR($AA44="",AF$5=""),0,SUMIF(INDIRECT("'"&amp;AF$5&amp;"'!C6:C1000"),$AA44,INDIRECT("'"&amp;AF$5&amp;"'!E6:E1000")))</f>
        <v>0</v>
      </c>
      <c r="AS44">
        <f>IF(OR($AA44="",AG$5=""),0,SUMIF(INDIRECT("'"&amp;AG$5&amp;"'!C6:C1000"),$AA44,INDIRECT("'"&amp;AG$5&amp;"'!E6:E1000")))</f>
        <v>0</v>
      </c>
      <c r="AT44">
        <f>IF(OR($AA44="",AH$5=""),0,SUMIF(INDIRECT("'"&amp;AH$5&amp;"'!C6:C1000"),$AA44,INDIRECT("'"&amp;AH$5&amp;"'!E6:E1000")))</f>
        <v>0</v>
      </c>
      <c r="AU44">
        <f>IF(OR($AA44="",AI$5=""),0,SUMIF(INDIRECT("'"&amp;AI$5&amp;"'!C6:C1000"),$AA44,INDIRECT("'"&amp;AI$5&amp;"'!E6:E1000")))</f>
        <v>0</v>
      </c>
      <c r="AV44">
        <f>IF(OR($AA44="",AJ$5=""),0,SUMIF(INDIRECT("'"&amp;AJ$5&amp;"'!C6:C1000"),$AA44,INDIRECT("'"&amp;AJ$5&amp;"'!E6:E1000")))</f>
        <v>38</v>
      </c>
      <c r="AW44">
        <f>IF(OR($AA44="",AK$5=""),0,SUMIF(INDIRECT("'"&amp;AK$5&amp;"'!C6:C1000"),$AA44,INDIRECT("'"&amp;AK$5&amp;"'!E6:E1000")))</f>
        <v>0</v>
      </c>
      <c r="AX44">
        <f>IF(OR($AA44="",AL$5=""),0,SUMIF(INDIRECT("'"&amp;AL$5&amp;"'!C6:C1000"),$AA44,INDIRECT("'"&amp;AL$5&amp;"'!E6:E1000")))</f>
        <v>0</v>
      </c>
      <c r="AY44">
        <f>IF(OR($AA44="",AM$5=""),0,SUMIF(INDIRECT("'"&amp;AM$5&amp;"'!C6:C1000"),$AA44,INDIRECT("'"&amp;AM$5&amp;"'!E6:E1000")))</f>
        <v>0</v>
      </c>
      <c r="AZ44">
        <f>IF(OR($AA44="",AN$5=""),0,SUMIF(INDIRECT("'"&amp;AN$5&amp;"'!C6:C1000"),$AA44,INDIRECT("'"&amp;AN$5&amp;"'!E6:E1000")))</f>
        <v>0</v>
      </c>
      <c r="BA44">
        <f>IF(OR($AA44="",AC$5=""),0,SUMIFS(INDIRECT("'"&amp;AC$5&amp;"'!E6:E1000"),INDIRECT("'"&amp;AC$5&amp;"'!C6:C1000"),$AA44,INDIRECT("'"&amp;AC$5&amp;"'!F6:F1000"),"箱")+SUMIFS(INDIRECT("'"&amp;AC$5&amp;"'!E6:E1000"),INDIRECT("'"&amp;AC$5&amp;"'!C6:C1000"),$AA44,INDIRECT("'"&amp;AC$5&amp;"'!F6:F1000"),"件"))</f>
        <v>0</v>
      </c>
      <c r="BB44">
        <f>IF(OR($AA44="",AD$5=""),0,SUMIFS(INDIRECT("'"&amp;AD$5&amp;"'!E6:E1000"),INDIRECT("'"&amp;AD$5&amp;"'!C6:C1000"),$AA44,INDIRECT("'"&amp;AD$5&amp;"'!F6:F1000"),"箱")+SUMIFS(INDIRECT("'"&amp;AD$5&amp;"'!E6:E1000"),INDIRECT("'"&amp;AD$5&amp;"'!C6:C1000"),$AA44,INDIRECT("'"&amp;AD$5&amp;"'!F6:F1000"),"件"))</f>
        <v>0</v>
      </c>
      <c r="BC44">
        <f>IF(OR($AA44="",AE$5=""),0,SUMIFS(INDIRECT("'"&amp;AE$5&amp;"'!E6:E1000"),INDIRECT("'"&amp;AE$5&amp;"'!C6:C1000"),$AA44,INDIRECT("'"&amp;AE$5&amp;"'!F6:F1000"),"箱")+SUMIFS(INDIRECT("'"&amp;AE$5&amp;"'!E6:E1000"),INDIRECT("'"&amp;AE$5&amp;"'!C6:C1000"),$AA44,INDIRECT("'"&amp;AE$5&amp;"'!F6:F1000"),"件"))</f>
        <v>0</v>
      </c>
      <c r="BD44">
        <f>IF(OR($AA44="",AF$5=""),0,SUMIFS(INDIRECT("'"&amp;AF$5&amp;"'!E6:E1000"),INDIRECT("'"&amp;AF$5&amp;"'!C6:C1000"),$AA44,INDIRECT("'"&amp;AF$5&amp;"'!F6:F1000"),"箱")+SUMIFS(INDIRECT("'"&amp;AF$5&amp;"'!E6:E1000"),INDIRECT("'"&amp;AF$5&amp;"'!C6:C1000"),$AA44,INDIRECT("'"&amp;AF$5&amp;"'!F6:F1000"),"件"))</f>
        <v>0</v>
      </c>
      <c r="BE44">
        <f>IF(OR($AA44="",AG$5=""),0,SUMIFS(INDIRECT("'"&amp;AG$5&amp;"'!E6:E1000"),INDIRECT("'"&amp;AG$5&amp;"'!C6:C1000"),$AA44,INDIRECT("'"&amp;AG$5&amp;"'!F6:F1000"),"箱")+SUMIFS(INDIRECT("'"&amp;AG$5&amp;"'!E6:E1000"),INDIRECT("'"&amp;AG$5&amp;"'!C6:C1000"),$AA44,INDIRECT("'"&amp;AG$5&amp;"'!F6:F1000"),"件"))</f>
        <v>0</v>
      </c>
      <c r="BF44">
        <f>IF(OR($AA44="",AH$5=""),0,SUMIFS(INDIRECT("'"&amp;AH$5&amp;"'!E6:E1000"),INDIRECT("'"&amp;AH$5&amp;"'!C6:C1000"),$AA44,INDIRECT("'"&amp;AH$5&amp;"'!F6:F1000"),"箱")+SUMIFS(INDIRECT("'"&amp;AH$5&amp;"'!E6:E1000"),INDIRECT("'"&amp;AH$5&amp;"'!C6:C1000"),$AA44,INDIRECT("'"&amp;AH$5&amp;"'!F6:F1000"),"件"))</f>
        <v>0</v>
      </c>
      <c r="BG44">
        <f>IF(OR($AA44="",AI$5=""),0,SUMIFS(INDIRECT("'"&amp;AI$5&amp;"'!E6:E1000"),INDIRECT("'"&amp;AI$5&amp;"'!C6:C1000"),$AA44,INDIRECT("'"&amp;AI$5&amp;"'!F6:F1000"),"箱")+SUMIFS(INDIRECT("'"&amp;AI$5&amp;"'!E6:E1000"),INDIRECT("'"&amp;AI$5&amp;"'!C6:C1000"),$AA44,INDIRECT("'"&amp;AI$5&amp;"'!F6:F1000"),"件"))</f>
        <v>0</v>
      </c>
      <c r="BH44">
        <f>IF(OR($AA44="",AJ$5=""),0,SUMIFS(INDIRECT("'"&amp;AJ$5&amp;"'!E6:E1000"),INDIRECT("'"&amp;AJ$5&amp;"'!C6:C1000"),$AA44,INDIRECT("'"&amp;AJ$5&amp;"'!F6:F1000"),"箱")+SUMIFS(INDIRECT("'"&amp;AJ$5&amp;"'!E6:E1000"),INDIRECT("'"&amp;AJ$5&amp;"'!C6:C1000"),$AA44,INDIRECT("'"&amp;AJ$5&amp;"'!F6:F1000"),"件"))</f>
        <v>0</v>
      </c>
      <c r="BI44">
        <f>IF(OR($AA44="",AK$5=""),0,SUMIFS(INDIRECT("'"&amp;AK$5&amp;"'!E6:E1000"),INDIRECT("'"&amp;AK$5&amp;"'!C6:C1000"),$AA44,INDIRECT("'"&amp;AK$5&amp;"'!F6:F1000"),"箱")+SUMIFS(INDIRECT("'"&amp;AK$5&amp;"'!E6:E1000"),INDIRECT("'"&amp;AK$5&amp;"'!C6:C1000"),$AA44,INDIRECT("'"&amp;AK$5&amp;"'!F6:F1000"),"件"))</f>
        <v>0</v>
      </c>
      <c r="BJ44">
        <f>IF(OR($AA44="",AL$5=""),0,SUMIFS(INDIRECT("'"&amp;AL$5&amp;"'!E6:E1000"),INDIRECT("'"&amp;AL$5&amp;"'!C6:C1000"),$AA44,INDIRECT("'"&amp;AL$5&amp;"'!F6:F1000"),"箱")+SUMIFS(INDIRECT("'"&amp;AL$5&amp;"'!E6:E1000"),INDIRECT("'"&amp;AL$5&amp;"'!C6:C1000"),$AA44,INDIRECT("'"&amp;AL$5&amp;"'!F6:F1000"),"件"))</f>
        <v>0</v>
      </c>
      <c r="BK44">
        <f>IF(OR($AA44="",AM$5=""),0,SUMIFS(INDIRECT("'"&amp;AM$5&amp;"'!E6:E1000"),INDIRECT("'"&amp;AM$5&amp;"'!C6:C1000"),$AA44,INDIRECT("'"&amp;AM$5&amp;"'!F6:F1000"),"箱")+SUMIFS(INDIRECT("'"&amp;AM$5&amp;"'!E6:E1000"),INDIRECT("'"&amp;AM$5&amp;"'!C6:C1000"),$AA44,INDIRECT("'"&amp;AM$5&amp;"'!F6:F1000"),"件"))</f>
        <v>0</v>
      </c>
      <c r="BL44">
        <f>IF(OR($AA44="",AN$5=""),0,SUMIFS(INDIRECT("'"&amp;AN$5&amp;"'!E6:E1000"),INDIRECT("'"&amp;AN$5&amp;"'!C6:C1000"),$AA44,INDIRECT("'"&amp;AN$5&amp;"'!F6:F1000"),"箱")+SUMIFS(INDIRECT("'"&amp;AN$5&amp;"'!E6:E1000"),INDIRECT("'"&amp;AN$5&amp;"'!C6:C1000"),$AA44,INDIRECT("'"&amp;AN$5&amp;"'!F6:F1000"),"件"))</f>
        <v>0</v>
      </c>
      <c r="BM44">
        <f>(AO44-BA44)/$AB44+BA44</f>
        <v>0</v>
      </c>
      <c r="BN44">
        <f>(AP44-BB44)/$AB44+BB44</f>
        <v>0</v>
      </c>
      <c r="BO44">
        <f>(AQ44-BC44)/$AB44+BC44</f>
        <v>0</v>
      </c>
      <c r="BP44">
        <f>(AR44-BD44)/$AB44+BD44</f>
        <v>0</v>
      </c>
      <c r="BQ44">
        <f>(AS44-BE44)/$AB44+BE44</f>
        <v>0</v>
      </c>
      <c r="BR44">
        <f>(AT44-BF44)/$AB44+BF44</f>
        <v>0</v>
      </c>
      <c r="BS44">
        <f>(AU44-BG44)/$AB44+BG44</f>
        <v>0</v>
      </c>
      <c r="BT44">
        <f>(AV44-BH44)/$AB44+BH44</f>
        <v>0.95</v>
      </c>
      <c r="BU44">
        <f>(AW44-BI44)/$AB44+BI44</f>
        <v>0</v>
      </c>
      <c r="BV44">
        <f>(AX44-BJ44)/$AB44+BJ44</f>
        <v>0</v>
      </c>
      <c r="BW44">
        <f>(AY44-BK44)/$AB44+BK44</f>
        <v>0</v>
      </c>
      <c r="BX44">
        <f>(AZ44-BL44)/$AB44+BL44</f>
        <v>0</v>
      </c>
      <c r="BY44">
        <f>SUMPRODUCT((($AC$4:$AN$4=报损汇总一览!$A$3)+(报损汇总一览!$A$3="全年"))*AC44:AN44)</f>
        <v>45.6</v>
      </c>
      <c r="BZ44">
        <f>IF(BY44&gt;0,BY44+(1000-ROW())/10000000,"")</f>
        <v>45.6000956</v>
      </c>
      <c r="CA44">
        <f>SUMPRODUCT((($AC$4:$AN$4=报损汇总一览!$A$3)+(报损汇总一览!$A$3="全年"))*AO44:AZ44)</f>
        <v>38</v>
      </c>
    </row>
    <row r="45">
      <c r="A45">
        <f>IF(OR(存条明细!C45="",存条明细!D45=""),"",IF(COUNTIFS(存条明细!$C$4:C45,存条明细!C45,存条明细!$D$4:D45,存条明细!D45)&gt;1,"",IFERROR(MATCH(存条明细!C45,总览汇总!$B$5:$B$304,0),900)*10000000+IFERROR(MATCH(存条明细!D45,基础资料!$E$5:$E$104,0),900)*10000+ROW()))</f>
        <v>60080045</v>
      </c>
      <c r="B45">
        <f>IFERROR(MATCH(SMALL($A$4:$A$4003,42),$A$4:$A$4003,0),"")</f>
        <v>1337</v>
      </c>
      <c r="D45">
        <f>IF(AND(商品库存!B45&lt;&gt;"",商品库存!B45=客户查询!$B$4),COUNTIF(商品库存!$B$4:B45,客户查询!$B$4),"")</f>
      </c>
      <c r="E45">
        <f>IF(AND(商品库存!B45&lt;&gt;"",商品库存!B45=客户对账单!$B$4),COUNTIF(商品库存!$B$4:B45,客户对账单!$B$4),"")</f>
      </c>
      <c r="F45">
        <f>IF(AND(出库明细!C45&lt;&gt;"",出库明细!C45=客户对账单!$B$4,ISNUMBER(出库明细!B45),出库明细!B45&gt;=客户对账单!$G$4,出库明细!B45&lt;=客户对账单!$I$4),出库明细!B45+ROW()/100000,"")</f>
      </c>
      <c r="H45">
        <f>IF(AND(采购进货!C45&lt;&gt;"",采购进货!C45=供应商对账单!$B$4,ISNUMBER(采购进货!B45),采购进货!B45&gt;=供应商对账单!$G$4,采购进货!B45&lt;=供应商对账单!$I$4),采购进货!B45+ROW()/100000,"")</f>
      </c>
      <c r="J45">
        <f>IF(总览汇总!$B45="","",N(总览汇总!$K45)+SUMIFS(出库明细!$G$4:$G$3003,出库明细!$C$4:$C$3003,总览汇总!$B45,出库明细!$B$4:$B$3003,"&gt;="&amp;年初日,出库明细!$B$4:$B$3003,"&lt;="&amp;资产负债表!$D$3)-SUMIFS(资金台帐!$S$7:$S$3006,资金台帐!$J$7:$J$3006,总览汇总!$B45,资金台帐!$P$7:$P$3006,"应收",资金台帐!$B$7:$B$3006,"&gt;="&amp;年初日,资金台帐!$B$7:$B$3006,"&lt;="&amp;资产负债表!$D$3))</f>
        <v>0</v>
      </c>
      <c r="K45">
        <f>IF(基础资料!$Q45="","",N(基础资料!$R45)+SUMIFS(采购进货!$G$4:$G$1503,采购进货!$C$4:$C$1503,基础资料!$Q45,采购进货!$B$4:$B$1503,"&gt;="&amp;年初日,采购进货!$B$4:$B$1503,"&lt;="&amp;资产负债表!$D$3)+SUMIFS(资金台帐!$S$7:$S$3006,资金台帐!$K$7:$K$3006,基础资料!$Q45,资金台帐!$P$7:$P$3006,"应付",资金台帐!$B$7:$B$3006,"&gt;="&amp;年初日,资金台帐!$B$7:$B$3006,"&lt;="&amp;资产负债表!$D$3))</f>
      </c>
      <c r="N45">
        <f>IF(AND(ISNUMBER(出库明细!G45),ISNUMBER(出库明细!E45),ISNUMBER(出库明细!F45)),IF(ABS(出库明细!G45-出库明细!E45*出库明细!F45)&gt;0.005,1,0),0)</f>
        <v>0</v>
      </c>
      <c r="O45">
        <f>IF(AND(ISNUMBER(存条明细!G45),ISNUMBER(存条明细!E45),ISNUMBER(存条明细!F45)),IF(ABS(存条明细!G45-存条明细!E45*存条明细!F45)&gt;0.005,1,0),0)</f>
        <v>1</v>
      </c>
      <c r="AA45" t="str">
        <f>IF(基础资料!G44="","",基础资料!G44&amp;"")</f>
        <v>艾精隆60克原味瓜子</v>
      </c>
      <c r="AB45">
        <f>IF(N(基础资料!I44)&lt;=0,1,基础资料!I44)</f>
        <v>35</v>
      </c>
      <c r="AC45">
        <f>IF(OR($AA45="",AC$5=""),0,SUMIF(INDIRECT("'"&amp;AC$5&amp;"'!C6:C1000"),$AA45,INDIRECT("'"&amp;AC$5&amp;"'!H6:H1000")))</f>
        <v>0</v>
      </c>
      <c r="AD45">
        <f>IF(OR($AA45="",AD$5=""),0,SUMIF(INDIRECT("'"&amp;AD$5&amp;"'!C6:C1000"),$AA45,INDIRECT("'"&amp;AD$5&amp;"'!H6:H1000")))</f>
        <v>0</v>
      </c>
      <c r="AE45">
        <f>IF(OR($AA45="",AE$5=""),0,SUMIF(INDIRECT("'"&amp;AE$5&amp;"'!C6:C1000"),$AA45,INDIRECT("'"&amp;AE$5&amp;"'!H6:H1000")))</f>
        <v>0</v>
      </c>
      <c r="AF45">
        <f>IF(OR($AA45="",AF$5=""),0,SUMIF(INDIRECT("'"&amp;AF$5&amp;"'!C6:C1000"),$AA45,INDIRECT("'"&amp;AF$5&amp;"'!H6:H1000")))</f>
        <v>0</v>
      </c>
      <c r="AG45">
        <f>IF(OR($AA45="",AG$5=""),0,SUMIF(INDIRECT("'"&amp;AG$5&amp;"'!C6:C1000"),$AA45,INDIRECT("'"&amp;AG$5&amp;"'!H6:H1000")))</f>
        <v>0</v>
      </c>
      <c r="AH45">
        <f>IF(OR($AA45="",AH$5=""),0,SUMIF(INDIRECT("'"&amp;AH$5&amp;"'!C6:C1000"),$AA45,INDIRECT("'"&amp;AH$5&amp;"'!H6:H1000")))</f>
        <v>0</v>
      </c>
      <c r="AI45">
        <f>IF(OR($AA45="",AI$5=""),0,SUMIF(INDIRECT("'"&amp;AI$5&amp;"'!C6:C1000"),$AA45,INDIRECT("'"&amp;AI$5&amp;"'!H6:H1000")))</f>
        <v>0</v>
      </c>
      <c r="AJ45">
        <f>IF(OR($AA45="",AJ$5=""),0,SUMIF(INDIRECT("'"&amp;AJ$5&amp;"'!C6:C1000"),$AA45,INDIRECT("'"&amp;AJ$5&amp;"'!H6:H1000")))</f>
        <v>163.423</v>
      </c>
      <c r="AK45">
        <f>IF(OR($AA45="",AK$5=""),0,SUMIF(INDIRECT("'"&amp;AK$5&amp;"'!C6:C1000"),$AA45,INDIRECT("'"&amp;AK$5&amp;"'!H6:H1000")))</f>
        <v>0</v>
      </c>
      <c r="AL45">
        <f>IF(OR($AA45="",AL$5=""),0,SUMIF(INDIRECT("'"&amp;AL$5&amp;"'!C6:C1000"),$AA45,INDIRECT("'"&amp;AL$5&amp;"'!H6:H1000")))</f>
        <v>0</v>
      </c>
      <c r="AM45">
        <f>IF(OR($AA45="",AM$5=""),0,SUMIF(INDIRECT("'"&amp;AM$5&amp;"'!C6:C1000"),$AA45,INDIRECT("'"&amp;AM$5&amp;"'!H6:H1000")))</f>
        <v>0</v>
      </c>
      <c r="AN45">
        <f>IF(OR($AA45="",AN$5=""),0,SUMIF(INDIRECT("'"&amp;AN$5&amp;"'!C6:C1000"),$AA45,INDIRECT("'"&amp;AN$5&amp;"'!H6:H1000")))</f>
        <v>0</v>
      </c>
      <c r="AO45">
        <f>IF(OR($AA45="",AC$5=""),0,SUMIF(INDIRECT("'"&amp;AC$5&amp;"'!C6:C1000"),$AA45,INDIRECT("'"&amp;AC$5&amp;"'!E6:E1000")))</f>
        <v>0</v>
      </c>
      <c r="AP45">
        <f>IF(OR($AA45="",AD$5=""),0,SUMIF(INDIRECT("'"&amp;AD$5&amp;"'!C6:C1000"),$AA45,INDIRECT("'"&amp;AD$5&amp;"'!E6:E1000")))</f>
        <v>0</v>
      </c>
      <c r="AQ45">
        <f>IF(OR($AA45="",AE$5=""),0,SUMIF(INDIRECT("'"&amp;AE$5&amp;"'!C6:C1000"),$AA45,INDIRECT("'"&amp;AE$5&amp;"'!E6:E1000")))</f>
        <v>0</v>
      </c>
      <c r="AR45">
        <f>IF(OR($AA45="",AF$5=""),0,SUMIF(INDIRECT("'"&amp;AF$5&amp;"'!C6:C1000"),$AA45,INDIRECT("'"&amp;AF$5&amp;"'!E6:E1000")))</f>
        <v>0</v>
      </c>
      <c r="AS45">
        <f>IF(OR($AA45="",AG$5=""),0,SUMIF(INDIRECT("'"&amp;AG$5&amp;"'!C6:C1000"),$AA45,INDIRECT("'"&amp;AG$5&amp;"'!E6:E1000")))</f>
        <v>0</v>
      </c>
      <c r="AT45">
        <f>IF(OR($AA45="",AH$5=""),0,SUMIF(INDIRECT("'"&amp;AH$5&amp;"'!C6:C1000"),$AA45,INDIRECT("'"&amp;AH$5&amp;"'!E6:E1000")))</f>
        <v>0</v>
      </c>
      <c r="AU45">
        <f>IF(OR($AA45="",AI$5=""),0,SUMIF(INDIRECT("'"&amp;AI$5&amp;"'!C6:C1000"),$AA45,INDIRECT("'"&amp;AI$5&amp;"'!E6:E1000")))</f>
        <v>0</v>
      </c>
      <c r="AV45">
        <f>IF(OR($AA45="",AJ$5=""),0,SUMIF(INDIRECT("'"&amp;AJ$5&amp;"'!C6:C1000"),$AA45,INDIRECT("'"&amp;AJ$5&amp;"'!E6:E1000")))</f>
        <v>130</v>
      </c>
      <c r="AW45">
        <f>IF(OR($AA45="",AK$5=""),0,SUMIF(INDIRECT("'"&amp;AK$5&amp;"'!C6:C1000"),$AA45,INDIRECT("'"&amp;AK$5&amp;"'!E6:E1000")))</f>
        <v>0</v>
      </c>
      <c r="AX45">
        <f>IF(OR($AA45="",AL$5=""),0,SUMIF(INDIRECT("'"&amp;AL$5&amp;"'!C6:C1000"),$AA45,INDIRECT("'"&amp;AL$5&amp;"'!E6:E1000")))</f>
        <v>0</v>
      </c>
      <c r="AY45">
        <f>IF(OR($AA45="",AM$5=""),0,SUMIF(INDIRECT("'"&amp;AM$5&amp;"'!C6:C1000"),$AA45,INDIRECT("'"&amp;AM$5&amp;"'!E6:E1000")))</f>
        <v>0</v>
      </c>
      <c r="AZ45">
        <f>IF(OR($AA45="",AN$5=""),0,SUMIF(INDIRECT("'"&amp;AN$5&amp;"'!C6:C1000"),$AA45,INDIRECT("'"&amp;AN$5&amp;"'!E6:E1000")))</f>
        <v>0</v>
      </c>
      <c r="BA45">
        <f>IF(OR($AA45="",AC$5=""),0,SUMIFS(INDIRECT("'"&amp;AC$5&amp;"'!E6:E1000"),INDIRECT("'"&amp;AC$5&amp;"'!C6:C1000"),$AA45,INDIRECT("'"&amp;AC$5&amp;"'!F6:F1000"),"箱")+SUMIFS(INDIRECT("'"&amp;AC$5&amp;"'!E6:E1000"),INDIRECT("'"&amp;AC$5&amp;"'!C6:C1000"),$AA45,INDIRECT("'"&amp;AC$5&amp;"'!F6:F1000"),"件"))</f>
        <v>0</v>
      </c>
      <c r="BB45">
        <f>IF(OR($AA45="",AD$5=""),0,SUMIFS(INDIRECT("'"&amp;AD$5&amp;"'!E6:E1000"),INDIRECT("'"&amp;AD$5&amp;"'!C6:C1000"),$AA45,INDIRECT("'"&amp;AD$5&amp;"'!F6:F1000"),"箱")+SUMIFS(INDIRECT("'"&amp;AD$5&amp;"'!E6:E1000"),INDIRECT("'"&amp;AD$5&amp;"'!C6:C1000"),$AA45,INDIRECT("'"&amp;AD$5&amp;"'!F6:F1000"),"件"))</f>
        <v>0</v>
      </c>
      <c r="BC45">
        <f>IF(OR($AA45="",AE$5=""),0,SUMIFS(INDIRECT("'"&amp;AE$5&amp;"'!E6:E1000"),INDIRECT("'"&amp;AE$5&amp;"'!C6:C1000"),$AA45,INDIRECT("'"&amp;AE$5&amp;"'!F6:F1000"),"箱")+SUMIFS(INDIRECT("'"&amp;AE$5&amp;"'!E6:E1000"),INDIRECT("'"&amp;AE$5&amp;"'!C6:C1000"),$AA45,INDIRECT("'"&amp;AE$5&amp;"'!F6:F1000"),"件"))</f>
        <v>0</v>
      </c>
      <c r="BD45">
        <f>IF(OR($AA45="",AF$5=""),0,SUMIFS(INDIRECT("'"&amp;AF$5&amp;"'!E6:E1000"),INDIRECT("'"&amp;AF$5&amp;"'!C6:C1000"),$AA45,INDIRECT("'"&amp;AF$5&amp;"'!F6:F1000"),"箱")+SUMIFS(INDIRECT("'"&amp;AF$5&amp;"'!E6:E1000"),INDIRECT("'"&amp;AF$5&amp;"'!C6:C1000"),$AA45,INDIRECT("'"&amp;AF$5&amp;"'!F6:F1000"),"件"))</f>
        <v>0</v>
      </c>
      <c r="BE45">
        <f>IF(OR($AA45="",AG$5=""),0,SUMIFS(INDIRECT("'"&amp;AG$5&amp;"'!E6:E1000"),INDIRECT("'"&amp;AG$5&amp;"'!C6:C1000"),$AA45,INDIRECT("'"&amp;AG$5&amp;"'!F6:F1000"),"箱")+SUMIFS(INDIRECT("'"&amp;AG$5&amp;"'!E6:E1000"),INDIRECT("'"&amp;AG$5&amp;"'!C6:C1000"),$AA45,INDIRECT("'"&amp;AG$5&amp;"'!F6:F1000"),"件"))</f>
        <v>0</v>
      </c>
      <c r="BF45">
        <f>IF(OR($AA45="",AH$5=""),0,SUMIFS(INDIRECT("'"&amp;AH$5&amp;"'!E6:E1000"),INDIRECT("'"&amp;AH$5&amp;"'!C6:C1000"),$AA45,INDIRECT("'"&amp;AH$5&amp;"'!F6:F1000"),"箱")+SUMIFS(INDIRECT("'"&amp;AH$5&amp;"'!E6:E1000"),INDIRECT("'"&amp;AH$5&amp;"'!C6:C1000"),$AA45,INDIRECT("'"&amp;AH$5&amp;"'!F6:F1000"),"件"))</f>
        <v>0</v>
      </c>
      <c r="BG45">
        <f>IF(OR($AA45="",AI$5=""),0,SUMIFS(INDIRECT("'"&amp;AI$5&amp;"'!E6:E1000"),INDIRECT("'"&amp;AI$5&amp;"'!C6:C1000"),$AA45,INDIRECT("'"&amp;AI$5&amp;"'!F6:F1000"),"箱")+SUMIFS(INDIRECT("'"&amp;AI$5&amp;"'!E6:E1000"),INDIRECT("'"&amp;AI$5&amp;"'!C6:C1000"),$AA45,INDIRECT("'"&amp;AI$5&amp;"'!F6:F1000"),"件"))</f>
        <v>0</v>
      </c>
      <c r="BH45">
        <f>IF(OR($AA45="",AJ$5=""),0,SUMIFS(INDIRECT("'"&amp;AJ$5&amp;"'!E6:E1000"),INDIRECT("'"&amp;AJ$5&amp;"'!C6:C1000"),$AA45,INDIRECT("'"&amp;AJ$5&amp;"'!F6:F1000"),"箱")+SUMIFS(INDIRECT("'"&amp;AJ$5&amp;"'!E6:E1000"),INDIRECT("'"&amp;AJ$5&amp;"'!C6:C1000"),$AA45,INDIRECT("'"&amp;AJ$5&amp;"'!F6:F1000"),"件"))</f>
        <v>0</v>
      </c>
      <c r="BI45">
        <f>IF(OR($AA45="",AK$5=""),0,SUMIFS(INDIRECT("'"&amp;AK$5&amp;"'!E6:E1000"),INDIRECT("'"&amp;AK$5&amp;"'!C6:C1000"),$AA45,INDIRECT("'"&amp;AK$5&amp;"'!F6:F1000"),"箱")+SUMIFS(INDIRECT("'"&amp;AK$5&amp;"'!E6:E1000"),INDIRECT("'"&amp;AK$5&amp;"'!C6:C1000"),$AA45,INDIRECT("'"&amp;AK$5&amp;"'!F6:F1000"),"件"))</f>
        <v>0</v>
      </c>
      <c r="BJ45">
        <f>IF(OR($AA45="",AL$5=""),0,SUMIFS(INDIRECT("'"&amp;AL$5&amp;"'!E6:E1000"),INDIRECT("'"&amp;AL$5&amp;"'!C6:C1000"),$AA45,INDIRECT("'"&amp;AL$5&amp;"'!F6:F1000"),"箱")+SUMIFS(INDIRECT("'"&amp;AL$5&amp;"'!E6:E1000"),INDIRECT("'"&amp;AL$5&amp;"'!C6:C1000"),$AA45,INDIRECT("'"&amp;AL$5&amp;"'!F6:F1000"),"件"))</f>
        <v>0</v>
      </c>
      <c r="BK45">
        <f>IF(OR($AA45="",AM$5=""),0,SUMIFS(INDIRECT("'"&amp;AM$5&amp;"'!E6:E1000"),INDIRECT("'"&amp;AM$5&amp;"'!C6:C1000"),$AA45,INDIRECT("'"&amp;AM$5&amp;"'!F6:F1000"),"箱")+SUMIFS(INDIRECT("'"&amp;AM$5&amp;"'!E6:E1000"),INDIRECT("'"&amp;AM$5&amp;"'!C6:C1000"),$AA45,INDIRECT("'"&amp;AM$5&amp;"'!F6:F1000"),"件"))</f>
        <v>0</v>
      </c>
      <c r="BL45">
        <f>IF(OR($AA45="",AN$5=""),0,SUMIFS(INDIRECT("'"&amp;AN$5&amp;"'!E6:E1000"),INDIRECT("'"&amp;AN$5&amp;"'!C6:C1000"),$AA45,INDIRECT("'"&amp;AN$5&amp;"'!F6:F1000"),"箱")+SUMIFS(INDIRECT("'"&amp;AN$5&amp;"'!E6:E1000"),INDIRECT("'"&amp;AN$5&amp;"'!C6:C1000"),$AA45,INDIRECT("'"&amp;AN$5&amp;"'!F6:F1000"),"件"))</f>
        <v>0</v>
      </c>
      <c r="BM45">
        <f>(AO45-BA45)/$AB45+BA45</f>
        <v>0</v>
      </c>
      <c r="BN45">
        <f>(AP45-BB45)/$AB45+BB45</f>
        <v>0</v>
      </c>
      <c r="BO45">
        <f>(AQ45-BC45)/$AB45+BC45</f>
        <v>0</v>
      </c>
      <c r="BP45">
        <f>(AR45-BD45)/$AB45+BD45</f>
        <v>0</v>
      </c>
      <c r="BQ45">
        <f>(AS45-BE45)/$AB45+BE45</f>
        <v>0</v>
      </c>
      <c r="BR45">
        <f>(AT45-BF45)/$AB45+BF45</f>
        <v>0</v>
      </c>
      <c r="BS45">
        <f>(AU45-BG45)/$AB45+BG45</f>
        <v>0</v>
      </c>
      <c r="BT45">
        <f>(AV45-BH45)/$AB45+BH45</f>
        <v>3.71428571428571</v>
      </c>
      <c r="BU45">
        <f>(AW45-BI45)/$AB45+BI45</f>
        <v>0</v>
      </c>
      <c r="BV45">
        <f>(AX45-BJ45)/$AB45+BJ45</f>
        <v>0</v>
      </c>
      <c r="BW45">
        <f>(AY45-BK45)/$AB45+BK45</f>
        <v>0</v>
      </c>
      <c r="BX45">
        <f>(AZ45-BL45)/$AB45+BL45</f>
        <v>0</v>
      </c>
      <c r="BY45">
        <f>SUMPRODUCT((($AC$4:$AN$4=报损汇总一览!$A$3)+(报损汇总一览!$A$3="全年"))*AC45:AN45)</f>
        <v>163.423</v>
      </c>
      <c r="BZ45">
        <f>IF(BY45&gt;0,BY45+(1000-ROW())/10000000,"")</f>
        <v>163.4230955</v>
      </c>
      <c r="CA45">
        <f>SUMPRODUCT((($AC$4:$AN$4=报损汇总一览!$A$3)+(报损汇总一览!$A$3="全年"))*AO45:AZ45)</f>
        <v>130</v>
      </c>
    </row>
    <row r="46">
      <c r="A46">
        <f>IF(OR(存条明细!C46="",存条明细!D46=""),"",IF(COUNTIFS(存条明细!$C$4:C46,存条明细!C46,存条明细!$D$4:D46,存条明细!D46)&gt;1,"",IFERROR(MATCH(存条明细!C46,总览汇总!$B$5:$B$304,0),900)*10000000+IFERROR(MATCH(存条明细!D46,基础资料!$E$5:$E$104,0),900)*10000+ROW()))</f>
      </c>
      <c r="B46">
        <f>IFERROR(MATCH(SMALL($A$4:$A$4003,43),$A$4:$A$4003,0),"")</f>
        <v>229</v>
      </c>
      <c r="D46">
        <f>IF(AND(商品库存!B46&lt;&gt;"",商品库存!B46=客户查询!$B$4),COUNTIF(商品库存!$B$4:B46,客户查询!$B$4),"")</f>
      </c>
      <c r="E46">
        <f>IF(AND(商品库存!B46&lt;&gt;"",商品库存!B46=客户对账单!$B$4),COUNTIF(商品库存!$B$4:B46,客户对账单!$B$4),"")</f>
      </c>
      <c r="F46">
        <f>IF(AND(出库明细!C46&lt;&gt;"",出库明细!C46=客户对账单!$B$4,ISNUMBER(出库明细!B46),出库明细!B46&gt;=客户对账单!$G$4,出库明细!B46&lt;=客户对账单!$I$4),出库明细!B46+ROW()/100000,"")</f>
      </c>
      <c r="H46">
        <f>IF(AND(采购进货!C46&lt;&gt;"",采购进货!C46=供应商对账单!$B$4,ISNUMBER(采购进货!B46),采购进货!B46&gt;=供应商对账单!$G$4,采购进货!B46&lt;=供应商对账单!$I$4),采购进货!B46+ROW()/100000,"")</f>
      </c>
      <c r="J46">
        <f>IF(总览汇总!$B46="","",N(总览汇总!$K46)+SUMIFS(出库明细!$G$4:$G$3003,出库明细!$C$4:$C$3003,总览汇总!$B46,出库明细!$B$4:$B$3003,"&gt;="&amp;年初日,出库明细!$B$4:$B$3003,"&lt;="&amp;资产负债表!$D$3)-SUMIFS(资金台帐!$S$7:$S$3006,资金台帐!$J$7:$J$3006,总览汇总!$B46,资金台帐!$P$7:$P$3006,"应收",资金台帐!$B$7:$B$3006,"&gt;="&amp;年初日,资金台帐!$B$7:$B$3006,"&lt;="&amp;资产负债表!$D$3))</f>
        <v>-1581</v>
      </c>
      <c r="K46">
        <f>IF(基础资料!$Q46="","",N(基础资料!$R46)+SUMIFS(采购进货!$G$4:$G$1503,采购进货!$C$4:$C$1503,基础资料!$Q46,采购进货!$B$4:$B$1503,"&gt;="&amp;年初日,采购进货!$B$4:$B$1503,"&lt;="&amp;资产负债表!$D$3)+SUMIFS(资金台帐!$S$7:$S$3006,资金台帐!$K$7:$K$3006,基础资料!$Q46,资金台帐!$P$7:$P$3006,"应付",资金台帐!$B$7:$B$3006,"&gt;="&amp;年初日,资金台帐!$B$7:$B$3006,"&lt;="&amp;资产负债表!$D$3))</f>
      </c>
      <c r="N46">
        <f>IF(AND(ISNUMBER(出库明细!G46),ISNUMBER(出库明细!E46),ISNUMBER(出库明细!F46)),IF(ABS(出库明细!G46-出库明细!E46*出库明细!F46)&gt;0.005,1,0),0)</f>
        <v>0</v>
      </c>
      <c r="O46">
        <f>IF(AND(ISNUMBER(存条明细!G46),ISNUMBER(存条明细!E46),ISNUMBER(存条明细!F46)),IF(ABS(存条明细!G46-存条明细!E46*存条明细!F46)&gt;0.005,1,0),0)</f>
        <v>1</v>
      </c>
      <c r="AA46" t="str">
        <f>IF(基础资料!G45="","",基础资料!G45&amp;"")</f>
        <v>艾精隆208克花生</v>
      </c>
      <c r="AB46">
        <f>IF(N(基础资料!I45)&lt;=0,1,基础资料!I45)</f>
        <v>30</v>
      </c>
      <c r="AC46">
        <f>IF(OR($AA46="",AC$5=""),0,SUMIF(INDIRECT("'"&amp;AC$5&amp;"'!C6:C1000"),$AA46,INDIRECT("'"&amp;AC$5&amp;"'!H6:H1000")))</f>
        <v>0</v>
      </c>
      <c r="AD46">
        <f>IF(OR($AA46="",AD$5=""),0,SUMIF(INDIRECT("'"&amp;AD$5&amp;"'!C6:C1000"),$AA46,INDIRECT("'"&amp;AD$5&amp;"'!H6:H1000")))</f>
        <v>0</v>
      </c>
      <c r="AE46">
        <f>IF(OR($AA46="",AE$5=""),0,SUMIF(INDIRECT("'"&amp;AE$5&amp;"'!C6:C1000"),$AA46,INDIRECT("'"&amp;AE$5&amp;"'!H6:H1000")))</f>
        <v>0</v>
      </c>
      <c r="AF46">
        <f>IF(OR($AA46="",AF$5=""),0,SUMIF(INDIRECT("'"&amp;AF$5&amp;"'!C6:C1000"),$AA46,INDIRECT("'"&amp;AF$5&amp;"'!H6:H1000")))</f>
        <v>0</v>
      </c>
      <c r="AG46">
        <f>IF(OR($AA46="",AG$5=""),0,SUMIF(INDIRECT("'"&amp;AG$5&amp;"'!C6:C1000"),$AA46,INDIRECT("'"&amp;AG$5&amp;"'!H6:H1000")))</f>
        <v>0</v>
      </c>
      <c r="AH46">
        <f>IF(OR($AA46="",AH$5=""),0,SUMIF(INDIRECT("'"&amp;AH$5&amp;"'!C6:C1000"),$AA46,INDIRECT("'"&amp;AH$5&amp;"'!H6:H1000")))</f>
        <v>0</v>
      </c>
      <c r="AI46">
        <f>IF(OR($AA46="",AI$5=""),0,SUMIF(INDIRECT("'"&amp;AI$5&amp;"'!C6:C1000"),$AA46,INDIRECT("'"&amp;AI$5&amp;"'!H6:H1000")))</f>
        <v>0</v>
      </c>
      <c r="AJ46">
        <f>IF(OR($AA46="",AJ$5=""),0,SUMIF(INDIRECT("'"&amp;AJ$5&amp;"'!C6:C1000"),$AA46,INDIRECT("'"&amp;AJ$5&amp;"'!H6:H1000")))</f>
        <v>147.2</v>
      </c>
      <c r="AK46">
        <f>IF(OR($AA46="",AK$5=""),0,SUMIF(INDIRECT("'"&amp;AK$5&amp;"'!C6:C1000"),$AA46,INDIRECT("'"&amp;AK$5&amp;"'!H6:H1000")))</f>
        <v>0</v>
      </c>
      <c r="AL46">
        <f>IF(OR($AA46="",AL$5=""),0,SUMIF(INDIRECT("'"&amp;AL$5&amp;"'!C6:C1000"),$AA46,INDIRECT("'"&amp;AL$5&amp;"'!H6:H1000")))</f>
        <v>0</v>
      </c>
      <c r="AM46">
        <f>IF(OR($AA46="",AM$5=""),0,SUMIF(INDIRECT("'"&amp;AM$5&amp;"'!C6:C1000"),$AA46,INDIRECT("'"&amp;AM$5&amp;"'!H6:H1000")))</f>
        <v>0</v>
      </c>
      <c r="AN46">
        <f>IF(OR($AA46="",AN$5=""),0,SUMIF(INDIRECT("'"&amp;AN$5&amp;"'!C6:C1000"),$AA46,INDIRECT("'"&amp;AN$5&amp;"'!H6:H1000")))</f>
        <v>0</v>
      </c>
      <c r="AO46">
        <f>IF(OR($AA46="",AC$5=""),0,SUMIF(INDIRECT("'"&amp;AC$5&amp;"'!C6:C1000"),$AA46,INDIRECT("'"&amp;AC$5&amp;"'!E6:E1000")))</f>
        <v>0</v>
      </c>
      <c r="AP46">
        <f>IF(OR($AA46="",AD$5=""),0,SUMIF(INDIRECT("'"&amp;AD$5&amp;"'!C6:C1000"),$AA46,INDIRECT("'"&amp;AD$5&amp;"'!E6:E1000")))</f>
        <v>0</v>
      </c>
      <c r="AQ46">
        <f>IF(OR($AA46="",AE$5=""),0,SUMIF(INDIRECT("'"&amp;AE$5&amp;"'!C6:C1000"),$AA46,INDIRECT("'"&amp;AE$5&amp;"'!E6:E1000")))</f>
        <v>0</v>
      </c>
      <c r="AR46">
        <f>IF(OR($AA46="",AF$5=""),0,SUMIF(INDIRECT("'"&amp;AF$5&amp;"'!C6:C1000"),$AA46,INDIRECT("'"&amp;AF$5&amp;"'!E6:E1000")))</f>
        <v>0</v>
      </c>
      <c r="AS46">
        <f>IF(OR($AA46="",AG$5=""),0,SUMIF(INDIRECT("'"&amp;AG$5&amp;"'!C6:C1000"),$AA46,INDIRECT("'"&amp;AG$5&amp;"'!E6:E1000")))</f>
        <v>0</v>
      </c>
      <c r="AT46">
        <f>IF(OR($AA46="",AH$5=""),0,SUMIF(INDIRECT("'"&amp;AH$5&amp;"'!C6:C1000"),$AA46,INDIRECT("'"&amp;AH$5&amp;"'!E6:E1000")))</f>
        <v>0</v>
      </c>
      <c r="AU46">
        <f>IF(OR($AA46="",AI$5=""),0,SUMIF(INDIRECT("'"&amp;AI$5&amp;"'!C6:C1000"),$AA46,INDIRECT("'"&amp;AI$5&amp;"'!E6:E1000")))</f>
        <v>0</v>
      </c>
      <c r="AV46">
        <f>IF(OR($AA46="",AJ$5=""),0,SUMIF(INDIRECT("'"&amp;AJ$5&amp;"'!C6:C1000"),$AA46,INDIRECT("'"&amp;AJ$5&amp;"'!E6:E1000")))</f>
        <v>46</v>
      </c>
      <c r="AW46">
        <f>IF(OR($AA46="",AK$5=""),0,SUMIF(INDIRECT("'"&amp;AK$5&amp;"'!C6:C1000"),$AA46,INDIRECT("'"&amp;AK$5&amp;"'!E6:E1000")))</f>
        <v>0</v>
      </c>
      <c r="AX46">
        <f>IF(OR($AA46="",AL$5=""),0,SUMIF(INDIRECT("'"&amp;AL$5&amp;"'!C6:C1000"),$AA46,INDIRECT("'"&amp;AL$5&amp;"'!E6:E1000")))</f>
        <v>0</v>
      </c>
      <c r="AY46">
        <f>IF(OR($AA46="",AM$5=""),0,SUMIF(INDIRECT("'"&amp;AM$5&amp;"'!C6:C1000"),$AA46,INDIRECT("'"&amp;AM$5&amp;"'!E6:E1000")))</f>
        <v>0</v>
      </c>
      <c r="AZ46">
        <f>IF(OR($AA46="",AN$5=""),0,SUMIF(INDIRECT("'"&amp;AN$5&amp;"'!C6:C1000"),$AA46,INDIRECT("'"&amp;AN$5&amp;"'!E6:E1000")))</f>
        <v>0</v>
      </c>
      <c r="BA46">
        <f>IF(OR($AA46="",AC$5=""),0,SUMIFS(INDIRECT("'"&amp;AC$5&amp;"'!E6:E1000"),INDIRECT("'"&amp;AC$5&amp;"'!C6:C1000"),$AA46,INDIRECT("'"&amp;AC$5&amp;"'!F6:F1000"),"箱")+SUMIFS(INDIRECT("'"&amp;AC$5&amp;"'!E6:E1000"),INDIRECT("'"&amp;AC$5&amp;"'!C6:C1000"),$AA46,INDIRECT("'"&amp;AC$5&amp;"'!F6:F1000"),"件"))</f>
        <v>0</v>
      </c>
      <c r="BB46">
        <f>IF(OR($AA46="",AD$5=""),0,SUMIFS(INDIRECT("'"&amp;AD$5&amp;"'!E6:E1000"),INDIRECT("'"&amp;AD$5&amp;"'!C6:C1000"),$AA46,INDIRECT("'"&amp;AD$5&amp;"'!F6:F1000"),"箱")+SUMIFS(INDIRECT("'"&amp;AD$5&amp;"'!E6:E1000"),INDIRECT("'"&amp;AD$5&amp;"'!C6:C1000"),$AA46,INDIRECT("'"&amp;AD$5&amp;"'!F6:F1000"),"件"))</f>
        <v>0</v>
      </c>
      <c r="BC46">
        <f>IF(OR($AA46="",AE$5=""),0,SUMIFS(INDIRECT("'"&amp;AE$5&amp;"'!E6:E1000"),INDIRECT("'"&amp;AE$5&amp;"'!C6:C1000"),$AA46,INDIRECT("'"&amp;AE$5&amp;"'!F6:F1000"),"箱")+SUMIFS(INDIRECT("'"&amp;AE$5&amp;"'!E6:E1000"),INDIRECT("'"&amp;AE$5&amp;"'!C6:C1000"),$AA46,INDIRECT("'"&amp;AE$5&amp;"'!F6:F1000"),"件"))</f>
        <v>0</v>
      </c>
      <c r="BD46">
        <f>IF(OR($AA46="",AF$5=""),0,SUMIFS(INDIRECT("'"&amp;AF$5&amp;"'!E6:E1000"),INDIRECT("'"&amp;AF$5&amp;"'!C6:C1000"),$AA46,INDIRECT("'"&amp;AF$5&amp;"'!F6:F1000"),"箱")+SUMIFS(INDIRECT("'"&amp;AF$5&amp;"'!E6:E1000"),INDIRECT("'"&amp;AF$5&amp;"'!C6:C1000"),$AA46,INDIRECT("'"&amp;AF$5&amp;"'!F6:F1000"),"件"))</f>
        <v>0</v>
      </c>
      <c r="BE46">
        <f>IF(OR($AA46="",AG$5=""),0,SUMIFS(INDIRECT("'"&amp;AG$5&amp;"'!E6:E1000"),INDIRECT("'"&amp;AG$5&amp;"'!C6:C1000"),$AA46,INDIRECT("'"&amp;AG$5&amp;"'!F6:F1000"),"箱")+SUMIFS(INDIRECT("'"&amp;AG$5&amp;"'!E6:E1000"),INDIRECT("'"&amp;AG$5&amp;"'!C6:C1000"),$AA46,INDIRECT("'"&amp;AG$5&amp;"'!F6:F1000"),"件"))</f>
        <v>0</v>
      </c>
      <c r="BF46">
        <f>IF(OR($AA46="",AH$5=""),0,SUMIFS(INDIRECT("'"&amp;AH$5&amp;"'!E6:E1000"),INDIRECT("'"&amp;AH$5&amp;"'!C6:C1000"),$AA46,INDIRECT("'"&amp;AH$5&amp;"'!F6:F1000"),"箱")+SUMIFS(INDIRECT("'"&amp;AH$5&amp;"'!E6:E1000"),INDIRECT("'"&amp;AH$5&amp;"'!C6:C1000"),$AA46,INDIRECT("'"&amp;AH$5&amp;"'!F6:F1000"),"件"))</f>
        <v>0</v>
      </c>
      <c r="BG46">
        <f>IF(OR($AA46="",AI$5=""),0,SUMIFS(INDIRECT("'"&amp;AI$5&amp;"'!E6:E1000"),INDIRECT("'"&amp;AI$5&amp;"'!C6:C1000"),$AA46,INDIRECT("'"&amp;AI$5&amp;"'!F6:F1000"),"箱")+SUMIFS(INDIRECT("'"&amp;AI$5&amp;"'!E6:E1000"),INDIRECT("'"&amp;AI$5&amp;"'!C6:C1000"),$AA46,INDIRECT("'"&amp;AI$5&amp;"'!F6:F1000"),"件"))</f>
        <v>0</v>
      </c>
      <c r="BH46">
        <f>IF(OR($AA46="",AJ$5=""),0,SUMIFS(INDIRECT("'"&amp;AJ$5&amp;"'!E6:E1000"),INDIRECT("'"&amp;AJ$5&amp;"'!C6:C1000"),$AA46,INDIRECT("'"&amp;AJ$5&amp;"'!F6:F1000"),"箱")+SUMIFS(INDIRECT("'"&amp;AJ$5&amp;"'!E6:E1000"),INDIRECT("'"&amp;AJ$5&amp;"'!C6:C1000"),$AA46,INDIRECT("'"&amp;AJ$5&amp;"'!F6:F1000"),"件"))</f>
        <v>0</v>
      </c>
      <c r="BI46">
        <f>IF(OR($AA46="",AK$5=""),0,SUMIFS(INDIRECT("'"&amp;AK$5&amp;"'!E6:E1000"),INDIRECT("'"&amp;AK$5&amp;"'!C6:C1000"),$AA46,INDIRECT("'"&amp;AK$5&amp;"'!F6:F1000"),"箱")+SUMIFS(INDIRECT("'"&amp;AK$5&amp;"'!E6:E1000"),INDIRECT("'"&amp;AK$5&amp;"'!C6:C1000"),$AA46,INDIRECT("'"&amp;AK$5&amp;"'!F6:F1000"),"件"))</f>
        <v>0</v>
      </c>
      <c r="BJ46">
        <f>IF(OR($AA46="",AL$5=""),0,SUMIFS(INDIRECT("'"&amp;AL$5&amp;"'!E6:E1000"),INDIRECT("'"&amp;AL$5&amp;"'!C6:C1000"),$AA46,INDIRECT("'"&amp;AL$5&amp;"'!F6:F1000"),"箱")+SUMIFS(INDIRECT("'"&amp;AL$5&amp;"'!E6:E1000"),INDIRECT("'"&amp;AL$5&amp;"'!C6:C1000"),$AA46,INDIRECT("'"&amp;AL$5&amp;"'!F6:F1000"),"件"))</f>
        <v>0</v>
      </c>
      <c r="BK46">
        <f>IF(OR($AA46="",AM$5=""),0,SUMIFS(INDIRECT("'"&amp;AM$5&amp;"'!E6:E1000"),INDIRECT("'"&amp;AM$5&amp;"'!C6:C1000"),$AA46,INDIRECT("'"&amp;AM$5&amp;"'!F6:F1000"),"箱")+SUMIFS(INDIRECT("'"&amp;AM$5&amp;"'!E6:E1000"),INDIRECT("'"&amp;AM$5&amp;"'!C6:C1000"),$AA46,INDIRECT("'"&amp;AM$5&amp;"'!F6:F1000"),"件"))</f>
        <v>0</v>
      </c>
      <c r="BL46">
        <f>IF(OR($AA46="",AN$5=""),0,SUMIFS(INDIRECT("'"&amp;AN$5&amp;"'!E6:E1000"),INDIRECT("'"&amp;AN$5&amp;"'!C6:C1000"),$AA46,INDIRECT("'"&amp;AN$5&amp;"'!F6:F1000"),"箱")+SUMIFS(INDIRECT("'"&amp;AN$5&amp;"'!E6:E1000"),INDIRECT("'"&amp;AN$5&amp;"'!C6:C1000"),$AA46,INDIRECT("'"&amp;AN$5&amp;"'!F6:F1000"),"件"))</f>
        <v>0</v>
      </c>
      <c r="BM46">
        <f>(AO46-BA46)/$AB46+BA46</f>
        <v>0</v>
      </c>
      <c r="BN46">
        <f>(AP46-BB46)/$AB46+BB46</f>
        <v>0</v>
      </c>
      <c r="BO46">
        <f>(AQ46-BC46)/$AB46+BC46</f>
        <v>0</v>
      </c>
      <c r="BP46">
        <f>(AR46-BD46)/$AB46+BD46</f>
        <v>0</v>
      </c>
      <c r="BQ46">
        <f>(AS46-BE46)/$AB46+BE46</f>
        <v>0</v>
      </c>
      <c r="BR46">
        <f>(AT46-BF46)/$AB46+BF46</f>
        <v>0</v>
      </c>
      <c r="BS46">
        <f>(AU46-BG46)/$AB46+BG46</f>
        <v>0</v>
      </c>
      <c r="BT46">
        <f>(AV46-BH46)/$AB46+BH46</f>
        <v>1.53333333333333</v>
      </c>
      <c r="BU46">
        <f>(AW46-BI46)/$AB46+BI46</f>
        <v>0</v>
      </c>
      <c r="BV46">
        <f>(AX46-BJ46)/$AB46+BJ46</f>
        <v>0</v>
      </c>
      <c r="BW46">
        <f>(AY46-BK46)/$AB46+BK46</f>
        <v>0</v>
      </c>
      <c r="BX46">
        <f>(AZ46-BL46)/$AB46+BL46</f>
        <v>0</v>
      </c>
      <c r="BY46">
        <f>SUMPRODUCT((($AC$4:$AN$4=报损汇总一览!$A$3)+(报损汇总一览!$A$3="全年"))*AC46:AN46)</f>
        <v>147.2</v>
      </c>
      <c r="BZ46">
        <f>IF(BY46&gt;0,BY46+(1000-ROW())/10000000,"")</f>
        <v>147.2000954</v>
      </c>
      <c r="CA46">
        <f>SUMPRODUCT((($AC$4:$AN$4=报损汇总一览!$A$3)+(报损汇总一览!$A$3="全年"))*AO46:AZ46)</f>
        <v>46</v>
      </c>
    </row>
    <row r="47">
      <c r="A47">
        <f>IF(OR(存条明细!C47="",存条明细!D47=""),"",IF(COUNTIFS(存条明细!$C$4:C47,存条明细!C47,存条明细!$D$4:D47,存条明细!D47)&gt;1,"",IFERROR(MATCH(存条明细!C47,总览汇总!$B$5:$B$304,0),900)*10000000+IFERROR(MATCH(存条明细!D47,基础资料!$E$5:$E$104,0),900)*10000+ROW()))</f>
        <v>80010047</v>
      </c>
      <c r="B47">
        <f>IFERROR(MATCH(SMALL($A$4:$A$4003,44),$A$4:$A$4003,0),"")</f>
        <v>1080</v>
      </c>
      <c r="D47">
        <f>IF(AND(商品库存!B47&lt;&gt;"",商品库存!B47=客户查询!$B$4),COUNTIF(商品库存!$B$4:B47,客户查询!$B$4),"")</f>
      </c>
      <c r="E47">
        <f>IF(AND(商品库存!B47&lt;&gt;"",商品库存!B47=客户对账单!$B$4),COUNTIF(商品库存!$B$4:B47,客户对账单!$B$4),"")</f>
      </c>
      <c r="F47">
        <f>IF(AND(出库明细!C47&lt;&gt;"",出库明细!C47=客户对账单!$B$4,ISNUMBER(出库明细!B47),出库明细!B47&gt;=客户对账单!$G$4,出库明细!B47&lt;=客户对账单!$I$4),出库明细!B47+ROW()/100000,"")</f>
      </c>
      <c r="H47">
        <f>IF(AND(采购进货!C47&lt;&gt;"",采购进货!C47=供应商对账单!$B$4,ISNUMBER(采购进货!B47),采购进货!B47&gt;=供应商对账单!$G$4,采购进货!B47&lt;=供应商对账单!$I$4),采购进货!B47+ROW()/100000,"")</f>
      </c>
      <c r="J47">
        <f>IF(总览汇总!$B47="","",N(总览汇总!$K47)+SUMIFS(出库明细!$G$4:$G$3003,出库明细!$C$4:$C$3003,总览汇总!$B47,出库明细!$B$4:$B$3003,"&gt;="&amp;年初日,出库明细!$B$4:$B$3003,"&lt;="&amp;资产负债表!$D$3)-SUMIFS(资金台帐!$S$7:$S$3006,资金台帐!$J$7:$J$3006,总览汇总!$B47,资金台帐!$P$7:$P$3006,"应收",资金台帐!$B$7:$B$3006,"&gt;="&amp;年初日,资金台帐!$B$7:$B$3006,"&lt;="&amp;资产负债表!$D$3))</f>
        <v>845</v>
      </c>
      <c r="K47">
        <f>IF(基础资料!$Q47="","",N(基础资料!$R47)+SUMIFS(采购进货!$G$4:$G$1503,采购进货!$C$4:$C$1503,基础资料!$Q47,采购进货!$B$4:$B$1503,"&gt;="&amp;年初日,采购进货!$B$4:$B$1503,"&lt;="&amp;资产负债表!$D$3)+SUMIFS(资金台帐!$S$7:$S$3006,资金台帐!$K$7:$K$3006,基础资料!$Q47,资金台帐!$P$7:$P$3006,"应付",资金台帐!$B$7:$B$3006,"&gt;="&amp;年初日,资金台帐!$B$7:$B$3006,"&lt;="&amp;资产负债表!$D$3))</f>
      </c>
      <c r="N47">
        <f>IF(AND(ISNUMBER(出库明细!G47),ISNUMBER(出库明细!E47),ISNUMBER(出库明细!F47)),IF(ABS(出库明细!G47-出库明细!E47*出库明细!F47)&gt;0.005,1,0),0)</f>
        <v>0</v>
      </c>
      <c r="O47">
        <f>IF(AND(ISNUMBER(存条明细!G47),ISNUMBER(存条明细!E47),ISNUMBER(存条明细!F47)),IF(ABS(存条明细!G47-存条明细!E47*存条明细!F47)&gt;0.005,1,0),0)</f>
        <v>0</v>
      </c>
      <c r="AA47" t="str">
        <f>IF(基础资料!G46="","",基础资料!G46&amp;"")</f>
        <v>艾精隆500克多味</v>
      </c>
      <c r="AB47">
        <f>IF(N(基础资料!I46)&lt;=0,1,基础资料!I46)</f>
        <v>20</v>
      </c>
      <c r="AC47">
        <f>IF(OR($AA47="",AC$5=""),0,SUMIF(INDIRECT("'"&amp;AC$5&amp;"'!C6:C1000"),$AA47,INDIRECT("'"&amp;AC$5&amp;"'!H6:H1000")))</f>
        <v>0</v>
      </c>
      <c r="AD47">
        <f>IF(OR($AA47="",AD$5=""),0,SUMIF(INDIRECT("'"&amp;AD$5&amp;"'!C6:C1000"),$AA47,INDIRECT("'"&amp;AD$5&amp;"'!H6:H1000")))</f>
        <v>0</v>
      </c>
      <c r="AE47">
        <f>IF(OR($AA47="",AE$5=""),0,SUMIF(INDIRECT("'"&amp;AE$5&amp;"'!C6:C1000"),$AA47,INDIRECT("'"&amp;AE$5&amp;"'!H6:H1000")))</f>
        <v>0</v>
      </c>
      <c r="AF47">
        <f>IF(OR($AA47="",AF$5=""),0,SUMIF(INDIRECT("'"&amp;AF$5&amp;"'!C6:C1000"),$AA47,INDIRECT("'"&amp;AF$5&amp;"'!H6:H1000")))</f>
        <v>0</v>
      </c>
      <c r="AG47">
        <f>IF(OR($AA47="",AG$5=""),0,SUMIF(INDIRECT("'"&amp;AG$5&amp;"'!C6:C1000"),$AA47,INDIRECT("'"&amp;AG$5&amp;"'!H6:H1000")))</f>
        <v>0</v>
      </c>
      <c r="AH47">
        <f>IF(OR($AA47="",AH$5=""),0,SUMIF(INDIRECT("'"&amp;AH$5&amp;"'!C6:C1000"),$AA47,INDIRECT("'"&amp;AH$5&amp;"'!H6:H1000")))</f>
        <v>0</v>
      </c>
      <c r="AI47">
        <f>IF(OR($AA47="",AI$5=""),0,SUMIF(INDIRECT("'"&amp;AI$5&amp;"'!C6:C1000"),$AA47,INDIRECT("'"&amp;AI$5&amp;"'!H6:H1000")))</f>
        <v>0</v>
      </c>
      <c r="AJ47">
        <f>IF(OR($AA47="",AJ$5=""),0,SUMIF(INDIRECT("'"&amp;AJ$5&amp;"'!C6:C1000"),$AA47,INDIRECT("'"&amp;AJ$5&amp;"'!H6:H1000")))</f>
        <v>44</v>
      </c>
      <c r="AK47">
        <f>IF(OR($AA47="",AK$5=""),0,SUMIF(INDIRECT("'"&amp;AK$5&amp;"'!C6:C1000"),$AA47,INDIRECT("'"&amp;AK$5&amp;"'!H6:H1000")))</f>
        <v>0</v>
      </c>
      <c r="AL47">
        <f>IF(OR($AA47="",AL$5=""),0,SUMIF(INDIRECT("'"&amp;AL$5&amp;"'!C6:C1000"),$AA47,INDIRECT("'"&amp;AL$5&amp;"'!H6:H1000")))</f>
        <v>0</v>
      </c>
      <c r="AM47">
        <f>IF(OR($AA47="",AM$5=""),0,SUMIF(INDIRECT("'"&amp;AM$5&amp;"'!C6:C1000"),$AA47,INDIRECT("'"&amp;AM$5&amp;"'!H6:H1000")))</f>
        <v>0</v>
      </c>
      <c r="AN47">
        <f>IF(OR($AA47="",AN$5=""),0,SUMIF(INDIRECT("'"&amp;AN$5&amp;"'!C6:C1000"),$AA47,INDIRECT("'"&amp;AN$5&amp;"'!H6:H1000")))</f>
        <v>0</v>
      </c>
      <c r="AO47">
        <f>IF(OR($AA47="",AC$5=""),0,SUMIF(INDIRECT("'"&amp;AC$5&amp;"'!C6:C1000"),$AA47,INDIRECT("'"&amp;AC$5&amp;"'!E6:E1000")))</f>
        <v>0</v>
      </c>
      <c r="AP47">
        <f>IF(OR($AA47="",AD$5=""),0,SUMIF(INDIRECT("'"&amp;AD$5&amp;"'!C6:C1000"),$AA47,INDIRECT("'"&amp;AD$5&amp;"'!E6:E1000")))</f>
        <v>0</v>
      </c>
      <c r="AQ47">
        <f>IF(OR($AA47="",AE$5=""),0,SUMIF(INDIRECT("'"&amp;AE$5&amp;"'!C6:C1000"),$AA47,INDIRECT("'"&amp;AE$5&amp;"'!E6:E1000")))</f>
        <v>0</v>
      </c>
      <c r="AR47">
        <f>IF(OR($AA47="",AF$5=""),0,SUMIF(INDIRECT("'"&amp;AF$5&amp;"'!C6:C1000"),$AA47,INDIRECT("'"&amp;AF$5&amp;"'!E6:E1000")))</f>
        <v>0</v>
      </c>
      <c r="AS47">
        <f>IF(OR($AA47="",AG$5=""),0,SUMIF(INDIRECT("'"&amp;AG$5&amp;"'!C6:C1000"),$AA47,INDIRECT("'"&amp;AG$5&amp;"'!E6:E1000")))</f>
        <v>0</v>
      </c>
      <c r="AT47">
        <f>IF(OR($AA47="",AH$5=""),0,SUMIF(INDIRECT("'"&amp;AH$5&amp;"'!C6:C1000"),$AA47,INDIRECT("'"&amp;AH$5&amp;"'!E6:E1000")))</f>
        <v>0</v>
      </c>
      <c r="AU47">
        <f>IF(OR($AA47="",AI$5=""),0,SUMIF(INDIRECT("'"&amp;AI$5&amp;"'!C6:C1000"),$AA47,INDIRECT("'"&amp;AI$5&amp;"'!E6:E1000")))</f>
        <v>0</v>
      </c>
      <c r="AV47">
        <f>IF(OR($AA47="",AJ$5=""),0,SUMIF(INDIRECT("'"&amp;AJ$5&amp;"'!C6:C1000"),$AA47,INDIRECT("'"&amp;AJ$5&amp;"'!E6:E1000")))</f>
        <v>4</v>
      </c>
      <c r="AW47">
        <f>IF(OR($AA47="",AK$5=""),0,SUMIF(INDIRECT("'"&amp;AK$5&amp;"'!C6:C1000"),$AA47,INDIRECT("'"&amp;AK$5&amp;"'!E6:E1000")))</f>
        <v>0</v>
      </c>
      <c r="AX47">
        <f>IF(OR($AA47="",AL$5=""),0,SUMIF(INDIRECT("'"&amp;AL$5&amp;"'!C6:C1000"),$AA47,INDIRECT("'"&amp;AL$5&amp;"'!E6:E1000")))</f>
        <v>0</v>
      </c>
      <c r="AY47">
        <f>IF(OR($AA47="",AM$5=""),0,SUMIF(INDIRECT("'"&amp;AM$5&amp;"'!C6:C1000"),$AA47,INDIRECT("'"&amp;AM$5&amp;"'!E6:E1000")))</f>
        <v>0</v>
      </c>
      <c r="AZ47">
        <f>IF(OR($AA47="",AN$5=""),0,SUMIF(INDIRECT("'"&amp;AN$5&amp;"'!C6:C1000"),$AA47,INDIRECT("'"&amp;AN$5&amp;"'!E6:E1000")))</f>
        <v>0</v>
      </c>
      <c r="BA47">
        <f>IF(OR($AA47="",AC$5=""),0,SUMIFS(INDIRECT("'"&amp;AC$5&amp;"'!E6:E1000"),INDIRECT("'"&amp;AC$5&amp;"'!C6:C1000"),$AA47,INDIRECT("'"&amp;AC$5&amp;"'!F6:F1000"),"箱")+SUMIFS(INDIRECT("'"&amp;AC$5&amp;"'!E6:E1000"),INDIRECT("'"&amp;AC$5&amp;"'!C6:C1000"),$AA47,INDIRECT("'"&amp;AC$5&amp;"'!F6:F1000"),"件"))</f>
        <v>0</v>
      </c>
      <c r="BB47">
        <f>IF(OR($AA47="",AD$5=""),0,SUMIFS(INDIRECT("'"&amp;AD$5&amp;"'!E6:E1000"),INDIRECT("'"&amp;AD$5&amp;"'!C6:C1000"),$AA47,INDIRECT("'"&amp;AD$5&amp;"'!F6:F1000"),"箱")+SUMIFS(INDIRECT("'"&amp;AD$5&amp;"'!E6:E1000"),INDIRECT("'"&amp;AD$5&amp;"'!C6:C1000"),$AA47,INDIRECT("'"&amp;AD$5&amp;"'!F6:F1000"),"件"))</f>
        <v>0</v>
      </c>
      <c r="BC47">
        <f>IF(OR($AA47="",AE$5=""),0,SUMIFS(INDIRECT("'"&amp;AE$5&amp;"'!E6:E1000"),INDIRECT("'"&amp;AE$5&amp;"'!C6:C1000"),$AA47,INDIRECT("'"&amp;AE$5&amp;"'!F6:F1000"),"箱")+SUMIFS(INDIRECT("'"&amp;AE$5&amp;"'!E6:E1000"),INDIRECT("'"&amp;AE$5&amp;"'!C6:C1000"),$AA47,INDIRECT("'"&amp;AE$5&amp;"'!F6:F1000"),"件"))</f>
        <v>0</v>
      </c>
      <c r="BD47">
        <f>IF(OR($AA47="",AF$5=""),0,SUMIFS(INDIRECT("'"&amp;AF$5&amp;"'!E6:E1000"),INDIRECT("'"&amp;AF$5&amp;"'!C6:C1000"),$AA47,INDIRECT("'"&amp;AF$5&amp;"'!F6:F1000"),"箱")+SUMIFS(INDIRECT("'"&amp;AF$5&amp;"'!E6:E1000"),INDIRECT("'"&amp;AF$5&amp;"'!C6:C1000"),$AA47,INDIRECT("'"&amp;AF$5&amp;"'!F6:F1000"),"件"))</f>
        <v>0</v>
      </c>
      <c r="BE47">
        <f>IF(OR($AA47="",AG$5=""),0,SUMIFS(INDIRECT("'"&amp;AG$5&amp;"'!E6:E1000"),INDIRECT("'"&amp;AG$5&amp;"'!C6:C1000"),$AA47,INDIRECT("'"&amp;AG$5&amp;"'!F6:F1000"),"箱")+SUMIFS(INDIRECT("'"&amp;AG$5&amp;"'!E6:E1000"),INDIRECT("'"&amp;AG$5&amp;"'!C6:C1000"),$AA47,INDIRECT("'"&amp;AG$5&amp;"'!F6:F1000"),"件"))</f>
        <v>0</v>
      </c>
      <c r="BF47">
        <f>IF(OR($AA47="",AH$5=""),0,SUMIFS(INDIRECT("'"&amp;AH$5&amp;"'!E6:E1000"),INDIRECT("'"&amp;AH$5&amp;"'!C6:C1000"),$AA47,INDIRECT("'"&amp;AH$5&amp;"'!F6:F1000"),"箱")+SUMIFS(INDIRECT("'"&amp;AH$5&amp;"'!E6:E1000"),INDIRECT("'"&amp;AH$5&amp;"'!C6:C1000"),$AA47,INDIRECT("'"&amp;AH$5&amp;"'!F6:F1000"),"件"))</f>
        <v>0</v>
      </c>
      <c r="BG47">
        <f>IF(OR($AA47="",AI$5=""),0,SUMIFS(INDIRECT("'"&amp;AI$5&amp;"'!E6:E1000"),INDIRECT("'"&amp;AI$5&amp;"'!C6:C1000"),$AA47,INDIRECT("'"&amp;AI$5&amp;"'!F6:F1000"),"箱")+SUMIFS(INDIRECT("'"&amp;AI$5&amp;"'!E6:E1000"),INDIRECT("'"&amp;AI$5&amp;"'!C6:C1000"),$AA47,INDIRECT("'"&amp;AI$5&amp;"'!F6:F1000"),"件"))</f>
        <v>0</v>
      </c>
      <c r="BH47">
        <f>IF(OR($AA47="",AJ$5=""),0,SUMIFS(INDIRECT("'"&amp;AJ$5&amp;"'!E6:E1000"),INDIRECT("'"&amp;AJ$5&amp;"'!C6:C1000"),$AA47,INDIRECT("'"&amp;AJ$5&amp;"'!F6:F1000"),"箱")+SUMIFS(INDIRECT("'"&amp;AJ$5&amp;"'!E6:E1000"),INDIRECT("'"&amp;AJ$5&amp;"'!C6:C1000"),$AA47,INDIRECT("'"&amp;AJ$5&amp;"'!F6:F1000"),"件"))</f>
        <v>0</v>
      </c>
      <c r="BI47">
        <f>IF(OR($AA47="",AK$5=""),0,SUMIFS(INDIRECT("'"&amp;AK$5&amp;"'!E6:E1000"),INDIRECT("'"&amp;AK$5&amp;"'!C6:C1000"),$AA47,INDIRECT("'"&amp;AK$5&amp;"'!F6:F1000"),"箱")+SUMIFS(INDIRECT("'"&amp;AK$5&amp;"'!E6:E1000"),INDIRECT("'"&amp;AK$5&amp;"'!C6:C1000"),$AA47,INDIRECT("'"&amp;AK$5&amp;"'!F6:F1000"),"件"))</f>
        <v>0</v>
      </c>
      <c r="BJ47">
        <f>IF(OR($AA47="",AL$5=""),0,SUMIFS(INDIRECT("'"&amp;AL$5&amp;"'!E6:E1000"),INDIRECT("'"&amp;AL$5&amp;"'!C6:C1000"),$AA47,INDIRECT("'"&amp;AL$5&amp;"'!F6:F1000"),"箱")+SUMIFS(INDIRECT("'"&amp;AL$5&amp;"'!E6:E1000"),INDIRECT("'"&amp;AL$5&amp;"'!C6:C1000"),$AA47,INDIRECT("'"&amp;AL$5&amp;"'!F6:F1000"),"件"))</f>
        <v>0</v>
      </c>
      <c r="BK47">
        <f>IF(OR($AA47="",AM$5=""),0,SUMIFS(INDIRECT("'"&amp;AM$5&amp;"'!E6:E1000"),INDIRECT("'"&amp;AM$5&amp;"'!C6:C1000"),$AA47,INDIRECT("'"&amp;AM$5&amp;"'!F6:F1000"),"箱")+SUMIFS(INDIRECT("'"&amp;AM$5&amp;"'!E6:E1000"),INDIRECT("'"&amp;AM$5&amp;"'!C6:C1000"),$AA47,INDIRECT("'"&amp;AM$5&amp;"'!F6:F1000"),"件"))</f>
        <v>0</v>
      </c>
      <c r="BL47">
        <f>IF(OR($AA47="",AN$5=""),0,SUMIFS(INDIRECT("'"&amp;AN$5&amp;"'!E6:E1000"),INDIRECT("'"&amp;AN$5&amp;"'!C6:C1000"),$AA47,INDIRECT("'"&amp;AN$5&amp;"'!F6:F1000"),"箱")+SUMIFS(INDIRECT("'"&amp;AN$5&amp;"'!E6:E1000"),INDIRECT("'"&amp;AN$5&amp;"'!C6:C1000"),$AA47,INDIRECT("'"&amp;AN$5&amp;"'!F6:F1000"),"件"))</f>
        <v>0</v>
      </c>
      <c r="BM47">
        <f>(AO47-BA47)/$AB47+BA47</f>
        <v>0</v>
      </c>
      <c r="BN47">
        <f>(AP47-BB47)/$AB47+BB47</f>
        <v>0</v>
      </c>
      <c r="BO47">
        <f>(AQ47-BC47)/$AB47+BC47</f>
        <v>0</v>
      </c>
      <c r="BP47">
        <f>(AR47-BD47)/$AB47+BD47</f>
        <v>0</v>
      </c>
      <c r="BQ47">
        <f>(AS47-BE47)/$AB47+BE47</f>
        <v>0</v>
      </c>
      <c r="BR47">
        <f>(AT47-BF47)/$AB47+BF47</f>
        <v>0</v>
      </c>
      <c r="BS47">
        <f>(AU47-BG47)/$AB47+BG47</f>
        <v>0</v>
      </c>
      <c r="BT47">
        <f>(AV47-BH47)/$AB47+BH47</f>
        <v>0.2</v>
      </c>
      <c r="BU47">
        <f>(AW47-BI47)/$AB47+BI47</f>
        <v>0</v>
      </c>
      <c r="BV47">
        <f>(AX47-BJ47)/$AB47+BJ47</f>
        <v>0</v>
      </c>
      <c r="BW47">
        <f>(AY47-BK47)/$AB47+BK47</f>
        <v>0</v>
      </c>
      <c r="BX47">
        <f>(AZ47-BL47)/$AB47+BL47</f>
        <v>0</v>
      </c>
      <c r="BY47">
        <f>SUMPRODUCT((($AC$4:$AN$4=报损汇总一览!$A$3)+(报损汇总一览!$A$3="全年"))*AC47:AN47)</f>
        <v>44</v>
      </c>
      <c r="BZ47">
        <f>IF(BY47&gt;0,BY47+(1000-ROW())/10000000,"")</f>
        <v>44.0000953</v>
      </c>
      <c r="CA47">
        <f>SUMPRODUCT((($AC$4:$AN$4=报损汇总一览!$A$3)+(报损汇总一览!$A$3="全年"))*AO47:AZ47)</f>
        <v>4</v>
      </c>
    </row>
    <row r="48">
      <c r="A48">
        <f>IF(OR(存条明细!C48="",存条明细!D48=""),"",IF(COUNTIFS(存条明细!$C$4:C48,存条明细!C48,存条明细!$D$4:D48,存条明细!D48)&gt;1,"",IFERROR(MATCH(存条明细!C48,总览汇总!$B$5:$B$304,0),900)*10000000+IFERROR(MATCH(存条明细!D48,基础资料!$E$5:$E$104,0),900)*10000+ROW()))</f>
        <v>90010048</v>
      </c>
      <c r="B48">
        <f>IFERROR(MATCH(SMALL($A$4:$A$4003,45),$A$4:$A$4003,0),"")</f>
        <v>1259</v>
      </c>
      <c r="D48">
        <f>IF(AND(商品库存!B48&lt;&gt;"",商品库存!B48=客户查询!$B$4),COUNTIF(商品库存!$B$4:B48,客户查询!$B$4),"")</f>
      </c>
      <c r="E48">
        <f>IF(AND(商品库存!B48&lt;&gt;"",商品库存!B48=客户对账单!$B$4),COUNTIF(商品库存!$B$4:B48,客户对账单!$B$4),"")</f>
      </c>
      <c r="F48">
        <f>IF(AND(出库明细!C48&lt;&gt;"",出库明细!C48=客户对账单!$B$4,ISNUMBER(出库明细!B48),出库明细!B48&gt;=客户对账单!$G$4,出库明细!B48&lt;=客户对账单!$I$4),出库明细!B48+ROW()/100000,"")</f>
      </c>
      <c r="H48">
        <f>IF(AND(采购进货!C48&lt;&gt;"",采购进货!C48=供应商对账单!$B$4,ISNUMBER(采购进货!B48),采购进货!B48&gt;=供应商对账单!$G$4,采购进货!B48&lt;=供应商对账单!$I$4),采购进货!B48+ROW()/100000,"")</f>
      </c>
      <c r="J48">
        <f>IF(总览汇总!$B48="","",N(总览汇总!$K48)+SUMIFS(出库明细!$G$4:$G$3003,出库明细!$C$4:$C$3003,总览汇总!$B48,出库明细!$B$4:$B$3003,"&gt;="&amp;年初日,出库明细!$B$4:$B$3003,"&lt;="&amp;资产负债表!$D$3)-SUMIFS(资金台帐!$S$7:$S$3006,资金台帐!$J$7:$J$3006,总览汇总!$B48,资金台帐!$P$7:$P$3006,"应收",资金台帐!$B$7:$B$3006,"&gt;="&amp;年初日,资金台帐!$B$7:$B$3006,"&lt;="&amp;资产负债表!$D$3))</f>
        <v>0</v>
      </c>
      <c r="K48">
        <f>IF(基础资料!$Q48="","",N(基础资料!$R48)+SUMIFS(采购进货!$G$4:$G$1503,采购进货!$C$4:$C$1503,基础资料!$Q48,采购进货!$B$4:$B$1503,"&gt;="&amp;年初日,采购进货!$B$4:$B$1503,"&lt;="&amp;资产负债表!$D$3)+SUMIFS(资金台帐!$S$7:$S$3006,资金台帐!$K$7:$K$3006,基础资料!$Q48,资金台帐!$P$7:$P$3006,"应付",资金台帐!$B$7:$B$3006,"&gt;="&amp;年初日,资金台帐!$B$7:$B$3006,"&lt;="&amp;资产负债表!$D$3))</f>
      </c>
      <c r="N48">
        <f>IF(AND(ISNUMBER(出库明细!G48),ISNUMBER(出库明细!E48),ISNUMBER(出库明细!F48)),IF(ABS(出库明细!G48-出库明细!E48*出库明细!F48)&gt;0.005,1,0),0)</f>
        <v>0</v>
      </c>
      <c r="O48">
        <f>IF(AND(ISNUMBER(存条明细!G48),ISNUMBER(存条明细!E48),ISNUMBER(存条明细!F48)),IF(ABS(存条明细!G48-存条明细!E48*存条明细!F48)&gt;0.005,1,0),0)</f>
        <v>1</v>
      </c>
      <c r="AA48" t="str">
        <f>IF(基础资料!G47="","",基础资料!G47&amp;"")</f>
        <v>艾精隆110克瓜子</v>
      </c>
      <c r="AB48">
        <f>IF(N(基础资料!I47)&lt;=0,1,基础资料!I47)</f>
        <v>40</v>
      </c>
      <c r="AC48">
        <f>IF(OR($AA48="",AC$5=""),0,SUMIF(INDIRECT("'"&amp;AC$5&amp;"'!C6:C1000"),$AA48,INDIRECT("'"&amp;AC$5&amp;"'!H6:H1000")))</f>
        <v>0</v>
      </c>
      <c r="AD48">
        <f>IF(OR($AA48="",AD$5=""),0,SUMIF(INDIRECT("'"&amp;AD$5&amp;"'!C6:C1000"),$AA48,INDIRECT("'"&amp;AD$5&amp;"'!H6:H1000")))</f>
        <v>0</v>
      </c>
      <c r="AE48">
        <f>IF(OR($AA48="",AE$5=""),0,SUMIF(INDIRECT("'"&amp;AE$5&amp;"'!C6:C1000"),$AA48,INDIRECT("'"&amp;AE$5&amp;"'!H6:H1000")))</f>
        <v>0</v>
      </c>
      <c r="AF48">
        <f>IF(OR($AA48="",AF$5=""),0,SUMIF(INDIRECT("'"&amp;AF$5&amp;"'!C6:C1000"),$AA48,INDIRECT("'"&amp;AF$5&amp;"'!H6:H1000")))</f>
        <v>0</v>
      </c>
      <c r="AG48">
        <f>IF(OR($AA48="",AG$5=""),0,SUMIF(INDIRECT("'"&amp;AG$5&amp;"'!C6:C1000"),$AA48,INDIRECT("'"&amp;AG$5&amp;"'!H6:H1000")))</f>
        <v>0</v>
      </c>
      <c r="AH48">
        <f>IF(OR($AA48="",AH$5=""),0,SUMIF(INDIRECT("'"&amp;AH$5&amp;"'!C6:C1000"),$AA48,INDIRECT("'"&amp;AH$5&amp;"'!H6:H1000")))</f>
        <v>0</v>
      </c>
      <c r="AI48">
        <f>IF(OR($AA48="",AI$5=""),0,SUMIF(INDIRECT("'"&amp;AI$5&amp;"'!C6:C1000"),$AA48,INDIRECT("'"&amp;AI$5&amp;"'!H6:H1000")))</f>
        <v>0</v>
      </c>
      <c r="AJ48">
        <f>IF(OR($AA48="",AJ$5=""),0,SUMIF(INDIRECT("'"&amp;AJ$5&amp;"'!C6:C1000"),$AA48,INDIRECT("'"&amp;AJ$5&amp;"'!H6:H1000")))</f>
        <v>396.8</v>
      </c>
      <c r="AK48">
        <f>IF(OR($AA48="",AK$5=""),0,SUMIF(INDIRECT("'"&amp;AK$5&amp;"'!C6:C1000"),$AA48,INDIRECT("'"&amp;AK$5&amp;"'!H6:H1000")))</f>
        <v>0</v>
      </c>
      <c r="AL48">
        <f>IF(OR($AA48="",AL$5=""),0,SUMIF(INDIRECT("'"&amp;AL$5&amp;"'!C6:C1000"),$AA48,INDIRECT("'"&amp;AL$5&amp;"'!H6:H1000")))</f>
        <v>0</v>
      </c>
      <c r="AM48">
        <f>IF(OR($AA48="",AM$5=""),0,SUMIF(INDIRECT("'"&amp;AM$5&amp;"'!C6:C1000"),$AA48,INDIRECT("'"&amp;AM$5&amp;"'!H6:H1000")))</f>
        <v>0</v>
      </c>
      <c r="AN48">
        <f>IF(OR($AA48="",AN$5=""),0,SUMIF(INDIRECT("'"&amp;AN$5&amp;"'!C6:C1000"),$AA48,INDIRECT("'"&amp;AN$5&amp;"'!H6:H1000")))</f>
        <v>0</v>
      </c>
      <c r="AO48">
        <f>IF(OR($AA48="",AC$5=""),0,SUMIF(INDIRECT("'"&amp;AC$5&amp;"'!C6:C1000"),$AA48,INDIRECT("'"&amp;AC$5&amp;"'!E6:E1000")))</f>
        <v>0</v>
      </c>
      <c r="AP48">
        <f>IF(OR($AA48="",AD$5=""),0,SUMIF(INDIRECT("'"&amp;AD$5&amp;"'!C6:C1000"),$AA48,INDIRECT("'"&amp;AD$5&amp;"'!E6:E1000")))</f>
        <v>0</v>
      </c>
      <c r="AQ48">
        <f>IF(OR($AA48="",AE$5=""),0,SUMIF(INDIRECT("'"&amp;AE$5&amp;"'!C6:C1000"),$AA48,INDIRECT("'"&amp;AE$5&amp;"'!E6:E1000")))</f>
        <v>0</v>
      </c>
      <c r="AR48">
        <f>IF(OR($AA48="",AF$5=""),0,SUMIF(INDIRECT("'"&amp;AF$5&amp;"'!C6:C1000"),$AA48,INDIRECT("'"&amp;AF$5&amp;"'!E6:E1000")))</f>
        <v>0</v>
      </c>
      <c r="AS48">
        <f>IF(OR($AA48="",AG$5=""),0,SUMIF(INDIRECT("'"&amp;AG$5&amp;"'!C6:C1000"),$AA48,INDIRECT("'"&amp;AG$5&amp;"'!E6:E1000")))</f>
        <v>0</v>
      </c>
      <c r="AT48">
        <f>IF(OR($AA48="",AH$5=""),0,SUMIF(INDIRECT("'"&amp;AH$5&amp;"'!C6:C1000"),$AA48,INDIRECT("'"&amp;AH$5&amp;"'!E6:E1000")))</f>
        <v>0</v>
      </c>
      <c r="AU48">
        <f>IF(OR($AA48="",AI$5=""),0,SUMIF(INDIRECT("'"&amp;AI$5&amp;"'!C6:C1000"),$AA48,INDIRECT("'"&amp;AI$5&amp;"'!E6:E1000")))</f>
        <v>0</v>
      </c>
      <c r="AV48">
        <f>IF(OR($AA48="",AJ$5=""),0,SUMIF(INDIRECT("'"&amp;AJ$5&amp;"'!C6:C1000"),$AA48,INDIRECT("'"&amp;AJ$5&amp;"'!E6:E1000")))</f>
        <v>124</v>
      </c>
      <c r="AW48">
        <f>IF(OR($AA48="",AK$5=""),0,SUMIF(INDIRECT("'"&amp;AK$5&amp;"'!C6:C1000"),$AA48,INDIRECT("'"&amp;AK$5&amp;"'!E6:E1000")))</f>
        <v>0</v>
      </c>
      <c r="AX48">
        <f>IF(OR($AA48="",AL$5=""),0,SUMIF(INDIRECT("'"&amp;AL$5&amp;"'!C6:C1000"),$AA48,INDIRECT("'"&amp;AL$5&amp;"'!E6:E1000")))</f>
        <v>0</v>
      </c>
      <c r="AY48">
        <f>IF(OR($AA48="",AM$5=""),0,SUMIF(INDIRECT("'"&amp;AM$5&amp;"'!C6:C1000"),$AA48,INDIRECT("'"&amp;AM$5&amp;"'!E6:E1000")))</f>
        <v>0</v>
      </c>
      <c r="AZ48">
        <f>IF(OR($AA48="",AN$5=""),0,SUMIF(INDIRECT("'"&amp;AN$5&amp;"'!C6:C1000"),$AA48,INDIRECT("'"&amp;AN$5&amp;"'!E6:E1000")))</f>
        <v>0</v>
      </c>
      <c r="BA48">
        <f>IF(OR($AA48="",AC$5=""),0,SUMIFS(INDIRECT("'"&amp;AC$5&amp;"'!E6:E1000"),INDIRECT("'"&amp;AC$5&amp;"'!C6:C1000"),$AA48,INDIRECT("'"&amp;AC$5&amp;"'!F6:F1000"),"箱")+SUMIFS(INDIRECT("'"&amp;AC$5&amp;"'!E6:E1000"),INDIRECT("'"&amp;AC$5&amp;"'!C6:C1000"),$AA48,INDIRECT("'"&amp;AC$5&amp;"'!F6:F1000"),"件"))</f>
        <v>0</v>
      </c>
      <c r="BB48">
        <f>IF(OR($AA48="",AD$5=""),0,SUMIFS(INDIRECT("'"&amp;AD$5&amp;"'!E6:E1000"),INDIRECT("'"&amp;AD$5&amp;"'!C6:C1000"),$AA48,INDIRECT("'"&amp;AD$5&amp;"'!F6:F1000"),"箱")+SUMIFS(INDIRECT("'"&amp;AD$5&amp;"'!E6:E1000"),INDIRECT("'"&amp;AD$5&amp;"'!C6:C1000"),$AA48,INDIRECT("'"&amp;AD$5&amp;"'!F6:F1000"),"件"))</f>
        <v>0</v>
      </c>
      <c r="BC48">
        <f>IF(OR($AA48="",AE$5=""),0,SUMIFS(INDIRECT("'"&amp;AE$5&amp;"'!E6:E1000"),INDIRECT("'"&amp;AE$5&amp;"'!C6:C1000"),$AA48,INDIRECT("'"&amp;AE$5&amp;"'!F6:F1000"),"箱")+SUMIFS(INDIRECT("'"&amp;AE$5&amp;"'!E6:E1000"),INDIRECT("'"&amp;AE$5&amp;"'!C6:C1000"),$AA48,INDIRECT("'"&amp;AE$5&amp;"'!F6:F1000"),"件"))</f>
        <v>0</v>
      </c>
      <c r="BD48">
        <f>IF(OR($AA48="",AF$5=""),0,SUMIFS(INDIRECT("'"&amp;AF$5&amp;"'!E6:E1000"),INDIRECT("'"&amp;AF$5&amp;"'!C6:C1000"),$AA48,INDIRECT("'"&amp;AF$5&amp;"'!F6:F1000"),"箱")+SUMIFS(INDIRECT("'"&amp;AF$5&amp;"'!E6:E1000"),INDIRECT("'"&amp;AF$5&amp;"'!C6:C1000"),$AA48,INDIRECT("'"&amp;AF$5&amp;"'!F6:F1000"),"件"))</f>
        <v>0</v>
      </c>
      <c r="BE48">
        <f>IF(OR($AA48="",AG$5=""),0,SUMIFS(INDIRECT("'"&amp;AG$5&amp;"'!E6:E1000"),INDIRECT("'"&amp;AG$5&amp;"'!C6:C1000"),$AA48,INDIRECT("'"&amp;AG$5&amp;"'!F6:F1000"),"箱")+SUMIFS(INDIRECT("'"&amp;AG$5&amp;"'!E6:E1000"),INDIRECT("'"&amp;AG$5&amp;"'!C6:C1000"),$AA48,INDIRECT("'"&amp;AG$5&amp;"'!F6:F1000"),"件"))</f>
        <v>0</v>
      </c>
      <c r="BF48">
        <f>IF(OR($AA48="",AH$5=""),0,SUMIFS(INDIRECT("'"&amp;AH$5&amp;"'!E6:E1000"),INDIRECT("'"&amp;AH$5&amp;"'!C6:C1000"),$AA48,INDIRECT("'"&amp;AH$5&amp;"'!F6:F1000"),"箱")+SUMIFS(INDIRECT("'"&amp;AH$5&amp;"'!E6:E1000"),INDIRECT("'"&amp;AH$5&amp;"'!C6:C1000"),$AA48,INDIRECT("'"&amp;AH$5&amp;"'!F6:F1000"),"件"))</f>
        <v>0</v>
      </c>
      <c r="BG48">
        <f>IF(OR($AA48="",AI$5=""),0,SUMIFS(INDIRECT("'"&amp;AI$5&amp;"'!E6:E1000"),INDIRECT("'"&amp;AI$5&amp;"'!C6:C1000"),$AA48,INDIRECT("'"&amp;AI$5&amp;"'!F6:F1000"),"箱")+SUMIFS(INDIRECT("'"&amp;AI$5&amp;"'!E6:E1000"),INDIRECT("'"&amp;AI$5&amp;"'!C6:C1000"),$AA48,INDIRECT("'"&amp;AI$5&amp;"'!F6:F1000"),"件"))</f>
        <v>0</v>
      </c>
      <c r="BH48">
        <f>IF(OR($AA48="",AJ$5=""),0,SUMIFS(INDIRECT("'"&amp;AJ$5&amp;"'!E6:E1000"),INDIRECT("'"&amp;AJ$5&amp;"'!C6:C1000"),$AA48,INDIRECT("'"&amp;AJ$5&amp;"'!F6:F1000"),"箱")+SUMIFS(INDIRECT("'"&amp;AJ$5&amp;"'!E6:E1000"),INDIRECT("'"&amp;AJ$5&amp;"'!C6:C1000"),$AA48,INDIRECT("'"&amp;AJ$5&amp;"'!F6:F1000"),"件"))</f>
        <v>0</v>
      </c>
      <c r="BI48">
        <f>IF(OR($AA48="",AK$5=""),0,SUMIFS(INDIRECT("'"&amp;AK$5&amp;"'!E6:E1000"),INDIRECT("'"&amp;AK$5&amp;"'!C6:C1000"),$AA48,INDIRECT("'"&amp;AK$5&amp;"'!F6:F1000"),"箱")+SUMIFS(INDIRECT("'"&amp;AK$5&amp;"'!E6:E1000"),INDIRECT("'"&amp;AK$5&amp;"'!C6:C1000"),$AA48,INDIRECT("'"&amp;AK$5&amp;"'!F6:F1000"),"件"))</f>
        <v>0</v>
      </c>
      <c r="BJ48">
        <f>IF(OR($AA48="",AL$5=""),0,SUMIFS(INDIRECT("'"&amp;AL$5&amp;"'!E6:E1000"),INDIRECT("'"&amp;AL$5&amp;"'!C6:C1000"),$AA48,INDIRECT("'"&amp;AL$5&amp;"'!F6:F1000"),"箱")+SUMIFS(INDIRECT("'"&amp;AL$5&amp;"'!E6:E1000"),INDIRECT("'"&amp;AL$5&amp;"'!C6:C1000"),$AA48,INDIRECT("'"&amp;AL$5&amp;"'!F6:F1000"),"件"))</f>
        <v>0</v>
      </c>
      <c r="BK48">
        <f>IF(OR($AA48="",AM$5=""),0,SUMIFS(INDIRECT("'"&amp;AM$5&amp;"'!E6:E1000"),INDIRECT("'"&amp;AM$5&amp;"'!C6:C1000"),$AA48,INDIRECT("'"&amp;AM$5&amp;"'!F6:F1000"),"箱")+SUMIFS(INDIRECT("'"&amp;AM$5&amp;"'!E6:E1000"),INDIRECT("'"&amp;AM$5&amp;"'!C6:C1000"),$AA48,INDIRECT("'"&amp;AM$5&amp;"'!F6:F1000"),"件"))</f>
        <v>0</v>
      </c>
      <c r="BL48">
        <f>IF(OR($AA48="",AN$5=""),0,SUMIFS(INDIRECT("'"&amp;AN$5&amp;"'!E6:E1000"),INDIRECT("'"&amp;AN$5&amp;"'!C6:C1000"),$AA48,INDIRECT("'"&amp;AN$5&amp;"'!F6:F1000"),"箱")+SUMIFS(INDIRECT("'"&amp;AN$5&amp;"'!E6:E1000"),INDIRECT("'"&amp;AN$5&amp;"'!C6:C1000"),$AA48,INDIRECT("'"&amp;AN$5&amp;"'!F6:F1000"),"件"))</f>
        <v>0</v>
      </c>
      <c r="BM48">
        <f>(AO48-BA48)/$AB48+BA48</f>
        <v>0</v>
      </c>
      <c r="BN48">
        <f>(AP48-BB48)/$AB48+BB48</f>
        <v>0</v>
      </c>
      <c r="BO48">
        <f>(AQ48-BC48)/$AB48+BC48</f>
        <v>0</v>
      </c>
      <c r="BP48">
        <f>(AR48-BD48)/$AB48+BD48</f>
        <v>0</v>
      </c>
      <c r="BQ48">
        <f>(AS48-BE48)/$AB48+BE48</f>
        <v>0</v>
      </c>
      <c r="BR48">
        <f>(AT48-BF48)/$AB48+BF48</f>
        <v>0</v>
      </c>
      <c r="BS48">
        <f>(AU48-BG48)/$AB48+BG48</f>
        <v>0</v>
      </c>
      <c r="BT48">
        <f>(AV48-BH48)/$AB48+BH48</f>
        <v>3.1</v>
      </c>
      <c r="BU48">
        <f>(AW48-BI48)/$AB48+BI48</f>
        <v>0</v>
      </c>
      <c r="BV48">
        <f>(AX48-BJ48)/$AB48+BJ48</f>
        <v>0</v>
      </c>
      <c r="BW48">
        <f>(AY48-BK48)/$AB48+BK48</f>
        <v>0</v>
      </c>
      <c r="BX48">
        <f>(AZ48-BL48)/$AB48+BL48</f>
        <v>0</v>
      </c>
      <c r="BY48">
        <f>SUMPRODUCT((($AC$4:$AN$4=报损汇总一览!$A$3)+(报损汇总一览!$A$3="全年"))*AC48:AN48)</f>
        <v>396.8</v>
      </c>
      <c r="BZ48">
        <f>IF(BY48&gt;0,BY48+(1000-ROW())/10000000,"")</f>
        <v>396.8000952</v>
      </c>
      <c r="CA48">
        <f>SUMPRODUCT((($AC$4:$AN$4=报损汇总一览!$A$3)+(报损汇总一览!$A$3="全年"))*AO48:AZ48)</f>
        <v>124</v>
      </c>
    </row>
    <row r="49">
      <c r="A49">
        <f>IF(OR(存条明细!C49="",存条明细!D49=""),"",IF(COUNTIFS(存条明细!$C$4:C49,存条明细!C49,存条明细!$D$4:D49,存条明细!D49)&gt;1,"",IFERROR(MATCH(存条明细!C49,总览汇总!$B$5:$B$304,0),900)*10000000+IFERROR(MATCH(存条明细!D49,基础资料!$E$5:$E$104,0),900)*10000+ROW()))</f>
        <v>90030049</v>
      </c>
      <c r="B49">
        <f>IFERROR(MATCH(SMALL($A$4:$A$4003,46),$A$4:$A$4003,0),"")</f>
        <v>31</v>
      </c>
      <c r="D49">
        <f>IF(AND(商品库存!B49&lt;&gt;"",商品库存!B49=客户查询!$B$4),COUNTIF(商品库存!$B$4:B49,客户查询!$B$4),"")</f>
      </c>
      <c r="E49">
        <f>IF(AND(商品库存!B49&lt;&gt;"",商品库存!B49=客户对账单!$B$4),COUNTIF(商品库存!$B$4:B49,客户对账单!$B$4),"")</f>
      </c>
      <c r="F49">
        <f>IF(AND(出库明细!C49&lt;&gt;"",出库明细!C49=客户对账单!$B$4,ISNUMBER(出库明细!B49),出库明细!B49&gt;=客户对账单!$G$4,出库明细!B49&lt;=客户对账单!$I$4),出库明细!B49+ROW()/100000,"")</f>
      </c>
      <c r="H49">
        <f>IF(AND(采购进货!C49&lt;&gt;"",采购进货!C49=供应商对账单!$B$4,ISNUMBER(采购进货!B49),采购进货!B49&gt;=供应商对账单!$G$4,采购进货!B49&lt;=供应商对账单!$I$4),采购进货!B49+ROW()/100000,"")</f>
      </c>
      <c r="J49">
        <f>IF(总览汇总!$B49="","",N(总览汇总!$K49)+SUMIFS(出库明细!$G$4:$G$3003,出库明细!$C$4:$C$3003,总览汇总!$B49,出库明细!$B$4:$B$3003,"&gt;="&amp;年初日,出库明细!$B$4:$B$3003,"&lt;="&amp;资产负债表!$D$3)-SUMIFS(资金台帐!$S$7:$S$3006,资金台帐!$J$7:$J$3006,总览汇总!$B49,资金台帐!$P$7:$P$3006,"应收",资金台帐!$B$7:$B$3006,"&gt;="&amp;年初日,资金台帐!$B$7:$B$3006,"&lt;="&amp;资产负债表!$D$3))</f>
        <v>720</v>
      </c>
      <c r="K49">
        <f>IF(基础资料!$Q49="","",N(基础资料!$R49)+SUMIFS(采购进货!$G$4:$G$1503,采购进货!$C$4:$C$1503,基础资料!$Q49,采购进货!$B$4:$B$1503,"&gt;="&amp;年初日,采购进货!$B$4:$B$1503,"&lt;="&amp;资产负债表!$D$3)+SUMIFS(资金台帐!$S$7:$S$3006,资金台帐!$K$7:$K$3006,基础资料!$Q49,资金台帐!$P$7:$P$3006,"应付",资金台帐!$B$7:$B$3006,"&gt;="&amp;年初日,资金台帐!$B$7:$B$3006,"&lt;="&amp;资产负债表!$D$3))</f>
      </c>
      <c r="N49">
        <f>IF(AND(ISNUMBER(出库明细!G49),ISNUMBER(出库明细!E49),ISNUMBER(出库明细!F49)),IF(ABS(出库明细!G49-出库明细!E49*出库明细!F49)&gt;0.005,1,0),0)</f>
        <v>0</v>
      </c>
      <c r="O49">
        <f>IF(AND(ISNUMBER(存条明细!G49),ISNUMBER(存条明细!E49),ISNUMBER(存条明细!F49)),IF(ABS(存条明细!G49-存条明细!E49*存条明细!F49)&gt;0.005,1,0),0)</f>
        <v>0</v>
      </c>
      <c r="AA49" t="str">
        <f>IF(基础资料!G48="","",基础资料!G48&amp;"")</f>
        <v>艾精隆多味葵</v>
      </c>
      <c r="AB49">
        <f>IF(N(基础资料!I48)&lt;=0,1,基础资料!I48)</f>
        <v>10</v>
      </c>
      <c r="AC49">
        <f>IF(OR($AA49="",AC$5=""),0,SUMIF(INDIRECT("'"&amp;AC$5&amp;"'!C6:C1000"),$AA49,INDIRECT("'"&amp;AC$5&amp;"'!H6:H1000")))</f>
        <v>0</v>
      </c>
      <c r="AD49">
        <f>IF(OR($AA49="",AD$5=""),0,SUMIF(INDIRECT("'"&amp;AD$5&amp;"'!C6:C1000"),$AA49,INDIRECT("'"&amp;AD$5&amp;"'!H6:H1000")))</f>
        <v>0</v>
      </c>
      <c r="AE49">
        <f>IF(OR($AA49="",AE$5=""),0,SUMIF(INDIRECT("'"&amp;AE$5&amp;"'!C6:C1000"),$AA49,INDIRECT("'"&amp;AE$5&amp;"'!H6:H1000")))</f>
        <v>0</v>
      </c>
      <c r="AF49">
        <f>IF(OR($AA49="",AF$5=""),0,SUMIF(INDIRECT("'"&amp;AF$5&amp;"'!C6:C1000"),$AA49,INDIRECT("'"&amp;AF$5&amp;"'!H6:H1000")))</f>
        <v>0</v>
      </c>
      <c r="AG49">
        <f>IF(OR($AA49="",AG$5=""),0,SUMIF(INDIRECT("'"&amp;AG$5&amp;"'!C6:C1000"),$AA49,INDIRECT("'"&amp;AG$5&amp;"'!H6:H1000")))</f>
        <v>0</v>
      </c>
      <c r="AH49">
        <f>IF(OR($AA49="",AH$5=""),0,SUMIF(INDIRECT("'"&amp;AH$5&amp;"'!C6:C1000"),$AA49,INDIRECT("'"&amp;AH$5&amp;"'!H6:H1000")))</f>
        <v>0</v>
      </c>
      <c r="AI49">
        <f>IF(OR($AA49="",AI$5=""),0,SUMIF(INDIRECT("'"&amp;AI$5&amp;"'!C6:C1000"),$AA49,INDIRECT("'"&amp;AI$5&amp;"'!H6:H1000")))</f>
        <v>0</v>
      </c>
      <c r="AJ49">
        <f>IF(OR($AA49="",AJ$5=""),0,SUMIF(INDIRECT("'"&amp;AJ$5&amp;"'!C6:C1000"),$AA49,INDIRECT("'"&amp;AJ$5&amp;"'!H6:H1000")))</f>
        <v>95</v>
      </c>
      <c r="AK49">
        <f>IF(OR($AA49="",AK$5=""),0,SUMIF(INDIRECT("'"&amp;AK$5&amp;"'!C6:C1000"),$AA49,INDIRECT("'"&amp;AK$5&amp;"'!H6:H1000")))</f>
        <v>0</v>
      </c>
      <c r="AL49">
        <f>IF(OR($AA49="",AL$5=""),0,SUMIF(INDIRECT("'"&amp;AL$5&amp;"'!C6:C1000"),$AA49,INDIRECT("'"&amp;AL$5&amp;"'!H6:H1000")))</f>
        <v>0</v>
      </c>
      <c r="AM49">
        <f>IF(OR($AA49="",AM$5=""),0,SUMIF(INDIRECT("'"&amp;AM$5&amp;"'!C6:C1000"),$AA49,INDIRECT("'"&amp;AM$5&amp;"'!H6:H1000")))</f>
        <v>0</v>
      </c>
      <c r="AN49">
        <f>IF(OR($AA49="",AN$5=""),0,SUMIF(INDIRECT("'"&amp;AN$5&amp;"'!C6:C1000"),$AA49,INDIRECT("'"&amp;AN$5&amp;"'!H6:H1000")))</f>
        <v>0</v>
      </c>
      <c r="AO49">
        <f>IF(OR($AA49="",AC$5=""),0,SUMIF(INDIRECT("'"&amp;AC$5&amp;"'!C6:C1000"),$AA49,INDIRECT("'"&amp;AC$5&amp;"'!E6:E1000")))</f>
        <v>0</v>
      </c>
      <c r="AP49">
        <f>IF(OR($AA49="",AD$5=""),0,SUMIF(INDIRECT("'"&amp;AD$5&amp;"'!C6:C1000"),$AA49,INDIRECT("'"&amp;AD$5&amp;"'!E6:E1000")))</f>
        <v>0</v>
      </c>
      <c r="AQ49">
        <f>IF(OR($AA49="",AE$5=""),0,SUMIF(INDIRECT("'"&amp;AE$5&amp;"'!C6:C1000"),$AA49,INDIRECT("'"&amp;AE$5&amp;"'!E6:E1000")))</f>
        <v>0</v>
      </c>
      <c r="AR49">
        <f>IF(OR($AA49="",AF$5=""),0,SUMIF(INDIRECT("'"&amp;AF$5&amp;"'!C6:C1000"),$AA49,INDIRECT("'"&amp;AF$5&amp;"'!E6:E1000")))</f>
        <v>0</v>
      </c>
      <c r="AS49">
        <f>IF(OR($AA49="",AG$5=""),0,SUMIF(INDIRECT("'"&amp;AG$5&amp;"'!C6:C1000"),$AA49,INDIRECT("'"&amp;AG$5&amp;"'!E6:E1000")))</f>
        <v>0</v>
      </c>
      <c r="AT49">
        <f>IF(OR($AA49="",AH$5=""),0,SUMIF(INDIRECT("'"&amp;AH$5&amp;"'!C6:C1000"),$AA49,INDIRECT("'"&amp;AH$5&amp;"'!E6:E1000")))</f>
        <v>0</v>
      </c>
      <c r="AU49">
        <f>IF(OR($AA49="",AI$5=""),0,SUMIF(INDIRECT("'"&amp;AI$5&amp;"'!C6:C1000"),$AA49,INDIRECT("'"&amp;AI$5&amp;"'!E6:E1000")))</f>
        <v>0</v>
      </c>
      <c r="AV49">
        <f>IF(OR($AA49="",AJ$5=""),0,SUMIF(INDIRECT("'"&amp;AJ$5&amp;"'!C6:C1000"),$AA49,INDIRECT("'"&amp;AJ$5&amp;"'!E6:E1000")))</f>
        <v>1</v>
      </c>
      <c r="AW49">
        <f>IF(OR($AA49="",AK$5=""),0,SUMIF(INDIRECT("'"&amp;AK$5&amp;"'!C6:C1000"),$AA49,INDIRECT("'"&amp;AK$5&amp;"'!E6:E1000")))</f>
        <v>0</v>
      </c>
      <c r="AX49">
        <f>IF(OR($AA49="",AL$5=""),0,SUMIF(INDIRECT("'"&amp;AL$5&amp;"'!C6:C1000"),$AA49,INDIRECT("'"&amp;AL$5&amp;"'!E6:E1000")))</f>
        <v>0</v>
      </c>
      <c r="AY49">
        <f>IF(OR($AA49="",AM$5=""),0,SUMIF(INDIRECT("'"&amp;AM$5&amp;"'!C6:C1000"),$AA49,INDIRECT("'"&amp;AM$5&amp;"'!E6:E1000")))</f>
        <v>0</v>
      </c>
      <c r="AZ49">
        <f>IF(OR($AA49="",AN$5=""),0,SUMIF(INDIRECT("'"&amp;AN$5&amp;"'!C6:C1000"),$AA49,INDIRECT("'"&amp;AN$5&amp;"'!E6:E1000")))</f>
        <v>0</v>
      </c>
      <c r="BA49">
        <f>IF(OR($AA49="",AC$5=""),0,SUMIFS(INDIRECT("'"&amp;AC$5&amp;"'!E6:E1000"),INDIRECT("'"&amp;AC$5&amp;"'!C6:C1000"),$AA49,INDIRECT("'"&amp;AC$5&amp;"'!F6:F1000"),"箱")+SUMIFS(INDIRECT("'"&amp;AC$5&amp;"'!E6:E1000"),INDIRECT("'"&amp;AC$5&amp;"'!C6:C1000"),$AA49,INDIRECT("'"&amp;AC$5&amp;"'!F6:F1000"),"件"))</f>
        <v>0</v>
      </c>
      <c r="BB49">
        <f>IF(OR($AA49="",AD$5=""),0,SUMIFS(INDIRECT("'"&amp;AD$5&amp;"'!E6:E1000"),INDIRECT("'"&amp;AD$5&amp;"'!C6:C1000"),$AA49,INDIRECT("'"&amp;AD$5&amp;"'!F6:F1000"),"箱")+SUMIFS(INDIRECT("'"&amp;AD$5&amp;"'!E6:E1000"),INDIRECT("'"&amp;AD$5&amp;"'!C6:C1000"),$AA49,INDIRECT("'"&amp;AD$5&amp;"'!F6:F1000"),"件"))</f>
        <v>0</v>
      </c>
      <c r="BC49">
        <f>IF(OR($AA49="",AE$5=""),0,SUMIFS(INDIRECT("'"&amp;AE$5&amp;"'!E6:E1000"),INDIRECT("'"&amp;AE$5&amp;"'!C6:C1000"),$AA49,INDIRECT("'"&amp;AE$5&amp;"'!F6:F1000"),"箱")+SUMIFS(INDIRECT("'"&amp;AE$5&amp;"'!E6:E1000"),INDIRECT("'"&amp;AE$5&amp;"'!C6:C1000"),$AA49,INDIRECT("'"&amp;AE$5&amp;"'!F6:F1000"),"件"))</f>
        <v>0</v>
      </c>
      <c r="BD49">
        <f>IF(OR($AA49="",AF$5=""),0,SUMIFS(INDIRECT("'"&amp;AF$5&amp;"'!E6:E1000"),INDIRECT("'"&amp;AF$5&amp;"'!C6:C1000"),$AA49,INDIRECT("'"&amp;AF$5&amp;"'!F6:F1000"),"箱")+SUMIFS(INDIRECT("'"&amp;AF$5&amp;"'!E6:E1000"),INDIRECT("'"&amp;AF$5&amp;"'!C6:C1000"),$AA49,INDIRECT("'"&amp;AF$5&amp;"'!F6:F1000"),"件"))</f>
        <v>0</v>
      </c>
      <c r="BE49">
        <f>IF(OR($AA49="",AG$5=""),0,SUMIFS(INDIRECT("'"&amp;AG$5&amp;"'!E6:E1000"),INDIRECT("'"&amp;AG$5&amp;"'!C6:C1000"),$AA49,INDIRECT("'"&amp;AG$5&amp;"'!F6:F1000"),"箱")+SUMIFS(INDIRECT("'"&amp;AG$5&amp;"'!E6:E1000"),INDIRECT("'"&amp;AG$5&amp;"'!C6:C1000"),$AA49,INDIRECT("'"&amp;AG$5&amp;"'!F6:F1000"),"件"))</f>
        <v>0</v>
      </c>
      <c r="BF49">
        <f>IF(OR($AA49="",AH$5=""),0,SUMIFS(INDIRECT("'"&amp;AH$5&amp;"'!E6:E1000"),INDIRECT("'"&amp;AH$5&amp;"'!C6:C1000"),$AA49,INDIRECT("'"&amp;AH$5&amp;"'!F6:F1000"),"箱")+SUMIFS(INDIRECT("'"&amp;AH$5&amp;"'!E6:E1000"),INDIRECT("'"&amp;AH$5&amp;"'!C6:C1000"),$AA49,INDIRECT("'"&amp;AH$5&amp;"'!F6:F1000"),"件"))</f>
        <v>0</v>
      </c>
      <c r="BG49">
        <f>IF(OR($AA49="",AI$5=""),0,SUMIFS(INDIRECT("'"&amp;AI$5&amp;"'!E6:E1000"),INDIRECT("'"&amp;AI$5&amp;"'!C6:C1000"),$AA49,INDIRECT("'"&amp;AI$5&amp;"'!F6:F1000"),"箱")+SUMIFS(INDIRECT("'"&amp;AI$5&amp;"'!E6:E1000"),INDIRECT("'"&amp;AI$5&amp;"'!C6:C1000"),$AA49,INDIRECT("'"&amp;AI$5&amp;"'!F6:F1000"),"件"))</f>
        <v>0</v>
      </c>
      <c r="BH49">
        <f>IF(OR($AA49="",AJ$5=""),0,SUMIFS(INDIRECT("'"&amp;AJ$5&amp;"'!E6:E1000"),INDIRECT("'"&amp;AJ$5&amp;"'!C6:C1000"),$AA49,INDIRECT("'"&amp;AJ$5&amp;"'!F6:F1000"),"箱")+SUMIFS(INDIRECT("'"&amp;AJ$5&amp;"'!E6:E1000"),INDIRECT("'"&amp;AJ$5&amp;"'!C6:C1000"),$AA49,INDIRECT("'"&amp;AJ$5&amp;"'!F6:F1000"),"件"))</f>
        <v>0</v>
      </c>
      <c r="BI49">
        <f>IF(OR($AA49="",AK$5=""),0,SUMIFS(INDIRECT("'"&amp;AK$5&amp;"'!E6:E1000"),INDIRECT("'"&amp;AK$5&amp;"'!C6:C1000"),$AA49,INDIRECT("'"&amp;AK$5&amp;"'!F6:F1000"),"箱")+SUMIFS(INDIRECT("'"&amp;AK$5&amp;"'!E6:E1000"),INDIRECT("'"&amp;AK$5&amp;"'!C6:C1000"),$AA49,INDIRECT("'"&amp;AK$5&amp;"'!F6:F1000"),"件"))</f>
        <v>0</v>
      </c>
      <c r="BJ49">
        <f>IF(OR($AA49="",AL$5=""),0,SUMIFS(INDIRECT("'"&amp;AL$5&amp;"'!E6:E1000"),INDIRECT("'"&amp;AL$5&amp;"'!C6:C1000"),$AA49,INDIRECT("'"&amp;AL$5&amp;"'!F6:F1000"),"箱")+SUMIFS(INDIRECT("'"&amp;AL$5&amp;"'!E6:E1000"),INDIRECT("'"&amp;AL$5&amp;"'!C6:C1000"),$AA49,INDIRECT("'"&amp;AL$5&amp;"'!F6:F1000"),"件"))</f>
        <v>0</v>
      </c>
      <c r="BK49">
        <f>IF(OR($AA49="",AM$5=""),0,SUMIFS(INDIRECT("'"&amp;AM$5&amp;"'!E6:E1000"),INDIRECT("'"&amp;AM$5&amp;"'!C6:C1000"),$AA49,INDIRECT("'"&amp;AM$5&amp;"'!F6:F1000"),"箱")+SUMIFS(INDIRECT("'"&amp;AM$5&amp;"'!E6:E1000"),INDIRECT("'"&amp;AM$5&amp;"'!C6:C1000"),$AA49,INDIRECT("'"&amp;AM$5&amp;"'!F6:F1000"),"件"))</f>
        <v>0</v>
      </c>
      <c r="BL49">
        <f>IF(OR($AA49="",AN$5=""),0,SUMIFS(INDIRECT("'"&amp;AN$5&amp;"'!E6:E1000"),INDIRECT("'"&amp;AN$5&amp;"'!C6:C1000"),$AA49,INDIRECT("'"&amp;AN$5&amp;"'!F6:F1000"),"箱")+SUMIFS(INDIRECT("'"&amp;AN$5&amp;"'!E6:E1000"),INDIRECT("'"&amp;AN$5&amp;"'!C6:C1000"),$AA49,INDIRECT("'"&amp;AN$5&amp;"'!F6:F1000"),"件"))</f>
        <v>0</v>
      </c>
      <c r="BM49">
        <f>(AO49-BA49)/$AB49+BA49</f>
        <v>0</v>
      </c>
      <c r="BN49">
        <f>(AP49-BB49)/$AB49+BB49</f>
        <v>0</v>
      </c>
      <c r="BO49">
        <f>(AQ49-BC49)/$AB49+BC49</f>
        <v>0</v>
      </c>
      <c r="BP49">
        <f>(AR49-BD49)/$AB49+BD49</f>
        <v>0</v>
      </c>
      <c r="BQ49">
        <f>(AS49-BE49)/$AB49+BE49</f>
        <v>0</v>
      </c>
      <c r="BR49">
        <f>(AT49-BF49)/$AB49+BF49</f>
        <v>0</v>
      </c>
      <c r="BS49">
        <f>(AU49-BG49)/$AB49+BG49</f>
        <v>0</v>
      </c>
      <c r="BT49">
        <f>(AV49-BH49)/$AB49+BH49</f>
        <v>0.1</v>
      </c>
      <c r="BU49">
        <f>(AW49-BI49)/$AB49+BI49</f>
        <v>0</v>
      </c>
      <c r="BV49">
        <f>(AX49-BJ49)/$AB49+BJ49</f>
        <v>0</v>
      </c>
      <c r="BW49">
        <f>(AY49-BK49)/$AB49+BK49</f>
        <v>0</v>
      </c>
      <c r="BX49">
        <f>(AZ49-BL49)/$AB49+BL49</f>
        <v>0</v>
      </c>
      <c r="BY49">
        <f>SUMPRODUCT((($AC$4:$AN$4=报损汇总一览!$A$3)+(报损汇总一览!$A$3="全年"))*AC49:AN49)</f>
        <v>95</v>
      </c>
      <c r="BZ49">
        <f>IF(BY49&gt;0,BY49+(1000-ROW())/10000000,"")</f>
        <v>95.0000951</v>
      </c>
      <c r="CA49">
        <f>SUMPRODUCT((($AC$4:$AN$4=报损汇总一览!$A$3)+(报损汇总一览!$A$3="全年"))*AO49:AZ49)</f>
        <v>1</v>
      </c>
    </row>
    <row r="50">
      <c r="A50">
        <f>IF(OR(存条明细!C50="",存条明细!D50=""),"",IF(COUNTIFS(存条明细!$C$4:C50,存条明细!C50,存条明细!$D$4:D50,存条明细!D50)&gt;1,"",IFERROR(MATCH(存条明细!C50,总览汇总!$B$5:$B$304,0),900)*10000000+IFERROR(MATCH(存条明细!D50,基础资料!$E$5:$E$104,0),900)*10000+ROW()))</f>
        <v>110010050</v>
      </c>
      <c r="B50">
        <f>IFERROR(MATCH(SMALL($A$4:$A$4003,47),$A$4:$A$4003,0),"")</f>
        <v>1239</v>
      </c>
      <c r="D50">
        <f>IF(AND(商品库存!B50&lt;&gt;"",商品库存!B50=客户查询!$B$4),COUNTIF(商品库存!$B$4:B50,客户查询!$B$4),"")</f>
      </c>
      <c r="E50">
        <f>IF(AND(商品库存!B50&lt;&gt;"",商品库存!B50=客户对账单!$B$4),COUNTIF(商品库存!$B$4:B50,客户对账单!$B$4),"")</f>
      </c>
      <c r="F50">
        <f>IF(AND(出库明细!C50&lt;&gt;"",出库明细!C50=客户对账单!$B$4,ISNUMBER(出库明细!B50),出库明细!B50&gt;=客户对账单!$G$4,出库明细!B50&lt;=客户对账单!$I$4),出库明细!B50+ROW()/100000,"")</f>
      </c>
      <c r="H50">
        <f>IF(AND(采购进货!C50&lt;&gt;"",采购进货!C50=供应商对账单!$B$4,ISNUMBER(采购进货!B50),采购进货!B50&gt;=供应商对账单!$G$4,采购进货!B50&lt;=供应商对账单!$I$4),采购进货!B50+ROW()/100000,"")</f>
      </c>
      <c r="J50">
        <f>IF(总览汇总!$B50="","",N(总览汇总!$K50)+SUMIFS(出库明细!$G$4:$G$3003,出库明细!$C$4:$C$3003,总览汇总!$B50,出库明细!$B$4:$B$3003,"&gt;="&amp;年初日,出库明细!$B$4:$B$3003,"&lt;="&amp;资产负债表!$D$3)-SUMIFS(资金台帐!$S$7:$S$3006,资金台帐!$J$7:$J$3006,总览汇总!$B50,资金台帐!$P$7:$P$3006,"应收",资金台帐!$B$7:$B$3006,"&gt;="&amp;年初日,资金台帐!$B$7:$B$3006,"&lt;="&amp;资产负债表!$D$3))</f>
        <v>-128480</v>
      </c>
      <c r="K50">
        <f>IF(基础资料!$Q50="","",N(基础资料!$R50)+SUMIFS(采购进货!$G$4:$G$1503,采购进货!$C$4:$C$1503,基础资料!$Q50,采购进货!$B$4:$B$1503,"&gt;="&amp;年初日,采购进货!$B$4:$B$1503,"&lt;="&amp;资产负债表!$D$3)+SUMIFS(资金台帐!$S$7:$S$3006,资金台帐!$K$7:$K$3006,基础资料!$Q50,资金台帐!$P$7:$P$3006,"应付",资金台帐!$B$7:$B$3006,"&gt;="&amp;年初日,资金台帐!$B$7:$B$3006,"&lt;="&amp;资产负债表!$D$3))</f>
      </c>
      <c r="N50">
        <f>IF(AND(ISNUMBER(出库明细!G50),ISNUMBER(出库明细!E50),ISNUMBER(出库明细!F50)),IF(ABS(出库明细!G50-出库明细!E50*出库明细!F50)&gt;0.005,1,0),0)</f>
        <v>0</v>
      </c>
      <c r="O50">
        <f>IF(AND(ISNUMBER(存条明细!G50),ISNUMBER(存条明细!E50),ISNUMBER(存条明细!F50)),IF(ABS(存条明细!G50-存条明细!E50*存条明细!F50)&gt;0.005,1,0),0)</f>
        <v>0</v>
      </c>
      <c r="AA50">
        <f>IF(基础资料!G49="","",基础资料!G49&amp;"")</f>
      </c>
      <c r="AB50">
        <f>IF(N(基础资料!I49)&lt;=0,1,基础资料!I49)</f>
        <v>1</v>
      </c>
      <c r="AC50">
        <f>IF(OR($AA50="",AC$5=""),0,SUMIF(INDIRECT("'"&amp;AC$5&amp;"'!C6:C1000"),$AA50,INDIRECT("'"&amp;AC$5&amp;"'!H6:H1000")))</f>
        <v>0</v>
      </c>
      <c r="AD50">
        <f>IF(OR($AA50="",AD$5=""),0,SUMIF(INDIRECT("'"&amp;AD$5&amp;"'!C6:C1000"),$AA50,INDIRECT("'"&amp;AD$5&amp;"'!H6:H1000")))</f>
        <v>0</v>
      </c>
      <c r="AE50">
        <f>IF(OR($AA50="",AE$5=""),0,SUMIF(INDIRECT("'"&amp;AE$5&amp;"'!C6:C1000"),$AA50,INDIRECT("'"&amp;AE$5&amp;"'!H6:H1000")))</f>
        <v>0</v>
      </c>
      <c r="AF50">
        <f>IF(OR($AA50="",AF$5=""),0,SUMIF(INDIRECT("'"&amp;AF$5&amp;"'!C6:C1000"),$AA50,INDIRECT("'"&amp;AF$5&amp;"'!H6:H1000")))</f>
        <v>0</v>
      </c>
      <c r="AG50">
        <f>IF(OR($AA50="",AG$5=""),0,SUMIF(INDIRECT("'"&amp;AG$5&amp;"'!C6:C1000"),$AA50,INDIRECT("'"&amp;AG$5&amp;"'!H6:H1000")))</f>
        <v>0</v>
      </c>
      <c r="AH50">
        <f>IF(OR($AA50="",AH$5=""),0,SUMIF(INDIRECT("'"&amp;AH$5&amp;"'!C6:C1000"),$AA50,INDIRECT("'"&amp;AH$5&amp;"'!H6:H1000")))</f>
        <v>0</v>
      </c>
      <c r="AI50">
        <f>IF(OR($AA50="",AI$5=""),0,SUMIF(INDIRECT("'"&amp;AI$5&amp;"'!C6:C1000"),$AA50,INDIRECT("'"&amp;AI$5&amp;"'!H6:H1000")))</f>
        <v>0</v>
      </c>
      <c r="AJ50">
        <f>IF(OR($AA50="",AJ$5=""),0,SUMIF(INDIRECT("'"&amp;AJ$5&amp;"'!C6:C1000"),$AA50,INDIRECT("'"&amp;AJ$5&amp;"'!H6:H1000")))</f>
        <v>0</v>
      </c>
      <c r="AK50">
        <f>IF(OR($AA50="",AK$5=""),0,SUMIF(INDIRECT("'"&amp;AK$5&amp;"'!C6:C1000"),$AA50,INDIRECT("'"&amp;AK$5&amp;"'!H6:H1000")))</f>
        <v>0</v>
      </c>
      <c r="AL50">
        <f>IF(OR($AA50="",AL$5=""),0,SUMIF(INDIRECT("'"&amp;AL$5&amp;"'!C6:C1000"),$AA50,INDIRECT("'"&amp;AL$5&amp;"'!H6:H1000")))</f>
        <v>0</v>
      </c>
      <c r="AM50">
        <f>IF(OR($AA50="",AM$5=""),0,SUMIF(INDIRECT("'"&amp;AM$5&amp;"'!C6:C1000"),$AA50,INDIRECT("'"&amp;AM$5&amp;"'!H6:H1000")))</f>
        <v>0</v>
      </c>
      <c r="AN50">
        <f>IF(OR($AA50="",AN$5=""),0,SUMIF(INDIRECT("'"&amp;AN$5&amp;"'!C6:C1000"),$AA50,INDIRECT("'"&amp;AN$5&amp;"'!H6:H1000")))</f>
        <v>0</v>
      </c>
      <c r="AO50">
        <f>IF(OR($AA50="",AC$5=""),0,SUMIF(INDIRECT("'"&amp;AC$5&amp;"'!C6:C1000"),$AA50,INDIRECT("'"&amp;AC$5&amp;"'!E6:E1000")))</f>
        <v>0</v>
      </c>
      <c r="AP50">
        <f>IF(OR($AA50="",AD$5=""),0,SUMIF(INDIRECT("'"&amp;AD$5&amp;"'!C6:C1000"),$AA50,INDIRECT("'"&amp;AD$5&amp;"'!E6:E1000")))</f>
        <v>0</v>
      </c>
      <c r="AQ50">
        <f>IF(OR($AA50="",AE$5=""),0,SUMIF(INDIRECT("'"&amp;AE$5&amp;"'!C6:C1000"),$AA50,INDIRECT("'"&amp;AE$5&amp;"'!E6:E1000")))</f>
        <v>0</v>
      </c>
      <c r="AR50">
        <f>IF(OR($AA50="",AF$5=""),0,SUMIF(INDIRECT("'"&amp;AF$5&amp;"'!C6:C1000"),$AA50,INDIRECT("'"&amp;AF$5&amp;"'!E6:E1000")))</f>
        <v>0</v>
      </c>
      <c r="AS50">
        <f>IF(OR($AA50="",AG$5=""),0,SUMIF(INDIRECT("'"&amp;AG$5&amp;"'!C6:C1000"),$AA50,INDIRECT("'"&amp;AG$5&amp;"'!E6:E1000")))</f>
        <v>0</v>
      </c>
      <c r="AT50">
        <f>IF(OR($AA50="",AH$5=""),0,SUMIF(INDIRECT("'"&amp;AH$5&amp;"'!C6:C1000"),$AA50,INDIRECT("'"&amp;AH$5&amp;"'!E6:E1000")))</f>
        <v>0</v>
      </c>
      <c r="AU50">
        <f>IF(OR($AA50="",AI$5=""),0,SUMIF(INDIRECT("'"&amp;AI$5&amp;"'!C6:C1000"),$AA50,INDIRECT("'"&amp;AI$5&amp;"'!E6:E1000")))</f>
        <v>0</v>
      </c>
      <c r="AV50">
        <f>IF(OR($AA50="",AJ$5=""),0,SUMIF(INDIRECT("'"&amp;AJ$5&amp;"'!C6:C1000"),$AA50,INDIRECT("'"&amp;AJ$5&amp;"'!E6:E1000")))</f>
        <v>0</v>
      </c>
      <c r="AW50">
        <f>IF(OR($AA50="",AK$5=""),0,SUMIF(INDIRECT("'"&amp;AK$5&amp;"'!C6:C1000"),$AA50,INDIRECT("'"&amp;AK$5&amp;"'!E6:E1000")))</f>
        <v>0</v>
      </c>
      <c r="AX50">
        <f>IF(OR($AA50="",AL$5=""),0,SUMIF(INDIRECT("'"&amp;AL$5&amp;"'!C6:C1000"),$AA50,INDIRECT("'"&amp;AL$5&amp;"'!E6:E1000")))</f>
        <v>0</v>
      </c>
      <c r="AY50">
        <f>IF(OR($AA50="",AM$5=""),0,SUMIF(INDIRECT("'"&amp;AM$5&amp;"'!C6:C1000"),$AA50,INDIRECT("'"&amp;AM$5&amp;"'!E6:E1000")))</f>
        <v>0</v>
      </c>
      <c r="AZ50">
        <f>IF(OR($AA50="",AN$5=""),0,SUMIF(INDIRECT("'"&amp;AN$5&amp;"'!C6:C1000"),$AA50,INDIRECT("'"&amp;AN$5&amp;"'!E6:E1000")))</f>
        <v>0</v>
      </c>
      <c r="BA50">
        <f>IF(OR($AA50="",AC$5=""),0,SUMIFS(INDIRECT("'"&amp;AC$5&amp;"'!E6:E1000"),INDIRECT("'"&amp;AC$5&amp;"'!C6:C1000"),$AA50,INDIRECT("'"&amp;AC$5&amp;"'!F6:F1000"),"箱")+SUMIFS(INDIRECT("'"&amp;AC$5&amp;"'!E6:E1000"),INDIRECT("'"&amp;AC$5&amp;"'!C6:C1000"),$AA50,INDIRECT("'"&amp;AC$5&amp;"'!F6:F1000"),"件"))</f>
        <v>0</v>
      </c>
      <c r="BB50">
        <f>IF(OR($AA50="",AD$5=""),0,SUMIFS(INDIRECT("'"&amp;AD$5&amp;"'!E6:E1000"),INDIRECT("'"&amp;AD$5&amp;"'!C6:C1000"),$AA50,INDIRECT("'"&amp;AD$5&amp;"'!F6:F1000"),"箱")+SUMIFS(INDIRECT("'"&amp;AD$5&amp;"'!E6:E1000"),INDIRECT("'"&amp;AD$5&amp;"'!C6:C1000"),$AA50,INDIRECT("'"&amp;AD$5&amp;"'!F6:F1000"),"件"))</f>
        <v>0</v>
      </c>
      <c r="BC50">
        <f>IF(OR($AA50="",AE$5=""),0,SUMIFS(INDIRECT("'"&amp;AE$5&amp;"'!E6:E1000"),INDIRECT("'"&amp;AE$5&amp;"'!C6:C1000"),$AA50,INDIRECT("'"&amp;AE$5&amp;"'!F6:F1000"),"箱")+SUMIFS(INDIRECT("'"&amp;AE$5&amp;"'!E6:E1000"),INDIRECT("'"&amp;AE$5&amp;"'!C6:C1000"),$AA50,INDIRECT("'"&amp;AE$5&amp;"'!F6:F1000"),"件"))</f>
        <v>0</v>
      </c>
      <c r="BD50">
        <f>IF(OR($AA50="",AF$5=""),0,SUMIFS(INDIRECT("'"&amp;AF$5&amp;"'!E6:E1000"),INDIRECT("'"&amp;AF$5&amp;"'!C6:C1000"),$AA50,INDIRECT("'"&amp;AF$5&amp;"'!F6:F1000"),"箱")+SUMIFS(INDIRECT("'"&amp;AF$5&amp;"'!E6:E1000"),INDIRECT("'"&amp;AF$5&amp;"'!C6:C1000"),$AA50,INDIRECT("'"&amp;AF$5&amp;"'!F6:F1000"),"件"))</f>
        <v>0</v>
      </c>
      <c r="BE50">
        <f>IF(OR($AA50="",AG$5=""),0,SUMIFS(INDIRECT("'"&amp;AG$5&amp;"'!E6:E1000"),INDIRECT("'"&amp;AG$5&amp;"'!C6:C1000"),$AA50,INDIRECT("'"&amp;AG$5&amp;"'!F6:F1000"),"箱")+SUMIFS(INDIRECT("'"&amp;AG$5&amp;"'!E6:E1000"),INDIRECT("'"&amp;AG$5&amp;"'!C6:C1000"),$AA50,INDIRECT("'"&amp;AG$5&amp;"'!F6:F1000"),"件"))</f>
        <v>0</v>
      </c>
      <c r="BF50">
        <f>IF(OR($AA50="",AH$5=""),0,SUMIFS(INDIRECT("'"&amp;AH$5&amp;"'!E6:E1000"),INDIRECT("'"&amp;AH$5&amp;"'!C6:C1000"),$AA50,INDIRECT("'"&amp;AH$5&amp;"'!F6:F1000"),"箱")+SUMIFS(INDIRECT("'"&amp;AH$5&amp;"'!E6:E1000"),INDIRECT("'"&amp;AH$5&amp;"'!C6:C1000"),$AA50,INDIRECT("'"&amp;AH$5&amp;"'!F6:F1000"),"件"))</f>
        <v>0</v>
      </c>
      <c r="BG50">
        <f>IF(OR($AA50="",AI$5=""),0,SUMIFS(INDIRECT("'"&amp;AI$5&amp;"'!E6:E1000"),INDIRECT("'"&amp;AI$5&amp;"'!C6:C1000"),$AA50,INDIRECT("'"&amp;AI$5&amp;"'!F6:F1000"),"箱")+SUMIFS(INDIRECT("'"&amp;AI$5&amp;"'!E6:E1000"),INDIRECT("'"&amp;AI$5&amp;"'!C6:C1000"),$AA50,INDIRECT("'"&amp;AI$5&amp;"'!F6:F1000"),"件"))</f>
        <v>0</v>
      </c>
      <c r="BH50">
        <f>IF(OR($AA50="",AJ$5=""),0,SUMIFS(INDIRECT("'"&amp;AJ$5&amp;"'!E6:E1000"),INDIRECT("'"&amp;AJ$5&amp;"'!C6:C1000"),$AA50,INDIRECT("'"&amp;AJ$5&amp;"'!F6:F1000"),"箱")+SUMIFS(INDIRECT("'"&amp;AJ$5&amp;"'!E6:E1000"),INDIRECT("'"&amp;AJ$5&amp;"'!C6:C1000"),$AA50,INDIRECT("'"&amp;AJ$5&amp;"'!F6:F1000"),"件"))</f>
        <v>0</v>
      </c>
      <c r="BI50">
        <f>IF(OR($AA50="",AK$5=""),0,SUMIFS(INDIRECT("'"&amp;AK$5&amp;"'!E6:E1000"),INDIRECT("'"&amp;AK$5&amp;"'!C6:C1000"),$AA50,INDIRECT("'"&amp;AK$5&amp;"'!F6:F1000"),"箱")+SUMIFS(INDIRECT("'"&amp;AK$5&amp;"'!E6:E1000"),INDIRECT("'"&amp;AK$5&amp;"'!C6:C1000"),$AA50,INDIRECT("'"&amp;AK$5&amp;"'!F6:F1000"),"件"))</f>
        <v>0</v>
      </c>
      <c r="BJ50">
        <f>IF(OR($AA50="",AL$5=""),0,SUMIFS(INDIRECT("'"&amp;AL$5&amp;"'!E6:E1000"),INDIRECT("'"&amp;AL$5&amp;"'!C6:C1000"),$AA50,INDIRECT("'"&amp;AL$5&amp;"'!F6:F1000"),"箱")+SUMIFS(INDIRECT("'"&amp;AL$5&amp;"'!E6:E1000"),INDIRECT("'"&amp;AL$5&amp;"'!C6:C1000"),$AA50,INDIRECT("'"&amp;AL$5&amp;"'!F6:F1000"),"件"))</f>
        <v>0</v>
      </c>
      <c r="BK50">
        <f>IF(OR($AA50="",AM$5=""),0,SUMIFS(INDIRECT("'"&amp;AM$5&amp;"'!E6:E1000"),INDIRECT("'"&amp;AM$5&amp;"'!C6:C1000"),$AA50,INDIRECT("'"&amp;AM$5&amp;"'!F6:F1000"),"箱")+SUMIFS(INDIRECT("'"&amp;AM$5&amp;"'!E6:E1000"),INDIRECT("'"&amp;AM$5&amp;"'!C6:C1000"),$AA50,INDIRECT("'"&amp;AM$5&amp;"'!F6:F1000"),"件"))</f>
        <v>0</v>
      </c>
      <c r="BL50">
        <f>IF(OR($AA50="",AN$5=""),0,SUMIFS(INDIRECT("'"&amp;AN$5&amp;"'!E6:E1000"),INDIRECT("'"&amp;AN$5&amp;"'!C6:C1000"),$AA50,INDIRECT("'"&amp;AN$5&amp;"'!F6:F1000"),"箱")+SUMIFS(INDIRECT("'"&amp;AN$5&amp;"'!E6:E1000"),INDIRECT("'"&amp;AN$5&amp;"'!C6:C1000"),$AA50,INDIRECT("'"&amp;AN$5&amp;"'!F6:F1000"),"件"))</f>
        <v>0</v>
      </c>
      <c r="BM50">
        <f>(AO50-BA50)/$AB50+BA50</f>
        <v>0</v>
      </c>
      <c r="BN50">
        <f>(AP50-BB50)/$AB50+BB50</f>
        <v>0</v>
      </c>
      <c r="BO50">
        <f>(AQ50-BC50)/$AB50+BC50</f>
        <v>0</v>
      </c>
      <c r="BP50">
        <f>(AR50-BD50)/$AB50+BD50</f>
        <v>0</v>
      </c>
      <c r="BQ50">
        <f>(AS50-BE50)/$AB50+BE50</f>
        <v>0</v>
      </c>
      <c r="BR50">
        <f>(AT50-BF50)/$AB50+BF50</f>
        <v>0</v>
      </c>
      <c r="BS50">
        <f>(AU50-BG50)/$AB50+BG50</f>
        <v>0</v>
      </c>
      <c r="BT50">
        <f>(AV50-BH50)/$AB50+BH50</f>
        <v>0</v>
      </c>
      <c r="BU50">
        <f>(AW50-BI50)/$AB50+BI50</f>
        <v>0</v>
      </c>
      <c r="BV50">
        <f>(AX50-BJ50)/$AB50+BJ50</f>
        <v>0</v>
      </c>
      <c r="BW50">
        <f>(AY50-BK50)/$AB50+BK50</f>
        <v>0</v>
      </c>
      <c r="BX50">
        <f>(AZ50-BL50)/$AB50+BL50</f>
        <v>0</v>
      </c>
      <c r="BY50">
        <f>SUMPRODUCT((($AC$4:$AN$4=报损汇总一览!$A$3)+(报损汇总一览!$A$3="全年"))*AC50:AN50)</f>
        <v>0</v>
      </c>
      <c r="BZ50">
        <f>IF(BY50&gt;0,BY50+(1000-ROW())/10000000,"")</f>
      </c>
      <c r="CA50">
        <f>SUMPRODUCT((($AC$4:$AN$4=报损汇总一览!$A$3)+(报损汇总一览!$A$3="全年"))*AO50:AZ50)</f>
        <v>0</v>
      </c>
    </row>
    <row r="51">
      <c r="A51">
        <f>IF(OR(存条明细!C51="",存条明细!D51=""),"",IF(COUNTIFS(存条明细!$C$4:C51,存条明细!C51,存条明细!$D$4:D51,存条明细!D51)&gt;1,"",IFERROR(MATCH(存条明细!C51,总览汇总!$B$5:$B$304,0),900)*10000000+IFERROR(MATCH(存条明细!D51,基础资料!$E$5:$E$104,0),900)*10000+ROW()))</f>
        <v>110040051</v>
      </c>
      <c r="B51">
        <f>IFERROR(MATCH(SMALL($A$4:$A$4003,48),$A$4:$A$4003,0),"")</f>
        <v>1348</v>
      </c>
      <c r="D51">
        <f>IF(AND(商品库存!B51&lt;&gt;"",商品库存!B51=客户查询!$B$4),COUNTIF(商品库存!$B$4:B51,客户查询!$B$4),"")</f>
      </c>
      <c r="E51">
        <f>IF(AND(商品库存!B51&lt;&gt;"",商品库存!B51=客户对账单!$B$4),COUNTIF(商品库存!$B$4:B51,客户对账单!$B$4),"")</f>
      </c>
      <c r="F51">
        <f>IF(AND(出库明细!C51&lt;&gt;"",出库明细!C51=客户对账单!$B$4,ISNUMBER(出库明细!B51),出库明细!B51&gt;=客户对账单!$G$4,出库明细!B51&lt;=客户对账单!$I$4),出库明细!B51+ROW()/100000,"")</f>
      </c>
      <c r="H51">
        <f>IF(AND(采购进货!C51&lt;&gt;"",采购进货!C51=供应商对账单!$B$4,ISNUMBER(采购进货!B51),采购进货!B51&gt;=供应商对账单!$G$4,采购进货!B51&lt;=供应商对账单!$I$4),采购进货!B51+ROW()/100000,"")</f>
      </c>
      <c r="J51">
        <f>IF(总览汇总!$B51="","",N(总览汇总!$K51)+SUMIFS(出库明细!$G$4:$G$3003,出库明细!$C$4:$C$3003,总览汇总!$B51,出库明细!$B$4:$B$3003,"&gt;="&amp;年初日,出库明细!$B$4:$B$3003,"&lt;="&amp;资产负债表!$D$3)-SUMIFS(资金台帐!$S$7:$S$3006,资金台帐!$J$7:$J$3006,总览汇总!$B51,资金台帐!$P$7:$P$3006,"应收",资金台帐!$B$7:$B$3006,"&gt;="&amp;年初日,资金台帐!$B$7:$B$3006,"&lt;="&amp;资产负债表!$D$3))</f>
        <v>0</v>
      </c>
      <c r="K51">
        <f>IF(基础资料!$Q51="","",N(基础资料!$R51)+SUMIFS(采购进货!$G$4:$G$1503,采购进货!$C$4:$C$1503,基础资料!$Q51,采购进货!$B$4:$B$1503,"&gt;="&amp;年初日,采购进货!$B$4:$B$1503,"&lt;="&amp;资产负债表!$D$3)+SUMIFS(资金台帐!$S$7:$S$3006,资金台帐!$K$7:$K$3006,基础资料!$Q51,资金台帐!$P$7:$P$3006,"应付",资金台帐!$B$7:$B$3006,"&gt;="&amp;年初日,资金台帐!$B$7:$B$3006,"&lt;="&amp;资产负债表!$D$3))</f>
      </c>
      <c r="N51">
        <f>IF(AND(ISNUMBER(出库明细!G51),ISNUMBER(出库明细!E51),ISNUMBER(出库明细!F51)),IF(ABS(出库明细!G51-出库明细!E51*出库明细!F51)&gt;0.005,1,0),0)</f>
        <v>0</v>
      </c>
      <c r="O51">
        <f>IF(AND(ISNUMBER(存条明细!G51),ISNUMBER(存条明细!E51),ISNUMBER(存条明细!F51)),IF(ABS(存条明细!G51-存条明细!E51*存条明细!F51)&gt;0.005,1,0),0)</f>
        <v>0</v>
      </c>
      <c r="AA51">
        <f>IF(基础资料!G50="","",基础资料!G50&amp;"")</f>
      </c>
      <c r="AB51">
        <f>IF(N(基础资料!I50)&lt;=0,1,基础资料!I50)</f>
        <v>1</v>
      </c>
      <c r="AC51">
        <f>IF(OR($AA51="",AC$5=""),0,SUMIF(INDIRECT("'"&amp;AC$5&amp;"'!C6:C1000"),$AA51,INDIRECT("'"&amp;AC$5&amp;"'!H6:H1000")))</f>
        <v>0</v>
      </c>
      <c r="AD51">
        <f>IF(OR($AA51="",AD$5=""),0,SUMIF(INDIRECT("'"&amp;AD$5&amp;"'!C6:C1000"),$AA51,INDIRECT("'"&amp;AD$5&amp;"'!H6:H1000")))</f>
        <v>0</v>
      </c>
      <c r="AE51">
        <f>IF(OR($AA51="",AE$5=""),0,SUMIF(INDIRECT("'"&amp;AE$5&amp;"'!C6:C1000"),$AA51,INDIRECT("'"&amp;AE$5&amp;"'!H6:H1000")))</f>
        <v>0</v>
      </c>
      <c r="AF51">
        <f>IF(OR($AA51="",AF$5=""),0,SUMIF(INDIRECT("'"&amp;AF$5&amp;"'!C6:C1000"),$AA51,INDIRECT("'"&amp;AF$5&amp;"'!H6:H1000")))</f>
        <v>0</v>
      </c>
      <c r="AG51">
        <f>IF(OR($AA51="",AG$5=""),0,SUMIF(INDIRECT("'"&amp;AG$5&amp;"'!C6:C1000"),$AA51,INDIRECT("'"&amp;AG$5&amp;"'!H6:H1000")))</f>
        <v>0</v>
      </c>
      <c r="AH51">
        <f>IF(OR($AA51="",AH$5=""),0,SUMIF(INDIRECT("'"&amp;AH$5&amp;"'!C6:C1000"),$AA51,INDIRECT("'"&amp;AH$5&amp;"'!H6:H1000")))</f>
        <v>0</v>
      </c>
      <c r="AI51">
        <f>IF(OR($AA51="",AI$5=""),0,SUMIF(INDIRECT("'"&amp;AI$5&amp;"'!C6:C1000"),$AA51,INDIRECT("'"&amp;AI$5&amp;"'!H6:H1000")))</f>
        <v>0</v>
      </c>
      <c r="AJ51">
        <f>IF(OR($AA51="",AJ$5=""),0,SUMIF(INDIRECT("'"&amp;AJ$5&amp;"'!C6:C1000"),$AA51,INDIRECT("'"&amp;AJ$5&amp;"'!H6:H1000")))</f>
        <v>0</v>
      </c>
      <c r="AK51">
        <f>IF(OR($AA51="",AK$5=""),0,SUMIF(INDIRECT("'"&amp;AK$5&amp;"'!C6:C1000"),$AA51,INDIRECT("'"&amp;AK$5&amp;"'!H6:H1000")))</f>
        <v>0</v>
      </c>
      <c r="AL51">
        <f>IF(OR($AA51="",AL$5=""),0,SUMIF(INDIRECT("'"&amp;AL$5&amp;"'!C6:C1000"),$AA51,INDIRECT("'"&amp;AL$5&amp;"'!H6:H1000")))</f>
        <v>0</v>
      </c>
      <c r="AM51">
        <f>IF(OR($AA51="",AM$5=""),0,SUMIF(INDIRECT("'"&amp;AM$5&amp;"'!C6:C1000"),$AA51,INDIRECT("'"&amp;AM$5&amp;"'!H6:H1000")))</f>
        <v>0</v>
      </c>
      <c r="AN51">
        <f>IF(OR($AA51="",AN$5=""),0,SUMIF(INDIRECT("'"&amp;AN$5&amp;"'!C6:C1000"),$AA51,INDIRECT("'"&amp;AN$5&amp;"'!H6:H1000")))</f>
        <v>0</v>
      </c>
      <c r="AO51">
        <f>IF(OR($AA51="",AC$5=""),0,SUMIF(INDIRECT("'"&amp;AC$5&amp;"'!C6:C1000"),$AA51,INDIRECT("'"&amp;AC$5&amp;"'!E6:E1000")))</f>
        <v>0</v>
      </c>
      <c r="AP51">
        <f>IF(OR($AA51="",AD$5=""),0,SUMIF(INDIRECT("'"&amp;AD$5&amp;"'!C6:C1000"),$AA51,INDIRECT("'"&amp;AD$5&amp;"'!E6:E1000")))</f>
        <v>0</v>
      </c>
      <c r="AQ51">
        <f>IF(OR($AA51="",AE$5=""),0,SUMIF(INDIRECT("'"&amp;AE$5&amp;"'!C6:C1000"),$AA51,INDIRECT("'"&amp;AE$5&amp;"'!E6:E1000")))</f>
        <v>0</v>
      </c>
      <c r="AR51">
        <f>IF(OR($AA51="",AF$5=""),0,SUMIF(INDIRECT("'"&amp;AF$5&amp;"'!C6:C1000"),$AA51,INDIRECT("'"&amp;AF$5&amp;"'!E6:E1000")))</f>
        <v>0</v>
      </c>
      <c r="AS51">
        <f>IF(OR($AA51="",AG$5=""),0,SUMIF(INDIRECT("'"&amp;AG$5&amp;"'!C6:C1000"),$AA51,INDIRECT("'"&amp;AG$5&amp;"'!E6:E1000")))</f>
        <v>0</v>
      </c>
      <c r="AT51">
        <f>IF(OR($AA51="",AH$5=""),0,SUMIF(INDIRECT("'"&amp;AH$5&amp;"'!C6:C1000"),$AA51,INDIRECT("'"&amp;AH$5&amp;"'!E6:E1000")))</f>
        <v>0</v>
      </c>
      <c r="AU51">
        <f>IF(OR($AA51="",AI$5=""),0,SUMIF(INDIRECT("'"&amp;AI$5&amp;"'!C6:C1000"),$AA51,INDIRECT("'"&amp;AI$5&amp;"'!E6:E1000")))</f>
        <v>0</v>
      </c>
      <c r="AV51">
        <f>IF(OR($AA51="",AJ$5=""),0,SUMIF(INDIRECT("'"&amp;AJ$5&amp;"'!C6:C1000"),$AA51,INDIRECT("'"&amp;AJ$5&amp;"'!E6:E1000")))</f>
        <v>0</v>
      </c>
      <c r="AW51">
        <f>IF(OR($AA51="",AK$5=""),0,SUMIF(INDIRECT("'"&amp;AK$5&amp;"'!C6:C1000"),$AA51,INDIRECT("'"&amp;AK$5&amp;"'!E6:E1000")))</f>
        <v>0</v>
      </c>
      <c r="AX51">
        <f>IF(OR($AA51="",AL$5=""),0,SUMIF(INDIRECT("'"&amp;AL$5&amp;"'!C6:C1000"),$AA51,INDIRECT("'"&amp;AL$5&amp;"'!E6:E1000")))</f>
        <v>0</v>
      </c>
      <c r="AY51">
        <f>IF(OR($AA51="",AM$5=""),0,SUMIF(INDIRECT("'"&amp;AM$5&amp;"'!C6:C1000"),$AA51,INDIRECT("'"&amp;AM$5&amp;"'!E6:E1000")))</f>
        <v>0</v>
      </c>
      <c r="AZ51">
        <f>IF(OR($AA51="",AN$5=""),0,SUMIF(INDIRECT("'"&amp;AN$5&amp;"'!C6:C1000"),$AA51,INDIRECT("'"&amp;AN$5&amp;"'!E6:E1000")))</f>
        <v>0</v>
      </c>
      <c r="BA51">
        <f>IF(OR($AA51="",AC$5=""),0,SUMIFS(INDIRECT("'"&amp;AC$5&amp;"'!E6:E1000"),INDIRECT("'"&amp;AC$5&amp;"'!C6:C1000"),$AA51,INDIRECT("'"&amp;AC$5&amp;"'!F6:F1000"),"箱")+SUMIFS(INDIRECT("'"&amp;AC$5&amp;"'!E6:E1000"),INDIRECT("'"&amp;AC$5&amp;"'!C6:C1000"),$AA51,INDIRECT("'"&amp;AC$5&amp;"'!F6:F1000"),"件"))</f>
        <v>0</v>
      </c>
      <c r="BB51">
        <f>IF(OR($AA51="",AD$5=""),0,SUMIFS(INDIRECT("'"&amp;AD$5&amp;"'!E6:E1000"),INDIRECT("'"&amp;AD$5&amp;"'!C6:C1000"),$AA51,INDIRECT("'"&amp;AD$5&amp;"'!F6:F1000"),"箱")+SUMIFS(INDIRECT("'"&amp;AD$5&amp;"'!E6:E1000"),INDIRECT("'"&amp;AD$5&amp;"'!C6:C1000"),$AA51,INDIRECT("'"&amp;AD$5&amp;"'!F6:F1000"),"件"))</f>
        <v>0</v>
      </c>
      <c r="BC51">
        <f>IF(OR($AA51="",AE$5=""),0,SUMIFS(INDIRECT("'"&amp;AE$5&amp;"'!E6:E1000"),INDIRECT("'"&amp;AE$5&amp;"'!C6:C1000"),$AA51,INDIRECT("'"&amp;AE$5&amp;"'!F6:F1000"),"箱")+SUMIFS(INDIRECT("'"&amp;AE$5&amp;"'!E6:E1000"),INDIRECT("'"&amp;AE$5&amp;"'!C6:C1000"),$AA51,INDIRECT("'"&amp;AE$5&amp;"'!F6:F1000"),"件"))</f>
        <v>0</v>
      </c>
      <c r="BD51">
        <f>IF(OR($AA51="",AF$5=""),0,SUMIFS(INDIRECT("'"&amp;AF$5&amp;"'!E6:E1000"),INDIRECT("'"&amp;AF$5&amp;"'!C6:C1000"),$AA51,INDIRECT("'"&amp;AF$5&amp;"'!F6:F1000"),"箱")+SUMIFS(INDIRECT("'"&amp;AF$5&amp;"'!E6:E1000"),INDIRECT("'"&amp;AF$5&amp;"'!C6:C1000"),$AA51,INDIRECT("'"&amp;AF$5&amp;"'!F6:F1000"),"件"))</f>
        <v>0</v>
      </c>
      <c r="BE51">
        <f>IF(OR($AA51="",AG$5=""),0,SUMIFS(INDIRECT("'"&amp;AG$5&amp;"'!E6:E1000"),INDIRECT("'"&amp;AG$5&amp;"'!C6:C1000"),$AA51,INDIRECT("'"&amp;AG$5&amp;"'!F6:F1000"),"箱")+SUMIFS(INDIRECT("'"&amp;AG$5&amp;"'!E6:E1000"),INDIRECT("'"&amp;AG$5&amp;"'!C6:C1000"),$AA51,INDIRECT("'"&amp;AG$5&amp;"'!F6:F1000"),"件"))</f>
        <v>0</v>
      </c>
      <c r="BF51">
        <f>IF(OR($AA51="",AH$5=""),0,SUMIFS(INDIRECT("'"&amp;AH$5&amp;"'!E6:E1000"),INDIRECT("'"&amp;AH$5&amp;"'!C6:C1000"),$AA51,INDIRECT("'"&amp;AH$5&amp;"'!F6:F1000"),"箱")+SUMIFS(INDIRECT("'"&amp;AH$5&amp;"'!E6:E1000"),INDIRECT("'"&amp;AH$5&amp;"'!C6:C1000"),$AA51,INDIRECT("'"&amp;AH$5&amp;"'!F6:F1000"),"件"))</f>
        <v>0</v>
      </c>
      <c r="BG51">
        <f>IF(OR($AA51="",AI$5=""),0,SUMIFS(INDIRECT("'"&amp;AI$5&amp;"'!E6:E1000"),INDIRECT("'"&amp;AI$5&amp;"'!C6:C1000"),$AA51,INDIRECT("'"&amp;AI$5&amp;"'!F6:F1000"),"箱")+SUMIFS(INDIRECT("'"&amp;AI$5&amp;"'!E6:E1000"),INDIRECT("'"&amp;AI$5&amp;"'!C6:C1000"),$AA51,INDIRECT("'"&amp;AI$5&amp;"'!F6:F1000"),"件"))</f>
        <v>0</v>
      </c>
      <c r="BH51">
        <f>IF(OR($AA51="",AJ$5=""),0,SUMIFS(INDIRECT("'"&amp;AJ$5&amp;"'!E6:E1000"),INDIRECT("'"&amp;AJ$5&amp;"'!C6:C1000"),$AA51,INDIRECT("'"&amp;AJ$5&amp;"'!F6:F1000"),"箱")+SUMIFS(INDIRECT("'"&amp;AJ$5&amp;"'!E6:E1000"),INDIRECT("'"&amp;AJ$5&amp;"'!C6:C1000"),$AA51,INDIRECT("'"&amp;AJ$5&amp;"'!F6:F1000"),"件"))</f>
        <v>0</v>
      </c>
      <c r="BI51">
        <f>IF(OR($AA51="",AK$5=""),0,SUMIFS(INDIRECT("'"&amp;AK$5&amp;"'!E6:E1000"),INDIRECT("'"&amp;AK$5&amp;"'!C6:C1000"),$AA51,INDIRECT("'"&amp;AK$5&amp;"'!F6:F1000"),"箱")+SUMIFS(INDIRECT("'"&amp;AK$5&amp;"'!E6:E1000"),INDIRECT("'"&amp;AK$5&amp;"'!C6:C1000"),$AA51,INDIRECT("'"&amp;AK$5&amp;"'!F6:F1000"),"件"))</f>
        <v>0</v>
      </c>
      <c r="BJ51">
        <f>IF(OR($AA51="",AL$5=""),0,SUMIFS(INDIRECT("'"&amp;AL$5&amp;"'!E6:E1000"),INDIRECT("'"&amp;AL$5&amp;"'!C6:C1000"),$AA51,INDIRECT("'"&amp;AL$5&amp;"'!F6:F1000"),"箱")+SUMIFS(INDIRECT("'"&amp;AL$5&amp;"'!E6:E1000"),INDIRECT("'"&amp;AL$5&amp;"'!C6:C1000"),$AA51,INDIRECT("'"&amp;AL$5&amp;"'!F6:F1000"),"件"))</f>
        <v>0</v>
      </c>
      <c r="BK51">
        <f>IF(OR($AA51="",AM$5=""),0,SUMIFS(INDIRECT("'"&amp;AM$5&amp;"'!E6:E1000"),INDIRECT("'"&amp;AM$5&amp;"'!C6:C1000"),$AA51,INDIRECT("'"&amp;AM$5&amp;"'!F6:F1000"),"箱")+SUMIFS(INDIRECT("'"&amp;AM$5&amp;"'!E6:E1000"),INDIRECT("'"&amp;AM$5&amp;"'!C6:C1000"),$AA51,INDIRECT("'"&amp;AM$5&amp;"'!F6:F1000"),"件"))</f>
        <v>0</v>
      </c>
      <c r="BL51">
        <f>IF(OR($AA51="",AN$5=""),0,SUMIFS(INDIRECT("'"&amp;AN$5&amp;"'!E6:E1000"),INDIRECT("'"&amp;AN$5&amp;"'!C6:C1000"),$AA51,INDIRECT("'"&amp;AN$5&amp;"'!F6:F1000"),"箱")+SUMIFS(INDIRECT("'"&amp;AN$5&amp;"'!E6:E1000"),INDIRECT("'"&amp;AN$5&amp;"'!C6:C1000"),$AA51,INDIRECT("'"&amp;AN$5&amp;"'!F6:F1000"),"件"))</f>
        <v>0</v>
      </c>
      <c r="BM51">
        <f>(AO51-BA51)/$AB51+BA51</f>
        <v>0</v>
      </c>
      <c r="BN51">
        <f>(AP51-BB51)/$AB51+BB51</f>
        <v>0</v>
      </c>
      <c r="BO51">
        <f>(AQ51-BC51)/$AB51+BC51</f>
        <v>0</v>
      </c>
      <c r="BP51">
        <f>(AR51-BD51)/$AB51+BD51</f>
        <v>0</v>
      </c>
      <c r="BQ51">
        <f>(AS51-BE51)/$AB51+BE51</f>
        <v>0</v>
      </c>
      <c r="BR51">
        <f>(AT51-BF51)/$AB51+BF51</f>
        <v>0</v>
      </c>
      <c r="BS51">
        <f>(AU51-BG51)/$AB51+BG51</f>
        <v>0</v>
      </c>
      <c r="BT51">
        <f>(AV51-BH51)/$AB51+BH51</f>
        <v>0</v>
      </c>
      <c r="BU51">
        <f>(AW51-BI51)/$AB51+BI51</f>
        <v>0</v>
      </c>
      <c r="BV51">
        <f>(AX51-BJ51)/$AB51+BJ51</f>
        <v>0</v>
      </c>
      <c r="BW51">
        <f>(AY51-BK51)/$AB51+BK51</f>
        <v>0</v>
      </c>
      <c r="BX51">
        <f>(AZ51-BL51)/$AB51+BL51</f>
        <v>0</v>
      </c>
      <c r="BY51">
        <f>SUMPRODUCT((($AC$4:$AN$4=报损汇总一览!$A$3)+(报损汇总一览!$A$3="全年"))*AC51:AN51)</f>
        <v>0</v>
      </c>
      <c r="BZ51">
        <f>IF(BY51&gt;0,BY51+(1000-ROW())/10000000,"")</f>
      </c>
      <c r="CA51">
        <f>SUMPRODUCT((($AC$4:$AN$4=报损汇总一览!$A$3)+(报损汇总一览!$A$3="全年"))*AO51:AZ51)</f>
        <v>0</v>
      </c>
    </row>
    <row r="52">
      <c r="A52">
        <f>IF(OR(存条明细!C52="",存条明细!D52=""),"",IF(COUNTIFS(存条明细!$C$4:C52,存条明细!C52,存条明细!$D$4:D52,存条明细!D52)&gt;1,"",IFERROR(MATCH(存条明细!C52,总览汇总!$B$5:$B$304,0),900)*10000000+IFERROR(MATCH(存条明细!D52,基础资料!$E$5:$E$104,0),900)*10000+ROW()))</f>
        <v>110030052</v>
      </c>
      <c r="B52">
        <f>IFERROR(MATCH(SMALL($A$4:$A$4003,49),$A$4:$A$4003,0),"")</f>
        <v>32</v>
      </c>
      <c r="D52">
        <f>IF(AND(商品库存!B52&lt;&gt;"",商品库存!B52=客户查询!$B$4),COUNTIF(商品库存!$B$4:B52,客户查询!$B$4),"")</f>
      </c>
      <c r="E52">
        <f>IF(AND(商品库存!B52&lt;&gt;"",商品库存!B52=客户对账单!$B$4),COUNTIF(商品库存!$B$4:B52,客户对账单!$B$4),"")</f>
      </c>
      <c r="F52">
        <f>IF(AND(出库明细!C52&lt;&gt;"",出库明细!C52=客户对账单!$B$4,ISNUMBER(出库明细!B52),出库明细!B52&gt;=客户对账单!$G$4,出库明细!B52&lt;=客户对账单!$I$4),出库明细!B52+ROW()/100000,"")</f>
      </c>
      <c r="H52">
        <f>IF(AND(采购进货!C52&lt;&gt;"",采购进货!C52=供应商对账单!$B$4,ISNUMBER(采购进货!B52),采购进货!B52&gt;=供应商对账单!$G$4,采购进货!B52&lt;=供应商对账单!$I$4),采购进货!B52+ROW()/100000,"")</f>
      </c>
      <c r="J52">
        <f>IF(总览汇总!$B52="","",N(总览汇总!$K52)+SUMIFS(出库明细!$G$4:$G$3003,出库明细!$C$4:$C$3003,总览汇总!$B52,出库明细!$B$4:$B$3003,"&gt;="&amp;年初日,出库明细!$B$4:$B$3003,"&lt;="&amp;资产负债表!$D$3)-SUMIFS(资金台帐!$S$7:$S$3006,资金台帐!$J$7:$J$3006,总览汇总!$B52,资金台帐!$P$7:$P$3006,"应收",资金台帐!$B$7:$B$3006,"&gt;="&amp;年初日,资金台帐!$B$7:$B$3006,"&lt;="&amp;资产负债表!$D$3))</f>
        <v>-2553</v>
      </c>
      <c r="K52">
        <f>IF(基础资料!$Q52="","",N(基础资料!$R52)+SUMIFS(采购进货!$G$4:$G$1503,采购进货!$C$4:$C$1503,基础资料!$Q52,采购进货!$B$4:$B$1503,"&gt;="&amp;年初日,采购进货!$B$4:$B$1503,"&lt;="&amp;资产负债表!$D$3)+SUMIFS(资金台帐!$S$7:$S$3006,资金台帐!$K$7:$K$3006,基础资料!$Q52,资金台帐!$P$7:$P$3006,"应付",资金台帐!$B$7:$B$3006,"&gt;="&amp;年初日,资金台帐!$B$7:$B$3006,"&lt;="&amp;资产负债表!$D$3))</f>
      </c>
      <c r="N52">
        <f>IF(AND(ISNUMBER(出库明细!G52),ISNUMBER(出库明细!E52),ISNUMBER(出库明细!F52)),IF(ABS(出库明细!G52-出库明细!E52*出库明细!F52)&gt;0.005,1,0),0)</f>
        <v>0</v>
      </c>
      <c r="O52">
        <f>IF(AND(ISNUMBER(存条明细!G52),ISNUMBER(存条明细!E52),ISNUMBER(存条明细!F52)),IF(ABS(存条明细!G52-存条明细!E52*存条明细!F52)&gt;0.005,1,0),0)</f>
        <v>0</v>
      </c>
      <c r="AA52">
        <f>IF(基础资料!G51="","",基础资料!G51&amp;"")</f>
      </c>
      <c r="AB52">
        <f>IF(N(基础资料!I51)&lt;=0,1,基础资料!I51)</f>
        <v>1</v>
      </c>
      <c r="AC52">
        <f>IF(OR($AA52="",AC$5=""),0,SUMIF(INDIRECT("'"&amp;AC$5&amp;"'!C6:C1000"),$AA52,INDIRECT("'"&amp;AC$5&amp;"'!H6:H1000")))</f>
        <v>0</v>
      </c>
      <c r="AD52">
        <f>IF(OR($AA52="",AD$5=""),0,SUMIF(INDIRECT("'"&amp;AD$5&amp;"'!C6:C1000"),$AA52,INDIRECT("'"&amp;AD$5&amp;"'!H6:H1000")))</f>
        <v>0</v>
      </c>
      <c r="AE52">
        <f>IF(OR($AA52="",AE$5=""),0,SUMIF(INDIRECT("'"&amp;AE$5&amp;"'!C6:C1000"),$AA52,INDIRECT("'"&amp;AE$5&amp;"'!H6:H1000")))</f>
        <v>0</v>
      </c>
      <c r="AF52">
        <f>IF(OR($AA52="",AF$5=""),0,SUMIF(INDIRECT("'"&amp;AF$5&amp;"'!C6:C1000"),$AA52,INDIRECT("'"&amp;AF$5&amp;"'!H6:H1000")))</f>
        <v>0</v>
      </c>
      <c r="AG52">
        <f>IF(OR($AA52="",AG$5=""),0,SUMIF(INDIRECT("'"&amp;AG$5&amp;"'!C6:C1000"),$AA52,INDIRECT("'"&amp;AG$5&amp;"'!H6:H1000")))</f>
        <v>0</v>
      </c>
      <c r="AH52">
        <f>IF(OR($AA52="",AH$5=""),0,SUMIF(INDIRECT("'"&amp;AH$5&amp;"'!C6:C1000"),$AA52,INDIRECT("'"&amp;AH$5&amp;"'!H6:H1000")))</f>
        <v>0</v>
      </c>
      <c r="AI52">
        <f>IF(OR($AA52="",AI$5=""),0,SUMIF(INDIRECT("'"&amp;AI$5&amp;"'!C6:C1000"),$AA52,INDIRECT("'"&amp;AI$5&amp;"'!H6:H1000")))</f>
        <v>0</v>
      </c>
      <c r="AJ52">
        <f>IF(OR($AA52="",AJ$5=""),0,SUMIF(INDIRECT("'"&amp;AJ$5&amp;"'!C6:C1000"),$AA52,INDIRECT("'"&amp;AJ$5&amp;"'!H6:H1000")))</f>
        <v>0</v>
      </c>
      <c r="AK52">
        <f>IF(OR($AA52="",AK$5=""),0,SUMIF(INDIRECT("'"&amp;AK$5&amp;"'!C6:C1000"),$AA52,INDIRECT("'"&amp;AK$5&amp;"'!H6:H1000")))</f>
        <v>0</v>
      </c>
      <c r="AL52">
        <f>IF(OR($AA52="",AL$5=""),0,SUMIF(INDIRECT("'"&amp;AL$5&amp;"'!C6:C1000"),$AA52,INDIRECT("'"&amp;AL$5&amp;"'!H6:H1000")))</f>
        <v>0</v>
      </c>
      <c r="AM52">
        <f>IF(OR($AA52="",AM$5=""),0,SUMIF(INDIRECT("'"&amp;AM$5&amp;"'!C6:C1000"),$AA52,INDIRECT("'"&amp;AM$5&amp;"'!H6:H1000")))</f>
        <v>0</v>
      </c>
      <c r="AN52">
        <f>IF(OR($AA52="",AN$5=""),0,SUMIF(INDIRECT("'"&amp;AN$5&amp;"'!C6:C1000"),$AA52,INDIRECT("'"&amp;AN$5&amp;"'!H6:H1000")))</f>
        <v>0</v>
      </c>
      <c r="AO52">
        <f>IF(OR($AA52="",AC$5=""),0,SUMIF(INDIRECT("'"&amp;AC$5&amp;"'!C6:C1000"),$AA52,INDIRECT("'"&amp;AC$5&amp;"'!E6:E1000")))</f>
        <v>0</v>
      </c>
      <c r="AP52">
        <f>IF(OR($AA52="",AD$5=""),0,SUMIF(INDIRECT("'"&amp;AD$5&amp;"'!C6:C1000"),$AA52,INDIRECT("'"&amp;AD$5&amp;"'!E6:E1000")))</f>
        <v>0</v>
      </c>
      <c r="AQ52">
        <f>IF(OR($AA52="",AE$5=""),0,SUMIF(INDIRECT("'"&amp;AE$5&amp;"'!C6:C1000"),$AA52,INDIRECT("'"&amp;AE$5&amp;"'!E6:E1000")))</f>
        <v>0</v>
      </c>
      <c r="AR52">
        <f>IF(OR($AA52="",AF$5=""),0,SUMIF(INDIRECT("'"&amp;AF$5&amp;"'!C6:C1000"),$AA52,INDIRECT("'"&amp;AF$5&amp;"'!E6:E1000")))</f>
        <v>0</v>
      </c>
      <c r="AS52">
        <f>IF(OR($AA52="",AG$5=""),0,SUMIF(INDIRECT("'"&amp;AG$5&amp;"'!C6:C1000"),$AA52,INDIRECT("'"&amp;AG$5&amp;"'!E6:E1000")))</f>
        <v>0</v>
      </c>
      <c r="AT52">
        <f>IF(OR($AA52="",AH$5=""),0,SUMIF(INDIRECT("'"&amp;AH$5&amp;"'!C6:C1000"),$AA52,INDIRECT("'"&amp;AH$5&amp;"'!E6:E1000")))</f>
        <v>0</v>
      </c>
      <c r="AU52">
        <f>IF(OR($AA52="",AI$5=""),0,SUMIF(INDIRECT("'"&amp;AI$5&amp;"'!C6:C1000"),$AA52,INDIRECT("'"&amp;AI$5&amp;"'!E6:E1000")))</f>
        <v>0</v>
      </c>
      <c r="AV52">
        <f>IF(OR($AA52="",AJ$5=""),0,SUMIF(INDIRECT("'"&amp;AJ$5&amp;"'!C6:C1000"),$AA52,INDIRECT("'"&amp;AJ$5&amp;"'!E6:E1000")))</f>
        <v>0</v>
      </c>
      <c r="AW52">
        <f>IF(OR($AA52="",AK$5=""),0,SUMIF(INDIRECT("'"&amp;AK$5&amp;"'!C6:C1000"),$AA52,INDIRECT("'"&amp;AK$5&amp;"'!E6:E1000")))</f>
        <v>0</v>
      </c>
      <c r="AX52">
        <f>IF(OR($AA52="",AL$5=""),0,SUMIF(INDIRECT("'"&amp;AL$5&amp;"'!C6:C1000"),$AA52,INDIRECT("'"&amp;AL$5&amp;"'!E6:E1000")))</f>
        <v>0</v>
      </c>
      <c r="AY52">
        <f>IF(OR($AA52="",AM$5=""),0,SUMIF(INDIRECT("'"&amp;AM$5&amp;"'!C6:C1000"),$AA52,INDIRECT("'"&amp;AM$5&amp;"'!E6:E1000")))</f>
        <v>0</v>
      </c>
      <c r="AZ52">
        <f>IF(OR($AA52="",AN$5=""),0,SUMIF(INDIRECT("'"&amp;AN$5&amp;"'!C6:C1000"),$AA52,INDIRECT("'"&amp;AN$5&amp;"'!E6:E1000")))</f>
        <v>0</v>
      </c>
      <c r="BA52">
        <f>IF(OR($AA52="",AC$5=""),0,SUMIFS(INDIRECT("'"&amp;AC$5&amp;"'!E6:E1000"),INDIRECT("'"&amp;AC$5&amp;"'!C6:C1000"),$AA52,INDIRECT("'"&amp;AC$5&amp;"'!F6:F1000"),"箱")+SUMIFS(INDIRECT("'"&amp;AC$5&amp;"'!E6:E1000"),INDIRECT("'"&amp;AC$5&amp;"'!C6:C1000"),$AA52,INDIRECT("'"&amp;AC$5&amp;"'!F6:F1000"),"件"))</f>
        <v>0</v>
      </c>
      <c r="BB52">
        <f>IF(OR($AA52="",AD$5=""),0,SUMIFS(INDIRECT("'"&amp;AD$5&amp;"'!E6:E1000"),INDIRECT("'"&amp;AD$5&amp;"'!C6:C1000"),$AA52,INDIRECT("'"&amp;AD$5&amp;"'!F6:F1000"),"箱")+SUMIFS(INDIRECT("'"&amp;AD$5&amp;"'!E6:E1000"),INDIRECT("'"&amp;AD$5&amp;"'!C6:C1000"),$AA52,INDIRECT("'"&amp;AD$5&amp;"'!F6:F1000"),"件"))</f>
        <v>0</v>
      </c>
      <c r="BC52">
        <f>IF(OR($AA52="",AE$5=""),0,SUMIFS(INDIRECT("'"&amp;AE$5&amp;"'!E6:E1000"),INDIRECT("'"&amp;AE$5&amp;"'!C6:C1000"),$AA52,INDIRECT("'"&amp;AE$5&amp;"'!F6:F1000"),"箱")+SUMIFS(INDIRECT("'"&amp;AE$5&amp;"'!E6:E1000"),INDIRECT("'"&amp;AE$5&amp;"'!C6:C1000"),$AA52,INDIRECT("'"&amp;AE$5&amp;"'!F6:F1000"),"件"))</f>
        <v>0</v>
      </c>
      <c r="BD52">
        <f>IF(OR($AA52="",AF$5=""),0,SUMIFS(INDIRECT("'"&amp;AF$5&amp;"'!E6:E1000"),INDIRECT("'"&amp;AF$5&amp;"'!C6:C1000"),$AA52,INDIRECT("'"&amp;AF$5&amp;"'!F6:F1000"),"箱")+SUMIFS(INDIRECT("'"&amp;AF$5&amp;"'!E6:E1000"),INDIRECT("'"&amp;AF$5&amp;"'!C6:C1000"),$AA52,INDIRECT("'"&amp;AF$5&amp;"'!F6:F1000"),"件"))</f>
        <v>0</v>
      </c>
      <c r="BE52">
        <f>IF(OR($AA52="",AG$5=""),0,SUMIFS(INDIRECT("'"&amp;AG$5&amp;"'!E6:E1000"),INDIRECT("'"&amp;AG$5&amp;"'!C6:C1000"),$AA52,INDIRECT("'"&amp;AG$5&amp;"'!F6:F1000"),"箱")+SUMIFS(INDIRECT("'"&amp;AG$5&amp;"'!E6:E1000"),INDIRECT("'"&amp;AG$5&amp;"'!C6:C1000"),$AA52,INDIRECT("'"&amp;AG$5&amp;"'!F6:F1000"),"件"))</f>
        <v>0</v>
      </c>
      <c r="BF52">
        <f>IF(OR($AA52="",AH$5=""),0,SUMIFS(INDIRECT("'"&amp;AH$5&amp;"'!E6:E1000"),INDIRECT("'"&amp;AH$5&amp;"'!C6:C1000"),$AA52,INDIRECT("'"&amp;AH$5&amp;"'!F6:F1000"),"箱")+SUMIFS(INDIRECT("'"&amp;AH$5&amp;"'!E6:E1000"),INDIRECT("'"&amp;AH$5&amp;"'!C6:C1000"),$AA52,INDIRECT("'"&amp;AH$5&amp;"'!F6:F1000"),"件"))</f>
        <v>0</v>
      </c>
      <c r="BG52">
        <f>IF(OR($AA52="",AI$5=""),0,SUMIFS(INDIRECT("'"&amp;AI$5&amp;"'!E6:E1000"),INDIRECT("'"&amp;AI$5&amp;"'!C6:C1000"),$AA52,INDIRECT("'"&amp;AI$5&amp;"'!F6:F1000"),"箱")+SUMIFS(INDIRECT("'"&amp;AI$5&amp;"'!E6:E1000"),INDIRECT("'"&amp;AI$5&amp;"'!C6:C1000"),$AA52,INDIRECT("'"&amp;AI$5&amp;"'!F6:F1000"),"件"))</f>
        <v>0</v>
      </c>
      <c r="BH52">
        <f>IF(OR($AA52="",AJ$5=""),0,SUMIFS(INDIRECT("'"&amp;AJ$5&amp;"'!E6:E1000"),INDIRECT("'"&amp;AJ$5&amp;"'!C6:C1000"),$AA52,INDIRECT("'"&amp;AJ$5&amp;"'!F6:F1000"),"箱")+SUMIFS(INDIRECT("'"&amp;AJ$5&amp;"'!E6:E1000"),INDIRECT("'"&amp;AJ$5&amp;"'!C6:C1000"),$AA52,INDIRECT("'"&amp;AJ$5&amp;"'!F6:F1000"),"件"))</f>
        <v>0</v>
      </c>
      <c r="BI52">
        <f>IF(OR($AA52="",AK$5=""),0,SUMIFS(INDIRECT("'"&amp;AK$5&amp;"'!E6:E1000"),INDIRECT("'"&amp;AK$5&amp;"'!C6:C1000"),$AA52,INDIRECT("'"&amp;AK$5&amp;"'!F6:F1000"),"箱")+SUMIFS(INDIRECT("'"&amp;AK$5&amp;"'!E6:E1000"),INDIRECT("'"&amp;AK$5&amp;"'!C6:C1000"),$AA52,INDIRECT("'"&amp;AK$5&amp;"'!F6:F1000"),"件"))</f>
        <v>0</v>
      </c>
      <c r="BJ52">
        <f>IF(OR($AA52="",AL$5=""),0,SUMIFS(INDIRECT("'"&amp;AL$5&amp;"'!E6:E1000"),INDIRECT("'"&amp;AL$5&amp;"'!C6:C1000"),$AA52,INDIRECT("'"&amp;AL$5&amp;"'!F6:F1000"),"箱")+SUMIFS(INDIRECT("'"&amp;AL$5&amp;"'!E6:E1000"),INDIRECT("'"&amp;AL$5&amp;"'!C6:C1000"),$AA52,INDIRECT("'"&amp;AL$5&amp;"'!F6:F1000"),"件"))</f>
        <v>0</v>
      </c>
      <c r="BK52">
        <f>IF(OR($AA52="",AM$5=""),0,SUMIFS(INDIRECT("'"&amp;AM$5&amp;"'!E6:E1000"),INDIRECT("'"&amp;AM$5&amp;"'!C6:C1000"),$AA52,INDIRECT("'"&amp;AM$5&amp;"'!F6:F1000"),"箱")+SUMIFS(INDIRECT("'"&amp;AM$5&amp;"'!E6:E1000"),INDIRECT("'"&amp;AM$5&amp;"'!C6:C1000"),$AA52,INDIRECT("'"&amp;AM$5&amp;"'!F6:F1000"),"件"))</f>
        <v>0</v>
      </c>
      <c r="BL52">
        <f>IF(OR($AA52="",AN$5=""),0,SUMIFS(INDIRECT("'"&amp;AN$5&amp;"'!E6:E1000"),INDIRECT("'"&amp;AN$5&amp;"'!C6:C1000"),$AA52,INDIRECT("'"&amp;AN$5&amp;"'!F6:F1000"),"箱")+SUMIFS(INDIRECT("'"&amp;AN$5&amp;"'!E6:E1000"),INDIRECT("'"&amp;AN$5&amp;"'!C6:C1000"),$AA52,INDIRECT("'"&amp;AN$5&amp;"'!F6:F1000"),"件"))</f>
        <v>0</v>
      </c>
      <c r="BM52">
        <f>(AO52-BA52)/$AB52+BA52</f>
        <v>0</v>
      </c>
      <c r="BN52">
        <f>(AP52-BB52)/$AB52+BB52</f>
        <v>0</v>
      </c>
      <c r="BO52">
        <f>(AQ52-BC52)/$AB52+BC52</f>
        <v>0</v>
      </c>
      <c r="BP52">
        <f>(AR52-BD52)/$AB52+BD52</f>
        <v>0</v>
      </c>
      <c r="BQ52">
        <f>(AS52-BE52)/$AB52+BE52</f>
        <v>0</v>
      </c>
      <c r="BR52">
        <f>(AT52-BF52)/$AB52+BF52</f>
        <v>0</v>
      </c>
      <c r="BS52">
        <f>(AU52-BG52)/$AB52+BG52</f>
        <v>0</v>
      </c>
      <c r="BT52">
        <f>(AV52-BH52)/$AB52+BH52</f>
        <v>0</v>
      </c>
      <c r="BU52">
        <f>(AW52-BI52)/$AB52+BI52</f>
        <v>0</v>
      </c>
      <c r="BV52">
        <f>(AX52-BJ52)/$AB52+BJ52</f>
        <v>0</v>
      </c>
      <c r="BW52">
        <f>(AY52-BK52)/$AB52+BK52</f>
        <v>0</v>
      </c>
      <c r="BX52">
        <f>(AZ52-BL52)/$AB52+BL52</f>
        <v>0</v>
      </c>
      <c r="BY52">
        <f>SUMPRODUCT((($AC$4:$AN$4=报损汇总一览!$A$3)+(报损汇总一览!$A$3="全年"))*AC52:AN52)</f>
        <v>0</v>
      </c>
      <c r="BZ52">
        <f>IF(BY52&gt;0,BY52+(1000-ROW())/10000000,"")</f>
      </c>
      <c r="CA52">
        <f>SUMPRODUCT((($AC$4:$AN$4=报损汇总一览!$A$3)+(报损汇总一览!$A$3="全年"))*AO52:AZ52)</f>
        <v>0</v>
      </c>
    </row>
    <row r="53">
      <c r="A53">
        <f>IF(OR(存条明细!C53="",存条明细!D53=""),"",IF(COUNTIFS(存条明细!$C$4:C53,存条明细!C53,存条明细!$D$4:D53,存条明细!D53)&gt;1,"",IFERROR(MATCH(存条明细!C53,总览汇总!$B$5:$B$304,0),900)*10000000+IFERROR(MATCH(存条明细!D53,基础资料!$E$5:$E$104,0),900)*10000+ROW()))</f>
        <v>110080053</v>
      </c>
      <c r="B53">
        <f>IFERROR(MATCH(SMALL($A$4:$A$4003,50),$A$4:$A$4003,0),"")</f>
        <v>33</v>
      </c>
      <c r="D53">
        <f>IF(AND(商品库存!B53&lt;&gt;"",商品库存!B53=客户查询!$B$4),COUNTIF(商品库存!$B$4:B53,客户查询!$B$4),"")</f>
      </c>
      <c r="E53">
        <f>IF(AND(商品库存!B53&lt;&gt;"",商品库存!B53=客户对账单!$B$4),COUNTIF(商品库存!$B$4:B53,客户对账单!$B$4),"")</f>
      </c>
      <c r="F53">
        <f>IF(AND(出库明细!C53&lt;&gt;"",出库明细!C53=客户对账单!$B$4,ISNUMBER(出库明细!B53),出库明细!B53&gt;=客户对账单!$G$4,出库明细!B53&lt;=客户对账单!$I$4),出库明细!B53+ROW()/100000,"")</f>
      </c>
      <c r="H53">
        <f>IF(AND(采购进货!C53&lt;&gt;"",采购进货!C53=供应商对账单!$B$4,ISNUMBER(采购进货!B53),采购进货!B53&gt;=供应商对账单!$G$4,采购进货!B53&lt;=供应商对账单!$I$4),采购进货!B53+ROW()/100000,"")</f>
      </c>
      <c r="J53">
        <f>IF(总览汇总!$B53="","",N(总览汇总!$K53)+SUMIFS(出库明细!$G$4:$G$3003,出库明细!$C$4:$C$3003,总览汇总!$B53,出库明细!$B$4:$B$3003,"&gt;="&amp;年初日,出库明细!$B$4:$B$3003,"&lt;="&amp;资产负债表!$D$3)-SUMIFS(资金台帐!$S$7:$S$3006,资金台帐!$J$7:$J$3006,总览汇总!$B53,资金台帐!$P$7:$P$3006,"应收",资金台帐!$B$7:$B$3006,"&gt;="&amp;年初日,资金台帐!$B$7:$B$3006,"&lt;="&amp;资产负债表!$D$3))</f>
        <v>21483</v>
      </c>
      <c r="K53">
        <f>IF(基础资料!$Q53="","",N(基础资料!$R53)+SUMIFS(采购进货!$G$4:$G$1503,采购进货!$C$4:$C$1503,基础资料!$Q53,采购进货!$B$4:$B$1503,"&gt;="&amp;年初日,采购进货!$B$4:$B$1503,"&lt;="&amp;资产负债表!$D$3)+SUMIFS(资金台帐!$S$7:$S$3006,资金台帐!$K$7:$K$3006,基础资料!$Q53,资金台帐!$P$7:$P$3006,"应付",资金台帐!$B$7:$B$3006,"&gt;="&amp;年初日,资金台帐!$B$7:$B$3006,"&lt;="&amp;资产负债表!$D$3))</f>
      </c>
      <c r="N53">
        <f>IF(AND(ISNUMBER(出库明细!G53),ISNUMBER(出库明细!E53),ISNUMBER(出库明细!F53)),IF(ABS(出库明细!G53-出库明细!E53*出库明细!F53)&gt;0.005,1,0),0)</f>
        <v>0</v>
      </c>
      <c r="O53">
        <f>IF(AND(ISNUMBER(存条明细!G53),ISNUMBER(存条明细!E53),ISNUMBER(存条明细!F53)),IF(ABS(存条明细!G53-存条明细!E53*存条明细!F53)&gt;0.005,1,0),0)</f>
        <v>0</v>
      </c>
      <c r="AA53">
        <f>IF(基础资料!G52="","",基础资料!G52&amp;"")</f>
      </c>
      <c r="AB53">
        <f>IF(N(基础资料!I52)&lt;=0,1,基础资料!I52)</f>
        <v>1</v>
      </c>
      <c r="AC53">
        <f>IF(OR($AA53="",AC$5=""),0,SUMIF(INDIRECT("'"&amp;AC$5&amp;"'!C6:C1000"),$AA53,INDIRECT("'"&amp;AC$5&amp;"'!H6:H1000")))</f>
        <v>0</v>
      </c>
      <c r="AD53">
        <f>IF(OR($AA53="",AD$5=""),0,SUMIF(INDIRECT("'"&amp;AD$5&amp;"'!C6:C1000"),$AA53,INDIRECT("'"&amp;AD$5&amp;"'!H6:H1000")))</f>
        <v>0</v>
      </c>
      <c r="AE53">
        <f>IF(OR($AA53="",AE$5=""),0,SUMIF(INDIRECT("'"&amp;AE$5&amp;"'!C6:C1000"),$AA53,INDIRECT("'"&amp;AE$5&amp;"'!H6:H1000")))</f>
        <v>0</v>
      </c>
      <c r="AF53">
        <f>IF(OR($AA53="",AF$5=""),0,SUMIF(INDIRECT("'"&amp;AF$5&amp;"'!C6:C1000"),$AA53,INDIRECT("'"&amp;AF$5&amp;"'!H6:H1000")))</f>
        <v>0</v>
      </c>
      <c r="AG53">
        <f>IF(OR($AA53="",AG$5=""),0,SUMIF(INDIRECT("'"&amp;AG$5&amp;"'!C6:C1000"),$AA53,INDIRECT("'"&amp;AG$5&amp;"'!H6:H1000")))</f>
        <v>0</v>
      </c>
      <c r="AH53">
        <f>IF(OR($AA53="",AH$5=""),0,SUMIF(INDIRECT("'"&amp;AH$5&amp;"'!C6:C1000"),$AA53,INDIRECT("'"&amp;AH$5&amp;"'!H6:H1000")))</f>
        <v>0</v>
      </c>
      <c r="AI53">
        <f>IF(OR($AA53="",AI$5=""),0,SUMIF(INDIRECT("'"&amp;AI$5&amp;"'!C6:C1000"),$AA53,INDIRECT("'"&amp;AI$5&amp;"'!H6:H1000")))</f>
        <v>0</v>
      </c>
      <c r="AJ53">
        <f>IF(OR($AA53="",AJ$5=""),0,SUMIF(INDIRECT("'"&amp;AJ$5&amp;"'!C6:C1000"),$AA53,INDIRECT("'"&amp;AJ$5&amp;"'!H6:H1000")))</f>
        <v>0</v>
      </c>
      <c r="AK53">
        <f>IF(OR($AA53="",AK$5=""),0,SUMIF(INDIRECT("'"&amp;AK$5&amp;"'!C6:C1000"),$AA53,INDIRECT("'"&amp;AK$5&amp;"'!H6:H1000")))</f>
        <v>0</v>
      </c>
      <c r="AL53">
        <f>IF(OR($AA53="",AL$5=""),0,SUMIF(INDIRECT("'"&amp;AL$5&amp;"'!C6:C1000"),$AA53,INDIRECT("'"&amp;AL$5&amp;"'!H6:H1000")))</f>
        <v>0</v>
      </c>
      <c r="AM53">
        <f>IF(OR($AA53="",AM$5=""),0,SUMIF(INDIRECT("'"&amp;AM$5&amp;"'!C6:C1000"),$AA53,INDIRECT("'"&amp;AM$5&amp;"'!H6:H1000")))</f>
        <v>0</v>
      </c>
      <c r="AN53">
        <f>IF(OR($AA53="",AN$5=""),0,SUMIF(INDIRECT("'"&amp;AN$5&amp;"'!C6:C1000"),$AA53,INDIRECT("'"&amp;AN$5&amp;"'!H6:H1000")))</f>
        <v>0</v>
      </c>
      <c r="AO53">
        <f>IF(OR($AA53="",AC$5=""),0,SUMIF(INDIRECT("'"&amp;AC$5&amp;"'!C6:C1000"),$AA53,INDIRECT("'"&amp;AC$5&amp;"'!E6:E1000")))</f>
        <v>0</v>
      </c>
      <c r="AP53">
        <f>IF(OR($AA53="",AD$5=""),0,SUMIF(INDIRECT("'"&amp;AD$5&amp;"'!C6:C1000"),$AA53,INDIRECT("'"&amp;AD$5&amp;"'!E6:E1000")))</f>
        <v>0</v>
      </c>
      <c r="AQ53">
        <f>IF(OR($AA53="",AE$5=""),0,SUMIF(INDIRECT("'"&amp;AE$5&amp;"'!C6:C1000"),$AA53,INDIRECT("'"&amp;AE$5&amp;"'!E6:E1000")))</f>
        <v>0</v>
      </c>
      <c r="AR53">
        <f>IF(OR($AA53="",AF$5=""),0,SUMIF(INDIRECT("'"&amp;AF$5&amp;"'!C6:C1000"),$AA53,INDIRECT("'"&amp;AF$5&amp;"'!E6:E1000")))</f>
        <v>0</v>
      </c>
      <c r="AS53">
        <f>IF(OR($AA53="",AG$5=""),0,SUMIF(INDIRECT("'"&amp;AG$5&amp;"'!C6:C1000"),$AA53,INDIRECT("'"&amp;AG$5&amp;"'!E6:E1000")))</f>
        <v>0</v>
      </c>
      <c r="AT53">
        <f>IF(OR($AA53="",AH$5=""),0,SUMIF(INDIRECT("'"&amp;AH$5&amp;"'!C6:C1000"),$AA53,INDIRECT("'"&amp;AH$5&amp;"'!E6:E1000")))</f>
        <v>0</v>
      </c>
      <c r="AU53">
        <f>IF(OR($AA53="",AI$5=""),0,SUMIF(INDIRECT("'"&amp;AI$5&amp;"'!C6:C1000"),$AA53,INDIRECT("'"&amp;AI$5&amp;"'!E6:E1000")))</f>
        <v>0</v>
      </c>
      <c r="AV53">
        <f>IF(OR($AA53="",AJ$5=""),0,SUMIF(INDIRECT("'"&amp;AJ$5&amp;"'!C6:C1000"),$AA53,INDIRECT("'"&amp;AJ$5&amp;"'!E6:E1000")))</f>
        <v>0</v>
      </c>
      <c r="AW53">
        <f>IF(OR($AA53="",AK$5=""),0,SUMIF(INDIRECT("'"&amp;AK$5&amp;"'!C6:C1000"),$AA53,INDIRECT("'"&amp;AK$5&amp;"'!E6:E1000")))</f>
        <v>0</v>
      </c>
      <c r="AX53">
        <f>IF(OR($AA53="",AL$5=""),0,SUMIF(INDIRECT("'"&amp;AL$5&amp;"'!C6:C1000"),$AA53,INDIRECT("'"&amp;AL$5&amp;"'!E6:E1000")))</f>
        <v>0</v>
      </c>
      <c r="AY53">
        <f>IF(OR($AA53="",AM$5=""),0,SUMIF(INDIRECT("'"&amp;AM$5&amp;"'!C6:C1000"),$AA53,INDIRECT("'"&amp;AM$5&amp;"'!E6:E1000")))</f>
        <v>0</v>
      </c>
      <c r="AZ53">
        <f>IF(OR($AA53="",AN$5=""),0,SUMIF(INDIRECT("'"&amp;AN$5&amp;"'!C6:C1000"),$AA53,INDIRECT("'"&amp;AN$5&amp;"'!E6:E1000")))</f>
        <v>0</v>
      </c>
      <c r="BA53">
        <f>IF(OR($AA53="",AC$5=""),0,SUMIFS(INDIRECT("'"&amp;AC$5&amp;"'!E6:E1000"),INDIRECT("'"&amp;AC$5&amp;"'!C6:C1000"),$AA53,INDIRECT("'"&amp;AC$5&amp;"'!F6:F1000"),"箱")+SUMIFS(INDIRECT("'"&amp;AC$5&amp;"'!E6:E1000"),INDIRECT("'"&amp;AC$5&amp;"'!C6:C1000"),$AA53,INDIRECT("'"&amp;AC$5&amp;"'!F6:F1000"),"件"))</f>
        <v>0</v>
      </c>
      <c r="BB53">
        <f>IF(OR($AA53="",AD$5=""),0,SUMIFS(INDIRECT("'"&amp;AD$5&amp;"'!E6:E1000"),INDIRECT("'"&amp;AD$5&amp;"'!C6:C1000"),$AA53,INDIRECT("'"&amp;AD$5&amp;"'!F6:F1000"),"箱")+SUMIFS(INDIRECT("'"&amp;AD$5&amp;"'!E6:E1000"),INDIRECT("'"&amp;AD$5&amp;"'!C6:C1000"),$AA53,INDIRECT("'"&amp;AD$5&amp;"'!F6:F1000"),"件"))</f>
        <v>0</v>
      </c>
      <c r="BC53">
        <f>IF(OR($AA53="",AE$5=""),0,SUMIFS(INDIRECT("'"&amp;AE$5&amp;"'!E6:E1000"),INDIRECT("'"&amp;AE$5&amp;"'!C6:C1000"),$AA53,INDIRECT("'"&amp;AE$5&amp;"'!F6:F1000"),"箱")+SUMIFS(INDIRECT("'"&amp;AE$5&amp;"'!E6:E1000"),INDIRECT("'"&amp;AE$5&amp;"'!C6:C1000"),$AA53,INDIRECT("'"&amp;AE$5&amp;"'!F6:F1000"),"件"))</f>
        <v>0</v>
      </c>
      <c r="BD53">
        <f>IF(OR($AA53="",AF$5=""),0,SUMIFS(INDIRECT("'"&amp;AF$5&amp;"'!E6:E1000"),INDIRECT("'"&amp;AF$5&amp;"'!C6:C1000"),$AA53,INDIRECT("'"&amp;AF$5&amp;"'!F6:F1000"),"箱")+SUMIFS(INDIRECT("'"&amp;AF$5&amp;"'!E6:E1000"),INDIRECT("'"&amp;AF$5&amp;"'!C6:C1000"),$AA53,INDIRECT("'"&amp;AF$5&amp;"'!F6:F1000"),"件"))</f>
        <v>0</v>
      </c>
      <c r="BE53">
        <f>IF(OR($AA53="",AG$5=""),0,SUMIFS(INDIRECT("'"&amp;AG$5&amp;"'!E6:E1000"),INDIRECT("'"&amp;AG$5&amp;"'!C6:C1000"),$AA53,INDIRECT("'"&amp;AG$5&amp;"'!F6:F1000"),"箱")+SUMIFS(INDIRECT("'"&amp;AG$5&amp;"'!E6:E1000"),INDIRECT("'"&amp;AG$5&amp;"'!C6:C1000"),$AA53,INDIRECT("'"&amp;AG$5&amp;"'!F6:F1000"),"件"))</f>
        <v>0</v>
      </c>
      <c r="BF53">
        <f>IF(OR($AA53="",AH$5=""),0,SUMIFS(INDIRECT("'"&amp;AH$5&amp;"'!E6:E1000"),INDIRECT("'"&amp;AH$5&amp;"'!C6:C1000"),$AA53,INDIRECT("'"&amp;AH$5&amp;"'!F6:F1000"),"箱")+SUMIFS(INDIRECT("'"&amp;AH$5&amp;"'!E6:E1000"),INDIRECT("'"&amp;AH$5&amp;"'!C6:C1000"),$AA53,INDIRECT("'"&amp;AH$5&amp;"'!F6:F1000"),"件"))</f>
        <v>0</v>
      </c>
      <c r="BG53">
        <f>IF(OR($AA53="",AI$5=""),0,SUMIFS(INDIRECT("'"&amp;AI$5&amp;"'!E6:E1000"),INDIRECT("'"&amp;AI$5&amp;"'!C6:C1000"),$AA53,INDIRECT("'"&amp;AI$5&amp;"'!F6:F1000"),"箱")+SUMIFS(INDIRECT("'"&amp;AI$5&amp;"'!E6:E1000"),INDIRECT("'"&amp;AI$5&amp;"'!C6:C1000"),$AA53,INDIRECT("'"&amp;AI$5&amp;"'!F6:F1000"),"件"))</f>
        <v>0</v>
      </c>
      <c r="BH53">
        <f>IF(OR($AA53="",AJ$5=""),0,SUMIFS(INDIRECT("'"&amp;AJ$5&amp;"'!E6:E1000"),INDIRECT("'"&amp;AJ$5&amp;"'!C6:C1000"),$AA53,INDIRECT("'"&amp;AJ$5&amp;"'!F6:F1000"),"箱")+SUMIFS(INDIRECT("'"&amp;AJ$5&amp;"'!E6:E1000"),INDIRECT("'"&amp;AJ$5&amp;"'!C6:C1000"),$AA53,INDIRECT("'"&amp;AJ$5&amp;"'!F6:F1000"),"件"))</f>
        <v>0</v>
      </c>
      <c r="BI53">
        <f>IF(OR($AA53="",AK$5=""),0,SUMIFS(INDIRECT("'"&amp;AK$5&amp;"'!E6:E1000"),INDIRECT("'"&amp;AK$5&amp;"'!C6:C1000"),$AA53,INDIRECT("'"&amp;AK$5&amp;"'!F6:F1000"),"箱")+SUMIFS(INDIRECT("'"&amp;AK$5&amp;"'!E6:E1000"),INDIRECT("'"&amp;AK$5&amp;"'!C6:C1000"),$AA53,INDIRECT("'"&amp;AK$5&amp;"'!F6:F1000"),"件"))</f>
        <v>0</v>
      </c>
      <c r="BJ53">
        <f>IF(OR($AA53="",AL$5=""),0,SUMIFS(INDIRECT("'"&amp;AL$5&amp;"'!E6:E1000"),INDIRECT("'"&amp;AL$5&amp;"'!C6:C1000"),$AA53,INDIRECT("'"&amp;AL$5&amp;"'!F6:F1000"),"箱")+SUMIFS(INDIRECT("'"&amp;AL$5&amp;"'!E6:E1000"),INDIRECT("'"&amp;AL$5&amp;"'!C6:C1000"),$AA53,INDIRECT("'"&amp;AL$5&amp;"'!F6:F1000"),"件"))</f>
        <v>0</v>
      </c>
      <c r="BK53">
        <f>IF(OR($AA53="",AM$5=""),0,SUMIFS(INDIRECT("'"&amp;AM$5&amp;"'!E6:E1000"),INDIRECT("'"&amp;AM$5&amp;"'!C6:C1000"),$AA53,INDIRECT("'"&amp;AM$5&amp;"'!F6:F1000"),"箱")+SUMIFS(INDIRECT("'"&amp;AM$5&amp;"'!E6:E1000"),INDIRECT("'"&amp;AM$5&amp;"'!C6:C1000"),$AA53,INDIRECT("'"&amp;AM$5&amp;"'!F6:F1000"),"件"))</f>
        <v>0</v>
      </c>
      <c r="BL53">
        <f>IF(OR($AA53="",AN$5=""),0,SUMIFS(INDIRECT("'"&amp;AN$5&amp;"'!E6:E1000"),INDIRECT("'"&amp;AN$5&amp;"'!C6:C1000"),$AA53,INDIRECT("'"&amp;AN$5&amp;"'!F6:F1000"),"箱")+SUMIFS(INDIRECT("'"&amp;AN$5&amp;"'!E6:E1000"),INDIRECT("'"&amp;AN$5&amp;"'!C6:C1000"),$AA53,INDIRECT("'"&amp;AN$5&amp;"'!F6:F1000"),"件"))</f>
        <v>0</v>
      </c>
      <c r="BM53">
        <f>(AO53-BA53)/$AB53+BA53</f>
        <v>0</v>
      </c>
      <c r="BN53">
        <f>(AP53-BB53)/$AB53+BB53</f>
        <v>0</v>
      </c>
      <c r="BO53">
        <f>(AQ53-BC53)/$AB53+BC53</f>
        <v>0</v>
      </c>
      <c r="BP53">
        <f>(AR53-BD53)/$AB53+BD53</f>
        <v>0</v>
      </c>
      <c r="BQ53">
        <f>(AS53-BE53)/$AB53+BE53</f>
        <v>0</v>
      </c>
      <c r="BR53">
        <f>(AT53-BF53)/$AB53+BF53</f>
        <v>0</v>
      </c>
      <c r="BS53">
        <f>(AU53-BG53)/$AB53+BG53</f>
        <v>0</v>
      </c>
      <c r="BT53">
        <f>(AV53-BH53)/$AB53+BH53</f>
        <v>0</v>
      </c>
      <c r="BU53">
        <f>(AW53-BI53)/$AB53+BI53</f>
        <v>0</v>
      </c>
      <c r="BV53">
        <f>(AX53-BJ53)/$AB53+BJ53</f>
        <v>0</v>
      </c>
      <c r="BW53">
        <f>(AY53-BK53)/$AB53+BK53</f>
        <v>0</v>
      </c>
      <c r="BX53">
        <f>(AZ53-BL53)/$AB53+BL53</f>
        <v>0</v>
      </c>
      <c r="BY53">
        <f>SUMPRODUCT((($AC$4:$AN$4=报损汇总一览!$A$3)+(报损汇总一览!$A$3="全年"))*AC53:AN53)</f>
        <v>0</v>
      </c>
      <c r="BZ53">
        <f>IF(BY53&gt;0,BY53+(1000-ROW())/10000000,"")</f>
      </c>
      <c r="CA53">
        <f>SUMPRODUCT((($AC$4:$AN$4=报损汇总一览!$A$3)+(报损汇总一览!$A$3="全年"))*AO53:AZ53)</f>
        <v>0</v>
      </c>
    </row>
    <row r="54">
      <c r="A54">
        <f>IF(OR(存条明细!C54="",存条明细!D54=""),"",IF(COUNTIFS(存条明细!$C$4:C54,存条明细!C54,存条明细!$D$4:D54,存条明细!D54)&gt;1,"",IFERROR(MATCH(存条明细!C54,总览汇总!$B$5:$B$304,0),900)*10000000+IFERROR(MATCH(存条明细!D54,基础资料!$E$5:$E$104,0),900)*10000+ROW()))</f>
        <v>110070054</v>
      </c>
      <c r="B54">
        <f>IFERROR(MATCH(SMALL($A$4:$A$4003,51),$A$4:$A$4003,0),"")</f>
        <v>34</v>
      </c>
      <c r="D54">
        <f>IF(AND(商品库存!B54&lt;&gt;"",商品库存!B54=客户查询!$B$4),COUNTIF(商品库存!$B$4:B54,客户查询!$B$4),"")</f>
      </c>
      <c r="E54">
        <f>IF(AND(商品库存!B54&lt;&gt;"",商品库存!B54=客户对账单!$B$4),COUNTIF(商品库存!$B$4:B54,客户对账单!$B$4),"")</f>
      </c>
      <c r="F54">
        <f>IF(AND(出库明细!C54&lt;&gt;"",出库明细!C54=客户对账单!$B$4,ISNUMBER(出库明细!B54),出库明细!B54&gt;=客户对账单!$G$4,出库明细!B54&lt;=客户对账单!$I$4),出库明细!B54+ROW()/100000,"")</f>
      </c>
      <c r="H54">
        <f>IF(AND(采购进货!C54&lt;&gt;"",采购进货!C54=供应商对账单!$B$4,ISNUMBER(采购进货!B54),采购进货!B54&gt;=供应商对账单!$G$4,采购进货!B54&lt;=供应商对账单!$I$4),采购进货!B54+ROW()/100000,"")</f>
      </c>
      <c r="J54">
        <f>IF(总览汇总!$B54="","",N(总览汇总!$K54)+SUMIFS(出库明细!$G$4:$G$3003,出库明细!$C$4:$C$3003,总览汇总!$B54,出库明细!$B$4:$B$3003,"&gt;="&amp;年初日,出库明细!$B$4:$B$3003,"&lt;="&amp;资产负债表!$D$3)-SUMIFS(资金台帐!$S$7:$S$3006,资金台帐!$J$7:$J$3006,总览汇总!$B54,资金台帐!$P$7:$P$3006,"应收",资金台帐!$B$7:$B$3006,"&gt;="&amp;年初日,资金台帐!$B$7:$B$3006,"&lt;="&amp;资产负债表!$D$3))</f>
        <v>-930</v>
      </c>
      <c r="K54">
        <f>IF(基础资料!$Q54="","",N(基础资料!$R54)+SUMIFS(采购进货!$G$4:$G$1503,采购进货!$C$4:$C$1503,基础资料!$Q54,采购进货!$B$4:$B$1503,"&gt;="&amp;年初日,采购进货!$B$4:$B$1503,"&lt;="&amp;资产负债表!$D$3)+SUMIFS(资金台帐!$S$7:$S$3006,资金台帐!$K$7:$K$3006,基础资料!$Q54,资金台帐!$P$7:$P$3006,"应付",资金台帐!$B$7:$B$3006,"&gt;="&amp;年初日,资金台帐!$B$7:$B$3006,"&lt;="&amp;资产负债表!$D$3))</f>
      </c>
      <c r="N54">
        <f>IF(AND(ISNUMBER(出库明细!G54),ISNUMBER(出库明细!E54),ISNUMBER(出库明细!F54)),IF(ABS(出库明细!G54-出库明细!E54*出库明细!F54)&gt;0.005,1,0),0)</f>
        <v>0</v>
      </c>
      <c r="O54">
        <f>IF(AND(ISNUMBER(存条明细!G54),ISNUMBER(存条明细!E54),ISNUMBER(存条明细!F54)),IF(ABS(存条明细!G54-存条明细!E54*存条明细!F54)&gt;0.005,1,0),0)</f>
        <v>0</v>
      </c>
      <c r="AA54">
        <f>IF(基础资料!G53="","",基础资料!G53&amp;"")</f>
      </c>
      <c r="AB54">
        <f>IF(N(基础资料!I53)&lt;=0,1,基础资料!I53)</f>
        <v>1</v>
      </c>
      <c r="AC54">
        <f>IF(OR($AA54="",AC$5=""),0,SUMIF(INDIRECT("'"&amp;AC$5&amp;"'!C6:C1000"),$AA54,INDIRECT("'"&amp;AC$5&amp;"'!H6:H1000")))</f>
        <v>0</v>
      </c>
      <c r="AD54">
        <f>IF(OR($AA54="",AD$5=""),0,SUMIF(INDIRECT("'"&amp;AD$5&amp;"'!C6:C1000"),$AA54,INDIRECT("'"&amp;AD$5&amp;"'!H6:H1000")))</f>
        <v>0</v>
      </c>
      <c r="AE54">
        <f>IF(OR($AA54="",AE$5=""),0,SUMIF(INDIRECT("'"&amp;AE$5&amp;"'!C6:C1000"),$AA54,INDIRECT("'"&amp;AE$5&amp;"'!H6:H1000")))</f>
        <v>0</v>
      </c>
      <c r="AF54">
        <f>IF(OR($AA54="",AF$5=""),0,SUMIF(INDIRECT("'"&amp;AF$5&amp;"'!C6:C1000"),$AA54,INDIRECT("'"&amp;AF$5&amp;"'!H6:H1000")))</f>
        <v>0</v>
      </c>
      <c r="AG54">
        <f>IF(OR($AA54="",AG$5=""),0,SUMIF(INDIRECT("'"&amp;AG$5&amp;"'!C6:C1000"),$AA54,INDIRECT("'"&amp;AG$5&amp;"'!H6:H1000")))</f>
        <v>0</v>
      </c>
      <c r="AH54">
        <f>IF(OR($AA54="",AH$5=""),0,SUMIF(INDIRECT("'"&amp;AH$5&amp;"'!C6:C1000"),$AA54,INDIRECT("'"&amp;AH$5&amp;"'!H6:H1000")))</f>
        <v>0</v>
      </c>
      <c r="AI54">
        <f>IF(OR($AA54="",AI$5=""),0,SUMIF(INDIRECT("'"&amp;AI$5&amp;"'!C6:C1000"),$AA54,INDIRECT("'"&amp;AI$5&amp;"'!H6:H1000")))</f>
        <v>0</v>
      </c>
      <c r="AJ54">
        <f>IF(OR($AA54="",AJ$5=""),0,SUMIF(INDIRECT("'"&amp;AJ$5&amp;"'!C6:C1000"),$AA54,INDIRECT("'"&amp;AJ$5&amp;"'!H6:H1000")))</f>
        <v>0</v>
      </c>
      <c r="AK54">
        <f>IF(OR($AA54="",AK$5=""),0,SUMIF(INDIRECT("'"&amp;AK$5&amp;"'!C6:C1000"),$AA54,INDIRECT("'"&amp;AK$5&amp;"'!H6:H1000")))</f>
        <v>0</v>
      </c>
      <c r="AL54">
        <f>IF(OR($AA54="",AL$5=""),0,SUMIF(INDIRECT("'"&amp;AL$5&amp;"'!C6:C1000"),$AA54,INDIRECT("'"&amp;AL$5&amp;"'!H6:H1000")))</f>
        <v>0</v>
      </c>
      <c r="AM54">
        <f>IF(OR($AA54="",AM$5=""),0,SUMIF(INDIRECT("'"&amp;AM$5&amp;"'!C6:C1000"),$AA54,INDIRECT("'"&amp;AM$5&amp;"'!H6:H1000")))</f>
        <v>0</v>
      </c>
      <c r="AN54">
        <f>IF(OR($AA54="",AN$5=""),0,SUMIF(INDIRECT("'"&amp;AN$5&amp;"'!C6:C1000"),$AA54,INDIRECT("'"&amp;AN$5&amp;"'!H6:H1000")))</f>
        <v>0</v>
      </c>
      <c r="AO54">
        <f>IF(OR($AA54="",AC$5=""),0,SUMIF(INDIRECT("'"&amp;AC$5&amp;"'!C6:C1000"),$AA54,INDIRECT("'"&amp;AC$5&amp;"'!E6:E1000")))</f>
        <v>0</v>
      </c>
      <c r="AP54">
        <f>IF(OR($AA54="",AD$5=""),0,SUMIF(INDIRECT("'"&amp;AD$5&amp;"'!C6:C1000"),$AA54,INDIRECT("'"&amp;AD$5&amp;"'!E6:E1000")))</f>
        <v>0</v>
      </c>
      <c r="AQ54">
        <f>IF(OR($AA54="",AE$5=""),0,SUMIF(INDIRECT("'"&amp;AE$5&amp;"'!C6:C1000"),$AA54,INDIRECT("'"&amp;AE$5&amp;"'!E6:E1000")))</f>
        <v>0</v>
      </c>
      <c r="AR54">
        <f>IF(OR($AA54="",AF$5=""),0,SUMIF(INDIRECT("'"&amp;AF$5&amp;"'!C6:C1000"),$AA54,INDIRECT("'"&amp;AF$5&amp;"'!E6:E1000")))</f>
        <v>0</v>
      </c>
      <c r="AS54">
        <f>IF(OR($AA54="",AG$5=""),0,SUMIF(INDIRECT("'"&amp;AG$5&amp;"'!C6:C1000"),$AA54,INDIRECT("'"&amp;AG$5&amp;"'!E6:E1000")))</f>
        <v>0</v>
      </c>
      <c r="AT54">
        <f>IF(OR($AA54="",AH$5=""),0,SUMIF(INDIRECT("'"&amp;AH$5&amp;"'!C6:C1000"),$AA54,INDIRECT("'"&amp;AH$5&amp;"'!E6:E1000")))</f>
        <v>0</v>
      </c>
      <c r="AU54">
        <f>IF(OR($AA54="",AI$5=""),0,SUMIF(INDIRECT("'"&amp;AI$5&amp;"'!C6:C1000"),$AA54,INDIRECT("'"&amp;AI$5&amp;"'!E6:E1000")))</f>
        <v>0</v>
      </c>
      <c r="AV54">
        <f>IF(OR($AA54="",AJ$5=""),0,SUMIF(INDIRECT("'"&amp;AJ$5&amp;"'!C6:C1000"),$AA54,INDIRECT("'"&amp;AJ$5&amp;"'!E6:E1000")))</f>
        <v>0</v>
      </c>
      <c r="AW54">
        <f>IF(OR($AA54="",AK$5=""),0,SUMIF(INDIRECT("'"&amp;AK$5&amp;"'!C6:C1000"),$AA54,INDIRECT("'"&amp;AK$5&amp;"'!E6:E1000")))</f>
        <v>0</v>
      </c>
      <c r="AX54">
        <f>IF(OR($AA54="",AL$5=""),0,SUMIF(INDIRECT("'"&amp;AL$5&amp;"'!C6:C1000"),$AA54,INDIRECT("'"&amp;AL$5&amp;"'!E6:E1000")))</f>
        <v>0</v>
      </c>
      <c r="AY54">
        <f>IF(OR($AA54="",AM$5=""),0,SUMIF(INDIRECT("'"&amp;AM$5&amp;"'!C6:C1000"),$AA54,INDIRECT("'"&amp;AM$5&amp;"'!E6:E1000")))</f>
        <v>0</v>
      </c>
      <c r="AZ54">
        <f>IF(OR($AA54="",AN$5=""),0,SUMIF(INDIRECT("'"&amp;AN$5&amp;"'!C6:C1000"),$AA54,INDIRECT("'"&amp;AN$5&amp;"'!E6:E1000")))</f>
        <v>0</v>
      </c>
      <c r="BA54">
        <f>IF(OR($AA54="",AC$5=""),0,SUMIFS(INDIRECT("'"&amp;AC$5&amp;"'!E6:E1000"),INDIRECT("'"&amp;AC$5&amp;"'!C6:C1000"),$AA54,INDIRECT("'"&amp;AC$5&amp;"'!F6:F1000"),"箱")+SUMIFS(INDIRECT("'"&amp;AC$5&amp;"'!E6:E1000"),INDIRECT("'"&amp;AC$5&amp;"'!C6:C1000"),$AA54,INDIRECT("'"&amp;AC$5&amp;"'!F6:F1000"),"件"))</f>
        <v>0</v>
      </c>
      <c r="BB54">
        <f>IF(OR($AA54="",AD$5=""),0,SUMIFS(INDIRECT("'"&amp;AD$5&amp;"'!E6:E1000"),INDIRECT("'"&amp;AD$5&amp;"'!C6:C1000"),$AA54,INDIRECT("'"&amp;AD$5&amp;"'!F6:F1000"),"箱")+SUMIFS(INDIRECT("'"&amp;AD$5&amp;"'!E6:E1000"),INDIRECT("'"&amp;AD$5&amp;"'!C6:C1000"),$AA54,INDIRECT("'"&amp;AD$5&amp;"'!F6:F1000"),"件"))</f>
        <v>0</v>
      </c>
      <c r="BC54">
        <f>IF(OR($AA54="",AE$5=""),0,SUMIFS(INDIRECT("'"&amp;AE$5&amp;"'!E6:E1000"),INDIRECT("'"&amp;AE$5&amp;"'!C6:C1000"),$AA54,INDIRECT("'"&amp;AE$5&amp;"'!F6:F1000"),"箱")+SUMIFS(INDIRECT("'"&amp;AE$5&amp;"'!E6:E1000"),INDIRECT("'"&amp;AE$5&amp;"'!C6:C1000"),$AA54,INDIRECT("'"&amp;AE$5&amp;"'!F6:F1000"),"件"))</f>
        <v>0</v>
      </c>
      <c r="BD54">
        <f>IF(OR($AA54="",AF$5=""),0,SUMIFS(INDIRECT("'"&amp;AF$5&amp;"'!E6:E1000"),INDIRECT("'"&amp;AF$5&amp;"'!C6:C1000"),$AA54,INDIRECT("'"&amp;AF$5&amp;"'!F6:F1000"),"箱")+SUMIFS(INDIRECT("'"&amp;AF$5&amp;"'!E6:E1000"),INDIRECT("'"&amp;AF$5&amp;"'!C6:C1000"),$AA54,INDIRECT("'"&amp;AF$5&amp;"'!F6:F1000"),"件"))</f>
        <v>0</v>
      </c>
      <c r="BE54">
        <f>IF(OR($AA54="",AG$5=""),0,SUMIFS(INDIRECT("'"&amp;AG$5&amp;"'!E6:E1000"),INDIRECT("'"&amp;AG$5&amp;"'!C6:C1000"),$AA54,INDIRECT("'"&amp;AG$5&amp;"'!F6:F1000"),"箱")+SUMIFS(INDIRECT("'"&amp;AG$5&amp;"'!E6:E1000"),INDIRECT("'"&amp;AG$5&amp;"'!C6:C1000"),$AA54,INDIRECT("'"&amp;AG$5&amp;"'!F6:F1000"),"件"))</f>
        <v>0</v>
      </c>
      <c r="BF54">
        <f>IF(OR($AA54="",AH$5=""),0,SUMIFS(INDIRECT("'"&amp;AH$5&amp;"'!E6:E1000"),INDIRECT("'"&amp;AH$5&amp;"'!C6:C1000"),$AA54,INDIRECT("'"&amp;AH$5&amp;"'!F6:F1000"),"箱")+SUMIFS(INDIRECT("'"&amp;AH$5&amp;"'!E6:E1000"),INDIRECT("'"&amp;AH$5&amp;"'!C6:C1000"),$AA54,INDIRECT("'"&amp;AH$5&amp;"'!F6:F1000"),"件"))</f>
        <v>0</v>
      </c>
      <c r="BG54">
        <f>IF(OR($AA54="",AI$5=""),0,SUMIFS(INDIRECT("'"&amp;AI$5&amp;"'!E6:E1000"),INDIRECT("'"&amp;AI$5&amp;"'!C6:C1000"),$AA54,INDIRECT("'"&amp;AI$5&amp;"'!F6:F1000"),"箱")+SUMIFS(INDIRECT("'"&amp;AI$5&amp;"'!E6:E1000"),INDIRECT("'"&amp;AI$5&amp;"'!C6:C1000"),$AA54,INDIRECT("'"&amp;AI$5&amp;"'!F6:F1000"),"件"))</f>
        <v>0</v>
      </c>
      <c r="BH54">
        <f>IF(OR($AA54="",AJ$5=""),0,SUMIFS(INDIRECT("'"&amp;AJ$5&amp;"'!E6:E1000"),INDIRECT("'"&amp;AJ$5&amp;"'!C6:C1000"),$AA54,INDIRECT("'"&amp;AJ$5&amp;"'!F6:F1000"),"箱")+SUMIFS(INDIRECT("'"&amp;AJ$5&amp;"'!E6:E1000"),INDIRECT("'"&amp;AJ$5&amp;"'!C6:C1000"),$AA54,INDIRECT("'"&amp;AJ$5&amp;"'!F6:F1000"),"件"))</f>
        <v>0</v>
      </c>
      <c r="BI54">
        <f>IF(OR($AA54="",AK$5=""),0,SUMIFS(INDIRECT("'"&amp;AK$5&amp;"'!E6:E1000"),INDIRECT("'"&amp;AK$5&amp;"'!C6:C1000"),$AA54,INDIRECT("'"&amp;AK$5&amp;"'!F6:F1000"),"箱")+SUMIFS(INDIRECT("'"&amp;AK$5&amp;"'!E6:E1000"),INDIRECT("'"&amp;AK$5&amp;"'!C6:C1000"),$AA54,INDIRECT("'"&amp;AK$5&amp;"'!F6:F1000"),"件"))</f>
        <v>0</v>
      </c>
      <c r="BJ54">
        <f>IF(OR($AA54="",AL$5=""),0,SUMIFS(INDIRECT("'"&amp;AL$5&amp;"'!E6:E1000"),INDIRECT("'"&amp;AL$5&amp;"'!C6:C1000"),$AA54,INDIRECT("'"&amp;AL$5&amp;"'!F6:F1000"),"箱")+SUMIFS(INDIRECT("'"&amp;AL$5&amp;"'!E6:E1000"),INDIRECT("'"&amp;AL$5&amp;"'!C6:C1000"),$AA54,INDIRECT("'"&amp;AL$5&amp;"'!F6:F1000"),"件"))</f>
        <v>0</v>
      </c>
      <c r="BK54">
        <f>IF(OR($AA54="",AM$5=""),0,SUMIFS(INDIRECT("'"&amp;AM$5&amp;"'!E6:E1000"),INDIRECT("'"&amp;AM$5&amp;"'!C6:C1000"),$AA54,INDIRECT("'"&amp;AM$5&amp;"'!F6:F1000"),"箱")+SUMIFS(INDIRECT("'"&amp;AM$5&amp;"'!E6:E1000"),INDIRECT("'"&amp;AM$5&amp;"'!C6:C1000"),$AA54,INDIRECT("'"&amp;AM$5&amp;"'!F6:F1000"),"件"))</f>
        <v>0</v>
      </c>
      <c r="BL54">
        <f>IF(OR($AA54="",AN$5=""),0,SUMIFS(INDIRECT("'"&amp;AN$5&amp;"'!E6:E1000"),INDIRECT("'"&amp;AN$5&amp;"'!C6:C1000"),$AA54,INDIRECT("'"&amp;AN$5&amp;"'!F6:F1000"),"箱")+SUMIFS(INDIRECT("'"&amp;AN$5&amp;"'!E6:E1000"),INDIRECT("'"&amp;AN$5&amp;"'!C6:C1000"),$AA54,INDIRECT("'"&amp;AN$5&amp;"'!F6:F1000"),"件"))</f>
        <v>0</v>
      </c>
      <c r="BM54">
        <f>(AO54-BA54)/$AB54+BA54</f>
        <v>0</v>
      </c>
      <c r="BN54">
        <f>(AP54-BB54)/$AB54+BB54</f>
        <v>0</v>
      </c>
      <c r="BO54">
        <f>(AQ54-BC54)/$AB54+BC54</f>
        <v>0</v>
      </c>
      <c r="BP54">
        <f>(AR54-BD54)/$AB54+BD54</f>
        <v>0</v>
      </c>
      <c r="BQ54">
        <f>(AS54-BE54)/$AB54+BE54</f>
        <v>0</v>
      </c>
      <c r="BR54">
        <f>(AT54-BF54)/$AB54+BF54</f>
        <v>0</v>
      </c>
      <c r="BS54">
        <f>(AU54-BG54)/$AB54+BG54</f>
        <v>0</v>
      </c>
      <c r="BT54">
        <f>(AV54-BH54)/$AB54+BH54</f>
        <v>0</v>
      </c>
      <c r="BU54">
        <f>(AW54-BI54)/$AB54+BI54</f>
        <v>0</v>
      </c>
      <c r="BV54">
        <f>(AX54-BJ54)/$AB54+BJ54</f>
        <v>0</v>
      </c>
      <c r="BW54">
        <f>(AY54-BK54)/$AB54+BK54</f>
        <v>0</v>
      </c>
      <c r="BX54">
        <f>(AZ54-BL54)/$AB54+BL54</f>
        <v>0</v>
      </c>
      <c r="BY54">
        <f>SUMPRODUCT((($AC$4:$AN$4=报损汇总一览!$A$3)+(报损汇总一览!$A$3="全年"))*AC54:AN54)</f>
        <v>0</v>
      </c>
      <c r="BZ54">
        <f>IF(BY54&gt;0,BY54+(1000-ROW())/10000000,"")</f>
      </c>
      <c r="CA54">
        <f>SUMPRODUCT((($AC$4:$AN$4=报损汇总一览!$A$3)+(报损汇总一览!$A$3="全年"))*AO54:AZ54)</f>
        <v>0</v>
      </c>
    </row>
    <row r="55">
      <c r="A55">
        <f>IF(OR(存条明细!C55="",存条明细!D55=""),"",IF(COUNTIFS(存条明细!$C$4:C55,存条明细!C55,存条明细!$D$4:D55,存条明细!D55)&gt;1,"",IFERROR(MATCH(存条明细!C55,总览汇总!$B$5:$B$304,0),900)*10000000+IFERROR(MATCH(存条明细!D55,基础资料!$E$5:$E$104,0),900)*10000+ROW()))</f>
        <v>120010055</v>
      </c>
      <c r="B55">
        <f>IFERROR(MATCH(SMALL($A$4:$A$4003,52),$A$4:$A$4003,0),"")</f>
        <v>35</v>
      </c>
      <c r="D55">
        <f>IF(AND(商品库存!B55&lt;&gt;"",商品库存!B55=客户查询!$B$4),COUNTIF(商品库存!$B$4:B55,客户查询!$B$4),"")</f>
      </c>
      <c r="E55">
        <f>IF(AND(商品库存!B55&lt;&gt;"",商品库存!B55=客户对账单!$B$4),COUNTIF(商品库存!$B$4:B55,客户对账单!$B$4),"")</f>
      </c>
      <c r="F55">
        <f>IF(AND(出库明细!C55&lt;&gt;"",出库明细!C55=客户对账单!$B$4,ISNUMBER(出库明细!B55),出库明细!B55&gt;=客户对账单!$G$4,出库明细!B55&lt;=客户对账单!$I$4),出库明细!B55+ROW()/100000,"")</f>
      </c>
      <c r="H55">
        <f>IF(AND(采购进货!C55&lt;&gt;"",采购进货!C55=供应商对账单!$B$4,ISNUMBER(采购进货!B55),采购进货!B55&gt;=供应商对账单!$G$4,采购进货!B55&lt;=供应商对账单!$I$4),采购进货!B55+ROW()/100000,"")</f>
      </c>
      <c r="J55">
        <f>IF(总览汇总!$B55="","",N(总览汇总!$K55)+SUMIFS(出库明细!$G$4:$G$3003,出库明细!$C$4:$C$3003,总览汇总!$B55,出库明细!$B$4:$B$3003,"&gt;="&amp;年初日,出库明细!$B$4:$B$3003,"&lt;="&amp;资产负债表!$D$3)-SUMIFS(资金台帐!$S$7:$S$3006,资金台帐!$J$7:$J$3006,总览汇总!$B55,资金台帐!$P$7:$P$3006,"应收",资金台帐!$B$7:$B$3006,"&gt;="&amp;年初日,资金台帐!$B$7:$B$3006,"&lt;="&amp;资产负债表!$D$3))</f>
        <v>-2325</v>
      </c>
      <c r="N55">
        <f>IF(AND(ISNUMBER(出库明细!G55),ISNUMBER(出库明细!E55),ISNUMBER(出库明细!F55)),IF(ABS(出库明细!G55-出库明细!E55*出库明细!F55)&gt;0.005,1,0),0)</f>
        <v>0</v>
      </c>
      <c r="O55">
        <f>IF(AND(ISNUMBER(存条明细!G55),ISNUMBER(存条明细!E55),ISNUMBER(存条明细!F55)),IF(ABS(存条明细!G55-存条明细!E55*存条明细!F55)&gt;0.005,1,0),0)</f>
        <v>0</v>
      </c>
      <c r="AA55">
        <f>IF(基础资料!G54="","",基础资料!G54&amp;"")</f>
      </c>
      <c r="AB55">
        <f>IF(N(基础资料!I54)&lt;=0,1,基础资料!I54)</f>
        <v>1</v>
      </c>
      <c r="AC55">
        <f>IF(OR($AA55="",AC$5=""),0,SUMIF(INDIRECT("'"&amp;AC$5&amp;"'!C6:C1000"),$AA55,INDIRECT("'"&amp;AC$5&amp;"'!H6:H1000")))</f>
        <v>0</v>
      </c>
      <c r="AD55">
        <f>IF(OR($AA55="",AD$5=""),0,SUMIF(INDIRECT("'"&amp;AD$5&amp;"'!C6:C1000"),$AA55,INDIRECT("'"&amp;AD$5&amp;"'!H6:H1000")))</f>
        <v>0</v>
      </c>
      <c r="AE55">
        <f>IF(OR($AA55="",AE$5=""),0,SUMIF(INDIRECT("'"&amp;AE$5&amp;"'!C6:C1000"),$AA55,INDIRECT("'"&amp;AE$5&amp;"'!H6:H1000")))</f>
        <v>0</v>
      </c>
      <c r="AF55">
        <f>IF(OR($AA55="",AF$5=""),0,SUMIF(INDIRECT("'"&amp;AF$5&amp;"'!C6:C1000"),$AA55,INDIRECT("'"&amp;AF$5&amp;"'!H6:H1000")))</f>
        <v>0</v>
      </c>
      <c r="AG55">
        <f>IF(OR($AA55="",AG$5=""),0,SUMIF(INDIRECT("'"&amp;AG$5&amp;"'!C6:C1000"),$AA55,INDIRECT("'"&amp;AG$5&amp;"'!H6:H1000")))</f>
        <v>0</v>
      </c>
      <c r="AH55">
        <f>IF(OR($AA55="",AH$5=""),0,SUMIF(INDIRECT("'"&amp;AH$5&amp;"'!C6:C1000"),$AA55,INDIRECT("'"&amp;AH$5&amp;"'!H6:H1000")))</f>
        <v>0</v>
      </c>
      <c r="AI55">
        <f>IF(OR($AA55="",AI$5=""),0,SUMIF(INDIRECT("'"&amp;AI$5&amp;"'!C6:C1000"),$AA55,INDIRECT("'"&amp;AI$5&amp;"'!H6:H1000")))</f>
        <v>0</v>
      </c>
      <c r="AJ55">
        <f>IF(OR($AA55="",AJ$5=""),0,SUMIF(INDIRECT("'"&amp;AJ$5&amp;"'!C6:C1000"),$AA55,INDIRECT("'"&amp;AJ$5&amp;"'!H6:H1000")))</f>
        <v>0</v>
      </c>
      <c r="AK55">
        <f>IF(OR($AA55="",AK$5=""),0,SUMIF(INDIRECT("'"&amp;AK$5&amp;"'!C6:C1000"),$AA55,INDIRECT("'"&amp;AK$5&amp;"'!H6:H1000")))</f>
        <v>0</v>
      </c>
      <c r="AL55">
        <f>IF(OR($AA55="",AL$5=""),0,SUMIF(INDIRECT("'"&amp;AL$5&amp;"'!C6:C1000"),$AA55,INDIRECT("'"&amp;AL$5&amp;"'!H6:H1000")))</f>
        <v>0</v>
      </c>
      <c r="AM55">
        <f>IF(OR($AA55="",AM$5=""),0,SUMIF(INDIRECT("'"&amp;AM$5&amp;"'!C6:C1000"),$AA55,INDIRECT("'"&amp;AM$5&amp;"'!H6:H1000")))</f>
        <v>0</v>
      </c>
      <c r="AN55">
        <f>IF(OR($AA55="",AN$5=""),0,SUMIF(INDIRECT("'"&amp;AN$5&amp;"'!C6:C1000"),$AA55,INDIRECT("'"&amp;AN$5&amp;"'!H6:H1000")))</f>
        <v>0</v>
      </c>
      <c r="AO55">
        <f>IF(OR($AA55="",AC$5=""),0,SUMIF(INDIRECT("'"&amp;AC$5&amp;"'!C6:C1000"),$AA55,INDIRECT("'"&amp;AC$5&amp;"'!E6:E1000")))</f>
        <v>0</v>
      </c>
      <c r="AP55">
        <f>IF(OR($AA55="",AD$5=""),0,SUMIF(INDIRECT("'"&amp;AD$5&amp;"'!C6:C1000"),$AA55,INDIRECT("'"&amp;AD$5&amp;"'!E6:E1000")))</f>
        <v>0</v>
      </c>
      <c r="AQ55">
        <f>IF(OR($AA55="",AE$5=""),0,SUMIF(INDIRECT("'"&amp;AE$5&amp;"'!C6:C1000"),$AA55,INDIRECT("'"&amp;AE$5&amp;"'!E6:E1000")))</f>
        <v>0</v>
      </c>
      <c r="AR55">
        <f>IF(OR($AA55="",AF$5=""),0,SUMIF(INDIRECT("'"&amp;AF$5&amp;"'!C6:C1000"),$AA55,INDIRECT("'"&amp;AF$5&amp;"'!E6:E1000")))</f>
        <v>0</v>
      </c>
      <c r="AS55">
        <f>IF(OR($AA55="",AG$5=""),0,SUMIF(INDIRECT("'"&amp;AG$5&amp;"'!C6:C1000"),$AA55,INDIRECT("'"&amp;AG$5&amp;"'!E6:E1000")))</f>
        <v>0</v>
      </c>
      <c r="AT55">
        <f>IF(OR($AA55="",AH$5=""),0,SUMIF(INDIRECT("'"&amp;AH$5&amp;"'!C6:C1000"),$AA55,INDIRECT("'"&amp;AH$5&amp;"'!E6:E1000")))</f>
        <v>0</v>
      </c>
      <c r="AU55">
        <f>IF(OR($AA55="",AI$5=""),0,SUMIF(INDIRECT("'"&amp;AI$5&amp;"'!C6:C1000"),$AA55,INDIRECT("'"&amp;AI$5&amp;"'!E6:E1000")))</f>
        <v>0</v>
      </c>
      <c r="AV55">
        <f>IF(OR($AA55="",AJ$5=""),0,SUMIF(INDIRECT("'"&amp;AJ$5&amp;"'!C6:C1000"),$AA55,INDIRECT("'"&amp;AJ$5&amp;"'!E6:E1000")))</f>
        <v>0</v>
      </c>
      <c r="AW55">
        <f>IF(OR($AA55="",AK$5=""),0,SUMIF(INDIRECT("'"&amp;AK$5&amp;"'!C6:C1000"),$AA55,INDIRECT("'"&amp;AK$5&amp;"'!E6:E1000")))</f>
        <v>0</v>
      </c>
      <c r="AX55">
        <f>IF(OR($AA55="",AL$5=""),0,SUMIF(INDIRECT("'"&amp;AL$5&amp;"'!C6:C1000"),$AA55,INDIRECT("'"&amp;AL$5&amp;"'!E6:E1000")))</f>
        <v>0</v>
      </c>
      <c r="AY55">
        <f>IF(OR($AA55="",AM$5=""),0,SUMIF(INDIRECT("'"&amp;AM$5&amp;"'!C6:C1000"),$AA55,INDIRECT("'"&amp;AM$5&amp;"'!E6:E1000")))</f>
        <v>0</v>
      </c>
      <c r="AZ55">
        <f>IF(OR($AA55="",AN$5=""),0,SUMIF(INDIRECT("'"&amp;AN$5&amp;"'!C6:C1000"),$AA55,INDIRECT("'"&amp;AN$5&amp;"'!E6:E1000")))</f>
        <v>0</v>
      </c>
      <c r="BA55">
        <f>IF(OR($AA55="",AC$5=""),0,SUMIFS(INDIRECT("'"&amp;AC$5&amp;"'!E6:E1000"),INDIRECT("'"&amp;AC$5&amp;"'!C6:C1000"),$AA55,INDIRECT("'"&amp;AC$5&amp;"'!F6:F1000"),"箱")+SUMIFS(INDIRECT("'"&amp;AC$5&amp;"'!E6:E1000"),INDIRECT("'"&amp;AC$5&amp;"'!C6:C1000"),$AA55,INDIRECT("'"&amp;AC$5&amp;"'!F6:F1000"),"件"))</f>
        <v>0</v>
      </c>
      <c r="BB55">
        <f>IF(OR($AA55="",AD$5=""),0,SUMIFS(INDIRECT("'"&amp;AD$5&amp;"'!E6:E1000"),INDIRECT("'"&amp;AD$5&amp;"'!C6:C1000"),$AA55,INDIRECT("'"&amp;AD$5&amp;"'!F6:F1000"),"箱")+SUMIFS(INDIRECT("'"&amp;AD$5&amp;"'!E6:E1000"),INDIRECT("'"&amp;AD$5&amp;"'!C6:C1000"),$AA55,INDIRECT("'"&amp;AD$5&amp;"'!F6:F1000"),"件"))</f>
        <v>0</v>
      </c>
      <c r="BC55">
        <f>IF(OR($AA55="",AE$5=""),0,SUMIFS(INDIRECT("'"&amp;AE$5&amp;"'!E6:E1000"),INDIRECT("'"&amp;AE$5&amp;"'!C6:C1000"),$AA55,INDIRECT("'"&amp;AE$5&amp;"'!F6:F1000"),"箱")+SUMIFS(INDIRECT("'"&amp;AE$5&amp;"'!E6:E1000"),INDIRECT("'"&amp;AE$5&amp;"'!C6:C1000"),$AA55,INDIRECT("'"&amp;AE$5&amp;"'!F6:F1000"),"件"))</f>
        <v>0</v>
      </c>
      <c r="BD55">
        <f>IF(OR($AA55="",AF$5=""),0,SUMIFS(INDIRECT("'"&amp;AF$5&amp;"'!E6:E1000"),INDIRECT("'"&amp;AF$5&amp;"'!C6:C1000"),$AA55,INDIRECT("'"&amp;AF$5&amp;"'!F6:F1000"),"箱")+SUMIFS(INDIRECT("'"&amp;AF$5&amp;"'!E6:E1000"),INDIRECT("'"&amp;AF$5&amp;"'!C6:C1000"),$AA55,INDIRECT("'"&amp;AF$5&amp;"'!F6:F1000"),"件"))</f>
        <v>0</v>
      </c>
      <c r="BE55">
        <f>IF(OR($AA55="",AG$5=""),0,SUMIFS(INDIRECT("'"&amp;AG$5&amp;"'!E6:E1000"),INDIRECT("'"&amp;AG$5&amp;"'!C6:C1000"),$AA55,INDIRECT("'"&amp;AG$5&amp;"'!F6:F1000"),"箱")+SUMIFS(INDIRECT("'"&amp;AG$5&amp;"'!E6:E1000"),INDIRECT("'"&amp;AG$5&amp;"'!C6:C1000"),$AA55,INDIRECT("'"&amp;AG$5&amp;"'!F6:F1000"),"件"))</f>
        <v>0</v>
      </c>
      <c r="BF55">
        <f>IF(OR($AA55="",AH$5=""),0,SUMIFS(INDIRECT("'"&amp;AH$5&amp;"'!E6:E1000"),INDIRECT("'"&amp;AH$5&amp;"'!C6:C1000"),$AA55,INDIRECT("'"&amp;AH$5&amp;"'!F6:F1000"),"箱")+SUMIFS(INDIRECT("'"&amp;AH$5&amp;"'!E6:E1000"),INDIRECT("'"&amp;AH$5&amp;"'!C6:C1000"),$AA55,INDIRECT("'"&amp;AH$5&amp;"'!F6:F1000"),"件"))</f>
        <v>0</v>
      </c>
      <c r="BG55">
        <f>IF(OR($AA55="",AI$5=""),0,SUMIFS(INDIRECT("'"&amp;AI$5&amp;"'!E6:E1000"),INDIRECT("'"&amp;AI$5&amp;"'!C6:C1000"),$AA55,INDIRECT("'"&amp;AI$5&amp;"'!F6:F1000"),"箱")+SUMIFS(INDIRECT("'"&amp;AI$5&amp;"'!E6:E1000"),INDIRECT("'"&amp;AI$5&amp;"'!C6:C1000"),$AA55,INDIRECT("'"&amp;AI$5&amp;"'!F6:F1000"),"件"))</f>
        <v>0</v>
      </c>
      <c r="BH55">
        <f>IF(OR($AA55="",AJ$5=""),0,SUMIFS(INDIRECT("'"&amp;AJ$5&amp;"'!E6:E1000"),INDIRECT("'"&amp;AJ$5&amp;"'!C6:C1000"),$AA55,INDIRECT("'"&amp;AJ$5&amp;"'!F6:F1000"),"箱")+SUMIFS(INDIRECT("'"&amp;AJ$5&amp;"'!E6:E1000"),INDIRECT("'"&amp;AJ$5&amp;"'!C6:C1000"),$AA55,INDIRECT("'"&amp;AJ$5&amp;"'!F6:F1000"),"件"))</f>
        <v>0</v>
      </c>
      <c r="BI55">
        <f>IF(OR($AA55="",AK$5=""),0,SUMIFS(INDIRECT("'"&amp;AK$5&amp;"'!E6:E1000"),INDIRECT("'"&amp;AK$5&amp;"'!C6:C1000"),$AA55,INDIRECT("'"&amp;AK$5&amp;"'!F6:F1000"),"箱")+SUMIFS(INDIRECT("'"&amp;AK$5&amp;"'!E6:E1000"),INDIRECT("'"&amp;AK$5&amp;"'!C6:C1000"),$AA55,INDIRECT("'"&amp;AK$5&amp;"'!F6:F1000"),"件"))</f>
        <v>0</v>
      </c>
      <c r="BJ55">
        <f>IF(OR($AA55="",AL$5=""),0,SUMIFS(INDIRECT("'"&amp;AL$5&amp;"'!E6:E1000"),INDIRECT("'"&amp;AL$5&amp;"'!C6:C1000"),$AA55,INDIRECT("'"&amp;AL$5&amp;"'!F6:F1000"),"箱")+SUMIFS(INDIRECT("'"&amp;AL$5&amp;"'!E6:E1000"),INDIRECT("'"&amp;AL$5&amp;"'!C6:C1000"),$AA55,INDIRECT("'"&amp;AL$5&amp;"'!F6:F1000"),"件"))</f>
        <v>0</v>
      </c>
      <c r="BK55">
        <f>IF(OR($AA55="",AM$5=""),0,SUMIFS(INDIRECT("'"&amp;AM$5&amp;"'!E6:E1000"),INDIRECT("'"&amp;AM$5&amp;"'!C6:C1000"),$AA55,INDIRECT("'"&amp;AM$5&amp;"'!F6:F1000"),"箱")+SUMIFS(INDIRECT("'"&amp;AM$5&amp;"'!E6:E1000"),INDIRECT("'"&amp;AM$5&amp;"'!C6:C1000"),$AA55,INDIRECT("'"&amp;AM$5&amp;"'!F6:F1000"),"件"))</f>
        <v>0</v>
      </c>
      <c r="BL55">
        <f>IF(OR($AA55="",AN$5=""),0,SUMIFS(INDIRECT("'"&amp;AN$5&amp;"'!E6:E1000"),INDIRECT("'"&amp;AN$5&amp;"'!C6:C1000"),$AA55,INDIRECT("'"&amp;AN$5&amp;"'!F6:F1000"),"箱")+SUMIFS(INDIRECT("'"&amp;AN$5&amp;"'!E6:E1000"),INDIRECT("'"&amp;AN$5&amp;"'!C6:C1000"),$AA55,INDIRECT("'"&amp;AN$5&amp;"'!F6:F1000"),"件"))</f>
        <v>0</v>
      </c>
      <c r="BM55">
        <f>(AO55-BA55)/$AB55+BA55</f>
        <v>0</v>
      </c>
      <c r="BN55">
        <f>(AP55-BB55)/$AB55+BB55</f>
        <v>0</v>
      </c>
      <c r="BO55">
        <f>(AQ55-BC55)/$AB55+BC55</f>
        <v>0</v>
      </c>
      <c r="BP55">
        <f>(AR55-BD55)/$AB55+BD55</f>
        <v>0</v>
      </c>
      <c r="BQ55">
        <f>(AS55-BE55)/$AB55+BE55</f>
        <v>0</v>
      </c>
      <c r="BR55">
        <f>(AT55-BF55)/$AB55+BF55</f>
        <v>0</v>
      </c>
      <c r="BS55">
        <f>(AU55-BG55)/$AB55+BG55</f>
        <v>0</v>
      </c>
      <c r="BT55">
        <f>(AV55-BH55)/$AB55+BH55</f>
        <v>0</v>
      </c>
      <c r="BU55">
        <f>(AW55-BI55)/$AB55+BI55</f>
        <v>0</v>
      </c>
      <c r="BV55">
        <f>(AX55-BJ55)/$AB55+BJ55</f>
        <v>0</v>
      </c>
      <c r="BW55">
        <f>(AY55-BK55)/$AB55+BK55</f>
        <v>0</v>
      </c>
      <c r="BX55">
        <f>(AZ55-BL55)/$AB55+BL55</f>
        <v>0</v>
      </c>
      <c r="BY55">
        <f>SUMPRODUCT((($AC$4:$AN$4=报损汇总一览!$A$3)+(报损汇总一览!$A$3="全年"))*AC55:AN55)</f>
        <v>0</v>
      </c>
      <c r="BZ55">
        <f>IF(BY55&gt;0,BY55+(1000-ROW())/10000000,"")</f>
      </c>
      <c r="CA55">
        <f>SUMPRODUCT((($AC$4:$AN$4=报损汇总一览!$A$3)+(报损汇总一览!$A$3="全年"))*AO55:AZ55)</f>
        <v>0</v>
      </c>
    </row>
    <row r="56">
      <c r="A56">
        <f>IF(OR(存条明细!C56="",存条明细!D56=""),"",IF(COUNTIFS(存条明细!$C$4:C56,存条明细!C56,存条明细!$D$4:D56,存条明细!D56)&gt;1,"",IFERROR(MATCH(存条明细!C56,总览汇总!$B$5:$B$304,0),900)*10000000+IFERROR(MATCH(存条明细!D56,基础资料!$E$5:$E$104,0),900)*10000+ROW()))</f>
        <v>140010056</v>
      </c>
      <c r="B56">
        <f>IFERROR(MATCH(SMALL($A$4:$A$4003,53),$A$4:$A$4003,0),"")</f>
        <v>36</v>
      </c>
      <c r="D56">
        <f>IF(AND(商品库存!B56&lt;&gt;"",商品库存!B56=客户查询!$B$4),COUNTIF(商品库存!$B$4:B56,客户查询!$B$4),"")</f>
      </c>
      <c r="E56">
        <f>IF(AND(商品库存!B56&lt;&gt;"",商品库存!B56=客户对账单!$B$4),COUNTIF(商品库存!$B$4:B56,客户对账单!$B$4),"")</f>
      </c>
      <c r="F56">
        <f>IF(AND(出库明细!C56&lt;&gt;"",出库明细!C56=客户对账单!$B$4,ISNUMBER(出库明细!B56),出库明细!B56&gt;=客户对账单!$G$4,出库明细!B56&lt;=客户对账单!$I$4),出库明细!B56+ROW()/100000,"")</f>
      </c>
      <c r="H56">
        <f>IF(AND(采购进货!C56&lt;&gt;"",采购进货!C56=供应商对账单!$B$4,ISNUMBER(采购进货!B56),采购进货!B56&gt;=供应商对账单!$G$4,采购进货!B56&lt;=供应商对账单!$I$4),采购进货!B56+ROW()/100000,"")</f>
      </c>
      <c r="J56">
        <f>IF(总览汇总!$B56="","",N(总览汇总!$K56)+SUMIFS(出库明细!$G$4:$G$3003,出库明细!$C$4:$C$3003,总览汇总!$B56,出库明细!$B$4:$B$3003,"&gt;="&amp;年初日,出库明细!$B$4:$B$3003,"&lt;="&amp;资产负债表!$D$3)-SUMIFS(资金台帐!$S$7:$S$3006,资金台帐!$J$7:$J$3006,总览汇总!$B56,资金台帐!$P$7:$P$3006,"应收",资金台帐!$B$7:$B$3006,"&gt;="&amp;年初日,资金台帐!$B$7:$B$3006,"&lt;="&amp;资产负债表!$D$3))</f>
        <v>0</v>
      </c>
      <c r="N56">
        <f>IF(AND(ISNUMBER(出库明细!G56),ISNUMBER(出库明细!E56),ISNUMBER(出库明细!F56)),IF(ABS(出库明细!G56-出库明细!E56*出库明细!F56)&gt;0.005,1,0),0)</f>
        <v>0</v>
      </c>
      <c r="O56">
        <f>IF(AND(ISNUMBER(存条明细!G56),ISNUMBER(存条明细!E56),ISNUMBER(存条明细!F56)),IF(ABS(存条明细!G56-存条明细!E56*存条明细!F56)&gt;0.005,1,0),0)</f>
        <v>0</v>
      </c>
      <c r="AA56">
        <f>IF(基础资料!G55="","",基础资料!G55&amp;"")</f>
      </c>
      <c r="AB56">
        <f>IF(N(基础资料!I55)&lt;=0,1,基础资料!I55)</f>
        <v>1</v>
      </c>
      <c r="AC56">
        <f>IF(OR($AA56="",AC$5=""),0,SUMIF(INDIRECT("'"&amp;AC$5&amp;"'!C6:C1000"),$AA56,INDIRECT("'"&amp;AC$5&amp;"'!H6:H1000")))</f>
        <v>0</v>
      </c>
      <c r="AD56">
        <f>IF(OR($AA56="",AD$5=""),0,SUMIF(INDIRECT("'"&amp;AD$5&amp;"'!C6:C1000"),$AA56,INDIRECT("'"&amp;AD$5&amp;"'!H6:H1000")))</f>
        <v>0</v>
      </c>
      <c r="AE56">
        <f>IF(OR($AA56="",AE$5=""),0,SUMIF(INDIRECT("'"&amp;AE$5&amp;"'!C6:C1000"),$AA56,INDIRECT("'"&amp;AE$5&amp;"'!H6:H1000")))</f>
        <v>0</v>
      </c>
      <c r="AF56">
        <f>IF(OR($AA56="",AF$5=""),0,SUMIF(INDIRECT("'"&amp;AF$5&amp;"'!C6:C1000"),$AA56,INDIRECT("'"&amp;AF$5&amp;"'!H6:H1000")))</f>
        <v>0</v>
      </c>
      <c r="AG56">
        <f>IF(OR($AA56="",AG$5=""),0,SUMIF(INDIRECT("'"&amp;AG$5&amp;"'!C6:C1000"),$AA56,INDIRECT("'"&amp;AG$5&amp;"'!H6:H1000")))</f>
        <v>0</v>
      </c>
      <c r="AH56">
        <f>IF(OR($AA56="",AH$5=""),0,SUMIF(INDIRECT("'"&amp;AH$5&amp;"'!C6:C1000"),$AA56,INDIRECT("'"&amp;AH$5&amp;"'!H6:H1000")))</f>
        <v>0</v>
      </c>
      <c r="AI56">
        <f>IF(OR($AA56="",AI$5=""),0,SUMIF(INDIRECT("'"&amp;AI$5&amp;"'!C6:C1000"),$AA56,INDIRECT("'"&amp;AI$5&amp;"'!H6:H1000")))</f>
        <v>0</v>
      </c>
      <c r="AJ56">
        <f>IF(OR($AA56="",AJ$5=""),0,SUMIF(INDIRECT("'"&amp;AJ$5&amp;"'!C6:C1000"),$AA56,INDIRECT("'"&amp;AJ$5&amp;"'!H6:H1000")))</f>
        <v>0</v>
      </c>
      <c r="AK56">
        <f>IF(OR($AA56="",AK$5=""),0,SUMIF(INDIRECT("'"&amp;AK$5&amp;"'!C6:C1000"),$AA56,INDIRECT("'"&amp;AK$5&amp;"'!H6:H1000")))</f>
        <v>0</v>
      </c>
      <c r="AL56">
        <f>IF(OR($AA56="",AL$5=""),0,SUMIF(INDIRECT("'"&amp;AL$5&amp;"'!C6:C1000"),$AA56,INDIRECT("'"&amp;AL$5&amp;"'!H6:H1000")))</f>
        <v>0</v>
      </c>
      <c r="AM56">
        <f>IF(OR($AA56="",AM$5=""),0,SUMIF(INDIRECT("'"&amp;AM$5&amp;"'!C6:C1000"),$AA56,INDIRECT("'"&amp;AM$5&amp;"'!H6:H1000")))</f>
        <v>0</v>
      </c>
      <c r="AN56">
        <f>IF(OR($AA56="",AN$5=""),0,SUMIF(INDIRECT("'"&amp;AN$5&amp;"'!C6:C1000"),$AA56,INDIRECT("'"&amp;AN$5&amp;"'!H6:H1000")))</f>
        <v>0</v>
      </c>
      <c r="AO56">
        <f>IF(OR($AA56="",AC$5=""),0,SUMIF(INDIRECT("'"&amp;AC$5&amp;"'!C6:C1000"),$AA56,INDIRECT("'"&amp;AC$5&amp;"'!E6:E1000")))</f>
        <v>0</v>
      </c>
      <c r="AP56">
        <f>IF(OR($AA56="",AD$5=""),0,SUMIF(INDIRECT("'"&amp;AD$5&amp;"'!C6:C1000"),$AA56,INDIRECT("'"&amp;AD$5&amp;"'!E6:E1000")))</f>
        <v>0</v>
      </c>
      <c r="AQ56">
        <f>IF(OR($AA56="",AE$5=""),0,SUMIF(INDIRECT("'"&amp;AE$5&amp;"'!C6:C1000"),$AA56,INDIRECT("'"&amp;AE$5&amp;"'!E6:E1000")))</f>
        <v>0</v>
      </c>
      <c r="AR56">
        <f>IF(OR($AA56="",AF$5=""),0,SUMIF(INDIRECT("'"&amp;AF$5&amp;"'!C6:C1000"),$AA56,INDIRECT("'"&amp;AF$5&amp;"'!E6:E1000")))</f>
        <v>0</v>
      </c>
      <c r="AS56">
        <f>IF(OR($AA56="",AG$5=""),0,SUMIF(INDIRECT("'"&amp;AG$5&amp;"'!C6:C1000"),$AA56,INDIRECT("'"&amp;AG$5&amp;"'!E6:E1000")))</f>
        <v>0</v>
      </c>
      <c r="AT56">
        <f>IF(OR($AA56="",AH$5=""),0,SUMIF(INDIRECT("'"&amp;AH$5&amp;"'!C6:C1000"),$AA56,INDIRECT("'"&amp;AH$5&amp;"'!E6:E1000")))</f>
        <v>0</v>
      </c>
      <c r="AU56">
        <f>IF(OR($AA56="",AI$5=""),0,SUMIF(INDIRECT("'"&amp;AI$5&amp;"'!C6:C1000"),$AA56,INDIRECT("'"&amp;AI$5&amp;"'!E6:E1000")))</f>
        <v>0</v>
      </c>
      <c r="AV56">
        <f>IF(OR($AA56="",AJ$5=""),0,SUMIF(INDIRECT("'"&amp;AJ$5&amp;"'!C6:C1000"),$AA56,INDIRECT("'"&amp;AJ$5&amp;"'!E6:E1000")))</f>
        <v>0</v>
      </c>
      <c r="AW56">
        <f>IF(OR($AA56="",AK$5=""),0,SUMIF(INDIRECT("'"&amp;AK$5&amp;"'!C6:C1000"),$AA56,INDIRECT("'"&amp;AK$5&amp;"'!E6:E1000")))</f>
        <v>0</v>
      </c>
      <c r="AX56">
        <f>IF(OR($AA56="",AL$5=""),0,SUMIF(INDIRECT("'"&amp;AL$5&amp;"'!C6:C1000"),$AA56,INDIRECT("'"&amp;AL$5&amp;"'!E6:E1000")))</f>
        <v>0</v>
      </c>
      <c r="AY56">
        <f>IF(OR($AA56="",AM$5=""),0,SUMIF(INDIRECT("'"&amp;AM$5&amp;"'!C6:C1000"),$AA56,INDIRECT("'"&amp;AM$5&amp;"'!E6:E1000")))</f>
        <v>0</v>
      </c>
      <c r="AZ56">
        <f>IF(OR($AA56="",AN$5=""),0,SUMIF(INDIRECT("'"&amp;AN$5&amp;"'!C6:C1000"),$AA56,INDIRECT("'"&amp;AN$5&amp;"'!E6:E1000")))</f>
        <v>0</v>
      </c>
      <c r="BA56">
        <f>IF(OR($AA56="",AC$5=""),0,SUMIFS(INDIRECT("'"&amp;AC$5&amp;"'!E6:E1000"),INDIRECT("'"&amp;AC$5&amp;"'!C6:C1000"),$AA56,INDIRECT("'"&amp;AC$5&amp;"'!F6:F1000"),"箱")+SUMIFS(INDIRECT("'"&amp;AC$5&amp;"'!E6:E1000"),INDIRECT("'"&amp;AC$5&amp;"'!C6:C1000"),$AA56,INDIRECT("'"&amp;AC$5&amp;"'!F6:F1000"),"件"))</f>
        <v>0</v>
      </c>
      <c r="BB56">
        <f>IF(OR($AA56="",AD$5=""),0,SUMIFS(INDIRECT("'"&amp;AD$5&amp;"'!E6:E1000"),INDIRECT("'"&amp;AD$5&amp;"'!C6:C1000"),$AA56,INDIRECT("'"&amp;AD$5&amp;"'!F6:F1000"),"箱")+SUMIFS(INDIRECT("'"&amp;AD$5&amp;"'!E6:E1000"),INDIRECT("'"&amp;AD$5&amp;"'!C6:C1000"),$AA56,INDIRECT("'"&amp;AD$5&amp;"'!F6:F1000"),"件"))</f>
        <v>0</v>
      </c>
      <c r="BC56">
        <f>IF(OR($AA56="",AE$5=""),0,SUMIFS(INDIRECT("'"&amp;AE$5&amp;"'!E6:E1000"),INDIRECT("'"&amp;AE$5&amp;"'!C6:C1000"),$AA56,INDIRECT("'"&amp;AE$5&amp;"'!F6:F1000"),"箱")+SUMIFS(INDIRECT("'"&amp;AE$5&amp;"'!E6:E1000"),INDIRECT("'"&amp;AE$5&amp;"'!C6:C1000"),$AA56,INDIRECT("'"&amp;AE$5&amp;"'!F6:F1000"),"件"))</f>
        <v>0</v>
      </c>
      <c r="BD56">
        <f>IF(OR($AA56="",AF$5=""),0,SUMIFS(INDIRECT("'"&amp;AF$5&amp;"'!E6:E1000"),INDIRECT("'"&amp;AF$5&amp;"'!C6:C1000"),$AA56,INDIRECT("'"&amp;AF$5&amp;"'!F6:F1000"),"箱")+SUMIFS(INDIRECT("'"&amp;AF$5&amp;"'!E6:E1000"),INDIRECT("'"&amp;AF$5&amp;"'!C6:C1000"),$AA56,INDIRECT("'"&amp;AF$5&amp;"'!F6:F1000"),"件"))</f>
        <v>0</v>
      </c>
      <c r="BE56">
        <f>IF(OR($AA56="",AG$5=""),0,SUMIFS(INDIRECT("'"&amp;AG$5&amp;"'!E6:E1000"),INDIRECT("'"&amp;AG$5&amp;"'!C6:C1000"),$AA56,INDIRECT("'"&amp;AG$5&amp;"'!F6:F1000"),"箱")+SUMIFS(INDIRECT("'"&amp;AG$5&amp;"'!E6:E1000"),INDIRECT("'"&amp;AG$5&amp;"'!C6:C1000"),$AA56,INDIRECT("'"&amp;AG$5&amp;"'!F6:F1000"),"件"))</f>
        <v>0</v>
      </c>
      <c r="BF56">
        <f>IF(OR($AA56="",AH$5=""),0,SUMIFS(INDIRECT("'"&amp;AH$5&amp;"'!E6:E1000"),INDIRECT("'"&amp;AH$5&amp;"'!C6:C1000"),$AA56,INDIRECT("'"&amp;AH$5&amp;"'!F6:F1000"),"箱")+SUMIFS(INDIRECT("'"&amp;AH$5&amp;"'!E6:E1000"),INDIRECT("'"&amp;AH$5&amp;"'!C6:C1000"),$AA56,INDIRECT("'"&amp;AH$5&amp;"'!F6:F1000"),"件"))</f>
        <v>0</v>
      </c>
      <c r="BG56">
        <f>IF(OR($AA56="",AI$5=""),0,SUMIFS(INDIRECT("'"&amp;AI$5&amp;"'!E6:E1000"),INDIRECT("'"&amp;AI$5&amp;"'!C6:C1000"),$AA56,INDIRECT("'"&amp;AI$5&amp;"'!F6:F1000"),"箱")+SUMIFS(INDIRECT("'"&amp;AI$5&amp;"'!E6:E1000"),INDIRECT("'"&amp;AI$5&amp;"'!C6:C1000"),$AA56,INDIRECT("'"&amp;AI$5&amp;"'!F6:F1000"),"件"))</f>
        <v>0</v>
      </c>
      <c r="BH56">
        <f>IF(OR($AA56="",AJ$5=""),0,SUMIFS(INDIRECT("'"&amp;AJ$5&amp;"'!E6:E1000"),INDIRECT("'"&amp;AJ$5&amp;"'!C6:C1000"),$AA56,INDIRECT("'"&amp;AJ$5&amp;"'!F6:F1000"),"箱")+SUMIFS(INDIRECT("'"&amp;AJ$5&amp;"'!E6:E1000"),INDIRECT("'"&amp;AJ$5&amp;"'!C6:C1000"),$AA56,INDIRECT("'"&amp;AJ$5&amp;"'!F6:F1000"),"件"))</f>
        <v>0</v>
      </c>
      <c r="BI56">
        <f>IF(OR($AA56="",AK$5=""),0,SUMIFS(INDIRECT("'"&amp;AK$5&amp;"'!E6:E1000"),INDIRECT("'"&amp;AK$5&amp;"'!C6:C1000"),$AA56,INDIRECT("'"&amp;AK$5&amp;"'!F6:F1000"),"箱")+SUMIFS(INDIRECT("'"&amp;AK$5&amp;"'!E6:E1000"),INDIRECT("'"&amp;AK$5&amp;"'!C6:C1000"),$AA56,INDIRECT("'"&amp;AK$5&amp;"'!F6:F1000"),"件"))</f>
        <v>0</v>
      </c>
      <c r="BJ56">
        <f>IF(OR($AA56="",AL$5=""),0,SUMIFS(INDIRECT("'"&amp;AL$5&amp;"'!E6:E1000"),INDIRECT("'"&amp;AL$5&amp;"'!C6:C1000"),$AA56,INDIRECT("'"&amp;AL$5&amp;"'!F6:F1000"),"箱")+SUMIFS(INDIRECT("'"&amp;AL$5&amp;"'!E6:E1000"),INDIRECT("'"&amp;AL$5&amp;"'!C6:C1000"),$AA56,INDIRECT("'"&amp;AL$5&amp;"'!F6:F1000"),"件"))</f>
        <v>0</v>
      </c>
      <c r="BK56">
        <f>IF(OR($AA56="",AM$5=""),0,SUMIFS(INDIRECT("'"&amp;AM$5&amp;"'!E6:E1000"),INDIRECT("'"&amp;AM$5&amp;"'!C6:C1000"),$AA56,INDIRECT("'"&amp;AM$5&amp;"'!F6:F1000"),"箱")+SUMIFS(INDIRECT("'"&amp;AM$5&amp;"'!E6:E1000"),INDIRECT("'"&amp;AM$5&amp;"'!C6:C1000"),$AA56,INDIRECT("'"&amp;AM$5&amp;"'!F6:F1000"),"件"))</f>
        <v>0</v>
      </c>
      <c r="BL56">
        <f>IF(OR($AA56="",AN$5=""),0,SUMIFS(INDIRECT("'"&amp;AN$5&amp;"'!E6:E1000"),INDIRECT("'"&amp;AN$5&amp;"'!C6:C1000"),$AA56,INDIRECT("'"&amp;AN$5&amp;"'!F6:F1000"),"箱")+SUMIFS(INDIRECT("'"&amp;AN$5&amp;"'!E6:E1000"),INDIRECT("'"&amp;AN$5&amp;"'!C6:C1000"),$AA56,INDIRECT("'"&amp;AN$5&amp;"'!F6:F1000"),"件"))</f>
        <v>0</v>
      </c>
      <c r="BM56">
        <f>(AO56-BA56)/$AB56+BA56</f>
        <v>0</v>
      </c>
      <c r="BN56">
        <f>(AP56-BB56)/$AB56+BB56</f>
        <v>0</v>
      </c>
      <c r="BO56">
        <f>(AQ56-BC56)/$AB56+BC56</f>
        <v>0</v>
      </c>
      <c r="BP56">
        <f>(AR56-BD56)/$AB56+BD56</f>
        <v>0</v>
      </c>
      <c r="BQ56">
        <f>(AS56-BE56)/$AB56+BE56</f>
        <v>0</v>
      </c>
      <c r="BR56">
        <f>(AT56-BF56)/$AB56+BF56</f>
        <v>0</v>
      </c>
      <c r="BS56">
        <f>(AU56-BG56)/$AB56+BG56</f>
        <v>0</v>
      </c>
      <c r="BT56">
        <f>(AV56-BH56)/$AB56+BH56</f>
        <v>0</v>
      </c>
      <c r="BU56">
        <f>(AW56-BI56)/$AB56+BI56</f>
        <v>0</v>
      </c>
      <c r="BV56">
        <f>(AX56-BJ56)/$AB56+BJ56</f>
        <v>0</v>
      </c>
      <c r="BW56">
        <f>(AY56-BK56)/$AB56+BK56</f>
        <v>0</v>
      </c>
      <c r="BX56">
        <f>(AZ56-BL56)/$AB56+BL56</f>
        <v>0</v>
      </c>
      <c r="BY56">
        <f>SUMPRODUCT((($AC$4:$AN$4=报损汇总一览!$A$3)+(报损汇总一览!$A$3="全年"))*AC56:AN56)</f>
        <v>0</v>
      </c>
      <c r="BZ56">
        <f>IF(BY56&gt;0,BY56+(1000-ROW())/10000000,"")</f>
      </c>
      <c r="CA56">
        <f>SUMPRODUCT((($AC$4:$AN$4=报损汇总一览!$A$3)+(报损汇总一览!$A$3="全年"))*AO56:AZ56)</f>
        <v>0</v>
      </c>
    </row>
    <row r="57">
      <c r="A57">
        <f>IF(OR(存条明细!C57="",存条明细!D57=""),"",IF(COUNTIFS(存条明细!$C$4:C57,存条明细!C57,存条明细!$D$4:D57,存条明细!D57)&gt;1,"",IFERROR(MATCH(存条明细!C57,总览汇总!$B$5:$B$304,0),900)*10000000+IFERROR(MATCH(存条明细!D57,基础资料!$E$5:$E$104,0),900)*10000+ROW()))</f>
        <v>140040057</v>
      </c>
      <c r="B57">
        <f>IFERROR(MATCH(SMALL($A$4:$A$4003,54),$A$4:$A$4003,0),"")</f>
        <v>39</v>
      </c>
      <c r="D57">
        <f>IF(AND(商品库存!B57&lt;&gt;"",商品库存!B57=客户查询!$B$4),COUNTIF(商品库存!$B$4:B57,客户查询!$B$4),"")</f>
      </c>
      <c r="E57">
        <f>IF(AND(商品库存!B57&lt;&gt;"",商品库存!B57=客户对账单!$B$4),COUNTIF(商品库存!$B$4:B57,客户对账单!$B$4),"")</f>
      </c>
      <c r="F57">
        <f>IF(AND(出库明细!C57&lt;&gt;"",出库明细!C57=客户对账单!$B$4,ISNUMBER(出库明细!B57),出库明细!B57&gt;=客户对账单!$G$4,出库明细!B57&lt;=客户对账单!$I$4),出库明细!B57+ROW()/100000,"")</f>
      </c>
      <c r="H57">
        <f>IF(AND(采购进货!C57&lt;&gt;"",采购进货!C57=供应商对账单!$B$4,ISNUMBER(采购进货!B57),采购进货!B57&gt;=供应商对账单!$G$4,采购进货!B57&lt;=供应商对账单!$I$4),采购进货!B57+ROW()/100000,"")</f>
      </c>
      <c r="J57">
        <f>IF(总览汇总!$B57="","",N(总览汇总!$K57)+SUMIFS(出库明细!$G$4:$G$3003,出库明细!$C$4:$C$3003,总览汇总!$B57,出库明细!$B$4:$B$3003,"&gt;="&amp;年初日,出库明细!$B$4:$B$3003,"&lt;="&amp;资产负债表!$D$3)-SUMIFS(资金台帐!$S$7:$S$3006,资金台帐!$J$7:$J$3006,总览汇总!$B57,资金台帐!$P$7:$P$3006,"应收",资金台帐!$B$7:$B$3006,"&gt;="&amp;年初日,资金台帐!$B$7:$B$3006,"&lt;="&amp;资产负债表!$D$3))</f>
        <v>-1860</v>
      </c>
      <c r="N57">
        <f>IF(AND(ISNUMBER(出库明细!G57),ISNUMBER(出库明细!E57),ISNUMBER(出库明细!F57)),IF(ABS(出库明细!G57-出库明细!E57*出库明细!F57)&gt;0.005,1,0),0)</f>
        <v>0</v>
      </c>
      <c r="O57">
        <f>IF(AND(ISNUMBER(存条明细!G57),ISNUMBER(存条明细!E57),ISNUMBER(存条明细!F57)),IF(ABS(存条明细!G57-存条明细!E57*存条明细!F57)&gt;0.005,1,0),0)</f>
        <v>0</v>
      </c>
      <c r="AA57">
        <f>IF(基础资料!G56="","",基础资料!G56&amp;"")</f>
      </c>
      <c r="AB57">
        <f>IF(N(基础资料!I56)&lt;=0,1,基础资料!I56)</f>
        <v>1</v>
      </c>
      <c r="AC57">
        <f>IF(OR($AA57="",AC$5=""),0,SUMIF(INDIRECT("'"&amp;AC$5&amp;"'!C6:C1000"),$AA57,INDIRECT("'"&amp;AC$5&amp;"'!H6:H1000")))</f>
        <v>0</v>
      </c>
      <c r="AD57">
        <f>IF(OR($AA57="",AD$5=""),0,SUMIF(INDIRECT("'"&amp;AD$5&amp;"'!C6:C1000"),$AA57,INDIRECT("'"&amp;AD$5&amp;"'!H6:H1000")))</f>
        <v>0</v>
      </c>
      <c r="AE57">
        <f>IF(OR($AA57="",AE$5=""),0,SUMIF(INDIRECT("'"&amp;AE$5&amp;"'!C6:C1000"),$AA57,INDIRECT("'"&amp;AE$5&amp;"'!H6:H1000")))</f>
        <v>0</v>
      </c>
      <c r="AF57">
        <f>IF(OR($AA57="",AF$5=""),0,SUMIF(INDIRECT("'"&amp;AF$5&amp;"'!C6:C1000"),$AA57,INDIRECT("'"&amp;AF$5&amp;"'!H6:H1000")))</f>
        <v>0</v>
      </c>
      <c r="AG57">
        <f>IF(OR($AA57="",AG$5=""),0,SUMIF(INDIRECT("'"&amp;AG$5&amp;"'!C6:C1000"),$AA57,INDIRECT("'"&amp;AG$5&amp;"'!H6:H1000")))</f>
        <v>0</v>
      </c>
      <c r="AH57">
        <f>IF(OR($AA57="",AH$5=""),0,SUMIF(INDIRECT("'"&amp;AH$5&amp;"'!C6:C1000"),$AA57,INDIRECT("'"&amp;AH$5&amp;"'!H6:H1000")))</f>
        <v>0</v>
      </c>
      <c r="AI57">
        <f>IF(OR($AA57="",AI$5=""),0,SUMIF(INDIRECT("'"&amp;AI$5&amp;"'!C6:C1000"),$AA57,INDIRECT("'"&amp;AI$5&amp;"'!H6:H1000")))</f>
        <v>0</v>
      </c>
      <c r="AJ57">
        <f>IF(OR($AA57="",AJ$5=""),0,SUMIF(INDIRECT("'"&amp;AJ$5&amp;"'!C6:C1000"),$AA57,INDIRECT("'"&amp;AJ$5&amp;"'!H6:H1000")))</f>
        <v>0</v>
      </c>
      <c r="AK57">
        <f>IF(OR($AA57="",AK$5=""),0,SUMIF(INDIRECT("'"&amp;AK$5&amp;"'!C6:C1000"),$AA57,INDIRECT("'"&amp;AK$5&amp;"'!H6:H1000")))</f>
        <v>0</v>
      </c>
      <c r="AL57">
        <f>IF(OR($AA57="",AL$5=""),0,SUMIF(INDIRECT("'"&amp;AL$5&amp;"'!C6:C1000"),$AA57,INDIRECT("'"&amp;AL$5&amp;"'!H6:H1000")))</f>
        <v>0</v>
      </c>
      <c r="AM57">
        <f>IF(OR($AA57="",AM$5=""),0,SUMIF(INDIRECT("'"&amp;AM$5&amp;"'!C6:C1000"),$AA57,INDIRECT("'"&amp;AM$5&amp;"'!H6:H1000")))</f>
        <v>0</v>
      </c>
      <c r="AN57">
        <f>IF(OR($AA57="",AN$5=""),0,SUMIF(INDIRECT("'"&amp;AN$5&amp;"'!C6:C1000"),$AA57,INDIRECT("'"&amp;AN$5&amp;"'!H6:H1000")))</f>
        <v>0</v>
      </c>
      <c r="AO57">
        <f>IF(OR($AA57="",AC$5=""),0,SUMIF(INDIRECT("'"&amp;AC$5&amp;"'!C6:C1000"),$AA57,INDIRECT("'"&amp;AC$5&amp;"'!E6:E1000")))</f>
        <v>0</v>
      </c>
      <c r="AP57">
        <f>IF(OR($AA57="",AD$5=""),0,SUMIF(INDIRECT("'"&amp;AD$5&amp;"'!C6:C1000"),$AA57,INDIRECT("'"&amp;AD$5&amp;"'!E6:E1000")))</f>
        <v>0</v>
      </c>
      <c r="AQ57">
        <f>IF(OR($AA57="",AE$5=""),0,SUMIF(INDIRECT("'"&amp;AE$5&amp;"'!C6:C1000"),$AA57,INDIRECT("'"&amp;AE$5&amp;"'!E6:E1000")))</f>
        <v>0</v>
      </c>
      <c r="AR57">
        <f>IF(OR($AA57="",AF$5=""),0,SUMIF(INDIRECT("'"&amp;AF$5&amp;"'!C6:C1000"),$AA57,INDIRECT("'"&amp;AF$5&amp;"'!E6:E1000")))</f>
        <v>0</v>
      </c>
      <c r="AS57">
        <f>IF(OR($AA57="",AG$5=""),0,SUMIF(INDIRECT("'"&amp;AG$5&amp;"'!C6:C1000"),$AA57,INDIRECT("'"&amp;AG$5&amp;"'!E6:E1000")))</f>
        <v>0</v>
      </c>
      <c r="AT57">
        <f>IF(OR($AA57="",AH$5=""),0,SUMIF(INDIRECT("'"&amp;AH$5&amp;"'!C6:C1000"),$AA57,INDIRECT("'"&amp;AH$5&amp;"'!E6:E1000")))</f>
        <v>0</v>
      </c>
      <c r="AU57">
        <f>IF(OR($AA57="",AI$5=""),0,SUMIF(INDIRECT("'"&amp;AI$5&amp;"'!C6:C1000"),$AA57,INDIRECT("'"&amp;AI$5&amp;"'!E6:E1000")))</f>
        <v>0</v>
      </c>
      <c r="AV57">
        <f>IF(OR($AA57="",AJ$5=""),0,SUMIF(INDIRECT("'"&amp;AJ$5&amp;"'!C6:C1000"),$AA57,INDIRECT("'"&amp;AJ$5&amp;"'!E6:E1000")))</f>
        <v>0</v>
      </c>
      <c r="AW57">
        <f>IF(OR($AA57="",AK$5=""),0,SUMIF(INDIRECT("'"&amp;AK$5&amp;"'!C6:C1000"),$AA57,INDIRECT("'"&amp;AK$5&amp;"'!E6:E1000")))</f>
        <v>0</v>
      </c>
      <c r="AX57">
        <f>IF(OR($AA57="",AL$5=""),0,SUMIF(INDIRECT("'"&amp;AL$5&amp;"'!C6:C1000"),$AA57,INDIRECT("'"&amp;AL$5&amp;"'!E6:E1000")))</f>
        <v>0</v>
      </c>
      <c r="AY57">
        <f>IF(OR($AA57="",AM$5=""),0,SUMIF(INDIRECT("'"&amp;AM$5&amp;"'!C6:C1000"),$AA57,INDIRECT("'"&amp;AM$5&amp;"'!E6:E1000")))</f>
        <v>0</v>
      </c>
      <c r="AZ57">
        <f>IF(OR($AA57="",AN$5=""),0,SUMIF(INDIRECT("'"&amp;AN$5&amp;"'!C6:C1000"),$AA57,INDIRECT("'"&amp;AN$5&amp;"'!E6:E1000")))</f>
        <v>0</v>
      </c>
      <c r="BA57">
        <f>IF(OR($AA57="",AC$5=""),0,SUMIFS(INDIRECT("'"&amp;AC$5&amp;"'!E6:E1000"),INDIRECT("'"&amp;AC$5&amp;"'!C6:C1000"),$AA57,INDIRECT("'"&amp;AC$5&amp;"'!F6:F1000"),"箱")+SUMIFS(INDIRECT("'"&amp;AC$5&amp;"'!E6:E1000"),INDIRECT("'"&amp;AC$5&amp;"'!C6:C1000"),$AA57,INDIRECT("'"&amp;AC$5&amp;"'!F6:F1000"),"件"))</f>
        <v>0</v>
      </c>
      <c r="BB57">
        <f>IF(OR($AA57="",AD$5=""),0,SUMIFS(INDIRECT("'"&amp;AD$5&amp;"'!E6:E1000"),INDIRECT("'"&amp;AD$5&amp;"'!C6:C1000"),$AA57,INDIRECT("'"&amp;AD$5&amp;"'!F6:F1000"),"箱")+SUMIFS(INDIRECT("'"&amp;AD$5&amp;"'!E6:E1000"),INDIRECT("'"&amp;AD$5&amp;"'!C6:C1000"),$AA57,INDIRECT("'"&amp;AD$5&amp;"'!F6:F1000"),"件"))</f>
        <v>0</v>
      </c>
      <c r="BC57">
        <f>IF(OR($AA57="",AE$5=""),0,SUMIFS(INDIRECT("'"&amp;AE$5&amp;"'!E6:E1000"),INDIRECT("'"&amp;AE$5&amp;"'!C6:C1000"),$AA57,INDIRECT("'"&amp;AE$5&amp;"'!F6:F1000"),"箱")+SUMIFS(INDIRECT("'"&amp;AE$5&amp;"'!E6:E1000"),INDIRECT("'"&amp;AE$5&amp;"'!C6:C1000"),$AA57,INDIRECT("'"&amp;AE$5&amp;"'!F6:F1000"),"件"))</f>
        <v>0</v>
      </c>
      <c r="BD57">
        <f>IF(OR($AA57="",AF$5=""),0,SUMIFS(INDIRECT("'"&amp;AF$5&amp;"'!E6:E1000"),INDIRECT("'"&amp;AF$5&amp;"'!C6:C1000"),$AA57,INDIRECT("'"&amp;AF$5&amp;"'!F6:F1000"),"箱")+SUMIFS(INDIRECT("'"&amp;AF$5&amp;"'!E6:E1000"),INDIRECT("'"&amp;AF$5&amp;"'!C6:C1000"),$AA57,INDIRECT("'"&amp;AF$5&amp;"'!F6:F1000"),"件"))</f>
        <v>0</v>
      </c>
      <c r="BE57">
        <f>IF(OR($AA57="",AG$5=""),0,SUMIFS(INDIRECT("'"&amp;AG$5&amp;"'!E6:E1000"),INDIRECT("'"&amp;AG$5&amp;"'!C6:C1000"),$AA57,INDIRECT("'"&amp;AG$5&amp;"'!F6:F1000"),"箱")+SUMIFS(INDIRECT("'"&amp;AG$5&amp;"'!E6:E1000"),INDIRECT("'"&amp;AG$5&amp;"'!C6:C1000"),$AA57,INDIRECT("'"&amp;AG$5&amp;"'!F6:F1000"),"件"))</f>
        <v>0</v>
      </c>
      <c r="BF57">
        <f>IF(OR($AA57="",AH$5=""),0,SUMIFS(INDIRECT("'"&amp;AH$5&amp;"'!E6:E1000"),INDIRECT("'"&amp;AH$5&amp;"'!C6:C1000"),$AA57,INDIRECT("'"&amp;AH$5&amp;"'!F6:F1000"),"箱")+SUMIFS(INDIRECT("'"&amp;AH$5&amp;"'!E6:E1000"),INDIRECT("'"&amp;AH$5&amp;"'!C6:C1000"),$AA57,INDIRECT("'"&amp;AH$5&amp;"'!F6:F1000"),"件"))</f>
        <v>0</v>
      </c>
      <c r="BG57">
        <f>IF(OR($AA57="",AI$5=""),0,SUMIFS(INDIRECT("'"&amp;AI$5&amp;"'!E6:E1000"),INDIRECT("'"&amp;AI$5&amp;"'!C6:C1000"),$AA57,INDIRECT("'"&amp;AI$5&amp;"'!F6:F1000"),"箱")+SUMIFS(INDIRECT("'"&amp;AI$5&amp;"'!E6:E1000"),INDIRECT("'"&amp;AI$5&amp;"'!C6:C1000"),$AA57,INDIRECT("'"&amp;AI$5&amp;"'!F6:F1000"),"件"))</f>
        <v>0</v>
      </c>
      <c r="BH57">
        <f>IF(OR($AA57="",AJ$5=""),0,SUMIFS(INDIRECT("'"&amp;AJ$5&amp;"'!E6:E1000"),INDIRECT("'"&amp;AJ$5&amp;"'!C6:C1000"),$AA57,INDIRECT("'"&amp;AJ$5&amp;"'!F6:F1000"),"箱")+SUMIFS(INDIRECT("'"&amp;AJ$5&amp;"'!E6:E1000"),INDIRECT("'"&amp;AJ$5&amp;"'!C6:C1000"),$AA57,INDIRECT("'"&amp;AJ$5&amp;"'!F6:F1000"),"件"))</f>
        <v>0</v>
      </c>
      <c r="BI57">
        <f>IF(OR($AA57="",AK$5=""),0,SUMIFS(INDIRECT("'"&amp;AK$5&amp;"'!E6:E1000"),INDIRECT("'"&amp;AK$5&amp;"'!C6:C1000"),$AA57,INDIRECT("'"&amp;AK$5&amp;"'!F6:F1000"),"箱")+SUMIFS(INDIRECT("'"&amp;AK$5&amp;"'!E6:E1000"),INDIRECT("'"&amp;AK$5&amp;"'!C6:C1000"),$AA57,INDIRECT("'"&amp;AK$5&amp;"'!F6:F1000"),"件"))</f>
        <v>0</v>
      </c>
      <c r="BJ57">
        <f>IF(OR($AA57="",AL$5=""),0,SUMIFS(INDIRECT("'"&amp;AL$5&amp;"'!E6:E1000"),INDIRECT("'"&amp;AL$5&amp;"'!C6:C1000"),$AA57,INDIRECT("'"&amp;AL$5&amp;"'!F6:F1000"),"箱")+SUMIFS(INDIRECT("'"&amp;AL$5&amp;"'!E6:E1000"),INDIRECT("'"&amp;AL$5&amp;"'!C6:C1000"),$AA57,INDIRECT("'"&amp;AL$5&amp;"'!F6:F1000"),"件"))</f>
        <v>0</v>
      </c>
      <c r="BK57">
        <f>IF(OR($AA57="",AM$5=""),0,SUMIFS(INDIRECT("'"&amp;AM$5&amp;"'!E6:E1000"),INDIRECT("'"&amp;AM$5&amp;"'!C6:C1000"),$AA57,INDIRECT("'"&amp;AM$5&amp;"'!F6:F1000"),"箱")+SUMIFS(INDIRECT("'"&amp;AM$5&amp;"'!E6:E1000"),INDIRECT("'"&amp;AM$5&amp;"'!C6:C1000"),$AA57,INDIRECT("'"&amp;AM$5&amp;"'!F6:F1000"),"件"))</f>
        <v>0</v>
      </c>
      <c r="BL57">
        <f>IF(OR($AA57="",AN$5=""),0,SUMIFS(INDIRECT("'"&amp;AN$5&amp;"'!E6:E1000"),INDIRECT("'"&amp;AN$5&amp;"'!C6:C1000"),$AA57,INDIRECT("'"&amp;AN$5&amp;"'!F6:F1000"),"箱")+SUMIFS(INDIRECT("'"&amp;AN$5&amp;"'!E6:E1000"),INDIRECT("'"&amp;AN$5&amp;"'!C6:C1000"),$AA57,INDIRECT("'"&amp;AN$5&amp;"'!F6:F1000"),"件"))</f>
        <v>0</v>
      </c>
      <c r="BM57">
        <f>(AO57-BA57)/$AB57+BA57</f>
        <v>0</v>
      </c>
      <c r="BN57">
        <f>(AP57-BB57)/$AB57+BB57</f>
        <v>0</v>
      </c>
      <c r="BO57">
        <f>(AQ57-BC57)/$AB57+BC57</f>
        <v>0</v>
      </c>
      <c r="BP57">
        <f>(AR57-BD57)/$AB57+BD57</f>
        <v>0</v>
      </c>
      <c r="BQ57">
        <f>(AS57-BE57)/$AB57+BE57</f>
        <v>0</v>
      </c>
      <c r="BR57">
        <f>(AT57-BF57)/$AB57+BF57</f>
        <v>0</v>
      </c>
      <c r="BS57">
        <f>(AU57-BG57)/$AB57+BG57</f>
        <v>0</v>
      </c>
      <c r="BT57">
        <f>(AV57-BH57)/$AB57+BH57</f>
        <v>0</v>
      </c>
      <c r="BU57">
        <f>(AW57-BI57)/$AB57+BI57</f>
        <v>0</v>
      </c>
      <c r="BV57">
        <f>(AX57-BJ57)/$AB57+BJ57</f>
        <v>0</v>
      </c>
      <c r="BW57">
        <f>(AY57-BK57)/$AB57+BK57</f>
        <v>0</v>
      </c>
      <c r="BX57">
        <f>(AZ57-BL57)/$AB57+BL57</f>
        <v>0</v>
      </c>
      <c r="BY57">
        <f>SUMPRODUCT((($AC$4:$AN$4=报损汇总一览!$A$3)+(报损汇总一览!$A$3="全年"))*AC57:AN57)</f>
        <v>0</v>
      </c>
      <c r="BZ57">
        <f>IF(BY57&gt;0,BY57+(1000-ROW())/10000000,"")</f>
      </c>
      <c r="CA57">
        <f>SUMPRODUCT((($AC$4:$AN$4=报损汇总一览!$A$3)+(报损汇总一览!$A$3="全年"))*AO57:AZ57)</f>
        <v>0</v>
      </c>
    </row>
    <row r="58">
      <c r="A58">
        <f>IF(OR(存条明细!C58="",存条明细!D58=""),"",IF(COUNTIFS(存条明细!$C$4:C58,存条明细!C58,存条明细!$D$4:D58,存条明细!D58)&gt;1,"",IFERROR(MATCH(存条明细!C58,总览汇总!$B$5:$B$304,0),900)*10000000+IFERROR(MATCH(存条明细!D58,基础资料!$E$5:$E$104,0),900)*10000+ROW()))</f>
        <v>140060058</v>
      </c>
      <c r="B58">
        <f>IFERROR(MATCH(SMALL($A$4:$A$4003,55),$A$4:$A$4003,0),"")</f>
        <v>37</v>
      </c>
      <c r="D58">
        <f>IF(AND(商品库存!B58&lt;&gt;"",商品库存!B58=客户查询!$B$4),COUNTIF(商品库存!$B$4:B58,客户查询!$B$4),"")</f>
      </c>
      <c r="E58">
        <f>IF(AND(商品库存!B58&lt;&gt;"",商品库存!B58=客户对账单!$B$4),COUNTIF(商品库存!$B$4:B58,客户对账单!$B$4),"")</f>
      </c>
      <c r="F58">
        <f>IF(AND(出库明细!C58&lt;&gt;"",出库明细!C58=客户对账单!$B$4,ISNUMBER(出库明细!B58),出库明细!B58&gt;=客户对账单!$G$4,出库明细!B58&lt;=客户对账单!$I$4),出库明细!B58+ROW()/100000,"")</f>
      </c>
      <c r="H58">
        <f>IF(AND(采购进货!C58&lt;&gt;"",采购进货!C58=供应商对账单!$B$4,ISNUMBER(采购进货!B58),采购进货!B58&gt;=供应商对账单!$G$4,采购进货!B58&lt;=供应商对账单!$I$4),采购进货!B58+ROW()/100000,"")</f>
      </c>
      <c r="J58">
        <f>IF(总览汇总!$B58="","",N(总览汇总!$K58)+SUMIFS(出库明细!$G$4:$G$3003,出库明细!$C$4:$C$3003,总览汇总!$B58,出库明细!$B$4:$B$3003,"&gt;="&amp;年初日,出库明细!$B$4:$B$3003,"&lt;="&amp;资产负债表!$D$3)-SUMIFS(资金台帐!$S$7:$S$3006,资金台帐!$J$7:$J$3006,总览汇总!$B58,资金台帐!$P$7:$P$3006,"应收",资金台帐!$B$7:$B$3006,"&gt;="&amp;年初日,资金台帐!$B$7:$B$3006,"&lt;="&amp;资产负债表!$D$3))</f>
        <v>-930</v>
      </c>
      <c r="N58">
        <f>IF(AND(ISNUMBER(出库明细!G58),ISNUMBER(出库明细!E58),ISNUMBER(出库明细!F58)),IF(ABS(出库明细!G58-出库明细!E58*出库明细!F58)&gt;0.005,1,0),0)</f>
        <v>0</v>
      </c>
      <c r="O58">
        <f>IF(AND(ISNUMBER(存条明细!G58),ISNUMBER(存条明细!E58),ISNUMBER(存条明细!F58)),IF(ABS(存条明细!G58-存条明细!E58*存条明细!F58)&gt;0.005,1,0),0)</f>
        <v>0</v>
      </c>
      <c r="AA58">
        <f>IF(基础资料!G57="","",基础资料!G57&amp;"")</f>
      </c>
      <c r="AB58">
        <f>IF(N(基础资料!I57)&lt;=0,1,基础资料!I57)</f>
        <v>1</v>
      </c>
      <c r="AC58">
        <f>IF(OR($AA58="",AC$5=""),0,SUMIF(INDIRECT("'"&amp;AC$5&amp;"'!C6:C1000"),$AA58,INDIRECT("'"&amp;AC$5&amp;"'!H6:H1000")))</f>
        <v>0</v>
      </c>
      <c r="AD58">
        <f>IF(OR($AA58="",AD$5=""),0,SUMIF(INDIRECT("'"&amp;AD$5&amp;"'!C6:C1000"),$AA58,INDIRECT("'"&amp;AD$5&amp;"'!H6:H1000")))</f>
        <v>0</v>
      </c>
      <c r="AE58">
        <f>IF(OR($AA58="",AE$5=""),0,SUMIF(INDIRECT("'"&amp;AE$5&amp;"'!C6:C1000"),$AA58,INDIRECT("'"&amp;AE$5&amp;"'!H6:H1000")))</f>
        <v>0</v>
      </c>
      <c r="AF58">
        <f>IF(OR($AA58="",AF$5=""),0,SUMIF(INDIRECT("'"&amp;AF$5&amp;"'!C6:C1000"),$AA58,INDIRECT("'"&amp;AF$5&amp;"'!H6:H1000")))</f>
        <v>0</v>
      </c>
      <c r="AG58">
        <f>IF(OR($AA58="",AG$5=""),0,SUMIF(INDIRECT("'"&amp;AG$5&amp;"'!C6:C1000"),$AA58,INDIRECT("'"&amp;AG$5&amp;"'!H6:H1000")))</f>
        <v>0</v>
      </c>
      <c r="AH58">
        <f>IF(OR($AA58="",AH$5=""),0,SUMIF(INDIRECT("'"&amp;AH$5&amp;"'!C6:C1000"),$AA58,INDIRECT("'"&amp;AH$5&amp;"'!H6:H1000")))</f>
        <v>0</v>
      </c>
      <c r="AI58">
        <f>IF(OR($AA58="",AI$5=""),0,SUMIF(INDIRECT("'"&amp;AI$5&amp;"'!C6:C1000"),$AA58,INDIRECT("'"&amp;AI$5&amp;"'!H6:H1000")))</f>
        <v>0</v>
      </c>
      <c r="AJ58">
        <f>IF(OR($AA58="",AJ$5=""),0,SUMIF(INDIRECT("'"&amp;AJ$5&amp;"'!C6:C1000"),$AA58,INDIRECT("'"&amp;AJ$5&amp;"'!H6:H1000")))</f>
        <v>0</v>
      </c>
      <c r="AK58">
        <f>IF(OR($AA58="",AK$5=""),0,SUMIF(INDIRECT("'"&amp;AK$5&amp;"'!C6:C1000"),$AA58,INDIRECT("'"&amp;AK$5&amp;"'!H6:H1000")))</f>
        <v>0</v>
      </c>
      <c r="AL58">
        <f>IF(OR($AA58="",AL$5=""),0,SUMIF(INDIRECT("'"&amp;AL$5&amp;"'!C6:C1000"),$AA58,INDIRECT("'"&amp;AL$5&amp;"'!H6:H1000")))</f>
        <v>0</v>
      </c>
      <c r="AM58">
        <f>IF(OR($AA58="",AM$5=""),0,SUMIF(INDIRECT("'"&amp;AM$5&amp;"'!C6:C1000"),$AA58,INDIRECT("'"&amp;AM$5&amp;"'!H6:H1000")))</f>
        <v>0</v>
      </c>
      <c r="AN58">
        <f>IF(OR($AA58="",AN$5=""),0,SUMIF(INDIRECT("'"&amp;AN$5&amp;"'!C6:C1000"),$AA58,INDIRECT("'"&amp;AN$5&amp;"'!H6:H1000")))</f>
        <v>0</v>
      </c>
      <c r="AO58">
        <f>IF(OR($AA58="",AC$5=""),0,SUMIF(INDIRECT("'"&amp;AC$5&amp;"'!C6:C1000"),$AA58,INDIRECT("'"&amp;AC$5&amp;"'!E6:E1000")))</f>
        <v>0</v>
      </c>
      <c r="AP58">
        <f>IF(OR($AA58="",AD$5=""),0,SUMIF(INDIRECT("'"&amp;AD$5&amp;"'!C6:C1000"),$AA58,INDIRECT("'"&amp;AD$5&amp;"'!E6:E1000")))</f>
        <v>0</v>
      </c>
      <c r="AQ58">
        <f>IF(OR($AA58="",AE$5=""),0,SUMIF(INDIRECT("'"&amp;AE$5&amp;"'!C6:C1000"),$AA58,INDIRECT("'"&amp;AE$5&amp;"'!E6:E1000")))</f>
        <v>0</v>
      </c>
      <c r="AR58">
        <f>IF(OR($AA58="",AF$5=""),0,SUMIF(INDIRECT("'"&amp;AF$5&amp;"'!C6:C1000"),$AA58,INDIRECT("'"&amp;AF$5&amp;"'!E6:E1000")))</f>
        <v>0</v>
      </c>
      <c r="AS58">
        <f>IF(OR($AA58="",AG$5=""),0,SUMIF(INDIRECT("'"&amp;AG$5&amp;"'!C6:C1000"),$AA58,INDIRECT("'"&amp;AG$5&amp;"'!E6:E1000")))</f>
        <v>0</v>
      </c>
      <c r="AT58">
        <f>IF(OR($AA58="",AH$5=""),0,SUMIF(INDIRECT("'"&amp;AH$5&amp;"'!C6:C1000"),$AA58,INDIRECT("'"&amp;AH$5&amp;"'!E6:E1000")))</f>
        <v>0</v>
      </c>
      <c r="AU58">
        <f>IF(OR($AA58="",AI$5=""),0,SUMIF(INDIRECT("'"&amp;AI$5&amp;"'!C6:C1000"),$AA58,INDIRECT("'"&amp;AI$5&amp;"'!E6:E1000")))</f>
        <v>0</v>
      </c>
      <c r="AV58">
        <f>IF(OR($AA58="",AJ$5=""),0,SUMIF(INDIRECT("'"&amp;AJ$5&amp;"'!C6:C1000"),$AA58,INDIRECT("'"&amp;AJ$5&amp;"'!E6:E1000")))</f>
        <v>0</v>
      </c>
      <c r="AW58">
        <f>IF(OR($AA58="",AK$5=""),0,SUMIF(INDIRECT("'"&amp;AK$5&amp;"'!C6:C1000"),$AA58,INDIRECT("'"&amp;AK$5&amp;"'!E6:E1000")))</f>
        <v>0</v>
      </c>
      <c r="AX58">
        <f>IF(OR($AA58="",AL$5=""),0,SUMIF(INDIRECT("'"&amp;AL$5&amp;"'!C6:C1000"),$AA58,INDIRECT("'"&amp;AL$5&amp;"'!E6:E1000")))</f>
        <v>0</v>
      </c>
      <c r="AY58">
        <f>IF(OR($AA58="",AM$5=""),0,SUMIF(INDIRECT("'"&amp;AM$5&amp;"'!C6:C1000"),$AA58,INDIRECT("'"&amp;AM$5&amp;"'!E6:E1000")))</f>
        <v>0</v>
      </c>
      <c r="AZ58">
        <f>IF(OR($AA58="",AN$5=""),0,SUMIF(INDIRECT("'"&amp;AN$5&amp;"'!C6:C1000"),$AA58,INDIRECT("'"&amp;AN$5&amp;"'!E6:E1000")))</f>
        <v>0</v>
      </c>
      <c r="BA58">
        <f>IF(OR($AA58="",AC$5=""),0,SUMIFS(INDIRECT("'"&amp;AC$5&amp;"'!E6:E1000"),INDIRECT("'"&amp;AC$5&amp;"'!C6:C1000"),$AA58,INDIRECT("'"&amp;AC$5&amp;"'!F6:F1000"),"箱")+SUMIFS(INDIRECT("'"&amp;AC$5&amp;"'!E6:E1000"),INDIRECT("'"&amp;AC$5&amp;"'!C6:C1000"),$AA58,INDIRECT("'"&amp;AC$5&amp;"'!F6:F1000"),"件"))</f>
        <v>0</v>
      </c>
      <c r="BB58">
        <f>IF(OR($AA58="",AD$5=""),0,SUMIFS(INDIRECT("'"&amp;AD$5&amp;"'!E6:E1000"),INDIRECT("'"&amp;AD$5&amp;"'!C6:C1000"),$AA58,INDIRECT("'"&amp;AD$5&amp;"'!F6:F1000"),"箱")+SUMIFS(INDIRECT("'"&amp;AD$5&amp;"'!E6:E1000"),INDIRECT("'"&amp;AD$5&amp;"'!C6:C1000"),$AA58,INDIRECT("'"&amp;AD$5&amp;"'!F6:F1000"),"件"))</f>
        <v>0</v>
      </c>
      <c r="BC58">
        <f>IF(OR($AA58="",AE$5=""),0,SUMIFS(INDIRECT("'"&amp;AE$5&amp;"'!E6:E1000"),INDIRECT("'"&amp;AE$5&amp;"'!C6:C1000"),$AA58,INDIRECT("'"&amp;AE$5&amp;"'!F6:F1000"),"箱")+SUMIFS(INDIRECT("'"&amp;AE$5&amp;"'!E6:E1000"),INDIRECT("'"&amp;AE$5&amp;"'!C6:C1000"),$AA58,INDIRECT("'"&amp;AE$5&amp;"'!F6:F1000"),"件"))</f>
        <v>0</v>
      </c>
      <c r="BD58">
        <f>IF(OR($AA58="",AF$5=""),0,SUMIFS(INDIRECT("'"&amp;AF$5&amp;"'!E6:E1000"),INDIRECT("'"&amp;AF$5&amp;"'!C6:C1000"),$AA58,INDIRECT("'"&amp;AF$5&amp;"'!F6:F1000"),"箱")+SUMIFS(INDIRECT("'"&amp;AF$5&amp;"'!E6:E1000"),INDIRECT("'"&amp;AF$5&amp;"'!C6:C1000"),$AA58,INDIRECT("'"&amp;AF$5&amp;"'!F6:F1000"),"件"))</f>
        <v>0</v>
      </c>
      <c r="BE58">
        <f>IF(OR($AA58="",AG$5=""),0,SUMIFS(INDIRECT("'"&amp;AG$5&amp;"'!E6:E1000"),INDIRECT("'"&amp;AG$5&amp;"'!C6:C1000"),$AA58,INDIRECT("'"&amp;AG$5&amp;"'!F6:F1000"),"箱")+SUMIFS(INDIRECT("'"&amp;AG$5&amp;"'!E6:E1000"),INDIRECT("'"&amp;AG$5&amp;"'!C6:C1000"),$AA58,INDIRECT("'"&amp;AG$5&amp;"'!F6:F1000"),"件"))</f>
        <v>0</v>
      </c>
      <c r="BF58">
        <f>IF(OR($AA58="",AH$5=""),0,SUMIFS(INDIRECT("'"&amp;AH$5&amp;"'!E6:E1000"),INDIRECT("'"&amp;AH$5&amp;"'!C6:C1000"),$AA58,INDIRECT("'"&amp;AH$5&amp;"'!F6:F1000"),"箱")+SUMIFS(INDIRECT("'"&amp;AH$5&amp;"'!E6:E1000"),INDIRECT("'"&amp;AH$5&amp;"'!C6:C1000"),$AA58,INDIRECT("'"&amp;AH$5&amp;"'!F6:F1000"),"件"))</f>
        <v>0</v>
      </c>
      <c r="BG58">
        <f>IF(OR($AA58="",AI$5=""),0,SUMIFS(INDIRECT("'"&amp;AI$5&amp;"'!E6:E1000"),INDIRECT("'"&amp;AI$5&amp;"'!C6:C1000"),$AA58,INDIRECT("'"&amp;AI$5&amp;"'!F6:F1000"),"箱")+SUMIFS(INDIRECT("'"&amp;AI$5&amp;"'!E6:E1000"),INDIRECT("'"&amp;AI$5&amp;"'!C6:C1000"),$AA58,INDIRECT("'"&amp;AI$5&amp;"'!F6:F1000"),"件"))</f>
        <v>0</v>
      </c>
      <c r="BH58">
        <f>IF(OR($AA58="",AJ$5=""),0,SUMIFS(INDIRECT("'"&amp;AJ$5&amp;"'!E6:E1000"),INDIRECT("'"&amp;AJ$5&amp;"'!C6:C1000"),$AA58,INDIRECT("'"&amp;AJ$5&amp;"'!F6:F1000"),"箱")+SUMIFS(INDIRECT("'"&amp;AJ$5&amp;"'!E6:E1000"),INDIRECT("'"&amp;AJ$5&amp;"'!C6:C1000"),$AA58,INDIRECT("'"&amp;AJ$5&amp;"'!F6:F1000"),"件"))</f>
        <v>0</v>
      </c>
      <c r="BI58">
        <f>IF(OR($AA58="",AK$5=""),0,SUMIFS(INDIRECT("'"&amp;AK$5&amp;"'!E6:E1000"),INDIRECT("'"&amp;AK$5&amp;"'!C6:C1000"),$AA58,INDIRECT("'"&amp;AK$5&amp;"'!F6:F1000"),"箱")+SUMIFS(INDIRECT("'"&amp;AK$5&amp;"'!E6:E1000"),INDIRECT("'"&amp;AK$5&amp;"'!C6:C1000"),$AA58,INDIRECT("'"&amp;AK$5&amp;"'!F6:F1000"),"件"))</f>
        <v>0</v>
      </c>
      <c r="BJ58">
        <f>IF(OR($AA58="",AL$5=""),0,SUMIFS(INDIRECT("'"&amp;AL$5&amp;"'!E6:E1000"),INDIRECT("'"&amp;AL$5&amp;"'!C6:C1000"),$AA58,INDIRECT("'"&amp;AL$5&amp;"'!F6:F1000"),"箱")+SUMIFS(INDIRECT("'"&amp;AL$5&amp;"'!E6:E1000"),INDIRECT("'"&amp;AL$5&amp;"'!C6:C1000"),$AA58,INDIRECT("'"&amp;AL$5&amp;"'!F6:F1000"),"件"))</f>
        <v>0</v>
      </c>
      <c r="BK58">
        <f>IF(OR($AA58="",AM$5=""),0,SUMIFS(INDIRECT("'"&amp;AM$5&amp;"'!E6:E1000"),INDIRECT("'"&amp;AM$5&amp;"'!C6:C1000"),$AA58,INDIRECT("'"&amp;AM$5&amp;"'!F6:F1000"),"箱")+SUMIFS(INDIRECT("'"&amp;AM$5&amp;"'!E6:E1000"),INDIRECT("'"&amp;AM$5&amp;"'!C6:C1000"),$AA58,INDIRECT("'"&amp;AM$5&amp;"'!F6:F1000"),"件"))</f>
        <v>0</v>
      </c>
      <c r="BL58">
        <f>IF(OR($AA58="",AN$5=""),0,SUMIFS(INDIRECT("'"&amp;AN$5&amp;"'!E6:E1000"),INDIRECT("'"&amp;AN$5&amp;"'!C6:C1000"),$AA58,INDIRECT("'"&amp;AN$5&amp;"'!F6:F1000"),"箱")+SUMIFS(INDIRECT("'"&amp;AN$5&amp;"'!E6:E1000"),INDIRECT("'"&amp;AN$5&amp;"'!C6:C1000"),$AA58,INDIRECT("'"&amp;AN$5&amp;"'!F6:F1000"),"件"))</f>
        <v>0</v>
      </c>
      <c r="BM58">
        <f>(AO58-BA58)/$AB58+BA58</f>
        <v>0</v>
      </c>
      <c r="BN58">
        <f>(AP58-BB58)/$AB58+BB58</f>
        <v>0</v>
      </c>
      <c r="BO58">
        <f>(AQ58-BC58)/$AB58+BC58</f>
        <v>0</v>
      </c>
      <c r="BP58">
        <f>(AR58-BD58)/$AB58+BD58</f>
        <v>0</v>
      </c>
      <c r="BQ58">
        <f>(AS58-BE58)/$AB58+BE58</f>
        <v>0</v>
      </c>
      <c r="BR58">
        <f>(AT58-BF58)/$AB58+BF58</f>
        <v>0</v>
      </c>
      <c r="BS58">
        <f>(AU58-BG58)/$AB58+BG58</f>
        <v>0</v>
      </c>
      <c r="BT58">
        <f>(AV58-BH58)/$AB58+BH58</f>
        <v>0</v>
      </c>
      <c r="BU58">
        <f>(AW58-BI58)/$AB58+BI58</f>
        <v>0</v>
      </c>
      <c r="BV58">
        <f>(AX58-BJ58)/$AB58+BJ58</f>
        <v>0</v>
      </c>
      <c r="BW58">
        <f>(AY58-BK58)/$AB58+BK58</f>
        <v>0</v>
      </c>
      <c r="BX58">
        <f>(AZ58-BL58)/$AB58+BL58</f>
        <v>0</v>
      </c>
      <c r="BY58">
        <f>SUMPRODUCT((($AC$4:$AN$4=报损汇总一览!$A$3)+(报损汇总一览!$A$3="全年"))*AC58:AN58)</f>
        <v>0</v>
      </c>
      <c r="BZ58">
        <f>IF(BY58&gt;0,BY58+(1000-ROW())/10000000,"")</f>
      </c>
      <c r="CA58">
        <f>SUMPRODUCT((($AC$4:$AN$4=报损汇总一览!$A$3)+(报损汇总一览!$A$3="全年"))*AO58:AZ58)</f>
        <v>0</v>
      </c>
    </row>
    <row r="59">
      <c r="A59">
        <f>IF(OR(存条明细!C59="",存条明细!D59=""),"",IF(COUNTIFS(存条明细!$C$4:C59,存条明细!C59,存条明细!$D$4:D59,存条明细!D59)&gt;1,"",IFERROR(MATCH(存条明细!C59,总览汇总!$B$5:$B$304,0),900)*10000000+IFERROR(MATCH(存条明细!D59,基础资料!$E$5:$E$104,0),900)*10000+ROW()))</f>
        <v>140080059</v>
      </c>
      <c r="B59">
        <f>IFERROR(MATCH(SMALL($A$4:$A$4003,56),$A$4:$A$4003,0),"")</f>
        <v>42</v>
      </c>
      <c r="D59">
        <f>IF(AND(商品库存!B59&lt;&gt;"",商品库存!B59=客户查询!$B$4),COUNTIF(商品库存!$B$4:B59,客户查询!$B$4),"")</f>
      </c>
      <c r="E59">
        <f>IF(AND(商品库存!B59&lt;&gt;"",商品库存!B59=客户对账单!$B$4),COUNTIF(商品库存!$B$4:B59,客户对账单!$B$4),"")</f>
      </c>
      <c r="F59">
        <f>IF(AND(出库明细!C59&lt;&gt;"",出库明细!C59=客户对账单!$B$4,ISNUMBER(出库明细!B59),出库明细!B59&gt;=客户对账单!$G$4,出库明细!B59&lt;=客户对账单!$I$4),出库明细!B59+ROW()/100000,"")</f>
      </c>
      <c r="H59">
        <f>IF(AND(采购进货!C59&lt;&gt;"",采购进货!C59=供应商对账单!$B$4,ISNUMBER(采购进货!B59),采购进货!B59&gt;=供应商对账单!$G$4,采购进货!B59&lt;=供应商对账单!$I$4),采购进货!B59+ROW()/100000,"")</f>
      </c>
      <c r="J59">
        <f>IF(总览汇总!$B59="","",N(总览汇总!$K59)+SUMIFS(出库明细!$G$4:$G$3003,出库明细!$C$4:$C$3003,总览汇总!$B59,出库明细!$B$4:$B$3003,"&gt;="&amp;年初日,出库明细!$B$4:$B$3003,"&lt;="&amp;资产负债表!$D$3)-SUMIFS(资金台帐!$S$7:$S$3006,资金台帐!$J$7:$J$3006,总览汇总!$B59,资金台帐!$P$7:$P$3006,"应收",资金台帐!$B$7:$B$3006,"&gt;="&amp;年初日,资金台帐!$B$7:$B$3006,"&lt;="&amp;资产负债表!$D$3))</f>
        <v>0</v>
      </c>
      <c r="N59">
        <f>IF(AND(ISNUMBER(出库明细!G59),ISNUMBER(出库明细!E59),ISNUMBER(出库明细!F59)),IF(ABS(出库明细!G59-出库明细!E59*出库明细!F59)&gt;0.005,1,0),0)</f>
        <v>0</v>
      </c>
      <c r="O59">
        <f>IF(AND(ISNUMBER(存条明细!G59),ISNUMBER(存条明细!E59),ISNUMBER(存条明细!F59)),IF(ABS(存条明细!G59-存条明细!E59*存条明细!F59)&gt;0.005,1,0),0)</f>
        <v>0</v>
      </c>
      <c r="AA59">
        <f>IF(基础资料!G58="","",基础资料!G58&amp;"")</f>
      </c>
      <c r="AB59">
        <f>IF(N(基础资料!I58)&lt;=0,1,基础资料!I58)</f>
        <v>1</v>
      </c>
      <c r="AC59">
        <f>IF(OR($AA59="",AC$5=""),0,SUMIF(INDIRECT("'"&amp;AC$5&amp;"'!C6:C1000"),$AA59,INDIRECT("'"&amp;AC$5&amp;"'!H6:H1000")))</f>
        <v>0</v>
      </c>
      <c r="AD59">
        <f>IF(OR($AA59="",AD$5=""),0,SUMIF(INDIRECT("'"&amp;AD$5&amp;"'!C6:C1000"),$AA59,INDIRECT("'"&amp;AD$5&amp;"'!H6:H1000")))</f>
        <v>0</v>
      </c>
      <c r="AE59">
        <f>IF(OR($AA59="",AE$5=""),0,SUMIF(INDIRECT("'"&amp;AE$5&amp;"'!C6:C1000"),$AA59,INDIRECT("'"&amp;AE$5&amp;"'!H6:H1000")))</f>
        <v>0</v>
      </c>
      <c r="AF59">
        <f>IF(OR($AA59="",AF$5=""),0,SUMIF(INDIRECT("'"&amp;AF$5&amp;"'!C6:C1000"),$AA59,INDIRECT("'"&amp;AF$5&amp;"'!H6:H1000")))</f>
        <v>0</v>
      </c>
      <c r="AG59">
        <f>IF(OR($AA59="",AG$5=""),0,SUMIF(INDIRECT("'"&amp;AG$5&amp;"'!C6:C1000"),$AA59,INDIRECT("'"&amp;AG$5&amp;"'!H6:H1000")))</f>
        <v>0</v>
      </c>
      <c r="AH59">
        <f>IF(OR($AA59="",AH$5=""),0,SUMIF(INDIRECT("'"&amp;AH$5&amp;"'!C6:C1000"),$AA59,INDIRECT("'"&amp;AH$5&amp;"'!H6:H1000")))</f>
        <v>0</v>
      </c>
      <c r="AI59">
        <f>IF(OR($AA59="",AI$5=""),0,SUMIF(INDIRECT("'"&amp;AI$5&amp;"'!C6:C1000"),$AA59,INDIRECT("'"&amp;AI$5&amp;"'!H6:H1000")))</f>
        <v>0</v>
      </c>
      <c r="AJ59">
        <f>IF(OR($AA59="",AJ$5=""),0,SUMIF(INDIRECT("'"&amp;AJ$5&amp;"'!C6:C1000"),$AA59,INDIRECT("'"&amp;AJ$5&amp;"'!H6:H1000")))</f>
        <v>0</v>
      </c>
      <c r="AK59">
        <f>IF(OR($AA59="",AK$5=""),0,SUMIF(INDIRECT("'"&amp;AK$5&amp;"'!C6:C1000"),$AA59,INDIRECT("'"&amp;AK$5&amp;"'!H6:H1000")))</f>
        <v>0</v>
      </c>
      <c r="AL59">
        <f>IF(OR($AA59="",AL$5=""),0,SUMIF(INDIRECT("'"&amp;AL$5&amp;"'!C6:C1000"),$AA59,INDIRECT("'"&amp;AL$5&amp;"'!H6:H1000")))</f>
        <v>0</v>
      </c>
      <c r="AM59">
        <f>IF(OR($AA59="",AM$5=""),0,SUMIF(INDIRECT("'"&amp;AM$5&amp;"'!C6:C1000"),$AA59,INDIRECT("'"&amp;AM$5&amp;"'!H6:H1000")))</f>
        <v>0</v>
      </c>
      <c r="AN59">
        <f>IF(OR($AA59="",AN$5=""),0,SUMIF(INDIRECT("'"&amp;AN$5&amp;"'!C6:C1000"),$AA59,INDIRECT("'"&amp;AN$5&amp;"'!H6:H1000")))</f>
        <v>0</v>
      </c>
      <c r="AO59">
        <f>IF(OR($AA59="",AC$5=""),0,SUMIF(INDIRECT("'"&amp;AC$5&amp;"'!C6:C1000"),$AA59,INDIRECT("'"&amp;AC$5&amp;"'!E6:E1000")))</f>
        <v>0</v>
      </c>
      <c r="AP59">
        <f>IF(OR($AA59="",AD$5=""),0,SUMIF(INDIRECT("'"&amp;AD$5&amp;"'!C6:C1000"),$AA59,INDIRECT("'"&amp;AD$5&amp;"'!E6:E1000")))</f>
        <v>0</v>
      </c>
      <c r="AQ59">
        <f>IF(OR($AA59="",AE$5=""),0,SUMIF(INDIRECT("'"&amp;AE$5&amp;"'!C6:C1000"),$AA59,INDIRECT("'"&amp;AE$5&amp;"'!E6:E1000")))</f>
        <v>0</v>
      </c>
      <c r="AR59">
        <f>IF(OR($AA59="",AF$5=""),0,SUMIF(INDIRECT("'"&amp;AF$5&amp;"'!C6:C1000"),$AA59,INDIRECT("'"&amp;AF$5&amp;"'!E6:E1000")))</f>
        <v>0</v>
      </c>
      <c r="AS59">
        <f>IF(OR($AA59="",AG$5=""),0,SUMIF(INDIRECT("'"&amp;AG$5&amp;"'!C6:C1000"),$AA59,INDIRECT("'"&amp;AG$5&amp;"'!E6:E1000")))</f>
        <v>0</v>
      </c>
      <c r="AT59">
        <f>IF(OR($AA59="",AH$5=""),0,SUMIF(INDIRECT("'"&amp;AH$5&amp;"'!C6:C1000"),$AA59,INDIRECT("'"&amp;AH$5&amp;"'!E6:E1000")))</f>
        <v>0</v>
      </c>
      <c r="AU59">
        <f>IF(OR($AA59="",AI$5=""),0,SUMIF(INDIRECT("'"&amp;AI$5&amp;"'!C6:C1000"),$AA59,INDIRECT("'"&amp;AI$5&amp;"'!E6:E1000")))</f>
        <v>0</v>
      </c>
      <c r="AV59">
        <f>IF(OR($AA59="",AJ$5=""),0,SUMIF(INDIRECT("'"&amp;AJ$5&amp;"'!C6:C1000"),$AA59,INDIRECT("'"&amp;AJ$5&amp;"'!E6:E1000")))</f>
        <v>0</v>
      </c>
      <c r="AW59">
        <f>IF(OR($AA59="",AK$5=""),0,SUMIF(INDIRECT("'"&amp;AK$5&amp;"'!C6:C1000"),$AA59,INDIRECT("'"&amp;AK$5&amp;"'!E6:E1000")))</f>
        <v>0</v>
      </c>
      <c r="AX59">
        <f>IF(OR($AA59="",AL$5=""),0,SUMIF(INDIRECT("'"&amp;AL$5&amp;"'!C6:C1000"),$AA59,INDIRECT("'"&amp;AL$5&amp;"'!E6:E1000")))</f>
        <v>0</v>
      </c>
      <c r="AY59">
        <f>IF(OR($AA59="",AM$5=""),0,SUMIF(INDIRECT("'"&amp;AM$5&amp;"'!C6:C1000"),$AA59,INDIRECT("'"&amp;AM$5&amp;"'!E6:E1000")))</f>
        <v>0</v>
      </c>
      <c r="AZ59">
        <f>IF(OR($AA59="",AN$5=""),0,SUMIF(INDIRECT("'"&amp;AN$5&amp;"'!C6:C1000"),$AA59,INDIRECT("'"&amp;AN$5&amp;"'!E6:E1000")))</f>
        <v>0</v>
      </c>
      <c r="BA59">
        <f>IF(OR($AA59="",AC$5=""),0,SUMIFS(INDIRECT("'"&amp;AC$5&amp;"'!E6:E1000"),INDIRECT("'"&amp;AC$5&amp;"'!C6:C1000"),$AA59,INDIRECT("'"&amp;AC$5&amp;"'!F6:F1000"),"箱")+SUMIFS(INDIRECT("'"&amp;AC$5&amp;"'!E6:E1000"),INDIRECT("'"&amp;AC$5&amp;"'!C6:C1000"),$AA59,INDIRECT("'"&amp;AC$5&amp;"'!F6:F1000"),"件"))</f>
        <v>0</v>
      </c>
      <c r="BB59">
        <f>IF(OR($AA59="",AD$5=""),0,SUMIFS(INDIRECT("'"&amp;AD$5&amp;"'!E6:E1000"),INDIRECT("'"&amp;AD$5&amp;"'!C6:C1000"),$AA59,INDIRECT("'"&amp;AD$5&amp;"'!F6:F1000"),"箱")+SUMIFS(INDIRECT("'"&amp;AD$5&amp;"'!E6:E1000"),INDIRECT("'"&amp;AD$5&amp;"'!C6:C1000"),$AA59,INDIRECT("'"&amp;AD$5&amp;"'!F6:F1000"),"件"))</f>
        <v>0</v>
      </c>
      <c r="BC59">
        <f>IF(OR($AA59="",AE$5=""),0,SUMIFS(INDIRECT("'"&amp;AE$5&amp;"'!E6:E1000"),INDIRECT("'"&amp;AE$5&amp;"'!C6:C1000"),$AA59,INDIRECT("'"&amp;AE$5&amp;"'!F6:F1000"),"箱")+SUMIFS(INDIRECT("'"&amp;AE$5&amp;"'!E6:E1000"),INDIRECT("'"&amp;AE$5&amp;"'!C6:C1000"),$AA59,INDIRECT("'"&amp;AE$5&amp;"'!F6:F1000"),"件"))</f>
        <v>0</v>
      </c>
      <c r="BD59">
        <f>IF(OR($AA59="",AF$5=""),0,SUMIFS(INDIRECT("'"&amp;AF$5&amp;"'!E6:E1000"),INDIRECT("'"&amp;AF$5&amp;"'!C6:C1000"),$AA59,INDIRECT("'"&amp;AF$5&amp;"'!F6:F1000"),"箱")+SUMIFS(INDIRECT("'"&amp;AF$5&amp;"'!E6:E1000"),INDIRECT("'"&amp;AF$5&amp;"'!C6:C1000"),$AA59,INDIRECT("'"&amp;AF$5&amp;"'!F6:F1000"),"件"))</f>
        <v>0</v>
      </c>
      <c r="BE59">
        <f>IF(OR($AA59="",AG$5=""),0,SUMIFS(INDIRECT("'"&amp;AG$5&amp;"'!E6:E1000"),INDIRECT("'"&amp;AG$5&amp;"'!C6:C1000"),$AA59,INDIRECT("'"&amp;AG$5&amp;"'!F6:F1000"),"箱")+SUMIFS(INDIRECT("'"&amp;AG$5&amp;"'!E6:E1000"),INDIRECT("'"&amp;AG$5&amp;"'!C6:C1000"),$AA59,INDIRECT("'"&amp;AG$5&amp;"'!F6:F1000"),"件"))</f>
        <v>0</v>
      </c>
      <c r="BF59">
        <f>IF(OR($AA59="",AH$5=""),0,SUMIFS(INDIRECT("'"&amp;AH$5&amp;"'!E6:E1000"),INDIRECT("'"&amp;AH$5&amp;"'!C6:C1000"),$AA59,INDIRECT("'"&amp;AH$5&amp;"'!F6:F1000"),"箱")+SUMIFS(INDIRECT("'"&amp;AH$5&amp;"'!E6:E1000"),INDIRECT("'"&amp;AH$5&amp;"'!C6:C1000"),$AA59,INDIRECT("'"&amp;AH$5&amp;"'!F6:F1000"),"件"))</f>
        <v>0</v>
      </c>
      <c r="BG59">
        <f>IF(OR($AA59="",AI$5=""),0,SUMIFS(INDIRECT("'"&amp;AI$5&amp;"'!E6:E1000"),INDIRECT("'"&amp;AI$5&amp;"'!C6:C1000"),$AA59,INDIRECT("'"&amp;AI$5&amp;"'!F6:F1000"),"箱")+SUMIFS(INDIRECT("'"&amp;AI$5&amp;"'!E6:E1000"),INDIRECT("'"&amp;AI$5&amp;"'!C6:C1000"),$AA59,INDIRECT("'"&amp;AI$5&amp;"'!F6:F1000"),"件"))</f>
        <v>0</v>
      </c>
      <c r="BH59">
        <f>IF(OR($AA59="",AJ$5=""),0,SUMIFS(INDIRECT("'"&amp;AJ$5&amp;"'!E6:E1000"),INDIRECT("'"&amp;AJ$5&amp;"'!C6:C1000"),$AA59,INDIRECT("'"&amp;AJ$5&amp;"'!F6:F1000"),"箱")+SUMIFS(INDIRECT("'"&amp;AJ$5&amp;"'!E6:E1000"),INDIRECT("'"&amp;AJ$5&amp;"'!C6:C1000"),$AA59,INDIRECT("'"&amp;AJ$5&amp;"'!F6:F1000"),"件"))</f>
        <v>0</v>
      </c>
      <c r="BI59">
        <f>IF(OR($AA59="",AK$5=""),0,SUMIFS(INDIRECT("'"&amp;AK$5&amp;"'!E6:E1000"),INDIRECT("'"&amp;AK$5&amp;"'!C6:C1000"),$AA59,INDIRECT("'"&amp;AK$5&amp;"'!F6:F1000"),"箱")+SUMIFS(INDIRECT("'"&amp;AK$5&amp;"'!E6:E1000"),INDIRECT("'"&amp;AK$5&amp;"'!C6:C1000"),$AA59,INDIRECT("'"&amp;AK$5&amp;"'!F6:F1000"),"件"))</f>
        <v>0</v>
      </c>
      <c r="BJ59">
        <f>IF(OR($AA59="",AL$5=""),0,SUMIFS(INDIRECT("'"&amp;AL$5&amp;"'!E6:E1000"),INDIRECT("'"&amp;AL$5&amp;"'!C6:C1000"),$AA59,INDIRECT("'"&amp;AL$5&amp;"'!F6:F1000"),"箱")+SUMIFS(INDIRECT("'"&amp;AL$5&amp;"'!E6:E1000"),INDIRECT("'"&amp;AL$5&amp;"'!C6:C1000"),$AA59,INDIRECT("'"&amp;AL$5&amp;"'!F6:F1000"),"件"))</f>
        <v>0</v>
      </c>
      <c r="BK59">
        <f>IF(OR($AA59="",AM$5=""),0,SUMIFS(INDIRECT("'"&amp;AM$5&amp;"'!E6:E1000"),INDIRECT("'"&amp;AM$5&amp;"'!C6:C1000"),$AA59,INDIRECT("'"&amp;AM$5&amp;"'!F6:F1000"),"箱")+SUMIFS(INDIRECT("'"&amp;AM$5&amp;"'!E6:E1000"),INDIRECT("'"&amp;AM$5&amp;"'!C6:C1000"),$AA59,INDIRECT("'"&amp;AM$5&amp;"'!F6:F1000"),"件"))</f>
        <v>0</v>
      </c>
      <c r="BL59">
        <f>IF(OR($AA59="",AN$5=""),0,SUMIFS(INDIRECT("'"&amp;AN$5&amp;"'!E6:E1000"),INDIRECT("'"&amp;AN$5&amp;"'!C6:C1000"),$AA59,INDIRECT("'"&amp;AN$5&amp;"'!F6:F1000"),"箱")+SUMIFS(INDIRECT("'"&amp;AN$5&amp;"'!E6:E1000"),INDIRECT("'"&amp;AN$5&amp;"'!C6:C1000"),$AA59,INDIRECT("'"&amp;AN$5&amp;"'!F6:F1000"),"件"))</f>
        <v>0</v>
      </c>
      <c r="BM59">
        <f>(AO59-BA59)/$AB59+BA59</f>
        <v>0</v>
      </c>
      <c r="BN59">
        <f>(AP59-BB59)/$AB59+BB59</f>
        <v>0</v>
      </c>
      <c r="BO59">
        <f>(AQ59-BC59)/$AB59+BC59</f>
        <v>0</v>
      </c>
      <c r="BP59">
        <f>(AR59-BD59)/$AB59+BD59</f>
        <v>0</v>
      </c>
      <c r="BQ59">
        <f>(AS59-BE59)/$AB59+BE59</f>
        <v>0</v>
      </c>
      <c r="BR59">
        <f>(AT59-BF59)/$AB59+BF59</f>
        <v>0</v>
      </c>
      <c r="BS59">
        <f>(AU59-BG59)/$AB59+BG59</f>
        <v>0</v>
      </c>
      <c r="BT59">
        <f>(AV59-BH59)/$AB59+BH59</f>
        <v>0</v>
      </c>
      <c r="BU59">
        <f>(AW59-BI59)/$AB59+BI59</f>
        <v>0</v>
      </c>
      <c r="BV59">
        <f>(AX59-BJ59)/$AB59+BJ59</f>
        <v>0</v>
      </c>
      <c r="BW59">
        <f>(AY59-BK59)/$AB59+BK59</f>
        <v>0</v>
      </c>
      <c r="BX59">
        <f>(AZ59-BL59)/$AB59+BL59</f>
        <v>0</v>
      </c>
      <c r="BY59">
        <f>SUMPRODUCT((($AC$4:$AN$4=报损汇总一览!$A$3)+(报损汇总一览!$A$3="全年"))*AC59:AN59)</f>
        <v>0</v>
      </c>
      <c r="BZ59">
        <f>IF(BY59&gt;0,BY59+(1000-ROW())/10000000,"")</f>
      </c>
      <c r="CA59">
        <f>SUMPRODUCT((($AC$4:$AN$4=报损汇总一览!$A$3)+(报损汇总一览!$A$3="全年"))*AO59:AZ59)</f>
        <v>0</v>
      </c>
    </row>
    <row r="60">
      <c r="A60">
        <f>IF(OR(存条明细!C60="",存条明细!D60=""),"",IF(COUNTIFS(存条明细!$C$4:C60,存条明细!C60,存条明细!$D$4:D60,存条明细!D60)&gt;1,"",IFERROR(MATCH(存条明细!C60,总览汇总!$B$5:$B$304,0),900)*10000000+IFERROR(MATCH(存条明细!D60,基础资料!$E$5:$E$104,0),900)*10000+ROW()))</f>
        <v>150010060</v>
      </c>
      <c r="B60">
        <f>IFERROR(MATCH(SMALL($A$4:$A$4003,57),$A$4:$A$4003,0),"")</f>
        <v>38</v>
      </c>
      <c r="D60">
        <f>IF(AND(商品库存!B60&lt;&gt;"",商品库存!B60=客户查询!$B$4),COUNTIF(商品库存!$B$4:B60,客户查询!$B$4),"")</f>
      </c>
      <c r="E60">
        <f>IF(AND(商品库存!B60&lt;&gt;"",商品库存!B60=客户对账单!$B$4),COUNTIF(商品库存!$B$4:B60,客户对账单!$B$4),"")</f>
      </c>
      <c r="F60">
        <f>IF(AND(出库明细!C60&lt;&gt;"",出库明细!C60=客户对账单!$B$4,ISNUMBER(出库明细!B60),出库明细!B60&gt;=客户对账单!$G$4,出库明细!B60&lt;=客户对账单!$I$4),出库明细!B60+ROW()/100000,"")</f>
      </c>
      <c r="H60">
        <f>IF(AND(采购进货!C60&lt;&gt;"",采购进货!C60=供应商对账单!$B$4,ISNUMBER(采购进货!B60),采购进货!B60&gt;=供应商对账单!$G$4,采购进货!B60&lt;=供应商对账单!$I$4),采购进货!B60+ROW()/100000,"")</f>
      </c>
      <c r="J60">
        <f>IF(总览汇总!$B60="","",N(总览汇总!$K60)+SUMIFS(出库明细!$G$4:$G$3003,出库明细!$C$4:$C$3003,总览汇总!$B60,出库明细!$B$4:$B$3003,"&gt;="&amp;年初日,出库明细!$B$4:$B$3003,"&lt;="&amp;资产负债表!$D$3)-SUMIFS(资金台帐!$S$7:$S$3006,资金台帐!$J$7:$J$3006,总览汇总!$B60,资金台帐!$P$7:$P$3006,"应收",资金台帐!$B$7:$B$3006,"&gt;="&amp;年初日,资金台帐!$B$7:$B$3006,"&lt;="&amp;资产负债表!$D$3))</f>
        <v>-774</v>
      </c>
      <c r="N60">
        <f>IF(AND(ISNUMBER(出库明细!G60),ISNUMBER(出库明细!E60),ISNUMBER(出库明细!F60)),IF(ABS(出库明细!G60-出库明细!E60*出库明细!F60)&gt;0.005,1,0),0)</f>
        <v>0</v>
      </c>
      <c r="O60">
        <f>IF(AND(ISNUMBER(存条明细!G60),ISNUMBER(存条明细!E60),ISNUMBER(存条明细!F60)),IF(ABS(存条明细!G60-存条明细!E60*存条明细!F60)&gt;0.005,1,0),0)</f>
        <v>0</v>
      </c>
      <c r="AA60">
        <f>IF(基础资料!G59="","",基础资料!G59&amp;"")</f>
      </c>
      <c r="AB60">
        <f>IF(N(基础资料!I59)&lt;=0,1,基础资料!I59)</f>
        <v>1</v>
      </c>
      <c r="AC60">
        <f>IF(OR($AA60="",AC$5=""),0,SUMIF(INDIRECT("'"&amp;AC$5&amp;"'!C6:C1000"),$AA60,INDIRECT("'"&amp;AC$5&amp;"'!H6:H1000")))</f>
        <v>0</v>
      </c>
      <c r="AD60">
        <f>IF(OR($AA60="",AD$5=""),0,SUMIF(INDIRECT("'"&amp;AD$5&amp;"'!C6:C1000"),$AA60,INDIRECT("'"&amp;AD$5&amp;"'!H6:H1000")))</f>
        <v>0</v>
      </c>
      <c r="AE60">
        <f>IF(OR($AA60="",AE$5=""),0,SUMIF(INDIRECT("'"&amp;AE$5&amp;"'!C6:C1000"),$AA60,INDIRECT("'"&amp;AE$5&amp;"'!H6:H1000")))</f>
        <v>0</v>
      </c>
      <c r="AF60">
        <f>IF(OR($AA60="",AF$5=""),0,SUMIF(INDIRECT("'"&amp;AF$5&amp;"'!C6:C1000"),$AA60,INDIRECT("'"&amp;AF$5&amp;"'!H6:H1000")))</f>
        <v>0</v>
      </c>
      <c r="AG60">
        <f>IF(OR($AA60="",AG$5=""),0,SUMIF(INDIRECT("'"&amp;AG$5&amp;"'!C6:C1000"),$AA60,INDIRECT("'"&amp;AG$5&amp;"'!H6:H1000")))</f>
        <v>0</v>
      </c>
      <c r="AH60">
        <f>IF(OR($AA60="",AH$5=""),0,SUMIF(INDIRECT("'"&amp;AH$5&amp;"'!C6:C1000"),$AA60,INDIRECT("'"&amp;AH$5&amp;"'!H6:H1000")))</f>
        <v>0</v>
      </c>
      <c r="AI60">
        <f>IF(OR($AA60="",AI$5=""),0,SUMIF(INDIRECT("'"&amp;AI$5&amp;"'!C6:C1000"),$AA60,INDIRECT("'"&amp;AI$5&amp;"'!H6:H1000")))</f>
        <v>0</v>
      </c>
      <c r="AJ60">
        <f>IF(OR($AA60="",AJ$5=""),0,SUMIF(INDIRECT("'"&amp;AJ$5&amp;"'!C6:C1000"),$AA60,INDIRECT("'"&amp;AJ$5&amp;"'!H6:H1000")))</f>
        <v>0</v>
      </c>
      <c r="AK60">
        <f>IF(OR($AA60="",AK$5=""),0,SUMIF(INDIRECT("'"&amp;AK$5&amp;"'!C6:C1000"),$AA60,INDIRECT("'"&amp;AK$5&amp;"'!H6:H1000")))</f>
        <v>0</v>
      </c>
      <c r="AL60">
        <f>IF(OR($AA60="",AL$5=""),0,SUMIF(INDIRECT("'"&amp;AL$5&amp;"'!C6:C1000"),$AA60,INDIRECT("'"&amp;AL$5&amp;"'!H6:H1000")))</f>
        <v>0</v>
      </c>
      <c r="AM60">
        <f>IF(OR($AA60="",AM$5=""),0,SUMIF(INDIRECT("'"&amp;AM$5&amp;"'!C6:C1000"),$AA60,INDIRECT("'"&amp;AM$5&amp;"'!H6:H1000")))</f>
        <v>0</v>
      </c>
      <c r="AN60">
        <f>IF(OR($AA60="",AN$5=""),0,SUMIF(INDIRECT("'"&amp;AN$5&amp;"'!C6:C1000"),$AA60,INDIRECT("'"&amp;AN$5&amp;"'!H6:H1000")))</f>
        <v>0</v>
      </c>
      <c r="AO60">
        <f>IF(OR($AA60="",AC$5=""),0,SUMIF(INDIRECT("'"&amp;AC$5&amp;"'!C6:C1000"),$AA60,INDIRECT("'"&amp;AC$5&amp;"'!E6:E1000")))</f>
        <v>0</v>
      </c>
      <c r="AP60">
        <f>IF(OR($AA60="",AD$5=""),0,SUMIF(INDIRECT("'"&amp;AD$5&amp;"'!C6:C1000"),$AA60,INDIRECT("'"&amp;AD$5&amp;"'!E6:E1000")))</f>
        <v>0</v>
      </c>
      <c r="AQ60">
        <f>IF(OR($AA60="",AE$5=""),0,SUMIF(INDIRECT("'"&amp;AE$5&amp;"'!C6:C1000"),$AA60,INDIRECT("'"&amp;AE$5&amp;"'!E6:E1000")))</f>
        <v>0</v>
      </c>
      <c r="AR60">
        <f>IF(OR($AA60="",AF$5=""),0,SUMIF(INDIRECT("'"&amp;AF$5&amp;"'!C6:C1000"),$AA60,INDIRECT("'"&amp;AF$5&amp;"'!E6:E1000")))</f>
        <v>0</v>
      </c>
      <c r="AS60">
        <f>IF(OR($AA60="",AG$5=""),0,SUMIF(INDIRECT("'"&amp;AG$5&amp;"'!C6:C1000"),$AA60,INDIRECT("'"&amp;AG$5&amp;"'!E6:E1000")))</f>
        <v>0</v>
      </c>
      <c r="AT60">
        <f>IF(OR($AA60="",AH$5=""),0,SUMIF(INDIRECT("'"&amp;AH$5&amp;"'!C6:C1000"),$AA60,INDIRECT("'"&amp;AH$5&amp;"'!E6:E1000")))</f>
        <v>0</v>
      </c>
      <c r="AU60">
        <f>IF(OR($AA60="",AI$5=""),0,SUMIF(INDIRECT("'"&amp;AI$5&amp;"'!C6:C1000"),$AA60,INDIRECT("'"&amp;AI$5&amp;"'!E6:E1000")))</f>
        <v>0</v>
      </c>
      <c r="AV60">
        <f>IF(OR($AA60="",AJ$5=""),0,SUMIF(INDIRECT("'"&amp;AJ$5&amp;"'!C6:C1000"),$AA60,INDIRECT("'"&amp;AJ$5&amp;"'!E6:E1000")))</f>
        <v>0</v>
      </c>
      <c r="AW60">
        <f>IF(OR($AA60="",AK$5=""),0,SUMIF(INDIRECT("'"&amp;AK$5&amp;"'!C6:C1000"),$AA60,INDIRECT("'"&amp;AK$5&amp;"'!E6:E1000")))</f>
        <v>0</v>
      </c>
      <c r="AX60">
        <f>IF(OR($AA60="",AL$5=""),0,SUMIF(INDIRECT("'"&amp;AL$5&amp;"'!C6:C1000"),$AA60,INDIRECT("'"&amp;AL$5&amp;"'!E6:E1000")))</f>
        <v>0</v>
      </c>
      <c r="AY60">
        <f>IF(OR($AA60="",AM$5=""),0,SUMIF(INDIRECT("'"&amp;AM$5&amp;"'!C6:C1000"),$AA60,INDIRECT("'"&amp;AM$5&amp;"'!E6:E1000")))</f>
        <v>0</v>
      </c>
      <c r="AZ60">
        <f>IF(OR($AA60="",AN$5=""),0,SUMIF(INDIRECT("'"&amp;AN$5&amp;"'!C6:C1000"),$AA60,INDIRECT("'"&amp;AN$5&amp;"'!E6:E1000")))</f>
        <v>0</v>
      </c>
      <c r="BA60">
        <f>IF(OR($AA60="",AC$5=""),0,SUMIFS(INDIRECT("'"&amp;AC$5&amp;"'!E6:E1000"),INDIRECT("'"&amp;AC$5&amp;"'!C6:C1000"),$AA60,INDIRECT("'"&amp;AC$5&amp;"'!F6:F1000"),"箱")+SUMIFS(INDIRECT("'"&amp;AC$5&amp;"'!E6:E1000"),INDIRECT("'"&amp;AC$5&amp;"'!C6:C1000"),$AA60,INDIRECT("'"&amp;AC$5&amp;"'!F6:F1000"),"件"))</f>
        <v>0</v>
      </c>
      <c r="BB60">
        <f>IF(OR($AA60="",AD$5=""),0,SUMIFS(INDIRECT("'"&amp;AD$5&amp;"'!E6:E1000"),INDIRECT("'"&amp;AD$5&amp;"'!C6:C1000"),$AA60,INDIRECT("'"&amp;AD$5&amp;"'!F6:F1000"),"箱")+SUMIFS(INDIRECT("'"&amp;AD$5&amp;"'!E6:E1000"),INDIRECT("'"&amp;AD$5&amp;"'!C6:C1000"),$AA60,INDIRECT("'"&amp;AD$5&amp;"'!F6:F1000"),"件"))</f>
        <v>0</v>
      </c>
      <c r="BC60">
        <f>IF(OR($AA60="",AE$5=""),0,SUMIFS(INDIRECT("'"&amp;AE$5&amp;"'!E6:E1000"),INDIRECT("'"&amp;AE$5&amp;"'!C6:C1000"),$AA60,INDIRECT("'"&amp;AE$5&amp;"'!F6:F1000"),"箱")+SUMIFS(INDIRECT("'"&amp;AE$5&amp;"'!E6:E1000"),INDIRECT("'"&amp;AE$5&amp;"'!C6:C1000"),$AA60,INDIRECT("'"&amp;AE$5&amp;"'!F6:F1000"),"件"))</f>
        <v>0</v>
      </c>
      <c r="BD60">
        <f>IF(OR($AA60="",AF$5=""),0,SUMIFS(INDIRECT("'"&amp;AF$5&amp;"'!E6:E1000"),INDIRECT("'"&amp;AF$5&amp;"'!C6:C1000"),$AA60,INDIRECT("'"&amp;AF$5&amp;"'!F6:F1000"),"箱")+SUMIFS(INDIRECT("'"&amp;AF$5&amp;"'!E6:E1000"),INDIRECT("'"&amp;AF$5&amp;"'!C6:C1000"),$AA60,INDIRECT("'"&amp;AF$5&amp;"'!F6:F1000"),"件"))</f>
        <v>0</v>
      </c>
      <c r="BE60">
        <f>IF(OR($AA60="",AG$5=""),0,SUMIFS(INDIRECT("'"&amp;AG$5&amp;"'!E6:E1000"),INDIRECT("'"&amp;AG$5&amp;"'!C6:C1000"),$AA60,INDIRECT("'"&amp;AG$5&amp;"'!F6:F1000"),"箱")+SUMIFS(INDIRECT("'"&amp;AG$5&amp;"'!E6:E1000"),INDIRECT("'"&amp;AG$5&amp;"'!C6:C1000"),$AA60,INDIRECT("'"&amp;AG$5&amp;"'!F6:F1000"),"件"))</f>
        <v>0</v>
      </c>
      <c r="BF60">
        <f>IF(OR($AA60="",AH$5=""),0,SUMIFS(INDIRECT("'"&amp;AH$5&amp;"'!E6:E1000"),INDIRECT("'"&amp;AH$5&amp;"'!C6:C1000"),$AA60,INDIRECT("'"&amp;AH$5&amp;"'!F6:F1000"),"箱")+SUMIFS(INDIRECT("'"&amp;AH$5&amp;"'!E6:E1000"),INDIRECT("'"&amp;AH$5&amp;"'!C6:C1000"),$AA60,INDIRECT("'"&amp;AH$5&amp;"'!F6:F1000"),"件"))</f>
        <v>0</v>
      </c>
      <c r="BG60">
        <f>IF(OR($AA60="",AI$5=""),0,SUMIFS(INDIRECT("'"&amp;AI$5&amp;"'!E6:E1000"),INDIRECT("'"&amp;AI$5&amp;"'!C6:C1000"),$AA60,INDIRECT("'"&amp;AI$5&amp;"'!F6:F1000"),"箱")+SUMIFS(INDIRECT("'"&amp;AI$5&amp;"'!E6:E1000"),INDIRECT("'"&amp;AI$5&amp;"'!C6:C1000"),$AA60,INDIRECT("'"&amp;AI$5&amp;"'!F6:F1000"),"件"))</f>
        <v>0</v>
      </c>
      <c r="BH60">
        <f>IF(OR($AA60="",AJ$5=""),0,SUMIFS(INDIRECT("'"&amp;AJ$5&amp;"'!E6:E1000"),INDIRECT("'"&amp;AJ$5&amp;"'!C6:C1000"),$AA60,INDIRECT("'"&amp;AJ$5&amp;"'!F6:F1000"),"箱")+SUMIFS(INDIRECT("'"&amp;AJ$5&amp;"'!E6:E1000"),INDIRECT("'"&amp;AJ$5&amp;"'!C6:C1000"),$AA60,INDIRECT("'"&amp;AJ$5&amp;"'!F6:F1000"),"件"))</f>
        <v>0</v>
      </c>
      <c r="BI60">
        <f>IF(OR($AA60="",AK$5=""),0,SUMIFS(INDIRECT("'"&amp;AK$5&amp;"'!E6:E1000"),INDIRECT("'"&amp;AK$5&amp;"'!C6:C1000"),$AA60,INDIRECT("'"&amp;AK$5&amp;"'!F6:F1000"),"箱")+SUMIFS(INDIRECT("'"&amp;AK$5&amp;"'!E6:E1000"),INDIRECT("'"&amp;AK$5&amp;"'!C6:C1000"),$AA60,INDIRECT("'"&amp;AK$5&amp;"'!F6:F1000"),"件"))</f>
        <v>0</v>
      </c>
      <c r="BJ60">
        <f>IF(OR($AA60="",AL$5=""),0,SUMIFS(INDIRECT("'"&amp;AL$5&amp;"'!E6:E1000"),INDIRECT("'"&amp;AL$5&amp;"'!C6:C1000"),$AA60,INDIRECT("'"&amp;AL$5&amp;"'!F6:F1000"),"箱")+SUMIFS(INDIRECT("'"&amp;AL$5&amp;"'!E6:E1000"),INDIRECT("'"&amp;AL$5&amp;"'!C6:C1000"),$AA60,INDIRECT("'"&amp;AL$5&amp;"'!F6:F1000"),"件"))</f>
        <v>0</v>
      </c>
      <c r="BK60">
        <f>IF(OR($AA60="",AM$5=""),0,SUMIFS(INDIRECT("'"&amp;AM$5&amp;"'!E6:E1000"),INDIRECT("'"&amp;AM$5&amp;"'!C6:C1000"),$AA60,INDIRECT("'"&amp;AM$5&amp;"'!F6:F1000"),"箱")+SUMIFS(INDIRECT("'"&amp;AM$5&amp;"'!E6:E1000"),INDIRECT("'"&amp;AM$5&amp;"'!C6:C1000"),$AA60,INDIRECT("'"&amp;AM$5&amp;"'!F6:F1000"),"件"))</f>
        <v>0</v>
      </c>
      <c r="BL60">
        <f>IF(OR($AA60="",AN$5=""),0,SUMIFS(INDIRECT("'"&amp;AN$5&amp;"'!E6:E1000"),INDIRECT("'"&amp;AN$5&amp;"'!C6:C1000"),$AA60,INDIRECT("'"&amp;AN$5&amp;"'!F6:F1000"),"箱")+SUMIFS(INDIRECT("'"&amp;AN$5&amp;"'!E6:E1000"),INDIRECT("'"&amp;AN$5&amp;"'!C6:C1000"),$AA60,INDIRECT("'"&amp;AN$5&amp;"'!F6:F1000"),"件"))</f>
        <v>0</v>
      </c>
      <c r="BM60">
        <f>(AO60-BA60)/$AB60+BA60</f>
        <v>0</v>
      </c>
      <c r="BN60">
        <f>(AP60-BB60)/$AB60+BB60</f>
        <v>0</v>
      </c>
      <c r="BO60">
        <f>(AQ60-BC60)/$AB60+BC60</f>
        <v>0</v>
      </c>
      <c r="BP60">
        <f>(AR60-BD60)/$AB60+BD60</f>
        <v>0</v>
      </c>
      <c r="BQ60">
        <f>(AS60-BE60)/$AB60+BE60</f>
        <v>0</v>
      </c>
      <c r="BR60">
        <f>(AT60-BF60)/$AB60+BF60</f>
        <v>0</v>
      </c>
      <c r="BS60">
        <f>(AU60-BG60)/$AB60+BG60</f>
        <v>0</v>
      </c>
      <c r="BT60">
        <f>(AV60-BH60)/$AB60+BH60</f>
        <v>0</v>
      </c>
      <c r="BU60">
        <f>(AW60-BI60)/$AB60+BI60</f>
        <v>0</v>
      </c>
      <c r="BV60">
        <f>(AX60-BJ60)/$AB60+BJ60</f>
        <v>0</v>
      </c>
      <c r="BW60">
        <f>(AY60-BK60)/$AB60+BK60</f>
        <v>0</v>
      </c>
      <c r="BX60">
        <f>(AZ60-BL60)/$AB60+BL60</f>
        <v>0</v>
      </c>
      <c r="BY60">
        <f>SUMPRODUCT((($AC$4:$AN$4=报损汇总一览!$A$3)+(报损汇总一览!$A$3="全年"))*AC60:AN60)</f>
        <v>0</v>
      </c>
      <c r="BZ60">
        <f>IF(BY60&gt;0,BY60+(1000-ROW())/10000000,"")</f>
      </c>
      <c r="CA60">
        <f>SUMPRODUCT((($AC$4:$AN$4=报损汇总一览!$A$3)+(报损汇总一览!$A$3="全年"))*AO60:AZ60)</f>
        <v>0</v>
      </c>
    </row>
    <row r="61">
      <c r="A61">
        <f>IF(OR(存条明细!C61="",存条明细!D61=""),"",IF(COUNTIFS(存条明细!$C$4:C61,存条明细!C61,存条明细!$D$4:D61,存条明细!D61)&gt;1,"",IFERROR(MATCH(存条明细!C61,总览汇总!$B$5:$B$304,0),900)*10000000+IFERROR(MATCH(存条明细!D61,基础资料!$E$5:$E$104,0),900)*10000+ROW()))</f>
        <v>160010061</v>
      </c>
      <c r="B61">
        <f>IFERROR(MATCH(SMALL($A$4:$A$4003,58),$A$4:$A$4003,0),"")</f>
        <v>1071</v>
      </c>
      <c r="D61">
        <f>IF(AND(商品库存!B61&lt;&gt;"",商品库存!B61=客户查询!$B$4),COUNTIF(商品库存!$B$4:B61,客户查询!$B$4),"")</f>
      </c>
      <c r="E61">
        <f>IF(AND(商品库存!B61&lt;&gt;"",商品库存!B61=客户对账单!$B$4),COUNTIF(商品库存!$B$4:B61,客户对账单!$B$4),"")</f>
      </c>
      <c r="F61">
        <f>IF(AND(出库明细!C61&lt;&gt;"",出库明细!C61=客户对账单!$B$4,ISNUMBER(出库明细!B61),出库明细!B61&gt;=客户对账单!$G$4,出库明细!B61&lt;=客户对账单!$I$4),出库明细!B61+ROW()/100000,"")</f>
      </c>
      <c r="H61">
        <f>IF(AND(采购进货!C61&lt;&gt;"",采购进货!C61=供应商对账单!$B$4,ISNUMBER(采购进货!B61),采购进货!B61&gt;=供应商对账单!$G$4,采购进货!B61&lt;=供应商对账单!$I$4),采购进货!B61+ROW()/100000,"")</f>
      </c>
      <c r="J61">
        <f>IF(总览汇总!$B61="","",N(总览汇总!$K61)+SUMIFS(出库明细!$G$4:$G$3003,出库明细!$C$4:$C$3003,总览汇总!$B61,出库明细!$B$4:$B$3003,"&gt;="&amp;年初日,出库明细!$B$4:$B$3003,"&lt;="&amp;资产负债表!$D$3)-SUMIFS(资金台帐!$S$7:$S$3006,资金台帐!$J$7:$J$3006,总览汇总!$B61,资金台帐!$P$7:$P$3006,"应收",资金台帐!$B$7:$B$3006,"&gt;="&amp;年初日,资金台帐!$B$7:$B$3006,"&lt;="&amp;资产负债表!$D$3))</f>
        <v>-1448</v>
      </c>
      <c r="N61">
        <f>IF(AND(ISNUMBER(出库明细!G61),ISNUMBER(出库明细!E61),ISNUMBER(出库明细!F61)),IF(ABS(出库明细!G61-出库明细!E61*出库明细!F61)&gt;0.005,1,0),0)</f>
        <v>0</v>
      </c>
      <c r="O61">
        <f>IF(AND(ISNUMBER(存条明细!G61),ISNUMBER(存条明细!E61),ISNUMBER(存条明细!F61)),IF(ABS(存条明细!G61-存条明细!E61*存条明细!F61)&gt;0.005,1,0),0)</f>
        <v>0</v>
      </c>
      <c r="AA61">
        <f>IF(基础资料!G60="","",基础资料!G60&amp;"")</f>
      </c>
      <c r="AB61">
        <f>IF(N(基础资料!I60)&lt;=0,1,基础资料!I60)</f>
        <v>1</v>
      </c>
      <c r="AC61">
        <f>IF(OR($AA61="",AC$5=""),0,SUMIF(INDIRECT("'"&amp;AC$5&amp;"'!C6:C1000"),$AA61,INDIRECT("'"&amp;AC$5&amp;"'!H6:H1000")))</f>
        <v>0</v>
      </c>
      <c r="AD61">
        <f>IF(OR($AA61="",AD$5=""),0,SUMIF(INDIRECT("'"&amp;AD$5&amp;"'!C6:C1000"),$AA61,INDIRECT("'"&amp;AD$5&amp;"'!H6:H1000")))</f>
        <v>0</v>
      </c>
      <c r="AE61">
        <f>IF(OR($AA61="",AE$5=""),0,SUMIF(INDIRECT("'"&amp;AE$5&amp;"'!C6:C1000"),$AA61,INDIRECT("'"&amp;AE$5&amp;"'!H6:H1000")))</f>
        <v>0</v>
      </c>
      <c r="AF61">
        <f>IF(OR($AA61="",AF$5=""),0,SUMIF(INDIRECT("'"&amp;AF$5&amp;"'!C6:C1000"),$AA61,INDIRECT("'"&amp;AF$5&amp;"'!H6:H1000")))</f>
        <v>0</v>
      </c>
      <c r="AG61">
        <f>IF(OR($AA61="",AG$5=""),0,SUMIF(INDIRECT("'"&amp;AG$5&amp;"'!C6:C1000"),$AA61,INDIRECT("'"&amp;AG$5&amp;"'!H6:H1000")))</f>
        <v>0</v>
      </c>
      <c r="AH61">
        <f>IF(OR($AA61="",AH$5=""),0,SUMIF(INDIRECT("'"&amp;AH$5&amp;"'!C6:C1000"),$AA61,INDIRECT("'"&amp;AH$5&amp;"'!H6:H1000")))</f>
        <v>0</v>
      </c>
      <c r="AI61">
        <f>IF(OR($AA61="",AI$5=""),0,SUMIF(INDIRECT("'"&amp;AI$5&amp;"'!C6:C1000"),$AA61,INDIRECT("'"&amp;AI$5&amp;"'!H6:H1000")))</f>
        <v>0</v>
      </c>
      <c r="AJ61">
        <f>IF(OR($AA61="",AJ$5=""),0,SUMIF(INDIRECT("'"&amp;AJ$5&amp;"'!C6:C1000"),$AA61,INDIRECT("'"&amp;AJ$5&amp;"'!H6:H1000")))</f>
        <v>0</v>
      </c>
      <c r="AK61">
        <f>IF(OR($AA61="",AK$5=""),0,SUMIF(INDIRECT("'"&amp;AK$5&amp;"'!C6:C1000"),$AA61,INDIRECT("'"&amp;AK$5&amp;"'!H6:H1000")))</f>
        <v>0</v>
      </c>
      <c r="AL61">
        <f>IF(OR($AA61="",AL$5=""),0,SUMIF(INDIRECT("'"&amp;AL$5&amp;"'!C6:C1000"),$AA61,INDIRECT("'"&amp;AL$5&amp;"'!H6:H1000")))</f>
        <v>0</v>
      </c>
      <c r="AM61">
        <f>IF(OR($AA61="",AM$5=""),0,SUMIF(INDIRECT("'"&amp;AM$5&amp;"'!C6:C1000"),$AA61,INDIRECT("'"&amp;AM$5&amp;"'!H6:H1000")))</f>
        <v>0</v>
      </c>
      <c r="AN61">
        <f>IF(OR($AA61="",AN$5=""),0,SUMIF(INDIRECT("'"&amp;AN$5&amp;"'!C6:C1000"),$AA61,INDIRECT("'"&amp;AN$5&amp;"'!H6:H1000")))</f>
        <v>0</v>
      </c>
      <c r="AO61">
        <f>IF(OR($AA61="",AC$5=""),0,SUMIF(INDIRECT("'"&amp;AC$5&amp;"'!C6:C1000"),$AA61,INDIRECT("'"&amp;AC$5&amp;"'!E6:E1000")))</f>
        <v>0</v>
      </c>
      <c r="AP61">
        <f>IF(OR($AA61="",AD$5=""),0,SUMIF(INDIRECT("'"&amp;AD$5&amp;"'!C6:C1000"),$AA61,INDIRECT("'"&amp;AD$5&amp;"'!E6:E1000")))</f>
        <v>0</v>
      </c>
      <c r="AQ61">
        <f>IF(OR($AA61="",AE$5=""),0,SUMIF(INDIRECT("'"&amp;AE$5&amp;"'!C6:C1000"),$AA61,INDIRECT("'"&amp;AE$5&amp;"'!E6:E1000")))</f>
        <v>0</v>
      </c>
      <c r="AR61">
        <f>IF(OR($AA61="",AF$5=""),0,SUMIF(INDIRECT("'"&amp;AF$5&amp;"'!C6:C1000"),$AA61,INDIRECT("'"&amp;AF$5&amp;"'!E6:E1000")))</f>
        <v>0</v>
      </c>
      <c r="AS61">
        <f>IF(OR($AA61="",AG$5=""),0,SUMIF(INDIRECT("'"&amp;AG$5&amp;"'!C6:C1000"),$AA61,INDIRECT("'"&amp;AG$5&amp;"'!E6:E1000")))</f>
        <v>0</v>
      </c>
      <c r="AT61">
        <f>IF(OR($AA61="",AH$5=""),0,SUMIF(INDIRECT("'"&amp;AH$5&amp;"'!C6:C1000"),$AA61,INDIRECT("'"&amp;AH$5&amp;"'!E6:E1000")))</f>
        <v>0</v>
      </c>
      <c r="AU61">
        <f>IF(OR($AA61="",AI$5=""),0,SUMIF(INDIRECT("'"&amp;AI$5&amp;"'!C6:C1000"),$AA61,INDIRECT("'"&amp;AI$5&amp;"'!E6:E1000")))</f>
        <v>0</v>
      </c>
      <c r="AV61">
        <f>IF(OR($AA61="",AJ$5=""),0,SUMIF(INDIRECT("'"&amp;AJ$5&amp;"'!C6:C1000"),$AA61,INDIRECT("'"&amp;AJ$5&amp;"'!E6:E1000")))</f>
        <v>0</v>
      </c>
      <c r="AW61">
        <f>IF(OR($AA61="",AK$5=""),0,SUMIF(INDIRECT("'"&amp;AK$5&amp;"'!C6:C1000"),$AA61,INDIRECT("'"&amp;AK$5&amp;"'!E6:E1000")))</f>
        <v>0</v>
      </c>
      <c r="AX61">
        <f>IF(OR($AA61="",AL$5=""),0,SUMIF(INDIRECT("'"&amp;AL$5&amp;"'!C6:C1000"),$AA61,INDIRECT("'"&amp;AL$5&amp;"'!E6:E1000")))</f>
        <v>0</v>
      </c>
      <c r="AY61">
        <f>IF(OR($AA61="",AM$5=""),0,SUMIF(INDIRECT("'"&amp;AM$5&amp;"'!C6:C1000"),$AA61,INDIRECT("'"&amp;AM$5&amp;"'!E6:E1000")))</f>
        <v>0</v>
      </c>
      <c r="AZ61">
        <f>IF(OR($AA61="",AN$5=""),0,SUMIF(INDIRECT("'"&amp;AN$5&amp;"'!C6:C1000"),$AA61,INDIRECT("'"&amp;AN$5&amp;"'!E6:E1000")))</f>
        <v>0</v>
      </c>
      <c r="BA61">
        <f>IF(OR($AA61="",AC$5=""),0,SUMIFS(INDIRECT("'"&amp;AC$5&amp;"'!E6:E1000"),INDIRECT("'"&amp;AC$5&amp;"'!C6:C1000"),$AA61,INDIRECT("'"&amp;AC$5&amp;"'!F6:F1000"),"箱")+SUMIFS(INDIRECT("'"&amp;AC$5&amp;"'!E6:E1000"),INDIRECT("'"&amp;AC$5&amp;"'!C6:C1000"),$AA61,INDIRECT("'"&amp;AC$5&amp;"'!F6:F1000"),"件"))</f>
        <v>0</v>
      </c>
      <c r="BB61">
        <f>IF(OR($AA61="",AD$5=""),0,SUMIFS(INDIRECT("'"&amp;AD$5&amp;"'!E6:E1000"),INDIRECT("'"&amp;AD$5&amp;"'!C6:C1000"),$AA61,INDIRECT("'"&amp;AD$5&amp;"'!F6:F1000"),"箱")+SUMIFS(INDIRECT("'"&amp;AD$5&amp;"'!E6:E1000"),INDIRECT("'"&amp;AD$5&amp;"'!C6:C1000"),$AA61,INDIRECT("'"&amp;AD$5&amp;"'!F6:F1000"),"件"))</f>
        <v>0</v>
      </c>
      <c r="BC61">
        <f>IF(OR($AA61="",AE$5=""),0,SUMIFS(INDIRECT("'"&amp;AE$5&amp;"'!E6:E1000"),INDIRECT("'"&amp;AE$5&amp;"'!C6:C1000"),$AA61,INDIRECT("'"&amp;AE$5&amp;"'!F6:F1000"),"箱")+SUMIFS(INDIRECT("'"&amp;AE$5&amp;"'!E6:E1000"),INDIRECT("'"&amp;AE$5&amp;"'!C6:C1000"),$AA61,INDIRECT("'"&amp;AE$5&amp;"'!F6:F1000"),"件"))</f>
        <v>0</v>
      </c>
      <c r="BD61">
        <f>IF(OR($AA61="",AF$5=""),0,SUMIFS(INDIRECT("'"&amp;AF$5&amp;"'!E6:E1000"),INDIRECT("'"&amp;AF$5&amp;"'!C6:C1000"),$AA61,INDIRECT("'"&amp;AF$5&amp;"'!F6:F1000"),"箱")+SUMIFS(INDIRECT("'"&amp;AF$5&amp;"'!E6:E1000"),INDIRECT("'"&amp;AF$5&amp;"'!C6:C1000"),$AA61,INDIRECT("'"&amp;AF$5&amp;"'!F6:F1000"),"件"))</f>
        <v>0</v>
      </c>
      <c r="BE61">
        <f>IF(OR($AA61="",AG$5=""),0,SUMIFS(INDIRECT("'"&amp;AG$5&amp;"'!E6:E1000"),INDIRECT("'"&amp;AG$5&amp;"'!C6:C1000"),$AA61,INDIRECT("'"&amp;AG$5&amp;"'!F6:F1000"),"箱")+SUMIFS(INDIRECT("'"&amp;AG$5&amp;"'!E6:E1000"),INDIRECT("'"&amp;AG$5&amp;"'!C6:C1000"),$AA61,INDIRECT("'"&amp;AG$5&amp;"'!F6:F1000"),"件"))</f>
        <v>0</v>
      </c>
      <c r="BF61">
        <f>IF(OR($AA61="",AH$5=""),0,SUMIFS(INDIRECT("'"&amp;AH$5&amp;"'!E6:E1000"),INDIRECT("'"&amp;AH$5&amp;"'!C6:C1000"),$AA61,INDIRECT("'"&amp;AH$5&amp;"'!F6:F1000"),"箱")+SUMIFS(INDIRECT("'"&amp;AH$5&amp;"'!E6:E1000"),INDIRECT("'"&amp;AH$5&amp;"'!C6:C1000"),$AA61,INDIRECT("'"&amp;AH$5&amp;"'!F6:F1000"),"件"))</f>
        <v>0</v>
      </c>
      <c r="BG61">
        <f>IF(OR($AA61="",AI$5=""),0,SUMIFS(INDIRECT("'"&amp;AI$5&amp;"'!E6:E1000"),INDIRECT("'"&amp;AI$5&amp;"'!C6:C1000"),$AA61,INDIRECT("'"&amp;AI$5&amp;"'!F6:F1000"),"箱")+SUMIFS(INDIRECT("'"&amp;AI$5&amp;"'!E6:E1000"),INDIRECT("'"&amp;AI$5&amp;"'!C6:C1000"),$AA61,INDIRECT("'"&amp;AI$5&amp;"'!F6:F1000"),"件"))</f>
        <v>0</v>
      </c>
      <c r="BH61">
        <f>IF(OR($AA61="",AJ$5=""),0,SUMIFS(INDIRECT("'"&amp;AJ$5&amp;"'!E6:E1000"),INDIRECT("'"&amp;AJ$5&amp;"'!C6:C1000"),$AA61,INDIRECT("'"&amp;AJ$5&amp;"'!F6:F1000"),"箱")+SUMIFS(INDIRECT("'"&amp;AJ$5&amp;"'!E6:E1000"),INDIRECT("'"&amp;AJ$5&amp;"'!C6:C1000"),$AA61,INDIRECT("'"&amp;AJ$5&amp;"'!F6:F1000"),"件"))</f>
        <v>0</v>
      </c>
      <c r="BI61">
        <f>IF(OR($AA61="",AK$5=""),0,SUMIFS(INDIRECT("'"&amp;AK$5&amp;"'!E6:E1000"),INDIRECT("'"&amp;AK$5&amp;"'!C6:C1000"),$AA61,INDIRECT("'"&amp;AK$5&amp;"'!F6:F1000"),"箱")+SUMIFS(INDIRECT("'"&amp;AK$5&amp;"'!E6:E1000"),INDIRECT("'"&amp;AK$5&amp;"'!C6:C1000"),$AA61,INDIRECT("'"&amp;AK$5&amp;"'!F6:F1000"),"件"))</f>
        <v>0</v>
      </c>
      <c r="BJ61">
        <f>IF(OR($AA61="",AL$5=""),0,SUMIFS(INDIRECT("'"&amp;AL$5&amp;"'!E6:E1000"),INDIRECT("'"&amp;AL$5&amp;"'!C6:C1000"),$AA61,INDIRECT("'"&amp;AL$5&amp;"'!F6:F1000"),"箱")+SUMIFS(INDIRECT("'"&amp;AL$5&amp;"'!E6:E1000"),INDIRECT("'"&amp;AL$5&amp;"'!C6:C1000"),$AA61,INDIRECT("'"&amp;AL$5&amp;"'!F6:F1000"),"件"))</f>
        <v>0</v>
      </c>
      <c r="BK61">
        <f>IF(OR($AA61="",AM$5=""),0,SUMIFS(INDIRECT("'"&amp;AM$5&amp;"'!E6:E1000"),INDIRECT("'"&amp;AM$5&amp;"'!C6:C1000"),$AA61,INDIRECT("'"&amp;AM$5&amp;"'!F6:F1000"),"箱")+SUMIFS(INDIRECT("'"&amp;AM$5&amp;"'!E6:E1000"),INDIRECT("'"&amp;AM$5&amp;"'!C6:C1000"),$AA61,INDIRECT("'"&amp;AM$5&amp;"'!F6:F1000"),"件"))</f>
        <v>0</v>
      </c>
      <c r="BL61">
        <f>IF(OR($AA61="",AN$5=""),0,SUMIFS(INDIRECT("'"&amp;AN$5&amp;"'!E6:E1000"),INDIRECT("'"&amp;AN$5&amp;"'!C6:C1000"),$AA61,INDIRECT("'"&amp;AN$5&amp;"'!F6:F1000"),"箱")+SUMIFS(INDIRECT("'"&amp;AN$5&amp;"'!E6:E1000"),INDIRECT("'"&amp;AN$5&amp;"'!C6:C1000"),$AA61,INDIRECT("'"&amp;AN$5&amp;"'!F6:F1000"),"件"))</f>
        <v>0</v>
      </c>
      <c r="BM61">
        <f>(AO61-BA61)/$AB61+BA61</f>
        <v>0</v>
      </c>
      <c r="BN61">
        <f>(AP61-BB61)/$AB61+BB61</f>
        <v>0</v>
      </c>
      <c r="BO61">
        <f>(AQ61-BC61)/$AB61+BC61</f>
        <v>0</v>
      </c>
      <c r="BP61">
        <f>(AR61-BD61)/$AB61+BD61</f>
        <v>0</v>
      </c>
      <c r="BQ61">
        <f>(AS61-BE61)/$AB61+BE61</f>
        <v>0</v>
      </c>
      <c r="BR61">
        <f>(AT61-BF61)/$AB61+BF61</f>
        <v>0</v>
      </c>
      <c r="BS61">
        <f>(AU61-BG61)/$AB61+BG61</f>
        <v>0</v>
      </c>
      <c r="BT61">
        <f>(AV61-BH61)/$AB61+BH61</f>
        <v>0</v>
      </c>
      <c r="BU61">
        <f>(AW61-BI61)/$AB61+BI61</f>
        <v>0</v>
      </c>
      <c r="BV61">
        <f>(AX61-BJ61)/$AB61+BJ61</f>
        <v>0</v>
      </c>
      <c r="BW61">
        <f>(AY61-BK61)/$AB61+BK61</f>
        <v>0</v>
      </c>
      <c r="BX61">
        <f>(AZ61-BL61)/$AB61+BL61</f>
        <v>0</v>
      </c>
      <c r="BY61">
        <f>SUMPRODUCT((($AC$4:$AN$4=报损汇总一览!$A$3)+(报损汇总一览!$A$3="全年"))*AC61:AN61)</f>
        <v>0</v>
      </c>
      <c r="BZ61">
        <f>IF(BY61&gt;0,BY61+(1000-ROW())/10000000,"")</f>
      </c>
      <c r="CA61">
        <f>SUMPRODUCT((($AC$4:$AN$4=报损汇总一览!$A$3)+(报损汇总一览!$A$3="全年"))*AO61:AZ61)</f>
        <v>0</v>
      </c>
    </row>
    <row r="62">
      <c r="A62">
        <f>IF(OR(存条明细!C62="",存条明细!D62=""),"",IF(COUNTIFS(存条明细!$C$4:C62,存条明细!C62,存条明细!$D$4:D62,存条明细!D62)&gt;1,"",IFERROR(MATCH(存条明细!C62,总览汇总!$B$5:$B$304,0),900)*10000000+IFERROR(MATCH(存条明细!D62,基础资料!$E$5:$E$104,0),900)*10000+ROW()))</f>
        <v>160030062</v>
      </c>
      <c r="B62">
        <f>IFERROR(MATCH(SMALL($A$4:$A$4003,59),$A$4:$A$4003,0),"")</f>
        <v>1059</v>
      </c>
      <c r="D62">
        <f>IF(AND(商品库存!B62&lt;&gt;"",商品库存!B62=客户查询!$B$4),COUNTIF(商品库存!$B$4:B62,客户查询!$B$4),"")</f>
      </c>
      <c r="E62">
        <f>IF(AND(商品库存!B62&lt;&gt;"",商品库存!B62=客户对账单!$B$4),COUNTIF(商品库存!$B$4:B62,客户对账单!$B$4),"")</f>
      </c>
      <c r="F62">
        <f>IF(AND(出库明细!C62&lt;&gt;"",出库明细!C62=客户对账单!$B$4,ISNUMBER(出库明细!B62),出库明细!B62&gt;=客户对账单!$G$4,出库明细!B62&lt;=客户对账单!$I$4),出库明细!B62+ROW()/100000,"")</f>
      </c>
      <c r="H62">
        <f>IF(AND(采购进货!C62&lt;&gt;"",采购进货!C62=供应商对账单!$B$4,ISNUMBER(采购进货!B62),采购进货!B62&gt;=供应商对账单!$G$4,采购进货!B62&lt;=供应商对账单!$I$4),采购进货!B62+ROW()/100000,"")</f>
      </c>
      <c r="J62">
        <f>IF(总览汇总!$B62="","",N(总览汇总!$K62)+SUMIFS(出库明细!$G$4:$G$3003,出库明细!$C$4:$C$3003,总览汇总!$B62,出库明细!$B$4:$B$3003,"&gt;="&amp;年初日,出库明细!$B$4:$B$3003,"&lt;="&amp;资产负债表!$D$3)-SUMIFS(资金台帐!$S$7:$S$3006,资金台帐!$J$7:$J$3006,总览汇总!$B62,资金台帐!$P$7:$P$3006,"应收",资金台帐!$B$7:$B$3006,"&gt;="&amp;年初日,资金台帐!$B$7:$B$3006,"&lt;="&amp;资产负债表!$D$3))</f>
        <v>0</v>
      </c>
      <c r="N62">
        <f>IF(AND(ISNUMBER(出库明细!G62),ISNUMBER(出库明细!E62),ISNUMBER(出库明细!F62)),IF(ABS(出库明细!G62-出库明细!E62*出库明细!F62)&gt;0.005,1,0),0)</f>
        <v>0</v>
      </c>
      <c r="O62">
        <f>IF(AND(ISNUMBER(存条明细!G62),ISNUMBER(存条明细!E62),ISNUMBER(存条明细!F62)),IF(ABS(存条明细!G62-存条明细!E62*存条明细!F62)&gt;0.005,1,0),0)</f>
        <v>0</v>
      </c>
      <c r="AA62">
        <f>IF(基础资料!G61="","",基础资料!G61&amp;"")</f>
      </c>
      <c r="AB62">
        <f>IF(N(基础资料!I61)&lt;=0,1,基础资料!I61)</f>
        <v>1</v>
      </c>
      <c r="AC62">
        <f>IF(OR($AA62="",AC$5=""),0,SUMIF(INDIRECT("'"&amp;AC$5&amp;"'!C6:C1000"),$AA62,INDIRECT("'"&amp;AC$5&amp;"'!H6:H1000")))</f>
        <v>0</v>
      </c>
      <c r="AD62">
        <f>IF(OR($AA62="",AD$5=""),0,SUMIF(INDIRECT("'"&amp;AD$5&amp;"'!C6:C1000"),$AA62,INDIRECT("'"&amp;AD$5&amp;"'!H6:H1000")))</f>
        <v>0</v>
      </c>
      <c r="AE62">
        <f>IF(OR($AA62="",AE$5=""),0,SUMIF(INDIRECT("'"&amp;AE$5&amp;"'!C6:C1000"),$AA62,INDIRECT("'"&amp;AE$5&amp;"'!H6:H1000")))</f>
        <v>0</v>
      </c>
      <c r="AF62">
        <f>IF(OR($AA62="",AF$5=""),0,SUMIF(INDIRECT("'"&amp;AF$5&amp;"'!C6:C1000"),$AA62,INDIRECT("'"&amp;AF$5&amp;"'!H6:H1000")))</f>
        <v>0</v>
      </c>
      <c r="AG62">
        <f>IF(OR($AA62="",AG$5=""),0,SUMIF(INDIRECT("'"&amp;AG$5&amp;"'!C6:C1000"),$AA62,INDIRECT("'"&amp;AG$5&amp;"'!H6:H1000")))</f>
        <v>0</v>
      </c>
      <c r="AH62">
        <f>IF(OR($AA62="",AH$5=""),0,SUMIF(INDIRECT("'"&amp;AH$5&amp;"'!C6:C1000"),$AA62,INDIRECT("'"&amp;AH$5&amp;"'!H6:H1000")))</f>
        <v>0</v>
      </c>
      <c r="AI62">
        <f>IF(OR($AA62="",AI$5=""),0,SUMIF(INDIRECT("'"&amp;AI$5&amp;"'!C6:C1000"),$AA62,INDIRECT("'"&amp;AI$5&amp;"'!H6:H1000")))</f>
        <v>0</v>
      </c>
      <c r="AJ62">
        <f>IF(OR($AA62="",AJ$5=""),0,SUMIF(INDIRECT("'"&amp;AJ$5&amp;"'!C6:C1000"),$AA62,INDIRECT("'"&amp;AJ$5&amp;"'!H6:H1000")))</f>
        <v>0</v>
      </c>
      <c r="AK62">
        <f>IF(OR($AA62="",AK$5=""),0,SUMIF(INDIRECT("'"&amp;AK$5&amp;"'!C6:C1000"),$AA62,INDIRECT("'"&amp;AK$5&amp;"'!H6:H1000")))</f>
        <v>0</v>
      </c>
      <c r="AL62">
        <f>IF(OR($AA62="",AL$5=""),0,SUMIF(INDIRECT("'"&amp;AL$5&amp;"'!C6:C1000"),$AA62,INDIRECT("'"&amp;AL$5&amp;"'!H6:H1000")))</f>
        <v>0</v>
      </c>
      <c r="AM62">
        <f>IF(OR($AA62="",AM$5=""),0,SUMIF(INDIRECT("'"&amp;AM$5&amp;"'!C6:C1000"),$AA62,INDIRECT("'"&amp;AM$5&amp;"'!H6:H1000")))</f>
        <v>0</v>
      </c>
      <c r="AN62">
        <f>IF(OR($AA62="",AN$5=""),0,SUMIF(INDIRECT("'"&amp;AN$5&amp;"'!C6:C1000"),$AA62,INDIRECT("'"&amp;AN$5&amp;"'!H6:H1000")))</f>
        <v>0</v>
      </c>
      <c r="AO62">
        <f>IF(OR($AA62="",AC$5=""),0,SUMIF(INDIRECT("'"&amp;AC$5&amp;"'!C6:C1000"),$AA62,INDIRECT("'"&amp;AC$5&amp;"'!E6:E1000")))</f>
        <v>0</v>
      </c>
      <c r="AP62">
        <f>IF(OR($AA62="",AD$5=""),0,SUMIF(INDIRECT("'"&amp;AD$5&amp;"'!C6:C1000"),$AA62,INDIRECT("'"&amp;AD$5&amp;"'!E6:E1000")))</f>
        <v>0</v>
      </c>
      <c r="AQ62">
        <f>IF(OR($AA62="",AE$5=""),0,SUMIF(INDIRECT("'"&amp;AE$5&amp;"'!C6:C1000"),$AA62,INDIRECT("'"&amp;AE$5&amp;"'!E6:E1000")))</f>
        <v>0</v>
      </c>
      <c r="AR62">
        <f>IF(OR($AA62="",AF$5=""),0,SUMIF(INDIRECT("'"&amp;AF$5&amp;"'!C6:C1000"),$AA62,INDIRECT("'"&amp;AF$5&amp;"'!E6:E1000")))</f>
        <v>0</v>
      </c>
      <c r="AS62">
        <f>IF(OR($AA62="",AG$5=""),0,SUMIF(INDIRECT("'"&amp;AG$5&amp;"'!C6:C1000"),$AA62,INDIRECT("'"&amp;AG$5&amp;"'!E6:E1000")))</f>
        <v>0</v>
      </c>
      <c r="AT62">
        <f>IF(OR($AA62="",AH$5=""),0,SUMIF(INDIRECT("'"&amp;AH$5&amp;"'!C6:C1000"),$AA62,INDIRECT("'"&amp;AH$5&amp;"'!E6:E1000")))</f>
        <v>0</v>
      </c>
      <c r="AU62">
        <f>IF(OR($AA62="",AI$5=""),0,SUMIF(INDIRECT("'"&amp;AI$5&amp;"'!C6:C1000"),$AA62,INDIRECT("'"&amp;AI$5&amp;"'!E6:E1000")))</f>
        <v>0</v>
      </c>
      <c r="AV62">
        <f>IF(OR($AA62="",AJ$5=""),0,SUMIF(INDIRECT("'"&amp;AJ$5&amp;"'!C6:C1000"),$AA62,INDIRECT("'"&amp;AJ$5&amp;"'!E6:E1000")))</f>
        <v>0</v>
      </c>
      <c r="AW62">
        <f>IF(OR($AA62="",AK$5=""),0,SUMIF(INDIRECT("'"&amp;AK$5&amp;"'!C6:C1000"),$AA62,INDIRECT("'"&amp;AK$5&amp;"'!E6:E1000")))</f>
        <v>0</v>
      </c>
      <c r="AX62">
        <f>IF(OR($AA62="",AL$5=""),0,SUMIF(INDIRECT("'"&amp;AL$5&amp;"'!C6:C1000"),$AA62,INDIRECT("'"&amp;AL$5&amp;"'!E6:E1000")))</f>
        <v>0</v>
      </c>
      <c r="AY62">
        <f>IF(OR($AA62="",AM$5=""),0,SUMIF(INDIRECT("'"&amp;AM$5&amp;"'!C6:C1000"),$AA62,INDIRECT("'"&amp;AM$5&amp;"'!E6:E1000")))</f>
        <v>0</v>
      </c>
      <c r="AZ62">
        <f>IF(OR($AA62="",AN$5=""),0,SUMIF(INDIRECT("'"&amp;AN$5&amp;"'!C6:C1000"),$AA62,INDIRECT("'"&amp;AN$5&amp;"'!E6:E1000")))</f>
        <v>0</v>
      </c>
      <c r="BA62">
        <f>IF(OR($AA62="",AC$5=""),0,SUMIFS(INDIRECT("'"&amp;AC$5&amp;"'!E6:E1000"),INDIRECT("'"&amp;AC$5&amp;"'!C6:C1000"),$AA62,INDIRECT("'"&amp;AC$5&amp;"'!F6:F1000"),"箱")+SUMIFS(INDIRECT("'"&amp;AC$5&amp;"'!E6:E1000"),INDIRECT("'"&amp;AC$5&amp;"'!C6:C1000"),$AA62,INDIRECT("'"&amp;AC$5&amp;"'!F6:F1000"),"件"))</f>
        <v>0</v>
      </c>
      <c r="BB62">
        <f>IF(OR($AA62="",AD$5=""),0,SUMIFS(INDIRECT("'"&amp;AD$5&amp;"'!E6:E1000"),INDIRECT("'"&amp;AD$5&amp;"'!C6:C1000"),$AA62,INDIRECT("'"&amp;AD$5&amp;"'!F6:F1000"),"箱")+SUMIFS(INDIRECT("'"&amp;AD$5&amp;"'!E6:E1000"),INDIRECT("'"&amp;AD$5&amp;"'!C6:C1000"),$AA62,INDIRECT("'"&amp;AD$5&amp;"'!F6:F1000"),"件"))</f>
        <v>0</v>
      </c>
      <c r="BC62">
        <f>IF(OR($AA62="",AE$5=""),0,SUMIFS(INDIRECT("'"&amp;AE$5&amp;"'!E6:E1000"),INDIRECT("'"&amp;AE$5&amp;"'!C6:C1000"),$AA62,INDIRECT("'"&amp;AE$5&amp;"'!F6:F1000"),"箱")+SUMIFS(INDIRECT("'"&amp;AE$5&amp;"'!E6:E1000"),INDIRECT("'"&amp;AE$5&amp;"'!C6:C1000"),$AA62,INDIRECT("'"&amp;AE$5&amp;"'!F6:F1000"),"件"))</f>
        <v>0</v>
      </c>
      <c r="BD62">
        <f>IF(OR($AA62="",AF$5=""),0,SUMIFS(INDIRECT("'"&amp;AF$5&amp;"'!E6:E1000"),INDIRECT("'"&amp;AF$5&amp;"'!C6:C1000"),$AA62,INDIRECT("'"&amp;AF$5&amp;"'!F6:F1000"),"箱")+SUMIFS(INDIRECT("'"&amp;AF$5&amp;"'!E6:E1000"),INDIRECT("'"&amp;AF$5&amp;"'!C6:C1000"),$AA62,INDIRECT("'"&amp;AF$5&amp;"'!F6:F1000"),"件"))</f>
        <v>0</v>
      </c>
      <c r="BE62">
        <f>IF(OR($AA62="",AG$5=""),0,SUMIFS(INDIRECT("'"&amp;AG$5&amp;"'!E6:E1000"),INDIRECT("'"&amp;AG$5&amp;"'!C6:C1000"),$AA62,INDIRECT("'"&amp;AG$5&amp;"'!F6:F1000"),"箱")+SUMIFS(INDIRECT("'"&amp;AG$5&amp;"'!E6:E1000"),INDIRECT("'"&amp;AG$5&amp;"'!C6:C1000"),$AA62,INDIRECT("'"&amp;AG$5&amp;"'!F6:F1000"),"件"))</f>
        <v>0</v>
      </c>
      <c r="BF62">
        <f>IF(OR($AA62="",AH$5=""),0,SUMIFS(INDIRECT("'"&amp;AH$5&amp;"'!E6:E1000"),INDIRECT("'"&amp;AH$5&amp;"'!C6:C1000"),$AA62,INDIRECT("'"&amp;AH$5&amp;"'!F6:F1000"),"箱")+SUMIFS(INDIRECT("'"&amp;AH$5&amp;"'!E6:E1000"),INDIRECT("'"&amp;AH$5&amp;"'!C6:C1000"),$AA62,INDIRECT("'"&amp;AH$5&amp;"'!F6:F1000"),"件"))</f>
        <v>0</v>
      </c>
      <c r="BG62">
        <f>IF(OR($AA62="",AI$5=""),0,SUMIFS(INDIRECT("'"&amp;AI$5&amp;"'!E6:E1000"),INDIRECT("'"&amp;AI$5&amp;"'!C6:C1000"),$AA62,INDIRECT("'"&amp;AI$5&amp;"'!F6:F1000"),"箱")+SUMIFS(INDIRECT("'"&amp;AI$5&amp;"'!E6:E1000"),INDIRECT("'"&amp;AI$5&amp;"'!C6:C1000"),$AA62,INDIRECT("'"&amp;AI$5&amp;"'!F6:F1000"),"件"))</f>
        <v>0</v>
      </c>
      <c r="BH62">
        <f>IF(OR($AA62="",AJ$5=""),0,SUMIFS(INDIRECT("'"&amp;AJ$5&amp;"'!E6:E1000"),INDIRECT("'"&amp;AJ$5&amp;"'!C6:C1000"),$AA62,INDIRECT("'"&amp;AJ$5&amp;"'!F6:F1000"),"箱")+SUMIFS(INDIRECT("'"&amp;AJ$5&amp;"'!E6:E1000"),INDIRECT("'"&amp;AJ$5&amp;"'!C6:C1000"),$AA62,INDIRECT("'"&amp;AJ$5&amp;"'!F6:F1000"),"件"))</f>
        <v>0</v>
      </c>
      <c r="BI62">
        <f>IF(OR($AA62="",AK$5=""),0,SUMIFS(INDIRECT("'"&amp;AK$5&amp;"'!E6:E1000"),INDIRECT("'"&amp;AK$5&amp;"'!C6:C1000"),$AA62,INDIRECT("'"&amp;AK$5&amp;"'!F6:F1000"),"箱")+SUMIFS(INDIRECT("'"&amp;AK$5&amp;"'!E6:E1000"),INDIRECT("'"&amp;AK$5&amp;"'!C6:C1000"),$AA62,INDIRECT("'"&amp;AK$5&amp;"'!F6:F1000"),"件"))</f>
        <v>0</v>
      </c>
      <c r="BJ62">
        <f>IF(OR($AA62="",AL$5=""),0,SUMIFS(INDIRECT("'"&amp;AL$5&amp;"'!E6:E1000"),INDIRECT("'"&amp;AL$5&amp;"'!C6:C1000"),$AA62,INDIRECT("'"&amp;AL$5&amp;"'!F6:F1000"),"箱")+SUMIFS(INDIRECT("'"&amp;AL$5&amp;"'!E6:E1000"),INDIRECT("'"&amp;AL$5&amp;"'!C6:C1000"),$AA62,INDIRECT("'"&amp;AL$5&amp;"'!F6:F1000"),"件"))</f>
        <v>0</v>
      </c>
      <c r="BK62">
        <f>IF(OR($AA62="",AM$5=""),0,SUMIFS(INDIRECT("'"&amp;AM$5&amp;"'!E6:E1000"),INDIRECT("'"&amp;AM$5&amp;"'!C6:C1000"),$AA62,INDIRECT("'"&amp;AM$5&amp;"'!F6:F1000"),"箱")+SUMIFS(INDIRECT("'"&amp;AM$5&amp;"'!E6:E1000"),INDIRECT("'"&amp;AM$5&amp;"'!C6:C1000"),$AA62,INDIRECT("'"&amp;AM$5&amp;"'!F6:F1000"),"件"))</f>
        <v>0</v>
      </c>
      <c r="BL62">
        <f>IF(OR($AA62="",AN$5=""),0,SUMIFS(INDIRECT("'"&amp;AN$5&amp;"'!E6:E1000"),INDIRECT("'"&amp;AN$5&amp;"'!C6:C1000"),$AA62,INDIRECT("'"&amp;AN$5&amp;"'!F6:F1000"),"箱")+SUMIFS(INDIRECT("'"&amp;AN$5&amp;"'!E6:E1000"),INDIRECT("'"&amp;AN$5&amp;"'!C6:C1000"),$AA62,INDIRECT("'"&amp;AN$5&amp;"'!F6:F1000"),"件"))</f>
        <v>0</v>
      </c>
      <c r="BM62">
        <f>(AO62-BA62)/$AB62+BA62</f>
        <v>0</v>
      </c>
      <c r="BN62">
        <f>(AP62-BB62)/$AB62+BB62</f>
        <v>0</v>
      </c>
      <c r="BO62">
        <f>(AQ62-BC62)/$AB62+BC62</f>
        <v>0</v>
      </c>
      <c r="BP62">
        <f>(AR62-BD62)/$AB62+BD62</f>
        <v>0</v>
      </c>
      <c r="BQ62">
        <f>(AS62-BE62)/$AB62+BE62</f>
        <v>0</v>
      </c>
      <c r="BR62">
        <f>(AT62-BF62)/$AB62+BF62</f>
        <v>0</v>
      </c>
      <c r="BS62">
        <f>(AU62-BG62)/$AB62+BG62</f>
        <v>0</v>
      </c>
      <c r="BT62">
        <f>(AV62-BH62)/$AB62+BH62</f>
        <v>0</v>
      </c>
      <c r="BU62">
        <f>(AW62-BI62)/$AB62+BI62</f>
        <v>0</v>
      </c>
      <c r="BV62">
        <f>(AX62-BJ62)/$AB62+BJ62</f>
        <v>0</v>
      </c>
      <c r="BW62">
        <f>(AY62-BK62)/$AB62+BK62</f>
        <v>0</v>
      </c>
      <c r="BX62">
        <f>(AZ62-BL62)/$AB62+BL62</f>
        <v>0</v>
      </c>
      <c r="BY62">
        <f>SUMPRODUCT((($AC$4:$AN$4=报损汇总一览!$A$3)+(报损汇总一览!$A$3="全年"))*AC62:AN62)</f>
        <v>0</v>
      </c>
      <c r="BZ62">
        <f>IF(BY62&gt;0,BY62+(1000-ROW())/10000000,"")</f>
      </c>
      <c r="CA62">
        <f>SUMPRODUCT((($AC$4:$AN$4=报损汇总一览!$A$3)+(报损汇总一览!$A$3="全年"))*AO62:AZ62)</f>
        <v>0</v>
      </c>
    </row>
    <row r="63">
      <c r="A63">
        <f>IF(OR(存条明细!C63="",存条明细!D63=""),"",IF(COUNTIFS(存条明细!$C$4:C63,存条明细!C63,存条明细!$D$4:D63,存条明细!D63)&gt;1,"",IFERROR(MATCH(存条明细!C63,总览汇总!$B$5:$B$304,0),900)*10000000+IFERROR(MATCH(存条明细!D63,基础资料!$E$5:$E$104,0),900)*10000+ROW()))</f>
        <v>160040063</v>
      </c>
      <c r="B63">
        <f>IFERROR(MATCH(SMALL($A$4:$A$4003,60),$A$4:$A$4003,0),"")</f>
        <v>1069</v>
      </c>
      <c r="D63">
        <f>IF(AND(商品库存!B63&lt;&gt;"",商品库存!B63=客户查询!$B$4),COUNTIF(商品库存!$B$4:B63,客户查询!$B$4),"")</f>
      </c>
      <c r="E63">
        <f>IF(AND(商品库存!B63&lt;&gt;"",商品库存!B63=客户对账单!$B$4),COUNTIF(商品库存!$B$4:B63,客户对账单!$B$4),"")</f>
      </c>
      <c r="F63">
        <f>IF(AND(出库明细!C63&lt;&gt;"",出库明细!C63=客户对账单!$B$4,ISNUMBER(出库明细!B63),出库明细!B63&gt;=客户对账单!$G$4,出库明细!B63&lt;=客户对账单!$I$4),出库明细!B63+ROW()/100000,"")</f>
      </c>
      <c r="H63">
        <f>IF(AND(采购进货!C63&lt;&gt;"",采购进货!C63=供应商对账单!$B$4,ISNUMBER(采购进货!B63),采购进货!B63&gt;=供应商对账单!$G$4,采购进货!B63&lt;=供应商对账单!$I$4),采购进货!B63+ROW()/100000,"")</f>
      </c>
      <c r="J63">
        <f>IF(总览汇总!$B63="","",N(总览汇总!$K63)+SUMIFS(出库明细!$G$4:$G$3003,出库明细!$C$4:$C$3003,总览汇总!$B63,出库明细!$B$4:$B$3003,"&gt;="&amp;年初日,出库明细!$B$4:$B$3003,"&lt;="&amp;资产负债表!$D$3)-SUMIFS(资金台帐!$S$7:$S$3006,资金台帐!$J$7:$J$3006,总览汇总!$B63,资金台帐!$P$7:$P$3006,"应收",资金台帐!$B$7:$B$3006,"&gt;="&amp;年初日,资金台帐!$B$7:$B$3006,"&lt;="&amp;资产负债表!$D$3))</f>
        <v>-1395</v>
      </c>
      <c r="N63">
        <f>IF(AND(ISNUMBER(出库明细!G63),ISNUMBER(出库明细!E63),ISNUMBER(出库明细!F63)),IF(ABS(出库明细!G63-出库明细!E63*出库明细!F63)&gt;0.005,1,0),0)</f>
        <v>0</v>
      </c>
      <c r="O63">
        <f>IF(AND(ISNUMBER(存条明细!G63),ISNUMBER(存条明细!E63),ISNUMBER(存条明细!F63)),IF(ABS(存条明细!G63-存条明细!E63*存条明细!F63)&gt;0.005,1,0),0)</f>
        <v>0</v>
      </c>
      <c r="AA63">
        <f>IF(基础资料!G62="","",基础资料!G62&amp;"")</f>
      </c>
      <c r="AB63">
        <f>IF(N(基础资料!I62)&lt;=0,1,基础资料!I62)</f>
        <v>1</v>
      </c>
      <c r="AC63">
        <f>IF(OR($AA63="",AC$5=""),0,SUMIF(INDIRECT("'"&amp;AC$5&amp;"'!C6:C1000"),$AA63,INDIRECT("'"&amp;AC$5&amp;"'!H6:H1000")))</f>
        <v>0</v>
      </c>
      <c r="AD63">
        <f>IF(OR($AA63="",AD$5=""),0,SUMIF(INDIRECT("'"&amp;AD$5&amp;"'!C6:C1000"),$AA63,INDIRECT("'"&amp;AD$5&amp;"'!H6:H1000")))</f>
        <v>0</v>
      </c>
      <c r="AE63">
        <f>IF(OR($AA63="",AE$5=""),0,SUMIF(INDIRECT("'"&amp;AE$5&amp;"'!C6:C1000"),$AA63,INDIRECT("'"&amp;AE$5&amp;"'!H6:H1000")))</f>
        <v>0</v>
      </c>
      <c r="AF63">
        <f>IF(OR($AA63="",AF$5=""),0,SUMIF(INDIRECT("'"&amp;AF$5&amp;"'!C6:C1000"),$AA63,INDIRECT("'"&amp;AF$5&amp;"'!H6:H1000")))</f>
        <v>0</v>
      </c>
      <c r="AG63">
        <f>IF(OR($AA63="",AG$5=""),0,SUMIF(INDIRECT("'"&amp;AG$5&amp;"'!C6:C1000"),$AA63,INDIRECT("'"&amp;AG$5&amp;"'!H6:H1000")))</f>
        <v>0</v>
      </c>
      <c r="AH63">
        <f>IF(OR($AA63="",AH$5=""),0,SUMIF(INDIRECT("'"&amp;AH$5&amp;"'!C6:C1000"),$AA63,INDIRECT("'"&amp;AH$5&amp;"'!H6:H1000")))</f>
        <v>0</v>
      </c>
      <c r="AI63">
        <f>IF(OR($AA63="",AI$5=""),0,SUMIF(INDIRECT("'"&amp;AI$5&amp;"'!C6:C1000"),$AA63,INDIRECT("'"&amp;AI$5&amp;"'!H6:H1000")))</f>
        <v>0</v>
      </c>
      <c r="AJ63">
        <f>IF(OR($AA63="",AJ$5=""),0,SUMIF(INDIRECT("'"&amp;AJ$5&amp;"'!C6:C1000"),$AA63,INDIRECT("'"&amp;AJ$5&amp;"'!H6:H1000")))</f>
        <v>0</v>
      </c>
      <c r="AK63">
        <f>IF(OR($AA63="",AK$5=""),0,SUMIF(INDIRECT("'"&amp;AK$5&amp;"'!C6:C1000"),$AA63,INDIRECT("'"&amp;AK$5&amp;"'!H6:H1000")))</f>
        <v>0</v>
      </c>
      <c r="AL63">
        <f>IF(OR($AA63="",AL$5=""),0,SUMIF(INDIRECT("'"&amp;AL$5&amp;"'!C6:C1000"),$AA63,INDIRECT("'"&amp;AL$5&amp;"'!H6:H1000")))</f>
        <v>0</v>
      </c>
      <c r="AM63">
        <f>IF(OR($AA63="",AM$5=""),0,SUMIF(INDIRECT("'"&amp;AM$5&amp;"'!C6:C1000"),$AA63,INDIRECT("'"&amp;AM$5&amp;"'!H6:H1000")))</f>
        <v>0</v>
      </c>
      <c r="AN63">
        <f>IF(OR($AA63="",AN$5=""),0,SUMIF(INDIRECT("'"&amp;AN$5&amp;"'!C6:C1000"),$AA63,INDIRECT("'"&amp;AN$5&amp;"'!H6:H1000")))</f>
        <v>0</v>
      </c>
      <c r="AO63">
        <f>IF(OR($AA63="",AC$5=""),0,SUMIF(INDIRECT("'"&amp;AC$5&amp;"'!C6:C1000"),$AA63,INDIRECT("'"&amp;AC$5&amp;"'!E6:E1000")))</f>
        <v>0</v>
      </c>
      <c r="AP63">
        <f>IF(OR($AA63="",AD$5=""),0,SUMIF(INDIRECT("'"&amp;AD$5&amp;"'!C6:C1000"),$AA63,INDIRECT("'"&amp;AD$5&amp;"'!E6:E1000")))</f>
        <v>0</v>
      </c>
      <c r="AQ63">
        <f>IF(OR($AA63="",AE$5=""),0,SUMIF(INDIRECT("'"&amp;AE$5&amp;"'!C6:C1000"),$AA63,INDIRECT("'"&amp;AE$5&amp;"'!E6:E1000")))</f>
        <v>0</v>
      </c>
      <c r="AR63">
        <f>IF(OR($AA63="",AF$5=""),0,SUMIF(INDIRECT("'"&amp;AF$5&amp;"'!C6:C1000"),$AA63,INDIRECT("'"&amp;AF$5&amp;"'!E6:E1000")))</f>
        <v>0</v>
      </c>
      <c r="AS63">
        <f>IF(OR($AA63="",AG$5=""),0,SUMIF(INDIRECT("'"&amp;AG$5&amp;"'!C6:C1000"),$AA63,INDIRECT("'"&amp;AG$5&amp;"'!E6:E1000")))</f>
        <v>0</v>
      </c>
      <c r="AT63">
        <f>IF(OR($AA63="",AH$5=""),0,SUMIF(INDIRECT("'"&amp;AH$5&amp;"'!C6:C1000"),$AA63,INDIRECT("'"&amp;AH$5&amp;"'!E6:E1000")))</f>
        <v>0</v>
      </c>
      <c r="AU63">
        <f>IF(OR($AA63="",AI$5=""),0,SUMIF(INDIRECT("'"&amp;AI$5&amp;"'!C6:C1000"),$AA63,INDIRECT("'"&amp;AI$5&amp;"'!E6:E1000")))</f>
        <v>0</v>
      </c>
      <c r="AV63">
        <f>IF(OR($AA63="",AJ$5=""),0,SUMIF(INDIRECT("'"&amp;AJ$5&amp;"'!C6:C1000"),$AA63,INDIRECT("'"&amp;AJ$5&amp;"'!E6:E1000")))</f>
        <v>0</v>
      </c>
      <c r="AW63">
        <f>IF(OR($AA63="",AK$5=""),0,SUMIF(INDIRECT("'"&amp;AK$5&amp;"'!C6:C1000"),$AA63,INDIRECT("'"&amp;AK$5&amp;"'!E6:E1000")))</f>
        <v>0</v>
      </c>
      <c r="AX63">
        <f>IF(OR($AA63="",AL$5=""),0,SUMIF(INDIRECT("'"&amp;AL$5&amp;"'!C6:C1000"),$AA63,INDIRECT("'"&amp;AL$5&amp;"'!E6:E1000")))</f>
        <v>0</v>
      </c>
      <c r="AY63">
        <f>IF(OR($AA63="",AM$5=""),0,SUMIF(INDIRECT("'"&amp;AM$5&amp;"'!C6:C1000"),$AA63,INDIRECT("'"&amp;AM$5&amp;"'!E6:E1000")))</f>
        <v>0</v>
      </c>
      <c r="AZ63">
        <f>IF(OR($AA63="",AN$5=""),0,SUMIF(INDIRECT("'"&amp;AN$5&amp;"'!C6:C1000"),$AA63,INDIRECT("'"&amp;AN$5&amp;"'!E6:E1000")))</f>
        <v>0</v>
      </c>
      <c r="BA63">
        <f>IF(OR($AA63="",AC$5=""),0,SUMIFS(INDIRECT("'"&amp;AC$5&amp;"'!E6:E1000"),INDIRECT("'"&amp;AC$5&amp;"'!C6:C1000"),$AA63,INDIRECT("'"&amp;AC$5&amp;"'!F6:F1000"),"箱")+SUMIFS(INDIRECT("'"&amp;AC$5&amp;"'!E6:E1000"),INDIRECT("'"&amp;AC$5&amp;"'!C6:C1000"),$AA63,INDIRECT("'"&amp;AC$5&amp;"'!F6:F1000"),"件"))</f>
        <v>0</v>
      </c>
      <c r="BB63">
        <f>IF(OR($AA63="",AD$5=""),0,SUMIFS(INDIRECT("'"&amp;AD$5&amp;"'!E6:E1000"),INDIRECT("'"&amp;AD$5&amp;"'!C6:C1000"),$AA63,INDIRECT("'"&amp;AD$5&amp;"'!F6:F1000"),"箱")+SUMIFS(INDIRECT("'"&amp;AD$5&amp;"'!E6:E1000"),INDIRECT("'"&amp;AD$5&amp;"'!C6:C1000"),$AA63,INDIRECT("'"&amp;AD$5&amp;"'!F6:F1000"),"件"))</f>
        <v>0</v>
      </c>
      <c r="BC63">
        <f>IF(OR($AA63="",AE$5=""),0,SUMIFS(INDIRECT("'"&amp;AE$5&amp;"'!E6:E1000"),INDIRECT("'"&amp;AE$5&amp;"'!C6:C1000"),$AA63,INDIRECT("'"&amp;AE$5&amp;"'!F6:F1000"),"箱")+SUMIFS(INDIRECT("'"&amp;AE$5&amp;"'!E6:E1000"),INDIRECT("'"&amp;AE$5&amp;"'!C6:C1000"),$AA63,INDIRECT("'"&amp;AE$5&amp;"'!F6:F1000"),"件"))</f>
        <v>0</v>
      </c>
      <c r="BD63">
        <f>IF(OR($AA63="",AF$5=""),0,SUMIFS(INDIRECT("'"&amp;AF$5&amp;"'!E6:E1000"),INDIRECT("'"&amp;AF$5&amp;"'!C6:C1000"),$AA63,INDIRECT("'"&amp;AF$5&amp;"'!F6:F1000"),"箱")+SUMIFS(INDIRECT("'"&amp;AF$5&amp;"'!E6:E1000"),INDIRECT("'"&amp;AF$5&amp;"'!C6:C1000"),$AA63,INDIRECT("'"&amp;AF$5&amp;"'!F6:F1000"),"件"))</f>
        <v>0</v>
      </c>
      <c r="BE63">
        <f>IF(OR($AA63="",AG$5=""),0,SUMIFS(INDIRECT("'"&amp;AG$5&amp;"'!E6:E1000"),INDIRECT("'"&amp;AG$5&amp;"'!C6:C1000"),$AA63,INDIRECT("'"&amp;AG$5&amp;"'!F6:F1000"),"箱")+SUMIFS(INDIRECT("'"&amp;AG$5&amp;"'!E6:E1000"),INDIRECT("'"&amp;AG$5&amp;"'!C6:C1000"),$AA63,INDIRECT("'"&amp;AG$5&amp;"'!F6:F1000"),"件"))</f>
        <v>0</v>
      </c>
      <c r="BF63">
        <f>IF(OR($AA63="",AH$5=""),0,SUMIFS(INDIRECT("'"&amp;AH$5&amp;"'!E6:E1000"),INDIRECT("'"&amp;AH$5&amp;"'!C6:C1000"),$AA63,INDIRECT("'"&amp;AH$5&amp;"'!F6:F1000"),"箱")+SUMIFS(INDIRECT("'"&amp;AH$5&amp;"'!E6:E1000"),INDIRECT("'"&amp;AH$5&amp;"'!C6:C1000"),$AA63,INDIRECT("'"&amp;AH$5&amp;"'!F6:F1000"),"件"))</f>
        <v>0</v>
      </c>
      <c r="BG63">
        <f>IF(OR($AA63="",AI$5=""),0,SUMIFS(INDIRECT("'"&amp;AI$5&amp;"'!E6:E1000"),INDIRECT("'"&amp;AI$5&amp;"'!C6:C1000"),$AA63,INDIRECT("'"&amp;AI$5&amp;"'!F6:F1000"),"箱")+SUMIFS(INDIRECT("'"&amp;AI$5&amp;"'!E6:E1000"),INDIRECT("'"&amp;AI$5&amp;"'!C6:C1000"),$AA63,INDIRECT("'"&amp;AI$5&amp;"'!F6:F1000"),"件"))</f>
        <v>0</v>
      </c>
      <c r="BH63">
        <f>IF(OR($AA63="",AJ$5=""),0,SUMIFS(INDIRECT("'"&amp;AJ$5&amp;"'!E6:E1000"),INDIRECT("'"&amp;AJ$5&amp;"'!C6:C1000"),$AA63,INDIRECT("'"&amp;AJ$5&amp;"'!F6:F1000"),"箱")+SUMIFS(INDIRECT("'"&amp;AJ$5&amp;"'!E6:E1000"),INDIRECT("'"&amp;AJ$5&amp;"'!C6:C1000"),$AA63,INDIRECT("'"&amp;AJ$5&amp;"'!F6:F1000"),"件"))</f>
        <v>0</v>
      </c>
      <c r="BI63">
        <f>IF(OR($AA63="",AK$5=""),0,SUMIFS(INDIRECT("'"&amp;AK$5&amp;"'!E6:E1000"),INDIRECT("'"&amp;AK$5&amp;"'!C6:C1000"),$AA63,INDIRECT("'"&amp;AK$5&amp;"'!F6:F1000"),"箱")+SUMIFS(INDIRECT("'"&amp;AK$5&amp;"'!E6:E1000"),INDIRECT("'"&amp;AK$5&amp;"'!C6:C1000"),$AA63,INDIRECT("'"&amp;AK$5&amp;"'!F6:F1000"),"件"))</f>
        <v>0</v>
      </c>
      <c r="BJ63">
        <f>IF(OR($AA63="",AL$5=""),0,SUMIFS(INDIRECT("'"&amp;AL$5&amp;"'!E6:E1000"),INDIRECT("'"&amp;AL$5&amp;"'!C6:C1000"),$AA63,INDIRECT("'"&amp;AL$5&amp;"'!F6:F1000"),"箱")+SUMIFS(INDIRECT("'"&amp;AL$5&amp;"'!E6:E1000"),INDIRECT("'"&amp;AL$5&amp;"'!C6:C1000"),$AA63,INDIRECT("'"&amp;AL$5&amp;"'!F6:F1000"),"件"))</f>
        <v>0</v>
      </c>
      <c r="BK63">
        <f>IF(OR($AA63="",AM$5=""),0,SUMIFS(INDIRECT("'"&amp;AM$5&amp;"'!E6:E1000"),INDIRECT("'"&amp;AM$5&amp;"'!C6:C1000"),$AA63,INDIRECT("'"&amp;AM$5&amp;"'!F6:F1000"),"箱")+SUMIFS(INDIRECT("'"&amp;AM$5&amp;"'!E6:E1000"),INDIRECT("'"&amp;AM$5&amp;"'!C6:C1000"),$AA63,INDIRECT("'"&amp;AM$5&amp;"'!F6:F1000"),"件"))</f>
        <v>0</v>
      </c>
      <c r="BL63">
        <f>IF(OR($AA63="",AN$5=""),0,SUMIFS(INDIRECT("'"&amp;AN$5&amp;"'!E6:E1000"),INDIRECT("'"&amp;AN$5&amp;"'!C6:C1000"),$AA63,INDIRECT("'"&amp;AN$5&amp;"'!F6:F1000"),"箱")+SUMIFS(INDIRECT("'"&amp;AN$5&amp;"'!E6:E1000"),INDIRECT("'"&amp;AN$5&amp;"'!C6:C1000"),$AA63,INDIRECT("'"&amp;AN$5&amp;"'!F6:F1000"),"件"))</f>
        <v>0</v>
      </c>
      <c r="BM63">
        <f>(AO63-BA63)/$AB63+BA63</f>
        <v>0</v>
      </c>
      <c r="BN63">
        <f>(AP63-BB63)/$AB63+BB63</f>
        <v>0</v>
      </c>
      <c r="BO63">
        <f>(AQ63-BC63)/$AB63+BC63</f>
        <v>0</v>
      </c>
      <c r="BP63">
        <f>(AR63-BD63)/$AB63+BD63</f>
        <v>0</v>
      </c>
      <c r="BQ63">
        <f>(AS63-BE63)/$AB63+BE63</f>
        <v>0</v>
      </c>
      <c r="BR63">
        <f>(AT63-BF63)/$AB63+BF63</f>
        <v>0</v>
      </c>
      <c r="BS63">
        <f>(AU63-BG63)/$AB63+BG63</f>
        <v>0</v>
      </c>
      <c r="BT63">
        <f>(AV63-BH63)/$AB63+BH63</f>
        <v>0</v>
      </c>
      <c r="BU63">
        <f>(AW63-BI63)/$AB63+BI63</f>
        <v>0</v>
      </c>
      <c r="BV63">
        <f>(AX63-BJ63)/$AB63+BJ63</f>
        <v>0</v>
      </c>
      <c r="BW63">
        <f>(AY63-BK63)/$AB63+BK63</f>
        <v>0</v>
      </c>
      <c r="BX63">
        <f>(AZ63-BL63)/$AB63+BL63</f>
        <v>0</v>
      </c>
      <c r="BY63">
        <f>SUMPRODUCT((($AC$4:$AN$4=报损汇总一览!$A$3)+(报损汇总一览!$A$3="全年"))*AC63:AN63)</f>
        <v>0</v>
      </c>
      <c r="BZ63">
        <f>IF(BY63&gt;0,BY63+(1000-ROW())/10000000,"")</f>
      </c>
      <c r="CA63">
        <f>SUMPRODUCT((($AC$4:$AN$4=报损汇总一览!$A$3)+(报损汇总一览!$A$3="全年"))*AO63:AZ63)</f>
        <v>0</v>
      </c>
    </row>
    <row r="64">
      <c r="A64">
        <f>IF(OR(存条明细!C64="",存条明细!D64=""),"",IF(COUNTIFS(存条明细!$C$4:C64,存条明细!C64,存条明细!$D$4:D64,存条明细!D64)&gt;1,"",IFERROR(MATCH(存条明细!C64,总览汇总!$B$5:$B$304,0),900)*10000000+IFERROR(MATCH(存条明细!D64,基础资料!$E$5:$E$104,0),900)*10000+ROW()))</f>
        <v>160070064</v>
      </c>
      <c r="B64">
        <f>IFERROR(MATCH(SMALL($A$4:$A$4003,61),$A$4:$A$4003,0),"")</f>
        <v>1075</v>
      </c>
      <c r="D64">
        <f>IF(AND(商品库存!B64&lt;&gt;"",商品库存!B64=客户查询!$B$4),COUNTIF(商品库存!$B$4:B64,客户查询!$B$4),"")</f>
      </c>
      <c r="E64">
        <f>IF(AND(商品库存!B64&lt;&gt;"",商品库存!B64=客户对账单!$B$4),COUNTIF(商品库存!$B$4:B64,客户对账单!$B$4),"")</f>
      </c>
      <c r="F64">
        <f>IF(AND(出库明细!C64&lt;&gt;"",出库明细!C64=客户对账单!$B$4,ISNUMBER(出库明细!B64),出库明细!B64&gt;=客户对账单!$G$4,出库明细!B64&lt;=客户对账单!$I$4),出库明细!B64+ROW()/100000,"")</f>
      </c>
      <c r="H64">
        <f>IF(AND(采购进货!C64&lt;&gt;"",采购进货!C64=供应商对账单!$B$4,ISNUMBER(采购进货!B64),采购进货!B64&gt;=供应商对账单!$G$4,采购进货!B64&lt;=供应商对账单!$I$4),采购进货!B64+ROW()/100000,"")</f>
      </c>
      <c r="J64">
        <f>IF(总览汇总!$B64="","",N(总览汇总!$K64)+SUMIFS(出库明细!$G$4:$G$3003,出库明细!$C$4:$C$3003,总览汇总!$B64,出库明细!$B$4:$B$3003,"&gt;="&amp;年初日,出库明细!$B$4:$B$3003,"&lt;="&amp;资产负债表!$D$3)-SUMIFS(资金台帐!$S$7:$S$3006,资金台帐!$J$7:$J$3006,总览汇总!$B64,资金台帐!$P$7:$P$3006,"应收",资金台帐!$B$7:$B$3006,"&gt;="&amp;年初日,资金台帐!$B$7:$B$3006,"&lt;="&amp;资产负债表!$D$3))</f>
        <v>-204</v>
      </c>
      <c r="N64">
        <f>IF(AND(ISNUMBER(出库明细!G64),ISNUMBER(出库明细!E64),ISNUMBER(出库明细!F64)),IF(ABS(出库明细!G64-出库明细!E64*出库明细!F64)&gt;0.005,1,0),0)</f>
        <v>0</v>
      </c>
      <c r="O64">
        <f>IF(AND(ISNUMBER(存条明细!G64),ISNUMBER(存条明细!E64),ISNUMBER(存条明细!F64)),IF(ABS(存条明细!G64-存条明细!E64*存条明细!F64)&gt;0.005,1,0),0)</f>
        <v>0</v>
      </c>
      <c r="AA64">
        <f>IF(基础资料!G63="","",基础资料!G63&amp;"")</f>
      </c>
      <c r="AB64">
        <f>IF(N(基础资料!I63)&lt;=0,1,基础资料!I63)</f>
        <v>1</v>
      </c>
      <c r="AC64">
        <f>IF(OR($AA64="",AC$5=""),0,SUMIF(INDIRECT("'"&amp;AC$5&amp;"'!C6:C1000"),$AA64,INDIRECT("'"&amp;AC$5&amp;"'!H6:H1000")))</f>
        <v>0</v>
      </c>
      <c r="AD64">
        <f>IF(OR($AA64="",AD$5=""),0,SUMIF(INDIRECT("'"&amp;AD$5&amp;"'!C6:C1000"),$AA64,INDIRECT("'"&amp;AD$5&amp;"'!H6:H1000")))</f>
        <v>0</v>
      </c>
      <c r="AE64">
        <f>IF(OR($AA64="",AE$5=""),0,SUMIF(INDIRECT("'"&amp;AE$5&amp;"'!C6:C1000"),$AA64,INDIRECT("'"&amp;AE$5&amp;"'!H6:H1000")))</f>
        <v>0</v>
      </c>
      <c r="AF64">
        <f>IF(OR($AA64="",AF$5=""),0,SUMIF(INDIRECT("'"&amp;AF$5&amp;"'!C6:C1000"),$AA64,INDIRECT("'"&amp;AF$5&amp;"'!H6:H1000")))</f>
        <v>0</v>
      </c>
      <c r="AG64">
        <f>IF(OR($AA64="",AG$5=""),0,SUMIF(INDIRECT("'"&amp;AG$5&amp;"'!C6:C1000"),$AA64,INDIRECT("'"&amp;AG$5&amp;"'!H6:H1000")))</f>
        <v>0</v>
      </c>
      <c r="AH64">
        <f>IF(OR($AA64="",AH$5=""),0,SUMIF(INDIRECT("'"&amp;AH$5&amp;"'!C6:C1000"),$AA64,INDIRECT("'"&amp;AH$5&amp;"'!H6:H1000")))</f>
        <v>0</v>
      </c>
      <c r="AI64">
        <f>IF(OR($AA64="",AI$5=""),0,SUMIF(INDIRECT("'"&amp;AI$5&amp;"'!C6:C1000"),$AA64,INDIRECT("'"&amp;AI$5&amp;"'!H6:H1000")))</f>
        <v>0</v>
      </c>
      <c r="AJ64">
        <f>IF(OR($AA64="",AJ$5=""),0,SUMIF(INDIRECT("'"&amp;AJ$5&amp;"'!C6:C1000"),$AA64,INDIRECT("'"&amp;AJ$5&amp;"'!H6:H1000")))</f>
        <v>0</v>
      </c>
      <c r="AK64">
        <f>IF(OR($AA64="",AK$5=""),0,SUMIF(INDIRECT("'"&amp;AK$5&amp;"'!C6:C1000"),$AA64,INDIRECT("'"&amp;AK$5&amp;"'!H6:H1000")))</f>
        <v>0</v>
      </c>
      <c r="AL64">
        <f>IF(OR($AA64="",AL$5=""),0,SUMIF(INDIRECT("'"&amp;AL$5&amp;"'!C6:C1000"),$AA64,INDIRECT("'"&amp;AL$5&amp;"'!H6:H1000")))</f>
        <v>0</v>
      </c>
      <c r="AM64">
        <f>IF(OR($AA64="",AM$5=""),0,SUMIF(INDIRECT("'"&amp;AM$5&amp;"'!C6:C1000"),$AA64,INDIRECT("'"&amp;AM$5&amp;"'!H6:H1000")))</f>
        <v>0</v>
      </c>
      <c r="AN64">
        <f>IF(OR($AA64="",AN$5=""),0,SUMIF(INDIRECT("'"&amp;AN$5&amp;"'!C6:C1000"),$AA64,INDIRECT("'"&amp;AN$5&amp;"'!H6:H1000")))</f>
        <v>0</v>
      </c>
      <c r="AO64">
        <f>IF(OR($AA64="",AC$5=""),0,SUMIF(INDIRECT("'"&amp;AC$5&amp;"'!C6:C1000"),$AA64,INDIRECT("'"&amp;AC$5&amp;"'!E6:E1000")))</f>
        <v>0</v>
      </c>
      <c r="AP64">
        <f>IF(OR($AA64="",AD$5=""),0,SUMIF(INDIRECT("'"&amp;AD$5&amp;"'!C6:C1000"),$AA64,INDIRECT("'"&amp;AD$5&amp;"'!E6:E1000")))</f>
        <v>0</v>
      </c>
      <c r="AQ64">
        <f>IF(OR($AA64="",AE$5=""),0,SUMIF(INDIRECT("'"&amp;AE$5&amp;"'!C6:C1000"),$AA64,INDIRECT("'"&amp;AE$5&amp;"'!E6:E1000")))</f>
        <v>0</v>
      </c>
      <c r="AR64">
        <f>IF(OR($AA64="",AF$5=""),0,SUMIF(INDIRECT("'"&amp;AF$5&amp;"'!C6:C1000"),$AA64,INDIRECT("'"&amp;AF$5&amp;"'!E6:E1000")))</f>
        <v>0</v>
      </c>
      <c r="AS64">
        <f>IF(OR($AA64="",AG$5=""),0,SUMIF(INDIRECT("'"&amp;AG$5&amp;"'!C6:C1000"),$AA64,INDIRECT("'"&amp;AG$5&amp;"'!E6:E1000")))</f>
        <v>0</v>
      </c>
      <c r="AT64">
        <f>IF(OR($AA64="",AH$5=""),0,SUMIF(INDIRECT("'"&amp;AH$5&amp;"'!C6:C1000"),$AA64,INDIRECT("'"&amp;AH$5&amp;"'!E6:E1000")))</f>
        <v>0</v>
      </c>
      <c r="AU64">
        <f>IF(OR($AA64="",AI$5=""),0,SUMIF(INDIRECT("'"&amp;AI$5&amp;"'!C6:C1000"),$AA64,INDIRECT("'"&amp;AI$5&amp;"'!E6:E1000")))</f>
        <v>0</v>
      </c>
      <c r="AV64">
        <f>IF(OR($AA64="",AJ$5=""),0,SUMIF(INDIRECT("'"&amp;AJ$5&amp;"'!C6:C1000"),$AA64,INDIRECT("'"&amp;AJ$5&amp;"'!E6:E1000")))</f>
        <v>0</v>
      </c>
      <c r="AW64">
        <f>IF(OR($AA64="",AK$5=""),0,SUMIF(INDIRECT("'"&amp;AK$5&amp;"'!C6:C1000"),$AA64,INDIRECT("'"&amp;AK$5&amp;"'!E6:E1000")))</f>
        <v>0</v>
      </c>
      <c r="AX64">
        <f>IF(OR($AA64="",AL$5=""),0,SUMIF(INDIRECT("'"&amp;AL$5&amp;"'!C6:C1000"),$AA64,INDIRECT("'"&amp;AL$5&amp;"'!E6:E1000")))</f>
        <v>0</v>
      </c>
      <c r="AY64">
        <f>IF(OR($AA64="",AM$5=""),0,SUMIF(INDIRECT("'"&amp;AM$5&amp;"'!C6:C1000"),$AA64,INDIRECT("'"&amp;AM$5&amp;"'!E6:E1000")))</f>
        <v>0</v>
      </c>
      <c r="AZ64">
        <f>IF(OR($AA64="",AN$5=""),0,SUMIF(INDIRECT("'"&amp;AN$5&amp;"'!C6:C1000"),$AA64,INDIRECT("'"&amp;AN$5&amp;"'!E6:E1000")))</f>
        <v>0</v>
      </c>
      <c r="BA64">
        <f>IF(OR($AA64="",AC$5=""),0,SUMIFS(INDIRECT("'"&amp;AC$5&amp;"'!E6:E1000"),INDIRECT("'"&amp;AC$5&amp;"'!C6:C1000"),$AA64,INDIRECT("'"&amp;AC$5&amp;"'!F6:F1000"),"箱")+SUMIFS(INDIRECT("'"&amp;AC$5&amp;"'!E6:E1000"),INDIRECT("'"&amp;AC$5&amp;"'!C6:C1000"),$AA64,INDIRECT("'"&amp;AC$5&amp;"'!F6:F1000"),"件"))</f>
        <v>0</v>
      </c>
      <c r="BB64">
        <f>IF(OR($AA64="",AD$5=""),0,SUMIFS(INDIRECT("'"&amp;AD$5&amp;"'!E6:E1000"),INDIRECT("'"&amp;AD$5&amp;"'!C6:C1000"),$AA64,INDIRECT("'"&amp;AD$5&amp;"'!F6:F1000"),"箱")+SUMIFS(INDIRECT("'"&amp;AD$5&amp;"'!E6:E1000"),INDIRECT("'"&amp;AD$5&amp;"'!C6:C1000"),$AA64,INDIRECT("'"&amp;AD$5&amp;"'!F6:F1000"),"件"))</f>
        <v>0</v>
      </c>
      <c r="BC64">
        <f>IF(OR($AA64="",AE$5=""),0,SUMIFS(INDIRECT("'"&amp;AE$5&amp;"'!E6:E1000"),INDIRECT("'"&amp;AE$5&amp;"'!C6:C1000"),$AA64,INDIRECT("'"&amp;AE$5&amp;"'!F6:F1000"),"箱")+SUMIFS(INDIRECT("'"&amp;AE$5&amp;"'!E6:E1000"),INDIRECT("'"&amp;AE$5&amp;"'!C6:C1000"),$AA64,INDIRECT("'"&amp;AE$5&amp;"'!F6:F1000"),"件"))</f>
        <v>0</v>
      </c>
      <c r="BD64">
        <f>IF(OR($AA64="",AF$5=""),0,SUMIFS(INDIRECT("'"&amp;AF$5&amp;"'!E6:E1000"),INDIRECT("'"&amp;AF$5&amp;"'!C6:C1000"),$AA64,INDIRECT("'"&amp;AF$5&amp;"'!F6:F1000"),"箱")+SUMIFS(INDIRECT("'"&amp;AF$5&amp;"'!E6:E1000"),INDIRECT("'"&amp;AF$5&amp;"'!C6:C1000"),$AA64,INDIRECT("'"&amp;AF$5&amp;"'!F6:F1000"),"件"))</f>
        <v>0</v>
      </c>
      <c r="BE64">
        <f>IF(OR($AA64="",AG$5=""),0,SUMIFS(INDIRECT("'"&amp;AG$5&amp;"'!E6:E1000"),INDIRECT("'"&amp;AG$5&amp;"'!C6:C1000"),$AA64,INDIRECT("'"&amp;AG$5&amp;"'!F6:F1000"),"箱")+SUMIFS(INDIRECT("'"&amp;AG$5&amp;"'!E6:E1000"),INDIRECT("'"&amp;AG$5&amp;"'!C6:C1000"),$AA64,INDIRECT("'"&amp;AG$5&amp;"'!F6:F1000"),"件"))</f>
        <v>0</v>
      </c>
      <c r="BF64">
        <f>IF(OR($AA64="",AH$5=""),0,SUMIFS(INDIRECT("'"&amp;AH$5&amp;"'!E6:E1000"),INDIRECT("'"&amp;AH$5&amp;"'!C6:C1000"),$AA64,INDIRECT("'"&amp;AH$5&amp;"'!F6:F1000"),"箱")+SUMIFS(INDIRECT("'"&amp;AH$5&amp;"'!E6:E1000"),INDIRECT("'"&amp;AH$5&amp;"'!C6:C1000"),$AA64,INDIRECT("'"&amp;AH$5&amp;"'!F6:F1000"),"件"))</f>
        <v>0</v>
      </c>
      <c r="BG64">
        <f>IF(OR($AA64="",AI$5=""),0,SUMIFS(INDIRECT("'"&amp;AI$5&amp;"'!E6:E1000"),INDIRECT("'"&amp;AI$5&amp;"'!C6:C1000"),$AA64,INDIRECT("'"&amp;AI$5&amp;"'!F6:F1000"),"箱")+SUMIFS(INDIRECT("'"&amp;AI$5&amp;"'!E6:E1000"),INDIRECT("'"&amp;AI$5&amp;"'!C6:C1000"),$AA64,INDIRECT("'"&amp;AI$5&amp;"'!F6:F1000"),"件"))</f>
        <v>0</v>
      </c>
      <c r="BH64">
        <f>IF(OR($AA64="",AJ$5=""),0,SUMIFS(INDIRECT("'"&amp;AJ$5&amp;"'!E6:E1000"),INDIRECT("'"&amp;AJ$5&amp;"'!C6:C1000"),$AA64,INDIRECT("'"&amp;AJ$5&amp;"'!F6:F1000"),"箱")+SUMIFS(INDIRECT("'"&amp;AJ$5&amp;"'!E6:E1000"),INDIRECT("'"&amp;AJ$5&amp;"'!C6:C1000"),$AA64,INDIRECT("'"&amp;AJ$5&amp;"'!F6:F1000"),"件"))</f>
        <v>0</v>
      </c>
      <c r="BI64">
        <f>IF(OR($AA64="",AK$5=""),0,SUMIFS(INDIRECT("'"&amp;AK$5&amp;"'!E6:E1000"),INDIRECT("'"&amp;AK$5&amp;"'!C6:C1000"),$AA64,INDIRECT("'"&amp;AK$5&amp;"'!F6:F1000"),"箱")+SUMIFS(INDIRECT("'"&amp;AK$5&amp;"'!E6:E1000"),INDIRECT("'"&amp;AK$5&amp;"'!C6:C1000"),$AA64,INDIRECT("'"&amp;AK$5&amp;"'!F6:F1000"),"件"))</f>
        <v>0</v>
      </c>
      <c r="BJ64">
        <f>IF(OR($AA64="",AL$5=""),0,SUMIFS(INDIRECT("'"&amp;AL$5&amp;"'!E6:E1000"),INDIRECT("'"&amp;AL$5&amp;"'!C6:C1000"),$AA64,INDIRECT("'"&amp;AL$5&amp;"'!F6:F1000"),"箱")+SUMIFS(INDIRECT("'"&amp;AL$5&amp;"'!E6:E1000"),INDIRECT("'"&amp;AL$5&amp;"'!C6:C1000"),$AA64,INDIRECT("'"&amp;AL$5&amp;"'!F6:F1000"),"件"))</f>
        <v>0</v>
      </c>
      <c r="BK64">
        <f>IF(OR($AA64="",AM$5=""),0,SUMIFS(INDIRECT("'"&amp;AM$5&amp;"'!E6:E1000"),INDIRECT("'"&amp;AM$5&amp;"'!C6:C1000"),$AA64,INDIRECT("'"&amp;AM$5&amp;"'!F6:F1000"),"箱")+SUMIFS(INDIRECT("'"&amp;AM$5&amp;"'!E6:E1000"),INDIRECT("'"&amp;AM$5&amp;"'!C6:C1000"),$AA64,INDIRECT("'"&amp;AM$5&amp;"'!F6:F1000"),"件"))</f>
        <v>0</v>
      </c>
      <c r="BL64">
        <f>IF(OR($AA64="",AN$5=""),0,SUMIFS(INDIRECT("'"&amp;AN$5&amp;"'!E6:E1000"),INDIRECT("'"&amp;AN$5&amp;"'!C6:C1000"),$AA64,INDIRECT("'"&amp;AN$5&amp;"'!F6:F1000"),"箱")+SUMIFS(INDIRECT("'"&amp;AN$5&amp;"'!E6:E1000"),INDIRECT("'"&amp;AN$5&amp;"'!C6:C1000"),$AA64,INDIRECT("'"&amp;AN$5&amp;"'!F6:F1000"),"件"))</f>
        <v>0</v>
      </c>
      <c r="BM64">
        <f>(AO64-BA64)/$AB64+BA64</f>
        <v>0</v>
      </c>
      <c r="BN64">
        <f>(AP64-BB64)/$AB64+BB64</f>
        <v>0</v>
      </c>
      <c r="BO64">
        <f>(AQ64-BC64)/$AB64+BC64</f>
        <v>0</v>
      </c>
      <c r="BP64">
        <f>(AR64-BD64)/$AB64+BD64</f>
        <v>0</v>
      </c>
      <c r="BQ64">
        <f>(AS64-BE64)/$AB64+BE64</f>
        <v>0</v>
      </c>
      <c r="BR64">
        <f>(AT64-BF64)/$AB64+BF64</f>
        <v>0</v>
      </c>
      <c r="BS64">
        <f>(AU64-BG64)/$AB64+BG64</f>
        <v>0</v>
      </c>
      <c r="BT64">
        <f>(AV64-BH64)/$AB64+BH64</f>
        <v>0</v>
      </c>
      <c r="BU64">
        <f>(AW64-BI64)/$AB64+BI64</f>
        <v>0</v>
      </c>
      <c r="BV64">
        <f>(AX64-BJ64)/$AB64+BJ64</f>
        <v>0</v>
      </c>
      <c r="BW64">
        <f>(AY64-BK64)/$AB64+BK64</f>
        <v>0</v>
      </c>
      <c r="BX64">
        <f>(AZ64-BL64)/$AB64+BL64</f>
        <v>0</v>
      </c>
      <c r="BY64">
        <f>SUMPRODUCT((($AC$4:$AN$4=报损汇总一览!$A$3)+(报损汇总一览!$A$3="全年"))*AC64:AN64)</f>
        <v>0</v>
      </c>
      <c r="BZ64">
        <f>IF(BY64&gt;0,BY64+(1000-ROW())/10000000,"")</f>
      </c>
      <c r="CA64">
        <f>SUMPRODUCT((($AC$4:$AN$4=报损汇总一览!$A$3)+(报损汇总一览!$A$3="全年"))*AO64:AZ64)</f>
        <v>0</v>
      </c>
    </row>
    <row r="65">
      <c r="A65">
        <f>IF(OR(存条明细!C65="",存条明细!D65=""),"",IF(COUNTIFS(存条明细!$C$4:C65,存条明细!C65,存条明细!$D$4:D65,存条明细!D65)&gt;1,"",IFERROR(MATCH(存条明细!C65,总览汇总!$B$5:$B$304,0),900)*10000000+IFERROR(MATCH(存条明细!D65,基础资料!$E$5:$E$104,0),900)*10000+ROW()))</f>
        <v>160060065</v>
      </c>
      <c r="B65">
        <f>IFERROR(MATCH(SMALL($A$4:$A$4003,62),$A$4:$A$4003,0),"")</f>
        <v>1065</v>
      </c>
      <c r="D65">
        <f>IF(AND(商品库存!B65&lt;&gt;"",商品库存!B65=客户查询!$B$4),COUNTIF(商品库存!$B$4:B65,客户查询!$B$4),"")</f>
      </c>
      <c r="E65">
        <f>IF(AND(商品库存!B65&lt;&gt;"",商品库存!B65=客户对账单!$B$4),COUNTIF(商品库存!$B$4:B65,客户对账单!$B$4),"")</f>
      </c>
      <c r="F65">
        <f>IF(AND(出库明细!C65&lt;&gt;"",出库明细!C65=客户对账单!$B$4,ISNUMBER(出库明细!B65),出库明细!B65&gt;=客户对账单!$G$4,出库明细!B65&lt;=客户对账单!$I$4),出库明细!B65+ROW()/100000,"")</f>
      </c>
      <c r="H65">
        <f>IF(AND(采购进货!C65&lt;&gt;"",采购进货!C65=供应商对账单!$B$4,ISNUMBER(采购进货!B65),采购进货!B65&gt;=供应商对账单!$G$4,采购进货!B65&lt;=供应商对账单!$I$4),采购进货!B65+ROW()/100000,"")</f>
      </c>
      <c r="J65">
        <f>IF(总览汇总!$B65="","",N(总览汇总!$K65)+SUMIFS(出库明细!$G$4:$G$3003,出库明细!$C$4:$C$3003,总览汇总!$B65,出库明细!$B$4:$B$3003,"&gt;="&amp;年初日,出库明细!$B$4:$B$3003,"&lt;="&amp;资产负债表!$D$3)-SUMIFS(资金台帐!$S$7:$S$3006,资金台帐!$J$7:$J$3006,总览汇总!$B65,资金台帐!$P$7:$P$3006,"应收",资金台帐!$B$7:$B$3006,"&gt;="&amp;年初日,资金台帐!$B$7:$B$3006,"&lt;="&amp;资产负债表!$D$3))</f>
        <v>-1395</v>
      </c>
      <c r="N65">
        <f>IF(AND(ISNUMBER(出库明细!G65),ISNUMBER(出库明细!E65),ISNUMBER(出库明细!F65)),IF(ABS(出库明细!G65-出库明细!E65*出库明细!F65)&gt;0.005,1,0),0)</f>
        <v>0</v>
      </c>
      <c r="O65">
        <f>IF(AND(ISNUMBER(存条明细!G65),ISNUMBER(存条明细!E65),ISNUMBER(存条明细!F65)),IF(ABS(存条明细!G65-存条明细!E65*存条明细!F65)&gt;0.005,1,0),0)</f>
        <v>0</v>
      </c>
      <c r="AA65">
        <f>IF(基础资料!G64="","",基础资料!G64&amp;"")</f>
      </c>
      <c r="AB65">
        <f>IF(N(基础资料!I64)&lt;=0,1,基础资料!I64)</f>
        <v>1</v>
      </c>
      <c r="AC65">
        <f>IF(OR($AA65="",AC$5=""),0,SUMIF(INDIRECT("'"&amp;AC$5&amp;"'!C6:C1000"),$AA65,INDIRECT("'"&amp;AC$5&amp;"'!H6:H1000")))</f>
        <v>0</v>
      </c>
      <c r="AD65">
        <f>IF(OR($AA65="",AD$5=""),0,SUMIF(INDIRECT("'"&amp;AD$5&amp;"'!C6:C1000"),$AA65,INDIRECT("'"&amp;AD$5&amp;"'!H6:H1000")))</f>
        <v>0</v>
      </c>
      <c r="AE65">
        <f>IF(OR($AA65="",AE$5=""),0,SUMIF(INDIRECT("'"&amp;AE$5&amp;"'!C6:C1000"),$AA65,INDIRECT("'"&amp;AE$5&amp;"'!H6:H1000")))</f>
        <v>0</v>
      </c>
      <c r="AF65">
        <f>IF(OR($AA65="",AF$5=""),0,SUMIF(INDIRECT("'"&amp;AF$5&amp;"'!C6:C1000"),$AA65,INDIRECT("'"&amp;AF$5&amp;"'!H6:H1000")))</f>
        <v>0</v>
      </c>
      <c r="AG65">
        <f>IF(OR($AA65="",AG$5=""),0,SUMIF(INDIRECT("'"&amp;AG$5&amp;"'!C6:C1000"),$AA65,INDIRECT("'"&amp;AG$5&amp;"'!H6:H1000")))</f>
        <v>0</v>
      </c>
      <c r="AH65">
        <f>IF(OR($AA65="",AH$5=""),0,SUMIF(INDIRECT("'"&amp;AH$5&amp;"'!C6:C1000"),$AA65,INDIRECT("'"&amp;AH$5&amp;"'!H6:H1000")))</f>
        <v>0</v>
      </c>
      <c r="AI65">
        <f>IF(OR($AA65="",AI$5=""),0,SUMIF(INDIRECT("'"&amp;AI$5&amp;"'!C6:C1000"),$AA65,INDIRECT("'"&amp;AI$5&amp;"'!H6:H1000")))</f>
        <v>0</v>
      </c>
      <c r="AJ65">
        <f>IF(OR($AA65="",AJ$5=""),0,SUMIF(INDIRECT("'"&amp;AJ$5&amp;"'!C6:C1000"),$AA65,INDIRECT("'"&amp;AJ$5&amp;"'!H6:H1000")))</f>
        <v>0</v>
      </c>
      <c r="AK65">
        <f>IF(OR($AA65="",AK$5=""),0,SUMIF(INDIRECT("'"&amp;AK$5&amp;"'!C6:C1000"),$AA65,INDIRECT("'"&amp;AK$5&amp;"'!H6:H1000")))</f>
        <v>0</v>
      </c>
      <c r="AL65">
        <f>IF(OR($AA65="",AL$5=""),0,SUMIF(INDIRECT("'"&amp;AL$5&amp;"'!C6:C1000"),$AA65,INDIRECT("'"&amp;AL$5&amp;"'!H6:H1000")))</f>
        <v>0</v>
      </c>
      <c r="AM65">
        <f>IF(OR($AA65="",AM$5=""),0,SUMIF(INDIRECT("'"&amp;AM$5&amp;"'!C6:C1000"),$AA65,INDIRECT("'"&amp;AM$5&amp;"'!H6:H1000")))</f>
        <v>0</v>
      </c>
      <c r="AN65">
        <f>IF(OR($AA65="",AN$5=""),0,SUMIF(INDIRECT("'"&amp;AN$5&amp;"'!C6:C1000"),$AA65,INDIRECT("'"&amp;AN$5&amp;"'!H6:H1000")))</f>
        <v>0</v>
      </c>
      <c r="AO65">
        <f>IF(OR($AA65="",AC$5=""),0,SUMIF(INDIRECT("'"&amp;AC$5&amp;"'!C6:C1000"),$AA65,INDIRECT("'"&amp;AC$5&amp;"'!E6:E1000")))</f>
        <v>0</v>
      </c>
      <c r="AP65">
        <f>IF(OR($AA65="",AD$5=""),0,SUMIF(INDIRECT("'"&amp;AD$5&amp;"'!C6:C1000"),$AA65,INDIRECT("'"&amp;AD$5&amp;"'!E6:E1000")))</f>
        <v>0</v>
      </c>
      <c r="AQ65">
        <f>IF(OR($AA65="",AE$5=""),0,SUMIF(INDIRECT("'"&amp;AE$5&amp;"'!C6:C1000"),$AA65,INDIRECT("'"&amp;AE$5&amp;"'!E6:E1000")))</f>
        <v>0</v>
      </c>
      <c r="AR65">
        <f>IF(OR($AA65="",AF$5=""),0,SUMIF(INDIRECT("'"&amp;AF$5&amp;"'!C6:C1000"),$AA65,INDIRECT("'"&amp;AF$5&amp;"'!E6:E1000")))</f>
        <v>0</v>
      </c>
      <c r="AS65">
        <f>IF(OR($AA65="",AG$5=""),0,SUMIF(INDIRECT("'"&amp;AG$5&amp;"'!C6:C1000"),$AA65,INDIRECT("'"&amp;AG$5&amp;"'!E6:E1000")))</f>
        <v>0</v>
      </c>
      <c r="AT65">
        <f>IF(OR($AA65="",AH$5=""),0,SUMIF(INDIRECT("'"&amp;AH$5&amp;"'!C6:C1000"),$AA65,INDIRECT("'"&amp;AH$5&amp;"'!E6:E1000")))</f>
        <v>0</v>
      </c>
      <c r="AU65">
        <f>IF(OR($AA65="",AI$5=""),0,SUMIF(INDIRECT("'"&amp;AI$5&amp;"'!C6:C1000"),$AA65,INDIRECT("'"&amp;AI$5&amp;"'!E6:E1000")))</f>
        <v>0</v>
      </c>
      <c r="AV65">
        <f>IF(OR($AA65="",AJ$5=""),0,SUMIF(INDIRECT("'"&amp;AJ$5&amp;"'!C6:C1000"),$AA65,INDIRECT("'"&amp;AJ$5&amp;"'!E6:E1000")))</f>
        <v>0</v>
      </c>
      <c r="AW65">
        <f>IF(OR($AA65="",AK$5=""),0,SUMIF(INDIRECT("'"&amp;AK$5&amp;"'!C6:C1000"),$AA65,INDIRECT("'"&amp;AK$5&amp;"'!E6:E1000")))</f>
        <v>0</v>
      </c>
      <c r="AX65">
        <f>IF(OR($AA65="",AL$5=""),0,SUMIF(INDIRECT("'"&amp;AL$5&amp;"'!C6:C1000"),$AA65,INDIRECT("'"&amp;AL$5&amp;"'!E6:E1000")))</f>
        <v>0</v>
      </c>
      <c r="AY65">
        <f>IF(OR($AA65="",AM$5=""),0,SUMIF(INDIRECT("'"&amp;AM$5&amp;"'!C6:C1000"),$AA65,INDIRECT("'"&amp;AM$5&amp;"'!E6:E1000")))</f>
        <v>0</v>
      </c>
      <c r="AZ65">
        <f>IF(OR($AA65="",AN$5=""),0,SUMIF(INDIRECT("'"&amp;AN$5&amp;"'!C6:C1000"),$AA65,INDIRECT("'"&amp;AN$5&amp;"'!E6:E1000")))</f>
        <v>0</v>
      </c>
      <c r="BA65">
        <f>IF(OR($AA65="",AC$5=""),0,SUMIFS(INDIRECT("'"&amp;AC$5&amp;"'!E6:E1000"),INDIRECT("'"&amp;AC$5&amp;"'!C6:C1000"),$AA65,INDIRECT("'"&amp;AC$5&amp;"'!F6:F1000"),"箱")+SUMIFS(INDIRECT("'"&amp;AC$5&amp;"'!E6:E1000"),INDIRECT("'"&amp;AC$5&amp;"'!C6:C1000"),$AA65,INDIRECT("'"&amp;AC$5&amp;"'!F6:F1000"),"件"))</f>
        <v>0</v>
      </c>
      <c r="BB65">
        <f>IF(OR($AA65="",AD$5=""),0,SUMIFS(INDIRECT("'"&amp;AD$5&amp;"'!E6:E1000"),INDIRECT("'"&amp;AD$5&amp;"'!C6:C1000"),$AA65,INDIRECT("'"&amp;AD$5&amp;"'!F6:F1000"),"箱")+SUMIFS(INDIRECT("'"&amp;AD$5&amp;"'!E6:E1000"),INDIRECT("'"&amp;AD$5&amp;"'!C6:C1000"),$AA65,INDIRECT("'"&amp;AD$5&amp;"'!F6:F1000"),"件"))</f>
        <v>0</v>
      </c>
      <c r="BC65">
        <f>IF(OR($AA65="",AE$5=""),0,SUMIFS(INDIRECT("'"&amp;AE$5&amp;"'!E6:E1000"),INDIRECT("'"&amp;AE$5&amp;"'!C6:C1000"),$AA65,INDIRECT("'"&amp;AE$5&amp;"'!F6:F1000"),"箱")+SUMIFS(INDIRECT("'"&amp;AE$5&amp;"'!E6:E1000"),INDIRECT("'"&amp;AE$5&amp;"'!C6:C1000"),$AA65,INDIRECT("'"&amp;AE$5&amp;"'!F6:F1000"),"件"))</f>
        <v>0</v>
      </c>
      <c r="BD65">
        <f>IF(OR($AA65="",AF$5=""),0,SUMIFS(INDIRECT("'"&amp;AF$5&amp;"'!E6:E1000"),INDIRECT("'"&amp;AF$5&amp;"'!C6:C1000"),$AA65,INDIRECT("'"&amp;AF$5&amp;"'!F6:F1000"),"箱")+SUMIFS(INDIRECT("'"&amp;AF$5&amp;"'!E6:E1000"),INDIRECT("'"&amp;AF$5&amp;"'!C6:C1000"),$AA65,INDIRECT("'"&amp;AF$5&amp;"'!F6:F1000"),"件"))</f>
        <v>0</v>
      </c>
      <c r="BE65">
        <f>IF(OR($AA65="",AG$5=""),0,SUMIFS(INDIRECT("'"&amp;AG$5&amp;"'!E6:E1000"),INDIRECT("'"&amp;AG$5&amp;"'!C6:C1000"),$AA65,INDIRECT("'"&amp;AG$5&amp;"'!F6:F1000"),"箱")+SUMIFS(INDIRECT("'"&amp;AG$5&amp;"'!E6:E1000"),INDIRECT("'"&amp;AG$5&amp;"'!C6:C1000"),$AA65,INDIRECT("'"&amp;AG$5&amp;"'!F6:F1000"),"件"))</f>
        <v>0</v>
      </c>
      <c r="BF65">
        <f>IF(OR($AA65="",AH$5=""),0,SUMIFS(INDIRECT("'"&amp;AH$5&amp;"'!E6:E1000"),INDIRECT("'"&amp;AH$5&amp;"'!C6:C1000"),$AA65,INDIRECT("'"&amp;AH$5&amp;"'!F6:F1000"),"箱")+SUMIFS(INDIRECT("'"&amp;AH$5&amp;"'!E6:E1000"),INDIRECT("'"&amp;AH$5&amp;"'!C6:C1000"),$AA65,INDIRECT("'"&amp;AH$5&amp;"'!F6:F1000"),"件"))</f>
        <v>0</v>
      </c>
      <c r="BG65">
        <f>IF(OR($AA65="",AI$5=""),0,SUMIFS(INDIRECT("'"&amp;AI$5&amp;"'!E6:E1000"),INDIRECT("'"&amp;AI$5&amp;"'!C6:C1000"),$AA65,INDIRECT("'"&amp;AI$5&amp;"'!F6:F1000"),"箱")+SUMIFS(INDIRECT("'"&amp;AI$5&amp;"'!E6:E1000"),INDIRECT("'"&amp;AI$5&amp;"'!C6:C1000"),$AA65,INDIRECT("'"&amp;AI$5&amp;"'!F6:F1000"),"件"))</f>
        <v>0</v>
      </c>
      <c r="BH65">
        <f>IF(OR($AA65="",AJ$5=""),0,SUMIFS(INDIRECT("'"&amp;AJ$5&amp;"'!E6:E1000"),INDIRECT("'"&amp;AJ$5&amp;"'!C6:C1000"),$AA65,INDIRECT("'"&amp;AJ$5&amp;"'!F6:F1000"),"箱")+SUMIFS(INDIRECT("'"&amp;AJ$5&amp;"'!E6:E1000"),INDIRECT("'"&amp;AJ$5&amp;"'!C6:C1000"),$AA65,INDIRECT("'"&amp;AJ$5&amp;"'!F6:F1000"),"件"))</f>
        <v>0</v>
      </c>
      <c r="BI65">
        <f>IF(OR($AA65="",AK$5=""),0,SUMIFS(INDIRECT("'"&amp;AK$5&amp;"'!E6:E1000"),INDIRECT("'"&amp;AK$5&amp;"'!C6:C1000"),$AA65,INDIRECT("'"&amp;AK$5&amp;"'!F6:F1000"),"箱")+SUMIFS(INDIRECT("'"&amp;AK$5&amp;"'!E6:E1000"),INDIRECT("'"&amp;AK$5&amp;"'!C6:C1000"),$AA65,INDIRECT("'"&amp;AK$5&amp;"'!F6:F1000"),"件"))</f>
        <v>0</v>
      </c>
      <c r="BJ65">
        <f>IF(OR($AA65="",AL$5=""),0,SUMIFS(INDIRECT("'"&amp;AL$5&amp;"'!E6:E1000"),INDIRECT("'"&amp;AL$5&amp;"'!C6:C1000"),$AA65,INDIRECT("'"&amp;AL$5&amp;"'!F6:F1000"),"箱")+SUMIFS(INDIRECT("'"&amp;AL$5&amp;"'!E6:E1000"),INDIRECT("'"&amp;AL$5&amp;"'!C6:C1000"),$AA65,INDIRECT("'"&amp;AL$5&amp;"'!F6:F1000"),"件"))</f>
        <v>0</v>
      </c>
      <c r="BK65">
        <f>IF(OR($AA65="",AM$5=""),0,SUMIFS(INDIRECT("'"&amp;AM$5&amp;"'!E6:E1000"),INDIRECT("'"&amp;AM$5&amp;"'!C6:C1000"),$AA65,INDIRECT("'"&amp;AM$5&amp;"'!F6:F1000"),"箱")+SUMIFS(INDIRECT("'"&amp;AM$5&amp;"'!E6:E1000"),INDIRECT("'"&amp;AM$5&amp;"'!C6:C1000"),$AA65,INDIRECT("'"&amp;AM$5&amp;"'!F6:F1000"),"件"))</f>
        <v>0</v>
      </c>
      <c r="BL65">
        <f>IF(OR($AA65="",AN$5=""),0,SUMIFS(INDIRECT("'"&amp;AN$5&amp;"'!E6:E1000"),INDIRECT("'"&amp;AN$5&amp;"'!C6:C1000"),$AA65,INDIRECT("'"&amp;AN$5&amp;"'!F6:F1000"),"箱")+SUMIFS(INDIRECT("'"&amp;AN$5&amp;"'!E6:E1000"),INDIRECT("'"&amp;AN$5&amp;"'!C6:C1000"),$AA65,INDIRECT("'"&amp;AN$5&amp;"'!F6:F1000"),"件"))</f>
        <v>0</v>
      </c>
      <c r="BM65">
        <f>(AO65-BA65)/$AB65+BA65</f>
        <v>0</v>
      </c>
      <c r="BN65">
        <f>(AP65-BB65)/$AB65+BB65</f>
        <v>0</v>
      </c>
      <c r="BO65">
        <f>(AQ65-BC65)/$AB65+BC65</f>
        <v>0</v>
      </c>
      <c r="BP65">
        <f>(AR65-BD65)/$AB65+BD65</f>
        <v>0</v>
      </c>
      <c r="BQ65">
        <f>(AS65-BE65)/$AB65+BE65</f>
        <v>0</v>
      </c>
      <c r="BR65">
        <f>(AT65-BF65)/$AB65+BF65</f>
        <v>0</v>
      </c>
      <c r="BS65">
        <f>(AU65-BG65)/$AB65+BG65</f>
        <v>0</v>
      </c>
      <c r="BT65">
        <f>(AV65-BH65)/$AB65+BH65</f>
        <v>0</v>
      </c>
      <c r="BU65">
        <f>(AW65-BI65)/$AB65+BI65</f>
        <v>0</v>
      </c>
      <c r="BV65">
        <f>(AX65-BJ65)/$AB65+BJ65</f>
        <v>0</v>
      </c>
      <c r="BW65">
        <f>(AY65-BK65)/$AB65+BK65</f>
        <v>0</v>
      </c>
      <c r="BX65">
        <f>(AZ65-BL65)/$AB65+BL65</f>
        <v>0</v>
      </c>
      <c r="BY65">
        <f>SUMPRODUCT((($AC$4:$AN$4=报损汇总一览!$A$3)+(报损汇总一览!$A$3="全年"))*AC65:AN65)</f>
        <v>0</v>
      </c>
      <c r="BZ65">
        <f>IF(BY65&gt;0,BY65+(1000-ROW())/10000000,"")</f>
      </c>
      <c r="CA65">
        <f>SUMPRODUCT((($AC$4:$AN$4=报损汇总一览!$A$3)+(报损汇总一览!$A$3="全年"))*AO65:AZ65)</f>
        <v>0</v>
      </c>
    </row>
    <row r="66">
      <c r="A66">
        <f>IF(OR(存条明细!C66="",存条明细!D66=""),"",IF(COUNTIFS(存条明细!$C$4:C66,存条明细!C66,存条明细!$D$4:D66,存条明细!D66)&gt;1,"",IFERROR(MATCH(存条明细!C66,总览汇总!$B$5:$B$304,0),900)*10000000+IFERROR(MATCH(存条明细!D66,基础资料!$E$5:$E$104,0),900)*10000+ROW()))</f>
        <v>160020066</v>
      </c>
      <c r="B66">
        <f>IFERROR(MATCH(SMALL($A$4:$A$4003,63),$A$4:$A$4003,0),"")</f>
        <v>1063</v>
      </c>
      <c r="D66">
        <f>IF(AND(商品库存!B66&lt;&gt;"",商品库存!B66=客户查询!$B$4),COUNTIF(商品库存!$B$4:B66,客户查询!$B$4),"")</f>
      </c>
      <c r="E66">
        <f>IF(AND(商品库存!B66&lt;&gt;"",商品库存!B66=客户对账单!$B$4),COUNTIF(商品库存!$B$4:B66,客户对账单!$B$4),"")</f>
      </c>
      <c r="F66">
        <f>IF(AND(出库明细!C66&lt;&gt;"",出库明细!C66=客户对账单!$B$4,ISNUMBER(出库明细!B66),出库明细!B66&gt;=客户对账单!$G$4,出库明细!B66&lt;=客户对账单!$I$4),出库明细!B66+ROW()/100000,"")</f>
      </c>
      <c r="H66">
        <f>IF(AND(采购进货!C66&lt;&gt;"",采购进货!C66=供应商对账单!$B$4,ISNUMBER(采购进货!B66),采购进货!B66&gt;=供应商对账单!$G$4,采购进货!B66&lt;=供应商对账单!$I$4),采购进货!B66+ROW()/100000,"")</f>
      </c>
      <c r="J66">
        <f>IF(总览汇总!$B66="","",N(总览汇总!$K66)+SUMIFS(出库明细!$G$4:$G$3003,出库明细!$C$4:$C$3003,总览汇总!$B66,出库明细!$B$4:$B$3003,"&gt;="&amp;年初日,出库明细!$B$4:$B$3003,"&lt;="&amp;资产负债表!$D$3)-SUMIFS(资金台帐!$S$7:$S$3006,资金台帐!$J$7:$J$3006,总览汇总!$B66,资金台帐!$P$7:$P$3006,"应收",资金台帐!$B$7:$B$3006,"&gt;="&amp;年初日,资金台帐!$B$7:$B$3006,"&lt;="&amp;资产负债表!$D$3))</f>
        <v>0</v>
      </c>
      <c r="N66">
        <f>IF(AND(ISNUMBER(出库明细!G66),ISNUMBER(出库明细!E66),ISNUMBER(出库明细!F66)),IF(ABS(出库明细!G66-出库明细!E66*出库明细!F66)&gt;0.005,1,0),0)</f>
        <v>0</v>
      </c>
      <c r="O66">
        <f>IF(AND(ISNUMBER(存条明细!G66),ISNUMBER(存条明细!E66),ISNUMBER(存条明细!F66)),IF(ABS(存条明细!G66-存条明细!E66*存条明细!F66)&gt;0.005,1,0),0)</f>
        <v>0</v>
      </c>
      <c r="AA66">
        <f>IF(基础资料!G65="","",基础资料!G65&amp;"")</f>
      </c>
      <c r="AB66">
        <f>IF(N(基础资料!I65)&lt;=0,1,基础资料!I65)</f>
        <v>1</v>
      </c>
      <c r="AC66">
        <f>IF(OR($AA66="",AC$5=""),0,SUMIF(INDIRECT("'"&amp;AC$5&amp;"'!C6:C1000"),$AA66,INDIRECT("'"&amp;AC$5&amp;"'!H6:H1000")))</f>
        <v>0</v>
      </c>
      <c r="AD66">
        <f>IF(OR($AA66="",AD$5=""),0,SUMIF(INDIRECT("'"&amp;AD$5&amp;"'!C6:C1000"),$AA66,INDIRECT("'"&amp;AD$5&amp;"'!H6:H1000")))</f>
        <v>0</v>
      </c>
      <c r="AE66">
        <f>IF(OR($AA66="",AE$5=""),0,SUMIF(INDIRECT("'"&amp;AE$5&amp;"'!C6:C1000"),$AA66,INDIRECT("'"&amp;AE$5&amp;"'!H6:H1000")))</f>
        <v>0</v>
      </c>
      <c r="AF66">
        <f>IF(OR($AA66="",AF$5=""),0,SUMIF(INDIRECT("'"&amp;AF$5&amp;"'!C6:C1000"),$AA66,INDIRECT("'"&amp;AF$5&amp;"'!H6:H1000")))</f>
        <v>0</v>
      </c>
      <c r="AG66">
        <f>IF(OR($AA66="",AG$5=""),0,SUMIF(INDIRECT("'"&amp;AG$5&amp;"'!C6:C1000"),$AA66,INDIRECT("'"&amp;AG$5&amp;"'!H6:H1000")))</f>
        <v>0</v>
      </c>
      <c r="AH66">
        <f>IF(OR($AA66="",AH$5=""),0,SUMIF(INDIRECT("'"&amp;AH$5&amp;"'!C6:C1000"),$AA66,INDIRECT("'"&amp;AH$5&amp;"'!H6:H1000")))</f>
        <v>0</v>
      </c>
      <c r="AI66">
        <f>IF(OR($AA66="",AI$5=""),0,SUMIF(INDIRECT("'"&amp;AI$5&amp;"'!C6:C1000"),$AA66,INDIRECT("'"&amp;AI$5&amp;"'!H6:H1000")))</f>
        <v>0</v>
      </c>
      <c r="AJ66">
        <f>IF(OR($AA66="",AJ$5=""),0,SUMIF(INDIRECT("'"&amp;AJ$5&amp;"'!C6:C1000"),$AA66,INDIRECT("'"&amp;AJ$5&amp;"'!H6:H1000")))</f>
        <v>0</v>
      </c>
      <c r="AK66">
        <f>IF(OR($AA66="",AK$5=""),0,SUMIF(INDIRECT("'"&amp;AK$5&amp;"'!C6:C1000"),$AA66,INDIRECT("'"&amp;AK$5&amp;"'!H6:H1000")))</f>
        <v>0</v>
      </c>
      <c r="AL66">
        <f>IF(OR($AA66="",AL$5=""),0,SUMIF(INDIRECT("'"&amp;AL$5&amp;"'!C6:C1000"),$AA66,INDIRECT("'"&amp;AL$5&amp;"'!H6:H1000")))</f>
        <v>0</v>
      </c>
      <c r="AM66">
        <f>IF(OR($AA66="",AM$5=""),0,SUMIF(INDIRECT("'"&amp;AM$5&amp;"'!C6:C1000"),$AA66,INDIRECT("'"&amp;AM$5&amp;"'!H6:H1000")))</f>
        <v>0</v>
      </c>
      <c r="AN66">
        <f>IF(OR($AA66="",AN$5=""),0,SUMIF(INDIRECT("'"&amp;AN$5&amp;"'!C6:C1000"),$AA66,INDIRECT("'"&amp;AN$5&amp;"'!H6:H1000")))</f>
        <v>0</v>
      </c>
      <c r="AO66">
        <f>IF(OR($AA66="",AC$5=""),0,SUMIF(INDIRECT("'"&amp;AC$5&amp;"'!C6:C1000"),$AA66,INDIRECT("'"&amp;AC$5&amp;"'!E6:E1000")))</f>
        <v>0</v>
      </c>
      <c r="AP66">
        <f>IF(OR($AA66="",AD$5=""),0,SUMIF(INDIRECT("'"&amp;AD$5&amp;"'!C6:C1000"),$AA66,INDIRECT("'"&amp;AD$5&amp;"'!E6:E1000")))</f>
        <v>0</v>
      </c>
      <c r="AQ66">
        <f>IF(OR($AA66="",AE$5=""),0,SUMIF(INDIRECT("'"&amp;AE$5&amp;"'!C6:C1000"),$AA66,INDIRECT("'"&amp;AE$5&amp;"'!E6:E1000")))</f>
        <v>0</v>
      </c>
      <c r="AR66">
        <f>IF(OR($AA66="",AF$5=""),0,SUMIF(INDIRECT("'"&amp;AF$5&amp;"'!C6:C1000"),$AA66,INDIRECT("'"&amp;AF$5&amp;"'!E6:E1000")))</f>
        <v>0</v>
      </c>
      <c r="AS66">
        <f>IF(OR($AA66="",AG$5=""),0,SUMIF(INDIRECT("'"&amp;AG$5&amp;"'!C6:C1000"),$AA66,INDIRECT("'"&amp;AG$5&amp;"'!E6:E1000")))</f>
        <v>0</v>
      </c>
      <c r="AT66">
        <f>IF(OR($AA66="",AH$5=""),0,SUMIF(INDIRECT("'"&amp;AH$5&amp;"'!C6:C1000"),$AA66,INDIRECT("'"&amp;AH$5&amp;"'!E6:E1000")))</f>
        <v>0</v>
      </c>
      <c r="AU66">
        <f>IF(OR($AA66="",AI$5=""),0,SUMIF(INDIRECT("'"&amp;AI$5&amp;"'!C6:C1000"),$AA66,INDIRECT("'"&amp;AI$5&amp;"'!E6:E1000")))</f>
        <v>0</v>
      </c>
      <c r="AV66">
        <f>IF(OR($AA66="",AJ$5=""),0,SUMIF(INDIRECT("'"&amp;AJ$5&amp;"'!C6:C1000"),$AA66,INDIRECT("'"&amp;AJ$5&amp;"'!E6:E1000")))</f>
        <v>0</v>
      </c>
      <c r="AW66">
        <f>IF(OR($AA66="",AK$5=""),0,SUMIF(INDIRECT("'"&amp;AK$5&amp;"'!C6:C1000"),$AA66,INDIRECT("'"&amp;AK$5&amp;"'!E6:E1000")))</f>
        <v>0</v>
      </c>
      <c r="AX66">
        <f>IF(OR($AA66="",AL$5=""),0,SUMIF(INDIRECT("'"&amp;AL$5&amp;"'!C6:C1000"),$AA66,INDIRECT("'"&amp;AL$5&amp;"'!E6:E1000")))</f>
        <v>0</v>
      </c>
      <c r="AY66">
        <f>IF(OR($AA66="",AM$5=""),0,SUMIF(INDIRECT("'"&amp;AM$5&amp;"'!C6:C1000"),$AA66,INDIRECT("'"&amp;AM$5&amp;"'!E6:E1000")))</f>
        <v>0</v>
      </c>
      <c r="AZ66">
        <f>IF(OR($AA66="",AN$5=""),0,SUMIF(INDIRECT("'"&amp;AN$5&amp;"'!C6:C1000"),$AA66,INDIRECT("'"&amp;AN$5&amp;"'!E6:E1000")))</f>
        <v>0</v>
      </c>
      <c r="BA66">
        <f>IF(OR($AA66="",AC$5=""),0,SUMIFS(INDIRECT("'"&amp;AC$5&amp;"'!E6:E1000"),INDIRECT("'"&amp;AC$5&amp;"'!C6:C1000"),$AA66,INDIRECT("'"&amp;AC$5&amp;"'!F6:F1000"),"箱")+SUMIFS(INDIRECT("'"&amp;AC$5&amp;"'!E6:E1000"),INDIRECT("'"&amp;AC$5&amp;"'!C6:C1000"),$AA66,INDIRECT("'"&amp;AC$5&amp;"'!F6:F1000"),"件"))</f>
        <v>0</v>
      </c>
      <c r="BB66">
        <f>IF(OR($AA66="",AD$5=""),0,SUMIFS(INDIRECT("'"&amp;AD$5&amp;"'!E6:E1000"),INDIRECT("'"&amp;AD$5&amp;"'!C6:C1000"),$AA66,INDIRECT("'"&amp;AD$5&amp;"'!F6:F1000"),"箱")+SUMIFS(INDIRECT("'"&amp;AD$5&amp;"'!E6:E1000"),INDIRECT("'"&amp;AD$5&amp;"'!C6:C1000"),$AA66,INDIRECT("'"&amp;AD$5&amp;"'!F6:F1000"),"件"))</f>
        <v>0</v>
      </c>
      <c r="BC66">
        <f>IF(OR($AA66="",AE$5=""),0,SUMIFS(INDIRECT("'"&amp;AE$5&amp;"'!E6:E1000"),INDIRECT("'"&amp;AE$5&amp;"'!C6:C1000"),$AA66,INDIRECT("'"&amp;AE$5&amp;"'!F6:F1000"),"箱")+SUMIFS(INDIRECT("'"&amp;AE$5&amp;"'!E6:E1000"),INDIRECT("'"&amp;AE$5&amp;"'!C6:C1000"),$AA66,INDIRECT("'"&amp;AE$5&amp;"'!F6:F1000"),"件"))</f>
        <v>0</v>
      </c>
      <c r="BD66">
        <f>IF(OR($AA66="",AF$5=""),0,SUMIFS(INDIRECT("'"&amp;AF$5&amp;"'!E6:E1000"),INDIRECT("'"&amp;AF$5&amp;"'!C6:C1000"),$AA66,INDIRECT("'"&amp;AF$5&amp;"'!F6:F1000"),"箱")+SUMIFS(INDIRECT("'"&amp;AF$5&amp;"'!E6:E1000"),INDIRECT("'"&amp;AF$5&amp;"'!C6:C1000"),$AA66,INDIRECT("'"&amp;AF$5&amp;"'!F6:F1000"),"件"))</f>
        <v>0</v>
      </c>
      <c r="BE66">
        <f>IF(OR($AA66="",AG$5=""),0,SUMIFS(INDIRECT("'"&amp;AG$5&amp;"'!E6:E1000"),INDIRECT("'"&amp;AG$5&amp;"'!C6:C1000"),$AA66,INDIRECT("'"&amp;AG$5&amp;"'!F6:F1000"),"箱")+SUMIFS(INDIRECT("'"&amp;AG$5&amp;"'!E6:E1000"),INDIRECT("'"&amp;AG$5&amp;"'!C6:C1000"),$AA66,INDIRECT("'"&amp;AG$5&amp;"'!F6:F1000"),"件"))</f>
        <v>0</v>
      </c>
      <c r="BF66">
        <f>IF(OR($AA66="",AH$5=""),0,SUMIFS(INDIRECT("'"&amp;AH$5&amp;"'!E6:E1000"),INDIRECT("'"&amp;AH$5&amp;"'!C6:C1000"),$AA66,INDIRECT("'"&amp;AH$5&amp;"'!F6:F1000"),"箱")+SUMIFS(INDIRECT("'"&amp;AH$5&amp;"'!E6:E1000"),INDIRECT("'"&amp;AH$5&amp;"'!C6:C1000"),$AA66,INDIRECT("'"&amp;AH$5&amp;"'!F6:F1000"),"件"))</f>
        <v>0</v>
      </c>
      <c r="BG66">
        <f>IF(OR($AA66="",AI$5=""),0,SUMIFS(INDIRECT("'"&amp;AI$5&amp;"'!E6:E1000"),INDIRECT("'"&amp;AI$5&amp;"'!C6:C1000"),$AA66,INDIRECT("'"&amp;AI$5&amp;"'!F6:F1000"),"箱")+SUMIFS(INDIRECT("'"&amp;AI$5&amp;"'!E6:E1000"),INDIRECT("'"&amp;AI$5&amp;"'!C6:C1000"),$AA66,INDIRECT("'"&amp;AI$5&amp;"'!F6:F1000"),"件"))</f>
        <v>0</v>
      </c>
      <c r="BH66">
        <f>IF(OR($AA66="",AJ$5=""),0,SUMIFS(INDIRECT("'"&amp;AJ$5&amp;"'!E6:E1000"),INDIRECT("'"&amp;AJ$5&amp;"'!C6:C1000"),$AA66,INDIRECT("'"&amp;AJ$5&amp;"'!F6:F1000"),"箱")+SUMIFS(INDIRECT("'"&amp;AJ$5&amp;"'!E6:E1000"),INDIRECT("'"&amp;AJ$5&amp;"'!C6:C1000"),$AA66,INDIRECT("'"&amp;AJ$5&amp;"'!F6:F1000"),"件"))</f>
        <v>0</v>
      </c>
      <c r="BI66">
        <f>IF(OR($AA66="",AK$5=""),0,SUMIFS(INDIRECT("'"&amp;AK$5&amp;"'!E6:E1000"),INDIRECT("'"&amp;AK$5&amp;"'!C6:C1000"),$AA66,INDIRECT("'"&amp;AK$5&amp;"'!F6:F1000"),"箱")+SUMIFS(INDIRECT("'"&amp;AK$5&amp;"'!E6:E1000"),INDIRECT("'"&amp;AK$5&amp;"'!C6:C1000"),$AA66,INDIRECT("'"&amp;AK$5&amp;"'!F6:F1000"),"件"))</f>
        <v>0</v>
      </c>
      <c r="BJ66">
        <f>IF(OR($AA66="",AL$5=""),0,SUMIFS(INDIRECT("'"&amp;AL$5&amp;"'!E6:E1000"),INDIRECT("'"&amp;AL$5&amp;"'!C6:C1000"),$AA66,INDIRECT("'"&amp;AL$5&amp;"'!F6:F1000"),"箱")+SUMIFS(INDIRECT("'"&amp;AL$5&amp;"'!E6:E1000"),INDIRECT("'"&amp;AL$5&amp;"'!C6:C1000"),$AA66,INDIRECT("'"&amp;AL$5&amp;"'!F6:F1000"),"件"))</f>
        <v>0</v>
      </c>
      <c r="BK66">
        <f>IF(OR($AA66="",AM$5=""),0,SUMIFS(INDIRECT("'"&amp;AM$5&amp;"'!E6:E1000"),INDIRECT("'"&amp;AM$5&amp;"'!C6:C1000"),$AA66,INDIRECT("'"&amp;AM$5&amp;"'!F6:F1000"),"箱")+SUMIFS(INDIRECT("'"&amp;AM$5&amp;"'!E6:E1000"),INDIRECT("'"&amp;AM$5&amp;"'!C6:C1000"),$AA66,INDIRECT("'"&amp;AM$5&amp;"'!F6:F1000"),"件"))</f>
        <v>0</v>
      </c>
      <c r="BL66">
        <f>IF(OR($AA66="",AN$5=""),0,SUMIFS(INDIRECT("'"&amp;AN$5&amp;"'!E6:E1000"),INDIRECT("'"&amp;AN$5&amp;"'!C6:C1000"),$AA66,INDIRECT("'"&amp;AN$5&amp;"'!F6:F1000"),"箱")+SUMIFS(INDIRECT("'"&amp;AN$5&amp;"'!E6:E1000"),INDIRECT("'"&amp;AN$5&amp;"'!C6:C1000"),$AA66,INDIRECT("'"&amp;AN$5&amp;"'!F6:F1000"),"件"))</f>
        <v>0</v>
      </c>
      <c r="BM66">
        <f>(AO66-BA66)/$AB66+BA66</f>
        <v>0</v>
      </c>
      <c r="BN66">
        <f>(AP66-BB66)/$AB66+BB66</f>
        <v>0</v>
      </c>
      <c r="BO66">
        <f>(AQ66-BC66)/$AB66+BC66</f>
        <v>0</v>
      </c>
      <c r="BP66">
        <f>(AR66-BD66)/$AB66+BD66</f>
        <v>0</v>
      </c>
      <c r="BQ66">
        <f>(AS66-BE66)/$AB66+BE66</f>
        <v>0</v>
      </c>
      <c r="BR66">
        <f>(AT66-BF66)/$AB66+BF66</f>
        <v>0</v>
      </c>
      <c r="BS66">
        <f>(AU66-BG66)/$AB66+BG66</f>
        <v>0</v>
      </c>
      <c r="BT66">
        <f>(AV66-BH66)/$AB66+BH66</f>
        <v>0</v>
      </c>
      <c r="BU66">
        <f>(AW66-BI66)/$AB66+BI66</f>
        <v>0</v>
      </c>
      <c r="BV66">
        <f>(AX66-BJ66)/$AB66+BJ66</f>
        <v>0</v>
      </c>
      <c r="BW66">
        <f>(AY66-BK66)/$AB66+BK66</f>
        <v>0</v>
      </c>
      <c r="BX66">
        <f>(AZ66-BL66)/$AB66+BL66</f>
        <v>0</v>
      </c>
      <c r="BY66">
        <f>SUMPRODUCT((($AC$4:$AN$4=报损汇总一览!$A$3)+(报损汇总一览!$A$3="全年"))*AC66:AN66)</f>
        <v>0</v>
      </c>
      <c r="BZ66">
        <f>IF(BY66&gt;0,BY66+(1000-ROW())/10000000,"")</f>
      </c>
      <c r="CA66">
        <f>SUMPRODUCT((($AC$4:$AN$4=报损汇总一览!$A$3)+(报损汇总一览!$A$3="全年"))*AO66:AZ66)</f>
        <v>0</v>
      </c>
    </row>
    <row r="67">
      <c r="A67">
        <f>IF(OR(存条明细!C67="",存条明细!D67=""),"",IF(COUNTIFS(存条明细!$C$4:C67,存条明细!C67,存条明细!$D$4:D67,存条明细!D67)&gt;1,"",IFERROR(MATCH(存条明细!C67,总览汇总!$B$5:$B$304,0),900)*10000000+IFERROR(MATCH(存条明细!D67,基础资料!$E$5:$E$104,0),900)*10000+ROW()))</f>
        <v>160080067</v>
      </c>
      <c r="B67">
        <f>IFERROR(MATCH(SMALL($A$4:$A$4003,64),$A$4:$A$4003,0),"")</f>
        <v>44</v>
      </c>
      <c r="D67">
        <f>IF(AND(商品库存!B67&lt;&gt;"",商品库存!B67=客户查询!$B$4),COUNTIF(商品库存!$B$4:B67,客户查询!$B$4),"")</f>
      </c>
      <c r="E67">
        <f>IF(AND(商品库存!B67&lt;&gt;"",商品库存!B67=客户对账单!$B$4),COUNTIF(商品库存!$B$4:B67,客户对账单!$B$4),"")</f>
      </c>
      <c r="F67">
        <f>IF(AND(出库明细!C67&lt;&gt;"",出库明细!C67=客户对账单!$B$4,ISNUMBER(出库明细!B67),出库明细!B67&gt;=客户对账单!$G$4,出库明细!B67&lt;=客户对账单!$I$4),出库明细!B67+ROW()/100000,"")</f>
      </c>
      <c r="H67">
        <f>IF(AND(采购进货!C67&lt;&gt;"",采购进货!C67=供应商对账单!$B$4,ISNUMBER(采购进货!B67),采购进货!B67&gt;=供应商对账单!$G$4,采购进货!B67&lt;=供应商对账单!$I$4),采购进货!B67+ROW()/100000,"")</f>
      </c>
      <c r="J67">
        <f>IF(总览汇总!$B67="","",N(总览汇总!$K67)+SUMIFS(出库明细!$G$4:$G$3003,出库明细!$C$4:$C$3003,总览汇总!$B67,出库明细!$B$4:$B$3003,"&gt;="&amp;年初日,出库明细!$B$4:$B$3003,"&lt;="&amp;资产负债表!$D$3)-SUMIFS(资金台帐!$S$7:$S$3006,资金台帐!$J$7:$J$3006,总览汇总!$B67,资金台帐!$P$7:$P$3006,"应收",资金台帐!$B$7:$B$3006,"&gt;="&amp;年初日,资金台帐!$B$7:$B$3006,"&lt;="&amp;资产负债表!$D$3))</f>
        <v>-2459</v>
      </c>
      <c r="N67">
        <f>IF(AND(ISNUMBER(出库明细!G67),ISNUMBER(出库明细!E67),ISNUMBER(出库明细!F67)),IF(ABS(出库明细!G67-出库明细!E67*出库明细!F67)&gt;0.005,1,0),0)</f>
        <v>0</v>
      </c>
      <c r="O67">
        <f>IF(AND(ISNUMBER(存条明细!G67),ISNUMBER(存条明细!E67),ISNUMBER(存条明细!F67)),IF(ABS(存条明细!G67-存条明细!E67*存条明细!F67)&gt;0.005,1,0),0)</f>
        <v>0</v>
      </c>
      <c r="AA67">
        <f>IF(基础资料!G66="","",基础资料!G66&amp;"")</f>
      </c>
      <c r="AB67">
        <f>IF(N(基础资料!I66)&lt;=0,1,基础资料!I66)</f>
        <v>1</v>
      </c>
      <c r="AC67">
        <f>IF(OR($AA67="",AC$5=""),0,SUMIF(INDIRECT("'"&amp;AC$5&amp;"'!C6:C1000"),$AA67,INDIRECT("'"&amp;AC$5&amp;"'!H6:H1000")))</f>
        <v>0</v>
      </c>
      <c r="AD67">
        <f>IF(OR($AA67="",AD$5=""),0,SUMIF(INDIRECT("'"&amp;AD$5&amp;"'!C6:C1000"),$AA67,INDIRECT("'"&amp;AD$5&amp;"'!H6:H1000")))</f>
        <v>0</v>
      </c>
      <c r="AE67">
        <f>IF(OR($AA67="",AE$5=""),0,SUMIF(INDIRECT("'"&amp;AE$5&amp;"'!C6:C1000"),$AA67,INDIRECT("'"&amp;AE$5&amp;"'!H6:H1000")))</f>
        <v>0</v>
      </c>
      <c r="AF67">
        <f>IF(OR($AA67="",AF$5=""),0,SUMIF(INDIRECT("'"&amp;AF$5&amp;"'!C6:C1000"),$AA67,INDIRECT("'"&amp;AF$5&amp;"'!H6:H1000")))</f>
        <v>0</v>
      </c>
      <c r="AG67">
        <f>IF(OR($AA67="",AG$5=""),0,SUMIF(INDIRECT("'"&amp;AG$5&amp;"'!C6:C1000"),$AA67,INDIRECT("'"&amp;AG$5&amp;"'!H6:H1000")))</f>
        <v>0</v>
      </c>
      <c r="AH67">
        <f>IF(OR($AA67="",AH$5=""),0,SUMIF(INDIRECT("'"&amp;AH$5&amp;"'!C6:C1000"),$AA67,INDIRECT("'"&amp;AH$5&amp;"'!H6:H1000")))</f>
        <v>0</v>
      </c>
      <c r="AI67">
        <f>IF(OR($AA67="",AI$5=""),0,SUMIF(INDIRECT("'"&amp;AI$5&amp;"'!C6:C1000"),$AA67,INDIRECT("'"&amp;AI$5&amp;"'!H6:H1000")))</f>
        <v>0</v>
      </c>
      <c r="AJ67">
        <f>IF(OR($AA67="",AJ$5=""),0,SUMIF(INDIRECT("'"&amp;AJ$5&amp;"'!C6:C1000"),$AA67,INDIRECT("'"&amp;AJ$5&amp;"'!H6:H1000")))</f>
        <v>0</v>
      </c>
      <c r="AK67">
        <f>IF(OR($AA67="",AK$5=""),0,SUMIF(INDIRECT("'"&amp;AK$5&amp;"'!C6:C1000"),$AA67,INDIRECT("'"&amp;AK$5&amp;"'!H6:H1000")))</f>
        <v>0</v>
      </c>
      <c r="AL67">
        <f>IF(OR($AA67="",AL$5=""),0,SUMIF(INDIRECT("'"&amp;AL$5&amp;"'!C6:C1000"),$AA67,INDIRECT("'"&amp;AL$5&amp;"'!H6:H1000")))</f>
        <v>0</v>
      </c>
      <c r="AM67">
        <f>IF(OR($AA67="",AM$5=""),0,SUMIF(INDIRECT("'"&amp;AM$5&amp;"'!C6:C1000"),$AA67,INDIRECT("'"&amp;AM$5&amp;"'!H6:H1000")))</f>
        <v>0</v>
      </c>
      <c r="AN67">
        <f>IF(OR($AA67="",AN$5=""),0,SUMIF(INDIRECT("'"&amp;AN$5&amp;"'!C6:C1000"),$AA67,INDIRECT("'"&amp;AN$5&amp;"'!H6:H1000")))</f>
        <v>0</v>
      </c>
      <c r="AO67">
        <f>IF(OR($AA67="",AC$5=""),0,SUMIF(INDIRECT("'"&amp;AC$5&amp;"'!C6:C1000"),$AA67,INDIRECT("'"&amp;AC$5&amp;"'!E6:E1000")))</f>
        <v>0</v>
      </c>
      <c r="AP67">
        <f>IF(OR($AA67="",AD$5=""),0,SUMIF(INDIRECT("'"&amp;AD$5&amp;"'!C6:C1000"),$AA67,INDIRECT("'"&amp;AD$5&amp;"'!E6:E1000")))</f>
        <v>0</v>
      </c>
      <c r="AQ67">
        <f>IF(OR($AA67="",AE$5=""),0,SUMIF(INDIRECT("'"&amp;AE$5&amp;"'!C6:C1000"),$AA67,INDIRECT("'"&amp;AE$5&amp;"'!E6:E1000")))</f>
        <v>0</v>
      </c>
      <c r="AR67">
        <f>IF(OR($AA67="",AF$5=""),0,SUMIF(INDIRECT("'"&amp;AF$5&amp;"'!C6:C1000"),$AA67,INDIRECT("'"&amp;AF$5&amp;"'!E6:E1000")))</f>
        <v>0</v>
      </c>
      <c r="AS67">
        <f>IF(OR($AA67="",AG$5=""),0,SUMIF(INDIRECT("'"&amp;AG$5&amp;"'!C6:C1000"),$AA67,INDIRECT("'"&amp;AG$5&amp;"'!E6:E1000")))</f>
        <v>0</v>
      </c>
      <c r="AT67">
        <f>IF(OR($AA67="",AH$5=""),0,SUMIF(INDIRECT("'"&amp;AH$5&amp;"'!C6:C1000"),$AA67,INDIRECT("'"&amp;AH$5&amp;"'!E6:E1000")))</f>
        <v>0</v>
      </c>
      <c r="AU67">
        <f>IF(OR($AA67="",AI$5=""),0,SUMIF(INDIRECT("'"&amp;AI$5&amp;"'!C6:C1000"),$AA67,INDIRECT("'"&amp;AI$5&amp;"'!E6:E1000")))</f>
        <v>0</v>
      </c>
      <c r="AV67">
        <f>IF(OR($AA67="",AJ$5=""),0,SUMIF(INDIRECT("'"&amp;AJ$5&amp;"'!C6:C1000"),$AA67,INDIRECT("'"&amp;AJ$5&amp;"'!E6:E1000")))</f>
        <v>0</v>
      </c>
      <c r="AW67">
        <f>IF(OR($AA67="",AK$5=""),0,SUMIF(INDIRECT("'"&amp;AK$5&amp;"'!C6:C1000"),$AA67,INDIRECT("'"&amp;AK$5&amp;"'!E6:E1000")))</f>
        <v>0</v>
      </c>
      <c r="AX67">
        <f>IF(OR($AA67="",AL$5=""),0,SUMIF(INDIRECT("'"&amp;AL$5&amp;"'!C6:C1000"),$AA67,INDIRECT("'"&amp;AL$5&amp;"'!E6:E1000")))</f>
        <v>0</v>
      </c>
      <c r="AY67">
        <f>IF(OR($AA67="",AM$5=""),0,SUMIF(INDIRECT("'"&amp;AM$5&amp;"'!C6:C1000"),$AA67,INDIRECT("'"&amp;AM$5&amp;"'!E6:E1000")))</f>
        <v>0</v>
      </c>
      <c r="AZ67">
        <f>IF(OR($AA67="",AN$5=""),0,SUMIF(INDIRECT("'"&amp;AN$5&amp;"'!C6:C1000"),$AA67,INDIRECT("'"&amp;AN$5&amp;"'!E6:E1000")))</f>
        <v>0</v>
      </c>
      <c r="BA67">
        <f>IF(OR($AA67="",AC$5=""),0,SUMIFS(INDIRECT("'"&amp;AC$5&amp;"'!E6:E1000"),INDIRECT("'"&amp;AC$5&amp;"'!C6:C1000"),$AA67,INDIRECT("'"&amp;AC$5&amp;"'!F6:F1000"),"箱")+SUMIFS(INDIRECT("'"&amp;AC$5&amp;"'!E6:E1000"),INDIRECT("'"&amp;AC$5&amp;"'!C6:C1000"),$AA67,INDIRECT("'"&amp;AC$5&amp;"'!F6:F1000"),"件"))</f>
        <v>0</v>
      </c>
      <c r="BB67">
        <f>IF(OR($AA67="",AD$5=""),0,SUMIFS(INDIRECT("'"&amp;AD$5&amp;"'!E6:E1000"),INDIRECT("'"&amp;AD$5&amp;"'!C6:C1000"),$AA67,INDIRECT("'"&amp;AD$5&amp;"'!F6:F1000"),"箱")+SUMIFS(INDIRECT("'"&amp;AD$5&amp;"'!E6:E1000"),INDIRECT("'"&amp;AD$5&amp;"'!C6:C1000"),$AA67,INDIRECT("'"&amp;AD$5&amp;"'!F6:F1000"),"件"))</f>
        <v>0</v>
      </c>
      <c r="BC67">
        <f>IF(OR($AA67="",AE$5=""),0,SUMIFS(INDIRECT("'"&amp;AE$5&amp;"'!E6:E1000"),INDIRECT("'"&amp;AE$5&amp;"'!C6:C1000"),$AA67,INDIRECT("'"&amp;AE$5&amp;"'!F6:F1000"),"箱")+SUMIFS(INDIRECT("'"&amp;AE$5&amp;"'!E6:E1000"),INDIRECT("'"&amp;AE$5&amp;"'!C6:C1000"),$AA67,INDIRECT("'"&amp;AE$5&amp;"'!F6:F1000"),"件"))</f>
        <v>0</v>
      </c>
      <c r="BD67">
        <f>IF(OR($AA67="",AF$5=""),0,SUMIFS(INDIRECT("'"&amp;AF$5&amp;"'!E6:E1000"),INDIRECT("'"&amp;AF$5&amp;"'!C6:C1000"),$AA67,INDIRECT("'"&amp;AF$5&amp;"'!F6:F1000"),"箱")+SUMIFS(INDIRECT("'"&amp;AF$5&amp;"'!E6:E1000"),INDIRECT("'"&amp;AF$5&amp;"'!C6:C1000"),$AA67,INDIRECT("'"&amp;AF$5&amp;"'!F6:F1000"),"件"))</f>
        <v>0</v>
      </c>
      <c r="BE67">
        <f>IF(OR($AA67="",AG$5=""),0,SUMIFS(INDIRECT("'"&amp;AG$5&amp;"'!E6:E1000"),INDIRECT("'"&amp;AG$5&amp;"'!C6:C1000"),$AA67,INDIRECT("'"&amp;AG$5&amp;"'!F6:F1000"),"箱")+SUMIFS(INDIRECT("'"&amp;AG$5&amp;"'!E6:E1000"),INDIRECT("'"&amp;AG$5&amp;"'!C6:C1000"),$AA67,INDIRECT("'"&amp;AG$5&amp;"'!F6:F1000"),"件"))</f>
        <v>0</v>
      </c>
      <c r="BF67">
        <f>IF(OR($AA67="",AH$5=""),0,SUMIFS(INDIRECT("'"&amp;AH$5&amp;"'!E6:E1000"),INDIRECT("'"&amp;AH$5&amp;"'!C6:C1000"),$AA67,INDIRECT("'"&amp;AH$5&amp;"'!F6:F1000"),"箱")+SUMIFS(INDIRECT("'"&amp;AH$5&amp;"'!E6:E1000"),INDIRECT("'"&amp;AH$5&amp;"'!C6:C1000"),$AA67,INDIRECT("'"&amp;AH$5&amp;"'!F6:F1000"),"件"))</f>
        <v>0</v>
      </c>
      <c r="BG67">
        <f>IF(OR($AA67="",AI$5=""),0,SUMIFS(INDIRECT("'"&amp;AI$5&amp;"'!E6:E1000"),INDIRECT("'"&amp;AI$5&amp;"'!C6:C1000"),$AA67,INDIRECT("'"&amp;AI$5&amp;"'!F6:F1000"),"箱")+SUMIFS(INDIRECT("'"&amp;AI$5&amp;"'!E6:E1000"),INDIRECT("'"&amp;AI$5&amp;"'!C6:C1000"),$AA67,INDIRECT("'"&amp;AI$5&amp;"'!F6:F1000"),"件"))</f>
        <v>0</v>
      </c>
      <c r="BH67">
        <f>IF(OR($AA67="",AJ$5=""),0,SUMIFS(INDIRECT("'"&amp;AJ$5&amp;"'!E6:E1000"),INDIRECT("'"&amp;AJ$5&amp;"'!C6:C1000"),$AA67,INDIRECT("'"&amp;AJ$5&amp;"'!F6:F1000"),"箱")+SUMIFS(INDIRECT("'"&amp;AJ$5&amp;"'!E6:E1000"),INDIRECT("'"&amp;AJ$5&amp;"'!C6:C1000"),$AA67,INDIRECT("'"&amp;AJ$5&amp;"'!F6:F1000"),"件"))</f>
        <v>0</v>
      </c>
      <c r="BI67">
        <f>IF(OR($AA67="",AK$5=""),0,SUMIFS(INDIRECT("'"&amp;AK$5&amp;"'!E6:E1000"),INDIRECT("'"&amp;AK$5&amp;"'!C6:C1000"),$AA67,INDIRECT("'"&amp;AK$5&amp;"'!F6:F1000"),"箱")+SUMIFS(INDIRECT("'"&amp;AK$5&amp;"'!E6:E1000"),INDIRECT("'"&amp;AK$5&amp;"'!C6:C1000"),$AA67,INDIRECT("'"&amp;AK$5&amp;"'!F6:F1000"),"件"))</f>
        <v>0</v>
      </c>
      <c r="BJ67">
        <f>IF(OR($AA67="",AL$5=""),0,SUMIFS(INDIRECT("'"&amp;AL$5&amp;"'!E6:E1000"),INDIRECT("'"&amp;AL$5&amp;"'!C6:C1000"),$AA67,INDIRECT("'"&amp;AL$5&amp;"'!F6:F1000"),"箱")+SUMIFS(INDIRECT("'"&amp;AL$5&amp;"'!E6:E1000"),INDIRECT("'"&amp;AL$5&amp;"'!C6:C1000"),$AA67,INDIRECT("'"&amp;AL$5&amp;"'!F6:F1000"),"件"))</f>
        <v>0</v>
      </c>
      <c r="BK67">
        <f>IF(OR($AA67="",AM$5=""),0,SUMIFS(INDIRECT("'"&amp;AM$5&amp;"'!E6:E1000"),INDIRECT("'"&amp;AM$5&amp;"'!C6:C1000"),$AA67,INDIRECT("'"&amp;AM$5&amp;"'!F6:F1000"),"箱")+SUMIFS(INDIRECT("'"&amp;AM$5&amp;"'!E6:E1000"),INDIRECT("'"&amp;AM$5&amp;"'!C6:C1000"),$AA67,INDIRECT("'"&amp;AM$5&amp;"'!F6:F1000"),"件"))</f>
        <v>0</v>
      </c>
      <c r="BL67">
        <f>IF(OR($AA67="",AN$5=""),0,SUMIFS(INDIRECT("'"&amp;AN$5&amp;"'!E6:E1000"),INDIRECT("'"&amp;AN$5&amp;"'!C6:C1000"),$AA67,INDIRECT("'"&amp;AN$5&amp;"'!F6:F1000"),"箱")+SUMIFS(INDIRECT("'"&amp;AN$5&amp;"'!E6:E1000"),INDIRECT("'"&amp;AN$5&amp;"'!C6:C1000"),$AA67,INDIRECT("'"&amp;AN$5&amp;"'!F6:F1000"),"件"))</f>
        <v>0</v>
      </c>
      <c r="BM67">
        <f>(AO67-BA67)/$AB67+BA67</f>
        <v>0</v>
      </c>
      <c r="BN67">
        <f>(AP67-BB67)/$AB67+BB67</f>
        <v>0</v>
      </c>
      <c r="BO67">
        <f>(AQ67-BC67)/$AB67+BC67</f>
        <v>0</v>
      </c>
      <c r="BP67">
        <f>(AR67-BD67)/$AB67+BD67</f>
        <v>0</v>
      </c>
      <c r="BQ67">
        <f>(AS67-BE67)/$AB67+BE67</f>
        <v>0</v>
      </c>
      <c r="BR67">
        <f>(AT67-BF67)/$AB67+BF67</f>
        <v>0</v>
      </c>
      <c r="BS67">
        <f>(AU67-BG67)/$AB67+BG67</f>
        <v>0</v>
      </c>
      <c r="BT67">
        <f>(AV67-BH67)/$AB67+BH67</f>
        <v>0</v>
      </c>
      <c r="BU67">
        <f>(AW67-BI67)/$AB67+BI67</f>
        <v>0</v>
      </c>
      <c r="BV67">
        <f>(AX67-BJ67)/$AB67+BJ67</f>
        <v>0</v>
      </c>
      <c r="BW67">
        <f>(AY67-BK67)/$AB67+BK67</f>
        <v>0</v>
      </c>
      <c r="BX67">
        <f>(AZ67-BL67)/$AB67+BL67</f>
        <v>0</v>
      </c>
      <c r="BY67">
        <f>SUMPRODUCT((($AC$4:$AN$4=报损汇总一览!$A$3)+(报损汇总一览!$A$3="全年"))*AC67:AN67)</f>
        <v>0</v>
      </c>
      <c r="BZ67">
        <f>IF(BY67&gt;0,BY67+(1000-ROW())/10000000,"")</f>
      </c>
      <c r="CA67">
        <f>SUMPRODUCT((($AC$4:$AN$4=报损汇总一览!$A$3)+(报损汇总一览!$A$3="全年"))*AO67:AZ67)</f>
        <v>0</v>
      </c>
    </row>
    <row r="68">
      <c r="A68">
        <f>IF(OR(存条明细!C68="",存条明细!D68=""),"",IF(COUNTIFS(存条明细!$C$4:C68,存条明细!C68,存条明细!$D$4:D68,存条明细!D68)&gt;1,"",IFERROR(MATCH(存条明细!C68,总览汇总!$B$5:$B$304,0),900)*10000000+IFERROR(MATCH(存条明细!D68,基础资料!$E$5:$E$104,0),900)*10000+ROW()))</f>
        <v>160230068</v>
      </c>
      <c r="B68">
        <f>IFERROR(MATCH(SMALL($A$4:$A$4003,65),$A$4:$A$4003,0),"")</f>
        <v>45</v>
      </c>
      <c r="D68">
        <f>IF(AND(商品库存!B68&lt;&gt;"",商品库存!B68=客户查询!$B$4),COUNTIF(商品库存!$B$4:B68,客户查询!$B$4),"")</f>
      </c>
      <c r="E68">
        <f>IF(AND(商品库存!B68&lt;&gt;"",商品库存!B68=客户对账单!$B$4),COUNTIF(商品库存!$B$4:B68,客户对账单!$B$4),"")</f>
      </c>
      <c r="F68">
        <f>IF(AND(出库明细!C68&lt;&gt;"",出库明细!C68=客户对账单!$B$4,ISNUMBER(出库明细!B68),出库明细!B68&gt;=客户对账单!$G$4,出库明细!B68&lt;=客户对账单!$I$4),出库明细!B68+ROW()/100000,"")</f>
      </c>
      <c r="H68">
        <f>IF(AND(采购进货!C68&lt;&gt;"",采购进货!C68=供应商对账单!$B$4,ISNUMBER(采购进货!B68),采购进货!B68&gt;=供应商对账单!$G$4,采购进货!B68&lt;=供应商对账单!$I$4),采购进货!B68+ROW()/100000,"")</f>
      </c>
      <c r="J68">
        <f>IF(总览汇总!$B68="","",N(总览汇总!$K68)+SUMIFS(出库明细!$G$4:$G$3003,出库明细!$C$4:$C$3003,总览汇总!$B68,出库明细!$B$4:$B$3003,"&gt;="&amp;年初日,出库明细!$B$4:$B$3003,"&lt;="&amp;资产负债表!$D$3)-SUMIFS(资金台帐!$S$7:$S$3006,资金台帐!$J$7:$J$3006,总览汇总!$B68,资金台帐!$P$7:$P$3006,"应收",资金台帐!$B$7:$B$3006,"&gt;="&amp;年初日,资金台帐!$B$7:$B$3006,"&lt;="&amp;资产负债表!$D$3))</f>
        <v>-2665</v>
      </c>
      <c r="N68">
        <f>IF(AND(ISNUMBER(出库明细!G68),ISNUMBER(出库明细!E68),ISNUMBER(出库明细!F68)),IF(ABS(出库明细!G68-出库明细!E68*出库明细!F68)&gt;0.005,1,0),0)</f>
        <v>0</v>
      </c>
      <c r="O68">
        <f>IF(AND(ISNUMBER(存条明细!G68),ISNUMBER(存条明细!E68),ISNUMBER(存条明细!F68)),IF(ABS(存条明细!G68-存条明细!E68*存条明细!F68)&gt;0.005,1,0),0)</f>
        <v>0</v>
      </c>
      <c r="AA68">
        <f>IF(基础资料!G67="","",基础资料!G67&amp;"")</f>
      </c>
      <c r="AB68">
        <f>IF(N(基础资料!I67)&lt;=0,1,基础资料!I67)</f>
        <v>1</v>
      </c>
      <c r="AC68">
        <f>IF(OR($AA68="",AC$5=""),0,SUMIF(INDIRECT("'"&amp;AC$5&amp;"'!C6:C1000"),$AA68,INDIRECT("'"&amp;AC$5&amp;"'!H6:H1000")))</f>
        <v>0</v>
      </c>
      <c r="AD68">
        <f>IF(OR($AA68="",AD$5=""),0,SUMIF(INDIRECT("'"&amp;AD$5&amp;"'!C6:C1000"),$AA68,INDIRECT("'"&amp;AD$5&amp;"'!H6:H1000")))</f>
        <v>0</v>
      </c>
      <c r="AE68">
        <f>IF(OR($AA68="",AE$5=""),0,SUMIF(INDIRECT("'"&amp;AE$5&amp;"'!C6:C1000"),$AA68,INDIRECT("'"&amp;AE$5&amp;"'!H6:H1000")))</f>
        <v>0</v>
      </c>
      <c r="AF68">
        <f>IF(OR($AA68="",AF$5=""),0,SUMIF(INDIRECT("'"&amp;AF$5&amp;"'!C6:C1000"),$AA68,INDIRECT("'"&amp;AF$5&amp;"'!H6:H1000")))</f>
        <v>0</v>
      </c>
      <c r="AG68">
        <f>IF(OR($AA68="",AG$5=""),0,SUMIF(INDIRECT("'"&amp;AG$5&amp;"'!C6:C1000"),$AA68,INDIRECT("'"&amp;AG$5&amp;"'!H6:H1000")))</f>
        <v>0</v>
      </c>
      <c r="AH68">
        <f>IF(OR($AA68="",AH$5=""),0,SUMIF(INDIRECT("'"&amp;AH$5&amp;"'!C6:C1000"),$AA68,INDIRECT("'"&amp;AH$5&amp;"'!H6:H1000")))</f>
        <v>0</v>
      </c>
      <c r="AI68">
        <f>IF(OR($AA68="",AI$5=""),0,SUMIF(INDIRECT("'"&amp;AI$5&amp;"'!C6:C1000"),$AA68,INDIRECT("'"&amp;AI$5&amp;"'!H6:H1000")))</f>
        <v>0</v>
      </c>
      <c r="AJ68">
        <f>IF(OR($AA68="",AJ$5=""),0,SUMIF(INDIRECT("'"&amp;AJ$5&amp;"'!C6:C1000"),$AA68,INDIRECT("'"&amp;AJ$5&amp;"'!H6:H1000")))</f>
        <v>0</v>
      </c>
      <c r="AK68">
        <f>IF(OR($AA68="",AK$5=""),0,SUMIF(INDIRECT("'"&amp;AK$5&amp;"'!C6:C1000"),$AA68,INDIRECT("'"&amp;AK$5&amp;"'!H6:H1000")))</f>
        <v>0</v>
      </c>
      <c r="AL68">
        <f>IF(OR($AA68="",AL$5=""),0,SUMIF(INDIRECT("'"&amp;AL$5&amp;"'!C6:C1000"),$AA68,INDIRECT("'"&amp;AL$5&amp;"'!H6:H1000")))</f>
        <v>0</v>
      </c>
      <c r="AM68">
        <f>IF(OR($AA68="",AM$5=""),0,SUMIF(INDIRECT("'"&amp;AM$5&amp;"'!C6:C1000"),$AA68,INDIRECT("'"&amp;AM$5&amp;"'!H6:H1000")))</f>
        <v>0</v>
      </c>
      <c r="AN68">
        <f>IF(OR($AA68="",AN$5=""),0,SUMIF(INDIRECT("'"&amp;AN$5&amp;"'!C6:C1000"),$AA68,INDIRECT("'"&amp;AN$5&amp;"'!H6:H1000")))</f>
        <v>0</v>
      </c>
      <c r="AO68">
        <f>IF(OR($AA68="",AC$5=""),0,SUMIF(INDIRECT("'"&amp;AC$5&amp;"'!C6:C1000"),$AA68,INDIRECT("'"&amp;AC$5&amp;"'!E6:E1000")))</f>
        <v>0</v>
      </c>
      <c r="AP68">
        <f>IF(OR($AA68="",AD$5=""),0,SUMIF(INDIRECT("'"&amp;AD$5&amp;"'!C6:C1000"),$AA68,INDIRECT("'"&amp;AD$5&amp;"'!E6:E1000")))</f>
        <v>0</v>
      </c>
      <c r="AQ68">
        <f>IF(OR($AA68="",AE$5=""),0,SUMIF(INDIRECT("'"&amp;AE$5&amp;"'!C6:C1000"),$AA68,INDIRECT("'"&amp;AE$5&amp;"'!E6:E1000")))</f>
        <v>0</v>
      </c>
      <c r="AR68">
        <f>IF(OR($AA68="",AF$5=""),0,SUMIF(INDIRECT("'"&amp;AF$5&amp;"'!C6:C1000"),$AA68,INDIRECT("'"&amp;AF$5&amp;"'!E6:E1000")))</f>
        <v>0</v>
      </c>
      <c r="AS68">
        <f>IF(OR($AA68="",AG$5=""),0,SUMIF(INDIRECT("'"&amp;AG$5&amp;"'!C6:C1000"),$AA68,INDIRECT("'"&amp;AG$5&amp;"'!E6:E1000")))</f>
        <v>0</v>
      </c>
      <c r="AT68">
        <f>IF(OR($AA68="",AH$5=""),0,SUMIF(INDIRECT("'"&amp;AH$5&amp;"'!C6:C1000"),$AA68,INDIRECT("'"&amp;AH$5&amp;"'!E6:E1000")))</f>
        <v>0</v>
      </c>
      <c r="AU68">
        <f>IF(OR($AA68="",AI$5=""),0,SUMIF(INDIRECT("'"&amp;AI$5&amp;"'!C6:C1000"),$AA68,INDIRECT("'"&amp;AI$5&amp;"'!E6:E1000")))</f>
        <v>0</v>
      </c>
      <c r="AV68">
        <f>IF(OR($AA68="",AJ$5=""),0,SUMIF(INDIRECT("'"&amp;AJ$5&amp;"'!C6:C1000"),$AA68,INDIRECT("'"&amp;AJ$5&amp;"'!E6:E1000")))</f>
        <v>0</v>
      </c>
      <c r="AW68">
        <f>IF(OR($AA68="",AK$5=""),0,SUMIF(INDIRECT("'"&amp;AK$5&amp;"'!C6:C1000"),$AA68,INDIRECT("'"&amp;AK$5&amp;"'!E6:E1000")))</f>
        <v>0</v>
      </c>
      <c r="AX68">
        <f>IF(OR($AA68="",AL$5=""),0,SUMIF(INDIRECT("'"&amp;AL$5&amp;"'!C6:C1000"),$AA68,INDIRECT("'"&amp;AL$5&amp;"'!E6:E1000")))</f>
        <v>0</v>
      </c>
      <c r="AY68">
        <f>IF(OR($AA68="",AM$5=""),0,SUMIF(INDIRECT("'"&amp;AM$5&amp;"'!C6:C1000"),$AA68,INDIRECT("'"&amp;AM$5&amp;"'!E6:E1000")))</f>
        <v>0</v>
      </c>
      <c r="AZ68">
        <f>IF(OR($AA68="",AN$5=""),0,SUMIF(INDIRECT("'"&amp;AN$5&amp;"'!C6:C1000"),$AA68,INDIRECT("'"&amp;AN$5&amp;"'!E6:E1000")))</f>
        <v>0</v>
      </c>
      <c r="BA68">
        <f>IF(OR($AA68="",AC$5=""),0,SUMIFS(INDIRECT("'"&amp;AC$5&amp;"'!E6:E1000"),INDIRECT("'"&amp;AC$5&amp;"'!C6:C1000"),$AA68,INDIRECT("'"&amp;AC$5&amp;"'!F6:F1000"),"箱")+SUMIFS(INDIRECT("'"&amp;AC$5&amp;"'!E6:E1000"),INDIRECT("'"&amp;AC$5&amp;"'!C6:C1000"),$AA68,INDIRECT("'"&amp;AC$5&amp;"'!F6:F1000"),"件"))</f>
        <v>0</v>
      </c>
      <c r="BB68">
        <f>IF(OR($AA68="",AD$5=""),0,SUMIFS(INDIRECT("'"&amp;AD$5&amp;"'!E6:E1000"),INDIRECT("'"&amp;AD$5&amp;"'!C6:C1000"),$AA68,INDIRECT("'"&amp;AD$5&amp;"'!F6:F1000"),"箱")+SUMIFS(INDIRECT("'"&amp;AD$5&amp;"'!E6:E1000"),INDIRECT("'"&amp;AD$5&amp;"'!C6:C1000"),$AA68,INDIRECT("'"&amp;AD$5&amp;"'!F6:F1000"),"件"))</f>
        <v>0</v>
      </c>
      <c r="BC68">
        <f>IF(OR($AA68="",AE$5=""),0,SUMIFS(INDIRECT("'"&amp;AE$5&amp;"'!E6:E1000"),INDIRECT("'"&amp;AE$5&amp;"'!C6:C1000"),$AA68,INDIRECT("'"&amp;AE$5&amp;"'!F6:F1000"),"箱")+SUMIFS(INDIRECT("'"&amp;AE$5&amp;"'!E6:E1000"),INDIRECT("'"&amp;AE$5&amp;"'!C6:C1000"),$AA68,INDIRECT("'"&amp;AE$5&amp;"'!F6:F1000"),"件"))</f>
        <v>0</v>
      </c>
      <c r="BD68">
        <f>IF(OR($AA68="",AF$5=""),0,SUMIFS(INDIRECT("'"&amp;AF$5&amp;"'!E6:E1000"),INDIRECT("'"&amp;AF$5&amp;"'!C6:C1000"),$AA68,INDIRECT("'"&amp;AF$5&amp;"'!F6:F1000"),"箱")+SUMIFS(INDIRECT("'"&amp;AF$5&amp;"'!E6:E1000"),INDIRECT("'"&amp;AF$5&amp;"'!C6:C1000"),$AA68,INDIRECT("'"&amp;AF$5&amp;"'!F6:F1000"),"件"))</f>
        <v>0</v>
      </c>
      <c r="BE68">
        <f>IF(OR($AA68="",AG$5=""),0,SUMIFS(INDIRECT("'"&amp;AG$5&amp;"'!E6:E1000"),INDIRECT("'"&amp;AG$5&amp;"'!C6:C1000"),$AA68,INDIRECT("'"&amp;AG$5&amp;"'!F6:F1000"),"箱")+SUMIFS(INDIRECT("'"&amp;AG$5&amp;"'!E6:E1000"),INDIRECT("'"&amp;AG$5&amp;"'!C6:C1000"),$AA68,INDIRECT("'"&amp;AG$5&amp;"'!F6:F1000"),"件"))</f>
        <v>0</v>
      </c>
      <c r="BF68">
        <f>IF(OR($AA68="",AH$5=""),0,SUMIFS(INDIRECT("'"&amp;AH$5&amp;"'!E6:E1000"),INDIRECT("'"&amp;AH$5&amp;"'!C6:C1000"),$AA68,INDIRECT("'"&amp;AH$5&amp;"'!F6:F1000"),"箱")+SUMIFS(INDIRECT("'"&amp;AH$5&amp;"'!E6:E1000"),INDIRECT("'"&amp;AH$5&amp;"'!C6:C1000"),$AA68,INDIRECT("'"&amp;AH$5&amp;"'!F6:F1000"),"件"))</f>
        <v>0</v>
      </c>
      <c r="BG68">
        <f>IF(OR($AA68="",AI$5=""),0,SUMIFS(INDIRECT("'"&amp;AI$5&amp;"'!E6:E1000"),INDIRECT("'"&amp;AI$5&amp;"'!C6:C1000"),$AA68,INDIRECT("'"&amp;AI$5&amp;"'!F6:F1000"),"箱")+SUMIFS(INDIRECT("'"&amp;AI$5&amp;"'!E6:E1000"),INDIRECT("'"&amp;AI$5&amp;"'!C6:C1000"),$AA68,INDIRECT("'"&amp;AI$5&amp;"'!F6:F1000"),"件"))</f>
        <v>0</v>
      </c>
      <c r="BH68">
        <f>IF(OR($AA68="",AJ$5=""),0,SUMIFS(INDIRECT("'"&amp;AJ$5&amp;"'!E6:E1000"),INDIRECT("'"&amp;AJ$5&amp;"'!C6:C1000"),$AA68,INDIRECT("'"&amp;AJ$5&amp;"'!F6:F1000"),"箱")+SUMIFS(INDIRECT("'"&amp;AJ$5&amp;"'!E6:E1000"),INDIRECT("'"&amp;AJ$5&amp;"'!C6:C1000"),$AA68,INDIRECT("'"&amp;AJ$5&amp;"'!F6:F1000"),"件"))</f>
        <v>0</v>
      </c>
      <c r="BI68">
        <f>IF(OR($AA68="",AK$5=""),0,SUMIFS(INDIRECT("'"&amp;AK$5&amp;"'!E6:E1000"),INDIRECT("'"&amp;AK$5&amp;"'!C6:C1000"),$AA68,INDIRECT("'"&amp;AK$5&amp;"'!F6:F1000"),"箱")+SUMIFS(INDIRECT("'"&amp;AK$5&amp;"'!E6:E1000"),INDIRECT("'"&amp;AK$5&amp;"'!C6:C1000"),$AA68,INDIRECT("'"&amp;AK$5&amp;"'!F6:F1000"),"件"))</f>
        <v>0</v>
      </c>
      <c r="BJ68">
        <f>IF(OR($AA68="",AL$5=""),0,SUMIFS(INDIRECT("'"&amp;AL$5&amp;"'!E6:E1000"),INDIRECT("'"&amp;AL$5&amp;"'!C6:C1000"),$AA68,INDIRECT("'"&amp;AL$5&amp;"'!F6:F1000"),"箱")+SUMIFS(INDIRECT("'"&amp;AL$5&amp;"'!E6:E1000"),INDIRECT("'"&amp;AL$5&amp;"'!C6:C1000"),$AA68,INDIRECT("'"&amp;AL$5&amp;"'!F6:F1000"),"件"))</f>
        <v>0</v>
      </c>
      <c r="BK68">
        <f>IF(OR($AA68="",AM$5=""),0,SUMIFS(INDIRECT("'"&amp;AM$5&amp;"'!E6:E1000"),INDIRECT("'"&amp;AM$5&amp;"'!C6:C1000"),$AA68,INDIRECT("'"&amp;AM$5&amp;"'!F6:F1000"),"箱")+SUMIFS(INDIRECT("'"&amp;AM$5&amp;"'!E6:E1000"),INDIRECT("'"&amp;AM$5&amp;"'!C6:C1000"),$AA68,INDIRECT("'"&amp;AM$5&amp;"'!F6:F1000"),"件"))</f>
        <v>0</v>
      </c>
      <c r="BL68">
        <f>IF(OR($AA68="",AN$5=""),0,SUMIFS(INDIRECT("'"&amp;AN$5&amp;"'!E6:E1000"),INDIRECT("'"&amp;AN$5&amp;"'!C6:C1000"),$AA68,INDIRECT("'"&amp;AN$5&amp;"'!F6:F1000"),"箱")+SUMIFS(INDIRECT("'"&amp;AN$5&amp;"'!E6:E1000"),INDIRECT("'"&amp;AN$5&amp;"'!C6:C1000"),$AA68,INDIRECT("'"&amp;AN$5&amp;"'!F6:F1000"),"件"))</f>
        <v>0</v>
      </c>
      <c r="BM68">
        <f>(AO68-BA68)/$AB68+BA68</f>
        <v>0</v>
      </c>
      <c r="BN68">
        <f>(AP68-BB68)/$AB68+BB68</f>
        <v>0</v>
      </c>
      <c r="BO68">
        <f>(AQ68-BC68)/$AB68+BC68</f>
        <v>0</v>
      </c>
      <c r="BP68">
        <f>(AR68-BD68)/$AB68+BD68</f>
        <v>0</v>
      </c>
      <c r="BQ68">
        <f>(AS68-BE68)/$AB68+BE68</f>
        <v>0</v>
      </c>
      <c r="BR68">
        <f>(AT68-BF68)/$AB68+BF68</f>
        <v>0</v>
      </c>
      <c r="BS68">
        <f>(AU68-BG68)/$AB68+BG68</f>
        <v>0</v>
      </c>
      <c r="BT68">
        <f>(AV68-BH68)/$AB68+BH68</f>
        <v>0</v>
      </c>
      <c r="BU68">
        <f>(AW68-BI68)/$AB68+BI68</f>
        <v>0</v>
      </c>
      <c r="BV68">
        <f>(AX68-BJ68)/$AB68+BJ68</f>
        <v>0</v>
      </c>
      <c r="BW68">
        <f>(AY68-BK68)/$AB68+BK68</f>
        <v>0</v>
      </c>
      <c r="BX68">
        <f>(AZ68-BL68)/$AB68+BL68</f>
        <v>0</v>
      </c>
      <c r="BY68">
        <f>SUMPRODUCT((($AC$4:$AN$4=报损汇总一览!$A$3)+(报损汇总一览!$A$3="全年"))*AC68:AN68)</f>
        <v>0</v>
      </c>
      <c r="BZ68">
        <f>IF(BY68&gt;0,BY68+(1000-ROW())/10000000,"")</f>
      </c>
      <c r="CA68">
        <f>SUMPRODUCT((($AC$4:$AN$4=报损汇总一览!$A$3)+(报损汇总一览!$A$3="全年"))*AO68:AZ68)</f>
        <v>0</v>
      </c>
    </row>
    <row r="69">
      <c r="A69">
        <f>IF(OR(存条明细!C69="",存条明细!D69=""),"",IF(COUNTIFS(存条明细!$C$4:C69,存条明细!C69,存条明细!$D$4:D69,存条明细!D69)&gt;1,"",IFERROR(MATCH(存条明细!C69,总览汇总!$B$5:$B$304,0),900)*10000000+IFERROR(MATCH(存条明细!D69,基础资料!$E$5:$E$104,0),900)*10000+ROW()))</f>
        <v>170010069</v>
      </c>
      <c r="B69">
        <f>IFERROR(MATCH(SMALL($A$4:$A$4003,66),$A$4:$A$4003,0),"")</f>
        <v>46</v>
      </c>
      <c r="D69">
        <f>IF(AND(商品库存!B69&lt;&gt;"",商品库存!B69=客户查询!$B$4),COUNTIF(商品库存!$B$4:B69,客户查询!$B$4),"")</f>
      </c>
      <c r="E69">
        <f>IF(AND(商品库存!B69&lt;&gt;"",商品库存!B69=客户对账单!$B$4),COUNTIF(商品库存!$B$4:B69,客户对账单!$B$4),"")</f>
      </c>
      <c r="F69">
        <f>IF(AND(出库明细!C69&lt;&gt;"",出库明细!C69=客户对账单!$B$4,ISNUMBER(出库明细!B69),出库明细!B69&gt;=客户对账单!$G$4,出库明细!B69&lt;=客户对账单!$I$4),出库明细!B69+ROW()/100000,"")</f>
      </c>
      <c r="H69">
        <f>IF(AND(采购进货!C69&lt;&gt;"",采购进货!C69=供应商对账单!$B$4,ISNUMBER(采购进货!B69),采购进货!B69&gt;=供应商对账单!$G$4,采购进货!B69&lt;=供应商对账单!$I$4),采购进货!B69+ROW()/100000,"")</f>
      </c>
      <c r="J69">
        <f>IF(总览汇总!$B69="","",N(总览汇总!$K69)+SUMIFS(出库明细!$G$4:$G$3003,出库明细!$C$4:$C$3003,总览汇总!$B69,出库明细!$B$4:$B$3003,"&gt;="&amp;年初日,出库明细!$B$4:$B$3003,"&lt;="&amp;资产负债表!$D$3)-SUMIFS(资金台帐!$S$7:$S$3006,资金台帐!$J$7:$J$3006,总览汇总!$B69,资金台帐!$P$7:$P$3006,"应收",资金台帐!$B$7:$B$3006,"&gt;="&amp;年初日,资金台帐!$B$7:$B$3006,"&lt;="&amp;资产负债表!$D$3))</f>
        <v>0</v>
      </c>
      <c r="N69">
        <f>IF(AND(ISNUMBER(出库明细!G69),ISNUMBER(出库明细!E69),ISNUMBER(出库明细!F69)),IF(ABS(出库明细!G69-出库明细!E69*出库明细!F69)&gt;0.005,1,0),0)</f>
        <v>0</v>
      </c>
      <c r="O69">
        <f>IF(AND(ISNUMBER(存条明细!G69),ISNUMBER(存条明细!E69),ISNUMBER(存条明细!F69)),IF(ABS(存条明细!G69-存条明细!E69*存条明细!F69)&gt;0.005,1,0),0)</f>
        <v>0</v>
      </c>
      <c r="AA69">
        <f>IF(基础资料!G68="","",基础资料!G68&amp;"")</f>
      </c>
      <c r="AB69">
        <f>IF(N(基础资料!I68)&lt;=0,1,基础资料!I68)</f>
        <v>1</v>
      </c>
      <c r="AC69">
        <f>IF(OR($AA69="",AC$5=""),0,SUMIF(INDIRECT("'"&amp;AC$5&amp;"'!C6:C1000"),$AA69,INDIRECT("'"&amp;AC$5&amp;"'!H6:H1000")))</f>
        <v>0</v>
      </c>
      <c r="AD69">
        <f>IF(OR($AA69="",AD$5=""),0,SUMIF(INDIRECT("'"&amp;AD$5&amp;"'!C6:C1000"),$AA69,INDIRECT("'"&amp;AD$5&amp;"'!H6:H1000")))</f>
        <v>0</v>
      </c>
      <c r="AE69">
        <f>IF(OR($AA69="",AE$5=""),0,SUMIF(INDIRECT("'"&amp;AE$5&amp;"'!C6:C1000"),$AA69,INDIRECT("'"&amp;AE$5&amp;"'!H6:H1000")))</f>
        <v>0</v>
      </c>
      <c r="AF69">
        <f>IF(OR($AA69="",AF$5=""),0,SUMIF(INDIRECT("'"&amp;AF$5&amp;"'!C6:C1000"),$AA69,INDIRECT("'"&amp;AF$5&amp;"'!H6:H1000")))</f>
        <v>0</v>
      </c>
      <c r="AG69">
        <f>IF(OR($AA69="",AG$5=""),0,SUMIF(INDIRECT("'"&amp;AG$5&amp;"'!C6:C1000"),$AA69,INDIRECT("'"&amp;AG$5&amp;"'!H6:H1000")))</f>
        <v>0</v>
      </c>
      <c r="AH69">
        <f>IF(OR($AA69="",AH$5=""),0,SUMIF(INDIRECT("'"&amp;AH$5&amp;"'!C6:C1000"),$AA69,INDIRECT("'"&amp;AH$5&amp;"'!H6:H1000")))</f>
        <v>0</v>
      </c>
      <c r="AI69">
        <f>IF(OR($AA69="",AI$5=""),0,SUMIF(INDIRECT("'"&amp;AI$5&amp;"'!C6:C1000"),$AA69,INDIRECT("'"&amp;AI$5&amp;"'!H6:H1000")))</f>
        <v>0</v>
      </c>
      <c r="AJ69">
        <f>IF(OR($AA69="",AJ$5=""),0,SUMIF(INDIRECT("'"&amp;AJ$5&amp;"'!C6:C1000"),$AA69,INDIRECT("'"&amp;AJ$5&amp;"'!H6:H1000")))</f>
        <v>0</v>
      </c>
      <c r="AK69">
        <f>IF(OR($AA69="",AK$5=""),0,SUMIF(INDIRECT("'"&amp;AK$5&amp;"'!C6:C1000"),$AA69,INDIRECT("'"&amp;AK$5&amp;"'!H6:H1000")))</f>
        <v>0</v>
      </c>
      <c r="AL69">
        <f>IF(OR($AA69="",AL$5=""),0,SUMIF(INDIRECT("'"&amp;AL$5&amp;"'!C6:C1000"),$AA69,INDIRECT("'"&amp;AL$5&amp;"'!H6:H1000")))</f>
        <v>0</v>
      </c>
      <c r="AM69">
        <f>IF(OR($AA69="",AM$5=""),0,SUMIF(INDIRECT("'"&amp;AM$5&amp;"'!C6:C1000"),$AA69,INDIRECT("'"&amp;AM$5&amp;"'!H6:H1000")))</f>
        <v>0</v>
      </c>
      <c r="AN69">
        <f>IF(OR($AA69="",AN$5=""),0,SUMIF(INDIRECT("'"&amp;AN$5&amp;"'!C6:C1000"),$AA69,INDIRECT("'"&amp;AN$5&amp;"'!H6:H1000")))</f>
        <v>0</v>
      </c>
      <c r="AO69">
        <f>IF(OR($AA69="",AC$5=""),0,SUMIF(INDIRECT("'"&amp;AC$5&amp;"'!C6:C1000"),$AA69,INDIRECT("'"&amp;AC$5&amp;"'!E6:E1000")))</f>
        <v>0</v>
      </c>
      <c r="AP69">
        <f>IF(OR($AA69="",AD$5=""),0,SUMIF(INDIRECT("'"&amp;AD$5&amp;"'!C6:C1000"),$AA69,INDIRECT("'"&amp;AD$5&amp;"'!E6:E1000")))</f>
        <v>0</v>
      </c>
      <c r="AQ69">
        <f>IF(OR($AA69="",AE$5=""),0,SUMIF(INDIRECT("'"&amp;AE$5&amp;"'!C6:C1000"),$AA69,INDIRECT("'"&amp;AE$5&amp;"'!E6:E1000")))</f>
        <v>0</v>
      </c>
      <c r="AR69">
        <f>IF(OR($AA69="",AF$5=""),0,SUMIF(INDIRECT("'"&amp;AF$5&amp;"'!C6:C1000"),$AA69,INDIRECT("'"&amp;AF$5&amp;"'!E6:E1000")))</f>
        <v>0</v>
      </c>
      <c r="AS69">
        <f>IF(OR($AA69="",AG$5=""),0,SUMIF(INDIRECT("'"&amp;AG$5&amp;"'!C6:C1000"),$AA69,INDIRECT("'"&amp;AG$5&amp;"'!E6:E1000")))</f>
        <v>0</v>
      </c>
      <c r="AT69">
        <f>IF(OR($AA69="",AH$5=""),0,SUMIF(INDIRECT("'"&amp;AH$5&amp;"'!C6:C1000"),$AA69,INDIRECT("'"&amp;AH$5&amp;"'!E6:E1000")))</f>
        <v>0</v>
      </c>
      <c r="AU69">
        <f>IF(OR($AA69="",AI$5=""),0,SUMIF(INDIRECT("'"&amp;AI$5&amp;"'!C6:C1000"),$AA69,INDIRECT("'"&amp;AI$5&amp;"'!E6:E1000")))</f>
        <v>0</v>
      </c>
      <c r="AV69">
        <f>IF(OR($AA69="",AJ$5=""),0,SUMIF(INDIRECT("'"&amp;AJ$5&amp;"'!C6:C1000"),$AA69,INDIRECT("'"&amp;AJ$5&amp;"'!E6:E1000")))</f>
        <v>0</v>
      </c>
      <c r="AW69">
        <f>IF(OR($AA69="",AK$5=""),0,SUMIF(INDIRECT("'"&amp;AK$5&amp;"'!C6:C1000"),$AA69,INDIRECT("'"&amp;AK$5&amp;"'!E6:E1000")))</f>
        <v>0</v>
      </c>
      <c r="AX69">
        <f>IF(OR($AA69="",AL$5=""),0,SUMIF(INDIRECT("'"&amp;AL$5&amp;"'!C6:C1000"),$AA69,INDIRECT("'"&amp;AL$5&amp;"'!E6:E1000")))</f>
        <v>0</v>
      </c>
      <c r="AY69">
        <f>IF(OR($AA69="",AM$5=""),0,SUMIF(INDIRECT("'"&amp;AM$5&amp;"'!C6:C1000"),$AA69,INDIRECT("'"&amp;AM$5&amp;"'!E6:E1000")))</f>
        <v>0</v>
      </c>
      <c r="AZ69">
        <f>IF(OR($AA69="",AN$5=""),0,SUMIF(INDIRECT("'"&amp;AN$5&amp;"'!C6:C1000"),$AA69,INDIRECT("'"&amp;AN$5&amp;"'!E6:E1000")))</f>
        <v>0</v>
      </c>
      <c r="BA69">
        <f>IF(OR($AA69="",AC$5=""),0,SUMIFS(INDIRECT("'"&amp;AC$5&amp;"'!E6:E1000"),INDIRECT("'"&amp;AC$5&amp;"'!C6:C1000"),$AA69,INDIRECT("'"&amp;AC$5&amp;"'!F6:F1000"),"箱")+SUMIFS(INDIRECT("'"&amp;AC$5&amp;"'!E6:E1000"),INDIRECT("'"&amp;AC$5&amp;"'!C6:C1000"),$AA69,INDIRECT("'"&amp;AC$5&amp;"'!F6:F1000"),"件"))</f>
        <v>0</v>
      </c>
      <c r="BB69">
        <f>IF(OR($AA69="",AD$5=""),0,SUMIFS(INDIRECT("'"&amp;AD$5&amp;"'!E6:E1000"),INDIRECT("'"&amp;AD$5&amp;"'!C6:C1000"),$AA69,INDIRECT("'"&amp;AD$5&amp;"'!F6:F1000"),"箱")+SUMIFS(INDIRECT("'"&amp;AD$5&amp;"'!E6:E1000"),INDIRECT("'"&amp;AD$5&amp;"'!C6:C1000"),$AA69,INDIRECT("'"&amp;AD$5&amp;"'!F6:F1000"),"件"))</f>
        <v>0</v>
      </c>
      <c r="BC69">
        <f>IF(OR($AA69="",AE$5=""),0,SUMIFS(INDIRECT("'"&amp;AE$5&amp;"'!E6:E1000"),INDIRECT("'"&amp;AE$5&amp;"'!C6:C1000"),$AA69,INDIRECT("'"&amp;AE$5&amp;"'!F6:F1000"),"箱")+SUMIFS(INDIRECT("'"&amp;AE$5&amp;"'!E6:E1000"),INDIRECT("'"&amp;AE$5&amp;"'!C6:C1000"),$AA69,INDIRECT("'"&amp;AE$5&amp;"'!F6:F1000"),"件"))</f>
        <v>0</v>
      </c>
      <c r="BD69">
        <f>IF(OR($AA69="",AF$5=""),0,SUMIFS(INDIRECT("'"&amp;AF$5&amp;"'!E6:E1000"),INDIRECT("'"&amp;AF$5&amp;"'!C6:C1000"),$AA69,INDIRECT("'"&amp;AF$5&amp;"'!F6:F1000"),"箱")+SUMIFS(INDIRECT("'"&amp;AF$5&amp;"'!E6:E1000"),INDIRECT("'"&amp;AF$5&amp;"'!C6:C1000"),$AA69,INDIRECT("'"&amp;AF$5&amp;"'!F6:F1000"),"件"))</f>
        <v>0</v>
      </c>
      <c r="BE69">
        <f>IF(OR($AA69="",AG$5=""),0,SUMIFS(INDIRECT("'"&amp;AG$5&amp;"'!E6:E1000"),INDIRECT("'"&amp;AG$5&amp;"'!C6:C1000"),$AA69,INDIRECT("'"&amp;AG$5&amp;"'!F6:F1000"),"箱")+SUMIFS(INDIRECT("'"&amp;AG$5&amp;"'!E6:E1000"),INDIRECT("'"&amp;AG$5&amp;"'!C6:C1000"),$AA69,INDIRECT("'"&amp;AG$5&amp;"'!F6:F1000"),"件"))</f>
        <v>0</v>
      </c>
      <c r="BF69">
        <f>IF(OR($AA69="",AH$5=""),0,SUMIFS(INDIRECT("'"&amp;AH$5&amp;"'!E6:E1000"),INDIRECT("'"&amp;AH$5&amp;"'!C6:C1000"),$AA69,INDIRECT("'"&amp;AH$5&amp;"'!F6:F1000"),"箱")+SUMIFS(INDIRECT("'"&amp;AH$5&amp;"'!E6:E1000"),INDIRECT("'"&amp;AH$5&amp;"'!C6:C1000"),$AA69,INDIRECT("'"&amp;AH$5&amp;"'!F6:F1000"),"件"))</f>
        <v>0</v>
      </c>
      <c r="BG69">
        <f>IF(OR($AA69="",AI$5=""),0,SUMIFS(INDIRECT("'"&amp;AI$5&amp;"'!E6:E1000"),INDIRECT("'"&amp;AI$5&amp;"'!C6:C1000"),$AA69,INDIRECT("'"&amp;AI$5&amp;"'!F6:F1000"),"箱")+SUMIFS(INDIRECT("'"&amp;AI$5&amp;"'!E6:E1000"),INDIRECT("'"&amp;AI$5&amp;"'!C6:C1000"),$AA69,INDIRECT("'"&amp;AI$5&amp;"'!F6:F1000"),"件"))</f>
        <v>0</v>
      </c>
      <c r="BH69">
        <f>IF(OR($AA69="",AJ$5=""),0,SUMIFS(INDIRECT("'"&amp;AJ$5&amp;"'!E6:E1000"),INDIRECT("'"&amp;AJ$5&amp;"'!C6:C1000"),$AA69,INDIRECT("'"&amp;AJ$5&amp;"'!F6:F1000"),"箱")+SUMIFS(INDIRECT("'"&amp;AJ$5&amp;"'!E6:E1000"),INDIRECT("'"&amp;AJ$5&amp;"'!C6:C1000"),$AA69,INDIRECT("'"&amp;AJ$5&amp;"'!F6:F1000"),"件"))</f>
        <v>0</v>
      </c>
      <c r="BI69">
        <f>IF(OR($AA69="",AK$5=""),0,SUMIFS(INDIRECT("'"&amp;AK$5&amp;"'!E6:E1000"),INDIRECT("'"&amp;AK$5&amp;"'!C6:C1000"),$AA69,INDIRECT("'"&amp;AK$5&amp;"'!F6:F1000"),"箱")+SUMIFS(INDIRECT("'"&amp;AK$5&amp;"'!E6:E1000"),INDIRECT("'"&amp;AK$5&amp;"'!C6:C1000"),$AA69,INDIRECT("'"&amp;AK$5&amp;"'!F6:F1000"),"件"))</f>
        <v>0</v>
      </c>
      <c r="BJ69">
        <f>IF(OR($AA69="",AL$5=""),0,SUMIFS(INDIRECT("'"&amp;AL$5&amp;"'!E6:E1000"),INDIRECT("'"&amp;AL$5&amp;"'!C6:C1000"),$AA69,INDIRECT("'"&amp;AL$5&amp;"'!F6:F1000"),"箱")+SUMIFS(INDIRECT("'"&amp;AL$5&amp;"'!E6:E1000"),INDIRECT("'"&amp;AL$5&amp;"'!C6:C1000"),$AA69,INDIRECT("'"&amp;AL$5&amp;"'!F6:F1000"),"件"))</f>
        <v>0</v>
      </c>
      <c r="BK69">
        <f>IF(OR($AA69="",AM$5=""),0,SUMIFS(INDIRECT("'"&amp;AM$5&amp;"'!E6:E1000"),INDIRECT("'"&amp;AM$5&amp;"'!C6:C1000"),$AA69,INDIRECT("'"&amp;AM$5&amp;"'!F6:F1000"),"箱")+SUMIFS(INDIRECT("'"&amp;AM$5&amp;"'!E6:E1000"),INDIRECT("'"&amp;AM$5&amp;"'!C6:C1000"),$AA69,INDIRECT("'"&amp;AM$5&amp;"'!F6:F1000"),"件"))</f>
        <v>0</v>
      </c>
      <c r="BL69">
        <f>IF(OR($AA69="",AN$5=""),0,SUMIFS(INDIRECT("'"&amp;AN$5&amp;"'!E6:E1000"),INDIRECT("'"&amp;AN$5&amp;"'!C6:C1000"),$AA69,INDIRECT("'"&amp;AN$5&amp;"'!F6:F1000"),"箱")+SUMIFS(INDIRECT("'"&amp;AN$5&amp;"'!E6:E1000"),INDIRECT("'"&amp;AN$5&amp;"'!C6:C1000"),$AA69,INDIRECT("'"&amp;AN$5&amp;"'!F6:F1000"),"件"))</f>
        <v>0</v>
      </c>
      <c r="BM69">
        <f>(AO69-BA69)/$AB69+BA69</f>
        <v>0</v>
      </c>
      <c r="BN69">
        <f>(AP69-BB69)/$AB69+BB69</f>
        <v>0</v>
      </c>
      <c r="BO69">
        <f>(AQ69-BC69)/$AB69+BC69</f>
        <v>0</v>
      </c>
      <c r="BP69">
        <f>(AR69-BD69)/$AB69+BD69</f>
        <v>0</v>
      </c>
      <c r="BQ69">
        <f>(AS69-BE69)/$AB69+BE69</f>
        <v>0</v>
      </c>
      <c r="BR69">
        <f>(AT69-BF69)/$AB69+BF69</f>
        <v>0</v>
      </c>
      <c r="BS69">
        <f>(AU69-BG69)/$AB69+BG69</f>
        <v>0</v>
      </c>
      <c r="BT69">
        <f>(AV69-BH69)/$AB69+BH69</f>
        <v>0</v>
      </c>
      <c r="BU69">
        <f>(AW69-BI69)/$AB69+BI69</f>
        <v>0</v>
      </c>
      <c r="BV69">
        <f>(AX69-BJ69)/$AB69+BJ69</f>
        <v>0</v>
      </c>
      <c r="BW69">
        <f>(AY69-BK69)/$AB69+BK69</f>
        <v>0</v>
      </c>
      <c r="BX69">
        <f>(AZ69-BL69)/$AB69+BL69</f>
        <v>0</v>
      </c>
      <c r="BY69">
        <f>SUMPRODUCT((($AC$4:$AN$4=报损汇总一览!$A$3)+(报损汇总一览!$A$3="全年"))*AC69:AN69)</f>
        <v>0</v>
      </c>
      <c r="BZ69">
        <f>IF(BY69&gt;0,BY69+(1000-ROW())/10000000,"")</f>
      </c>
      <c r="CA69">
        <f>SUMPRODUCT((($AC$4:$AN$4=报损汇总一览!$A$3)+(报损汇总一览!$A$3="全年"))*AO69:AZ69)</f>
        <v>0</v>
      </c>
    </row>
    <row r="70">
      <c r="A70">
        <f>IF(OR(存条明细!C70="",存条明细!D70=""),"",IF(COUNTIFS(存条明细!$C$4:C70,存条明细!C70,存条明细!$D$4:D70,存条明细!D70)&gt;1,"",IFERROR(MATCH(存条明细!C70,总览汇总!$B$5:$B$304,0),900)*10000000+IFERROR(MATCH(存条明细!D70,基础资料!$E$5:$E$104,0),900)*10000+ROW()))</f>
        <v>170080070</v>
      </c>
      <c r="B70">
        <f>IFERROR(MATCH(SMALL($A$4:$A$4003,67),$A$4:$A$4003,0),"")</f>
        <v>181</v>
      </c>
      <c r="D70">
        <f>IF(AND(商品库存!B70&lt;&gt;"",商品库存!B70=客户查询!$B$4),COUNTIF(商品库存!$B$4:B70,客户查询!$B$4),"")</f>
      </c>
      <c r="E70">
        <f>IF(AND(商品库存!B70&lt;&gt;"",商品库存!B70=客户对账单!$B$4),COUNTIF(商品库存!$B$4:B70,客户对账单!$B$4),"")</f>
      </c>
      <c r="F70">
        <f>IF(AND(出库明细!C70&lt;&gt;"",出库明细!C70=客户对账单!$B$4,ISNUMBER(出库明细!B70),出库明细!B70&gt;=客户对账单!$G$4,出库明细!B70&lt;=客户对账单!$I$4),出库明细!B70+ROW()/100000,"")</f>
      </c>
      <c r="H70">
        <f>IF(AND(采购进货!C70&lt;&gt;"",采购进货!C70=供应商对账单!$B$4,ISNUMBER(采购进货!B70),采购进货!B70&gt;=供应商对账单!$G$4,采购进货!B70&lt;=供应商对账单!$I$4),采购进货!B70+ROW()/100000,"")</f>
      </c>
      <c r="J70">
        <f>IF(总览汇总!$B70="","",N(总览汇总!$K70)+SUMIFS(出库明细!$G$4:$G$3003,出库明细!$C$4:$C$3003,总览汇总!$B70,出库明细!$B$4:$B$3003,"&gt;="&amp;年初日,出库明细!$B$4:$B$3003,"&lt;="&amp;资产负债表!$D$3)-SUMIFS(资金台帐!$S$7:$S$3006,资金台帐!$J$7:$J$3006,总览汇总!$B70,资金台帐!$P$7:$P$3006,"应收",资金台帐!$B$7:$B$3006,"&gt;="&amp;年初日,资金台帐!$B$7:$B$3006,"&lt;="&amp;资产负债表!$D$3))</f>
        <v>-4500</v>
      </c>
      <c r="N70">
        <f>IF(AND(ISNUMBER(出库明细!G70),ISNUMBER(出库明细!E70),ISNUMBER(出库明细!F70)),IF(ABS(出库明细!G70-出库明细!E70*出库明细!F70)&gt;0.005,1,0),0)</f>
        <v>0</v>
      </c>
      <c r="O70">
        <f>IF(AND(ISNUMBER(存条明细!G70),ISNUMBER(存条明细!E70),ISNUMBER(存条明细!F70)),IF(ABS(存条明细!G70-存条明细!E70*存条明细!F70)&gt;0.005,1,0),0)</f>
        <v>0</v>
      </c>
      <c r="AA70">
        <f>IF(基础资料!G69="","",基础资料!G69&amp;"")</f>
      </c>
      <c r="AB70">
        <f>IF(N(基础资料!I69)&lt;=0,1,基础资料!I69)</f>
        <v>1</v>
      </c>
      <c r="AC70">
        <f>IF(OR($AA70="",AC$5=""),0,SUMIF(INDIRECT("'"&amp;AC$5&amp;"'!C6:C1000"),$AA70,INDIRECT("'"&amp;AC$5&amp;"'!H6:H1000")))</f>
        <v>0</v>
      </c>
      <c r="AD70">
        <f>IF(OR($AA70="",AD$5=""),0,SUMIF(INDIRECT("'"&amp;AD$5&amp;"'!C6:C1000"),$AA70,INDIRECT("'"&amp;AD$5&amp;"'!H6:H1000")))</f>
        <v>0</v>
      </c>
      <c r="AE70">
        <f>IF(OR($AA70="",AE$5=""),0,SUMIF(INDIRECT("'"&amp;AE$5&amp;"'!C6:C1000"),$AA70,INDIRECT("'"&amp;AE$5&amp;"'!H6:H1000")))</f>
        <v>0</v>
      </c>
      <c r="AF70">
        <f>IF(OR($AA70="",AF$5=""),0,SUMIF(INDIRECT("'"&amp;AF$5&amp;"'!C6:C1000"),$AA70,INDIRECT("'"&amp;AF$5&amp;"'!H6:H1000")))</f>
        <v>0</v>
      </c>
      <c r="AG70">
        <f>IF(OR($AA70="",AG$5=""),0,SUMIF(INDIRECT("'"&amp;AG$5&amp;"'!C6:C1000"),$AA70,INDIRECT("'"&amp;AG$5&amp;"'!H6:H1000")))</f>
        <v>0</v>
      </c>
      <c r="AH70">
        <f>IF(OR($AA70="",AH$5=""),0,SUMIF(INDIRECT("'"&amp;AH$5&amp;"'!C6:C1000"),$AA70,INDIRECT("'"&amp;AH$5&amp;"'!H6:H1000")))</f>
        <v>0</v>
      </c>
      <c r="AI70">
        <f>IF(OR($AA70="",AI$5=""),0,SUMIF(INDIRECT("'"&amp;AI$5&amp;"'!C6:C1000"),$AA70,INDIRECT("'"&amp;AI$5&amp;"'!H6:H1000")))</f>
        <v>0</v>
      </c>
      <c r="AJ70">
        <f>IF(OR($AA70="",AJ$5=""),0,SUMIF(INDIRECT("'"&amp;AJ$5&amp;"'!C6:C1000"),$AA70,INDIRECT("'"&amp;AJ$5&amp;"'!H6:H1000")))</f>
        <v>0</v>
      </c>
      <c r="AK70">
        <f>IF(OR($AA70="",AK$5=""),0,SUMIF(INDIRECT("'"&amp;AK$5&amp;"'!C6:C1000"),$AA70,INDIRECT("'"&amp;AK$5&amp;"'!H6:H1000")))</f>
        <v>0</v>
      </c>
      <c r="AL70">
        <f>IF(OR($AA70="",AL$5=""),0,SUMIF(INDIRECT("'"&amp;AL$5&amp;"'!C6:C1000"),$AA70,INDIRECT("'"&amp;AL$5&amp;"'!H6:H1000")))</f>
        <v>0</v>
      </c>
      <c r="AM70">
        <f>IF(OR($AA70="",AM$5=""),0,SUMIF(INDIRECT("'"&amp;AM$5&amp;"'!C6:C1000"),$AA70,INDIRECT("'"&amp;AM$5&amp;"'!H6:H1000")))</f>
        <v>0</v>
      </c>
      <c r="AN70">
        <f>IF(OR($AA70="",AN$5=""),0,SUMIF(INDIRECT("'"&amp;AN$5&amp;"'!C6:C1000"),$AA70,INDIRECT("'"&amp;AN$5&amp;"'!H6:H1000")))</f>
        <v>0</v>
      </c>
      <c r="AO70">
        <f>IF(OR($AA70="",AC$5=""),0,SUMIF(INDIRECT("'"&amp;AC$5&amp;"'!C6:C1000"),$AA70,INDIRECT("'"&amp;AC$5&amp;"'!E6:E1000")))</f>
        <v>0</v>
      </c>
      <c r="AP70">
        <f>IF(OR($AA70="",AD$5=""),0,SUMIF(INDIRECT("'"&amp;AD$5&amp;"'!C6:C1000"),$AA70,INDIRECT("'"&amp;AD$5&amp;"'!E6:E1000")))</f>
        <v>0</v>
      </c>
      <c r="AQ70">
        <f>IF(OR($AA70="",AE$5=""),0,SUMIF(INDIRECT("'"&amp;AE$5&amp;"'!C6:C1000"),$AA70,INDIRECT("'"&amp;AE$5&amp;"'!E6:E1000")))</f>
        <v>0</v>
      </c>
      <c r="AR70">
        <f>IF(OR($AA70="",AF$5=""),0,SUMIF(INDIRECT("'"&amp;AF$5&amp;"'!C6:C1000"),$AA70,INDIRECT("'"&amp;AF$5&amp;"'!E6:E1000")))</f>
        <v>0</v>
      </c>
      <c r="AS70">
        <f>IF(OR($AA70="",AG$5=""),0,SUMIF(INDIRECT("'"&amp;AG$5&amp;"'!C6:C1000"),$AA70,INDIRECT("'"&amp;AG$5&amp;"'!E6:E1000")))</f>
        <v>0</v>
      </c>
      <c r="AT70">
        <f>IF(OR($AA70="",AH$5=""),0,SUMIF(INDIRECT("'"&amp;AH$5&amp;"'!C6:C1000"),$AA70,INDIRECT("'"&amp;AH$5&amp;"'!E6:E1000")))</f>
        <v>0</v>
      </c>
      <c r="AU70">
        <f>IF(OR($AA70="",AI$5=""),0,SUMIF(INDIRECT("'"&amp;AI$5&amp;"'!C6:C1000"),$AA70,INDIRECT("'"&amp;AI$5&amp;"'!E6:E1000")))</f>
        <v>0</v>
      </c>
      <c r="AV70">
        <f>IF(OR($AA70="",AJ$5=""),0,SUMIF(INDIRECT("'"&amp;AJ$5&amp;"'!C6:C1000"),$AA70,INDIRECT("'"&amp;AJ$5&amp;"'!E6:E1000")))</f>
        <v>0</v>
      </c>
      <c r="AW70">
        <f>IF(OR($AA70="",AK$5=""),0,SUMIF(INDIRECT("'"&amp;AK$5&amp;"'!C6:C1000"),$AA70,INDIRECT("'"&amp;AK$5&amp;"'!E6:E1000")))</f>
        <v>0</v>
      </c>
      <c r="AX70">
        <f>IF(OR($AA70="",AL$5=""),0,SUMIF(INDIRECT("'"&amp;AL$5&amp;"'!C6:C1000"),$AA70,INDIRECT("'"&amp;AL$5&amp;"'!E6:E1000")))</f>
        <v>0</v>
      </c>
      <c r="AY70">
        <f>IF(OR($AA70="",AM$5=""),0,SUMIF(INDIRECT("'"&amp;AM$5&amp;"'!C6:C1000"),$AA70,INDIRECT("'"&amp;AM$5&amp;"'!E6:E1000")))</f>
        <v>0</v>
      </c>
      <c r="AZ70">
        <f>IF(OR($AA70="",AN$5=""),0,SUMIF(INDIRECT("'"&amp;AN$5&amp;"'!C6:C1000"),$AA70,INDIRECT("'"&amp;AN$5&amp;"'!E6:E1000")))</f>
        <v>0</v>
      </c>
      <c r="BA70">
        <f>IF(OR($AA70="",AC$5=""),0,SUMIFS(INDIRECT("'"&amp;AC$5&amp;"'!E6:E1000"),INDIRECT("'"&amp;AC$5&amp;"'!C6:C1000"),$AA70,INDIRECT("'"&amp;AC$5&amp;"'!F6:F1000"),"箱")+SUMIFS(INDIRECT("'"&amp;AC$5&amp;"'!E6:E1000"),INDIRECT("'"&amp;AC$5&amp;"'!C6:C1000"),$AA70,INDIRECT("'"&amp;AC$5&amp;"'!F6:F1000"),"件"))</f>
        <v>0</v>
      </c>
      <c r="BB70">
        <f>IF(OR($AA70="",AD$5=""),0,SUMIFS(INDIRECT("'"&amp;AD$5&amp;"'!E6:E1000"),INDIRECT("'"&amp;AD$5&amp;"'!C6:C1000"),$AA70,INDIRECT("'"&amp;AD$5&amp;"'!F6:F1000"),"箱")+SUMIFS(INDIRECT("'"&amp;AD$5&amp;"'!E6:E1000"),INDIRECT("'"&amp;AD$5&amp;"'!C6:C1000"),$AA70,INDIRECT("'"&amp;AD$5&amp;"'!F6:F1000"),"件"))</f>
        <v>0</v>
      </c>
      <c r="BC70">
        <f>IF(OR($AA70="",AE$5=""),0,SUMIFS(INDIRECT("'"&amp;AE$5&amp;"'!E6:E1000"),INDIRECT("'"&amp;AE$5&amp;"'!C6:C1000"),$AA70,INDIRECT("'"&amp;AE$5&amp;"'!F6:F1000"),"箱")+SUMIFS(INDIRECT("'"&amp;AE$5&amp;"'!E6:E1000"),INDIRECT("'"&amp;AE$5&amp;"'!C6:C1000"),$AA70,INDIRECT("'"&amp;AE$5&amp;"'!F6:F1000"),"件"))</f>
        <v>0</v>
      </c>
      <c r="BD70">
        <f>IF(OR($AA70="",AF$5=""),0,SUMIFS(INDIRECT("'"&amp;AF$5&amp;"'!E6:E1000"),INDIRECT("'"&amp;AF$5&amp;"'!C6:C1000"),$AA70,INDIRECT("'"&amp;AF$5&amp;"'!F6:F1000"),"箱")+SUMIFS(INDIRECT("'"&amp;AF$5&amp;"'!E6:E1000"),INDIRECT("'"&amp;AF$5&amp;"'!C6:C1000"),$AA70,INDIRECT("'"&amp;AF$5&amp;"'!F6:F1000"),"件"))</f>
        <v>0</v>
      </c>
      <c r="BE70">
        <f>IF(OR($AA70="",AG$5=""),0,SUMIFS(INDIRECT("'"&amp;AG$5&amp;"'!E6:E1000"),INDIRECT("'"&amp;AG$5&amp;"'!C6:C1000"),$AA70,INDIRECT("'"&amp;AG$5&amp;"'!F6:F1000"),"箱")+SUMIFS(INDIRECT("'"&amp;AG$5&amp;"'!E6:E1000"),INDIRECT("'"&amp;AG$5&amp;"'!C6:C1000"),$AA70,INDIRECT("'"&amp;AG$5&amp;"'!F6:F1000"),"件"))</f>
        <v>0</v>
      </c>
      <c r="BF70">
        <f>IF(OR($AA70="",AH$5=""),0,SUMIFS(INDIRECT("'"&amp;AH$5&amp;"'!E6:E1000"),INDIRECT("'"&amp;AH$5&amp;"'!C6:C1000"),$AA70,INDIRECT("'"&amp;AH$5&amp;"'!F6:F1000"),"箱")+SUMIFS(INDIRECT("'"&amp;AH$5&amp;"'!E6:E1000"),INDIRECT("'"&amp;AH$5&amp;"'!C6:C1000"),$AA70,INDIRECT("'"&amp;AH$5&amp;"'!F6:F1000"),"件"))</f>
        <v>0</v>
      </c>
      <c r="BG70">
        <f>IF(OR($AA70="",AI$5=""),0,SUMIFS(INDIRECT("'"&amp;AI$5&amp;"'!E6:E1000"),INDIRECT("'"&amp;AI$5&amp;"'!C6:C1000"),$AA70,INDIRECT("'"&amp;AI$5&amp;"'!F6:F1000"),"箱")+SUMIFS(INDIRECT("'"&amp;AI$5&amp;"'!E6:E1000"),INDIRECT("'"&amp;AI$5&amp;"'!C6:C1000"),$AA70,INDIRECT("'"&amp;AI$5&amp;"'!F6:F1000"),"件"))</f>
        <v>0</v>
      </c>
      <c r="BH70">
        <f>IF(OR($AA70="",AJ$5=""),0,SUMIFS(INDIRECT("'"&amp;AJ$5&amp;"'!E6:E1000"),INDIRECT("'"&amp;AJ$5&amp;"'!C6:C1000"),$AA70,INDIRECT("'"&amp;AJ$5&amp;"'!F6:F1000"),"箱")+SUMIFS(INDIRECT("'"&amp;AJ$5&amp;"'!E6:E1000"),INDIRECT("'"&amp;AJ$5&amp;"'!C6:C1000"),$AA70,INDIRECT("'"&amp;AJ$5&amp;"'!F6:F1000"),"件"))</f>
        <v>0</v>
      </c>
      <c r="BI70">
        <f>IF(OR($AA70="",AK$5=""),0,SUMIFS(INDIRECT("'"&amp;AK$5&amp;"'!E6:E1000"),INDIRECT("'"&amp;AK$5&amp;"'!C6:C1000"),$AA70,INDIRECT("'"&amp;AK$5&amp;"'!F6:F1000"),"箱")+SUMIFS(INDIRECT("'"&amp;AK$5&amp;"'!E6:E1000"),INDIRECT("'"&amp;AK$5&amp;"'!C6:C1000"),$AA70,INDIRECT("'"&amp;AK$5&amp;"'!F6:F1000"),"件"))</f>
        <v>0</v>
      </c>
      <c r="BJ70">
        <f>IF(OR($AA70="",AL$5=""),0,SUMIFS(INDIRECT("'"&amp;AL$5&amp;"'!E6:E1000"),INDIRECT("'"&amp;AL$5&amp;"'!C6:C1000"),$AA70,INDIRECT("'"&amp;AL$5&amp;"'!F6:F1000"),"箱")+SUMIFS(INDIRECT("'"&amp;AL$5&amp;"'!E6:E1000"),INDIRECT("'"&amp;AL$5&amp;"'!C6:C1000"),$AA70,INDIRECT("'"&amp;AL$5&amp;"'!F6:F1000"),"件"))</f>
        <v>0</v>
      </c>
      <c r="BK70">
        <f>IF(OR($AA70="",AM$5=""),0,SUMIFS(INDIRECT("'"&amp;AM$5&amp;"'!E6:E1000"),INDIRECT("'"&amp;AM$5&amp;"'!C6:C1000"),$AA70,INDIRECT("'"&amp;AM$5&amp;"'!F6:F1000"),"箱")+SUMIFS(INDIRECT("'"&amp;AM$5&amp;"'!E6:E1000"),INDIRECT("'"&amp;AM$5&amp;"'!C6:C1000"),$AA70,INDIRECT("'"&amp;AM$5&amp;"'!F6:F1000"),"件"))</f>
        <v>0</v>
      </c>
      <c r="BL70">
        <f>IF(OR($AA70="",AN$5=""),0,SUMIFS(INDIRECT("'"&amp;AN$5&amp;"'!E6:E1000"),INDIRECT("'"&amp;AN$5&amp;"'!C6:C1000"),$AA70,INDIRECT("'"&amp;AN$5&amp;"'!F6:F1000"),"箱")+SUMIFS(INDIRECT("'"&amp;AN$5&amp;"'!E6:E1000"),INDIRECT("'"&amp;AN$5&amp;"'!C6:C1000"),$AA70,INDIRECT("'"&amp;AN$5&amp;"'!F6:F1000"),"件"))</f>
        <v>0</v>
      </c>
      <c r="BM70">
        <f>(AO70-BA70)/$AB70+BA70</f>
        <v>0</v>
      </c>
      <c r="BN70">
        <f>(AP70-BB70)/$AB70+BB70</f>
        <v>0</v>
      </c>
      <c r="BO70">
        <f>(AQ70-BC70)/$AB70+BC70</f>
        <v>0</v>
      </c>
      <c r="BP70">
        <f>(AR70-BD70)/$AB70+BD70</f>
        <v>0</v>
      </c>
      <c r="BQ70">
        <f>(AS70-BE70)/$AB70+BE70</f>
        <v>0</v>
      </c>
      <c r="BR70">
        <f>(AT70-BF70)/$AB70+BF70</f>
        <v>0</v>
      </c>
      <c r="BS70">
        <f>(AU70-BG70)/$AB70+BG70</f>
        <v>0</v>
      </c>
      <c r="BT70">
        <f>(AV70-BH70)/$AB70+BH70</f>
        <v>0</v>
      </c>
      <c r="BU70">
        <f>(AW70-BI70)/$AB70+BI70</f>
        <v>0</v>
      </c>
      <c r="BV70">
        <f>(AX70-BJ70)/$AB70+BJ70</f>
        <v>0</v>
      </c>
      <c r="BW70">
        <f>(AY70-BK70)/$AB70+BK70</f>
        <v>0</v>
      </c>
      <c r="BX70">
        <f>(AZ70-BL70)/$AB70+BL70</f>
        <v>0</v>
      </c>
      <c r="BY70">
        <f>SUMPRODUCT((($AC$4:$AN$4=报损汇总一览!$A$3)+(报损汇总一览!$A$3="全年"))*AC70:AN70)</f>
        <v>0</v>
      </c>
      <c r="BZ70">
        <f>IF(BY70&gt;0,BY70+(1000-ROW())/10000000,"")</f>
      </c>
      <c r="CA70">
        <f>SUMPRODUCT((($AC$4:$AN$4=报损汇总一览!$A$3)+(报损汇总一览!$A$3="全年"))*AO70:AZ70)</f>
        <v>0</v>
      </c>
    </row>
    <row r="71">
      <c r="A71">
        <f>IF(OR(存条明细!C71="",存条明细!D71=""),"",IF(COUNTIFS(存条明细!$C$4:C71,存条明细!C71,存条明细!$D$4:D71,存条明细!D71)&gt;1,"",IFERROR(MATCH(存条明细!C71,总览汇总!$B$5:$B$304,0),900)*10000000+IFERROR(MATCH(存条明细!D71,基础资料!$E$5:$E$104,0),900)*10000+ROW()))</f>
        <v>170050071</v>
      </c>
      <c r="B71">
        <f>IFERROR(MATCH(SMALL($A$4:$A$4003,68),$A$4:$A$4003,0),"")</f>
        <v>183</v>
      </c>
      <c r="D71">
        <f>IF(AND(商品库存!B71&lt;&gt;"",商品库存!B71=客户查询!$B$4),COUNTIF(商品库存!$B$4:B71,客户查询!$B$4),"")</f>
      </c>
      <c r="E71">
        <f>IF(AND(商品库存!B71&lt;&gt;"",商品库存!B71=客户对账单!$B$4),COUNTIF(商品库存!$B$4:B71,客户对账单!$B$4),"")</f>
      </c>
      <c r="F71">
        <f>IF(AND(出库明细!C71&lt;&gt;"",出库明细!C71=客户对账单!$B$4,ISNUMBER(出库明细!B71),出库明细!B71&gt;=客户对账单!$G$4,出库明细!B71&lt;=客户对账单!$I$4),出库明细!B71+ROW()/100000,"")</f>
      </c>
      <c r="H71">
        <f>IF(AND(采购进货!C71&lt;&gt;"",采购进货!C71=供应商对账单!$B$4,ISNUMBER(采购进货!B71),采购进货!B71&gt;=供应商对账单!$G$4,采购进货!B71&lt;=供应商对账单!$I$4),采购进货!B71+ROW()/100000,"")</f>
      </c>
      <c r="J71">
        <f>IF(总览汇总!$B71="","",N(总览汇总!$K71)+SUMIFS(出库明细!$G$4:$G$3003,出库明细!$C$4:$C$3003,总览汇总!$B71,出库明细!$B$4:$B$3003,"&gt;="&amp;年初日,出库明细!$B$4:$B$3003,"&lt;="&amp;资产负债表!$D$3)-SUMIFS(资金台帐!$S$7:$S$3006,资金台帐!$J$7:$J$3006,总览汇总!$B71,资金台帐!$P$7:$P$3006,"应收",资金台帐!$B$7:$B$3006,"&gt;="&amp;年初日,资金台帐!$B$7:$B$3006,"&lt;="&amp;资产负债表!$D$3))</f>
        <v>-4500</v>
      </c>
      <c r="N71">
        <f>IF(AND(ISNUMBER(出库明细!G71),ISNUMBER(出库明细!E71),ISNUMBER(出库明细!F71)),IF(ABS(出库明细!G71-出库明细!E71*出库明细!F71)&gt;0.005,1,0),0)</f>
        <v>0</v>
      </c>
      <c r="O71">
        <f>IF(AND(ISNUMBER(存条明细!G71),ISNUMBER(存条明细!E71),ISNUMBER(存条明细!F71)),IF(ABS(存条明细!G71-存条明细!E71*存条明细!F71)&gt;0.005,1,0),0)</f>
        <v>0</v>
      </c>
      <c r="AA71">
        <f>IF(基础资料!G70="","",基础资料!G70&amp;"")</f>
      </c>
      <c r="AB71">
        <f>IF(N(基础资料!I70)&lt;=0,1,基础资料!I70)</f>
        <v>1</v>
      </c>
      <c r="AC71">
        <f>IF(OR($AA71="",AC$5=""),0,SUMIF(INDIRECT("'"&amp;AC$5&amp;"'!C6:C1000"),$AA71,INDIRECT("'"&amp;AC$5&amp;"'!H6:H1000")))</f>
        <v>0</v>
      </c>
      <c r="AD71">
        <f>IF(OR($AA71="",AD$5=""),0,SUMIF(INDIRECT("'"&amp;AD$5&amp;"'!C6:C1000"),$AA71,INDIRECT("'"&amp;AD$5&amp;"'!H6:H1000")))</f>
        <v>0</v>
      </c>
      <c r="AE71">
        <f>IF(OR($AA71="",AE$5=""),0,SUMIF(INDIRECT("'"&amp;AE$5&amp;"'!C6:C1000"),$AA71,INDIRECT("'"&amp;AE$5&amp;"'!H6:H1000")))</f>
        <v>0</v>
      </c>
      <c r="AF71">
        <f>IF(OR($AA71="",AF$5=""),0,SUMIF(INDIRECT("'"&amp;AF$5&amp;"'!C6:C1000"),$AA71,INDIRECT("'"&amp;AF$5&amp;"'!H6:H1000")))</f>
        <v>0</v>
      </c>
      <c r="AG71">
        <f>IF(OR($AA71="",AG$5=""),0,SUMIF(INDIRECT("'"&amp;AG$5&amp;"'!C6:C1000"),$AA71,INDIRECT("'"&amp;AG$5&amp;"'!H6:H1000")))</f>
        <v>0</v>
      </c>
      <c r="AH71">
        <f>IF(OR($AA71="",AH$5=""),0,SUMIF(INDIRECT("'"&amp;AH$5&amp;"'!C6:C1000"),$AA71,INDIRECT("'"&amp;AH$5&amp;"'!H6:H1000")))</f>
        <v>0</v>
      </c>
      <c r="AI71">
        <f>IF(OR($AA71="",AI$5=""),0,SUMIF(INDIRECT("'"&amp;AI$5&amp;"'!C6:C1000"),$AA71,INDIRECT("'"&amp;AI$5&amp;"'!H6:H1000")))</f>
        <v>0</v>
      </c>
      <c r="AJ71">
        <f>IF(OR($AA71="",AJ$5=""),0,SUMIF(INDIRECT("'"&amp;AJ$5&amp;"'!C6:C1000"),$AA71,INDIRECT("'"&amp;AJ$5&amp;"'!H6:H1000")))</f>
        <v>0</v>
      </c>
      <c r="AK71">
        <f>IF(OR($AA71="",AK$5=""),0,SUMIF(INDIRECT("'"&amp;AK$5&amp;"'!C6:C1000"),$AA71,INDIRECT("'"&amp;AK$5&amp;"'!H6:H1000")))</f>
        <v>0</v>
      </c>
      <c r="AL71">
        <f>IF(OR($AA71="",AL$5=""),0,SUMIF(INDIRECT("'"&amp;AL$5&amp;"'!C6:C1000"),$AA71,INDIRECT("'"&amp;AL$5&amp;"'!H6:H1000")))</f>
        <v>0</v>
      </c>
      <c r="AM71">
        <f>IF(OR($AA71="",AM$5=""),0,SUMIF(INDIRECT("'"&amp;AM$5&amp;"'!C6:C1000"),$AA71,INDIRECT("'"&amp;AM$5&amp;"'!H6:H1000")))</f>
        <v>0</v>
      </c>
      <c r="AN71">
        <f>IF(OR($AA71="",AN$5=""),0,SUMIF(INDIRECT("'"&amp;AN$5&amp;"'!C6:C1000"),$AA71,INDIRECT("'"&amp;AN$5&amp;"'!H6:H1000")))</f>
        <v>0</v>
      </c>
      <c r="AO71">
        <f>IF(OR($AA71="",AC$5=""),0,SUMIF(INDIRECT("'"&amp;AC$5&amp;"'!C6:C1000"),$AA71,INDIRECT("'"&amp;AC$5&amp;"'!E6:E1000")))</f>
        <v>0</v>
      </c>
      <c r="AP71">
        <f>IF(OR($AA71="",AD$5=""),0,SUMIF(INDIRECT("'"&amp;AD$5&amp;"'!C6:C1000"),$AA71,INDIRECT("'"&amp;AD$5&amp;"'!E6:E1000")))</f>
        <v>0</v>
      </c>
      <c r="AQ71">
        <f>IF(OR($AA71="",AE$5=""),0,SUMIF(INDIRECT("'"&amp;AE$5&amp;"'!C6:C1000"),$AA71,INDIRECT("'"&amp;AE$5&amp;"'!E6:E1000")))</f>
        <v>0</v>
      </c>
      <c r="AR71">
        <f>IF(OR($AA71="",AF$5=""),0,SUMIF(INDIRECT("'"&amp;AF$5&amp;"'!C6:C1000"),$AA71,INDIRECT("'"&amp;AF$5&amp;"'!E6:E1000")))</f>
        <v>0</v>
      </c>
      <c r="AS71">
        <f>IF(OR($AA71="",AG$5=""),0,SUMIF(INDIRECT("'"&amp;AG$5&amp;"'!C6:C1000"),$AA71,INDIRECT("'"&amp;AG$5&amp;"'!E6:E1000")))</f>
        <v>0</v>
      </c>
      <c r="AT71">
        <f>IF(OR($AA71="",AH$5=""),0,SUMIF(INDIRECT("'"&amp;AH$5&amp;"'!C6:C1000"),$AA71,INDIRECT("'"&amp;AH$5&amp;"'!E6:E1000")))</f>
        <v>0</v>
      </c>
      <c r="AU71">
        <f>IF(OR($AA71="",AI$5=""),0,SUMIF(INDIRECT("'"&amp;AI$5&amp;"'!C6:C1000"),$AA71,INDIRECT("'"&amp;AI$5&amp;"'!E6:E1000")))</f>
        <v>0</v>
      </c>
      <c r="AV71">
        <f>IF(OR($AA71="",AJ$5=""),0,SUMIF(INDIRECT("'"&amp;AJ$5&amp;"'!C6:C1000"),$AA71,INDIRECT("'"&amp;AJ$5&amp;"'!E6:E1000")))</f>
        <v>0</v>
      </c>
      <c r="AW71">
        <f>IF(OR($AA71="",AK$5=""),0,SUMIF(INDIRECT("'"&amp;AK$5&amp;"'!C6:C1000"),$AA71,INDIRECT("'"&amp;AK$5&amp;"'!E6:E1000")))</f>
        <v>0</v>
      </c>
      <c r="AX71">
        <f>IF(OR($AA71="",AL$5=""),0,SUMIF(INDIRECT("'"&amp;AL$5&amp;"'!C6:C1000"),$AA71,INDIRECT("'"&amp;AL$5&amp;"'!E6:E1000")))</f>
        <v>0</v>
      </c>
      <c r="AY71">
        <f>IF(OR($AA71="",AM$5=""),0,SUMIF(INDIRECT("'"&amp;AM$5&amp;"'!C6:C1000"),$AA71,INDIRECT("'"&amp;AM$5&amp;"'!E6:E1000")))</f>
        <v>0</v>
      </c>
      <c r="AZ71">
        <f>IF(OR($AA71="",AN$5=""),0,SUMIF(INDIRECT("'"&amp;AN$5&amp;"'!C6:C1000"),$AA71,INDIRECT("'"&amp;AN$5&amp;"'!E6:E1000")))</f>
        <v>0</v>
      </c>
      <c r="BA71">
        <f>IF(OR($AA71="",AC$5=""),0,SUMIFS(INDIRECT("'"&amp;AC$5&amp;"'!E6:E1000"),INDIRECT("'"&amp;AC$5&amp;"'!C6:C1000"),$AA71,INDIRECT("'"&amp;AC$5&amp;"'!F6:F1000"),"箱")+SUMIFS(INDIRECT("'"&amp;AC$5&amp;"'!E6:E1000"),INDIRECT("'"&amp;AC$5&amp;"'!C6:C1000"),$AA71,INDIRECT("'"&amp;AC$5&amp;"'!F6:F1000"),"件"))</f>
        <v>0</v>
      </c>
      <c r="BB71">
        <f>IF(OR($AA71="",AD$5=""),0,SUMIFS(INDIRECT("'"&amp;AD$5&amp;"'!E6:E1000"),INDIRECT("'"&amp;AD$5&amp;"'!C6:C1000"),$AA71,INDIRECT("'"&amp;AD$5&amp;"'!F6:F1000"),"箱")+SUMIFS(INDIRECT("'"&amp;AD$5&amp;"'!E6:E1000"),INDIRECT("'"&amp;AD$5&amp;"'!C6:C1000"),$AA71,INDIRECT("'"&amp;AD$5&amp;"'!F6:F1000"),"件"))</f>
        <v>0</v>
      </c>
      <c r="BC71">
        <f>IF(OR($AA71="",AE$5=""),0,SUMIFS(INDIRECT("'"&amp;AE$5&amp;"'!E6:E1000"),INDIRECT("'"&amp;AE$5&amp;"'!C6:C1000"),$AA71,INDIRECT("'"&amp;AE$5&amp;"'!F6:F1000"),"箱")+SUMIFS(INDIRECT("'"&amp;AE$5&amp;"'!E6:E1000"),INDIRECT("'"&amp;AE$5&amp;"'!C6:C1000"),$AA71,INDIRECT("'"&amp;AE$5&amp;"'!F6:F1000"),"件"))</f>
        <v>0</v>
      </c>
      <c r="BD71">
        <f>IF(OR($AA71="",AF$5=""),0,SUMIFS(INDIRECT("'"&amp;AF$5&amp;"'!E6:E1000"),INDIRECT("'"&amp;AF$5&amp;"'!C6:C1000"),$AA71,INDIRECT("'"&amp;AF$5&amp;"'!F6:F1000"),"箱")+SUMIFS(INDIRECT("'"&amp;AF$5&amp;"'!E6:E1000"),INDIRECT("'"&amp;AF$5&amp;"'!C6:C1000"),$AA71,INDIRECT("'"&amp;AF$5&amp;"'!F6:F1000"),"件"))</f>
        <v>0</v>
      </c>
      <c r="BE71">
        <f>IF(OR($AA71="",AG$5=""),0,SUMIFS(INDIRECT("'"&amp;AG$5&amp;"'!E6:E1000"),INDIRECT("'"&amp;AG$5&amp;"'!C6:C1000"),$AA71,INDIRECT("'"&amp;AG$5&amp;"'!F6:F1000"),"箱")+SUMIFS(INDIRECT("'"&amp;AG$5&amp;"'!E6:E1000"),INDIRECT("'"&amp;AG$5&amp;"'!C6:C1000"),$AA71,INDIRECT("'"&amp;AG$5&amp;"'!F6:F1000"),"件"))</f>
        <v>0</v>
      </c>
      <c r="BF71">
        <f>IF(OR($AA71="",AH$5=""),0,SUMIFS(INDIRECT("'"&amp;AH$5&amp;"'!E6:E1000"),INDIRECT("'"&amp;AH$5&amp;"'!C6:C1000"),$AA71,INDIRECT("'"&amp;AH$5&amp;"'!F6:F1000"),"箱")+SUMIFS(INDIRECT("'"&amp;AH$5&amp;"'!E6:E1000"),INDIRECT("'"&amp;AH$5&amp;"'!C6:C1000"),$AA71,INDIRECT("'"&amp;AH$5&amp;"'!F6:F1000"),"件"))</f>
        <v>0</v>
      </c>
      <c r="BG71">
        <f>IF(OR($AA71="",AI$5=""),0,SUMIFS(INDIRECT("'"&amp;AI$5&amp;"'!E6:E1000"),INDIRECT("'"&amp;AI$5&amp;"'!C6:C1000"),$AA71,INDIRECT("'"&amp;AI$5&amp;"'!F6:F1000"),"箱")+SUMIFS(INDIRECT("'"&amp;AI$5&amp;"'!E6:E1000"),INDIRECT("'"&amp;AI$5&amp;"'!C6:C1000"),$AA71,INDIRECT("'"&amp;AI$5&amp;"'!F6:F1000"),"件"))</f>
        <v>0</v>
      </c>
      <c r="BH71">
        <f>IF(OR($AA71="",AJ$5=""),0,SUMIFS(INDIRECT("'"&amp;AJ$5&amp;"'!E6:E1000"),INDIRECT("'"&amp;AJ$5&amp;"'!C6:C1000"),$AA71,INDIRECT("'"&amp;AJ$5&amp;"'!F6:F1000"),"箱")+SUMIFS(INDIRECT("'"&amp;AJ$5&amp;"'!E6:E1000"),INDIRECT("'"&amp;AJ$5&amp;"'!C6:C1000"),$AA71,INDIRECT("'"&amp;AJ$5&amp;"'!F6:F1000"),"件"))</f>
        <v>0</v>
      </c>
      <c r="BI71">
        <f>IF(OR($AA71="",AK$5=""),0,SUMIFS(INDIRECT("'"&amp;AK$5&amp;"'!E6:E1000"),INDIRECT("'"&amp;AK$5&amp;"'!C6:C1000"),$AA71,INDIRECT("'"&amp;AK$5&amp;"'!F6:F1000"),"箱")+SUMIFS(INDIRECT("'"&amp;AK$5&amp;"'!E6:E1000"),INDIRECT("'"&amp;AK$5&amp;"'!C6:C1000"),$AA71,INDIRECT("'"&amp;AK$5&amp;"'!F6:F1000"),"件"))</f>
        <v>0</v>
      </c>
      <c r="BJ71">
        <f>IF(OR($AA71="",AL$5=""),0,SUMIFS(INDIRECT("'"&amp;AL$5&amp;"'!E6:E1000"),INDIRECT("'"&amp;AL$5&amp;"'!C6:C1000"),$AA71,INDIRECT("'"&amp;AL$5&amp;"'!F6:F1000"),"箱")+SUMIFS(INDIRECT("'"&amp;AL$5&amp;"'!E6:E1000"),INDIRECT("'"&amp;AL$5&amp;"'!C6:C1000"),$AA71,INDIRECT("'"&amp;AL$5&amp;"'!F6:F1000"),"件"))</f>
        <v>0</v>
      </c>
      <c r="BK71">
        <f>IF(OR($AA71="",AM$5=""),0,SUMIFS(INDIRECT("'"&amp;AM$5&amp;"'!E6:E1000"),INDIRECT("'"&amp;AM$5&amp;"'!C6:C1000"),$AA71,INDIRECT("'"&amp;AM$5&amp;"'!F6:F1000"),"箱")+SUMIFS(INDIRECT("'"&amp;AM$5&amp;"'!E6:E1000"),INDIRECT("'"&amp;AM$5&amp;"'!C6:C1000"),$AA71,INDIRECT("'"&amp;AM$5&amp;"'!F6:F1000"),"件"))</f>
        <v>0</v>
      </c>
      <c r="BL71">
        <f>IF(OR($AA71="",AN$5=""),0,SUMIFS(INDIRECT("'"&amp;AN$5&amp;"'!E6:E1000"),INDIRECT("'"&amp;AN$5&amp;"'!C6:C1000"),$AA71,INDIRECT("'"&amp;AN$5&amp;"'!F6:F1000"),"箱")+SUMIFS(INDIRECT("'"&amp;AN$5&amp;"'!E6:E1000"),INDIRECT("'"&amp;AN$5&amp;"'!C6:C1000"),$AA71,INDIRECT("'"&amp;AN$5&amp;"'!F6:F1000"),"件"))</f>
        <v>0</v>
      </c>
      <c r="BM71">
        <f>(AO71-BA71)/$AB71+BA71</f>
        <v>0</v>
      </c>
      <c r="BN71">
        <f>(AP71-BB71)/$AB71+BB71</f>
        <v>0</v>
      </c>
      <c r="BO71">
        <f>(AQ71-BC71)/$AB71+BC71</f>
        <v>0</v>
      </c>
      <c r="BP71">
        <f>(AR71-BD71)/$AB71+BD71</f>
        <v>0</v>
      </c>
      <c r="BQ71">
        <f>(AS71-BE71)/$AB71+BE71</f>
        <v>0</v>
      </c>
      <c r="BR71">
        <f>(AT71-BF71)/$AB71+BF71</f>
        <v>0</v>
      </c>
      <c r="BS71">
        <f>(AU71-BG71)/$AB71+BG71</f>
        <v>0</v>
      </c>
      <c r="BT71">
        <f>(AV71-BH71)/$AB71+BH71</f>
        <v>0</v>
      </c>
      <c r="BU71">
        <f>(AW71-BI71)/$AB71+BI71</f>
        <v>0</v>
      </c>
      <c r="BV71">
        <f>(AX71-BJ71)/$AB71+BJ71</f>
        <v>0</v>
      </c>
      <c r="BW71">
        <f>(AY71-BK71)/$AB71+BK71</f>
        <v>0</v>
      </c>
      <c r="BX71">
        <f>(AZ71-BL71)/$AB71+BL71</f>
        <v>0</v>
      </c>
      <c r="BY71">
        <f>SUMPRODUCT((($AC$4:$AN$4=报损汇总一览!$A$3)+(报损汇总一览!$A$3="全年"))*AC71:AN71)</f>
        <v>0</v>
      </c>
      <c r="BZ71">
        <f>IF(BY71&gt;0,BY71+(1000-ROW())/10000000,"")</f>
      </c>
      <c r="CA71">
        <f>SUMPRODUCT((($AC$4:$AN$4=报损汇总一览!$A$3)+(报损汇总一览!$A$3="全年"))*AO71:AZ71)</f>
        <v>0</v>
      </c>
    </row>
    <row r="72">
      <c r="A72">
        <f>IF(OR(存条明细!C72="",存条明细!D72=""),"",IF(COUNTIFS(存条明细!$C$4:C72,存条明细!C72,存条明细!$D$4:D72,存条明细!D72)&gt;1,"",IFERROR(MATCH(存条明细!C72,总览汇总!$B$5:$B$304,0),900)*10000000+IFERROR(MATCH(存条明细!D72,基础资料!$E$5:$E$104,0),900)*10000+ROW()))</f>
        <v>170170072</v>
      </c>
      <c r="B72">
        <f>IFERROR(MATCH(SMALL($A$4:$A$4003,69),$A$4:$A$4003,0),"")</f>
        <v>124</v>
      </c>
      <c r="D72">
        <f>IF(AND(商品库存!B72&lt;&gt;"",商品库存!B72=客户查询!$B$4),COUNTIF(商品库存!$B$4:B72,客户查询!$B$4),"")</f>
      </c>
      <c r="E72">
        <f>IF(AND(商品库存!B72&lt;&gt;"",商品库存!B72=客户对账单!$B$4),COUNTIF(商品库存!$B$4:B72,客户对账单!$B$4),"")</f>
      </c>
      <c r="F72">
        <f>IF(AND(出库明细!C72&lt;&gt;"",出库明细!C72=客户对账单!$B$4,ISNUMBER(出库明细!B72),出库明细!B72&gt;=客户对账单!$G$4,出库明细!B72&lt;=客户对账单!$I$4),出库明细!B72+ROW()/100000,"")</f>
      </c>
      <c r="H72">
        <f>IF(AND(采购进货!C72&lt;&gt;"",采购进货!C72=供应商对账单!$B$4,ISNUMBER(采购进货!B72),采购进货!B72&gt;=供应商对账单!$G$4,采购进货!B72&lt;=供应商对账单!$I$4),采购进货!B72+ROW()/100000,"")</f>
      </c>
      <c r="J72">
        <f>IF(总览汇总!$B72="","",N(总览汇总!$K72)+SUMIFS(出库明细!$G$4:$G$3003,出库明细!$C$4:$C$3003,总览汇总!$B72,出库明细!$B$4:$B$3003,"&gt;="&amp;年初日,出库明细!$B$4:$B$3003,"&lt;="&amp;资产负债表!$D$3)-SUMIFS(资金台帐!$S$7:$S$3006,资金台帐!$J$7:$J$3006,总览汇总!$B72,资金台帐!$P$7:$P$3006,"应收",资金台帐!$B$7:$B$3006,"&gt;="&amp;年初日,资金台帐!$B$7:$B$3006,"&lt;="&amp;资产负债表!$D$3))</f>
        <v>-1527.5</v>
      </c>
      <c r="N72">
        <f>IF(AND(ISNUMBER(出库明细!G72),ISNUMBER(出库明细!E72),ISNUMBER(出库明细!F72)),IF(ABS(出库明细!G72-出库明细!E72*出库明细!F72)&gt;0.005,1,0),0)</f>
        <v>0</v>
      </c>
      <c r="O72">
        <f>IF(AND(ISNUMBER(存条明细!G72),ISNUMBER(存条明细!E72),ISNUMBER(存条明细!F72)),IF(ABS(存条明细!G72-存条明细!E72*存条明细!F72)&gt;0.005,1,0),0)</f>
        <v>0</v>
      </c>
      <c r="AA72">
        <f>IF(基础资料!G71="","",基础资料!G71&amp;"")</f>
      </c>
      <c r="AB72">
        <f>IF(N(基础资料!I71)&lt;=0,1,基础资料!I71)</f>
        <v>1</v>
      </c>
      <c r="AC72">
        <f>IF(OR($AA72="",AC$5=""),0,SUMIF(INDIRECT("'"&amp;AC$5&amp;"'!C6:C1000"),$AA72,INDIRECT("'"&amp;AC$5&amp;"'!H6:H1000")))</f>
        <v>0</v>
      </c>
      <c r="AD72">
        <f>IF(OR($AA72="",AD$5=""),0,SUMIF(INDIRECT("'"&amp;AD$5&amp;"'!C6:C1000"),$AA72,INDIRECT("'"&amp;AD$5&amp;"'!H6:H1000")))</f>
        <v>0</v>
      </c>
      <c r="AE72">
        <f>IF(OR($AA72="",AE$5=""),0,SUMIF(INDIRECT("'"&amp;AE$5&amp;"'!C6:C1000"),$AA72,INDIRECT("'"&amp;AE$5&amp;"'!H6:H1000")))</f>
        <v>0</v>
      </c>
      <c r="AF72">
        <f>IF(OR($AA72="",AF$5=""),0,SUMIF(INDIRECT("'"&amp;AF$5&amp;"'!C6:C1000"),$AA72,INDIRECT("'"&amp;AF$5&amp;"'!H6:H1000")))</f>
        <v>0</v>
      </c>
      <c r="AG72">
        <f>IF(OR($AA72="",AG$5=""),0,SUMIF(INDIRECT("'"&amp;AG$5&amp;"'!C6:C1000"),$AA72,INDIRECT("'"&amp;AG$5&amp;"'!H6:H1000")))</f>
        <v>0</v>
      </c>
      <c r="AH72">
        <f>IF(OR($AA72="",AH$5=""),0,SUMIF(INDIRECT("'"&amp;AH$5&amp;"'!C6:C1000"),$AA72,INDIRECT("'"&amp;AH$5&amp;"'!H6:H1000")))</f>
        <v>0</v>
      </c>
      <c r="AI72">
        <f>IF(OR($AA72="",AI$5=""),0,SUMIF(INDIRECT("'"&amp;AI$5&amp;"'!C6:C1000"),$AA72,INDIRECT("'"&amp;AI$5&amp;"'!H6:H1000")))</f>
        <v>0</v>
      </c>
      <c r="AJ72">
        <f>IF(OR($AA72="",AJ$5=""),0,SUMIF(INDIRECT("'"&amp;AJ$5&amp;"'!C6:C1000"),$AA72,INDIRECT("'"&amp;AJ$5&amp;"'!H6:H1000")))</f>
        <v>0</v>
      </c>
      <c r="AK72">
        <f>IF(OR($AA72="",AK$5=""),0,SUMIF(INDIRECT("'"&amp;AK$5&amp;"'!C6:C1000"),$AA72,INDIRECT("'"&amp;AK$5&amp;"'!H6:H1000")))</f>
        <v>0</v>
      </c>
      <c r="AL72">
        <f>IF(OR($AA72="",AL$5=""),0,SUMIF(INDIRECT("'"&amp;AL$5&amp;"'!C6:C1000"),$AA72,INDIRECT("'"&amp;AL$5&amp;"'!H6:H1000")))</f>
        <v>0</v>
      </c>
      <c r="AM72">
        <f>IF(OR($AA72="",AM$5=""),0,SUMIF(INDIRECT("'"&amp;AM$5&amp;"'!C6:C1000"),$AA72,INDIRECT("'"&amp;AM$5&amp;"'!H6:H1000")))</f>
        <v>0</v>
      </c>
      <c r="AN72">
        <f>IF(OR($AA72="",AN$5=""),0,SUMIF(INDIRECT("'"&amp;AN$5&amp;"'!C6:C1000"),$AA72,INDIRECT("'"&amp;AN$5&amp;"'!H6:H1000")))</f>
        <v>0</v>
      </c>
      <c r="AO72">
        <f>IF(OR($AA72="",AC$5=""),0,SUMIF(INDIRECT("'"&amp;AC$5&amp;"'!C6:C1000"),$AA72,INDIRECT("'"&amp;AC$5&amp;"'!E6:E1000")))</f>
        <v>0</v>
      </c>
      <c r="AP72">
        <f>IF(OR($AA72="",AD$5=""),0,SUMIF(INDIRECT("'"&amp;AD$5&amp;"'!C6:C1000"),$AA72,INDIRECT("'"&amp;AD$5&amp;"'!E6:E1000")))</f>
        <v>0</v>
      </c>
      <c r="AQ72">
        <f>IF(OR($AA72="",AE$5=""),0,SUMIF(INDIRECT("'"&amp;AE$5&amp;"'!C6:C1000"),$AA72,INDIRECT("'"&amp;AE$5&amp;"'!E6:E1000")))</f>
        <v>0</v>
      </c>
      <c r="AR72">
        <f>IF(OR($AA72="",AF$5=""),0,SUMIF(INDIRECT("'"&amp;AF$5&amp;"'!C6:C1000"),$AA72,INDIRECT("'"&amp;AF$5&amp;"'!E6:E1000")))</f>
        <v>0</v>
      </c>
      <c r="AS72">
        <f>IF(OR($AA72="",AG$5=""),0,SUMIF(INDIRECT("'"&amp;AG$5&amp;"'!C6:C1000"),$AA72,INDIRECT("'"&amp;AG$5&amp;"'!E6:E1000")))</f>
        <v>0</v>
      </c>
      <c r="AT72">
        <f>IF(OR($AA72="",AH$5=""),0,SUMIF(INDIRECT("'"&amp;AH$5&amp;"'!C6:C1000"),$AA72,INDIRECT("'"&amp;AH$5&amp;"'!E6:E1000")))</f>
        <v>0</v>
      </c>
      <c r="AU72">
        <f>IF(OR($AA72="",AI$5=""),0,SUMIF(INDIRECT("'"&amp;AI$5&amp;"'!C6:C1000"),$AA72,INDIRECT("'"&amp;AI$5&amp;"'!E6:E1000")))</f>
        <v>0</v>
      </c>
      <c r="AV72">
        <f>IF(OR($AA72="",AJ$5=""),0,SUMIF(INDIRECT("'"&amp;AJ$5&amp;"'!C6:C1000"),$AA72,INDIRECT("'"&amp;AJ$5&amp;"'!E6:E1000")))</f>
        <v>0</v>
      </c>
      <c r="AW72">
        <f>IF(OR($AA72="",AK$5=""),0,SUMIF(INDIRECT("'"&amp;AK$5&amp;"'!C6:C1000"),$AA72,INDIRECT("'"&amp;AK$5&amp;"'!E6:E1000")))</f>
        <v>0</v>
      </c>
      <c r="AX72">
        <f>IF(OR($AA72="",AL$5=""),0,SUMIF(INDIRECT("'"&amp;AL$5&amp;"'!C6:C1000"),$AA72,INDIRECT("'"&amp;AL$5&amp;"'!E6:E1000")))</f>
        <v>0</v>
      </c>
      <c r="AY72">
        <f>IF(OR($AA72="",AM$5=""),0,SUMIF(INDIRECT("'"&amp;AM$5&amp;"'!C6:C1000"),$AA72,INDIRECT("'"&amp;AM$5&amp;"'!E6:E1000")))</f>
        <v>0</v>
      </c>
      <c r="AZ72">
        <f>IF(OR($AA72="",AN$5=""),0,SUMIF(INDIRECT("'"&amp;AN$5&amp;"'!C6:C1000"),$AA72,INDIRECT("'"&amp;AN$5&amp;"'!E6:E1000")))</f>
        <v>0</v>
      </c>
      <c r="BA72">
        <f>IF(OR($AA72="",AC$5=""),0,SUMIFS(INDIRECT("'"&amp;AC$5&amp;"'!E6:E1000"),INDIRECT("'"&amp;AC$5&amp;"'!C6:C1000"),$AA72,INDIRECT("'"&amp;AC$5&amp;"'!F6:F1000"),"箱")+SUMIFS(INDIRECT("'"&amp;AC$5&amp;"'!E6:E1000"),INDIRECT("'"&amp;AC$5&amp;"'!C6:C1000"),$AA72,INDIRECT("'"&amp;AC$5&amp;"'!F6:F1000"),"件"))</f>
        <v>0</v>
      </c>
      <c r="BB72">
        <f>IF(OR($AA72="",AD$5=""),0,SUMIFS(INDIRECT("'"&amp;AD$5&amp;"'!E6:E1000"),INDIRECT("'"&amp;AD$5&amp;"'!C6:C1000"),$AA72,INDIRECT("'"&amp;AD$5&amp;"'!F6:F1000"),"箱")+SUMIFS(INDIRECT("'"&amp;AD$5&amp;"'!E6:E1000"),INDIRECT("'"&amp;AD$5&amp;"'!C6:C1000"),$AA72,INDIRECT("'"&amp;AD$5&amp;"'!F6:F1000"),"件"))</f>
        <v>0</v>
      </c>
      <c r="BC72">
        <f>IF(OR($AA72="",AE$5=""),0,SUMIFS(INDIRECT("'"&amp;AE$5&amp;"'!E6:E1000"),INDIRECT("'"&amp;AE$5&amp;"'!C6:C1000"),$AA72,INDIRECT("'"&amp;AE$5&amp;"'!F6:F1000"),"箱")+SUMIFS(INDIRECT("'"&amp;AE$5&amp;"'!E6:E1000"),INDIRECT("'"&amp;AE$5&amp;"'!C6:C1000"),$AA72,INDIRECT("'"&amp;AE$5&amp;"'!F6:F1000"),"件"))</f>
        <v>0</v>
      </c>
      <c r="BD72">
        <f>IF(OR($AA72="",AF$5=""),0,SUMIFS(INDIRECT("'"&amp;AF$5&amp;"'!E6:E1000"),INDIRECT("'"&amp;AF$5&amp;"'!C6:C1000"),$AA72,INDIRECT("'"&amp;AF$5&amp;"'!F6:F1000"),"箱")+SUMIFS(INDIRECT("'"&amp;AF$5&amp;"'!E6:E1000"),INDIRECT("'"&amp;AF$5&amp;"'!C6:C1000"),$AA72,INDIRECT("'"&amp;AF$5&amp;"'!F6:F1000"),"件"))</f>
        <v>0</v>
      </c>
      <c r="BE72">
        <f>IF(OR($AA72="",AG$5=""),0,SUMIFS(INDIRECT("'"&amp;AG$5&amp;"'!E6:E1000"),INDIRECT("'"&amp;AG$5&amp;"'!C6:C1000"),$AA72,INDIRECT("'"&amp;AG$5&amp;"'!F6:F1000"),"箱")+SUMIFS(INDIRECT("'"&amp;AG$5&amp;"'!E6:E1000"),INDIRECT("'"&amp;AG$5&amp;"'!C6:C1000"),$AA72,INDIRECT("'"&amp;AG$5&amp;"'!F6:F1000"),"件"))</f>
        <v>0</v>
      </c>
      <c r="BF72">
        <f>IF(OR($AA72="",AH$5=""),0,SUMIFS(INDIRECT("'"&amp;AH$5&amp;"'!E6:E1000"),INDIRECT("'"&amp;AH$5&amp;"'!C6:C1000"),$AA72,INDIRECT("'"&amp;AH$5&amp;"'!F6:F1000"),"箱")+SUMIFS(INDIRECT("'"&amp;AH$5&amp;"'!E6:E1000"),INDIRECT("'"&amp;AH$5&amp;"'!C6:C1000"),$AA72,INDIRECT("'"&amp;AH$5&amp;"'!F6:F1000"),"件"))</f>
        <v>0</v>
      </c>
      <c r="BG72">
        <f>IF(OR($AA72="",AI$5=""),0,SUMIFS(INDIRECT("'"&amp;AI$5&amp;"'!E6:E1000"),INDIRECT("'"&amp;AI$5&amp;"'!C6:C1000"),$AA72,INDIRECT("'"&amp;AI$5&amp;"'!F6:F1000"),"箱")+SUMIFS(INDIRECT("'"&amp;AI$5&amp;"'!E6:E1000"),INDIRECT("'"&amp;AI$5&amp;"'!C6:C1000"),$AA72,INDIRECT("'"&amp;AI$5&amp;"'!F6:F1000"),"件"))</f>
        <v>0</v>
      </c>
      <c r="BH72">
        <f>IF(OR($AA72="",AJ$5=""),0,SUMIFS(INDIRECT("'"&amp;AJ$5&amp;"'!E6:E1000"),INDIRECT("'"&amp;AJ$5&amp;"'!C6:C1000"),$AA72,INDIRECT("'"&amp;AJ$5&amp;"'!F6:F1000"),"箱")+SUMIFS(INDIRECT("'"&amp;AJ$5&amp;"'!E6:E1000"),INDIRECT("'"&amp;AJ$5&amp;"'!C6:C1000"),$AA72,INDIRECT("'"&amp;AJ$5&amp;"'!F6:F1000"),"件"))</f>
        <v>0</v>
      </c>
      <c r="BI72">
        <f>IF(OR($AA72="",AK$5=""),0,SUMIFS(INDIRECT("'"&amp;AK$5&amp;"'!E6:E1000"),INDIRECT("'"&amp;AK$5&amp;"'!C6:C1000"),$AA72,INDIRECT("'"&amp;AK$5&amp;"'!F6:F1000"),"箱")+SUMIFS(INDIRECT("'"&amp;AK$5&amp;"'!E6:E1000"),INDIRECT("'"&amp;AK$5&amp;"'!C6:C1000"),$AA72,INDIRECT("'"&amp;AK$5&amp;"'!F6:F1000"),"件"))</f>
        <v>0</v>
      </c>
      <c r="BJ72">
        <f>IF(OR($AA72="",AL$5=""),0,SUMIFS(INDIRECT("'"&amp;AL$5&amp;"'!E6:E1000"),INDIRECT("'"&amp;AL$5&amp;"'!C6:C1000"),$AA72,INDIRECT("'"&amp;AL$5&amp;"'!F6:F1000"),"箱")+SUMIFS(INDIRECT("'"&amp;AL$5&amp;"'!E6:E1000"),INDIRECT("'"&amp;AL$5&amp;"'!C6:C1000"),$AA72,INDIRECT("'"&amp;AL$5&amp;"'!F6:F1000"),"件"))</f>
        <v>0</v>
      </c>
      <c r="BK72">
        <f>IF(OR($AA72="",AM$5=""),0,SUMIFS(INDIRECT("'"&amp;AM$5&amp;"'!E6:E1000"),INDIRECT("'"&amp;AM$5&amp;"'!C6:C1000"),$AA72,INDIRECT("'"&amp;AM$5&amp;"'!F6:F1000"),"箱")+SUMIFS(INDIRECT("'"&amp;AM$5&amp;"'!E6:E1000"),INDIRECT("'"&amp;AM$5&amp;"'!C6:C1000"),$AA72,INDIRECT("'"&amp;AM$5&amp;"'!F6:F1000"),"件"))</f>
        <v>0</v>
      </c>
      <c r="BL72">
        <f>IF(OR($AA72="",AN$5=""),0,SUMIFS(INDIRECT("'"&amp;AN$5&amp;"'!E6:E1000"),INDIRECT("'"&amp;AN$5&amp;"'!C6:C1000"),$AA72,INDIRECT("'"&amp;AN$5&amp;"'!F6:F1000"),"箱")+SUMIFS(INDIRECT("'"&amp;AN$5&amp;"'!E6:E1000"),INDIRECT("'"&amp;AN$5&amp;"'!C6:C1000"),$AA72,INDIRECT("'"&amp;AN$5&amp;"'!F6:F1000"),"件"))</f>
        <v>0</v>
      </c>
      <c r="BM72">
        <f>(AO72-BA72)/$AB72+BA72</f>
        <v>0</v>
      </c>
      <c r="BN72">
        <f>(AP72-BB72)/$AB72+BB72</f>
        <v>0</v>
      </c>
      <c r="BO72">
        <f>(AQ72-BC72)/$AB72+BC72</f>
        <v>0</v>
      </c>
      <c r="BP72">
        <f>(AR72-BD72)/$AB72+BD72</f>
        <v>0</v>
      </c>
      <c r="BQ72">
        <f>(AS72-BE72)/$AB72+BE72</f>
        <v>0</v>
      </c>
      <c r="BR72">
        <f>(AT72-BF72)/$AB72+BF72</f>
        <v>0</v>
      </c>
      <c r="BS72">
        <f>(AU72-BG72)/$AB72+BG72</f>
        <v>0</v>
      </c>
      <c r="BT72">
        <f>(AV72-BH72)/$AB72+BH72</f>
        <v>0</v>
      </c>
      <c r="BU72">
        <f>(AW72-BI72)/$AB72+BI72</f>
        <v>0</v>
      </c>
      <c r="BV72">
        <f>(AX72-BJ72)/$AB72+BJ72</f>
        <v>0</v>
      </c>
      <c r="BW72">
        <f>(AY72-BK72)/$AB72+BK72</f>
        <v>0</v>
      </c>
      <c r="BX72">
        <f>(AZ72-BL72)/$AB72+BL72</f>
        <v>0</v>
      </c>
      <c r="BY72">
        <f>SUMPRODUCT((($AC$4:$AN$4=报损汇总一览!$A$3)+(报损汇总一览!$A$3="全年"))*AC72:AN72)</f>
        <v>0</v>
      </c>
      <c r="BZ72">
        <f>IF(BY72&gt;0,BY72+(1000-ROW())/10000000,"")</f>
      </c>
      <c r="CA72">
        <f>SUMPRODUCT((($AC$4:$AN$4=报损汇总一览!$A$3)+(报损汇总一览!$A$3="全年"))*AO72:AZ72)</f>
        <v>0</v>
      </c>
    </row>
    <row r="73">
      <c r="A73">
        <f>IF(OR(存条明细!C73="",存条明细!D73=""),"",IF(COUNTIFS(存条明细!$C$4:C73,存条明细!C73,存条明细!$D$4:D73,存条明细!D73)&gt;1,"",IFERROR(MATCH(存条明细!C73,总览汇总!$B$5:$B$304,0),900)*10000000+IFERROR(MATCH(存条明细!D73,基础资料!$E$5:$E$104,0),900)*10000+ROW()))</f>
        <v>460010073</v>
      </c>
      <c r="B73">
        <f>IFERROR(MATCH(SMALL($A$4:$A$4003,70),$A$4:$A$4003,0),"")</f>
        <v>1097</v>
      </c>
      <c r="D73">
        <f>IF(AND(商品库存!B73&lt;&gt;"",商品库存!B73=客户查询!$B$4),COUNTIF(商品库存!$B$4:B73,客户查询!$B$4),"")</f>
      </c>
      <c r="E73">
        <f>IF(AND(商品库存!B73&lt;&gt;"",商品库存!B73=客户对账单!$B$4),COUNTIF(商品库存!$B$4:B73,客户对账单!$B$4),"")</f>
      </c>
      <c r="F73">
        <f>IF(AND(出库明细!C73&lt;&gt;"",出库明细!C73=客户对账单!$B$4,ISNUMBER(出库明细!B73),出库明细!B73&gt;=客户对账单!$G$4,出库明细!B73&lt;=客户对账单!$I$4),出库明细!B73+ROW()/100000,"")</f>
      </c>
      <c r="H73">
        <f>IF(AND(采购进货!C73&lt;&gt;"",采购进货!C73=供应商对账单!$B$4,ISNUMBER(采购进货!B73),采购进货!B73&gt;=供应商对账单!$G$4,采购进货!B73&lt;=供应商对账单!$I$4),采购进货!B73+ROW()/100000,"")</f>
      </c>
      <c r="J73">
        <f>IF(总览汇总!$B73="","",N(总览汇总!$K73)+SUMIFS(出库明细!$G$4:$G$3003,出库明细!$C$4:$C$3003,总览汇总!$B73,出库明细!$B$4:$B$3003,"&gt;="&amp;年初日,出库明细!$B$4:$B$3003,"&lt;="&amp;资产负债表!$D$3)-SUMIFS(资金台帐!$S$7:$S$3006,资金台帐!$J$7:$J$3006,总览汇总!$B73,资金台帐!$P$7:$P$3006,"应收",资金台帐!$B$7:$B$3006,"&gt;="&amp;年初日,资金台帐!$B$7:$B$3006,"&lt;="&amp;资产负债表!$D$3))</f>
        <v>0</v>
      </c>
      <c r="N73">
        <f>IF(AND(ISNUMBER(出库明细!G73),ISNUMBER(出库明细!E73),ISNUMBER(出库明细!F73)),IF(ABS(出库明细!G73-出库明细!E73*出库明细!F73)&gt;0.005,1,0),0)</f>
        <v>0</v>
      </c>
      <c r="O73">
        <f>IF(AND(ISNUMBER(存条明细!G73),ISNUMBER(存条明细!E73),ISNUMBER(存条明细!F73)),IF(ABS(存条明细!G73-存条明细!E73*存条明细!F73)&gt;0.005,1,0),0)</f>
        <v>0</v>
      </c>
      <c r="AA73">
        <f>IF(基础资料!G72="","",基础资料!G72&amp;"")</f>
      </c>
      <c r="AB73">
        <f>IF(N(基础资料!I72)&lt;=0,1,基础资料!I72)</f>
        <v>1</v>
      </c>
      <c r="AC73">
        <f>IF(OR($AA73="",AC$5=""),0,SUMIF(INDIRECT("'"&amp;AC$5&amp;"'!C6:C1000"),$AA73,INDIRECT("'"&amp;AC$5&amp;"'!H6:H1000")))</f>
        <v>0</v>
      </c>
      <c r="AD73">
        <f>IF(OR($AA73="",AD$5=""),0,SUMIF(INDIRECT("'"&amp;AD$5&amp;"'!C6:C1000"),$AA73,INDIRECT("'"&amp;AD$5&amp;"'!H6:H1000")))</f>
        <v>0</v>
      </c>
      <c r="AE73">
        <f>IF(OR($AA73="",AE$5=""),0,SUMIF(INDIRECT("'"&amp;AE$5&amp;"'!C6:C1000"),$AA73,INDIRECT("'"&amp;AE$5&amp;"'!H6:H1000")))</f>
        <v>0</v>
      </c>
      <c r="AF73">
        <f>IF(OR($AA73="",AF$5=""),0,SUMIF(INDIRECT("'"&amp;AF$5&amp;"'!C6:C1000"),$AA73,INDIRECT("'"&amp;AF$5&amp;"'!H6:H1000")))</f>
        <v>0</v>
      </c>
      <c r="AG73">
        <f>IF(OR($AA73="",AG$5=""),0,SUMIF(INDIRECT("'"&amp;AG$5&amp;"'!C6:C1000"),$AA73,INDIRECT("'"&amp;AG$5&amp;"'!H6:H1000")))</f>
        <v>0</v>
      </c>
      <c r="AH73">
        <f>IF(OR($AA73="",AH$5=""),0,SUMIF(INDIRECT("'"&amp;AH$5&amp;"'!C6:C1000"),$AA73,INDIRECT("'"&amp;AH$5&amp;"'!H6:H1000")))</f>
        <v>0</v>
      </c>
      <c r="AI73">
        <f>IF(OR($AA73="",AI$5=""),0,SUMIF(INDIRECT("'"&amp;AI$5&amp;"'!C6:C1000"),$AA73,INDIRECT("'"&amp;AI$5&amp;"'!H6:H1000")))</f>
        <v>0</v>
      </c>
      <c r="AJ73">
        <f>IF(OR($AA73="",AJ$5=""),0,SUMIF(INDIRECT("'"&amp;AJ$5&amp;"'!C6:C1000"),$AA73,INDIRECT("'"&amp;AJ$5&amp;"'!H6:H1000")))</f>
        <v>0</v>
      </c>
      <c r="AK73">
        <f>IF(OR($AA73="",AK$5=""),0,SUMIF(INDIRECT("'"&amp;AK$5&amp;"'!C6:C1000"),$AA73,INDIRECT("'"&amp;AK$5&amp;"'!H6:H1000")))</f>
        <v>0</v>
      </c>
      <c r="AL73">
        <f>IF(OR($AA73="",AL$5=""),0,SUMIF(INDIRECT("'"&amp;AL$5&amp;"'!C6:C1000"),$AA73,INDIRECT("'"&amp;AL$5&amp;"'!H6:H1000")))</f>
        <v>0</v>
      </c>
      <c r="AM73">
        <f>IF(OR($AA73="",AM$5=""),0,SUMIF(INDIRECT("'"&amp;AM$5&amp;"'!C6:C1000"),$AA73,INDIRECT("'"&amp;AM$5&amp;"'!H6:H1000")))</f>
        <v>0</v>
      </c>
      <c r="AN73">
        <f>IF(OR($AA73="",AN$5=""),0,SUMIF(INDIRECT("'"&amp;AN$5&amp;"'!C6:C1000"),$AA73,INDIRECT("'"&amp;AN$5&amp;"'!H6:H1000")))</f>
        <v>0</v>
      </c>
      <c r="AO73">
        <f>IF(OR($AA73="",AC$5=""),0,SUMIF(INDIRECT("'"&amp;AC$5&amp;"'!C6:C1000"),$AA73,INDIRECT("'"&amp;AC$5&amp;"'!E6:E1000")))</f>
        <v>0</v>
      </c>
      <c r="AP73">
        <f>IF(OR($AA73="",AD$5=""),0,SUMIF(INDIRECT("'"&amp;AD$5&amp;"'!C6:C1000"),$AA73,INDIRECT("'"&amp;AD$5&amp;"'!E6:E1000")))</f>
        <v>0</v>
      </c>
      <c r="AQ73">
        <f>IF(OR($AA73="",AE$5=""),0,SUMIF(INDIRECT("'"&amp;AE$5&amp;"'!C6:C1000"),$AA73,INDIRECT("'"&amp;AE$5&amp;"'!E6:E1000")))</f>
        <v>0</v>
      </c>
      <c r="AR73">
        <f>IF(OR($AA73="",AF$5=""),0,SUMIF(INDIRECT("'"&amp;AF$5&amp;"'!C6:C1000"),$AA73,INDIRECT("'"&amp;AF$5&amp;"'!E6:E1000")))</f>
        <v>0</v>
      </c>
      <c r="AS73">
        <f>IF(OR($AA73="",AG$5=""),0,SUMIF(INDIRECT("'"&amp;AG$5&amp;"'!C6:C1000"),$AA73,INDIRECT("'"&amp;AG$5&amp;"'!E6:E1000")))</f>
        <v>0</v>
      </c>
      <c r="AT73">
        <f>IF(OR($AA73="",AH$5=""),0,SUMIF(INDIRECT("'"&amp;AH$5&amp;"'!C6:C1000"),$AA73,INDIRECT("'"&amp;AH$5&amp;"'!E6:E1000")))</f>
        <v>0</v>
      </c>
      <c r="AU73">
        <f>IF(OR($AA73="",AI$5=""),0,SUMIF(INDIRECT("'"&amp;AI$5&amp;"'!C6:C1000"),$AA73,INDIRECT("'"&amp;AI$5&amp;"'!E6:E1000")))</f>
        <v>0</v>
      </c>
      <c r="AV73">
        <f>IF(OR($AA73="",AJ$5=""),0,SUMIF(INDIRECT("'"&amp;AJ$5&amp;"'!C6:C1000"),$AA73,INDIRECT("'"&amp;AJ$5&amp;"'!E6:E1000")))</f>
        <v>0</v>
      </c>
      <c r="AW73">
        <f>IF(OR($AA73="",AK$5=""),0,SUMIF(INDIRECT("'"&amp;AK$5&amp;"'!C6:C1000"),$AA73,INDIRECT("'"&amp;AK$5&amp;"'!E6:E1000")))</f>
        <v>0</v>
      </c>
      <c r="AX73">
        <f>IF(OR($AA73="",AL$5=""),0,SUMIF(INDIRECT("'"&amp;AL$5&amp;"'!C6:C1000"),$AA73,INDIRECT("'"&amp;AL$5&amp;"'!E6:E1000")))</f>
        <v>0</v>
      </c>
      <c r="AY73">
        <f>IF(OR($AA73="",AM$5=""),0,SUMIF(INDIRECT("'"&amp;AM$5&amp;"'!C6:C1000"),$AA73,INDIRECT("'"&amp;AM$5&amp;"'!E6:E1000")))</f>
        <v>0</v>
      </c>
      <c r="AZ73">
        <f>IF(OR($AA73="",AN$5=""),0,SUMIF(INDIRECT("'"&amp;AN$5&amp;"'!C6:C1000"),$AA73,INDIRECT("'"&amp;AN$5&amp;"'!E6:E1000")))</f>
        <v>0</v>
      </c>
      <c r="BA73">
        <f>IF(OR($AA73="",AC$5=""),0,SUMIFS(INDIRECT("'"&amp;AC$5&amp;"'!E6:E1000"),INDIRECT("'"&amp;AC$5&amp;"'!C6:C1000"),$AA73,INDIRECT("'"&amp;AC$5&amp;"'!F6:F1000"),"箱")+SUMIFS(INDIRECT("'"&amp;AC$5&amp;"'!E6:E1000"),INDIRECT("'"&amp;AC$5&amp;"'!C6:C1000"),$AA73,INDIRECT("'"&amp;AC$5&amp;"'!F6:F1000"),"件"))</f>
        <v>0</v>
      </c>
      <c r="BB73">
        <f>IF(OR($AA73="",AD$5=""),0,SUMIFS(INDIRECT("'"&amp;AD$5&amp;"'!E6:E1000"),INDIRECT("'"&amp;AD$5&amp;"'!C6:C1000"),$AA73,INDIRECT("'"&amp;AD$5&amp;"'!F6:F1000"),"箱")+SUMIFS(INDIRECT("'"&amp;AD$5&amp;"'!E6:E1000"),INDIRECT("'"&amp;AD$5&amp;"'!C6:C1000"),$AA73,INDIRECT("'"&amp;AD$5&amp;"'!F6:F1000"),"件"))</f>
        <v>0</v>
      </c>
      <c r="BC73">
        <f>IF(OR($AA73="",AE$5=""),0,SUMIFS(INDIRECT("'"&amp;AE$5&amp;"'!E6:E1000"),INDIRECT("'"&amp;AE$5&amp;"'!C6:C1000"),$AA73,INDIRECT("'"&amp;AE$5&amp;"'!F6:F1000"),"箱")+SUMIFS(INDIRECT("'"&amp;AE$5&amp;"'!E6:E1000"),INDIRECT("'"&amp;AE$5&amp;"'!C6:C1000"),$AA73,INDIRECT("'"&amp;AE$5&amp;"'!F6:F1000"),"件"))</f>
        <v>0</v>
      </c>
      <c r="BD73">
        <f>IF(OR($AA73="",AF$5=""),0,SUMIFS(INDIRECT("'"&amp;AF$5&amp;"'!E6:E1000"),INDIRECT("'"&amp;AF$5&amp;"'!C6:C1000"),$AA73,INDIRECT("'"&amp;AF$5&amp;"'!F6:F1000"),"箱")+SUMIFS(INDIRECT("'"&amp;AF$5&amp;"'!E6:E1000"),INDIRECT("'"&amp;AF$5&amp;"'!C6:C1000"),$AA73,INDIRECT("'"&amp;AF$5&amp;"'!F6:F1000"),"件"))</f>
        <v>0</v>
      </c>
      <c r="BE73">
        <f>IF(OR($AA73="",AG$5=""),0,SUMIFS(INDIRECT("'"&amp;AG$5&amp;"'!E6:E1000"),INDIRECT("'"&amp;AG$5&amp;"'!C6:C1000"),$AA73,INDIRECT("'"&amp;AG$5&amp;"'!F6:F1000"),"箱")+SUMIFS(INDIRECT("'"&amp;AG$5&amp;"'!E6:E1000"),INDIRECT("'"&amp;AG$5&amp;"'!C6:C1000"),$AA73,INDIRECT("'"&amp;AG$5&amp;"'!F6:F1000"),"件"))</f>
        <v>0</v>
      </c>
      <c r="BF73">
        <f>IF(OR($AA73="",AH$5=""),0,SUMIFS(INDIRECT("'"&amp;AH$5&amp;"'!E6:E1000"),INDIRECT("'"&amp;AH$5&amp;"'!C6:C1000"),$AA73,INDIRECT("'"&amp;AH$5&amp;"'!F6:F1000"),"箱")+SUMIFS(INDIRECT("'"&amp;AH$5&amp;"'!E6:E1000"),INDIRECT("'"&amp;AH$5&amp;"'!C6:C1000"),$AA73,INDIRECT("'"&amp;AH$5&amp;"'!F6:F1000"),"件"))</f>
        <v>0</v>
      </c>
      <c r="BG73">
        <f>IF(OR($AA73="",AI$5=""),0,SUMIFS(INDIRECT("'"&amp;AI$5&amp;"'!E6:E1000"),INDIRECT("'"&amp;AI$5&amp;"'!C6:C1000"),$AA73,INDIRECT("'"&amp;AI$5&amp;"'!F6:F1000"),"箱")+SUMIFS(INDIRECT("'"&amp;AI$5&amp;"'!E6:E1000"),INDIRECT("'"&amp;AI$5&amp;"'!C6:C1000"),$AA73,INDIRECT("'"&amp;AI$5&amp;"'!F6:F1000"),"件"))</f>
        <v>0</v>
      </c>
      <c r="BH73">
        <f>IF(OR($AA73="",AJ$5=""),0,SUMIFS(INDIRECT("'"&amp;AJ$5&amp;"'!E6:E1000"),INDIRECT("'"&amp;AJ$5&amp;"'!C6:C1000"),$AA73,INDIRECT("'"&amp;AJ$5&amp;"'!F6:F1000"),"箱")+SUMIFS(INDIRECT("'"&amp;AJ$5&amp;"'!E6:E1000"),INDIRECT("'"&amp;AJ$5&amp;"'!C6:C1000"),$AA73,INDIRECT("'"&amp;AJ$5&amp;"'!F6:F1000"),"件"))</f>
        <v>0</v>
      </c>
      <c r="BI73">
        <f>IF(OR($AA73="",AK$5=""),0,SUMIFS(INDIRECT("'"&amp;AK$5&amp;"'!E6:E1000"),INDIRECT("'"&amp;AK$5&amp;"'!C6:C1000"),$AA73,INDIRECT("'"&amp;AK$5&amp;"'!F6:F1000"),"箱")+SUMIFS(INDIRECT("'"&amp;AK$5&amp;"'!E6:E1000"),INDIRECT("'"&amp;AK$5&amp;"'!C6:C1000"),$AA73,INDIRECT("'"&amp;AK$5&amp;"'!F6:F1000"),"件"))</f>
        <v>0</v>
      </c>
      <c r="BJ73">
        <f>IF(OR($AA73="",AL$5=""),0,SUMIFS(INDIRECT("'"&amp;AL$5&amp;"'!E6:E1000"),INDIRECT("'"&amp;AL$5&amp;"'!C6:C1000"),$AA73,INDIRECT("'"&amp;AL$5&amp;"'!F6:F1000"),"箱")+SUMIFS(INDIRECT("'"&amp;AL$5&amp;"'!E6:E1000"),INDIRECT("'"&amp;AL$5&amp;"'!C6:C1000"),$AA73,INDIRECT("'"&amp;AL$5&amp;"'!F6:F1000"),"件"))</f>
        <v>0</v>
      </c>
      <c r="BK73">
        <f>IF(OR($AA73="",AM$5=""),0,SUMIFS(INDIRECT("'"&amp;AM$5&amp;"'!E6:E1000"),INDIRECT("'"&amp;AM$5&amp;"'!C6:C1000"),$AA73,INDIRECT("'"&amp;AM$5&amp;"'!F6:F1000"),"箱")+SUMIFS(INDIRECT("'"&amp;AM$5&amp;"'!E6:E1000"),INDIRECT("'"&amp;AM$5&amp;"'!C6:C1000"),$AA73,INDIRECT("'"&amp;AM$5&amp;"'!F6:F1000"),"件"))</f>
        <v>0</v>
      </c>
      <c r="BL73">
        <f>IF(OR($AA73="",AN$5=""),0,SUMIFS(INDIRECT("'"&amp;AN$5&amp;"'!E6:E1000"),INDIRECT("'"&amp;AN$5&amp;"'!C6:C1000"),$AA73,INDIRECT("'"&amp;AN$5&amp;"'!F6:F1000"),"箱")+SUMIFS(INDIRECT("'"&amp;AN$5&amp;"'!E6:E1000"),INDIRECT("'"&amp;AN$5&amp;"'!C6:C1000"),$AA73,INDIRECT("'"&amp;AN$5&amp;"'!F6:F1000"),"件"))</f>
        <v>0</v>
      </c>
      <c r="BM73">
        <f>(AO73-BA73)/$AB73+BA73</f>
        <v>0</v>
      </c>
      <c r="BN73">
        <f>(AP73-BB73)/$AB73+BB73</f>
        <v>0</v>
      </c>
      <c r="BO73">
        <f>(AQ73-BC73)/$AB73+BC73</f>
        <v>0</v>
      </c>
      <c r="BP73">
        <f>(AR73-BD73)/$AB73+BD73</f>
        <v>0</v>
      </c>
      <c r="BQ73">
        <f>(AS73-BE73)/$AB73+BE73</f>
        <v>0</v>
      </c>
      <c r="BR73">
        <f>(AT73-BF73)/$AB73+BF73</f>
        <v>0</v>
      </c>
      <c r="BS73">
        <f>(AU73-BG73)/$AB73+BG73</f>
        <v>0</v>
      </c>
      <c r="BT73">
        <f>(AV73-BH73)/$AB73+BH73</f>
        <v>0</v>
      </c>
      <c r="BU73">
        <f>(AW73-BI73)/$AB73+BI73</f>
        <v>0</v>
      </c>
      <c r="BV73">
        <f>(AX73-BJ73)/$AB73+BJ73</f>
        <v>0</v>
      </c>
      <c r="BW73">
        <f>(AY73-BK73)/$AB73+BK73</f>
        <v>0</v>
      </c>
      <c r="BX73">
        <f>(AZ73-BL73)/$AB73+BL73</f>
        <v>0</v>
      </c>
      <c r="BY73">
        <f>SUMPRODUCT((($AC$4:$AN$4=报损汇总一览!$A$3)+(报损汇总一览!$A$3="全年"))*AC73:AN73)</f>
        <v>0</v>
      </c>
      <c r="BZ73">
        <f>IF(BY73&gt;0,BY73+(1000-ROW())/10000000,"")</f>
      </c>
      <c r="CA73">
        <f>SUMPRODUCT((($AC$4:$AN$4=报损汇总一览!$A$3)+(报损汇总一览!$A$3="全年"))*AO73:AZ73)</f>
        <v>0</v>
      </c>
    </row>
    <row r="74">
      <c r="A74">
        <f>IF(OR(存条明细!C74="",存条明细!D74=""),"",IF(COUNTIFS(存条明细!$C$4:C74,存条明细!C74,存条明细!$D$4:D74,存条明细!D74)&gt;1,"",IFERROR(MATCH(存条明细!C74,总览汇总!$B$5:$B$304,0),900)*10000000+IFERROR(MATCH(存条明细!D74,基础资料!$E$5:$E$104,0),900)*10000+ROW()))</f>
        <v>460040074</v>
      </c>
      <c r="B74">
        <f>IFERROR(MATCH(SMALL($A$4:$A$4003,71),$A$4:$A$4003,0),"")</f>
        <v>1096</v>
      </c>
      <c r="D74">
        <f>IF(AND(商品库存!B74&lt;&gt;"",商品库存!B74=客户查询!$B$4),COUNTIF(商品库存!$B$4:B74,客户查询!$B$4),"")</f>
      </c>
      <c r="E74">
        <f>IF(AND(商品库存!B74&lt;&gt;"",商品库存!B74=客户对账单!$B$4),COUNTIF(商品库存!$B$4:B74,客户对账单!$B$4),"")</f>
      </c>
      <c r="F74">
        <f>IF(AND(出库明细!C74&lt;&gt;"",出库明细!C74=客户对账单!$B$4,ISNUMBER(出库明细!B74),出库明细!B74&gt;=客户对账单!$G$4,出库明细!B74&lt;=客户对账单!$I$4),出库明细!B74+ROW()/100000,"")</f>
      </c>
      <c r="H74">
        <f>IF(AND(采购进货!C74&lt;&gt;"",采购进货!C74=供应商对账单!$B$4,ISNUMBER(采购进货!B74),采购进货!B74&gt;=供应商对账单!$G$4,采购进货!B74&lt;=供应商对账单!$I$4),采购进货!B74+ROW()/100000,"")</f>
      </c>
      <c r="J74">
        <f>IF(总览汇总!$B74="","",N(总览汇总!$K74)+SUMIFS(出库明细!$G$4:$G$3003,出库明细!$C$4:$C$3003,总览汇总!$B74,出库明细!$B$4:$B$3003,"&gt;="&amp;年初日,出库明细!$B$4:$B$3003,"&lt;="&amp;资产负债表!$D$3)-SUMIFS(资金台帐!$S$7:$S$3006,资金台帐!$J$7:$J$3006,总览汇总!$B74,资金台帐!$P$7:$P$3006,"应收",资金台帐!$B$7:$B$3006,"&gt;="&amp;年初日,资金台帐!$B$7:$B$3006,"&lt;="&amp;资产负债表!$D$3))</f>
        <v>0</v>
      </c>
      <c r="N74">
        <f>IF(AND(ISNUMBER(出库明细!G74),ISNUMBER(出库明细!E74),ISNUMBER(出库明细!F74)),IF(ABS(出库明细!G74-出库明细!E74*出库明细!F74)&gt;0.005,1,0),0)</f>
        <v>0</v>
      </c>
      <c r="O74">
        <f>IF(AND(ISNUMBER(存条明细!G74),ISNUMBER(存条明细!E74),ISNUMBER(存条明细!F74)),IF(ABS(存条明细!G74-存条明细!E74*存条明细!F74)&gt;0.005,1,0),0)</f>
        <v>0</v>
      </c>
      <c r="AA74">
        <f>IF(基础资料!G73="","",基础资料!G73&amp;"")</f>
      </c>
      <c r="AB74">
        <f>IF(N(基础资料!I73)&lt;=0,1,基础资料!I73)</f>
        <v>1</v>
      </c>
      <c r="AC74">
        <f>IF(OR($AA74="",AC$5=""),0,SUMIF(INDIRECT("'"&amp;AC$5&amp;"'!C6:C1000"),$AA74,INDIRECT("'"&amp;AC$5&amp;"'!H6:H1000")))</f>
        <v>0</v>
      </c>
      <c r="AD74">
        <f>IF(OR($AA74="",AD$5=""),0,SUMIF(INDIRECT("'"&amp;AD$5&amp;"'!C6:C1000"),$AA74,INDIRECT("'"&amp;AD$5&amp;"'!H6:H1000")))</f>
        <v>0</v>
      </c>
      <c r="AE74">
        <f>IF(OR($AA74="",AE$5=""),0,SUMIF(INDIRECT("'"&amp;AE$5&amp;"'!C6:C1000"),$AA74,INDIRECT("'"&amp;AE$5&amp;"'!H6:H1000")))</f>
        <v>0</v>
      </c>
      <c r="AF74">
        <f>IF(OR($AA74="",AF$5=""),0,SUMIF(INDIRECT("'"&amp;AF$5&amp;"'!C6:C1000"),$AA74,INDIRECT("'"&amp;AF$5&amp;"'!H6:H1000")))</f>
        <v>0</v>
      </c>
      <c r="AG74">
        <f>IF(OR($AA74="",AG$5=""),0,SUMIF(INDIRECT("'"&amp;AG$5&amp;"'!C6:C1000"),$AA74,INDIRECT("'"&amp;AG$5&amp;"'!H6:H1000")))</f>
        <v>0</v>
      </c>
      <c r="AH74">
        <f>IF(OR($AA74="",AH$5=""),0,SUMIF(INDIRECT("'"&amp;AH$5&amp;"'!C6:C1000"),$AA74,INDIRECT("'"&amp;AH$5&amp;"'!H6:H1000")))</f>
        <v>0</v>
      </c>
      <c r="AI74">
        <f>IF(OR($AA74="",AI$5=""),0,SUMIF(INDIRECT("'"&amp;AI$5&amp;"'!C6:C1000"),$AA74,INDIRECT("'"&amp;AI$5&amp;"'!H6:H1000")))</f>
        <v>0</v>
      </c>
      <c r="AJ74">
        <f>IF(OR($AA74="",AJ$5=""),0,SUMIF(INDIRECT("'"&amp;AJ$5&amp;"'!C6:C1000"),$AA74,INDIRECT("'"&amp;AJ$5&amp;"'!H6:H1000")))</f>
        <v>0</v>
      </c>
      <c r="AK74">
        <f>IF(OR($AA74="",AK$5=""),0,SUMIF(INDIRECT("'"&amp;AK$5&amp;"'!C6:C1000"),$AA74,INDIRECT("'"&amp;AK$5&amp;"'!H6:H1000")))</f>
        <v>0</v>
      </c>
      <c r="AL74">
        <f>IF(OR($AA74="",AL$5=""),0,SUMIF(INDIRECT("'"&amp;AL$5&amp;"'!C6:C1000"),$AA74,INDIRECT("'"&amp;AL$5&amp;"'!H6:H1000")))</f>
        <v>0</v>
      </c>
      <c r="AM74">
        <f>IF(OR($AA74="",AM$5=""),0,SUMIF(INDIRECT("'"&amp;AM$5&amp;"'!C6:C1000"),$AA74,INDIRECT("'"&amp;AM$5&amp;"'!H6:H1000")))</f>
        <v>0</v>
      </c>
      <c r="AN74">
        <f>IF(OR($AA74="",AN$5=""),0,SUMIF(INDIRECT("'"&amp;AN$5&amp;"'!C6:C1000"),$AA74,INDIRECT("'"&amp;AN$5&amp;"'!H6:H1000")))</f>
        <v>0</v>
      </c>
      <c r="AO74">
        <f>IF(OR($AA74="",AC$5=""),0,SUMIF(INDIRECT("'"&amp;AC$5&amp;"'!C6:C1000"),$AA74,INDIRECT("'"&amp;AC$5&amp;"'!E6:E1000")))</f>
        <v>0</v>
      </c>
      <c r="AP74">
        <f>IF(OR($AA74="",AD$5=""),0,SUMIF(INDIRECT("'"&amp;AD$5&amp;"'!C6:C1000"),$AA74,INDIRECT("'"&amp;AD$5&amp;"'!E6:E1000")))</f>
        <v>0</v>
      </c>
      <c r="AQ74">
        <f>IF(OR($AA74="",AE$5=""),0,SUMIF(INDIRECT("'"&amp;AE$5&amp;"'!C6:C1000"),$AA74,INDIRECT("'"&amp;AE$5&amp;"'!E6:E1000")))</f>
        <v>0</v>
      </c>
      <c r="AR74">
        <f>IF(OR($AA74="",AF$5=""),0,SUMIF(INDIRECT("'"&amp;AF$5&amp;"'!C6:C1000"),$AA74,INDIRECT("'"&amp;AF$5&amp;"'!E6:E1000")))</f>
        <v>0</v>
      </c>
      <c r="AS74">
        <f>IF(OR($AA74="",AG$5=""),0,SUMIF(INDIRECT("'"&amp;AG$5&amp;"'!C6:C1000"),$AA74,INDIRECT("'"&amp;AG$5&amp;"'!E6:E1000")))</f>
        <v>0</v>
      </c>
      <c r="AT74">
        <f>IF(OR($AA74="",AH$5=""),0,SUMIF(INDIRECT("'"&amp;AH$5&amp;"'!C6:C1000"),$AA74,INDIRECT("'"&amp;AH$5&amp;"'!E6:E1000")))</f>
        <v>0</v>
      </c>
      <c r="AU74">
        <f>IF(OR($AA74="",AI$5=""),0,SUMIF(INDIRECT("'"&amp;AI$5&amp;"'!C6:C1000"),$AA74,INDIRECT("'"&amp;AI$5&amp;"'!E6:E1000")))</f>
        <v>0</v>
      </c>
      <c r="AV74">
        <f>IF(OR($AA74="",AJ$5=""),0,SUMIF(INDIRECT("'"&amp;AJ$5&amp;"'!C6:C1000"),$AA74,INDIRECT("'"&amp;AJ$5&amp;"'!E6:E1000")))</f>
        <v>0</v>
      </c>
      <c r="AW74">
        <f>IF(OR($AA74="",AK$5=""),0,SUMIF(INDIRECT("'"&amp;AK$5&amp;"'!C6:C1000"),$AA74,INDIRECT("'"&amp;AK$5&amp;"'!E6:E1000")))</f>
        <v>0</v>
      </c>
      <c r="AX74">
        <f>IF(OR($AA74="",AL$5=""),0,SUMIF(INDIRECT("'"&amp;AL$5&amp;"'!C6:C1000"),$AA74,INDIRECT("'"&amp;AL$5&amp;"'!E6:E1000")))</f>
        <v>0</v>
      </c>
      <c r="AY74">
        <f>IF(OR($AA74="",AM$5=""),0,SUMIF(INDIRECT("'"&amp;AM$5&amp;"'!C6:C1000"),$AA74,INDIRECT("'"&amp;AM$5&amp;"'!E6:E1000")))</f>
        <v>0</v>
      </c>
      <c r="AZ74">
        <f>IF(OR($AA74="",AN$5=""),0,SUMIF(INDIRECT("'"&amp;AN$5&amp;"'!C6:C1000"),$AA74,INDIRECT("'"&amp;AN$5&amp;"'!E6:E1000")))</f>
        <v>0</v>
      </c>
      <c r="BA74">
        <f>IF(OR($AA74="",AC$5=""),0,SUMIFS(INDIRECT("'"&amp;AC$5&amp;"'!E6:E1000"),INDIRECT("'"&amp;AC$5&amp;"'!C6:C1000"),$AA74,INDIRECT("'"&amp;AC$5&amp;"'!F6:F1000"),"箱")+SUMIFS(INDIRECT("'"&amp;AC$5&amp;"'!E6:E1000"),INDIRECT("'"&amp;AC$5&amp;"'!C6:C1000"),$AA74,INDIRECT("'"&amp;AC$5&amp;"'!F6:F1000"),"件"))</f>
        <v>0</v>
      </c>
      <c r="BB74">
        <f>IF(OR($AA74="",AD$5=""),0,SUMIFS(INDIRECT("'"&amp;AD$5&amp;"'!E6:E1000"),INDIRECT("'"&amp;AD$5&amp;"'!C6:C1000"),$AA74,INDIRECT("'"&amp;AD$5&amp;"'!F6:F1000"),"箱")+SUMIFS(INDIRECT("'"&amp;AD$5&amp;"'!E6:E1000"),INDIRECT("'"&amp;AD$5&amp;"'!C6:C1000"),$AA74,INDIRECT("'"&amp;AD$5&amp;"'!F6:F1000"),"件"))</f>
        <v>0</v>
      </c>
      <c r="BC74">
        <f>IF(OR($AA74="",AE$5=""),0,SUMIFS(INDIRECT("'"&amp;AE$5&amp;"'!E6:E1000"),INDIRECT("'"&amp;AE$5&amp;"'!C6:C1000"),$AA74,INDIRECT("'"&amp;AE$5&amp;"'!F6:F1000"),"箱")+SUMIFS(INDIRECT("'"&amp;AE$5&amp;"'!E6:E1000"),INDIRECT("'"&amp;AE$5&amp;"'!C6:C1000"),$AA74,INDIRECT("'"&amp;AE$5&amp;"'!F6:F1000"),"件"))</f>
        <v>0</v>
      </c>
      <c r="BD74">
        <f>IF(OR($AA74="",AF$5=""),0,SUMIFS(INDIRECT("'"&amp;AF$5&amp;"'!E6:E1000"),INDIRECT("'"&amp;AF$5&amp;"'!C6:C1000"),$AA74,INDIRECT("'"&amp;AF$5&amp;"'!F6:F1000"),"箱")+SUMIFS(INDIRECT("'"&amp;AF$5&amp;"'!E6:E1000"),INDIRECT("'"&amp;AF$5&amp;"'!C6:C1000"),$AA74,INDIRECT("'"&amp;AF$5&amp;"'!F6:F1000"),"件"))</f>
        <v>0</v>
      </c>
      <c r="BE74">
        <f>IF(OR($AA74="",AG$5=""),0,SUMIFS(INDIRECT("'"&amp;AG$5&amp;"'!E6:E1000"),INDIRECT("'"&amp;AG$5&amp;"'!C6:C1000"),$AA74,INDIRECT("'"&amp;AG$5&amp;"'!F6:F1000"),"箱")+SUMIFS(INDIRECT("'"&amp;AG$5&amp;"'!E6:E1000"),INDIRECT("'"&amp;AG$5&amp;"'!C6:C1000"),$AA74,INDIRECT("'"&amp;AG$5&amp;"'!F6:F1000"),"件"))</f>
        <v>0</v>
      </c>
      <c r="BF74">
        <f>IF(OR($AA74="",AH$5=""),0,SUMIFS(INDIRECT("'"&amp;AH$5&amp;"'!E6:E1000"),INDIRECT("'"&amp;AH$5&amp;"'!C6:C1000"),$AA74,INDIRECT("'"&amp;AH$5&amp;"'!F6:F1000"),"箱")+SUMIFS(INDIRECT("'"&amp;AH$5&amp;"'!E6:E1000"),INDIRECT("'"&amp;AH$5&amp;"'!C6:C1000"),$AA74,INDIRECT("'"&amp;AH$5&amp;"'!F6:F1000"),"件"))</f>
        <v>0</v>
      </c>
      <c r="BG74">
        <f>IF(OR($AA74="",AI$5=""),0,SUMIFS(INDIRECT("'"&amp;AI$5&amp;"'!E6:E1000"),INDIRECT("'"&amp;AI$5&amp;"'!C6:C1000"),$AA74,INDIRECT("'"&amp;AI$5&amp;"'!F6:F1000"),"箱")+SUMIFS(INDIRECT("'"&amp;AI$5&amp;"'!E6:E1000"),INDIRECT("'"&amp;AI$5&amp;"'!C6:C1000"),$AA74,INDIRECT("'"&amp;AI$5&amp;"'!F6:F1000"),"件"))</f>
        <v>0</v>
      </c>
      <c r="BH74">
        <f>IF(OR($AA74="",AJ$5=""),0,SUMIFS(INDIRECT("'"&amp;AJ$5&amp;"'!E6:E1000"),INDIRECT("'"&amp;AJ$5&amp;"'!C6:C1000"),$AA74,INDIRECT("'"&amp;AJ$5&amp;"'!F6:F1000"),"箱")+SUMIFS(INDIRECT("'"&amp;AJ$5&amp;"'!E6:E1000"),INDIRECT("'"&amp;AJ$5&amp;"'!C6:C1000"),$AA74,INDIRECT("'"&amp;AJ$5&amp;"'!F6:F1000"),"件"))</f>
        <v>0</v>
      </c>
      <c r="BI74">
        <f>IF(OR($AA74="",AK$5=""),0,SUMIFS(INDIRECT("'"&amp;AK$5&amp;"'!E6:E1000"),INDIRECT("'"&amp;AK$5&amp;"'!C6:C1000"),$AA74,INDIRECT("'"&amp;AK$5&amp;"'!F6:F1000"),"箱")+SUMIFS(INDIRECT("'"&amp;AK$5&amp;"'!E6:E1000"),INDIRECT("'"&amp;AK$5&amp;"'!C6:C1000"),$AA74,INDIRECT("'"&amp;AK$5&amp;"'!F6:F1000"),"件"))</f>
        <v>0</v>
      </c>
      <c r="BJ74">
        <f>IF(OR($AA74="",AL$5=""),0,SUMIFS(INDIRECT("'"&amp;AL$5&amp;"'!E6:E1000"),INDIRECT("'"&amp;AL$5&amp;"'!C6:C1000"),$AA74,INDIRECT("'"&amp;AL$5&amp;"'!F6:F1000"),"箱")+SUMIFS(INDIRECT("'"&amp;AL$5&amp;"'!E6:E1000"),INDIRECT("'"&amp;AL$5&amp;"'!C6:C1000"),$AA74,INDIRECT("'"&amp;AL$5&amp;"'!F6:F1000"),"件"))</f>
        <v>0</v>
      </c>
      <c r="BK74">
        <f>IF(OR($AA74="",AM$5=""),0,SUMIFS(INDIRECT("'"&amp;AM$5&amp;"'!E6:E1000"),INDIRECT("'"&amp;AM$5&amp;"'!C6:C1000"),$AA74,INDIRECT("'"&amp;AM$5&amp;"'!F6:F1000"),"箱")+SUMIFS(INDIRECT("'"&amp;AM$5&amp;"'!E6:E1000"),INDIRECT("'"&amp;AM$5&amp;"'!C6:C1000"),$AA74,INDIRECT("'"&amp;AM$5&amp;"'!F6:F1000"),"件"))</f>
        <v>0</v>
      </c>
      <c r="BL74">
        <f>IF(OR($AA74="",AN$5=""),0,SUMIFS(INDIRECT("'"&amp;AN$5&amp;"'!E6:E1000"),INDIRECT("'"&amp;AN$5&amp;"'!C6:C1000"),$AA74,INDIRECT("'"&amp;AN$5&amp;"'!F6:F1000"),"箱")+SUMIFS(INDIRECT("'"&amp;AN$5&amp;"'!E6:E1000"),INDIRECT("'"&amp;AN$5&amp;"'!C6:C1000"),$AA74,INDIRECT("'"&amp;AN$5&amp;"'!F6:F1000"),"件"))</f>
        <v>0</v>
      </c>
      <c r="BM74">
        <f>(AO74-BA74)/$AB74+BA74</f>
        <v>0</v>
      </c>
      <c r="BN74">
        <f>(AP74-BB74)/$AB74+BB74</f>
        <v>0</v>
      </c>
      <c r="BO74">
        <f>(AQ74-BC74)/$AB74+BC74</f>
        <v>0</v>
      </c>
      <c r="BP74">
        <f>(AR74-BD74)/$AB74+BD74</f>
        <v>0</v>
      </c>
      <c r="BQ74">
        <f>(AS74-BE74)/$AB74+BE74</f>
        <v>0</v>
      </c>
      <c r="BR74">
        <f>(AT74-BF74)/$AB74+BF74</f>
        <v>0</v>
      </c>
      <c r="BS74">
        <f>(AU74-BG74)/$AB74+BG74</f>
        <v>0</v>
      </c>
      <c r="BT74">
        <f>(AV74-BH74)/$AB74+BH74</f>
        <v>0</v>
      </c>
      <c r="BU74">
        <f>(AW74-BI74)/$AB74+BI74</f>
        <v>0</v>
      </c>
      <c r="BV74">
        <f>(AX74-BJ74)/$AB74+BJ74</f>
        <v>0</v>
      </c>
      <c r="BW74">
        <f>(AY74-BK74)/$AB74+BK74</f>
        <v>0</v>
      </c>
      <c r="BX74">
        <f>(AZ74-BL74)/$AB74+BL74</f>
        <v>0</v>
      </c>
      <c r="BY74">
        <f>SUMPRODUCT((($AC$4:$AN$4=报损汇总一览!$A$3)+(报损汇总一览!$A$3="全年"))*AC74:AN74)</f>
        <v>0</v>
      </c>
      <c r="BZ74">
        <f>IF(BY74&gt;0,BY74+(1000-ROW())/10000000,"")</f>
      </c>
      <c r="CA74">
        <f>SUMPRODUCT((($AC$4:$AN$4=报损汇总一览!$A$3)+(报损汇总一览!$A$3="全年"))*AO74:AZ74)</f>
        <v>0</v>
      </c>
    </row>
    <row r="75">
      <c r="A75">
        <f>IF(OR(存条明细!C75="",存条明细!D75=""),"",IF(COUNTIFS(存条明细!$C$4:C75,存条明细!C75,存条明细!$D$4:D75,存条明细!D75)&gt;1,"",IFERROR(MATCH(存条明细!C75,总览汇总!$B$5:$B$304,0),900)*10000000+IFERROR(MATCH(存条明细!D75,基础资料!$E$5:$E$104,0),900)*10000+ROW()))</f>
        <v>460030075</v>
      </c>
      <c r="B75">
        <f>IFERROR(MATCH(SMALL($A$4:$A$4003,72),$A$4:$A$4003,0),"")</f>
        <v>47</v>
      </c>
      <c r="D75">
        <f>IF(AND(商品库存!B75&lt;&gt;"",商品库存!B75=客户查询!$B$4),COUNTIF(商品库存!$B$4:B75,客户查询!$B$4),"")</f>
      </c>
      <c r="E75">
        <f>IF(AND(商品库存!B75&lt;&gt;"",商品库存!B75=客户对账单!$B$4),COUNTIF(商品库存!$B$4:B75,客户对账单!$B$4),"")</f>
      </c>
      <c r="F75">
        <f>IF(AND(出库明细!C75&lt;&gt;"",出库明细!C75=客户对账单!$B$4,ISNUMBER(出库明细!B75),出库明细!B75&gt;=客户对账单!$G$4,出库明细!B75&lt;=客户对账单!$I$4),出库明细!B75+ROW()/100000,"")</f>
      </c>
      <c r="H75">
        <f>IF(AND(采购进货!C75&lt;&gt;"",采购进货!C75=供应商对账单!$B$4,ISNUMBER(采购进货!B75),采购进货!B75&gt;=供应商对账单!$G$4,采购进货!B75&lt;=供应商对账单!$I$4),采购进货!B75+ROW()/100000,"")</f>
      </c>
      <c r="J75">
        <f>IF(总览汇总!$B75="","",N(总览汇总!$K75)+SUMIFS(出库明细!$G$4:$G$3003,出库明细!$C$4:$C$3003,总览汇总!$B75,出库明细!$B$4:$B$3003,"&gt;="&amp;年初日,出库明细!$B$4:$B$3003,"&lt;="&amp;资产负债表!$D$3)-SUMIFS(资金台帐!$S$7:$S$3006,资金台帐!$J$7:$J$3006,总览汇总!$B75,资金台帐!$P$7:$P$3006,"应收",资金台帐!$B$7:$B$3006,"&gt;="&amp;年初日,资金台帐!$B$7:$B$3006,"&lt;="&amp;资产负债表!$D$3))</f>
        <v>-4500</v>
      </c>
      <c r="N75">
        <f>IF(AND(ISNUMBER(出库明细!G75),ISNUMBER(出库明细!E75),ISNUMBER(出库明细!F75)),IF(ABS(出库明细!G75-出库明细!E75*出库明细!F75)&gt;0.005,1,0),0)</f>
        <v>0</v>
      </c>
      <c r="O75">
        <f>IF(AND(ISNUMBER(存条明细!G75),ISNUMBER(存条明细!E75),ISNUMBER(存条明细!F75)),IF(ABS(存条明细!G75-存条明细!E75*存条明细!F75)&gt;0.005,1,0),0)</f>
        <v>0</v>
      </c>
      <c r="AA75">
        <f>IF(基础资料!G74="","",基础资料!G74&amp;"")</f>
      </c>
      <c r="AB75">
        <f>IF(N(基础资料!I74)&lt;=0,1,基础资料!I74)</f>
        <v>1</v>
      </c>
      <c r="AC75">
        <f>IF(OR($AA75="",AC$5=""),0,SUMIF(INDIRECT("'"&amp;AC$5&amp;"'!C6:C1000"),$AA75,INDIRECT("'"&amp;AC$5&amp;"'!H6:H1000")))</f>
        <v>0</v>
      </c>
      <c r="AD75">
        <f>IF(OR($AA75="",AD$5=""),0,SUMIF(INDIRECT("'"&amp;AD$5&amp;"'!C6:C1000"),$AA75,INDIRECT("'"&amp;AD$5&amp;"'!H6:H1000")))</f>
        <v>0</v>
      </c>
      <c r="AE75">
        <f>IF(OR($AA75="",AE$5=""),0,SUMIF(INDIRECT("'"&amp;AE$5&amp;"'!C6:C1000"),$AA75,INDIRECT("'"&amp;AE$5&amp;"'!H6:H1000")))</f>
        <v>0</v>
      </c>
      <c r="AF75">
        <f>IF(OR($AA75="",AF$5=""),0,SUMIF(INDIRECT("'"&amp;AF$5&amp;"'!C6:C1000"),$AA75,INDIRECT("'"&amp;AF$5&amp;"'!H6:H1000")))</f>
        <v>0</v>
      </c>
      <c r="AG75">
        <f>IF(OR($AA75="",AG$5=""),0,SUMIF(INDIRECT("'"&amp;AG$5&amp;"'!C6:C1000"),$AA75,INDIRECT("'"&amp;AG$5&amp;"'!H6:H1000")))</f>
        <v>0</v>
      </c>
      <c r="AH75">
        <f>IF(OR($AA75="",AH$5=""),0,SUMIF(INDIRECT("'"&amp;AH$5&amp;"'!C6:C1000"),$AA75,INDIRECT("'"&amp;AH$5&amp;"'!H6:H1000")))</f>
        <v>0</v>
      </c>
      <c r="AI75">
        <f>IF(OR($AA75="",AI$5=""),0,SUMIF(INDIRECT("'"&amp;AI$5&amp;"'!C6:C1000"),$AA75,INDIRECT("'"&amp;AI$5&amp;"'!H6:H1000")))</f>
        <v>0</v>
      </c>
      <c r="AJ75">
        <f>IF(OR($AA75="",AJ$5=""),0,SUMIF(INDIRECT("'"&amp;AJ$5&amp;"'!C6:C1000"),$AA75,INDIRECT("'"&amp;AJ$5&amp;"'!H6:H1000")))</f>
        <v>0</v>
      </c>
      <c r="AK75">
        <f>IF(OR($AA75="",AK$5=""),0,SUMIF(INDIRECT("'"&amp;AK$5&amp;"'!C6:C1000"),$AA75,INDIRECT("'"&amp;AK$5&amp;"'!H6:H1000")))</f>
        <v>0</v>
      </c>
      <c r="AL75">
        <f>IF(OR($AA75="",AL$5=""),0,SUMIF(INDIRECT("'"&amp;AL$5&amp;"'!C6:C1000"),$AA75,INDIRECT("'"&amp;AL$5&amp;"'!H6:H1000")))</f>
        <v>0</v>
      </c>
      <c r="AM75">
        <f>IF(OR($AA75="",AM$5=""),0,SUMIF(INDIRECT("'"&amp;AM$5&amp;"'!C6:C1000"),$AA75,INDIRECT("'"&amp;AM$5&amp;"'!H6:H1000")))</f>
        <v>0</v>
      </c>
      <c r="AN75">
        <f>IF(OR($AA75="",AN$5=""),0,SUMIF(INDIRECT("'"&amp;AN$5&amp;"'!C6:C1000"),$AA75,INDIRECT("'"&amp;AN$5&amp;"'!H6:H1000")))</f>
        <v>0</v>
      </c>
      <c r="AO75">
        <f>IF(OR($AA75="",AC$5=""),0,SUMIF(INDIRECT("'"&amp;AC$5&amp;"'!C6:C1000"),$AA75,INDIRECT("'"&amp;AC$5&amp;"'!E6:E1000")))</f>
        <v>0</v>
      </c>
      <c r="AP75">
        <f>IF(OR($AA75="",AD$5=""),0,SUMIF(INDIRECT("'"&amp;AD$5&amp;"'!C6:C1000"),$AA75,INDIRECT("'"&amp;AD$5&amp;"'!E6:E1000")))</f>
        <v>0</v>
      </c>
      <c r="AQ75">
        <f>IF(OR($AA75="",AE$5=""),0,SUMIF(INDIRECT("'"&amp;AE$5&amp;"'!C6:C1000"),$AA75,INDIRECT("'"&amp;AE$5&amp;"'!E6:E1000")))</f>
        <v>0</v>
      </c>
      <c r="AR75">
        <f>IF(OR($AA75="",AF$5=""),0,SUMIF(INDIRECT("'"&amp;AF$5&amp;"'!C6:C1000"),$AA75,INDIRECT("'"&amp;AF$5&amp;"'!E6:E1000")))</f>
        <v>0</v>
      </c>
      <c r="AS75">
        <f>IF(OR($AA75="",AG$5=""),0,SUMIF(INDIRECT("'"&amp;AG$5&amp;"'!C6:C1000"),$AA75,INDIRECT("'"&amp;AG$5&amp;"'!E6:E1000")))</f>
        <v>0</v>
      </c>
      <c r="AT75">
        <f>IF(OR($AA75="",AH$5=""),0,SUMIF(INDIRECT("'"&amp;AH$5&amp;"'!C6:C1000"),$AA75,INDIRECT("'"&amp;AH$5&amp;"'!E6:E1000")))</f>
        <v>0</v>
      </c>
      <c r="AU75">
        <f>IF(OR($AA75="",AI$5=""),0,SUMIF(INDIRECT("'"&amp;AI$5&amp;"'!C6:C1000"),$AA75,INDIRECT("'"&amp;AI$5&amp;"'!E6:E1000")))</f>
        <v>0</v>
      </c>
      <c r="AV75">
        <f>IF(OR($AA75="",AJ$5=""),0,SUMIF(INDIRECT("'"&amp;AJ$5&amp;"'!C6:C1000"),$AA75,INDIRECT("'"&amp;AJ$5&amp;"'!E6:E1000")))</f>
        <v>0</v>
      </c>
      <c r="AW75">
        <f>IF(OR($AA75="",AK$5=""),0,SUMIF(INDIRECT("'"&amp;AK$5&amp;"'!C6:C1000"),$AA75,INDIRECT("'"&amp;AK$5&amp;"'!E6:E1000")))</f>
        <v>0</v>
      </c>
      <c r="AX75">
        <f>IF(OR($AA75="",AL$5=""),0,SUMIF(INDIRECT("'"&amp;AL$5&amp;"'!C6:C1000"),$AA75,INDIRECT("'"&amp;AL$5&amp;"'!E6:E1000")))</f>
        <v>0</v>
      </c>
      <c r="AY75">
        <f>IF(OR($AA75="",AM$5=""),0,SUMIF(INDIRECT("'"&amp;AM$5&amp;"'!C6:C1000"),$AA75,INDIRECT("'"&amp;AM$5&amp;"'!E6:E1000")))</f>
        <v>0</v>
      </c>
      <c r="AZ75">
        <f>IF(OR($AA75="",AN$5=""),0,SUMIF(INDIRECT("'"&amp;AN$5&amp;"'!C6:C1000"),$AA75,INDIRECT("'"&amp;AN$5&amp;"'!E6:E1000")))</f>
        <v>0</v>
      </c>
      <c r="BA75">
        <f>IF(OR($AA75="",AC$5=""),0,SUMIFS(INDIRECT("'"&amp;AC$5&amp;"'!E6:E1000"),INDIRECT("'"&amp;AC$5&amp;"'!C6:C1000"),$AA75,INDIRECT("'"&amp;AC$5&amp;"'!F6:F1000"),"箱")+SUMIFS(INDIRECT("'"&amp;AC$5&amp;"'!E6:E1000"),INDIRECT("'"&amp;AC$5&amp;"'!C6:C1000"),$AA75,INDIRECT("'"&amp;AC$5&amp;"'!F6:F1000"),"件"))</f>
        <v>0</v>
      </c>
      <c r="BB75">
        <f>IF(OR($AA75="",AD$5=""),0,SUMIFS(INDIRECT("'"&amp;AD$5&amp;"'!E6:E1000"),INDIRECT("'"&amp;AD$5&amp;"'!C6:C1000"),$AA75,INDIRECT("'"&amp;AD$5&amp;"'!F6:F1000"),"箱")+SUMIFS(INDIRECT("'"&amp;AD$5&amp;"'!E6:E1000"),INDIRECT("'"&amp;AD$5&amp;"'!C6:C1000"),$AA75,INDIRECT("'"&amp;AD$5&amp;"'!F6:F1000"),"件"))</f>
        <v>0</v>
      </c>
      <c r="BC75">
        <f>IF(OR($AA75="",AE$5=""),0,SUMIFS(INDIRECT("'"&amp;AE$5&amp;"'!E6:E1000"),INDIRECT("'"&amp;AE$5&amp;"'!C6:C1000"),$AA75,INDIRECT("'"&amp;AE$5&amp;"'!F6:F1000"),"箱")+SUMIFS(INDIRECT("'"&amp;AE$5&amp;"'!E6:E1000"),INDIRECT("'"&amp;AE$5&amp;"'!C6:C1000"),$AA75,INDIRECT("'"&amp;AE$5&amp;"'!F6:F1000"),"件"))</f>
        <v>0</v>
      </c>
      <c r="BD75">
        <f>IF(OR($AA75="",AF$5=""),0,SUMIFS(INDIRECT("'"&amp;AF$5&amp;"'!E6:E1000"),INDIRECT("'"&amp;AF$5&amp;"'!C6:C1000"),$AA75,INDIRECT("'"&amp;AF$5&amp;"'!F6:F1000"),"箱")+SUMIFS(INDIRECT("'"&amp;AF$5&amp;"'!E6:E1000"),INDIRECT("'"&amp;AF$5&amp;"'!C6:C1000"),$AA75,INDIRECT("'"&amp;AF$5&amp;"'!F6:F1000"),"件"))</f>
        <v>0</v>
      </c>
      <c r="BE75">
        <f>IF(OR($AA75="",AG$5=""),0,SUMIFS(INDIRECT("'"&amp;AG$5&amp;"'!E6:E1000"),INDIRECT("'"&amp;AG$5&amp;"'!C6:C1000"),$AA75,INDIRECT("'"&amp;AG$5&amp;"'!F6:F1000"),"箱")+SUMIFS(INDIRECT("'"&amp;AG$5&amp;"'!E6:E1000"),INDIRECT("'"&amp;AG$5&amp;"'!C6:C1000"),$AA75,INDIRECT("'"&amp;AG$5&amp;"'!F6:F1000"),"件"))</f>
        <v>0</v>
      </c>
      <c r="BF75">
        <f>IF(OR($AA75="",AH$5=""),0,SUMIFS(INDIRECT("'"&amp;AH$5&amp;"'!E6:E1000"),INDIRECT("'"&amp;AH$5&amp;"'!C6:C1000"),$AA75,INDIRECT("'"&amp;AH$5&amp;"'!F6:F1000"),"箱")+SUMIFS(INDIRECT("'"&amp;AH$5&amp;"'!E6:E1000"),INDIRECT("'"&amp;AH$5&amp;"'!C6:C1000"),$AA75,INDIRECT("'"&amp;AH$5&amp;"'!F6:F1000"),"件"))</f>
        <v>0</v>
      </c>
      <c r="BG75">
        <f>IF(OR($AA75="",AI$5=""),0,SUMIFS(INDIRECT("'"&amp;AI$5&amp;"'!E6:E1000"),INDIRECT("'"&amp;AI$5&amp;"'!C6:C1000"),$AA75,INDIRECT("'"&amp;AI$5&amp;"'!F6:F1000"),"箱")+SUMIFS(INDIRECT("'"&amp;AI$5&amp;"'!E6:E1000"),INDIRECT("'"&amp;AI$5&amp;"'!C6:C1000"),$AA75,INDIRECT("'"&amp;AI$5&amp;"'!F6:F1000"),"件"))</f>
        <v>0</v>
      </c>
      <c r="BH75">
        <f>IF(OR($AA75="",AJ$5=""),0,SUMIFS(INDIRECT("'"&amp;AJ$5&amp;"'!E6:E1000"),INDIRECT("'"&amp;AJ$5&amp;"'!C6:C1000"),$AA75,INDIRECT("'"&amp;AJ$5&amp;"'!F6:F1000"),"箱")+SUMIFS(INDIRECT("'"&amp;AJ$5&amp;"'!E6:E1000"),INDIRECT("'"&amp;AJ$5&amp;"'!C6:C1000"),$AA75,INDIRECT("'"&amp;AJ$5&amp;"'!F6:F1000"),"件"))</f>
        <v>0</v>
      </c>
      <c r="BI75">
        <f>IF(OR($AA75="",AK$5=""),0,SUMIFS(INDIRECT("'"&amp;AK$5&amp;"'!E6:E1000"),INDIRECT("'"&amp;AK$5&amp;"'!C6:C1000"),$AA75,INDIRECT("'"&amp;AK$5&amp;"'!F6:F1000"),"箱")+SUMIFS(INDIRECT("'"&amp;AK$5&amp;"'!E6:E1000"),INDIRECT("'"&amp;AK$5&amp;"'!C6:C1000"),$AA75,INDIRECT("'"&amp;AK$5&amp;"'!F6:F1000"),"件"))</f>
        <v>0</v>
      </c>
      <c r="BJ75">
        <f>IF(OR($AA75="",AL$5=""),0,SUMIFS(INDIRECT("'"&amp;AL$5&amp;"'!E6:E1000"),INDIRECT("'"&amp;AL$5&amp;"'!C6:C1000"),$AA75,INDIRECT("'"&amp;AL$5&amp;"'!F6:F1000"),"箱")+SUMIFS(INDIRECT("'"&amp;AL$5&amp;"'!E6:E1000"),INDIRECT("'"&amp;AL$5&amp;"'!C6:C1000"),$AA75,INDIRECT("'"&amp;AL$5&amp;"'!F6:F1000"),"件"))</f>
        <v>0</v>
      </c>
      <c r="BK75">
        <f>IF(OR($AA75="",AM$5=""),0,SUMIFS(INDIRECT("'"&amp;AM$5&amp;"'!E6:E1000"),INDIRECT("'"&amp;AM$5&amp;"'!C6:C1000"),$AA75,INDIRECT("'"&amp;AM$5&amp;"'!F6:F1000"),"箱")+SUMIFS(INDIRECT("'"&amp;AM$5&amp;"'!E6:E1000"),INDIRECT("'"&amp;AM$5&amp;"'!C6:C1000"),$AA75,INDIRECT("'"&amp;AM$5&amp;"'!F6:F1000"),"件"))</f>
        <v>0</v>
      </c>
      <c r="BL75">
        <f>IF(OR($AA75="",AN$5=""),0,SUMIFS(INDIRECT("'"&amp;AN$5&amp;"'!E6:E1000"),INDIRECT("'"&amp;AN$5&amp;"'!C6:C1000"),$AA75,INDIRECT("'"&amp;AN$5&amp;"'!F6:F1000"),"箱")+SUMIFS(INDIRECT("'"&amp;AN$5&amp;"'!E6:E1000"),INDIRECT("'"&amp;AN$5&amp;"'!C6:C1000"),$AA75,INDIRECT("'"&amp;AN$5&amp;"'!F6:F1000"),"件"))</f>
        <v>0</v>
      </c>
      <c r="BM75">
        <f>(AO75-BA75)/$AB75+BA75</f>
        <v>0</v>
      </c>
      <c r="BN75">
        <f>(AP75-BB75)/$AB75+BB75</f>
        <v>0</v>
      </c>
      <c r="BO75">
        <f>(AQ75-BC75)/$AB75+BC75</f>
        <v>0</v>
      </c>
      <c r="BP75">
        <f>(AR75-BD75)/$AB75+BD75</f>
        <v>0</v>
      </c>
      <c r="BQ75">
        <f>(AS75-BE75)/$AB75+BE75</f>
        <v>0</v>
      </c>
      <c r="BR75">
        <f>(AT75-BF75)/$AB75+BF75</f>
        <v>0</v>
      </c>
      <c r="BS75">
        <f>(AU75-BG75)/$AB75+BG75</f>
        <v>0</v>
      </c>
      <c r="BT75">
        <f>(AV75-BH75)/$AB75+BH75</f>
        <v>0</v>
      </c>
      <c r="BU75">
        <f>(AW75-BI75)/$AB75+BI75</f>
        <v>0</v>
      </c>
      <c r="BV75">
        <f>(AX75-BJ75)/$AB75+BJ75</f>
        <v>0</v>
      </c>
      <c r="BW75">
        <f>(AY75-BK75)/$AB75+BK75</f>
        <v>0</v>
      </c>
      <c r="BX75">
        <f>(AZ75-BL75)/$AB75+BL75</f>
        <v>0</v>
      </c>
      <c r="BY75">
        <f>SUMPRODUCT((($AC$4:$AN$4=报损汇总一览!$A$3)+(报损汇总一览!$A$3="全年"))*AC75:AN75)</f>
        <v>0</v>
      </c>
      <c r="BZ75">
        <f>IF(BY75&gt;0,BY75+(1000-ROW())/10000000,"")</f>
      </c>
      <c r="CA75">
        <f>SUMPRODUCT((($AC$4:$AN$4=报损汇总一览!$A$3)+(报损汇总一览!$A$3="全年"))*AO75:AZ75)</f>
        <v>0</v>
      </c>
    </row>
    <row r="76">
      <c r="A76">
        <f>IF(OR(存条明细!C76="",存条明细!D76=""),"",IF(COUNTIFS(存条明细!$C$4:C76,存条明细!C76,存条明细!$D$4:D76,存条明细!D76)&gt;1,"",IFERROR(MATCH(存条明细!C76,总览汇总!$B$5:$B$304,0),900)*10000000+IFERROR(MATCH(存条明细!D76,基础资料!$E$5:$E$104,0),900)*10000+ROW()))</f>
        <v>460060076</v>
      </c>
      <c r="B76">
        <f>IFERROR(MATCH(SMALL($A$4:$A$4003,73),$A$4:$A$4003,0),"")</f>
        <v>1367</v>
      </c>
      <c r="D76">
        <f>IF(AND(商品库存!B76&lt;&gt;"",商品库存!B76=客户查询!$B$4),COUNTIF(商品库存!$B$4:B76,客户查询!$B$4),"")</f>
      </c>
      <c r="E76">
        <f>IF(AND(商品库存!B76&lt;&gt;"",商品库存!B76=客户对账单!$B$4),COUNTIF(商品库存!$B$4:B76,客户对账单!$B$4),"")</f>
      </c>
      <c r="F76">
        <f>IF(AND(出库明细!C76&lt;&gt;"",出库明细!C76=客户对账单!$B$4,ISNUMBER(出库明细!B76),出库明细!B76&gt;=客户对账单!$G$4,出库明细!B76&lt;=客户对账单!$I$4),出库明细!B76+ROW()/100000,"")</f>
      </c>
      <c r="H76">
        <f>IF(AND(采购进货!C76&lt;&gt;"",采购进货!C76=供应商对账单!$B$4,ISNUMBER(采购进货!B76),采购进货!B76&gt;=供应商对账单!$G$4,采购进货!B76&lt;=供应商对账单!$I$4),采购进货!B76+ROW()/100000,"")</f>
      </c>
      <c r="J76">
        <f>IF(总览汇总!$B76="","",N(总览汇总!$K76)+SUMIFS(出库明细!$G$4:$G$3003,出库明细!$C$4:$C$3003,总览汇总!$B76,出库明细!$B$4:$B$3003,"&gt;="&amp;年初日,出库明细!$B$4:$B$3003,"&lt;="&amp;资产负债表!$D$3)-SUMIFS(资金台帐!$S$7:$S$3006,资金台帐!$J$7:$J$3006,总览汇总!$B76,资金台帐!$P$7:$P$3006,"应收",资金台帐!$B$7:$B$3006,"&gt;="&amp;年初日,资金台帐!$B$7:$B$3006,"&lt;="&amp;资产负债表!$D$3))</f>
        <v>-1640</v>
      </c>
      <c r="N76">
        <f>IF(AND(ISNUMBER(出库明细!G76),ISNUMBER(出库明细!E76),ISNUMBER(出库明细!F76)),IF(ABS(出库明细!G76-出库明细!E76*出库明细!F76)&gt;0.005,1,0),0)</f>
        <v>0</v>
      </c>
      <c r="O76">
        <f>IF(AND(ISNUMBER(存条明细!G76),ISNUMBER(存条明细!E76),ISNUMBER(存条明细!F76)),IF(ABS(存条明细!G76-存条明细!E76*存条明细!F76)&gt;0.005,1,0),0)</f>
        <v>0</v>
      </c>
      <c r="AA76">
        <f>IF(基础资料!G75="","",基础资料!G75&amp;"")</f>
      </c>
      <c r="AB76">
        <f>IF(N(基础资料!I75)&lt;=0,1,基础资料!I75)</f>
        <v>1</v>
      </c>
      <c r="AC76">
        <f>IF(OR($AA76="",AC$5=""),0,SUMIF(INDIRECT("'"&amp;AC$5&amp;"'!C6:C1000"),$AA76,INDIRECT("'"&amp;AC$5&amp;"'!H6:H1000")))</f>
        <v>0</v>
      </c>
      <c r="AD76">
        <f>IF(OR($AA76="",AD$5=""),0,SUMIF(INDIRECT("'"&amp;AD$5&amp;"'!C6:C1000"),$AA76,INDIRECT("'"&amp;AD$5&amp;"'!H6:H1000")))</f>
        <v>0</v>
      </c>
      <c r="AE76">
        <f>IF(OR($AA76="",AE$5=""),0,SUMIF(INDIRECT("'"&amp;AE$5&amp;"'!C6:C1000"),$AA76,INDIRECT("'"&amp;AE$5&amp;"'!H6:H1000")))</f>
        <v>0</v>
      </c>
      <c r="AF76">
        <f>IF(OR($AA76="",AF$5=""),0,SUMIF(INDIRECT("'"&amp;AF$5&amp;"'!C6:C1000"),$AA76,INDIRECT("'"&amp;AF$5&amp;"'!H6:H1000")))</f>
        <v>0</v>
      </c>
      <c r="AG76">
        <f>IF(OR($AA76="",AG$5=""),0,SUMIF(INDIRECT("'"&amp;AG$5&amp;"'!C6:C1000"),$AA76,INDIRECT("'"&amp;AG$5&amp;"'!H6:H1000")))</f>
        <v>0</v>
      </c>
      <c r="AH76">
        <f>IF(OR($AA76="",AH$5=""),0,SUMIF(INDIRECT("'"&amp;AH$5&amp;"'!C6:C1000"),$AA76,INDIRECT("'"&amp;AH$5&amp;"'!H6:H1000")))</f>
        <v>0</v>
      </c>
      <c r="AI76">
        <f>IF(OR($AA76="",AI$5=""),0,SUMIF(INDIRECT("'"&amp;AI$5&amp;"'!C6:C1000"),$AA76,INDIRECT("'"&amp;AI$5&amp;"'!H6:H1000")))</f>
        <v>0</v>
      </c>
      <c r="AJ76">
        <f>IF(OR($AA76="",AJ$5=""),0,SUMIF(INDIRECT("'"&amp;AJ$5&amp;"'!C6:C1000"),$AA76,INDIRECT("'"&amp;AJ$5&amp;"'!H6:H1000")))</f>
        <v>0</v>
      </c>
      <c r="AK76">
        <f>IF(OR($AA76="",AK$5=""),0,SUMIF(INDIRECT("'"&amp;AK$5&amp;"'!C6:C1000"),$AA76,INDIRECT("'"&amp;AK$5&amp;"'!H6:H1000")))</f>
        <v>0</v>
      </c>
      <c r="AL76">
        <f>IF(OR($AA76="",AL$5=""),0,SUMIF(INDIRECT("'"&amp;AL$5&amp;"'!C6:C1000"),$AA76,INDIRECT("'"&amp;AL$5&amp;"'!H6:H1000")))</f>
        <v>0</v>
      </c>
      <c r="AM76">
        <f>IF(OR($AA76="",AM$5=""),0,SUMIF(INDIRECT("'"&amp;AM$5&amp;"'!C6:C1000"),$AA76,INDIRECT("'"&amp;AM$5&amp;"'!H6:H1000")))</f>
        <v>0</v>
      </c>
      <c r="AN76">
        <f>IF(OR($AA76="",AN$5=""),0,SUMIF(INDIRECT("'"&amp;AN$5&amp;"'!C6:C1000"),$AA76,INDIRECT("'"&amp;AN$5&amp;"'!H6:H1000")))</f>
        <v>0</v>
      </c>
      <c r="AO76">
        <f>IF(OR($AA76="",AC$5=""),0,SUMIF(INDIRECT("'"&amp;AC$5&amp;"'!C6:C1000"),$AA76,INDIRECT("'"&amp;AC$5&amp;"'!E6:E1000")))</f>
        <v>0</v>
      </c>
      <c r="AP76">
        <f>IF(OR($AA76="",AD$5=""),0,SUMIF(INDIRECT("'"&amp;AD$5&amp;"'!C6:C1000"),$AA76,INDIRECT("'"&amp;AD$5&amp;"'!E6:E1000")))</f>
        <v>0</v>
      </c>
      <c r="AQ76">
        <f>IF(OR($AA76="",AE$5=""),0,SUMIF(INDIRECT("'"&amp;AE$5&amp;"'!C6:C1000"),$AA76,INDIRECT("'"&amp;AE$5&amp;"'!E6:E1000")))</f>
        <v>0</v>
      </c>
      <c r="AR76">
        <f>IF(OR($AA76="",AF$5=""),0,SUMIF(INDIRECT("'"&amp;AF$5&amp;"'!C6:C1000"),$AA76,INDIRECT("'"&amp;AF$5&amp;"'!E6:E1000")))</f>
        <v>0</v>
      </c>
      <c r="AS76">
        <f>IF(OR($AA76="",AG$5=""),0,SUMIF(INDIRECT("'"&amp;AG$5&amp;"'!C6:C1000"),$AA76,INDIRECT("'"&amp;AG$5&amp;"'!E6:E1000")))</f>
        <v>0</v>
      </c>
      <c r="AT76">
        <f>IF(OR($AA76="",AH$5=""),0,SUMIF(INDIRECT("'"&amp;AH$5&amp;"'!C6:C1000"),$AA76,INDIRECT("'"&amp;AH$5&amp;"'!E6:E1000")))</f>
        <v>0</v>
      </c>
      <c r="AU76">
        <f>IF(OR($AA76="",AI$5=""),0,SUMIF(INDIRECT("'"&amp;AI$5&amp;"'!C6:C1000"),$AA76,INDIRECT("'"&amp;AI$5&amp;"'!E6:E1000")))</f>
        <v>0</v>
      </c>
      <c r="AV76">
        <f>IF(OR($AA76="",AJ$5=""),0,SUMIF(INDIRECT("'"&amp;AJ$5&amp;"'!C6:C1000"),$AA76,INDIRECT("'"&amp;AJ$5&amp;"'!E6:E1000")))</f>
        <v>0</v>
      </c>
      <c r="AW76">
        <f>IF(OR($AA76="",AK$5=""),0,SUMIF(INDIRECT("'"&amp;AK$5&amp;"'!C6:C1000"),$AA76,INDIRECT("'"&amp;AK$5&amp;"'!E6:E1000")))</f>
        <v>0</v>
      </c>
      <c r="AX76">
        <f>IF(OR($AA76="",AL$5=""),0,SUMIF(INDIRECT("'"&amp;AL$5&amp;"'!C6:C1000"),$AA76,INDIRECT("'"&amp;AL$5&amp;"'!E6:E1000")))</f>
        <v>0</v>
      </c>
      <c r="AY76">
        <f>IF(OR($AA76="",AM$5=""),0,SUMIF(INDIRECT("'"&amp;AM$5&amp;"'!C6:C1000"),$AA76,INDIRECT("'"&amp;AM$5&amp;"'!E6:E1000")))</f>
        <v>0</v>
      </c>
      <c r="AZ76">
        <f>IF(OR($AA76="",AN$5=""),0,SUMIF(INDIRECT("'"&amp;AN$5&amp;"'!C6:C1000"),$AA76,INDIRECT("'"&amp;AN$5&amp;"'!E6:E1000")))</f>
        <v>0</v>
      </c>
      <c r="BA76">
        <f>IF(OR($AA76="",AC$5=""),0,SUMIFS(INDIRECT("'"&amp;AC$5&amp;"'!E6:E1000"),INDIRECT("'"&amp;AC$5&amp;"'!C6:C1000"),$AA76,INDIRECT("'"&amp;AC$5&amp;"'!F6:F1000"),"箱")+SUMIFS(INDIRECT("'"&amp;AC$5&amp;"'!E6:E1000"),INDIRECT("'"&amp;AC$5&amp;"'!C6:C1000"),$AA76,INDIRECT("'"&amp;AC$5&amp;"'!F6:F1000"),"件"))</f>
        <v>0</v>
      </c>
      <c r="BB76">
        <f>IF(OR($AA76="",AD$5=""),0,SUMIFS(INDIRECT("'"&amp;AD$5&amp;"'!E6:E1000"),INDIRECT("'"&amp;AD$5&amp;"'!C6:C1000"),$AA76,INDIRECT("'"&amp;AD$5&amp;"'!F6:F1000"),"箱")+SUMIFS(INDIRECT("'"&amp;AD$5&amp;"'!E6:E1000"),INDIRECT("'"&amp;AD$5&amp;"'!C6:C1000"),$AA76,INDIRECT("'"&amp;AD$5&amp;"'!F6:F1000"),"件"))</f>
        <v>0</v>
      </c>
      <c r="BC76">
        <f>IF(OR($AA76="",AE$5=""),0,SUMIFS(INDIRECT("'"&amp;AE$5&amp;"'!E6:E1000"),INDIRECT("'"&amp;AE$5&amp;"'!C6:C1000"),$AA76,INDIRECT("'"&amp;AE$5&amp;"'!F6:F1000"),"箱")+SUMIFS(INDIRECT("'"&amp;AE$5&amp;"'!E6:E1000"),INDIRECT("'"&amp;AE$5&amp;"'!C6:C1000"),$AA76,INDIRECT("'"&amp;AE$5&amp;"'!F6:F1000"),"件"))</f>
        <v>0</v>
      </c>
      <c r="BD76">
        <f>IF(OR($AA76="",AF$5=""),0,SUMIFS(INDIRECT("'"&amp;AF$5&amp;"'!E6:E1000"),INDIRECT("'"&amp;AF$5&amp;"'!C6:C1000"),$AA76,INDIRECT("'"&amp;AF$5&amp;"'!F6:F1000"),"箱")+SUMIFS(INDIRECT("'"&amp;AF$5&amp;"'!E6:E1000"),INDIRECT("'"&amp;AF$5&amp;"'!C6:C1000"),$AA76,INDIRECT("'"&amp;AF$5&amp;"'!F6:F1000"),"件"))</f>
        <v>0</v>
      </c>
      <c r="BE76">
        <f>IF(OR($AA76="",AG$5=""),0,SUMIFS(INDIRECT("'"&amp;AG$5&amp;"'!E6:E1000"),INDIRECT("'"&amp;AG$5&amp;"'!C6:C1000"),$AA76,INDIRECT("'"&amp;AG$5&amp;"'!F6:F1000"),"箱")+SUMIFS(INDIRECT("'"&amp;AG$5&amp;"'!E6:E1000"),INDIRECT("'"&amp;AG$5&amp;"'!C6:C1000"),$AA76,INDIRECT("'"&amp;AG$5&amp;"'!F6:F1000"),"件"))</f>
        <v>0</v>
      </c>
      <c r="BF76">
        <f>IF(OR($AA76="",AH$5=""),0,SUMIFS(INDIRECT("'"&amp;AH$5&amp;"'!E6:E1000"),INDIRECT("'"&amp;AH$5&amp;"'!C6:C1000"),$AA76,INDIRECT("'"&amp;AH$5&amp;"'!F6:F1000"),"箱")+SUMIFS(INDIRECT("'"&amp;AH$5&amp;"'!E6:E1000"),INDIRECT("'"&amp;AH$5&amp;"'!C6:C1000"),$AA76,INDIRECT("'"&amp;AH$5&amp;"'!F6:F1000"),"件"))</f>
        <v>0</v>
      </c>
      <c r="BG76">
        <f>IF(OR($AA76="",AI$5=""),0,SUMIFS(INDIRECT("'"&amp;AI$5&amp;"'!E6:E1000"),INDIRECT("'"&amp;AI$5&amp;"'!C6:C1000"),$AA76,INDIRECT("'"&amp;AI$5&amp;"'!F6:F1000"),"箱")+SUMIFS(INDIRECT("'"&amp;AI$5&amp;"'!E6:E1000"),INDIRECT("'"&amp;AI$5&amp;"'!C6:C1000"),$AA76,INDIRECT("'"&amp;AI$5&amp;"'!F6:F1000"),"件"))</f>
        <v>0</v>
      </c>
      <c r="BH76">
        <f>IF(OR($AA76="",AJ$5=""),0,SUMIFS(INDIRECT("'"&amp;AJ$5&amp;"'!E6:E1000"),INDIRECT("'"&amp;AJ$5&amp;"'!C6:C1000"),$AA76,INDIRECT("'"&amp;AJ$5&amp;"'!F6:F1000"),"箱")+SUMIFS(INDIRECT("'"&amp;AJ$5&amp;"'!E6:E1000"),INDIRECT("'"&amp;AJ$5&amp;"'!C6:C1000"),$AA76,INDIRECT("'"&amp;AJ$5&amp;"'!F6:F1000"),"件"))</f>
        <v>0</v>
      </c>
      <c r="BI76">
        <f>IF(OR($AA76="",AK$5=""),0,SUMIFS(INDIRECT("'"&amp;AK$5&amp;"'!E6:E1000"),INDIRECT("'"&amp;AK$5&amp;"'!C6:C1000"),$AA76,INDIRECT("'"&amp;AK$5&amp;"'!F6:F1000"),"箱")+SUMIFS(INDIRECT("'"&amp;AK$5&amp;"'!E6:E1000"),INDIRECT("'"&amp;AK$5&amp;"'!C6:C1000"),$AA76,INDIRECT("'"&amp;AK$5&amp;"'!F6:F1000"),"件"))</f>
        <v>0</v>
      </c>
      <c r="BJ76">
        <f>IF(OR($AA76="",AL$5=""),0,SUMIFS(INDIRECT("'"&amp;AL$5&amp;"'!E6:E1000"),INDIRECT("'"&amp;AL$5&amp;"'!C6:C1000"),$AA76,INDIRECT("'"&amp;AL$5&amp;"'!F6:F1000"),"箱")+SUMIFS(INDIRECT("'"&amp;AL$5&amp;"'!E6:E1000"),INDIRECT("'"&amp;AL$5&amp;"'!C6:C1000"),$AA76,INDIRECT("'"&amp;AL$5&amp;"'!F6:F1000"),"件"))</f>
        <v>0</v>
      </c>
      <c r="BK76">
        <f>IF(OR($AA76="",AM$5=""),0,SUMIFS(INDIRECT("'"&amp;AM$5&amp;"'!E6:E1000"),INDIRECT("'"&amp;AM$5&amp;"'!C6:C1000"),$AA76,INDIRECT("'"&amp;AM$5&amp;"'!F6:F1000"),"箱")+SUMIFS(INDIRECT("'"&amp;AM$5&amp;"'!E6:E1000"),INDIRECT("'"&amp;AM$5&amp;"'!C6:C1000"),$AA76,INDIRECT("'"&amp;AM$5&amp;"'!F6:F1000"),"件"))</f>
        <v>0</v>
      </c>
      <c r="BL76">
        <f>IF(OR($AA76="",AN$5=""),0,SUMIFS(INDIRECT("'"&amp;AN$5&amp;"'!E6:E1000"),INDIRECT("'"&amp;AN$5&amp;"'!C6:C1000"),$AA76,INDIRECT("'"&amp;AN$5&amp;"'!F6:F1000"),"箱")+SUMIFS(INDIRECT("'"&amp;AN$5&amp;"'!E6:E1000"),INDIRECT("'"&amp;AN$5&amp;"'!C6:C1000"),$AA76,INDIRECT("'"&amp;AN$5&amp;"'!F6:F1000"),"件"))</f>
        <v>0</v>
      </c>
      <c r="BM76">
        <f>(AO76-BA76)/$AB76+BA76</f>
        <v>0</v>
      </c>
      <c r="BN76">
        <f>(AP76-BB76)/$AB76+BB76</f>
        <v>0</v>
      </c>
      <c r="BO76">
        <f>(AQ76-BC76)/$AB76+BC76</f>
        <v>0</v>
      </c>
      <c r="BP76">
        <f>(AR76-BD76)/$AB76+BD76</f>
        <v>0</v>
      </c>
      <c r="BQ76">
        <f>(AS76-BE76)/$AB76+BE76</f>
        <v>0</v>
      </c>
      <c r="BR76">
        <f>(AT76-BF76)/$AB76+BF76</f>
        <v>0</v>
      </c>
      <c r="BS76">
        <f>(AU76-BG76)/$AB76+BG76</f>
        <v>0</v>
      </c>
      <c r="BT76">
        <f>(AV76-BH76)/$AB76+BH76</f>
        <v>0</v>
      </c>
      <c r="BU76">
        <f>(AW76-BI76)/$AB76+BI76</f>
        <v>0</v>
      </c>
      <c r="BV76">
        <f>(AX76-BJ76)/$AB76+BJ76</f>
        <v>0</v>
      </c>
      <c r="BW76">
        <f>(AY76-BK76)/$AB76+BK76</f>
        <v>0</v>
      </c>
      <c r="BX76">
        <f>(AZ76-BL76)/$AB76+BL76</f>
        <v>0</v>
      </c>
      <c r="BY76">
        <f>SUMPRODUCT((($AC$4:$AN$4=报损汇总一览!$A$3)+(报损汇总一览!$A$3="全年"))*AC76:AN76)</f>
        <v>0</v>
      </c>
      <c r="BZ76">
        <f>IF(BY76&gt;0,BY76+(1000-ROW())/10000000,"")</f>
      </c>
      <c r="CA76">
        <f>SUMPRODUCT((($AC$4:$AN$4=报损汇总一览!$A$3)+(报损汇总一览!$A$3="全年"))*AO76:AZ76)</f>
        <v>0</v>
      </c>
    </row>
    <row r="77">
      <c r="A77">
        <f>IF(OR(存条明细!C77="",存条明细!D77=""),"",IF(COUNTIFS(存条明细!$C$4:C77,存条明细!C77,存条明细!$D$4:D77,存条明细!D77)&gt;1,"",IFERROR(MATCH(存条明细!C77,总览汇总!$B$5:$B$304,0),900)*10000000+IFERROR(MATCH(存条明细!D77,基础资料!$E$5:$E$104,0),900)*10000+ROW()))</f>
        <v>460080077</v>
      </c>
      <c r="B77">
        <f>IFERROR(MATCH(SMALL($A$4:$A$4003,74),$A$4:$A$4003,0),"")</f>
        <v>49</v>
      </c>
      <c r="D77">
        <f>IF(AND(商品库存!B77&lt;&gt;"",商品库存!B77=客户查询!$B$4),COUNTIF(商品库存!$B$4:B77,客户查询!$B$4),"")</f>
      </c>
      <c r="E77">
        <f>IF(AND(商品库存!B77&lt;&gt;"",商品库存!B77=客户对账单!$B$4),COUNTIF(商品库存!$B$4:B77,客户对账单!$B$4),"")</f>
      </c>
      <c r="F77">
        <f>IF(AND(出库明细!C77&lt;&gt;"",出库明细!C77=客户对账单!$B$4,ISNUMBER(出库明细!B77),出库明细!B77&gt;=客户对账单!$G$4,出库明细!B77&lt;=客户对账单!$I$4),出库明细!B77+ROW()/100000,"")</f>
      </c>
      <c r="H77">
        <f>IF(AND(采购进货!C77&lt;&gt;"",采购进货!C77=供应商对账单!$B$4,ISNUMBER(采购进货!B77),采购进货!B77&gt;=供应商对账单!$G$4,采购进货!B77&lt;=供应商对账单!$I$4),采购进货!B77+ROW()/100000,"")</f>
      </c>
      <c r="J77">
        <f>IF(总览汇总!$B77="","",N(总览汇总!$K77)+SUMIFS(出库明细!$G$4:$G$3003,出库明细!$C$4:$C$3003,总览汇总!$B77,出库明细!$B$4:$B$3003,"&gt;="&amp;年初日,出库明细!$B$4:$B$3003,"&lt;="&amp;资产负债表!$D$3)-SUMIFS(资金台帐!$S$7:$S$3006,资金台帐!$J$7:$J$3006,总览汇总!$B77,资金台帐!$P$7:$P$3006,"应收",资金台帐!$B$7:$B$3006,"&gt;="&amp;年初日,资金台帐!$B$7:$B$3006,"&lt;="&amp;资产负债表!$D$3))</f>
        <v>0</v>
      </c>
      <c r="N77">
        <f>IF(AND(ISNUMBER(出库明细!G77),ISNUMBER(出库明细!E77),ISNUMBER(出库明细!F77)),IF(ABS(出库明细!G77-出库明细!E77*出库明细!F77)&gt;0.005,1,0),0)</f>
        <v>0</v>
      </c>
      <c r="O77">
        <f>IF(AND(ISNUMBER(存条明细!G77),ISNUMBER(存条明细!E77),ISNUMBER(存条明细!F77)),IF(ABS(存条明细!G77-存条明细!E77*存条明细!F77)&gt;0.005,1,0),0)</f>
        <v>0</v>
      </c>
      <c r="AA77">
        <f>IF(基础资料!G76="","",基础资料!G76&amp;"")</f>
      </c>
      <c r="AB77">
        <f>IF(N(基础资料!I76)&lt;=0,1,基础资料!I76)</f>
        <v>1</v>
      </c>
      <c r="AC77">
        <f>IF(OR($AA77="",AC$5=""),0,SUMIF(INDIRECT("'"&amp;AC$5&amp;"'!C6:C1000"),$AA77,INDIRECT("'"&amp;AC$5&amp;"'!H6:H1000")))</f>
        <v>0</v>
      </c>
      <c r="AD77">
        <f>IF(OR($AA77="",AD$5=""),0,SUMIF(INDIRECT("'"&amp;AD$5&amp;"'!C6:C1000"),$AA77,INDIRECT("'"&amp;AD$5&amp;"'!H6:H1000")))</f>
        <v>0</v>
      </c>
      <c r="AE77">
        <f>IF(OR($AA77="",AE$5=""),0,SUMIF(INDIRECT("'"&amp;AE$5&amp;"'!C6:C1000"),$AA77,INDIRECT("'"&amp;AE$5&amp;"'!H6:H1000")))</f>
        <v>0</v>
      </c>
      <c r="AF77">
        <f>IF(OR($AA77="",AF$5=""),0,SUMIF(INDIRECT("'"&amp;AF$5&amp;"'!C6:C1000"),$AA77,INDIRECT("'"&amp;AF$5&amp;"'!H6:H1000")))</f>
        <v>0</v>
      </c>
      <c r="AG77">
        <f>IF(OR($AA77="",AG$5=""),0,SUMIF(INDIRECT("'"&amp;AG$5&amp;"'!C6:C1000"),$AA77,INDIRECT("'"&amp;AG$5&amp;"'!H6:H1000")))</f>
        <v>0</v>
      </c>
      <c r="AH77">
        <f>IF(OR($AA77="",AH$5=""),0,SUMIF(INDIRECT("'"&amp;AH$5&amp;"'!C6:C1000"),$AA77,INDIRECT("'"&amp;AH$5&amp;"'!H6:H1000")))</f>
        <v>0</v>
      </c>
      <c r="AI77">
        <f>IF(OR($AA77="",AI$5=""),0,SUMIF(INDIRECT("'"&amp;AI$5&amp;"'!C6:C1000"),$AA77,INDIRECT("'"&amp;AI$5&amp;"'!H6:H1000")))</f>
        <v>0</v>
      </c>
      <c r="AJ77">
        <f>IF(OR($AA77="",AJ$5=""),0,SUMIF(INDIRECT("'"&amp;AJ$5&amp;"'!C6:C1000"),$AA77,INDIRECT("'"&amp;AJ$5&amp;"'!H6:H1000")))</f>
        <v>0</v>
      </c>
      <c r="AK77">
        <f>IF(OR($AA77="",AK$5=""),0,SUMIF(INDIRECT("'"&amp;AK$5&amp;"'!C6:C1000"),$AA77,INDIRECT("'"&amp;AK$5&amp;"'!H6:H1000")))</f>
        <v>0</v>
      </c>
      <c r="AL77">
        <f>IF(OR($AA77="",AL$5=""),0,SUMIF(INDIRECT("'"&amp;AL$5&amp;"'!C6:C1000"),$AA77,INDIRECT("'"&amp;AL$5&amp;"'!H6:H1000")))</f>
        <v>0</v>
      </c>
      <c r="AM77">
        <f>IF(OR($AA77="",AM$5=""),0,SUMIF(INDIRECT("'"&amp;AM$5&amp;"'!C6:C1000"),$AA77,INDIRECT("'"&amp;AM$5&amp;"'!H6:H1000")))</f>
        <v>0</v>
      </c>
      <c r="AN77">
        <f>IF(OR($AA77="",AN$5=""),0,SUMIF(INDIRECT("'"&amp;AN$5&amp;"'!C6:C1000"),$AA77,INDIRECT("'"&amp;AN$5&amp;"'!H6:H1000")))</f>
        <v>0</v>
      </c>
      <c r="AO77">
        <f>IF(OR($AA77="",AC$5=""),0,SUMIF(INDIRECT("'"&amp;AC$5&amp;"'!C6:C1000"),$AA77,INDIRECT("'"&amp;AC$5&amp;"'!E6:E1000")))</f>
        <v>0</v>
      </c>
      <c r="AP77">
        <f>IF(OR($AA77="",AD$5=""),0,SUMIF(INDIRECT("'"&amp;AD$5&amp;"'!C6:C1000"),$AA77,INDIRECT("'"&amp;AD$5&amp;"'!E6:E1000")))</f>
        <v>0</v>
      </c>
      <c r="AQ77">
        <f>IF(OR($AA77="",AE$5=""),0,SUMIF(INDIRECT("'"&amp;AE$5&amp;"'!C6:C1000"),$AA77,INDIRECT("'"&amp;AE$5&amp;"'!E6:E1000")))</f>
        <v>0</v>
      </c>
      <c r="AR77">
        <f>IF(OR($AA77="",AF$5=""),0,SUMIF(INDIRECT("'"&amp;AF$5&amp;"'!C6:C1000"),$AA77,INDIRECT("'"&amp;AF$5&amp;"'!E6:E1000")))</f>
        <v>0</v>
      </c>
      <c r="AS77">
        <f>IF(OR($AA77="",AG$5=""),0,SUMIF(INDIRECT("'"&amp;AG$5&amp;"'!C6:C1000"),$AA77,INDIRECT("'"&amp;AG$5&amp;"'!E6:E1000")))</f>
        <v>0</v>
      </c>
      <c r="AT77">
        <f>IF(OR($AA77="",AH$5=""),0,SUMIF(INDIRECT("'"&amp;AH$5&amp;"'!C6:C1000"),$AA77,INDIRECT("'"&amp;AH$5&amp;"'!E6:E1000")))</f>
        <v>0</v>
      </c>
      <c r="AU77">
        <f>IF(OR($AA77="",AI$5=""),0,SUMIF(INDIRECT("'"&amp;AI$5&amp;"'!C6:C1000"),$AA77,INDIRECT("'"&amp;AI$5&amp;"'!E6:E1000")))</f>
        <v>0</v>
      </c>
      <c r="AV77">
        <f>IF(OR($AA77="",AJ$5=""),0,SUMIF(INDIRECT("'"&amp;AJ$5&amp;"'!C6:C1000"),$AA77,INDIRECT("'"&amp;AJ$5&amp;"'!E6:E1000")))</f>
        <v>0</v>
      </c>
      <c r="AW77">
        <f>IF(OR($AA77="",AK$5=""),0,SUMIF(INDIRECT("'"&amp;AK$5&amp;"'!C6:C1000"),$AA77,INDIRECT("'"&amp;AK$5&amp;"'!E6:E1000")))</f>
        <v>0</v>
      </c>
      <c r="AX77">
        <f>IF(OR($AA77="",AL$5=""),0,SUMIF(INDIRECT("'"&amp;AL$5&amp;"'!C6:C1000"),$AA77,INDIRECT("'"&amp;AL$5&amp;"'!E6:E1000")))</f>
        <v>0</v>
      </c>
      <c r="AY77">
        <f>IF(OR($AA77="",AM$5=""),0,SUMIF(INDIRECT("'"&amp;AM$5&amp;"'!C6:C1000"),$AA77,INDIRECT("'"&amp;AM$5&amp;"'!E6:E1000")))</f>
        <v>0</v>
      </c>
      <c r="AZ77">
        <f>IF(OR($AA77="",AN$5=""),0,SUMIF(INDIRECT("'"&amp;AN$5&amp;"'!C6:C1000"),$AA77,INDIRECT("'"&amp;AN$5&amp;"'!E6:E1000")))</f>
        <v>0</v>
      </c>
      <c r="BA77">
        <f>IF(OR($AA77="",AC$5=""),0,SUMIFS(INDIRECT("'"&amp;AC$5&amp;"'!E6:E1000"),INDIRECT("'"&amp;AC$5&amp;"'!C6:C1000"),$AA77,INDIRECT("'"&amp;AC$5&amp;"'!F6:F1000"),"箱")+SUMIFS(INDIRECT("'"&amp;AC$5&amp;"'!E6:E1000"),INDIRECT("'"&amp;AC$5&amp;"'!C6:C1000"),$AA77,INDIRECT("'"&amp;AC$5&amp;"'!F6:F1000"),"件"))</f>
        <v>0</v>
      </c>
      <c r="BB77">
        <f>IF(OR($AA77="",AD$5=""),0,SUMIFS(INDIRECT("'"&amp;AD$5&amp;"'!E6:E1000"),INDIRECT("'"&amp;AD$5&amp;"'!C6:C1000"),$AA77,INDIRECT("'"&amp;AD$5&amp;"'!F6:F1000"),"箱")+SUMIFS(INDIRECT("'"&amp;AD$5&amp;"'!E6:E1000"),INDIRECT("'"&amp;AD$5&amp;"'!C6:C1000"),$AA77,INDIRECT("'"&amp;AD$5&amp;"'!F6:F1000"),"件"))</f>
        <v>0</v>
      </c>
      <c r="BC77">
        <f>IF(OR($AA77="",AE$5=""),0,SUMIFS(INDIRECT("'"&amp;AE$5&amp;"'!E6:E1000"),INDIRECT("'"&amp;AE$5&amp;"'!C6:C1000"),$AA77,INDIRECT("'"&amp;AE$5&amp;"'!F6:F1000"),"箱")+SUMIFS(INDIRECT("'"&amp;AE$5&amp;"'!E6:E1000"),INDIRECT("'"&amp;AE$5&amp;"'!C6:C1000"),$AA77,INDIRECT("'"&amp;AE$5&amp;"'!F6:F1000"),"件"))</f>
        <v>0</v>
      </c>
      <c r="BD77">
        <f>IF(OR($AA77="",AF$5=""),0,SUMIFS(INDIRECT("'"&amp;AF$5&amp;"'!E6:E1000"),INDIRECT("'"&amp;AF$5&amp;"'!C6:C1000"),$AA77,INDIRECT("'"&amp;AF$5&amp;"'!F6:F1000"),"箱")+SUMIFS(INDIRECT("'"&amp;AF$5&amp;"'!E6:E1000"),INDIRECT("'"&amp;AF$5&amp;"'!C6:C1000"),$AA77,INDIRECT("'"&amp;AF$5&amp;"'!F6:F1000"),"件"))</f>
        <v>0</v>
      </c>
      <c r="BE77">
        <f>IF(OR($AA77="",AG$5=""),0,SUMIFS(INDIRECT("'"&amp;AG$5&amp;"'!E6:E1000"),INDIRECT("'"&amp;AG$5&amp;"'!C6:C1000"),$AA77,INDIRECT("'"&amp;AG$5&amp;"'!F6:F1000"),"箱")+SUMIFS(INDIRECT("'"&amp;AG$5&amp;"'!E6:E1000"),INDIRECT("'"&amp;AG$5&amp;"'!C6:C1000"),$AA77,INDIRECT("'"&amp;AG$5&amp;"'!F6:F1000"),"件"))</f>
        <v>0</v>
      </c>
      <c r="BF77">
        <f>IF(OR($AA77="",AH$5=""),0,SUMIFS(INDIRECT("'"&amp;AH$5&amp;"'!E6:E1000"),INDIRECT("'"&amp;AH$5&amp;"'!C6:C1000"),$AA77,INDIRECT("'"&amp;AH$5&amp;"'!F6:F1000"),"箱")+SUMIFS(INDIRECT("'"&amp;AH$5&amp;"'!E6:E1000"),INDIRECT("'"&amp;AH$5&amp;"'!C6:C1000"),$AA77,INDIRECT("'"&amp;AH$5&amp;"'!F6:F1000"),"件"))</f>
        <v>0</v>
      </c>
      <c r="BG77">
        <f>IF(OR($AA77="",AI$5=""),0,SUMIFS(INDIRECT("'"&amp;AI$5&amp;"'!E6:E1000"),INDIRECT("'"&amp;AI$5&amp;"'!C6:C1000"),$AA77,INDIRECT("'"&amp;AI$5&amp;"'!F6:F1000"),"箱")+SUMIFS(INDIRECT("'"&amp;AI$5&amp;"'!E6:E1000"),INDIRECT("'"&amp;AI$5&amp;"'!C6:C1000"),$AA77,INDIRECT("'"&amp;AI$5&amp;"'!F6:F1000"),"件"))</f>
        <v>0</v>
      </c>
      <c r="BH77">
        <f>IF(OR($AA77="",AJ$5=""),0,SUMIFS(INDIRECT("'"&amp;AJ$5&amp;"'!E6:E1000"),INDIRECT("'"&amp;AJ$5&amp;"'!C6:C1000"),$AA77,INDIRECT("'"&amp;AJ$5&amp;"'!F6:F1000"),"箱")+SUMIFS(INDIRECT("'"&amp;AJ$5&amp;"'!E6:E1000"),INDIRECT("'"&amp;AJ$5&amp;"'!C6:C1000"),$AA77,INDIRECT("'"&amp;AJ$5&amp;"'!F6:F1000"),"件"))</f>
        <v>0</v>
      </c>
      <c r="BI77">
        <f>IF(OR($AA77="",AK$5=""),0,SUMIFS(INDIRECT("'"&amp;AK$5&amp;"'!E6:E1000"),INDIRECT("'"&amp;AK$5&amp;"'!C6:C1000"),$AA77,INDIRECT("'"&amp;AK$5&amp;"'!F6:F1000"),"箱")+SUMIFS(INDIRECT("'"&amp;AK$5&amp;"'!E6:E1000"),INDIRECT("'"&amp;AK$5&amp;"'!C6:C1000"),$AA77,INDIRECT("'"&amp;AK$5&amp;"'!F6:F1000"),"件"))</f>
        <v>0</v>
      </c>
      <c r="BJ77">
        <f>IF(OR($AA77="",AL$5=""),0,SUMIFS(INDIRECT("'"&amp;AL$5&amp;"'!E6:E1000"),INDIRECT("'"&amp;AL$5&amp;"'!C6:C1000"),$AA77,INDIRECT("'"&amp;AL$5&amp;"'!F6:F1000"),"箱")+SUMIFS(INDIRECT("'"&amp;AL$5&amp;"'!E6:E1000"),INDIRECT("'"&amp;AL$5&amp;"'!C6:C1000"),$AA77,INDIRECT("'"&amp;AL$5&amp;"'!F6:F1000"),"件"))</f>
        <v>0</v>
      </c>
      <c r="BK77">
        <f>IF(OR($AA77="",AM$5=""),0,SUMIFS(INDIRECT("'"&amp;AM$5&amp;"'!E6:E1000"),INDIRECT("'"&amp;AM$5&amp;"'!C6:C1000"),$AA77,INDIRECT("'"&amp;AM$5&amp;"'!F6:F1000"),"箱")+SUMIFS(INDIRECT("'"&amp;AM$5&amp;"'!E6:E1000"),INDIRECT("'"&amp;AM$5&amp;"'!C6:C1000"),$AA77,INDIRECT("'"&amp;AM$5&amp;"'!F6:F1000"),"件"))</f>
        <v>0</v>
      </c>
      <c r="BL77">
        <f>IF(OR($AA77="",AN$5=""),0,SUMIFS(INDIRECT("'"&amp;AN$5&amp;"'!E6:E1000"),INDIRECT("'"&amp;AN$5&amp;"'!C6:C1000"),$AA77,INDIRECT("'"&amp;AN$5&amp;"'!F6:F1000"),"箱")+SUMIFS(INDIRECT("'"&amp;AN$5&amp;"'!E6:E1000"),INDIRECT("'"&amp;AN$5&amp;"'!C6:C1000"),$AA77,INDIRECT("'"&amp;AN$5&amp;"'!F6:F1000"),"件"))</f>
        <v>0</v>
      </c>
      <c r="BM77">
        <f>(AO77-BA77)/$AB77+BA77</f>
        <v>0</v>
      </c>
      <c r="BN77">
        <f>(AP77-BB77)/$AB77+BB77</f>
        <v>0</v>
      </c>
      <c r="BO77">
        <f>(AQ77-BC77)/$AB77+BC77</f>
        <v>0</v>
      </c>
      <c r="BP77">
        <f>(AR77-BD77)/$AB77+BD77</f>
        <v>0</v>
      </c>
      <c r="BQ77">
        <f>(AS77-BE77)/$AB77+BE77</f>
        <v>0</v>
      </c>
      <c r="BR77">
        <f>(AT77-BF77)/$AB77+BF77</f>
        <v>0</v>
      </c>
      <c r="BS77">
        <f>(AU77-BG77)/$AB77+BG77</f>
        <v>0</v>
      </c>
      <c r="BT77">
        <f>(AV77-BH77)/$AB77+BH77</f>
        <v>0</v>
      </c>
      <c r="BU77">
        <f>(AW77-BI77)/$AB77+BI77</f>
        <v>0</v>
      </c>
      <c r="BV77">
        <f>(AX77-BJ77)/$AB77+BJ77</f>
        <v>0</v>
      </c>
      <c r="BW77">
        <f>(AY77-BK77)/$AB77+BK77</f>
        <v>0</v>
      </c>
      <c r="BX77">
        <f>(AZ77-BL77)/$AB77+BL77</f>
        <v>0</v>
      </c>
      <c r="BY77">
        <f>SUMPRODUCT((($AC$4:$AN$4=报损汇总一览!$A$3)+(报损汇总一览!$A$3="全年"))*AC77:AN77)</f>
        <v>0</v>
      </c>
      <c r="BZ77">
        <f>IF(BY77&gt;0,BY77+(1000-ROW())/10000000,"")</f>
      </c>
      <c r="CA77">
        <f>SUMPRODUCT((($AC$4:$AN$4=报损汇总一览!$A$3)+(报损汇总一览!$A$3="全年"))*AO77:AZ77)</f>
        <v>0</v>
      </c>
    </row>
    <row r="78">
      <c r="A78">
        <f>IF(OR(存条明细!C78="",存条明细!D78=""),"",IF(COUNTIFS(存条明细!$C$4:C78,存条明细!C78,存条明细!$D$4:D78,存条明细!D78)&gt;1,"",IFERROR(MATCH(存条明细!C78,总览汇总!$B$5:$B$304,0),900)*10000000+IFERROR(MATCH(存条明细!D78,基础资料!$E$5:$E$104,0),900)*10000+ROW()))</f>
        <v>460070078</v>
      </c>
      <c r="B78">
        <f>IFERROR(MATCH(SMALL($A$4:$A$4003,75),$A$4:$A$4003,0),"")</f>
        <v>48</v>
      </c>
      <c r="D78">
        <f>IF(AND(商品库存!B78&lt;&gt;"",商品库存!B78=客户查询!$B$4),COUNTIF(商品库存!$B$4:B78,客户查询!$B$4),"")</f>
      </c>
      <c r="E78">
        <f>IF(AND(商品库存!B78&lt;&gt;"",商品库存!B78=客户对账单!$B$4),COUNTIF(商品库存!$B$4:B78,客户对账单!$B$4),"")</f>
      </c>
      <c r="F78">
        <f>IF(AND(出库明细!C78&lt;&gt;"",出库明细!C78=客户对账单!$B$4,ISNUMBER(出库明细!B78),出库明细!B78&gt;=客户对账单!$G$4,出库明细!B78&lt;=客户对账单!$I$4),出库明细!B78+ROW()/100000,"")</f>
      </c>
      <c r="H78">
        <f>IF(AND(采购进货!C78&lt;&gt;"",采购进货!C78=供应商对账单!$B$4,ISNUMBER(采购进货!B78),采购进货!B78&gt;=供应商对账单!$G$4,采购进货!B78&lt;=供应商对账单!$I$4),采购进货!B78+ROW()/100000,"")</f>
      </c>
      <c r="J78">
        <f>IF(总览汇总!$B78="","",N(总览汇总!$K78)+SUMIFS(出库明细!$G$4:$G$3003,出库明细!$C$4:$C$3003,总览汇总!$B78,出库明细!$B$4:$B$3003,"&gt;="&amp;年初日,出库明细!$B$4:$B$3003,"&lt;="&amp;资产负债表!$D$3)-SUMIFS(资金台帐!$S$7:$S$3006,资金台帐!$J$7:$J$3006,总览汇总!$B78,资金台帐!$P$7:$P$3006,"应收",资金台帐!$B$7:$B$3006,"&gt;="&amp;年初日,资金台帐!$B$7:$B$3006,"&lt;="&amp;资产负债表!$D$3))</f>
        <v>-107.5</v>
      </c>
      <c r="N78">
        <f>IF(AND(ISNUMBER(出库明细!G78),ISNUMBER(出库明细!E78),ISNUMBER(出库明细!F78)),IF(ABS(出库明细!G78-出库明细!E78*出库明细!F78)&gt;0.005,1,0),0)</f>
        <v>0</v>
      </c>
      <c r="O78">
        <f>IF(AND(ISNUMBER(存条明细!G78),ISNUMBER(存条明细!E78),ISNUMBER(存条明细!F78)),IF(ABS(存条明细!G78-存条明细!E78*存条明细!F78)&gt;0.005,1,0),0)</f>
        <v>0</v>
      </c>
      <c r="AA78">
        <f>IF(基础资料!G77="","",基础资料!G77&amp;"")</f>
      </c>
      <c r="AB78">
        <f>IF(N(基础资料!I77)&lt;=0,1,基础资料!I77)</f>
        <v>1</v>
      </c>
      <c r="AC78">
        <f>IF(OR($AA78="",AC$5=""),0,SUMIF(INDIRECT("'"&amp;AC$5&amp;"'!C6:C1000"),$AA78,INDIRECT("'"&amp;AC$5&amp;"'!H6:H1000")))</f>
        <v>0</v>
      </c>
      <c r="AD78">
        <f>IF(OR($AA78="",AD$5=""),0,SUMIF(INDIRECT("'"&amp;AD$5&amp;"'!C6:C1000"),$AA78,INDIRECT("'"&amp;AD$5&amp;"'!H6:H1000")))</f>
        <v>0</v>
      </c>
      <c r="AE78">
        <f>IF(OR($AA78="",AE$5=""),0,SUMIF(INDIRECT("'"&amp;AE$5&amp;"'!C6:C1000"),$AA78,INDIRECT("'"&amp;AE$5&amp;"'!H6:H1000")))</f>
        <v>0</v>
      </c>
      <c r="AF78">
        <f>IF(OR($AA78="",AF$5=""),0,SUMIF(INDIRECT("'"&amp;AF$5&amp;"'!C6:C1000"),$AA78,INDIRECT("'"&amp;AF$5&amp;"'!H6:H1000")))</f>
        <v>0</v>
      </c>
      <c r="AG78">
        <f>IF(OR($AA78="",AG$5=""),0,SUMIF(INDIRECT("'"&amp;AG$5&amp;"'!C6:C1000"),$AA78,INDIRECT("'"&amp;AG$5&amp;"'!H6:H1000")))</f>
        <v>0</v>
      </c>
      <c r="AH78">
        <f>IF(OR($AA78="",AH$5=""),0,SUMIF(INDIRECT("'"&amp;AH$5&amp;"'!C6:C1000"),$AA78,INDIRECT("'"&amp;AH$5&amp;"'!H6:H1000")))</f>
        <v>0</v>
      </c>
      <c r="AI78">
        <f>IF(OR($AA78="",AI$5=""),0,SUMIF(INDIRECT("'"&amp;AI$5&amp;"'!C6:C1000"),$AA78,INDIRECT("'"&amp;AI$5&amp;"'!H6:H1000")))</f>
        <v>0</v>
      </c>
      <c r="AJ78">
        <f>IF(OR($AA78="",AJ$5=""),0,SUMIF(INDIRECT("'"&amp;AJ$5&amp;"'!C6:C1000"),$AA78,INDIRECT("'"&amp;AJ$5&amp;"'!H6:H1000")))</f>
        <v>0</v>
      </c>
      <c r="AK78">
        <f>IF(OR($AA78="",AK$5=""),0,SUMIF(INDIRECT("'"&amp;AK$5&amp;"'!C6:C1000"),$AA78,INDIRECT("'"&amp;AK$5&amp;"'!H6:H1000")))</f>
        <v>0</v>
      </c>
      <c r="AL78">
        <f>IF(OR($AA78="",AL$5=""),0,SUMIF(INDIRECT("'"&amp;AL$5&amp;"'!C6:C1000"),$AA78,INDIRECT("'"&amp;AL$5&amp;"'!H6:H1000")))</f>
        <v>0</v>
      </c>
      <c r="AM78">
        <f>IF(OR($AA78="",AM$5=""),0,SUMIF(INDIRECT("'"&amp;AM$5&amp;"'!C6:C1000"),$AA78,INDIRECT("'"&amp;AM$5&amp;"'!H6:H1000")))</f>
        <v>0</v>
      </c>
      <c r="AN78">
        <f>IF(OR($AA78="",AN$5=""),0,SUMIF(INDIRECT("'"&amp;AN$5&amp;"'!C6:C1000"),$AA78,INDIRECT("'"&amp;AN$5&amp;"'!H6:H1000")))</f>
        <v>0</v>
      </c>
      <c r="AO78">
        <f>IF(OR($AA78="",AC$5=""),0,SUMIF(INDIRECT("'"&amp;AC$5&amp;"'!C6:C1000"),$AA78,INDIRECT("'"&amp;AC$5&amp;"'!E6:E1000")))</f>
        <v>0</v>
      </c>
      <c r="AP78">
        <f>IF(OR($AA78="",AD$5=""),0,SUMIF(INDIRECT("'"&amp;AD$5&amp;"'!C6:C1000"),$AA78,INDIRECT("'"&amp;AD$5&amp;"'!E6:E1000")))</f>
        <v>0</v>
      </c>
      <c r="AQ78">
        <f>IF(OR($AA78="",AE$5=""),0,SUMIF(INDIRECT("'"&amp;AE$5&amp;"'!C6:C1000"),$AA78,INDIRECT("'"&amp;AE$5&amp;"'!E6:E1000")))</f>
        <v>0</v>
      </c>
      <c r="AR78">
        <f>IF(OR($AA78="",AF$5=""),0,SUMIF(INDIRECT("'"&amp;AF$5&amp;"'!C6:C1000"),$AA78,INDIRECT("'"&amp;AF$5&amp;"'!E6:E1000")))</f>
        <v>0</v>
      </c>
      <c r="AS78">
        <f>IF(OR($AA78="",AG$5=""),0,SUMIF(INDIRECT("'"&amp;AG$5&amp;"'!C6:C1000"),$AA78,INDIRECT("'"&amp;AG$5&amp;"'!E6:E1000")))</f>
        <v>0</v>
      </c>
      <c r="AT78">
        <f>IF(OR($AA78="",AH$5=""),0,SUMIF(INDIRECT("'"&amp;AH$5&amp;"'!C6:C1000"),$AA78,INDIRECT("'"&amp;AH$5&amp;"'!E6:E1000")))</f>
        <v>0</v>
      </c>
      <c r="AU78">
        <f>IF(OR($AA78="",AI$5=""),0,SUMIF(INDIRECT("'"&amp;AI$5&amp;"'!C6:C1000"),$AA78,INDIRECT("'"&amp;AI$5&amp;"'!E6:E1000")))</f>
        <v>0</v>
      </c>
      <c r="AV78">
        <f>IF(OR($AA78="",AJ$5=""),0,SUMIF(INDIRECT("'"&amp;AJ$5&amp;"'!C6:C1000"),$AA78,INDIRECT("'"&amp;AJ$5&amp;"'!E6:E1000")))</f>
        <v>0</v>
      </c>
      <c r="AW78">
        <f>IF(OR($AA78="",AK$5=""),0,SUMIF(INDIRECT("'"&amp;AK$5&amp;"'!C6:C1000"),$AA78,INDIRECT("'"&amp;AK$5&amp;"'!E6:E1000")))</f>
        <v>0</v>
      </c>
      <c r="AX78">
        <f>IF(OR($AA78="",AL$5=""),0,SUMIF(INDIRECT("'"&amp;AL$5&amp;"'!C6:C1000"),$AA78,INDIRECT("'"&amp;AL$5&amp;"'!E6:E1000")))</f>
        <v>0</v>
      </c>
      <c r="AY78">
        <f>IF(OR($AA78="",AM$5=""),0,SUMIF(INDIRECT("'"&amp;AM$5&amp;"'!C6:C1000"),$AA78,INDIRECT("'"&amp;AM$5&amp;"'!E6:E1000")))</f>
        <v>0</v>
      </c>
      <c r="AZ78">
        <f>IF(OR($AA78="",AN$5=""),0,SUMIF(INDIRECT("'"&amp;AN$5&amp;"'!C6:C1000"),$AA78,INDIRECT("'"&amp;AN$5&amp;"'!E6:E1000")))</f>
        <v>0</v>
      </c>
      <c r="BA78">
        <f>IF(OR($AA78="",AC$5=""),0,SUMIFS(INDIRECT("'"&amp;AC$5&amp;"'!E6:E1000"),INDIRECT("'"&amp;AC$5&amp;"'!C6:C1000"),$AA78,INDIRECT("'"&amp;AC$5&amp;"'!F6:F1000"),"箱")+SUMIFS(INDIRECT("'"&amp;AC$5&amp;"'!E6:E1000"),INDIRECT("'"&amp;AC$5&amp;"'!C6:C1000"),$AA78,INDIRECT("'"&amp;AC$5&amp;"'!F6:F1000"),"件"))</f>
        <v>0</v>
      </c>
      <c r="BB78">
        <f>IF(OR($AA78="",AD$5=""),0,SUMIFS(INDIRECT("'"&amp;AD$5&amp;"'!E6:E1000"),INDIRECT("'"&amp;AD$5&amp;"'!C6:C1000"),$AA78,INDIRECT("'"&amp;AD$5&amp;"'!F6:F1000"),"箱")+SUMIFS(INDIRECT("'"&amp;AD$5&amp;"'!E6:E1000"),INDIRECT("'"&amp;AD$5&amp;"'!C6:C1000"),$AA78,INDIRECT("'"&amp;AD$5&amp;"'!F6:F1000"),"件"))</f>
        <v>0</v>
      </c>
      <c r="BC78">
        <f>IF(OR($AA78="",AE$5=""),0,SUMIFS(INDIRECT("'"&amp;AE$5&amp;"'!E6:E1000"),INDIRECT("'"&amp;AE$5&amp;"'!C6:C1000"),$AA78,INDIRECT("'"&amp;AE$5&amp;"'!F6:F1000"),"箱")+SUMIFS(INDIRECT("'"&amp;AE$5&amp;"'!E6:E1000"),INDIRECT("'"&amp;AE$5&amp;"'!C6:C1000"),$AA78,INDIRECT("'"&amp;AE$5&amp;"'!F6:F1000"),"件"))</f>
        <v>0</v>
      </c>
      <c r="BD78">
        <f>IF(OR($AA78="",AF$5=""),0,SUMIFS(INDIRECT("'"&amp;AF$5&amp;"'!E6:E1000"),INDIRECT("'"&amp;AF$5&amp;"'!C6:C1000"),$AA78,INDIRECT("'"&amp;AF$5&amp;"'!F6:F1000"),"箱")+SUMIFS(INDIRECT("'"&amp;AF$5&amp;"'!E6:E1000"),INDIRECT("'"&amp;AF$5&amp;"'!C6:C1000"),$AA78,INDIRECT("'"&amp;AF$5&amp;"'!F6:F1000"),"件"))</f>
        <v>0</v>
      </c>
      <c r="BE78">
        <f>IF(OR($AA78="",AG$5=""),0,SUMIFS(INDIRECT("'"&amp;AG$5&amp;"'!E6:E1000"),INDIRECT("'"&amp;AG$5&amp;"'!C6:C1000"),$AA78,INDIRECT("'"&amp;AG$5&amp;"'!F6:F1000"),"箱")+SUMIFS(INDIRECT("'"&amp;AG$5&amp;"'!E6:E1000"),INDIRECT("'"&amp;AG$5&amp;"'!C6:C1000"),$AA78,INDIRECT("'"&amp;AG$5&amp;"'!F6:F1000"),"件"))</f>
        <v>0</v>
      </c>
      <c r="BF78">
        <f>IF(OR($AA78="",AH$5=""),0,SUMIFS(INDIRECT("'"&amp;AH$5&amp;"'!E6:E1000"),INDIRECT("'"&amp;AH$5&amp;"'!C6:C1000"),$AA78,INDIRECT("'"&amp;AH$5&amp;"'!F6:F1000"),"箱")+SUMIFS(INDIRECT("'"&amp;AH$5&amp;"'!E6:E1000"),INDIRECT("'"&amp;AH$5&amp;"'!C6:C1000"),$AA78,INDIRECT("'"&amp;AH$5&amp;"'!F6:F1000"),"件"))</f>
        <v>0</v>
      </c>
      <c r="BG78">
        <f>IF(OR($AA78="",AI$5=""),0,SUMIFS(INDIRECT("'"&amp;AI$5&amp;"'!E6:E1000"),INDIRECT("'"&amp;AI$5&amp;"'!C6:C1000"),$AA78,INDIRECT("'"&amp;AI$5&amp;"'!F6:F1000"),"箱")+SUMIFS(INDIRECT("'"&amp;AI$5&amp;"'!E6:E1000"),INDIRECT("'"&amp;AI$5&amp;"'!C6:C1000"),$AA78,INDIRECT("'"&amp;AI$5&amp;"'!F6:F1000"),"件"))</f>
        <v>0</v>
      </c>
      <c r="BH78">
        <f>IF(OR($AA78="",AJ$5=""),0,SUMIFS(INDIRECT("'"&amp;AJ$5&amp;"'!E6:E1000"),INDIRECT("'"&amp;AJ$5&amp;"'!C6:C1000"),$AA78,INDIRECT("'"&amp;AJ$5&amp;"'!F6:F1000"),"箱")+SUMIFS(INDIRECT("'"&amp;AJ$5&amp;"'!E6:E1000"),INDIRECT("'"&amp;AJ$5&amp;"'!C6:C1000"),$AA78,INDIRECT("'"&amp;AJ$5&amp;"'!F6:F1000"),"件"))</f>
        <v>0</v>
      </c>
      <c r="BI78">
        <f>IF(OR($AA78="",AK$5=""),0,SUMIFS(INDIRECT("'"&amp;AK$5&amp;"'!E6:E1000"),INDIRECT("'"&amp;AK$5&amp;"'!C6:C1000"),$AA78,INDIRECT("'"&amp;AK$5&amp;"'!F6:F1000"),"箱")+SUMIFS(INDIRECT("'"&amp;AK$5&amp;"'!E6:E1000"),INDIRECT("'"&amp;AK$5&amp;"'!C6:C1000"),$AA78,INDIRECT("'"&amp;AK$5&amp;"'!F6:F1000"),"件"))</f>
        <v>0</v>
      </c>
      <c r="BJ78">
        <f>IF(OR($AA78="",AL$5=""),0,SUMIFS(INDIRECT("'"&amp;AL$5&amp;"'!E6:E1000"),INDIRECT("'"&amp;AL$5&amp;"'!C6:C1000"),$AA78,INDIRECT("'"&amp;AL$5&amp;"'!F6:F1000"),"箱")+SUMIFS(INDIRECT("'"&amp;AL$5&amp;"'!E6:E1000"),INDIRECT("'"&amp;AL$5&amp;"'!C6:C1000"),$AA78,INDIRECT("'"&amp;AL$5&amp;"'!F6:F1000"),"件"))</f>
        <v>0</v>
      </c>
      <c r="BK78">
        <f>IF(OR($AA78="",AM$5=""),0,SUMIFS(INDIRECT("'"&amp;AM$5&amp;"'!E6:E1000"),INDIRECT("'"&amp;AM$5&amp;"'!C6:C1000"),$AA78,INDIRECT("'"&amp;AM$5&amp;"'!F6:F1000"),"箱")+SUMIFS(INDIRECT("'"&amp;AM$5&amp;"'!E6:E1000"),INDIRECT("'"&amp;AM$5&amp;"'!C6:C1000"),$AA78,INDIRECT("'"&amp;AM$5&amp;"'!F6:F1000"),"件"))</f>
        <v>0</v>
      </c>
      <c r="BL78">
        <f>IF(OR($AA78="",AN$5=""),0,SUMIFS(INDIRECT("'"&amp;AN$5&amp;"'!E6:E1000"),INDIRECT("'"&amp;AN$5&amp;"'!C6:C1000"),$AA78,INDIRECT("'"&amp;AN$5&amp;"'!F6:F1000"),"箱")+SUMIFS(INDIRECT("'"&amp;AN$5&amp;"'!E6:E1000"),INDIRECT("'"&amp;AN$5&amp;"'!C6:C1000"),$AA78,INDIRECT("'"&amp;AN$5&amp;"'!F6:F1000"),"件"))</f>
        <v>0</v>
      </c>
      <c r="BM78">
        <f>(AO78-BA78)/$AB78+BA78</f>
        <v>0</v>
      </c>
      <c r="BN78">
        <f>(AP78-BB78)/$AB78+BB78</f>
        <v>0</v>
      </c>
      <c r="BO78">
        <f>(AQ78-BC78)/$AB78+BC78</f>
        <v>0</v>
      </c>
      <c r="BP78">
        <f>(AR78-BD78)/$AB78+BD78</f>
        <v>0</v>
      </c>
      <c r="BQ78">
        <f>(AS78-BE78)/$AB78+BE78</f>
        <v>0</v>
      </c>
      <c r="BR78">
        <f>(AT78-BF78)/$AB78+BF78</f>
        <v>0</v>
      </c>
      <c r="BS78">
        <f>(AU78-BG78)/$AB78+BG78</f>
        <v>0</v>
      </c>
      <c r="BT78">
        <f>(AV78-BH78)/$AB78+BH78</f>
        <v>0</v>
      </c>
      <c r="BU78">
        <f>(AW78-BI78)/$AB78+BI78</f>
        <v>0</v>
      </c>
      <c r="BV78">
        <f>(AX78-BJ78)/$AB78+BJ78</f>
        <v>0</v>
      </c>
      <c r="BW78">
        <f>(AY78-BK78)/$AB78+BK78</f>
        <v>0</v>
      </c>
      <c r="BX78">
        <f>(AZ78-BL78)/$AB78+BL78</f>
        <v>0</v>
      </c>
      <c r="BY78">
        <f>SUMPRODUCT((($AC$4:$AN$4=报损汇总一览!$A$3)+(报损汇总一览!$A$3="全年"))*AC78:AN78)</f>
        <v>0</v>
      </c>
      <c r="BZ78">
        <f>IF(BY78&gt;0,BY78+(1000-ROW())/10000000,"")</f>
      </c>
      <c r="CA78">
        <f>SUMPRODUCT((($AC$4:$AN$4=报损汇总一览!$A$3)+(报损汇总一览!$A$3="全年"))*AO78:AZ78)</f>
        <v>0</v>
      </c>
    </row>
    <row r="79">
      <c r="A79">
        <f>IF(OR(存条明细!C79="",存条明细!D79=""),"",IF(COUNTIFS(存条明细!$C$4:C79,存条明细!C79,存条明细!$D$4:D79,存条明细!D79)&gt;1,"",IFERROR(MATCH(存条明细!C79,总览汇总!$B$5:$B$304,0),900)*10000000+IFERROR(MATCH(存条明细!D79,基础资料!$E$5:$E$104,0),900)*10000+ROW()))</f>
        <v>460130079</v>
      </c>
      <c r="B79">
        <f>IFERROR(MATCH(SMALL($A$4:$A$4003,76),$A$4:$A$4003,0),"")</f>
        <v>1365</v>
      </c>
      <c r="D79">
        <f>IF(AND(商品库存!B79&lt;&gt;"",商品库存!B79=客户查询!$B$4),COUNTIF(商品库存!$B$4:B79,客户查询!$B$4),"")</f>
      </c>
      <c r="E79">
        <f>IF(AND(商品库存!B79&lt;&gt;"",商品库存!B79=客户对账单!$B$4),COUNTIF(商品库存!$B$4:B79,客户对账单!$B$4),"")</f>
      </c>
      <c r="F79">
        <f>IF(AND(出库明细!C79&lt;&gt;"",出库明细!C79=客户对账单!$B$4,ISNUMBER(出库明细!B79),出库明细!B79&gt;=客户对账单!$G$4,出库明细!B79&lt;=客户对账单!$I$4),出库明细!B79+ROW()/100000,"")</f>
      </c>
      <c r="H79">
        <f>IF(AND(采购进货!C79&lt;&gt;"",采购进货!C79=供应商对账单!$B$4,ISNUMBER(采购进货!B79),采购进货!B79&gt;=供应商对账单!$G$4,采购进货!B79&lt;=供应商对账单!$I$4),采购进货!B79+ROW()/100000,"")</f>
      </c>
      <c r="J79">
        <f>IF(总览汇总!$B79="","",N(总览汇总!$K79)+SUMIFS(出库明细!$G$4:$G$3003,出库明细!$C$4:$C$3003,总览汇总!$B79,出库明细!$B$4:$B$3003,"&gt;="&amp;年初日,出库明细!$B$4:$B$3003,"&lt;="&amp;资产负债表!$D$3)-SUMIFS(资金台帐!$S$7:$S$3006,资金台帐!$J$7:$J$3006,总览汇总!$B79,资金台帐!$P$7:$P$3006,"应收",资金台帐!$B$7:$B$3006,"&gt;="&amp;年初日,资金台帐!$B$7:$B$3006,"&lt;="&amp;资产负债表!$D$3))</f>
        <v>-2790</v>
      </c>
      <c r="N79">
        <f>IF(AND(ISNUMBER(出库明细!G79),ISNUMBER(出库明细!E79),ISNUMBER(出库明细!F79)),IF(ABS(出库明细!G79-出库明细!E79*出库明细!F79)&gt;0.005,1,0),0)</f>
        <v>0</v>
      </c>
      <c r="O79">
        <f>IF(AND(ISNUMBER(存条明细!G79),ISNUMBER(存条明细!E79),ISNUMBER(存条明细!F79)),IF(ABS(存条明细!G79-存条明细!E79*存条明细!F79)&gt;0.005,1,0),0)</f>
        <v>0</v>
      </c>
      <c r="AA79">
        <f>IF(基础资料!G78="","",基础资料!G78&amp;"")</f>
      </c>
      <c r="AB79">
        <f>IF(N(基础资料!I78)&lt;=0,1,基础资料!I78)</f>
        <v>1</v>
      </c>
      <c r="AC79">
        <f>IF(OR($AA79="",AC$5=""),0,SUMIF(INDIRECT("'"&amp;AC$5&amp;"'!C6:C1000"),$AA79,INDIRECT("'"&amp;AC$5&amp;"'!H6:H1000")))</f>
        <v>0</v>
      </c>
      <c r="AD79">
        <f>IF(OR($AA79="",AD$5=""),0,SUMIF(INDIRECT("'"&amp;AD$5&amp;"'!C6:C1000"),$AA79,INDIRECT("'"&amp;AD$5&amp;"'!H6:H1000")))</f>
        <v>0</v>
      </c>
      <c r="AE79">
        <f>IF(OR($AA79="",AE$5=""),0,SUMIF(INDIRECT("'"&amp;AE$5&amp;"'!C6:C1000"),$AA79,INDIRECT("'"&amp;AE$5&amp;"'!H6:H1000")))</f>
        <v>0</v>
      </c>
      <c r="AF79">
        <f>IF(OR($AA79="",AF$5=""),0,SUMIF(INDIRECT("'"&amp;AF$5&amp;"'!C6:C1000"),$AA79,INDIRECT("'"&amp;AF$5&amp;"'!H6:H1000")))</f>
        <v>0</v>
      </c>
      <c r="AG79">
        <f>IF(OR($AA79="",AG$5=""),0,SUMIF(INDIRECT("'"&amp;AG$5&amp;"'!C6:C1000"),$AA79,INDIRECT("'"&amp;AG$5&amp;"'!H6:H1000")))</f>
        <v>0</v>
      </c>
      <c r="AH79">
        <f>IF(OR($AA79="",AH$5=""),0,SUMIF(INDIRECT("'"&amp;AH$5&amp;"'!C6:C1000"),$AA79,INDIRECT("'"&amp;AH$5&amp;"'!H6:H1000")))</f>
        <v>0</v>
      </c>
      <c r="AI79">
        <f>IF(OR($AA79="",AI$5=""),0,SUMIF(INDIRECT("'"&amp;AI$5&amp;"'!C6:C1000"),$AA79,INDIRECT("'"&amp;AI$5&amp;"'!H6:H1000")))</f>
        <v>0</v>
      </c>
      <c r="AJ79">
        <f>IF(OR($AA79="",AJ$5=""),0,SUMIF(INDIRECT("'"&amp;AJ$5&amp;"'!C6:C1000"),$AA79,INDIRECT("'"&amp;AJ$5&amp;"'!H6:H1000")))</f>
        <v>0</v>
      </c>
      <c r="AK79">
        <f>IF(OR($AA79="",AK$5=""),0,SUMIF(INDIRECT("'"&amp;AK$5&amp;"'!C6:C1000"),$AA79,INDIRECT("'"&amp;AK$5&amp;"'!H6:H1000")))</f>
        <v>0</v>
      </c>
      <c r="AL79">
        <f>IF(OR($AA79="",AL$5=""),0,SUMIF(INDIRECT("'"&amp;AL$5&amp;"'!C6:C1000"),$AA79,INDIRECT("'"&amp;AL$5&amp;"'!H6:H1000")))</f>
        <v>0</v>
      </c>
      <c r="AM79">
        <f>IF(OR($AA79="",AM$5=""),0,SUMIF(INDIRECT("'"&amp;AM$5&amp;"'!C6:C1000"),$AA79,INDIRECT("'"&amp;AM$5&amp;"'!H6:H1000")))</f>
        <v>0</v>
      </c>
      <c r="AN79">
        <f>IF(OR($AA79="",AN$5=""),0,SUMIF(INDIRECT("'"&amp;AN$5&amp;"'!C6:C1000"),$AA79,INDIRECT("'"&amp;AN$5&amp;"'!H6:H1000")))</f>
        <v>0</v>
      </c>
      <c r="AO79">
        <f>IF(OR($AA79="",AC$5=""),0,SUMIF(INDIRECT("'"&amp;AC$5&amp;"'!C6:C1000"),$AA79,INDIRECT("'"&amp;AC$5&amp;"'!E6:E1000")))</f>
        <v>0</v>
      </c>
      <c r="AP79">
        <f>IF(OR($AA79="",AD$5=""),0,SUMIF(INDIRECT("'"&amp;AD$5&amp;"'!C6:C1000"),$AA79,INDIRECT("'"&amp;AD$5&amp;"'!E6:E1000")))</f>
        <v>0</v>
      </c>
      <c r="AQ79">
        <f>IF(OR($AA79="",AE$5=""),0,SUMIF(INDIRECT("'"&amp;AE$5&amp;"'!C6:C1000"),$AA79,INDIRECT("'"&amp;AE$5&amp;"'!E6:E1000")))</f>
        <v>0</v>
      </c>
      <c r="AR79">
        <f>IF(OR($AA79="",AF$5=""),0,SUMIF(INDIRECT("'"&amp;AF$5&amp;"'!C6:C1000"),$AA79,INDIRECT("'"&amp;AF$5&amp;"'!E6:E1000")))</f>
        <v>0</v>
      </c>
      <c r="AS79">
        <f>IF(OR($AA79="",AG$5=""),0,SUMIF(INDIRECT("'"&amp;AG$5&amp;"'!C6:C1000"),$AA79,INDIRECT("'"&amp;AG$5&amp;"'!E6:E1000")))</f>
        <v>0</v>
      </c>
      <c r="AT79">
        <f>IF(OR($AA79="",AH$5=""),0,SUMIF(INDIRECT("'"&amp;AH$5&amp;"'!C6:C1000"),$AA79,INDIRECT("'"&amp;AH$5&amp;"'!E6:E1000")))</f>
        <v>0</v>
      </c>
      <c r="AU79">
        <f>IF(OR($AA79="",AI$5=""),0,SUMIF(INDIRECT("'"&amp;AI$5&amp;"'!C6:C1000"),$AA79,INDIRECT("'"&amp;AI$5&amp;"'!E6:E1000")))</f>
        <v>0</v>
      </c>
      <c r="AV79">
        <f>IF(OR($AA79="",AJ$5=""),0,SUMIF(INDIRECT("'"&amp;AJ$5&amp;"'!C6:C1000"),$AA79,INDIRECT("'"&amp;AJ$5&amp;"'!E6:E1000")))</f>
        <v>0</v>
      </c>
      <c r="AW79">
        <f>IF(OR($AA79="",AK$5=""),0,SUMIF(INDIRECT("'"&amp;AK$5&amp;"'!C6:C1000"),$AA79,INDIRECT("'"&amp;AK$5&amp;"'!E6:E1000")))</f>
        <v>0</v>
      </c>
      <c r="AX79">
        <f>IF(OR($AA79="",AL$5=""),0,SUMIF(INDIRECT("'"&amp;AL$5&amp;"'!C6:C1000"),$AA79,INDIRECT("'"&amp;AL$5&amp;"'!E6:E1000")))</f>
        <v>0</v>
      </c>
      <c r="AY79">
        <f>IF(OR($AA79="",AM$5=""),0,SUMIF(INDIRECT("'"&amp;AM$5&amp;"'!C6:C1000"),$AA79,INDIRECT("'"&amp;AM$5&amp;"'!E6:E1000")))</f>
        <v>0</v>
      </c>
      <c r="AZ79">
        <f>IF(OR($AA79="",AN$5=""),0,SUMIF(INDIRECT("'"&amp;AN$5&amp;"'!C6:C1000"),$AA79,INDIRECT("'"&amp;AN$5&amp;"'!E6:E1000")))</f>
        <v>0</v>
      </c>
      <c r="BA79">
        <f>IF(OR($AA79="",AC$5=""),0,SUMIFS(INDIRECT("'"&amp;AC$5&amp;"'!E6:E1000"),INDIRECT("'"&amp;AC$5&amp;"'!C6:C1000"),$AA79,INDIRECT("'"&amp;AC$5&amp;"'!F6:F1000"),"箱")+SUMIFS(INDIRECT("'"&amp;AC$5&amp;"'!E6:E1000"),INDIRECT("'"&amp;AC$5&amp;"'!C6:C1000"),$AA79,INDIRECT("'"&amp;AC$5&amp;"'!F6:F1000"),"件"))</f>
        <v>0</v>
      </c>
      <c r="BB79">
        <f>IF(OR($AA79="",AD$5=""),0,SUMIFS(INDIRECT("'"&amp;AD$5&amp;"'!E6:E1000"),INDIRECT("'"&amp;AD$5&amp;"'!C6:C1000"),$AA79,INDIRECT("'"&amp;AD$5&amp;"'!F6:F1000"),"箱")+SUMIFS(INDIRECT("'"&amp;AD$5&amp;"'!E6:E1000"),INDIRECT("'"&amp;AD$5&amp;"'!C6:C1000"),$AA79,INDIRECT("'"&amp;AD$5&amp;"'!F6:F1000"),"件"))</f>
        <v>0</v>
      </c>
      <c r="BC79">
        <f>IF(OR($AA79="",AE$5=""),0,SUMIFS(INDIRECT("'"&amp;AE$5&amp;"'!E6:E1000"),INDIRECT("'"&amp;AE$5&amp;"'!C6:C1000"),$AA79,INDIRECT("'"&amp;AE$5&amp;"'!F6:F1000"),"箱")+SUMIFS(INDIRECT("'"&amp;AE$5&amp;"'!E6:E1000"),INDIRECT("'"&amp;AE$5&amp;"'!C6:C1000"),$AA79,INDIRECT("'"&amp;AE$5&amp;"'!F6:F1000"),"件"))</f>
        <v>0</v>
      </c>
      <c r="BD79">
        <f>IF(OR($AA79="",AF$5=""),0,SUMIFS(INDIRECT("'"&amp;AF$5&amp;"'!E6:E1000"),INDIRECT("'"&amp;AF$5&amp;"'!C6:C1000"),$AA79,INDIRECT("'"&amp;AF$5&amp;"'!F6:F1000"),"箱")+SUMIFS(INDIRECT("'"&amp;AF$5&amp;"'!E6:E1000"),INDIRECT("'"&amp;AF$5&amp;"'!C6:C1000"),$AA79,INDIRECT("'"&amp;AF$5&amp;"'!F6:F1000"),"件"))</f>
        <v>0</v>
      </c>
      <c r="BE79">
        <f>IF(OR($AA79="",AG$5=""),0,SUMIFS(INDIRECT("'"&amp;AG$5&amp;"'!E6:E1000"),INDIRECT("'"&amp;AG$5&amp;"'!C6:C1000"),$AA79,INDIRECT("'"&amp;AG$5&amp;"'!F6:F1000"),"箱")+SUMIFS(INDIRECT("'"&amp;AG$5&amp;"'!E6:E1000"),INDIRECT("'"&amp;AG$5&amp;"'!C6:C1000"),$AA79,INDIRECT("'"&amp;AG$5&amp;"'!F6:F1000"),"件"))</f>
        <v>0</v>
      </c>
      <c r="BF79">
        <f>IF(OR($AA79="",AH$5=""),0,SUMIFS(INDIRECT("'"&amp;AH$5&amp;"'!E6:E1000"),INDIRECT("'"&amp;AH$5&amp;"'!C6:C1000"),$AA79,INDIRECT("'"&amp;AH$5&amp;"'!F6:F1000"),"箱")+SUMIFS(INDIRECT("'"&amp;AH$5&amp;"'!E6:E1000"),INDIRECT("'"&amp;AH$5&amp;"'!C6:C1000"),$AA79,INDIRECT("'"&amp;AH$5&amp;"'!F6:F1000"),"件"))</f>
        <v>0</v>
      </c>
      <c r="BG79">
        <f>IF(OR($AA79="",AI$5=""),0,SUMIFS(INDIRECT("'"&amp;AI$5&amp;"'!E6:E1000"),INDIRECT("'"&amp;AI$5&amp;"'!C6:C1000"),$AA79,INDIRECT("'"&amp;AI$5&amp;"'!F6:F1000"),"箱")+SUMIFS(INDIRECT("'"&amp;AI$5&amp;"'!E6:E1000"),INDIRECT("'"&amp;AI$5&amp;"'!C6:C1000"),$AA79,INDIRECT("'"&amp;AI$5&amp;"'!F6:F1000"),"件"))</f>
        <v>0</v>
      </c>
      <c r="BH79">
        <f>IF(OR($AA79="",AJ$5=""),0,SUMIFS(INDIRECT("'"&amp;AJ$5&amp;"'!E6:E1000"),INDIRECT("'"&amp;AJ$5&amp;"'!C6:C1000"),$AA79,INDIRECT("'"&amp;AJ$5&amp;"'!F6:F1000"),"箱")+SUMIFS(INDIRECT("'"&amp;AJ$5&amp;"'!E6:E1000"),INDIRECT("'"&amp;AJ$5&amp;"'!C6:C1000"),$AA79,INDIRECT("'"&amp;AJ$5&amp;"'!F6:F1000"),"件"))</f>
        <v>0</v>
      </c>
      <c r="BI79">
        <f>IF(OR($AA79="",AK$5=""),0,SUMIFS(INDIRECT("'"&amp;AK$5&amp;"'!E6:E1000"),INDIRECT("'"&amp;AK$5&amp;"'!C6:C1000"),$AA79,INDIRECT("'"&amp;AK$5&amp;"'!F6:F1000"),"箱")+SUMIFS(INDIRECT("'"&amp;AK$5&amp;"'!E6:E1000"),INDIRECT("'"&amp;AK$5&amp;"'!C6:C1000"),$AA79,INDIRECT("'"&amp;AK$5&amp;"'!F6:F1000"),"件"))</f>
        <v>0</v>
      </c>
      <c r="BJ79">
        <f>IF(OR($AA79="",AL$5=""),0,SUMIFS(INDIRECT("'"&amp;AL$5&amp;"'!E6:E1000"),INDIRECT("'"&amp;AL$5&amp;"'!C6:C1000"),$AA79,INDIRECT("'"&amp;AL$5&amp;"'!F6:F1000"),"箱")+SUMIFS(INDIRECT("'"&amp;AL$5&amp;"'!E6:E1000"),INDIRECT("'"&amp;AL$5&amp;"'!C6:C1000"),$AA79,INDIRECT("'"&amp;AL$5&amp;"'!F6:F1000"),"件"))</f>
        <v>0</v>
      </c>
      <c r="BK79">
        <f>IF(OR($AA79="",AM$5=""),0,SUMIFS(INDIRECT("'"&amp;AM$5&amp;"'!E6:E1000"),INDIRECT("'"&amp;AM$5&amp;"'!C6:C1000"),$AA79,INDIRECT("'"&amp;AM$5&amp;"'!F6:F1000"),"箱")+SUMIFS(INDIRECT("'"&amp;AM$5&amp;"'!E6:E1000"),INDIRECT("'"&amp;AM$5&amp;"'!C6:C1000"),$AA79,INDIRECT("'"&amp;AM$5&amp;"'!F6:F1000"),"件"))</f>
        <v>0</v>
      </c>
      <c r="BL79">
        <f>IF(OR($AA79="",AN$5=""),0,SUMIFS(INDIRECT("'"&amp;AN$5&amp;"'!E6:E1000"),INDIRECT("'"&amp;AN$5&amp;"'!C6:C1000"),$AA79,INDIRECT("'"&amp;AN$5&amp;"'!F6:F1000"),"箱")+SUMIFS(INDIRECT("'"&amp;AN$5&amp;"'!E6:E1000"),INDIRECT("'"&amp;AN$5&amp;"'!C6:C1000"),$AA79,INDIRECT("'"&amp;AN$5&amp;"'!F6:F1000"),"件"))</f>
        <v>0</v>
      </c>
      <c r="BM79">
        <f>(AO79-BA79)/$AB79+BA79</f>
        <v>0</v>
      </c>
      <c r="BN79">
        <f>(AP79-BB79)/$AB79+BB79</f>
        <v>0</v>
      </c>
      <c r="BO79">
        <f>(AQ79-BC79)/$AB79+BC79</f>
        <v>0</v>
      </c>
      <c r="BP79">
        <f>(AR79-BD79)/$AB79+BD79</f>
        <v>0</v>
      </c>
      <c r="BQ79">
        <f>(AS79-BE79)/$AB79+BE79</f>
        <v>0</v>
      </c>
      <c r="BR79">
        <f>(AT79-BF79)/$AB79+BF79</f>
        <v>0</v>
      </c>
      <c r="BS79">
        <f>(AU79-BG79)/$AB79+BG79</f>
        <v>0</v>
      </c>
      <c r="BT79">
        <f>(AV79-BH79)/$AB79+BH79</f>
        <v>0</v>
      </c>
      <c r="BU79">
        <f>(AW79-BI79)/$AB79+BI79</f>
        <v>0</v>
      </c>
      <c r="BV79">
        <f>(AX79-BJ79)/$AB79+BJ79</f>
        <v>0</v>
      </c>
      <c r="BW79">
        <f>(AY79-BK79)/$AB79+BK79</f>
        <v>0</v>
      </c>
      <c r="BX79">
        <f>(AZ79-BL79)/$AB79+BL79</f>
        <v>0</v>
      </c>
      <c r="BY79">
        <f>SUMPRODUCT((($AC$4:$AN$4=报损汇总一览!$A$3)+(报损汇总一览!$A$3="全年"))*AC79:AN79)</f>
        <v>0</v>
      </c>
      <c r="BZ79">
        <f>IF(BY79&gt;0,BY79+(1000-ROW())/10000000,"")</f>
      </c>
      <c r="CA79">
        <f>SUMPRODUCT((($AC$4:$AN$4=报损汇总一览!$A$3)+(报损汇总一览!$A$3="全年"))*AO79:AZ79)</f>
        <v>0</v>
      </c>
    </row>
    <row r="80">
      <c r="A80">
        <f>IF(OR(存条明细!C80="",存条明细!D80=""),"",IF(COUNTIFS(存条明细!$C$4:C80,存条明细!C80,存条明细!$D$4:D80,存条明细!D80)&gt;1,"",IFERROR(MATCH(存条明细!C80,总览汇总!$B$5:$B$304,0),900)*10000000+IFERROR(MATCH(存条明细!D80,基础资料!$E$5:$E$104,0),900)*10000+ROW()))</f>
        <v>460020080</v>
      </c>
      <c r="B80">
        <f>IFERROR(MATCH(SMALL($A$4:$A$4003,77),$A$4:$A$4003,0),"")</f>
        <v>51</v>
      </c>
      <c r="D80">
        <f>IF(AND(商品库存!B80&lt;&gt;"",商品库存!B80=客户查询!$B$4),COUNTIF(商品库存!$B$4:B80,客户查询!$B$4),"")</f>
      </c>
      <c r="E80">
        <f>IF(AND(商品库存!B80&lt;&gt;"",商品库存!B80=客户对账单!$B$4),COUNTIF(商品库存!$B$4:B80,客户对账单!$B$4),"")</f>
      </c>
      <c r="F80">
        <f>IF(AND(出库明细!C80&lt;&gt;"",出库明细!C80=客户对账单!$B$4,ISNUMBER(出库明细!B80),出库明细!B80&gt;=客户对账单!$G$4,出库明细!B80&lt;=客户对账单!$I$4),出库明细!B80+ROW()/100000,"")</f>
      </c>
      <c r="H80">
        <f>IF(AND(采购进货!C80&lt;&gt;"",采购进货!C80=供应商对账单!$B$4,ISNUMBER(采购进货!B80),采购进货!B80&gt;=供应商对账单!$G$4,采购进货!B80&lt;=供应商对账单!$I$4),采购进货!B80+ROW()/100000,"")</f>
      </c>
      <c r="J80">
        <f>IF(总览汇总!$B80="","",N(总览汇总!$K80)+SUMIFS(出库明细!$G$4:$G$3003,出库明细!$C$4:$C$3003,总览汇总!$B80,出库明细!$B$4:$B$3003,"&gt;="&amp;年初日,出库明细!$B$4:$B$3003,"&lt;="&amp;资产负债表!$D$3)-SUMIFS(资金台帐!$S$7:$S$3006,资金台帐!$J$7:$J$3006,总览汇总!$B80,资金台帐!$P$7:$P$3006,"应收",资金台帐!$B$7:$B$3006,"&gt;="&amp;年初日,资金台帐!$B$7:$B$3006,"&lt;="&amp;资产负债表!$D$3))</f>
        <v>-4500</v>
      </c>
      <c r="N80">
        <f>IF(AND(ISNUMBER(出库明细!G80),ISNUMBER(出库明细!E80),ISNUMBER(出库明细!F80)),IF(ABS(出库明细!G80-出库明细!E80*出库明细!F80)&gt;0.005,1,0),0)</f>
        <v>0</v>
      </c>
      <c r="O80">
        <f>IF(AND(ISNUMBER(存条明细!G80),ISNUMBER(存条明细!E80),ISNUMBER(存条明细!F80)),IF(ABS(存条明细!G80-存条明细!E80*存条明细!F80)&gt;0.005,1,0),0)</f>
        <v>0</v>
      </c>
      <c r="AA80">
        <f>IF(基础资料!G79="","",基础资料!G79&amp;"")</f>
      </c>
      <c r="AB80">
        <f>IF(N(基础资料!I79)&lt;=0,1,基础资料!I79)</f>
        <v>1</v>
      </c>
      <c r="AC80">
        <f>IF(OR($AA80="",AC$5=""),0,SUMIF(INDIRECT("'"&amp;AC$5&amp;"'!C6:C1000"),$AA80,INDIRECT("'"&amp;AC$5&amp;"'!H6:H1000")))</f>
        <v>0</v>
      </c>
      <c r="AD80">
        <f>IF(OR($AA80="",AD$5=""),0,SUMIF(INDIRECT("'"&amp;AD$5&amp;"'!C6:C1000"),$AA80,INDIRECT("'"&amp;AD$5&amp;"'!H6:H1000")))</f>
        <v>0</v>
      </c>
      <c r="AE80">
        <f>IF(OR($AA80="",AE$5=""),0,SUMIF(INDIRECT("'"&amp;AE$5&amp;"'!C6:C1000"),$AA80,INDIRECT("'"&amp;AE$5&amp;"'!H6:H1000")))</f>
        <v>0</v>
      </c>
      <c r="AF80">
        <f>IF(OR($AA80="",AF$5=""),0,SUMIF(INDIRECT("'"&amp;AF$5&amp;"'!C6:C1000"),$AA80,INDIRECT("'"&amp;AF$5&amp;"'!H6:H1000")))</f>
        <v>0</v>
      </c>
      <c r="AG80">
        <f>IF(OR($AA80="",AG$5=""),0,SUMIF(INDIRECT("'"&amp;AG$5&amp;"'!C6:C1000"),$AA80,INDIRECT("'"&amp;AG$5&amp;"'!H6:H1000")))</f>
        <v>0</v>
      </c>
      <c r="AH80">
        <f>IF(OR($AA80="",AH$5=""),0,SUMIF(INDIRECT("'"&amp;AH$5&amp;"'!C6:C1000"),$AA80,INDIRECT("'"&amp;AH$5&amp;"'!H6:H1000")))</f>
        <v>0</v>
      </c>
      <c r="AI80">
        <f>IF(OR($AA80="",AI$5=""),0,SUMIF(INDIRECT("'"&amp;AI$5&amp;"'!C6:C1000"),$AA80,INDIRECT("'"&amp;AI$5&amp;"'!H6:H1000")))</f>
        <v>0</v>
      </c>
      <c r="AJ80">
        <f>IF(OR($AA80="",AJ$5=""),0,SUMIF(INDIRECT("'"&amp;AJ$5&amp;"'!C6:C1000"),$AA80,INDIRECT("'"&amp;AJ$5&amp;"'!H6:H1000")))</f>
        <v>0</v>
      </c>
      <c r="AK80">
        <f>IF(OR($AA80="",AK$5=""),0,SUMIF(INDIRECT("'"&amp;AK$5&amp;"'!C6:C1000"),$AA80,INDIRECT("'"&amp;AK$5&amp;"'!H6:H1000")))</f>
        <v>0</v>
      </c>
      <c r="AL80">
        <f>IF(OR($AA80="",AL$5=""),0,SUMIF(INDIRECT("'"&amp;AL$5&amp;"'!C6:C1000"),$AA80,INDIRECT("'"&amp;AL$5&amp;"'!H6:H1000")))</f>
        <v>0</v>
      </c>
      <c r="AM80">
        <f>IF(OR($AA80="",AM$5=""),0,SUMIF(INDIRECT("'"&amp;AM$5&amp;"'!C6:C1000"),$AA80,INDIRECT("'"&amp;AM$5&amp;"'!H6:H1000")))</f>
        <v>0</v>
      </c>
      <c r="AN80">
        <f>IF(OR($AA80="",AN$5=""),0,SUMIF(INDIRECT("'"&amp;AN$5&amp;"'!C6:C1000"),$AA80,INDIRECT("'"&amp;AN$5&amp;"'!H6:H1000")))</f>
        <v>0</v>
      </c>
      <c r="AO80">
        <f>IF(OR($AA80="",AC$5=""),0,SUMIF(INDIRECT("'"&amp;AC$5&amp;"'!C6:C1000"),$AA80,INDIRECT("'"&amp;AC$5&amp;"'!E6:E1000")))</f>
        <v>0</v>
      </c>
      <c r="AP80">
        <f>IF(OR($AA80="",AD$5=""),0,SUMIF(INDIRECT("'"&amp;AD$5&amp;"'!C6:C1000"),$AA80,INDIRECT("'"&amp;AD$5&amp;"'!E6:E1000")))</f>
        <v>0</v>
      </c>
      <c r="AQ80">
        <f>IF(OR($AA80="",AE$5=""),0,SUMIF(INDIRECT("'"&amp;AE$5&amp;"'!C6:C1000"),$AA80,INDIRECT("'"&amp;AE$5&amp;"'!E6:E1000")))</f>
        <v>0</v>
      </c>
      <c r="AR80">
        <f>IF(OR($AA80="",AF$5=""),0,SUMIF(INDIRECT("'"&amp;AF$5&amp;"'!C6:C1000"),$AA80,INDIRECT("'"&amp;AF$5&amp;"'!E6:E1000")))</f>
        <v>0</v>
      </c>
      <c r="AS80">
        <f>IF(OR($AA80="",AG$5=""),0,SUMIF(INDIRECT("'"&amp;AG$5&amp;"'!C6:C1000"),$AA80,INDIRECT("'"&amp;AG$5&amp;"'!E6:E1000")))</f>
        <v>0</v>
      </c>
      <c r="AT80">
        <f>IF(OR($AA80="",AH$5=""),0,SUMIF(INDIRECT("'"&amp;AH$5&amp;"'!C6:C1000"),$AA80,INDIRECT("'"&amp;AH$5&amp;"'!E6:E1000")))</f>
        <v>0</v>
      </c>
      <c r="AU80">
        <f>IF(OR($AA80="",AI$5=""),0,SUMIF(INDIRECT("'"&amp;AI$5&amp;"'!C6:C1000"),$AA80,INDIRECT("'"&amp;AI$5&amp;"'!E6:E1000")))</f>
        <v>0</v>
      </c>
      <c r="AV80">
        <f>IF(OR($AA80="",AJ$5=""),0,SUMIF(INDIRECT("'"&amp;AJ$5&amp;"'!C6:C1000"),$AA80,INDIRECT("'"&amp;AJ$5&amp;"'!E6:E1000")))</f>
        <v>0</v>
      </c>
      <c r="AW80">
        <f>IF(OR($AA80="",AK$5=""),0,SUMIF(INDIRECT("'"&amp;AK$5&amp;"'!C6:C1000"),$AA80,INDIRECT("'"&amp;AK$5&amp;"'!E6:E1000")))</f>
        <v>0</v>
      </c>
      <c r="AX80">
        <f>IF(OR($AA80="",AL$5=""),0,SUMIF(INDIRECT("'"&amp;AL$5&amp;"'!C6:C1000"),$AA80,INDIRECT("'"&amp;AL$5&amp;"'!E6:E1000")))</f>
        <v>0</v>
      </c>
      <c r="AY80">
        <f>IF(OR($AA80="",AM$5=""),0,SUMIF(INDIRECT("'"&amp;AM$5&amp;"'!C6:C1000"),$AA80,INDIRECT("'"&amp;AM$5&amp;"'!E6:E1000")))</f>
        <v>0</v>
      </c>
      <c r="AZ80">
        <f>IF(OR($AA80="",AN$5=""),0,SUMIF(INDIRECT("'"&amp;AN$5&amp;"'!C6:C1000"),$AA80,INDIRECT("'"&amp;AN$5&amp;"'!E6:E1000")))</f>
        <v>0</v>
      </c>
      <c r="BA80">
        <f>IF(OR($AA80="",AC$5=""),0,SUMIFS(INDIRECT("'"&amp;AC$5&amp;"'!E6:E1000"),INDIRECT("'"&amp;AC$5&amp;"'!C6:C1000"),$AA80,INDIRECT("'"&amp;AC$5&amp;"'!F6:F1000"),"箱")+SUMIFS(INDIRECT("'"&amp;AC$5&amp;"'!E6:E1000"),INDIRECT("'"&amp;AC$5&amp;"'!C6:C1000"),$AA80,INDIRECT("'"&amp;AC$5&amp;"'!F6:F1000"),"件"))</f>
        <v>0</v>
      </c>
      <c r="BB80">
        <f>IF(OR($AA80="",AD$5=""),0,SUMIFS(INDIRECT("'"&amp;AD$5&amp;"'!E6:E1000"),INDIRECT("'"&amp;AD$5&amp;"'!C6:C1000"),$AA80,INDIRECT("'"&amp;AD$5&amp;"'!F6:F1000"),"箱")+SUMIFS(INDIRECT("'"&amp;AD$5&amp;"'!E6:E1000"),INDIRECT("'"&amp;AD$5&amp;"'!C6:C1000"),$AA80,INDIRECT("'"&amp;AD$5&amp;"'!F6:F1000"),"件"))</f>
        <v>0</v>
      </c>
      <c r="BC80">
        <f>IF(OR($AA80="",AE$5=""),0,SUMIFS(INDIRECT("'"&amp;AE$5&amp;"'!E6:E1000"),INDIRECT("'"&amp;AE$5&amp;"'!C6:C1000"),$AA80,INDIRECT("'"&amp;AE$5&amp;"'!F6:F1000"),"箱")+SUMIFS(INDIRECT("'"&amp;AE$5&amp;"'!E6:E1000"),INDIRECT("'"&amp;AE$5&amp;"'!C6:C1000"),$AA80,INDIRECT("'"&amp;AE$5&amp;"'!F6:F1000"),"件"))</f>
        <v>0</v>
      </c>
      <c r="BD80">
        <f>IF(OR($AA80="",AF$5=""),0,SUMIFS(INDIRECT("'"&amp;AF$5&amp;"'!E6:E1000"),INDIRECT("'"&amp;AF$5&amp;"'!C6:C1000"),$AA80,INDIRECT("'"&amp;AF$5&amp;"'!F6:F1000"),"箱")+SUMIFS(INDIRECT("'"&amp;AF$5&amp;"'!E6:E1000"),INDIRECT("'"&amp;AF$5&amp;"'!C6:C1000"),$AA80,INDIRECT("'"&amp;AF$5&amp;"'!F6:F1000"),"件"))</f>
        <v>0</v>
      </c>
      <c r="BE80">
        <f>IF(OR($AA80="",AG$5=""),0,SUMIFS(INDIRECT("'"&amp;AG$5&amp;"'!E6:E1000"),INDIRECT("'"&amp;AG$5&amp;"'!C6:C1000"),$AA80,INDIRECT("'"&amp;AG$5&amp;"'!F6:F1000"),"箱")+SUMIFS(INDIRECT("'"&amp;AG$5&amp;"'!E6:E1000"),INDIRECT("'"&amp;AG$5&amp;"'!C6:C1000"),$AA80,INDIRECT("'"&amp;AG$5&amp;"'!F6:F1000"),"件"))</f>
        <v>0</v>
      </c>
      <c r="BF80">
        <f>IF(OR($AA80="",AH$5=""),0,SUMIFS(INDIRECT("'"&amp;AH$5&amp;"'!E6:E1000"),INDIRECT("'"&amp;AH$5&amp;"'!C6:C1000"),$AA80,INDIRECT("'"&amp;AH$5&amp;"'!F6:F1000"),"箱")+SUMIFS(INDIRECT("'"&amp;AH$5&amp;"'!E6:E1000"),INDIRECT("'"&amp;AH$5&amp;"'!C6:C1000"),$AA80,INDIRECT("'"&amp;AH$5&amp;"'!F6:F1000"),"件"))</f>
        <v>0</v>
      </c>
      <c r="BG80">
        <f>IF(OR($AA80="",AI$5=""),0,SUMIFS(INDIRECT("'"&amp;AI$5&amp;"'!E6:E1000"),INDIRECT("'"&amp;AI$5&amp;"'!C6:C1000"),$AA80,INDIRECT("'"&amp;AI$5&amp;"'!F6:F1000"),"箱")+SUMIFS(INDIRECT("'"&amp;AI$5&amp;"'!E6:E1000"),INDIRECT("'"&amp;AI$5&amp;"'!C6:C1000"),$AA80,INDIRECT("'"&amp;AI$5&amp;"'!F6:F1000"),"件"))</f>
        <v>0</v>
      </c>
      <c r="BH80">
        <f>IF(OR($AA80="",AJ$5=""),0,SUMIFS(INDIRECT("'"&amp;AJ$5&amp;"'!E6:E1000"),INDIRECT("'"&amp;AJ$5&amp;"'!C6:C1000"),$AA80,INDIRECT("'"&amp;AJ$5&amp;"'!F6:F1000"),"箱")+SUMIFS(INDIRECT("'"&amp;AJ$5&amp;"'!E6:E1000"),INDIRECT("'"&amp;AJ$5&amp;"'!C6:C1000"),$AA80,INDIRECT("'"&amp;AJ$5&amp;"'!F6:F1000"),"件"))</f>
        <v>0</v>
      </c>
      <c r="BI80">
        <f>IF(OR($AA80="",AK$5=""),0,SUMIFS(INDIRECT("'"&amp;AK$5&amp;"'!E6:E1000"),INDIRECT("'"&amp;AK$5&amp;"'!C6:C1000"),$AA80,INDIRECT("'"&amp;AK$5&amp;"'!F6:F1000"),"箱")+SUMIFS(INDIRECT("'"&amp;AK$5&amp;"'!E6:E1000"),INDIRECT("'"&amp;AK$5&amp;"'!C6:C1000"),$AA80,INDIRECT("'"&amp;AK$5&amp;"'!F6:F1000"),"件"))</f>
        <v>0</v>
      </c>
      <c r="BJ80">
        <f>IF(OR($AA80="",AL$5=""),0,SUMIFS(INDIRECT("'"&amp;AL$5&amp;"'!E6:E1000"),INDIRECT("'"&amp;AL$5&amp;"'!C6:C1000"),$AA80,INDIRECT("'"&amp;AL$5&amp;"'!F6:F1000"),"箱")+SUMIFS(INDIRECT("'"&amp;AL$5&amp;"'!E6:E1000"),INDIRECT("'"&amp;AL$5&amp;"'!C6:C1000"),$AA80,INDIRECT("'"&amp;AL$5&amp;"'!F6:F1000"),"件"))</f>
        <v>0</v>
      </c>
      <c r="BK80">
        <f>IF(OR($AA80="",AM$5=""),0,SUMIFS(INDIRECT("'"&amp;AM$5&amp;"'!E6:E1000"),INDIRECT("'"&amp;AM$5&amp;"'!C6:C1000"),$AA80,INDIRECT("'"&amp;AM$5&amp;"'!F6:F1000"),"箱")+SUMIFS(INDIRECT("'"&amp;AM$5&amp;"'!E6:E1000"),INDIRECT("'"&amp;AM$5&amp;"'!C6:C1000"),$AA80,INDIRECT("'"&amp;AM$5&amp;"'!F6:F1000"),"件"))</f>
        <v>0</v>
      </c>
      <c r="BL80">
        <f>IF(OR($AA80="",AN$5=""),0,SUMIFS(INDIRECT("'"&amp;AN$5&amp;"'!E6:E1000"),INDIRECT("'"&amp;AN$5&amp;"'!C6:C1000"),$AA80,INDIRECT("'"&amp;AN$5&amp;"'!F6:F1000"),"箱")+SUMIFS(INDIRECT("'"&amp;AN$5&amp;"'!E6:E1000"),INDIRECT("'"&amp;AN$5&amp;"'!C6:C1000"),$AA80,INDIRECT("'"&amp;AN$5&amp;"'!F6:F1000"),"件"))</f>
        <v>0</v>
      </c>
      <c r="BM80">
        <f>(AO80-BA80)/$AB80+BA80</f>
        <v>0</v>
      </c>
      <c r="BN80">
        <f>(AP80-BB80)/$AB80+BB80</f>
        <v>0</v>
      </c>
      <c r="BO80">
        <f>(AQ80-BC80)/$AB80+BC80</f>
        <v>0</v>
      </c>
      <c r="BP80">
        <f>(AR80-BD80)/$AB80+BD80</f>
        <v>0</v>
      </c>
      <c r="BQ80">
        <f>(AS80-BE80)/$AB80+BE80</f>
        <v>0</v>
      </c>
      <c r="BR80">
        <f>(AT80-BF80)/$AB80+BF80</f>
        <v>0</v>
      </c>
      <c r="BS80">
        <f>(AU80-BG80)/$AB80+BG80</f>
        <v>0</v>
      </c>
      <c r="BT80">
        <f>(AV80-BH80)/$AB80+BH80</f>
        <v>0</v>
      </c>
      <c r="BU80">
        <f>(AW80-BI80)/$AB80+BI80</f>
        <v>0</v>
      </c>
      <c r="BV80">
        <f>(AX80-BJ80)/$AB80+BJ80</f>
        <v>0</v>
      </c>
      <c r="BW80">
        <f>(AY80-BK80)/$AB80+BK80</f>
        <v>0</v>
      </c>
      <c r="BX80">
        <f>(AZ80-BL80)/$AB80+BL80</f>
        <v>0</v>
      </c>
      <c r="BY80">
        <f>SUMPRODUCT((($AC$4:$AN$4=报损汇总一览!$A$3)+(报损汇总一览!$A$3="全年"))*AC80:AN80)</f>
        <v>0</v>
      </c>
      <c r="BZ80">
        <f>IF(BY80&gt;0,BY80+(1000-ROW())/10000000,"")</f>
      </c>
      <c r="CA80">
        <f>SUMPRODUCT((($AC$4:$AN$4=报损汇总一览!$A$3)+(报损汇总一览!$A$3="全年"))*AO80:AZ80)</f>
        <v>0</v>
      </c>
    </row>
    <row r="81">
      <c r="A81">
        <f>IF(OR(存条明细!C81="",存条明细!D81=""),"",IF(COUNTIFS(存条明细!$C$4:C81,存条明细!C81,存条明细!$D$4:D81,存条明细!D81)&gt;1,"",IFERROR(MATCH(存条明细!C81,总览汇总!$B$5:$B$304,0),900)*10000000+IFERROR(MATCH(存条明细!D81,基础资料!$E$5:$E$104,0),900)*10000+ROW()))</f>
        <v>180010081</v>
      </c>
      <c r="B81">
        <f>IFERROR(MATCH(SMALL($A$4:$A$4003,78),$A$4:$A$4003,0),"")</f>
        <v>50</v>
      </c>
      <c r="D81">
        <f>IF(AND(商品库存!B81&lt;&gt;"",商品库存!B81=客户查询!$B$4),COUNTIF(商品库存!$B$4:B81,客户查询!$B$4),"")</f>
      </c>
      <c r="E81">
        <f>IF(AND(商品库存!B81&lt;&gt;"",商品库存!B81=客户对账单!$B$4),COUNTIF(商品库存!$B$4:B81,客户对账单!$B$4),"")</f>
      </c>
      <c r="F81">
        <f>IF(AND(出库明细!C81&lt;&gt;"",出库明细!C81=客户对账单!$B$4,ISNUMBER(出库明细!B81),出库明细!B81&gt;=客户对账单!$G$4,出库明细!B81&lt;=客户对账单!$I$4),出库明细!B81+ROW()/100000,"")</f>
      </c>
      <c r="H81">
        <f>IF(AND(采购进货!C81&lt;&gt;"",采购进货!C81=供应商对账单!$B$4,ISNUMBER(采购进货!B81),采购进货!B81&gt;=供应商对账单!$G$4,采购进货!B81&lt;=供应商对账单!$I$4),采购进货!B81+ROW()/100000,"")</f>
      </c>
      <c r="J81">
        <f>IF(总览汇总!$B81="","",N(总览汇总!$K81)+SUMIFS(出库明细!$G$4:$G$3003,出库明细!$C$4:$C$3003,总览汇总!$B81,出库明细!$B$4:$B$3003,"&gt;="&amp;年初日,出库明细!$B$4:$B$3003,"&lt;="&amp;资产负债表!$D$3)-SUMIFS(资金台帐!$S$7:$S$3006,资金台帐!$J$7:$J$3006,总览汇总!$B81,资金台帐!$P$7:$P$3006,"应收",资金台帐!$B$7:$B$3006,"&gt;="&amp;年初日,资金台帐!$B$7:$B$3006,"&lt;="&amp;资产负债表!$D$3))</f>
        <v>-2700</v>
      </c>
      <c r="N81">
        <f>IF(AND(ISNUMBER(出库明细!G81),ISNUMBER(出库明细!E81),ISNUMBER(出库明细!F81)),IF(ABS(出库明细!G81-出库明细!E81*出库明细!F81)&gt;0.005,1,0),0)</f>
        <v>0</v>
      </c>
      <c r="O81">
        <f>IF(AND(ISNUMBER(存条明细!G81),ISNUMBER(存条明细!E81),ISNUMBER(存条明细!F81)),IF(ABS(存条明细!G81-存条明细!E81*存条明细!F81)&gt;0.005,1,0),0)</f>
        <v>0</v>
      </c>
      <c r="AA81">
        <f>IF(基础资料!G80="","",基础资料!G80&amp;"")</f>
      </c>
      <c r="AB81">
        <f>IF(N(基础资料!I80)&lt;=0,1,基础资料!I80)</f>
        <v>1</v>
      </c>
      <c r="AC81">
        <f>IF(OR($AA81="",AC$5=""),0,SUMIF(INDIRECT("'"&amp;AC$5&amp;"'!C6:C1000"),$AA81,INDIRECT("'"&amp;AC$5&amp;"'!H6:H1000")))</f>
        <v>0</v>
      </c>
      <c r="AD81">
        <f>IF(OR($AA81="",AD$5=""),0,SUMIF(INDIRECT("'"&amp;AD$5&amp;"'!C6:C1000"),$AA81,INDIRECT("'"&amp;AD$5&amp;"'!H6:H1000")))</f>
        <v>0</v>
      </c>
      <c r="AE81">
        <f>IF(OR($AA81="",AE$5=""),0,SUMIF(INDIRECT("'"&amp;AE$5&amp;"'!C6:C1000"),$AA81,INDIRECT("'"&amp;AE$5&amp;"'!H6:H1000")))</f>
        <v>0</v>
      </c>
      <c r="AF81">
        <f>IF(OR($AA81="",AF$5=""),0,SUMIF(INDIRECT("'"&amp;AF$5&amp;"'!C6:C1000"),$AA81,INDIRECT("'"&amp;AF$5&amp;"'!H6:H1000")))</f>
        <v>0</v>
      </c>
      <c r="AG81">
        <f>IF(OR($AA81="",AG$5=""),0,SUMIF(INDIRECT("'"&amp;AG$5&amp;"'!C6:C1000"),$AA81,INDIRECT("'"&amp;AG$5&amp;"'!H6:H1000")))</f>
        <v>0</v>
      </c>
      <c r="AH81">
        <f>IF(OR($AA81="",AH$5=""),0,SUMIF(INDIRECT("'"&amp;AH$5&amp;"'!C6:C1000"),$AA81,INDIRECT("'"&amp;AH$5&amp;"'!H6:H1000")))</f>
        <v>0</v>
      </c>
      <c r="AI81">
        <f>IF(OR($AA81="",AI$5=""),0,SUMIF(INDIRECT("'"&amp;AI$5&amp;"'!C6:C1000"),$AA81,INDIRECT("'"&amp;AI$5&amp;"'!H6:H1000")))</f>
        <v>0</v>
      </c>
      <c r="AJ81">
        <f>IF(OR($AA81="",AJ$5=""),0,SUMIF(INDIRECT("'"&amp;AJ$5&amp;"'!C6:C1000"),$AA81,INDIRECT("'"&amp;AJ$5&amp;"'!H6:H1000")))</f>
        <v>0</v>
      </c>
      <c r="AK81">
        <f>IF(OR($AA81="",AK$5=""),0,SUMIF(INDIRECT("'"&amp;AK$5&amp;"'!C6:C1000"),$AA81,INDIRECT("'"&amp;AK$5&amp;"'!H6:H1000")))</f>
        <v>0</v>
      </c>
      <c r="AL81">
        <f>IF(OR($AA81="",AL$5=""),0,SUMIF(INDIRECT("'"&amp;AL$5&amp;"'!C6:C1000"),$AA81,INDIRECT("'"&amp;AL$5&amp;"'!H6:H1000")))</f>
        <v>0</v>
      </c>
      <c r="AM81">
        <f>IF(OR($AA81="",AM$5=""),0,SUMIF(INDIRECT("'"&amp;AM$5&amp;"'!C6:C1000"),$AA81,INDIRECT("'"&amp;AM$5&amp;"'!H6:H1000")))</f>
        <v>0</v>
      </c>
      <c r="AN81">
        <f>IF(OR($AA81="",AN$5=""),0,SUMIF(INDIRECT("'"&amp;AN$5&amp;"'!C6:C1000"),$AA81,INDIRECT("'"&amp;AN$5&amp;"'!H6:H1000")))</f>
        <v>0</v>
      </c>
      <c r="AO81">
        <f>IF(OR($AA81="",AC$5=""),0,SUMIF(INDIRECT("'"&amp;AC$5&amp;"'!C6:C1000"),$AA81,INDIRECT("'"&amp;AC$5&amp;"'!E6:E1000")))</f>
        <v>0</v>
      </c>
      <c r="AP81">
        <f>IF(OR($AA81="",AD$5=""),0,SUMIF(INDIRECT("'"&amp;AD$5&amp;"'!C6:C1000"),$AA81,INDIRECT("'"&amp;AD$5&amp;"'!E6:E1000")))</f>
        <v>0</v>
      </c>
      <c r="AQ81">
        <f>IF(OR($AA81="",AE$5=""),0,SUMIF(INDIRECT("'"&amp;AE$5&amp;"'!C6:C1000"),$AA81,INDIRECT("'"&amp;AE$5&amp;"'!E6:E1000")))</f>
        <v>0</v>
      </c>
      <c r="AR81">
        <f>IF(OR($AA81="",AF$5=""),0,SUMIF(INDIRECT("'"&amp;AF$5&amp;"'!C6:C1000"),$AA81,INDIRECT("'"&amp;AF$5&amp;"'!E6:E1000")))</f>
        <v>0</v>
      </c>
      <c r="AS81">
        <f>IF(OR($AA81="",AG$5=""),0,SUMIF(INDIRECT("'"&amp;AG$5&amp;"'!C6:C1000"),$AA81,INDIRECT("'"&amp;AG$5&amp;"'!E6:E1000")))</f>
        <v>0</v>
      </c>
      <c r="AT81">
        <f>IF(OR($AA81="",AH$5=""),0,SUMIF(INDIRECT("'"&amp;AH$5&amp;"'!C6:C1000"),$AA81,INDIRECT("'"&amp;AH$5&amp;"'!E6:E1000")))</f>
        <v>0</v>
      </c>
      <c r="AU81">
        <f>IF(OR($AA81="",AI$5=""),0,SUMIF(INDIRECT("'"&amp;AI$5&amp;"'!C6:C1000"),$AA81,INDIRECT("'"&amp;AI$5&amp;"'!E6:E1000")))</f>
        <v>0</v>
      </c>
      <c r="AV81">
        <f>IF(OR($AA81="",AJ$5=""),0,SUMIF(INDIRECT("'"&amp;AJ$5&amp;"'!C6:C1000"),$AA81,INDIRECT("'"&amp;AJ$5&amp;"'!E6:E1000")))</f>
        <v>0</v>
      </c>
      <c r="AW81">
        <f>IF(OR($AA81="",AK$5=""),0,SUMIF(INDIRECT("'"&amp;AK$5&amp;"'!C6:C1000"),$AA81,INDIRECT("'"&amp;AK$5&amp;"'!E6:E1000")))</f>
        <v>0</v>
      </c>
      <c r="AX81">
        <f>IF(OR($AA81="",AL$5=""),0,SUMIF(INDIRECT("'"&amp;AL$5&amp;"'!C6:C1000"),$AA81,INDIRECT("'"&amp;AL$5&amp;"'!E6:E1000")))</f>
        <v>0</v>
      </c>
      <c r="AY81">
        <f>IF(OR($AA81="",AM$5=""),0,SUMIF(INDIRECT("'"&amp;AM$5&amp;"'!C6:C1000"),$AA81,INDIRECT("'"&amp;AM$5&amp;"'!E6:E1000")))</f>
        <v>0</v>
      </c>
      <c r="AZ81">
        <f>IF(OR($AA81="",AN$5=""),0,SUMIF(INDIRECT("'"&amp;AN$5&amp;"'!C6:C1000"),$AA81,INDIRECT("'"&amp;AN$5&amp;"'!E6:E1000")))</f>
        <v>0</v>
      </c>
      <c r="BA81">
        <f>IF(OR($AA81="",AC$5=""),0,SUMIFS(INDIRECT("'"&amp;AC$5&amp;"'!E6:E1000"),INDIRECT("'"&amp;AC$5&amp;"'!C6:C1000"),$AA81,INDIRECT("'"&amp;AC$5&amp;"'!F6:F1000"),"箱")+SUMIFS(INDIRECT("'"&amp;AC$5&amp;"'!E6:E1000"),INDIRECT("'"&amp;AC$5&amp;"'!C6:C1000"),$AA81,INDIRECT("'"&amp;AC$5&amp;"'!F6:F1000"),"件"))</f>
        <v>0</v>
      </c>
      <c r="BB81">
        <f>IF(OR($AA81="",AD$5=""),0,SUMIFS(INDIRECT("'"&amp;AD$5&amp;"'!E6:E1000"),INDIRECT("'"&amp;AD$5&amp;"'!C6:C1000"),$AA81,INDIRECT("'"&amp;AD$5&amp;"'!F6:F1000"),"箱")+SUMIFS(INDIRECT("'"&amp;AD$5&amp;"'!E6:E1000"),INDIRECT("'"&amp;AD$5&amp;"'!C6:C1000"),$AA81,INDIRECT("'"&amp;AD$5&amp;"'!F6:F1000"),"件"))</f>
        <v>0</v>
      </c>
      <c r="BC81">
        <f>IF(OR($AA81="",AE$5=""),0,SUMIFS(INDIRECT("'"&amp;AE$5&amp;"'!E6:E1000"),INDIRECT("'"&amp;AE$5&amp;"'!C6:C1000"),$AA81,INDIRECT("'"&amp;AE$5&amp;"'!F6:F1000"),"箱")+SUMIFS(INDIRECT("'"&amp;AE$5&amp;"'!E6:E1000"),INDIRECT("'"&amp;AE$5&amp;"'!C6:C1000"),$AA81,INDIRECT("'"&amp;AE$5&amp;"'!F6:F1000"),"件"))</f>
        <v>0</v>
      </c>
      <c r="BD81">
        <f>IF(OR($AA81="",AF$5=""),0,SUMIFS(INDIRECT("'"&amp;AF$5&amp;"'!E6:E1000"),INDIRECT("'"&amp;AF$5&amp;"'!C6:C1000"),$AA81,INDIRECT("'"&amp;AF$5&amp;"'!F6:F1000"),"箱")+SUMIFS(INDIRECT("'"&amp;AF$5&amp;"'!E6:E1000"),INDIRECT("'"&amp;AF$5&amp;"'!C6:C1000"),$AA81,INDIRECT("'"&amp;AF$5&amp;"'!F6:F1000"),"件"))</f>
        <v>0</v>
      </c>
      <c r="BE81">
        <f>IF(OR($AA81="",AG$5=""),0,SUMIFS(INDIRECT("'"&amp;AG$5&amp;"'!E6:E1000"),INDIRECT("'"&amp;AG$5&amp;"'!C6:C1000"),$AA81,INDIRECT("'"&amp;AG$5&amp;"'!F6:F1000"),"箱")+SUMIFS(INDIRECT("'"&amp;AG$5&amp;"'!E6:E1000"),INDIRECT("'"&amp;AG$5&amp;"'!C6:C1000"),$AA81,INDIRECT("'"&amp;AG$5&amp;"'!F6:F1000"),"件"))</f>
        <v>0</v>
      </c>
      <c r="BF81">
        <f>IF(OR($AA81="",AH$5=""),0,SUMIFS(INDIRECT("'"&amp;AH$5&amp;"'!E6:E1000"),INDIRECT("'"&amp;AH$5&amp;"'!C6:C1000"),$AA81,INDIRECT("'"&amp;AH$5&amp;"'!F6:F1000"),"箱")+SUMIFS(INDIRECT("'"&amp;AH$5&amp;"'!E6:E1000"),INDIRECT("'"&amp;AH$5&amp;"'!C6:C1000"),$AA81,INDIRECT("'"&amp;AH$5&amp;"'!F6:F1000"),"件"))</f>
        <v>0</v>
      </c>
      <c r="BG81">
        <f>IF(OR($AA81="",AI$5=""),0,SUMIFS(INDIRECT("'"&amp;AI$5&amp;"'!E6:E1000"),INDIRECT("'"&amp;AI$5&amp;"'!C6:C1000"),$AA81,INDIRECT("'"&amp;AI$5&amp;"'!F6:F1000"),"箱")+SUMIFS(INDIRECT("'"&amp;AI$5&amp;"'!E6:E1000"),INDIRECT("'"&amp;AI$5&amp;"'!C6:C1000"),$AA81,INDIRECT("'"&amp;AI$5&amp;"'!F6:F1000"),"件"))</f>
        <v>0</v>
      </c>
      <c r="BH81">
        <f>IF(OR($AA81="",AJ$5=""),0,SUMIFS(INDIRECT("'"&amp;AJ$5&amp;"'!E6:E1000"),INDIRECT("'"&amp;AJ$5&amp;"'!C6:C1000"),$AA81,INDIRECT("'"&amp;AJ$5&amp;"'!F6:F1000"),"箱")+SUMIFS(INDIRECT("'"&amp;AJ$5&amp;"'!E6:E1000"),INDIRECT("'"&amp;AJ$5&amp;"'!C6:C1000"),$AA81,INDIRECT("'"&amp;AJ$5&amp;"'!F6:F1000"),"件"))</f>
        <v>0</v>
      </c>
      <c r="BI81">
        <f>IF(OR($AA81="",AK$5=""),0,SUMIFS(INDIRECT("'"&amp;AK$5&amp;"'!E6:E1000"),INDIRECT("'"&amp;AK$5&amp;"'!C6:C1000"),$AA81,INDIRECT("'"&amp;AK$5&amp;"'!F6:F1000"),"箱")+SUMIFS(INDIRECT("'"&amp;AK$5&amp;"'!E6:E1000"),INDIRECT("'"&amp;AK$5&amp;"'!C6:C1000"),$AA81,INDIRECT("'"&amp;AK$5&amp;"'!F6:F1000"),"件"))</f>
        <v>0</v>
      </c>
      <c r="BJ81">
        <f>IF(OR($AA81="",AL$5=""),0,SUMIFS(INDIRECT("'"&amp;AL$5&amp;"'!E6:E1000"),INDIRECT("'"&amp;AL$5&amp;"'!C6:C1000"),$AA81,INDIRECT("'"&amp;AL$5&amp;"'!F6:F1000"),"箱")+SUMIFS(INDIRECT("'"&amp;AL$5&amp;"'!E6:E1000"),INDIRECT("'"&amp;AL$5&amp;"'!C6:C1000"),$AA81,INDIRECT("'"&amp;AL$5&amp;"'!F6:F1000"),"件"))</f>
        <v>0</v>
      </c>
      <c r="BK81">
        <f>IF(OR($AA81="",AM$5=""),0,SUMIFS(INDIRECT("'"&amp;AM$5&amp;"'!E6:E1000"),INDIRECT("'"&amp;AM$5&amp;"'!C6:C1000"),$AA81,INDIRECT("'"&amp;AM$5&amp;"'!F6:F1000"),"箱")+SUMIFS(INDIRECT("'"&amp;AM$5&amp;"'!E6:E1000"),INDIRECT("'"&amp;AM$5&amp;"'!C6:C1000"),$AA81,INDIRECT("'"&amp;AM$5&amp;"'!F6:F1000"),"件"))</f>
        <v>0</v>
      </c>
      <c r="BL81">
        <f>IF(OR($AA81="",AN$5=""),0,SUMIFS(INDIRECT("'"&amp;AN$5&amp;"'!E6:E1000"),INDIRECT("'"&amp;AN$5&amp;"'!C6:C1000"),$AA81,INDIRECT("'"&amp;AN$5&amp;"'!F6:F1000"),"箱")+SUMIFS(INDIRECT("'"&amp;AN$5&amp;"'!E6:E1000"),INDIRECT("'"&amp;AN$5&amp;"'!C6:C1000"),$AA81,INDIRECT("'"&amp;AN$5&amp;"'!F6:F1000"),"件"))</f>
        <v>0</v>
      </c>
      <c r="BM81">
        <f>(AO81-BA81)/$AB81+BA81</f>
        <v>0</v>
      </c>
      <c r="BN81">
        <f>(AP81-BB81)/$AB81+BB81</f>
        <v>0</v>
      </c>
      <c r="BO81">
        <f>(AQ81-BC81)/$AB81+BC81</f>
        <v>0</v>
      </c>
      <c r="BP81">
        <f>(AR81-BD81)/$AB81+BD81</f>
        <v>0</v>
      </c>
      <c r="BQ81">
        <f>(AS81-BE81)/$AB81+BE81</f>
        <v>0</v>
      </c>
      <c r="BR81">
        <f>(AT81-BF81)/$AB81+BF81</f>
        <v>0</v>
      </c>
      <c r="BS81">
        <f>(AU81-BG81)/$AB81+BG81</f>
        <v>0</v>
      </c>
      <c r="BT81">
        <f>(AV81-BH81)/$AB81+BH81</f>
        <v>0</v>
      </c>
      <c r="BU81">
        <f>(AW81-BI81)/$AB81+BI81</f>
        <v>0</v>
      </c>
      <c r="BV81">
        <f>(AX81-BJ81)/$AB81+BJ81</f>
        <v>0</v>
      </c>
      <c r="BW81">
        <f>(AY81-BK81)/$AB81+BK81</f>
        <v>0</v>
      </c>
      <c r="BX81">
        <f>(AZ81-BL81)/$AB81+BL81</f>
        <v>0</v>
      </c>
      <c r="BY81">
        <f>SUMPRODUCT((($AC$4:$AN$4=报损汇总一览!$A$3)+(报损汇总一览!$A$3="全年"))*AC81:AN81)</f>
        <v>0</v>
      </c>
      <c r="BZ81">
        <f>IF(BY81&gt;0,BY81+(1000-ROW())/10000000,"")</f>
      </c>
      <c r="CA81">
        <f>SUMPRODUCT((($AC$4:$AN$4=报损汇总一览!$A$3)+(报损汇总一览!$A$3="全年"))*AO81:AZ81)</f>
        <v>0</v>
      </c>
    </row>
    <row r="82">
      <c r="A82">
        <f>IF(OR(存条明细!C82="",存条明细!D82=""),"",IF(COUNTIFS(存条明细!$C$4:C82,存条明细!C82,存条明细!$D$4:D82,存条明细!D82)&gt;1,"",IFERROR(MATCH(存条明细!C82,总览汇总!$B$5:$B$304,0),900)*10000000+IFERROR(MATCH(存条明细!D82,基础资料!$E$5:$E$104,0),900)*10000+ROW()))</f>
        <v>190010082</v>
      </c>
      <c r="B82">
        <f>IFERROR(MATCH(SMALL($A$4:$A$4003,79),$A$4:$A$4003,0),"")</f>
        <v>52</v>
      </c>
      <c r="D82">
        <f>IF(AND(商品库存!B82&lt;&gt;"",商品库存!B82=客户查询!$B$4),COUNTIF(商品库存!$B$4:B82,客户查询!$B$4),"")</f>
      </c>
      <c r="E82">
        <f>IF(AND(商品库存!B82&lt;&gt;"",商品库存!B82=客户对账单!$B$4),COUNTIF(商品库存!$B$4:B82,客户对账单!$B$4),"")</f>
      </c>
      <c r="F82">
        <f>IF(AND(出库明细!C82&lt;&gt;"",出库明细!C82=客户对账单!$B$4,ISNUMBER(出库明细!B82),出库明细!B82&gt;=客户对账单!$G$4,出库明细!B82&lt;=客户对账单!$I$4),出库明细!B82+ROW()/100000,"")</f>
      </c>
      <c r="H82">
        <f>IF(AND(采购进货!C82&lt;&gt;"",采购进货!C82=供应商对账单!$B$4,ISNUMBER(采购进货!B82),采购进货!B82&gt;=供应商对账单!$G$4,采购进货!B82&lt;=供应商对账单!$I$4),采购进货!B82+ROW()/100000,"")</f>
      </c>
      <c r="J82">
        <f>IF(总览汇总!$B82="","",N(总览汇总!$K82)+SUMIFS(出库明细!$G$4:$G$3003,出库明细!$C$4:$C$3003,总览汇总!$B82,出库明细!$B$4:$B$3003,"&gt;="&amp;年初日,出库明细!$B$4:$B$3003,"&lt;="&amp;资产负债表!$D$3)-SUMIFS(资金台帐!$S$7:$S$3006,资金台帐!$J$7:$J$3006,总览汇总!$B82,资金台帐!$P$7:$P$3006,"应收",资金台帐!$B$7:$B$3006,"&gt;="&amp;年初日,资金台帐!$B$7:$B$3006,"&lt;="&amp;资产负债表!$D$3))</f>
        <v>-2750</v>
      </c>
      <c r="N82">
        <f>IF(AND(ISNUMBER(出库明细!G82),ISNUMBER(出库明细!E82),ISNUMBER(出库明细!F82)),IF(ABS(出库明细!G82-出库明细!E82*出库明细!F82)&gt;0.005,1,0),0)</f>
        <v>0</v>
      </c>
      <c r="O82">
        <f>IF(AND(ISNUMBER(存条明细!G82),ISNUMBER(存条明细!E82),ISNUMBER(存条明细!F82)),IF(ABS(存条明细!G82-存条明细!E82*存条明细!F82)&gt;0.005,1,0),0)</f>
        <v>0</v>
      </c>
      <c r="AA82">
        <f>IF(基础资料!G81="","",基础资料!G81&amp;"")</f>
      </c>
      <c r="AB82">
        <f>IF(N(基础资料!I81)&lt;=0,1,基础资料!I81)</f>
        <v>1</v>
      </c>
      <c r="AC82">
        <f>IF(OR($AA82="",AC$5=""),0,SUMIF(INDIRECT("'"&amp;AC$5&amp;"'!C6:C1000"),$AA82,INDIRECT("'"&amp;AC$5&amp;"'!H6:H1000")))</f>
        <v>0</v>
      </c>
      <c r="AD82">
        <f>IF(OR($AA82="",AD$5=""),0,SUMIF(INDIRECT("'"&amp;AD$5&amp;"'!C6:C1000"),$AA82,INDIRECT("'"&amp;AD$5&amp;"'!H6:H1000")))</f>
        <v>0</v>
      </c>
      <c r="AE82">
        <f>IF(OR($AA82="",AE$5=""),0,SUMIF(INDIRECT("'"&amp;AE$5&amp;"'!C6:C1000"),$AA82,INDIRECT("'"&amp;AE$5&amp;"'!H6:H1000")))</f>
        <v>0</v>
      </c>
      <c r="AF82">
        <f>IF(OR($AA82="",AF$5=""),0,SUMIF(INDIRECT("'"&amp;AF$5&amp;"'!C6:C1000"),$AA82,INDIRECT("'"&amp;AF$5&amp;"'!H6:H1000")))</f>
        <v>0</v>
      </c>
      <c r="AG82">
        <f>IF(OR($AA82="",AG$5=""),0,SUMIF(INDIRECT("'"&amp;AG$5&amp;"'!C6:C1000"),$AA82,INDIRECT("'"&amp;AG$5&amp;"'!H6:H1000")))</f>
        <v>0</v>
      </c>
      <c r="AH82">
        <f>IF(OR($AA82="",AH$5=""),0,SUMIF(INDIRECT("'"&amp;AH$5&amp;"'!C6:C1000"),$AA82,INDIRECT("'"&amp;AH$5&amp;"'!H6:H1000")))</f>
        <v>0</v>
      </c>
      <c r="AI82">
        <f>IF(OR($AA82="",AI$5=""),0,SUMIF(INDIRECT("'"&amp;AI$5&amp;"'!C6:C1000"),$AA82,INDIRECT("'"&amp;AI$5&amp;"'!H6:H1000")))</f>
        <v>0</v>
      </c>
      <c r="AJ82">
        <f>IF(OR($AA82="",AJ$5=""),0,SUMIF(INDIRECT("'"&amp;AJ$5&amp;"'!C6:C1000"),$AA82,INDIRECT("'"&amp;AJ$5&amp;"'!H6:H1000")))</f>
        <v>0</v>
      </c>
      <c r="AK82">
        <f>IF(OR($AA82="",AK$5=""),0,SUMIF(INDIRECT("'"&amp;AK$5&amp;"'!C6:C1000"),$AA82,INDIRECT("'"&amp;AK$5&amp;"'!H6:H1000")))</f>
        <v>0</v>
      </c>
      <c r="AL82">
        <f>IF(OR($AA82="",AL$5=""),0,SUMIF(INDIRECT("'"&amp;AL$5&amp;"'!C6:C1000"),$AA82,INDIRECT("'"&amp;AL$5&amp;"'!H6:H1000")))</f>
        <v>0</v>
      </c>
      <c r="AM82">
        <f>IF(OR($AA82="",AM$5=""),0,SUMIF(INDIRECT("'"&amp;AM$5&amp;"'!C6:C1000"),$AA82,INDIRECT("'"&amp;AM$5&amp;"'!H6:H1000")))</f>
        <v>0</v>
      </c>
      <c r="AN82">
        <f>IF(OR($AA82="",AN$5=""),0,SUMIF(INDIRECT("'"&amp;AN$5&amp;"'!C6:C1000"),$AA82,INDIRECT("'"&amp;AN$5&amp;"'!H6:H1000")))</f>
        <v>0</v>
      </c>
      <c r="AO82">
        <f>IF(OR($AA82="",AC$5=""),0,SUMIF(INDIRECT("'"&amp;AC$5&amp;"'!C6:C1000"),$AA82,INDIRECT("'"&amp;AC$5&amp;"'!E6:E1000")))</f>
        <v>0</v>
      </c>
      <c r="AP82">
        <f>IF(OR($AA82="",AD$5=""),0,SUMIF(INDIRECT("'"&amp;AD$5&amp;"'!C6:C1000"),$AA82,INDIRECT("'"&amp;AD$5&amp;"'!E6:E1000")))</f>
        <v>0</v>
      </c>
      <c r="AQ82">
        <f>IF(OR($AA82="",AE$5=""),0,SUMIF(INDIRECT("'"&amp;AE$5&amp;"'!C6:C1000"),$AA82,INDIRECT("'"&amp;AE$5&amp;"'!E6:E1000")))</f>
        <v>0</v>
      </c>
      <c r="AR82">
        <f>IF(OR($AA82="",AF$5=""),0,SUMIF(INDIRECT("'"&amp;AF$5&amp;"'!C6:C1000"),$AA82,INDIRECT("'"&amp;AF$5&amp;"'!E6:E1000")))</f>
        <v>0</v>
      </c>
      <c r="AS82">
        <f>IF(OR($AA82="",AG$5=""),0,SUMIF(INDIRECT("'"&amp;AG$5&amp;"'!C6:C1000"),$AA82,INDIRECT("'"&amp;AG$5&amp;"'!E6:E1000")))</f>
        <v>0</v>
      </c>
      <c r="AT82">
        <f>IF(OR($AA82="",AH$5=""),0,SUMIF(INDIRECT("'"&amp;AH$5&amp;"'!C6:C1000"),$AA82,INDIRECT("'"&amp;AH$5&amp;"'!E6:E1000")))</f>
        <v>0</v>
      </c>
      <c r="AU82">
        <f>IF(OR($AA82="",AI$5=""),0,SUMIF(INDIRECT("'"&amp;AI$5&amp;"'!C6:C1000"),$AA82,INDIRECT("'"&amp;AI$5&amp;"'!E6:E1000")))</f>
        <v>0</v>
      </c>
      <c r="AV82">
        <f>IF(OR($AA82="",AJ$5=""),0,SUMIF(INDIRECT("'"&amp;AJ$5&amp;"'!C6:C1000"),$AA82,INDIRECT("'"&amp;AJ$5&amp;"'!E6:E1000")))</f>
        <v>0</v>
      </c>
      <c r="AW82">
        <f>IF(OR($AA82="",AK$5=""),0,SUMIF(INDIRECT("'"&amp;AK$5&amp;"'!C6:C1000"),$AA82,INDIRECT("'"&amp;AK$5&amp;"'!E6:E1000")))</f>
        <v>0</v>
      </c>
      <c r="AX82">
        <f>IF(OR($AA82="",AL$5=""),0,SUMIF(INDIRECT("'"&amp;AL$5&amp;"'!C6:C1000"),$AA82,INDIRECT("'"&amp;AL$5&amp;"'!E6:E1000")))</f>
        <v>0</v>
      </c>
      <c r="AY82">
        <f>IF(OR($AA82="",AM$5=""),0,SUMIF(INDIRECT("'"&amp;AM$5&amp;"'!C6:C1000"),$AA82,INDIRECT("'"&amp;AM$5&amp;"'!E6:E1000")))</f>
        <v>0</v>
      </c>
      <c r="AZ82">
        <f>IF(OR($AA82="",AN$5=""),0,SUMIF(INDIRECT("'"&amp;AN$5&amp;"'!C6:C1000"),$AA82,INDIRECT("'"&amp;AN$5&amp;"'!E6:E1000")))</f>
        <v>0</v>
      </c>
      <c r="BA82">
        <f>IF(OR($AA82="",AC$5=""),0,SUMIFS(INDIRECT("'"&amp;AC$5&amp;"'!E6:E1000"),INDIRECT("'"&amp;AC$5&amp;"'!C6:C1000"),$AA82,INDIRECT("'"&amp;AC$5&amp;"'!F6:F1000"),"箱")+SUMIFS(INDIRECT("'"&amp;AC$5&amp;"'!E6:E1000"),INDIRECT("'"&amp;AC$5&amp;"'!C6:C1000"),$AA82,INDIRECT("'"&amp;AC$5&amp;"'!F6:F1000"),"件"))</f>
        <v>0</v>
      </c>
      <c r="BB82">
        <f>IF(OR($AA82="",AD$5=""),0,SUMIFS(INDIRECT("'"&amp;AD$5&amp;"'!E6:E1000"),INDIRECT("'"&amp;AD$5&amp;"'!C6:C1000"),$AA82,INDIRECT("'"&amp;AD$5&amp;"'!F6:F1000"),"箱")+SUMIFS(INDIRECT("'"&amp;AD$5&amp;"'!E6:E1000"),INDIRECT("'"&amp;AD$5&amp;"'!C6:C1000"),$AA82,INDIRECT("'"&amp;AD$5&amp;"'!F6:F1000"),"件"))</f>
        <v>0</v>
      </c>
      <c r="BC82">
        <f>IF(OR($AA82="",AE$5=""),0,SUMIFS(INDIRECT("'"&amp;AE$5&amp;"'!E6:E1000"),INDIRECT("'"&amp;AE$5&amp;"'!C6:C1000"),$AA82,INDIRECT("'"&amp;AE$5&amp;"'!F6:F1000"),"箱")+SUMIFS(INDIRECT("'"&amp;AE$5&amp;"'!E6:E1000"),INDIRECT("'"&amp;AE$5&amp;"'!C6:C1000"),$AA82,INDIRECT("'"&amp;AE$5&amp;"'!F6:F1000"),"件"))</f>
        <v>0</v>
      </c>
      <c r="BD82">
        <f>IF(OR($AA82="",AF$5=""),0,SUMIFS(INDIRECT("'"&amp;AF$5&amp;"'!E6:E1000"),INDIRECT("'"&amp;AF$5&amp;"'!C6:C1000"),$AA82,INDIRECT("'"&amp;AF$5&amp;"'!F6:F1000"),"箱")+SUMIFS(INDIRECT("'"&amp;AF$5&amp;"'!E6:E1000"),INDIRECT("'"&amp;AF$5&amp;"'!C6:C1000"),$AA82,INDIRECT("'"&amp;AF$5&amp;"'!F6:F1000"),"件"))</f>
        <v>0</v>
      </c>
      <c r="BE82">
        <f>IF(OR($AA82="",AG$5=""),0,SUMIFS(INDIRECT("'"&amp;AG$5&amp;"'!E6:E1000"),INDIRECT("'"&amp;AG$5&amp;"'!C6:C1000"),$AA82,INDIRECT("'"&amp;AG$5&amp;"'!F6:F1000"),"箱")+SUMIFS(INDIRECT("'"&amp;AG$5&amp;"'!E6:E1000"),INDIRECT("'"&amp;AG$5&amp;"'!C6:C1000"),$AA82,INDIRECT("'"&amp;AG$5&amp;"'!F6:F1000"),"件"))</f>
        <v>0</v>
      </c>
      <c r="BF82">
        <f>IF(OR($AA82="",AH$5=""),0,SUMIFS(INDIRECT("'"&amp;AH$5&amp;"'!E6:E1000"),INDIRECT("'"&amp;AH$5&amp;"'!C6:C1000"),$AA82,INDIRECT("'"&amp;AH$5&amp;"'!F6:F1000"),"箱")+SUMIFS(INDIRECT("'"&amp;AH$5&amp;"'!E6:E1000"),INDIRECT("'"&amp;AH$5&amp;"'!C6:C1000"),$AA82,INDIRECT("'"&amp;AH$5&amp;"'!F6:F1000"),"件"))</f>
        <v>0</v>
      </c>
      <c r="BG82">
        <f>IF(OR($AA82="",AI$5=""),0,SUMIFS(INDIRECT("'"&amp;AI$5&amp;"'!E6:E1000"),INDIRECT("'"&amp;AI$5&amp;"'!C6:C1000"),$AA82,INDIRECT("'"&amp;AI$5&amp;"'!F6:F1000"),"箱")+SUMIFS(INDIRECT("'"&amp;AI$5&amp;"'!E6:E1000"),INDIRECT("'"&amp;AI$5&amp;"'!C6:C1000"),$AA82,INDIRECT("'"&amp;AI$5&amp;"'!F6:F1000"),"件"))</f>
        <v>0</v>
      </c>
      <c r="BH82">
        <f>IF(OR($AA82="",AJ$5=""),0,SUMIFS(INDIRECT("'"&amp;AJ$5&amp;"'!E6:E1000"),INDIRECT("'"&amp;AJ$5&amp;"'!C6:C1000"),$AA82,INDIRECT("'"&amp;AJ$5&amp;"'!F6:F1000"),"箱")+SUMIFS(INDIRECT("'"&amp;AJ$5&amp;"'!E6:E1000"),INDIRECT("'"&amp;AJ$5&amp;"'!C6:C1000"),$AA82,INDIRECT("'"&amp;AJ$5&amp;"'!F6:F1000"),"件"))</f>
        <v>0</v>
      </c>
      <c r="BI82">
        <f>IF(OR($AA82="",AK$5=""),0,SUMIFS(INDIRECT("'"&amp;AK$5&amp;"'!E6:E1000"),INDIRECT("'"&amp;AK$5&amp;"'!C6:C1000"),$AA82,INDIRECT("'"&amp;AK$5&amp;"'!F6:F1000"),"箱")+SUMIFS(INDIRECT("'"&amp;AK$5&amp;"'!E6:E1000"),INDIRECT("'"&amp;AK$5&amp;"'!C6:C1000"),$AA82,INDIRECT("'"&amp;AK$5&amp;"'!F6:F1000"),"件"))</f>
        <v>0</v>
      </c>
      <c r="BJ82">
        <f>IF(OR($AA82="",AL$5=""),0,SUMIFS(INDIRECT("'"&amp;AL$5&amp;"'!E6:E1000"),INDIRECT("'"&amp;AL$5&amp;"'!C6:C1000"),$AA82,INDIRECT("'"&amp;AL$5&amp;"'!F6:F1000"),"箱")+SUMIFS(INDIRECT("'"&amp;AL$5&amp;"'!E6:E1000"),INDIRECT("'"&amp;AL$5&amp;"'!C6:C1000"),$AA82,INDIRECT("'"&amp;AL$5&amp;"'!F6:F1000"),"件"))</f>
        <v>0</v>
      </c>
      <c r="BK82">
        <f>IF(OR($AA82="",AM$5=""),0,SUMIFS(INDIRECT("'"&amp;AM$5&amp;"'!E6:E1000"),INDIRECT("'"&amp;AM$5&amp;"'!C6:C1000"),$AA82,INDIRECT("'"&amp;AM$5&amp;"'!F6:F1000"),"箱")+SUMIFS(INDIRECT("'"&amp;AM$5&amp;"'!E6:E1000"),INDIRECT("'"&amp;AM$5&amp;"'!C6:C1000"),$AA82,INDIRECT("'"&amp;AM$5&amp;"'!F6:F1000"),"件"))</f>
        <v>0</v>
      </c>
      <c r="BL82">
        <f>IF(OR($AA82="",AN$5=""),0,SUMIFS(INDIRECT("'"&amp;AN$5&amp;"'!E6:E1000"),INDIRECT("'"&amp;AN$5&amp;"'!C6:C1000"),$AA82,INDIRECT("'"&amp;AN$5&amp;"'!F6:F1000"),"箱")+SUMIFS(INDIRECT("'"&amp;AN$5&amp;"'!E6:E1000"),INDIRECT("'"&amp;AN$5&amp;"'!C6:C1000"),$AA82,INDIRECT("'"&amp;AN$5&amp;"'!F6:F1000"),"件"))</f>
        <v>0</v>
      </c>
      <c r="BM82">
        <f>(AO82-BA82)/$AB82+BA82</f>
        <v>0</v>
      </c>
      <c r="BN82">
        <f>(AP82-BB82)/$AB82+BB82</f>
        <v>0</v>
      </c>
      <c r="BO82">
        <f>(AQ82-BC82)/$AB82+BC82</f>
        <v>0</v>
      </c>
      <c r="BP82">
        <f>(AR82-BD82)/$AB82+BD82</f>
        <v>0</v>
      </c>
      <c r="BQ82">
        <f>(AS82-BE82)/$AB82+BE82</f>
        <v>0</v>
      </c>
      <c r="BR82">
        <f>(AT82-BF82)/$AB82+BF82</f>
        <v>0</v>
      </c>
      <c r="BS82">
        <f>(AU82-BG82)/$AB82+BG82</f>
        <v>0</v>
      </c>
      <c r="BT82">
        <f>(AV82-BH82)/$AB82+BH82</f>
        <v>0</v>
      </c>
      <c r="BU82">
        <f>(AW82-BI82)/$AB82+BI82</f>
        <v>0</v>
      </c>
      <c r="BV82">
        <f>(AX82-BJ82)/$AB82+BJ82</f>
        <v>0</v>
      </c>
      <c r="BW82">
        <f>(AY82-BK82)/$AB82+BK82</f>
        <v>0</v>
      </c>
      <c r="BX82">
        <f>(AZ82-BL82)/$AB82+BL82</f>
        <v>0</v>
      </c>
      <c r="BY82">
        <f>SUMPRODUCT((($AC$4:$AN$4=报损汇总一览!$A$3)+(报损汇总一览!$A$3="全年"))*AC82:AN82)</f>
        <v>0</v>
      </c>
      <c r="BZ82">
        <f>IF(BY82&gt;0,BY82+(1000-ROW())/10000000,"")</f>
      </c>
      <c r="CA82">
        <f>SUMPRODUCT((($AC$4:$AN$4=报损汇总一览!$A$3)+(报损汇总一览!$A$3="全年"))*AO82:AZ82)</f>
        <v>0</v>
      </c>
    </row>
    <row r="83">
      <c r="A83">
        <f>IF(OR(存条明细!C83="",存条明细!D83=""),"",IF(COUNTIFS(存条明细!$C$4:C83,存条明细!C83,存条明细!$D$4:D83,存条明细!D83)&gt;1,"",IFERROR(MATCH(存条明细!C83,总览汇总!$B$5:$B$304,0),900)*10000000+IFERROR(MATCH(存条明细!D83,基础资料!$E$5:$E$104,0),900)*10000+ROW()))</f>
        <v>200010083</v>
      </c>
      <c r="B83">
        <f>IFERROR(MATCH(SMALL($A$4:$A$4003,80),$A$4:$A$4003,0),"")</f>
        <v>1021</v>
      </c>
      <c r="D83">
        <f>IF(AND(商品库存!B83&lt;&gt;"",商品库存!B83=客户查询!$B$4),COUNTIF(商品库存!$B$4:B83,客户查询!$B$4),"")</f>
      </c>
      <c r="E83">
        <f>IF(AND(商品库存!B83&lt;&gt;"",商品库存!B83=客户对账单!$B$4),COUNTIF(商品库存!$B$4:B83,客户对账单!$B$4),"")</f>
      </c>
      <c r="F83">
        <f>IF(AND(出库明细!C83&lt;&gt;"",出库明细!C83=客户对账单!$B$4,ISNUMBER(出库明细!B83),出库明细!B83&gt;=客户对账单!$G$4,出库明细!B83&lt;=客户对账单!$I$4),出库明细!B83+ROW()/100000,"")</f>
      </c>
      <c r="H83">
        <f>IF(AND(采购进货!C83&lt;&gt;"",采购进货!C83=供应商对账单!$B$4,ISNUMBER(采购进货!B83),采购进货!B83&gt;=供应商对账单!$G$4,采购进货!B83&lt;=供应商对账单!$I$4),采购进货!B83+ROW()/100000,"")</f>
      </c>
      <c r="J83">
        <f>IF(总览汇总!$B83="","",N(总览汇总!$K83)+SUMIFS(出库明细!$G$4:$G$3003,出库明细!$C$4:$C$3003,总览汇总!$B83,出库明细!$B$4:$B$3003,"&gt;="&amp;年初日,出库明细!$B$4:$B$3003,"&lt;="&amp;资产负债表!$D$3)-SUMIFS(资金台帐!$S$7:$S$3006,资金台帐!$J$7:$J$3006,总览汇总!$B83,资金台帐!$P$7:$P$3006,"应收",资金台帐!$B$7:$B$3006,"&gt;="&amp;年初日,资金台帐!$B$7:$B$3006,"&lt;="&amp;资产负债表!$D$3))</f>
        <v>-11350</v>
      </c>
      <c r="N83">
        <f>IF(AND(ISNUMBER(出库明细!G83),ISNUMBER(出库明细!E83),ISNUMBER(出库明细!F83)),IF(ABS(出库明细!G83-出库明细!E83*出库明细!F83)&gt;0.005,1,0),0)</f>
        <v>0</v>
      </c>
      <c r="O83">
        <f>IF(AND(ISNUMBER(存条明细!G83),ISNUMBER(存条明细!E83),ISNUMBER(存条明细!F83)),IF(ABS(存条明细!G83-存条明细!E83*存条明细!F83)&gt;0.005,1,0),0)</f>
        <v>0</v>
      </c>
      <c r="AA83">
        <f>IF(基础资料!G82="","",基础资料!G82&amp;"")</f>
      </c>
      <c r="AB83">
        <f>IF(N(基础资料!I82)&lt;=0,1,基础资料!I82)</f>
        <v>1</v>
      </c>
      <c r="AC83">
        <f>IF(OR($AA83="",AC$5=""),0,SUMIF(INDIRECT("'"&amp;AC$5&amp;"'!C6:C1000"),$AA83,INDIRECT("'"&amp;AC$5&amp;"'!H6:H1000")))</f>
        <v>0</v>
      </c>
      <c r="AD83">
        <f>IF(OR($AA83="",AD$5=""),0,SUMIF(INDIRECT("'"&amp;AD$5&amp;"'!C6:C1000"),$AA83,INDIRECT("'"&amp;AD$5&amp;"'!H6:H1000")))</f>
        <v>0</v>
      </c>
      <c r="AE83">
        <f>IF(OR($AA83="",AE$5=""),0,SUMIF(INDIRECT("'"&amp;AE$5&amp;"'!C6:C1000"),$AA83,INDIRECT("'"&amp;AE$5&amp;"'!H6:H1000")))</f>
        <v>0</v>
      </c>
      <c r="AF83">
        <f>IF(OR($AA83="",AF$5=""),0,SUMIF(INDIRECT("'"&amp;AF$5&amp;"'!C6:C1000"),$AA83,INDIRECT("'"&amp;AF$5&amp;"'!H6:H1000")))</f>
        <v>0</v>
      </c>
      <c r="AG83">
        <f>IF(OR($AA83="",AG$5=""),0,SUMIF(INDIRECT("'"&amp;AG$5&amp;"'!C6:C1000"),$AA83,INDIRECT("'"&amp;AG$5&amp;"'!H6:H1000")))</f>
        <v>0</v>
      </c>
      <c r="AH83">
        <f>IF(OR($AA83="",AH$5=""),0,SUMIF(INDIRECT("'"&amp;AH$5&amp;"'!C6:C1000"),$AA83,INDIRECT("'"&amp;AH$5&amp;"'!H6:H1000")))</f>
        <v>0</v>
      </c>
      <c r="AI83">
        <f>IF(OR($AA83="",AI$5=""),0,SUMIF(INDIRECT("'"&amp;AI$5&amp;"'!C6:C1000"),$AA83,INDIRECT("'"&amp;AI$5&amp;"'!H6:H1000")))</f>
        <v>0</v>
      </c>
      <c r="AJ83">
        <f>IF(OR($AA83="",AJ$5=""),0,SUMIF(INDIRECT("'"&amp;AJ$5&amp;"'!C6:C1000"),$AA83,INDIRECT("'"&amp;AJ$5&amp;"'!H6:H1000")))</f>
        <v>0</v>
      </c>
      <c r="AK83">
        <f>IF(OR($AA83="",AK$5=""),0,SUMIF(INDIRECT("'"&amp;AK$5&amp;"'!C6:C1000"),$AA83,INDIRECT("'"&amp;AK$5&amp;"'!H6:H1000")))</f>
        <v>0</v>
      </c>
      <c r="AL83">
        <f>IF(OR($AA83="",AL$5=""),0,SUMIF(INDIRECT("'"&amp;AL$5&amp;"'!C6:C1000"),$AA83,INDIRECT("'"&amp;AL$5&amp;"'!H6:H1000")))</f>
        <v>0</v>
      </c>
      <c r="AM83">
        <f>IF(OR($AA83="",AM$5=""),0,SUMIF(INDIRECT("'"&amp;AM$5&amp;"'!C6:C1000"),$AA83,INDIRECT("'"&amp;AM$5&amp;"'!H6:H1000")))</f>
        <v>0</v>
      </c>
      <c r="AN83">
        <f>IF(OR($AA83="",AN$5=""),0,SUMIF(INDIRECT("'"&amp;AN$5&amp;"'!C6:C1000"),$AA83,INDIRECT("'"&amp;AN$5&amp;"'!H6:H1000")))</f>
        <v>0</v>
      </c>
      <c r="AO83">
        <f>IF(OR($AA83="",AC$5=""),0,SUMIF(INDIRECT("'"&amp;AC$5&amp;"'!C6:C1000"),$AA83,INDIRECT("'"&amp;AC$5&amp;"'!E6:E1000")))</f>
        <v>0</v>
      </c>
      <c r="AP83">
        <f>IF(OR($AA83="",AD$5=""),0,SUMIF(INDIRECT("'"&amp;AD$5&amp;"'!C6:C1000"),$AA83,INDIRECT("'"&amp;AD$5&amp;"'!E6:E1000")))</f>
        <v>0</v>
      </c>
      <c r="AQ83">
        <f>IF(OR($AA83="",AE$5=""),0,SUMIF(INDIRECT("'"&amp;AE$5&amp;"'!C6:C1000"),$AA83,INDIRECT("'"&amp;AE$5&amp;"'!E6:E1000")))</f>
        <v>0</v>
      </c>
      <c r="AR83">
        <f>IF(OR($AA83="",AF$5=""),0,SUMIF(INDIRECT("'"&amp;AF$5&amp;"'!C6:C1000"),$AA83,INDIRECT("'"&amp;AF$5&amp;"'!E6:E1000")))</f>
        <v>0</v>
      </c>
      <c r="AS83">
        <f>IF(OR($AA83="",AG$5=""),0,SUMIF(INDIRECT("'"&amp;AG$5&amp;"'!C6:C1000"),$AA83,INDIRECT("'"&amp;AG$5&amp;"'!E6:E1000")))</f>
        <v>0</v>
      </c>
      <c r="AT83">
        <f>IF(OR($AA83="",AH$5=""),0,SUMIF(INDIRECT("'"&amp;AH$5&amp;"'!C6:C1000"),$AA83,INDIRECT("'"&amp;AH$5&amp;"'!E6:E1000")))</f>
        <v>0</v>
      </c>
      <c r="AU83">
        <f>IF(OR($AA83="",AI$5=""),0,SUMIF(INDIRECT("'"&amp;AI$5&amp;"'!C6:C1000"),$AA83,INDIRECT("'"&amp;AI$5&amp;"'!E6:E1000")))</f>
        <v>0</v>
      </c>
      <c r="AV83">
        <f>IF(OR($AA83="",AJ$5=""),0,SUMIF(INDIRECT("'"&amp;AJ$5&amp;"'!C6:C1000"),$AA83,INDIRECT("'"&amp;AJ$5&amp;"'!E6:E1000")))</f>
        <v>0</v>
      </c>
      <c r="AW83">
        <f>IF(OR($AA83="",AK$5=""),0,SUMIF(INDIRECT("'"&amp;AK$5&amp;"'!C6:C1000"),$AA83,INDIRECT("'"&amp;AK$5&amp;"'!E6:E1000")))</f>
        <v>0</v>
      </c>
      <c r="AX83">
        <f>IF(OR($AA83="",AL$5=""),0,SUMIF(INDIRECT("'"&amp;AL$5&amp;"'!C6:C1000"),$AA83,INDIRECT("'"&amp;AL$5&amp;"'!E6:E1000")))</f>
        <v>0</v>
      </c>
      <c r="AY83">
        <f>IF(OR($AA83="",AM$5=""),0,SUMIF(INDIRECT("'"&amp;AM$5&amp;"'!C6:C1000"),$AA83,INDIRECT("'"&amp;AM$5&amp;"'!E6:E1000")))</f>
        <v>0</v>
      </c>
      <c r="AZ83">
        <f>IF(OR($AA83="",AN$5=""),0,SUMIF(INDIRECT("'"&amp;AN$5&amp;"'!C6:C1000"),$AA83,INDIRECT("'"&amp;AN$5&amp;"'!E6:E1000")))</f>
        <v>0</v>
      </c>
      <c r="BA83">
        <f>IF(OR($AA83="",AC$5=""),0,SUMIFS(INDIRECT("'"&amp;AC$5&amp;"'!E6:E1000"),INDIRECT("'"&amp;AC$5&amp;"'!C6:C1000"),$AA83,INDIRECT("'"&amp;AC$5&amp;"'!F6:F1000"),"箱")+SUMIFS(INDIRECT("'"&amp;AC$5&amp;"'!E6:E1000"),INDIRECT("'"&amp;AC$5&amp;"'!C6:C1000"),$AA83,INDIRECT("'"&amp;AC$5&amp;"'!F6:F1000"),"件"))</f>
        <v>0</v>
      </c>
      <c r="BB83">
        <f>IF(OR($AA83="",AD$5=""),0,SUMIFS(INDIRECT("'"&amp;AD$5&amp;"'!E6:E1000"),INDIRECT("'"&amp;AD$5&amp;"'!C6:C1000"),$AA83,INDIRECT("'"&amp;AD$5&amp;"'!F6:F1000"),"箱")+SUMIFS(INDIRECT("'"&amp;AD$5&amp;"'!E6:E1000"),INDIRECT("'"&amp;AD$5&amp;"'!C6:C1000"),$AA83,INDIRECT("'"&amp;AD$5&amp;"'!F6:F1000"),"件"))</f>
        <v>0</v>
      </c>
      <c r="BC83">
        <f>IF(OR($AA83="",AE$5=""),0,SUMIFS(INDIRECT("'"&amp;AE$5&amp;"'!E6:E1000"),INDIRECT("'"&amp;AE$5&amp;"'!C6:C1000"),$AA83,INDIRECT("'"&amp;AE$5&amp;"'!F6:F1000"),"箱")+SUMIFS(INDIRECT("'"&amp;AE$5&amp;"'!E6:E1000"),INDIRECT("'"&amp;AE$5&amp;"'!C6:C1000"),$AA83,INDIRECT("'"&amp;AE$5&amp;"'!F6:F1000"),"件"))</f>
        <v>0</v>
      </c>
      <c r="BD83">
        <f>IF(OR($AA83="",AF$5=""),0,SUMIFS(INDIRECT("'"&amp;AF$5&amp;"'!E6:E1000"),INDIRECT("'"&amp;AF$5&amp;"'!C6:C1000"),$AA83,INDIRECT("'"&amp;AF$5&amp;"'!F6:F1000"),"箱")+SUMIFS(INDIRECT("'"&amp;AF$5&amp;"'!E6:E1000"),INDIRECT("'"&amp;AF$5&amp;"'!C6:C1000"),$AA83,INDIRECT("'"&amp;AF$5&amp;"'!F6:F1000"),"件"))</f>
        <v>0</v>
      </c>
      <c r="BE83">
        <f>IF(OR($AA83="",AG$5=""),0,SUMIFS(INDIRECT("'"&amp;AG$5&amp;"'!E6:E1000"),INDIRECT("'"&amp;AG$5&amp;"'!C6:C1000"),$AA83,INDIRECT("'"&amp;AG$5&amp;"'!F6:F1000"),"箱")+SUMIFS(INDIRECT("'"&amp;AG$5&amp;"'!E6:E1000"),INDIRECT("'"&amp;AG$5&amp;"'!C6:C1000"),$AA83,INDIRECT("'"&amp;AG$5&amp;"'!F6:F1000"),"件"))</f>
        <v>0</v>
      </c>
      <c r="BF83">
        <f>IF(OR($AA83="",AH$5=""),0,SUMIFS(INDIRECT("'"&amp;AH$5&amp;"'!E6:E1000"),INDIRECT("'"&amp;AH$5&amp;"'!C6:C1000"),$AA83,INDIRECT("'"&amp;AH$5&amp;"'!F6:F1000"),"箱")+SUMIFS(INDIRECT("'"&amp;AH$5&amp;"'!E6:E1000"),INDIRECT("'"&amp;AH$5&amp;"'!C6:C1000"),$AA83,INDIRECT("'"&amp;AH$5&amp;"'!F6:F1000"),"件"))</f>
        <v>0</v>
      </c>
      <c r="BG83">
        <f>IF(OR($AA83="",AI$5=""),0,SUMIFS(INDIRECT("'"&amp;AI$5&amp;"'!E6:E1000"),INDIRECT("'"&amp;AI$5&amp;"'!C6:C1000"),$AA83,INDIRECT("'"&amp;AI$5&amp;"'!F6:F1000"),"箱")+SUMIFS(INDIRECT("'"&amp;AI$5&amp;"'!E6:E1000"),INDIRECT("'"&amp;AI$5&amp;"'!C6:C1000"),$AA83,INDIRECT("'"&amp;AI$5&amp;"'!F6:F1000"),"件"))</f>
        <v>0</v>
      </c>
      <c r="BH83">
        <f>IF(OR($AA83="",AJ$5=""),0,SUMIFS(INDIRECT("'"&amp;AJ$5&amp;"'!E6:E1000"),INDIRECT("'"&amp;AJ$5&amp;"'!C6:C1000"),$AA83,INDIRECT("'"&amp;AJ$5&amp;"'!F6:F1000"),"箱")+SUMIFS(INDIRECT("'"&amp;AJ$5&amp;"'!E6:E1000"),INDIRECT("'"&amp;AJ$5&amp;"'!C6:C1000"),$AA83,INDIRECT("'"&amp;AJ$5&amp;"'!F6:F1000"),"件"))</f>
        <v>0</v>
      </c>
      <c r="BI83">
        <f>IF(OR($AA83="",AK$5=""),0,SUMIFS(INDIRECT("'"&amp;AK$5&amp;"'!E6:E1000"),INDIRECT("'"&amp;AK$5&amp;"'!C6:C1000"),$AA83,INDIRECT("'"&amp;AK$5&amp;"'!F6:F1000"),"箱")+SUMIFS(INDIRECT("'"&amp;AK$5&amp;"'!E6:E1000"),INDIRECT("'"&amp;AK$5&amp;"'!C6:C1000"),$AA83,INDIRECT("'"&amp;AK$5&amp;"'!F6:F1000"),"件"))</f>
        <v>0</v>
      </c>
      <c r="BJ83">
        <f>IF(OR($AA83="",AL$5=""),0,SUMIFS(INDIRECT("'"&amp;AL$5&amp;"'!E6:E1000"),INDIRECT("'"&amp;AL$5&amp;"'!C6:C1000"),$AA83,INDIRECT("'"&amp;AL$5&amp;"'!F6:F1000"),"箱")+SUMIFS(INDIRECT("'"&amp;AL$5&amp;"'!E6:E1000"),INDIRECT("'"&amp;AL$5&amp;"'!C6:C1000"),$AA83,INDIRECT("'"&amp;AL$5&amp;"'!F6:F1000"),"件"))</f>
        <v>0</v>
      </c>
      <c r="BK83">
        <f>IF(OR($AA83="",AM$5=""),0,SUMIFS(INDIRECT("'"&amp;AM$5&amp;"'!E6:E1000"),INDIRECT("'"&amp;AM$5&amp;"'!C6:C1000"),$AA83,INDIRECT("'"&amp;AM$5&amp;"'!F6:F1000"),"箱")+SUMIFS(INDIRECT("'"&amp;AM$5&amp;"'!E6:E1000"),INDIRECT("'"&amp;AM$5&amp;"'!C6:C1000"),$AA83,INDIRECT("'"&amp;AM$5&amp;"'!F6:F1000"),"件"))</f>
        <v>0</v>
      </c>
      <c r="BL83">
        <f>IF(OR($AA83="",AN$5=""),0,SUMIFS(INDIRECT("'"&amp;AN$5&amp;"'!E6:E1000"),INDIRECT("'"&amp;AN$5&amp;"'!C6:C1000"),$AA83,INDIRECT("'"&amp;AN$5&amp;"'!F6:F1000"),"箱")+SUMIFS(INDIRECT("'"&amp;AN$5&amp;"'!E6:E1000"),INDIRECT("'"&amp;AN$5&amp;"'!C6:C1000"),$AA83,INDIRECT("'"&amp;AN$5&amp;"'!F6:F1000"),"件"))</f>
        <v>0</v>
      </c>
      <c r="BM83">
        <f>(AO83-BA83)/$AB83+BA83</f>
        <v>0</v>
      </c>
      <c r="BN83">
        <f>(AP83-BB83)/$AB83+BB83</f>
        <v>0</v>
      </c>
      <c r="BO83">
        <f>(AQ83-BC83)/$AB83+BC83</f>
        <v>0</v>
      </c>
      <c r="BP83">
        <f>(AR83-BD83)/$AB83+BD83</f>
        <v>0</v>
      </c>
      <c r="BQ83">
        <f>(AS83-BE83)/$AB83+BE83</f>
        <v>0</v>
      </c>
      <c r="BR83">
        <f>(AT83-BF83)/$AB83+BF83</f>
        <v>0</v>
      </c>
      <c r="BS83">
        <f>(AU83-BG83)/$AB83+BG83</f>
        <v>0</v>
      </c>
      <c r="BT83">
        <f>(AV83-BH83)/$AB83+BH83</f>
        <v>0</v>
      </c>
      <c r="BU83">
        <f>(AW83-BI83)/$AB83+BI83</f>
        <v>0</v>
      </c>
      <c r="BV83">
        <f>(AX83-BJ83)/$AB83+BJ83</f>
        <v>0</v>
      </c>
      <c r="BW83">
        <f>(AY83-BK83)/$AB83+BK83</f>
        <v>0</v>
      </c>
      <c r="BX83">
        <f>(AZ83-BL83)/$AB83+BL83</f>
        <v>0</v>
      </c>
      <c r="BY83">
        <f>SUMPRODUCT((($AC$4:$AN$4=报损汇总一览!$A$3)+(报损汇总一览!$A$3="全年"))*AC83:AN83)</f>
        <v>0</v>
      </c>
      <c r="BZ83">
        <f>IF(BY83&gt;0,BY83+(1000-ROW())/10000000,"")</f>
      </c>
      <c r="CA83">
        <f>SUMPRODUCT((($AC$4:$AN$4=报损汇总一览!$A$3)+(报损汇总一览!$A$3="全年"))*AO83:AZ83)</f>
        <v>0</v>
      </c>
    </row>
    <row r="84">
      <c r="A84">
        <f>IF(OR(存条明细!C84="",存条明细!D84=""),"",IF(COUNTIFS(存条明细!$C$4:C84,存条明细!C84,存条明细!$D$4:D84,存条明细!D84)&gt;1,"",IFERROR(MATCH(存条明细!C84,总览汇总!$B$5:$B$304,0),900)*10000000+IFERROR(MATCH(存条明细!D84,基础资料!$E$5:$E$104,0),900)*10000+ROW()))</f>
        <v>200030084</v>
      </c>
      <c r="B84">
        <f>IFERROR(MATCH(SMALL($A$4:$A$4003,81),$A$4:$A$4003,0),"")</f>
        <v>1020</v>
      </c>
      <c r="D84">
        <f>IF(AND(商品库存!B84&lt;&gt;"",商品库存!B84=客户查询!$B$4),COUNTIF(商品库存!$B$4:B84,客户查询!$B$4),"")</f>
      </c>
      <c r="E84">
        <f>IF(AND(商品库存!B84&lt;&gt;"",商品库存!B84=客户对账单!$B$4),COUNTIF(商品库存!$B$4:B84,客户对账单!$B$4),"")</f>
      </c>
      <c r="F84">
        <f>IF(AND(出库明细!C84&lt;&gt;"",出库明细!C84=客户对账单!$B$4,ISNUMBER(出库明细!B84),出库明细!B84&gt;=客户对账单!$G$4,出库明细!B84&lt;=客户对账单!$I$4),出库明细!B84+ROW()/100000,"")</f>
      </c>
      <c r="H84">
        <f>IF(AND(采购进货!C84&lt;&gt;"",采购进货!C84=供应商对账单!$B$4,ISNUMBER(采购进货!B84),采购进货!B84&gt;=供应商对账单!$G$4,采购进货!B84&lt;=供应商对账单!$I$4),采购进货!B84+ROW()/100000,"")</f>
      </c>
      <c r="J84">
        <f>IF(总览汇总!$B84="","",N(总览汇总!$K84)+SUMIFS(出库明细!$G$4:$G$3003,出库明细!$C$4:$C$3003,总览汇总!$B84,出库明细!$B$4:$B$3003,"&gt;="&amp;年初日,出库明细!$B$4:$B$3003,"&lt;="&amp;资产负债表!$D$3)-SUMIFS(资金台帐!$S$7:$S$3006,资金台帐!$J$7:$J$3006,总览汇总!$B84,资金台帐!$P$7:$P$3006,"应收",资金台帐!$B$7:$B$3006,"&gt;="&amp;年初日,资金台帐!$B$7:$B$3006,"&lt;="&amp;资产负债表!$D$3))</f>
        <v>0</v>
      </c>
      <c r="N84">
        <f>IF(AND(ISNUMBER(出库明细!G84),ISNUMBER(出库明细!E84),ISNUMBER(出库明细!F84)),IF(ABS(出库明细!G84-出库明细!E84*出库明细!F84)&gt;0.005,1,0),0)</f>
        <v>0</v>
      </c>
      <c r="O84">
        <f>IF(AND(ISNUMBER(存条明细!G84),ISNUMBER(存条明细!E84),ISNUMBER(存条明细!F84)),IF(ABS(存条明细!G84-存条明细!E84*存条明细!F84)&gt;0.005,1,0),0)</f>
        <v>0</v>
      </c>
      <c r="AA84">
        <f>IF(基础资料!G83="","",基础资料!G83&amp;"")</f>
      </c>
      <c r="AB84">
        <f>IF(N(基础资料!I83)&lt;=0,1,基础资料!I83)</f>
        <v>1</v>
      </c>
      <c r="AC84">
        <f>IF(OR($AA84="",AC$5=""),0,SUMIF(INDIRECT("'"&amp;AC$5&amp;"'!C6:C1000"),$AA84,INDIRECT("'"&amp;AC$5&amp;"'!H6:H1000")))</f>
        <v>0</v>
      </c>
      <c r="AD84">
        <f>IF(OR($AA84="",AD$5=""),0,SUMIF(INDIRECT("'"&amp;AD$5&amp;"'!C6:C1000"),$AA84,INDIRECT("'"&amp;AD$5&amp;"'!H6:H1000")))</f>
        <v>0</v>
      </c>
      <c r="AE84">
        <f>IF(OR($AA84="",AE$5=""),0,SUMIF(INDIRECT("'"&amp;AE$5&amp;"'!C6:C1000"),$AA84,INDIRECT("'"&amp;AE$5&amp;"'!H6:H1000")))</f>
        <v>0</v>
      </c>
      <c r="AF84">
        <f>IF(OR($AA84="",AF$5=""),0,SUMIF(INDIRECT("'"&amp;AF$5&amp;"'!C6:C1000"),$AA84,INDIRECT("'"&amp;AF$5&amp;"'!H6:H1000")))</f>
        <v>0</v>
      </c>
      <c r="AG84">
        <f>IF(OR($AA84="",AG$5=""),0,SUMIF(INDIRECT("'"&amp;AG$5&amp;"'!C6:C1000"),$AA84,INDIRECT("'"&amp;AG$5&amp;"'!H6:H1000")))</f>
        <v>0</v>
      </c>
      <c r="AH84">
        <f>IF(OR($AA84="",AH$5=""),0,SUMIF(INDIRECT("'"&amp;AH$5&amp;"'!C6:C1000"),$AA84,INDIRECT("'"&amp;AH$5&amp;"'!H6:H1000")))</f>
        <v>0</v>
      </c>
      <c r="AI84">
        <f>IF(OR($AA84="",AI$5=""),0,SUMIF(INDIRECT("'"&amp;AI$5&amp;"'!C6:C1000"),$AA84,INDIRECT("'"&amp;AI$5&amp;"'!H6:H1000")))</f>
        <v>0</v>
      </c>
      <c r="AJ84">
        <f>IF(OR($AA84="",AJ$5=""),0,SUMIF(INDIRECT("'"&amp;AJ$5&amp;"'!C6:C1000"),$AA84,INDIRECT("'"&amp;AJ$5&amp;"'!H6:H1000")))</f>
        <v>0</v>
      </c>
      <c r="AK84">
        <f>IF(OR($AA84="",AK$5=""),0,SUMIF(INDIRECT("'"&amp;AK$5&amp;"'!C6:C1000"),$AA84,INDIRECT("'"&amp;AK$5&amp;"'!H6:H1000")))</f>
        <v>0</v>
      </c>
      <c r="AL84">
        <f>IF(OR($AA84="",AL$5=""),0,SUMIF(INDIRECT("'"&amp;AL$5&amp;"'!C6:C1000"),$AA84,INDIRECT("'"&amp;AL$5&amp;"'!H6:H1000")))</f>
        <v>0</v>
      </c>
      <c r="AM84">
        <f>IF(OR($AA84="",AM$5=""),0,SUMIF(INDIRECT("'"&amp;AM$5&amp;"'!C6:C1000"),$AA84,INDIRECT("'"&amp;AM$5&amp;"'!H6:H1000")))</f>
        <v>0</v>
      </c>
      <c r="AN84">
        <f>IF(OR($AA84="",AN$5=""),0,SUMIF(INDIRECT("'"&amp;AN$5&amp;"'!C6:C1000"),$AA84,INDIRECT("'"&amp;AN$5&amp;"'!H6:H1000")))</f>
        <v>0</v>
      </c>
      <c r="AO84">
        <f>IF(OR($AA84="",AC$5=""),0,SUMIF(INDIRECT("'"&amp;AC$5&amp;"'!C6:C1000"),$AA84,INDIRECT("'"&amp;AC$5&amp;"'!E6:E1000")))</f>
        <v>0</v>
      </c>
      <c r="AP84">
        <f>IF(OR($AA84="",AD$5=""),0,SUMIF(INDIRECT("'"&amp;AD$5&amp;"'!C6:C1000"),$AA84,INDIRECT("'"&amp;AD$5&amp;"'!E6:E1000")))</f>
        <v>0</v>
      </c>
      <c r="AQ84">
        <f>IF(OR($AA84="",AE$5=""),0,SUMIF(INDIRECT("'"&amp;AE$5&amp;"'!C6:C1000"),$AA84,INDIRECT("'"&amp;AE$5&amp;"'!E6:E1000")))</f>
        <v>0</v>
      </c>
      <c r="AR84">
        <f>IF(OR($AA84="",AF$5=""),0,SUMIF(INDIRECT("'"&amp;AF$5&amp;"'!C6:C1000"),$AA84,INDIRECT("'"&amp;AF$5&amp;"'!E6:E1000")))</f>
        <v>0</v>
      </c>
      <c r="AS84">
        <f>IF(OR($AA84="",AG$5=""),0,SUMIF(INDIRECT("'"&amp;AG$5&amp;"'!C6:C1000"),$AA84,INDIRECT("'"&amp;AG$5&amp;"'!E6:E1000")))</f>
        <v>0</v>
      </c>
      <c r="AT84">
        <f>IF(OR($AA84="",AH$5=""),0,SUMIF(INDIRECT("'"&amp;AH$5&amp;"'!C6:C1000"),$AA84,INDIRECT("'"&amp;AH$5&amp;"'!E6:E1000")))</f>
        <v>0</v>
      </c>
      <c r="AU84">
        <f>IF(OR($AA84="",AI$5=""),0,SUMIF(INDIRECT("'"&amp;AI$5&amp;"'!C6:C1000"),$AA84,INDIRECT("'"&amp;AI$5&amp;"'!E6:E1000")))</f>
        <v>0</v>
      </c>
      <c r="AV84">
        <f>IF(OR($AA84="",AJ$5=""),0,SUMIF(INDIRECT("'"&amp;AJ$5&amp;"'!C6:C1000"),$AA84,INDIRECT("'"&amp;AJ$5&amp;"'!E6:E1000")))</f>
        <v>0</v>
      </c>
      <c r="AW84">
        <f>IF(OR($AA84="",AK$5=""),0,SUMIF(INDIRECT("'"&amp;AK$5&amp;"'!C6:C1000"),$AA84,INDIRECT("'"&amp;AK$5&amp;"'!E6:E1000")))</f>
        <v>0</v>
      </c>
      <c r="AX84">
        <f>IF(OR($AA84="",AL$5=""),0,SUMIF(INDIRECT("'"&amp;AL$5&amp;"'!C6:C1000"),$AA84,INDIRECT("'"&amp;AL$5&amp;"'!E6:E1000")))</f>
        <v>0</v>
      </c>
      <c r="AY84">
        <f>IF(OR($AA84="",AM$5=""),0,SUMIF(INDIRECT("'"&amp;AM$5&amp;"'!C6:C1000"),$AA84,INDIRECT("'"&amp;AM$5&amp;"'!E6:E1000")))</f>
        <v>0</v>
      </c>
      <c r="AZ84">
        <f>IF(OR($AA84="",AN$5=""),0,SUMIF(INDIRECT("'"&amp;AN$5&amp;"'!C6:C1000"),$AA84,INDIRECT("'"&amp;AN$5&amp;"'!E6:E1000")))</f>
        <v>0</v>
      </c>
      <c r="BA84">
        <f>IF(OR($AA84="",AC$5=""),0,SUMIFS(INDIRECT("'"&amp;AC$5&amp;"'!E6:E1000"),INDIRECT("'"&amp;AC$5&amp;"'!C6:C1000"),$AA84,INDIRECT("'"&amp;AC$5&amp;"'!F6:F1000"),"箱")+SUMIFS(INDIRECT("'"&amp;AC$5&amp;"'!E6:E1000"),INDIRECT("'"&amp;AC$5&amp;"'!C6:C1000"),$AA84,INDIRECT("'"&amp;AC$5&amp;"'!F6:F1000"),"件"))</f>
        <v>0</v>
      </c>
      <c r="BB84">
        <f>IF(OR($AA84="",AD$5=""),0,SUMIFS(INDIRECT("'"&amp;AD$5&amp;"'!E6:E1000"),INDIRECT("'"&amp;AD$5&amp;"'!C6:C1000"),$AA84,INDIRECT("'"&amp;AD$5&amp;"'!F6:F1000"),"箱")+SUMIFS(INDIRECT("'"&amp;AD$5&amp;"'!E6:E1000"),INDIRECT("'"&amp;AD$5&amp;"'!C6:C1000"),$AA84,INDIRECT("'"&amp;AD$5&amp;"'!F6:F1000"),"件"))</f>
        <v>0</v>
      </c>
      <c r="BC84">
        <f>IF(OR($AA84="",AE$5=""),0,SUMIFS(INDIRECT("'"&amp;AE$5&amp;"'!E6:E1000"),INDIRECT("'"&amp;AE$5&amp;"'!C6:C1000"),$AA84,INDIRECT("'"&amp;AE$5&amp;"'!F6:F1000"),"箱")+SUMIFS(INDIRECT("'"&amp;AE$5&amp;"'!E6:E1000"),INDIRECT("'"&amp;AE$5&amp;"'!C6:C1000"),$AA84,INDIRECT("'"&amp;AE$5&amp;"'!F6:F1000"),"件"))</f>
        <v>0</v>
      </c>
      <c r="BD84">
        <f>IF(OR($AA84="",AF$5=""),0,SUMIFS(INDIRECT("'"&amp;AF$5&amp;"'!E6:E1000"),INDIRECT("'"&amp;AF$5&amp;"'!C6:C1000"),$AA84,INDIRECT("'"&amp;AF$5&amp;"'!F6:F1000"),"箱")+SUMIFS(INDIRECT("'"&amp;AF$5&amp;"'!E6:E1000"),INDIRECT("'"&amp;AF$5&amp;"'!C6:C1000"),$AA84,INDIRECT("'"&amp;AF$5&amp;"'!F6:F1000"),"件"))</f>
        <v>0</v>
      </c>
      <c r="BE84">
        <f>IF(OR($AA84="",AG$5=""),0,SUMIFS(INDIRECT("'"&amp;AG$5&amp;"'!E6:E1000"),INDIRECT("'"&amp;AG$5&amp;"'!C6:C1000"),$AA84,INDIRECT("'"&amp;AG$5&amp;"'!F6:F1000"),"箱")+SUMIFS(INDIRECT("'"&amp;AG$5&amp;"'!E6:E1000"),INDIRECT("'"&amp;AG$5&amp;"'!C6:C1000"),$AA84,INDIRECT("'"&amp;AG$5&amp;"'!F6:F1000"),"件"))</f>
        <v>0</v>
      </c>
      <c r="BF84">
        <f>IF(OR($AA84="",AH$5=""),0,SUMIFS(INDIRECT("'"&amp;AH$5&amp;"'!E6:E1000"),INDIRECT("'"&amp;AH$5&amp;"'!C6:C1000"),$AA84,INDIRECT("'"&amp;AH$5&amp;"'!F6:F1000"),"箱")+SUMIFS(INDIRECT("'"&amp;AH$5&amp;"'!E6:E1000"),INDIRECT("'"&amp;AH$5&amp;"'!C6:C1000"),$AA84,INDIRECT("'"&amp;AH$5&amp;"'!F6:F1000"),"件"))</f>
        <v>0</v>
      </c>
      <c r="BG84">
        <f>IF(OR($AA84="",AI$5=""),0,SUMIFS(INDIRECT("'"&amp;AI$5&amp;"'!E6:E1000"),INDIRECT("'"&amp;AI$5&amp;"'!C6:C1000"),$AA84,INDIRECT("'"&amp;AI$5&amp;"'!F6:F1000"),"箱")+SUMIFS(INDIRECT("'"&amp;AI$5&amp;"'!E6:E1000"),INDIRECT("'"&amp;AI$5&amp;"'!C6:C1000"),$AA84,INDIRECT("'"&amp;AI$5&amp;"'!F6:F1000"),"件"))</f>
        <v>0</v>
      </c>
      <c r="BH84">
        <f>IF(OR($AA84="",AJ$5=""),0,SUMIFS(INDIRECT("'"&amp;AJ$5&amp;"'!E6:E1000"),INDIRECT("'"&amp;AJ$5&amp;"'!C6:C1000"),$AA84,INDIRECT("'"&amp;AJ$5&amp;"'!F6:F1000"),"箱")+SUMIFS(INDIRECT("'"&amp;AJ$5&amp;"'!E6:E1000"),INDIRECT("'"&amp;AJ$5&amp;"'!C6:C1000"),$AA84,INDIRECT("'"&amp;AJ$5&amp;"'!F6:F1000"),"件"))</f>
        <v>0</v>
      </c>
      <c r="BI84">
        <f>IF(OR($AA84="",AK$5=""),0,SUMIFS(INDIRECT("'"&amp;AK$5&amp;"'!E6:E1000"),INDIRECT("'"&amp;AK$5&amp;"'!C6:C1000"),$AA84,INDIRECT("'"&amp;AK$5&amp;"'!F6:F1000"),"箱")+SUMIFS(INDIRECT("'"&amp;AK$5&amp;"'!E6:E1000"),INDIRECT("'"&amp;AK$5&amp;"'!C6:C1000"),$AA84,INDIRECT("'"&amp;AK$5&amp;"'!F6:F1000"),"件"))</f>
        <v>0</v>
      </c>
      <c r="BJ84">
        <f>IF(OR($AA84="",AL$5=""),0,SUMIFS(INDIRECT("'"&amp;AL$5&amp;"'!E6:E1000"),INDIRECT("'"&amp;AL$5&amp;"'!C6:C1000"),$AA84,INDIRECT("'"&amp;AL$5&amp;"'!F6:F1000"),"箱")+SUMIFS(INDIRECT("'"&amp;AL$5&amp;"'!E6:E1000"),INDIRECT("'"&amp;AL$5&amp;"'!C6:C1000"),$AA84,INDIRECT("'"&amp;AL$5&amp;"'!F6:F1000"),"件"))</f>
        <v>0</v>
      </c>
      <c r="BK84">
        <f>IF(OR($AA84="",AM$5=""),0,SUMIFS(INDIRECT("'"&amp;AM$5&amp;"'!E6:E1000"),INDIRECT("'"&amp;AM$5&amp;"'!C6:C1000"),$AA84,INDIRECT("'"&amp;AM$5&amp;"'!F6:F1000"),"箱")+SUMIFS(INDIRECT("'"&amp;AM$5&amp;"'!E6:E1000"),INDIRECT("'"&amp;AM$5&amp;"'!C6:C1000"),$AA84,INDIRECT("'"&amp;AM$5&amp;"'!F6:F1000"),"件"))</f>
        <v>0</v>
      </c>
      <c r="BL84">
        <f>IF(OR($AA84="",AN$5=""),0,SUMIFS(INDIRECT("'"&amp;AN$5&amp;"'!E6:E1000"),INDIRECT("'"&amp;AN$5&amp;"'!C6:C1000"),$AA84,INDIRECT("'"&amp;AN$5&amp;"'!F6:F1000"),"箱")+SUMIFS(INDIRECT("'"&amp;AN$5&amp;"'!E6:E1000"),INDIRECT("'"&amp;AN$5&amp;"'!C6:C1000"),$AA84,INDIRECT("'"&amp;AN$5&amp;"'!F6:F1000"),"件"))</f>
        <v>0</v>
      </c>
      <c r="BM84">
        <f>(AO84-BA84)/$AB84+BA84</f>
        <v>0</v>
      </c>
      <c r="BN84">
        <f>(AP84-BB84)/$AB84+BB84</f>
        <v>0</v>
      </c>
      <c r="BO84">
        <f>(AQ84-BC84)/$AB84+BC84</f>
        <v>0</v>
      </c>
      <c r="BP84">
        <f>(AR84-BD84)/$AB84+BD84</f>
        <v>0</v>
      </c>
      <c r="BQ84">
        <f>(AS84-BE84)/$AB84+BE84</f>
        <v>0</v>
      </c>
      <c r="BR84">
        <f>(AT84-BF84)/$AB84+BF84</f>
        <v>0</v>
      </c>
      <c r="BS84">
        <f>(AU84-BG84)/$AB84+BG84</f>
        <v>0</v>
      </c>
      <c r="BT84">
        <f>(AV84-BH84)/$AB84+BH84</f>
        <v>0</v>
      </c>
      <c r="BU84">
        <f>(AW84-BI84)/$AB84+BI84</f>
        <v>0</v>
      </c>
      <c r="BV84">
        <f>(AX84-BJ84)/$AB84+BJ84</f>
        <v>0</v>
      </c>
      <c r="BW84">
        <f>(AY84-BK84)/$AB84+BK84</f>
        <v>0</v>
      </c>
      <c r="BX84">
        <f>(AZ84-BL84)/$AB84+BL84</f>
        <v>0</v>
      </c>
      <c r="BY84">
        <f>SUMPRODUCT((($AC$4:$AN$4=报损汇总一览!$A$3)+(报损汇总一览!$A$3="全年"))*AC84:AN84)</f>
        <v>0</v>
      </c>
      <c r="BZ84">
        <f>IF(BY84&gt;0,BY84+(1000-ROW())/10000000,"")</f>
      </c>
      <c r="CA84">
        <f>SUMPRODUCT((($AC$4:$AN$4=报损汇总一览!$A$3)+(报损汇总一览!$A$3="全年"))*AO84:AZ84)</f>
        <v>0</v>
      </c>
    </row>
    <row r="85">
      <c r="A85">
        <f>IF(OR(存条明细!C85="",存条明细!D85=""),"",IF(COUNTIFS(存条明细!$C$4:C85,存条明细!C85,存条明细!$D$4:D85,存条明细!D85)&gt;1,"",IFERROR(MATCH(存条明细!C85,总览汇总!$B$5:$B$304,0),900)*10000000+IFERROR(MATCH(存条明细!D85,基础资料!$E$5:$E$104,0),900)*10000+ROW()))</f>
        <v>200040085</v>
      </c>
      <c r="B85">
        <f>IFERROR(MATCH(SMALL($A$4:$A$4003,82),$A$4:$A$4003,0),"")</f>
        <v>1358</v>
      </c>
      <c r="D85">
        <f>IF(AND(商品库存!B85&lt;&gt;"",商品库存!B85=客户查询!$B$4),COUNTIF(商品库存!$B$4:B85,客户查询!$B$4),"")</f>
      </c>
      <c r="E85">
        <f>IF(AND(商品库存!B85&lt;&gt;"",商品库存!B85=客户对账单!$B$4),COUNTIF(商品库存!$B$4:B85,客户对账单!$B$4),"")</f>
      </c>
      <c r="F85">
        <f>IF(AND(出库明细!C85&lt;&gt;"",出库明细!C85=客户对账单!$B$4,ISNUMBER(出库明细!B85),出库明细!B85&gt;=客户对账单!$G$4,出库明细!B85&lt;=客户对账单!$I$4),出库明细!B85+ROW()/100000,"")</f>
      </c>
      <c r="H85">
        <f>IF(AND(采购进货!C85&lt;&gt;"",采购进货!C85=供应商对账单!$B$4,ISNUMBER(采购进货!B85),采购进货!B85&gt;=供应商对账单!$G$4,采购进货!B85&lt;=供应商对账单!$I$4),采购进货!B85+ROW()/100000,"")</f>
      </c>
      <c r="J85">
        <f>IF(总览汇总!$B85="","",N(总览汇总!$K85)+SUMIFS(出库明细!$G$4:$G$3003,出库明细!$C$4:$C$3003,总览汇总!$B85,出库明细!$B$4:$B$3003,"&gt;="&amp;年初日,出库明细!$B$4:$B$3003,"&lt;="&amp;资产负债表!$D$3)-SUMIFS(资金台帐!$S$7:$S$3006,资金台帐!$J$7:$J$3006,总览汇总!$B85,资金台帐!$P$7:$P$3006,"应收",资金台帐!$B$7:$B$3006,"&gt;="&amp;年初日,资金台帐!$B$7:$B$3006,"&lt;="&amp;资产负债表!$D$3))</f>
        <v>-3000</v>
      </c>
      <c r="N85">
        <f>IF(AND(ISNUMBER(出库明细!G85),ISNUMBER(出库明细!E85),ISNUMBER(出库明细!F85)),IF(ABS(出库明细!G85-出库明细!E85*出库明细!F85)&gt;0.005,1,0),0)</f>
        <v>0</v>
      </c>
      <c r="O85">
        <f>IF(AND(ISNUMBER(存条明细!G85),ISNUMBER(存条明细!E85),ISNUMBER(存条明细!F85)),IF(ABS(存条明细!G85-存条明细!E85*存条明细!F85)&gt;0.005,1,0),0)</f>
        <v>0</v>
      </c>
      <c r="AA85">
        <f>IF(基础资料!G84="","",基础资料!G84&amp;"")</f>
      </c>
      <c r="AB85">
        <f>IF(N(基础资料!I84)&lt;=0,1,基础资料!I84)</f>
        <v>1</v>
      </c>
      <c r="AC85">
        <f>IF(OR($AA85="",AC$5=""),0,SUMIF(INDIRECT("'"&amp;AC$5&amp;"'!C6:C1000"),$AA85,INDIRECT("'"&amp;AC$5&amp;"'!H6:H1000")))</f>
        <v>0</v>
      </c>
      <c r="AD85">
        <f>IF(OR($AA85="",AD$5=""),0,SUMIF(INDIRECT("'"&amp;AD$5&amp;"'!C6:C1000"),$AA85,INDIRECT("'"&amp;AD$5&amp;"'!H6:H1000")))</f>
        <v>0</v>
      </c>
      <c r="AE85">
        <f>IF(OR($AA85="",AE$5=""),0,SUMIF(INDIRECT("'"&amp;AE$5&amp;"'!C6:C1000"),$AA85,INDIRECT("'"&amp;AE$5&amp;"'!H6:H1000")))</f>
        <v>0</v>
      </c>
      <c r="AF85">
        <f>IF(OR($AA85="",AF$5=""),0,SUMIF(INDIRECT("'"&amp;AF$5&amp;"'!C6:C1000"),$AA85,INDIRECT("'"&amp;AF$5&amp;"'!H6:H1000")))</f>
        <v>0</v>
      </c>
      <c r="AG85">
        <f>IF(OR($AA85="",AG$5=""),0,SUMIF(INDIRECT("'"&amp;AG$5&amp;"'!C6:C1000"),$AA85,INDIRECT("'"&amp;AG$5&amp;"'!H6:H1000")))</f>
        <v>0</v>
      </c>
      <c r="AH85">
        <f>IF(OR($AA85="",AH$5=""),0,SUMIF(INDIRECT("'"&amp;AH$5&amp;"'!C6:C1000"),$AA85,INDIRECT("'"&amp;AH$5&amp;"'!H6:H1000")))</f>
        <v>0</v>
      </c>
      <c r="AI85">
        <f>IF(OR($AA85="",AI$5=""),0,SUMIF(INDIRECT("'"&amp;AI$5&amp;"'!C6:C1000"),$AA85,INDIRECT("'"&amp;AI$5&amp;"'!H6:H1000")))</f>
        <v>0</v>
      </c>
      <c r="AJ85">
        <f>IF(OR($AA85="",AJ$5=""),0,SUMIF(INDIRECT("'"&amp;AJ$5&amp;"'!C6:C1000"),$AA85,INDIRECT("'"&amp;AJ$5&amp;"'!H6:H1000")))</f>
        <v>0</v>
      </c>
      <c r="AK85">
        <f>IF(OR($AA85="",AK$5=""),0,SUMIF(INDIRECT("'"&amp;AK$5&amp;"'!C6:C1000"),$AA85,INDIRECT("'"&amp;AK$5&amp;"'!H6:H1000")))</f>
        <v>0</v>
      </c>
      <c r="AL85">
        <f>IF(OR($AA85="",AL$5=""),0,SUMIF(INDIRECT("'"&amp;AL$5&amp;"'!C6:C1000"),$AA85,INDIRECT("'"&amp;AL$5&amp;"'!H6:H1000")))</f>
        <v>0</v>
      </c>
      <c r="AM85">
        <f>IF(OR($AA85="",AM$5=""),0,SUMIF(INDIRECT("'"&amp;AM$5&amp;"'!C6:C1000"),$AA85,INDIRECT("'"&amp;AM$5&amp;"'!H6:H1000")))</f>
        <v>0</v>
      </c>
      <c r="AN85">
        <f>IF(OR($AA85="",AN$5=""),0,SUMIF(INDIRECT("'"&amp;AN$5&amp;"'!C6:C1000"),$AA85,INDIRECT("'"&amp;AN$5&amp;"'!H6:H1000")))</f>
        <v>0</v>
      </c>
      <c r="AO85">
        <f>IF(OR($AA85="",AC$5=""),0,SUMIF(INDIRECT("'"&amp;AC$5&amp;"'!C6:C1000"),$AA85,INDIRECT("'"&amp;AC$5&amp;"'!E6:E1000")))</f>
        <v>0</v>
      </c>
      <c r="AP85">
        <f>IF(OR($AA85="",AD$5=""),0,SUMIF(INDIRECT("'"&amp;AD$5&amp;"'!C6:C1000"),$AA85,INDIRECT("'"&amp;AD$5&amp;"'!E6:E1000")))</f>
        <v>0</v>
      </c>
      <c r="AQ85">
        <f>IF(OR($AA85="",AE$5=""),0,SUMIF(INDIRECT("'"&amp;AE$5&amp;"'!C6:C1000"),$AA85,INDIRECT("'"&amp;AE$5&amp;"'!E6:E1000")))</f>
        <v>0</v>
      </c>
      <c r="AR85">
        <f>IF(OR($AA85="",AF$5=""),0,SUMIF(INDIRECT("'"&amp;AF$5&amp;"'!C6:C1000"),$AA85,INDIRECT("'"&amp;AF$5&amp;"'!E6:E1000")))</f>
        <v>0</v>
      </c>
      <c r="AS85">
        <f>IF(OR($AA85="",AG$5=""),0,SUMIF(INDIRECT("'"&amp;AG$5&amp;"'!C6:C1000"),$AA85,INDIRECT("'"&amp;AG$5&amp;"'!E6:E1000")))</f>
        <v>0</v>
      </c>
      <c r="AT85">
        <f>IF(OR($AA85="",AH$5=""),0,SUMIF(INDIRECT("'"&amp;AH$5&amp;"'!C6:C1000"),$AA85,INDIRECT("'"&amp;AH$5&amp;"'!E6:E1000")))</f>
        <v>0</v>
      </c>
      <c r="AU85">
        <f>IF(OR($AA85="",AI$5=""),0,SUMIF(INDIRECT("'"&amp;AI$5&amp;"'!C6:C1000"),$AA85,INDIRECT("'"&amp;AI$5&amp;"'!E6:E1000")))</f>
        <v>0</v>
      </c>
      <c r="AV85">
        <f>IF(OR($AA85="",AJ$5=""),0,SUMIF(INDIRECT("'"&amp;AJ$5&amp;"'!C6:C1000"),$AA85,INDIRECT("'"&amp;AJ$5&amp;"'!E6:E1000")))</f>
        <v>0</v>
      </c>
      <c r="AW85">
        <f>IF(OR($AA85="",AK$5=""),0,SUMIF(INDIRECT("'"&amp;AK$5&amp;"'!C6:C1000"),$AA85,INDIRECT("'"&amp;AK$5&amp;"'!E6:E1000")))</f>
        <v>0</v>
      </c>
      <c r="AX85">
        <f>IF(OR($AA85="",AL$5=""),0,SUMIF(INDIRECT("'"&amp;AL$5&amp;"'!C6:C1000"),$AA85,INDIRECT("'"&amp;AL$5&amp;"'!E6:E1000")))</f>
        <v>0</v>
      </c>
      <c r="AY85">
        <f>IF(OR($AA85="",AM$5=""),0,SUMIF(INDIRECT("'"&amp;AM$5&amp;"'!C6:C1000"),$AA85,INDIRECT("'"&amp;AM$5&amp;"'!E6:E1000")))</f>
        <v>0</v>
      </c>
      <c r="AZ85">
        <f>IF(OR($AA85="",AN$5=""),0,SUMIF(INDIRECT("'"&amp;AN$5&amp;"'!C6:C1000"),$AA85,INDIRECT("'"&amp;AN$5&amp;"'!E6:E1000")))</f>
        <v>0</v>
      </c>
      <c r="BA85">
        <f>IF(OR($AA85="",AC$5=""),0,SUMIFS(INDIRECT("'"&amp;AC$5&amp;"'!E6:E1000"),INDIRECT("'"&amp;AC$5&amp;"'!C6:C1000"),$AA85,INDIRECT("'"&amp;AC$5&amp;"'!F6:F1000"),"箱")+SUMIFS(INDIRECT("'"&amp;AC$5&amp;"'!E6:E1000"),INDIRECT("'"&amp;AC$5&amp;"'!C6:C1000"),$AA85,INDIRECT("'"&amp;AC$5&amp;"'!F6:F1000"),"件"))</f>
        <v>0</v>
      </c>
      <c r="BB85">
        <f>IF(OR($AA85="",AD$5=""),0,SUMIFS(INDIRECT("'"&amp;AD$5&amp;"'!E6:E1000"),INDIRECT("'"&amp;AD$5&amp;"'!C6:C1000"),$AA85,INDIRECT("'"&amp;AD$5&amp;"'!F6:F1000"),"箱")+SUMIFS(INDIRECT("'"&amp;AD$5&amp;"'!E6:E1000"),INDIRECT("'"&amp;AD$5&amp;"'!C6:C1000"),$AA85,INDIRECT("'"&amp;AD$5&amp;"'!F6:F1000"),"件"))</f>
        <v>0</v>
      </c>
      <c r="BC85">
        <f>IF(OR($AA85="",AE$5=""),0,SUMIFS(INDIRECT("'"&amp;AE$5&amp;"'!E6:E1000"),INDIRECT("'"&amp;AE$5&amp;"'!C6:C1000"),$AA85,INDIRECT("'"&amp;AE$5&amp;"'!F6:F1000"),"箱")+SUMIFS(INDIRECT("'"&amp;AE$5&amp;"'!E6:E1000"),INDIRECT("'"&amp;AE$5&amp;"'!C6:C1000"),$AA85,INDIRECT("'"&amp;AE$5&amp;"'!F6:F1000"),"件"))</f>
        <v>0</v>
      </c>
      <c r="BD85">
        <f>IF(OR($AA85="",AF$5=""),0,SUMIFS(INDIRECT("'"&amp;AF$5&amp;"'!E6:E1000"),INDIRECT("'"&amp;AF$5&amp;"'!C6:C1000"),$AA85,INDIRECT("'"&amp;AF$5&amp;"'!F6:F1000"),"箱")+SUMIFS(INDIRECT("'"&amp;AF$5&amp;"'!E6:E1000"),INDIRECT("'"&amp;AF$5&amp;"'!C6:C1000"),$AA85,INDIRECT("'"&amp;AF$5&amp;"'!F6:F1000"),"件"))</f>
        <v>0</v>
      </c>
      <c r="BE85">
        <f>IF(OR($AA85="",AG$5=""),0,SUMIFS(INDIRECT("'"&amp;AG$5&amp;"'!E6:E1000"),INDIRECT("'"&amp;AG$5&amp;"'!C6:C1000"),$AA85,INDIRECT("'"&amp;AG$5&amp;"'!F6:F1000"),"箱")+SUMIFS(INDIRECT("'"&amp;AG$5&amp;"'!E6:E1000"),INDIRECT("'"&amp;AG$5&amp;"'!C6:C1000"),$AA85,INDIRECT("'"&amp;AG$5&amp;"'!F6:F1000"),"件"))</f>
        <v>0</v>
      </c>
      <c r="BF85">
        <f>IF(OR($AA85="",AH$5=""),0,SUMIFS(INDIRECT("'"&amp;AH$5&amp;"'!E6:E1000"),INDIRECT("'"&amp;AH$5&amp;"'!C6:C1000"),$AA85,INDIRECT("'"&amp;AH$5&amp;"'!F6:F1000"),"箱")+SUMIFS(INDIRECT("'"&amp;AH$5&amp;"'!E6:E1000"),INDIRECT("'"&amp;AH$5&amp;"'!C6:C1000"),$AA85,INDIRECT("'"&amp;AH$5&amp;"'!F6:F1000"),"件"))</f>
        <v>0</v>
      </c>
      <c r="BG85">
        <f>IF(OR($AA85="",AI$5=""),0,SUMIFS(INDIRECT("'"&amp;AI$5&amp;"'!E6:E1000"),INDIRECT("'"&amp;AI$5&amp;"'!C6:C1000"),$AA85,INDIRECT("'"&amp;AI$5&amp;"'!F6:F1000"),"箱")+SUMIFS(INDIRECT("'"&amp;AI$5&amp;"'!E6:E1000"),INDIRECT("'"&amp;AI$5&amp;"'!C6:C1000"),$AA85,INDIRECT("'"&amp;AI$5&amp;"'!F6:F1000"),"件"))</f>
        <v>0</v>
      </c>
      <c r="BH85">
        <f>IF(OR($AA85="",AJ$5=""),0,SUMIFS(INDIRECT("'"&amp;AJ$5&amp;"'!E6:E1000"),INDIRECT("'"&amp;AJ$5&amp;"'!C6:C1000"),$AA85,INDIRECT("'"&amp;AJ$5&amp;"'!F6:F1000"),"箱")+SUMIFS(INDIRECT("'"&amp;AJ$5&amp;"'!E6:E1000"),INDIRECT("'"&amp;AJ$5&amp;"'!C6:C1000"),$AA85,INDIRECT("'"&amp;AJ$5&amp;"'!F6:F1000"),"件"))</f>
        <v>0</v>
      </c>
      <c r="BI85">
        <f>IF(OR($AA85="",AK$5=""),0,SUMIFS(INDIRECT("'"&amp;AK$5&amp;"'!E6:E1000"),INDIRECT("'"&amp;AK$5&amp;"'!C6:C1000"),$AA85,INDIRECT("'"&amp;AK$5&amp;"'!F6:F1000"),"箱")+SUMIFS(INDIRECT("'"&amp;AK$5&amp;"'!E6:E1000"),INDIRECT("'"&amp;AK$5&amp;"'!C6:C1000"),$AA85,INDIRECT("'"&amp;AK$5&amp;"'!F6:F1000"),"件"))</f>
        <v>0</v>
      </c>
      <c r="BJ85">
        <f>IF(OR($AA85="",AL$5=""),0,SUMIFS(INDIRECT("'"&amp;AL$5&amp;"'!E6:E1000"),INDIRECT("'"&amp;AL$5&amp;"'!C6:C1000"),$AA85,INDIRECT("'"&amp;AL$5&amp;"'!F6:F1000"),"箱")+SUMIFS(INDIRECT("'"&amp;AL$5&amp;"'!E6:E1000"),INDIRECT("'"&amp;AL$5&amp;"'!C6:C1000"),$AA85,INDIRECT("'"&amp;AL$5&amp;"'!F6:F1000"),"件"))</f>
        <v>0</v>
      </c>
      <c r="BK85">
        <f>IF(OR($AA85="",AM$5=""),0,SUMIFS(INDIRECT("'"&amp;AM$5&amp;"'!E6:E1000"),INDIRECT("'"&amp;AM$5&amp;"'!C6:C1000"),$AA85,INDIRECT("'"&amp;AM$5&amp;"'!F6:F1000"),"箱")+SUMIFS(INDIRECT("'"&amp;AM$5&amp;"'!E6:E1000"),INDIRECT("'"&amp;AM$5&amp;"'!C6:C1000"),$AA85,INDIRECT("'"&amp;AM$5&amp;"'!F6:F1000"),"件"))</f>
        <v>0</v>
      </c>
      <c r="BL85">
        <f>IF(OR($AA85="",AN$5=""),0,SUMIFS(INDIRECT("'"&amp;AN$5&amp;"'!E6:E1000"),INDIRECT("'"&amp;AN$5&amp;"'!C6:C1000"),$AA85,INDIRECT("'"&amp;AN$5&amp;"'!F6:F1000"),"箱")+SUMIFS(INDIRECT("'"&amp;AN$5&amp;"'!E6:E1000"),INDIRECT("'"&amp;AN$5&amp;"'!C6:C1000"),$AA85,INDIRECT("'"&amp;AN$5&amp;"'!F6:F1000"),"件"))</f>
        <v>0</v>
      </c>
      <c r="BM85">
        <f>(AO85-BA85)/$AB85+BA85</f>
        <v>0</v>
      </c>
      <c r="BN85">
        <f>(AP85-BB85)/$AB85+BB85</f>
        <v>0</v>
      </c>
      <c r="BO85">
        <f>(AQ85-BC85)/$AB85+BC85</f>
        <v>0</v>
      </c>
      <c r="BP85">
        <f>(AR85-BD85)/$AB85+BD85</f>
        <v>0</v>
      </c>
      <c r="BQ85">
        <f>(AS85-BE85)/$AB85+BE85</f>
        <v>0</v>
      </c>
      <c r="BR85">
        <f>(AT85-BF85)/$AB85+BF85</f>
        <v>0</v>
      </c>
      <c r="BS85">
        <f>(AU85-BG85)/$AB85+BG85</f>
        <v>0</v>
      </c>
      <c r="BT85">
        <f>(AV85-BH85)/$AB85+BH85</f>
        <v>0</v>
      </c>
      <c r="BU85">
        <f>(AW85-BI85)/$AB85+BI85</f>
        <v>0</v>
      </c>
      <c r="BV85">
        <f>(AX85-BJ85)/$AB85+BJ85</f>
        <v>0</v>
      </c>
      <c r="BW85">
        <f>(AY85-BK85)/$AB85+BK85</f>
        <v>0</v>
      </c>
      <c r="BX85">
        <f>(AZ85-BL85)/$AB85+BL85</f>
        <v>0</v>
      </c>
      <c r="BY85">
        <f>SUMPRODUCT((($AC$4:$AN$4=报损汇总一览!$A$3)+(报损汇总一览!$A$3="全年"))*AC85:AN85)</f>
        <v>0</v>
      </c>
      <c r="BZ85">
        <f>IF(BY85&gt;0,BY85+(1000-ROW())/10000000,"")</f>
      </c>
      <c r="CA85">
        <f>SUMPRODUCT((($AC$4:$AN$4=报损汇总一览!$A$3)+(报损汇总一览!$A$3="全年"))*AO85:AZ85)</f>
        <v>0</v>
      </c>
    </row>
    <row r="86">
      <c r="A86">
        <f>IF(OR(存条明细!C86="",存条明细!D86=""),"",IF(COUNTIFS(存条明细!$C$4:C86,存条明细!C86,存条明细!$D$4:D86,存条明细!D86)&gt;1,"",IFERROR(MATCH(存条明细!C86,总览汇总!$B$5:$B$304,0),900)*10000000+IFERROR(MATCH(存条明细!D86,基础资料!$E$5:$E$104,0),900)*10000+ROW()))</f>
        <v>200020086</v>
      </c>
      <c r="B86">
        <f>IFERROR(MATCH(SMALL($A$4:$A$4003,83),$A$4:$A$4003,0),"")</f>
        <v>1084</v>
      </c>
      <c r="D86">
        <f>IF(AND(商品库存!B86&lt;&gt;"",商品库存!B86=客户查询!$B$4),COUNTIF(商品库存!$B$4:B86,客户查询!$B$4),"")</f>
      </c>
      <c r="E86">
        <f>IF(AND(商品库存!B86&lt;&gt;"",商品库存!B86=客户对账单!$B$4),COUNTIF(商品库存!$B$4:B86,客户对账单!$B$4),"")</f>
      </c>
      <c r="F86">
        <f>IF(AND(出库明细!C86&lt;&gt;"",出库明细!C86=客户对账单!$B$4,ISNUMBER(出库明细!B86),出库明细!B86&gt;=客户对账单!$G$4,出库明细!B86&lt;=客户对账单!$I$4),出库明细!B86+ROW()/100000,"")</f>
      </c>
      <c r="H86">
        <f>IF(AND(采购进货!C86&lt;&gt;"",采购进货!C86=供应商对账单!$B$4,ISNUMBER(采购进货!B86),采购进货!B86&gt;=供应商对账单!$G$4,采购进货!B86&lt;=供应商对账单!$I$4),采购进货!B86+ROW()/100000,"")</f>
      </c>
      <c r="J86">
        <f>IF(总览汇总!$B86="","",N(总览汇总!$K86)+SUMIFS(出库明细!$G$4:$G$3003,出库明细!$C$4:$C$3003,总览汇总!$B86,出库明细!$B$4:$B$3003,"&gt;="&amp;年初日,出库明细!$B$4:$B$3003,"&lt;="&amp;资产负债表!$D$3)-SUMIFS(资金台帐!$S$7:$S$3006,资金台帐!$J$7:$J$3006,总览汇总!$B86,资金台帐!$P$7:$P$3006,"应收",资金台帐!$B$7:$B$3006,"&gt;="&amp;年初日,资金台帐!$B$7:$B$3006,"&lt;="&amp;资产负债表!$D$3))</f>
      </c>
      <c r="N86">
        <f>IF(AND(ISNUMBER(出库明细!G86),ISNUMBER(出库明细!E86),ISNUMBER(出库明细!F86)),IF(ABS(出库明细!G86-出库明细!E86*出库明细!F86)&gt;0.005,1,0),0)</f>
        <v>0</v>
      </c>
      <c r="O86">
        <f>IF(AND(ISNUMBER(存条明细!G86),ISNUMBER(存条明细!E86),ISNUMBER(存条明细!F86)),IF(ABS(存条明细!G86-存条明细!E86*存条明细!F86)&gt;0.005,1,0),0)</f>
        <v>0</v>
      </c>
      <c r="AA86">
        <f>IF(基础资料!G85="","",基础资料!G85&amp;"")</f>
      </c>
      <c r="AB86">
        <f>IF(N(基础资料!I85)&lt;=0,1,基础资料!I85)</f>
        <v>1</v>
      </c>
      <c r="AC86">
        <f>IF(OR($AA86="",AC$5=""),0,SUMIF(INDIRECT("'"&amp;AC$5&amp;"'!C6:C1000"),$AA86,INDIRECT("'"&amp;AC$5&amp;"'!H6:H1000")))</f>
        <v>0</v>
      </c>
      <c r="AD86">
        <f>IF(OR($AA86="",AD$5=""),0,SUMIF(INDIRECT("'"&amp;AD$5&amp;"'!C6:C1000"),$AA86,INDIRECT("'"&amp;AD$5&amp;"'!H6:H1000")))</f>
        <v>0</v>
      </c>
      <c r="AE86">
        <f>IF(OR($AA86="",AE$5=""),0,SUMIF(INDIRECT("'"&amp;AE$5&amp;"'!C6:C1000"),$AA86,INDIRECT("'"&amp;AE$5&amp;"'!H6:H1000")))</f>
        <v>0</v>
      </c>
      <c r="AF86">
        <f>IF(OR($AA86="",AF$5=""),0,SUMIF(INDIRECT("'"&amp;AF$5&amp;"'!C6:C1000"),$AA86,INDIRECT("'"&amp;AF$5&amp;"'!H6:H1000")))</f>
        <v>0</v>
      </c>
      <c r="AG86">
        <f>IF(OR($AA86="",AG$5=""),0,SUMIF(INDIRECT("'"&amp;AG$5&amp;"'!C6:C1000"),$AA86,INDIRECT("'"&amp;AG$5&amp;"'!H6:H1000")))</f>
        <v>0</v>
      </c>
      <c r="AH86">
        <f>IF(OR($AA86="",AH$5=""),0,SUMIF(INDIRECT("'"&amp;AH$5&amp;"'!C6:C1000"),$AA86,INDIRECT("'"&amp;AH$5&amp;"'!H6:H1000")))</f>
        <v>0</v>
      </c>
      <c r="AI86">
        <f>IF(OR($AA86="",AI$5=""),0,SUMIF(INDIRECT("'"&amp;AI$5&amp;"'!C6:C1000"),$AA86,INDIRECT("'"&amp;AI$5&amp;"'!H6:H1000")))</f>
        <v>0</v>
      </c>
      <c r="AJ86">
        <f>IF(OR($AA86="",AJ$5=""),0,SUMIF(INDIRECT("'"&amp;AJ$5&amp;"'!C6:C1000"),$AA86,INDIRECT("'"&amp;AJ$5&amp;"'!H6:H1000")))</f>
        <v>0</v>
      </c>
      <c r="AK86">
        <f>IF(OR($AA86="",AK$5=""),0,SUMIF(INDIRECT("'"&amp;AK$5&amp;"'!C6:C1000"),$AA86,INDIRECT("'"&amp;AK$5&amp;"'!H6:H1000")))</f>
        <v>0</v>
      </c>
      <c r="AL86">
        <f>IF(OR($AA86="",AL$5=""),0,SUMIF(INDIRECT("'"&amp;AL$5&amp;"'!C6:C1000"),$AA86,INDIRECT("'"&amp;AL$5&amp;"'!H6:H1000")))</f>
        <v>0</v>
      </c>
      <c r="AM86">
        <f>IF(OR($AA86="",AM$5=""),0,SUMIF(INDIRECT("'"&amp;AM$5&amp;"'!C6:C1000"),$AA86,INDIRECT("'"&amp;AM$5&amp;"'!H6:H1000")))</f>
        <v>0</v>
      </c>
      <c r="AN86">
        <f>IF(OR($AA86="",AN$5=""),0,SUMIF(INDIRECT("'"&amp;AN$5&amp;"'!C6:C1000"),$AA86,INDIRECT("'"&amp;AN$5&amp;"'!H6:H1000")))</f>
        <v>0</v>
      </c>
      <c r="AO86">
        <f>IF(OR($AA86="",AC$5=""),0,SUMIF(INDIRECT("'"&amp;AC$5&amp;"'!C6:C1000"),$AA86,INDIRECT("'"&amp;AC$5&amp;"'!E6:E1000")))</f>
        <v>0</v>
      </c>
      <c r="AP86">
        <f>IF(OR($AA86="",AD$5=""),0,SUMIF(INDIRECT("'"&amp;AD$5&amp;"'!C6:C1000"),$AA86,INDIRECT("'"&amp;AD$5&amp;"'!E6:E1000")))</f>
        <v>0</v>
      </c>
      <c r="AQ86">
        <f>IF(OR($AA86="",AE$5=""),0,SUMIF(INDIRECT("'"&amp;AE$5&amp;"'!C6:C1000"),$AA86,INDIRECT("'"&amp;AE$5&amp;"'!E6:E1000")))</f>
        <v>0</v>
      </c>
      <c r="AR86">
        <f>IF(OR($AA86="",AF$5=""),0,SUMIF(INDIRECT("'"&amp;AF$5&amp;"'!C6:C1000"),$AA86,INDIRECT("'"&amp;AF$5&amp;"'!E6:E1000")))</f>
        <v>0</v>
      </c>
      <c r="AS86">
        <f>IF(OR($AA86="",AG$5=""),0,SUMIF(INDIRECT("'"&amp;AG$5&amp;"'!C6:C1000"),$AA86,INDIRECT("'"&amp;AG$5&amp;"'!E6:E1000")))</f>
        <v>0</v>
      </c>
      <c r="AT86">
        <f>IF(OR($AA86="",AH$5=""),0,SUMIF(INDIRECT("'"&amp;AH$5&amp;"'!C6:C1000"),$AA86,INDIRECT("'"&amp;AH$5&amp;"'!E6:E1000")))</f>
        <v>0</v>
      </c>
      <c r="AU86">
        <f>IF(OR($AA86="",AI$5=""),0,SUMIF(INDIRECT("'"&amp;AI$5&amp;"'!C6:C1000"),$AA86,INDIRECT("'"&amp;AI$5&amp;"'!E6:E1000")))</f>
        <v>0</v>
      </c>
      <c r="AV86">
        <f>IF(OR($AA86="",AJ$5=""),0,SUMIF(INDIRECT("'"&amp;AJ$5&amp;"'!C6:C1000"),$AA86,INDIRECT("'"&amp;AJ$5&amp;"'!E6:E1000")))</f>
        <v>0</v>
      </c>
      <c r="AW86">
        <f>IF(OR($AA86="",AK$5=""),0,SUMIF(INDIRECT("'"&amp;AK$5&amp;"'!C6:C1000"),$AA86,INDIRECT("'"&amp;AK$5&amp;"'!E6:E1000")))</f>
        <v>0</v>
      </c>
      <c r="AX86">
        <f>IF(OR($AA86="",AL$5=""),0,SUMIF(INDIRECT("'"&amp;AL$5&amp;"'!C6:C1000"),$AA86,INDIRECT("'"&amp;AL$5&amp;"'!E6:E1000")))</f>
        <v>0</v>
      </c>
      <c r="AY86">
        <f>IF(OR($AA86="",AM$5=""),0,SUMIF(INDIRECT("'"&amp;AM$5&amp;"'!C6:C1000"),$AA86,INDIRECT("'"&amp;AM$5&amp;"'!E6:E1000")))</f>
        <v>0</v>
      </c>
      <c r="AZ86">
        <f>IF(OR($AA86="",AN$5=""),0,SUMIF(INDIRECT("'"&amp;AN$5&amp;"'!C6:C1000"),$AA86,INDIRECT("'"&amp;AN$5&amp;"'!E6:E1000")))</f>
        <v>0</v>
      </c>
      <c r="BA86">
        <f>IF(OR($AA86="",AC$5=""),0,SUMIFS(INDIRECT("'"&amp;AC$5&amp;"'!E6:E1000"),INDIRECT("'"&amp;AC$5&amp;"'!C6:C1000"),$AA86,INDIRECT("'"&amp;AC$5&amp;"'!F6:F1000"),"箱")+SUMIFS(INDIRECT("'"&amp;AC$5&amp;"'!E6:E1000"),INDIRECT("'"&amp;AC$5&amp;"'!C6:C1000"),$AA86,INDIRECT("'"&amp;AC$5&amp;"'!F6:F1000"),"件"))</f>
        <v>0</v>
      </c>
      <c r="BB86">
        <f>IF(OR($AA86="",AD$5=""),0,SUMIFS(INDIRECT("'"&amp;AD$5&amp;"'!E6:E1000"),INDIRECT("'"&amp;AD$5&amp;"'!C6:C1000"),$AA86,INDIRECT("'"&amp;AD$5&amp;"'!F6:F1000"),"箱")+SUMIFS(INDIRECT("'"&amp;AD$5&amp;"'!E6:E1000"),INDIRECT("'"&amp;AD$5&amp;"'!C6:C1000"),$AA86,INDIRECT("'"&amp;AD$5&amp;"'!F6:F1000"),"件"))</f>
        <v>0</v>
      </c>
      <c r="BC86">
        <f>IF(OR($AA86="",AE$5=""),0,SUMIFS(INDIRECT("'"&amp;AE$5&amp;"'!E6:E1000"),INDIRECT("'"&amp;AE$5&amp;"'!C6:C1000"),$AA86,INDIRECT("'"&amp;AE$5&amp;"'!F6:F1000"),"箱")+SUMIFS(INDIRECT("'"&amp;AE$5&amp;"'!E6:E1000"),INDIRECT("'"&amp;AE$5&amp;"'!C6:C1000"),$AA86,INDIRECT("'"&amp;AE$5&amp;"'!F6:F1000"),"件"))</f>
        <v>0</v>
      </c>
      <c r="BD86">
        <f>IF(OR($AA86="",AF$5=""),0,SUMIFS(INDIRECT("'"&amp;AF$5&amp;"'!E6:E1000"),INDIRECT("'"&amp;AF$5&amp;"'!C6:C1000"),$AA86,INDIRECT("'"&amp;AF$5&amp;"'!F6:F1000"),"箱")+SUMIFS(INDIRECT("'"&amp;AF$5&amp;"'!E6:E1000"),INDIRECT("'"&amp;AF$5&amp;"'!C6:C1000"),$AA86,INDIRECT("'"&amp;AF$5&amp;"'!F6:F1000"),"件"))</f>
        <v>0</v>
      </c>
      <c r="BE86">
        <f>IF(OR($AA86="",AG$5=""),0,SUMIFS(INDIRECT("'"&amp;AG$5&amp;"'!E6:E1000"),INDIRECT("'"&amp;AG$5&amp;"'!C6:C1000"),$AA86,INDIRECT("'"&amp;AG$5&amp;"'!F6:F1000"),"箱")+SUMIFS(INDIRECT("'"&amp;AG$5&amp;"'!E6:E1000"),INDIRECT("'"&amp;AG$5&amp;"'!C6:C1000"),$AA86,INDIRECT("'"&amp;AG$5&amp;"'!F6:F1000"),"件"))</f>
        <v>0</v>
      </c>
      <c r="BF86">
        <f>IF(OR($AA86="",AH$5=""),0,SUMIFS(INDIRECT("'"&amp;AH$5&amp;"'!E6:E1000"),INDIRECT("'"&amp;AH$5&amp;"'!C6:C1000"),$AA86,INDIRECT("'"&amp;AH$5&amp;"'!F6:F1000"),"箱")+SUMIFS(INDIRECT("'"&amp;AH$5&amp;"'!E6:E1000"),INDIRECT("'"&amp;AH$5&amp;"'!C6:C1000"),$AA86,INDIRECT("'"&amp;AH$5&amp;"'!F6:F1000"),"件"))</f>
        <v>0</v>
      </c>
      <c r="BG86">
        <f>IF(OR($AA86="",AI$5=""),0,SUMIFS(INDIRECT("'"&amp;AI$5&amp;"'!E6:E1000"),INDIRECT("'"&amp;AI$5&amp;"'!C6:C1000"),$AA86,INDIRECT("'"&amp;AI$5&amp;"'!F6:F1000"),"箱")+SUMIFS(INDIRECT("'"&amp;AI$5&amp;"'!E6:E1000"),INDIRECT("'"&amp;AI$5&amp;"'!C6:C1000"),$AA86,INDIRECT("'"&amp;AI$5&amp;"'!F6:F1000"),"件"))</f>
        <v>0</v>
      </c>
      <c r="BH86">
        <f>IF(OR($AA86="",AJ$5=""),0,SUMIFS(INDIRECT("'"&amp;AJ$5&amp;"'!E6:E1000"),INDIRECT("'"&amp;AJ$5&amp;"'!C6:C1000"),$AA86,INDIRECT("'"&amp;AJ$5&amp;"'!F6:F1000"),"箱")+SUMIFS(INDIRECT("'"&amp;AJ$5&amp;"'!E6:E1000"),INDIRECT("'"&amp;AJ$5&amp;"'!C6:C1000"),$AA86,INDIRECT("'"&amp;AJ$5&amp;"'!F6:F1000"),"件"))</f>
        <v>0</v>
      </c>
      <c r="BI86">
        <f>IF(OR($AA86="",AK$5=""),0,SUMIFS(INDIRECT("'"&amp;AK$5&amp;"'!E6:E1000"),INDIRECT("'"&amp;AK$5&amp;"'!C6:C1000"),$AA86,INDIRECT("'"&amp;AK$5&amp;"'!F6:F1000"),"箱")+SUMIFS(INDIRECT("'"&amp;AK$5&amp;"'!E6:E1000"),INDIRECT("'"&amp;AK$5&amp;"'!C6:C1000"),$AA86,INDIRECT("'"&amp;AK$5&amp;"'!F6:F1000"),"件"))</f>
        <v>0</v>
      </c>
      <c r="BJ86">
        <f>IF(OR($AA86="",AL$5=""),0,SUMIFS(INDIRECT("'"&amp;AL$5&amp;"'!E6:E1000"),INDIRECT("'"&amp;AL$5&amp;"'!C6:C1000"),$AA86,INDIRECT("'"&amp;AL$5&amp;"'!F6:F1000"),"箱")+SUMIFS(INDIRECT("'"&amp;AL$5&amp;"'!E6:E1000"),INDIRECT("'"&amp;AL$5&amp;"'!C6:C1000"),$AA86,INDIRECT("'"&amp;AL$5&amp;"'!F6:F1000"),"件"))</f>
        <v>0</v>
      </c>
      <c r="BK86">
        <f>IF(OR($AA86="",AM$5=""),0,SUMIFS(INDIRECT("'"&amp;AM$5&amp;"'!E6:E1000"),INDIRECT("'"&amp;AM$5&amp;"'!C6:C1000"),$AA86,INDIRECT("'"&amp;AM$5&amp;"'!F6:F1000"),"箱")+SUMIFS(INDIRECT("'"&amp;AM$5&amp;"'!E6:E1000"),INDIRECT("'"&amp;AM$5&amp;"'!C6:C1000"),$AA86,INDIRECT("'"&amp;AM$5&amp;"'!F6:F1000"),"件"))</f>
        <v>0</v>
      </c>
      <c r="BL86">
        <f>IF(OR($AA86="",AN$5=""),0,SUMIFS(INDIRECT("'"&amp;AN$5&amp;"'!E6:E1000"),INDIRECT("'"&amp;AN$5&amp;"'!C6:C1000"),$AA86,INDIRECT("'"&amp;AN$5&amp;"'!F6:F1000"),"箱")+SUMIFS(INDIRECT("'"&amp;AN$5&amp;"'!E6:E1000"),INDIRECT("'"&amp;AN$5&amp;"'!C6:C1000"),$AA86,INDIRECT("'"&amp;AN$5&amp;"'!F6:F1000"),"件"))</f>
        <v>0</v>
      </c>
      <c r="BM86">
        <f>(AO86-BA86)/$AB86+BA86</f>
        <v>0</v>
      </c>
      <c r="BN86">
        <f>(AP86-BB86)/$AB86+BB86</f>
        <v>0</v>
      </c>
      <c r="BO86">
        <f>(AQ86-BC86)/$AB86+BC86</f>
        <v>0</v>
      </c>
      <c r="BP86">
        <f>(AR86-BD86)/$AB86+BD86</f>
        <v>0</v>
      </c>
      <c r="BQ86">
        <f>(AS86-BE86)/$AB86+BE86</f>
        <v>0</v>
      </c>
      <c r="BR86">
        <f>(AT86-BF86)/$AB86+BF86</f>
        <v>0</v>
      </c>
      <c r="BS86">
        <f>(AU86-BG86)/$AB86+BG86</f>
        <v>0</v>
      </c>
      <c r="BT86">
        <f>(AV86-BH86)/$AB86+BH86</f>
        <v>0</v>
      </c>
      <c r="BU86">
        <f>(AW86-BI86)/$AB86+BI86</f>
        <v>0</v>
      </c>
      <c r="BV86">
        <f>(AX86-BJ86)/$AB86+BJ86</f>
        <v>0</v>
      </c>
      <c r="BW86">
        <f>(AY86-BK86)/$AB86+BK86</f>
        <v>0</v>
      </c>
      <c r="BX86">
        <f>(AZ86-BL86)/$AB86+BL86</f>
        <v>0</v>
      </c>
      <c r="BY86">
        <f>SUMPRODUCT((($AC$4:$AN$4=报损汇总一览!$A$3)+(报损汇总一览!$A$3="全年"))*AC86:AN86)</f>
        <v>0</v>
      </c>
      <c r="BZ86">
        <f>IF(BY86&gt;0,BY86+(1000-ROW())/10000000,"")</f>
      </c>
      <c r="CA86">
        <f>SUMPRODUCT((($AC$4:$AN$4=报损汇总一览!$A$3)+(报损汇总一览!$A$3="全年"))*AO86:AZ86)</f>
        <v>0</v>
      </c>
    </row>
    <row r="87">
      <c r="A87">
        <f>IF(OR(存条明细!C87="",存条明细!D87=""),"",IF(COUNTIFS(存条明细!$C$4:C87,存条明细!C87,存条明细!$D$4:D87,存条明细!D87)&gt;1,"",IFERROR(MATCH(存条明细!C87,总览汇总!$B$5:$B$304,0),900)*10000000+IFERROR(MATCH(存条明细!D87,基础资料!$E$5:$E$104,0),900)*10000+ROW()))</f>
        <v>200080087</v>
      </c>
      <c r="B87">
        <f>IFERROR(MATCH(SMALL($A$4:$A$4003,84),$A$4:$A$4003,0),"")</f>
        <v>1082</v>
      </c>
      <c r="D87">
        <f>IF(AND(商品库存!B87&lt;&gt;"",商品库存!B87=客户查询!$B$4),COUNTIF(商品库存!$B$4:B87,客户查询!$B$4),"")</f>
      </c>
      <c r="E87">
        <f>IF(AND(商品库存!B87&lt;&gt;"",商品库存!B87=客户对账单!$B$4),COUNTIF(商品库存!$B$4:B87,客户对账单!$B$4),"")</f>
      </c>
      <c r="F87">
        <f>IF(AND(出库明细!C87&lt;&gt;"",出库明细!C87=客户对账单!$B$4,ISNUMBER(出库明细!B87),出库明细!B87&gt;=客户对账单!$G$4,出库明细!B87&lt;=客户对账单!$I$4),出库明细!B87+ROW()/100000,"")</f>
      </c>
      <c r="H87">
        <f>IF(AND(采购进货!C87&lt;&gt;"",采购进货!C87=供应商对账单!$B$4,ISNUMBER(采购进货!B87),采购进货!B87&gt;=供应商对账单!$G$4,采购进货!B87&lt;=供应商对账单!$I$4),采购进货!B87+ROW()/100000,"")</f>
      </c>
      <c r="J87">
        <f>IF(总览汇总!$B87="","",N(总览汇总!$K87)+SUMIFS(出库明细!$G$4:$G$3003,出库明细!$C$4:$C$3003,总览汇总!$B87,出库明细!$B$4:$B$3003,"&gt;="&amp;年初日,出库明细!$B$4:$B$3003,"&lt;="&amp;资产负债表!$D$3)-SUMIFS(资金台帐!$S$7:$S$3006,资金台帐!$J$7:$J$3006,总览汇总!$B87,资金台帐!$P$7:$P$3006,"应收",资金台帐!$B$7:$B$3006,"&gt;="&amp;年初日,资金台帐!$B$7:$B$3006,"&lt;="&amp;资产负债表!$D$3))</f>
      </c>
      <c r="N87">
        <f>IF(AND(ISNUMBER(出库明细!G87),ISNUMBER(出库明细!E87),ISNUMBER(出库明细!F87)),IF(ABS(出库明细!G87-出库明细!E87*出库明细!F87)&gt;0.005,1,0),0)</f>
        <v>0</v>
      </c>
      <c r="O87">
        <f>IF(AND(ISNUMBER(存条明细!G87),ISNUMBER(存条明细!E87),ISNUMBER(存条明细!F87)),IF(ABS(存条明细!G87-存条明细!E87*存条明细!F87)&gt;0.005,1,0),0)</f>
        <v>0</v>
      </c>
      <c r="AA87">
        <f>IF(基础资料!G86="","",基础资料!G86&amp;"")</f>
      </c>
      <c r="AB87">
        <f>IF(N(基础资料!I86)&lt;=0,1,基础资料!I86)</f>
        <v>1</v>
      </c>
      <c r="AC87">
        <f>IF(OR($AA87="",AC$5=""),0,SUMIF(INDIRECT("'"&amp;AC$5&amp;"'!C6:C1000"),$AA87,INDIRECT("'"&amp;AC$5&amp;"'!H6:H1000")))</f>
        <v>0</v>
      </c>
      <c r="AD87">
        <f>IF(OR($AA87="",AD$5=""),0,SUMIF(INDIRECT("'"&amp;AD$5&amp;"'!C6:C1000"),$AA87,INDIRECT("'"&amp;AD$5&amp;"'!H6:H1000")))</f>
        <v>0</v>
      </c>
      <c r="AE87">
        <f>IF(OR($AA87="",AE$5=""),0,SUMIF(INDIRECT("'"&amp;AE$5&amp;"'!C6:C1000"),$AA87,INDIRECT("'"&amp;AE$5&amp;"'!H6:H1000")))</f>
        <v>0</v>
      </c>
      <c r="AF87">
        <f>IF(OR($AA87="",AF$5=""),0,SUMIF(INDIRECT("'"&amp;AF$5&amp;"'!C6:C1000"),$AA87,INDIRECT("'"&amp;AF$5&amp;"'!H6:H1000")))</f>
        <v>0</v>
      </c>
      <c r="AG87">
        <f>IF(OR($AA87="",AG$5=""),0,SUMIF(INDIRECT("'"&amp;AG$5&amp;"'!C6:C1000"),$AA87,INDIRECT("'"&amp;AG$5&amp;"'!H6:H1000")))</f>
        <v>0</v>
      </c>
      <c r="AH87">
        <f>IF(OR($AA87="",AH$5=""),0,SUMIF(INDIRECT("'"&amp;AH$5&amp;"'!C6:C1000"),$AA87,INDIRECT("'"&amp;AH$5&amp;"'!H6:H1000")))</f>
        <v>0</v>
      </c>
      <c r="AI87">
        <f>IF(OR($AA87="",AI$5=""),0,SUMIF(INDIRECT("'"&amp;AI$5&amp;"'!C6:C1000"),$AA87,INDIRECT("'"&amp;AI$5&amp;"'!H6:H1000")))</f>
        <v>0</v>
      </c>
      <c r="AJ87">
        <f>IF(OR($AA87="",AJ$5=""),0,SUMIF(INDIRECT("'"&amp;AJ$5&amp;"'!C6:C1000"),$AA87,INDIRECT("'"&amp;AJ$5&amp;"'!H6:H1000")))</f>
        <v>0</v>
      </c>
      <c r="AK87">
        <f>IF(OR($AA87="",AK$5=""),0,SUMIF(INDIRECT("'"&amp;AK$5&amp;"'!C6:C1000"),$AA87,INDIRECT("'"&amp;AK$5&amp;"'!H6:H1000")))</f>
        <v>0</v>
      </c>
      <c r="AL87">
        <f>IF(OR($AA87="",AL$5=""),0,SUMIF(INDIRECT("'"&amp;AL$5&amp;"'!C6:C1000"),$AA87,INDIRECT("'"&amp;AL$5&amp;"'!H6:H1000")))</f>
        <v>0</v>
      </c>
      <c r="AM87">
        <f>IF(OR($AA87="",AM$5=""),0,SUMIF(INDIRECT("'"&amp;AM$5&amp;"'!C6:C1000"),$AA87,INDIRECT("'"&amp;AM$5&amp;"'!H6:H1000")))</f>
        <v>0</v>
      </c>
      <c r="AN87">
        <f>IF(OR($AA87="",AN$5=""),0,SUMIF(INDIRECT("'"&amp;AN$5&amp;"'!C6:C1000"),$AA87,INDIRECT("'"&amp;AN$5&amp;"'!H6:H1000")))</f>
        <v>0</v>
      </c>
      <c r="AO87">
        <f>IF(OR($AA87="",AC$5=""),0,SUMIF(INDIRECT("'"&amp;AC$5&amp;"'!C6:C1000"),$AA87,INDIRECT("'"&amp;AC$5&amp;"'!E6:E1000")))</f>
        <v>0</v>
      </c>
      <c r="AP87">
        <f>IF(OR($AA87="",AD$5=""),0,SUMIF(INDIRECT("'"&amp;AD$5&amp;"'!C6:C1000"),$AA87,INDIRECT("'"&amp;AD$5&amp;"'!E6:E1000")))</f>
        <v>0</v>
      </c>
      <c r="AQ87">
        <f>IF(OR($AA87="",AE$5=""),0,SUMIF(INDIRECT("'"&amp;AE$5&amp;"'!C6:C1000"),$AA87,INDIRECT("'"&amp;AE$5&amp;"'!E6:E1000")))</f>
        <v>0</v>
      </c>
      <c r="AR87">
        <f>IF(OR($AA87="",AF$5=""),0,SUMIF(INDIRECT("'"&amp;AF$5&amp;"'!C6:C1000"),$AA87,INDIRECT("'"&amp;AF$5&amp;"'!E6:E1000")))</f>
        <v>0</v>
      </c>
      <c r="AS87">
        <f>IF(OR($AA87="",AG$5=""),0,SUMIF(INDIRECT("'"&amp;AG$5&amp;"'!C6:C1000"),$AA87,INDIRECT("'"&amp;AG$5&amp;"'!E6:E1000")))</f>
        <v>0</v>
      </c>
      <c r="AT87">
        <f>IF(OR($AA87="",AH$5=""),0,SUMIF(INDIRECT("'"&amp;AH$5&amp;"'!C6:C1000"),$AA87,INDIRECT("'"&amp;AH$5&amp;"'!E6:E1000")))</f>
        <v>0</v>
      </c>
      <c r="AU87">
        <f>IF(OR($AA87="",AI$5=""),0,SUMIF(INDIRECT("'"&amp;AI$5&amp;"'!C6:C1000"),$AA87,INDIRECT("'"&amp;AI$5&amp;"'!E6:E1000")))</f>
        <v>0</v>
      </c>
      <c r="AV87">
        <f>IF(OR($AA87="",AJ$5=""),0,SUMIF(INDIRECT("'"&amp;AJ$5&amp;"'!C6:C1000"),$AA87,INDIRECT("'"&amp;AJ$5&amp;"'!E6:E1000")))</f>
        <v>0</v>
      </c>
      <c r="AW87">
        <f>IF(OR($AA87="",AK$5=""),0,SUMIF(INDIRECT("'"&amp;AK$5&amp;"'!C6:C1000"),$AA87,INDIRECT("'"&amp;AK$5&amp;"'!E6:E1000")))</f>
        <v>0</v>
      </c>
      <c r="AX87">
        <f>IF(OR($AA87="",AL$5=""),0,SUMIF(INDIRECT("'"&amp;AL$5&amp;"'!C6:C1000"),$AA87,INDIRECT("'"&amp;AL$5&amp;"'!E6:E1000")))</f>
        <v>0</v>
      </c>
      <c r="AY87">
        <f>IF(OR($AA87="",AM$5=""),0,SUMIF(INDIRECT("'"&amp;AM$5&amp;"'!C6:C1000"),$AA87,INDIRECT("'"&amp;AM$5&amp;"'!E6:E1000")))</f>
        <v>0</v>
      </c>
      <c r="AZ87">
        <f>IF(OR($AA87="",AN$5=""),0,SUMIF(INDIRECT("'"&amp;AN$5&amp;"'!C6:C1000"),$AA87,INDIRECT("'"&amp;AN$5&amp;"'!E6:E1000")))</f>
        <v>0</v>
      </c>
      <c r="BA87">
        <f>IF(OR($AA87="",AC$5=""),0,SUMIFS(INDIRECT("'"&amp;AC$5&amp;"'!E6:E1000"),INDIRECT("'"&amp;AC$5&amp;"'!C6:C1000"),$AA87,INDIRECT("'"&amp;AC$5&amp;"'!F6:F1000"),"箱")+SUMIFS(INDIRECT("'"&amp;AC$5&amp;"'!E6:E1000"),INDIRECT("'"&amp;AC$5&amp;"'!C6:C1000"),$AA87,INDIRECT("'"&amp;AC$5&amp;"'!F6:F1000"),"件"))</f>
        <v>0</v>
      </c>
      <c r="BB87">
        <f>IF(OR($AA87="",AD$5=""),0,SUMIFS(INDIRECT("'"&amp;AD$5&amp;"'!E6:E1000"),INDIRECT("'"&amp;AD$5&amp;"'!C6:C1000"),$AA87,INDIRECT("'"&amp;AD$5&amp;"'!F6:F1000"),"箱")+SUMIFS(INDIRECT("'"&amp;AD$5&amp;"'!E6:E1000"),INDIRECT("'"&amp;AD$5&amp;"'!C6:C1000"),$AA87,INDIRECT("'"&amp;AD$5&amp;"'!F6:F1000"),"件"))</f>
        <v>0</v>
      </c>
      <c r="BC87">
        <f>IF(OR($AA87="",AE$5=""),0,SUMIFS(INDIRECT("'"&amp;AE$5&amp;"'!E6:E1000"),INDIRECT("'"&amp;AE$5&amp;"'!C6:C1000"),$AA87,INDIRECT("'"&amp;AE$5&amp;"'!F6:F1000"),"箱")+SUMIFS(INDIRECT("'"&amp;AE$5&amp;"'!E6:E1000"),INDIRECT("'"&amp;AE$5&amp;"'!C6:C1000"),$AA87,INDIRECT("'"&amp;AE$5&amp;"'!F6:F1000"),"件"))</f>
        <v>0</v>
      </c>
      <c r="BD87">
        <f>IF(OR($AA87="",AF$5=""),0,SUMIFS(INDIRECT("'"&amp;AF$5&amp;"'!E6:E1000"),INDIRECT("'"&amp;AF$5&amp;"'!C6:C1000"),$AA87,INDIRECT("'"&amp;AF$5&amp;"'!F6:F1000"),"箱")+SUMIFS(INDIRECT("'"&amp;AF$5&amp;"'!E6:E1000"),INDIRECT("'"&amp;AF$5&amp;"'!C6:C1000"),$AA87,INDIRECT("'"&amp;AF$5&amp;"'!F6:F1000"),"件"))</f>
        <v>0</v>
      </c>
      <c r="BE87">
        <f>IF(OR($AA87="",AG$5=""),0,SUMIFS(INDIRECT("'"&amp;AG$5&amp;"'!E6:E1000"),INDIRECT("'"&amp;AG$5&amp;"'!C6:C1000"),$AA87,INDIRECT("'"&amp;AG$5&amp;"'!F6:F1000"),"箱")+SUMIFS(INDIRECT("'"&amp;AG$5&amp;"'!E6:E1000"),INDIRECT("'"&amp;AG$5&amp;"'!C6:C1000"),$AA87,INDIRECT("'"&amp;AG$5&amp;"'!F6:F1000"),"件"))</f>
        <v>0</v>
      </c>
      <c r="BF87">
        <f>IF(OR($AA87="",AH$5=""),0,SUMIFS(INDIRECT("'"&amp;AH$5&amp;"'!E6:E1000"),INDIRECT("'"&amp;AH$5&amp;"'!C6:C1000"),$AA87,INDIRECT("'"&amp;AH$5&amp;"'!F6:F1000"),"箱")+SUMIFS(INDIRECT("'"&amp;AH$5&amp;"'!E6:E1000"),INDIRECT("'"&amp;AH$5&amp;"'!C6:C1000"),$AA87,INDIRECT("'"&amp;AH$5&amp;"'!F6:F1000"),"件"))</f>
        <v>0</v>
      </c>
      <c r="BG87">
        <f>IF(OR($AA87="",AI$5=""),0,SUMIFS(INDIRECT("'"&amp;AI$5&amp;"'!E6:E1000"),INDIRECT("'"&amp;AI$5&amp;"'!C6:C1000"),$AA87,INDIRECT("'"&amp;AI$5&amp;"'!F6:F1000"),"箱")+SUMIFS(INDIRECT("'"&amp;AI$5&amp;"'!E6:E1000"),INDIRECT("'"&amp;AI$5&amp;"'!C6:C1000"),$AA87,INDIRECT("'"&amp;AI$5&amp;"'!F6:F1000"),"件"))</f>
        <v>0</v>
      </c>
      <c r="BH87">
        <f>IF(OR($AA87="",AJ$5=""),0,SUMIFS(INDIRECT("'"&amp;AJ$5&amp;"'!E6:E1000"),INDIRECT("'"&amp;AJ$5&amp;"'!C6:C1000"),$AA87,INDIRECT("'"&amp;AJ$5&amp;"'!F6:F1000"),"箱")+SUMIFS(INDIRECT("'"&amp;AJ$5&amp;"'!E6:E1000"),INDIRECT("'"&amp;AJ$5&amp;"'!C6:C1000"),$AA87,INDIRECT("'"&amp;AJ$5&amp;"'!F6:F1000"),"件"))</f>
        <v>0</v>
      </c>
      <c r="BI87">
        <f>IF(OR($AA87="",AK$5=""),0,SUMIFS(INDIRECT("'"&amp;AK$5&amp;"'!E6:E1000"),INDIRECT("'"&amp;AK$5&amp;"'!C6:C1000"),$AA87,INDIRECT("'"&amp;AK$5&amp;"'!F6:F1000"),"箱")+SUMIFS(INDIRECT("'"&amp;AK$5&amp;"'!E6:E1000"),INDIRECT("'"&amp;AK$5&amp;"'!C6:C1000"),$AA87,INDIRECT("'"&amp;AK$5&amp;"'!F6:F1000"),"件"))</f>
        <v>0</v>
      </c>
      <c r="BJ87">
        <f>IF(OR($AA87="",AL$5=""),0,SUMIFS(INDIRECT("'"&amp;AL$5&amp;"'!E6:E1000"),INDIRECT("'"&amp;AL$5&amp;"'!C6:C1000"),$AA87,INDIRECT("'"&amp;AL$5&amp;"'!F6:F1000"),"箱")+SUMIFS(INDIRECT("'"&amp;AL$5&amp;"'!E6:E1000"),INDIRECT("'"&amp;AL$5&amp;"'!C6:C1000"),$AA87,INDIRECT("'"&amp;AL$5&amp;"'!F6:F1000"),"件"))</f>
        <v>0</v>
      </c>
      <c r="BK87">
        <f>IF(OR($AA87="",AM$5=""),0,SUMIFS(INDIRECT("'"&amp;AM$5&amp;"'!E6:E1000"),INDIRECT("'"&amp;AM$5&amp;"'!C6:C1000"),$AA87,INDIRECT("'"&amp;AM$5&amp;"'!F6:F1000"),"箱")+SUMIFS(INDIRECT("'"&amp;AM$5&amp;"'!E6:E1000"),INDIRECT("'"&amp;AM$5&amp;"'!C6:C1000"),$AA87,INDIRECT("'"&amp;AM$5&amp;"'!F6:F1000"),"件"))</f>
        <v>0</v>
      </c>
      <c r="BL87">
        <f>IF(OR($AA87="",AN$5=""),0,SUMIFS(INDIRECT("'"&amp;AN$5&amp;"'!E6:E1000"),INDIRECT("'"&amp;AN$5&amp;"'!C6:C1000"),$AA87,INDIRECT("'"&amp;AN$5&amp;"'!F6:F1000"),"箱")+SUMIFS(INDIRECT("'"&amp;AN$5&amp;"'!E6:E1000"),INDIRECT("'"&amp;AN$5&amp;"'!C6:C1000"),$AA87,INDIRECT("'"&amp;AN$5&amp;"'!F6:F1000"),"件"))</f>
        <v>0</v>
      </c>
      <c r="BM87">
        <f>(AO87-BA87)/$AB87+BA87</f>
        <v>0</v>
      </c>
      <c r="BN87">
        <f>(AP87-BB87)/$AB87+BB87</f>
        <v>0</v>
      </c>
      <c r="BO87">
        <f>(AQ87-BC87)/$AB87+BC87</f>
        <v>0</v>
      </c>
      <c r="BP87">
        <f>(AR87-BD87)/$AB87+BD87</f>
        <v>0</v>
      </c>
      <c r="BQ87">
        <f>(AS87-BE87)/$AB87+BE87</f>
        <v>0</v>
      </c>
      <c r="BR87">
        <f>(AT87-BF87)/$AB87+BF87</f>
        <v>0</v>
      </c>
      <c r="BS87">
        <f>(AU87-BG87)/$AB87+BG87</f>
        <v>0</v>
      </c>
      <c r="BT87">
        <f>(AV87-BH87)/$AB87+BH87</f>
        <v>0</v>
      </c>
      <c r="BU87">
        <f>(AW87-BI87)/$AB87+BI87</f>
        <v>0</v>
      </c>
      <c r="BV87">
        <f>(AX87-BJ87)/$AB87+BJ87</f>
        <v>0</v>
      </c>
      <c r="BW87">
        <f>(AY87-BK87)/$AB87+BK87</f>
        <v>0</v>
      </c>
      <c r="BX87">
        <f>(AZ87-BL87)/$AB87+BL87</f>
        <v>0</v>
      </c>
      <c r="BY87">
        <f>SUMPRODUCT((($AC$4:$AN$4=报损汇总一览!$A$3)+(报损汇总一览!$A$3="全年"))*AC87:AN87)</f>
        <v>0</v>
      </c>
      <c r="BZ87">
        <f>IF(BY87&gt;0,BY87+(1000-ROW())/10000000,"")</f>
      </c>
      <c r="CA87">
        <f>SUMPRODUCT((($AC$4:$AN$4=报损汇总一览!$A$3)+(报损汇总一览!$A$3="全年"))*AO87:AZ87)</f>
        <v>0</v>
      </c>
    </row>
    <row r="88">
      <c r="A88">
        <f>IF(OR(存条明细!C88="",存条明细!D88=""),"",IF(COUNTIFS(存条明细!$C$4:C88,存条明细!C88,存条明细!$D$4:D88,存条明细!D88)&gt;1,"",IFERROR(MATCH(存条明细!C88,总览汇总!$B$5:$B$304,0),900)*10000000+IFERROR(MATCH(存条明细!D88,基础资料!$E$5:$E$104,0),900)*10000+ROW()))</f>
        <v>200070088</v>
      </c>
      <c r="B88">
        <f>IFERROR(MATCH(SMALL($A$4:$A$4003,85),$A$4:$A$4003,0),"")</f>
        <v>53</v>
      </c>
      <c r="D88">
        <f>IF(AND(商品库存!B88&lt;&gt;"",商品库存!B88=客户查询!$B$4),COUNTIF(商品库存!$B$4:B88,客户查询!$B$4),"")</f>
      </c>
      <c r="E88">
        <f>IF(AND(商品库存!B88&lt;&gt;"",商品库存!B88=客户对账单!$B$4),COUNTIF(商品库存!$B$4:B88,客户对账单!$B$4),"")</f>
      </c>
      <c r="F88">
        <f>IF(AND(出库明细!C88&lt;&gt;"",出库明细!C88=客户对账单!$B$4,ISNUMBER(出库明细!B88),出库明细!B88&gt;=客户对账单!$G$4,出库明细!B88&lt;=客户对账单!$I$4),出库明细!B88+ROW()/100000,"")</f>
      </c>
      <c r="H88">
        <f>IF(AND(采购进货!C88&lt;&gt;"",采购进货!C88=供应商对账单!$B$4,ISNUMBER(采购进货!B88),采购进货!B88&gt;=供应商对账单!$G$4,采购进货!B88&lt;=供应商对账单!$I$4),采购进货!B88+ROW()/100000,"")</f>
      </c>
      <c r="J88">
        <f>IF(总览汇总!$B88="","",N(总览汇总!$K88)+SUMIFS(出库明细!$G$4:$G$3003,出库明细!$C$4:$C$3003,总览汇总!$B88,出库明细!$B$4:$B$3003,"&gt;="&amp;年初日,出库明细!$B$4:$B$3003,"&lt;="&amp;资产负债表!$D$3)-SUMIFS(资金台帐!$S$7:$S$3006,资金台帐!$J$7:$J$3006,总览汇总!$B88,资金台帐!$P$7:$P$3006,"应收",资金台帐!$B$7:$B$3006,"&gt;="&amp;年初日,资金台帐!$B$7:$B$3006,"&lt;="&amp;资产负债表!$D$3))</f>
      </c>
      <c r="N88">
        <f>IF(AND(ISNUMBER(出库明细!G88),ISNUMBER(出库明细!E88),ISNUMBER(出库明细!F88)),IF(ABS(出库明细!G88-出库明细!E88*出库明细!F88)&gt;0.005,1,0),0)</f>
        <v>0</v>
      </c>
      <c r="O88">
        <f>IF(AND(ISNUMBER(存条明细!G88),ISNUMBER(存条明细!E88),ISNUMBER(存条明细!F88)),IF(ABS(存条明细!G88-存条明细!E88*存条明细!F88)&gt;0.005,1,0),0)</f>
        <v>0</v>
      </c>
      <c r="AA88">
        <f>IF(基础资料!G87="","",基础资料!G87&amp;"")</f>
      </c>
      <c r="AB88">
        <f>IF(N(基础资料!I87)&lt;=0,1,基础资料!I87)</f>
        <v>1</v>
      </c>
      <c r="AC88">
        <f>IF(OR($AA88="",AC$5=""),0,SUMIF(INDIRECT("'"&amp;AC$5&amp;"'!C6:C1000"),$AA88,INDIRECT("'"&amp;AC$5&amp;"'!H6:H1000")))</f>
        <v>0</v>
      </c>
      <c r="AD88">
        <f>IF(OR($AA88="",AD$5=""),0,SUMIF(INDIRECT("'"&amp;AD$5&amp;"'!C6:C1000"),$AA88,INDIRECT("'"&amp;AD$5&amp;"'!H6:H1000")))</f>
        <v>0</v>
      </c>
      <c r="AE88">
        <f>IF(OR($AA88="",AE$5=""),0,SUMIF(INDIRECT("'"&amp;AE$5&amp;"'!C6:C1000"),$AA88,INDIRECT("'"&amp;AE$5&amp;"'!H6:H1000")))</f>
        <v>0</v>
      </c>
      <c r="AF88">
        <f>IF(OR($AA88="",AF$5=""),0,SUMIF(INDIRECT("'"&amp;AF$5&amp;"'!C6:C1000"),$AA88,INDIRECT("'"&amp;AF$5&amp;"'!H6:H1000")))</f>
        <v>0</v>
      </c>
      <c r="AG88">
        <f>IF(OR($AA88="",AG$5=""),0,SUMIF(INDIRECT("'"&amp;AG$5&amp;"'!C6:C1000"),$AA88,INDIRECT("'"&amp;AG$5&amp;"'!H6:H1000")))</f>
        <v>0</v>
      </c>
      <c r="AH88">
        <f>IF(OR($AA88="",AH$5=""),0,SUMIF(INDIRECT("'"&amp;AH$5&amp;"'!C6:C1000"),$AA88,INDIRECT("'"&amp;AH$5&amp;"'!H6:H1000")))</f>
        <v>0</v>
      </c>
      <c r="AI88">
        <f>IF(OR($AA88="",AI$5=""),0,SUMIF(INDIRECT("'"&amp;AI$5&amp;"'!C6:C1000"),$AA88,INDIRECT("'"&amp;AI$5&amp;"'!H6:H1000")))</f>
        <v>0</v>
      </c>
      <c r="AJ88">
        <f>IF(OR($AA88="",AJ$5=""),0,SUMIF(INDIRECT("'"&amp;AJ$5&amp;"'!C6:C1000"),$AA88,INDIRECT("'"&amp;AJ$5&amp;"'!H6:H1000")))</f>
        <v>0</v>
      </c>
      <c r="AK88">
        <f>IF(OR($AA88="",AK$5=""),0,SUMIF(INDIRECT("'"&amp;AK$5&amp;"'!C6:C1000"),$AA88,INDIRECT("'"&amp;AK$5&amp;"'!H6:H1000")))</f>
        <v>0</v>
      </c>
      <c r="AL88">
        <f>IF(OR($AA88="",AL$5=""),0,SUMIF(INDIRECT("'"&amp;AL$5&amp;"'!C6:C1000"),$AA88,INDIRECT("'"&amp;AL$5&amp;"'!H6:H1000")))</f>
        <v>0</v>
      </c>
      <c r="AM88">
        <f>IF(OR($AA88="",AM$5=""),0,SUMIF(INDIRECT("'"&amp;AM$5&amp;"'!C6:C1000"),$AA88,INDIRECT("'"&amp;AM$5&amp;"'!H6:H1000")))</f>
        <v>0</v>
      </c>
      <c r="AN88">
        <f>IF(OR($AA88="",AN$5=""),0,SUMIF(INDIRECT("'"&amp;AN$5&amp;"'!C6:C1000"),$AA88,INDIRECT("'"&amp;AN$5&amp;"'!H6:H1000")))</f>
        <v>0</v>
      </c>
      <c r="AO88">
        <f>IF(OR($AA88="",AC$5=""),0,SUMIF(INDIRECT("'"&amp;AC$5&amp;"'!C6:C1000"),$AA88,INDIRECT("'"&amp;AC$5&amp;"'!E6:E1000")))</f>
        <v>0</v>
      </c>
      <c r="AP88">
        <f>IF(OR($AA88="",AD$5=""),0,SUMIF(INDIRECT("'"&amp;AD$5&amp;"'!C6:C1000"),$AA88,INDIRECT("'"&amp;AD$5&amp;"'!E6:E1000")))</f>
        <v>0</v>
      </c>
      <c r="AQ88">
        <f>IF(OR($AA88="",AE$5=""),0,SUMIF(INDIRECT("'"&amp;AE$5&amp;"'!C6:C1000"),$AA88,INDIRECT("'"&amp;AE$5&amp;"'!E6:E1000")))</f>
        <v>0</v>
      </c>
      <c r="AR88">
        <f>IF(OR($AA88="",AF$5=""),0,SUMIF(INDIRECT("'"&amp;AF$5&amp;"'!C6:C1000"),$AA88,INDIRECT("'"&amp;AF$5&amp;"'!E6:E1000")))</f>
        <v>0</v>
      </c>
      <c r="AS88">
        <f>IF(OR($AA88="",AG$5=""),0,SUMIF(INDIRECT("'"&amp;AG$5&amp;"'!C6:C1000"),$AA88,INDIRECT("'"&amp;AG$5&amp;"'!E6:E1000")))</f>
        <v>0</v>
      </c>
      <c r="AT88">
        <f>IF(OR($AA88="",AH$5=""),0,SUMIF(INDIRECT("'"&amp;AH$5&amp;"'!C6:C1000"),$AA88,INDIRECT("'"&amp;AH$5&amp;"'!E6:E1000")))</f>
        <v>0</v>
      </c>
      <c r="AU88">
        <f>IF(OR($AA88="",AI$5=""),0,SUMIF(INDIRECT("'"&amp;AI$5&amp;"'!C6:C1000"),$AA88,INDIRECT("'"&amp;AI$5&amp;"'!E6:E1000")))</f>
        <v>0</v>
      </c>
      <c r="AV88">
        <f>IF(OR($AA88="",AJ$5=""),0,SUMIF(INDIRECT("'"&amp;AJ$5&amp;"'!C6:C1000"),$AA88,INDIRECT("'"&amp;AJ$5&amp;"'!E6:E1000")))</f>
        <v>0</v>
      </c>
      <c r="AW88">
        <f>IF(OR($AA88="",AK$5=""),0,SUMIF(INDIRECT("'"&amp;AK$5&amp;"'!C6:C1000"),$AA88,INDIRECT("'"&amp;AK$5&amp;"'!E6:E1000")))</f>
        <v>0</v>
      </c>
      <c r="AX88">
        <f>IF(OR($AA88="",AL$5=""),0,SUMIF(INDIRECT("'"&amp;AL$5&amp;"'!C6:C1000"),$AA88,INDIRECT("'"&amp;AL$5&amp;"'!E6:E1000")))</f>
        <v>0</v>
      </c>
      <c r="AY88">
        <f>IF(OR($AA88="",AM$5=""),0,SUMIF(INDIRECT("'"&amp;AM$5&amp;"'!C6:C1000"),$AA88,INDIRECT("'"&amp;AM$5&amp;"'!E6:E1000")))</f>
        <v>0</v>
      </c>
      <c r="AZ88">
        <f>IF(OR($AA88="",AN$5=""),0,SUMIF(INDIRECT("'"&amp;AN$5&amp;"'!C6:C1000"),$AA88,INDIRECT("'"&amp;AN$5&amp;"'!E6:E1000")))</f>
        <v>0</v>
      </c>
      <c r="BA88">
        <f>IF(OR($AA88="",AC$5=""),0,SUMIFS(INDIRECT("'"&amp;AC$5&amp;"'!E6:E1000"),INDIRECT("'"&amp;AC$5&amp;"'!C6:C1000"),$AA88,INDIRECT("'"&amp;AC$5&amp;"'!F6:F1000"),"箱")+SUMIFS(INDIRECT("'"&amp;AC$5&amp;"'!E6:E1000"),INDIRECT("'"&amp;AC$5&amp;"'!C6:C1000"),$AA88,INDIRECT("'"&amp;AC$5&amp;"'!F6:F1000"),"件"))</f>
        <v>0</v>
      </c>
      <c r="BB88">
        <f>IF(OR($AA88="",AD$5=""),0,SUMIFS(INDIRECT("'"&amp;AD$5&amp;"'!E6:E1000"),INDIRECT("'"&amp;AD$5&amp;"'!C6:C1000"),$AA88,INDIRECT("'"&amp;AD$5&amp;"'!F6:F1000"),"箱")+SUMIFS(INDIRECT("'"&amp;AD$5&amp;"'!E6:E1000"),INDIRECT("'"&amp;AD$5&amp;"'!C6:C1000"),$AA88,INDIRECT("'"&amp;AD$5&amp;"'!F6:F1000"),"件"))</f>
        <v>0</v>
      </c>
      <c r="BC88">
        <f>IF(OR($AA88="",AE$5=""),0,SUMIFS(INDIRECT("'"&amp;AE$5&amp;"'!E6:E1000"),INDIRECT("'"&amp;AE$5&amp;"'!C6:C1000"),$AA88,INDIRECT("'"&amp;AE$5&amp;"'!F6:F1000"),"箱")+SUMIFS(INDIRECT("'"&amp;AE$5&amp;"'!E6:E1000"),INDIRECT("'"&amp;AE$5&amp;"'!C6:C1000"),$AA88,INDIRECT("'"&amp;AE$5&amp;"'!F6:F1000"),"件"))</f>
        <v>0</v>
      </c>
      <c r="BD88">
        <f>IF(OR($AA88="",AF$5=""),0,SUMIFS(INDIRECT("'"&amp;AF$5&amp;"'!E6:E1000"),INDIRECT("'"&amp;AF$5&amp;"'!C6:C1000"),$AA88,INDIRECT("'"&amp;AF$5&amp;"'!F6:F1000"),"箱")+SUMIFS(INDIRECT("'"&amp;AF$5&amp;"'!E6:E1000"),INDIRECT("'"&amp;AF$5&amp;"'!C6:C1000"),$AA88,INDIRECT("'"&amp;AF$5&amp;"'!F6:F1000"),"件"))</f>
        <v>0</v>
      </c>
      <c r="BE88">
        <f>IF(OR($AA88="",AG$5=""),0,SUMIFS(INDIRECT("'"&amp;AG$5&amp;"'!E6:E1000"),INDIRECT("'"&amp;AG$5&amp;"'!C6:C1000"),$AA88,INDIRECT("'"&amp;AG$5&amp;"'!F6:F1000"),"箱")+SUMIFS(INDIRECT("'"&amp;AG$5&amp;"'!E6:E1000"),INDIRECT("'"&amp;AG$5&amp;"'!C6:C1000"),$AA88,INDIRECT("'"&amp;AG$5&amp;"'!F6:F1000"),"件"))</f>
        <v>0</v>
      </c>
      <c r="BF88">
        <f>IF(OR($AA88="",AH$5=""),0,SUMIFS(INDIRECT("'"&amp;AH$5&amp;"'!E6:E1000"),INDIRECT("'"&amp;AH$5&amp;"'!C6:C1000"),$AA88,INDIRECT("'"&amp;AH$5&amp;"'!F6:F1000"),"箱")+SUMIFS(INDIRECT("'"&amp;AH$5&amp;"'!E6:E1000"),INDIRECT("'"&amp;AH$5&amp;"'!C6:C1000"),$AA88,INDIRECT("'"&amp;AH$5&amp;"'!F6:F1000"),"件"))</f>
        <v>0</v>
      </c>
      <c r="BG88">
        <f>IF(OR($AA88="",AI$5=""),0,SUMIFS(INDIRECT("'"&amp;AI$5&amp;"'!E6:E1000"),INDIRECT("'"&amp;AI$5&amp;"'!C6:C1000"),$AA88,INDIRECT("'"&amp;AI$5&amp;"'!F6:F1000"),"箱")+SUMIFS(INDIRECT("'"&amp;AI$5&amp;"'!E6:E1000"),INDIRECT("'"&amp;AI$5&amp;"'!C6:C1000"),$AA88,INDIRECT("'"&amp;AI$5&amp;"'!F6:F1000"),"件"))</f>
        <v>0</v>
      </c>
      <c r="BH88">
        <f>IF(OR($AA88="",AJ$5=""),0,SUMIFS(INDIRECT("'"&amp;AJ$5&amp;"'!E6:E1000"),INDIRECT("'"&amp;AJ$5&amp;"'!C6:C1000"),$AA88,INDIRECT("'"&amp;AJ$5&amp;"'!F6:F1000"),"箱")+SUMIFS(INDIRECT("'"&amp;AJ$5&amp;"'!E6:E1000"),INDIRECT("'"&amp;AJ$5&amp;"'!C6:C1000"),$AA88,INDIRECT("'"&amp;AJ$5&amp;"'!F6:F1000"),"件"))</f>
        <v>0</v>
      </c>
      <c r="BI88">
        <f>IF(OR($AA88="",AK$5=""),0,SUMIFS(INDIRECT("'"&amp;AK$5&amp;"'!E6:E1000"),INDIRECT("'"&amp;AK$5&amp;"'!C6:C1000"),$AA88,INDIRECT("'"&amp;AK$5&amp;"'!F6:F1000"),"箱")+SUMIFS(INDIRECT("'"&amp;AK$5&amp;"'!E6:E1000"),INDIRECT("'"&amp;AK$5&amp;"'!C6:C1000"),$AA88,INDIRECT("'"&amp;AK$5&amp;"'!F6:F1000"),"件"))</f>
        <v>0</v>
      </c>
      <c r="BJ88">
        <f>IF(OR($AA88="",AL$5=""),0,SUMIFS(INDIRECT("'"&amp;AL$5&amp;"'!E6:E1000"),INDIRECT("'"&amp;AL$5&amp;"'!C6:C1000"),$AA88,INDIRECT("'"&amp;AL$5&amp;"'!F6:F1000"),"箱")+SUMIFS(INDIRECT("'"&amp;AL$5&amp;"'!E6:E1000"),INDIRECT("'"&amp;AL$5&amp;"'!C6:C1000"),$AA88,INDIRECT("'"&amp;AL$5&amp;"'!F6:F1000"),"件"))</f>
        <v>0</v>
      </c>
      <c r="BK88">
        <f>IF(OR($AA88="",AM$5=""),0,SUMIFS(INDIRECT("'"&amp;AM$5&amp;"'!E6:E1000"),INDIRECT("'"&amp;AM$5&amp;"'!C6:C1000"),$AA88,INDIRECT("'"&amp;AM$5&amp;"'!F6:F1000"),"箱")+SUMIFS(INDIRECT("'"&amp;AM$5&amp;"'!E6:E1000"),INDIRECT("'"&amp;AM$5&amp;"'!C6:C1000"),$AA88,INDIRECT("'"&amp;AM$5&amp;"'!F6:F1000"),"件"))</f>
        <v>0</v>
      </c>
      <c r="BL88">
        <f>IF(OR($AA88="",AN$5=""),0,SUMIFS(INDIRECT("'"&amp;AN$5&amp;"'!E6:E1000"),INDIRECT("'"&amp;AN$5&amp;"'!C6:C1000"),$AA88,INDIRECT("'"&amp;AN$5&amp;"'!F6:F1000"),"箱")+SUMIFS(INDIRECT("'"&amp;AN$5&amp;"'!E6:E1000"),INDIRECT("'"&amp;AN$5&amp;"'!C6:C1000"),$AA88,INDIRECT("'"&amp;AN$5&amp;"'!F6:F1000"),"件"))</f>
        <v>0</v>
      </c>
      <c r="BM88">
        <f>(AO88-BA88)/$AB88+BA88</f>
        <v>0</v>
      </c>
      <c r="BN88">
        <f>(AP88-BB88)/$AB88+BB88</f>
        <v>0</v>
      </c>
      <c r="BO88">
        <f>(AQ88-BC88)/$AB88+BC88</f>
        <v>0</v>
      </c>
      <c r="BP88">
        <f>(AR88-BD88)/$AB88+BD88</f>
        <v>0</v>
      </c>
      <c r="BQ88">
        <f>(AS88-BE88)/$AB88+BE88</f>
        <v>0</v>
      </c>
      <c r="BR88">
        <f>(AT88-BF88)/$AB88+BF88</f>
        <v>0</v>
      </c>
      <c r="BS88">
        <f>(AU88-BG88)/$AB88+BG88</f>
        <v>0</v>
      </c>
      <c r="BT88">
        <f>(AV88-BH88)/$AB88+BH88</f>
        <v>0</v>
      </c>
      <c r="BU88">
        <f>(AW88-BI88)/$AB88+BI88</f>
        <v>0</v>
      </c>
      <c r="BV88">
        <f>(AX88-BJ88)/$AB88+BJ88</f>
        <v>0</v>
      </c>
      <c r="BW88">
        <f>(AY88-BK88)/$AB88+BK88</f>
        <v>0</v>
      </c>
      <c r="BX88">
        <f>(AZ88-BL88)/$AB88+BL88</f>
        <v>0</v>
      </c>
      <c r="BY88">
        <f>SUMPRODUCT((($AC$4:$AN$4=报损汇总一览!$A$3)+(报损汇总一览!$A$3="全年"))*AC88:AN88)</f>
        <v>0</v>
      </c>
      <c r="BZ88">
        <f>IF(BY88&gt;0,BY88+(1000-ROW())/10000000,"")</f>
      </c>
      <c r="CA88">
        <f>SUMPRODUCT((($AC$4:$AN$4=报损汇总一览!$A$3)+(报损汇总一览!$A$3="全年"))*AO88:AZ88)</f>
        <v>0</v>
      </c>
    </row>
    <row r="89">
      <c r="A89">
        <f>IF(OR(存条明细!C89="",存条明细!D89=""),"",IF(COUNTIFS(存条明细!$C$4:C89,存条明细!C89,存条明细!$D$4:D89,存条明细!D89)&gt;1,"",IFERROR(MATCH(存条明细!C89,总览汇总!$B$5:$B$304,0),900)*10000000+IFERROR(MATCH(存条明细!D89,基础资料!$E$5:$E$104,0),900)*10000+ROW()))</f>
        <v>210010089</v>
      </c>
      <c r="B89">
        <f>IFERROR(MATCH(SMALL($A$4:$A$4003,86),$A$4:$A$4003,0),"")</f>
        <v>54</v>
      </c>
      <c r="D89">
        <f>IF(AND(商品库存!B89&lt;&gt;"",商品库存!B89=客户查询!$B$4),COUNTIF(商品库存!$B$4:B89,客户查询!$B$4),"")</f>
      </c>
      <c r="E89">
        <f>IF(AND(商品库存!B89&lt;&gt;"",商品库存!B89=客户对账单!$B$4),COUNTIF(商品库存!$B$4:B89,客户对账单!$B$4),"")</f>
      </c>
      <c r="F89">
        <f>IF(AND(出库明细!C89&lt;&gt;"",出库明细!C89=客户对账单!$B$4,ISNUMBER(出库明细!B89),出库明细!B89&gt;=客户对账单!$G$4,出库明细!B89&lt;=客户对账单!$I$4),出库明细!B89+ROW()/100000,"")</f>
      </c>
      <c r="H89">
        <f>IF(AND(采购进货!C89&lt;&gt;"",采购进货!C89=供应商对账单!$B$4,ISNUMBER(采购进货!B89),采购进货!B89&gt;=供应商对账单!$G$4,采购进货!B89&lt;=供应商对账单!$I$4),采购进货!B89+ROW()/100000,"")</f>
      </c>
      <c r="J89">
        <f>IF(总览汇总!$B89="","",N(总览汇总!$K89)+SUMIFS(出库明细!$G$4:$G$3003,出库明细!$C$4:$C$3003,总览汇总!$B89,出库明细!$B$4:$B$3003,"&gt;="&amp;年初日,出库明细!$B$4:$B$3003,"&lt;="&amp;资产负债表!$D$3)-SUMIFS(资金台帐!$S$7:$S$3006,资金台帐!$J$7:$J$3006,总览汇总!$B89,资金台帐!$P$7:$P$3006,"应收",资金台帐!$B$7:$B$3006,"&gt;="&amp;年初日,资金台帐!$B$7:$B$3006,"&lt;="&amp;资产负债表!$D$3))</f>
      </c>
      <c r="N89">
        <f>IF(AND(ISNUMBER(出库明细!G89),ISNUMBER(出库明细!E89),ISNUMBER(出库明细!F89)),IF(ABS(出库明细!G89-出库明细!E89*出库明细!F89)&gt;0.005,1,0),0)</f>
        <v>0</v>
      </c>
      <c r="O89">
        <f>IF(AND(ISNUMBER(存条明细!G89),ISNUMBER(存条明细!E89),ISNUMBER(存条明细!F89)),IF(ABS(存条明细!G89-存条明细!E89*存条明细!F89)&gt;0.005,1,0),0)</f>
        <v>0</v>
      </c>
      <c r="AA89">
        <f>IF(基础资料!G88="","",基础资料!G88&amp;"")</f>
      </c>
      <c r="AB89">
        <f>IF(N(基础资料!I88)&lt;=0,1,基础资料!I88)</f>
        <v>1</v>
      </c>
      <c r="AC89">
        <f>IF(OR($AA89="",AC$5=""),0,SUMIF(INDIRECT("'"&amp;AC$5&amp;"'!C6:C1000"),$AA89,INDIRECT("'"&amp;AC$5&amp;"'!H6:H1000")))</f>
        <v>0</v>
      </c>
      <c r="AD89">
        <f>IF(OR($AA89="",AD$5=""),0,SUMIF(INDIRECT("'"&amp;AD$5&amp;"'!C6:C1000"),$AA89,INDIRECT("'"&amp;AD$5&amp;"'!H6:H1000")))</f>
        <v>0</v>
      </c>
      <c r="AE89">
        <f>IF(OR($AA89="",AE$5=""),0,SUMIF(INDIRECT("'"&amp;AE$5&amp;"'!C6:C1000"),$AA89,INDIRECT("'"&amp;AE$5&amp;"'!H6:H1000")))</f>
        <v>0</v>
      </c>
      <c r="AF89">
        <f>IF(OR($AA89="",AF$5=""),0,SUMIF(INDIRECT("'"&amp;AF$5&amp;"'!C6:C1000"),$AA89,INDIRECT("'"&amp;AF$5&amp;"'!H6:H1000")))</f>
        <v>0</v>
      </c>
      <c r="AG89">
        <f>IF(OR($AA89="",AG$5=""),0,SUMIF(INDIRECT("'"&amp;AG$5&amp;"'!C6:C1000"),$AA89,INDIRECT("'"&amp;AG$5&amp;"'!H6:H1000")))</f>
        <v>0</v>
      </c>
      <c r="AH89">
        <f>IF(OR($AA89="",AH$5=""),0,SUMIF(INDIRECT("'"&amp;AH$5&amp;"'!C6:C1000"),$AA89,INDIRECT("'"&amp;AH$5&amp;"'!H6:H1000")))</f>
        <v>0</v>
      </c>
      <c r="AI89">
        <f>IF(OR($AA89="",AI$5=""),0,SUMIF(INDIRECT("'"&amp;AI$5&amp;"'!C6:C1000"),$AA89,INDIRECT("'"&amp;AI$5&amp;"'!H6:H1000")))</f>
        <v>0</v>
      </c>
      <c r="AJ89">
        <f>IF(OR($AA89="",AJ$5=""),0,SUMIF(INDIRECT("'"&amp;AJ$5&amp;"'!C6:C1000"),$AA89,INDIRECT("'"&amp;AJ$5&amp;"'!H6:H1000")))</f>
        <v>0</v>
      </c>
      <c r="AK89">
        <f>IF(OR($AA89="",AK$5=""),0,SUMIF(INDIRECT("'"&amp;AK$5&amp;"'!C6:C1000"),$AA89,INDIRECT("'"&amp;AK$5&amp;"'!H6:H1000")))</f>
        <v>0</v>
      </c>
      <c r="AL89">
        <f>IF(OR($AA89="",AL$5=""),0,SUMIF(INDIRECT("'"&amp;AL$5&amp;"'!C6:C1000"),$AA89,INDIRECT("'"&amp;AL$5&amp;"'!H6:H1000")))</f>
        <v>0</v>
      </c>
      <c r="AM89">
        <f>IF(OR($AA89="",AM$5=""),0,SUMIF(INDIRECT("'"&amp;AM$5&amp;"'!C6:C1000"),$AA89,INDIRECT("'"&amp;AM$5&amp;"'!H6:H1000")))</f>
        <v>0</v>
      </c>
      <c r="AN89">
        <f>IF(OR($AA89="",AN$5=""),0,SUMIF(INDIRECT("'"&amp;AN$5&amp;"'!C6:C1000"),$AA89,INDIRECT("'"&amp;AN$5&amp;"'!H6:H1000")))</f>
        <v>0</v>
      </c>
      <c r="AO89">
        <f>IF(OR($AA89="",AC$5=""),0,SUMIF(INDIRECT("'"&amp;AC$5&amp;"'!C6:C1000"),$AA89,INDIRECT("'"&amp;AC$5&amp;"'!E6:E1000")))</f>
        <v>0</v>
      </c>
      <c r="AP89">
        <f>IF(OR($AA89="",AD$5=""),0,SUMIF(INDIRECT("'"&amp;AD$5&amp;"'!C6:C1000"),$AA89,INDIRECT("'"&amp;AD$5&amp;"'!E6:E1000")))</f>
        <v>0</v>
      </c>
      <c r="AQ89">
        <f>IF(OR($AA89="",AE$5=""),0,SUMIF(INDIRECT("'"&amp;AE$5&amp;"'!C6:C1000"),$AA89,INDIRECT("'"&amp;AE$5&amp;"'!E6:E1000")))</f>
        <v>0</v>
      </c>
      <c r="AR89">
        <f>IF(OR($AA89="",AF$5=""),0,SUMIF(INDIRECT("'"&amp;AF$5&amp;"'!C6:C1000"),$AA89,INDIRECT("'"&amp;AF$5&amp;"'!E6:E1000")))</f>
        <v>0</v>
      </c>
      <c r="AS89">
        <f>IF(OR($AA89="",AG$5=""),0,SUMIF(INDIRECT("'"&amp;AG$5&amp;"'!C6:C1000"),$AA89,INDIRECT("'"&amp;AG$5&amp;"'!E6:E1000")))</f>
        <v>0</v>
      </c>
      <c r="AT89">
        <f>IF(OR($AA89="",AH$5=""),0,SUMIF(INDIRECT("'"&amp;AH$5&amp;"'!C6:C1000"),$AA89,INDIRECT("'"&amp;AH$5&amp;"'!E6:E1000")))</f>
        <v>0</v>
      </c>
      <c r="AU89">
        <f>IF(OR($AA89="",AI$5=""),0,SUMIF(INDIRECT("'"&amp;AI$5&amp;"'!C6:C1000"),$AA89,INDIRECT("'"&amp;AI$5&amp;"'!E6:E1000")))</f>
        <v>0</v>
      </c>
      <c r="AV89">
        <f>IF(OR($AA89="",AJ$5=""),0,SUMIF(INDIRECT("'"&amp;AJ$5&amp;"'!C6:C1000"),$AA89,INDIRECT("'"&amp;AJ$5&amp;"'!E6:E1000")))</f>
        <v>0</v>
      </c>
      <c r="AW89">
        <f>IF(OR($AA89="",AK$5=""),0,SUMIF(INDIRECT("'"&amp;AK$5&amp;"'!C6:C1000"),$AA89,INDIRECT("'"&amp;AK$5&amp;"'!E6:E1000")))</f>
        <v>0</v>
      </c>
      <c r="AX89">
        <f>IF(OR($AA89="",AL$5=""),0,SUMIF(INDIRECT("'"&amp;AL$5&amp;"'!C6:C1000"),$AA89,INDIRECT("'"&amp;AL$5&amp;"'!E6:E1000")))</f>
        <v>0</v>
      </c>
      <c r="AY89">
        <f>IF(OR($AA89="",AM$5=""),0,SUMIF(INDIRECT("'"&amp;AM$5&amp;"'!C6:C1000"),$AA89,INDIRECT("'"&amp;AM$5&amp;"'!E6:E1000")))</f>
        <v>0</v>
      </c>
      <c r="AZ89">
        <f>IF(OR($AA89="",AN$5=""),0,SUMIF(INDIRECT("'"&amp;AN$5&amp;"'!C6:C1000"),$AA89,INDIRECT("'"&amp;AN$5&amp;"'!E6:E1000")))</f>
        <v>0</v>
      </c>
      <c r="BA89">
        <f>IF(OR($AA89="",AC$5=""),0,SUMIFS(INDIRECT("'"&amp;AC$5&amp;"'!E6:E1000"),INDIRECT("'"&amp;AC$5&amp;"'!C6:C1000"),$AA89,INDIRECT("'"&amp;AC$5&amp;"'!F6:F1000"),"箱")+SUMIFS(INDIRECT("'"&amp;AC$5&amp;"'!E6:E1000"),INDIRECT("'"&amp;AC$5&amp;"'!C6:C1000"),$AA89,INDIRECT("'"&amp;AC$5&amp;"'!F6:F1000"),"件"))</f>
        <v>0</v>
      </c>
      <c r="BB89">
        <f>IF(OR($AA89="",AD$5=""),0,SUMIFS(INDIRECT("'"&amp;AD$5&amp;"'!E6:E1000"),INDIRECT("'"&amp;AD$5&amp;"'!C6:C1000"),$AA89,INDIRECT("'"&amp;AD$5&amp;"'!F6:F1000"),"箱")+SUMIFS(INDIRECT("'"&amp;AD$5&amp;"'!E6:E1000"),INDIRECT("'"&amp;AD$5&amp;"'!C6:C1000"),$AA89,INDIRECT("'"&amp;AD$5&amp;"'!F6:F1000"),"件"))</f>
        <v>0</v>
      </c>
      <c r="BC89">
        <f>IF(OR($AA89="",AE$5=""),0,SUMIFS(INDIRECT("'"&amp;AE$5&amp;"'!E6:E1000"),INDIRECT("'"&amp;AE$5&amp;"'!C6:C1000"),$AA89,INDIRECT("'"&amp;AE$5&amp;"'!F6:F1000"),"箱")+SUMIFS(INDIRECT("'"&amp;AE$5&amp;"'!E6:E1000"),INDIRECT("'"&amp;AE$5&amp;"'!C6:C1000"),$AA89,INDIRECT("'"&amp;AE$5&amp;"'!F6:F1000"),"件"))</f>
        <v>0</v>
      </c>
      <c r="BD89">
        <f>IF(OR($AA89="",AF$5=""),0,SUMIFS(INDIRECT("'"&amp;AF$5&amp;"'!E6:E1000"),INDIRECT("'"&amp;AF$5&amp;"'!C6:C1000"),$AA89,INDIRECT("'"&amp;AF$5&amp;"'!F6:F1000"),"箱")+SUMIFS(INDIRECT("'"&amp;AF$5&amp;"'!E6:E1000"),INDIRECT("'"&amp;AF$5&amp;"'!C6:C1000"),$AA89,INDIRECT("'"&amp;AF$5&amp;"'!F6:F1000"),"件"))</f>
        <v>0</v>
      </c>
      <c r="BE89">
        <f>IF(OR($AA89="",AG$5=""),0,SUMIFS(INDIRECT("'"&amp;AG$5&amp;"'!E6:E1000"),INDIRECT("'"&amp;AG$5&amp;"'!C6:C1000"),$AA89,INDIRECT("'"&amp;AG$5&amp;"'!F6:F1000"),"箱")+SUMIFS(INDIRECT("'"&amp;AG$5&amp;"'!E6:E1000"),INDIRECT("'"&amp;AG$5&amp;"'!C6:C1000"),$AA89,INDIRECT("'"&amp;AG$5&amp;"'!F6:F1000"),"件"))</f>
        <v>0</v>
      </c>
      <c r="BF89">
        <f>IF(OR($AA89="",AH$5=""),0,SUMIFS(INDIRECT("'"&amp;AH$5&amp;"'!E6:E1000"),INDIRECT("'"&amp;AH$5&amp;"'!C6:C1000"),$AA89,INDIRECT("'"&amp;AH$5&amp;"'!F6:F1000"),"箱")+SUMIFS(INDIRECT("'"&amp;AH$5&amp;"'!E6:E1000"),INDIRECT("'"&amp;AH$5&amp;"'!C6:C1000"),$AA89,INDIRECT("'"&amp;AH$5&amp;"'!F6:F1000"),"件"))</f>
        <v>0</v>
      </c>
      <c r="BG89">
        <f>IF(OR($AA89="",AI$5=""),0,SUMIFS(INDIRECT("'"&amp;AI$5&amp;"'!E6:E1000"),INDIRECT("'"&amp;AI$5&amp;"'!C6:C1000"),$AA89,INDIRECT("'"&amp;AI$5&amp;"'!F6:F1000"),"箱")+SUMIFS(INDIRECT("'"&amp;AI$5&amp;"'!E6:E1000"),INDIRECT("'"&amp;AI$5&amp;"'!C6:C1000"),$AA89,INDIRECT("'"&amp;AI$5&amp;"'!F6:F1000"),"件"))</f>
        <v>0</v>
      </c>
      <c r="BH89">
        <f>IF(OR($AA89="",AJ$5=""),0,SUMIFS(INDIRECT("'"&amp;AJ$5&amp;"'!E6:E1000"),INDIRECT("'"&amp;AJ$5&amp;"'!C6:C1000"),$AA89,INDIRECT("'"&amp;AJ$5&amp;"'!F6:F1000"),"箱")+SUMIFS(INDIRECT("'"&amp;AJ$5&amp;"'!E6:E1000"),INDIRECT("'"&amp;AJ$5&amp;"'!C6:C1000"),$AA89,INDIRECT("'"&amp;AJ$5&amp;"'!F6:F1000"),"件"))</f>
        <v>0</v>
      </c>
      <c r="BI89">
        <f>IF(OR($AA89="",AK$5=""),0,SUMIFS(INDIRECT("'"&amp;AK$5&amp;"'!E6:E1000"),INDIRECT("'"&amp;AK$5&amp;"'!C6:C1000"),$AA89,INDIRECT("'"&amp;AK$5&amp;"'!F6:F1000"),"箱")+SUMIFS(INDIRECT("'"&amp;AK$5&amp;"'!E6:E1000"),INDIRECT("'"&amp;AK$5&amp;"'!C6:C1000"),$AA89,INDIRECT("'"&amp;AK$5&amp;"'!F6:F1000"),"件"))</f>
        <v>0</v>
      </c>
      <c r="BJ89">
        <f>IF(OR($AA89="",AL$5=""),0,SUMIFS(INDIRECT("'"&amp;AL$5&amp;"'!E6:E1000"),INDIRECT("'"&amp;AL$5&amp;"'!C6:C1000"),$AA89,INDIRECT("'"&amp;AL$5&amp;"'!F6:F1000"),"箱")+SUMIFS(INDIRECT("'"&amp;AL$5&amp;"'!E6:E1000"),INDIRECT("'"&amp;AL$5&amp;"'!C6:C1000"),$AA89,INDIRECT("'"&amp;AL$5&amp;"'!F6:F1000"),"件"))</f>
        <v>0</v>
      </c>
      <c r="BK89">
        <f>IF(OR($AA89="",AM$5=""),0,SUMIFS(INDIRECT("'"&amp;AM$5&amp;"'!E6:E1000"),INDIRECT("'"&amp;AM$5&amp;"'!C6:C1000"),$AA89,INDIRECT("'"&amp;AM$5&amp;"'!F6:F1000"),"箱")+SUMIFS(INDIRECT("'"&amp;AM$5&amp;"'!E6:E1000"),INDIRECT("'"&amp;AM$5&amp;"'!C6:C1000"),$AA89,INDIRECT("'"&amp;AM$5&amp;"'!F6:F1000"),"件"))</f>
        <v>0</v>
      </c>
      <c r="BL89">
        <f>IF(OR($AA89="",AN$5=""),0,SUMIFS(INDIRECT("'"&amp;AN$5&amp;"'!E6:E1000"),INDIRECT("'"&amp;AN$5&amp;"'!C6:C1000"),$AA89,INDIRECT("'"&amp;AN$5&amp;"'!F6:F1000"),"箱")+SUMIFS(INDIRECT("'"&amp;AN$5&amp;"'!E6:E1000"),INDIRECT("'"&amp;AN$5&amp;"'!C6:C1000"),$AA89,INDIRECT("'"&amp;AN$5&amp;"'!F6:F1000"),"件"))</f>
        <v>0</v>
      </c>
      <c r="BM89">
        <f>(AO89-BA89)/$AB89+BA89</f>
        <v>0</v>
      </c>
      <c r="BN89">
        <f>(AP89-BB89)/$AB89+BB89</f>
        <v>0</v>
      </c>
      <c r="BO89">
        <f>(AQ89-BC89)/$AB89+BC89</f>
        <v>0</v>
      </c>
      <c r="BP89">
        <f>(AR89-BD89)/$AB89+BD89</f>
        <v>0</v>
      </c>
      <c r="BQ89">
        <f>(AS89-BE89)/$AB89+BE89</f>
        <v>0</v>
      </c>
      <c r="BR89">
        <f>(AT89-BF89)/$AB89+BF89</f>
        <v>0</v>
      </c>
      <c r="BS89">
        <f>(AU89-BG89)/$AB89+BG89</f>
        <v>0</v>
      </c>
      <c r="BT89">
        <f>(AV89-BH89)/$AB89+BH89</f>
        <v>0</v>
      </c>
      <c r="BU89">
        <f>(AW89-BI89)/$AB89+BI89</f>
        <v>0</v>
      </c>
      <c r="BV89">
        <f>(AX89-BJ89)/$AB89+BJ89</f>
        <v>0</v>
      </c>
      <c r="BW89">
        <f>(AY89-BK89)/$AB89+BK89</f>
        <v>0</v>
      </c>
      <c r="BX89">
        <f>(AZ89-BL89)/$AB89+BL89</f>
        <v>0</v>
      </c>
      <c r="BY89">
        <f>SUMPRODUCT((($AC$4:$AN$4=报损汇总一览!$A$3)+(报损汇总一览!$A$3="全年"))*AC89:AN89)</f>
        <v>0</v>
      </c>
      <c r="BZ89">
        <f>IF(BY89&gt;0,BY89+(1000-ROW())/10000000,"")</f>
      </c>
      <c r="CA89">
        <f>SUMPRODUCT((($AC$4:$AN$4=报损汇总一览!$A$3)+(报损汇总一览!$A$3="全年"))*AO89:AZ89)</f>
        <v>0</v>
      </c>
    </row>
    <row r="90">
      <c r="A90">
        <f>IF(OR(存条明细!C90="",存条明细!D90=""),"",IF(COUNTIFS(存条明细!$C$4:C90,存条明细!C90,存条明细!$D$4:D90,存条明细!D90)&gt;1,"",IFERROR(MATCH(存条明细!C90,总览汇总!$B$5:$B$304,0),900)*10000000+IFERROR(MATCH(存条明细!D90,基础资料!$E$5:$E$104,0),900)*10000+ROW()))</f>
        <v>220010090</v>
      </c>
      <c r="B90">
        <f>IFERROR(MATCH(SMALL($A$4:$A$4003,87),$A$4:$A$4003,0),"")</f>
        <v>1464</v>
      </c>
      <c r="D90">
        <f>IF(AND(商品库存!B90&lt;&gt;"",商品库存!B90=客户查询!$B$4),COUNTIF(商品库存!$B$4:B90,客户查询!$B$4),"")</f>
      </c>
      <c r="E90">
        <f>IF(AND(商品库存!B90&lt;&gt;"",商品库存!B90=客户对账单!$B$4),COUNTIF(商品库存!$B$4:B90,客户对账单!$B$4),"")</f>
      </c>
      <c r="F90">
        <f>IF(AND(出库明细!C90&lt;&gt;"",出库明细!C90=客户对账单!$B$4,ISNUMBER(出库明细!B90),出库明细!B90&gt;=客户对账单!$G$4,出库明细!B90&lt;=客户对账单!$I$4),出库明细!B90+ROW()/100000,"")</f>
      </c>
      <c r="H90">
        <f>IF(AND(采购进货!C90&lt;&gt;"",采购进货!C90=供应商对账单!$B$4,ISNUMBER(采购进货!B90),采购进货!B90&gt;=供应商对账单!$G$4,采购进货!B90&lt;=供应商对账单!$I$4),采购进货!B90+ROW()/100000,"")</f>
      </c>
      <c r="J90">
        <f>IF(总览汇总!$B90="","",N(总览汇总!$K90)+SUMIFS(出库明细!$G$4:$G$3003,出库明细!$C$4:$C$3003,总览汇总!$B90,出库明细!$B$4:$B$3003,"&gt;="&amp;年初日,出库明细!$B$4:$B$3003,"&lt;="&amp;资产负债表!$D$3)-SUMIFS(资金台帐!$S$7:$S$3006,资金台帐!$J$7:$J$3006,总览汇总!$B90,资金台帐!$P$7:$P$3006,"应收",资金台帐!$B$7:$B$3006,"&gt;="&amp;年初日,资金台帐!$B$7:$B$3006,"&lt;="&amp;资产负债表!$D$3))</f>
      </c>
      <c r="N90">
        <f>IF(AND(ISNUMBER(出库明细!G90),ISNUMBER(出库明细!E90),ISNUMBER(出库明细!F90)),IF(ABS(出库明细!G90-出库明细!E90*出库明细!F90)&gt;0.005,1,0),0)</f>
        <v>0</v>
      </c>
      <c r="O90">
        <f>IF(AND(ISNUMBER(存条明细!G90),ISNUMBER(存条明细!E90),ISNUMBER(存条明细!F90)),IF(ABS(存条明细!G90-存条明细!E90*存条明细!F90)&gt;0.005,1,0),0)</f>
        <v>0</v>
      </c>
      <c r="AA90">
        <f>IF(基础资料!G89="","",基础资料!G89&amp;"")</f>
      </c>
      <c r="AB90">
        <f>IF(N(基础资料!I89)&lt;=0,1,基础资料!I89)</f>
        <v>1</v>
      </c>
      <c r="AC90">
        <f>IF(OR($AA90="",AC$5=""),0,SUMIF(INDIRECT("'"&amp;AC$5&amp;"'!C6:C1000"),$AA90,INDIRECT("'"&amp;AC$5&amp;"'!H6:H1000")))</f>
        <v>0</v>
      </c>
      <c r="AD90">
        <f>IF(OR($AA90="",AD$5=""),0,SUMIF(INDIRECT("'"&amp;AD$5&amp;"'!C6:C1000"),$AA90,INDIRECT("'"&amp;AD$5&amp;"'!H6:H1000")))</f>
        <v>0</v>
      </c>
      <c r="AE90">
        <f>IF(OR($AA90="",AE$5=""),0,SUMIF(INDIRECT("'"&amp;AE$5&amp;"'!C6:C1000"),$AA90,INDIRECT("'"&amp;AE$5&amp;"'!H6:H1000")))</f>
        <v>0</v>
      </c>
      <c r="AF90">
        <f>IF(OR($AA90="",AF$5=""),0,SUMIF(INDIRECT("'"&amp;AF$5&amp;"'!C6:C1000"),$AA90,INDIRECT("'"&amp;AF$5&amp;"'!H6:H1000")))</f>
        <v>0</v>
      </c>
      <c r="AG90">
        <f>IF(OR($AA90="",AG$5=""),0,SUMIF(INDIRECT("'"&amp;AG$5&amp;"'!C6:C1000"),$AA90,INDIRECT("'"&amp;AG$5&amp;"'!H6:H1000")))</f>
        <v>0</v>
      </c>
      <c r="AH90">
        <f>IF(OR($AA90="",AH$5=""),0,SUMIF(INDIRECT("'"&amp;AH$5&amp;"'!C6:C1000"),$AA90,INDIRECT("'"&amp;AH$5&amp;"'!H6:H1000")))</f>
        <v>0</v>
      </c>
      <c r="AI90">
        <f>IF(OR($AA90="",AI$5=""),0,SUMIF(INDIRECT("'"&amp;AI$5&amp;"'!C6:C1000"),$AA90,INDIRECT("'"&amp;AI$5&amp;"'!H6:H1000")))</f>
        <v>0</v>
      </c>
      <c r="AJ90">
        <f>IF(OR($AA90="",AJ$5=""),0,SUMIF(INDIRECT("'"&amp;AJ$5&amp;"'!C6:C1000"),$AA90,INDIRECT("'"&amp;AJ$5&amp;"'!H6:H1000")))</f>
        <v>0</v>
      </c>
      <c r="AK90">
        <f>IF(OR($AA90="",AK$5=""),0,SUMIF(INDIRECT("'"&amp;AK$5&amp;"'!C6:C1000"),$AA90,INDIRECT("'"&amp;AK$5&amp;"'!H6:H1000")))</f>
        <v>0</v>
      </c>
      <c r="AL90">
        <f>IF(OR($AA90="",AL$5=""),0,SUMIF(INDIRECT("'"&amp;AL$5&amp;"'!C6:C1000"),$AA90,INDIRECT("'"&amp;AL$5&amp;"'!H6:H1000")))</f>
        <v>0</v>
      </c>
      <c r="AM90">
        <f>IF(OR($AA90="",AM$5=""),0,SUMIF(INDIRECT("'"&amp;AM$5&amp;"'!C6:C1000"),$AA90,INDIRECT("'"&amp;AM$5&amp;"'!H6:H1000")))</f>
        <v>0</v>
      </c>
      <c r="AN90">
        <f>IF(OR($AA90="",AN$5=""),0,SUMIF(INDIRECT("'"&amp;AN$5&amp;"'!C6:C1000"),$AA90,INDIRECT("'"&amp;AN$5&amp;"'!H6:H1000")))</f>
        <v>0</v>
      </c>
      <c r="AO90">
        <f>IF(OR($AA90="",AC$5=""),0,SUMIF(INDIRECT("'"&amp;AC$5&amp;"'!C6:C1000"),$AA90,INDIRECT("'"&amp;AC$5&amp;"'!E6:E1000")))</f>
        <v>0</v>
      </c>
      <c r="AP90">
        <f>IF(OR($AA90="",AD$5=""),0,SUMIF(INDIRECT("'"&amp;AD$5&amp;"'!C6:C1000"),$AA90,INDIRECT("'"&amp;AD$5&amp;"'!E6:E1000")))</f>
        <v>0</v>
      </c>
      <c r="AQ90">
        <f>IF(OR($AA90="",AE$5=""),0,SUMIF(INDIRECT("'"&amp;AE$5&amp;"'!C6:C1000"),$AA90,INDIRECT("'"&amp;AE$5&amp;"'!E6:E1000")))</f>
        <v>0</v>
      </c>
      <c r="AR90">
        <f>IF(OR($AA90="",AF$5=""),0,SUMIF(INDIRECT("'"&amp;AF$5&amp;"'!C6:C1000"),$AA90,INDIRECT("'"&amp;AF$5&amp;"'!E6:E1000")))</f>
        <v>0</v>
      </c>
      <c r="AS90">
        <f>IF(OR($AA90="",AG$5=""),0,SUMIF(INDIRECT("'"&amp;AG$5&amp;"'!C6:C1000"),$AA90,INDIRECT("'"&amp;AG$5&amp;"'!E6:E1000")))</f>
        <v>0</v>
      </c>
      <c r="AT90">
        <f>IF(OR($AA90="",AH$5=""),0,SUMIF(INDIRECT("'"&amp;AH$5&amp;"'!C6:C1000"),$AA90,INDIRECT("'"&amp;AH$5&amp;"'!E6:E1000")))</f>
        <v>0</v>
      </c>
      <c r="AU90">
        <f>IF(OR($AA90="",AI$5=""),0,SUMIF(INDIRECT("'"&amp;AI$5&amp;"'!C6:C1000"),$AA90,INDIRECT("'"&amp;AI$5&amp;"'!E6:E1000")))</f>
        <v>0</v>
      </c>
      <c r="AV90">
        <f>IF(OR($AA90="",AJ$5=""),0,SUMIF(INDIRECT("'"&amp;AJ$5&amp;"'!C6:C1000"),$AA90,INDIRECT("'"&amp;AJ$5&amp;"'!E6:E1000")))</f>
        <v>0</v>
      </c>
      <c r="AW90">
        <f>IF(OR($AA90="",AK$5=""),0,SUMIF(INDIRECT("'"&amp;AK$5&amp;"'!C6:C1000"),$AA90,INDIRECT("'"&amp;AK$5&amp;"'!E6:E1000")))</f>
        <v>0</v>
      </c>
      <c r="AX90">
        <f>IF(OR($AA90="",AL$5=""),0,SUMIF(INDIRECT("'"&amp;AL$5&amp;"'!C6:C1000"),$AA90,INDIRECT("'"&amp;AL$5&amp;"'!E6:E1000")))</f>
        <v>0</v>
      </c>
      <c r="AY90">
        <f>IF(OR($AA90="",AM$5=""),0,SUMIF(INDIRECT("'"&amp;AM$5&amp;"'!C6:C1000"),$AA90,INDIRECT("'"&amp;AM$5&amp;"'!E6:E1000")))</f>
        <v>0</v>
      </c>
      <c r="AZ90">
        <f>IF(OR($AA90="",AN$5=""),0,SUMIF(INDIRECT("'"&amp;AN$5&amp;"'!C6:C1000"),$AA90,INDIRECT("'"&amp;AN$5&amp;"'!E6:E1000")))</f>
        <v>0</v>
      </c>
      <c r="BA90">
        <f>IF(OR($AA90="",AC$5=""),0,SUMIFS(INDIRECT("'"&amp;AC$5&amp;"'!E6:E1000"),INDIRECT("'"&amp;AC$5&amp;"'!C6:C1000"),$AA90,INDIRECT("'"&amp;AC$5&amp;"'!F6:F1000"),"箱")+SUMIFS(INDIRECT("'"&amp;AC$5&amp;"'!E6:E1000"),INDIRECT("'"&amp;AC$5&amp;"'!C6:C1000"),$AA90,INDIRECT("'"&amp;AC$5&amp;"'!F6:F1000"),"件"))</f>
        <v>0</v>
      </c>
      <c r="BB90">
        <f>IF(OR($AA90="",AD$5=""),0,SUMIFS(INDIRECT("'"&amp;AD$5&amp;"'!E6:E1000"),INDIRECT("'"&amp;AD$5&amp;"'!C6:C1000"),$AA90,INDIRECT("'"&amp;AD$5&amp;"'!F6:F1000"),"箱")+SUMIFS(INDIRECT("'"&amp;AD$5&amp;"'!E6:E1000"),INDIRECT("'"&amp;AD$5&amp;"'!C6:C1000"),$AA90,INDIRECT("'"&amp;AD$5&amp;"'!F6:F1000"),"件"))</f>
        <v>0</v>
      </c>
      <c r="BC90">
        <f>IF(OR($AA90="",AE$5=""),0,SUMIFS(INDIRECT("'"&amp;AE$5&amp;"'!E6:E1000"),INDIRECT("'"&amp;AE$5&amp;"'!C6:C1000"),$AA90,INDIRECT("'"&amp;AE$5&amp;"'!F6:F1000"),"箱")+SUMIFS(INDIRECT("'"&amp;AE$5&amp;"'!E6:E1000"),INDIRECT("'"&amp;AE$5&amp;"'!C6:C1000"),$AA90,INDIRECT("'"&amp;AE$5&amp;"'!F6:F1000"),"件"))</f>
        <v>0</v>
      </c>
      <c r="BD90">
        <f>IF(OR($AA90="",AF$5=""),0,SUMIFS(INDIRECT("'"&amp;AF$5&amp;"'!E6:E1000"),INDIRECT("'"&amp;AF$5&amp;"'!C6:C1000"),$AA90,INDIRECT("'"&amp;AF$5&amp;"'!F6:F1000"),"箱")+SUMIFS(INDIRECT("'"&amp;AF$5&amp;"'!E6:E1000"),INDIRECT("'"&amp;AF$5&amp;"'!C6:C1000"),$AA90,INDIRECT("'"&amp;AF$5&amp;"'!F6:F1000"),"件"))</f>
        <v>0</v>
      </c>
      <c r="BE90">
        <f>IF(OR($AA90="",AG$5=""),0,SUMIFS(INDIRECT("'"&amp;AG$5&amp;"'!E6:E1000"),INDIRECT("'"&amp;AG$5&amp;"'!C6:C1000"),$AA90,INDIRECT("'"&amp;AG$5&amp;"'!F6:F1000"),"箱")+SUMIFS(INDIRECT("'"&amp;AG$5&amp;"'!E6:E1000"),INDIRECT("'"&amp;AG$5&amp;"'!C6:C1000"),$AA90,INDIRECT("'"&amp;AG$5&amp;"'!F6:F1000"),"件"))</f>
        <v>0</v>
      </c>
      <c r="BF90">
        <f>IF(OR($AA90="",AH$5=""),0,SUMIFS(INDIRECT("'"&amp;AH$5&amp;"'!E6:E1000"),INDIRECT("'"&amp;AH$5&amp;"'!C6:C1000"),$AA90,INDIRECT("'"&amp;AH$5&amp;"'!F6:F1000"),"箱")+SUMIFS(INDIRECT("'"&amp;AH$5&amp;"'!E6:E1000"),INDIRECT("'"&amp;AH$5&amp;"'!C6:C1000"),$AA90,INDIRECT("'"&amp;AH$5&amp;"'!F6:F1000"),"件"))</f>
        <v>0</v>
      </c>
      <c r="BG90">
        <f>IF(OR($AA90="",AI$5=""),0,SUMIFS(INDIRECT("'"&amp;AI$5&amp;"'!E6:E1000"),INDIRECT("'"&amp;AI$5&amp;"'!C6:C1000"),$AA90,INDIRECT("'"&amp;AI$5&amp;"'!F6:F1000"),"箱")+SUMIFS(INDIRECT("'"&amp;AI$5&amp;"'!E6:E1000"),INDIRECT("'"&amp;AI$5&amp;"'!C6:C1000"),$AA90,INDIRECT("'"&amp;AI$5&amp;"'!F6:F1000"),"件"))</f>
        <v>0</v>
      </c>
      <c r="BH90">
        <f>IF(OR($AA90="",AJ$5=""),0,SUMIFS(INDIRECT("'"&amp;AJ$5&amp;"'!E6:E1000"),INDIRECT("'"&amp;AJ$5&amp;"'!C6:C1000"),$AA90,INDIRECT("'"&amp;AJ$5&amp;"'!F6:F1000"),"箱")+SUMIFS(INDIRECT("'"&amp;AJ$5&amp;"'!E6:E1000"),INDIRECT("'"&amp;AJ$5&amp;"'!C6:C1000"),$AA90,INDIRECT("'"&amp;AJ$5&amp;"'!F6:F1000"),"件"))</f>
        <v>0</v>
      </c>
      <c r="BI90">
        <f>IF(OR($AA90="",AK$5=""),0,SUMIFS(INDIRECT("'"&amp;AK$5&amp;"'!E6:E1000"),INDIRECT("'"&amp;AK$5&amp;"'!C6:C1000"),$AA90,INDIRECT("'"&amp;AK$5&amp;"'!F6:F1000"),"箱")+SUMIFS(INDIRECT("'"&amp;AK$5&amp;"'!E6:E1000"),INDIRECT("'"&amp;AK$5&amp;"'!C6:C1000"),$AA90,INDIRECT("'"&amp;AK$5&amp;"'!F6:F1000"),"件"))</f>
        <v>0</v>
      </c>
      <c r="BJ90">
        <f>IF(OR($AA90="",AL$5=""),0,SUMIFS(INDIRECT("'"&amp;AL$5&amp;"'!E6:E1000"),INDIRECT("'"&amp;AL$5&amp;"'!C6:C1000"),$AA90,INDIRECT("'"&amp;AL$5&amp;"'!F6:F1000"),"箱")+SUMIFS(INDIRECT("'"&amp;AL$5&amp;"'!E6:E1000"),INDIRECT("'"&amp;AL$5&amp;"'!C6:C1000"),$AA90,INDIRECT("'"&amp;AL$5&amp;"'!F6:F1000"),"件"))</f>
        <v>0</v>
      </c>
      <c r="BK90">
        <f>IF(OR($AA90="",AM$5=""),0,SUMIFS(INDIRECT("'"&amp;AM$5&amp;"'!E6:E1000"),INDIRECT("'"&amp;AM$5&amp;"'!C6:C1000"),$AA90,INDIRECT("'"&amp;AM$5&amp;"'!F6:F1000"),"箱")+SUMIFS(INDIRECT("'"&amp;AM$5&amp;"'!E6:E1000"),INDIRECT("'"&amp;AM$5&amp;"'!C6:C1000"),$AA90,INDIRECT("'"&amp;AM$5&amp;"'!F6:F1000"),"件"))</f>
        <v>0</v>
      </c>
      <c r="BL90">
        <f>IF(OR($AA90="",AN$5=""),0,SUMIFS(INDIRECT("'"&amp;AN$5&amp;"'!E6:E1000"),INDIRECT("'"&amp;AN$5&amp;"'!C6:C1000"),$AA90,INDIRECT("'"&amp;AN$5&amp;"'!F6:F1000"),"箱")+SUMIFS(INDIRECT("'"&amp;AN$5&amp;"'!E6:E1000"),INDIRECT("'"&amp;AN$5&amp;"'!C6:C1000"),$AA90,INDIRECT("'"&amp;AN$5&amp;"'!F6:F1000"),"件"))</f>
        <v>0</v>
      </c>
      <c r="BM90">
        <f>(AO90-BA90)/$AB90+BA90</f>
        <v>0</v>
      </c>
      <c r="BN90">
        <f>(AP90-BB90)/$AB90+BB90</f>
        <v>0</v>
      </c>
      <c r="BO90">
        <f>(AQ90-BC90)/$AB90+BC90</f>
        <v>0</v>
      </c>
      <c r="BP90">
        <f>(AR90-BD90)/$AB90+BD90</f>
        <v>0</v>
      </c>
      <c r="BQ90">
        <f>(AS90-BE90)/$AB90+BE90</f>
        <v>0</v>
      </c>
      <c r="BR90">
        <f>(AT90-BF90)/$AB90+BF90</f>
        <v>0</v>
      </c>
      <c r="BS90">
        <f>(AU90-BG90)/$AB90+BG90</f>
        <v>0</v>
      </c>
      <c r="BT90">
        <f>(AV90-BH90)/$AB90+BH90</f>
        <v>0</v>
      </c>
      <c r="BU90">
        <f>(AW90-BI90)/$AB90+BI90</f>
        <v>0</v>
      </c>
      <c r="BV90">
        <f>(AX90-BJ90)/$AB90+BJ90</f>
        <v>0</v>
      </c>
      <c r="BW90">
        <f>(AY90-BK90)/$AB90+BK90</f>
        <v>0</v>
      </c>
      <c r="BX90">
        <f>(AZ90-BL90)/$AB90+BL90</f>
        <v>0</v>
      </c>
      <c r="BY90">
        <f>SUMPRODUCT((($AC$4:$AN$4=报损汇总一览!$A$3)+(报损汇总一览!$A$3="全年"))*AC90:AN90)</f>
        <v>0</v>
      </c>
      <c r="BZ90">
        <f>IF(BY90&gt;0,BY90+(1000-ROW())/10000000,"")</f>
      </c>
      <c r="CA90">
        <f>SUMPRODUCT((($AC$4:$AN$4=报损汇总一览!$A$3)+(报损汇总一览!$A$3="全年"))*AO90:AZ90)</f>
        <v>0</v>
      </c>
    </row>
    <row r="91">
      <c r="A91">
        <f>IF(OR(存条明细!C91="",存条明细!D91=""),"",IF(COUNTIFS(存条明细!$C$4:C91,存条明细!C91,存条明细!$D$4:D91,存条明细!D91)&gt;1,"",IFERROR(MATCH(存条明细!C91,总览汇总!$B$5:$B$304,0),900)*10000000+IFERROR(MATCH(存条明细!D91,基础资料!$E$5:$E$104,0),900)*10000+ROW()))</f>
        <v>240010091</v>
      </c>
      <c r="B91">
        <f>IFERROR(MATCH(SMALL($A$4:$A$4003,88),$A$4:$A$4003,0),"")</f>
        <v>55</v>
      </c>
      <c r="D91">
        <f>IF(AND(商品库存!B91&lt;&gt;"",商品库存!B91=客户查询!$B$4),COUNTIF(商品库存!$B$4:B91,客户查询!$B$4),"")</f>
      </c>
      <c r="E91">
        <f>IF(AND(商品库存!B91&lt;&gt;"",商品库存!B91=客户对账单!$B$4),COUNTIF(商品库存!$B$4:B91,客户对账单!$B$4),"")</f>
      </c>
      <c r="F91">
        <f>IF(AND(出库明细!C91&lt;&gt;"",出库明细!C91=客户对账单!$B$4,ISNUMBER(出库明细!B91),出库明细!B91&gt;=客户对账单!$G$4,出库明细!B91&lt;=客户对账单!$I$4),出库明细!B91+ROW()/100000,"")</f>
      </c>
      <c r="H91">
        <f>IF(AND(采购进货!C91&lt;&gt;"",采购进货!C91=供应商对账单!$B$4,ISNUMBER(采购进货!B91),采购进货!B91&gt;=供应商对账单!$G$4,采购进货!B91&lt;=供应商对账单!$I$4),采购进货!B91+ROW()/100000,"")</f>
      </c>
      <c r="J91">
        <f>IF(总览汇总!$B91="","",N(总览汇总!$K91)+SUMIFS(出库明细!$G$4:$G$3003,出库明细!$C$4:$C$3003,总览汇总!$B91,出库明细!$B$4:$B$3003,"&gt;="&amp;年初日,出库明细!$B$4:$B$3003,"&lt;="&amp;资产负债表!$D$3)-SUMIFS(资金台帐!$S$7:$S$3006,资金台帐!$J$7:$J$3006,总览汇总!$B91,资金台帐!$P$7:$P$3006,"应收",资金台帐!$B$7:$B$3006,"&gt;="&amp;年初日,资金台帐!$B$7:$B$3006,"&lt;="&amp;资产负债表!$D$3))</f>
      </c>
      <c r="N91">
        <f>IF(AND(ISNUMBER(出库明细!G91),ISNUMBER(出库明细!E91),ISNUMBER(出库明细!F91)),IF(ABS(出库明细!G91-出库明细!E91*出库明细!F91)&gt;0.005,1,0),0)</f>
        <v>0</v>
      </c>
      <c r="O91">
        <f>IF(AND(ISNUMBER(存条明细!G91),ISNUMBER(存条明细!E91),ISNUMBER(存条明细!F91)),IF(ABS(存条明细!G91-存条明细!E91*存条明细!F91)&gt;0.005,1,0),0)</f>
        <v>0</v>
      </c>
      <c r="AA91">
        <f>IF(基础资料!G90="","",基础资料!G90&amp;"")</f>
      </c>
      <c r="AB91">
        <f>IF(N(基础资料!I90)&lt;=0,1,基础资料!I90)</f>
        <v>1</v>
      </c>
      <c r="AC91">
        <f>IF(OR($AA91="",AC$5=""),0,SUMIF(INDIRECT("'"&amp;AC$5&amp;"'!C6:C1000"),$AA91,INDIRECT("'"&amp;AC$5&amp;"'!H6:H1000")))</f>
        <v>0</v>
      </c>
      <c r="AD91">
        <f>IF(OR($AA91="",AD$5=""),0,SUMIF(INDIRECT("'"&amp;AD$5&amp;"'!C6:C1000"),$AA91,INDIRECT("'"&amp;AD$5&amp;"'!H6:H1000")))</f>
        <v>0</v>
      </c>
      <c r="AE91">
        <f>IF(OR($AA91="",AE$5=""),0,SUMIF(INDIRECT("'"&amp;AE$5&amp;"'!C6:C1000"),$AA91,INDIRECT("'"&amp;AE$5&amp;"'!H6:H1000")))</f>
        <v>0</v>
      </c>
      <c r="AF91">
        <f>IF(OR($AA91="",AF$5=""),0,SUMIF(INDIRECT("'"&amp;AF$5&amp;"'!C6:C1000"),$AA91,INDIRECT("'"&amp;AF$5&amp;"'!H6:H1000")))</f>
        <v>0</v>
      </c>
      <c r="AG91">
        <f>IF(OR($AA91="",AG$5=""),0,SUMIF(INDIRECT("'"&amp;AG$5&amp;"'!C6:C1000"),$AA91,INDIRECT("'"&amp;AG$5&amp;"'!H6:H1000")))</f>
        <v>0</v>
      </c>
      <c r="AH91">
        <f>IF(OR($AA91="",AH$5=""),0,SUMIF(INDIRECT("'"&amp;AH$5&amp;"'!C6:C1000"),$AA91,INDIRECT("'"&amp;AH$5&amp;"'!H6:H1000")))</f>
        <v>0</v>
      </c>
      <c r="AI91">
        <f>IF(OR($AA91="",AI$5=""),0,SUMIF(INDIRECT("'"&amp;AI$5&amp;"'!C6:C1000"),$AA91,INDIRECT("'"&amp;AI$5&amp;"'!H6:H1000")))</f>
        <v>0</v>
      </c>
      <c r="AJ91">
        <f>IF(OR($AA91="",AJ$5=""),0,SUMIF(INDIRECT("'"&amp;AJ$5&amp;"'!C6:C1000"),$AA91,INDIRECT("'"&amp;AJ$5&amp;"'!H6:H1000")))</f>
        <v>0</v>
      </c>
      <c r="AK91">
        <f>IF(OR($AA91="",AK$5=""),0,SUMIF(INDIRECT("'"&amp;AK$5&amp;"'!C6:C1000"),$AA91,INDIRECT("'"&amp;AK$5&amp;"'!H6:H1000")))</f>
        <v>0</v>
      </c>
      <c r="AL91">
        <f>IF(OR($AA91="",AL$5=""),0,SUMIF(INDIRECT("'"&amp;AL$5&amp;"'!C6:C1000"),$AA91,INDIRECT("'"&amp;AL$5&amp;"'!H6:H1000")))</f>
        <v>0</v>
      </c>
      <c r="AM91">
        <f>IF(OR($AA91="",AM$5=""),0,SUMIF(INDIRECT("'"&amp;AM$5&amp;"'!C6:C1000"),$AA91,INDIRECT("'"&amp;AM$5&amp;"'!H6:H1000")))</f>
        <v>0</v>
      </c>
      <c r="AN91">
        <f>IF(OR($AA91="",AN$5=""),0,SUMIF(INDIRECT("'"&amp;AN$5&amp;"'!C6:C1000"),$AA91,INDIRECT("'"&amp;AN$5&amp;"'!H6:H1000")))</f>
        <v>0</v>
      </c>
      <c r="AO91">
        <f>IF(OR($AA91="",AC$5=""),0,SUMIF(INDIRECT("'"&amp;AC$5&amp;"'!C6:C1000"),$AA91,INDIRECT("'"&amp;AC$5&amp;"'!E6:E1000")))</f>
        <v>0</v>
      </c>
      <c r="AP91">
        <f>IF(OR($AA91="",AD$5=""),0,SUMIF(INDIRECT("'"&amp;AD$5&amp;"'!C6:C1000"),$AA91,INDIRECT("'"&amp;AD$5&amp;"'!E6:E1000")))</f>
        <v>0</v>
      </c>
      <c r="AQ91">
        <f>IF(OR($AA91="",AE$5=""),0,SUMIF(INDIRECT("'"&amp;AE$5&amp;"'!C6:C1000"),$AA91,INDIRECT("'"&amp;AE$5&amp;"'!E6:E1000")))</f>
        <v>0</v>
      </c>
      <c r="AR91">
        <f>IF(OR($AA91="",AF$5=""),0,SUMIF(INDIRECT("'"&amp;AF$5&amp;"'!C6:C1000"),$AA91,INDIRECT("'"&amp;AF$5&amp;"'!E6:E1000")))</f>
        <v>0</v>
      </c>
      <c r="AS91">
        <f>IF(OR($AA91="",AG$5=""),0,SUMIF(INDIRECT("'"&amp;AG$5&amp;"'!C6:C1000"),$AA91,INDIRECT("'"&amp;AG$5&amp;"'!E6:E1000")))</f>
        <v>0</v>
      </c>
      <c r="AT91">
        <f>IF(OR($AA91="",AH$5=""),0,SUMIF(INDIRECT("'"&amp;AH$5&amp;"'!C6:C1000"),$AA91,INDIRECT("'"&amp;AH$5&amp;"'!E6:E1000")))</f>
        <v>0</v>
      </c>
      <c r="AU91">
        <f>IF(OR($AA91="",AI$5=""),0,SUMIF(INDIRECT("'"&amp;AI$5&amp;"'!C6:C1000"),$AA91,INDIRECT("'"&amp;AI$5&amp;"'!E6:E1000")))</f>
        <v>0</v>
      </c>
      <c r="AV91">
        <f>IF(OR($AA91="",AJ$5=""),0,SUMIF(INDIRECT("'"&amp;AJ$5&amp;"'!C6:C1000"),$AA91,INDIRECT("'"&amp;AJ$5&amp;"'!E6:E1000")))</f>
        <v>0</v>
      </c>
      <c r="AW91">
        <f>IF(OR($AA91="",AK$5=""),0,SUMIF(INDIRECT("'"&amp;AK$5&amp;"'!C6:C1000"),$AA91,INDIRECT("'"&amp;AK$5&amp;"'!E6:E1000")))</f>
        <v>0</v>
      </c>
      <c r="AX91">
        <f>IF(OR($AA91="",AL$5=""),0,SUMIF(INDIRECT("'"&amp;AL$5&amp;"'!C6:C1000"),$AA91,INDIRECT("'"&amp;AL$5&amp;"'!E6:E1000")))</f>
        <v>0</v>
      </c>
      <c r="AY91">
        <f>IF(OR($AA91="",AM$5=""),0,SUMIF(INDIRECT("'"&amp;AM$5&amp;"'!C6:C1000"),$AA91,INDIRECT("'"&amp;AM$5&amp;"'!E6:E1000")))</f>
        <v>0</v>
      </c>
      <c r="AZ91">
        <f>IF(OR($AA91="",AN$5=""),0,SUMIF(INDIRECT("'"&amp;AN$5&amp;"'!C6:C1000"),$AA91,INDIRECT("'"&amp;AN$5&amp;"'!E6:E1000")))</f>
        <v>0</v>
      </c>
      <c r="BA91">
        <f>IF(OR($AA91="",AC$5=""),0,SUMIFS(INDIRECT("'"&amp;AC$5&amp;"'!E6:E1000"),INDIRECT("'"&amp;AC$5&amp;"'!C6:C1000"),$AA91,INDIRECT("'"&amp;AC$5&amp;"'!F6:F1000"),"箱")+SUMIFS(INDIRECT("'"&amp;AC$5&amp;"'!E6:E1000"),INDIRECT("'"&amp;AC$5&amp;"'!C6:C1000"),$AA91,INDIRECT("'"&amp;AC$5&amp;"'!F6:F1000"),"件"))</f>
        <v>0</v>
      </c>
      <c r="BB91">
        <f>IF(OR($AA91="",AD$5=""),0,SUMIFS(INDIRECT("'"&amp;AD$5&amp;"'!E6:E1000"),INDIRECT("'"&amp;AD$5&amp;"'!C6:C1000"),$AA91,INDIRECT("'"&amp;AD$5&amp;"'!F6:F1000"),"箱")+SUMIFS(INDIRECT("'"&amp;AD$5&amp;"'!E6:E1000"),INDIRECT("'"&amp;AD$5&amp;"'!C6:C1000"),$AA91,INDIRECT("'"&amp;AD$5&amp;"'!F6:F1000"),"件"))</f>
        <v>0</v>
      </c>
      <c r="BC91">
        <f>IF(OR($AA91="",AE$5=""),0,SUMIFS(INDIRECT("'"&amp;AE$5&amp;"'!E6:E1000"),INDIRECT("'"&amp;AE$5&amp;"'!C6:C1000"),$AA91,INDIRECT("'"&amp;AE$5&amp;"'!F6:F1000"),"箱")+SUMIFS(INDIRECT("'"&amp;AE$5&amp;"'!E6:E1000"),INDIRECT("'"&amp;AE$5&amp;"'!C6:C1000"),$AA91,INDIRECT("'"&amp;AE$5&amp;"'!F6:F1000"),"件"))</f>
        <v>0</v>
      </c>
      <c r="BD91">
        <f>IF(OR($AA91="",AF$5=""),0,SUMIFS(INDIRECT("'"&amp;AF$5&amp;"'!E6:E1000"),INDIRECT("'"&amp;AF$5&amp;"'!C6:C1000"),$AA91,INDIRECT("'"&amp;AF$5&amp;"'!F6:F1000"),"箱")+SUMIFS(INDIRECT("'"&amp;AF$5&amp;"'!E6:E1000"),INDIRECT("'"&amp;AF$5&amp;"'!C6:C1000"),$AA91,INDIRECT("'"&amp;AF$5&amp;"'!F6:F1000"),"件"))</f>
        <v>0</v>
      </c>
      <c r="BE91">
        <f>IF(OR($AA91="",AG$5=""),0,SUMIFS(INDIRECT("'"&amp;AG$5&amp;"'!E6:E1000"),INDIRECT("'"&amp;AG$5&amp;"'!C6:C1000"),$AA91,INDIRECT("'"&amp;AG$5&amp;"'!F6:F1000"),"箱")+SUMIFS(INDIRECT("'"&amp;AG$5&amp;"'!E6:E1000"),INDIRECT("'"&amp;AG$5&amp;"'!C6:C1000"),$AA91,INDIRECT("'"&amp;AG$5&amp;"'!F6:F1000"),"件"))</f>
        <v>0</v>
      </c>
      <c r="BF91">
        <f>IF(OR($AA91="",AH$5=""),0,SUMIFS(INDIRECT("'"&amp;AH$5&amp;"'!E6:E1000"),INDIRECT("'"&amp;AH$5&amp;"'!C6:C1000"),$AA91,INDIRECT("'"&amp;AH$5&amp;"'!F6:F1000"),"箱")+SUMIFS(INDIRECT("'"&amp;AH$5&amp;"'!E6:E1000"),INDIRECT("'"&amp;AH$5&amp;"'!C6:C1000"),$AA91,INDIRECT("'"&amp;AH$5&amp;"'!F6:F1000"),"件"))</f>
        <v>0</v>
      </c>
      <c r="BG91">
        <f>IF(OR($AA91="",AI$5=""),0,SUMIFS(INDIRECT("'"&amp;AI$5&amp;"'!E6:E1000"),INDIRECT("'"&amp;AI$5&amp;"'!C6:C1000"),$AA91,INDIRECT("'"&amp;AI$5&amp;"'!F6:F1000"),"箱")+SUMIFS(INDIRECT("'"&amp;AI$5&amp;"'!E6:E1000"),INDIRECT("'"&amp;AI$5&amp;"'!C6:C1000"),$AA91,INDIRECT("'"&amp;AI$5&amp;"'!F6:F1000"),"件"))</f>
        <v>0</v>
      </c>
      <c r="BH91">
        <f>IF(OR($AA91="",AJ$5=""),0,SUMIFS(INDIRECT("'"&amp;AJ$5&amp;"'!E6:E1000"),INDIRECT("'"&amp;AJ$5&amp;"'!C6:C1000"),$AA91,INDIRECT("'"&amp;AJ$5&amp;"'!F6:F1000"),"箱")+SUMIFS(INDIRECT("'"&amp;AJ$5&amp;"'!E6:E1000"),INDIRECT("'"&amp;AJ$5&amp;"'!C6:C1000"),$AA91,INDIRECT("'"&amp;AJ$5&amp;"'!F6:F1000"),"件"))</f>
        <v>0</v>
      </c>
      <c r="BI91">
        <f>IF(OR($AA91="",AK$5=""),0,SUMIFS(INDIRECT("'"&amp;AK$5&amp;"'!E6:E1000"),INDIRECT("'"&amp;AK$5&amp;"'!C6:C1000"),$AA91,INDIRECT("'"&amp;AK$5&amp;"'!F6:F1000"),"箱")+SUMIFS(INDIRECT("'"&amp;AK$5&amp;"'!E6:E1000"),INDIRECT("'"&amp;AK$5&amp;"'!C6:C1000"),$AA91,INDIRECT("'"&amp;AK$5&amp;"'!F6:F1000"),"件"))</f>
        <v>0</v>
      </c>
      <c r="BJ91">
        <f>IF(OR($AA91="",AL$5=""),0,SUMIFS(INDIRECT("'"&amp;AL$5&amp;"'!E6:E1000"),INDIRECT("'"&amp;AL$5&amp;"'!C6:C1000"),$AA91,INDIRECT("'"&amp;AL$5&amp;"'!F6:F1000"),"箱")+SUMIFS(INDIRECT("'"&amp;AL$5&amp;"'!E6:E1000"),INDIRECT("'"&amp;AL$5&amp;"'!C6:C1000"),$AA91,INDIRECT("'"&amp;AL$5&amp;"'!F6:F1000"),"件"))</f>
        <v>0</v>
      </c>
      <c r="BK91">
        <f>IF(OR($AA91="",AM$5=""),0,SUMIFS(INDIRECT("'"&amp;AM$5&amp;"'!E6:E1000"),INDIRECT("'"&amp;AM$5&amp;"'!C6:C1000"),$AA91,INDIRECT("'"&amp;AM$5&amp;"'!F6:F1000"),"箱")+SUMIFS(INDIRECT("'"&amp;AM$5&amp;"'!E6:E1000"),INDIRECT("'"&amp;AM$5&amp;"'!C6:C1000"),$AA91,INDIRECT("'"&amp;AM$5&amp;"'!F6:F1000"),"件"))</f>
        <v>0</v>
      </c>
      <c r="BL91">
        <f>IF(OR($AA91="",AN$5=""),0,SUMIFS(INDIRECT("'"&amp;AN$5&amp;"'!E6:E1000"),INDIRECT("'"&amp;AN$5&amp;"'!C6:C1000"),$AA91,INDIRECT("'"&amp;AN$5&amp;"'!F6:F1000"),"箱")+SUMIFS(INDIRECT("'"&amp;AN$5&amp;"'!E6:E1000"),INDIRECT("'"&amp;AN$5&amp;"'!C6:C1000"),$AA91,INDIRECT("'"&amp;AN$5&amp;"'!F6:F1000"),"件"))</f>
        <v>0</v>
      </c>
      <c r="BM91">
        <f>(AO91-BA91)/$AB91+BA91</f>
        <v>0</v>
      </c>
      <c r="BN91">
        <f>(AP91-BB91)/$AB91+BB91</f>
        <v>0</v>
      </c>
      <c r="BO91">
        <f>(AQ91-BC91)/$AB91+BC91</f>
        <v>0</v>
      </c>
      <c r="BP91">
        <f>(AR91-BD91)/$AB91+BD91</f>
        <v>0</v>
      </c>
      <c r="BQ91">
        <f>(AS91-BE91)/$AB91+BE91</f>
        <v>0</v>
      </c>
      <c r="BR91">
        <f>(AT91-BF91)/$AB91+BF91</f>
        <v>0</v>
      </c>
      <c r="BS91">
        <f>(AU91-BG91)/$AB91+BG91</f>
        <v>0</v>
      </c>
      <c r="BT91">
        <f>(AV91-BH91)/$AB91+BH91</f>
        <v>0</v>
      </c>
      <c r="BU91">
        <f>(AW91-BI91)/$AB91+BI91</f>
        <v>0</v>
      </c>
      <c r="BV91">
        <f>(AX91-BJ91)/$AB91+BJ91</f>
        <v>0</v>
      </c>
      <c r="BW91">
        <f>(AY91-BK91)/$AB91+BK91</f>
        <v>0</v>
      </c>
      <c r="BX91">
        <f>(AZ91-BL91)/$AB91+BL91</f>
        <v>0</v>
      </c>
      <c r="BY91">
        <f>SUMPRODUCT((($AC$4:$AN$4=报损汇总一览!$A$3)+(报损汇总一览!$A$3="全年"))*AC91:AN91)</f>
        <v>0</v>
      </c>
      <c r="BZ91">
        <f>IF(BY91&gt;0,BY91+(1000-ROW())/10000000,"")</f>
      </c>
      <c r="CA91">
        <f>SUMPRODUCT((($AC$4:$AN$4=报损汇总一览!$A$3)+(报损汇总一览!$A$3="全年"))*AO91:AZ91)</f>
        <v>0</v>
      </c>
    </row>
    <row r="92">
      <c r="A92">
        <f>IF(OR(存条明细!C92="",存条明细!D92=""),"",IF(COUNTIFS(存条明细!$C$4:C92,存条明细!C92,存条明细!$D$4:D92,存条明细!D92)&gt;1,"",IFERROR(MATCH(存条明细!C92,总览汇总!$B$5:$B$304,0),900)*10000000+IFERROR(MATCH(存条明细!D92,基础资料!$E$5:$E$104,0),900)*10000+ROW()))</f>
        <v>240030092</v>
      </c>
      <c r="B92">
        <f>IFERROR(MATCH(SMALL($A$4:$A$4003,89),$A$4:$A$4003,0),"")</f>
        <v>56</v>
      </c>
      <c r="D92">
        <f>IF(AND(商品库存!B92&lt;&gt;"",商品库存!B92=客户查询!$B$4),COUNTIF(商品库存!$B$4:B92,客户查询!$B$4),"")</f>
      </c>
      <c r="E92">
        <f>IF(AND(商品库存!B92&lt;&gt;"",商品库存!B92=客户对账单!$B$4),COUNTIF(商品库存!$B$4:B92,客户对账单!$B$4),"")</f>
      </c>
      <c r="F92">
        <f>IF(AND(出库明细!C92&lt;&gt;"",出库明细!C92=客户对账单!$B$4,ISNUMBER(出库明细!B92),出库明细!B92&gt;=客户对账单!$G$4,出库明细!B92&lt;=客户对账单!$I$4),出库明细!B92+ROW()/100000,"")</f>
      </c>
      <c r="H92">
        <f>IF(AND(采购进货!C92&lt;&gt;"",采购进货!C92=供应商对账单!$B$4,ISNUMBER(采购进货!B92),采购进货!B92&gt;=供应商对账单!$G$4,采购进货!B92&lt;=供应商对账单!$I$4),采购进货!B92+ROW()/100000,"")</f>
      </c>
      <c r="J92">
        <f>IF(总览汇总!$B92="","",N(总览汇总!$K92)+SUMIFS(出库明细!$G$4:$G$3003,出库明细!$C$4:$C$3003,总览汇总!$B92,出库明细!$B$4:$B$3003,"&gt;="&amp;年初日,出库明细!$B$4:$B$3003,"&lt;="&amp;资产负债表!$D$3)-SUMIFS(资金台帐!$S$7:$S$3006,资金台帐!$J$7:$J$3006,总览汇总!$B92,资金台帐!$P$7:$P$3006,"应收",资金台帐!$B$7:$B$3006,"&gt;="&amp;年初日,资金台帐!$B$7:$B$3006,"&lt;="&amp;资产负债表!$D$3))</f>
      </c>
      <c r="N92">
        <f>IF(AND(ISNUMBER(出库明细!G92),ISNUMBER(出库明细!E92),ISNUMBER(出库明细!F92)),IF(ABS(出库明细!G92-出库明细!E92*出库明细!F92)&gt;0.005,1,0),0)</f>
        <v>0</v>
      </c>
      <c r="O92">
        <f>IF(AND(ISNUMBER(存条明细!G92),ISNUMBER(存条明细!E92),ISNUMBER(存条明细!F92)),IF(ABS(存条明细!G92-存条明细!E92*存条明细!F92)&gt;0.005,1,0),0)</f>
        <v>0</v>
      </c>
      <c r="AA92">
        <f>IF(基础资料!G91="","",基础资料!G91&amp;"")</f>
      </c>
      <c r="AB92">
        <f>IF(N(基础资料!I91)&lt;=0,1,基础资料!I91)</f>
        <v>1</v>
      </c>
      <c r="AC92">
        <f>IF(OR($AA92="",AC$5=""),0,SUMIF(INDIRECT("'"&amp;AC$5&amp;"'!C6:C1000"),$AA92,INDIRECT("'"&amp;AC$5&amp;"'!H6:H1000")))</f>
        <v>0</v>
      </c>
      <c r="AD92">
        <f>IF(OR($AA92="",AD$5=""),0,SUMIF(INDIRECT("'"&amp;AD$5&amp;"'!C6:C1000"),$AA92,INDIRECT("'"&amp;AD$5&amp;"'!H6:H1000")))</f>
        <v>0</v>
      </c>
      <c r="AE92">
        <f>IF(OR($AA92="",AE$5=""),0,SUMIF(INDIRECT("'"&amp;AE$5&amp;"'!C6:C1000"),$AA92,INDIRECT("'"&amp;AE$5&amp;"'!H6:H1000")))</f>
        <v>0</v>
      </c>
      <c r="AF92">
        <f>IF(OR($AA92="",AF$5=""),0,SUMIF(INDIRECT("'"&amp;AF$5&amp;"'!C6:C1000"),$AA92,INDIRECT("'"&amp;AF$5&amp;"'!H6:H1000")))</f>
        <v>0</v>
      </c>
      <c r="AG92">
        <f>IF(OR($AA92="",AG$5=""),0,SUMIF(INDIRECT("'"&amp;AG$5&amp;"'!C6:C1000"),$AA92,INDIRECT("'"&amp;AG$5&amp;"'!H6:H1000")))</f>
        <v>0</v>
      </c>
      <c r="AH92">
        <f>IF(OR($AA92="",AH$5=""),0,SUMIF(INDIRECT("'"&amp;AH$5&amp;"'!C6:C1000"),$AA92,INDIRECT("'"&amp;AH$5&amp;"'!H6:H1000")))</f>
        <v>0</v>
      </c>
      <c r="AI92">
        <f>IF(OR($AA92="",AI$5=""),0,SUMIF(INDIRECT("'"&amp;AI$5&amp;"'!C6:C1000"),$AA92,INDIRECT("'"&amp;AI$5&amp;"'!H6:H1000")))</f>
        <v>0</v>
      </c>
      <c r="AJ92">
        <f>IF(OR($AA92="",AJ$5=""),0,SUMIF(INDIRECT("'"&amp;AJ$5&amp;"'!C6:C1000"),$AA92,INDIRECT("'"&amp;AJ$5&amp;"'!H6:H1000")))</f>
        <v>0</v>
      </c>
      <c r="AK92">
        <f>IF(OR($AA92="",AK$5=""),0,SUMIF(INDIRECT("'"&amp;AK$5&amp;"'!C6:C1000"),$AA92,INDIRECT("'"&amp;AK$5&amp;"'!H6:H1000")))</f>
        <v>0</v>
      </c>
      <c r="AL92">
        <f>IF(OR($AA92="",AL$5=""),0,SUMIF(INDIRECT("'"&amp;AL$5&amp;"'!C6:C1000"),$AA92,INDIRECT("'"&amp;AL$5&amp;"'!H6:H1000")))</f>
        <v>0</v>
      </c>
      <c r="AM92">
        <f>IF(OR($AA92="",AM$5=""),0,SUMIF(INDIRECT("'"&amp;AM$5&amp;"'!C6:C1000"),$AA92,INDIRECT("'"&amp;AM$5&amp;"'!H6:H1000")))</f>
        <v>0</v>
      </c>
      <c r="AN92">
        <f>IF(OR($AA92="",AN$5=""),0,SUMIF(INDIRECT("'"&amp;AN$5&amp;"'!C6:C1000"),$AA92,INDIRECT("'"&amp;AN$5&amp;"'!H6:H1000")))</f>
        <v>0</v>
      </c>
      <c r="AO92">
        <f>IF(OR($AA92="",AC$5=""),0,SUMIF(INDIRECT("'"&amp;AC$5&amp;"'!C6:C1000"),$AA92,INDIRECT("'"&amp;AC$5&amp;"'!E6:E1000")))</f>
        <v>0</v>
      </c>
      <c r="AP92">
        <f>IF(OR($AA92="",AD$5=""),0,SUMIF(INDIRECT("'"&amp;AD$5&amp;"'!C6:C1000"),$AA92,INDIRECT("'"&amp;AD$5&amp;"'!E6:E1000")))</f>
        <v>0</v>
      </c>
      <c r="AQ92">
        <f>IF(OR($AA92="",AE$5=""),0,SUMIF(INDIRECT("'"&amp;AE$5&amp;"'!C6:C1000"),$AA92,INDIRECT("'"&amp;AE$5&amp;"'!E6:E1000")))</f>
        <v>0</v>
      </c>
      <c r="AR92">
        <f>IF(OR($AA92="",AF$5=""),0,SUMIF(INDIRECT("'"&amp;AF$5&amp;"'!C6:C1000"),$AA92,INDIRECT("'"&amp;AF$5&amp;"'!E6:E1000")))</f>
        <v>0</v>
      </c>
      <c r="AS92">
        <f>IF(OR($AA92="",AG$5=""),0,SUMIF(INDIRECT("'"&amp;AG$5&amp;"'!C6:C1000"),$AA92,INDIRECT("'"&amp;AG$5&amp;"'!E6:E1000")))</f>
        <v>0</v>
      </c>
      <c r="AT92">
        <f>IF(OR($AA92="",AH$5=""),0,SUMIF(INDIRECT("'"&amp;AH$5&amp;"'!C6:C1000"),$AA92,INDIRECT("'"&amp;AH$5&amp;"'!E6:E1000")))</f>
        <v>0</v>
      </c>
      <c r="AU92">
        <f>IF(OR($AA92="",AI$5=""),0,SUMIF(INDIRECT("'"&amp;AI$5&amp;"'!C6:C1000"),$AA92,INDIRECT("'"&amp;AI$5&amp;"'!E6:E1000")))</f>
        <v>0</v>
      </c>
      <c r="AV92">
        <f>IF(OR($AA92="",AJ$5=""),0,SUMIF(INDIRECT("'"&amp;AJ$5&amp;"'!C6:C1000"),$AA92,INDIRECT("'"&amp;AJ$5&amp;"'!E6:E1000")))</f>
        <v>0</v>
      </c>
      <c r="AW92">
        <f>IF(OR($AA92="",AK$5=""),0,SUMIF(INDIRECT("'"&amp;AK$5&amp;"'!C6:C1000"),$AA92,INDIRECT("'"&amp;AK$5&amp;"'!E6:E1000")))</f>
        <v>0</v>
      </c>
      <c r="AX92">
        <f>IF(OR($AA92="",AL$5=""),0,SUMIF(INDIRECT("'"&amp;AL$5&amp;"'!C6:C1000"),$AA92,INDIRECT("'"&amp;AL$5&amp;"'!E6:E1000")))</f>
        <v>0</v>
      </c>
      <c r="AY92">
        <f>IF(OR($AA92="",AM$5=""),0,SUMIF(INDIRECT("'"&amp;AM$5&amp;"'!C6:C1000"),$AA92,INDIRECT("'"&amp;AM$5&amp;"'!E6:E1000")))</f>
        <v>0</v>
      </c>
      <c r="AZ92">
        <f>IF(OR($AA92="",AN$5=""),0,SUMIF(INDIRECT("'"&amp;AN$5&amp;"'!C6:C1000"),$AA92,INDIRECT("'"&amp;AN$5&amp;"'!E6:E1000")))</f>
        <v>0</v>
      </c>
      <c r="BA92">
        <f>IF(OR($AA92="",AC$5=""),0,SUMIFS(INDIRECT("'"&amp;AC$5&amp;"'!E6:E1000"),INDIRECT("'"&amp;AC$5&amp;"'!C6:C1000"),$AA92,INDIRECT("'"&amp;AC$5&amp;"'!F6:F1000"),"箱")+SUMIFS(INDIRECT("'"&amp;AC$5&amp;"'!E6:E1000"),INDIRECT("'"&amp;AC$5&amp;"'!C6:C1000"),$AA92,INDIRECT("'"&amp;AC$5&amp;"'!F6:F1000"),"件"))</f>
        <v>0</v>
      </c>
      <c r="BB92">
        <f>IF(OR($AA92="",AD$5=""),0,SUMIFS(INDIRECT("'"&amp;AD$5&amp;"'!E6:E1000"),INDIRECT("'"&amp;AD$5&amp;"'!C6:C1000"),$AA92,INDIRECT("'"&amp;AD$5&amp;"'!F6:F1000"),"箱")+SUMIFS(INDIRECT("'"&amp;AD$5&amp;"'!E6:E1000"),INDIRECT("'"&amp;AD$5&amp;"'!C6:C1000"),$AA92,INDIRECT("'"&amp;AD$5&amp;"'!F6:F1000"),"件"))</f>
        <v>0</v>
      </c>
      <c r="BC92">
        <f>IF(OR($AA92="",AE$5=""),0,SUMIFS(INDIRECT("'"&amp;AE$5&amp;"'!E6:E1000"),INDIRECT("'"&amp;AE$5&amp;"'!C6:C1000"),$AA92,INDIRECT("'"&amp;AE$5&amp;"'!F6:F1000"),"箱")+SUMIFS(INDIRECT("'"&amp;AE$5&amp;"'!E6:E1000"),INDIRECT("'"&amp;AE$5&amp;"'!C6:C1000"),$AA92,INDIRECT("'"&amp;AE$5&amp;"'!F6:F1000"),"件"))</f>
        <v>0</v>
      </c>
      <c r="BD92">
        <f>IF(OR($AA92="",AF$5=""),0,SUMIFS(INDIRECT("'"&amp;AF$5&amp;"'!E6:E1000"),INDIRECT("'"&amp;AF$5&amp;"'!C6:C1000"),$AA92,INDIRECT("'"&amp;AF$5&amp;"'!F6:F1000"),"箱")+SUMIFS(INDIRECT("'"&amp;AF$5&amp;"'!E6:E1000"),INDIRECT("'"&amp;AF$5&amp;"'!C6:C1000"),$AA92,INDIRECT("'"&amp;AF$5&amp;"'!F6:F1000"),"件"))</f>
        <v>0</v>
      </c>
      <c r="BE92">
        <f>IF(OR($AA92="",AG$5=""),0,SUMIFS(INDIRECT("'"&amp;AG$5&amp;"'!E6:E1000"),INDIRECT("'"&amp;AG$5&amp;"'!C6:C1000"),$AA92,INDIRECT("'"&amp;AG$5&amp;"'!F6:F1000"),"箱")+SUMIFS(INDIRECT("'"&amp;AG$5&amp;"'!E6:E1000"),INDIRECT("'"&amp;AG$5&amp;"'!C6:C1000"),$AA92,INDIRECT("'"&amp;AG$5&amp;"'!F6:F1000"),"件"))</f>
        <v>0</v>
      </c>
      <c r="BF92">
        <f>IF(OR($AA92="",AH$5=""),0,SUMIFS(INDIRECT("'"&amp;AH$5&amp;"'!E6:E1000"),INDIRECT("'"&amp;AH$5&amp;"'!C6:C1000"),$AA92,INDIRECT("'"&amp;AH$5&amp;"'!F6:F1000"),"箱")+SUMIFS(INDIRECT("'"&amp;AH$5&amp;"'!E6:E1000"),INDIRECT("'"&amp;AH$5&amp;"'!C6:C1000"),$AA92,INDIRECT("'"&amp;AH$5&amp;"'!F6:F1000"),"件"))</f>
        <v>0</v>
      </c>
      <c r="BG92">
        <f>IF(OR($AA92="",AI$5=""),0,SUMIFS(INDIRECT("'"&amp;AI$5&amp;"'!E6:E1000"),INDIRECT("'"&amp;AI$5&amp;"'!C6:C1000"),$AA92,INDIRECT("'"&amp;AI$5&amp;"'!F6:F1000"),"箱")+SUMIFS(INDIRECT("'"&amp;AI$5&amp;"'!E6:E1000"),INDIRECT("'"&amp;AI$5&amp;"'!C6:C1000"),$AA92,INDIRECT("'"&amp;AI$5&amp;"'!F6:F1000"),"件"))</f>
        <v>0</v>
      </c>
      <c r="BH92">
        <f>IF(OR($AA92="",AJ$5=""),0,SUMIFS(INDIRECT("'"&amp;AJ$5&amp;"'!E6:E1000"),INDIRECT("'"&amp;AJ$5&amp;"'!C6:C1000"),$AA92,INDIRECT("'"&amp;AJ$5&amp;"'!F6:F1000"),"箱")+SUMIFS(INDIRECT("'"&amp;AJ$5&amp;"'!E6:E1000"),INDIRECT("'"&amp;AJ$5&amp;"'!C6:C1000"),$AA92,INDIRECT("'"&amp;AJ$5&amp;"'!F6:F1000"),"件"))</f>
        <v>0</v>
      </c>
      <c r="BI92">
        <f>IF(OR($AA92="",AK$5=""),0,SUMIFS(INDIRECT("'"&amp;AK$5&amp;"'!E6:E1000"),INDIRECT("'"&amp;AK$5&amp;"'!C6:C1000"),$AA92,INDIRECT("'"&amp;AK$5&amp;"'!F6:F1000"),"箱")+SUMIFS(INDIRECT("'"&amp;AK$5&amp;"'!E6:E1000"),INDIRECT("'"&amp;AK$5&amp;"'!C6:C1000"),$AA92,INDIRECT("'"&amp;AK$5&amp;"'!F6:F1000"),"件"))</f>
        <v>0</v>
      </c>
      <c r="BJ92">
        <f>IF(OR($AA92="",AL$5=""),0,SUMIFS(INDIRECT("'"&amp;AL$5&amp;"'!E6:E1000"),INDIRECT("'"&amp;AL$5&amp;"'!C6:C1000"),$AA92,INDIRECT("'"&amp;AL$5&amp;"'!F6:F1000"),"箱")+SUMIFS(INDIRECT("'"&amp;AL$5&amp;"'!E6:E1000"),INDIRECT("'"&amp;AL$5&amp;"'!C6:C1000"),$AA92,INDIRECT("'"&amp;AL$5&amp;"'!F6:F1000"),"件"))</f>
        <v>0</v>
      </c>
      <c r="BK92">
        <f>IF(OR($AA92="",AM$5=""),0,SUMIFS(INDIRECT("'"&amp;AM$5&amp;"'!E6:E1000"),INDIRECT("'"&amp;AM$5&amp;"'!C6:C1000"),$AA92,INDIRECT("'"&amp;AM$5&amp;"'!F6:F1000"),"箱")+SUMIFS(INDIRECT("'"&amp;AM$5&amp;"'!E6:E1000"),INDIRECT("'"&amp;AM$5&amp;"'!C6:C1000"),$AA92,INDIRECT("'"&amp;AM$5&amp;"'!F6:F1000"),"件"))</f>
        <v>0</v>
      </c>
      <c r="BL92">
        <f>IF(OR($AA92="",AN$5=""),0,SUMIFS(INDIRECT("'"&amp;AN$5&amp;"'!E6:E1000"),INDIRECT("'"&amp;AN$5&amp;"'!C6:C1000"),$AA92,INDIRECT("'"&amp;AN$5&amp;"'!F6:F1000"),"箱")+SUMIFS(INDIRECT("'"&amp;AN$5&amp;"'!E6:E1000"),INDIRECT("'"&amp;AN$5&amp;"'!C6:C1000"),$AA92,INDIRECT("'"&amp;AN$5&amp;"'!F6:F1000"),"件"))</f>
        <v>0</v>
      </c>
      <c r="BM92">
        <f>(AO92-BA92)/$AB92+BA92</f>
        <v>0</v>
      </c>
      <c r="BN92">
        <f>(AP92-BB92)/$AB92+BB92</f>
        <v>0</v>
      </c>
      <c r="BO92">
        <f>(AQ92-BC92)/$AB92+BC92</f>
        <v>0</v>
      </c>
      <c r="BP92">
        <f>(AR92-BD92)/$AB92+BD92</f>
        <v>0</v>
      </c>
      <c r="BQ92">
        <f>(AS92-BE92)/$AB92+BE92</f>
        <v>0</v>
      </c>
      <c r="BR92">
        <f>(AT92-BF92)/$AB92+BF92</f>
        <v>0</v>
      </c>
      <c r="BS92">
        <f>(AU92-BG92)/$AB92+BG92</f>
        <v>0</v>
      </c>
      <c r="BT92">
        <f>(AV92-BH92)/$AB92+BH92</f>
        <v>0</v>
      </c>
      <c r="BU92">
        <f>(AW92-BI92)/$AB92+BI92</f>
        <v>0</v>
      </c>
      <c r="BV92">
        <f>(AX92-BJ92)/$AB92+BJ92</f>
        <v>0</v>
      </c>
      <c r="BW92">
        <f>(AY92-BK92)/$AB92+BK92</f>
        <v>0</v>
      </c>
      <c r="BX92">
        <f>(AZ92-BL92)/$AB92+BL92</f>
        <v>0</v>
      </c>
      <c r="BY92">
        <f>SUMPRODUCT((($AC$4:$AN$4=报损汇总一览!$A$3)+(报损汇总一览!$A$3="全年"))*AC92:AN92)</f>
        <v>0</v>
      </c>
      <c r="BZ92">
        <f>IF(BY92&gt;0,BY92+(1000-ROW())/10000000,"")</f>
      </c>
      <c r="CA92">
        <f>SUMPRODUCT((($AC$4:$AN$4=报损汇总一览!$A$3)+(报损汇总一览!$A$3="全年"))*AO92:AZ92)</f>
        <v>0</v>
      </c>
    </row>
    <row r="93">
      <c r="A93">
        <f>IF(OR(存条明细!C93="",存条明细!D93=""),"",IF(COUNTIFS(存条明细!$C$4:C93,存条明细!C93,存条明细!$D$4:D93,存条明细!D93)&gt;1,"",IFERROR(MATCH(存条明细!C93,总览汇总!$B$5:$B$304,0),900)*10000000+IFERROR(MATCH(存条明细!D93,基础资料!$E$5:$E$104,0),900)*10000+ROW()))</f>
        <v>240040093</v>
      </c>
      <c r="B93">
        <f>IFERROR(MATCH(SMALL($A$4:$A$4003,90),$A$4:$A$4003,0),"")</f>
        <v>57</v>
      </c>
      <c r="D93">
        <f>IF(AND(商品库存!B93&lt;&gt;"",商品库存!B93=客户查询!$B$4),COUNTIF(商品库存!$B$4:B93,客户查询!$B$4),"")</f>
      </c>
      <c r="E93">
        <f>IF(AND(商品库存!B93&lt;&gt;"",商品库存!B93=客户对账单!$B$4),COUNTIF(商品库存!$B$4:B93,客户对账单!$B$4),"")</f>
      </c>
      <c r="F93">
        <f>IF(AND(出库明细!C93&lt;&gt;"",出库明细!C93=客户对账单!$B$4,ISNUMBER(出库明细!B93),出库明细!B93&gt;=客户对账单!$G$4,出库明细!B93&lt;=客户对账单!$I$4),出库明细!B93+ROW()/100000,"")</f>
      </c>
      <c r="H93">
        <f>IF(AND(采购进货!C93&lt;&gt;"",采购进货!C93=供应商对账单!$B$4,ISNUMBER(采购进货!B93),采购进货!B93&gt;=供应商对账单!$G$4,采购进货!B93&lt;=供应商对账单!$I$4),采购进货!B93+ROW()/100000,"")</f>
      </c>
      <c r="J93">
        <f>IF(总览汇总!$B93="","",N(总览汇总!$K93)+SUMIFS(出库明细!$G$4:$G$3003,出库明细!$C$4:$C$3003,总览汇总!$B93,出库明细!$B$4:$B$3003,"&gt;="&amp;年初日,出库明细!$B$4:$B$3003,"&lt;="&amp;资产负债表!$D$3)-SUMIFS(资金台帐!$S$7:$S$3006,资金台帐!$J$7:$J$3006,总览汇总!$B93,资金台帐!$P$7:$P$3006,"应收",资金台帐!$B$7:$B$3006,"&gt;="&amp;年初日,资金台帐!$B$7:$B$3006,"&lt;="&amp;资产负债表!$D$3))</f>
      </c>
      <c r="N93">
        <f>IF(AND(ISNUMBER(出库明细!G93),ISNUMBER(出库明细!E93),ISNUMBER(出库明细!F93)),IF(ABS(出库明细!G93-出库明细!E93*出库明细!F93)&gt;0.005,1,0),0)</f>
        <v>0</v>
      </c>
      <c r="O93">
        <f>IF(AND(ISNUMBER(存条明细!G93),ISNUMBER(存条明细!E93),ISNUMBER(存条明细!F93)),IF(ABS(存条明细!G93-存条明细!E93*存条明细!F93)&gt;0.005,1,0),0)</f>
        <v>0</v>
      </c>
      <c r="AA93">
        <f>IF(基础资料!G92="","",基础资料!G92&amp;"")</f>
      </c>
      <c r="AB93">
        <f>IF(N(基础资料!I92)&lt;=0,1,基础资料!I92)</f>
        <v>1</v>
      </c>
      <c r="AC93">
        <f>IF(OR($AA93="",AC$5=""),0,SUMIF(INDIRECT("'"&amp;AC$5&amp;"'!C6:C1000"),$AA93,INDIRECT("'"&amp;AC$5&amp;"'!H6:H1000")))</f>
        <v>0</v>
      </c>
      <c r="AD93">
        <f>IF(OR($AA93="",AD$5=""),0,SUMIF(INDIRECT("'"&amp;AD$5&amp;"'!C6:C1000"),$AA93,INDIRECT("'"&amp;AD$5&amp;"'!H6:H1000")))</f>
        <v>0</v>
      </c>
      <c r="AE93">
        <f>IF(OR($AA93="",AE$5=""),0,SUMIF(INDIRECT("'"&amp;AE$5&amp;"'!C6:C1000"),$AA93,INDIRECT("'"&amp;AE$5&amp;"'!H6:H1000")))</f>
        <v>0</v>
      </c>
      <c r="AF93">
        <f>IF(OR($AA93="",AF$5=""),0,SUMIF(INDIRECT("'"&amp;AF$5&amp;"'!C6:C1000"),$AA93,INDIRECT("'"&amp;AF$5&amp;"'!H6:H1000")))</f>
        <v>0</v>
      </c>
      <c r="AG93">
        <f>IF(OR($AA93="",AG$5=""),0,SUMIF(INDIRECT("'"&amp;AG$5&amp;"'!C6:C1000"),$AA93,INDIRECT("'"&amp;AG$5&amp;"'!H6:H1000")))</f>
        <v>0</v>
      </c>
      <c r="AH93">
        <f>IF(OR($AA93="",AH$5=""),0,SUMIF(INDIRECT("'"&amp;AH$5&amp;"'!C6:C1000"),$AA93,INDIRECT("'"&amp;AH$5&amp;"'!H6:H1000")))</f>
        <v>0</v>
      </c>
      <c r="AI93">
        <f>IF(OR($AA93="",AI$5=""),0,SUMIF(INDIRECT("'"&amp;AI$5&amp;"'!C6:C1000"),$AA93,INDIRECT("'"&amp;AI$5&amp;"'!H6:H1000")))</f>
        <v>0</v>
      </c>
      <c r="AJ93">
        <f>IF(OR($AA93="",AJ$5=""),0,SUMIF(INDIRECT("'"&amp;AJ$5&amp;"'!C6:C1000"),$AA93,INDIRECT("'"&amp;AJ$5&amp;"'!H6:H1000")))</f>
        <v>0</v>
      </c>
      <c r="AK93">
        <f>IF(OR($AA93="",AK$5=""),0,SUMIF(INDIRECT("'"&amp;AK$5&amp;"'!C6:C1000"),$AA93,INDIRECT("'"&amp;AK$5&amp;"'!H6:H1000")))</f>
        <v>0</v>
      </c>
      <c r="AL93">
        <f>IF(OR($AA93="",AL$5=""),0,SUMIF(INDIRECT("'"&amp;AL$5&amp;"'!C6:C1000"),$AA93,INDIRECT("'"&amp;AL$5&amp;"'!H6:H1000")))</f>
        <v>0</v>
      </c>
      <c r="AM93">
        <f>IF(OR($AA93="",AM$5=""),0,SUMIF(INDIRECT("'"&amp;AM$5&amp;"'!C6:C1000"),$AA93,INDIRECT("'"&amp;AM$5&amp;"'!H6:H1000")))</f>
        <v>0</v>
      </c>
      <c r="AN93">
        <f>IF(OR($AA93="",AN$5=""),0,SUMIF(INDIRECT("'"&amp;AN$5&amp;"'!C6:C1000"),$AA93,INDIRECT("'"&amp;AN$5&amp;"'!H6:H1000")))</f>
        <v>0</v>
      </c>
      <c r="AO93">
        <f>IF(OR($AA93="",AC$5=""),0,SUMIF(INDIRECT("'"&amp;AC$5&amp;"'!C6:C1000"),$AA93,INDIRECT("'"&amp;AC$5&amp;"'!E6:E1000")))</f>
        <v>0</v>
      </c>
      <c r="AP93">
        <f>IF(OR($AA93="",AD$5=""),0,SUMIF(INDIRECT("'"&amp;AD$5&amp;"'!C6:C1000"),$AA93,INDIRECT("'"&amp;AD$5&amp;"'!E6:E1000")))</f>
        <v>0</v>
      </c>
      <c r="AQ93">
        <f>IF(OR($AA93="",AE$5=""),0,SUMIF(INDIRECT("'"&amp;AE$5&amp;"'!C6:C1000"),$AA93,INDIRECT("'"&amp;AE$5&amp;"'!E6:E1000")))</f>
        <v>0</v>
      </c>
      <c r="AR93">
        <f>IF(OR($AA93="",AF$5=""),0,SUMIF(INDIRECT("'"&amp;AF$5&amp;"'!C6:C1000"),$AA93,INDIRECT("'"&amp;AF$5&amp;"'!E6:E1000")))</f>
        <v>0</v>
      </c>
      <c r="AS93">
        <f>IF(OR($AA93="",AG$5=""),0,SUMIF(INDIRECT("'"&amp;AG$5&amp;"'!C6:C1000"),$AA93,INDIRECT("'"&amp;AG$5&amp;"'!E6:E1000")))</f>
        <v>0</v>
      </c>
      <c r="AT93">
        <f>IF(OR($AA93="",AH$5=""),0,SUMIF(INDIRECT("'"&amp;AH$5&amp;"'!C6:C1000"),$AA93,INDIRECT("'"&amp;AH$5&amp;"'!E6:E1000")))</f>
        <v>0</v>
      </c>
      <c r="AU93">
        <f>IF(OR($AA93="",AI$5=""),0,SUMIF(INDIRECT("'"&amp;AI$5&amp;"'!C6:C1000"),$AA93,INDIRECT("'"&amp;AI$5&amp;"'!E6:E1000")))</f>
        <v>0</v>
      </c>
      <c r="AV93">
        <f>IF(OR($AA93="",AJ$5=""),0,SUMIF(INDIRECT("'"&amp;AJ$5&amp;"'!C6:C1000"),$AA93,INDIRECT("'"&amp;AJ$5&amp;"'!E6:E1000")))</f>
        <v>0</v>
      </c>
      <c r="AW93">
        <f>IF(OR($AA93="",AK$5=""),0,SUMIF(INDIRECT("'"&amp;AK$5&amp;"'!C6:C1000"),$AA93,INDIRECT("'"&amp;AK$5&amp;"'!E6:E1000")))</f>
        <v>0</v>
      </c>
      <c r="AX93">
        <f>IF(OR($AA93="",AL$5=""),0,SUMIF(INDIRECT("'"&amp;AL$5&amp;"'!C6:C1000"),$AA93,INDIRECT("'"&amp;AL$5&amp;"'!E6:E1000")))</f>
        <v>0</v>
      </c>
      <c r="AY93">
        <f>IF(OR($AA93="",AM$5=""),0,SUMIF(INDIRECT("'"&amp;AM$5&amp;"'!C6:C1000"),$AA93,INDIRECT("'"&amp;AM$5&amp;"'!E6:E1000")))</f>
        <v>0</v>
      </c>
      <c r="AZ93">
        <f>IF(OR($AA93="",AN$5=""),0,SUMIF(INDIRECT("'"&amp;AN$5&amp;"'!C6:C1000"),$AA93,INDIRECT("'"&amp;AN$5&amp;"'!E6:E1000")))</f>
        <v>0</v>
      </c>
      <c r="BA93">
        <f>IF(OR($AA93="",AC$5=""),0,SUMIFS(INDIRECT("'"&amp;AC$5&amp;"'!E6:E1000"),INDIRECT("'"&amp;AC$5&amp;"'!C6:C1000"),$AA93,INDIRECT("'"&amp;AC$5&amp;"'!F6:F1000"),"箱")+SUMIFS(INDIRECT("'"&amp;AC$5&amp;"'!E6:E1000"),INDIRECT("'"&amp;AC$5&amp;"'!C6:C1000"),$AA93,INDIRECT("'"&amp;AC$5&amp;"'!F6:F1000"),"件"))</f>
        <v>0</v>
      </c>
      <c r="BB93">
        <f>IF(OR($AA93="",AD$5=""),0,SUMIFS(INDIRECT("'"&amp;AD$5&amp;"'!E6:E1000"),INDIRECT("'"&amp;AD$5&amp;"'!C6:C1000"),$AA93,INDIRECT("'"&amp;AD$5&amp;"'!F6:F1000"),"箱")+SUMIFS(INDIRECT("'"&amp;AD$5&amp;"'!E6:E1000"),INDIRECT("'"&amp;AD$5&amp;"'!C6:C1000"),$AA93,INDIRECT("'"&amp;AD$5&amp;"'!F6:F1000"),"件"))</f>
        <v>0</v>
      </c>
      <c r="BC93">
        <f>IF(OR($AA93="",AE$5=""),0,SUMIFS(INDIRECT("'"&amp;AE$5&amp;"'!E6:E1000"),INDIRECT("'"&amp;AE$5&amp;"'!C6:C1000"),$AA93,INDIRECT("'"&amp;AE$5&amp;"'!F6:F1000"),"箱")+SUMIFS(INDIRECT("'"&amp;AE$5&amp;"'!E6:E1000"),INDIRECT("'"&amp;AE$5&amp;"'!C6:C1000"),$AA93,INDIRECT("'"&amp;AE$5&amp;"'!F6:F1000"),"件"))</f>
        <v>0</v>
      </c>
      <c r="BD93">
        <f>IF(OR($AA93="",AF$5=""),0,SUMIFS(INDIRECT("'"&amp;AF$5&amp;"'!E6:E1000"),INDIRECT("'"&amp;AF$5&amp;"'!C6:C1000"),$AA93,INDIRECT("'"&amp;AF$5&amp;"'!F6:F1000"),"箱")+SUMIFS(INDIRECT("'"&amp;AF$5&amp;"'!E6:E1000"),INDIRECT("'"&amp;AF$5&amp;"'!C6:C1000"),$AA93,INDIRECT("'"&amp;AF$5&amp;"'!F6:F1000"),"件"))</f>
        <v>0</v>
      </c>
      <c r="BE93">
        <f>IF(OR($AA93="",AG$5=""),0,SUMIFS(INDIRECT("'"&amp;AG$5&amp;"'!E6:E1000"),INDIRECT("'"&amp;AG$5&amp;"'!C6:C1000"),$AA93,INDIRECT("'"&amp;AG$5&amp;"'!F6:F1000"),"箱")+SUMIFS(INDIRECT("'"&amp;AG$5&amp;"'!E6:E1000"),INDIRECT("'"&amp;AG$5&amp;"'!C6:C1000"),$AA93,INDIRECT("'"&amp;AG$5&amp;"'!F6:F1000"),"件"))</f>
        <v>0</v>
      </c>
      <c r="BF93">
        <f>IF(OR($AA93="",AH$5=""),0,SUMIFS(INDIRECT("'"&amp;AH$5&amp;"'!E6:E1000"),INDIRECT("'"&amp;AH$5&amp;"'!C6:C1000"),$AA93,INDIRECT("'"&amp;AH$5&amp;"'!F6:F1000"),"箱")+SUMIFS(INDIRECT("'"&amp;AH$5&amp;"'!E6:E1000"),INDIRECT("'"&amp;AH$5&amp;"'!C6:C1000"),$AA93,INDIRECT("'"&amp;AH$5&amp;"'!F6:F1000"),"件"))</f>
        <v>0</v>
      </c>
      <c r="BG93">
        <f>IF(OR($AA93="",AI$5=""),0,SUMIFS(INDIRECT("'"&amp;AI$5&amp;"'!E6:E1000"),INDIRECT("'"&amp;AI$5&amp;"'!C6:C1000"),$AA93,INDIRECT("'"&amp;AI$5&amp;"'!F6:F1000"),"箱")+SUMIFS(INDIRECT("'"&amp;AI$5&amp;"'!E6:E1000"),INDIRECT("'"&amp;AI$5&amp;"'!C6:C1000"),$AA93,INDIRECT("'"&amp;AI$5&amp;"'!F6:F1000"),"件"))</f>
        <v>0</v>
      </c>
      <c r="BH93">
        <f>IF(OR($AA93="",AJ$5=""),0,SUMIFS(INDIRECT("'"&amp;AJ$5&amp;"'!E6:E1000"),INDIRECT("'"&amp;AJ$5&amp;"'!C6:C1000"),$AA93,INDIRECT("'"&amp;AJ$5&amp;"'!F6:F1000"),"箱")+SUMIFS(INDIRECT("'"&amp;AJ$5&amp;"'!E6:E1000"),INDIRECT("'"&amp;AJ$5&amp;"'!C6:C1000"),$AA93,INDIRECT("'"&amp;AJ$5&amp;"'!F6:F1000"),"件"))</f>
        <v>0</v>
      </c>
      <c r="BI93">
        <f>IF(OR($AA93="",AK$5=""),0,SUMIFS(INDIRECT("'"&amp;AK$5&amp;"'!E6:E1000"),INDIRECT("'"&amp;AK$5&amp;"'!C6:C1000"),$AA93,INDIRECT("'"&amp;AK$5&amp;"'!F6:F1000"),"箱")+SUMIFS(INDIRECT("'"&amp;AK$5&amp;"'!E6:E1000"),INDIRECT("'"&amp;AK$5&amp;"'!C6:C1000"),$AA93,INDIRECT("'"&amp;AK$5&amp;"'!F6:F1000"),"件"))</f>
        <v>0</v>
      </c>
      <c r="BJ93">
        <f>IF(OR($AA93="",AL$5=""),0,SUMIFS(INDIRECT("'"&amp;AL$5&amp;"'!E6:E1000"),INDIRECT("'"&amp;AL$5&amp;"'!C6:C1000"),$AA93,INDIRECT("'"&amp;AL$5&amp;"'!F6:F1000"),"箱")+SUMIFS(INDIRECT("'"&amp;AL$5&amp;"'!E6:E1000"),INDIRECT("'"&amp;AL$5&amp;"'!C6:C1000"),$AA93,INDIRECT("'"&amp;AL$5&amp;"'!F6:F1000"),"件"))</f>
        <v>0</v>
      </c>
      <c r="BK93">
        <f>IF(OR($AA93="",AM$5=""),0,SUMIFS(INDIRECT("'"&amp;AM$5&amp;"'!E6:E1000"),INDIRECT("'"&amp;AM$5&amp;"'!C6:C1000"),$AA93,INDIRECT("'"&amp;AM$5&amp;"'!F6:F1000"),"箱")+SUMIFS(INDIRECT("'"&amp;AM$5&amp;"'!E6:E1000"),INDIRECT("'"&amp;AM$5&amp;"'!C6:C1000"),$AA93,INDIRECT("'"&amp;AM$5&amp;"'!F6:F1000"),"件"))</f>
        <v>0</v>
      </c>
      <c r="BL93">
        <f>IF(OR($AA93="",AN$5=""),0,SUMIFS(INDIRECT("'"&amp;AN$5&amp;"'!E6:E1000"),INDIRECT("'"&amp;AN$5&amp;"'!C6:C1000"),$AA93,INDIRECT("'"&amp;AN$5&amp;"'!F6:F1000"),"箱")+SUMIFS(INDIRECT("'"&amp;AN$5&amp;"'!E6:E1000"),INDIRECT("'"&amp;AN$5&amp;"'!C6:C1000"),$AA93,INDIRECT("'"&amp;AN$5&amp;"'!F6:F1000"),"件"))</f>
        <v>0</v>
      </c>
      <c r="BM93">
        <f>(AO93-BA93)/$AB93+BA93</f>
        <v>0</v>
      </c>
      <c r="BN93">
        <f>(AP93-BB93)/$AB93+BB93</f>
        <v>0</v>
      </c>
      <c r="BO93">
        <f>(AQ93-BC93)/$AB93+BC93</f>
        <v>0</v>
      </c>
      <c r="BP93">
        <f>(AR93-BD93)/$AB93+BD93</f>
        <v>0</v>
      </c>
      <c r="BQ93">
        <f>(AS93-BE93)/$AB93+BE93</f>
        <v>0</v>
      </c>
      <c r="BR93">
        <f>(AT93-BF93)/$AB93+BF93</f>
        <v>0</v>
      </c>
      <c r="BS93">
        <f>(AU93-BG93)/$AB93+BG93</f>
        <v>0</v>
      </c>
      <c r="BT93">
        <f>(AV93-BH93)/$AB93+BH93</f>
        <v>0</v>
      </c>
      <c r="BU93">
        <f>(AW93-BI93)/$AB93+BI93</f>
        <v>0</v>
      </c>
      <c r="BV93">
        <f>(AX93-BJ93)/$AB93+BJ93</f>
        <v>0</v>
      </c>
      <c r="BW93">
        <f>(AY93-BK93)/$AB93+BK93</f>
        <v>0</v>
      </c>
      <c r="BX93">
        <f>(AZ93-BL93)/$AB93+BL93</f>
        <v>0</v>
      </c>
      <c r="BY93">
        <f>SUMPRODUCT((($AC$4:$AN$4=报损汇总一览!$A$3)+(报损汇总一览!$A$3="全年"))*AC93:AN93)</f>
        <v>0</v>
      </c>
      <c r="BZ93">
        <f>IF(BY93&gt;0,BY93+(1000-ROW())/10000000,"")</f>
      </c>
      <c r="CA93">
        <f>SUMPRODUCT((($AC$4:$AN$4=报损汇总一览!$A$3)+(报损汇总一览!$A$3="全年"))*AO93:AZ93)</f>
        <v>0</v>
      </c>
    </row>
    <row r="94">
      <c r="A94">
        <f>IF(OR(存条明细!C94="",存条明细!D94=""),"",IF(COUNTIFS(存条明细!$C$4:C94,存条明细!C94,存条明细!$D$4:D94,存条明细!D94)&gt;1,"",IFERROR(MATCH(存条明细!C94,总览汇总!$B$5:$B$304,0),900)*10000000+IFERROR(MATCH(存条明细!D94,基础资料!$E$5:$E$104,0),900)*10000+ROW()))</f>
        <v>240070094</v>
      </c>
      <c r="B94">
        <f>IFERROR(MATCH(SMALL($A$4:$A$4003,91),$A$4:$A$4003,0),"")</f>
        <v>235</v>
      </c>
      <c r="D94">
        <f>IF(AND(商品库存!B94&lt;&gt;"",商品库存!B94=客户查询!$B$4),COUNTIF(商品库存!$B$4:B94,客户查询!$B$4),"")</f>
      </c>
      <c r="E94">
        <f>IF(AND(商品库存!B94&lt;&gt;"",商品库存!B94=客户对账单!$B$4),COUNTIF(商品库存!$B$4:B94,客户对账单!$B$4),"")</f>
      </c>
      <c r="F94">
        <f>IF(AND(出库明细!C94&lt;&gt;"",出库明细!C94=客户对账单!$B$4,ISNUMBER(出库明细!B94),出库明细!B94&gt;=客户对账单!$G$4,出库明细!B94&lt;=客户对账单!$I$4),出库明细!B94+ROW()/100000,"")</f>
      </c>
      <c r="H94">
        <f>IF(AND(采购进货!C94&lt;&gt;"",采购进货!C94=供应商对账单!$B$4,ISNUMBER(采购进货!B94),采购进货!B94&gt;=供应商对账单!$G$4,采购进货!B94&lt;=供应商对账单!$I$4),采购进货!B94+ROW()/100000,"")</f>
      </c>
      <c r="J94">
        <f>IF(总览汇总!$B94="","",N(总览汇总!$K94)+SUMIFS(出库明细!$G$4:$G$3003,出库明细!$C$4:$C$3003,总览汇总!$B94,出库明细!$B$4:$B$3003,"&gt;="&amp;年初日,出库明细!$B$4:$B$3003,"&lt;="&amp;资产负债表!$D$3)-SUMIFS(资金台帐!$S$7:$S$3006,资金台帐!$J$7:$J$3006,总览汇总!$B94,资金台帐!$P$7:$P$3006,"应收",资金台帐!$B$7:$B$3006,"&gt;="&amp;年初日,资金台帐!$B$7:$B$3006,"&lt;="&amp;资产负债表!$D$3))</f>
      </c>
      <c r="N94">
        <f>IF(AND(ISNUMBER(出库明细!G94),ISNUMBER(出库明细!E94),ISNUMBER(出库明细!F94)),IF(ABS(出库明细!G94-出库明细!E94*出库明细!F94)&gt;0.005,1,0),0)</f>
        <v>0</v>
      </c>
      <c r="O94">
        <f>IF(AND(ISNUMBER(存条明细!G94),ISNUMBER(存条明细!E94),ISNUMBER(存条明细!F94)),IF(ABS(存条明细!G94-存条明细!E94*存条明细!F94)&gt;0.005,1,0),0)</f>
        <v>0</v>
      </c>
      <c r="AA94">
        <f>IF(基础资料!G93="","",基础资料!G93&amp;"")</f>
      </c>
      <c r="AB94">
        <f>IF(N(基础资料!I93)&lt;=0,1,基础资料!I93)</f>
        <v>1</v>
      </c>
      <c r="AC94">
        <f>IF(OR($AA94="",AC$5=""),0,SUMIF(INDIRECT("'"&amp;AC$5&amp;"'!C6:C1000"),$AA94,INDIRECT("'"&amp;AC$5&amp;"'!H6:H1000")))</f>
        <v>0</v>
      </c>
      <c r="AD94">
        <f>IF(OR($AA94="",AD$5=""),0,SUMIF(INDIRECT("'"&amp;AD$5&amp;"'!C6:C1000"),$AA94,INDIRECT("'"&amp;AD$5&amp;"'!H6:H1000")))</f>
        <v>0</v>
      </c>
      <c r="AE94">
        <f>IF(OR($AA94="",AE$5=""),0,SUMIF(INDIRECT("'"&amp;AE$5&amp;"'!C6:C1000"),$AA94,INDIRECT("'"&amp;AE$5&amp;"'!H6:H1000")))</f>
        <v>0</v>
      </c>
      <c r="AF94">
        <f>IF(OR($AA94="",AF$5=""),0,SUMIF(INDIRECT("'"&amp;AF$5&amp;"'!C6:C1000"),$AA94,INDIRECT("'"&amp;AF$5&amp;"'!H6:H1000")))</f>
        <v>0</v>
      </c>
      <c r="AG94">
        <f>IF(OR($AA94="",AG$5=""),0,SUMIF(INDIRECT("'"&amp;AG$5&amp;"'!C6:C1000"),$AA94,INDIRECT("'"&amp;AG$5&amp;"'!H6:H1000")))</f>
        <v>0</v>
      </c>
      <c r="AH94">
        <f>IF(OR($AA94="",AH$5=""),0,SUMIF(INDIRECT("'"&amp;AH$5&amp;"'!C6:C1000"),$AA94,INDIRECT("'"&amp;AH$5&amp;"'!H6:H1000")))</f>
        <v>0</v>
      </c>
      <c r="AI94">
        <f>IF(OR($AA94="",AI$5=""),0,SUMIF(INDIRECT("'"&amp;AI$5&amp;"'!C6:C1000"),$AA94,INDIRECT("'"&amp;AI$5&amp;"'!H6:H1000")))</f>
        <v>0</v>
      </c>
      <c r="AJ94">
        <f>IF(OR($AA94="",AJ$5=""),0,SUMIF(INDIRECT("'"&amp;AJ$5&amp;"'!C6:C1000"),$AA94,INDIRECT("'"&amp;AJ$5&amp;"'!H6:H1000")))</f>
        <v>0</v>
      </c>
      <c r="AK94">
        <f>IF(OR($AA94="",AK$5=""),0,SUMIF(INDIRECT("'"&amp;AK$5&amp;"'!C6:C1000"),$AA94,INDIRECT("'"&amp;AK$5&amp;"'!H6:H1000")))</f>
        <v>0</v>
      </c>
      <c r="AL94">
        <f>IF(OR($AA94="",AL$5=""),0,SUMIF(INDIRECT("'"&amp;AL$5&amp;"'!C6:C1000"),$AA94,INDIRECT("'"&amp;AL$5&amp;"'!H6:H1000")))</f>
        <v>0</v>
      </c>
      <c r="AM94">
        <f>IF(OR($AA94="",AM$5=""),0,SUMIF(INDIRECT("'"&amp;AM$5&amp;"'!C6:C1000"),$AA94,INDIRECT("'"&amp;AM$5&amp;"'!H6:H1000")))</f>
        <v>0</v>
      </c>
      <c r="AN94">
        <f>IF(OR($AA94="",AN$5=""),0,SUMIF(INDIRECT("'"&amp;AN$5&amp;"'!C6:C1000"),$AA94,INDIRECT("'"&amp;AN$5&amp;"'!H6:H1000")))</f>
        <v>0</v>
      </c>
      <c r="AO94">
        <f>IF(OR($AA94="",AC$5=""),0,SUMIF(INDIRECT("'"&amp;AC$5&amp;"'!C6:C1000"),$AA94,INDIRECT("'"&amp;AC$5&amp;"'!E6:E1000")))</f>
        <v>0</v>
      </c>
      <c r="AP94">
        <f>IF(OR($AA94="",AD$5=""),0,SUMIF(INDIRECT("'"&amp;AD$5&amp;"'!C6:C1000"),$AA94,INDIRECT("'"&amp;AD$5&amp;"'!E6:E1000")))</f>
        <v>0</v>
      </c>
      <c r="AQ94">
        <f>IF(OR($AA94="",AE$5=""),0,SUMIF(INDIRECT("'"&amp;AE$5&amp;"'!C6:C1000"),$AA94,INDIRECT("'"&amp;AE$5&amp;"'!E6:E1000")))</f>
        <v>0</v>
      </c>
      <c r="AR94">
        <f>IF(OR($AA94="",AF$5=""),0,SUMIF(INDIRECT("'"&amp;AF$5&amp;"'!C6:C1000"),$AA94,INDIRECT("'"&amp;AF$5&amp;"'!E6:E1000")))</f>
        <v>0</v>
      </c>
      <c r="AS94">
        <f>IF(OR($AA94="",AG$5=""),0,SUMIF(INDIRECT("'"&amp;AG$5&amp;"'!C6:C1000"),$AA94,INDIRECT("'"&amp;AG$5&amp;"'!E6:E1000")))</f>
        <v>0</v>
      </c>
      <c r="AT94">
        <f>IF(OR($AA94="",AH$5=""),0,SUMIF(INDIRECT("'"&amp;AH$5&amp;"'!C6:C1000"),$AA94,INDIRECT("'"&amp;AH$5&amp;"'!E6:E1000")))</f>
        <v>0</v>
      </c>
      <c r="AU94">
        <f>IF(OR($AA94="",AI$5=""),0,SUMIF(INDIRECT("'"&amp;AI$5&amp;"'!C6:C1000"),$AA94,INDIRECT("'"&amp;AI$5&amp;"'!E6:E1000")))</f>
        <v>0</v>
      </c>
      <c r="AV94">
        <f>IF(OR($AA94="",AJ$5=""),0,SUMIF(INDIRECT("'"&amp;AJ$5&amp;"'!C6:C1000"),$AA94,INDIRECT("'"&amp;AJ$5&amp;"'!E6:E1000")))</f>
        <v>0</v>
      </c>
      <c r="AW94">
        <f>IF(OR($AA94="",AK$5=""),0,SUMIF(INDIRECT("'"&amp;AK$5&amp;"'!C6:C1000"),$AA94,INDIRECT("'"&amp;AK$5&amp;"'!E6:E1000")))</f>
        <v>0</v>
      </c>
      <c r="AX94">
        <f>IF(OR($AA94="",AL$5=""),0,SUMIF(INDIRECT("'"&amp;AL$5&amp;"'!C6:C1000"),$AA94,INDIRECT("'"&amp;AL$5&amp;"'!E6:E1000")))</f>
        <v>0</v>
      </c>
      <c r="AY94">
        <f>IF(OR($AA94="",AM$5=""),0,SUMIF(INDIRECT("'"&amp;AM$5&amp;"'!C6:C1000"),$AA94,INDIRECT("'"&amp;AM$5&amp;"'!E6:E1000")))</f>
        <v>0</v>
      </c>
      <c r="AZ94">
        <f>IF(OR($AA94="",AN$5=""),0,SUMIF(INDIRECT("'"&amp;AN$5&amp;"'!C6:C1000"),$AA94,INDIRECT("'"&amp;AN$5&amp;"'!E6:E1000")))</f>
        <v>0</v>
      </c>
      <c r="BA94">
        <f>IF(OR($AA94="",AC$5=""),0,SUMIFS(INDIRECT("'"&amp;AC$5&amp;"'!E6:E1000"),INDIRECT("'"&amp;AC$5&amp;"'!C6:C1000"),$AA94,INDIRECT("'"&amp;AC$5&amp;"'!F6:F1000"),"箱")+SUMIFS(INDIRECT("'"&amp;AC$5&amp;"'!E6:E1000"),INDIRECT("'"&amp;AC$5&amp;"'!C6:C1000"),$AA94,INDIRECT("'"&amp;AC$5&amp;"'!F6:F1000"),"件"))</f>
        <v>0</v>
      </c>
      <c r="BB94">
        <f>IF(OR($AA94="",AD$5=""),0,SUMIFS(INDIRECT("'"&amp;AD$5&amp;"'!E6:E1000"),INDIRECT("'"&amp;AD$5&amp;"'!C6:C1000"),$AA94,INDIRECT("'"&amp;AD$5&amp;"'!F6:F1000"),"箱")+SUMIFS(INDIRECT("'"&amp;AD$5&amp;"'!E6:E1000"),INDIRECT("'"&amp;AD$5&amp;"'!C6:C1000"),$AA94,INDIRECT("'"&amp;AD$5&amp;"'!F6:F1000"),"件"))</f>
        <v>0</v>
      </c>
      <c r="BC94">
        <f>IF(OR($AA94="",AE$5=""),0,SUMIFS(INDIRECT("'"&amp;AE$5&amp;"'!E6:E1000"),INDIRECT("'"&amp;AE$5&amp;"'!C6:C1000"),$AA94,INDIRECT("'"&amp;AE$5&amp;"'!F6:F1000"),"箱")+SUMIFS(INDIRECT("'"&amp;AE$5&amp;"'!E6:E1000"),INDIRECT("'"&amp;AE$5&amp;"'!C6:C1000"),$AA94,INDIRECT("'"&amp;AE$5&amp;"'!F6:F1000"),"件"))</f>
        <v>0</v>
      </c>
      <c r="BD94">
        <f>IF(OR($AA94="",AF$5=""),0,SUMIFS(INDIRECT("'"&amp;AF$5&amp;"'!E6:E1000"),INDIRECT("'"&amp;AF$5&amp;"'!C6:C1000"),$AA94,INDIRECT("'"&amp;AF$5&amp;"'!F6:F1000"),"箱")+SUMIFS(INDIRECT("'"&amp;AF$5&amp;"'!E6:E1000"),INDIRECT("'"&amp;AF$5&amp;"'!C6:C1000"),$AA94,INDIRECT("'"&amp;AF$5&amp;"'!F6:F1000"),"件"))</f>
        <v>0</v>
      </c>
      <c r="BE94">
        <f>IF(OR($AA94="",AG$5=""),0,SUMIFS(INDIRECT("'"&amp;AG$5&amp;"'!E6:E1000"),INDIRECT("'"&amp;AG$5&amp;"'!C6:C1000"),$AA94,INDIRECT("'"&amp;AG$5&amp;"'!F6:F1000"),"箱")+SUMIFS(INDIRECT("'"&amp;AG$5&amp;"'!E6:E1000"),INDIRECT("'"&amp;AG$5&amp;"'!C6:C1000"),$AA94,INDIRECT("'"&amp;AG$5&amp;"'!F6:F1000"),"件"))</f>
        <v>0</v>
      </c>
      <c r="BF94">
        <f>IF(OR($AA94="",AH$5=""),0,SUMIFS(INDIRECT("'"&amp;AH$5&amp;"'!E6:E1000"),INDIRECT("'"&amp;AH$5&amp;"'!C6:C1000"),$AA94,INDIRECT("'"&amp;AH$5&amp;"'!F6:F1000"),"箱")+SUMIFS(INDIRECT("'"&amp;AH$5&amp;"'!E6:E1000"),INDIRECT("'"&amp;AH$5&amp;"'!C6:C1000"),$AA94,INDIRECT("'"&amp;AH$5&amp;"'!F6:F1000"),"件"))</f>
        <v>0</v>
      </c>
      <c r="BG94">
        <f>IF(OR($AA94="",AI$5=""),0,SUMIFS(INDIRECT("'"&amp;AI$5&amp;"'!E6:E1000"),INDIRECT("'"&amp;AI$5&amp;"'!C6:C1000"),$AA94,INDIRECT("'"&amp;AI$5&amp;"'!F6:F1000"),"箱")+SUMIFS(INDIRECT("'"&amp;AI$5&amp;"'!E6:E1000"),INDIRECT("'"&amp;AI$5&amp;"'!C6:C1000"),$AA94,INDIRECT("'"&amp;AI$5&amp;"'!F6:F1000"),"件"))</f>
        <v>0</v>
      </c>
      <c r="BH94">
        <f>IF(OR($AA94="",AJ$5=""),0,SUMIFS(INDIRECT("'"&amp;AJ$5&amp;"'!E6:E1000"),INDIRECT("'"&amp;AJ$5&amp;"'!C6:C1000"),$AA94,INDIRECT("'"&amp;AJ$5&amp;"'!F6:F1000"),"箱")+SUMIFS(INDIRECT("'"&amp;AJ$5&amp;"'!E6:E1000"),INDIRECT("'"&amp;AJ$5&amp;"'!C6:C1000"),$AA94,INDIRECT("'"&amp;AJ$5&amp;"'!F6:F1000"),"件"))</f>
        <v>0</v>
      </c>
      <c r="BI94">
        <f>IF(OR($AA94="",AK$5=""),0,SUMIFS(INDIRECT("'"&amp;AK$5&amp;"'!E6:E1000"),INDIRECT("'"&amp;AK$5&amp;"'!C6:C1000"),$AA94,INDIRECT("'"&amp;AK$5&amp;"'!F6:F1000"),"箱")+SUMIFS(INDIRECT("'"&amp;AK$5&amp;"'!E6:E1000"),INDIRECT("'"&amp;AK$5&amp;"'!C6:C1000"),$AA94,INDIRECT("'"&amp;AK$5&amp;"'!F6:F1000"),"件"))</f>
        <v>0</v>
      </c>
      <c r="BJ94">
        <f>IF(OR($AA94="",AL$5=""),0,SUMIFS(INDIRECT("'"&amp;AL$5&amp;"'!E6:E1000"),INDIRECT("'"&amp;AL$5&amp;"'!C6:C1000"),$AA94,INDIRECT("'"&amp;AL$5&amp;"'!F6:F1000"),"箱")+SUMIFS(INDIRECT("'"&amp;AL$5&amp;"'!E6:E1000"),INDIRECT("'"&amp;AL$5&amp;"'!C6:C1000"),$AA94,INDIRECT("'"&amp;AL$5&amp;"'!F6:F1000"),"件"))</f>
        <v>0</v>
      </c>
      <c r="BK94">
        <f>IF(OR($AA94="",AM$5=""),0,SUMIFS(INDIRECT("'"&amp;AM$5&amp;"'!E6:E1000"),INDIRECT("'"&amp;AM$5&amp;"'!C6:C1000"),$AA94,INDIRECT("'"&amp;AM$5&amp;"'!F6:F1000"),"箱")+SUMIFS(INDIRECT("'"&amp;AM$5&amp;"'!E6:E1000"),INDIRECT("'"&amp;AM$5&amp;"'!C6:C1000"),$AA94,INDIRECT("'"&amp;AM$5&amp;"'!F6:F1000"),"件"))</f>
        <v>0</v>
      </c>
      <c r="BL94">
        <f>IF(OR($AA94="",AN$5=""),0,SUMIFS(INDIRECT("'"&amp;AN$5&amp;"'!E6:E1000"),INDIRECT("'"&amp;AN$5&amp;"'!C6:C1000"),$AA94,INDIRECT("'"&amp;AN$5&amp;"'!F6:F1000"),"箱")+SUMIFS(INDIRECT("'"&amp;AN$5&amp;"'!E6:E1000"),INDIRECT("'"&amp;AN$5&amp;"'!C6:C1000"),$AA94,INDIRECT("'"&amp;AN$5&amp;"'!F6:F1000"),"件"))</f>
        <v>0</v>
      </c>
      <c r="BM94">
        <f>(AO94-BA94)/$AB94+BA94</f>
        <v>0</v>
      </c>
      <c r="BN94">
        <f>(AP94-BB94)/$AB94+BB94</f>
        <v>0</v>
      </c>
      <c r="BO94">
        <f>(AQ94-BC94)/$AB94+BC94</f>
        <v>0</v>
      </c>
      <c r="BP94">
        <f>(AR94-BD94)/$AB94+BD94</f>
        <v>0</v>
      </c>
      <c r="BQ94">
        <f>(AS94-BE94)/$AB94+BE94</f>
        <v>0</v>
      </c>
      <c r="BR94">
        <f>(AT94-BF94)/$AB94+BF94</f>
        <v>0</v>
      </c>
      <c r="BS94">
        <f>(AU94-BG94)/$AB94+BG94</f>
        <v>0</v>
      </c>
      <c r="BT94">
        <f>(AV94-BH94)/$AB94+BH94</f>
        <v>0</v>
      </c>
      <c r="BU94">
        <f>(AW94-BI94)/$AB94+BI94</f>
        <v>0</v>
      </c>
      <c r="BV94">
        <f>(AX94-BJ94)/$AB94+BJ94</f>
        <v>0</v>
      </c>
      <c r="BW94">
        <f>(AY94-BK94)/$AB94+BK94</f>
        <v>0</v>
      </c>
      <c r="BX94">
        <f>(AZ94-BL94)/$AB94+BL94</f>
        <v>0</v>
      </c>
      <c r="BY94">
        <f>SUMPRODUCT((($AC$4:$AN$4=报损汇总一览!$A$3)+(报损汇总一览!$A$3="全年"))*AC94:AN94)</f>
        <v>0</v>
      </c>
      <c r="BZ94">
        <f>IF(BY94&gt;0,BY94+(1000-ROW())/10000000,"")</f>
      </c>
      <c r="CA94">
        <f>SUMPRODUCT((($AC$4:$AN$4=报损汇总一览!$A$3)+(报损汇总一览!$A$3="全年"))*AO94:AZ94)</f>
        <v>0</v>
      </c>
    </row>
    <row r="95">
      <c r="A95">
        <f>IF(OR(存条明细!C95="",存条明细!D95=""),"",IF(COUNTIFS(存条明细!$C$4:C95,存条明细!C95,存条明细!$D$4:D95,存条明细!D95)&gt;1,"",IFERROR(MATCH(存条明细!C95,总览汇总!$B$5:$B$304,0),900)*10000000+IFERROR(MATCH(存条明细!D95,基础资料!$E$5:$E$104,0),900)*10000+ROW()))</f>
        <v>240060095</v>
      </c>
      <c r="B95">
        <f>IFERROR(MATCH(SMALL($A$4:$A$4003,92),$A$4:$A$4003,0),"")</f>
        <v>58</v>
      </c>
      <c r="D95">
        <f>IF(AND(商品库存!B95&lt;&gt;"",商品库存!B95=客户查询!$B$4),COUNTIF(商品库存!$B$4:B95,客户查询!$B$4),"")</f>
      </c>
      <c r="E95">
        <f>IF(AND(商品库存!B95&lt;&gt;"",商品库存!B95=客户对账单!$B$4),COUNTIF(商品库存!$B$4:B95,客户对账单!$B$4),"")</f>
      </c>
      <c r="F95">
        <f>IF(AND(出库明细!C95&lt;&gt;"",出库明细!C95=客户对账单!$B$4,ISNUMBER(出库明细!B95),出库明细!B95&gt;=客户对账单!$G$4,出库明细!B95&lt;=客户对账单!$I$4),出库明细!B95+ROW()/100000,"")</f>
      </c>
      <c r="H95">
        <f>IF(AND(采购进货!C95&lt;&gt;"",采购进货!C95=供应商对账单!$B$4,ISNUMBER(采购进货!B95),采购进货!B95&gt;=供应商对账单!$G$4,采购进货!B95&lt;=供应商对账单!$I$4),采购进货!B95+ROW()/100000,"")</f>
      </c>
      <c r="J95">
        <f>IF(总览汇总!$B95="","",N(总览汇总!$K95)+SUMIFS(出库明细!$G$4:$G$3003,出库明细!$C$4:$C$3003,总览汇总!$B95,出库明细!$B$4:$B$3003,"&gt;="&amp;年初日,出库明细!$B$4:$B$3003,"&lt;="&amp;资产负债表!$D$3)-SUMIFS(资金台帐!$S$7:$S$3006,资金台帐!$J$7:$J$3006,总览汇总!$B95,资金台帐!$P$7:$P$3006,"应收",资金台帐!$B$7:$B$3006,"&gt;="&amp;年初日,资金台帐!$B$7:$B$3006,"&lt;="&amp;资产负债表!$D$3))</f>
      </c>
      <c r="N95">
        <f>IF(AND(ISNUMBER(出库明细!G95),ISNUMBER(出库明细!E95),ISNUMBER(出库明细!F95)),IF(ABS(出库明细!G95-出库明细!E95*出库明细!F95)&gt;0.005,1,0),0)</f>
        <v>1</v>
      </c>
      <c r="O95">
        <f>IF(AND(ISNUMBER(存条明细!G95),ISNUMBER(存条明细!E95),ISNUMBER(存条明细!F95)),IF(ABS(存条明细!G95-存条明细!E95*存条明细!F95)&gt;0.005,1,0),0)</f>
        <v>0</v>
      </c>
      <c r="AA95">
        <f>IF(基础资料!G94="","",基础资料!G94&amp;"")</f>
      </c>
      <c r="AB95">
        <f>IF(N(基础资料!I94)&lt;=0,1,基础资料!I94)</f>
        <v>1</v>
      </c>
      <c r="AC95">
        <f>IF(OR($AA95="",AC$5=""),0,SUMIF(INDIRECT("'"&amp;AC$5&amp;"'!C6:C1000"),$AA95,INDIRECT("'"&amp;AC$5&amp;"'!H6:H1000")))</f>
        <v>0</v>
      </c>
      <c r="AD95">
        <f>IF(OR($AA95="",AD$5=""),0,SUMIF(INDIRECT("'"&amp;AD$5&amp;"'!C6:C1000"),$AA95,INDIRECT("'"&amp;AD$5&amp;"'!H6:H1000")))</f>
        <v>0</v>
      </c>
      <c r="AE95">
        <f>IF(OR($AA95="",AE$5=""),0,SUMIF(INDIRECT("'"&amp;AE$5&amp;"'!C6:C1000"),$AA95,INDIRECT("'"&amp;AE$5&amp;"'!H6:H1000")))</f>
        <v>0</v>
      </c>
      <c r="AF95">
        <f>IF(OR($AA95="",AF$5=""),0,SUMIF(INDIRECT("'"&amp;AF$5&amp;"'!C6:C1000"),$AA95,INDIRECT("'"&amp;AF$5&amp;"'!H6:H1000")))</f>
        <v>0</v>
      </c>
      <c r="AG95">
        <f>IF(OR($AA95="",AG$5=""),0,SUMIF(INDIRECT("'"&amp;AG$5&amp;"'!C6:C1000"),$AA95,INDIRECT("'"&amp;AG$5&amp;"'!H6:H1000")))</f>
        <v>0</v>
      </c>
      <c r="AH95">
        <f>IF(OR($AA95="",AH$5=""),0,SUMIF(INDIRECT("'"&amp;AH$5&amp;"'!C6:C1000"),$AA95,INDIRECT("'"&amp;AH$5&amp;"'!H6:H1000")))</f>
        <v>0</v>
      </c>
      <c r="AI95">
        <f>IF(OR($AA95="",AI$5=""),0,SUMIF(INDIRECT("'"&amp;AI$5&amp;"'!C6:C1000"),$AA95,INDIRECT("'"&amp;AI$5&amp;"'!H6:H1000")))</f>
        <v>0</v>
      </c>
      <c r="AJ95">
        <f>IF(OR($AA95="",AJ$5=""),0,SUMIF(INDIRECT("'"&amp;AJ$5&amp;"'!C6:C1000"),$AA95,INDIRECT("'"&amp;AJ$5&amp;"'!H6:H1000")))</f>
        <v>0</v>
      </c>
      <c r="AK95">
        <f>IF(OR($AA95="",AK$5=""),0,SUMIF(INDIRECT("'"&amp;AK$5&amp;"'!C6:C1000"),$AA95,INDIRECT("'"&amp;AK$5&amp;"'!H6:H1000")))</f>
        <v>0</v>
      </c>
      <c r="AL95">
        <f>IF(OR($AA95="",AL$5=""),0,SUMIF(INDIRECT("'"&amp;AL$5&amp;"'!C6:C1000"),$AA95,INDIRECT("'"&amp;AL$5&amp;"'!H6:H1000")))</f>
        <v>0</v>
      </c>
      <c r="AM95">
        <f>IF(OR($AA95="",AM$5=""),0,SUMIF(INDIRECT("'"&amp;AM$5&amp;"'!C6:C1000"),$AA95,INDIRECT("'"&amp;AM$5&amp;"'!H6:H1000")))</f>
        <v>0</v>
      </c>
      <c r="AN95">
        <f>IF(OR($AA95="",AN$5=""),0,SUMIF(INDIRECT("'"&amp;AN$5&amp;"'!C6:C1000"),$AA95,INDIRECT("'"&amp;AN$5&amp;"'!H6:H1000")))</f>
        <v>0</v>
      </c>
      <c r="AO95">
        <f>IF(OR($AA95="",AC$5=""),0,SUMIF(INDIRECT("'"&amp;AC$5&amp;"'!C6:C1000"),$AA95,INDIRECT("'"&amp;AC$5&amp;"'!E6:E1000")))</f>
        <v>0</v>
      </c>
      <c r="AP95">
        <f>IF(OR($AA95="",AD$5=""),0,SUMIF(INDIRECT("'"&amp;AD$5&amp;"'!C6:C1000"),$AA95,INDIRECT("'"&amp;AD$5&amp;"'!E6:E1000")))</f>
        <v>0</v>
      </c>
      <c r="AQ95">
        <f>IF(OR($AA95="",AE$5=""),0,SUMIF(INDIRECT("'"&amp;AE$5&amp;"'!C6:C1000"),$AA95,INDIRECT("'"&amp;AE$5&amp;"'!E6:E1000")))</f>
        <v>0</v>
      </c>
      <c r="AR95">
        <f>IF(OR($AA95="",AF$5=""),0,SUMIF(INDIRECT("'"&amp;AF$5&amp;"'!C6:C1000"),$AA95,INDIRECT("'"&amp;AF$5&amp;"'!E6:E1000")))</f>
        <v>0</v>
      </c>
      <c r="AS95">
        <f>IF(OR($AA95="",AG$5=""),0,SUMIF(INDIRECT("'"&amp;AG$5&amp;"'!C6:C1000"),$AA95,INDIRECT("'"&amp;AG$5&amp;"'!E6:E1000")))</f>
        <v>0</v>
      </c>
      <c r="AT95">
        <f>IF(OR($AA95="",AH$5=""),0,SUMIF(INDIRECT("'"&amp;AH$5&amp;"'!C6:C1000"),$AA95,INDIRECT("'"&amp;AH$5&amp;"'!E6:E1000")))</f>
        <v>0</v>
      </c>
      <c r="AU95">
        <f>IF(OR($AA95="",AI$5=""),0,SUMIF(INDIRECT("'"&amp;AI$5&amp;"'!C6:C1000"),$AA95,INDIRECT("'"&amp;AI$5&amp;"'!E6:E1000")))</f>
        <v>0</v>
      </c>
      <c r="AV95">
        <f>IF(OR($AA95="",AJ$5=""),0,SUMIF(INDIRECT("'"&amp;AJ$5&amp;"'!C6:C1000"),$AA95,INDIRECT("'"&amp;AJ$5&amp;"'!E6:E1000")))</f>
        <v>0</v>
      </c>
      <c r="AW95">
        <f>IF(OR($AA95="",AK$5=""),0,SUMIF(INDIRECT("'"&amp;AK$5&amp;"'!C6:C1000"),$AA95,INDIRECT("'"&amp;AK$5&amp;"'!E6:E1000")))</f>
        <v>0</v>
      </c>
      <c r="AX95">
        <f>IF(OR($AA95="",AL$5=""),0,SUMIF(INDIRECT("'"&amp;AL$5&amp;"'!C6:C1000"),$AA95,INDIRECT("'"&amp;AL$5&amp;"'!E6:E1000")))</f>
        <v>0</v>
      </c>
      <c r="AY95">
        <f>IF(OR($AA95="",AM$5=""),0,SUMIF(INDIRECT("'"&amp;AM$5&amp;"'!C6:C1000"),$AA95,INDIRECT("'"&amp;AM$5&amp;"'!E6:E1000")))</f>
        <v>0</v>
      </c>
      <c r="AZ95">
        <f>IF(OR($AA95="",AN$5=""),0,SUMIF(INDIRECT("'"&amp;AN$5&amp;"'!C6:C1000"),$AA95,INDIRECT("'"&amp;AN$5&amp;"'!E6:E1000")))</f>
        <v>0</v>
      </c>
      <c r="BA95">
        <f>IF(OR($AA95="",AC$5=""),0,SUMIFS(INDIRECT("'"&amp;AC$5&amp;"'!E6:E1000"),INDIRECT("'"&amp;AC$5&amp;"'!C6:C1000"),$AA95,INDIRECT("'"&amp;AC$5&amp;"'!F6:F1000"),"箱")+SUMIFS(INDIRECT("'"&amp;AC$5&amp;"'!E6:E1000"),INDIRECT("'"&amp;AC$5&amp;"'!C6:C1000"),$AA95,INDIRECT("'"&amp;AC$5&amp;"'!F6:F1000"),"件"))</f>
        <v>0</v>
      </c>
      <c r="BB95">
        <f>IF(OR($AA95="",AD$5=""),0,SUMIFS(INDIRECT("'"&amp;AD$5&amp;"'!E6:E1000"),INDIRECT("'"&amp;AD$5&amp;"'!C6:C1000"),$AA95,INDIRECT("'"&amp;AD$5&amp;"'!F6:F1000"),"箱")+SUMIFS(INDIRECT("'"&amp;AD$5&amp;"'!E6:E1000"),INDIRECT("'"&amp;AD$5&amp;"'!C6:C1000"),$AA95,INDIRECT("'"&amp;AD$5&amp;"'!F6:F1000"),"件"))</f>
        <v>0</v>
      </c>
      <c r="BC95">
        <f>IF(OR($AA95="",AE$5=""),0,SUMIFS(INDIRECT("'"&amp;AE$5&amp;"'!E6:E1000"),INDIRECT("'"&amp;AE$5&amp;"'!C6:C1000"),$AA95,INDIRECT("'"&amp;AE$5&amp;"'!F6:F1000"),"箱")+SUMIFS(INDIRECT("'"&amp;AE$5&amp;"'!E6:E1000"),INDIRECT("'"&amp;AE$5&amp;"'!C6:C1000"),$AA95,INDIRECT("'"&amp;AE$5&amp;"'!F6:F1000"),"件"))</f>
        <v>0</v>
      </c>
      <c r="BD95">
        <f>IF(OR($AA95="",AF$5=""),0,SUMIFS(INDIRECT("'"&amp;AF$5&amp;"'!E6:E1000"),INDIRECT("'"&amp;AF$5&amp;"'!C6:C1000"),$AA95,INDIRECT("'"&amp;AF$5&amp;"'!F6:F1000"),"箱")+SUMIFS(INDIRECT("'"&amp;AF$5&amp;"'!E6:E1000"),INDIRECT("'"&amp;AF$5&amp;"'!C6:C1000"),$AA95,INDIRECT("'"&amp;AF$5&amp;"'!F6:F1000"),"件"))</f>
        <v>0</v>
      </c>
      <c r="BE95">
        <f>IF(OR($AA95="",AG$5=""),0,SUMIFS(INDIRECT("'"&amp;AG$5&amp;"'!E6:E1000"),INDIRECT("'"&amp;AG$5&amp;"'!C6:C1000"),$AA95,INDIRECT("'"&amp;AG$5&amp;"'!F6:F1000"),"箱")+SUMIFS(INDIRECT("'"&amp;AG$5&amp;"'!E6:E1000"),INDIRECT("'"&amp;AG$5&amp;"'!C6:C1000"),$AA95,INDIRECT("'"&amp;AG$5&amp;"'!F6:F1000"),"件"))</f>
        <v>0</v>
      </c>
      <c r="BF95">
        <f>IF(OR($AA95="",AH$5=""),0,SUMIFS(INDIRECT("'"&amp;AH$5&amp;"'!E6:E1000"),INDIRECT("'"&amp;AH$5&amp;"'!C6:C1000"),$AA95,INDIRECT("'"&amp;AH$5&amp;"'!F6:F1000"),"箱")+SUMIFS(INDIRECT("'"&amp;AH$5&amp;"'!E6:E1000"),INDIRECT("'"&amp;AH$5&amp;"'!C6:C1000"),$AA95,INDIRECT("'"&amp;AH$5&amp;"'!F6:F1000"),"件"))</f>
        <v>0</v>
      </c>
      <c r="BG95">
        <f>IF(OR($AA95="",AI$5=""),0,SUMIFS(INDIRECT("'"&amp;AI$5&amp;"'!E6:E1000"),INDIRECT("'"&amp;AI$5&amp;"'!C6:C1000"),$AA95,INDIRECT("'"&amp;AI$5&amp;"'!F6:F1000"),"箱")+SUMIFS(INDIRECT("'"&amp;AI$5&amp;"'!E6:E1000"),INDIRECT("'"&amp;AI$5&amp;"'!C6:C1000"),$AA95,INDIRECT("'"&amp;AI$5&amp;"'!F6:F1000"),"件"))</f>
        <v>0</v>
      </c>
      <c r="BH95">
        <f>IF(OR($AA95="",AJ$5=""),0,SUMIFS(INDIRECT("'"&amp;AJ$5&amp;"'!E6:E1000"),INDIRECT("'"&amp;AJ$5&amp;"'!C6:C1000"),$AA95,INDIRECT("'"&amp;AJ$5&amp;"'!F6:F1000"),"箱")+SUMIFS(INDIRECT("'"&amp;AJ$5&amp;"'!E6:E1000"),INDIRECT("'"&amp;AJ$5&amp;"'!C6:C1000"),$AA95,INDIRECT("'"&amp;AJ$5&amp;"'!F6:F1000"),"件"))</f>
        <v>0</v>
      </c>
      <c r="BI95">
        <f>IF(OR($AA95="",AK$5=""),0,SUMIFS(INDIRECT("'"&amp;AK$5&amp;"'!E6:E1000"),INDIRECT("'"&amp;AK$5&amp;"'!C6:C1000"),$AA95,INDIRECT("'"&amp;AK$5&amp;"'!F6:F1000"),"箱")+SUMIFS(INDIRECT("'"&amp;AK$5&amp;"'!E6:E1000"),INDIRECT("'"&amp;AK$5&amp;"'!C6:C1000"),$AA95,INDIRECT("'"&amp;AK$5&amp;"'!F6:F1000"),"件"))</f>
        <v>0</v>
      </c>
      <c r="BJ95">
        <f>IF(OR($AA95="",AL$5=""),0,SUMIFS(INDIRECT("'"&amp;AL$5&amp;"'!E6:E1000"),INDIRECT("'"&amp;AL$5&amp;"'!C6:C1000"),$AA95,INDIRECT("'"&amp;AL$5&amp;"'!F6:F1000"),"箱")+SUMIFS(INDIRECT("'"&amp;AL$5&amp;"'!E6:E1000"),INDIRECT("'"&amp;AL$5&amp;"'!C6:C1000"),$AA95,INDIRECT("'"&amp;AL$5&amp;"'!F6:F1000"),"件"))</f>
        <v>0</v>
      </c>
      <c r="BK95">
        <f>IF(OR($AA95="",AM$5=""),0,SUMIFS(INDIRECT("'"&amp;AM$5&amp;"'!E6:E1000"),INDIRECT("'"&amp;AM$5&amp;"'!C6:C1000"),$AA95,INDIRECT("'"&amp;AM$5&amp;"'!F6:F1000"),"箱")+SUMIFS(INDIRECT("'"&amp;AM$5&amp;"'!E6:E1000"),INDIRECT("'"&amp;AM$5&amp;"'!C6:C1000"),$AA95,INDIRECT("'"&amp;AM$5&amp;"'!F6:F1000"),"件"))</f>
        <v>0</v>
      </c>
      <c r="BL95">
        <f>IF(OR($AA95="",AN$5=""),0,SUMIFS(INDIRECT("'"&amp;AN$5&amp;"'!E6:E1000"),INDIRECT("'"&amp;AN$5&amp;"'!C6:C1000"),$AA95,INDIRECT("'"&amp;AN$5&amp;"'!F6:F1000"),"箱")+SUMIFS(INDIRECT("'"&amp;AN$5&amp;"'!E6:E1000"),INDIRECT("'"&amp;AN$5&amp;"'!C6:C1000"),$AA95,INDIRECT("'"&amp;AN$5&amp;"'!F6:F1000"),"件"))</f>
        <v>0</v>
      </c>
      <c r="BM95">
        <f>(AO95-BA95)/$AB95+BA95</f>
        <v>0</v>
      </c>
      <c r="BN95">
        <f>(AP95-BB95)/$AB95+BB95</f>
        <v>0</v>
      </c>
      <c r="BO95">
        <f>(AQ95-BC95)/$AB95+BC95</f>
        <v>0</v>
      </c>
      <c r="BP95">
        <f>(AR95-BD95)/$AB95+BD95</f>
        <v>0</v>
      </c>
      <c r="BQ95">
        <f>(AS95-BE95)/$AB95+BE95</f>
        <v>0</v>
      </c>
      <c r="BR95">
        <f>(AT95-BF95)/$AB95+BF95</f>
        <v>0</v>
      </c>
      <c r="BS95">
        <f>(AU95-BG95)/$AB95+BG95</f>
        <v>0</v>
      </c>
      <c r="BT95">
        <f>(AV95-BH95)/$AB95+BH95</f>
        <v>0</v>
      </c>
      <c r="BU95">
        <f>(AW95-BI95)/$AB95+BI95</f>
        <v>0</v>
      </c>
      <c r="BV95">
        <f>(AX95-BJ95)/$AB95+BJ95</f>
        <v>0</v>
      </c>
      <c r="BW95">
        <f>(AY95-BK95)/$AB95+BK95</f>
        <v>0</v>
      </c>
      <c r="BX95">
        <f>(AZ95-BL95)/$AB95+BL95</f>
        <v>0</v>
      </c>
      <c r="BY95">
        <f>SUMPRODUCT((($AC$4:$AN$4=报损汇总一览!$A$3)+(报损汇总一览!$A$3="全年"))*AC95:AN95)</f>
        <v>0</v>
      </c>
      <c r="BZ95">
        <f>IF(BY95&gt;0,BY95+(1000-ROW())/10000000,"")</f>
      </c>
      <c r="CA95">
        <f>SUMPRODUCT((($AC$4:$AN$4=报损汇总一览!$A$3)+(报损汇总一览!$A$3="全年"))*AO95:AZ95)</f>
        <v>0</v>
      </c>
    </row>
    <row r="96">
      <c r="A96">
        <f>IF(OR(存条明细!C96="",存条明细!D96=""),"",IF(COUNTIFS(存条明细!$C$4:C96,存条明细!C96,存条明细!$D$4:D96,存条明细!D96)&gt;1,"",IFERROR(MATCH(存条明细!C96,总览汇总!$B$5:$B$304,0),900)*10000000+IFERROR(MATCH(存条明细!D96,基础资料!$E$5:$E$104,0),900)*10000+ROW()))</f>
        <v>240170096</v>
      </c>
      <c r="B96">
        <f>IFERROR(MATCH(SMALL($A$4:$A$4003,93),$A$4:$A$4003,0),"")</f>
        <v>63</v>
      </c>
      <c r="D96">
        <f>IF(AND(商品库存!B96&lt;&gt;"",商品库存!B96=客户查询!$B$4),COUNTIF(商品库存!$B$4:B96,客户查询!$B$4),"")</f>
      </c>
      <c r="E96">
        <f>IF(AND(商品库存!B96&lt;&gt;"",商品库存!B96=客户对账单!$B$4),COUNTIF(商品库存!$B$4:B96,客户对账单!$B$4),"")</f>
      </c>
      <c r="F96">
        <f>IF(AND(出库明细!C96&lt;&gt;"",出库明细!C96=客户对账单!$B$4,ISNUMBER(出库明细!B96),出库明细!B96&gt;=客户对账单!$G$4,出库明细!B96&lt;=客户对账单!$I$4),出库明细!B96+ROW()/100000,"")</f>
      </c>
      <c r="H96">
        <f>IF(AND(采购进货!C96&lt;&gt;"",采购进货!C96=供应商对账单!$B$4,ISNUMBER(采购进货!B96),采购进货!B96&gt;=供应商对账单!$G$4,采购进货!B96&lt;=供应商对账单!$I$4),采购进货!B96+ROW()/100000,"")</f>
      </c>
      <c r="J96">
        <f>IF(总览汇总!$B96="","",N(总览汇总!$K96)+SUMIFS(出库明细!$G$4:$G$3003,出库明细!$C$4:$C$3003,总览汇总!$B96,出库明细!$B$4:$B$3003,"&gt;="&amp;年初日,出库明细!$B$4:$B$3003,"&lt;="&amp;资产负债表!$D$3)-SUMIFS(资金台帐!$S$7:$S$3006,资金台帐!$J$7:$J$3006,总览汇总!$B96,资金台帐!$P$7:$P$3006,"应收",资金台帐!$B$7:$B$3006,"&gt;="&amp;年初日,资金台帐!$B$7:$B$3006,"&lt;="&amp;资产负债表!$D$3))</f>
      </c>
      <c r="N96">
        <f>IF(AND(ISNUMBER(出库明细!G96),ISNUMBER(出库明细!E96),ISNUMBER(出库明细!F96)),IF(ABS(出库明细!G96-出库明细!E96*出库明细!F96)&gt;0.005,1,0),0)</f>
        <v>0</v>
      </c>
      <c r="O96">
        <f>IF(AND(ISNUMBER(存条明细!G96),ISNUMBER(存条明细!E96),ISNUMBER(存条明细!F96)),IF(ABS(存条明细!G96-存条明细!E96*存条明细!F96)&gt;0.005,1,0),0)</f>
        <v>0</v>
      </c>
      <c r="AA96">
        <f>IF(基础资料!G95="","",基础资料!G95&amp;"")</f>
      </c>
      <c r="AB96">
        <f>IF(N(基础资料!I95)&lt;=0,1,基础资料!I95)</f>
        <v>1</v>
      </c>
      <c r="AC96">
        <f>IF(OR($AA96="",AC$5=""),0,SUMIF(INDIRECT("'"&amp;AC$5&amp;"'!C6:C1000"),$AA96,INDIRECT("'"&amp;AC$5&amp;"'!H6:H1000")))</f>
        <v>0</v>
      </c>
      <c r="AD96">
        <f>IF(OR($AA96="",AD$5=""),0,SUMIF(INDIRECT("'"&amp;AD$5&amp;"'!C6:C1000"),$AA96,INDIRECT("'"&amp;AD$5&amp;"'!H6:H1000")))</f>
        <v>0</v>
      </c>
      <c r="AE96">
        <f>IF(OR($AA96="",AE$5=""),0,SUMIF(INDIRECT("'"&amp;AE$5&amp;"'!C6:C1000"),$AA96,INDIRECT("'"&amp;AE$5&amp;"'!H6:H1000")))</f>
        <v>0</v>
      </c>
      <c r="AF96">
        <f>IF(OR($AA96="",AF$5=""),0,SUMIF(INDIRECT("'"&amp;AF$5&amp;"'!C6:C1000"),$AA96,INDIRECT("'"&amp;AF$5&amp;"'!H6:H1000")))</f>
        <v>0</v>
      </c>
      <c r="AG96">
        <f>IF(OR($AA96="",AG$5=""),0,SUMIF(INDIRECT("'"&amp;AG$5&amp;"'!C6:C1000"),$AA96,INDIRECT("'"&amp;AG$5&amp;"'!H6:H1000")))</f>
        <v>0</v>
      </c>
      <c r="AH96">
        <f>IF(OR($AA96="",AH$5=""),0,SUMIF(INDIRECT("'"&amp;AH$5&amp;"'!C6:C1000"),$AA96,INDIRECT("'"&amp;AH$5&amp;"'!H6:H1000")))</f>
        <v>0</v>
      </c>
      <c r="AI96">
        <f>IF(OR($AA96="",AI$5=""),0,SUMIF(INDIRECT("'"&amp;AI$5&amp;"'!C6:C1000"),$AA96,INDIRECT("'"&amp;AI$5&amp;"'!H6:H1000")))</f>
        <v>0</v>
      </c>
      <c r="AJ96">
        <f>IF(OR($AA96="",AJ$5=""),0,SUMIF(INDIRECT("'"&amp;AJ$5&amp;"'!C6:C1000"),$AA96,INDIRECT("'"&amp;AJ$5&amp;"'!H6:H1000")))</f>
        <v>0</v>
      </c>
      <c r="AK96">
        <f>IF(OR($AA96="",AK$5=""),0,SUMIF(INDIRECT("'"&amp;AK$5&amp;"'!C6:C1000"),$AA96,INDIRECT("'"&amp;AK$5&amp;"'!H6:H1000")))</f>
        <v>0</v>
      </c>
      <c r="AL96">
        <f>IF(OR($AA96="",AL$5=""),0,SUMIF(INDIRECT("'"&amp;AL$5&amp;"'!C6:C1000"),$AA96,INDIRECT("'"&amp;AL$5&amp;"'!H6:H1000")))</f>
        <v>0</v>
      </c>
      <c r="AM96">
        <f>IF(OR($AA96="",AM$5=""),0,SUMIF(INDIRECT("'"&amp;AM$5&amp;"'!C6:C1000"),$AA96,INDIRECT("'"&amp;AM$5&amp;"'!H6:H1000")))</f>
        <v>0</v>
      </c>
      <c r="AN96">
        <f>IF(OR($AA96="",AN$5=""),0,SUMIF(INDIRECT("'"&amp;AN$5&amp;"'!C6:C1000"),$AA96,INDIRECT("'"&amp;AN$5&amp;"'!H6:H1000")))</f>
        <v>0</v>
      </c>
      <c r="AO96">
        <f>IF(OR($AA96="",AC$5=""),0,SUMIF(INDIRECT("'"&amp;AC$5&amp;"'!C6:C1000"),$AA96,INDIRECT("'"&amp;AC$5&amp;"'!E6:E1000")))</f>
        <v>0</v>
      </c>
      <c r="AP96">
        <f>IF(OR($AA96="",AD$5=""),0,SUMIF(INDIRECT("'"&amp;AD$5&amp;"'!C6:C1000"),$AA96,INDIRECT("'"&amp;AD$5&amp;"'!E6:E1000")))</f>
        <v>0</v>
      </c>
      <c r="AQ96">
        <f>IF(OR($AA96="",AE$5=""),0,SUMIF(INDIRECT("'"&amp;AE$5&amp;"'!C6:C1000"),$AA96,INDIRECT("'"&amp;AE$5&amp;"'!E6:E1000")))</f>
        <v>0</v>
      </c>
      <c r="AR96">
        <f>IF(OR($AA96="",AF$5=""),0,SUMIF(INDIRECT("'"&amp;AF$5&amp;"'!C6:C1000"),$AA96,INDIRECT("'"&amp;AF$5&amp;"'!E6:E1000")))</f>
        <v>0</v>
      </c>
      <c r="AS96">
        <f>IF(OR($AA96="",AG$5=""),0,SUMIF(INDIRECT("'"&amp;AG$5&amp;"'!C6:C1000"),$AA96,INDIRECT("'"&amp;AG$5&amp;"'!E6:E1000")))</f>
        <v>0</v>
      </c>
      <c r="AT96">
        <f>IF(OR($AA96="",AH$5=""),0,SUMIF(INDIRECT("'"&amp;AH$5&amp;"'!C6:C1000"),$AA96,INDIRECT("'"&amp;AH$5&amp;"'!E6:E1000")))</f>
        <v>0</v>
      </c>
      <c r="AU96">
        <f>IF(OR($AA96="",AI$5=""),0,SUMIF(INDIRECT("'"&amp;AI$5&amp;"'!C6:C1000"),$AA96,INDIRECT("'"&amp;AI$5&amp;"'!E6:E1000")))</f>
        <v>0</v>
      </c>
      <c r="AV96">
        <f>IF(OR($AA96="",AJ$5=""),0,SUMIF(INDIRECT("'"&amp;AJ$5&amp;"'!C6:C1000"),$AA96,INDIRECT("'"&amp;AJ$5&amp;"'!E6:E1000")))</f>
        <v>0</v>
      </c>
      <c r="AW96">
        <f>IF(OR($AA96="",AK$5=""),0,SUMIF(INDIRECT("'"&amp;AK$5&amp;"'!C6:C1000"),$AA96,INDIRECT("'"&amp;AK$5&amp;"'!E6:E1000")))</f>
        <v>0</v>
      </c>
      <c r="AX96">
        <f>IF(OR($AA96="",AL$5=""),0,SUMIF(INDIRECT("'"&amp;AL$5&amp;"'!C6:C1000"),$AA96,INDIRECT("'"&amp;AL$5&amp;"'!E6:E1000")))</f>
        <v>0</v>
      </c>
      <c r="AY96">
        <f>IF(OR($AA96="",AM$5=""),0,SUMIF(INDIRECT("'"&amp;AM$5&amp;"'!C6:C1000"),$AA96,INDIRECT("'"&amp;AM$5&amp;"'!E6:E1000")))</f>
        <v>0</v>
      </c>
      <c r="AZ96">
        <f>IF(OR($AA96="",AN$5=""),0,SUMIF(INDIRECT("'"&amp;AN$5&amp;"'!C6:C1000"),$AA96,INDIRECT("'"&amp;AN$5&amp;"'!E6:E1000")))</f>
        <v>0</v>
      </c>
      <c r="BA96">
        <f>IF(OR($AA96="",AC$5=""),0,SUMIFS(INDIRECT("'"&amp;AC$5&amp;"'!E6:E1000"),INDIRECT("'"&amp;AC$5&amp;"'!C6:C1000"),$AA96,INDIRECT("'"&amp;AC$5&amp;"'!F6:F1000"),"箱")+SUMIFS(INDIRECT("'"&amp;AC$5&amp;"'!E6:E1000"),INDIRECT("'"&amp;AC$5&amp;"'!C6:C1000"),$AA96,INDIRECT("'"&amp;AC$5&amp;"'!F6:F1000"),"件"))</f>
        <v>0</v>
      </c>
      <c r="BB96">
        <f>IF(OR($AA96="",AD$5=""),0,SUMIFS(INDIRECT("'"&amp;AD$5&amp;"'!E6:E1000"),INDIRECT("'"&amp;AD$5&amp;"'!C6:C1000"),$AA96,INDIRECT("'"&amp;AD$5&amp;"'!F6:F1000"),"箱")+SUMIFS(INDIRECT("'"&amp;AD$5&amp;"'!E6:E1000"),INDIRECT("'"&amp;AD$5&amp;"'!C6:C1000"),$AA96,INDIRECT("'"&amp;AD$5&amp;"'!F6:F1000"),"件"))</f>
        <v>0</v>
      </c>
      <c r="BC96">
        <f>IF(OR($AA96="",AE$5=""),0,SUMIFS(INDIRECT("'"&amp;AE$5&amp;"'!E6:E1000"),INDIRECT("'"&amp;AE$5&amp;"'!C6:C1000"),$AA96,INDIRECT("'"&amp;AE$5&amp;"'!F6:F1000"),"箱")+SUMIFS(INDIRECT("'"&amp;AE$5&amp;"'!E6:E1000"),INDIRECT("'"&amp;AE$5&amp;"'!C6:C1000"),$AA96,INDIRECT("'"&amp;AE$5&amp;"'!F6:F1000"),"件"))</f>
        <v>0</v>
      </c>
      <c r="BD96">
        <f>IF(OR($AA96="",AF$5=""),0,SUMIFS(INDIRECT("'"&amp;AF$5&amp;"'!E6:E1000"),INDIRECT("'"&amp;AF$5&amp;"'!C6:C1000"),$AA96,INDIRECT("'"&amp;AF$5&amp;"'!F6:F1000"),"箱")+SUMIFS(INDIRECT("'"&amp;AF$5&amp;"'!E6:E1000"),INDIRECT("'"&amp;AF$5&amp;"'!C6:C1000"),$AA96,INDIRECT("'"&amp;AF$5&amp;"'!F6:F1000"),"件"))</f>
        <v>0</v>
      </c>
      <c r="BE96">
        <f>IF(OR($AA96="",AG$5=""),0,SUMIFS(INDIRECT("'"&amp;AG$5&amp;"'!E6:E1000"),INDIRECT("'"&amp;AG$5&amp;"'!C6:C1000"),$AA96,INDIRECT("'"&amp;AG$5&amp;"'!F6:F1000"),"箱")+SUMIFS(INDIRECT("'"&amp;AG$5&amp;"'!E6:E1000"),INDIRECT("'"&amp;AG$5&amp;"'!C6:C1000"),$AA96,INDIRECT("'"&amp;AG$5&amp;"'!F6:F1000"),"件"))</f>
        <v>0</v>
      </c>
      <c r="BF96">
        <f>IF(OR($AA96="",AH$5=""),0,SUMIFS(INDIRECT("'"&amp;AH$5&amp;"'!E6:E1000"),INDIRECT("'"&amp;AH$5&amp;"'!C6:C1000"),$AA96,INDIRECT("'"&amp;AH$5&amp;"'!F6:F1000"),"箱")+SUMIFS(INDIRECT("'"&amp;AH$5&amp;"'!E6:E1000"),INDIRECT("'"&amp;AH$5&amp;"'!C6:C1000"),$AA96,INDIRECT("'"&amp;AH$5&amp;"'!F6:F1000"),"件"))</f>
        <v>0</v>
      </c>
      <c r="BG96">
        <f>IF(OR($AA96="",AI$5=""),0,SUMIFS(INDIRECT("'"&amp;AI$5&amp;"'!E6:E1000"),INDIRECT("'"&amp;AI$5&amp;"'!C6:C1000"),$AA96,INDIRECT("'"&amp;AI$5&amp;"'!F6:F1000"),"箱")+SUMIFS(INDIRECT("'"&amp;AI$5&amp;"'!E6:E1000"),INDIRECT("'"&amp;AI$5&amp;"'!C6:C1000"),$AA96,INDIRECT("'"&amp;AI$5&amp;"'!F6:F1000"),"件"))</f>
        <v>0</v>
      </c>
      <c r="BH96">
        <f>IF(OR($AA96="",AJ$5=""),0,SUMIFS(INDIRECT("'"&amp;AJ$5&amp;"'!E6:E1000"),INDIRECT("'"&amp;AJ$5&amp;"'!C6:C1000"),$AA96,INDIRECT("'"&amp;AJ$5&amp;"'!F6:F1000"),"箱")+SUMIFS(INDIRECT("'"&amp;AJ$5&amp;"'!E6:E1000"),INDIRECT("'"&amp;AJ$5&amp;"'!C6:C1000"),$AA96,INDIRECT("'"&amp;AJ$5&amp;"'!F6:F1000"),"件"))</f>
        <v>0</v>
      </c>
      <c r="BI96">
        <f>IF(OR($AA96="",AK$5=""),0,SUMIFS(INDIRECT("'"&amp;AK$5&amp;"'!E6:E1000"),INDIRECT("'"&amp;AK$5&amp;"'!C6:C1000"),$AA96,INDIRECT("'"&amp;AK$5&amp;"'!F6:F1000"),"箱")+SUMIFS(INDIRECT("'"&amp;AK$5&amp;"'!E6:E1000"),INDIRECT("'"&amp;AK$5&amp;"'!C6:C1000"),$AA96,INDIRECT("'"&amp;AK$5&amp;"'!F6:F1000"),"件"))</f>
        <v>0</v>
      </c>
      <c r="BJ96">
        <f>IF(OR($AA96="",AL$5=""),0,SUMIFS(INDIRECT("'"&amp;AL$5&amp;"'!E6:E1000"),INDIRECT("'"&amp;AL$5&amp;"'!C6:C1000"),$AA96,INDIRECT("'"&amp;AL$5&amp;"'!F6:F1000"),"箱")+SUMIFS(INDIRECT("'"&amp;AL$5&amp;"'!E6:E1000"),INDIRECT("'"&amp;AL$5&amp;"'!C6:C1000"),$AA96,INDIRECT("'"&amp;AL$5&amp;"'!F6:F1000"),"件"))</f>
        <v>0</v>
      </c>
      <c r="BK96">
        <f>IF(OR($AA96="",AM$5=""),0,SUMIFS(INDIRECT("'"&amp;AM$5&amp;"'!E6:E1000"),INDIRECT("'"&amp;AM$5&amp;"'!C6:C1000"),$AA96,INDIRECT("'"&amp;AM$5&amp;"'!F6:F1000"),"箱")+SUMIFS(INDIRECT("'"&amp;AM$5&amp;"'!E6:E1000"),INDIRECT("'"&amp;AM$5&amp;"'!C6:C1000"),$AA96,INDIRECT("'"&amp;AM$5&amp;"'!F6:F1000"),"件"))</f>
        <v>0</v>
      </c>
      <c r="BL96">
        <f>IF(OR($AA96="",AN$5=""),0,SUMIFS(INDIRECT("'"&amp;AN$5&amp;"'!E6:E1000"),INDIRECT("'"&amp;AN$5&amp;"'!C6:C1000"),$AA96,INDIRECT("'"&amp;AN$5&amp;"'!F6:F1000"),"箱")+SUMIFS(INDIRECT("'"&amp;AN$5&amp;"'!E6:E1000"),INDIRECT("'"&amp;AN$5&amp;"'!C6:C1000"),$AA96,INDIRECT("'"&amp;AN$5&amp;"'!F6:F1000"),"件"))</f>
        <v>0</v>
      </c>
      <c r="BM96">
        <f>(AO96-BA96)/$AB96+BA96</f>
        <v>0</v>
      </c>
      <c r="BN96">
        <f>(AP96-BB96)/$AB96+BB96</f>
        <v>0</v>
      </c>
      <c r="BO96">
        <f>(AQ96-BC96)/$AB96+BC96</f>
        <v>0</v>
      </c>
      <c r="BP96">
        <f>(AR96-BD96)/$AB96+BD96</f>
        <v>0</v>
      </c>
      <c r="BQ96">
        <f>(AS96-BE96)/$AB96+BE96</f>
        <v>0</v>
      </c>
      <c r="BR96">
        <f>(AT96-BF96)/$AB96+BF96</f>
        <v>0</v>
      </c>
      <c r="BS96">
        <f>(AU96-BG96)/$AB96+BG96</f>
        <v>0</v>
      </c>
      <c r="BT96">
        <f>(AV96-BH96)/$AB96+BH96</f>
        <v>0</v>
      </c>
      <c r="BU96">
        <f>(AW96-BI96)/$AB96+BI96</f>
        <v>0</v>
      </c>
      <c r="BV96">
        <f>(AX96-BJ96)/$AB96+BJ96</f>
        <v>0</v>
      </c>
      <c r="BW96">
        <f>(AY96-BK96)/$AB96+BK96</f>
        <v>0</v>
      </c>
      <c r="BX96">
        <f>(AZ96-BL96)/$AB96+BL96</f>
        <v>0</v>
      </c>
      <c r="BY96">
        <f>SUMPRODUCT((($AC$4:$AN$4=报损汇总一览!$A$3)+(报损汇总一览!$A$3="全年"))*AC96:AN96)</f>
        <v>0</v>
      </c>
      <c r="BZ96">
        <f>IF(BY96&gt;0,BY96+(1000-ROW())/10000000,"")</f>
      </c>
      <c r="CA96">
        <f>SUMPRODUCT((($AC$4:$AN$4=报损汇总一览!$A$3)+(报损汇总一览!$A$3="全年"))*AO96:AZ96)</f>
        <v>0</v>
      </c>
    </row>
    <row r="97">
      <c r="A97">
        <f>IF(OR(存条明细!C97="",存条明细!D97=""),"",IF(COUNTIFS(存条明细!$C$4:C97,存条明细!C97,存条明细!$D$4:D97,存条明细!D97)&gt;1,"",IFERROR(MATCH(存条明细!C97,总览汇总!$B$5:$B$304,0),900)*10000000+IFERROR(MATCH(存条明细!D97,基础资料!$E$5:$E$104,0),900)*10000+ROW()))</f>
        <v>240050097</v>
      </c>
      <c r="B97">
        <f>IFERROR(MATCH(SMALL($A$4:$A$4003,94),$A$4:$A$4003,0),"")</f>
        <v>59</v>
      </c>
      <c r="D97">
        <f>IF(AND(商品库存!B97&lt;&gt;"",商品库存!B97=客户查询!$B$4),COUNTIF(商品库存!$B$4:B97,客户查询!$B$4),"")</f>
      </c>
      <c r="E97">
        <f>IF(AND(商品库存!B97&lt;&gt;"",商品库存!B97=客户对账单!$B$4),COUNTIF(商品库存!$B$4:B97,客户对账单!$B$4),"")</f>
      </c>
      <c r="F97">
        <f>IF(AND(出库明细!C97&lt;&gt;"",出库明细!C97=客户对账单!$B$4,ISNUMBER(出库明细!B97),出库明细!B97&gt;=客户对账单!$G$4,出库明细!B97&lt;=客户对账单!$I$4),出库明细!B97+ROW()/100000,"")</f>
      </c>
      <c r="H97">
        <f>IF(AND(采购进货!C97&lt;&gt;"",采购进货!C97=供应商对账单!$B$4,ISNUMBER(采购进货!B97),采购进货!B97&gt;=供应商对账单!$G$4,采购进货!B97&lt;=供应商对账单!$I$4),采购进货!B97+ROW()/100000,"")</f>
      </c>
      <c r="J97">
        <f>IF(总览汇总!$B97="","",N(总览汇总!$K97)+SUMIFS(出库明细!$G$4:$G$3003,出库明细!$C$4:$C$3003,总览汇总!$B97,出库明细!$B$4:$B$3003,"&gt;="&amp;年初日,出库明细!$B$4:$B$3003,"&lt;="&amp;资产负债表!$D$3)-SUMIFS(资金台帐!$S$7:$S$3006,资金台帐!$J$7:$J$3006,总览汇总!$B97,资金台帐!$P$7:$P$3006,"应收",资金台帐!$B$7:$B$3006,"&gt;="&amp;年初日,资金台帐!$B$7:$B$3006,"&lt;="&amp;资产负债表!$D$3))</f>
      </c>
      <c r="N97">
        <f>IF(AND(ISNUMBER(出库明细!G97),ISNUMBER(出库明细!E97),ISNUMBER(出库明细!F97)),IF(ABS(出库明细!G97-出库明细!E97*出库明细!F97)&gt;0.005,1,0),0)</f>
        <v>0</v>
      </c>
      <c r="O97">
        <f>IF(AND(ISNUMBER(存条明细!G97),ISNUMBER(存条明细!E97),ISNUMBER(存条明细!F97)),IF(ABS(存条明细!G97-存条明细!E97*存条明细!F97)&gt;0.005,1,0),0)</f>
        <v>0</v>
      </c>
      <c r="AA97">
        <f>IF(基础资料!G96="","",基础资料!G96&amp;"")</f>
      </c>
      <c r="AB97">
        <f>IF(N(基础资料!I96)&lt;=0,1,基础资料!I96)</f>
        <v>1</v>
      </c>
      <c r="AC97">
        <f>IF(OR($AA97="",AC$5=""),0,SUMIF(INDIRECT("'"&amp;AC$5&amp;"'!C6:C1000"),$AA97,INDIRECT("'"&amp;AC$5&amp;"'!H6:H1000")))</f>
        <v>0</v>
      </c>
      <c r="AD97">
        <f>IF(OR($AA97="",AD$5=""),0,SUMIF(INDIRECT("'"&amp;AD$5&amp;"'!C6:C1000"),$AA97,INDIRECT("'"&amp;AD$5&amp;"'!H6:H1000")))</f>
        <v>0</v>
      </c>
      <c r="AE97">
        <f>IF(OR($AA97="",AE$5=""),0,SUMIF(INDIRECT("'"&amp;AE$5&amp;"'!C6:C1000"),$AA97,INDIRECT("'"&amp;AE$5&amp;"'!H6:H1000")))</f>
        <v>0</v>
      </c>
      <c r="AF97">
        <f>IF(OR($AA97="",AF$5=""),0,SUMIF(INDIRECT("'"&amp;AF$5&amp;"'!C6:C1000"),$AA97,INDIRECT("'"&amp;AF$5&amp;"'!H6:H1000")))</f>
        <v>0</v>
      </c>
      <c r="AG97">
        <f>IF(OR($AA97="",AG$5=""),0,SUMIF(INDIRECT("'"&amp;AG$5&amp;"'!C6:C1000"),$AA97,INDIRECT("'"&amp;AG$5&amp;"'!H6:H1000")))</f>
        <v>0</v>
      </c>
      <c r="AH97">
        <f>IF(OR($AA97="",AH$5=""),0,SUMIF(INDIRECT("'"&amp;AH$5&amp;"'!C6:C1000"),$AA97,INDIRECT("'"&amp;AH$5&amp;"'!H6:H1000")))</f>
        <v>0</v>
      </c>
      <c r="AI97">
        <f>IF(OR($AA97="",AI$5=""),0,SUMIF(INDIRECT("'"&amp;AI$5&amp;"'!C6:C1000"),$AA97,INDIRECT("'"&amp;AI$5&amp;"'!H6:H1000")))</f>
        <v>0</v>
      </c>
      <c r="AJ97">
        <f>IF(OR($AA97="",AJ$5=""),0,SUMIF(INDIRECT("'"&amp;AJ$5&amp;"'!C6:C1000"),$AA97,INDIRECT("'"&amp;AJ$5&amp;"'!H6:H1000")))</f>
        <v>0</v>
      </c>
      <c r="AK97">
        <f>IF(OR($AA97="",AK$5=""),0,SUMIF(INDIRECT("'"&amp;AK$5&amp;"'!C6:C1000"),$AA97,INDIRECT("'"&amp;AK$5&amp;"'!H6:H1000")))</f>
        <v>0</v>
      </c>
      <c r="AL97">
        <f>IF(OR($AA97="",AL$5=""),0,SUMIF(INDIRECT("'"&amp;AL$5&amp;"'!C6:C1000"),$AA97,INDIRECT("'"&amp;AL$5&amp;"'!H6:H1000")))</f>
        <v>0</v>
      </c>
      <c r="AM97">
        <f>IF(OR($AA97="",AM$5=""),0,SUMIF(INDIRECT("'"&amp;AM$5&amp;"'!C6:C1000"),$AA97,INDIRECT("'"&amp;AM$5&amp;"'!H6:H1000")))</f>
        <v>0</v>
      </c>
      <c r="AN97">
        <f>IF(OR($AA97="",AN$5=""),0,SUMIF(INDIRECT("'"&amp;AN$5&amp;"'!C6:C1000"),$AA97,INDIRECT("'"&amp;AN$5&amp;"'!H6:H1000")))</f>
        <v>0</v>
      </c>
      <c r="AO97">
        <f>IF(OR($AA97="",AC$5=""),0,SUMIF(INDIRECT("'"&amp;AC$5&amp;"'!C6:C1000"),$AA97,INDIRECT("'"&amp;AC$5&amp;"'!E6:E1000")))</f>
        <v>0</v>
      </c>
      <c r="AP97">
        <f>IF(OR($AA97="",AD$5=""),0,SUMIF(INDIRECT("'"&amp;AD$5&amp;"'!C6:C1000"),$AA97,INDIRECT("'"&amp;AD$5&amp;"'!E6:E1000")))</f>
        <v>0</v>
      </c>
      <c r="AQ97">
        <f>IF(OR($AA97="",AE$5=""),0,SUMIF(INDIRECT("'"&amp;AE$5&amp;"'!C6:C1000"),$AA97,INDIRECT("'"&amp;AE$5&amp;"'!E6:E1000")))</f>
        <v>0</v>
      </c>
      <c r="AR97">
        <f>IF(OR($AA97="",AF$5=""),0,SUMIF(INDIRECT("'"&amp;AF$5&amp;"'!C6:C1000"),$AA97,INDIRECT("'"&amp;AF$5&amp;"'!E6:E1000")))</f>
        <v>0</v>
      </c>
      <c r="AS97">
        <f>IF(OR($AA97="",AG$5=""),0,SUMIF(INDIRECT("'"&amp;AG$5&amp;"'!C6:C1000"),$AA97,INDIRECT("'"&amp;AG$5&amp;"'!E6:E1000")))</f>
        <v>0</v>
      </c>
      <c r="AT97">
        <f>IF(OR($AA97="",AH$5=""),0,SUMIF(INDIRECT("'"&amp;AH$5&amp;"'!C6:C1000"),$AA97,INDIRECT("'"&amp;AH$5&amp;"'!E6:E1000")))</f>
        <v>0</v>
      </c>
      <c r="AU97">
        <f>IF(OR($AA97="",AI$5=""),0,SUMIF(INDIRECT("'"&amp;AI$5&amp;"'!C6:C1000"),$AA97,INDIRECT("'"&amp;AI$5&amp;"'!E6:E1000")))</f>
        <v>0</v>
      </c>
      <c r="AV97">
        <f>IF(OR($AA97="",AJ$5=""),0,SUMIF(INDIRECT("'"&amp;AJ$5&amp;"'!C6:C1000"),$AA97,INDIRECT("'"&amp;AJ$5&amp;"'!E6:E1000")))</f>
        <v>0</v>
      </c>
      <c r="AW97">
        <f>IF(OR($AA97="",AK$5=""),0,SUMIF(INDIRECT("'"&amp;AK$5&amp;"'!C6:C1000"),$AA97,INDIRECT("'"&amp;AK$5&amp;"'!E6:E1000")))</f>
        <v>0</v>
      </c>
      <c r="AX97">
        <f>IF(OR($AA97="",AL$5=""),0,SUMIF(INDIRECT("'"&amp;AL$5&amp;"'!C6:C1000"),$AA97,INDIRECT("'"&amp;AL$5&amp;"'!E6:E1000")))</f>
        <v>0</v>
      </c>
      <c r="AY97">
        <f>IF(OR($AA97="",AM$5=""),0,SUMIF(INDIRECT("'"&amp;AM$5&amp;"'!C6:C1000"),$AA97,INDIRECT("'"&amp;AM$5&amp;"'!E6:E1000")))</f>
        <v>0</v>
      </c>
      <c r="AZ97">
        <f>IF(OR($AA97="",AN$5=""),0,SUMIF(INDIRECT("'"&amp;AN$5&amp;"'!C6:C1000"),$AA97,INDIRECT("'"&amp;AN$5&amp;"'!E6:E1000")))</f>
        <v>0</v>
      </c>
      <c r="BA97">
        <f>IF(OR($AA97="",AC$5=""),0,SUMIFS(INDIRECT("'"&amp;AC$5&amp;"'!E6:E1000"),INDIRECT("'"&amp;AC$5&amp;"'!C6:C1000"),$AA97,INDIRECT("'"&amp;AC$5&amp;"'!F6:F1000"),"箱")+SUMIFS(INDIRECT("'"&amp;AC$5&amp;"'!E6:E1000"),INDIRECT("'"&amp;AC$5&amp;"'!C6:C1000"),$AA97,INDIRECT("'"&amp;AC$5&amp;"'!F6:F1000"),"件"))</f>
        <v>0</v>
      </c>
      <c r="BB97">
        <f>IF(OR($AA97="",AD$5=""),0,SUMIFS(INDIRECT("'"&amp;AD$5&amp;"'!E6:E1000"),INDIRECT("'"&amp;AD$5&amp;"'!C6:C1000"),$AA97,INDIRECT("'"&amp;AD$5&amp;"'!F6:F1000"),"箱")+SUMIFS(INDIRECT("'"&amp;AD$5&amp;"'!E6:E1000"),INDIRECT("'"&amp;AD$5&amp;"'!C6:C1000"),$AA97,INDIRECT("'"&amp;AD$5&amp;"'!F6:F1000"),"件"))</f>
        <v>0</v>
      </c>
      <c r="BC97">
        <f>IF(OR($AA97="",AE$5=""),0,SUMIFS(INDIRECT("'"&amp;AE$5&amp;"'!E6:E1000"),INDIRECT("'"&amp;AE$5&amp;"'!C6:C1000"),$AA97,INDIRECT("'"&amp;AE$5&amp;"'!F6:F1000"),"箱")+SUMIFS(INDIRECT("'"&amp;AE$5&amp;"'!E6:E1000"),INDIRECT("'"&amp;AE$5&amp;"'!C6:C1000"),$AA97,INDIRECT("'"&amp;AE$5&amp;"'!F6:F1000"),"件"))</f>
        <v>0</v>
      </c>
      <c r="BD97">
        <f>IF(OR($AA97="",AF$5=""),0,SUMIFS(INDIRECT("'"&amp;AF$5&amp;"'!E6:E1000"),INDIRECT("'"&amp;AF$5&amp;"'!C6:C1000"),$AA97,INDIRECT("'"&amp;AF$5&amp;"'!F6:F1000"),"箱")+SUMIFS(INDIRECT("'"&amp;AF$5&amp;"'!E6:E1000"),INDIRECT("'"&amp;AF$5&amp;"'!C6:C1000"),$AA97,INDIRECT("'"&amp;AF$5&amp;"'!F6:F1000"),"件"))</f>
        <v>0</v>
      </c>
      <c r="BE97">
        <f>IF(OR($AA97="",AG$5=""),0,SUMIFS(INDIRECT("'"&amp;AG$5&amp;"'!E6:E1000"),INDIRECT("'"&amp;AG$5&amp;"'!C6:C1000"),$AA97,INDIRECT("'"&amp;AG$5&amp;"'!F6:F1000"),"箱")+SUMIFS(INDIRECT("'"&amp;AG$5&amp;"'!E6:E1000"),INDIRECT("'"&amp;AG$5&amp;"'!C6:C1000"),$AA97,INDIRECT("'"&amp;AG$5&amp;"'!F6:F1000"),"件"))</f>
        <v>0</v>
      </c>
      <c r="BF97">
        <f>IF(OR($AA97="",AH$5=""),0,SUMIFS(INDIRECT("'"&amp;AH$5&amp;"'!E6:E1000"),INDIRECT("'"&amp;AH$5&amp;"'!C6:C1000"),$AA97,INDIRECT("'"&amp;AH$5&amp;"'!F6:F1000"),"箱")+SUMIFS(INDIRECT("'"&amp;AH$5&amp;"'!E6:E1000"),INDIRECT("'"&amp;AH$5&amp;"'!C6:C1000"),$AA97,INDIRECT("'"&amp;AH$5&amp;"'!F6:F1000"),"件"))</f>
        <v>0</v>
      </c>
      <c r="BG97">
        <f>IF(OR($AA97="",AI$5=""),0,SUMIFS(INDIRECT("'"&amp;AI$5&amp;"'!E6:E1000"),INDIRECT("'"&amp;AI$5&amp;"'!C6:C1000"),$AA97,INDIRECT("'"&amp;AI$5&amp;"'!F6:F1000"),"箱")+SUMIFS(INDIRECT("'"&amp;AI$5&amp;"'!E6:E1000"),INDIRECT("'"&amp;AI$5&amp;"'!C6:C1000"),$AA97,INDIRECT("'"&amp;AI$5&amp;"'!F6:F1000"),"件"))</f>
        <v>0</v>
      </c>
      <c r="BH97">
        <f>IF(OR($AA97="",AJ$5=""),0,SUMIFS(INDIRECT("'"&amp;AJ$5&amp;"'!E6:E1000"),INDIRECT("'"&amp;AJ$5&amp;"'!C6:C1000"),$AA97,INDIRECT("'"&amp;AJ$5&amp;"'!F6:F1000"),"箱")+SUMIFS(INDIRECT("'"&amp;AJ$5&amp;"'!E6:E1000"),INDIRECT("'"&amp;AJ$5&amp;"'!C6:C1000"),$AA97,INDIRECT("'"&amp;AJ$5&amp;"'!F6:F1000"),"件"))</f>
        <v>0</v>
      </c>
      <c r="BI97">
        <f>IF(OR($AA97="",AK$5=""),0,SUMIFS(INDIRECT("'"&amp;AK$5&amp;"'!E6:E1000"),INDIRECT("'"&amp;AK$5&amp;"'!C6:C1000"),$AA97,INDIRECT("'"&amp;AK$5&amp;"'!F6:F1000"),"箱")+SUMIFS(INDIRECT("'"&amp;AK$5&amp;"'!E6:E1000"),INDIRECT("'"&amp;AK$5&amp;"'!C6:C1000"),$AA97,INDIRECT("'"&amp;AK$5&amp;"'!F6:F1000"),"件"))</f>
        <v>0</v>
      </c>
      <c r="BJ97">
        <f>IF(OR($AA97="",AL$5=""),0,SUMIFS(INDIRECT("'"&amp;AL$5&amp;"'!E6:E1000"),INDIRECT("'"&amp;AL$5&amp;"'!C6:C1000"),$AA97,INDIRECT("'"&amp;AL$5&amp;"'!F6:F1000"),"箱")+SUMIFS(INDIRECT("'"&amp;AL$5&amp;"'!E6:E1000"),INDIRECT("'"&amp;AL$5&amp;"'!C6:C1000"),$AA97,INDIRECT("'"&amp;AL$5&amp;"'!F6:F1000"),"件"))</f>
        <v>0</v>
      </c>
      <c r="BK97">
        <f>IF(OR($AA97="",AM$5=""),0,SUMIFS(INDIRECT("'"&amp;AM$5&amp;"'!E6:E1000"),INDIRECT("'"&amp;AM$5&amp;"'!C6:C1000"),$AA97,INDIRECT("'"&amp;AM$5&amp;"'!F6:F1000"),"箱")+SUMIFS(INDIRECT("'"&amp;AM$5&amp;"'!E6:E1000"),INDIRECT("'"&amp;AM$5&amp;"'!C6:C1000"),$AA97,INDIRECT("'"&amp;AM$5&amp;"'!F6:F1000"),"件"))</f>
        <v>0</v>
      </c>
      <c r="BL97">
        <f>IF(OR($AA97="",AN$5=""),0,SUMIFS(INDIRECT("'"&amp;AN$5&amp;"'!E6:E1000"),INDIRECT("'"&amp;AN$5&amp;"'!C6:C1000"),$AA97,INDIRECT("'"&amp;AN$5&amp;"'!F6:F1000"),"箱")+SUMIFS(INDIRECT("'"&amp;AN$5&amp;"'!E6:E1000"),INDIRECT("'"&amp;AN$5&amp;"'!C6:C1000"),$AA97,INDIRECT("'"&amp;AN$5&amp;"'!F6:F1000"),"件"))</f>
        <v>0</v>
      </c>
      <c r="BM97">
        <f>(AO97-BA97)/$AB97+BA97</f>
        <v>0</v>
      </c>
      <c r="BN97">
        <f>(AP97-BB97)/$AB97+BB97</f>
        <v>0</v>
      </c>
      <c r="BO97">
        <f>(AQ97-BC97)/$AB97+BC97</f>
        <v>0</v>
      </c>
      <c r="BP97">
        <f>(AR97-BD97)/$AB97+BD97</f>
        <v>0</v>
      </c>
      <c r="BQ97">
        <f>(AS97-BE97)/$AB97+BE97</f>
        <v>0</v>
      </c>
      <c r="BR97">
        <f>(AT97-BF97)/$AB97+BF97</f>
        <v>0</v>
      </c>
      <c r="BS97">
        <f>(AU97-BG97)/$AB97+BG97</f>
        <v>0</v>
      </c>
      <c r="BT97">
        <f>(AV97-BH97)/$AB97+BH97</f>
        <v>0</v>
      </c>
      <c r="BU97">
        <f>(AW97-BI97)/$AB97+BI97</f>
        <v>0</v>
      </c>
      <c r="BV97">
        <f>(AX97-BJ97)/$AB97+BJ97</f>
        <v>0</v>
      </c>
      <c r="BW97">
        <f>(AY97-BK97)/$AB97+BK97</f>
        <v>0</v>
      </c>
      <c r="BX97">
        <f>(AZ97-BL97)/$AB97+BL97</f>
        <v>0</v>
      </c>
      <c r="BY97">
        <f>SUMPRODUCT((($AC$4:$AN$4=报损汇总一览!$A$3)+(报损汇总一览!$A$3="全年"))*AC97:AN97)</f>
        <v>0</v>
      </c>
      <c r="BZ97">
        <f>IF(BY97&gt;0,BY97+(1000-ROW())/10000000,"")</f>
      </c>
      <c r="CA97">
        <f>SUMPRODUCT((($AC$4:$AN$4=报损汇总一览!$A$3)+(报损汇总一览!$A$3="全年"))*AO97:AZ97)</f>
        <v>0</v>
      </c>
    </row>
    <row r="98">
      <c r="A98">
        <f>IF(OR(存条明细!C98="",存条明细!D98=""),"",IF(COUNTIFS(存条明细!$C$4:C98,存条明细!C98,存条明细!$D$4:D98,存条明细!D98)&gt;1,"",IFERROR(MATCH(存条明细!C98,总览汇总!$B$5:$B$304,0),900)*10000000+IFERROR(MATCH(存条明细!D98,基础资料!$E$5:$E$104,0),900)*10000+ROW()))</f>
        <v>240080098</v>
      </c>
      <c r="B98">
        <f>IFERROR(MATCH(SMALL($A$4:$A$4003,95),$A$4:$A$4003,0),"")</f>
        <v>60</v>
      </c>
      <c r="D98">
        <f>IF(AND(商品库存!B98&lt;&gt;"",商品库存!B98=客户查询!$B$4),COUNTIF(商品库存!$B$4:B98,客户查询!$B$4),"")</f>
      </c>
      <c r="E98">
        <f>IF(AND(商品库存!B98&lt;&gt;"",商品库存!B98=客户对账单!$B$4),COUNTIF(商品库存!$B$4:B98,客户对账单!$B$4),"")</f>
      </c>
      <c r="F98">
        <f>IF(AND(出库明细!C98&lt;&gt;"",出库明细!C98=客户对账单!$B$4,ISNUMBER(出库明细!B98),出库明细!B98&gt;=客户对账单!$G$4,出库明细!B98&lt;=客户对账单!$I$4),出库明细!B98+ROW()/100000,"")</f>
      </c>
      <c r="H98">
        <f>IF(AND(采购进货!C98&lt;&gt;"",采购进货!C98=供应商对账单!$B$4,ISNUMBER(采购进货!B98),采购进货!B98&gt;=供应商对账单!$G$4,采购进货!B98&lt;=供应商对账单!$I$4),采购进货!B98+ROW()/100000,"")</f>
      </c>
      <c r="J98">
        <f>IF(总览汇总!$B98="","",N(总览汇总!$K98)+SUMIFS(出库明细!$G$4:$G$3003,出库明细!$C$4:$C$3003,总览汇总!$B98,出库明细!$B$4:$B$3003,"&gt;="&amp;年初日,出库明细!$B$4:$B$3003,"&lt;="&amp;资产负债表!$D$3)-SUMIFS(资金台帐!$S$7:$S$3006,资金台帐!$J$7:$J$3006,总览汇总!$B98,资金台帐!$P$7:$P$3006,"应收",资金台帐!$B$7:$B$3006,"&gt;="&amp;年初日,资金台帐!$B$7:$B$3006,"&lt;="&amp;资产负债表!$D$3))</f>
      </c>
      <c r="N98">
        <f>IF(AND(ISNUMBER(出库明细!G98),ISNUMBER(出库明细!E98),ISNUMBER(出库明细!F98)),IF(ABS(出库明细!G98-出库明细!E98*出库明细!F98)&gt;0.005,1,0),0)</f>
        <v>0</v>
      </c>
      <c r="O98">
        <f>IF(AND(ISNUMBER(存条明细!G98),ISNUMBER(存条明细!E98),ISNUMBER(存条明细!F98)),IF(ABS(存条明细!G98-存条明细!E98*存条明细!F98)&gt;0.005,1,0),0)</f>
        <v>0</v>
      </c>
      <c r="AA98">
        <f>IF(基础资料!G97="","",基础资料!G97&amp;"")</f>
      </c>
      <c r="AB98">
        <f>IF(N(基础资料!I97)&lt;=0,1,基础资料!I97)</f>
        <v>1</v>
      </c>
      <c r="AC98">
        <f>IF(OR($AA98="",AC$5=""),0,SUMIF(INDIRECT("'"&amp;AC$5&amp;"'!C6:C1000"),$AA98,INDIRECT("'"&amp;AC$5&amp;"'!H6:H1000")))</f>
        <v>0</v>
      </c>
      <c r="AD98">
        <f>IF(OR($AA98="",AD$5=""),0,SUMIF(INDIRECT("'"&amp;AD$5&amp;"'!C6:C1000"),$AA98,INDIRECT("'"&amp;AD$5&amp;"'!H6:H1000")))</f>
        <v>0</v>
      </c>
      <c r="AE98">
        <f>IF(OR($AA98="",AE$5=""),0,SUMIF(INDIRECT("'"&amp;AE$5&amp;"'!C6:C1000"),$AA98,INDIRECT("'"&amp;AE$5&amp;"'!H6:H1000")))</f>
        <v>0</v>
      </c>
      <c r="AF98">
        <f>IF(OR($AA98="",AF$5=""),0,SUMIF(INDIRECT("'"&amp;AF$5&amp;"'!C6:C1000"),$AA98,INDIRECT("'"&amp;AF$5&amp;"'!H6:H1000")))</f>
        <v>0</v>
      </c>
      <c r="AG98">
        <f>IF(OR($AA98="",AG$5=""),0,SUMIF(INDIRECT("'"&amp;AG$5&amp;"'!C6:C1000"),$AA98,INDIRECT("'"&amp;AG$5&amp;"'!H6:H1000")))</f>
        <v>0</v>
      </c>
      <c r="AH98">
        <f>IF(OR($AA98="",AH$5=""),0,SUMIF(INDIRECT("'"&amp;AH$5&amp;"'!C6:C1000"),$AA98,INDIRECT("'"&amp;AH$5&amp;"'!H6:H1000")))</f>
        <v>0</v>
      </c>
      <c r="AI98">
        <f>IF(OR($AA98="",AI$5=""),0,SUMIF(INDIRECT("'"&amp;AI$5&amp;"'!C6:C1000"),$AA98,INDIRECT("'"&amp;AI$5&amp;"'!H6:H1000")))</f>
        <v>0</v>
      </c>
      <c r="AJ98">
        <f>IF(OR($AA98="",AJ$5=""),0,SUMIF(INDIRECT("'"&amp;AJ$5&amp;"'!C6:C1000"),$AA98,INDIRECT("'"&amp;AJ$5&amp;"'!H6:H1000")))</f>
        <v>0</v>
      </c>
      <c r="AK98">
        <f>IF(OR($AA98="",AK$5=""),0,SUMIF(INDIRECT("'"&amp;AK$5&amp;"'!C6:C1000"),$AA98,INDIRECT("'"&amp;AK$5&amp;"'!H6:H1000")))</f>
        <v>0</v>
      </c>
      <c r="AL98">
        <f>IF(OR($AA98="",AL$5=""),0,SUMIF(INDIRECT("'"&amp;AL$5&amp;"'!C6:C1000"),$AA98,INDIRECT("'"&amp;AL$5&amp;"'!H6:H1000")))</f>
        <v>0</v>
      </c>
      <c r="AM98">
        <f>IF(OR($AA98="",AM$5=""),0,SUMIF(INDIRECT("'"&amp;AM$5&amp;"'!C6:C1000"),$AA98,INDIRECT("'"&amp;AM$5&amp;"'!H6:H1000")))</f>
        <v>0</v>
      </c>
      <c r="AN98">
        <f>IF(OR($AA98="",AN$5=""),0,SUMIF(INDIRECT("'"&amp;AN$5&amp;"'!C6:C1000"),$AA98,INDIRECT("'"&amp;AN$5&amp;"'!H6:H1000")))</f>
        <v>0</v>
      </c>
      <c r="AO98">
        <f>IF(OR($AA98="",AC$5=""),0,SUMIF(INDIRECT("'"&amp;AC$5&amp;"'!C6:C1000"),$AA98,INDIRECT("'"&amp;AC$5&amp;"'!E6:E1000")))</f>
        <v>0</v>
      </c>
      <c r="AP98">
        <f>IF(OR($AA98="",AD$5=""),0,SUMIF(INDIRECT("'"&amp;AD$5&amp;"'!C6:C1000"),$AA98,INDIRECT("'"&amp;AD$5&amp;"'!E6:E1000")))</f>
        <v>0</v>
      </c>
      <c r="AQ98">
        <f>IF(OR($AA98="",AE$5=""),0,SUMIF(INDIRECT("'"&amp;AE$5&amp;"'!C6:C1000"),$AA98,INDIRECT("'"&amp;AE$5&amp;"'!E6:E1000")))</f>
        <v>0</v>
      </c>
      <c r="AR98">
        <f>IF(OR($AA98="",AF$5=""),0,SUMIF(INDIRECT("'"&amp;AF$5&amp;"'!C6:C1000"),$AA98,INDIRECT("'"&amp;AF$5&amp;"'!E6:E1000")))</f>
        <v>0</v>
      </c>
      <c r="AS98">
        <f>IF(OR($AA98="",AG$5=""),0,SUMIF(INDIRECT("'"&amp;AG$5&amp;"'!C6:C1000"),$AA98,INDIRECT("'"&amp;AG$5&amp;"'!E6:E1000")))</f>
        <v>0</v>
      </c>
      <c r="AT98">
        <f>IF(OR($AA98="",AH$5=""),0,SUMIF(INDIRECT("'"&amp;AH$5&amp;"'!C6:C1000"),$AA98,INDIRECT("'"&amp;AH$5&amp;"'!E6:E1000")))</f>
        <v>0</v>
      </c>
      <c r="AU98">
        <f>IF(OR($AA98="",AI$5=""),0,SUMIF(INDIRECT("'"&amp;AI$5&amp;"'!C6:C1000"),$AA98,INDIRECT("'"&amp;AI$5&amp;"'!E6:E1000")))</f>
        <v>0</v>
      </c>
      <c r="AV98">
        <f>IF(OR($AA98="",AJ$5=""),0,SUMIF(INDIRECT("'"&amp;AJ$5&amp;"'!C6:C1000"),$AA98,INDIRECT("'"&amp;AJ$5&amp;"'!E6:E1000")))</f>
        <v>0</v>
      </c>
      <c r="AW98">
        <f>IF(OR($AA98="",AK$5=""),0,SUMIF(INDIRECT("'"&amp;AK$5&amp;"'!C6:C1000"),$AA98,INDIRECT("'"&amp;AK$5&amp;"'!E6:E1000")))</f>
        <v>0</v>
      </c>
      <c r="AX98">
        <f>IF(OR($AA98="",AL$5=""),0,SUMIF(INDIRECT("'"&amp;AL$5&amp;"'!C6:C1000"),$AA98,INDIRECT("'"&amp;AL$5&amp;"'!E6:E1000")))</f>
        <v>0</v>
      </c>
      <c r="AY98">
        <f>IF(OR($AA98="",AM$5=""),0,SUMIF(INDIRECT("'"&amp;AM$5&amp;"'!C6:C1000"),$AA98,INDIRECT("'"&amp;AM$5&amp;"'!E6:E1000")))</f>
        <v>0</v>
      </c>
      <c r="AZ98">
        <f>IF(OR($AA98="",AN$5=""),0,SUMIF(INDIRECT("'"&amp;AN$5&amp;"'!C6:C1000"),$AA98,INDIRECT("'"&amp;AN$5&amp;"'!E6:E1000")))</f>
        <v>0</v>
      </c>
      <c r="BA98">
        <f>IF(OR($AA98="",AC$5=""),0,SUMIFS(INDIRECT("'"&amp;AC$5&amp;"'!E6:E1000"),INDIRECT("'"&amp;AC$5&amp;"'!C6:C1000"),$AA98,INDIRECT("'"&amp;AC$5&amp;"'!F6:F1000"),"箱")+SUMIFS(INDIRECT("'"&amp;AC$5&amp;"'!E6:E1000"),INDIRECT("'"&amp;AC$5&amp;"'!C6:C1000"),$AA98,INDIRECT("'"&amp;AC$5&amp;"'!F6:F1000"),"件"))</f>
        <v>0</v>
      </c>
      <c r="BB98">
        <f>IF(OR($AA98="",AD$5=""),0,SUMIFS(INDIRECT("'"&amp;AD$5&amp;"'!E6:E1000"),INDIRECT("'"&amp;AD$5&amp;"'!C6:C1000"),$AA98,INDIRECT("'"&amp;AD$5&amp;"'!F6:F1000"),"箱")+SUMIFS(INDIRECT("'"&amp;AD$5&amp;"'!E6:E1000"),INDIRECT("'"&amp;AD$5&amp;"'!C6:C1000"),$AA98,INDIRECT("'"&amp;AD$5&amp;"'!F6:F1000"),"件"))</f>
        <v>0</v>
      </c>
      <c r="BC98">
        <f>IF(OR($AA98="",AE$5=""),0,SUMIFS(INDIRECT("'"&amp;AE$5&amp;"'!E6:E1000"),INDIRECT("'"&amp;AE$5&amp;"'!C6:C1000"),$AA98,INDIRECT("'"&amp;AE$5&amp;"'!F6:F1000"),"箱")+SUMIFS(INDIRECT("'"&amp;AE$5&amp;"'!E6:E1000"),INDIRECT("'"&amp;AE$5&amp;"'!C6:C1000"),$AA98,INDIRECT("'"&amp;AE$5&amp;"'!F6:F1000"),"件"))</f>
        <v>0</v>
      </c>
      <c r="BD98">
        <f>IF(OR($AA98="",AF$5=""),0,SUMIFS(INDIRECT("'"&amp;AF$5&amp;"'!E6:E1000"),INDIRECT("'"&amp;AF$5&amp;"'!C6:C1000"),$AA98,INDIRECT("'"&amp;AF$5&amp;"'!F6:F1000"),"箱")+SUMIFS(INDIRECT("'"&amp;AF$5&amp;"'!E6:E1000"),INDIRECT("'"&amp;AF$5&amp;"'!C6:C1000"),$AA98,INDIRECT("'"&amp;AF$5&amp;"'!F6:F1000"),"件"))</f>
        <v>0</v>
      </c>
      <c r="BE98">
        <f>IF(OR($AA98="",AG$5=""),0,SUMIFS(INDIRECT("'"&amp;AG$5&amp;"'!E6:E1000"),INDIRECT("'"&amp;AG$5&amp;"'!C6:C1000"),$AA98,INDIRECT("'"&amp;AG$5&amp;"'!F6:F1000"),"箱")+SUMIFS(INDIRECT("'"&amp;AG$5&amp;"'!E6:E1000"),INDIRECT("'"&amp;AG$5&amp;"'!C6:C1000"),$AA98,INDIRECT("'"&amp;AG$5&amp;"'!F6:F1000"),"件"))</f>
        <v>0</v>
      </c>
      <c r="BF98">
        <f>IF(OR($AA98="",AH$5=""),0,SUMIFS(INDIRECT("'"&amp;AH$5&amp;"'!E6:E1000"),INDIRECT("'"&amp;AH$5&amp;"'!C6:C1000"),$AA98,INDIRECT("'"&amp;AH$5&amp;"'!F6:F1000"),"箱")+SUMIFS(INDIRECT("'"&amp;AH$5&amp;"'!E6:E1000"),INDIRECT("'"&amp;AH$5&amp;"'!C6:C1000"),$AA98,INDIRECT("'"&amp;AH$5&amp;"'!F6:F1000"),"件"))</f>
        <v>0</v>
      </c>
      <c r="BG98">
        <f>IF(OR($AA98="",AI$5=""),0,SUMIFS(INDIRECT("'"&amp;AI$5&amp;"'!E6:E1000"),INDIRECT("'"&amp;AI$5&amp;"'!C6:C1000"),$AA98,INDIRECT("'"&amp;AI$5&amp;"'!F6:F1000"),"箱")+SUMIFS(INDIRECT("'"&amp;AI$5&amp;"'!E6:E1000"),INDIRECT("'"&amp;AI$5&amp;"'!C6:C1000"),$AA98,INDIRECT("'"&amp;AI$5&amp;"'!F6:F1000"),"件"))</f>
        <v>0</v>
      </c>
      <c r="BH98">
        <f>IF(OR($AA98="",AJ$5=""),0,SUMIFS(INDIRECT("'"&amp;AJ$5&amp;"'!E6:E1000"),INDIRECT("'"&amp;AJ$5&amp;"'!C6:C1000"),$AA98,INDIRECT("'"&amp;AJ$5&amp;"'!F6:F1000"),"箱")+SUMIFS(INDIRECT("'"&amp;AJ$5&amp;"'!E6:E1000"),INDIRECT("'"&amp;AJ$5&amp;"'!C6:C1000"),$AA98,INDIRECT("'"&amp;AJ$5&amp;"'!F6:F1000"),"件"))</f>
        <v>0</v>
      </c>
      <c r="BI98">
        <f>IF(OR($AA98="",AK$5=""),0,SUMIFS(INDIRECT("'"&amp;AK$5&amp;"'!E6:E1000"),INDIRECT("'"&amp;AK$5&amp;"'!C6:C1000"),$AA98,INDIRECT("'"&amp;AK$5&amp;"'!F6:F1000"),"箱")+SUMIFS(INDIRECT("'"&amp;AK$5&amp;"'!E6:E1000"),INDIRECT("'"&amp;AK$5&amp;"'!C6:C1000"),$AA98,INDIRECT("'"&amp;AK$5&amp;"'!F6:F1000"),"件"))</f>
        <v>0</v>
      </c>
      <c r="BJ98">
        <f>IF(OR($AA98="",AL$5=""),0,SUMIFS(INDIRECT("'"&amp;AL$5&amp;"'!E6:E1000"),INDIRECT("'"&amp;AL$5&amp;"'!C6:C1000"),$AA98,INDIRECT("'"&amp;AL$5&amp;"'!F6:F1000"),"箱")+SUMIFS(INDIRECT("'"&amp;AL$5&amp;"'!E6:E1000"),INDIRECT("'"&amp;AL$5&amp;"'!C6:C1000"),$AA98,INDIRECT("'"&amp;AL$5&amp;"'!F6:F1000"),"件"))</f>
        <v>0</v>
      </c>
      <c r="BK98">
        <f>IF(OR($AA98="",AM$5=""),0,SUMIFS(INDIRECT("'"&amp;AM$5&amp;"'!E6:E1000"),INDIRECT("'"&amp;AM$5&amp;"'!C6:C1000"),$AA98,INDIRECT("'"&amp;AM$5&amp;"'!F6:F1000"),"箱")+SUMIFS(INDIRECT("'"&amp;AM$5&amp;"'!E6:E1000"),INDIRECT("'"&amp;AM$5&amp;"'!C6:C1000"),$AA98,INDIRECT("'"&amp;AM$5&amp;"'!F6:F1000"),"件"))</f>
        <v>0</v>
      </c>
      <c r="BL98">
        <f>IF(OR($AA98="",AN$5=""),0,SUMIFS(INDIRECT("'"&amp;AN$5&amp;"'!E6:E1000"),INDIRECT("'"&amp;AN$5&amp;"'!C6:C1000"),$AA98,INDIRECT("'"&amp;AN$5&amp;"'!F6:F1000"),"箱")+SUMIFS(INDIRECT("'"&amp;AN$5&amp;"'!E6:E1000"),INDIRECT("'"&amp;AN$5&amp;"'!C6:C1000"),$AA98,INDIRECT("'"&amp;AN$5&amp;"'!F6:F1000"),"件"))</f>
        <v>0</v>
      </c>
      <c r="BM98">
        <f>(AO98-BA98)/$AB98+BA98</f>
        <v>0</v>
      </c>
      <c r="BN98">
        <f>(AP98-BB98)/$AB98+BB98</f>
        <v>0</v>
      </c>
      <c r="BO98">
        <f>(AQ98-BC98)/$AB98+BC98</f>
        <v>0</v>
      </c>
      <c r="BP98">
        <f>(AR98-BD98)/$AB98+BD98</f>
        <v>0</v>
      </c>
      <c r="BQ98">
        <f>(AS98-BE98)/$AB98+BE98</f>
        <v>0</v>
      </c>
      <c r="BR98">
        <f>(AT98-BF98)/$AB98+BF98</f>
        <v>0</v>
      </c>
      <c r="BS98">
        <f>(AU98-BG98)/$AB98+BG98</f>
        <v>0</v>
      </c>
      <c r="BT98">
        <f>(AV98-BH98)/$AB98+BH98</f>
        <v>0</v>
      </c>
      <c r="BU98">
        <f>(AW98-BI98)/$AB98+BI98</f>
        <v>0</v>
      </c>
      <c r="BV98">
        <f>(AX98-BJ98)/$AB98+BJ98</f>
        <v>0</v>
      </c>
      <c r="BW98">
        <f>(AY98-BK98)/$AB98+BK98</f>
        <v>0</v>
      </c>
      <c r="BX98">
        <f>(AZ98-BL98)/$AB98+BL98</f>
        <v>0</v>
      </c>
      <c r="BY98">
        <f>SUMPRODUCT((($AC$4:$AN$4=报损汇总一览!$A$3)+(报损汇总一览!$A$3="全年"))*AC98:AN98)</f>
        <v>0</v>
      </c>
      <c r="BZ98">
        <f>IF(BY98&gt;0,BY98+(1000-ROW())/10000000,"")</f>
      </c>
      <c r="CA98">
        <f>SUMPRODUCT((($AC$4:$AN$4=报损汇总一览!$A$3)+(报损汇总一览!$A$3="全年"))*AO98:AZ98)</f>
        <v>0</v>
      </c>
    </row>
    <row r="99">
      <c r="A99">
        <f>IF(OR(存条明细!C99="",存条明细!D99=""),"",IF(COUNTIFS(存条明细!$C$4:C99,存条明细!C99,存条明细!$D$4:D99,存条明细!D99)&gt;1,"",IFERROR(MATCH(存条明细!C99,总览汇总!$B$5:$B$304,0),900)*10000000+IFERROR(MATCH(存条明细!D99,基础资料!$E$5:$E$104,0),900)*10000+ROW()))</f>
        <v>250040099</v>
      </c>
      <c r="B99">
        <f>IFERROR(MATCH(SMALL($A$4:$A$4003,96),$A$4:$A$4003,0),"")</f>
        <v>62</v>
      </c>
      <c r="D99">
        <f>IF(AND(商品库存!B99&lt;&gt;"",商品库存!B99=客户查询!$B$4),COUNTIF(商品库存!$B$4:B99,客户查询!$B$4),"")</f>
      </c>
      <c r="E99">
        <f>IF(AND(商品库存!B99&lt;&gt;"",商品库存!B99=客户对账单!$B$4),COUNTIF(商品库存!$B$4:B99,客户对账单!$B$4),"")</f>
      </c>
      <c r="F99">
        <f>IF(AND(出库明细!C99&lt;&gt;"",出库明细!C99=客户对账单!$B$4,ISNUMBER(出库明细!B99),出库明细!B99&gt;=客户对账单!$G$4,出库明细!B99&lt;=客户对账单!$I$4),出库明细!B99+ROW()/100000,"")</f>
      </c>
      <c r="H99">
        <f>IF(AND(采购进货!C99&lt;&gt;"",采购进货!C99=供应商对账单!$B$4,ISNUMBER(采购进货!B99),采购进货!B99&gt;=供应商对账单!$G$4,采购进货!B99&lt;=供应商对账单!$I$4),采购进货!B99+ROW()/100000,"")</f>
      </c>
      <c r="J99">
        <f>IF(总览汇总!$B99="","",N(总览汇总!$K99)+SUMIFS(出库明细!$G$4:$G$3003,出库明细!$C$4:$C$3003,总览汇总!$B99,出库明细!$B$4:$B$3003,"&gt;="&amp;年初日,出库明细!$B$4:$B$3003,"&lt;="&amp;资产负债表!$D$3)-SUMIFS(资金台帐!$S$7:$S$3006,资金台帐!$J$7:$J$3006,总览汇总!$B99,资金台帐!$P$7:$P$3006,"应收",资金台帐!$B$7:$B$3006,"&gt;="&amp;年初日,资金台帐!$B$7:$B$3006,"&lt;="&amp;资产负债表!$D$3))</f>
      </c>
      <c r="N99">
        <f>IF(AND(ISNUMBER(出库明细!G99),ISNUMBER(出库明细!E99),ISNUMBER(出库明细!F99)),IF(ABS(出库明细!G99-出库明细!E99*出库明细!F99)&gt;0.005,1,0),0)</f>
        <v>0</v>
      </c>
      <c r="O99">
        <f>IF(AND(ISNUMBER(存条明细!G99),ISNUMBER(存条明细!E99),ISNUMBER(存条明细!F99)),IF(ABS(存条明细!G99-存条明细!E99*存条明细!F99)&gt;0.005,1,0),0)</f>
        <v>0</v>
      </c>
      <c r="AA99">
        <f>IF(基础资料!G98="","",基础资料!G98&amp;"")</f>
      </c>
      <c r="AB99">
        <f>IF(N(基础资料!I98)&lt;=0,1,基础资料!I98)</f>
        <v>1</v>
      </c>
      <c r="AC99">
        <f>IF(OR($AA99="",AC$5=""),0,SUMIF(INDIRECT("'"&amp;AC$5&amp;"'!C6:C1000"),$AA99,INDIRECT("'"&amp;AC$5&amp;"'!H6:H1000")))</f>
        <v>0</v>
      </c>
      <c r="AD99">
        <f>IF(OR($AA99="",AD$5=""),0,SUMIF(INDIRECT("'"&amp;AD$5&amp;"'!C6:C1000"),$AA99,INDIRECT("'"&amp;AD$5&amp;"'!H6:H1000")))</f>
        <v>0</v>
      </c>
      <c r="AE99">
        <f>IF(OR($AA99="",AE$5=""),0,SUMIF(INDIRECT("'"&amp;AE$5&amp;"'!C6:C1000"),$AA99,INDIRECT("'"&amp;AE$5&amp;"'!H6:H1000")))</f>
        <v>0</v>
      </c>
      <c r="AF99">
        <f>IF(OR($AA99="",AF$5=""),0,SUMIF(INDIRECT("'"&amp;AF$5&amp;"'!C6:C1000"),$AA99,INDIRECT("'"&amp;AF$5&amp;"'!H6:H1000")))</f>
        <v>0</v>
      </c>
      <c r="AG99">
        <f>IF(OR($AA99="",AG$5=""),0,SUMIF(INDIRECT("'"&amp;AG$5&amp;"'!C6:C1000"),$AA99,INDIRECT("'"&amp;AG$5&amp;"'!H6:H1000")))</f>
        <v>0</v>
      </c>
      <c r="AH99">
        <f>IF(OR($AA99="",AH$5=""),0,SUMIF(INDIRECT("'"&amp;AH$5&amp;"'!C6:C1000"),$AA99,INDIRECT("'"&amp;AH$5&amp;"'!H6:H1000")))</f>
        <v>0</v>
      </c>
      <c r="AI99">
        <f>IF(OR($AA99="",AI$5=""),0,SUMIF(INDIRECT("'"&amp;AI$5&amp;"'!C6:C1000"),$AA99,INDIRECT("'"&amp;AI$5&amp;"'!H6:H1000")))</f>
        <v>0</v>
      </c>
      <c r="AJ99">
        <f>IF(OR($AA99="",AJ$5=""),0,SUMIF(INDIRECT("'"&amp;AJ$5&amp;"'!C6:C1000"),$AA99,INDIRECT("'"&amp;AJ$5&amp;"'!H6:H1000")))</f>
        <v>0</v>
      </c>
      <c r="AK99">
        <f>IF(OR($AA99="",AK$5=""),0,SUMIF(INDIRECT("'"&amp;AK$5&amp;"'!C6:C1000"),$AA99,INDIRECT("'"&amp;AK$5&amp;"'!H6:H1000")))</f>
        <v>0</v>
      </c>
      <c r="AL99">
        <f>IF(OR($AA99="",AL$5=""),0,SUMIF(INDIRECT("'"&amp;AL$5&amp;"'!C6:C1000"),$AA99,INDIRECT("'"&amp;AL$5&amp;"'!H6:H1000")))</f>
        <v>0</v>
      </c>
      <c r="AM99">
        <f>IF(OR($AA99="",AM$5=""),0,SUMIF(INDIRECT("'"&amp;AM$5&amp;"'!C6:C1000"),$AA99,INDIRECT("'"&amp;AM$5&amp;"'!H6:H1000")))</f>
        <v>0</v>
      </c>
      <c r="AN99">
        <f>IF(OR($AA99="",AN$5=""),0,SUMIF(INDIRECT("'"&amp;AN$5&amp;"'!C6:C1000"),$AA99,INDIRECT("'"&amp;AN$5&amp;"'!H6:H1000")))</f>
        <v>0</v>
      </c>
      <c r="AO99">
        <f>IF(OR($AA99="",AC$5=""),0,SUMIF(INDIRECT("'"&amp;AC$5&amp;"'!C6:C1000"),$AA99,INDIRECT("'"&amp;AC$5&amp;"'!E6:E1000")))</f>
        <v>0</v>
      </c>
      <c r="AP99">
        <f>IF(OR($AA99="",AD$5=""),0,SUMIF(INDIRECT("'"&amp;AD$5&amp;"'!C6:C1000"),$AA99,INDIRECT("'"&amp;AD$5&amp;"'!E6:E1000")))</f>
        <v>0</v>
      </c>
      <c r="AQ99">
        <f>IF(OR($AA99="",AE$5=""),0,SUMIF(INDIRECT("'"&amp;AE$5&amp;"'!C6:C1000"),$AA99,INDIRECT("'"&amp;AE$5&amp;"'!E6:E1000")))</f>
        <v>0</v>
      </c>
      <c r="AR99">
        <f>IF(OR($AA99="",AF$5=""),0,SUMIF(INDIRECT("'"&amp;AF$5&amp;"'!C6:C1000"),$AA99,INDIRECT("'"&amp;AF$5&amp;"'!E6:E1000")))</f>
        <v>0</v>
      </c>
      <c r="AS99">
        <f>IF(OR($AA99="",AG$5=""),0,SUMIF(INDIRECT("'"&amp;AG$5&amp;"'!C6:C1000"),$AA99,INDIRECT("'"&amp;AG$5&amp;"'!E6:E1000")))</f>
        <v>0</v>
      </c>
      <c r="AT99">
        <f>IF(OR($AA99="",AH$5=""),0,SUMIF(INDIRECT("'"&amp;AH$5&amp;"'!C6:C1000"),$AA99,INDIRECT("'"&amp;AH$5&amp;"'!E6:E1000")))</f>
        <v>0</v>
      </c>
      <c r="AU99">
        <f>IF(OR($AA99="",AI$5=""),0,SUMIF(INDIRECT("'"&amp;AI$5&amp;"'!C6:C1000"),$AA99,INDIRECT("'"&amp;AI$5&amp;"'!E6:E1000")))</f>
        <v>0</v>
      </c>
      <c r="AV99">
        <f>IF(OR($AA99="",AJ$5=""),0,SUMIF(INDIRECT("'"&amp;AJ$5&amp;"'!C6:C1000"),$AA99,INDIRECT("'"&amp;AJ$5&amp;"'!E6:E1000")))</f>
        <v>0</v>
      </c>
      <c r="AW99">
        <f>IF(OR($AA99="",AK$5=""),0,SUMIF(INDIRECT("'"&amp;AK$5&amp;"'!C6:C1000"),$AA99,INDIRECT("'"&amp;AK$5&amp;"'!E6:E1000")))</f>
        <v>0</v>
      </c>
      <c r="AX99">
        <f>IF(OR($AA99="",AL$5=""),0,SUMIF(INDIRECT("'"&amp;AL$5&amp;"'!C6:C1000"),$AA99,INDIRECT("'"&amp;AL$5&amp;"'!E6:E1000")))</f>
        <v>0</v>
      </c>
      <c r="AY99">
        <f>IF(OR($AA99="",AM$5=""),0,SUMIF(INDIRECT("'"&amp;AM$5&amp;"'!C6:C1000"),$AA99,INDIRECT("'"&amp;AM$5&amp;"'!E6:E1000")))</f>
        <v>0</v>
      </c>
      <c r="AZ99">
        <f>IF(OR($AA99="",AN$5=""),0,SUMIF(INDIRECT("'"&amp;AN$5&amp;"'!C6:C1000"),$AA99,INDIRECT("'"&amp;AN$5&amp;"'!E6:E1000")))</f>
        <v>0</v>
      </c>
      <c r="BA99">
        <f>IF(OR($AA99="",AC$5=""),0,SUMIFS(INDIRECT("'"&amp;AC$5&amp;"'!E6:E1000"),INDIRECT("'"&amp;AC$5&amp;"'!C6:C1000"),$AA99,INDIRECT("'"&amp;AC$5&amp;"'!F6:F1000"),"箱")+SUMIFS(INDIRECT("'"&amp;AC$5&amp;"'!E6:E1000"),INDIRECT("'"&amp;AC$5&amp;"'!C6:C1000"),$AA99,INDIRECT("'"&amp;AC$5&amp;"'!F6:F1000"),"件"))</f>
        <v>0</v>
      </c>
      <c r="BB99">
        <f>IF(OR($AA99="",AD$5=""),0,SUMIFS(INDIRECT("'"&amp;AD$5&amp;"'!E6:E1000"),INDIRECT("'"&amp;AD$5&amp;"'!C6:C1000"),$AA99,INDIRECT("'"&amp;AD$5&amp;"'!F6:F1000"),"箱")+SUMIFS(INDIRECT("'"&amp;AD$5&amp;"'!E6:E1000"),INDIRECT("'"&amp;AD$5&amp;"'!C6:C1000"),$AA99,INDIRECT("'"&amp;AD$5&amp;"'!F6:F1000"),"件"))</f>
        <v>0</v>
      </c>
      <c r="BC99">
        <f>IF(OR($AA99="",AE$5=""),0,SUMIFS(INDIRECT("'"&amp;AE$5&amp;"'!E6:E1000"),INDIRECT("'"&amp;AE$5&amp;"'!C6:C1000"),$AA99,INDIRECT("'"&amp;AE$5&amp;"'!F6:F1000"),"箱")+SUMIFS(INDIRECT("'"&amp;AE$5&amp;"'!E6:E1000"),INDIRECT("'"&amp;AE$5&amp;"'!C6:C1000"),$AA99,INDIRECT("'"&amp;AE$5&amp;"'!F6:F1000"),"件"))</f>
        <v>0</v>
      </c>
      <c r="BD99">
        <f>IF(OR($AA99="",AF$5=""),0,SUMIFS(INDIRECT("'"&amp;AF$5&amp;"'!E6:E1000"),INDIRECT("'"&amp;AF$5&amp;"'!C6:C1000"),$AA99,INDIRECT("'"&amp;AF$5&amp;"'!F6:F1000"),"箱")+SUMIFS(INDIRECT("'"&amp;AF$5&amp;"'!E6:E1000"),INDIRECT("'"&amp;AF$5&amp;"'!C6:C1000"),$AA99,INDIRECT("'"&amp;AF$5&amp;"'!F6:F1000"),"件"))</f>
        <v>0</v>
      </c>
      <c r="BE99">
        <f>IF(OR($AA99="",AG$5=""),0,SUMIFS(INDIRECT("'"&amp;AG$5&amp;"'!E6:E1000"),INDIRECT("'"&amp;AG$5&amp;"'!C6:C1000"),$AA99,INDIRECT("'"&amp;AG$5&amp;"'!F6:F1000"),"箱")+SUMIFS(INDIRECT("'"&amp;AG$5&amp;"'!E6:E1000"),INDIRECT("'"&amp;AG$5&amp;"'!C6:C1000"),$AA99,INDIRECT("'"&amp;AG$5&amp;"'!F6:F1000"),"件"))</f>
        <v>0</v>
      </c>
      <c r="BF99">
        <f>IF(OR($AA99="",AH$5=""),0,SUMIFS(INDIRECT("'"&amp;AH$5&amp;"'!E6:E1000"),INDIRECT("'"&amp;AH$5&amp;"'!C6:C1000"),$AA99,INDIRECT("'"&amp;AH$5&amp;"'!F6:F1000"),"箱")+SUMIFS(INDIRECT("'"&amp;AH$5&amp;"'!E6:E1000"),INDIRECT("'"&amp;AH$5&amp;"'!C6:C1000"),$AA99,INDIRECT("'"&amp;AH$5&amp;"'!F6:F1000"),"件"))</f>
        <v>0</v>
      </c>
      <c r="BG99">
        <f>IF(OR($AA99="",AI$5=""),0,SUMIFS(INDIRECT("'"&amp;AI$5&amp;"'!E6:E1000"),INDIRECT("'"&amp;AI$5&amp;"'!C6:C1000"),$AA99,INDIRECT("'"&amp;AI$5&amp;"'!F6:F1000"),"箱")+SUMIFS(INDIRECT("'"&amp;AI$5&amp;"'!E6:E1000"),INDIRECT("'"&amp;AI$5&amp;"'!C6:C1000"),$AA99,INDIRECT("'"&amp;AI$5&amp;"'!F6:F1000"),"件"))</f>
        <v>0</v>
      </c>
      <c r="BH99">
        <f>IF(OR($AA99="",AJ$5=""),0,SUMIFS(INDIRECT("'"&amp;AJ$5&amp;"'!E6:E1000"),INDIRECT("'"&amp;AJ$5&amp;"'!C6:C1000"),$AA99,INDIRECT("'"&amp;AJ$5&amp;"'!F6:F1000"),"箱")+SUMIFS(INDIRECT("'"&amp;AJ$5&amp;"'!E6:E1000"),INDIRECT("'"&amp;AJ$5&amp;"'!C6:C1000"),$AA99,INDIRECT("'"&amp;AJ$5&amp;"'!F6:F1000"),"件"))</f>
        <v>0</v>
      </c>
      <c r="BI99">
        <f>IF(OR($AA99="",AK$5=""),0,SUMIFS(INDIRECT("'"&amp;AK$5&amp;"'!E6:E1000"),INDIRECT("'"&amp;AK$5&amp;"'!C6:C1000"),$AA99,INDIRECT("'"&amp;AK$5&amp;"'!F6:F1000"),"箱")+SUMIFS(INDIRECT("'"&amp;AK$5&amp;"'!E6:E1000"),INDIRECT("'"&amp;AK$5&amp;"'!C6:C1000"),$AA99,INDIRECT("'"&amp;AK$5&amp;"'!F6:F1000"),"件"))</f>
        <v>0</v>
      </c>
      <c r="BJ99">
        <f>IF(OR($AA99="",AL$5=""),0,SUMIFS(INDIRECT("'"&amp;AL$5&amp;"'!E6:E1000"),INDIRECT("'"&amp;AL$5&amp;"'!C6:C1000"),$AA99,INDIRECT("'"&amp;AL$5&amp;"'!F6:F1000"),"箱")+SUMIFS(INDIRECT("'"&amp;AL$5&amp;"'!E6:E1000"),INDIRECT("'"&amp;AL$5&amp;"'!C6:C1000"),$AA99,INDIRECT("'"&amp;AL$5&amp;"'!F6:F1000"),"件"))</f>
        <v>0</v>
      </c>
      <c r="BK99">
        <f>IF(OR($AA99="",AM$5=""),0,SUMIFS(INDIRECT("'"&amp;AM$5&amp;"'!E6:E1000"),INDIRECT("'"&amp;AM$5&amp;"'!C6:C1000"),$AA99,INDIRECT("'"&amp;AM$5&amp;"'!F6:F1000"),"箱")+SUMIFS(INDIRECT("'"&amp;AM$5&amp;"'!E6:E1000"),INDIRECT("'"&amp;AM$5&amp;"'!C6:C1000"),$AA99,INDIRECT("'"&amp;AM$5&amp;"'!F6:F1000"),"件"))</f>
        <v>0</v>
      </c>
      <c r="BL99">
        <f>IF(OR($AA99="",AN$5=""),0,SUMIFS(INDIRECT("'"&amp;AN$5&amp;"'!E6:E1000"),INDIRECT("'"&amp;AN$5&amp;"'!C6:C1000"),$AA99,INDIRECT("'"&amp;AN$5&amp;"'!F6:F1000"),"箱")+SUMIFS(INDIRECT("'"&amp;AN$5&amp;"'!E6:E1000"),INDIRECT("'"&amp;AN$5&amp;"'!C6:C1000"),$AA99,INDIRECT("'"&amp;AN$5&amp;"'!F6:F1000"),"件"))</f>
        <v>0</v>
      </c>
      <c r="BM99">
        <f>(AO99-BA99)/$AB99+BA99</f>
        <v>0</v>
      </c>
      <c r="BN99">
        <f>(AP99-BB99)/$AB99+BB99</f>
        <v>0</v>
      </c>
      <c r="BO99">
        <f>(AQ99-BC99)/$AB99+BC99</f>
        <v>0</v>
      </c>
      <c r="BP99">
        <f>(AR99-BD99)/$AB99+BD99</f>
        <v>0</v>
      </c>
      <c r="BQ99">
        <f>(AS99-BE99)/$AB99+BE99</f>
        <v>0</v>
      </c>
      <c r="BR99">
        <f>(AT99-BF99)/$AB99+BF99</f>
        <v>0</v>
      </c>
      <c r="BS99">
        <f>(AU99-BG99)/$AB99+BG99</f>
        <v>0</v>
      </c>
      <c r="BT99">
        <f>(AV99-BH99)/$AB99+BH99</f>
        <v>0</v>
      </c>
      <c r="BU99">
        <f>(AW99-BI99)/$AB99+BI99</f>
        <v>0</v>
      </c>
      <c r="BV99">
        <f>(AX99-BJ99)/$AB99+BJ99</f>
        <v>0</v>
      </c>
      <c r="BW99">
        <f>(AY99-BK99)/$AB99+BK99</f>
        <v>0</v>
      </c>
      <c r="BX99">
        <f>(AZ99-BL99)/$AB99+BL99</f>
        <v>0</v>
      </c>
      <c r="BY99">
        <f>SUMPRODUCT((($AC$4:$AN$4=报损汇总一览!$A$3)+(报损汇总一览!$A$3="全年"))*AC99:AN99)</f>
        <v>0</v>
      </c>
      <c r="BZ99">
        <f>IF(BY99&gt;0,BY99+(1000-ROW())/10000000,"")</f>
      </c>
      <c r="CA99">
        <f>SUMPRODUCT((($AC$4:$AN$4=报损汇总一览!$A$3)+(报损汇总一览!$A$3="全年"))*AO99:AZ99)</f>
        <v>0</v>
      </c>
    </row>
    <row r="100">
      <c r="A100">
        <f>IF(OR(存条明细!C100="",存条明细!D100=""),"",IF(COUNTIFS(存条明细!$C$4:C100,存条明细!C100,存条明细!$D$4:D100,存条明细!D100)&gt;1,"",IFERROR(MATCH(存条明细!C100,总览汇总!$B$5:$B$304,0),900)*10000000+IFERROR(MATCH(存条明细!D100,基础资料!$E$5:$E$104,0),900)*10000+ROW()))</f>
        <v>250030100</v>
      </c>
      <c r="B100">
        <f>IFERROR(MATCH(SMALL($A$4:$A$4003,97),$A$4:$A$4003,0),"")</f>
        <v>61</v>
      </c>
      <c r="D100">
        <f>IF(AND(商品库存!B100&lt;&gt;"",商品库存!B100=客户查询!$B$4),COUNTIF(商品库存!$B$4:B100,客户查询!$B$4),"")</f>
      </c>
      <c r="E100">
        <f>IF(AND(商品库存!B100&lt;&gt;"",商品库存!B100=客户对账单!$B$4),COUNTIF(商品库存!$B$4:B100,客户对账单!$B$4),"")</f>
      </c>
      <c r="F100">
        <f>IF(AND(出库明细!C100&lt;&gt;"",出库明细!C100=客户对账单!$B$4,ISNUMBER(出库明细!B100),出库明细!B100&gt;=客户对账单!$G$4,出库明细!B100&lt;=客户对账单!$I$4),出库明细!B100+ROW()/100000,"")</f>
      </c>
      <c r="H100">
        <f>IF(AND(采购进货!C100&lt;&gt;"",采购进货!C100=供应商对账单!$B$4,ISNUMBER(采购进货!B100),采购进货!B100&gt;=供应商对账单!$G$4,采购进货!B100&lt;=供应商对账单!$I$4),采购进货!B100+ROW()/100000,"")</f>
      </c>
      <c r="J100">
        <f>IF(总览汇总!$B100="","",N(总览汇总!$K100)+SUMIFS(出库明细!$G$4:$G$3003,出库明细!$C$4:$C$3003,总览汇总!$B100,出库明细!$B$4:$B$3003,"&gt;="&amp;年初日,出库明细!$B$4:$B$3003,"&lt;="&amp;资产负债表!$D$3)-SUMIFS(资金台帐!$S$7:$S$3006,资金台帐!$J$7:$J$3006,总览汇总!$B100,资金台帐!$P$7:$P$3006,"应收",资金台帐!$B$7:$B$3006,"&gt;="&amp;年初日,资金台帐!$B$7:$B$3006,"&lt;="&amp;资产负债表!$D$3))</f>
      </c>
      <c r="N100">
        <f>IF(AND(ISNUMBER(出库明细!G100),ISNUMBER(出库明细!E100),ISNUMBER(出库明细!F100)),IF(ABS(出库明细!G100-出库明细!E100*出库明细!F100)&gt;0.005,1,0),0)</f>
        <v>0</v>
      </c>
      <c r="O100">
        <f>IF(AND(ISNUMBER(存条明细!G100),ISNUMBER(存条明细!E100),ISNUMBER(存条明细!F100)),IF(ABS(存条明细!G100-存条明细!E100*存条明细!F100)&gt;0.005,1,0),0)</f>
        <v>0</v>
      </c>
      <c r="AA100">
        <f>IF(基础资料!G99="","",基础资料!G99&amp;"")</f>
      </c>
      <c r="AB100">
        <f>IF(N(基础资料!I99)&lt;=0,1,基础资料!I99)</f>
        <v>1</v>
      </c>
      <c r="AC100">
        <f>IF(OR($AA100="",AC$5=""),0,SUMIF(INDIRECT("'"&amp;AC$5&amp;"'!C6:C1000"),$AA100,INDIRECT("'"&amp;AC$5&amp;"'!H6:H1000")))</f>
        <v>0</v>
      </c>
      <c r="AD100">
        <f>IF(OR($AA100="",AD$5=""),0,SUMIF(INDIRECT("'"&amp;AD$5&amp;"'!C6:C1000"),$AA100,INDIRECT("'"&amp;AD$5&amp;"'!H6:H1000")))</f>
        <v>0</v>
      </c>
      <c r="AE100">
        <f>IF(OR($AA100="",AE$5=""),0,SUMIF(INDIRECT("'"&amp;AE$5&amp;"'!C6:C1000"),$AA100,INDIRECT("'"&amp;AE$5&amp;"'!H6:H1000")))</f>
        <v>0</v>
      </c>
      <c r="AF100">
        <f>IF(OR($AA100="",AF$5=""),0,SUMIF(INDIRECT("'"&amp;AF$5&amp;"'!C6:C1000"),$AA100,INDIRECT("'"&amp;AF$5&amp;"'!H6:H1000")))</f>
        <v>0</v>
      </c>
      <c r="AG100">
        <f>IF(OR($AA100="",AG$5=""),0,SUMIF(INDIRECT("'"&amp;AG$5&amp;"'!C6:C1000"),$AA100,INDIRECT("'"&amp;AG$5&amp;"'!H6:H1000")))</f>
        <v>0</v>
      </c>
      <c r="AH100">
        <f>IF(OR($AA100="",AH$5=""),0,SUMIF(INDIRECT("'"&amp;AH$5&amp;"'!C6:C1000"),$AA100,INDIRECT("'"&amp;AH$5&amp;"'!H6:H1000")))</f>
        <v>0</v>
      </c>
      <c r="AI100">
        <f>IF(OR($AA100="",AI$5=""),0,SUMIF(INDIRECT("'"&amp;AI$5&amp;"'!C6:C1000"),$AA100,INDIRECT("'"&amp;AI$5&amp;"'!H6:H1000")))</f>
        <v>0</v>
      </c>
      <c r="AJ100">
        <f>IF(OR($AA100="",AJ$5=""),0,SUMIF(INDIRECT("'"&amp;AJ$5&amp;"'!C6:C1000"),$AA100,INDIRECT("'"&amp;AJ$5&amp;"'!H6:H1000")))</f>
        <v>0</v>
      </c>
      <c r="AK100">
        <f>IF(OR($AA100="",AK$5=""),0,SUMIF(INDIRECT("'"&amp;AK$5&amp;"'!C6:C1000"),$AA100,INDIRECT("'"&amp;AK$5&amp;"'!H6:H1000")))</f>
        <v>0</v>
      </c>
      <c r="AL100">
        <f>IF(OR($AA100="",AL$5=""),0,SUMIF(INDIRECT("'"&amp;AL$5&amp;"'!C6:C1000"),$AA100,INDIRECT("'"&amp;AL$5&amp;"'!H6:H1000")))</f>
        <v>0</v>
      </c>
      <c r="AM100">
        <f>IF(OR($AA100="",AM$5=""),0,SUMIF(INDIRECT("'"&amp;AM$5&amp;"'!C6:C1000"),$AA100,INDIRECT("'"&amp;AM$5&amp;"'!H6:H1000")))</f>
        <v>0</v>
      </c>
      <c r="AN100">
        <f>IF(OR($AA100="",AN$5=""),0,SUMIF(INDIRECT("'"&amp;AN$5&amp;"'!C6:C1000"),$AA100,INDIRECT("'"&amp;AN$5&amp;"'!H6:H1000")))</f>
        <v>0</v>
      </c>
      <c r="AO100">
        <f>IF(OR($AA100="",AC$5=""),0,SUMIF(INDIRECT("'"&amp;AC$5&amp;"'!C6:C1000"),$AA100,INDIRECT("'"&amp;AC$5&amp;"'!E6:E1000")))</f>
        <v>0</v>
      </c>
      <c r="AP100">
        <f>IF(OR($AA100="",AD$5=""),0,SUMIF(INDIRECT("'"&amp;AD$5&amp;"'!C6:C1000"),$AA100,INDIRECT("'"&amp;AD$5&amp;"'!E6:E1000")))</f>
        <v>0</v>
      </c>
      <c r="AQ100">
        <f>IF(OR($AA100="",AE$5=""),0,SUMIF(INDIRECT("'"&amp;AE$5&amp;"'!C6:C1000"),$AA100,INDIRECT("'"&amp;AE$5&amp;"'!E6:E1000")))</f>
        <v>0</v>
      </c>
      <c r="AR100">
        <f>IF(OR($AA100="",AF$5=""),0,SUMIF(INDIRECT("'"&amp;AF$5&amp;"'!C6:C1000"),$AA100,INDIRECT("'"&amp;AF$5&amp;"'!E6:E1000")))</f>
        <v>0</v>
      </c>
      <c r="AS100">
        <f>IF(OR($AA100="",AG$5=""),0,SUMIF(INDIRECT("'"&amp;AG$5&amp;"'!C6:C1000"),$AA100,INDIRECT("'"&amp;AG$5&amp;"'!E6:E1000")))</f>
        <v>0</v>
      </c>
      <c r="AT100">
        <f>IF(OR($AA100="",AH$5=""),0,SUMIF(INDIRECT("'"&amp;AH$5&amp;"'!C6:C1000"),$AA100,INDIRECT("'"&amp;AH$5&amp;"'!E6:E1000")))</f>
        <v>0</v>
      </c>
      <c r="AU100">
        <f>IF(OR($AA100="",AI$5=""),0,SUMIF(INDIRECT("'"&amp;AI$5&amp;"'!C6:C1000"),$AA100,INDIRECT("'"&amp;AI$5&amp;"'!E6:E1000")))</f>
        <v>0</v>
      </c>
      <c r="AV100">
        <f>IF(OR($AA100="",AJ$5=""),0,SUMIF(INDIRECT("'"&amp;AJ$5&amp;"'!C6:C1000"),$AA100,INDIRECT("'"&amp;AJ$5&amp;"'!E6:E1000")))</f>
        <v>0</v>
      </c>
      <c r="AW100">
        <f>IF(OR($AA100="",AK$5=""),0,SUMIF(INDIRECT("'"&amp;AK$5&amp;"'!C6:C1000"),$AA100,INDIRECT("'"&amp;AK$5&amp;"'!E6:E1000")))</f>
        <v>0</v>
      </c>
      <c r="AX100">
        <f>IF(OR($AA100="",AL$5=""),0,SUMIF(INDIRECT("'"&amp;AL$5&amp;"'!C6:C1000"),$AA100,INDIRECT("'"&amp;AL$5&amp;"'!E6:E1000")))</f>
        <v>0</v>
      </c>
      <c r="AY100">
        <f>IF(OR($AA100="",AM$5=""),0,SUMIF(INDIRECT("'"&amp;AM$5&amp;"'!C6:C1000"),$AA100,INDIRECT("'"&amp;AM$5&amp;"'!E6:E1000")))</f>
        <v>0</v>
      </c>
      <c r="AZ100">
        <f>IF(OR($AA100="",AN$5=""),0,SUMIF(INDIRECT("'"&amp;AN$5&amp;"'!C6:C1000"),$AA100,INDIRECT("'"&amp;AN$5&amp;"'!E6:E1000")))</f>
        <v>0</v>
      </c>
      <c r="BA100">
        <f>IF(OR($AA100="",AC$5=""),0,SUMIFS(INDIRECT("'"&amp;AC$5&amp;"'!E6:E1000"),INDIRECT("'"&amp;AC$5&amp;"'!C6:C1000"),$AA100,INDIRECT("'"&amp;AC$5&amp;"'!F6:F1000"),"箱")+SUMIFS(INDIRECT("'"&amp;AC$5&amp;"'!E6:E1000"),INDIRECT("'"&amp;AC$5&amp;"'!C6:C1000"),$AA100,INDIRECT("'"&amp;AC$5&amp;"'!F6:F1000"),"件"))</f>
        <v>0</v>
      </c>
      <c r="BB100">
        <f>IF(OR($AA100="",AD$5=""),0,SUMIFS(INDIRECT("'"&amp;AD$5&amp;"'!E6:E1000"),INDIRECT("'"&amp;AD$5&amp;"'!C6:C1000"),$AA100,INDIRECT("'"&amp;AD$5&amp;"'!F6:F1000"),"箱")+SUMIFS(INDIRECT("'"&amp;AD$5&amp;"'!E6:E1000"),INDIRECT("'"&amp;AD$5&amp;"'!C6:C1000"),$AA100,INDIRECT("'"&amp;AD$5&amp;"'!F6:F1000"),"件"))</f>
        <v>0</v>
      </c>
      <c r="BC100">
        <f>IF(OR($AA100="",AE$5=""),0,SUMIFS(INDIRECT("'"&amp;AE$5&amp;"'!E6:E1000"),INDIRECT("'"&amp;AE$5&amp;"'!C6:C1000"),$AA100,INDIRECT("'"&amp;AE$5&amp;"'!F6:F1000"),"箱")+SUMIFS(INDIRECT("'"&amp;AE$5&amp;"'!E6:E1000"),INDIRECT("'"&amp;AE$5&amp;"'!C6:C1000"),$AA100,INDIRECT("'"&amp;AE$5&amp;"'!F6:F1000"),"件"))</f>
        <v>0</v>
      </c>
      <c r="BD100">
        <f>IF(OR($AA100="",AF$5=""),0,SUMIFS(INDIRECT("'"&amp;AF$5&amp;"'!E6:E1000"),INDIRECT("'"&amp;AF$5&amp;"'!C6:C1000"),$AA100,INDIRECT("'"&amp;AF$5&amp;"'!F6:F1000"),"箱")+SUMIFS(INDIRECT("'"&amp;AF$5&amp;"'!E6:E1000"),INDIRECT("'"&amp;AF$5&amp;"'!C6:C1000"),$AA100,INDIRECT("'"&amp;AF$5&amp;"'!F6:F1000"),"件"))</f>
        <v>0</v>
      </c>
      <c r="BE100">
        <f>IF(OR($AA100="",AG$5=""),0,SUMIFS(INDIRECT("'"&amp;AG$5&amp;"'!E6:E1000"),INDIRECT("'"&amp;AG$5&amp;"'!C6:C1000"),$AA100,INDIRECT("'"&amp;AG$5&amp;"'!F6:F1000"),"箱")+SUMIFS(INDIRECT("'"&amp;AG$5&amp;"'!E6:E1000"),INDIRECT("'"&amp;AG$5&amp;"'!C6:C1000"),$AA100,INDIRECT("'"&amp;AG$5&amp;"'!F6:F1000"),"件"))</f>
        <v>0</v>
      </c>
      <c r="BF100">
        <f>IF(OR($AA100="",AH$5=""),0,SUMIFS(INDIRECT("'"&amp;AH$5&amp;"'!E6:E1000"),INDIRECT("'"&amp;AH$5&amp;"'!C6:C1000"),$AA100,INDIRECT("'"&amp;AH$5&amp;"'!F6:F1000"),"箱")+SUMIFS(INDIRECT("'"&amp;AH$5&amp;"'!E6:E1000"),INDIRECT("'"&amp;AH$5&amp;"'!C6:C1000"),$AA100,INDIRECT("'"&amp;AH$5&amp;"'!F6:F1000"),"件"))</f>
        <v>0</v>
      </c>
      <c r="BG100">
        <f>IF(OR($AA100="",AI$5=""),0,SUMIFS(INDIRECT("'"&amp;AI$5&amp;"'!E6:E1000"),INDIRECT("'"&amp;AI$5&amp;"'!C6:C1000"),$AA100,INDIRECT("'"&amp;AI$5&amp;"'!F6:F1000"),"箱")+SUMIFS(INDIRECT("'"&amp;AI$5&amp;"'!E6:E1000"),INDIRECT("'"&amp;AI$5&amp;"'!C6:C1000"),$AA100,INDIRECT("'"&amp;AI$5&amp;"'!F6:F1000"),"件"))</f>
        <v>0</v>
      </c>
      <c r="BH100">
        <f>IF(OR($AA100="",AJ$5=""),0,SUMIFS(INDIRECT("'"&amp;AJ$5&amp;"'!E6:E1000"),INDIRECT("'"&amp;AJ$5&amp;"'!C6:C1000"),$AA100,INDIRECT("'"&amp;AJ$5&amp;"'!F6:F1000"),"箱")+SUMIFS(INDIRECT("'"&amp;AJ$5&amp;"'!E6:E1000"),INDIRECT("'"&amp;AJ$5&amp;"'!C6:C1000"),$AA100,INDIRECT("'"&amp;AJ$5&amp;"'!F6:F1000"),"件"))</f>
        <v>0</v>
      </c>
      <c r="BI100">
        <f>IF(OR($AA100="",AK$5=""),0,SUMIFS(INDIRECT("'"&amp;AK$5&amp;"'!E6:E1000"),INDIRECT("'"&amp;AK$5&amp;"'!C6:C1000"),$AA100,INDIRECT("'"&amp;AK$5&amp;"'!F6:F1000"),"箱")+SUMIFS(INDIRECT("'"&amp;AK$5&amp;"'!E6:E1000"),INDIRECT("'"&amp;AK$5&amp;"'!C6:C1000"),$AA100,INDIRECT("'"&amp;AK$5&amp;"'!F6:F1000"),"件"))</f>
        <v>0</v>
      </c>
      <c r="BJ100">
        <f>IF(OR($AA100="",AL$5=""),0,SUMIFS(INDIRECT("'"&amp;AL$5&amp;"'!E6:E1000"),INDIRECT("'"&amp;AL$5&amp;"'!C6:C1000"),$AA100,INDIRECT("'"&amp;AL$5&amp;"'!F6:F1000"),"箱")+SUMIFS(INDIRECT("'"&amp;AL$5&amp;"'!E6:E1000"),INDIRECT("'"&amp;AL$5&amp;"'!C6:C1000"),$AA100,INDIRECT("'"&amp;AL$5&amp;"'!F6:F1000"),"件"))</f>
        <v>0</v>
      </c>
      <c r="BK100">
        <f>IF(OR($AA100="",AM$5=""),0,SUMIFS(INDIRECT("'"&amp;AM$5&amp;"'!E6:E1000"),INDIRECT("'"&amp;AM$5&amp;"'!C6:C1000"),$AA100,INDIRECT("'"&amp;AM$5&amp;"'!F6:F1000"),"箱")+SUMIFS(INDIRECT("'"&amp;AM$5&amp;"'!E6:E1000"),INDIRECT("'"&amp;AM$5&amp;"'!C6:C1000"),$AA100,INDIRECT("'"&amp;AM$5&amp;"'!F6:F1000"),"件"))</f>
        <v>0</v>
      </c>
      <c r="BL100">
        <f>IF(OR($AA100="",AN$5=""),0,SUMIFS(INDIRECT("'"&amp;AN$5&amp;"'!E6:E1000"),INDIRECT("'"&amp;AN$5&amp;"'!C6:C1000"),$AA100,INDIRECT("'"&amp;AN$5&amp;"'!F6:F1000"),"箱")+SUMIFS(INDIRECT("'"&amp;AN$5&amp;"'!E6:E1000"),INDIRECT("'"&amp;AN$5&amp;"'!C6:C1000"),$AA100,INDIRECT("'"&amp;AN$5&amp;"'!F6:F1000"),"件"))</f>
        <v>0</v>
      </c>
      <c r="BM100">
        <f>(AO100-BA100)/$AB100+BA100</f>
        <v>0</v>
      </c>
      <c r="BN100">
        <f>(AP100-BB100)/$AB100+BB100</f>
        <v>0</v>
      </c>
      <c r="BO100">
        <f>(AQ100-BC100)/$AB100+BC100</f>
        <v>0</v>
      </c>
      <c r="BP100">
        <f>(AR100-BD100)/$AB100+BD100</f>
        <v>0</v>
      </c>
      <c r="BQ100">
        <f>(AS100-BE100)/$AB100+BE100</f>
        <v>0</v>
      </c>
      <c r="BR100">
        <f>(AT100-BF100)/$AB100+BF100</f>
        <v>0</v>
      </c>
      <c r="BS100">
        <f>(AU100-BG100)/$AB100+BG100</f>
        <v>0</v>
      </c>
      <c r="BT100">
        <f>(AV100-BH100)/$AB100+BH100</f>
        <v>0</v>
      </c>
      <c r="BU100">
        <f>(AW100-BI100)/$AB100+BI100</f>
        <v>0</v>
      </c>
      <c r="BV100">
        <f>(AX100-BJ100)/$AB100+BJ100</f>
        <v>0</v>
      </c>
      <c r="BW100">
        <f>(AY100-BK100)/$AB100+BK100</f>
        <v>0</v>
      </c>
      <c r="BX100">
        <f>(AZ100-BL100)/$AB100+BL100</f>
        <v>0</v>
      </c>
      <c r="BY100">
        <f>SUMPRODUCT((($AC$4:$AN$4=报损汇总一览!$A$3)+(报损汇总一览!$A$3="全年"))*AC100:AN100)</f>
        <v>0</v>
      </c>
      <c r="BZ100">
        <f>IF(BY100&gt;0,BY100+(1000-ROW())/10000000,"")</f>
      </c>
      <c r="CA100">
        <f>SUMPRODUCT((($AC$4:$AN$4=报损汇总一览!$A$3)+(报损汇总一览!$A$3="全年"))*AO100:AZ100)</f>
        <v>0</v>
      </c>
    </row>
    <row r="101">
      <c r="A101">
        <f>IF(OR(存条明细!C101="",存条明细!D101=""),"",IF(COUNTIFS(存条明细!$C$4:C101,存条明细!C101,存条明细!$D$4:D101,存条明细!D101)&gt;1,"",IFERROR(MATCH(存条明细!C101,总览汇总!$B$5:$B$304,0),900)*10000000+IFERROR(MATCH(存条明细!D101,基础资料!$E$5:$E$104,0),900)*10000+ROW()))</f>
        <v>250060101</v>
      </c>
      <c r="B101">
        <f>IFERROR(MATCH(SMALL($A$4:$A$4003,98),$A$4:$A$4003,0),"")</f>
        <v>64</v>
      </c>
      <c r="D101">
        <f>IF(AND(商品库存!B101&lt;&gt;"",商品库存!B101=客户查询!$B$4),COUNTIF(商品库存!$B$4:B101,客户查询!$B$4),"")</f>
      </c>
      <c r="E101">
        <f>IF(AND(商品库存!B101&lt;&gt;"",商品库存!B101=客户对账单!$B$4),COUNTIF(商品库存!$B$4:B101,客户对账单!$B$4),"")</f>
      </c>
      <c r="F101">
        <f>IF(AND(出库明细!C101&lt;&gt;"",出库明细!C101=客户对账单!$B$4,ISNUMBER(出库明细!B101),出库明细!B101&gt;=客户对账单!$G$4,出库明细!B101&lt;=客户对账单!$I$4),出库明细!B101+ROW()/100000,"")</f>
      </c>
      <c r="H101">
        <f>IF(AND(采购进货!C101&lt;&gt;"",采购进货!C101=供应商对账单!$B$4,ISNUMBER(采购进货!B101),采购进货!B101&gt;=供应商对账单!$G$4,采购进货!B101&lt;=供应商对账单!$I$4),采购进货!B101+ROW()/100000,"")</f>
      </c>
      <c r="J101">
        <f>IF(总览汇总!$B101="","",N(总览汇总!$K101)+SUMIFS(出库明细!$G$4:$G$3003,出库明细!$C$4:$C$3003,总览汇总!$B101,出库明细!$B$4:$B$3003,"&gt;="&amp;年初日,出库明细!$B$4:$B$3003,"&lt;="&amp;资产负债表!$D$3)-SUMIFS(资金台帐!$S$7:$S$3006,资金台帐!$J$7:$J$3006,总览汇总!$B101,资金台帐!$P$7:$P$3006,"应收",资金台帐!$B$7:$B$3006,"&gt;="&amp;年初日,资金台帐!$B$7:$B$3006,"&lt;="&amp;资产负债表!$D$3))</f>
      </c>
      <c r="N101">
        <f>IF(AND(ISNUMBER(出库明细!G101),ISNUMBER(出库明细!E101),ISNUMBER(出库明细!F101)),IF(ABS(出库明细!G101-出库明细!E101*出库明细!F101)&gt;0.005,1,0),0)</f>
        <v>0</v>
      </c>
      <c r="O101">
        <f>IF(AND(ISNUMBER(存条明细!G101),ISNUMBER(存条明细!E101),ISNUMBER(存条明细!F101)),IF(ABS(存条明细!G101-存条明细!E101*存条明细!F101)&gt;0.005,1,0),0)</f>
        <v>0</v>
      </c>
      <c r="AA101">
        <f>IF(基础资料!G100="","",基础资料!G100&amp;"")</f>
      </c>
      <c r="AB101">
        <f>IF(N(基础资料!I100)&lt;=0,1,基础资料!I100)</f>
        <v>1</v>
      </c>
      <c r="AC101">
        <f>IF(OR($AA101="",AC$5=""),0,SUMIF(INDIRECT("'"&amp;AC$5&amp;"'!C6:C1000"),$AA101,INDIRECT("'"&amp;AC$5&amp;"'!H6:H1000")))</f>
        <v>0</v>
      </c>
      <c r="AD101">
        <f>IF(OR($AA101="",AD$5=""),0,SUMIF(INDIRECT("'"&amp;AD$5&amp;"'!C6:C1000"),$AA101,INDIRECT("'"&amp;AD$5&amp;"'!H6:H1000")))</f>
        <v>0</v>
      </c>
      <c r="AE101">
        <f>IF(OR($AA101="",AE$5=""),0,SUMIF(INDIRECT("'"&amp;AE$5&amp;"'!C6:C1000"),$AA101,INDIRECT("'"&amp;AE$5&amp;"'!H6:H1000")))</f>
        <v>0</v>
      </c>
      <c r="AF101">
        <f>IF(OR($AA101="",AF$5=""),0,SUMIF(INDIRECT("'"&amp;AF$5&amp;"'!C6:C1000"),$AA101,INDIRECT("'"&amp;AF$5&amp;"'!H6:H1000")))</f>
        <v>0</v>
      </c>
      <c r="AG101">
        <f>IF(OR($AA101="",AG$5=""),0,SUMIF(INDIRECT("'"&amp;AG$5&amp;"'!C6:C1000"),$AA101,INDIRECT("'"&amp;AG$5&amp;"'!H6:H1000")))</f>
        <v>0</v>
      </c>
      <c r="AH101">
        <f>IF(OR($AA101="",AH$5=""),0,SUMIF(INDIRECT("'"&amp;AH$5&amp;"'!C6:C1000"),$AA101,INDIRECT("'"&amp;AH$5&amp;"'!H6:H1000")))</f>
        <v>0</v>
      </c>
      <c r="AI101">
        <f>IF(OR($AA101="",AI$5=""),0,SUMIF(INDIRECT("'"&amp;AI$5&amp;"'!C6:C1000"),$AA101,INDIRECT("'"&amp;AI$5&amp;"'!H6:H1000")))</f>
        <v>0</v>
      </c>
      <c r="AJ101">
        <f>IF(OR($AA101="",AJ$5=""),0,SUMIF(INDIRECT("'"&amp;AJ$5&amp;"'!C6:C1000"),$AA101,INDIRECT("'"&amp;AJ$5&amp;"'!H6:H1000")))</f>
        <v>0</v>
      </c>
      <c r="AK101">
        <f>IF(OR($AA101="",AK$5=""),0,SUMIF(INDIRECT("'"&amp;AK$5&amp;"'!C6:C1000"),$AA101,INDIRECT("'"&amp;AK$5&amp;"'!H6:H1000")))</f>
        <v>0</v>
      </c>
      <c r="AL101">
        <f>IF(OR($AA101="",AL$5=""),0,SUMIF(INDIRECT("'"&amp;AL$5&amp;"'!C6:C1000"),$AA101,INDIRECT("'"&amp;AL$5&amp;"'!H6:H1000")))</f>
        <v>0</v>
      </c>
      <c r="AM101">
        <f>IF(OR($AA101="",AM$5=""),0,SUMIF(INDIRECT("'"&amp;AM$5&amp;"'!C6:C1000"),$AA101,INDIRECT("'"&amp;AM$5&amp;"'!H6:H1000")))</f>
        <v>0</v>
      </c>
      <c r="AN101">
        <f>IF(OR($AA101="",AN$5=""),0,SUMIF(INDIRECT("'"&amp;AN$5&amp;"'!C6:C1000"),$AA101,INDIRECT("'"&amp;AN$5&amp;"'!H6:H1000")))</f>
        <v>0</v>
      </c>
      <c r="AO101">
        <f>IF(OR($AA101="",AC$5=""),0,SUMIF(INDIRECT("'"&amp;AC$5&amp;"'!C6:C1000"),$AA101,INDIRECT("'"&amp;AC$5&amp;"'!E6:E1000")))</f>
        <v>0</v>
      </c>
      <c r="AP101">
        <f>IF(OR($AA101="",AD$5=""),0,SUMIF(INDIRECT("'"&amp;AD$5&amp;"'!C6:C1000"),$AA101,INDIRECT("'"&amp;AD$5&amp;"'!E6:E1000")))</f>
        <v>0</v>
      </c>
      <c r="AQ101">
        <f>IF(OR($AA101="",AE$5=""),0,SUMIF(INDIRECT("'"&amp;AE$5&amp;"'!C6:C1000"),$AA101,INDIRECT("'"&amp;AE$5&amp;"'!E6:E1000")))</f>
        <v>0</v>
      </c>
      <c r="AR101">
        <f>IF(OR($AA101="",AF$5=""),0,SUMIF(INDIRECT("'"&amp;AF$5&amp;"'!C6:C1000"),$AA101,INDIRECT("'"&amp;AF$5&amp;"'!E6:E1000")))</f>
        <v>0</v>
      </c>
      <c r="AS101">
        <f>IF(OR($AA101="",AG$5=""),0,SUMIF(INDIRECT("'"&amp;AG$5&amp;"'!C6:C1000"),$AA101,INDIRECT("'"&amp;AG$5&amp;"'!E6:E1000")))</f>
        <v>0</v>
      </c>
      <c r="AT101">
        <f>IF(OR($AA101="",AH$5=""),0,SUMIF(INDIRECT("'"&amp;AH$5&amp;"'!C6:C1000"),$AA101,INDIRECT("'"&amp;AH$5&amp;"'!E6:E1000")))</f>
        <v>0</v>
      </c>
      <c r="AU101">
        <f>IF(OR($AA101="",AI$5=""),0,SUMIF(INDIRECT("'"&amp;AI$5&amp;"'!C6:C1000"),$AA101,INDIRECT("'"&amp;AI$5&amp;"'!E6:E1000")))</f>
        <v>0</v>
      </c>
      <c r="AV101">
        <f>IF(OR($AA101="",AJ$5=""),0,SUMIF(INDIRECT("'"&amp;AJ$5&amp;"'!C6:C1000"),$AA101,INDIRECT("'"&amp;AJ$5&amp;"'!E6:E1000")))</f>
        <v>0</v>
      </c>
      <c r="AW101">
        <f>IF(OR($AA101="",AK$5=""),0,SUMIF(INDIRECT("'"&amp;AK$5&amp;"'!C6:C1000"),$AA101,INDIRECT("'"&amp;AK$5&amp;"'!E6:E1000")))</f>
        <v>0</v>
      </c>
      <c r="AX101">
        <f>IF(OR($AA101="",AL$5=""),0,SUMIF(INDIRECT("'"&amp;AL$5&amp;"'!C6:C1000"),$AA101,INDIRECT("'"&amp;AL$5&amp;"'!E6:E1000")))</f>
        <v>0</v>
      </c>
      <c r="AY101">
        <f>IF(OR($AA101="",AM$5=""),0,SUMIF(INDIRECT("'"&amp;AM$5&amp;"'!C6:C1000"),$AA101,INDIRECT("'"&amp;AM$5&amp;"'!E6:E1000")))</f>
        <v>0</v>
      </c>
      <c r="AZ101">
        <f>IF(OR($AA101="",AN$5=""),0,SUMIF(INDIRECT("'"&amp;AN$5&amp;"'!C6:C1000"),$AA101,INDIRECT("'"&amp;AN$5&amp;"'!E6:E1000")))</f>
        <v>0</v>
      </c>
      <c r="BA101">
        <f>IF(OR($AA101="",AC$5=""),0,SUMIFS(INDIRECT("'"&amp;AC$5&amp;"'!E6:E1000"),INDIRECT("'"&amp;AC$5&amp;"'!C6:C1000"),$AA101,INDIRECT("'"&amp;AC$5&amp;"'!F6:F1000"),"箱")+SUMIFS(INDIRECT("'"&amp;AC$5&amp;"'!E6:E1000"),INDIRECT("'"&amp;AC$5&amp;"'!C6:C1000"),$AA101,INDIRECT("'"&amp;AC$5&amp;"'!F6:F1000"),"件"))</f>
        <v>0</v>
      </c>
      <c r="BB101">
        <f>IF(OR($AA101="",AD$5=""),0,SUMIFS(INDIRECT("'"&amp;AD$5&amp;"'!E6:E1000"),INDIRECT("'"&amp;AD$5&amp;"'!C6:C1000"),$AA101,INDIRECT("'"&amp;AD$5&amp;"'!F6:F1000"),"箱")+SUMIFS(INDIRECT("'"&amp;AD$5&amp;"'!E6:E1000"),INDIRECT("'"&amp;AD$5&amp;"'!C6:C1000"),$AA101,INDIRECT("'"&amp;AD$5&amp;"'!F6:F1000"),"件"))</f>
        <v>0</v>
      </c>
      <c r="BC101">
        <f>IF(OR($AA101="",AE$5=""),0,SUMIFS(INDIRECT("'"&amp;AE$5&amp;"'!E6:E1000"),INDIRECT("'"&amp;AE$5&amp;"'!C6:C1000"),$AA101,INDIRECT("'"&amp;AE$5&amp;"'!F6:F1000"),"箱")+SUMIFS(INDIRECT("'"&amp;AE$5&amp;"'!E6:E1000"),INDIRECT("'"&amp;AE$5&amp;"'!C6:C1000"),$AA101,INDIRECT("'"&amp;AE$5&amp;"'!F6:F1000"),"件"))</f>
        <v>0</v>
      </c>
      <c r="BD101">
        <f>IF(OR($AA101="",AF$5=""),0,SUMIFS(INDIRECT("'"&amp;AF$5&amp;"'!E6:E1000"),INDIRECT("'"&amp;AF$5&amp;"'!C6:C1000"),$AA101,INDIRECT("'"&amp;AF$5&amp;"'!F6:F1000"),"箱")+SUMIFS(INDIRECT("'"&amp;AF$5&amp;"'!E6:E1000"),INDIRECT("'"&amp;AF$5&amp;"'!C6:C1000"),$AA101,INDIRECT("'"&amp;AF$5&amp;"'!F6:F1000"),"件"))</f>
        <v>0</v>
      </c>
      <c r="BE101">
        <f>IF(OR($AA101="",AG$5=""),0,SUMIFS(INDIRECT("'"&amp;AG$5&amp;"'!E6:E1000"),INDIRECT("'"&amp;AG$5&amp;"'!C6:C1000"),$AA101,INDIRECT("'"&amp;AG$5&amp;"'!F6:F1000"),"箱")+SUMIFS(INDIRECT("'"&amp;AG$5&amp;"'!E6:E1000"),INDIRECT("'"&amp;AG$5&amp;"'!C6:C1000"),$AA101,INDIRECT("'"&amp;AG$5&amp;"'!F6:F1000"),"件"))</f>
        <v>0</v>
      </c>
      <c r="BF101">
        <f>IF(OR($AA101="",AH$5=""),0,SUMIFS(INDIRECT("'"&amp;AH$5&amp;"'!E6:E1000"),INDIRECT("'"&amp;AH$5&amp;"'!C6:C1000"),$AA101,INDIRECT("'"&amp;AH$5&amp;"'!F6:F1000"),"箱")+SUMIFS(INDIRECT("'"&amp;AH$5&amp;"'!E6:E1000"),INDIRECT("'"&amp;AH$5&amp;"'!C6:C1000"),$AA101,INDIRECT("'"&amp;AH$5&amp;"'!F6:F1000"),"件"))</f>
        <v>0</v>
      </c>
      <c r="BG101">
        <f>IF(OR($AA101="",AI$5=""),0,SUMIFS(INDIRECT("'"&amp;AI$5&amp;"'!E6:E1000"),INDIRECT("'"&amp;AI$5&amp;"'!C6:C1000"),$AA101,INDIRECT("'"&amp;AI$5&amp;"'!F6:F1000"),"箱")+SUMIFS(INDIRECT("'"&amp;AI$5&amp;"'!E6:E1000"),INDIRECT("'"&amp;AI$5&amp;"'!C6:C1000"),$AA101,INDIRECT("'"&amp;AI$5&amp;"'!F6:F1000"),"件"))</f>
        <v>0</v>
      </c>
      <c r="BH101">
        <f>IF(OR($AA101="",AJ$5=""),0,SUMIFS(INDIRECT("'"&amp;AJ$5&amp;"'!E6:E1000"),INDIRECT("'"&amp;AJ$5&amp;"'!C6:C1000"),$AA101,INDIRECT("'"&amp;AJ$5&amp;"'!F6:F1000"),"箱")+SUMIFS(INDIRECT("'"&amp;AJ$5&amp;"'!E6:E1000"),INDIRECT("'"&amp;AJ$5&amp;"'!C6:C1000"),$AA101,INDIRECT("'"&amp;AJ$5&amp;"'!F6:F1000"),"件"))</f>
        <v>0</v>
      </c>
      <c r="BI101">
        <f>IF(OR($AA101="",AK$5=""),0,SUMIFS(INDIRECT("'"&amp;AK$5&amp;"'!E6:E1000"),INDIRECT("'"&amp;AK$5&amp;"'!C6:C1000"),$AA101,INDIRECT("'"&amp;AK$5&amp;"'!F6:F1000"),"箱")+SUMIFS(INDIRECT("'"&amp;AK$5&amp;"'!E6:E1000"),INDIRECT("'"&amp;AK$5&amp;"'!C6:C1000"),$AA101,INDIRECT("'"&amp;AK$5&amp;"'!F6:F1000"),"件"))</f>
        <v>0</v>
      </c>
      <c r="BJ101">
        <f>IF(OR($AA101="",AL$5=""),0,SUMIFS(INDIRECT("'"&amp;AL$5&amp;"'!E6:E1000"),INDIRECT("'"&amp;AL$5&amp;"'!C6:C1000"),$AA101,INDIRECT("'"&amp;AL$5&amp;"'!F6:F1000"),"箱")+SUMIFS(INDIRECT("'"&amp;AL$5&amp;"'!E6:E1000"),INDIRECT("'"&amp;AL$5&amp;"'!C6:C1000"),$AA101,INDIRECT("'"&amp;AL$5&amp;"'!F6:F1000"),"件"))</f>
        <v>0</v>
      </c>
      <c r="BK101">
        <f>IF(OR($AA101="",AM$5=""),0,SUMIFS(INDIRECT("'"&amp;AM$5&amp;"'!E6:E1000"),INDIRECT("'"&amp;AM$5&amp;"'!C6:C1000"),$AA101,INDIRECT("'"&amp;AM$5&amp;"'!F6:F1000"),"箱")+SUMIFS(INDIRECT("'"&amp;AM$5&amp;"'!E6:E1000"),INDIRECT("'"&amp;AM$5&amp;"'!C6:C1000"),$AA101,INDIRECT("'"&amp;AM$5&amp;"'!F6:F1000"),"件"))</f>
        <v>0</v>
      </c>
      <c r="BL101">
        <f>IF(OR($AA101="",AN$5=""),0,SUMIFS(INDIRECT("'"&amp;AN$5&amp;"'!E6:E1000"),INDIRECT("'"&amp;AN$5&amp;"'!C6:C1000"),$AA101,INDIRECT("'"&amp;AN$5&amp;"'!F6:F1000"),"箱")+SUMIFS(INDIRECT("'"&amp;AN$5&amp;"'!E6:E1000"),INDIRECT("'"&amp;AN$5&amp;"'!C6:C1000"),$AA101,INDIRECT("'"&amp;AN$5&amp;"'!F6:F1000"),"件"))</f>
        <v>0</v>
      </c>
      <c r="BM101">
        <f>(AO101-BA101)/$AB101+BA101</f>
        <v>0</v>
      </c>
      <c r="BN101">
        <f>(AP101-BB101)/$AB101+BB101</f>
        <v>0</v>
      </c>
      <c r="BO101">
        <f>(AQ101-BC101)/$AB101+BC101</f>
        <v>0</v>
      </c>
      <c r="BP101">
        <f>(AR101-BD101)/$AB101+BD101</f>
        <v>0</v>
      </c>
      <c r="BQ101">
        <f>(AS101-BE101)/$AB101+BE101</f>
        <v>0</v>
      </c>
      <c r="BR101">
        <f>(AT101-BF101)/$AB101+BF101</f>
        <v>0</v>
      </c>
      <c r="BS101">
        <f>(AU101-BG101)/$AB101+BG101</f>
        <v>0</v>
      </c>
      <c r="BT101">
        <f>(AV101-BH101)/$AB101+BH101</f>
        <v>0</v>
      </c>
      <c r="BU101">
        <f>(AW101-BI101)/$AB101+BI101</f>
        <v>0</v>
      </c>
      <c r="BV101">
        <f>(AX101-BJ101)/$AB101+BJ101</f>
        <v>0</v>
      </c>
      <c r="BW101">
        <f>(AY101-BK101)/$AB101+BK101</f>
        <v>0</v>
      </c>
      <c r="BX101">
        <f>(AZ101-BL101)/$AB101+BL101</f>
        <v>0</v>
      </c>
      <c r="BY101">
        <f>SUMPRODUCT((($AC$4:$AN$4=报损汇总一览!$A$3)+(报损汇总一览!$A$3="全年"))*AC101:AN101)</f>
        <v>0</v>
      </c>
      <c r="BZ101">
        <f>IF(BY101&gt;0,BY101+(1000-ROW())/10000000,"")</f>
      </c>
      <c r="CA101">
        <f>SUMPRODUCT((($AC$4:$AN$4=报损汇总一览!$A$3)+(报损汇总一览!$A$3="全年"))*AO101:AZ101)</f>
        <v>0</v>
      </c>
    </row>
    <row r="102">
      <c r="A102">
        <f>IF(OR(存条明细!C102="",存条明细!D102=""),"",IF(COUNTIFS(存条明细!$C$4:C102,存条明细!C102,存条明细!$D$4:D102,存条明细!D102)&gt;1,"",IFERROR(MATCH(存条明细!C102,总览汇总!$B$5:$B$304,0),900)*10000000+IFERROR(MATCH(存条明细!D102,基础资料!$E$5:$E$104,0),900)*10000+ROW()))</f>
        <v>300010102</v>
      </c>
      <c r="B102">
        <f>IFERROR(MATCH(SMALL($A$4:$A$4003,99),$A$4:$A$4003,0),"")</f>
        <v>65</v>
      </c>
      <c r="D102">
        <f>IF(AND(商品库存!B102&lt;&gt;"",商品库存!B102=客户查询!$B$4),COUNTIF(商品库存!$B$4:B102,客户查询!$B$4),"")</f>
      </c>
      <c r="E102">
        <f>IF(AND(商品库存!B102&lt;&gt;"",商品库存!B102=客户对账单!$B$4),COUNTIF(商品库存!$B$4:B102,客户对账单!$B$4),"")</f>
      </c>
      <c r="F102">
        <f>IF(AND(出库明细!C102&lt;&gt;"",出库明细!C102=客户对账单!$B$4,ISNUMBER(出库明细!B102),出库明细!B102&gt;=客户对账单!$G$4,出库明细!B102&lt;=客户对账单!$I$4),出库明细!B102+ROW()/100000,"")</f>
      </c>
      <c r="H102">
        <f>IF(AND(采购进货!C102&lt;&gt;"",采购进货!C102=供应商对账单!$B$4,ISNUMBER(采购进货!B102),采购进货!B102&gt;=供应商对账单!$G$4,采购进货!B102&lt;=供应商对账单!$I$4),采购进货!B102+ROW()/100000,"")</f>
      </c>
      <c r="J102">
        <f>IF(总览汇总!$B102="","",N(总览汇总!$K102)+SUMIFS(出库明细!$G$4:$G$3003,出库明细!$C$4:$C$3003,总览汇总!$B102,出库明细!$B$4:$B$3003,"&gt;="&amp;年初日,出库明细!$B$4:$B$3003,"&lt;="&amp;资产负债表!$D$3)-SUMIFS(资金台帐!$S$7:$S$3006,资金台帐!$J$7:$J$3006,总览汇总!$B102,资金台帐!$P$7:$P$3006,"应收",资金台帐!$B$7:$B$3006,"&gt;="&amp;年初日,资金台帐!$B$7:$B$3006,"&lt;="&amp;资产负债表!$D$3))</f>
      </c>
      <c r="N102">
        <f>IF(AND(ISNUMBER(出库明细!G102),ISNUMBER(出库明细!E102),ISNUMBER(出库明细!F102)),IF(ABS(出库明细!G102-出库明细!E102*出库明细!F102)&gt;0.005,1,0),0)</f>
        <v>0</v>
      </c>
      <c r="O102">
        <f>IF(AND(ISNUMBER(存条明细!G102),ISNUMBER(存条明细!E102),ISNUMBER(存条明细!F102)),IF(ABS(存条明细!G102-存条明细!E102*存条明细!F102)&gt;0.005,1,0),0)</f>
        <v>0</v>
      </c>
      <c r="AA102">
        <f>IF(基础资料!G101="","",基础资料!G101&amp;"")</f>
      </c>
      <c r="AB102">
        <f>IF(N(基础资料!I101)&lt;=0,1,基础资料!I101)</f>
        <v>1</v>
      </c>
      <c r="AC102">
        <f>IF(OR($AA102="",AC$5=""),0,SUMIF(INDIRECT("'"&amp;AC$5&amp;"'!C6:C1000"),$AA102,INDIRECT("'"&amp;AC$5&amp;"'!H6:H1000")))</f>
        <v>0</v>
      </c>
      <c r="AD102">
        <f>IF(OR($AA102="",AD$5=""),0,SUMIF(INDIRECT("'"&amp;AD$5&amp;"'!C6:C1000"),$AA102,INDIRECT("'"&amp;AD$5&amp;"'!H6:H1000")))</f>
        <v>0</v>
      </c>
      <c r="AE102">
        <f>IF(OR($AA102="",AE$5=""),0,SUMIF(INDIRECT("'"&amp;AE$5&amp;"'!C6:C1000"),$AA102,INDIRECT("'"&amp;AE$5&amp;"'!H6:H1000")))</f>
        <v>0</v>
      </c>
      <c r="AF102">
        <f>IF(OR($AA102="",AF$5=""),0,SUMIF(INDIRECT("'"&amp;AF$5&amp;"'!C6:C1000"),$AA102,INDIRECT("'"&amp;AF$5&amp;"'!H6:H1000")))</f>
        <v>0</v>
      </c>
      <c r="AG102">
        <f>IF(OR($AA102="",AG$5=""),0,SUMIF(INDIRECT("'"&amp;AG$5&amp;"'!C6:C1000"),$AA102,INDIRECT("'"&amp;AG$5&amp;"'!H6:H1000")))</f>
        <v>0</v>
      </c>
      <c r="AH102">
        <f>IF(OR($AA102="",AH$5=""),0,SUMIF(INDIRECT("'"&amp;AH$5&amp;"'!C6:C1000"),$AA102,INDIRECT("'"&amp;AH$5&amp;"'!H6:H1000")))</f>
        <v>0</v>
      </c>
      <c r="AI102">
        <f>IF(OR($AA102="",AI$5=""),0,SUMIF(INDIRECT("'"&amp;AI$5&amp;"'!C6:C1000"),$AA102,INDIRECT("'"&amp;AI$5&amp;"'!H6:H1000")))</f>
        <v>0</v>
      </c>
      <c r="AJ102">
        <f>IF(OR($AA102="",AJ$5=""),0,SUMIF(INDIRECT("'"&amp;AJ$5&amp;"'!C6:C1000"),$AA102,INDIRECT("'"&amp;AJ$5&amp;"'!H6:H1000")))</f>
        <v>0</v>
      </c>
      <c r="AK102">
        <f>IF(OR($AA102="",AK$5=""),0,SUMIF(INDIRECT("'"&amp;AK$5&amp;"'!C6:C1000"),$AA102,INDIRECT("'"&amp;AK$5&amp;"'!H6:H1000")))</f>
        <v>0</v>
      </c>
      <c r="AL102">
        <f>IF(OR($AA102="",AL$5=""),0,SUMIF(INDIRECT("'"&amp;AL$5&amp;"'!C6:C1000"),$AA102,INDIRECT("'"&amp;AL$5&amp;"'!H6:H1000")))</f>
        <v>0</v>
      </c>
      <c r="AM102">
        <f>IF(OR($AA102="",AM$5=""),0,SUMIF(INDIRECT("'"&amp;AM$5&amp;"'!C6:C1000"),$AA102,INDIRECT("'"&amp;AM$5&amp;"'!H6:H1000")))</f>
        <v>0</v>
      </c>
      <c r="AN102">
        <f>IF(OR($AA102="",AN$5=""),0,SUMIF(INDIRECT("'"&amp;AN$5&amp;"'!C6:C1000"),$AA102,INDIRECT("'"&amp;AN$5&amp;"'!H6:H1000")))</f>
        <v>0</v>
      </c>
      <c r="AO102">
        <f>IF(OR($AA102="",AC$5=""),0,SUMIF(INDIRECT("'"&amp;AC$5&amp;"'!C6:C1000"),$AA102,INDIRECT("'"&amp;AC$5&amp;"'!E6:E1000")))</f>
        <v>0</v>
      </c>
      <c r="AP102">
        <f>IF(OR($AA102="",AD$5=""),0,SUMIF(INDIRECT("'"&amp;AD$5&amp;"'!C6:C1000"),$AA102,INDIRECT("'"&amp;AD$5&amp;"'!E6:E1000")))</f>
        <v>0</v>
      </c>
      <c r="AQ102">
        <f>IF(OR($AA102="",AE$5=""),0,SUMIF(INDIRECT("'"&amp;AE$5&amp;"'!C6:C1000"),$AA102,INDIRECT("'"&amp;AE$5&amp;"'!E6:E1000")))</f>
        <v>0</v>
      </c>
      <c r="AR102">
        <f>IF(OR($AA102="",AF$5=""),0,SUMIF(INDIRECT("'"&amp;AF$5&amp;"'!C6:C1000"),$AA102,INDIRECT("'"&amp;AF$5&amp;"'!E6:E1000")))</f>
        <v>0</v>
      </c>
      <c r="AS102">
        <f>IF(OR($AA102="",AG$5=""),0,SUMIF(INDIRECT("'"&amp;AG$5&amp;"'!C6:C1000"),$AA102,INDIRECT("'"&amp;AG$5&amp;"'!E6:E1000")))</f>
        <v>0</v>
      </c>
      <c r="AT102">
        <f>IF(OR($AA102="",AH$5=""),0,SUMIF(INDIRECT("'"&amp;AH$5&amp;"'!C6:C1000"),$AA102,INDIRECT("'"&amp;AH$5&amp;"'!E6:E1000")))</f>
        <v>0</v>
      </c>
      <c r="AU102">
        <f>IF(OR($AA102="",AI$5=""),0,SUMIF(INDIRECT("'"&amp;AI$5&amp;"'!C6:C1000"),$AA102,INDIRECT("'"&amp;AI$5&amp;"'!E6:E1000")))</f>
        <v>0</v>
      </c>
      <c r="AV102">
        <f>IF(OR($AA102="",AJ$5=""),0,SUMIF(INDIRECT("'"&amp;AJ$5&amp;"'!C6:C1000"),$AA102,INDIRECT("'"&amp;AJ$5&amp;"'!E6:E1000")))</f>
        <v>0</v>
      </c>
      <c r="AW102">
        <f>IF(OR($AA102="",AK$5=""),0,SUMIF(INDIRECT("'"&amp;AK$5&amp;"'!C6:C1000"),$AA102,INDIRECT("'"&amp;AK$5&amp;"'!E6:E1000")))</f>
        <v>0</v>
      </c>
      <c r="AX102">
        <f>IF(OR($AA102="",AL$5=""),0,SUMIF(INDIRECT("'"&amp;AL$5&amp;"'!C6:C1000"),$AA102,INDIRECT("'"&amp;AL$5&amp;"'!E6:E1000")))</f>
        <v>0</v>
      </c>
      <c r="AY102">
        <f>IF(OR($AA102="",AM$5=""),0,SUMIF(INDIRECT("'"&amp;AM$5&amp;"'!C6:C1000"),$AA102,INDIRECT("'"&amp;AM$5&amp;"'!E6:E1000")))</f>
        <v>0</v>
      </c>
      <c r="AZ102">
        <f>IF(OR($AA102="",AN$5=""),0,SUMIF(INDIRECT("'"&amp;AN$5&amp;"'!C6:C1000"),$AA102,INDIRECT("'"&amp;AN$5&amp;"'!E6:E1000")))</f>
        <v>0</v>
      </c>
      <c r="BA102">
        <f>IF(OR($AA102="",AC$5=""),0,SUMIFS(INDIRECT("'"&amp;AC$5&amp;"'!E6:E1000"),INDIRECT("'"&amp;AC$5&amp;"'!C6:C1000"),$AA102,INDIRECT("'"&amp;AC$5&amp;"'!F6:F1000"),"箱")+SUMIFS(INDIRECT("'"&amp;AC$5&amp;"'!E6:E1000"),INDIRECT("'"&amp;AC$5&amp;"'!C6:C1000"),$AA102,INDIRECT("'"&amp;AC$5&amp;"'!F6:F1000"),"件"))</f>
        <v>0</v>
      </c>
      <c r="BB102">
        <f>IF(OR($AA102="",AD$5=""),0,SUMIFS(INDIRECT("'"&amp;AD$5&amp;"'!E6:E1000"),INDIRECT("'"&amp;AD$5&amp;"'!C6:C1000"),$AA102,INDIRECT("'"&amp;AD$5&amp;"'!F6:F1000"),"箱")+SUMIFS(INDIRECT("'"&amp;AD$5&amp;"'!E6:E1000"),INDIRECT("'"&amp;AD$5&amp;"'!C6:C1000"),$AA102,INDIRECT("'"&amp;AD$5&amp;"'!F6:F1000"),"件"))</f>
        <v>0</v>
      </c>
      <c r="BC102">
        <f>IF(OR($AA102="",AE$5=""),0,SUMIFS(INDIRECT("'"&amp;AE$5&amp;"'!E6:E1000"),INDIRECT("'"&amp;AE$5&amp;"'!C6:C1000"),$AA102,INDIRECT("'"&amp;AE$5&amp;"'!F6:F1000"),"箱")+SUMIFS(INDIRECT("'"&amp;AE$5&amp;"'!E6:E1000"),INDIRECT("'"&amp;AE$5&amp;"'!C6:C1000"),$AA102,INDIRECT("'"&amp;AE$5&amp;"'!F6:F1000"),"件"))</f>
        <v>0</v>
      </c>
      <c r="BD102">
        <f>IF(OR($AA102="",AF$5=""),0,SUMIFS(INDIRECT("'"&amp;AF$5&amp;"'!E6:E1000"),INDIRECT("'"&amp;AF$5&amp;"'!C6:C1000"),$AA102,INDIRECT("'"&amp;AF$5&amp;"'!F6:F1000"),"箱")+SUMIFS(INDIRECT("'"&amp;AF$5&amp;"'!E6:E1000"),INDIRECT("'"&amp;AF$5&amp;"'!C6:C1000"),$AA102,INDIRECT("'"&amp;AF$5&amp;"'!F6:F1000"),"件"))</f>
        <v>0</v>
      </c>
      <c r="BE102">
        <f>IF(OR($AA102="",AG$5=""),0,SUMIFS(INDIRECT("'"&amp;AG$5&amp;"'!E6:E1000"),INDIRECT("'"&amp;AG$5&amp;"'!C6:C1000"),$AA102,INDIRECT("'"&amp;AG$5&amp;"'!F6:F1000"),"箱")+SUMIFS(INDIRECT("'"&amp;AG$5&amp;"'!E6:E1000"),INDIRECT("'"&amp;AG$5&amp;"'!C6:C1000"),$AA102,INDIRECT("'"&amp;AG$5&amp;"'!F6:F1000"),"件"))</f>
        <v>0</v>
      </c>
      <c r="BF102">
        <f>IF(OR($AA102="",AH$5=""),0,SUMIFS(INDIRECT("'"&amp;AH$5&amp;"'!E6:E1000"),INDIRECT("'"&amp;AH$5&amp;"'!C6:C1000"),$AA102,INDIRECT("'"&amp;AH$5&amp;"'!F6:F1000"),"箱")+SUMIFS(INDIRECT("'"&amp;AH$5&amp;"'!E6:E1000"),INDIRECT("'"&amp;AH$5&amp;"'!C6:C1000"),$AA102,INDIRECT("'"&amp;AH$5&amp;"'!F6:F1000"),"件"))</f>
        <v>0</v>
      </c>
      <c r="BG102">
        <f>IF(OR($AA102="",AI$5=""),0,SUMIFS(INDIRECT("'"&amp;AI$5&amp;"'!E6:E1000"),INDIRECT("'"&amp;AI$5&amp;"'!C6:C1000"),$AA102,INDIRECT("'"&amp;AI$5&amp;"'!F6:F1000"),"箱")+SUMIFS(INDIRECT("'"&amp;AI$5&amp;"'!E6:E1000"),INDIRECT("'"&amp;AI$5&amp;"'!C6:C1000"),$AA102,INDIRECT("'"&amp;AI$5&amp;"'!F6:F1000"),"件"))</f>
        <v>0</v>
      </c>
      <c r="BH102">
        <f>IF(OR($AA102="",AJ$5=""),0,SUMIFS(INDIRECT("'"&amp;AJ$5&amp;"'!E6:E1000"),INDIRECT("'"&amp;AJ$5&amp;"'!C6:C1000"),$AA102,INDIRECT("'"&amp;AJ$5&amp;"'!F6:F1000"),"箱")+SUMIFS(INDIRECT("'"&amp;AJ$5&amp;"'!E6:E1000"),INDIRECT("'"&amp;AJ$5&amp;"'!C6:C1000"),$AA102,INDIRECT("'"&amp;AJ$5&amp;"'!F6:F1000"),"件"))</f>
        <v>0</v>
      </c>
      <c r="BI102">
        <f>IF(OR($AA102="",AK$5=""),0,SUMIFS(INDIRECT("'"&amp;AK$5&amp;"'!E6:E1000"),INDIRECT("'"&amp;AK$5&amp;"'!C6:C1000"),$AA102,INDIRECT("'"&amp;AK$5&amp;"'!F6:F1000"),"箱")+SUMIFS(INDIRECT("'"&amp;AK$5&amp;"'!E6:E1000"),INDIRECT("'"&amp;AK$5&amp;"'!C6:C1000"),$AA102,INDIRECT("'"&amp;AK$5&amp;"'!F6:F1000"),"件"))</f>
        <v>0</v>
      </c>
      <c r="BJ102">
        <f>IF(OR($AA102="",AL$5=""),0,SUMIFS(INDIRECT("'"&amp;AL$5&amp;"'!E6:E1000"),INDIRECT("'"&amp;AL$5&amp;"'!C6:C1000"),$AA102,INDIRECT("'"&amp;AL$5&amp;"'!F6:F1000"),"箱")+SUMIFS(INDIRECT("'"&amp;AL$5&amp;"'!E6:E1000"),INDIRECT("'"&amp;AL$5&amp;"'!C6:C1000"),$AA102,INDIRECT("'"&amp;AL$5&amp;"'!F6:F1000"),"件"))</f>
        <v>0</v>
      </c>
      <c r="BK102">
        <f>IF(OR($AA102="",AM$5=""),0,SUMIFS(INDIRECT("'"&amp;AM$5&amp;"'!E6:E1000"),INDIRECT("'"&amp;AM$5&amp;"'!C6:C1000"),$AA102,INDIRECT("'"&amp;AM$5&amp;"'!F6:F1000"),"箱")+SUMIFS(INDIRECT("'"&amp;AM$5&amp;"'!E6:E1000"),INDIRECT("'"&amp;AM$5&amp;"'!C6:C1000"),$AA102,INDIRECT("'"&amp;AM$5&amp;"'!F6:F1000"),"件"))</f>
        <v>0</v>
      </c>
      <c r="BL102">
        <f>IF(OR($AA102="",AN$5=""),0,SUMIFS(INDIRECT("'"&amp;AN$5&amp;"'!E6:E1000"),INDIRECT("'"&amp;AN$5&amp;"'!C6:C1000"),$AA102,INDIRECT("'"&amp;AN$5&amp;"'!F6:F1000"),"箱")+SUMIFS(INDIRECT("'"&amp;AN$5&amp;"'!E6:E1000"),INDIRECT("'"&amp;AN$5&amp;"'!C6:C1000"),$AA102,INDIRECT("'"&amp;AN$5&amp;"'!F6:F1000"),"件"))</f>
        <v>0</v>
      </c>
      <c r="BM102">
        <f>(AO102-BA102)/$AB102+BA102</f>
        <v>0</v>
      </c>
      <c r="BN102">
        <f>(AP102-BB102)/$AB102+BB102</f>
        <v>0</v>
      </c>
      <c r="BO102">
        <f>(AQ102-BC102)/$AB102+BC102</f>
        <v>0</v>
      </c>
      <c r="BP102">
        <f>(AR102-BD102)/$AB102+BD102</f>
        <v>0</v>
      </c>
      <c r="BQ102">
        <f>(AS102-BE102)/$AB102+BE102</f>
        <v>0</v>
      </c>
      <c r="BR102">
        <f>(AT102-BF102)/$AB102+BF102</f>
        <v>0</v>
      </c>
      <c r="BS102">
        <f>(AU102-BG102)/$AB102+BG102</f>
        <v>0</v>
      </c>
      <c r="BT102">
        <f>(AV102-BH102)/$AB102+BH102</f>
        <v>0</v>
      </c>
      <c r="BU102">
        <f>(AW102-BI102)/$AB102+BI102</f>
        <v>0</v>
      </c>
      <c r="BV102">
        <f>(AX102-BJ102)/$AB102+BJ102</f>
        <v>0</v>
      </c>
      <c r="BW102">
        <f>(AY102-BK102)/$AB102+BK102</f>
        <v>0</v>
      </c>
      <c r="BX102">
        <f>(AZ102-BL102)/$AB102+BL102</f>
        <v>0</v>
      </c>
      <c r="BY102">
        <f>SUMPRODUCT((($AC$4:$AN$4=报损汇总一览!$A$3)+(报损汇总一览!$A$3="全年"))*AC102:AN102)</f>
        <v>0</v>
      </c>
      <c r="BZ102">
        <f>IF(BY102&gt;0,BY102+(1000-ROW())/10000000,"")</f>
      </c>
      <c r="CA102">
        <f>SUMPRODUCT((($AC$4:$AN$4=报损汇总一览!$A$3)+(报损汇总一览!$A$3="全年"))*AO102:AZ102)</f>
        <v>0</v>
      </c>
    </row>
    <row r="103">
      <c r="A103">
        <f>IF(OR(存条明细!C103="",存条明细!D103=""),"",IF(COUNTIFS(存条明细!$C$4:C103,存条明细!C103,存条明细!$D$4:D103,存条明细!D103)&gt;1,"",IFERROR(MATCH(存条明细!C103,总览汇总!$B$5:$B$304,0),900)*10000000+IFERROR(MATCH(存条明细!D103,基础资料!$E$5:$E$104,0),900)*10000+ROW()))</f>
        <v>320010103</v>
      </c>
      <c r="B103">
        <f>IFERROR(MATCH(SMALL($A$4:$A$4003,100),$A$4:$A$4003,0),"")</f>
        <v>66</v>
      </c>
      <c r="D103">
        <f>IF(AND(商品库存!B103&lt;&gt;"",商品库存!B103=客户查询!$B$4),COUNTIF(商品库存!$B$4:B103,客户查询!$B$4),"")</f>
      </c>
      <c r="E103">
        <f>IF(AND(商品库存!B103&lt;&gt;"",商品库存!B103=客户对账单!$B$4),COUNTIF(商品库存!$B$4:B103,客户对账单!$B$4),"")</f>
      </c>
      <c r="F103">
        <f>IF(AND(出库明细!C103&lt;&gt;"",出库明细!C103=客户对账单!$B$4,ISNUMBER(出库明细!B103),出库明细!B103&gt;=客户对账单!$G$4,出库明细!B103&lt;=客户对账单!$I$4),出库明细!B103+ROW()/100000,"")</f>
      </c>
      <c r="H103">
        <f>IF(AND(采购进货!C103&lt;&gt;"",采购进货!C103=供应商对账单!$B$4,ISNUMBER(采购进货!B103),采购进货!B103&gt;=供应商对账单!$G$4,采购进货!B103&lt;=供应商对账单!$I$4),采购进货!B103+ROW()/100000,"")</f>
      </c>
      <c r="J103">
        <f>IF(总览汇总!$B103="","",N(总览汇总!$K103)+SUMIFS(出库明细!$G$4:$G$3003,出库明细!$C$4:$C$3003,总览汇总!$B103,出库明细!$B$4:$B$3003,"&gt;="&amp;年初日,出库明细!$B$4:$B$3003,"&lt;="&amp;资产负债表!$D$3)-SUMIFS(资金台帐!$S$7:$S$3006,资金台帐!$J$7:$J$3006,总览汇总!$B103,资金台帐!$P$7:$P$3006,"应收",资金台帐!$B$7:$B$3006,"&gt;="&amp;年初日,资金台帐!$B$7:$B$3006,"&lt;="&amp;资产负债表!$D$3))</f>
      </c>
      <c r="N103">
        <f>IF(AND(ISNUMBER(出库明细!G103),ISNUMBER(出库明细!E103),ISNUMBER(出库明细!F103)),IF(ABS(出库明细!G103-出库明细!E103*出库明细!F103)&gt;0.005,1,0),0)</f>
        <v>0</v>
      </c>
      <c r="O103">
        <f>IF(AND(ISNUMBER(存条明细!G103),ISNUMBER(存条明细!E103),ISNUMBER(存条明细!F103)),IF(ABS(存条明细!G103-存条明细!E103*存条明细!F103)&gt;0.005,1,0),0)</f>
        <v>0</v>
      </c>
      <c r="AA103">
        <f>IF(基础资料!G102="","",基础资料!G102&amp;"")</f>
      </c>
      <c r="AB103">
        <f>IF(N(基础资料!I102)&lt;=0,1,基础资料!I102)</f>
        <v>1</v>
      </c>
      <c r="AC103">
        <f>IF(OR($AA103="",AC$5=""),0,SUMIF(INDIRECT("'"&amp;AC$5&amp;"'!C6:C1000"),$AA103,INDIRECT("'"&amp;AC$5&amp;"'!H6:H1000")))</f>
        <v>0</v>
      </c>
      <c r="AD103">
        <f>IF(OR($AA103="",AD$5=""),0,SUMIF(INDIRECT("'"&amp;AD$5&amp;"'!C6:C1000"),$AA103,INDIRECT("'"&amp;AD$5&amp;"'!H6:H1000")))</f>
        <v>0</v>
      </c>
      <c r="AE103">
        <f>IF(OR($AA103="",AE$5=""),0,SUMIF(INDIRECT("'"&amp;AE$5&amp;"'!C6:C1000"),$AA103,INDIRECT("'"&amp;AE$5&amp;"'!H6:H1000")))</f>
        <v>0</v>
      </c>
      <c r="AF103">
        <f>IF(OR($AA103="",AF$5=""),0,SUMIF(INDIRECT("'"&amp;AF$5&amp;"'!C6:C1000"),$AA103,INDIRECT("'"&amp;AF$5&amp;"'!H6:H1000")))</f>
        <v>0</v>
      </c>
      <c r="AG103">
        <f>IF(OR($AA103="",AG$5=""),0,SUMIF(INDIRECT("'"&amp;AG$5&amp;"'!C6:C1000"),$AA103,INDIRECT("'"&amp;AG$5&amp;"'!H6:H1000")))</f>
        <v>0</v>
      </c>
      <c r="AH103">
        <f>IF(OR($AA103="",AH$5=""),0,SUMIF(INDIRECT("'"&amp;AH$5&amp;"'!C6:C1000"),$AA103,INDIRECT("'"&amp;AH$5&amp;"'!H6:H1000")))</f>
        <v>0</v>
      </c>
      <c r="AI103">
        <f>IF(OR($AA103="",AI$5=""),0,SUMIF(INDIRECT("'"&amp;AI$5&amp;"'!C6:C1000"),$AA103,INDIRECT("'"&amp;AI$5&amp;"'!H6:H1000")))</f>
        <v>0</v>
      </c>
      <c r="AJ103">
        <f>IF(OR($AA103="",AJ$5=""),0,SUMIF(INDIRECT("'"&amp;AJ$5&amp;"'!C6:C1000"),$AA103,INDIRECT("'"&amp;AJ$5&amp;"'!H6:H1000")))</f>
        <v>0</v>
      </c>
      <c r="AK103">
        <f>IF(OR($AA103="",AK$5=""),0,SUMIF(INDIRECT("'"&amp;AK$5&amp;"'!C6:C1000"),$AA103,INDIRECT("'"&amp;AK$5&amp;"'!H6:H1000")))</f>
        <v>0</v>
      </c>
      <c r="AL103">
        <f>IF(OR($AA103="",AL$5=""),0,SUMIF(INDIRECT("'"&amp;AL$5&amp;"'!C6:C1000"),$AA103,INDIRECT("'"&amp;AL$5&amp;"'!H6:H1000")))</f>
        <v>0</v>
      </c>
      <c r="AM103">
        <f>IF(OR($AA103="",AM$5=""),0,SUMIF(INDIRECT("'"&amp;AM$5&amp;"'!C6:C1000"),$AA103,INDIRECT("'"&amp;AM$5&amp;"'!H6:H1000")))</f>
        <v>0</v>
      </c>
      <c r="AN103">
        <f>IF(OR($AA103="",AN$5=""),0,SUMIF(INDIRECT("'"&amp;AN$5&amp;"'!C6:C1000"),$AA103,INDIRECT("'"&amp;AN$5&amp;"'!H6:H1000")))</f>
        <v>0</v>
      </c>
      <c r="AO103">
        <f>IF(OR($AA103="",AC$5=""),0,SUMIF(INDIRECT("'"&amp;AC$5&amp;"'!C6:C1000"),$AA103,INDIRECT("'"&amp;AC$5&amp;"'!E6:E1000")))</f>
        <v>0</v>
      </c>
      <c r="AP103">
        <f>IF(OR($AA103="",AD$5=""),0,SUMIF(INDIRECT("'"&amp;AD$5&amp;"'!C6:C1000"),$AA103,INDIRECT("'"&amp;AD$5&amp;"'!E6:E1000")))</f>
        <v>0</v>
      </c>
      <c r="AQ103">
        <f>IF(OR($AA103="",AE$5=""),0,SUMIF(INDIRECT("'"&amp;AE$5&amp;"'!C6:C1000"),$AA103,INDIRECT("'"&amp;AE$5&amp;"'!E6:E1000")))</f>
        <v>0</v>
      </c>
      <c r="AR103">
        <f>IF(OR($AA103="",AF$5=""),0,SUMIF(INDIRECT("'"&amp;AF$5&amp;"'!C6:C1000"),$AA103,INDIRECT("'"&amp;AF$5&amp;"'!E6:E1000")))</f>
        <v>0</v>
      </c>
      <c r="AS103">
        <f>IF(OR($AA103="",AG$5=""),0,SUMIF(INDIRECT("'"&amp;AG$5&amp;"'!C6:C1000"),$AA103,INDIRECT("'"&amp;AG$5&amp;"'!E6:E1000")))</f>
        <v>0</v>
      </c>
      <c r="AT103">
        <f>IF(OR($AA103="",AH$5=""),0,SUMIF(INDIRECT("'"&amp;AH$5&amp;"'!C6:C1000"),$AA103,INDIRECT("'"&amp;AH$5&amp;"'!E6:E1000")))</f>
        <v>0</v>
      </c>
      <c r="AU103">
        <f>IF(OR($AA103="",AI$5=""),0,SUMIF(INDIRECT("'"&amp;AI$5&amp;"'!C6:C1000"),$AA103,INDIRECT("'"&amp;AI$5&amp;"'!E6:E1000")))</f>
        <v>0</v>
      </c>
      <c r="AV103">
        <f>IF(OR($AA103="",AJ$5=""),0,SUMIF(INDIRECT("'"&amp;AJ$5&amp;"'!C6:C1000"),$AA103,INDIRECT("'"&amp;AJ$5&amp;"'!E6:E1000")))</f>
        <v>0</v>
      </c>
      <c r="AW103">
        <f>IF(OR($AA103="",AK$5=""),0,SUMIF(INDIRECT("'"&amp;AK$5&amp;"'!C6:C1000"),$AA103,INDIRECT("'"&amp;AK$5&amp;"'!E6:E1000")))</f>
        <v>0</v>
      </c>
      <c r="AX103">
        <f>IF(OR($AA103="",AL$5=""),0,SUMIF(INDIRECT("'"&amp;AL$5&amp;"'!C6:C1000"),$AA103,INDIRECT("'"&amp;AL$5&amp;"'!E6:E1000")))</f>
        <v>0</v>
      </c>
      <c r="AY103">
        <f>IF(OR($AA103="",AM$5=""),0,SUMIF(INDIRECT("'"&amp;AM$5&amp;"'!C6:C1000"),$AA103,INDIRECT("'"&amp;AM$5&amp;"'!E6:E1000")))</f>
        <v>0</v>
      </c>
      <c r="AZ103">
        <f>IF(OR($AA103="",AN$5=""),0,SUMIF(INDIRECT("'"&amp;AN$5&amp;"'!C6:C1000"),$AA103,INDIRECT("'"&amp;AN$5&amp;"'!E6:E1000")))</f>
        <v>0</v>
      </c>
      <c r="BA103">
        <f>IF(OR($AA103="",AC$5=""),0,SUMIFS(INDIRECT("'"&amp;AC$5&amp;"'!E6:E1000"),INDIRECT("'"&amp;AC$5&amp;"'!C6:C1000"),$AA103,INDIRECT("'"&amp;AC$5&amp;"'!F6:F1000"),"箱")+SUMIFS(INDIRECT("'"&amp;AC$5&amp;"'!E6:E1000"),INDIRECT("'"&amp;AC$5&amp;"'!C6:C1000"),$AA103,INDIRECT("'"&amp;AC$5&amp;"'!F6:F1000"),"件"))</f>
        <v>0</v>
      </c>
      <c r="BB103">
        <f>IF(OR($AA103="",AD$5=""),0,SUMIFS(INDIRECT("'"&amp;AD$5&amp;"'!E6:E1000"),INDIRECT("'"&amp;AD$5&amp;"'!C6:C1000"),$AA103,INDIRECT("'"&amp;AD$5&amp;"'!F6:F1000"),"箱")+SUMIFS(INDIRECT("'"&amp;AD$5&amp;"'!E6:E1000"),INDIRECT("'"&amp;AD$5&amp;"'!C6:C1000"),$AA103,INDIRECT("'"&amp;AD$5&amp;"'!F6:F1000"),"件"))</f>
        <v>0</v>
      </c>
      <c r="BC103">
        <f>IF(OR($AA103="",AE$5=""),0,SUMIFS(INDIRECT("'"&amp;AE$5&amp;"'!E6:E1000"),INDIRECT("'"&amp;AE$5&amp;"'!C6:C1000"),$AA103,INDIRECT("'"&amp;AE$5&amp;"'!F6:F1000"),"箱")+SUMIFS(INDIRECT("'"&amp;AE$5&amp;"'!E6:E1000"),INDIRECT("'"&amp;AE$5&amp;"'!C6:C1000"),$AA103,INDIRECT("'"&amp;AE$5&amp;"'!F6:F1000"),"件"))</f>
        <v>0</v>
      </c>
      <c r="BD103">
        <f>IF(OR($AA103="",AF$5=""),0,SUMIFS(INDIRECT("'"&amp;AF$5&amp;"'!E6:E1000"),INDIRECT("'"&amp;AF$5&amp;"'!C6:C1000"),$AA103,INDIRECT("'"&amp;AF$5&amp;"'!F6:F1000"),"箱")+SUMIFS(INDIRECT("'"&amp;AF$5&amp;"'!E6:E1000"),INDIRECT("'"&amp;AF$5&amp;"'!C6:C1000"),$AA103,INDIRECT("'"&amp;AF$5&amp;"'!F6:F1000"),"件"))</f>
        <v>0</v>
      </c>
      <c r="BE103">
        <f>IF(OR($AA103="",AG$5=""),0,SUMIFS(INDIRECT("'"&amp;AG$5&amp;"'!E6:E1000"),INDIRECT("'"&amp;AG$5&amp;"'!C6:C1000"),$AA103,INDIRECT("'"&amp;AG$5&amp;"'!F6:F1000"),"箱")+SUMIFS(INDIRECT("'"&amp;AG$5&amp;"'!E6:E1000"),INDIRECT("'"&amp;AG$5&amp;"'!C6:C1000"),$AA103,INDIRECT("'"&amp;AG$5&amp;"'!F6:F1000"),"件"))</f>
        <v>0</v>
      </c>
      <c r="BF103">
        <f>IF(OR($AA103="",AH$5=""),0,SUMIFS(INDIRECT("'"&amp;AH$5&amp;"'!E6:E1000"),INDIRECT("'"&amp;AH$5&amp;"'!C6:C1000"),$AA103,INDIRECT("'"&amp;AH$5&amp;"'!F6:F1000"),"箱")+SUMIFS(INDIRECT("'"&amp;AH$5&amp;"'!E6:E1000"),INDIRECT("'"&amp;AH$5&amp;"'!C6:C1000"),$AA103,INDIRECT("'"&amp;AH$5&amp;"'!F6:F1000"),"件"))</f>
        <v>0</v>
      </c>
      <c r="BG103">
        <f>IF(OR($AA103="",AI$5=""),0,SUMIFS(INDIRECT("'"&amp;AI$5&amp;"'!E6:E1000"),INDIRECT("'"&amp;AI$5&amp;"'!C6:C1000"),$AA103,INDIRECT("'"&amp;AI$5&amp;"'!F6:F1000"),"箱")+SUMIFS(INDIRECT("'"&amp;AI$5&amp;"'!E6:E1000"),INDIRECT("'"&amp;AI$5&amp;"'!C6:C1000"),$AA103,INDIRECT("'"&amp;AI$5&amp;"'!F6:F1000"),"件"))</f>
        <v>0</v>
      </c>
      <c r="BH103">
        <f>IF(OR($AA103="",AJ$5=""),0,SUMIFS(INDIRECT("'"&amp;AJ$5&amp;"'!E6:E1000"),INDIRECT("'"&amp;AJ$5&amp;"'!C6:C1000"),$AA103,INDIRECT("'"&amp;AJ$5&amp;"'!F6:F1000"),"箱")+SUMIFS(INDIRECT("'"&amp;AJ$5&amp;"'!E6:E1000"),INDIRECT("'"&amp;AJ$5&amp;"'!C6:C1000"),$AA103,INDIRECT("'"&amp;AJ$5&amp;"'!F6:F1000"),"件"))</f>
        <v>0</v>
      </c>
      <c r="BI103">
        <f>IF(OR($AA103="",AK$5=""),0,SUMIFS(INDIRECT("'"&amp;AK$5&amp;"'!E6:E1000"),INDIRECT("'"&amp;AK$5&amp;"'!C6:C1000"),$AA103,INDIRECT("'"&amp;AK$5&amp;"'!F6:F1000"),"箱")+SUMIFS(INDIRECT("'"&amp;AK$5&amp;"'!E6:E1000"),INDIRECT("'"&amp;AK$5&amp;"'!C6:C1000"),$AA103,INDIRECT("'"&amp;AK$5&amp;"'!F6:F1000"),"件"))</f>
        <v>0</v>
      </c>
      <c r="BJ103">
        <f>IF(OR($AA103="",AL$5=""),0,SUMIFS(INDIRECT("'"&amp;AL$5&amp;"'!E6:E1000"),INDIRECT("'"&amp;AL$5&amp;"'!C6:C1000"),$AA103,INDIRECT("'"&amp;AL$5&amp;"'!F6:F1000"),"箱")+SUMIFS(INDIRECT("'"&amp;AL$5&amp;"'!E6:E1000"),INDIRECT("'"&amp;AL$5&amp;"'!C6:C1000"),$AA103,INDIRECT("'"&amp;AL$5&amp;"'!F6:F1000"),"件"))</f>
        <v>0</v>
      </c>
      <c r="BK103">
        <f>IF(OR($AA103="",AM$5=""),0,SUMIFS(INDIRECT("'"&amp;AM$5&amp;"'!E6:E1000"),INDIRECT("'"&amp;AM$5&amp;"'!C6:C1000"),$AA103,INDIRECT("'"&amp;AM$5&amp;"'!F6:F1000"),"箱")+SUMIFS(INDIRECT("'"&amp;AM$5&amp;"'!E6:E1000"),INDIRECT("'"&amp;AM$5&amp;"'!C6:C1000"),$AA103,INDIRECT("'"&amp;AM$5&amp;"'!F6:F1000"),"件"))</f>
        <v>0</v>
      </c>
      <c r="BL103">
        <f>IF(OR($AA103="",AN$5=""),0,SUMIFS(INDIRECT("'"&amp;AN$5&amp;"'!E6:E1000"),INDIRECT("'"&amp;AN$5&amp;"'!C6:C1000"),$AA103,INDIRECT("'"&amp;AN$5&amp;"'!F6:F1000"),"箱")+SUMIFS(INDIRECT("'"&amp;AN$5&amp;"'!E6:E1000"),INDIRECT("'"&amp;AN$5&amp;"'!C6:C1000"),$AA103,INDIRECT("'"&amp;AN$5&amp;"'!F6:F1000"),"件"))</f>
        <v>0</v>
      </c>
      <c r="BM103">
        <f>(AO103-BA103)/$AB103+BA103</f>
        <v>0</v>
      </c>
      <c r="BN103">
        <f>(AP103-BB103)/$AB103+BB103</f>
        <v>0</v>
      </c>
      <c r="BO103">
        <f>(AQ103-BC103)/$AB103+BC103</f>
        <v>0</v>
      </c>
      <c r="BP103">
        <f>(AR103-BD103)/$AB103+BD103</f>
        <v>0</v>
      </c>
      <c r="BQ103">
        <f>(AS103-BE103)/$AB103+BE103</f>
        <v>0</v>
      </c>
      <c r="BR103">
        <f>(AT103-BF103)/$AB103+BF103</f>
        <v>0</v>
      </c>
      <c r="BS103">
        <f>(AU103-BG103)/$AB103+BG103</f>
        <v>0</v>
      </c>
      <c r="BT103">
        <f>(AV103-BH103)/$AB103+BH103</f>
        <v>0</v>
      </c>
      <c r="BU103">
        <f>(AW103-BI103)/$AB103+BI103</f>
        <v>0</v>
      </c>
      <c r="BV103">
        <f>(AX103-BJ103)/$AB103+BJ103</f>
        <v>0</v>
      </c>
      <c r="BW103">
        <f>(AY103-BK103)/$AB103+BK103</f>
        <v>0</v>
      </c>
      <c r="BX103">
        <f>(AZ103-BL103)/$AB103+BL103</f>
        <v>0</v>
      </c>
      <c r="BY103">
        <f>SUMPRODUCT((($AC$4:$AN$4=报损汇总一览!$A$3)+(报损汇总一览!$A$3="全年"))*AC103:AN103)</f>
        <v>0</v>
      </c>
      <c r="BZ103">
        <f>IF(BY103&gt;0,BY103+(1000-ROW())/10000000,"")</f>
      </c>
      <c r="CA103">
        <f>SUMPRODUCT((($AC$4:$AN$4=报损汇总一览!$A$3)+(报损汇总一览!$A$3="全年"))*AO103:AZ103)</f>
        <v>0</v>
      </c>
    </row>
    <row r="104">
      <c r="A104">
        <f>IF(OR(存条明细!C104="",存条明细!D104=""),"",IF(COUNTIFS(存条明细!$C$4:C104,存条明细!C104,存条明细!$D$4:D104,存条明细!D104)&gt;1,"",IFERROR(MATCH(存条明细!C104,总览汇总!$B$5:$B$304,0),900)*10000000+IFERROR(MATCH(存条明细!D104,基础资料!$E$5:$E$104,0),900)*10000+ROW()))</f>
        <v>340010104</v>
      </c>
      <c r="B104">
        <f>IFERROR(MATCH(SMALL($A$4:$A$4003,101),$A$4:$A$4003,0),"")</f>
        <v>68</v>
      </c>
      <c r="D104">
        <f>IF(AND(商品库存!B104&lt;&gt;"",商品库存!B104=客户查询!$B$4),COUNTIF(商品库存!$B$4:B104,客户查询!$B$4),"")</f>
      </c>
      <c r="E104">
        <f>IF(AND(商品库存!B104&lt;&gt;"",商品库存!B104=客户对账单!$B$4),COUNTIF(商品库存!$B$4:B104,客户对账单!$B$4),"")</f>
      </c>
      <c r="F104">
        <f>IF(AND(出库明细!C104&lt;&gt;"",出库明细!C104=客户对账单!$B$4,ISNUMBER(出库明细!B104),出库明细!B104&gt;=客户对账单!$G$4,出库明细!B104&lt;=客户对账单!$I$4),出库明细!B104+ROW()/100000,"")</f>
      </c>
      <c r="H104">
        <f>IF(AND(采购进货!C104&lt;&gt;"",采购进货!C104=供应商对账单!$B$4,ISNUMBER(采购进货!B104),采购进货!B104&gt;=供应商对账单!$G$4,采购进货!B104&lt;=供应商对账单!$I$4),采购进货!B104+ROW()/100000,"")</f>
      </c>
      <c r="J104">
        <f>IF(总览汇总!$B104="","",N(总览汇总!$K104)+SUMIFS(出库明细!$G$4:$G$3003,出库明细!$C$4:$C$3003,总览汇总!$B104,出库明细!$B$4:$B$3003,"&gt;="&amp;年初日,出库明细!$B$4:$B$3003,"&lt;="&amp;资产负债表!$D$3)-SUMIFS(资金台帐!$S$7:$S$3006,资金台帐!$J$7:$J$3006,总览汇总!$B104,资金台帐!$P$7:$P$3006,"应收",资金台帐!$B$7:$B$3006,"&gt;="&amp;年初日,资金台帐!$B$7:$B$3006,"&lt;="&amp;资产负债表!$D$3))</f>
      </c>
      <c r="N104">
        <f>IF(AND(ISNUMBER(出库明细!G104),ISNUMBER(出库明细!E104),ISNUMBER(出库明细!F104)),IF(ABS(出库明细!G104-出库明细!E104*出库明细!F104)&gt;0.005,1,0),0)</f>
        <v>0</v>
      </c>
      <c r="O104">
        <f>IF(AND(ISNUMBER(存条明细!G104),ISNUMBER(存条明细!E104),ISNUMBER(存条明细!F104)),IF(ABS(存条明细!G104-存条明细!E104*存条明细!F104)&gt;0.005,1,0),0)</f>
        <v>0</v>
      </c>
      <c r="AA104">
        <f>IF(基础资料!G103="","",基础资料!G103&amp;"")</f>
      </c>
      <c r="AB104">
        <f>IF(N(基础资料!I103)&lt;=0,1,基础资料!I103)</f>
        <v>1</v>
      </c>
      <c r="AC104">
        <f>IF(OR($AA104="",AC$5=""),0,SUMIF(INDIRECT("'"&amp;AC$5&amp;"'!C6:C1000"),$AA104,INDIRECT("'"&amp;AC$5&amp;"'!H6:H1000")))</f>
        <v>0</v>
      </c>
      <c r="AD104">
        <f>IF(OR($AA104="",AD$5=""),0,SUMIF(INDIRECT("'"&amp;AD$5&amp;"'!C6:C1000"),$AA104,INDIRECT("'"&amp;AD$5&amp;"'!H6:H1000")))</f>
        <v>0</v>
      </c>
      <c r="AE104">
        <f>IF(OR($AA104="",AE$5=""),0,SUMIF(INDIRECT("'"&amp;AE$5&amp;"'!C6:C1000"),$AA104,INDIRECT("'"&amp;AE$5&amp;"'!H6:H1000")))</f>
        <v>0</v>
      </c>
      <c r="AF104">
        <f>IF(OR($AA104="",AF$5=""),0,SUMIF(INDIRECT("'"&amp;AF$5&amp;"'!C6:C1000"),$AA104,INDIRECT("'"&amp;AF$5&amp;"'!H6:H1000")))</f>
        <v>0</v>
      </c>
      <c r="AG104">
        <f>IF(OR($AA104="",AG$5=""),0,SUMIF(INDIRECT("'"&amp;AG$5&amp;"'!C6:C1000"),$AA104,INDIRECT("'"&amp;AG$5&amp;"'!H6:H1000")))</f>
        <v>0</v>
      </c>
      <c r="AH104">
        <f>IF(OR($AA104="",AH$5=""),0,SUMIF(INDIRECT("'"&amp;AH$5&amp;"'!C6:C1000"),$AA104,INDIRECT("'"&amp;AH$5&amp;"'!H6:H1000")))</f>
        <v>0</v>
      </c>
      <c r="AI104">
        <f>IF(OR($AA104="",AI$5=""),0,SUMIF(INDIRECT("'"&amp;AI$5&amp;"'!C6:C1000"),$AA104,INDIRECT("'"&amp;AI$5&amp;"'!H6:H1000")))</f>
        <v>0</v>
      </c>
      <c r="AJ104">
        <f>IF(OR($AA104="",AJ$5=""),0,SUMIF(INDIRECT("'"&amp;AJ$5&amp;"'!C6:C1000"),$AA104,INDIRECT("'"&amp;AJ$5&amp;"'!H6:H1000")))</f>
        <v>0</v>
      </c>
      <c r="AK104">
        <f>IF(OR($AA104="",AK$5=""),0,SUMIF(INDIRECT("'"&amp;AK$5&amp;"'!C6:C1000"),$AA104,INDIRECT("'"&amp;AK$5&amp;"'!H6:H1000")))</f>
        <v>0</v>
      </c>
      <c r="AL104">
        <f>IF(OR($AA104="",AL$5=""),0,SUMIF(INDIRECT("'"&amp;AL$5&amp;"'!C6:C1000"),$AA104,INDIRECT("'"&amp;AL$5&amp;"'!H6:H1000")))</f>
        <v>0</v>
      </c>
      <c r="AM104">
        <f>IF(OR($AA104="",AM$5=""),0,SUMIF(INDIRECT("'"&amp;AM$5&amp;"'!C6:C1000"),$AA104,INDIRECT("'"&amp;AM$5&amp;"'!H6:H1000")))</f>
        <v>0</v>
      </c>
      <c r="AN104">
        <f>IF(OR($AA104="",AN$5=""),0,SUMIF(INDIRECT("'"&amp;AN$5&amp;"'!C6:C1000"),$AA104,INDIRECT("'"&amp;AN$5&amp;"'!H6:H1000")))</f>
        <v>0</v>
      </c>
      <c r="AO104">
        <f>IF(OR($AA104="",AC$5=""),0,SUMIF(INDIRECT("'"&amp;AC$5&amp;"'!C6:C1000"),$AA104,INDIRECT("'"&amp;AC$5&amp;"'!E6:E1000")))</f>
        <v>0</v>
      </c>
      <c r="AP104">
        <f>IF(OR($AA104="",AD$5=""),0,SUMIF(INDIRECT("'"&amp;AD$5&amp;"'!C6:C1000"),$AA104,INDIRECT("'"&amp;AD$5&amp;"'!E6:E1000")))</f>
        <v>0</v>
      </c>
      <c r="AQ104">
        <f>IF(OR($AA104="",AE$5=""),0,SUMIF(INDIRECT("'"&amp;AE$5&amp;"'!C6:C1000"),$AA104,INDIRECT("'"&amp;AE$5&amp;"'!E6:E1000")))</f>
        <v>0</v>
      </c>
      <c r="AR104">
        <f>IF(OR($AA104="",AF$5=""),0,SUMIF(INDIRECT("'"&amp;AF$5&amp;"'!C6:C1000"),$AA104,INDIRECT("'"&amp;AF$5&amp;"'!E6:E1000")))</f>
        <v>0</v>
      </c>
      <c r="AS104">
        <f>IF(OR($AA104="",AG$5=""),0,SUMIF(INDIRECT("'"&amp;AG$5&amp;"'!C6:C1000"),$AA104,INDIRECT("'"&amp;AG$5&amp;"'!E6:E1000")))</f>
        <v>0</v>
      </c>
      <c r="AT104">
        <f>IF(OR($AA104="",AH$5=""),0,SUMIF(INDIRECT("'"&amp;AH$5&amp;"'!C6:C1000"),$AA104,INDIRECT("'"&amp;AH$5&amp;"'!E6:E1000")))</f>
        <v>0</v>
      </c>
      <c r="AU104">
        <f>IF(OR($AA104="",AI$5=""),0,SUMIF(INDIRECT("'"&amp;AI$5&amp;"'!C6:C1000"),$AA104,INDIRECT("'"&amp;AI$5&amp;"'!E6:E1000")))</f>
        <v>0</v>
      </c>
      <c r="AV104">
        <f>IF(OR($AA104="",AJ$5=""),0,SUMIF(INDIRECT("'"&amp;AJ$5&amp;"'!C6:C1000"),$AA104,INDIRECT("'"&amp;AJ$5&amp;"'!E6:E1000")))</f>
        <v>0</v>
      </c>
      <c r="AW104">
        <f>IF(OR($AA104="",AK$5=""),0,SUMIF(INDIRECT("'"&amp;AK$5&amp;"'!C6:C1000"),$AA104,INDIRECT("'"&amp;AK$5&amp;"'!E6:E1000")))</f>
        <v>0</v>
      </c>
      <c r="AX104">
        <f>IF(OR($AA104="",AL$5=""),0,SUMIF(INDIRECT("'"&amp;AL$5&amp;"'!C6:C1000"),$AA104,INDIRECT("'"&amp;AL$5&amp;"'!E6:E1000")))</f>
        <v>0</v>
      </c>
      <c r="AY104">
        <f>IF(OR($AA104="",AM$5=""),0,SUMIF(INDIRECT("'"&amp;AM$5&amp;"'!C6:C1000"),$AA104,INDIRECT("'"&amp;AM$5&amp;"'!E6:E1000")))</f>
        <v>0</v>
      </c>
      <c r="AZ104">
        <f>IF(OR($AA104="",AN$5=""),0,SUMIF(INDIRECT("'"&amp;AN$5&amp;"'!C6:C1000"),$AA104,INDIRECT("'"&amp;AN$5&amp;"'!E6:E1000")))</f>
        <v>0</v>
      </c>
      <c r="BA104">
        <f>IF(OR($AA104="",AC$5=""),0,SUMIFS(INDIRECT("'"&amp;AC$5&amp;"'!E6:E1000"),INDIRECT("'"&amp;AC$5&amp;"'!C6:C1000"),$AA104,INDIRECT("'"&amp;AC$5&amp;"'!F6:F1000"),"箱")+SUMIFS(INDIRECT("'"&amp;AC$5&amp;"'!E6:E1000"),INDIRECT("'"&amp;AC$5&amp;"'!C6:C1000"),$AA104,INDIRECT("'"&amp;AC$5&amp;"'!F6:F1000"),"件"))</f>
        <v>0</v>
      </c>
      <c r="BB104">
        <f>IF(OR($AA104="",AD$5=""),0,SUMIFS(INDIRECT("'"&amp;AD$5&amp;"'!E6:E1000"),INDIRECT("'"&amp;AD$5&amp;"'!C6:C1000"),$AA104,INDIRECT("'"&amp;AD$5&amp;"'!F6:F1000"),"箱")+SUMIFS(INDIRECT("'"&amp;AD$5&amp;"'!E6:E1000"),INDIRECT("'"&amp;AD$5&amp;"'!C6:C1000"),$AA104,INDIRECT("'"&amp;AD$5&amp;"'!F6:F1000"),"件"))</f>
        <v>0</v>
      </c>
      <c r="BC104">
        <f>IF(OR($AA104="",AE$5=""),0,SUMIFS(INDIRECT("'"&amp;AE$5&amp;"'!E6:E1000"),INDIRECT("'"&amp;AE$5&amp;"'!C6:C1000"),$AA104,INDIRECT("'"&amp;AE$5&amp;"'!F6:F1000"),"箱")+SUMIFS(INDIRECT("'"&amp;AE$5&amp;"'!E6:E1000"),INDIRECT("'"&amp;AE$5&amp;"'!C6:C1000"),$AA104,INDIRECT("'"&amp;AE$5&amp;"'!F6:F1000"),"件"))</f>
        <v>0</v>
      </c>
      <c r="BD104">
        <f>IF(OR($AA104="",AF$5=""),0,SUMIFS(INDIRECT("'"&amp;AF$5&amp;"'!E6:E1000"),INDIRECT("'"&amp;AF$5&amp;"'!C6:C1000"),$AA104,INDIRECT("'"&amp;AF$5&amp;"'!F6:F1000"),"箱")+SUMIFS(INDIRECT("'"&amp;AF$5&amp;"'!E6:E1000"),INDIRECT("'"&amp;AF$5&amp;"'!C6:C1000"),$AA104,INDIRECT("'"&amp;AF$5&amp;"'!F6:F1000"),"件"))</f>
        <v>0</v>
      </c>
      <c r="BE104">
        <f>IF(OR($AA104="",AG$5=""),0,SUMIFS(INDIRECT("'"&amp;AG$5&amp;"'!E6:E1000"),INDIRECT("'"&amp;AG$5&amp;"'!C6:C1000"),$AA104,INDIRECT("'"&amp;AG$5&amp;"'!F6:F1000"),"箱")+SUMIFS(INDIRECT("'"&amp;AG$5&amp;"'!E6:E1000"),INDIRECT("'"&amp;AG$5&amp;"'!C6:C1000"),$AA104,INDIRECT("'"&amp;AG$5&amp;"'!F6:F1000"),"件"))</f>
        <v>0</v>
      </c>
      <c r="BF104">
        <f>IF(OR($AA104="",AH$5=""),0,SUMIFS(INDIRECT("'"&amp;AH$5&amp;"'!E6:E1000"),INDIRECT("'"&amp;AH$5&amp;"'!C6:C1000"),$AA104,INDIRECT("'"&amp;AH$5&amp;"'!F6:F1000"),"箱")+SUMIFS(INDIRECT("'"&amp;AH$5&amp;"'!E6:E1000"),INDIRECT("'"&amp;AH$5&amp;"'!C6:C1000"),$AA104,INDIRECT("'"&amp;AH$5&amp;"'!F6:F1000"),"件"))</f>
        <v>0</v>
      </c>
      <c r="BG104">
        <f>IF(OR($AA104="",AI$5=""),0,SUMIFS(INDIRECT("'"&amp;AI$5&amp;"'!E6:E1000"),INDIRECT("'"&amp;AI$5&amp;"'!C6:C1000"),$AA104,INDIRECT("'"&amp;AI$5&amp;"'!F6:F1000"),"箱")+SUMIFS(INDIRECT("'"&amp;AI$5&amp;"'!E6:E1000"),INDIRECT("'"&amp;AI$5&amp;"'!C6:C1000"),$AA104,INDIRECT("'"&amp;AI$5&amp;"'!F6:F1000"),"件"))</f>
        <v>0</v>
      </c>
      <c r="BH104">
        <f>IF(OR($AA104="",AJ$5=""),0,SUMIFS(INDIRECT("'"&amp;AJ$5&amp;"'!E6:E1000"),INDIRECT("'"&amp;AJ$5&amp;"'!C6:C1000"),$AA104,INDIRECT("'"&amp;AJ$5&amp;"'!F6:F1000"),"箱")+SUMIFS(INDIRECT("'"&amp;AJ$5&amp;"'!E6:E1000"),INDIRECT("'"&amp;AJ$5&amp;"'!C6:C1000"),$AA104,INDIRECT("'"&amp;AJ$5&amp;"'!F6:F1000"),"件"))</f>
        <v>0</v>
      </c>
      <c r="BI104">
        <f>IF(OR($AA104="",AK$5=""),0,SUMIFS(INDIRECT("'"&amp;AK$5&amp;"'!E6:E1000"),INDIRECT("'"&amp;AK$5&amp;"'!C6:C1000"),$AA104,INDIRECT("'"&amp;AK$5&amp;"'!F6:F1000"),"箱")+SUMIFS(INDIRECT("'"&amp;AK$5&amp;"'!E6:E1000"),INDIRECT("'"&amp;AK$5&amp;"'!C6:C1000"),$AA104,INDIRECT("'"&amp;AK$5&amp;"'!F6:F1000"),"件"))</f>
        <v>0</v>
      </c>
      <c r="BJ104">
        <f>IF(OR($AA104="",AL$5=""),0,SUMIFS(INDIRECT("'"&amp;AL$5&amp;"'!E6:E1000"),INDIRECT("'"&amp;AL$5&amp;"'!C6:C1000"),$AA104,INDIRECT("'"&amp;AL$5&amp;"'!F6:F1000"),"箱")+SUMIFS(INDIRECT("'"&amp;AL$5&amp;"'!E6:E1000"),INDIRECT("'"&amp;AL$5&amp;"'!C6:C1000"),$AA104,INDIRECT("'"&amp;AL$5&amp;"'!F6:F1000"),"件"))</f>
        <v>0</v>
      </c>
      <c r="BK104">
        <f>IF(OR($AA104="",AM$5=""),0,SUMIFS(INDIRECT("'"&amp;AM$5&amp;"'!E6:E1000"),INDIRECT("'"&amp;AM$5&amp;"'!C6:C1000"),$AA104,INDIRECT("'"&amp;AM$5&amp;"'!F6:F1000"),"箱")+SUMIFS(INDIRECT("'"&amp;AM$5&amp;"'!E6:E1000"),INDIRECT("'"&amp;AM$5&amp;"'!C6:C1000"),$AA104,INDIRECT("'"&amp;AM$5&amp;"'!F6:F1000"),"件"))</f>
        <v>0</v>
      </c>
      <c r="BL104">
        <f>IF(OR($AA104="",AN$5=""),0,SUMIFS(INDIRECT("'"&amp;AN$5&amp;"'!E6:E1000"),INDIRECT("'"&amp;AN$5&amp;"'!C6:C1000"),$AA104,INDIRECT("'"&amp;AN$5&amp;"'!F6:F1000"),"箱")+SUMIFS(INDIRECT("'"&amp;AN$5&amp;"'!E6:E1000"),INDIRECT("'"&amp;AN$5&amp;"'!C6:C1000"),$AA104,INDIRECT("'"&amp;AN$5&amp;"'!F6:F1000"),"件"))</f>
        <v>0</v>
      </c>
      <c r="BM104">
        <f>(AO104-BA104)/$AB104+BA104</f>
        <v>0</v>
      </c>
      <c r="BN104">
        <f>(AP104-BB104)/$AB104+BB104</f>
        <v>0</v>
      </c>
      <c r="BO104">
        <f>(AQ104-BC104)/$AB104+BC104</f>
        <v>0</v>
      </c>
      <c r="BP104">
        <f>(AR104-BD104)/$AB104+BD104</f>
        <v>0</v>
      </c>
      <c r="BQ104">
        <f>(AS104-BE104)/$AB104+BE104</f>
        <v>0</v>
      </c>
      <c r="BR104">
        <f>(AT104-BF104)/$AB104+BF104</f>
        <v>0</v>
      </c>
      <c r="BS104">
        <f>(AU104-BG104)/$AB104+BG104</f>
        <v>0</v>
      </c>
      <c r="BT104">
        <f>(AV104-BH104)/$AB104+BH104</f>
        <v>0</v>
      </c>
      <c r="BU104">
        <f>(AW104-BI104)/$AB104+BI104</f>
        <v>0</v>
      </c>
      <c r="BV104">
        <f>(AX104-BJ104)/$AB104+BJ104</f>
        <v>0</v>
      </c>
      <c r="BW104">
        <f>(AY104-BK104)/$AB104+BK104</f>
        <v>0</v>
      </c>
      <c r="BX104">
        <f>(AZ104-BL104)/$AB104+BL104</f>
        <v>0</v>
      </c>
      <c r="BY104">
        <f>SUMPRODUCT((($AC$4:$AN$4=报损汇总一览!$A$3)+(报损汇总一览!$A$3="全年"))*AC104:AN104)</f>
        <v>0</v>
      </c>
      <c r="BZ104">
        <f>IF(BY104&gt;0,BY104+(1000-ROW())/10000000,"")</f>
      </c>
      <c r="CA104">
        <f>SUMPRODUCT((($AC$4:$AN$4=报损汇总一览!$A$3)+(报损汇总一览!$A$3="全年"))*AO104:AZ104)</f>
        <v>0</v>
      </c>
    </row>
    <row r="105">
      <c r="A105">
        <f>IF(OR(存条明细!C105="",存条明细!D105=""),"",IF(COUNTIFS(存条明细!$C$4:C105,存条明细!C105,存条明细!$D$4:D105,存条明细!D105)&gt;1,"",IFERROR(MATCH(存条明细!C105,总览汇总!$B$5:$B$304,0),900)*10000000+IFERROR(MATCH(存条明细!D105,基础资料!$E$5:$E$104,0),900)*10000+ROW()))</f>
        <v>350010105</v>
      </c>
      <c r="B105">
        <f>IFERROR(MATCH(SMALL($A$4:$A$4003,102),$A$4:$A$4003,0),"")</f>
        <v>67</v>
      </c>
      <c r="D105">
        <f>IF(AND(商品库存!B105&lt;&gt;"",商品库存!B105=客户查询!$B$4),COUNTIF(商品库存!$B$4:B105,客户查询!$B$4),"")</f>
      </c>
      <c r="E105">
        <f>IF(AND(商品库存!B105&lt;&gt;"",商品库存!B105=客户对账单!$B$4),COUNTIF(商品库存!$B$4:B105,客户对账单!$B$4),"")</f>
      </c>
      <c r="F105">
        <f>IF(AND(出库明细!C105&lt;&gt;"",出库明细!C105=客户对账单!$B$4,ISNUMBER(出库明细!B105),出库明细!B105&gt;=客户对账单!$G$4,出库明细!B105&lt;=客户对账单!$I$4),出库明细!B105+ROW()/100000,"")</f>
      </c>
      <c r="H105">
        <f>IF(AND(采购进货!C105&lt;&gt;"",采购进货!C105=供应商对账单!$B$4,ISNUMBER(采购进货!B105),采购进货!B105&gt;=供应商对账单!$G$4,采购进货!B105&lt;=供应商对账单!$I$4),采购进货!B105+ROW()/100000,"")</f>
      </c>
      <c r="J105">
        <f>IF(总览汇总!$B105="","",N(总览汇总!$K105)+SUMIFS(出库明细!$G$4:$G$3003,出库明细!$C$4:$C$3003,总览汇总!$B105,出库明细!$B$4:$B$3003,"&gt;="&amp;年初日,出库明细!$B$4:$B$3003,"&lt;="&amp;资产负债表!$D$3)-SUMIFS(资金台帐!$S$7:$S$3006,资金台帐!$J$7:$J$3006,总览汇总!$B105,资金台帐!$P$7:$P$3006,"应收",资金台帐!$B$7:$B$3006,"&gt;="&amp;年初日,资金台帐!$B$7:$B$3006,"&lt;="&amp;资产负债表!$D$3))</f>
      </c>
      <c r="N105">
        <f>IF(AND(ISNUMBER(出库明细!G105),ISNUMBER(出库明细!E105),ISNUMBER(出库明细!F105)),IF(ABS(出库明细!G105-出库明细!E105*出库明细!F105)&gt;0.005,1,0),0)</f>
        <v>0</v>
      </c>
      <c r="O105">
        <f>IF(AND(ISNUMBER(存条明细!G105),ISNUMBER(存条明细!E105),ISNUMBER(存条明细!F105)),IF(ABS(存条明细!G105-存条明细!E105*存条明细!F105)&gt;0.005,1,0),0)</f>
        <v>0</v>
      </c>
      <c r="AA105">
        <f>IF(基础资料!G104="","",基础资料!G104&amp;"")</f>
      </c>
      <c r="AB105">
        <f>IF(N(基础资料!I104)&lt;=0,1,基础资料!I104)</f>
        <v>1</v>
      </c>
      <c r="AC105">
        <f>IF(OR($AA105="",AC$5=""),0,SUMIF(INDIRECT("'"&amp;AC$5&amp;"'!C6:C1000"),$AA105,INDIRECT("'"&amp;AC$5&amp;"'!H6:H1000")))</f>
        <v>0</v>
      </c>
      <c r="AD105">
        <f>IF(OR($AA105="",AD$5=""),0,SUMIF(INDIRECT("'"&amp;AD$5&amp;"'!C6:C1000"),$AA105,INDIRECT("'"&amp;AD$5&amp;"'!H6:H1000")))</f>
        <v>0</v>
      </c>
      <c r="AE105">
        <f>IF(OR($AA105="",AE$5=""),0,SUMIF(INDIRECT("'"&amp;AE$5&amp;"'!C6:C1000"),$AA105,INDIRECT("'"&amp;AE$5&amp;"'!H6:H1000")))</f>
        <v>0</v>
      </c>
      <c r="AF105">
        <f>IF(OR($AA105="",AF$5=""),0,SUMIF(INDIRECT("'"&amp;AF$5&amp;"'!C6:C1000"),$AA105,INDIRECT("'"&amp;AF$5&amp;"'!H6:H1000")))</f>
        <v>0</v>
      </c>
      <c r="AG105">
        <f>IF(OR($AA105="",AG$5=""),0,SUMIF(INDIRECT("'"&amp;AG$5&amp;"'!C6:C1000"),$AA105,INDIRECT("'"&amp;AG$5&amp;"'!H6:H1000")))</f>
        <v>0</v>
      </c>
      <c r="AH105">
        <f>IF(OR($AA105="",AH$5=""),0,SUMIF(INDIRECT("'"&amp;AH$5&amp;"'!C6:C1000"),$AA105,INDIRECT("'"&amp;AH$5&amp;"'!H6:H1000")))</f>
        <v>0</v>
      </c>
      <c r="AI105">
        <f>IF(OR($AA105="",AI$5=""),0,SUMIF(INDIRECT("'"&amp;AI$5&amp;"'!C6:C1000"),$AA105,INDIRECT("'"&amp;AI$5&amp;"'!H6:H1000")))</f>
        <v>0</v>
      </c>
      <c r="AJ105">
        <f>IF(OR($AA105="",AJ$5=""),0,SUMIF(INDIRECT("'"&amp;AJ$5&amp;"'!C6:C1000"),$AA105,INDIRECT("'"&amp;AJ$5&amp;"'!H6:H1000")))</f>
        <v>0</v>
      </c>
      <c r="AK105">
        <f>IF(OR($AA105="",AK$5=""),0,SUMIF(INDIRECT("'"&amp;AK$5&amp;"'!C6:C1000"),$AA105,INDIRECT("'"&amp;AK$5&amp;"'!H6:H1000")))</f>
        <v>0</v>
      </c>
      <c r="AL105">
        <f>IF(OR($AA105="",AL$5=""),0,SUMIF(INDIRECT("'"&amp;AL$5&amp;"'!C6:C1000"),$AA105,INDIRECT("'"&amp;AL$5&amp;"'!H6:H1000")))</f>
        <v>0</v>
      </c>
      <c r="AM105">
        <f>IF(OR($AA105="",AM$5=""),0,SUMIF(INDIRECT("'"&amp;AM$5&amp;"'!C6:C1000"),$AA105,INDIRECT("'"&amp;AM$5&amp;"'!H6:H1000")))</f>
        <v>0</v>
      </c>
      <c r="AN105">
        <f>IF(OR($AA105="",AN$5=""),0,SUMIF(INDIRECT("'"&amp;AN$5&amp;"'!C6:C1000"),$AA105,INDIRECT("'"&amp;AN$5&amp;"'!H6:H1000")))</f>
        <v>0</v>
      </c>
      <c r="AO105">
        <f>IF(OR($AA105="",AC$5=""),0,SUMIF(INDIRECT("'"&amp;AC$5&amp;"'!C6:C1000"),$AA105,INDIRECT("'"&amp;AC$5&amp;"'!E6:E1000")))</f>
        <v>0</v>
      </c>
      <c r="AP105">
        <f>IF(OR($AA105="",AD$5=""),0,SUMIF(INDIRECT("'"&amp;AD$5&amp;"'!C6:C1000"),$AA105,INDIRECT("'"&amp;AD$5&amp;"'!E6:E1000")))</f>
        <v>0</v>
      </c>
      <c r="AQ105">
        <f>IF(OR($AA105="",AE$5=""),0,SUMIF(INDIRECT("'"&amp;AE$5&amp;"'!C6:C1000"),$AA105,INDIRECT("'"&amp;AE$5&amp;"'!E6:E1000")))</f>
        <v>0</v>
      </c>
      <c r="AR105">
        <f>IF(OR($AA105="",AF$5=""),0,SUMIF(INDIRECT("'"&amp;AF$5&amp;"'!C6:C1000"),$AA105,INDIRECT("'"&amp;AF$5&amp;"'!E6:E1000")))</f>
        <v>0</v>
      </c>
      <c r="AS105">
        <f>IF(OR($AA105="",AG$5=""),0,SUMIF(INDIRECT("'"&amp;AG$5&amp;"'!C6:C1000"),$AA105,INDIRECT("'"&amp;AG$5&amp;"'!E6:E1000")))</f>
        <v>0</v>
      </c>
      <c r="AT105">
        <f>IF(OR($AA105="",AH$5=""),0,SUMIF(INDIRECT("'"&amp;AH$5&amp;"'!C6:C1000"),$AA105,INDIRECT("'"&amp;AH$5&amp;"'!E6:E1000")))</f>
        <v>0</v>
      </c>
      <c r="AU105">
        <f>IF(OR($AA105="",AI$5=""),0,SUMIF(INDIRECT("'"&amp;AI$5&amp;"'!C6:C1000"),$AA105,INDIRECT("'"&amp;AI$5&amp;"'!E6:E1000")))</f>
        <v>0</v>
      </c>
      <c r="AV105">
        <f>IF(OR($AA105="",AJ$5=""),0,SUMIF(INDIRECT("'"&amp;AJ$5&amp;"'!C6:C1000"),$AA105,INDIRECT("'"&amp;AJ$5&amp;"'!E6:E1000")))</f>
        <v>0</v>
      </c>
      <c r="AW105">
        <f>IF(OR($AA105="",AK$5=""),0,SUMIF(INDIRECT("'"&amp;AK$5&amp;"'!C6:C1000"),$AA105,INDIRECT("'"&amp;AK$5&amp;"'!E6:E1000")))</f>
        <v>0</v>
      </c>
      <c r="AX105">
        <f>IF(OR($AA105="",AL$5=""),0,SUMIF(INDIRECT("'"&amp;AL$5&amp;"'!C6:C1000"),$AA105,INDIRECT("'"&amp;AL$5&amp;"'!E6:E1000")))</f>
        <v>0</v>
      </c>
      <c r="AY105">
        <f>IF(OR($AA105="",AM$5=""),0,SUMIF(INDIRECT("'"&amp;AM$5&amp;"'!C6:C1000"),$AA105,INDIRECT("'"&amp;AM$5&amp;"'!E6:E1000")))</f>
        <v>0</v>
      </c>
      <c r="AZ105">
        <f>IF(OR($AA105="",AN$5=""),0,SUMIF(INDIRECT("'"&amp;AN$5&amp;"'!C6:C1000"),$AA105,INDIRECT("'"&amp;AN$5&amp;"'!E6:E1000")))</f>
        <v>0</v>
      </c>
      <c r="BA105">
        <f>IF(OR($AA105="",AC$5=""),0,SUMIFS(INDIRECT("'"&amp;AC$5&amp;"'!E6:E1000"),INDIRECT("'"&amp;AC$5&amp;"'!C6:C1000"),$AA105,INDIRECT("'"&amp;AC$5&amp;"'!F6:F1000"),"箱")+SUMIFS(INDIRECT("'"&amp;AC$5&amp;"'!E6:E1000"),INDIRECT("'"&amp;AC$5&amp;"'!C6:C1000"),$AA105,INDIRECT("'"&amp;AC$5&amp;"'!F6:F1000"),"件"))</f>
        <v>0</v>
      </c>
      <c r="BB105">
        <f>IF(OR($AA105="",AD$5=""),0,SUMIFS(INDIRECT("'"&amp;AD$5&amp;"'!E6:E1000"),INDIRECT("'"&amp;AD$5&amp;"'!C6:C1000"),$AA105,INDIRECT("'"&amp;AD$5&amp;"'!F6:F1000"),"箱")+SUMIFS(INDIRECT("'"&amp;AD$5&amp;"'!E6:E1000"),INDIRECT("'"&amp;AD$5&amp;"'!C6:C1000"),$AA105,INDIRECT("'"&amp;AD$5&amp;"'!F6:F1000"),"件"))</f>
        <v>0</v>
      </c>
      <c r="BC105">
        <f>IF(OR($AA105="",AE$5=""),0,SUMIFS(INDIRECT("'"&amp;AE$5&amp;"'!E6:E1000"),INDIRECT("'"&amp;AE$5&amp;"'!C6:C1000"),$AA105,INDIRECT("'"&amp;AE$5&amp;"'!F6:F1000"),"箱")+SUMIFS(INDIRECT("'"&amp;AE$5&amp;"'!E6:E1000"),INDIRECT("'"&amp;AE$5&amp;"'!C6:C1000"),$AA105,INDIRECT("'"&amp;AE$5&amp;"'!F6:F1000"),"件"))</f>
        <v>0</v>
      </c>
      <c r="BD105">
        <f>IF(OR($AA105="",AF$5=""),0,SUMIFS(INDIRECT("'"&amp;AF$5&amp;"'!E6:E1000"),INDIRECT("'"&amp;AF$5&amp;"'!C6:C1000"),$AA105,INDIRECT("'"&amp;AF$5&amp;"'!F6:F1000"),"箱")+SUMIFS(INDIRECT("'"&amp;AF$5&amp;"'!E6:E1000"),INDIRECT("'"&amp;AF$5&amp;"'!C6:C1000"),$AA105,INDIRECT("'"&amp;AF$5&amp;"'!F6:F1000"),"件"))</f>
        <v>0</v>
      </c>
      <c r="BE105">
        <f>IF(OR($AA105="",AG$5=""),0,SUMIFS(INDIRECT("'"&amp;AG$5&amp;"'!E6:E1000"),INDIRECT("'"&amp;AG$5&amp;"'!C6:C1000"),$AA105,INDIRECT("'"&amp;AG$5&amp;"'!F6:F1000"),"箱")+SUMIFS(INDIRECT("'"&amp;AG$5&amp;"'!E6:E1000"),INDIRECT("'"&amp;AG$5&amp;"'!C6:C1000"),$AA105,INDIRECT("'"&amp;AG$5&amp;"'!F6:F1000"),"件"))</f>
        <v>0</v>
      </c>
      <c r="BF105">
        <f>IF(OR($AA105="",AH$5=""),0,SUMIFS(INDIRECT("'"&amp;AH$5&amp;"'!E6:E1000"),INDIRECT("'"&amp;AH$5&amp;"'!C6:C1000"),$AA105,INDIRECT("'"&amp;AH$5&amp;"'!F6:F1000"),"箱")+SUMIFS(INDIRECT("'"&amp;AH$5&amp;"'!E6:E1000"),INDIRECT("'"&amp;AH$5&amp;"'!C6:C1000"),$AA105,INDIRECT("'"&amp;AH$5&amp;"'!F6:F1000"),"件"))</f>
        <v>0</v>
      </c>
      <c r="BG105">
        <f>IF(OR($AA105="",AI$5=""),0,SUMIFS(INDIRECT("'"&amp;AI$5&amp;"'!E6:E1000"),INDIRECT("'"&amp;AI$5&amp;"'!C6:C1000"),$AA105,INDIRECT("'"&amp;AI$5&amp;"'!F6:F1000"),"箱")+SUMIFS(INDIRECT("'"&amp;AI$5&amp;"'!E6:E1000"),INDIRECT("'"&amp;AI$5&amp;"'!C6:C1000"),$AA105,INDIRECT("'"&amp;AI$5&amp;"'!F6:F1000"),"件"))</f>
        <v>0</v>
      </c>
      <c r="BH105">
        <f>IF(OR($AA105="",AJ$5=""),0,SUMIFS(INDIRECT("'"&amp;AJ$5&amp;"'!E6:E1000"),INDIRECT("'"&amp;AJ$5&amp;"'!C6:C1000"),$AA105,INDIRECT("'"&amp;AJ$5&amp;"'!F6:F1000"),"箱")+SUMIFS(INDIRECT("'"&amp;AJ$5&amp;"'!E6:E1000"),INDIRECT("'"&amp;AJ$5&amp;"'!C6:C1000"),$AA105,INDIRECT("'"&amp;AJ$5&amp;"'!F6:F1000"),"件"))</f>
        <v>0</v>
      </c>
      <c r="BI105">
        <f>IF(OR($AA105="",AK$5=""),0,SUMIFS(INDIRECT("'"&amp;AK$5&amp;"'!E6:E1000"),INDIRECT("'"&amp;AK$5&amp;"'!C6:C1000"),$AA105,INDIRECT("'"&amp;AK$5&amp;"'!F6:F1000"),"箱")+SUMIFS(INDIRECT("'"&amp;AK$5&amp;"'!E6:E1000"),INDIRECT("'"&amp;AK$5&amp;"'!C6:C1000"),$AA105,INDIRECT("'"&amp;AK$5&amp;"'!F6:F1000"),"件"))</f>
        <v>0</v>
      </c>
      <c r="BJ105">
        <f>IF(OR($AA105="",AL$5=""),0,SUMIFS(INDIRECT("'"&amp;AL$5&amp;"'!E6:E1000"),INDIRECT("'"&amp;AL$5&amp;"'!C6:C1000"),$AA105,INDIRECT("'"&amp;AL$5&amp;"'!F6:F1000"),"箱")+SUMIFS(INDIRECT("'"&amp;AL$5&amp;"'!E6:E1000"),INDIRECT("'"&amp;AL$5&amp;"'!C6:C1000"),$AA105,INDIRECT("'"&amp;AL$5&amp;"'!F6:F1000"),"件"))</f>
        <v>0</v>
      </c>
      <c r="BK105">
        <f>IF(OR($AA105="",AM$5=""),0,SUMIFS(INDIRECT("'"&amp;AM$5&amp;"'!E6:E1000"),INDIRECT("'"&amp;AM$5&amp;"'!C6:C1000"),$AA105,INDIRECT("'"&amp;AM$5&amp;"'!F6:F1000"),"箱")+SUMIFS(INDIRECT("'"&amp;AM$5&amp;"'!E6:E1000"),INDIRECT("'"&amp;AM$5&amp;"'!C6:C1000"),$AA105,INDIRECT("'"&amp;AM$5&amp;"'!F6:F1000"),"件"))</f>
        <v>0</v>
      </c>
      <c r="BL105">
        <f>IF(OR($AA105="",AN$5=""),0,SUMIFS(INDIRECT("'"&amp;AN$5&amp;"'!E6:E1000"),INDIRECT("'"&amp;AN$5&amp;"'!C6:C1000"),$AA105,INDIRECT("'"&amp;AN$5&amp;"'!F6:F1000"),"箱")+SUMIFS(INDIRECT("'"&amp;AN$5&amp;"'!E6:E1000"),INDIRECT("'"&amp;AN$5&amp;"'!C6:C1000"),$AA105,INDIRECT("'"&amp;AN$5&amp;"'!F6:F1000"),"件"))</f>
        <v>0</v>
      </c>
      <c r="BM105">
        <f>(AO105-BA105)/$AB105+BA105</f>
        <v>0</v>
      </c>
      <c r="BN105">
        <f>(AP105-BB105)/$AB105+BB105</f>
        <v>0</v>
      </c>
      <c r="BO105">
        <f>(AQ105-BC105)/$AB105+BC105</f>
        <v>0</v>
      </c>
      <c r="BP105">
        <f>(AR105-BD105)/$AB105+BD105</f>
        <v>0</v>
      </c>
      <c r="BQ105">
        <f>(AS105-BE105)/$AB105+BE105</f>
        <v>0</v>
      </c>
      <c r="BR105">
        <f>(AT105-BF105)/$AB105+BF105</f>
        <v>0</v>
      </c>
      <c r="BS105">
        <f>(AU105-BG105)/$AB105+BG105</f>
        <v>0</v>
      </c>
      <c r="BT105">
        <f>(AV105-BH105)/$AB105+BH105</f>
        <v>0</v>
      </c>
      <c r="BU105">
        <f>(AW105-BI105)/$AB105+BI105</f>
        <v>0</v>
      </c>
      <c r="BV105">
        <f>(AX105-BJ105)/$AB105+BJ105</f>
        <v>0</v>
      </c>
      <c r="BW105">
        <f>(AY105-BK105)/$AB105+BK105</f>
        <v>0</v>
      </c>
      <c r="BX105">
        <f>(AZ105-BL105)/$AB105+BL105</f>
        <v>0</v>
      </c>
      <c r="BY105">
        <f>SUMPRODUCT((($AC$4:$AN$4=报损汇总一览!$A$3)+(报损汇总一览!$A$3="全年"))*AC105:AN105)</f>
        <v>0</v>
      </c>
      <c r="BZ105">
        <f>IF(BY105&gt;0,BY105+(1000-ROW())/10000000,"")</f>
      </c>
      <c r="CA105">
        <f>SUMPRODUCT((($AC$4:$AN$4=报损汇总一览!$A$3)+(报损汇总一览!$A$3="全年"))*AO105:AZ105)</f>
        <v>0</v>
      </c>
    </row>
    <row r="106">
      <c r="A106">
        <f>IF(OR(存条明细!C106="",存条明细!D106=""),"",IF(COUNTIFS(存条明细!$C$4:C106,存条明细!C106,存条明细!$D$4:D106,存条明细!D106)&gt;1,"",IFERROR(MATCH(存条明细!C106,总览汇总!$B$5:$B$304,0),900)*10000000+IFERROR(MATCH(存条明细!D106,基础资料!$E$5:$E$104,0),900)*10000+ROW()))</f>
        <v>380010106</v>
      </c>
      <c r="B106">
        <f>IFERROR(MATCH(SMALL($A$4:$A$4003,103),$A$4:$A$4003,0),"")</f>
        <v>69</v>
      </c>
      <c r="D106">
        <f>IF(AND(商品库存!B106&lt;&gt;"",商品库存!B106=客户查询!$B$4),COUNTIF(商品库存!$B$4:B106,客户查询!$B$4),"")</f>
      </c>
      <c r="E106">
        <f>IF(AND(商品库存!B106&lt;&gt;"",商品库存!B106=客户对账单!$B$4),COUNTIF(商品库存!$B$4:B106,客户对账单!$B$4),"")</f>
      </c>
      <c r="F106">
        <f>IF(AND(出库明细!C106&lt;&gt;"",出库明细!C106=客户对账单!$B$4,ISNUMBER(出库明细!B106),出库明细!B106&gt;=客户对账单!$G$4,出库明细!B106&lt;=客户对账单!$I$4),出库明细!B106+ROW()/100000,"")</f>
      </c>
      <c r="H106">
        <f>IF(AND(采购进货!C106&lt;&gt;"",采购进货!C106=供应商对账单!$B$4,ISNUMBER(采购进货!B106),采购进货!B106&gt;=供应商对账单!$G$4,采购进货!B106&lt;=供应商对账单!$I$4),采购进货!B106+ROW()/100000,"")</f>
      </c>
      <c r="J106">
        <f>IF(总览汇总!$B106="","",N(总览汇总!$K106)+SUMIFS(出库明细!$G$4:$G$3003,出库明细!$C$4:$C$3003,总览汇总!$B106,出库明细!$B$4:$B$3003,"&gt;="&amp;年初日,出库明细!$B$4:$B$3003,"&lt;="&amp;资产负债表!$D$3)-SUMIFS(资金台帐!$S$7:$S$3006,资金台帐!$J$7:$J$3006,总览汇总!$B106,资金台帐!$P$7:$P$3006,"应收",资金台帐!$B$7:$B$3006,"&gt;="&amp;年初日,资金台帐!$B$7:$B$3006,"&lt;="&amp;资产负债表!$D$3))</f>
      </c>
      <c r="N106">
        <f>IF(AND(ISNUMBER(出库明细!G106),ISNUMBER(出库明细!E106),ISNUMBER(出库明细!F106)),IF(ABS(出库明细!G106-出库明细!E106*出库明细!F106)&gt;0.005,1,0),0)</f>
        <v>0</v>
      </c>
      <c r="O106">
        <f>IF(AND(ISNUMBER(存条明细!G106),ISNUMBER(存条明细!E106),ISNUMBER(存条明细!F106)),IF(ABS(存条明细!G106-存条明细!E106*存条明细!F106)&gt;0.005,1,0),0)</f>
        <v>0</v>
      </c>
    </row>
    <row r="107">
      <c r="A107">
        <f>IF(OR(存条明细!C107="",存条明细!D107=""),"",IF(COUNTIFS(存条明细!$C$4:C107,存条明细!C107,存条明细!$D$4:D107,存条明细!D107)&gt;1,"",IFERROR(MATCH(存条明细!C107,总览汇总!$B$5:$B$304,0),900)*10000000+IFERROR(MATCH(存条明细!D107,基础资料!$E$5:$E$104,0),900)*10000+ROW()))</f>
        <v>380040107</v>
      </c>
      <c r="B107">
        <f>IFERROR(MATCH(SMALL($A$4:$A$4003,104),$A$4:$A$4003,0),"")</f>
        <v>78</v>
      </c>
      <c r="D107">
        <f>IF(AND(商品库存!B107&lt;&gt;"",商品库存!B107=客户查询!$B$4),COUNTIF(商品库存!$B$4:B107,客户查询!$B$4),"")</f>
      </c>
      <c r="E107">
        <f>IF(AND(商品库存!B107&lt;&gt;"",商品库存!B107=客户对账单!$B$4),COUNTIF(商品库存!$B$4:B107,客户对账单!$B$4),"")</f>
      </c>
      <c r="F107">
        <f>IF(AND(出库明细!C107&lt;&gt;"",出库明细!C107=客户对账单!$B$4,ISNUMBER(出库明细!B107),出库明细!B107&gt;=客户对账单!$G$4,出库明细!B107&lt;=客户对账单!$I$4),出库明细!B107+ROW()/100000,"")</f>
      </c>
      <c r="H107">
        <f>IF(AND(采购进货!C107&lt;&gt;"",采购进货!C107=供应商对账单!$B$4,ISNUMBER(采购进货!B107),采购进货!B107&gt;=供应商对账单!$G$4,采购进货!B107&lt;=供应商对账单!$I$4),采购进货!B107+ROW()/100000,"")</f>
      </c>
      <c r="J107">
        <f>IF(总览汇总!$B107="","",N(总览汇总!$K107)+SUMIFS(出库明细!$G$4:$G$3003,出库明细!$C$4:$C$3003,总览汇总!$B107,出库明细!$B$4:$B$3003,"&gt;="&amp;年初日,出库明细!$B$4:$B$3003,"&lt;="&amp;资产负债表!$D$3)-SUMIFS(资金台帐!$S$7:$S$3006,资金台帐!$J$7:$J$3006,总览汇总!$B107,资金台帐!$P$7:$P$3006,"应收",资金台帐!$B$7:$B$3006,"&gt;="&amp;年初日,资金台帐!$B$7:$B$3006,"&lt;="&amp;资产负债表!$D$3))</f>
      </c>
      <c r="N107">
        <f>IF(AND(ISNUMBER(出库明细!G107),ISNUMBER(出库明细!E107),ISNUMBER(出库明细!F107)),IF(ABS(出库明细!G107-出库明细!E107*出库明细!F107)&gt;0.005,1,0),0)</f>
        <v>0</v>
      </c>
      <c r="O107">
        <f>IF(AND(ISNUMBER(存条明细!G107),ISNUMBER(存条明细!E107),ISNUMBER(存条明细!F107)),IF(ABS(存条明细!G107-存条明细!E107*存条明细!F107)&gt;0.005,1,0),0)</f>
        <v>0</v>
      </c>
    </row>
    <row r="108">
      <c r="A108">
        <f>IF(OR(存条明细!C108="",存条明细!D108=""),"",IF(COUNTIFS(存条明细!$C$4:C108,存条明细!C108,存条明细!$D$4:D108,存条明细!D108)&gt;1,"",IFERROR(MATCH(存条明细!C108,总览汇总!$B$5:$B$304,0),900)*10000000+IFERROR(MATCH(存条明细!D108,基础资料!$E$5:$E$104,0),900)*10000+ROW()))</f>
        <v>380030108</v>
      </c>
      <c r="B108">
        <f>IFERROR(MATCH(SMALL($A$4:$A$4003,105),$A$4:$A$4003,0),"")</f>
        <v>79</v>
      </c>
      <c r="D108">
        <f>IF(AND(商品库存!B108&lt;&gt;"",商品库存!B108=客户查询!$B$4),COUNTIF(商品库存!$B$4:B108,客户查询!$B$4),"")</f>
      </c>
      <c r="E108">
        <f>IF(AND(商品库存!B108&lt;&gt;"",商品库存!B108=客户对账单!$B$4),COUNTIF(商品库存!$B$4:B108,客户对账单!$B$4),"")</f>
      </c>
      <c r="F108">
        <f>IF(AND(出库明细!C108&lt;&gt;"",出库明细!C108=客户对账单!$B$4,ISNUMBER(出库明细!B108),出库明细!B108&gt;=客户对账单!$G$4,出库明细!B108&lt;=客户对账单!$I$4),出库明细!B108+ROW()/100000,"")</f>
      </c>
      <c r="H108">
        <f>IF(AND(采购进货!C108&lt;&gt;"",采购进货!C108=供应商对账单!$B$4,ISNUMBER(采购进货!B108),采购进货!B108&gt;=供应商对账单!$G$4,采购进货!B108&lt;=供应商对账单!$I$4),采购进货!B108+ROW()/100000,"")</f>
      </c>
      <c r="J108">
        <f>IF(总览汇总!$B108="","",N(总览汇总!$K108)+SUMIFS(出库明细!$G$4:$G$3003,出库明细!$C$4:$C$3003,总览汇总!$B108,出库明细!$B$4:$B$3003,"&gt;="&amp;年初日,出库明细!$B$4:$B$3003,"&lt;="&amp;资产负债表!$D$3)-SUMIFS(资金台帐!$S$7:$S$3006,资金台帐!$J$7:$J$3006,总览汇总!$B108,资金台帐!$P$7:$P$3006,"应收",资金台帐!$B$7:$B$3006,"&gt;="&amp;年初日,资金台帐!$B$7:$B$3006,"&lt;="&amp;资产负债表!$D$3))</f>
      </c>
      <c r="N108">
        <f>IF(AND(ISNUMBER(出库明细!G108),ISNUMBER(出库明细!E108),ISNUMBER(出库明细!F108)),IF(ABS(出库明细!G108-出库明细!E108*出库明细!F108)&gt;0.005,1,0),0)</f>
        <v>0</v>
      </c>
      <c r="O108">
        <f>IF(AND(ISNUMBER(存条明细!G108),ISNUMBER(存条明细!E108),ISNUMBER(存条明细!F108)),IF(ABS(存条明细!G108-存条明细!E108*存条明细!F108)&gt;0.005,1,0),0)</f>
        <v>0</v>
      </c>
    </row>
    <row r="109">
      <c r="A109">
        <f>IF(OR(存条明细!C109="",存条明细!D109=""),"",IF(COUNTIFS(存条明细!$C$4:C109,存条明细!C109,存条明细!$D$4:D109,存条明细!D109)&gt;1,"",IFERROR(MATCH(存条明细!C109,总览汇总!$B$5:$B$304,0),900)*10000000+IFERROR(MATCH(存条明细!D109,基础资料!$E$5:$E$104,0),900)*10000+ROW()))</f>
        <v>390010109</v>
      </c>
      <c r="B109">
        <f>IFERROR(MATCH(SMALL($A$4:$A$4003,106),$A$4:$A$4003,0),"")</f>
        <v>80</v>
      </c>
      <c r="D109">
        <f>IF(AND(商品库存!B109&lt;&gt;"",商品库存!B109=客户查询!$B$4),COUNTIF(商品库存!$B$4:B109,客户查询!$B$4),"")</f>
      </c>
      <c r="E109">
        <f>IF(AND(商品库存!B109&lt;&gt;"",商品库存!B109=客户对账单!$B$4),COUNTIF(商品库存!$B$4:B109,客户对账单!$B$4),"")</f>
      </c>
      <c r="F109">
        <f>IF(AND(出库明细!C109&lt;&gt;"",出库明细!C109=客户对账单!$B$4,ISNUMBER(出库明细!B109),出库明细!B109&gt;=客户对账单!$G$4,出库明细!B109&lt;=客户对账单!$I$4),出库明细!B109+ROW()/100000,"")</f>
      </c>
      <c r="H109">
        <f>IF(AND(采购进货!C109&lt;&gt;"",采购进货!C109=供应商对账单!$B$4,ISNUMBER(采购进货!B109),采购进货!B109&gt;=供应商对账单!$G$4,采购进货!B109&lt;=供应商对账单!$I$4),采购进货!B109+ROW()/100000,"")</f>
      </c>
      <c r="J109">
        <f>IF(总览汇总!$B109="","",N(总览汇总!$K109)+SUMIFS(出库明细!$G$4:$G$3003,出库明细!$C$4:$C$3003,总览汇总!$B109,出库明细!$B$4:$B$3003,"&gt;="&amp;年初日,出库明细!$B$4:$B$3003,"&lt;="&amp;资产负债表!$D$3)-SUMIFS(资金台帐!$S$7:$S$3006,资金台帐!$J$7:$J$3006,总览汇总!$B109,资金台帐!$P$7:$P$3006,"应收",资金台帐!$B$7:$B$3006,"&gt;="&amp;年初日,资金台帐!$B$7:$B$3006,"&lt;="&amp;资产负债表!$D$3))</f>
      </c>
      <c r="N109">
        <f>IF(AND(ISNUMBER(出库明细!G109),ISNUMBER(出库明细!E109),ISNUMBER(出库明细!F109)),IF(ABS(出库明细!G109-出库明细!E109*出库明细!F109)&gt;0.005,1,0),0)</f>
        <v>0</v>
      </c>
      <c r="O109">
        <f>IF(AND(ISNUMBER(存条明细!G109),ISNUMBER(存条明细!E109),ISNUMBER(存条明细!F109)),IF(ABS(存条明细!G109-存条明细!E109*存条明细!F109)&gt;0.005,1,0),0)</f>
        <v>0</v>
      </c>
      <c r="AA109" s="78" t="inlineStr">
        <is>
          <t>报损中转站：每家公司每月报损金额</t>
        </is>
      </c>
    </row>
    <row r="110">
      <c r="A110">
        <f>IF(OR(存条明细!C110="",存条明细!D110=""),"",IF(COUNTIFS(存条明细!$C$4:C110,存条明细!C110,存条明细!$D$4:D110,存条明细!D110)&gt;1,"",IFERROR(MATCH(存条明细!C110,总览汇总!$B$5:$B$304,0),900)*10000000+IFERROR(MATCH(存条明细!D110,基础资料!$E$5:$E$104,0),900)*10000+ROW()))</f>
        <v>400010110</v>
      </c>
      <c r="B110">
        <f>IFERROR(MATCH(SMALL($A$4:$A$4003,107),$A$4:$A$4003,0),"")</f>
        <v>83</v>
      </c>
      <c r="D110">
        <f>IF(AND(商品库存!B110&lt;&gt;"",商品库存!B110=客户查询!$B$4),COUNTIF(商品库存!$B$4:B110,客户查询!$B$4),"")</f>
      </c>
      <c r="E110">
        <f>IF(AND(商品库存!B110&lt;&gt;"",商品库存!B110=客户对账单!$B$4),COUNTIF(商品库存!$B$4:B110,客户对账单!$B$4),"")</f>
      </c>
      <c r="F110">
        <f>IF(AND(出库明细!C110&lt;&gt;"",出库明细!C110=客户对账单!$B$4,ISNUMBER(出库明细!B110),出库明细!B110&gt;=客户对账单!$G$4,出库明细!B110&lt;=客户对账单!$I$4),出库明细!B110+ROW()/100000,"")</f>
      </c>
      <c r="H110">
        <f>IF(AND(采购进货!C110&lt;&gt;"",采购进货!C110=供应商对账单!$B$4,ISNUMBER(采购进货!B110),采购进货!B110&gt;=供应商对账单!$G$4,采购进货!B110&lt;=供应商对账单!$I$4),采购进货!B110+ROW()/100000,"")</f>
      </c>
      <c r="J110">
        <f>IF(总览汇总!$B110="","",N(总览汇总!$K110)+SUMIFS(出库明细!$G$4:$G$3003,出库明细!$C$4:$C$3003,总览汇总!$B110,出库明细!$B$4:$B$3003,"&gt;="&amp;年初日,出库明细!$B$4:$B$3003,"&lt;="&amp;资产负债表!$D$3)-SUMIFS(资金台帐!$S$7:$S$3006,资金台帐!$J$7:$J$3006,总览汇总!$B110,资金台帐!$P$7:$P$3006,"应收",资金台帐!$B$7:$B$3006,"&gt;="&amp;年初日,资金台帐!$B$7:$B$3006,"&lt;="&amp;资产负债表!$D$3))</f>
      </c>
      <c r="N110">
        <f>IF(AND(ISNUMBER(出库明细!G110),ISNUMBER(出库明细!E110),ISNUMBER(出库明细!F110)),IF(ABS(出库明细!G110-出库明细!E110*出库明细!F110)&gt;0.005,1,0),0)</f>
        <v>0</v>
      </c>
      <c r="O110">
        <f>IF(AND(ISNUMBER(存条明细!G110),ISNUMBER(存条明细!E110),ISNUMBER(存条明细!F110)),IF(ABS(存条明细!G110-存条明细!E110*存条明细!F110)&gt;0.005,1,0),0)</f>
        <v>0</v>
      </c>
      <c r="AA110" t="str">
        <f>IF(基础资料!Q5="","",基础资料!Q5&amp;"")</f>
        <v>东鹏公司</v>
      </c>
      <c r="AC110">
        <f>IF(OR($AA110="",AC$5=""),0,SUMIF(INDIRECT("'"&amp;AC$5&amp;"'!B6:B1000"),$AA110,INDIRECT("'"&amp;AC$5&amp;"'!H6:H1000")))</f>
        <v>0</v>
      </c>
      <c r="AD110">
        <f>IF(OR($AA110="",AD$5=""),0,SUMIF(INDIRECT("'"&amp;AD$5&amp;"'!B6:B1000"),$AA110,INDIRECT("'"&amp;AD$5&amp;"'!H6:H1000")))</f>
        <v>0</v>
      </c>
      <c r="AE110">
        <f>IF(OR($AA110="",AE$5=""),0,SUMIF(INDIRECT("'"&amp;AE$5&amp;"'!B6:B1000"),$AA110,INDIRECT("'"&amp;AE$5&amp;"'!H6:H1000")))</f>
        <v>0</v>
      </c>
      <c r="AF110">
        <f>IF(OR($AA110="",AF$5=""),0,SUMIF(INDIRECT("'"&amp;AF$5&amp;"'!B6:B1000"),$AA110,INDIRECT("'"&amp;AF$5&amp;"'!H6:H1000")))</f>
        <v>0</v>
      </c>
      <c r="AG110">
        <f>IF(OR($AA110="",AG$5=""),0,SUMIF(INDIRECT("'"&amp;AG$5&amp;"'!B6:B1000"),$AA110,INDIRECT("'"&amp;AG$5&amp;"'!H6:H1000")))</f>
        <v>0</v>
      </c>
      <c r="AH110">
        <f>IF(OR($AA110="",AH$5=""),0,SUMIF(INDIRECT("'"&amp;AH$5&amp;"'!B6:B1000"),$AA110,INDIRECT("'"&amp;AH$5&amp;"'!H6:H1000")))</f>
        <v>807.394</v>
      </c>
      <c r="AI110">
        <f>IF(OR($AA110="",AI$5=""),0,SUMIF(INDIRECT("'"&amp;AI$5&amp;"'!B6:B1000"),$AA110,INDIRECT("'"&amp;AI$5&amp;"'!H6:H1000")))</f>
        <v>0</v>
      </c>
      <c r="AJ110">
        <f>IF(OR($AA110="",AJ$5=""),0,SUMIF(INDIRECT("'"&amp;AJ$5&amp;"'!B6:B1000"),$AA110,INDIRECT("'"&amp;AJ$5&amp;"'!H6:H1000")))</f>
        <v>6031.7652</v>
      </c>
      <c r="AK110">
        <f>IF(OR($AA110="",AK$5=""),0,SUMIF(INDIRECT("'"&amp;AK$5&amp;"'!B6:B1000"),$AA110,INDIRECT("'"&amp;AK$5&amp;"'!H6:H1000")))</f>
        <v>0</v>
      </c>
      <c r="AL110">
        <f>IF(OR($AA110="",AL$5=""),0,SUMIF(INDIRECT("'"&amp;AL$5&amp;"'!B6:B1000"),$AA110,INDIRECT("'"&amp;AL$5&amp;"'!H6:H1000")))</f>
        <v>0</v>
      </c>
      <c r="AM110">
        <f>IF(OR($AA110="",AM$5=""),0,SUMIF(INDIRECT("'"&amp;AM$5&amp;"'!B6:B1000"),$AA110,INDIRECT("'"&amp;AM$5&amp;"'!H6:H1000")))</f>
        <v>0</v>
      </c>
      <c r="AN110">
        <f>IF(OR($AA110="",AN$5=""),0,SUMIF(INDIRECT("'"&amp;AN$5&amp;"'!B6:B1000"),$AA110,INDIRECT("'"&amp;AN$5&amp;"'!H6:H1000")))</f>
        <v>0</v>
      </c>
      <c r="BY110">
        <f>SUMPRODUCT((($AC$4:$AN$4=报损汇总一览!$A$3)+(报损汇总一览!$A$3="全年"))*AC110:AN110)</f>
        <v>6839.1592</v>
      </c>
    </row>
    <row r="111">
      <c r="A111">
        <f>IF(OR(存条明细!C111="",存条明细!D111=""),"",IF(COUNTIFS(存条明细!$C$4:C111,存条明细!C111,存条明细!$D$4:D111,存条明细!D111)&gt;1,"",IFERROR(MATCH(存条明细!C111,总览汇总!$B$5:$B$304,0),900)*10000000+IFERROR(MATCH(存条明细!D111,基础资料!$E$5:$E$104,0),900)*10000+ROW()))</f>
        <v>400030111</v>
      </c>
      <c r="B111">
        <f>IFERROR(MATCH(SMALL($A$4:$A$4003,108),$A$4:$A$4003,0),"")</f>
        <v>81</v>
      </c>
      <c r="D111">
        <f>IF(AND(商品库存!B111&lt;&gt;"",商品库存!B111=客户查询!$B$4),COUNTIF(商品库存!$B$4:B111,客户查询!$B$4),"")</f>
      </c>
      <c r="E111">
        <f>IF(AND(商品库存!B111&lt;&gt;"",商品库存!B111=客户对账单!$B$4),COUNTIF(商品库存!$B$4:B111,客户对账单!$B$4),"")</f>
      </c>
      <c r="F111">
        <f>IF(AND(出库明细!C111&lt;&gt;"",出库明细!C111=客户对账单!$B$4,ISNUMBER(出库明细!B111),出库明细!B111&gt;=客户对账单!$G$4,出库明细!B111&lt;=客户对账单!$I$4),出库明细!B111+ROW()/100000,"")</f>
      </c>
      <c r="H111">
        <f>IF(AND(采购进货!C111&lt;&gt;"",采购进货!C111=供应商对账单!$B$4,ISNUMBER(采购进货!B111),采购进货!B111&gt;=供应商对账单!$G$4,采购进货!B111&lt;=供应商对账单!$I$4),采购进货!B111+ROW()/100000,"")</f>
      </c>
      <c r="J111">
        <f>IF(总览汇总!$B111="","",N(总览汇总!$K111)+SUMIFS(出库明细!$G$4:$G$3003,出库明细!$C$4:$C$3003,总览汇总!$B111,出库明细!$B$4:$B$3003,"&gt;="&amp;年初日,出库明细!$B$4:$B$3003,"&lt;="&amp;资产负债表!$D$3)-SUMIFS(资金台帐!$S$7:$S$3006,资金台帐!$J$7:$J$3006,总览汇总!$B111,资金台帐!$P$7:$P$3006,"应收",资金台帐!$B$7:$B$3006,"&gt;="&amp;年初日,资金台帐!$B$7:$B$3006,"&lt;="&amp;资产负债表!$D$3))</f>
      </c>
      <c r="N111">
        <f>IF(AND(ISNUMBER(出库明细!G111),ISNUMBER(出库明细!E111),ISNUMBER(出库明细!F111)),IF(ABS(出库明细!G111-出库明细!E111*出库明细!F111)&gt;0.005,1,0),0)</f>
        <v>0</v>
      </c>
      <c r="O111">
        <f>IF(AND(ISNUMBER(存条明细!G111),ISNUMBER(存条明细!E111),ISNUMBER(存条明细!F111)),IF(ABS(存条明细!G111-存条明细!E111*存条明细!F111)&gt;0.005,1,0),0)</f>
        <v>0</v>
      </c>
      <c r="AA111" t="str">
        <f>IF(基础资料!Q6="","",基础资料!Q6&amp;"")</f>
        <v>农夫山泉公司</v>
      </c>
      <c r="AC111">
        <f>IF(OR($AA111="",AC$5=""),0,SUMIF(INDIRECT("'"&amp;AC$5&amp;"'!B6:B1000"),$AA111,INDIRECT("'"&amp;AC$5&amp;"'!H6:H1000")))</f>
        <v>0</v>
      </c>
      <c r="AD111">
        <f>IF(OR($AA111="",AD$5=""),0,SUMIF(INDIRECT("'"&amp;AD$5&amp;"'!B6:B1000"),$AA111,INDIRECT("'"&amp;AD$5&amp;"'!H6:H1000")))</f>
        <v>0</v>
      </c>
      <c r="AE111">
        <f>IF(OR($AA111="",AE$5=""),0,SUMIF(INDIRECT("'"&amp;AE$5&amp;"'!B6:B1000"),$AA111,INDIRECT("'"&amp;AE$5&amp;"'!H6:H1000")))</f>
        <v>0</v>
      </c>
      <c r="AF111">
        <f>IF(OR($AA111="",AF$5=""),0,SUMIF(INDIRECT("'"&amp;AF$5&amp;"'!B6:B1000"),$AA111,INDIRECT("'"&amp;AF$5&amp;"'!H6:H1000")))</f>
        <v>0</v>
      </c>
      <c r="AG111">
        <f>IF(OR($AA111="",AG$5=""),0,SUMIF(INDIRECT("'"&amp;AG$5&amp;"'!B6:B1000"),$AA111,INDIRECT("'"&amp;AG$5&amp;"'!H6:H1000")))</f>
        <v>0</v>
      </c>
      <c r="AH111">
        <f>IF(OR($AA111="",AH$5=""),0,SUMIF(INDIRECT("'"&amp;AH$5&amp;"'!B6:B1000"),$AA111,INDIRECT("'"&amp;AH$5&amp;"'!H6:H1000")))</f>
        <v>5038.861</v>
      </c>
      <c r="AI111">
        <f>IF(OR($AA111="",AI$5=""),0,SUMIF(INDIRECT("'"&amp;AI$5&amp;"'!B6:B1000"),$AA111,INDIRECT("'"&amp;AI$5&amp;"'!H6:H1000")))</f>
        <v>76.675</v>
      </c>
      <c r="AJ111">
        <f>IF(OR($AA111="",AJ$5=""),0,SUMIF(INDIRECT("'"&amp;AJ$5&amp;"'!B6:B1000"),$AA111,INDIRECT("'"&amp;AJ$5&amp;"'!H6:H1000")))</f>
        <v>3651.157336</v>
      </c>
      <c r="AK111">
        <f>IF(OR($AA111="",AK$5=""),0,SUMIF(INDIRECT("'"&amp;AK$5&amp;"'!B6:B1000"),$AA111,INDIRECT("'"&amp;AK$5&amp;"'!H6:H1000")))</f>
        <v>0</v>
      </c>
      <c r="AL111">
        <f>IF(OR($AA111="",AL$5=""),0,SUMIF(INDIRECT("'"&amp;AL$5&amp;"'!B6:B1000"),$AA111,INDIRECT("'"&amp;AL$5&amp;"'!H6:H1000")))</f>
        <v>0</v>
      </c>
      <c r="AM111">
        <f>IF(OR($AA111="",AM$5=""),0,SUMIF(INDIRECT("'"&amp;AM$5&amp;"'!B6:B1000"),$AA111,INDIRECT("'"&amp;AM$5&amp;"'!H6:H1000")))</f>
        <v>0</v>
      </c>
      <c r="AN111">
        <f>IF(OR($AA111="",AN$5=""),0,SUMIF(INDIRECT("'"&amp;AN$5&amp;"'!B6:B1000"),$AA111,INDIRECT("'"&amp;AN$5&amp;"'!H6:H1000")))</f>
        <v>0</v>
      </c>
      <c r="BY111">
        <f>SUMPRODUCT((($AC$4:$AN$4=报损汇总一览!$A$3)+(报损汇总一览!$A$3="全年"))*AC111:AN111)</f>
        <v>8766.693336</v>
      </c>
    </row>
    <row r="112">
      <c r="A112">
        <f>IF(OR(存条明细!C112="",存条明细!D112=""),"",IF(COUNTIFS(存条明细!$C$4:C112,存条明细!C112,存条明细!$D$4:D112,存条明细!D112)&gt;1,"",IFERROR(MATCH(存条明细!C112,总览汇总!$B$5:$B$304,0),900)*10000000+IFERROR(MATCH(存条明细!D112,基础资料!$E$5:$E$104,0),900)*10000+ROW()))</f>
        <v>400060112</v>
      </c>
      <c r="B112">
        <f>IFERROR(MATCH(SMALL($A$4:$A$4003,109),$A$4:$A$4003,0),"")</f>
        <v>82</v>
      </c>
      <c r="D112">
        <f>IF(AND(商品库存!B112&lt;&gt;"",商品库存!B112=客户查询!$B$4),COUNTIF(商品库存!$B$4:B112,客户查询!$B$4),"")</f>
      </c>
      <c r="E112">
        <f>IF(AND(商品库存!B112&lt;&gt;"",商品库存!B112=客户对账单!$B$4),COUNTIF(商品库存!$B$4:B112,客户对账单!$B$4),"")</f>
      </c>
      <c r="F112">
        <f>IF(AND(出库明细!C112&lt;&gt;"",出库明细!C112=客户对账单!$B$4,ISNUMBER(出库明细!B112),出库明细!B112&gt;=客户对账单!$G$4,出库明细!B112&lt;=客户对账单!$I$4),出库明细!B112+ROW()/100000,"")</f>
      </c>
      <c r="H112">
        <f>IF(AND(采购进货!C112&lt;&gt;"",采购进货!C112=供应商对账单!$B$4,ISNUMBER(采购进货!B112),采购进货!B112&gt;=供应商对账单!$G$4,采购进货!B112&lt;=供应商对账单!$I$4),采购进货!B112+ROW()/100000,"")</f>
      </c>
      <c r="J112">
        <f>IF(总览汇总!$B112="","",N(总览汇总!$K112)+SUMIFS(出库明细!$G$4:$G$3003,出库明细!$C$4:$C$3003,总览汇总!$B112,出库明细!$B$4:$B$3003,"&gt;="&amp;年初日,出库明细!$B$4:$B$3003,"&lt;="&amp;资产负债表!$D$3)-SUMIFS(资金台帐!$S$7:$S$3006,资金台帐!$J$7:$J$3006,总览汇总!$B112,资金台帐!$P$7:$P$3006,"应收",资金台帐!$B$7:$B$3006,"&gt;="&amp;年初日,资金台帐!$B$7:$B$3006,"&lt;="&amp;资产负债表!$D$3))</f>
      </c>
      <c r="N112">
        <f>IF(AND(ISNUMBER(出库明细!G112),ISNUMBER(出库明细!E112),ISNUMBER(出库明细!F112)),IF(ABS(出库明细!G112-出库明细!E112*出库明细!F112)&gt;0.005,1,0),0)</f>
        <v>0</v>
      </c>
      <c r="O112">
        <f>IF(AND(ISNUMBER(存条明细!G112),ISNUMBER(存条明细!E112),ISNUMBER(存条明细!F112)),IF(ABS(存条明细!G112-存条明细!E112*存条明细!F112)&gt;0.005,1,0),0)</f>
        <v>0</v>
      </c>
      <c r="AA112" t="str">
        <f>IF(基础资料!Q7="","",基础资料!Q7&amp;"")</f>
        <v>青岛公司</v>
      </c>
      <c r="AC112">
        <f>IF(OR($AA112="",AC$5=""),0,SUMIF(INDIRECT("'"&amp;AC$5&amp;"'!B6:B1000"),$AA112,INDIRECT("'"&amp;AC$5&amp;"'!H6:H1000")))</f>
        <v>0</v>
      </c>
      <c r="AD112">
        <f>IF(OR($AA112="",AD$5=""),0,SUMIF(INDIRECT("'"&amp;AD$5&amp;"'!B6:B1000"),$AA112,INDIRECT("'"&amp;AD$5&amp;"'!H6:H1000")))</f>
        <v>0</v>
      </c>
      <c r="AE112">
        <f>IF(OR($AA112="",AE$5=""),0,SUMIF(INDIRECT("'"&amp;AE$5&amp;"'!B6:B1000"),$AA112,INDIRECT("'"&amp;AE$5&amp;"'!H6:H1000")))</f>
        <v>0</v>
      </c>
      <c r="AF112">
        <f>IF(OR($AA112="",AF$5=""),0,SUMIF(INDIRECT("'"&amp;AF$5&amp;"'!B6:B1000"),$AA112,INDIRECT("'"&amp;AF$5&amp;"'!H6:H1000")))</f>
        <v>0</v>
      </c>
      <c r="AG112">
        <f>IF(OR($AA112="",AG$5=""),0,SUMIF(INDIRECT("'"&amp;AG$5&amp;"'!B6:B1000"),$AA112,INDIRECT("'"&amp;AG$5&amp;"'!H6:H1000")))</f>
        <v>0</v>
      </c>
      <c r="AH112">
        <f>IF(OR($AA112="",AH$5=""),0,SUMIF(INDIRECT("'"&amp;AH$5&amp;"'!B6:B1000"),$AA112,INDIRECT("'"&amp;AH$5&amp;"'!H6:H1000")))</f>
        <v>586.31</v>
      </c>
      <c r="AI112">
        <f>IF(OR($AA112="",AI$5=""),0,SUMIF(INDIRECT("'"&amp;AI$5&amp;"'!B6:B1000"),$AA112,INDIRECT("'"&amp;AI$5&amp;"'!H6:H1000")))</f>
        <v>108.78</v>
      </c>
      <c r="AJ112">
        <f>IF(OR($AA112="",AJ$5=""),0,SUMIF(INDIRECT("'"&amp;AJ$5&amp;"'!B6:B1000"),$AA112,INDIRECT("'"&amp;AJ$5&amp;"'!H6:H1000")))</f>
        <v>321.45</v>
      </c>
      <c r="AK112">
        <f>IF(OR($AA112="",AK$5=""),0,SUMIF(INDIRECT("'"&amp;AK$5&amp;"'!B6:B1000"),$AA112,INDIRECT("'"&amp;AK$5&amp;"'!H6:H1000")))</f>
        <v>0</v>
      </c>
      <c r="AL112">
        <f>IF(OR($AA112="",AL$5=""),0,SUMIF(INDIRECT("'"&amp;AL$5&amp;"'!B6:B1000"),$AA112,INDIRECT("'"&amp;AL$5&amp;"'!H6:H1000")))</f>
        <v>0</v>
      </c>
      <c r="AM112">
        <f>IF(OR($AA112="",AM$5=""),0,SUMIF(INDIRECT("'"&amp;AM$5&amp;"'!B6:B1000"),$AA112,INDIRECT("'"&amp;AM$5&amp;"'!H6:H1000")))</f>
        <v>0</v>
      </c>
      <c r="AN112">
        <f>IF(OR($AA112="",AN$5=""),0,SUMIF(INDIRECT("'"&amp;AN$5&amp;"'!B6:B1000"),$AA112,INDIRECT("'"&amp;AN$5&amp;"'!H6:H1000")))</f>
        <v>0</v>
      </c>
      <c r="BY112">
        <f>SUMPRODUCT((($AC$4:$AN$4=报损汇总一览!$A$3)+(报损汇总一览!$A$3="全年"))*AC112:AN112)</f>
        <v>1016.54</v>
      </c>
    </row>
    <row r="113">
      <c r="A113">
        <f>IF(OR(存条明细!C113="",存条明细!D113=""),"",IF(COUNTIFS(存条明细!$C$4:C113,存条明细!C113,存条明细!$D$4:D113,存条明细!D113)&gt;1,"",IFERROR(MATCH(存条明细!C113,总览汇总!$B$5:$B$304,0),900)*10000000+IFERROR(MATCH(存条明细!D113,基础资料!$E$5:$E$104,0),900)*10000+ROW()))</f>
        <v>400170113</v>
      </c>
      <c r="B113">
        <f>IFERROR(MATCH(SMALL($A$4:$A$4003,110),$A$4:$A$4003,0),"")</f>
        <v>85</v>
      </c>
      <c r="D113">
        <f>IF(AND(商品库存!B113&lt;&gt;"",商品库存!B113=客户查询!$B$4),COUNTIF(商品库存!$B$4:B113,客户查询!$B$4),"")</f>
      </c>
      <c r="E113">
        <f>IF(AND(商品库存!B113&lt;&gt;"",商品库存!B113=客户对账单!$B$4),COUNTIF(商品库存!$B$4:B113,客户对账单!$B$4),"")</f>
      </c>
      <c r="F113">
        <f>IF(AND(出库明细!C113&lt;&gt;"",出库明细!C113=客户对账单!$B$4,ISNUMBER(出库明细!B113),出库明细!B113&gt;=客户对账单!$G$4,出库明细!B113&lt;=客户对账单!$I$4),出库明细!B113+ROW()/100000,"")</f>
      </c>
      <c r="H113">
        <f>IF(AND(采购进货!C113&lt;&gt;"",采购进货!C113=供应商对账单!$B$4,ISNUMBER(采购进货!B113),采购进货!B113&gt;=供应商对账单!$G$4,采购进货!B113&lt;=供应商对账单!$I$4),采购进货!B113+ROW()/100000,"")</f>
      </c>
      <c r="J113">
        <f>IF(总览汇总!$B113="","",N(总览汇总!$K113)+SUMIFS(出库明细!$G$4:$G$3003,出库明细!$C$4:$C$3003,总览汇总!$B113,出库明细!$B$4:$B$3003,"&gt;="&amp;年初日,出库明细!$B$4:$B$3003,"&lt;="&amp;资产负债表!$D$3)-SUMIFS(资金台帐!$S$7:$S$3006,资金台帐!$J$7:$J$3006,总览汇总!$B113,资金台帐!$P$7:$P$3006,"应收",资金台帐!$B$7:$B$3006,"&gt;="&amp;年初日,资金台帐!$B$7:$B$3006,"&lt;="&amp;资产负债表!$D$3))</f>
      </c>
      <c r="N113">
        <f>IF(AND(ISNUMBER(出库明细!G113),ISNUMBER(出库明细!E113),ISNUMBER(出库明细!F113)),IF(ABS(出库明细!G113-出库明细!E113*出库明细!F113)&gt;0.005,1,0),0)</f>
        <v>0</v>
      </c>
      <c r="O113">
        <f>IF(AND(ISNUMBER(存条明细!G113),ISNUMBER(存条明细!E113),ISNUMBER(存条明细!F113)),IF(ABS(存条明细!G113-存条明细!E113*存条明细!F113)&gt;0.005,1,0),0)</f>
        <v>0</v>
      </c>
      <c r="AA113" t="str">
        <f>IF(基础资料!Q8="","",基础资料!Q8&amp;"")</f>
        <v>其他公司</v>
      </c>
      <c r="AC113">
        <f>IF(OR($AA113="",AC$5=""),0,SUMIF(INDIRECT("'"&amp;AC$5&amp;"'!B6:B1000"),$AA113,INDIRECT("'"&amp;AC$5&amp;"'!H6:H1000")))</f>
        <v>0</v>
      </c>
      <c r="AD113">
        <f>IF(OR($AA113="",AD$5=""),0,SUMIF(INDIRECT("'"&amp;AD$5&amp;"'!B6:B1000"),$AA113,INDIRECT("'"&amp;AD$5&amp;"'!H6:H1000")))</f>
        <v>0</v>
      </c>
      <c r="AE113">
        <f>IF(OR($AA113="",AE$5=""),0,SUMIF(INDIRECT("'"&amp;AE$5&amp;"'!B6:B1000"),$AA113,INDIRECT("'"&amp;AE$5&amp;"'!H6:H1000")))</f>
        <v>0</v>
      </c>
      <c r="AF113">
        <f>IF(OR($AA113="",AF$5=""),0,SUMIF(INDIRECT("'"&amp;AF$5&amp;"'!B6:B1000"),$AA113,INDIRECT("'"&amp;AF$5&amp;"'!H6:H1000")))</f>
        <v>0</v>
      </c>
      <c r="AG113">
        <f>IF(OR($AA113="",AG$5=""),0,SUMIF(INDIRECT("'"&amp;AG$5&amp;"'!B6:B1000"),$AA113,INDIRECT("'"&amp;AG$5&amp;"'!H6:H1000")))</f>
        <v>0</v>
      </c>
      <c r="AH113">
        <f>IF(OR($AA113="",AH$5=""),0,SUMIF(INDIRECT("'"&amp;AH$5&amp;"'!B6:B1000"),$AA113,INDIRECT("'"&amp;AH$5&amp;"'!H6:H1000")))</f>
        <v>0</v>
      </c>
      <c r="AI113">
        <f>IF(OR($AA113="",AI$5=""),0,SUMIF(INDIRECT("'"&amp;AI$5&amp;"'!B6:B1000"),$AA113,INDIRECT("'"&amp;AI$5&amp;"'!H6:H1000")))</f>
        <v>0</v>
      </c>
      <c r="AJ113">
        <f>IF(OR($AA113="",AJ$5=""),0,SUMIF(INDIRECT("'"&amp;AJ$5&amp;"'!B6:B1000"),$AA113,INDIRECT("'"&amp;AJ$5&amp;"'!H6:H1000")))</f>
        <v>1032.823</v>
      </c>
      <c r="AK113">
        <f>IF(OR($AA113="",AK$5=""),0,SUMIF(INDIRECT("'"&amp;AK$5&amp;"'!B6:B1000"),$AA113,INDIRECT("'"&amp;AK$5&amp;"'!H6:H1000")))</f>
        <v>0</v>
      </c>
      <c r="AL113">
        <f>IF(OR($AA113="",AL$5=""),0,SUMIF(INDIRECT("'"&amp;AL$5&amp;"'!B6:B1000"),$AA113,INDIRECT("'"&amp;AL$5&amp;"'!H6:H1000")))</f>
        <v>0</v>
      </c>
      <c r="AM113">
        <f>IF(OR($AA113="",AM$5=""),0,SUMIF(INDIRECT("'"&amp;AM$5&amp;"'!B6:B1000"),$AA113,INDIRECT("'"&amp;AM$5&amp;"'!H6:H1000")))</f>
        <v>0</v>
      </c>
      <c r="AN113">
        <f>IF(OR($AA113="",AN$5=""),0,SUMIF(INDIRECT("'"&amp;AN$5&amp;"'!B6:B1000"),$AA113,INDIRECT("'"&amp;AN$5&amp;"'!H6:H1000")))</f>
        <v>0</v>
      </c>
      <c r="BY113">
        <f>SUMPRODUCT((($AC$4:$AN$4=报损汇总一览!$A$3)+(报损汇总一览!$A$3="全年"))*AC113:AN113)</f>
        <v>1032.823</v>
      </c>
    </row>
    <row r="114">
      <c r="A114">
        <f>IF(OR(存条明细!C114="",存条明细!D114=""),"",IF(COUNTIFS(存条明细!$C$4:C114,存条明细!C114,存条明细!$D$4:D114,存条明细!D114)&gt;1,"",IFERROR(MATCH(存条明细!C114,总览汇总!$B$5:$B$304,0),900)*10000000+IFERROR(MATCH(存条明细!D114,基础资料!$E$5:$E$104,0),900)*10000+ROW()))</f>
        <v>400080114</v>
      </c>
      <c r="B114">
        <f>IFERROR(MATCH(SMALL($A$4:$A$4003,111),$A$4:$A$4003,0),"")</f>
        <v>84</v>
      </c>
      <c r="D114">
        <f>IF(AND(商品库存!B114&lt;&gt;"",商品库存!B114=客户查询!$B$4),COUNTIF(商品库存!$B$4:B114,客户查询!$B$4),"")</f>
      </c>
      <c r="E114">
        <f>IF(AND(商品库存!B114&lt;&gt;"",商品库存!B114=客户对账单!$B$4),COUNTIF(商品库存!$B$4:B114,客户对账单!$B$4),"")</f>
      </c>
      <c r="F114">
        <f>IF(AND(出库明细!C114&lt;&gt;"",出库明细!C114=客户对账单!$B$4,ISNUMBER(出库明细!B114),出库明细!B114&gt;=客户对账单!$G$4,出库明细!B114&lt;=客户对账单!$I$4),出库明细!B114+ROW()/100000,"")</f>
      </c>
      <c r="H114">
        <f>IF(AND(采购进货!C114&lt;&gt;"",采购进货!C114=供应商对账单!$B$4,ISNUMBER(采购进货!B114),采购进货!B114&gt;=供应商对账单!$G$4,采购进货!B114&lt;=供应商对账单!$I$4),采购进货!B114+ROW()/100000,"")</f>
      </c>
      <c r="J114">
        <f>IF(总览汇总!$B114="","",N(总览汇总!$K114)+SUMIFS(出库明细!$G$4:$G$3003,出库明细!$C$4:$C$3003,总览汇总!$B114,出库明细!$B$4:$B$3003,"&gt;="&amp;年初日,出库明细!$B$4:$B$3003,"&lt;="&amp;资产负债表!$D$3)-SUMIFS(资金台帐!$S$7:$S$3006,资金台帐!$J$7:$J$3006,总览汇总!$B114,资金台帐!$P$7:$P$3006,"应收",资金台帐!$B$7:$B$3006,"&gt;="&amp;年初日,资金台帐!$B$7:$B$3006,"&lt;="&amp;资产负债表!$D$3))</f>
      </c>
      <c r="N114">
        <f>IF(AND(ISNUMBER(出库明细!G114),ISNUMBER(出库明细!E114),ISNUMBER(出库明细!F114)),IF(ABS(出库明细!G114-出库明细!E114*出库明细!F114)&gt;0.005,1,0),0)</f>
        <v>0</v>
      </c>
      <c r="O114">
        <f>IF(AND(ISNUMBER(存条明细!G114),ISNUMBER(存条明细!E114),ISNUMBER(存条明细!F114)),IF(ABS(存条明细!G114-存条明细!E114*存条明细!F114)&gt;0.005,1,0),0)</f>
        <v>0</v>
      </c>
      <c r="AA114">
        <f>IF(基础资料!Q9="","",基础资料!Q9&amp;"")</f>
      </c>
      <c r="AC114">
        <f>IF(OR($AA114="",AC$5=""),0,SUMIF(INDIRECT("'"&amp;AC$5&amp;"'!B6:B1000"),$AA114,INDIRECT("'"&amp;AC$5&amp;"'!H6:H1000")))</f>
        <v>0</v>
      </c>
      <c r="AD114">
        <f>IF(OR($AA114="",AD$5=""),0,SUMIF(INDIRECT("'"&amp;AD$5&amp;"'!B6:B1000"),$AA114,INDIRECT("'"&amp;AD$5&amp;"'!H6:H1000")))</f>
        <v>0</v>
      </c>
      <c r="AE114">
        <f>IF(OR($AA114="",AE$5=""),0,SUMIF(INDIRECT("'"&amp;AE$5&amp;"'!B6:B1000"),$AA114,INDIRECT("'"&amp;AE$5&amp;"'!H6:H1000")))</f>
        <v>0</v>
      </c>
      <c r="AF114">
        <f>IF(OR($AA114="",AF$5=""),0,SUMIF(INDIRECT("'"&amp;AF$5&amp;"'!B6:B1000"),$AA114,INDIRECT("'"&amp;AF$5&amp;"'!H6:H1000")))</f>
        <v>0</v>
      </c>
      <c r="AG114">
        <f>IF(OR($AA114="",AG$5=""),0,SUMIF(INDIRECT("'"&amp;AG$5&amp;"'!B6:B1000"),$AA114,INDIRECT("'"&amp;AG$5&amp;"'!H6:H1000")))</f>
        <v>0</v>
      </c>
      <c r="AH114">
        <f>IF(OR($AA114="",AH$5=""),0,SUMIF(INDIRECT("'"&amp;AH$5&amp;"'!B6:B1000"),$AA114,INDIRECT("'"&amp;AH$5&amp;"'!H6:H1000")))</f>
        <v>0</v>
      </c>
      <c r="AI114">
        <f>IF(OR($AA114="",AI$5=""),0,SUMIF(INDIRECT("'"&amp;AI$5&amp;"'!B6:B1000"),$AA114,INDIRECT("'"&amp;AI$5&amp;"'!H6:H1000")))</f>
        <v>0</v>
      </c>
      <c r="AJ114">
        <f>IF(OR($AA114="",AJ$5=""),0,SUMIF(INDIRECT("'"&amp;AJ$5&amp;"'!B6:B1000"),$AA114,INDIRECT("'"&amp;AJ$5&amp;"'!H6:H1000")))</f>
        <v>0</v>
      </c>
      <c r="AK114">
        <f>IF(OR($AA114="",AK$5=""),0,SUMIF(INDIRECT("'"&amp;AK$5&amp;"'!B6:B1000"),$AA114,INDIRECT("'"&amp;AK$5&amp;"'!H6:H1000")))</f>
        <v>0</v>
      </c>
      <c r="AL114">
        <f>IF(OR($AA114="",AL$5=""),0,SUMIF(INDIRECT("'"&amp;AL$5&amp;"'!B6:B1000"),$AA114,INDIRECT("'"&amp;AL$5&amp;"'!H6:H1000")))</f>
        <v>0</v>
      </c>
      <c r="AM114">
        <f>IF(OR($AA114="",AM$5=""),0,SUMIF(INDIRECT("'"&amp;AM$5&amp;"'!B6:B1000"),$AA114,INDIRECT("'"&amp;AM$5&amp;"'!H6:H1000")))</f>
        <v>0</v>
      </c>
      <c r="AN114">
        <f>IF(OR($AA114="",AN$5=""),0,SUMIF(INDIRECT("'"&amp;AN$5&amp;"'!B6:B1000"),$AA114,INDIRECT("'"&amp;AN$5&amp;"'!H6:H1000")))</f>
        <v>0</v>
      </c>
      <c r="BY114">
        <f>SUMPRODUCT((($AC$4:$AN$4=报损汇总一览!$A$3)+(报损汇总一览!$A$3="全年"))*AC114:AN114)</f>
        <v>0</v>
      </c>
    </row>
    <row r="115">
      <c r="A115">
        <f>IF(OR(存条明细!C115="",存条明细!D115=""),"",IF(COUNTIFS(存条明细!$C$4:C115,存条明细!C115,存条明细!$D$4:D115,存条明细!D115)&gt;1,"",IFERROR(MATCH(存条明细!C115,总览汇总!$B$5:$B$304,0),900)*10000000+IFERROR(MATCH(存条明细!D115,基础资料!$E$5:$E$104,0),900)*10000+ROW()))</f>
        <v>400190115</v>
      </c>
      <c r="B115">
        <f>IFERROR(MATCH(SMALL($A$4:$A$4003,112),$A$4:$A$4003,0),"")</f>
        <v>86</v>
      </c>
      <c r="D115">
        <f>IF(AND(商品库存!B115&lt;&gt;"",商品库存!B115=客户查询!$B$4),COUNTIF(商品库存!$B$4:B115,客户查询!$B$4),"")</f>
      </c>
      <c r="E115">
        <f>IF(AND(商品库存!B115&lt;&gt;"",商品库存!B115=客户对账单!$B$4),COUNTIF(商品库存!$B$4:B115,客户对账单!$B$4),"")</f>
      </c>
      <c r="F115">
        <f>IF(AND(出库明细!C115&lt;&gt;"",出库明细!C115=客户对账单!$B$4,ISNUMBER(出库明细!B115),出库明细!B115&gt;=客户对账单!$G$4,出库明细!B115&lt;=客户对账单!$I$4),出库明细!B115+ROW()/100000,"")</f>
      </c>
      <c r="H115">
        <f>IF(AND(采购进货!C115&lt;&gt;"",采购进货!C115=供应商对账单!$B$4,ISNUMBER(采购进货!B115),采购进货!B115&gt;=供应商对账单!$G$4,采购进货!B115&lt;=供应商对账单!$I$4),采购进货!B115+ROW()/100000,"")</f>
      </c>
      <c r="J115">
        <f>IF(总览汇总!$B115="","",N(总览汇总!$K115)+SUMIFS(出库明细!$G$4:$G$3003,出库明细!$C$4:$C$3003,总览汇总!$B115,出库明细!$B$4:$B$3003,"&gt;="&amp;年初日,出库明细!$B$4:$B$3003,"&lt;="&amp;资产负债表!$D$3)-SUMIFS(资金台帐!$S$7:$S$3006,资金台帐!$J$7:$J$3006,总览汇总!$B115,资金台帐!$P$7:$P$3006,"应收",资金台帐!$B$7:$B$3006,"&gt;="&amp;年初日,资金台帐!$B$7:$B$3006,"&lt;="&amp;资产负债表!$D$3))</f>
      </c>
      <c r="N115">
        <f>IF(AND(ISNUMBER(出库明细!G115),ISNUMBER(出库明细!E115),ISNUMBER(出库明细!F115)),IF(ABS(出库明细!G115-出库明细!E115*出库明细!F115)&gt;0.005,1,0),0)</f>
        <v>0</v>
      </c>
      <c r="O115">
        <f>IF(AND(ISNUMBER(存条明细!G115),ISNUMBER(存条明细!E115),ISNUMBER(存条明细!F115)),IF(ABS(存条明细!G115-存条明细!E115*存条明细!F115)&gt;0.005,1,0),0)</f>
        <v>0</v>
      </c>
      <c r="AA115">
        <f>IF(基础资料!Q10="","",基础资料!Q10&amp;"")</f>
      </c>
      <c r="AC115">
        <f>IF(OR($AA115="",AC$5=""),0,SUMIF(INDIRECT("'"&amp;AC$5&amp;"'!B6:B1000"),$AA115,INDIRECT("'"&amp;AC$5&amp;"'!H6:H1000")))</f>
        <v>0</v>
      </c>
      <c r="AD115">
        <f>IF(OR($AA115="",AD$5=""),0,SUMIF(INDIRECT("'"&amp;AD$5&amp;"'!B6:B1000"),$AA115,INDIRECT("'"&amp;AD$5&amp;"'!H6:H1000")))</f>
        <v>0</v>
      </c>
      <c r="AE115">
        <f>IF(OR($AA115="",AE$5=""),0,SUMIF(INDIRECT("'"&amp;AE$5&amp;"'!B6:B1000"),$AA115,INDIRECT("'"&amp;AE$5&amp;"'!H6:H1000")))</f>
        <v>0</v>
      </c>
      <c r="AF115">
        <f>IF(OR($AA115="",AF$5=""),0,SUMIF(INDIRECT("'"&amp;AF$5&amp;"'!B6:B1000"),$AA115,INDIRECT("'"&amp;AF$5&amp;"'!H6:H1000")))</f>
        <v>0</v>
      </c>
      <c r="AG115">
        <f>IF(OR($AA115="",AG$5=""),0,SUMIF(INDIRECT("'"&amp;AG$5&amp;"'!B6:B1000"),$AA115,INDIRECT("'"&amp;AG$5&amp;"'!H6:H1000")))</f>
        <v>0</v>
      </c>
      <c r="AH115">
        <f>IF(OR($AA115="",AH$5=""),0,SUMIF(INDIRECT("'"&amp;AH$5&amp;"'!B6:B1000"),$AA115,INDIRECT("'"&amp;AH$5&amp;"'!H6:H1000")))</f>
        <v>0</v>
      </c>
      <c r="AI115">
        <f>IF(OR($AA115="",AI$5=""),0,SUMIF(INDIRECT("'"&amp;AI$5&amp;"'!B6:B1000"),$AA115,INDIRECT("'"&amp;AI$5&amp;"'!H6:H1000")))</f>
        <v>0</v>
      </c>
      <c r="AJ115">
        <f>IF(OR($AA115="",AJ$5=""),0,SUMIF(INDIRECT("'"&amp;AJ$5&amp;"'!B6:B1000"),$AA115,INDIRECT("'"&amp;AJ$5&amp;"'!H6:H1000")))</f>
        <v>0</v>
      </c>
      <c r="AK115">
        <f>IF(OR($AA115="",AK$5=""),0,SUMIF(INDIRECT("'"&amp;AK$5&amp;"'!B6:B1000"),$AA115,INDIRECT("'"&amp;AK$5&amp;"'!H6:H1000")))</f>
        <v>0</v>
      </c>
      <c r="AL115">
        <f>IF(OR($AA115="",AL$5=""),0,SUMIF(INDIRECT("'"&amp;AL$5&amp;"'!B6:B1000"),$AA115,INDIRECT("'"&amp;AL$5&amp;"'!H6:H1000")))</f>
        <v>0</v>
      </c>
      <c r="AM115">
        <f>IF(OR($AA115="",AM$5=""),0,SUMIF(INDIRECT("'"&amp;AM$5&amp;"'!B6:B1000"),$AA115,INDIRECT("'"&amp;AM$5&amp;"'!H6:H1000")))</f>
        <v>0</v>
      </c>
      <c r="AN115">
        <f>IF(OR($AA115="",AN$5=""),0,SUMIF(INDIRECT("'"&amp;AN$5&amp;"'!B6:B1000"),$AA115,INDIRECT("'"&amp;AN$5&amp;"'!H6:H1000")))</f>
        <v>0</v>
      </c>
      <c r="BY115">
        <f>SUMPRODUCT((($AC$4:$AN$4=报损汇总一览!$A$3)+(报损汇总一览!$A$3="全年"))*AC115:AN115)</f>
        <v>0</v>
      </c>
    </row>
    <row r="116">
      <c r="A116">
        <f>IF(OR(存条明细!C116="",存条明细!D116=""),"",IF(COUNTIFS(存条明细!$C$4:C116,存条明细!C116,存条明细!$D$4:D116,存条明细!D116)&gt;1,"",IFERROR(MATCH(存条明细!C116,总览汇总!$B$5:$B$304,0),900)*10000000+IFERROR(MATCH(存条明细!D116,基础资料!$E$5:$E$104,0),900)*10000+ROW()))</f>
        <v>400150116</v>
      </c>
      <c r="B116">
        <f>IFERROR(MATCH(SMALL($A$4:$A$4003,113),$A$4:$A$4003,0),"")</f>
        <v>87</v>
      </c>
      <c r="D116">
        <f>IF(AND(商品库存!B116&lt;&gt;"",商品库存!B116=客户查询!$B$4),COUNTIF(商品库存!$B$4:B116,客户查询!$B$4),"")</f>
      </c>
      <c r="E116">
        <f>IF(AND(商品库存!B116&lt;&gt;"",商品库存!B116=客户对账单!$B$4),COUNTIF(商品库存!$B$4:B116,客户对账单!$B$4),"")</f>
      </c>
      <c r="F116">
        <f>IF(AND(出库明细!C116&lt;&gt;"",出库明细!C116=客户对账单!$B$4,ISNUMBER(出库明细!B116),出库明细!B116&gt;=客户对账单!$G$4,出库明细!B116&lt;=客户对账单!$I$4),出库明细!B116+ROW()/100000,"")</f>
      </c>
      <c r="H116">
        <f>IF(AND(采购进货!C116&lt;&gt;"",采购进货!C116=供应商对账单!$B$4,ISNUMBER(采购进货!B116),采购进货!B116&gt;=供应商对账单!$G$4,采购进货!B116&lt;=供应商对账单!$I$4),采购进货!B116+ROW()/100000,"")</f>
      </c>
      <c r="J116">
        <f>IF(总览汇总!$B116="","",N(总览汇总!$K116)+SUMIFS(出库明细!$G$4:$G$3003,出库明细!$C$4:$C$3003,总览汇总!$B116,出库明细!$B$4:$B$3003,"&gt;="&amp;年初日,出库明细!$B$4:$B$3003,"&lt;="&amp;资产负债表!$D$3)-SUMIFS(资金台帐!$S$7:$S$3006,资金台帐!$J$7:$J$3006,总览汇总!$B116,资金台帐!$P$7:$P$3006,"应收",资金台帐!$B$7:$B$3006,"&gt;="&amp;年初日,资金台帐!$B$7:$B$3006,"&lt;="&amp;资产负债表!$D$3))</f>
      </c>
      <c r="N116">
        <f>IF(AND(ISNUMBER(出库明细!G116),ISNUMBER(出库明细!E116),ISNUMBER(出库明细!F116)),IF(ABS(出库明细!G116-出库明细!E116*出库明细!F116)&gt;0.005,1,0),0)</f>
        <v>0</v>
      </c>
      <c r="O116">
        <f>IF(AND(ISNUMBER(存条明细!G116),ISNUMBER(存条明细!E116),ISNUMBER(存条明细!F116)),IF(ABS(存条明细!G116-存条明细!E116*存条明细!F116)&gt;0.005,1,0),0)</f>
        <v>0</v>
      </c>
      <c r="AA116">
        <f>IF(基础资料!Q11="","",基础资料!Q11&amp;"")</f>
      </c>
      <c r="AC116">
        <f>IF(OR($AA116="",AC$5=""),0,SUMIF(INDIRECT("'"&amp;AC$5&amp;"'!B6:B1000"),$AA116,INDIRECT("'"&amp;AC$5&amp;"'!H6:H1000")))</f>
        <v>0</v>
      </c>
      <c r="AD116">
        <f>IF(OR($AA116="",AD$5=""),0,SUMIF(INDIRECT("'"&amp;AD$5&amp;"'!B6:B1000"),$AA116,INDIRECT("'"&amp;AD$5&amp;"'!H6:H1000")))</f>
        <v>0</v>
      </c>
      <c r="AE116">
        <f>IF(OR($AA116="",AE$5=""),0,SUMIF(INDIRECT("'"&amp;AE$5&amp;"'!B6:B1000"),$AA116,INDIRECT("'"&amp;AE$5&amp;"'!H6:H1000")))</f>
        <v>0</v>
      </c>
      <c r="AF116">
        <f>IF(OR($AA116="",AF$5=""),0,SUMIF(INDIRECT("'"&amp;AF$5&amp;"'!B6:B1000"),$AA116,INDIRECT("'"&amp;AF$5&amp;"'!H6:H1000")))</f>
        <v>0</v>
      </c>
      <c r="AG116">
        <f>IF(OR($AA116="",AG$5=""),0,SUMIF(INDIRECT("'"&amp;AG$5&amp;"'!B6:B1000"),$AA116,INDIRECT("'"&amp;AG$5&amp;"'!H6:H1000")))</f>
        <v>0</v>
      </c>
      <c r="AH116">
        <f>IF(OR($AA116="",AH$5=""),0,SUMIF(INDIRECT("'"&amp;AH$5&amp;"'!B6:B1000"),$AA116,INDIRECT("'"&amp;AH$5&amp;"'!H6:H1000")))</f>
        <v>0</v>
      </c>
      <c r="AI116">
        <f>IF(OR($AA116="",AI$5=""),0,SUMIF(INDIRECT("'"&amp;AI$5&amp;"'!B6:B1000"),$AA116,INDIRECT("'"&amp;AI$5&amp;"'!H6:H1000")))</f>
        <v>0</v>
      </c>
      <c r="AJ116">
        <f>IF(OR($AA116="",AJ$5=""),0,SUMIF(INDIRECT("'"&amp;AJ$5&amp;"'!B6:B1000"),$AA116,INDIRECT("'"&amp;AJ$5&amp;"'!H6:H1000")))</f>
        <v>0</v>
      </c>
      <c r="AK116">
        <f>IF(OR($AA116="",AK$5=""),0,SUMIF(INDIRECT("'"&amp;AK$5&amp;"'!B6:B1000"),$AA116,INDIRECT("'"&amp;AK$5&amp;"'!H6:H1000")))</f>
        <v>0</v>
      </c>
      <c r="AL116">
        <f>IF(OR($AA116="",AL$5=""),0,SUMIF(INDIRECT("'"&amp;AL$5&amp;"'!B6:B1000"),$AA116,INDIRECT("'"&amp;AL$5&amp;"'!H6:H1000")))</f>
        <v>0</v>
      </c>
      <c r="AM116">
        <f>IF(OR($AA116="",AM$5=""),0,SUMIF(INDIRECT("'"&amp;AM$5&amp;"'!B6:B1000"),$AA116,INDIRECT("'"&amp;AM$5&amp;"'!H6:H1000")))</f>
        <v>0</v>
      </c>
      <c r="AN116">
        <f>IF(OR($AA116="",AN$5=""),0,SUMIF(INDIRECT("'"&amp;AN$5&amp;"'!B6:B1000"),$AA116,INDIRECT("'"&amp;AN$5&amp;"'!H6:H1000")))</f>
        <v>0</v>
      </c>
      <c r="BY116">
        <f>SUMPRODUCT((($AC$4:$AN$4=报损汇总一览!$A$3)+(报损汇总一览!$A$3="全年"))*AC116:AN116)</f>
        <v>0</v>
      </c>
    </row>
    <row r="117">
      <c r="A117">
        <f>IF(OR(存条明细!C117="",存条明细!D117=""),"",IF(COUNTIFS(存条明细!$C$4:C117,存条明细!C117,存条明细!$D$4:D117,存条明细!D117)&gt;1,"",IFERROR(MATCH(存条明细!C117,总览汇总!$B$5:$B$304,0),900)*10000000+IFERROR(MATCH(存条明细!D117,基础资料!$E$5:$E$104,0),900)*10000+ROW()))</f>
        <v>400040117</v>
      </c>
      <c r="B117">
        <f>IFERROR(MATCH(SMALL($A$4:$A$4003,114),$A$4:$A$4003,0),"")</f>
        <v>88</v>
      </c>
      <c r="D117">
        <f>IF(AND(商品库存!B117&lt;&gt;"",商品库存!B117=客户查询!$B$4),COUNTIF(商品库存!$B$4:B117,客户查询!$B$4),"")</f>
      </c>
      <c r="E117">
        <f>IF(AND(商品库存!B117&lt;&gt;"",商品库存!B117=客户对账单!$B$4),COUNTIF(商品库存!$B$4:B117,客户对账单!$B$4),"")</f>
      </c>
      <c r="F117">
        <f>IF(AND(出库明细!C117&lt;&gt;"",出库明细!C117=客户对账单!$B$4,ISNUMBER(出库明细!B117),出库明细!B117&gt;=客户对账单!$G$4,出库明细!B117&lt;=客户对账单!$I$4),出库明细!B117+ROW()/100000,"")</f>
      </c>
      <c r="H117">
        <f>IF(AND(采购进货!C117&lt;&gt;"",采购进货!C117=供应商对账单!$B$4,ISNUMBER(采购进货!B117),采购进货!B117&gt;=供应商对账单!$G$4,采购进货!B117&lt;=供应商对账单!$I$4),采购进货!B117+ROW()/100000,"")</f>
      </c>
      <c r="J117">
        <f>IF(总览汇总!$B117="","",N(总览汇总!$K117)+SUMIFS(出库明细!$G$4:$G$3003,出库明细!$C$4:$C$3003,总览汇总!$B117,出库明细!$B$4:$B$3003,"&gt;="&amp;年初日,出库明细!$B$4:$B$3003,"&lt;="&amp;资产负债表!$D$3)-SUMIFS(资金台帐!$S$7:$S$3006,资金台帐!$J$7:$J$3006,总览汇总!$B117,资金台帐!$P$7:$P$3006,"应收",资金台帐!$B$7:$B$3006,"&gt;="&amp;年初日,资金台帐!$B$7:$B$3006,"&lt;="&amp;资产负债表!$D$3))</f>
      </c>
      <c r="N117">
        <f>IF(AND(ISNUMBER(出库明细!G117),ISNUMBER(出库明细!E117),ISNUMBER(出库明细!F117)),IF(ABS(出库明细!G117-出库明细!E117*出库明细!F117)&gt;0.005,1,0),0)</f>
        <v>0</v>
      </c>
      <c r="O117">
        <f>IF(AND(ISNUMBER(存条明细!G117),ISNUMBER(存条明细!E117),ISNUMBER(存条明细!F117)),IF(ABS(存条明细!G117-存条明细!E117*存条明细!F117)&gt;0.005,1,0),0)</f>
        <v>0</v>
      </c>
      <c r="AA117">
        <f>IF(基础资料!Q12="","",基础资料!Q12&amp;"")</f>
      </c>
      <c r="AC117">
        <f>IF(OR($AA117="",AC$5=""),0,SUMIF(INDIRECT("'"&amp;AC$5&amp;"'!B6:B1000"),$AA117,INDIRECT("'"&amp;AC$5&amp;"'!H6:H1000")))</f>
        <v>0</v>
      </c>
      <c r="AD117">
        <f>IF(OR($AA117="",AD$5=""),0,SUMIF(INDIRECT("'"&amp;AD$5&amp;"'!B6:B1000"),$AA117,INDIRECT("'"&amp;AD$5&amp;"'!H6:H1000")))</f>
        <v>0</v>
      </c>
      <c r="AE117">
        <f>IF(OR($AA117="",AE$5=""),0,SUMIF(INDIRECT("'"&amp;AE$5&amp;"'!B6:B1000"),$AA117,INDIRECT("'"&amp;AE$5&amp;"'!H6:H1000")))</f>
        <v>0</v>
      </c>
      <c r="AF117">
        <f>IF(OR($AA117="",AF$5=""),0,SUMIF(INDIRECT("'"&amp;AF$5&amp;"'!B6:B1000"),$AA117,INDIRECT("'"&amp;AF$5&amp;"'!H6:H1000")))</f>
        <v>0</v>
      </c>
      <c r="AG117">
        <f>IF(OR($AA117="",AG$5=""),0,SUMIF(INDIRECT("'"&amp;AG$5&amp;"'!B6:B1000"),$AA117,INDIRECT("'"&amp;AG$5&amp;"'!H6:H1000")))</f>
        <v>0</v>
      </c>
      <c r="AH117">
        <f>IF(OR($AA117="",AH$5=""),0,SUMIF(INDIRECT("'"&amp;AH$5&amp;"'!B6:B1000"),$AA117,INDIRECT("'"&amp;AH$5&amp;"'!H6:H1000")))</f>
        <v>0</v>
      </c>
      <c r="AI117">
        <f>IF(OR($AA117="",AI$5=""),0,SUMIF(INDIRECT("'"&amp;AI$5&amp;"'!B6:B1000"),$AA117,INDIRECT("'"&amp;AI$5&amp;"'!H6:H1000")))</f>
        <v>0</v>
      </c>
      <c r="AJ117">
        <f>IF(OR($AA117="",AJ$5=""),0,SUMIF(INDIRECT("'"&amp;AJ$5&amp;"'!B6:B1000"),$AA117,INDIRECT("'"&amp;AJ$5&amp;"'!H6:H1000")))</f>
        <v>0</v>
      </c>
      <c r="AK117">
        <f>IF(OR($AA117="",AK$5=""),0,SUMIF(INDIRECT("'"&amp;AK$5&amp;"'!B6:B1000"),$AA117,INDIRECT("'"&amp;AK$5&amp;"'!H6:H1000")))</f>
        <v>0</v>
      </c>
      <c r="AL117">
        <f>IF(OR($AA117="",AL$5=""),0,SUMIF(INDIRECT("'"&amp;AL$5&amp;"'!B6:B1000"),$AA117,INDIRECT("'"&amp;AL$5&amp;"'!H6:H1000")))</f>
        <v>0</v>
      </c>
      <c r="AM117">
        <f>IF(OR($AA117="",AM$5=""),0,SUMIF(INDIRECT("'"&amp;AM$5&amp;"'!B6:B1000"),$AA117,INDIRECT("'"&amp;AM$5&amp;"'!H6:H1000")))</f>
        <v>0</v>
      </c>
      <c r="AN117">
        <f>IF(OR($AA117="",AN$5=""),0,SUMIF(INDIRECT("'"&amp;AN$5&amp;"'!B6:B1000"),$AA117,INDIRECT("'"&amp;AN$5&amp;"'!H6:H1000")))</f>
        <v>0</v>
      </c>
      <c r="BY117">
        <f>SUMPRODUCT((($AC$4:$AN$4=报损汇总一览!$A$3)+(报损汇总一览!$A$3="全年"))*AC117:AN117)</f>
        <v>0</v>
      </c>
    </row>
    <row r="118">
      <c r="A118">
        <f>IF(OR(存条明细!C118="",存条明细!D118=""),"",IF(COUNTIFS(存条明细!$C$4:C118,存条明细!C118,存条明细!$D$4:D118,存条明细!D118)&gt;1,"",IFERROR(MATCH(存条明细!C118,总览汇总!$B$5:$B$304,0),900)*10000000+IFERROR(MATCH(存条明细!D118,基础资料!$E$5:$E$104,0),900)*10000+ROW()))</f>
        <v>400120118</v>
      </c>
      <c r="B118">
        <f>IFERROR(MATCH(SMALL($A$4:$A$4003,115),$A$4:$A$4003,0),"")</f>
        <v>89</v>
      </c>
      <c r="D118">
        <f>IF(AND(商品库存!B118&lt;&gt;"",商品库存!B118=客户查询!$B$4),COUNTIF(商品库存!$B$4:B118,客户查询!$B$4),"")</f>
      </c>
      <c r="E118">
        <f>IF(AND(商品库存!B118&lt;&gt;"",商品库存!B118=客户对账单!$B$4),COUNTIF(商品库存!$B$4:B118,客户对账单!$B$4),"")</f>
      </c>
      <c r="F118">
        <f>IF(AND(出库明细!C118&lt;&gt;"",出库明细!C118=客户对账单!$B$4,ISNUMBER(出库明细!B118),出库明细!B118&gt;=客户对账单!$G$4,出库明细!B118&lt;=客户对账单!$I$4),出库明细!B118+ROW()/100000,"")</f>
      </c>
      <c r="H118">
        <f>IF(AND(采购进货!C118&lt;&gt;"",采购进货!C118=供应商对账单!$B$4,ISNUMBER(采购进货!B118),采购进货!B118&gt;=供应商对账单!$G$4,采购进货!B118&lt;=供应商对账单!$I$4),采购进货!B118+ROW()/100000,"")</f>
      </c>
      <c r="J118">
        <f>IF(总览汇总!$B118="","",N(总览汇总!$K118)+SUMIFS(出库明细!$G$4:$G$3003,出库明细!$C$4:$C$3003,总览汇总!$B118,出库明细!$B$4:$B$3003,"&gt;="&amp;年初日,出库明细!$B$4:$B$3003,"&lt;="&amp;资产负债表!$D$3)-SUMIFS(资金台帐!$S$7:$S$3006,资金台帐!$J$7:$J$3006,总览汇总!$B118,资金台帐!$P$7:$P$3006,"应收",资金台帐!$B$7:$B$3006,"&gt;="&amp;年初日,资金台帐!$B$7:$B$3006,"&lt;="&amp;资产负债表!$D$3))</f>
      </c>
      <c r="N118">
        <f>IF(AND(ISNUMBER(出库明细!G118),ISNUMBER(出库明细!E118),ISNUMBER(出库明细!F118)),IF(ABS(出库明细!G118-出库明细!E118*出库明细!F118)&gt;0.005,1,0),0)</f>
        <v>0</v>
      </c>
      <c r="O118">
        <f>IF(AND(ISNUMBER(存条明细!G118),ISNUMBER(存条明细!E118),ISNUMBER(存条明细!F118)),IF(ABS(存条明细!G118-存条明细!E118*存条明细!F118)&gt;0.005,1,0),0)</f>
        <v>0</v>
      </c>
      <c r="AA118">
        <f>IF(基础资料!Q13="","",基础资料!Q13&amp;"")</f>
      </c>
      <c r="AC118">
        <f>IF(OR($AA118="",AC$5=""),0,SUMIF(INDIRECT("'"&amp;AC$5&amp;"'!B6:B1000"),$AA118,INDIRECT("'"&amp;AC$5&amp;"'!H6:H1000")))</f>
        <v>0</v>
      </c>
      <c r="AD118">
        <f>IF(OR($AA118="",AD$5=""),0,SUMIF(INDIRECT("'"&amp;AD$5&amp;"'!B6:B1000"),$AA118,INDIRECT("'"&amp;AD$5&amp;"'!H6:H1000")))</f>
        <v>0</v>
      </c>
      <c r="AE118">
        <f>IF(OR($AA118="",AE$5=""),0,SUMIF(INDIRECT("'"&amp;AE$5&amp;"'!B6:B1000"),$AA118,INDIRECT("'"&amp;AE$5&amp;"'!H6:H1000")))</f>
        <v>0</v>
      </c>
      <c r="AF118">
        <f>IF(OR($AA118="",AF$5=""),0,SUMIF(INDIRECT("'"&amp;AF$5&amp;"'!B6:B1000"),$AA118,INDIRECT("'"&amp;AF$5&amp;"'!H6:H1000")))</f>
        <v>0</v>
      </c>
      <c r="AG118">
        <f>IF(OR($AA118="",AG$5=""),0,SUMIF(INDIRECT("'"&amp;AG$5&amp;"'!B6:B1000"),$AA118,INDIRECT("'"&amp;AG$5&amp;"'!H6:H1000")))</f>
        <v>0</v>
      </c>
      <c r="AH118">
        <f>IF(OR($AA118="",AH$5=""),0,SUMIF(INDIRECT("'"&amp;AH$5&amp;"'!B6:B1000"),$AA118,INDIRECT("'"&amp;AH$5&amp;"'!H6:H1000")))</f>
        <v>0</v>
      </c>
      <c r="AI118">
        <f>IF(OR($AA118="",AI$5=""),0,SUMIF(INDIRECT("'"&amp;AI$5&amp;"'!B6:B1000"),$AA118,INDIRECT("'"&amp;AI$5&amp;"'!H6:H1000")))</f>
        <v>0</v>
      </c>
      <c r="AJ118">
        <f>IF(OR($AA118="",AJ$5=""),0,SUMIF(INDIRECT("'"&amp;AJ$5&amp;"'!B6:B1000"),$AA118,INDIRECT("'"&amp;AJ$5&amp;"'!H6:H1000")))</f>
        <v>0</v>
      </c>
      <c r="AK118">
        <f>IF(OR($AA118="",AK$5=""),0,SUMIF(INDIRECT("'"&amp;AK$5&amp;"'!B6:B1000"),$AA118,INDIRECT("'"&amp;AK$5&amp;"'!H6:H1000")))</f>
        <v>0</v>
      </c>
      <c r="AL118">
        <f>IF(OR($AA118="",AL$5=""),0,SUMIF(INDIRECT("'"&amp;AL$5&amp;"'!B6:B1000"),$AA118,INDIRECT("'"&amp;AL$5&amp;"'!H6:H1000")))</f>
        <v>0</v>
      </c>
      <c r="AM118">
        <f>IF(OR($AA118="",AM$5=""),0,SUMIF(INDIRECT("'"&amp;AM$5&amp;"'!B6:B1000"),$AA118,INDIRECT("'"&amp;AM$5&amp;"'!H6:H1000")))</f>
        <v>0</v>
      </c>
      <c r="AN118">
        <f>IF(OR($AA118="",AN$5=""),0,SUMIF(INDIRECT("'"&amp;AN$5&amp;"'!B6:B1000"),$AA118,INDIRECT("'"&amp;AN$5&amp;"'!H6:H1000")))</f>
        <v>0</v>
      </c>
      <c r="BY118">
        <f>SUMPRODUCT((($AC$4:$AN$4=报损汇总一览!$A$3)+(报损汇总一览!$A$3="全年"))*AC118:AN118)</f>
        <v>0</v>
      </c>
    </row>
    <row r="119">
      <c r="A119">
        <f>IF(OR(存条明细!C119="",存条明细!D119=""),"",IF(COUNTIFS(存条明细!$C$4:C119,存条明细!C119,存条明细!$D$4:D119,存条明细!D119)&gt;1,"",IFERROR(MATCH(存条明细!C119,总览汇总!$B$5:$B$304,0),900)*10000000+IFERROR(MATCH(存条明细!D119,基础资料!$E$5:$E$104,0),900)*10000+ROW()))</f>
        <v>400070119</v>
      </c>
      <c r="B119">
        <f>IFERROR(MATCH(SMALL($A$4:$A$4003,116),$A$4:$A$4003,0),"")</f>
        <v>90</v>
      </c>
      <c r="D119">
        <f>IF(AND(商品库存!B119&lt;&gt;"",商品库存!B119=客户查询!$B$4),COUNTIF(商品库存!$B$4:B119,客户查询!$B$4),"")</f>
      </c>
      <c r="E119">
        <f>IF(AND(商品库存!B119&lt;&gt;"",商品库存!B119=客户对账单!$B$4),COUNTIF(商品库存!$B$4:B119,客户对账单!$B$4),"")</f>
      </c>
      <c r="F119">
        <f>IF(AND(出库明细!C119&lt;&gt;"",出库明细!C119=客户对账单!$B$4,ISNUMBER(出库明细!B119),出库明细!B119&gt;=客户对账单!$G$4,出库明细!B119&lt;=客户对账单!$I$4),出库明细!B119+ROW()/100000,"")</f>
      </c>
      <c r="H119">
        <f>IF(AND(采购进货!C119&lt;&gt;"",采购进货!C119=供应商对账单!$B$4,ISNUMBER(采购进货!B119),采购进货!B119&gt;=供应商对账单!$G$4,采购进货!B119&lt;=供应商对账单!$I$4),采购进货!B119+ROW()/100000,"")</f>
      </c>
      <c r="J119">
        <f>IF(总览汇总!$B119="","",N(总览汇总!$K119)+SUMIFS(出库明细!$G$4:$G$3003,出库明细!$C$4:$C$3003,总览汇总!$B119,出库明细!$B$4:$B$3003,"&gt;="&amp;年初日,出库明细!$B$4:$B$3003,"&lt;="&amp;资产负债表!$D$3)-SUMIFS(资金台帐!$S$7:$S$3006,资金台帐!$J$7:$J$3006,总览汇总!$B119,资金台帐!$P$7:$P$3006,"应收",资金台帐!$B$7:$B$3006,"&gt;="&amp;年初日,资金台帐!$B$7:$B$3006,"&lt;="&amp;资产负债表!$D$3))</f>
      </c>
      <c r="N119">
        <f>IF(AND(ISNUMBER(出库明细!G119),ISNUMBER(出库明细!E119),ISNUMBER(出库明细!F119)),IF(ABS(出库明细!G119-出库明细!E119*出库明细!F119)&gt;0.005,1,0),0)</f>
        <v>0</v>
      </c>
      <c r="O119">
        <f>IF(AND(ISNUMBER(存条明细!G119),ISNUMBER(存条明细!E119),ISNUMBER(存条明细!F119)),IF(ABS(存条明细!G119-存条明细!E119*存条明细!F119)&gt;0.005,1,0),0)</f>
        <v>0</v>
      </c>
      <c r="AA119">
        <f>IF(基础资料!Q14="","",基础资料!Q14&amp;"")</f>
      </c>
      <c r="AC119">
        <f>IF(OR($AA119="",AC$5=""),0,SUMIF(INDIRECT("'"&amp;AC$5&amp;"'!B6:B1000"),$AA119,INDIRECT("'"&amp;AC$5&amp;"'!H6:H1000")))</f>
        <v>0</v>
      </c>
      <c r="AD119">
        <f>IF(OR($AA119="",AD$5=""),0,SUMIF(INDIRECT("'"&amp;AD$5&amp;"'!B6:B1000"),$AA119,INDIRECT("'"&amp;AD$5&amp;"'!H6:H1000")))</f>
        <v>0</v>
      </c>
      <c r="AE119">
        <f>IF(OR($AA119="",AE$5=""),0,SUMIF(INDIRECT("'"&amp;AE$5&amp;"'!B6:B1000"),$AA119,INDIRECT("'"&amp;AE$5&amp;"'!H6:H1000")))</f>
        <v>0</v>
      </c>
      <c r="AF119">
        <f>IF(OR($AA119="",AF$5=""),0,SUMIF(INDIRECT("'"&amp;AF$5&amp;"'!B6:B1000"),$AA119,INDIRECT("'"&amp;AF$5&amp;"'!H6:H1000")))</f>
        <v>0</v>
      </c>
      <c r="AG119">
        <f>IF(OR($AA119="",AG$5=""),0,SUMIF(INDIRECT("'"&amp;AG$5&amp;"'!B6:B1000"),$AA119,INDIRECT("'"&amp;AG$5&amp;"'!H6:H1000")))</f>
        <v>0</v>
      </c>
      <c r="AH119">
        <f>IF(OR($AA119="",AH$5=""),0,SUMIF(INDIRECT("'"&amp;AH$5&amp;"'!B6:B1000"),$AA119,INDIRECT("'"&amp;AH$5&amp;"'!H6:H1000")))</f>
        <v>0</v>
      </c>
      <c r="AI119">
        <f>IF(OR($AA119="",AI$5=""),0,SUMIF(INDIRECT("'"&amp;AI$5&amp;"'!B6:B1000"),$AA119,INDIRECT("'"&amp;AI$5&amp;"'!H6:H1000")))</f>
        <v>0</v>
      </c>
      <c r="AJ119">
        <f>IF(OR($AA119="",AJ$5=""),0,SUMIF(INDIRECT("'"&amp;AJ$5&amp;"'!B6:B1000"),$AA119,INDIRECT("'"&amp;AJ$5&amp;"'!H6:H1000")))</f>
        <v>0</v>
      </c>
      <c r="AK119">
        <f>IF(OR($AA119="",AK$5=""),0,SUMIF(INDIRECT("'"&amp;AK$5&amp;"'!B6:B1000"),$AA119,INDIRECT("'"&amp;AK$5&amp;"'!H6:H1000")))</f>
        <v>0</v>
      </c>
      <c r="AL119">
        <f>IF(OR($AA119="",AL$5=""),0,SUMIF(INDIRECT("'"&amp;AL$5&amp;"'!B6:B1000"),$AA119,INDIRECT("'"&amp;AL$5&amp;"'!H6:H1000")))</f>
        <v>0</v>
      </c>
      <c r="AM119">
        <f>IF(OR($AA119="",AM$5=""),0,SUMIF(INDIRECT("'"&amp;AM$5&amp;"'!B6:B1000"),$AA119,INDIRECT("'"&amp;AM$5&amp;"'!H6:H1000")))</f>
        <v>0</v>
      </c>
      <c r="AN119">
        <f>IF(OR($AA119="",AN$5=""),0,SUMIF(INDIRECT("'"&amp;AN$5&amp;"'!B6:B1000"),$AA119,INDIRECT("'"&amp;AN$5&amp;"'!H6:H1000")))</f>
        <v>0</v>
      </c>
      <c r="BY119">
        <f>SUMPRODUCT((($AC$4:$AN$4=报损汇总一览!$A$3)+(报损汇总一览!$A$3="全年"))*AC119:AN119)</f>
        <v>0</v>
      </c>
    </row>
    <row r="120">
      <c r="A120">
        <f>IF(OR(存条明细!C120="",存条明细!D120=""),"",IF(COUNTIFS(存条明细!$C$4:C120,存条明细!C120,存条明细!$D$4:D120,存条明细!D120)&gt;1,"",IFERROR(MATCH(存条明细!C120,总览汇总!$B$5:$B$304,0),900)*10000000+IFERROR(MATCH(存条明细!D120,基础资料!$E$5:$E$104,0),900)*10000+ROW()))</f>
        <v>400050120</v>
      </c>
      <c r="B120">
        <f>IFERROR(MATCH(SMALL($A$4:$A$4003,117),$A$4:$A$4003,0),"")</f>
        <v>94</v>
      </c>
      <c r="D120">
        <f>IF(AND(商品库存!B120&lt;&gt;"",商品库存!B120=客户查询!$B$4),COUNTIF(商品库存!$B$4:B120,客户查询!$B$4),"")</f>
      </c>
      <c r="E120">
        <f>IF(AND(商品库存!B120&lt;&gt;"",商品库存!B120=客户对账单!$B$4),COUNTIF(商品库存!$B$4:B120,客户对账单!$B$4),"")</f>
      </c>
      <c r="F120">
        <f>IF(AND(出库明细!C120&lt;&gt;"",出库明细!C120=客户对账单!$B$4,ISNUMBER(出库明细!B120),出库明细!B120&gt;=客户对账单!$G$4,出库明细!B120&lt;=客户对账单!$I$4),出库明细!B120+ROW()/100000,"")</f>
      </c>
      <c r="H120">
        <f>IF(AND(采购进货!C120&lt;&gt;"",采购进货!C120=供应商对账单!$B$4,ISNUMBER(采购进货!B120),采购进货!B120&gt;=供应商对账单!$G$4,采购进货!B120&lt;=供应商对账单!$I$4),采购进货!B120+ROW()/100000,"")</f>
      </c>
      <c r="J120">
        <f>IF(总览汇总!$B120="","",N(总览汇总!$K120)+SUMIFS(出库明细!$G$4:$G$3003,出库明细!$C$4:$C$3003,总览汇总!$B120,出库明细!$B$4:$B$3003,"&gt;="&amp;年初日,出库明细!$B$4:$B$3003,"&lt;="&amp;资产负债表!$D$3)-SUMIFS(资金台帐!$S$7:$S$3006,资金台帐!$J$7:$J$3006,总览汇总!$B120,资金台帐!$P$7:$P$3006,"应收",资金台帐!$B$7:$B$3006,"&gt;="&amp;年初日,资金台帐!$B$7:$B$3006,"&lt;="&amp;资产负债表!$D$3))</f>
      </c>
      <c r="N120">
        <f>IF(AND(ISNUMBER(出库明细!G120),ISNUMBER(出库明细!E120),ISNUMBER(出库明细!F120)),IF(ABS(出库明细!G120-出库明细!E120*出库明细!F120)&gt;0.005,1,0),0)</f>
        <v>0</v>
      </c>
      <c r="O120">
        <f>IF(AND(ISNUMBER(存条明细!G120),ISNUMBER(存条明细!E120),ISNUMBER(存条明细!F120)),IF(ABS(存条明细!G120-存条明细!E120*存条明细!F120)&gt;0.005,1,0),0)</f>
        <v>0</v>
      </c>
      <c r="AA120">
        <f>IF(基础资料!Q15="","",基础资料!Q15&amp;"")</f>
      </c>
      <c r="AC120">
        <f>IF(OR($AA120="",AC$5=""),0,SUMIF(INDIRECT("'"&amp;AC$5&amp;"'!B6:B1000"),$AA120,INDIRECT("'"&amp;AC$5&amp;"'!H6:H1000")))</f>
        <v>0</v>
      </c>
      <c r="AD120">
        <f>IF(OR($AA120="",AD$5=""),0,SUMIF(INDIRECT("'"&amp;AD$5&amp;"'!B6:B1000"),$AA120,INDIRECT("'"&amp;AD$5&amp;"'!H6:H1000")))</f>
        <v>0</v>
      </c>
      <c r="AE120">
        <f>IF(OR($AA120="",AE$5=""),0,SUMIF(INDIRECT("'"&amp;AE$5&amp;"'!B6:B1000"),$AA120,INDIRECT("'"&amp;AE$5&amp;"'!H6:H1000")))</f>
        <v>0</v>
      </c>
      <c r="AF120">
        <f>IF(OR($AA120="",AF$5=""),0,SUMIF(INDIRECT("'"&amp;AF$5&amp;"'!B6:B1000"),$AA120,INDIRECT("'"&amp;AF$5&amp;"'!H6:H1000")))</f>
        <v>0</v>
      </c>
      <c r="AG120">
        <f>IF(OR($AA120="",AG$5=""),0,SUMIF(INDIRECT("'"&amp;AG$5&amp;"'!B6:B1000"),$AA120,INDIRECT("'"&amp;AG$5&amp;"'!H6:H1000")))</f>
        <v>0</v>
      </c>
      <c r="AH120">
        <f>IF(OR($AA120="",AH$5=""),0,SUMIF(INDIRECT("'"&amp;AH$5&amp;"'!B6:B1000"),$AA120,INDIRECT("'"&amp;AH$5&amp;"'!H6:H1000")))</f>
        <v>0</v>
      </c>
      <c r="AI120">
        <f>IF(OR($AA120="",AI$5=""),0,SUMIF(INDIRECT("'"&amp;AI$5&amp;"'!B6:B1000"),$AA120,INDIRECT("'"&amp;AI$5&amp;"'!H6:H1000")))</f>
        <v>0</v>
      </c>
      <c r="AJ120">
        <f>IF(OR($AA120="",AJ$5=""),0,SUMIF(INDIRECT("'"&amp;AJ$5&amp;"'!B6:B1000"),$AA120,INDIRECT("'"&amp;AJ$5&amp;"'!H6:H1000")))</f>
        <v>0</v>
      </c>
      <c r="AK120">
        <f>IF(OR($AA120="",AK$5=""),0,SUMIF(INDIRECT("'"&amp;AK$5&amp;"'!B6:B1000"),$AA120,INDIRECT("'"&amp;AK$5&amp;"'!H6:H1000")))</f>
        <v>0</v>
      </c>
      <c r="AL120">
        <f>IF(OR($AA120="",AL$5=""),0,SUMIF(INDIRECT("'"&amp;AL$5&amp;"'!B6:B1000"),$AA120,INDIRECT("'"&amp;AL$5&amp;"'!H6:H1000")))</f>
        <v>0</v>
      </c>
      <c r="AM120">
        <f>IF(OR($AA120="",AM$5=""),0,SUMIF(INDIRECT("'"&amp;AM$5&amp;"'!B6:B1000"),$AA120,INDIRECT("'"&amp;AM$5&amp;"'!H6:H1000")))</f>
        <v>0</v>
      </c>
      <c r="AN120">
        <f>IF(OR($AA120="",AN$5=""),0,SUMIF(INDIRECT("'"&amp;AN$5&amp;"'!B6:B1000"),$AA120,INDIRECT("'"&amp;AN$5&amp;"'!H6:H1000")))</f>
        <v>0</v>
      </c>
      <c r="BY120">
        <f>SUMPRODUCT((($AC$4:$AN$4=报损汇总一览!$A$3)+(报损汇总一览!$A$3="全年"))*AC120:AN120)</f>
        <v>0</v>
      </c>
    </row>
    <row r="121">
      <c r="A121">
        <f>IF(OR(存条明细!C121="",存条明细!D121=""),"",IF(COUNTIFS(存条明细!$C$4:C121,存条明细!C121,存条明细!$D$4:D121,存条明细!D121)&gt;1,"",IFERROR(MATCH(存条明细!C121,总览汇总!$B$5:$B$304,0),900)*10000000+IFERROR(MATCH(存条明细!D121,基础资料!$E$5:$E$104,0),900)*10000+ROW()))</f>
      </c>
      <c r="B121">
        <f>IFERROR(MATCH(SMALL($A$4:$A$4003,118),$A$4:$A$4003,0),"")</f>
        <v>92</v>
      </c>
      <c r="D121">
        <f>IF(AND(商品库存!B121&lt;&gt;"",商品库存!B121=客户查询!$B$4),COUNTIF(商品库存!$B$4:B121,客户查询!$B$4),"")</f>
      </c>
      <c r="E121">
        <f>IF(AND(商品库存!B121&lt;&gt;"",商品库存!B121=客户对账单!$B$4),COUNTIF(商品库存!$B$4:B121,客户对账单!$B$4),"")</f>
      </c>
      <c r="F121">
        <f>IF(AND(出库明细!C121&lt;&gt;"",出库明细!C121=客户对账单!$B$4,ISNUMBER(出库明细!B121),出库明细!B121&gt;=客户对账单!$G$4,出库明细!B121&lt;=客户对账单!$I$4),出库明细!B121+ROW()/100000,"")</f>
      </c>
      <c r="H121">
        <f>IF(AND(采购进货!C121&lt;&gt;"",采购进货!C121=供应商对账单!$B$4,ISNUMBER(采购进货!B121),采购进货!B121&gt;=供应商对账单!$G$4,采购进货!B121&lt;=供应商对账单!$I$4),采购进货!B121+ROW()/100000,"")</f>
      </c>
      <c r="J121">
        <f>IF(总览汇总!$B121="","",N(总览汇总!$K121)+SUMIFS(出库明细!$G$4:$G$3003,出库明细!$C$4:$C$3003,总览汇总!$B121,出库明细!$B$4:$B$3003,"&gt;="&amp;年初日,出库明细!$B$4:$B$3003,"&lt;="&amp;资产负债表!$D$3)-SUMIFS(资金台帐!$S$7:$S$3006,资金台帐!$J$7:$J$3006,总览汇总!$B121,资金台帐!$P$7:$P$3006,"应收",资金台帐!$B$7:$B$3006,"&gt;="&amp;年初日,资金台帐!$B$7:$B$3006,"&lt;="&amp;资产负债表!$D$3))</f>
      </c>
      <c r="N121">
        <f>IF(AND(ISNUMBER(出库明细!G121),ISNUMBER(出库明细!E121),ISNUMBER(出库明细!F121)),IF(ABS(出库明细!G121-出库明细!E121*出库明细!F121)&gt;0.005,1,0),0)</f>
        <v>0</v>
      </c>
      <c r="O121">
        <f>IF(AND(ISNUMBER(存条明细!G121),ISNUMBER(存条明细!E121),ISNUMBER(存条明细!F121)),IF(ABS(存条明细!G121-存条明细!E121*存条明细!F121)&gt;0.005,1,0),0)</f>
        <v>1</v>
      </c>
      <c r="AA121">
        <f>IF(基础资料!Q16="","",基础资料!Q16&amp;"")</f>
      </c>
      <c r="AC121">
        <f>IF(OR($AA121="",AC$5=""),0,SUMIF(INDIRECT("'"&amp;AC$5&amp;"'!B6:B1000"),$AA121,INDIRECT("'"&amp;AC$5&amp;"'!H6:H1000")))</f>
        <v>0</v>
      </c>
      <c r="AD121">
        <f>IF(OR($AA121="",AD$5=""),0,SUMIF(INDIRECT("'"&amp;AD$5&amp;"'!B6:B1000"),$AA121,INDIRECT("'"&amp;AD$5&amp;"'!H6:H1000")))</f>
        <v>0</v>
      </c>
      <c r="AE121">
        <f>IF(OR($AA121="",AE$5=""),0,SUMIF(INDIRECT("'"&amp;AE$5&amp;"'!B6:B1000"),$AA121,INDIRECT("'"&amp;AE$5&amp;"'!H6:H1000")))</f>
        <v>0</v>
      </c>
      <c r="AF121">
        <f>IF(OR($AA121="",AF$5=""),0,SUMIF(INDIRECT("'"&amp;AF$5&amp;"'!B6:B1000"),$AA121,INDIRECT("'"&amp;AF$5&amp;"'!H6:H1000")))</f>
        <v>0</v>
      </c>
      <c r="AG121">
        <f>IF(OR($AA121="",AG$5=""),0,SUMIF(INDIRECT("'"&amp;AG$5&amp;"'!B6:B1000"),$AA121,INDIRECT("'"&amp;AG$5&amp;"'!H6:H1000")))</f>
        <v>0</v>
      </c>
      <c r="AH121">
        <f>IF(OR($AA121="",AH$5=""),0,SUMIF(INDIRECT("'"&amp;AH$5&amp;"'!B6:B1000"),$AA121,INDIRECT("'"&amp;AH$5&amp;"'!H6:H1000")))</f>
        <v>0</v>
      </c>
      <c r="AI121">
        <f>IF(OR($AA121="",AI$5=""),0,SUMIF(INDIRECT("'"&amp;AI$5&amp;"'!B6:B1000"),$AA121,INDIRECT("'"&amp;AI$5&amp;"'!H6:H1000")))</f>
        <v>0</v>
      </c>
      <c r="AJ121">
        <f>IF(OR($AA121="",AJ$5=""),0,SUMIF(INDIRECT("'"&amp;AJ$5&amp;"'!B6:B1000"),$AA121,INDIRECT("'"&amp;AJ$5&amp;"'!H6:H1000")))</f>
        <v>0</v>
      </c>
      <c r="AK121">
        <f>IF(OR($AA121="",AK$5=""),0,SUMIF(INDIRECT("'"&amp;AK$5&amp;"'!B6:B1000"),$AA121,INDIRECT("'"&amp;AK$5&amp;"'!H6:H1000")))</f>
        <v>0</v>
      </c>
      <c r="AL121">
        <f>IF(OR($AA121="",AL$5=""),0,SUMIF(INDIRECT("'"&amp;AL$5&amp;"'!B6:B1000"),$AA121,INDIRECT("'"&amp;AL$5&amp;"'!H6:H1000")))</f>
        <v>0</v>
      </c>
      <c r="AM121">
        <f>IF(OR($AA121="",AM$5=""),0,SUMIF(INDIRECT("'"&amp;AM$5&amp;"'!B6:B1000"),$AA121,INDIRECT("'"&amp;AM$5&amp;"'!H6:H1000")))</f>
        <v>0</v>
      </c>
      <c r="AN121">
        <f>IF(OR($AA121="",AN$5=""),0,SUMIF(INDIRECT("'"&amp;AN$5&amp;"'!B6:B1000"),$AA121,INDIRECT("'"&amp;AN$5&amp;"'!H6:H1000")))</f>
        <v>0</v>
      </c>
      <c r="BY121">
        <f>SUMPRODUCT((($AC$4:$AN$4=报损汇总一览!$A$3)+(报损汇总一览!$A$3="全年"))*AC121:AN121)</f>
        <v>0</v>
      </c>
    </row>
    <row r="122">
      <c r="A122">
        <f>IF(OR(存条明细!C122="",存条明细!D122=""),"",IF(COUNTIFS(存条明细!$C$4:C122,存条明细!C122,存条明细!$D$4:D122,存条明细!D122)&gt;1,"",IFERROR(MATCH(存条明细!C122,总览汇总!$B$5:$B$304,0),900)*10000000+IFERROR(MATCH(存条明细!D122,基础资料!$E$5:$E$104,0),900)*10000+ROW()))</f>
        <v>410010122</v>
      </c>
      <c r="B122">
        <f>IFERROR(MATCH(SMALL($A$4:$A$4003,119),$A$4:$A$4003,0),"")</f>
        <v>91</v>
      </c>
      <c r="D122">
        <f>IF(AND(商品库存!B122&lt;&gt;"",商品库存!B122=客户查询!$B$4),COUNTIF(商品库存!$B$4:B122,客户查询!$B$4),"")</f>
      </c>
      <c r="E122">
        <f>IF(AND(商品库存!B122&lt;&gt;"",商品库存!B122=客户对账单!$B$4),COUNTIF(商品库存!$B$4:B122,客户对账单!$B$4),"")</f>
      </c>
      <c r="F122">
        <f>IF(AND(出库明细!C122&lt;&gt;"",出库明细!C122=客户对账单!$B$4,ISNUMBER(出库明细!B122),出库明细!B122&gt;=客户对账单!$G$4,出库明细!B122&lt;=客户对账单!$I$4),出库明细!B122+ROW()/100000,"")</f>
      </c>
      <c r="H122">
        <f>IF(AND(采购进货!C122&lt;&gt;"",采购进货!C122=供应商对账单!$B$4,ISNUMBER(采购进货!B122),采购进货!B122&gt;=供应商对账单!$G$4,采购进货!B122&lt;=供应商对账单!$I$4),采购进货!B122+ROW()/100000,"")</f>
      </c>
      <c r="J122">
        <f>IF(总览汇总!$B122="","",N(总览汇总!$K122)+SUMIFS(出库明细!$G$4:$G$3003,出库明细!$C$4:$C$3003,总览汇总!$B122,出库明细!$B$4:$B$3003,"&gt;="&amp;年初日,出库明细!$B$4:$B$3003,"&lt;="&amp;资产负债表!$D$3)-SUMIFS(资金台帐!$S$7:$S$3006,资金台帐!$J$7:$J$3006,总览汇总!$B122,资金台帐!$P$7:$P$3006,"应收",资金台帐!$B$7:$B$3006,"&gt;="&amp;年初日,资金台帐!$B$7:$B$3006,"&lt;="&amp;资产负债表!$D$3))</f>
      </c>
      <c r="N122">
        <f>IF(AND(ISNUMBER(出库明细!G122),ISNUMBER(出库明细!E122),ISNUMBER(出库明细!F122)),IF(ABS(出库明细!G122-出库明细!E122*出库明细!F122)&gt;0.005,1,0),0)</f>
        <v>0</v>
      </c>
      <c r="O122">
        <f>IF(AND(ISNUMBER(存条明细!G122),ISNUMBER(存条明细!E122),ISNUMBER(存条明细!F122)),IF(ABS(存条明细!G122-存条明细!E122*存条明细!F122)&gt;0.005,1,0),0)</f>
        <v>0</v>
      </c>
      <c r="AA122">
        <f>IF(基础资料!Q17="","",基础资料!Q17&amp;"")</f>
      </c>
      <c r="AC122">
        <f>IF(OR($AA122="",AC$5=""),0,SUMIF(INDIRECT("'"&amp;AC$5&amp;"'!B6:B1000"),$AA122,INDIRECT("'"&amp;AC$5&amp;"'!H6:H1000")))</f>
        <v>0</v>
      </c>
      <c r="AD122">
        <f>IF(OR($AA122="",AD$5=""),0,SUMIF(INDIRECT("'"&amp;AD$5&amp;"'!B6:B1000"),$AA122,INDIRECT("'"&amp;AD$5&amp;"'!H6:H1000")))</f>
        <v>0</v>
      </c>
      <c r="AE122">
        <f>IF(OR($AA122="",AE$5=""),0,SUMIF(INDIRECT("'"&amp;AE$5&amp;"'!B6:B1000"),$AA122,INDIRECT("'"&amp;AE$5&amp;"'!H6:H1000")))</f>
        <v>0</v>
      </c>
      <c r="AF122">
        <f>IF(OR($AA122="",AF$5=""),0,SUMIF(INDIRECT("'"&amp;AF$5&amp;"'!B6:B1000"),$AA122,INDIRECT("'"&amp;AF$5&amp;"'!H6:H1000")))</f>
        <v>0</v>
      </c>
      <c r="AG122">
        <f>IF(OR($AA122="",AG$5=""),0,SUMIF(INDIRECT("'"&amp;AG$5&amp;"'!B6:B1000"),$AA122,INDIRECT("'"&amp;AG$5&amp;"'!H6:H1000")))</f>
        <v>0</v>
      </c>
      <c r="AH122">
        <f>IF(OR($AA122="",AH$5=""),0,SUMIF(INDIRECT("'"&amp;AH$5&amp;"'!B6:B1000"),$AA122,INDIRECT("'"&amp;AH$5&amp;"'!H6:H1000")))</f>
        <v>0</v>
      </c>
      <c r="AI122">
        <f>IF(OR($AA122="",AI$5=""),0,SUMIF(INDIRECT("'"&amp;AI$5&amp;"'!B6:B1000"),$AA122,INDIRECT("'"&amp;AI$5&amp;"'!H6:H1000")))</f>
        <v>0</v>
      </c>
      <c r="AJ122">
        <f>IF(OR($AA122="",AJ$5=""),0,SUMIF(INDIRECT("'"&amp;AJ$5&amp;"'!B6:B1000"),$AA122,INDIRECT("'"&amp;AJ$5&amp;"'!H6:H1000")))</f>
        <v>0</v>
      </c>
      <c r="AK122">
        <f>IF(OR($AA122="",AK$5=""),0,SUMIF(INDIRECT("'"&amp;AK$5&amp;"'!B6:B1000"),$AA122,INDIRECT("'"&amp;AK$5&amp;"'!H6:H1000")))</f>
        <v>0</v>
      </c>
      <c r="AL122">
        <f>IF(OR($AA122="",AL$5=""),0,SUMIF(INDIRECT("'"&amp;AL$5&amp;"'!B6:B1000"),$AA122,INDIRECT("'"&amp;AL$5&amp;"'!H6:H1000")))</f>
        <v>0</v>
      </c>
      <c r="AM122">
        <f>IF(OR($AA122="",AM$5=""),0,SUMIF(INDIRECT("'"&amp;AM$5&amp;"'!B6:B1000"),$AA122,INDIRECT("'"&amp;AM$5&amp;"'!H6:H1000")))</f>
        <v>0</v>
      </c>
      <c r="AN122">
        <f>IF(OR($AA122="",AN$5=""),0,SUMIF(INDIRECT("'"&amp;AN$5&amp;"'!B6:B1000"),$AA122,INDIRECT("'"&amp;AN$5&amp;"'!H6:H1000")))</f>
        <v>0</v>
      </c>
      <c r="BY122">
        <f>SUMPRODUCT((($AC$4:$AN$4=报损汇总一览!$A$3)+(报损汇总一览!$A$3="全年"))*AC122:AN122)</f>
        <v>0</v>
      </c>
    </row>
    <row r="123">
      <c r="A123">
        <f>IF(OR(存条明细!C123="",存条明细!D123=""),"",IF(COUNTIFS(存条明细!$C$4:C123,存条明细!C123,存条明细!$D$4:D123,存条明细!D123)&gt;1,"",IFERROR(MATCH(存条明细!C123,总览汇总!$B$5:$B$304,0),900)*10000000+IFERROR(MATCH(存条明细!D123,基础资料!$E$5:$E$104,0),900)*10000+ROW()))</f>
        <v>420010123</v>
      </c>
      <c r="B123">
        <f>IFERROR(MATCH(SMALL($A$4:$A$4003,120),$A$4:$A$4003,0),"")</f>
        <v>95</v>
      </c>
      <c r="D123">
        <f>IF(AND(商品库存!B123&lt;&gt;"",商品库存!B123=客户查询!$B$4),COUNTIF(商品库存!$B$4:B123,客户查询!$B$4),"")</f>
      </c>
      <c r="E123">
        <f>IF(AND(商品库存!B123&lt;&gt;"",商品库存!B123=客户对账单!$B$4),COUNTIF(商品库存!$B$4:B123,客户对账单!$B$4),"")</f>
      </c>
      <c r="F123">
        <f>IF(AND(出库明细!C123&lt;&gt;"",出库明细!C123=客户对账单!$B$4,ISNUMBER(出库明细!B123),出库明细!B123&gt;=客户对账单!$G$4,出库明细!B123&lt;=客户对账单!$I$4),出库明细!B123+ROW()/100000,"")</f>
      </c>
      <c r="H123">
        <f>IF(AND(采购进货!C123&lt;&gt;"",采购进货!C123=供应商对账单!$B$4,ISNUMBER(采购进货!B123),采购进货!B123&gt;=供应商对账单!$G$4,采购进货!B123&lt;=供应商对账单!$I$4),采购进货!B123+ROW()/100000,"")</f>
      </c>
      <c r="J123">
        <f>IF(总览汇总!$B123="","",N(总览汇总!$K123)+SUMIFS(出库明细!$G$4:$G$3003,出库明细!$C$4:$C$3003,总览汇总!$B123,出库明细!$B$4:$B$3003,"&gt;="&amp;年初日,出库明细!$B$4:$B$3003,"&lt;="&amp;资产负债表!$D$3)-SUMIFS(资金台帐!$S$7:$S$3006,资金台帐!$J$7:$J$3006,总览汇总!$B123,资金台帐!$P$7:$P$3006,"应收",资金台帐!$B$7:$B$3006,"&gt;="&amp;年初日,资金台帐!$B$7:$B$3006,"&lt;="&amp;资产负债表!$D$3))</f>
      </c>
      <c r="N123">
        <f>IF(AND(ISNUMBER(出库明细!G123),ISNUMBER(出库明细!E123),ISNUMBER(出库明细!F123)),IF(ABS(出库明细!G123-出库明细!E123*出库明细!F123)&gt;0.005,1,0),0)</f>
        <v>0</v>
      </c>
      <c r="O123">
        <f>IF(AND(ISNUMBER(存条明细!G123),ISNUMBER(存条明细!E123),ISNUMBER(存条明细!F123)),IF(ABS(存条明细!G123-存条明细!E123*存条明细!F123)&gt;0.005,1,0),0)</f>
        <v>0</v>
      </c>
      <c r="AA123">
        <f>IF(基础资料!Q18="","",基础资料!Q18&amp;"")</f>
      </c>
      <c r="AC123">
        <f>IF(OR($AA123="",AC$5=""),0,SUMIF(INDIRECT("'"&amp;AC$5&amp;"'!B6:B1000"),$AA123,INDIRECT("'"&amp;AC$5&amp;"'!H6:H1000")))</f>
        <v>0</v>
      </c>
      <c r="AD123">
        <f>IF(OR($AA123="",AD$5=""),0,SUMIF(INDIRECT("'"&amp;AD$5&amp;"'!B6:B1000"),$AA123,INDIRECT("'"&amp;AD$5&amp;"'!H6:H1000")))</f>
        <v>0</v>
      </c>
      <c r="AE123">
        <f>IF(OR($AA123="",AE$5=""),0,SUMIF(INDIRECT("'"&amp;AE$5&amp;"'!B6:B1000"),$AA123,INDIRECT("'"&amp;AE$5&amp;"'!H6:H1000")))</f>
        <v>0</v>
      </c>
      <c r="AF123">
        <f>IF(OR($AA123="",AF$5=""),0,SUMIF(INDIRECT("'"&amp;AF$5&amp;"'!B6:B1000"),$AA123,INDIRECT("'"&amp;AF$5&amp;"'!H6:H1000")))</f>
        <v>0</v>
      </c>
      <c r="AG123">
        <f>IF(OR($AA123="",AG$5=""),0,SUMIF(INDIRECT("'"&amp;AG$5&amp;"'!B6:B1000"),$AA123,INDIRECT("'"&amp;AG$5&amp;"'!H6:H1000")))</f>
        <v>0</v>
      </c>
      <c r="AH123">
        <f>IF(OR($AA123="",AH$5=""),0,SUMIF(INDIRECT("'"&amp;AH$5&amp;"'!B6:B1000"),$AA123,INDIRECT("'"&amp;AH$5&amp;"'!H6:H1000")))</f>
        <v>0</v>
      </c>
      <c r="AI123">
        <f>IF(OR($AA123="",AI$5=""),0,SUMIF(INDIRECT("'"&amp;AI$5&amp;"'!B6:B1000"),$AA123,INDIRECT("'"&amp;AI$5&amp;"'!H6:H1000")))</f>
        <v>0</v>
      </c>
      <c r="AJ123">
        <f>IF(OR($AA123="",AJ$5=""),0,SUMIF(INDIRECT("'"&amp;AJ$5&amp;"'!B6:B1000"),$AA123,INDIRECT("'"&amp;AJ$5&amp;"'!H6:H1000")))</f>
        <v>0</v>
      </c>
      <c r="AK123">
        <f>IF(OR($AA123="",AK$5=""),0,SUMIF(INDIRECT("'"&amp;AK$5&amp;"'!B6:B1000"),$AA123,INDIRECT("'"&amp;AK$5&amp;"'!H6:H1000")))</f>
        <v>0</v>
      </c>
      <c r="AL123">
        <f>IF(OR($AA123="",AL$5=""),0,SUMIF(INDIRECT("'"&amp;AL$5&amp;"'!B6:B1000"),$AA123,INDIRECT("'"&amp;AL$5&amp;"'!H6:H1000")))</f>
        <v>0</v>
      </c>
      <c r="AM123">
        <f>IF(OR($AA123="",AM$5=""),0,SUMIF(INDIRECT("'"&amp;AM$5&amp;"'!B6:B1000"),$AA123,INDIRECT("'"&amp;AM$5&amp;"'!H6:H1000")))</f>
        <v>0</v>
      </c>
      <c r="AN123">
        <f>IF(OR($AA123="",AN$5=""),0,SUMIF(INDIRECT("'"&amp;AN$5&amp;"'!B6:B1000"),$AA123,INDIRECT("'"&amp;AN$5&amp;"'!H6:H1000")))</f>
        <v>0</v>
      </c>
      <c r="BY123">
        <f>SUMPRODUCT((($AC$4:$AN$4=报损汇总一览!$A$3)+(报损汇总一览!$A$3="全年"))*AC123:AN123)</f>
        <v>0</v>
      </c>
    </row>
    <row r="124">
      <c r="A124">
        <f>IF(OR(存条明细!C124="",存条明细!D124=""),"",IF(COUNTIFS(存条明细!$C$4:C124,存条明细!C124,存条明细!$D$4:D124,存条明细!D124)&gt;1,"",IFERROR(MATCH(存条明细!C124,总览汇总!$B$5:$B$304,0),900)*10000000+IFERROR(MATCH(存条明细!D124,基础资料!$E$5:$E$104,0),900)*10000+ROW()))</f>
        <v>430050124</v>
      </c>
      <c r="B124">
        <f>IFERROR(MATCH(SMALL($A$4:$A$4003,121),$A$4:$A$4003,0),"")</f>
        <v>93</v>
      </c>
      <c r="D124">
        <f>IF(AND(商品库存!B124&lt;&gt;"",商品库存!B124=客户查询!$B$4),COUNTIF(商品库存!$B$4:B124,客户查询!$B$4),"")</f>
      </c>
      <c r="E124">
        <f>IF(AND(商品库存!B124&lt;&gt;"",商品库存!B124=客户对账单!$B$4),COUNTIF(商品库存!$B$4:B124,客户对账单!$B$4),"")</f>
      </c>
      <c r="F124">
        <f>IF(AND(出库明细!C124&lt;&gt;"",出库明细!C124=客户对账单!$B$4,ISNUMBER(出库明细!B124),出库明细!B124&gt;=客户对账单!$G$4,出库明细!B124&lt;=客户对账单!$I$4),出库明细!B124+ROW()/100000,"")</f>
      </c>
      <c r="H124">
        <f>IF(AND(采购进货!C124&lt;&gt;"",采购进货!C124=供应商对账单!$B$4,ISNUMBER(采购进货!B124),采购进货!B124&gt;=供应商对账单!$G$4,采购进货!B124&lt;=供应商对账单!$I$4),采购进货!B124+ROW()/100000,"")</f>
      </c>
      <c r="J124">
        <f>IF(总览汇总!$B124="","",N(总览汇总!$K124)+SUMIFS(出库明细!$G$4:$G$3003,出库明细!$C$4:$C$3003,总览汇总!$B124,出库明细!$B$4:$B$3003,"&gt;="&amp;年初日,出库明细!$B$4:$B$3003,"&lt;="&amp;资产负债表!$D$3)-SUMIFS(资金台帐!$S$7:$S$3006,资金台帐!$J$7:$J$3006,总览汇总!$B124,资金台帐!$P$7:$P$3006,"应收",资金台帐!$B$7:$B$3006,"&gt;="&amp;年初日,资金台帐!$B$7:$B$3006,"&lt;="&amp;资产负债表!$D$3))</f>
      </c>
      <c r="N124">
        <f>IF(AND(ISNUMBER(出库明细!G124),ISNUMBER(出库明细!E124),ISNUMBER(出库明细!F124)),IF(ABS(出库明细!G124-出库明细!E124*出库明细!F124)&gt;0.005,1,0),0)</f>
        <v>0</v>
      </c>
      <c r="O124">
        <f>IF(AND(ISNUMBER(存条明细!G124),ISNUMBER(存条明细!E124),ISNUMBER(存条明细!F124)),IF(ABS(存条明细!G124-存条明细!E124*存条明细!F124)&gt;0.005,1,0),0)</f>
        <v>0</v>
      </c>
      <c r="AA124">
        <f>IF(基础资料!Q19="","",基础资料!Q19&amp;"")</f>
      </c>
      <c r="AC124">
        <f>IF(OR($AA124="",AC$5=""),0,SUMIF(INDIRECT("'"&amp;AC$5&amp;"'!B6:B1000"),$AA124,INDIRECT("'"&amp;AC$5&amp;"'!H6:H1000")))</f>
        <v>0</v>
      </c>
      <c r="AD124">
        <f>IF(OR($AA124="",AD$5=""),0,SUMIF(INDIRECT("'"&amp;AD$5&amp;"'!B6:B1000"),$AA124,INDIRECT("'"&amp;AD$5&amp;"'!H6:H1000")))</f>
        <v>0</v>
      </c>
      <c r="AE124">
        <f>IF(OR($AA124="",AE$5=""),0,SUMIF(INDIRECT("'"&amp;AE$5&amp;"'!B6:B1000"),$AA124,INDIRECT("'"&amp;AE$5&amp;"'!H6:H1000")))</f>
        <v>0</v>
      </c>
      <c r="AF124">
        <f>IF(OR($AA124="",AF$5=""),0,SUMIF(INDIRECT("'"&amp;AF$5&amp;"'!B6:B1000"),$AA124,INDIRECT("'"&amp;AF$5&amp;"'!H6:H1000")))</f>
        <v>0</v>
      </c>
      <c r="AG124">
        <f>IF(OR($AA124="",AG$5=""),0,SUMIF(INDIRECT("'"&amp;AG$5&amp;"'!B6:B1000"),$AA124,INDIRECT("'"&amp;AG$5&amp;"'!H6:H1000")))</f>
        <v>0</v>
      </c>
      <c r="AH124">
        <f>IF(OR($AA124="",AH$5=""),0,SUMIF(INDIRECT("'"&amp;AH$5&amp;"'!B6:B1000"),$AA124,INDIRECT("'"&amp;AH$5&amp;"'!H6:H1000")))</f>
        <v>0</v>
      </c>
      <c r="AI124">
        <f>IF(OR($AA124="",AI$5=""),0,SUMIF(INDIRECT("'"&amp;AI$5&amp;"'!B6:B1000"),$AA124,INDIRECT("'"&amp;AI$5&amp;"'!H6:H1000")))</f>
        <v>0</v>
      </c>
      <c r="AJ124">
        <f>IF(OR($AA124="",AJ$5=""),0,SUMIF(INDIRECT("'"&amp;AJ$5&amp;"'!B6:B1000"),$AA124,INDIRECT("'"&amp;AJ$5&amp;"'!H6:H1000")))</f>
        <v>0</v>
      </c>
      <c r="AK124">
        <f>IF(OR($AA124="",AK$5=""),0,SUMIF(INDIRECT("'"&amp;AK$5&amp;"'!B6:B1000"),$AA124,INDIRECT("'"&amp;AK$5&amp;"'!H6:H1000")))</f>
        <v>0</v>
      </c>
      <c r="AL124">
        <f>IF(OR($AA124="",AL$5=""),0,SUMIF(INDIRECT("'"&amp;AL$5&amp;"'!B6:B1000"),$AA124,INDIRECT("'"&amp;AL$5&amp;"'!H6:H1000")))</f>
        <v>0</v>
      </c>
      <c r="AM124">
        <f>IF(OR($AA124="",AM$5=""),0,SUMIF(INDIRECT("'"&amp;AM$5&amp;"'!B6:B1000"),$AA124,INDIRECT("'"&amp;AM$5&amp;"'!H6:H1000")))</f>
        <v>0</v>
      </c>
      <c r="AN124">
        <f>IF(OR($AA124="",AN$5=""),0,SUMIF(INDIRECT("'"&amp;AN$5&amp;"'!B6:B1000"),$AA124,INDIRECT("'"&amp;AN$5&amp;"'!H6:H1000")))</f>
        <v>0</v>
      </c>
      <c r="BY124">
        <f>SUMPRODUCT((($AC$4:$AN$4=报损汇总一览!$A$3)+(报损汇总一览!$A$3="全年"))*AC124:AN124)</f>
        <v>0</v>
      </c>
    </row>
    <row r="125">
      <c r="A125">
        <f>IF(OR(存条明细!C125="",存条明细!D125=""),"",IF(COUNTIFS(存条明细!$C$4:C125,存条明细!C125,存条明细!$D$4:D125,存条明细!D125)&gt;1,"",IFERROR(MATCH(存条明细!C125,总览汇总!$B$5:$B$304,0),900)*10000000+IFERROR(MATCH(存条明细!D125,基础资料!$E$5:$E$104,0),900)*10000+ROW()))</f>
        <v>430080125</v>
      </c>
      <c r="B125">
        <f>IFERROR(MATCH(SMALL($A$4:$A$4003,122),$A$4:$A$4003,0),"")</f>
        <v>97</v>
      </c>
      <c r="D125">
        <f>IF(AND(商品库存!B125&lt;&gt;"",商品库存!B125=客户查询!$B$4),COUNTIF(商品库存!$B$4:B125,客户查询!$B$4),"")</f>
      </c>
      <c r="E125">
        <f>IF(AND(商品库存!B125&lt;&gt;"",商品库存!B125=客户对账单!$B$4),COUNTIF(商品库存!$B$4:B125,客户对账单!$B$4),"")</f>
      </c>
      <c r="F125">
        <f>IF(AND(出库明细!C125&lt;&gt;"",出库明细!C125=客户对账单!$B$4,ISNUMBER(出库明细!B125),出库明细!B125&gt;=客户对账单!$G$4,出库明细!B125&lt;=客户对账单!$I$4),出库明细!B125+ROW()/100000,"")</f>
      </c>
      <c r="H125">
        <f>IF(AND(采购进货!C125&lt;&gt;"",采购进货!C125=供应商对账单!$B$4,ISNUMBER(采购进货!B125),采购进货!B125&gt;=供应商对账单!$G$4,采购进货!B125&lt;=供应商对账单!$I$4),采购进货!B125+ROW()/100000,"")</f>
      </c>
      <c r="J125">
        <f>IF(总览汇总!$B125="","",N(总览汇总!$K125)+SUMIFS(出库明细!$G$4:$G$3003,出库明细!$C$4:$C$3003,总览汇总!$B125,出库明细!$B$4:$B$3003,"&gt;="&amp;年初日,出库明细!$B$4:$B$3003,"&lt;="&amp;资产负债表!$D$3)-SUMIFS(资金台帐!$S$7:$S$3006,资金台帐!$J$7:$J$3006,总览汇总!$B125,资金台帐!$P$7:$P$3006,"应收",资金台帐!$B$7:$B$3006,"&gt;="&amp;年初日,资金台帐!$B$7:$B$3006,"&lt;="&amp;资产负债表!$D$3))</f>
      </c>
      <c r="N125">
        <f>IF(AND(ISNUMBER(出库明细!G125),ISNUMBER(出库明细!E125),ISNUMBER(出库明细!F125)),IF(ABS(出库明细!G125-出库明细!E125*出库明细!F125)&gt;0.005,1,0),0)</f>
        <v>0</v>
      </c>
      <c r="O125">
        <f>IF(AND(ISNUMBER(存条明细!G125),ISNUMBER(存条明细!E125),ISNUMBER(存条明细!F125)),IF(ABS(存条明细!G125-存条明细!E125*存条明细!F125)&gt;0.005,1,0),0)</f>
        <v>0</v>
      </c>
      <c r="AA125">
        <f>IF(基础资料!Q20="","",基础资料!Q20&amp;"")</f>
      </c>
      <c r="AC125">
        <f>IF(OR($AA125="",AC$5=""),0,SUMIF(INDIRECT("'"&amp;AC$5&amp;"'!B6:B1000"),$AA125,INDIRECT("'"&amp;AC$5&amp;"'!H6:H1000")))</f>
        <v>0</v>
      </c>
      <c r="AD125">
        <f>IF(OR($AA125="",AD$5=""),0,SUMIF(INDIRECT("'"&amp;AD$5&amp;"'!B6:B1000"),$AA125,INDIRECT("'"&amp;AD$5&amp;"'!H6:H1000")))</f>
        <v>0</v>
      </c>
      <c r="AE125">
        <f>IF(OR($AA125="",AE$5=""),0,SUMIF(INDIRECT("'"&amp;AE$5&amp;"'!B6:B1000"),$AA125,INDIRECT("'"&amp;AE$5&amp;"'!H6:H1000")))</f>
        <v>0</v>
      </c>
      <c r="AF125">
        <f>IF(OR($AA125="",AF$5=""),0,SUMIF(INDIRECT("'"&amp;AF$5&amp;"'!B6:B1000"),$AA125,INDIRECT("'"&amp;AF$5&amp;"'!H6:H1000")))</f>
        <v>0</v>
      </c>
      <c r="AG125">
        <f>IF(OR($AA125="",AG$5=""),0,SUMIF(INDIRECT("'"&amp;AG$5&amp;"'!B6:B1000"),$AA125,INDIRECT("'"&amp;AG$5&amp;"'!H6:H1000")))</f>
        <v>0</v>
      </c>
      <c r="AH125">
        <f>IF(OR($AA125="",AH$5=""),0,SUMIF(INDIRECT("'"&amp;AH$5&amp;"'!B6:B1000"),$AA125,INDIRECT("'"&amp;AH$5&amp;"'!H6:H1000")))</f>
        <v>0</v>
      </c>
      <c r="AI125">
        <f>IF(OR($AA125="",AI$5=""),0,SUMIF(INDIRECT("'"&amp;AI$5&amp;"'!B6:B1000"),$AA125,INDIRECT("'"&amp;AI$5&amp;"'!H6:H1000")))</f>
        <v>0</v>
      </c>
      <c r="AJ125">
        <f>IF(OR($AA125="",AJ$5=""),0,SUMIF(INDIRECT("'"&amp;AJ$5&amp;"'!B6:B1000"),$AA125,INDIRECT("'"&amp;AJ$5&amp;"'!H6:H1000")))</f>
        <v>0</v>
      </c>
      <c r="AK125">
        <f>IF(OR($AA125="",AK$5=""),0,SUMIF(INDIRECT("'"&amp;AK$5&amp;"'!B6:B1000"),$AA125,INDIRECT("'"&amp;AK$5&amp;"'!H6:H1000")))</f>
        <v>0</v>
      </c>
      <c r="AL125">
        <f>IF(OR($AA125="",AL$5=""),0,SUMIF(INDIRECT("'"&amp;AL$5&amp;"'!B6:B1000"),$AA125,INDIRECT("'"&amp;AL$5&amp;"'!H6:H1000")))</f>
        <v>0</v>
      </c>
      <c r="AM125">
        <f>IF(OR($AA125="",AM$5=""),0,SUMIF(INDIRECT("'"&amp;AM$5&amp;"'!B6:B1000"),$AA125,INDIRECT("'"&amp;AM$5&amp;"'!H6:H1000")))</f>
        <v>0</v>
      </c>
      <c r="AN125">
        <f>IF(OR($AA125="",AN$5=""),0,SUMIF(INDIRECT("'"&amp;AN$5&amp;"'!B6:B1000"),$AA125,INDIRECT("'"&amp;AN$5&amp;"'!H6:H1000")))</f>
        <v>0</v>
      </c>
      <c r="BY125">
        <f>SUMPRODUCT((($AC$4:$AN$4=报损汇总一览!$A$3)+(报损汇总一览!$A$3="全年"))*AC125:AN125)</f>
        <v>0</v>
      </c>
    </row>
    <row r="126">
      <c r="A126">
        <f>IF(OR(存条明细!C126="",存条明细!D126=""),"",IF(COUNTIFS(存条明细!$C$4:C126,存条明细!C126,存条明细!$D$4:D126,存条明细!D126)&gt;1,"",IFERROR(MATCH(存条明细!C126,总览汇总!$B$5:$B$304,0),900)*10000000+IFERROR(MATCH(存条明细!D126,基础资料!$E$5:$E$104,0),900)*10000+ROW()))</f>
        <v>430040126</v>
      </c>
      <c r="B126">
        <f>IFERROR(MATCH(SMALL($A$4:$A$4003,123),$A$4:$A$4003,0),"")</f>
        <v>96</v>
      </c>
      <c r="D126">
        <f>IF(AND(商品库存!B126&lt;&gt;"",商品库存!B126=客户查询!$B$4),COUNTIF(商品库存!$B$4:B126,客户查询!$B$4),"")</f>
      </c>
      <c r="E126">
        <f>IF(AND(商品库存!B126&lt;&gt;"",商品库存!B126=客户对账单!$B$4),COUNTIF(商品库存!$B$4:B126,客户对账单!$B$4),"")</f>
      </c>
      <c r="F126">
        <f>IF(AND(出库明细!C126&lt;&gt;"",出库明细!C126=客户对账单!$B$4,ISNUMBER(出库明细!B126),出库明细!B126&gt;=客户对账单!$G$4,出库明细!B126&lt;=客户对账单!$I$4),出库明细!B126+ROW()/100000,"")</f>
      </c>
      <c r="H126">
        <f>IF(AND(采购进货!C126&lt;&gt;"",采购进货!C126=供应商对账单!$B$4,ISNUMBER(采购进货!B126),采购进货!B126&gt;=供应商对账单!$G$4,采购进货!B126&lt;=供应商对账单!$I$4),采购进货!B126+ROW()/100000,"")</f>
      </c>
      <c r="J126">
        <f>IF(总览汇总!$B126="","",N(总览汇总!$K126)+SUMIFS(出库明细!$G$4:$G$3003,出库明细!$C$4:$C$3003,总览汇总!$B126,出库明细!$B$4:$B$3003,"&gt;="&amp;年初日,出库明细!$B$4:$B$3003,"&lt;="&amp;资产负债表!$D$3)-SUMIFS(资金台帐!$S$7:$S$3006,资金台帐!$J$7:$J$3006,总览汇总!$B126,资金台帐!$P$7:$P$3006,"应收",资金台帐!$B$7:$B$3006,"&gt;="&amp;年初日,资金台帐!$B$7:$B$3006,"&lt;="&amp;资产负债表!$D$3))</f>
      </c>
      <c r="N126">
        <f>IF(AND(ISNUMBER(出库明细!G126),ISNUMBER(出库明细!E126),ISNUMBER(出库明细!F126)),IF(ABS(出库明细!G126-出库明细!E126*出库明细!F126)&gt;0.005,1,0),0)</f>
        <v>0</v>
      </c>
      <c r="O126">
        <f>IF(AND(ISNUMBER(存条明细!G126),ISNUMBER(存条明细!E126),ISNUMBER(存条明细!F126)),IF(ABS(存条明细!G126-存条明细!E126*存条明细!F126)&gt;0.005,1,0),0)</f>
        <v>0</v>
      </c>
      <c r="AA126">
        <f>IF(基础资料!Q21="","",基础资料!Q21&amp;"")</f>
      </c>
      <c r="AC126">
        <f>IF(OR($AA126="",AC$5=""),0,SUMIF(INDIRECT("'"&amp;AC$5&amp;"'!B6:B1000"),$AA126,INDIRECT("'"&amp;AC$5&amp;"'!H6:H1000")))</f>
        <v>0</v>
      </c>
      <c r="AD126">
        <f>IF(OR($AA126="",AD$5=""),0,SUMIF(INDIRECT("'"&amp;AD$5&amp;"'!B6:B1000"),$AA126,INDIRECT("'"&amp;AD$5&amp;"'!H6:H1000")))</f>
        <v>0</v>
      </c>
      <c r="AE126">
        <f>IF(OR($AA126="",AE$5=""),0,SUMIF(INDIRECT("'"&amp;AE$5&amp;"'!B6:B1000"),$AA126,INDIRECT("'"&amp;AE$5&amp;"'!H6:H1000")))</f>
        <v>0</v>
      </c>
      <c r="AF126">
        <f>IF(OR($AA126="",AF$5=""),0,SUMIF(INDIRECT("'"&amp;AF$5&amp;"'!B6:B1000"),$AA126,INDIRECT("'"&amp;AF$5&amp;"'!H6:H1000")))</f>
        <v>0</v>
      </c>
      <c r="AG126">
        <f>IF(OR($AA126="",AG$5=""),0,SUMIF(INDIRECT("'"&amp;AG$5&amp;"'!B6:B1000"),$AA126,INDIRECT("'"&amp;AG$5&amp;"'!H6:H1000")))</f>
        <v>0</v>
      </c>
      <c r="AH126">
        <f>IF(OR($AA126="",AH$5=""),0,SUMIF(INDIRECT("'"&amp;AH$5&amp;"'!B6:B1000"),$AA126,INDIRECT("'"&amp;AH$5&amp;"'!H6:H1000")))</f>
        <v>0</v>
      </c>
      <c r="AI126">
        <f>IF(OR($AA126="",AI$5=""),0,SUMIF(INDIRECT("'"&amp;AI$5&amp;"'!B6:B1000"),$AA126,INDIRECT("'"&amp;AI$5&amp;"'!H6:H1000")))</f>
        <v>0</v>
      </c>
      <c r="AJ126">
        <f>IF(OR($AA126="",AJ$5=""),0,SUMIF(INDIRECT("'"&amp;AJ$5&amp;"'!B6:B1000"),$AA126,INDIRECT("'"&amp;AJ$5&amp;"'!H6:H1000")))</f>
        <v>0</v>
      </c>
      <c r="AK126">
        <f>IF(OR($AA126="",AK$5=""),0,SUMIF(INDIRECT("'"&amp;AK$5&amp;"'!B6:B1000"),$AA126,INDIRECT("'"&amp;AK$5&amp;"'!H6:H1000")))</f>
        <v>0</v>
      </c>
      <c r="AL126">
        <f>IF(OR($AA126="",AL$5=""),0,SUMIF(INDIRECT("'"&amp;AL$5&amp;"'!B6:B1000"),$AA126,INDIRECT("'"&amp;AL$5&amp;"'!H6:H1000")))</f>
        <v>0</v>
      </c>
      <c r="AM126">
        <f>IF(OR($AA126="",AM$5=""),0,SUMIF(INDIRECT("'"&amp;AM$5&amp;"'!B6:B1000"),$AA126,INDIRECT("'"&amp;AM$5&amp;"'!H6:H1000")))</f>
        <v>0</v>
      </c>
      <c r="AN126">
        <f>IF(OR($AA126="",AN$5=""),0,SUMIF(INDIRECT("'"&amp;AN$5&amp;"'!B6:B1000"),$AA126,INDIRECT("'"&amp;AN$5&amp;"'!H6:H1000")))</f>
        <v>0</v>
      </c>
      <c r="BY126">
        <f>SUMPRODUCT((($AC$4:$AN$4=报损汇总一览!$A$3)+(报损汇总一览!$A$3="全年"))*AC126:AN126)</f>
        <v>0</v>
      </c>
    </row>
    <row r="127">
      <c r="A127">
        <f>IF(OR(存条明细!C127="",存条明细!D127=""),"",IF(COUNTIFS(存条明细!$C$4:C127,存条明细!C127,存条明细!$D$4:D127,存条明细!D127)&gt;1,"",IFERROR(MATCH(存条明细!C127,总览汇总!$B$5:$B$304,0),900)*10000000+IFERROR(MATCH(存条明细!D127,基础资料!$E$5:$E$104,0),900)*10000+ROW()))</f>
        <v>100010127</v>
      </c>
      <c r="B127">
        <f>IFERROR(MATCH(SMALL($A$4:$A$4003,124),$A$4:$A$4003,0),"")</f>
        <v>1408</v>
      </c>
      <c r="D127">
        <f>IF(AND(商品库存!B127&lt;&gt;"",商品库存!B127=客户查询!$B$4),COUNTIF(商品库存!$B$4:B127,客户查询!$B$4),"")</f>
      </c>
      <c r="E127">
        <f>IF(AND(商品库存!B127&lt;&gt;"",商品库存!B127=客户对账单!$B$4),COUNTIF(商品库存!$B$4:B127,客户对账单!$B$4),"")</f>
      </c>
      <c r="F127">
        <f>IF(AND(出库明细!C127&lt;&gt;"",出库明细!C127=客户对账单!$B$4,ISNUMBER(出库明细!B127),出库明细!B127&gt;=客户对账单!$G$4,出库明细!B127&lt;=客户对账单!$I$4),出库明细!B127+ROW()/100000,"")</f>
      </c>
      <c r="H127">
        <f>IF(AND(采购进货!C127&lt;&gt;"",采购进货!C127=供应商对账单!$B$4,ISNUMBER(采购进货!B127),采购进货!B127&gt;=供应商对账单!$G$4,采购进货!B127&lt;=供应商对账单!$I$4),采购进货!B127+ROW()/100000,"")</f>
      </c>
      <c r="J127">
        <f>IF(总览汇总!$B127="","",N(总览汇总!$K127)+SUMIFS(出库明细!$G$4:$G$3003,出库明细!$C$4:$C$3003,总览汇总!$B127,出库明细!$B$4:$B$3003,"&gt;="&amp;年初日,出库明细!$B$4:$B$3003,"&lt;="&amp;资产负债表!$D$3)-SUMIFS(资金台帐!$S$7:$S$3006,资金台帐!$J$7:$J$3006,总览汇总!$B127,资金台帐!$P$7:$P$3006,"应收",资金台帐!$B$7:$B$3006,"&gt;="&amp;年初日,资金台帐!$B$7:$B$3006,"&lt;="&amp;资产负债表!$D$3))</f>
      </c>
      <c r="N127">
        <f>IF(AND(ISNUMBER(出库明细!G127),ISNUMBER(出库明细!E127),ISNUMBER(出库明细!F127)),IF(ABS(出库明细!G127-出库明细!E127*出库明细!F127)&gt;0.005,1,0),0)</f>
        <v>0</v>
      </c>
      <c r="O127">
        <f>IF(AND(ISNUMBER(存条明细!G127),ISNUMBER(存条明细!E127),ISNUMBER(存条明细!F127)),IF(ABS(存条明细!G127-存条明细!E127*存条明细!F127)&gt;0.005,1,0),0)</f>
        <v>0</v>
      </c>
      <c r="AA127">
        <f>IF(基础资料!Q22="","",基础资料!Q22&amp;"")</f>
      </c>
      <c r="AC127">
        <f>IF(OR($AA127="",AC$5=""),0,SUMIF(INDIRECT("'"&amp;AC$5&amp;"'!B6:B1000"),$AA127,INDIRECT("'"&amp;AC$5&amp;"'!H6:H1000")))</f>
        <v>0</v>
      </c>
      <c r="AD127">
        <f>IF(OR($AA127="",AD$5=""),0,SUMIF(INDIRECT("'"&amp;AD$5&amp;"'!B6:B1000"),$AA127,INDIRECT("'"&amp;AD$5&amp;"'!H6:H1000")))</f>
        <v>0</v>
      </c>
      <c r="AE127">
        <f>IF(OR($AA127="",AE$5=""),0,SUMIF(INDIRECT("'"&amp;AE$5&amp;"'!B6:B1000"),$AA127,INDIRECT("'"&amp;AE$5&amp;"'!H6:H1000")))</f>
        <v>0</v>
      </c>
      <c r="AF127">
        <f>IF(OR($AA127="",AF$5=""),0,SUMIF(INDIRECT("'"&amp;AF$5&amp;"'!B6:B1000"),$AA127,INDIRECT("'"&amp;AF$5&amp;"'!H6:H1000")))</f>
        <v>0</v>
      </c>
      <c r="AG127">
        <f>IF(OR($AA127="",AG$5=""),0,SUMIF(INDIRECT("'"&amp;AG$5&amp;"'!B6:B1000"),$AA127,INDIRECT("'"&amp;AG$5&amp;"'!H6:H1000")))</f>
        <v>0</v>
      </c>
      <c r="AH127">
        <f>IF(OR($AA127="",AH$5=""),0,SUMIF(INDIRECT("'"&amp;AH$5&amp;"'!B6:B1000"),$AA127,INDIRECT("'"&amp;AH$5&amp;"'!H6:H1000")))</f>
        <v>0</v>
      </c>
      <c r="AI127">
        <f>IF(OR($AA127="",AI$5=""),0,SUMIF(INDIRECT("'"&amp;AI$5&amp;"'!B6:B1000"),$AA127,INDIRECT("'"&amp;AI$5&amp;"'!H6:H1000")))</f>
        <v>0</v>
      </c>
      <c r="AJ127">
        <f>IF(OR($AA127="",AJ$5=""),0,SUMIF(INDIRECT("'"&amp;AJ$5&amp;"'!B6:B1000"),$AA127,INDIRECT("'"&amp;AJ$5&amp;"'!H6:H1000")))</f>
        <v>0</v>
      </c>
      <c r="AK127">
        <f>IF(OR($AA127="",AK$5=""),0,SUMIF(INDIRECT("'"&amp;AK$5&amp;"'!B6:B1000"),$AA127,INDIRECT("'"&amp;AK$5&amp;"'!H6:H1000")))</f>
        <v>0</v>
      </c>
      <c r="AL127">
        <f>IF(OR($AA127="",AL$5=""),0,SUMIF(INDIRECT("'"&amp;AL$5&amp;"'!B6:B1000"),$AA127,INDIRECT("'"&amp;AL$5&amp;"'!H6:H1000")))</f>
        <v>0</v>
      </c>
      <c r="AM127">
        <f>IF(OR($AA127="",AM$5=""),0,SUMIF(INDIRECT("'"&amp;AM$5&amp;"'!B6:B1000"),$AA127,INDIRECT("'"&amp;AM$5&amp;"'!H6:H1000")))</f>
        <v>0</v>
      </c>
      <c r="AN127">
        <f>IF(OR($AA127="",AN$5=""),0,SUMIF(INDIRECT("'"&amp;AN$5&amp;"'!B6:B1000"),$AA127,INDIRECT("'"&amp;AN$5&amp;"'!H6:H1000")))</f>
        <v>0</v>
      </c>
      <c r="BY127">
        <f>SUMPRODUCT((($AC$4:$AN$4=报损汇总一览!$A$3)+(报损汇总一览!$A$3="全年"))*AC127:AN127)</f>
        <v>0</v>
      </c>
    </row>
    <row r="128">
      <c r="A128">
        <f>IF(OR(存条明细!C128="",存条明细!D128=""),"",IF(COUNTIFS(存条明细!$C$4:C128,存条明细!C128,存条明细!$D$4:D128,存条明细!D128)&gt;1,"",IFERROR(MATCH(存条明细!C128,总览汇总!$B$5:$B$304,0),900)*10000000+IFERROR(MATCH(存条明细!D128,基础资料!$E$5:$E$104,0),900)*10000+ROW()))</f>
        <v>370010128</v>
      </c>
      <c r="B128">
        <f>IFERROR(MATCH(SMALL($A$4:$A$4003,125),$A$4:$A$4003,0),"")</f>
        <v>98</v>
      </c>
      <c r="D128">
        <f>IF(AND(商品库存!B128&lt;&gt;"",商品库存!B128=客户查询!$B$4),COUNTIF(商品库存!$B$4:B128,客户查询!$B$4),"")</f>
      </c>
      <c r="E128">
        <f>IF(AND(商品库存!B128&lt;&gt;"",商品库存!B128=客户对账单!$B$4),COUNTIF(商品库存!$B$4:B128,客户对账单!$B$4),"")</f>
      </c>
      <c r="F128">
        <f>IF(AND(出库明细!C128&lt;&gt;"",出库明细!C128=客户对账单!$B$4,ISNUMBER(出库明细!B128),出库明细!B128&gt;=客户对账单!$G$4,出库明细!B128&lt;=客户对账单!$I$4),出库明细!B128+ROW()/100000,"")</f>
      </c>
      <c r="H128">
        <f>IF(AND(采购进货!C128&lt;&gt;"",采购进货!C128=供应商对账单!$B$4,ISNUMBER(采购进货!B128),采购进货!B128&gt;=供应商对账单!$G$4,采购进货!B128&lt;=供应商对账单!$I$4),采购进货!B128+ROW()/100000,"")</f>
      </c>
      <c r="J128">
        <f>IF(总览汇总!$B128="","",N(总览汇总!$K128)+SUMIFS(出库明细!$G$4:$G$3003,出库明细!$C$4:$C$3003,总览汇总!$B128,出库明细!$B$4:$B$3003,"&gt;="&amp;年初日,出库明细!$B$4:$B$3003,"&lt;="&amp;资产负债表!$D$3)-SUMIFS(资金台帐!$S$7:$S$3006,资金台帐!$J$7:$J$3006,总览汇总!$B128,资金台帐!$P$7:$P$3006,"应收",资金台帐!$B$7:$B$3006,"&gt;="&amp;年初日,资金台帐!$B$7:$B$3006,"&lt;="&amp;资产负债表!$D$3))</f>
      </c>
      <c r="N128">
        <f>IF(AND(ISNUMBER(出库明细!G128),ISNUMBER(出库明细!E128),ISNUMBER(出库明细!F128)),IF(ABS(出库明细!G128-出库明细!E128*出库明细!F128)&gt;0.005,1,0),0)</f>
        <v>0</v>
      </c>
      <c r="O128">
        <f>IF(AND(ISNUMBER(存条明细!G128),ISNUMBER(存条明细!E128),ISNUMBER(存条明细!F128)),IF(ABS(存条明细!G128-存条明细!E128*存条明细!F128)&gt;0.005,1,0),0)</f>
        <v>0</v>
      </c>
      <c r="AA128">
        <f>IF(基础资料!Q23="","",基础资料!Q23&amp;"")</f>
      </c>
      <c r="AC128">
        <f>IF(OR($AA128="",AC$5=""),0,SUMIF(INDIRECT("'"&amp;AC$5&amp;"'!B6:B1000"),$AA128,INDIRECT("'"&amp;AC$5&amp;"'!H6:H1000")))</f>
        <v>0</v>
      </c>
      <c r="AD128">
        <f>IF(OR($AA128="",AD$5=""),0,SUMIF(INDIRECT("'"&amp;AD$5&amp;"'!B6:B1000"),$AA128,INDIRECT("'"&amp;AD$5&amp;"'!H6:H1000")))</f>
        <v>0</v>
      </c>
      <c r="AE128">
        <f>IF(OR($AA128="",AE$5=""),0,SUMIF(INDIRECT("'"&amp;AE$5&amp;"'!B6:B1000"),$AA128,INDIRECT("'"&amp;AE$5&amp;"'!H6:H1000")))</f>
        <v>0</v>
      </c>
      <c r="AF128">
        <f>IF(OR($AA128="",AF$5=""),0,SUMIF(INDIRECT("'"&amp;AF$5&amp;"'!B6:B1000"),$AA128,INDIRECT("'"&amp;AF$5&amp;"'!H6:H1000")))</f>
        <v>0</v>
      </c>
      <c r="AG128">
        <f>IF(OR($AA128="",AG$5=""),0,SUMIF(INDIRECT("'"&amp;AG$5&amp;"'!B6:B1000"),$AA128,INDIRECT("'"&amp;AG$5&amp;"'!H6:H1000")))</f>
        <v>0</v>
      </c>
      <c r="AH128">
        <f>IF(OR($AA128="",AH$5=""),0,SUMIF(INDIRECT("'"&amp;AH$5&amp;"'!B6:B1000"),$AA128,INDIRECT("'"&amp;AH$5&amp;"'!H6:H1000")))</f>
        <v>0</v>
      </c>
      <c r="AI128">
        <f>IF(OR($AA128="",AI$5=""),0,SUMIF(INDIRECT("'"&amp;AI$5&amp;"'!B6:B1000"),$AA128,INDIRECT("'"&amp;AI$5&amp;"'!H6:H1000")))</f>
        <v>0</v>
      </c>
      <c r="AJ128">
        <f>IF(OR($AA128="",AJ$5=""),0,SUMIF(INDIRECT("'"&amp;AJ$5&amp;"'!B6:B1000"),$AA128,INDIRECT("'"&amp;AJ$5&amp;"'!H6:H1000")))</f>
        <v>0</v>
      </c>
      <c r="AK128">
        <f>IF(OR($AA128="",AK$5=""),0,SUMIF(INDIRECT("'"&amp;AK$5&amp;"'!B6:B1000"),$AA128,INDIRECT("'"&amp;AK$5&amp;"'!H6:H1000")))</f>
        <v>0</v>
      </c>
      <c r="AL128">
        <f>IF(OR($AA128="",AL$5=""),0,SUMIF(INDIRECT("'"&amp;AL$5&amp;"'!B6:B1000"),$AA128,INDIRECT("'"&amp;AL$5&amp;"'!H6:H1000")))</f>
        <v>0</v>
      </c>
      <c r="AM128">
        <f>IF(OR($AA128="",AM$5=""),0,SUMIF(INDIRECT("'"&amp;AM$5&amp;"'!B6:B1000"),$AA128,INDIRECT("'"&amp;AM$5&amp;"'!H6:H1000")))</f>
        <v>0</v>
      </c>
      <c r="AN128">
        <f>IF(OR($AA128="",AN$5=""),0,SUMIF(INDIRECT("'"&amp;AN$5&amp;"'!B6:B1000"),$AA128,INDIRECT("'"&amp;AN$5&amp;"'!H6:H1000")))</f>
        <v>0</v>
      </c>
      <c r="BY128">
        <f>SUMPRODUCT((($AC$4:$AN$4=报损汇总一览!$A$3)+(报损汇总一览!$A$3="全年"))*AC128:AN128)</f>
        <v>0</v>
      </c>
    </row>
    <row r="129">
      <c r="A129">
        <f>IF(OR(存条明细!C129="",存条明细!D129=""),"",IF(COUNTIFS(存条明细!$C$4:C129,存条明细!C129,存条明细!$D$4:D129,存条明细!D129)&gt;1,"",IFERROR(MATCH(存条明细!C129,总览汇总!$B$5:$B$304,0),900)*10000000+IFERROR(MATCH(存条明细!D129,基础资料!$E$5:$E$104,0),900)*10000+ROW()))</f>
        <v>10050129</v>
      </c>
      <c r="B129">
        <f>IFERROR(MATCH(SMALL($A$4:$A$4003,126),$A$4:$A$4003,0),"")</f>
        <v>163</v>
      </c>
      <c r="D129">
        <f>IF(AND(商品库存!B129&lt;&gt;"",商品库存!B129=客户查询!$B$4),COUNTIF(商品库存!$B$4:B129,客户查询!$B$4),"")</f>
      </c>
      <c r="E129">
        <f>IF(AND(商品库存!B129&lt;&gt;"",商品库存!B129=客户对账单!$B$4),COUNTIF(商品库存!$B$4:B129,客户对账单!$B$4),"")</f>
      </c>
      <c r="F129">
        <f>IF(AND(出库明细!C129&lt;&gt;"",出库明细!C129=客户对账单!$B$4,ISNUMBER(出库明细!B129),出库明细!B129&gt;=客户对账单!$G$4,出库明细!B129&lt;=客户对账单!$I$4),出库明细!B129+ROW()/100000,"")</f>
      </c>
      <c r="H129">
        <f>IF(AND(采购进货!C129&lt;&gt;"",采购进货!C129=供应商对账单!$B$4,ISNUMBER(采购进货!B129),采购进货!B129&gt;=供应商对账单!$G$4,采购进货!B129&lt;=供应商对账单!$I$4),采购进货!B129+ROW()/100000,"")</f>
      </c>
      <c r="J129">
        <f>IF(总览汇总!$B129="","",N(总览汇总!$K129)+SUMIFS(出库明细!$G$4:$G$3003,出库明细!$C$4:$C$3003,总览汇总!$B129,出库明细!$B$4:$B$3003,"&gt;="&amp;年初日,出库明细!$B$4:$B$3003,"&lt;="&amp;资产负债表!$D$3)-SUMIFS(资金台帐!$S$7:$S$3006,资金台帐!$J$7:$J$3006,总览汇总!$B129,资金台帐!$P$7:$P$3006,"应收",资金台帐!$B$7:$B$3006,"&gt;="&amp;年初日,资金台帐!$B$7:$B$3006,"&lt;="&amp;资产负债表!$D$3))</f>
      </c>
      <c r="N129">
        <f>IF(AND(ISNUMBER(出库明细!G129),ISNUMBER(出库明细!E129),ISNUMBER(出库明细!F129)),IF(ABS(出库明细!G129-出库明细!E129*出库明细!F129)&gt;0.005,1,0),0)</f>
        <v>0</v>
      </c>
      <c r="O129">
        <f>IF(AND(ISNUMBER(存条明细!G129),ISNUMBER(存条明细!E129),ISNUMBER(存条明细!F129)),IF(ABS(存条明细!G129-存条明细!E129*存条明细!F129)&gt;0.005,1,0),0)</f>
        <v>0</v>
      </c>
      <c r="AA129">
        <f>IF(基础资料!Q24="","",基础资料!Q24&amp;"")</f>
      </c>
      <c r="AC129">
        <f>IF(OR($AA129="",AC$5=""),0,SUMIF(INDIRECT("'"&amp;AC$5&amp;"'!B6:B1000"),$AA129,INDIRECT("'"&amp;AC$5&amp;"'!H6:H1000")))</f>
        <v>0</v>
      </c>
      <c r="AD129">
        <f>IF(OR($AA129="",AD$5=""),0,SUMIF(INDIRECT("'"&amp;AD$5&amp;"'!B6:B1000"),$AA129,INDIRECT("'"&amp;AD$5&amp;"'!H6:H1000")))</f>
        <v>0</v>
      </c>
      <c r="AE129">
        <f>IF(OR($AA129="",AE$5=""),0,SUMIF(INDIRECT("'"&amp;AE$5&amp;"'!B6:B1000"),$AA129,INDIRECT("'"&amp;AE$5&amp;"'!H6:H1000")))</f>
        <v>0</v>
      </c>
      <c r="AF129">
        <f>IF(OR($AA129="",AF$5=""),0,SUMIF(INDIRECT("'"&amp;AF$5&amp;"'!B6:B1000"),$AA129,INDIRECT("'"&amp;AF$5&amp;"'!H6:H1000")))</f>
        <v>0</v>
      </c>
      <c r="AG129">
        <f>IF(OR($AA129="",AG$5=""),0,SUMIF(INDIRECT("'"&amp;AG$5&amp;"'!B6:B1000"),$AA129,INDIRECT("'"&amp;AG$5&amp;"'!H6:H1000")))</f>
        <v>0</v>
      </c>
      <c r="AH129">
        <f>IF(OR($AA129="",AH$5=""),0,SUMIF(INDIRECT("'"&amp;AH$5&amp;"'!B6:B1000"),$AA129,INDIRECT("'"&amp;AH$5&amp;"'!H6:H1000")))</f>
        <v>0</v>
      </c>
      <c r="AI129">
        <f>IF(OR($AA129="",AI$5=""),0,SUMIF(INDIRECT("'"&amp;AI$5&amp;"'!B6:B1000"),$AA129,INDIRECT("'"&amp;AI$5&amp;"'!H6:H1000")))</f>
        <v>0</v>
      </c>
      <c r="AJ129">
        <f>IF(OR($AA129="",AJ$5=""),0,SUMIF(INDIRECT("'"&amp;AJ$5&amp;"'!B6:B1000"),$AA129,INDIRECT("'"&amp;AJ$5&amp;"'!H6:H1000")))</f>
        <v>0</v>
      </c>
      <c r="AK129">
        <f>IF(OR($AA129="",AK$5=""),0,SUMIF(INDIRECT("'"&amp;AK$5&amp;"'!B6:B1000"),$AA129,INDIRECT("'"&amp;AK$5&amp;"'!H6:H1000")))</f>
        <v>0</v>
      </c>
      <c r="AL129">
        <f>IF(OR($AA129="",AL$5=""),0,SUMIF(INDIRECT("'"&amp;AL$5&amp;"'!B6:B1000"),$AA129,INDIRECT("'"&amp;AL$5&amp;"'!H6:H1000")))</f>
        <v>0</v>
      </c>
      <c r="AM129">
        <f>IF(OR($AA129="",AM$5=""),0,SUMIF(INDIRECT("'"&amp;AM$5&amp;"'!B6:B1000"),$AA129,INDIRECT("'"&amp;AM$5&amp;"'!H6:H1000")))</f>
        <v>0</v>
      </c>
      <c r="AN129">
        <f>IF(OR($AA129="",AN$5=""),0,SUMIF(INDIRECT("'"&amp;AN$5&amp;"'!B6:B1000"),$AA129,INDIRECT("'"&amp;AN$5&amp;"'!H6:H1000")))</f>
        <v>0</v>
      </c>
      <c r="BY129">
        <f>SUMPRODUCT((($AC$4:$AN$4=报损汇总一览!$A$3)+(报损汇总一览!$A$3="全年"))*AC129:AN129)</f>
        <v>0</v>
      </c>
    </row>
    <row r="130">
      <c r="A130">
        <f>IF(OR(存条明细!C130="",存条明细!D130=""),"",IF(COUNTIFS(存条明细!$C$4:C130,存条明细!C130,存条明细!$D$4:D130,存条明细!D130)&gt;1,"",IFERROR(MATCH(存条明细!C130,总览汇总!$B$5:$B$304,0),900)*10000000+IFERROR(MATCH(存条明细!D130,基础资料!$E$5:$E$104,0),900)*10000+ROW()))</f>
      </c>
      <c r="B130">
        <f>IFERROR(MATCH(SMALL($A$4:$A$4003,127),$A$4:$A$4003,0),"")</f>
        <v>1409</v>
      </c>
      <c r="D130">
        <f>IF(AND(商品库存!B130&lt;&gt;"",商品库存!B130=客户查询!$B$4),COUNTIF(商品库存!$B$4:B130,客户查询!$B$4),"")</f>
      </c>
      <c r="E130">
        <f>IF(AND(商品库存!B130&lt;&gt;"",商品库存!B130=客户对账单!$B$4),COUNTIF(商品库存!$B$4:B130,客户对账单!$B$4),"")</f>
      </c>
      <c r="F130">
        <f>IF(AND(出库明细!C130&lt;&gt;"",出库明细!C130=客户对账单!$B$4,ISNUMBER(出库明细!B130),出库明细!B130&gt;=客户对账单!$G$4,出库明细!B130&lt;=客户对账单!$I$4),出库明细!B130+ROW()/100000,"")</f>
      </c>
      <c r="H130">
        <f>IF(AND(采购进货!C130&lt;&gt;"",采购进货!C130=供应商对账单!$B$4,ISNUMBER(采购进货!B130),采购进货!B130&gt;=供应商对账单!$G$4,采购进货!B130&lt;=供应商对账单!$I$4),采购进货!B130+ROW()/100000,"")</f>
      </c>
      <c r="J130">
        <f>IF(总览汇总!$B130="","",N(总览汇总!$K130)+SUMIFS(出库明细!$G$4:$G$3003,出库明细!$C$4:$C$3003,总览汇总!$B130,出库明细!$B$4:$B$3003,"&gt;="&amp;年初日,出库明细!$B$4:$B$3003,"&lt;="&amp;资产负债表!$D$3)-SUMIFS(资金台帐!$S$7:$S$3006,资金台帐!$J$7:$J$3006,总览汇总!$B130,资金台帐!$P$7:$P$3006,"应收",资金台帐!$B$7:$B$3006,"&gt;="&amp;年初日,资金台帐!$B$7:$B$3006,"&lt;="&amp;资产负债表!$D$3))</f>
      </c>
      <c r="N130">
        <f>IF(AND(ISNUMBER(出库明细!G130),ISNUMBER(出库明细!E130),ISNUMBER(出库明细!F130)),IF(ABS(出库明细!G130-出库明细!E130*出库明细!F130)&gt;0.005,1,0),0)</f>
        <v>0</v>
      </c>
      <c r="O130">
        <f>IF(AND(ISNUMBER(存条明细!G130),ISNUMBER(存条明细!E130),ISNUMBER(存条明细!F130)),IF(ABS(存条明细!G130-存条明细!E130*存条明细!F130)&gt;0.005,1,0),0)</f>
        <v>0</v>
      </c>
      <c r="AA130">
        <f>IF(基础资料!Q25="","",基础资料!Q25&amp;"")</f>
      </c>
      <c r="AC130">
        <f>IF(OR($AA130="",AC$5=""),0,SUMIF(INDIRECT("'"&amp;AC$5&amp;"'!B6:B1000"),$AA130,INDIRECT("'"&amp;AC$5&amp;"'!H6:H1000")))</f>
        <v>0</v>
      </c>
      <c r="AD130">
        <f>IF(OR($AA130="",AD$5=""),0,SUMIF(INDIRECT("'"&amp;AD$5&amp;"'!B6:B1000"),$AA130,INDIRECT("'"&amp;AD$5&amp;"'!H6:H1000")))</f>
        <v>0</v>
      </c>
      <c r="AE130">
        <f>IF(OR($AA130="",AE$5=""),0,SUMIF(INDIRECT("'"&amp;AE$5&amp;"'!B6:B1000"),$AA130,INDIRECT("'"&amp;AE$5&amp;"'!H6:H1000")))</f>
        <v>0</v>
      </c>
      <c r="AF130">
        <f>IF(OR($AA130="",AF$5=""),0,SUMIF(INDIRECT("'"&amp;AF$5&amp;"'!B6:B1000"),$AA130,INDIRECT("'"&amp;AF$5&amp;"'!H6:H1000")))</f>
        <v>0</v>
      </c>
      <c r="AG130">
        <f>IF(OR($AA130="",AG$5=""),0,SUMIF(INDIRECT("'"&amp;AG$5&amp;"'!B6:B1000"),$AA130,INDIRECT("'"&amp;AG$5&amp;"'!H6:H1000")))</f>
        <v>0</v>
      </c>
      <c r="AH130">
        <f>IF(OR($AA130="",AH$5=""),0,SUMIF(INDIRECT("'"&amp;AH$5&amp;"'!B6:B1000"),$AA130,INDIRECT("'"&amp;AH$5&amp;"'!H6:H1000")))</f>
        <v>0</v>
      </c>
      <c r="AI130">
        <f>IF(OR($AA130="",AI$5=""),0,SUMIF(INDIRECT("'"&amp;AI$5&amp;"'!B6:B1000"),$AA130,INDIRECT("'"&amp;AI$5&amp;"'!H6:H1000")))</f>
        <v>0</v>
      </c>
      <c r="AJ130">
        <f>IF(OR($AA130="",AJ$5=""),0,SUMIF(INDIRECT("'"&amp;AJ$5&amp;"'!B6:B1000"),$AA130,INDIRECT("'"&amp;AJ$5&amp;"'!H6:H1000")))</f>
        <v>0</v>
      </c>
      <c r="AK130">
        <f>IF(OR($AA130="",AK$5=""),0,SUMIF(INDIRECT("'"&amp;AK$5&amp;"'!B6:B1000"),$AA130,INDIRECT("'"&amp;AK$5&amp;"'!H6:H1000")))</f>
        <v>0</v>
      </c>
      <c r="AL130">
        <f>IF(OR($AA130="",AL$5=""),0,SUMIF(INDIRECT("'"&amp;AL$5&amp;"'!B6:B1000"),$AA130,INDIRECT("'"&amp;AL$5&amp;"'!H6:H1000")))</f>
        <v>0</v>
      </c>
      <c r="AM130">
        <f>IF(OR($AA130="",AM$5=""),0,SUMIF(INDIRECT("'"&amp;AM$5&amp;"'!B6:B1000"),$AA130,INDIRECT("'"&amp;AM$5&amp;"'!H6:H1000")))</f>
        <v>0</v>
      </c>
      <c r="AN130">
        <f>IF(OR($AA130="",AN$5=""),0,SUMIF(INDIRECT("'"&amp;AN$5&amp;"'!B6:B1000"),$AA130,INDIRECT("'"&amp;AN$5&amp;"'!H6:H1000")))</f>
        <v>0</v>
      </c>
      <c r="BY130">
        <f>SUMPRODUCT((($AC$4:$AN$4=报损汇总一览!$A$3)+(报损汇总一览!$A$3="全年"))*AC130:AN130)</f>
        <v>0</v>
      </c>
    </row>
    <row r="131">
      <c r="A131">
        <f>IF(OR(存条明细!C131="",存条明细!D131=""),"",IF(COUNTIFS(存条明细!$C$4:C131,存条明细!C131,存条明细!$D$4:D131,存条明细!D131)&gt;1,"",IFERROR(MATCH(存条明细!C131,总览汇总!$B$5:$B$304,0),900)*10000000+IFERROR(MATCH(存条明细!D131,基础资料!$E$5:$E$104,0),900)*10000+ROW()))</f>
        <v>10080131</v>
      </c>
      <c r="B131">
        <f>IFERROR(MATCH(SMALL($A$4:$A$4003,128),$A$4:$A$4003,0),"")</f>
        <v>1269</v>
      </c>
      <c r="D131">
        <f>IF(AND(商品库存!B131&lt;&gt;"",商品库存!B131=客户查询!$B$4),COUNTIF(商品库存!$B$4:B131,客户查询!$B$4),"")</f>
      </c>
      <c r="E131">
        <f>IF(AND(商品库存!B131&lt;&gt;"",商品库存!B131=客户对账单!$B$4),COUNTIF(商品库存!$B$4:B131,客户对账单!$B$4),"")</f>
      </c>
      <c r="F131">
        <f>IF(AND(出库明细!C131&lt;&gt;"",出库明细!C131=客户对账单!$B$4,ISNUMBER(出库明细!B131),出库明细!B131&gt;=客户对账单!$G$4,出库明细!B131&lt;=客户对账单!$I$4),出库明细!B131+ROW()/100000,"")</f>
      </c>
      <c r="H131">
        <f>IF(AND(采购进货!C131&lt;&gt;"",采购进货!C131=供应商对账单!$B$4,ISNUMBER(采购进货!B131),采购进货!B131&gt;=供应商对账单!$G$4,采购进货!B131&lt;=供应商对账单!$I$4),采购进货!B131+ROW()/100000,"")</f>
      </c>
      <c r="J131">
        <f>IF(总览汇总!$B131="","",N(总览汇总!$K131)+SUMIFS(出库明细!$G$4:$G$3003,出库明细!$C$4:$C$3003,总览汇总!$B131,出库明细!$B$4:$B$3003,"&gt;="&amp;年初日,出库明细!$B$4:$B$3003,"&lt;="&amp;资产负债表!$D$3)-SUMIFS(资金台帐!$S$7:$S$3006,资金台帐!$J$7:$J$3006,总览汇总!$B131,资金台帐!$P$7:$P$3006,"应收",资金台帐!$B$7:$B$3006,"&gt;="&amp;年初日,资金台帐!$B$7:$B$3006,"&lt;="&amp;资产负债表!$D$3))</f>
      </c>
      <c r="N131">
        <f>IF(AND(ISNUMBER(出库明细!G131),ISNUMBER(出库明细!E131),ISNUMBER(出库明细!F131)),IF(ABS(出库明细!G131-出库明细!E131*出库明细!F131)&gt;0.005,1,0),0)</f>
        <v>0</v>
      </c>
      <c r="O131">
        <f>IF(AND(ISNUMBER(存条明细!G131),ISNUMBER(存条明细!E131),ISNUMBER(存条明细!F131)),IF(ABS(存条明细!G131-存条明细!E131*存条明细!F131)&gt;0.005,1,0),0)</f>
        <v>0</v>
      </c>
      <c r="AA131">
        <f>IF(基础资料!Q26="","",基础资料!Q26&amp;"")</f>
      </c>
      <c r="AC131">
        <f>IF(OR($AA131="",AC$5=""),0,SUMIF(INDIRECT("'"&amp;AC$5&amp;"'!B6:B1000"),$AA131,INDIRECT("'"&amp;AC$5&amp;"'!H6:H1000")))</f>
        <v>0</v>
      </c>
      <c r="AD131">
        <f>IF(OR($AA131="",AD$5=""),0,SUMIF(INDIRECT("'"&amp;AD$5&amp;"'!B6:B1000"),$AA131,INDIRECT("'"&amp;AD$5&amp;"'!H6:H1000")))</f>
        <v>0</v>
      </c>
      <c r="AE131">
        <f>IF(OR($AA131="",AE$5=""),0,SUMIF(INDIRECT("'"&amp;AE$5&amp;"'!B6:B1000"),$AA131,INDIRECT("'"&amp;AE$5&amp;"'!H6:H1000")))</f>
        <v>0</v>
      </c>
      <c r="AF131">
        <f>IF(OR($AA131="",AF$5=""),0,SUMIF(INDIRECT("'"&amp;AF$5&amp;"'!B6:B1000"),$AA131,INDIRECT("'"&amp;AF$5&amp;"'!H6:H1000")))</f>
        <v>0</v>
      </c>
      <c r="AG131">
        <f>IF(OR($AA131="",AG$5=""),0,SUMIF(INDIRECT("'"&amp;AG$5&amp;"'!B6:B1000"),$AA131,INDIRECT("'"&amp;AG$5&amp;"'!H6:H1000")))</f>
        <v>0</v>
      </c>
      <c r="AH131">
        <f>IF(OR($AA131="",AH$5=""),0,SUMIF(INDIRECT("'"&amp;AH$5&amp;"'!B6:B1000"),$AA131,INDIRECT("'"&amp;AH$5&amp;"'!H6:H1000")))</f>
        <v>0</v>
      </c>
      <c r="AI131">
        <f>IF(OR($AA131="",AI$5=""),0,SUMIF(INDIRECT("'"&amp;AI$5&amp;"'!B6:B1000"),$AA131,INDIRECT("'"&amp;AI$5&amp;"'!H6:H1000")))</f>
        <v>0</v>
      </c>
      <c r="AJ131">
        <f>IF(OR($AA131="",AJ$5=""),0,SUMIF(INDIRECT("'"&amp;AJ$5&amp;"'!B6:B1000"),$AA131,INDIRECT("'"&amp;AJ$5&amp;"'!H6:H1000")))</f>
        <v>0</v>
      </c>
      <c r="AK131">
        <f>IF(OR($AA131="",AK$5=""),0,SUMIF(INDIRECT("'"&amp;AK$5&amp;"'!B6:B1000"),$AA131,INDIRECT("'"&amp;AK$5&amp;"'!H6:H1000")))</f>
        <v>0</v>
      </c>
      <c r="AL131">
        <f>IF(OR($AA131="",AL$5=""),0,SUMIF(INDIRECT("'"&amp;AL$5&amp;"'!B6:B1000"),$AA131,INDIRECT("'"&amp;AL$5&amp;"'!H6:H1000")))</f>
        <v>0</v>
      </c>
      <c r="AM131">
        <f>IF(OR($AA131="",AM$5=""),0,SUMIF(INDIRECT("'"&amp;AM$5&amp;"'!B6:B1000"),$AA131,INDIRECT("'"&amp;AM$5&amp;"'!H6:H1000")))</f>
        <v>0</v>
      </c>
      <c r="AN131">
        <f>IF(OR($AA131="",AN$5=""),0,SUMIF(INDIRECT("'"&amp;AN$5&amp;"'!B6:B1000"),$AA131,INDIRECT("'"&amp;AN$5&amp;"'!H6:H1000")))</f>
        <v>0</v>
      </c>
      <c r="BY131">
        <f>SUMPRODUCT((($AC$4:$AN$4=报损汇总一览!$A$3)+(报损汇总一览!$A$3="全年"))*AC131:AN131)</f>
        <v>0</v>
      </c>
    </row>
    <row r="132">
      <c r="A132">
        <f>IF(OR(存条明细!C132="",存条明细!D132=""),"",IF(COUNTIFS(存条明细!$C$4:C132,存条明细!C132,存条明细!$D$4:D132,存条明细!D132)&gt;1,"",IFERROR(MATCH(存条明细!C132,总览汇总!$B$5:$B$304,0),900)*10000000+IFERROR(MATCH(存条明细!D132,基础资料!$E$5:$E$104,0),900)*10000+ROW()))</f>
      </c>
      <c r="B132">
        <f>IFERROR(MATCH(SMALL($A$4:$A$4003,129),$A$4:$A$4003,0),"")</f>
        <v>1410</v>
      </c>
      <c r="D132">
        <f>IF(AND(商品库存!B132&lt;&gt;"",商品库存!B132=客户查询!$B$4),COUNTIF(商品库存!$B$4:B132,客户查询!$B$4),"")</f>
      </c>
      <c r="E132">
        <f>IF(AND(商品库存!B132&lt;&gt;"",商品库存!B132=客户对账单!$B$4),COUNTIF(商品库存!$B$4:B132,客户对账单!$B$4),"")</f>
      </c>
      <c r="F132">
        <f>IF(AND(出库明细!C132&lt;&gt;"",出库明细!C132=客户对账单!$B$4,ISNUMBER(出库明细!B132),出库明细!B132&gt;=客户对账单!$G$4,出库明细!B132&lt;=客户对账单!$I$4),出库明细!B132+ROW()/100000,"")</f>
      </c>
      <c r="H132">
        <f>IF(AND(采购进货!C132&lt;&gt;"",采购进货!C132=供应商对账单!$B$4,ISNUMBER(采购进货!B132),采购进货!B132&gt;=供应商对账单!$G$4,采购进货!B132&lt;=供应商对账单!$I$4),采购进货!B132+ROW()/100000,"")</f>
      </c>
      <c r="J132">
        <f>IF(总览汇总!$B132="","",N(总览汇总!$K132)+SUMIFS(出库明细!$G$4:$G$3003,出库明细!$C$4:$C$3003,总览汇总!$B132,出库明细!$B$4:$B$3003,"&gt;="&amp;年初日,出库明细!$B$4:$B$3003,"&lt;="&amp;资产负债表!$D$3)-SUMIFS(资金台帐!$S$7:$S$3006,资金台帐!$J$7:$J$3006,总览汇总!$B132,资金台帐!$P$7:$P$3006,"应收",资金台帐!$B$7:$B$3006,"&gt;="&amp;年初日,资金台帐!$B$7:$B$3006,"&lt;="&amp;资产负债表!$D$3))</f>
      </c>
      <c r="N132">
        <f>IF(AND(ISNUMBER(出库明细!G132),ISNUMBER(出库明细!E132),ISNUMBER(出库明细!F132)),IF(ABS(出库明细!G132-出库明细!E132*出库明细!F132)&gt;0.005,1,0),0)</f>
        <v>0</v>
      </c>
      <c r="O132">
        <f>IF(AND(ISNUMBER(存条明细!G132),ISNUMBER(存条明细!E132),ISNUMBER(存条明细!F132)),IF(ABS(存条明细!G132-存条明细!E132*存条明细!F132)&gt;0.005,1,0),0)</f>
        <v>0</v>
      </c>
      <c r="AA132">
        <f>IF(基础资料!Q27="","",基础资料!Q27&amp;"")</f>
      </c>
      <c r="AC132">
        <f>IF(OR($AA132="",AC$5=""),0,SUMIF(INDIRECT("'"&amp;AC$5&amp;"'!B6:B1000"),$AA132,INDIRECT("'"&amp;AC$5&amp;"'!H6:H1000")))</f>
        <v>0</v>
      </c>
      <c r="AD132">
        <f>IF(OR($AA132="",AD$5=""),0,SUMIF(INDIRECT("'"&amp;AD$5&amp;"'!B6:B1000"),$AA132,INDIRECT("'"&amp;AD$5&amp;"'!H6:H1000")))</f>
        <v>0</v>
      </c>
      <c r="AE132">
        <f>IF(OR($AA132="",AE$5=""),0,SUMIF(INDIRECT("'"&amp;AE$5&amp;"'!B6:B1000"),$AA132,INDIRECT("'"&amp;AE$5&amp;"'!H6:H1000")))</f>
        <v>0</v>
      </c>
      <c r="AF132">
        <f>IF(OR($AA132="",AF$5=""),0,SUMIF(INDIRECT("'"&amp;AF$5&amp;"'!B6:B1000"),$AA132,INDIRECT("'"&amp;AF$5&amp;"'!H6:H1000")))</f>
        <v>0</v>
      </c>
      <c r="AG132">
        <f>IF(OR($AA132="",AG$5=""),0,SUMIF(INDIRECT("'"&amp;AG$5&amp;"'!B6:B1000"),$AA132,INDIRECT("'"&amp;AG$5&amp;"'!H6:H1000")))</f>
        <v>0</v>
      </c>
      <c r="AH132">
        <f>IF(OR($AA132="",AH$5=""),0,SUMIF(INDIRECT("'"&amp;AH$5&amp;"'!B6:B1000"),$AA132,INDIRECT("'"&amp;AH$5&amp;"'!H6:H1000")))</f>
        <v>0</v>
      </c>
      <c r="AI132">
        <f>IF(OR($AA132="",AI$5=""),0,SUMIF(INDIRECT("'"&amp;AI$5&amp;"'!B6:B1000"),$AA132,INDIRECT("'"&amp;AI$5&amp;"'!H6:H1000")))</f>
        <v>0</v>
      </c>
      <c r="AJ132">
        <f>IF(OR($AA132="",AJ$5=""),0,SUMIF(INDIRECT("'"&amp;AJ$5&amp;"'!B6:B1000"),$AA132,INDIRECT("'"&amp;AJ$5&amp;"'!H6:H1000")))</f>
        <v>0</v>
      </c>
      <c r="AK132">
        <f>IF(OR($AA132="",AK$5=""),0,SUMIF(INDIRECT("'"&amp;AK$5&amp;"'!B6:B1000"),$AA132,INDIRECT("'"&amp;AK$5&amp;"'!H6:H1000")))</f>
        <v>0</v>
      </c>
      <c r="AL132">
        <f>IF(OR($AA132="",AL$5=""),0,SUMIF(INDIRECT("'"&amp;AL$5&amp;"'!B6:B1000"),$AA132,INDIRECT("'"&amp;AL$5&amp;"'!H6:H1000")))</f>
        <v>0</v>
      </c>
      <c r="AM132">
        <f>IF(OR($AA132="",AM$5=""),0,SUMIF(INDIRECT("'"&amp;AM$5&amp;"'!B6:B1000"),$AA132,INDIRECT("'"&amp;AM$5&amp;"'!H6:H1000")))</f>
        <v>0</v>
      </c>
      <c r="AN132">
        <f>IF(OR($AA132="",AN$5=""),0,SUMIF(INDIRECT("'"&amp;AN$5&amp;"'!B6:B1000"),$AA132,INDIRECT("'"&amp;AN$5&amp;"'!H6:H1000")))</f>
        <v>0</v>
      </c>
      <c r="BY132">
        <f>SUMPRODUCT((($AC$4:$AN$4=报损汇总一览!$A$3)+(报损汇总一览!$A$3="全年"))*AC132:AN132)</f>
        <v>0</v>
      </c>
    </row>
    <row r="133">
      <c r="A133">
        <f>IF(OR(存条明细!C133="",存条明细!D133=""),"",IF(COUNTIFS(存条明细!$C$4:C133,存条明细!C133,存条明细!$D$4:D133,存条明细!D133)&gt;1,"",IFERROR(MATCH(存条明细!C133,总览汇总!$B$5:$B$304,0),900)*10000000+IFERROR(MATCH(存条明细!D133,基础资料!$E$5:$E$104,0),900)*10000+ROW()))</f>
      </c>
      <c r="B133">
        <f>IFERROR(MATCH(SMALL($A$4:$A$4003,130),$A$4:$A$4003,0),"")</f>
        <v>1412</v>
      </c>
      <c r="D133">
        <f>IF(AND(商品库存!B133&lt;&gt;"",商品库存!B133=客户查询!$B$4),COUNTIF(商品库存!$B$4:B133,客户查询!$B$4),"")</f>
      </c>
      <c r="E133">
        <f>IF(AND(商品库存!B133&lt;&gt;"",商品库存!B133=客户对账单!$B$4),COUNTIF(商品库存!$B$4:B133,客户对账单!$B$4),"")</f>
      </c>
      <c r="F133">
        <f>IF(AND(出库明细!C133&lt;&gt;"",出库明细!C133=客户对账单!$B$4,ISNUMBER(出库明细!B133),出库明细!B133&gt;=客户对账单!$G$4,出库明细!B133&lt;=客户对账单!$I$4),出库明细!B133+ROW()/100000,"")</f>
      </c>
      <c r="H133">
        <f>IF(AND(采购进货!C133&lt;&gt;"",采购进货!C133=供应商对账单!$B$4,ISNUMBER(采购进货!B133),采购进货!B133&gt;=供应商对账单!$G$4,采购进货!B133&lt;=供应商对账单!$I$4),采购进货!B133+ROW()/100000,"")</f>
      </c>
      <c r="J133">
        <f>IF(总览汇总!$B133="","",N(总览汇总!$K133)+SUMIFS(出库明细!$G$4:$G$3003,出库明细!$C$4:$C$3003,总览汇总!$B133,出库明细!$B$4:$B$3003,"&gt;="&amp;年初日,出库明细!$B$4:$B$3003,"&lt;="&amp;资产负债表!$D$3)-SUMIFS(资金台帐!$S$7:$S$3006,资金台帐!$J$7:$J$3006,总览汇总!$B133,资金台帐!$P$7:$P$3006,"应收",资金台帐!$B$7:$B$3006,"&gt;="&amp;年初日,资金台帐!$B$7:$B$3006,"&lt;="&amp;资产负债表!$D$3))</f>
      </c>
      <c r="N133">
        <f>IF(AND(ISNUMBER(出库明细!G133),ISNUMBER(出库明细!E133),ISNUMBER(出库明细!F133)),IF(ABS(出库明细!G133-出库明细!E133*出库明细!F133)&gt;0.005,1,0),0)</f>
        <v>0</v>
      </c>
      <c r="O133">
        <f>IF(AND(ISNUMBER(存条明细!G133),ISNUMBER(存条明细!E133),ISNUMBER(存条明细!F133)),IF(ABS(存条明细!G133-存条明细!E133*存条明细!F133)&gt;0.005,1,0),0)</f>
        <v>0</v>
      </c>
      <c r="AA133">
        <f>IF(基础资料!Q28="","",基础资料!Q28&amp;"")</f>
      </c>
      <c r="AC133">
        <f>IF(OR($AA133="",AC$5=""),0,SUMIF(INDIRECT("'"&amp;AC$5&amp;"'!B6:B1000"),$AA133,INDIRECT("'"&amp;AC$5&amp;"'!H6:H1000")))</f>
        <v>0</v>
      </c>
      <c r="AD133">
        <f>IF(OR($AA133="",AD$5=""),0,SUMIF(INDIRECT("'"&amp;AD$5&amp;"'!B6:B1000"),$AA133,INDIRECT("'"&amp;AD$5&amp;"'!H6:H1000")))</f>
        <v>0</v>
      </c>
      <c r="AE133">
        <f>IF(OR($AA133="",AE$5=""),0,SUMIF(INDIRECT("'"&amp;AE$5&amp;"'!B6:B1000"),$AA133,INDIRECT("'"&amp;AE$5&amp;"'!H6:H1000")))</f>
        <v>0</v>
      </c>
      <c r="AF133">
        <f>IF(OR($AA133="",AF$5=""),0,SUMIF(INDIRECT("'"&amp;AF$5&amp;"'!B6:B1000"),$AA133,INDIRECT("'"&amp;AF$5&amp;"'!H6:H1000")))</f>
        <v>0</v>
      </c>
      <c r="AG133">
        <f>IF(OR($AA133="",AG$5=""),0,SUMIF(INDIRECT("'"&amp;AG$5&amp;"'!B6:B1000"),$AA133,INDIRECT("'"&amp;AG$5&amp;"'!H6:H1000")))</f>
        <v>0</v>
      </c>
      <c r="AH133">
        <f>IF(OR($AA133="",AH$5=""),0,SUMIF(INDIRECT("'"&amp;AH$5&amp;"'!B6:B1000"),$AA133,INDIRECT("'"&amp;AH$5&amp;"'!H6:H1000")))</f>
        <v>0</v>
      </c>
      <c r="AI133">
        <f>IF(OR($AA133="",AI$5=""),0,SUMIF(INDIRECT("'"&amp;AI$5&amp;"'!B6:B1000"),$AA133,INDIRECT("'"&amp;AI$5&amp;"'!H6:H1000")))</f>
        <v>0</v>
      </c>
      <c r="AJ133">
        <f>IF(OR($AA133="",AJ$5=""),0,SUMIF(INDIRECT("'"&amp;AJ$5&amp;"'!B6:B1000"),$AA133,INDIRECT("'"&amp;AJ$5&amp;"'!H6:H1000")))</f>
        <v>0</v>
      </c>
      <c r="AK133">
        <f>IF(OR($AA133="",AK$5=""),0,SUMIF(INDIRECT("'"&amp;AK$5&amp;"'!B6:B1000"),$AA133,INDIRECT("'"&amp;AK$5&amp;"'!H6:H1000")))</f>
        <v>0</v>
      </c>
      <c r="AL133">
        <f>IF(OR($AA133="",AL$5=""),0,SUMIF(INDIRECT("'"&amp;AL$5&amp;"'!B6:B1000"),$AA133,INDIRECT("'"&amp;AL$5&amp;"'!H6:H1000")))</f>
        <v>0</v>
      </c>
      <c r="AM133">
        <f>IF(OR($AA133="",AM$5=""),0,SUMIF(INDIRECT("'"&amp;AM$5&amp;"'!B6:B1000"),$AA133,INDIRECT("'"&amp;AM$5&amp;"'!H6:H1000")))</f>
        <v>0</v>
      </c>
      <c r="AN133">
        <f>IF(OR($AA133="",AN$5=""),0,SUMIF(INDIRECT("'"&amp;AN$5&amp;"'!B6:B1000"),$AA133,INDIRECT("'"&amp;AN$5&amp;"'!H6:H1000")))</f>
        <v>0</v>
      </c>
      <c r="BY133">
        <f>SUMPRODUCT((($AC$4:$AN$4=报损汇总一览!$A$3)+(报损汇总一览!$A$3="全年"))*AC133:AN133)</f>
        <v>0</v>
      </c>
    </row>
    <row r="134">
      <c r="A134">
        <f>IF(OR(存条明细!C134="",存条明细!D134=""),"",IF(COUNTIFS(存条明细!$C$4:C134,存条明细!C134,存条明细!$D$4:D134,存条明细!D134)&gt;1,"",IFERROR(MATCH(存条明细!C134,总览汇总!$B$5:$B$304,0),900)*10000000+IFERROR(MATCH(存条明细!D134,基础资料!$E$5:$E$104,0),900)*10000+ROW()))</f>
      </c>
      <c r="B134">
        <f>IFERROR(MATCH(SMALL($A$4:$A$4003,131),$A$4:$A$4003,0),"")</f>
        <v>1411</v>
      </c>
      <c r="D134">
        <f>IF(AND(商品库存!B134&lt;&gt;"",商品库存!B134=客户查询!$B$4),COUNTIF(商品库存!$B$4:B134,客户查询!$B$4),"")</f>
      </c>
      <c r="E134">
        <f>IF(AND(商品库存!B134&lt;&gt;"",商品库存!B134=客户对账单!$B$4),COUNTIF(商品库存!$B$4:B134,客户对账单!$B$4),"")</f>
      </c>
      <c r="F134">
        <f>IF(AND(出库明细!C134&lt;&gt;"",出库明细!C134=客户对账单!$B$4,ISNUMBER(出库明细!B134),出库明细!B134&gt;=客户对账单!$G$4,出库明细!B134&lt;=客户对账单!$I$4),出库明细!B134+ROW()/100000,"")</f>
      </c>
      <c r="H134">
        <f>IF(AND(采购进货!C134&lt;&gt;"",采购进货!C134=供应商对账单!$B$4,ISNUMBER(采购进货!B134),采购进货!B134&gt;=供应商对账单!$G$4,采购进货!B134&lt;=供应商对账单!$I$4),采购进货!B134+ROW()/100000,"")</f>
      </c>
      <c r="J134">
        <f>IF(总览汇总!$B134="","",N(总览汇总!$K134)+SUMIFS(出库明细!$G$4:$G$3003,出库明细!$C$4:$C$3003,总览汇总!$B134,出库明细!$B$4:$B$3003,"&gt;="&amp;年初日,出库明细!$B$4:$B$3003,"&lt;="&amp;资产负债表!$D$3)-SUMIFS(资金台帐!$S$7:$S$3006,资金台帐!$J$7:$J$3006,总览汇总!$B134,资金台帐!$P$7:$P$3006,"应收",资金台帐!$B$7:$B$3006,"&gt;="&amp;年初日,资金台帐!$B$7:$B$3006,"&lt;="&amp;资产负债表!$D$3))</f>
      </c>
      <c r="N134">
        <f>IF(AND(ISNUMBER(出库明细!G134),ISNUMBER(出库明细!E134),ISNUMBER(出库明细!F134)),IF(ABS(出库明细!G134-出库明细!E134*出库明细!F134)&gt;0.005,1,0),0)</f>
        <v>0</v>
      </c>
      <c r="O134">
        <f>IF(AND(ISNUMBER(存条明细!G134),ISNUMBER(存条明细!E134),ISNUMBER(存条明细!F134)),IF(ABS(存条明细!G134-存条明细!E134*存条明细!F134)&gt;0.005,1,0),0)</f>
        <v>0</v>
      </c>
      <c r="AA134">
        <f>IF(基础资料!Q29="","",基础资料!Q29&amp;"")</f>
      </c>
      <c r="AC134">
        <f>IF(OR($AA134="",AC$5=""),0,SUMIF(INDIRECT("'"&amp;AC$5&amp;"'!B6:B1000"),$AA134,INDIRECT("'"&amp;AC$5&amp;"'!H6:H1000")))</f>
        <v>0</v>
      </c>
      <c r="AD134">
        <f>IF(OR($AA134="",AD$5=""),0,SUMIF(INDIRECT("'"&amp;AD$5&amp;"'!B6:B1000"),$AA134,INDIRECT("'"&amp;AD$5&amp;"'!H6:H1000")))</f>
        <v>0</v>
      </c>
      <c r="AE134">
        <f>IF(OR($AA134="",AE$5=""),0,SUMIF(INDIRECT("'"&amp;AE$5&amp;"'!B6:B1000"),$AA134,INDIRECT("'"&amp;AE$5&amp;"'!H6:H1000")))</f>
        <v>0</v>
      </c>
      <c r="AF134">
        <f>IF(OR($AA134="",AF$5=""),0,SUMIF(INDIRECT("'"&amp;AF$5&amp;"'!B6:B1000"),$AA134,INDIRECT("'"&amp;AF$5&amp;"'!H6:H1000")))</f>
        <v>0</v>
      </c>
      <c r="AG134">
        <f>IF(OR($AA134="",AG$5=""),0,SUMIF(INDIRECT("'"&amp;AG$5&amp;"'!B6:B1000"),$AA134,INDIRECT("'"&amp;AG$5&amp;"'!H6:H1000")))</f>
        <v>0</v>
      </c>
      <c r="AH134">
        <f>IF(OR($AA134="",AH$5=""),0,SUMIF(INDIRECT("'"&amp;AH$5&amp;"'!B6:B1000"),$AA134,INDIRECT("'"&amp;AH$5&amp;"'!H6:H1000")))</f>
        <v>0</v>
      </c>
      <c r="AI134">
        <f>IF(OR($AA134="",AI$5=""),0,SUMIF(INDIRECT("'"&amp;AI$5&amp;"'!B6:B1000"),$AA134,INDIRECT("'"&amp;AI$5&amp;"'!H6:H1000")))</f>
        <v>0</v>
      </c>
      <c r="AJ134">
        <f>IF(OR($AA134="",AJ$5=""),0,SUMIF(INDIRECT("'"&amp;AJ$5&amp;"'!B6:B1000"),$AA134,INDIRECT("'"&amp;AJ$5&amp;"'!H6:H1000")))</f>
        <v>0</v>
      </c>
      <c r="AK134">
        <f>IF(OR($AA134="",AK$5=""),0,SUMIF(INDIRECT("'"&amp;AK$5&amp;"'!B6:B1000"),$AA134,INDIRECT("'"&amp;AK$5&amp;"'!H6:H1000")))</f>
        <v>0</v>
      </c>
      <c r="AL134">
        <f>IF(OR($AA134="",AL$5=""),0,SUMIF(INDIRECT("'"&amp;AL$5&amp;"'!B6:B1000"),$AA134,INDIRECT("'"&amp;AL$5&amp;"'!H6:H1000")))</f>
        <v>0</v>
      </c>
      <c r="AM134">
        <f>IF(OR($AA134="",AM$5=""),0,SUMIF(INDIRECT("'"&amp;AM$5&amp;"'!B6:B1000"),$AA134,INDIRECT("'"&amp;AM$5&amp;"'!H6:H1000")))</f>
        <v>0</v>
      </c>
      <c r="AN134">
        <f>IF(OR($AA134="",AN$5=""),0,SUMIF(INDIRECT("'"&amp;AN$5&amp;"'!B6:B1000"),$AA134,INDIRECT("'"&amp;AN$5&amp;"'!H6:H1000")))</f>
        <v>0</v>
      </c>
      <c r="BY134">
        <f>SUMPRODUCT((($AC$4:$AN$4=报损汇总一览!$A$3)+(报损汇总一览!$A$3="全年"))*AC134:AN134)</f>
        <v>0</v>
      </c>
    </row>
    <row r="135">
      <c r="A135">
        <f>IF(OR(存条明细!C135="",存条明细!D135=""),"",IF(COUNTIFS(存条明细!$C$4:C135,存条明细!C135,存条明细!$D$4:D135,存条明细!D135)&gt;1,"",IFERROR(MATCH(存条明细!C135,总览汇总!$B$5:$B$304,0),900)*10000000+IFERROR(MATCH(存条明细!D135,基础资料!$E$5:$E$104,0),900)*10000+ROW()))</f>
        <v>10010135</v>
      </c>
      <c r="B135">
        <f>IFERROR(MATCH(SMALL($A$4:$A$4003,132),$A$4:$A$4003,0),"")</f>
        <v>1413</v>
      </c>
      <c r="D135">
        <f>IF(AND(商品库存!B135&lt;&gt;"",商品库存!B135=客户查询!$B$4),COUNTIF(商品库存!$B$4:B135,客户查询!$B$4),"")</f>
      </c>
      <c r="E135">
        <f>IF(AND(商品库存!B135&lt;&gt;"",商品库存!B135=客户对账单!$B$4),COUNTIF(商品库存!$B$4:B135,客户对账单!$B$4),"")</f>
      </c>
      <c r="F135">
        <f>IF(AND(出库明细!C135&lt;&gt;"",出库明细!C135=客户对账单!$B$4,ISNUMBER(出库明细!B135),出库明细!B135&gt;=客户对账单!$G$4,出库明细!B135&lt;=客户对账单!$I$4),出库明细!B135+ROW()/100000,"")</f>
      </c>
      <c r="H135">
        <f>IF(AND(采购进货!C135&lt;&gt;"",采购进货!C135=供应商对账单!$B$4,ISNUMBER(采购进货!B135),采购进货!B135&gt;=供应商对账单!$G$4,采购进货!B135&lt;=供应商对账单!$I$4),采购进货!B135+ROW()/100000,"")</f>
      </c>
      <c r="J135">
        <f>IF(总览汇总!$B135="","",N(总览汇总!$K135)+SUMIFS(出库明细!$G$4:$G$3003,出库明细!$C$4:$C$3003,总览汇总!$B135,出库明细!$B$4:$B$3003,"&gt;="&amp;年初日,出库明细!$B$4:$B$3003,"&lt;="&amp;资产负债表!$D$3)-SUMIFS(资金台帐!$S$7:$S$3006,资金台帐!$J$7:$J$3006,总览汇总!$B135,资金台帐!$P$7:$P$3006,"应收",资金台帐!$B$7:$B$3006,"&gt;="&amp;年初日,资金台帐!$B$7:$B$3006,"&lt;="&amp;资产负债表!$D$3))</f>
      </c>
      <c r="N135">
        <f>IF(AND(ISNUMBER(出库明细!G135),ISNUMBER(出库明细!E135),ISNUMBER(出库明细!F135)),IF(ABS(出库明细!G135-出库明细!E135*出库明细!F135)&gt;0.005,1,0),0)</f>
        <v>0</v>
      </c>
      <c r="O135">
        <f>IF(AND(ISNUMBER(存条明细!G135),ISNUMBER(存条明细!E135),ISNUMBER(存条明细!F135)),IF(ABS(存条明细!G135-存条明细!E135*存条明细!F135)&gt;0.005,1,0),0)</f>
        <v>0</v>
      </c>
      <c r="AA135">
        <f>IF(基础资料!Q30="","",基础资料!Q30&amp;"")</f>
      </c>
      <c r="AC135">
        <f>IF(OR($AA135="",AC$5=""),0,SUMIF(INDIRECT("'"&amp;AC$5&amp;"'!B6:B1000"),$AA135,INDIRECT("'"&amp;AC$5&amp;"'!H6:H1000")))</f>
        <v>0</v>
      </c>
      <c r="AD135">
        <f>IF(OR($AA135="",AD$5=""),0,SUMIF(INDIRECT("'"&amp;AD$5&amp;"'!B6:B1000"),$AA135,INDIRECT("'"&amp;AD$5&amp;"'!H6:H1000")))</f>
        <v>0</v>
      </c>
      <c r="AE135">
        <f>IF(OR($AA135="",AE$5=""),0,SUMIF(INDIRECT("'"&amp;AE$5&amp;"'!B6:B1000"),$AA135,INDIRECT("'"&amp;AE$5&amp;"'!H6:H1000")))</f>
        <v>0</v>
      </c>
      <c r="AF135">
        <f>IF(OR($AA135="",AF$5=""),0,SUMIF(INDIRECT("'"&amp;AF$5&amp;"'!B6:B1000"),$AA135,INDIRECT("'"&amp;AF$5&amp;"'!H6:H1000")))</f>
        <v>0</v>
      </c>
      <c r="AG135">
        <f>IF(OR($AA135="",AG$5=""),0,SUMIF(INDIRECT("'"&amp;AG$5&amp;"'!B6:B1000"),$AA135,INDIRECT("'"&amp;AG$5&amp;"'!H6:H1000")))</f>
        <v>0</v>
      </c>
      <c r="AH135">
        <f>IF(OR($AA135="",AH$5=""),0,SUMIF(INDIRECT("'"&amp;AH$5&amp;"'!B6:B1000"),$AA135,INDIRECT("'"&amp;AH$5&amp;"'!H6:H1000")))</f>
        <v>0</v>
      </c>
      <c r="AI135">
        <f>IF(OR($AA135="",AI$5=""),0,SUMIF(INDIRECT("'"&amp;AI$5&amp;"'!B6:B1000"),$AA135,INDIRECT("'"&amp;AI$5&amp;"'!H6:H1000")))</f>
        <v>0</v>
      </c>
      <c r="AJ135">
        <f>IF(OR($AA135="",AJ$5=""),0,SUMIF(INDIRECT("'"&amp;AJ$5&amp;"'!B6:B1000"),$AA135,INDIRECT("'"&amp;AJ$5&amp;"'!H6:H1000")))</f>
        <v>0</v>
      </c>
      <c r="AK135">
        <f>IF(OR($AA135="",AK$5=""),0,SUMIF(INDIRECT("'"&amp;AK$5&amp;"'!B6:B1000"),$AA135,INDIRECT("'"&amp;AK$5&amp;"'!H6:H1000")))</f>
        <v>0</v>
      </c>
      <c r="AL135">
        <f>IF(OR($AA135="",AL$5=""),0,SUMIF(INDIRECT("'"&amp;AL$5&amp;"'!B6:B1000"),$AA135,INDIRECT("'"&amp;AL$5&amp;"'!H6:H1000")))</f>
        <v>0</v>
      </c>
      <c r="AM135">
        <f>IF(OR($AA135="",AM$5=""),0,SUMIF(INDIRECT("'"&amp;AM$5&amp;"'!B6:B1000"),$AA135,INDIRECT("'"&amp;AM$5&amp;"'!H6:H1000")))</f>
        <v>0</v>
      </c>
      <c r="AN135">
        <f>IF(OR($AA135="",AN$5=""),0,SUMIF(INDIRECT("'"&amp;AN$5&amp;"'!B6:B1000"),$AA135,INDIRECT("'"&amp;AN$5&amp;"'!H6:H1000")))</f>
        <v>0</v>
      </c>
      <c r="BY135">
        <f>SUMPRODUCT((($AC$4:$AN$4=报损汇总一览!$A$3)+(报损汇总一览!$A$3="全年"))*AC135:AN135)</f>
        <v>0</v>
      </c>
    </row>
    <row r="136">
      <c r="A136">
        <f>IF(OR(存条明细!C136="",存条明细!D136=""),"",IF(COUNTIFS(存条明细!$C$4:C136,存条明细!C136,存条明细!$D$4:D136,存条明细!D136)&gt;1,"",IFERROR(MATCH(存条明细!C136,总览汇总!$B$5:$B$304,0),900)*10000000+IFERROR(MATCH(存条明细!D136,基础资料!$E$5:$E$104,0),900)*10000+ROW()))</f>
      </c>
      <c r="B136">
        <f>IFERROR(MATCH(SMALL($A$4:$A$4003,133),$A$4:$A$4003,0),"")</f>
        <v>1041</v>
      </c>
      <c r="D136">
        <f>IF(AND(商品库存!B136&lt;&gt;"",商品库存!B136=客户查询!$B$4),COUNTIF(商品库存!$B$4:B136,客户查询!$B$4),"")</f>
      </c>
      <c r="E136">
        <f>IF(AND(商品库存!B136&lt;&gt;"",商品库存!B136=客户对账单!$B$4),COUNTIF(商品库存!$B$4:B136,客户对账单!$B$4),"")</f>
      </c>
      <c r="F136">
        <f>IF(AND(出库明细!C136&lt;&gt;"",出库明细!C136=客户对账单!$B$4,ISNUMBER(出库明细!B136),出库明细!B136&gt;=客户对账单!$G$4,出库明细!B136&lt;=客户对账单!$I$4),出库明细!B136+ROW()/100000,"")</f>
      </c>
      <c r="H136">
        <f>IF(AND(采购进货!C136&lt;&gt;"",采购进货!C136=供应商对账单!$B$4,ISNUMBER(采购进货!B136),采购进货!B136&gt;=供应商对账单!$G$4,采购进货!B136&lt;=供应商对账单!$I$4),采购进货!B136+ROW()/100000,"")</f>
      </c>
      <c r="J136">
        <f>IF(总览汇总!$B136="","",N(总览汇总!$K136)+SUMIFS(出库明细!$G$4:$G$3003,出库明细!$C$4:$C$3003,总览汇总!$B136,出库明细!$B$4:$B$3003,"&gt;="&amp;年初日,出库明细!$B$4:$B$3003,"&lt;="&amp;资产负债表!$D$3)-SUMIFS(资金台帐!$S$7:$S$3006,资金台帐!$J$7:$J$3006,总览汇总!$B136,资金台帐!$P$7:$P$3006,"应收",资金台帐!$B$7:$B$3006,"&gt;="&amp;年初日,资金台帐!$B$7:$B$3006,"&lt;="&amp;资产负债表!$D$3))</f>
      </c>
      <c r="N136">
        <f>IF(AND(ISNUMBER(出库明细!G136),ISNUMBER(出库明细!E136),ISNUMBER(出库明细!F136)),IF(ABS(出库明细!G136-出库明细!E136*出库明细!F136)&gt;0.005,1,0),0)</f>
        <v>0</v>
      </c>
      <c r="O136">
        <f>IF(AND(ISNUMBER(存条明细!G136),ISNUMBER(存条明细!E136),ISNUMBER(存条明细!F136)),IF(ABS(存条明细!G136-存条明细!E136*存条明细!F136)&gt;0.005,1,0),0)</f>
        <v>0</v>
      </c>
      <c r="AA136">
        <f>IF(基础资料!Q31="","",基础资料!Q31&amp;"")</f>
      </c>
      <c r="AC136">
        <f>IF(OR($AA136="",AC$5=""),0,SUMIF(INDIRECT("'"&amp;AC$5&amp;"'!B6:B1000"),$AA136,INDIRECT("'"&amp;AC$5&amp;"'!H6:H1000")))</f>
        <v>0</v>
      </c>
      <c r="AD136">
        <f>IF(OR($AA136="",AD$5=""),0,SUMIF(INDIRECT("'"&amp;AD$5&amp;"'!B6:B1000"),$AA136,INDIRECT("'"&amp;AD$5&amp;"'!H6:H1000")))</f>
        <v>0</v>
      </c>
      <c r="AE136">
        <f>IF(OR($AA136="",AE$5=""),0,SUMIF(INDIRECT("'"&amp;AE$5&amp;"'!B6:B1000"),$AA136,INDIRECT("'"&amp;AE$5&amp;"'!H6:H1000")))</f>
        <v>0</v>
      </c>
      <c r="AF136">
        <f>IF(OR($AA136="",AF$5=""),0,SUMIF(INDIRECT("'"&amp;AF$5&amp;"'!B6:B1000"),$AA136,INDIRECT("'"&amp;AF$5&amp;"'!H6:H1000")))</f>
        <v>0</v>
      </c>
      <c r="AG136">
        <f>IF(OR($AA136="",AG$5=""),0,SUMIF(INDIRECT("'"&amp;AG$5&amp;"'!B6:B1000"),$AA136,INDIRECT("'"&amp;AG$5&amp;"'!H6:H1000")))</f>
        <v>0</v>
      </c>
      <c r="AH136">
        <f>IF(OR($AA136="",AH$5=""),0,SUMIF(INDIRECT("'"&amp;AH$5&amp;"'!B6:B1000"),$AA136,INDIRECT("'"&amp;AH$5&amp;"'!H6:H1000")))</f>
        <v>0</v>
      </c>
      <c r="AI136">
        <f>IF(OR($AA136="",AI$5=""),0,SUMIF(INDIRECT("'"&amp;AI$5&amp;"'!B6:B1000"),$AA136,INDIRECT("'"&amp;AI$5&amp;"'!H6:H1000")))</f>
        <v>0</v>
      </c>
      <c r="AJ136">
        <f>IF(OR($AA136="",AJ$5=""),0,SUMIF(INDIRECT("'"&amp;AJ$5&amp;"'!B6:B1000"),$AA136,INDIRECT("'"&amp;AJ$5&amp;"'!H6:H1000")))</f>
        <v>0</v>
      </c>
      <c r="AK136">
        <f>IF(OR($AA136="",AK$5=""),0,SUMIF(INDIRECT("'"&amp;AK$5&amp;"'!B6:B1000"),$AA136,INDIRECT("'"&amp;AK$5&amp;"'!H6:H1000")))</f>
        <v>0</v>
      </c>
      <c r="AL136">
        <f>IF(OR($AA136="",AL$5=""),0,SUMIF(INDIRECT("'"&amp;AL$5&amp;"'!B6:B1000"),$AA136,INDIRECT("'"&amp;AL$5&amp;"'!H6:H1000")))</f>
        <v>0</v>
      </c>
      <c r="AM136">
        <f>IF(OR($AA136="",AM$5=""),0,SUMIF(INDIRECT("'"&amp;AM$5&amp;"'!B6:B1000"),$AA136,INDIRECT("'"&amp;AM$5&amp;"'!H6:H1000")))</f>
        <v>0</v>
      </c>
      <c r="AN136">
        <f>IF(OR($AA136="",AN$5=""),0,SUMIF(INDIRECT("'"&amp;AN$5&amp;"'!B6:B1000"),$AA136,INDIRECT("'"&amp;AN$5&amp;"'!H6:H1000")))</f>
        <v>0</v>
      </c>
      <c r="BY136">
        <f>SUMPRODUCT((($AC$4:$AN$4=报损汇总一览!$A$3)+(报损汇总一览!$A$3="全年"))*AC136:AN136)</f>
        <v>0</v>
      </c>
    </row>
    <row r="137">
      <c r="A137">
        <f>IF(OR(存条明细!C137="",存条明细!D137=""),"",IF(COUNTIFS(存条明细!$C$4:C137,存条明细!C137,存条明细!$D$4:D137,存条明细!D137)&gt;1,"",IFERROR(MATCH(存条明细!C137,总览汇总!$B$5:$B$304,0),900)*10000000+IFERROR(MATCH(存条明细!D137,基础资料!$E$5:$E$104,0),900)*10000+ROW()))</f>
      </c>
      <c r="B137">
        <f>IFERROR(MATCH(SMALL($A$4:$A$4003,134),$A$4:$A$4003,0),"")</f>
        <v>1042</v>
      </c>
      <c r="D137">
        <f>IF(AND(商品库存!B137&lt;&gt;"",商品库存!B137=客户查询!$B$4),COUNTIF(商品库存!$B$4:B137,客户查询!$B$4),"")</f>
      </c>
      <c r="E137">
        <f>IF(AND(商品库存!B137&lt;&gt;"",商品库存!B137=客户对账单!$B$4),COUNTIF(商品库存!$B$4:B137,客户对账单!$B$4),"")</f>
      </c>
      <c r="F137">
        <f>IF(AND(出库明细!C137&lt;&gt;"",出库明细!C137=客户对账单!$B$4,ISNUMBER(出库明细!B137),出库明细!B137&gt;=客户对账单!$G$4,出库明细!B137&lt;=客户对账单!$I$4),出库明细!B137+ROW()/100000,"")</f>
      </c>
      <c r="H137">
        <f>IF(AND(采购进货!C137&lt;&gt;"",采购进货!C137=供应商对账单!$B$4,ISNUMBER(采购进货!B137),采购进货!B137&gt;=供应商对账单!$G$4,采购进货!B137&lt;=供应商对账单!$I$4),采购进货!B137+ROW()/100000,"")</f>
      </c>
      <c r="J137">
        <f>IF(总览汇总!$B137="","",N(总览汇总!$K137)+SUMIFS(出库明细!$G$4:$G$3003,出库明细!$C$4:$C$3003,总览汇总!$B137,出库明细!$B$4:$B$3003,"&gt;="&amp;年初日,出库明细!$B$4:$B$3003,"&lt;="&amp;资产负债表!$D$3)-SUMIFS(资金台帐!$S$7:$S$3006,资金台帐!$J$7:$J$3006,总览汇总!$B137,资金台帐!$P$7:$P$3006,"应收",资金台帐!$B$7:$B$3006,"&gt;="&amp;年初日,资金台帐!$B$7:$B$3006,"&lt;="&amp;资产负债表!$D$3))</f>
      </c>
      <c r="N137">
        <f>IF(AND(ISNUMBER(出库明细!G137),ISNUMBER(出库明细!E137),ISNUMBER(出库明细!F137)),IF(ABS(出库明细!G137-出库明细!E137*出库明细!F137)&gt;0.005,1,0),0)</f>
        <v>0</v>
      </c>
      <c r="O137">
        <f>IF(AND(ISNUMBER(存条明细!G137),ISNUMBER(存条明细!E137),ISNUMBER(存条明细!F137)),IF(ABS(存条明细!G137-存条明细!E137*存条明细!F137)&gt;0.005,1,0),0)</f>
        <v>0</v>
      </c>
      <c r="AA137">
        <f>IF(基础资料!Q32="","",基础资料!Q32&amp;"")</f>
      </c>
      <c r="AC137">
        <f>IF(OR($AA137="",AC$5=""),0,SUMIF(INDIRECT("'"&amp;AC$5&amp;"'!B6:B1000"),$AA137,INDIRECT("'"&amp;AC$5&amp;"'!H6:H1000")))</f>
        <v>0</v>
      </c>
      <c r="AD137">
        <f>IF(OR($AA137="",AD$5=""),0,SUMIF(INDIRECT("'"&amp;AD$5&amp;"'!B6:B1000"),$AA137,INDIRECT("'"&amp;AD$5&amp;"'!H6:H1000")))</f>
        <v>0</v>
      </c>
      <c r="AE137">
        <f>IF(OR($AA137="",AE$5=""),0,SUMIF(INDIRECT("'"&amp;AE$5&amp;"'!B6:B1000"),$AA137,INDIRECT("'"&amp;AE$5&amp;"'!H6:H1000")))</f>
        <v>0</v>
      </c>
      <c r="AF137">
        <f>IF(OR($AA137="",AF$5=""),0,SUMIF(INDIRECT("'"&amp;AF$5&amp;"'!B6:B1000"),$AA137,INDIRECT("'"&amp;AF$5&amp;"'!H6:H1000")))</f>
        <v>0</v>
      </c>
      <c r="AG137">
        <f>IF(OR($AA137="",AG$5=""),0,SUMIF(INDIRECT("'"&amp;AG$5&amp;"'!B6:B1000"),$AA137,INDIRECT("'"&amp;AG$5&amp;"'!H6:H1000")))</f>
        <v>0</v>
      </c>
      <c r="AH137">
        <f>IF(OR($AA137="",AH$5=""),0,SUMIF(INDIRECT("'"&amp;AH$5&amp;"'!B6:B1000"),$AA137,INDIRECT("'"&amp;AH$5&amp;"'!H6:H1000")))</f>
        <v>0</v>
      </c>
      <c r="AI137">
        <f>IF(OR($AA137="",AI$5=""),0,SUMIF(INDIRECT("'"&amp;AI$5&amp;"'!B6:B1000"),$AA137,INDIRECT("'"&amp;AI$5&amp;"'!H6:H1000")))</f>
        <v>0</v>
      </c>
      <c r="AJ137">
        <f>IF(OR($AA137="",AJ$5=""),0,SUMIF(INDIRECT("'"&amp;AJ$5&amp;"'!B6:B1000"),$AA137,INDIRECT("'"&amp;AJ$5&amp;"'!H6:H1000")))</f>
        <v>0</v>
      </c>
      <c r="AK137">
        <f>IF(OR($AA137="",AK$5=""),0,SUMIF(INDIRECT("'"&amp;AK$5&amp;"'!B6:B1000"),$AA137,INDIRECT("'"&amp;AK$5&amp;"'!H6:H1000")))</f>
        <v>0</v>
      </c>
      <c r="AL137">
        <f>IF(OR($AA137="",AL$5=""),0,SUMIF(INDIRECT("'"&amp;AL$5&amp;"'!B6:B1000"),$AA137,INDIRECT("'"&amp;AL$5&amp;"'!H6:H1000")))</f>
        <v>0</v>
      </c>
      <c r="AM137">
        <f>IF(OR($AA137="",AM$5=""),0,SUMIF(INDIRECT("'"&amp;AM$5&amp;"'!B6:B1000"),$AA137,INDIRECT("'"&amp;AM$5&amp;"'!H6:H1000")))</f>
        <v>0</v>
      </c>
      <c r="AN137">
        <f>IF(OR($AA137="",AN$5=""),0,SUMIF(INDIRECT("'"&amp;AN$5&amp;"'!B6:B1000"),$AA137,INDIRECT("'"&amp;AN$5&amp;"'!H6:H1000")))</f>
        <v>0</v>
      </c>
      <c r="BY137">
        <f>SUMPRODUCT((($AC$4:$AN$4=报损汇总一览!$A$3)+(报损汇总一览!$A$3="全年"))*AC137:AN137)</f>
        <v>0</v>
      </c>
    </row>
    <row r="138">
      <c r="A138">
        <f>IF(OR(存条明细!C138="",存条明细!D138=""),"",IF(COUNTIFS(存条明细!$C$4:C138,存条明细!C138,存条明细!$D$4:D138,存条明细!D138)&gt;1,"",IFERROR(MATCH(存条明细!C138,总览汇总!$B$5:$B$304,0),900)*10000000+IFERROR(MATCH(存条明细!D138,基础资料!$E$5:$E$104,0),900)*10000+ROW()))</f>
        <v>330010138</v>
      </c>
      <c r="B138">
        <f>IFERROR(MATCH(SMALL($A$4:$A$4003,135),$A$4:$A$4003,0),"")</f>
        <v>1043</v>
      </c>
      <c r="D138">
        <f>IF(AND(商品库存!B138&lt;&gt;"",商品库存!B138=客户查询!$B$4),COUNTIF(商品库存!$B$4:B138,客户查询!$B$4),"")</f>
      </c>
      <c r="E138">
        <f>IF(AND(商品库存!B138&lt;&gt;"",商品库存!B138=客户对账单!$B$4),COUNTIF(商品库存!$B$4:B138,客户对账单!$B$4),"")</f>
      </c>
      <c r="F138">
        <f>IF(AND(出库明细!C138&lt;&gt;"",出库明细!C138=客户对账单!$B$4,ISNUMBER(出库明细!B138),出库明细!B138&gt;=客户对账单!$G$4,出库明细!B138&lt;=客户对账单!$I$4),出库明细!B138+ROW()/100000,"")</f>
      </c>
      <c r="H138">
        <f>IF(AND(采购进货!C138&lt;&gt;"",采购进货!C138=供应商对账单!$B$4,ISNUMBER(采购进货!B138),采购进货!B138&gt;=供应商对账单!$G$4,采购进货!B138&lt;=供应商对账单!$I$4),采购进货!B138+ROW()/100000,"")</f>
      </c>
      <c r="J138">
        <f>IF(总览汇总!$B138="","",N(总览汇总!$K138)+SUMIFS(出库明细!$G$4:$G$3003,出库明细!$C$4:$C$3003,总览汇总!$B138,出库明细!$B$4:$B$3003,"&gt;="&amp;年初日,出库明细!$B$4:$B$3003,"&lt;="&amp;资产负债表!$D$3)-SUMIFS(资金台帐!$S$7:$S$3006,资金台帐!$J$7:$J$3006,总览汇总!$B138,资金台帐!$P$7:$P$3006,"应收",资金台帐!$B$7:$B$3006,"&gt;="&amp;年初日,资金台帐!$B$7:$B$3006,"&lt;="&amp;资产负债表!$D$3))</f>
      </c>
      <c r="N138">
        <f>IF(AND(ISNUMBER(出库明细!G138),ISNUMBER(出库明细!E138),ISNUMBER(出库明细!F138)),IF(ABS(出库明细!G138-出库明细!E138*出库明细!F138)&gt;0.005,1,0),0)</f>
        <v>0</v>
      </c>
      <c r="O138">
        <f>IF(AND(ISNUMBER(存条明细!G138),ISNUMBER(存条明细!E138),ISNUMBER(存条明细!F138)),IF(ABS(存条明细!G138-存条明细!E138*存条明细!F138)&gt;0.005,1,0),0)</f>
        <v>0</v>
      </c>
      <c r="AA138">
        <f>IF(基础资料!Q33="","",基础资料!Q33&amp;"")</f>
      </c>
      <c r="AC138">
        <f>IF(OR($AA138="",AC$5=""),0,SUMIF(INDIRECT("'"&amp;AC$5&amp;"'!B6:B1000"),$AA138,INDIRECT("'"&amp;AC$5&amp;"'!H6:H1000")))</f>
        <v>0</v>
      </c>
      <c r="AD138">
        <f>IF(OR($AA138="",AD$5=""),0,SUMIF(INDIRECT("'"&amp;AD$5&amp;"'!B6:B1000"),$AA138,INDIRECT("'"&amp;AD$5&amp;"'!H6:H1000")))</f>
        <v>0</v>
      </c>
      <c r="AE138">
        <f>IF(OR($AA138="",AE$5=""),0,SUMIF(INDIRECT("'"&amp;AE$5&amp;"'!B6:B1000"),$AA138,INDIRECT("'"&amp;AE$5&amp;"'!H6:H1000")))</f>
        <v>0</v>
      </c>
      <c r="AF138">
        <f>IF(OR($AA138="",AF$5=""),0,SUMIF(INDIRECT("'"&amp;AF$5&amp;"'!B6:B1000"),$AA138,INDIRECT("'"&amp;AF$5&amp;"'!H6:H1000")))</f>
        <v>0</v>
      </c>
      <c r="AG138">
        <f>IF(OR($AA138="",AG$5=""),0,SUMIF(INDIRECT("'"&amp;AG$5&amp;"'!B6:B1000"),$AA138,INDIRECT("'"&amp;AG$5&amp;"'!H6:H1000")))</f>
        <v>0</v>
      </c>
      <c r="AH138">
        <f>IF(OR($AA138="",AH$5=""),0,SUMIF(INDIRECT("'"&amp;AH$5&amp;"'!B6:B1000"),$AA138,INDIRECT("'"&amp;AH$5&amp;"'!H6:H1000")))</f>
        <v>0</v>
      </c>
      <c r="AI138">
        <f>IF(OR($AA138="",AI$5=""),0,SUMIF(INDIRECT("'"&amp;AI$5&amp;"'!B6:B1000"),$AA138,INDIRECT("'"&amp;AI$5&amp;"'!H6:H1000")))</f>
        <v>0</v>
      </c>
      <c r="AJ138">
        <f>IF(OR($AA138="",AJ$5=""),0,SUMIF(INDIRECT("'"&amp;AJ$5&amp;"'!B6:B1000"),$AA138,INDIRECT("'"&amp;AJ$5&amp;"'!H6:H1000")))</f>
        <v>0</v>
      </c>
      <c r="AK138">
        <f>IF(OR($AA138="",AK$5=""),0,SUMIF(INDIRECT("'"&amp;AK$5&amp;"'!B6:B1000"),$AA138,INDIRECT("'"&amp;AK$5&amp;"'!H6:H1000")))</f>
        <v>0</v>
      </c>
      <c r="AL138">
        <f>IF(OR($AA138="",AL$5=""),0,SUMIF(INDIRECT("'"&amp;AL$5&amp;"'!B6:B1000"),$AA138,INDIRECT("'"&amp;AL$5&amp;"'!H6:H1000")))</f>
        <v>0</v>
      </c>
      <c r="AM138">
        <f>IF(OR($AA138="",AM$5=""),0,SUMIF(INDIRECT("'"&amp;AM$5&amp;"'!B6:B1000"),$AA138,INDIRECT("'"&amp;AM$5&amp;"'!H6:H1000")))</f>
        <v>0</v>
      </c>
      <c r="AN138">
        <f>IF(OR($AA138="",AN$5=""),0,SUMIF(INDIRECT("'"&amp;AN$5&amp;"'!B6:B1000"),$AA138,INDIRECT("'"&amp;AN$5&amp;"'!H6:H1000")))</f>
        <v>0</v>
      </c>
      <c r="BY138">
        <f>SUMPRODUCT((($AC$4:$AN$4=报损汇总一览!$A$3)+(报损汇总一览!$A$3="全年"))*AC138:AN138)</f>
        <v>0</v>
      </c>
    </row>
    <row r="139">
      <c r="A139">
        <f>IF(OR(存条明细!C139="",存条明细!D139=""),"",IF(COUNTIFS(存条明细!$C$4:C139,存条明细!C139,存条明细!$D$4:D139,存条明细!D139)&gt;1,"",IFERROR(MATCH(存条明细!C139,总览汇总!$B$5:$B$304,0),900)*10000000+IFERROR(MATCH(存条明细!D139,基础资料!$E$5:$E$104,0),900)*10000+ROW()))</f>
      </c>
      <c r="B139">
        <f>IFERROR(MATCH(SMALL($A$4:$A$4003,136),$A$4:$A$4003,0),"")</f>
        <v>1044</v>
      </c>
      <c r="D139">
        <f>IF(AND(商品库存!B139&lt;&gt;"",商品库存!B139=客户查询!$B$4),COUNTIF(商品库存!$B$4:B139,客户查询!$B$4),"")</f>
      </c>
      <c r="E139">
        <f>IF(AND(商品库存!B139&lt;&gt;"",商品库存!B139=客户对账单!$B$4),COUNTIF(商品库存!$B$4:B139,客户对账单!$B$4),"")</f>
      </c>
      <c r="F139">
        <f>IF(AND(出库明细!C139&lt;&gt;"",出库明细!C139=客户对账单!$B$4,ISNUMBER(出库明细!B139),出库明细!B139&gt;=客户对账单!$G$4,出库明细!B139&lt;=客户对账单!$I$4),出库明细!B139+ROW()/100000,"")</f>
      </c>
      <c r="H139">
        <f>IF(AND(采购进货!C139&lt;&gt;"",采购进货!C139=供应商对账单!$B$4,ISNUMBER(采购进货!B139),采购进货!B139&gt;=供应商对账单!$G$4,采购进货!B139&lt;=供应商对账单!$I$4),采购进货!B139+ROW()/100000,"")</f>
      </c>
      <c r="J139">
        <f>IF(总览汇总!$B139="","",N(总览汇总!$K139)+SUMIFS(出库明细!$G$4:$G$3003,出库明细!$C$4:$C$3003,总览汇总!$B139,出库明细!$B$4:$B$3003,"&gt;="&amp;年初日,出库明细!$B$4:$B$3003,"&lt;="&amp;资产负债表!$D$3)-SUMIFS(资金台帐!$S$7:$S$3006,资金台帐!$J$7:$J$3006,总览汇总!$B139,资金台帐!$P$7:$P$3006,"应收",资金台帐!$B$7:$B$3006,"&gt;="&amp;年初日,资金台帐!$B$7:$B$3006,"&lt;="&amp;资产负债表!$D$3))</f>
      </c>
      <c r="N139">
        <f>IF(AND(ISNUMBER(出库明细!G139),ISNUMBER(出库明细!E139),ISNUMBER(出库明细!F139)),IF(ABS(出库明细!G139-出库明细!E139*出库明细!F139)&gt;0.005,1,0),0)</f>
        <v>0</v>
      </c>
      <c r="O139">
        <f>IF(AND(ISNUMBER(存条明细!G139),ISNUMBER(存条明细!E139),ISNUMBER(存条明细!F139)),IF(ABS(存条明细!G139-存条明细!E139*存条明细!F139)&gt;0.005,1,0),0)</f>
        <v>0</v>
      </c>
      <c r="AA139">
        <f>IF(基础资料!Q34="","",基础资料!Q34&amp;"")</f>
      </c>
      <c r="AC139">
        <f>IF(OR($AA139="",AC$5=""),0,SUMIF(INDIRECT("'"&amp;AC$5&amp;"'!B6:B1000"),$AA139,INDIRECT("'"&amp;AC$5&amp;"'!H6:H1000")))</f>
        <v>0</v>
      </c>
      <c r="AD139">
        <f>IF(OR($AA139="",AD$5=""),0,SUMIF(INDIRECT("'"&amp;AD$5&amp;"'!B6:B1000"),$AA139,INDIRECT("'"&amp;AD$5&amp;"'!H6:H1000")))</f>
        <v>0</v>
      </c>
      <c r="AE139">
        <f>IF(OR($AA139="",AE$5=""),0,SUMIF(INDIRECT("'"&amp;AE$5&amp;"'!B6:B1000"),$AA139,INDIRECT("'"&amp;AE$5&amp;"'!H6:H1000")))</f>
        <v>0</v>
      </c>
      <c r="AF139">
        <f>IF(OR($AA139="",AF$5=""),0,SUMIF(INDIRECT("'"&amp;AF$5&amp;"'!B6:B1000"),$AA139,INDIRECT("'"&amp;AF$5&amp;"'!H6:H1000")))</f>
        <v>0</v>
      </c>
      <c r="AG139">
        <f>IF(OR($AA139="",AG$5=""),0,SUMIF(INDIRECT("'"&amp;AG$5&amp;"'!B6:B1000"),$AA139,INDIRECT("'"&amp;AG$5&amp;"'!H6:H1000")))</f>
        <v>0</v>
      </c>
      <c r="AH139">
        <f>IF(OR($AA139="",AH$5=""),0,SUMIF(INDIRECT("'"&amp;AH$5&amp;"'!B6:B1000"),$AA139,INDIRECT("'"&amp;AH$5&amp;"'!H6:H1000")))</f>
        <v>0</v>
      </c>
      <c r="AI139">
        <f>IF(OR($AA139="",AI$5=""),0,SUMIF(INDIRECT("'"&amp;AI$5&amp;"'!B6:B1000"),$AA139,INDIRECT("'"&amp;AI$5&amp;"'!H6:H1000")))</f>
        <v>0</v>
      </c>
      <c r="AJ139">
        <f>IF(OR($AA139="",AJ$5=""),0,SUMIF(INDIRECT("'"&amp;AJ$5&amp;"'!B6:B1000"),$AA139,INDIRECT("'"&amp;AJ$5&amp;"'!H6:H1000")))</f>
        <v>0</v>
      </c>
      <c r="AK139">
        <f>IF(OR($AA139="",AK$5=""),0,SUMIF(INDIRECT("'"&amp;AK$5&amp;"'!B6:B1000"),$AA139,INDIRECT("'"&amp;AK$5&amp;"'!H6:H1000")))</f>
        <v>0</v>
      </c>
      <c r="AL139">
        <f>IF(OR($AA139="",AL$5=""),0,SUMIF(INDIRECT("'"&amp;AL$5&amp;"'!B6:B1000"),$AA139,INDIRECT("'"&amp;AL$5&amp;"'!H6:H1000")))</f>
        <v>0</v>
      </c>
      <c r="AM139">
        <f>IF(OR($AA139="",AM$5=""),0,SUMIF(INDIRECT("'"&amp;AM$5&amp;"'!B6:B1000"),$AA139,INDIRECT("'"&amp;AM$5&amp;"'!H6:H1000")))</f>
        <v>0</v>
      </c>
      <c r="AN139">
        <f>IF(OR($AA139="",AN$5=""),0,SUMIF(INDIRECT("'"&amp;AN$5&amp;"'!B6:B1000"),$AA139,INDIRECT("'"&amp;AN$5&amp;"'!H6:H1000")))</f>
        <v>0</v>
      </c>
      <c r="BY139">
        <f>SUMPRODUCT((($AC$4:$AN$4=报损汇总一览!$A$3)+(报损汇总一览!$A$3="全年"))*AC139:AN139)</f>
        <v>0</v>
      </c>
    </row>
    <row r="140">
      <c r="A140">
        <f>IF(OR(存条明细!C140="",存条明细!D140=""),"",IF(COUNTIFS(存条明细!$C$4:C140,存条明细!C140,存条明细!$D$4:D140,存条明细!D140)&gt;1,"",IFERROR(MATCH(存条明细!C140,总览汇总!$B$5:$B$304,0),900)*10000000+IFERROR(MATCH(存条明细!D140,基础资料!$E$5:$E$104,0),900)*10000+ROW()))</f>
        <v>330030140</v>
      </c>
      <c r="B140">
        <f>IFERROR(MATCH(SMALL($A$4:$A$4003,137),$A$4:$A$4003,0),"")</f>
        <v>1426</v>
      </c>
      <c r="D140">
        <f>IF(AND(商品库存!B140&lt;&gt;"",商品库存!B140=客户查询!$B$4),COUNTIF(商品库存!$B$4:B140,客户查询!$B$4),"")</f>
      </c>
      <c r="E140">
        <f>IF(AND(商品库存!B140&lt;&gt;"",商品库存!B140=客户对账单!$B$4),COUNTIF(商品库存!$B$4:B140,客户对账单!$B$4),"")</f>
      </c>
      <c r="F140">
        <f>IF(AND(出库明细!C140&lt;&gt;"",出库明细!C140=客户对账单!$B$4,ISNUMBER(出库明细!B140),出库明细!B140&gt;=客户对账单!$G$4,出库明细!B140&lt;=客户对账单!$I$4),出库明细!B140+ROW()/100000,"")</f>
      </c>
      <c r="H140">
        <f>IF(AND(采购进货!C140&lt;&gt;"",采购进货!C140=供应商对账单!$B$4,ISNUMBER(采购进货!B140),采购进货!B140&gt;=供应商对账单!$G$4,采购进货!B140&lt;=供应商对账单!$I$4),采购进货!B140+ROW()/100000,"")</f>
      </c>
      <c r="J140">
        <f>IF(总览汇总!$B140="","",N(总览汇总!$K140)+SUMIFS(出库明细!$G$4:$G$3003,出库明细!$C$4:$C$3003,总览汇总!$B140,出库明细!$B$4:$B$3003,"&gt;="&amp;年初日,出库明细!$B$4:$B$3003,"&lt;="&amp;资产负债表!$D$3)-SUMIFS(资金台帐!$S$7:$S$3006,资金台帐!$J$7:$J$3006,总览汇总!$B140,资金台帐!$P$7:$P$3006,"应收",资金台帐!$B$7:$B$3006,"&gt;="&amp;年初日,资金台帐!$B$7:$B$3006,"&lt;="&amp;资产负债表!$D$3))</f>
      </c>
      <c r="N140">
        <f>IF(AND(ISNUMBER(出库明细!G140),ISNUMBER(出库明细!E140),ISNUMBER(出库明细!F140)),IF(ABS(出库明细!G140-出库明细!E140*出库明细!F140)&gt;0.005,1,0),0)</f>
        <v>0</v>
      </c>
      <c r="O140">
        <f>IF(AND(ISNUMBER(存条明细!G140),ISNUMBER(存条明细!E140),ISNUMBER(存条明细!F140)),IF(ABS(存条明细!G140-存条明细!E140*存条明细!F140)&gt;0.005,1,0),0)</f>
        <v>0</v>
      </c>
      <c r="AA140">
        <f>IF(基础资料!Q35="","",基础资料!Q35&amp;"")</f>
      </c>
      <c r="AC140">
        <f>IF(OR($AA140="",AC$5=""),0,SUMIF(INDIRECT("'"&amp;AC$5&amp;"'!B6:B1000"),$AA140,INDIRECT("'"&amp;AC$5&amp;"'!H6:H1000")))</f>
        <v>0</v>
      </c>
      <c r="AD140">
        <f>IF(OR($AA140="",AD$5=""),0,SUMIF(INDIRECT("'"&amp;AD$5&amp;"'!B6:B1000"),$AA140,INDIRECT("'"&amp;AD$5&amp;"'!H6:H1000")))</f>
        <v>0</v>
      </c>
      <c r="AE140">
        <f>IF(OR($AA140="",AE$5=""),0,SUMIF(INDIRECT("'"&amp;AE$5&amp;"'!B6:B1000"),$AA140,INDIRECT("'"&amp;AE$5&amp;"'!H6:H1000")))</f>
        <v>0</v>
      </c>
      <c r="AF140">
        <f>IF(OR($AA140="",AF$5=""),0,SUMIF(INDIRECT("'"&amp;AF$5&amp;"'!B6:B1000"),$AA140,INDIRECT("'"&amp;AF$5&amp;"'!H6:H1000")))</f>
        <v>0</v>
      </c>
      <c r="AG140">
        <f>IF(OR($AA140="",AG$5=""),0,SUMIF(INDIRECT("'"&amp;AG$5&amp;"'!B6:B1000"),$AA140,INDIRECT("'"&amp;AG$5&amp;"'!H6:H1000")))</f>
        <v>0</v>
      </c>
      <c r="AH140">
        <f>IF(OR($AA140="",AH$5=""),0,SUMIF(INDIRECT("'"&amp;AH$5&amp;"'!B6:B1000"),$AA140,INDIRECT("'"&amp;AH$5&amp;"'!H6:H1000")))</f>
        <v>0</v>
      </c>
      <c r="AI140">
        <f>IF(OR($AA140="",AI$5=""),0,SUMIF(INDIRECT("'"&amp;AI$5&amp;"'!B6:B1000"),$AA140,INDIRECT("'"&amp;AI$5&amp;"'!H6:H1000")))</f>
        <v>0</v>
      </c>
      <c r="AJ140">
        <f>IF(OR($AA140="",AJ$5=""),0,SUMIF(INDIRECT("'"&amp;AJ$5&amp;"'!B6:B1000"),$AA140,INDIRECT("'"&amp;AJ$5&amp;"'!H6:H1000")))</f>
        <v>0</v>
      </c>
      <c r="AK140">
        <f>IF(OR($AA140="",AK$5=""),0,SUMIF(INDIRECT("'"&amp;AK$5&amp;"'!B6:B1000"),$AA140,INDIRECT("'"&amp;AK$5&amp;"'!H6:H1000")))</f>
        <v>0</v>
      </c>
      <c r="AL140">
        <f>IF(OR($AA140="",AL$5=""),0,SUMIF(INDIRECT("'"&amp;AL$5&amp;"'!B6:B1000"),$AA140,INDIRECT("'"&amp;AL$5&amp;"'!H6:H1000")))</f>
        <v>0</v>
      </c>
      <c r="AM140">
        <f>IF(OR($AA140="",AM$5=""),0,SUMIF(INDIRECT("'"&amp;AM$5&amp;"'!B6:B1000"),$AA140,INDIRECT("'"&amp;AM$5&amp;"'!H6:H1000")))</f>
        <v>0</v>
      </c>
      <c r="AN140">
        <f>IF(OR($AA140="",AN$5=""),0,SUMIF(INDIRECT("'"&amp;AN$5&amp;"'!B6:B1000"),$AA140,INDIRECT("'"&amp;AN$5&amp;"'!H6:H1000")))</f>
        <v>0</v>
      </c>
      <c r="BY140">
        <f>SUMPRODUCT((($AC$4:$AN$4=报损汇总一览!$A$3)+(报损汇总一览!$A$3="全年"))*AC140:AN140)</f>
        <v>0</v>
      </c>
    </row>
    <row r="141">
      <c r="A141">
        <f>IF(OR(存条明细!C141="",存条明细!D141=""),"",IF(COUNTIFS(存条明细!$C$4:C141,存条明细!C141,存条明细!$D$4:D141,存条明细!D141)&gt;1,"",IFERROR(MATCH(存条明细!C141,总览汇总!$B$5:$B$304,0),900)*10000000+IFERROR(MATCH(存条明细!D141,基础资料!$E$5:$E$104,0),900)*10000+ROW()))</f>
      </c>
      <c r="B141">
        <f>IFERROR(MATCH(SMALL($A$4:$A$4003,138),$A$4:$A$4003,0),"")</f>
        <v>1425</v>
      </c>
      <c r="D141">
        <f>IF(AND(商品库存!B141&lt;&gt;"",商品库存!B141=客户查询!$B$4),COUNTIF(商品库存!$B$4:B141,客户查询!$B$4),"")</f>
      </c>
      <c r="E141">
        <f>IF(AND(商品库存!B141&lt;&gt;"",商品库存!B141=客户对账单!$B$4),COUNTIF(商品库存!$B$4:B141,客户对账单!$B$4),"")</f>
      </c>
      <c r="F141">
        <f>IF(AND(出库明细!C141&lt;&gt;"",出库明细!C141=客户对账单!$B$4,ISNUMBER(出库明细!B141),出库明细!B141&gt;=客户对账单!$G$4,出库明细!B141&lt;=客户对账单!$I$4),出库明细!B141+ROW()/100000,"")</f>
      </c>
      <c r="H141">
        <f>IF(AND(采购进货!C141&lt;&gt;"",采购进货!C141=供应商对账单!$B$4,ISNUMBER(采购进货!B141),采购进货!B141&gt;=供应商对账单!$G$4,采购进货!B141&lt;=供应商对账单!$I$4),采购进货!B141+ROW()/100000,"")</f>
      </c>
      <c r="J141">
        <f>IF(总览汇总!$B141="","",N(总览汇总!$K141)+SUMIFS(出库明细!$G$4:$G$3003,出库明细!$C$4:$C$3003,总览汇总!$B141,出库明细!$B$4:$B$3003,"&gt;="&amp;年初日,出库明细!$B$4:$B$3003,"&lt;="&amp;资产负债表!$D$3)-SUMIFS(资金台帐!$S$7:$S$3006,资金台帐!$J$7:$J$3006,总览汇总!$B141,资金台帐!$P$7:$P$3006,"应收",资金台帐!$B$7:$B$3006,"&gt;="&amp;年初日,资金台帐!$B$7:$B$3006,"&lt;="&amp;资产负债表!$D$3))</f>
      </c>
      <c r="N141">
        <f>IF(AND(ISNUMBER(出库明细!G141),ISNUMBER(出库明细!E141),ISNUMBER(出库明细!F141)),IF(ABS(出库明细!G141-出库明细!E141*出库明细!F141)&gt;0.005,1,0),0)</f>
        <v>0</v>
      </c>
      <c r="O141">
        <f>IF(AND(ISNUMBER(存条明细!G141),ISNUMBER(存条明细!E141),ISNUMBER(存条明细!F141)),IF(ABS(存条明细!G141-存条明细!E141*存条明细!F141)&gt;0.005,1,0),0)</f>
        <v>0</v>
      </c>
      <c r="AA141">
        <f>IF(基础资料!Q36="","",基础资料!Q36&amp;"")</f>
      </c>
      <c r="AC141">
        <f>IF(OR($AA141="",AC$5=""),0,SUMIF(INDIRECT("'"&amp;AC$5&amp;"'!B6:B1000"),$AA141,INDIRECT("'"&amp;AC$5&amp;"'!H6:H1000")))</f>
        <v>0</v>
      </c>
      <c r="AD141">
        <f>IF(OR($AA141="",AD$5=""),0,SUMIF(INDIRECT("'"&amp;AD$5&amp;"'!B6:B1000"),$AA141,INDIRECT("'"&amp;AD$5&amp;"'!H6:H1000")))</f>
        <v>0</v>
      </c>
      <c r="AE141">
        <f>IF(OR($AA141="",AE$5=""),0,SUMIF(INDIRECT("'"&amp;AE$5&amp;"'!B6:B1000"),$AA141,INDIRECT("'"&amp;AE$5&amp;"'!H6:H1000")))</f>
        <v>0</v>
      </c>
      <c r="AF141">
        <f>IF(OR($AA141="",AF$5=""),0,SUMIF(INDIRECT("'"&amp;AF$5&amp;"'!B6:B1000"),$AA141,INDIRECT("'"&amp;AF$5&amp;"'!H6:H1000")))</f>
        <v>0</v>
      </c>
      <c r="AG141">
        <f>IF(OR($AA141="",AG$5=""),0,SUMIF(INDIRECT("'"&amp;AG$5&amp;"'!B6:B1000"),$AA141,INDIRECT("'"&amp;AG$5&amp;"'!H6:H1000")))</f>
        <v>0</v>
      </c>
      <c r="AH141">
        <f>IF(OR($AA141="",AH$5=""),0,SUMIF(INDIRECT("'"&amp;AH$5&amp;"'!B6:B1000"),$AA141,INDIRECT("'"&amp;AH$5&amp;"'!H6:H1000")))</f>
        <v>0</v>
      </c>
      <c r="AI141">
        <f>IF(OR($AA141="",AI$5=""),0,SUMIF(INDIRECT("'"&amp;AI$5&amp;"'!B6:B1000"),$AA141,INDIRECT("'"&amp;AI$5&amp;"'!H6:H1000")))</f>
        <v>0</v>
      </c>
      <c r="AJ141">
        <f>IF(OR($AA141="",AJ$5=""),0,SUMIF(INDIRECT("'"&amp;AJ$5&amp;"'!B6:B1000"),$AA141,INDIRECT("'"&amp;AJ$5&amp;"'!H6:H1000")))</f>
        <v>0</v>
      </c>
      <c r="AK141">
        <f>IF(OR($AA141="",AK$5=""),0,SUMIF(INDIRECT("'"&amp;AK$5&amp;"'!B6:B1000"),$AA141,INDIRECT("'"&amp;AK$5&amp;"'!H6:H1000")))</f>
        <v>0</v>
      </c>
      <c r="AL141">
        <f>IF(OR($AA141="",AL$5=""),0,SUMIF(INDIRECT("'"&amp;AL$5&amp;"'!B6:B1000"),$AA141,INDIRECT("'"&amp;AL$5&amp;"'!H6:H1000")))</f>
        <v>0</v>
      </c>
      <c r="AM141">
        <f>IF(OR($AA141="",AM$5=""),0,SUMIF(INDIRECT("'"&amp;AM$5&amp;"'!B6:B1000"),$AA141,INDIRECT("'"&amp;AM$5&amp;"'!H6:H1000")))</f>
        <v>0</v>
      </c>
      <c r="AN141">
        <f>IF(OR($AA141="",AN$5=""),0,SUMIF(INDIRECT("'"&amp;AN$5&amp;"'!B6:B1000"),$AA141,INDIRECT("'"&amp;AN$5&amp;"'!H6:H1000")))</f>
        <v>0</v>
      </c>
      <c r="BY141">
        <f>SUMPRODUCT((($AC$4:$AN$4=报损汇总一览!$A$3)+(报损汇总一览!$A$3="全年"))*AC141:AN141)</f>
        <v>0</v>
      </c>
    </row>
    <row r="142">
      <c r="A142">
        <f>IF(OR(存条明细!C142="",存条明细!D142=""),"",IF(COUNTIFS(存条明细!$C$4:C142,存条明细!C142,存条明细!$D$4:D142,存条明细!D142)&gt;1,"",IFERROR(MATCH(存条明细!C142,总览汇总!$B$5:$B$304,0),900)*10000000+IFERROR(MATCH(存条明细!D142,基础资料!$E$5:$E$104,0),900)*10000+ROW()))</f>
        <v>330050142</v>
      </c>
      <c r="B142">
        <f>IFERROR(MATCH(SMALL($A$4:$A$4003,139),$A$4:$A$4003,0),"")</f>
        <v>1319</v>
      </c>
      <c r="D142">
        <f>IF(AND(商品库存!B142&lt;&gt;"",商品库存!B142=客户查询!$B$4),COUNTIF(商品库存!$B$4:B142,客户查询!$B$4),"")</f>
      </c>
      <c r="E142">
        <f>IF(AND(商品库存!B142&lt;&gt;"",商品库存!B142=客户对账单!$B$4),COUNTIF(商品库存!$B$4:B142,客户对账单!$B$4),"")</f>
      </c>
      <c r="F142">
        <f>IF(AND(出库明细!C142&lt;&gt;"",出库明细!C142=客户对账单!$B$4,ISNUMBER(出库明细!B142),出库明细!B142&gt;=客户对账单!$G$4,出库明细!B142&lt;=客户对账单!$I$4),出库明细!B142+ROW()/100000,"")</f>
      </c>
      <c r="H142">
        <f>IF(AND(采购进货!C142&lt;&gt;"",采购进货!C142=供应商对账单!$B$4,ISNUMBER(采购进货!B142),采购进货!B142&gt;=供应商对账单!$G$4,采购进货!B142&lt;=供应商对账单!$I$4),采购进货!B142+ROW()/100000,"")</f>
      </c>
      <c r="J142">
        <f>IF(总览汇总!$B142="","",N(总览汇总!$K142)+SUMIFS(出库明细!$G$4:$G$3003,出库明细!$C$4:$C$3003,总览汇总!$B142,出库明细!$B$4:$B$3003,"&gt;="&amp;年初日,出库明细!$B$4:$B$3003,"&lt;="&amp;资产负债表!$D$3)-SUMIFS(资金台帐!$S$7:$S$3006,资金台帐!$J$7:$J$3006,总览汇总!$B142,资金台帐!$P$7:$P$3006,"应收",资金台帐!$B$7:$B$3006,"&gt;="&amp;年初日,资金台帐!$B$7:$B$3006,"&lt;="&amp;资产负债表!$D$3))</f>
      </c>
      <c r="N142">
        <f>IF(AND(ISNUMBER(出库明细!G142),ISNUMBER(出库明细!E142),ISNUMBER(出库明细!F142)),IF(ABS(出库明细!G142-出库明细!E142*出库明细!F142)&gt;0.005,1,0),0)</f>
        <v>0</v>
      </c>
      <c r="O142">
        <f>IF(AND(ISNUMBER(存条明细!G142),ISNUMBER(存条明细!E142),ISNUMBER(存条明细!F142)),IF(ABS(存条明细!G142-存条明细!E142*存条明细!F142)&gt;0.005,1,0),0)</f>
        <v>0</v>
      </c>
      <c r="AA142">
        <f>IF(基础资料!Q37="","",基础资料!Q37&amp;"")</f>
      </c>
      <c r="AC142">
        <f>IF(OR($AA142="",AC$5=""),0,SUMIF(INDIRECT("'"&amp;AC$5&amp;"'!B6:B1000"),$AA142,INDIRECT("'"&amp;AC$5&amp;"'!H6:H1000")))</f>
        <v>0</v>
      </c>
      <c r="AD142">
        <f>IF(OR($AA142="",AD$5=""),0,SUMIF(INDIRECT("'"&amp;AD$5&amp;"'!B6:B1000"),$AA142,INDIRECT("'"&amp;AD$5&amp;"'!H6:H1000")))</f>
        <v>0</v>
      </c>
      <c r="AE142">
        <f>IF(OR($AA142="",AE$5=""),0,SUMIF(INDIRECT("'"&amp;AE$5&amp;"'!B6:B1000"),$AA142,INDIRECT("'"&amp;AE$5&amp;"'!H6:H1000")))</f>
        <v>0</v>
      </c>
      <c r="AF142">
        <f>IF(OR($AA142="",AF$5=""),0,SUMIF(INDIRECT("'"&amp;AF$5&amp;"'!B6:B1000"),$AA142,INDIRECT("'"&amp;AF$5&amp;"'!H6:H1000")))</f>
        <v>0</v>
      </c>
      <c r="AG142">
        <f>IF(OR($AA142="",AG$5=""),0,SUMIF(INDIRECT("'"&amp;AG$5&amp;"'!B6:B1000"),$AA142,INDIRECT("'"&amp;AG$5&amp;"'!H6:H1000")))</f>
        <v>0</v>
      </c>
      <c r="AH142">
        <f>IF(OR($AA142="",AH$5=""),0,SUMIF(INDIRECT("'"&amp;AH$5&amp;"'!B6:B1000"),$AA142,INDIRECT("'"&amp;AH$5&amp;"'!H6:H1000")))</f>
        <v>0</v>
      </c>
      <c r="AI142">
        <f>IF(OR($AA142="",AI$5=""),0,SUMIF(INDIRECT("'"&amp;AI$5&amp;"'!B6:B1000"),$AA142,INDIRECT("'"&amp;AI$5&amp;"'!H6:H1000")))</f>
        <v>0</v>
      </c>
      <c r="AJ142">
        <f>IF(OR($AA142="",AJ$5=""),0,SUMIF(INDIRECT("'"&amp;AJ$5&amp;"'!B6:B1000"),$AA142,INDIRECT("'"&amp;AJ$5&amp;"'!H6:H1000")))</f>
        <v>0</v>
      </c>
      <c r="AK142">
        <f>IF(OR($AA142="",AK$5=""),0,SUMIF(INDIRECT("'"&amp;AK$5&amp;"'!B6:B1000"),$AA142,INDIRECT("'"&amp;AK$5&amp;"'!H6:H1000")))</f>
        <v>0</v>
      </c>
      <c r="AL142">
        <f>IF(OR($AA142="",AL$5=""),0,SUMIF(INDIRECT("'"&amp;AL$5&amp;"'!B6:B1000"),$AA142,INDIRECT("'"&amp;AL$5&amp;"'!H6:H1000")))</f>
        <v>0</v>
      </c>
      <c r="AM142">
        <f>IF(OR($AA142="",AM$5=""),0,SUMIF(INDIRECT("'"&amp;AM$5&amp;"'!B6:B1000"),$AA142,INDIRECT("'"&amp;AM$5&amp;"'!H6:H1000")))</f>
        <v>0</v>
      </c>
      <c r="AN142">
        <f>IF(OR($AA142="",AN$5=""),0,SUMIF(INDIRECT("'"&amp;AN$5&amp;"'!B6:B1000"),$AA142,INDIRECT("'"&amp;AN$5&amp;"'!H6:H1000")))</f>
        <v>0</v>
      </c>
      <c r="BY142">
        <f>SUMPRODUCT((($AC$4:$AN$4=报损汇总一览!$A$3)+(报损汇总一览!$A$3="全年"))*AC142:AN142)</f>
        <v>0</v>
      </c>
    </row>
    <row r="143">
      <c r="A143">
        <f>IF(OR(存条明细!C143="",存条明细!D143=""),"",IF(COUNTIFS(存条明细!$C$4:C143,存条明细!C143,存条明细!$D$4:D143,存条明细!D143)&gt;1,"",IFERROR(MATCH(存条明细!C143,总览汇总!$B$5:$B$304,0),900)*10000000+IFERROR(MATCH(存条明细!D143,基础资料!$E$5:$E$104,0),900)*10000+ROW()))</f>
        <v>330060143</v>
      </c>
      <c r="B143">
        <f>IFERROR(MATCH(SMALL($A$4:$A$4003,140),$A$4:$A$4003,0),"")</f>
        <v>99</v>
      </c>
      <c r="D143">
        <f>IF(AND(商品库存!B143&lt;&gt;"",商品库存!B143=客户查询!$B$4),COUNTIF(商品库存!$B$4:B143,客户查询!$B$4),"")</f>
      </c>
      <c r="E143">
        <f>IF(AND(商品库存!B143&lt;&gt;"",商品库存!B143=客户对账单!$B$4),COUNTIF(商品库存!$B$4:B143,客户对账单!$B$4),"")</f>
      </c>
      <c r="F143">
        <f>IF(AND(出库明细!C143&lt;&gt;"",出库明细!C143=客户对账单!$B$4,ISNUMBER(出库明细!B143),出库明细!B143&gt;=客户对账单!$G$4,出库明细!B143&lt;=客户对账单!$I$4),出库明细!B143+ROW()/100000,"")</f>
      </c>
      <c r="H143">
        <f>IF(AND(采购进货!C143&lt;&gt;"",采购进货!C143=供应商对账单!$B$4,ISNUMBER(采购进货!B143),采购进货!B143&gt;=供应商对账单!$G$4,采购进货!B143&lt;=供应商对账单!$I$4),采购进货!B143+ROW()/100000,"")</f>
      </c>
      <c r="J143">
        <f>IF(总览汇总!$B143="","",N(总览汇总!$K143)+SUMIFS(出库明细!$G$4:$G$3003,出库明细!$C$4:$C$3003,总览汇总!$B143,出库明细!$B$4:$B$3003,"&gt;="&amp;年初日,出库明细!$B$4:$B$3003,"&lt;="&amp;资产负债表!$D$3)-SUMIFS(资金台帐!$S$7:$S$3006,资金台帐!$J$7:$J$3006,总览汇总!$B143,资金台帐!$P$7:$P$3006,"应收",资金台帐!$B$7:$B$3006,"&gt;="&amp;年初日,资金台帐!$B$7:$B$3006,"&lt;="&amp;资产负债表!$D$3))</f>
      </c>
      <c r="N143">
        <f>IF(AND(ISNUMBER(出库明细!G143),ISNUMBER(出库明细!E143),ISNUMBER(出库明细!F143)),IF(ABS(出库明细!G143-出库明细!E143*出库明细!F143)&gt;0.005,1,0),0)</f>
        <v>0</v>
      </c>
      <c r="O143">
        <f>IF(AND(ISNUMBER(存条明细!G143),ISNUMBER(存条明细!E143),ISNUMBER(存条明细!F143)),IF(ABS(存条明细!G143-存条明细!E143*存条明细!F143)&gt;0.005,1,0),0)</f>
        <v>0</v>
      </c>
      <c r="AA143">
        <f>IF(基础资料!Q38="","",基础资料!Q38&amp;"")</f>
      </c>
      <c r="AC143">
        <f>IF(OR($AA143="",AC$5=""),0,SUMIF(INDIRECT("'"&amp;AC$5&amp;"'!B6:B1000"),$AA143,INDIRECT("'"&amp;AC$5&amp;"'!H6:H1000")))</f>
        <v>0</v>
      </c>
      <c r="AD143">
        <f>IF(OR($AA143="",AD$5=""),0,SUMIF(INDIRECT("'"&amp;AD$5&amp;"'!B6:B1000"),$AA143,INDIRECT("'"&amp;AD$5&amp;"'!H6:H1000")))</f>
        <v>0</v>
      </c>
      <c r="AE143">
        <f>IF(OR($AA143="",AE$5=""),0,SUMIF(INDIRECT("'"&amp;AE$5&amp;"'!B6:B1000"),$AA143,INDIRECT("'"&amp;AE$5&amp;"'!H6:H1000")))</f>
        <v>0</v>
      </c>
      <c r="AF143">
        <f>IF(OR($AA143="",AF$5=""),0,SUMIF(INDIRECT("'"&amp;AF$5&amp;"'!B6:B1000"),$AA143,INDIRECT("'"&amp;AF$5&amp;"'!H6:H1000")))</f>
        <v>0</v>
      </c>
      <c r="AG143">
        <f>IF(OR($AA143="",AG$5=""),0,SUMIF(INDIRECT("'"&amp;AG$5&amp;"'!B6:B1000"),$AA143,INDIRECT("'"&amp;AG$5&amp;"'!H6:H1000")))</f>
        <v>0</v>
      </c>
      <c r="AH143">
        <f>IF(OR($AA143="",AH$5=""),0,SUMIF(INDIRECT("'"&amp;AH$5&amp;"'!B6:B1000"),$AA143,INDIRECT("'"&amp;AH$5&amp;"'!H6:H1000")))</f>
        <v>0</v>
      </c>
      <c r="AI143">
        <f>IF(OR($AA143="",AI$5=""),0,SUMIF(INDIRECT("'"&amp;AI$5&amp;"'!B6:B1000"),$AA143,INDIRECT("'"&amp;AI$5&amp;"'!H6:H1000")))</f>
        <v>0</v>
      </c>
      <c r="AJ143">
        <f>IF(OR($AA143="",AJ$5=""),0,SUMIF(INDIRECT("'"&amp;AJ$5&amp;"'!B6:B1000"),$AA143,INDIRECT("'"&amp;AJ$5&amp;"'!H6:H1000")))</f>
        <v>0</v>
      </c>
      <c r="AK143">
        <f>IF(OR($AA143="",AK$5=""),0,SUMIF(INDIRECT("'"&amp;AK$5&amp;"'!B6:B1000"),$AA143,INDIRECT("'"&amp;AK$5&amp;"'!H6:H1000")))</f>
        <v>0</v>
      </c>
      <c r="AL143">
        <f>IF(OR($AA143="",AL$5=""),0,SUMIF(INDIRECT("'"&amp;AL$5&amp;"'!B6:B1000"),$AA143,INDIRECT("'"&amp;AL$5&amp;"'!H6:H1000")))</f>
        <v>0</v>
      </c>
      <c r="AM143">
        <f>IF(OR($AA143="",AM$5=""),0,SUMIF(INDIRECT("'"&amp;AM$5&amp;"'!B6:B1000"),$AA143,INDIRECT("'"&amp;AM$5&amp;"'!H6:H1000")))</f>
        <v>0</v>
      </c>
      <c r="AN143">
        <f>IF(OR($AA143="",AN$5=""),0,SUMIF(INDIRECT("'"&amp;AN$5&amp;"'!B6:B1000"),$AA143,INDIRECT("'"&amp;AN$5&amp;"'!H6:H1000")))</f>
        <v>0</v>
      </c>
      <c r="BY143">
        <f>SUMPRODUCT((($AC$4:$AN$4=报损汇总一览!$A$3)+(报损汇总一览!$A$3="全年"))*AC143:AN143)</f>
        <v>0</v>
      </c>
    </row>
    <row r="144">
      <c r="A144">
        <f>IF(OR(存条明细!C144="",存条明细!D144=""),"",IF(COUNTIFS(存条明细!$C$4:C144,存条明细!C144,存条明细!$D$4:D144,存条明细!D144)&gt;1,"",IFERROR(MATCH(存条明细!C144,总览汇总!$B$5:$B$304,0),900)*10000000+IFERROR(MATCH(存条明细!D144,基础资料!$E$5:$E$104,0),900)*10000+ROW()))</f>
      </c>
      <c r="B144">
        <f>IFERROR(MATCH(SMALL($A$4:$A$4003,141),$A$4:$A$4003,0),"")</f>
        <v>1344</v>
      </c>
      <c r="D144">
        <f>IF(AND(商品库存!B144&lt;&gt;"",商品库存!B144=客户查询!$B$4),COUNTIF(商品库存!$B$4:B144,客户查询!$B$4),"")</f>
      </c>
      <c r="E144">
        <f>IF(AND(商品库存!B144&lt;&gt;"",商品库存!B144=客户对账单!$B$4),COUNTIF(商品库存!$B$4:B144,客户对账单!$B$4),"")</f>
      </c>
      <c r="F144">
        <f>IF(AND(出库明细!C144&lt;&gt;"",出库明细!C144=客户对账单!$B$4,ISNUMBER(出库明细!B144),出库明细!B144&gt;=客户对账单!$G$4,出库明细!B144&lt;=客户对账单!$I$4),出库明细!B144+ROW()/100000,"")</f>
      </c>
      <c r="H144">
        <f>IF(AND(采购进货!C144&lt;&gt;"",采购进货!C144=供应商对账单!$B$4,ISNUMBER(采购进货!B144),采购进货!B144&gt;=供应商对账单!$G$4,采购进货!B144&lt;=供应商对账单!$I$4),采购进货!B144+ROW()/100000,"")</f>
      </c>
      <c r="J144">
        <f>IF(总览汇总!$B144="","",N(总览汇总!$K144)+SUMIFS(出库明细!$G$4:$G$3003,出库明细!$C$4:$C$3003,总览汇总!$B144,出库明细!$B$4:$B$3003,"&gt;="&amp;年初日,出库明细!$B$4:$B$3003,"&lt;="&amp;资产负债表!$D$3)-SUMIFS(资金台帐!$S$7:$S$3006,资金台帐!$J$7:$J$3006,总览汇总!$B144,资金台帐!$P$7:$P$3006,"应收",资金台帐!$B$7:$B$3006,"&gt;="&amp;年初日,资金台帐!$B$7:$B$3006,"&lt;="&amp;资产负债表!$D$3))</f>
      </c>
      <c r="N144">
        <f>IF(AND(ISNUMBER(出库明细!G144),ISNUMBER(出库明细!E144),ISNUMBER(出库明细!F144)),IF(ABS(出库明细!G144-出库明细!E144*出库明细!F144)&gt;0.005,1,0),0)</f>
        <v>0</v>
      </c>
      <c r="O144">
        <f>IF(AND(ISNUMBER(存条明细!G144),ISNUMBER(存条明细!E144),ISNUMBER(存条明细!F144)),IF(ABS(存条明细!G144-存条明细!E144*存条明细!F144)&gt;0.005,1,0),0)</f>
        <v>0</v>
      </c>
      <c r="AA144">
        <f>IF(基础资料!Q39="","",基础资料!Q39&amp;"")</f>
      </c>
      <c r="AC144">
        <f>IF(OR($AA144="",AC$5=""),0,SUMIF(INDIRECT("'"&amp;AC$5&amp;"'!B6:B1000"),$AA144,INDIRECT("'"&amp;AC$5&amp;"'!H6:H1000")))</f>
        <v>0</v>
      </c>
      <c r="AD144">
        <f>IF(OR($AA144="",AD$5=""),0,SUMIF(INDIRECT("'"&amp;AD$5&amp;"'!B6:B1000"),$AA144,INDIRECT("'"&amp;AD$5&amp;"'!H6:H1000")))</f>
        <v>0</v>
      </c>
      <c r="AE144">
        <f>IF(OR($AA144="",AE$5=""),0,SUMIF(INDIRECT("'"&amp;AE$5&amp;"'!B6:B1000"),$AA144,INDIRECT("'"&amp;AE$5&amp;"'!H6:H1000")))</f>
        <v>0</v>
      </c>
      <c r="AF144">
        <f>IF(OR($AA144="",AF$5=""),0,SUMIF(INDIRECT("'"&amp;AF$5&amp;"'!B6:B1000"),$AA144,INDIRECT("'"&amp;AF$5&amp;"'!H6:H1000")))</f>
        <v>0</v>
      </c>
      <c r="AG144">
        <f>IF(OR($AA144="",AG$5=""),0,SUMIF(INDIRECT("'"&amp;AG$5&amp;"'!B6:B1000"),$AA144,INDIRECT("'"&amp;AG$5&amp;"'!H6:H1000")))</f>
        <v>0</v>
      </c>
      <c r="AH144">
        <f>IF(OR($AA144="",AH$5=""),0,SUMIF(INDIRECT("'"&amp;AH$5&amp;"'!B6:B1000"),$AA144,INDIRECT("'"&amp;AH$5&amp;"'!H6:H1000")))</f>
        <v>0</v>
      </c>
      <c r="AI144">
        <f>IF(OR($AA144="",AI$5=""),0,SUMIF(INDIRECT("'"&amp;AI$5&amp;"'!B6:B1000"),$AA144,INDIRECT("'"&amp;AI$5&amp;"'!H6:H1000")))</f>
        <v>0</v>
      </c>
      <c r="AJ144">
        <f>IF(OR($AA144="",AJ$5=""),0,SUMIF(INDIRECT("'"&amp;AJ$5&amp;"'!B6:B1000"),$AA144,INDIRECT("'"&amp;AJ$5&amp;"'!H6:H1000")))</f>
        <v>0</v>
      </c>
      <c r="AK144">
        <f>IF(OR($AA144="",AK$5=""),0,SUMIF(INDIRECT("'"&amp;AK$5&amp;"'!B6:B1000"),$AA144,INDIRECT("'"&amp;AK$5&amp;"'!H6:H1000")))</f>
        <v>0</v>
      </c>
      <c r="AL144">
        <f>IF(OR($AA144="",AL$5=""),0,SUMIF(INDIRECT("'"&amp;AL$5&amp;"'!B6:B1000"),$AA144,INDIRECT("'"&amp;AL$5&amp;"'!H6:H1000")))</f>
        <v>0</v>
      </c>
      <c r="AM144">
        <f>IF(OR($AA144="",AM$5=""),0,SUMIF(INDIRECT("'"&amp;AM$5&amp;"'!B6:B1000"),$AA144,INDIRECT("'"&amp;AM$5&amp;"'!H6:H1000")))</f>
        <v>0</v>
      </c>
      <c r="AN144">
        <f>IF(OR($AA144="",AN$5=""),0,SUMIF(INDIRECT("'"&amp;AN$5&amp;"'!B6:B1000"),$AA144,INDIRECT("'"&amp;AN$5&amp;"'!H6:H1000")))</f>
        <v>0</v>
      </c>
      <c r="BY144">
        <f>SUMPRODUCT((($AC$4:$AN$4=报损汇总一览!$A$3)+(报损汇总一览!$A$3="全年"))*AC144:AN144)</f>
        <v>0</v>
      </c>
    </row>
    <row r="145">
      <c r="A145">
        <f>IF(OR(存条明细!C145="",存条明细!D145=""),"",IF(COUNTIFS(存条明细!$C$4:C145,存条明细!C145,存条明细!$D$4:D145,存条明细!D145)&gt;1,"",IFERROR(MATCH(存条明细!C145,总览汇总!$B$5:$B$304,0),900)*10000000+IFERROR(MATCH(存条明细!D145,基础资料!$E$5:$E$104,0),900)*10000+ROW()))</f>
        <v>330040145</v>
      </c>
      <c r="B145">
        <f>IFERROR(MATCH(SMALL($A$4:$A$4003,142),$A$4:$A$4003,0),"")</f>
        <v>1056</v>
      </c>
      <c r="D145">
        <f>IF(AND(商品库存!B145&lt;&gt;"",商品库存!B145=客户查询!$B$4),COUNTIF(商品库存!$B$4:B145,客户查询!$B$4),"")</f>
      </c>
      <c r="E145">
        <f>IF(AND(商品库存!B145&lt;&gt;"",商品库存!B145=客户对账单!$B$4),COUNTIF(商品库存!$B$4:B145,客户对账单!$B$4),"")</f>
      </c>
      <c r="F145">
        <f>IF(AND(出库明细!C145&lt;&gt;"",出库明细!C145=客户对账单!$B$4,ISNUMBER(出库明细!B145),出库明细!B145&gt;=客户对账单!$G$4,出库明细!B145&lt;=客户对账单!$I$4),出库明细!B145+ROW()/100000,"")</f>
      </c>
      <c r="H145">
        <f>IF(AND(采购进货!C145&lt;&gt;"",采购进货!C145=供应商对账单!$B$4,ISNUMBER(采购进货!B145),采购进货!B145&gt;=供应商对账单!$G$4,采购进货!B145&lt;=供应商对账单!$I$4),采购进货!B145+ROW()/100000,"")</f>
      </c>
      <c r="J145">
        <f>IF(总览汇总!$B145="","",N(总览汇总!$K145)+SUMIFS(出库明细!$G$4:$G$3003,出库明细!$C$4:$C$3003,总览汇总!$B145,出库明细!$B$4:$B$3003,"&gt;="&amp;年初日,出库明细!$B$4:$B$3003,"&lt;="&amp;资产负债表!$D$3)-SUMIFS(资金台帐!$S$7:$S$3006,资金台帐!$J$7:$J$3006,总览汇总!$B145,资金台帐!$P$7:$P$3006,"应收",资金台帐!$B$7:$B$3006,"&gt;="&amp;年初日,资金台帐!$B$7:$B$3006,"&lt;="&amp;资产负债表!$D$3))</f>
      </c>
      <c r="N145">
        <f>IF(AND(ISNUMBER(出库明细!G145),ISNUMBER(出库明细!E145),ISNUMBER(出库明细!F145)),IF(ABS(出库明细!G145-出库明细!E145*出库明细!F145)&gt;0.005,1,0),0)</f>
        <v>0</v>
      </c>
      <c r="O145">
        <f>IF(AND(ISNUMBER(存条明细!G145),ISNUMBER(存条明细!E145),ISNUMBER(存条明细!F145)),IF(ABS(存条明细!G145-存条明细!E145*存条明细!F145)&gt;0.005,1,0),0)</f>
        <v>0</v>
      </c>
      <c r="AA145">
        <f>IF(基础资料!Q40="","",基础资料!Q40&amp;"")</f>
      </c>
      <c r="AC145">
        <f>IF(OR($AA145="",AC$5=""),0,SUMIF(INDIRECT("'"&amp;AC$5&amp;"'!B6:B1000"),$AA145,INDIRECT("'"&amp;AC$5&amp;"'!H6:H1000")))</f>
        <v>0</v>
      </c>
      <c r="AD145">
        <f>IF(OR($AA145="",AD$5=""),0,SUMIF(INDIRECT("'"&amp;AD$5&amp;"'!B6:B1000"),$AA145,INDIRECT("'"&amp;AD$5&amp;"'!H6:H1000")))</f>
        <v>0</v>
      </c>
      <c r="AE145">
        <f>IF(OR($AA145="",AE$5=""),0,SUMIF(INDIRECT("'"&amp;AE$5&amp;"'!B6:B1000"),$AA145,INDIRECT("'"&amp;AE$5&amp;"'!H6:H1000")))</f>
        <v>0</v>
      </c>
      <c r="AF145">
        <f>IF(OR($AA145="",AF$5=""),0,SUMIF(INDIRECT("'"&amp;AF$5&amp;"'!B6:B1000"),$AA145,INDIRECT("'"&amp;AF$5&amp;"'!H6:H1000")))</f>
        <v>0</v>
      </c>
      <c r="AG145">
        <f>IF(OR($AA145="",AG$5=""),0,SUMIF(INDIRECT("'"&amp;AG$5&amp;"'!B6:B1000"),$AA145,INDIRECT("'"&amp;AG$5&amp;"'!H6:H1000")))</f>
        <v>0</v>
      </c>
      <c r="AH145">
        <f>IF(OR($AA145="",AH$5=""),0,SUMIF(INDIRECT("'"&amp;AH$5&amp;"'!B6:B1000"),$AA145,INDIRECT("'"&amp;AH$5&amp;"'!H6:H1000")))</f>
        <v>0</v>
      </c>
      <c r="AI145">
        <f>IF(OR($AA145="",AI$5=""),0,SUMIF(INDIRECT("'"&amp;AI$5&amp;"'!B6:B1000"),$AA145,INDIRECT("'"&amp;AI$5&amp;"'!H6:H1000")))</f>
        <v>0</v>
      </c>
      <c r="AJ145">
        <f>IF(OR($AA145="",AJ$5=""),0,SUMIF(INDIRECT("'"&amp;AJ$5&amp;"'!B6:B1000"),$AA145,INDIRECT("'"&amp;AJ$5&amp;"'!H6:H1000")))</f>
        <v>0</v>
      </c>
      <c r="AK145">
        <f>IF(OR($AA145="",AK$5=""),0,SUMIF(INDIRECT("'"&amp;AK$5&amp;"'!B6:B1000"),$AA145,INDIRECT("'"&amp;AK$5&amp;"'!H6:H1000")))</f>
        <v>0</v>
      </c>
      <c r="AL145">
        <f>IF(OR($AA145="",AL$5=""),0,SUMIF(INDIRECT("'"&amp;AL$5&amp;"'!B6:B1000"),$AA145,INDIRECT("'"&amp;AL$5&amp;"'!H6:H1000")))</f>
        <v>0</v>
      </c>
      <c r="AM145">
        <f>IF(OR($AA145="",AM$5=""),0,SUMIF(INDIRECT("'"&amp;AM$5&amp;"'!B6:B1000"),$AA145,INDIRECT("'"&amp;AM$5&amp;"'!H6:H1000")))</f>
        <v>0</v>
      </c>
      <c r="AN145">
        <f>IF(OR($AA145="",AN$5=""),0,SUMIF(INDIRECT("'"&amp;AN$5&amp;"'!B6:B1000"),$AA145,INDIRECT("'"&amp;AN$5&amp;"'!H6:H1000")))</f>
        <v>0</v>
      </c>
      <c r="BY145">
        <f>SUMPRODUCT((($AC$4:$AN$4=报损汇总一览!$A$3)+(报损汇总一览!$A$3="全年"))*AC145:AN145)</f>
        <v>0</v>
      </c>
    </row>
    <row r="146">
      <c r="A146">
        <f>IF(OR(存条明细!C146="",存条明细!D146=""),"",IF(COUNTIFS(存条明细!$C$4:C146,存条明细!C146,存条明细!$D$4:D146,存条明细!D146)&gt;1,"",IFERROR(MATCH(存条明细!C146,总览汇总!$B$5:$B$304,0),900)*10000000+IFERROR(MATCH(存条明细!D146,基础资料!$E$5:$E$104,0),900)*10000+ROW()))</f>
        <v>330070146</v>
      </c>
      <c r="B146">
        <f>IFERROR(MATCH(SMALL($A$4:$A$4003,143),$A$4:$A$4003,0),"")</f>
        <v>1052</v>
      </c>
      <c r="D146">
        <f>IF(AND(商品库存!B146&lt;&gt;"",商品库存!B146=客户查询!$B$4),COUNTIF(商品库存!$B$4:B146,客户查询!$B$4),"")</f>
      </c>
      <c r="E146">
        <f>IF(AND(商品库存!B146&lt;&gt;"",商品库存!B146=客户对账单!$B$4),COUNTIF(商品库存!$B$4:B146,客户对账单!$B$4),"")</f>
      </c>
      <c r="F146">
        <f>IF(AND(出库明细!C146&lt;&gt;"",出库明细!C146=客户对账单!$B$4,ISNUMBER(出库明细!B146),出库明细!B146&gt;=客户对账单!$G$4,出库明细!B146&lt;=客户对账单!$I$4),出库明细!B146+ROW()/100000,"")</f>
      </c>
      <c r="H146">
        <f>IF(AND(采购进货!C146&lt;&gt;"",采购进货!C146=供应商对账单!$B$4,ISNUMBER(采购进货!B146),采购进货!B146&gt;=供应商对账单!$G$4,采购进货!B146&lt;=供应商对账单!$I$4),采购进货!B146+ROW()/100000,"")</f>
      </c>
      <c r="J146">
        <f>IF(总览汇总!$B146="","",N(总览汇总!$K146)+SUMIFS(出库明细!$G$4:$G$3003,出库明细!$C$4:$C$3003,总览汇总!$B146,出库明细!$B$4:$B$3003,"&gt;="&amp;年初日,出库明细!$B$4:$B$3003,"&lt;="&amp;资产负债表!$D$3)-SUMIFS(资金台帐!$S$7:$S$3006,资金台帐!$J$7:$J$3006,总览汇总!$B146,资金台帐!$P$7:$P$3006,"应收",资金台帐!$B$7:$B$3006,"&gt;="&amp;年初日,资金台帐!$B$7:$B$3006,"&lt;="&amp;资产负债表!$D$3))</f>
      </c>
      <c r="N146">
        <f>IF(AND(ISNUMBER(出库明细!G146),ISNUMBER(出库明细!E146),ISNUMBER(出库明细!F146)),IF(ABS(出库明细!G146-出库明细!E146*出库明细!F146)&gt;0.005,1,0),0)</f>
        <v>0</v>
      </c>
      <c r="O146">
        <f>IF(AND(ISNUMBER(存条明细!G146),ISNUMBER(存条明细!E146),ISNUMBER(存条明细!F146)),IF(ABS(存条明细!G146-存条明细!E146*存条明细!F146)&gt;0.005,1,0),0)</f>
        <v>0</v>
      </c>
      <c r="AA146">
        <f>IF(基础资料!Q41="","",基础资料!Q41&amp;"")</f>
      </c>
      <c r="AC146">
        <f>IF(OR($AA146="",AC$5=""),0,SUMIF(INDIRECT("'"&amp;AC$5&amp;"'!B6:B1000"),$AA146,INDIRECT("'"&amp;AC$5&amp;"'!H6:H1000")))</f>
        <v>0</v>
      </c>
      <c r="AD146">
        <f>IF(OR($AA146="",AD$5=""),0,SUMIF(INDIRECT("'"&amp;AD$5&amp;"'!B6:B1000"),$AA146,INDIRECT("'"&amp;AD$5&amp;"'!H6:H1000")))</f>
        <v>0</v>
      </c>
      <c r="AE146">
        <f>IF(OR($AA146="",AE$5=""),0,SUMIF(INDIRECT("'"&amp;AE$5&amp;"'!B6:B1000"),$AA146,INDIRECT("'"&amp;AE$5&amp;"'!H6:H1000")))</f>
        <v>0</v>
      </c>
      <c r="AF146">
        <f>IF(OR($AA146="",AF$5=""),0,SUMIF(INDIRECT("'"&amp;AF$5&amp;"'!B6:B1000"),$AA146,INDIRECT("'"&amp;AF$5&amp;"'!H6:H1000")))</f>
        <v>0</v>
      </c>
      <c r="AG146">
        <f>IF(OR($AA146="",AG$5=""),0,SUMIF(INDIRECT("'"&amp;AG$5&amp;"'!B6:B1000"),$AA146,INDIRECT("'"&amp;AG$5&amp;"'!H6:H1000")))</f>
        <v>0</v>
      </c>
      <c r="AH146">
        <f>IF(OR($AA146="",AH$5=""),0,SUMIF(INDIRECT("'"&amp;AH$5&amp;"'!B6:B1000"),$AA146,INDIRECT("'"&amp;AH$5&amp;"'!H6:H1000")))</f>
        <v>0</v>
      </c>
      <c r="AI146">
        <f>IF(OR($AA146="",AI$5=""),0,SUMIF(INDIRECT("'"&amp;AI$5&amp;"'!B6:B1000"),$AA146,INDIRECT("'"&amp;AI$5&amp;"'!H6:H1000")))</f>
        <v>0</v>
      </c>
      <c r="AJ146">
        <f>IF(OR($AA146="",AJ$5=""),0,SUMIF(INDIRECT("'"&amp;AJ$5&amp;"'!B6:B1000"),$AA146,INDIRECT("'"&amp;AJ$5&amp;"'!H6:H1000")))</f>
        <v>0</v>
      </c>
      <c r="AK146">
        <f>IF(OR($AA146="",AK$5=""),0,SUMIF(INDIRECT("'"&amp;AK$5&amp;"'!B6:B1000"),$AA146,INDIRECT("'"&amp;AK$5&amp;"'!H6:H1000")))</f>
        <v>0</v>
      </c>
      <c r="AL146">
        <f>IF(OR($AA146="",AL$5=""),0,SUMIF(INDIRECT("'"&amp;AL$5&amp;"'!B6:B1000"),$AA146,INDIRECT("'"&amp;AL$5&amp;"'!H6:H1000")))</f>
        <v>0</v>
      </c>
      <c r="AM146">
        <f>IF(OR($AA146="",AM$5=""),0,SUMIF(INDIRECT("'"&amp;AM$5&amp;"'!B6:B1000"),$AA146,INDIRECT("'"&amp;AM$5&amp;"'!H6:H1000")))</f>
        <v>0</v>
      </c>
      <c r="AN146">
        <f>IF(OR($AA146="",AN$5=""),0,SUMIF(INDIRECT("'"&amp;AN$5&amp;"'!B6:B1000"),$AA146,INDIRECT("'"&amp;AN$5&amp;"'!H6:H1000")))</f>
        <v>0</v>
      </c>
      <c r="BY146">
        <f>SUMPRODUCT((($AC$4:$AN$4=报损汇总一览!$A$3)+(报损汇总一览!$A$3="全年"))*AC146:AN146)</f>
        <v>0</v>
      </c>
    </row>
    <row r="147">
      <c r="A147">
        <f>IF(OR(存条明细!C147="",存条明细!D147=""),"",IF(COUNTIFS(存条明细!$C$4:C147,存条明细!C147,存条明细!$D$4:D147,存条明细!D147)&gt;1,"",IFERROR(MATCH(存条明细!C147,总览汇总!$B$5:$B$304,0),900)*10000000+IFERROR(MATCH(存条明细!D147,基础资料!$E$5:$E$104,0),900)*10000+ROW()))</f>
        <v>330170147</v>
      </c>
      <c r="B147">
        <f>IFERROR(MATCH(SMALL($A$4:$A$4003,144),$A$4:$A$4003,0),"")</f>
        <v>1053</v>
      </c>
      <c r="D147">
        <f>IF(AND(商品库存!B147&lt;&gt;"",商品库存!B147=客户查询!$B$4),COUNTIF(商品库存!$B$4:B147,客户查询!$B$4),"")</f>
      </c>
      <c r="E147">
        <f>IF(AND(商品库存!B147&lt;&gt;"",商品库存!B147=客户对账单!$B$4),COUNTIF(商品库存!$B$4:B147,客户对账单!$B$4),"")</f>
      </c>
      <c r="F147">
        <f>IF(AND(出库明细!C147&lt;&gt;"",出库明细!C147=客户对账单!$B$4,ISNUMBER(出库明细!B147),出库明细!B147&gt;=客户对账单!$G$4,出库明细!B147&lt;=客户对账单!$I$4),出库明细!B147+ROW()/100000,"")</f>
      </c>
      <c r="H147">
        <f>IF(AND(采购进货!C147&lt;&gt;"",采购进货!C147=供应商对账单!$B$4,ISNUMBER(采购进货!B147),采购进货!B147&gt;=供应商对账单!$G$4,采购进货!B147&lt;=供应商对账单!$I$4),采购进货!B147+ROW()/100000,"")</f>
      </c>
      <c r="J147">
        <f>IF(总览汇总!$B147="","",N(总览汇总!$K147)+SUMIFS(出库明细!$G$4:$G$3003,出库明细!$C$4:$C$3003,总览汇总!$B147,出库明细!$B$4:$B$3003,"&gt;="&amp;年初日,出库明细!$B$4:$B$3003,"&lt;="&amp;资产负债表!$D$3)-SUMIFS(资金台帐!$S$7:$S$3006,资金台帐!$J$7:$J$3006,总览汇总!$B147,资金台帐!$P$7:$P$3006,"应收",资金台帐!$B$7:$B$3006,"&gt;="&amp;年初日,资金台帐!$B$7:$B$3006,"&lt;="&amp;资产负债表!$D$3))</f>
      </c>
      <c r="N147">
        <f>IF(AND(ISNUMBER(出库明细!G147),ISNUMBER(出库明细!E147),ISNUMBER(出库明细!F147)),IF(ABS(出库明细!G147-出库明细!E147*出库明细!F147)&gt;0.005,1,0),0)</f>
        <v>0</v>
      </c>
      <c r="O147">
        <f>IF(AND(ISNUMBER(存条明细!G147),ISNUMBER(存条明细!E147),ISNUMBER(存条明细!F147)),IF(ABS(存条明细!G147-存条明细!E147*存条明细!F147)&gt;0.005,1,0),0)</f>
        <v>0</v>
      </c>
      <c r="AA147">
        <f>IF(基础资料!Q42="","",基础资料!Q42&amp;"")</f>
      </c>
      <c r="AC147">
        <f>IF(OR($AA147="",AC$5=""),0,SUMIF(INDIRECT("'"&amp;AC$5&amp;"'!B6:B1000"),$AA147,INDIRECT("'"&amp;AC$5&amp;"'!H6:H1000")))</f>
        <v>0</v>
      </c>
      <c r="AD147">
        <f>IF(OR($AA147="",AD$5=""),0,SUMIF(INDIRECT("'"&amp;AD$5&amp;"'!B6:B1000"),$AA147,INDIRECT("'"&amp;AD$5&amp;"'!H6:H1000")))</f>
        <v>0</v>
      </c>
      <c r="AE147">
        <f>IF(OR($AA147="",AE$5=""),0,SUMIF(INDIRECT("'"&amp;AE$5&amp;"'!B6:B1000"),$AA147,INDIRECT("'"&amp;AE$5&amp;"'!H6:H1000")))</f>
        <v>0</v>
      </c>
      <c r="AF147">
        <f>IF(OR($AA147="",AF$5=""),0,SUMIF(INDIRECT("'"&amp;AF$5&amp;"'!B6:B1000"),$AA147,INDIRECT("'"&amp;AF$5&amp;"'!H6:H1000")))</f>
        <v>0</v>
      </c>
      <c r="AG147">
        <f>IF(OR($AA147="",AG$5=""),0,SUMIF(INDIRECT("'"&amp;AG$5&amp;"'!B6:B1000"),$AA147,INDIRECT("'"&amp;AG$5&amp;"'!H6:H1000")))</f>
        <v>0</v>
      </c>
      <c r="AH147">
        <f>IF(OR($AA147="",AH$5=""),0,SUMIF(INDIRECT("'"&amp;AH$5&amp;"'!B6:B1000"),$AA147,INDIRECT("'"&amp;AH$5&amp;"'!H6:H1000")))</f>
        <v>0</v>
      </c>
      <c r="AI147">
        <f>IF(OR($AA147="",AI$5=""),0,SUMIF(INDIRECT("'"&amp;AI$5&amp;"'!B6:B1000"),$AA147,INDIRECT("'"&amp;AI$5&amp;"'!H6:H1000")))</f>
        <v>0</v>
      </c>
      <c r="AJ147">
        <f>IF(OR($AA147="",AJ$5=""),0,SUMIF(INDIRECT("'"&amp;AJ$5&amp;"'!B6:B1000"),$AA147,INDIRECT("'"&amp;AJ$5&amp;"'!H6:H1000")))</f>
        <v>0</v>
      </c>
      <c r="AK147">
        <f>IF(OR($AA147="",AK$5=""),0,SUMIF(INDIRECT("'"&amp;AK$5&amp;"'!B6:B1000"),$AA147,INDIRECT("'"&amp;AK$5&amp;"'!H6:H1000")))</f>
        <v>0</v>
      </c>
      <c r="AL147">
        <f>IF(OR($AA147="",AL$5=""),0,SUMIF(INDIRECT("'"&amp;AL$5&amp;"'!B6:B1000"),$AA147,INDIRECT("'"&amp;AL$5&amp;"'!H6:H1000")))</f>
        <v>0</v>
      </c>
      <c r="AM147">
        <f>IF(OR($AA147="",AM$5=""),0,SUMIF(INDIRECT("'"&amp;AM$5&amp;"'!B6:B1000"),$AA147,INDIRECT("'"&amp;AM$5&amp;"'!H6:H1000")))</f>
        <v>0</v>
      </c>
      <c r="AN147">
        <f>IF(OR($AA147="",AN$5=""),0,SUMIF(INDIRECT("'"&amp;AN$5&amp;"'!B6:B1000"),$AA147,INDIRECT("'"&amp;AN$5&amp;"'!H6:H1000")))</f>
        <v>0</v>
      </c>
      <c r="BY147">
        <f>SUMPRODUCT((($AC$4:$AN$4=报损汇总一览!$A$3)+(报损汇总一览!$A$3="全年"))*AC147:AN147)</f>
        <v>0</v>
      </c>
    </row>
    <row r="148">
      <c r="A148">
        <f>IF(OR(存条明细!C148="",存条明细!D148=""),"",IF(COUNTIFS(存条明细!$C$4:C148,存条明细!C148,存条明细!$D$4:D148,存条明细!D148)&gt;1,"",IFERROR(MATCH(存条明细!C148,总览汇总!$B$5:$B$304,0),900)*10000000+IFERROR(MATCH(存条明细!D148,基础资料!$E$5:$E$104,0),900)*10000+ROW()))</f>
        <v>330190148</v>
      </c>
      <c r="B148">
        <f>IFERROR(MATCH(SMALL($A$4:$A$4003,145),$A$4:$A$4003,0),"")</f>
        <v>1057</v>
      </c>
      <c r="D148">
        <f>IF(AND(商品库存!B148&lt;&gt;"",商品库存!B148=客户查询!$B$4),COUNTIF(商品库存!$B$4:B148,客户查询!$B$4),"")</f>
      </c>
      <c r="E148">
        <f>IF(AND(商品库存!B148&lt;&gt;"",商品库存!B148=客户对账单!$B$4),COUNTIF(商品库存!$B$4:B148,客户对账单!$B$4),"")</f>
      </c>
      <c r="F148">
        <f>IF(AND(出库明细!C148&lt;&gt;"",出库明细!C148=客户对账单!$B$4,ISNUMBER(出库明细!B148),出库明细!B148&gt;=客户对账单!$G$4,出库明细!B148&lt;=客户对账单!$I$4),出库明细!B148+ROW()/100000,"")</f>
      </c>
      <c r="H148">
        <f>IF(AND(采购进货!C148&lt;&gt;"",采购进货!C148=供应商对账单!$B$4,ISNUMBER(采购进货!B148),采购进货!B148&gt;=供应商对账单!$G$4,采购进货!B148&lt;=供应商对账单!$I$4),采购进货!B148+ROW()/100000,"")</f>
      </c>
      <c r="J148">
        <f>IF(总览汇总!$B148="","",N(总览汇总!$K148)+SUMIFS(出库明细!$G$4:$G$3003,出库明细!$C$4:$C$3003,总览汇总!$B148,出库明细!$B$4:$B$3003,"&gt;="&amp;年初日,出库明细!$B$4:$B$3003,"&lt;="&amp;资产负债表!$D$3)-SUMIFS(资金台帐!$S$7:$S$3006,资金台帐!$J$7:$J$3006,总览汇总!$B148,资金台帐!$P$7:$P$3006,"应收",资金台帐!$B$7:$B$3006,"&gt;="&amp;年初日,资金台帐!$B$7:$B$3006,"&lt;="&amp;资产负债表!$D$3))</f>
      </c>
      <c r="N148">
        <f>IF(AND(ISNUMBER(出库明细!G148),ISNUMBER(出库明细!E148),ISNUMBER(出库明细!F148)),IF(ABS(出库明细!G148-出库明细!E148*出库明细!F148)&gt;0.005,1,0),0)</f>
        <v>0</v>
      </c>
      <c r="O148">
        <f>IF(AND(ISNUMBER(存条明细!G148),ISNUMBER(存条明细!E148),ISNUMBER(存条明细!F148)),IF(ABS(存条明细!G148-存条明细!E148*存条明细!F148)&gt;0.005,1,0),0)</f>
        <v>0</v>
      </c>
      <c r="AA148">
        <f>IF(基础资料!Q43="","",基础资料!Q43&amp;"")</f>
      </c>
      <c r="AC148">
        <f>IF(OR($AA148="",AC$5=""),0,SUMIF(INDIRECT("'"&amp;AC$5&amp;"'!B6:B1000"),$AA148,INDIRECT("'"&amp;AC$5&amp;"'!H6:H1000")))</f>
        <v>0</v>
      </c>
      <c r="AD148">
        <f>IF(OR($AA148="",AD$5=""),0,SUMIF(INDIRECT("'"&amp;AD$5&amp;"'!B6:B1000"),$AA148,INDIRECT("'"&amp;AD$5&amp;"'!H6:H1000")))</f>
        <v>0</v>
      </c>
      <c r="AE148">
        <f>IF(OR($AA148="",AE$5=""),0,SUMIF(INDIRECT("'"&amp;AE$5&amp;"'!B6:B1000"),$AA148,INDIRECT("'"&amp;AE$5&amp;"'!H6:H1000")))</f>
        <v>0</v>
      </c>
      <c r="AF148">
        <f>IF(OR($AA148="",AF$5=""),0,SUMIF(INDIRECT("'"&amp;AF$5&amp;"'!B6:B1000"),$AA148,INDIRECT("'"&amp;AF$5&amp;"'!H6:H1000")))</f>
        <v>0</v>
      </c>
      <c r="AG148">
        <f>IF(OR($AA148="",AG$5=""),0,SUMIF(INDIRECT("'"&amp;AG$5&amp;"'!B6:B1000"),$AA148,INDIRECT("'"&amp;AG$5&amp;"'!H6:H1000")))</f>
        <v>0</v>
      </c>
      <c r="AH148">
        <f>IF(OR($AA148="",AH$5=""),0,SUMIF(INDIRECT("'"&amp;AH$5&amp;"'!B6:B1000"),$AA148,INDIRECT("'"&amp;AH$5&amp;"'!H6:H1000")))</f>
        <v>0</v>
      </c>
      <c r="AI148">
        <f>IF(OR($AA148="",AI$5=""),0,SUMIF(INDIRECT("'"&amp;AI$5&amp;"'!B6:B1000"),$AA148,INDIRECT("'"&amp;AI$5&amp;"'!H6:H1000")))</f>
        <v>0</v>
      </c>
      <c r="AJ148">
        <f>IF(OR($AA148="",AJ$5=""),0,SUMIF(INDIRECT("'"&amp;AJ$5&amp;"'!B6:B1000"),$AA148,INDIRECT("'"&amp;AJ$5&amp;"'!H6:H1000")))</f>
        <v>0</v>
      </c>
      <c r="AK148">
        <f>IF(OR($AA148="",AK$5=""),0,SUMIF(INDIRECT("'"&amp;AK$5&amp;"'!B6:B1000"),$AA148,INDIRECT("'"&amp;AK$5&amp;"'!H6:H1000")))</f>
        <v>0</v>
      </c>
      <c r="AL148">
        <f>IF(OR($AA148="",AL$5=""),0,SUMIF(INDIRECT("'"&amp;AL$5&amp;"'!B6:B1000"),$AA148,INDIRECT("'"&amp;AL$5&amp;"'!H6:H1000")))</f>
        <v>0</v>
      </c>
      <c r="AM148">
        <f>IF(OR($AA148="",AM$5=""),0,SUMIF(INDIRECT("'"&amp;AM$5&amp;"'!B6:B1000"),$AA148,INDIRECT("'"&amp;AM$5&amp;"'!H6:H1000")))</f>
        <v>0</v>
      </c>
      <c r="AN148">
        <f>IF(OR($AA148="",AN$5=""),0,SUMIF(INDIRECT("'"&amp;AN$5&amp;"'!B6:B1000"),$AA148,INDIRECT("'"&amp;AN$5&amp;"'!H6:H1000")))</f>
        <v>0</v>
      </c>
      <c r="BY148">
        <f>SUMPRODUCT((($AC$4:$AN$4=报损汇总一览!$A$3)+(报损汇总一览!$A$3="全年"))*AC148:AN148)</f>
        <v>0</v>
      </c>
    </row>
    <row r="149">
      <c r="A149">
        <f>IF(OR(存条明细!C149="",存条明细!D149=""),"",IF(COUNTIFS(存条明细!$C$4:C149,存条明细!C149,存条明细!$D$4:D149,存条明细!D149)&gt;1,"",IFERROR(MATCH(存条明细!C149,总览汇总!$B$5:$B$304,0),900)*10000000+IFERROR(MATCH(存条明细!D149,基础资料!$E$5:$E$104,0),900)*10000+ROW()))</f>
        <v>330180149</v>
      </c>
      <c r="B149">
        <f>IFERROR(MATCH(SMALL($A$4:$A$4003,146),$A$4:$A$4003,0),"")</f>
        <v>237</v>
      </c>
      <c r="D149">
        <f>IF(AND(商品库存!B149&lt;&gt;"",商品库存!B149=客户查询!$B$4),COUNTIF(商品库存!$B$4:B149,客户查询!$B$4),"")</f>
      </c>
      <c r="E149">
        <f>IF(AND(商品库存!B149&lt;&gt;"",商品库存!B149=客户对账单!$B$4),COUNTIF(商品库存!$B$4:B149,客户对账单!$B$4),"")</f>
      </c>
      <c r="F149">
        <f>IF(AND(出库明细!C149&lt;&gt;"",出库明细!C149=客户对账单!$B$4,ISNUMBER(出库明细!B149),出库明细!B149&gt;=客户对账单!$G$4,出库明细!B149&lt;=客户对账单!$I$4),出库明细!B149+ROW()/100000,"")</f>
      </c>
      <c r="H149">
        <f>IF(AND(采购进货!C149&lt;&gt;"",采购进货!C149=供应商对账单!$B$4,ISNUMBER(采购进货!B149),采购进货!B149&gt;=供应商对账单!$G$4,采购进货!B149&lt;=供应商对账单!$I$4),采购进货!B149+ROW()/100000,"")</f>
      </c>
      <c r="J149">
        <f>IF(总览汇总!$B149="","",N(总览汇总!$K149)+SUMIFS(出库明细!$G$4:$G$3003,出库明细!$C$4:$C$3003,总览汇总!$B149,出库明细!$B$4:$B$3003,"&gt;="&amp;年初日,出库明细!$B$4:$B$3003,"&lt;="&amp;资产负债表!$D$3)-SUMIFS(资金台帐!$S$7:$S$3006,资金台帐!$J$7:$J$3006,总览汇总!$B149,资金台帐!$P$7:$P$3006,"应收",资金台帐!$B$7:$B$3006,"&gt;="&amp;年初日,资金台帐!$B$7:$B$3006,"&lt;="&amp;资产负债表!$D$3))</f>
      </c>
      <c r="N149">
        <f>IF(AND(ISNUMBER(出库明细!G149),ISNUMBER(出库明细!E149),ISNUMBER(出库明细!F149)),IF(ABS(出库明细!G149-出库明细!E149*出库明细!F149)&gt;0.005,1,0),0)</f>
        <v>0</v>
      </c>
      <c r="O149">
        <f>IF(AND(ISNUMBER(存条明细!G149),ISNUMBER(存条明细!E149),ISNUMBER(存条明细!F149)),IF(ABS(存条明细!G149-存条明细!E149*存条明细!F149)&gt;0.005,1,0),0)</f>
        <v>0</v>
      </c>
      <c r="AA149">
        <f>IF(基础资料!Q44="","",基础资料!Q44&amp;"")</f>
      </c>
      <c r="AC149">
        <f>IF(OR($AA149="",AC$5=""),0,SUMIF(INDIRECT("'"&amp;AC$5&amp;"'!B6:B1000"),$AA149,INDIRECT("'"&amp;AC$5&amp;"'!H6:H1000")))</f>
        <v>0</v>
      </c>
      <c r="AD149">
        <f>IF(OR($AA149="",AD$5=""),0,SUMIF(INDIRECT("'"&amp;AD$5&amp;"'!B6:B1000"),$AA149,INDIRECT("'"&amp;AD$5&amp;"'!H6:H1000")))</f>
        <v>0</v>
      </c>
      <c r="AE149">
        <f>IF(OR($AA149="",AE$5=""),0,SUMIF(INDIRECT("'"&amp;AE$5&amp;"'!B6:B1000"),$AA149,INDIRECT("'"&amp;AE$5&amp;"'!H6:H1000")))</f>
        <v>0</v>
      </c>
      <c r="AF149">
        <f>IF(OR($AA149="",AF$5=""),0,SUMIF(INDIRECT("'"&amp;AF$5&amp;"'!B6:B1000"),$AA149,INDIRECT("'"&amp;AF$5&amp;"'!H6:H1000")))</f>
        <v>0</v>
      </c>
      <c r="AG149">
        <f>IF(OR($AA149="",AG$5=""),0,SUMIF(INDIRECT("'"&amp;AG$5&amp;"'!B6:B1000"),$AA149,INDIRECT("'"&amp;AG$5&amp;"'!H6:H1000")))</f>
        <v>0</v>
      </c>
      <c r="AH149">
        <f>IF(OR($AA149="",AH$5=""),0,SUMIF(INDIRECT("'"&amp;AH$5&amp;"'!B6:B1000"),$AA149,INDIRECT("'"&amp;AH$5&amp;"'!H6:H1000")))</f>
        <v>0</v>
      </c>
      <c r="AI149">
        <f>IF(OR($AA149="",AI$5=""),0,SUMIF(INDIRECT("'"&amp;AI$5&amp;"'!B6:B1000"),$AA149,INDIRECT("'"&amp;AI$5&amp;"'!H6:H1000")))</f>
        <v>0</v>
      </c>
      <c r="AJ149">
        <f>IF(OR($AA149="",AJ$5=""),0,SUMIF(INDIRECT("'"&amp;AJ$5&amp;"'!B6:B1000"),$AA149,INDIRECT("'"&amp;AJ$5&amp;"'!H6:H1000")))</f>
        <v>0</v>
      </c>
      <c r="AK149">
        <f>IF(OR($AA149="",AK$5=""),0,SUMIF(INDIRECT("'"&amp;AK$5&amp;"'!B6:B1000"),$AA149,INDIRECT("'"&amp;AK$5&amp;"'!H6:H1000")))</f>
        <v>0</v>
      </c>
      <c r="AL149">
        <f>IF(OR($AA149="",AL$5=""),0,SUMIF(INDIRECT("'"&amp;AL$5&amp;"'!B6:B1000"),$AA149,INDIRECT("'"&amp;AL$5&amp;"'!H6:H1000")))</f>
        <v>0</v>
      </c>
      <c r="AM149">
        <f>IF(OR($AA149="",AM$5=""),0,SUMIF(INDIRECT("'"&amp;AM$5&amp;"'!B6:B1000"),$AA149,INDIRECT("'"&amp;AM$5&amp;"'!H6:H1000")))</f>
        <v>0</v>
      </c>
      <c r="AN149">
        <f>IF(OR($AA149="",AN$5=""),0,SUMIF(INDIRECT("'"&amp;AN$5&amp;"'!B6:B1000"),$AA149,INDIRECT("'"&amp;AN$5&amp;"'!H6:H1000")))</f>
        <v>0</v>
      </c>
      <c r="BY149">
        <f>SUMPRODUCT((($AC$4:$AN$4=报损汇总一览!$A$3)+(报损汇总一览!$A$3="全年"))*AC149:AN149)</f>
        <v>0</v>
      </c>
    </row>
    <row r="150">
      <c r="A150">
        <f>IF(OR(存条明细!C150="",存条明细!D150=""),"",IF(COUNTIFS(存条明细!$C$4:C150,存条明细!C150,存条明细!$D$4:D150,存条明细!D150)&gt;1,"",IFERROR(MATCH(存条明细!C150,总览汇总!$B$5:$B$304,0),900)*10000000+IFERROR(MATCH(存条明细!D150,基础资料!$E$5:$E$104,0),900)*10000+ROW()))</f>
        <v>470080150</v>
      </c>
      <c r="B150">
        <f>IFERROR(MATCH(SMALL($A$4:$A$4003,147),$A$4:$A$4003,0),"")</f>
        <v>100</v>
      </c>
      <c r="D150">
        <f>IF(AND(商品库存!B150&lt;&gt;"",商品库存!B150=客户查询!$B$4),COUNTIF(商品库存!$B$4:B150,客户查询!$B$4),"")</f>
      </c>
      <c r="E150">
        <f>IF(AND(商品库存!B150&lt;&gt;"",商品库存!B150=客户对账单!$B$4),COUNTIF(商品库存!$B$4:B150,客户对账单!$B$4),"")</f>
      </c>
      <c r="F150">
        <f>IF(AND(出库明细!C150&lt;&gt;"",出库明细!C150=客户对账单!$B$4,ISNUMBER(出库明细!B150),出库明细!B150&gt;=客户对账单!$G$4,出库明细!B150&lt;=客户对账单!$I$4),出库明细!B150+ROW()/100000,"")</f>
      </c>
      <c r="H150">
        <f>IF(AND(采购进货!C150&lt;&gt;"",采购进货!C150=供应商对账单!$B$4,ISNUMBER(采购进货!B150),采购进货!B150&gt;=供应商对账单!$G$4,采购进货!B150&lt;=供应商对账单!$I$4),采购进货!B150+ROW()/100000,"")</f>
      </c>
      <c r="J150">
        <f>IF(总览汇总!$B150="","",N(总览汇总!$K150)+SUMIFS(出库明细!$G$4:$G$3003,出库明细!$C$4:$C$3003,总览汇总!$B150,出库明细!$B$4:$B$3003,"&gt;="&amp;年初日,出库明细!$B$4:$B$3003,"&lt;="&amp;资产负债表!$D$3)-SUMIFS(资金台帐!$S$7:$S$3006,资金台帐!$J$7:$J$3006,总览汇总!$B150,资金台帐!$P$7:$P$3006,"应收",资金台帐!$B$7:$B$3006,"&gt;="&amp;年初日,资金台帐!$B$7:$B$3006,"&lt;="&amp;资产负债表!$D$3))</f>
      </c>
      <c r="N150">
        <f>IF(AND(ISNUMBER(出库明细!G150),ISNUMBER(出库明细!E150),ISNUMBER(出库明细!F150)),IF(ABS(出库明细!G150-出库明细!E150*出库明细!F150)&gt;0.005,1,0),0)</f>
        <v>0</v>
      </c>
      <c r="O150">
        <f>IF(AND(ISNUMBER(存条明细!G150),ISNUMBER(存条明细!E150),ISNUMBER(存条明细!F150)),IF(ABS(存条明细!G150-存条明细!E150*存条明细!F150)&gt;0.005,1,0),0)</f>
        <v>0</v>
      </c>
      <c r="AA150">
        <f>IF(基础资料!Q45="","",基础资料!Q45&amp;"")</f>
      </c>
      <c r="AC150">
        <f>IF(OR($AA150="",AC$5=""),0,SUMIF(INDIRECT("'"&amp;AC$5&amp;"'!B6:B1000"),$AA150,INDIRECT("'"&amp;AC$5&amp;"'!H6:H1000")))</f>
        <v>0</v>
      </c>
      <c r="AD150">
        <f>IF(OR($AA150="",AD$5=""),0,SUMIF(INDIRECT("'"&amp;AD$5&amp;"'!B6:B1000"),$AA150,INDIRECT("'"&amp;AD$5&amp;"'!H6:H1000")))</f>
        <v>0</v>
      </c>
      <c r="AE150">
        <f>IF(OR($AA150="",AE$5=""),0,SUMIF(INDIRECT("'"&amp;AE$5&amp;"'!B6:B1000"),$AA150,INDIRECT("'"&amp;AE$5&amp;"'!H6:H1000")))</f>
        <v>0</v>
      </c>
      <c r="AF150">
        <f>IF(OR($AA150="",AF$5=""),0,SUMIF(INDIRECT("'"&amp;AF$5&amp;"'!B6:B1000"),$AA150,INDIRECT("'"&amp;AF$5&amp;"'!H6:H1000")))</f>
        <v>0</v>
      </c>
      <c r="AG150">
        <f>IF(OR($AA150="",AG$5=""),0,SUMIF(INDIRECT("'"&amp;AG$5&amp;"'!B6:B1000"),$AA150,INDIRECT("'"&amp;AG$5&amp;"'!H6:H1000")))</f>
        <v>0</v>
      </c>
      <c r="AH150">
        <f>IF(OR($AA150="",AH$5=""),0,SUMIF(INDIRECT("'"&amp;AH$5&amp;"'!B6:B1000"),$AA150,INDIRECT("'"&amp;AH$5&amp;"'!H6:H1000")))</f>
        <v>0</v>
      </c>
      <c r="AI150">
        <f>IF(OR($AA150="",AI$5=""),0,SUMIF(INDIRECT("'"&amp;AI$5&amp;"'!B6:B1000"),$AA150,INDIRECT("'"&amp;AI$5&amp;"'!H6:H1000")))</f>
        <v>0</v>
      </c>
      <c r="AJ150">
        <f>IF(OR($AA150="",AJ$5=""),0,SUMIF(INDIRECT("'"&amp;AJ$5&amp;"'!B6:B1000"),$AA150,INDIRECT("'"&amp;AJ$5&amp;"'!H6:H1000")))</f>
        <v>0</v>
      </c>
      <c r="AK150">
        <f>IF(OR($AA150="",AK$5=""),0,SUMIF(INDIRECT("'"&amp;AK$5&amp;"'!B6:B1000"),$AA150,INDIRECT("'"&amp;AK$5&amp;"'!H6:H1000")))</f>
        <v>0</v>
      </c>
      <c r="AL150">
        <f>IF(OR($AA150="",AL$5=""),0,SUMIF(INDIRECT("'"&amp;AL$5&amp;"'!B6:B1000"),$AA150,INDIRECT("'"&amp;AL$5&amp;"'!H6:H1000")))</f>
        <v>0</v>
      </c>
      <c r="AM150">
        <f>IF(OR($AA150="",AM$5=""),0,SUMIF(INDIRECT("'"&amp;AM$5&amp;"'!B6:B1000"),$AA150,INDIRECT("'"&amp;AM$5&amp;"'!H6:H1000")))</f>
        <v>0</v>
      </c>
      <c r="AN150">
        <f>IF(OR($AA150="",AN$5=""),0,SUMIF(INDIRECT("'"&amp;AN$5&amp;"'!B6:B1000"),$AA150,INDIRECT("'"&amp;AN$5&amp;"'!H6:H1000")))</f>
        <v>0</v>
      </c>
      <c r="BY150">
        <f>SUMPRODUCT((($AC$4:$AN$4=报损汇总一览!$A$3)+(报损汇总一览!$A$3="全年"))*AC150:AN150)</f>
        <v>0</v>
      </c>
    </row>
    <row r="151">
      <c r="A151">
        <f>IF(OR(存条明细!C151="",存条明细!D151=""),"",IF(COUNTIFS(存条明细!$C$4:C151,存条明细!C151,存条明细!$D$4:D151,存条明细!D151)&gt;1,"",IFERROR(MATCH(存条明细!C151,总览汇总!$B$5:$B$304,0),900)*10000000+IFERROR(MATCH(存条明细!D151,基础资料!$E$5:$E$104,0),900)*10000+ROW()))</f>
        <v>470010151</v>
      </c>
      <c r="B151">
        <f>IFERROR(MATCH(SMALL($A$4:$A$4003,148),$A$4:$A$4003,0),"")</f>
        <v>214</v>
      </c>
      <c r="D151">
        <f>IF(AND(商品库存!B151&lt;&gt;"",商品库存!B151=客户查询!$B$4),COUNTIF(商品库存!$B$4:B151,客户查询!$B$4),"")</f>
      </c>
      <c r="E151">
        <f>IF(AND(商品库存!B151&lt;&gt;"",商品库存!B151=客户对账单!$B$4),COUNTIF(商品库存!$B$4:B151,客户对账单!$B$4),"")</f>
      </c>
      <c r="F151">
        <f>IF(AND(出库明细!C151&lt;&gt;"",出库明细!C151=客户对账单!$B$4,ISNUMBER(出库明细!B151),出库明细!B151&gt;=客户对账单!$G$4,出库明细!B151&lt;=客户对账单!$I$4),出库明细!B151+ROW()/100000,"")</f>
      </c>
      <c r="H151">
        <f>IF(AND(采购进货!C151&lt;&gt;"",采购进货!C151=供应商对账单!$B$4,ISNUMBER(采购进货!B151),采购进货!B151&gt;=供应商对账单!$G$4,采购进货!B151&lt;=供应商对账单!$I$4),采购进货!B151+ROW()/100000,"")</f>
      </c>
      <c r="J151">
        <f>IF(总览汇总!$B151="","",N(总览汇总!$K151)+SUMIFS(出库明细!$G$4:$G$3003,出库明细!$C$4:$C$3003,总览汇总!$B151,出库明细!$B$4:$B$3003,"&gt;="&amp;年初日,出库明细!$B$4:$B$3003,"&lt;="&amp;资产负债表!$D$3)-SUMIFS(资金台帐!$S$7:$S$3006,资金台帐!$J$7:$J$3006,总览汇总!$B151,资金台帐!$P$7:$P$3006,"应收",资金台帐!$B$7:$B$3006,"&gt;="&amp;年初日,资金台帐!$B$7:$B$3006,"&lt;="&amp;资产负债表!$D$3))</f>
      </c>
      <c r="N151">
        <f>IF(AND(ISNUMBER(出库明细!G151),ISNUMBER(出库明细!E151),ISNUMBER(出库明细!F151)),IF(ABS(出库明细!G151-出库明细!E151*出库明细!F151)&gt;0.005,1,0),0)</f>
        <v>0</v>
      </c>
      <c r="O151">
        <f>IF(AND(ISNUMBER(存条明细!G151),ISNUMBER(存条明细!E151),ISNUMBER(存条明细!F151)),IF(ABS(存条明细!G151-存条明细!E151*存条明细!F151)&gt;0.005,1,0),0)</f>
        <v>0</v>
      </c>
      <c r="AA151">
        <f>IF(基础资料!Q46="","",基础资料!Q46&amp;"")</f>
      </c>
      <c r="AC151">
        <f>IF(OR($AA151="",AC$5=""),0,SUMIF(INDIRECT("'"&amp;AC$5&amp;"'!B6:B1000"),$AA151,INDIRECT("'"&amp;AC$5&amp;"'!H6:H1000")))</f>
        <v>0</v>
      </c>
      <c r="AD151">
        <f>IF(OR($AA151="",AD$5=""),0,SUMIF(INDIRECT("'"&amp;AD$5&amp;"'!B6:B1000"),$AA151,INDIRECT("'"&amp;AD$5&amp;"'!H6:H1000")))</f>
        <v>0</v>
      </c>
      <c r="AE151">
        <f>IF(OR($AA151="",AE$5=""),0,SUMIF(INDIRECT("'"&amp;AE$5&amp;"'!B6:B1000"),$AA151,INDIRECT("'"&amp;AE$5&amp;"'!H6:H1000")))</f>
        <v>0</v>
      </c>
      <c r="AF151">
        <f>IF(OR($AA151="",AF$5=""),0,SUMIF(INDIRECT("'"&amp;AF$5&amp;"'!B6:B1000"),$AA151,INDIRECT("'"&amp;AF$5&amp;"'!H6:H1000")))</f>
        <v>0</v>
      </c>
      <c r="AG151">
        <f>IF(OR($AA151="",AG$5=""),0,SUMIF(INDIRECT("'"&amp;AG$5&amp;"'!B6:B1000"),$AA151,INDIRECT("'"&amp;AG$5&amp;"'!H6:H1000")))</f>
        <v>0</v>
      </c>
      <c r="AH151">
        <f>IF(OR($AA151="",AH$5=""),0,SUMIF(INDIRECT("'"&amp;AH$5&amp;"'!B6:B1000"),$AA151,INDIRECT("'"&amp;AH$5&amp;"'!H6:H1000")))</f>
        <v>0</v>
      </c>
      <c r="AI151">
        <f>IF(OR($AA151="",AI$5=""),0,SUMIF(INDIRECT("'"&amp;AI$5&amp;"'!B6:B1000"),$AA151,INDIRECT("'"&amp;AI$5&amp;"'!H6:H1000")))</f>
        <v>0</v>
      </c>
      <c r="AJ151">
        <f>IF(OR($AA151="",AJ$5=""),0,SUMIF(INDIRECT("'"&amp;AJ$5&amp;"'!B6:B1000"),$AA151,INDIRECT("'"&amp;AJ$5&amp;"'!H6:H1000")))</f>
        <v>0</v>
      </c>
      <c r="AK151">
        <f>IF(OR($AA151="",AK$5=""),0,SUMIF(INDIRECT("'"&amp;AK$5&amp;"'!B6:B1000"),$AA151,INDIRECT("'"&amp;AK$5&amp;"'!H6:H1000")))</f>
        <v>0</v>
      </c>
      <c r="AL151">
        <f>IF(OR($AA151="",AL$5=""),0,SUMIF(INDIRECT("'"&amp;AL$5&amp;"'!B6:B1000"),$AA151,INDIRECT("'"&amp;AL$5&amp;"'!H6:H1000")))</f>
        <v>0</v>
      </c>
      <c r="AM151">
        <f>IF(OR($AA151="",AM$5=""),0,SUMIF(INDIRECT("'"&amp;AM$5&amp;"'!B6:B1000"),$AA151,INDIRECT("'"&amp;AM$5&amp;"'!H6:H1000")))</f>
        <v>0</v>
      </c>
      <c r="AN151">
        <f>IF(OR($AA151="",AN$5=""),0,SUMIF(INDIRECT("'"&amp;AN$5&amp;"'!B6:B1000"),$AA151,INDIRECT("'"&amp;AN$5&amp;"'!H6:H1000")))</f>
        <v>0</v>
      </c>
      <c r="BY151">
        <f>SUMPRODUCT((($AC$4:$AN$4=报损汇总一览!$A$3)+(报损汇总一览!$A$3="全年"))*AC151:AN151)</f>
        <v>0</v>
      </c>
    </row>
    <row r="152">
      <c r="A152">
        <f>IF(OR(存条明细!C152="",存条明细!D152=""),"",IF(COUNTIFS(存条明细!$C$4:C152,存条明细!C152,存条明细!$D$4:D152,存条明细!D152)&gt;1,"",IFERROR(MATCH(存条明细!C152,总览汇总!$B$5:$B$304,0),900)*10000000+IFERROR(MATCH(存条明细!D152,基础资料!$E$5:$E$104,0),900)*10000+ROW()))</f>
        <v>40140152</v>
      </c>
      <c r="B152">
        <f>IFERROR(MATCH(SMALL($A$4:$A$4003,149),$A$4:$A$4003,0),"")</f>
        <v>216</v>
      </c>
      <c r="D152">
        <f>IF(AND(商品库存!B152&lt;&gt;"",商品库存!B152=客户查询!$B$4),COUNTIF(商品库存!$B$4:B152,客户查询!$B$4),"")</f>
      </c>
      <c r="E152">
        <f>IF(AND(商品库存!B152&lt;&gt;"",商品库存!B152=客户对账单!$B$4),COUNTIF(商品库存!$B$4:B152,客户对账单!$B$4),"")</f>
      </c>
      <c r="F152">
        <f>IF(AND(出库明细!C152&lt;&gt;"",出库明细!C152=客户对账单!$B$4,ISNUMBER(出库明细!B152),出库明细!B152&gt;=客户对账单!$G$4,出库明细!B152&lt;=客户对账单!$I$4),出库明细!B152+ROW()/100000,"")</f>
      </c>
      <c r="H152">
        <f>IF(AND(采购进货!C152&lt;&gt;"",采购进货!C152=供应商对账单!$B$4,ISNUMBER(采购进货!B152),采购进货!B152&gt;=供应商对账单!$G$4,采购进货!B152&lt;=供应商对账单!$I$4),采购进货!B152+ROW()/100000,"")</f>
      </c>
      <c r="J152">
        <f>IF(总览汇总!$B152="","",N(总览汇总!$K152)+SUMIFS(出库明细!$G$4:$G$3003,出库明细!$C$4:$C$3003,总览汇总!$B152,出库明细!$B$4:$B$3003,"&gt;="&amp;年初日,出库明细!$B$4:$B$3003,"&lt;="&amp;资产负债表!$D$3)-SUMIFS(资金台帐!$S$7:$S$3006,资金台帐!$J$7:$J$3006,总览汇总!$B152,资金台帐!$P$7:$P$3006,"应收",资金台帐!$B$7:$B$3006,"&gt;="&amp;年初日,资金台帐!$B$7:$B$3006,"&lt;="&amp;资产负债表!$D$3))</f>
      </c>
      <c r="N152">
        <f>IF(AND(ISNUMBER(出库明细!G152),ISNUMBER(出库明细!E152),ISNUMBER(出库明细!F152)),IF(ABS(出库明细!G152-出库明细!E152*出库明细!F152)&gt;0.005,1,0),0)</f>
        <v>0</v>
      </c>
      <c r="O152">
        <f>IF(AND(ISNUMBER(存条明细!G152),ISNUMBER(存条明细!E152),ISNUMBER(存条明细!F152)),IF(ABS(存条明细!G152-存条明细!E152*存条明细!F152)&gt;0.005,1,0),0)</f>
        <v>0</v>
      </c>
      <c r="AA152">
        <f>IF(基础资料!Q47="","",基础资料!Q47&amp;"")</f>
      </c>
      <c r="AC152">
        <f>IF(OR($AA152="",AC$5=""),0,SUMIF(INDIRECT("'"&amp;AC$5&amp;"'!B6:B1000"),$AA152,INDIRECT("'"&amp;AC$5&amp;"'!H6:H1000")))</f>
        <v>0</v>
      </c>
      <c r="AD152">
        <f>IF(OR($AA152="",AD$5=""),0,SUMIF(INDIRECT("'"&amp;AD$5&amp;"'!B6:B1000"),$AA152,INDIRECT("'"&amp;AD$5&amp;"'!H6:H1000")))</f>
        <v>0</v>
      </c>
      <c r="AE152">
        <f>IF(OR($AA152="",AE$5=""),0,SUMIF(INDIRECT("'"&amp;AE$5&amp;"'!B6:B1000"),$AA152,INDIRECT("'"&amp;AE$5&amp;"'!H6:H1000")))</f>
        <v>0</v>
      </c>
      <c r="AF152">
        <f>IF(OR($AA152="",AF$5=""),0,SUMIF(INDIRECT("'"&amp;AF$5&amp;"'!B6:B1000"),$AA152,INDIRECT("'"&amp;AF$5&amp;"'!H6:H1000")))</f>
        <v>0</v>
      </c>
      <c r="AG152">
        <f>IF(OR($AA152="",AG$5=""),0,SUMIF(INDIRECT("'"&amp;AG$5&amp;"'!B6:B1000"),$AA152,INDIRECT("'"&amp;AG$5&amp;"'!H6:H1000")))</f>
        <v>0</v>
      </c>
      <c r="AH152">
        <f>IF(OR($AA152="",AH$5=""),0,SUMIF(INDIRECT("'"&amp;AH$5&amp;"'!B6:B1000"),$AA152,INDIRECT("'"&amp;AH$5&amp;"'!H6:H1000")))</f>
        <v>0</v>
      </c>
      <c r="AI152">
        <f>IF(OR($AA152="",AI$5=""),0,SUMIF(INDIRECT("'"&amp;AI$5&amp;"'!B6:B1000"),$AA152,INDIRECT("'"&amp;AI$5&amp;"'!H6:H1000")))</f>
        <v>0</v>
      </c>
      <c r="AJ152">
        <f>IF(OR($AA152="",AJ$5=""),0,SUMIF(INDIRECT("'"&amp;AJ$5&amp;"'!B6:B1000"),$AA152,INDIRECT("'"&amp;AJ$5&amp;"'!H6:H1000")))</f>
        <v>0</v>
      </c>
      <c r="AK152">
        <f>IF(OR($AA152="",AK$5=""),0,SUMIF(INDIRECT("'"&amp;AK$5&amp;"'!B6:B1000"),$AA152,INDIRECT("'"&amp;AK$5&amp;"'!H6:H1000")))</f>
        <v>0</v>
      </c>
      <c r="AL152">
        <f>IF(OR($AA152="",AL$5=""),0,SUMIF(INDIRECT("'"&amp;AL$5&amp;"'!B6:B1000"),$AA152,INDIRECT("'"&amp;AL$5&amp;"'!H6:H1000")))</f>
        <v>0</v>
      </c>
      <c r="AM152">
        <f>IF(OR($AA152="",AM$5=""),0,SUMIF(INDIRECT("'"&amp;AM$5&amp;"'!B6:B1000"),$AA152,INDIRECT("'"&amp;AM$5&amp;"'!H6:H1000")))</f>
        <v>0</v>
      </c>
      <c r="AN152">
        <f>IF(OR($AA152="",AN$5=""),0,SUMIF(INDIRECT("'"&amp;AN$5&amp;"'!B6:B1000"),$AA152,INDIRECT("'"&amp;AN$5&amp;"'!H6:H1000")))</f>
        <v>0</v>
      </c>
      <c r="BY152">
        <f>SUMPRODUCT((($AC$4:$AN$4=报损汇总一览!$A$3)+(报损汇总一览!$A$3="全年"))*AC152:AN152)</f>
        <v>0</v>
      </c>
    </row>
    <row r="153">
      <c r="A153">
        <f>IF(OR(存条明细!C153="",存条明细!D153=""),"",IF(COUNTIFS(存条明细!$C$4:C153,存条明细!C153,存条明细!$D$4:D153,存条明细!D153)&gt;1,"",IFERROR(MATCH(存条明细!C153,总览汇总!$B$5:$B$304,0),900)*10000000+IFERROR(MATCH(存条明细!D153,基础资料!$E$5:$E$104,0),900)*10000+ROW()))</f>
      </c>
      <c r="B153">
        <f>IFERROR(MATCH(SMALL($A$4:$A$4003,150),$A$4:$A$4003,0),"")</f>
        <v>218</v>
      </c>
      <c r="D153">
        <f>IF(AND(商品库存!B153&lt;&gt;"",商品库存!B153=客户查询!$B$4),COUNTIF(商品库存!$B$4:B153,客户查询!$B$4),"")</f>
      </c>
      <c r="E153">
        <f>IF(AND(商品库存!B153&lt;&gt;"",商品库存!B153=客户对账单!$B$4),COUNTIF(商品库存!$B$4:B153,客户对账单!$B$4),"")</f>
      </c>
      <c r="F153">
        <f>IF(AND(出库明细!C153&lt;&gt;"",出库明细!C153=客户对账单!$B$4,ISNUMBER(出库明细!B153),出库明细!B153&gt;=客户对账单!$G$4,出库明细!B153&lt;=客户对账单!$I$4),出库明细!B153+ROW()/100000,"")</f>
      </c>
      <c r="H153">
        <f>IF(AND(采购进货!C153&lt;&gt;"",采购进货!C153=供应商对账单!$B$4,ISNUMBER(采购进货!B153),采购进货!B153&gt;=供应商对账单!$G$4,采购进货!B153&lt;=供应商对账单!$I$4),采购进货!B153+ROW()/100000,"")</f>
      </c>
      <c r="J153">
        <f>IF(总览汇总!$B153="","",N(总览汇总!$K153)+SUMIFS(出库明细!$G$4:$G$3003,出库明细!$C$4:$C$3003,总览汇总!$B153,出库明细!$B$4:$B$3003,"&gt;="&amp;年初日,出库明细!$B$4:$B$3003,"&lt;="&amp;资产负债表!$D$3)-SUMIFS(资金台帐!$S$7:$S$3006,资金台帐!$J$7:$J$3006,总览汇总!$B153,资金台帐!$P$7:$P$3006,"应收",资金台帐!$B$7:$B$3006,"&gt;="&amp;年初日,资金台帐!$B$7:$B$3006,"&lt;="&amp;资产负债表!$D$3))</f>
      </c>
      <c r="N153">
        <f>IF(AND(ISNUMBER(出库明细!G153),ISNUMBER(出库明细!E153),ISNUMBER(出库明细!F153)),IF(ABS(出库明细!G153-出库明细!E153*出库明细!F153)&gt;0.005,1,0),0)</f>
        <v>0</v>
      </c>
      <c r="O153">
        <f>IF(AND(ISNUMBER(存条明细!G153),ISNUMBER(存条明细!E153),ISNUMBER(存条明细!F153)),IF(ABS(存条明细!G153-存条明细!E153*存条明细!F153)&gt;0.005,1,0),0)</f>
        <v>0</v>
      </c>
      <c r="AA153">
        <f>IF(基础资料!Q48="","",基础资料!Q48&amp;"")</f>
      </c>
      <c r="AC153">
        <f>IF(OR($AA153="",AC$5=""),0,SUMIF(INDIRECT("'"&amp;AC$5&amp;"'!B6:B1000"),$AA153,INDIRECT("'"&amp;AC$5&amp;"'!H6:H1000")))</f>
        <v>0</v>
      </c>
      <c r="AD153">
        <f>IF(OR($AA153="",AD$5=""),0,SUMIF(INDIRECT("'"&amp;AD$5&amp;"'!B6:B1000"),$AA153,INDIRECT("'"&amp;AD$5&amp;"'!H6:H1000")))</f>
        <v>0</v>
      </c>
      <c r="AE153">
        <f>IF(OR($AA153="",AE$5=""),0,SUMIF(INDIRECT("'"&amp;AE$5&amp;"'!B6:B1000"),$AA153,INDIRECT("'"&amp;AE$5&amp;"'!H6:H1000")))</f>
        <v>0</v>
      </c>
      <c r="AF153">
        <f>IF(OR($AA153="",AF$5=""),0,SUMIF(INDIRECT("'"&amp;AF$5&amp;"'!B6:B1000"),$AA153,INDIRECT("'"&amp;AF$5&amp;"'!H6:H1000")))</f>
        <v>0</v>
      </c>
      <c r="AG153">
        <f>IF(OR($AA153="",AG$5=""),0,SUMIF(INDIRECT("'"&amp;AG$5&amp;"'!B6:B1000"),$AA153,INDIRECT("'"&amp;AG$5&amp;"'!H6:H1000")))</f>
        <v>0</v>
      </c>
      <c r="AH153">
        <f>IF(OR($AA153="",AH$5=""),0,SUMIF(INDIRECT("'"&amp;AH$5&amp;"'!B6:B1000"),$AA153,INDIRECT("'"&amp;AH$5&amp;"'!H6:H1000")))</f>
        <v>0</v>
      </c>
      <c r="AI153">
        <f>IF(OR($AA153="",AI$5=""),0,SUMIF(INDIRECT("'"&amp;AI$5&amp;"'!B6:B1000"),$AA153,INDIRECT("'"&amp;AI$5&amp;"'!H6:H1000")))</f>
        <v>0</v>
      </c>
      <c r="AJ153">
        <f>IF(OR($AA153="",AJ$5=""),0,SUMIF(INDIRECT("'"&amp;AJ$5&amp;"'!B6:B1000"),$AA153,INDIRECT("'"&amp;AJ$5&amp;"'!H6:H1000")))</f>
        <v>0</v>
      </c>
      <c r="AK153">
        <f>IF(OR($AA153="",AK$5=""),0,SUMIF(INDIRECT("'"&amp;AK$5&amp;"'!B6:B1000"),$AA153,INDIRECT("'"&amp;AK$5&amp;"'!H6:H1000")))</f>
        <v>0</v>
      </c>
      <c r="AL153">
        <f>IF(OR($AA153="",AL$5=""),0,SUMIF(INDIRECT("'"&amp;AL$5&amp;"'!B6:B1000"),$AA153,INDIRECT("'"&amp;AL$5&amp;"'!H6:H1000")))</f>
        <v>0</v>
      </c>
      <c r="AM153">
        <f>IF(OR($AA153="",AM$5=""),0,SUMIF(INDIRECT("'"&amp;AM$5&amp;"'!B6:B1000"),$AA153,INDIRECT("'"&amp;AM$5&amp;"'!H6:H1000")))</f>
        <v>0</v>
      </c>
      <c r="AN153">
        <f>IF(OR($AA153="",AN$5=""),0,SUMIF(INDIRECT("'"&amp;AN$5&amp;"'!B6:B1000"),$AA153,INDIRECT("'"&amp;AN$5&amp;"'!H6:H1000")))</f>
        <v>0</v>
      </c>
      <c r="BY153">
        <f>SUMPRODUCT((($AC$4:$AN$4=报损汇总一览!$A$3)+(报损汇总一览!$A$3="全年"))*AC153:AN153)</f>
        <v>0</v>
      </c>
    </row>
    <row r="154">
      <c r="A154">
        <f>IF(OR(存条明细!C154="",存条明细!D154=""),"",IF(COUNTIFS(存条明细!$C$4:C154,存条明细!C154,存条明细!$D$4:D154,存条明细!D154)&gt;1,"",IFERROR(MATCH(存条明细!C154,总览汇总!$B$5:$B$304,0),900)*10000000+IFERROR(MATCH(存条明细!D154,基础资料!$E$5:$E$104,0),900)*10000+ROW()))</f>
        <v>30140154</v>
      </c>
      <c r="B154">
        <f>IFERROR(MATCH(SMALL($A$4:$A$4003,151),$A$4:$A$4003,0),"")</f>
        <v>135</v>
      </c>
      <c r="D154">
        <f>IF(AND(商品库存!B154&lt;&gt;"",商品库存!B154=客户查询!$B$4),COUNTIF(商品库存!$B$4:B154,客户查询!$B$4),"")</f>
      </c>
      <c r="E154">
        <f>IF(AND(商品库存!B154&lt;&gt;"",商品库存!B154=客户对账单!$B$4),COUNTIF(商品库存!$B$4:B154,客户对账单!$B$4),"")</f>
      </c>
      <c r="F154">
        <f>IF(AND(出库明细!C154&lt;&gt;"",出库明细!C154=客户对账单!$B$4,ISNUMBER(出库明细!B154),出库明细!B154&gt;=客户对账单!$G$4,出库明细!B154&lt;=客户对账单!$I$4),出库明细!B154+ROW()/100000,"")</f>
      </c>
      <c r="H154">
        <f>IF(AND(采购进货!C154&lt;&gt;"",采购进货!C154=供应商对账单!$B$4,ISNUMBER(采购进货!B154),采购进货!B154&gt;=供应商对账单!$G$4,采购进货!B154&lt;=供应商对账单!$I$4),采购进货!B154+ROW()/100000,"")</f>
      </c>
      <c r="J154">
        <f>IF(总览汇总!$B154="","",N(总览汇总!$K154)+SUMIFS(出库明细!$G$4:$G$3003,出库明细!$C$4:$C$3003,总览汇总!$B154,出库明细!$B$4:$B$3003,"&gt;="&amp;年初日,出库明细!$B$4:$B$3003,"&lt;="&amp;资产负债表!$D$3)-SUMIFS(资金台帐!$S$7:$S$3006,资金台帐!$J$7:$J$3006,总览汇总!$B154,资金台帐!$P$7:$P$3006,"应收",资金台帐!$B$7:$B$3006,"&gt;="&amp;年初日,资金台帐!$B$7:$B$3006,"&lt;="&amp;资产负债表!$D$3))</f>
      </c>
      <c r="N154">
        <f>IF(AND(ISNUMBER(出库明细!G154),ISNUMBER(出库明细!E154),ISNUMBER(出库明细!F154)),IF(ABS(出库明细!G154-出库明细!E154*出库明细!F154)&gt;0.005,1,0),0)</f>
        <v>0</v>
      </c>
      <c r="O154">
        <f>IF(AND(ISNUMBER(存条明细!G154),ISNUMBER(存条明细!E154),ISNUMBER(存条明细!F154)),IF(ABS(存条明细!G154-存条明细!E154*存条明细!F154)&gt;0.005,1,0),0)</f>
        <v>0</v>
      </c>
      <c r="AA154">
        <f>IF(基础资料!Q49="","",基础资料!Q49&amp;"")</f>
      </c>
      <c r="AC154">
        <f>IF(OR($AA154="",AC$5=""),0,SUMIF(INDIRECT("'"&amp;AC$5&amp;"'!B6:B1000"),$AA154,INDIRECT("'"&amp;AC$5&amp;"'!H6:H1000")))</f>
        <v>0</v>
      </c>
      <c r="AD154">
        <f>IF(OR($AA154="",AD$5=""),0,SUMIF(INDIRECT("'"&amp;AD$5&amp;"'!B6:B1000"),$AA154,INDIRECT("'"&amp;AD$5&amp;"'!H6:H1000")))</f>
        <v>0</v>
      </c>
      <c r="AE154">
        <f>IF(OR($AA154="",AE$5=""),0,SUMIF(INDIRECT("'"&amp;AE$5&amp;"'!B6:B1000"),$AA154,INDIRECT("'"&amp;AE$5&amp;"'!H6:H1000")))</f>
        <v>0</v>
      </c>
      <c r="AF154">
        <f>IF(OR($AA154="",AF$5=""),0,SUMIF(INDIRECT("'"&amp;AF$5&amp;"'!B6:B1000"),$AA154,INDIRECT("'"&amp;AF$5&amp;"'!H6:H1000")))</f>
        <v>0</v>
      </c>
      <c r="AG154">
        <f>IF(OR($AA154="",AG$5=""),0,SUMIF(INDIRECT("'"&amp;AG$5&amp;"'!B6:B1000"),$AA154,INDIRECT("'"&amp;AG$5&amp;"'!H6:H1000")))</f>
        <v>0</v>
      </c>
      <c r="AH154">
        <f>IF(OR($AA154="",AH$5=""),0,SUMIF(INDIRECT("'"&amp;AH$5&amp;"'!B6:B1000"),$AA154,INDIRECT("'"&amp;AH$5&amp;"'!H6:H1000")))</f>
        <v>0</v>
      </c>
      <c r="AI154">
        <f>IF(OR($AA154="",AI$5=""),0,SUMIF(INDIRECT("'"&amp;AI$5&amp;"'!B6:B1000"),$AA154,INDIRECT("'"&amp;AI$5&amp;"'!H6:H1000")))</f>
        <v>0</v>
      </c>
      <c r="AJ154">
        <f>IF(OR($AA154="",AJ$5=""),0,SUMIF(INDIRECT("'"&amp;AJ$5&amp;"'!B6:B1000"),$AA154,INDIRECT("'"&amp;AJ$5&amp;"'!H6:H1000")))</f>
        <v>0</v>
      </c>
      <c r="AK154">
        <f>IF(OR($AA154="",AK$5=""),0,SUMIF(INDIRECT("'"&amp;AK$5&amp;"'!B6:B1000"),$AA154,INDIRECT("'"&amp;AK$5&amp;"'!H6:H1000")))</f>
        <v>0</v>
      </c>
      <c r="AL154">
        <f>IF(OR($AA154="",AL$5=""),0,SUMIF(INDIRECT("'"&amp;AL$5&amp;"'!B6:B1000"),$AA154,INDIRECT("'"&amp;AL$5&amp;"'!H6:H1000")))</f>
        <v>0</v>
      </c>
      <c r="AM154">
        <f>IF(OR($AA154="",AM$5=""),0,SUMIF(INDIRECT("'"&amp;AM$5&amp;"'!B6:B1000"),$AA154,INDIRECT("'"&amp;AM$5&amp;"'!H6:H1000")))</f>
        <v>0</v>
      </c>
      <c r="AN154">
        <f>IF(OR($AA154="",AN$5=""),0,SUMIF(INDIRECT("'"&amp;AN$5&amp;"'!B6:B1000"),$AA154,INDIRECT("'"&amp;AN$5&amp;"'!H6:H1000")))</f>
        <v>0</v>
      </c>
      <c r="BY154">
        <f>SUMPRODUCT((($AC$4:$AN$4=报损汇总一览!$A$3)+(报损汇总一览!$A$3="全年"))*AC154:AN154)</f>
        <v>0</v>
      </c>
    </row>
    <row r="155">
      <c r="A155">
        <f>IF(OR(存条明细!C155="",存条明细!D155=""),"",IF(COUNTIFS(存条明细!$C$4:C155,存条明细!C155,存条明细!$D$4:D155,存条明细!D155)&gt;1,"",IFERROR(MATCH(存条明细!C155,总览汇总!$B$5:$B$304,0),900)*10000000+IFERROR(MATCH(存条明细!D155,基础资料!$E$5:$E$104,0),900)*10000+ROW()))</f>
      </c>
      <c r="B155">
        <f>IFERROR(MATCH(SMALL($A$4:$A$4003,152),$A$4:$A$4003,0),"")</f>
        <v>137</v>
      </c>
      <c r="D155">
        <f>IF(AND(商品库存!B155&lt;&gt;"",商品库存!B155=客户查询!$B$4),COUNTIF(商品库存!$B$4:B155,客户查询!$B$4),"")</f>
      </c>
      <c r="E155">
        <f>IF(AND(商品库存!B155&lt;&gt;"",商品库存!B155=客户对账单!$B$4),COUNTIF(商品库存!$B$4:B155,客户对账单!$B$4),"")</f>
      </c>
      <c r="F155">
        <f>IF(AND(出库明细!C155&lt;&gt;"",出库明细!C155=客户对账单!$B$4,ISNUMBER(出库明细!B155),出库明细!B155&gt;=客户对账单!$G$4,出库明细!B155&lt;=客户对账单!$I$4),出库明细!B155+ROW()/100000,"")</f>
      </c>
      <c r="H155">
        <f>IF(AND(采购进货!C155&lt;&gt;"",采购进货!C155=供应商对账单!$B$4,ISNUMBER(采购进货!B155),采购进货!B155&gt;=供应商对账单!$G$4,采购进货!B155&lt;=供应商对账单!$I$4),采购进货!B155+ROW()/100000,"")</f>
      </c>
      <c r="J155">
        <f>IF(总览汇总!$B155="","",N(总览汇总!$K155)+SUMIFS(出库明细!$G$4:$G$3003,出库明细!$C$4:$C$3003,总览汇总!$B155,出库明细!$B$4:$B$3003,"&gt;="&amp;年初日,出库明细!$B$4:$B$3003,"&lt;="&amp;资产负债表!$D$3)-SUMIFS(资金台帐!$S$7:$S$3006,资金台帐!$J$7:$J$3006,总览汇总!$B155,资金台帐!$P$7:$P$3006,"应收",资金台帐!$B$7:$B$3006,"&gt;="&amp;年初日,资金台帐!$B$7:$B$3006,"&lt;="&amp;资产负债表!$D$3))</f>
      </c>
      <c r="N155">
        <f>IF(AND(ISNUMBER(出库明细!G155),ISNUMBER(出库明细!E155),ISNUMBER(出库明细!F155)),IF(ABS(出库明细!G155-出库明细!E155*出库明细!F155)&gt;0.005,1,0),0)</f>
        <v>0</v>
      </c>
      <c r="O155">
        <f>IF(AND(ISNUMBER(存条明细!G155),ISNUMBER(存条明细!E155),ISNUMBER(存条明细!F155)),IF(ABS(存条明细!G155-存条明细!E155*存条明细!F155)&gt;0.005,1,0),0)</f>
        <v>0</v>
      </c>
      <c r="AA155">
        <f>IF(基础资料!Q50="","",基础资料!Q50&amp;"")</f>
      </c>
      <c r="AC155">
        <f>IF(OR($AA155="",AC$5=""),0,SUMIF(INDIRECT("'"&amp;AC$5&amp;"'!B6:B1000"),$AA155,INDIRECT("'"&amp;AC$5&amp;"'!H6:H1000")))</f>
        <v>0</v>
      </c>
      <c r="AD155">
        <f>IF(OR($AA155="",AD$5=""),0,SUMIF(INDIRECT("'"&amp;AD$5&amp;"'!B6:B1000"),$AA155,INDIRECT("'"&amp;AD$5&amp;"'!H6:H1000")))</f>
        <v>0</v>
      </c>
      <c r="AE155">
        <f>IF(OR($AA155="",AE$5=""),0,SUMIF(INDIRECT("'"&amp;AE$5&amp;"'!B6:B1000"),$AA155,INDIRECT("'"&amp;AE$5&amp;"'!H6:H1000")))</f>
        <v>0</v>
      </c>
      <c r="AF155">
        <f>IF(OR($AA155="",AF$5=""),0,SUMIF(INDIRECT("'"&amp;AF$5&amp;"'!B6:B1000"),$AA155,INDIRECT("'"&amp;AF$5&amp;"'!H6:H1000")))</f>
        <v>0</v>
      </c>
      <c r="AG155">
        <f>IF(OR($AA155="",AG$5=""),0,SUMIF(INDIRECT("'"&amp;AG$5&amp;"'!B6:B1000"),$AA155,INDIRECT("'"&amp;AG$5&amp;"'!H6:H1000")))</f>
        <v>0</v>
      </c>
      <c r="AH155">
        <f>IF(OR($AA155="",AH$5=""),0,SUMIF(INDIRECT("'"&amp;AH$5&amp;"'!B6:B1000"),$AA155,INDIRECT("'"&amp;AH$5&amp;"'!H6:H1000")))</f>
        <v>0</v>
      </c>
      <c r="AI155">
        <f>IF(OR($AA155="",AI$5=""),0,SUMIF(INDIRECT("'"&amp;AI$5&amp;"'!B6:B1000"),$AA155,INDIRECT("'"&amp;AI$5&amp;"'!H6:H1000")))</f>
        <v>0</v>
      </c>
      <c r="AJ155">
        <f>IF(OR($AA155="",AJ$5=""),0,SUMIF(INDIRECT("'"&amp;AJ$5&amp;"'!B6:B1000"),$AA155,INDIRECT("'"&amp;AJ$5&amp;"'!H6:H1000")))</f>
        <v>0</v>
      </c>
      <c r="AK155">
        <f>IF(OR($AA155="",AK$5=""),0,SUMIF(INDIRECT("'"&amp;AK$5&amp;"'!B6:B1000"),$AA155,INDIRECT("'"&amp;AK$5&amp;"'!H6:H1000")))</f>
        <v>0</v>
      </c>
      <c r="AL155">
        <f>IF(OR($AA155="",AL$5=""),0,SUMIF(INDIRECT("'"&amp;AL$5&amp;"'!B6:B1000"),$AA155,INDIRECT("'"&amp;AL$5&amp;"'!H6:H1000")))</f>
        <v>0</v>
      </c>
      <c r="AM155">
        <f>IF(OR($AA155="",AM$5=""),0,SUMIF(INDIRECT("'"&amp;AM$5&amp;"'!B6:B1000"),$AA155,INDIRECT("'"&amp;AM$5&amp;"'!H6:H1000")))</f>
        <v>0</v>
      </c>
      <c r="AN155">
        <f>IF(OR($AA155="",AN$5=""),0,SUMIF(INDIRECT("'"&amp;AN$5&amp;"'!B6:B1000"),$AA155,INDIRECT("'"&amp;AN$5&amp;"'!H6:H1000")))</f>
        <v>0</v>
      </c>
      <c r="BY155">
        <f>SUMPRODUCT((($AC$4:$AN$4=报损汇总一览!$A$3)+(报损汇总一览!$A$3="全年"))*AC155:AN155)</f>
        <v>0</v>
      </c>
    </row>
    <row r="156">
      <c r="A156">
        <f>IF(OR(存条明细!C156="",存条明细!D156=""),"",IF(COUNTIFS(存条明细!$C$4:C156,存条明细!C156,存条明细!$D$4:D156,存条明细!D156)&gt;1,"",IFERROR(MATCH(存条明细!C156,总览汇总!$B$5:$B$304,0),900)*10000000+IFERROR(MATCH(存条明细!D156,基础资料!$E$5:$E$104,0),900)*10000+ROW()))</f>
        <v>490010156</v>
      </c>
      <c r="B156">
        <f>IFERROR(MATCH(SMALL($A$4:$A$4003,153),$A$4:$A$4003,0),"")</f>
        <v>142</v>
      </c>
      <c r="D156">
        <f>IF(AND(商品库存!B156&lt;&gt;"",商品库存!B156=客户查询!$B$4),COUNTIF(商品库存!$B$4:B156,客户查询!$B$4),"")</f>
      </c>
      <c r="E156">
        <f>IF(AND(商品库存!B156&lt;&gt;"",商品库存!B156=客户对账单!$B$4),COUNTIF(商品库存!$B$4:B156,客户对账单!$B$4),"")</f>
      </c>
      <c r="F156">
        <f>IF(AND(出库明细!C156&lt;&gt;"",出库明细!C156=客户对账单!$B$4,ISNUMBER(出库明细!B156),出库明细!B156&gt;=客户对账单!$G$4,出库明细!B156&lt;=客户对账单!$I$4),出库明细!B156+ROW()/100000,"")</f>
        <v>46200.00156</v>
      </c>
      <c r="H156">
        <f>IF(AND(采购进货!C156&lt;&gt;"",采购进货!C156=供应商对账单!$B$4,ISNUMBER(采购进货!B156),采购进货!B156&gt;=供应商对账单!$G$4,采购进货!B156&lt;=供应商对账单!$I$4),采购进货!B156+ROW()/100000,"")</f>
      </c>
      <c r="J156">
        <f>IF(总览汇总!$B156="","",N(总览汇总!$K156)+SUMIFS(出库明细!$G$4:$G$3003,出库明细!$C$4:$C$3003,总览汇总!$B156,出库明细!$B$4:$B$3003,"&gt;="&amp;年初日,出库明细!$B$4:$B$3003,"&lt;="&amp;资产负债表!$D$3)-SUMIFS(资金台帐!$S$7:$S$3006,资金台帐!$J$7:$J$3006,总览汇总!$B156,资金台帐!$P$7:$P$3006,"应收",资金台帐!$B$7:$B$3006,"&gt;="&amp;年初日,资金台帐!$B$7:$B$3006,"&lt;="&amp;资产负债表!$D$3))</f>
      </c>
      <c r="N156">
        <f>IF(AND(ISNUMBER(出库明细!G156),ISNUMBER(出库明细!E156),ISNUMBER(出库明细!F156)),IF(ABS(出库明细!G156-出库明细!E156*出库明细!F156)&gt;0.005,1,0),0)</f>
        <v>0</v>
      </c>
      <c r="O156">
        <f>IF(AND(ISNUMBER(存条明细!G156),ISNUMBER(存条明细!E156),ISNUMBER(存条明细!F156)),IF(ABS(存条明细!G156-存条明细!E156*存条明细!F156)&gt;0.005,1,0),0)</f>
        <v>0</v>
      </c>
      <c r="AA156">
        <f>IF(基础资料!Q51="","",基础资料!Q51&amp;"")</f>
      </c>
      <c r="AC156">
        <f>IF(OR($AA156="",AC$5=""),0,SUMIF(INDIRECT("'"&amp;AC$5&amp;"'!B6:B1000"),$AA156,INDIRECT("'"&amp;AC$5&amp;"'!H6:H1000")))</f>
        <v>0</v>
      </c>
      <c r="AD156">
        <f>IF(OR($AA156="",AD$5=""),0,SUMIF(INDIRECT("'"&amp;AD$5&amp;"'!B6:B1000"),$AA156,INDIRECT("'"&amp;AD$5&amp;"'!H6:H1000")))</f>
        <v>0</v>
      </c>
      <c r="AE156">
        <f>IF(OR($AA156="",AE$5=""),0,SUMIF(INDIRECT("'"&amp;AE$5&amp;"'!B6:B1000"),$AA156,INDIRECT("'"&amp;AE$5&amp;"'!H6:H1000")))</f>
        <v>0</v>
      </c>
      <c r="AF156">
        <f>IF(OR($AA156="",AF$5=""),0,SUMIF(INDIRECT("'"&amp;AF$5&amp;"'!B6:B1000"),$AA156,INDIRECT("'"&amp;AF$5&amp;"'!H6:H1000")))</f>
        <v>0</v>
      </c>
      <c r="AG156">
        <f>IF(OR($AA156="",AG$5=""),0,SUMIF(INDIRECT("'"&amp;AG$5&amp;"'!B6:B1000"),$AA156,INDIRECT("'"&amp;AG$5&amp;"'!H6:H1000")))</f>
        <v>0</v>
      </c>
      <c r="AH156">
        <f>IF(OR($AA156="",AH$5=""),0,SUMIF(INDIRECT("'"&amp;AH$5&amp;"'!B6:B1000"),$AA156,INDIRECT("'"&amp;AH$5&amp;"'!H6:H1000")))</f>
        <v>0</v>
      </c>
      <c r="AI156">
        <f>IF(OR($AA156="",AI$5=""),0,SUMIF(INDIRECT("'"&amp;AI$5&amp;"'!B6:B1000"),$AA156,INDIRECT("'"&amp;AI$5&amp;"'!H6:H1000")))</f>
        <v>0</v>
      </c>
      <c r="AJ156">
        <f>IF(OR($AA156="",AJ$5=""),0,SUMIF(INDIRECT("'"&amp;AJ$5&amp;"'!B6:B1000"),$AA156,INDIRECT("'"&amp;AJ$5&amp;"'!H6:H1000")))</f>
        <v>0</v>
      </c>
      <c r="AK156">
        <f>IF(OR($AA156="",AK$5=""),0,SUMIF(INDIRECT("'"&amp;AK$5&amp;"'!B6:B1000"),$AA156,INDIRECT("'"&amp;AK$5&amp;"'!H6:H1000")))</f>
        <v>0</v>
      </c>
      <c r="AL156">
        <f>IF(OR($AA156="",AL$5=""),0,SUMIF(INDIRECT("'"&amp;AL$5&amp;"'!B6:B1000"),$AA156,INDIRECT("'"&amp;AL$5&amp;"'!H6:H1000")))</f>
        <v>0</v>
      </c>
      <c r="AM156">
        <f>IF(OR($AA156="",AM$5=""),0,SUMIF(INDIRECT("'"&amp;AM$5&amp;"'!B6:B1000"),$AA156,INDIRECT("'"&amp;AM$5&amp;"'!H6:H1000")))</f>
        <v>0</v>
      </c>
      <c r="AN156">
        <f>IF(OR($AA156="",AN$5=""),0,SUMIF(INDIRECT("'"&amp;AN$5&amp;"'!B6:B1000"),$AA156,INDIRECT("'"&amp;AN$5&amp;"'!H6:H1000")))</f>
        <v>0</v>
      </c>
      <c r="BY156">
        <f>SUMPRODUCT((($AC$4:$AN$4=报损汇总一览!$A$3)+(报损汇总一览!$A$3="全年"))*AC156:AN156)</f>
        <v>0</v>
      </c>
    </row>
    <row r="157">
      <c r="A157">
        <f>IF(OR(存条明细!C157="",存条明细!D157=""),"",IF(COUNTIFS(存条明细!$C$4:C157,存条明细!C157,存条明细!$D$4:D157,存条明细!D157)&gt;1,"",IFERROR(MATCH(存条明细!C157,总览汇总!$B$5:$B$304,0),900)*10000000+IFERROR(MATCH(存条明细!D157,基础资料!$E$5:$E$104,0),900)*10000+ROW()))</f>
      </c>
      <c r="B157">
        <f>IFERROR(MATCH(SMALL($A$4:$A$4003,154),$A$4:$A$4003,0),"")</f>
        <v>139</v>
      </c>
      <c r="D157">
        <f>IF(AND(商品库存!B157&lt;&gt;"",商品库存!B157=客户查询!$B$4),COUNTIF(商品库存!$B$4:B157,客户查询!$B$4),"")</f>
      </c>
      <c r="E157">
        <f>IF(AND(商品库存!B157&lt;&gt;"",商品库存!B157=客户对账单!$B$4),COUNTIF(商品库存!$B$4:B157,客户对账单!$B$4),"")</f>
      </c>
      <c r="F157">
        <f>IF(AND(出库明细!C157&lt;&gt;"",出库明细!C157=客户对账单!$B$4,ISNUMBER(出库明细!B157),出库明细!B157&gt;=客户对账单!$G$4,出库明细!B157&lt;=客户对账单!$I$4),出库明细!B157+ROW()/100000,"")</f>
        <v>46200.00157</v>
      </c>
      <c r="H157">
        <f>IF(AND(采购进货!C157&lt;&gt;"",采购进货!C157=供应商对账单!$B$4,ISNUMBER(采购进货!B157),采购进货!B157&gt;=供应商对账单!$G$4,采购进货!B157&lt;=供应商对账单!$I$4),采购进货!B157+ROW()/100000,"")</f>
      </c>
      <c r="J157">
        <f>IF(总览汇总!$B157="","",N(总览汇总!$K157)+SUMIFS(出库明细!$G$4:$G$3003,出库明细!$C$4:$C$3003,总览汇总!$B157,出库明细!$B$4:$B$3003,"&gt;="&amp;年初日,出库明细!$B$4:$B$3003,"&lt;="&amp;资产负债表!$D$3)-SUMIFS(资金台帐!$S$7:$S$3006,资金台帐!$J$7:$J$3006,总览汇总!$B157,资金台帐!$P$7:$P$3006,"应收",资金台帐!$B$7:$B$3006,"&gt;="&amp;年初日,资金台帐!$B$7:$B$3006,"&lt;="&amp;资产负债表!$D$3))</f>
      </c>
      <c r="N157">
        <f>IF(AND(ISNUMBER(出库明细!G157),ISNUMBER(出库明细!E157),ISNUMBER(出库明细!F157)),IF(ABS(出库明细!G157-出库明细!E157*出库明细!F157)&gt;0.005,1,0),0)</f>
        <v>0</v>
      </c>
      <c r="O157">
        <f>IF(AND(ISNUMBER(存条明细!G157),ISNUMBER(存条明细!E157),ISNUMBER(存条明细!F157)),IF(ABS(存条明细!G157-存条明细!E157*存条明细!F157)&gt;0.005,1,0),0)</f>
        <v>0</v>
      </c>
      <c r="AA157">
        <f>IF(基础资料!Q52="","",基础资料!Q52&amp;"")</f>
      </c>
      <c r="AC157">
        <f>IF(OR($AA157="",AC$5=""),0,SUMIF(INDIRECT("'"&amp;AC$5&amp;"'!B6:B1000"),$AA157,INDIRECT("'"&amp;AC$5&amp;"'!H6:H1000")))</f>
        <v>0</v>
      </c>
      <c r="AD157">
        <f>IF(OR($AA157="",AD$5=""),0,SUMIF(INDIRECT("'"&amp;AD$5&amp;"'!B6:B1000"),$AA157,INDIRECT("'"&amp;AD$5&amp;"'!H6:H1000")))</f>
        <v>0</v>
      </c>
      <c r="AE157">
        <f>IF(OR($AA157="",AE$5=""),0,SUMIF(INDIRECT("'"&amp;AE$5&amp;"'!B6:B1000"),$AA157,INDIRECT("'"&amp;AE$5&amp;"'!H6:H1000")))</f>
        <v>0</v>
      </c>
      <c r="AF157">
        <f>IF(OR($AA157="",AF$5=""),0,SUMIF(INDIRECT("'"&amp;AF$5&amp;"'!B6:B1000"),$AA157,INDIRECT("'"&amp;AF$5&amp;"'!H6:H1000")))</f>
        <v>0</v>
      </c>
      <c r="AG157">
        <f>IF(OR($AA157="",AG$5=""),0,SUMIF(INDIRECT("'"&amp;AG$5&amp;"'!B6:B1000"),$AA157,INDIRECT("'"&amp;AG$5&amp;"'!H6:H1000")))</f>
        <v>0</v>
      </c>
      <c r="AH157">
        <f>IF(OR($AA157="",AH$5=""),0,SUMIF(INDIRECT("'"&amp;AH$5&amp;"'!B6:B1000"),$AA157,INDIRECT("'"&amp;AH$5&amp;"'!H6:H1000")))</f>
        <v>0</v>
      </c>
      <c r="AI157">
        <f>IF(OR($AA157="",AI$5=""),0,SUMIF(INDIRECT("'"&amp;AI$5&amp;"'!B6:B1000"),$AA157,INDIRECT("'"&amp;AI$5&amp;"'!H6:H1000")))</f>
        <v>0</v>
      </c>
      <c r="AJ157">
        <f>IF(OR($AA157="",AJ$5=""),0,SUMIF(INDIRECT("'"&amp;AJ$5&amp;"'!B6:B1000"),$AA157,INDIRECT("'"&amp;AJ$5&amp;"'!H6:H1000")))</f>
        <v>0</v>
      </c>
      <c r="AK157">
        <f>IF(OR($AA157="",AK$5=""),0,SUMIF(INDIRECT("'"&amp;AK$5&amp;"'!B6:B1000"),$AA157,INDIRECT("'"&amp;AK$5&amp;"'!H6:H1000")))</f>
        <v>0</v>
      </c>
      <c r="AL157">
        <f>IF(OR($AA157="",AL$5=""),0,SUMIF(INDIRECT("'"&amp;AL$5&amp;"'!B6:B1000"),$AA157,INDIRECT("'"&amp;AL$5&amp;"'!H6:H1000")))</f>
        <v>0</v>
      </c>
      <c r="AM157">
        <f>IF(OR($AA157="",AM$5=""),0,SUMIF(INDIRECT("'"&amp;AM$5&amp;"'!B6:B1000"),$AA157,INDIRECT("'"&amp;AM$5&amp;"'!H6:H1000")))</f>
        <v>0</v>
      </c>
      <c r="AN157">
        <f>IF(OR($AA157="",AN$5=""),0,SUMIF(INDIRECT("'"&amp;AN$5&amp;"'!B6:B1000"),$AA157,INDIRECT("'"&amp;AN$5&amp;"'!H6:H1000")))</f>
        <v>0</v>
      </c>
      <c r="BY157">
        <f>SUMPRODUCT((($AC$4:$AN$4=报损汇总一览!$A$3)+(报损汇总一览!$A$3="全年"))*AC157:AN157)</f>
        <v>0</v>
      </c>
    </row>
    <row r="158">
      <c r="A158">
        <f>IF(OR(存条明细!C158="",存条明细!D158=""),"",IF(COUNTIFS(存条明细!$C$4:C158,存条明细!C158,存条明细!$D$4:D158,存条明细!D158)&gt;1,"",IFERROR(MATCH(存条明细!C158,总览汇总!$B$5:$B$304,0),900)*10000000+IFERROR(MATCH(存条明细!D158,基础资料!$E$5:$E$104,0),900)*10000+ROW()))</f>
        <v>490080158</v>
      </c>
      <c r="B158">
        <f>IFERROR(MATCH(SMALL($A$4:$A$4003,155),$A$4:$A$4003,0),"")</f>
        <v>140</v>
      </c>
      <c r="D158">
        <f>IF(AND(商品库存!B158&lt;&gt;"",商品库存!B158=客户查询!$B$4),COUNTIF(商品库存!$B$4:B158,客户查询!$B$4),"")</f>
      </c>
      <c r="E158">
        <f>IF(AND(商品库存!B158&lt;&gt;"",商品库存!B158=客户对账单!$B$4),COUNTIF(商品库存!$B$4:B158,客户对账单!$B$4),"")</f>
      </c>
      <c r="F158">
        <f>IF(AND(出库明细!C158&lt;&gt;"",出库明细!C158=客户对账单!$B$4,ISNUMBER(出库明细!B158),出库明细!B158&gt;=客户对账单!$G$4,出库明细!B158&lt;=客户对账单!$I$4),出库明细!B158+ROW()/100000,"")</f>
        <v>46225.00158</v>
      </c>
      <c r="H158">
        <f>IF(AND(采购进货!C158&lt;&gt;"",采购进货!C158=供应商对账单!$B$4,ISNUMBER(采购进货!B158),采购进货!B158&gt;=供应商对账单!$G$4,采购进货!B158&lt;=供应商对账单!$I$4),采购进货!B158+ROW()/100000,"")</f>
      </c>
      <c r="J158">
        <f>IF(总览汇总!$B158="","",N(总览汇总!$K158)+SUMIFS(出库明细!$G$4:$G$3003,出库明细!$C$4:$C$3003,总览汇总!$B158,出库明细!$B$4:$B$3003,"&gt;="&amp;年初日,出库明细!$B$4:$B$3003,"&lt;="&amp;资产负债表!$D$3)-SUMIFS(资金台帐!$S$7:$S$3006,资金台帐!$J$7:$J$3006,总览汇总!$B158,资金台帐!$P$7:$P$3006,"应收",资金台帐!$B$7:$B$3006,"&gt;="&amp;年初日,资金台帐!$B$7:$B$3006,"&lt;="&amp;资产负债表!$D$3))</f>
      </c>
      <c r="N158">
        <f>IF(AND(ISNUMBER(出库明细!G158),ISNUMBER(出库明细!E158),ISNUMBER(出库明细!F158)),IF(ABS(出库明细!G158-出库明细!E158*出库明细!F158)&gt;0.005,1,0),0)</f>
        <v>0</v>
      </c>
      <c r="O158">
        <f>IF(AND(ISNUMBER(存条明细!G158),ISNUMBER(存条明细!E158),ISNUMBER(存条明细!F158)),IF(ABS(存条明细!G158-存条明细!E158*存条明细!F158)&gt;0.005,1,0),0)</f>
        <v>0</v>
      </c>
      <c r="AA158">
        <f>IF(基础资料!Q53="","",基础资料!Q53&amp;"")</f>
      </c>
      <c r="AC158">
        <f>IF(OR($AA158="",AC$5=""),0,SUMIF(INDIRECT("'"&amp;AC$5&amp;"'!B6:B1000"),$AA158,INDIRECT("'"&amp;AC$5&amp;"'!H6:H1000")))</f>
        <v>0</v>
      </c>
      <c r="AD158">
        <f>IF(OR($AA158="",AD$5=""),0,SUMIF(INDIRECT("'"&amp;AD$5&amp;"'!B6:B1000"),$AA158,INDIRECT("'"&amp;AD$5&amp;"'!H6:H1000")))</f>
        <v>0</v>
      </c>
      <c r="AE158">
        <f>IF(OR($AA158="",AE$5=""),0,SUMIF(INDIRECT("'"&amp;AE$5&amp;"'!B6:B1000"),$AA158,INDIRECT("'"&amp;AE$5&amp;"'!H6:H1000")))</f>
        <v>0</v>
      </c>
      <c r="AF158">
        <f>IF(OR($AA158="",AF$5=""),0,SUMIF(INDIRECT("'"&amp;AF$5&amp;"'!B6:B1000"),$AA158,INDIRECT("'"&amp;AF$5&amp;"'!H6:H1000")))</f>
        <v>0</v>
      </c>
      <c r="AG158">
        <f>IF(OR($AA158="",AG$5=""),0,SUMIF(INDIRECT("'"&amp;AG$5&amp;"'!B6:B1000"),$AA158,INDIRECT("'"&amp;AG$5&amp;"'!H6:H1000")))</f>
        <v>0</v>
      </c>
      <c r="AH158">
        <f>IF(OR($AA158="",AH$5=""),0,SUMIF(INDIRECT("'"&amp;AH$5&amp;"'!B6:B1000"),$AA158,INDIRECT("'"&amp;AH$5&amp;"'!H6:H1000")))</f>
        <v>0</v>
      </c>
      <c r="AI158">
        <f>IF(OR($AA158="",AI$5=""),0,SUMIF(INDIRECT("'"&amp;AI$5&amp;"'!B6:B1000"),$AA158,INDIRECT("'"&amp;AI$5&amp;"'!H6:H1000")))</f>
        <v>0</v>
      </c>
      <c r="AJ158">
        <f>IF(OR($AA158="",AJ$5=""),0,SUMIF(INDIRECT("'"&amp;AJ$5&amp;"'!B6:B1000"),$AA158,INDIRECT("'"&amp;AJ$5&amp;"'!H6:H1000")))</f>
        <v>0</v>
      </c>
      <c r="AK158">
        <f>IF(OR($AA158="",AK$5=""),0,SUMIF(INDIRECT("'"&amp;AK$5&amp;"'!B6:B1000"),$AA158,INDIRECT("'"&amp;AK$5&amp;"'!H6:H1000")))</f>
        <v>0</v>
      </c>
      <c r="AL158">
        <f>IF(OR($AA158="",AL$5=""),0,SUMIF(INDIRECT("'"&amp;AL$5&amp;"'!B6:B1000"),$AA158,INDIRECT("'"&amp;AL$5&amp;"'!H6:H1000")))</f>
        <v>0</v>
      </c>
      <c r="AM158">
        <f>IF(OR($AA158="",AM$5=""),0,SUMIF(INDIRECT("'"&amp;AM$5&amp;"'!B6:B1000"),$AA158,INDIRECT("'"&amp;AM$5&amp;"'!H6:H1000")))</f>
        <v>0</v>
      </c>
      <c r="AN158">
        <f>IF(OR($AA158="",AN$5=""),0,SUMIF(INDIRECT("'"&amp;AN$5&amp;"'!B6:B1000"),$AA158,INDIRECT("'"&amp;AN$5&amp;"'!H6:H1000")))</f>
        <v>0</v>
      </c>
      <c r="BY158">
        <f>SUMPRODUCT((($AC$4:$AN$4=报损汇总一览!$A$3)+(报损汇总一览!$A$3="全年"))*AC158:AN158)</f>
        <v>0</v>
      </c>
    </row>
    <row r="159">
      <c r="A159">
        <f>IF(OR(存条明细!C159="",存条明细!D159=""),"",IF(COUNTIFS(存条明细!$C$4:C159,存条明细!C159,存条明细!$D$4:D159,存条明细!D159)&gt;1,"",IFERROR(MATCH(存条明细!C159,总览汇总!$B$5:$B$304,0),900)*10000000+IFERROR(MATCH(存条明细!D159,基础资料!$E$5:$E$104,0),900)*10000+ROW()))</f>
        <v>490050159</v>
      </c>
      <c r="B159">
        <f>IFERROR(MATCH(SMALL($A$4:$A$4003,156),$A$4:$A$4003,0),"")</f>
        <v>143</v>
      </c>
      <c r="D159">
        <f>IF(AND(商品库存!B159&lt;&gt;"",商品库存!B159=客户查询!$B$4),COUNTIF(商品库存!$B$4:B159,客户查询!$B$4),"")</f>
      </c>
      <c r="E159">
        <f>IF(AND(商品库存!B159&lt;&gt;"",商品库存!B159=客户对账单!$B$4),COUNTIF(商品库存!$B$4:B159,客户对账单!$B$4),"")</f>
      </c>
      <c r="F159">
        <f>IF(AND(出库明细!C159&lt;&gt;"",出库明细!C159=客户对账单!$B$4,ISNUMBER(出库明细!B159),出库明细!B159&gt;=客户对账单!$G$4,出库明细!B159&lt;=客户对账单!$I$4),出库明细!B159+ROW()/100000,"")</f>
        <v>46225.00159</v>
      </c>
      <c r="H159">
        <f>IF(AND(采购进货!C159&lt;&gt;"",采购进货!C159=供应商对账单!$B$4,ISNUMBER(采购进货!B159),采购进货!B159&gt;=供应商对账单!$G$4,采购进货!B159&lt;=供应商对账单!$I$4),采购进货!B159+ROW()/100000,"")</f>
      </c>
      <c r="J159">
        <f>IF(总览汇总!$B159="","",N(总览汇总!$K159)+SUMIFS(出库明细!$G$4:$G$3003,出库明细!$C$4:$C$3003,总览汇总!$B159,出库明细!$B$4:$B$3003,"&gt;="&amp;年初日,出库明细!$B$4:$B$3003,"&lt;="&amp;资产负债表!$D$3)-SUMIFS(资金台帐!$S$7:$S$3006,资金台帐!$J$7:$J$3006,总览汇总!$B159,资金台帐!$P$7:$P$3006,"应收",资金台帐!$B$7:$B$3006,"&gt;="&amp;年初日,资金台帐!$B$7:$B$3006,"&lt;="&amp;资产负债表!$D$3))</f>
      </c>
      <c r="N159">
        <f>IF(AND(ISNUMBER(出库明细!G159),ISNUMBER(出库明细!E159),ISNUMBER(出库明细!F159)),IF(ABS(出库明细!G159-出库明细!E159*出库明细!F159)&gt;0.005,1,0),0)</f>
        <v>0</v>
      </c>
      <c r="O159">
        <f>IF(AND(ISNUMBER(存条明细!G159),ISNUMBER(存条明细!E159),ISNUMBER(存条明细!F159)),IF(ABS(存条明细!G159-存条明细!E159*存条明细!F159)&gt;0.005,1,0),0)</f>
        <v>0</v>
      </c>
      <c r="AA159">
        <f>IF(基础资料!Q54="","",基础资料!Q54&amp;"")</f>
      </c>
      <c r="AC159">
        <f>IF(OR($AA159="",AC$5=""),0,SUMIF(INDIRECT("'"&amp;AC$5&amp;"'!B6:B1000"),$AA159,INDIRECT("'"&amp;AC$5&amp;"'!H6:H1000")))</f>
        <v>0</v>
      </c>
      <c r="AD159">
        <f>IF(OR($AA159="",AD$5=""),0,SUMIF(INDIRECT("'"&amp;AD$5&amp;"'!B6:B1000"),$AA159,INDIRECT("'"&amp;AD$5&amp;"'!H6:H1000")))</f>
        <v>0</v>
      </c>
      <c r="AE159">
        <f>IF(OR($AA159="",AE$5=""),0,SUMIF(INDIRECT("'"&amp;AE$5&amp;"'!B6:B1000"),$AA159,INDIRECT("'"&amp;AE$5&amp;"'!H6:H1000")))</f>
        <v>0</v>
      </c>
      <c r="AF159">
        <f>IF(OR($AA159="",AF$5=""),0,SUMIF(INDIRECT("'"&amp;AF$5&amp;"'!B6:B1000"),$AA159,INDIRECT("'"&amp;AF$5&amp;"'!H6:H1000")))</f>
        <v>0</v>
      </c>
      <c r="AG159">
        <f>IF(OR($AA159="",AG$5=""),0,SUMIF(INDIRECT("'"&amp;AG$5&amp;"'!B6:B1000"),$AA159,INDIRECT("'"&amp;AG$5&amp;"'!H6:H1000")))</f>
        <v>0</v>
      </c>
      <c r="AH159">
        <f>IF(OR($AA159="",AH$5=""),0,SUMIF(INDIRECT("'"&amp;AH$5&amp;"'!B6:B1000"),$AA159,INDIRECT("'"&amp;AH$5&amp;"'!H6:H1000")))</f>
        <v>0</v>
      </c>
      <c r="AI159">
        <f>IF(OR($AA159="",AI$5=""),0,SUMIF(INDIRECT("'"&amp;AI$5&amp;"'!B6:B1000"),$AA159,INDIRECT("'"&amp;AI$5&amp;"'!H6:H1000")))</f>
        <v>0</v>
      </c>
      <c r="AJ159">
        <f>IF(OR($AA159="",AJ$5=""),0,SUMIF(INDIRECT("'"&amp;AJ$5&amp;"'!B6:B1000"),$AA159,INDIRECT("'"&amp;AJ$5&amp;"'!H6:H1000")))</f>
        <v>0</v>
      </c>
      <c r="AK159">
        <f>IF(OR($AA159="",AK$5=""),0,SUMIF(INDIRECT("'"&amp;AK$5&amp;"'!B6:B1000"),$AA159,INDIRECT("'"&amp;AK$5&amp;"'!H6:H1000")))</f>
        <v>0</v>
      </c>
      <c r="AL159">
        <f>IF(OR($AA159="",AL$5=""),0,SUMIF(INDIRECT("'"&amp;AL$5&amp;"'!B6:B1000"),$AA159,INDIRECT("'"&amp;AL$5&amp;"'!H6:H1000")))</f>
        <v>0</v>
      </c>
      <c r="AM159">
        <f>IF(OR($AA159="",AM$5=""),0,SUMIF(INDIRECT("'"&amp;AM$5&amp;"'!B6:B1000"),$AA159,INDIRECT("'"&amp;AM$5&amp;"'!H6:H1000")))</f>
        <v>0</v>
      </c>
      <c r="AN159">
        <f>IF(OR($AA159="",AN$5=""),0,SUMIF(INDIRECT("'"&amp;AN$5&amp;"'!B6:B1000"),$AA159,INDIRECT("'"&amp;AN$5&amp;"'!H6:H1000")))</f>
        <v>0</v>
      </c>
      <c r="BY159">
        <f>SUMPRODUCT((($AC$4:$AN$4=报损汇总一览!$A$3)+(报损汇总一览!$A$3="全年"))*AC159:AN159)</f>
        <v>0</v>
      </c>
    </row>
    <row r="160">
      <c r="A160">
        <f>IF(OR(存条明细!C160="",存条明细!D160=""),"",IF(COUNTIFS(存条明细!$C$4:C160,存条明细!C160,存条明细!$D$4:D160,存条明细!D160)&gt;1,"",IFERROR(MATCH(存条明细!C160,总览汇总!$B$5:$B$304,0),900)*10000000+IFERROR(MATCH(存条明细!D160,基础资料!$E$5:$E$104,0),900)*10000+ROW()))</f>
        <v>500010160</v>
      </c>
      <c r="B160">
        <f>IFERROR(MATCH(SMALL($A$4:$A$4003,157),$A$4:$A$4003,0),"")</f>
        <v>1222</v>
      </c>
      <c r="D160">
        <f>IF(AND(商品库存!B160&lt;&gt;"",商品库存!B160=客户查询!$B$4),COUNTIF(商品库存!$B$4:B160,客户查询!$B$4),"")</f>
      </c>
      <c r="E160">
        <f>IF(AND(商品库存!B160&lt;&gt;"",商品库存!B160=客户对账单!$B$4),COUNTIF(商品库存!$B$4:B160,客户对账单!$B$4),"")</f>
      </c>
      <c r="F160">
        <f>IF(AND(出库明细!C160&lt;&gt;"",出库明细!C160=客户对账单!$B$4,ISNUMBER(出库明细!B160),出库明细!B160&gt;=客户对账单!$G$4,出库明细!B160&lt;=客户对账单!$I$4),出库明细!B160+ROW()/100000,"")</f>
        <v>46225.0016</v>
      </c>
      <c r="H160">
        <f>IF(AND(采购进货!C160&lt;&gt;"",采购进货!C160=供应商对账单!$B$4,ISNUMBER(采购进货!B160),采购进货!B160&gt;=供应商对账单!$G$4,采购进货!B160&lt;=供应商对账单!$I$4),采购进货!B160+ROW()/100000,"")</f>
      </c>
      <c r="J160">
        <f>IF(总览汇总!$B160="","",N(总览汇总!$K160)+SUMIFS(出库明细!$G$4:$G$3003,出库明细!$C$4:$C$3003,总览汇总!$B160,出库明细!$B$4:$B$3003,"&gt;="&amp;年初日,出库明细!$B$4:$B$3003,"&lt;="&amp;资产负债表!$D$3)-SUMIFS(资金台帐!$S$7:$S$3006,资金台帐!$J$7:$J$3006,总览汇总!$B160,资金台帐!$P$7:$P$3006,"应收",资金台帐!$B$7:$B$3006,"&gt;="&amp;年初日,资金台帐!$B$7:$B$3006,"&lt;="&amp;资产负债表!$D$3))</f>
      </c>
      <c r="N160">
        <f>IF(AND(ISNUMBER(出库明细!G160),ISNUMBER(出库明细!E160),ISNUMBER(出库明细!F160)),IF(ABS(出库明细!G160-出库明细!E160*出库明细!F160)&gt;0.005,1,0),0)</f>
        <v>0</v>
      </c>
      <c r="O160">
        <f>IF(AND(ISNUMBER(存条明细!G160),ISNUMBER(存条明细!E160),ISNUMBER(存条明细!F160)),IF(ABS(存条明细!G160-存条明细!E160*存条明细!F160)&gt;0.005,1,0),0)</f>
        <v>0</v>
      </c>
    </row>
    <row r="161">
      <c r="A161">
        <f>IF(OR(存条明细!C161="",存条明细!D161=""),"",IF(COUNTIFS(存条明细!$C$4:C161,存条明细!C161,存条明细!$D$4:D161,存条明细!D161)&gt;1,"",IFERROR(MATCH(存条明细!C161,总览汇总!$B$5:$B$304,0),900)*10000000+IFERROR(MATCH(存条明细!D161,基础资料!$E$5:$E$104,0),900)*10000+ROW()))</f>
        <v>510010161</v>
      </c>
      <c r="B161">
        <f>IFERROR(MATCH(SMALL($A$4:$A$4003,158),$A$4:$A$4003,0),"")</f>
        <v>144</v>
      </c>
      <c r="D161">
        <f>IF(AND(商品库存!B161&lt;&gt;"",商品库存!B161=客户查询!$B$4),COUNTIF(商品库存!$B$4:B161,客户查询!$B$4),"")</f>
      </c>
      <c r="E161">
        <f>IF(AND(商品库存!B161&lt;&gt;"",商品库存!B161=客户对账单!$B$4),COUNTIF(商品库存!$B$4:B161,客户对账单!$B$4),"")</f>
      </c>
      <c r="F161">
        <f>IF(AND(出库明细!C161&lt;&gt;"",出库明细!C161=客户对账单!$B$4,ISNUMBER(出库明细!B161),出库明细!B161&gt;=客户对账单!$G$4,出库明细!B161&lt;=客户对账单!$I$4),出库明细!B161+ROW()/100000,"")</f>
        <v>46225.00161</v>
      </c>
      <c r="H161">
        <f>IF(AND(采购进货!C161&lt;&gt;"",采购进货!C161=供应商对账单!$B$4,ISNUMBER(采购进货!B161),采购进货!B161&gt;=供应商对账单!$G$4,采购进货!B161&lt;=供应商对账单!$I$4),采购进货!B161+ROW()/100000,"")</f>
      </c>
      <c r="J161">
        <f>IF(总览汇总!$B161="","",N(总览汇总!$K161)+SUMIFS(出库明细!$G$4:$G$3003,出库明细!$C$4:$C$3003,总览汇总!$B161,出库明细!$B$4:$B$3003,"&gt;="&amp;年初日,出库明细!$B$4:$B$3003,"&lt;="&amp;资产负债表!$D$3)-SUMIFS(资金台帐!$S$7:$S$3006,资金台帐!$J$7:$J$3006,总览汇总!$B161,资金台帐!$P$7:$P$3006,"应收",资金台帐!$B$7:$B$3006,"&gt;="&amp;年初日,资金台帐!$B$7:$B$3006,"&lt;="&amp;资产负债表!$D$3))</f>
      </c>
      <c r="N161">
        <f>IF(AND(ISNUMBER(出库明细!G161),ISNUMBER(出库明细!E161),ISNUMBER(出库明细!F161)),IF(ABS(出库明细!G161-出库明细!E161*出库明细!F161)&gt;0.005,1,0),0)</f>
        <v>0</v>
      </c>
      <c r="O161">
        <f>IF(AND(ISNUMBER(存条明细!G161),ISNUMBER(存条明细!E161),ISNUMBER(存条明细!F161)),IF(ABS(存条明细!G161-存条明细!E161*存条明细!F161)&gt;0.005,1,0),0)</f>
        <v>0</v>
      </c>
    </row>
    <row r="162">
      <c r="A162">
        <f>IF(OR(存条明细!C162="",存条明细!D162=""),"",IF(COUNTIFS(存条明细!$C$4:C162,存条明细!C162,存条明细!$D$4:D162,存条明细!D162)&gt;1,"",IFERROR(MATCH(存条明细!C162,总览汇总!$B$5:$B$304,0),900)*10000000+IFERROR(MATCH(存条明细!D162,基础资料!$E$5:$E$104,0),900)*10000+ROW()))</f>
        <v>520010162</v>
      </c>
      <c r="B162">
        <f>IFERROR(MATCH(SMALL($A$4:$A$4003,159),$A$4:$A$4003,0),"")</f>
        <v>146</v>
      </c>
      <c r="D162">
        <f>IF(AND(商品库存!B162&lt;&gt;"",商品库存!B162=客户查询!$B$4),COUNTIF(商品库存!$B$4:B162,客户查询!$B$4),"")</f>
      </c>
      <c r="E162">
        <f>IF(AND(商品库存!B162&lt;&gt;"",商品库存!B162=客户对账单!$B$4),COUNTIF(商品库存!$B$4:B162,客户对账单!$B$4),"")</f>
      </c>
      <c r="F162">
        <f>IF(AND(出库明细!C162&lt;&gt;"",出库明细!C162=客户对账单!$B$4,ISNUMBER(出库明细!B162),出库明细!B162&gt;=客户对账单!$G$4,出库明细!B162&lt;=客户对账单!$I$4),出库明细!B162+ROW()/100000,"")</f>
        <v>46225.00162</v>
      </c>
      <c r="H162">
        <f>IF(AND(采购进货!C162&lt;&gt;"",采购进货!C162=供应商对账单!$B$4,ISNUMBER(采购进货!B162),采购进货!B162&gt;=供应商对账单!$G$4,采购进货!B162&lt;=供应商对账单!$I$4),采购进货!B162+ROW()/100000,"")</f>
      </c>
      <c r="J162">
        <f>IF(总览汇总!$B162="","",N(总览汇总!$K162)+SUMIFS(出库明细!$G$4:$G$3003,出库明细!$C$4:$C$3003,总览汇总!$B162,出库明细!$B$4:$B$3003,"&gt;="&amp;年初日,出库明细!$B$4:$B$3003,"&lt;="&amp;资产负债表!$D$3)-SUMIFS(资金台帐!$S$7:$S$3006,资金台帐!$J$7:$J$3006,总览汇总!$B162,资金台帐!$P$7:$P$3006,"应收",资金台帐!$B$7:$B$3006,"&gt;="&amp;年初日,资金台帐!$B$7:$B$3006,"&lt;="&amp;资产负债表!$D$3))</f>
      </c>
      <c r="N162">
        <f>IF(AND(ISNUMBER(出库明细!G162),ISNUMBER(出库明细!E162),ISNUMBER(出库明细!F162)),IF(ABS(出库明细!G162-出库明细!E162*出库明细!F162)&gt;0.005,1,0),0)</f>
        <v>0</v>
      </c>
      <c r="O162">
        <f>IF(AND(ISNUMBER(存条明细!G162),ISNUMBER(存条明细!E162),ISNUMBER(存条明细!F162)),IF(ABS(存条明细!G162-存条明细!E162*存条明细!F162)&gt;0.005,1,0),0)</f>
        <v>0</v>
      </c>
      <c r="AA162" t="inlineStr">
        <is>
          <t>每月报损总金额</t>
        </is>
      </c>
      <c r="AC162">
        <f>IF(AC$5="",0,SUMIF(INDIRECT("'"&amp;AC$5&amp;"'!B6:B1000"),"&lt;&gt;",INDIRECT("'"&amp;AC$5&amp;"'!H6:H1000")))</f>
        <v>0</v>
      </c>
      <c r="AD162">
        <f>IF(AD$5="",0,SUMIF(INDIRECT("'"&amp;AD$5&amp;"'!B6:B1000"),"&lt;&gt;",INDIRECT("'"&amp;AD$5&amp;"'!H6:H1000")))</f>
        <v>0</v>
      </c>
      <c r="AE162">
        <f>IF(AE$5="",0,SUMIF(INDIRECT("'"&amp;AE$5&amp;"'!B6:B1000"),"&lt;&gt;",INDIRECT("'"&amp;AE$5&amp;"'!H6:H1000")))</f>
        <v>0</v>
      </c>
      <c r="AF162">
        <f>IF(AF$5="",0,SUMIF(INDIRECT("'"&amp;AF$5&amp;"'!B6:B1000"),"&lt;&gt;",INDIRECT("'"&amp;AF$5&amp;"'!H6:H1000")))</f>
        <v>0</v>
      </c>
      <c r="AG162">
        <f>IF(AG$5="",0,SUMIF(INDIRECT("'"&amp;AG$5&amp;"'!B6:B1000"),"&lt;&gt;",INDIRECT("'"&amp;AG$5&amp;"'!H6:H1000")))</f>
        <v>0</v>
      </c>
      <c r="AH162">
        <f>IF(AH$5="",0,SUMIF(INDIRECT("'"&amp;AH$5&amp;"'!B6:B1000"),"&lt;&gt;",INDIRECT("'"&amp;AH$5&amp;"'!H6:H1000")))</f>
        <v>6432.565</v>
      </c>
      <c r="AI162">
        <f>IF(AI$5="",0,SUMIF(INDIRECT("'"&amp;AI$5&amp;"'!B6:B1000"),"&lt;&gt;",INDIRECT("'"&amp;AI$5&amp;"'!H6:H1000")))</f>
        <v>185.455</v>
      </c>
      <c r="AJ162">
        <f>IF(AJ$5="",0,SUMIF(INDIRECT("'"&amp;AJ$5&amp;"'!B6:B1000"),"&lt;&gt;",INDIRECT("'"&amp;AJ$5&amp;"'!H6:H1000")))</f>
        <v>11037.195536</v>
      </c>
      <c r="AK162">
        <f>IF(AK$5="",0,SUMIF(INDIRECT("'"&amp;AK$5&amp;"'!B6:B1000"),"&lt;&gt;",INDIRECT("'"&amp;AK$5&amp;"'!H6:H1000")))</f>
        <v>0</v>
      </c>
      <c r="AL162">
        <f>IF(AL$5="",0,SUMIF(INDIRECT("'"&amp;AL$5&amp;"'!B6:B1000"),"&lt;&gt;",INDIRECT("'"&amp;AL$5&amp;"'!H6:H1000")))</f>
        <v>0</v>
      </c>
      <c r="AM162">
        <f>IF(AM$5="",0,SUMIF(INDIRECT("'"&amp;AM$5&amp;"'!B6:B1000"),"&lt;&gt;",INDIRECT("'"&amp;AM$5&amp;"'!H6:H1000")))</f>
        <v>0</v>
      </c>
      <c r="AN162">
        <f>IF(AN$5="",0,SUMIF(INDIRECT("'"&amp;AN$5&amp;"'!B6:B1000"),"&lt;&gt;",INDIRECT("'"&amp;AN$5&amp;"'!H6:H1000")))</f>
        <v>0</v>
      </c>
      <c r="BY162">
        <f>SUMPRODUCT((($AC$4:$AN$4=报损汇总一览!$A$3)+(报损汇总一览!$A$3="全年"))*AC162:AN162)</f>
        <v>17655.215536</v>
      </c>
    </row>
    <row r="163">
      <c r="A163">
        <f>IF(OR(存条明细!C163="",存条明细!D163=""),"",IF(COUNTIFS(存条明细!$C$4:C163,存条明细!C163,存条明细!$D$4:D163,存条明细!D163)&gt;1,"",IFERROR(MATCH(存条明细!C163,总览汇总!$B$5:$B$304,0),900)*10000000+IFERROR(MATCH(存条明细!D163,基础资料!$E$5:$E$104,0),900)*10000+ROW()))</f>
        <v>530010163</v>
      </c>
      <c r="B163">
        <f>IFERROR(MATCH(SMALL($A$4:$A$4003,160),$A$4:$A$4003,0),"")</f>
        <v>145</v>
      </c>
      <c r="D163">
        <f>IF(AND(商品库存!B163&lt;&gt;"",商品库存!B163=客户查询!$B$4),COUNTIF(商品库存!$B$4:B163,客户查询!$B$4),"")</f>
      </c>
      <c r="E163">
        <f>IF(AND(商品库存!B163&lt;&gt;"",商品库存!B163=客户对账单!$B$4),COUNTIF(商品库存!$B$4:B163,客户对账单!$B$4),"")</f>
      </c>
      <c r="F163">
        <f>IF(AND(出库明细!C163&lt;&gt;"",出库明细!C163=客户对账单!$B$4,ISNUMBER(出库明细!B163),出库明细!B163&gt;=客户对账单!$G$4,出库明细!B163&lt;=客户对账单!$I$4),出库明细!B163+ROW()/100000,"")</f>
      </c>
      <c r="H163">
        <f>IF(AND(采购进货!C163&lt;&gt;"",采购进货!C163=供应商对账单!$B$4,ISNUMBER(采购进货!B163),采购进货!B163&gt;=供应商对账单!$G$4,采购进货!B163&lt;=供应商对账单!$I$4),采购进货!B163+ROW()/100000,"")</f>
      </c>
      <c r="J163">
        <f>IF(总览汇总!$B163="","",N(总览汇总!$K163)+SUMIFS(出库明细!$G$4:$G$3003,出库明细!$C$4:$C$3003,总览汇总!$B163,出库明细!$B$4:$B$3003,"&gt;="&amp;年初日,出库明细!$B$4:$B$3003,"&lt;="&amp;资产负债表!$D$3)-SUMIFS(资金台帐!$S$7:$S$3006,资金台帐!$J$7:$J$3006,总览汇总!$B163,资金台帐!$P$7:$P$3006,"应收",资金台帐!$B$7:$B$3006,"&gt;="&amp;年初日,资金台帐!$B$7:$B$3006,"&lt;="&amp;资产负债表!$D$3))</f>
      </c>
      <c r="N163">
        <f>IF(AND(ISNUMBER(出库明细!G163),ISNUMBER(出库明细!E163),ISNUMBER(出库明细!F163)),IF(ABS(出库明细!G163-出库明细!E163*出库明细!F163)&gt;0.005,1,0),0)</f>
        <v>0</v>
      </c>
      <c r="O163">
        <f>IF(AND(ISNUMBER(存条明细!G163),ISNUMBER(存条明细!E163),ISNUMBER(存条明细!F163)),IF(ABS(存条明细!G163-存条明细!E163*存条明细!F163)&gt;0.005,1,0),0)</f>
        <v>0</v>
      </c>
      <c r="AA163" t="inlineStr">
        <is>
          <t>每月报损总数量</t>
        </is>
      </c>
      <c r="AC163">
        <f>IF(AC$5="",0,SUMIF(INDIRECT("'"&amp;AC$5&amp;"'!B6:B1000"),"&lt;&gt;",INDIRECT("'"&amp;AC$5&amp;"'!E6:E1000")))</f>
        <v>0</v>
      </c>
      <c r="AD163">
        <f>IF(AD$5="",0,SUMIF(INDIRECT("'"&amp;AD$5&amp;"'!B6:B1000"),"&lt;&gt;",INDIRECT("'"&amp;AD$5&amp;"'!E6:E1000")))</f>
        <v>0</v>
      </c>
      <c r="AE163">
        <f>IF(AE$5="",0,SUMIF(INDIRECT("'"&amp;AE$5&amp;"'!B6:B1000"),"&lt;&gt;",INDIRECT("'"&amp;AE$5&amp;"'!E6:E1000")))</f>
        <v>0</v>
      </c>
      <c r="AF163">
        <f>IF(AF$5="",0,SUMIF(INDIRECT("'"&amp;AF$5&amp;"'!B6:B1000"),"&lt;&gt;",INDIRECT("'"&amp;AF$5&amp;"'!E6:E1000")))</f>
        <v>0</v>
      </c>
      <c r="AG163">
        <f>IF(AG$5="",0,SUMIF(INDIRECT("'"&amp;AG$5&amp;"'!B6:B1000"),"&lt;&gt;",INDIRECT("'"&amp;AG$5&amp;"'!E6:E1000")))</f>
        <v>0</v>
      </c>
      <c r="AH163">
        <f>IF(AH$5="",0,SUMIF(INDIRECT("'"&amp;AH$5&amp;"'!B6:B1000"),"&lt;&gt;",INDIRECT("'"&amp;AH$5&amp;"'!E6:E1000")))</f>
        <v>2359</v>
      </c>
      <c r="AI163">
        <f>IF(AI$5="",0,SUMIF(INDIRECT("'"&amp;AI$5&amp;"'!B6:B1000"),"&lt;&gt;",INDIRECT("'"&amp;AI$5&amp;"'!E6:E1000")))</f>
        <v>62</v>
      </c>
      <c r="AJ163">
        <f>IF(AJ$5="",0,SUMIF(INDIRECT("'"&amp;AJ$5&amp;"'!B6:B1000"),"&lt;&gt;",INDIRECT("'"&amp;AJ$5&amp;"'!E6:E1000")))</f>
        <v>6456</v>
      </c>
      <c r="AK163">
        <f>IF(AK$5="",0,SUMIF(INDIRECT("'"&amp;AK$5&amp;"'!B6:B1000"),"&lt;&gt;",INDIRECT("'"&amp;AK$5&amp;"'!E6:E1000")))</f>
        <v>0</v>
      </c>
      <c r="AL163">
        <f>IF(AL$5="",0,SUMIF(INDIRECT("'"&amp;AL$5&amp;"'!B6:B1000"),"&lt;&gt;",INDIRECT("'"&amp;AL$5&amp;"'!E6:E1000")))</f>
        <v>0</v>
      </c>
      <c r="AM163">
        <f>IF(AM$5="",0,SUMIF(INDIRECT("'"&amp;AM$5&amp;"'!B6:B1000"),"&lt;&gt;",INDIRECT("'"&amp;AM$5&amp;"'!E6:E1000")))</f>
        <v>0</v>
      </c>
      <c r="AN163">
        <f>IF(AN$5="",0,SUMIF(INDIRECT("'"&amp;AN$5&amp;"'!B6:B1000"),"&lt;&gt;",INDIRECT("'"&amp;AN$5&amp;"'!E6:E1000")))</f>
        <v>0</v>
      </c>
      <c r="BY163">
        <f>SUMPRODUCT((($AC$4:$AN$4=报损汇总一览!$A$3)+(报损汇总一览!$A$3="全年"))*AC163:AN163)</f>
        <v>8877</v>
      </c>
    </row>
    <row r="164">
      <c r="A164">
        <f>IF(OR(存条明细!C164="",存条明细!D164=""),"",IF(COUNTIFS(存条明细!$C$4:C164,存条明细!C164,存条明细!$D$4:D164,存条明细!D164)&gt;1,"",IFERROR(MATCH(存条明细!C164,总览汇总!$B$5:$B$304,0),900)*10000000+IFERROR(MATCH(存条明细!D164,基础资料!$E$5:$E$104,0),900)*10000+ROW()))</f>
        <v>530030164</v>
      </c>
      <c r="B164">
        <f>IFERROR(MATCH(SMALL($A$4:$A$4003,161),$A$4:$A$4003,0),"")</f>
        <v>101</v>
      </c>
      <c r="D164">
        <f>IF(AND(商品库存!B164&lt;&gt;"",商品库存!B164=客户查询!$B$4),COUNTIF(商品库存!$B$4:B164,客户查询!$B$4),"")</f>
      </c>
      <c r="E164">
        <f>IF(AND(商品库存!B164&lt;&gt;"",商品库存!B164=客户对账单!$B$4),COUNTIF(商品库存!$B$4:B164,客户对账单!$B$4),"")</f>
      </c>
      <c r="F164">
        <f>IF(AND(出库明细!C164&lt;&gt;"",出库明细!C164=客户对账单!$B$4,ISNUMBER(出库明细!B164),出库明细!B164&gt;=客户对账单!$G$4,出库明细!B164&lt;=客户对账单!$I$4),出库明细!B164+ROW()/100000,"")</f>
      </c>
      <c r="H164">
        <f>IF(AND(采购进货!C164&lt;&gt;"",采购进货!C164=供应商对账单!$B$4,ISNUMBER(采购进货!B164),采购进货!B164&gt;=供应商对账单!$G$4,采购进货!B164&lt;=供应商对账单!$I$4),采购进货!B164+ROW()/100000,"")</f>
      </c>
      <c r="J164">
        <f>IF(总览汇总!$B164="","",N(总览汇总!$K164)+SUMIFS(出库明细!$G$4:$G$3003,出库明细!$C$4:$C$3003,总览汇总!$B164,出库明细!$B$4:$B$3003,"&gt;="&amp;年初日,出库明细!$B$4:$B$3003,"&lt;="&amp;资产负债表!$D$3)-SUMIFS(资金台帐!$S$7:$S$3006,资金台帐!$J$7:$J$3006,总览汇总!$B164,资金台帐!$P$7:$P$3006,"应收",资金台帐!$B$7:$B$3006,"&gt;="&amp;年初日,资金台帐!$B$7:$B$3006,"&lt;="&amp;资产负债表!$D$3))</f>
      </c>
      <c r="N164">
        <f>IF(AND(ISNUMBER(出库明细!G164),ISNUMBER(出库明细!E164),ISNUMBER(出库明细!F164)),IF(ABS(出库明细!G164-出库明细!E164*出库明细!F164)&gt;0.005,1,0),0)</f>
        <v>0</v>
      </c>
      <c r="O164">
        <f>IF(AND(ISNUMBER(存条明细!G164),ISNUMBER(存条明细!E164),ISNUMBER(存条明细!F164)),IF(ABS(存条明细!G164-存条明细!E164*存条明细!F164)&gt;0.005,1,0),0)</f>
        <v>0</v>
      </c>
      <c r="AA164" t="inlineStr">
        <is>
          <t>没对上商品档案的金额</t>
        </is>
      </c>
      <c r="AC164">
        <f>AC162-SUM(AC6:AC105)</f>
        <v>0</v>
      </c>
      <c r="AD164">
        <f>AD162-SUM(AD6:AD105)</f>
        <v>0</v>
      </c>
      <c r="AE164">
        <f>AE162-SUM(AE6:AE105)</f>
        <v>0</v>
      </c>
      <c r="AF164">
        <f>AF162-SUM(AF6:AF105)</f>
        <v>0</v>
      </c>
      <c r="AG164">
        <f>AG162-SUM(AG6:AG105)</f>
        <v>0</v>
      </c>
      <c r="AH164">
        <f>AH162-SUM(AH6:AH105)</f>
        <v>0</v>
      </c>
      <c r="AI164">
        <f>AI162-SUM(AI6:AI105)</f>
        <v>0</v>
      </c>
      <c r="AJ164">
        <f>AJ162-SUM(AJ6:AJ105)</f>
        <v>0</v>
      </c>
      <c r="AK164">
        <f>AK162-SUM(AK6:AK105)</f>
        <v>0</v>
      </c>
      <c r="AL164">
        <f>AL162-SUM(AL6:AL105)</f>
        <v>0</v>
      </c>
      <c r="AM164">
        <f>AM162-SUM(AM6:AM105)</f>
        <v>0</v>
      </c>
      <c r="AN164">
        <f>AN162-SUM(AN6:AN105)</f>
        <v>0</v>
      </c>
      <c r="BY164">
        <f>SUMPRODUCT((($AC$4:$AN$4=报损汇总一览!$A$3)+(报损汇总一览!$A$3="全年"))*AC164:AN164)</f>
        <v>0</v>
      </c>
    </row>
    <row r="165">
      <c r="A165">
        <f>IF(OR(存条明细!C165="",存条明细!D165=""),"",IF(COUNTIFS(存条明细!$C$4:C165,存条明细!C165,存条明细!$D$4:D165,存条明细!D165)&gt;1,"",IFERROR(MATCH(存条明细!C165,总览汇总!$B$5:$B$304,0),900)*10000000+IFERROR(MATCH(存条明细!D165,基础资料!$E$5:$E$104,0),900)*10000+ROW()))</f>
        <v>540010165</v>
      </c>
      <c r="B165">
        <f>IFERROR(MATCH(SMALL($A$4:$A$4003,162),$A$4:$A$4003,0),"")</f>
        <v>102</v>
      </c>
      <c r="D165">
        <f>IF(AND(商品库存!B165&lt;&gt;"",商品库存!B165=客户查询!$B$4),COUNTIF(商品库存!$B$4:B165,客户查询!$B$4),"")</f>
      </c>
      <c r="E165">
        <f>IF(AND(商品库存!B165&lt;&gt;"",商品库存!B165=客户对账单!$B$4),COUNTIF(商品库存!$B$4:B165,客户对账单!$B$4),"")</f>
      </c>
      <c r="F165">
        <f>IF(AND(出库明细!C165&lt;&gt;"",出库明细!C165=客户对账单!$B$4,ISNUMBER(出库明细!B165),出库明细!B165&gt;=客户对账单!$G$4,出库明细!B165&lt;=客户对账单!$I$4),出库明细!B165+ROW()/100000,"")</f>
      </c>
      <c r="H165">
        <f>IF(AND(采购进货!C165&lt;&gt;"",采购进货!C165=供应商对账单!$B$4,ISNUMBER(采购进货!B165),采购进货!B165&gt;=供应商对账单!$G$4,采购进货!B165&lt;=供应商对账单!$I$4),采购进货!B165+ROW()/100000,"")</f>
      </c>
      <c r="J165">
        <f>IF(总览汇总!$B165="","",N(总览汇总!$K165)+SUMIFS(出库明细!$G$4:$G$3003,出库明细!$C$4:$C$3003,总览汇总!$B165,出库明细!$B$4:$B$3003,"&gt;="&amp;年初日,出库明细!$B$4:$B$3003,"&lt;="&amp;资产负债表!$D$3)-SUMIFS(资金台帐!$S$7:$S$3006,资金台帐!$J$7:$J$3006,总览汇总!$B165,资金台帐!$P$7:$P$3006,"应收",资金台帐!$B$7:$B$3006,"&gt;="&amp;年初日,资金台帐!$B$7:$B$3006,"&lt;="&amp;资产负债表!$D$3))</f>
      </c>
      <c r="N165">
        <f>IF(AND(ISNUMBER(出库明细!G165),ISNUMBER(出库明细!E165),ISNUMBER(出库明细!F165)),IF(ABS(出库明细!G165-出库明细!E165*出库明细!F165)&gt;0.005,1,0),0)</f>
        <v>0</v>
      </c>
      <c r="O165">
        <f>IF(AND(ISNUMBER(存条明细!G165),ISNUMBER(存条明细!E165),ISNUMBER(存条明细!F165)),IF(ABS(存条明细!G165-存条明细!E165*存条明细!F165)&gt;0.005,1,0),0)</f>
        <v>0</v>
      </c>
    </row>
    <row r="166">
      <c r="A166">
        <f>IF(OR(存条明细!C166="",存条明细!D166=""),"",IF(COUNTIFS(存条明细!$C$4:C166,存条明细!C166,存条明细!$D$4:D166,存条明细!D166)&gt;1,"",IFERROR(MATCH(存条明细!C166,总览汇总!$B$5:$B$304,0),900)*10000000+IFERROR(MATCH(存条明细!D166,基础资料!$E$5:$E$104,0),900)*10000+ROW()))</f>
        <v>260010166</v>
      </c>
      <c r="B166">
        <f>IFERROR(MATCH(SMALL($A$4:$A$4003,163),$A$4:$A$4003,0),"")</f>
        <v>1454</v>
      </c>
      <c r="D166">
        <f>IF(AND(商品库存!B166&lt;&gt;"",商品库存!B166=客户查询!$B$4),COUNTIF(商品库存!$B$4:B166,客户查询!$B$4),"")</f>
      </c>
      <c r="E166">
        <f>IF(AND(商品库存!B166&lt;&gt;"",商品库存!B166=客户对账单!$B$4),COUNTIF(商品库存!$B$4:B166,客户对账单!$B$4),"")</f>
      </c>
      <c r="F166">
        <f>IF(AND(出库明细!C166&lt;&gt;"",出库明细!C166=客户对账单!$B$4,ISNUMBER(出库明细!B166),出库明细!B166&gt;=客户对账单!$G$4,出库明细!B166&lt;=客户对账单!$I$4),出库明细!B166+ROW()/100000,"")</f>
      </c>
      <c r="H166">
        <f>IF(AND(采购进货!C166&lt;&gt;"",采购进货!C166=供应商对账单!$B$4,ISNUMBER(采购进货!B166),采购进货!B166&gt;=供应商对账单!$G$4,采购进货!B166&lt;=供应商对账单!$I$4),采购进货!B166+ROW()/100000,"")</f>
      </c>
      <c r="J166">
        <f>IF(总览汇总!$B166="","",N(总览汇总!$K166)+SUMIFS(出库明细!$G$4:$G$3003,出库明细!$C$4:$C$3003,总览汇总!$B166,出库明细!$B$4:$B$3003,"&gt;="&amp;年初日,出库明细!$B$4:$B$3003,"&lt;="&amp;资产负债表!$D$3)-SUMIFS(资金台帐!$S$7:$S$3006,资金台帐!$J$7:$J$3006,总览汇总!$B166,资金台帐!$P$7:$P$3006,"应收",资金台帐!$B$7:$B$3006,"&gt;="&amp;年初日,资金台帐!$B$7:$B$3006,"&lt;="&amp;资产负债表!$D$3))</f>
      </c>
      <c r="N166">
        <f>IF(AND(ISNUMBER(出库明细!G166),ISNUMBER(出库明细!E166),ISNUMBER(出库明细!F166)),IF(ABS(出库明细!G166-出库明细!E166*出库明细!F166)&gt;0.005,1,0),0)</f>
        <v>0</v>
      </c>
      <c r="O166">
        <f>IF(AND(ISNUMBER(存条明细!G166),ISNUMBER(存条明细!E166),ISNUMBER(存条明细!F166)),IF(ABS(存条明细!G166-存条明细!E166*存条明细!F166)&gt;0.005,1,0),0)</f>
        <v>0</v>
      </c>
    </row>
    <row r="167">
      <c r="A167">
        <f>IF(OR(存条明细!C167="",存条明细!D167=""),"",IF(COUNTIFS(存条明细!$C$4:C167,存条明细!C167,存条明细!$D$4:D167,存条明细!D167)&gt;1,"",IFERROR(MATCH(存条明细!C167,总览汇总!$B$5:$B$304,0),900)*10000000+IFERROR(MATCH(存条明细!D167,基础资料!$E$5:$E$104,0),900)*10000+ROW()))</f>
        <v>550010167</v>
      </c>
      <c r="B167">
        <f>IFERROR(MATCH(SMALL($A$4:$A$4003,164),$A$4:$A$4003,0),"")</f>
        <v>1453</v>
      </c>
      <c r="D167">
        <f>IF(AND(商品库存!B167&lt;&gt;"",商品库存!B167=客户查询!$B$4),COUNTIF(商品库存!$B$4:B167,客户查询!$B$4),"")</f>
      </c>
      <c r="E167">
        <f>IF(AND(商品库存!B167&lt;&gt;"",商品库存!B167=客户对账单!$B$4),COUNTIF(商品库存!$B$4:B167,客户对账单!$B$4),"")</f>
      </c>
      <c r="F167">
        <f>IF(AND(出库明细!C167&lt;&gt;"",出库明细!C167=客户对账单!$B$4,ISNUMBER(出库明细!B167),出库明细!B167&gt;=客户对账单!$G$4,出库明细!B167&lt;=客户对账单!$I$4),出库明细!B167+ROW()/100000,"")</f>
      </c>
      <c r="H167">
        <f>IF(AND(采购进货!C167&lt;&gt;"",采购进货!C167=供应商对账单!$B$4,ISNUMBER(采购进货!B167),采购进货!B167&gt;=供应商对账单!$G$4,采购进货!B167&lt;=供应商对账单!$I$4),采购进货!B167+ROW()/100000,"")</f>
      </c>
      <c r="J167">
        <f>IF(总览汇总!$B167="","",N(总览汇总!$K167)+SUMIFS(出库明细!$G$4:$G$3003,出库明细!$C$4:$C$3003,总览汇总!$B167,出库明细!$B$4:$B$3003,"&gt;="&amp;年初日,出库明细!$B$4:$B$3003,"&lt;="&amp;资产负债表!$D$3)-SUMIFS(资金台帐!$S$7:$S$3006,资金台帐!$J$7:$J$3006,总览汇总!$B167,资金台帐!$P$7:$P$3006,"应收",资金台帐!$B$7:$B$3006,"&gt;="&amp;年初日,资金台帐!$B$7:$B$3006,"&lt;="&amp;资产负债表!$D$3))</f>
      </c>
      <c r="N167">
        <f>IF(AND(ISNUMBER(出库明细!G167),ISNUMBER(出库明细!E167),ISNUMBER(出库明细!F167)),IF(ABS(出库明细!G167-出库明细!E167*出库明细!F167)&gt;0.005,1,0),0)</f>
        <v>0</v>
      </c>
      <c r="O167">
        <f>IF(AND(ISNUMBER(存条明细!G167),ISNUMBER(存条明细!E167),ISNUMBER(存条明细!F167)),IF(ABS(存条明细!G167-存条明细!E167*存条明细!F167)&gt;0.005,1,0),0)</f>
        <v>0</v>
      </c>
    </row>
    <row r="168">
      <c r="A168">
        <f>IF(OR(存条明细!C168="",存条明细!D168=""),"",IF(COUNTIFS(存条明细!$C$4:C168,存条明细!C168,存条明细!$D$4:D168,存条明细!D168)&gt;1,"",IFERROR(MATCH(存条明细!C168,总览汇总!$B$5:$B$304,0),900)*10000000+IFERROR(MATCH(存条明细!D168,基础资料!$E$5:$E$104,0),900)*10000+ROW()))</f>
        <v>560030168</v>
      </c>
      <c r="B168">
        <f>IFERROR(MATCH(SMALL($A$4:$A$4003,165),$A$4:$A$4003,0),"")</f>
        <v>1346</v>
      </c>
      <c r="D168">
        <f>IF(AND(商品库存!B168&lt;&gt;"",商品库存!B168=客户查询!$B$4),COUNTIF(商品库存!$B$4:B168,客户查询!$B$4),"")</f>
      </c>
      <c r="E168">
        <f>IF(AND(商品库存!B168&lt;&gt;"",商品库存!B168=客户对账单!$B$4),COUNTIF(商品库存!$B$4:B168,客户对账单!$B$4),"")</f>
      </c>
      <c r="F168">
        <f>IF(AND(出库明细!C168&lt;&gt;"",出库明细!C168=客户对账单!$B$4,ISNUMBER(出库明细!B168),出库明细!B168&gt;=客户对账单!$G$4,出库明细!B168&lt;=客户对账单!$I$4),出库明细!B168+ROW()/100000,"")</f>
      </c>
      <c r="H168">
        <f>IF(AND(采购进货!C168&lt;&gt;"",采购进货!C168=供应商对账单!$B$4,ISNUMBER(采购进货!B168),采购进货!B168&gt;=供应商对账单!$G$4,采购进货!B168&lt;=供应商对账单!$I$4),采购进货!B168+ROW()/100000,"")</f>
      </c>
      <c r="J168">
        <f>IF(总览汇总!$B168="","",N(总览汇总!$K168)+SUMIFS(出库明细!$G$4:$G$3003,出库明细!$C$4:$C$3003,总览汇总!$B168,出库明细!$B$4:$B$3003,"&gt;="&amp;年初日,出库明细!$B$4:$B$3003,"&lt;="&amp;资产负债表!$D$3)-SUMIFS(资金台帐!$S$7:$S$3006,资金台帐!$J$7:$J$3006,总览汇总!$B168,资金台帐!$P$7:$P$3006,"应收",资金台帐!$B$7:$B$3006,"&gt;="&amp;年初日,资金台帐!$B$7:$B$3006,"&lt;="&amp;资产负债表!$D$3))</f>
      </c>
      <c r="N168">
        <f>IF(AND(ISNUMBER(出库明细!G168),ISNUMBER(出库明细!E168),ISNUMBER(出库明细!F168)),IF(ABS(出库明细!G168-出库明细!E168*出库明细!F168)&gt;0.005,1,0),0)</f>
        <v>0</v>
      </c>
      <c r="O168">
        <f>IF(AND(ISNUMBER(存条明细!G168),ISNUMBER(存条明细!E168),ISNUMBER(存条明细!F168)),IF(ABS(存条明细!G168-存条明细!E168*存条明细!F168)&gt;0.005,1,0),0)</f>
        <v>0</v>
      </c>
    </row>
    <row r="169">
      <c r="A169">
        <f>IF(OR(存条明细!C169="",存条明细!D169=""),"",IF(COUNTIFS(存条明细!$C$4:C169,存条明细!C169,存条明细!$D$4:D169,存条明细!D169)&gt;1,"",IFERROR(MATCH(存条明细!C169,总览汇总!$B$5:$B$304,0),900)*10000000+IFERROR(MATCH(存条明细!D169,基础资料!$E$5:$E$104,0),900)*10000+ROW()))</f>
      </c>
      <c r="B169">
        <f>IFERROR(MATCH(SMALL($A$4:$A$4003,166),$A$4:$A$4003,0),"")</f>
        <v>1386</v>
      </c>
      <c r="D169">
        <f>IF(AND(商品库存!B169&lt;&gt;"",商品库存!B169=客户查询!$B$4),COUNTIF(商品库存!$B$4:B169,客户查询!$B$4),"")</f>
      </c>
      <c r="E169">
        <f>IF(AND(商品库存!B169&lt;&gt;"",商品库存!B169=客户对账单!$B$4),COUNTIF(商品库存!$B$4:B169,客户对账单!$B$4),"")</f>
      </c>
      <c r="F169">
        <f>IF(AND(出库明细!C169&lt;&gt;"",出库明细!C169=客户对账单!$B$4,ISNUMBER(出库明细!B169),出库明细!B169&gt;=客户对账单!$G$4,出库明细!B169&lt;=客户对账单!$I$4),出库明细!B169+ROW()/100000,"")</f>
      </c>
      <c r="H169">
        <f>IF(AND(采购进货!C169&lt;&gt;"",采购进货!C169=供应商对账单!$B$4,ISNUMBER(采购进货!B169),采购进货!B169&gt;=供应商对账单!$G$4,采购进货!B169&lt;=供应商对账单!$I$4),采购进货!B169+ROW()/100000,"")</f>
      </c>
      <c r="J169">
        <f>IF(总览汇总!$B169="","",N(总览汇总!$K169)+SUMIFS(出库明细!$G$4:$G$3003,出库明细!$C$4:$C$3003,总览汇总!$B169,出库明细!$B$4:$B$3003,"&gt;="&amp;年初日,出库明细!$B$4:$B$3003,"&lt;="&amp;资产负债表!$D$3)-SUMIFS(资金台帐!$S$7:$S$3006,资金台帐!$J$7:$J$3006,总览汇总!$B169,资金台帐!$P$7:$P$3006,"应收",资金台帐!$B$7:$B$3006,"&gt;="&amp;年初日,资金台帐!$B$7:$B$3006,"&lt;="&amp;资产负债表!$D$3))</f>
      </c>
      <c r="N169">
        <f>IF(AND(ISNUMBER(出库明细!G169),ISNUMBER(出库明细!E169),ISNUMBER(出库明细!F169)),IF(ABS(出库明细!G169-出库明细!E169*出库明细!F169)&gt;0.005,1,0),0)</f>
        <v>0</v>
      </c>
      <c r="O169">
        <f>IF(AND(ISNUMBER(存条明细!G169),ISNUMBER(存条明细!E169),ISNUMBER(存条明细!F169)),IF(ABS(存条明细!G169-存条明细!E169*存条明细!F169)&gt;0.005,1,0),0)</f>
        <v>0</v>
      </c>
    </row>
    <row r="170">
      <c r="A170">
        <f>IF(OR(存条明细!C170="",存条明细!D170=""),"",IF(COUNTIFS(存条明细!$C$4:C170,存条明细!C170,存条明细!$D$4:D170,存条明细!D170)&gt;1,"",IFERROR(MATCH(存条明细!C170,总览汇总!$B$5:$B$304,0),900)*10000000+IFERROR(MATCH(存条明细!D170,基础资料!$E$5:$E$104,0),900)*10000+ROW()))</f>
        <v>560050170</v>
      </c>
      <c r="B170">
        <f>IFERROR(MATCH(SMALL($A$4:$A$4003,167),$A$4:$A$4003,0),"")</f>
        <v>1250</v>
      </c>
      <c r="D170">
        <f>IF(AND(商品库存!B170&lt;&gt;"",商品库存!B170=客户查询!$B$4),COUNTIF(商品库存!$B$4:B170,客户查询!$B$4),"")</f>
      </c>
      <c r="E170">
        <f>IF(AND(商品库存!B170&lt;&gt;"",商品库存!B170=客户对账单!$B$4),COUNTIF(商品库存!$B$4:B170,客户对账单!$B$4),"")</f>
      </c>
      <c r="F170">
        <f>IF(AND(出库明细!C170&lt;&gt;"",出库明细!C170=客户对账单!$B$4,ISNUMBER(出库明细!B170),出库明细!B170&gt;=客户对账单!$G$4,出库明细!B170&lt;=客户对账单!$I$4),出库明细!B170+ROW()/100000,"")</f>
      </c>
      <c r="H170">
        <f>IF(AND(采购进货!C170&lt;&gt;"",采购进货!C170=供应商对账单!$B$4,ISNUMBER(采购进货!B170),采购进货!B170&gt;=供应商对账单!$G$4,采购进货!B170&lt;=供应商对账单!$I$4),采购进货!B170+ROW()/100000,"")</f>
      </c>
      <c r="J170">
        <f>IF(总览汇总!$B170="","",N(总览汇总!$K170)+SUMIFS(出库明细!$G$4:$G$3003,出库明细!$C$4:$C$3003,总览汇总!$B170,出库明细!$B$4:$B$3003,"&gt;="&amp;年初日,出库明细!$B$4:$B$3003,"&lt;="&amp;资产负债表!$D$3)-SUMIFS(资金台帐!$S$7:$S$3006,资金台帐!$J$7:$J$3006,总览汇总!$B170,资金台帐!$P$7:$P$3006,"应收",资金台帐!$B$7:$B$3006,"&gt;="&amp;年初日,资金台帐!$B$7:$B$3006,"&lt;="&amp;资产负债表!$D$3))</f>
      </c>
      <c r="N170">
        <f>IF(AND(ISNUMBER(出库明细!G170),ISNUMBER(出库明细!E170),ISNUMBER(出库明细!F170)),IF(ABS(出库明细!G170-出库明细!E170*出库明细!F170)&gt;0.005,1,0),0)</f>
        <v>0</v>
      </c>
      <c r="O170">
        <f>IF(AND(ISNUMBER(存条明细!G170),ISNUMBER(存条明细!E170),ISNUMBER(存条明细!F170)),IF(ABS(存条明细!G170-存条明细!E170*存条明细!F170)&gt;0.005,1,0),0)</f>
        <v>0</v>
      </c>
    </row>
    <row r="171">
      <c r="A171">
        <f>IF(OR(存条明细!C171="",存条明细!D171=""),"",IF(COUNTIFS(存条明细!$C$4:C171,存条明细!C171,存条明细!$D$4:D171,存条明细!D171)&gt;1,"",IFERROR(MATCH(存条明细!C171,总览汇总!$B$5:$B$304,0),900)*10000000+IFERROR(MATCH(存条明细!D171,基础资料!$E$5:$E$104,0),900)*10000+ROW()))</f>
      </c>
      <c r="B171">
        <f>IFERROR(MATCH(SMALL($A$4:$A$4003,168),$A$4:$A$4003,0),"")</f>
        <v>1251</v>
      </c>
      <c r="D171">
        <f>IF(AND(商品库存!B171&lt;&gt;"",商品库存!B171=客户查询!$B$4),COUNTIF(商品库存!$B$4:B171,客户查询!$B$4),"")</f>
      </c>
      <c r="E171">
        <f>IF(AND(商品库存!B171&lt;&gt;"",商品库存!B171=客户对账单!$B$4),COUNTIF(商品库存!$B$4:B171,客户对账单!$B$4),"")</f>
      </c>
      <c r="F171">
        <f>IF(AND(出库明细!C171&lt;&gt;"",出库明细!C171=客户对账单!$B$4,ISNUMBER(出库明细!B171),出库明细!B171&gt;=客户对账单!$G$4,出库明细!B171&lt;=客户对账单!$I$4),出库明细!B171+ROW()/100000,"")</f>
      </c>
      <c r="H171">
        <f>IF(AND(采购进货!C171&lt;&gt;"",采购进货!C171=供应商对账单!$B$4,ISNUMBER(采购进货!B171),采购进货!B171&gt;=供应商对账单!$G$4,采购进货!B171&lt;=供应商对账单!$I$4),采购进货!B171+ROW()/100000,"")</f>
      </c>
      <c r="J171">
        <f>IF(总览汇总!$B171="","",N(总览汇总!$K171)+SUMIFS(出库明细!$G$4:$G$3003,出库明细!$C$4:$C$3003,总览汇总!$B171,出库明细!$B$4:$B$3003,"&gt;="&amp;年初日,出库明细!$B$4:$B$3003,"&lt;="&amp;资产负债表!$D$3)-SUMIFS(资金台帐!$S$7:$S$3006,资金台帐!$J$7:$J$3006,总览汇总!$B171,资金台帐!$P$7:$P$3006,"应收",资金台帐!$B$7:$B$3006,"&gt;="&amp;年初日,资金台帐!$B$7:$B$3006,"&lt;="&amp;资产负债表!$D$3))</f>
      </c>
      <c r="N171">
        <f>IF(AND(ISNUMBER(出库明细!G171),ISNUMBER(出库明细!E171),ISNUMBER(出库明细!F171)),IF(ABS(出库明细!G171-出库明细!E171*出库明细!F171)&gt;0.005,1,0),0)</f>
        <v>0</v>
      </c>
      <c r="O171">
        <f>IF(AND(ISNUMBER(存条明细!G171),ISNUMBER(存条明细!E171),ISNUMBER(存条明细!F171)),IF(ABS(存条明细!G171-存条明细!E171*存条明细!F171)&gt;0.005,1,0),0)</f>
        <v>0</v>
      </c>
    </row>
    <row r="172">
      <c r="A172">
        <f>IF(OR(存条明细!C172="",存条明细!D172=""),"",IF(COUNTIFS(存条明细!$C$4:C172,存条明细!C172,存条明细!$D$4:D172,存条明细!D172)&gt;1,"",IFERROR(MATCH(存条明细!C172,总览汇总!$B$5:$B$304,0),900)*10000000+IFERROR(MATCH(存条明细!D172,基础资料!$E$5:$E$104,0),900)*10000+ROW()))</f>
        <v>560040172</v>
      </c>
      <c r="B172">
        <f>IFERROR(MATCH(SMALL($A$4:$A$4003,169),$A$4:$A$4003,0),"")</f>
        <v>125</v>
      </c>
      <c r="D172">
        <f>IF(AND(商品库存!B172&lt;&gt;"",商品库存!B172=客户查询!$B$4),COUNTIF(商品库存!$B$4:B172,客户查询!$B$4),"")</f>
      </c>
      <c r="E172">
        <f>IF(AND(商品库存!B172&lt;&gt;"",商品库存!B172=客户对账单!$B$4),COUNTIF(商品库存!$B$4:B172,客户对账单!$B$4),"")</f>
      </c>
      <c r="F172">
        <f>IF(AND(出库明细!C172&lt;&gt;"",出库明细!C172=客户对账单!$B$4,ISNUMBER(出库明细!B172),出库明细!B172&gt;=客户对账单!$G$4,出库明细!B172&lt;=客户对账单!$I$4),出库明细!B172+ROW()/100000,"")</f>
      </c>
      <c r="H172">
        <f>IF(AND(采购进货!C172&lt;&gt;"",采购进货!C172=供应商对账单!$B$4,ISNUMBER(采购进货!B172),采购进货!B172&gt;=供应商对账单!$G$4,采购进货!B172&lt;=供应商对账单!$I$4),采购进货!B172+ROW()/100000,"")</f>
      </c>
      <c r="J172">
        <f>IF(总览汇总!$B172="","",N(总览汇总!$K172)+SUMIFS(出库明细!$G$4:$G$3003,出库明细!$C$4:$C$3003,总览汇总!$B172,出库明细!$B$4:$B$3003,"&gt;="&amp;年初日,出库明细!$B$4:$B$3003,"&lt;="&amp;资产负债表!$D$3)-SUMIFS(资金台帐!$S$7:$S$3006,资金台帐!$J$7:$J$3006,总览汇总!$B172,资金台帐!$P$7:$P$3006,"应收",资金台帐!$B$7:$B$3006,"&gt;="&amp;年初日,资金台帐!$B$7:$B$3006,"&lt;="&amp;资产负债表!$D$3))</f>
      </c>
      <c r="N172">
        <f>IF(AND(ISNUMBER(出库明细!G172),ISNUMBER(出库明细!E172),ISNUMBER(出库明细!F172)),IF(ABS(出库明细!G172-出库明细!E172*出库明细!F172)&gt;0.005,1,0),0)</f>
        <v>0</v>
      </c>
      <c r="O172">
        <f>IF(AND(ISNUMBER(存条明细!G172),ISNUMBER(存条明细!E172),ISNUMBER(存条明细!F172)),IF(ABS(存条明细!G172-存条明细!E172*存条明细!F172)&gt;0.005,1,0),0)</f>
        <v>0</v>
      </c>
    </row>
    <row r="173">
      <c r="A173">
        <f>IF(OR(存条明细!C173="",存条明细!D173=""),"",IF(COUNTIFS(存条明细!$C$4:C173,存条明细!C173,存条明细!$D$4:D173,存条明细!D173)&gt;1,"",IFERROR(MATCH(存条明细!C173,总览汇总!$B$5:$B$304,0),900)*10000000+IFERROR(MATCH(存条明细!D173,基础资料!$E$5:$E$104,0),900)*10000+ROW()))</f>
        <v>560060173</v>
      </c>
      <c r="B173">
        <f>IFERROR(MATCH(SMALL($A$4:$A$4003,170),$A$4:$A$4003,0),"")</f>
        <v>250</v>
      </c>
      <c r="D173">
        <f>IF(AND(商品库存!B173&lt;&gt;"",商品库存!B173=客户查询!$B$4),COUNTIF(商品库存!$B$4:B173,客户查询!$B$4),"")</f>
      </c>
      <c r="E173">
        <f>IF(AND(商品库存!B173&lt;&gt;"",商品库存!B173=客户对账单!$B$4),COUNTIF(商品库存!$B$4:B173,客户对账单!$B$4),"")</f>
      </c>
      <c r="F173">
        <f>IF(AND(出库明细!C173&lt;&gt;"",出库明细!C173=客户对账单!$B$4,ISNUMBER(出库明细!B173),出库明细!B173&gt;=客户对账单!$G$4,出库明细!B173&lt;=客户对账单!$I$4),出库明细!B173+ROW()/100000,"")</f>
      </c>
      <c r="H173">
        <f>IF(AND(采购进货!C173&lt;&gt;"",采购进货!C173=供应商对账单!$B$4,ISNUMBER(采购进货!B173),采购进货!B173&gt;=供应商对账单!$G$4,采购进货!B173&lt;=供应商对账单!$I$4),采购进货!B173+ROW()/100000,"")</f>
      </c>
      <c r="J173">
        <f>IF(总览汇总!$B173="","",N(总览汇总!$K173)+SUMIFS(出库明细!$G$4:$G$3003,出库明细!$C$4:$C$3003,总览汇总!$B173,出库明细!$B$4:$B$3003,"&gt;="&amp;年初日,出库明细!$B$4:$B$3003,"&lt;="&amp;资产负债表!$D$3)-SUMIFS(资金台帐!$S$7:$S$3006,资金台帐!$J$7:$J$3006,总览汇总!$B173,资金台帐!$P$7:$P$3006,"应收",资金台帐!$B$7:$B$3006,"&gt;="&amp;年初日,资金台帐!$B$7:$B$3006,"&lt;="&amp;资产负债表!$D$3))</f>
      </c>
      <c r="N173">
        <f>IF(AND(ISNUMBER(出库明细!G173),ISNUMBER(出库明细!E173),ISNUMBER(出库明细!F173)),IF(ABS(出库明细!G173-出库明细!E173*出库明细!F173)&gt;0.005,1,0),0)</f>
        <v>0</v>
      </c>
      <c r="O173">
        <f>IF(AND(ISNUMBER(存条明细!G173),ISNUMBER(存条明细!E173),ISNUMBER(存条明细!F173)),IF(ABS(存条明细!G173-存条明细!E173*存条明细!F173)&gt;0.005,1,0),0)</f>
        <v>0</v>
      </c>
    </row>
    <row r="174">
      <c r="A174">
        <f>IF(OR(存条明细!C174="",存条明细!D174=""),"",IF(COUNTIFS(存条明细!$C$4:C174,存条明细!C174,存条明细!$D$4:D174,存条明细!D174)&gt;1,"",IFERROR(MATCH(存条明细!C174,总览汇总!$B$5:$B$304,0),900)*10000000+IFERROR(MATCH(存条明细!D174,基础资料!$E$5:$E$104,0),900)*10000+ROW()))</f>
        <v>570050174</v>
      </c>
      <c r="B174">
        <f>IFERROR(MATCH(SMALL($A$4:$A$4003,171),$A$4:$A$4003,0),"")</f>
        <v>242</v>
      </c>
      <c r="D174">
        <f>IF(AND(商品库存!B174&lt;&gt;"",商品库存!B174=客户查询!$B$4),COUNTIF(商品库存!$B$4:B174,客户查询!$B$4),"")</f>
      </c>
      <c r="E174">
        <f>IF(AND(商品库存!B174&lt;&gt;"",商品库存!B174=客户对账单!$B$4),COUNTIF(商品库存!$B$4:B174,客户对账单!$B$4),"")</f>
      </c>
      <c r="F174">
        <f>IF(AND(出库明细!C174&lt;&gt;"",出库明细!C174=客户对账单!$B$4,ISNUMBER(出库明细!B174),出库明细!B174&gt;=客户对账单!$G$4,出库明细!B174&lt;=客户对账单!$I$4),出库明细!B174+ROW()/100000,"")</f>
      </c>
      <c r="H174">
        <f>IF(AND(采购进货!C174&lt;&gt;"",采购进货!C174=供应商对账单!$B$4,ISNUMBER(采购进货!B174),采购进货!B174&gt;=供应商对账单!$G$4,采购进货!B174&lt;=供应商对账单!$I$4),采购进货!B174+ROW()/100000,"")</f>
      </c>
      <c r="J174">
        <f>IF(总览汇总!$B174="","",N(总览汇总!$K174)+SUMIFS(出库明细!$G$4:$G$3003,出库明细!$C$4:$C$3003,总览汇总!$B174,出库明细!$B$4:$B$3003,"&gt;="&amp;年初日,出库明细!$B$4:$B$3003,"&lt;="&amp;资产负债表!$D$3)-SUMIFS(资金台帐!$S$7:$S$3006,资金台帐!$J$7:$J$3006,总览汇总!$B174,资金台帐!$P$7:$P$3006,"应收",资金台帐!$B$7:$B$3006,"&gt;="&amp;年初日,资金台帐!$B$7:$B$3006,"&lt;="&amp;资产负债表!$D$3))</f>
      </c>
      <c r="N174">
        <f>IF(AND(ISNUMBER(出库明细!G174),ISNUMBER(出库明细!E174),ISNUMBER(出库明细!F174)),IF(ABS(出库明细!G174-出库明细!E174*出库明细!F174)&gt;0.005,1,0),0)</f>
        <v>0</v>
      </c>
      <c r="O174">
        <f>IF(AND(ISNUMBER(存条明细!G174),ISNUMBER(存条明细!E174),ISNUMBER(存条明细!F174)),IF(ABS(存条明细!G174-存条明细!E174*存条明细!F174)&gt;0.005,1,0),0)</f>
        <v>0</v>
      </c>
    </row>
    <row r="175">
      <c r="A175">
        <f>IF(OR(存条明细!C175="",存条明细!D175=""),"",IF(COUNTIFS(存条明细!$C$4:C175,存条明细!C175,存条明细!$D$4:D175,存条明细!D175)&gt;1,"",IFERROR(MATCH(存条明细!C175,总览汇总!$B$5:$B$304,0),900)*10000000+IFERROR(MATCH(存条明细!D175,基础资料!$E$5:$E$104,0),900)*10000+ROW()))</f>
      </c>
      <c r="B175">
        <f>IFERROR(MATCH(SMALL($A$4:$A$4003,172),$A$4:$A$4003,0),"")</f>
        <v>246</v>
      </c>
      <c r="D175">
        <f>IF(AND(商品库存!B175&lt;&gt;"",商品库存!B175=客户查询!$B$4),COUNTIF(商品库存!$B$4:B175,客户查询!$B$4),"")</f>
      </c>
      <c r="E175">
        <f>IF(AND(商品库存!B175&lt;&gt;"",商品库存!B175=客户对账单!$B$4),COUNTIF(商品库存!$B$4:B175,客户对账单!$B$4),"")</f>
      </c>
      <c r="F175">
        <f>IF(AND(出库明细!C175&lt;&gt;"",出库明细!C175=客户对账单!$B$4,ISNUMBER(出库明细!B175),出库明细!B175&gt;=客户对账单!$G$4,出库明细!B175&lt;=客户对账单!$I$4),出库明细!B175+ROW()/100000,"")</f>
      </c>
      <c r="H175">
        <f>IF(AND(采购进货!C175&lt;&gt;"",采购进货!C175=供应商对账单!$B$4,ISNUMBER(采购进货!B175),采购进货!B175&gt;=供应商对账单!$G$4,采购进货!B175&lt;=供应商对账单!$I$4),采购进货!B175+ROW()/100000,"")</f>
      </c>
      <c r="J175">
        <f>IF(总览汇总!$B175="","",N(总览汇总!$K175)+SUMIFS(出库明细!$G$4:$G$3003,出库明细!$C$4:$C$3003,总览汇总!$B175,出库明细!$B$4:$B$3003,"&gt;="&amp;年初日,出库明细!$B$4:$B$3003,"&lt;="&amp;资产负债表!$D$3)-SUMIFS(资金台帐!$S$7:$S$3006,资金台帐!$J$7:$J$3006,总览汇总!$B175,资金台帐!$P$7:$P$3006,"应收",资金台帐!$B$7:$B$3006,"&gt;="&amp;年初日,资金台帐!$B$7:$B$3006,"&lt;="&amp;资产负债表!$D$3))</f>
      </c>
      <c r="N175">
        <f>IF(AND(ISNUMBER(出库明细!G175),ISNUMBER(出库明细!E175),ISNUMBER(出库明细!F175)),IF(ABS(出库明细!G175-出库明细!E175*出库明细!F175)&gt;0.005,1,0),0)</f>
        <v>0</v>
      </c>
      <c r="O175">
        <f>IF(AND(ISNUMBER(存条明细!G175),ISNUMBER(存条明细!E175),ISNUMBER(存条明细!F175)),IF(ABS(存条明细!G175-存条明细!E175*存条明细!F175)&gt;0.005,1,0),0)</f>
        <v>0</v>
      </c>
    </row>
    <row r="176">
      <c r="A176">
        <f>IF(OR(存条明细!C176="",存条明细!D176=""),"",IF(COUNTIFS(存条明细!$C$4:C176,存条明细!C176,存条明细!$D$4:D176,存条明细!D176)&gt;1,"",IFERROR(MATCH(存条明细!C176,总览汇总!$B$5:$B$304,0),900)*10000000+IFERROR(MATCH(存条明细!D176,基础资料!$E$5:$E$104,0),900)*10000+ROW()))</f>
        <v>570030176</v>
      </c>
      <c r="B176">
        <f>IFERROR(MATCH(SMALL($A$4:$A$4003,173),$A$4:$A$4003,0),"")</f>
        <v>244</v>
      </c>
      <c r="D176">
        <f>IF(AND(商品库存!B176&lt;&gt;"",商品库存!B176=客户查询!$B$4),COUNTIF(商品库存!$B$4:B176,客户查询!$B$4),"")</f>
      </c>
      <c r="E176">
        <f>IF(AND(商品库存!B176&lt;&gt;"",商品库存!B176=客户对账单!$B$4),COUNTIF(商品库存!$B$4:B176,客户对账单!$B$4),"")</f>
      </c>
      <c r="F176">
        <f>IF(AND(出库明细!C176&lt;&gt;"",出库明细!C176=客户对账单!$B$4,ISNUMBER(出库明细!B176),出库明细!B176&gt;=客户对账单!$G$4,出库明细!B176&lt;=客户对账单!$I$4),出库明细!B176+ROW()/100000,"")</f>
      </c>
      <c r="H176">
        <f>IF(AND(采购进货!C176&lt;&gt;"",采购进货!C176=供应商对账单!$B$4,ISNUMBER(采购进货!B176),采购进货!B176&gt;=供应商对账单!$G$4,采购进货!B176&lt;=供应商对账单!$I$4),采购进货!B176+ROW()/100000,"")</f>
      </c>
      <c r="J176">
        <f>IF(总览汇总!$B176="","",N(总览汇总!$K176)+SUMIFS(出库明细!$G$4:$G$3003,出库明细!$C$4:$C$3003,总览汇总!$B176,出库明细!$B$4:$B$3003,"&gt;="&amp;年初日,出库明细!$B$4:$B$3003,"&lt;="&amp;资产负债表!$D$3)-SUMIFS(资金台帐!$S$7:$S$3006,资金台帐!$J$7:$J$3006,总览汇总!$B176,资金台帐!$P$7:$P$3006,"应收",资金台帐!$B$7:$B$3006,"&gt;="&amp;年初日,资金台帐!$B$7:$B$3006,"&lt;="&amp;资产负债表!$D$3))</f>
      </c>
      <c r="N176">
        <f>IF(AND(ISNUMBER(出库明细!G176),ISNUMBER(出库明细!E176),ISNUMBER(出库明细!F176)),IF(ABS(出库明细!G176-出库明细!E176*出库明细!F176)&gt;0.005,1,0),0)</f>
        <v>0</v>
      </c>
      <c r="O176">
        <f>IF(AND(ISNUMBER(存条明细!G176),ISNUMBER(存条明细!E176),ISNUMBER(存条明细!F176)),IF(ABS(存条明细!G176-存条明细!E176*存条明细!F176)&gt;0.005,1,0),0)</f>
        <v>0</v>
      </c>
    </row>
    <row r="177">
      <c r="A177">
        <f>IF(OR(存条明细!C177="",存条明细!D177=""),"",IF(COUNTIFS(存条明细!$C$4:C177,存条明细!C177,存条明细!$D$4:D177,存条明细!D177)&gt;1,"",IFERROR(MATCH(存条明细!C177,总览汇总!$B$5:$B$304,0),900)*10000000+IFERROR(MATCH(存条明细!D177,基础资料!$E$5:$E$104,0),900)*10000+ROW()))</f>
      </c>
      <c r="B177">
        <f>IFERROR(MATCH(SMALL($A$4:$A$4003,174),$A$4:$A$4003,0),"")</f>
        <v>248</v>
      </c>
      <c r="D177">
        <f>IF(AND(商品库存!B177&lt;&gt;"",商品库存!B177=客户查询!$B$4),COUNTIF(商品库存!$B$4:B177,客户查询!$B$4),"")</f>
      </c>
      <c r="E177">
        <f>IF(AND(商品库存!B177&lt;&gt;"",商品库存!B177=客户对账单!$B$4),COUNTIF(商品库存!$B$4:B177,客户对账单!$B$4),"")</f>
      </c>
      <c r="F177">
        <f>IF(AND(出库明细!C177&lt;&gt;"",出库明细!C177=客户对账单!$B$4,ISNUMBER(出库明细!B177),出库明细!B177&gt;=客户对账单!$G$4,出库明细!B177&lt;=客户对账单!$I$4),出库明细!B177+ROW()/100000,"")</f>
      </c>
      <c r="H177">
        <f>IF(AND(采购进货!C177&lt;&gt;"",采购进货!C177=供应商对账单!$B$4,ISNUMBER(采购进货!B177),采购进货!B177&gt;=供应商对账单!$G$4,采购进货!B177&lt;=供应商对账单!$I$4),采购进货!B177+ROW()/100000,"")</f>
      </c>
      <c r="J177">
        <f>IF(总览汇总!$B177="","",N(总览汇总!$K177)+SUMIFS(出库明细!$G$4:$G$3003,出库明细!$C$4:$C$3003,总览汇总!$B177,出库明细!$B$4:$B$3003,"&gt;="&amp;年初日,出库明细!$B$4:$B$3003,"&lt;="&amp;资产负债表!$D$3)-SUMIFS(资金台帐!$S$7:$S$3006,资金台帐!$J$7:$J$3006,总览汇总!$B177,资金台帐!$P$7:$P$3006,"应收",资金台帐!$B$7:$B$3006,"&gt;="&amp;年初日,资金台帐!$B$7:$B$3006,"&lt;="&amp;资产负债表!$D$3))</f>
      </c>
      <c r="N177">
        <f>IF(AND(ISNUMBER(出库明细!G177),ISNUMBER(出库明细!E177),ISNUMBER(出库明细!F177)),IF(ABS(出库明细!G177-出库明细!E177*出库明细!F177)&gt;0.005,1,0),0)</f>
        <v>0</v>
      </c>
      <c r="O177">
        <f>IF(AND(ISNUMBER(存条明细!G177),ISNUMBER(存条明细!E177),ISNUMBER(存条明细!F177)),IF(ABS(存条明细!G177-存条明细!E177*存条明细!F177)&gt;0.005,1,0),0)</f>
        <v>0</v>
      </c>
    </row>
    <row r="178">
      <c r="A178">
        <f>IF(OR(存条明细!C178="",存条明细!D178=""),"",IF(COUNTIFS(存条明细!$C$4:C178,存条明细!C178,存条明细!$D$4:D178,存条明细!D178)&gt;1,"",IFERROR(MATCH(存条明细!C178,总览汇总!$B$5:$B$304,0),900)*10000000+IFERROR(MATCH(存条明细!D178,基础资料!$E$5:$E$104,0),900)*10000+ROW()))</f>
        <v>570040178</v>
      </c>
      <c r="B178">
        <f>IFERROR(MATCH(SMALL($A$4:$A$4003,175),$A$4:$A$4003,0),"")</f>
        <v>103</v>
      </c>
      <c r="D178">
        <f>IF(AND(商品库存!B178&lt;&gt;"",商品库存!B178=客户查询!$B$4),COUNTIF(商品库存!$B$4:B178,客户查询!$B$4),"")</f>
      </c>
      <c r="E178">
        <f>IF(AND(商品库存!B178&lt;&gt;"",商品库存!B178=客户对账单!$B$4),COUNTIF(商品库存!$B$4:B178,客户对账单!$B$4),"")</f>
      </c>
      <c r="F178">
        <f>IF(AND(出库明细!C178&lt;&gt;"",出库明细!C178=客户对账单!$B$4,ISNUMBER(出库明细!B178),出库明细!B178&gt;=客户对账单!$G$4,出库明细!B178&lt;=客户对账单!$I$4),出库明细!B178+ROW()/100000,"")</f>
      </c>
      <c r="H178">
        <f>IF(AND(采购进货!C178&lt;&gt;"",采购进货!C178=供应商对账单!$B$4,ISNUMBER(采购进货!B178),采购进货!B178&gt;=供应商对账单!$G$4,采购进货!B178&lt;=供应商对账单!$I$4),采购进货!B178+ROW()/100000,"")</f>
      </c>
      <c r="J178">
        <f>IF(总览汇总!$B178="","",N(总览汇总!$K178)+SUMIFS(出库明细!$G$4:$G$3003,出库明细!$C$4:$C$3003,总览汇总!$B178,出库明细!$B$4:$B$3003,"&gt;="&amp;年初日,出库明细!$B$4:$B$3003,"&lt;="&amp;资产负债表!$D$3)-SUMIFS(资金台帐!$S$7:$S$3006,资金台帐!$J$7:$J$3006,总览汇总!$B178,资金台帐!$P$7:$P$3006,"应收",资金台帐!$B$7:$B$3006,"&gt;="&amp;年初日,资金台帐!$B$7:$B$3006,"&lt;="&amp;资产负债表!$D$3))</f>
      </c>
      <c r="N178">
        <f>IF(AND(ISNUMBER(出库明细!G178),ISNUMBER(出库明细!E178),ISNUMBER(出库明细!F178)),IF(ABS(出库明细!G178-出库明细!E178*出库明细!F178)&gt;0.005,1,0),0)</f>
        <v>0</v>
      </c>
      <c r="O178">
        <f>IF(AND(ISNUMBER(存条明细!G178),ISNUMBER(存条明细!E178),ISNUMBER(存条明细!F178)),IF(ABS(存条明细!G178-存条明细!E178*存条明细!F178)&gt;0.005,1,0),0)</f>
        <v>0</v>
      </c>
    </row>
    <row r="179">
      <c r="A179">
        <f>IF(OR(存条明细!C179="",存条明细!D179=""),"",IF(COUNTIFS(存条明细!$C$4:C179,存条明细!C179,存条明细!$D$4:D179,存条明细!D179)&gt;1,"",IFERROR(MATCH(存条明细!C179,总览汇总!$B$5:$B$304,0),900)*10000000+IFERROR(MATCH(存条明细!D179,基础资料!$E$5:$E$104,0),900)*10000+ROW()))</f>
        <v>570060179</v>
      </c>
      <c r="B179">
        <f>IFERROR(MATCH(SMALL($A$4:$A$4003,176),$A$4:$A$4003,0),"")</f>
        <v>105</v>
      </c>
      <c r="D179">
        <f>IF(AND(商品库存!B179&lt;&gt;"",商品库存!B179=客户查询!$B$4),COUNTIF(商品库存!$B$4:B179,客户查询!$B$4),"")</f>
      </c>
      <c r="E179">
        <f>IF(AND(商品库存!B179&lt;&gt;"",商品库存!B179=客户对账单!$B$4),COUNTIF(商品库存!$B$4:B179,客户对账单!$B$4),"")</f>
      </c>
      <c r="F179">
        <f>IF(AND(出库明细!C179&lt;&gt;"",出库明细!C179=客户对账单!$B$4,ISNUMBER(出库明细!B179),出库明细!B179&gt;=客户对账单!$G$4,出库明细!B179&lt;=客户对账单!$I$4),出库明细!B179+ROW()/100000,"")</f>
      </c>
      <c r="H179">
        <f>IF(AND(采购进货!C179&lt;&gt;"",采购进货!C179=供应商对账单!$B$4,ISNUMBER(采购进货!B179),采购进货!B179&gt;=供应商对账单!$G$4,采购进货!B179&lt;=供应商对账单!$I$4),采购进货!B179+ROW()/100000,"")</f>
      </c>
      <c r="J179">
        <f>IF(总览汇总!$B179="","",N(总览汇总!$K179)+SUMIFS(出库明细!$G$4:$G$3003,出库明细!$C$4:$C$3003,总览汇总!$B179,出库明细!$B$4:$B$3003,"&gt;="&amp;年初日,出库明细!$B$4:$B$3003,"&lt;="&amp;资产负债表!$D$3)-SUMIFS(资金台帐!$S$7:$S$3006,资金台帐!$J$7:$J$3006,总览汇总!$B179,资金台帐!$P$7:$P$3006,"应收",资金台帐!$B$7:$B$3006,"&gt;="&amp;年初日,资金台帐!$B$7:$B$3006,"&lt;="&amp;资产负债表!$D$3))</f>
      </c>
      <c r="N179">
        <f>IF(AND(ISNUMBER(出库明细!G179),ISNUMBER(出库明细!E179),ISNUMBER(出库明细!F179)),IF(ABS(出库明细!G179-出库明细!E179*出库明细!F179)&gt;0.005,1,0),0)</f>
        <v>0</v>
      </c>
      <c r="O179">
        <f>IF(AND(ISNUMBER(存条明细!G179),ISNUMBER(存条明细!E179),ISNUMBER(存条明细!F179)),IF(ABS(存条明细!G179-存条明细!E179*存条明细!F179)&gt;0.005,1,0),0)</f>
        <v>0</v>
      </c>
    </row>
    <row r="180">
      <c r="A180">
        <f>IF(OR(存条明细!C180="",存条明细!D180=""),"",IF(COUNTIFS(存条明细!$C$4:C180,存条明细!C180,存条明细!$D$4:D180,存条明细!D180)&gt;1,"",IFERROR(MATCH(存条明细!C180,总览汇总!$B$5:$B$304,0),900)*10000000+IFERROR(MATCH(存条明细!D180,基础资料!$E$5:$E$104,0),900)*10000+ROW()))</f>
        <v>570080180</v>
      </c>
      <c r="B180">
        <f>IFERROR(MATCH(SMALL($A$4:$A$4003,177),$A$4:$A$4003,0),"")</f>
        <v>104</v>
      </c>
      <c r="D180">
        <f>IF(AND(商品库存!B180&lt;&gt;"",商品库存!B180=客户查询!$B$4),COUNTIF(商品库存!$B$4:B180,客户查询!$B$4),"")</f>
      </c>
      <c r="E180">
        <f>IF(AND(商品库存!B180&lt;&gt;"",商品库存!B180=客户对账单!$B$4),COUNTIF(商品库存!$B$4:B180,客户对账单!$B$4),"")</f>
      </c>
      <c r="F180">
        <f>IF(AND(出库明细!C180&lt;&gt;"",出库明细!C180=客户对账单!$B$4,ISNUMBER(出库明细!B180),出库明细!B180&gt;=客户对账单!$G$4,出库明细!B180&lt;=客户对账单!$I$4),出库明细!B180+ROW()/100000,"")</f>
      </c>
      <c r="H180">
        <f>IF(AND(采购进货!C180&lt;&gt;"",采购进货!C180=供应商对账单!$B$4,ISNUMBER(采购进货!B180),采购进货!B180&gt;=供应商对账单!$G$4,采购进货!B180&lt;=供应商对账单!$I$4),采购进货!B180+ROW()/100000,"")</f>
      </c>
      <c r="J180">
        <f>IF(总览汇总!$B180="","",N(总览汇总!$K180)+SUMIFS(出库明细!$G$4:$G$3003,出库明细!$C$4:$C$3003,总览汇总!$B180,出库明细!$B$4:$B$3003,"&gt;="&amp;年初日,出库明细!$B$4:$B$3003,"&lt;="&amp;资产负债表!$D$3)-SUMIFS(资金台帐!$S$7:$S$3006,资金台帐!$J$7:$J$3006,总览汇总!$B180,资金台帐!$P$7:$P$3006,"应收",资金台帐!$B$7:$B$3006,"&gt;="&amp;年初日,资金台帐!$B$7:$B$3006,"&lt;="&amp;资产负债表!$D$3))</f>
      </c>
      <c r="N180">
        <f>IF(AND(ISNUMBER(出库明细!G180),ISNUMBER(出库明细!E180),ISNUMBER(出库明细!F180)),IF(ABS(出库明细!G180-出库明细!E180*出库明细!F180)&gt;0.005,1,0),0)</f>
        <v>0</v>
      </c>
      <c r="O180">
        <f>IF(AND(ISNUMBER(存条明细!G180),ISNUMBER(存条明细!E180),ISNUMBER(存条明细!F180)),IF(ABS(存条明细!G180-存条明细!E180*存条明细!F180)&gt;0.005,1,0),0)</f>
        <v>0</v>
      </c>
    </row>
    <row r="181">
      <c r="A181">
        <f>IF(OR(存条明细!C181="",存条明细!D181=""),"",IF(COUNTIFS(存条明细!$C$4:C181,存条明细!C181,存条明细!$D$4:D181,存条明细!D181)&gt;1,"",IFERROR(MATCH(存条明细!C181,总览汇总!$B$5:$B$304,0),900)*10000000+IFERROR(MATCH(存条明细!D181,基础资料!$E$5:$E$104,0),900)*10000+ROW()))</f>
        <v>580010181</v>
      </c>
      <c r="B181">
        <f>IFERROR(MATCH(SMALL($A$4:$A$4003,178),$A$4:$A$4003,0),"")</f>
        <v>106</v>
      </c>
      <c r="D181">
        <f>IF(AND(商品库存!B181&lt;&gt;"",商品库存!B181=客户查询!$B$4),COUNTIF(商品库存!$B$4:B181,客户查询!$B$4),"")</f>
      </c>
      <c r="E181">
        <f>IF(AND(商品库存!B181&lt;&gt;"",商品库存!B181=客户对账单!$B$4),COUNTIF(商品库存!$B$4:B181,客户对账单!$B$4),"")</f>
      </c>
      <c r="F181">
        <f>IF(AND(出库明细!C181&lt;&gt;"",出库明细!C181=客户对账单!$B$4,ISNUMBER(出库明细!B181),出库明细!B181&gt;=客户对账单!$G$4,出库明细!B181&lt;=客户对账单!$I$4),出库明细!B181+ROW()/100000,"")</f>
      </c>
      <c r="H181">
        <f>IF(AND(采购进货!C181&lt;&gt;"",采购进货!C181=供应商对账单!$B$4,ISNUMBER(采购进货!B181),采购进货!B181&gt;=供应商对账单!$G$4,采购进货!B181&lt;=供应商对账单!$I$4),采购进货!B181+ROW()/100000,"")</f>
      </c>
      <c r="J181">
        <f>IF(总览汇总!$B181="","",N(总览汇总!$K181)+SUMIFS(出库明细!$G$4:$G$3003,出库明细!$C$4:$C$3003,总览汇总!$B181,出库明细!$B$4:$B$3003,"&gt;="&amp;年初日,出库明细!$B$4:$B$3003,"&lt;="&amp;资产负债表!$D$3)-SUMIFS(资金台帐!$S$7:$S$3006,资金台帐!$J$7:$J$3006,总览汇总!$B181,资金台帐!$P$7:$P$3006,"应收",资金台帐!$B$7:$B$3006,"&gt;="&amp;年初日,资金台帐!$B$7:$B$3006,"&lt;="&amp;资产负债表!$D$3))</f>
      </c>
      <c r="N181">
        <f>IF(AND(ISNUMBER(出库明细!G181),ISNUMBER(出库明细!E181),ISNUMBER(出库明细!F181)),IF(ABS(出库明细!G181-出库明细!E181*出库明细!F181)&gt;0.005,1,0),0)</f>
        <v>0</v>
      </c>
      <c r="O181">
        <f>IF(AND(ISNUMBER(存条明细!G181),ISNUMBER(存条明细!E181),ISNUMBER(存条明细!F181)),IF(ABS(存条明细!G181-存条明细!E181*存条明细!F181)&gt;0.005,1,0),0)</f>
        <v>0</v>
      </c>
    </row>
    <row r="182">
      <c r="A182">
        <f>IF(OR(存条明细!C182="",存条明细!D182=""),"",IF(COUNTIFS(存条明细!$C$4:C182,存条明细!C182,存条明细!$D$4:D182,存条明细!D182)&gt;1,"",IFERROR(MATCH(存条明细!C182,总览汇总!$B$5:$B$304,0),900)*10000000+IFERROR(MATCH(存条明细!D182,基础资料!$E$5:$E$104,0),900)*10000+ROW()))</f>
      </c>
      <c r="B182">
        <f>IFERROR(MATCH(SMALL($A$4:$A$4003,179),$A$4:$A$4003,0),"")</f>
        <v>107</v>
      </c>
      <c r="D182">
        <f>IF(AND(商品库存!B182&lt;&gt;"",商品库存!B182=客户查询!$B$4),COUNTIF(商品库存!$B$4:B182,客户查询!$B$4),"")</f>
      </c>
      <c r="E182">
        <f>IF(AND(商品库存!B182&lt;&gt;"",商品库存!B182=客户对账单!$B$4),COUNTIF(商品库存!$B$4:B182,客户对账单!$B$4),"")</f>
      </c>
      <c r="F182">
        <f>IF(AND(出库明细!C182&lt;&gt;"",出库明细!C182=客户对账单!$B$4,ISNUMBER(出库明细!B182),出库明细!B182&gt;=客户对账单!$G$4,出库明细!B182&lt;=客户对账单!$I$4),出库明细!B182+ROW()/100000,"")</f>
      </c>
      <c r="H182">
        <f>IF(AND(采购进货!C182&lt;&gt;"",采购进货!C182=供应商对账单!$B$4,ISNUMBER(采购进货!B182),采购进货!B182&gt;=供应商对账单!$G$4,采购进货!B182&lt;=供应商对账单!$I$4),采购进货!B182+ROW()/100000,"")</f>
      </c>
      <c r="J182">
        <f>IF(总览汇总!$B182="","",N(总览汇总!$K182)+SUMIFS(出库明细!$G$4:$G$3003,出库明细!$C$4:$C$3003,总览汇总!$B182,出库明细!$B$4:$B$3003,"&gt;="&amp;年初日,出库明细!$B$4:$B$3003,"&lt;="&amp;资产负债表!$D$3)-SUMIFS(资金台帐!$S$7:$S$3006,资金台帐!$J$7:$J$3006,总览汇总!$B182,资金台帐!$P$7:$P$3006,"应收",资金台帐!$B$7:$B$3006,"&gt;="&amp;年初日,资金台帐!$B$7:$B$3006,"&lt;="&amp;资产负债表!$D$3))</f>
      </c>
      <c r="N182">
        <f>IF(AND(ISNUMBER(出库明细!G182),ISNUMBER(出库明细!E182),ISNUMBER(出库明细!F182)),IF(ABS(出库明细!G182-出库明细!E182*出库明细!F182)&gt;0.005,1,0),0)</f>
        <v>0</v>
      </c>
      <c r="O182">
        <f>IF(AND(ISNUMBER(存条明细!G182),ISNUMBER(存条明细!E182),ISNUMBER(存条明细!F182)),IF(ABS(存条明细!G182-存条明细!E182*存条明细!F182)&gt;0.005,1,0),0)</f>
        <v>0</v>
      </c>
    </row>
    <row r="183">
      <c r="A183">
        <f>IF(OR(存条明细!C183="",存条明细!D183=""),"",IF(COUNTIFS(存条明细!$C$4:C183,存条明细!C183,存条明细!$D$4:D183,存条明细!D183)&gt;1,"",IFERROR(MATCH(存条明细!C183,总览汇总!$B$5:$B$304,0),900)*10000000+IFERROR(MATCH(存条明细!D183,基础资料!$E$5:$E$104,0),900)*10000+ROW()))</f>
      </c>
      <c r="B183">
        <f>IFERROR(MATCH(SMALL($A$4:$A$4003,180),$A$4:$A$4003,0),"")</f>
        <v>108</v>
      </c>
      <c r="D183">
        <f>IF(AND(商品库存!B183&lt;&gt;"",商品库存!B183=客户查询!$B$4),COUNTIF(商品库存!$B$4:B183,客户查询!$B$4),"")</f>
      </c>
      <c r="E183">
        <f>IF(AND(商品库存!B183&lt;&gt;"",商品库存!B183=客户对账单!$B$4),COUNTIF(商品库存!$B$4:B183,客户对账单!$B$4),"")</f>
      </c>
      <c r="F183">
        <f>IF(AND(出库明细!C183&lt;&gt;"",出库明细!C183=客户对账单!$B$4,ISNUMBER(出库明细!B183),出库明细!B183&gt;=客户对账单!$G$4,出库明细!B183&lt;=客户对账单!$I$4),出库明细!B183+ROW()/100000,"")</f>
      </c>
      <c r="H183">
        <f>IF(AND(采购进货!C183&lt;&gt;"",采购进货!C183=供应商对账单!$B$4,ISNUMBER(采购进货!B183),采购进货!B183&gt;=供应商对账单!$G$4,采购进货!B183&lt;=供应商对账单!$I$4),采购进货!B183+ROW()/100000,"")</f>
      </c>
      <c r="J183">
        <f>IF(总览汇总!$B183="","",N(总览汇总!$K183)+SUMIFS(出库明细!$G$4:$G$3003,出库明细!$C$4:$C$3003,总览汇总!$B183,出库明细!$B$4:$B$3003,"&gt;="&amp;年初日,出库明细!$B$4:$B$3003,"&lt;="&amp;资产负债表!$D$3)-SUMIFS(资金台帐!$S$7:$S$3006,资金台帐!$J$7:$J$3006,总览汇总!$B183,资金台帐!$P$7:$P$3006,"应收",资金台帐!$B$7:$B$3006,"&gt;="&amp;年初日,资金台帐!$B$7:$B$3006,"&lt;="&amp;资产负债表!$D$3))</f>
      </c>
      <c r="N183">
        <f>IF(AND(ISNUMBER(出库明细!G183),ISNUMBER(出库明细!E183),ISNUMBER(出库明细!F183)),IF(ABS(出库明细!G183-出库明细!E183*出库明细!F183)&gt;0.005,1,0),0)</f>
        <v>0</v>
      </c>
      <c r="O183">
        <f>IF(AND(ISNUMBER(存条明细!G183),ISNUMBER(存条明细!E183),ISNUMBER(存条明细!F183)),IF(ABS(存条明细!G183-存条明细!E183*存条明细!F183)&gt;0.005,1,0),0)</f>
        <v>0</v>
      </c>
    </row>
    <row r="184">
      <c r="A184">
        <f>IF(OR(存条明细!C184="",存条明细!D184=""),"",IF(COUNTIFS(存条明细!$C$4:C184,存条明细!C184,存条明细!$D$4:D184,存条明细!D184)&gt;1,"",IFERROR(MATCH(存条明细!C184,总览汇总!$B$5:$B$304,0),900)*10000000+IFERROR(MATCH(存条明细!D184,基础资料!$E$5:$E$104,0),900)*10000+ROW()))</f>
        <v>90050184</v>
      </c>
      <c r="B184">
        <f>IFERROR(MATCH(SMALL($A$4:$A$4003,181),$A$4:$A$4003,0),"")</f>
        <v>114</v>
      </c>
      <c r="D184">
        <f>IF(AND(商品库存!B184&lt;&gt;"",商品库存!B184=客户查询!$B$4),COUNTIF(商品库存!$B$4:B184,客户查询!$B$4),"")</f>
      </c>
      <c r="E184">
        <f>IF(AND(商品库存!B184&lt;&gt;"",商品库存!B184=客户对账单!$B$4),COUNTIF(商品库存!$B$4:B184,客户对账单!$B$4),"")</f>
      </c>
      <c r="F184">
        <f>IF(AND(出库明细!C184&lt;&gt;"",出库明细!C184=客户对账单!$B$4,ISNUMBER(出库明细!B184),出库明细!B184&gt;=客户对账单!$G$4,出库明细!B184&lt;=客户对账单!$I$4),出库明细!B184+ROW()/100000,"")</f>
      </c>
      <c r="H184">
        <f>IF(AND(采购进货!C184&lt;&gt;"",采购进货!C184=供应商对账单!$B$4,ISNUMBER(采购进货!B184),采购进货!B184&gt;=供应商对账单!$G$4,采购进货!B184&lt;=供应商对账单!$I$4),采购进货!B184+ROW()/100000,"")</f>
      </c>
      <c r="J184">
        <f>IF(总览汇总!$B184="","",N(总览汇总!$K184)+SUMIFS(出库明细!$G$4:$G$3003,出库明细!$C$4:$C$3003,总览汇总!$B184,出库明细!$B$4:$B$3003,"&gt;="&amp;年初日,出库明细!$B$4:$B$3003,"&lt;="&amp;资产负债表!$D$3)-SUMIFS(资金台帐!$S$7:$S$3006,资金台帐!$J$7:$J$3006,总览汇总!$B184,资金台帐!$P$7:$P$3006,"应收",资金台帐!$B$7:$B$3006,"&gt;="&amp;年初日,资金台帐!$B$7:$B$3006,"&lt;="&amp;资产负债表!$D$3))</f>
      </c>
      <c r="N184">
        <f>IF(AND(ISNUMBER(出库明细!G184),ISNUMBER(出库明细!E184),ISNUMBER(出库明细!F184)),IF(ABS(出库明细!G184-出库明细!E184*出库明细!F184)&gt;0.005,1,0),0)</f>
        <v>0</v>
      </c>
      <c r="O184">
        <f>IF(AND(ISNUMBER(存条明细!G184),ISNUMBER(存条明细!E184),ISNUMBER(存条明细!F184)),IF(ABS(存条明细!G184-存条明细!E184*存条明细!F184)&gt;0.005,1,0),0)</f>
        <v>0</v>
      </c>
    </row>
    <row r="185">
      <c r="A185">
        <f>IF(OR(存条明细!C185="",存条明细!D185=""),"",IF(COUNTIFS(存条明细!$C$4:C185,存条明细!C185,存条明细!$D$4:D185,存条明细!D185)&gt;1,"",IFERROR(MATCH(存条明细!C185,总览汇总!$B$5:$B$304,0),900)*10000000+IFERROR(MATCH(存条明细!D185,基础资料!$E$5:$E$104,0),900)*10000+ROW()))</f>
      </c>
      <c r="B185">
        <f>IFERROR(MATCH(SMALL($A$4:$A$4003,182),$A$4:$A$4003,0),"")</f>
        <v>117</v>
      </c>
      <c r="D185">
        <f>IF(AND(商品库存!B185&lt;&gt;"",商品库存!B185=客户查询!$B$4),COUNTIF(商品库存!$B$4:B185,客户查询!$B$4),"")</f>
      </c>
      <c r="E185">
        <f>IF(AND(商品库存!B185&lt;&gt;"",商品库存!B185=客户对账单!$B$4),COUNTIF(商品库存!$B$4:B185,客户对账单!$B$4),"")</f>
      </c>
      <c r="F185">
        <f>IF(AND(出库明细!C185&lt;&gt;"",出库明细!C185=客户对账单!$B$4,ISNUMBER(出库明细!B185),出库明细!B185&gt;=客户对账单!$G$4,出库明细!B185&lt;=客户对账单!$I$4),出库明细!B185+ROW()/100000,"")</f>
      </c>
      <c r="H185">
        <f>IF(AND(采购进货!C185&lt;&gt;"",采购进货!C185=供应商对账单!$B$4,ISNUMBER(采购进货!B185),采购进货!B185&gt;=供应商对账单!$G$4,采购进货!B185&lt;=供应商对账单!$I$4),采购进货!B185+ROW()/100000,"")</f>
      </c>
      <c r="J185">
        <f>IF(总览汇总!$B185="","",N(总览汇总!$K185)+SUMIFS(出库明细!$G$4:$G$3003,出库明细!$C$4:$C$3003,总览汇总!$B185,出库明细!$B$4:$B$3003,"&gt;="&amp;年初日,出库明细!$B$4:$B$3003,"&lt;="&amp;资产负债表!$D$3)-SUMIFS(资金台帐!$S$7:$S$3006,资金台帐!$J$7:$J$3006,总览汇总!$B185,资金台帐!$P$7:$P$3006,"应收",资金台帐!$B$7:$B$3006,"&gt;="&amp;年初日,资金台帐!$B$7:$B$3006,"&lt;="&amp;资产负债表!$D$3))</f>
      </c>
      <c r="N185">
        <f>IF(AND(ISNUMBER(出库明细!G185),ISNUMBER(出库明细!E185),ISNUMBER(出库明细!F185)),IF(ABS(出库明细!G185-出库明细!E185*出库明细!F185)&gt;0.005,1,0),0)</f>
        <v>0</v>
      </c>
      <c r="O185">
        <f>IF(AND(ISNUMBER(存条明细!G185),ISNUMBER(存条明细!E185),ISNUMBER(存条明细!F185)),IF(ABS(存条明细!G185-存条明细!E185*存条明细!F185)&gt;0.005,1,0),0)</f>
        <v>0</v>
      </c>
    </row>
    <row r="186">
      <c r="A186">
        <f>IF(OR(存条明细!C186="",存条明细!D186=""),"",IF(COUNTIFS(存条明细!$C$4:C186,存条明细!C186,存条明细!$D$4:D186,存条明细!D186)&gt;1,"",IFERROR(MATCH(存条明细!C186,总览汇总!$B$5:$B$304,0),900)*10000000+IFERROR(MATCH(存条明细!D186,基础资料!$E$5:$E$104,0),900)*10000+ROW()))</f>
        <v>90060186</v>
      </c>
      <c r="B186">
        <f>IFERROR(MATCH(SMALL($A$4:$A$4003,183),$A$4:$A$4003,0),"")</f>
        <v>109</v>
      </c>
      <c r="D186">
        <f>IF(AND(商品库存!B186&lt;&gt;"",商品库存!B186=客户查询!$B$4),COUNTIF(商品库存!$B$4:B186,客户查询!$B$4),"")</f>
      </c>
      <c r="E186">
        <f>IF(AND(商品库存!B186&lt;&gt;"",商品库存!B186=客户对账单!$B$4),COUNTIF(商品库存!$B$4:B186,客户对账单!$B$4),"")</f>
      </c>
      <c r="F186">
        <f>IF(AND(出库明细!C186&lt;&gt;"",出库明细!C186=客户对账单!$B$4,ISNUMBER(出库明细!B186),出库明细!B186&gt;=客户对账单!$G$4,出库明细!B186&lt;=客户对账单!$I$4),出库明细!B186+ROW()/100000,"")</f>
      </c>
      <c r="H186">
        <f>IF(AND(采购进货!C186&lt;&gt;"",采购进货!C186=供应商对账单!$B$4,ISNUMBER(采购进货!B186),采购进货!B186&gt;=供应商对账单!$G$4,采购进货!B186&lt;=供应商对账单!$I$4),采购进货!B186+ROW()/100000,"")</f>
      </c>
      <c r="J186">
        <f>IF(总览汇总!$B186="","",N(总览汇总!$K186)+SUMIFS(出库明细!$G$4:$G$3003,出库明细!$C$4:$C$3003,总览汇总!$B186,出库明细!$B$4:$B$3003,"&gt;="&amp;年初日,出库明细!$B$4:$B$3003,"&lt;="&amp;资产负债表!$D$3)-SUMIFS(资金台帐!$S$7:$S$3006,资金台帐!$J$7:$J$3006,总览汇总!$B186,资金台帐!$P$7:$P$3006,"应收",资金台帐!$B$7:$B$3006,"&gt;="&amp;年初日,资金台帐!$B$7:$B$3006,"&lt;="&amp;资产负债表!$D$3))</f>
      </c>
      <c r="N186">
        <f>IF(AND(ISNUMBER(出库明细!G186),ISNUMBER(出库明细!E186),ISNUMBER(出库明细!F186)),IF(ABS(出库明细!G186-出库明细!E186*出库明细!F186)&gt;0.005,1,0),0)</f>
        <v>0</v>
      </c>
      <c r="O186">
        <f>IF(AND(ISNUMBER(存条明细!G186),ISNUMBER(存条明细!E186),ISNUMBER(存条明细!F186)),IF(ABS(存条明细!G186-存条明细!E186*存条明细!F186)&gt;0.005,1,0),0)</f>
        <v>0</v>
      </c>
    </row>
    <row r="187">
      <c r="A187">
        <f>IF(OR(存条明细!C187="",存条明细!D187=""),"",IF(COUNTIFS(存条明细!$C$4:C187,存条明细!C187,存条明细!$D$4:D187,存条明细!D187)&gt;1,"",IFERROR(MATCH(存条明细!C187,总览汇总!$B$5:$B$304,0),900)*10000000+IFERROR(MATCH(存条明细!D187,基础资料!$E$5:$E$104,0),900)*10000+ROW()))</f>
      </c>
      <c r="B187">
        <f>IFERROR(MATCH(SMALL($A$4:$A$4003,184),$A$4:$A$4003,0),"")</f>
        <v>116</v>
      </c>
      <c r="D187">
        <f>IF(AND(商品库存!B187&lt;&gt;"",商品库存!B187=客户查询!$B$4),COUNTIF(商品库存!$B$4:B187,客户查询!$B$4),"")</f>
      </c>
      <c r="E187">
        <f>IF(AND(商品库存!B187&lt;&gt;"",商品库存!B187=客户对账单!$B$4),COUNTIF(商品库存!$B$4:B187,客户对账单!$B$4),"")</f>
      </c>
      <c r="F187">
        <f>IF(AND(出库明细!C187&lt;&gt;"",出库明细!C187=客户对账单!$B$4,ISNUMBER(出库明细!B187),出库明细!B187&gt;=客户对账单!$G$4,出库明细!B187&lt;=客户对账单!$I$4),出库明细!B187+ROW()/100000,"")</f>
      </c>
      <c r="H187">
        <f>IF(AND(采购进货!C187&lt;&gt;"",采购进货!C187=供应商对账单!$B$4,ISNUMBER(采购进货!B187),采购进货!B187&gt;=供应商对账单!$G$4,采购进货!B187&lt;=供应商对账单!$I$4),采购进货!B187+ROW()/100000,"")</f>
      </c>
      <c r="J187">
        <f>IF(总览汇总!$B187="","",N(总览汇总!$K187)+SUMIFS(出库明细!$G$4:$G$3003,出库明细!$C$4:$C$3003,总览汇总!$B187,出库明细!$B$4:$B$3003,"&gt;="&amp;年初日,出库明细!$B$4:$B$3003,"&lt;="&amp;资产负债表!$D$3)-SUMIFS(资金台帐!$S$7:$S$3006,资金台帐!$J$7:$J$3006,总览汇总!$B187,资金台帐!$P$7:$P$3006,"应收",资金台帐!$B$7:$B$3006,"&gt;="&amp;年初日,资金台帐!$B$7:$B$3006,"&lt;="&amp;资产负债表!$D$3))</f>
      </c>
      <c r="N187">
        <f>IF(AND(ISNUMBER(出库明细!G187),ISNUMBER(出库明细!E187),ISNUMBER(出库明细!F187)),IF(ABS(出库明细!G187-出库明细!E187*出库明细!F187)&gt;0.005,1,0),0)</f>
        <v>0</v>
      </c>
      <c r="O187">
        <f>IF(AND(ISNUMBER(存条明细!G187),ISNUMBER(存条明细!E187),ISNUMBER(存条明细!F187)),IF(ABS(存条明细!G187-存条明细!E187*存条明细!F187)&gt;0.005,1,0),0)</f>
        <v>0</v>
      </c>
    </row>
    <row r="188">
      <c r="A188">
        <f>IF(OR(存条明细!C188="",存条明细!D188=""),"",IF(COUNTIFS(存条明细!$C$4:C188,存条明细!C188,存条明细!$D$4:D188,存条明细!D188)&gt;1,"",IFERROR(MATCH(存条明细!C188,总览汇总!$B$5:$B$304,0),900)*10000000+IFERROR(MATCH(存条明细!D188,基础资料!$E$5:$E$104,0),900)*10000+ROW()))</f>
        <v>590010188</v>
      </c>
      <c r="B188">
        <f>IFERROR(MATCH(SMALL($A$4:$A$4003,185),$A$4:$A$4003,0),"")</f>
        <v>111</v>
      </c>
      <c r="D188">
        <f>IF(AND(商品库存!B188&lt;&gt;"",商品库存!B188=客户查询!$B$4),COUNTIF(商品库存!$B$4:B188,客户查询!$B$4),"")</f>
      </c>
      <c r="E188">
        <f>IF(AND(商品库存!B188&lt;&gt;"",商品库存!B188=客户对账单!$B$4),COUNTIF(商品库存!$B$4:B188,客户对账单!$B$4),"")</f>
      </c>
      <c r="F188">
        <f>IF(AND(出库明细!C188&lt;&gt;"",出库明细!C188=客户对账单!$B$4,ISNUMBER(出库明细!B188),出库明细!B188&gt;=客户对账单!$G$4,出库明细!B188&lt;=客户对账单!$I$4),出库明细!B188+ROW()/100000,"")</f>
      </c>
      <c r="H188">
        <f>IF(AND(采购进货!C188&lt;&gt;"",采购进货!C188=供应商对账单!$B$4,ISNUMBER(采购进货!B188),采购进货!B188&gt;=供应商对账单!$G$4,采购进货!B188&lt;=供应商对账单!$I$4),采购进货!B188+ROW()/100000,"")</f>
      </c>
      <c r="J188">
        <f>IF(总览汇总!$B188="","",N(总览汇总!$K188)+SUMIFS(出库明细!$G$4:$G$3003,出库明细!$C$4:$C$3003,总览汇总!$B188,出库明细!$B$4:$B$3003,"&gt;="&amp;年初日,出库明细!$B$4:$B$3003,"&lt;="&amp;资产负债表!$D$3)-SUMIFS(资金台帐!$S$7:$S$3006,资金台帐!$J$7:$J$3006,总览汇总!$B188,资金台帐!$P$7:$P$3006,"应收",资金台帐!$B$7:$B$3006,"&gt;="&amp;年初日,资金台帐!$B$7:$B$3006,"&lt;="&amp;资产负债表!$D$3))</f>
      </c>
      <c r="N188">
        <f>IF(AND(ISNUMBER(出库明细!G188),ISNUMBER(出库明细!E188),ISNUMBER(出库明细!F188)),IF(ABS(出库明细!G188-出库明细!E188*出库明细!F188)&gt;0.005,1,0),0)</f>
        <v>0</v>
      </c>
      <c r="O188">
        <f>IF(AND(ISNUMBER(存条明细!G188),ISNUMBER(存条明细!E188),ISNUMBER(存条明细!F188)),IF(ABS(存条明细!G188-存条明细!E188*存条明细!F188)&gt;0.005,1,0),0)</f>
        <v>0</v>
      </c>
    </row>
    <row r="189">
      <c r="A189">
        <f>IF(OR(存条明细!C189="",存条明细!D189=""),"",IF(COUNTIFS(存条明细!$C$4:C189,存条明细!C189,存条明细!$D$4:D189,存条明细!D189)&gt;1,"",IFERROR(MATCH(存条明细!C189,总览汇总!$B$5:$B$304,0),900)*10000000+IFERROR(MATCH(存条明细!D189,基础资料!$E$5:$E$104,0),900)*10000+ROW()))</f>
        <v>600010189</v>
      </c>
      <c r="B189">
        <f>IFERROR(MATCH(SMALL($A$4:$A$4003,186),$A$4:$A$4003,0),"")</f>
        <v>115</v>
      </c>
      <c r="D189">
        <f>IF(AND(商品库存!B189&lt;&gt;"",商品库存!B189=客户查询!$B$4),COUNTIF(商品库存!$B$4:B189,客户查询!$B$4),"")</f>
      </c>
      <c r="E189">
        <f>IF(AND(商品库存!B189&lt;&gt;"",商品库存!B189=客户对账单!$B$4),COUNTIF(商品库存!$B$4:B189,客户对账单!$B$4),"")</f>
      </c>
      <c r="F189">
        <f>IF(AND(出库明细!C189&lt;&gt;"",出库明细!C189=客户对账单!$B$4,ISNUMBER(出库明细!B189),出库明细!B189&gt;=客户对账单!$G$4,出库明细!B189&lt;=客户对账单!$I$4),出库明细!B189+ROW()/100000,"")</f>
      </c>
      <c r="H189">
        <f>IF(AND(采购进货!C189&lt;&gt;"",采购进货!C189=供应商对账单!$B$4,ISNUMBER(采购进货!B189),采购进货!B189&gt;=供应商对账单!$G$4,采购进货!B189&lt;=供应商对账单!$I$4),采购进货!B189+ROW()/100000,"")</f>
      </c>
      <c r="J189">
        <f>IF(总览汇总!$B189="","",N(总览汇总!$K189)+SUMIFS(出库明细!$G$4:$G$3003,出库明细!$C$4:$C$3003,总览汇总!$B189,出库明细!$B$4:$B$3003,"&gt;="&amp;年初日,出库明细!$B$4:$B$3003,"&lt;="&amp;资产负债表!$D$3)-SUMIFS(资金台帐!$S$7:$S$3006,资金台帐!$J$7:$J$3006,总览汇总!$B189,资金台帐!$P$7:$P$3006,"应收",资金台帐!$B$7:$B$3006,"&gt;="&amp;年初日,资金台帐!$B$7:$B$3006,"&lt;="&amp;资产负债表!$D$3))</f>
      </c>
      <c r="N189">
        <f>IF(AND(ISNUMBER(出库明细!G189),ISNUMBER(出库明细!E189),ISNUMBER(出库明细!F189)),IF(ABS(出库明细!G189-出库明细!E189*出库明细!F189)&gt;0.005,1,0),0)</f>
        <v>0</v>
      </c>
      <c r="O189">
        <f>IF(AND(ISNUMBER(存条明细!G189),ISNUMBER(存条明细!E189),ISNUMBER(存条明细!F189)),IF(ABS(存条明细!G189-存条明细!E189*存条明细!F189)&gt;0.005,1,0),0)</f>
        <v>0</v>
      </c>
    </row>
    <row r="190">
      <c r="A190">
        <f>IF(OR(存条明细!C190="",存条明细!D190=""),"",IF(COUNTIFS(存条明细!$C$4:C190,存条明细!C190,存条明细!$D$4:D190,存条明细!D190)&gt;1,"",IFERROR(MATCH(存条明细!C190,总览汇总!$B$5:$B$304,0),900)*10000000+IFERROR(MATCH(存条明细!D190,基础资料!$E$5:$E$104,0),900)*10000+ROW()))</f>
      </c>
      <c r="B190">
        <f>IFERROR(MATCH(SMALL($A$4:$A$4003,187),$A$4:$A$4003,0),"")</f>
        <v>113</v>
      </c>
      <c r="D190">
        <f>IF(AND(商品库存!B190&lt;&gt;"",商品库存!B190=客户查询!$B$4),COUNTIF(商品库存!$B$4:B190,客户查询!$B$4),"")</f>
      </c>
      <c r="E190">
        <f>IF(AND(商品库存!B190&lt;&gt;"",商品库存!B190=客户对账单!$B$4),COUNTIF(商品库存!$B$4:B190,客户对账单!$B$4),"")</f>
      </c>
      <c r="F190">
        <f>IF(AND(出库明细!C190&lt;&gt;"",出库明细!C190=客户对账单!$B$4,ISNUMBER(出库明细!B190),出库明细!B190&gt;=客户对账单!$G$4,出库明细!B190&lt;=客户对账单!$I$4),出库明细!B190+ROW()/100000,"")</f>
      </c>
      <c r="H190">
        <f>IF(AND(采购进货!C190&lt;&gt;"",采购进货!C190=供应商对账单!$B$4,ISNUMBER(采购进货!B190),采购进货!B190&gt;=供应商对账单!$G$4,采购进货!B190&lt;=供应商对账单!$I$4),采购进货!B190+ROW()/100000,"")</f>
      </c>
      <c r="J190">
        <f>IF(总览汇总!$B190="","",N(总览汇总!$K190)+SUMIFS(出库明细!$G$4:$G$3003,出库明细!$C$4:$C$3003,总览汇总!$B190,出库明细!$B$4:$B$3003,"&gt;="&amp;年初日,出库明细!$B$4:$B$3003,"&lt;="&amp;资产负债表!$D$3)-SUMIFS(资金台帐!$S$7:$S$3006,资金台帐!$J$7:$J$3006,总览汇总!$B190,资金台帐!$P$7:$P$3006,"应收",资金台帐!$B$7:$B$3006,"&gt;="&amp;年初日,资金台帐!$B$7:$B$3006,"&lt;="&amp;资产负债表!$D$3))</f>
      </c>
      <c r="N190">
        <f>IF(AND(ISNUMBER(出库明细!G190),ISNUMBER(出库明细!E190),ISNUMBER(出库明细!F190)),IF(ABS(出库明细!G190-出库明细!E190*出库明细!F190)&gt;0.005,1,0),0)</f>
        <v>0</v>
      </c>
      <c r="O190">
        <f>IF(AND(ISNUMBER(存条明细!G190),ISNUMBER(存条明细!E190),ISNUMBER(存条明细!F190)),IF(ABS(存条明细!G190-存条明细!E190*存条明细!F190)&gt;0.005,1,0),0)</f>
        <v>0</v>
      </c>
    </row>
    <row r="191">
      <c r="A191">
        <f>IF(OR(存条明细!C191="",存条明细!D191=""),"",IF(COUNTIFS(存条明细!$C$4:C191,存条明细!C191,存条明细!$D$4:D191,存条明细!D191)&gt;1,"",IFERROR(MATCH(存条明细!C191,总览汇总!$B$5:$B$304,0),900)*10000000+IFERROR(MATCH(存条明细!D191,基础资料!$E$5:$E$104,0),900)*10000+ROW()))</f>
        <v>600030191</v>
      </c>
      <c r="B191">
        <f>IFERROR(MATCH(SMALL($A$4:$A$4003,188),$A$4:$A$4003,0),"")</f>
        <v>110</v>
      </c>
      <c r="D191">
        <f>IF(AND(商品库存!B191&lt;&gt;"",商品库存!B191=客户查询!$B$4),COUNTIF(商品库存!$B$4:B191,客户查询!$B$4),"")</f>
      </c>
      <c r="E191">
        <f>IF(AND(商品库存!B191&lt;&gt;"",商品库存!B191=客户对账单!$B$4),COUNTIF(商品库存!$B$4:B191,客户对账单!$B$4),"")</f>
      </c>
      <c r="F191">
        <f>IF(AND(出库明细!C191&lt;&gt;"",出库明细!C191=客户对账单!$B$4,ISNUMBER(出库明细!B191),出库明细!B191&gt;=客户对账单!$G$4,出库明细!B191&lt;=客户对账单!$I$4),出库明细!B191+ROW()/100000,"")</f>
      </c>
      <c r="H191">
        <f>IF(AND(采购进货!C191&lt;&gt;"",采购进货!C191=供应商对账单!$B$4,ISNUMBER(采购进货!B191),采购进货!B191&gt;=供应商对账单!$G$4,采购进货!B191&lt;=供应商对账单!$I$4),采购进货!B191+ROW()/100000,"")</f>
      </c>
      <c r="J191">
        <f>IF(总览汇总!$B191="","",N(总览汇总!$K191)+SUMIFS(出库明细!$G$4:$G$3003,出库明细!$C$4:$C$3003,总览汇总!$B191,出库明细!$B$4:$B$3003,"&gt;="&amp;年初日,出库明细!$B$4:$B$3003,"&lt;="&amp;资产负债表!$D$3)-SUMIFS(资金台帐!$S$7:$S$3006,资金台帐!$J$7:$J$3006,总览汇总!$B191,资金台帐!$P$7:$P$3006,"应收",资金台帐!$B$7:$B$3006,"&gt;="&amp;年初日,资金台帐!$B$7:$B$3006,"&lt;="&amp;资产负债表!$D$3))</f>
      </c>
      <c r="N191">
        <f>IF(AND(ISNUMBER(出库明细!G191),ISNUMBER(出库明细!E191),ISNUMBER(出库明细!F191)),IF(ABS(出库明细!G191-出库明细!E191*出库明细!F191)&gt;0.005,1,0),0)</f>
        <v>0</v>
      </c>
      <c r="O191">
        <f>IF(AND(ISNUMBER(存条明细!G191),ISNUMBER(存条明细!E191),ISNUMBER(存条明细!F191)),IF(ABS(存条明细!G191-存条明细!E191*存条明细!F191)&gt;0.005,1,0),0)</f>
        <v>0</v>
      </c>
    </row>
    <row r="192">
      <c r="A192">
        <f>IF(OR(存条明细!C192="",存条明细!D192=""),"",IF(COUNTIFS(存条明细!$C$4:C192,存条明细!C192,存条明细!$D$4:D192,存条明细!D192)&gt;1,"",IFERROR(MATCH(存条明细!C192,总览汇总!$B$5:$B$304,0),900)*10000000+IFERROR(MATCH(存条明细!D192,基础资料!$E$5:$E$104,0),900)*10000+ROW()))</f>
      </c>
      <c r="B192">
        <f>IFERROR(MATCH(SMALL($A$4:$A$4003,189),$A$4:$A$4003,0),"")</f>
        <v>112</v>
      </c>
      <c r="D192">
        <f>IF(AND(商品库存!B192&lt;&gt;"",商品库存!B192=客户查询!$B$4),COUNTIF(商品库存!$B$4:B192,客户查询!$B$4),"")</f>
      </c>
      <c r="E192">
        <f>IF(AND(商品库存!B192&lt;&gt;"",商品库存!B192=客户对账单!$B$4),COUNTIF(商品库存!$B$4:B192,客户对账单!$B$4),"")</f>
      </c>
      <c r="F192">
        <f>IF(AND(出库明细!C192&lt;&gt;"",出库明细!C192=客户对账单!$B$4,ISNUMBER(出库明细!B192),出库明细!B192&gt;=客户对账单!$G$4,出库明细!B192&lt;=客户对账单!$I$4),出库明细!B192+ROW()/100000,"")</f>
      </c>
      <c r="H192">
        <f>IF(AND(采购进货!C192&lt;&gt;"",采购进货!C192=供应商对账单!$B$4,ISNUMBER(采购进货!B192),采购进货!B192&gt;=供应商对账单!$G$4,采购进货!B192&lt;=供应商对账单!$I$4),采购进货!B192+ROW()/100000,"")</f>
      </c>
      <c r="J192">
        <f>IF(总览汇总!$B192="","",N(总览汇总!$K192)+SUMIFS(出库明细!$G$4:$G$3003,出库明细!$C$4:$C$3003,总览汇总!$B192,出库明细!$B$4:$B$3003,"&gt;="&amp;年初日,出库明细!$B$4:$B$3003,"&lt;="&amp;资产负债表!$D$3)-SUMIFS(资金台帐!$S$7:$S$3006,资金台帐!$J$7:$J$3006,总览汇总!$B192,资金台帐!$P$7:$P$3006,"应收",资金台帐!$B$7:$B$3006,"&gt;="&amp;年初日,资金台帐!$B$7:$B$3006,"&lt;="&amp;资产负债表!$D$3))</f>
      </c>
      <c r="N192">
        <f>IF(AND(ISNUMBER(出库明细!G192),ISNUMBER(出库明细!E192),ISNUMBER(出库明细!F192)),IF(ABS(出库明细!G192-出库明细!E192*出库明细!F192)&gt;0.005,1,0),0)</f>
        <v>0</v>
      </c>
      <c r="O192">
        <f>IF(AND(ISNUMBER(存条明细!G192),ISNUMBER(存条明细!E192),ISNUMBER(存条明细!F192)),IF(ABS(存条明细!G192-存条明细!E192*存条明细!F192)&gt;0.005,1,0),0)</f>
        <v>0</v>
      </c>
    </row>
    <row r="193">
      <c r="A193">
        <f>IF(OR(存条明细!C193="",存条明细!D193=""),"",IF(COUNTIFS(存条明细!$C$4:C193,存条明细!C193,存条明细!$D$4:D193,存条明细!D193)&gt;1,"",IFERROR(MATCH(存条明细!C193,总览汇总!$B$5:$B$304,0),900)*10000000+IFERROR(MATCH(存条明细!D193,基础资料!$E$5:$E$104,0),900)*10000+ROW()))</f>
        <v>610010193</v>
      </c>
      <c r="B193">
        <f>IFERROR(MATCH(SMALL($A$4:$A$4003,190),$A$4:$A$4003,0),"")</f>
        <v>119</v>
      </c>
      <c r="D193">
        <f>IF(AND(商品库存!B193&lt;&gt;"",商品库存!B193=客户查询!$B$4),COUNTIF(商品库存!$B$4:B193,客户查询!$B$4),"")</f>
      </c>
      <c r="E193">
        <f>IF(AND(商品库存!B193&lt;&gt;"",商品库存!B193=客户对账单!$B$4),COUNTIF(商品库存!$B$4:B193,客户对账单!$B$4),"")</f>
      </c>
      <c r="F193">
        <f>IF(AND(出库明细!C193&lt;&gt;"",出库明细!C193=客户对账单!$B$4,ISNUMBER(出库明细!B193),出库明细!B193&gt;=客户对账单!$G$4,出库明细!B193&lt;=客户对账单!$I$4),出库明细!B193+ROW()/100000,"")</f>
      </c>
      <c r="H193">
        <f>IF(AND(采购进货!C193&lt;&gt;"",采购进货!C193=供应商对账单!$B$4,ISNUMBER(采购进货!B193),采购进货!B193&gt;=供应商对账单!$G$4,采购进货!B193&lt;=供应商对账单!$I$4),采购进货!B193+ROW()/100000,"")</f>
      </c>
      <c r="J193">
        <f>IF(总览汇总!$B193="","",N(总览汇总!$K193)+SUMIFS(出库明细!$G$4:$G$3003,出库明细!$C$4:$C$3003,总览汇总!$B193,出库明细!$B$4:$B$3003,"&gt;="&amp;年初日,出库明细!$B$4:$B$3003,"&lt;="&amp;资产负债表!$D$3)-SUMIFS(资金台帐!$S$7:$S$3006,资金台帐!$J$7:$J$3006,总览汇总!$B193,资金台帐!$P$7:$P$3006,"应收",资金台帐!$B$7:$B$3006,"&gt;="&amp;年初日,资金台帐!$B$7:$B$3006,"&lt;="&amp;资产负债表!$D$3))</f>
      </c>
      <c r="N193">
        <f>IF(AND(ISNUMBER(出库明细!G193),ISNUMBER(出库明细!E193),ISNUMBER(出库明细!F193)),IF(ABS(出库明细!G193-出库明细!E193*出库明细!F193)&gt;0.005,1,0),0)</f>
        <v>0</v>
      </c>
      <c r="O193">
        <f>IF(AND(ISNUMBER(存条明细!G193),ISNUMBER(存条明细!E193),ISNUMBER(存条明细!F193)),IF(ABS(存条明细!G193-存条明细!E193*存条明细!F193)&gt;0.005,1,0),0)</f>
        <v>0</v>
      </c>
    </row>
    <row r="194">
      <c r="A194">
        <f>IF(OR(存条明细!C194="",存条明细!D194=""),"",IF(COUNTIFS(存条明细!$C$4:C194,存条明细!C194,存条明细!$D$4:D194,存条明细!D194)&gt;1,"",IFERROR(MATCH(存条明细!C194,总览汇总!$B$5:$B$304,0),900)*10000000+IFERROR(MATCH(存条明细!D194,基础资料!$E$5:$E$104,0),900)*10000+ROW()))</f>
        <v>620010194</v>
      </c>
      <c r="B194">
        <f>IFERROR(MATCH(SMALL($A$4:$A$4003,191),$A$4:$A$4003,0),"")</f>
        <v>120</v>
      </c>
      <c r="D194">
        <f>IF(AND(商品库存!B194&lt;&gt;"",商品库存!B194=客户查询!$B$4),COUNTIF(商品库存!$B$4:B194,客户查询!$B$4),"")</f>
      </c>
      <c r="E194">
        <f>IF(AND(商品库存!B194&lt;&gt;"",商品库存!B194=客户对账单!$B$4),COUNTIF(商品库存!$B$4:B194,客户对账单!$B$4),"")</f>
      </c>
      <c r="F194">
        <f>IF(AND(出库明细!C194&lt;&gt;"",出库明细!C194=客户对账单!$B$4,ISNUMBER(出库明细!B194),出库明细!B194&gt;=客户对账单!$G$4,出库明细!B194&lt;=客户对账单!$I$4),出库明细!B194+ROW()/100000,"")</f>
      </c>
      <c r="H194">
        <f>IF(AND(采购进货!C194&lt;&gt;"",采购进货!C194=供应商对账单!$B$4,ISNUMBER(采购进货!B194),采购进货!B194&gt;=供应商对账单!$G$4,采购进货!B194&lt;=供应商对账单!$I$4),采购进货!B194+ROW()/100000,"")</f>
      </c>
      <c r="J194">
        <f>IF(总览汇总!$B194="","",N(总览汇总!$K194)+SUMIFS(出库明细!$G$4:$G$3003,出库明细!$C$4:$C$3003,总览汇总!$B194,出库明细!$B$4:$B$3003,"&gt;="&amp;年初日,出库明细!$B$4:$B$3003,"&lt;="&amp;资产负债表!$D$3)-SUMIFS(资金台帐!$S$7:$S$3006,资金台帐!$J$7:$J$3006,总览汇总!$B194,资金台帐!$P$7:$P$3006,"应收",资金台帐!$B$7:$B$3006,"&gt;="&amp;年初日,资金台帐!$B$7:$B$3006,"&lt;="&amp;资产负债表!$D$3))</f>
      </c>
      <c r="N194">
        <f>IF(AND(ISNUMBER(出库明细!G194),ISNUMBER(出库明细!E194),ISNUMBER(出库明细!F194)),IF(ABS(出库明细!G194-出库明细!E194*出库明细!F194)&gt;0.005,1,0),0)</f>
        <v>0</v>
      </c>
      <c r="O194">
        <f>IF(AND(ISNUMBER(存条明细!G194),ISNUMBER(存条明细!E194),ISNUMBER(存条明细!F194)),IF(ABS(存条明细!G194-存条明细!E194*存条明细!F194)&gt;0.005,1,0),0)</f>
        <v>0</v>
      </c>
    </row>
    <row r="195">
      <c r="A195">
        <f>IF(OR(存条明细!C195="",存条明细!D195=""),"",IF(COUNTIFS(存条明细!$C$4:C195,存条明细!C195,存条明细!$D$4:D195,存条明细!D195)&gt;1,"",IFERROR(MATCH(存条明细!C195,总览汇总!$B$5:$B$304,0),900)*10000000+IFERROR(MATCH(存条明细!D195,基础资料!$E$5:$E$104,0),900)*10000+ROW()))</f>
        <v>630050195</v>
      </c>
      <c r="B195">
        <f>IFERROR(MATCH(SMALL($A$4:$A$4003,192),$A$4:$A$4003,0),"")</f>
        <v>1438</v>
      </c>
      <c r="D195">
        <f>IF(AND(商品库存!B195&lt;&gt;"",商品库存!B195=客户查询!$B$4),COUNTIF(商品库存!$B$4:B195,客户查询!$B$4),"")</f>
      </c>
      <c r="E195">
        <f>IF(AND(商品库存!B195&lt;&gt;"",商品库存!B195=客户对账单!$B$4),COUNTIF(商品库存!$B$4:B195,客户对账单!$B$4),"")</f>
      </c>
      <c r="F195">
        <f>IF(AND(出库明细!C195&lt;&gt;"",出库明细!C195=客户对账单!$B$4,ISNUMBER(出库明细!B195),出库明细!B195&gt;=客户对账单!$G$4,出库明细!B195&lt;=客户对账单!$I$4),出库明细!B195+ROW()/100000,"")</f>
      </c>
      <c r="H195">
        <f>IF(AND(采购进货!C195&lt;&gt;"",采购进货!C195=供应商对账单!$B$4,ISNUMBER(采购进货!B195),采购进货!B195&gt;=供应商对账单!$G$4,采购进货!B195&lt;=供应商对账单!$I$4),采购进货!B195+ROW()/100000,"")</f>
      </c>
      <c r="J195">
        <f>IF(总览汇总!$B195="","",N(总览汇总!$K195)+SUMIFS(出库明细!$G$4:$G$3003,出库明细!$C$4:$C$3003,总览汇总!$B195,出库明细!$B$4:$B$3003,"&gt;="&amp;年初日,出库明细!$B$4:$B$3003,"&lt;="&amp;资产负债表!$D$3)-SUMIFS(资金台帐!$S$7:$S$3006,资金台帐!$J$7:$J$3006,总览汇总!$B195,资金台帐!$P$7:$P$3006,"应收",资金台帐!$B$7:$B$3006,"&gt;="&amp;年初日,资金台帐!$B$7:$B$3006,"&lt;="&amp;资产负债表!$D$3))</f>
      </c>
      <c r="N195">
        <f>IF(AND(ISNUMBER(出库明细!G195),ISNUMBER(出库明细!E195),ISNUMBER(出库明细!F195)),IF(ABS(出库明细!G195-出库明细!E195*出库明细!F195)&gt;0.005,1,0),0)</f>
        <v>0</v>
      </c>
      <c r="O195">
        <f>IF(AND(ISNUMBER(存条明细!G195),ISNUMBER(存条明细!E195),ISNUMBER(存条明细!F195)),IF(ABS(存条明细!G195-存条明细!E195*存条明细!F195)&gt;0.005,1,0),0)</f>
        <v>0</v>
      </c>
    </row>
    <row r="196">
      <c r="A196">
        <f>IF(OR(存条明细!C196="",存条明细!D196=""),"",IF(COUNTIFS(存条明细!$C$4:C196,存条明细!C196,存条明细!$D$4:D196,存条明细!D196)&gt;1,"",IFERROR(MATCH(存条明细!C196,总览汇总!$B$5:$B$304,0),900)*10000000+IFERROR(MATCH(存条明细!D196,基础资料!$E$5:$E$104,0),900)*10000+ROW()))</f>
        <v>630060196</v>
      </c>
      <c r="B196">
        <f>IFERROR(MATCH(SMALL($A$4:$A$4003,193),$A$4:$A$4003,0),"")</f>
        <v>123</v>
      </c>
      <c r="D196">
        <f>IF(AND(商品库存!B196&lt;&gt;"",商品库存!B196=客户查询!$B$4),COUNTIF(商品库存!$B$4:B196,客户查询!$B$4),"")</f>
      </c>
      <c r="E196">
        <f>IF(AND(商品库存!B196&lt;&gt;"",商品库存!B196=客户对账单!$B$4),COUNTIF(商品库存!$B$4:B196,客户对账单!$B$4),"")</f>
      </c>
      <c r="F196">
        <f>IF(AND(出库明细!C196&lt;&gt;"",出库明细!C196=客户对账单!$B$4,ISNUMBER(出库明细!B196),出库明细!B196&gt;=客户对账单!$G$4,出库明细!B196&lt;=客户对账单!$I$4),出库明细!B196+ROW()/100000,"")</f>
      </c>
      <c r="H196">
        <f>IF(AND(采购进货!C196&lt;&gt;"",采购进货!C196=供应商对账单!$B$4,ISNUMBER(采购进货!B196),采购进货!B196&gt;=供应商对账单!$G$4,采购进货!B196&lt;=供应商对账单!$I$4),采购进货!B196+ROW()/100000,"")</f>
      </c>
      <c r="J196">
        <f>IF(总览汇总!$B196="","",N(总览汇总!$K196)+SUMIFS(出库明细!$G$4:$G$3003,出库明细!$C$4:$C$3003,总览汇总!$B196,出库明细!$B$4:$B$3003,"&gt;="&amp;年初日,出库明细!$B$4:$B$3003,"&lt;="&amp;资产负债表!$D$3)-SUMIFS(资金台帐!$S$7:$S$3006,资金台帐!$J$7:$J$3006,总览汇总!$B196,资金台帐!$P$7:$P$3006,"应收",资金台帐!$B$7:$B$3006,"&gt;="&amp;年初日,资金台帐!$B$7:$B$3006,"&lt;="&amp;资产负债表!$D$3))</f>
      </c>
      <c r="N196">
        <f>IF(AND(ISNUMBER(出库明细!G196),ISNUMBER(出库明细!E196),ISNUMBER(出库明细!F196)),IF(ABS(出库明细!G196-出库明细!E196*出库明细!F196)&gt;0.005,1,0),0)</f>
        <v>0</v>
      </c>
      <c r="O196">
        <f>IF(AND(ISNUMBER(存条明细!G196),ISNUMBER(存条明细!E196),ISNUMBER(存条明细!F196)),IF(ABS(存条明细!G196-存条明细!E196*存条明细!F196)&gt;0.005,1,0),0)</f>
        <v>0</v>
      </c>
    </row>
    <row r="197">
      <c r="A197">
        <f>IF(OR(存条明细!C197="",存条明细!D197=""),"",IF(COUNTIFS(存条明细!$C$4:C197,存条明细!C197,存条明细!$D$4:D197,存条明细!D197)&gt;1,"",IFERROR(MATCH(存条明细!C197,总览汇总!$B$5:$B$304,0),900)*10000000+IFERROR(MATCH(存条明细!D197,基础资料!$E$5:$E$104,0),900)*10000+ROW()))</f>
      </c>
      <c r="B197">
        <f>IFERROR(MATCH(SMALL($A$4:$A$4003,194),$A$4:$A$4003,0),"")</f>
        <v>121</v>
      </c>
      <c r="D197">
        <f>IF(AND(商品库存!B197&lt;&gt;"",商品库存!B197=客户查询!$B$4),COUNTIF(商品库存!$B$4:B197,客户查询!$B$4),"")</f>
      </c>
      <c r="E197">
        <f>IF(AND(商品库存!B197&lt;&gt;"",商品库存!B197=客户对账单!$B$4),COUNTIF(商品库存!$B$4:B197,客户对账单!$B$4),"")</f>
      </c>
      <c r="F197">
        <f>IF(AND(出库明细!C197&lt;&gt;"",出库明细!C197=客户对账单!$B$4,ISNUMBER(出库明细!B197),出库明细!B197&gt;=客户对账单!$G$4,出库明细!B197&lt;=客户对账单!$I$4),出库明细!B197+ROW()/100000,"")</f>
      </c>
      <c r="H197">
        <f>IF(AND(采购进货!C197&lt;&gt;"",采购进货!C197=供应商对账单!$B$4,ISNUMBER(采购进货!B197),采购进货!B197&gt;=供应商对账单!$G$4,采购进货!B197&lt;=供应商对账单!$I$4),采购进货!B197+ROW()/100000,"")</f>
      </c>
      <c r="J197">
        <f>IF(总览汇总!$B197="","",N(总览汇总!$K197)+SUMIFS(出库明细!$G$4:$G$3003,出库明细!$C$4:$C$3003,总览汇总!$B197,出库明细!$B$4:$B$3003,"&gt;="&amp;年初日,出库明细!$B$4:$B$3003,"&lt;="&amp;资产负债表!$D$3)-SUMIFS(资金台帐!$S$7:$S$3006,资金台帐!$J$7:$J$3006,总览汇总!$B197,资金台帐!$P$7:$P$3006,"应收",资金台帐!$B$7:$B$3006,"&gt;="&amp;年初日,资金台帐!$B$7:$B$3006,"&lt;="&amp;资产负债表!$D$3))</f>
      </c>
      <c r="N197">
        <f>IF(AND(ISNUMBER(出库明细!G197),ISNUMBER(出库明细!E197),ISNUMBER(出库明细!F197)),IF(ABS(出库明细!G197-出库明细!E197*出库明细!F197)&gt;0.005,1,0),0)</f>
        <v>0</v>
      </c>
      <c r="O197">
        <f>IF(AND(ISNUMBER(存条明细!G197),ISNUMBER(存条明细!E197),ISNUMBER(存条明细!F197)),IF(ABS(存条明细!G197-存条明细!E197*存条明细!F197)&gt;0.005,1,0),0)</f>
        <v>0</v>
      </c>
    </row>
    <row r="198">
      <c r="A198">
        <f>IF(OR(存条明细!C198="",存条明细!D198=""),"",IF(COUNTIFS(存条明细!$C$4:C198,存条明细!C198,存条明细!$D$4:D198,存条明细!D198)&gt;1,"",IFERROR(MATCH(存条明细!C198,总览汇总!$B$5:$B$304,0),900)*10000000+IFERROR(MATCH(存条明细!D198,基础资料!$E$5:$E$104,0),900)*10000+ROW()))</f>
        <v>630030198</v>
      </c>
      <c r="B198">
        <f>IFERROR(MATCH(SMALL($A$4:$A$4003,195),$A$4:$A$4003,0),"")</f>
        <v>122</v>
      </c>
      <c r="D198">
        <f>IF(AND(商品库存!B198&lt;&gt;"",商品库存!B198=客户查询!$B$4),COUNTIF(商品库存!$B$4:B198,客户查询!$B$4),"")</f>
      </c>
      <c r="E198">
        <f>IF(AND(商品库存!B198&lt;&gt;"",商品库存!B198=客户对账单!$B$4),COUNTIF(商品库存!$B$4:B198,客户对账单!$B$4),"")</f>
      </c>
      <c r="F198">
        <f>IF(AND(出库明细!C198&lt;&gt;"",出库明细!C198=客户对账单!$B$4,ISNUMBER(出库明细!B198),出库明细!B198&gt;=客户对账单!$G$4,出库明细!B198&lt;=客户对账单!$I$4),出库明细!B198+ROW()/100000,"")</f>
      </c>
      <c r="H198">
        <f>IF(AND(采购进货!C198&lt;&gt;"",采购进货!C198=供应商对账单!$B$4,ISNUMBER(采购进货!B198),采购进货!B198&gt;=供应商对账单!$G$4,采购进货!B198&lt;=供应商对账单!$I$4),采购进货!B198+ROW()/100000,"")</f>
      </c>
      <c r="J198">
        <f>IF(总览汇总!$B198="","",N(总览汇总!$K198)+SUMIFS(出库明细!$G$4:$G$3003,出库明细!$C$4:$C$3003,总览汇总!$B198,出库明细!$B$4:$B$3003,"&gt;="&amp;年初日,出库明细!$B$4:$B$3003,"&lt;="&amp;资产负债表!$D$3)-SUMIFS(资金台帐!$S$7:$S$3006,资金台帐!$J$7:$J$3006,总览汇总!$B198,资金台帐!$P$7:$P$3006,"应收",资金台帐!$B$7:$B$3006,"&gt;="&amp;年初日,资金台帐!$B$7:$B$3006,"&lt;="&amp;资产负债表!$D$3))</f>
      </c>
      <c r="N198">
        <f>IF(AND(ISNUMBER(出库明细!G198),ISNUMBER(出库明细!E198),ISNUMBER(出库明细!F198)),IF(ABS(出库明细!G198-出库明细!E198*出库明细!F198)&gt;0.005,1,0),0)</f>
        <v>0</v>
      </c>
      <c r="O198">
        <f>IF(AND(ISNUMBER(存条明细!G198),ISNUMBER(存条明细!E198),ISNUMBER(存条明细!F198)),IF(ABS(存条明细!G198-存条明细!E198*存条明细!F198)&gt;0.005,1,0),0)</f>
        <v>0</v>
      </c>
    </row>
    <row r="199">
      <c r="A199">
        <f>IF(OR(存条明细!C199="",存条明细!D199=""),"",IF(COUNTIFS(存条明细!$C$4:C199,存条明细!C199,存条明细!$D$4:D199,存条明细!D199)&gt;1,"",IFERROR(MATCH(存条明细!C199,总览汇总!$B$5:$B$304,0),900)*10000000+IFERROR(MATCH(存条明细!D199,基础资料!$E$5:$E$104,0),900)*10000+ROW()))</f>
      </c>
      <c r="B199">
        <f>IFERROR(MATCH(SMALL($A$4:$A$4003,196),$A$4:$A$4003,0),"")</f>
        <v>1249</v>
      </c>
      <c r="D199">
        <f>IF(AND(商品库存!B199&lt;&gt;"",商品库存!B199=客户查询!$B$4),COUNTIF(商品库存!$B$4:B199,客户查询!$B$4),"")</f>
      </c>
      <c r="E199">
        <f>IF(AND(商品库存!B199&lt;&gt;"",商品库存!B199=客户对账单!$B$4),COUNTIF(商品库存!$B$4:B199,客户对账单!$B$4),"")</f>
      </c>
      <c r="F199">
        <f>IF(AND(出库明细!C199&lt;&gt;"",出库明细!C199=客户对账单!$B$4,ISNUMBER(出库明细!B199),出库明细!B199&gt;=客户对账单!$G$4,出库明细!B199&lt;=客户对账单!$I$4),出库明细!B199+ROW()/100000,"")</f>
      </c>
      <c r="H199">
        <f>IF(AND(采购进货!C199&lt;&gt;"",采购进货!C199=供应商对账单!$B$4,ISNUMBER(采购进货!B199),采购进货!B199&gt;=供应商对账单!$G$4,采购进货!B199&lt;=供应商对账单!$I$4),采购进货!B199+ROW()/100000,"")</f>
      </c>
      <c r="J199">
        <f>IF(总览汇总!$B199="","",N(总览汇总!$K199)+SUMIFS(出库明细!$G$4:$G$3003,出库明细!$C$4:$C$3003,总览汇总!$B199,出库明细!$B$4:$B$3003,"&gt;="&amp;年初日,出库明细!$B$4:$B$3003,"&lt;="&amp;资产负债表!$D$3)-SUMIFS(资金台帐!$S$7:$S$3006,资金台帐!$J$7:$J$3006,总览汇总!$B199,资金台帐!$P$7:$P$3006,"应收",资金台帐!$B$7:$B$3006,"&gt;="&amp;年初日,资金台帐!$B$7:$B$3006,"&lt;="&amp;资产负债表!$D$3))</f>
      </c>
      <c r="N199">
        <f>IF(AND(ISNUMBER(出库明细!G199),ISNUMBER(出库明细!E199),ISNUMBER(出库明细!F199)),IF(ABS(出库明细!G199-出库明细!E199*出库明细!F199)&gt;0.005,1,0),0)</f>
        <v>0</v>
      </c>
      <c r="O199">
        <f>IF(AND(ISNUMBER(存条明细!G199),ISNUMBER(存条明细!E199),ISNUMBER(存条明细!F199)),IF(ABS(存条明细!G199-存条明细!E199*存条明细!F199)&gt;0.005,1,0),0)</f>
        <v>0</v>
      </c>
    </row>
    <row r="200">
      <c r="A200">
        <f>IF(OR(存条明细!C200="",存条明细!D200=""),"",IF(COUNTIFS(存条明细!$C$4:C200,存条明细!C200,存条明细!$D$4:D200,存条明细!D200)&gt;1,"",IFERROR(MATCH(存条明细!C200,总览汇总!$B$5:$B$304,0),900)*10000000+IFERROR(MATCH(存条明细!D200,基础资料!$E$5:$E$104,0),900)*10000+ROW()))</f>
        <v>630010200</v>
      </c>
      <c r="B200">
        <f>IFERROR(MATCH(SMALL($A$4:$A$4003,197),$A$4:$A$4003,0),"")</f>
        <v>1049</v>
      </c>
      <c r="D200">
        <f>IF(AND(商品库存!B200&lt;&gt;"",商品库存!B200=客户查询!$B$4),COUNTIF(商品库存!$B$4:B200,客户查询!$B$4),"")</f>
      </c>
      <c r="E200">
        <f>IF(AND(商品库存!B200&lt;&gt;"",商品库存!B200=客户对账单!$B$4),COUNTIF(商品库存!$B$4:B200,客户对账单!$B$4),"")</f>
      </c>
      <c r="F200">
        <f>IF(AND(出库明细!C200&lt;&gt;"",出库明细!C200=客户对账单!$B$4,ISNUMBER(出库明细!B200),出库明细!B200&gt;=客户对账单!$G$4,出库明细!B200&lt;=客户对账单!$I$4),出库明细!B200+ROW()/100000,"")</f>
      </c>
      <c r="H200">
        <f>IF(AND(采购进货!C200&lt;&gt;"",采购进货!C200=供应商对账单!$B$4,ISNUMBER(采购进货!B200),采购进货!B200&gt;=供应商对账单!$G$4,采购进货!B200&lt;=供应商对账单!$I$4),采购进货!B200+ROW()/100000,"")</f>
      </c>
      <c r="J200">
        <f>IF(总览汇总!$B200="","",N(总览汇总!$K200)+SUMIFS(出库明细!$G$4:$G$3003,出库明细!$C$4:$C$3003,总览汇总!$B200,出库明细!$B$4:$B$3003,"&gt;="&amp;年初日,出库明细!$B$4:$B$3003,"&lt;="&amp;资产负债表!$D$3)-SUMIFS(资金台帐!$S$7:$S$3006,资金台帐!$J$7:$J$3006,总览汇总!$B200,资金台帐!$P$7:$P$3006,"应收",资金台帐!$B$7:$B$3006,"&gt;="&amp;年初日,资金台帐!$B$7:$B$3006,"&lt;="&amp;资产负债表!$D$3))</f>
      </c>
      <c r="N200">
        <f>IF(AND(ISNUMBER(出库明细!G200),ISNUMBER(出库明细!E200),ISNUMBER(出库明细!F200)),IF(ABS(出库明细!G200-出库明细!E200*出库明细!F200)&gt;0.005,1,0),0)</f>
        <v>0</v>
      </c>
      <c r="O200">
        <f>IF(AND(ISNUMBER(存条明细!G200),ISNUMBER(存条明细!E200),ISNUMBER(存条明细!F200)),IF(ABS(存条明细!G200-存条明细!E200*存条明细!F200)&gt;0.005,1,0),0)</f>
        <v>0</v>
      </c>
    </row>
    <row r="201">
      <c r="A201">
        <f>IF(OR(存条明细!C201="",存条明细!D201=""),"",IF(COUNTIFS(存条明细!$C$4:C201,存条明细!C201,存条明细!$D$4:D201,存条明细!D201)&gt;1,"",IFERROR(MATCH(存条明细!C201,总览汇总!$B$5:$B$304,0),900)*10000000+IFERROR(MATCH(存条明细!D201,基础资料!$E$5:$E$104,0),900)*10000+ROW()))</f>
        <v>640010201</v>
      </c>
      <c r="B201">
        <f>IFERROR(MATCH(SMALL($A$4:$A$4003,198),$A$4:$A$4003,0),"")</f>
        <v>1048</v>
      </c>
      <c r="D201">
        <f>IF(AND(商品库存!B201&lt;&gt;"",商品库存!B201=客户查询!$B$4),COUNTIF(商品库存!$B$4:B201,客户查询!$B$4),"")</f>
      </c>
      <c r="E201">
        <f>IF(AND(商品库存!B201&lt;&gt;"",商品库存!B201=客户对账单!$B$4),COUNTIF(商品库存!$B$4:B201,客户对账单!$B$4),"")</f>
      </c>
      <c r="F201">
        <f>IF(AND(出库明细!C201&lt;&gt;"",出库明细!C201=客户对账单!$B$4,ISNUMBER(出库明细!B201),出库明细!B201&gt;=客户对账单!$G$4,出库明细!B201&lt;=客户对账单!$I$4),出库明细!B201+ROW()/100000,"")</f>
      </c>
      <c r="H201">
        <f>IF(AND(采购进货!C201&lt;&gt;"",采购进货!C201=供应商对账单!$B$4,ISNUMBER(采购进货!B201),采购进货!B201&gt;=供应商对账单!$G$4,采购进货!B201&lt;=供应商对账单!$I$4),采购进货!B201+ROW()/100000,"")</f>
      </c>
      <c r="J201">
        <f>IF(总览汇总!$B201="","",N(总览汇总!$K201)+SUMIFS(出库明细!$G$4:$G$3003,出库明细!$C$4:$C$3003,总览汇总!$B201,出库明细!$B$4:$B$3003,"&gt;="&amp;年初日,出库明细!$B$4:$B$3003,"&lt;="&amp;资产负债表!$D$3)-SUMIFS(资金台帐!$S$7:$S$3006,资金台帐!$J$7:$J$3006,总览汇总!$B201,资金台帐!$P$7:$P$3006,"应收",资金台帐!$B$7:$B$3006,"&gt;="&amp;年初日,资金台帐!$B$7:$B$3006,"&lt;="&amp;资产负债表!$D$3))</f>
      </c>
      <c r="N201">
        <f>IF(AND(ISNUMBER(出库明细!G201),ISNUMBER(出库明细!E201),ISNUMBER(出库明细!F201)),IF(ABS(出库明细!G201-出库明细!E201*出库明细!F201)&gt;0.005,1,0),0)</f>
        <v>0</v>
      </c>
      <c r="O201">
        <f>IF(AND(ISNUMBER(存条明细!G201),ISNUMBER(存条明细!E201),ISNUMBER(存条明细!F201)),IF(ABS(存条明细!G201-存条明细!E201*存条明细!F201)&gt;0.005,1,0),0)</f>
        <v>0</v>
      </c>
    </row>
    <row r="202">
      <c r="A202">
        <f>IF(OR(存条明细!C202="",存条明细!D202=""),"",IF(COUNTIFS(存条明细!$C$4:C202,存条明细!C202,存条明细!$D$4:D202,存条明细!D202)&gt;1,"",IFERROR(MATCH(存条明细!C202,总览汇总!$B$5:$B$304,0),900)*10000000+IFERROR(MATCH(存条明细!D202,基础资料!$E$5:$E$104,0),900)*10000+ROW()))</f>
        <v>640030202</v>
      </c>
      <c r="B202">
        <f>IFERROR(MATCH(SMALL($A$4:$A$4003,199),$A$4:$A$4003,0),"")</f>
        <v>1174</v>
      </c>
      <c r="D202">
        <f>IF(AND(商品库存!B202&lt;&gt;"",商品库存!B202=客户查询!$B$4),COUNTIF(商品库存!$B$4:B202,客户查询!$B$4),"")</f>
      </c>
      <c r="E202">
        <f>IF(AND(商品库存!B202&lt;&gt;"",商品库存!B202=客户对账单!$B$4),COUNTIF(商品库存!$B$4:B202,客户对账单!$B$4),"")</f>
      </c>
      <c r="F202">
        <f>IF(AND(出库明细!C202&lt;&gt;"",出库明细!C202=客户对账单!$B$4,ISNUMBER(出库明细!B202),出库明细!B202&gt;=客户对账单!$G$4,出库明细!B202&lt;=客户对账单!$I$4),出库明细!B202+ROW()/100000,"")</f>
      </c>
      <c r="H202">
        <f>IF(AND(采购进货!C202&lt;&gt;"",采购进货!C202=供应商对账单!$B$4,ISNUMBER(采购进货!B202),采购进货!B202&gt;=供应商对账单!$G$4,采购进货!B202&lt;=供应商对账单!$I$4),采购进货!B202+ROW()/100000,"")</f>
      </c>
      <c r="J202">
        <f>IF(总览汇总!$B202="","",N(总览汇总!$K202)+SUMIFS(出库明细!$G$4:$G$3003,出库明细!$C$4:$C$3003,总览汇总!$B202,出库明细!$B$4:$B$3003,"&gt;="&amp;年初日,出库明细!$B$4:$B$3003,"&lt;="&amp;资产负债表!$D$3)-SUMIFS(资金台帐!$S$7:$S$3006,资金台帐!$J$7:$J$3006,总览汇总!$B202,资金台帐!$P$7:$P$3006,"应收",资金台帐!$B$7:$B$3006,"&gt;="&amp;年初日,资金台帐!$B$7:$B$3006,"&lt;="&amp;资产负债表!$D$3))</f>
      </c>
      <c r="N202">
        <f>IF(AND(ISNUMBER(出库明细!G202),ISNUMBER(出库明细!E202),ISNUMBER(出库明细!F202)),IF(ABS(出库明细!G202-出库明细!E202*出库明细!F202)&gt;0.005,1,0),0)</f>
        <v>0</v>
      </c>
      <c r="O202">
        <f>IF(AND(ISNUMBER(存条明细!G202),ISNUMBER(存条明细!E202),ISNUMBER(存条明细!F202)),IF(ABS(存条明细!G202-存条明细!E202*存条明细!F202)&gt;0.005,1,0),0)</f>
        <v>0</v>
      </c>
    </row>
    <row r="203">
      <c r="A203">
        <f>IF(OR(存条明细!C203="",存条明细!D203=""),"",IF(COUNTIFS(存条明细!$C$4:C203,存条明细!C203,存条明细!$D$4:D203,存条明细!D203)&gt;1,"",IFERROR(MATCH(存条明细!C203,总览汇总!$B$5:$B$304,0),900)*10000000+IFERROR(MATCH(存条明细!D203,基础资料!$E$5:$E$104,0),900)*10000+ROW()))</f>
        <v>640050203</v>
      </c>
      <c r="B203">
        <f>IFERROR(MATCH(SMALL($A$4:$A$4003,200),$A$4:$A$4003,0),"")</f>
        <v>1175</v>
      </c>
      <c r="D203">
        <f>IF(AND(商品库存!B203&lt;&gt;"",商品库存!B203=客户查询!$B$4),COUNTIF(商品库存!$B$4:B203,客户查询!$B$4),"")</f>
      </c>
      <c r="E203">
        <f>IF(AND(商品库存!B203&lt;&gt;"",商品库存!B203=客户对账单!$B$4),COUNTIF(商品库存!$B$4:B203,客户对账单!$B$4),"")</f>
      </c>
      <c r="F203">
        <f>IF(AND(出库明细!C203&lt;&gt;"",出库明细!C203=客户对账单!$B$4,ISNUMBER(出库明细!B203),出库明细!B203&gt;=客户对账单!$G$4,出库明细!B203&lt;=客户对账单!$I$4),出库明细!B203+ROW()/100000,"")</f>
      </c>
      <c r="H203">
        <f>IF(AND(采购进货!C203&lt;&gt;"",采购进货!C203=供应商对账单!$B$4,ISNUMBER(采购进货!B203),采购进货!B203&gt;=供应商对账单!$G$4,采购进货!B203&lt;=供应商对账单!$I$4),采购进货!B203+ROW()/100000,"")</f>
      </c>
      <c r="J203">
        <f>IF(总览汇总!$B203="","",N(总览汇总!$K203)+SUMIFS(出库明细!$G$4:$G$3003,出库明细!$C$4:$C$3003,总览汇总!$B203,出库明细!$B$4:$B$3003,"&gt;="&amp;年初日,出库明细!$B$4:$B$3003,"&lt;="&amp;资产负债表!$D$3)-SUMIFS(资金台帐!$S$7:$S$3006,资金台帐!$J$7:$J$3006,总览汇总!$B203,资金台帐!$P$7:$P$3006,"应收",资金台帐!$B$7:$B$3006,"&gt;="&amp;年初日,资金台帐!$B$7:$B$3006,"&lt;="&amp;资产负债表!$D$3))</f>
      </c>
      <c r="N203">
        <f>IF(AND(ISNUMBER(出库明细!G203),ISNUMBER(出库明细!E203),ISNUMBER(出库明细!F203)),IF(ABS(出库明细!G203-出库明细!E203*出库明细!F203)&gt;0.005,1,0),0)</f>
        <v>0</v>
      </c>
      <c r="O203">
        <f>IF(AND(ISNUMBER(存条明细!G203),ISNUMBER(存条明细!E203),ISNUMBER(存条明细!F203)),IF(ABS(存条明细!G203-存条明细!E203*存条明细!F203)&gt;0.005,1,0),0)</f>
        <v>0</v>
      </c>
    </row>
    <row r="204">
      <c r="A204">
        <f>IF(OR(存条明细!C204="",存条明细!D204=""),"",IF(COUNTIFS(存条明细!$C$4:C204,存条明细!C204,存条明细!$D$4:D204,存条明细!D204)&gt;1,"",IFERROR(MATCH(存条明细!C204,总览汇总!$B$5:$B$304,0),900)*10000000+IFERROR(MATCH(存条明细!D204,基础资料!$E$5:$E$104,0),900)*10000+ROW()))</f>
        <v>640060204</v>
      </c>
      <c r="B204">
        <f>IFERROR(MATCH(SMALL($A$4:$A$4003,201),$A$4:$A$4003,0),"")</f>
        <v>70</v>
      </c>
      <c r="D204">
        <f>IF(AND(商品库存!B204&lt;&gt;"",商品库存!B204=客户查询!$B$4),COUNTIF(商品库存!$B$4:B204,客户查询!$B$4),"")</f>
      </c>
      <c r="E204">
        <f>IF(AND(商品库存!B204&lt;&gt;"",商品库存!B204=客户对账单!$B$4),COUNTIF(商品库存!$B$4:B204,客户对账单!$B$4),"")</f>
      </c>
      <c r="F204">
        <f>IF(AND(出库明细!C204&lt;&gt;"",出库明细!C204=客户对账单!$B$4,ISNUMBER(出库明细!B204),出库明细!B204&gt;=客户对账单!$G$4,出库明细!B204&lt;=客户对账单!$I$4),出库明细!B204+ROW()/100000,"")</f>
      </c>
      <c r="H204">
        <f>IF(AND(采购进货!C204&lt;&gt;"",采购进货!C204=供应商对账单!$B$4,ISNUMBER(采购进货!B204),采购进货!B204&gt;=供应商对账单!$G$4,采购进货!B204&lt;=供应商对账单!$I$4),采购进货!B204+ROW()/100000,"")</f>
      </c>
      <c r="J204">
        <f>IF(总览汇总!$B204="","",N(总览汇总!$K204)+SUMIFS(出库明细!$G$4:$G$3003,出库明细!$C$4:$C$3003,总览汇总!$B204,出库明细!$B$4:$B$3003,"&gt;="&amp;年初日,出库明细!$B$4:$B$3003,"&lt;="&amp;资产负债表!$D$3)-SUMIFS(资金台帐!$S$7:$S$3006,资金台帐!$J$7:$J$3006,总览汇总!$B204,资金台帐!$P$7:$P$3006,"应收",资金台帐!$B$7:$B$3006,"&gt;="&amp;年初日,资金台帐!$B$7:$B$3006,"&lt;="&amp;资产负债表!$D$3))</f>
      </c>
      <c r="N204">
        <f>IF(AND(ISNUMBER(出库明细!G204),ISNUMBER(出库明细!E204),ISNUMBER(出库明细!F204)),IF(ABS(出库明细!G204-出库明细!E204*出库明细!F204)&gt;0.005,1,0),0)</f>
        <v>0</v>
      </c>
      <c r="O204">
        <f>IF(AND(ISNUMBER(存条明细!G204),ISNUMBER(存条明细!E204),ISNUMBER(存条明细!F204)),IF(ABS(存条明细!G204-存条明细!E204*存条明细!F204)&gt;0.005,1,0),0)</f>
        <v>0</v>
      </c>
    </row>
    <row r="205">
      <c r="A205">
        <f>IF(OR(存条明细!C205="",存条明细!D205=""),"",IF(COUNTIFS(存条明细!$C$4:C205,存条明细!C205,存条明细!$D$4:D205,存条明细!D205)&gt;1,"",IFERROR(MATCH(存条明细!C205,总览汇总!$B$5:$B$304,0),900)*10000000+IFERROR(MATCH(存条明细!D205,基础资料!$E$5:$E$104,0),900)*10000+ROW()))</f>
        <v>650010205</v>
      </c>
      <c r="B205">
        <f>IFERROR(MATCH(SMALL($A$4:$A$4003,202),$A$4:$A$4003,0),"")</f>
        <v>77</v>
      </c>
      <c r="D205">
        <f>IF(AND(商品库存!B205&lt;&gt;"",商品库存!B205=客户查询!$B$4),COUNTIF(商品库存!$B$4:B205,客户查询!$B$4),"")</f>
      </c>
      <c r="E205">
        <f>IF(AND(商品库存!B205&lt;&gt;"",商品库存!B205=客户对账单!$B$4),COUNTIF(商品库存!$B$4:B205,客户对账单!$B$4),"")</f>
      </c>
      <c r="F205">
        <f>IF(AND(出库明细!C205&lt;&gt;"",出库明细!C205=客户对账单!$B$4,ISNUMBER(出库明细!B205),出库明细!B205&gt;=客户对账单!$G$4,出库明细!B205&lt;=客户对账单!$I$4),出库明细!B205+ROW()/100000,"")</f>
      </c>
      <c r="H205">
        <f>IF(AND(采购进货!C205&lt;&gt;"",采购进货!C205=供应商对账单!$B$4,ISNUMBER(采购进货!B205),采购进货!B205&gt;=供应商对账单!$G$4,采购进货!B205&lt;=供应商对账单!$I$4),采购进货!B205+ROW()/100000,"")</f>
      </c>
      <c r="J205">
        <f>IF(总览汇总!$B205="","",N(总览汇总!$K205)+SUMIFS(出库明细!$G$4:$G$3003,出库明细!$C$4:$C$3003,总览汇总!$B205,出库明细!$B$4:$B$3003,"&gt;="&amp;年初日,出库明细!$B$4:$B$3003,"&lt;="&amp;资产负债表!$D$3)-SUMIFS(资金台帐!$S$7:$S$3006,资金台帐!$J$7:$J$3006,总览汇总!$B205,资金台帐!$P$7:$P$3006,"应收",资金台帐!$B$7:$B$3006,"&gt;="&amp;年初日,资金台帐!$B$7:$B$3006,"&lt;="&amp;资产负债表!$D$3))</f>
      </c>
      <c r="N205">
        <f>IF(AND(ISNUMBER(出库明细!G205),ISNUMBER(出库明细!E205),ISNUMBER(出库明细!F205)),IF(ABS(出库明细!G205-出库明细!E205*出库明细!F205)&gt;0.005,1,0),0)</f>
        <v>0</v>
      </c>
      <c r="O205">
        <f>IF(AND(ISNUMBER(存条明细!G205),ISNUMBER(存条明细!E205),ISNUMBER(存条明细!F205)),IF(ABS(存条明细!G205-存条明细!E205*存条明细!F205)&gt;0.005,1,0),0)</f>
        <v>0</v>
      </c>
    </row>
    <row r="206">
      <c r="A206">
        <f>IF(OR(存条明细!C206="",存条明细!D206=""),"",IF(COUNTIFS(存条明细!$C$4:C206,存条明细!C206,存条明细!$D$4:D206,存条明细!D206)&gt;1,"",IFERROR(MATCH(存条明细!C206,总览汇总!$B$5:$B$304,0),900)*10000000+IFERROR(MATCH(存条明细!D206,基础资料!$E$5:$E$104,0),900)*10000+ROW()))</f>
        <v>650080206</v>
      </c>
      <c r="B206">
        <f>IFERROR(MATCH(SMALL($A$4:$A$4003,203),$A$4:$A$4003,0),"")</f>
        <v>72</v>
      </c>
      <c r="D206">
        <f>IF(AND(商品库存!B206&lt;&gt;"",商品库存!B206=客户查询!$B$4),COUNTIF(商品库存!$B$4:B206,客户查询!$B$4),"")</f>
      </c>
      <c r="E206">
        <f>IF(AND(商品库存!B206&lt;&gt;"",商品库存!B206=客户对账单!$B$4),COUNTIF(商品库存!$B$4:B206,客户对账单!$B$4),"")</f>
      </c>
      <c r="F206">
        <f>IF(AND(出库明细!C206&lt;&gt;"",出库明细!C206=客户对账单!$B$4,ISNUMBER(出库明细!B206),出库明细!B206&gt;=客户对账单!$G$4,出库明细!B206&lt;=客户对账单!$I$4),出库明细!B206+ROW()/100000,"")</f>
      </c>
      <c r="H206">
        <f>IF(AND(采购进货!C206&lt;&gt;"",采购进货!C206=供应商对账单!$B$4,ISNUMBER(采购进货!B206),采购进货!B206&gt;=供应商对账单!$G$4,采购进货!B206&lt;=供应商对账单!$I$4),采购进货!B206+ROW()/100000,"")</f>
      </c>
      <c r="J206">
        <f>IF(总览汇总!$B206="","",N(总览汇总!$K206)+SUMIFS(出库明细!$G$4:$G$3003,出库明细!$C$4:$C$3003,总览汇总!$B206,出库明细!$B$4:$B$3003,"&gt;="&amp;年初日,出库明细!$B$4:$B$3003,"&lt;="&amp;资产负债表!$D$3)-SUMIFS(资金台帐!$S$7:$S$3006,资金台帐!$J$7:$J$3006,总览汇总!$B206,资金台帐!$P$7:$P$3006,"应收",资金台帐!$B$7:$B$3006,"&gt;="&amp;年初日,资金台帐!$B$7:$B$3006,"&lt;="&amp;资产负债表!$D$3))</f>
      </c>
      <c r="N206">
        <f>IF(AND(ISNUMBER(出库明细!G206),ISNUMBER(出库明细!E206),ISNUMBER(出库明细!F206)),IF(ABS(出库明细!G206-出库明细!E206*出库明细!F206)&gt;0.005,1,0),0)</f>
        <v>0</v>
      </c>
      <c r="O206">
        <f>IF(AND(ISNUMBER(存条明细!G206),ISNUMBER(存条明细!E206),ISNUMBER(存条明细!F206)),IF(ABS(存条明细!G206-存条明细!E206*存条明细!F206)&gt;0.005,1,0),0)</f>
        <v>0</v>
      </c>
    </row>
    <row r="207">
      <c r="A207">
        <f>IF(OR(存条明细!C207="",存条明细!D207=""),"",IF(COUNTIFS(存条明细!$C$4:C207,存条明细!C207,存条明细!$D$4:D207,存条明细!D207)&gt;1,"",IFERROR(MATCH(存条明细!C207,总览汇总!$B$5:$B$304,0),900)*10000000+IFERROR(MATCH(存条明细!D207,基础资料!$E$5:$E$104,0),900)*10000+ROW()))</f>
        <v>660010207</v>
      </c>
      <c r="B207">
        <f>IFERROR(MATCH(SMALL($A$4:$A$4003,204),$A$4:$A$4003,0),"")</f>
        <v>71</v>
      </c>
      <c r="D207">
        <f>IF(AND(商品库存!B207&lt;&gt;"",商品库存!B207=客户查询!$B$4),COUNTIF(商品库存!$B$4:B207,客户查询!$B$4),"")</f>
      </c>
      <c r="E207">
        <f>IF(AND(商品库存!B207&lt;&gt;"",商品库存!B207=客户对账单!$B$4),COUNTIF(商品库存!$B$4:B207,客户对账单!$B$4),"")</f>
      </c>
      <c r="F207">
        <f>IF(AND(出库明细!C207&lt;&gt;"",出库明细!C207=客户对账单!$B$4,ISNUMBER(出库明细!B207),出库明细!B207&gt;=客户对账单!$G$4,出库明细!B207&lt;=客户对账单!$I$4),出库明细!B207+ROW()/100000,"")</f>
      </c>
      <c r="H207">
        <f>IF(AND(采购进货!C207&lt;&gt;"",采购进货!C207=供应商对账单!$B$4,ISNUMBER(采购进货!B207),采购进货!B207&gt;=供应商对账单!$G$4,采购进货!B207&lt;=供应商对账单!$I$4),采购进货!B207+ROW()/100000,"")</f>
      </c>
      <c r="J207">
        <f>IF(总览汇总!$B207="","",N(总览汇总!$K207)+SUMIFS(出库明细!$G$4:$G$3003,出库明细!$C$4:$C$3003,总览汇总!$B207,出库明细!$B$4:$B$3003,"&gt;="&amp;年初日,出库明细!$B$4:$B$3003,"&lt;="&amp;资产负债表!$D$3)-SUMIFS(资金台帐!$S$7:$S$3006,资金台帐!$J$7:$J$3006,总览汇总!$B207,资金台帐!$P$7:$P$3006,"应收",资金台帐!$B$7:$B$3006,"&gt;="&amp;年初日,资金台帐!$B$7:$B$3006,"&lt;="&amp;资产负债表!$D$3))</f>
      </c>
      <c r="N207">
        <f>IF(AND(ISNUMBER(出库明细!G207),ISNUMBER(出库明细!E207),ISNUMBER(出库明细!F207)),IF(ABS(出库明细!G207-出库明细!E207*出库明细!F207)&gt;0.005,1,0),0)</f>
        <v>0</v>
      </c>
      <c r="O207">
        <f>IF(AND(ISNUMBER(存条明细!G207),ISNUMBER(存条明细!E207),ISNUMBER(存条明细!F207)),IF(ABS(存条明细!G207-存条明细!E207*存条明细!F207)&gt;0.005,1,0),0)</f>
        <v>0</v>
      </c>
    </row>
    <row r="208">
      <c r="A208">
        <f>IF(OR(存条明细!C208="",存条明细!D208=""),"",IF(COUNTIFS(存条明细!$C$4:C208,存条明细!C208,存条明细!$D$4:D208,存条明细!D208)&gt;1,"",IFERROR(MATCH(存条明细!C208,总览汇总!$B$5:$B$304,0),900)*10000000+IFERROR(MATCH(存条明细!D208,基础资料!$E$5:$E$104,0),900)*10000+ROW()))</f>
        <v>670010208</v>
      </c>
      <c r="B208">
        <f>IFERROR(MATCH(SMALL($A$4:$A$4003,205),$A$4:$A$4003,0),"")</f>
        <v>73</v>
      </c>
      <c r="D208">
        <f>IF(AND(商品库存!B208&lt;&gt;"",商品库存!B208=客户查询!$B$4),COUNTIF(商品库存!$B$4:B208,客户查询!$B$4),"")</f>
      </c>
      <c r="E208">
        <f>IF(AND(商品库存!B208&lt;&gt;"",商品库存!B208=客户对账单!$B$4),COUNTIF(商品库存!$B$4:B208,客户对账单!$B$4),"")</f>
      </c>
      <c r="F208">
        <f>IF(AND(出库明细!C208&lt;&gt;"",出库明细!C208=客户对账单!$B$4,ISNUMBER(出库明细!B208),出库明细!B208&gt;=客户对账单!$G$4,出库明细!B208&lt;=客户对账单!$I$4),出库明细!B208+ROW()/100000,"")</f>
      </c>
      <c r="H208">
        <f>IF(AND(采购进货!C208&lt;&gt;"",采购进货!C208=供应商对账单!$B$4,ISNUMBER(采购进货!B208),采购进货!B208&gt;=供应商对账单!$G$4,采购进货!B208&lt;=供应商对账单!$I$4),采购进货!B208+ROW()/100000,"")</f>
      </c>
      <c r="J208">
        <f>IF(总览汇总!$B208="","",N(总览汇总!$K208)+SUMIFS(出库明细!$G$4:$G$3003,出库明细!$C$4:$C$3003,总览汇总!$B208,出库明细!$B$4:$B$3003,"&gt;="&amp;年初日,出库明细!$B$4:$B$3003,"&lt;="&amp;资产负债表!$D$3)-SUMIFS(资金台帐!$S$7:$S$3006,资金台帐!$J$7:$J$3006,总览汇总!$B208,资金台帐!$P$7:$P$3006,"应收",资金台帐!$B$7:$B$3006,"&gt;="&amp;年初日,资金台帐!$B$7:$B$3006,"&lt;="&amp;资产负债表!$D$3))</f>
      </c>
      <c r="N208">
        <f>IF(AND(ISNUMBER(出库明细!G208),ISNUMBER(出库明细!E208),ISNUMBER(出库明细!F208)),IF(ABS(出库明细!G208-出库明细!E208*出库明细!F208)&gt;0.005,1,0),0)</f>
        <v>0</v>
      </c>
      <c r="O208">
        <f>IF(AND(ISNUMBER(存条明细!G208),ISNUMBER(存条明细!E208),ISNUMBER(存条明细!F208)),IF(ABS(存条明细!G208-存条明细!E208*存条明细!F208)&gt;0.005,1,0),0)</f>
        <v>0</v>
      </c>
    </row>
    <row r="209">
      <c r="A209">
        <f>IF(OR(存条明细!C209="",存条明细!D209=""),"",IF(COUNTIFS(存条明细!$C$4:C209,存条明细!C209,存条明细!$D$4:D209,存条明细!D209)&gt;1,"",IFERROR(MATCH(存条明细!C209,总览汇总!$B$5:$B$304,0),900)*10000000+IFERROR(MATCH(存条明细!D209,基础资料!$E$5:$E$104,0),900)*10000+ROW()))</f>
        <v>800010209</v>
      </c>
      <c r="B209">
        <f>IFERROR(MATCH(SMALL($A$4:$A$4003,206),$A$4:$A$4003,0),"")</f>
        <v>75</v>
      </c>
      <c r="D209">
        <f>IF(AND(商品库存!B209&lt;&gt;"",商品库存!B209=客户查询!$B$4),COUNTIF(商品库存!$B$4:B209,客户查询!$B$4),"")</f>
      </c>
      <c r="E209">
        <f>IF(AND(商品库存!B209&lt;&gt;"",商品库存!B209=客户对账单!$B$4),COUNTIF(商品库存!$B$4:B209,客户对账单!$B$4),"")</f>
      </c>
      <c r="F209">
        <f>IF(AND(出库明细!C209&lt;&gt;"",出库明细!C209=客户对账单!$B$4,ISNUMBER(出库明细!B209),出库明细!B209&gt;=客户对账单!$G$4,出库明细!B209&lt;=客户对账单!$I$4),出库明细!B209+ROW()/100000,"")</f>
      </c>
      <c r="H209">
        <f>IF(AND(采购进货!C209&lt;&gt;"",采购进货!C209=供应商对账单!$B$4,ISNUMBER(采购进货!B209),采购进货!B209&gt;=供应商对账单!$G$4,采购进货!B209&lt;=供应商对账单!$I$4),采购进货!B209+ROW()/100000,"")</f>
      </c>
      <c r="J209">
        <f>IF(总览汇总!$B209="","",N(总览汇总!$K209)+SUMIFS(出库明细!$G$4:$G$3003,出库明细!$C$4:$C$3003,总览汇总!$B209,出库明细!$B$4:$B$3003,"&gt;="&amp;年初日,出库明细!$B$4:$B$3003,"&lt;="&amp;资产负债表!$D$3)-SUMIFS(资金台帐!$S$7:$S$3006,资金台帐!$J$7:$J$3006,总览汇总!$B209,资金台帐!$P$7:$P$3006,"应收",资金台帐!$B$7:$B$3006,"&gt;="&amp;年初日,资金台帐!$B$7:$B$3006,"&lt;="&amp;资产负债表!$D$3))</f>
      </c>
      <c r="N209">
        <f>IF(AND(ISNUMBER(出库明细!G209),ISNUMBER(出库明细!E209),ISNUMBER(出库明细!F209)),IF(ABS(出库明细!G209-出库明细!E209*出库明细!F209)&gt;0.005,1,0),0)</f>
        <v>0</v>
      </c>
      <c r="O209">
        <f>IF(AND(ISNUMBER(存条明细!G209),ISNUMBER(存条明细!E209),ISNUMBER(存条明细!F209)),IF(ABS(存条明细!G209-存条明细!E209*存条明细!F209)&gt;0.005,1,0),0)</f>
        <v>0</v>
      </c>
    </row>
    <row r="210">
      <c r="A210">
        <f>IF(OR(存条明细!C210="",存条明细!D210=""),"",IF(COUNTIFS(存条明细!$C$4:C210,存条明细!C210,存条明细!$D$4:D210,存条明细!D210)&gt;1,"",IFERROR(MATCH(存条明细!C210,总览汇总!$B$5:$B$304,0),900)*10000000+IFERROR(MATCH(存条明细!D210,基础资料!$E$5:$E$104,0),900)*10000+ROW()))</f>
        <v>800040210</v>
      </c>
      <c r="B210">
        <f>IFERROR(MATCH(SMALL($A$4:$A$4003,207),$A$4:$A$4003,0),"")</f>
        <v>74</v>
      </c>
      <c r="D210">
        <f>IF(AND(商品库存!B210&lt;&gt;"",商品库存!B210=客户查询!$B$4),COUNTIF(商品库存!$B$4:B210,客户查询!$B$4),"")</f>
      </c>
      <c r="E210">
        <f>IF(AND(商品库存!B210&lt;&gt;"",商品库存!B210=客户对账单!$B$4),COUNTIF(商品库存!$B$4:B210,客户对账单!$B$4),"")</f>
      </c>
      <c r="F210">
        <f>IF(AND(出库明细!C210&lt;&gt;"",出库明细!C210=客户对账单!$B$4,ISNUMBER(出库明细!B210),出库明细!B210&gt;=客户对账单!$G$4,出库明细!B210&lt;=客户对账单!$I$4),出库明细!B210+ROW()/100000,"")</f>
      </c>
      <c r="H210">
        <f>IF(AND(采购进货!C210&lt;&gt;"",采购进货!C210=供应商对账单!$B$4,ISNUMBER(采购进货!B210),采购进货!B210&gt;=供应商对账单!$G$4,采购进货!B210&lt;=供应商对账单!$I$4),采购进货!B210+ROW()/100000,"")</f>
      </c>
      <c r="J210">
        <f>IF(总览汇总!$B210="","",N(总览汇总!$K210)+SUMIFS(出库明细!$G$4:$G$3003,出库明细!$C$4:$C$3003,总览汇总!$B210,出库明细!$B$4:$B$3003,"&gt;="&amp;年初日,出库明细!$B$4:$B$3003,"&lt;="&amp;资产负债表!$D$3)-SUMIFS(资金台帐!$S$7:$S$3006,资金台帐!$J$7:$J$3006,总览汇总!$B210,资金台帐!$P$7:$P$3006,"应收",资金台帐!$B$7:$B$3006,"&gt;="&amp;年初日,资金台帐!$B$7:$B$3006,"&lt;="&amp;资产负债表!$D$3))</f>
      </c>
      <c r="N210">
        <f>IF(AND(ISNUMBER(出库明细!G210),ISNUMBER(出库明细!E210),ISNUMBER(出库明细!F210)),IF(ABS(出库明细!G210-出库明细!E210*出库明细!F210)&gt;0.005,1,0),0)</f>
        <v>0</v>
      </c>
      <c r="O210">
        <f>IF(AND(ISNUMBER(存条明细!G210),ISNUMBER(存条明细!E210),ISNUMBER(存条明细!F210)),IF(ABS(存条明细!G210-存条明细!E210*存条明细!F210)&gt;0.005,1,0),0)</f>
        <v>0</v>
      </c>
    </row>
    <row r="211">
      <c r="A211">
        <f>IF(OR(存条明细!C211="",存条明细!D211=""),"",IF(COUNTIFS(存条明细!$C$4:C211,存条明细!C211,存条明细!$D$4:D211,存条明细!D211)&gt;1,"",IFERROR(MATCH(存条明细!C211,总览汇总!$B$5:$B$304,0),900)*10000000+IFERROR(MATCH(存条明细!D211,基础资料!$E$5:$E$104,0),900)*10000+ROW()))</f>
      </c>
      <c r="B211">
        <f>IFERROR(MATCH(SMALL($A$4:$A$4003,208),$A$4:$A$4003,0),"")</f>
        <v>1292</v>
      </c>
      <c r="D211">
        <f>IF(AND(商品库存!B211&lt;&gt;"",商品库存!B211=客户查询!$B$4),COUNTIF(商品库存!$B$4:B211,客户查询!$B$4),"")</f>
      </c>
      <c r="E211">
        <f>IF(AND(商品库存!B211&lt;&gt;"",商品库存!B211=客户对账单!$B$4),COUNTIF(商品库存!$B$4:B211,客户对账单!$B$4),"")</f>
      </c>
      <c r="F211">
        <f>IF(AND(出库明细!C211&lt;&gt;"",出库明细!C211=客户对账单!$B$4,ISNUMBER(出库明细!B211),出库明细!B211&gt;=客户对账单!$G$4,出库明细!B211&lt;=客户对账单!$I$4),出库明细!B211+ROW()/100000,"")</f>
      </c>
      <c r="H211">
        <f>IF(AND(采购进货!C211&lt;&gt;"",采购进货!C211=供应商对账单!$B$4,ISNUMBER(采购进货!B211),采购进货!B211&gt;=供应商对账单!$G$4,采购进货!B211&lt;=供应商对账单!$I$4),采购进货!B211+ROW()/100000,"")</f>
      </c>
      <c r="J211">
        <f>IF(总览汇总!$B211="","",N(总览汇总!$K211)+SUMIFS(出库明细!$G$4:$G$3003,出库明细!$C$4:$C$3003,总览汇总!$B211,出库明细!$B$4:$B$3003,"&gt;="&amp;年初日,出库明细!$B$4:$B$3003,"&lt;="&amp;资产负债表!$D$3)-SUMIFS(资金台帐!$S$7:$S$3006,资金台帐!$J$7:$J$3006,总览汇总!$B211,资金台帐!$P$7:$P$3006,"应收",资金台帐!$B$7:$B$3006,"&gt;="&amp;年初日,资金台帐!$B$7:$B$3006,"&lt;="&amp;资产负债表!$D$3))</f>
      </c>
      <c r="N211">
        <f>IF(AND(ISNUMBER(出库明细!G211),ISNUMBER(出库明细!E211),ISNUMBER(出库明细!F211)),IF(ABS(出库明细!G211-出库明细!E211*出库明细!F211)&gt;0.005,1,0),0)</f>
        <v>0</v>
      </c>
      <c r="O211">
        <f>IF(AND(ISNUMBER(存条明细!G211),ISNUMBER(存条明细!E211),ISNUMBER(存条明细!F211)),IF(ABS(存条明细!G211-存条明细!E211*存条明细!F211)&gt;0.005,1,0),0)</f>
        <v>0</v>
      </c>
    </row>
    <row r="212">
      <c r="A212">
        <f>IF(OR(存条明细!C212="",存条明细!D212=""),"",IF(COUNTIFS(存条明细!$C$4:C212,存条明细!C212,存条明细!$D$4:D212,存条明细!D212)&gt;1,"",IFERROR(MATCH(存条明细!C212,总览汇总!$B$5:$B$304,0),900)*10000000+IFERROR(MATCH(存条明细!D212,基础资料!$E$5:$E$104,0),900)*10000+ROW()))</f>
      </c>
      <c r="B212">
        <f>IFERROR(MATCH(SMALL($A$4:$A$4003,209),$A$4:$A$4003,0),"")</f>
        <v>76</v>
      </c>
      <c r="D212">
        <f>IF(AND(商品库存!B212&lt;&gt;"",商品库存!B212=客户查询!$B$4),COUNTIF(商品库存!$B$4:B212,客户查询!$B$4),"")</f>
      </c>
      <c r="E212">
        <f>IF(AND(商品库存!B212&lt;&gt;"",商品库存!B212=客户对账单!$B$4),COUNTIF(商品库存!$B$4:B212,客户对账单!$B$4),"")</f>
      </c>
      <c r="F212">
        <f>IF(AND(出库明细!C212&lt;&gt;"",出库明细!C212=客户对账单!$B$4,ISNUMBER(出库明细!B212),出库明细!B212&gt;=客户对账单!$G$4,出库明细!B212&lt;=客户对账单!$I$4),出库明细!B212+ROW()/100000,"")</f>
      </c>
      <c r="H212">
        <f>IF(AND(采购进货!C212&lt;&gt;"",采购进货!C212=供应商对账单!$B$4,ISNUMBER(采购进货!B212),采购进货!B212&gt;=供应商对账单!$G$4,采购进货!B212&lt;=供应商对账单!$I$4),采购进货!B212+ROW()/100000,"")</f>
      </c>
      <c r="J212">
        <f>IF(总览汇总!$B212="","",N(总览汇总!$K212)+SUMIFS(出库明细!$G$4:$G$3003,出库明细!$C$4:$C$3003,总览汇总!$B212,出库明细!$B$4:$B$3003,"&gt;="&amp;年初日,出库明细!$B$4:$B$3003,"&lt;="&amp;资产负债表!$D$3)-SUMIFS(资金台帐!$S$7:$S$3006,资金台帐!$J$7:$J$3006,总览汇总!$B212,资金台帐!$P$7:$P$3006,"应收",资金台帐!$B$7:$B$3006,"&gt;="&amp;年初日,资金台帐!$B$7:$B$3006,"&lt;="&amp;资产负债表!$D$3))</f>
      </c>
      <c r="N212">
        <f>IF(AND(ISNUMBER(出库明细!G212),ISNUMBER(出库明细!E212),ISNUMBER(出库明细!F212)),IF(ABS(出库明细!G212-出库明细!E212*出库明细!F212)&gt;0.005,1,0),0)</f>
        <v>0</v>
      </c>
      <c r="O212">
        <f>IF(AND(ISNUMBER(存条明细!G212),ISNUMBER(存条明细!E212),ISNUMBER(存条明细!F212)),IF(ABS(存条明细!G212-存条明细!E212*存条明细!F212)&gt;0.005,1,0),0)</f>
        <v>0</v>
      </c>
    </row>
    <row r="213">
      <c r="A213">
        <f>IF(OR(存条明细!C213="",存条明细!D213=""),"",IF(COUNTIFS(存条明细!$C$4:C213,存条明细!C213,存条明细!$D$4:D213,存条明细!D213)&gt;1,"",IFERROR(MATCH(存条明细!C213,总览汇总!$B$5:$B$304,0),900)*10000000+IFERROR(MATCH(存条明细!D213,基础资料!$E$5:$E$104,0),900)*10000+ROW()))</f>
      </c>
      <c r="B213">
        <f>IFERROR(MATCH(SMALL($A$4:$A$4003,210),$A$4:$A$4003,0),"")</f>
        <v>148</v>
      </c>
      <c r="D213">
        <f>IF(AND(商品库存!B213&lt;&gt;"",商品库存!B213=客户查询!$B$4),COUNTIF(商品库存!$B$4:B213,客户查询!$B$4),"")</f>
      </c>
      <c r="E213">
        <f>IF(AND(商品库存!B213&lt;&gt;"",商品库存!B213=客户对账单!$B$4),COUNTIF(商品库存!$B$4:B213,客户对账单!$B$4),"")</f>
      </c>
      <c r="F213">
        <f>IF(AND(出库明细!C213&lt;&gt;"",出库明细!C213=客户对账单!$B$4,ISNUMBER(出库明细!B213),出库明细!B213&gt;=客户对账单!$G$4,出库明细!B213&lt;=客户对账单!$I$4),出库明细!B213+ROW()/100000,"")</f>
      </c>
      <c r="H213">
        <f>IF(AND(采购进货!C213&lt;&gt;"",采购进货!C213=供应商对账单!$B$4,ISNUMBER(采购进货!B213),采购进货!B213&gt;=供应商对账单!$G$4,采购进货!B213&lt;=供应商对账单!$I$4),采购进货!B213+ROW()/100000,"")</f>
      </c>
      <c r="J213">
        <f>IF(总览汇总!$B213="","",N(总览汇总!$K213)+SUMIFS(出库明细!$G$4:$G$3003,出库明细!$C$4:$C$3003,总览汇总!$B213,出库明细!$B$4:$B$3003,"&gt;="&amp;年初日,出库明细!$B$4:$B$3003,"&lt;="&amp;资产负债表!$D$3)-SUMIFS(资金台帐!$S$7:$S$3006,资金台帐!$J$7:$J$3006,总览汇总!$B213,资金台帐!$P$7:$P$3006,"应收",资金台帐!$B$7:$B$3006,"&gt;="&amp;年初日,资金台帐!$B$7:$B$3006,"&lt;="&amp;资产负债表!$D$3))</f>
      </c>
      <c r="N213">
        <f>IF(AND(ISNUMBER(出库明细!G213),ISNUMBER(出库明细!E213),ISNUMBER(出库明细!F213)),IF(ABS(出库明细!G213-出库明细!E213*出库明细!F213)&gt;0.005,1,0),0)</f>
        <v>0</v>
      </c>
      <c r="O213">
        <f>IF(AND(ISNUMBER(存条明细!G213),ISNUMBER(存条明细!E213),ISNUMBER(存条明细!F213)),IF(ABS(存条明细!G213-存条明细!E213*存条明细!F213)&gt;0.005,1,0),0)</f>
        <v>0</v>
      </c>
    </row>
    <row r="214">
      <c r="A214">
        <f>IF(OR(存条明细!C214="",存条明细!D214=""),"",IF(COUNTIFS(存条明细!$C$4:C214,存条明细!C214,存条明细!$D$4:D214,存条明细!D214)&gt;1,"",IFERROR(MATCH(存条明细!C214,总览汇总!$B$5:$B$304,0),900)*10000000+IFERROR(MATCH(存条明细!D214,基础资料!$E$5:$E$104,0),900)*10000+ROW()))</f>
      </c>
      <c r="B214">
        <f>IFERROR(MATCH(SMALL($A$4:$A$4003,211),$A$4:$A$4003,0),"")</f>
        <v>147</v>
      </c>
      <c r="D214">
        <f>IF(AND(商品库存!B214&lt;&gt;"",商品库存!B214=客户查询!$B$4),COUNTIF(商品库存!$B$4:B214,客户查询!$B$4),"")</f>
      </c>
      <c r="E214">
        <f>IF(AND(商品库存!B214&lt;&gt;"",商品库存!B214=客户对账单!$B$4),COUNTIF(商品库存!$B$4:B214,客户对账单!$B$4),"")</f>
      </c>
      <c r="F214">
        <f>IF(AND(出库明细!C214&lt;&gt;"",出库明细!C214=客户对账单!$B$4,ISNUMBER(出库明细!B214),出库明细!B214&gt;=客户对账单!$G$4,出库明细!B214&lt;=客户对账单!$I$4),出库明细!B214+ROW()/100000,"")</f>
      </c>
      <c r="H214">
        <f>IF(AND(采购进货!C214&lt;&gt;"",采购进货!C214=供应商对账单!$B$4,ISNUMBER(采购进货!B214),采购进货!B214&gt;=供应商对账单!$G$4,采购进货!B214&lt;=供应商对账单!$I$4),采购进货!B214+ROW()/100000,"")</f>
      </c>
      <c r="J214">
        <f>IF(总览汇总!$B214="","",N(总览汇总!$K214)+SUMIFS(出库明细!$G$4:$G$3003,出库明细!$C$4:$C$3003,总览汇总!$B214,出库明细!$B$4:$B$3003,"&gt;="&amp;年初日,出库明细!$B$4:$B$3003,"&lt;="&amp;资产负债表!$D$3)-SUMIFS(资金台帐!$S$7:$S$3006,资金台帐!$J$7:$J$3006,总览汇总!$B214,资金台帐!$P$7:$P$3006,"应收",资金台帐!$B$7:$B$3006,"&gt;="&amp;年初日,资金台帐!$B$7:$B$3006,"&lt;="&amp;资产负债表!$D$3))</f>
      </c>
      <c r="N214">
        <f>IF(AND(ISNUMBER(出库明细!G214),ISNUMBER(出库明细!E214),ISNUMBER(出库明细!F214)),IF(ABS(出库明细!G214-出库明细!E214*出库明细!F214)&gt;0.005,1,0),0)</f>
        <v>0</v>
      </c>
      <c r="O214">
        <f>IF(AND(ISNUMBER(存条明细!G214),ISNUMBER(存条明细!E214),ISNUMBER(存条明细!F214)),IF(ABS(存条明细!G214-存条明细!E214*存条明细!F214)&gt;0.005,1,0),0)</f>
        <v>0</v>
      </c>
    </row>
    <row r="215">
      <c r="A215">
        <f>IF(OR(存条明细!C215="",存条明细!D215=""),"",IF(COUNTIFS(存条明细!$C$4:C215,存条明细!C215,存条明细!$D$4:D215,存条明细!D215)&gt;1,"",IFERROR(MATCH(存条明细!C215,总览汇总!$B$5:$B$304,0),900)*10000000+IFERROR(MATCH(存条明细!D215,基础资料!$E$5:$E$104,0),900)*10000+ROW()))</f>
      </c>
      <c r="B215">
        <f>IFERROR(MATCH(SMALL($A$4:$A$4003,212),$A$4:$A$4003,0),"")</f>
        <v>1327</v>
      </c>
      <c r="D215">
        <f>IF(AND(商品库存!B215&lt;&gt;"",商品库存!B215=客户查询!$B$4),COUNTIF(商品库存!$B$4:B215,客户查询!$B$4),"")</f>
      </c>
      <c r="E215">
        <f>IF(AND(商品库存!B215&lt;&gt;"",商品库存!B215=客户对账单!$B$4),COUNTIF(商品库存!$B$4:B215,客户对账单!$B$4),"")</f>
      </c>
      <c r="F215">
        <f>IF(AND(出库明细!C215&lt;&gt;"",出库明细!C215=客户对账单!$B$4,ISNUMBER(出库明细!B215),出库明细!B215&gt;=客户对账单!$G$4,出库明细!B215&lt;=客户对账单!$I$4),出库明细!B215+ROW()/100000,"")</f>
      </c>
      <c r="H215">
        <f>IF(AND(采购进货!C215&lt;&gt;"",采购进货!C215=供应商对账单!$B$4,ISNUMBER(采购进货!B215),采购进货!B215&gt;=供应商对账单!$G$4,采购进货!B215&lt;=供应商对账单!$I$4),采购进货!B215+ROW()/100000,"")</f>
      </c>
      <c r="J215">
        <f>IF(总览汇总!$B215="","",N(总览汇总!$K215)+SUMIFS(出库明细!$G$4:$G$3003,出库明细!$C$4:$C$3003,总览汇总!$B215,出库明细!$B$4:$B$3003,"&gt;="&amp;年初日,出库明细!$B$4:$B$3003,"&lt;="&amp;资产负债表!$D$3)-SUMIFS(资金台帐!$S$7:$S$3006,资金台帐!$J$7:$J$3006,总览汇总!$B215,资金台帐!$P$7:$P$3006,"应收",资金台帐!$B$7:$B$3006,"&gt;="&amp;年初日,资金台帐!$B$7:$B$3006,"&lt;="&amp;资产负债表!$D$3))</f>
      </c>
      <c r="N215">
        <f>IF(AND(ISNUMBER(出库明细!G215),ISNUMBER(出库明细!E215),ISNUMBER(出库明细!F215)),IF(ABS(出库明细!G215-出库明细!E215*出库明细!F215)&gt;0.005,1,0),0)</f>
        <v>0</v>
      </c>
      <c r="O215">
        <f>IF(AND(ISNUMBER(存条明细!G215),ISNUMBER(存条明细!E215),ISNUMBER(存条明细!F215)),IF(ABS(存条明细!G215-存条明细!E215*存条明细!F215)&gt;0.005,1,0),0)</f>
        <v>0</v>
      </c>
    </row>
    <row r="216">
      <c r="A216">
        <f>IF(OR(存条明细!C216="",存条明细!D216=""),"",IF(COUNTIFS(存条明细!$C$4:C216,存条明细!C216,存条明细!$D$4:D216,存条明细!D216)&gt;1,"",IFERROR(MATCH(存条明细!C216,总览汇总!$B$5:$B$304,0),900)*10000000+IFERROR(MATCH(存条明细!D216,基础资料!$E$5:$E$104,0),900)*10000+ROW()))</f>
      </c>
      <c r="B216">
        <f>IFERROR(MATCH(SMALL($A$4:$A$4003,213),$A$4:$A$4003,0),"")</f>
        <v>1092</v>
      </c>
      <c r="D216">
        <f>IF(AND(商品库存!B216&lt;&gt;"",商品库存!B216=客户查询!$B$4),COUNTIF(商品库存!$B$4:B216,客户查询!$B$4),"")</f>
      </c>
      <c r="E216">
        <f>IF(AND(商品库存!B216&lt;&gt;"",商品库存!B216=客户对账单!$B$4),COUNTIF(商品库存!$B$4:B216,客户对账单!$B$4),"")</f>
      </c>
      <c r="F216">
        <f>IF(AND(出库明细!C216&lt;&gt;"",出库明细!C216=客户对账单!$B$4,ISNUMBER(出库明细!B216),出库明细!B216&gt;=客户对账单!$G$4,出库明细!B216&lt;=客户对账单!$I$4),出库明细!B216+ROW()/100000,"")</f>
      </c>
      <c r="H216">
        <f>IF(AND(采购进货!C216&lt;&gt;"",采购进货!C216=供应商对账单!$B$4,ISNUMBER(采购进货!B216),采购进货!B216&gt;=供应商对账单!$G$4,采购进货!B216&lt;=供应商对账单!$I$4),采购进货!B216+ROW()/100000,"")</f>
      </c>
      <c r="J216">
        <f>IF(总览汇总!$B216="","",N(总览汇总!$K216)+SUMIFS(出库明细!$G$4:$G$3003,出库明细!$C$4:$C$3003,总览汇总!$B216,出库明细!$B$4:$B$3003,"&gt;="&amp;年初日,出库明细!$B$4:$B$3003,"&lt;="&amp;资产负债表!$D$3)-SUMIFS(资金台帐!$S$7:$S$3006,资金台帐!$J$7:$J$3006,总览汇总!$B216,资金台帐!$P$7:$P$3006,"应收",资金台帐!$B$7:$B$3006,"&gt;="&amp;年初日,资金台帐!$B$7:$B$3006,"&lt;="&amp;资产负债表!$D$3))</f>
      </c>
      <c r="N216">
        <f>IF(AND(ISNUMBER(出库明细!G216),ISNUMBER(出库明细!E216),ISNUMBER(出库明细!F216)),IF(ABS(出库明细!G216-出库明细!E216*出库明细!F216)&gt;0.005,1,0),0)</f>
        <v>0</v>
      </c>
      <c r="O216">
        <f>IF(AND(ISNUMBER(存条明细!G216),ISNUMBER(存条明细!E216),ISNUMBER(存条明细!F216)),IF(ABS(存条明细!G216-存条明细!E216*存条明细!F216)&gt;0.005,1,0),0)</f>
        <v>0</v>
      </c>
    </row>
    <row r="217">
      <c r="A217">
        <f>IF(OR(存条明细!C217="",存条明细!D217=""),"",IF(COUNTIFS(存条明细!$C$4:C217,存条明细!C217,存条明细!$D$4:D217,存条明细!D217)&gt;1,"",IFERROR(MATCH(存条明细!C217,总览汇总!$B$5:$B$304,0),900)*10000000+IFERROR(MATCH(存条明细!D217,基础资料!$E$5:$E$104,0),900)*10000+ROW()))</f>
        <v>320040217</v>
      </c>
      <c r="B217">
        <f>IFERROR(MATCH(SMALL($A$4:$A$4003,214),$A$4:$A$4003,0),"")</f>
        <v>1091</v>
      </c>
      <c r="D217">
        <f>IF(AND(商品库存!B217&lt;&gt;"",商品库存!B217=客户查询!$B$4),COUNTIF(商品库存!$B$4:B217,客户查询!$B$4),"")</f>
      </c>
      <c r="E217">
        <f>IF(AND(商品库存!B217&lt;&gt;"",商品库存!B217=客户对账单!$B$4),COUNTIF(商品库存!$B$4:B217,客户对账单!$B$4),"")</f>
      </c>
      <c r="F217">
        <f>IF(AND(出库明细!C217&lt;&gt;"",出库明细!C217=客户对账单!$B$4,ISNUMBER(出库明细!B217),出库明细!B217&gt;=客户对账单!$G$4,出库明细!B217&lt;=客户对账单!$I$4),出库明细!B217+ROW()/100000,"")</f>
      </c>
      <c r="H217">
        <f>IF(AND(采购进货!C217&lt;&gt;"",采购进货!C217=供应商对账单!$B$4,ISNUMBER(采购进货!B217),采购进货!B217&gt;=供应商对账单!$G$4,采购进货!B217&lt;=供应商对账单!$I$4),采购进货!B217+ROW()/100000,"")</f>
      </c>
      <c r="J217">
        <f>IF(总览汇总!$B217="","",N(总览汇总!$K217)+SUMIFS(出库明细!$G$4:$G$3003,出库明细!$C$4:$C$3003,总览汇总!$B217,出库明细!$B$4:$B$3003,"&gt;="&amp;年初日,出库明细!$B$4:$B$3003,"&lt;="&amp;资产负债表!$D$3)-SUMIFS(资金台帐!$S$7:$S$3006,资金台帐!$J$7:$J$3006,总览汇总!$B217,资金台帐!$P$7:$P$3006,"应收",资金台帐!$B$7:$B$3006,"&gt;="&amp;年初日,资金台帐!$B$7:$B$3006,"&lt;="&amp;资产负债表!$D$3))</f>
      </c>
      <c r="N217">
        <f>IF(AND(ISNUMBER(出库明细!G217),ISNUMBER(出库明细!E217),ISNUMBER(出库明细!F217)),IF(ABS(出库明细!G217-出库明细!E217*出库明细!F217)&gt;0.005,1,0),0)</f>
        <v>0</v>
      </c>
      <c r="O217">
        <f>IF(AND(ISNUMBER(存条明细!G217),ISNUMBER(存条明细!E217),ISNUMBER(存条明细!F217)),IF(ABS(存条明细!G217-存条明细!E217*存条明细!F217)&gt;0.005,1,0),0)</f>
        <v>0</v>
      </c>
    </row>
    <row r="218">
      <c r="A218">
        <f>IF(OR(存条明细!C218="",存条明细!D218=""),"",IF(COUNTIFS(存条明细!$C$4:C218,存条明细!C218,存条明细!$D$4:D218,存条明细!D218)&gt;1,"",IFERROR(MATCH(存条明细!C218,总览汇总!$B$5:$B$304,0),900)*10000000+IFERROR(MATCH(存条明细!D218,基础资料!$E$5:$E$104,0),900)*10000+ROW()))</f>
      </c>
      <c r="B218">
        <f>IFERROR(MATCH(SMALL($A$4:$A$4003,215),$A$4:$A$4003,0),"")</f>
        <v>1089</v>
      </c>
      <c r="D218">
        <f>IF(AND(商品库存!B218&lt;&gt;"",商品库存!B218=客户查询!$B$4),COUNTIF(商品库存!$B$4:B218,客户查询!$B$4),"")</f>
      </c>
      <c r="E218">
        <f>IF(AND(商品库存!B218&lt;&gt;"",商品库存!B218=客户对账单!$B$4),COUNTIF(商品库存!$B$4:B218,客户对账单!$B$4),"")</f>
      </c>
      <c r="F218">
        <f>IF(AND(出库明细!C218&lt;&gt;"",出库明细!C218=客户对账单!$B$4,ISNUMBER(出库明细!B218),出库明细!B218&gt;=客户对账单!$G$4,出库明细!B218&lt;=客户对账单!$I$4),出库明细!B218+ROW()/100000,"")</f>
      </c>
      <c r="H218">
        <f>IF(AND(采购进货!C218&lt;&gt;"",采购进货!C218=供应商对账单!$B$4,ISNUMBER(采购进货!B218),采购进货!B218&gt;=供应商对账单!$G$4,采购进货!B218&lt;=供应商对账单!$I$4),采购进货!B218+ROW()/100000,"")</f>
      </c>
      <c r="J218">
        <f>IF(总览汇总!$B218="","",N(总览汇总!$K218)+SUMIFS(出库明细!$G$4:$G$3003,出库明细!$C$4:$C$3003,总览汇总!$B218,出库明细!$B$4:$B$3003,"&gt;="&amp;年初日,出库明细!$B$4:$B$3003,"&lt;="&amp;资产负债表!$D$3)-SUMIFS(资金台帐!$S$7:$S$3006,资金台帐!$J$7:$J$3006,总览汇总!$B218,资金台帐!$P$7:$P$3006,"应收",资金台帐!$B$7:$B$3006,"&gt;="&amp;年初日,资金台帐!$B$7:$B$3006,"&lt;="&amp;资产负债表!$D$3))</f>
      </c>
      <c r="N218">
        <f>IF(AND(ISNUMBER(出库明细!G218),ISNUMBER(出库明细!E218),ISNUMBER(出库明细!F218)),IF(ABS(出库明细!G218-出库明细!E218*出库明细!F218)&gt;0.005,1,0),0)</f>
        <v>0</v>
      </c>
      <c r="O218">
        <f>IF(AND(ISNUMBER(存条明细!G218),ISNUMBER(存条明细!E218),ISNUMBER(存条明细!F218)),IF(ABS(存条明细!G218-存条明细!E218*存条明细!F218)&gt;0.005,1,0),0)</f>
        <v>0</v>
      </c>
    </row>
    <row r="219">
      <c r="A219">
        <f>IF(OR(存条明细!C219="",存条明细!D219=""),"",IF(COUNTIFS(存条明细!$C$4:C219,存条明细!C219,存条明细!$D$4:D219,存条明细!D219)&gt;1,"",IFERROR(MATCH(存条明细!C219,总览汇总!$B$5:$B$304,0),900)*10000000+IFERROR(MATCH(存条明细!D219,基础资料!$E$5:$E$104,0),900)*10000+ROW()))</f>
        <v>320050219</v>
      </c>
      <c r="B219">
        <f>IFERROR(MATCH(SMALL($A$4:$A$4003,216),$A$4:$A$4003,0),"")</f>
        <v>1094</v>
      </c>
      <c r="D219">
        <f>IF(AND(商品库存!B219&lt;&gt;"",商品库存!B219=客户查询!$B$4),COUNTIF(商品库存!$B$4:B219,客户查询!$B$4),"")</f>
      </c>
      <c r="E219">
        <f>IF(AND(商品库存!B219&lt;&gt;"",商品库存!B219=客户对账单!$B$4),COUNTIF(商品库存!$B$4:B219,客户对账单!$B$4),"")</f>
      </c>
      <c r="F219">
        <f>IF(AND(出库明细!C219&lt;&gt;"",出库明细!C219=客户对账单!$B$4,ISNUMBER(出库明细!B219),出库明细!B219&gt;=客户对账单!$G$4,出库明细!B219&lt;=客户对账单!$I$4),出库明细!B219+ROW()/100000,"")</f>
      </c>
      <c r="H219">
        <f>IF(AND(采购进货!C219&lt;&gt;"",采购进货!C219=供应商对账单!$B$4,ISNUMBER(采购进货!B219),采购进货!B219&gt;=供应商对账单!$G$4,采购进货!B219&lt;=供应商对账单!$I$4),采购进货!B219+ROW()/100000,"")</f>
      </c>
      <c r="J219">
        <f>IF(总览汇总!$B219="","",N(总览汇总!$K219)+SUMIFS(出库明细!$G$4:$G$3003,出库明细!$C$4:$C$3003,总览汇总!$B219,出库明细!$B$4:$B$3003,"&gt;="&amp;年初日,出库明细!$B$4:$B$3003,"&lt;="&amp;资产负债表!$D$3)-SUMIFS(资金台帐!$S$7:$S$3006,资金台帐!$J$7:$J$3006,总览汇总!$B219,资金台帐!$P$7:$P$3006,"应收",资金台帐!$B$7:$B$3006,"&gt;="&amp;年初日,资金台帐!$B$7:$B$3006,"&lt;="&amp;资产负债表!$D$3))</f>
      </c>
      <c r="N219">
        <f>IF(AND(ISNUMBER(出库明细!G219),ISNUMBER(出库明细!E219),ISNUMBER(出库明细!F219)),IF(ABS(出库明细!G219-出库明细!E219*出库明细!F219)&gt;0.005,1,0),0)</f>
        <v>0</v>
      </c>
      <c r="O219">
        <f>IF(AND(ISNUMBER(存条明细!G219),ISNUMBER(存条明细!E219),ISNUMBER(存条明细!F219)),IF(ABS(存条明细!G219-存条明细!E219*存条明细!F219)&gt;0.005,1,0),0)</f>
        <v>0</v>
      </c>
    </row>
    <row r="220">
      <c r="A220">
        <f>IF(OR(存条明细!C220="",存条明细!D220=""),"",IF(COUNTIFS(存条明细!$C$4:C220,存条明细!C220,存条明细!$D$4:D220,存条明细!D220)&gt;1,"",IFERROR(MATCH(存条明细!C220,总览汇总!$B$5:$B$304,0),900)*10000000+IFERROR(MATCH(存条明细!D220,基础资料!$E$5:$E$104,0),900)*10000+ROW()))</f>
      </c>
      <c r="B220">
        <f>IFERROR(MATCH(SMALL($A$4:$A$4003,217),$A$4:$A$4003,0),"")</f>
        <v>1090</v>
      </c>
      <c r="D220">
        <f>IF(AND(商品库存!B220&lt;&gt;"",商品库存!B220=客户查询!$B$4),COUNTIF(商品库存!$B$4:B220,客户查询!$B$4),"")</f>
      </c>
      <c r="E220">
        <f>IF(AND(商品库存!B220&lt;&gt;"",商品库存!B220=客户对账单!$B$4),COUNTIF(商品库存!$B$4:B220,客户对账单!$B$4),"")</f>
      </c>
      <c r="F220">
        <f>IF(AND(出库明细!C220&lt;&gt;"",出库明细!C220=客户对账单!$B$4,ISNUMBER(出库明细!B220),出库明细!B220&gt;=客户对账单!$G$4,出库明细!B220&lt;=客户对账单!$I$4),出库明细!B220+ROW()/100000,"")</f>
      </c>
      <c r="H220">
        <f>IF(AND(采购进货!C220&lt;&gt;"",采购进货!C220=供应商对账单!$B$4,ISNUMBER(采购进货!B220),采购进货!B220&gt;=供应商对账单!$G$4,采购进货!B220&lt;=供应商对账单!$I$4),采购进货!B220+ROW()/100000,"")</f>
      </c>
      <c r="J220">
        <f>IF(总览汇总!$B220="","",N(总览汇总!$K220)+SUMIFS(出库明细!$G$4:$G$3003,出库明细!$C$4:$C$3003,总览汇总!$B220,出库明细!$B$4:$B$3003,"&gt;="&amp;年初日,出库明细!$B$4:$B$3003,"&lt;="&amp;资产负债表!$D$3)-SUMIFS(资金台帐!$S$7:$S$3006,资金台帐!$J$7:$J$3006,总览汇总!$B220,资金台帐!$P$7:$P$3006,"应收",资金台帐!$B$7:$B$3006,"&gt;="&amp;年初日,资金台帐!$B$7:$B$3006,"&lt;="&amp;资产负债表!$D$3))</f>
      </c>
      <c r="N220">
        <f>IF(AND(ISNUMBER(出库明细!G220),ISNUMBER(出库明细!E220),ISNUMBER(出库明细!F220)),IF(ABS(出库明细!G220-出库明细!E220*出库明细!F220)&gt;0.005,1,0),0)</f>
        <v>0</v>
      </c>
      <c r="O220">
        <f>IF(AND(ISNUMBER(存条明细!G220),ISNUMBER(存条明细!E220),ISNUMBER(存条明细!F220)),IF(ABS(存条明细!G220-存条明细!E220*存条明细!F220)&gt;0.005,1,0),0)</f>
        <v>0</v>
      </c>
    </row>
    <row r="221">
      <c r="A221">
        <f>IF(OR(存条明细!C221="",存条明细!D221=""),"",IF(COUNTIFS(存条明细!$C$4:C221,存条明细!C221,存条明细!$D$4:D221,存条明细!D221)&gt;1,"",IFERROR(MATCH(存条明细!C221,总览汇总!$B$5:$B$304,0),900)*10000000+IFERROR(MATCH(存条明细!D221,基础资料!$E$5:$E$104,0),900)*10000+ROW()))</f>
        <v>320060221</v>
      </c>
      <c r="B221">
        <f>IFERROR(MATCH(SMALL($A$4:$A$4003,218),$A$4:$A$4003,0),"")</f>
        <v>153</v>
      </c>
      <c r="D221">
        <f>IF(AND(商品库存!B221&lt;&gt;"",商品库存!B221=客户查询!$B$4),COUNTIF(商品库存!$B$4:B221,客户查询!$B$4),"")</f>
      </c>
      <c r="E221">
        <f>IF(AND(商品库存!B221&lt;&gt;"",商品库存!B221=客户对账单!$B$4),COUNTIF(商品库存!$B$4:B221,客户对账单!$B$4),"")</f>
      </c>
      <c r="F221">
        <f>IF(AND(出库明细!C221&lt;&gt;"",出库明细!C221=客户对账单!$B$4,ISNUMBER(出库明细!B221),出库明细!B221&gt;=客户对账单!$G$4,出库明细!B221&lt;=客户对账单!$I$4),出库明细!B221+ROW()/100000,"")</f>
      </c>
      <c r="H221">
        <f>IF(AND(采购进货!C221&lt;&gt;"",采购进货!C221=供应商对账单!$B$4,ISNUMBER(采购进货!B221),采购进货!B221&gt;=供应商对账单!$G$4,采购进货!B221&lt;=供应商对账单!$I$4),采购进货!B221+ROW()/100000,"")</f>
      </c>
      <c r="J221">
        <f>IF(总览汇总!$B221="","",N(总览汇总!$K221)+SUMIFS(出库明细!$G$4:$G$3003,出库明细!$C$4:$C$3003,总览汇总!$B221,出库明细!$B$4:$B$3003,"&gt;="&amp;年初日,出库明细!$B$4:$B$3003,"&lt;="&amp;资产负债表!$D$3)-SUMIFS(资金台帐!$S$7:$S$3006,资金台帐!$J$7:$J$3006,总览汇总!$B221,资金台帐!$P$7:$P$3006,"应收",资金台帐!$B$7:$B$3006,"&gt;="&amp;年初日,资金台帐!$B$7:$B$3006,"&lt;="&amp;资产负债表!$D$3))</f>
      </c>
      <c r="N221">
        <f>IF(AND(ISNUMBER(出库明细!G221),ISNUMBER(出库明细!E221),ISNUMBER(出库明细!F221)),IF(ABS(出库明细!G221-出库明细!E221*出库明细!F221)&gt;0.005,1,0),0)</f>
        <v>0</v>
      </c>
      <c r="O221">
        <f>IF(AND(ISNUMBER(存条明细!G221),ISNUMBER(存条明细!E221),ISNUMBER(存条明细!F221)),IF(ABS(存条明细!G221-存条明细!E221*存条明细!F221)&gt;0.005,1,0),0)</f>
        <v>0</v>
      </c>
    </row>
    <row r="222">
      <c r="A222">
        <f>IF(OR(存条明细!C222="",存条明细!D222=""),"",IF(COUNTIFS(存条明细!$C$4:C222,存条明细!C222,存条明细!$D$4:D222,存条明细!D222)&gt;1,"",IFERROR(MATCH(存条明细!C222,总览汇总!$B$5:$B$304,0),900)*10000000+IFERROR(MATCH(存条明细!D222,基础资料!$E$5:$E$104,0),900)*10000+ROW()))</f>
      </c>
      <c r="B222">
        <f>IFERROR(MATCH(SMALL($A$4:$A$4003,219),$A$4:$A$4003,0),"")</f>
        <v>156</v>
      </c>
      <c r="D222">
        <f>IF(AND(商品库存!B222&lt;&gt;"",商品库存!B222=客户查询!$B$4),COUNTIF(商品库存!$B$4:B222,客户查询!$B$4),"")</f>
      </c>
      <c r="E222">
        <f>IF(AND(商品库存!B222&lt;&gt;"",商品库存!B222=客户对账单!$B$4),COUNTIF(商品库存!$B$4:B222,客户对账单!$B$4),"")</f>
      </c>
      <c r="F222">
        <f>IF(AND(出库明细!C222&lt;&gt;"",出库明细!C222=客户对账单!$B$4,ISNUMBER(出库明细!B222),出库明细!B222&gt;=客户对账单!$G$4,出库明细!B222&lt;=客户对账单!$I$4),出库明细!B222+ROW()/100000,"")</f>
      </c>
      <c r="H222">
        <f>IF(AND(采购进货!C222&lt;&gt;"",采购进货!C222=供应商对账单!$B$4,ISNUMBER(采购进货!B222),采购进货!B222&gt;=供应商对账单!$G$4,采购进货!B222&lt;=供应商对账单!$I$4),采购进货!B222+ROW()/100000,"")</f>
      </c>
      <c r="J222">
        <f>IF(总览汇总!$B222="","",N(总览汇总!$K222)+SUMIFS(出库明细!$G$4:$G$3003,出库明细!$C$4:$C$3003,总览汇总!$B222,出库明细!$B$4:$B$3003,"&gt;="&amp;年初日,出库明细!$B$4:$B$3003,"&lt;="&amp;资产负债表!$D$3)-SUMIFS(资金台帐!$S$7:$S$3006,资金台帐!$J$7:$J$3006,总览汇总!$B222,资金台帐!$P$7:$P$3006,"应收",资金台帐!$B$7:$B$3006,"&gt;="&amp;年初日,资金台帐!$B$7:$B$3006,"&lt;="&amp;资产负债表!$D$3))</f>
      </c>
      <c r="N222">
        <f>IF(AND(ISNUMBER(出库明细!G222),ISNUMBER(出库明细!E222),ISNUMBER(出库明细!F222)),IF(ABS(出库明细!G222-出库明细!E222*出库明细!F222)&gt;0.005,1,0),0)</f>
        <v>0</v>
      </c>
      <c r="O222">
        <f>IF(AND(ISNUMBER(存条明细!G222),ISNUMBER(存条明细!E222),ISNUMBER(存条明细!F222)),IF(ABS(存条明细!G222-存条明细!E222*存条明细!F222)&gt;0.005,1,0),0)</f>
        <v>0</v>
      </c>
    </row>
    <row r="223">
      <c r="A223">
        <f>IF(OR(存条明细!C223="",存条明细!D223=""),"",IF(COUNTIFS(存条明细!$C$4:C223,存条明细!C223,存条明细!$D$4:D223,存条明细!D223)&gt;1,"",IFERROR(MATCH(存条明细!C223,总览汇总!$B$5:$B$304,0),900)*10000000+IFERROR(MATCH(存条明细!D223,基础资料!$E$5:$E$104,0),900)*10000+ROW()))</f>
      </c>
      <c r="B223">
        <f>IFERROR(MATCH(SMALL($A$4:$A$4003,220),$A$4:$A$4003,0),"")</f>
        <v>155</v>
      </c>
      <c r="D223">
        <f>IF(AND(商品库存!B223&lt;&gt;"",商品库存!B223=客户查询!$B$4),COUNTIF(商品库存!$B$4:B223,客户查询!$B$4),"")</f>
      </c>
      <c r="E223">
        <f>IF(AND(商品库存!B223&lt;&gt;"",商品库存!B223=客户对账单!$B$4),COUNTIF(商品库存!$B$4:B223,客户对账单!$B$4),"")</f>
      </c>
      <c r="F223">
        <f>IF(AND(出库明细!C223&lt;&gt;"",出库明细!C223=客户对账单!$B$4,ISNUMBER(出库明细!B223),出库明细!B223&gt;=客户对账单!$G$4,出库明细!B223&lt;=客户对账单!$I$4),出库明细!B223+ROW()/100000,"")</f>
      </c>
      <c r="H223">
        <f>IF(AND(采购进货!C223&lt;&gt;"",采购进货!C223=供应商对账单!$B$4,ISNUMBER(采购进货!B223),采购进货!B223&gt;=供应商对账单!$G$4,采购进货!B223&lt;=供应商对账单!$I$4),采购进货!B223+ROW()/100000,"")</f>
      </c>
      <c r="J223">
        <f>IF(总览汇总!$B223="","",N(总览汇总!$K223)+SUMIFS(出库明细!$G$4:$G$3003,出库明细!$C$4:$C$3003,总览汇总!$B223,出库明细!$B$4:$B$3003,"&gt;="&amp;年初日,出库明细!$B$4:$B$3003,"&lt;="&amp;资产负债表!$D$3)-SUMIFS(资金台帐!$S$7:$S$3006,资金台帐!$J$7:$J$3006,总览汇总!$B223,资金台帐!$P$7:$P$3006,"应收",资金台帐!$B$7:$B$3006,"&gt;="&amp;年初日,资金台帐!$B$7:$B$3006,"&lt;="&amp;资产负债表!$D$3))</f>
      </c>
      <c r="N223">
        <f>IF(AND(ISNUMBER(出库明细!G223),ISNUMBER(出库明细!E223),ISNUMBER(出库明细!F223)),IF(ABS(出库明细!G223-出库明细!E223*出库明细!F223)&gt;0.005,1,0),0)</f>
        <v>0</v>
      </c>
      <c r="O223">
        <f>IF(AND(ISNUMBER(存条明细!G223),ISNUMBER(存条明细!E223),ISNUMBER(存条明细!F223)),IF(ABS(存条明细!G223-存条明细!E223*存条明细!F223)&gt;0.005,1,0),0)</f>
        <v>0</v>
      </c>
    </row>
    <row r="224">
      <c r="A224">
        <f>IF(OR(存条明细!C224="",存条明细!D224=""),"",IF(COUNTIFS(存条明细!$C$4:C224,存条明细!C224,存条明细!$D$4:D224,存条明细!D224)&gt;1,"",IFERROR(MATCH(存条明细!C224,总览汇总!$B$5:$B$304,0),900)*10000000+IFERROR(MATCH(存条明细!D224,基础资料!$E$5:$E$104,0),900)*10000+ROW()))</f>
      </c>
      <c r="B224">
        <f>IFERROR(MATCH(SMALL($A$4:$A$4003,221),$A$4:$A$4003,0),"")</f>
        <v>157</v>
      </c>
      <c r="D224">
        <f>IF(AND(商品库存!B224&lt;&gt;"",商品库存!B224=客户查询!$B$4),COUNTIF(商品库存!$B$4:B224,客户查询!$B$4),"")</f>
      </c>
      <c r="E224">
        <f>IF(AND(商品库存!B224&lt;&gt;"",商品库存!B224=客户对账单!$B$4),COUNTIF(商品库存!$B$4:B224,客户对账单!$B$4),"")</f>
      </c>
      <c r="F224">
        <f>IF(AND(出库明细!C224&lt;&gt;"",出库明细!C224=客户对账单!$B$4,ISNUMBER(出库明细!B224),出库明细!B224&gt;=客户对账单!$G$4,出库明细!B224&lt;=客户对账单!$I$4),出库明细!B224+ROW()/100000,"")</f>
      </c>
      <c r="H224">
        <f>IF(AND(采购进货!C224&lt;&gt;"",采购进货!C224=供应商对账单!$B$4,ISNUMBER(采购进货!B224),采购进货!B224&gt;=供应商对账单!$G$4,采购进货!B224&lt;=供应商对账单!$I$4),采购进货!B224+ROW()/100000,"")</f>
      </c>
      <c r="J224">
        <f>IF(总览汇总!$B224="","",N(总览汇总!$K224)+SUMIFS(出库明细!$G$4:$G$3003,出库明细!$C$4:$C$3003,总览汇总!$B224,出库明细!$B$4:$B$3003,"&gt;="&amp;年初日,出库明细!$B$4:$B$3003,"&lt;="&amp;资产负债表!$D$3)-SUMIFS(资金台帐!$S$7:$S$3006,资金台帐!$J$7:$J$3006,总览汇总!$B224,资金台帐!$P$7:$P$3006,"应收",资金台帐!$B$7:$B$3006,"&gt;="&amp;年初日,资金台帐!$B$7:$B$3006,"&lt;="&amp;资产负债表!$D$3))</f>
      </c>
      <c r="N224">
        <f>IF(AND(ISNUMBER(出库明细!G224),ISNUMBER(出库明细!E224),ISNUMBER(出库明细!F224)),IF(ABS(出库明细!G224-出库明细!E224*出库明细!F224)&gt;0.005,1,0),0)</f>
        <v>0</v>
      </c>
      <c r="O224">
        <f>IF(AND(ISNUMBER(存条明细!G224),ISNUMBER(存条明细!E224),ISNUMBER(存条明细!F224)),IF(ABS(存条明细!G224-存条明细!E224*存条明细!F224)&gt;0.005,1,0),0)</f>
        <v>0</v>
      </c>
    </row>
    <row r="225">
      <c r="A225">
        <f>IF(OR(存条明细!C225="",存条明细!D225=""),"",IF(COUNTIFS(存条明细!$C$4:C225,存条明细!C225,存条明细!$D$4:D225,存条明细!D225)&gt;1,"",IFERROR(MATCH(存条明细!C225,总览汇总!$B$5:$B$304,0),900)*10000000+IFERROR(MATCH(存条明细!D225,基础资料!$E$5:$E$104,0),900)*10000+ROW()))</f>
      </c>
      <c r="B225">
        <f>IFERROR(MATCH(SMALL($A$4:$A$4003,222),$A$4:$A$4003,0),"")</f>
        <v>158</v>
      </c>
      <c r="D225">
        <f>IF(AND(商品库存!B225&lt;&gt;"",商品库存!B225=客户查询!$B$4),COUNTIF(商品库存!$B$4:B225,客户查询!$B$4),"")</f>
      </c>
      <c r="E225">
        <f>IF(AND(商品库存!B225&lt;&gt;"",商品库存!B225=客户对账单!$B$4),COUNTIF(商品库存!$B$4:B225,客户对账单!$B$4),"")</f>
      </c>
      <c r="F225">
        <f>IF(AND(出库明细!C225&lt;&gt;"",出库明细!C225=客户对账单!$B$4,ISNUMBER(出库明细!B225),出库明细!B225&gt;=客户对账单!$G$4,出库明细!B225&lt;=客户对账单!$I$4),出库明细!B225+ROW()/100000,"")</f>
      </c>
      <c r="H225">
        <f>IF(AND(采购进货!C225&lt;&gt;"",采购进货!C225=供应商对账单!$B$4,ISNUMBER(采购进货!B225),采购进货!B225&gt;=供应商对账单!$G$4,采购进货!B225&lt;=供应商对账单!$I$4),采购进货!B225+ROW()/100000,"")</f>
      </c>
      <c r="J225">
        <f>IF(总览汇总!$B225="","",N(总览汇总!$K225)+SUMIFS(出库明细!$G$4:$G$3003,出库明细!$C$4:$C$3003,总览汇总!$B225,出库明细!$B$4:$B$3003,"&gt;="&amp;年初日,出库明细!$B$4:$B$3003,"&lt;="&amp;资产负债表!$D$3)-SUMIFS(资金台帐!$S$7:$S$3006,资金台帐!$J$7:$J$3006,总览汇总!$B225,资金台帐!$P$7:$P$3006,"应收",资金台帐!$B$7:$B$3006,"&gt;="&amp;年初日,资金台帐!$B$7:$B$3006,"&lt;="&amp;资产负债表!$D$3))</f>
      </c>
      <c r="N225">
        <f>IF(AND(ISNUMBER(出库明细!G225),ISNUMBER(出库明细!E225),ISNUMBER(出库明细!F225)),IF(ABS(出库明细!G225-出库明细!E225*出库明细!F225)&gt;0.005,1,0),0)</f>
        <v>0</v>
      </c>
      <c r="O225">
        <f>IF(AND(ISNUMBER(存条明细!G225),ISNUMBER(存条明细!E225),ISNUMBER(存条明细!F225)),IF(ABS(存条明细!G225-存条明细!E225*存条明细!F225)&gt;0.005,1,0),0)</f>
        <v>0</v>
      </c>
    </row>
    <row r="226">
      <c r="A226">
        <f>IF(OR(存条明细!C226="",存条明细!D226=""),"",IF(COUNTIFS(存条明细!$C$4:C226,存条明细!C226,存条明细!$D$4:D226,存条明细!D226)&gt;1,"",IFERROR(MATCH(存条明细!C226,总览汇总!$B$5:$B$304,0),900)*10000000+IFERROR(MATCH(存条明细!D226,基础资料!$E$5:$E$104,0),900)*10000+ROW()))</f>
      </c>
      <c r="B226">
        <f>IFERROR(MATCH(SMALL($A$4:$A$4003,223),$A$4:$A$4003,0),"")</f>
        <v>159</v>
      </c>
      <c r="D226">
        <f>IF(AND(商品库存!B226&lt;&gt;"",商品库存!B226=客户查询!$B$4),COUNTIF(商品库存!$B$4:B226,客户查询!$B$4),"")</f>
      </c>
      <c r="E226">
        <f>IF(AND(商品库存!B226&lt;&gt;"",商品库存!B226=客户对账单!$B$4),COUNTIF(商品库存!$B$4:B226,客户对账单!$B$4),"")</f>
      </c>
      <c r="F226">
        <f>IF(AND(出库明细!C226&lt;&gt;"",出库明细!C226=客户对账单!$B$4,ISNUMBER(出库明细!B226),出库明细!B226&gt;=客户对账单!$G$4,出库明细!B226&lt;=客户对账单!$I$4),出库明细!B226+ROW()/100000,"")</f>
      </c>
      <c r="H226">
        <f>IF(AND(采购进货!C226&lt;&gt;"",采购进货!C226=供应商对账单!$B$4,ISNUMBER(采购进货!B226),采购进货!B226&gt;=供应商对账单!$G$4,采购进货!B226&lt;=供应商对账单!$I$4),采购进货!B226+ROW()/100000,"")</f>
      </c>
      <c r="J226">
        <f>IF(总览汇总!$B226="","",N(总览汇总!$K226)+SUMIFS(出库明细!$G$4:$G$3003,出库明细!$C$4:$C$3003,总览汇总!$B226,出库明细!$B$4:$B$3003,"&gt;="&amp;年初日,出库明细!$B$4:$B$3003,"&lt;="&amp;资产负债表!$D$3)-SUMIFS(资金台帐!$S$7:$S$3006,资金台帐!$J$7:$J$3006,总览汇总!$B226,资金台帐!$P$7:$P$3006,"应收",资金台帐!$B$7:$B$3006,"&gt;="&amp;年初日,资金台帐!$B$7:$B$3006,"&lt;="&amp;资产负债表!$D$3))</f>
      </c>
      <c r="N226">
        <f>IF(AND(ISNUMBER(出库明细!G226),ISNUMBER(出库明细!E226),ISNUMBER(出库明细!F226)),IF(ABS(出库明细!G226-出库明细!E226*出库明细!F226)&gt;0.005,1,0),0)</f>
        <v>0</v>
      </c>
      <c r="O226">
        <f>IF(AND(ISNUMBER(存条明细!G226),ISNUMBER(存条明细!E226),ISNUMBER(存条明细!F226)),IF(ABS(存条明细!G226-存条明细!E226*存条明细!F226)&gt;0.005,1,0),0)</f>
        <v>0</v>
      </c>
    </row>
    <row r="227">
      <c r="A227">
        <f>IF(OR(存条明细!C227="",存条明细!D227=""),"",IF(COUNTIFS(存条明细!$C$4:C227,存条明细!C227,存条明细!$D$4:D227,存条明细!D227)&gt;1,"",IFERROR(MATCH(存条明细!C227,总览汇总!$B$5:$B$304,0),900)*10000000+IFERROR(MATCH(存条明细!D227,基础资料!$E$5:$E$104,0),900)*10000+ROW()))</f>
      </c>
      <c r="B227">
        <f>IFERROR(MATCH(SMALL($A$4:$A$4003,224),$A$4:$A$4003,0),"")</f>
        <v>160</v>
      </c>
      <c r="D227">
        <f>IF(AND(商品库存!B227&lt;&gt;"",商品库存!B227=客户查询!$B$4),COUNTIF(商品库存!$B$4:B227,客户查询!$B$4),"")</f>
      </c>
      <c r="E227">
        <f>IF(AND(商品库存!B227&lt;&gt;"",商品库存!B227=客户对账单!$B$4),COUNTIF(商品库存!$B$4:B227,客户对账单!$B$4),"")</f>
      </c>
      <c r="F227">
        <f>IF(AND(出库明细!C227&lt;&gt;"",出库明细!C227=客户对账单!$B$4,ISNUMBER(出库明细!B227),出库明细!B227&gt;=客户对账单!$G$4,出库明细!B227&lt;=客户对账单!$I$4),出库明细!B227+ROW()/100000,"")</f>
      </c>
      <c r="H227">
        <f>IF(AND(采购进货!C227&lt;&gt;"",采购进货!C227=供应商对账单!$B$4,ISNUMBER(采购进货!B227),采购进货!B227&gt;=供应商对账单!$G$4,采购进货!B227&lt;=供应商对账单!$I$4),采购进货!B227+ROW()/100000,"")</f>
      </c>
      <c r="J227">
        <f>IF(总览汇总!$B227="","",N(总览汇总!$K227)+SUMIFS(出库明细!$G$4:$G$3003,出库明细!$C$4:$C$3003,总览汇总!$B227,出库明细!$B$4:$B$3003,"&gt;="&amp;年初日,出库明细!$B$4:$B$3003,"&lt;="&amp;资产负债表!$D$3)-SUMIFS(资金台帐!$S$7:$S$3006,资金台帐!$J$7:$J$3006,总览汇总!$B227,资金台帐!$P$7:$P$3006,"应收",资金台帐!$B$7:$B$3006,"&gt;="&amp;年初日,资金台帐!$B$7:$B$3006,"&lt;="&amp;资产负债表!$D$3))</f>
      </c>
      <c r="N227">
        <f>IF(AND(ISNUMBER(出库明细!G227),ISNUMBER(出库明细!E227),ISNUMBER(出库明细!F227)),IF(ABS(出库明细!G227-出库明细!E227*出库明细!F227)&gt;0.005,1,0),0)</f>
        <v>0</v>
      </c>
      <c r="O227">
        <f>IF(AND(ISNUMBER(存条明细!G227),ISNUMBER(存条明细!E227),ISNUMBER(存条明细!F227)),IF(ABS(存条明细!G227-存条明细!E227*存条明细!F227)&gt;0.005,1,0),0)</f>
        <v>0</v>
      </c>
    </row>
    <row r="228">
      <c r="A228">
        <f>IF(OR(存条明细!C228="",存条明细!D228=""),"",IF(COUNTIFS(存条明细!$C$4:C228,存条明细!C228,存条明细!$D$4:D228,存条明细!D228)&gt;1,"",IFERROR(MATCH(存条明细!C228,总览汇总!$B$5:$B$304,0),900)*10000000+IFERROR(MATCH(存条明细!D228,基础资料!$E$5:$E$104,0),900)*10000+ROW()))</f>
      </c>
      <c r="B228">
        <f>IFERROR(MATCH(SMALL($A$4:$A$4003,225),$A$4:$A$4003,0),"")</f>
        <v>161</v>
      </c>
      <c r="D228">
        <f>IF(AND(商品库存!B228&lt;&gt;"",商品库存!B228=客户查询!$B$4),COUNTIF(商品库存!$B$4:B228,客户查询!$B$4),"")</f>
      </c>
      <c r="E228">
        <f>IF(AND(商品库存!B228&lt;&gt;"",商品库存!B228=客户对账单!$B$4),COUNTIF(商品库存!$B$4:B228,客户对账单!$B$4),"")</f>
      </c>
      <c r="F228">
        <f>IF(AND(出库明细!C228&lt;&gt;"",出库明细!C228=客户对账单!$B$4,ISNUMBER(出库明细!B228),出库明细!B228&gt;=客户对账单!$G$4,出库明细!B228&lt;=客户对账单!$I$4),出库明细!B228+ROW()/100000,"")</f>
      </c>
      <c r="H228">
        <f>IF(AND(采购进货!C228&lt;&gt;"",采购进货!C228=供应商对账单!$B$4,ISNUMBER(采购进货!B228),采购进货!B228&gt;=供应商对账单!$G$4,采购进货!B228&lt;=供应商对账单!$I$4),采购进货!B228+ROW()/100000,"")</f>
      </c>
      <c r="J228">
        <f>IF(总览汇总!$B228="","",N(总览汇总!$K228)+SUMIFS(出库明细!$G$4:$G$3003,出库明细!$C$4:$C$3003,总览汇总!$B228,出库明细!$B$4:$B$3003,"&gt;="&amp;年初日,出库明细!$B$4:$B$3003,"&lt;="&amp;资产负债表!$D$3)-SUMIFS(资金台帐!$S$7:$S$3006,资金台帐!$J$7:$J$3006,总览汇总!$B228,资金台帐!$P$7:$P$3006,"应收",资金台帐!$B$7:$B$3006,"&gt;="&amp;年初日,资金台帐!$B$7:$B$3006,"&lt;="&amp;资产负债表!$D$3))</f>
      </c>
      <c r="N228">
        <f>IF(AND(ISNUMBER(出库明细!G228),ISNUMBER(出库明细!E228),ISNUMBER(出库明细!F228)),IF(ABS(出库明细!G228-出库明细!E228*出库明细!F228)&gt;0.005,1,0),0)</f>
        <v>0</v>
      </c>
      <c r="O228">
        <f>IF(AND(ISNUMBER(存条明细!G228),ISNUMBER(存条明细!E228),ISNUMBER(存条明细!F228)),IF(ABS(存条明细!G228-存条明细!E228*存条明细!F228)&gt;0.005,1,0),0)</f>
        <v>0</v>
      </c>
    </row>
    <row r="229">
      <c r="A229">
        <f>IF(OR(存条明细!C229="",存条明细!D229=""),"",IF(COUNTIFS(存条明细!$C$4:C229,存条明细!C229,存条明细!$D$4:D229,存条明细!D229)&gt;1,"",IFERROR(MATCH(存条明细!C229,总览汇总!$B$5:$B$304,0),900)*10000000+IFERROR(MATCH(存条明细!D229,基础资料!$E$5:$E$104,0),900)*10000+ROW()))</f>
        <v>700010229</v>
      </c>
      <c r="B229">
        <f>IFERROR(MATCH(SMALL($A$4:$A$4003,226),$A$4:$A$4003,0),"")</f>
        <v>162</v>
      </c>
      <c r="D229">
        <f>IF(AND(商品库存!B229&lt;&gt;"",商品库存!B229=客户查询!$B$4),COUNTIF(商品库存!$B$4:B229,客户查询!$B$4),"")</f>
      </c>
      <c r="E229">
        <f>IF(AND(商品库存!B229&lt;&gt;"",商品库存!B229=客户对账单!$B$4),COUNTIF(商品库存!$B$4:B229,客户对账单!$B$4),"")</f>
      </c>
      <c r="F229">
        <f>IF(AND(出库明细!C229&lt;&gt;"",出库明细!C229=客户对账单!$B$4,ISNUMBER(出库明细!B229),出库明细!B229&gt;=客户对账单!$G$4,出库明细!B229&lt;=客户对账单!$I$4),出库明细!B229+ROW()/100000,"")</f>
      </c>
      <c r="H229">
        <f>IF(AND(采购进货!C229&lt;&gt;"",采购进货!C229=供应商对账单!$B$4,ISNUMBER(采购进货!B229),采购进货!B229&gt;=供应商对账单!$G$4,采购进货!B229&lt;=供应商对账单!$I$4),采购进货!B229+ROW()/100000,"")</f>
      </c>
      <c r="J229">
        <f>IF(总览汇总!$B229="","",N(总览汇总!$K229)+SUMIFS(出库明细!$G$4:$G$3003,出库明细!$C$4:$C$3003,总览汇总!$B229,出库明细!$B$4:$B$3003,"&gt;="&amp;年初日,出库明细!$B$4:$B$3003,"&lt;="&amp;资产负债表!$D$3)-SUMIFS(资金台帐!$S$7:$S$3006,资金台帐!$J$7:$J$3006,总览汇总!$B229,资金台帐!$P$7:$P$3006,"应收",资金台帐!$B$7:$B$3006,"&gt;="&amp;年初日,资金台帐!$B$7:$B$3006,"&lt;="&amp;资产负债表!$D$3))</f>
      </c>
      <c r="N229">
        <f>IF(AND(ISNUMBER(出库明细!G229),ISNUMBER(出库明细!E229),ISNUMBER(出库明细!F229)),IF(ABS(出库明细!G229-出库明细!E229*出库明细!F229)&gt;0.005,1,0),0)</f>
        <v>0</v>
      </c>
      <c r="O229">
        <f>IF(AND(ISNUMBER(存条明细!G229),ISNUMBER(存条明细!E229),ISNUMBER(存条明细!F229)),IF(ABS(存条明细!G229-存条明细!E229*存条明细!F229)&gt;0.005,1,0),0)</f>
        <v>0</v>
      </c>
    </row>
    <row r="230">
      <c r="A230">
        <f>IF(OR(存条明细!C230="",存条明细!D230=""),"",IF(COUNTIFS(存条明细!$C$4:C230,存条明细!C230,存条明细!$D$4:D230,存条明细!D230)&gt;1,"",IFERROR(MATCH(存条明细!C230,总览汇总!$B$5:$B$304,0),900)*10000000+IFERROR(MATCH(存条明细!D230,基础资料!$E$5:$E$104,0),900)*10000+ROW()))</f>
        <v>690010230</v>
      </c>
      <c r="B230">
        <f>IFERROR(MATCH(SMALL($A$4:$A$4003,227),$A$4:$A$4003,0),"")</f>
        <v>164</v>
      </c>
      <c r="D230">
        <f>IF(AND(商品库存!B230&lt;&gt;"",商品库存!B230=客户查询!$B$4),COUNTIF(商品库存!$B$4:B230,客户查询!$B$4),"")</f>
      </c>
      <c r="E230">
        <f>IF(AND(商品库存!B230&lt;&gt;"",商品库存!B230=客户对账单!$B$4),COUNTIF(商品库存!$B$4:B230,客户对账单!$B$4),"")</f>
      </c>
      <c r="F230">
        <f>IF(AND(出库明细!C230&lt;&gt;"",出库明细!C230=客户对账单!$B$4,ISNUMBER(出库明细!B230),出库明细!B230&gt;=客户对账单!$G$4,出库明细!B230&lt;=客户对账单!$I$4),出库明细!B230+ROW()/100000,"")</f>
      </c>
      <c r="H230">
        <f>IF(AND(采购进货!C230&lt;&gt;"",采购进货!C230=供应商对账单!$B$4,ISNUMBER(采购进货!B230),采购进货!B230&gt;=供应商对账单!$G$4,采购进货!B230&lt;=供应商对账单!$I$4),采购进货!B230+ROW()/100000,"")</f>
      </c>
      <c r="J230">
        <f>IF(总览汇总!$B230="","",N(总览汇总!$K230)+SUMIFS(出库明细!$G$4:$G$3003,出库明细!$C$4:$C$3003,总览汇总!$B230,出库明细!$B$4:$B$3003,"&gt;="&amp;年初日,出库明细!$B$4:$B$3003,"&lt;="&amp;资产负债表!$D$3)-SUMIFS(资金台帐!$S$7:$S$3006,资金台帐!$J$7:$J$3006,总览汇总!$B230,资金台帐!$P$7:$P$3006,"应收",资金台帐!$B$7:$B$3006,"&gt;="&amp;年初日,资金台帐!$B$7:$B$3006,"&lt;="&amp;资产负债表!$D$3))</f>
      </c>
      <c r="N230">
        <f>IF(AND(ISNUMBER(出库明细!G230),ISNUMBER(出库明细!E230),ISNUMBER(出库明细!F230)),IF(ABS(出库明细!G230-出库明细!E230*出库明细!F230)&gt;0.005,1,0),0)</f>
        <v>0</v>
      </c>
      <c r="O230">
        <f>IF(AND(ISNUMBER(存条明细!G230),ISNUMBER(存条明细!E230),ISNUMBER(存条明细!F230)),IF(ABS(存条明细!G230-存条明细!E230*存条明细!F230)&gt;0.005,1,0),0)</f>
        <v>0</v>
      </c>
    </row>
    <row r="231">
      <c r="A231">
        <f>IF(OR(存条明细!C231="",存条明细!D231=""),"",IF(COUNTIFS(存条明细!$C$4:C231,存条明细!C231,存条明细!$D$4:D231,存条明细!D231)&gt;1,"",IFERROR(MATCH(存条明细!C231,总览汇总!$B$5:$B$304,0),900)*10000000+IFERROR(MATCH(存条明细!D231,基础资料!$E$5:$E$104,0),900)*10000+ROW()))</f>
        <v>710010231</v>
      </c>
      <c r="B231">
        <f>IFERROR(MATCH(SMALL($A$4:$A$4003,228),$A$4:$A$4003,0),"")</f>
        <v>165</v>
      </c>
      <c r="D231">
        <f>IF(AND(商品库存!B231&lt;&gt;"",商品库存!B231=客户查询!$B$4),COUNTIF(商品库存!$B$4:B231,客户查询!$B$4),"")</f>
      </c>
      <c r="E231">
        <f>IF(AND(商品库存!B231&lt;&gt;"",商品库存!B231=客户对账单!$B$4),COUNTIF(商品库存!$B$4:B231,客户对账单!$B$4),"")</f>
      </c>
      <c r="F231">
        <f>IF(AND(出库明细!C231&lt;&gt;"",出库明细!C231=客户对账单!$B$4,ISNUMBER(出库明细!B231),出库明细!B231&gt;=客户对账单!$G$4,出库明细!B231&lt;=客户对账单!$I$4),出库明细!B231+ROW()/100000,"")</f>
      </c>
      <c r="H231">
        <f>IF(AND(采购进货!C231&lt;&gt;"",采购进货!C231=供应商对账单!$B$4,ISNUMBER(采购进货!B231),采购进货!B231&gt;=供应商对账单!$G$4,采购进货!B231&lt;=供应商对账单!$I$4),采购进货!B231+ROW()/100000,"")</f>
      </c>
      <c r="J231">
        <f>IF(总览汇总!$B231="","",N(总览汇总!$K231)+SUMIFS(出库明细!$G$4:$G$3003,出库明细!$C$4:$C$3003,总览汇总!$B231,出库明细!$B$4:$B$3003,"&gt;="&amp;年初日,出库明细!$B$4:$B$3003,"&lt;="&amp;资产负债表!$D$3)-SUMIFS(资金台帐!$S$7:$S$3006,资金台帐!$J$7:$J$3006,总览汇总!$B231,资金台帐!$P$7:$P$3006,"应收",资金台帐!$B$7:$B$3006,"&gt;="&amp;年初日,资金台帐!$B$7:$B$3006,"&lt;="&amp;资产负债表!$D$3))</f>
      </c>
      <c r="N231">
        <f>IF(AND(ISNUMBER(出库明细!G231),ISNUMBER(出库明细!E231),ISNUMBER(出库明细!F231)),IF(ABS(出库明细!G231-出库明细!E231*出库明细!F231)&gt;0.005,1,0),0)</f>
        <v>0</v>
      </c>
      <c r="O231">
        <f>IF(AND(ISNUMBER(存条明细!G231),ISNUMBER(存条明细!E231),ISNUMBER(存条明细!F231)),IF(ABS(存条明细!G231-存条明细!E231*存条明细!F231)&gt;0.005,1,0),0)</f>
        <v>0</v>
      </c>
    </row>
    <row r="232">
      <c r="A232">
        <f>IF(OR(存条明细!C232="",存条明细!D232=""),"",IF(COUNTIFS(存条明细!$C$4:C232,存条明细!C232,存条明细!$D$4:D232,存条明细!D232)&gt;1,"",IFERROR(MATCH(存条明细!C232,总览汇总!$B$5:$B$304,0),900)*10000000+IFERROR(MATCH(存条明细!D232,基础资料!$E$5:$E$104,0),900)*10000+ROW()))</f>
        <v>40330232</v>
      </c>
      <c r="B232">
        <f>IFERROR(MATCH(SMALL($A$4:$A$4003,229),$A$4:$A$4003,0),"")</f>
        <v>169</v>
      </c>
      <c r="D232">
        <f>IF(AND(商品库存!B232&lt;&gt;"",商品库存!B232=客户查询!$B$4),COUNTIF(商品库存!$B$4:B232,客户查询!$B$4),"")</f>
      </c>
      <c r="E232">
        <f>IF(AND(商品库存!B232&lt;&gt;"",商品库存!B232=客户对账单!$B$4),COUNTIF(商品库存!$B$4:B232,客户对账单!$B$4),"")</f>
      </c>
      <c r="F232">
        <f>IF(AND(出库明细!C232&lt;&gt;"",出库明细!C232=客户对账单!$B$4,ISNUMBER(出库明细!B232),出库明细!B232&gt;=客户对账单!$G$4,出库明细!B232&lt;=客户对账单!$I$4),出库明细!B232+ROW()/100000,"")</f>
      </c>
      <c r="H232">
        <f>IF(AND(采购进货!C232&lt;&gt;"",采购进货!C232=供应商对账单!$B$4,ISNUMBER(采购进货!B232),采购进货!B232&gt;=供应商对账单!$G$4,采购进货!B232&lt;=供应商对账单!$I$4),采购进货!B232+ROW()/100000,"")</f>
      </c>
      <c r="J232">
        <f>IF(总览汇总!$B232="","",N(总览汇总!$K232)+SUMIFS(出库明细!$G$4:$G$3003,出库明细!$C$4:$C$3003,总览汇总!$B232,出库明细!$B$4:$B$3003,"&gt;="&amp;年初日,出库明细!$B$4:$B$3003,"&lt;="&amp;资产负债表!$D$3)-SUMIFS(资金台帐!$S$7:$S$3006,资金台帐!$J$7:$J$3006,总览汇总!$B232,资金台帐!$P$7:$P$3006,"应收",资金台帐!$B$7:$B$3006,"&gt;="&amp;年初日,资金台帐!$B$7:$B$3006,"&lt;="&amp;资产负债表!$D$3))</f>
      </c>
      <c r="N232">
        <f>IF(AND(ISNUMBER(出库明细!G232),ISNUMBER(出库明细!E232),ISNUMBER(出库明细!F232)),IF(ABS(出库明细!G232-出库明细!E232*出库明细!F232)&gt;0.005,1,0),0)</f>
        <v>0</v>
      </c>
      <c r="O232">
        <f>IF(AND(ISNUMBER(存条明细!G232),ISNUMBER(存条明细!E232),ISNUMBER(存条明细!F232)),IF(ABS(存条明细!G232-存条明细!E232*存条明细!F232)&gt;0.005,1,0),0)</f>
        <v>0</v>
      </c>
    </row>
    <row r="233">
      <c r="A233">
        <f>IF(OR(存条明细!C233="",存条明细!D233=""),"",IF(COUNTIFS(存条明细!$C$4:C233,存条明细!C233,存条明细!$D$4:D233,存条明细!D233)&gt;1,"",IFERROR(MATCH(存条明细!C233,总览汇总!$B$5:$B$304,0),900)*10000000+IFERROR(MATCH(存条明细!D233,基础资料!$E$5:$E$104,0),900)*10000+ROW()))</f>
        <v>720050233</v>
      </c>
      <c r="B233">
        <f>IFERROR(MATCH(SMALL($A$4:$A$4003,230),$A$4:$A$4003,0),"")</f>
        <v>167</v>
      </c>
      <c r="D233">
        <f>IF(AND(商品库存!B233&lt;&gt;"",商品库存!B233=客户查询!$B$4),COUNTIF(商品库存!$B$4:B233,客户查询!$B$4),"")</f>
      </c>
      <c r="E233">
        <f>IF(AND(商品库存!B233&lt;&gt;"",商品库存!B233=客户对账单!$B$4),COUNTIF(商品库存!$B$4:B233,客户对账单!$B$4),"")</f>
      </c>
      <c r="F233">
        <f>IF(AND(出库明细!C233&lt;&gt;"",出库明细!C233=客户对账单!$B$4,ISNUMBER(出库明细!B233),出库明细!B233&gt;=客户对账单!$G$4,出库明细!B233&lt;=客户对账单!$I$4),出库明细!B233+ROW()/100000,"")</f>
        <v>46237.00233</v>
      </c>
      <c r="H233">
        <f>IF(AND(采购进货!C233&lt;&gt;"",采购进货!C233=供应商对账单!$B$4,ISNUMBER(采购进货!B233),采购进货!B233&gt;=供应商对账单!$G$4,采购进货!B233&lt;=供应商对账单!$I$4),采购进货!B233+ROW()/100000,"")</f>
      </c>
      <c r="J233">
        <f>IF(总览汇总!$B233="","",N(总览汇总!$K233)+SUMIFS(出库明细!$G$4:$G$3003,出库明细!$C$4:$C$3003,总览汇总!$B233,出库明细!$B$4:$B$3003,"&gt;="&amp;年初日,出库明细!$B$4:$B$3003,"&lt;="&amp;资产负债表!$D$3)-SUMIFS(资金台帐!$S$7:$S$3006,资金台帐!$J$7:$J$3006,总览汇总!$B233,资金台帐!$P$7:$P$3006,"应收",资金台帐!$B$7:$B$3006,"&gt;="&amp;年初日,资金台帐!$B$7:$B$3006,"&lt;="&amp;资产负债表!$D$3))</f>
      </c>
      <c r="N233">
        <f>IF(AND(ISNUMBER(出库明细!G233),ISNUMBER(出库明细!E233),ISNUMBER(出库明细!F233)),IF(ABS(出库明细!G233-出库明细!E233*出库明细!F233)&gt;0.005,1,0),0)</f>
        <v>0</v>
      </c>
      <c r="O233">
        <f>IF(AND(ISNUMBER(存条明细!G233),ISNUMBER(存条明细!E233),ISNUMBER(存条明细!F233)),IF(ABS(存条明细!G233-存条明细!E233*存条明细!F233)&gt;0.005,1,0),0)</f>
        <v>0</v>
      </c>
    </row>
    <row r="234">
      <c r="A234">
        <f>IF(OR(存条明细!C234="",存条明细!D234=""),"",IF(COUNTIFS(存条明细!$C$4:C234,存条明细!C234,存条明细!$D$4:D234,存条明细!D234)&gt;1,"",IFERROR(MATCH(存条明细!C234,总览汇总!$B$5:$B$304,0),900)*10000000+IFERROR(MATCH(存条明细!D234,基础资料!$E$5:$E$104,0),900)*10000+ROW()))</f>
        <v>720060234</v>
      </c>
      <c r="B234">
        <f>IFERROR(MATCH(SMALL($A$4:$A$4003,231),$A$4:$A$4003,0),"")</f>
        <v>170</v>
      </c>
      <c r="D234">
        <f>IF(AND(商品库存!B234&lt;&gt;"",商品库存!B234=客户查询!$B$4),COUNTIF(商品库存!$B$4:B234,客户查询!$B$4),"")</f>
      </c>
      <c r="E234">
        <f>IF(AND(商品库存!B234&lt;&gt;"",商品库存!B234=客户对账单!$B$4),COUNTIF(商品库存!$B$4:B234,客户对账单!$B$4),"")</f>
      </c>
      <c r="F234">
        <f>IF(AND(出库明细!C234&lt;&gt;"",出库明细!C234=客户对账单!$B$4,ISNUMBER(出库明细!B234),出库明细!B234&gt;=客户对账单!$G$4,出库明细!B234&lt;=客户对账单!$I$4),出库明细!B234+ROW()/100000,"")</f>
      </c>
      <c r="H234">
        <f>IF(AND(采购进货!C234&lt;&gt;"",采购进货!C234=供应商对账单!$B$4,ISNUMBER(采购进货!B234),采购进货!B234&gt;=供应商对账单!$G$4,采购进货!B234&lt;=供应商对账单!$I$4),采购进货!B234+ROW()/100000,"")</f>
      </c>
      <c r="J234">
        <f>IF(总览汇总!$B234="","",N(总览汇总!$K234)+SUMIFS(出库明细!$G$4:$G$3003,出库明细!$C$4:$C$3003,总览汇总!$B234,出库明细!$B$4:$B$3003,"&gt;="&amp;年初日,出库明细!$B$4:$B$3003,"&lt;="&amp;资产负债表!$D$3)-SUMIFS(资金台帐!$S$7:$S$3006,资金台帐!$J$7:$J$3006,总览汇总!$B234,资金台帐!$P$7:$P$3006,"应收",资金台帐!$B$7:$B$3006,"&gt;="&amp;年初日,资金台帐!$B$7:$B$3006,"&lt;="&amp;资产负债表!$D$3))</f>
      </c>
      <c r="N234">
        <f>IF(AND(ISNUMBER(出库明细!G234),ISNUMBER(出库明细!E234),ISNUMBER(出库明细!F234)),IF(ABS(出库明细!G234-出库明细!E234*出库明细!F234)&gt;0.005,1,0),0)</f>
        <v>0</v>
      </c>
      <c r="O234">
        <f>IF(AND(ISNUMBER(存条明细!G234),ISNUMBER(存条明细!E234),ISNUMBER(存条明细!F234)),IF(ABS(存条明细!G234-存条明细!E234*存条明细!F234)&gt;0.005,1,0),0)</f>
        <v>0</v>
      </c>
    </row>
    <row r="235">
      <c r="A235">
        <f>IF(OR(存条明细!C235="",存条明细!D235=""),"",IF(COUNTIFS(存条明细!$C$4:C235,存条明细!C235,存条明细!$D$4:D235,存条明细!D235)&gt;1,"",IFERROR(MATCH(存条明细!C235,总览汇总!$B$5:$B$304,0),900)*10000000+IFERROR(MATCH(存条明细!D235,基础资料!$E$5:$E$104,0),900)*10000+ROW()))</f>
        <v>720030235</v>
      </c>
      <c r="B235">
        <f>IFERROR(MATCH(SMALL($A$4:$A$4003,232),$A$4:$A$4003,0),"")</f>
        <v>173</v>
      </c>
      <c r="D235">
        <f>IF(AND(商品库存!B235&lt;&gt;"",商品库存!B235=客户查询!$B$4),COUNTIF(商品库存!$B$4:B235,客户查询!$B$4),"")</f>
      </c>
      <c r="E235">
        <f>IF(AND(商品库存!B235&lt;&gt;"",商品库存!B235=客户对账单!$B$4),COUNTIF(商品库存!$B$4:B235,客户对账单!$B$4),"")</f>
      </c>
      <c r="F235">
        <f>IF(AND(出库明细!C235&lt;&gt;"",出库明细!C235=客户对账单!$B$4,ISNUMBER(出库明细!B235),出库明细!B235&gt;=客户对账单!$G$4,出库明细!B235&lt;=客户对账单!$I$4),出库明细!B235+ROW()/100000,"")</f>
      </c>
      <c r="H235">
        <f>IF(AND(采购进货!C235&lt;&gt;"",采购进货!C235=供应商对账单!$B$4,ISNUMBER(采购进货!B235),采购进货!B235&gt;=供应商对账单!$G$4,采购进货!B235&lt;=供应商对账单!$I$4),采购进货!B235+ROW()/100000,"")</f>
      </c>
      <c r="J235">
        <f>IF(总览汇总!$B235="","",N(总览汇总!$K235)+SUMIFS(出库明细!$G$4:$G$3003,出库明细!$C$4:$C$3003,总览汇总!$B235,出库明细!$B$4:$B$3003,"&gt;="&amp;年初日,出库明细!$B$4:$B$3003,"&lt;="&amp;资产负债表!$D$3)-SUMIFS(资金台帐!$S$7:$S$3006,资金台帐!$J$7:$J$3006,总览汇总!$B235,资金台帐!$P$7:$P$3006,"应收",资金台帐!$B$7:$B$3006,"&gt;="&amp;年初日,资金台帐!$B$7:$B$3006,"&lt;="&amp;资产负债表!$D$3))</f>
      </c>
      <c r="N235">
        <f>IF(AND(ISNUMBER(出库明细!G235),ISNUMBER(出库明细!E235),ISNUMBER(出库明细!F235)),IF(ABS(出库明细!G235-出库明细!E235*出库明细!F235)&gt;0.005,1,0),0)</f>
        <v>0</v>
      </c>
      <c r="O235">
        <f>IF(AND(ISNUMBER(存条明细!G235),ISNUMBER(存条明细!E235),ISNUMBER(存条明细!F235)),IF(ABS(存条明细!G235-存条明细!E235*存条明细!F235)&gt;0.005,1,0),0)</f>
        <v>0</v>
      </c>
    </row>
    <row r="236">
      <c r="A236">
        <f>IF(OR(存条明细!C236="",存条明细!D236=""),"",IF(COUNTIFS(存条明细!$C$4:C236,存条明细!C236,存条明细!$D$4:D236,存条明细!D236)&gt;1,"",IFERROR(MATCH(存条明细!C236,总览汇总!$B$5:$B$304,0),900)*10000000+IFERROR(MATCH(存条明细!D236,基础资料!$E$5:$E$104,0),900)*10000+ROW()))</f>
        <v>730010236</v>
      </c>
      <c r="B236">
        <f>IFERROR(MATCH(SMALL($A$4:$A$4003,233),$A$4:$A$4003,0),"")</f>
        <v>175</v>
      </c>
      <c r="D236">
        <f>IF(AND(商品库存!B236&lt;&gt;"",商品库存!B236=客户查询!$B$4),COUNTIF(商品库存!$B$4:B236,客户查询!$B$4),"")</f>
      </c>
      <c r="E236">
        <f>IF(AND(商品库存!B236&lt;&gt;"",商品库存!B236=客户对账单!$B$4),COUNTIF(商品库存!$B$4:B236,客户对账单!$B$4),"")</f>
      </c>
      <c r="F236">
        <f>IF(AND(出库明细!C236&lt;&gt;"",出库明细!C236=客户对账单!$B$4,ISNUMBER(出库明细!B236),出库明细!B236&gt;=客户对账单!$G$4,出库明细!B236&lt;=客户对账单!$I$4),出库明细!B236+ROW()/100000,"")</f>
      </c>
      <c r="H236">
        <f>IF(AND(采购进货!C236&lt;&gt;"",采购进货!C236=供应商对账单!$B$4,ISNUMBER(采购进货!B236),采购进货!B236&gt;=供应商对账单!$G$4,采购进货!B236&lt;=供应商对账单!$I$4),采购进货!B236+ROW()/100000,"")</f>
      </c>
      <c r="J236">
        <f>IF(总览汇总!$B236="","",N(总览汇总!$K236)+SUMIFS(出库明细!$G$4:$G$3003,出库明细!$C$4:$C$3003,总览汇总!$B236,出库明细!$B$4:$B$3003,"&gt;="&amp;年初日,出库明细!$B$4:$B$3003,"&lt;="&amp;资产负债表!$D$3)-SUMIFS(资金台帐!$S$7:$S$3006,资金台帐!$J$7:$J$3006,总览汇总!$B236,资金台帐!$P$7:$P$3006,"应收",资金台帐!$B$7:$B$3006,"&gt;="&amp;年初日,资金台帐!$B$7:$B$3006,"&lt;="&amp;资产负债表!$D$3))</f>
      </c>
      <c r="N236">
        <f>IF(AND(ISNUMBER(出库明细!G236),ISNUMBER(出库明细!E236),ISNUMBER(出库明细!F236)),IF(ABS(出库明细!G236-出库明细!E236*出库明细!F236)&gt;0.005,1,0),0)</f>
        <v>0</v>
      </c>
      <c r="O236">
        <f>IF(AND(ISNUMBER(存条明细!G236),ISNUMBER(存条明细!E236),ISNUMBER(存条明细!F236)),IF(ABS(存条明细!G236-存条明细!E236*存条明细!F236)&gt;0.005,1,0),0)</f>
        <v>0</v>
      </c>
    </row>
    <row r="237">
      <c r="A237">
        <f>IF(OR(存条明细!C237="",存条明细!D237=""),"",IF(COUNTIFS(存条明细!$C$4:C237,存条明细!C237,存条明细!$D$4:D237,存条明细!D237)&gt;1,"",IFERROR(MATCH(存条明细!C237,总览汇总!$B$5:$B$304,0),900)*10000000+IFERROR(MATCH(存条明细!D237,基础资料!$E$5:$E$104,0),900)*10000+ROW()))</f>
        <v>740230237</v>
      </c>
      <c r="B237">
        <f>IFERROR(MATCH(SMALL($A$4:$A$4003,234),$A$4:$A$4003,0),"")</f>
        <v>171</v>
      </c>
      <c r="D237">
        <f>IF(AND(商品库存!B237&lt;&gt;"",商品库存!B237=客户查询!$B$4),COUNTIF(商品库存!$B$4:B237,客户查询!$B$4),"")</f>
      </c>
      <c r="E237">
        <f>IF(AND(商品库存!B237&lt;&gt;"",商品库存!B237=客户对账单!$B$4),COUNTIF(商品库存!$B$4:B237,客户对账单!$B$4),"")</f>
      </c>
      <c r="F237">
        <f>IF(AND(出库明细!C237&lt;&gt;"",出库明细!C237=客户对账单!$B$4,ISNUMBER(出库明细!B237),出库明细!B237&gt;=客户对账单!$G$4,出库明细!B237&lt;=客户对账单!$I$4),出库明细!B237+ROW()/100000,"")</f>
      </c>
      <c r="H237">
        <f>IF(AND(采购进货!C237&lt;&gt;"",采购进货!C237=供应商对账单!$B$4,ISNUMBER(采购进货!B237),采购进货!B237&gt;=供应商对账单!$G$4,采购进货!B237&lt;=供应商对账单!$I$4),采购进货!B237+ROW()/100000,"")</f>
      </c>
      <c r="J237">
        <f>IF(总览汇总!$B237="","",N(总览汇总!$K237)+SUMIFS(出库明细!$G$4:$G$3003,出库明细!$C$4:$C$3003,总览汇总!$B237,出库明细!$B$4:$B$3003,"&gt;="&amp;年初日,出库明细!$B$4:$B$3003,"&lt;="&amp;资产负债表!$D$3)-SUMIFS(资金台帐!$S$7:$S$3006,资金台帐!$J$7:$J$3006,总览汇总!$B237,资金台帐!$P$7:$P$3006,"应收",资金台帐!$B$7:$B$3006,"&gt;="&amp;年初日,资金台帐!$B$7:$B$3006,"&lt;="&amp;资产负债表!$D$3))</f>
      </c>
      <c r="N237">
        <f>IF(AND(ISNUMBER(出库明细!G237),ISNUMBER(出库明细!E237),ISNUMBER(出库明细!F237)),IF(ABS(出库明细!G237-出库明细!E237*出库明细!F237)&gt;0.005,1,0),0)</f>
        <v>0</v>
      </c>
      <c r="O237">
        <f>IF(AND(ISNUMBER(存条明细!G237),ISNUMBER(存条明细!E237),ISNUMBER(存条明细!F237)),IF(ABS(存条明细!G237-存条明细!E237*存条明细!F237)&gt;0.005,1,0),0)</f>
        <v>0</v>
      </c>
    </row>
    <row r="238">
      <c r="A238">
        <f>IF(OR(存条明细!C238="",存条明细!D238=""),"",IF(COUNTIFS(存条明细!$C$4:C238,存条明细!C238,存条明细!$D$4:D238,存条明细!D238)&gt;1,"",IFERROR(MATCH(存条明细!C238,总览汇总!$B$5:$B$304,0),900)*10000000+IFERROR(MATCH(存条明细!D238,基础资料!$E$5:$E$104,0),900)*10000+ROW()))</f>
        <v>150030238</v>
      </c>
      <c r="B238">
        <f>IFERROR(MATCH(SMALL($A$4:$A$4003,235),$A$4:$A$4003,0),"")</f>
        <v>176</v>
      </c>
      <c r="D238">
        <f>IF(AND(商品库存!B238&lt;&gt;"",商品库存!B238=客户查询!$B$4),COUNTIF(商品库存!$B$4:B238,客户查询!$B$4),"")</f>
      </c>
      <c r="E238">
        <f>IF(AND(商品库存!B238&lt;&gt;"",商品库存!B238=客户对账单!$B$4),COUNTIF(商品库存!$B$4:B238,客户对账单!$B$4),"")</f>
      </c>
      <c r="F238">
        <f>IF(AND(出库明细!C238&lt;&gt;"",出库明细!C238=客户对账单!$B$4,ISNUMBER(出库明细!B238),出库明细!B238&gt;=客户对账单!$G$4,出库明细!B238&lt;=客户对账单!$I$4),出库明细!B238+ROW()/100000,"")</f>
      </c>
      <c r="H238">
        <f>IF(AND(采购进货!C238&lt;&gt;"",采购进货!C238=供应商对账单!$B$4,ISNUMBER(采购进货!B238),采购进货!B238&gt;=供应商对账单!$G$4,采购进货!B238&lt;=供应商对账单!$I$4),采购进货!B238+ROW()/100000,"")</f>
      </c>
      <c r="J238">
        <f>IF(总览汇总!$B238="","",N(总览汇总!$K238)+SUMIFS(出库明细!$G$4:$G$3003,出库明细!$C$4:$C$3003,总览汇总!$B238,出库明细!$B$4:$B$3003,"&gt;="&amp;年初日,出库明细!$B$4:$B$3003,"&lt;="&amp;资产负债表!$D$3)-SUMIFS(资金台帐!$S$7:$S$3006,资金台帐!$J$7:$J$3006,总览汇总!$B238,资金台帐!$P$7:$P$3006,"应收",资金台帐!$B$7:$B$3006,"&gt;="&amp;年初日,资金台帐!$B$7:$B$3006,"&lt;="&amp;资产负债表!$D$3))</f>
      </c>
      <c r="N238">
        <f>IF(AND(ISNUMBER(出库明细!G238),ISNUMBER(出库明细!E238),ISNUMBER(出库明细!F238)),IF(ABS(出库明细!G238-出库明细!E238*出库明细!F238)&gt;0.005,1,0),0)</f>
        <v>0</v>
      </c>
      <c r="O238">
        <f>IF(AND(ISNUMBER(存条明细!G238),ISNUMBER(存条明细!E238),ISNUMBER(存条明细!F238)),IF(ABS(存条明细!G238-存条明细!E238*存条明细!F238)&gt;0.005,1,0),0)</f>
        <v>0</v>
      </c>
    </row>
    <row r="239">
      <c r="A239">
        <f>IF(OR(存条明细!C239="",存条明细!D239=""),"",IF(COUNTIFS(存条明细!$C$4:C239,存条明细!C239,存条明细!$D$4:D239,存条明细!D239)&gt;1,"",IFERROR(MATCH(存条明细!C239,总览汇总!$B$5:$B$304,0),900)*10000000+IFERROR(MATCH(存条明细!D239,基础资料!$E$5:$E$104,0),900)*10000+ROW()))</f>
      </c>
      <c r="B239">
        <f>IFERROR(MATCH(SMALL($A$4:$A$4003,236),$A$4:$A$4003,0),"")</f>
        <v>177</v>
      </c>
      <c r="D239">
        <f>IF(AND(商品库存!B239&lt;&gt;"",商品库存!B239=客户查询!$B$4),COUNTIF(商品库存!$B$4:B239,客户查询!$B$4),"")</f>
      </c>
      <c r="E239">
        <f>IF(AND(商品库存!B239&lt;&gt;"",商品库存!B239=客户对账单!$B$4),COUNTIF(商品库存!$B$4:B239,客户对账单!$B$4),"")</f>
      </c>
      <c r="F239">
        <f>IF(AND(出库明细!C239&lt;&gt;"",出库明细!C239=客户对账单!$B$4,ISNUMBER(出库明细!B239),出库明细!B239&gt;=客户对账单!$G$4,出库明细!B239&lt;=客户对账单!$I$4),出库明细!B239+ROW()/100000,"")</f>
      </c>
      <c r="H239">
        <f>IF(AND(采购进货!C239&lt;&gt;"",采购进货!C239=供应商对账单!$B$4,ISNUMBER(采购进货!B239),采购进货!B239&gt;=供应商对账单!$G$4,采购进货!B239&lt;=供应商对账单!$I$4),采购进货!B239+ROW()/100000,"")</f>
      </c>
      <c r="J239">
        <f>IF(总览汇总!$B239="","",N(总览汇总!$K239)+SUMIFS(出库明细!$G$4:$G$3003,出库明细!$C$4:$C$3003,总览汇总!$B239,出库明细!$B$4:$B$3003,"&gt;="&amp;年初日,出库明细!$B$4:$B$3003,"&lt;="&amp;资产负债表!$D$3)-SUMIFS(资金台帐!$S$7:$S$3006,资金台帐!$J$7:$J$3006,总览汇总!$B239,资金台帐!$P$7:$P$3006,"应收",资金台帐!$B$7:$B$3006,"&gt;="&amp;年初日,资金台帐!$B$7:$B$3006,"&lt;="&amp;资产负债表!$D$3))</f>
      </c>
      <c r="N239">
        <f>IF(AND(ISNUMBER(出库明细!G239),ISNUMBER(出库明细!E239),ISNUMBER(出库明细!F239)),IF(ABS(出库明细!G239-出库明细!E239*出库明细!F239)&gt;0.005,1,0),0)</f>
        <v>0</v>
      </c>
      <c r="O239">
        <f>IF(AND(ISNUMBER(存条明细!G239),ISNUMBER(存条明细!E239),ISNUMBER(存条明细!F239)),IF(ABS(存条明细!G239-存条明细!E239*存条明细!F239)&gt;0.005,1,0),0)</f>
        <v>0</v>
      </c>
    </row>
    <row r="240">
      <c r="A240">
        <f>IF(OR(存条明细!C240="",存条明细!D240=""),"",IF(COUNTIFS(存条明细!$C$4:C240,存条明细!C240,存条明细!$D$4:D240,存条明细!D240)&gt;1,"",IFERROR(MATCH(存条明细!C240,总览汇总!$B$5:$B$304,0),900)*10000000+IFERROR(MATCH(存条明细!D240,基础资料!$E$5:$E$104,0),900)*10000+ROW()))</f>
        <v>300330240</v>
      </c>
      <c r="B240">
        <f>IFERROR(MATCH(SMALL($A$4:$A$4003,237),$A$4:$A$4003,0),"")</f>
        <v>178</v>
      </c>
      <c r="D240">
        <f>IF(AND(商品库存!B240&lt;&gt;"",商品库存!B240=客户查询!$B$4),COUNTIF(商品库存!$B$4:B240,客户查询!$B$4),"")</f>
      </c>
      <c r="E240">
        <f>IF(AND(商品库存!B240&lt;&gt;"",商品库存!B240=客户对账单!$B$4),COUNTIF(商品库存!$B$4:B240,客户对账单!$B$4),"")</f>
      </c>
      <c r="F240">
        <f>IF(AND(出库明细!C240&lt;&gt;"",出库明细!C240=客户对账单!$B$4,ISNUMBER(出库明细!B240),出库明细!B240&gt;=客户对账单!$G$4,出库明细!B240&lt;=客户对账单!$I$4),出库明细!B240+ROW()/100000,"")</f>
      </c>
      <c r="H240">
        <f>IF(AND(采购进货!C240&lt;&gt;"",采购进货!C240=供应商对账单!$B$4,ISNUMBER(采购进货!B240),采购进货!B240&gt;=供应商对账单!$G$4,采购进货!B240&lt;=供应商对账单!$I$4),采购进货!B240+ROW()/100000,"")</f>
      </c>
      <c r="J240">
        <f>IF(总览汇总!$B240="","",N(总览汇总!$K240)+SUMIFS(出库明细!$G$4:$G$3003,出库明细!$C$4:$C$3003,总览汇总!$B240,出库明细!$B$4:$B$3003,"&gt;="&amp;年初日,出库明细!$B$4:$B$3003,"&lt;="&amp;资产负债表!$D$3)-SUMIFS(资金台帐!$S$7:$S$3006,资金台帐!$J$7:$J$3006,总览汇总!$B240,资金台帐!$P$7:$P$3006,"应收",资金台帐!$B$7:$B$3006,"&gt;="&amp;年初日,资金台帐!$B$7:$B$3006,"&lt;="&amp;资产负债表!$D$3))</f>
      </c>
      <c r="N240">
        <f>IF(AND(ISNUMBER(出库明细!G240),ISNUMBER(出库明细!E240),ISNUMBER(出库明细!F240)),IF(ABS(出库明细!G240-出库明细!E240*出库明细!F240)&gt;0.005,1,0),0)</f>
        <v>0</v>
      </c>
      <c r="O240">
        <f>IF(AND(ISNUMBER(存条明细!G240),ISNUMBER(存条明细!E240),ISNUMBER(存条明细!F240)),IF(ABS(存条明细!G240-存条明细!E240*存条明细!F240)&gt;0.005,1,0),0)</f>
        <v>0</v>
      </c>
    </row>
    <row r="241">
      <c r="A241">
        <f>IF(OR(存条明细!C241="",存条明细!D241=""),"",IF(COUNTIFS(存条明细!$C$4:C241,存条明细!C241,存条明细!$D$4:D241,存条明细!D241)&gt;1,"",IFERROR(MATCH(存条明细!C241,总览汇总!$B$5:$B$304,0),900)*10000000+IFERROR(MATCH(存条明细!D241,基础资料!$E$5:$E$104,0),900)*10000+ROW()))</f>
        <v>750010241</v>
      </c>
      <c r="B241">
        <f>IFERROR(MATCH(SMALL($A$4:$A$4003,238),$A$4:$A$4003,0),"")</f>
        <v>185</v>
      </c>
      <c r="D241">
        <f>IF(AND(商品库存!B241&lt;&gt;"",商品库存!B241=客户查询!$B$4),COUNTIF(商品库存!$B$4:B241,客户查询!$B$4),"")</f>
      </c>
      <c r="E241">
        <f>IF(AND(商品库存!B241&lt;&gt;"",商品库存!B241=客户对账单!$B$4),COUNTIF(商品库存!$B$4:B241,客户对账单!$B$4),"")</f>
      </c>
      <c r="F241">
        <f>IF(AND(出库明细!C241&lt;&gt;"",出库明细!C241=客户对账单!$B$4,ISNUMBER(出库明细!B241),出库明细!B241&gt;=客户对账单!$G$4,出库明细!B241&lt;=客户对账单!$I$4),出库明细!B241+ROW()/100000,"")</f>
      </c>
      <c r="H241">
        <f>IF(AND(采购进货!C241&lt;&gt;"",采购进货!C241=供应商对账单!$B$4,ISNUMBER(采购进货!B241),采购进货!B241&gt;=供应商对账单!$G$4,采购进货!B241&lt;=供应商对账单!$I$4),采购进货!B241+ROW()/100000,"")</f>
      </c>
      <c r="J241">
        <f>IF(总览汇总!$B241="","",N(总览汇总!$K241)+SUMIFS(出库明细!$G$4:$G$3003,出库明细!$C$4:$C$3003,总览汇总!$B241,出库明细!$B$4:$B$3003,"&gt;="&amp;年初日,出库明细!$B$4:$B$3003,"&lt;="&amp;资产负债表!$D$3)-SUMIFS(资金台帐!$S$7:$S$3006,资金台帐!$J$7:$J$3006,总览汇总!$B241,资金台帐!$P$7:$P$3006,"应收",资金台帐!$B$7:$B$3006,"&gt;="&amp;年初日,资金台帐!$B$7:$B$3006,"&lt;="&amp;资产负债表!$D$3))</f>
      </c>
      <c r="N241">
        <f>IF(AND(ISNUMBER(出库明细!G241),ISNUMBER(出库明细!E241),ISNUMBER(出库明细!F241)),IF(ABS(出库明细!G241-出库明细!E241*出库明细!F241)&gt;0.005,1,0),0)</f>
        <v>0</v>
      </c>
      <c r="O241">
        <f>IF(AND(ISNUMBER(存条明细!G241),ISNUMBER(存条明细!E241),ISNUMBER(存条明细!F241)),IF(ABS(存条明细!G241-存条明细!E241*存条明细!F241)&gt;0.005,1,0),0)</f>
        <v>0</v>
      </c>
    </row>
    <row r="242">
      <c r="A242">
        <f>IF(OR(存条明细!C242="",存条明细!D242=""),"",IF(COUNTIFS(存条明细!$C$4:C242,存条明细!C242,存条明细!$D$4:D242,存条明细!D242)&gt;1,"",IFERROR(MATCH(存条明细!C242,总览汇总!$B$5:$B$304,0),900)*10000000+IFERROR(MATCH(存条明细!D242,基础资料!$E$5:$E$104,0),900)*10000+ROW()))</f>
        <v>760010242</v>
      </c>
      <c r="B242">
        <f>IFERROR(MATCH(SMALL($A$4:$A$4003,239),$A$4:$A$4003,0),"")</f>
        <v>186</v>
      </c>
      <c r="D242">
        <f>IF(AND(商品库存!B242&lt;&gt;"",商品库存!B242=客户查询!$B$4),COUNTIF(商品库存!$B$4:B242,客户查询!$B$4),"")</f>
      </c>
      <c r="E242">
        <f>IF(AND(商品库存!B242&lt;&gt;"",商品库存!B242=客户对账单!$B$4),COUNTIF(商品库存!$B$4:B242,客户对账单!$B$4),"")</f>
      </c>
      <c r="F242">
        <f>IF(AND(出库明细!C242&lt;&gt;"",出库明细!C242=客户对账单!$B$4,ISNUMBER(出库明细!B242),出库明细!B242&gt;=客户对账单!$G$4,出库明细!B242&lt;=客户对账单!$I$4),出库明细!B242+ROW()/100000,"")</f>
      </c>
      <c r="H242">
        <f>IF(AND(采购进货!C242&lt;&gt;"",采购进货!C242=供应商对账单!$B$4,ISNUMBER(采购进货!B242),采购进货!B242&gt;=供应商对账单!$G$4,采购进货!B242&lt;=供应商对账单!$I$4),采购进货!B242+ROW()/100000,"")</f>
      </c>
      <c r="J242">
        <f>IF(总览汇总!$B242="","",N(总览汇总!$K242)+SUMIFS(出库明细!$G$4:$G$3003,出库明细!$C$4:$C$3003,总览汇总!$B242,出库明细!$B$4:$B$3003,"&gt;="&amp;年初日,出库明细!$B$4:$B$3003,"&lt;="&amp;资产负债表!$D$3)-SUMIFS(资金台帐!$S$7:$S$3006,资金台帐!$J$7:$J$3006,总览汇总!$B242,资金台帐!$P$7:$P$3006,"应收",资金台帐!$B$7:$B$3006,"&gt;="&amp;年初日,资金台帐!$B$7:$B$3006,"&lt;="&amp;资产负债表!$D$3))</f>
      </c>
      <c r="N242">
        <f>IF(AND(ISNUMBER(出库明细!G242),ISNUMBER(出库明细!E242),ISNUMBER(出库明细!F242)),IF(ABS(出库明细!G242-出库明细!E242*出库明细!F242)&gt;0.005,1,0),0)</f>
        <v>0</v>
      </c>
      <c r="O242">
        <f>IF(AND(ISNUMBER(存条明细!G242),ISNUMBER(存条明细!E242),ISNUMBER(存条明细!F242)),IF(ABS(存条明细!G242-存条明细!E242*存条明细!F242)&gt;0.005,1,0),0)</f>
        <v>0</v>
      </c>
    </row>
    <row r="243">
      <c r="A243">
        <f>IF(OR(存条明细!C243="",存条明细!D243=""),"",IF(COUNTIFS(存条明细!$C$4:C243,存条明细!C243,存条明细!$D$4:D243,存条明细!D243)&gt;1,"",IFERROR(MATCH(存条明细!C243,总览汇总!$B$5:$B$304,0),900)*10000000+IFERROR(MATCH(存条明细!D243,基础资料!$E$5:$E$104,0),900)*10000+ROW()))</f>
        <v>770010243</v>
      </c>
      <c r="B243">
        <f>IFERROR(MATCH(SMALL($A$4:$A$4003,240),$A$4:$A$4003,0),"")</f>
        <v>188</v>
      </c>
      <c r="D243">
        <f>IF(AND(商品库存!B243&lt;&gt;"",商品库存!B243=客户查询!$B$4),COUNTIF(商品库存!$B$4:B243,客户查询!$B$4),"")</f>
      </c>
      <c r="E243">
        <f>IF(AND(商品库存!B243&lt;&gt;"",商品库存!B243=客户对账单!$B$4),COUNTIF(商品库存!$B$4:B243,客户对账单!$B$4),"")</f>
      </c>
      <c r="F243">
        <f>IF(AND(出库明细!C243&lt;&gt;"",出库明细!C243=客户对账单!$B$4,ISNUMBER(出库明细!B243),出库明细!B243&gt;=客户对账单!$G$4,出库明细!B243&lt;=客户对账单!$I$4),出库明细!B243+ROW()/100000,"")</f>
      </c>
      <c r="H243">
        <f>IF(AND(采购进货!C243&lt;&gt;"",采购进货!C243=供应商对账单!$B$4,ISNUMBER(采购进货!B243),采购进货!B243&gt;=供应商对账单!$G$4,采购进货!B243&lt;=供应商对账单!$I$4),采购进货!B243+ROW()/100000,"")</f>
      </c>
      <c r="J243">
        <f>IF(总览汇总!$B243="","",N(总览汇总!$K243)+SUMIFS(出库明细!$G$4:$G$3003,出库明细!$C$4:$C$3003,总览汇总!$B243,出库明细!$B$4:$B$3003,"&gt;="&amp;年初日,出库明细!$B$4:$B$3003,"&lt;="&amp;资产负债表!$D$3)-SUMIFS(资金台帐!$S$7:$S$3006,资金台帐!$J$7:$J$3006,总览汇总!$B243,资金台帐!$P$7:$P$3006,"应收",资金台帐!$B$7:$B$3006,"&gt;="&amp;年初日,资金台帐!$B$7:$B$3006,"&lt;="&amp;资产负债表!$D$3))</f>
      </c>
      <c r="N243">
        <f>IF(AND(ISNUMBER(出库明细!G243),ISNUMBER(出库明细!E243),ISNUMBER(出库明细!F243)),IF(ABS(出库明细!G243-出库明细!E243*出库明细!F243)&gt;0.005,1,0),0)</f>
        <v>0</v>
      </c>
      <c r="O243">
        <f>IF(AND(ISNUMBER(存条明细!G243),ISNUMBER(存条明细!E243),ISNUMBER(存条明细!F243)),IF(ABS(存条明细!G243-存条明细!E243*存条明细!F243)&gt;0.005,1,0),0)</f>
        <v>0</v>
      </c>
    </row>
    <row r="244">
      <c r="A244">
        <f>IF(OR(存条明细!C244="",存条明细!D244=""),"",IF(COUNTIFS(存条明细!$C$4:C244,存条明细!C244,存条明细!$D$4:D244,存条明细!D244)&gt;1,"",IFERROR(MATCH(存条明细!C244,总览汇总!$B$5:$B$304,0),900)*10000000+IFERROR(MATCH(存条明细!D244,基础资料!$E$5:$E$104,0),900)*10000+ROW()))</f>
        <v>780250244</v>
      </c>
      <c r="B244">
        <f>IFERROR(MATCH(SMALL($A$4:$A$4003,241),$A$4:$A$4003,0),"")</f>
        <v>190</v>
      </c>
      <c r="D244">
        <f>IF(AND(商品库存!B244&lt;&gt;"",商品库存!B244=客户查询!$B$4),COUNTIF(商品库存!$B$4:B244,客户查询!$B$4),"")</f>
      </c>
      <c r="E244">
        <f>IF(AND(商品库存!B244&lt;&gt;"",商品库存!B244=客户对账单!$B$4),COUNTIF(商品库存!$B$4:B244,客户对账单!$B$4),"")</f>
      </c>
      <c r="F244">
        <f>IF(AND(出库明细!C244&lt;&gt;"",出库明细!C244=客户对账单!$B$4,ISNUMBER(出库明细!B244),出库明细!B244&gt;=客户对账单!$G$4,出库明细!B244&lt;=客户对账单!$I$4),出库明细!B244+ROW()/100000,"")</f>
      </c>
      <c r="H244">
        <f>IF(AND(采购进货!C244&lt;&gt;"",采购进货!C244=供应商对账单!$B$4,ISNUMBER(采购进货!B244),采购进货!B244&gt;=供应商对账单!$G$4,采购进货!B244&lt;=供应商对账单!$I$4),采购进货!B244+ROW()/100000,"")</f>
      </c>
      <c r="J244">
        <f>IF(总览汇总!$B244="","",N(总览汇总!$K244)+SUMIFS(出库明细!$G$4:$G$3003,出库明细!$C$4:$C$3003,总览汇总!$B244,出库明细!$B$4:$B$3003,"&gt;="&amp;年初日,出库明细!$B$4:$B$3003,"&lt;="&amp;资产负债表!$D$3)-SUMIFS(资金台帐!$S$7:$S$3006,资金台帐!$J$7:$J$3006,总览汇总!$B244,资金台帐!$P$7:$P$3006,"应收",资金台帐!$B$7:$B$3006,"&gt;="&amp;年初日,资金台帐!$B$7:$B$3006,"&lt;="&amp;资产负债表!$D$3))</f>
      </c>
      <c r="N244">
        <f>IF(AND(ISNUMBER(出库明细!G244),ISNUMBER(出库明细!E244),ISNUMBER(出库明细!F244)),IF(ABS(出库明细!G244-出库明细!E244*出库明细!F244)&gt;0.005,1,0),0)</f>
        <v>0</v>
      </c>
      <c r="O244">
        <f>IF(AND(ISNUMBER(存条明细!G244),ISNUMBER(存条明细!E244),ISNUMBER(存条明细!F244)),IF(ABS(存条明细!G244-存条明细!E244*存条明细!F244)&gt;0.005,1,0),0)</f>
        <v>0</v>
      </c>
    </row>
    <row r="245">
      <c r="A245">
        <f>IF(OR(存条明细!C245="",存条明细!D245=""),"",IF(COUNTIFS(存条明细!$C$4:C245,存条明细!C245,存条明细!$D$4:D245,存条明细!D245)&gt;1,"",IFERROR(MATCH(存条明细!C245,总览汇总!$B$5:$B$304,0),900)*10000000+IFERROR(MATCH(存条明细!D245,基础资料!$E$5:$E$104,0),900)*10000+ROW()))</f>
        <v>370040245</v>
      </c>
      <c r="B245">
        <f>IFERROR(MATCH(SMALL($A$4:$A$4003,242),$A$4:$A$4003,0),"")</f>
        <v>191</v>
      </c>
      <c r="D245">
        <f>IF(AND(商品库存!B245&lt;&gt;"",商品库存!B245=客户查询!$B$4),COUNTIF(商品库存!$B$4:B245,客户查询!$B$4),"")</f>
      </c>
      <c r="E245">
        <f>IF(AND(商品库存!B245&lt;&gt;"",商品库存!B245=客户对账单!$B$4),COUNTIF(商品库存!$B$4:B245,客户对账单!$B$4),"")</f>
      </c>
      <c r="F245">
        <f>IF(AND(出库明细!C245&lt;&gt;"",出库明细!C245=客户对账单!$B$4,ISNUMBER(出库明细!B245),出库明细!B245&gt;=客户对账单!$G$4,出库明细!B245&lt;=客户对账单!$I$4),出库明细!B245+ROW()/100000,"")</f>
      </c>
      <c r="H245">
        <f>IF(AND(采购进货!C245&lt;&gt;"",采购进货!C245=供应商对账单!$B$4,ISNUMBER(采购进货!B245),采购进货!B245&gt;=供应商对账单!$G$4,采购进货!B245&lt;=供应商对账单!$I$4),采购进货!B245+ROW()/100000,"")</f>
      </c>
      <c r="J245">
        <f>IF(总览汇总!$B245="","",N(总览汇总!$K245)+SUMIFS(出库明细!$G$4:$G$3003,出库明细!$C$4:$C$3003,总览汇总!$B245,出库明细!$B$4:$B$3003,"&gt;="&amp;年初日,出库明细!$B$4:$B$3003,"&lt;="&amp;资产负债表!$D$3)-SUMIFS(资金台帐!$S$7:$S$3006,资金台帐!$J$7:$J$3006,总览汇总!$B245,资金台帐!$P$7:$P$3006,"应收",资金台帐!$B$7:$B$3006,"&gt;="&amp;年初日,资金台帐!$B$7:$B$3006,"&lt;="&amp;资产负债表!$D$3))</f>
      </c>
      <c r="N245">
        <f>IF(AND(ISNUMBER(出库明细!G245),ISNUMBER(出库明细!E245),ISNUMBER(出库明细!F245)),IF(ABS(出库明细!G245-出库明细!E245*出库明细!F245)&gt;0.005,1,0),0)</f>
        <v>0</v>
      </c>
      <c r="O245">
        <f>IF(AND(ISNUMBER(存条明细!G245),ISNUMBER(存条明细!E245),ISNUMBER(存条明细!F245)),IF(ABS(存条明细!G245-存条明细!E245*存条明细!F245)&gt;0.005,1,0),0)</f>
        <v>0</v>
      </c>
    </row>
    <row r="246">
      <c r="A246">
        <f>IF(OR(存条明细!C246="",存条明细!D246=""),"",IF(COUNTIFS(存条明细!$C$4:C246,存条明细!C246,存条明细!$D$4:D246,存条明细!D246)&gt;1,"",IFERROR(MATCH(存条明细!C246,总览汇总!$B$5:$B$304,0),900)*10000000+IFERROR(MATCH(存条明细!D246,基础资料!$E$5:$E$104,0),900)*10000+ROW()))</f>
      </c>
      <c r="B246">
        <f>IFERROR(MATCH(SMALL($A$4:$A$4003,243),$A$4:$A$4003,0),"")</f>
        <v>197</v>
      </c>
      <c r="D246">
        <f>IF(AND(商品库存!B246&lt;&gt;"",商品库存!B246=客户查询!$B$4),COUNTIF(商品库存!$B$4:B246,客户查询!$B$4),"")</f>
      </c>
      <c r="E246">
        <f>IF(AND(商品库存!B246&lt;&gt;"",商品库存!B246=客户对账单!$B$4),COUNTIF(商品库存!$B$4:B246,客户对账单!$B$4),"")</f>
      </c>
      <c r="F246">
        <f>IF(AND(出库明细!C246&lt;&gt;"",出库明细!C246=客户对账单!$B$4,ISNUMBER(出库明细!B246),出库明细!B246&gt;=客户对账单!$G$4,出库明细!B246&lt;=客户对账单!$I$4),出库明细!B246+ROW()/100000,"")</f>
      </c>
      <c r="H246">
        <f>IF(AND(采购进货!C246&lt;&gt;"",采购进货!C246=供应商对账单!$B$4,ISNUMBER(采购进货!B246),采购进货!B246&gt;=供应商对账单!$G$4,采购进货!B246&lt;=供应商对账单!$I$4),采购进货!B246+ROW()/100000,"")</f>
      </c>
      <c r="J246">
        <f>IF(总览汇总!$B246="","",N(总览汇总!$K246)+SUMIFS(出库明细!$G$4:$G$3003,出库明细!$C$4:$C$3003,总览汇总!$B246,出库明细!$B$4:$B$3003,"&gt;="&amp;年初日,出库明细!$B$4:$B$3003,"&lt;="&amp;资产负债表!$D$3)-SUMIFS(资金台帐!$S$7:$S$3006,资金台帐!$J$7:$J$3006,总览汇总!$B246,资金台帐!$P$7:$P$3006,"应收",资金台帐!$B$7:$B$3006,"&gt;="&amp;年初日,资金台帐!$B$7:$B$3006,"&lt;="&amp;资产负债表!$D$3))</f>
      </c>
      <c r="N246">
        <f>IF(AND(ISNUMBER(出库明细!G246),ISNUMBER(出库明细!E246),ISNUMBER(出库明细!F246)),IF(ABS(出库明细!G246-出库明细!E246*出库明细!F246)&gt;0.005,1,0),0)</f>
        <v>0</v>
      </c>
      <c r="O246">
        <f>IF(AND(ISNUMBER(存条明细!G246),ISNUMBER(存条明细!E246),ISNUMBER(存条明细!F246)),IF(ABS(存条明细!G246-存条明细!E246*存条明细!F246)&gt;0.005,1,0),0)</f>
        <v>0</v>
      </c>
    </row>
    <row r="247">
      <c r="A247">
        <f>IF(OR(存条明细!C247="",存条明细!D247=""),"",IF(COUNTIFS(存条明细!$C$4:C247,存条明细!C247,存条明细!$D$4:D247,存条明细!D247)&gt;1,"",IFERROR(MATCH(存条明细!C247,总览汇总!$B$5:$B$304,0),900)*10000000+IFERROR(MATCH(存条明细!D247,基础资料!$E$5:$E$104,0),900)*10000+ROW()))</f>
        <v>370060247</v>
      </c>
      <c r="B247">
        <f>IFERROR(MATCH(SMALL($A$4:$A$4003,244),$A$4:$A$4003,0),"")</f>
        <v>195</v>
      </c>
      <c r="D247">
        <f>IF(AND(商品库存!B247&lt;&gt;"",商品库存!B247=客户查询!$B$4),COUNTIF(商品库存!$B$4:B247,客户查询!$B$4),"")</f>
      </c>
      <c r="E247">
        <f>IF(AND(商品库存!B247&lt;&gt;"",商品库存!B247=客户对账单!$B$4),COUNTIF(商品库存!$B$4:B247,客户对账单!$B$4),"")</f>
      </c>
      <c r="F247">
        <f>IF(AND(出库明细!C247&lt;&gt;"",出库明细!C247=客户对账单!$B$4,ISNUMBER(出库明细!B247),出库明细!B247&gt;=客户对账单!$G$4,出库明细!B247&lt;=客户对账单!$I$4),出库明细!B247+ROW()/100000,"")</f>
      </c>
      <c r="H247">
        <f>IF(AND(采购进货!C247&lt;&gt;"",采购进货!C247=供应商对账单!$B$4,ISNUMBER(采购进货!B247),采购进货!B247&gt;=供应商对账单!$G$4,采购进货!B247&lt;=供应商对账单!$I$4),采购进货!B247+ROW()/100000,"")</f>
      </c>
      <c r="J247">
        <f>IF(总览汇总!$B247="","",N(总览汇总!$K247)+SUMIFS(出库明细!$G$4:$G$3003,出库明细!$C$4:$C$3003,总览汇总!$B247,出库明细!$B$4:$B$3003,"&gt;="&amp;年初日,出库明细!$B$4:$B$3003,"&lt;="&amp;资产负债表!$D$3)-SUMIFS(资金台帐!$S$7:$S$3006,资金台帐!$J$7:$J$3006,总览汇总!$B247,资金台帐!$P$7:$P$3006,"应收",资金台帐!$B$7:$B$3006,"&gt;="&amp;年初日,资金台帐!$B$7:$B$3006,"&lt;="&amp;资产负债表!$D$3))</f>
      </c>
      <c r="N247">
        <f>IF(AND(ISNUMBER(出库明细!G247),ISNUMBER(出库明细!E247),ISNUMBER(出库明细!F247)),IF(ABS(出库明细!G247-出库明细!E247*出库明细!F247)&gt;0.005,1,0),0)</f>
        <v>0</v>
      </c>
      <c r="O247">
        <f>IF(AND(ISNUMBER(存条明细!G247),ISNUMBER(存条明细!E247),ISNUMBER(存条明细!F247)),IF(ABS(存条明细!G247-存条明细!E247*存条明细!F247)&gt;0.005,1,0),0)</f>
        <v>0</v>
      </c>
    </row>
    <row r="248">
      <c r="A248">
        <f>IF(OR(存条明细!C248="",存条明细!D248=""),"",IF(COUNTIFS(存条明细!$C$4:C248,存条明细!C248,存条明细!$D$4:D248,存条明细!D248)&gt;1,"",IFERROR(MATCH(存条明细!C248,总览汇总!$B$5:$B$304,0),900)*10000000+IFERROR(MATCH(存条明细!D248,基础资料!$E$5:$E$104,0),900)*10000+ROW()))</f>
      </c>
      <c r="B248">
        <f>IFERROR(MATCH(SMALL($A$4:$A$4003,245),$A$4:$A$4003,0),"")</f>
        <v>192</v>
      </c>
      <c r="D248">
        <f>IF(AND(商品库存!B248&lt;&gt;"",商品库存!B248=客户查询!$B$4),COUNTIF(商品库存!$B$4:B248,客户查询!$B$4),"")</f>
      </c>
      <c r="E248">
        <f>IF(AND(商品库存!B248&lt;&gt;"",商品库存!B248=客户对账单!$B$4),COUNTIF(商品库存!$B$4:B248,客户对账单!$B$4),"")</f>
      </c>
      <c r="F248">
        <f>IF(AND(出库明细!C248&lt;&gt;"",出库明细!C248=客户对账单!$B$4,ISNUMBER(出库明细!B248),出库明细!B248&gt;=客户对账单!$G$4,出库明细!B248&lt;=客户对账单!$I$4),出库明细!B248+ROW()/100000,"")</f>
      </c>
      <c r="H248">
        <f>IF(AND(采购进货!C248&lt;&gt;"",采购进货!C248=供应商对账单!$B$4,ISNUMBER(采购进货!B248),采购进货!B248&gt;=供应商对账单!$G$4,采购进货!B248&lt;=供应商对账单!$I$4),采购进货!B248+ROW()/100000,"")</f>
      </c>
      <c r="J248">
        <f>IF(总览汇总!$B248="","",N(总览汇总!$K248)+SUMIFS(出库明细!$G$4:$G$3003,出库明细!$C$4:$C$3003,总览汇总!$B248,出库明细!$B$4:$B$3003,"&gt;="&amp;年初日,出库明细!$B$4:$B$3003,"&lt;="&amp;资产负债表!$D$3)-SUMIFS(资金台帐!$S$7:$S$3006,资金台帐!$J$7:$J$3006,总览汇总!$B248,资金台帐!$P$7:$P$3006,"应收",资金台帐!$B$7:$B$3006,"&gt;="&amp;年初日,资金台帐!$B$7:$B$3006,"&lt;="&amp;资产负债表!$D$3))</f>
      </c>
      <c r="N248">
        <f>IF(AND(ISNUMBER(出库明细!G248),ISNUMBER(出库明细!E248),ISNUMBER(出库明细!F248)),IF(ABS(出库明细!G248-出库明细!E248*出库明细!F248)&gt;0.005,1,0),0)</f>
        <v>0</v>
      </c>
      <c r="O248">
        <f>IF(AND(ISNUMBER(存条明细!G248),ISNUMBER(存条明细!E248),ISNUMBER(存条明细!F248)),IF(ABS(存条明细!G248-存条明细!E248*存条明细!F248)&gt;0.005,1,0),0)</f>
        <v>0</v>
      </c>
    </row>
    <row r="249">
      <c r="A249">
        <f>IF(OR(存条明细!C249="",存条明细!D249=""),"",IF(COUNTIFS(存条明细!$C$4:C249,存条明细!C249,存条明细!$D$4:D249,存条明细!D249)&gt;1,"",IFERROR(MATCH(存条明细!C249,总览汇总!$B$5:$B$304,0),900)*10000000+IFERROR(MATCH(存条明细!D249,基础资料!$E$5:$E$104,0),900)*10000+ROW()))</f>
        <v>370050249</v>
      </c>
      <c r="B249">
        <f>IFERROR(MATCH(SMALL($A$4:$A$4003,246),$A$4:$A$4003,0),"")</f>
        <v>193</v>
      </c>
      <c r="D249">
        <f>IF(AND(商品库存!B249&lt;&gt;"",商品库存!B249=客户查询!$B$4),COUNTIF(商品库存!$B$4:B249,客户查询!$B$4),"")</f>
      </c>
      <c r="E249">
        <f>IF(AND(商品库存!B249&lt;&gt;"",商品库存!B249=客户对账单!$B$4),COUNTIF(商品库存!$B$4:B249,客户对账单!$B$4),"")</f>
      </c>
      <c r="F249">
        <f>IF(AND(出库明细!C249&lt;&gt;"",出库明细!C249=客户对账单!$B$4,ISNUMBER(出库明细!B249),出库明细!B249&gt;=客户对账单!$G$4,出库明细!B249&lt;=客户对账单!$I$4),出库明细!B249+ROW()/100000,"")</f>
      </c>
      <c r="H249">
        <f>IF(AND(采购进货!C249&lt;&gt;"",采购进货!C249=供应商对账单!$B$4,ISNUMBER(采购进货!B249),采购进货!B249&gt;=供应商对账单!$G$4,采购进货!B249&lt;=供应商对账单!$I$4),采购进货!B249+ROW()/100000,"")</f>
      </c>
      <c r="J249">
        <f>IF(总览汇总!$B249="","",N(总览汇总!$K249)+SUMIFS(出库明细!$G$4:$G$3003,出库明细!$C$4:$C$3003,总览汇总!$B249,出库明细!$B$4:$B$3003,"&gt;="&amp;年初日,出库明细!$B$4:$B$3003,"&lt;="&amp;资产负债表!$D$3)-SUMIFS(资金台帐!$S$7:$S$3006,资金台帐!$J$7:$J$3006,总览汇总!$B249,资金台帐!$P$7:$P$3006,"应收",资金台帐!$B$7:$B$3006,"&gt;="&amp;年初日,资金台帐!$B$7:$B$3006,"&lt;="&amp;资产负债表!$D$3))</f>
      </c>
      <c r="N249">
        <f>IF(AND(ISNUMBER(出库明细!G249),ISNUMBER(出库明细!E249),ISNUMBER(出库明细!F249)),IF(ABS(出库明细!G249-出库明细!E249*出库明细!F249)&gt;0.005,1,0),0)</f>
        <v>0</v>
      </c>
      <c r="O249">
        <f>IF(AND(ISNUMBER(存条明细!G249),ISNUMBER(存条明细!E249),ISNUMBER(存条明细!F249)),IF(ABS(存条明细!G249-存条明细!E249*存条明细!F249)&gt;0.005,1,0),0)</f>
        <v>0</v>
      </c>
    </row>
    <row r="250">
      <c r="A250">
        <f>IF(OR(存条明细!C250="",存条明细!D250=""),"",IF(COUNTIFS(存条明细!$C$4:C250,存条明细!C250,存条明细!$D$4:D250,存条明细!D250)&gt;1,"",IFERROR(MATCH(存条明细!C250,总览汇总!$B$5:$B$304,0),900)*10000000+IFERROR(MATCH(存条明细!D250,基础资料!$E$5:$E$104,0),900)*10000+ROW()))</f>
      </c>
      <c r="B250">
        <f>IFERROR(MATCH(SMALL($A$4:$A$4003,247),$A$4:$A$4003,0),"")</f>
        <v>198</v>
      </c>
      <c r="D250">
        <f>IF(AND(商品库存!B250&lt;&gt;"",商品库存!B250=客户查询!$B$4),COUNTIF(商品库存!$B$4:B250,客户查询!$B$4),"")</f>
      </c>
      <c r="E250">
        <f>IF(AND(商品库存!B250&lt;&gt;"",商品库存!B250=客户对账单!$B$4),COUNTIF(商品库存!$B$4:B250,客户对账单!$B$4),"")</f>
      </c>
      <c r="F250">
        <f>IF(AND(出库明细!C250&lt;&gt;"",出库明细!C250=客户对账单!$B$4,ISNUMBER(出库明细!B250),出库明细!B250&gt;=客户对账单!$G$4,出库明细!B250&lt;=客户对账单!$I$4),出库明细!B250+ROW()/100000,"")</f>
      </c>
      <c r="H250">
        <f>IF(AND(采购进货!C250&lt;&gt;"",采购进货!C250=供应商对账单!$B$4,ISNUMBER(采购进货!B250),采购进货!B250&gt;=供应商对账单!$G$4,采购进货!B250&lt;=供应商对账单!$I$4),采购进货!B250+ROW()/100000,"")</f>
      </c>
      <c r="J250">
        <f>IF(总览汇总!$B250="","",N(总览汇总!$K250)+SUMIFS(出库明细!$G$4:$G$3003,出库明细!$C$4:$C$3003,总览汇总!$B250,出库明细!$B$4:$B$3003,"&gt;="&amp;年初日,出库明细!$B$4:$B$3003,"&lt;="&amp;资产负债表!$D$3)-SUMIFS(资金台帐!$S$7:$S$3006,资金台帐!$J$7:$J$3006,总览汇总!$B250,资金台帐!$P$7:$P$3006,"应收",资金台帐!$B$7:$B$3006,"&gt;="&amp;年初日,资金台帐!$B$7:$B$3006,"&lt;="&amp;资产负债表!$D$3))</f>
      </c>
      <c r="N250">
        <f>IF(AND(ISNUMBER(出库明细!G250),ISNUMBER(出库明细!E250),ISNUMBER(出库明细!F250)),IF(ABS(出库明细!G250-出库明细!E250*出库明细!F250)&gt;0.005,1,0),0)</f>
        <v>0</v>
      </c>
      <c r="O250">
        <f>IF(AND(ISNUMBER(存条明细!G250),ISNUMBER(存条明细!E250),ISNUMBER(存条明细!F250)),IF(ABS(存条明细!G250-存条明细!E250*存条明细!F250)&gt;0.005,1,0),0)</f>
        <v>0</v>
      </c>
    </row>
    <row r="251">
      <c r="A251">
        <f>IF(OR(存条明细!C251="",存条明细!D251=""),"",IF(COUNTIFS(存条明细!$C$4:C251,存条明细!C251,存条明细!$D$4:D251,存条明细!D251)&gt;1,"",IFERROR(MATCH(存条明细!C251,总览汇总!$B$5:$B$304,0),900)*10000000+IFERROR(MATCH(存条明细!D251,基础资料!$E$5:$E$104,0),900)*10000+ROW()))</f>
        <v>370080251</v>
      </c>
      <c r="B251">
        <f>IFERROR(MATCH(SMALL($A$4:$A$4003,248),$A$4:$A$4003,0),"")</f>
        <v>199</v>
      </c>
      <c r="D251">
        <f>IF(AND(商品库存!B251&lt;&gt;"",商品库存!B251=客户查询!$B$4),COUNTIF(商品库存!$B$4:B251,客户查询!$B$4),"")</f>
      </c>
      <c r="E251">
        <f>IF(AND(商品库存!B251&lt;&gt;"",商品库存!B251=客户对账单!$B$4),COUNTIF(商品库存!$B$4:B251,客户对账单!$B$4),"")</f>
      </c>
      <c r="F251">
        <f>IF(AND(出库明细!C251&lt;&gt;"",出库明细!C251=客户对账单!$B$4,ISNUMBER(出库明细!B251),出库明细!B251&gt;=客户对账单!$G$4,出库明细!B251&lt;=客户对账单!$I$4),出库明细!B251+ROW()/100000,"")</f>
      </c>
      <c r="H251">
        <f>IF(AND(采购进货!C251&lt;&gt;"",采购进货!C251=供应商对账单!$B$4,ISNUMBER(采购进货!B251),采购进货!B251&gt;=供应商对账单!$G$4,采购进货!B251&lt;=供应商对账单!$I$4),采购进货!B251+ROW()/100000,"")</f>
      </c>
      <c r="J251">
        <f>IF(总览汇总!$B251="","",N(总览汇总!$K251)+SUMIFS(出库明细!$G$4:$G$3003,出库明细!$C$4:$C$3003,总览汇总!$B251,出库明细!$B$4:$B$3003,"&gt;="&amp;年初日,出库明细!$B$4:$B$3003,"&lt;="&amp;资产负债表!$D$3)-SUMIFS(资金台帐!$S$7:$S$3006,资金台帐!$J$7:$J$3006,总览汇总!$B251,资金台帐!$P$7:$P$3006,"应收",资金台帐!$B$7:$B$3006,"&gt;="&amp;年初日,资金台帐!$B$7:$B$3006,"&lt;="&amp;资产负债表!$D$3))</f>
      </c>
      <c r="N251">
        <f>IF(AND(ISNUMBER(出库明细!G251),ISNUMBER(出库明细!E251),ISNUMBER(出库明细!F251)),IF(ABS(出库明细!G251-出库明细!E251*出库明细!F251)&gt;0.005,1,0),0)</f>
        <v>0</v>
      </c>
      <c r="O251">
        <f>IF(AND(ISNUMBER(存条明细!G251),ISNUMBER(存条明细!E251),ISNUMBER(存条明细!F251)),IF(ABS(存条明细!G251-存条明细!E251*存条明细!F251)&gt;0.005,1,0),0)</f>
        <v>0</v>
      </c>
    </row>
    <row r="252">
      <c r="A252">
        <f>IF(OR(存条明细!C252="",存条明细!D252=""),"",IF(COUNTIFS(存条明细!$C$4:C252,存条明细!C252,存条明细!$D$4:D252,存条明细!D252)&gt;1,"",IFERROR(MATCH(存条明细!C252,总览汇总!$B$5:$B$304,0),900)*10000000+IFERROR(MATCH(存条明细!D252,基础资料!$E$5:$E$104,0),900)*10000+ROW()))</f>
      </c>
      <c r="B252">
        <f>IFERROR(MATCH(SMALL($A$4:$A$4003,249),$A$4:$A$4003,0),"")</f>
        <v>200</v>
      </c>
      <c r="D252">
        <f>IF(AND(商品库存!B252&lt;&gt;"",商品库存!B252=客户查询!$B$4),COUNTIF(商品库存!$B$4:B252,客户查询!$B$4),"")</f>
      </c>
      <c r="E252">
        <f>IF(AND(商品库存!B252&lt;&gt;"",商品库存!B252=客户对账单!$B$4),COUNTIF(商品库存!$B$4:B252,客户对账单!$B$4),"")</f>
      </c>
      <c r="F252">
        <f>IF(AND(出库明细!C252&lt;&gt;"",出库明细!C252=客户对账单!$B$4,ISNUMBER(出库明细!B252),出库明细!B252&gt;=客户对账单!$G$4,出库明细!B252&lt;=客户对账单!$I$4),出库明细!B252+ROW()/100000,"")</f>
      </c>
      <c r="H252">
        <f>IF(AND(采购进货!C252&lt;&gt;"",采购进货!C252=供应商对账单!$B$4,ISNUMBER(采购进货!B252),采购进货!B252&gt;=供应商对账单!$G$4,采购进货!B252&lt;=供应商对账单!$I$4),采购进货!B252+ROW()/100000,"")</f>
      </c>
      <c r="J252">
        <f>IF(总览汇总!$B252="","",N(总览汇总!$K252)+SUMIFS(出库明细!$G$4:$G$3003,出库明细!$C$4:$C$3003,总览汇总!$B252,出库明细!$B$4:$B$3003,"&gt;="&amp;年初日,出库明细!$B$4:$B$3003,"&lt;="&amp;资产负债表!$D$3)-SUMIFS(资金台帐!$S$7:$S$3006,资金台帐!$J$7:$J$3006,总览汇总!$B252,资金台帐!$P$7:$P$3006,"应收",资金台帐!$B$7:$B$3006,"&gt;="&amp;年初日,资金台帐!$B$7:$B$3006,"&lt;="&amp;资产负债表!$D$3))</f>
      </c>
      <c r="N252">
        <f>IF(AND(ISNUMBER(出库明细!G252),ISNUMBER(出库明细!E252),ISNUMBER(出库明细!F252)),IF(ABS(出库明细!G252-出库明细!E252*出库明细!F252)&gt;0.005,1,0),0)</f>
        <v>0</v>
      </c>
      <c r="O252">
        <f>IF(AND(ISNUMBER(存条明细!G252),ISNUMBER(存条明细!E252),ISNUMBER(存条明细!F252)),IF(ABS(存条明细!G252-存条明细!E252*存条明细!F252)&gt;0.005,1,0),0)</f>
        <v>0</v>
      </c>
    </row>
    <row r="253">
      <c r="A253">
        <f>IF(OR(存条明细!C253="",存条明细!D253=""),"",IF(COUNTIFS(存条明细!$C$4:C253,存条明细!C253,存条明细!$D$4:D253,存条明细!D253)&gt;1,"",IFERROR(MATCH(存条明细!C253,总览汇总!$B$5:$B$304,0),900)*10000000+IFERROR(MATCH(存条明细!D253,基础资料!$E$5:$E$104,0),900)*10000+ROW()))</f>
        <v>370030253</v>
      </c>
      <c r="B253">
        <f>IFERROR(MATCH(SMALL($A$4:$A$4003,250),$A$4:$A$4003,0),"")</f>
        <v>201</v>
      </c>
      <c r="D253">
        <f>IF(AND(商品库存!B253&lt;&gt;"",商品库存!B253=客户查询!$B$4),COUNTIF(商品库存!$B$4:B253,客户查询!$B$4),"")</f>
      </c>
      <c r="E253">
        <f>IF(AND(商品库存!B253&lt;&gt;"",商品库存!B253=客户对账单!$B$4),COUNTIF(商品库存!$B$4:B253,客户对账单!$B$4),"")</f>
      </c>
      <c r="F253">
        <f>IF(AND(出库明细!C253&lt;&gt;"",出库明细!C253=客户对账单!$B$4,ISNUMBER(出库明细!B253),出库明细!B253&gt;=客户对账单!$G$4,出库明细!B253&lt;=客户对账单!$I$4),出库明细!B253+ROW()/100000,"")</f>
      </c>
      <c r="H253">
        <f>IF(AND(采购进货!C253&lt;&gt;"",采购进货!C253=供应商对账单!$B$4,ISNUMBER(采购进货!B253),采购进货!B253&gt;=供应商对账单!$G$4,采购进货!B253&lt;=供应商对账单!$I$4),采购进货!B253+ROW()/100000,"")</f>
      </c>
      <c r="J253">
        <f>IF(总览汇总!$B253="","",N(总览汇总!$K253)+SUMIFS(出库明细!$G$4:$G$3003,出库明细!$C$4:$C$3003,总览汇总!$B253,出库明细!$B$4:$B$3003,"&gt;="&amp;年初日,出库明细!$B$4:$B$3003,"&lt;="&amp;资产负债表!$D$3)-SUMIFS(资金台帐!$S$7:$S$3006,资金台帐!$J$7:$J$3006,总览汇总!$B253,资金台帐!$P$7:$P$3006,"应收",资金台帐!$B$7:$B$3006,"&gt;="&amp;年初日,资金台帐!$B$7:$B$3006,"&lt;="&amp;资产负债表!$D$3))</f>
      </c>
      <c r="N253">
        <f>IF(AND(ISNUMBER(出库明细!G253),ISNUMBER(出库明细!E253),ISNUMBER(出库明细!F253)),IF(ABS(出库明细!G253-出库明细!E253*出库明细!F253)&gt;0.005,1,0),0)</f>
        <v>0</v>
      </c>
      <c r="O253">
        <f>IF(AND(ISNUMBER(存条明细!G253),ISNUMBER(存条明细!E253),ISNUMBER(存条明细!F253)),IF(ABS(存条明细!G253-存条明细!E253*存条明细!F253)&gt;0.005,1,0),0)</f>
        <v>0</v>
      </c>
    </row>
    <row r="254">
      <c r="A254">
        <f>IF(OR(存条明细!C254="",存条明细!D254=""),"",IF(COUNTIFS(存条明细!$C$4:C254,存条明细!C254,存条明细!$D$4:D254,存条明细!D254)&gt;1,"",IFERROR(MATCH(存条明细!C254,总览汇总!$B$5:$B$304,0),900)*10000000+IFERROR(MATCH(存条明细!D254,基础资料!$E$5:$E$104,0),900)*10000+ROW()))</f>
      </c>
      <c r="B254">
        <f>IFERROR(MATCH(SMALL($A$4:$A$4003,251),$A$4:$A$4003,0),"")</f>
        <v>202</v>
      </c>
      <c r="D254">
        <f>IF(AND(商品库存!B254&lt;&gt;"",商品库存!B254=客户查询!$B$4),COUNTIF(商品库存!$B$4:B254,客户查询!$B$4),"")</f>
      </c>
      <c r="E254">
        <f>IF(AND(商品库存!B254&lt;&gt;"",商品库存!B254=客户对账单!$B$4),COUNTIF(商品库存!$B$4:B254,客户对账单!$B$4),"")</f>
      </c>
      <c r="F254">
        <f>IF(AND(出库明细!C254&lt;&gt;"",出库明细!C254=客户对账单!$B$4,ISNUMBER(出库明细!B254),出库明细!B254&gt;=客户对账单!$G$4,出库明细!B254&lt;=客户对账单!$I$4),出库明细!B254+ROW()/100000,"")</f>
      </c>
      <c r="H254">
        <f>IF(AND(采购进货!C254&lt;&gt;"",采购进货!C254=供应商对账单!$B$4,ISNUMBER(采购进货!B254),采购进货!B254&gt;=供应商对账单!$G$4,采购进货!B254&lt;=供应商对账单!$I$4),采购进货!B254+ROW()/100000,"")</f>
      </c>
      <c r="J254">
        <f>IF(总览汇总!$B254="","",N(总览汇总!$K254)+SUMIFS(出库明细!$G$4:$G$3003,出库明细!$C$4:$C$3003,总览汇总!$B254,出库明细!$B$4:$B$3003,"&gt;="&amp;年初日,出库明细!$B$4:$B$3003,"&lt;="&amp;资产负债表!$D$3)-SUMIFS(资金台帐!$S$7:$S$3006,资金台帐!$J$7:$J$3006,总览汇总!$B254,资金台帐!$P$7:$P$3006,"应收",资金台帐!$B$7:$B$3006,"&gt;="&amp;年初日,资金台帐!$B$7:$B$3006,"&lt;="&amp;资产负债表!$D$3))</f>
      </c>
      <c r="N254">
        <f>IF(AND(ISNUMBER(出库明细!G254),ISNUMBER(出库明细!E254),ISNUMBER(出库明细!F254)),IF(ABS(出库明细!G254-出库明细!E254*出库明细!F254)&gt;0.005,1,0),0)</f>
        <v>0</v>
      </c>
      <c r="O254">
        <f>IF(AND(ISNUMBER(存条明细!G254),ISNUMBER(存条明细!E254),ISNUMBER(存条明细!F254)),IF(ABS(存条明细!G254-存条明细!E254*存条明细!F254)&gt;0.005,1,0),0)</f>
        <v>0</v>
      </c>
    </row>
    <row r="255">
      <c r="A255">
        <f>IF(OR(存条明细!C255="",存条明细!D255=""),"",IF(COUNTIFS(存条明细!$C$4:C255,存条明细!C255,存条明细!$D$4:D255,存条明细!D255)&gt;1,"",IFERROR(MATCH(存条明细!C255,总览汇总!$B$5:$B$304,0),900)*10000000+IFERROR(MATCH(存条明细!D255,基础资料!$E$5:$E$104,0),900)*10000+ROW()))</f>
      </c>
      <c r="B255">
        <f>IFERROR(MATCH(SMALL($A$4:$A$4003,252),$A$4:$A$4003,0),"")</f>
        <v>203</v>
      </c>
      <c r="D255">
        <f>IF(AND(商品库存!B255&lt;&gt;"",商品库存!B255=客户查询!$B$4),COUNTIF(商品库存!$B$4:B255,客户查询!$B$4),"")</f>
      </c>
      <c r="E255">
        <f>IF(AND(商品库存!B255&lt;&gt;"",商品库存!B255=客户对账单!$B$4),COUNTIF(商品库存!$B$4:B255,客户对账单!$B$4),"")</f>
      </c>
      <c r="F255">
        <f>IF(AND(出库明细!C255&lt;&gt;"",出库明细!C255=客户对账单!$B$4,ISNUMBER(出库明细!B255),出库明细!B255&gt;=客户对账单!$G$4,出库明细!B255&lt;=客户对账单!$I$4),出库明细!B255+ROW()/100000,"")</f>
      </c>
      <c r="H255">
        <f>IF(AND(采购进货!C255&lt;&gt;"",采购进货!C255=供应商对账单!$B$4,ISNUMBER(采购进货!B255),采购进货!B255&gt;=供应商对账单!$G$4,采购进货!B255&lt;=供应商对账单!$I$4),采购进货!B255+ROW()/100000,"")</f>
      </c>
      <c r="J255">
        <f>IF(总览汇总!$B255="","",N(总览汇总!$K255)+SUMIFS(出库明细!$G$4:$G$3003,出库明细!$C$4:$C$3003,总览汇总!$B255,出库明细!$B$4:$B$3003,"&gt;="&amp;年初日,出库明细!$B$4:$B$3003,"&lt;="&amp;资产负债表!$D$3)-SUMIFS(资金台帐!$S$7:$S$3006,资金台帐!$J$7:$J$3006,总览汇总!$B255,资金台帐!$P$7:$P$3006,"应收",资金台帐!$B$7:$B$3006,"&gt;="&amp;年初日,资金台帐!$B$7:$B$3006,"&lt;="&amp;资产负债表!$D$3))</f>
      </c>
      <c r="N255">
        <f>IF(AND(ISNUMBER(出库明细!G255),ISNUMBER(出库明细!E255),ISNUMBER(出库明细!F255)),IF(ABS(出库明细!G255-出库明细!E255*出库明细!F255)&gt;0.005,1,0),0)</f>
        <v>0</v>
      </c>
      <c r="O255">
        <f>IF(AND(ISNUMBER(存条明细!G255),ISNUMBER(存条明细!E255),ISNUMBER(存条明细!F255)),IF(ABS(存条明细!G255-存条明细!E255*存条明细!F255)&gt;0.005,1,0),0)</f>
        <v>0</v>
      </c>
    </row>
    <row r="256">
      <c r="A256">
        <f>IF(OR(存条明细!C256="",存条明细!D256=""),"",IF(COUNTIFS(存条明细!$C$4:C256,存条明细!C256,存条明细!$D$4:D256,存条明细!D256)&gt;1,"",IFERROR(MATCH(存条明细!C256,总览汇总!$B$5:$B$304,0),900)*10000000+IFERROR(MATCH(存条明细!D256,基础资料!$E$5:$E$104,0),900)*10000+ROW()))</f>
      </c>
      <c r="B256">
        <f>IFERROR(MATCH(SMALL($A$4:$A$4003,253),$A$4:$A$4003,0),"")</f>
        <v>204</v>
      </c>
      <c r="D256">
        <f>IF(AND(商品库存!B256&lt;&gt;"",商品库存!B256=客户查询!$B$4),COUNTIF(商品库存!$B$4:B256,客户查询!$B$4),"")</f>
      </c>
      <c r="E256">
        <f>IF(AND(商品库存!B256&lt;&gt;"",商品库存!B256=客户对账单!$B$4),COUNTIF(商品库存!$B$4:B256,客户对账单!$B$4),"")</f>
      </c>
      <c r="F256">
        <f>IF(AND(出库明细!C256&lt;&gt;"",出库明细!C256=客户对账单!$B$4,ISNUMBER(出库明细!B256),出库明细!B256&gt;=客户对账单!$G$4,出库明细!B256&lt;=客户对账单!$I$4),出库明细!B256+ROW()/100000,"")</f>
      </c>
      <c r="H256">
        <f>IF(AND(采购进货!C256&lt;&gt;"",采购进货!C256=供应商对账单!$B$4,ISNUMBER(采购进货!B256),采购进货!B256&gt;=供应商对账单!$G$4,采购进货!B256&lt;=供应商对账单!$I$4),采购进货!B256+ROW()/100000,"")</f>
      </c>
      <c r="J256">
        <f>IF(总览汇总!$B256="","",N(总览汇总!$K256)+SUMIFS(出库明细!$G$4:$G$3003,出库明细!$C$4:$C$3003,总览汇总!$B256,出库明细!$B$4:$B$3003,"&gt;="&amp;年初日,出库明细!$B$4:$B$3003,"&lt;="&amp;资产负债表!$D$3)-SUMIFS(资金台帐!$S$7:$S$3006,资金台帐!$J$7:$J$3006,总览汇总!$B256,资金台帐!$P$7:$P$3006,"应收",资金台帐!$B$7:$B$3006,"&gt;="&amp;年初日,资金台帐!$B$7:$B$3006,"&lt;="&amp;资产负债表!$D$3))</f>
      </c>
      <c r="N256">
        <f>IF(AND(ISNUMBER(出库明细!G256),ISNUMBER(出库明细!E256),ISNUMBER(出库明细!F256)),IF(ABS(出库明细!G256-出库明细!E256*出库明细!F256)&gt;0.005,1,0),0)</f>
        <v>0</v>
      </c>
      <c r="O256">
        <f>IF(AND(ISNUMBER(存条明细!G256),ISNUMBER(存条明细!E256),ISNUMBER(存条明细!F256)),IF(ABS(存条明细!G256-存条明细!E256*存条明细!F256)&gt;0.005,1,0),0)</f>
        <v>0</v>
      </c>
    </row>
    <row r="257">
      <c r="A257">
        <f>IF(OR(存条明细!C257="",存条明细!D257=""),"",IF(COUNTIFS(存条明细!$C$4:C257,存条明细!C257,存条明细!$D$4:D257,存条明细!D257)&gt;1,"",IFERROR(MATCH(存条明细!C257,总览汇总!$B$5:$B$304,0),900)*10000000+IFERROR(MATCH(存条明细!D257,基础资料!$E$5:$E$104,0),900)*10000+ROW()))</f>
      </c>
      <c r="B257">
        <f>IFERROR(MATCH(SMALL($A$4:$A$4003,254),$A$4:$A$4003,0),"")</f>
        <v>205</v>
      </c>
      <c r="D257">
        <f>IF(AND(商品库存!B257&lt;&gt;"",商品库存!B257=客户查询!$B$4),COUNTIF(商品库存!$B$4:B257,客户查询!$B$4),"")</f>
      </c>
      <c r="E257">
        <f>IF(AND(商品库存!B257&lt;&gt;"",商品库存!B257=客户对账单!$B$4),COUNTIF(商品库存!$B$4:B257,客户对账单!$B$4),"")</f>
      </c>
      <c r="F257">
        <f>IF(AND(出库明细!C257&lt;&gt;"",出库明细!C257=客户对账单!$B$4,ISNUMBER(出库明细!B257),出库明细!B257&gt;=客户对账单!$G$4,出库明细!B257&lt;=客户对账单!$I$4),出库明细!B257+ROW()/100000,"")</f>
      </c>
      <c r="H257">
        <f>IF(AND(采购进货!C257&lt;&gt;"",采购进货!C257=供应商对账单!$B$4,ISNUMBER(采购进货!B257),采购进货!B257&gt;=供应商对账单!$G$4,采购进货!B257&lt;=供应商对账单!$I$4),采购进货!B257+ROW()/100000,"")</f>
      </c>
      <c r="J257">
        <f>IF(总览汇总!$B257="","",N(总览汇总!$K257)+SUMIFS(出库明细!$G$4:$G$3003,出库明细!$C$4:$C$3003,总览汇总!$B257,出库明细!$B$4:$B$3003,"&gt;="&amp;年初日,出库明细!$B$4:$B$3003,"&lt;="&amp;资产负债表!$D$3)-SUMIFS(资金台帐!$S$7:$S$3006,资金台帐!$J$7:$J$3006,总览汇总!$B257,资金台帐!$P$7:$P$3006,"应收",资金台帐!$B$7:$B$3006,"&gt;="&amp;年初日,资金台帐!$B$7:$B$3006,"&lt;="&amp;资产负债表!$D$3))</f>
      </c>
      <c r="N257">
        <f>IF(AND(ISNUMBER(出库明细!G257),ISNUMBER(出库明细!E257),ISNUMBER(出库明细!F257)),IF(ABS(出库明细!G257-出库明细!E257*出库明细!F257)&gt;0.005,1,0),0)</f>
        <v>0</v>
      </c>
      <c r="O257">
        <f>IF(AND(ISNUMBER(存条明细!G257),ISNUMBER(存条明细!E257),ISNUMBER(存条明细!F257)),IF(ABS(存条明细!G257-存条明细!E257*存条明细!F257)&gt;0.005,1,0),0)</f>
        <v>0</v>
      </c>
    </row>
    <row r="258">
      <c r="A258">
        <f>IF(OR(存条明细!C258="",存条明细!D258=""),"",IF(COUNTIFS(存条明细!$C$4:C258,存条明细!C258,存条明细!$D$4:D258,存条明细!D258)&gt;1,"",IFERROR(MATCH(存条明细!C258,总览汇总!$B$5:$B$304,0),900)*10000000+IFERROR(MATCH(存条明细!D258,基础资料!$E$5:$E$104,0),900)*10000+ROW()))</f>
      </c>
      <c r="B258">
        <f>IFERROR(MATCH(SMALL($A$4:$A$4003,255),$A$4:$A$4003,0),"")</f>
        <v>1206</v>
      </c>
      <c r="D258">
        <f>IF(AND(商品库存!B258&lt;&gt;"",商品库存!B258=客户查询!$B$4),COUNTIF(商品库存!$B$4:B258,客户查询!$B$4),"")</f>
      </c>
      <c r="E258">
        <f>IF(AND(商品库存!B258&lt;&gt;"",商品库存!B258=客户对账单!$B$4),COUNTIF(商品库存!$B$4:B258,客户对账单!$B$4),"")</f>
      </c>
      <c r="F258">
        <f>IF(AND(出库明细!C258&lt;&gt;"",出库明细!C258=客户对账单!$B$4,ISNUMBER(出库明细!B258),出库明细!B258&gt;=客户对账单!$G$4,出库明细!B258&lt;=客户对账单!$I$4),出库明细!B258+ROW()/100000,"")</f>
      </c>
      <c r="H258">
        <f>IF(AND(采购进货!C258&lt;&gt;"",采购进货!C258=供应商对账单!$B$4,ISNUMBER(采购进货!B258),采购进货!B258&gt;=供应商对账单!$G$4,采购进货!B258&lt;=供应商对账单!$I$4),采购进货!B258+ROW()/100000,"")</f>
      </c>
      <c r="J258">
        <f>IF(总览汇总!$B258="","",N(总览汇总!$K258)+SUMIFS(出库明细!$G$4:$G$3003,出库明细!$C$4:$C$3003,总览汇总!$B258,出库明细!$B$4:$B$3003,"&gt;="&amp;年初日,出库明细!$B$4:$B$3003,"&lt;="&amp;资产负债表!$D$3)-SUMIFS(资金台帐!$S$7:$S$3006,资金台帐!$J$7:$J$3006,总览汇总!$B258,资金台帐!$P$7:$P$3006,"应收",资金台帐!$B$7:$B$3006,"&gt;="&amp;年初日,资金台帐!$B$7:$B$3006,"&lt;="&amp;资产负债表!$D$3))</f>
      </c>
      <c r="N258">
        <f>IF(AND(ISNUMBER(出库明细!G258),ISNUMBER(出库明细!E258),ISNUMBER(出库明细!F258)),IF(ABS(出库明细!G258-出库明细!E258*出库明细!F258)&gt;0.005,1,0),0)</f>
        <v>0</v>
      </c>
      <c r="O258">
        <f>IF(AND(ISNUMBER(存条明细!G258),ISNUMBER(存条明细!E258),ISNUMBER(存条明细!F258)),IF(ABS(存条明细!G258-存条明细!E258*存条明细!F258)&gt;0.005,1,0),0)</f>
        <v>0</v>
      </c>
    </row>
    <row r="259">
      <c r="A259">
        <f>IF(OR(存条明细!C259="",存条明细!D259=""),"",IF(COUNTIFS(存条明细!$C$4:C259,存条明细!C259,存条明细!$D$4:D259,存条明细!D259)&gt;1,"",IFERROR(MATCH(存条明细!C259,总览汇总!$B$5:$B$304,0),900)*10000000+IFERROR(MATCH(存条明细!D259,基础资料!$E$5:$E$104,0),900)*10000+ROW()))</f>
      </c>
      <c r="B259">
        <f>IFERROR(MATCH(SMALL($A$4:$A$4003,256),$A$4:$A$4003,0),"")</f>
        <v>1207</v>
      </c>
      <c r="D259">
        <f>IF(AND(商品库存!B259&lt;&gt;"",商品库存!B259=客户查询!$B$4),COUNTIF(商品库存!$B$4:B259,客户查询!$B$4),"")</f>
      </c>
      <c r="E259">
        <f>IF(AND(商品库存!B259&lt;&gt;"",商品库存!B259=客户对账单!$B$4),COUNTIF(商品库存!$B$4:B259,客户对账单!$B$4),"")</f>
      </c>
      <c r="F259">
        <f>IF(AND(出库明细!C259&lt;&gt;"",出库明细!C259=客户对账单!$B$4,ISNUMBER(出库明细!B259),出库明细!B259&gt;=客户对账单!$G$4,出库明细!B259&lt;=客户对账单!$I$4),出库明细!B259+ROW()/100000,"")</f>
      </c>
      <c r="H259">
        <f>IF(AND(采购进货!C259&lt;&gt;"",采购进货!C259=供应商对账单!$B$4,ISNUMBER(采购进货!B259),采购进货!B259&gt;=供应商对账单!$G$4,采购进货!B259&lt;=供应商对账单!$I$4),采购进货!B259+ROW()/100000,"")</f>
      </c>
      <c r="J259">
        <f>IF(总览汇总!$B259="","",N(总览汇总!$K259)+SUMIFS(出库明细!$G$4:$G$3003,出库明细!$C$4:$C$3003,总览汇总!$B259,出库明细!$B$4:$B$3003,"&gt;="&amp;年初日,出库明细!$B$4:$B$3003,"&lt;="&amp;资产负债表!$D$3)-SUMIFS(资金台帐!$S$7:$S$3006,资金台帐!$J$7:$J$3006,总览汇总!$B259,资金台帐!$P$7:$P$3006,"应收",资金台帐!$B$7:$B$3006,"&gt;="&amp;年初日,资金台帐!$B$7:$B$3006,"&lt;="&amp;资产负债表!$D$3))</f>
      </c>
      <c r="N259">
        <f>IF(AND(ISNUMBER(出库明细!G259),ISNUMBER(出库明细!E259),ISNUMBER(出库明细!F259)),IF(ABS(出库明细!G259-出库明细!E259*出库明细!F259)&gt;0.005,1,0),0)</f>
        <v>0</v>
      </c>
      <c r="O259">
        <f>IF(AND(ISNUMBER(存条明细!G259),ISNUMBER(存条明细!E259),ISNUMBER(存条明细!F259)),IF(ABS(存条明细!G259-存条明细!E259*存条明细!F259)&gt;0.005,1,0),0)</f>
        <v>0</v>
      </c>
    </row>
    <row r="260">
      <c r="A260">
        <f>IF(OR(存条明细!C260="",存条明细!D260=""),"",IF(COUNTIFS(存条明细!$C$4:C260,存条明细!C260,存条明细!$D$4:D260,存条明细!D260)&gt;1,"",IFERROR(MATCH(存条明细!C260,总览汇总!$B$5:$B$304,0),900)*10000000+IFERROR(MATCH(存条明细!D260,基础资料!$E$5:$E$104,0),900)*10000+ROW()))</f>
      </c>
      <c r="B260">
        <f>IFERROR(MATCH(SMALL($A$4:$A$4003,257),$A$4:$A$4003,0),"")</f>
        <v>1208</v>
      </c>
      <c r="D260">
        <f>IF(AND(商品库存!B260&lt;&gt;"",商品库存!B260=客户查询!$B$4),COUNTIF(商品库存!$B$4:B260,客户查询!$B$4),"")</f>
      </c>
      <c r="E260">
        <f>IF(AND(商品库存!B260&lt;&gt;"",商品库存!B260=客户对账单!$B$4),COUNTIF(商品库存!$B$4:B260,客户对账单!$B$4),"")</f>
      </c>
      <c r="F260">
        <f>IF(AND(出库明细!C260&lt;&gt;"",出库明细!C260=客户对账单!$B$4,ISNUMBER(出库明细!B260),出库明细!B260&gt;=客户对账单!$G$4,出库明细!B260&lt;=客户对账单!$I$4),出库明细!B260+ROW()/100000,"")</f>
      </c>
      <c r="H260">
        <f>IF(AND(采购进货!C260&lt;&gt;"",采购进货!C260=供应商对账单!$B$4,ISNUMBER(采购进货!B260),采购进货!B260&gt;=供应商对账单!$G$4,采购进货!B260&lt;=供应商对账单!$I$4),采购进货!B260+ROW()/100000,"")</f>
      </c>
      <c r="J260">
        <f>IF(总览汇总!$B260="","",N(总览汇总!$K260)+SUMIFS(出库明细!$G$4:$G$3003,出库明细!$C$4:$C$3003,总览汇总!$B260,出库明细!$B$4:$B$3003,"&gt;="&amp;年初日,出库明细!$B$4:$B$3003,"&lt;="&amp;资产负债表!$D$3)-SUMIFS(资金台帐!$S$7:$S$3006,资金台帐!$J$7:$J$3006,总览汇总!$B260,资金台帐!$P$7:$P$3006,"应收",资金台帐!$B$7:$B$3006,"&gt;="&amp;年初日,资金台帐!$B$7:$B$3006,"&lt;="&amp;资产负债表!$D$3))</f>
      </c>
      <c r="N260">
        <f>IF(AND(ISNUMBER(出库明细!G260),ISNUMBER(出库明细!E260),ISNUMBER(出库明细!F260)),IF(ABS(出库明细!G260-出库明细!E260*出库明细!F260)&gt;0.005,1,0),0)</f>
        <v>0</v>
      </c>
      <c r="O260">
        <f>IF(AND(ISNUMBER(存条明细!G260),ISNUMBER(存条明细!E260),ISNUMBER(存条明细!F260)),IF(ABS(存条明细!G260-存条明细!E260*存条明细!F260)&gt;0.005,1,0),0)</f>
        <v>0</v>
      </c>
    </row>
    <row r="261">
      <c r="A261">
        <f>IF(OR(存条明细!C261="",存条明细!D261=""),"",IF(COUNTIFS(存条明细!$C$4:C261,存条明细!C261,存条明细!$D$4:D261,存条明细!D261)&gt;1,"",IFERROR(MATCH(存条明细!C261,总览汇总!$B$5:$B$304,0),900)*10000000+IFERROR(MATCH(存条明细!D261,基础资料!$E$5:$E$104,0),900)*10000+ROW()))</f>
      </c>
      <c r="B261">
        <f>IFERROR(MATCH(SMALL($A$4:$A$4003,258),$A$4:$A$4003,0),"")</f>
        <v>227</v>
      </c>
      <c r="D261">
        <f>IF(AND(商品库存!B261&lt;&gt;"",商品库存!B261=客户查询!$B$4),COUNTIF(商品库存!$B$4:B261,客户查询!$B$4),"")</f>
      </c>
      <c r="E261">
        <f>IF(AND(商品库存!B261&lt;&gt;"",商品库存!B261=客户对账单!$B$4),COUNTIF(商品库存!$B$4:B261,客户对账单!$B$4),"")</f>
      </c>
      <c r="F261">
        <f>IF(AND(出库明细!C261&lt;&gt;"",出库明细!C261=客户对账单!$B$4,ISNUMBER(出库明细!B261),出库明细!B261&gt;=客户对账单!$G$4,出库明细!B261&lt;=客户对账单!$I$4),出库明细!B261+ROW()/100000,"")</f>
      </c>
      <c r="H261">
        <f>IF(AND(采购进货!C261&lt;&gt;"",采购进货!C261=供应商对账单!$B$4,ISNUMBER(采购进货!B261),采购进货!B261&gt;=供应商对账单!$G$4,采购进货!B261&lt;=供应商对账单!$I$4),采购进货!B261+ROW()/100000,"")</f>
      </c>
      <c r="J261">
        <f>IF(总览汇总!$B261="","",N(总览汇总!$K261)+SUMIFS(出库明细!$G$4:$G$3003,出库明细!$C$4:$C$3003,总览汇总!$B261,出库明细!$B$4:$B$3003,"&gt;="&amp;年初日,出库明细!$B$4:$B$3003,"&lt;="&amp;资产负债表!$D$3)-SUMIFS(资金台帐!$S$7:$S$3006,资金台帐!$J$7:$J$3006,总览汇总!$B261,资金台帐!$P$7:$P$3006,"应收",资金台帐!$B$7:$B$3006,"&gt;="&amp;年初日,资金台帐!$B$7:$B$3006,"&lt;="&amp;资产负债表!$D$3))</f>
      </c>
      <c r="N261">
        <f>IF(AND(ISNUMBER(出库明细!G261),ISNUMBER(出库明细!E261),ISNUMBER(出库明细!F261)),IF(ABS(出库明细!G261-出库明细!E261*出库明细!F261)&gt;0.005,1,0),0)</f>
        <v>0</v>
      </c>
      <c r="O261">
        <f>IF(AND(ISNUMBER(存条明细!G261),ISNUMBER(存条明细!E261),ISNUMBER(存条明细!F261)),IF(ABS(存条明细!G261-存条明细!E261*存条明细!F261)&gt;0.005,1,0),0)</f>
        <v>0</v>
      </c>
    </row>
    <row r="262">
      <c r="A262">
        <f>IF(OR(存条明细!C262="",存条明细!D262=""),"",IF(COUNTIFS(存条明细!$C$4:C262,存条明细!C262,存条明细!$D$4:D262,存条明细!D262)&gt;1,"",IFERROR(MATCH(存条明细!C262,总览汇总!$B$5:$B$304,0),900)*10000000+IFERROR(MATCH(存条明细!D262,基础资料!$E$5:$E$104,0),900)*10000+ROW()))</f>
      </c>
      <c r="B262">
        <f>IFERROR(MATCH(SMALL($A$4:$A$4003,259),$A$4:$A$4003,0),"")</f>
        <v>226</v>
      </c>
      <c r="D262">
        <f>IF(AND(商品库存!B262&lt;&gt;"",商品库存!B262=客户查询!$B$4),COUNTIF(商品库存!$B$4:B262,客户查询!$B$4),"")</f>
      </c>
      <c r="E262">
        <f>IF(AND(商品库存!B262&lt;&gt;"",商品库存!B262=客户对账单!$B$4),COUNTIF(商品库存!$B$4:B262,客户对账单!$B$4),"")</f>
      </c>
      <c r="F262">
        <f>IF(AND(出库明细!C262&lt;&gt;"",出库明细!C262=客户对账单!$B$4,ISNUMBER(出库明细!B262),出库明细!B262&gt;=客户对账单!$G$4,出库明细!B262&lt;=客户对账单!$I$4),出库明细!B262+ROW()/100000,"")</f>
      </c>
      <c r="H262">
        <f>IF(AND(采购进货!C262&lt;&gt;"",采购进货!C262=供应商对账单!$B$4,ISNUMBER(采购进货!B262),采购进货!B262&gt;=供应商对账单!$G$4,采购进货!B262&lt;=供应商对账单!$I$4),采购进货!B262+ROW()/100000,"")</f>
      </c>
      <c r="J262">
        <f>IF(总览汇总!$B262="","",N(总览汇总!$K262)+SUMIFS(出库明细!$G$4:$G$3003,出库明细!$C$4:$C$3003,总览汇总!$B262,出库明细!$B$4:$B$3003,"&gt;="&amp;年初日,出库明细!$B$4:$B$3003,"&lt;="&amp;资产负债表!$D$3)-SUMIFS(资金台帐!$S$7:$S$3006,资金台帐!$J$7:$J$3006,总览汇总!$B262,资金台帐!$P$7:$P$3006,"应收",资金台帐!$B$7:$B$3006,"&gt;="&amp;年初日,资金台帐!$B$7:$B$3006,"&lt;="&amp;资产负债表!$D$3))</f>
      </c>
      <c r="N262">
        <f>IF(AND(ISNUMBER(出库明细!G262),ISNUMBER(出库明细!E262),ISNUMBER(出库明细!F262)),IF(ABS(出库明细!G262-出库明细!E262*出库明细!F262)&gt;0.005,1,0),0)</f>
        <v>0</v>
      </c>
      <c r="O262">
        <f>IF(AND(ISNUMBER(存条明细!G262),ISNUMBER(存条明细!E262),ISNUMBER(存条明细!F262)),IF(ABS(存条明细!G262-存条明细!E262*存条明细!F262)&gt;0.005,1,0),0)</f>
        <v>0</v>
      </c>
    </row>
    <row r="263">
      <c r="A263">
        <f>IF(OR(存条明细!C263="",存条明细!D263=""),"",IF(COUNTIFS(存条明细!$C$4:C263,存条明细!C263,存条明细!$D$4:D263,存条明细!D263)&gt;1,"",IFERROR(MATCH(存条明细!C263,总览汇总!$B$5:$B$304,0),900)*10000000+IFERROR(MATCH(存条明细!D263,基础资料!$E$5:$E$104,0),900)*10000+ROW()))</f>
      </c>
      <c r="B263">
        <f>IFERROR(MATCH(SMALL($A$4:$A$4003,260),$A$4:$A$4003,0),"")</f>
        <v>228</v>
      </c>
      <c r="D263">
        <f>IF(AND(商品库存!B263&lt;&gt;"",商品库存!B263=客户查询!$B$4),COUNTIF(商品库存!$B$4:B263,客户查询!$B$4),"")</f>
      </c>
      <c r="E263">
        <f>IF(AND(商品库存!B263&lt;&gt;"",商品库存!B263=客户对账单!$B$4),COUNTIF(商品库存!$B$4:B263,客户对账单!$B$4),"")</f>
      </c>
      <c r="F263">
        <f>IF(AND(出库明细!C263&lt;&gt;"",出库明细!C263=客户对账单!$B$4,ISNUMBER(出库明细!B263),出库明细!B263&gt;=客户对账单!$G$4,出库明细!B263&lt;=客户对账单!$I$4),出库明细!B263+ROW()/100000,"")</f>
      </c>
      <c r="H263">
        <f>IF(AND(采购进货!C263&lt;&gt;"",采购进货!C263=供应商对账单!$B$4,ISNUMBER(采购进货!B263),采购进货!B263&gt;=供应商对账单!$G$4,采购进货!B263&lt;=供应商对账单!$I$4),采购进货!B263+ROW()/100000,"")</f>
      </c>
      <c r="J263">
        <f>IF(总览汇总!$B263="","",N(总览汇总!$K263)+SUMIFS(出库明细!$G$4:$G$3003,出库明细!$C$4:$C$3003,总览汇总!$B263,出库明细!$B$4:$B$3003,"&gt;="&amp;年初日,出库明细!$B$4:$B$3003,"&lt;="&amp;资产负债表!$D$3)-SUMIFS(资金台帐!$S$7:$S$3006,资金台帐!$J$7:$J$3006,总览汇总!$B263,资金台帐!$P$7:$P$3006,"应收",资金台帐!$B$7:$B$3006,"&gt;="&amp;年初日,资金台帐!$B$7:$B$3006,"&lt;="&amp;资产负债表!$D$3))</f>
      </c>
      <c r="N263">
        <f>IF(AND(ISNUMBER(出库明细!G263),ISNUMBER(出库明细!E263),ISNUMBER(出库明细!F263)),IF(ABS(出库明细!G263-出库明细!E263*出库明细!F263)&gt;0.005,1,0),0)</f>
        <v>0</v>
      </c>
      <c r="O263">
        <f>IF(AND(ISNUMBER(存条明细!G263),ISNUMBER(存条明细!E263),ISNUMBER(存条明细!F263)),IF(ABS(存条明细!G263-存条明细!E263*存条明细!F263)&gt;0.005,1,0),0)</f>
        <v>0</v>
      </c>
    </row>
    <row r="264">
      <c r="A264">
        <f>IF(OR(存条明细!C264="",存条明细!D264=""),"",IF(COUNTIFS(存条明细!$C$4:C264,存条明细!C264,存条明细!$D$4:D264,存条明细!D264)&gt;1,"",IFERROR(MATCH(存条明细!C264,总览汇总!$B$5:$B$304,0),900)*10000000+IFERROR(MATCH(存条明细!D264,基础资料!$E$5:$E$104,0),900)*10000+ROW()))</f>
      </c>
      <c r="B264">
        <f>IFERROR(MATCH(SMALL($A$4:$A$4003,261),$A$4:$A$4003,0),"")</f>
        <v>232</v>
      </c>
      <c r="D264">
        <f>IF(AND(商品库存!B264&lt;&gt;"",商品库存!B264=客户查询!$B$4),COUNTIF(商品库存!$B$4:B264,客户查询!$B$4),"")</f>
      </c>
      <c r="E264">
        <f>IF(AND(商品库存!B264&lt;&gt;"",商品库存!B264=客户对账单!$B$4),COUNTIF(商品库存!$B$4:B264,客户对账单!$B$4),"")</f>
      </c>
      <c r="F264">
        <f>IF(AND(出库明细!C264&lt;&gt;"",出库明细!C264=客户对账单!$B$4,ISNUMBER(出库明细!B264),出库明细!B264&gt;=客户对账单!$G$4,出库明细!B264&lt;=客户对账单!$I$4),出库明细!B264+ROW()/100000,"")</f>
      </c>
      <c r="H264">
        <f>IF(AND(采购进货!C264&lt;&gt;"",采购进货!C264=供应商对账单!$B$4,ISNUMBER(采购进货!B264),采购进货!B264&gt;=供应商对账单!$G$4,采购进货!B264&lt;=供应商对账单!$I$4),采购进货!B264+ROW()/100000,"")</f>
      </c>
      <c r="J264">
        <f>IF(总览汇总!$B264="","",N(总览汇总!$K264)+SUMIFS(出库明细!$G$4:$G$3003,出库明细!$C$4:$C$3003,总览汇总!$B264,出库明细!$B$4:$B$3003,"&gt;="&amp;年初日,出库明细!$B$4:$B$3003,"&lt;="&amp;资产负债表!$D$3)-SUMIFS(资金台帐!$S$7:$S$3006,资金台帐!$J$7:$J$3006,总览汇总!$B264,资金台帐!$P$7:$P$3006,"应收",资金台帐!$B$7:$B$3006,"&gt;="&amp;年初日,资金台帐!$B$7:$B$3006,"&lt;="&amp;资产负债表!$D$3))</f>
      </c>
      <c r="N264">
        <f>IF(AND(ISNUMBER(出库明细!G264),ISNUMBER(出库明细!E264),ISNUMBER(出库明细!F264)),IF(ABS(出库明细!G264-出库明细!E264*出库明细!F264)&gt;0.005,1,0),0)</f>
        <v>0</v>
      </c>
      <c r="O264">
        <f>IF(AND(ISNUMBER(存条明细!G264),ISNUMBER(存条明细!E264),ISNUMBER(存条明细!F264)),IF(ABS(存条明细!G264-存条明细!E264*存条明细!F264)&gt;0.005,1,0),0)</f>
        <v>0</v>
      </c>
    </row>
    <row r="265">
      <c r="A265">
        <f>IF(OR(存条明细!C265="",存条明细!D265=""),"",IF(COUNTIFS(存条明细!$C$4:C265,存条明细!C265,存条明细!$D$4:D265,存条明细!D265)&gt;1,"",IFERROR(MATCH(存条明细!C265,总览汇总!$B$5:$B$304,0),900)*10000000+IFERROR(MATCH(存条明细!D265,基础资料!$E$5:$E$104,0),900)*10000+ROW()))</f>
      </c>
      <c r="B265">
        <f>IFERROR(MATCH(SMALL($A$4:$A$4003,262),$A$4:$A$4003,0),"")</f>
        <v>230</v>
      </c>
      <c r="D265">
        <f>IF(AND(商品库存!B265&lt;&gt;"",商品库存!B265=客户查询!$B$4),COUNTIF(商品库存!$B$4:B265,客户查询!$B$4),"")</f>
      </c>
      <c r="E265">
        <f>IF(AND(商品库存!B265&lt;&gt;"",商品库存!B265=客户对账单!$B$4),COUNTIF(商品库存!$B$4:B265,客户对账单!$B$4),"")</f>
      </c>
      <c r="F265">
        <f>IF(AND(出库明细!C265&lt;&gt;"",出库明细!C265=客户对账单!$B$4,ISNUMBER(出库明细!B265),出库明细!B265&gt;=客户对账单!$G$4,出库明细!B265&lt;=客户对账单!$I$4),出库明细!B265+ROW()/100000,"")</f>
      </c>
      <c r="H265">
        <f>IF(AND(采购进货!C265&lt;&gt;"",采购进货!C265=供应商对账单!$B$4,ISNUMBER(采购进货!B265),采购进货!B265&gt;=供应商对账单!$G$4,采购进货!B265&lt;=供应商对账单!$I$4),采购进货!B265+ROW()/100000,"")</f>
      </c>
      <c r="J265">
        <f>IF(总览汇总!$B265="","",N(总览汇总!$K265)+SUMIFS(出库明细!$G$4:$G$3003,出库明细!$C$4:$C$3003,总览汇总!$B265,出库明细!$B$4:$B$3003,"&gt;="&amp;年初日,出库明细!$B$4:$B$3003,"&lt;="&amp;资产负债表!$D$3)-SUMIFS(资金台帐!$S$7:$S$3006,资金台帐!$J$7:$J$3006,总览汇总!$B265,资金台帐!$P$7:$P$3006,"应收",资金台帐!$B$7:$B$3006,"&gt;="&amp;年初日,资金台帐!$B$7:$B$3006,"&lt;="&amp;资产负债表!$D$3))</f>
      </c>
      <c r="N265">
        <f>IF(AND(ISNUMBER(出库明细!G265),ISNUMBER(出库明细!E265),ISNUMBER(出库明细!F265)),IF(ABS(出库明细!G265-出库明细!E265*出库明细!F265)&gt;0.005,1,0),0)</f>
        <v>0</v>
      </c>
      <c r="O265">
        <f>IF(AND(ISNUMBER(存条明细!G265),ISNUMBER(存条明细!E265),ISNUMBER(存条明细!F265)),IF(ABS(存条明细!G265-存条明细!E265*存条明细!F265)&gt;0.005,1,0),0)</f>
        <v>0</v>
      </c>
    </row>
    <row r="266">
      <c r="A266">
        <f>IF(OR(存条明细!C266="",存条明细!D266=""),"",IF(COUNTIFS(存条明细!$C$4:C266,存条明细!C266,存条明细!$D$4:D266,存条明细!D266)&gt;1,"",IFERROR(MATCH(存条明细!C266,总览汇总!$B$5:$B$304,0),900)*10000000+IFERROR(MATCH(存条明细!D266,基础资料!$E$5:$E$104,0),900)*10000+ROW()))</f>
      </c>
      <c r="B266">
        <f>IFERROR(MATCH(SMALL($A$4:$A$4003,263),$A$4:$A$4003,0),"")</f>
        <v>231</v>
      </c>
      <c r="D266">
        <f>IF(AND(商品库存!B266&lt;&gt;"",商品库存!B266=客户查询!$B$4),COUNTIF(商品库存!$B$4:B266,客户查询!$B$4),"")</f>
      </c>
      <c r="E266">
        <f>IF(AND(商品库存!B266&lt;&gt;"",商品库存!B266=客户对账单!$B$4),COUNTIF(商品库存!$B$4:B266,客户对账单!$B$4),"")</f>
      </c>
      <c r="F266">
        <f>IF(AND(出库明细!C266&lt;&gt;"",出库明细!C266=客户对账单!$B$4,ISNUMBER(出库明细!B266),出库明细!B266&gt;=客户对账单!$G$4,出库明细!B266&lt;=客户对账单!$I$4),出库明细!B266+ROW()/100000,"")</f>
      </c>
      <c r="H266">
        <f>IF(AND(采购进货!C266&lt;&gt;"",采购进货!C266=供应商对账单!$B$4,ISNUMBER(采购进货!B266),采购进货!B266&gt;=供应商对账单!$G$4,采购进货!B266&lt;=供应商对账单!$I$4),采购进货!B266+ROW()/100000,"")</f>
      </c>
      <c r="J266">
        <f>IF(总览汇总!$B266="","",N(总览汇总!$K266)+SUMIFS(出库明细!$G$4:$G$3003,出库明细!$C$4:$C$3003,总览汇总!$B266,出库明细!$B$4:$B$3003,"&gt;="&amp;年初日,出库明细!$B$4:$B$3003,"&lt;="&amp;资产负债表!$D$3)-SUMIFS(资金台帐!$S$7:$S$3006,资金台帐!$J$7:$J$3006,总览汇总!$B266,资金台帐!$P$7:$P$3006,"应收",资金台帐!$B$7:$B$3006,"&gt;="&amp;年初日,资金台帐!$B$7:$B$3006,"&lt;="&amp;资产负债表!$D$3))</f>
      </c>
      <c r="N266">
        <f>IF(AND(ISNUMBER(出库明细!G266),ISNUMBER(出库明细!E266),ISNUMBER(出库明细!F266)),IF(ABS(出库明细!G266-出库明细!E266*出库明细!F266)&gt;0.005,1,0),0)</f>
        <v>0</v>
      </c>
      <c r="O266">
        <f>IF(AND(ISNUMBER(存条明细!G266),ISNUMBER(存条明细!E266),ISNUMBER(存条明细!F266)),IF(ABS(存条明细!G266-存条明细!E266*存条明细!F266)&gt;0.005,1,0),0)</f>
        <v>0</v>
      </c>
    </row>
    <row r="267">
      <c r="A267">
        <f>IF(OR(存条明细!C267="",存条明细!D267=""),"",IF(COUNTIFS(存条明细!$C$4:C267,存条明细!C267,存条明细!$D$4:D267,存条明细!D267)&gt;1,"",IFERROR(MATCH(存条明细!C267,总览汇总!$B$5:$B$304,0),900)*10000000+IFERROR(MATCH(存条明细!D267,基础资料!$E$5:$E$104,0),900)*10000+ROW()))</f>
      </c>
      <c r="B267">
        <f>IFERROR(MATCH(SMALL($A$4:$A$4003,264),$A$4:$A$4003,0),"")</f>
        <v>233</v>
      </c>
      <c r="D267">
        <f>IF(AND(商品库存!B267&lt;&gt;"",商品库存!B267=客户查询!$B$4),COUNTIF(商品库存!$B$4:B267,客户查询!$B$4),"")</f>
      </c>
      <c r="E267">
        <f>IF(AND(商品库存!B267&lt;&gt;"",商品库存!B267=客户对账单!$B$4),COUNTIF(商品库存!$B$4:B267,客户对账单!$B$4),"")</f>
      </c>
      <c r="F267">
        <f>IF(AND(出库明细!C267&lt;&gt;"",出库明细!C267=客户对账单!$B$4,ISNUMBER(出库明细!B267),出库明细!B267&gt;=客户对账单!$G$4,出库明细!B267&lt;=客户对账单!$I$4),出库明细!B267+ROW()/100000,"")</f>
      </c>
      <c r="H267">
        <f>IF(AND(采购进货!C267&lt;&gt;"",采购进货!C267=供应商对账单!$B$4,ISNUMBER(采购进货!B267),采购进货!B267&gt;=供应商对账单!$G$4,采购进货!B267&lt;=供应商对账单!$I$4),采购进货!B267+ROW()/100000,"")</f>
      </c>
      <c r="J267">
        <f>IF(总览汇总!$B267="","",N(总览汇总!$K267)+SUMIFS(出库明细!$G$4:$G$3003,出库明细!$C$4:$C$3003,总览汇总!$B267,出库明细!$B$4:$B$3003,"&gt;="&amp;年初日,出库明细!$B$4:$B$3003,"&lt;="&amp;资产负债表!$D$3)-SUMIFS(资金台帐!$S$7:$S$3006,资金台帐!$J$7:$J$3006,总览汇总!$B267,资金台帐!$P$7:$P$3006,"应收",资金台帐!$B$7:$B$3006,"&gt;="&amp;年初日,资金台帐!$B$7:$B$3006,"&lt;="&amp;资产负债表!$D$3))</f>
      </c>
      <c r="N267">
        <f>IF(AND(ISNUMBER(出库明细!G267),ISNUMBER(出库明细!E267),ISNUMBER(出库明细!F267)),IF(ABS(出库明细!G267-出库明细!E267*出库明细!F267)&gt;0.005,1,0),0)</f>
        <v>0</v>
      </c>
      <c r="O267">
        <f>IF(AND(ISNUMBER(存条明细!G267),ISNUMBER(存条明细!E267),ISNUMBER(存条明细!F267)),IF(ABS(存条明细!G267-存条明细!E267*存条明细!F267)&gt;0.005,1,0),0)</f>
        <v>0</v>
      </c>
    </row>
    <row r="268">
      <c r="A268">
        <f>IF(OR(存条明细!C268="",存条明细!D268=""),"",IF(COUNTIFS(存条明细!$C$4:C268,存条明细!C268,存条明细!$D$4:D268,存条明细!D268)&gt;1,"",IFERROR(MATCH(存条明细!C268,总览汇总!$B$5:$B$304,0),900)*10000000+IFERROR(MATCH(存条明细!D268,基础资料!$E$5:$E$104,0),900)*10000+ROW()))</f>
      </c>
      <c r="B268">
        <f>IFERROR(MATCH(SMALL($A$4:$A$4003,265),$A$4:$A$4003,0),"")</f>
        <v>234</v>
      </c>
      <c r="D268">
        <f>IF(AND(商品库存!B268&lt;&gt;"",商品库存!B268=客户查询!$B$4),COUNTIF(商品库存!$B$4:B268,客户查询!$B$4),"")</f>
      </c>
      <c r="E268">
        <f>IF(AND(商品库存!B268&lt;&gt;"",商品库存!B268=客户对账单!$B$4),COUNTIF(商品库存!$B$4:B268,客户对账单!$B$4),"")</f>
      </c>
      <c r="F268">
        <f>IF(AND(出库明细!C268&lt;&gt;"",出库明细!C268=客户对账单!$B$4,ISNUMBER(出库明细!B268),出库明细!B268&gt;=客户对账单!$G$4,出库明细!B268&lt;=客户对账单!$I$4),出库明细!B268+ROW()/100000,"")</f>
      </c>
      <c r="H268">
        <f>IF(AND(采购进货!C268&lt;&gt;"",采购进货!C268=供应商对账单!$B$4,ISNUMBER(采购进货!B268),采购进货!B268&gt;=供应商对账单!$G$4,采购进货!B268&lt;=供应商对账单!$I$4),采购进货!B268+ROW()/100000,"")</f>
      </c>
      <c r="J268">
        <f>IF(总览汇总!$B268="","",N(总览汇总!$K268)+SUMIFS(出库明细!$G$4:$G$3003,出库明细!$C$4:$C$3003,总览汇总!$B268,出库明细!$B$4:$B$3003,"&gt;="&amp;年初日,出库明细!$B$4:$B$3003,"&lt;="&amp;资产负债表!$D$3)-SUMIFS(资金台帐!$S$7:$S$3006,资金台帐!$J$7:$J$3006,总览汇总!$B268,资金台帐!$P$7:$P$3006,"应收",资金台帐!$B$7:$B$3006,"&gt;="&amp;年初日,资金台帐!$B$7:$B$3006,"&lt;="&amp;资产负债表!$D$3))</f>
      </c>
      <c r="N268">
        <f>IF(AND(ISNUMBER(出库明细!G268),ISNUMBER(出库明细!E268),ISNUMBER(出库明细!F268)),IF(ABS(出库明细!G268-出库明细!E268*出库明细!F268)&gt;0.005,1,0),0)</f>
        <v>0</v>
      </c>
      <c r="O268">
        <f>IF(AND(ISNUMBER(存条明细!G268),ISNUMBER(存条明细!E268),ISNUMBER(存条明细!F268)),IF(ABS(存条明细!G268-存条明细!E268*存条明细!F268)&gt;0.005,1,0),0)</f>
        <v>0</v>
      </c>
    </row>
    <row r="269">
      <c r="A269">
        <f>IF(OR(存条明细!C269="",存条明细!D269=""),"",IF(COUNTIFS(存条明细!$C$4:C269,存条明细!C269,存条明细!$D$4:D269,存条明细!D269)&gt;1,"",IFERROR(MATCH(存条明细!C269,总览汇总!$B$5:$B$304,0),900)*10000000+IFERROR(MATCH(存条明细!D269,基础资料!$E$5:$E$104,0),900)*10000+ROW()))</f>
      </c>
      <c r="B269">
        <f>IFERROR(MATCH(SMALL($A$4:$A$4003,266),$A$4:$A$4003,0),"")</f>
        <v>238</v>
      </c>
      <c r="D269">
        <f>IF(AND(商品库存!B269&lt;&gt;"",商品库存!B269=客户查询!$B$4),COUNTIF(商品库存!$B$4:B269,客户查询!$B$4),"")</f>
      </c>
      <c r="E269">
        <f>IF(AND(商品库存!B269&lt;&gt;"",商品库存!B269=客户对账单!$B$4),COUNTIF(商品库存!$B$4:B269,客户对账单!$B$4),"")</f>
      </c>
      <c r="F269">
        <f>IF(AND(出库明细!C269&lt;&gt;"",出库明细!C269=客户对账单!$B$4,ISNUMBER(出库明细!B269),出库明细!B269&gt;=客户对账单!$G$4,出库明细!B269&lt;=客户对账单!$I$4),出库明细!B269+ROW()/100000,"")</f>
      </c>
      <c r="H269">
        <f>IF(AND(采购进货!C269&lt;&gt;"",采购进货!C269=供应商对账单!$B$4,ISNUMBER(采购进货!B269),采购进货!B269&gt;=供应商对账单!$G$4,采购进货!B269&lt;=供应商对账单!$I$4),采购进货!B269+ROW()/100000,"")</f>
      </c>
      <c r="J269">
        <f>IF(总览汇总!$B269="","",N(总览汇总!$K269)+SUMIFS(出库明细!$G$4:$G$3003,出库明细!$C$4:$C$3003,总览汇总!$B269,出库明细!$B$4:$B$3003,"&gt;="&amp;年初日,出库明细!$B$4:$B$3003,"&lt;="&amp;资产负债表!$D$3)-SUMIFS(资金台帐!$S$7:$S$3006,资金台帐!$J$7:$J$3006,总览汇总!$B269,资金台帐!$P$7:$P$3006,"应收",资金台帐!$B$7:$B$3006,"&gt;="&amp;年初日,资金台帐!$B$7:$B$3006,"&lt;="&amp;资产负债表!$D$3))</f>
      </c>
      <c r="N269">
        <f>IF(AND(ISNUMBER(出库明细!G269),ISNUMBER(出库明细!E269),ISNUMBER(出库明细!F269)),IF(ABS(出库明细!G269-出库明细!E269*出库明细!F269)&gt;0.005,1,0),0)</f>
        <v>0</v>
      </c>
      <c r="O269">
        <f>IF(AND(ISNUMBER(存条明细!G269),ISNUMBER(存条明细!E269),ISNUMBER(存条明细!F269)),IF(ABS(存条明细!G269-存条明细!E269*存条明细!F269)&gt;0.005,1,0),0)</f>
        <v>0</v>
      </c>
    </row>
    <row r="270">
      <c r="A270">
        <f>IF(OR(存条明细!C270="",存条明细!D270=""),"",IF(COUNTIFS(存条明细!$C$4:C270,存条明细!C270,存条明细!$D$4:D270,存条明细!D270)&gt;1,"",IFERROR(MATCH(存条明细!C270,总览汇总!$B$5:$B$304,0),900)*10000000+IFERROR(MATCH(存条明细!D270,基础资料!$E$5:$E$104,0),900)*10000+ROW()))</f>
      </c>
      <c r="B270">
        <f>IFERROR(MATCH(SMALL($A$4:$A$4003,267),$A$4:$A$4003,0),"")</f>
        <v>239</v>
      </c>
      <c r="D270">
        <f>IF(AND(商品库存!B270&lt;&gt;"",商品库存!B270=客户查询!$B$4),COUNTIF(商品库存!$B$4:B270,客户查询!$B$4),"")</f>
      </c>
      <c r="E270">
        <f>IF(AND(商品库存!B270&lt;&gt;"",商品库存!B270=客户对账单!$B$4),COUNTIF(商品库存!$B$4:B270,客户对账单!$B$4),"")</f>
      </c>
      <c r="F270">
        <f>IF(AND(出库明细!C270&lt;&gt;"",出库明细!C270=客户对账单!$B$4,ISNUMBER(出库明细!B270),出库明细!B270&gt;=客户对账单!$G$4,出库明细!B270&lt;=客户对账单!$I$4),出库明细!B270+ROW()/100000,"")</f>
      </c>
      <c r="H270">
        <f>IF(AND(采购进货!C270&lt;&gt;"",采购进货!C270=供应商对账单!$B$4,ISNUMBER(采购进货!B270),采购进货!B270&gt;=供应商对账单!$G$4,采购进货!B270&lt;=供应商对账单!$I$4),采购进货!B270+ROW()/100000,"")</f>
      </c>
      <c r="J270">
        <f>IF(总览汇总!$B270="","",N(总览汇总!$K270)+SUMIFS(出库明细!$G$4:$G$3003,出库明细!$C$4:$C$3003,总览汇总!$B270,出库明细!$B$4:$B$3003,"&gt;="&amp;年初日,出库明细!$B$4:$B$3003,"&lt;="&amp;资产负债表!$D$3)-SUMIFS(资金台帐!$S$7:$S$3006,资金台帐!$J$7:$J$3006,总览汇总!$B270,资金台帐!$P$7:$P$3006,"应收",资金台帐!$B$7:$B$3006,"&gt;="&amp;年初日,资金台帐!$B$7:$B$3006,"&lt;="&amp;资产负债表!$D$3))</f>
      </c>
      <c r="N270">
        <f>IF(AND(ISNUMBER(出库明细!G270),ISNUMBER(出库明细!E270),ISNUMBER(出库明细!F270)),IF(ABS(出库明细!G270-出库明细!E270*出库明细!F270)&gt;0.005,1,0),0)</f>
        <v>0</v>
      </c>
      <c r="O270">
        <f>IF(AND(ISNUMBER(存条明细!G270),ISNUMBER(存条明细!E270),ISNUMBER(存条明细!F270)),IF(ABS(存条明细!G270-存条明细!E270*存条明细!F270)&gt;0.005,1,0),0)</f>
        <v>0</v>
      </c>
    </row>
    <row r="271">
      <c r="A271">
        <f>IF(OR(存条明细!C271="",存条明细!D271=""),"",IF(COUNTIFS(存条明细!$C$4:C271,存条明细!C271,存条明细!$D$4:D271,存条明细!D271)&gt;1,"",IFERROR(MATCH(存条明细!C271,总览汇总!$B$5:$B$304,0),900)*10000000+IFERROR(MATCH(存条明细!D271,基础资料!$E$5:$E$104,0),900)*10000+ROW()))</f>
      </c>
      <c r="B271">
        <f>IFERROR(MATCH(SMALL($A$4:$A$4003,268),$A$4:$A$4003,0),"")</f>
        <v>240</v>
      </c>
      <c r="D271">
        <f>IF(AND(商品库存!B271&lt;&gt;"",商品库存!B271=客户查询!$B$4),COUNTIF(商品库存!$B$4:B271,客户查询!$B$4),"")</f>
      </c>
      <c r="E271">
        <f>IF(AND(商品库存!B271&lt;&gt;"",商品库存!B271=客户对账单!$B$4),COUNTIF(商品库存!$B$4:B271,客户对账单!$B$4),"")</f>
      </c>
      <c r="F271">
        <f>IF(AND(出库明细!C271&lt;&gt;"",出库明细!C271=客户对账单!$B$4,ISNUMBER(出库明细!B271),出库明细!B271&gt;=客户对账单!$G$4,出库明细!B271&lt;=客户对账单!$I$4),出库明细!B271+ROW()/100000,"")</f>
      </c>
      <c r="H271">
        <f>IF(AND(采购进货!C271&lt;&gt;"",采购进货!C271=供应商对账单!$B$4,ISNUMBER(采购进货!B271),采购进货!B271&gt;=供应商对账单!$G$4,采购进货!B271&lt;=供应商对账单!$I$4),采购进货!B271+ROW()/100000,"")</f>
      </c>
      <c r="J271">
        <f>IF(总览汇总!$B271="","",N(总览汇总!$K271)+SUMIFS(出库明细!$G$4:$G$3003,出库明细!$C$4:$C$3003,总览汇总!$B271,出库明细!$B$4:$B$3003,"&gt;="&amp;年初日,出库明细!$B$4:$B$3003,"&lt;="&amp;资产负债表!$D$3)-SUMIFS(资金台帐!$S$7:$S$3006,资金台帐!$J$7:$J$3006,总览汇总!$B271,资金台帐!$P$7:$P$3006,"应收",资金台帐!$B$7:$B$3006,"&gt;="&amp;年初日,资金台帐!$B$7:$B$3006,"&lt;="&amp;资产负债表!$D$3))</f>
      </c>
      <c r="N271">
        <f>IF(AND(ISNUMBER(出库明细!G271),ISNUMBER(出库明细!E271),ISNUMBER(出库明细!F271)),IF(ABS(出库明细!G271-出库明细!E271*出库明细!F271)&gt;0.005,1,0),0)</f>
        <v>0</v>
      </c>
      <c r="O271">
        <f>IF(AND(ISNUMBER(存条明细!G271),ISNUMBER(存条明细!E271),ISNUMBER(存条明细!F271)),IF(ABS(存条明细!G271-存条明细!E271*存条明细!F271)&gt;0.005,1,0),0)</f>
        <v>0</v>
      </c>
    </row>
    <row r="272">
      <c r="A272">
        <f>IF(OR(存条明细!C272="",存条明细!D272=""),"",IF(COUNTIFS(存条明细!$C$4:C272,存条明细!C272,存条明细!$D$4:D272,存条明细!D272)&gt;1,"",IFERROR(MATCH(存条明细!C272,总览汇总!$B$5:$B$304,0),900)*10000000+IFERROR(MATCH(存条明细!D272,基础资料!$E$5:$E$104,0),900)*10000+ROW()))</f>
      </c>
      <c r="B272">
        <f>IFERROR(MATCH(SMALL($A$4:$A$4003,269),$A$4:$A$4003,0),"")</f>
        <v>241</v>
      </c>
      <c r="D272">
        <f>IF(AND(商品库存!B272&lt;&gt;"",商品库存!B272=客户查询!$B$4),COUNTIF(商品库存!$B$4:B272,客户查询!$B$4),"")</f>
      </c>
      <c r="E272">
        <f>IF(AND(商品库存!B272&lt;&gt;"",商品库存!B272=客户对账单!$B$4),COUNTIF(商品库存!$B$4:B272,客户对账单!$B$4),"")</f>
      </c>
      <c r="F272">
        <f>IF(AND(出库明细!C272&lt;&gt;"",出库明细!C272=客户对账单!$B$4,ISNUMBER(出库明细!B272),出库明细!B272&gt;=客户对账单!$G$4,出库明细!B272&lt;=客户对账单!$I$4),出库明细!B272+ROW()/100000,"")</f>
      </c>
      <c r="H272">
        <f>IF(AND(采购进货!C272&lt;&gt;"",采购进货!C272=供应商对账单!$B$4,ISNUMBER(采购进货!B272),采购进货!B272&gt;=供应商对账单!$G$4,采购进货!B272&lt;=供应商对账单!$I$4),采购进货!B272+ROW()/100000,"")</f>
      </c>
      <c r="J272">
        <f>IF(总览汇总!$B272="","",N(总览汇总!$K272)+SUMIFS(出库明细!$G$4:$G$3003,出库明细!$C$4:$C$3003,总览汇总!$B272,出库明细!$B$4:$B$3003,"&gt;="&amp;年初日,出库明细!$B$4:$B$3003,"&lt;="&amp;资产负债表!$D$3)-SUMIFS(资金台帐!$S$7:$S$3006,资金台帐!$J$7:$J$3006,总览汇总!$B272,资金台帐!$P$7:$P$3006,"应收",资金台帐!$B$7:$B$3006,"&gt;="&amp;年初日,资金台帐!$B$7:$B$3006,"&lt;="&amp;资产负债表!$D$3))</f>
      </c>
      <c r="N272">
        <f>IF(AND(ISNUMBER(出库明细!G272),ISNUMBER(出库明细!E272),ISNUMBER(出库明细!F272)),IF(ABS(出库明细!G272-出库明细!E272*出库明细!F272)&gt;0.005,1,0),0)</f>
        <v>0</v>
      </c>
      <c r="O272">
        <f>IF(AND(ISNUMBER(存条明细!G272),ISNUMBER(存条明细!E272),ISNUMBER(存条明细!F272)),IF(ABS(存条明细!G272-存条明细!E272*存条明细!F272)&gt;0.005,1,0),0)</f>
        <v>0</v>
      </c>
    </row>
    <row r="273">
      <c r="A273">
        <f>IF(OR(存条明细!C273="",存条明细!D273=""),"",IF(COUNTIFS(存条明细!$C$4:C273,存条明细!C273,存条明细!$D$4:D273,存条明细!D273)&gt;1,"",IFERROR(MATCH(存条明细!C273,总览汇总!$B$5:$B$304,0),900)*10000000+IFERROR(MATCH(存条明细!D273,基础资料!$E$5:$E$104,0),900)*10000+ROW()))</f>
      </c>
      <c r="B273">
        <f>IFERROR(MATCH(SMALL($A$4:$A$4003,270),$A$4:$A$4003,0),"")</f>
        <v>206</v>
      </c>
      <c r="D273">
        <f>IF(AND(商品库存!B273&lt;&gt;"",商品库存!B273=客户查询!$B$4),COUNTIF(商品库存!$B$4:B273,客户查询!$B$4),"")</f>
      </c>
      <c r="E273">
        <f>IF(AND(商品库存!B273&lt;&gt;"",商品库存!B273=客户对账单!$B$4),COUNTIF(商品库存!$B$4:B273,客户对账单!$B$4),"")</f>
      </c>
      <c r="F273">
        <f>IF(AND(出库明细!C273&lt;&gt;"",出库明细!C273=客户对账单!$B$4,ISNUMBER(出库明细!B273),出库明细!B273&gt;=客户对账单!$G$4,出库明细!B273&lt;=客户对账单!$I$4),出库明细!B273+ROW()/100000,"")</f>
      </c>
      <c r="H273">
        <f>IF(AND(采购进货!C273&lt;&gt;"",采购进货!C273=供应商对账单!$B$4,ISNUMBER(采购进货!B273),采购进货!B273&gt;=供应商对账单!$G$4,采购进货!B273&lt;=供应商对账单!$I$4),采购进货!B273+ROW()/100000,"")</f>
      </c>
      <c r="J273">
        <f>IF(总览汇总!$B273="","",N(总览汇总!$K273)+SUMIFS(出库明细!$G$4:$G$3003,出库明细!$C$4:$C$3003,总览汇总!$B273,出库明细!$B$4:$B$3003,"&gt;="&amp;年初日,出库明细!$B$4:$B$3003,"&lt;="&amp;资产负债表!$D$3)-SUMIFS(资金台帐!$S$7:$S$3006,资金台帐!$J$7:$J$3006,总览汇总!$B273,资金台帐!$P$7:$P$3006,"应收",资金台帐!$B$7:$B$3006,"&gt;="&amp;年初日,资金台帐!$B$7:$B$3006,"&lt;="&amp;资产负债表!$D$3))</f>
      </c>
      <c r="N273">
        <f>IF(AND(ISNUMBER(出库明细!G273),ISNUMBER(出库明细!E273),ISNUMBER(出库明细!F273)),IF(ABS(出库明细!G273-出库明细!E273*出库明细!F273)&gt;0.005,1,0),0)</f>
        <v>0</v>
      </c>
      <c r="O273">
        <f>IF(AND(ISNUMBER(存条明细!G273),ISNUMBER(存条明细!E273),ISNUMBER(存条明细!F273)),IF(ABS(存条明细!G273-存条明细!E273*存条明细!F273)&gt;0.005,1,0),0)</f>
        <v>0</v>
      </c>
    </row>
    <row r="274">
      <c r="A274">
        <f>IF(OR(存条明细!C274="",存条明细!D274=""),"",IF(COUNTIFS(存条明细!$C$4:C274,存条明细!C274,存条明细!$D$4:D274,存条明细!D274)&gt;1,"",IFERROR(MATCH(存条明细!C274,总览汇总!$B$5:$B$304,0),900)*10000000+IFERROR(MATCH(存条明细!D274,基础资料!$E$5:$E$104,0),900)*10000+ROW()))</f>
      </c>
      <c r="B274">
        <f>IFERROR(MATCH(SMALL($A$4:$A$4003,271),$A$4:$A$4003,0),"")</f>
        <v>207</v>
      </c>
      <c r="D274">
        <f>IF(AND(商品库存!B274&lt;&gt;"",商品库存!B274=客户查询!$B$4),COUNTIF(商品库存!$B$4:B274,客户查询!$B$4),"")</f>
      </c>
      <c r="E274">
        <f>IF(AND(商品库存!B274&lt;&gt;"",商品库存!B274=客户对账单!$B$4),COUNTIF(商品库存!$B$4:B274,客户对账单!$B$4),"")</f>
      </c>
      <c r="F274">
        <f>IF(AND(出库明细!C274&lt;&gt;"",出库明细!C274=客户对账单!$B$4,ISNUMBER(出库明细!B274),出库明细!B274&gt;=客户对账单!$G$4,出库明细!B274&lt;=客户对账单!$I$4),出库明细!B274+ROW()/100000,"")</f>
      </c>
      <c r="H274">
        <f>IF(AND(采购进货!C274&lt;&gt;"",采购进货!C274=供应商对账单!$B$4,ISNUMBER(采购进货!B274),采购进货!B274&gt;=供应商对账单!$G$4,采购进货!B274&lt;=供应商对账单!$I$4),采购进货!B274+ROW()/100000,"")</f>
      </c>
      <c r="J274">
        <f>IF(总览汇总!$B274="","",N(总览汇总!$K274)+SUMIFS(出库明细!$G$4:$G$3003,出库明细!$C$4:$C$3003,总览汇总!$B274,出库明细!$B$4:$B$3003,"&gt;="&amp;年初日,出库明细!$B$4:$B$3003,"&lt;="&amp;资产负债表!$D$3)-SUMIFS(资金台帐!$S$7:$S$3006,资金台帐!$J$7:$J$3006,总览汇总!$B274,资金台帐!$P$7:$P$3006,"应收",资金台帐!$B$7:$B$3006,"&gt;="&amp;年初日,资金台帐!$B$7:$B$3006,"&lt;="&amp;资产负债表!$D$3))</f>
      </c>
      <c r="N274">
        <f>IF(AND(ISNUMBER(出库明细!G274),ISNUMBER(出库明细!E274),ISNUMBER(出库明细!F274)),IF(ABS(出库明细!G274-出库明细!E274*出库明细!F274)&gt;0.005,1,0),0)</f>
        <v>0</v>
      </c>
      <c r="O274">
        <f>IF(AND(ISNUMBER(存条明细!G274),ISNUMBER(存条明细!E274),ISNUMBER(存条明细!F274)),IF(ABS(存条明细!G274-存条明细!E274*存条明细!F274)&gt;0.005,1,0),0)</f>
        <v>0</v>
      </c>
    </row>
    <row r="275">
      <c r="A275">
        <f>IF(OR(存条明细!C275="",存条明细!D275=""),"",IF(COUNTIFS(存条明细!$C$4:C275,存条明细!C275,存条明细!$D$4:D275,存条明细!D275)&gt;1,"",IFERROR(MATCH(存条明细!C275,总览汇总!$B$5:$B$304,0),900)*10000000+IFERROR(MATCH(存条明细!D275,基础资料!$E$5:$E$104,0),900)*10000+ROW()))</f>
      </c>
      <c r="B275">
        <f>IFERROR(MATCH(SMALL($A$4:$A$4003,272),$A$4:$A$4003,0),"")</f>
      </c>
      <c r="D275">
        <f>IF(AND(商品库存!B275&lt;&gt;"",商品库存!B275=客户查询!$B$4),COUNTIF(商品库存!$B$4:B275,客户查询!$B$4),"")</f>
      </c>
      <c r="E275">
        <f>IF(AND(商品库存!B275&lt;&gt;"",商品库存!B275=客户对账单!$B$4),COUNTIF(商品库存!$B$4:B275,客户对账单!$B$4),"")</f>
      </c>
      <c r="F275">
        <f>IF(AND(出库明细!C275&lt;&gt;"",出库明细!C275=客户对账单!$B$4,ISNUMBER(出库明细!B275),出库明细!B275&gt;=客户对账单!$G$4,出库明细!B275&lt;=客户对账单!$I$4),出库明细!B275+ROW()/100000,"")</f>
      </c>
      <c r="H275">
        <f>IF(AND(采购进货!C275&lt;&gt;"",采购进货!C275=供应商对账单!$B$4,ISNUMBER(采购进货!B275),采购进货!B275&gt;=供应商对账单!$G$4,采购进货!B275&lt;=供应商对账单!$I$4),采购进货!B275+ROW()/100000,"")</f>
      </c>
      <c r="J275">
        <f>IF(总览汇总!$B275="","",N(总览汇总!$K275)+SUMIFS(出库明细!$G$4:$G$3003,出库明细!$C$4:$C$3003,总览汇总!$B275,出库明细!$B$4:$B$3003,"&gt;="&amp;年初日,出库明细!$B$4:$B$3003,"&lt;="&amp;资产负债表!$D$3)-SUMIFS(资金台帐!$S$7:$S$3006,资金台帐!$J$7:$J$3006,总览汇总!$B275,资金台帐!$P$7:$P$3006,"应收",资金台帐!$B$7:$B$3006,"&gt;="&amp;年初日,资金台帐!$B$7:$B$3006,"&lt;="&amp;资产负债表!$D$3))</f>
      </c>
      <c r="N275">
        <f>IF(AND(ISNUMBER(出库明细!G275),ISNUMBER(出库明细!E275),ISNUMBER(出库明细!F275)),IF(ABS(出库明细!G275-出库明细!E275*出库明细!F275)&gt;0.005,1,0),0)</f>
        <v>0</v>
      </c>
      <c r="O275">
        <f>IF(AND(ISNUMBER(存条明细!G275),ISNUMBER(存条明细!E275),ISNUMBER(存条明细!F275)),IF(ABS(存条明细!G275-存条明细!E275*存条明细!F275)&gt;0.005,1,0),0)</f>
        <v>0</v>
      </c>
    </row>
    <row r="276">
      <c r="A276">
        <f>IF(OR(存条明细!C276="",存条明细!D276=""),"",IF(COUNTIFS(存条明细!$C$4:C276,存条明细!C276,存条明细!$D$4:D276,存条明细!D276)&gt;1,"",IFERROR(MATCH(存条明细!C276,总览汇总!$B$5:$B$304,0),900)*10000000+IFERROR(MATCH(存条明细!D276,基础资料!$E$5:$E$104,0),900)*10000+ROW()))</f>
      </c>
      <c r="B276">
        <f>IFERROR(MATCH(SMALL($A$4:$A$4003,273),$A$4:$A$4003,0),"")</f>
      </c>
      <c r="D276">
        <f>IF(AND(商品库存!B276&lt;&gt;"",商品库存!B276=客户查询!$B$4),COUNTIF(商品库存!$B$4:B276,客户查询!$B$4),"")</f>
      </c>
      <c r="E276">
        <f>IF(AND(商品库存!B276&lt;&gt;"",商品库存!B276=客户对账单!$B$4),COUNTIF(商品库存!$B$4:B276,客户对账单!$B$4),"")</f>
      </c>
      <c r="F276">
        <f>IF(AND(出库明细!C276&lt;&gt;"",出库明细!C276=客户对账单!$B$4,ISNUMBER(出库明细!B276),出库明细!B276&gt;=客户对账单!$G$4,出库明细!B276&lt;=客户对账单!$I$4),出库明细!B276+ROW()/100000,"")</f>
      </c>
      <c r="H276">
        <f>IF(AND(采购进货!C276&lt;&gt;"",采购进货!C276=供应商对账单!$B$4,ISNUMBER(采购进货!B276),采购进货!B276&gt;=供应商对账单!$G$4,采购进货!B276&lt;=供应商对账单!$I$4),采购进货!B276+ROW()/100000,"")</f>
      </c>
      <c r="J276">
        <f>IF(总览汇总!$B276="","",N(总览汇总!$K276)+SUMIFS(出库明细!$G$4:$G$3003,出库明细!$C$4:$C$3003,总览汇总!$B276,出库明细!$B$4:$B$3003,"&gt;="&amp;年初日,出库明细!$B$4:$B$3003,"&lt;="&amp;资产负债表!$D$3)-SUMIFS(资金台帐!$S$7:$S$3006,资金台帐!$J$7:$J$3006,总览汇总!$B276,资金台帐!$P$7:$P$3006,"应收",资金台帐!$B$7:$B$3006,"&gt;="&amp;年初日,资金台帐!$B$7:$B$3006,"&lt;="&amp;资产负债表!$D$3))</f>
      </c>
      <c r="N276">
        <f>IF(AND(ISNUMBER(出库明细!G276),ISNUMBER(出库明细!E276),ISNUMBER(出库明细!F276)),IF(ABS(出库明细!G276-出库明细!E276*出库明细!F276)&gt;0.005,1,0),0)</f>
        <v>0</v>
      </c>
      <c r="O276">
        <f>IF(AND(ISNUMBER(存条明细!G276),ISNUMBER(存条明细!E276),ISNUMBER(存条明细!F276)),IF(ABS(存条明细!G276-存条明细!E276*存条明细!F276)&gt;0.005,1,0),0)</f>
        <v>0</v>
      </c>
    </row>
    <row r="277">
      <c r="A277">
        <f>IF(OR(存条明细!C277="",存条明细!D277=""),"",IF(COUNTIFS(存条明细!$C$4:C277,存条明细!C277,存条明细!$D$4:D277,存条明细!D277)&gt;1,"",IFERROR(MATCH(存条明细!C277,总览汇总!$B$5:$B$304,0),900)*10000000+IFERROR(MATCH(存条明细!D277,基础资料!$E$5:$E$104,0),900)*10000+ROW()))</f>
      </c>
      <c r="B277">
        <f>IFERROR(MATCH(SMALL($A$4:$A$4003,274),$A$4:$A$4003,0),"")</f>
      </c>
      <c r="D277">
        <f>IF(AND(商品库存!B277&lt;&gt;"",商品库存!B277=客户查询!$B$4),COUNTIF(商品库存!$B$4:B277,客户查询!$B$4),"")</f>
      </c>
      <c r="E277">
        <f>IF(AND(商品库存!B277&lt;&gt;"",商品库存!B277=客户对账单!$B$4),COUNTIF(商品库存!$B$4:B277,客户对账单!$B$4),"")</f>
      </c>
      <c r="F277">
        <f>IF(AND(出库明细!C277&lt;&gt;"",出库明细!C277=客户对账单!$B$4,ISNUMBER(出库明细!B277),出库明细!B277&gt;=客户对账单!$G$4,出库明细!B277&lt;=客户对账单!$I$4),出库明细!B277+ROW()/100000,"")</f>
      </c>
      <c r="H277">
        <f>IF(AND(采购进货!C277&lt;&gt;"",采购进货!C277=供应商对账单!$B$4,ISNUMBER(采购进货!B277),采购进货!B277&gt;=供应商对账单!$G$4,采购进货!B277&lt;=供应商对账单!$I$4),采购进货!B277+ROW()/100000,"")</f>
      </c>
      <c r="J277">
        <f>IF(总览汇总!$B277="","",N(总览汇总!$K277)+SUMIFS(出库明细!$G$4:$G$3003,出库明细!$C$4:$C$3003,总览汇总!$B277,出库明细!$B$4:$B$3003,"&gt;="&amp;年初日,出库明细!$B$4:$B$3003,"&lt;="&amp;资产负债表!$D$3)-SUMIFS(资金台帐!$S$7:$S$3006,资金台帐!$J$7:$J$3006,总览汇总!$B277,资金台帐!$P$7:$P$3006,"应收",资金台帐!$B$7:$B$3006,"&gt;="&amp;年初日,资金台帐!$B$7:$B$3006,"&lt;="&amp;资产负债表!$D$3))</f>
      </c>
      <c r="N277">
        <f>IF(AND(ISNUMBER(出库明细!G277),ISNUMBER(出库明细!E277),ISNUMBER(出库明细!F277)),IF(ABS(出库明细!G277-出库明细!E277*出库明细!F277)&gt;0.005,1,0),0)</f>
        <v>0</v>
      </c>
      <c r="O277">
        <f>IF(AND(ISNUMBER(存条明细!G277),ISNUMBER(存条明细!E277),ISNUMBER(存条明细!F277)),IF(ABS(存条明细!G277-存条明细!E277*存条明细!F277)&gt;0.005,1,0),0)</f>
        <v>0</v>
      </c>
    </row>
    <row r="278">
      <c r="A278">
        <f>IF(OR(存条明细!C278="",存条明细!D278=""),"",IF(COUNTIFS(存条明细!$C$4:C278,存条明细!C278,存条明细!$D$4:D278,存条明细!D278)&gt;1,"",IFERROR(MATCH(存条明细!C278,总览汇总!$B$5:$B$304,0),900)*10000000+IFERROR(MATCH(存条明细!D278,基础资料!$E$5:$E$104,0),900)*10000+ROW()))</f>
      </c>
      <c r="B278">
        <f>IFERROR(MATCH(SMALL($A$4:$A$4003,275),$A$4:$A$4003,0),"")</f>
      </c>
      <c r="D278">
        <f>IF(AND(商品库存!B278&lt;&gt;"",商品库存!B278=客户查询!$B$4),COUNTIF(商品库存!$B$4:B278,客户查询!$B$4),"")</f>
      </c>
      <c r="E278">
        <f>IF(AND(商品库存!B278&lt;&gt;"",商品库存!B278=客户对账单!$B$4),COUNTIF(商品库存!$B$4:B278,客户对账单!$B$4),"")</f>
      </c>
      <c r="F278">
        <f>IF(AND(出库明细!C278&lt;&gt;"",出库明细!C278=客户对账单!$B$4,ISNUMBER(出库明细!B278),出库明细!B278&gt;=客户对账单!$G$4,出库明细!B278&lt;=客户对账单!$I$4),出库明细!B278+ROW()/100000,"")</f>
      </c>
      <c r="H278">
        <f>IF(AND(采购进货!C278&lt;&gt;"",采购进货!C278=供应商对账单!$B$4,ISNUMBER(采购进货!B278),采购进货!B278&gt;=供应商对账单!$G$4,采购进货!B278&lt;=供应商对账单!$I$4),采购进货!B278+ROW()/100000,"")</f>
      </c>
      <c r="J278">
        <f>IF(总览汇总!$B278="","",N(总览汇总!$K278)+SUMIFS(出库明细!$G$4:$G$3003,出库明细!$C$4:$C$3003,总览汇总!$B278,出库明细!$B$4:$B$3003,"&gt;="&amp;年初日,出库明细!$B$4:$B$3003,"&lt;="&amp;资产负债表!$D$3)-SUMIFS(资金台帐!$S$7:$S$3006,资金台帐!$J$7:$J$3006,总览汇总!$B278,资金台帐!$P$7:$P$3006,"应收",资金台帐!$B$7:$B$3006,"&gt;="&amp;年初日,资金台帐!$B$7:$B$3006,"&lt;="&amp;资产负债表!$D$3))</f>
      </c>
      <c r="N278">
        <f>IF(AND(ISNUMBER(出库明细!G278),ISNUMBER(出库明细!E278),ISNUMBER(出库明细!F278)),IF(ABS(出库明细!G278-出库明细!E278*出库明细!F278)&gt;0.005,1,0),0)</f>
        <v>0</v>
      </c>
      <c r="O278">
        <f>IF(AND(ISNUMBER(存条明细!G278),ISNUMBER(存条明细!E278),ISNUMBER(存条明细!F278)),IF(ABS(存条明细!G278-存条明细!E278*存条明细!F278)&gt;0.005,1,0),0)</f>
        <v>0</v>
      </c>
    </row>
    <row r="279">
      <c r="A279">
        <f>IF(OR(存条明细!C279="",存条明细!D279=""),"",IF(COUNTIFS(存条明细!$C$4:C279,存条明细!C279,存条明细!$D$4:D279,存条明细!D279)&gt;1,"",IFERROR(MATCH(存条明细!C279,总览汇总!$B$5:$B$304,0),900)*10000000+IFERROR(MATCH(存条明细!D279,基础资料!$E$5:$E$104,0),900)*10000+ROW()))</f>
      </c>
      <c r="B279">
        <f>IFERROR(MATCH(SMALL($A$4:$A$4003,276),$A$4:$A$4003,0),"")</f>
      </c>
      <c r="D279">
        <f>IF(AND(商品库存!B279&lt;&gt;"",商品库存!B279=客户查询!$B$4),COUNTIF(商品库存!$B$4:B279,客户查询!$B$4),"")</f>
      </c>
      <c r="E279">
        <f>IF(AND(商品库存!B279&lt;&gt;"",商品库存!B279=客户对账单!$B$4),COUNTIF(商品库存!$B$4:B279,客户对账单!$B$4),"")</f>
      </c>
      <c r="F279">
        <f>IF(AND(出库明细!C279&lt;&gt;"",出库明细!C279=客户对账单!$B$4,ISNUMBER(出库明细!B279),出库明细!B279&gt;=客户对账单!$G$4,出库明细!B279&lt;=客户对账单!$I$4),出库明细!B279+ROW()/100000,"")</f>
      </c>
      <c r="H279">
        <f>IF(AND(采购进货!C279&lt;&gt;"",采购进货!C279=供应商对账单!$B$4,ISNUMBER(采购进货!B279),采购进货!B279&gt;=供应商对账单!$G$4,采购进货!B279&lt;=供应商对账单!$I$4),采购进货!B279+ROW()/100000,"")</f>
      </c>
      <c r="J279">
        <f>IF(总览汇总!$B279="","",N(总览汇总!$K279)+SUMIFS(出库明细!$G$4:$G$3003,出库明细!$C$4:$C$3003,总览汇总!$B279,出库明细!$B$4:$B$3003,"&gt;="&amp;年初日,出库明细!$B$4:$B$3003,"&lt;="&amp;资产负债表!$D$3)-SUMIFS(资金台帐!$S$7:$S$3006,资金台帐!$J$7:$J$3006,总览汇总!$B279,资金台帐!$P$7:$P$3006,"应收",资金台帐!$B$7:$B$3006,"&gt;="&amp;年初日,资金台帐!$B$7:$B$3006,"&lt;="&amp;资产负债表!$D$3))</f>
      </c>
      <c r="N279">
        <f>IF(AND(ISNUMBER(出库明细!G279),ISNUMBER(出库明细!E279),ISNUMBER(出库明细!F279)),IF(ABS(出库明细!G279-出库明细!E279*出库明细!F279)&gt;0.005,1,0),0)</f>
        <v>0</v>
      </c>
      <c r="O279">
        <f>IF(AND(ISNUMBER(存条明细!G279),ISNUMBER(存条明细!E279),ISNUMBER(存条明细!F279)),IF(ABS(存条明细!G279-存条明细!E279*存条明细!F279)&gt;0.005,1,0),0)</f>
        <v>0</v>
      </c>
    </row>
    <row r="280">
      <c r="A280">
        <f>IF(OR(存条明细!C280="",存条明细!D280=""),"",IF(COUNTIFS(存条明细!$C$4:C280,存条明细!C280,存条明细!$D$4:D280,存条明细!D280)&gt;1,"",IFERROR(MATCH(存条明细!C280,总览汇总!$B$5:$B$304,0),900)*10000000+IFERROR(MATCH(存条明细!D280,基础资料!$E$5:$E$104,0),900)*10000+ROW()))</f>
      </c>
      <c r="B280">
        <f>IFERROR(MATCH(SMALL($A$4:$A$4003,277),$A$4:$A$4003,0),"")</f>
      </c>
      <c r="D280">
        <f>IF(AND(商品库存!B280&lt;&gt;"",商品库存!B280=客户查询!$B$4),COUNTIF(商品库存!$B$4:B280,客户查询!$B$4),"")</f>
      </c>
      <c r="E280">
        <f>IF(AND(商品库存!B280&lt;&gt;"",商品库存!B280=客户对账单!$B$4),COUNTIF(商品库存!$B$4:B280,客户对账单!$B$4),"")</f>
      </c>
      <c r="F280">
        <f>IF(AND(出库明细!C280&lt;&gt;"",出库明细!C280=客户对账单!$B$4,ISNUMBER(出库明细!B280),出库明细!B280&gt;=客户对账单!$G$4,出库明细!B280&lt;=客户对账单!$I$4),出库明细!B280+ROW()/100000,"")</f>
      </c>
      <c r="H280">
        <f>IF(AND(采购进货!C280&lt;&gt;"",采购进货!C280=供应商对账单!$B$4,ISNUMBER(采购进货!B280),采购进货!B280&gt;=供应商对账单!$G$4,采购进货!B280&lt;=供应商对账单!$I$4),采购进货!B280+ROW()/100000,"")</f>
      </c>
      <c r="J280">
        <f>IF(总览汇总!$B280="","",N(总览汇总!$K280)+SUMIFS(出库明细!$G$4:$G$3003,出库明细!$C$4:$C$3003,总览汇总!$B280,出库明细!$B$4:$B$3003,"&gt;="&amp;年初日,出库明细!$B$4:$B$3003,"&lt;="&amp;资产负债表!$D$3)-SUMIFS(资金台帐!$S$7:$S$3006,资金台帐!$J$7:$J$3006,总览汇总!$B280,资金台帐!$P$7:$P$3006,"应收",资金台帐!$B$7:$B$3006,"&gt;="&amp;年初日,资金台帐!$B$7:$B$3006,"&lt;="&amp;资产负债表!$D$3))</f>
      </c>
      <c r="N280">
        <f>IF(AND(ISNUMBER(出库明细!G280),ISNUMBER(出库明细!E280),ISNUMBER(出库明细!F280)),IF(ABS(出库明细!G280-出库明细!E280*出库明细!F280)&gt;0.005,1,0),0)</f>
        <v>0</v>
      </c>
      <c r="O280">
        <f>IF(AND(ISNUMBER(存条明细!G280),ISNUMBER(存条明细!E280),ISNUMBER(存条明细!F280)),IF(ABS(存条明细!G280-存条明细!E280*存条明细!F280)&gt;0.005,1,0),0)</f>
        <v>0</v>
      </c>
    </row>
    <row r="281">
      <c r="A281">
        <f>IF(OR(存条明细!C281="",存条明细!D281=""),"",IF(COUNTIFS(存条明细!$C$4:C281,存条明细!C281,存条明细!$D$4:D281,存条明细!D281)&gt;1,"",IFERROR(MATCH(存条明细!C281,总览汇总!$B$5:$B$304,0),900)*10000000+IFERROR(MATCH(存条明细!D281,基础资料!$E$5:$E$104,0),900)*10000+ROW()))</f>
      </c>
      <c r="B281">
        <f>IFERROR(MATCH(SMALL($A$4:$A$4003,278),$A$4:$A$4003,0),"")</f>
      </c>
      <c r="D281">
        <f>IF(AND(商品库存!B281&lt;&gt;"",商品库存!B281=客户查询!$B$4),COUNTIF(商品库存!$B$4:B281,客户查询!$B$4),"")</f>
      </c>
      <c r="E281">
        <f>IF(AND(商品库存!B281&lt;&gt;"",商品库存!B281=客户对账单!$B$4),COUNTIF(商品库存!$B$4:B281,客户对账单!$B$4),"")</f>
      </c>
      <c r="F281">
        <f>IF(AND(出库明细!C281&lt;&gt;"",出库明细!C281=客户对账单!$B$4,ISNUMBER(出库明细!B281),出库明细!B281&gt;=客户对账单!$G$4,出库明细!B281&lt;=客户对账单!$I$4),出库明细!B281+ROW()/100000,"")</f>
      </c>
      <c r="H281">
        <f>IF(AND(采购进货!C281&lt;&gt;"",采购进货!C281=供应商对账单!$B$4,ISNUMBER(采购进货!B281),采购进货!B281&gt;=供应商对账单!$G$4,采购进货!B281&lt;=供应商对账单!$I$4),采购进货!B281+ROW()/100000,"")</f>
      </c>
      <c r="J281">
        <f>IF(总览汇总!$B281="","",N(总览汇总!$K281)+SUMIFS(出库明细!$G$4:$G$3003,出库明细!$C$4:$C$3003,总览汇总!$B281,出库明细!$B$4:$B$3003,"&gt;="&amp;年初日,出库明细!$B$4:$B$3003,"&lt;="&amp;资产负债表!$D$3)-SUMIFS(资金台帐!$S$7:$S$3006,资金台帐!$J$7:$J$3006,总览汇总!$B281,资金台帐!$P$7:$P$3006,"应收",资金台帐!$B$7:$B$3006,"&gt;="&amp;年初日,资金台帐!$B$7:$B$3006,"&lt;="&amp;资产负债表!$D$3))</f>
      </c>
      <c r="N281">
        <f>IF(AND(ISNUMBER(出库明细!G281),ISNUMBER(出库明细!E281),ISNUMBER(出库明细!F281)),IF(ABS(出库明细!G281-出库明细!E281*出库明细!F281)&gt;0.005,1,0),0)</f>
        <v>0</v>
      </c>
      <c r="O281">
        <f>IF(AND(ISNUMBER(存条明细!G281),ISNUMBER(存条明细!E281),ISNUMBER(存条明细!F281)),IF(ABS(存条明细!G281-存条明细!E281*存条明细!F281)&gt;0.005,1,0),0)</f>
        <v>0</v>
      </c>
    </row>
    <row r="282">
      <c r="A282">
        <f>IF(OR(存条明细!C282="",存条明细!D282=""),"",IF(COUNTIFS(存条明细!$C$4:C282,存条明细!C282,存条明细!$D$4:D282,存条明细!D282)&gt;1,"",IFERROR(MATCH(存条明细!C282,总览汇总!$B$5:$B$304,0),900)*10000000+IFERROR(MATCH(存条明细!D282,基础资料!$E$5:$E$104,0),900)*10000+ROW()))</f>
      </c>
      <c r="B282">
        <f>IFERROR(MATCH(SMALL($A$4:$A$4003,279),$A$4:$A$4003,0),"")</f>
      </c>
      <c r="D282">
        <f>IF(AND(商品库存!B282&lt;&gt;"",商品库存!B282=客户查询!$B$4),COUNTIF(商品库存!$B$4:B282,客户查询!$B$4),"")</f>
      </c>
      <c r="E282">
        <f>IF(AND(商品库存!B282&lt;&gt;"",商品库存!B282=客户对账单!$B$4),COUNTIF(商品库存!$B$4:B282,客户对账单!$B$4),"")</f>
      </c>
      <c r="F282">
        <f>IF(AND(出库明细!C282&lt;&gt;"",出库明细!C282=客户对账单!$B$4,ISNUMBER(出库明细!B282),出库明细!B282&gt;=客户对账单!$G$4,出库明细!B282&lt;=客户对账单!$I$4),出库明细!B282+ROW()/100000,"")</f>
      </c>
      <c r="H282">
        <f>IF(AND(采购进货!C282&lt;&gt;"",采购进货!C282=供应商对账单!$B$4,ISNUMBER(采购进货!B282),采购进货!B282&gt;=供应商对账单!$G$4,采购进货!B282&lt;=供应商对账单!$I$4),采购进货!B282+ROW()/100000,"")</f>
      </c>
      <c r="J282">
        <f>IF(总览汇总!$B282="","",N(总览汇总!$K282)+SUMIFS(出库明细!$G$4:$G$3003,出库明细!$C$4:$C$3003,总览汇总!$B282,出库明细!$B$4:$B$3003,"&gt;="&amp;年初日,出库明细!$B$4:$B$3003,"&lt;="&amp;资产负债表!$D$3)-SUMIFS(资金台帐!$S$7:$S$3006,资金台帐!$J$7:$J$3006,总览汇总!$B282,资金台帐!$P$7:$P$3006,"应收",资金台帐!$B$7:$B$3006,"&gt;="&amp;年初日,资金台帐!$B$7:$B$3006,"&lt;="&amp;资产负债表!$D$3))</f>
      </c>
      <c r="N282">
        <f>IF(AND(ISNUMBER(出库明细!G282),ISNUMBER(出库明细!E282),ISNUMBER(出库明细!F282)),IF(ABS(出库明细!G282-出库明细!E282*出库明细!F282)&gt;0.005,1,0),0)</f>
        <v>0</v>
      </c>
      <c r="O282">
        <f>IF(AND(ISNUMBER(存条明细!G282),ISNUMBER(存条明细!E282),ISNUMBER(存条明细!F282)),IF(ABS(存条明细!G282-存条明细!E282*存条明细!F282)&gt;0.005,1,0),0)</f>
        <v>0</v>
      </c>
    </row>
    <row r="283">
      <c r="A283">
        <f>IF(OR(存条明细!C283="",存条明细!D283=""),"",IF(COUNTIFS(存条明细!$C$4:C283,存条明细!C283,存条明细!$D$4:D283,存条明细!D283)&gt;1,"",IFERROR(MATCH(存条明细!C283,总览汇总!$B$5:$B$304,0),900)*10000000+IFERROR(MATCH(存条明细!D283,基础资料!$E$5:$E$104,0),900)*10000+ROW()))</f>
      </c>
      <c r="B283">
        <f>IFERROR(MATCH(SMALL($A$4:$A$4003,280),$A$4:$A$4003,0),"")</f>
      </c>
      <c r="D283">
        <f>IF(AND(商品库存!B283&lt;&gt;"",商品库存!B283=客户查询!$B$4),COUNTIF(商品库存!$B$4:B283,客户查询!$B$4),"")</f>
      </c>
      <c r="E283">
        <f>IF(AND(商品库存!B283&lt;&gt;"",商品库存!B283=客户对账单!$B$4),COUNTIF(商品库存!$B$4:B283,客户对账单!$B$4),"")</f>
      </c>
      <c r="F283">
        <f>IF(AND(出库明细!C283&lt;&gt;"",出库明细!C283=客户对账单!$B$4,ISNUMBER(出库明细!B283),出库明细!B283&gt;=客户对账单!$G$4,出库明细!B283&lt;=客户对账单!$I$4),出库明细!B283+ROW()/100000,"")</f>
      </c>
      <c r="H283">
        <f>IF(AND(采购进货!C283&lt;&gt;"",采购进货!C283=供应商对账单!$B$4,ISNUMBER(采购进货!B283),采购进货!B283&gt;=供应商对账单!$G$4,采购进货!B283&lt;=供应商对账单!$I$4),采购进货!B283+ROW()/100000,"")</f>
      </c>
      <c r="J283">
        <f>IF(总览汇总!$B283="","",N(总览汇总!$K283)+SUMIFS(出库明细!$G$4:$G$3003,出库明细!$C$4:$C$3003,总览汇总!$B283,出库明细!$B$4:$B$3003,"&gt;="&amp;年初日,出库明细!$B$4:$B$3003,"&lt;="&amp;资产负债表!$D$3)-SUMIFS(资金台帐!$S$7:$S$3006,资金台帐!$J$7:$J$3006,总览汇总!$B283,资金台帐!$P$7:$P$3006,"应收",资金台帐!$B$7:$B$3006,"&gt;="&amp;年初日,资金台帐!$B$7:$B$3006,"&lt;="&amp;资产负债表!$D$3))</f>
      </c>
      <c r="N283">
        <f>IF(AND(ISNUMBER(出库明细!G283),ISNUMBER(出库明细!E283),ISNUMBER(出库明细!F283)),IF(ABS(出库明细!G283-出库明细!E283*出库明细!F283)&gt;0.005,1,0),0)</f>
        <v>0</v>
      </c>
      <c r="O283">
        <f>IF(AND(ISNUMBER(存条明细!G283),ISNUMBER(存条明细!E283),ISNUMBER(存条明细!F283)),IF(ABS(存条明细!G283-存条明细!E283*存条明细!F283)&gt;0.005,1,0),0)</f>
        <v>0</v>
      </c>
    </row>
    <row r="284">
      <c r="A284">
        <f>IF(OR(存条明细!C284="",存条明细!D284=""),"",IF(COUNTIFS(存条明细!$C$4:C284,存条明细!C284,存条明细!$D$4:D284,存条明细!D284)&gt;1,"",IFERROR(MATCH(存条明细!C284,总览汇总!$B$5:$B$304,0),900)*10000000+IFERROR(MATCH(存条明细!D284,基础资料!$E$5:$E$104,0),900)*10000+ROW()))</f>
      </c>
      <c r="B284">
        <f>IFERROR(MATCH(SMALL($A$4:$A$4003,281),$A$4:$A$4003,0),"")</f>
      </c>
      <c r="D284">
        <f>IF(AND(商品库存!B284&lt;&gt;"",商品库存!B284=客户查询!$B$4),COUNTIF(商品库存!$B$4:B284,客户查询!$B$4),"")</f>
      </c>
      <c r="E284">
        <f>IF(AND(商品库存!B284&lt;&gt;"",商品库存!B284=客户对账单!$B$4),COUNTIF(商品库存!$B$4:B284,客户对账单!$B$4),"")</f>
      </c>
      <c r="F284">
        <f>IF(AND(出库明细!C284&lt;&gt;"",出库明细!C284=客户对账单!$B$4,ISNUMBER(出库明细!B284),出库明细!B284&gt;=客户对账单!$G$4,出库明细!B284&lt;=客户对账单!$I$4),出库明细!B284+ROW()/100000,"")</f>
      </c>
      <c r="H284">
        <f>IF(AND(采购进货!C284&lt;&gt;"",采购进货!C284=供应商对账单!$B$4,ISNUMBER(采购进货!B284),采购进货!B284&gt;=供应商对账单!$G$4,采购进货!B284&lt;=供应商对账单!$I$4),采购进货!B284+ROW()/100000,"")</f>
      </c>
      <c r="J284">
        <f>IF(总览汇总!$B284="","",N(总览汇总!$K284)+SUMIFS(出库明细!$G$4:$G$3003,出库明细!$C$4:$C$3003,总览汇总!$B284,出库明细!$B$4:$B$3003,"&gt;="&amp;年初日,出库明细!$B$4:$B$3003,"&lt;="&amp;资产负债表!$D$3)-SUMIFS(资金台帐!$S$7:$S$3006,资金台帐!$J$7:$J$3006,总览汇总!$B284,资金台帐!$P$7:$P$3006,"应收",资金台帐!$B$7:$B$3006,"&gt;="&amp;年初日,资金台帐!$B$7:$B$3006,"&lt;="&amp;资产负债表!$D$3))</f>
      </c>
      <c r="N284">
        <f>IF(AND(ISNUMBER(出库明细!G284),ISNUMBER(出库明细!E284),ISNUMBER(出库明细!F284)),IF(ABS(出库明细!G284-出库明细!E284*出库明细!F284)&gt;0.005,1,0),0)</f>
        <v>0</v>
      </c>
      <c r="O284">
        <f>IF(AND(ISNUMBER(存条明细!G284),ISNUMBER(存条明细!E284),ISNUMBER(存条明细!F284)),IF(ABS(存条明细!G284-存条明细!E284*存条明细!F284)&gt;0.005,1,0),0)</f>
        <v>0</v>
      </c>
    </row>
    <row r="285">
      <c r="A285">
        <f>IF(OR(存条明细!C285="",存条明细!D285=""),"",IF(COUNTIFS(存条明细!$C$4:C285,存条明细!C285,存条明细!$D$4:D285,存条明细!D285)&gt;1,"",IFERROR(MATCH(存条明细!C285,总览汇总!$B$5:$B$304,0),900)*10000000+IFERROR(MATCH(存条明细!D285,基础资料!$E$5:$E$104,0),900)*10000+ROW()))</f>
      </c>
      <c r="B285">
        <f>IFERROR(MATCH(SMALL($A$4:$A$4003,282),$A$4:$A$4003,0),"")</f>
      </c>
      <c r="D285">
        <f>IF(AND(商品库存!B285&lt;&gt;"",商品库存!B285=客户查询!$B$4),COUNTIF(商品库存!$B$4:B285,客户查询!$B$4),"")</f>
      </c>
      <c r="E285">
        <f>IF(AND(商品库存!B285&lt;&gt;"",商品库存!B285=客户对账单!$B$4),COUNTIF(商品库存!$B$4:B285,客户对账单!$B$4),"")</f>
      </c>
      <c r="F285">
        <f>IF(AND(出库明细!C285&lt;&gt;"",出库明细!C285=客户对账单!$B$4,ISNUMBER(出库明细!B285),出库明细!B285&gt;=客户对账单!$G$4,出库明细!B285&lt;=客户对账单!$I$4),出库明细!B285+ROW()/100000,"")</f>
      </c>
      <c r="H285">
        <f>IF(AND(采购进货!C285&lt;&gt;"",采购进货!C285=供应商对账单!$B$4,ISNUMBER(采购进货!B285),采购进货!B285&gt;=供应商对账单!$G$4,采购进货!B285&lt;=供应商对账单!$I$4),采购进货!B285+ROW()/100000,"")</f>
      </c>
      <c r="J285">
        <f>IF(总览汇总!$B285="","",N(总览汇总!$K285)+SUMIFS(出库明细!$G$4:$G$3003,出库明细!$C$4:$C$3003,总览汇总!$B285,出库明细!$B$4:$B$3003,"&gt;="&amp;年初日,出库明细!$B$4:$B$3003,"&lt;="&amp;资产负债表!$D$3)-SUMIFS(资金台帐!$S$7:$S$3006,资金台帐!$J$7:$J$3006,总览汇总!$B285,资金台帐!$P$7:$P$3006,"应收",资金台帐!$B$7:$B$3006,"&gt;="&amp;年初日,资金台帐!$B$7:$B$3006,"&lt;="&amp;资产负债表!$D$3))</f>
      </c>
      <c r="N285">
        <f>IF(AND(ISNUMBER(出库明细!G285),ISNUMBER(出库明细!E285),ISNUMBER(出库明细!F285)),IF(ABS(出库明细!G285-出库明细!E285*出库明细!F285)&gt;0.005,1,0),0)</f>
        <v>0</v>
      </c>
      <c r="O285">
        <f>IF(AND(ISNUMBER(存条明细!G285),ISNUMBER(存条明细!E285),ISNUMBER(存条明细!F285)),IF(ABS(存条明细!G285-存条明细!E285*存条明细!F285)&gt;0.005,1,0),0)</f>
        <v>0</v>
      </c>
    </row>
    <row r="286">
      <c r="A286">
        <f>IF(OR(存条明细!C286="",存条明细!D286=""),"",IF(COUNTIFS(存条明细!$C$4:C286,存条明细!C286,存条明细!$D$4:D286,存条明细!D286)&gt;1,"",IFERROR(MATCH(存条明细!C286,总览汇总!$B$5:$B$304,0),900)*10000000+IFERROR(MATCH(存条明细!D286,基础资料!$E$5:$E$104,0),900)*10000+ROW()))</f>
      </c>
      <c r="B286">
        <f>IFERROR(MATCH(SMALL($A$4:$A$4003,283),$A$4:$A$4003,0),"")</f>
      </c>
      <c r="D286">
        <f>IF(AND(商品库存!B286&lt;&gt;"",商品库存!B286=客户查询!$B$4),COUNTIF(商品库存!$B$4:B286,客户查询!$B$4),"")</f>
      </c>
      <c r="E286">
        <f>IF(AND(商品库存!B286&lt;&gt;"",商品库存!B286=客户对账单!$B$4),COUNTIF(商品库存!$B$4:B286,客户对账单!$B$4),"")</f>
      </c>
      <c r="F286">
        <f>IF(AND(出库明细!C286&lt;&gt;"",出库明细!C286=客户对账单!$B$4,ISNUMBER(出库明细!B286),出库明细!B286&gt;=客户对账单!$G$4,出库明细!B286&lt;=客户对账单!$I$4),出库明细!B286+ROW()/100000,"")</f>
      </c>
      <c r="H286">
        <f>IF(AND(采购进货!C286&lt;&gt;"",采购进货!C286=供应商对账单!$B$4,ISNUMBER(采购进货!B286),采购进货!B286&gt;=供应商对账单!$G$4,采购进货!B286&lt;=供应商对账单!$I$4),采购进货!B286+ROW()/100000,"")</f>
      </c>
      <c r="J286">
        <f>IF(总览汇总!$B286="","",N(总览汇总!$K286)+SUMIFS(出库明细!$G$4:$G$3003,出库明细!$C$4:$C$3003,总览汇总!$B286,出库明细!$B$4:$B$3003,"&gt;="&amp;年初日,出库明细!$B$4:$B$3003,"&lt;="&amp;资产负债表!$D$3)-SUMIFS(资金台帐!$S$7:$S$3006,资金台帐!$J$7:$J$3006,总览汇总!$B286,资金台帐!$P$7:$P$3006,"应收",资金台帐!$B$7:$B$3006,"&gt;="&amp;年初日,资金台帐!$B$7:$B$3006,"&lt;="&amp;资产负债表!$D$3))</f>
      </c>
      <c r="N286">
        <f>IF(AND(ISNUMBER(出库明细!G286),ISNUMBER(出库明细!E286),ISNUMBER(出库明细!F286)),IF(ABS(出库明细!G286-出库明细!E286*出库明细!F286)&gt;0.005,1,0),0)</f>
        <v>0</v>
      </c>
      <c r="O286">
        <f>IF(AND(ISNUMBER(存条明细!G286),ISNUMBER(存条明细!E286),ISNUMBER(存条明细!F286)),IF(ABS(存条明细!G286-存条明细!E286*存条明细!F286)&gt;0.005,1,0),0)</f>
        <v>0</v>
      </c>
    </row>
    <row r="287">
      <c r="A287">
        <f>IF(OR(存条明细!C287="",存条明细!D287=""),"",IF(COUNTIFS(存条明细!$C$4:C287,存条明细!C287,存条明细!$D$4:D287,存条明细!D287)&gt;1,"",IFERROR(MATCH(存条明细!C287,总览汇总!$B$5:$B$304,0),900)*10000000+IFERROR(MATCH(存条明细!D287,基础资料!$E$5:$E$104,0),900)*10000+ROW()))</f>
      </c>
      <c r="B287">
        <f>IFERROR(MATCH(SMALL($A$4:$A$4003,284),$A$4:$A$4003,0),"")</f>
      </c>
      <c r="D287">
        <f>IF(AND(商品库存!B287&lt;&gt;"",商品库存!B287=客户查询!$B$4),COUNTIF(商品库存!$B$4:B287,客户查询!$B$4),"")</f>
      </c>
      <c r="E287">
        <f>IF(AND(商品库存!B287&lt;&gt;"",商品库存!B287=客户对账单!$B$4),COUNTIF(商品库存!$B$4:B287,客户对账单!$B$4),"")</f>
      </c>
      <c r="F287">
        <f>IF(AND(出库明细!C287&lt;&gt;"",出库明细!C287=客户对账单!$B$4,ISNUMBER(出库明细!B287),出库明细!B287&gt;=客户对账单!$G$4,出库明细!B287&lt;=客户对账单!$I$4),出库明细!B287+ROW()/100000,"")</f>
      </c>
      <c r="H287">
        <f>IF(AND(采购进货!C287&lt;&gt;"",采购进货!C287=供应商对账单!$B$4,ISNUMBER(采购进货!B287),采购进货!B287&gt;=供应商对账单!$G$4,采购进货!B287&lt;=供应商对账单!$I$4),采购进货!B287+ROW()/100000,"")</f>
      </c>
      <c r="J287">
        <f>IF(总览汇总!$B287="","",N(总览汇总!$K287)+SUMIFS(出库明细!$G$4:$G$3003,出库明细!$C$4:$C$3003,总览汇总!$B287,出库明细!$B$4:$B$3003,"&gt;="&amp;年初日,出库明细!$B$4:$B$3003,"&lt;="&amp;资产负债表!$D$3)-SUMIFS(资金台帐!$S$7:$S$3006,资金台帐!$J$7:$J$3006,总览汇总!$B287,资金台帐!$P$7:$P$3006,"应收",资金台帐!$B$7:$B$3006,"&gt;="&amp;年初日,资金台帐!$B$7:$B$3006,"&lt;="&amp;资产负债表!$D$3))</f>
      </c>
      <c r="N287">
        <f>IF(AND(ISNUMBER(出库明细!G287),ISNUMBER(出库明细!E287),ISNUMBER(出库明细!F287)),IF(ABS(出库明细!G287-出库明细!E287*出库明细!F287)&gt;0.005,1,0),0)</f>
        <v>0</v>
      </c>
      <c r="O287">
        <f>IF(AND(ISNUMBER(存条明细!G287),ISNUMBER(存条明细!E287),ISNUMBER(存条明细!F287)),IF(ABS(存条明细!G287-存条明细!E287*存条明细!F287)&gt;0.005,1,0),0)</f>
        <v>0</v>
      </c>
    </row>
    <row r="288">
      <c r="A288">
        <f>IF(OR(存条明细!C288="",存条明细!D288=""),"",IF(COUNTIFS(存条明细!$C$4:C288,存条明细!C288,存条明细!$D$4:D288,存条明细!D288)&gt;1,"",IFERROR(MATCH(存条明细!C288,总览汇总!$B$5:$B$304,0),900)*10000000+IFERROR(MATCH(存条明细!D288,基础资料!$E$5:$E$104,0),900)*10000+ROW()))</f>
      </c>
      <c r="B288">
        <f>IFERROR(MATCH(SMALL($A$4:$A$4003,285),$A$4:$A$4003,0),"")</f>
      </c>
      <c r="D288">
        <f>IF(AND(商品库存!B288&lt;&gt;"",商品库存!B288=客户查询!$B$4),COUNTIF(商品库存!$B$4:B288,客户查询!$B$4),"")</f>
      </c>
      <c r="E288">
        <f>IF(AND(商品库存!B288&lt;&gt;"",商品库存!B288=客户对账单!$B$4),COUNTIF(商品库存!$B$4:B288,客户对账单!$B$4),"")</f>
      </c>
      <c r="F288">
        <f>IF(AND(出库明细!C288&lt;&gt;"",出库明细!C288=客户对账单!$B$4,ISNUMBER(出库明细!B288),出库明细!B288&gt;=客户对账单!$G$4,出库明细!B288&lt;=客户对账单!$I$4),出库明细!B288+ROW()/100000,"")</f>
      </c>
      <c r="H288">
        <f>IF(AND(采购进货!C288&lt;&gt;"",采购进货!C288=供应商对账单!$B$4,ISNUMBER(采购进货!B288),采购进货!B288&gt;=供应商对账单!$G$4,采购进货!B288&lt;=供应商对账单!$I$4),采购进货!B288+ROW()/100000,"")</f>
      </c>
      <c r="J288">
        <f>IF(总览汇总!$B288="","",N(总览汇总!$K288)+SUMIFS(出库明细!$G$4:$G$3003,出库明细!$C$4:$C$3003,总览汇总!$B288,出库明细!$B$4:$B$3003,"&gt;="&amp;年初日,出库明细!$B$4:$B$3003,"&lt;="&amp;资产负债表!$D$3)-SUMIFS(资金台帐!$S$7:$S$3006,资金台帐!$J$7:$J$3006,总览汇总!$B288,资金台帐!$P$7:$P$3006,"应收",资金台帐!$B$7:$B$3006,"&gt;="&amp;年初日,资金台帐!$B$7:$B$3006,"&lt;="&amp;资产负债表!$D$3))</f>
      </c>
      <c r="N288">
        <f>IF(AND(ISNUMBER(出库明细!G288),ISNUMBER(出库明细!E288),ISNUMBER(出库明细!F288)),IF(ABS(出库明细!G288-出库明细!E288*出库明细!F288)&gt;0.005,1,0),0)</f>
        <v>0</v>
      </c>
      <c r="O288">
        <f>IF(AND(ISNUMBER(存条明细!G288),ISNUMBER(存条明细!E288),ISNUMBER(存条明细!F288)),IF(ABS(存条明细!G288-存条明细!E288*存条明细!F288)&gt;0.005,1,0),0)</f>
        <v>0</v>
      </c>
    </row>
    <row r="289">
      <c r="A289">
        <f>IF(OR(存条明细!C289="",存条明细!D289=""),"",IF(COUNTIFS(存条明细!$C$4:C289,存条明细!C289,存条明细!$D$4:D289,存条明细!D289)&gt;1,"",IFERROR(MATCH(存条明细!C289,总览汇总!$B$5:$B$304,0),900)*10000000+IFERROR(MATCH(存条明细!D289,基础资料!$E$5:$E$104,0),900)*10000+ROW()))</f>
      </c>
      <c r="B289">
        <f>IFERROR(MATCH(SMALL($A$4:$A$4003,286),$A$4:$A$4003,0),"")</f>
      </c>
      <c r="D289">
        <f>IF(AND(商品库存!B289&lt;&gt;"",商品库存!B289=客户查询!$B$4),COUNTIF(商品库存!$B$4:B289,客户查询!$B$4),"")</f>
      </c>
      <c r="E289">
        <f>IF(AND(商品库存!B289&lt;&gt;"",商品库存!B289=客户对账单!$B$4),COUNTIF(商品库存!$B$4:B289,客户对账单!$B$4),"")</f>
      </c>
      <c r="F289">
        <f>IF(AND(出库明细!C289&lt;&gt;"",出库明细!C289=客户对账单!$B$4,ISNUMBER(出库明细!B289),出库明细!B289&gt;=客户对账单!$G$4,出库明细!B289&lt;=客户对账单!$I$4),出库明细!B289+ROW()/100000,"")</f>
      </c>
      <c r="H289">
        <f>IF(AND(采购进货!C289&lt;&gt;"",采购进货!C289=供应商对账单!$B$4,ISNUMBER(采购进货!B289),采购进货!B289&gt;=供应商对账单!$G$4,采购进货!B289&lt;=供应商对账单!$I$4),采购进货!B289+ROW()/100000,"")</f>
      </c>
      <c r="J289">
        <f>IF(总览汇总!$B289="","",N(总览汇总!$K289)+SUMIFS(出库明细!$G$4:$G$3003,出库明细!$C$4:$C$3003,总览汇总!$B289,出库明细!$B$4:$B$3003,"&gt;="&amp;年初日,出库明细!$B$4:$B$3003,"&lt;="&amp;资产负债表!$D$3)-SUMIFS(资金台帐!$S$7:$S$3006,资金台帐!$J$7:$J$3006,总览汇总!$B289,资金台帐!$P$7:$P$3006,"应收",资金台帐!$B$7:$B$3006,"&gt;="&amp;年初日,资金台帐!$B$7:$B$3006,"&lt;="&amp;资产负债表!$D$3))</f>
      </c>
      <c r="N289">
        <f>IF(AND(ISNUMBER(出库明细!G289),ISNUMBER(出库明细!E289),ISNUMBER(出库明细!F289)),IF(ABS(出库明细!G289-出库明细!E289*出库明细!F289)&gt;0.005,1,0),0)</f>
        <v>0</v>
      </c>
      <c r="O289">
        <f>IF(AND(ISNUMBER(存条明细!G289),ISNUMBER(存条明细!E289),ISNUMBER(存条明细!F289)),IF(ABS(存条明细!G289-存条明细!E289*存条明细!F289)&gt;0.005,1,0),0)</f>
        <v>0</v>
      </c>
    </row>
    <row r="290">
      <c r="A290">
        <f>IF(OR(存条明细!C290="",存条明细!D290=""),"",IF(COUNTIFS(存条明细!$C$4:C290,存条明细!C290,存条明细!$D$4:D290,存条明细!D290)&gt;1,"",IFERROR(MATCH(存条明细!C290,总览汇总!$B$5:$B$304,0),900)*10000000+IFERROR(MATCH(存条明细!D290,基础资料!$E$5:$E$104,0),900)*10000+ROW()))</f>
      </c>
      <c r="B290">
        <f>IFERROR(MATCH(SMALL($A$4:$A$4003,287),$A$4:$A$4003,0),"")</f>
      </c>
      <c r="D290">
        <f>IF(AND(商品库存!B290&lt;&gt;"",商品库存!B290=客户查询!$B$4),COUNTIF(商品库存!$B$4:B290,客户查询!$B$4),"")</f>
      </c>
      <c r="E290">
        <f>IF(AND(商品库存!B290&lt;&gt;"",商品库存!B290=客户对账单!$B$4),COUNTIF(商品库存!$B$4:B290,客户对账单!$B$4),"")</f>
      </c>
      <c r="F290">
        <f>IF(AND(出库明细!C290&lt;&gt;"",出库明细!C290=客户对账单!$B$4,ISNUMBER(出库明细!B290),出库明细!B290&gt;=客户对账单!$G$4,出库明细!B290&lt;=客户对账单!$I$4),出库明细!B290+ROW()/100000,"")</f>
      </c>
      <c r="H290">
        <f>IF(AND(采购进货!C290&lt;&gt;"",采购进货!C290=供应商对账单!$B$4,ISNUMBER(采购进货!B290),采购进货!B290&gt;=供应商对账单!$G$4,采购进货!B290&lt;=供应商对账单!$I$4),采购进货!B290+ROW()/100000,"")</f>
      </c>
      <c r="J290">
        <f>IF(总览汇总!$B290="","",N(总览汇总!$K290)+SUMIFS(出库明细!$G$4:$G$3003,出库明细!$C$4:$C$3003,总览汇总!$B290,出库明细!$B$4:$B$3003,"&gt;="&amp;年初日,出库明细!$B$4:$B$3003,"&lt;="&amp;资产负债表!$D$3)-SUMIFS(资金台帐!$S$7:$S$3006,资金台帐!$J$7:$J$3006,总览汇总!$B290,资金台帐!$P$7:$P$3006,"应收",资金台帐!$B$7:$B$3006,"&gt;="&amp;年初日,资金台帐!$B$7:$B$3006,"&lt;="&amp;资产负债表!$D$3))</f>
      </c>
      <c r="N290">
        <f>IF(AND(ISNUMBER(出库明细!G290),ISNUMBER(出库明细!E290),ISNUMBER(出库明细!F290)),IF(ABS(出库明细!G290-出库明细!E290*出库明细!F290)&gt;0.005,1,0),0)</f>
        <v>0</v>
      </c>
      <c r="O290">
        <f>IF(AND(ISNUMBER(存条明细!G290),ISNUMBER(存条明细!E290),ISNUMBER(存条明细!F290)),IF(ABS(存条明细!G290-存条明细!E290*存条明细!F290)&gt;0.005,1,0),0)</f>
        <v>0</v>
      </c>
    </row>
    <row r="291">
      <c r="A291">
        <f>IF(OR(存条明细!C291="",存条明细!D291=""),"",IF(COUNTIFS(存条明细!$C$4:C291,存条明细!C291,存条明细!$D$4:D291,存条明细!D291)&gt;1,"",IFERROR(MATCH(存条明细!C291,总览汇总!$B$5:$B$304,0),900)*10000000+IFERROR(MATCH(存条明细!D291,基础资料!$E$5:$E$104,0),900)*10000+ROW()))</f>
      </c>
      <c r="B291">
        <f>IFERROR(MATCH(SMALL($A$4:$A$4003,288),$A$4:$A$4003,0),"")</f>
      </c>
      <c r="D291">
        <f>IF(AND(商品库存!B291&lt;&gt;"",商品库存!B291=客户查询!$B$4),COUNTIF(商品库存!$B$4:B291,客户查询!$B$4),"")</f>
      </c>
      <c r="E291">
        <f>IF(AND(商品库存!B291&lt;&gt;"",商品库存!B291=客户对账单!$B$4),COUNTIF(商品库存!$B$4:B291,客户对账单!$B$4),"")</f>
      </c>
      <c r="F291">
        <f>IF(AND(出库明细!C291&lt;&gt;"",出库明细!C291=客户对账单!$B$4,ISNUMBER(出库明细!B291),出库明细!B291&gt;=客户对账单!$G$4,出库明细!B291&lt;=客户对账单!$I$4),出库明细!B291+ROW()/100000,"")</f>
      </c>
      <c r="H291">
        <f>IF(AND(采购进货!C291&lt;&gt;"",采购进货!C291=供应商对账单!$B$4,ISNUMBER(采购进货!B291),采购进货!B291&gt;=供应商对账单!$G$4,采购进货!B291&lt;=供应商对账单!$I$4),采购进货!B291+ROW()/100000,"")</f>
      </c>
      <c r="J291">
        <f>IF(总览汇总!$B291="","",N(总览汇总!$K291)+SUMIFS(出库明细!$G$4:$G$3003,出库明细!$C$4:$C$3003,总览汇总!$B291,出库明细!$B$4:$B$3003,"&gt;="&amp;年初日,出库明细!$B$4:$B$3003,"&lt;="&amp;资产负债表!$D$3)-SUMIFS(资金台帐!$S$7:$S$3006,资金台帐!$J$7:$J$3006,总览汇总!$B291,资金台帐!$P$7:$P$3006,"应收",资金台帐!$B$7:$B$3006,"&gt;="&amp;年初日,资金台帐!$B$7:$B$3006,"&lt;="&amp;资产负债表!$D$3))</f>
      </c>
      <c r="N291">
        <f>IF(AND(ISNUMBER(出库明细!G291),ISNUMBER(出库明细!E291),ISNUMBER(出库明细!F291)),IF(ABS(出库明细!G291-出库明细!E291*出库明细!F291)&gt;0.005,1,0),0)</f>
        <v>0</v>
      </c>
      <c r="O291">
        <f>IF(AND(ISNUMBER(存条明细!G291),ISNUMBER(存条明细!E291),ISNUMBER(存条明细!F291)),IF(ABS(存条明细!G291-存条明细!E291*存条明细!F291)&gt;0.005,1,0),0)</f>
        <v>0</v>
      </c>
    </row>
    <row r="292">
      <c r="A292">
        <f>IF(OR(存条明细!C292="",存条明细!D292=""),"",IF(COUNTIFS(存条明细!$C$4:C292,存条明细!C292,存条明细!$D$4:D292,存条明细!D292)&gt;1,"",IFERROR(MATCH(存条明细!C292,总览汇总!$B$5:$B$304,0),900)*10000000+IFERROR(MATCH(存条明细!D292,基础资料!$E$5:$E$104,0),900)*10000+ROW()))</f>
      </c>
      <c r="B292">
        <f>IFERROR(MATCH(SMALL($A$4:$A$4003,289),$A$4:$A$4003,0),"")</f>
      </c>
      <c r="D292">
        <f>IF(AND(商品库存!B292&lt;&gt;"",商品库存!B292=客户查询!$B$4),COUNTIF(商品库存!$B$4:B292,客户查询!$B$4),"")</f>
      </c>
      <c r="E292">
        <f>IF(AND(商品库存!B292&lt;&gt;"",商品库存!B292=客户对账单!$B$4),COUNTIF(商品库存!$B$4:B292,客户对账单!$B$4),"")</f>
      </c>
      <c r="F292">
        <f>IF(AND(出库明细!C292&lt;&gt;"",出库明细!C292=客户对账单!$B$4,ISNUMBER(出库明细!B292),出库明细!B292&gt;=客户对账单!$G$4,出库明细!B292&lt;=客户对账单!$I$4),出库明细!B292+ROW()/100000,"")</f>
      </c>
      <c r="H292">
        <f>IF(AND(采购进货!C292&lt;&gt;"",采购进货!C292=供应商对账单!$B$4,ISNUMBER(采购进货!B292),采购进货!B292&gt;=供应商对账单!$G$4,采购进货!B292&lt;=供应商对账单!$I$4),采购进货!B292+ROW()/100000,"")</f>
      </c>
      <c r="J292">
        <f>IF(总览汇总!$B292="","",N(总览汇总!$K292)+SUMIFS(出库明细!$G$4:$G$3003,出库明细!$C$4:$C$3003,总览汇总!$B292,出库明细!$B$4:$B$3003,"&gt;="&amp;年初日,出库明细!$B$4:$B$3003,"&lt;="&amp;资产负债表!$D$3)-SUMIFS(资金台帐!$S$7:$S$3006,资金台帐!$J$7:$J$3006,总览汇总!$B292,资金台帐!$P$7:$P$3006,"应收",资金台帐!$B$7:$B$3006,"&gt;="&amp;年初日,资金台帐!$B$7:$B$3006,"&lt;="&amp;资产负债表!$D$3))</f>
      </c>
      <c r="N292">
        <f>IF(AND(ISNUMBER(出库明细!G292),ISNUMBER(出库明细!E292),ISNUMBER(出库明细!F292)),IF(ABS(出库明细!G292-出库明细!E292*出库明细!F292)&gt;0.005,1,0),0)</f>
        <v>0</v>
      </c>
      <c r="O292">
        <f>IF(AND(ISNUMBER(存条明细!G292),ISNUMBER(存条明细!E292),ISNUMBER(存条明细!F292)),IF(ABS(存条明细!G292-存条明细!E292*存条明细!F292)&gt;0.005,1,0),0)</f>
        <v>0</v>
      </c>
    </row>
    <row r="293">
      <c r="A293">
        <f>IF(OR(存条明细!C293="",存条明细!D293=""),"",IF(COUNTIFS(存条明细!$C$4:C293,存条明细!C293,存条明细!$D$4:D293,存条明细!D293)&gt;1,"",IFERROR(MATCH(存条明细!C293,总览汇总!$B$5:$B$304,0),900)*10000000+IFERROR(MATCH(存条明细!D293,基础资料!$E$5:$E$104,0),900)*10000+ROW()))</f>
      </c>
      <c r="B293">
        <f>IFERROR(MATCH(SMALL($A$4:$A$4003,290),$A$4:$A$4003,0),"")</f>
      </c>
      <c r="D293">
        <f>IF(AND(商品库存!B293&lt;&gt;"",商品库存!B293=客户查询!$B$4),COUNTIF(商品库存!$B$4:B293,客户查询!$B$4),"")</f>
      </c>
      <c r="E293">
        <f>IF(AND(商品库存!B293&lt;&gt;"",商品库存!B293=客户对账单!$B$4),COUNTIF(商品库存!$B$4:B293,客户对账单!$B$4),"")</f>
      </c>
      <c r="F293">
        <f>IF(AND(出库明细!C293&lt;&gt;"",出库明细!C293=客户对账单!$B$4,ISNUMBER(出库明细!B293),出库明细!B293&gt;=客户对账单!$G$4,出库明细!B293&lt;=客户对账单!$I$4),出库明细!B293+ROW()/100000,"")</f>
      </c>
      <c r="H293">
        <f>IF(AND(采购进货!C293&lt;&gt;"",采购进货!C293=供应商对账单!$B$4,ISNUMBER(采购进货!B293),采购进货!B293&gt;=供应商对账单!$G$4,采购进货!B293&lt;=供应商对账单!$I$4),采购进货!B293+ROW()/100000,"")</f>
      </c>
      <c r="J293">
        <f>IF(总览汇总!$B293="","",N(总览汇总!$K293)+SUMIFS(出库明细!$G$4:$G$3003,出库明细!$C$4:$C$3003,总览汇总!$B293,出库明细!$B$4:$B$3003,"&gt;="&amp;年初日,出库明细!$B$4:$B$3003,"&lt;="&amp;资产负债表!$D$3)-SUMIFS(资金台帐!$S$7:$S$3006,资金台帐!$J$7:$J$3006,总览汇总!$B293,资金台帐!$P$7:$P$3006,"应收",资金台帐!$B$7:$B$3006,"&gt;="&amp;年初日,资金台帐!$B$7:$B$3006,"&lt;="&amp;资产负债表!$D$3))</f>
      </c>
      <c r="N293">
        <f>IF(AND(ISNUMBER(出库明细!G293),ISNUMBER(出库明细!E293),ISNUMBER(出库明细!F293)),IF(ABS(出库明细!G293-出库明细!E293*出库明细!F293)&gt;0.005,1,0),0)</f>
        <v>0</v>
      </c>
      <c r="O293">
        <f>IF(AND(ISNUMBER(存条明细!G293),ISNUMBER(存条明细!E293),ISNUMBER(存条明细!F293)),IF(ABS(存条明细!G293-存条明细!E293*存条明细!F293)&gt;0.005,1,0),0)</f>
        <v>0</v>
      </c>
    </row>
    <row r="294">
      <c r="A294">
        <f>IF(OR(存条明细!C294="",存条明细!D294=""),"",IF(COUNTIFS(存条明细!$C$4:C294,存条明细!C294,存条明细!$D$4:D294,存条明细!D294)&gt;1,"",IFERROR(MATCH(存条明细!C294,总览汇总!$B$5:$B$304,0),900)*10000000+IFERROR(MATCH(存条明细!D294,基础资料!$E$5:$E$104,0),900)*10000+ROW()))</f>
      </c>
      <c r="B294">
        <f>IFERROR(MATCH(SMALL($A$4:$A$4003,291),$A$4:$A$4003,0),"")</f>
      </c>
      <c r="D294">
        <f>IF(AND(商品库存!B294&lt;&gt;"",商品库存!B294=客户查询!$B$4),COUNTIF(商品库存!$B$4:B294,客户查询!$B$4),"")</f>
      </c>
      <c r="E294">
        <f>IF(AND(商品库存!B294&lt;&gt;"",商品库存!B294=客户对账单!$B$4),COUNTIF(商品库存!$B$4:B294,客户对账单!$B$4),"")</f>
      </c>
      <c r="F294">
        <f>IF(AND(出库明细!C294&lt;&gt;"",出库明细!C294=客户对账单!$B$4,ISNUMBER(出库明细!B294),出库明细!B294&gt;=客户对账单!$G$4,出库明细!B294&lt;=客户对账单!$I$4),出库明细!B294+ROW()/100000,"")</f>
      </c>
      <c r="H294">
        <f>IF(AND(采购进货!C294&lt;&gt;"",采购进货!C294=供应商对账单!$B$4,ISNUMBER(采购进货!B294),采购进货!B294&gt;=供应商对账单!$G$4,采购进货!B294&lt;=供应商对账单!$I$4),采购进货!B294+ROW()/100000,"")</f>
      </c>
      <c r="J294">
        <f>IF(总览汇总!$B294="","",N(总览汇总!$K294)+SUMIFS(出库明细!$G$4:$G$3003,出库明细!$C$4:$C$3003,总览汇总!$B294,出库明细!$B$4:$B$3003,"&gt;="&amp;年初日,出库明细!$B$4:$B$3003,"&lt;="&amp;资产负债表!$D$3)-SUMIFS(资金台帐!$S$7:$S$3006,资金台帐!$J$7:$J$3006,总览汇总!$B294,资金台帐!$P$7:$P$3006,"应收",资金台帐!$B$7:$B$3006,"&gt;="&amp;年初日,资金台帐!$B$7:$B$3006,"&lt;="&amp;资产负债表!$D$3))</f>
      </c>
      <c r="N294">
        <f>IF(AND(ISNUMBER(出库明细!G294),ISNUMBER(出库明细!E294),ISNUMBER(出库明细!F294)),IF(ABS(出库明细!G294-出库明细!E294*出库明细!F294)&gt;0.005,1,0),0)</f>
        <v>0</v>
      </c>
      <c r="O294">
        <f>IF(AND(ISNUMBER(存条明细!G294),ISNUMBER(存条明细!E294),ISNUMBER(存条明细!F294)),IF(ABS(存条明细!G294-存条明细!E294*存条明细!F294)&gt;0.005,1,0),0)</f>
        <v>0</v>
      </c>
    </row>
    <row r="295">
      <c r="A295">
        <f>IF(OR(存条明细!C295="",存条明细!D295=""),"",IF(COUNTIFS(存条明细!$C$4:C295,存条明细!C295,存条明细!$D$4:D295,存条明细!D295)&gt;1,"",IFERROR(MATCH(存条明细!C295,总览汇总!$B$5:$B$304,0),900)*10000000+IFERROR(MATCH(存条明细!D295,基础资料!$E$5:$E$104,0),900)*10000+ROW()))</f>
      </c>
      <c r="B295">
        <f>IFERROR(MATCH(SMALL($A$4:$A$4003,292),$A$4:$A$4003,0),"")</f>
      </c>
      <c r="D295">
        <f>IF(AND(商品库存!B295&lt;&gt;"",商品库存!B295=客户查询!$B$4),COUNTIF(商品库存!$B$4:B295,客户查询!$B$4),"")</f>
      </c>
      <c r="E295">
        <f>IF(AND(商品库存!B295&lt;&gt;"",商品库存!B295=客户对账单!$B$4),COUNTIF(商品库存!$B$4:B295,客户对账单!$B$4),"")</f>
      </c>
      <c r="F295">
        <f>IF(AND(出库明细!C295&lt;&gt;"",出库明细!C295=客户对账单!$B$4,ISNUMBER(出库明细!B295),出库明细!B295&gt;=客户对账单!$G$4,出库明细!B295&lt;=客户对账单!$I$4),出库明细!B295+ROW()/100000,"")</f>
      </c>
      <c r="H295">
        <f>IF(AND(采购进货!C295&lt;&gt;"",采购进货!C295=供应商对账单!$B$4,ISNUMBER(采购进货!B295),采购进货!B295&gt;=供应商对账单!$G$4,采购进货!B295&lt;=供应商对账单!$I$4),采购进货!B295+ROW()/100000,"")</f>
      </c>
      <c r="J295">
        <f>IF(总览汇总!$B295="","",N(总览汇总!$K295)+SUMIFS(出库明细!$G$4:$G$3003,出库明细!$C$4:$C$3003,总览汇总!$B295,出库明细!$B$4:$B$3003,"&gt;="&amp;年初日,出库明细!$B$4:$B$3003,"&lt;="&amp;资产负债表!$D$3)-SUMIFS(资金台帐!$S$7:$S$3006,资金台帐!$J$7:$J$3006,总览汇总!$B295,资金台帐!$P$7:$P$3006,"应收",资金台帐!$B$7:$B$3006,"&gt;="&amp;年初日,资金台帐!$B$7:$B$3006,"&lt;="&amp;资产负债表!$D$3))</f>
      </c>
      <c r="N295">
        <f>IF(AND(ISNUMBER(出库明细!G295),ISNUMBER(出库明细!E295),ISNUMBER(出库明细!F295)),IF(ABS(出库明细!G295-出库明细!E295*出库明细!F295)&gt;0.005,1,0),0)</f>
        <v>0</v>
      </c>
      <c r="O295">
        <f>IF(AND(ISNUMBER(存条明细!G295),ISNUMBER(存条明细!E295),ISNUMBER(存条明细!F295)),IF(ABS(存条明细!G295-存条明细!E295*存条明细!F295)&gt;0.005,1,0),0)</f>
        <v>0</v>
      </c>
    </row>
    <row r="296">
      <c r="A296">
        <f>IF(OR(存条明细!C296="",存条明细!D296=""),"",IF(COUNTIFS(存条明细!$C$4:C296,存条明细!C296,存条明细!$D$4:D296,存条明细!D296)&gt;1,"",IFERROR(MATCH(存条明细!C296,总览汇总!$B$5:$B$304,0),900)*10000000+IFERROR(MATCH(存条明细!D296,基础资料!$E$5:$E$104,0),900)*10000+ROW()))</f>
      </c>
      <c r="B296">
        <f>IFERROR(MATCH(SMALL($A$4:$A$4003,293),$A$4:$A$4003,0),"")</f>
      </c>
      <c r="D296">
        <f>IF(AND(商品库存!B296&lt;&gt;"",商品库存!B296=客户查询!$B$4),COUNTIF(商品库存!$B$4:B296,客户查询!$B$4),"")</f>
      </c>
      <c r="E296">
        <f>IF(AND(商品库存!B296&lt;&gt;"",商品库存!B296=客户对账单!$B$4),COUNTIF(商品库存!$B$4:B296,客户对账单!$B$4),"")</f>
      </c>
      <c r="F296">
        <f>IF(AND(出库明细!C296&lt;&gt;"",出库明细!C296=客户对账单!$B$4,ISNUMBER(出库明细!B296),出库明细!B296&gt;=客户对账单!$G$4,出库明细!B296&lt;=客户对账单!$I$4),出库明细!B296+ROW()/100000,"")</f>
      </c>
      <c r="H296">
        <f>IF(AND(采购进货!C296&lt;&gt;"",采购进货!C296=供应商对账单!$B$4,ISNUMBER(采购进货!B296),采购进货!B296&gt;=供应商对账单!$G$4,采购进货!B296&lt;=供应商对账单!$I$4),采购进货!B296+ROW()/100000,"")</f>
      </c>
      <c r="J296">
        <f>IF(总览汇总!$B296="","",N(总览汇总!$K296)+SUMIFS(出库明细!$G$4:$G$3003,出库明细!$C$4:$C$3003,总览汇总!$B296,出库明细!$B$4:$B$3003,"&gt;="&amp;年初日,出库明细!$B$4:$B$3003,"&lt;="&amp;资产负债表!$D$3)-SUMIFS(资金台帐!$S$7:$S$3006,资金台帐!$J$7:$J$3006,总览汇总!$B296,资金台帐!$P$7:$P$3006,"应收",资金台帐!$B$7:$B$3006,"&gt;="&amp;年初日,资金台帐!$B$7:$B$3006,"&lt;="&amp;资产负债表!$D$3))</f>
      </c>
      <c r="N296">
        <f>IF(AND(ISNUMBER(出库明细!G296),ISNUMBER(出库明细!E296),ISNUMBER(出库明细!F296)),IF(ABS(出库明细!G296-出库明细!E296*出库明细!F296)&gt;0.005,1,0),0)</f>
        <v>0</v>
      </c>
      <c r="O296">
        <f>IF(AND(ISNUMBER(存条明细!G296),ISNUMBER(存条明细!E296),ISNUMBER(存条明细!F296)),IF(ABS(存条明细!G296-存条明细!E296*存条明细!F296)&gt;0.005,1,0),0)</f>
        <v>0</v>
      </c>
    </row>
    <row r="297">
      <c r="A297">
        <f>IF(OR(存条明细!C297="",存条明细!D297=""),"",IF(COUNTIFS(存条明细!$C$4:C297,存条明细!C297,存条明细!$D$4:D297,存条明细!D297)&gt;1,"",IFERROR(MATCH(存条明细!C297,总览汇总!$B$5:$B$304,0),900)*10000000+IFERROR(MATCH(存条明细!D297,基础资料!$E$5:$E$104,0),900)*10000+ROW()))</f>
      </c>
      <c r="B297">
        <f>IFERROR(MATCH(SMALL($A$4:$A$4003,294),$A$4:$A$4003,0),"")</f>
      </c>
      <c r="D297">
        <f>IF(AND(商品库存!B297&lt;&gt;"",商品库存!B297=客户查询!$B$4),COUNTIF(商品库存!$B$4:B297,客户查询!$B$4),"")</f>
      </c>
      <c r="E297">
        <f>IF(AND(商品库存!B297&lt;&gt;"",商品库存!B297=客户对账单!$B$4),COUNTIF(商品库存!$B$4:B297,客户对账单!$B$4),"")</f>
      </c>
      <c r="F297">
        <f>IF(AND(出库明细!C297&lt;&gt;"",出库明细!C297=客户对账单!$B$4,ISNUMBER(出库明细!B297),出库明细!B297&gt;=客户对账单!$G$4,出库明细!B297&lt;=客户对账单!$I$4),出库明细!B297+ROW()/100000,"")</f>
      </c>
      <c r="H297">
        <f>IF(AND(采购进货!C297&lt;&gt;"",采购进货!C297=供应商对账单!$B$4,ISNUMBER(采购进货!B297),采购进货!B297&gt;=供应商对账单!$G$4,采购进货!B297&lt;=供应商对账单!$I$4),采购进货!B297+ROW()/100000,"")</f>
      </c>
      <c r="J297">
        <f>IF(总览汇总!$B297="","",N(总览汇总!$K297)+SUMIFS(出库明细!$G$4:$G$3003,出库明细!$C$4:$C$3003,总览汇总!$B297,出库明细!$B$4:$B$3003,"&gt;="&amp;年初日,出库明细!$B$4:$B$3003,"&lt;="&amp;资产负债表!$D$3)-SUMIFS(资金台帐!$S$7:$S$3006,资金台帐!$J$7:$J$3006,总览汇总!$B297,资金台帐!$P$7:$P$3006,"应收",资金台帐!$B$7:$B$3006,"&gt;="&amp;年初日,资金台帐!$B$7:$B$3006,"&lt;="&amp;资产负债表!$D$3))</f>
      </c>
      <c r="N297">
        <f>IF(AND(ISNUMBER(出库明细!G297),ISNUMBER(出库明细!E297),ISNUMBER(出库明细!F297)),IF(ABS(出库明细!G297-出库明细!E297*出库明细!F297)&gt;0.005,1,0),0)</f>
        <v>0</v>
      </c>
      <c r="O297">
        <f>IF(AND(ISNUMBER(存条明细!G297),ISNUMBER(存条明细!E297),ISNUMBER(存条明细!F297)),IF(ABS(存条明细!G297-存条明细!E297*存条明细!F297)&gt;0.005,1,0),0)</f>
        <v>0</v>
      </c>
    </row>
    <row r="298">
      <c r="A298">
        <f>IF(OR(存条明细!C298="",存条明细!D298=""),"",IF(COUNTIFS(存条明细!$C$4:C298,存条明细!C298,存条明细!$D$4:D298,存条明细!D298)&gt;1,"",IFERROR(MATCH(存条明细!C298,总览汇总!$B$5:$B$304,0),900)*10000000+IFERROR(MATCH(存条明细!D298,基础资料!$E$5:$E$104,0),900)*10000+ROW()))</f>
      </c>
      <c r="B298">
        <f>IFERROR(MATCH(SMALL($A$4:$A$4003,295),$A$4:$A$4003,0),"")</f>
      </c>
      <c r="D298">
        <f>IF(AND(商品库存!B298&lt;&gt;"",商品库存!B298=客户查询!$B$4),COUNTIF(商品库存!$B$4:B298,客户查询!$B$4),"")</f>
      </c>
      <c r="E298">
        <f>IF(AND(商品库存!B298&lt;&gt;"",商品库存!B298=客户对账单!$B$4),COUNTIF(商品库存!$B$4:B298,客户对账单!$B$4),"")</f>
      </c>
      <c r="F298">
        <f>IF(AND(出库明细!C298&lt;&gt;"",出库明细!C298=客户对账单!$B$4,ISNUMBER(出库明细!B298),出库明细!B298&gt;=客户对账单!$G$4,出库明细!B298&lt;=客户对账单!$I$4),出库明细!B298+ROW()/100000,"")</f>
      </c>
      <c r="H298">
        <f>IF(AND(采购进货!C298&lt;&gt;"",采购进货!C298=供应商对账单!$B$4,ISNUMBER(采购进货!B298),采购进货!B298&gt;=供应商对账单!$G$4,采购进货!B298&lt;=供应商对账单!$I$4),采购进货!B298+ROW()/100000,"")</f>
      </c>
      <c r="J298">
        <f>IF(总览汇总!$B298="","",N(总览汇总!$K298)+SUMIFS(出库明细!$G$4:$G$3003,出库明细!$C$4:$C$3003,总览汇总!$B298,出库明细!$B$4:$B$3003,"&gt;="&amp;年初日,出库明细!$B$4:$B$3003,"&lt;="&amp;资产负债表!$D$3)-SUMIFS(资金台帐!$S$7:$S$3006,资金台帐!$J$7:$J$3006,总览汇总!$B298,资金台帐!$P$7:$P$3006,"应收",资金台帐!$B$7:$B$3006,"&gt;="&amp;年初日,资金台帐!$B$7:$B$3006,"&lt;="&amp;资产负债表!$D$3))</f>
      </c>
      <c r="N298">
        <f>IF(AND(ISNUMBER(出库明细!G298),ISNUMBER(出库明细!E298),ISNUMBER(出库明细!F298)),IF(ABS(出库明细!G298-出库明细!E298*出库明细!F298)&gt;0.005,1,0),0)</f>
        <v>0</v>
      </c>
      <c r="O298">
        <f>IF(AND(ISNUMBER(存条明细!G298),ISNUMBER(存条明细!E298),ISNUMBER(存条明细!F298)),IF(ABS(存条明细!G298-存条明细!E298*存条明细!F298)&gt;0.005,1,0),0)</f>
        <v>0</v>
      </c>
    </row>
    <row r="299">
      <c r="A299">
        <f>IF(OR(存条明细!C299="",存条明细!D299=""),"",IF(COUNTIFS(存条明细!$C$4:C299,存条明细!C299,存条明细!$D$4:D299,存条明细!D299)&gt;1,"",IFERROR(MATCH(存条明细!C299,总览汇总!$B$5:$B$304,0),900)*10000000+IFERROR(MATCH(存条明细!D299,基础资料!$E$5:$E$104,0),900)*10000+ROW()))</f>
      </c>
      <c r="B299">
        <f>IFERROR(MATCH(SMALL($A$4:$A$4003,296),$A$4:$A$4003,0),"")</f>
      </c>
      <c r="D299">
        <f>IF(AND(商品库存!B299&lt;&gt;"",商品库存!B299=客户查询!$B$4),COUNTIF(商品库存!$B$4:B299,客户查询!$B$4),"")</f>
      </c>
      <c r="E299">
        <f>IF(AND(商品库存!B299&lt;&gt;"",商品库存!B299=客户对账单!$B$4),COUNTIF(商品库存!$B$4:B299,客户对账单!$B$4),"")</f>
      </c>
      <c r="F299">
        <f>IF(AND(出库明细!C299&lt;&gt;"",出库明细!C299=客户对账单!$B$4,ISNUMBER(出库明细!B299),出库明细!B299&gt;=客户对账单!$G$4,出库明细!B299&lt;=客户对账单!$I$4),出库明细!B299+ROW()/100000,"")</f>
      </c>
      <c r="H299">
        <f>IF(AND(采购进货!C299&lt;&gt;"",采购进货!C299=供应商对账单!$B$4,ISNUMBER(采购进货!B299),采购进货!B299&gt;=供应商对账单!$G$4,采购进货!B299&lt;=供应商对账单!$I$4),采购进货!B299+ROW()/100000,"")</f>
      </c>
      <c r="J299">
        <f>IF(总览汇总!$B299="","",N(总览汇总!$K299)+SUMIFS(出库明细!$G$4:$G$3003,出库明细!$C$4:$C$3003,总览汇总!$B299,出库明细!$B$4:$B$3003,"&gt;="&amp;年初日,出库明细!$B$4:$B$3003,"&lt;="&amp;资产负债表!$D$3)-SUMIFS(资金台帐!$S$7:$S$3006,资金台帐!$J$7:$J$3006,总览汇总!$B299,资金台帐!$P$7:$P$3006,"应收",资金台帐!$B$7:$B$3006,"&gt;="&amp;年初日,资金台帐!$B$7:$B$3006,"&lt;="&amp;资产负债表!$D$3))</f>
      </c>
      <c r="N299">
        <f>IF(AND(ISNUMBER(出库明细!G299),ISNUMBER(出库明细!E299),ISNUMBER(出库明细!F299)),IF(ABS(出库明细!G299-出库明细!E299*出库明细!F299)&gt;0.005,1,0),0)</f>
        <v>0</v>
      </c>
      <c r="O299">
        <f>IF(AND(ISNUMBER(存条明细!G299),ISNUMBER(存条明细!E299),ISNUMBER(存条明细!F299)),IF(ABS(存条明细!G299-存条明细!E299*存条明细!F299)&gt;0.005,1,0),0)</f>
        <v>0</v>
      </c>
    </row>
    <row r="300">
      <c r="A300">
        <f>IF(OR(存条明细!C300="",存条明细!D300=""),"",IF(COUNTIFS(存条明细!$C$4:C300,存条明细!C300,存条明细!$D$4:D300,存条明细!D300)&gt;1,"",IFERROR(MATCH(存条明细!C300,总览汇总!$B$5:$B$304,0),900)*10000000+IFERROR(MATCH(存条明细!D300,基础资料!$E$5:$E$104,0),900)*10000+ROW()))</f>
      </c>
      <c r="B300">
        <f>IFERROR(MATCH(SMALL($A$4:$A$4003,297),$A$4:$A$4003,0),"")</f>
      </c>
      <c r="D300">
        <f>IF(AND(商品库存!B300&lt;&gt;"",商品库存!B300=客户查询!$B$4),COUNTIF(商品库存!$B$4:B300,客户查询!$B$4),"")</f>
      </c>
      <c r="E300">
        <f>IF(AND(商品库存!B300&lt;&gt;"",商品库存!B300=客户对账单!$B$4),COUNTIF(商品库存!$B$4:B300,客户对账单!$B$4),"")</f>
      </c>
      <c r="F300">
        <f>IF(AND(出库明细!C300&lt;&gt;"",出库明细!C300=客户对账单!$B$4,ISNUMBER(出库明细!B300),出库明细!B300&gt;=客户对账单!$G$4,出库明细!B300&lt;=客户对账单!$I$4),出库明细!B300+ROW()/100000,"")</f>
      </c>
      <c r="H300">
        <f>IF(AND(采购进货!C300&lt;&gt;"",采购进货!C300=供应商对账单!$B$4,ISNUMBER(采购进货!B300),采购进货!B300&gt;=供应商对账单!$G$4,采购进货!B300&lt;=供应商对账单!$I$4),采购进货!B300+ROW()/100000,"")</f>
      </c>
      <c r="J300">
        <f>IF(总览汇总!$B300="","",N(总览汇总!$K300)+SUMIFS(出库明细!$G$4:$G$3003,出库明细!$C$4:$C$3003,总览汇总!$B300,出库明细!$B$4:$B$3003,"&gt;="&amp;年初日,出库明细!$B$4:$B$3003,"&lt;="&amp;资产负债表!$D$3)-SUMIFS(资金台帐!$S$7:$S$3006,资金台帐!$J$7:$J$3006,总览汇总!$B300,资金台帐!$P$7:$P$3006,"应收",资金台帐!$B$7:$B$3006,"&gt;="&amp;年初日,资金台帐!$B$7:$B$3006,"&lt;="&amp;资产负债表!$D$3))</f>
      </c>
      <c r="N300">
        <f>IF(AND(ISNUMBER(出库明细!G300),ISNUMBER(出库明细!E300),ISNUMBER(出库明细!F300)),IF(ABS(出库明细!G300-出库明细!E300*出库明细!F300)&gt;0.005,1,0),0)</f>
        <v>0</v>
      </c>
      <c r="O300">
        <f>IF(AND(ISNUMBER(存条明细!G300),ISNUMBER(存条明细!E300),ISNUMBER(存条明细!F300)),IF(ABS(存条明细!G300-存条明细!E300*存条明细!F300)&gt;0.005,1,0),0)</f>
        <v>0</v>
      </c>
    </row>
    <row r="301">
      <c r="A301">
        <f>IF(OR(存条明细!C301="",存条明细!D301=""),"",IF(COUNTIFS(存条明细!$C$4:C301,存条明细!C301,存条明细!$D$4:D301,存条明细!D301)&gt;1,"",IFERROR(MATCH(存条明细!C301,总览汇总!$B$5:$B$304,0),900)*10000000+IFERROR(MATCH(存条明细!D301,基础资料!$E$5:$E$104,0),900)*10000+ROW()))</f>
      </c>
      <c r="B301">
        <f>IFERROR(MATCH(SMALL($A$4:$A$4003,298),$A$4:$A$4003,0),"")</f>
      </c>
      <c r="D301">
        <f>IF(AND(商品库存!B301&lt;&gt;"",商品库存!B301=客户查询!$B$4),COUNTIF(商品库存!$B$4:B301,客户查询!$B$4),"")</f>
      </c>
      <c r="E301">
        <f>IF(AND(商品库存!B301&lt;&gt;"",商品库存!B301=客户对账单!$B$4),COUNTIF(商品库存!$B$4:B301,客户对账单!$B$4),"")</f>
      </c>
      <c r="F301">
        <f>IF(AND(出库明细!C301&lt;&gt;"",出库明细!C301=客户对账单!$B$4,ISNUMBER(出库明细!B301),出库明细!B301&gt;=客户对账单!$G$4,出库明细!B301&lt;=客户对账单!$I$4),出库明细!B301+ROW()/100000,"")</f>
      </c>
      <c r="H301">
        <f>IF(AND(采购进货!C301&lt;&gt;"",采购进货!C301=供应商对账单!$B$4,ISNUMBER(采购进货!B301),采购进货!B301&gt;=供应商对账单!$G$4,采购进货!B301&lt;=供应商对账单!$I$4),采购进货!B301+ROW()/100000,"")</f>
      </c>
      <c r="J301">
        <f>IF(总览汇总!$B301="","",N(总览汇总!$K301)+SUMIFS(出库明细!$G$4:$G$3003,出库明细!$C$4:$C$3003,总览汇总!$B301,出库明细!$B$4:$B$3003,"&gt;="&amp;年初日,出库明细!$B$4:$B$3003,"&lt;="&amp;资产负债表!$D$3)-SUMIFS(资金台帐!$S$7:$S$3006,资金台帐!$J$7:$J$3006,总览汇总!$B301,资金台帐!$P$7:$P$3006,"应收",资金台帐!$B$7:$B$3006,"&gt;="&amp;年初日,资金台帐!$B$7:$B$3006,"&lt;="&amp;资产负债表!$D$3))</f>
      </c>
      <c r="N301">
        <f>IF(AND(ISNUMBER(出库明细!G301),ISNUMBER(出库明细!E301),ISNUMBER(出库明细!F301)),IF(ABS(出库明细!G301-出库明细!E301*出库明细!F301)&gt;0.005,1,0),0)</f>
        <v>0</v>
      </c>
      <c r="O301">
        <f>IF(AND(ISNUMBER(存条明细!G301),ISNUMBER(存条明细!E301),ISNUMBER(存条明细!F301)),IF(ABS(存条明细!G301-存条明细!E301*存条明细!F301)&gt;0.005,1,0),0)</f>
        <v>0</v>
      </c>
    </row>
    <row r="302">
      <c r="A302">
        <f>IF(OR(存条明细!C302="",存条明细!D302=""),"",IF(COUNTIFS(存条明细!$C$4:C302,存条明细!C302,存条明细!$D$4:D302,存条明细!D302)&gt;1,"",IFERROR(MATCH(存条明细!C302,总览汇总!$B$5:$B$304,0),900)*10000000+IFERROR(MATCH(存条明细!D302,基础资料!$E$5:$E$104,0),900)*10000+ROW()))</f>
      </c>
      <c r="B302">
        <f>IFERROR(MATCH(SMALL($A$4:$A$4003,299),$A$4:$A$4003,0),"")</f>
      </c>
      <c r="D302">
        <f>IF(AND(商品库存!B302&lt;&gt;"",商品库存!B302=客户查询!$B$4),COUNTIF(商品库存!$B$4:B302,客户查询!$B$4),"")</f>
      </c>
      <c r="E302">
        <f>IF(AND(商品库存!B302&lt;&gt;"",商品库存!B302=客户对账单!$B$4),COUNTIF(商品库存!$B$4:B302,客户对账单!$B$4),"")</f>
      </c>
      <c r="F302">
        <f>IF(AND(出库明细!C302&lt;&gt;"",出库明细!C302=客户对账单!$B$4,ISNUMBER(出库明细!B302),出库明细!B302&gt;=客户对账单!$G$4,出库明细!B302&lt;=客户对账单!$I$4),出库明细!B302+ROW()/100000,"")</f>
      </c>
      <c r="H302">
        <f>IF(AND(采购进货!C302&lt;&gt;"",采购进货!C302=供应商对账单!$B$4,ISNUMBER(采购进货!B302),采购进货!B302&gt;=供应商对账单!$G$4,采购进货!B302&lt;=供应商对账单!$I$4),采购进货!B302+ROW()/100000,"")</f>
      </c>
      <c r="J302">
        <f>IF(总览汇总!$B302="","",N(总览汇总!$K302)+SUMIFS(出库明细!$G$4:$G$3003,出库明细!$C$4:$C$3003,总览汇总!$B302,出库明细!$B$4:$B$3003,"&gt;="&amp;年初日,出库明细!$B$4:$B$3003,"&lt;="&amp;资产负债表!$D$3)-SUMIFS(资金台帐!$S$7:$S$3006,资金台帐!$J$7:$J$3006,总览汇总!$B302,资金台帐!$P$7:$P$3006,"应收",资金台帐!$B$7:$B$3006,"&gt;="&amp;年初日,资金台帐!$B$7:$B$3006,"&lt;="&amp;资产负债表!$D$3))</f>
      </c>
      <c r="N302">
        <f>IF(AND(ISNUMBER(出库明细!G302),ISNUMBER(出库明细!E302),ISNUMBER(出库明细!F302)),IF(ABS(出库明细!G302-出库明细!E302*出库明细!F302)&gt;0.005,1,0),0)</f>
        <v>0</v>
      </c>
      <c r="O302">
        <f>IF(AND(ISNUMBER(存条明细!G302),ISNUMBER(存条明细!E302),ISNUMBER(存条明细!F302)),IF(ABS(存条明细!G302-存条明细!E302*存条明细!F302)&gt;0.005,1,0),0)</f>
        <v>0</v>
      </c>
    </row>
    <row r="303">
      <c r="A303">
        <f>IF(OR(存条明细!C303="",存条明细!D303=""),"",IF(COUNTIFS(存条明细!$C$4:C303,存条明细!C303,存条明细!$D$4:D303,存条明细!D303)&gt;1,"",IFERROR(MATCH(存条明细!C303,总览汇总!$B$5:$B$304,0),900)*10000000+IFERROR(MATCH(存条明细!D303,基础资料!$E$5:$E$104,0),900)*10000+ROW()))</f>
      </c>
      <c r="B303">
        <f>IFERROR(MATCH(SMALL($A$4:$A$4003,300),$A$4:$A$4003,0),"")</f>
      </c>
      <c r="D303">
        <f>IF(AND(商品库存!B303&lt;&gt;"",商品库存!B303=客户查询!$B$4),COUNTIF(商品库存!$B$4:B303,客户查询!$B$4),"")</f>
      </c>
      <c r="E303">
        <f>IF(AND(商品库存!B303&lt;&gt;"",商品库存!B303=客户对账单!$B$4),COUNTIF(商品库存!$B$4:B303,客户对账单!$B$4),"")</f>
      </c>
      <c r="F303">
        <f>IF(AND(出库明细!C303&lt;&gt;"",出库明细!C303=客户对账单!$B$4,ISNUMBER(出库明细!B303),出库明细!B303&gt;=客户对账单!$G$4,出库明细!B303&lt;=客户对账单!$I$4),出库明细!B303+ROW()/100000,"")</f>
      </c>
      <c r="H303">
        <f>IF(AND(采购进货!C303&lt;&gt;"",采购进货!C303=供应商对账单!$B$4,ISNUMBER(采购进货!B303),采购进货!B303&gt;=供应商对账单!$G$4,采购进货!B303&lt;=供应商对账单!$I$4),采购进货!B303+ROW()/100000,"")</f>
      </c>
      <c r="J303">
        <f>IF(总览汇总!$B303="","",N(总览汇总!$K303)+SUMIFS(出库明细!$G$4:$G$3003,出库明细!$C$4:$C$3003,总览汇总!$B303,出库明细!$B$4:$B$3003,"&gt;="&amp;年初日,出库明细!$B$4:$B$3003,"&lt;="&amp;资产负债表!$D$3)-SUMIFS(资金台帐!$S$7:$S$3006,资金台帐!$J$7:$J$3006,总览汇总!$B303,资金台帐!$P$7:$P$3006,"应收",资金台帐!$B$7:$B$3006,"&gt;="&amp;年初日,资金台帐!$B$7:$B$3006,"&lt;="&amp;资产负债表!$D$3))</f>
      </c>
      <c r="N303">
        <f>IF(AND(ISNUMBER(出库明细!G303),ISNUMBER(出库明细!E303),ISNUMBER(出库明细!F303)),IF(ABS(出库明细!G303-出库明细!E303*出库明细!F303)&gt;0.005,1,0),0)</f>
        <v>0</v>
      </c>
      <c r="O303">
        <f>IF(AND(ISNUMBER(存条明细!G303),ISNUMBER(存条明细!E303),ISNUMBER(存条明细!F303)),IF(ABS(存条明细!G303-存条明细!E303*存条明细!F303)&gt;0.005,1,0),0)</f>
        <v>0</v>
      </c>
    </row>
    <row r="304">
      <c r="A304">
        <f>IF(OR(存条明细!C304="",存条明细!D304=""),"",IF(COUNTIFS(存条明细!$C$4:C304,存条明细!C304,存条明细!$D$4:D304,存条明细!D304)&gt;1,"",IFERROR(MATCH(存条明细!C304,总览汇总!$B$5:$B$304,0),900)*10000000+IFERROR(MATCH(存条明细!D304,基础资料!$E$5:$E$104,0),900)*10000+ROW()))</f>
      </c>
      <c r="B304">
        <f>IFERROR(MATCH(SMALL($A$4:$A$4003,301),$A$4:$A$4003,0),"")</f>
      </c>
      <c r="D304">
        <f>IF(AND(商品库存!B304&lt;&gt;"",商品库存!B304=客户查询!$B$4),COUNTIF(商品库存!$B$4:B304,客户查询!$B$4),"")</f>
      </c>
      <c r="E304">
        <f>IF(AND(商品库存!B304&lt;&gt;"",商品库存!B304=客户对账单!$B$4),COUNTIF(商品库存!$B$4:B304,客户对账单!$B$4),"")</f>
      </c>
      <c r="F304">
        <f>IF(AND(出库明细!C304&lt;&gt;"",出库明细!C304=客户对账单!$B$4,ISNUMBER(出库明细!B304),出库明细!B304&gt;=客户对账单!$G$4,出库明细!B304&lt;=客户对账单!$I$4),出库明细!B304+ROW()/100000,"")</f>
      </c>
      <c r="H304">
        <f>IF(AND(采购进货!C304&lt;&gt;"",采购进货!C304=供应商对账单!$B$4,ISNUMBER(采购进货!B304),采购进货!B304&gt;=供应商对账单!$G$4,采购进货!B304&lt;=供应商对账单!$I$4),采购进货!B304+ROW()/100000,"")</f>
      </c>
      <c r="J304">
        <f>IF(总览汇总!$B304="","",N(总览汇总!$K304)+SUMIFS(出库明细!$G$4:$G$3003,出库明细!$C$4:$C$3003,总览汇总!$B304,出库明细!$B$4:$B$3003,"&gt;="&amp;年初日,出库明细!$B$4:$B$3003,"&lt;="&amp;资产负债表!$D$3)-SUMIFS(资金台帐!$S$7:$S$3006,资金台帐!$J$7:$J$3006,总览汇总!$B304,资金台帐!$P$7:$P$3006,"应收",资金台帐!$B$7:$B$3006,"&gt;="&amp;年初日,资金台帐!$B$7:$B$3006,"&lt;="&amp;资产负债表!$D$3))</f>
      </c>
      <c r="N304">
        <f>IF(AND(ISNUMBER(出库明细!G304),ISNUMBER(出库明细!E304),ISNUMBER(出库明细!F304)),IF(ABS(出库明细!G304-出库明细!E304*出库明细!F304)&gt;0.005,1,0),0)</f>
        <v>0</v>
      </c>
      <c r="O304">
        <f>IF(AND(ISNUMBER(存条明细!G304),ISNUMBER(存条明细!E304),ISNUMBER(存条明细!F304)),IF(ABS(存条明细!G304-存条明细!E304*存条明细!F304)&gt;0.005,1,0),0)</f>
        <v>0</v>
      </c>
    </row>
    <row r="305">
      <c r="A305">
        <f>IF(OR(存条明细!C305="",存条明细!D305=""),"",IF(COUNTIFS(存条明细!$C$4:C305,存条明细!C305,存条明细!$D$4:D305,存条明细!D305)&gt;1,"",IFERROR(MATCH(存条明细!C305,总览汇总!$B$5:$B$304,0),900)*10000000+IFERROR(MATCH(存条明细!D305,基础资料!$E$5:$E$104,0),900)*10000+ROW()))</f>
      </c>
      <c r="B305">
        <f>IFERROR(MATCH(SMALL($A$4:$A$4003,302),$A$4:$A$4003,0),"")</f>
      </c>
      <c r="D305">
        <f>IF(AND(商品库存!B305&lt;&gt;"",商品库存!B305=客户查询!$B$4),COUNTIF(商品库存!$B$4:B305,客户查询!$B$4),"")</f>
      </c>
      <c r="E305">
        <f>IF(AND(商品库存!B305&lt;&gt;"",商品库存!B305=客户对账单!$B$4),COUNTIF(商品库存!$B$4:B305,客户对账单!$B$4),"")</f>
      </c>
      <c r="F305">
        <f>IF(AND(出库明细!C305&lt;&gt;"",出库明细!C305=客户对账单!$B$4,ISNUMBER(出库明细!B305),出库明细!B305&gt;=客户对账单!$G$4,出库明细!B305&lt;=客户对账单!$I$4),出库明细!B305+ROW()/100000,"")</f>
      </c>
      <c r="H305">
        <f>IF(AND(采购进货!C305&lt;&gt;"",采购进货!C305=供应商对账单!$B$4,ISNUMBER(采购进货!B305),采购进货!B305&gt;=供应商对账单!$G$4,采购进货!B305&lt;=供应商对账单!$I$4),采购进货!B305+ROW()/100000,"")</f>
      </c>
      <c r="N305">
        <f>IF(AND(ISNUMBER(出库明细!G305),ISNUMBER(出库明细!E305),ISNUMBER(出库明细!F305)),IF(ABS(出库明细!G305-出库明细!E305*出库明细!F305)&gt;0.005,1,0),0)</f>
        <v>0</v>
      </c>
      <c r="O305">
        <f>IF(AND(ISNUMBER(存条明细!G305),ISNUMBER(存条明细!E305),ISNUMBER(存条明细!F305)),IF(ABS(存条明细!G305-存条明细!E305*存条明细!F305)&gt;0.005,1,0),0)</f>
        <v>0</v>
      </c>
    </row>
    <row r="306">
      <c r="A306">
        <f>IF(OR(存条明细!C306="",存条明细!D306=""),"",IF(COUNTIFS(存条明细!$C$4:C306,存条明细!C306,存条明细!$D$4:D306,存条明细!D306)&gt;1,"",IFERROR(MATCH(存条明细!C306,总览汇总!$B$5:$B$304,0),900)*10000000+IFERROR(MATCH(存条明细!D306,基础资料!$E$5:$E$104,0),900)*10000+ROW()))</f>
      </c>
      <c r="B306">
        <f>IFERROR(MATCH(SMALL($A$4:$A$4003,303),$A$4:$A$4003,0),"")</f>
      </c>
      <c r="D306">
        <f>IF(AND(商品库存!B306&lt;&gt;"",商品库存!B306=客户查询!$B$4),COUNTIF(商品库存!$B$4:B306,客户查询!$B$4),"")</f>
      </c>
      <c r="E306">
        <f>IF(AND(商品库存!B306&lt;&gt;"",商品库存!B306=客户对账单!$B$4),COUNTIF(商品库存!$B$4:B306,客户对账单!$B$4),"")</f>
      </c>
      <c r="F306">
        <f>IF(AND(出库明细!C306&lt;&gt;"",出库明细!C306=客户对账单!$B$4,ISNUMBER(出库明细!B306),出库明细!B306&gt;=客户对账单!$G$4,出库明细!B306&lt;=客户对账单!$I$4),出库明细!B306+ROW()/100000,"")</f>
      </c>
      <c r="H306">
        <f>IF(AND(采购进货!C306&lt;&gt;"",采购进货!C306=供应商对账单!$B$4,ISNUMBER(采购进货!B306),采购进货!B306&gt;=供应商对账单!$G$4,采购进货!B306&lt;=供应商对账单!$I$4),采购进货!B306+ROW()/100000,"")</f>
      </c>
      <c r="N306">
        <f>IF(AND(ISNUMBER(出库明细!G306),ISNUMBER(出库明细!E306),ISNUMBER(出库明细!F306)),IF(ABS(出库明细!G306-出库明细!E306*出库明细!F306)&gt;0.005,1,0),0)</f>
        <v>0</v>
      </c>
      <c r="O306">
        <f>IF(AND(ISNUMBER(存条明细!G306),ISNUMBER(存条明细!E306),ISNUMBER(存条明细!F306)),IF(ABS(存条明细!G306-存条明细!E306*存条明细!F306)&gt;0.005,1,0),0)</f>
        <v>0</v>
      </c>
    </row>
    <row r="307">
      <c r="A307">
        <f>IF(OR(存条明细!C307="",存条明细!D307=""),"",IF(COUNTIFS(存条明细!$C$4:C307,存条明细!C307,存条明细!$D$4:D307,存条明细!D307)&gt;1,"",IFERROR(MATCH(存条明细!C307,总览汇总!$B$5:$B$304,0),900)*10000000+IFERROR(MATCH(存条明细!D307,基础资料!$E$5:$E$104,0),900)*10000+ROW()))</f>
      </c>
      <c r="B307">
        <f>IFERROR(MATCH(SMALL($A$4:$A$4003,304),$A$4:$A$4003,0),"")</f>
      </c>
      <c r="D307">
        <f>IF(AND(商品库存!B307&lt;&gt;"",商品库存!B307=客户查询!$B$4),COUNTIF(商品库存!$B$4:B307,客户查询!$B$4),"")</f>
      </c>
      <c r="E307">
        <f>IF(AND(商品库存!B307&lt;&gt;"",商品库存!B307=客户对账单!$B$4),COUNTIF(商品库存!$B$4:B307,客户对账单!$B$4),"")</f>
      </c>
      <c r="F307">
        <f>IF(AND(出库明细!C307&lt;&gt;"",出库明细!C307=客户对账单!$B$4,ISNUMBER(出库明细!B307),出库明细!B307&gt;=客户对账单!$G$4,出库明细!B307&lt;=客户对账单!$I$4),出库明细!B307+ROW()/100000,"")</f>
      </c>
      <c r="H307">
        <f>IF(AND(采购进货!C307&lt;&gt;"",采购进货!C307=供应商对账单!$B$4,ISNUMBER(采购进货!B307),采购进货!B307&gt;=供应商对账单!$G$4,采购进货!B307&lt;=供应商对账单!$I$4),采购进货!B307+ROW()/100000,"")</f>
      </c>
      <c r="N307">
        <f>IF(AND(ISNUMBER(出库明细!G307),ISNUMBER(出库明细!E307),ISNUMBER(出库明细!F307)),IF(ABS(出库明细!G307-出库明细!E307*出库明细!F307)&gt;0.005,1,0),0)</f>
        <v>0</v>
      </c>
      <c r="O307">
        <f>IF(AND(ISNUMBER(存条明细!G307),ISNUMBER(存条明细!E307),ISNUMBER(存条明细!F307)),IF(ABS(存条明细!G307-存条明细!E307*存条明细!F307)&gt;0.005,1,0),0)</f>
        <v>0</v>
      </c>
    </row>
    <row r="308">
      <c r="A308">
        <f>IF(OR(存条明细!C308="",存条明细!D308=""),"",IF(COUNTIFS(存条明细!$C$4:C308,存条明细!C308,存条明细!$D$4:D308,存条明细!D308)&gt;1,"",IFERROR(MATCH(存条明细!C308,总览汇总!$B$5:$B$304,0),900)*10000000+IFERROR(MATCH(存条明细!D308,基础资料!$E$5:$E$104,0),900)*10000+ROW()))</f>
      </c>
      <c r="B308">
        <f>IFERROR(MATCH(SMALL($A$4:$A$4003,305),$A$4:$A$4003,0),"")</f>
      </c>
      <c r="D308">
        <f>IF(AND(商品库存!B308&lt;&gt;"",商品库存!B308=客户查询!$B$4),COUNTIF(商品库存!$B$4:B308,客户查询!$B$4),"")</f>
      </c>
      <c r="E308">
        <f>IF(AND(商品库存!B308&lt;&gt;"",商品库存!B308=客户对账单!$B$4),COUNTIF(商品库存!$B$4:B308,客户对账单!$B$4),"")</f>
      </c>
      <c r="F308">
        <f>IF(AND(出库明细!C308&lt;&gt;"",出库明细!C308=客户对账单!$B$4,ISNUMBER(出库明细!B308),出库明细!B308&gt;=客户对账单!$G$4,出库明细!B308&lt;=客户对账单!$I$4),出库明细!B308+ROW()/100000,"")</f>
      </c>
      <c r="H308">
        <f>IF(AND(采购进货!C308&lt;&gt;"",采购进货!C308=供应商对账单!$B$4,ISNUMBER(采购进货!B308),采购进货!B308&gt;=供应商对账单!$G$4,采购进货!B308&lt;=供应商对账单!$I$4),采购进货!B308+ROW()/100000,"")</f>
      </c>
      <c r="N308">
        <f>IF(AND(ISNUMBER(出库明细!G308),ISNUMBER(出库明细!E308),ISNUMBER(出库明细!F308)),IF(ABS(出库明细!G308-出库明细!E308*出库明细!F308)&gt;0.005,1,0),0)</f>
        <v>0</v>
      </c>
      <c r="O308">
        <f>IF(AND(ISNUMBER(存条明细!G308),ISNUMBER(存条明细!E308),ISNUMBER(存条明细!F308)),IF(ABS(存条明细!G308-存条明细!E308*存条明细!F308)&gt;0.005,1,0),0)</f>
        <v>0</v>
      </c>
    </row>
    <row r="309">
      <c r="A309">
        <f>IF(OR(存条明细!C309="",存条明细!D309=""),"",IF(COUNTIFS(存条明细!$C$4:C309,存条明细!C309,存条明细!$D$4:D309,存条明细!D309)&gt;1,"",IFERROR(MATCH(存条明细!C309,总览汇总!$B$5:$B$304,0),900)*10000000+IFERROR(MATCH(存条明细!D309,基础资料!$E$5:$E$104,0),900)*10000+ROW()))</f>
      </c>
      <c r="B309">
        <f>IFERROR(MATCH(SMALL($A$4:$A$4003,306),$A$4:$A$4003,0),"")</f>
      </c>
      <c r="D309">
        <f>IF(AND(商品库存!B309&lt;&gt;"",商品库存!B309=客户查询!$B$4),COUNTIF(商品库存!$B$4:B309,客户查询!$B$4),"")</f>
      </c>
      <c r="E309">
        <f>IF(AND(商品库存!B309&lt;&gt;"",商品库存!B309=客户对账单!$B$4),COUNTIF(商品库存!$B$4:B309,客户对账单!$B$4),"")</f>
      </c>
      <c r="F309">
        <f>IF(AND(出库明细!C309&lt;&gt;"",出库明细!C309=客户对账单!$B$4,ISNUMBER(出库明细!B309),出库明细!B309&gt;=客户对账单!$G$4,出库明细!B309&lt;=客户对账单!$I$4),出库明细!B309+ROW()/100000,"")</f>
      </c>
      <c r="H309">
        <f>IF(AND(采购进货!C309&lt;&gt;"",采购进货!C309=供应商对账单!$B$4,ISNUMBER(采购进货!B309),采购进货!B309&gt;=供应商对账单!$G$4,采购进货!B309&lt;=供应商对账单!$I$4),采购进货!B309+ROW()/100000,"")</f>
      </c>
      <c r="N309">
        <f>IF(AND(ISNUMBER(出库明细!G309),ISNUMBER(出库明细!E309),ISNUMBER(出库明细!F309)),IF(ABS(出库明细!G309-出库明细!E309*出库明细!F309)&gt;0.005,1,0),0)</f>
        <v>0</v>
      </c>
      <c r="O309">
        <f>IF(AND(ISNUMBER(存条明细!G309),ISNUMBER(存条明细!E309),ISNUMBER(存条明细!F309)),IF(ABS(存条明细!G309-存条明细!E309*存条明细!F309)&gt;0.005,1,0),0)</f>
        <v>0</v>
      </c>
    </row>
    <row r="310">
      <c r="A310">
        <f>IF(OR(存条明细!C310="",存条明细!D310=""),"",IF(COUNTIFS(存条明细!$C$4:C310,存条明细!C310,存条明细!$D$4:D310,存条明细!D310)&gt;1,"",IFERROR(MATCH(存条明细!C310,总览汇总!$B$5:$B$304,0),900)*10000000+IFERROR(MATCH(存条明细!D310,基础资料!$E$5:$E$104,0),900)*10000+ROW()))</f>
      </c>
      <c r="B310">
        <f>IFERROR(MATCH(SMALL($A$4:$A$4003,307),$A$4:$A$4003,0),"")</f>
      </c>
      <c r="D310">
        <f>IF(AND(商品库存!B310&lt;&gt;"",商品库存!B310=客户查询!$B$4),COUNTIF(商品库存!$B$4:B310,客户查询!$B$4),"")</f>
      </c>
      <c r="E310">
        <f>IF(AND(商品库存!B310&lt;&gt;"",商品库存!B310=客户对账单!$B$4),COUNTIF(商品库存!$B$4:B310,客户对账单!$B$4),"")</f>
      </c>
      <c r="F310">
        <f>IF(AND(出库明细!C310&lt;&gt;"",出库明细!C310=客户对账单!$B$4,ISNUMBER(出库明细!B310),出库明细!B310&gt;=客户对账单!$G$4,出库明细!B310&lt;=客户对账单!$I$4),出库明细!B310+ROW()/100000,"")</f>
      </c>
      <c r="H310">
        <f>IF(AND(采购进货!C310&lt;&gt;"",采购进货!C310=供应商对账单!$B$4,ISNUMBER(采购进货!B310),采购进货!B310&gt;=供应商对账单!$G$4,采购进货!B310&lt;=供应商对账单!$I$4),采购进货!B310+ROW()/100000,"")</f>
      </c>
      <c r="N310">
        <f>IF(AND(ISNUMBER(出库明细!G310),ISNUMBER(出库明细!E310),ISNUMBER(出库明细!F310)),IF(ABS(出库明细!G310-出库明细!E310*出库明细!F310)&gt;0.005,1,0),0)</f>
        <v>0</v>
      </c>
      <c r="O310">
        <f>IF(AND(ISNUMBER(存条明细!G310),ISNUMBER(存条明细!E310),ISNUMBER(存条明细!F310)),IF(ABS(存条明细!G310-存条明细!E310*存条明细!F310)&gt;0.005,1,0),0)</f>
        <v>0</v>
      </c>
    </row>
    <row r="311">
      <c r="A311">
        <f>IF(OR(存条明细!C311="",存条明细!D311=""),"",IF(COUNTIFS(存条明细!$C$4:C311,存条明细!C311,存条明细!$D$4:D311,存条明细!D311)&gt;1,"",IFERROR(MATCH(存条明细!C311,总览汇总!$B$5:$B$304,0),900)*10000000+IFERROR(MATCH(存条明细!D311,基础资料!$E$5:$E$104,0),900)*10000+ROW()))</f>
      </c>
      <c r="B311">
        <f>IFERROR(MATCH(SMALL($A$4:$A$4003,308),$A$4:$A$4003,0),"")</f>
      </c>
      <c r="D311">
        <f>IF(AND(商品库存!B311&lt;&gt;"",商品库存!B311=客户查询!$B$4),COUNTIF(商品库存!$B$4:B311,客户查询!$B$4),"")</f>
      </c>
      <c r="E311">
        <f>IF(AND(商品库存!B311&lt;&gt;"",商品库存!B311=客户对账单!$B$4),COUNTIF(商品库存!$B$4:B311,客户对账单!$B$4),"")</f>
      </c>
      <c r="F311">
        <f>IF(AND(出库明细!C311&lt;&gt;"",出库明细!C311=客户对账单!$B$4,ISNUMBER(出库明细!B311),出库明细!B311&gt;=客户对账单!$G$4,出库明细!B311&lt;=客户对账单!$I$4),出库明细!B311+ROW()/100000,"")</f>
      </c>
      <c r="H311">
        <f>IF(AND(采购进货!C311&lt;&gt;"",采购进货!C311=供应商对账单!$B$4,ISNUMBER(采购进货!B311),采购进货!B311&gt;=供应商对账单!$G$4,采购进货!B311&lt;=供应商对账单!$I$4),采购进货!B311+ROW()/100000,"")</f>
      </c>
      <c r="N311">
        <f>IF(AND(ISNUMBER(出库明细!G311),ISNUMBER(出库明细!E311),ISNUMBER(出库明细!F311)),IF(ABS(出库明细!G311-出库明细!E311*出库明细!F311)&gt;0.005,1,0),0)</f>
        <v>0</v>
      </c>
      <c r="O311">
        <f>IF(AND(ISNUMBER(存条明细!G311),ISNUMBER(存条明细!E311),ISNUMBER(存条明细!F311)),IF(ABS(存条明细!G311-存条明细!E311*存条明细!F311)&gt;0.005,1,0),0)</f>
        <v>0</v>
      </c>
    </row>
    <row r="312">
      <c r="A312">
        <f>IF(OR(存条明细!C312="",存条明细!D312=""),"",IF(COUNTIFS(存条明细!$C$4:C312,存条明细!C312,存条明细!$D$4:D312,存条明细!D312)&gt;1,"",IFERROR(MATCH(存条明细!C312,总览汇总!$B$5:$B$304,0),900)*10000000+IFERROR(MATCH(存条明细!D312,基础资料!$E$5:$E$104,0),900)*10000+ROW()))</f>
      </c>
      <c r="B312">
        <f>IFERROR(MATCH(SMALL($A$4:$A$4003,309),$A$4:$A$4003,0),"")</f>
      </c>
      <c r="D312">
        <f>IF(AND(商品库存!B312&lt;&gt;"",商品库存!B312=客户查询!$B$4),COUNTIF(商品库存!$B$4:B312,客户查询!$B$4),"")</f>
      </c>
      <c r="E312">
        <f>IF(AND(商品库存!B312&lt;&gt;"",商品库存!B312=客户对账单!$B$4),COUNTIF(商品库存!$B$4:B312,客户对账单!$B$4),"")</f>
      </c>
      <c r="F312">
        <f>IF(AND(出库明细!C312&lt;&gt;"",出库明细!C312=客户对账单!$B$4,ISNUMBER(出库明细!B312),出库明细!B312&gt;=客户对账单!$G$4,出库明细!B312&lt;=客户对账单!$I$4),出库明细!B312+ROW()/100000,"")</f>
      </c>
      <c r="H312">
        <f>IF(AND(采购进货!C312&lt;&gt;"",采购进货!C312=供应商对账单!$B$4,ISNUMBER(采购进货!B312),采购进货!B312&gt;=供应商对账单!$G$4,采购进货!B312&lt;=供应商对账单!$I$4),采购进货!B312+ROW()/100000,"")</f>
      </c>
      <c r="N312">
        <f>IF(AND(ISNUMBER(出库明细!G312),ISNUMBER(出库明细!E312),ISNUMBER(出库明细!F312)),IF(ABS(出库明细!G312-出库明细!E312*出库明细!F312)&gt;0.005,1,0),0)</f>
        <v>0</v>
      </c>
      <c r="O312">
        <f>IF(AND(ISNUMBER(存条明细!G312),ISNUMBER(存条明细!E312),ISNUMBER(存条明细!F312)),IF(ABS(存条明细!G312-存条明细!E312*存条明细!F312)&gt;0.005,1,0),0)</f>
        <v>0</v>
      </c>
    </row>
    <row r="313">
      <c r="A313">
        <f>IF(OR(存条明细!C313="",存条明细!D313=""),"",IF(COUNTIFS(存条明细!$C$4:C313,存条明细!C313,存条明细!$D$4:D313,存条明细!D313)&gt;1,"",IFERROR(MATCH(存条明细!C313,总览汇总!$B$5:$B$304,0),900)*10000000+IFERROR(MATCH(存条明细!D313,基础资料!$E$5:$E$104,0),900)*10000+ROW()))</f>
      </c>
      <c r="B313">
        <f>IFERROR(MATCH(SMALL($A$4:$A$4003,310),$A$4:$A$4003,0),"")</f>
      </c>
      <c r="D313">
        <f>IF(AND(商品库存!B313&lt;&gt;"",商品库存!B313=客户查询!$B$4),COUNTIF(商品库存!$B$4:B313,客户查询!$B$4),"")</f>
      </c>
      <c r="E313">
        <f>IF(AND(商品库存!B313&lt;&gt;"",商品库存!B313=客户对账单!$B$4),COUNTIF(商品库存!$B$4:B313,客户对账单!$B$4),"")</f>
      </c>
      <c r="F313">
        <f>IF(AND(出库明细!C313&lt;&gt;"",出库明细!C313=客户对账单!$B$4,ISNUMBER(出库明细!B313),出库明细!B313&gt;=客户对账单!$G$4,出库明细!B313&lt;=客户对账单!$I$4),出库明细!B313+ROW()/100000,"")</f>
      </c>
      <c r="H313">
        <f>IF(AND(采购进货!C313&lt;&gt;"",采购进货!C313=供应商对账单!$B$4,ISNUMBER(采购进货!B313),采购进货!B313&gt;=供应商对账单!$G$4,采购进货!B313&lt;=供应商对账单!$I$4),采购进货!B313+ROW()/100000,"")</f>
      </c>
      <c r="N313">
        <f>IF(AND(ISNUMBER(出库明细!G313),ISNUMBER(出库明细!E313),ISNUMBER(出库明细!F313)),IF(ABS(出库明细!G313-出库明细!E313*出库明细!F313)&gt;0.005,1,0),0)</f>
        <v>0</v>
      </c>
      <c r="O313">
        <f>IF(AND(ISNUMBER(存条明细!G313),ISNUMBER(存条明细!E313),ISNUMBER(存条明细!F313)),IF(ABS(存条明细!G313-存条明细!E313*存条明细!F313)&gt;0.005,1,0),0)</f>
        <v>0</v>
      </c>
    </row>
    <row r="314">
      <c r="A314">
        <f>IF(OR(存条明细!C314="",存条明细!D314=""),"",IF(COUNTIFS(存条明细!$C$4:C314,存条明细!C314,存条明细!$D$4:D314,存条明细!D314)&gt;1,"",IFERROR(MATCH(存条明细!C314,总览汇总!$B$5:$B$304,0),900)*10000000+IFERROR(MATCH(存条明细!D314,基础资料!$E$5:$E$104,0),900)*10000+ROW()))</f>
      </c>
      <c r="B314">
        <f>IFERROR(MATCH(SMALL($A$4:$A$4003,311),$A$4:$A$4003,0),"")</f>
      </c>
      <c r="D314">
        <f>IF(AND(商品库存!B314&lt;&gt;"",商品库存!B314=客户查询!$B$4),COUNTIF(商品库存!$B$4:B314,客户查询!$B$4),"")</f>
      </c>
      <c r="E314">
        <f>IF(AND(商品库存!B314&lt;&gt;"",商品库存!B314=客户对账单!$B$4),COUNTIF(商品库存!$B$4:B314,客户对账单!$B$4),"")</f>
      </c>
      <c r="F314">
        <f>IF(AND(出库明细!C314&lt;&gt;"",出库明细!C314=客户对账单!$B$4,ISNUMBER(出库明细!B314),出库明细!B314&gt;=客户对账单!$G$4,出库明细!B314&lt;=客户对账单!$I$4),出库明细!B314+ROW()/100000,"")</f>
      </c>
      <c r="H314">
        <f>IF(AND(采购进货!C314&lt;&gt;"",采购进货!C314=供应商对账单!$B$4,ISNUMBER(采购进货!B314),采购进货!B314&gt;=供应商对账单!$G$4,采购进货!B314&lt;=供应商对账单!$I$4),采购进货!B314+ROW()/100000,"")</f>
      </c>
      <c r="N314">
        <f>IF(AND(ISNUMBER(出库明细!G314),ISNUMBER(出库明细!E314),ISNUMBER(出库明细!F314)),IF(ABS(出库明细!G314-出库明细!E314*出库明细!F314)&gt;0.005,1,0),0)</f>
        <v>0</v>
      </c>
      <c r="O314">
        <f>IF(AND(ISNUMBER(存条明细!G314),ISNUMBER(存条明细!E314),ISNUMBER(存条明细!F314)),IF(ABS(存条明细!G314-存条明细!E314*存条明细!F314)&gt;0.005,1,0),0)</f>
        <v>0</v>
      </c>
    </row>
    <row r="315">
      <c r="A315">
        <f>IF(OR(存条明细!C315="",存条明细!D315=""),"",IF(COUNTIFS(存条明细!$C$4:C315,存条明细!C315,存条明细!$D$4:D315,存条明细!D315)&gt;1,"",IFERROR(MATCH(存条明细!C315,总览汇总!$B$5:$B$304,0),900)*10000000+IFERROR(MATCH(存条明细!D315,基础资料!$E$5:$E$104,0),900)*10000+ROW()))</f>
      </c>
      <c r="B315">
        <f>IFERROR(MATCH(SMALL($A$4:$A$4003,312),$A$4:$A$4003,0),"")</f>
      </c>
      <c r="D315">
        <f>IF(AND(商品库存!B315&lt;&gt;"",商品库存!B315=客户查询!$B$4),COUNTIF(商品库存!$B$4:B315,客户查询!$B$4),"")</f>
      </c>
      <c r="E315">
        <f>IF(AND(商品库存!B315&lt;&gt;"",商品库存!B315=客户对账单!$B$4),COUNTIF(商品库存!$B$4:B315,客户对账单!$B$4),"")</f>
      </c>
      <c r="F315">
        <f>IF(AND(出库明细!C315&lt;&gt;"",出库明细!C315=客户对账单!$B$4,ISNUMBER(出库明细!B315),出库明细!B315&gt;=客户对账单!$G$4,出库明细!B315&lt;=客户对账单!$I$4),出库明细!B315+ROW()/100000,"")</f>
      </c>
      <c r="H315">
        <f>IF(AND(采购进货!C315&lt;&gt;"",采购进货!C315=供应商对账单!$B$4,ISNUMBER(采购进货!B315),采购进货!B315&gt;=供应商对账单!$G$4,采购进货!B315&lt;=供应商对账单!$I$4),采购进货!B315+ROW()/100000,"")</f>
      </c>
      <c r="N315">
        <f>IF(AND(ISNUMBER(出库明细!G315),ISNUMBER(出库明细!E315),ISNUMBER(出库明细!F315)),IF(ABS(出库明细!G315-出库明细!E315*出库明细!F315)&gt;0.005,1,0),0)</f>
        <v>0</v>
      </c>
      <c r="O315">
        <f>IF(AND(ISNUMBER(存条明细!G315),ISNUMBER(存条明细!E315),ISNUMBER(存条明细!F315)),IF(ABS(存条明细!G315-存条明细!E315*存条明细!F315)&gt;0.005,1,0),0)</f>
        <v>0</v>
      </c>
    </row>
    <row r="316">
      <c r="A316">
        <f>IF(OR(存条明细!C316="",存条明细!D316=""),"",IF(COUNTIFS(存条明细!$C$4:C316,存条明细!C316,存条明细!$D$4:D316,存条明细!D316)&gt;1,"",IFERROR(MATCH(存条明细!C316,总览汇总!$B$5:$B$304,0),900)*10000000+IFERROR(MATCH(存条明细!D316,基础资料!$E$5:$E$104,0),900)*10000+ROW()))</f>
      </c>
      <c r="B316">
        <f>IFERROR(MATCH(SMALL($A$4:$A$4003,313),$A$4:$A$4003,0),"")</f>
      </c>
      <c r="D316">
        <f>IF(AND(商品库存!B316&lt;&gt;"",商品库存!B316=客户查询!$B$4),COUNTIF(商品库存!$B$4:B316,客户查询!$B$4),"")</f>
      </c>
      <c r="E316">
        <f>IF(AND(商品库存!B316&lt;&gt;"",商品库存!B316=客户对账单!$B$4),COUNTIF(商品库存!$B$4:B316,客户对账单!$B$4),"")</f>
      </c>
      <c r="F316">
        <f>IF(AND(出库明细!C316&lt;&gt;"",出库明细!C316=客户对账单!$B$4,ISNUMBER(出库明细!B316),出库明细!B316&gt;=客户对账单!$G$4,出库明细!B316&lt;=客户对账单!$I$4),出库明细!B316+ROW()/100000,"")</f>
      </c>
      <c r="H316">
        <f>IF(AND(采购进货!C316&lt;&gt;"",采购进货!C316=供应商对账单!$B$4,ISNUMBER(采购进货!B316),采购进货!B316&gt;=供应商对账单!$G$4,采购进货!B316&lt;=供应商对账单!$I$4),采购进货!B316+ROW()/100000,"")</f>
      </c>
      <c r="N316">
        <f>IF(AND(ISNUMBER(出库明细!G316),ISNUMBER(出库明细!E316),ISNUMBER(出库明细!F316)),IF(ABS(出库明细!G316-出库明细!E316*出库明细!F316)&gt;0.005,1,0),0)</f>
        <v>0</v>
      </c>
      <c r="O316">
        <f>IF(AND(ISNUMBER(存条明细!G316),ISNUMBER(存条明细!E316),ISNUMBER(存条明细!F316)),IF(ABS(存条明细!G316-存条明细!E316*存条明细!F316)&gt;0.005,1,0),0)</f>
        <v>0</v>
      </c>
    </row>
    <row r="317">
      <c r="A317">
        <f>IF(OR(存条明细!C317="",存条明细!D317=""),"",IF(COUNTIFS(存条明细!$C$4:C317,存条明细!C317,存条明细!$D$4:D317,存条明细!D317)&gt;1,"",IFERROR(MATCH(存条明细!C317,总览汇总!$B$5:$B$304,0),900)*10000000+IFERROR(MATCH(存条明细!D317,基础资料!$E$5:$E$104,0),900)*10000+ROW()))</f>
      </c>
      <c r="B317">
        <f>IFERROR(MATCH(SMALL($A$4:$A$4003,314),$A$4:$A$4003,0),"")</f>
      </c>
      <c r="D317">
        <f>IF(AND(商品库存!B317&lt;&gt;"",商品库存!B317=客户查询!$B$4),COUNTIF(商品库存!$B$4:B317,客户查询!$B$4),"")</f>
      </c>
      <c r="E317">
        <f>IF(AND(商品库存!B317&lt;&gt;"",商品库存!B317=客户对账单!$B$4),COUNTIF(商品库存!$B$4:B317,客户对账单!$B$4),"")</f>
      </c>
      <c r="F317">
        <f>IF(AND(出库明细!C317&lt;&gt;"",出库明细!C317=客户对账单!$B$4,ISNUMBER(出库明细!B317),出库明细!B317&gt;=客户对账单!$G$4,出库明细!B317&lt;=客户对账单!$I$4),出库明细!B317+ROW()/100000,"")</f>
      </c>
      <c r="H317">
        <f>IF(AND(采购进货!C317&lt;&gt;"",采购进货!C317=供应商对账单!$B$4,ISNUMBER(采购进货!B317),采购进货!B317&gt;=供应商对账单!$G$4,采购进货!B317&lt;=供应商对账单!$I$4),采购进货!B317+ROW()/100000,"")</f>
      </c>
      <c r="N317">
        <f>IF(AND(ISNUMBER(出库明细!G317),ISNUMBER(出库明细!E317),ISNUMBER(出库明细!F317)),IF(ABS(出库明细!G317-出库明细!E317*出库明细!F317)&gt;0.005,1,0),0)</f>
        <v>0</v>
      </c>
      <c r="O317">
        <f>IF(AND(ISNUMBER(存条明细!G317),ISNUMBER(存条明细!E317),ISNUMBER(存条明细!F317)),IF(ABS(存条明细!G317-存条明细!E317*存条明细!F317)&gt;0.005,1,0),0)</f>
        <v>0</v>
      </c>
    </row>
    <row r="318">
      <c r="A318">
        <f>IF(OR(存条明细!C318="",存条明细!D318=""),"",IF(COUNTIFS(存条明细!$C$4:C318,存条明细!C318,存条明细!$D$4:D318,存条明细!D318)&gt;1,"",IFERROR(MATCH(存条明细!C318,总览汇总!$B$5:$B$304,0),900)*10000000+IFERROR(MATCH(存条明细!D318,基础资料!$E$5:$E$104,0),900)*10000+ROW()))</f>
      </c>
      <c r="B318">
        <f>IFERROR(MATCH(SMALL($A$4:$A$4003,315),$A$4:$A$4003,0),"")</f>
      </c>
      <c r="D318">
        <f>IF(AND(商品库存!B318&lt;&gt;"",商品库存!B318=客户查询!$B$4),COUNTIF(商品库存!$B$4:B318,客户查询!$B$4),"")</f>
      </c>
      <c r="E318">
        <f>IF(AND(商品库存!B318&lt;&gt;"",商品库存!B318=客户对账单!$B$4),COUNTIF(商品库存!$B$4:B318,客户对账单!$B$4),"")</f>
      </c>
      <c r="F318">
        <f>IF(AND(出库明细!C318&lt;&gt;"",出库明细!C318=客户对账单!$B$4,ISNUMBER(出库明细!B318),出库明细!B318&gt;=客户对账单!$G$4,出库明细!B318&lt;=客户对账单!$I$4),出库明细!B318+ROW()/100000,"")</f>
      </c>
      <c r="H318">
        <f>IF(AND(采购进货!C318&lt;&gt;"",采购进货!C318=供应商对账单!$B$4,ISNUMBER(采购进货!B318),采购进货!B318&gt;=供应商对账单!$G$4,采购进货!B318&lt;=供应商对账单!$I$4),采购进货!B318+ROW()/100000,"")</f>
      </c>
      <c r="N318">
        <f>IF(AND(ISNUMBER(出库明细!G318),ISNUMBER(出库明细!E318),ISNUMBER(出库明细!F318)),IF(ABS(出库明细!G318-出库明细!E318*出库明细!F318)&gt;0.005,1,0),0)</f>
        <v>0</v>
      </c>
      <c r="O318">
        <f>IF(AND(ISNUMBER(存条明细!G318),ISNUMBER(存条明细!E318),ISNUMBER(存条明细!F318)),IF(ABS(存条明细!G318-存条明细!E318*存条明细!F318)&gt;0.005,1,0),0)</f>
        <v>0</v>
      </c>
    </row>
    <row r="319">
      <c r="A319">
        <f>IF(OR(存条明细!C319="",存条明细!D319=""),"",IF(COUNTIFS(存条明细!$C$4:C319,存条明细!C319,存条明细!$D$4:D319,存条明细!D319)&gt;1,"",IFERROR(MATCH(存条明细!C319,总览汇总!$B$5:$B$304,0),900)*10000000+IFERROR(MATCH(存条明细!D319,基础资料!$E$5:$E$104,0),900)*10000+ROW()))</f>
      </c>
      <c r="B319">
        <f>IFERROR(MATCH(SMALL($A$4:$A$4003,316),$A$4:$A$4003,0),"")</f>
      </c>
      <c r="D319">
        <f>IF(AND(商品库存!B319&lt;&gt;"",商品库存!B319=客户查询!$B$4),COUNTIF(商品库存!$B$4:B319,客户查询!$B$4),"")</f>
      </c>
      <c r="E319">
        <f>IF(AND(商品库存!B319&lt;&gt;"",商品库存!B319=客户对账单!$B$4),COUNTIF(商品库存!$B$4:B319,客户对账单!$B$4),"")</f>
      </c>
      <c r="F319">
        <f>IF(AND(出库明细!C319&lt;&gt;"",出库明细!C319=客户对账单!$B$4,ISNUMBER(出库明细!B319),出库明细!B319&gt;=客户对账单!$G$4,出库明细!B319&lt;=客户对账单!$I$4),出库明细!B319+ROW()/100000,"")</f>
      </c>
      <c r="H319">
        <f>IF(AND(采购进货!C319&lt;&gt;"",采购进货!C319=供应商对账单!$B$4,ISNUMBER(采购进货!B319),采购进货!B319&gt;=供应商对账单!$G$4,采购进货!B319&lt;=供应商对账单!$I$4),采购进货!B319+ROW()/100000,"")</f>
      </c>
      <c r="N319">
        <f>IF(AND(ISNUMBER(出库明细!G319),ISNUMBER(出库明细!E319),ISNUMBER(出库明细!F319)),IF(ABS(出库明细!G319-出库明细!E319*出库明细!F319)&gt;0.005,1,0),0)</f>
        <v>0</v>
      </c>
      <c r="O319">
        <f>IF(AND(ISNUMBER(存条明细!G319),ISNUMBER(存条明细!E319),ISNUMBER(存条明细!F319)),IF(ABS(存条明细!G319-存条明细!E319*存条明细!F319)&gt;0.005,1,0),0)</f>
        <v>0</v>
      </c>
    </row>
    <row r="320">
      <c r="A320">
        <f>IF(OR(存条明细!C320="",存条明细!D320=""),"",IF(COUNTIFS(存条明细!$C$4:C320,存条明细!C320,存条明细!$D$4:D320,存条明细!D320)&gt;1,"",IFERROR(MATCH(存条明细!C320,总览汇总!$B$5:$B$304,0),900)*10000000+IFERROR(MATCH(存条明细!D320,基础资料!$E$5:$E$104,0),900)*10000+ROW()))</f>
      </c>
      <c r="B320">
        <f>IFERROR(MATCH(SMALL($A$4:$A$4003,317),$A$4:$A$4003,0),"")</f>
      </c>
      <c r="D320">
        <f>IF(AND(商品库存!B320&lt;&gt;"",商品库存!B320=客户查询!$B$4),COUNTIF(商品库存!$B$4:B320,客户查询!$B$4),"")</f>
      </c>
      <c r="E320">
        <f>IF(AND(商品库存!B320&lt;&gt;"",商品库存!B320=客户对账单!$B$4),COUNTIF(商品库存!$B$4:B320,客户对账单!$B$4),"")</f>
      </c>
      <c r="F320">
        <f>IF(AND(出库明细!C320&lt;&gt;"",出库明细!C320=客户对账单!$B$4,ISNUMBER(出库明细!B320),出库明细!B320&gt;=客户对账单!$G$4,出库明细!B320&lt;=客户对账单!$I$4),出库明细!B320+ROW()/100000,"")</f>
      </c>
      <c r="H320">
        <f>IF(AND(采购进货!C320&lt;&gt;"",采购进货!C320=供应商对账单!$B$4,ISNUMBER(采购进货!B320),采购进货!B320&gt;=供应商对账单!$G$4,采购进货!B320&lt;=供应商对账单!$I$4),采购进货!B320+ROW()/100000,"")</f>
      </c>
      <c r="N320">
        <f>IF(AND(ISNUMBER(出库明细!G320),ISNUMBER(出库明细!E320),ISNUMBER(出库明细!F320)),IF(ABS(出库明细!G320-出库明细!E320*出库明细!F320)&gt;0.005,1,0),0)</f>
        <v>0</v>
      </c>
      <c r="O320">
        <f>IF(AND(ISNUMBER(存条明细!G320),ISNUMBER(存条明细!E320),ISNUMBER(存条明细!F320)),IF(ABS(存条明细!G320-存条明细!E320*存条明细!F320)&gt;0.005,1,0),0)</f>
        <v>0</v>
      </c>
    </row>
    <row r="321">
      <c r="A321">
        <f>IF(OR(存条明细!C321="",存条明细!D321=""),"",IF(COUNTIFS(存条明细!$C$4:C321,存条明细!C321,存条明细!$D$4:D321,存条明细!D321)&gt;1,"",IFERROR(MATCH(存条明细!C321,总览汇总!$B$5:$B$304,0),900)*10000000+IFERROR(MATCH(存条明细!D321,基础资料!$E$5:$E$104,0),900)*10000+ROW()))</f>
      </c>
      <c r="B321">
        <f>IFERROR(MATCH(SMALL($A$4:$A$4003,318),$A$4:$A$4003,0),"")</f>
      </c>
      <c r="D321">
        <f>IF(AND(商品库存!B321&lt;&gt;"",商品库存!B321=客户查询!$B$4),COUNTIF(商品库存!$B$4:B321,客户查询!$B$4),"")</f>
      </c>
      <c r="E321">
        <f>IF(AND(商品库存!B321&lt;&gt;"",商品库存!B321=客户对账单!$B$4),COUNTIF(商品库存!$B$4:B321,客户对账单!$B$4),"")</f>
      </c>
      <c r="F321">
        <f>IF(AND(出库明细!C321&lt;&gt;"",出库明细!C321=客户对账单!$B$4,ISNUMBER(出库明细!B321),出库明细!B321&gt;=客户对账单!$G$4,出库明细!B321&lt;=客户对账单!$I$4),出库明细!B321+ROW()/100000,"")</f>
      </c>
      <c r="H321">
        <f>IF(AND(采购进货!C321&lt;&gt;"",采购进货!C321=供应商对账单!$B$4,ISNUMBER(采购进货!B321),采购进货!B321&gt;=供应商对账单!$G$4,采购进货!B321&lt;=供应商对账单!$I$4),采购进货!B321+ROW()/100000,"")</f>
      </c>
      <c r="N321">
        <f>IF(AND(ISNUMBER(出库明细!G321),ISNUMBER(出库明细!E321),ISNUMBER(出库明细!F321)),IF(ABS(出库明细!G321-出库明细!E321*出库明细!F321)&gt;0.005,1,0),0)</f>
        <v>0</v>
      </c>
      <c r="O321">
        <f>IF(AND(ISNUMBER(存条明细!G321),ISNUMBER(存条明细!E321),ISNUMBER(存条明细!F321)),IF(ABS(存条明细!G321-存条明细!E321*存条明细!F321)&gt;0.005,1,0),0)</f>
        <v>0</v>
      </c>
    </row>
    <row r="322">
      <c r="A322">
        <f>IF(OR(存条明细!C322="",存条明细!D322=""),"",IF(COUNTIFS(存条明细!$C$4:C322,存条明细!C322,存条明细!$D$4:D322,存条明细!D322)&gt;1,"",IFERROR(MATCH(存条明细!C322,总览汇总!$B$5:$B$304,0),900)*10000000+IFERROR(MATCH(存条明细!D322,基础资料!$E$5:$E$104,0),900)*10000+ROW()))</f>
      </c>
      <c r="B322">
        <f>IFERROR(MATCH(SMALL($A$4:$A$4003,319),$A$4:$A$4003,0),"")</f>
      </c>
      <c r="D322">
        <f>IF(AND(商品库存!B322&lt;&gt;"",商品库存!B322=客户查询!$B$4),COUNTIF(商品库存!$B$4:B322,客户查询!$B$4),"")</f>
      </c>
      <c r="E322">
        <f>IF(AND(商品库存!B322&lt;&gt;"",商品库存!B322=客户对账单!$B$4),COUNTIF(商品库存!$B$4:B322,客户对账单!$B$4),"")</f>
      </c>
      <c r="F322">
        <f>IF(AND(出库明细!C322&lt;&gt;"",出库明细!C322=客户对账单!$B$4,ISNUMBER(出库明细!B322),出库明细!B322&gt;=客户对账单!$G$4,出库明细!B322&lt;=客户对账单!$I$4),出库明细!B322+ROW()/100000,"")</f>
      </c>
      <c r="H322">
        <f>IF(AND(采购进货!C322&lt;&gt;"",采购进货!C322=供应商对账单!$B$4,ISNUMBER(采购进货!B322),采购进货!B322&gt;=供应商对账单!$G$4,采购进货!B322&lt;=供应商对账单!$I$4),采购进货!B322+ROW()/100000,"")</f>
      </c>
      <c r="N322">
        <f>IF(AND(ISNUMBER(出库明细!G322),ISNUMBER(出库明细!E322),ISNUMBER(出库明细!F322)),IF(ABS(出库明细!G322-出库明细!E322*出库明细!F322)&gt;0.005,1,0),0)</f>
        <v>0</v>
      </c>
      <c r="O322">
        <f>IF(AND(ISNUMBER(存条明细!G322),ISNUMBER(存条明细!E322),ISNUMBER(存条明细!F322)),IF(ABS(存条明细!G322-存条明细!E322*存条明细!F322)&gt;0.005,1,0),0)</f>
        <v>0</v>
      </c>
    </row>
    <row r="323">
      <c r="A323">
        <f>IF(OR(存条明细!C323="",存条明细!D323=""),"",IF(COUNTIFS(存条明细!$C$4:C323,存条明细!C323,存条明细!$D$4:D323,存条明细!D323)&gt;1,"",IFERROR(MATCH(存条明细!C323,总览汇总!$B$5:$B$304,0),900)*10000000+IFERROR(MATCH(存条明细!D323,基础资料!$E$5:$E$104,0),900)*10000+ROW()))</f>
      </c>
      <c r="B323">
        <f>IFERROR(MATCH(SMALL($A$4:$A$4003,320),$A$4:$A$4003,0),"")</f>
      </c>
      <c r="D323">
        <f>IF(AND(商品库存!B323&lt;&gt;"",商品库存!B323=客户查询!$B$4),COUNTIF(商品库存!$B$4:B323,客户查询!$B$4),"")</f>
      </c>
      <c r="E323">
        <f>IF(AND(商品库存!B323&lt;&gt;"",商品库存!B323=客户对账单!$B$4),COUNTIF(商品库存!$B$4:B323,客户对账单!$B$4),"")</f>
      </c>
      <c r="F323">
        <f>IF(AND(出库明细!C323&lt;&gt;"",出库明细!C323=客户对账单!$B$4,ISNUMBER(出库明细!B323),出库明细!B323&gt;=客户对账单!$G$4,出库明细!B323&lt;=客户对账单!$I$4),出库明细!B323+ROW()/100000,"")</f>
        <v>46254.00323</v>
      </c>
      <c r="H323">
        <f>IF(AND(采购进货!C323&lt;&gt;"",采购进货!C323=供应商对账单!$B$4,ISNUMBER(采购进货!B323),采购进货!B323&gt;=供应商对账单!$G$4,采购进货!B323&lt;=供应商对账单!$I$4),采购进货!B323+ROW()/100000,"")</f>
      </c>
      <c r="N323">
        <f>IF(AND(ISNUMBER(出库明细!G323),ISNUMBER(出库明细!E323),ISNUMBER(出库明细!F323)),IF(ABS(出库明细!G323-出库明细!E323*出库明细!F323)&gt;0.005,1,0),0)</f>
        <v>0</v>
      </c>
      <c r="O323">
        <f>IF(AND(ISNUMBER(存条明细!G323),ISNUMBER(存条明细!E323),ISNUMBER(存条明细!F323)),IF(ABS(存条明细!G323-存条明细!E323*存条明细!F323)&gt;0.005,1,0),0)</f>
        <v>0</v>
      </c>
    </row>
    <row r="324">
      <c r="A324">
        <f>IF(OR(存条明细!C324="",存条明细!D324=""),"",IF(COUNTIFS(存条明细!$C$4:C324,存条明细!C324,存条明细!$D$4:D324,存条明细!D324)&gt;1,"",IFERROR(MATCH(存条明细!C324,总览汇总!$B$5:$B$304,0),900)*10000000+IFERROR(MATCH(存条明细!D324,基础资料!$E$5:$E$104,0),900)*10000+ROW()))</f>
      </c>
      <c r="B324">
        <f>IFERROR(MATCH(SMALL($A$4:$A$4003,321),$A$4:$A$4003,0),"")</f>
      </c>
      <c r="D324">
        <f>IF(AND(商品库存!B324&lt;&gt;"",商品库存!B324=客户查询!$B$4),COUNTIF(商品库存!$B$4:B324,客户查询!$B$4),"")</f>
      </c>
      <c r="E324">
        <f>IF(AND(商品库存!B324&lt;&gt;"",商品库存!B324=客户对账单!$B$4),COUNTIF(商品库存!$B$4:B324,客户对账单!$B$4),"")</f>
      </c>
      <c r="F324">
        <f>IF(AND(出库明细!C324&lt;&gt;"",出库明细!C324=客户对账单!$B$4,ISNUMBER(出库明细!B324),出库明细!B324&gt;=客户对账单!$G$4,出库明细!B324&lt;=客户对账单!$I$4),出库明细!B324+ROW()/100000,"")</f>
      </c>
      <c r="H324">
        <f>IF(AND(采购进货!C324&lt;&gt;"",采购进货!C324=供应商对账单!$B$4,ISNUMBER(采购进货!B324),采购进货!B324&gt;=供应商对账单!$G$4,采购进货!B324&lt;=供应商对账单!$I$4),采购进货!B324+ROW()/100000,"")</f>
      </c>
      <c r="N324">
        <f>IF(AND(ISNUMBER(出库明细!G324),ISNUMBER(出库明细!E324),ISNUMBER(出库明细!F324)),IF(ABS(出库明细!G324-出库明细!E324*出库明细!F324)&gt;0.005,1,0),0)</f>
        <v>0</v>
      </c>
      <c r="O324">
        <f>IF(AND(ISNUMBER(存条明细!G324),ISNUMBER(存条明细!E324),ISNUMBER(存条明细!F324)),IF(ABS(存条明细!G324-存条明细!E324*存条明细!F324)&gt;0.005,1,0),0)</f>
        <v>0</v>
      </c>
    </row>
    <row r="325">
      <c r="A325">
        <f>IF(OR(存条明细!C325="",存条明细!D325=""),"",IF(COUNTIFS(存条明细!$C$4:C325,存条明细!C325,存条明细!$D$4:D325,存条明细!D325)&gt;1,"",IFERROR(MATCH(存条明细!C325,总览汇总!$B$5:$B$304,0),900)*10000000+IFERROR(MATCH(存条明细!D325,基础资料!$E$5:$E$104,0),900)*10000+ROW()))</f>
      </c>
      <c r="B325">
        <f>IFERROR(MATCH(SMALL($A$4:$A$4003,322),$A$4:$A$4003,0),"")</f>
      </c>
      <c r="D325">
        <f>IF(AND(商品库存!B325&lt;&gt;"",商品库存!B325=客户查询!$B$4),COUNTIF(商品库存!$B$4:B325,客户查询!$B$4),"")</f>
      </c>
      <c r="E325">
        <f>IF(AND(商品库存!B325&lt;&gt;"",商品库存!B325=客户对账单!$B$4),COUNTIF(商品库存!$B$4:B325,客户对账单!$B$4),"")</f>
      </c>
      <c r="F325">
        <f>IF(AND(出库明细!C325&lt;&gt;"",出库明细!C325=客户对账单!$B$4,ISNUMBER(出库明细!B325),出库明细!B325&gt;=客户对账单!$G$4,出库明细!B325&lt;=客户对账单!$I$4),出库明细!B325+ROW()/100000,"")</f>
      </c>
      <c r="H325">
        <f>IF(AND(采购进货!C325&lt;&gt;"",采购进货!C325=供应商对账单!$B$4,ISNUMBER(采购进货!B325),采购进货!B325&gt;=供应商对账单!$G$4,采购进货!B325&lt;=供应商对账单!$I$4),采购进货!B325+ROW()/100000,"")</f>
      </c>
      <c r="N325">
        <f>IF(AND(ISNUMBER(出库明细!G325),ISNUMBER(出库明细!E325),ISNUMBER(出库明细!F325)),IF(ABS(出库明细!G325-出库明细!E325*出库明细!F325)&gt;0.005,1,0),0)</f>
        <v>0</v>
      </c>
      <c r="O325">
        <f>IF(AND(ISNUMBER(存条明细!G325),ISNUMBER(存条明细!E325),ISNUMBER(存条明细!F325)),IF(ABS(存条明细!G325-存条明细!E325*存条明细!F325)&gt;0.005,1,0),0)</f>
        <v>0</v>
      </c>
    </row>
    <row r="326">
      <c r="A326">
        <f>IF(OR(存条明细!C326="",存条明细!D326=""),"",IF(COUNTIFS(存条明细!$C$4:C326,存条明细!C326,存条明细!$D$4:D326,存条明细!D326)&gt;1,"",IFERROR(MATCH(存条明细!C326,总览汇总!$B$5:$B$304,0),900)*10000000+IFERROR(MATCH(存条明细!D326,基础资料!$E$5:$E$104,0),900)*10000+ROW()))</f>
      </c>
      <c r="B326">
        <f>IFERROR(MATCH(SMALL($A$4:$A$4003,323),$A$4:$A$4003,0),"")</f>
      </c>
      <c r="D326">
        <f>IF(AND(商品库存!B326&lt;&gt;"",商品库存!B326=客户查询!$B$4),COUNTIF(商品库存!$B$4:B326,客户查询!$B$4),"")</f>
      </c>
      <c r="E326">
        <f>IF(AND(商品库存!B326&lt;&gt;"",商品库存!B326=客户对账单!$B$4),COUNTIF(商品库存!$B$4:B326,客户对账单!$B$4),"")</f>
      </c>
      <c r="F326">
        <f>IF(AND(出库明细!C326&lt;&gt;"",出库明细!C326=客户对账单!$B$4,ISNUMBER(出库明细!B326),出库明细!B326&gt;=客户对账单!$G$4,出库明细!B326&lt;=客户对账单!$I$4),出库明细!B326+ROW()/100000,"")</f>
      </c>
      <c r="H326">
        <f>IF(AND(采购进货!C326&lt;&gt;"",采购进货!C326=供应商对账单!$B$4,ISNUMBER(采购进货!B326),采购进货!B326&gt;=供应商对账单!$G$4,采购进货!B326&lt;=供应商对账单!$I$4),采购进货!B326+ROW()/100000,"")</f>
      </c>
      <c r="N326">
        <f>IF(AND(ISNUMBER(出库明细!G326),ISNUMBER(出库明细!E326),ISNUMBER(出库明细!F326)),IF(ABS(出库明细!G326-出库明细!E326*出库明细!F326)&gt;0.005,1,0),0)</f>
        <v>0</v>
      </c>
      <c r="O326">
        <f>IF(AND(ISNUMBER(存条明细!G326),ISNUMBER(存条明细!E326),ISNUMBER(存条明细!F326)),IF(ABS(存条明细!G326-存条明细!E326*存条明细!F326)&gt;0.005,1,0),0)</f>
        <v>0</v>
      </c>
    </row>
    <row r="327">
      <c r="A327">
        <f>IF(OR(存条明细!C327="",存条明细!D327=""),"",IF(COUNTIFS(存条明细!$C$4:C327,存条明细!C327,存条明细!$D$4:D327,存条明细!D327)&gt;1,"",IFERROR(MATCH(存条明细!C327,总览汇总!$B$5:$B$304,0),900)*10000000+IFERROR(MATCH(存条明细!D327,基础资料!$E$5:$E$104,0),900)*10000+ROW()))</f>
      </c>
      <c r="B327">
        <f>IFERROR(MATCH(SMALL($A$4:$A$4003,324),$A$4:$A$4003,0),"")</f>
      </c>
      <c r="D327">
        <f>IF(AND(商品库存!B327&lt;&gt;"",商品库存!B327=客户查询!$B$4),COUNTIF(商品库存!$B$4:B327,客户查询!$B$4),"")</f>
      </c>
      <c r="E327">
        <f>IF(AND(商品库存!B327&lt;&gt;"",商品库存!B327=客户对账单!$B$4),COUNTIF(商品库存!$B$4:B327,客户对账单!$B$4),"")</f>
      </c>
      <c r="F327">
        <f>IF(AND(出库明细!C327&lt;&gt;"",出库明细!C327=客户对账单!$B$4,ISNUMBER(出库明细!B327),出库明细!B327&gt;=客户对账单!$G$4,出库明细!B327&lt;=客户对账单!$I$4),出库明细!B327+ROW()/100000,"")</f>
      </c>
      <c r="H327">
        <f>IF(AND(采购进货!C327&lt;&gt;"",采购进货!C327=供应商对账单!$B$4,ISNUMBER(采购进货!B327),采购进货!B327&gt;=供应商对账单!$G$4,采购进货!B327&lt;=供应商对账单!$I$4),采购进货!B327+ROW()/100000,"")</f>
      </c>
      <c r="N327">
        <f>IF(AND(ISNUMBER(出库明细!G327),ISNUMBER(出库明细!E327),ISNUMBER(出库明细!F327)),IF(ABS(出库明细!G327-出库明细!E327*出库明细!F327)&gt;0.005,1,0),0)</f>
        <v>0</v>
      </c>
      <c r="O327">
        <f>IF(AND(ISNUMBER(存条明细!G327),ISNUMBER(存条明细!E327),ISNUMBER(存条明细!F327)),IF(ABS(存条明细!G327-存条明细!E327*存条明细!F327)&gt;0.005,1,0),0)</f>
        <v>0</v>
      </c>
    </row>
    <row r="328">
      <c r="A328">
        <f>IF(OR(存条明细!C328="",存条明细!D328=""),"",IF(COUNTIFS(存条明细!$C$4:C328,存条明细!C328,存条明细!$D$4:D328,存条明细!D328)&gt;1,"",IFERROR(MATCH(存条明细!C328,总览汇总!$B$5:$B$304,0),900)*10000000+IFERROR(MATCH(存条明细!D328,基础资料!$E$5:$E$104,0),900)*10000+ROW()))</f>
      </c>
      <c r="B328">
        <f>IFERROR(MATCH(SMALL($A$4:$A$4003,325),$A$4:$A$4003,0),"")</f>
      </c>
      <c r="D328">
        <f>IF(AND(商品库存!B328&lt;&gt;"",商品库存!B328=客户查询!$B$4),COUNTIF(商品库存!$B$4:B328,客户查询!$B$4),"")</f>
      </c>
      <c r="E328">
        <f>IF(AND(商品库存!B328&lt;&gt;"",商品库存!B328=客户对账单!$B$4),COUNTIF(商品库存!$B$4:B328,客户对账单!$B$4),"")</f>
      </c>
      <c r="F328">
        <f>IF(AND(出库明细!C328&lt;&gt;"",出库明细!C328=客户对账单!$B$4,ISNUMBER(出库明细!B328),出库明细!B328&gt;=客户对账单!$G$4,出库明细!B328&lt;=客户对账单!$I$4),出库明细!B328+ROW()/100000,"")</f>
      </c>
      <c r="H328">
        <f>IF(AND(采购进货!C328&lt;&gt;"",采购进货!C328=供应商对账单!$B$4,ISNUMBER(采购进货!B328),采购进货!B328&gt;=供应商对账单!$G$4,采购进货!B328&lt;=供应商对账单!$I$4),采购进货!B328+ROW()/100000,"")</f>
      </c>
      <c r="N328">
        <f>IF(AND(ISNUMBER(出库明细!G328),ISNUMBER(出库明细!E328),ISNUMBER(出库明细!F328)),IF(ABS(出库明细!G328-出库明细!E328*出库明细!F328)&gt;0.005,1,0),0)</f>
        <v>0</v>
      </c>
      <c r="O328">
        <f>IF(AND(ISNUMBER(存条明细!G328),ISNUMBER(存条明细!E328),ISNUMBER(存条明细!F328)),IF(ABS(存条明细!G328-存条明细!E328*存条明细!F328)&gt;0.005,1,0),0)</f>
        <v>0</v>
      </c>
    </row>
    <row r="329">
      <c r="A329">
        <f>IF(OR(存条明细!C329="",存条明细!D329=""),"",IF(COUNTIFS(存条明细!$C$4:C329,存条明细!C329,存条明细!$D$4:D329,存条明细!D329)&gt;1,"",IFERROR(MATCH(存条明细!C329,总览汇总!$B$5:$B$304,0),900)*10000000+IFERROR(MATCH(存条明细!D329,基础资料!$E$5:$E$104,0),900)*10000+ROW()))</f>
      </c>
      <c r="B329">
        <f>IFERROR(MATCH(SMALL($A$4:$A$4003,326),$A$4:$A$4003,0),"")</f>
      </c>
      <c r="D329">
        <f>IF(AND(商品库存!B329&lt;&gt;"",商品库存!B329=客户查询!$B$4),COUNTIF(商品库存!$B$4:B329,客户查询!$B$4),"")</f>
      </c>
      <c r="E329">
        <f>IF(AND(商品库存!B329&lt;&gt;"",商品库存!B329=客户对账单!$B$4),COUNTIF(商品库存!$B$4:B329,客户对账单!$B$4),"")</f>
      </c>
      <c r="F329">
        <f>IF(AND(出库明细!C329&lt;&gt;"",出库明细!C329=客户对账单!$B$4,ISNUMBER(出库明细!B329),出库明细!B329&gt;=客户对账单!$G$4,出库明细!B329&lt;=客户对账单!$I$4),出库明细!B329+ROW()/100000,"")</f>
        <v>46256.00329</v>
      </c>
      <c r="H329">
        <f>IF(AND(采购进货!C329&lt;&gt;"",采购进货!C329=供应商对账单!$B$4,ISNUMBER(采购进货!B329),采购进货!B329&gt;=供应商对账单!$G$4,采购进货!B329&lt;=供应商对账单!$I$4),采购进货!B329+ROW()/100000,"")</f>
      </c>
      <c r="N329">
        <f>IF(AND(ISNUMBER(出库明细!G329),ISNUMBER(出库明细!E329),ISNUMBER(出库明细!F329)),IF(ABS(出库明细!G329-出库明细!E329*出库明细!F329)&gt;0.005,1,0),0)</f>
        <v>0</v>
      </c>
      <c r="O329">
        <f>IF(AND(ISNUMBER(存条明细!G329),ISNUMBER(存条明细!E329),ISNUMBER(存条明细!F329)),IF(ABS(存条明细!G329-存条明细!E329*存条明细!F329)&gt;0.005,1,0),0)</f>
        <v>0</v>
      </c>
    </row>
    <row r="330">
      <c r="A330">
        <f>IF(OR(存条明细!C330="",存条明细!D330=""),"",IF(COUNTIFS(存条明细!$C$4:C330,存条明细!C330,存条明细!$D$4:D330,存条明细!D330)&gt;1,"",IFERROR(MATCH(存条明细!C330,总览汇总!$B$5:$B$304,0),900)*10000000+IFERROR(MATCH(存条明细!D330,基础资料!$E$5:$E$104,0),900)*10000+ROW()))</f>
      </c>
      <c r="B330">
        <f>IFERROR(MATCH(SMALL($A$4:$A$4003,327),$A$4:$A$4003,0),"")</f>
      </c>
      <c r="D330">
        <f>IF(AND(商品库存!B330&lt;&gt;"",商品库存!B330=客户查询!$B$4),COUNTIF(商品库存!$B$4:B330,客户查询!$B$4),"")</f>
      </c>
      <c r="E330">
        <f>IF(AND(商品库存!B330&lt;&gt;"",商品库存!B330=客户对账单!$B$4),COUNTIF(商品库存!$B$4:B330,客户对账单!$B$4),"")</f>
      </c>
      <c r="F330">
        <f>IF(AND(出库明细!C330&lt;&gt;"",出库明细!C330=客户对账单!$B$4,ISNUMBER(出库明细!B330),出库明细!B330&gt;=客户对账单!$G$4,出库明细!B330&lt;=客户对账单!$I$4),出库明细!B330+ROW()/100000,"")</f>
      </c>
      <c r="H330">
        <f>IF(AND(采购进货!C330&lt;&gt;"",采购进货!C330=供应商对账单!$B$4,ISNUMBER(采购进货!B330),采购进货!B330&gt;=供应商对账单!$G$4,采购进货!B330&lt;=供应商对账单!$I$4),采购进货!B330+ROW()/100000,"")</f>
      </c>
      <c r="N330">
        <f>IF(AND(ISNUMBER(出库明细!G330),ISNUMBER(出库明细!E330),ISNUMBER(出库明细!F330)),IF(ABS(出库明细!G330-出库明细!E330*出库明细!F330)&gt;0.005,1,0),0)</f>
        <v>0</v>
      </c>
      <c r="O330">
        <f>IF(AND(ISNUMBER(存条明细!G330),ISNUMBER(存条明细!E330),ISNUMBER(存条明细!F330)),IF(ABS(存条明细!G330-存条明细!E330*存条明细!F330)&gt;0.005,1,0),0)</f>
        <v>0</v>
      </c>
    </row>
    <row r="331">
      <c r="A331">
        <f>IF(OR(存条明细!C331="",存条明细!D331=""),"",IF(COUNTIFS(存条明细!$C$4:C331,存条明细!C331,存条明细!$D$4:D331,存条明细!D331)&gt;1,"",IFERROR(MATCH(存条明细!C331,总览汇总!$B$5:$B$304,0),900)*10000000+IFERROR(MATCH(存条明细!D331,基础资料!$E$5:$E$104,0),900)*10000+ROW()))</f>
      </c>
      <c r="B331">
        <f>IFERROR(MATCH(SMALL($A$4:$A$4003,328),$A$4:$A$4003,0),"")</f>
      </c>
      <c r="D331">
        <f>IF(AND(商品库存!B331&lt;&gt;"",商品库存!B331=客户查询!$B$4),COUNTIF(商品库存!$B$4:B331,客户查询!$B$4),"")</f>
      </c>
      <c r="E331">
        <f>IF(AND(商品库存!B331&lt;&gt;"",商品库存!B331=客户对账单!$B$4),COUNTIF(商品库存!$B$4:B331,客户对账单!$B$4),"")</f>
      </c>
      <c r="F331">
        <f>IF(AND(出库明细!C331&lt;&gt;"",出库明细!C331=客户对账单!$B$4,ISNUMBER(出库明细!B331),出库明细!B331&gt;=客户对账单!$G$4,出库明细!B331&lt;=客户对账单!$I$4),出库明细!B331+ROW()/100000,"")</f>
      </c>
      <c r="H331">
        <f>IF(AND(采购进货!C331&lt;&gt;"",采购进货!C331=供应商对账单!$B$4,ISNUMBER(采购进货!B331),采购进货!B331&gt;=供应商对账单!$G$4,采购进货!B331&lt;=供应商对账单!$I$4),采购进货!B331+ROW()/100000,"")</f>
      </c>
      <c r="N331">
        <f>IF(AND(ISNUMBER(出库明细!G331),ISNUMBER(出库明细!E331),ISNUMBER(出库明细!F331)),IF(ABS(出库明细!G331-出库明细!E331*出库明细!F331)&gt;0.005,1,0),0)</f>
        <v>0</v>
      </c>
      <c r="O331">
        <f>IF(AND(ISNUMBER(存条明细!G331),ISNUMBER(存条明细!E331),ISNUMBER(存条明细!F331)),IF(ABS(存条明细!G331-存条明细!E331*存条明细!F331)&gt;0.005,1,0),0)</f>
        <v>0</v>
      </c>
    </row>
    <row r="332">
      <c r="A332">
        <f>IF(OR(存条明细!C332="",存条明细!D332=""),"",IF(COUNTIFS(存条明细!$C$4:C332,存条明细!C332,存条明细!$D$4:D332,存条明细!D332)&gt;1,"",IFERROR(MATCH(存条明细!C332,总览汇总!$B$5:$B$304,0),900)*10000000+IFERROR(MATCH(存条明细!D332,基础资料!$E$5:$E$104,0),900)*10000+ROW()))</f>
      </c>
      <c r="B332">
        <f>IFERROR(MATCH(SMALL($A$4:$A$4003,329),$A$4:$A$4003,0),"")</f>
      </c>
      <c r="D332">
        <f>IF(AND(商品库存!B332&lt;&gt;"",商品库存!B332=客户查询!$B$4),COUNTIF(商品库存!$B$4:B332,客户查询!$B$4),"")</f>
      </c>
      <c r="E332">
        <f>IF(AND(商品库存!B332&lt;&gt;"",商品库存!B332=客户对账单!$B$4),COUNTIF(商品库存!$B$4:B332,客户对账单!$B$4),"")</f>
      </c>
      <c r="F332">
        <f>IF(AND(出库明细!C332&lt;&gt;"",出库明细!C332=客户对账单!$B$4,ISNUMBER(出库明细!B332),出库明细!B332&gt;=客户对账单!$G$4,出库明细!B332&lt;=客户对账单!$I$4),出库明细!B332+ROW()/100000,"")</f>
      </c>
      <c r="H332">
        <f>IF(AND(采购进货!C332&lt;&gt;"",采购进货!C332=供应商对账单!$B$4,ISNUMBER(采购进货!B332),采购进货!B332&gt;=供应商对账单!$G$4,采购进货!B332&lt;=供应商对账单!$I$4),采购进货!B332+ROW()/100000,"")</f>
      </c>
      <c r="N332">
        <f>IF(AND(ISNUMBER(出库明细!G332),ISNUMBER(出库明细!E332),ISNUMBER(出库明细!F332)),IF(ABS(出库明细!G332-出库明细!E332*出库明细!F332)&gt;0.005,1,0),0)</f>
        <v>0</v>
      </c>
      <c r="O332">
        <f>IF(AND(ISNUMBER(存条明细!G332),ISNUMBER(存条明细!E332),ISNUMBER(存条明细!F332)),IF(ABS(存条明细!G332-存条明细!E332*存条明细!F332)&gt;0.005,1,0),0)</f>
        <v>0</v>
      </c>
    </row>
    <row r="333">
      <c r="A333">
        <f>IF(OR(存条明细!C333="",存条明细!D333=""),"",IF(COUNTIFS(存条明细!$C$4:C333,存条明细!C333,存条明细!$D$4:D333,存条明细!D333)&gt;1,"",IFERROR(MATCH(存条明细!C333,总览汇总!$B$5:$B$304,0),900)*10000000+IFERROR(MATCH(存条明细!D333,基础资料!$E$5:$E$104,0),900)*10000+ROW()))</f>
      </c>
      <c r="B333">
        <f>IFERROR(MATCH(SMALL($A$4:$A$4003,330),$A$4:$A$4003,0),"")</f>
      </c>
      <c r="D333">
        <f>IF(AND(商品库存!B333&lt;&gt;"",商品库存!B333=客户查询!$B$4),COUNTIF(商品库存!$B$4:B333,客户查询!$B$4),"")</f>
      </c>
      <c r="E333">
        <f>IF(AND(商品库存!B333&lt;&gt;"",商品库存!B333=客户对账单!$B$4),COUNTIF(商品库存!$B$4:B333,客户对账单!$B$4),"")</f>
      </c>
      <c r="F333">
        <f>IF(AND(出库明细!C333&lt;&gt;"",出库明细!C333=客户对账单!$B$4,ISNUMBER(出库明细!B333),出库明细!B333&gt;=客户对账单!$G$4,出库明细!B333&lt;=客户对账单!$I$4),出库明细!B333+ROW()/100000,"")</f>
      </c>
      <c r="H333">
        <f>IF(AND(采购进货!C333&lt;&gt;"",采购进货!C333=供应商对账单!$B$4,ISNUMBER(采购进货!B333),采购进货!B333&gt;=供应商对账单!$G$4,采购进货!B333&lt;=供应商对账单!$I$4),采购进货!B333+ROW()/100000,"")</f>
      </c>
      <c r="N333">
        <f>IF(AND(ISNUMBER(出库明细!G333),ISNUMBER(出库明细!E333),ISNUMBER(出库明细!F333)),IF(ABS(出库明细!G333-出库明细!E333*出库明细!F333)&gt;0.005,1,0),0)</f>
        <v>0</v>
      </c>
      <c r="O333">
        <f>IF(AND(ISNUMBER(存条明细!G333),ISNUMBER(存条明细!E333),ISNUMBER(存条明细!F333)),IF(ABS(存条明细!G333-存条明细!E333*存条明细!F333)&gt;0.005,1,0),0)</f>
        <v>0</v>
      </c>
    </row>
    <row r="334">
      <c r="A334">
        <f>IF(OR(存条明细!C334="",存条明细!D334=""),"",IF(COUNTIFS(存条明细!$C$4:C334,存条明细!C334,存条明细!$D$4:D334,存条明细!D334)&gt;1,"",IFERROR(MATCH(存条明细!C334,总览汇总!$B$5:$B$304,0),900)*10000000+IFERROR(MATCH(存条明细!D334,基础资料!$E$5:$E$104,0),900)*10000+ROW()))</f>
      </c>
      <c r="B334">
        <f>IFERROR(MATCH(SMALL($A$4:$A$4003,331),$A$4:$A$4003,0),"")</f>
      </c>
      <c r="D334">
        <f>IF(AND(商品库存!B334&lt;&gt;"",商品库存!B334=客户查询!$B$4),COUNTIF(商品库存!$B$4:B334,客户查询!$B$4),"")</f>
      </c>
      <c r="E334">
        <f>IF(AND(商品库存!B334&lt;&gt;"",商品库存!B334=客户对账单!$B$4),COUNTIF(商品库存!$B$4:B334,客户对账单!$B$4),"")</f>
      </c>
      <c r="F334">
        <f>IF(AND(出库明细!C334&lt;&gt;"",出库明细!C334=客户对账单!$B$4,ISNUMBER(出库明细!B334),出库明细!B334&gt;=客户对账单!$G$4,出库明细!B334&lt;=客户对账单!$I$4),出库明细!B334+ROW()/100000,"")</f>
      </c>
      <c r="H334">
        <f>IF(AND(采购进货!C334&lt;&gt;"",采购进货!C334=供应商对账单!$B$4,ISNUMBER(采购进货!B334),采购进货!B334&gt;=供应商对账单!$G$4,采购进货!B334&lt;=供应商对账单!$I$4),采购进货!B334+ROW()/100000,"")</f>
      </c>
      <c r="N334">
        <f>IF(AND(ISNUMBER(出库明细!G334),ISNUMBER(出库明细!E334),ISNUMBER(出库明细!F334)),IF(ABS(出库明细!G334-出库明细!E334*出库明细!F334)&gt;0.005,1,0),0)</f>
        <v>0</v>
      </c>
      <c r="O334">
        <f>IF(AND(ISNUMBER(存条明细!G334),ISNUMBER(存条明细!E334),ISNUMBER(存条明细!F334)),IF(ABS(存条明细!G334-存条明细!E334*存条明细!F334)&gt;0.005,1,0),0)</f>
        <v>0</v>
      </c>
    </row>
    <row r="335">
      <c r="A335">
        <f>IF(OR(存条明细!C335="",存条明细!D335=""),"",IF(COUNTIFS(存条明细!$C$4:C335,存条明细!C335,存条明细!$D$4:D335,存条明细!D335)&gt;1,"",IFERROR(MATCH(存条明细!C335,总览汇总!$B$5:$B$304,0),900)*10000000+IFERROR(MATCH(存条明细!D335,基础资料!$E$5:$E$104,0),900)*10000+ROW()))</f>
      </c>
      <c r="B335">
        <f>IFERROR(MATCH(SMALL($A$4:$A$4003,332),$A$4:$A$4003,0),"")</f>
      </c>
      <c r="D335">
        <f>IF(AND(商品库存!B335&lt;&gt;"",商品库存!B335=客户查询!$B$4),COUNTIF(商品库存!$B$4:B335,客户查询!$B$4),"")</f>
      </c>
      <c r="E335">
        <f>IF(AND(商品库存!B335&lt;&gt;"",商品库存!B335=客户对账单!$B$4),COUNTIF(商品库存!$B$4:B335,客户对账单!$B$4),"")</f>
      </c>
      <c r="F335">
        <f>IF(AND(出库明细!C335&lt;&gt;"",出库明细!C335=客户对账单!$B$4,ISNUMBER(出库明细!B335),出库明细!B335&gt;=客户对账单!$G$4,出库明细!B335&lt;=客户对账单!$I$4),出库明细!B335+ROW()/100000,"")</f>
      </c>
      <c r="H335">
        <f>IF(AND(采购进货!C335&lt;&gt;"",采购进货!C335=供应商对账单!$B$4,ISNUMBER(采购进货!B335),采购进货!B335&gt;=供应商对账单!$G$4,采购进货!B335&lt;=供应商对账单!$I$4),采购进货!B335+ROW()/100000,"")</f>
      </c>
      <c r="N335">
        <f>IF(AND(ISNUMBER(出库明细!G335),ISNUMBER(出库明细!E335),ISNUMBER(出库明细!F335)),IF(ABS(出库明细!G335-出库明细!E335*出库明细!F335)&gt;0.005,1,0),0)</f>
        <v>0</v>
      </c>
      <c r="O335">
        <f>IF(AND(ISNUMBER(存条明细!G335),ISNUMBER(存条明细!E335),ISNUMBER(存条明细!F335)),IF(ABS(存条明细!G335-存条明细!E335*存条明细!F335)&gt;0.005,1,0),0)</f>
        <v>0</v>
      </c>
    </row>
    <row r="336">
      <c r="A336">
        <f>IF(OR(存条明细!C336="",存条明细!D336=""),"",IF(COUNTIFS(存条明细!$C$4:C336,存条明细!C336,存条明细!$D$4:D336,存条明细!D336)&gt;1,"",IFERROR(MATCH(存条明细!C336,总览汇总!$B$5:$B$304,0),900)*10000000+IFERROR(MATCH(存条明细!D336,基础资料!$E$5:$E$104,0),900)*10000+ROW()))</f>
      </c>
      <c r="B336">
        <f>IFERROR(MATCH(SMALL($A$4:$A$4003,333),$A$4:$A$4003,0),"")</f>
      </c>
      <c r="D336">
        <f>IF(AND(商品库存!B336&lt;&gt;"",商品库存!B336=客户查询!$B$4),COUNTIF(商品库存!$B$4:B336,客户查询!$B$4),"")</f>
      </c>
      <c r="E336">
        <f>IF(AND(商品库存!B336&lt;&gt;"",商品库存!B336=客户对账单!$B$4),COUNTIF(商品库存!$B$4:B336,客户对账单!$B$4),"")</f>
      </c>
      <c r="F336">
        <f>IF(AND(出库明细!C336&lt;&gt;"",出库明细!C336=客户对账单!$B$4,ISNUMBER(出库明细!B336),出库明细!B336&gt;=客户对账单!$G$4,出库明细!B336&lt;=客户对账单!$I$4),出库明细!B336+ROW()/100000,"")</f>
      </c>
      <c r="H336">
        <f>IF(AND(采购进货!C336&lt;&gt;"",采购进货!C336=供应商对账单!$B$4,ISNUMBER(采购进货!B336),采购进货!B336&gt;=供应商对账单!$G$4,采购进货!B336&lt;=供应商对账单!$I$4),采购进货!B336+ROW()/100000,"")</f>
      </c>
      <c r="N336">
        <f>IF(AND(ISNUMBER(出库明细!G336),ISNUMBER(出库明细!E336),ISNUMBER(出库明细!F336)),IF(ABS(出库明细!G336-出库明细!E336*出库明细!F336)&gt;0.005,1,0),0)</f>
        <v>0</v>
      </c>
      <c r="O336">
        <f>IF(AND(ISNUMBER(存条明细!G336),ISNUMBER(存条明细!E336),ISNUMBER(存条明细!F336)),IF(ABS(存条明细!G336-存条明细!E336*存条明细!F336)&gt;0.005,1,0),0)</f>
        <v>0</v>
      </c>
    </row>
    <row r="337">
      <c r="A337">
        <f>IF(OR(存条明细!C337="",存条明细!D337=""),"",IF(COUNTIFS(存条明细!$C$4:C337,存条明细!C337,存条明细!$D$4:D337,存条明细!D337)&gt;1,"",IFERROR(MATCH(存条明细!C337,总览汇总!$B$5:$B$304,0),900)*10000000+IFERROR(MATCH(存条明细!D337,基础资料!$E$5:$E$104,0),900)*10000+ROW()))</f>
      </c>
      <c r="B337">
        <f>IFERROR(MATCH(SMALL($A$4:$A$4003,334),$A$4:$A$4003,0),"")</f>
      </c>
      <c r="D337">
        <f>IF(AND(商品库存!B337&lt;&gt;"",商品库存!B337=客户查询!$B$4),COUNTIF(商品库存!$B$4:B337,客户查询!$B$4),"")</f>
      </c>
      <c r="E337">
        <f>IF(AND(商品库存!B337&lt;&gt;"",商品库存!B337=客户对账单!$B$4),COUNTIF(商品库存!$B$4:B337,客户对账单!$B$4),"")</f>
      </c>
      <c r="F337">
        <f>IF(AND(出库明细!C337&lt;&gt;"",出库明细!C337=客户对账单!$B$4,ISNUMBER(出库明细!B337),出库明细!B337&gt;=客户对账单!$G$4,出库明细!B337&lt;=客户对账单!$I$4),出库明细!B337+ROW()/100000,"")</f>
      </c>
      <c r="H337">
        <f>IF(AND(采购进货!C337&lt;&gt;"",采购进货!C337=供应商对账单!$B$4,ISNUMBER(采购进货!B337),采购进货!B337&gt;=供应商对账单!$G$4,采购进货!B337&lt;=供应商对账单!$I$4),采购进货!B337+ROW()/100000,"")</f>
      </c>
      <c r="N337">
        <f>IF(AND(ISNUMBER(出库明细!G337),ISNUMBER(出库明细!E337),ISNUMBER(出库明细!F337)),IF(ABS(出库明细!G337-出库明细!E337*出库明细!F337)&gt;0.005,1,0),0)</f>
        <v>0</v>
      </c>
      <c r="O337">
        <f>IF(AND(ISNUMBER(存条明细!G337),ISNUMBER(存条明细!E337),ISNUMBER(存条明细!F337)),IF(ABS(存条明细!G337-存条明细!E337*存条明细!F337)&gt;0.005,1,0),0)</f>
        <v>0</v>
      </c>
    </row>
    <row r="338">
      <c r="A338">
        <f>IF(OR(存条明细!C338="",存条明细!D338=""),"",IF(COUNTIFS(存条明细!$C$4:C338,存条明细!C338,存条明细!$D$4:D338,存条明细!D338)&gt;1,"",IFERROR(MATCH(存条明细!C338,总览汇总!$B$5:$B$304,0),900)*10000000+IFERROR(MATCH(存条明细!D338,基础资料!$E$5:$E$104,0),900)*10000+ROW()))</f>
      </c>
      <c r="B338">
        <f>IFERROR(MATCH(SMALL($A$4:$A$4003,335),$A$4:$A$4003,0),"")</f>
      </c>
      <c r="D338">
        <f>IF(AND(商品库存!B338&lt;&gt;"",商品库存!B338=客户查询!$B$4),COUNTIF(商品库存!$B$4:B338,客户查询!$B$4),"")</f>
      </c>
      <c r="E338">
        <f>IF(AND(商品库存!B338&lt;&gt;"",商品库存!B338=客户对账单!$B$4),COUNTIF(商品库存!$B$4:B338,客户对账单!$B$4),"")</f>
      </c>
      <c r="F338">
        <f>IF(AND(出库明细!C338&lt;&gt;"",出库明细!C338=客户对账单!$B$4,ISNUMBER(出库明细!B338),出库明细!B338&gt;=客户对账单!$G$4,出库明细!B338&lt;=客户对账单!$I$4),出库明细!B338+ROW()/100000,"")</f>
      </c>
      <c r="H338">
        <f>IF(AND(采购进货!C338&lt;&gt;"",采购进货!C338=供应商对账单!$B$4,ISNUMBER(采购进货!B338),采购进货!B338&gt;=供应商对账单!$G$4,采购进货!B338&lt;=供应商对账单!$I$4),采购进货!B338+ROW()/100000,"")</f>
      </c>
      <c r="N338">
        <f>IF(AND(ISNUMBER(出库明细!G338),ISNUMBER(出库明细!E338),ISNUMBER(出库明细!F338)),IF(ABS(出库明细!G338-出库明细!E338*出库明细!F338)&gt;0.005,1,0),0)</f>
        <v>0</v>
      </c>
      <c r="O338">
        <f>IF(AND(ISNUMBER(存条明细!G338),ISNUMBER(存条明细!E338),ISNUMBER(存条明细!F338)),IF(ABS(存条明细!G338-存条明细!E338*存条明细!F338)&gt;0.005,1,0),0)</f>
        <v>0</v>
      </c>
    </row>
    <row r="339">
      <c r="A339">
        <f>IF(OR(存条明细!C339="",存条明细!D339=""),"",IF(COUNTIFS(存条明细!$C$4:C339,存条明细!C339,存条明细!$D$4:D339,存条明细!D339)&gt;1,"",IFERROR(MATCH(存条明细!C339,总览汇总!$B$5:$B$304,0),900)*10000000+IFERROR(MATCH(存条明细!D339,基础资料!$E$5:$E$104,0),900)*10000+ROW()))</f>
      </c>
      <c r="B339">
        <f>IFERROR(MATCH(SMALL($A$4:$A$4003,336),$A$4:$A$4003,0),"")</f>
      </c>
      <c r="D339">
        <f>IF(AND(商品库存!B339&lt;&gt;"",商品库存!B339=客户查询!$B$4),COUNTIF(商品库存!$B$4:B339,客户查询!$B$4),"")</f>
      </c>
      <c r="E339">
        <f>IF(AND(商品库存!B339&lt;&gt;"",商品库存!B339=客户对账单!$B$4),COUNTIF(商品库存!$B$4:B339,客户对账单!$B$4),"")</f>
      </c>
      <c r="F339">
        <f>IF(AND(出库明细!C339&lt;&gt;"",出库明细!C339=客户对账单!$B$4,ISNUMBER(出库明细!B339),出库明细!B339&gt;=客户对账单!$G$4,出库明细!B339&lt;=客户对账单!$I$4),出库明细!B339+ROW()/100000,"")</f>
      </c>
      <c r="H339">
        <f>IF(AND(采购进货!C339&lt;&gt;"",采购进货!C339=供应商对账单!$B$4,ISNUMBER(采购进货!B339),采购进货!B339&gt;=供应商对账单!$G$4,采购进货!B339&lt;=供应商对账单!$I$4),采购进货!B339+ROW()/100000,"")</f>
      </c>
      <c r="N339">
        <f>IF(AND(ISNUMBER(出库明细!G339),ISNUMBER(出库明细!E339),ISNUMBER(出库明细!F339)),IF(ABS(出库明细!G339-出库明细!E339*出库明细!F339)&gt;0.005,1,0),0)</f>
        <v>0</v>
      </c>
      <c r="O339">
        <f>IF(AND(ISNUMBER(存条明细!G339),ISNUMBER(存条明细!E339),ISNUMBER(存条明细!F339)),IF(ABS(存条明细!G339-存条明细!E339*存条明细!F339)&gt;0.005,1,0),0)</f>
        <v>0</v>
      </c>
    </row>
    <row r="340">
      <c r="A340">
        <f>IF(OR(存条明细!C340="",存条明细!D340=""),"",IF(COUNTIFS(存条明细!$C$4:C340,存条明细!C340,存条明细!$D$4:D340,存条明细!D340)&gt;1,"",IFERROR(MATCH(存条明细!C340,总览汇总!$B$5:$B$304,0),900)*10000000+IFERROR(MATCH(存条明细!D340,基础资料!$E$5:$E$104,0),900)*10000+ROW()))</f>
      </c>
      <c r="B340">
        <f>IFERROR(MATCH(SMALL($A$4:$A$4003,337),$A$4:$A$4003,0),"")</f>
      </c>
      <c r="D340">
        <f>IF(AND(商品库存!B340&lt;&gt;"",商品库存!B340=客户查询!$B$4),COUNTIF(商品库存!$B$4:B340,客户查询!$B$4),"")</f>
      </c>
      <c r="E340">
        <f>IF(AND(商品库存!B340&lt;&gt;"",商品库存!B340=客户对账单!$B$4),COUNTIF(商品库存!$B$4:B340,客户对账单!$B$4),"")</f>
      </c>
      <c r="F340">
        <f>IF(AND(出库明细!C340&lt;&gt;"",出库明细!C340=客户对账单!$B$4,ISNUMBER(出库明细!B340),出库明细!B340&gt;=客户对账单!$G$4,出库明细!B340&lt;=客户对账单!$I$4),出库明细!B340+ROW()/100000,"")</f>
      </c>
      <c r="H340">
        <f>IF(AND(采购进货!C340&lt;&gt;"",采购进货!C340=供应商对账单!$B$4,ISNUMBER(采购进货!B340),采购进货!B340&gt;=供应商对账单!$G$4,采购进货!B340&lt;=供应商对账单!$I$4),采购进货!B340+ROW()/100000,"")</f>
      </c>
      <c r="N340">
        <f>IF(AND(ISNUMBER(出库明细!G340),ISNUMBER(出库明细!E340),ISNUMBER(出库明细!F340)),IF(ABS(出库明细!G340-出库明细!E340*出库明细!F340)&gt;0.005,1,0),0)</f>
        <v>0</v>
      </c>
      <c r="O340">
        <f>IF(AND(ISNUMBER(存条明细!G340),ISNUMBER(存条明细!E340),ISNUMBER(存条明细!F340)),IF(ABS(存条明细!G340-存条明细!E340*存条明细!F340)&gt;0.005,1,0),0)</f>
        <v>0</v>
      </c>
    </row>
    <row r="341">
      <c r="A341">
        <f>IF(OR(存条明细!C341="",存条明细!D341=""),"",IF(COUNTIFS(存条明细!$C$4:C341,存条明细!C341,存条明细!$D$4:D341,存条明细!D341)&gt;1,"",IFERROR(MATCH(存条明细!C341,总览汇总!$B$5:$B$304,0),900)*10000000+IFERROR(MATCH(存条明细!D341,基础资料!$E$5:$E$104,0),900)*10000+ROW()))</f>
      </c>
      <c r="B341">
        <f>IFERROR(MATCH(SMALL($A$4:$A$4003,338),$A$4:$A$4003,0),"")</f>
      </c>
      <c r="D341">
        <f>IF(AND(商品库存!B341&lt;&gt;"",商品库存!B341=客户查询!$B$4),COUNTIF(商品库存!$B$4:B341,客户查询!$B$4),"")</f>
      </c>
      <c r="E341">
        <f>IF(AND(商品库存!B341&lt;&gt;"",商品库存!B341=客户对账单!$B$4),COUNTIF(商品库存!$B$4:B341,客户对账单!$B$4),"")</f>
      </c>
      <c r="F341">
        <f>IF(AND(出库明细!C341&lt;&gt;"",出库明细!C341=客户对账单!$B$4,ISNUMBER(出库明细!B341),出库明细!B341&gt;=客户对账单!$G$4,出库明细!B341&lt;=客户对账单!$I$4),出库明细!B341+ROW()/100000,"")</f>
      </c>
      <c r="H341">
        <f>IF(AND(采购进货!C341&lt;&gt;"",采购进货!C341=供应商对账单!$B$4,ISNUMBER(采购进货!B341),采购进货!B341&gt;=供应商对账单!$G$4,采购进货!B341&lt;=供应商对账单!$I$4),采购进货!B341+ROW()/100000,"")</f>
      </c>
      <c r="N341">
        <f>IF(AND(ISNUMBER(出库明细!G341),ISNUMBER(出库明细!E341),ISNUMBER(出库明细!F341)),IF(ABS(出库明细!G341-出库明细!E341*出库明细!F341)&gt;0.005,1,0),0)</f>
        <v>0</v>
      </c>
      <c r="O341">
        <f>IF(AND(ISNUMBER(存条明细!G341),ISNUMBER(存条明细!E341),ISNUMBER(存条明细!F341)),IF(ABS(存条明细!G341-存条明细!E341*存条明细!F341)&gt;0.005,1,0),0)</f>
        <v>0</v>
      </c>
    </row>
    <row r="342">
      <c r="A342">
        <f>IF(OR(存条明细!C342="",存条明细!D342=""),"",IF(COUNTIFS(存条明细!$C$4:C342,存条明细!C342,存条明细!$D$4:D342,存条明细!D342)&gt;1,"",IFERROR(MATCH(存条明细!C342,总览汇总!$B$5:$B$304,0),900)*10000000+IFERROR(MATCH(存条明细!D342,基础资料!$E$5:$E$104,0),900)*10000+ROW()))</f>
      </c>
      <c r="B342">
        <f>IFERROR(MATCH(SMALL($A$4:$A$4003,339),$A$4:$A$4003,0),"")</f>
      </c>
      <c r="D342">
        <f>IF(AND(商品库存!B342&lt;&gt;"",商品库存!B342=客户查询!$B$4),COUNTIF(商品库存!$B$4:B342,客户查询!$B$4),"")</f>
      </c>
      <c r="E342">
        <f>IF(AND(商品库存!B342&lt;&gt;"",商品库存!B342=客户对账单!$B$4),COUNTIF(商品库存!$B$4:B342,客户对账单!$B$4),"")</f>
      </c>
      <c r="F342">
        <f>IF(AND(出库明细!C342&lt;&gt;"",出库明细!C342=客户对账单!$B$4,ISNUMBER(出库明细!B342),出库明细!B342&gt;=客户对账单!$G$4,出库明细!B342&lt;=客户对账单!$I$4),出库明细!B342+ROW()/100000,"")</f>
      </c>
      <c r="H342">
        <f>IF(AND(采购进货!C342&lt;&gt;"",采购进货!C342=供应商对账单!$B$4,ISNUMBER(采购进货!B342),采购进货!B342&gt;=供应商对账单!$G$4,采购进货!B342&lt;=供应商对账单!$I$4),采购进货!B342+ROW()/100000,"")</f>
      </c>
      <c r="N342">
        <f>IF(AND(ISNUMBER(出库明细!G342),ISNUMBER(出库明细!E342),ISNUMBER(出库明细!F342)),IF(ABS(出库明细!G342-出库明细!E342*出库明细!F342)&gt;0.005,1,0),0)</f>
        <v>0</v>
      </c>
      <c r="O342">
        <f>IF(AND(ISNUMBER(存条明细!G342),ISNUMBER(存条明细!E342),ISNUMBER(存条明细!F342)),IF(ABS(存条明细!G342-存条明细!E342*存条明细!F342)&gt;0.005,1,0),0)</f>
        <v>0</v>
      </c>
    </row>
    <row r="343">
      <c r="A343">
        <f>IF(OR(存条明细!C343="",存条明细!D343=""),"",IF(COUNTIFS(存条明细!$C$4:C343,存条明细!C343,存条明细!$D$4:D343,存条明细!D343)&gt;1,"",IFERROR(MATCH(存条明细!C343,总览汇总!$B$5:$B$304,0),900)*10000000+IFERROR(MATCH(存条明细!D343,基础资料!$E$5:$E$104,0),900)*10000+ROW()))</f>
      </c>
      <c r="B343">
        <f>IFERROR(MATCH(SMALL($A$4:$A$4003,340),$A$4:$A$4003,0),"")</f>
      </c>
      <c r="D343">
        <f>IF(AND(商品库存!B343&lt;&gt;"",商品库存!B343=客户查询!$B$4),COUNTIF(商品库存!$B$4:B343,客户查询!$B$4),"")</f>
      </c>
      <c r="E343">
        <f>IF(AND(商品库存!B343&lt;&gt;"",商品库存!B343=客户对账单!$B$4),COUNTIF(商品库存!$B$4:B343,客户对账单!$B$4),"")</f>
      </c>
      <c r="F343">
        <f>IF(AND(出库明细!C343&lt;&gt;"",出库明细!C343=客户对账单!$B$4,ISNUMBER(出库明细!B343),出库明细!B343&gt;=客户对账单!$G$4,出库明细!B343&lt;=客户对账单!$I$4),出库明细!B343+ROW()/100000,"")</f>
      </c>
      <c r="H343">
        <f>IF(AND(采购进货!C343&lt;&gt;"",采购进货!C343=供应商对账单!$B$4,ISNUMBER(采购进货!B343),采购进货!B343&gt;=供应商对账单!$G$4,采购进货!B343&lt;=供应商对账单!$I$4),采购进货!B343+ROW()/100000,"")</f>
      </c>
      <c r="N343">
        <f>IF(AND(ISNUMBER(出库明细!G343),ISNUMBER(出库明细!E343),ISNUMBER(出库明细!F343)),IF(ABS(出库明细!G343-出库明细!E343*出库明细!F343)&gt;0.005,1,0),0)</f>
        <v>0</v>
      </c>
      <c r="O343">
        <f>IF(AND(ISNUMBER(存条明细!G343),ISNUMBER(存条明细!E343),ISNUMBER(存条明细!F343)),IF(ABS(存条明细!G343-存条明细!E343*存条明细!F343)&gt;0.005,1,0),0)</f>
        <v>0</v>
      </c>
    </row>
    <row r="344">
      <c r="A344">
        <f>IF(OR(存条明细!C344="",存条明细!D344=""),"",IF(COUNTIFS(存条明细!$C$4:C344,存条明细!C344,存条明细!$D$4:D344,存条明细!D344)&gt;1,"",IFERROR(MATCH(存条明细!C344,总览汇总!$B$5:$B$304,0),900)*10000000+IFERROR(MATCH(存条明细!D344,基础资料!$E$5:$E$104,0),900)*10000+ROW()))</f>
      </c>
      <c r="B344">
        <f>IFERROR(MATCH(SMALL($A$4:$A$4003,341),$A$4:$A$4003,0),"")</f>
      </c>
      <c r="D344">
        <f>IF(AND(商品库存!B344&lt;&gt;"",商品库存!B344=客户查询!$B$4),COUNTIF(商品库存!$B$4:B344,客户查询!$B$4),"")</f>
      </c>
      <c r="E344">
        <f>IF(AND(商品库存!B344&lt;&gt;"",商品库存!B344=客户对账单!$B$4),COUNTIF(商品库存!$B$4:B344,客户对账单!$B$4),"")</f>
      </c>
      <c r="F344">
        <f>IF(AND(出库明细!C344&lt;&gt;"",出库明细!C344=客户对账单!$B$4,ISNUMBER(出库明细!B344),出库明细!B344&gt;=客户对账单!$G$4,出库明细!B344&lt;=客户对账单!$I$4),出库明细!B344+ROW()/100000,"")</f>
      </c>
      <c r="H344">
        <f>IF(AND(采购进货!C344&lt;&gt;"",采购进货!C344=供应商对账单!$B$4,ISNUMBER(采购进货!B344),采购进货!B344&gt;=供应商对账单!$G$4,采购进货!B344&lt;=供应商对账单!$I$4),采购进货!B344+ROW()/100000,"")</f>
      </c>
      <c r="N344">
        <f>IF(AND(ISNUMBER(出库明细!G344),ISNUMBER(出库明细!E344),ISNUMBER(出库明细!F344)),IF(ABS(出库明细!G344-出库明细!E344*出库明细!F344)&gt;0.005,1,0),0)</f>
        <v>0</v>
      </c>
      <c r="O344">
        <f>IF(AND(ISNUMBER(存条明细!G344),ISNUMBER(存条明细!E344),ISNUMBER(存条明细!F344)),IF(ABS(存条明细!G344-存条明细!E344*存条明细!F344)&gt;0.005,1,0),0)</f>
        <v>0</v>
      </c>
    </row>
    <row r="345">
      <c r="A345">
        <f>IF(OR(存条明细!C345="",存条明细!D345=""),"",IF(COUNTIFS(存条明细!$C$4:C345,存条明细!C345,存条明细!$D$4:D345,存条明细!D345)&gt;1,"",IFERROR(MATCH(存条明细!C345,总览汇总!$B$5:$B$304,0),900)*10000000+IFERROR(MATCH(存条明细!D345,基础资料!$E$5:$E$104,0),900)*10000+ROW()))</f>
      </c>
      <c r="B345">
        <f>IFERROR(MATCH(SMALL($A$4:$A$4003,342),$A$4:$A$4003,0),"")</f>
      </c>
      <c r="D345">
        <f>IF(AND(商品库存!B345&lt;&gt;"",商品库存!B345=客户查询!$B$4),COUNTIF(商品库存!$B$4:B345,客户查询!$B$4),"")</f>
      </c>
      <c r="E345">
        <f>IF(AND(商品库存!B345&lt;&gt;"",商品库存!B345=客户对账单!$B$4),COUNTIF(商品库存!$B$4:B345,客户对账单!$B$4),"")</f>
      </c>
      <c r="F345">
        <f>IF(AND(出库明细!C345&lt;&gt;"",出库明细!C345=客户对账单!$B$4,ISNUMBER(出库明细!B345),出库明细!B345&gt;=客户对账单!$G$4,出库明细!B345&lt;=客户对账单!$I$4),出库明细!B345+ROW()/100000,"")</f>
      </c>
      <c r="H345">
        <f>IF(AND(采购进货!C345&lt;&gt;"",采购进货!C345=供应商对账单!$B$4,ISNUMBER(采购进货!B345),采购进货!B345&gt;=供应商对账单!$G$4,采购进货!B345&lt;=供应商对账单!$I$4),采购进货!B345+ROW()/100000,"")</f>
      </c>
      <c r="N345">
        <f>IF(AND(ISNUMBER(出库明细!G345),ISNUMBER(出库明细!E345),ISNUMBER(出库明细!F345)),IF(ABS(出库明细!G345-出库明细!E345*出库明细!F345)&gt;0.005,1,0),0)</f>
        <v>0</v>
      </c>
      <c r="O345">
        <f>IF(AND(ISNUMBER(存条明细!G345),ISNUMBER(存条明细!E345),ISNUMBER(存条明细!F345)),IF(ABS(存条明细!G345-存条明细!E345*存条明细!F345)&gt;0.005,1,0),0)</f>
        <v>0</v>
      </c>
    </row>
    <row r="346">
      <c r="A346">
        <f>IF(OR(存条明细!C346="",存条明细!D346=""),"",IF(COUNTIFS(存条明细!$C$4:C346,存条明细!C346,存条明细!$D$4:D346,存条明细!D346)&gt;1,"",IFERROR(MATCH(存条明细!C346,总览汇总!$B$5:$B$304,0),900)*10000000+IFERROR(MATCH(存条明细!D346,基础资料!$E$5:$E$104,0),900)*10000+ROW()))</f>
      </c>
      <c r="B346">
        <f>IFERROR(MATCH(SMALL($A$4:$A$4003,343),$A$4:$A$4003,0),"")</f>
      </c>
      <c r="D346">
        <f>IF(AND(商品库存!B346&lt;&gt;"",商品库存!B346=客户查询!$B$4),COUNTIF(商品库存!$B$4:B346,客户查询!$B$4),"")</f>
      </c>
      <c r="E346">
        <f>IF(AND(商品库存!B346&lt;&gt;"",商品库存!B346=客户对账单!$B$4),COUNTIF(商品库存!$B$4:B346,客户对账单!$B$4),"")</f>
      </c>
      <c r="F346">
        <f>IF(AND(出库明细!C346&lt;&gt;"",出库明细!C346=客户对账单!$B$4,ISNUMBER(出库明细!B346),出库明细!B346&gt;=客户对账单!$G$4,出库明细!B346&lt;=客户对账单!$I$4),出库明细!B346+ROW()/100000,"")</f>
      </c>
      <c r="H346">
        <f>IF(AND(采购进货!C346&lt;&gt;"",采购进货!C346=供应商对账单!$B$4,ISNUMBER(采购进货!B346),采购进货!B346&gt;=供应商对账单!$G$4,采购进货!B346&lt;=供应商对账单!$I$4),采购进货!B346+ROW()/100000,"")</f>
      </c>
      <c r="N346">
        <f>IF(AND(ISNUMBER(出库明细!G346),ISNUMBER(出库明细!E346),ISNUMBER(出库明细!F346)),IF(ABS(出库明细!G346-出库明细!E346*出库明细!F346)&gt;0.005,1,0),0)</f>
        <v>0</v>
      </c>
      <c r="O346">
        <f>IF(AND(ISNUMBER(存条明细!G346),ISNUMBER(存条明细!E346),ISNUMBER(存条明细!F346)),IF(ABS(存条明细!G346-存条明细!E346*存条明细!F346)&gt;0.005,1,0),0)</f>
        <v>0</v>
      </c>
    </row>
    <row r="347">
      <c r="A347">
        <f>IF(OR(存条明细!C347="",存条明细!D347=""),"",IF(COUNTIFS(存条明细!$C$4:C347,存条明细!C347,存条明细!$D$4:D347,存条明细!D347)&gt;1,"",IFERROR(MATCH(存条明细!C347,总览汇总!$B$5:$B$304,0),900)*10000000+IFERROR(MATCH(存条明细!D347,基础资料!$E$5:$E$104,0),900)*10000+ROW()))</f>
      </c>
      <c r="B347">
        <f>IFERROR(MATCH(SMALL($A$4:$A$4003,344),$A$4:$A$4003,0),"")</f>
      </c>
      <c r="D347">
        <f>IF(AND(商品库存!B347&lt;&gt;"",商品库存!B347=客户查询!$B$4),COUNTIF(商品库存!$B$4:B347,客户查询!$B$4),"")</f>
      </c>
      <c r="E347">
        <f>IF(AND(商品库存!B347&lt;&gt;"",商品库存!B347=客户对账单!$B$4),COUNTIF(商品库存!$B$4:B347,客户对账单!$B$4),"")</f>
      </c>
      <c r="F347">
        <f>IF(AND(出库明细!C347&lt;&gt;"",出库明细!C347=客户对账单!$B$4,ISNUMBER(出库明细!B347),出库明细!B347&gt;=客户对账单!$G$4,出库明细!B347&lt;=客户对账单!$I$4),出库明细!B347+ROW()/100000,"")</f>
      </c>
      <c r="H347">
        <f>IF(AND(采购进货!C347&lt;&gt;"",采购进货!C347=供应商对账单!$B$4,ISNUMBER(采购进货!B347),采购进货!B347&gt;=供应商对账单!$G$4,采购进货!B347&lt;=供应商对账单!$I$4),采购进货!B347+ROW()/100000,"")</f>
      </c>
      <c r="N347">
        <f>IF(AND(ISNUMBER(出库明细!G347),ISNUMBER(出库明细!E347),ISNUMBER(出库明细!F347)),IF(ABS(出库明细!G347-出库明细!E347*出库明细!F347)&gt;0.005,1,0),0)</f>
        <v>0</v>
      </c>
      <c r="O347">
        <f>IF(AND(ISNUMBER(存条明细!G347),ISNUMBER(存条明细!E347),ISNUMBER(存条明细!F347)),IF(ABS(存条明细!G347-存条明细!E347*存条明细!F347)&gt;0.005,1,0),0)</f>
        <v>0</v>
      </c>
    </row>
    <row r="348">
      <c r="A348">
        <f>IF(OR(存条明细!C348="",存条明细!D348=""),"",IF(COUNTIFS(存条明细!$C$4:C348,存条明细!C348,存条明细!$D$4:D348,存条明细!D348)&gt;1,"",IFERROR(MATCH(存条明细!C348,总览汇总!$B$5:$B$304,0),900)*10000000+IFERROR(MATCH(存条明细!D348,基础资料!$E$5:$E$104,0),900)*10000+ROW()))</f>
      </c>
      <c r="B348">
        <f>IFERROR(MATCH(SMALL($A$4:$A$4003,345),$A$4:$A$4003,0),"")</f>
      </c>
      <c r="D348">
        <f>IF(AND(商品库存!B348&lt;&gt;"",商品库存!B348=客户查询!$B$4),COUNTIF(商品库存!$B$4:B348,客户查询!$B$4),"")</f>
      </c>
      <c r="E348">
        <f>IF(AND(商品库存!B348&lt;&gt;"",商品库存!B348=客户对账单!$B$4),COUNTIF(商品库存!$B$4:B348,客户对账单!$B$4),"")</f>
      </c>
      <c r="F348">
        <f>IF(AND(出库明细!C348&lt;&gt;"",出库明细!C348=客户对账单!$B$4,ISNUMBER(出库明细!B348),出库明细!B348&gt;=客户对账单!$G$4,出库明细!B348&lt;=客户对账单!$I$4),出库明细!B348+ROW()/100000,"")</f>
      </c>
      <c r="H348">
        <f>IF(AND(采购进货!C348&lt;&gt;"",采购进货!C348=供应商对账单!$B$4,ISNUMBER(采购进货!B348),采购进货!B348&gt;=供应商对账单!$G$4,采购进货!B348&lt;=供应商对账单!$I$4),采购进货!B348+ROW()/100000,"")</f>
      </c>
      <c r="N348">
        <f>IF(AND(ISNUMBER(出库明细!G348),ISNUMBER(出库明细!E348),ISNUMBER(出库明细!F348)),IF(ABS(出库明细!G348-出库明细!E348*出库明细!F348)&gt;0.005,1,0),0)</f>
        <v>0</v>
      </c>
      <c r="O348">
        <f>IF(AND(ISNUMBER(存条明细!G348),ISNUMBER(存条明细!E348),ISNUMBER(存条明细!F348)),IF(ABS(存条明细!G348-存条明细!E348*存条明细!F348)&gt;0.005,1,0),0)</f>
        <v>0</v>
      </c>
    </row>
    <row r="349">
      <c r="A349">
        <f>IF(OR(存条明细!C349="",存条明细!D349=""),"",IF(COUNTIFS(存条明细!$C$4:C349,存条明细!C349,存条明细!$D$4:D349,存条明细!D349)&gt;1,"",IFERROR(MATCH(存条明细!C349,总览汇总!$B$5:$B$304,0),900)*10000000+IFERROR(MATCH(存条明细!D349,基础资料!$E$5:$E$104,0),900)*10000+ROW()))</f>
      </c>
      <c r="B349">
        <f>IFERROR(MATCH(SMALL($A$4:$A$4003,346),$A$4:$A$4003,0),"")</f>
      </c>
      <c r="D349">
        <f>IF(AND(商品库存!B349&lt;&gt;"",商品库存!B349=客户查询!$B$4),COUNTIF(商品库存!$B$4:B349,客户查询!$B$4),"")</f>
      </c>
      <c r="E349">
        <f>IF(AND(商品库存!B349&lt;&gt;"",商品库存!B349=客户对账单!$B$4),COUNTIF(商品库存!$B$4:B349,客户对账单!$B$4),"")</f>
      </c>
      <c r="F349">
        <f>IF(AND(出库明细!C349&lt;&gt;"",出库明细!C349=客户对账单!$B$4,ISNUMBER(出库明细!B349),出库明细!B349&gt;=客户对账单!$G$4,出库明细!B349&lt;=客户对账单!$I$4),出库明细!B349+ROW()/100000,"")</f>
      </c>
      <c r="H349">
        <f>IF(AND(采购进货!C349&lt;&gt;"",采购进货!C349=供应商对账单!$B$4,ISNUMBER(采购进货!B349),采购进货!B349&gt;=供应商对账单!$G$4,采购进货!B349&lt;=供应商对账单!$I$4),采购进货!B349+ROW()/100000,"")</f>
      </c>
      <c r="N349">
        <f>IF(AND(ISNUMBER(出库明细!G349),ISNUMBER(出库明细!E349),ISNUMBER(出库明细!F349)),IF(ABS(出库明细!G349-出库明细!E349*出库明细!F349)&gt;0.005,1,0),0)</f>
        <v>0</v>
      </c>
      <c r="O349">
        <f>IF(AND(ISNUMBER(存条明细!G349),ISNUMBER(存条明细!E349),ISNUMBER(存条明细!F349)),IF(ABS(存条明细!G349-存条明细!E349*存条明细!F349)&gt;0.005,1,0),0)</f>
        <v>0</v>
      </c>
    </row>
    <row r="350">
      <c r="A350">
        <f>IF(OR(存条明细!C350="",存条明细!D350=""),"",IF(COUNTIFS(存条明细!$C$4:C350,存条明细!C350,存条明细!$D$4:D350,存条明细!D350)&gt;1,"",IFERROR(MATCH(存条明细!C350,总览汇总!$B$5:$B$304,0),900)*10000000+IFERROR(MATCH(存条明细!D350,基础资料!$E$5:$E$104,0),900)*10000+ROW()))</f>
      </c>
      <c r="B350">
        <f>IFERROR(MATCH(SMALL($A$4:$A$4003,347),$A$4:$A$4003,0),"")</f>
      </c>
      <c r="D350">
        <f>IF(AND(商品库存!B350&lt;&gt;"",商品库存!B350=客户查询!$B$4),COUNTIF(商品库存!$B$4:B350,客户查询!$B$4),"")</f>
      </c>
      <c r="E350">
        <f>IF(AND(商品库存!B350&lt;&gt;"",商品库存!B350=客户对账单!$B$4),COUNTIF(商品库存!$B$4:B350,客户对账单!$B$4),"")</f>
      </c>
      <c r="F350">
        <f>IF(AND(出库明细!C350&lt;&gt;"",出库明细!C350=客户对账单!$B$4,ISNUMBER(出库明细!B350),出库明细!B350&gt;=客户对账单!$G$4,出库明细!B350&lt;=客户对账单!$I$4),出库明细!B350+ROW()/100000,"")</f>
      </c>
      <c r="H350">
        <f>IF(AND(采购进货!C350&lt;&gt;"",采购进货!C350=供应商对账单!$B$4,ISNUMBER(采购进货!B350),采购进货!B350&gt;=供应商对账单!$G$4,采购进货!B350&lt;=供应商对账单!$I$4),采购进货!B350+ROW()/100000,"")</f>
      </c>
      <c r="N350">
        <f>IF(AND(ISNUMBER(出库明细!G350),ISNUMBER(出库明细!E350),ISNUMBER(出库明细!F350)),IF(ABS(出库明细!G350-出库明细!E350*出库明细!F350)&gt;0.005,1,0),0)</f>
        <v>0</v>
      </c>
      <c r="O350">
        <f>IF(AND(ISNUMBER(存条明细!G350),ISNUMBER(存条明细!E350),ISNUMBER(存条明细!F350)),IF(ABS(存条明细!G350-存条明细!E350*存条明细!F350)&gt;0.005,1,0),0)</f>
        <v>0</v>
      </c>
    </row>
    <row r="351">
      <c r="A351">
        <f>IF(OR(存条明细!C351="",存条明细!D351=""),"",IF(COUNTIFS(存条明细!$C$4:C351,存条明细!C351,存条明细!$D$4:D351,存条明细!D351)&gt;1,"",IFERROR(MATCH(存条明细!C351,总览汇总!$B$5:$B$304,0),900)*10000000+IFERROR(MATCH(存条明细!D351,基础资料!$E$5:$E$104,0),900)*10000+ROW()))</f>
      </c>
      <c r="B351">
        <f>IFERROR(MATCH(SMALL($A$4:$A$4003,348),$A$4:$A$4003,0),"")</f>
      </c>
      <c r="D351">
        <f>IF(AND(商品库存!B351&lt;&gt;"",商品库存!B351=客户查询!$B$4),COUNTIF(商品库存!$B$4:B351,客户查询!$B$4),"")</f>
      </c>
      <c r="E351">
        <f>IF(AND(商品库存!B351&lt;&gt;"",商品库存!B351=客户对账单!$B$4),COUNTIF(商品库存!$B$4:B351,客户对账单!$B$4),"")</f>
      </c>
      <c r="F351">
        <f>IF(AND(出库明细!C351&lt;&gt;"",出库明细!C351=客户对账单!$B$4,ISNUMBER(出库明细!B351),出库明细!B351&gt;=客户对账单!$G$4,出库明细!B351&lt;=客户对账单!$I$4),出库明细!B351+ROW()/100000,"")</f>
      </c>
      <c r="H351">
        <f>IF(AND(采购进货!C351&lt;&gt;"",采购进货!C351=供应商对账单!$B$4,ISNUMBER(采购进货!B351),采购进货!B351&gt;=供应商对账单!$G$4,采购进货!B351&lt;=供应商对账单!$I$4),采购进货!B351+ROW()/100000,"")</f>
      </c>
      <c r="N351">
        <f>IF(AND(ISNUMBER(出库明细!G351),ISNUMBER(出库明细!E351),ISNUMBER(出库明细!F351)),IF(ABS(出库明细!G351-出库明细!E351*出库明细!F351)&gt;0.005,1,0),0)</f>
        <v>0</v>
      </c>
      <c r="O351">
        <f>IF(AND(ISNUMBER(存条明细!G351),ISNUMBER(存条明细!E351),ISNUMBER(存条明细!F351)),IF(ABS(存条明细!G351-存条明细!E351*存条明细!F351)&gt;0.005,1,0),0)</f>
        <v>0</v>
      </c>
    </row>
    <row r="352">
      <c r="A352">
        <f>IF(OR(存条明细!C352="",存条明细!D352=""),"",IF(COUNTIFS(存条明细!$C$4:C352,存条明细!C352,存条明细!$D$4:D352,存条明细!D352)&gt;1,"",IFERROR(MATCH(存条明细!C352,总览汇总!$B$5:$B$304,0),900)*10000000+IFERROR(MATCH(存条明细!D352,基础资料!$E$5:$E$104,0),900)*10000+ROW()))</f>
      </c>
      <c r="B352">
        <f>IFERROR(MATCH(SMALL($A$4:$A$4003,349),$A$4:$A$4003,0),"")</f>
      </c>
      <c r="D352">
        <f>IF(AND(商品库存!B352&lt;&gt;"",商品库存!B352=客户查询!$B$4),COUNTIF(商品库存!$B$4:B352,客户查询!$B$4),"")</f>
      </c>
      <c r="E352">
        <f>IF(AND(商品库存!B352&lt;&gt;"",商品库存!B352=客户对账单!$B$4),COUNTIF(商品库存!$B$4:B352,客户对账单!$B$4),"")</f>
      </c>
      <c r="F352">
        <f>IF(AND(出库明细!C352&lt;&gt;"",出库明细!C352=客户对账单!$B$4,ISNUMBER(出库明细!B352),出库明细!B352&gt;=客户对账单!$G$4,出库明细!B352&lt;=客户对账单!$I$4),出库明细!B352+ROW()/100000,"")</f>
      </c>
      <c r="H352">
        <f>IF(AND(采购进货!C352&lt;&gt;"",采购进货!C352=供应商对账单!$B$4,ISNUMBER(采购进货!B352),采购进货!B352&gt;=供应商对账单!$G$4,采购进货!B352&lt;=供应商对账单!$I$4),采购进货!B352+ROW()/100000,"")</f>
      </c>
      <c r="N352">
        <f>IF(AND(ISNUMBER(出库明细!G352),ISNUMBER(出库明细!E352),ISNUMBER(出库明细!F352)),IF(ABS(出库明细!G352-出库明细!E352*出库明细!F352)&gt;0.005,1,0),0)</f>
        <v>0</v>
      </c>
      <c r="O352">
        <f>IF(AND(ISNUMBER(存条明细!G352),ISNUMBER(存条明细!E352),ISNUMBER(存条明细!F352)),IF(ABS(存条明细!G352-存条明细!E352*存条明细!F352)&gt;0.005,1,0),0)</f>
        <v>0</v>
      </c>
    </row>
    <row r="353">
      <c r="A353">
        <f>IF(OR(存条明细!C353="",存条明细!D353=""),"",IF(COUNTIFS(存条明细!$C$4:C353,存条明细!C353,存条明细!$D$4:D353,存条明细!D353)&gt;1,"",IFERROR(MATCH(存条明细!C353,总览汇总!$B$5:$B$304,0),900)*10000000+IFERROR(MATCH(存条明细!D353,基础资料!$E$5:$E$104,0),900)*10000+ROW()))</f>
      </c>
      <c r="B353">
        <f>IFERROR(MATCH(SMALL($A$4:$A$4003,350),$A$4:$A$4003,0),"")</f>
      </c>
      <c r="D353">
        <f>IF(AND(商品库存!B353&lt;&gt;"",商品库存!B353=客户查询!$B$4),COUNTIF(商品库存!$B$4:B353,客户查询!$B$4),"")</f>
      </c>
      <c r="E353">
        <f>IF(AND(商品库存!B353&lt;&gt;"",商品库存!B353=客户对账单!$B$4),COUNTIF(商品库存!$B$4:B353,客户对账单!$B$4),"")</f>
      </c>
      <c r="F353">
        <f>IF(AND(出库明细!C353&lt;&gt;"",出库明细!C353=客户对账单!$B$4,ISNUMBER(出库明细!B353),出库明细!B353&gt;=客户对账单!$G$4,出库明细!B353&lt;=客户对账单!$I$4),出库明细!B353+ROW()/100000,"")</f>
      </c>
      <c r="H353">
        <f>IF(AND(采购进货!C353&lt;&gt;"",采购进货!C353=供应商对账单!$B$4,ISNUMBER(采购进货!B353),采购进货!B353&gt;=供应商对账单!$G$4,采购进货!B353&lt;=供应商对账单!$I$4),采购进货!B353+ROW()/100000,"")</f>
      </c>
      <c r="N353">
        <f>IF(AND(ISNUMBER(出库明细!G353),ISNUMBER(出库明细!E353),ISNUMBER(出库明细!F353)),IF(ABS(出库明细!G353-出库明细!E353*出库明细!F353)&gt;0.005,1,0),0)</f>
        <v>0</v>
      </c>
      <c r="O353">
        <f>IF(AND(ISNUMBER(存条明细!G353),ISNUMBER(存条明细!E353),ISNUMBER(存条明细!F353)),IF(ABS(存条明细!G353-存条明细!E353*存条明细!F353)&gt;0.005,1,0),0)</f>
        <v>0</v>
      </c>
    </row>
    <row r="354">
      <c r="A354">
        <f>IF(OR(存条明细!C354="",存条明细!D354=""),"",IF(COUNTIFS(存条明细!$C$4:C354,存条明细!C354,存条明细!$D$4:D354,存条明细!D354)&gt;1,"",IFERROR(MATCH(存条明细!C354,总览汇总!$B$5:$B$304,0),900)*10000000+IFERROR(MATCH(存条明细!D354,基础资料!$E$5:$E$104,0),900)*10000+ROW()))</f>
      </c>
      <c r="B354">
        <f>IFERROR(MATCH(SMALL($A$4:$A$4003,351),$A$4:$A$4003,0),"")</f>
      </c>
      <c r="D354">
        <f>IF(AND(商品库存!B354&lt;&gt;"",商品库存!B354=客户查询!$B$4),COUNTIF(商品库存!$B$4:B354,客户查询!$B$4),"")</f>
      </c>
      <c r="E354">
        <f>IF(AND(商品库存!B354&lt;&gt;"",商品库存!B354=客户对账单!$B$4),COUNTIF(商品库存!$B$4:B354,客户对账单!$B$4),"")</f>
      </c>
      <c r="F354">
        <f>IF(AND(出库明细!C354&lt;&gt;"",出库明细!C354=客户对账单!$B$4,ISNUMBER(出库明细!B354),出库明细!B354&gt;=客户对账单!$G$4,出库明细!B354&lt;=客户对账单!$I$4),出库明细!B354+ROW()/100000,"")</f>
      </c>
      <c r="H354">
        <f>IF(AND(采购进货!C354&lt;&gt;"",采购进货!C354=供应商对账单!$B$4,ISNUMBER(采购进货!B354),采购进货!B354&gt;=供应商对账单!$G$4,采购进货!B354&lt;=供应商对账单!$I$4),采购进货!B354+ROW()/100000,"")</f>
      </c>
      <c r="N354">
        <f>IF(AND(ISNUMBER(出库明细!G354),ISNUMBER(出库明细!E354),ISNUMBER(出库明细!F354)),IF(ABS(出库明细!G354-出库明细!E354*出库明细!F354)&gt;0.005,1,0),0)</f>
        <v>0</v>
      </c>
      <c r="O354">
        <f>IF(AND(ISNUMBER(存条明细!G354),ISNUMBER(存条明细!E354),ISNUMBER(存条明细!F354)),IF(ABS(存条明细!G354-存条明细!E354*存条明细!F354)&gt;0.005,1,0),0)</f>
        <v>0</v>
      </c>
    </row>
    <row r="355">
      <c r="A355">
        <f>IF(OR(存条明细!C355="",存条明细!D355=""),"",IF(COUNTIFS(存条明细!$C$4:C355,存条明细!C355,存条明细!$D$4:D355,存条明细!D355)&gt;1,"",IFERROR(MATCH(存条明细!C355,总览汇总!$B$5:$B$304,0),900)*10000000+IFERROR(MATCH(存条明细!D355,基础资料!$E$5:$E$104,0),900)*10000+ROW()))</f>
      </c>
      <c r="B355">
        <f>IFERROR(MATCH(SMALL($A$4:$A$4003,352),$A$4:$A$4003,0),"")</f>
      </c>
      <c r="D355">
        <f>IF(AND(商品库存!B355&lt;&gt;"",商品库存!B355=客户查询!$B$4),COUNTIF(商品库存!$B$4:B355,客户查询!$B$4),"")</f>
      </c>
      <c r="E355">
        <f>IF(AND(商品库存!B355&lt;&gt;"",商品库存!B355=客户对账单!$B$4),COUNTIF(商品库存!$B$4:B355,客户对账单!$B$4),"")</f>
      </c>
      <c r="F355">
        <f>IF(AND(出库明细!C355&lt;&gt;"",出库明细!C355=客户对账单!$B$4,ISNUMBER(出库明细!B355),出库明细!B355&gt;=客户对账单!$G$4,出库明细!B355&lt;=客户对账单!$I$4),出库明细!B355+ROW()/100000,"")</f>
        <v>46259.00355</v>
      </c>
      <c r="H355">
        <f>IF(AND(采购进货!C355&lt;&gt;"",采购进货!C355=供应商对账单!$B$4,ISNUMBER(采购进货!B355),采购进货!B355&gt;=供应商对账单!$G$4,采购进货!B355&lt;=供应商对账单!$I$4),采购进货!B355+ROW()/100000,"")</f>
      </c>
      <c r="N355">
        <f>IF(AND(ISNUMBER(出库明细!G355),ISNUMBER(出库明细!E355),ISNUMBER(出库明细!F355)),IF(ABS(出库明细!G355-出库明细!E355*出库明细!F355)&gt;0.005,1,0),0)</f>
        <v>0</v>
      </c>
      <c r="O355">
        <f>IF(AND(ISNUMBER(存条明细!G355),ISNUMBER(存条明细!E355),ISNUMBER(存条明细!F355)),IF(ABS(存条明细!G355-存条明细!E355*存条明细!F355)&gt;0.005,1,0),0)</f>
        <v>0</v>
      </c>
    </row>
    <row r="356">
      <c r="A356">
        <f>IF(OR(存条明细!C356="",存条明细!D356=""),"",IF(COUNTIFS(存条明细!$C$4:C356,存条明细!C356,存条明细!$D$4:D356,存条明细!D356)&gt;1,"",IFERROR(MATCH(存条明细!C356,总览汇总!$B$5:$B$304,0),900)*10000000+IFERROR(MATCH(存条明细!D356,基础资料!$E$5:$E$104,0),900)*10000+ROW()))</f>
      </c>
      <c r="B356">
        <f>IFERROR(MATCH(SMALL($A$4:$A$4003,353),$A$4:$A$4003,0),"")</f>
      </c>
      <c r="D356">
        <f>IF(AND(商品库存!B356&lt;&gt;"",商品库存!B356=客户查询!$B$4),COUNTIF(商品库存!$B$4:B356,客户查询!$B$4),"")</f>
      </c>
      <c r="E356">
        <f>IF(AND(商品库存!B356&lt;&gt;"",商品库存!B356=客户对账单!$B$4),COUNTIF(商品库存!$B$4:B356,客户对账单!$B$4),"")</f>
      </c>
      <c r="F356">
        <f>IF(AND(出库明细!C356&lt;&gt;"",出库明细!C356=客户对账单!$B$4,ISNUMBER(出库明细!B356),出库明细!B356&gt;=客户对账单!$G$4,出库明细!B356&lt;=客户对账单!$I$4),出库明细!B356+ROW()/100000,"")</f>
        <v>46259.00356</v>
      </c>
      <c r="H356">
        <f>IF(AND(采购进货!C356&lt;&gt;"",采购进货!C356=供应商对账单!$B$4,ISNUMBER(采购进货!B356),采购进货!B356&gt;=供应商对账单!$G$4,采购进货!B356&lt;=供应商对账单!$I$4),采购进货!B356+ROW()/100000,"")</f>
      </c>
      <c r="N356">
        <f>IF(AND(ISNUMBER(出库明细!G356),ISNUMBER(出库明细!E356),ISNUMBER(出库明细!F356)),IF(ABS(出库明细!G356-出库明细!E356*出库明细!F356)&gt;0.005,1,0),0)</f>
        <v>0</v>
      </c>
      <c r="O356">
        <f>IF(AND(ISNUMBER(存条明细!G356),ISNUMBER(存条明细!E356),ISNUMBER(存条明细!F356)),IF(ABS(存条明细!G356-存条明细!E356*存条明细!F356)&gt;0.005,1,0),0)</f>
        <v>0</v>
      </c>
    </row>
    <row r="357">
      <c r="A357">
        <f>IF(OR(存条明细!C357="",存条明细!D357=""),"",IF(COUNTIFS(存条明细!$C$4:C357,存条明细!C357,存条明细!$D$4:D357,存条明细!D357)&gt;1,"",IFERROR(MATCH(存条明细!C357,总览汇总!$B$5:$B$304,0),900)*10000000+IFERROR(MATCH(存条明细!D357,基础资料!$E$5:$E$104,0),900)*10000+ROW()))</f>
      </c>
      <c r="B357">
        <f>IFERROR(MATCH(SMALL($A$4:$A$4003,354),$A$4:$A$4003,0),"")</f>
      </c>
      <c r="D357">
        <f>IF(AND(商品库存!B357&lt;&gt;"",商品库存!B357=客户查询!$B$4),COUNTIF(商品库存!$B$4:B357,客户查询!$B$4),"")</f>
      </c>
      <c r="E357">
        <f>IF(AND(商品库存!B357&lt;&gt;"",商品库存!B357=客户对账单!$B$4),COUNTIF(商品库存!$B$4:B357,客户对账单!$B$4),"")</f>
      </c>
      <c r="F357">
        <f>IF(AND(出库明细!C357&lt;&gt;"",出库明细!C357=客户对账单!$B$4,ISNUMBER(出库明细!B357),出库明细!B357&gt;=客户对账单!$G$4,出库明细!B357&lt;=客户对账单!$I$4),出库明细!B357+ROW()/100000,"")</f>
      </c>
      <c r="H357">
        <f>IF(AND(采购进货!C357&lt;&gt;"",采购进货!C357=供应商对账单!$B$4,ISNUMBER(采购进货!B357),采购进货!B357&gt;=供应商对账单!$G$4,采购进货!B357&lt;=供应商对账单!$I$4),采购进货!B357+ROW()/100000,"")</f>
      </c>
      <c r="N357">
        <f>IF(AND(ISNUMBER(出库明细!G357),ISNUMBER(出库明细!E357),ISNUMBER(出库明细!F357)),IF(ABS(出库明细!G357-出库明细!E357*出库明细!F357)&gt;0.005,1,0),0)</f>
        <v>0</v>
      </c>
      <c r="O357">
        <f>IF(AND(ISNUMBER(存条明细!G357),ISNUMBER(存条明细!E357),ISNUMBER(存条明细!F357)),IF(ABS(存条明细!G357-存条明细!E357*存条明细!F357)&gt;0.005,1,0),0)</f>
        <v>0</v>
      </c>
    </row>
    <row r="358">
      <c r="A358">
        <f>IF(OR(存条明细!C358="",存条明细!D358=""),"",IF(COUNTIFS(存条明细!$C$4:C358,存条明细!C358,存条明细!$D$4:D358,存条明细!D358)&gt;1,"",IFERROR(MATCH(存条明细!C358,总览汇总!$B$5:$B$304,0),900)*10000000+IFERROR(MATCH(存条明细!D358,基础资料!$E$5:$E$104,0),900)*10000+ROW()))</f>
      </c>
      <c r="B358">
        <f>IFERROR(MATCH(SMALL($A$4:$A$4003,355),$A$4:$A$4003,0),"")</f>
      </c>
      <c r="D358">
        <f>IF(AND(商品库存!B358&lt;&gt;"",商品库存!B358=客户查询!$B$4),COUNTIF(商品库存!$B$4:B358,客户查询!$B$4),"")</f>
      </c>
      <c r="E358">
        <f>IF(AND(商品库存!B358&lt;&gt;"",商品库存!B358=客户对账单!$B$4),COUNTIF(商品库存!$B$4:B358,客户对账单!$B$4),"")</f>
      </c>
      <c r="F358">
        <f>IF(AND(出库明细!C358&lt;&gt;"",出库明细!C358=客户对账单!$B$4,ISNUMBER(出库明细!B358),出库明细!B358&gt;=客户对账单!$G$4,出库明细!B358&lt;=客户对账单!$I$4),出库明细!B358+ROW()/100000,"")</f>
      </c>
      <c r="H358">
        <f>IF(AND(采购进货!C358&lt;&gt;"",采购进货!C358=供应商对账单!$B$4,ISNUMBER(采购进货!B358),采购进货!B358&gt;=供应商对账单!$G$4,采购进货!B358&lt;=供应商对账单!$I$4),采购进货!B358+ROW()/100000,"")</f>
      </c>
      <c r="N358">
        <f>IF(AND(ISNUMBER(出库明细!G358),ISNUMBER(出库明细!E358),ISNUMBER(出库明细!F358)),IF(ABS(出库明细!G358-出库明细!E358*出库明细!F358)&gt;0.005,1,0),0)</f>
        <v>0</v>
      </c>
      <c r="O358">
        <f>IF(AND(ISNUMBER(存条明细!G358),ISNUMBER(存条明细!E358),ISNUMBER(存条明细!F358)),IF(ABS(存条明细!G358-存条明细!E358*存条明细!F358)&gt;0.005,1,0),0)</f>
        <v>0</v>
      </c>
    </row>
    <row r="359">
      <c r="A359">
        <f>IF(OR(存条明细!C359="",存条明细!D359=""),"",IF(COUNTIFS(存条明细!$C$4:C359,存条明细!C359,存条明细!$D$4:D359,存条明细!D359)&gt;1,"",IFERROR(MATCH(存条明细!C359,总览汇总!$B$5:$B$304,0),900)*10000000+IFERROR(MATCH(存条明细!D359,基础资料!$E$5:$E$104,0),900)*10000+ROW()))</f>
      </c>
      <c r="B359">
        <f>IFERROR(MATCH(SMALL($A$4:$A$4003,356),$A$4:$A$4003,0),"")</f>
      </c>
      <c r="D359">
        <f>IF(AND(商品库存!B359&lt;&gt;"",商品库存!B359=客户查询!$B$4),COUNTIF(商品库存!$B$4:B359,客户查询!$B$4),"")</f>
      </c>
      <c r="E359">
        <f>IF(AND(商品库存!B359&lt;&gt;"",商品库存!B359=客户对账单!$B$4),COUNTIF(商品库存!$B$4:B359,客户对账单!$B$4),"")</f>
      </c>
      <c r="F359">
        <f>IF(AND(出库明细!C359&lt;&gt;"",出库明细!C359=客户对账单!$B$4,ISNUMBER(出库明细!B359),出库明细!B359&gt;=客户对账单!$G$4,出库明细!B359&lt;=客户对账单!$I$4),出库明细!B359+ROW()/100000,"")</f>
      </c>
      <c r="H359">
        <f>IF(AND(采购进货!C359&lt;&gt;"",采购进货!C359=供应商对账单!$B$4,ISNUMBER(采购进货!B359),采购进货!B359&gt;=供应商对账单!$G$4,采购进货!B359&lt;=供应商对账单!$I$4),采购进货!B359+ROW()/100000,"")</f>
      </c>
      <c r="N359">
        <f>IF(AND(ISNUMBER(出库明细!G359),ISNUMBER(出库明细!E359),ISNUMBER(出库明细!F359)),IF(ABS(出库明细!G359-出库明细!E359*出库明细!F359)&gt;0.005,1,0),0)</f>
        <v>0</v>
      </c>
      <c r="O359">
        <f>IF(AND(ISNUMBER(存条明细!G359),ISNUMBER(存条明细!E359),ISNUMBER(存条明细!F359)),IF(ABS(存条明细!G359-存条明细!E359*存条明细!F359)&gt;0.005,1,0),0)</f>
        <v>0</v>
      </c>
    </row>
    <row r="360">
      <c r="A360">
        <f>IF(OR(存条明细!C360="",存条明细!D360=""),"",IF(COUNTIFS(存条明细!$C$4:C360,存条明细!C360,存条明细!$D$4:D360,存条明细!D360)&gt;1,"",IFERROR(MATCH(存条明细!C360,总览汇总!$B$5:$B$304,0),900)*10000000+IFERROR(MATCH(存条明细!D360,基础资料!$E$5:$E$104,0),900)*10000+ROW()))</f>
      </c>
      <c r="B360">
        <f>IFERROR(MATCH(SMALL($A$4:$A$4003,357),$A$4:$A$4003,0),"")</f>
      </c>
      <c r="D360">
        <f>IF(AND(商品库存!B360&lt;&gt;"",商品库存!B360=客户查询!$B$4),COUNTIF(商品库存!$B$4:B360,客户查询!$B$4),"")</f>
      </c>
      <c r="E360">
        <f>IF(AND(商品库存!B360&lt;&gt;"",商品库存!B360=客户对账单!$B$4),COUNTIF(商品库存!$B$4:B360,客户对账单!$B$4),"")</f>
      </c>
      <c r="F360">
        <f>IF(AND(出库明细!C360&lt;&gt;"",出库明细!C360=客户对账单!$B$4,ISNUMBER(出库明细!B360),出库明细!B360&gt;=客户对账单!$G$4,出库明细!B360&lt;=客户对账单!$I$4),出库明细!B360+ROW()/100000,"")</f>
      </c>
      <c r="H360">
        <f>IF(AND(采购进货!C360&lt;&gt;"",采购进货!C360=供应商对账单!$B$4,ISNUMBER(采购进货!B360),采购进货!B360&gt;=供应商对账单!$G$4,采购进货!B360&lt;=供应商对账单!$I$4),采购进货!B360+ROW()/100000,"")</f>
      </c>
      <c r="N360">
        <f>IF(AND(ISNUMBER(出库明细!G360),ISNUMBER(出库明细!E360),ISNUMBER(出库明细!F360)),IF(ABS(出库明细!G360-出库明细!E360*出库明细!F360)&gt;0.005,1,0),0)</f>
        <v>0</v>
      </c>
      <c r="O360">
        <f>IF(AND(ISNUMBER(存条明细!G360),ISNUMBER(存条明细!E360),ISNUMBER(存条明细!F360)),IF(ABS(存条明细!G360-存条明细!E360*存条明细!F360)&gt;0.005,1,0),0)</f>
        <v>0</v>
      </c>
    </row>
    <row r="361">
      <c r="A361">
        <f>IF(OR(存条明细!C361="",存条明细!D361=""),"",IF(COUNTIFS(存条明细!$C$4:C361,存条明细!C361,存条明细!$D$4:D361,存条明细!D361)&gt;1,"",IFERROR(MATCH(存条明细!C361,总览汇总!$B$5:$B$304,0),900)*10000000+IFERROR(MATCH(存条明细!D361,基础资料!$E$5:$E$104,0),900)*10000+ROW()))</f>
      </c>
      <c r="B361">
        <f>IFERROR(MATCH(SMALL($A$4:$A$4003,358),$A$4:$A$4003,0),"")</f>
      </c>
      <c r="D361">
        <f>IF(AND(商品库存!B361&lt;&gt;"",商品库存!B361=客户查询!$B$4),COUNTIF(商品库存!$B$4:B361,客户查询!$B$4),"")</f>
      </c>
      <c r="E361">
        <f>IF(AND(商品库存!B361&lt;&gt;"",商品库存!B361=客户对账单!$B$4),COUNTIF(商品库存!$B$4:B361,客户对账单!$B$4),"")</f>
      </c>
      <c r="F361">
        <f>IF(AND(出库明细!C361&lt;&gt;"",出库明细!C361=客户对账单!$B$4,ISNUMBER(出库明细!B361),出库明细!B361&gt;=客户对账单!$G$4,出库明细!B361&lt;=客户对账单!$I$4),出库明细!B361+ROW()/100000,"")</f>
      </c>
      <c r="H361">
        <f>IF(AND(采购进货!C361&lt;&gt;"",采购进货!C361=供应商对账单!$B$4,ISNUMBER(采购进货!B361),采购进货!B361&gt;=供应商对账单!$G$4,采购进货!B361&lt;=供应商对账单!$I$4),采购进货!B361+ROW()/100000,"")</f>
      </c>
      <c r="N361">
        <f>IF(AND(ISNUMBER(出库明细!G361),ISNUMBER(出库明细!E361),ISNUMBER(出库明细!F361)),IF(ABS(出库明细!G361-出库明细!E361*出库明细!F361)&gt;0.005,1,0),0)</f>
        <v>0</v>
      </c>
      <c r="O361">
        <f>IF(AND(ISNUMBER(存条明细!G361),ISNUMBER(存条明细!E361),ISNUMBER(存条明细!F361)),IF(ABS(存条明细!G361-存条明细!E361*存条明细!F361)&gt;0.005,1,0),0)</f>
        <v>0</v>
      </c>
    </row>
    <row r="362">
      <c r="A362">
        <f>IF(OR(存条明细!C362="",存条明细!D362=""),"",IF(COUNTIFS(存条明细!$C$4:C362,存条明细!C362,存条明细!$D$4:D362,存条明细!D362)&gt;1,"",IFERROR(MATCH(存条明细!C362,总览汇总!$B$5:$B$304,0),900)*10000000+IFERROR(MATCH(存条明细!D362,基础资料!$E$5:$E$104,0),900)*10000+ROW()))</f>
      </c>
      <c r="B362">
        <f>IFERROR(MATCH(SMALL($A$4:$A$4003,359),$A$4:$A$4003,0),"")</f>
      </c>
      <c r="D362">
        <f>IF(AND(商品库存!B362&lt;&gt;"",商品库存!B362=客户查询!$B$4),COUNTIF(商品库存!$B$4:B362,客户查询!$B$4),"")</f>
      </c>
      <c r="E362">
        <f>IF(AND(商品库存!B362&lt;&gt;"",商品库存!B362=客户对账单!$B$4),COUNTIF(商品库存!$B$4:B362,客户对账单!$B$4),"")</f>
      </c>
      <c r="F362">
        <f>IF(AND(出库明细!C362&lt;&gt;"",出库明细!C362=客户对账单!$B$4,ISNUMBER(出库明细!B362),出库明细!B362&gt;=客户对账单!$G$4,出库明细!B362&lt;=客户对账单!$I$4),出库明细!B362+ROW()/100000,"")</f>
      </c>
      <c r="H362">
        <f>IF(AND(采购进货!C362&lt;&gt;"",采购进货!C362=供应商对账单!$B$4,ISNUMBER(采购进货!B362),采购进货!B362&gt;=供应商对账单!$G$4,采购进货!B362&lt;=供应商对账单!$I$4),采购进货!B362+ROW()/100000,"")</f>
      </c>
      <c r="N362">
        <f>IF(AND(ISNUMBER(出库明细!G362),ISNUMBER(出库明细!E362),ISNUMBER(出库明细!F362)),IF(ABS(出库明细!G362-出库明细!E362*出库明细!F362)&gt;0.005,1,0),0)</f>
        <v>0</v>
      </c>
      <c r="O362">
        <f>IF(AND(ISNUMBER(存条明细!G362),ISNUMBER(存条明细!E362),ISNUMBER(存条明细!F362)),IF(ABS(存条明细!G362-存条明细!E362*存条明细!F362)&gt;0.005,1,0),0)</f>
        <v>0</v>
      </c>
    </row>
    <row r="363">
      <c r="A363">
        <f>IF(OR(存条明细!C363="",存条明细!D363=""),"",IF(COUNTIFS(存条明细!$C$4:C363,存条明细!C363,存条明细!$D$4:D363,存条明细!D363)&gt;1,"",IFERROR(MATCH(存条明细!C363,总览汇总!$B$5:$B$304,0),900)*10000000+IFERROR(MATCH(存条明细!D363,基础资料!$E$5:$E$104,0),900)*10000+ROW()))</f>
      </c>
      <c r="B363">
        <f>IFERROR(MATCH(SMALL($A$4:$A$4003,360),$A$4:$A$4003,0),"")</f>
      </c>
      <c r="D363">
        <f>IF(AND(商品库存!B363&lt;&gt;"",商品库存!B363=客户查询!$B$4),COUNTIF(商品库存!$B$4:B363,客户查询!$B$4),"")</f>
      </c>
      <c r="E363">
        <f>IF(AND(商品库存!B363&lt;&gt;"",商品库存!B363=客户对账单!$B$4),COUNTIF(商品库存!$B$4:B363,客户对账单!$B$4),"")</f>
      </c>
      <c r="F363">
        <f>IF(AND(出库明细!C363&lt;&gt;"",出库明细!C363=客户对账单!$B$4,ISNUMBER(出库明细!B363),出库明细!B363&gt;=客户对账单!$G$4,出库明细!B363&lt;=客户对账单!$I$4),出库明细!B363+ROW()/100000,"")</f>
      </c>
      <c r="H363">
        <f>IF(AND(采购进货!C363&lt;&gt;"",采购进货!C363=供应商对账单!$B$4,ISNUMBER(采购进货!B363),采购进货!B363&gt;=供应商对账单!$G$4,采购进货!B363&lt;=供应商对账单!$I$4),采购进货!B363+ROW()/100000,"")</f>
      </c>
      <c r="N363">
        <f>IF(AND(ISNUMBER(出库明细!G363),ISNUMBER(出库明细!E363),ISNUMBER(出库明细!F363)),IF(ABS(出库明细!G363-出库明细!E363*出库明细!F363)&gt;0.005,1,0),0)</f>
        <v>0</v>
      </c>
      <c r="O363">
        <f>IF(AND(ISNUMBER(存条明细!G363),ISNUMBER(存条明细!E363),ISNUMBER(存条明细!F363)),IF(ABS(存条明细!G363-存条明细!E363*存条明细!F363)&gt;0.005,1,0),0)</f>
        <v>0</v>
      </c>
    </row>
    <row r="364">
      <c r="A364">
        <f>IF(OR(存条明细!C364="",存条明细!D364=""),"",IF(COUNTIFS(存条明细!$C$4:C364,存条明细!C364,存条明细!$D$4:D364,存条明细!D364)&gt;1,"",IFERROR(MATCH(存条明细!C364,总览汇总!$B$5:$B$304,0),900)*10000000+IFERROR(MATCH(存条明细!D364,基础资料!$E$5:$E$104,0),900)*10000+ROW()))</f>
      </c>
      <c r="B364">
        <f>IFERROR(MATCH(SMALL($A$4:$A$4003,361),$A$4:$A$4003,0),"")</f>
      </c>
      <c r="D364">
        <f>IF(AND(商品库存!B364&lt;&gt;"",商品库存!B364=客户查询!$B$4),COUNTIF(商品库存!$B$4:B364,客户查询!$B$4),"")</f>
      </c>
      <c r="E364">
        <f>IF(AND(商品库存!B364&lt;&gt;"",商品库存!B364=客户对账单!$B$4),COUNTIF(商品库存!$B$4:B364,客户对账单!$B$4),"")</f>
      </c>
      <c r="F364">
        <f>IF(AND(出库明细!C364&lt;&gt;"",出库明细!C364=客户对账单!$B$4,ISNUMBER(出库明细!B364),出库明细!B364&gt;=客户对账单!$G$4,出库明细!B364&lt;=客户对账单!$I$4),出库明细!B364+ROW()/100000,"")</f>
      </c>
      <c r="H364">
        <f>IF(AND(采购进货!C364&lt;&gt;"",采购进货!C364=供应商对账单!$B$4,ISNUMBER(采购进货!B364),采购进货!B364&gt;=供应商对账单!$G$4,采购进货!B364&lt;=供应商对账单!$I$4),采购进货!B364+ROW()/100000,"")</f>
      </c>
      <c r="N364">
        <f>IF(AND(ISNUMBER(出库明细!G364),ISNUMBER(出库明细!E364),ISNUMBER(出库明细!F364)),IF(ABS(出库明细!G364-出库明细!E364*出库明细!F364)&gt;0.005,1,0),0)</f>
        <v>0</v>
      </c>
      <c r="O364">
        <f>IF(AND(ISNUMBER(存条明细!G364),ISNUMBER(存条明细!E364),ISNUMBER(存条明细!F364)),IF(ABS(存条明细!G364-存条明细!E364*存条明细!F364)&gt;0.005,1,0),0)</f>
        <v>0</v>
      </c>
    </row>
    <row r="365">
      <c r="A365">
        <f>IF(OR(存条明细!C365="",存条明细!D365=""),"",IF(COUNTIFS(存条明细!$C$4:C365,存条明细!C365,存条明细!$D$4:D365,存条明细!D365)&gt;1,"",IFERROR(MATCH(存条明细!C365,总览汇总!$B$5:$B$304,0),900)*10000000+IFERROR(MATCH(存条明细!D365,基础资料!$E$5:$E$104,0),900)*10000+ROW()))</f>
      </c>
      <c r="B365">
        <f>IFERROR(MATCH(SMALL($A$4:$A$4003,362),$A$4:$A$4003,0),"")</f>
      </c>
      <c r="D365">
        <f>IF(AND(商品库存!B365&lt;&gt;"",商品库存!B365=客户查询!$B$4),COUNTIF(商品库存!$B$4:B365,客户查询!$B$4),"")</f>
      </c>
      <c r="E365">
        <f>IF(AND(商品库存!B365&lt;&gt;"",商品库存!B365=客户对账单!$B$4),COUNTIF(商品库存!$B$4:B365,客户对账单!$B$4),"")</f>
      </c>
      <c r="F365">
        <f>IF(AND(出库明细!C365&lt;&gt;"",出库明细!C365=客户对账单!$B$4,ISNUMBER(出库明细!B365),出库明细!B365&gt;=客户对账单!$G$4,出库明细!B365&lt;=客户对账单!$I$4),出库明细!B365+ROW()/100000,"")</f>
      </c>
      <c r="H365">
        <f>IF(AND(采购进货!C365&lt;&gt;"",采购进货!C365=供应商对账单!$B$4,ISNUMBER(采购进货!B365),采购进货!B365&gt;=供应商对账单!$G$4,采购进货!B365&lt;=供应商对账单!$I$4),采购进货!B365+ROW()/100000,"")</f>
      </c>
      <c r="N365">
        <f>IF(AND(ISNUMBER(出库明细!G365),ISNUMBER(出库明细!E365),ISNUMBER(出库明细!F365)),IF(ABS(出库明细!G365-出库明细!E365*出库明细!F365)&gt;0.005,1,0),0)</f>
        <v>0</v>
      </c>
      <c r="O365">
        <f>IF(AND(ISNUMBER(存条明细!G365),ISNUMBER(存条明细!E365),ISNUMBER(存条明细!F365)),IF(ABS(存条明细!G365-存条明细!E365*存条明细!F365)&gt;0.005,1,0),0)</f>
        <v>0</v>
      </c>
    </row>
    <row r="366">
      <c r="A366">
        <f>IF(OR(存条明细!C366="",存条明细!D366=""),"",IF(COUNTIFS(存条明细!$C$4:C366,存条明细!C366,存条明细!$D$4:D366,存条明细!D366)&gt;1,"",IFERROR(MATCH(存条明细!C366,总览汇总!$B$5:$B$304,0),900)*10000000+IFERROR(MATCH(存条明细!D366,基础资料!$E$5:$E$104,0),900)*10000+ROW()))</f>
      </c>
      <c r="B366">
        <f>IFERROR(MATCH(SMALL($A$4:$A$4003,363),$A$4:$A$4003,0),"")</f>
      </c>
      <c r="D366">
        <f>IF(AND(商品库存!B366&lt;&gt;"",商品库存!B366=客户查询!$B$4),COUNTIF(商品库存!$B$4:B366,客户查询!$B$4),"")</f>
      </c>
      <c r="E366">
        <f>IF(AND(商品库存!B366&lt;&gt;"",商品库存!B366=客户对账单!$B$4),COUNTIF(商品库存!$B$4:B366,客户对账单!$B$4),"")</f>
      </c>
      <c r="F366">
        <f>IF(AND(出库明细!C366&lt;&gt;"",出库明细!C366=客户对账单!$B$4,ISNUMBER(出库明细!B366),出库明细!B366&gt;=客户对账单!$G$4,出库明细!B366&lt;=客户对账单!$I$4),出库明细!B366+ROW()/100000,"")</f>
      </c>
      <c r="H366">
        <f>IF(AND(采购进货!C366&lt;&gt;"",采购进货!C366=供应商对账单!$B$4,ISNUMBER(采购进货!B366),采购进货!B366&gt;=供应商对账单!$G$4,采购进货!B366&lt;=供应商对账单!$I$4),采购进货!B366+ROW()/100000,"")</f>
      </c>
      <c r="N366">
        <f>IF(AND(ISNUMBER(出库明细!G366),ISNUMBER(出库明细!E366),ISNUMBER(出库明细!F366)),IF(ABS(出库明细!G366-出库明细!E366*出库明细!F366)&gt;0.005,1,0),0)</f>
        <v>0</v>
      </c>
      <c r="O366">
        <f>IF(AND(ISNUMBER(存条明细!G366),ISNUMBER(存条明细!E366),ISNUMBER(存条明细!F366)),IF(ABS(存条明细!G366-存条明细!E366*存条明细!F366)&gt;0.005,1,0),0)</f>
        <v>0</v>
      </c>
    </row>
    <row r="367">
      <c r="A367">
        <f>IF(OR(存条明细!C367="",存条明细!D367=""),"",IF(COUNTIFS(存条明细!$C$4:C367,存条明细!C367,存条明细!$D$4:D367,存条明细!D367)&gt;1,"",IFERROR(MATCH(存条明细!C367,总览汇总!$B$5:$B$304,0),900)*10000000+IFERROR(MATCH(存条明细!D367,基础资料!$E$5:$E$104,0),900)*10000+ROW()))</f>
      </c>
      <c r="B367">
        <f>IFERROR(MATCH(SMALL($A$4:$A$4003,364),$A$4:$A$4003,0),"")</f>
      </c>
      <c r="D367">
        <f>IF(AND(商品库存!B367&lt;&gt;"",商品库存!B367=客户查询!$B$4),COUNTIF(商品库存!$B$4:B367,客户查询!$B$4),"")</f>
      </c>
      <c r="E367">
        <f>IF(AND(商品库存!B367&lt;&gt;"",商品库存!B367=客户对账单!$B$4),COUNTIF(商品库存!$B$4:B367,客户对账单!$B$4),"")</f>
      </c>
      <c r="F367">
        <f>IF(AND(出库明细!C367&lt;&gt;"",出库明细!C367=客户对账单!$B$4,ISNUMBER(出库明细!B367),出库明细!B367&gt;=客户对账单!$G$4,出库明细!B367&lt;=客户对账单!$I$4),出库明细!B367+ROW()/100000,"")</f>
      </c>
      <c r="H367">
        <f>IF(AND(采购进货!C367&lt;&gt;"",采购进货!C367=供应商对账单!$B$4,ISNUMBER(采购进货!B367),采购进货!B367&gt;=供应商对账单!$G$4,采购进货!B367&lt;=供应商对账单!$I$4),采购进货!B367+ROW()/100000,"")</f>
      </c>
      <c r="N367">
        <f>IF(AND(ISNUMBER(出库明细!G367),ISNUMBER(出库明细!E367),ISNUMBER(出库明细!F367)),IF(ABS(出库明细!G367-出库明细!E367*出库明细!F367)&gt;0.005,1,0),0)</f>
        <v>0</v>
      </c>
      <c r="O367">
        <f>IF(AND(ISNUMBER(存条明细!G367),ISNUMBER(存条明细!E367),ISNUMBER(存条明细!F367)),IF(ABS(存条明细!G367-存条明细!E367*存条明细!F367)&gt;0.005,1,0),0)</f>
        <v>0</v>
      </c>
    </row>
    <row r="368">
      <c r="A368">
        <f>IF(OR(存条明细!C368="",存条明细!D368=""),"",IF(COUNTIFS(存条明细!$C$4:C368,存条明细!C368,存条明细!$D$4:D368,存条明细!D368)&gt;1,"",IFERROR(MATCH(存条明细!C368,总览汇总!$B$5:$B$304,0),900)*10000000+IFERROR(MATCH(存条明细!D368,基础资料!$E$5:$E$104,0),900)*10000+ROW()))</f>
      </c>
      <c r="B368">
        <f>IFERROR(MATCH(SMALL($A$4:$A$4003,365),$A$4:$A$4003,0),"")</f>
      </c>
      <c r="D368">
        <f>IF(AND(商品库存!B368&lt;&gt;"",商品库存!B368=客户查询!$B$4),COUNTIF(商品库存!$B$4:B368,客户查询!$B$4),"")</f>
      </c>
      <c r="E368">
        <f>IF(AND(商品库存!B368&lt;&gt;"",商品库存!B368=客户对账单!$B$4),COUNTIF(商品库存!$B$4:B368,客户对账单!$B$4),"")</f>
      </c>
      <c r="F368">
        <f>IF(AND(出库明细!C368&lt;&gt;"",出库明细!C368=客户对账单!$B$4,ISNUMBER(出库明细!B368),出库明细!B368&gt;=客户对账单!$G$4,出库明细!B368&lt;=客户对账单!$I$4),出库明细!B368+ROW()/100000,"")</f>
      </c>
      <c r="H368">
        <f>IF(AND(采购进货!C368&lt;&gt;"",采购进货!C368=供应商对账单!$B$4,ISNUMBER(采购进货!B368),采购进货!B368&gt;=供应商对账单!$G$4,采购进货!B368&lt;=供应商对账单!$I$4),采购进货!B368+ROW()/100000,"")</f>
      </c>
      <c r="N368">
        <f>IF(AND(ISNUMBER(出库明细!G368),ISNUMBER(出库明细!E368),ISNUMBER(出库明细!F368)),IF(ABS(出库明细!G368-出库明细!E368*出库明细!F368)&gt;0.005,1,0),0)</f>
        <v>0</v>
      </c>
      <c r="O368">
        <f>IF(AND(ISNUMBER(存条明细!G368),ISNUMBER(存条明细!E368),ISNUMBER(存条明细!F368)),IF(ABS(存条明细!G368-存条明细!E368*存条明细!F368)&gt;0.005,1,0),0)</f>
        <v>0</v>
      </c>
    </row>
    <row r="369">
      <c r="A369">
        <f>IF(OR(存条明细!C369="",存条明细!D369=""),"",IF(COUNTIFS(存条明细!$C$4:C369,存条明细!C369,存条明细!$D$4:D369,存条明细!D369)&gt;1,"",IFERROR(MATCH(存条明细!C369,总览汇总!$B$5:$B$304,0),900)*10000000+IFERROR(MATCH(存条明细!D369,基础资料!$E$5:$E$104,0),900)*10000+ROW()))</f>
      </c>
      <c r="B369">
        <f>IFERROR(MATCH(SMALL($A$4:$A$4003,366),$A$4:$A$4003,0),"")</f>
      </c>
      <c r="D369">
        <f>IF(AND(商品库存!B369&lt;&gt;"",商品库存!B369=客户查询!$B$4),COUNTIF(商品库存!$B$4:B369,客户查询!$B$4),"")</f>
      </c>
      <c r="E369">
        <f>IF(AND(商品库存!B369&lt;&gt;"",商品库存!B369=客户对账单!$B$4),COUNTIF(商品库存!$B$4:B369,客户对账单!$B$4),"")</f>
      </c>
      <c r="F369">
        <f>IF(AND(出库明细!C369&lt;&gt;"",出库明细!C369=客户对账单!$B$4,ISNUMBER(出库明细!B369),出库明细!B369&gt;=客户对账单!$G$4,出库明细!B369&lt;=客户对账单!$I$4),出库明细!B369+ROW()/100000,"")</f>
      </c>
      <c r="H369">
        <f>IF(AND(采购进货!C369&lt;&gt;"",采购进货!C369=供应商对账单!$B$4,ISNUMBER(采购进货!B369),采购进货!B369&gt;=供应商对账单!$G$4,采购进货!B369&lt;=供应商对账单!$I$4),采购进货!B369+ROW()/100000,"")</f>
      </c>
      <c r="N369">
        <f>IF(AND(ISNUMBER(出库明细!G369),ISNUMBER(出库明细!E369),ISNUMBER(出库明细!F369)),IF(ABS(出库明细!G369-出库明细!E369*出库明细!F369)&gt;0.005,1,0),0)</f>
        <v>0</v>
      </c>
      <c r="O369">
        <f>IF(AND(ISNUMBER(存条明细!G369),ISNUMBER(存条明细!E369),ISNUMBER(存条明细!F369)),IF(ABS(存条明细!G369-存条明细!E369*存条明细!F369)&gt;0.005,1,0),0)</f>
        <v>0</v>
      </c>
    </row>
    <row r="370">
      <c r="A370">
        <f>IF(OR(存条明细!C370="",存条明细!D370=""),"",IF(COUNTIFS(存条明细!$C$4:C370,存条明细!C370,存条明细!$D$4:D370,存条明细!D370)&gt;1,"",IFERROR(MATCH(存条明细!C370,总览汇总!$B$5:$B$304,0),900)*10000000+IFERROR(MATCH(存条明细!D370,基础资料!$E$5:$E$104,0),900)*10000+ROW()))</f>
      </c>
      <c r="B370">
        <f>IFERROR(MATCH(SMALL($A$4:$A$4003,367),$A$4:$A$4003,0),"")</f>
      </c>
      <c r="D370">
        <f>IF(AND(商品库存!B370&lt;&gt;"",商品库存!B370=客户查询!$B$4),COUNTIF(商品库存!$B$4:B370,客户查询!$B$4),"")</f>
      </c>
      <c r="E370">
        <f>IF(AND(商品库存!B370&lt;&gt;"",商品库存!B370=客户对账单!$B$4),COUNTIF(商品库存!$B$4:B370,客户对账单!$B$4),"")</f>
      </c>
      <c r="F370">
        <f>IF(AND(出库明细!C370&lt;&gt;"",出库明细!C370=客户对账单!$B$4,ISNUMBER(出库明细!B370),出库明细!B370&gt;=客户对账单!$G$4,出库明细!B370&lt;=客户对账单!$I$4),出库明细!B370+ROW()/100000,"")</f>
      </c>
      <c r="H370">
        <f>IF(AND(采购进货!C370&lt;&gt;"",采购进货!C370=供应商对账单!$B$4,ISNUMBER(采购进货!B370),采购进货!B370&gt;=供应商对账单!$G$4,采购进货!B370&lt;=供应商对账单!$I$4),采购进货!B370+ROW()/100000,"")</f>
      </c>
      <c r="N370">
        <f>IF(AND(ISNUMBER(出库明细!G370),ISNUMBER(出库明细!E370),ISNUMBER(出库明细!F370)),IF(ABS(出库明细!G370-出库明细!E370*出库明细!F370)&gt;0.005,1,0),0)</f>
        <v>0</v>
      </c>
      <c r="O370">
        <f>IF(AND(ISNUMBER(存条明细!G370),ISNUMBER(存条明细!E370),ISNUMBER(存条明细!F370)),IF(ABS(存条明细!G370-存条明细!E370*存条明细!F370)&gt;0.005,1,0),0)</f>
        <v>0</v>
      </c>
    </row>
    <row r="371">
      <c r="A371">
        <f>IF(OR(存条明细!C371="",存条明细!D371=""),"",IF(COUNTIFS(存条明细!$C$4:C371,存条明细!C371,存条明细!$D$4:D371,存条明细!D371)&gt;1,"",IFERROR(MATCH(存条明细!C371,总览汇总!$B$5:$B$304,0),900)*10000000+IFERROR(MATCH(存条明细!D371,基础资料!$E$5:$E$104,0),900)*10000+ROW()))</f>
      </c>
      <c r="B371">
        <f>IFERROR(MATCH(SMALL($A$4:$A$4003,368),$A$4:$A$4003,0),"")</f>
      </c>
      <c r="D371">
        <f>IF(AND(商品库存!B371&lt;&gt;"",商品库存!B371=客户查询!$B$4),COUNTIF(商品库存!$B$4:B371,客户查询!$B$4),"")</f>
      </c>
      <c r="E371">
        <f>IF(AND(商品库存!B371&lt;&gt;"",商品库存!B371=客户对账单!$B$4),COUNTIF(商品库存!$B$4:B371,客户对账单!$B$4),"")</f>
      </c>
      <c r="F371">
        <f>IF(AND(出库明细!C371&lt;&gt;"",出库明细!C371=客户对账单!$B$4,ISNUMBER(出库明细!B371),出库明细!B371&gt;=客户对账单!$G$4,出库明细!B371&lt;=客户对账单!$I$4),出库明细!B371+ROW()/100000,"")</f>
      </c>
      <c r="H371">
        <f>IF(AND(采购进货!C371&lt;&gt;"",采购进货!C371=供应商对账单!$B$4,ISNUMBER(采购进货!B371),采购进货!B371&gt;=供应商对账单!$G$4,采购进货!B371&lt;=供应商对账单!$I$4),采购进货!B371+ROW()/100000,"")</f>
      </c>
      <c r="N371">
        <f>IF(AND(ISNUMBER(出库明细!G371),ISNUMBER(出库明细!E371),ISNUMBER(出库明细!F371)),IF(ABS(出库明细!G371-出库明细!E371*出库明细!F371)&gt;0.005,1,0),0)</f>
        <v>0</v>
      </c>
      <c r="O371">
        <f>IF(AND(ISNUMBER(存条明细!G371),ISNUMBER(存条明细!E371),ISNUMBER(存条明细!F371)),IF(ABS(存条明细!G371-存条明细!E371*存条明细!F371)&gt;0.005,1,0),0)</f>
        <v>0</v>
      </c>
    </row>
    <row r="372">
      <c r="A372">
        <f>IF(OR(存条明细!C372="",存条明细!D372=""),"",IF(COUNTIFS(存条明细!$C$4:C372,存条明细!C372,存条明细!$D$4:D372,存条明细!D372)&gt;1,"",IFERROR(MATCH(存条明细!C372,总览汇总!$B$5:$B$304,0),900)*10000000+IFERROR(MATCH(存条明细!D372,基础资料!$E$5:$E$104,0),900)*10000+ROW()))</f>
      </c>
      <c r="B372">
        <f>IFERROR(MATCH(SMALL($A$4:$A$4003,369),$A$4:$A$4003,0),"")</f>
      </c>
      <c r="D372">
        <f>IF(AND(商品库存!B372&lt;&gt;"",商品库存!B372=客户查询!$B$4),COUNTIF(商品库存!$B$4:B372,客户查询!$B$4),"")</f>
      </c>
      <c r="E372">
        <f>IF(AND(商品库存!B372&lt;&gt;"",商品库存!B372=客户对账单!$B$4),COUNTIF(商品库存!$B$4:B372,客户对账单!$B$4),"")</f>
      </c>
      <c r="F372">
        <f>IF(AND(出库明细!C372&lt;&gt;"",出库明细!C372=客户对账单!$B$4,ISNUMBER(出库明细!B372),出库明细!B372&gt;=客户对账单!$G$4,出库明细!B372&lt;=客户对账单!$I$4),出库明细!B372+ROW()/100000,"")</f>
      </c>
      <c r="H372">
        <f>IF(AND(采购进货!C372&lt;&gt;"",采购进货!C372=供应商对账单!$B$4,ISNUMBER(采购进货!B372),采购进货!B372&gt;=供应商对账单!$G$4,采购进货!B372&lt;=供应商对账单!$I$4),采购进货!B372+ROW()/100000,"")</f>
      </c>
      <c r="N372">
        <f>IF(AND(ISNUMBER(出库明细!G372),ISNUMBER(出库明细!E372),ISNUMBER(出库明细!F372)),IF(ABS(出库明细!G372-出库明细!E372*出库明细!F372)&gt;0.005,1,0),0)</f>
        <v>0</v>
      </c>
      <c r="O372">
        <f>IF(AND(ISNUMBER(存条明细!G372),ISNUMBER(存条明细!E372),ISNUMBER(存条明细!F372)),IF(ABS(存条明细!G372-存条明细!E372*存条明细!F372)&gt;0.005,1,0),0)</f>
        <v>0</v>
      </c>
    </row>
    <row r="373">
      <c r="A373">
        <f>IF(OR(存条明细!C373="",存条明细!D373=""),"",IF(COUNTIFS(存条明细!$C$4:C373,存条明细!C373,存条明细!$D$4:D373,存条明细!D373)&gt;1,"",IFERROR(MATCH(存条明细!C373,总览汇总!$B$5:$B$304,0),900)*10000000+IFERROR(MATCH(存条明细!D373,基础资料!$E$5:$E$104,0),900)*10000+ROW()))</f>
      </c>
      <c r="B373">
        <f>IFERROR(MATCH(SMALL($A$4:$A$4003,370),$A$4:$A$4003,0),"")</f>
      </c>
      <c r="D373">
        <f>IF(AND(商品库存!B373&lt;&gt;"",商品库存!B373=客户查询!$B$4),COUNTIF(商品库存!$B$4:B373,客户查询!$B$4),"")</f>
      </c>
      <c r="E373">
        <f>IF(AND(商品库存!B373&lt;&gt;"",商品库存!B373=客户对账单!$B$4),COUNTIF(商品库存!$B$4:B373,客户对账单!$B$4),"")</f>
      </c>
      <c r="F373">
        <f>IF(AND(出库明细!C373&lt;&gt;"",出库明细!C373=客户对账单!$B$4,ISNUMBER(出库明细!B373),出库明细!B373&gt;=客户对账单!$G$4,出库明细!B373&lt;=客户对账单!$I$4),出库明细!B373+ROW()/100000,"")</f>
      </c>
      <c r="H373">
        <f>IF(AND(采购进货!C373&lt;&gt;"",采购进货!C373=供应商对账单!$B$4,ISNUMBER(采购进货!B373),采购进货!B373&gt;=供应商对账单!$G$4,采购进货!B373&lt;=供应商对账单!$I$4),采购进货!B373+ROW()/100000,"")</f>
      </c>
      <c r="N373">
        <f>IF(AND(ISNUMBER(出库明细!G373),ISNUMBER(出库明细!E373),ISNUMBER(出库明细!F373)),IF(ABS(出库明细!G373-出库明细!E373*出库明细!F373)&gt;0.005,1,0),0)</f>
        <v>0</v>
      </c>
      <c r="O373">
        <f>IF(AND(ISNUMBER(存条明细!G373),ISNUMBER(存条明细!E373),ISNUMBER(存条明细!F373)),IF(ABS(存条明细!G373-存条明细!E373*存条明细!F373)&gt;0.005,1,0),0)</f>
        <v>0</v>
      </c>
    </row>
    <row r="374">
      <c r="A374">
        <f>IF(OR(存条明细!C374="",存条明细!D374=""),"",IF(COUNTIFS(存条明细!$C$4:C374,存条明细!C374,存条明细!$D$4:D374,存条明细!D374)&gt;1,"",IFERROR(MATCH(存条明细!C374,总览汇总!$B$5:$B$304,0),900)*10000000+IFERROR(MATCH(存条明细!D374,基础资料!$E$5:$E$104,0),900)*10000+ROW()))</f>
      </c>
      <c r="B374">
        <f>IFERROR(MATCH(SMALL($A$4:$A$4003,371),$A$4:$A$4003,0),"")</f>
      </c>
      <c r="D374">
        <f>IF(AND(商品库存!B374&lt;&gt;"",商品库存!B374=客户查询!$B$4),COUNTIF(商品库存!$B$4:B374,客户查询!$B$4),"")</f>
      </c>
      <c r="E374">
        <f>IF(AND(商品库存!B374&lt;&gt;"",商品库存!B374=客户对账单!$B$4),COUNTIF(商品库存!$B$4:B374,客户对账单!$B$4),"")</f>
      </c>
      <c r="F374">
        <f>IF(AND(出库明细!C374&lt;&gt;"",出库明细!C374=客户对账单!$B$4,ISNUMBER(出库明细!B374),出库明细!B374&gt;=客户对账单!$G$4,出库明细!B374&lt;=客户对账单!$I$4),出库明细!B374+ROW()/100000,"")</f>
      </c>
      <c r="H374">
        <f>IF(AND(采购进货!C374&lt;&gt;"",采购进货!C374=供应商对账单!$B$4,ISNUMBER(采购进货!B374),采购进货!B374&gt;=供应商对账单!$G$4,采购进货!B374&lt;=供应商对账单!$I$4),采购进货!B374+ROW()/100000,"")</f>
      </c>
      <c r="N374">
        <f>IF(AND(ISNUMBER(出库明细!G374),ISNUMBER(出库明细!E374),ISNUMBER(出库明细!F374)),IF(ABS(出库明细!G374-出库明细!E374*出库明细!F374)&gt;0.005,1,0),0)</f>
        <v>0</v>
      </c>
      <c r="O374">
        <f>IF(AND(ISNUMBER(存条明细!G374),ISNUMBER(存条明细!E374),ISNUMBER(存条明细!F374)),IF(ABS(存条明细!G374-存条明细!E374*存条明细!F374)&gt;0.005,1,0),0)</f>
        <v>0</v>
      </c>
    </row>
    <row r="375">
      <c r="A375">
        <f>IF(OR(存条明细!C375="",存条明细!D375=""),"",IF(COUNTIFS(存条明细!$C$4:C375,存条明细!C375,存条明细!$D$4:D375,存条明细!D375)&gt;1,"",IFERROR(MATCH(存条明细!C375,总览汇总!$B$5:$B$304,0),900)*10000000+IFERROR(MATCH(存条明细!D375,基础资料!$E$5:$E$104,0),900)*10000+ROW()))</f>
      </c>
      <c r="B375">
        <f>IFERROR(MATCH(SMALL($A$4:$A$4003,372),$A$4:$A$4003,0),"")</f>
      </c>
      <c r="D375">
        <f>IF(AND(商品库存!B375&lt;&gt;"",商品库存!B375=客户查询!$B$4),COUNTIF(商品库存!$B$4:B375,客户查询!$B$4),"")</f>
      </c>
      <c r="E375">
        <f>IF(AND(商品库存!B375&lt;&gt;"",商品库存!B375=客户对账单!$B$4),COUNTIF(商品库存!$B$4:B375,客户对账单!$B$4),"")</f>
      </c>
      <c r="F375">
        <f>IF(AND(出库明细!C375&lt;&gt;"",出库明细!C375=客户对账单!$B$4,ISNUMBER(出库明细!B375),出库明细!B375&gt;=客户对账单!$G$4,出库明细!B375&lt;=客户对账单!$I$4),出库明细!B375+ROW()/100000,"")</f>
      </c>
      <c r="H375">
        <f>IF(AND(采购进货!C375&lt;&gt;"",采购进货!C375=供应商对账单!$B$4,ISNUMBER(采购进货!B375),采购进货!B375&gt;=供应商对账单!$G$4,采购进货!B375&lt;=供应商对账单!$I$4),采购进货!B375+ROW()/100000,"")</f>
      </c>
      <c r="N375">
        <f>IF(AND(ISNUMBER(出库明细!G375),ISNUMBER(出库明细!E375),ISNUMBER(出库明细!F375)),IF(ABS(出库明细!G375-出库明细!E375*出库明细!F375)&gt;0.005,1,0),0)</f>
        <v>0</v>
      </c>
      <c r="O375">
        <f>IF(AND(ISNUMBER(存条明细!G375),ISNUMBER(存条明细!E375),ISNUMBER(存条明细!F375)),IF(ABS(存条明细!G375-存条明细!E375*存条明细!F375)&gt;0.005,1,0),0)</f>
        <v>0</v>
      </c>
    </row>
    <row r="376">
      <c r="A376">
        <f>IF(OR(存条明细!C376="",存条明细!D376=""),"",IF(COUNTIFS(存条明细!$C$4:C376,存条明细!C376,存条明细!$D$4:D376,存条明细!D376)&gt;1,"",IFERROR(MATCH(存条明细!C376,总览汇总!$B$5:$B$304,0),900)*10000000+IFERROR(MATCH(存条明细!D376,基础资料!$E$5:$E$104,0),900)*10000+ROW()))</f>
      </c>
      <c r="B376">
        <f>IFERROR(MATCH(SMALL($A$4:$A$4003,373),$A$4:$A$4003,0),"")</f>
      </c>
      <c r="D376">
        <f>IF(AND(商品库存!B376&lt;&gt;"",商品库存!B376=客户查询!$B$4),COUNTIF(商品库存!$B$4:B376,客户查询!$B$4),"")</f>
      </c>
      <c r="E376">
        <f>IF(AND(商品库存!B376&lt;&gt;"",商品库存!B376=客户对账单!$B$4),COUNTIF(商品库存!$B$4:B376,客户对账单!$B$4),"")</f>
      </c>
      <c r="F376">
        <f>IF(AND(出库明细!C376&lt;&gt;"",出库明细!C376=客户对账单!$B$4,ISNUMBER(出库明细!B376),出库明细!B376&gt;=客户对账单!$G$4,出库明细!B376&lt;=客户对账单!$I$4),出库明细!B376+ROW()/100000,"")</f>
      </c>
      <c r="H376">
        <f>IF(AND(采购进货!C376&lt;&gt;"",采购进货!C376=供应商对账单!$B$4,ISNUMBER(采购进货!B376),采购进货!B376&gt;=供应商对账单!$G$4,采购进货!B376&lt;=供应商对账单!$I$4),采购进货!B376+ROW()/100000,"")</f>
      </c>
      <c r="N376">
        <f>IF(AND(ISNUMBER(出库明细!G376),ISNUMBER(出库明细!E376),ISNUMBER(出库明细!F376)),IF(ABS(出库明细!G376-出库明细!E376*出库明细!F376)&gt;0.005,1,0),0)</f>
        <v>0</v>
      </c>
      <c r="O376">
        <f>IF(AND(ISNUMBER(存条明细!G376),ISNUMBER(存条明细!E376),ISNUMBER(存条明细!F376)),IF(ABS(存条明细!G376-存条明细!E376*存条明细!F376)&gt;0.005,1,0),0)</f>
        <v>0</v>
      </c>
    </row>
    <row r="377">
      <c r="A377">
        <f>IF(OR(存条明细!C377="",存条明细!D377=""),"",IF(COUNTIFS(存条明细!$C$4:C377,存条明细!C377,存条明细!$D$4:D377,存条明细!D377)&gt;1,"",IFERROR(MATCH(存条明细!C377,总览汇总!$B$5:$B$304,0),900)*10000000+IFERROR(MATCH(存条明细!D377,基础资料!$E$5:$E$104,0),900)*10000+ROW()))</f>
      </c>
      <c r="B377">
        <f>IFERROR(MATCH(SMALL($A$4:$A$4003,374),$A$4:$A$4003,0),"")</f>
      </c>
      <c r="D377">
        <f>IF(AND(商品库存!B377&lt;&gt;"",商品库存!B377=客户查询!$B$4),COUNTIF(商品库存!$B$4:B377,客户查询!$B$4),"")</f>
      </c>
      <c r="E377">
        <f>IF(AND(商品库存!B377&lt;&gt;"",商品库存!B377=客户对账单!$B$4),COUNTIF(商品库存!$B$4:B377,客户对账单!$B$4),"")</f>
      </c>
      <c r="F377">
        <f>IF(AND(出库明细!C377&lt;&gt;"",出库明细!C377=客户对账单!$B$4,ISNUMBER(出库明细!B377),出库明细!B377&gt;=客户对账单!$G$4,出库明细!B377&lt;=客户对账单!$I$4),出库明细!B377+ROW()/100000,"")</f>
      </c>
      <c r="H377">
        <f>IF(AND(采购进货!C377&lt;&gt;"",采购进货!C377=供应商对账单!$B$4,ISNUMBER(采购进货!B377),采购进货!B377&gt;=供应商对账单!$G$4,采购进货!B377&lt;=供应商对账单!$I$4),采购进货!B377+ROW()/100000,"")</f>
      </c>
      <c r="N377">
        <f>IF(AND(ISNUMBER(出库明细!G377),ISNUMBER(出库明细!E377),ISNUMBER(出库明细!F377)),IF(ABS(出库明细!G377-出库明细!E377*出库明细!F377)&gt;0.005,1,0),0)</f>
        <v>0</v>
      </c>
      <c r="O377">
        <f>IF(AND(ISNUMBER(存条明细!G377),ISNUMBER(存条明细!E377),ISNUMBER(存条明细!F377)),IF(ABS(存条明细!G377-存条明细!E377*存条明细!F377)&gt;0.005,1,0),0)</f>
        <v>0</v>
      </c>
    </row>
    <row r="378">
      <c r="A378">
        <f>IF(OR(存条明细!C378="",存条明细!D378=""),"",IF(COUNTIFS(存条明细!$C$4:C378,存条明细!C378,存条明细!$D$4:D378,存条明细!D378)&gt;1,"",IFERROR(MATCH(存条明细!C378,总览汇总!$B$5:$B$304,0),900)*10000000+IFERROR(MATCH(存条明细!D378,基础资料!$E$5:$E$104,0),900)*10000+ROW()))</f>
      </c>
      <c r="B378">
        <f>IFERROR(MATCH(SMALL($A$4:$A$4003,375),$A$4:$A$4003,0),"")</f>
      </c>
      <c r="D378">
        <f>IF(AND(商品库存!B378&lt;&gt;"",商品库存!B378=客户查询!$B$4),COUNTIF(商品库存!$B$4:B378,客户查询!$B$4),"")</f>
      </c>
      <c r="E378">
        <f>IF(AND(商品库存!B378&lt;&gt;"",商品库存!B378=客户对账单!$B$4),COUNTIF(商品库存!$B$4:B378,客户对账单!$B$4),"")</f>
      </c>
      <c r="F378">
        <f>IF(AND(出库明细!C378&lt;&gt;"",出库明细!C378=客户对账单!$B$4,ISNUMBER(出库明细!B378),出库明细!B378&gt;=客户对账单!$G$4,出库明细!B378&lt;=客户对账单!$I$4),出库明细!B378+ROW()/100000,"")</f>
      </c>
      <c r="H378">
        <f>IF(AND(采购进货!C378&lt;&gt;"",采购进货!C378=供应商对账单!$B$4,ISNUMBER(采购进货!B378),采购进货!B378&gt;=供应商对账单!$G$4,采购进货!B378&lt;=供应商对账单!$I$4),采购进货!B378+ROW()/100000,"")</f>
      </c>
      <c r="N378">
        <f>IF(AND(ISNUMBER(出库明细!G378),ISNUMBER(出库明细!E378),ISNUMBER(出库明细!F378)),IF(ABS(出库明细!G378-出库明细!E378*出库明细!F378)&gt;0.005,1,0),0)</f>
        <v>0</v>
      </c>
      <c r="O378">
        <f>IF(AND(ISNUMBER(存条明细!G378),ISNUMBER(存条明细!E378),ISNUMBER(存条明细!F378)),IF(ABS(存条明细!G378-存条明细!E378*存条明细!F378)&gt;0.005,1,0),0)</f>
        <v>0</v>
      </c>
    </row>
    <row r="379">
      <c r="A379">
        <f>IF(OR(存条明细!C379="",存条明细!D379=""),"",IF(COUNTIFS(存条明细!$C$4:C379,存条明细!C379,存条明细!$D$4:D379,存条明细!D379)&gt;1,"",IFERROR(MATCH(存条明细!C379,总览汇总!$B$5:$B$304,0),900)*10000000+IFERROR(MATCH(存条明细!D379,基础资料!$E$5:$E$104,0),900)*10000+ROW()))</f>
      </c>
      <c r="B379">
        <f>IFERROR(MATCH(SMALL($A$4:$A$4003,376),$A$4:$A$4003,0),"")</f>
      </c>
      <c r="D379">
        <f>IF(AND(商品库存!B379&lt;&gt;"",商品库存!B379=客户查询!$B$4),COUNTIF(商品库存!$B$4:B379,客户查询!$B$4),"")</f>
      </c>
      <c r="E379">
        <f>IF(AND(商品库存!B379&lt;&gt;"",商品库存!B379=客户对账单!$B$4),COUNTIF(商品库存!$B$4:B379,客户对账单!$B$4),"")</f>
      </c>
      <c r="F379">
        <f>IF(AND(出库明细!C379&lt;&gt;"",出库明细!C379=客户对账单!$B$4,ISNUMBER(出库明细!B379),出库明细!B379&gt;=客户对账单!$G$4,出库明细!B379&lt;=客户对账单!$I$4),出库明细!B379+ROW()/100000,"")</f>
      </c>
      <c r="H379">
        <f>IF(AND(采购进货!C379&lt;&gt;"",采购进货!C379=供应商对账单!$B$4,ISNUMBER(采购进货!B379),采购进货!B379&gt;=供应商对账单!$G$4,采购进货!B379&lt;=供应商对账单!$I$4),采购进货!B379+ROW()/100000,"")</f>
      </c>
      <c r="N379">
        <f>IF(AND(ISNUMBER(出库明细!G379),ISNUMBER(出库明细!E379),ISNUMBER(出库明细!F379)),IF(ABS(出库明细!G379-出库明细!E379*出库明细!F379)&gt;0.005,1,0),0)</f>
        <v>0</v>
      </c>
      <c r="O379">
        <f>IF(AND(ISNUMBER(存条明细!G379),ISNUMBER(存条明细!E379),ISNUMBER(存条明细!F379)),IF(ABS(存条明细!G379-存条明细!E379*存条明细!F379)&gt;0.005,1,0),0)</f>
        <v>0</v>
      </c>
    </row>
    <row r="380">
      <c r="A380">
        <f>IF(OR(存条明细!C380="",存条明细!D380=""),"",IF(COUNTIFS(存条明细!$C$4:C380,存条明细!C380,存条明细!$D$4:D380,存条明细!D380)&gt;1,"",IFERROR(MATCH(存条明细!C380,总览汇总!$B$5:$B$304,0),900)*10000000+IFERROR(MATCH(存条明细!D380,基础资料!$E$5:$E$104,0),900)*10000+ROW()))</f>
      </c>
      <c r="B380">
        <f>IFERROR(MATCH(SMALL($A$4:$A$4003,377),$A$4:$A$4003,0),"")</f>
      </c>
      <c r="D380">
        <f>IF(AND(商品库存!B380&lt;&gt;"",商品库存!B380=客户查询!$B$4),COUNTIF(商品库存!$B$4:B380,客户查询!$B$4),"")</f>
      </c>
      <c r="E380">
        <f>IF(AND(商品库存!B380&lt;&gt;"",商品库存!B380=客户对账单!$B$4),COUNTIF(商品库存!$B$4:B380,客户对账单!$B$4),"")</f>
      </c>
      <c r="F380">
        <f>IF(AND(出库明细!C380&lt;&gt;"",出库明细!C380=客户对账单!$B$4,ISNUMBER(出库明细!B380),出库明细!B380&gt;=客户对账单!$G$4,出库明细!B380&lt;=客户对账单!$I$4),出库明细!B380+ROW()/100000,"")</f>
      </c>
      <c r="H380">
        <f>IF(AND(采购进货!C380&lt;&gt;"",采购进货!C380=供应商对账单!$B$4,ISNUMBER(采购进货!B380),采购进货!B380&gt;=供应商对账单!$G$4,采购进货!B380&lt;=供应商对账单!$I$4),采购进货!B380+ROW()/100000,"")</f>
      </c>
      <c r="N380">
        <f>IF(AND(ISNUMBER(出库明细!G380),ISNUMBER(出库明细!E380),ISNUMBER(出库明细!F380)),IF(ABS(出库明细!G380-出库明细!E380*出库明细!F380)&gt;0.005,1,0),0)</f>
        <v>0</v>
      </c>
      <c r="O380">
        <f>IF(AND(ISNUMBER(存条明细!G380),ISNUMBER(存条明细!E380),ISNUMBER(存条明细!F380)),IF(ABS(存条明细!G380-存条明细!E380*存条明细!F380)&gt;0.005,1,0),0)</f>
        <v>0</v>
      </c>
    </row>
    <row r="381">
      <c r="A381">
        <f>IF(OR(存条明细!C381="",存条明细!D381=""),"",IF(COUNTIFS(存条明细!$C$4:C381,存条明细!C381,存条明细!$D$4:D381,存条明细!D381)&gt;1,"",IFERROR(MATCH(存条明细!C381,总览汇总!$B$5:$B$304,0),900)*10000000+IFERROR(MATCH(存条明细!D381,基础资料!$E$5:$E$104,0),900)*10000+ROW()))</f>
      </c>
      <c r="B381">
        <f>IFERROR(MATCH(SMALL($A$4:$A$4003,378),$A$4:$A$4003,0),"")</f>
      </c>
      <c r="D381">
        <f>IF(AND(商品库存!B381&lt;&gt;"",商品库存!B381=客户查询!$B$4),COUNTIF(商品库存!$B$4:B381,客户查询!$B$4),"")</f>
      </c>
      <c r="E381">
        <f>IF(AND(商品库存!B381&lt;&gt;"",商品库存!B381=客户对账单!$B$4),COUNTIF(商品库存!$B$4:B381,客户对账单!$B$4),"")</f>
      </c>
      <c r="F381">
        <f>IF(AND(出库明细!C381&lt;&gt;"",出库明细!C381=客户对账单!$B$4,ISNUMBER(出库明细!B381),出库明细!B381&gt;=客户对账单!$G$4,出库明细!B381&lt;=客户对账单!$I$4),出库明细!B381+ROW()/100000,"")</f>
      </c>
      <c r="H381">
        <f>IF(AND(采购进货!C381&lt;&gt;"",采购进货!C381=供应商对账单!$B$4,ISNUMBER(采购进货!B381),采购进货!B381&gt;=供应商对账单!$G$4,采购进货!B381&lt;=供应商对账单!$I$4),采购进货!B381+ROW()/100000,"")</f>
      </c>
      <c r="N381">
        <f>IF(AND(ISNUMBER(出库明细!G381),ISNUMBER(出库明细!E381),ISNUMBER(出库明细!F381)),IF(ABS(出库明细!G381-出库明细!E381*出库明细!F381)&gt;0.005,1,0),0)</f>
        <v>0</v>
      </c>
      <c r="O381">
        <f>IF(AND(ISNUMBER(存条明细!G381),ISNUMBER(存条明细!E381),ISNUMBER(存条明细!F381)),IF(ABS(存条明细!G381-存条明细!E381*存条明细!F381)&gt;0.005,1,0),0)</f>
        <v>0</v>
      </c>
    </row>
    <row r="382">
      <c r="A382">
        <f>IF(OR(存条明细!C382="",存条明细!D382=""),"",IF(COUNTIFS(存条明细!$C$4:C382,存条明细!C382,存条明细!$D$4:D382,存条明细!D382)&gt;1,"",IFERROR(MATCH(存条明细!C382,总览汇总!$B$5:$B$304,0),900)*10000000+IFERROR(MATCH(存条明细!D382,基础资料!$E$5:$E$104,0),900)*10000+ROW()))</f>
      </c>
      <c r="B382">
        <f>IFERROR(MATCH(SMALL($A$4:$A$4003,379),$A$4:$A$4003,0),"")</f>
      </c>
      <c r="D382">
        <f>IF(AND(商品库存!B382&lt;&gt;"",商品库存!B382=客户查询!$B$4),COUNTIF(商品库存!$B$4:B382,客户查询!$B$4),"")</f>
      </c>
      <c r="E382">
        <f>IF(AND(商品库存!B382&lt;&gt;"",商品库存!B382=客户对账单!$B$4),COUNTIF(商品库存!$B$4:B382,客户对账单!$B$4),"")</f>
      </c>
      <c r="F382">
        <f>IF(AND(出库明细!C382&lt;&gt;"",出库明细!C382=客户对账单!$B$4,ISNUMBER(出库明细!B382),出库明细!B382&gt;=客户对账单!$G$4,出库明细!B382&lt;=客户对账单!$I$4),出库明细!B382+ROW()/100000,"")</f>
      </c>
      <c r="H382">
        <f>IF(AND(采购进货!C382&lt;&gt;"",采购进货!C382=供应商对账单!$B$4,ISNUMBER(采购进货!B382),采购进货!B382&gt;=供应商对账单!$G$4,采购进货!B382&lt;=供应商对账单!$I$4),采购进货!B382+ROW()/100000,"")</f>
      </c>
      <c r="N382">
        <f>IF(AND(ISNUMBER(出库明细!G382),ISNUMBER(出库明细!E382),ISNUMBER(出库明细!F382)),IF(ABS(出库明细!G382-出库明细!E382*出库明细!F382)&gt;0.005,1,0),0)</f>
        <v>0</v>
      </c>
      <c r="O382">
        <f>IF(AND(ISNUMBER(存条明细!G382),ISNUMBER(存条明细!E382),ISNUMBER(存条明细!F382)),IF(ABS(存条明细!G382-存条明细!E382*存条明细!F382)&gt;0.005,1,0),0)</f>
        <v>0</v>
      </c>
    </row>
    <row r="383">
      <c r="A383">
        <f>IF(OR(存条明细!C383="",存条明细!D383=""),"",IF(COUNTIFS(存条明细!$C$4:C383,存条明细!C383,存条明细!$D$4:D383,存条明细!D383)&gt;1,"",IFERROR(MATCH(存条明细!C383,总览汇总!$B$5:$B$304,0),900)*10000000+IFERROR(MATCH(存条明细!D383,基础资料!$E$5:$E$104,0),900)*10000+ROW()))</f>
      </c>
      <c r="B383">
        <f>IFERROR(MATCH(SMALL($A$4:$A$4003,380),$A$4:$A$4003,0),"")</f>
      </c>
      <c r="D383">
        <f>IF(AND(商品库存!B383&lt;&gt;"",商品库存!B383=客户查询!$B$4),COUNTIF(商品库存!$B$4:B383,客户查询!$B$4),"")</f>
      </c>
      <c r="E383">
        <f>IF(AND(商品库存!B383&lt;&gt;"",商品库存!B383=客户对账单!$B$4),COUNTIF(商品库存!$B$4:B383,客户对账单!$B$4),"")</f>
      </c>
      <c r="F383">
        <f>IF(AND(出库明细!C383&lt;&gt;"",出库明细!C383=客户对账单!$B$4,ISNUMBER(出库明细!B383),出库明细!B383&gt;=客户对账单!$G$4,出库明细!B383&lt;=客户对账单!$I$4),出库明细!B383+ROW()/100000,"")</f>
      </c>
      <c r="H383">
        <f>IF(AND(采购进货!C383&lt;&gt;"",采购进货!C383=供应商对账单!$B$4,ISNUMBER(采购进货!B383),采购进货!B383&gt;=供应商对账单!$G$4,采购进货!B383&lt;=供应商对账单!$I$4),采购进货!B383+ROW()/100000,"")</f>
      </c>
      <c r="N383">
        <f>IF(AND(ISNUMBER(出库明细!G383),ISNUMBER(出库明细!E383),ISNUMBER(出库明细!F383)),IF(ABS(出库明细!G383-出库明细!E383*出库明细!F383)&gt;0.005,1,0),0)</f>
        <v>0</v>
      </c>
      <c r="O383">
        <f>IF(AND(ISNUMBER(存条明细!G383),ISNUMBER(存条明细!E383),ISNUMBER(存条明细!F383)),IF(ABS(存条明细!G383-存条明细!E383*存条明细!F383)&gt;0.005,1,0),0)</f>
        <v>0</v>
      </c>
    </row>
    <row r="384">
      <c r="A384">
        <f>IF(OR(存条明细!C384="",存条明细!D384=""),"",IF(COUNTIFS(存条明细!$C$4:C384,存条明细!C384,存条明细!$D$4:D384,存条明细!D384)&gt;1,"",IFERROR(MATCH(存条明细!C384,总览汇总!$B$5:$B$304,0),900)*10000000+IFERROR(MATCH(存条明细!D384,基础资料!$E$5:$E$104,0),900)*10000+ROW()))</f>
      </c>
      <c r="B384">
        <f>IFERROR(MATCH(SMALL($A$4:$A$4003,381),$A$4:$A$4003,0),"")</f>
      </c>
      <c r="D384">
        <f>IF(AND(商品库存!B384&lt;&gt;"",商品库存!B384=客户查询!$B$4),COUNTIF(商品库存!$B$4:B384,客户查询!$B$4),"")</f>
      </c>
      <c r="E384">
        <f>IF(AND(商品库存!B384&lt;&gt;"",商品库存!B384=客户对账单!$B$4),COUNTIF(商品库存!$B$4:B384,客户对账单!$B$4),"")</f>
      </c>
      <c r="F384">
        <f>IF(AND(出库明细!C384&lt;&gt;"",出库明细!C384=客户对账单!$B$4,ISNUMBER(出库明细!B384),出库明细!B384&gt;=客户对账单!$G$4,出库明细!B384&lt;=客户对账单!$I$4),出库明细!B384+ROW()/100000,"")</f>
      </c>
      <c r="H384">
        <f>IF(AND(采购进货!C384&lt;&gt;"",采购进货!C384=供应商对账单!$B$4,ISNUMBER(采购进货!B384),采购进货!B384&gt;=供应商对账单!$G$4,采购进货!B384&lt;=供应商对账单!$I$4),采购进货!B384+ROW()/100000,"")</f>
      </c>
      <c r="N384">
        <f>IF(AND(ISNUMBER(出库明细!G384),ISNUMBER(出库明细!E384),ISNUMBER(出库明细!F384)),IF(ABS(出库明细!G384-出库明细!E384*出库明细!F384)&gt;0.005,1,0),0)</f>
        <v>0</v>
      </c>
      <c r="O384">
        <f>IF(AND(ISNUMBER(存条明细!G384),ISNUMBER(存条明细!E384),ISNUMBER(存条明细!F384)),IF(ABS(存条明细!G384-存条明细!E384*存条明细!F384)&gt;0.005,1,0),0)</f>
        <v>0</v>
      </c>
    </row>
    <row r="385">
      <c r="A385">
        <f>IF(OR(存条明细!C385="",存条明细!D385=""),"",IF(COUNTIFS(存条明细!$C$4:C385,存条明细!C385,存条明细!$D$4:D385,存条明细!D385)&gt;1,"",IFERROR(MATCH(存条明细!C385,总览汇总!$B$5:$B$304,0),900)*10000000+IFERROR(MATCH(存条明细!D385,基础资料!$E$5:$E$104,0),900)*10000+ROW()))</f>
      </c>
      <c r="B385">
        <f>IFERROR(MATCH(SMALL($A$4:$A$4003,382),$A$4:$A$4003,0),"")</f>
      </c>
      <c r="D385">
        <f>IF(AND(商品库存!B385&lt;&gt;"",商品库存!B385=客户查询!$B$4),COUNTIF(商品库存!$B$4:B385,客户查询!$B$4),"")</f>
      </c>
      <c r="E385">
        <f>IF(AND(商品库存!B385&lt;&gt;"",商品库存!B385=客户对账单!$B$4),COUNTIF(商品库存!$B$4:B385,客户对账单!$B$4),"")</f>
      </c>
      <c r="F385">
        <f>IF(AND(出库明细!C385&lt;&gt;"",出库明细!C385=客户对账单!$B$4,ISNUMBER(出库明细!B385),出库明细!B385&gt;=客户对账单!$G$4,出库明细!B385&lt;=客户对账单!$I$4),出库明细!B385+ROW()/100000,"")</f>
      </c>
      <c r="H385">
        <f>IF(AND(采购进货!C385&lt;&gt;"",采购进货!C385=供应商对账单!$B$4,ISNUMBER(采购进货!B385),采购进货!B385&gt;=供应商对账单!$G$4,采购进货!B385&lt;=供应商对账单!$I$4),采购进货!B385+ROW()/100000,"")</f>
      </c>
      <c r="N385">
        <f>IF(AND(ISNUMBER(出库明细!G385),ISNUMBER(出库明细!E385),ISNUMBER(出库明细!F385)),IF(ABS(出库明细!G385-出库明细!E385*出库明细!F385)&gt;0.005,1,0),0)</f>
        <v>0</v>
      </c>
      <c r="O385">
        <f>IF(AND(ISNUMBER(存条明细!G385),ISNUMBER(存条明细!E385),ISNUMBER(存条明细!F385)),IF(ABS(存条明细!G385-存条明细!E385*存条明细!F385)&gt;0.005,1,0),0)</f>
        <v>0</v>
      </c>
    </row>
    <row r="386">
      <c r="A386">
        <f>IF(OR(存条明细!C386="",存条明细!D386=""),"",IF(COUNTIFS(存条明细!$C$4:C386,存条明细!C386,存条明细!$D$4:D386,存条明细!D386)&gt;1,"",IFERROR(MATCH(存条明细!C386,总览汇总!$B$5:$B$304,0),900)*10000000+IFERROR(MATCH(存条明细!D386,基础资料!$E$5:$E$104,0),900)*10000+ROW()))</f>
      </c>
      <c r="B386">
        <f>IFERROR(MATCH(SMALL($A$4:$A$4003,383),$A$4:$A$4003,0),"")</f>
      </c>
      <c r="D386">
        <f>IF(AND(商品库存!B386&lt;&gt;"",商品库存!B386=客户查询!$B$4),COUNTIF(商品库存!$B$4:B386,客户查询!$B$4),"")</f>
      </c>
      <c r="E386">
        <f>IF(AND(商品库存!B386&lt;&gt;"",商品库存!B386=客户对账单!$B$4),COUNTIF(商品库存!$B$4:B386,客户对账单!$B$4),"")</f>
      </c>
      <c r="F386">
        <f>IF(AND(出库明细!C386&lt;&gt;"",出库明细!C386=客户对账单!$B$4,ISNUMBER(出库明细!B386),出库明细!B386&gt;=客户对账单!$G$4,出库明细!B386&lt;=客户对账单!$I$4),出库明细!B386+ROW()/100000,"")</f>
      </c>
      <c r="H386">
        <f>IF(AND(采购进货!C386&lt;&gt;"",采购进货!C386=供应商对账单!$B$4,ISNUMBER(采购进货!B386),采购进货!B386&gt;=供应商对账单!$G$4,采购进货!B386&lt;=供应商对账单!$I$4),采购进货!B386+ROW()/100000,"")</f>
      </c>
      <c r="N386">
        <f>IF(AND(ISNUMBER(出库明细!G386),ISNUMBER(出库明细!E386),ISNUMBER(出库明细!F386)),IF(ABS(出库明细!G386-出库明细!E386*出库明细!F386)&gt;0.005,1,0),0)</f>
        <v>0</v>
      </c>
      <c r="O386">
        <f>IF(AND(ISNUMBER(存条明细!G386),ISNUMBER(存条明细!E386),ISNUMBER(存条明细!F386)),IF(ABS(存条明细!G386-存条明细!E386*存条明细!F386)&gt;0.005,1,0),0)</f>
        <v>0</v>
      </c>
    </row>
    <row r="387">
      <c r="A387">
        <f>IF(OR(存条明细!C387="",存条明细!D387=""),"",IF(COUNTIFS(存条明细!$C$4:C387,存条明细!C387,存条明细!$D$4:D387,存条明细!D387)&gt;1,"",IFERROR(MATCH(存条明细!C387,总览汇总!$B$5:$B$304,0),900)*10000000+IFERROR(MATCH(存条明细!D387,基础资料!$E$5:$E$104,0),900)*10000+ROW()))</f>
      </c>
      <c r="B387">
        <f>IFERROR(MATCH(SMALL($A$4:$A$4003,384),$A$4:$A$4003,0),"")</f>
      </c>
      <c r="D387">
        <f>IF(AND(商品库存!B387&lt;&gt;"",商品库存!B387=客户查询!$B$4),COUNTIF(商品库存!$B$4:B387,客户查询!$B$4),"")</f>
      </c>
      <c r="E387">
        <f>IF(AND(商品库存!B387&lt;&gt;"",商品库存!B387=客户对账单!$B$4),COUNTIF(商品库存!$B$4:B387,客户对账单!$B$4),"")</f>
      </c>
      <c r="F387">
        <f>IF(AND(出库明细!C387&lt;&gt;"",出库明细!C387=客户对账单!$B$4,ISNUMBER(出库明细!B387),出库明细!B387&gt;=客户对账单!$G$4,出库明细!B387&lt;=客户对账单!$I$4),出库明细!B387+ROW()/100000,"")</f>
      </c>
      <c r="H387">
        <f>IF(AND(采购进货!C387&lt;&gt;"",采购进货!C387=供应商对账单!$B$4,ISNUMBER(采购进货!B387),采购进货!B387&gt;=供应商对账单!$G$4,采购进货!B387&lt;=供应商对账单!$I$4),采购进货!B387+ROW()/100000,"")</f>
      </c>
      <c r="N387">
        <f>IF(AND(ISNUMBER(出库明细!G387),ISNUMBER(出库明细!E387),ISNUMBER(出库明细!F387)),IF(ABS(出库明细!G387-出库明细!E387*出库明细!F387)&gt;0.005,1,0),0)</f>
        <v>0</v>
      </c>
      <c r="O387">
        <f>IF(AND(ISNUMBER(存条明细!G387),ISNUMBER(存条明细!E387),ISNUMBER(存条明细!F387)),IF(ABS(存条明细!G387-存条明细!E387*存条明细!F387)&gt;0.005,1,0),0)</f>
        <v>0</v>
      </c>
    </row>
    <row r="388">
      <c r="A388">
        <f>IF(OR(存条明细!C388="",存条明细!D388=""),"",IF(COUNTIFS(存条明细!$C$4:C388,存条明细!C388,存条明细!$D$4:D388,存条明细!D388)&gt;1,"",IFERROR(MATCH(存条明细!C388,总览汇总!$B$5:$B$304,0),900)*10000000+IFERROR(MATCH(存条明细!D388,基础资料!$E$5:$E$104,0),900)*10000+ROW()))</f>
      </c>
      <c r="B388">
        <f>IFERROR(MATCH(SMALL($A$4:$A$4003,385),$A$4:$A$4003,0),"")</f>
      </c>
      <c r="D388">
        <f>IF(AND(商品库存!B388&lt;&gt;"",商品库存!B388=客户查询!$B$4),COUNTIF(商品库存!$B$4:B388,客户查询!$B$4),"")</f>
      </c>
      <c r="E388">
        <f>IF(AND(商品库存!B388&lt;&gt;"",商品库存!B388=客户对账单!$B$4),COUNTIF(商品库存!$B$4:B388,客户对账单!$B$4),"")</f>
      </c>
      <c r="F388">
        <f>IF(AND(出库明细!C388&lt;&gt;"",出库明细!C388=客户对账单!$B$4,ISNUMBER(出库明细!B388),出库明细!B388&gt;=客户对账单!$G$4,出库明细!B388&lt;=客户对账单!$I$4),出库明细!B388+ROW()/100000,"")</f>
      </c>
      <c r="H388">
        <f>IF(AND(采购进货!C388&lt;&gt;"",采购进货!C388=供应商对账单!$B$4,ISNUMBER(采购进货!B388),采购进货!B388&gt;=供应商对账单!$G$4,采购进货!B388&lt;=供应商对账单!$I$4),采购进货!B388+ROW()/100000,"")</f>
      </c>
      <c r="N388">
        <f>IF(AND(ISNUMBER(出库明细!G388),ISNUMBER(出库明细!E388),ISNUMBER(出库明细!F388)),IF(ABS(出库明细!G388-出库明细!E388*出库明细!F388)&gt;0.005,1,0),0)</f>
        <v>0</v>
      </c>
      <c r="O388">
        <f>IF(AND(ISNUMBER(存条明细!G388),ISNUMBER(存条明细!E388),ISNUMBER(存条明细!F388)),IF(ABS(存条明细!G388-存条明细!E388*存条明细!F388)&gt;0.005,1,0),0)</f>
        <v>0</v>
      </c>
    </row>
    <row r="389">
      <c r="A389">
        <f>IF(OR(存条明细!C389="",存条明细!D389=""),"",IF(COUNTIFS(存条明细!$C$4:C389,存条明细!C389,存条明细!$D$4:D389,存条明细!D389)&gt;1,"",IFERROR(MATCH(存条明细!C389,总览汇总!$B$5:$B$304,0),900)*10000000+IFERROR(MATCH(存条明细!D389,基础资料!$E$5:$E$104,0),900)*10000+ROW()))</f>
      </c>
      <c r="B389">
        <f>IFERROR(MATCH(SMALL($A$4:$A$4003,386),$A$4:$A$4003,0),"")</f>
      </c>
      <c r="D389">
        <f>IF(AND(商品库存!B389&lt;&gt;"",商品库存!B389=客户查询!$B$4),COUNTIF(商品库存!$B$4:B389,客户查询!$B$4),"")</f>
      </c>
      <c r="E389">
        <f>IF(AND(商品库存!B389&lt;&gt;"",商品库存!B389=客户对账单!$B$4),COUNTIF(商品库存!$B$4:B389,客户对账单!$B$4),"")</f>
      </c>
      <c r="F389">
        <f>IF(AND(出库明细!C389&lt;&gt;"",出库明细!C389=客户对账单!$B$4,ISNUMBER(出库明细!B389),出库明细!B389&gt;=客户对账单!$G$4,出库明细!B389&lt;=客户对账单!$I$4),出库明细!B389+ROW()/100000,"")</f>
      </c>
      <c r="H389">
        <f>IF(AND(采购进货!C389&lt;&gt;"",采购进货!C389=供应商对账单!$B$4,ISNUMBER(采购进货!B389),采购进货!B389&gt;=供应商对账单!$G$4,采购进货!B389&lt;=供应商对账单!$I$4),采购进货!B389+ROW()/100000,"")</f>
      </c>
      <c r="N389">
        <f>IF(AND(ISNUMBER(出库明细!G389),ISNUMBER(出库明细!E389),ISNUMBER(出库明细!F389)),IF(ABS(出库明细!G389-出库明细!E389*出库明细!F389)&gt;0.005,1,0),0)</f>
        <v>0</v>
      </c>
      <c r="O389">
        <f>IF(AND(ISNUMBER(存条明细!G389),ISNUMBER(存条明细!E389),ISNUMBER(存条明细!F389)),IF(ABS(存条明细!G389-存条明细!E389*存条明细!F389)&gt;0.005,1,0),0)</f>
        <v>0</v>
      </c>
    </row>
    <row r="390">
      <c r="A390">
        <f>IF(OR(存条明细!C390="",存条明细!D390=""),"",IF(COUNTIFS(存条明细!$C$4:C390,存条明细!C390,存条明细!$D$4:D390,存条明细!D390)&gt;1,"",IFERROR(MATCH(存条明细!C390,总览汇总!$B$5:$B$304,0),900)*10000000+IFERROR(MATCH(存条明细!D390,基础资料!$E$5:$E$104,0),900)*10000+ROW()))</f>
      </c>
      <c r="B390">
        <f>IFERROR(MATCH(SMALL($A$4:$A$4003,387),$A$4:$A$4003,0),"")</f>
      </c>
      <c r="D390">
        <f>IF(AND(商品库存!B390&lt;&gt;"",商品库存!B390=客户查询!$B$4),COUNTIF(商品库存!$B$4:B390,客户查询!$B$4),"")</f>
      </c>
      <c r="E390">
        <f>IF(AND(商品库存!B390&lt;&gt;"",商品库存!B390=客户对账单!$B$4),COUNTIF(商品库存!$B$4:B390,客户对账单!$B$4),"")</f>
      </c>
      <c r="F390">
        <f>IF(AND(出库明细!C390&lt;&gt;"",出库明细!C390=客户对账单!$B$4,ISNUMBER(出库明细!B390),出库明细!B390&gt;=客户对账单!$G$4,出库明细!B390&lt;=客户对账单!$I$4),出库明细!B390+ROW()/100000,"")</f>
      </c>
      <c r="H390">
        <f>IF(AND(采购进货!C390&lt;&gt;"",采购进货!C390=供应商对账单!$B$4,ISNUMBER(采购进货!B390),采购进货!B390&gt;=供应商对账单!$G$4,采购进货!B390&lt;=供应商对账单!$I$4),采购进货!B390+ROW()/100000,"")</f>
      </c>
      <c r="N390">
        <f>IF(AND(ISNUMBER(出库明细!G390),ISNUMBER(出库明细!E390),ISNUMBER(出库明细!F390)),IF(ABS(出库明细!G390-出库明细!E390*出库明细!F390)&gt;0.005,1,0),0)</f>
        <v>0</v>
      </c>
      <c r="O390">
        <f>IF(AND(ISNUMBER(存条明细!G390),ISNUMBER(存条明细!E390),ISNUMBER(存条明细!F390)),IF(ABS(存条明细!G390-存条明细!E390*存条明细!F390)&gt;0.005,1,0),0)</f>
        <v>0</v>
      </c>
    </row>
    <row r="391">
      <c r="A391">
        <f>IF(OR(存条明细!C391="",存条明细!D391=""),"",IF(COUNTIFS(存条明细!$C$4:C391,存条明细!C391,存条明细!$D$4:D391,存条明细!D391)&gt;1,"",IFERROR(MATCH(存条明细!C391,总览汇总!$B$5:$B$304,0),900)*10000000+IFERROR(MATCH(存条明细!D391,基础资料!$E$5:$E$104,0),900)*10000+ROW()))</f>
      </c>
      <c r="B391">
        <f>IFERROR(MATCH(SMALL($A$4:$A$4003,388),$A$4:$A$4003,0),"")</f>
      </c>
      <c r="D391">
        <f>IF(AND(商品库存!B391&lt;&gt;"",商品库存!B391=客户查询!$B$4),COUNTIF(商品库存!$B$4:B391,客户查询!$B$4),"")</f>
      </c>
      <c r="E391">
        <f>IF(AND(商品库存!B391&lt;&gt;"",商品库存!B391=客户对账单!$B$4),COUNTIF(商品库存!$B$4:B391,客户对账单!$B$4),"")</f>
      </c>
      <c r="F391">
        <f>IF(AND(出库明细!C391&lt;&gt;"",出库明细!C391=客户对账单!$B$4,ISNUMBER(出库明细!B391),出库明细!B391&gt;=客户对账单!$G$4,出库明细!B391&lt;=客户对账单!$I$4),出库明细!B391+ROW()/100000,"")</f>
      </c>
      <c r="H391">
        <f>IF(AND(采购进货!C391&lt;&gt;"",采购进货!C391=供应商对账单!$B$4,ISNUMBER(采购进货!B391),采购进货!B391&gt;=供应商对账单!$G$4,采购进货!B391&lt;=供应商对账单!$I$4),采购进货!B391+ROW()/100000,"")</f>
      </c>
      <c r="N391">
        <f>IF(AND(ISNUMBER(出库明细!G391),ISNUMBER(出库明细!E391),ISNUMBER(出库明细!F391)),IF(ABS(出库明细!G391-出库明细!E391*出库明细!F391)&gt;0.005,1,0),0)</f>
        <v>0</v>
      </c>
      <c r="O391">
        <f>IF(AND(ISNUMBER(存条明细!G391),ISNUMBER(存条明细!E391),ISNUMBER(存条明细!F391)),IF(ABS(存条明细!G391-存条明细!E391*存条明细!F391)&gt;0.005,1,0),0)</f>
        <v>0</v>
      </c>
    </row>
    <row r="392">
      <c r="A392">
        <f>IF(OR(存条明细!C392="",存条明细!D392=""),"",IF(COUNTIFS(存条明细!$C$4:C392,存条明细!C392,存条明细!$D$4:D392,存条明细!D392)&gt;1,"",IFERROR(MATCH(存条明细!C392,总览汇总!$B$5:$B$304,0),900)*10000000+IFERROR(MATCH(存条明细!D392,基础资料!$E$5:$E$104,0),900)*10000+ROW()))</f>
      </c>
      <c r="B392">
        <f>IFERROR(MATCH(SMALL($A$4:$A$4003,389),$A$4:$A$4003,0),"")</f>
      </c>
      <c r="D392">
        <f>IF(AND(商品库存!B392&lt;&gt;"",商品库存!B392=客户查询!$B$4),COUNTIF(商品库存!$B$4:B392,客户查询!$B$4),"")</f>
      </c>
      <c r="E392">
        <f>IF(AND(商品库存!B392&lt;&gt;"",商品库存!B392=客户对账单!$B$4),COUNTIF(商品库存!$B$4:B392,客户对账单!$B$4),"")</f>
      </c>
      <c r="F392">
        <f>IF(AND(出库明细!C392&lt;&gt;"",出库明细!C392=客户对账单!$B$4,ISNUMBER(出库明细!B392),出库明细!B392&gt;=客户对账单!$G$4,出库明细!B392&lt;=客户对账单!$I$4),出库明细!B392+ROW()/100000,"")</f>
      </c>
      <c r="H392">
        <f>IF(AND(采购进货!C392&lt;&gt;"",采购进货!C392=供应商对账单!$B$4,ISNUMBER(采购进货!B392),采购进货!B392&gt;=供应商对账单!$G$4,采购进货!B392&lt;=供应商对账单!$I$4),采购进货!B392+ROW()/100000,"")</f>
      </c>
      <c r="N392">
        <f>IF(AND(ISNUMBER(出库明细!G392),ISNUMBER(出库明细!E392),ISNUMBER(出库明细!F392)),IF(ABS(出库明细!G392-出库明细!E392*出库明细!F392)&gt;0.005,1,0),0)</f>
        <v>0</v>
      </c>
      <c r="O392">
        <f>IF(AND(ISNUMBER(存条明细!G392),ISNUMBER(存条明细!E392),ISNUMBER(存条明细!F392)),IF(ABS(存条明细!G392-存条明细!E392*存条明细!F392)&gt;0.005,1,0),0)</f>
        <v>0</v>
      </c>
    </row>
    <row r="393">
      <c r="A393">
        <f>IF(OR(存条明细!C393="",存条明细!D393=""),"",IF(COUNTIFS(存条明细!$C$4:C393,存条明细!C393,存条明细!$D$4:D393,存条明细!D393)&gt;1,"",IFERROR(MATCH(存条明细!C393,总览汇总!$B$5:$B$304,0),900)*10000000+IFERROR(MATCH(存条明细!D393,基础资料!$E$5:$E$104,0),900)*10000+ROW()))</f>
      </c>
      <c r="B393">
        <f>IFERROR(MATCH(SMALL($A$4:$A$4003,390),$A$4:$A$4003,0),"")</f>
      </c>
      <c r="D393">
        <f>IF(AND(商品库存!B393&lt;&gt;"",商品库存!B393=客户查询!$B$4),COUNTIF(商品库存!$B$4:B393,客户查询!$B$4),"")</f>
      </c>
      <c r="E393">
        <f>IF(AND(商品库存!B393&lt;&gt;"",商品库存!B393=客户对账单!$B$4),COUNTIF(商品库存!$B$4:B393,客户对账单!$B$4),"")</f>
      </c>
      <c r="F393">
        <f>IF(AND(出库明细!C393&lt;&gt;"",出库明细!C393=客户对账单!$B$4,ISNUMBER(出库明细!B393),出库明细!B393&gt;=客户对账单!$G$4,出库明细!B393&lt;=客户对账单!$I$4),出库明细!B393+ROW()/100000,"")</f>
      </c>
      <c r="H393">
        <f>IF(AND(采购进货!C393&lt;&gt;"",采购进货!C393=供应商对账单!$B$4,ISNUMBER(采购进货!B393),采购进货!B393&gt;=供应商对账单!$G$4,采购进货!B393&lt;=供应商对账单!$I$4),采购进货!B393+ROW()/100000,"")</f>
      </c>
      <c r="N393">
        <f>IF(AND(ISNUMBER(出库明细!G393),ISNUMBER(出库明细!E393),ISNUMBER(出库明细!F393)),IF(ABS(出库明细!G393-出库明细!E393*出库明细!F393)&gt;0.005,1,0),0)</f>
        <v>0</v>
      </c>
      <c r="O393">
        <f>IF(AND(ISNUMBER(存条明细!G393),ISNUMBER(存条明细!E393),ISNUMBER(存条明细!F393)),IF(ABS(存条明细!G393-存条明细!E393*存条明细!F393)&gt;0.005,1,0),0)</f>
        <v>0</v>
      </c>
    </row>
    <row r="394">
      <c r="A394">
        <f>IF(OR(存条明细!C394="",存条明细!D394=""),"",IF(COUNTIFS(存条明细!$C$4:C394,存条明细!C394,存条明细!$D$4:D394,存条明细!D394)&gt;1,"",IFERROR(MATCH(存条明细!C394,总览汇总!$B$5:$B$304,0),900)*10000000+IFERROR(MATCH(存条明细!D394,基础资料!$E$5:$E$104,0),900)*10000+ROW()))</f>
      </c>
      <c r="B394">
        <f>IFERROR(MATCH(SMALL($A$4:$A$4003,391),$A$4:$A$4003,0),"")</f>
      </c>
      <c r="D394">
        <f>IF(AND(商品库存!B394&lt;&gt;"",商品库存!B394=客户查询!$B$4),COUNTIF(商品库存!$B$4:B394,客户查询!$B$4),"")</f>
      </c>
      <c r="E394">
        <f>IF(AND(商品库存!B394&lt;&gt;"",商品库存!B394=客户对账单!$B$4),COUNTIF(商品库存!$B$4:B394,客户对账单!$B$4),"")</f>
      </c>
      <c r="F394">
        <f>IF(AND(出库明细!C394&lt;&gt;"",出库明细!C394=客户对账单!$B$4,ISNUMBER(出库明细!B394),出库明细!B394&gt;=客户对账单!$G$4,出库明细!B394&lt;=客户对账单!$I$4),出库明细!B394+ROW()/100000,"")</f>
      </c>
      <c r="H394">
        <f>IF(AND(采购进货!C394&lt;&gt;"",采购进货!C394=供应商对账单!$B$4,ISNUMBER(采购进货!B394),采购进货!B394&gt;=供应商对账单!$G$4,采购进货!B394&lt;=供应商对账单!$I$4),采购进货!B394+ROW()/100000,"")</f>
      </c>
      <c r="N394">
        <f>IF(AND(ISNUMBER(出库明细!G394),ISNUMBER(出库明细!E394),ISNUMBER(出库明细!F394)),IF(ABS(出库明细!G394-出库明细!E394*出库明细!F394)&gt;0.005,1,0),0)</f>
        <v>0</v>
      </c>
      <c r="O394">
        <f>IF(AND(ISNUMBER(存条明细!G394),ISNUMBER(存条明细!E394),ISNUMBER(存条明细!F394)),IF(ABS(存条明细!G394-存条明细!E394*存条明细!F394)&gt;0.005,1,0),0)</f>
        <v>0</v>
      </c>
    </row>
    <row r="395">
      <c r="A395">
        <f>IF(OR(存条明细!C395="",存条明细!D395=""),"",IF(COUNTIFS(存条明细!$C$4:C395,存条明细!C395,存条明细!$D$4:D395,存条明细!D395)&gt;1,"",IFERROR(MATCH(存条明细!C395,总览汇总!$B$5:$B$304,0),900)*10000000+IFERROR(MATCH(存条明细!D395,基础资料!$E$5:$E$104,0),900)*10000+ROW()))</f>
      </c>
      <c r="B395">
        <f>IFERROR(MATCH(SMALL($A$4:$A$4003,392),$A$4:$A$4003,0),"")</f>
      </c>
      <c r="D395">
        <f>IF(AND(商品库存!B395&lt;&gt;"",商品库存!B395=客户查询!$B$4),COUNTIF(商品库存!$B$4:B395,客户查询!$B$4),"")</f>
      </c>
      <c r="E395">
        <f>IF(AND(商品库存!B395&lt;&gt;"",商品库存!B395=客户对账单!$B$4),COUNTIF(商品库存!$B$4:B395,客户对账单!$B$4),"")</f>
      </c>
      <c r="F395">
        <f>IF(AND(出库明细!C395&lt;&gt;"",出库明细!C395=客户对账单!$B$4,ISNUMBER(出库明细!B395),出库明细!B395&gt;=客户对账单!$G$4,出库明细!B395&lt;=客户对账单!$I$4),出库明细!B395+ROW()/100000,"")</f>
      </c>
      <c r="H395">
        <f>IF(AND(采购进货!C395&lt;&gt;"",采购进货!C395=供应商对账单!$B$4,ISNUMBER(采购进货!B395),采购进货!B395&gt;=供应商对账单!$G$4,采购进货!B395&lt;=供应商对账单!$I$4),采购进货!B395+ROW()/100000,"")</f>
      </c>
      <c r="N395">
        <f>IF(AND(ISNUMBER(出库明细!G395),ISNUMBER(出库明细!E395),ISNUMBER(出库明细!F395)),IF(ABS(出库明细!G395-出库明细!E395*出库明细!F395)&gt;0.005,1,0),0)</f>
        <v>0</v>
      </c>
      <c r="O395">
        <f>IF(AND(ISNUMBER(存条明细!G395),ISNUMBER(存条明细!E395),ISNUMBER(存条明细!F395)),IF(ABS(存条明细!G395-存条明细!E395*存条明细!F395)&gt;0.005,1,0),0)</f>
        <v>0</v>
      </c>
    </row>
    <row r="396">
      <c r="A396">
        <f>IF(OR(存条明细!C396="",存条明细!D396=""),"",IF(COUNTIFS(存条明细!$C$4:C396,存条明细!C396,存条明细!$D$4:D396,存条明细!D396)&gt;1,"",IFERROR(MATCH(存条明细!C396,总览汇总!$B$5:$B$304,0),900)*10000000+IFERROR(MATCH(存条明细!D396,基础资料!$E$5:$E$104,0),900)*10000+ROW()))</f>
      </c>
      <c r="B396">
        <f>IFERROR(MATCH(SMALL($A$4:$A$4003,393),$A$4:$A$4003,0),"")</f>
      </c>
      <c r="D396">
        <f>IF(AND(商品库存!B396&lt;&gt;"",商品库存!B396=客户查询!$B$4),COUNTIF(商品库存!$B$4:B396,客户查询!$B$4),"")</f>
      </c>
      <c r="E396">
        <f>IF(AND(商品库存!B396&lt;&gt;"",商品库存!B396=客户对账单!$B$4),COUNTIF(商品库存!$B$4:B396,客户对账单!$B$4),"")</f>
      </c>
      <c r="F396">
        <f>IF(AND(出库明细!C396&lt;&gt;"",出库明细!C396=客户对账单!$B$4,ISNUMBER(出库明细!B396),出库明细!B396&gt;=客户对账单!$G$4,出库明细!B396&lt;=客户对账单!$I$4),出库明细!B396+ROW()/100000,"")</f>
      </c>
      <c r="H396">
        <f>IF(AND(采购进货!C396&lt;&gt;"",采购进货!C396=供应商对账单!$B$4,ISNUMBER(采购进货!B396),采购进货!B396&gt;=供应商对账单!$G$4,采购进货!B396&lt;=供应商对账单!$I$4),采购进货!B396+ROW()/100000,"")</f>
      </c>
      <c r="N396">
        <f>IF(AND(ISNUMBER(出库明细!G396),ISNUMBER(出库明细!E396),ISNUMBER(出库明细!F396)),IF(ABS(出库明细!G396-出库明细!E396*出库明细!F396)&gt;0.005,1,0),0)</f>
        <v>0</v>
      </c>
      <c r="O396">
        <f>IF(AND(ISNUMBER(存条明细!G396),ISNUMBER(存条明细!E396),ISNUMBER(存条明细!F396)),IF(ABS(存条明细!G396-存条明细!E396*存条明细!F396)&gt;0.005,1,0),0)</f>
        <v>0</v>
      </c>
    </row>
    <row r="397">
      <c r="A397">
        <f>IF(OR(存条明细!C397="",存条明细!D397=""),"",IF(COUNTIFS(存条明细!$C$4:C397,存条明细!C397,存条明细!$D$4:D397,存条明细!D397)&gt;1,"",IFERROR(MATCH(存条明细!C397,总览汇总!$B$5:$B$304,0),900)*10000000+IFERROR(MATCH(存条明细!D397,基础资料!$E$5:$E$104,0),900)*10000+ROW()))</f>
      </c>
      <c r="B397">
        <f>IFERROR(MATCH(SMALL($A$4:$A$4003,394),$A$4:$A$4003,0),"")</f>
      </c>
      <c r="D397">
        <f>IF(AND(商品库存!B397&lt;&gt;"",商品库存!B397=客户查询!$B$4),COUNTIF(商品库存!$B$4:B397,客户查询!$B$4),"")</f>
      </c>
      <c r="E397">
        <f>IF(AND(商品库存!B397&lt;&gt;"",商品库存!B397=客户对账单!$B$4),COUNTIF(商品库存!$B$4:B397,客户对账单!$B$4),"")</f>
      </c>
      <c r="F397">
        <f>IF(AND(出库明细!C397&lt;&gt;"",出库明细!C397=客户对账单!$B$4,ISNUMBER(出库明细!B397),出库明细!B397&gt;=客户对账单!$G$4,出库明细!B397&lt;=客户对账单!$I$4),出库明细!B397+ROW()/100000,"")</f>
      </c>
      <c r="H397">
        <f>IF(AND(采购进货!C397&lt;&gt;"",采购进货!C397=供应商对账单!$B$4,ISNUMBER(采购进货!B397),采购进货!B397&gt;=供应商对账单!$G$4,采购进货!B397&lt;=供应商对账单!$I$4),采购进货!B397+ROW()/100000,"")</f>
      </c>
      <c r="N397">
        <f>IF(AND(ISNUMBER(出库明细!G397),ISNUMBER(出库明细!E397),ISNUMBER(出库明细!F397)),IF(ABS(出库明细!G397-出库明细!E397*出库明细!F397)&gt;0.005,1,0),0)</f>
        <v>0</v>
      </c>
      <c r="O397">
        <f>IF(AND(ISNUMBER(存条明细!G397),ISNUMBER(存条明细!E397),ISNUMBER(存条明细!F397)),IF(ABS(存条明细!G397-存条明细!E397*存条明细!F397)&gt;0.005,1,0),0)</f>
        <v>0</v>
      </c>
    </row>
    <row r="398">
      <c r="A398">
        <f>IF(OR(存条明细!C398="",存条明细!D398=""),"",IF(COUNTIFS(存条明细!$C$4:C398,存条明细!C398,存条明细!$D$4:D398,存条明细!D398)&gt;1,"",IFERROR(MATCH(存条明细!C398,总览汇总!$B$5:$B$304,0),900)*10000000+IFERROR(MATCH(存条明细!D398,基础资料!$E$5:$E$104,0),900)*10000+ROW()))</f>
      </c>
      <c r="B398">
        <f>IFERROR(MATCH(SMALL($A$4:$A$4003,395),$A$4:$A$4003,0),"")</f>
      </c>
      <c r="D398">
        <f>IF(AND(商品库存!B398&lt;&gt;"",商品库存!B398=客户查询!$B$4),COUNTIF(商品库存!$B$4:B398,客户查询!$B$4),"")</f>
      </c>
      <c r="E398">
        <f>IF(AND(商品库存!B398&lt;&gt;"",商品库存!B398=客户对账单!$B$4),COUNTIF(商品库存!$B$4:B398,客户对账单!$B$4),"")</f>
      </c>
      <c r="F398">
        <f>IF(AND(出库明细!C398&lt;&gt;"",出库明细!C398=客户对账单!$B$4,ISNUMBER(出库明细!B398),出库明细!B398&gt;=客户对账单!$G$4,出库明细!B398&lt;=客户对账单!$I$4),出库明细!B398+ROW()/100000,"")</f>
      </c>
      <c r="H398">
        <f>IF(AND(采购进货!C398&lt;&gt;"",采购进货!C398=供应商对账单!$B$4,ISNUMBER(采购进货!B398),采购进货!B398&gt;=供应商对账单!$G$4,采购进货!B398&lt;=供应商对账单!$I$4),采购进货!B398+ROW()/100000,"")</f>
      </c>
      <c r="N398">
        <f>IF(AND(ISNUMBER(出库明细!G398),ISNUMBER(出库明细!E398),ISNUMBER(出库明细!F398)),IF(ABS(出库明细!G398-出库明细!E398*出库明细!F398)&gt;0.005,1,0),0)</f>
        <v>0</v>
      </c>
      <c r="O398">
        <f>IF(AND(ISNUMBER(存条明细!G398),ISNUMBER(存条明细!E398),ISNUMBER(存条明细!F398)),IF(ABS(存条明细!G398-存条明细!E398*存条明细!F398)&gt;0.005,1,0),0)</f>
        <v>0</v>
      </c>
    </row>
    <row r="399">
      <c r="A399">
        <f>IF(OR(存条明细!C399="",存条明细!D399=""),"",IF(COUNTIFS(存条明细!$C$4:C399,存条明细!C399,存条明细!$D$4:D399,存条明细!D399)&gt;1,"",IFERROR(MATCH(存条明细!C399,总览汇总!$B$5:$B$304,0),900)*10000000+IFERROR(MATCH(存条明细!D399,基础资料!$E$5:$E$104,0),900)*10000+ROW()))</f>
      </c>
      <c r="B399">
        <f>IFERROR(MATCH(SMALL($A$4:$A$4003,396),$A$4:$A$4003,0),"")</f>
      </c>
      <c r="D399">
        <f>IF(AND(商品库存!B399&lt;&gt;"",商品库存!B399=客户查询!$B$4),COUNTIF(商品库存!$B$4:B399,客户查询!$B$4),"")</f>
      </c>
      <c r="E399">
        <f>IF(AND(商品库存!B399&lt;&gt;"",商品库存!B399=客户对账单!$B$4),COUNTIF(商品库存!$B$4:B399,客户对账单!$B$4),"")</f>
      </c>
      <c r="F399">
        <f>IF(AND(出库明细!C399&lt;&gt;"",出库明细!C399=客户对账单!$B$4,ISNUMBER(出库明细!B399),出库明细!B399&gt;=客户对账单!$G$4,出库明细!B399&lt;=客户对账单!$I$4),出库明细!B399+ROW()/100000,"")</f>
      </c>
      <c r="H399">
        <f>IF(AND(采购进货!C399&lt;&gt;"",采购进货!C399=供应商对账单!$B$4,ISNUMBER(采购进货!B399),采购进货!B399&gt;=供应商对账单!$G$4,采购进货!B399&lt;=供应商对账单!$I$4),采购进货!B399+ROW()/100000,"")</f>
      </c>
      <c r="N399">
        <f>IF(AND(ISNUMBER(出库明细!G399),ISNUMBER(出库明细!E399),ISNUMBER(出库明细!F399)),IF(ABS(出库明细!G399-出库明细!E399*出库明细!F399)&gt;0.005,1,0),0)</f>
        <v>0</v>
      </c>
      <c r="O399">
        <f>IF(AND(ISNUMBER(存条明细!G399),ISNUMBER(存条明细!E399),ISNUMBER(存条明细!F399)),IF(ABS(存条明细!G399-存条明细!E399*存条明细!F399)&gt;0.005,1,0),0)</f>
        <v>0</v>
      </c>
    </row>
    <row r="400">
      <c r="A400">
        <f>IF(OR(存条明细!C400="",存条明细!D400=""),"",IF(COUNTIFS(存条明细!$C$4:C400,存条明细!C400,存条明细!$D$4:D400,存条明细!D400)&gt;1,"",IFERROR(MATCH(存条明细!C400,总览汇总!$B$5:$B$304,0),900)*10000000+IFERROR(MATCH(存条明细!D400,基础资料!$E$5:$E$104,0),900)*10000+ROW()))</f>
      </c>
      <c r="B400">
        <f>IFERROR(MATCH(SMALL($A$4:$A$4003,397),$A$4:$A$4003,0),"")</f>
      </c>
      <c r="D400">
        <f>IF(AND(商品库存!B400&lt;&gt;"",商品库存!B400=客户查询!$B$4),COUNTIF(商品库存!$B$4:B400,客户查询!$B$4),"")</f>
      </c>
      <c r="E400">
        <f>IF(AND(商品库存!B400&lt;&gt;"",商品库存!B400=客户对账单!$B$4),COUNTIF(商品库存!$B$4:B400,客户对账单!$B$4),"")</f>
      </c>
      <c r="F400">
        <f>IF(AND(出库明细!C400&lt;&gt;"",出库明细!C400=客户对账单!$B$4,ISNUMBER(出库明细!B400),出库明细!B400&gt;=客户对账单!$G$4,出库明细!B400&lt;=客户对账单!$I$4),出库明细!B400+ROW()/100000,"")</f>
      </c>
      <c r="H400">
        <f>IF(AND(采购进货!C400&lt;&gt;"",采购进货!C400=供应商对账单!$B$4,ISNUMBER(采购进货!B400),采购进货!B400&gt;=供应商对账单!$G$4,采购进货!B400&lt;=供应商对账单!$I$4),采购进货!B400+ROW()/100000,"")</f>
      </c>
      <c r="N400">
        <f>IF(AND(ISNUMBER(出库明细!G400),ISNUMBER(出库明细!E400),ISNUMBER(出库明细!F400)),IF(ABS(出库明细!G400-出库明细!E400*出库明细!F400)&gt;0.005,1,0),0)</f>
        <v>0</v>
      </c>
      <c r="O400">
        <f>IF(AND(ISNUMBER(存条明细!G400),ISNUMBER(存条明细!E400),ISNUMBER(存条明细!F400)),IF(ABS(存条明细!G400-存条明细!E400*存条明细!F400)&gt;0.005,1,0),0)</f>
        <v>0</v>
      </c>
    </row>
    <row r="401">
      <c r="A401">
        <f>IF(OR(存条明细!C401="",存条明细!D401=""),"",IF(COUNTIFS(存条明细!$C$4:C401,存条明细!C401,存条明细!$D$4:D401,存条明细!D401)&gt;1,"",IFERROR(MATCH(存条明细!C401,总览汇总!$B$5:$B$304,0),900)*10000000+IFERROR(MATCH(存条明细!D401,基础资料!$E$5:$E$104,0),900)*10000+ROW()))</f>
      </c>
      <c r="B401">
        <f>IFERROR(MATCH(SMALL($A$4:$A$4003,398),$A$4:$A$4003,0),"")</f>
      </c>
      <c r="D401">
        <f>IF(AND(商品库存!B401&lt;&gt;"",商品库存!B401=客户查询!$B$4),COUNTIF(商品库存!$B$4:B401,客户查询!$B$4),"")</f>
      </c>
      <c r="E401">
        <f>IF(AND(商品库存!B401&lt;&gt;"",商品库存!B401=客户对账单!$B$4),COUNTIF(商品库存!$B$4:B401,客户对账单!$B$4),"")</f>
      </c>
      <c r="F401">
        <f>IF(AND(出库明细!C401&lt;&gt;"",出库明细!C401=客户对账单!$B$4,ISNUMBER(出库明细!B401),出库明细!B401&gt;=客户对账单!$G$4,出库明细!B401&lt;=客户对账单!$I$4),出库明细!B401+ROW()/100000,"")</f>
      </c>
      <c r="H401">
        <f>IF(AND(采购进货!C401&lt;&gt;"",采购进货!C401=供应商对账单!$B$4,ISNUMBER(采购进货!B401),采购进货!B401&gt;=供应商对账单!$G$4,采购进货!B401&lt;=供应商对账单!$I$4),采购进货!B401+ROW()/100000,"")</f>
      </c>
      <c r="N401">
        <f>IF(AND(ISNUMBER(出库明细!G401),ISNUMBER(出库明细!E401),ISNUMBER(出库明细!F401)),IF(ABS(出库明细!G401-出库明细!E401*出库明细!F401)&gt;0.005,1,0),0)</f>
        <v>0</v>
      </c>
      <c r="O401">
        <f>IF(AND(ISNUMBER(存条明细!G401),ISNUMBER(存条明细!E401),ISNUMBER(存条明细!F401)),IF(ABS(存条明细!G401-存条明细!E401*存条明细!F401)&gt;0.005,1,0),0)</f>
        <v>0</v>
      </c>
    </row>
    <row r="402">
      <c r="A402">
        <f>IF(OR(存条明细!C402="",存条明细!D402=""),"",IF(COUNTIFS(存条明细!$C$4:C402,存条明细!C402,存条明细!$D$4:D402,存条明细!D402)&gt;1,"",IFERROR(MATCH(存条明细!C402,总览汇总!$B$5:$B$304,0),900)*10000000+IFERROR(MATCH(存条明细!D402,基础资料!$E$5:$E$104,0),900)*10000+ROW()))</f>
      </c>
      <c r="B402">
        <f>IFERROR(MATCH(SMALL($A$4:$A$4003,399),$A$4:$A$4003,0),"")</f>
      </c>
      <c r="D402">
        <f>IF(AND(商品库存!B402&lt;&gt;"",商品库存!B402=客户查询!$B$4),COUNTIF(商品库存!$B$4:B402,客户查询!$B$4),"")</f>
      </c>
      <c r="E402">
        <f>IF(AND(商品库存!B402&lt;&gt;"",商品库存!B402=客户对账单!$B$4),COUNTIF(商品库存!$B$4:B402,客户对账单!$B$4),"")</f>
      </c>
      <c r="F402">
        <f>IF(AND(出库明细!C402&lt;&gt;"",出库明细!C402=客户对账单!$B$4,ISNUMBER(出库明细!B402),出库明细!B402&gt;=客户对账单!$G$4,出库明细!B402&lt;=客户对账单!$I$4),出库明细!B402+ROW()/100000,"")</f>
      </c>
      <c r="H402">
        <f>IF(AND(采购进货!C402&lt;&gt;"",采购进货!C402=供应商对账单!$B$4,ISNUMBER(采购进货!B402),采购进货!B402&gt;=供应商对账单!$G$4,采购进货!B402&lt;=供应商对账单!$I$4),采购进货!B402+ROW()/100000,"")</f>
      </c>
      <c r="N402">
        <f>IF(AND(ISNUMBER(出库明细!G402),ISNUMBER(出库明细!E402),ISNUMBER(出库明细!F402)),IF(ABS(出库明细!G402-出库明细!E402*出库明细!F402)&gt;0.005,1,0),0)</f>
        <v>0</v>
      </c>
      <c r="O402">
        <f>IF(AND(ISNUMBER(存条明细!G402),ISNUMBER(存条明细!E402),ISNUMBER(存条明细!F402)),IF(ABS(存条明细!G402-存条明细!E402*存条明细!F402)&gt;0.005,1,0),0)</f>
        <v>0</v>
      </c>
    </row>
    <row r="403">
      <c r="A403">
        <f>IF(OR(存条明细!C403="",存条明细!D403=""),"",IF(COUNTIFS(存条明细!$C$4:C403,存条明细!C403,存条明细!$D$4:D403,存条明细!D403)&gt;1,"",IFERROR(MATCH(存条明细!C403,总览汇总!$B$5:$B$304,0),900)*10000000+IFERROR(MATCH(存条明细!D403,基础资料!$E$5:$E$104,0),900)*10000+ROW()))</f>
      </c>
      <c r="B403">
        <f>IFERROR(MATCH(SMALL($A$4:$A$4003,400),$A$4:$A$4003,0),"")</f>
      </c>
      <c r="D403">
        <f>IF(AND(商品库存!B403&lt;&gt;"",商品库存!B403=客户查询!$B$4),COUNTIF(商品库存!$B$4:B403,客户查询!$B$4),"")</f>
      </c>
      <c r="E403">
        <f>IF(AND(商品库存!B403&lt;&gt;"",商品库存!B403=客户对账单!$B$4),COUNTIF(商品库存!$B$4:B403,客户对账单!$B$4),"")</f>
      </c>
      <c r="F403">
        <f>IF(AND(出库明细!C403&lt;&gt;"",出库明细!C403=客户对账单!$B$4,ISNUMBER(出库明细!B403),出库明细!B403&gt;=客户对账单!$G$4,出库明细!B403&lt;=客户对账单!$I$4),出库明细!B403+ROW()/100000,"")</f>
      </c>
      <c r="H403">
        <f>IF(AND(采购进货!C403&lt;&gt;"",采购进货!C403=供应商对账单!$B$4,ISNUMBER(采购进货!B403),采购进货!B403&gt;=供应商对账单!$G$4,采购进货!B403&lt;=供应商对账单!$I$4),采购进货!B403+ROW()/100000,"")</f>
      </c>
      <c r="N403">
        <f>IF(AND(ISNUMBER(出库明细!G403),ISNUMBER(出库明细!E403),ISNUMBER(出库明细!F403)),IF(ABS(出库明细!G403-出库明细!E403*出库明细!F403)&gt;0.005,1,0),0)</f>
        <v>0</v>
      </c>
      <c r="O403">
        <f>IF(AND(ISNUMBER(存条明细!G403),ISNUMBER(存条明细!E403),ISNUMBER(存条明细!F403)),IF(ABS(存条明细!G403-存条明细!E403*存条明细!F403)&gt;0.005,1,0),0)</f>
        <v>0</v>
      </c>
    </row>
    <row r="404">
      <c r="A404">
        <f>IF(OR(存条明细!C404="",存条明细!D404=""),"",IF(COUNTIFS(存条明细!$C$4:C404,存条明细!C404,存条明细!$D$4:D404,存条明细!D404)&gt;1,"",IFERROR(MATCH(存条明细!C404,总览汇总!$B$5:$B$304,0),900)*10000000+IFERROR(MATCH(存条明细!D404,基础资料!$E$5:$E$104,0),900)*10000+ROW()))</f>
      </c>
      <c r="B404">
        <f>IFERROR(MATCH(SMALL($A$4:$A$4003,401),$A$4:$A$4003,0),"")</f>
      </c>
      <c r="D404">
        <f>IF(AND(商品库存!B404&lt;&gt;"",商品库存!B404=客户查询!$B$4),COUNTIF(商品库存!$B$4:B404,客户查询!$B$4),"")</f>
      </c>
      <c r="E404">
        <f>IF(AND(商品库存!B404&lt;&gt;"",商品库存!B404=客户对账单!$B$4),COUNTIF(商品库存!$B$4:B404,客户对账单!$B$4),"")</f>
      </c>
      <c r="F404">
        <f>IF(AND(出库明细!C404&lt;&gt;"",出库明细!C404=客户对账单!$B$4,ISNUMBER(出库明细!B404),出库明细!B404&gt;=客户对账单!$G$4,出库明细!B404&lt;=客户对账单!$I$4),出库明细!B404+ROW()/100000,"")</f>
      </c>
      <c r="H404">
        <f>IF(AND(采购进货!C404&lt;&gt;"",采购进货!C404=供应商对账单!$B$4,ISNUMBER(采购进货!B404),采购进货!B404&gt;=供应商对账单!$G$4,采购进货!B404&lt;=供应商对账单!$I$4),采购进货!B404+ROW()/100000,"")</f>
      </c>
      <c r="N404">
        <f>IF(AND(ISNUMBER(出库明细!G404),ISNUMBER(出库明细!E404),ISNUMBER(出库明细!F404)),IF(ABS(出库明细!G404-出库明细!E404*出库明细!F404)&gt;0.005,1,0),0)</f>
        <v>0</v>
      </c>
      <c r="O404">
        <f>IF(AND(ISNUMBER(存条明细!G404),ISNUMBER(存条明细!E404),ISNUMBER(存条明细!F404)),IF(ABS(存条明细!G404-存条明细!E404*存条明细!F404)&gt;0.005,1,0),0)</f>
        <v>0</v>
      </c>
    </row>
    <row r="405">
      <c r="A405">
        <f>IF(OR(存条明细!C405="",存条明细!D405=""),"",IF(COUNTIFS(存条明细!$C$4:C405,存条明细!C405,存条明细!$D$4:D405,存条明细!D405)&gt;1,"",IFERROR(MATCH(存条明细!C405,总览汇总!$B$5:$B$304,0),900)*10000000+IFERROR(MATCH(存条明细!D405,基础资料!$E$5:$E$104,0),900)*10000+ROW()))</f>
      </c>
      <c r="B405">
        <f>IFERROR(MATCH(SMALL($A$4:$A$4003,402),$A$4:$A$4003,0),"")</f>
      </c>
      <c r="D405">
        <f>IF(AND(商品库存!B405&lt;&gt;"",商品库存!B405=客户查询!$B$4),COUNTIF(商品库存!$B$4:B405,客户查询!$B$4),"")</f>
      </c>
      <c r="E405">
        <f>IF(AND(商品库存!B405&lt;&gt;"",商品库存!B405=客户对账单!$B$4),COUNTIF(商品库存!$B$4:B405,客户对账单!$B$4),"")</f>
      </c>
      <c r="F405">
        <f>IF(AND(出库明细!C405&lt;&gt;"",出库明细!C405=客户对账单!$B$4,ISNUMBER(出库明细!B405),出库明细!B405&gt;=客户对账单!$G$4,出库明细!B405&lt;=客户对账单!$I$4),出库明细!B405+ROW()/100000,"")</f>
      </c>
      <c r="H405">
        <f>IF(AND(采购进货!C405&lt;&gt;"",采购进货!C405=供应商对账单!$B$4,ISNUMBER(采购进货!B405),采购进货!B405&gt;=供应商对账单!$G$4,采购进货!B405&lt;=供应商对账单!$I$4),采购进货!B405+ROW()/100000,"")</f>
      </c>
      <c r="N405">
        <f>IF(AND(ISNUMBER(出库明细!G405),ISNUMBER(出库明细!E405),ISNUMBER(出库明细!F405)),IF(ABS(出库明细!G405-出库明细!E405*出库明细!F405)&gt;0.005,1,0),0)</f>
        <v>0</v>
      </c>
      <c r="O405">
        <f>IF(AND(ISNUMBER(存条明细!G405),ISNUMBER(存条明细!E405),ISNUMBER(存条明细!F405)),IF(ABS(存条明细!G405-存条明细!E405*存条明细!F405)&gt;0.005,1,0),0)</f>
        <v>0</v>
      </c>
    </row>
    <row r="406">
      <c r="A406">
        <f>IF(OR(存条明细!C406="",存条明细!D406=""),"",IF(COUNTIFS(存条明细!$C$4:C406,存条明细!C406,存条明细!$D$4:D406,存条明细!D406)&gt;1,"",IFERROR(MATCH(存条明细!C406,总览汇总!$B$5:$B$304,0),900)*10000000+IFERROR(MATCH(存条明细!D406,基础资料!$E$5:$E$104,0),900)*10000+ROW()))</f>
      </c>
      <c r="B406">
        <f>IFERROR(MATCH(SMALL($A$4:$A$4003,403),$A$4:$A$4003,0),"")</f>
      </c>
      <c r="D406">
        <f>IF(AND(商品库存!B406&lt;&gt;"",商品库存!B406=客户查询!$B$4),COUNTIF(商品库存!$B$4:B406,客户查询!$B$4),"")</f>
      </c>
      <c r="E406">
        <f>IF(AND(商品库存!B406&lt;&gt;"",商品库存!B406=客户对账单!$B$4),COUNTIF(商品库存!$B$4:B406,客户对账单!$B$4),"")</f>
      </c>
      <c r="F406">
        <f>IF(AND(出库明细!C406&lt;&gt;"",出库明细!C406=客户对账单!$B$4,ISNUMBER(出库明细!B406),出库明细!B406&gt;=客户对账单!$G$4,出库明细!B406&lt;=客户对账单!$I$4),出库明细!B406+ROW()/100000,"")</f>
      </c>
      <c r="H406">
        <f>IF(AND(采购进货!C406&lt;&gt;"",采购进货!C406=供应商对账单!$B$4,ISNUMBER(采购进货!B406),采购进货!B406&gt;=供应商对账单!$G$4,采购进货!B406&lt;=供应商对账单!$I$4),采购进货!B406+ROW()/100000,"")</f>
      </c>
      <c r="N406">
        <f>IF(AND(ISNUMBER(出库明细!G406),ISNUMBER(出库明细!E406),ISNUMBER(出库明细!F406)),IF(ABS(出库明细!G406-出库明细!E406*出库明细!F406)&gt;0.005,1,0),0)</f>
        <v>0</v>
      </c>
      <c r="O406">
        <f>IF(AND(ISNUMBER(存条明细!G406),ISNUMBER(存条明细!E406),ISNUMBER(存条明细!F406)),IF(ABS(存条明细!G406-存条明细!E406*存条明细!F406)&gt;0.005,1,0),0)</f>
        <v>0</v>
      </c>
    </row>
    <row r="407">
      <c r="A407">
        <f>IF(OR(存条明细!C407="",存条明细!D407=""),"",IF(COUNTIFS(存条明细!$C$4:C407,存条明细!C407,存条明细!$D$4:D407,存条明细!D407)&gt;1,"",IFERROR(MATCH(存条明细!C407,总览汇总!$B$5:$B$304,0),900)*10000000+IFERROR(MATCH(存条明细!D407,基础资料!$E$5:$E$104,0),900)*10000+ROW()))</f>
      </c>
      <c r="B407">
        <f>IFERROR(MATCH(SMALL($A$4:$A$4003,404),$A$4:$A$4003,0),"")</f>
      </c>
      <c r="D407">
        <f>IF(AND(商品库存!B407&lt;&gt;"",商品库存!B407=客户查询!$B$4),COUNTIF(商品库存!$B$4:B407,客户查询!$B$4),"")</f>
      </c>
      <c r="E407">
        <f>IF(AND(商品库存!B407&lt;&gt;"",商品库存!B407=客户对账单!$B$4),COUNTIF(商品库存!$B$4:B407,客户对账单!$B$4),"")</f>
      </c>
      <c r="F407">
        <f>IF(AND(出库明细!C407&lt;&gt;"",出库明细!C407=客户对账单!$B$4,ISNUMBER(出库明细!B407),出库明细!B407&gt;=客户对账单!$G$4,出库明细!B407&lt;=客户对账单!$I$4),出库明细!B407+ROW()/100000,"")</f>
      </c>
      <c r="H407">
        <f>IF(AND(采购进货!C407&lt;&gt;"",采购进货!C407=供应商对账单!$B$4,ISNUMBER(采购进货!B407),采购进货!B407&gt;=供应商对账单!$G$4,采购进货!B407&lt;=供应商对账单!$I$4),采购进货!B407+ROW()/100000,"")</f>
      </c>
      <c r="N407">
        <f>IF(AND(ISNUMBER(出库明细!G407),ISNUMBER(出库明细!E407),ISNUMBER(出库明细!F407)),IF(ABS(出库明细!G407-出库明细!E407*出库明细!F407)&gt;0.005,1,0),0)</f>
        <v>0</v>
      </c>
      <c r="O407">
        <f>IF(AND(ISNUMBER(存条明细!G407),ISNUMBER(存条明细!E407),ISNUMBER(存条明细!F407)),IF(ABS(存条明细!G407-存条明细!E407*存条明细!F407)&gt;0.005,1,0),0)</f>
        <v>0</v>
      </c>
    </row>
    <row r="408">
      <c r="A408">
        <f>IF(OR(存条明细!C408="",存条明细!D408=""),"",IF(COUNTIFS(存条明细!$C$4:C408,存条明细!C408,存条明细!$D$4:D408,存条明细!D408)&gt;1,"",IFERROR(MATCH(存条明细!C408,总览汇总!$B$5:$B$304,0),900)*10000000+IFERROR(MATCH(存条明细!D408,基础资料!$E$5:$E$104,0),900)*10000+ROW()))</f>
      </c>
      <c r="B408">
        <f>IFERROR(MATCH(SMALL($A$4:$A$4003,405),$A$4:$A$4003,0),"")</f>
      </c>
      <c r="D408">
        <f>IF(AND(商品库存!B408&lt;&gt;"",商品库存!B408=客户查询!$B$4),COUNTIF(商品库存!$B$4:B408,客户查询!$B$4),"")</f>
      </c>
      <c r="E408">
        <f>IF(AND(商品库存!B408&lt;&gt;"",商品库存!B408=客户对账单!$B$4),COUNTIF(商品库存!$B$4:B408,客户对账单!$B$4),"")</f>
      </c>
      <c r="F408">
        <f>IF(AND(出库明细!C408&lt;&gt;"",出库明细!C408=客户对账单!$B$4,ISNUMBER(出库明细!B408),出库明细!B408&gt;=客户对账单!$G$4,出库明细!B408&lt;=客户对账单!$I$4),出库明细!B408+ROW()/100000,"")</f>
      </c>
      <c r="H408">
        <f>IF(AND(采购进货!C408&lt;&gt;"",采购进货!C408=供应商对账单!$B$4,ISNUMBER(采购进货!B408),采购进货!B408&gt;=供应商对账单!$G$4,采购进货!B408&lt;=供应商对账单!$I$4),采购进货!B408+ROW()/100000,"")</f>
      </c>
      <c r="N408">
        <f>IF(AND(ISNUMBER(出库明细!G408),ISNUMBER(出库明细!E408),ISNUMBER(出库明细!F408)),IF(ABS(出库明细!G408-出库明细!E408*出库明细!F408)&gt;0.005,1,0),0)</f>
        <v>0</v>
      </c>
      <c r="O408">
        <f>IF(AND(ISNUMBER(存条明细!G408),ISNUMBER(存条明细!E408),ISNUMBER(存条明细!F408)),IF(ABS(存条明细!G408-存条明细!E408*存条明细!F408)&gt;0.005,1,0),0)</f>
        <v>0</v>
      </c>
    </row>
    <row r="409">
      <c r="A409">
        <f>IF(OR(存条明细!C409="",存条明细!D409=""),"",IF(COUNTIFS(存条明细!$C$4:C409,存条明细!C409,存条明细!$D$4:D409,存条明细!D409)&gt;1,"",IFERROR(MATCH(存条明细!C409,总览汇总!$B$5:$B$304,0),900)*10000000+IFERROR(MATCH(存条明细!D409,基础资料!$E$5:$E$104,0),900)*10000+ROW()))</f>
      </c>
      <c r="B409">
        <f>IFERROR(MATCH(SMALL($A$4:$A$4003,406),$A$4:$A$4003,0),"")</f>
      </c>
      <c r="D409">
        <f>IF(AND(商品库存!B409&lt;&gt;"",商品库存!B409=客户查询!$B$4),COUNTIF(商品库存!$B$4:B409,客户查询!$B$4),"")</f>
      </c>
      <c r="E409">
        <f>IF(AND(商品库存!B409&lt;&gt;"",商品库存!B409=客户对账单!$B$4),COUNTIF(商品库存!$B$4:B409,客户对账单!$B$4),"")</f>
      </c>
      <c r="F409">
        <f>IF(AND(出库明细!C409&lt;&gt;"",出库明细!C409=客户对账单!$B$4,ISNUMBER(出库明细!B409),出库明细!B409&gt;=客户对账单!$G$4,出库明细!B409&lt;=客户对账单!$I$4),出库明细!B409+ROW()/100000,"")</f>
      </c>
      <c r="H409">
        <f>IF(AND(采购进货!C409&lt;&gt;"",采购进货!C409=供应商对账单!$B$4,ISNUMBER(采购进货!B409),采购进货!B409&gt;=供应商对账单!$G$4,采购进货!B409&lt;=供应商对账单!$I$4),采购进货!B409+ROW()/100000,"")</f>
      </c>
      <c r="N409">
        <f>IF(AND(ISNUMBER(出库明细!G409),ISNUMBER(出库明细!E409),ISNUMBER(出库明细!F409)),IF(ABS(出库明细!G409-出库明细!E409*出库明细!F409)&gt;0.005,1,0),0)</f>
        <v>0</v>
      </c>
      <c r="O409">
        <f>IF(AND(ISNUMBER(存条明细!G409),ISNUMBER(存条明细!E409),ISNUMBER(存条明细!F409)),IF(ABS(存条明细!G409-存条明细!E409*存条明细!F409)&gt;0.005,1,0),0)</f>
        <v>0</v>
      </c>
    </row>
    <row r="410">
      <c r="A410">
        <f>IF(OR(存条明细!C410="",存条明细!D410=""),"",IF(COUNTIFS(存条明细!$C$4:C410,存条明细!C410,存条明细!$D$4:D410,存条明细!D410)&gt;1,"",IFERROR(MATCH(存条明细!C410,总览汇总!$B$5:$B$304,0),900)*10000000+IFERROR(MATCH(存条明细!D410,基础资料!$E$5:$E$104,0),900)*10000+ROW()))</f>
      </c>
      <c r="B410">
        <f>IFERROR(MATCH(SMALL($A$4:$A$4003,407),$A$4:$A$4003,0),"")</f>
      </c>
      <c r="D410">
        <f>IF(AND(商品库存!B410&lt;&gt;"",商品库存!B410=客户查询!$B$4),COUNTIF(商品库存!$B$4:B410,客户查询!$B$4),"")</f>
      </c>
      <c r="E410">
        <f>IF(AND(商品库存!B410&lt;&gt;"",商品库存!B410=客户对账单!$B$4),COUNTIF(商品库存!$B$4:B410,客户对账单!$B$4),"")</f>
      </c>
      <c r="F410">
        <f>IF(AND(出库明细!C410&lt;&gt;"",出库明细!C410=客户对账单!$B$4,ISNUMBER(出库明细!B410),出库明细!B410&gt;=客户对账单!$G$4,出库明细!B410&lt;=客户对账单!$I$4),出库明细!B410+ROW()/100000,"")</f>
      </c>
      <c r="H410">
        <f>IF(AND(采购进货!C410&lt;&gt;"",采购进货!C410=供应商对账单!$B$4,ISNUMBER(采购进货!B410),采购进货!B410&gt;=供应商对账单!$G$4,采购进货!B410&lt;=供应商对账单!$I$4),采购进货!B410+ROW()/100000,"")</f>
      </c>
      <c r="N410">
        <f>IF(AND(ISNUMBER(出库明细!G410),ISNUMBER(出库明细!E410),ISNUMBER(出库明细!F410)),IF(ABS(出库明细!G410-出库明细!E410*出库明细!F410)&gt;0.005,1,0),0)</f>
        <v>0</v>
      </c>
      <c r="O410">
        <f>IF(AND(ISNUMBER(存条明细!G410),ISNUMBER(存条明细!E410),ISNUMBER(存条明细!F410)),IF(ABS(存条明细!G410-存条明细!E410*存条明细!F410)&gt;0.005,1,0),0)</f>
        <v>0</v>
      </c>
    </row>
    <row r="411">
      <c r="A411">
        <f>IF(OR(存条明细!C411="",存条明细!D411=""),"",IF(COUNTIFS(存条明细!$C$4:C411,存条明细!C411,存条明细!$D$4:D411,存条明细!D411)&gt;1,"",IFERROR(MATCH(存条明细!C411,总览汇总!$B$5:$B$304,0),900)*10000000+IFERROR(MATCH(存条明细!D411,基础资料!$E$5:$E$104,0),900)*10000+ROW()))</f>
      </c>
      <c r="B411">
        <f>IFERROR(MATCH(SMALL($A$4:$A$4003,408),$A$4:$A$4003,0),"")</f>
      </c>
      <c r="D411">
        <f>IF(AND(商品库存!B411&lt;&gt;"",商品库存!B411=客户查询!$B$4),COUNTIF(商品库存!$B$4:B411,客户查询!$B$4),"")</f>
      </c>
      <c r="E411">
        <f>IF(AND(商品库存!B411&lt;&gt;"",商品库存!B411=客户对账单!$B$4),COUNTIF(商品库存!$B$4:B411,客户对账单!$B$4),"")</f>
      </c>
      <c r="F411">
        <f>IF(AND(出库明细!C411&lt;&gt;"",出库明细!C411=客户对账单!$B$4,ISNUMBER(出库明细!B411),出库明细!B411&gt;=客户对账单!$G$4,出库明细!B411&lt;=客户对账单!$I$4),出库明细!B411+ROW()/100000,"")</f>
      </c>
      <c r="H411">
        <f>IF(AND(采购进货!C411&lt;&gt;"",采购进货!C411=供应商对账单!$B$4,ISNUMBER(采购进货!B411),采购进货!B411&gt;=供应商对账单!$G$4,采购进货!B411&lt;=供应商对账单!$I$4),采购进货!B411+ROW()/100000,"")</f>
      </c>
      <c r="N411">
        <f>IF(AND(ISNUMBER(出库明细!G411),ISNUMBER(出库明细!E411),ISNUMBER(出库明细!F411)),IF(ABS(出库明细!G411-出库明细!E411*出库明细!F411)&gt;0.005,1,0),0)</f>
        <v>0</v>
      </c>
      <c r="O411">
        <f>IF(AND(ISNUMBER(存条明细!G411),ISNUMBER(存条明细!E411),ISNUMBER(存条明细!F411)),IF(ABS(存条明细!G411-存条明细!E411*存条明细!F411)&gt;0.005,1,0),0)</f>
        <v>0</v>
      </c>
    </row>
    <row r="412">
      <c r="A412">
        <f>IF(OR(存条明细!C412="",存条明细!D412=""),"",IF(COUNTIFS(存条明细!$C$4:C412,存条明细!C412,存条明细!$D$4:D412,存条明细!D412)&gt;1,"",IFERROR(MATCH(存条明细!C412,总览汇总!$B$5:$B$304,0),900)*10000000+IFERROR(MATCH(存条明细!D412,基础资料!$E$5:$E$104,0),900)*10000+ROW()))</f>
      </c>
      <c r="B412">
        <f>IFERROR(MATCH(SMALL($A$4:$A$4003,409),$A$4:$A$4003,0),"")</f>
      </c>
      <c r="D412">
        <f>IF(AND(商品库存!B412&lt;&gt;"",商品库存!B412=客户查询!$B$4),COUNTIF(商品库存!$B$4:B412,客户查询!$B$4),"")</f>
      </c>
      <c r="E412">
        <f>IF(AND(商品库存!B412&lt;&gt;"",商品库存!B412=客户对账单!$B$4),COUNTIF(商品库存!$B$4:B412,客户对账单!$B$4),"")</f>
      </c>
      <c r="F412">
        <f>IF(AND(出库明细!C412&lt;&gt;"",出库明细!C412=客户对账单!$B$4,ISNUMBER(出库明细!B412),出库明细!B412&gt;=客户对账单!$G$4,出库明细!B412&lt;=客户对账单!$I$4),出库明细!B412+ROW()/100000,"")</f>
      </c>
      <c r="H412">
        <f>IF(AND(采购进货!C412&lt;&gt;"",采购进货!C412=供应商对账单!$B$4,ISNUMBER(采购进货!B412),采购进货!B412&gt;=供应商对账单!$G$4,采购进货!B412&lt;=供应商对账单!$I$4),采购进货!B412+ROW()/100000,"")</f>
      </c>
      <c r="N412">
        <f>IF(AND(ISNUMBER(出库明细!G412),ISNUMBER(出库明细!E412),ISNUMBER(出库明细!F412)),IF(ABS(出库明细!G412-出库明细!E412*出库明细!F412)&gt;0.005,1,0),0)</f>
        <v>0</v>
      </c>
      <c r="O412">
        <f>IF(AND(ISNUMBER(存条明细!G412),ISNUMBER(存条明细!E412),ISNUMBER(存条明细!F412)),IF(ABS(存条明细!G412-存条明细!E412*存条明细!F412)&gt;0.005,1,0),0)</f>
        <v>0</v>
      </c>
    </row>
    <row r="413">
      <c r="A413">
        <f>IF(OR(存条明细!C413="",存条明细!D413=""),"",IF(COUNTIFS(存条明细!$C$4:C413,存条明细!C413,存条明细!$D$4:D413,存条明细!D413)&gt;1,"",IFERROR(MATCH(存条明细!C413,总览汇总!$B$5:$B$304,0),900)*10000000+IFERROR(MATCH(存条明细!D413,基础资料!$E$5:$E$104,0),900)*10000+ROW()))</f>
      </c>
      <c r="B413">
        <f>IFERROR(MATCH(SMALL($A$4:$A$4003,410),$A$4:$A$4003,0),"")</f>
      </c>
      <c r="D413">
        <f>IF(AND(商品库存!B413&lt;&gt;"",商品库存!B413=客户查询!$B$4),COUNTIF(商品库存!$B$4:B413,客户查询!$B$4),"")</f>
      </c>
      <c r="E413">
        <f>IF(AND(商品库存!B413&lt;&gt;"",商品库存!B413=客户对账单!$B$4),COUNTIF(商品库存!$B$4:B413,客户对账单!$B$4),"")</f>
      </c>
      <c r="F413">
        <f>IF(AND(出库明细!C413&lt;&gt;"",出库明细!C413=客户对账单!$B$4,ISNUMBER(出库明细!B413),出库明细!B413&gt;=客户对账单!$G$4,出库明细!B413&lt;=客户对账单!$I$4),出库明细!B413+ROW()/100000,"")</f>
      </c>
      <c r="H413">
        <f>IF(AND(采购进货!C413&lt;&gt;"",采购进货!C413=供应商对账单!$B$4,ISNUMBER(采购进货!B413),采购进货!B413&gt;=供应商对账单!$G$4,采购进货!B413&lt;=供应商对账单!$I$4),采购进货!B413+ROW()/100000,"")</f>
      </c>
      <c r="N413">
        <f>IF(AND(ISNUMBER(出库明细!G413),ISNUMBER(出库明细!E413),ISNUMBER(出库明细!F413)),IF(ABS(出库明细!G413-出库明细!E413*出库明细!F413)&gt;0.005,1,0),0)</f>
        <v>0</v>
      </c>
      <c r="O413">
        <f>IF(AND(ISNUMBER(存条明细!G413),ISNUMBER(存条明细!E413),ISNUMBER(存条明细!F413)),IF(ABS(存条明细!G413-存条明细!E413*存条明细!F413)&gt;0.005,1,0),0)</f>
        <v>0</v>
      </c>
    </row>
    <row r="414">
      <c r="A414">
        <f>IF(OR(存条明细!C414="",存条明细!D414=""),"",IF(COUNTIFS(存条明细!$C$4:C414,存条明细!C414,存条明细!$D$4:D414,存条明细!D414)&gt;1,"",IFERROR(MATCH(存条明细!C414,总览汇总!$B$5:$B$304,0),900)*10000000+IFERROR(MATCH(存条明细!D414,基础资料!$E$5:$E$104,0),900)*10000+ROW()))</f>
      </c>
      <c r="B414">
        <f>IFERROR(MATCH(SMALL($A$4:$A$4003,411),$A$4:$A$4003,0),"")</f>
      </c>
      <c r="D414">
        <f>IF(AND(商品库存!B414&lt;&gt;"",商品库存!B414=客户查询!$B$4),COUNTIF(商品库存!$B$4:B414,客户查询!$B$4),"")</f>
      </c>
      <c r="E414">
        <f>IF(AND(商品库存!B414&lt;&gt;"",商品库存!B414=客户对账单!$B$4),COUNTIF(商品库存!$B$4:B414,客户对账单!$B$4),"")</f>
      </c>
      <c r="F414">
        <f>IF(AND(出库明细!C414&lt;&gt;"",出库明细!C414=客户对账单!$B$4,ISNUMBER(出库明细!B414),出库明细!B414&gt;=客户对账单!$G$4,出库明细!B414&lt;=客户对账单!$I$4),出库明细!B414+ROW()/100000,"")</f>
      </c>
      <c r="H414">
        <f>IF(AND(采购进货!C414&lt;&gt;"",采购进货!C414=供应商对账单!$B$4,ISNUMBER(采购进货!B414),采购进货!B414&gt;=供应商对账单!$G$4,采购进货!B414&lt;=供应商对账单!$I$4),采购进货!B414+ROW()/100000,"")</f>
      </c>
      <c r="N414">
        <f>IF(AND(ISNUMBER(出库明细!G414),ISNUMBER(出库明细!E414),ISNUMBER(出库明细!F414)),IF(ABS(出库明细!G414-出库明细!E414*出库明细!F414)&gt;0.005,1,0),0)</f>
        <v>0</v>
      </c>
      <c r="O414">
        <f>IF(AND(ISNUMBER(存条明细!G414),ISNUMBER(存条明细!E414),ISNUMBER(存条明细!F414)),IF(ABS(存条明细!G414-存条明细!E414*存条明细!F414)&gt;0.005,1,0),0)</f>
        <v>0</v>
      </c>
    </row>
    <row r="415">
      <c r="A415">
        <f>IF(OR(存条明细!C415="",存条明细!D415=""),"",IF(COUNTIFS(存条明细!$C$4:C415,存条明细!C415,存条明细!$D$4:D415,存条明细!D415)&gt;1,"",IFERROR(MATCH(存条明细!C415,总览汇总!$B$5:$B$304,0),900)*10000000+IFERROR(MATCH(存条明细!D415,基础资料!$E$5:$E$104,0),900)*10000+ROW()))</f>
      </c>
      <c r="B415">
        <f>IFERROR(MATCH(SMALL($A$4:$A$4003,412),$A$4:$A$4003,0),"")</f>
      </c>
      <c r="D415">
        <f>IF(AND(商品库存!B415&lt;&gt;"",商品库存!B415=客户查询!$B$4),COUNTIF(商品库存!$B$4:B415,客户查询!$B$4),"")</f>
      </c>
      <c r="E415">
        <f>IF(AND(商品库存!B415&lt;&gt;"",商品库存!B415=客户对账单!$B$4),COUNTIF(商品库存!$B$4:B415,客户对账单!$B$4),"")</f>
      </c>
      <c r="F415">
        <f>IF(AND(出库明细!C415&lt;&gt;"",出库明细!C415=客户对账单!$B$4,ISNUMBER(出库明细!B415),出库明细!B415&gt;=客户对账单!$G$4,出库明细!B415&lt;=客户对账单!$I$4),出库明细!B415+ROW()/100000,"")</f>
      </c>
      <c r="H415">
        <f>IF(AND(采购进货!C415&lt;&gt;"",采购进货!C415=供应商对账单!$B$4,ISNUMBER(采购进货!B415),采购进货!B415&gt;=供应商对账单!$G$4,采购进货!B415&lt;=供应商对账单!$I$4),采购进货!B415+ROW()/100000,"")</f>
      </c>
      <c r="N415">
        <f>IF(AND(ISNUMBER(出库明细!G415),ISNUMBER(出库明细!E415),ISNUMBER(出库明细!F415)),IF(ABS(出库明细!G415-出库明细!E415*出库明细!F415)&gt;0.005,1,0),0)</f>
        <v>0</v>
      </c>
      <c r="O415">
        <f>IF(AND(ISNUMBER(存条明细!G415),ISNUMBER(存条明细!E415),ISNUMBER(存条明细!F415)),IF(ABS(存条明细!G415-存条明细!E415*存条明细!F415)&gt;0.005,1,0),0)</f>
        <v>0</v>
      </c>
    </row>
    <row r="416">
      <c r="A416">
        <f>IF(OR(存条明细!C416="",存条明细!D416=""),"",IF(COUNTIFS(存条明细!$C$4:C416,存条明细!C416,存条明细!$D$4:D416,存条明细!D416)&gt;1,"",IFERROR(MATCH(存条明细!C416,总览汇总!$B$5:$B$304,0),900)*10000000+IFERROR(MATCH(存条明细!D416,基础资料!$E$5:$E$104,0),900)*10000+ROW()))</f>
      </c>
      <c r="B416">
        <f>IFERROR(MATCH(SMALL($A$4:$A$4003,413),$A$4:$A$4003,0),"")</f>
      </c>
      <c r="D416">
        <f>IF(AND(商品库存!B416&lt;&gt;"",商品库存!B416=客户查询!$B$4),COUNTIF(商品库存!$B$4:B416,客户查询!$B$4),"")</f>
      </c>
      <c r="E416">
        <f>IF(AND(商品库存!B416&lt;&gt;"",商品库存!B416=客户对账单!$B$4),COUNTIF(商品库存!$B$4:B416,客户对账单!$B$4),"")</f>
      </c>
      <c r="F416">
        <f>IF(AND(出库明细!C416&lt;&gt;"",出库明细!C416=客户对账单!$B$4,ISNUMBER(出库明细!B416),出库明细!B416&gt;=客户对账单!$G$4,出库明细!B416&lt;=客户对账单!$I$4),出库明细!B416+ROW()/100000,"")</f>
      </c>
      <c r="H416">
        <f>IF(AND(采购进货!C416&lt;&gt;"",采购进货!C416=供应商对账单!$B$4,ISNUMBER(采购进货!B416),采购进货!B416&gt;=供应商对账单!$G$4,采购进货!B416&lt;=供应商对账单!$I$4),采购进货!B416+ROW()/100000,"")</f>
      </c>
      <c r="N416">
        <f>IF(AND(ISNUMBER(出库明细!G416),ISNUMBER(出库明细!E416),ISNUMBER(出库明细!F416)),IF(ABS(出库明细!G416-出库明细!E416*出库明细!F416)&gt;0.005,1,0),0)</f>
        <v>0</v>
      </c>
      <c r="O416">
        <f>IF(AND(ISNUMBER(存条明细!G416),ISNUMBER(存条明细!E416),ISNUMBER(存条明细!F416)),IF(ABS(存条明细!G416-存条明细!E416*存条明细!F416)&gt;0.005,1,0),0)</f>
        <v>0</v>
      </c>
    </row>
    <row r="417">
      <c r="A417">
        <f>IF(OR(存条明细!C417="",存条明细!D417=""),"",IF(COUNTIFS(存条明细!$C$4:C417,存条明细!C417,存条明细!$D$4:D417,存条明细!D417)&gt;1,"",IFERROR(MATCH(存条明细!C417,总览汇总!$B$5:$B$304,0),900)*10000000+IFERROR(MATCH(存条明细!D417,基础资料!$E$5:$E$104,0),900)*10000+ROW()))</f>
      </c>
      <c r="B417">
        <f>IFERROR(MATCH(SMALL($A$4:$A$4003,414),$A$4:$A$4003,0),"")</f>
      </c>
      <c r="D417">
        <f>IF(AND(商品库存!B417&lt;&gt;"",商品库存!B417=客户查询!$B$4),COUNTIF(商品库存!$B$4:B417,客户查询!$B$4),"")</f>
      </c>
      <c r="E417">
        <f>IF(AND(商品库存!B417&lt;&gt;"",商品库存!B417=客户对账单!$B$4),COUNTIF(商品库存!$B$4:B417,客户对账单!$B$4),"")</f>
      </c>
      <c r="F417">
        <f>IF(AND(出库明细!C417&lt;&gt;"",出库明细!C417=客户对账单!$B$4,ISNUMBER(出库明细!B417),出库明细!B417&gt;=客户对账单!$G$4,出库明细!B417&lt;=客户对账单!$I$4),出库明细!B417+ROW()/100000,"")</f>
      </c>
      <c r="H417">
        <f>IF(AND(采购进货!C417&lt;&gt;"",采购进货!C417=供应商对账单!$B$4,ISNUMBER(采购进货!B417),采购进货!B417&gt;=供应商对账单!$G$4,采购进货!B417&lt;=供应商对账单!$I$4),采购进货!B417+ROW()/100000,"")</f>
      </c>
      <c r="N417">
        <f>IF(AND(ISNUMBER(出库明细!G417),ISNUMBER(出库明细!E417),ISNUMBER(出库明细!F417)),IF(ABS(出库明细!G417-出库明细!E417*出库明细!F417)&gt;0.005,1,0),0)</f>
        <v>0</v>
      </c>
      <c r="O417">
        <f>IF(AND(ISNUMBER(存条明细!G417),ISNUMBER(存条明细!E417),ISNUMBER(存条明细!F417)),IF(ABS(存条明细!G417-存条明细!E417*存条明细!F417)&gt;0.005,1,0),0)</f>
        <v>0</v>
      </c>
    </row>
    <row r="418">
      <c r="A418">
        <f>IF(OR(存条明细!C418="",存条明细!D418=""),"",IF(COUNTIFS(存条明细!$C$4:C418,存条明细!C418,存条明细!$D$4:D418,存条明细!D418)&gt;1,"",IFERROR(MATCH(存条明细!C418,总览汇总!$B$5:$B$304,0),900)*10000000+IFERROR(MATCH(存条明细!D418,基础资料!$E$5:$E$104,0),900)*10000+ROW()))</f>
      </c>
      <c r="B418">
        <f>IFERROR(MATCH(SMALL($A$4:$A$4003,415),$A$4:$A$4003,0),"")</f>
      </c>
      <c r="D418">
        <f>IF(AND(商品库存!B418&lt;&gt;"",商品库存!B418=客户查询!$B$4),COUNTIF(商品库存!$B$4:B418,客户查询!$B$4),"")</f>
      </c>
      <c r="E418">
        <f>IF(AND(商品库存!B418&lt;&gt;"",商品库存!B418=客户对账单!$B$4),COUNTIF(商品库存!$B$4:B418,客户对账单!$B$4),"")</f>
      </c>
      <c r="F418">
        <f>IF(AND(出库明细!C418&lt;&gt;"",出库明细!C418=客户对账单!$B$4,ISNUMBER(出库明细!B418),出库明细!B418&gt;=客户对账单!$G$4,出库明细!B418&lt;=客户对账单!$I$4),出库明细!B418+ROW()/100000,"")</f>
      </c>
      <c r="H418">
        <f>IF(AND(采购进货!C418&lt;&gt;"",采购进货!C418=供应商对账单!$B$4,ISNUMBER(采购进货!B418),采购进货!B418&gt;=供应商对账单!$G$4,采购进货!B418&lt;=供应商对账单!$I$4),采购进货!B418+ROW()/100000,"")</f>
      </c>
      <c r="N418">
        <f>IF(AND(ISNUMBER(出库明细!G418),ISNUMBER(出库明细!E418),ISNUMBER(出库明细!F418)),IF(ABS(出库明细!G418-出库明细!E418*出库明细!F418)&gt;0.005,1,0),0)</f>
        <v>0</v>
      </c>
      <c r="O418">
        <f>IF(AND(ISNUMBER(存条明细!G418),ISNUMBER(存条明细!E418),ISNUMBER(存条明细!F418)),IF(ABS(存条明细!G418-存条明细!E418*存条明细!F418)&gt;0.005,1,0),0)</f>
        <v>0</v>
      </c>
    </row>
    <row r="419">
      <c r="A419">
        <f>IF(OR(存条明细!C419="",存条明细!D419=""),"",IF(COUNTIFS(存条明细!$C$4:C419,存条明细!C419,存条明细!$D$4:D419,存条明细!D419)&gt;1,"",IFERROR(MATCH(存条明细!C419,总览汇总!$B$5:$B$304,0),900)*10000000+IFERROR(MATCH(存条明细!D419,基础资料!$E$5:$E$104,0),900)*10000+ROW()))</f>
      </c>
      <c r="B419">
        <f>IFERROR(MATCH(SMALL($A$4:$A$4003,416),$A$4:$A$4003,0),"")</f>
      </c>
      <c r="D419">
        <f>IF(AND(商品库存!B419&lt;&gt;"",商品库存!B419=客户查询!$B$4),COUNTIF(商品库存!$B$4:B419,客户查询!$B$4),"")</f>
      </c>
      <c r="E419">
        <f>IF(AND(商品库存!B419&lt;&gt;"",商品库存!B419=客户对账单!$B$4),COUNTIF(商品库存!$B$4:B419,客户对账单!$B$4),"")</f>
      </c>
      <c r="F419">
        <f>IF(AND(出库明细!C419&lt;&gt;"",出库明细!C419=客户对账单!$B$4,ISNUMBER(出库明细!B419),出库明细!B419&gt;=客户对账单!$G$4,出库明细!B419&lt;=客户对账单!$I$4),出库明细!B419+ROW()/100000,"")</f>
      </c>
      <c r="H419">
        <f>IF(AND(采购进货!C419&lt;&gt;"",采购进货!C419=供应商对账单!$B$4,ISNUMBER(采购进货!B419),采购进货!B419&gt;=供应商对账单!$G$4,采购进货!B419&lt;=供应商对账单!$I$4),采购进货!B419+ROW()/100000,"")</f>
      </c>
      <c r="N419">
        <f>IF(AND(ISNUMBER(出库明细!G419),ISNUMBER(出库明细!E419),ISNUMBER(出库明细!F419)),IF(ABS(出库明细!G419-出库明细!E419*出库明细!F419)&gt;0.005,1,0),0)</f>
        <v>0</v>
      </c>
      <c r="O419">
        <f>IF(AND(ISNUMBER(存条明细!G419),ISNUMBER(存条明细!E419),ISNUMBER(存条明细!F419)),IF(ABS(存条明细!G419-存条明细!E419*存条明细!F419)&gt;0.005,1,0),0)</f>
        <v>0</v>
      </c>
    </row>
    <row r="420">
      <c r="A420">
        <f>IF(OR(存条明细!C420="",存条明细!D420=""),"",IF(COUNTIFS(存条明细!$C$4:C420,存条明细!C420,存条明细!$D$4:D420,存条明细!D420)&gt;1,"",IFERROR(MATCH(存条明细!C420,总览汇总!$B$5:$B$304,0),900)*10000000+IFERROR(MATCH(存条明细!D420,基础资料!$E$5:$E$104,0),900)*10000+ROW()))</f>
      </c>
      <c r="B420">
        <f>IFERROR(MATCH(SMALL($A$4:$A$4003,417),$A$4:$A$4003,0),"")</f>
      </c>
      <c r="D420">
        <f>IF(AND(商品库存!B420&lt;&gt;"",商品库存!B420=客户查询!$B$4),COUNTIF(商品库存!$B$4:B420,客户查询!$B$4),"")</f>
      </c>
      <c r="E420">
        <f>IF(AND(商品库存!B420&lt;&gt;"",商品库存!B420=客户对账单!$B$4),COUNTIF(商品库存!$B$4:B420,客户对账单!$B$4),"")</f>
      </c>
      <c r="F420">
        <f>IF(AND(出库明细!C420&lt;&gt;"",出库明细!C420=客户对账单!$B$4,ISNUMBER(出库明细!B420),出库明细!B420&gt;=客户对账单!$G$4,出库明细!B420&lt;=客户对账单!$I$4),出库明细!B420+ROW()/100000,"")</f>
      </c>
      <c r="H420">
        <f>IF(AND(采购进货!C420&lt;&gt;"",采购进货!C420=供应商对账单!$B$4,ISNUMBER(采购进货!B420),采购进货!B420&gt;=供应商对账单!$G$4,采购进货!B420&lt;=供应商对账单!$I$4),采购进货!B420+ROW()/100000,"")</f>
      </c>
      <c r="N420">
        <f>IF(AND(ISNUMBER(出库明细!G420),ISNUMBER(出库明细!E420),ISNUMBER(出库明细!F420)),IF(ABS(出库明细!G420-出库明细!E420*出库明细!F420)&gt;0.005,1,0),0)</f>
        <v>0</v>
      </c>
      <c r="O420">
        <f>IF(AND(ISNUMBER(存条明细!G420),ISNUMBER(存条明细!E420),ISNUMBER(存条明细!F420)),IF(ABS(存条明细!G420-存条明细!E420*存条明细!F420)&gt;0.005,1,0),0)</f>
        <v>0</v>
      </c>
    </row>
    <row r="421">
      <c r="A421">
        <f>IF(OR(存条明细!C421="",存条明细!D421=""),"",IF(COUNTIFS(存条明细!$C$4:C421,存条明细!C421,存条明细!$D$4:D421,存条明细!D421)&gt;1,"",IFERROR(MATCH(存条明细!C421,总览汇总!$B$5:$B$304,0),900)*10000000+IFERROR(MATCH(存条明细!D421,基础资料!$E$5:$E$104,0),900)*10000+ROW()))</f>
      </c>
      <c r="B421">
        <f>IFERROR(MATCH(SMALL($A$4:$A$4003,418),$A$4:$A$4003,0),"")</f>
      </c>
      <c r="D421">
        <f>IF(AND(商品库存!B421&lt;&gt;"",商品库存!B421=客户查询!$B$4),COUNTIF(商品库存!$B$4:B421,客户查询!$B$4),"")</f>
      </c>
      <c r="E421">
        <f>IF(AND(商品库存!B421&lt;&gt;"",商品库存!B421=客户对账单!$B$4),COUNTIF(商品库存!$B$4:B421,客户对账单!$B$4),"")</f>
      </c>
      <c r="F421">
        <f>IF(AND(出库明细!C421&lt;&gt;"",出库明细!C421=客户对账单!$B$4,ISNUMBER(出库明细!B421),出库明细!B421&gt;=客户对账单!$G$4,出库明细!B421&lt;=客户对账单!$I$4),出库明细!B421+ROW()/100000,"")</f>
      </c>
      <c r="H421">
        <f>IF(AND(采购进货!C421&lt;&gt;"",采购进货!C421=供应商对账单!$B$4,ISNUMBER(采购进货!B421),采购进货!B421&gt;=供应商对账单!$G$4,采购进货!B421&lt;=供应商对账单!$I$4),采购进货!B421+ROW()/100000,"")</f>
      </c>
      <c r="N421">
        <f>IF(AND(ISNUMBER(出库明细!G421),ISNUMBER(出库明细!E421),ISNUMBER(出库明细!F421)),IF(ABS(出库明细!G421-出库明细!E421*出库明细!F421)&gt;0.005,1,0),0)</f>
        <v>0</v>
      </c>
      <c r="O421">
        <f>IF(AND(ISNUMBER(存条明细!G421),ISNUMBER(存条明细!E421),ISNUMBER(存条明细!F421)),IF(ABS(存条明细!G421-存条明细!E421*存条明细!F421)&gt;0.005,1,0),0)</f>
        <v>0</v>
      </c>
    </row>
    <row r="422">
      <c r="A422">
        <f>IF(OR(存条明细!C422="",存条明细!D422=""),"",IF(COUNTIFS(存条明细!$C$4:C422,存条明细!C422,存条明细!$D$4:D422,存条明细!D422)&gt;1,"",IFERROR(MATCH(存条明细!C422,总览汇总!$B$5:$B$304,0),900)*10000000+IFERROR(MATCH(存条明细!D422,基础资料!$E$5:$E$104,0),900)*10000+ROW()))</f>
      </c>
      <c r="B422">
        <f>IFERROR(MATCH(SMALL($A$4:$A$4003,419),$A$4:$A$4003,0),"")</f>
      </c>
      <c r="D422">
        <f>IF(AND(商品库存!B422&lt;&gt;"",商品库存!B422=客户查询!$B$4),COUNTIF(商品库存!$B$4:B422,客户查询!$B$4),"")</f>
      </c>
      <c r="E422">
        <f>IF(AND(商品库存!B422&lt;&gt;"",商品库存!B422=客户对账单!$B$4),COUNTIF(商品库存!$B$4:B422,客户对账单!$B$4),"")</f>
      </c>
      <c r="F422">
        <f>IF(AND(出库明细!C422&lt;&gt;"",出库明细!C422=客户对账单!$B$4,ISNUMBER(出库明细!B422),出库明细!B422&gt;=客户对账单!$G$4,出库明细!B422&lt;=客户对账单!$I$4),出库明细!B422+ROW()/100000,"")</f>
      </c>
      <c r="H422">
        <f>IF(AND(采购进货!C422&lt;&gt;"",采购进货!C422=供应商对账单!$B$4,ISNUMBER(采购进货!B422),采购进货!B422&gt;=供应商对账单!$G$4,采购进货!B422&lt;=供应商对账单!$I$4),采购进货!B422+ROW()/100000,"")</f>
      </c>
      <c r="N422">
        <f>IF(AND(ISNUMBER(出库明细!G422),ISNUMBER(出库明细!E422),ISNUMBER(出库明细!F422)),IF(ABS(出库明细!G422-出库明细!E422*出库明细!F422)&gt;0.005,1,0),0)</f>
        <v>0</v>
      </c>
      <c r="O422">
        <f>IF(AND(ISNUMBER(存条明细!G422),ISNUMBER(存条明细!E422),ISNUMBER(存条明细!F422)),IF(ABS(存条明细!G422-存条明细!E422*存条明细!F422)&gt;0.005,1,0),0)</f>
        <v>0</v>
      </c>
    </row>
    <row r="423">
      <c r="A423">
        <f>IF(OR(存条明细!C423="",存条明细!D423=""),"",IF(COUNTIFS(存条明细!$C$4:C423,存条明细!C423,存条明细!$D$4:D423,存条明细!D423)&gt;1,"",IFERROR(MATCH(存条明细!C423,总览汇总!$B$5:$B$304,0),900)*10000000+IFERROR(MATCH(存条明细!D423,基础资料!$E$5:$E$104,0),900)*10000+ROW()))</f>
      </c>
      <c r="B423">
        <f>IFERROR(MATCH(SMALL($A$4:$A$4003,420),$A$4:$A$4003,0),"")</f>
      </c>
      <c r="D423">
        <f>IF(AND(商品库存!B423&lt;&gt;"",商品库存!B423=客户查询!$B$4),COUNTIF(商品库存!$B$4:B423,客户查询!$B$4),"")</f>
      </c>
      <c r="E423">
        <f>IF(AND(商品库存!B423&lt;&gt;"",商品库存!B423=客户对账单!$B$4),COUNTIF(商品库存!$B$4:B423,客户对账单!$B$4),"")</f>
      </c>
      <c r="F423">
        <f>IF(AND(出库明细!C423&lt;&gt;"",出库明细!C423=客户对账单!$B$4,ISNUMBER(出库明细!B423),出库明细!B423&gt;=客户对账单!$G$4,出库明细!B423&lt;=客户对账单!$I$4),出库明细!B423+ROW()/100000,"")</f>
      </c>
      <c r="H423">
        <f>IF(AND(采购进货!C423&lt;&gt;"",采购进货!C423=供应商对账单!$B$4,ISNUMBER(采购进货!B423),采购进货!B423&gt;=供应商对账单!$G$4,采购进货!B423&lt;=供应商对账单!$I$4),采购进货!B423+ROW()/100000,"")</f>
      </c>
      <c r="N423">
        <f>IF(AND(ISNUMBER(出库明细!G423),ISNUMBER(出库明细!E423),ISNUMBER(出库明细!F423)),IF(ABS(出库明细!G423-出库明细!E423*出库明细!F423)&gt;0.005,1,0),0)</f>
        <v>0</v>
      </c>
      <c r="O423">
        <f>IF(AND(ISNUMBER(存条明细!G423),ISNUMBER(存条明细!E423),ISNUMBER(存条明细!F423)),IF(ABS(存条明细!G423-存条明细!E423*存条明细!F423)&gt;0.005,1,0),0)</f>
        <v>0</v>
      </c>
    </row>
    <row r="424">
      <c r="A424">
        <f>IF(OR(存条明细!C424="",存条明细!D424=""),"",IF(COUNTIFS(存条明细!$C$4:C424,存条明细!C424,存条明细!$D$4:D424,存条明细!D424)&gt;1,"",IFERROR(MATCH(存条明细!C424,总览汇总!$B$5:$B$304,0),900)*10000000+IFERROR(MATCH(存条明细!D424,基础资料!$E$5:$E$104,0),900)*10000+ROW()))</f>
      </c>
      <c r="B424">
        <f>IFERROR(MATCH(SMALL($A$4:$A$4003,421),$A$4:$A$4003,0),"")</f>
      </c>
      <c r="D424">
        <f>IF(AND(商品库存!B424&lt;&gt;"",商品库存!B424=客户查询!$B$4),COUNTIF(商品库存!$B$4:B424,客户查询!$B$4),"")</f>
      </c>
      <c r="E424">
        <f>IF(AND(商品库存!B424&lt;&gt;"",商品库存!B424=客户对账单!$B$4),COUNTIF(商品库存!$B$4:B424,客户对账单!$B$4),"")</f>
      </c>
      <c r="F424">
        <f>IF(AND(出库明细!C424&lt;&gt;"",出库明细!C424=客户对账单!$B$4,ISNUMBER(出库明细!B424),出库明细!B424&gt;=客户对账单!$G$4,出库明细!B424&lt;=客户对账单!$I$4),出库明细!B424+ROW()/100000,"")</f>
      </c>
      <c r="H424">
        <f>IF(AND(采购进货!C424&lt;&gt;"",采购进货!C424=供应商对账单!$B$4,ISNUMBER(采购进货!B424),采购进货!B424&gt;=供应商对账单!$G$4,采购进货!B424&lt;=供应商对账单!$I$4),采购进货!B424+ROW()/100000,"")</f>
      </c>
      <c r="N424">
        <f>IF(AND(ISNUMBER(出库明细!G424),ISNUMBER(出库明细!E424),ISNUMBER(出库明细!F424)),IF(ABS(出库明细!G424-出库明细!E424*出库明细!F424)&gt;0.005,1,0),0)</f>
        <v>0</v>
      </c>
      <c r="O424">
        <f>IF(AND(ISNUMBER(存条明细!G424),ISNUMBER(存条明细!E424),ISNUMBER(存条明细!F424)),IF(ABS(存条明细!G424-存条明细!E424*存条明细!F424)&gt;0.005,1,0),0)</f>
        <v>0</v>
      </c>
    </row>
    <row r="425">
      <c r="A425">
        <f>IF(OR(存条明细!C425="",存条明细!D425=""),"",IF(COUNTIFS(存条明细!$C$4:C425,存条明细!C425,存条明细!$D$4:D425,存条明细!D425)&gt;1,"",IFERROR(MATCH(存条明细!C425,总览汇总!$B$5:$B$304,0),900)*10000000+IFERROR(MATCH(存条明细!D425,基础资料!$E$5:$E$104,0),900)*10000+ROW()))</f>
      </c>
      <c r="B425">
        <f>IFERROR(MATCH(SMALL($A$4:$A$4003,422),$A$4:$A$4003,0),"")</f>
      </c>
      <c r="D425">
        <f>IF(AND(商品库存!B425&lt;&gt;"",商品库存!B425=客户查询!$B$4),COUNTIF(商品库存!$B$4:B425,客户查询!$B$4),"")</f>
      </c>
      <c r="E425">
        <f>IF(AND(商品库存!B425&lt;&gt;"",商品库存!B425=客户对账单!$B$4),COUNTIF(商品库存!$B$4:B425,客户对账单!$B$4),"")</f>
      </c>
      <c r="F425">
        <f>IF(AND(出库明细!C425&lt;&gt;"",出库明细!C425=客户对账单!$B$4,ISNUMBER(出库明细!B425),出库明细!B425&gt;=客户对账单!$G$4,出库明细!B425&lt;=客户对账单!$I$4),出库明细!B425+ROW()/100000,"")</f>
      </c>
      <c r="H425">
        <f>IF(AND(采购进货!C425&lt;&gt;"",采购进货!C425=供应商对账单!$B$4,ISNUMBER(采购进货!B425),采购进货!B425&gt;=供应商对账单!$G$4,采购进货!B425&lt;=供应商对账单!$I$4),采购进货!B425+ROW()/100000,"")</f>
      </c>
      <c r="N425">
        <f>IF(AND(ISNUMBER(出库明细!G425),ISNUMBER(出库明细!E425),ISNUMBER(出库明细!F425)),IF(ABS(出库明细!G425-出库明细!E425*出库明细!F425)&gt;0.005,1,0),0)</f>
        <v>0</v>
      </c>
      <c r="O425">
        <f>IF(AND(ISNUMBER(存条明细!G425),ISNUMBER(存条明细!E425),ISNUMBER(存条明细!F425)),IF(ABS(存条明细!G425-存条明细!E425*存条明细!F425)&gt;0.005,1,0),0)</f>
        <v>0</v>
      </c>
    </row>
    <row r="426">
      <c r="A426">
        <f>IF(OR(存条明细!C426="",存条明细!D426=""),"",IF(COUNTIFS(存条明细!$C$4:C426,存条明细!C426,存条明细!$D$4:D426,存条明细!D426)&gt;1,"",IFERROR(MATCH(存条明细!C426,总览汇总!$B$5:$B$304,0),900)*10000000+IFERROR(MATCH(存条明细!D426,基础资料!$E$5:$E$104,0),900)*10000+ROW()))</f>
      </c>
      <c r="B426">
        <f>IFERROR(MATCH(SMALL($A$4:$A$4003,423),$A$4:$A$4003,0),"")</f>
      </c>
      <c r="D426">
        <f>IF(AND(商品库存!B426&lt;&gt;"",商品库存!B426=客户查询!$B$4),COUNTIF(商品库存!$B$4:B426,客户查询!$B$4),"")</f>
      </c>
      <c r="E426">
        <f>IF(AND(商品库存!B426&lt;&gt;"",商品库存!B426=客户对账单!$B$4),COUNTIF(商品库存!$B$4:B426,客户对账单!$B$4),"")</f>
      </c>
      <c r="F426">
        <f>IF(AND(出库明细!C426&lt;&gt;"",出库明细!C426=客户对账单!$B$4,ISNUMBER(出库明细!B426),出库明细!B426&gt;=客户对账单!$G$4,出库明细!B426&lt;=客户对账单!$I$4),出库明细!B426+ROW()/100000,"")</f>
      </c>
      <c r="H426">
        <f>IF(AND(采购进货!C426&lt;&gt;"",采购进货!C426=供应商对账单!$B$4,ISNUMBER(采购进货!B426),采购进货!B426&gt;=供应商对账单!$G$4,采购进货!B426&lt;=供应商对账单!$I$4),采购进货!B426+ROW()/100000,"")</f>
      </c>
      <c r="N426">
        <f>IF(AND(ISNUMBER(出库明细!G426),ISNUMBER(出库明细!E426),ISNUMBER(出库明细!F426)),IF(ABS(出库明细!G426-出库明细!E426*出库明细!F426)&gt;0.005,1,0),0)</f>
        <v>0</v>
      </c>
      <c r="O426">
        <f>IF(AND(ISNUMBER(存条明细!G426),ISNUMBER(存条明细!E426),ISNUMBER(存条明细!F426)),IF(ABS(存条明细!G426-存条明细!E426*存条明细!F426)&gt;0.005,1,0),0)</f>
        <v>0</v>
      </c>
    </row>
    <row r="427">
      <c r="A427">
        <f>IF(OR(存条明细!C427="",存条明细!D427=""),"",IF(COUNTIFS(存条明细!$C$4:C427,存条明细!C427,存条明细!$D$4:D427,存条明细!D427)&gt;1,"",IFERROR(MATCH(存条明细!C427,总览汇总!$B$5:$B$304,0),900)*10000000+IFERROR(MATCH(存条明细!D427,基础资料!$E$5:$E$104,0),900)*10000+ROW()))</f>
      </c>
      <c r="B427">
        <f>IFERROR(MATCH(SMALL($A$4:$A$4003,424),$A$4:$A$4003,0),"")</f>
      </c>
      <c r="D427">
        <f>IF(AND(商品库存!B427&lt;&gt;"",商品库存!B427=客户查询!$B$4),COUNTIF(商品库存!$B$4:B427,客户查询!$B$4),"")</f>
      </c>
      <c r="E427">
        <f>IF(AND(商品库存!B427&lt;&gt;"",商品库存!B427=客户对账单!$B$4),COUNTIF(商品库存!$B$4:B427,客户对账单!$B$4),"")</f>
      </c>
      <c r="F427">
        <f>IF(AND(出库明细!C427&lt;&gt;"",出库明细!C427=客户对账单!$B$4,ISNUMBER(出库明细!B427),出库明细!B427&gt;=客户对账单!$G$4,出库明细!B427&lt;=客户对账单!$I$4),出库明细!B427+ROW()/100000,"")</f>
      </c>
      <c r="H427">
        <f>IF(AND(采购进货!C427&lt;&gt;"",采购进货!C427=供应商对账单!$B$4,ISNUMBER(采购进货!B427),采购进货!B427&gt;=供应商对账单!$G$4,采购进货!B427&lt;=供应商对账单!$I$4),采购进货!B427+ROW()/100000,"")</f>
      </c>
      <c r="N427">
        <f>IF(AND(ISNUMBER(出库明细!G427),ISNUMBER(出库明细!E427),ISNUMBER(出库明细!F427)),IF(ABS(出库明细!G427-出库明细!E427*出库明细!F427)&gt;0.005,1,0),0)</f>
        <v>0</v>
      </c>
      <c r="O427">
        <f>IF(AND(ISNUMBER(存条明细!G427),ISNUMBER(存条明细!E427),ISNUMBER(存条明细!F427)),IF(ABS(存条明细!G427-存条明细!E427*存条明细!F427)&gt;0.005,1,0),0)</f>
        <v>0</v>
      </c>
    </row>
    <row r="428">
      <c r="A428">
        <f>IF(OR(存条明细!C428="",存条明细!D428=""),"",IF(COUNTIFS(存条明细!$C$4:C428,存条明细!C428,存条明细!$D$4:D428,存条明细!D428)&gt;1,"",IFERROR(MATCH(存条明细!C428,总览汇总!$B$5:$B$304,0),900)*10000000+IFERROR(MATCH(存条明细!D428,基础资料!$E$5:$E$104,0),900)*10000+ROW()))</f>
      </c>
      <c r="B428">
        <f>IFERROR(MATCH(SMALL($A$4:$A$4003,425),$A$4:$A$4003,0),"")</f>
      </c>
      <c r="D428">
        <f>IF(AND(商品库存!B428&lt;&gt;"",商品库存!B428=客户查询!$B$4),COUNTIF(商品库存!$B$4:B428,客户查询!$B$4),"")</f>
      </c>
      <c r="E428">
        <f>IF(AND(商品库存!B428&lt;&gt;"",商品库存!B428=客户对账单!$B$4),COUNTIF(商品库存!$B$4:B428,客户对账单!$B$4),"")</f>
      </c>
      <c r="F428">
        <f>IF(AND(出库明细!C428&lt;&gt;"",出库明细!C428=客户对账单!$B$4,ISNUMBER(出库明细!B428),出库明细!B428&gt;=客户对账单!$G$4,出库明细!B428&lt;=客户对账单!$I$4),出库明细!B428+ROW()/100000,"")</f>
      </c>
      <c r="H428">
        <f>IF(AND(采购进货!C428&lt;&gt;"",采购进货!C428=供应商对账单!$B$4,ISNUMBER(采购进货!B428),采购进货!B428&gt;=供应商对账单!$G$4,采购进货!B428&lt;=供应商对账单!$I$4),采购进货!B428+ROW()/100000,"")</f>
      </c>
      <c r="N428">
        <f>IF(AND(ISNUMBER(出库明细!G428),ISNUMBER(出库明细!E428),ISNUMBER(出库明细!F428)),IF(ABS(出库明细!G428-出库明细!E428*出库明细!F428)&gt;0.005,1,0),0)</f>
        <v>0</v>
      </c>
      <c r="O428">
        <f>IF(AND(ISNUMBER(存条明细!G428),ISNUMBER(存条明细!E428),ISNUMBER(存条明细!F428)),IF(ABS(存条明细!G428-存条明细!E428*存条明细!F428)&gt;0.005,1,0),0)</f>
        <v>0</v>
      </c>
    </row>
    <row r="429">
      <c r="A429">
        <f>IF(OR(存条明细!C429="",存条明细!D429=""),"",IF(COUNTIFS(存条明细!$C$4:C429,存条明细!C429,存条明细!$D$4:D429,存条明细!D429)&gt;1,"",IFERROR(MATCH(存条明细!C429,总览汇总!$B$5:$B$304,0),900)*10000000+IFERROR(MATCH(存条明细!D429,基础资料!$E$5:$E$104,0),900)*10000+ROW()))</f>
      </c>
      <c r="B429">
        <f>IFERROR(MATCH(SMALL($A$4:$A$4003,426),$A$4:$A$4003,0),"")</f>
      </c>
      <c r="D429">
        <f>IF(AND(商品库存!B429&lt;&gt;"",商品库存!B429=客户查询!$B$4),COUNTIF(商品库存!$B$4:B429,客户查询!$B$4),"")</f>
      </c>
      <c r="E429">
        <f>IF(AND(商品库存!B429&lt;&gt;"",商品库存!B429=客户对账单!$B$4),COUNTIF(商品库存!$B$4:B429,客户对账单!$B$4),"")</f>
      </c>
      <c r="F429">
        <f>IF(AND(出库明细!C429&lt;&gt;"",出库明细!C429=客户对账单!$B$4,ISNUMBER(出库明细!B429),出库明细!B429&gt;=客户对账单!$G$4,出库明细!B429&lt;=客户对账单!$I$4),出库明细!B429+ROW()/100000,"")</f>
      </c>
      <c r="H429">
        <f>IF(AND(采购进货!C429&lt;&gt;"",采购进货!C429=供应商对账单!$B$4,ISNUMBER(采购进货!B429),采购进货!B429&gt;=供应商对账单!$G$4,采购进货!B429&lt;=供应商对账单!$I$4),采购进货!B429+ROW()/100000,"")</f>
      </c>
      <c r="N429">
        <f>IF(AND(ISNUMBER(出库明细!G429),ISNUMBER(出库明细!E429),ISNUMBER(出库明细!F429)),IF(ABS(出库明细!G429-出库明细!E429*出库明细!F429)&gt;0.005,1,0),0)</f>
        <v>0</v>
      </c>
      <c r="O429">
        <f>IF(AND(ISNUMBER(存条明细!G429),ISNUMBER(存条明细!E429),ISNUMBER(存条明细!F429)),IF(ABS(存条明细!G429-存条明细!E429*存条明细!F429)&gt;0.005,1,0),0)</f>
        <v>0</v>
      </c>
    </row>
    <row r="430">
      <c r="A430">
        <f>IF(OR(存条明细!C430="",存条明细!D430=""),"",IF(COUNTIFS(存条明细!$C$4:C430,存条明细!C430,存条明细!$D$4:D430,存条明细!D430)&gt;1,"",IFERROR(MATCH(存条明细!C430,总览汇总!$B$5:$B$304,0),900)*10000000+IFERROR(MATCH(存条明细!D430,基础资料!$E$5:$E$104,0),900)*10000+ROW()))</f>
      </c>
      <c r="B430">
        <f>IFERROR(MATCH(SMALL($A$4:$A$4003,427),$A$4:$A$4003,0),"")</f>
      </c>
      <c r="D430">
        <f>IF(AND(商品库存!B430&lt;&gt;"",商品库存!B430=客户查询!$B$4),COUNTIF(商品库存!$B$4:B430,客户查询!$B$4),"")</f>
      </c>
      <c r="E430">
        <f>IF(AND(商品库存!B430&lt;&gt;"",商品库存!B430=客户对账单!$B$4),COUNTIF(商品库存!$B$4:B430,客户对账单!$B$4),"")</f>
      </c>
      <c r="F430">
        <f>IF(AND(出库明细!C430&lt;&gt;"",出库明细!C430=客户对账单!$B$4,ISNUMBER(出库明细!B430),出库明细!B430&gt;=客户对账单!$G$4,出库明细!B430&lt;=客户对账单!$I$4),出库明细!B430+ROW()/100000,"")</f>
      </c>
      <c r="H430">
        <f>IF(AND(采购进货!C430&lt;&gt;"",采购进货!C430=供应商对账单!$B$4,ISNUMBER(采购进货!B430),采购进货!B430&gt;=供应商对账单!$G$4,采购进货!B430&lt;=供应商对账单!$I$4),采购进货!B430+ROW()/100000,"")</f>
      </c>
      <c r="N430">
        <f>IF(AND(ISNUMBER(出库明细!G430),ISNUMBER(出库明细!E430),ISNUMBER(出库明细!F430)),IF(ABS(出库明细!G430-出库明细!E430*出库明细!F430)&gt;0.005,1,0),0)</f>
        <v>0</v>
      </c>
      <c r="O430">
        <f>IF(AND(ISNUMBER(存条明细!G430),ISNUMBER(存条明细!E430),ISNUMBER(存条明细!F430)),IF(ABS(存条明细!G430-存条明细!E430*存条明细!F430)&gt;0.005,1,0),0)</f>
        <v>0</v>
      </c>
    </row>
    <row r="431">
      <c r="A431">
        <f>IF(OR(存条明细!C431="",存条明细!D431=""),"",IF(COUNTIFS(存条明细!$C$4:C431,存条明细!C431,存条明细!$D$4:D431,存条明细!D431)&gt;1,"",IFERROR(MATCH(存条明细!C431,总览汇总!$B$5:$B$304,0),900)*10000000+IFERROR(MATCH(存条明细!D431,基础资料!$E$5:$E$104,0),900)*10000+ROW()))</f>
      </c>
      <c r="B431">
        <f>IFERROR(MATCH(SMALL($A$4:$A$4003,428),$A$4:$A$4003,0),"")</f>
      </c>
      <c r="D431">
        <f>IF(AND(商品库存!B431&lt;&gt;"",商品库存!B431=客户查询!$B$4),COUNTIF(商品库存!$B$4:B431,客户查询!$B$4),"")</f>
      </c>
      <c r="E431">
        <f>IF(AND(商品库存!B431&lt;&gt;"",商品库存!B431=客户对账单!$B$4),COUNTIF(商品库存!$B$4:B431,客户对账单!$B$4),"")</f>
      </c>
      <c r="F431">
        <f>IF(AND(出库明细!C431&lt;&gt;"",出库明细!C431=客户对账单!$B$4,ISNUMBER(出库明细!B431),出库明细!B431&gt;=客户对账单!$G$4,出库明细!B431&lt;=客户对账单!$I$4),出库明细!B431+ROW()/100000,"")</f>
      </c>
      <c r="H431">
        <f>IF(AND(采购进货!C431&lt;&gt;"",采购进货!C431=供应商对账单!$B$4,ISNUMBER(采购进货!B431),采购进货!B431&gt;=供应商对账单!$G$4,采购进货!B431&lt;=供应商对账单!$I$4),采购进货!B431+ROW()/100000,"")</f>
      </c>
      <c r="N431">
        <f>IF(AND(ISNUMBER(出库明细!G431),ISNUMBER(出库明细!E431),ISNUMBER(出库明细!F431)),IF(ABS(出库明细!G431-出库明细!E431*出库明细!F431)&gt;0.005,1,0),0)</f>
        <v>1</v>
      </c>
      <c r="O431">
        <f>IF(AND(ISNUMBER(存条明细!G431),ISNUMBER(存条明细!E431),ISNUMBER(存条明细!F431)),IF(ABS(存条明细!G431-存条明细!E431*存条明细!F431)&gt;0.005,1,0),0)</f>
        <v>0</v>
      </c>
    </row>
    <row r="432">
      <c r="A432">
        <f>IF(OR(存条明细!C432="",存条明细!D432=""),"",IF(COUNTIFS(存条明细!$C$4:C432,存条明细!C432,存条明细!$D$4:D432,存条明细!D432)&gt;1,"",IFERROR(MATCH(存条明细!C432,总览汇总!$B$5:$B$304,0),900)*10000000+IFERROR(MATCH(存条明细!D432,基础资料!$E$5:$E$104,0),900)*10000+ROW()))</f>
      </c>
      <c r="B432">
        <f>IFERROR(MATCH(SMALL($A$4:$A$4003,429),$A$4:$A$4003,0),"")</f>
      </c>
      <c r="D432">
        <f>IF(AND(商品库存!B432&lt;&gt;"",商品库存!B432=客户查询!$B$4),COUNTIF(商品库存!$B$4:B432,客户查询!$B$4),"")</f>
      </c>
      <c r="E432">
        <f>IF(AND(商品库存!B432&lt;&gt;"",商品库存!B432=客户对账单!$B$4),COUNTIF(商品库存!$B$4:B432,客户对账单!$B$4),"")</f>
      </c>
      <c r="F432">
        <f>IF(AND(出库明细!C432&lt;&gt;"",出库明细!C432=客户对账单!$B$4,ISNUMBER(出库明细!B432),出库明细!B432&gt;=客户对账单!$G$4,出库明细!B432&lt;=客户对账单!$I$4),出库明细!B432+ROW()/100000,"")</f>
      </c>
      <c r="H432">
        <f>IF(AND(采购进货!C432&lt;&gt;"",采购进货!C432=供应商对账单!$B$4,ISNUMBER(采购进货!B432),采购进货!B432&gt;=供应商对账单!$G$4,采购进货!B432&lt;=供应商对账单!$I$4),采购进货!B432+ROW()/100000,"")</f>
      </c>
      <c r="N432">
        <f>IF(AND(ISNUMBER(出库明细!G432),ISNUMBER(出库明细!E432),ISNUMBER(出库明细!F432)),IF(ABS(出库明细!G432-出库明细!E432*出库明细!F432)&gt;0.005,1,0),0)</f>
        <v>0</v>
      </c>
      <c r="O432">
        <f>IF(AND(ISNUMBER(存条明细!G432),ISNUMBER(存条明细!E432),ISNUMBER(存条明细!F432)),IF(ABS(存条明细!G432-存条明细!E432*存条明细!F432)&gt;0.005,1,0),0)</f>
        <v>0</v>
      </c>
    </row>
    <row r="433">
      <c r="A433">
        <f>IF(OR(存条明细!C433="",存条明细!D433=""),"",IF(COUNTIFS(存条明细!$C$4:C433,存条明细!C433,存条明细!$D$4:D433,存条明细!D433)&gt;1,"",IFERROR(MATCH(存条明细!C433,总览汇总!$B$5:$B$304,0),900)*10000000+IFERROR(MATCH(存条明细!D433,基础资料!$E$5:$E$104,0),900)*10000+ROW()))</f>
      </c>
      <c r="B433">
        <f>IFERROR(MATCH(SMALL($A$4:$A$4003,430),$A$4:$A$4003,0),"")</f>
      </c>
      <c r="D433">
        <f>IF(AND(商品库存!B433&lt;&gt;"",商品库存!B433=客户查询!$B$4),COUNTIF(商品库存!$B$4:B433,客户查询!$B$4),"")</f>
      </c>
      <c r="E433">
        <f>IF(AND(商品库存!B433&lt;&gt;"",商品库存!B433=客户对账单!$B$4),COUNTIF(商品库存!$B$4:B433,客户对账单!$B$4),"")</f>
      </c>
      <c r="F433">
        <f>IF(AND(出库明细!C433&lt;&gt;"",出库明细!C433=客户对账单!$B$4,ISNUMBER(出库明细!B433),出库明细!B433&gt;=客户对账单!$G$4,出库明细!B433&lt;=客户对账单!$I$4),出库明细!B433+ROW()/100000,"")</f>
      </c>
      <c r="H433">
        <f>IF(AND(采购进货!C433&lt;&gt;"",采购进货!C433=供应商对账单!$B$4,ISNUMBER(采购进货!B433),采购进货!B433&gt;=供应商对账单!$G$4,采购进货!B433&lt;=供应商对账单!$I$4),采购进货!B433+ROW()/100000,"")</f>
      </c>
      <c r="N433">
        <f>IF(AND(ISNUMBER(出库明细!G433),ISNUMBER(出库明细!E433),ISNUMBER(出库明细!F433)),IF(ABS(出库明细!G433-出库明细!E433*出库明细!F433)&gt;0.005,1,0),0)</f>
        <v>0</v>
      </c>
      <c r="O433">
        <f>IF(AND(ISNUMBER(存条明细!G433),ISNUMBER(存条明细!E433),ISNUMBER(存条明细!F433)),IF(ABS(存条明细!G433-存条明细!E433*存条明细!F433)&gt;0.005,1,0),0)</f>
        <v>0</v>
      </c>
    </row>
    <row r="434">
      <c r="A434">
        <f>IF(OR(存条明细!C434="",存条明细!D434=""),"",IF(COUNTIFS(存条明细!$C$4:C434,存条明细!C434,存条明细!$D$4:D434,存条明细!D434)&gt;1,"",IFERROR(MATCH(存条明细!C434,总览汇总!$B$5:$B$304,0),900)*10000000+IFERROR(MATCH(存条明细!D434,基础资料!$E$5:$E$104,0),900)*10000+ROW()))</f>
      </c>
      <c r="B434">
        <f>IFERROR(MATCH(SMALL($A$4:$A$4003,431),$A$4:$A$4003,0),"")</f>
      </c>
      <c r="D434">
        <f>IF(AND(商品库存!B434&lt;&gt;"",商品库存!B434=客户查询!$B$4),COUNTIF(商品库存!$B$4:B434,客户查询!$B$4),"")</f>
      </c>
      <c r="E434">
        <f>IF(AND(商品库存!B434&lt;&gt;"",商品库存!B434=客户对账单!$B$4),COUNTIF(商品库存!$B$4:B434,客户对账单!$B$4),"")</f>
      </c>
      <c r="F434">
        <f>IF(AND(出库明细!C434&lt;&gt;"",出库明细!C434=客户对账单!$B$4,ISNUMBER(出库明细!B434),出库明细!B434&gt;=客户对账单!$G$4,出库明细!B434&lt;=客户对账单!$I$4),出库明细!B434+ROW()/100000,"")</f>
      </c>
      <c r="H434">
        <f>IF(AND(采购进货!C434&lt;&gt;"",采购进货!C434=供应商对账单!$B$4,ISNUMBER(采购进货!B434),采购进货!B434&gt;=供应商对账单!$G$4,采购进货!B434&lt;=供应商对账单!$I$4),采购进货!B434+ROW()/100000,"")</f>
      </c>
      <c r="N434">
        <f>IF(AND(ISNUMBER(出库明细!G434),ISNUMBER(出库明细!E434),ISNUMBER(出库明细!F434)),IF(ABS(出库明细!G434-出库明细!E434*出库明细!F434)&gt;0.005,1,0),0)</f>
        <v>0</v>
      </c>
      <c r="O434">
        <f>IF(AND(ISNUMBER(存条明细!G434),ISNUMBER(存条明细!E434),ISNUMBER(存条明细!F434)),IF(ABS(存条明细!G434-存条明细!E434*存条明细!F434)&gt;0.005,1,0),0)</f>
        <v>0</v>
      </c>
    </row>
    <row r="435">
      <c r="A435">
        <f>IF(OR(存条明细!C435="",存条明细!D435=""),"",IF(COUNTIFS(存条明细!$C$4:C435,存条明细!C435,存条明细!$D$4:D435,存条明细!D435)&gt;1,"",IFERROR(MATCH(存条明细!C435,总览汇总!$B$5:$B$304,0),900)*10000000+IFERROR(MATCH(存条明细!D435,基础资料!$E$5:$E$104,0),900)*10000+ROW()))</f>
      </c>
      <c r="B435">
        <f>IFERROR(MATCH(SMALL($A$4:$A$4003,432),$A$4:$A$4003,0),"")</f>
      </c>
      <c r="D435">
        <f>IF(AND(商品库存!B435&lt;&gt;"",商品库存!B435=客户查询!$B$4),COUNTIF(商品库存!$B$4:B435,客户查询!$B$4),"")</f>
      </c>
      <c r="E435">
        <f>IF(AND(商品库存!B435&lt;&gt;"",商品库存!B435=客户对账单!$B$4),COUNTIF(商品库存!$B$4:B435,客户对账单!$B$4),"")</f>
      </c>
      <c r="F435">
        <f>IF(AND(出库明细!C435&lt;&gt;"",出库明细!C435=客户对账单!$B$4,ISNUMBER(出库明细!B435),出库明细!B435&gt;=客户对账单!$G$4,出库明细!B435&lt;=客户对账单!$I$4),出库明细!B435+ROW()/100000,"")</f>
      </c>
      <c r="H435">
        <f>IF(AND(采购进货!C435&lt;&gt;"",采购进货!C435=供应商对账单!$B$4,ISNUMBER(采购进货!B435),采购进货!B435&gt;=供应商对账单!$G$4,采购进货!B435&lt;=供应商对账单!$I$4),采购进货!B435+ROW()/100000,"")</f>
      </c>
      <c r="N435">
        <f>IF(AND(ISNUMBER(出库明细!G435),ISNUMBER(出库明细!E435),ISNUMBER(出库明细!F435)),IF(ABS(出库明细!G435-出库明细!E435*出库明细!F435)&gt;0.005,1,0),0)</f>
        <v>0</v>
      </c>
      <c r="O435">
        <f>IF(AND(ISNUMBER(存条明细!G435),ISNUMBER(存条明细!E435),ISNUMBER(存条明细!F435)),IF(ABS(存条明细!G435-存条明细!E435*存条明细!F435)&gt;0.005,1,0),0)</f>
        <v>0</v>
      </c>
    </row>
    <row r="436">
      <c r="A436">
        <f>IF(OR(存条明细!C436="",存条明细!D436=""),"",IF(COUNTIFS(存条明细!$C$4:C436,存条明细!C436,存条明细!$D$4:D436,存条明细!D436)&gt;1,"",IFERROR(MATCH(存条明细!C436,总览汇总!$B$5:$B$304,0),900)*10000000+IFERROR(MATCH(存条明细!D436,基础资料!$E$5:$E$104,0),900)*10000+ROW()))</f>
      </c>
      <c r="B436">
        <f>IFERROR(MATCH(SMALL($A$4:$A$4003,433),$A$4:$A$4003,0),"")</f>
      </c>
      <c r="D436">
        <f>IF(AND(商品库存!B436&lt;&gt;"",商品库存!B436=客户查询!$B$4),COUNTIF(商品库存!$B$4:B436,客户查询!$B$4),"")</f>
      </c>
      <c r="E436">
        <f>IF(AND(商品库存!B436&lt;&gt;"",商品库存!B436=客户对账单!$B$4),COUNTIF(商品库存!$B$4:B436,客户对账单!$B$4),"")</f>
      </c>
      <c r="F436">
        <f>IF(AND(出库明细!C436&lt;&gt;"",出库明细!C436=客户对账单!$B$4,ISNUMBER(出库明细!B436),出库明细!B436&gt;=客户对账单!$G$4,出库明细!B436&lt;=客户对账单!$I$4),出库明细!B436+ROW()/100000,"")</f>
      </c>
      <c r="H436">
        <f>IF(AND(采购进货!C436&lt;&gt;"",采购进货!C436=供应商对账单!$B$4,ISNUMBER(采购进货!B436),采购进货!B436&gt;=供应商对账单!$G$4,采购进货!B436&lt;=供应商对账单!$I$4),采购进货!B436+ROW()/100000,"")</f>
      </c>
      <c r="N436">
        <f>IF(AND(ISNUMBER(出库明细!G436),ISNUMBER(出库明细!E436),ISNUMBER(出库明细!F436)),IF(ABS(出库明细!G436-出库明细!E436*出库明细!F436)&gt;0.005,1,0),0)</f>
        <v>0</v>
      </c>
      <c r="O436">
        <f>IF(AND(ISNUMBER(存条明细!G436),ISNUMBER(存条明细!E436),ISNUMBER(存条明细!F436)),IF(ABS(存条明细!G436-存条明细!E436*存条明细!F436)&gt;0.005,1,0),0)</f>
        <v>0</v>
      </c>
    </row>
    <row r="437">
      <c r="A437">
        <f>IF(OR(存条明细!C437="",存条明细!D437=""),"",IF(COUNTIFS(存条明细!$C$4:C437,存条明细!C437,存条明细!$D$4:D437,存条明细!D437)&gt;1,"",IFERROR(MATCH(存条明细!C437,总览汇总!$B$5:$B$304,0),900)*10000000+IFERROR(MATCH(存条明细!D437,基础资料!$E$5:$E$104,0),900)*10000+ROW()))</f>
      </c>
      <c r="B437">
        <f>IFERROR(MATCH(SMALL($A$4:$A$4003,434),$A$4:$A$4003,0),"")</f>
      </c>
      <c r="D437">
        <f>IF(AND(商品库存!B437&lt;&gt;"",商品库存!B437=客户查询!$B$4),COUNTIF(商品库存!$B$4:B437,客户查询!$B$4),"")</f>
      </c>
      <c r="E437">
        <f>IF(AND(商品库存!B437&lt;&gt;"",商品库存!B437=客户对账单!$B$4),COUNTIF(商品库存!$B$4:B437,客户对账单!$B$4),"")</f>
      </c>
      <c r="F437">
        <f>IF(AND(出库明细!C437&lt;&gt;"",出库明细!C437=客户对账单!$B$4,ISNUMBER(出库明细!B437),出库明细!B437&gt;=客户对账单!$G$4,出库明细!B437&lt;=客户对账单!$I$4),出库明细!B437+ROW()/100000,"")</f>
      </c>
      <c r="H437">
        <f>IF(AND(采购进货!C437&lt;&gt;"",采购进货!C437=供应商对账单!$B$4,ISNUMBER(采购进货!B437),采购进货!B437&gt;=供应商对账单!$G$4,采购进货!B437&lt;=供应商对账单!$I$4),采购进货!B437+ROW()/100000,"")</f>
      </c>
      <c r="N437">
        <f>IF(AND(ISNUMBER(出库明细!G437),ISNUMBER(出库明细!E437),ISNUMBER(出库明细!F437)),IF(ABS(出库明细!G437-出库明细!E437*出库明细!F437)&gt;0.005,1,0),0)</f>
        <v>0</v>
      </c>
      <c r="O437">
        <f>IF(AND(ISNUMBER(存条明细!G437),ISNUMBER(存条明细!E437),ISNUMBER(存条明细!F437)),IF(ABS(存条明细!G437-存条明细!E437*存条明细!F437)&gt;0.005,1,0),0)</f>
        <v>0</v>
      </c>
    </row>
    <row r="438">
      <c r="A438">
        <f>IF(OR(存条明细!C438="",存条明细!D438=""),"",IF(COUNTIFS(存条明细!$C$4:C438,存条明细!C438,存条明细!$D$4:D438,存条明细!D438)&gt;1,"",IFERROR(MATCH(存条明细!C438,总览汇总!$B$5:$B$304,0),900)*10000000+IFERROR(MATCH(存条明细!D438,基础资料!$E$5:$E$104,0),900)*10000+ROW()))</f>
      </c>
      <c r="B438">
        <f>IFERROR(MATCH(SMALL($A$4:$A$4003,435),$A$4:$A$4003,0),"")</f>
      </c>
      <c r="D438">
        <f>IF(AND(商品库存!B438&lt;&gt;"",商品库存!B438=客户查询!$B$4),COUNTIF(商品库存!$B$4:B438,客户查询!$B$4),"")</f>
      </c>
      <c r="E438">
        <f>IF(AND(商品库存!B438&lt;&gt;"",商品库存!B438=客户对账单!$B$4),COUNTIF(商品库存!$B$4:B438,客户对账单!$B$4),"")</f>
      </c>
      <c r="F438">
        <f>IF(AND(出库明细!C438&lt;&gt;"",出库明细!C438=客户对账单!$B$4,ISNUMBER(出库明细!B438),出库明细!B438&gt;=客户对账单!$G$4,出库明细!B438&lt;=客户对账单!$I$4),出库明细!B438+ROW()/100000,"")</f>
      </c>
      <c r="H438">
        <f>IF(AND(采购进货!C438&lt;&gt;"",采购进货!C438=供应商对账单!$B$4,ISNUMBER(采购进货!B438),采购进货!B438&gt;=供应商对账单!$G$4,采购进货!B438&lt;=供应商对账单!$I$4),采购进货!B438+ROW()/100000,"")</f>
      </c>
      <c r="N438">
        <f>IF(AND(ISNUMBER(出库明细!G438),ISNUMBER(出库明细!E438),ISNUMBER(出库明细!F438)),IF(ABS(出库明细!G438-出库明细!E438*出库明细!F438)&gt;0.005,1,0),0)</f>
        <v>0</v>
      </c>
      <c r="O438">
        <f>IF(AND(ISNUMBER(存条明细!G438),ISNUMBER(存条明细!E438),ISNUMBER(存条明细!F438)),IF(ABS(存条明细!G438-存条明细!E438*存条明细!F438)&gt;0.005,1,0),0)</f>
        <v>0</v>
      </c>
    </row>
    <row r="439">
      <c r="A439">
        <f>IF(OR(存条明细!C439="",存条明细!D439=""),"",IF(COUNTIFS(存条明细!$C$4:C439,存条明细!C439,存条明细!$D$4:D439,存条明细!D439)&gt;1,"",IFERROR(MATCH(存条明细!C439,总览汇总!$B$5:$B$304,0),900)*10000000+IFERROR(MATCH(存条明细!D439,基础资料!$E$5:$E$104,0),900)*10000+ROW()))</f>
      </c>
      <c r="B439">
        <f>IFERROR(MATCH(SMALL($A$4:$A$4003,436),$A$4:$A$4003,0),"")</f>
      </c>
      <c r="D439">
        <f>IF(AND(商品库存!B439&lt;&gt;"",商品库存!B439=客户查询!$B$4),COUNTIF(商品库存!$B$4:B439,客户查询!$B$4),"")</f>
      </c>
      <c r="E439">
        <f>IF(AND(商品库存!B439&lt;&gt;"",商品库存!B439=客户对账单!$B$4),COUNTIF(商品库存!$B$4:B439,客户对账单!$B$4),"")</f>
      </c>
      <c r="F439">
        <f>IF(AND(出库明细!C439&lt;&gt;"",出库明细!C439=客户对账单!$B$4,ISNUMBER(出库明细!B439),出库明细!B439&gt;=客户对账单!$G$4,出库明细!B439&lt;=客户对账单!$I$4),出库明细!B439+ROW()/100000,"")</f>
      </c>
      <c r="H439">
        <f>IF(AND(采购进货!C439&lt;&gt;"",采购进货!C439=供应商对账单!$B$4,ISNUMBER(采购进货!B439),采购进货!B439&gt;=供应商对账单!$G$4,采购进货!B439&lt;=供应商对账单!$I$4),采购进货!B439+ROW()/100000,"")</f>
      </c>
      <c r="N439">
        <f>IF(AND(ISNUMBER(出库明细!G439),ISNUMBER(出库明细!E439),ISNUMBER(出库明细!F439)),IF(ABS(出库明细!G439-出库明细!E439*出库明细!F439)&gt;0.005,1,0),0)</f>
        <v>0</v>
      </c>
      <c r="O439">
        <f>IF(AND(ISNUMBER(存条明细!G439),ISNUMBER(存条明细!E439),ISNUMBER(存条明细!F439)),IF(ABS(存条明细!G439-存条明细!E439*存条明细!F439)&gt;0.005,1,0),0)</f>
        <v>0</v>
      </c>
    </row>
    <row r="440">
      <c r="A440">
        <f>IF(OR(存条明细!C440="",存条明细!D440=""),"",IF(COUNTIFS(存条明细!$C$4:C440,存条明细!C440,存条明细!$D$4:D440,存条明细!D440)&gt;1,"",IFERROR(MATCH(存条明细!C440,总览汇总!$B$5:$B$304,0),900)*10000000+IFERROR(MATCH(存条明细!D440,基础资料!$E$5:$E$104,0),900)*10000+ROW()))</f>
      </c>
      <c r="B440">
        <f>IFERROR(MATCH(SMALL($A$4:$A$4003,437),$A$4:$A$4003,0),"")</f>
      </c>
      <c r="D440">
        <f>IF(AND(商品库存!B440&lt;&gt;"",商品库存!B440=客户查询!$B$4),COUNTIF(商品库存!$B$4:B440,客户查询!$B$4),"")</f>
      </c>
      <c r="E440">
        <f>IF(AND(商品库存!B440&lt;&gt;"",商品库存!B440=客户对账单!$B$4),COUNTIF(商品库存!$B$4:B440,客户对账单!$B$4),"")</f>
      </c>
      <c r="F440">
        <f>IF(AND(出库明细!C440&lt;&gt;"",出库明细!C440=客户对账单!$B$4,ISNUMBER(出库明细!B440),出库明细!B440&gt;=客户对账单!$G$4,出库明细!B440&lt;=客户对账单!$I$4),出库明细!B440+ROW()/100000,"")</f>
      </c>
      <c r="H440">
        <f>IF(AND(采购进货!C440&lt;&gt;"",采购进货!C440=供应商对账单!$B$4,ISNUMBER(采购进货!B440),采购进货!B440&gt;=供应商对账单!$G$4,采购进货!B440&lt;=供应商对账单!$I$4),采购进货!B440+ROW()/100000,"")</f>
      </c>
      <c r="N440">
        <f>IF(AND(ISNUMBER(出库明细!G440),ISNUMBER(出库明细!E440),ISNUMBER(出库明细!F440)),IF(ABS(出库明细!G440-出库明细!E440*出库明细!F440)&gt;0.005,1,0),0)</f>
        <v>0</v>
      </c>
      <c r="O440">
        <f>IF(AND(ISNUMBER(存条明细!G440),ISNUMBER(存条明细!E440),ISNUMBER(存条明细!F440)),IF(ABS(存条明细!G440-存条明细!E440*存条明细!F440)&gt;0.005,1,0),0)</f>
        <v>0</v>
      </c>
    </row>
    <row r="441">
      <c r="A441">
        <f>IF(OR(存条明细!C441="",存条明细!D441=""),"",IF(COUNTIFS(存条明细!$C$4:C441,存条明细!C441,存条明细!$D$4:D441,存条明细!D441)&gt;1,"",IFERROR(MATCH(存条明细!C441,总览汇总!$B$5:$B$304,0),900)*10000000+IFERROR(MATCH(存条明细!D441,基础资料!$E$5:$E$104,0),900)*10000+ROW()))</f>
      </c>
      <c r="B441">
        <f>IFERROR(MATCH(SMALL($A$4:$A$4003,438),$A$4:$A$4003,0),"")</f>
      </c>
      <c r="D441">
        <f>IF(AND(商品库存!B441&lt;&gt;"",商品库存!B441=客户查询!$B$4),COUNTIF(商品库存!$B$4:B441,客户查询!$B$4),"")</f>
      </c>
      <c r="E441">
        <f>IF(AND(商品库存!B441&lt;&gt;"",商品库存!B441=客户对账单!$B$4),COUNTIF(商品库存!$B$4:B441,客户对账单!$B$4),"")</f>
      </c>
      <c r="F441">
        <f>IF(AND(出库明细!C441&lt;&gt;"",出库明细!C441=客户对账单!$B$4,ISNUMBER(出库明细!B441),出库明细!B441&gt;=客户对账单!$G$4,出库明细!B441&lt;=客户对账单!$I$4),出库明细!B441+ROW()/100000,"")</f>
      </c>
      <c r="H441">
        <f>IF(AND(采购进货!C441&lt;&gt;"",采购进货!C441=供应商对账单!$B$4,ISNUMBER(采购进货!B441),采购进货!B441&gt;=供应商对账单!$G$4,采购进货!B441&lt;=供应商对账单!$I$4),采购进货!B441+ROW()/100000,"")</f>
      </c>
      <c r="N441">
        <f>IF(AND(ISNUMBER(出库明细!G441),ISNUMBER(出库明细!E441),ISNUMBER(出库明细!F441)),IF(ABS(出库明细!G441-出库明细!E441*出库明细!F441)&gt;0.005,1,0),0)</f>
        <v>0</v>
      </c>
      <c r="O441">
        <f>IF(AND(ISNUMBER(存条明细!G441),ISNUMBER(存条明细!E441),ISNUMBER(存条明细!F441)),IF(ABS(存条明细!G441-存条明细!E441*存条明细!F441)&gt;0.005,1,0),0)</f>
        <v>0</v>
      </c>
    </row>
    <row r="442">
      <c r="A442">
        <f>IF(OR(存条明细!C442="",存条明细!D442=""),"",IF(COUNTIFS(存条明细!$C$4:C442,存条明细!C442,存条明细!$D$4:D442,存条明细!D442)&gt;1,"",IFERROR(MATCH(存条明细!C442,总览汇总!$B$5:$B$304,0),900)*10000000+IFERROR(MATCH(存条明细!D442,基础资料!$E$5:$E$104,0),900)*10000+ROW()))</f>
      </c>
      <c r="B442">
        <f>IFERROR(MATCH(SMALL($A$4:$A$4003,439),$A$4:$A$4003,0),"")</f>
      </c>
      <c r="D442">
        <f>IF(AND(商品库存!B442&lt;&gt;"",商品库存!B442=客户查询!$B$4),COUNTIF(商品库存!$B$4:B442,客户查询!$B$4),"")</f>
      </c>
      <c r="E442">
        <f>IF(AND(商品库存!B442&lt;&gt;"",商品库存!B442=客户对账单!$B$4),COUNTIF(商品库存!$B$4:B442,客户对账单!$B$4),"")</f>
      </c>
      <c r="F442">
        <f>IF(AND(出库明细!C442&lt;&gt;"",出库明细!C442=客户对账单!$B$4,ISNUMBER(出库明细!B442),出库明细!B442&gt;=客户对账单!$G$4,出库明细!B442&lt;=客户对账单!$I$4),出库明细!B442+ROW()/100000,"")</f>
      </c>
      <c r="H442">
        <f>IF(AND(采购进货!C442&lt;&gt;"",采购进货!C442=供应商对账单!$B$4,ISNUMBER(采购进货!B442),采购进货!B442&gt;=供应商对账单!$G$4,采购进货!B442&lt;=供应商对账单!$I$4),采购进货!B442+ROW()/100000,"")</f>
      </c>
      <c r="N442">
        <f>IF(AND(ISNUMBER(出库明细!G442),ISNUMBER(出库明细!E442),ISNUMBER(出库明细!F442)),IF(ABS(出库明细!G442-出库明细!E442*出库明细!F442)&gt;0.005,1,0),0)</f>
        <v>0</v>
      </c>
      <c r="O442">
        <f>IF(AND(ISNUMBER(存条明细!G442),ISNUMBER(存条明细!E442),ISNUMBER(存条明细!F442)),IF(ABS(存条明细!G442-存条明细!E442*存条明细!F442)&gt;0.005,1,0),0)</f>
        <v>0</v>
      </c>
    </row>
    <row r="443">
      <c r="A443">
        <f>IF(OR(存条明细!C443="",存条明细!D443=""),"",IF(COUNTIFS(存条明细!$C$4:C443,存条明细!C443,存条明细!$D$4:D443,存条明细!D443)&gt;1,"",IFERROR(MATCH(存条明细!C443,总览汇总!$B$5:$B$304,0),900)*10000000+IFERROR(MATCH(存条明细!D443,基础资料!$E$5:$E$104,0),900)*10000+ROW()))</f>
      </c>
      <c r="B443">
        <f>IFERROR(MATCH(SMALL($A$4:$A$4003,440),$A$4:$A$4003,0),"")</f>
      </c>
      <c r="D443">
        <f>IF(AND(商品库存!B443&lt;&gt;"",商品库存!B443=客户查询!$B$4),COUNTIF(商品库存!$B$4:B443,客户查询!$B$4),"")</f>
      </c>
      <c r="E443">
        <f>IF(AND(商品库存!B443&lt;&gt;"",商品库存!B443=客户对账单!$B$4),COUNTIF(商品库存!$B$4:B443,客户对账单!$B$4),"")</f>
      </c>
      <c r="F443">
        <f>IF(AND(出库明细!C443&lt;&gt;"",出库明细!C443=客户对账单!$B$4,ISNUMBER(出库明细!B443),出库明细!B443&gt;=客户对账单!$G$4,出库明细!B443&lt;=客户对账单!$I$4),出库明细!B443+ROW()/100000,"")</f>
      </c>
      <c r="H443">
        <f>IF(AND(采购进货!C443&lt;&gt;"",采购进货!C443=供应商对账单!$B$4,ISNUMBER(采购进货!B443),采购进货!B443&gt;=供应商对账单!$G$4,采购进货!B443&lt;=供应商对账单!$I$4),采购进货!B443+ROW()/100000,"")</f>
      </c>
      <c r="N443">
        <f>IF(AND(ISNUMBER(出库明细!G443),ISNUMBER(出库明细!E443),ISNUMBER(出库明细!F443)),IF(ABS(出库明细!G443-出库明细!E443*出库明细!F443)&gt;0.005,1,0),0)</f>
        <v>0</v>
      </c>
      <c r="O443">
        <f>IF(AND(ISNUMBER(存条明细!G443),ISNUMBER(存条明细!E443),ISNUMBER(存条明细!F443)),IF(ABS(存条明细!G443-存条明细!E443*存条明细!F443)&gt;0.005,1,0),0)</f>
        <v>0</v>
      </c>
    </row>
    <row r="444">
      <c r="A444">
        <f>IF(OR(存条明细!C444="",存条明细!D444=""),"",IF(COUNTIFS(存条明细!$C$4:C444,存条明细!C444,存条明细!$D$4:D444,存条明细!D444)&gt;1,"",IFERROR(MATCH(存条明细!C444,总览汇总!$B$5:$B$304,0),900)*10000000+IFERROR(MATCH(存条明细!D444,基础资料!$E$5:$E$104,0),900)*10000+ROW()))</f>
      </c>
      <c r="B444">
        <f>IFERROR(MATCH(SMALL($A$4:$A$4003,441),$A$4:$A$4003,0),"")</f>
      </c>
      <c r="D444">
        <f>IF(AND(商品库存!B444&lt;&gt;"",商品库存!B444=客户查询!$B$4),COUNTIF(商品库存!$B$4:B444,客户查询!$B$4),"")</f>
      </c>
      <c r="E444">
        <f>IF(AND(商品库存!B444&lt;&gt;"",商品库存!B444=客户对账单!$B$4),COUNTIF(商品库存!$B$4:B444,客户对账单!$B$4),"")</f>
      </c>
      <c r="F444">
        <f>IF(AND(出库明细!C444&lt;&gt;"",出库明细!C444=客户对账单!$B$4,ISNUMBER(出库明细!B444),出库明细!B444&gt;=客户对账单!$G$4,出库明细!B444&lt;=客户对账单!$I$4),出库明细!B444+ROW()/100000,"")</f>
      </c>
      <c r="H444">
        <f>IF(AND(采购进货!C444&lt;&gt;"",采购进货!C444=供应商对账单!$B$4,ISNUMBER(采购进货!B444),采购进货!B444&gt;=供应商对账单!$G$4,采购进货!B444&lt;=供应商对账单!$I$4),采购进货!B444+ROW()/100000,"")</f>
      </c>
      <c r="N444">
        <f>IF(AND(ISNUMBER(出库明细!G444),ISNUMBER(出库明细!E444),ISNUMBER(出库明细!F444)),IF(ABS(出库明细!G444-出库明细!E444*出库明细!F444)&gt;0.005,1,0),0)</f>
        <v>0</v>
      </c>
      <c r="O444">
        <f>IF(AND(ISNUMBER(存条明细!G444),ISNUMBER(存条明细!E444),ISNUMBER(存条明细!F444)),IF(ABS(存条明细!G444-存条明细!E444*存条明细!F444)&gt;0.005,1,0),0)</f>
        <v>0</v>
      </c>
    </row>
    <row r="445">
      <c r="A445">
        <f>IF(OR(存条明细!C445="",存条明细!D445=""),"",IF(COUNTIFS(存条明细!$C$4:C445,存条明细!C445,存条明细!$D$4:D445,存条明细!D445)&gt;1,"",IFERROR(MATCH(存条明细!C445,总览汇总!$B$5:$B$304,0),900)*10000000+IFERROR(MATCH(存条明细!D445,基础资料!$E$5:$E$104,0),900)*10000+ROW()))</f>
      </c>
      <c r="B445">
        <f>IFERROR(MATCH(SMALL($A$4:$A$4003,442),$A$4:$A$4003,0),"")</f>
      </c>
      <c r="D445">
        <f>IF(AND(商品库存!B445&lt;&gt;"",商品库存!B445=客户查询!$B$4),COUNTIF(商品库存!$B$4:B445,客户查询!$B$4),"")</f>
      </c>
      <c r="E445">
        <f>IF(AND(商品库存!B445&lt;&gt;"",商品库存!B445=客户对账单!$B$4),COUNTIF(商品库存!$B$4:B445,客户对账单!$B$4),"")</f>
      </c>
      <c r="F445">
        <f>IF(AND(出库明细!C445&lt;&gt;"",出库明细!C445=客户对账单!$B$4,ISNUMBER(出库明细!B445),出库明细!B445&gt;=客户对账单!$G$4,出库明细!B445&lt;=客户对账单!$I$4),出库明细!B445+ROW()/100000,"")</f>
      </c>
      <c r="H445">
        <f>IF(AND(采购进货!C445&lt;&gt;"",采购进货!C445=供应商对账单!$B$4,ISNUMBER(采购进货!B445),采购进货!B445&gt;=供应商对账单!$G$4,采购进货!B445&lt;=供应商对账单!$I$4),采购进货!B445+ROW()/100000,"")</f>
      </c>
      <c r="N445">
        <f>IF(AND(ISNUMBER(出库明细!G445),ISNUMBER(出库明细!E445),ISNUMBER(出库明细!F445)),IF(ABS(出库明细!G445-出库明细!E445*出库明细!F445)&gt;0.005,1,0),0)</f>
        <v>0</v>
      </c>
      <c r="O445">
        <f>IF(AND(ISNUMBER(存条明细!G445),ISNUMBER(存条明细!E445),ISNUMBER(存条明细!F445)),IF(ABS(存条明细!G445-存条明细!E445*存条明细!F445)&gt;0.005,1,0),0)</f>
        <v>0</v>
      </c>
    </row>
    <row r="446">
      <c r="A446">
        <f>IF(OR(存条明细!C446="",存条明细!D446=""),"",IF(COUNTIFS(存条明细!$C$4:C446,存条明细!C446,存条明细!$D$4:D446,存条明细!D446)&gt;1,"",IFERROR(MATCH(存条明细!C446,总览汇总!$B$5:$B$304,0),900)*10000000+IFERROR(MATCH(存条明细!D446,基础资料!$E$5:$E$104,0),900)*10000+ROW()))</f>
      </c>
      <c r="B446">
        <f>IFERROR(MATCH(SMALL($A$4:$A$4003,443),$A$4:$A$4003,0),"")</f>
      </c>
      <c r="D446">
        <f>IF(AND(商品库存!B446&lt;&gt;"",商品库存!B446=客户查询!$B$4),COUNTIF(商品库存!$B$4:B446,客户查询!$B$4),"")</f>
      </c>
      <c r="E446">
        <f>IF(AND(商品库存!B446&lt;&gt;"",商品库存!B446=客户对账单!$B$4),COUNTIF(商品库存!$B$4:B446,客户对账单!$B$4),"")</f>
      </c>
      <c r="F446">
        <f>IF(AND(出库明细!C446&lt;&gt;"",出库明细!C446=客户对账单!$B$4,ISNUMBER(出库明细!B446),出库明细!B446&gt;=客户对账单!$G$4,出库明细!B446&lt;=客户对账单!$I$4),出库明细!B446+ROW()/100000,"")</f>
      </c>
      <c r="H446">
        <f>IF(AND(采购进货!C446&lt;&gt;"",采购进货!C446=供应商对账单!$B$4,ISNUMBER(采购进货!B446),采购进货!B446&gt;=供应商对账单!$G$4,采购进货!B446&lt;=供应商对账单!$I$4),采购进货!B446+ROW()/100000,"")</f>
      </c>
      <c r="N446">
        <f>IF(AND(ISNUMBER(出库明细!G446),ISNUMBER(出库明细!E446),ISNUMBER(出库明细!F446)),IF(ABS(出库明细!G446-出库明细!E446*出库明细!F446)&gt;0.005,1,0),0)</f>
        <v>0</v>
      </c>
      <c r="O446">
        <f>IF(AND(ISNUMBER(存条明细!G446),ISNUMBER(存条明细!E446),ISNUMBER(存条明细!F446)),IF(ABS(存条明细!G446-存条明细!E446*存条明细!F446)&gt;0.005,1,0),0)</f>
        <v>0</v>
      </c>
    </row>
    <row r="447">
      <c r="A447">
        <f>IF(OR(存条明细!C447="",存条明细!D447=""),"",IF(COUNTIFS(存条明细!$C$4:C447,存条明细!C447,存条明细!$D$4:D447,存条明细!D447)&gt;1,"",IFERROR(MATCH(存条明细!C447,总览汇总!$B$5:$B$304,0),900)*10000000+IFERROR(MATCH(存条明细!D447,基础资料!$E$5:$E$104,0),900)*10000+ROW()))</f>
      </c>
      <c r="B447">
        <f>IFERROR(MATCH(SMALL($A$4:$A$4003,444),$A$4:$A$4003,0),"")</f>
      </c>
      <c r="D447">
        <f>IF(AND(商品库存!B447&lt;&gt;"",商品库存!B447=客户查询!$B$4),COUNTIF(商品库存!$B$4:B447,客户查询!$B$4),"")</f>
      </c>
      <c r="E447">
        <f>IF(AND(商品库存!B447&lt;&gt;"",商品库存!B447=客户对账单!$B$4),COUNTIF(商品库存!$B$4:B447,客户对账单!$B$4),"")</f>
      </c>
      <c r="F447">
        <f>IF(AND(出库明细!C447&lt;&gt;"",出库明细!C447=客户对账单!$B$4,ISNUMBER(出库明细!B447),出库明细!B447&gt;=客户对账单!$G$4,出库明细!B447&lt;=客户对账单!$I$4),出库明细!B447+ROW()/100000,"")</f>
      </c>
      <c r="H447">
        <f>IF(AND(采购进货!C447&lt;&gt;"",采购进货!C447=供应商对账单!$B$4,ISNUMBER(采购进货!B447),采购进货!B447&gt;=供应商对账单!$G$4,采购进货!B447&lt;=供应商对账单!$I$4),采购进货!B447+ROW()/100000,"")</f>
      </c>
      <c r="N447">
        <f>IF(AND(ISNUMBER(出库明细!G447),ISNUMBER(出库明细!E447),ISNUMBER(出库明细!F447)),IF(ABS(出库明细!G447-出库明细!E447*出库明细!F447)&gt;0.005,1,0),0)</f>
        <v>0</v>
      </c>
      <c r="O447">
        <f>IF(AND(ISNUMBER(存条明细!G447),ISNUMBER(存条明细!E447),ISNUMBER(存条明细!F447)),IF(ABS(存条明细!G447-存条明细!E447*存条明细!F447)&gt;0.005,1,0),0)</f>
        <v>0</v>
      </c>
    </row>
    <row r="448">
      <c r="A448">
        <f>IF(OR(存条明细!C448="",存条明细!D448=""),"",IF(COUNTIFS(存条明细!$C$4:C448,存条明细!C448,存条明细!$D$4:D448,存条明细!D448)&gt;1,"",IFERROR(MATCH(存条明细!C448,总览汇总!$B$5:$B$304,0),900)*10000000+IFERROR(MATCH(存条明细!D448,基础资料!$E$5:$E$104,0),900)*10000+ROW()))</f>
      </c>
      <c r="B448">
        <f>IFERROR(MATCH(SMALL($A$4:$A$4003,445),$A$4:$A$4003,0),"")</f>
      </c>
      <c r="D448">
        <f>IF(AND(商品库存!B448&lt;&gt;"",商品库存!B448=客户查询!$B$4),COUNTIF(商品库存!$B$4:B448,客户查询!$B$4),"")</f>
      </c>
      <c r="E448">
        <f>IF(AND(商品库存!B448&lt;&gt;"",商品库存!B448=客户对账单!$B$4),COUNTIF(商品库存!$B$4:B448,客户对账单!$B$4),"")</f>
      </c>
      <c r="F448">
        <f>IF(AND(出库明细!C448&lt;&gt;"",出库明细!C448=客户对账单!$B$4,ISNUMBER(出库明细!B448),出库明细!B448&gt;=客户对账单!$G$4,出库明细!B448&lt;=客户对账单!$I$4),出库明细!B448+ROW()/100000,"")</f>
      </c>
      <c r="H448">
        <f>IF(AND(采购进货!C448&lt;&gt;"",采购进货!C448=供应商对账单!$B$4,ISNUMBER(采购进货!B448),采购进货!B448&gt;=供应商对账单!$G$4,采购进货!B448&lt;=供应商对账单!$I$4),采购进货!B448+ROW()/100000,"")</f>
      </c>
      <c r="N448">
        <f>IF(AND(ISNUMBER(出库明细!G448),ISNUMBER(出库明细!E448),ISNUMBER(出库明细!F448)),IF(ABS(出库明细!G448-出库明细!E448*出库明细!F448)&gt;0.005,1,0),0)</f>
        <v>0</v>
      </c>
      <c r="O448">
        <f>IF(AND(ISNUMBER(存条明细!G448),ISNUMBER(存条明细!E448),ISNUMBER(存条明细!F448)),IF(ABS(存条明细!G448-存条明细!E448*存条明细!F448)&gt;0.005,1,0),0)</f>
        <v>0</v>
      </c>
    </row>
    <row r="449">
      <c r="A449">
        <f>IF(OR(存条明细!C449="",存条明细!D449=""),"",IF(COUNTIFS(存条明细!$C$4:C449,存条明细!C449,存条明细!$D$4:D449,存条明细!D449)&gt;1,"",IFERROR(MATCH(存条明细!C449,总览汇总!$B$5:$B$304,0),900)*10000000+IFERROR(MATCH(存条明细!D449,基础资料!$E$5:$E$104,0),900)*10000+ROW()))</f>
      </c>
      <c r="B449">
        <f>IFERROR(MATCH(SMALL($A$4:$A$4003,446),$A$4:$A$4003,0),"")</f>
      </c>
      <c r="D449">
        <f>IF(AND(商品库存!B449&lt;&gt;"",商品库存!B449=客户查询!$B$4),COUNTIF(商品库存!$B$4:B449,客户查询!$B$4),"")</f>
      </c>
      <c r="E449">
        <f>IF(AND(商品库存!B449&lt;&gt;"",商品库存!B449=客户对账单!$B$4),COUNTIF(商品库存!$B$4:B449,客户对账单!$B$4),"")</f>
      </c>
      <c r="F449">
        <f>IF(AND(出库明细!C449&lt;&gt;"",出库明细!C449=客户对账单!$B$4,ISNUMBER(出库明细!B449),出库明细!B449&gt;=客户对账单!$G$4,出库明细!B449&lt;=客户对账单!$I$4),出库明细!B449+ROW()/100000,"")</f>
      </c>
      <c r="H449">
        <f>IF(AND(采购进货!C449&lt;&gt;"",采购进货!C449=供应商对账单!$B$4,ISNUMBER(采购进货!B449),采购进货!B449&gt;=供应商对账单!$G$4,采购进货!B449&lt;=供应商对账单!$I$4),采购进货!B449+ROW()/100000,"")</f>
      </c>
      <c r="N449">
        <f>IF(AND(ISNUMBER(出库明细!G449),ISNUMBER(出库明细!E449),ISNUMBER(出库明细!F449)),IF(ABS(出库明细!G449-出库明细!E449*出库明细!F449)&gt;0.005,1,0),0)</f>
        <v>0</v>
      </c>
      <c r="O449">
        <f>IF(AND(ISNUMBER(存条明细!G449),ISNUMBER(存条明细!E449),ISNUMBER(存条明细!F449)),IF(ABS(存条明细!G449-存条明细!E449*存条明细!F449)&gt;0.005,1,0),0)</f>
        <v>0</v>
      </c>
    </row>
    <row r="450">
      <c r="A450">
        <f>IF(OR(存条明细!C450="",存条明细!D450=""),"",IF(COUNTIFS(存条明细!$C$4:C450,存条明细!C450,存条明细!$D$4:D450,存条明细!D450)&gt;1,"",IFERROR(MATCH(存条明细!C450,总览汇总!$B$5:$B$304,0),900)*10000000+IFERROR(MATCH(存条明细!D450,基础资料!$E$5:$E$104,0),900)*10000+ROW()))</f>
      </c>
      <c r="B450">
        <f>IFERROR(MATCH(SMALL($A$4:$A$4003,447),$A$4:$A$4003,0),"")</f>
      </c>
      <c r="D450">
        <f>IF(AND(商品库存!B450&lt;&gt;"",商品库存!B450=客户查询!$B$4),COUNTIF(商品库存!$B$4:B450,客户查询!$B$4),"")</f>
      </c>
      <c r="E450">
        <f>IF(AND(商品库存!B450&lt;&gt;"",商品库存!B450=客户对账单!$B$4),COUNTIF(商品库存!$B$4:B450,客户对账单!$B$4),"")</f>
      </c>
      <c r="F450">
        <f>IF(AND(出库明细!C450&lt;&gt;"",出库明细!C450=客户对账单!$B$4,ISNUMBER(出库明细!B450),出库明细!B450&gt;=客户对账单!$G$4,出库明细!B450&lt;=客户对账单!$I$4),出库明细!B450+ROW()/100000,"")</f>
      </c>
      <c r="H450">
        <f>IF(AND(采购进货!C450&lt;&gt;"",采购进货!C450=供应商对账单!$B$4,ISNUMBER(采购进货!B450),采购进货!B450&gt;=供应商对账单!$G$4,采购进货!B450&lt;=供应商对账单!$I$4),采购进货!B450+ROW()/100000,"")</f>
      </c>
      <c r="N450">
        <f>IF(AND(ISNUMBER(出库明细!G450),ISNUMBER(出库明细!E450),ISNUMBER(出库明细!F450)),IF(ABS(出库明细!G450-出库明细!E450*出库明细!F450)&gt;0.005,1,0),0)</f>
        <v>0</v>
      </c>
      <c r="O450">
        <f>IF(AND(ISNUMBER(存条明细!G450),ISNUMBER(存条明细!E450),ISNUMBER(存条明细!F450)),IF(ABS(存条明细!G450-存条明细!E450*存条明细!F450)&gt;0.005,1,0),0)</f>
        <v>0</v>
      </c>
    </row>
    <row r="451">
      <c r="A451">
        <f>IF(OR(存条明细!C451="",存条明细!D451=""),"",IF(COUNTIFS(存条明细!$C$4:C451,存条明细!C451,存条明细!$D$4:D451,存条明细!D451)&gt;1,"",IFERROR(MATCH(存条明细!C451,总览汇总!$B$5:$B$304,0),900)*10000000+IFERROR(MATCH(存条明细!D451,基础资料!$E$5:$E$104,0),900)*10000+ROW()))</f>
      </c>
      <c r="B451">
        <f>IFERROR(MATCH(SMALL($A$4:$A$4003,448),$A$4:$A$4003,0),"")</f>
      </c>
      <c r="D451">
        <f>IF(AND(商品库存!B451&lt;&gt;"",商品库存!B451=客户查询!$B$4),COUNTIF(商品库存!$B$4:B451,客户查询!$B$4),"")</f>
      </c>
      <c r="E451">
        <f>IF(AND(商品库存!B451&lt;&gt;"",商品库存!B451=客户对账单!$B$4),COUNTIF(商品库存!$B$4:B451,客户对账单!$B$4),"")</f>
      </c>
      <c r="F451">
        <f>IF(AND(出库明细!C451&lt;&gt;"",出库明细!C451=客户对账单!$B$4,ISNUMBER(出库明细!B451),出库明细!B451&gt;=客户对账单!$G$4,出库明细!B451&lt;=客户对账单!$I$4),出库明细!B451+ROW()/100000,"")</f>
      </c>
      <c r="H451">
        <f>IF(AND(采购进货!C451&lt;&gt;"",采购进货!C451=供应商对账单!$B$4,ISNUMBER(采购进货!B451),采购进货!B451&gt;=供应商对账单!$G$4,采购进货!B451&lt;=供应商对账单!$I$4),采购进货!B451+ROW()/100000,"")</f>
      </c>
      <c r="N451">
        <f>IF(AND(ISNUMBER(出库明细!G451),ISNUMBER(出库明细!E451),ISNUMBER(出库明细!F451)),IF(ABS(出库明细!G451-出库明细!E451*出库明细!F451)&gt;0.005,1,0),0)</f>
        <v>0</v>
      </c>
      <c r="O451">
        <f>IF(AND(ISNUMBER(存条明细!G451),ISNUMBER(存条明细!E451),ISNUMBER(存条明细!F451)),IF(ABS(存条明细!G451-存条明细!E451*存条明细!F451)&gt;0.005,1,0),0)</f>
        <v>0</v>
      </c>
    </row>
    <row r="452">
      <c r="A452">
        <f>IF(OR(存条明细!C452="",存条明细!D452=""),"",IF(COUNTIFS(存条明细!$C$4:C452,存条明细!C452,存条明细!$D$4:D452,存条明细!D452)&gt;1,"",IFERROR(MATCH(存条明细!C452,总览汇总!$B$5:$B$304,0),900)*10000000+IFERROR(MATCH(存条明细!D452,基础资料!$E$5:$E$104,0),900)*10000+ROW()))</f>
      </c>
      <c r="B452">
        <f>IFERROR(MATCH(SMALL($A$4:$A$4003,449),$A$4:$A$4003,0),"")</f>
      </c>
      <c r="D452">
        <f>IF(AND(商品库存!B452&lt;&gt;"",商品库存!B452=客户查询!$B$4),COUNTIF(商品库存!$B$4:B452,客户查询!$B$4),"")</f>
      </c>
      <c r="E452">
        <f>IF(AND(商品库存!B452&lt;&gt;"",商品库存!B452=客户对账单!$B$4),COUNTIF(商品库存!$B$4:B452,客户对账单!$B$4),"")</f>
      </c>
      <c r="F452">
        <f>IF(AND(出库明细!C452&lt;&gt;"",出库明细!C452=客户对账单!$B$4,ISNUMBER(出库明细!B452),出库明细!B452&gt;=客户对账单!$G$4,出库明细!B452&lt;=客户对账单!$I$4),出库明细!B452+ROW()/100000,"")</f>
      </c>
      <c r="H452">
        <f>IF(AND(采购进货!C452&lt;&gt;"",采购进货!C452=供应商对账单!$B$4,ISNUMBER(采购进货!B452),采购进货!B452&gt;=供应商对账单!$G$4,采购进货!B452&lt;=供应商对账单!$I$4),采购进货!B452+ROW()/100000,"")</f>
      </c>
      <c r="N452">
        <f>IF(AND(ISNUMBER(出库明细!G452),ISNUMBER(出库明细!E452),ISNUMBER(出库明细!F452)),IF(ABS(出库明细!G452-出库明细!E452*出库明细!F452)&gt;0.005,1,0),0)</f>
        <v>0</v>
      </c>
      <c r="O452">
        <f>IF(AND(ISNUMBER(存条明细!G452),ISNUMBER(存条明细!E452),ISNUMBER(存条明细!F452)),IF(ABS(存条明细!G452-存条明细!E452*存条明细!F452)&gt;0.005,1,0),0)</f>
        <v>0</v>
      </c>
    </row>
    <row r="453">
      <c r="A453">
        <f>IF(OR(存条明细!C453="",存条明细!D453=""),"",IF(COUNTIFS(存条明细!$C$4:C453,存条明细!C453,存条明细!$D$4:D453,存条明细!D453)&gt;1,"",IFERROR(MATCH(存条明细!C453,总览汇总!$B$5:$B$304,0),900)*10000000+IFERROR(MATCH(存条明细!D453,基础资料!$E$5:$E$104,0),900)*10000+ROW()))</f>
      </c>
      <c r="B453">
        <f>IFERROR(MATCH(SMALL($A$4:$A$4003,450),$A$4:$A$4003,0),"")</f>
      </c>
      <c r="D453">
        <f>IF(AND(商品库存!B453&lt;&gt;"",商品库存!B453=客户查询!$B$4),COUNTIF(商品库存!$B$4:B453,客户查询!$B$4),"")</f>
      </c>
      <c r="E453">
        <f>IF(AND(商品库存!B453&lt;&gt;"",商品库存!B453=客户对账单!$B$4),COUNTIF(商品库存!$B$4:B453,客户对账单!$B$4),"")</f>
      </c>
      <c r="F453">
        <f>IF(AND(出库明细!C453&lt;&gt;"",出库明细!C453=客户对账单!$B$4,ISNUMBER(出库明细!B453),出库明细!B453&gt;=客户对账单!$G$4,出库明细!B453&lt;=客户对账单!$I$4),出库明细!B453+ROW()/100000,"")</f>
      </c>
      <c r="H453">
        <f>IF(AND(采购进货!C453&lt;&gt;"",采购进货!C453=供应商对账单!$B$4,ISNUMBER(采购进货!B453),采购进货!B453&gt;=供应商对账单!$G$4,采购进货!B453&lt;=供应商对账单!$I$4),采购进货!B453+ROW()/100000,"")</f>
      </c>
      <c r="N453">
        <f>IF(AND(ISNUMBER(出库明细!G453),ISNUMBER(出库明细!E453),ISNUMBER(出库明细!F453)),IF(ABS(出库明细!G453-出库明细!E453*出库明细!F453)&gt;0.005,1,0),0)</f>
        <v>0</v>
      </c>
      <c r="O453">
        <f>IF(AND(ISNUMBER(存条明细!G453),ISNUMBER(存条明细!E453),ISNUMBER(存条明细!F453)),IF(ABS(存条明细!G453-存条明细!E453*存条明细!F453)&gt;0.005,1,0),0)</f>
        <v>0</v>
      </c>
    </row>
    <row r="454">
      <c r="A454">
        <f>IF(OR(存条明细!C454="",存条明细!D454=""),"",IF(COUNTIFS(存条明细!$C$4:C454,存条明细!C454,存条明细!$D$4:D454,存条明细!D454)&gt;1,"",IFERROR(MATCH(存条明细!C454,总览汇总!$B$5:$B$304,0),900)*10000000+IFERROR(MATCH(存条明细!D454,基础资料!$E$5:$E$104,0),900)*10000+ROW()))</f>
      </c>
      <c r="B454">
        <f>IFERROR(MATCH(SMALL($A$4:$A$4003,451),$A$4:$A$4003,0),"")</f>
      </c>
      <c r="D454">
        <f>IF(AND(商品库存!B454&lt;&gt;"",商品库存!B454=客户查询!$B$4),COUNTIF(商品库存!$B$4:B454,客户查询!$B$4),"")</f>
      </c>
      <c r="E454">
        <f>IF(AND(商品库存!B454&lt;&gt;"",商品库存!B454=客户对账单!$B$4),COUNTIF(商品库存!$B$4:B454,客户对账单!$B$4),"")</f>
      </c>
      <c r="F454">
        <f>IF(AND(出库明细!C454&lt;&gt;"",出库明细!C454=客户对账单!$B$4,ISNUMBER(出库明细!B454),出库明细!B454&gt;=客户对账单!$G$4,出库明细!B454&lt;=客户对账单!$I$4),出库明细!B454+ROW()/100000,"")</f>
      </c>
      <c r="H454">
        <f>IF(AND(采购进货!C454&lt;&gt;"",采购进货!C454=供应商对账单!$B$4,ISNUMBER(采购进货!B454),采购进货!B454&gt;=供应商对账单!$G$4,采购进货!B454&lt;=供应商对账单!$I$4),采购进货!B454+ROW()/100000,"")</f>
      </c>
      <c r="N454">
        <f>IF(AND(ISNUMBER(出库明细!G454),ISNUMBER(出库明细!E454),ISNUMBER(出库明细!F454)),IF(ABS(出库明细!G454-出库明细!E454*出库明细!F454)&gt;0.005,1,0),0)</f>
        <v>0</v>
      </c>
      <c r="O454">
        <f>IF(AND(ISNUMBER(存条明细!G454),ISNUMBER(存条明细!E454),ISNUMBER(存条明细!F454)),IF(ABS(存条明细!G454-存条明细!E454*存条明细!F454)&gt;0.005,1,0),0)</f>
        <v>0</v>
      </c>
    </row>
    <row r="455">
      <c r="A455">
        <f>IF(OR(存条明细!C455="",存条明细!D455=""),"",IF(COUNTIFS(存条明细!$C$4:C455,存条明细!C455,存条明细!$D$4:D455,存条明细!D455)&gt;1,"",IFERROR(MATCH(存条明细!C455,总览汇总!$B$5:$B$304,0),900)*10000000+IFERROR(MATCH(存条明细!D455,基础资料!$E$5:$E$104,0),900)*10000+ROW()))</f>
      </c>
      <c r="B455">
        <f>IFERROR(MATCH(SMALL($A$4:$A$4003,452),$A$4:$A$4003,0),"")</f>
      </c>
      <c r="D455">
        <f>IF(AND(商品库存!B455&lt;&gt;"",商品库存!B455=客户查询!$B$4),COUNTIF(商品库存!$B$4:B455,客户查询!$B$4),"")</f>
      </c>
      <c r="E455">
        <f>IF(AND(商品库存!B455&lt;&gt;"",商品库存!B455=客户对账单!$B$4),COUNTIF(商品库存!$B$4:B455,客户对账单!$B$4),"")</f>
      </c>
      <c r="F455">
        <f>IF(AND(出库明细!C455&lt;&gt;"",出库明细!C455=客户对账单!$B$4,ISNUMBER(出库明细!B455),出库明细!B455&gt;=客户对账单!$G$4,出库明细!B455&lt;=客户对账单!$I$4),出库明细!B455+ROW()/100000,"")</f>
      </c>
      <c r="H455">
        <f>IF(AND(采购进货!C455&lt;&gt;"",采购进货!C455=供应商对账单!$B$4,ISNUMBER(采购进货!B455),采购进货!B455&gt;=供应商对账单!$G$4,采购进货!B455&lt;=供应商对账单!$I$4),采购进货!B455+ROW()/100000,"")</f>
      </c>
      <c r="N455">
        <f>IF(AND(ISNUMBER(出库明细!G455),ISNUMBER(出库明细!E455),ISNUMBER(出库明细!F455)),IF(ABS(出库明细!G455-出库明细!E455*出库明细!F455)&gt;0.005,1,0),0)</f>
        <v>0</v>
      </c>
      <c r="O455">
        <f>IF(AND(ISNUMBER(存条明细!G455),ISNUMBER(存条明细!E455),ISNUMBER(存条明细!F455)),IF(ABS(存条明细!G455-存条明细!E455*存条明细!F455)&gt;0.005,1,0),0)</f>
        <v>0</v>
      </c>
    </row>
    <row r="456">
      <c r="A456">
        <f>IF(OR(存条明细!C456="",存条明细!D456=""),"",IF(COUNTIFS(存条明细!$C$4:C456,存条明细!C456,存条明细!$D$4:D456,存条明细!D456)&gt;1,"",IFERROR(MATCH(存条明细!C456,总览汇总!$B$5:$B$304,0),900)*10000000+IFERROR(MATCH(存条明细!D456,基础资料!$E$5:$E$104,0),900)*10000+ROW()))</f>
      </c>
      <c r="B456">
        <f>IFERROR(MATCH(SMALL($A$4:$A$4003,453),$A$4:$A$4003,0),"")</f>
      </c>
      <c r="D456">
        <f>IF(AND(商品库存!B456&lt;&gt;"",商品库存!B456=客户查询!$B$4),COUNTIF(商品库存!$B$4:B456,客户查询!$B$4),"")</f>
      </c>
      <c r="E456">
        <f>IF(AND(商品库存!B456&lt;&gt;"",商品库存!B456=客户对账单!$B$4),COUNTIF(商品库存!$B$4:B456,客户对账单!$B$4),"")</f>
      </c>
      <c r="F456">
        <f>IF(AND(出库明细!C456&lt;&gt;"",出库明细!C456=客户对账单!$B$4,ISNUMBER(出库明细!B456),出库明细!B456&gt;=客户对账单!$G$4,出库明细!B456&lt;=客户对账单!$I$4),出库明细!B456+ROW()/100000,"")</f>
      </c>
      <c r="H456">
        <f>IF(AND(采购进货!C456&lt;&gt;"",采购进货!C456=供应商对账单!$B$4,ISNUMBER(采购进货!B456),采购进货!B456&gt;=供应商对账单!$G$4,采购进货!B456&lt;=供应商对账单!$I$4),采购进货!B456+ROW()/100000,"")</f>
      </c>
      <c r="N456">
        <f>IF(AND(ISNUMBER(出库明细!G456),ISNUMBER(出库明细!E456),ISNUMBER(出库明细!F456)),IF(ABS(出库明细!G456-出库明细!E456*出库明细!F456)&gt;0.005,1,0),0)</f>
        <v>0</v>
      </c>
      <c r="O456">
        <f>IF(AND(ISNUMBER(存条明细!G456),ISNUMBER(存条明细!E456),ISNUMBER(存条明细!F456)),IF(ABS(存条明细!G456-存条明细!E456*存条明细!F456)&gt;0.005,1,0),0)</f>
        <v>0</v>
      </c>
    </row>
    <row r="457">
      <c r="A457">
        <f>IF(OR(存条明细!C457="",存条明细!D457=""),"",IF(COUNTIFS(存条明细!$C$4:C457,存条明细!C457,存条明细!$D$4:D457,存条明细!D457)&gt;1,"",IFERROR(MATCH(存条明细!C457,总览汇总!$B$5:$B$304,0),900)*10000000+IFERROR(MATCH(存条明细!D457,基础资料!$E$5:$E$104,0),900)*10000+ROW()))</f>
      </c>
      <c r="B457">
        <f>IFERROR(MATCH(SMALL($A$4:$A$4003,454),$A$4:$A$4003,0),"")</f>
      </c>
      <c r="D457">
        <f>IF(AND(商品库存!B457&lt;&gt;"",商品库存!B457=客户查询!$B$4),COUNTIF(商品库存!$B$4:B457,客户查询!$B$4),"")</f>
      </c>
      <c r="E457">
        <f>IF(AND(商品库存!B457&lt;&gt;"",商品库存!B457=客户对账单!$B$4),COUNTIF(商品库存!$B$4:B457,客户对账单!$B$4),"")</f>
      </c>
      <c r="F457">
        <f>IF(AND(出库明细!C457&lt;&gt;"",出库明细!C457=客户对账单!$B$4,ISNUMBER(出库明细!B457),出库明细!B457&gt;=客户对账单!$G$4,出库明细!B457&lt;=客户对账单!$I$4),出库明细!B457+ROW()/100000,"")</f>
      </c>
      <c r="H457">
        <f>IF(AND(采购进货!C457&lt;&gt;"",采购进货!C457=供应商对账单!$B$4,ISNUMBER(采购进货!B457),采购进货!B457&gt;=供应商对账单!$G$4,采购进货!B457&lt;=供应商对账单!$I$4),采购进货!B457+ROW()/100000,"")</f>
      </c>
      <c r="N457">
        <f>IF(AND(ISNUMBER(出库明细!G457),ISNUMBER(出库明细!E457),ISNUMBER(出库明细!F457)),IF(ABS(出库明细!G457-出库明细!E457*出库明细!F457)&gt;0.005,1,0),0)</f>
        <v>0</v>
      </c>
      <c r="O457">
        <f>IF(AND(ISNUMBER(存条明细!G457),ISNUMBER(存条明细!E457),ISNUMBER(存条明细!F457)),IF(ABS(存条明细!G457-存条明细!E457*存条明细!F457)&gt;0.005,1,0),0)</f>
        <v>0</v>
      </c>
    </row>
    <row r="458">
      <c r="A458">
        <f>IF(OR(存条明细!C458="",存条明细!D458=""),"",IF(COUNTIFS(存条明细!$C$4:C458,存条明细!C458,存条明细!$D$4:D458,存条明细!D458)&gt;1,"",IFERROR(MATCH(存条明细!C458,总览汇总!$B$5:$B$304,0),900)*10000000+IFERROR(MATCH(存条明细!D458,基础资料!$E$5:$E$104,0),900)*10000+ROW()))</f>
      </c>
      <c r="B458">
        <f>IFERROR(MATCH(SMALL($A$4:$A$4003,455),$A$4:$A$4003,0),"")</f>
      </c>
      <c r="D458">
        <f>IF(AND(商品库存!B458&lt;&gt;"",商品库存!B458=客户查询!$B$4),COUNTIF(商品库存!$B$4:B458,客户查询!$B$4),"")</f>
      </c>
      <c r="E458">
        <f>IF(AND(商品库存!B458&lt;&gt;"",商品库存!B458=客户对账单!$B$4),COUNTIF(商品库存!$B$4:B458,客户对账单!$B$4),"")</f>
      </c>
      <c r="F458">
        <f>IF(AND(出库明细!C458&lt;&gt;"",出库明细!C458=客户对账单!$B$4,ISNUMBER(出库明细!B458),出库明细!B458&gt;=客户对账单!$G$4,出库明细!B458&lt;=客户对账单!$I$4),出库明细!B458+ROW()/100000,"")</f>
      </c>
      <c r="H458">
        <f>IF(AND(采购进货!C458&lt;&gt;"",采购进货!C458=供应商对账单!$B$4,ISNUMBER(采购进货!B458),采购进货!B458&gt;=供应商对账单!$G$4,采购进货!B458&lt;=供应商对账单!$I$4),采购进货!B458+ROW()/100000,"")</f>
      </c>
      <c r="N458">
        <f>IF(AND(ISNUMBER(出库明细!G458),ISNUMBER(出库明细!E458),ISNUMBER(出库明细!F458)),IF(ABS(出库明细!G458-出库明细!E458*出库明细!F458)&gt;0.005,1,0),0)</f>
        <v>0</v>
      </c>
      <c r="O458">
        <f>IF(AND(ISNUMBER(存条明细!G458),ISNUMBER(存条明细!E458),ISNUMBER(存条明细!F458)),IF(ABS(存条明细!G458-存条明细!E458*存条明细!F458)&gt;0.005,1,0),0)</f>
        <v>0</v>
      </c>
    </row>
    <row r="459">
      <c r="A459">
        <f>IF(OR(存条明细!C459="",存条明细!D459=""),"",IF(COUNTIFS(存条明细!$C$4:C459,存条明细!C459,存条明细!$D$4:D459,存条明细!D459)&gt;1,"",IFERROR(MATCH(存条明细!C459,总览汇总!$B$5:$B$304,0),900)*10000000+IFERROR(MATCH(存条明细!D459,基础资料!$E$5:$E$104,0),900)*10000+ROW()))</f>
      </c>
      <c r="B459">
        <f>IFERROR(MATCH(SMALL($A$4:$A$4003,456),$A$4:$A$4003,0),"")</f>
      </c>
      <c r="D459">
        <f>IF(AND(商品库存!B459&lt;&gt;"",商品库存!B459=客户查询!$B$4),COUNTIF(商品库存!$B$4:B459,客户查询!$B$4),"")</f>
      </c>
      <c r="E459">
        <f>IF(AND(商品库存!B459&lt;&gt;"",商品库存!B459=客户对账单!$B$4),COUNTIF(商品库存!$B$4:B459,客户对账单!$B$4),"")</f>
      </c>
      <c r="F459">
        <f>IF(AND(出库明细!C459&lt;&gt;"",出库明细!C459=客户对账单!$B$4,ISNUMBER(出库明细!B459),出库明细!B459&gt;=客户对账单!$G$4,出库明细!B459&lt;=客户对账单!$I$4),出库明细!B459+ROW()/100000,"")</f>
      </c>
      <c r="H459">
        <f>IF(AND(采购进货!C459&lt;&gt;"",采购进货!C459=供应商对账单!$B$4,ISNUMBER(采购进货!B459),采购进货!B459&gt;=供应商对账单!$G$4,采购进货!B459&lt;=供应商对账单!$I$4),采购进货!B459+ROW()/100000,"")</f>
      </c>
      <c r="N459">
        <f>IF(AND(ISNUMBER(出库明细!G459),ISNUMBER(出库明细!E459),ISNUMBER(出库明细!F459)),IF(ABS(出库明细!G459-出库明细!E459*出库明细!F459)&gt;0.005,1,0),0)</f>
        <v>0</v>
      </c>
      <c r="O459">
        <f>IF(AND(ISNUMBER(存条明细!G459),ISNUMBER(存条明细!E459),ISNUMBER(存条明细!F459)),IF(ABS(存条明细!G459-存条明细!E459*存条明细!F459)&gt;0.005,1,0),0)</f>
        <v>0</v>
      </c>
    </row>
    <row r="460">
      <c r="A460">
        <f>IF(OR(存条明细!C460="",存条明细!D460=""),"",IF(COUNTIFS(存条明细!$C$4:C460,存条明细!C460,存条明细!$D$4:D460,存条明细!D460)&gt;1,"",IFERROR(MATCH(存条明细!C460,总览汇总!$B$5:$B$304,0),900)*10000000+IFERROR(MATCH(存条明细!D460,基础资料!$E$5:$E$104,0),900)*10000+ROW()))</f>
      </c>
      <c r="B460">
        <f>IFERROR(MATCH(SMALL($A$4:$A$4003,457),$A$4:$A$4003,0),"")</f>
      </c>
      <c r="D460">
        <f>IF(AND(商品库存!B460&lt;&gt;"",商品库存!B460=客户查询!$B$4),COUNTIF(商品库存!$B$4:B460,客户查询!$B$4),"")</f>
      </c>
      <c r="E460">
        <f>IF(AND(商品库存!B460&lt;&gt;"",商品库存!B460=客户对账单!$B$4),COUNTIF(商品库存!$B$4:B460,客户对账单!$B$4),"")</f>
      </c>
      <c r="F460">
        <f>IF(AND(出库明细!C460&lt;&gt;"",出库明细!C460=客户对账单!$B$4,ISNUMBER(出库明细!B460),出库明细!B460&gt;=客户对账单!$G$4,出库明细!B460&lt;=客户对账单!$I$4),出库明细!B460+ROW()/100000,"")</f>
      </c>
      <c r="H460">
        <f>IF(AND(采购进货!C460&lt;&gt;"",采购进货!C460=供应商对账单!$B$4,ISNUMBER(采购进货!B460),采购进货!B460&gt;=供应商对账单!$G$4,采购进货!B460&lt;=供应商对账单!$I$4),采购进货!B460+ROW()/100000,"")</f>
      </c>
      <c r="N460">
        <f>IF(AND(ISNUMBER(出库明细!G460),ISNUMBER(出库明细!E460),ISNUMBER(出库明细!F460)),IF(ABS(出库明细!G460-出库明细!E460*出库明细!F460)&gt;0.005,1,0),0)</f>
        <v>0</v>
      </c>
      <c r="O460">
        <f>IF(AND(ISNUMBER(存条明细!G460),ISNUMBER(存条明细!E460),ISNUMBER(存条明细!F460)),IF(ABS(存条明细!G460-存条明细!E460*存条明细!F460)&gt;0.005,1,0),0)</f>
        <v>0</v>
      </c>
    </row>
    <row r="461">
      <c r="A461">
        <f>IF(OR(存条明细!C461="",存条明细!D461=""),"",IF(COUNTIFS(存条明细!$C$4:C461,存条明细!C461,存条明细!$D$4:D461,存条明细!D461)&gt;1,"",IFERROR(MATCH(存条明细!C461,总览汇总!$B$5:$B$304,0),900)*10000000+IFERROR(MATCH(存条明细!D461,基础资料!$E$5:$E$104,0),900)*10000+ROW()))</f>
      </c>
      <c r="B461">
        <f>IFERROR(MATCH(SMALL($A$4:$A$4003,458),$A$4:$A$4003,0),"")</f>
      </c>
      <c r="D461">
        <f>IF(AND(商品库存!B461&lt;&gt;"",商品库存!B461=客户查询!$B$4),COUNTIF(商品库存!$B$4:B461,客户查询!$B$4),"")</f>
      </c>
      <c r="E461">
        <f>IF(AND(商品库存!B461&lt;&gt;"",商品库存!B461=客户对账单!$B$4),COUNTIF(商品库存!$B$4:B461,客户对账单!$B$4),"")</f>
      </c>
      <c r="F461">
        <f>IF(AND(出库明细!C461&lt;&gt;"",出库明细!C461=客户对账单!$B$4,ISNUMBER(出库明细!B461),出库明细!B461&gt;=客户对账单!$G$4,出库明细!B461&lt;=客户对账单!$I$4),出库明细!B461+ROW()/100000,"")</f>
      </c>
      <c r="H461">
        <f>IF(AND(采购进货!C461&lt;&gt;"",采购进货!C461=供应商对账单!$B$4,ISNUMBER(采购进货!B461),采购进货!B461&gt;=供应商对账单!$G$4,采购进货!B461&lt;=供应商对账单!$I$4),采购进货!B461+ROW()/100000,"")</f>
      </c>
      <c r="N461">
        <f>IF(AND(ISNUMBER(出库明细!G461),ISNUMBER(出库明细!E461),ISNUMBER(出库明细!F461)),IF(ABS(出库明细!G461-出库明细!E461*出库明细!F461)&gt;0.005,1,0),0)</f>
        <v>0</v>
      </c>
      <c r="O461">
        <f>IF(AND(ISNUMBER(存条明细!G461),ISNUMBER(存条明细!E461),ISNUMBER(存条明细!F461)),IF(ABS(存条明细!G461-存条明细!E461*存条明细!F461)&gt;0.005,1,0),0)</f>
        <v>0</v>
      </c>
    </row>
    <row r="462">
      <c r="A462">
        <f>IF(OR(存条明细!C462="",存条明细!D462=""),"",IF(COUNTIFS(存条明细!$C$4:C462,存条明细!C462,存条明细!$D$4:D462,存条明细!D462)&gt;1,"",IFERROR(MATCH(存条明细!C462,总览汇总!$B$5:$B$304,0),900)*10000000+IFERROR(MATCH(存条明细!D462,基础资料!$E$5:$E$104,0),900)*10000+ROW()))</f>
      </c>
      <c r="B462">
        <f>IFERROR(MATCH(SMALL($A$4:$A$4003,459),$A$4:$A$4003,0),"")</f>
      </c>
      <c r="D462">
        <f>IF(AND(商品库存!B462&lt;&gt;"",商品库存!B462=客户查询!$B$4),COUNTIF(商品库存!$B$4:B462,客户查询!$B$4),"")</f>
      </c>
      <c r="E462">
        <f>IF(AND(商品库存!B462&lt;&gt;"",商品库存!B462=客户对账单!$B$4),COUNTIF(商品库存!$B$4:B462,客户对账单!$B$4),"")</f>
      </c>
      <c r="F462">
        <f>IF(AND(出库明细!C462&lt;&gt;"",出库明细!C462=客户对账单!$B$4,ISNUMBER(出库明细!B462),出库明细!B462&gt;=客户对账单!$G$4,出库明细!B462&lt;=客户对账单!$I$4),出库明细!B462+ROW()/100000,"")</f>
      </c>
      <c r="H462">
        <f>IF(AND(采购进货!C462&lt;&gt;"",采购进货!C462=供应商对账单!$B$4,ISNUMBER(采购进货!B462),采购进货!B462&gt;=供应商对账单!$G$4,采购进货!B462&lt;=供应商对账单!$I$4),采购进货!B462+ROW()/100000,"")</f>
      </c>
      <c r="N462">
        <f>IF(AND(ISNUMBER(出库明细!G462),ISNUMBER(出库明细!E462),ISNUMBER(出库明细!F462)),IF(ABS(出库明细!G462-出库明细!E462*出库明细!F462)&gt;0.005,1,0),0)</f>
        <v>0</v>
      </c>
      <c r="O462">
        <f>IF(AND(ISNUMBER(存条明细!G462),ISNUMBER(存条明细!E462),ISNUMBER(存条明细!F462)),IF(ABS(存条明细!G462-存条明细!E462*存条明细!F462)&gt;0.005,1,0),0)</f>
        <v>0</v>
      </c>
    </row>
    <row r="463">
      <c r="A463">
        <f>IF(OR(存条明细!C463="",存条明细!D463=""),"",IF(COUNTIFS(存条明细!$C$4:C463,存条明细!C463,存条明细!$D$4:D463,存条明细!D463)&gt;1,"",IFERROR(MATCH(存条明细!C463,总览汇总!$B$5:$B$304,0),900)*10000000+IFERROR(MATCH(存条明细!D463,基础资料!$E$5:$E$104,0),900)*10000+ROW()))</f>
      </c>
      <c r="B463">
        <f>IFERROR(MATCH(SMALL($A$4:$A$4003,460),$A$4:$A$4003,0),"")</f>
      </c>
      <c r="D463">
        <f>IF(AND(商品库存!B463&lt;&gt;"",商品库存!B463=客户查询!$B$4),COUNTIF(商品库存!$B$4:B463,客户查询!$B$4),"")</f>
      </c>
      <c r="E463">
        <f>IF(AND(商品库存!B463&lt;&gt;"",商品库存!B463=客户对账单!$B$4),COUNTIF(商品库存!$B$4:B463,客户对账单!$B$4),"")</f>
      </c>
      <c r="F463">
        <f>IF(AND(出库明细!C463&lt;&gt;"",出库明细!C463=客户对账单!$B$4,ISNUMBER(出库明细!B463),出库明细!B463&gt;=客户对账单!$G$4,出库明细!B463&lt;=客户对账单!$I$4),出库明细!B463+ROW()/100000,"")</f>
      </c>
      <c r="H463">
        <f>IF(AND(采购进货!C463&lt;&gt;"",采购进货!C463=供应商对账单!$B$4,ISNUMBER(采购进货!B463),采购进货!B463&gt;=供应商对账单!$G$4,采购进货!B463&lt;=供应商对账单!$I$4),采购进货!B463+ROW()/100000,"")</f>
      </c>
      <c r="N463">
        <f>IF(AND(ISNUMBER(出库明细!G463),ISNUMBER(出库明细!E463),ISNUMBER(出库明细!F463)),IF(ABS(出库明细!G463-出库明细!E463*出库明细!F463)&gt;0.005,1,0),0)</f>
        <v>0</v>
      </c>
      <c r="O463">
        <f>IF(AND(ISNUMBER(存条明细!G463),ISNUMBER(存条明细!E463),ISNUMBER(存条明细!F463)),IF(ABS(存条明细!G463-存条明细!E463*存条明细!F463)&gt;0.005,1,0),0)</f>
        <v>0</v>
      </c>
    </row>
    <row r="464">
      <c r="A464">
        <f>IF(OR(存条明细!C464="",存条明细!D464=""),"",IF(COUNTIFS(存条明细!$C$4:C464,存条明细!C464,存条明细!$D$4:D464,存条明细!D464)&gt;1,"",IFERROR(MATCH(存条明细!C464,总览汇总!$B$5:$B$304,0),900)*10000000+IFERROR(MATCH(存条明细!D464,基础资料!$E$5:$E$104,0),900)*10000+ROW()))</f>
      </c>
      <c r="B464">
        <f>IFERROR(MATCH(SMALL($A$4:$A$4003,461),$A$4:$A$4003,0),"")</f>
      </c>
      <c r="D464">
        <f>IF(AND(商品库存!B464&lt;&gt;"",商品库存!B464=客户查询!$B$4),COUNTIF(商品库存!$B$4:B464,客户查询!$B$4),"")</f>
      </c>
      <c r="E464">
        <f>IF(AND(商品库存!B464&lt;&gt;"",商品库存!B464=客户对账单!$B$4),COUNTIF(商品库存!$B$4:B464,客户对账单!$B$4),"")</f>
      </c>
      <c r="F464">
        <f>IF(AND(出库明细!C464&lt;&gt;"",出库明细!C464=客户对账单!$B$4,ISNUMBER(出库明细!B464),出库明细!B464&gt;=客户对账单!$G$4,出库明细!B464&lt;=客户对账单!$I$4),出库明细!B464+ROW()/100000,"")</f>
      </c>
      <c r="H464">
        <f>IF(AND(采购进货!C464&lt;&gt;"",采购进货!C464=供应商对账单!$B$4,ISNUMBER(采购进货!B464),采购进货!B464&gt;=供应商对账单!$G$4,采购进货!B464&lt;=供应商对账单!$I$4),采购进货!B464+ROW()/100000,"")</f>
      </c>
      <c r="N464">
        <f>IF(AND(ISNUMBER(出库明细!G464),ISNUMBER(出库明细!E464),ISNUMBER(出库明细!F464)),IF(ABS(出库明细!G464-出库明细!E464*出库明细!F464)&gt;0.005,1,0),0)</f>
        <v>0</v>
      </c>
      <c r="O464">
        <f>IF(AND(ISNUMBER(存条明细!G464),ISNUMBER(存条明细!E464),ISNUMBER(存条明细!F464)),IF(ABS(存条明细!G464-存条明细!E464*存条明细!F464)&gt;0.005,1,0),0)</f>
        <v>0</v>
      </c>
    </row>
    <row r="465">
      <c r="A465">
        <f>IF(OR(存条明细!C465="",存条明细!D465=""),"",IF(COUNTIFS(存条明细!$C$4:C465,存条明细!C465,存条明细!$D$4:D465,存条明细!D465)&gt;1,"",IFERROR(MATCH(存条明细!C465,总览汇总!$B$5:$B$304,0),900)*10000000+IFERROR(MATCH(存条明细!D465,基础资料!$E$5:$E$104,0),900)*10000+ROW()))</f>
      </c>
      <c r="B465">
        <f>IFERROR(MATCH(SMALL($A$4:$A$4003,462),$A$4:$A$4003,0),"")</f>
      </c>
      <c r="D465">
        <f>IF(AND(商品库存!B465&lt;&gt;"",商品库存!B465=客户查询!$B$4),COUNTIF(商品库存!$B$4:B465,客户查询!$B$4),"")</f>
      </c>
      <c r="E465">
        <f>IF(AND(商品库存!B465&lt;&gt;"",商品库存!B465=客户对账单!$B$4),COUNTIF(商品库存!$B$4:B465,客户对账单!$B$4),"")</f>
      </c>
      <c r="F465">
        <f>IF(AND(出库明细!C465&lt;&gt;"",出库明细!C465=客户对账单!$B$4,ISNUMBER(出库明细!B465),出库明细!B465&gt;=客户对账单!$G$4,出库明细!B465&lt;=客户对账单!$I$4),出库明细!B465+ROW()/100000,"")</f>
      </c>
      <c r="H465">
        <f>IF(AND(采购进货!C465&lt;&gt;"",采购进货!C465=供应商对账单!$B$4,ISNUMBER(采购进货!B465),采购进货!B465&gt;=供应商对账单!$G$4,采购进货!B465&lt;=供应商对账单!$I$4),采购进货!B465+ROW()/100000,"")</f>
      </c>
      <c r="N465">
        <f>IF(AND(ISNUMBER(出库明细!G465),ISNUMBER(出库明细!E465),ISNUMBER(出库明细!F465)),IF(ABS(出库明细!G465-出库明细!E465*出库明细!F465)&gt;0.005,1,0),0)</f>
        <v>0</v>
      </c>
      <c r="O465">
        <f>IF(AND(ISNUMBER(存条明细!G465),ISNUMBER(存条明细!E465),ISNUMBER(存条明细!F465)),IF(ABS(存条明细!G465-存条明细!E465*存条明细!F465)&gt;0.005,1,0),0)</f>
        <v>0</v>
      </c>
    </row>
    <row r="466">
      <c r="A466">
        <f>IF(OR(存条明细!C466="",存条明细!D466=""),"",IF(COUNTIFS(存条明细!$C$4:C466,存条明细!C466,存条明细!$D$4:D466,存条明细!D466)&gt;1,"",IFERROR(MATCH(存条明细!C466,总览汇总!$B$5:$B$304,0),900)*10000000+IFERROR(MATCH(存条明细!D466,基础资料!$E$5:$E$104,0),900)*10000+ROW()))</f>
      </c>
      <c r="B466">
        <f>IFERROR(MATCH(SMALL($A$4:$A$4003,463),$A$4:$A$4003,0),"")</f>
      </c>
      <c r="D466">
        <f>IF(AND(商品库存!B466&lt;&gt;"",商品库存!B466=客户查询!$B$4),COUNTIF(商品库存!$B$4:B466,客户查询!$B$4),"")</f>
      </c>
      <c r="E466">
        <f>IF(AND(商品库存!B466&lt;&gt;"",商品库存!B466=客户对账单!$B$4),COUNTIF(商品库存!$B$4:B466,客户对账单!$B$4),"")</f>
      </c>
      <c r="F466">
        <f>IF(AND(出库明细!C466&lt;&gt;"",出库明细!C466=客户对账单!$B$4,ISNUMBER(出库明细!B466),出库明细!B466&gt;=客户对账单!$G$4,出库明细!B466&lt;=客户对账单!$I$4),出库明细!B466+ROW()/100000,"")</f>
      </c>
      <c r="H466">
        <f>IF(AND(采购进货!C466&lt;&gt;"",采购进货!C466=供应商对账单!$B$4,ISNUMBER(采购进货!B466),采购进货!B466&gt;=供应商对账单!$G$4,采购进货!B466&lt;=供应商对账单!$I$4),采购进货!B466+ROW()/100000,"")</f>
      </c>
      <c r="N466">
        <f>IF(AND(ISNUMBER(出库明细!G466),ISNUMBER(出库明细!E466),ISNUMBER(出库明细!F466)),IF(ABS(出库明细!G466-出库明细!E466*出库明细!F466)&gt;0.005,1,0),0)</f>
        <v>0</v>
      </c>
      <c r="O466">
        <f>IF(AND(ISNUMBER(存条明细!G466),ISNUMBER(存条明细!E466),ISNUMBER(存条明细!F466)),IF(ABS(存条明细!G466-存条明细!E466*存条明细!F466)&gt;0.005,1,0),0)</f>
        <v>0</v>
      </c>
    </row>
    <row r="467">
      <c r="A467">
        <f>IF(OR(存条明细!C467="",存条明细!D467=""),"",IF(COUNTIFS(存条明细!$C$4:C467,存条明细!C467,存条明细!$D$4:D467,存条明细!D467)&gt;1,"",IFERROR(MATCH(存条明细!C467,总览汇总!$B$5:$B$304,0),900)*10000000+IFERROR(MATCH(存条明细!D467,基础资料!$E$5:$E$104,0),900)*10000+ROW()))</f>
      </c>
      <c r="B467">
        <f>IFERROR(MATCH(SMALL($A$4:$A$4003,464),$A$4:$A$4003,0),"")</f>
      </c>
      <c r="D467">
        <f>IF(AND(商品库存!B467&lt;&gt;"",商品库存!B467=客户查询!$B$4),COUNTIF(商品库存!$B$4:B467,客户查询!$B$4),"")</f>
      </c>
      <c r="E467">
        <f>IF(AND(商品库存!B467&lt;&gt;"",商品库存!B467=客户对账单!$B$4),COUNTIF(商品库存!$B$4:B467,客户对账单!$B$4),"")</f>
      </c>
      <c r="F467">
        <f>IF(AND(出库明细!C467&lt;&gt;"",出库明细!C467=客户对账单!$B$4,ISNUMBER(出库明细!B467),出库明细!B467&gt;=客户对账单!$G$4,出库明细!B467&lt;=客户对账单!$I$4),出库明细!B467+ROW()/100000,"")</f>
      </c>
      <c r="H467">
        <f>IF(AND(采购进货!C467&lt;&gt;"",采购进货!C467=供应商对账单!$B$4,ISNUMBER(采购进货!B467),采购进货!B467&gt;=供应商对账单!$G$4,采购进货!B467&lt;=供应商对账单!$I$4),采购进货!B467+ROW()/100000,"")</f>
      </c>
      <c r="N467">
        <f>IF(AND(ISNUMBER(出库明细!G467),ISNUMBER(出库明细!E467),ISNUMBER(出库明细!F467)),IF(ABS(出库明细!G467-出库明细!E467*出库明细!F467)&gt;0.005,1,0),0)</f>
        <v>0</v>
      </c>
      <c r="O467">
        <f>IF(AND(ISNUMBER(存条明细!G467),ISNUMBER(存条明细!E467),ISNUMBER(存条明细!F467)),IF(ABS(存条明细!G467-存条明细!E467*存条明细!F467)&gt;0.005,1,0),0)</f>
        <v>0</v>
      </c>
    </row>
    <row r="468">
      <c r="A468">
        <f>IF(OR(存条明细!C468="",存条明细!D468=""),"",IF(COUNTIFS(存条明细!$C$4:C468,存条明细!C468,存条明细!$D$4:D468,存条明细!D468)&gt;1,"",IFERROR(MATCH(存条明细!C468,总览汇总!$B$5:$B$304,0),900)*10000000+IFERROR(MATCH(存条明细!D468,基础资料!$E$5:$E$104,0),900)*10000+ROW()))</f>
      </c>
      <c r="B468">
        <f>IFERROR(MATCH(SMALL($A$4:$A$4003,465),$A$4:$A$4003,0),"")</f>
      </c>
      <c r="D468">
        <f>IF(AND(商品库存!B468&lt;&gt;"",商品库存!B468=客户查询!$B$4),COUNTIF(商品库存!$B$4:B468,客户查询!$B$4),"")</f>
      </c>
      <c r="E468">
        <f>IF(AND(商品库存!B468&lt;&gt;"",商品库存!B468=客户对账单!$B$4),COUNTIF(商品库存!$B$4:B468,客户对账单!$B$4),"")</f>
      </c>
      <c r="F468">
        <f>IF(AND(出库明细!C468&lt;&gt;"",出库明细!C468=客户对账单!$B$4,ISNUMBER(出库明细!B468),出库明细!B468&gt;=客户对账单!$G$4,出库明细!B468&lt;=客户对账单!$I$4),出库明细!B468+ROW()/100000,"")</f>
      </c>
      <c r="H468">
        <f>IF(AND(采购进货!C468&lt;&gt;"",采购进货!C468=供应商对账单!$B$4,ISNUMBER(采购进货!B468),采购进货!B468&gt;=供应商对账单!$G$4,采购进货!B468&lt;=供应商对账单!$I$4),采购进货!B468+ROW()/100000,"")</f>
      </c>
      <c r="N468">
        <f>IF(AND(ISNUMBER(出库明细!G468),ISNUMBER(出库明细!E468),ISNUMBER(出库明细!F468)),IF(ABS(出库明细!G468-出库明细!E468*出库明细!F468)&gt;0.005,1,0),0)</f>
        <v>0</v>
      </c>
      <c r="O468">
        <f>IF(AND(ISNUMBER(存条明细!G468),ISNUMBER(存条明细!E468),ISNUMBER(存条明细!F468)),IF(ABS(存条明细!G468-存条明细!E468*存条明细!F468)&gt;0.005,1,0),0)</f>
        <v>0</v>
      </c>
    </row>
    <row r="469">
      <c r="A469">
        <f>IF(OR(存条明细!C469="",存条明细!D469=""),"",IF(COUNTIFS(存条明细!$C$4:C469,存条明细!C469,存条明细!$D$4:D469,存条明细!D469)&gt;1,"",IFERROR(MATCH(存条明细!C469,总览汇总!$B$5:$B$304,0),900)*10000000+IFERROR(MATCH(存条明细!D469,基础资料!$E$5:$E$104,0),900)*10000+ROW()))</f>
      </c>
      <c r="B469">
        <f>IFERROR(MATCH(SMALL($A$4:$A$4003,466),$A$4:$A$4003,0),"")</f>
      </c>
      <c r="D469">
        <f>IF(AND(商品库存!B469&lt;&gt;"",商品库存!B469=客户查询!$B$4),COUNTIF(商品库存!$B$4:B469,客户查询!$B$4),"")</f>
      </c>
      <c r="E469">
        <f>IF(AND(商品库存!B469&lt;&gt;"",商品库存!B469=客户对账单!$B$4),COUNTIF(商品库存!$B$4:B469,客户对账单!$B$4),"")</f>
      </c>
      <c r="F469">
        <f>IF(AND(出库明细!C469&lt;&gt;"",出库明细!C469=客户对账单!$B$4,ISNUMBER(出库明细!B469),出库明细!B469&gt;=客户对账单!$G$4,出库明细!B469&lt;=客户对账单!$I$4),出库明细!B469+ROW()/100000,"")</f>
      </c>
      <c r="H469">
        <f>IF(AND(采购进货!C469&lt;&gt;"",采购进货!C469=供应商对账单!$B$4,ISNUMBER(采购进货!B469),采购进货!B469&gt;=供应商对账单!$G$4,采购进货!B469&lt;=供应商对账单!$I$4),采购进货!B469+ROW()/100000,"")</f>
      </c>
      <c r="N469">
        <f>IF(AND(ISNUMBER(出库明细!G469),ISNUMBER(出库明细!E469),ISNUMBER(出库明细!F469)),IF(ABS(出库明细!G469-出库明细!E469*出库明细!F469)&gt;0.005,1,0),0)</f>
        <v>0</v>
      </c>
      <c r="O469">
        <f>IF(AND(ISNUMBER(存条明细!G469),ISNUMBER(存条明细!E469),ISNUMBER(存条明细!F469)),IF(ABS(存条明细!G469-存条明细!E469*存条明细!F469)&gt;0.005,1,0),0)</f>
        <v>0</v>
      </c>
    </row>
    <row r="470">
      <c r="A470">
        <f>IF(OR(存条明细!C470="",存条明细!D470=""),"",IF(COUNTIFS(存条明细!$C$4:C470,存条明细!C470,存条明细!$D$4:D470,存条明细!D470)&gt;1,"",IFERROR(MATCH(存条明细!C470,总览汇总!$B$5:$B$304,0),900)*10000000+IFERROR(MATCH(存条明细!D470,基础资料!$E$5:$E$104,0),900)*10000+ROW()))</f>
      </c>
      <c r="B470">
        <f>IFERROR(MATCH(SMALL($A$4:$A$4003,467),$A$4:$A$4003,0),"")</f>
      </c>
      <c r="D470">
        <f>IF(AND(商品库存!B470&lt;&gt;"",商品库存!B470=客户查询!$B$4),COUNTIF(商品库存!$B$4:B470,客户查询!$B$4),"")</f>
      </c>
      <c r="E470">
        <f>IF(AND(商品库存!B470&lt;&gt;"",商品库存!B470=客户对账单!$B$4),COUNTIF(商品库存!$B$4:B470,客户对账单!$B$4),"")</f>
      </c>
      <c r="F470">
        <f>IF(AND(出库明细!C470&lt;&gt;"",出库明细!C470=客户对账单!$B$4,ISNUMBER(出库明细!B470),出库明细!B470&gt;=客户对账单!$G$4,出库明细!B470&lt;=客户对账单!$I$4),出库明细!B470+ROW()/100000,"")</f>
      </c>
      <c r="H470">
        <f>IF(AND(采购进货!C470&lt;&gt;"",采购进货!C470=供应商对账单!$B$4,ISNUMBER(采购进货!B470),采购进货!B470&gt;=供应商对账单!$G$4,采购进货!B470&lt;=供应商对账单!$I$4),采购进货!B470+ROW()/100000,"")</f>
      </c>
      <c r="N470">
        <f>IF(AND(ISNUMBER(出库明细!G470),ISNUMBER(出库明细!E470),ISNUMBER(出库明细!F470)),IF(ABS(出库明细!G470-出库明细!E470*出库明细!F470)&gt;0.005,1,0),0)</f>
        <v>0</v>
      </c>
      <c r="O470">
        <f>IF(AND(ISNUMBER(存条明细!G470),ISNUMBER(存条明细!E470),ISNUMBER(存条明细!F470)),IF(ABS(存条明细!G470-存条明细!E470*存条明细!F470)&gt;0.005,1,0),0)</f>
        <v>0</v>
      </c>
    </row>
    <row r="471">
      <c r="A471">
        <f>IF(OR(存条明细!C471="",存条明细!D471=""),"",IF(COUNTIFS(存条明细!$C$4:C471,存条明细!C471,存条明细!$D$4:D471,存条明细!D471)&gt;1,"",IFERROR(MATCH(存条明细!C471,总览汇总!$B$5:$B$304,0),900)*10000000+IFERROR(MATCH(存条明细!D471,基础资料!$E$5:$E$104,0),900)*10000+ROW()))</f>
      </c>
      <c r="B471">
        <f>IFERROR(MATCH(SMALL($A$4:$A$4003,468),$A$4:$A$4003,0),"")</f>
      </c>
      <c r="D471">
        <f>IF(AND(商品库存!B471&lt;&gt;"",商品库存!B471=客户查询!$B$4),COUNTIF(商品库存!$B$4:B471,客户查询!$B$4),"")</f>
      </c>
      <c r="E471">
        <f>IF(AND(商品库存!B471&lt;&gt;"",商品库存!B471=客户对账单!$B$4),COUNTIF(商品库存!$B$4:B471,客户对账单!$B$4),"")</f>
      </c>
      <c r="F471">
        <f>IF(AND(出库明细!C471&lt;&gt;"",出库明细!C471=客户对账单!$B$4,ISNUMBER(出库明细!B471),出库明细!B471&gt;=客户对账单!$G$4,出库明细!B471&lt;=客户对账单!$I$4),出库明细!B471+ROW()/100000,"")</f>
      </c>
      <c r="H471">
        <f>IF(AND(采购进货!C471&lt;&gt;"",采购进货!C471=供应商对账单!$B$4,ISNUMBER(采购进货!B471),采购进货!B471&gt;=供应商对账单!$G$4,采购进货!B471&lt;=供应商对账单!$I$4),采购进货!B471+ROW()/100000,"")</f>
      </c>
      <c r="N471">
        <f>IF(AND(ISNUMBER(出库明细!G471),ISNUMBER(出库明细!E471),ISNUMBER(出库明细!F471)),IF(ABS(出库明细!G471-出库明细!E471*出库明细!F471)&gt;0.005,1,0),0)</f>
        <v>0</v>
      </c>
      <c r="O471">
        <f>IF(AND(ISNUMBER(存条明细!G471),ISNUMBER(存条明细!E471),ISNUMBER(存条明细!F471)),IF(ABS(存条明细!G471-存条明细!E471*存条明细!F471)&gt;0.005,1,0),0)</f>
        <v>0</v>
      </c>
    </row>
    <row r="472">
      <c r="A472">
        <f>IF(OR(存条明细!C472="",存条明细!D472=""),"",IF(COUNTIFS(存条明细!$C$4:C472,存条明细!C472,存条明细!$D$4:D472,存条明细!D472)&gt;1,"",IFERROR(MATCH(存条明细!C472,总览汇总!$B$5:$B$304,0),900)*10000000+IFERROR(MATCH(存条明细!D472,基础资料!$E$5:$E$104,0),900)*10000+ROW()))</f>
      </c>
      <c r="B472">
        <f>IFERROR(MATCH(SMALL($A$4:$A$4003,469),$A$4:$A$4003,0),"")</f>
      </c>
      <c r="D472">
        <f>IF(AND(商品库存!B472&lt;&gt;"",商品库存!B472=客户查询!$B$4),COUNTIF(商品库存!$B$4:B472,客户查询!$B$4),"")</f>
      </c>
      <c r="E472">
        <f>IF(AND(商品库存!B472&lt;&gt;"",商品库存!B472=客户对账单!$B$4),COUNTIF(商品库存!$B$4:B472,客户对账单!$B$4),"")</f>
      </c>
      <c r="F472">
        <f>IF(AND(出库明细!C472&lt;&gt;"",出库明细!C472=客户对账单!$B$4,ISNUMBER(出库明细!B472),出库明细!B472&gt;=客户对账单!$G$4,出库明细!B472&lt;=客户对账单!$I$4),出库明细!B472+ROW()/100000,"")</f>
      </c>
      <c r="H472">
        <f>IF(AND(采购进货!C472&lt;&gt;"",采购进货!C472=供应商对账单!$B$4,ISNUMBER(采购进货!B472),采购进货!B472&gt;=供应商对账单!$G$4,采购进货!B472&lt;=供应商对账单!$I$4),采购进货!B472+ROW()/100000,"")</f>
      </c>
      <c r="N472">
        <f>IF(AND(ISNUMBER(出库明细!G472),ISNUMBER(出库明细!E472),ISNUMBER(出库明细!F472)),IF(ABS(出库明细!G472-出库明细!E472*出库明细!F472)&gt;0.005,1,0),0)</f>
        <v>0</v>
      </c>
      <c r="O472">
        <f>IF(AND(ISNUMBER(存条明细!G472),ISNUMBER(存条明细!E472),ISNUMBER(存条明细!F472)),IF(ABS(存条明细!G472-存条明细!E472*存条明细!F472)&gt;0.005,1,0),0)</f>
        <v>0</v>
      </c>
    </row>
    <row r="473">
      <c r="A473">
        <f>IF(OR(存条明细!C473="",存条明细!D473=""),"",IF(COUNTIFS(存条明细!$C$4:C473,存条明细!C473,存条明细!$D$4:D473,存条明细!D473)&gt;1,"",IFERROR(MATCH(存条明细!C473,总览汇总!$B$5:$B$304,0),900)*10000000+IFERROR(MATCH(存条明细!D473,基础资料!$E$5:$E$104,0),900)*10000+ROW()))</f>
      </c>
      <c r="B473">
        <f>IFERROR(MATCH(SMALL($A$4:$A$4003,470),$A$4:$A$4003,0),"")</f>
      </c>
      <c r="D473">
        <f>IF(AND(商品库存!B473&lt;&gt;"",商品库存!B473=客户查询!$B$4),COUNTIF(商品库存!$B$4:B473,客户查询!$B$4),"")</f>
      </c>
      <c r="E473">
        <f>IF(AND(商品库存!B473&lt;&gt;"",商品库存!B473=客户对账单!$B$4),COUNTIF(商品库存!$B$4:B473,客户对账单!$B$4),"")</f>
      </c>
      <c r="F473">
        <f>IF(AND(出库明细!C473&lt;&gt;"",出库明细!C473=客户对账单!$B$4,ISNUMBER(出库明细!B473),出库明细!B473&gt;=客户对账单!$G$4,出库明细!B473&lt;=客户对账单!$I$4),出库明细!B473+ROW()/100000,"")</f>
      </c>
      <c r="H473">
        <f>IF(AND(采购进货!C473&lt;&gt;"",采购进货!C473=供应商对账单!$B$4,ISNUMBER(采购进货!B473),采购进货!B473&gt;=供应商对账单!$G$4,采购进货!B473&lt;=供应商对账单!$I$4),采购进货!B473+ROW()/100000,"")</f>
      </c>
      <c r="N473">
        <f>IF(AND(ISNUMBER(出库明细!G473),ISNUMBER(出库明细!E473),ISNUMBER(出库明细!F473)),IF(ABS(出库明细!G473-出库明细!E473*出库明细!F473)&gt;0.005,1,0),0)</f>
        <v>0</v>
      </c>
      <c r="O473">
        <f>IF(AND(ISNUMBER(存条明细!G473),ISNUMBER(存条明细!E473),ISNUMBER(存条明细!F473)),IF(ABS(存条明细!G473-存条明细!E473*存条明细!F473)&gt;0.005,1,0),0)</f>
        <v>0</v>
      </c>
    </row>
    <row r="474">
      <c r="A474">
        <f>IF(OR(存条明细!C474="",存条明细!D474=""),"",IF(COUNTIFS(存条明细!$C$4:C474,存条明细!C474,存条明细!$D$4:D474,存条明细!D474)&gt;1,"",IFERROR(MATCH(存条明细!C474,总览汇总!$B$5:$B$304,0),900)*10000000+IFERROR(MATCH(存条明细!D474,基础资料!$E$5:$E$104,0),900)*10000+ROW()))</f>
      </c>
      <c r="B474">
        <f>IFERROR(MATCH(SMALL($A$4:$A$4003,471),$A$4:$A$4003,0),"")</f>
      </c>
      <c r="D474">
        <f>IF(AND(商品库存!B474&lt;&gt;"",商品库存!B474=客户查询!$B$4),COUNTIF(商品库存!$B$4:B474,客户查询!$B$4),"")</f>
      </c>
      <c r="E474">
        <f>IF(AND(商品库存!B474&lt;&gt;"",商品库存!B474=客户对账单!$B$4),COUNTIF(商品库存!$B$4:B474,客户对账单!$B$4),"")</f>
      </c>
      <c r="F474">
        <f>IF(AND(出库明细!C474&lt;&gt;"",出库明细!C474=客户对账单!$B$4,ISNUMBER(出库明细!B474),出库明细!B474&gt;=客户对账单!$G$4,出库明细!B474&lt;=客户对账单!$I$4),出库明细!B474+ROW()/100000,"")</f>
      </c>
      <c r="H474">
        <f>IF(AND(采购进货!C474&lt;&gt;"",采购进货!C474=供应商对账单!$B$4,ISNUMBER(采购进货!B474),采购进货!B474&gt;=供应商对账单!$G$4,采购进货!B474&lt;=供应商对账单!$I$4),采购进货!B474+ROW()/100000,"")</f>
      </c>
      <c r="N474">
        <f>IF(AND(ISNUMBER(出库明细!G474),ISNUMBER(出库明细!E474),ISNUMBER(出库明细!F474)),IF(ABS(出库明细!G474-出库明细!E474*出库明细!F474)&gt;0.005,1,0),0)</f>
        <v>0</v>
      </c>
      <c r="O474">
        <f>IF(AND(ISNUMBER(存条明细!G474),ISNUMBER(存条明细!E474),ISNUMBER(存条明细!F474)),IF(ABS(存条明细!G474-存条明细!E474*存条明细!F474)&gt;0.005,1,0),0)</f>
        <v>0</v>
      </c>
    </row>
    <row r="475">
      <c r="A475">
        <f>IF(OR(存条明细!C475="",存条明细!D475=""),"",IF(COUNTIFS(存条明细!$C$4:C475,存条明细!C475,存条明细!$D$4:D475,存条明细!D475)&gt;1,"",IFERROR(MATCH(存条明细!C475,总览汇总!$B$5:$B$304,0),900)*10000000+IFERROR(MATCH(存条明细!D475,基础资料!$E$5:$E$104,0),900)*10000+ROW()))</f>
      </c>
      <c r="B475">
        <f>IFERROR(MATCH(SMALL($A$4:$A$4003,472),$A$4:$A$4003,0),"")</f>
      </c>
      <c r="D475">
        <f>IF(AND(商品库存!B475&lt;&gt;"",商品库存!B475=客户查询!$B$4),COUNTIF(商品库存!$B$4:B475,客户查询!$B$4),"")</f>
      </c>
      <c r="E475">
        <f>IF(AND(商品库存!B475&lt;&gt;"",商品库存!B475=客户对账单!$B$4),COUNTIF(商品库存!$B$4:B475,客户对账单!$B$4),"")</f>
      </c>
      <c r="F475">
        <f>IF(AND(出库明细!C475&lt;&gt;"",出库明细!C475=客户对账单!$B$4,ISNUMBER(出库明细!B475),出库明细!B475&gt;=客户对账单!$G$4,出库明细!B475&lt;=客户对账单!$I$4),出库明细!B475+ROW()/100000,"")</f>
      </c>
      <c r="H475">
        <f>IF(AND(采购进货!C475&lt;&gt;"",采购进货!C475=供应商对账单!$B$4,ISNUMBER(采购进货!B475),采购进货!B475&gt;=供应商对账单!$G$4,采购进货!B475&lt;=供应商对账单!$I$4),采购进货!B475+ROW()/100000,"")</f>
      </c>
      <c r="N475">
        <f>IF(AND(ISNUMBER(出库明细!G475),ISNUMBER(出库明细!E475),ISNUMBER(出库明细!F475)),IF(ABS(出库明细!G475-出库明细!E475*出库明细!F475)&gt;0.005,1,0),0)</f>
        <v>0</v>
      </c>
      <c r="O475">
        <f>IF(AND(ISNUMBER(存条明细!G475),ISNUMBER(存条明细!E475),ISNUMBER(存条明细!F475)),IF(ABS(存条明细!G475-存条明细!E475*存条明细!F475)&gt;0.005,1,0),0)</f>
        <v>0</v>
      </c>
    </row>
    <row r="476">
      <c r="A476">
        <f>IF(OR(存条明细!C476="",存条明细!D476=""),"",IF(COUNTIFS(存条明细!$C$4:C476,存条明细!C476,存条明细!$D$4:D476,存条明细!D476)&gt;1,"",IFERROR(MATCH(存条明细!C476,总览汇总!$B$5:$B$304,0),900)*10000000+IFERROR(MATCH(存条明细!D476,基础资料!$E$5:$E$104,0),900)*10000+ROW()))</f>
      </c>
      <c r="B476">
        <f>IFERROR(MATCH(SMALL($A$4:$A$4003,473),$A$4:$A$4003,0),"")</f>
      </c>
      <c r="D476">
        <f>IF(AND(商品库存!B476&lt;&gt;"",商品库存!B476=客户查询!$B$4),COUNTIF(商品库存!$B$4:B476,客户查询!$B$4),"")</f>
      </c>
      <c r="E476">
        <f>IF(AND(商品库存!B476&lt;&gt;"",商品库存!B476=客户对账单!$B$4),COUNTIF(商品库存!$B$4:B476,客户对账单!$B$4),"")</f>
      </c>
      <c r="F476">
        <f>IF(AND(出库明细!C476&lt;&gt;"",出库明细!C476=客户对账单!$B$4,ISNUMBER(出库明细!B476),出库明细!B476&gt;=客户对账单!$G$4,出库明细!B476&lt;=客户对账单!$I$4),出库明细!B476+ROW()/100000,"")</f>
      </c>
      <c r="H476">
        <f>IF(AND(采购进货!C476&lt;&gt;"",采购进货!C476=供应商对账单!$B$4,ISNUMBER(采购进货!B476),采购进货!B476&gt;=供应商对账单!$G$4,采购进货!B476&lt;=供应商对账单!$I$4),采购进货!B476+ROW()/100000,"")</f>
      </c>
      <c r="N476">
        <f>IF(AND(ISNUMBER(出库明细!G476),ISNUMBER(出库明细!E476),ISNUMBER(出库明细!F476)),IF(ABS(出库明细!G476-出库明细!E476*出库明细!F476)&gt;0.005,1,0),0)</f>
        <v>0</v>
      </c>
      <c r="O476">
        <f>IF(AND(ISNUMBER(存条明细!G476),ISNUMBER(存条明细!E476),ISNUMBER(存条明细!F476)),IF(ABS(存条明细!G476-存条明细!E476*存条明细!F476)&gt;0.005,1,0),0)</f>
        <v>0</v>
      </c>
    </row>
    <row r="477">
      <c r="A477">
        <f>IF(OR(存条明细!C477="",存条明细!D477=""),"",IF(COUNTIFS(存条明细!$C$4:C477,存条明细!C477,存条明细!$D$4:D477,存条明细!D477)&gt;1,"",IFERROR(MATCH(存条明细!C477,总览汇总!$B$5:$B$304,0),900)*10000000+IFERROR(MATCH(存条明细!D477,基础资料!$E$5:$E$104,0),900)*10000+ROW()))</f>
      </c>
      <c r="B477">
        <f>IFERROR(MATCH(SMALL($A$4:$A$4003,474),$A$4:$A$4003,0),"")</f>
      </c>
      <c r="D477">
        <f>IF(AND(商品库存!B477&lt;&gt;"",商品库存!B477=客户查询!$B$4),COUNTIF(商品库存!$B$4:B477,客户查询!$B$4),"")</f>
      </c>
      <c r="E477">
        <f>IF(AND(商品库存!B477&lt;&gt;"",商品库存!B477=客户对账单!$B$4),COUNTIF(商品库存!$B$4:B477,客户对账单!$B$4),"")</f>
      </c>
      <c r="F477">
        <f>IF(AND(出库明细!C477&lt;&gt;"",出库明细!C477=客户对账单!$B$4,ISNUMBER(出库明细!B477),出库明细!B477&gt;=客户对账单!$G$4,出库明细!B477&lt;=客户对账单!$I$4),出库明细!B477+ROW()/100000,"")</f>
      </c>
      <c r="H477">
        <f>IF(AND(采购进货!C477&lt;&gt;"",采购进货!C477=供应商对账单!$B$4,ISNUMBER(采购进货!B477),采购进货!B477&gt;=供应商对账单!$G$4,采购进货!B477&lt;=供应商对账单!$I$4),采购进货!B477+ROW()/100000,"")</f>
      </c>
      <c r="N477">
        <f>IF(AND(ISNUMBER(出库明细!G477),ISNUMBER(出库明细!E477),ISNUMBER(出库明细!F477)),IF(ABS(出库明细!G477-出库明细!E477*出库明细!F477)&gt;0.005,1,0),0)</f>
        <v>0</v>
      </c>
      <c r="O477">
        <f>IF(AND(ISNUMBER(存条明细!G477),ISNUMBER(存条明细!E477),ISNUMBER(存条明细!F477)),IF(ABS(存条明细!G477-存条明细!E477*存条明细!F477)&gt;0.005,1,0),0)</f>
        <v>0</v>
      </c>
    </row>
    <row r="478">
      <c r="A478">
        <f>IF(OR(存条明细!C478="",存条明细!D478=""),"",IF(COUNTIFS(存条明细!$C$4:C478,存条明细!C478,存条明细!$D$4:D478,存条明细!D478)&gt;1,"",IFERROR(MATCH(存条明细!C478,总览汇总!$B$5:$B$304,0),900)*10000000+IFERROR(MATCH(存条明细!D478,基础资料!$E$5:$E$104,0),900)*10000+ROW()))</f>
      </c>
      <c r="B478">
        <f>IFERROR(MATCH(SMALL($A$4:$A$4003,475),$A$4:$A$4003,0),"")</f>
      </c>
      <c r="D478">
        <f>IF(AND(商品库存!B478&lt;&gt;"",商品库存!B478=客户查询!$B$4),COUNTIF(商品库存!$B$4:B478,客户查询!$B$4),"")</f>
      </c>
      <c r="E478">
        <f>IF(AND(商品库存!B478&lt;&gt;"",商品库存!B478=客户对账单!$B$4),COUNTIF(商品库存!$B$4:B478,客户对账单!$B$4),"")</f>
      </c>
      <c r="F478">
        <f>IF(AND(出库明细!C478&lt;&gt;"",出库明细!C478=客户对账单!$B$4,ISNUMBER(出库明细!B478),出库明细!B478&gt;=客户对账单!$G$4,出库明细!B478&lt;=客户对账单!$I$4),出库明细!B478+ROW()/100000,"")</f>
      </c>
      <c r="H478">
        <f>IF(AND(采购进货!C478&lt;&gt;"",采购进货!C478=供应商对账单!$B$4,ISNUMBER(采购进货!B478),采购进货!B478&gt;=供应商对账单!$G$4,采购进货!B478&lt;=供应商对账单!$I$4),采购进货!B478+ROW()/100000,"")</f>
      </c>
      <c r="N478">
        <f>IF(AND(ISNUMBER(出库明细!G478),ISNUMBER(出库明细!E478),ISNUMBER(出库明细!F478)),IF(ABS(出库明细!G478-出库明细!E478*出库明细!F478)&gt;0.005,1,0),0)</f>
        <v>0</v>
      </c>
      <c r="O478">
        <f>IF(AND(ISNUMBER(存条明细!G478),ISNUMBER(存条明细!E478),ISNUMBER(存条明细!F478)),IF(ABS(存条明细!G478-存条明细!E478*存条明细!F478)&gt;0.005,1,0),0)</f>
        <v>0</v>
      </c>
    </row>
    <row r="479">
      <c r="A479">
        <f>IF(OR(存条明细!C479="",存条明细!D479=""),"",IF(COUNTIFS(存条明细!$C$4:C479,存条明细!C479,存条明细!$D$4:D479,存条明细!D479)&gt;1,"",IFERROR(MATCH(存条明细!C479,总览汇总!$B$5:$B$304,0),900)*10000000+IFERROR(MATCH(存条明细!D479,基础资料!$E$5:$E$104,0),900)*10000+ROW()))</f>
      </c>
      <c r="B479">
        <f>IFERROR(MATCH(SMALL($A$4:$A$4003,476),$A$4:$A$4003,0),"")</f>
      </c>
      <c r="D479">
        <f>IF(AND(商品库存!B479&lt;&gt;"",商品库存!B479=客户查询!$B$4),COUNTIF(商品库存!$B$4:B479,客户查询!$B$4),"")</f>
      </c>
      <c r="E479">
        <f>IF(AND(商品库存!B479&lt;&gt;"",商品库存!B479=客户对账单!$B$4),COUNTIF(商品库存!$B$4:B479,客户对账单!$B$4),"")</f>
      </c>
      <c r="F479">
        <f>IF(AND(出库明细!C479&lt;&gt;"",出库明细!C479=客户对账单!$B$4,ISNUMBER(出库明细!B479),出库明细!B479&gt;=客户对账单!$G$4,出库明细!B479&lt;=客户对账单!$I$4),出库明细!B479+ROW()/100000,"")</f>
      </c>
      <c r="H479">
        <f>IF(AND(采购进货!C479&lt;&gt;"",采购进货!C479=供应商对账单!$B$4,ISNUMBER(采购进货!B479),采购进货!B479&gt;=供应商对账单!$G$4,采购进货!B479&lt;=供应商对账单!$I$4),采购进货!B479+ROW()/100000,"")</f>
      </c>
      <c r="N479">
        <f>IF(AND(ISNUMBER(出库明细!G479),ISNUMBER(出库明细!E479),ISNUMBER(出库明细!F479)),IF(ABS(出库明细!G479-出库明细!E479*出库明细!F479)&gt;0.005,1,0),0)</f>
        <v>0</v>
      </c>
      <c r="O479">
        <f>IF(AND(ISNUMBER(存条明细!G479),ISNUMBER(存条明细!E479),ISNUMBER(存条明细!F479)),IF(ABS(存条明细!G479-存条明细!E479*存条明细!F479)&gt;0.005,1,0),0)</f>
        <v>0</v>
      </c>
    </row>
    <row r="480">
      <c r="A480">
        <f>IF(OR(存条明细!C480="",存条明细!D480=""),"",IF(COUNTIFS(存条明细!$C$4:C480,存条明细!C480,存条明细!$D$4:D480,存条明细!D480)&gt;1,"",IFERROR(MATCH(存条明细!C480,总览汇总!$B$5:$B$304,0),900)*10000000+IFERROR(MATCH(存条明细!D480,基础资料!$E$5:$E$104,0),900)*10000+ROW()))</f>
      </c>
      <c r="B480">
        <f>IFERROR(MATCH(SMALL($A$4:$A$4003,477),$A$4:$A$4003,0),"")</f>
      </c>
      <c r="D480">
        <f>IF(AND(商品库存!B480&lt;&gt;"",商品库存!B480=客户查询!$B$4),COUNTIF(商品库存!$B$4:B480,客户查询!$B$4),"")</f>
      </c>
      <c r="E480">
        <f>IF(AND(商品库存!B480&lt;&gt;"",商品库存!B480=客户对账单!$B$4),COUNTIF(商品库存!$B$4:B480,客户对账单!$B$4),"")</f>
      </c>
      <c r="F480">
        <f>IF(AND(出库明细!C480&lt;&gt;"",出库明细!C480=客户对账单!$B$4,ISNUMBER(出库明细!B480),出库明细!B480&gt;=客户对账单!$G$4,出库明细!B480&lt;=客户对账单!$I$4),出库明细!B480+ROW()/100000,"")</f>
      </c>
      <c r="H480">
        <f>IF(AND(采购进货!C480&lt;&gt;"",采购进货!C480=供应商对账单!$B$4,ISNUMBER(采购进货!B480),采购进货!B480&gt;=供应商对账单!$G$4,采购进货!B480&lt;=供应商对账单!$I$4),采购进货!B480+ROW()/100000,"")</f>
      </c>
      <c r="N480">
        <f>IF(AND(ISNUMBER(出库明细!G480),ISNUMBER(出库明细!E480),ISNUMBER(出库明细!F480)),IF(ABS(出库明细!G480-出库明细!E480*出库明细!F480)&gt;0.005,1,0),0)</f>
        <v>0</v>
      </c>
      <c r="O480">
        <f>IF(AND(ISNUMBER(存条明细!G480),ISNUMBER(存条明细!E480),ISNUMBER(存条明细!F480)),IF(ABS(存条明细!G480-存条明细!E480*存条明细!F480)&gt;0.005,1,0),0)</f>
        <v>0</v>
      </c>
    </row>
    <row r="481">
      <c r="A481">
        <f>IF(OR(存条明细!C481="",存条明细!D481=""),"",IF(COUNTIFS(存条明细!$C$4:C481,存条明细!C481,存条明细!$D$4:D481,存条明细!D481)&gt;1,"",IFERROR(MATCH(存条明细!C481,总览汇总!$B$5:$B$304,0),900)*10000000+IFERROR(MATCH(存条明细!D481,基础资料!$E$5:$E$104,0),900)*10000+ROW()))</f>
      </c>
      <c r="B481">
        <f>IFERROR(MATCH(SMALL($A$4:$A$4003,478),$A$4:$A$4003,0),"")</f>
      </c>
      <c r="D481">
        <f>IF(AND(商品库存!B481&lt;&gt;"",商品库存!B481=客户查询!$B$4),COUNTIF(商品库存!$B$4:B481,客户查询!$B$4),"")</f>
      </c>
      <c r="E481">
        <f>IF(AND(商品库存!B481&lt;&gt;"",商品库存!B481=客户对账单!$B$4),COUNTIF(商品库存!$B$4:B481,客户对账单!$B$4),"")</f>
      </c>
      <c r="F481">
        <f>IF(AND(出库明细!C481&lt;&gt;"",出库明细!C481=客户对账单!$B$4,ISNUMBER(出库明细!B481),出库明细!B481&gt;=客户对账单!$G$4,出库明细!B481&lt;=客户对账单!$I$4),出库明细!B481+ROW()/100000,"")</f>
      </c>
      <c r="H481">
        <f>IF(AND(采购进货!C481&lt;&gt;"",采购进货!C481=供应商对账单!$B$4,ISNUMBER(采购进货!B481),采购进货!B481&gt;=供应商对账单!$G$4,采购进货!B481&lt;=供应商对账单!$I$4),采购进货!B481+ROW()/100000,"")</f>
      </c>
      <c r="N481">
        <f>IF(AND(ISNUMBER(出库明细!G481),ISNUMBER(出库明细!E481),ISNUMBER(出库明细!F481)),IF(ABS(出库明细!G481-出库明细!E481*出库明细!F481)&gt;0.005,1,0),0)</f>
        <v>0</v>
      </c>
      <c r="O481">
        <f>IF(AND(ISNUMBER(存条明细!G481),ISNUMBER(存条明细!E481),ISNUMBER(存条明细!F481)),IF(ABS(存条明细!G481-存条明细!E481*存条明细!F481)&gt;0.005,1,0),0)</f>
        <v>0</v>
      </c>
    </row>
    <row r="482">
      <c r="A482">
        <f>IF(OR(存条明细!C482="",存条明细!D482=""),"",IF(COUNTIFS(存条明细!$C$4:C482,存条明细!C482,存条明细!$D$4:D482,存条明细!D482)&gt;1,"",IFERROR(MATCH(存条明细!C482,总览汇总!$B$5:$B$304,0),900)*10000000+IFERROR(MATCH(存条明细!D482,基础资料!$E$5:$E$104,0),900)*10000+ROW()))</f>
      </c>
      <c r="B482">
        <f>IFERROR(MATCH(SMALL($A$4:$A$4003,479),$A$4:$A$4003,0),"")</f>
      </c>
      <c r="D482">
        <f>IF(AND(商品库存!B482&lt;&gt;"",商品库存!B482=客户查询!$B$4),COUNTIF(商品库存!$B$4:B482,客户查询!$B$4),"")</f>
      </c>
      <c r="E482">
        <f>IF(AND(商品库存!B482&lt;&gt;"",商品库存!B482=客户对账单!$B$4),COUNTIF(商品库存!$B$4:B482,客户对账单!$B$4),"")</f>
      </c>
      <c r="F482">
        <f>IF(AND(出库明细!C482&lt;&gt;"",出库明细!C482=客户对账单!$B$4,ISNUMBER(出库明细!B482),出库明细!B482&gt;=客户对账单!$G$4,出库明细!B482&lt;=客户对账单!$I$4),出库明细!B482+ROW()/100000,"")</f>
      </c>
      <c r="H482">
        <f>IF(AND(采购进货!C482&lt;&gt;"",采购进货!C482=供应商对账单!$B$4,ISNUMBER(采购进货!B482),采购进货!B482&gt;=供应商对账单!$G$4,采购进货!B482&lt;=供应商对账单!$I$4),采购进货!B482+ROW()/100000,"")</f>
      </c>
      <c r="N482">
        <f>IF(AND(ISNUMBER(出库明细!G482),ISNUMBER(出库明细!E482),ISNUMBER(出库明细!F482)),IF(ABS(出库明细!G482-出库明细!E482*出库明细!F482)&gt;0.005,1,0),0)</f>
        <v>0</v>
      </c>
      <c r="O482">
        <f>IF(AND(ISNUMBER(存条明细!G482),ISNUMBER(存条明细!E482),ISNUMBER(存条明细!F482)),IF(ABS(存条明细!G482-存条明细!E482*存条明细!F482)&gt;0.005,1,0),0)</f>
        <v>0</v>
      </c>
    </row>
    <row r="483">
      <c r="A483">
        <f>IF(OR(存条明细!C483="",存条明细!D483=""),"",IF(COUNTIFS(存条明细!$C$4:C483,存条明细!C483,存条明细!$D$4:D483,存条明细!D483)&gt;1,"",IFERROR(MATCH(存条明细!C483,总览汇总!$B$5:$B$304,0),900)*10000000+IFERROR(MATCH(存条明细!D483,基础资料!$E$5:$E$104,0),900)*10000+ROW()))</f>
      </c>
      <c r="B483">
        <f>IFERROR(MATCH(SMALL($A$4:$A$4003,480),$A$4:$A$4003,0),"")</f>
      </c>
      <c r="D483">
        <f>IF(AND(商品库存!B483&lt;&gt;"",商品库存!B483=客户查询!$B$4),COUNTIF(商品库存!$B$4:B483,客户查询!$B$4),"")</f>
      </c>
      <c r="E483">
        <f>IF(AND(商品库存!B483&lt;&gt;"",商品库存!B483=客户对账单!$B$4),COUNTIF(商品库存!$B$4:B483,客户对账单!$B$4),"")</f>
      </c>
      <c r="F483">
        <f>IF(AND(出库明细!C483&lt;&gt;"",出库明细!C483=客户对账单!$B$4,ISNUMBER(出库明细!B483),出库明细!B483&gt;=客户对账单!$G$4,出库明细!B483&lt;=客户对账单!$I$4),出库明细!B483+ROW()/100000,"")</f>
      </c>
      <c r="H483">
        <f>IF(AND(采购进货!C483&lt;&gt;"",采购进货!C483=供应商对账单!$B$4,ISNUMBER(采购进货!B483),采购进货!B483&gt;=供应商对账单!$G$4,采购进货!B483&lt;=供应商对账单!$I$4),采购进货!B483+ROW()/100000,"")</f>
      </c>
      <c r="N483">
        <f>IF(AND(ISNUMBER(出库明细!G483),ISNUMBER(出库明细!E483),ISNUMBER(出库明细!F483)),IF(ABS(出库明细!G483-出库明细!E483*出库明细!F483)&gt;0.005,1,0),0)</f>
        <v>0</v>
      </c>
      <c r="O483">
        <f>IF(AND(ISNUMBER(存条明细!G483),ISNUMBER(存条明细!E483),ISNUMBER(存条明细!F483)),IF(ABS(存条明细!G483-存条明细!E483*存条明细!F483)&gt;0.005,1,0),0)</f>
        <v>0</v>
      </c>
    </row>
    <row r="484">
      <c r="A484">
        <f>IF(OR(存条明细!C484="",存条明细!D484=""),"",IF(COUNTIFS(存条明细!$C$4:C484,存条明细!C484,存条明细!$D$4:D484,存条明细!D484)&gt;1,"",IFERROR(MATCH(存条明细!C484,总览汇总!$B$5:$B$304,0),900)*10000000+IFERROR(MATCH(存条明细!D484,基础资料!$E$5:$E$104,0),900)*10000+ROW()))</f>
      </c>
      <c r="B484">
        <f>IFERROR(MATCH(SMALL($A$4:$A$4003,481),$A$4:$A$4003,0),"")</f>
      </c>
      <c r="D484">
        <f>IF(AND(商品库存!B484&lt;&gt;"",商品库存!B484=客户查询!$B$4),COUNTIF(商品库存!$B$4:B484,客户查询!$B$4),"")</f>
      </c>
      <c r="E484">
        <f>IF(AND(商品库存!B484&lt;&gt;"",商品库存!B484=客户对账单!$B$4),COUNTIF(商品库存!$B$4:B484,客户对账单!$B$4),"")</f>
      </c>
      <c r="F484">
        <f>IF(AND(出库明细!C484&lt;&gt;"",出库明细!C484=客户对账单!$B$4,ISNUMBER(出库明细!B484),出库明细!B484&gt;=客户对账单!$G$4,出库明细!B484&lt;=客户对账单!$I$4),出库明细!B484+ROW()/100000,"")</f>
      </c>
      <c r="H484">
        <f>IF(AND(采购进货!C484&lt;&gt;"",采购进货!C484=供应商对账单!$B$4,ISNUMBER(采购进货!B484),采购进货!B484&gt;=供应商对账单!$G$4,采购进货!B484&lt;=供应商对账单!$I$4),采购进货!B484+ROW()/100000,"")</f>
      </c>
      <c r="N484">
        <f>IF(AND(ISNUMBER(出库明细!G484),ISNUMBER(出库明细!E484),ISNUMBER(出库明细!F484)),IF(ABS(出库明细!G484-出库明细!E484*出库明细!F484)&gt;0.005,1,0),0)</f>
        <v>0</v>
      </c>
      <c r="O484">
        <f>IF(AND(ISNUMBER(存条明细!G484),ISNUMBER(存条明细!E484),ISNUMBER(存条明细!F484)),IF(ABS(存条明细!G484-存条明细!E484*存条明细!F484)&gt;0.005,1,0),0)</f>
        <v>0</v>
      </c>
    </row>
    <row r="485">
      <c r="A485">
        <f>IF(OR(存条明细!C485="",存条明细!D485=""),"",IF(COUNTIFS(存条明细!$C$4:C485,存条明细!C485,存条明细!$D$4:D485,存条明细!D485)&gt;1,"",IFERROR(MATCH(存条明细!C485,总览汇总!$B$5:$B$304,0),900)*10000000+IFERROR(MATCH(存条明细!D485,基础资料!$E$5:$E$104,0),900)*10000+ROW()))</f>
      </c>
      <c r="B485">
        <f>IFERROR(MATCH(SMALL($A$4:$A$4003,482),$A$4:$A$4003,0),"")</f>
      </c>
      <c r="D485">
        <f>IF(AND(商品库存!B485&lt;&gt;"",商品库存!B485=客户查询!$B$4),COUNTIF(商品库存!$B$4:B485,客户查询!$B$4),"")</f>
      </c>
      <c r="E485">
        <f>IF(AND(商品库存!B485&lt;&gt;"",商品库存!B485=客户对账单!$B$4),COUNTIF(商品库存!$B$4:B485,客户对账单!$B$4),"")</f>
      </c>
      <c r="F485">
        <f>IF(AND(出库明细!C485&lt;&gt;"",出库明细!C485=客户对账单!$B$4,ISNUMBER(出库明细!B485),出库明细!B485&gt;=客户对账单!$G$4,出库明细!B485&lt;=客户对账单!$I$4),出库明细!B485+ROW()/100000,"")</f>
      </c>
      <c r="H485">
        <f>IF(AND(采购进货!C485&lt;&gt;"",采购进货!C485=供应商对账单!$B$4,ISNUMBER(采购进货!B485),采购进货!B485&gt;=供应商对账单!$G$4,采购进货!B485&lt;=供应商对账单!$I$4),采购进货!B485+ROW()/100000,"")</f>
      </c>
      <c r="N485">
        <f>IF(AND(ISNUMBER(出库明细!G485),ISNUMBER(出库明细!E485),ISNUMBER(出库明细!F485)),IF(ABS(出库明细!G485-出库明细!E485*出库明细!F485)&gt;0.005,1,0),0)</f>
        <v>0</v>
      </c>
      <c r="O485">
        <f>IF(AND(ISNUMBER(存条明细!G485),ISNUMBER(存条明细!E485),ISNUMBER(存条明细!F485)),IF(ABS(存条明细!G485-存条明细!E485*存条明细!F485)&gt;0.005,1,0),0)</f>
        <v>0</v>
      </c>
    </row>
    <row r="486">
      <c r="A486">
        <f>IF(OR(存条明细!C486="",存条明细!D486=""),"",IF(COUNTIFS(存条明细!$C$4:C486,存条明细!C486,存条明细!$D$4:D486,存条明细!D486)&gt;1,"",IFERROR(MATCH(存条明细!C486,总览汇总!$B$5:$B$304,0),900)*10000000+IFERROR(MATCH(存条明细!D486,基础资料!$E$5:$E$104,0),900)*10000+ROW()))</f>
      </c>
      <c r="B486">
        <f>IFERROR(MATCH(SMALL($A$4:$A$4003,483),$A$4:$A$4003,0),"")</f>
      </c>
      <c r="D486">
        <f>IF(AND(商品库存!B486&lt;&gt;"",商品库存!B486=客户查询!$B$4),COUNTIF(商品库存!$B$4:B486,客户查询!$B$4),"")</f>
      </c>
      <c r="E486">
        <f>IF(AND(商品库存!B486&lt;&gt;"",商品库存!B486=客户对账单!$B$4),COUNTIF(商品库存!$B$4:B486,客户对账单!$B$4),"")</f>
      </c>
      <c r="F486">
        <f>IF(AND(出库明细!C486&lt;&gt;"",出库明细!C486=客户对账单!$B$4,ISNUMBER(出库明细!B486),出库明细!B486&gt;=客户对账单!$G$4,出库明细!B486&lt;=客户对账单!$I$4),出库明细!B486+ROW()/100000,"")</f>
      </c>
      <c r="H486">
        <f>IF(AND(采购进货!C486&lt;&gt;"",采购进货!C486=供应商对账单!$B$4,ISNUMBER(采购进货!B486),采购进货!B486&gt;=供应商对账单!$G$4,采购进货!B486&lt;=供应商对账单!$I$4),采购进货!B486+ROW()/100000,"")</f>
      </c>
      <c r="N486">
        <f>IF(AND(ISNUMBER(出库明细!G486),ISNUMBER(出库明细!E486),ISNUMBER(出库明细!F486)),IF(ABS(出库明细!G486-出库明细!E486*出库明细!F486)&gt;0.005,1,0),0)</f>
        <v>0</v>
      </c>
      <c r="O486">
        <f>IF(AND(ISNUMBER(存条明细!G486),ISNUMBER(存条明细!E486),ISNUMBER(存条明细!F486)),IF(ABS(存条明细!G486-存条明细!E486*存条明细!F486)&gt;0.005,1,0),0)</f>
        <v>0</v>
      </c>
    </row>
    <row r="487">
      <c r="A487">
        <f>IF(OR(存条明细!C487="",存条明细!D487=""),"",IF(COUNTIFS(存条明细!$C$4:C487,存条明细!C487,存条明细!$D$4:D487,存条明细!D487)&gt;1,"",IFERROR(MATCH(存条明细!C487,总览汇总!$B$5:$B$304,0),900)*10000000+IFERROR(MATCH(存条明细!D487,基础资料!$E$5:$E$104,0),900)*10000+ROW()))</f>
      </c>
      <c r="B487">
        <f>IFERROR(MATCH(SMALL($A$4:$A$4003,484),$A$4:$A$4003,0),"")</f>
      </c>
      <c r="D487">
        <f>IF(AND(商品库存!B487&lt;&gt;"",商品库存!B487=客户查询!$B$4),COUNTIF(商品库存!$B$4:B487,客户查询!$B$4),"")</f>
      </c>
      <c r="E487">
        <f>IF(AND(商品库存!B487&lt;&gt;"",商品库存!B487=客户对账单!$B$4),COUNTIF(商品库存!$B$4:B487,客户对账单!$B$4),"")</f>
      </c>
      <c r="F487">
        <f>IF(AND(出库明细!C487&lt;&gt;"",出库明细!C487=客户对账单!$B$4,ISNUMBER(出库明细!B487),出库明细!B487&gt;=客户对账单!$G$4,出库明细!B487&lt;=客户对账单!$I$4),出库明细!B487+ROW()/100000,"")</f>
      </c>
      <c r="H487">
        <f>IF(AND(采购进货!C487&lt;&gt;"",采购进货!C487=供应商对账单!$B$4,ISNUMBER(采购进货!B487),采购进货!B487&gt;=供应商对账单!$G$4,采购进货!B487&lt;=供应商对账单!$I$4),采购进货!B487+ROW()/100000,"")</f>
      </c>
      <c r="N487">
        <f>IF(AND(ISNUMBER(出库明细!G487),ISNUMBER(出库明细!E487),ISNUMBER(出库明细!F487)),IF(ABS(出库明细!G487-出库明细!E487*出库明细!F487)&gt;0.005,1,0),0)</f>
        <v>0</v>
      </c>
      <c r="O487">
        <f>IF(AND(ISNUMBER(存条明细!G487),ISNUMBER(存条明细!E487),ISNUMBER(存条明细!F487)),IF(ABS(存条明细!G487-存条明细!E487*存条明细!F487)&gt;0.005,1,0),0)</f>
        <v>0</v>
      </c>
    </row>
    <row r="488">
      <c r="A488">
        <f>IF(OR(存条明细!C488="",存条明细!D488=""),"",IF(COUNTIFS(存条明细!$C$4:C488,存条明细!C488,存条明细!$D$4:D488,存条明细!D488)&gt;1,"",IFERROR(MATCH(存条明细!C488,总览汇总!$B$5:$B$304,0),900)*10000000+IFERROR(MATCH(存条明细!D488,基础资料!$E$5:$E$104,0),900)*10000+ROW()))</f>
      </c>
      <c r="B488">
        <f>IFERROR(MATCH(SMALL($A$4:$A$4003,485),$A$4:$A$4003,0),"")</f>
      </c>
      <c r="D488">
        <f>IF(AND(商品库存!B488&lt;&gt;"",商品库存!B488=客户查询!$B$4),COUNTIF(商品库存!$B$4:B488,客户查询!$B$4),"")</f>
      </c>
      <c r="E488">
        <f>IF(AND(商品库存!B488&lt;&gt;"",商品库存!B488=客户对账单!$B$4),COUNTIF(商品库存!$B$4:B488,客户对账单!$B$4),"")</f>
      </c>
      <c r="F488">
        <f>IF(AND(出库明细!C488&lt;&gt;"",出库明细!C488=客户对账单!$B$4,ISNUMBER(出库明细!B488),出库明细!B488&gt;=客户对账单!$G$4,出库明细!B488&lt;=客户对账单!$I$4),出库明细!B488+ROW()/100000,"")</f>
      </c>
      <c r="H488">
        <f>IF(AND(采购进货!C488&lt;&gt;"",采购进货!C488=供应商对账单!$B$4,ISNUMBER(采购进货!B488),采购进货!B488&gt;=供应商对账单!$G$4,采购进货!B488&lt;=供应商对账单!$I$4),采购进货!B488+ROW()/100000,"")</f>
      </c>
      <c r="N488">
        <f>IF(AND(ISNUMBER(出库明细!G488),ISNUMBER(出库明细!E488),ISNUMBER(出库明细!F488)),IF(ABS(出库明细!G488-出库明细!E488*出库明细!F488)&gt;0.005,1,0),0)</f>
        <v>0</v>
      </c>
      <c r="O488">
        <f>IF(AND(ISNUMBER(存条明细!G488),ISNUMBER(存条明细!E488),ISNUMBER(存条明细!F488)),IF(ABS(存条明细!G488-存条明细!E488*存条明细!F488)&gt;0.005,1,0),0)</f>
        <v>0</v>
      </c>
    </row>
    <row r="489">
      <c r="A489">
        <f>IF(OR(存条明细!C489="",存条明细!D489=""),"",IF(COUNTIFS(存条明细!$C$4:C489,存条明细!C489,存条明细!$D$4:D489,存条明细!D489)&gt;1,"",IFERROR(MATCH(存条明细!C489,总览汇总!$B$5:$B$304,0),900)*10000000+IFERROR(MATCH(存条明细!D489,基础资料!$E$5:$E$104,0),900)*10000+ROW()))</f>
      </c>
      <c r="B489">
        <f>IFERROR(MATCH(SMALL($A$4:$A$4003,486),$A$4:$A$4003,0),"")</f>
      </c>
      <c r="D489">
        <f>IF(AND(商品库存!B489&lt;&gt;"",商品库存!B489=客户查询!$B$4),COUNTIF(商品库存!$B$4:B489,客户查询!$B$4),"")</f>
      </c>
      <c r="E489">
        <f>IF(AND(商品库存!B489&lt;&gt;"",商品库存!B489=客户对账单!$B$4),COUNTIF(商品库存!$B$4:B489,客户对账单!$B$4),"")</f>
      </c>
      <c r="F489">
        <f>IF(AND(出库明细!C489&lt;&gt;"",出库明细!C489=客户对账单!$B$4,ISNUMBER(出库明细!B489),出库明细!B489&gt;=客户对账单!$G$4,出库明细!B489&lt;=客户对账单!$I$4),出库明细!B489+ROW()/100000,"")</f>
      </c>
      <c r="H489">
        <f>IF(AND(采购进货!C489&lt;&gt;"",采购进货!C489=供应商对账单!$B$4,ISNUMBER(采购进货!B489),采购进货!B489&gt;=供应商对账单!$G$4,采购进货!B489&lt;=供应商对账单!$I$4),采购进货!B489+ROW()/100000,"")</f>
      </c>
      <c r="N489">
        <f>IF(AND(ISNUMBER(出库明细!G489),ISNUMBER(出库明细!E489),ISNUMBER(出库明细!F489)),IF(ABS(出库明细!G489-出库明细!E489*出库明细!F489)&gt;0.005,1,0),0)</f>
        <v>0</v>
      </c>
      <c r="O489">
        <f>IF(AND(ISNUMBER(存条明细!G489),ISNUMBER(存条明细!E489),ISNUMBER(存条明细!F489)),IF(ABS(存条明细!G489-存条明细!E489*存条明细!F489)&gt;0.005,1,0),0)</f>
        <v>0</v>
      </c>
    </row>
    <row r="490">
      <c r="A490">
        <f>IF(OR(存条明细!C490="",存条明细!D490=""),"",IF(COUNTIFS(存条明细!$C$4:C490,存条明细!C490,存条明细!$D$4:D490,存条明细!D490)&gt;1,"",IFERROR(MATCH(存条明细!C490,总览汇总!$B$5:$B$304,0),900)*10000000+IFERROR(MATCH(存条明细!D490,基础资料!$E$5:$E$104,0),900)*10000+ROW()))</f>
      </c>
      <c r="B490">
        <f>IFERROR(MATCH(SMALL($A$4:$A$4003,487),$A$4:$A$4003,0),"")</f>
      </c>
      <c r="D490">
        <f>IF(AND(商品库存!B490&lt;&gt;"",商品库存!B490=客户查询!$B$4),COUNTIF(商品库存!$B$4:B490,客户查询!$B$4),"")</f>
      </c>
      <c r="E490">
        <f>IF(AND(商品库存!B490&lt;&gt;"",商品库存!B490=客户对账单!$B$4),COUNTIF(商品库存!$B$4:B490,客户对账单!$B$4),"")</f>
      </c>
      <c r="F490">
        <f>IF(AND(出库明细!C490&lt;&gt;"",出库明细!C490=客户对账单!$B$4,ISNUMBER(出库明细!B490),出库明细!B490&gt;=客户对账单!$G$4,出库明细!B490&lt;=客户对账单!$I$4),出库明细!B490+ROW()/100000,"")</f>
      </c>
      <c r="H490">
        <f>IF(AND(采购进货!C490&lt;&gt;"",采购进货!C490=供应商对账单!$B$4,ISNUMBER(采购进货!B490),采购进货!B490&gt;=供应商对账单!$G$4,采购进货!B490&lt;=供应商对账单!$I$4),采购进货!B490+ROW()/100000,"")</f>
      </c>
      <c r="N490">
        <f>IF(AND(ISNUMBER(出库明细!G490),ISNUMBER(出库明细!E490),ISNUMBER(出库明细!F490)),IF(ABS(出库明细!G490-出库明细!E490*出库明细!F490)&gt;0.005,1,0),0)</f>
        <v>0</v>
      </c>
      <c r="O490">
        <f>IF(AND(ISNUMBER(存条明细!G490),ISNUMBER(存条明细!E490),ISNUMBER(存条明细!F490)),IF(ABS(存条明细!G490-存条明细!E490*存条明细!F490)&gt;0.005,1,0),0)</f>
        <v>0</v>
      </c>
    </row>
    <row r="491">
      <c r="A491">
        <f>IF(OR(存条明细!C491="",存条明细!D491=""),"",IF(COUNTIFS(存条明细!$C$4:C491,存条明细!C491,存条明细!$D$4:D491,存条明细!D491)&gt;1,"",IFERROR(MATCH(存条明细!C491,总览汇总!$B$5:$B$304,0),900)*10000000+IFERROR(MATCH(存条明细!D491,基础资料!$E$5:$E$104,0),900)*10000+ROW()))</f>
      </c>
      <c r="B491">
        <f>IFERROR(MATCH(SMALL($A$4:$A$4003,488),$A$4:$A$4003,0),"")</f>
      </c>
      <c r="D491">
        <f>IF(AND(商品库存!B491&lt;&gt;"",商品库存!B491=客户查询!$B$4),COUNTIF(商品库存!$B$4:B491,客户查询!$B$4),"")</f>
      </c>
      <c r="E491">
        <f>IF(AND(商品库存!B491&lt;&gt;"",商品库存!B491=客户对账单!$B$4),COUNTIF(商品库存!$B$4:B491,客户对账单!$B$4),"")</f>
      </c>
      <c r="F491">
        <f>IF(AND(出库明细!C491&lt;&gt;"",出库明细!C491=客户对账单!$B$4,ISNUMBER(出库明细!B491),出库明细!B491&gt;=客户对账单!$G$4,出库明细!B491&lt;=客户对账单!$I$4),出库明细!B491+ROW()/100000,"")</f>
      </c>
      <c r="H491">
        <f>IF(AND(采购进货!C491&lt;&gt;"",采购进货!C491=供应商对账单!$B$4,ISNUMBER(采购进货!B491),采购进货!B491&gt;=供应商对账单!$G$4,采购进货!B491&lt;=供应商对账单!$I$4),采购进货!B491+ROW()/100000,"")</f>
      </c>
      <c r="N491">
        <f>IF(AND(ISNUMBER(出库明细!G491),ISNUMBER(出库明细!E491),ISNUMBER(出库明细!F491)),IF(ABS(出库明细!G491-出库明细!E491*出库明细!F491)&gt;0.005,1,0),0)</f>
        <v>0</v>
      </c>
      <c r="O491">
        <f>IF(AND(ISNUMBER(存条明细!G491),ISNUMBER(存条明细!E491),ISNUMBER(存条明细!F491)),IF(ABS(存条明细!G491-存条明细!E491*存条明细!F491)&gt;0.005,1,0),0)</f>
        <v>0</v>
      </c>
    </row>
    <row r="492">
      <c r="A492">
        <f>IF(OR(存条明细!C492="",存条明细!D492=""),"",IF(COUNTIFS(存条明细!$C$4:C492,存条明细!C492,存条明细!$D$4:D492,存条明细!D492)&gt;1,"",IFERROR(MATCH(存条明细!C492,总览汇总!$B$5:$B$304,0),900)*10000000+IFERROR(MATCH(存条明细!D492,基础资料!$E$5:$E$104,0),900)*10000+ROW()))</f>
      </c>
      <c r="B492">
        <f>IFERROR(MATCH(SMALL($A$4:$A$4003,489),$A$4:$A$4003,0),"")</f>
      </c>
      <c r="D492">
        <f>IF(AND(商品库存!B492&lt;&gt;"",商品库存!B492=客户查询!$B$4),COUNTIF(商品库存!$B$4:B492,客户查询!$B$4),"")</f>
      </c>
      <c r="E492">
        <f>IF(AND(商品库存!B492&lt;&gt;"",商品库存!B492=客户对账单!$B$4),COUNTIF(商品库存!$B$4:B492,客户对账单!$B$4),"")</f>
      </c>
      <c r="F492">
        <f>IF(AND(出库明细!C492&lt;&gt;"",出库明细!C492=客户对账单!$B$4,ISNUMBER(出库明细!B492),出库明细!B492&gt;=客户对账单!$G$4,出库明细!B492&lt;=客户对账单!$I$4),出库明细!B492+ROW()/100000,"")</f>
      </c>
      <c r="H492">
        <f>IF(AND(采购进货!C492&lt;&gt;"",采购进货!C492=供应商对账单!$B$4,ISNUMBER(采购进货!B492),采购进货!B492&gt;=供应商对账单!$G$4,采购进货!B492&lt;=供应商对账单!$I$4),采购进货!B492+ROW()/100000,"")</f>
      </c>
      <c r="N492">
        <f>IF(AND(ISNUMBER(出库明细!G492),ISNUMBER(出库明细!E492),ISNUMBER(出库明细!F492)),IF(ABS(出库明细!G492-出库明细!E492*出库明细!F492)&gt;0.005,1,0),0)</f>
        <v>0</v>
      </c>
      <c r="O492">
        <f>IF(AND(ISNUMBER(存条明细!G492),ISNUMBER(存条明细!E492),ISNUMBER(存条明细!F492)),IF(ABS(存条明细!G492-存条明细!E492*存条明细!F492)&gt;0.005,1,0),0)</f>
        <v>0</v>
      </c>
    </row>
    <row r="493">
      <c r="A493">
        <f>IF(OR(存条明细!C493="",存条明细!D493=""),"",IF(COUNTIFS(存条明细!$C$4:C493,存条明细!C493,存条明细!$D$4:D493,存条明细!D493)&gt;1,"",IFERROR(MATCH(存条明细!C493,总览汇总!$B$5:$B$304,0),900)*10000000+IFERROR(MATCH(存条明细!D493,基础资料!$E$5:$E$104,0),900)*10000+ROW()))</f>
      </c>
      <c r="B493">
        <f>IFERROR(MATCH(SMALL($A$4:$A$4003,490),$A$4:$A$4003,0),"")</f>
      </c>
      <c r="D493">
        <f>IF(AND(商品库存!B493&lt;&gt;"",商品库存!B493=客户查询!$B$4),COUNTIF(商品库存!$B$4:B493,客户查询!$B$4),"")</f>
      </c>
      <c r="E493">
        <f>IF(AND(商品库存!B493&lt;&gt;"",商品库存!B493=客户对账单!$B$4),COUNTIF(商品库存!$B$4:B493,客户对账单!$B$4),"")</f>
      </c>
      <c r="F493">
        <f>IF(AND(出库明细!C493&lt;&gt;"",出库明细!C493=客户对账单!$B$4,ISNUMBER(出库明细!B493),出库明细!B493&gt;=客户对账单!$G$4,出库明细!B493&lt;=客户对账单!$I$4),出库明细!B493+ROW()/100000,"")</f>
      </c>
      <c r="H493">
        <f>IF(AND(采购进货!C493&lt;&gt;"",采购进货!C493=供应商对账单!$B$4,ISNUMBER(采购进货!B493),采购进货!B493&gt;=供应商对账单!$G$4,采购进货!B493&lt;=供应商对账单!$I$4),采购进货!B493+ROW()/100000,"")</f>
      </c>
      <c r="N493">
        <f>IF(AND(ISNUMBER(出库明细!G493),ISNUMBER(出库明细!E493),ISNUMBER(出库明细!F493)),IF(ABS(出库明细!G493-出库明细!E493*出库明细!F493)&gt;0.005,1,0),0)</f>
        <v>0</v>
      </c>
      <c r="O493">
        <f>IF(AND(ISNUMBER(存条明细!G493),ISNUMBER(存条明细!E493),ISNUMBER(存条明细!F493)),IF(ABS(存条明细!G493-存条明细!E493*存条明细!F493)&gt;0.005,1,0),0)</f>
        <v>0</v>
      </c>
    </row>
    <row r="494">
      <c r="A494">
        <f>IF(OR(存条明细!C494="",存条明细!D494=""),"",IF(COUNTIFS(存条明细!$C$4:C494,存条明细!C494,存条明细!$D$4:D494,存条明细!D494)&gt;1,"",IFERROR(MATCH(存条明细!C494,总览汇总!$B$5:$B$304,0),900)*10000000+IFERROR(MATCH(存条明细!D494,基础资料!$E$5:$E$104,0),900)*10000+ROW()))</f>
      </c>
      <c r="B494">
        <f>IFERROR(MATCH(SMALL($A$4:$A$4003,491),$A$4:$A$4003,0),"")</f>
      </c>
      <c r="D494">
        <f>IF(AND(商品库存!B494&lt;&gt;"",商品库存!B494=客户查询!$B$4),COUNTIF(商品库存!$B$4:B494,客户查询!$B$4),"")</f>
      </c>
      <c r="E494">
        <f>IF(AND(商品库存!B494&lt;&gt;"",商品库存!B494=客户对账单!$B$4),COUNTIF(商品库存!$B$4:B494,客户对账单!$B$4),"")</f>
      </c>
      <c r="F494">
        <f>IF(AND(出库明细!C494&lt;&gt;"",出库明细!C494=客户对账单!$B$4,ISNUMBER(出库明细!B494),出库明细!B494&gt;=客户对账单!$G$4,出库明细!B494&lt;=客户对账单!$I$4),出库明细!B494+ROW()/100000,"")</f>
      </c>
      <c r="H494">
        <f>IF(AND(采购进货!C494&lt;&gt;"",采购进货!C494=供应商对账单!$B$4,ISNUMBER(采购进货!B494),采购进货!B494&gt;=供应商对账单!$G$4,采购进货!B494&lt;=供应商对账单!$I$4),采购进货!B494+ROW()/100000,"")</f>
      </c>
      <c r="N494">
        <f>IF(AND(ISNUMBER(出库明细!G494),ISNUMBER(出库明细!E494),ISNUMBER(出库明细!F494)),IF(ABS(出库明细!G494-出库明细!E494*出库明细!F494)&gt;0.005,1,0),0)</f>
        <v>0</v>
      </c>
      <c r="O494">
        <f>IF(AND(ISNUMBER(存条明细!G494),ISNUMBER(存条明细!E494),ISNUMBER(存条明细!F494)),IF(ABS(存条明细!G494-存条明细!E494*存条明细!F494)&gt;0.005,1,0),0)</f>
        <v>0</v>
      </c>
    </row>
    <row r="495">
      <c r="A495">
        <f>IF(OR(存条明细!C495="",存条明细!D495=""),"",IF(COUNTIFS(存条明细!$C$4:C495,存条明细!C495,存条明细!$D$4:D495,存条明细!D495)&gt;1,"",IFERROR(MATCH(存条明细!C495,总览汇总!$B$5:$B$304,0),900)*10000000+IFERROR(MATCH(存条明细!D495,基础资料!$E$5:$E$104,0),900)*10000+ROW()))</f>
      </c>
      <c r="B495">
        <f>IFERROR(MATCH(SMALL($A$4:$A$4003,492),$A$4:$A$4003,0),"")</f>
      </c>
      <c r="D495">
        <f>IF(AND(商品库存!B495&lt;&gt;"",商品库存!B495=客户查询!$B$4),COUNTIF(商品库存!$B$4:B495,客户查询!$B$4),"")</f>
      </c>
      <c r="E495">
        <f>IF(AND(商品库存!B495&lt;&gt;"",商品库存!B495=客户对账单!$B$4),COUNTIF(商品库存!$B$4:B495,客户对账单!$B$4),"")</f>
      </c>
      <c r="F495">
        <f>IF(AND(出库明细!C495&lt;&gt;"",出库明细!C495=客户对账单!$B$4,ISNUMBER(出库明细!B495),出库明细!B495&gt;=客户对账单!$G$4,出库明细!B495&lt;=客户对账单!$I$4),出库明细!B495+ROW()/100000,"")</f>
      </c>
      <c r="H495">
        <f>IF(AND(采购进货!C495&lt;&gt;"",采购进货!C495=供应商对账单!$B$4,ISNUMBER(采购进货!B495),采购进货!B495&gt;=供应商对账单!$G$4,采购进货!B495&lt;=供应商对账单!$I$4),采购进货!B495+ROW()/100000,"")</f>
      </c>
      <c r="N495">
        <f>IF(AND(ISNUMBER(出库明细!G495),ISNUMBER(出库明细!E495),ISNUMBER(出库明细!F495)),IF(ABS(出库明细!G495-出库明细!E495*出库明细!F495)&gt;0.005,1,0),0)</f>
        <v>0</v>
      </c>
      <c r="O495">
        <f>IF(AND(ISNUMBER(存条明细!G495),ISNUMBER(存条明细!E495),ISNUMBER(存条明细!F495)),IF(ABS(存条明细!G495-存条明细!E495*存条明细!F495)&gt;0.005,1,0),0)</f>
        <v>0</v>
      </c>
    </row>
    <row r="496">
      <c r="A496">
        <f>IF(OR(存条明细!C496="",存条明细!D496=""),"",IF(COUNTIFS(存条明细!$C$4:C496,存条明细!C496,存条明细!$D$4:D496,存条明细!D496)&gt;1,"",IFERROR(MATCH(存条明细!C496,总览汇总!$B$5:$B$304,0),900)*10000000+IFERROR(MATCH(存条明细!D496,基础资料!$E$5:$E$104,0),900)*10000+ROW()))</f>
      </c>
      <c r="B496">
        <f>IFERROR(MATCH(SMALL($A$4:$A$4003,493),$A$4:$A$4003,0),"")</f>
      </c>
      <c r="D496">
        <f>IF(AND(商品库存!B496&lt;&gt;"",商品库存!B496=客户查询!$B$4),COUNTIF(商品库存!$B$4:B496,客户查询!$B$4),"")</f>
      </c>
      <c r="E496">
        <f>IF(AND(商品库存!B496&lt;&gt;"",商品库存!B496=客户对账单!$B$4),COUNTIF(商品库存!$B$4:B496,客户对账单!$B$4),"")</f>
      </c>
      <c r="F496">
        <f>IF(AND(出库明细!C496&lt;&gt;"",出库明细!C496=客户对账单!$B$4,ISNUMBER(出库明细!B496),出库明细!B496&gt;=客户对账单!$G$4,出库明细!B496&lt;=客户对账单!$I$4),出库明细!B496+ROW()/100000,"")</f>
      </c>
      <c r="H496">
        <f>IF(AND(采购进货!C496&lt;&gt;"",采购进货!C496=供应商对账单!$B$4,ISNUMBER(采购进货!B496),采购进货!B496&gt;=供应商对账单!$G$4,采购进货!B496&lt;=供应商对账单!$I$4),采购进货!B496+ROW()/100000,"")</f>
      </c>
      <c r="N496">
        <f>IF(AND(ISNUMBER(出库明细!G496),ISNUMBER(出库明细!E496),ISNUMBER(出库明细!F496)),IF(ABS(出库明细!G496-出库明细!E496*出库明细!F496)&gt;0.005,1,0),0)</f>
        <v>0</v>
      </c>
      <c r="O496">
        <f>IF(AND(ISNUMBER(存条明细!G496),ISNUMBER(存条明细!E496),ISNUMBER(存条明细!F496)),IF(ABS(存条明细!G496-存条明细!E496*存条明细!F496)&gt;0.005,1,0),0)</f>
        <v>0</v>
      </c>
    </row>
    <row r="497">
      <c r="A497">
        <f>IF(OR(存条明细!C497="",存条明细!D497=""),"",IF(COUNTIFS(存条明细!$C$4:C497,存条明细!C497,存条明细!$D$4:D497,存条明细!D497)&gt;1,"",IFERROR(MATCH(存条明细!C497,总览汇总!$B$5:$B$304,0),900)*10000000+IFERROR(MATCH(存条明细!D497,基础资料!$E$5:$E$104,0),900)*10000+ROW()))</f>
      </c>
      <c r="B497">
        <f>IFERROR(MATCH(SMALL($A$4:$A$4003,494),$A$4:$A$4003,0),"")</f>
      </c>
      <c r="D497">
        <f>IF(AND(商品库存!B497&lt;&gt;"",商品库存!B497=客户查询!$B$4),COUNTIF(商品库存!$B$4:B497,客户查询!$B$4),"")</f>
      </c>
      <c r="E497">
        <f>IF(AND(商品库存!B497&lt;&gt;"",商品库存!B497=客户对账单!$B$4),COUNTIF(商品库存!$B$4:B497,客户对账单!$B$4),"")</f>
      </c>
      <c r="F497">
        <f>IF(AND(出库明细!C497&lt;&gt;"",出库明细!C497=客户对账单!$B$4,ISNUMBER(出库明细!B497),出库明细!B497&gt;=客户对账单!$G$4,出库明细!B497&lt;=客户对账单!$I$4),出库明细!B497+ROW()/100000,"")</f>
      </c>
      <c r="H497">
        <f>IF(AND(采购进货!C497&lt;&gt;"",采购进货!C497=供应商对账单!$B$4,ISNUMBER(采购进货!B497),采购进货!B497&gt;=供应商对账单!$G$4,采购进货!B497&lt;=供应商对账单!$I$4),采购进货!B497+ROW()/100000,"")</f>
      </c>
      <c r="N497">
        <f>IF(AND(ISNUMBER(出库明细!G497),ISNUMBER(出库明细!E497),ISNUMBER(出库明细!F497)),IF(ABS(出库明细!G497-出库明细!E497*出库明细!F497)&gt;0.005,1,0),0)</f>
        <v>0</v>
      </c>
      <c r="O497">
        <f>IF(AND(ISNUMBER(存条明细!G497),ISNUMBER(存条明细!E497),ISNUMBER(存条明细!F497)),IF(ABS(存条明细!G497-存条明细!E497*存条明细!F497)&gt;0.005,1,0),0)</f>
        <v>0</v>
      </c>
    </row>
    <row r="498">
      <c r="A498">
        <f>IF(OR(存条明细!C498="",存条明细!D498=""),"",IF(COUNTIFS(存条明细!$C$4:C498,存条明细!C498,存条明细!$D$4:D498,存条明细!D498)&gt;1,"",IFERROR(MATCH(存条明细!C498,总览汇总!$B$5:$B$304,0),900)*10000000+IFERROR(MATCH(存条明细!D498,基础资料!$E$5:$E$104,0),900)*10000+ROW()))</f>
      </c>
      <c r="B498">
        <f>IFERROR(MATCH(SMALL($A$4:$A$4003,495),$A$4:$A$4003,0),"")</f>
      </c>
      <c r="D498">
        <f>IF(AND(商品库存!B498&lt;&gt;"",商品库存!B498=客户查询!$B$4),COUNTIF(商品库存!$B$4:B498,客户查询!$B$4),"")</f>
      </c>
      <c r="E498">
        <f>IF(AND(商品库存!B498&lt;&gt;"",商品库存!B498=客户对账单!$B$4),COUNTIF(商品库存!$B$4:B498,客户对账单!$B$4),"")</f>
      </c>
      <c r="F498">
        <f>IF(AND(出库明细!C498&lt;&gt;"",出库明细!C498=客户对账单!$B$4,ISNUMBER(出库明细!B498),出库明细!B498&gt;=客户对账单!$G$4,出库明细!B498&lt;=客户对账单!$I$4),出库明细!B498+ROW()/100000,"")</f>
      </c>
      <c r="H498">
        <f>IF(AND(采购进货!C498&lt;&gt;"",采购进货!C498=供应商对账单!$B$4,ISNUMBER(采购进货!B498),采购进货!B498&gt;=供应商对账单!$G$4,采购进货!B498&lt;=供应商对账单!$I$4),采购进货!B498+ROW()/100000,"")</f>
      </c>
      <c r="N498">
        <f>IF(AND(ISNUMBER(出库明细!G498),ISNUMBER(出库明细!E498),ISNUMBER(出库明细!F498)),IF(ABS(出库明细!G498-出库明细!E498*出库明细!F498)&gt;0.005,1,0),0)</f>
        <v>0</v>
      </c>
      <c r="O498">
        <f>IF(AND(ISNUMBER(存条明细!G498),ISNUMBER(存条明细!E498),ISNUMBER(存条明细!F498)),IF(ABS(存条明细!G498-存条明细!E498*存条明细!F498)&gt;0.005,1,0),0)</f>
        <v>0</v>
      </c>
    </row>
    <row r="499">
      <c r="A499">
        <f>IF(OR(存条明细!C499="",存条明细!D499=""),"",IF(COUNTIFS(存条明细!$C$4:C499,存条明细!C499,存条明细!$D$4:D499,存条明细!D499)&gt;1,"",IFERROR(MATCH(存条明细!C499,总览汇总!$B$5:$B$304,0),900)*10000000+IFERROR(MATCH(存条明细!D499,基础资料!$E$5:$E$104,0),900)*10000+ROW()))</f>
      </c>
      <c r="B499">
        <f>IFERROR(MATCH(SMALL($A$4:$A$4003,496),$A$4:$A$4003,0),"")</f>
      </c>
      <c r="D499">
        <f>IF(AND(商品库存!B499&lt;&gt;"",商品库存!B499=客户查询!$B$4),COUNTIF(商品库存!$B$4:B499,客户查询!$B$4),"")</f>
      </c>
      <c r="E499">
        <f>IF(AND(商品库存!B499&lt;&gt;"",商品库存!B499=客户对账单!$B$4),COUNTIF(商品库存!$B$4:B499,客户对账单!$B$4),"")</f>
      </c>
      <c r="F499">
        <f>IF(AND(出库明细!C499&lt;&gt;"",出库明细!C499=客户对账单!$B$4,ISNUMBER(出库明细!B499),出库明细!B499&gt;=客户对账单!$G$4,出库明细!B499&lt;=客户对账单!$I$4),出库明细!B499+ROW()/100000,"")</f>
      </c>
      <c r="H499">
        <f>IF(AND(采购进货!C499&lt;&gt;"",采购进货!C499=供应商对账单!$B$4,ISNUMBER(采购进货!B499),采购进货!B499&gt;=供应商对账单!$G$4,采购进货!B499&lt;=供应商对账单!$I$4),采购进货!B499+ROW()/100000,"")</f>
      </c>
      <c r="N499">
        <f>IF(AND(ISNUMBER(出库明细!G499),ISNUMBER(出库明细!E499),ISNUMBER(出库明细!F499)),IF(ABS(出库明细!G499-出库明细!E499*出库明细!F499)&gt;0.005,1,0),0)</f>
        <v>0</v>
      </c>
      <c r="O499">
        <f>IF(AND(ISNUMBER(存条明细!G499),ISNUMBER(存条明细!E499),ISNUMBER(存条明细!F499)),IF(ABS(存条明细!G499-存条明细!E499*存条明细!F499)&gt;0.005,1,0),0)</f>
        <v>0</v>
      </c>
    </row>
    <row r="500">
      <c r="A500">
        <f>IF(OR(存条明细!C500="",存条明细!D500=""),"",IF(COUNTIFS(存条明细!$C$4:C500,存条明细!C500,存条明细!$D$4:D500,存条明细!D500)&gt;1,"",IFERROR(MATCH(存条明细!C500,总览汇总!$B$5:$B$304,0),900)*10000000+IFERROR(MATCH(存条明细!D500,基础资料!$E$5:$E$104,0),900)*10000+ROW()))</f>
      </c>
      <c r="B500">
        <f>IFERROR(MATCH(SMALL($A$4:$A$4003,497),$A$4:$A$4003,0),"")</f>
      </c>
      <c r="D500">
        <f>IF(AND(商品库存!B500&lt;&gt;"",商品库存!B500=客户查询!$B$4),COUNTIF(商品库存!$B$4:B500,客户查询!$B$4),"")</f>
      </c>
      <c r="E500">
        <f>IF(AND(商品库存!B500&lt;&gt;"",商品库存!B500=客户对账单!$B$4),COUNTIF(商品库存!$B$4:B500,客户对账单!$B$4),"")</f>
      </c>
      <c r="F500">
        <f>IF(AND(出库明细!C500&lt;&gt;"",出库明细!C500=客户对账单!$B$4,ISNUMBER(出库明细!B500),出库明细!B500&gt;=客户对账单!$G$4,出库明细!B500&lt;=客户对账单!$I$4),出库明细!B500+ROW()/100000,"")</f>
      </c>
      <c r="H500">
        <f>IF(AND(采购进货!C500&lt;&gt;"",采购进货!C500=供应商对账单!$B$4,ISNUMBER(采购进货!B500),采购进货!B500&gt;=供应商对账单!$G$4,采购进货!B500&lt;=供应商对账单!$I$4),采购进货!B500+ROW()/100000,"")</f>
      </c>
      <c r="N500">
        <f>IF(AND(ISNUMBER(出库明细!G500),ISNUMBER(出库明细!E500),ISNUMBER(出库明细!F500)),IF(ABS(出库明细!G500-出库明细!E500*出库明细!F500)&gt;0.005,1,0),0)</f>
        <v>0</v>
      </c>
      <c r="O500">
        <f>IF(AND(ISNUMBER(存条明细!G500),ISNUMBER(存条明细!E500),ISNUMBER(存条明细!F500)),IF(ABS(存条明细!G500-存条明细!E500*存条明细!F500)&gt;0.005,1,0),0)</f>
        <v>0</v>
      </c>
    </row>
    <row r="501">
      <c r="A501">
        <f>IF(OR(存条明细!C501="",存条明细!D501=""),"",IF(COUNTIFS(存条明细!$C$4:C501,存条明细!C501,存条明细!$D$4:D501,存条明细!D501)&gt;1,"",IFERROR(MATCH(存条明细!C501,总览汇总!$B$5:$B$304,0),900)*10000000+IFERROR(MATCH(存条明细!D501,基础资料!$E$5:$E$104,0),900)*10000+ROW()))</f>
      </c>
      <c r="B501">
        <f>IFERROR(MATCH(SMALL($A$4:$A$4003,498),$A$4:$A$4003,0),"")</f>
      </c>
      <c r="D501">
        <f>IF(AND(商品库存!B501&lt;&gt;"",商品库存!B501=客户查询!$B$4),COUNTIF(商品库存!$B$4:B501,客户查询!$B$4),"")</f>
      </c>
      <c r="E501">
        <f>IF(AND(商品库存!B501&lt;&gt;"",商品库存!B501=客户对账单!$B$4),COUNTIF(商品库存!$B$4:B501,客户对账单!$B$4),"")</f>
      </c>
      <c r="F501">
        <f>IF(AND(出库明细!C501&lt;&gt;"",出库明细!C501=客户对账单!$B$4,ISNUMBER(出库明细!B501),出库明细!B501&gt;=客户对账单!$G$4,出库明细!B501&lt;=客户对账单!$I$4),出库明细!B501+ROW()/100000,"")</f>
      </c>
      <c r="H501">
        <f>IF(AND(采购进货!C501&lt;&gt;"",采购进货!C501=供应商对账单!$B$4,ISNUMBER(采购进货!B501),采购进货!B501&gt;=供应商对账单!$G$4,采购进货!B501&lt;=供应商对账单!$I$4),采购进货!B501+ROW()/100000,"")</f>
      </c>
      <c r="N501">
        <f>IF(AND(ISNUMBER(出库明细!G501),ISNUMBER(出库明细!E501),ISNUMBER(出库明细!F501)),IF(ABS(出库明细!G501-出库明细!E501*出库明细!F501)&gt;0.005,1,0),0)</f>
        <v>0</v>
      </c>
      <c r="O501">
        <f>IF(AND(ISNUMBER(存条明细!G501),ISNUMBER(存条明细!E501),ISNUMBER(存条明细!F501)),IF(ABS(存条明细!G501-存条明细!E501*存条明细!F501)&gt;0.005,1,0),0)</f>
        <v>0</v>
      </c>
    </row>
    <row r="502">
      <c r="A502">
        <f>IF(OR(存条明细!C502="",存条明细!D502=""),"",IF(COUNTIFS(存条明细!$C$4:C502,存条明细!C502,存条明细!$D$4:D502,存条明细!D502)&gt;1,"",IFERROR(MATCH(存条明细!C502,总览汇总!$B$5:$B$304,0),900)*10000000+IFERROR(MATCH(存条明细!D502,基础资料!$E$5:$E$104,0),900)*10000+ROW()))</f>
      </c>
      <c r="B502">
        <f>IFERROR(MATCH(SMALL($A$4:$A$4003,499),$A$4:$A$4003,0),"")</f>
      </c>
      <c r="D502">
        <f>IF(AND(商品库存!B502&lt;&gt;"",商品库存!B502=客户查询!$B$4),COUNTIF(商品库存!$B$4:B502,客户查询!$B$4),"")</f>
      </c>
      <c r="E502">
        <f>IF(AND(商品库存!B502&lt;&gt;"",商品库存!B502=客户对账单!$B$4),COUNTIF(商品库存!$B$4:B502,客户对账单!$B$4),"")</f>
      </c>
      <c r="F502">
        <f>IF(AND(出库明细!C502&lt;&gt;"",出库明细!C502=客户对账单!$B$4,ISNUMBER(出库明细!B502),出库明细!B502&gt;=客户对账单!$G$4,出库明细!B502&lt;=客户对账单!$I$4),出库明细!B502+ROW()/100000,"")</f>
      </c>
      <c r="H502">
        <f>IF(AND(采购进货!C502&lt;&gt;"",采购进货!C502=供应商对账单!$B$4,ISNUMBER(采购进货!B502),采购进货!B502&gt;=供应商对账单!$G$4,采购进货!B502&lt;=供应商对账单!$I$4),采购进货!B502+ROW()/100000,"")</f>
      </c>
      <c r="N502">
        <f>IF(AND(ISNUMBER(出库明细!G502),ISNUMBER(出库明细!E502),ISNUMBER(出库明细!F502)),IF(ABS(出库明细!G502-出库明细!E502*出库明细!F502)&gt;0.005,1,0),0)</f>
        <v>0</v>
      </c>
      <c r="O502">
        <f>IF(AND(ISNUMBER(存条明细!G502),ISNUMBER(存条明细!E502),ISNUMBER(存条明细!F502)),IF(ABS(存条明细!G502-存条明细!E502*存条明细!F502)&gt;0.005,1,0),0)</f>
        <v>0</v>
      </c>
    </row>
    <row r="503">
      <c r="A503">
        <f>IF(OR(存条明细!C503="",存条明细!D503=""),"",IF(COUNTIFS(存条明细!$C$4:C503,存条明细!C503,存条明细!$D$4:D503,存条明细!D503)&gt;1,"",IFERROR(MATCH(存条明细!C503,总览汇总!$B$5:$B$304,0),900)*10000000+IFERROR(MATCH(存条明细!D503,基础资料!$E$5:$E$104,0),900)*10000+ROW()))</f>
      </c>
      <c r="B503">
        <f>IFERROR(MATCH(SMALL($A$4:$A$4003,500),$A$4:$A$4003,0),"")</f>
      </c>
      <c r="D503">
        <f>IF(AND(商品库存!B503&lt;&gt;"",商品库存!B503=客户查询!$B$4),COUNTIF(商品库存!$B$4:B503,客户查询!$B$4),"")</f>
      </c>
      <c r="E503">
        <f>IF(AND(商品库存!B503&lt;&gt;"",商品库存!B503=客户对账单!$B$4),COUNTIF(商品库存!$B$4:B503,客户对账单!$B$4),"")</f>
      </c>
      <c r="F503">
        <f>IF(AND(出库明细!C503&lt;&gt;"",出库明细!C503=客户对账单!$B$4,ISNUMBER(出库明细!B503),出库明细!B503&gt;=客户对账单!$G$4,出库明细!B503&lt;=客户对账单!$I$4),出库明细!B503+ROW()/100000,"")</f>
      </c>
      <c r="H503">
        <f>IF(AND(采购进货!C503&lt;&gt;"",采购进货!C503=供应商对账单!$B$4,ISNUMBER(采购进货!B503),采购进货!B503&gt;=供应商对账单!$G$4,采购进货!B503&lt;=供应商对账单!$I$4),采购进货!B503+ROW()/100000,"")</f>
      </c>
      <c r="N503">
        <f>IF(AND(ISNUMBER(出库明细!G503),ISNUMBER(出库明细!E503),ISNUMBER(出库明细!F503)),IF(ABS(出库明细!G503-出库明细!E503*出库明细!F503)&gt;0.005,1,0),0)</f>
        <v>0</v>
      </c>
      <c r="O503">
        <f>IF(AND(ISNUMBER(存条明细!G503),ISNUMBER(存条明细!E503),ISNUMBER(存条明细!F503)),IF(ABS(存条明细!G503-存条明细!E503*存条明细!F503)&gt;0.005,1,0),0)</f>
        <v>0</v>
      </c>
    </row>
    <row r="504">
      <c r="A504">
        <f>IF(OR(存条明细!C504="",存条明细!D504=""),"",IF(COUNTIFS(存条明细!$C$4:C504,存条明细!C504,存条明细!$D$4:D504,存条明细!D504)&gt;1,"",IFERROR(MATCH(存条明细!C504,总览汇总!$B$5:$B$304,0),900)*10000000+IFERROR(MATCH(存条明细!D504,基础资料!$E$5:$E$104,0),900)*10000+ROW()))</f>
      </c>
      <c r="B504">
        <f>IFERROR(MATCH(SMALL($A$4:$A$4003,501),$A$4:$A$4003,0),"")</f>
      </c>
      <c r="D504">
        <f>IF(AND(商品库存!B504&lt;&gt;"",商品库存!B504=客户查询!$B$4),COUNTIF(商品库存!$B$4:B504,客户查询!$B$4),"")</f>
      </c>
      <c r="E504">
        <f>IF(AND(商品库存!B504&lt;&gt;"",商品库存!B504=客户对账单!$B$4),COUNTIF(商品库存!$B$4:B504,客户对账单!$B$4),"")</f>
      </c>
      <c r="F504">
        <f>IF(AND(出库明细!C504&lt;&gt;"",出库明细!C504=客户对账单!$B$4,ISNUMBER(出库明细!B504),出库明细!B504&gt;=客户对账单!$G$4,出库明细!B504&lt;=客户对账单!$I$4),出库明细!B504+ROW()/100000,"")</f>
      </c>
      <c r="H504">
        <f>IF(AND(采购进货!C504&lt;&gt;"",采购进货!C504=供应商对账单!$B$4,ISNUMBER(采购进货!B504),采购进货!B504&gt;=供应商对账单!$G$4,采购进货!B504&lt;=供应商对账单!$I$4),采购进货!B504+ROW()/100000,"")</f>
      </c>
      <c r="N504">
        <f>IF(AND(ISNUMBER(出库明细!G504),ISNUMBER(出库明细!E504),ISNUMBER(出库明细!F504)),IF(ABS(出库明细!G504-出库明细!E504*出库明细!F504)&gt;0.005,1,0),0)</f>
        <v>0</v>
      </c>
      <c r="O504">
        <f>IF(AND(ISNUMBER(存条明细!G504),ISNUMBER(存条明细!E504),ISNUMBER(存条明细!F504)),IF(ABS(存条明细!G504-存条明细!E504*存条明细!F504)&gt;0.005,1,0),0)</f>
        <v>0</v>
      </c>
    </row>
    <row r="505">
      <c r="A505">
        <f>IF(OR(存条明细!C505="",存条明细!D505=""),"",IF(COUNTIFS(存条明细!$C$4:C505,存条明细!C505,存条明细!$D$4:D505,存条明细!D505)&gt;1,"",IFERROR(MATCH(存条明细!C505,总览汇总!$B$5:$B$304,0),900)*10000000+IFERROR(MATCH(存条明细!D505,基础资料!$E$5:$E$104,0),900)*10000+ROW()))</f>
      </c>
      <c r="B505">
        <f>IFERROR(MATCH(SMALL($A$4:$A$4003,502),$A$4:$A$4003,0),"")</f>
      </c>
      <c r="D505">
        <f>IF(AND(商品库存!B505&lt;&gt;"",商品库存!B505=客户查询!$B$4),COUNTIF(商品库存!$B$4:B505,客户查询!$B$4),"")</f>
      </c>
      <c r="E505">
        <f>IF(AND(商品库存!B505&lt;&gt;"",商品库存!B505=客户对账单!$B$4),COUNTIF(商品库存!$B$4:B505,客户对账单!$B$4),"")</f>
      </c>
      <c r="F505">
        <f>IF(AND(出库明细!C505&lt;&gt;"",出库明细!C505=客户对账单!$B$4,ISNUMBER(出库明细!B505),出库明细!B505&gt;=客户对账单!$G$4,出库明细!B505&lt;=客户对账单!$I$4),出库明细!B505+ROW()/100000,"")</f>
      </c>
      <c r="H505">
        <f>IF(AND(采购进货!C505&lt;&gt;"",采购进货!C505=供应商对账单!$B$4,ISNUMBER(采购进货!B505),采购进货!B505&gt;=供应商对账单!$G$4,采购进货!B505&lt;=供应商对账单!$I$4),采购进货!B505+ROW()/100000,"")</f>
      </c>
      <c r="N505">
        <f>IF(AND(ISNUMBER(出库明细!G505),ISNUMBER(出库明细!E505),ISNUMBER(出库明细!F505)),IF(ABS(出库明细!G505-出库明细!E505*出库明细!F505)&gt;0.005,1,0),0)</f>
        <v>0</v>
      </c>
      <c r="O505">
        <f>IF(AND(ISNUMBER(存条明细!G505),ISNUMBER(存条明细!E505),ISNUMBER(存条明细!F505)),IF(ABS(存条明细!G505-存条明细!E505*存条明细!F505)&gt;0.005,1,0),0)</f>
        <v>0</v>
      </c>
    </row>
    <row r="506">
      <c r="A506">
        <f>IF(OR(存条明细!C506="",存条明细!D506=""),"",IF(COUNTIFS(存条明细!$C$4:C506,存条明细!C506,存条明细!$D$4:D506,存条明细!D506)&gt;1,"",IFERROR(MATCH(存条明细!C506,总览汇总!$B$5:$B$304,0),900)*10000000+IFERROR(MATCH(存条明细!D506,基础资料!$E$5:$E$104,0),900)*10000+ROW()))</f>
      </c>
      <c r="B506">
        <f>IFERROR(MATCH(SMALL($A$4:$A$4003,503),$A$4:$A$4003,0),"")</f>
      </c>
      <c r="D506">
        <f>IF(AND(商品库存!B506&lt;&gt;"",商品库存!B506=客户查询!$B$4),COUNTIF(商品库存!$B$4:B506,客户查询!$B$4),"")</f>
      </c>
      <c r="E506">
        <f>IF(AND(商品库存!B506&lt;&gt;"",商品库存!B506=客户对账单!$B$4),COUNTIF(商品库存!$B$4:B506,客户对账单!$B$4),"")</f>
      </c>
      <c r="F506">
        <f>IF(AND(出库明细!C506&lt;&gt;"",出库明细!C506=客户对账单!$B$4,ISNUMBER(出库明细!B506),出库明细!B506&gt;=客户对账单!$G$4,出库明细!B506&lt;=客户对账单!$I$4),出库明细!B506+ROW()/100000,"")</f>
      </c>
      <c r="H506">
        <f>IF(AND(采购进货!C506&lt;&gt;"",采购进货!C506=供应商对账单!$B$4,ISNUMBER(采购进货!B506),采购进货!B506&gt;=供应商对账单!$G$4,采购进货!B506&lt;=供应商对账单!$I$4),采购进货!B506+ROW()/100000,"")</f>
      </c>
      <c r="N506">
        <f>IF(AND(ISNUMBER(出库明细!G506),ISNUMBER(出库明细!E506),ISNUMBER(出库明细!F506)),IF(ABS(出库明细!G506-出库明细!E506*出库明细!F506)&gt;0.005,1,0),0)</f>
        <v>0</v>
      </c>
      <c r="O506">
        <f>IF(AND(ISNUMBER(存条明细!G506),ISNUMBER(存条明细!E506),ISNUMBER(存条明细!F506)),IF(ABS(存条明细!G506-存条明细!E506*存条明细!F506)&gt;0.005,1,0),0)</f>
        <v>0</v>
      </c>
    </row>
    <row r="507">
      <c r="A507">
        <f>IF(OR(存条明细!C507="",存条明细!D507=""),"",IF(COUNTIFS(存条明细!$C$4:C507,存条明细!C507,存条明细!$D$4:D507,存条明细!D507)&gt;1,"",IFERROR(MATCH(存条明细!C507,总览汇总!$B$5:$B$304,0),900)*10000000+IFERROR(MATCH(存条明细!D507,基础资料!$E$5:$E$104,0),900)*10000+ROW()))</f>
      </c>
      <c r="B507">
        <f>IFERROR(MATCH(SMALL($A$4:$A$4003,504),$A$4:$A$4003,0),"")</f>
      </c>
      <c r="D507">
        <f>IF(AND(商品库存!B507&lt;&gt;"",商品库存!B507=客户查询!$B$4),COUNTIF(商品库存!$B$4:B507,客户查询!$B$4),"")</f>
      </c>
      <c r="E507">
        <f>IF(AND(商品库存!B507&lt;&gt;"",商品库存!B507=客户对账单!$B$4),COUNTIF(商品库存!$B$4:B507,客户对账单!$B$4),"")</f>
      </c>
      <c r="F507">
        <f>IF(AND(出库明细!C507&lt;&gt;"",出库明细!C507=客户对账单!$B$4,ISNUMBER(出库明细!B507),出库明细!B507&gt;=客户对账单!$G$4,出库明细!B507&lt;=客户对账单!$I$4),出库明细!B507+ROW()/100000,"")</f>
      </c>
      <c r="H507">
        <f>IF(AND(采购进货!C507&lt;&gt;"",采购进货!C507=供应商对账单!$B$4,ISNUMBER(采购进货!B507),采购进货!B507&gt;=供应商对账单!$G$4,采购进货!B507&lt;=供应商对账单!$I$4),采购进货!B507+ROW()/100000,"")</f>
      </c>
      <c r="N507">
        <f>IF(AND(ISNUMBER(出库明细!G507),ISNUMBER(出库明细!E507),ISNUMBER(出库明细!F507)),IF(ABS(出库明细!G507-出库明细!E507*出库明细!F507)&gt;0.005,1,0),0)</f>
        <v>0</v>
      </c>
      <c r="O507">
        <f>IF(AND(ISNUMBER(存条明细!G507),ISNUMBER(存条明细!E507),ISNUMBER(存条明细!F507)),IF(ABS(存条明细!G507-存条明细!E507*存条明细!F507)&gt;0.005,1,0),0)</f>
        <v>0</v>
      </c>
    </row>
    <row r="508">
      <c r="A508">
        <f>IF(OR(存条明细!C508="",存条明细!D508=""),"",IF(COUNTIFS(存条明细!$C$4:C508,存条明细!C508,存条明细!$D$4:D508,存条明细!D508)&gt;1,"",IFERROR(MATCH(存条明细!C508,总览汇总!$B$5:$B$304,0),900)*10000000+IFERROR(MATCH(存条明细!D508,基础资料!$E$5:$E$104,0),900)*10000+ROW()))</f>
      </c>
      <c r="B508">
        <f>IFERROR(MATCH(SMALL($A$4:$A$4003,505),$A$4:$A$4003,0),"")</f>
      </c>
      <c r="D508">
        <f>IF(AND(商品库存!B508&lt;&gt;"",商品库存!B508=客户查询!$B$4),COUNTIF(商品库存!$B$4:B508,客户查询!$B$4),"")</f>
      </c>
      <c r="E508">
        <f>IF(AND(商品库存!B508&lt;&gt;"",商品库存!B508=客户对账单!$B$4),COUNTIF(商品库存!$B$4:B508,客户对账单!$B$4),"")</f>
      </c>
      <c r="F508">
        <f>IF(AND(出库明细!C508&lt;&gt;"",出库明细!C508=客户对账单!$B$4,ISNUMBER(出库明细!B508),出库明细!B508&gt;=客户对账单!$G$4,出库明细!B508&lt;=客户对账单!$I$4),出库明细!B508+ROW()/100000,"")</f>
      </c>
      <c r="H508">
        <f>IF(AND(采购进货!C508&lt;&gt;"",采购进货!C508=供应商对账单!$B$4,ISNUMBER(采购进货!B508),采购进货!B508&gt;=供应商对账单!$G$4,采购进货!B508&lt;=供应商对账单!$I$4),采购进货!B508+ROW()/100000,"")</f>
      </c>
      <c r="N508">
        <f>IF(AND(ISNUMBER(出库明细!G508),ISNUMBER(出库明细!E508),ISNUMBER(出库明细!F508)),IF(ABS(出库明细!G508-出库明细!E508*出库明细!F508)&gt;0.005,1,0),0)</f>
        <v>0</v>
      </c>
      <c r="O508">
        <f>IF(AND(ISNUMBER(存条明细!G508),ISNUMBER(存条明细!E508),ISNUMBER(存条明细!F508)),IF(ABS(存条明细!G508-存条明细!E508*存条明细!F508)&gt;0.005,1,0),0)</f>
        <v>0</v>
      </c>
    </row>
    <row r="509">
      <c r="A509">
        <f>IF(OR(存条明细!C509="",存条明细!D509=""),"",IF(COUNTIFS(存条明细!$C$4:C509,存条明细!C509,存条明细!$D$4:D509,存条明细!D509)&gt;1,"",IFERROR(MATCH(存条明细!C509,总览汇总!$B$5:$B$304,0),900)*10000000+IFERROR(MATCH(存条明细!D509,基础资料!$E$5:$E$104,0),900)*10000+ROW()))</f>
      </c>
      <c r="B509">
        <f>IFERROR(MATCH(SMALL($A$4:$A$4003,506),$A$4:$A$4003,0),"")</f>
      </c>
      <c r="D509">
        <f>IF(AND(商品库存!B509&lt;&gt;"",商品库存!B509=客户查询!$B$4),COUNTIF(商品库存!$B$4:B509,客户查询!$B$4),"")</f>
      </c>
      <c r="E509">
        <f>IF(AND(商品库存!B509&lt;&gt;"",商品库存!B509=客户对账单!$B$4),COUNTIF(商品库存!$B$4:B509,客户对账单!$B$4),"")</f>
      </c>
      <c r="F509">
        <f>IF(AND(出库明细!C509&lt;&gt;"",出库明细!C509=客户对账单!$B$4,ISNUMBER(出库明细!B509),出库明细!B509&gt;=客户对账单!$G$4,出库明细!B509&lt;=客户对账单!$I$4),出库明细!B509+ROW()/100000,"")</f>
      </c>
      <c r="H509">
        <f>IF(AND(采购进货!C509&lt;&gt;"",采购进货!C509=供应商对账单!$B$4,ISNUMBER(采购进货!B509),采购进货!B509&gt;=供应商对账单!$G$4,采购进货!B509&lt;=供应商对账单!$I$4),采购进货!B509+ROW()/100000,"")</f>
      </c>
      <c r="N509">
        <f>IF(AND(ISNUMBER(出库明细!G509),ISNUMBER(出库明细!E509),ISNUMBER(出库明细!F509)),IF(ABS(出库明细!G509-出库明细!E509*出库明细!F509)&gt;0.005,1,0),0)</f>
        <v>0</v>
      </c>
      <c r="O509">
        <f>IF(AND(ISNUMBER(存条明细!G509),ISNUMBER(存条明细!E509),ISNUMBER(存条明细!F509)),IF(ABS(存条明细!G509-存条明细!E509*存条明细!F509)&gt;0.005,1,0),0)</f>
        <v>0</v>
      </c>
    </row>
    <row r="510">
      <c r="A510">
        <f>IF(OR(存条明细!C510="",存条明细!D510=""),"",IF(COUNTIFS(存条明细!$C$4:C510,存条明细!C510,存条明细!$D$4:D510,存条明细!D510)&gt;1,"",IFERROR(MATCH(存条明细!C510,总览汇总!$B$5:$B$304,0),900)*10000000+IFERROR(MATCH(存条明细!D510,基础资料!$E$5:$E$104,0),900)*10000+ROW()))</f>
      </c>
      <c r="B510">
        <f>IFERROR(MATCH(SMALL($A$4:$A$4003,507),$A$4:$A$4003,0),"")</f>
      </c>
      <c r="D510">
        <f>IF(AND(商品库存!B510&lt;&gt;"",商品库存!B510=客户查询!$B$4),COUNTIF(商品库存!$B$4:B510,客户查询!$B$4),"")</f>
      </c>
      <c r="E510">
        <f>IF(AND(商品库存!B510&lt;&gt;"",商品库存!B510=客户对账单!$B$4),COUNTIF(商品库存!$B$4:B510,客户对账单!$B$4),"")</f>
      </c>
      <c r="F510">
        <f>IF(AND(出库明细!C510&lt;&gt;"",出库明细!C510=客户对账单!$B$4,ISNUMBER(出库明细!B510),出库明细!B510&gt;=客户对账单!$G$4,出库明细!B510&lt;=客户对账单!$I$4),出库明细!B510+ROW()/100000,"")</f>
      </c>
      <c r="H510">
        <f>IF(AND(采购进货!C510&lt;&gt;"",采购进货!C510=供应商对账单!$B$4,ISNUMBER(采购进货!B510),采购进货!B510&gt;=供应商对账单!$G$4,采购进货!B510&lt;=供应商对账单!$I$4),采购进货!B510+ROW()/100000,"")</f>
      </c>
      <c r="N510">
        <f>IF(AND(ISNUMBER(出库明细!G510),ISNUMBER(出库明细!E510),ISNUMBER(出库明细!F510)),IF(ABS(出库明细!G510-出库明细!E510*出库明细!F510)&gt;0.005,1,0),0)</f>
        <v>0</v>
      </c>
      <c r="O510">
        <f>IF(AND(ISNUMBER(存条明细!G510),ISNUMBER(存条明细!E510),ISNUMBER(存条明细!F510)),IF(ABS(存条明细!G510-存条明细!E510*存条明细!F510)&gt;0.005,1,0),0)</f>
        <v>0</v>
      </c>
    </row>
    <row r="511">
      <c r="A511">
        <f>IF(OR(存条明细!C511="",存条明细!D511=""),"",IF(COUNTIFS(存条明细!$C$4:C511,存条明细!C511,存条明细!$D$4:D511,存条明细!D511)&gt;1,"",IFERROR(MATCH(存条明细!C511,总览汇总!$B$5:$B$304,0),900)*10000000+IFERROR(MATCH(存条明细!D511,基础资料!$E$5:$E$104,0),900)*10000+ROW()))</f>
      </c>
      <c r="B511">
        <f>IFERROR(MATCH(SMALL($A$4:$A$4003,508),$A$4:$A$4003,0),"")</f>
      </c>
      <c r="D511">
        <f>IF(AND(商品库存!B511&lt;&gt;"",商品库存!B511=客户查询!$B$4),COUNTIF(商品库存!$B$4:B511,客户查询!$B$4),"")</f>
      </c>
      <c r="E511">
        <f>IF(AND(商品库存!B511&lt;&gt;"",商品库存!B511=客户对账单!$B$4),COUNTIF(商品库存!$B$4:B511,客户对账单!$B$4),"")</f>
      </c>
      <c r="F511">
        <f>IF(AND(出库明细!C511&lt;&gt;"",出库明细!C511=客户对账单!$B$4,ISNUMBER(出库明细!B511),出库明细!B511&gt;=客户对账单!$G$4,出库明细!B511&lt;=客户对账单!$I$4),出库明细!B511+ROW()/100000,"")</f>
      </c>
      <c r="H511">
        <f>IF(AND(采购进货!C511&lt;&gt;"",采购进货!C511=供应商对账单!$B$4,ISNUMBER(采购进货!B511),采购进货!B511&gt;=供应商对账单!$G$4,采购进货!B511&lt;=供应商对账单!$I$4),采购进货!B511+ROW()/100000,"")</f>
      </c>
      <c r="N511">
        <f>IF(AND(ISNUMBER(出库明细!G511),ISNUMBER(出库明细!E511),ISNUMBER(出库明细!F511)),IF(ABS(出库明细!G511-出库明细!E511*出库明细!F511)&gt;0.005,1,0),0)</f>
        <v>0</v>
      </c>
      <c r="O511">
        <f>IF(AND(ISNUMBER(存条明细!G511),ISNUMBER(存条明细!E511),ISNUMBER(存条明细!F511)),IF(ABS(存条明细!G511-存条明细!E511*存条明细!F511)&gt;0.005,1,0),0)</f>
        <v>0</v>
      </c>
    </row>
    <row r="512">
      <c r="A512">
        <f>IF(OR(存条明细!C512="",存条明细!D512=""),"",IF(COUNTIFS(存条明细!$C$4:C512,存条明细!C512,存条明细!$D$4:D512,存条明细!D512)&gt;1,"",IFERROR(MATCH(存条明细!C512,总览汇总!$B$5:$B$304,0),900)*10000000+IFERROR(MATCH(存条明细!D512,基础资料!$E$5:$E$104,0),900)*10000+ROW()))</f>
      </c>
      <c r="B512">
        <f>IFERROR(MATCH(SMALL($A$4:$A$4003,509),$A$4:$A$4003,0),"")</f>
      </c>
      <c r="D512">
        <f>IF(AND(商品库存!B512&lt;&gt;"",商品库存!B512=客户查询!$B$4),COUNTIF(商品库存!$B$4:B512,客户查询!$B$4),"")</f>
      </c>
      <c r="E512">
        <f>IF(AND(商品库存!B512&lt;&gt;"",商品库存!B512=客户对账单!$B$4),COUNTIF(商品库存!$B$4:B512,客户对账单!$B$4),"")</f>
      </c>
      <c r="F512">
        <f>IF(AND(出库明细!C512&lt;&gt;"",出库明细!C512=客户对账单!$B$4,ISNUMBER(出库明细!B512),出库明细!B512&gt;=客户对账单!$G$4,出库明细!B512&lt;=客户对账单!$I$4),出库明细!B512+ROW()/100000,"")</f>
      </c>
      <c r="H512">
        <f>IF(AND(采购进货!C512&lt;&gt;"",采购进货!C512=供应商对账单!$B$4,ISNUMBER(采购进货!B512),采购进货!B512&gt;=供应商对账单!$G$4,采购进货!B512&lt;=供应商对账单!$I$4),采购进货!B512+ROW()/100000,"")</f>
      </c>
      <c r="N512">
        <f>IF(AND(ISNUMBER(出库明细!G512),ISNUMBER(出库明细!E512),ISNUMBER(出库明细!F512)),IF(ABS(出库明细!G512-出库明细!E512*出库明细!F512)&gt;0.005,1,0),0)</f>
        <v>0</v>
      </c>
      <c r="O512">
        <f>IF(AND(ISNUMBER(存条明细!G512),ISNUMBER(存条明细!E512),ISNUMBER(存条明细!F512)),IF(ABS(存条明细!G512-存条明细!E512*存条明细!F512)&gt;0.005,1,0),0)</f>
        <v>0</v>
      </c>
    </row>
    <row r="513">
      <c r="A513">
        <f>IF(OR(存条明细!C513="",存条明细!D513=""),"",IF(COUNTIFS(存条明细!$C$4:C513,存条明细!C513,存条明细!$D$4:D513,存条明细!D513)&gt;1,"",IFERROR(MATCH(存条明细!C513,总览汇总!$B$5:$B$304,0),900)*10000000+IFERROR(MATCH(存条明细!D513,基础资料!$E$5:$E$104,0),900)*10000+ROW()))</f>
      </c>
      <c r="B513">
        <f>IFERROR(MATCH(SMALL($A$4:$A$4003,510),$A$4:$A$4003,0),"")</f>
      </c>
      <c r="D513">
        <f>IF(AND(商品库存!B513&lt;&gt;"",商品库存!B513=客户查询!$B$4),COUNTIF(商品库存!$B$4:B513,客户查询!$B$4),"")</f>
      </c>
      <c r="E513">
        <f>IF(AND(商品库存!B513&lt;&gt;"",商品库存!B513=客户对账单!$B$4),COUNTIF(商品库存!$B$4:B513,客户对账单!$B$4),"")</f>
      </c>
      <c r="F513">
        <f>IF(AND(出库明细!C513&lt;&gt;"",出库明细!C513=客户对账单!$B$4,ISNUMBER(出库明细!B513),出库明细!B513&gt;=客户对账单!$G$4,出库明细!B513&lt;=客户对账单!$I$4),出库明细!B513+ROW()/100000,"")</f>
      </c>
      <c r="H513">
        <f>IF(AND(采购进货!C513&lt;&gt;"",采购进货!C513=供应商对账单!$B$4,ISNUMBER(采购进货!B513),采购进货!B513&gt;=供应商对账单!$G$4,采购进货!B513&lt;=供应商对账单!$I$4),采购进货!B513+ROW()/100000,"")</f>
      </c>
      <c r="N513">
        <f>IF(AND(ISNUMBER(出库明细!G513),ISNUMBER(出库明细!E513),ISNUMBER(出库明细!F513)),IF(ABS(出库明细!G513-出库明细!E513*出库明细!F513)&gt;0.005,1,0),0)</f>
        <v>0</v>
      </c>
      <c r="O513">
        <f>IF(AND(ISNUMBER(存条明细!G513),ISNUMBER(存条明细!E513),ISNUMBER(存条明细!F513)),IF(ABS(存条明细!G513-存条明细!E513*存条明细!F513)&gt;0.005,1,0),0)</f>
        <v>0</v>
      </c>
    </row>
    <row r="514">
      <c r="A514">
        <f>IF(OR(存条明细!C514="",存条明细!D514=""),"",IF(COUNTIFS(存条明细!$C$4:C514,存条明细!C514,存条明细!$D$4:D514,存条明细!D514)&gt;1,"",IFERROR(MATCH(存条明细!C514,总览汇总!$B$5:$B$304,0),900)*10000000+IFERROR(MATCH(存条明细!D514,基础资料!$E$5:$E$104,0),900)*10000+ROW()))</f>
      </c>
      <c r="B514">
        <f>IFERROR(MATCH(SMALL($A$4:$A$4003,511),$A$4:$A$4003,0),"")</f>
      </c>
      <c r="D514">
        <f>IF(AND(商品库存!B514&lt;&gt;"",商品库存!B514=客户查询!$B$4),COUNTIF(商品库存!$B$4:B514,客户查询!$B$4),"")</f>
      </c>
      <c r="E514">
        <f>IF(AND(商品库存!B514&lt;&gt;"",商品库存!B514=客户对账单!$B$4),COUNTIF(商品库存!$B$4:B514,客户对账单!$B$4),"")</f>
      </c>
      <c r="F514">
        <f>IF(AND(出库明细!C514&lt;&gt;"",出库明细!C514=客户对账单!$B$4,ISNUMBER(出库明细!B514),出库明细!B514&gt;=客户对账单!$G$4,出库明细!B514&lt;=客户对账单!$I$4),出库明细!B514+ROW()/100000,"")</f>
      </c>
      <c r="H514">
        <f>IF(AND(采购进货!C514&lt;&gt;"",采购进货!C514=供应商对账单!$B$4,ISNUMBER(采购进货!B514),采购进货!B514&gt;=供应商对账单!$G$4,采购进货!B514&lt;=供应商对账单!$I$4),采购进货!B514+ROW()/100000,"")</f>
      </c>
      <c r="N514">
        <f>IF(AND(ISNUMBER(出库明细!G514),ISNUMBER(出库明细!E514),ISNUMBER(出库明细!F514)),IF(ABS(出库明细!G514-出库明细!E514*出库明细!F514)&gt;0.005,1,0),0)</f>
        <v>0</v>
      </c>
      <c r="O514">
        <f>IF(AND(ISNUMBER(存条明细!G514),ISNUMBER(存条明细!E514),ISNUMBER(存条明细!F514)),IF(ABS(存条明细!G514-存条明细!E514*存条明细!F514)&gt;0.005,1,0),0)</f>
        <v>0</v>
      </c>
    </row>
    <row r="515">
      <c r="A515">
        <f>IF(OR(存条明细!C515="",存条明细!D515=""),"",IF(COUNTIFS(存条明细!$C$4:C515,存条明细!C515,存条明细!$D$4:D515,存条明细!D515)&gt;1,"",IFERROR(MATCH(存条明细!C515,总览汇总!$B$5:$B$304,0),900)*10000000+IFERROR(MATCH(存条明细!D515,基础资料!$E$5:$E$104,0),900)*10000+ROW()))</f>
      </c>
      <c r="B515">
        <f>IFERROR(MATCH(SMALL($A$4:$A$4003,512),$A$4:$A$4003,0),"")</f>
      </c>
      <c r="D515">
        <f>IF(AND(商品库存!B515&lt;&gt;"",商品库存!B515=客户查询!$B$4),COUNTIF(商品库存!$B$4:B515,客户查询!$B$4),"")</f>
      </c>
      <c r="E515">
        <f>IF(AND(商品库存!B515&lt;&gt;"",商品库存!B515=客户对账单!$B$4),COUNTIF(商品库存!$B$4:B515,客户对账单!$B$4),"")</f>
      </c>
      <c r="F515">
        <f>IF(AND(出库明细!C515&lt;&gt;"",出库明细!C515=客户对账单!$B$4,ISNUMBER(出库明细!B515),出库明细!B515&gt;=客户对账单!$G$4,出库明细!B515&lt;=客户对账单!$I$4),出库明细!B515+ROW()/100000,"")</f>
      </c>
      <c r="H515">
        <f>IF(AND(采购进货!C515&lt;&gt;"",采购进货!C515=供应商对账单!$B$4,ISNUMBER(采购进货!B515),采购进货!B515&gt;=供应商对账单!$G$4,采购进货!B515&lt;=供应商对账单!$I$4),采购进货!B515+ROW()/100000,"")</f>
      </c>
      <c r="N515">
        <f>IF(AND(ISNUMBER(出库明细!G515),ISNUMBER(出库明细!E515),ISNUMBER(出库明细!F515)),IF(ABS(出库明细!G515-出库明细!E515*出库明细!F515)&gt;0.005,1,0),0)</f>
        <v>0</v>
      </c>
      <c r="O515">
        <f>IF(AND(ISNUMBER(存条明细!G515),ISNUMBER(存条明细!E515),ISNUMBER(存条明细!F515)),IF(ABS(存条明细!G515-存条明细!E515*存条明细!F515)&gt;0.005,1,0),0)</f>
        <v>0</v>
      </c>
    </row>
    <row r="516">
      <c r="A516">
        <f>IF(OR(存条明细!C516="",存条明细!D516=""),"",IF(COUNTIFS(存条明细!$C$4:C516,存条明细!C516,存条明细!$D$4:D516,存条明细!D516)&gt;1,"",IFERROR(MATCH(存条明细!C516,总览汇总!$B$5:$B$304,0),900)*10000000+IFERROR(MATCH(存条明细!D516,基础资料!$E$5:$E$104,0),900)*10000+ROW()))</f>
      </c>
      <c r="B516">
        <f>IFERROR(MATCH(SMALL($A$4:$A$4003,513),$A$4:$A$4003,0),"")</f>
      </c>
      <c r="D516">
        <f>IF(AND(商品库存!B516&lt;&gt;"",商品库存!B516=客户查询!$B$4),COUNTIF(商品库存!$B$4:B516,客户查询!$B$4),"")</f>
      </c>
      <c r="E516">
        <f>IF(AND(商品库存!B516&lt;&gt;"",商品库存!B516=客户对账单!$B$4),COUNTIF(商品库存!$B$4:B516,客户对账单!$B$4),"")</f>
      </c>
      <c r="F516">
        <f>IF(AND(出库明细!C516&lt;&gt;"",出库明细!C516=客户对账单!$B$4,ISNUMBER(出库明细!B516),出库明细!B516&gt;=客户对账单!$G$4,出库明细!B516&lt;=客户对账单!$I$4),出库明细!B516+ROW()/100000,"")</f>
      </c>
      <c r="H516">
        <f>IF(AND(采购进货!C516&lt;&gt;"",采购进货!C516=供应商对账单!$B$4,ISNUMBER(采购进货!B516),采购进货!B516&gt;=供应商对账单!$G$4,采购进货!B516&lt;=供应商对账单!$I$4),采购进货!B516+ROW()/100000,"")</f>
      </c>
      <c r="N516">
        <f>IF(AND(ISNUMBER(出库明细!G516),ISNUMBER(出库明细!E516),ISNUMBER(出库明细!F516)),IF(ABS(出库明细!G516-出库明细!E516*出库明细!F516)&gt;0.005,1,0),0)</f>
        <v>0</v>
      </c>
      <c r="O516">
        <f>IF(AND(ISNUMBER(存条明细!G516),ISNUMBER(存条明细!E516),ISNUMBER(存条明细!F516)),IF(ABS(存条明细!G516-存条明细!E516*存条明细!F516)&gt;0.005,1,0),0)</f>
        <v>0</v>
      </c>
    </row>
    <row r="517">
      <c r="A517">
        <f>IF(OR(存条明细!C517="",存条明细!D517=""),"",IF(COUNTIFS(存条明细!$C$4:C517,存条明细!C517,存条明细!$D$4:D517,存条明细!D517)&gt;1,"",IFERROR(MATCH(存条明细!C517,总览汇总!$B$5:$B$304,0),900)*10000000+IFERROR(MATCH(存条明细!D517,基础资料!$E$5:$E$104,0),900)*10000+ROW()))</f>
      </c>
      <c r="B517">
        <f>IFERROR(MATCH(SMALL($A$4:$A$4003,514),$A$4:$A$4003,0),"")</f>
      </c>
      <c r="D517">
        <f>IF(AND(商品库存!B517&lt;&gt;"",商品库存!B517=客户查询!$B$4),COUNTIF(商品库存!$B$4:B517,客户查询!$B$4),"")</f>
      </c>
      <c r="E517">
        <f>IF(AND(商品库存!B517&lt;&gt;"",商品库存!B517=客户对账单!$B$4),COUNTIF(商品库存!$B$4:B517,客户对账单!$B$4),"")</f>
      </c>
      <c r="F517">
        <f>IF(AND(出库明细!C517&lt;&gt;"",出库明细!C517=客户对账单!$B$4,ISNUMBER(出库明细!B517),出库明细!B517&gt;=客户对账单!$G$4,出库明细!B517&lt;=客户对账单!$I$4),出库明细!B517+ROW()/100000,"")</f>
      </c>
      <c r="H517">
        <f>IF(AND(采购进货!C517&lt;&gt;"",采购进货!C517=供应商对账单!$B$4,ISNUMBER(采购进货!B517),采购进货!B517&gt;=供应商对账单!$G$4,采购进货!B517&lt;=供应商对账单!$I$4),采购进货!B517+ROW()/100000,"")</f>
      </c>
      <c r="N517">
        <f>IF(AND(ISNUMBER(出库明细!G517),ISNUMBER(出库明细!E517),ISNUMBER(出库明细!F517)),IF(ABS(出库明细!G517-出库明细!E517*出库明细!F517)&gt;0.005,1,0),0)</f>
        <v>0</v>
      </c>
      <c r="O517">
        <f>IF(AND(ISNUMBER(存条明细!G517),ISNUMBER(存条明细!E517),ISNUMBER(存条明细!F517)),IF(ABS(存条明细!G517-存条明细!E517*存条明细!F517)&gt;0.005,1,0),0)</f>
        <v>0</v>
      </c>
    </row>
    <row r="518">
      <c r="A518">
        <f>IF(OR(存条明细!C518="",存条明细!D518=""),"",IF(COUNTIFS(存条明细!$C$4:C518,存条明细!C518,存条明细!$D$4:D518,存条明细!D518)&gt;1,"",IFERROR(MATCH(存条明细!C518,总览汇总!$B$5:$B$304,0),900)*10000000+IFERROR(MATCH(存条明细!D518,基础资料!$E$5:$E$104,0),900)*10000+ROW()))</f>
      </c>
      <c r="B518">
        <f>IFERROR(MATCH(SMALL($A$4:$A$4003,515),$A$4:$A$4003,0),"")</f>
      </c>
      <c r="D518">
        <f>IF(AND(商品库存!B518&lt;&gt;"",商品库存!B518=客户查询!$B$4),COUNTIF(商品库存!$B$4:B518,客户查询!$B$4),"")</f>
      </c>
      <c r="E518">
        <f>IF(AND(商品库存!B518&lt;&gt;"",商品库存!B518=客户对账单!$B$4),COUNTIF(商品库存!$B$4:B518,客户对账单!$B$4),"")</f>
      </c>
      <c r="F518">
        <f>IF(AND(出库明细!C518&lt;&gt;"",出库明细!C518=客户对账单!$B$4,ISNUMBER(出库明细!B518),出库明细!B518&gt;=客户对账单!$G$4,出库明细!B518&lt;=客户对账单!$I$4),出库明细!B518+ROW()/100000,"")</f>
      </c>
      <c r="H518">
        <f>IF(AND(采购进货!C518&lt;&gt;"",采购进货!C518=供应商对账单!$B$4,ISNUMBER(采购进货!B518),采购进货!B518&gt;=供应商对账单!$G$4,采购进货!B518&lt;=供应商对账单!$I$4),采购进货!B518+ROW()/100000,"")</f>
      </c>
      <c r="N518">
        <f>IF(AND(ISNUMBER(出库明细!G518),ISNUMBER(出库明细!E518),ISNUMBER(出库明细!F518)),IF(ABS(出库明细!G518-出库明细!E518*出库明细!F518)&gt;0.005,1,0),0)</f>
        <v>0</v>
      </c>
      <c r="O518">
        <f>IF(AND(ISNUMBER(存条明细!G518),ISNUMBER(存条明细!E518),ISNUMBER(存条明细!F518)),IF(ABS(存条明细!G518-存条明细!E518*存条明细!F518)&gt;0.005,1,0),0)</f>
        <v>0</v>
      </c>
    </row>
    <row r="519">
      <c r="A519">
        <f>IF(OR(存条明细!C519="",存条明细!D519=""),"",IF(COUNTIFS(存条明细!$C$4:C519,存条明细!C519,存条明细!$D$4:D519,存条明细!D519)&gt;1,"",IFERROR(MATCH(存条明细!C519,总览汇总!$B$5:$B$304,0),900)*10000000+IFERROR(MATCH(存条明细!D519,基础资料!$E$5:$E$104,0),900)*10000+ROW()))</f>
      </c>
      <c r="B519">
        <f>IFERROR(MATCH(SMALL($A$4:$A$4003,516),$A$4:$A$4003,0),"")</f>
      </c>
      <c r="D519">
        <f>IF(AND(商品库存!B519&lt;&gt;"",商品库存!B519=客户查询!$B$4),COUNTIF(商品库存!$B$4:B519,客户查询!$B$4),"")</f>
      </c>
      <c r="E519">
        <f>IF(AND(商品库存!B519&lt;&gt;"",商品库存!B519=客户对账单!$B$4),COUNTIF(商品库存!$B$4:B519,客户对账单!$B$4),"")</f>
      </c>
      <c r="F519">
        <f>IF(AND(出库明细!C519&lt;&gt;"",出库明细!C519=客户对账单!$B$4,ISNUMBER(出库明细!B519),出库明细!B519&gt;=客户对账单!$G$4,出库明细!B519&lt;=客户对账单!$I$4),出库明细!B519+ROW()/100000,"")</f>
      </c>
      <c r="H519">
        <f>IF(AND(采购进货!C519&lt;&gt;"",采购进货!C519=供应商对账单!$B$4,ISNUMBER(采购进货!B519),采购进货!B519&gt;=供应商对账单!$G$4,采购进货!B519&lt;=供应商对账单!$I$4),采购进货!B519+ROW()/100000,"")</f>
      </c>
      <c r="N519">
        <f>IF(AND(ISNUMBER(出库明细!G519),ISNUMBER(出库明细!E519),ISNUMBER(出库明细!F519)),IF(ABS(出库明细!G519-出库明细!E519*出库明细!F519)&gt;0.005,1,0),0)</f>
        <v>0</v>
      </c>
      <c r="O519">
        <f>IF(AND(ISNUMBER(存条明细!G519),ISNUMBER(存条明细!E519),ISNUMBER(存条明细!F519)),IF(ABS(存条明细!G519-存条明细!E519*存条明细!F519)&gt;0.005,1,0),0)</f>
        <v>0</v>
      </c>
    </row>
    <row r="520">
      <c r="A520">
        <f>IF(OR(存条明细!C520="",存条明细!D520=""),"",IF(COUNTIFS(存条明细!$C$4:C520,存条明细!C520,存条明细!$D$4:D520,存条明细!D520)&gt;1,"",IFERROR(MATCH(存条明细!C520,总览汇总!$B$5:$B$304,0),900)*10000000+IFERROR(MATCH(存条明细!D520,基础资料!$E$5:$E$104,0),900)*10000+ROW()))</f>
      </c>
      <c r="B520">
        <f>IFERROR(MATCH(SMALL($A$4:$A$4003,517),$A$4:$A$4003,0),"")</f>
      </c>
      <c r="D520">
        <f>IF(AND(商品库存!B520&lt;&gt;"",商品库存!B520=客户查询!$B$4),COUNTIF(商品库存!$B$4:B520,客户查询!$B$4),"")</f>
      </c>
      <c r="E520">
        <f>IF(AND(商品库存!B520&lt;&gt;"",商品库存!B520=客户对账单!$B$4),COUNTIF(商品库存!$B$4:B520,客户对账单!$B$4),"")</f>
      </c>
      <c r="F520">
        <f>IF(AND(出库明细!C520&lt;&gt;"",出库明细!C520=客户对账单!$B$4,ISNUMBER(出库明细!B520),出库明细!B520&gt;=客户对账单!$G$4,出库明细!B520&lt;=客户对账单!$I$4),出库明细!B520+ROW()/100000,"")</f>
      </c>
      <c r="H520">
        <f>IF(AND(采购进货!C520&lt;&gt;"",采购进货!C520=供应商对账单!$B$4,ISNUMBER(采购进货!B520),采购进货!B520&gt;=供应商对账单!$G$4,采购进货!B520&lt;=供应商对账单!$I$4),采购进货!B520+ROW()/100000,"")</f>
      </c>
      <c r="N520">
        <f>IF(AND(ISNUMBER(出库明细!G520),ISNUMBER(出库明细!E520),ISNUMBER(出库明细!F520)),IF(ABS(出库明细!G520-出库明细!E520*出库明细!F520)&gt;0.005,1,0),0)</f>
        <v>0</v>
      </c>
      <c r="O520">
        <f>IF(AND(ISNUMBER(存条明细!G520),ISNUMBER(存条明细!E520),ISNUMBER(存条明细!F520)),IF(ABS(存条明细!G520-存条明细!E520*存条明细!F520)&gt;0.005,1,0),0)</f>
        <v>0</v>
      </c>
    </row>
    <row r="521">
      <c r="A521">
        <f>IF(OR(存条明细!C521="",存条明细!D521=""),"",IF(COUNTIFS(存条明细!$C$4:C521,存条明细!C521,存条明细!$D$4:D521,存条明细!D521)&gt;1,"",IFERROR(MATCH(存条明细!C521,总览汇总!$B$5:$B$304,0),900)*10000000+IFERROR(MATCH(存条明细!D521,基础资料!$E$5:$E$104,0),900)*10000+ROW()))</f>
      </c>
      <c r="B521">
        <f>IFERROR(MATCH(SMALL($A$4:$A$4003,518),$A$4:$A$4003,0),"")</f>
      </c>
      <c r="D521">
        <f>IF(AND(商品库存!B521&lt;&gt;"",商品库存!B521=客户查询!$B$4),COUNTIF(商品库存!$B$4:B521,客户查询!$B$4),"")</f>
      </c>
      <c r="E521">
        <f>IF(AND(商品库存!B521&lt;&gt;"",商品库存!B521=客户对账单!$B$4),COUNTIF(商品库存!$B$4:B521,客户对账单!$B$4),"")</f>
      </c>
      <c r="F521">
        <f>IF(AND(出库明细!C521&lt;&gt;"",出库明细!C521=客户对账单!$B$4,ISNUMBER(出库明细!B521),出库明细!B521&gt;=客户对账单!$G$4,出库明细!B521&lt;=客户对账单!$I$4),出库明细!B521+ROW()/100000,"")</f>
      </c>
      <c r="H521">
        <f>IF(AND(采购进货!C521&lt;&gt;"",采购进货!C521=供应商对账单!$B$4,ISNUMBER(采购进货!B521),采购进货!B521&gt;=供应商对账单!$G$4,采购进货!B521&lt;=供应商对账单!$I$4),采购进货!B521+ROW()/100000,"")</f>
      </c>
      <c r="N521">
        <f>IF(AND(ISNUMBER(出库明细!G521),ISNUMBER(出库明细!E521),ISNUMBER(出库明细!F521)),IF(ABS(出库明细!G521-出库明细!E521*出库明细!F521)&gt;0.005,1,0),0)</f>
        <v>0</v>
      </c>
      <c r="O521">
        <f>IF(AND(ISNUMBER(存条明细!G521),ISNUMBER(存条明细!E521),ISNUMBER(存条明细!F521)),IF(ABS(存条明细!G521-存条明细!E521*存条明细!F521)&gt;0.005,1,0),0)</f>
        <v>0</v>
      </c>
    </row>
    <row r="522">
      <c r="A522">
        <f>IF(OR(存条明细!C522="",存条明细!D522=""),"",IF(COUNTIFS(存条明细!$C$4:C522,存条明细!C522,存条明细!$D$4:D522,存条明细!D522)&gt;1,"",IFERROR(MATCH(存条明细!C522,总览汇总!$B$5:$B$304,0),900)*10000000+IFERROR(MATCH(存条明细!D522,基础资料!$E$5:$E$104,0),900)*10000+ROW()))</f>
      </c>
      <c r="B522">
        <f>IFERROR(MATCH(SMALL($A$4:$A$4003,519),$A$4:$A$4003,0),"")</f>
      </c>
      <c r="D522">
        <f>IF(AND(商品库存!B522&lt;&gt;"",商品库存!B522=客户查询!$B$4),COUNTIF(商品库存!$B$4:B522,客户查询!$B$4),"")</f>
      </c>
      <c r="E522">
        <f>IF(AND(商品库存!B522&lt;&gt;"",商品库存!B522=客户对账单!$B$4),COUNTIF(商品库存!$B$4:B522,客户对账单!$B$4),"")</f>
      </c>
      <c r="F522">
        <f>IF(AND(出库明细!C522&lt;&gt;"",出库明细!C522=客户对账单!$B$4,ISNUMBER(出库明细!B522),出库明细!B522&gt;=客户对账单!$G$4,出库明细!B522&lt;=客户对账单!$I$4),出库明细!B522+ROW()/100000,"")</f>
      </c>
      <c r="H522">
        <f>IF(AND(采购进货!C522&lt;&gt;"",采购进货!C522=供应商对账单!$B$4,ISNUMBER(采购进货!B522),采购进货!B522&gt;=供应商对账单!$G$4,采购进货!B522&lt;=供应商对账单!$I$4),采购进货!B522+ROW()/100000,"")</f>
      </c>
      <c r="N522">
        <f>IF(AND(ISNUMBER(出库明细!G522),ISNUMBER(出库明细!E522),ISNUMBER(出库明细!F522)),IF(ABS(出库明细!G522-出库明细!E522*出库明细!F522)&gt;0.005,1,0),0)</f>
        <v>0</v>
      </c>
      <c r="O522">
        <f>IF(AND(ISNUMBER(存条明细!G522),ISNUMBER(存条明细!E522),ISNUMBER(存条明细!F522)),IF(ABS(存条明细!G522-存条明细!E522*存条明细!F522)&gt;0.005,1,0),0)</f>
        <v>0</v>
      </c>
    </row>
    <row r="523">
      <c r="A523">
        <f>IF(OR(存条明细!C523="",存条明细!D523=""),"",IF(COUNTIFS(存条明细!$C$4:C523,存条明细!C523,存条明细!$D$4:D523,存条明细!D523)&gt;1,"",IFERROR(MATCH(存条明细!C523,总览汇总!$B$5:$B$304,0),900)*10000000+IFERROR(MATCH(存条明细!D523,基础资料!$E$5:$E$104,0),900)*10000+ROW()))</f>
      </c>
      <c r="B523">
        <f>IFERROR(MATCH(SMALL($A$4:$A$4003,520),$A$4:$A$4003,0),"")</f>
      </c>
      <c r="D523">
        <f>IF(AND(商品库存!B523&lt;&gt;"",商品库存!B523=客户查询!$B$4),COUNTIF(商品库存!$B$4:B523,客户查询!$B$4),"")</f>
      </c>
      <c r="E523">
        <f>IF(AND(商品库存!B523&lt;&gt;"",商品库存!B523=客户对账单!$B$4),COUNTIF(商品库存!$B$4:B523,客户对账单!$B$4),"")</f>
      </c>
      <c r="F523">
        <f>IF(AND(出库明细!C523&lt;&gt;"",出库明细!C523=客户对账单!$B$4,ISNUMBER(出库明细!B523),出库明细!B523&gt;=客户对账单!$G$4,出库明细!B523&lt;=客户对账单!$I$4),出库明细!B523+ROW()/100000,"")</f>
      </c>
      <c r="H523">
        <f>IF(AND(采购进货!C523&lt;&gt;"",采购进货!C523=供应商对账单!$B$4,ISNUMBER(采购进货!B523),采购进货!B523&gt;=供应商对账单!$G$4,采购进货!B523&lt;=供应商对账单!$I$4),采购进货!B523+ROW()/100000,"")</f>
      </c>
      <c r="N523">
        <f>IF(AND(ISNUMBER(出库明细!G523),ISNUMBER(出库明细!E523),ISNUMBER(出库明细!F523)),IF(ABS(出库明细!G523-出库明细!E523*出库明细!F523)&gt;0.005,1,0),0)</f>
        <v>0</v>
      </c>
      <c r="O523">
        <f>IF(AND(ISNUMBER(存条明细!G523),ISNUMBER(存条明细!E523),ISNUMBER(存条明细!F523)),IF(ABS(存条明细!G523-存条明细!E523*存条明细!F523)&gt;0.005,1,0),0)</f>
        <v>0</v>
      </c>
    </row>
    <row r="524">
      <c r="A524">
        <f>IF(OR(存条明细!C524="",存条明细!D524=""),"",IF(COUNTIFS(存条明细!$C$4:C524,存条明细!C524,存条明细!$D$4:D524,存条明细!D524)&gt;1,"",IFERROR(MATCH(存条明细!C524,总览汇总!$B$5:$B$304,0),900)*10000000+IFERROR(MATCH(存条明细!D524,基础资料!$E$5:$E$104,0),900)*10000+ROW()))</f>
      </c>
      <c r="B524">
        <f>IFERROR(MATCH(SMALL($A$4:$A$4003,521),$A$4:$A$4003,0),"")</f>
      </c>
      <c r="D524">
        <f>IF(AND(商品库存!B524&lt;&gt;"",商品库存!B524=客户查询!$B$4),COUNTIF(商品库存!$B$4:B524,客户查询!$B$4),"")</f>
      </c>
      <c r="E524">
        <f>IF(AND(商品库存!B524&lt;&gt;"",商品库存!B524=客户对账单!$B$4),COUNTIF(商品库存!$B$4:B524,客户对账单!$B$4),"")</f>
      </c>
      <c r="F524">
        <f>IF(AND(出库明细!C524&lt;&gt;"",出库明细!C524=客户对账单!$B$4,ISNUMBER(出库明细!B524),出库明细!B524&gt;=客户对账单!$G$4,出库明细!B524&lt;=客户对账单!$I$4),出库明细!B524+ROW()/100000,"")</f>
      </c>
      <c r="H524">
        <f>IF(AND(采购进货!C524&lt;&gt;"",采购进货!C524=供应商对账单!$B$4,ISNUMBER(采购进货!B524),采购进货!B524&gt;=供应商对账单!$G$4,采购进货!B524&lt;=供应商对账单!$I$4),采购进货!B524+ROW()/100000,"")</f>
      </c>
      <c r="N524">
        <f>IF(AND(ISNUMBER(出库明细!G524),ISNUMBER(出库明细!E524),ISNUMBER(出库明细!F524)),IF(ABS(出库明细!G524-出库明细!E524*出库明细!F524)&gt;0.005,1,0),0)</f>
        <v>0</v>
      </c>
      <c r="O524">
        <f>IF(AND(ISNUMBER(存条明细!G524),ISNUMBER(存条明细!E524),ISNUMBER(存条明细!F524)),IF(ABS(存条明细!G524-存条明细!E524*存条明细!F524)&gt;0.005,1,0),0)</f>
        <v>0</v>
      </c>
    </row>
    <row r="525">
      <c r="A525">
        <f>IF(OR(存条明细!C525="",存条明细!D525=""),"",IF(COUNTIFS(存条明细!$C$4:C525,存条明细!C525,存条明细!$D$4:D525,存条明细!D525)&gt;1,"",IFERROR(MATCH(存条明细!C525,总览汇总!$B$5:$B$304,0),900)*10000000+IFERROR(MATCH(存条明细!D525,基础资料!$E$5:$E$104,0),900)*10000+ROW()))</f>
      </c>
      <c r="B525">
        <f>IFERROR(MATCH(SMALL($A$4:$A$4003,522),$A$4:$A$4003,0),"")</f>
      </c>
      <c r="D525">
        <f>IF(AND(商品库存!B525&lt;&gt;"",商品库存!B525=客户查询!$B$4),COUNTIF(商品库存!$B$4:B525,客户查询!$B$4),"")</f>
      </c>
      <c r="E525">
        <f>IF(AND(商品库存!B525&lt;&gt;"",商品库存!B525=客户对账单!$B$4),COUNTIF(商品库存!$B$4:B525,客户对账单!$B$4),"")</f>
      </c>
      <c r="F525">
        <f>IF(AND(出库明细!C525&lt;&gt;"",出库明细!C525=客户对账单!$B$4,ISNUMBER(出库明细!B525),出库明细!B525&gt;=客户对账单!$G$4,出库明细!B525&lt;=客户对账单!$I$4),出库明细!B525+ROW()/100000,"")</f>
      </c>
      <c r="H525">
        <f>IF(AND(采购进货!C525&lt;&gt;"",采购进货!C525=供应商对账单!$B$4,ISNUMBER(采购进货!B525),采购进货!B525&gt;=供应商对账单!$G$4,采购进货!B525&lt;=供应商对账单!$I$4),采购进货!B525+ROW()/100000,"")</f>
      </c>
      <c r="N525">
        <f>IF(AND(ISNUMBER(出库明细!G525),ISNUMBER(出库明细!E525),ISNUMBER(出库明细!F525)),IF(ABS(出库明细!G525-出库明细!E525*出库明细!F525)&gt;0.005,1,0),0)</f>
        <v>0</v>
      </c>
      <c r="O525">
        <f>IF(AND(ISNUMBER(存条明细!G525),ISNUMBER(存条明细!E525),ISNUMBER(存条明细!F525)),IF(ABS(存条明细!G525-存条明细!E525*存条明细!F525)&gt;0.005,1,0),0)</f>
        <v>0</v>
      </c>
    </row>
    <row r="526">
      <c r="A526">
        <f>IF(OR(存条明细!C526="",存条明细!D526=""),"",IF(COUNTIFS(存条明细!$C$4:C526,存条明细!C526,存条明细!$D$4:D526,存条明细!D526)&gt;1,"",IFERROR(MATCH(存条明细!C526,总览汇总!$B$5:$B$304,0),900)*10000000+IFERROR(MATCH(存条明细!D526,基础资料!$E$5:$E$104,0),900)*10000+ROW()))</f>
      </c>
      <c r="B526">
        <f>IFERROR(MATCH(SMALL($A$4:$A$4003,523),$A$4:$A$4003,0),"")</f>
      </c>
      <c r="D526">
        <f>IF(AND(商品库存!B526&lt;&gt;"",商品库存!B526=客户查询!$B$4),COUNTIF(商品库存!$B$4:B526,客户查询!$B$4),"")</f>
      </c>
      <c r="E526">
        <f>IF(AND(商品库存!B526&lt;&gt;"",商品库存!B526=客户对账单!$B$4),COUNTIF(商品库存!$B$4:B526,客户对账单!$B$4),"")</f>
      </c>
      <c r="F526">
        <f>IF(AND(出库明细!C526&lt;&gt;"",出库明细!C526=客户对账单!$B$4,ISNUMBER(出库明细!B526),出库明细!B526&gt;=客户对账单!$G$4,出库明细!B526&lt;=客户对账单!$I$4),出库明细!B526+ROW()/100000,"")</f>
      </c>
      <c r="H526">
        <f>IF(AND(采购进货!C526&lt;&gt;"",采购进货!C526=供应商对账单!$B$4,ISNUMBER(采购进货!B526),采购进货!B526&gt;=供应商对账单!$G$4,采购进货!B526&lt;=供应商对账单!$I$4),采购进货!B526+ROW()/100000,"")</f>
      </c>
      <c r="N526">
        <f>IF(AND(ISNUMBER(出库明细!G526),ISNUMBER(出库明细!E526),ISNUMBER(出库明细!F526)),IF(ABS(出库明细!G526-出库明细!E526*出库明细!F526)&gt;0.005,1,0),0)</f>
        <v>0</v>
      </c>
      <c r="O526">
        <f>IF(AND(ISNUMBER(存条明细!G526),ISNUMBER(存条明细!E526),ISNUMBER(存条明细!F526)),IF(ABS(存条明细!G526-存条明细!E526*存条明细!F526)&gt;0.005,1,0),0)</f>
        <v>0</v>
      </c>
    </row>
    <row r="527">
      <c r="A527">
        <f>IF(OR(存条明细!C527="",存条明细!D527=""),"",IF(COUNTIFS(存条明细!$C$4:C527,存条明细!C527,存条明细!$D$4:D527,存条明细!D527)&gt;1,"",IFERROR(MATCH(存条明细!C527,总览汇总!$B$5:$B$304,0),900)*10000000+IFERROR(MATCH(存条明细!D527,基础资料!$E$5:$E$104,0),900)*10000+ROW()))</f>
      </c>
      <c r="B527">
        <f>IFERROR(MATCH(SMALL($A$4:$A$4003,524),$A$4:$A$4003,0),"")</f>
      </c>
      <c r="D527">
        <f>IF(AND(商品库存!B527&lt;&gt;"",商品库存!B527=客户查询!$B$4),COUNTIF(商品库存!$B$4:B527,客户查询!$B$4),"")</f>
      </c>
      <c r="E527">
        <f>IF(AND(商品库存!B527&lt;&gt;"",商品库存!B527=客户对账单!$B$4),COUNTIF(商品库存!$B$4:B527,客户对账单!$B$4),"")</f>
      </c>
      <c r="F527">
        <f>IF(AND(出库明细!C527&lt;&gt;"",出库明细!C527=客户对账单!$B$4,ISNUMBER(出库明细!B527),出库明细!B527&gt;=客户对账单!$G$4,出库明细!B527&lt;=客户对账单!$I$4),出库明细!B527+ROW()/100000,"")</f>
      </c>
      <c r="H527">
        <f>IF(AND(采购进货!C527&lt;&gt;"",采购进货!C527=供应商对账单!$B$4,ISNUMBER(采购进货!B527),采购进货!B527&gt;=供应商对账单!$G$4,采购进货!B527&lt;=供应商对账单!$I$4),采购进货!B527+ROW()/100000,"")</f>
      </c>
      <c r="N527">
        <f>IF(AND(ISNUMBER(出库明细!G527),ISNUMBER(出库明细!E527),ISNUMBER(出库明细!F527)),IF(ABS(出库明细!G527-出库明细!E527*出库明细!F527)&gt;0.005,1,0),0)</f>
        <v>0</v>
      </c>
      <c r="O527">
        <f>IF(AND(ISNUMBER(存条明细!G527),ISNUMBER(存条明细!E527),ISNUMBER(存条明细!F527)),IF(ABS(存条明细!G527-存条明细!E527*存条明细!F527)&gt;0.005,1,0),0)</f>
        <v>0</v>
      </c>
    </row>
    <row r="528">
      <c r="A528">
        <f>IF(OR(存条明细!C528="",存条明细!D528=""),"",IF(COUNTIFS(存条明细!$C$4:C528,存条明细!C528,存条明细!$D$4:D528,存条明细!D528)&gt;1,"",IFERROR(MATCH(存条明细!C528,总览汇总!$B$5:$B$304,0),900)*10000000+IFERROR(MATCH(存条明细!D528,基础资料!$E$5:$E$104,0),900)*10000+ROW()))</f>
      </c>
      <c r="B528">
        <f>IFERROR(MATCH(SMALL($A$4:$A$4003,525),$A$4:$A$4003,0),"")</f>
      </c>
      <c r="D528">
        <f>IF(AND(商品库存!B528&lt;&gt;"",商品库存!B528=客户查询!$B$4),COUNTIF(商品库存!$B$4:B528,客户查询!$B$4),"")</f>
      </c>
      <c r="E528">
        <f>IF(AND(商品库存!B528&lt;&gt;"",商品库存!B528=客户对账单!$B$4),COUNTIF(商品库存!$B$4:B528,客户对账单!$B$4),"")</f>
      </c>
      <c r="F528">
        <f>IF(AND(出库明细!C528&lt;&gt;"",出库明细!C528=客户对账单!$B$4,ISNUMBER(出库明细!B528),出库明细!B528&gt;=客户对账单!$G$4,出库明细!B528&lt;=客户对账单!$I$4),出库明细!B528+ROW()/100000,"")</f>
      </c>
      <c r="H528">
        <f>IF(AND(采购进货!C528&lt;&gt;"",采购进货!C528=供应商对账单!$B$4,ISNUMBER(采购进货!B528),采购进货!B528&gt;=供应商对账单!$G$4,采购进货!B528&lt;=供应商对账单!$I$4),采购进货!B528+ROW()/100000,"")</f>
      </c>
      <c r="N528">
        <f>IF(AND(ISNUMBER(出库明细!G528),ISNUMBER(出库明细!E528),ISNUMBER(出库明细!F528)),IF(ABS(出库明细!G528-出库明细!E528*出库明细!F528)&gt;0.005,1,0),0)</f>
        <v>0</v>
      </c>
      <c r="O528">
        <f>IF(AND(ISNUMBER(存条明细!G528),ISNUMBER(存条明细!E528),ISNUMBER(存条明细!F528)),IF(ABS(存条明细!G528-存条明细!E528*存条明细!F528)&gt;0.005,1,0),0)</f>
        <v>0</v>
      </c>
    </row>
    <row r="529">
      <c r="A529">
        <f>IF(OR(存条明细!C529="",存条明细!D529=""),"",IF(COUNTIFS(存条明细!$C$4:C529,存条明细!C529,存条明细!$D$4:D529,存条明细!D529)&gt;1,"",IFERROR(MATCH(存条明细!C529,总览汇总!$B$5:$B$304,0),900)*10000000+IFERROR(MATCH(存条明细!D529,基础资料!$E$5:$E$104,0),900)*10000+ROW()))</f>
      </c>
      <c r="B529">
        <f>IFERROR(MATCH(SMALL($A$4:$A$4003,526),$A$4:$A$4003,0),"")</f>
      </c>
      <c r="D529">
        <f>IF(AND(商品库存!B529&lt;&gt;"",商品库存!B529=客户查询!$B$4),COUNTIF(商品库存!$B$4:B529,客户查询!$B$4),"")</f>
      </c>
      <c r="E529">
        <f>IF(AND(商品库存!B529&lt;&gt;"",商品库存!B529=客户对账单!$B$4),COUNTIF(商品库存!$B$4:B529,客户对账单!$B$4),"")</f>
      </c>
      <c r="F529">
        <f>IF(AND(出库明细!C529&lt;&gt;"",出库明细!C529=客户对账单!$B$4,ISNUMBER(出库明细!B529),出库明细!B529&gt;=客户对账单!$G$4,出库明细!B529&lt;=客户对账单!$I$4),出库明细!B529+ROW()/100000,"")</f>
      </c>
      <c r="H529">
        <f>IF(AND(采购进货!C529&lt;&gt;"",采购进货!C529=供应商对账单!$B$4,ISNUMBER(采购进货!B529),采购进货!B529&gt;=供应商对账单!$G$4,采购进货!B529&lt;=供应商对账单!$I$4),采购进货!B529+ROW()/100000,"")</f>
      </c>
      <c r="N529">
        <f>IF(AND(ISNUMBER(出库明细!G529),ISNUMBER(出库明细!E529),ISNUMBER(出库明细!F529)),IF(ABS(出库明细!G529-出库明细!E529*出库明细!F529)&gt;0.005,1,0),0)</f>
        <v>0</v>
      </c>
      <c r="O529">
        <f>IF(AND(ISNUMBER(存条明细!G529),ISNUMBER(存条明细!E529),ISNUMBER(存条明细!F529)),IF(ABS(存条明细!G529-存条明细!E529*存条明细!F529)&gt;0.005,1,0),0)</f>
        <v>0</v>
      </c>
    </row>
    <row r="530">
      <c r="A530">
        <f>IF(OR(存条明细!C530="",存条明细!D530=""),"",IF(COUNTIFS(存条明细!$C$4:C530,存条明细!C530,存条明细!$D$4:D530,存条明细!D530)&gt;1,"",IFERROR(MATCH(存条明细!C530,总览汇总!$B$5:$B$304,0),900)*10000000+IFERROR(MATCH(存条明细!D530,基础资料!$E$5:$E$104,0),900)*10000+ROW()))</f>
      </c>
      <c r="B530">
        <f>IFERROR(MATCH(SMALL($A$4:$A$4003,527),$A$4:$A$4003,0),"")</f>
      </c>
      <c r="D530">
        <f>IF(AND(商品库存!B530&lt;&gt;"",商品库存!B530=客户查询!$B$4),COUNTIF(商品库存!$B$4:B530,客户查询!$B$4),"")</f>
      </c>
      <c r="E530">
        <f>IF(AND(商品库存!B530&lt;&gt;"",商品库存!B530=客户对账单!$B$4),COUNTIF(商品库存!$B$4:B530,客户对账单!$B$4),"")</f>
      </c>
      <c r="F530">
        <f>IF(AND(出库明细!C530&lt;&gt;"",出库明细!C530=客户对账单!$B$4,ISNUMBER(出库明细!B530),出库明细!B530&gt;=客户对账单!$G$4,出库明细!B530&lt;=客户对账单!$I$4),出库明细!B530+ROW()/100000,"")</f>
      </c>
      <c r="H530">
        <f>IF(AND(采购进货!C530&lt;&gt;"",采购进货!C530=供应商对账单!$B$4,ISNUMBER(采购进货!B530),采购进货!B530&gt;=供应商对账单!$G$4,采购进货!B530&lt;=供应商对账单!$I$4),采购进货!B530+ROW()/100000,"")</f>
      </c>
      <c r="N530">
        <f>IF(AND(ISNUMBER(出库明细!G530),ISNUMBER(出库明细!E530),ISNUMBER(出库明细!F530)),IF(ABS(出库明细!G530-出库明细!E530*出库明细!F530)&gt;0.005,1,0),0)</f>
        <v>0</v>
      </c>
      <c r="O530">
        <f>IF(AND(ISNUMBER(存条明细!G530),ISNUMBER(存条明细!E530),ISNUMBER(存条明细!F530)),IF(ABS(存条明细!G530-存条明细!E530*存条明细!F530)&gt;0.005,1,0),0)</f>
        <v>0</v>
      </c>
    </row>
    <row r="531">
      <c r="A531">
        <f>IF(OR(存条明细!C531="",存条明细!D531=""),"",IF(COUNTIFS(存条明细!$C$4:C531,存条明细!C531,存条明细!$D$4:D531,存条明细!D531)&gt;1,"",IFERROR(MATCH(存条明细!C531,总览汇总!$B$5:$B$304,0),900)*10000000+IFERROR(MATCH(存条明细!D531,基础资料!$E$5:$E$104,0),900)*10000+ROW()))</f>
      </c>
      <c r="B531">
        <f>IFERROR(MATCH(SMALL($A$4:$A$4003,528),$A$4:$A$4003,0),"")</f>
      </c>
      <c r="D531">
        <f>IF(AND(商品库存!B531&lt;&gt;"",商品库存!B531=客户查询!$B$4),COUNTIF(商品库存!$B$4:B531,客户查询!$B$4),"")</f>
      </c>
      <c r="E531">
        <f>IF(AND(商品库存!B531&lt;&gt;"",商品库存!B531=客户对账单!$B$4),COUNTIF(商品库存!$B$4:B531,客户对账单!$B$4),"")</f>
      </c>
      <c r="F531">
        <f>IF(AND(出库明细!C531&lt;&gt;"",出库明细!C531=客户对账单!$B$4,ISNUMBER(出库明细!B531),出库明细!B531&gt;=客户对账单!$G$4,出库明细!B531&lt;=客户对账单!$I$4),出库明细!B531+ROW()/100000,"")</f>
      </c>
      <c r="H531">
        <f>IF(AND(采购进货!C531&lt;&gt;"",采购进货!C531=供应商对账单!$B$4,ISNUMBER(采购进货!B531),采购进货!B531&gt;=供应商对账单!$G$4,采购进货!B531&lt;=供应商对账单!$I$4),采购进货!B531+ROW()/100000,"")</f>
      </c>
      <c r="N531">
        <f>IF(AND(ISNUMBER(出库明细!G531),ISNUMBER(出库明细!E531),ISNUMBER(出库明细!F531)),IF(ABS(出库明细!G531-出库明细!E531*出库明细!F531)&gt;0.005,1,0),0)</f>
        <v>0</v>
      </c>
      <c r="O531">
        <f>IF(AND(ISNUMBER(存条明细!G531),ISNUMBER(存条明细!E531),ISNUMBER(存条明细!F531)),IF(ABS(存条明细!G531-存条明细!E531*存条明细!F531)&gt;0.005,1,0),0)</f>
        <v>0</v>
      </c>
    </row>
    <row r="532">
      <c r="A532">
        <f>IF(OR(存条明细!C532="",存条明细!D532=""),"",IF(COUNTIFS(存条明细!$C$4:C532,存条明细!C532,存条明细!$D$4:D532,存条明细!D532)&gt;1,"",IFERROR(MATCH(存条明细!C532,总览汇总!$B$5:$B$304,0),900)*10000000+IFERROR(MATCH(存条明细!D532,基础资料!$E$5:$E$104,0),900)*10000+ROW()))</f>
      </c>
      <c r="B532">
        <f>IFERROR(MATCH(SMALL($A$4:$A$4003,529),$A$4:$A$4003,0),"")</f>
      </c>
      <c r="D532">
        <f>IF(AND(商品库存!B532&lt;&gt;"",商品库存!B532=客户查询!$B$4),COUNTIF(商品库存!$B$4:B532,客户查询!$B$4),"")</f>
      </c>
      <c r="E532">
        <f>IF(AND(商品库存!B532&lt;&gt;"",商品库存!B532=客户对账单!$B$4),COUNTIF(商品库存!$B$4:B532,客户对账单!$B$4),"")</f>
      </c>
      <c r="F532">
        <f>IF(AND(出库明细!C532&lt;&gt;"",出库明细!C532=客户对账单!$B$4,ISNUMBER(出库明细!B532),出库明细!B532&gt;=客户对账单!$G$4,出库明细!B532&lt;=客户对账单!$I$4),出库明细!B532+ROW()/100000,"")</f>
      </c>
      <c r="H532">
        <f>IF(AND(采购进货!C532&lt;&gt;"",采购进货!C532=供应商对账单!$B$4,ISNUMBER(采购进货!B532),采购进货!B532&gt;=供应商对账单!$G$4,采购进货!B532&lt;=供应商对账单!$I$4),采购进货!B532+ROW()/100000,"")</f>
      </c>
      <c r="N532">
        <f>IF(AND(ISNUMBER(出库明细!G532),ISNUMBER(出库明细!E532),ISNUMBER(出库明细!F532)),IF(ABS(出库明细!G532-出库明细!E532*出库明细!F532)&gt;0.005,1,0),0)</f>
        <v>0</v>
      </c>
      <c r="O532">
        <f>IF(AND(ISNUMBER(存条明细!G532),ISNUMBER(存条明细!E532),ISNUMBER(存条明细!F532)),IF(ABS(存条明细!G532-存条明细!E532*存条明细!F532)&gt;0.005,1,0),0)</f>
        <v>0</v>
      </c>
    </row>
    <row r="533">
      <c r="A533">
        <f>IF(OR(存条明细!C533="",存条明细!D533=""),"",IF(COUNTIFS(存条明细!$C$4:C533,存条明细!C533,存条明细!$D$4:D533,存条明细!D533)&gt;1,"",IFERROR(MATCH(存条明细!C533,总览汇总!$B$5:$B$304,0),900)*10000000+IFERROR(MATCH(存条明细!D533,基础资料!$E$5:$E$104,0),900)*10000+ROW()))</f>
      </c>
      <c r="B533">
        <f>IFERROR(MATCH(SMALL($A$4:$A$4003,530),$A$4:$A$4003,0),"")</f>
      </c>
      <c r="D533">
        <f>IF(AND(商品库存!B533&lt;&gt;"",商品库存!B533=客户查询!$B$4),COUNTIF(商品库存!$B$4:B533,客户查询!$B$4),"")</f>
      </c>
      <c r="E533">
        <f>IF(AND(商品库存!B533&lt;&gt;"",商品库存!B533=客户对账单!$B$4),COUNTIF(商品库存!$B$4:B533,客户对账单!$B$4),"")</f>
      </c>
      <c r="F533">
        <f>IF(AND(出库明细!C533&lt;&gt;"",出库明细!C533=客户对账单!$B$4,ISNUMBER(出库明细!B533),出库明细!B533&gt;=客户对账单!$G$4,出库明细!B533&lt;=客户对账单!$I$4),出库明细!B533+ROW()/100000,"")</f>
      </c>
      <c r="H533">
        <f>IF(AND(采购进货!C533&lt;&gt;"",采购进货!C533=供应商对账单!$B$4,ISNUMBER(采购进货!B533),采购进货!B533&gt;=供应商对账单!$G$4,采购进货!B533&lt;=供应商对账单!$I$4),采购进货!B533+ROW()/100000,"")</f>
      </c>
      <c r="N533">
        <f>IF(AND(ISNUMBER(出库明细!G533),ISNUMBER(出库明细!E533),ISNUMBER(出库明细!F533)),IF(ABS(出库明细!G533-出库明细!E533*出库明细!F533)&gt;0.005,1,0),0)</f>
        <v>0</v>
      </c>
      <c r="O533">
        <f>IF(AND(ISNUMBER(存条明细!G533),ISNUMBER(存条明细!E533),ISNUMBER(存条明细!F533)),IF(ABS(存条明细!G533-存条明细!E533*存条明细!F533)&gt;0.005,1,0),0)</f>
        <v>0</v>
      </c>
    </row>
    <row r="534">
      <c r="A534">
        <f>IF(OR(存条明细!C534="",存条明细!D534=""),"",IF(COUNTIFS(存条明细!$C$4:C534,存条明细!C534,存条明细!$D$4:D534,存条明细!D534)&gt;1,"",IFERROR(MATCH(存条明细!C534,总览汇总!$B$5:$B$304,0),900)*10000000+IFERROR(MATCH(存条明细!D534,基础资料!$E$5:$E$104,0),900)*10000+ROW()))</f>
      </c>
      <c r="B534">
        <f>IFERROR(MATCH(SMALL($A$4:$A$4003,531),$A$4:$A$4003,0),"")</f>
      </c>
      <c r="D534">
        <f>IF(AND(商品库存!B534&lt;&gt;"",商品库存!B534=客户查询!$B$4),COUNTIF(商品库存!$B$4:B534,客户查询!$B$4),"")</f>
      </c>
      <c r="E534">
        <f>IF(AND(商品库存!B534&lt;&gt;"",商品库存!B534=客户对账单!$B$4),COUNTIF(商品库存!$B$4:B534,客户对账单!$B$4),"")</f>
      </c>
      <c r="F534">
        <f>IF(AND(出库明细!C534&lt;&gt;"",出库明细!C534=客户对账单!$B$4,ISNUMBER(出库明细!B534),出库明细!B534&gt;=客户对账单!$G$4,出库明细!B534&lt;=客户对账单!$I$4),出库明细!B534+ROW()/100000,"")</f>
      </c>
      <c r="H534">
        <f>IF(AND(采购进货!C534&lt;&gt;"",采购进货!C534=供应商对账单!$B$4,ISNUMBER(采购进货!B534),采购进货!B534&gt;=供应商对账单!$G$4,采购进货!B534&lt;=供应商对账单!$I$4),采购进货!B534+ROW()/100000,"")</f>
      </c>
      <c r="N534">
        <f>IF(AND(ISNUMBER(出库明细!G534),ISNUMBER(出库明细!E534),ISNUMBER(出库明细!F534)),IF(ABS(出库明细!G534-出库明细!E534*出库明细!F534)&gt;0.005,1,0),0)</f>
        <v>0</v>
      </c>
      <c r="O534">
        <f>IF(AND(ISNUMBER(存条明细!G534),ISNUMBER(存条明细!E534),ISNUMBER(存条明细!F534)),IF(ABS(存条明细!G534-存条明细!E534*存条明细!F534)&gt;0.005,1,0),0)</f>
        <v>0</v>
      </c>
    </row>
    <row r="535">
      <c r="A535">
        <f>IF(OR(存条明细!C535="",存条明细!D535=""),"",IF(COUNTIFS(存条明细!$C$4:C535,存条明细!C535,存条明细!$D$4:D535,存条明细!D535)&gt;1,"",IFERROR(MATCH(存条明细!C535,总览汇总!$B$5:$B$304,0),900)*10000000+IFERROR(MATCH(存条明细!D535,基础资料!$E$5:$E$104,0),900)*10000+ROW()))</f>
      </c>
      <c r="B535">
        <f>IFERROR(MATCH(SMALL($A$4:$A$4003,532),$A$4:$A$4003,0),"")</f>
      </c>
      <c r="D535">
        <f>IF(AND(商品库存!B535&lt;&gt;"",商品库存!B535=客户查询!$B$4),COUNTIF(商品库存!$B$4:B535,客户查询!$B$4),"")</f>
      </c>
      <c r="E535">
        <f>IF(AND(商品库存!B535&lt;&gt;"",商品库存!B535=客户对账单!$B$4),COUNTIF(商品库存!$B$4:B535,客户对账单!$B$4),"")</f>
      </c>
      <c r="F535">
        <f>IF(AND(出库明细!C535&lt;&gt;"",出库明细!C535=客户对账单!$B$4,ISNUMBER(出库明细!B535),出库明细!B535&gt;=客户对账单!$G$4,出库明细!B535&lt;=客户对账单!$I$4),出库明细!B535+ROW()/100000,"")</f>
      </c>
      <c r="H535">
        <f>IF(AND(采购进货!C535&lt;&gt;"",采购进货!C535=供应商对账单!$B$4,ISNUMBER(采购进货!B535),采购进货!B535&gt;=供应商对账单!$G$4,采购进货!B535&lt;=供应商对账单!$I$4),采购进货!B535+ROW()/100000,"")</f>
      </c>
      <c r="N535">
        <f>IF(AND(ISNUMBER(出库明细!G535),ISNUMBER(出库明细!E535),ISNUMBER(出库明细!F535)),IF(ABS(出库明细!G535-出库明细!E535*出库明细!F535)&gt;0.005,1,0),0)</f>
        <v>0</v>
      </c>
      <c r="O535">
        <f>IF(AND(ISNUMBER(存条明细!G535),ISNUMBER(存条明细!E535),ISNUMBER(存条明细!F535)),IF(ABS(存条明细!G535-存条明细!E535*存条明细!F535)&gt;0.005,1,0),0)</f>
        <v>0</v>
      </c>
    </row>
    <row r="536">
      <c r="A536">
        <f>IF(OR(存条明细!C536="",存条明细!D536=""),"",IF(COUNTIFS(存条明细!$C$4:C536,存条明细!C536,存条明细!$D$4:D536,存条明细!D536)&gt;1,"",IFERROR(MATCH(存条明细!C536,总览汇总!$B$5:$B$304,0),900)*10000000+IFERROR(MATCH(存条明细!D536,基础资料!$E$5:$E$104,0),900)*10000+ROW()))</f>
      </c>
      <c r="B536">
        <f>IFERROR(MATCH(SMALL($A$4:$A$4003,533),$A$4:$A$4003,0),"")</f>
      </c>
      <c r="D536">
        <f>IF(AND(商品库存!B536&lt;&gt;"",商品库存!B536=客户查询!$B$4),COUNTIF(商品库存!$B$4:B536,客户查询!$B$4),"")</f>
      </c>
      <c r="E536">
        <f>IF(AND(商品库存!B536&lt;&gt;"",商品库存!B536=客户对账单!$B$4),COUNTIF(商品库存!$B$4:B536,客户对账单!$B$4),"")</f>
      </c>
      <c r="F536">
        <f>IF(AND(出库明细!C536&lt;&gt;"",出库明细!C536=客户对账单!$B$4,ISNUMBER(出库明细!B536),出库明细!B536&gt;=客户对账单!$G$4,出库明细!B536&lt;=客户对账单!$I$4),出库明细!B536+ROW()/100000,"")</f>
      </c>
      <c r="H536">
        <f>IF(AND(采购进货!C536&lt;&gt;"",采购进货!C536=供应商对账单!$B$4,ISNUMBER(采购进货!B536),采购进货!B536&gt;=供应商对账单!$G$4,采购进货!B536&lt;=供应商对账单!$I$4),采购进货!B536+ROW()/100000,"")</f>
      </c>
      <c r="N536">
        <f>IF(AND(ISNUMBER(出库明细!G536),ISNUMBER(出库明细!E536),ISNUMBER(出库明细!F536)),IF(ABS(出库明细!G536-出库明细!E536*出库明细!F536)&gt;0.005,1,0),0)</f>
        <v>0</v>
      </c>
      <c r="O536">
        <f>IF(AND(ISNUMBER(存条明细!G536),ISNUMBER(存条明细!E536),ISNUMBER(存条明细!F536)),IF(ABS(存条明细!G536-存条明细!E536*存条明细!F536)&gt;0.005,1,0),0)</f>
        <v>0</v>
      </c>
    </row>
    <row r="537">
      <c r="A537">
        <f>IF(OR(存条明细!C537="",存条明细!D537=""),"",IF(COUNTIFS(存条明细!$C$4:C537,存条明细!C537,存条明细!$D$4:D537,存条明细!D537)&gt;1,"",IFERROR(MATCH(存条明细!C537,总览汇总!$B$5:$B$304,0),900)*10000000+IFERROR(MATCH(存条明细!D537,基础资料!$E$5:$E$104,0),900)*10000+ROW()))</f>
      </c>
      <c r="B537">
        <f>IFERROR(MATCH(SMALL($A$4:$A$4003,534),$A$4:$A$4003,0),"")</f>
      </c>
      <c r="D537">
        <f>IF(AND(商品库存!B537&lt;&gt;"",商品库存!B537=客户查询!$B$4),COUNTIF(商品库存!$B$4:B537,客户查询!$B$4),"")</f>
      </c>
      <c r="E537">
        <f>IF(AND(商品库存!B537&lt;&gt;"",商品库存!B537=客户对账单!$B$4),COUNTIF(商品库存!$B$4:B537,客户对账单!$B$4),"")</f>
      </c>
      <c r="F537">
        <f>IF(AND(出库明细!C537&lt;&gt;"",出库明细!C537=客户对账单!$B$4,ISNUMBER(出库明细!B537),出库明细!B537&gt;=客户对账单!$G$4,出库明细!B537&lt;=客户对账单!$I$4),出库明细!B537+ROW()/100000,"")</f>
      </c>
      <c r="H537">
        <f>IF(AND(采购进货!C537&lt;&gt;"",采购进货!C537=供应商对账单!$B$4,ISNUMBER(采购进货!B537),采购进货!B537&gt;=供应商对账单!$G$4,采购进货!B537&lt;=供应商对账单!$I$4),采购进货!B537+ROW()/100000,"")</f>
      </c>
      <c r="N537">
        <f>IF(AND(ISNUMBER(出库明细!G537),ISNUMBER(出库明细!E537),ISNUMBER(出库明细!F537)),IF(ABS(出库明细!G537-出库明细!E537*出库明细!F537)&gt;0.005,1,0),0)</f>
        <v>0</v>
      </c>
      <c r="O537">
        <f>IF(AND(ISNUMBER(存条明细!G537),ISNUMBER(存条明细!E537),ISNUMBER(存条明细!F537)),IF(ABS(存条明细!G537-存条明细!E537*存条明细!F537)&gt;0.005,1,0),0)</f>
        <v>0</v>
      </c>
    </row>
    <row r="538">
      <c r="A538">
        <f>IF(OR(存条明细!C538="",存条明细!D538=""),"",IF(COUNTIFS(存条明细!$C$4:C538,存条明细!C538,存条明细!$D$4:D538,存条明细!D538)&gt;1,"",IFERROR(MATCH(存条明细!C538,总览汇总!$B$5:$B$304,0),900)*10000000+IFERROR(MATCH(存条明细!D538,基础资料!$E$5:$E$104,0),900)*10000+ROW()))</f>
      </c>
      <c r="B538">
        <f>IFERROR(MATCH(SMALL($A$4:$A$4003,535),$A$4:$A$4003,0),"")</f>
      </c>
      <c r="D538">
        <f>IF(AND(商品库存!B538&lt;&gt;"",商品库存!B538=客户查询!$B$4),COUNTIF(商品库存!$B$4:B538,客户查询!$B$4),"")</f>
      </c>
      <c r="E538">
        <f>IF(AND(商品库存!B538&lt;&gt;"",商品库存!B538=客户对账单!$B$4),COUNTIF(商品库存!$B$4:B538,客户对账单!$B$4),"")</f>
      </c>
      <c r="F538">
        <f>IF(AND(出库明细!C538&lt;&gt;"",出库明细!C538=客户对账单!$B$4,ISNUMBER(出库明细!B538),出库明细!B538&gt;=客户对账单!$G$4,出库明细!B538&lt;=客户对账单!$I$4),出库明细!B538+ROW()/100000,"")</f>
      </c>
      <c r="H538">
        <f>IF(AND(采购进货!C538&lt;&gt;"",采购进货!C538=供应商对账单!$B$4,ISNUMBER(采购进货!B538),采购进货!B538&gt;=供应商对账单!$G$4,采购进货!B538&lt;=供应商对账单!$I$4),采购进货!B538+ROW()/100000,"")</f>
      </c>
      <c r="N538">
        <f>IF(AND(ISNUMBER(出库明细!G538),ISNUMBER(出库明细!E538),ISNUMBER(出库明细!F538)),IF(ABS(出库明细!G538-出库明细!E538*出库明细!F538)&gt;0.005,1,0),0)</f>
        <v>0</v>
      </c>
      <c r="O538">
        <f>IF(AND(ISNUMBER(存条明细!G538),ISNUMBER(存条明细!E538),ISNUMBER(存条明细!F538)),IF(ABS(存条明细!G538-存条明细!E538*存条明细!F538)&gt;0.005,1,0),0)</f>
        <v>0</v>
      </c>
    </row>
    <row r="539">
      <c r="A539">
        <f>IF(OR(存条明细!C539="",存条明细!D539=""),"",IF(COUNTIFS(存条明细!$C$4:C539,存条明细!C539,存条明细!$D$4:D539,存条明细!D539)&gt;1,"",IFERROR(MATCH(存条明细!C539,总览汇总!$B$5:$B$304,0),900)*10000000+IFERROR(MATCH(存条明细!D539,基础资料!$E$5:$E$104,0),900)*10000+ROW()))</f>
      </c>
      <c r="B539">
        <f>IFERROR(MATCH(SMALL($A$4:$A$4003,536),$A$4:$A$4003,0),"")</f>
      </c>
      <c r="D539">
        <f>IF(AND(商品库存!B539&lt;&gt;"",商品库存!B539=客户查询!$B$4),COUNTIF(商品库存!$B$4:B539,客户查询!$B$4),"")</f>
      </c>
      <c r="E539">
        <f>IF(AND(商品库存!B539&lt;&gt;"",商品库存!B539=客户对账单!$B$4),COUNTIF(商品库存!$B$4:B539,客户对账单!$B$4),"")</f>
      </c>
      <c r="F539">
        <f>IF(AND(出库明细!C539&lt;&gt;"",出库明细!C539=客户对账单!$B$4,ISNUMBER(出库明细!B539),出库明细!B539&gt;=客户对账单!$G$4,出库明细!B539&lt;=客户对账单!$I$4),出库明细!B539+ROW()/100000,"")</f>
      </c>
      <c r="H539">
        <f>IF(AND(采购进货!C539&lt;&gt;"",采购进货!C539=供应商对账单!$B$4,ISNUMBER(采购进货!B539),采购进货!B539&gt;=供应商对账单!$G$4,采购进货!B539&lt;=供应商对账单!$I$4),采购进货!B539+ROW()/100000,"")</f>
      </c>
      <c r="N539">
        <f>IF(AND(ISNUMBER(出库明细!G539),ISNUMBER(出库明细!E539),ISNUMBER(出库明细!F539)),IF(ABS(出库明细!G539-出库明细!E539*出库明细!F539)&gt;0.005,1,0),0)</f>
        <v>0</v>
      </c>
      <c r="O539">
        <f>IF(AND(ISNUMBER(存条明细!G539),ISNUMBER(存条明细!E539),ISNUMBER(存条明细!F539)),IF(ABS(存条明细!G539-存条明细!E539*存条明细!F539)&gt;0.005,1,0),0)</f>
        <v>0</v>
      </c>
    </row>
    <row r="540">
      <c r="A540">
        <f>IF(OR(存条明细!C540="",存条明细!D540=""),"",IF(COUNTIFS(存条明细!$C$4:C540,存条明细!C540,存条明细!$D$4:D540,存条明细!D540)&gt;1,"",IFERROR(MATCH(存条明细!C540,总览汇总!$B$5:$B$304,0),900)*10000000+IFERROR(MATCH(存条明细!D540,基础资料!$E$5:$E$104,0),900)*10000+ROW()))</f>
      </c>
      <c r="B540">
        <f>IFERROR(MATCH(SMALL($A$4:$A$4003,537),$A$4:$A$4003,0),"")</f>
      </c>
      <c r="D540">
        <f>IF(AND(商品库存!B540&lt;&gt;"",商品库存!B540=客户查询!$B$4),COUNTIF(商品库存!$B$4:B540,客户查询!$B$4),"")</f>
      </c>
      <c r="E540">
        <f>IF(AND(商品库存!B540&lt;&gt;"",商品库存!B540=客户对账单!$B$4),COUNTIF(商品库存!$B$4:B540,客户对账单!$B$4),"")</f>
      </c>
      <c r="F540">
        <f>IF(AND(出库明细!C540&lt;&gt;"",出库明细!C540=客户对账单!$B$4,ISNUMBER(出库明细!B540),出库明细!B540&gt;=客户对账单!$G$4,出库明细!B540&lt;=客户对账单!$I$4),出库明细!B540+ROW()/100000,"")</f>
      </c>
      <c r="H540">
        <f>IF(AND(采购进货!C540&lt;&gt;"",采购进货!C540=供应商对账单!$B$4,ISNUMBER(采购进货!B540),采购进货!B540&gt;=供应商对账单!$G$4,采购进货!B540&lt;=供应商对账单!$I$4),采购进货!B540+ROW()/100000,"")</f>
      </c>
      <c r="N540">
        <f>IF(AND(ISNUMBER(出库明细!G540),ISNUMBER(出库明细!E540),ISNUMBER(出库明细!F540)),IF(ABS(出库明细!G540-出库明细!E540*出库明细!F540)&gt;0.005,1,0),0)</f>
        <v>0</v>
      </c>
      <c r="O540">
        <f>IF(AND(ISNUMBER(存条明细!G540),ISNUMBER(存条明细!E540),ISNUMBER(存条明细!F540)),IF(ABS(存条明细!G540-存条明细!E540*存条明细!F540)&gt;0.005,1,0),0)</f>
        <v>0</v>
      </c>
    </row>
    <row r="541">
      <c r="A541">
        <f>IF(OR(存条明细!C541="",存条明细!D541=""),"",IF(COUNTIFS(存条明细!$C$4:C541,存条明细!C541,存条明细!$D$4:D541,存条明细!D541)&gt;1,"",IFERROR(MATCH(存条明细!C541,总览汇总!$B$5:$B$304,0),900)*10000000+IFERROR(MATCH(存条明细!D541,基础资料!$E$5:$E$104,0),900)*10000+ROW()))</f>
      </c>
      <c r="B541">
        <f>IFERROR(MATCH(SMALL($A$4:$A$4003,538),$A$4:$A$4003,0),"")</f>
      </c>
      <c r="D541">
        <f>IF(AND(商品库存!B541&lt;&gt;"",商品库存!B541=客户查询!$B$4),COUNTIF(商品库存!$B$4:B541,客户查询!$B$4),"")</f>
      </c>
      <c r="E541">
        <f>IF(AND(商品库存!B541&lt;&gt;"",商品库存!B541=客户对账单!$B$4),COUNTIF(商品库存!$B$4:B541,客户对账单!$B$4),"")</f>
      </c>
      <c r="F541">
        <f>IF(AND(出库明细!C541&lt;&gt;"",出库明细!C541=客户对账单!$B$4,ISNUMBER(出库明细!B541),出库明细!B541&gt;=客户对账单!$G$4,出库明细!B541&lt;=客户对账单!$I$4),出库明细!B541+ROW()/100000,"")</f>
      </c>
      <c r="H541">
        <f>IF(AND(采购进货!C541&lt;&gt;"",采购进货!C541=供应商对账单!$B$4,ISNUMBER(采购进货!B541),采购进货!B541&gt;=供应商对账单!$G$4,采购进货!B541&lt;=供应商对账单!$I$4),采购进货!B541+ROW()/100000,"")</f>
      </c>
      <c r="N541">
        <f>IF(AND(ISNUMBER(出库明细!G541),ISNUMBER(出库明细!E541),ISNUMBER(出库明细!F541)),IF(ABS(出库明细!G541-出库明细!E541*出库明细!F541)&gt;0.005,1,0),0)</f>
        <v>0</v>
      </c>
      <c r="O541">
        <f>IF(AND(ISNUMBER(存条明细!G541),ISNUMBER(存条明细!E541),ISNUMBER(存条明细!F541)),IF(ABS(存条明细!G541-存条明细!E541*存条明细!F541)&gt;0.005,1,0),0)</f>
        <v>0</v>
      </c>
    </row>
    <row r="542">
      <c r="A542">
        <f>IF(OR(存条明细!C542="",存条明细!D542=""),"",IF(COUNTIFS(存条明细!$C$4:C542,存条明细!C542,存条明细!$D$4:D542,存条明细!D542)&gt;1,"",IFERROR(MATCH(存条明细!C542,总览汇总!$B$5:$B$304,0),900)*10000000+IFERROR(MATCH(存条明细!D542,基础资料!$E$5:$E$104,0),900)*10000+ROW()))</f>
      </c>
      <c r="B542">
        <f>IFERROR(MATCH(SMALL($A$4:$A$4003,539),$A$4:$A$4003,0),"")</f>
      </c>
      <c r="D542">
        <f>IF(AND(商品库存!B542&lt;&gt;"",商品库存!B542=客户查询!$B$4),COUNTIF(商品库存!$B$4:B542,客户查询!$B$4),"")</f>
      </c>
      <c r="E542">
        <f>IF(AND(商品库存!B542&lt;&gt;"",商品库存!B542=客户对账单!$B$4),COUNTIF(商品库存!$B$4:B542,客户对账单!$B$4),"")</f>
      </c>
      <c r="F542">
        <f>IF(AND(出库明细!C542&lt;&gt;"",出库明细!C542=客户对账单!$B$4,ISNUMBER(出库明细!B542),出库明细!B542&gt;=客户对账单!$G$4,出库明细!B542&lt;=客户对账单!$I$4),出库明细!B542+ROW()/100000,"")</f>
      </c>
      <c r="H542">
        <f>IF(AND(采购进货!C542&lt;&gt;"",采购进货!C542=供应商对账单!$B$4,ISNUMBER(采购进货!B542),采购进货!B542&gt;=供应商对账单!$G$4,采购进货!B542&lt;=供应商对账单!$I$4),采购进货!B542+ROW()/100000,"")</f>
      </c>
      <c r="N542">
        <f>IF(AND(ISNUMBER(出库明细!G542),ISNUMBER(出库明细!E542),ISNUMBER(出库明细!F542)),IF(ABS(出库明细!G542-出库明细!E542*出库明细!F542)&gt;0.005,1,0),0)</f>
        <v>0</v>
      </c>
      <c r="O542">
        <f>IF(AND(ISNUMBER(存条明细!G542),ISNUMBER(存条明细!E542),ISNUMBER(存条明细!F542)),IF(ABS(存条明细!G542-存条明细!E542*存条明细!F542)&gt;0.005,1,0),0)</f>
        <v>0</v>
      </c>
    </row>
    <row r="543">
      <c r="A543">
        <f>IF(OR(存条明细!C543="",存条明细!D543=""),"",IF(COUNTIFS(存条明细!$C$4:C543,存条明细!C543,存条明细!$D$4:D543,存条明细!D543)&gt;1,"",IFERROR(MATCH(存条明细!C543,总览汇总!$B$5:$B$304,0),900)*10000000+IFERROR(MATCH(存条明细!D543,基础资料!$E$5:$E$104,0),900)*10000+ROW()))</f>
      </c>
      <c r="B543">
        <f>IFERROR(MATCH(SMALL($A$4:$A$4003,540),$A$4:$A$4003,0),"")</f>
      </c>
      <c r="D543">
        <f>IF(AND(商品库存!B543&lt;&gt;"",商品库存!B543=客户查询!$B$4),COUNTIF(商品库存!$B$4:B543,客户查询!$B$4),"")</f>
      </c>
      <c r="E543">
        <f>IF(AND(商品库存!B543&lt;&gt;"",商品库存!B543=客户对账单!$B$4),COUNTIF(商品库存!$B$4:B543,客户对账单!$B$4),"")</f>
      </c>
      <c r="F543">
        <f>IF(AND(出库明细!C543&lt;&gt;"",出库明细!C543=客户对账单!$B$4,ISNUMBER(出库明细!B543),出库明细!B543&gt;=客户对账单!$G$4,出库明细!B543&lt;=客户对账单!$I$4),出库明细!B543+ROW()/100000,"")</f>
      </c>
      <c r="H543">
        <f>IF(AND(采购进货!C543&lt;&gt;"",采购进货!C543=供应商对账单!$B$4,ISNUMBER(采购进货!B543),采购进货!B543&gt;=供应商对账单!$G$4,采购进货!B543&lt;=供应商对账单!$I$4),采购进货!B543+ROW()/100000,"")</f>
      </c>
      <c r="N543">
        <f>IF(AND(ISNUMBER(出库明细!G543),ISNUMBER(出库明细!E543),ISNUMBER(出库明细!F543)),IF(ABS(出库明细!G543-出库明细!E543*出库明细!F543)&gt;0.005,1,0),0)</f>
        <v>0</v>
      </c>
      <c r="O543">
        <f>IF(AND(ISNUMBER(存条明细!G543),ISNUMBER(存条明细!E543),ISNUMBER(存条明细!F543)),IF(ABS(存条明细!G543-存条明细!E543*存条明细!F543)&gt;0.005,1,0),0)</f>
        <v>0</v>
      </c>
    </row>
    <row r="544">
      <c r="A544">
        <f>IF(OR(存条明细!C544="",存条明细!D544=""),"",IF(COUNTIFS(存条明细!$C$4:C544,存条明细!C544,存条明细!$D$4:D544,存条明细!D544)&gt;1,"",IFERROR(MATCH(存条明细!C544,总览汇总!$B$5:$B$304,0),900)*10000000+IFERROR(MATCH(存条明细!D544,基础资料!$E$5:$E$104,0),900)*10000+ROW()))</f>
      </c>
      <c r="B544">
        <f>IFERROR(MATCH(SMALL($A$4:$A$4003,541),$A$4:$A$4003,0),"")</f>
      </c>
      <c r="D544">
        <f>IF(AND(商品库存!B544&lt;&gt;"",商品库存!B544=客户查询!$B$4),COUNTIF(商品库存!$B$4:B544,客户查询!$B$4),"")</f>
      </c>
      <c r="E544">
        <f>IF(AND(商品库存!B544&lt;&gt;"",商品库存!B544=客户对账单!$B$4),COUNTIF(商品库存!$B$4:B544,客户对账单!$B$4),"")</f>
      </c>
      <c r="F544">
        <f>IF(AND(出库明细!C544&lt;&gt;"",出库明细!C544=客户对账单!$B$4,ISNUMBER(出库明细!B544),出库明细!B544&gt;=客户对账单!$G$4,出库明细!B544&lt;=客户对账单!$I$4),出库明细!B544+ROW()/100000,"")</f>
      </c>
      <c r="H544">
        <f>IF(AND(采购进货!C544&lt;&gt;"",采购进货!C544=供应商对账单!$B$4,ISNUMBER(采购进货!B544),采购进货!B544&gt;=供应商对账单!$G$4,采购进货!B544&lt;=供应商对账单!$I$4),采购进货!B544+ROW()/100000,"")</f>
      </c>
      <c r="N544">
        <f>IF(AND(ISNUMBER(出库明细!G544),ISNUMBER(出库明细!E544),ISNUMBER(出库明细!F544)),IF(ABS(出库明细!G544-出库明细!E544*出库明细!F544)&gt;0.005,1,0),0)</f>
        <v>0</v>
      </c>
      <c r="O544">
        <f>IF(AND(ISNUMBER(存条明细!G544),ISNUMBER(存条明细!E544),ISNUMBER(存条明细!F544)),IF(ABS(存条明细!G544-存条明细!E544*存条明细!F544)&gt;0.005,1,0),0)</f>
        <v>0</v>
      </c>
    </row>
    <row r="545">
      <c r="A545">
        <f>IF(OR(存条明细!C545="",存条明细!D545=""),"",IF(COUNTIFS(存条明细!$C$4:C545,存条明细!C545,存条明细!$D$4:D545,存条明细!D545)&gt;1,"",IFERROR(MATCH(存条明细!C545,总览汇总!$B$5:$B$304,0),900)*10000000+IFERROR(MATCH(存条明细!D545,基础资料!$E$5:$E$104,0),900)*10000+ROW()))</f>
      </c>
      <c r="B545">
        <f>IFERROR(MATCH(SMALL($A$4:$A$4003,542),$A$4:$A$4003,0),"")</f>
      </c>
      <c r="D545">
        <f>IF(AND(商品库存!B545&lt;&gt;"",商品库存!B545=客户查询!$B$4),COUNTIF(商品库存!$B$4:B545,客户查询!$B$4),"")</f>
      </c>
      <c r="E545">
        <f>IF(AND(商品库存!B545&lt;&gt;"",商品库存!B545=客户对账单!$B$4),COUNTIF(商品库存!$B$4:B545,客户对账单!$B$4),"")</f>
      </c>
      <c r="F545">
        <f>IF(AND(出库明细!C545&lt;&gt;"",出库明细!C545=客户对账单!$B$4,ISNUMBER(出库明细!B545),出库明细!B545&gt;=客户对账单!$G$4,出库明细!B545&lt;=客户对账单!$I$4),出库明细!B545+ROW()/100000,"")</f>
      </c>
      <c r="H545">
        <f>IF(AND(采购进货!C545&lt;&gt;"",采购进货!C545=供应商对账单!$B$4,ISNUMBER(采购进货!B545),采购进货!B545&gt;=供应商对账单!$G$4,采购进货!B545&lt;=供应商对账单!$I$4),采购进货!B545+ROW()/100000,"")</f>
      </c>
      <c r="N545">
        <f>IF(AND(ISNUMBER(出库明细!G545),ISNUMBER(出库明细!E545),ISNUMBER(出库明细!F545)),IF(ABS(出库明细!G545-出库明细!E545*出库明细!F545)&gt;0.005,1,0),0)</f>
        <v>0</v>
      </c>
      <c r="O545">
        <f>IF(AND(ISNUMBER(存条明细!G545),ISNUMBER(存条明细!E545),ISNUMBER(存条明细!F545)),IF(ABS(存条明细!G545-存条明细!E545*存条明细!F545)&gt;0.005,1,0),0)</f>
        <v>0</v>
      </c>
    </row>
    <row r="546">
      <c r="A546">
        <f>IF(OR(存条明细!C546="",存条明细!D546=""),"",IF(COUNTIFS(存条明细!$C$4:C546,存条明细!C546,存条明细!$D$4:D546,存条明细!D546)&gt;1,"",IFERROR(MATCH(存条明细!C546,总览汇总!$B$5:$B$304,0),900)*10000000+IFERROR(MATCH(存条明细!D546,基础资料!$E$5:$E$104,0),900)*10000+ROW()))</f>
      </c>
      <c r="B546">
        <f>IFERROR(MATCH(SMALL($A$4:$A$4003,543),$A$4:$A$4003,0),"")</f>
      </c>
      <c r="D546">
        <f>IF(AND(商品库存!B546&lt;&gt;"",商品库存!B546=客户查询!$B$4),COUNTIF(商品库存!$B$4:B546,客户查询!$B$4),"")</f>
      </c>
      <c r="E546">
        <f>IF(AND(商品库存!B546&lt;&gt;"",商品库存!B546=客户对账单!$B$4),COUNTIF(商品库存!$B$4:B546,客户对账单!$B$4),"")</f>
      </c>
      <c r="F546">
        <f>IF(AND(出库明细!C546&lt;&gt;"",出库明细!C546=客户对账单!$B$4,ISNUMBER(出库明细!B546),出库明细!B546&gt;=客户对账单!$G$4,出库明细!B546&lt;=客户对账单!$I$4),出库明细!B546+ROW()/100000,"")</f>
      </c>
      <c r="H546">
        <f>IF(AND(采购进货!C546&lt;&gt;"",采购进货!C546=供应商对账单!$B$4,ISNUMBER(采购进货!B546),采购进货!B546&gt;=供应商对账单!$G$4,采购进货!B546&lt;=供应商对账单!$I$4),采购进货!B546+ROW()/100000,"")</f>
      </c>
      <c r="N546">
        <f>IF(AND(ISNUMBER(出库明细!G546),ISNUMBER(出库明细!E546),ISNUMBER(出库明细!F546)),IF(ABS(出库明细!G546-出库明细!E546*出库明细!F546)&gt;0.005,1,0),0)</f>
        <v>0</v>
      </c>
      <c r="O546">
        <f>IF(AND(ISNUMBER(存条明细!G546),ISNUMBER(存条明细!E546),ISNUMBER(存条明细!F546)),IF(ABS(存条明细!G546-存条明细!E546*存条明细!F546)&gt;0.005,1,0),0)</f>
        <v>0</v>
      </c>
    </row>
    <row r="547">
      <c r="A547">
        <f>IF(OR(存条明细!C547="",存条明细!D547=""),"",IF(COUNTIFS(存条明细!$C$4:C547,存条明细!C547,存条明细!$D$4:D547,存条明细!D547)&gt;1,"",IFERROR(MATCH(存条明细!C547,总览汇总!$B$5:$B$304,0),900)*10000000+IFERROR(MATCH(存条明细!D547,基础资料!$E$5:$E$104,0),900)*10000+ROW()))</f>
      </c>
      <c r="B547">
        <f>IFERROR(MATCH(SMALL($A$4:$A$4003,544),$A$4:$A$4003,0),"")</f>
      </c>
      <c r="D547">
        <f>IF(AND(商品库存!B547&lt;&gt;"",商品库存!B547=客户查询!$B$4),COUNTIF(商品库存!$B$4:B547,客户查询!$B$4),"")</f>
      </c>
      <c r="E547">
        <f>IF(AND(商品库存!B547&lt;&gt;"",商品库存!B547=客户对账单!$B$4),COUNTIF(商品库存!$B$4:B547,客户对账单!$B$4),"")</f>
      </c>
      <c r="F547">
        <f>IF(AND(出库明细!C547&lt;&gt;"",出库明细!C547=客户对账单!$B$4,ISNUMBER(出库明细!B547),出库明细!B547&gt;=客户对账单!$G$4,出库明细!B547&lt;=客户对账单!$I$4),出库明细!B547+ROW()/100000,"")</f>
      </c>
      <c r="H547">
        <f>IF(AND(采购进货!C547&lt;&gt;"",采购进货!C547=供应商对账单!$B$4,ISNUMBER(采购进货!B547),采购进货!B547&gt;=供应商对账单!$G$4,采购进货!B547&lt;=供应商对账单!$I$4),采购进货!B547+ROW()/100000,"")</f>
      </c>
      <c r="N547">
        <f>IF(AND(ISNUMBER(出库明细!G547),ISNUMBER(出库明细!E547),ISNUMBER(出库明细!F547)),IF(ABS(出库明细!G547-出库明细!E547*出库明细!F547)&gt;0.005,1,0),0)</f>
        <v>0</v>
      </c>
      <c r="O547">
        <f>IF(AND(ISNUMBER(存条明细!G547),ISNUMBER(存条明细!E547),ISNUMBER(存条明细!F547)),IF(ABS(存条明细!G547-存条明细!E547*存条明细!F547)&gt;0.005,1,0),0)</f>
        <v>0</v>
      </c>
    </row>
    <row r="548">
      <c r="A548">
        <f>IF(OR(存条明细!C548="",存条明细!D548=""),"",IF(COUNTIFS(存条明细!$C$4:C548,存条明细!C548,存条明细!$D$4:D548,存条明细!D548)&gt;1,"",IFERROR(MATCH(存条明细!C548,总览汇总!$B$5:$B$304,0),900)*10000000+IFERROR(MATCH(存条明细!D548,基础资料!$E$5:$E$104,0),900)*10000+ROW()))</f>
      </c>
      <c r="B548">
        <f>IFERROR(MATCH(SMALL($A$4:$A$4003,545),$A$4:$A$4003,0),"")</f>
      </c>
      <c r="D548">
        <f>IF(AND(商品库存!B548&lt;&gt;"",商品库存!B548=客户查询!$B$4),COUNTIF(商品库存!$B$4:B548,客户查询!$B$4),"")</f>
      </c>
      <c r="E548">
        <f>IF(AND(商品库存!B548&lt;&gt;"",商品库存!B548=客户对账单!$B$4),COUNTIF(商品库存!$B$4:B548,客户对账单!$B$4),"")</f>
      </c>
      <c r="F548">
        <f>IF(AND(出库明细!C548&lt;&gt;"",出库明细!C548=客户对账单!$B$4,ISNUMBER(出库明细!B548),出库明细!B548&gt;=客户对账单!$G$4,出库明细!B548&lt;=客户对账单!$I$4),出库明细!B548+ROW()/100000,"")</f>
      </c>
      <c r="H548">
        <f>IF(AND(采购进货!C548&lt;&gt;"",采购进货!C548=供应商对账单!$B$4,ISNUMBER(采购进货!B548),采购进货!B548&gt;=供应商对账单!$G$4,采购进货!B548&lt;=供应商对账单!$I$4),采购进货!B548+ROW()/100000,"")</f>
      </c>
      <c r="N548">
        <f>IF(AND(ISNUMBER(出库明细!G548),ISNUMBER(出库明细!E548),ISNUMBER(出库明细!F548)),IF(ABS(出库明细!G548-出库明细!E548*出库明细!F548)&gt;0.005,1,0),0)</f>
        <v>0</v>
      </c>
      <c r="O548">
        <f>IF(AND(ISNUMBER(存条明细!G548),ISNUMBER(存条明细!E548),ISNUMBER(存条明细!F548)),IF(ABS(存条明细!G548-存条明细!E548*存条明细!F548)&gt;0.005,1,0),0)</f>
        <v>0</v>
      </c>
    </row>
    <row r="549">
      <c r="A549">
        <f>IF(OR(存条明细!C549="",存条明细!D549=""),"",IF(COUNTIFS(存条明细!$C$4:C549,存条明细!C549,存条明细!$D$4:D549,存条明细!D549)&gt;1,"",IFERROR(MATCH(存条明细!C549,总览汇总!$B$5:$B$304,0),900)*10000000+IFERROR(MATCH(存条明细!D549,基础资料!$E$5:$E$104,0),900)*10000+ROW()))</f>
      </c>
      <c r="B549">
        <f>IFERROR(MATCH(SMALL($A$4:$A$4003,546),$A$4:$A$4003,0),"")</f>
      </c>
      <c r="D549">
        <f>IF(AND(商品库存!B549&lt;&gt;"",商品库存!B549=客户查询!$B$4),COUNTIF(商品库存!$B$4:B549,客户查询!$B$4),"")</f>
      </c>
      <c r="E549">
        <f>IF(AND(商品库存!B549&lt;&gt;"",商品库存!B549=客户对账单!$B$4),COUNTIF(商品库存!$B$4:B549,客户对账单!$B$4),"")</f>
      </c>
      <c r="F549">
        <f>IF(AND(出库明细!C549&lt;&gt;"",出库明细!C549=客户对账单!$B$4,ISNUMBER(出库明细!B549),出库明细!B549&gt;=客户对账单!$G$4,出库明细!B549&lt;=客户对账单!$I$4),出库明细!B549+ROW()/100000,"")</f>
      </c>
      <c r="H549">
        <f>IF(AND(采购进货!C549&lt;&gt;"",采购进货!C549=供应商对账单!$B$4,ISNUMBER(采购进货!B549),采购进货!B549&gt;=供应商对账单!$G$4,采购进货!B549&lt;=供应商对账单!$I$4),采购进货!B549+ROW()/100000,"")</f>
      </c>
      <c r="N549">
        <f>IF(AND(ISNUMBER(出库明细!G549),ISNUMBER(出库明细!E549),ISNUMBER(出库明细!F549)),IF(ABS(出库明细!G549-出库明细!E549*出库明细!F549)&gt;0.005,1,0),0)</f>
        <v>0</v>
      </c>
      <c r="O549">
        <f>IF(AND(ISNUMBER(存条明细!G549),ISNUMBER(存条明细!E549),ISNUMBER(存条明细!F549)),IF(ABS(存条明细!G549-存条明细!E549*存条明细!F549)&gt;0.005,1,0),0)</f>
        <v>0</v>
      </c>
    </row>
    <row r="550">
      <c r="A550">
        <f>IF(OR(存条明细!C550="",存条明细!D550=""),"",IF(COUNTIFS(存条明细!$C$4:C550,存条明细!C550,存条明细!$D$4:D550,存条明细!D550)&gt;1,"",IFERROR(MATCH(存条明细!C550,总览汇总!$B$5:$B$304,0),900)*10000000+IFERROR(MATCH(存条明细!D550,基础资料!$E$5:$E$104,0),900)*10000+ROW()))</f>
      </c>
      <c r="B550">
        <f>IFERROR(MATCH(SMALL($A$4:$A$4003,547),$A$4:$A$4003,0),"")</f>
      </c>
      <c r="D550">
        <f>IF(AND(商品库存!B550&lt;&gt;"",商品库存!B550=客户查询!$B$4),COUNTIF(商品库存!$B$4:B550,客户查询!$B$4),"")</f>
      </c>
      <c r="E550">
        <f>IF(AND(商品库存!B550&lt;&gt;"",商品库存!B550=客户对账单!$B$4),COUNTIF(商品库存!$B$4:B550,客户对账单!$B$4),"")</f>
      </c>
      <c r="F550">
        <f>IF(AND(出库明细!C550&lt;&gt;"",出库明细!C550=客户对账单!$B$4,ISNUMBER(出库明细!B550),出库明细!B550&gt;=客户对账单!$G$4,出库明细!B550&lt;=客户对账单!$I$4),出库明细!B550+ROW()/100000,"")</f>
      </c>
      <c r="H550">
        <f>IF(AND(采购进货!C550&lt;&gt;"",采购进货!C550=供应商对账单!$B$4,ISNUMBER(采购进货!B550),采购进货!B550&gt;=供应商对账单!$G$4,采购进货!B550&lt;=供应商对账单!$I$4),采购进货!B550+ROW()/100000,"")</f>
      </c>
      <c r="N550">
        <f>IF(AND(ISNUMBER(出库明细!G550),ISNUMBER(出库明细!E550),ISNUMBER(出库明细!F550)),IF(ABS(出库明细!G550-出库明细!E550*出库明细!F550)&gt;0.005,1,0),0)</f>
        <v>0</v>
      </c>
      <c r="O550">
        <f>IF(AND(ISNUMBER(存条明细!G550),ISNUMBER(存条明细!E550),ISNUMBER(存条明细!F550)),IF(ABS(存条明细!G550-存条明细!E550*存条明细!F550)&gt;0.005,1,0),0)</f>
        <v>0</v>
      </c>
    </row>
    <row r="551">
      <c r="A551">
        <f>IF(OR(存条明细!C551="",存条明细!D551=""),"",IF(COUNTIFS(存条明细!$C$4:C551,存条明细!C551,存条明细!$D$4:D551,存条明细!D551)&gt;1,"",IFERROR(MATCH(存条明细!C551,总览汇总!$B$5:$B$304,0),900)*10000000+IFERROR(MATCH(存条明细!D551,基础资料!$E$5:$E$104,0),900)*10000+ROW()))</f>
      </c>
      <c r="B551">
        <f>IFERROR(MATCH(SMALL($A$4:$A$4003,548),$A$4:$A$4003,0),"")</f>
      </c>
      <c r="D551">
        <f>IF(AND(商品库存!B551&lt;&gt;"",商品库存!B551=客户查询!$B$4),COUNTIF(商品库存!$B$4:B551,客户查询!$B$4),"")</f>
      </c>
      <c r="E551">
        <f>IF(AND(商品库存!B551&lt;&gt;"",商品库存!B551=客户对账单!$B$4),COUNTIF(商品库存!$B$4:B551,客户对账单!$B$4),"")</f>
      </c>
      <c r="F551">
        <f>IF(AND(出库明细!C551&lt;&gt;"",出库明细!C551=客户对账单!$B$4,ISNUMBER(出库明细!B551),出库明细!B551&gt;=客户对账单!$G$4,出库明细!B551&lt;=客户对账单!$I$4),出库明细!B551+ROW()/100000,"")</f>
      </c>
      <c r="H551">
        <f>IF(AND(采购进货!C551&lt;&gt;"",采购进货!C551=供应商对账单!$B$4,ISNUMBER(采购进货!B551),采购进货!B551&gt;=供应商对账单!$G$4,采购进货!B551&lt;=供应商对账单!$I$4),采购进货!B551+ROW()/100000,"")</f>
      </c>
      <c r="N551">
        <f>IF(AND(ISNUMBER(出库明细!G551),ISNUMBER(出库明细!E551),ISNUMBER(出库明细!F551)),IF(ABS(出库明细!G551-出库明细!E551*出库明细!F551)&gt;0.005,1,0),0)</f>
        <v>0</v>
      </c>
      <c r="O551">
        <f>IF(AND(ISNUMBER(存条明细!G551),ISNUMBER(存条明细!E551),ISNUMBER(存条明细!F551)),IF(ABS(存条明细!G551-存条明细!E551*存条明细!F551)&gt;0.005,1,0),0)</f>
        <v>0</v>
      </c>
    </row>
    <row r="552">
      <c r="A552">
        <f>IF(OR(存条明细!C552="",存条明细!D552=""),"",IF(COUNTIFS(存条明细!$C$4:C552,存条明细!C552,存条明细!$D$4:D552,存条明细!D552)&gt;1,"",IFERROR(MATCH(存条明细!C552,总览汇总!$B$5:$B$304,0),900)*10000000+IFERROR(MATCH(存条明细!D552,基础资料!$E$5:$E$104,0),900)*10000+ROW()))</f>
      </c>
      <c r="B552">
        <f>IFERROR(MATCH(SMALL($A$4:$A$4003,549),$A$4:$A$4003,0),"")</f>
      </c>
      <c r="D552">
        <f>IF(AND(商品库存!B552&lt;&gt;"",商品库存!B552=客户查询!$B$4),COUNTIF(商品库存!$B$4:B552,客户查询!$B$4),"")</f>
      </c>
      <c r="E552">
        <f>IF(AND(商品库存!B552&lt;&gt;"",商品库存!B552=客户对账单!$B$4),COUNTIF(商品库存!$B$4:B552,客户对账单!$B$4),"")</f>
      </c>
      <c r="F552">
        <f>IF(AND(出库明细!C552&lt;&gt;"",出库明细!C552=客户对账单!$B$4,ISNUMBER(出库明细!B552),出库明细!B552&gt;=客户对账单!$G$4,出库明细!B552&lt;=客户对账单!$I$4),出库明细!B552+ROW()/100000,"")</f>
      </c>
      <c r="H552">
        <f>IF(AND(采购进货!C552&lt;&gt;"",采购进货!C552=供应商对账单!$B$4,ISNUMBER(采购进货!B552),采购进货!B552&gt;=供应商对账单!$G$4,采购进货!B552&lt;=供应商对账单!$I$4),采购进货!B552+ROW()/100000,"")</f>
      </c>
      <c r="N552">
        <f>IF(AND(ISNUMBER(出库明细!G552),ISNUMBER(出库明细!E552),ISNUMBER(出库明细!F552)),IF(ABS(出库明细!G552-出库明细!E552*出库明细!F552)&gt;0.005,1,0),0)</f>
        <v>0</v>
      </c>
      <c r="O552">
        <f>IF(AND(ISNUMBER(存条明细!G552),ISNUMBER(存条明细!E552),ISNUMBER(存条明细!F552)),IF(ABS(存条明细!G552-存条明细!E552*存条明细!F552)&gt;0.005,1,0),0)</f>
        <v>0</v>
      </c>
    </row>
    <row r="553">
      <c r="A553">
        <f>IF(OR(存条明细!C553="",存条明细!D553=""),"",IF(COUNTIFS(存条明细!$C$4:C553,存条明细!C553,存条明细!$D$4:D553,存条明细!D553)&gt;1,"",IFERROR(MATCH(存条明细!C553,总览汇总!$B$5:$B$304,0),900)*10000000+IFERROR(MATCH(存条明细!D553,基础资料!$E$5:$E$104,0),900)*10000+ROW()))</f>
      </c>
      <c r="B553">
        <f>IFERROR(MATCH(SMALL($A$4:$A$4003,550),$A$4:$A$4003,0),"")</f>
      </c>
      <c r="D553">
        <f>IF(AND(商品库存!B553&lt;&gt;"",商品库存!B553=客户查询!$B$4),COUNTIF(商品库存!$B$4:B553,客户查询!$B$4),"")</f>
      </c>
      <c r="E553">
        <f>IF(AND(商品库存!B553&lt;&gt;"",商品库存!B553=客户对账单!$B$4),COUNTIF(商品库存!$B$4:B553,客户对账单!$B$4),"")</f>
      </c>
      <c r="F553">
        <f>IF(AND(出库明细!C553&lt;&gt;"",出库明细!C553=客户对账单!$B$4,ISNUMBER(出库明细!B553),出库明细!B553&gt;=客户对账单!$G$4,出库明细!B553&lt;=客户对账单!$I$4),出库明细!B553+ROW()/100000,"")</f>
      </c>
      <c r="H553">
        <f>IF(AND(采购进货!C553&lt;&gt;"",采购进货!C553=供应商对账单!$B$4,ISNUMBER(采购进货!B553),采购进货!B553&gt;=供应商对账单!$G$4,采购进货!B553&lt;=供应商对账单!$I$4),采购进货!B553+ROW()/100000,"")</f>
      </c>
      <c r="N553">
        <f>IF(AND(ISNUMBER(出库明细!G553),ISNUMBER(出库明细!E553),ISNUMBER(出库明细!F553)),IF(ABS(出库明细!G553-出库明细!E553*出库明细!F553)&gt;0.005,1,0),0)</f>
        <v>0</v>
      </c>
      <c r="O553">
        <f>IF(AND(ISNUMBER(存条明细!G553),ISNUMBER(存条明细!E553),ISNUMBER(存条明细!F553)),IF(ABS(存条明细!G553-存条明细!E553*存条明细!F553)&gt;0.005,1,0),0)</f>
        <v>0</v>
      </c>
    </row>
    <row r="554">
      <c r="A554">
        <f>IF(OR(存条明细!C554="",存条明细!D554=""),"",IF(COUNTIFS(存条明细!$C$4:C554,存条明细!C554,存条明细!$D$4:D554,存条明细!D554)&gt;1,"",IFERROR(MATCH(存条明细!C554,总览汇总!$B$5:$B$304,0),900)*10000000+IFERROR(MATCH(存条明细!D554,基础资料!$E$5:$E$104,0),900)*10000+ROW()))</f>
      </c>
      <c r="B554">
        <f>IFERROR(MATCH(SMALL($A$4:$A$4003,551),$A$4:$A$4003,0),"")</f>
      </c>
      <c r="D554">
        <f>IF(AND(商品库存!B554&lt;&gt;"",商品库存!B554=客户查询!$B$4),COUNTIF(商品库存!$B$4:B554,客户查询!$B$4),"")</f>
      </c>
      <c r="E554">
        <f>IF(AND(商品库存!B554&lt;&gt;"",商品库存!B554=客户对账单!$B$4),COUNTIF(商品库存!$B$4:B554,客户对账单!$B$4),"")</f>
      </c>
      <c r="F554">
        <f>IF(AND(出库明细!C554&lt;&gt;"",出库明细!C554=客户对账单!$B$4,ISNUMBER(出库明细!B554),出库明细!B554&gt;=客户对账单!$G$4,出库明细!B554&lt;=客户对账单!$I$4),出库明细!B554+ROW()/100000,"")</f>
      </c>
      <c r="H554">
        <f>IF(AND(采购进货!C554&lt;&gt;"",采购进货!C554=供应商对账单!$B$4,ISNUMBER(采购进货!B554),采购进货!B554&gt;=供应商对账单!$G$4,采购进货!B554&lt;=供应商对账单!$I$4),采购进货!B554+ROW()/100000,"")</f>
      </c>
      <c r="N554">
        <f>IF(AND(ISNUMBER(出库明细!G554),ISNUMBER(出库明细!E554),ISNUMBER(出库明细!F554)),IF(ABS(出库明细!G554-出库明细!E554*出库明细!F554)&gt;0.005,1,0),0)</f>
        <v>0</v>
      </c>
      <c r="O554">
        <f>IF(AND(ISNUMBER(存条明细!G554),ISNUMBER(存条明细!E554),ISNUMBER(存条明细!F554)),IF(ABS(存条明细!G554-存条明细!E554*存条明细!F554)&gt;0.005,1,0),0)</f>
        <v>0</v>
      </c>
    </row>
    <row r="555">
      <c r="A555">
        <f>IF(OR(存条明细!C555="",存条明细!D555=""),"",IF(COUNTIFS(存条明细!$C$4:C555,存条明细!C555,存条明细!$D$4:D555,存条明细!D555)&gt;1,"",IFERROR(MATCH(存条明细!C555,总览汇总!$B$5:$B$304,0),900)*10000000+IFERROR(MATCH(存条明细!D555,基础资料!$E$5:$E$104,0),900)*10000+ROW()))</f>
      </c>
      <c r="B555">
        <f>IFERROR(MATCH(SMALL($A$4:$A$4003,552),$A$4:$A$4003,0),"")</f>
      </c>
      <c r="D555">
        <f>IF(AND(商品库存!B555&lt;&gt;"",商品库存!B555=客户查询!$B$4),COUNTIF(商品库存!$B$4:B555,客户查询!$B$4),"")</f>
      </c>
      <c r="E555">
        <f>IF(AND(商品库存!B555&lt;&gt;"",商品库存!B555=客户对账单!$B$4),COUNTIF(商品库存!$B$4:B555,客户对账单!$B$4),"")</f>
      </c>
      <c r="F555">
        <f>IF(AND(出库明细!C555&lt;&gt;"",出库明细!C555=客户对账单!$B$4,ISNUMBER(出库明细!B555),出库明细!B555&gt;=客户对账单!$G$4,出库明细!B555&lt;=客户对账单!$I$4),出库明细!B555+ROW()/100000,"")</f>
      </c>
      <c r="H555">
        <f>IF(AND(采购进货!C555&lt;&gt;"",采购进货!C555=供应商对账单!$B$4,ISNUMBER(采购进货!B555),采购进货!B555&gt;=供应商对账单!$G$4,采购进货!B555&lt;=供应商对账单!$I$4),采购进货!B555+ROW()/100000,"")</f>
      </c>
      <c r="N555">
        <f>IF(AND(ISNUMBER(出库明细!G555),ISNUMBER(出库明细!E555),ISNUMBER(出库明细!F555)),IF(ABS(出库明细!G555-出库明细!E555*出库明细!F555)&gt;0.005,1,0),0)</f>
        <v>0</v>
      </c>
      <c r="O555">
        <f>IF(AND(ISNUMBER(存条明细!G555),ISNUMBER(存条明细!E555),ISNUMBER(存条明细!F555)),IF(ABS(存条明细!G555-存条明细!E555*存条明细!F555)&gt;0.005,1,0),0)</f>
        <v>0</v>
      </c>
    </row>
    <row r="556">
      <c r="A556">
        <f>IF(OR(存条明细!C556="",存条明细!D556=""),"",IF(COUNTIFS(存条明细!$C$4:C556,存条明细!C556,存条明细!$D$4:D556,存条明细!D556)&gt;1,"",IFERROR(MATCH(存条明细!C556,总览汇总!$B$5:$B$304,0),900)*10000000+IFERROR(MATCH(存条明细!D556,基础资料!$E$5:$E$104,0),900)*10000+ROW()))</f>
      </c>
      <c r="B556">
        <f>IFERROR(MATCH(SMALL($A$4:$A$4003,553),$A$4:$A$4003,0),"")</f>
      </c>
      <c r="D556">
        <f>IF(AND(商品库存!B556&lt;&gt;"",商品库存!B556=客户查询!$B$4),COUNTIF(商品库存!$B$4:B556,客户查询!$B$4),"")</f>
      </c>
      <c r="E556">
        <f>IF(AND(商品库存!B556&lt;&gt;"",商品库存!B556=客户对账单!$B$4),COUNTIF(商品库存!$B$4:B556,客户对账单!$B$4),"")</f>
      </c>
      <c r="F556">
        <f>IF(AND(出库明细!C556&lt;&gt;"",出库明细!C556=客户对账单!$B$4,ISNUMBER(出库明细!B556),出库明细!B556&gt;=客户对账单!$G$4,出库明细!B556&lt;=客户对账单!$I$4),出库明细!B556+ROW()/100000,"")</f>
      </c>
      <c r="H556">
        <f>IF(AND(采购进货!C556&lt;&gt;"",采购进货!C556=供应商对账单!$B$4,ISNUMBER(采购进货!B556),采购进货!B556&gt;=供应商对账单!$G$4,采购进货!B556&lt;=供应商对账单!$I$4),采购进货!B556+ROW()/100000,"")</f>
      </c>
      <c r="N556">
        <f>IF(AND(ISNUMBER(出库明细!G556),ISNUMBER(出库明细!E556),ISNUMBER(出库明细!F556)),IF(ABS(出库明细!G556-出库明细!E556*出库明细!F556)&gt;0.005,1,0),0)</f>
        <v>0</v>
      </c>
      <c r="O556">
        <f>IF(AND(ISNUMBER(存条明细!G556),ISNUMBER(存条明细!E556),ISNUMBER(存条明细!F556)),IF(ABS(存条明细!G556-存条明细!E556*存条明细!F556)&gt;0.005,1,0),0)</f>
        <v>0</v>
      </c>
    </row>
    <row r="557">
      <c r="A557">
        <f>IF(OR(存条明细!C557="",存条明细!D557=""),"",IF(COUNTIFS(存条明细!$C$4:C557,存条明细!C557,存条明细!$D$4:D557,存条明细!D557)&gt;1,"",IFERROR(MATCH(存条明细!C557,总览汇总!$B$5:$B$304,0),900)*10000000+IFERROR(MATCH(存条明细!D557,基础资料!$E$5:$E$104,0),900)*10000+ROW()))</f>
      </c>
      <c r="B557">
        <f>IFERROR(MATCH(SMALL($A$4:$A$4003,554),$A$4:$A$4003,0),"")</f>
      </c>
      <c r="D557">
        <f>IF(AND(商品库存!B557&lt;&gt;"",商品库存!B557=客户查询!$B$4),COUNTIF(商品库存!$B$4:B557,客户查询!$B$4),"")</f>
      </c>
      <c r="E557">
        <f>IF(AND(商品库存!B557&lt;&gt;"",商品库存!B557=客户对账单!$B$4),COUNTIF(商品库存!$B$4:B557,客户对账单!$B$4),"")</f>
      </c>
      <c r="F557">
        <f>IF(AND(出库明细!C557&lt;&gt;"",出库明细!C557=客户对账单!$B$4,ISNUMBER(出库明细!B557),出库明细!B557&gt;=客户对账单!$G$4,出库明细!B557&lt;=客户对账单!$I$4),出库明细!B557+ROW()/100000,"")</f>
      </c>
      <c r="H557">
        <f>IF(AND(采购进货!C557&lt;&gt;"",采购进货!C557=供应商对账单!$B$4,ISNUMBER(采购进货!B557),采购进货!B557&gt;=供应商对账单!$G$4,采购进货!B557&lt;=供应商对账单!$I$4),采购进货!B557+ROW()/100000,"")</f>
      </c>
      <c r="N557">
        <f>IF(AND(ISNUMBER(出库明细!G557),ISNUMBER(出库明细!E557),ISNUMBER(出库明细!F557)),IF(ABS(出库明细!G557-出库明细!E557*出库明细!F557)&gt;0.005,1,0),0)</f>
        <v>0</v>
      </c>
      <c r="O557">
        <f>IF(AND(ISNUMBER(存条明细!G557),ISNUMBER(存条明细!E557),ISNUMBER(存条明细!F557)),IF(ABS(存条明细!G557-存条明细!E557*存条明细!F557)&gt;0.005,1,0),0)</f>
        <v>0</v>
      </c>
    </row>
    <row r="558">
      <c r="A558">
        <f>IF(OR(存条明细!C558="",存条明细!D558=""),"",IF(COUNTIFS(存条明细!$C$4:C558,存条明细!C558,存条明细!$D$4:D558,存条明细!D558)&gt;1,"",IFERROR(MATCH(存条明细!C558,总览汇总!$B$5:$B$304,0),900)*10000000+IFERROR(MATCH(存条明细!D558,基础资料!$E$5:$E$104,0),900)*10000+ROW()))</f>
      </c>
      <c r="B558">
        <f>IFERROR(MATCH(SMALL($A$4:$A$4003,555),$A$4:$A$4003,0),"")</f>
      </c>
      <c r="D558">
        <f>IF(AND(商品库存!B558&lt;&gt;"",商品库存!B558=客户查询!$B$4),COUNTIF(商品库存!$B$4:B558,客户查询!$B$4),"")</f>
      </c>
      <c r="E558">
        <f>IF(AND(商品库存!B558&lt;&gt;"",商品库存!B558=客户对账单!$B$4),COUNTIF(商品库存!$B$4:B558,客户对账单!$B$4),"")</f>
      </c>
      <c r="F558">
        <f>IF(AND(出库明细!C558&lt;&gt;"",出库明细!C558=客户对账单!$B$4,ISNUMBER(出库明细!B558),出库明细!B558&gt;=客户对账单!$G$4,出库明细!B558&lt;=客户对账单!$I$4),出库明细!B558+ROW()/100000,"")</f>
      </c>
      <c r="H558">
        <f>IF(AND(采购进货!C558&lt;&gt;"",采购进货!C558=供应商对账单!$B$4,ISNUMBER(采购进货!B558),采购进货!B558&gt;=供应商对账单!$G$4,采购进货!B558&lt;=供应商对账单!$I$4),采购进货!B558+ROW()/100000,"")</f>
      </c>
      <c r="N558">
        <f>IF(AND(ISNUMBER(出库明细!G558),ISNUMBER(出库明细!E558),ISNUMBER(出库明细!F558)),IF(ABS(出库明细!G558-出库明细!E558*出库明细!F558)&gt;0.005,1,0),0)</f>
        <v>0</v>
      </c>
      <c r="O558">
        <f>IF(AND(ISNUMBER(存条明细!G558),ISNUMBER(存条明细!E558),ISNUMBER(存条明细!F558)),IF(ABS(存条明细!G558-存条明细!E558*存条明细!F558)&gt;0.005,1,0),0)</f>
        <v>0</v>
      </c>
    </row>
    <row r="559">
      <c r="A559">
        <f>IF(OR(存条明细!C559="",存条明细!D559=""),"",IF(COUNTIFS(存条明细!$C$4:C559,存条明细!C559,存条明细!$D$4:D559,存条明细!D559)&gt;1,"",IFERROR(MATCH(存条明细!C559,总览汇总!$B$5:$B$304,0),900)*10000000+IFERROR(MATCH(存条明细!D559,基础资料!$E$5:$E$104,0),900)*10000+ROW()))</f>
      </c>
      <c r="B559">
        <f>IFERROR(MATCH(SMALL($A$4:$A$4003,556),$A$4:$A$4003,0),"")</f>
      </c>
      <c r="D559">
        <f>IF(AND(商品库存!B559&lt;&gt;"",商品库存!B559=客户查询!$B$4),COUNTIF(商品库存!$B$4:B559,客户查询!$B$4),"")</f>
      </c>
      <c r="E559">
        <f>IF(AND(商品库存!B559&lt;&gt;"",商品库存!B559=客户对账单!$B$4),COUNTIF(商品库存!$B$4:B559,客户对账单!$B$4),"")</f>
      </c>
      <c r="F559">
        <f>IF(AND(出库明细!C559&lt;&gt;"",出库明细!C559=客户对账单!$B$4,ISNUMBER(出库明细!B559),出库明细!B559&gt;=客户对账单!$G$4,出库明细!B559&lt;=客户对账单!$I$4),出库明细!B559+ROW()/100000,"")</f>
      </c>
      <c r="H559">
        <f>IF(AND(采购进货!C559&lt;&gt;"",采购进货!C559=供应商对账单!$B$4,ISNUMBER(采购进货!B559),采购进货!B559&gt;=供应商对账单!$G$4,采购进货!B559&lt;=供应商对账单!$I$4),采购进货!B559+ROW()/100000,"")</f>
      </c>
      <c r="N559">
        <f>IF(AND(ISNUMBER(出库明细!G559),ISNUMBER(出库明细!E559),ISNUMBER(出库明细!F559)),IF(ABS(出库明细!G559-出库明细!E559*出库明细!F559)&gt;0.005,1,0),0)</f>
        <v>0</v>
      </c>
      <c r="O559">
        <f>IF(AND(ISNUMBER(存条明细!G559),ISNUMBER(存条明细!E559),ISNUMBER(存条明细!F559)),IF(ABS(存条明细!G559-存条明细!E559*存条明细!F559)&gt;0.005,1,0),0)</f>
        <v>0</v>
      </c>
    </row>
    <row r="560">
      <c r="A560">
        <f>IF(OR(存条明细!C560="",存条明细!D560=""),"",IF(COUNTIFS(存条明细!$C$4:C560,存条明细!C560,存条明细!$D$4:D560,存条明细!D560)&gt;1,"",IFERROR(MATCH(存条明细!C560,总览汇总!$B$5:$B$304,0),900)*10000000+IFERROR(MATCH(存条明细!D560,基础资料!$E$5:$E$104,0),900)*10000+ROW()))</f>
      </c>
      <c r="B560">
        <f>IFERROR(MATCH(SMALL($A$4:$A$4003,557),$A$4:$A$4003,0),"")</f>
      </c>
      <c r="D560">
        <f>IF(AND(商品库存!B560&lt;&gt;"",商品库存!B560=客户查询!$B$4),COUNTIF(商品库存!$B$4:B560,客户查询!$B$4),"")</f>
      </c>
      <c r="E560">
        <f>IF(AND(商品库存!B560&lt;&gt;"",商品库存!B560=客户对账单!$B$4),COUNTIF(商品库存!$B$4:B560,客户对账单!$B$4),"")</f>
      </c>
      <c r="F560">
        <f>IF(AND(出库明细!C560&lt;&gt;"",出库明细!C560=客户对账单!$B$4,ISNUMBER(出库明细!B560),出库明细!B560&gt;=客户对账单!$G$4,出库明细!B560&lt;=客户对账单!$I$4),出库明细!B560+ROW()/100000,"")</f>
      </c>
      <c r="H560">
        <f>IF(AND(采购进货!C560&lt;&gt;"",采购进货!C560=供应商对账单!$B$4,ISNUMBER(采购进货!B560),采购进货!B560&gt;=供应商对账单!$G$4,采购进货!B560&lt;=供应商对账单!$I$4),采购进货!B560+ROW()/100000,"")</f>
      </c>
      <c r="N560">
        <f>IF(AND(ISNUMBER(出库明细!G560),ISNUMBER(出库明细!E560),ISNUMBER(出库明细!F560)),IF(ABS(出库明细!G560-出库明细!E560*出库明细!F560)&gt;0.005,1,0),0)</f>
        <v>0</v>
      </c>
      <c r="O560">
        <f>IF(AND(ISNUMBER(存条明细!G560),ISNUMBER(存条明细!E560),ISNUMBER(存条明细!F560)),IF(ABS(存条明细!G560-存条明细!E560*存条明细!F560)&gt;0.005,1,0),0)</f>
        <v>0</v>
      </c>
    </row>
    <row r="561">
      <c r="A561">
        <f>IF(OR(存条明细!C561="",存条明细!D561=""),"",IF(COUNTIFS(存条明细!$C$4:C561,存条明细!C561,存条明细!$D$4:D561,存条明细!D561)&gt;1,"",IFERROR(MATCH(存条明细!C561,总览汇总!$B$5:$B$304,0),900)*10000000+IFERROR(MATCH(存条明细!D561,基础资料!$E$5:$E$104,0),900)*10000+ROW()))</f>
      </c>
      <c r="B561">
        <f>IFERROR(MATCH(SMALL($A$4:$A$4003,558),$A$4:$A$4003,0),"")</f>
      </c>
      <c r="D561">
        <f>IF(AND(商品库存!B561&lt;&gt;"",商品库存!B561=客户查询!$B$4),COUNTIF(商品库存!$B$4:B561,客户查询!$B$4),"")</f>
      </c>
      <c r="E561">
        <f>IF(AND(商品库存!B561&lt;&gt;"",商品库存!B561=客户对账单!$B$4),COUNTIF(商品库存!$B$4:B561,客户对账单!$B$4),"")</f>
      </c>
      <c r="F561">
        <f>IF(AND(出库明细!C561&lt;&gt;"",出库明细!C561=客户对账单!$B$4,ISNUMBER(出库明细!B561),出库明细!B561&gt;=客户对账单!$G$4,出库明细!B561&lt;=客户对账单!$I$4),出库明细!B561+ROW()/100000,"")</f>
      </c>
      <c r="H561">
        <f>IF(AND(采购进货!C561&lt;&gt;"",采购进货!C561=供应商对账单!$B$4,ISNUMBER(采购进货!B561),采购进货!B561&gt;=供应商对账单!$G$4,采购进货!B561&lt;=供应商对账单!$I$4),采购进货!B561+ROW()/100000,"")</f>
      </c>
      <c r="N561">
        <f>IF(AND(ISNUMBER(出库明细!G561),ISNUMBER(出库明细!E561),ISNUMBER(出库明细!F561)),IF(ABS(出库明细!G561-出库明细!E561*出库明细!F561)&gt;0.005,1,0),0)</f>
        <v>0</v>
      </c>
      <c r="O561">
        <f>IF(AND(ISNUMBER(存条明细!G561),ISNUMBER(存条明细!E561),ISNUMBER(存条明细!F561)),IF(ABS(存条明细!G561-存条明细!E561*存条明细!F561)&gt;0.005,1,0),0)</f>
        <v>0</v>
      </c>
    </row>
    <row r="562">
      <c r="A562">
        <f>IF(OR(存条明细!C562="",存条明细!D562=""),"",IF(COUNTIFS(存条明细!$C$4:C562,存条明细!C562,存条明细!$D$4:D562,存条明细!D562)&gt;1,"",IFERROR(MATCH(存条明细!C562,总览汇总!$B$5:$B$304,0),900)*10000000+IFERROR(MATCH(存条明细!D562,基础资料!$E$5:$E$104,0),900)*10000+ROW()))</f>
      </c>
      <c r="B562">
        <f>IFERROR(MATCH(SMALL($A$4:$A$4003,559),$A$4:$A$4003,0),"")</f>
      </c>
      <c r="D562">
        <f>IF(AND(商品库存!B562&lt;&gt;"",商品库存!B562=客户查询!$B$4),COUNTIF(商品库存!$B$4:B562,客户查询!$B$4),"")</f>
      </c>
      <c r="E562">
        <f>IF(AND(商品库存!B562&lt;&gt;"",商品库存!B562=客户对账单!$B$4),COUNTIF(商品库存!$B$4:B562,客户对账单!$B$4),"")</f>
      </c>
      <c r="F562">
        <f>IF(AND(出库明细!C562&lt;&gt;"",出库明细!C562=客户对账单!$B$4,ISNUMBER(出库明细!B562),出库明细!B562&gt;=客户对账单!$G$4,出库明细!B562&lt;=客户对账单!$I$4),出库明细!B562+ROW()/100000,"")</f>
      </c>
      <c r="H562">
        <f>IF(AND(采购进货!C562&lt;&gt;"",采购进货!C562=供应商对账单!$B$4,ISNUMBER(采购进货!B562),采购进货!B562&gt;=供应商对账单!$G$4,采购进货!B562&lt;=供应商对账单!$I$4),采购进货!B562+ROW()/100000,"")</f>
      </c>
      <c r="N562">
        <f>IF(AND(ISNUMBER(出库明细!G562),ISNUMBER(出库明细!E562),ISNUMBER(出库明细!F562)),IF(ABS(出库明细!G562-出库明细!E562*出库明细!F562)&gt;0.005,1,0),0)</f>
        <v>0</v>
      </c>
      <c r="O562">
        <f>IF(AND(ISNUMBER(存条明细!G562),ISNUMBER(存条明细!E562),ISNUMBER(存条明细!F562)),IF(ABS(存条明细!G562-存条明细!E562*存条明细!F562)&gt;0.005,1,0),0)</f>
        <v>0</v>
      </c>
    </row>
    <row r="563">
      <c r="A563">
        <f>IF(OR(存条明细!C563="",存条明细!D563=""),"",IF(COUNTIFS(存条明细!$C$4:C563,存条明细!C563,存条明细!$D$4:D563,存条明细!D563)&gt;1,"",IFERROR(MATCH(存条明细!C563,总览汇总!$B$5:$B$304,0),900)*10000000+IFERROR(MATCH(存条明细!D563,基础资料!$E$5:$E$104,0),900)*10000+ROW()))</f>
      </c>
      <c r="B563">
        <f>IFERROR(MATCH(SMALL($A$4:$A$4003,560),$A$4:$A$4003,0),"")</f>
      </c>
      <c r="D563">
        <f>IF(AND(商品库存!B563&lt;&gt;"",商品库存!B563=客户查询!$B$4),COUNTIF(商品库存!$B$4:B563,客户查询!$B$4),"")</f>
      </c>
      <c r="E563">
        <f>IF(AND(商品库存!B563&lt;&gt;"",商品库存!B563=客户对账单!$B$4),COUNTIF(商品库存!$B$4:B563,客户对账单!$B$4),"")</f>
      </c>
      <c r="F563">
        <f>IF(AND(出库明细!C563&lt;&gt;"",出库明细!C563=客户对账单!$B$4,ISNUMBER(出库明细!B563),出库明细!B563&gt;=客户对账单!$G$4,出库明细!B563&lt;=客户对账单!$I$4),出库明细!B563+ROW()/100000,"")</f>
      </c>
      <c r="H563">
        <f>IF(AND(采购进货!C563&lt;&gt;"",采购进货!C563=供应商对账单!$B$4,ISNUMBER(采购进货!B563),采购进货!B563&gt;=供应商对账单!$G$4,采购进货!B563&lt;=供应商对账单!$I$4),采购进货!B563+ROW()/100000,"")</f>
      </c>
      <c r="N563">
        <f>IF(AND(ISNUMBER(出库明细!G563),ISNUMBER(出库明细!E563),ISNUMBER(出库明细!F563)),IF(ABS(出库明细!G563-出库明细!E563*出库明细!F563)&gt;0.005,1,0),0)</f>
        <v>0</v>
      </c>
      <c r="O563">
        <f>IF(AND(ISNUMBER(存条明细!G563),ISNUMBER(存条明细!E563),ISNUMBER(存条明细!F563)),IF(ABS(存条明细!G563-存条明细!E563*存条明细!F563)&gt;0.005,1,0),0)</f>
        <v>0</v>
      </c>
    </row>
    <row r="564">
      <c r="A564">
        <f>IF(OR(存条明细!C564="",存条明细!D564=""),"",IF(COUNTIFS(存条明细!$C$4:C564,存条明细!C564,存条明细!$D$4:D564,存条明细!D564)&gt;1,"",IFERROR(MATCH(存条明细!C564,总览汇总!$B$5:$B$304,0),900)*10000000+IFERROR(MATCH(存条明细!D564,基础资料!$E$5:$E$104,0),900)*10000+ROW()))</f>
      </c>
      <c r="B564">
        <f>IFERROR(MATCH(SMALL($A$4:$A$4003,561),$A$4:$A$4003,0),"")</f>
      </c>
      <c r="D564">
        <f>IF(AND(商品库存!B564&lt;&gt;"",商品库存!B564=客户查询!$B$4),COUNTIF(商品库存!$B$4:B564,客户查询!$B$4),"")</f>
      </c>
      <c r="E564">
        <f>IF(AND(商品库存!B564&lt;&gt;"",商品库存!B564=客户对账单!$B$4),COUNTIF(商品库存!$B$4:B564,客户对账单!$B$4),"")</f>
      </c>
      <c r="F564">
        <f>IF(AND(出库明细!C564&lt;&gt;"",出库明细!C564=客户对账单!$B$4,ISNUMBER(出库明细!B564),出库明细!B564&gt;=客户对账单!$G$4,出库明细!B564&lt;=客户对账单!$I$4),出库明细!B564+ROW()/100000,"")</f>
      </c>
      <c r="H564">
        <f>IF(AND(采购进货!C564&lt;&gt;"",采购进货!C564=供应商对账单!$B$4,ISNUMBER(采购进货!B564),采购进货!B564&gt;=供应商对账单!$G$4,采购进货!B564&lt;=供应商对账单!$I$4),采购进货!B564+ROW()/100000,"")</f>
      </c>
      <c r="N564">
        <f>IF(AND(ISNUMBER(出库明细!G564),ISNUMBER(出库明细!E564),ISNUMBER(出库明细!F564)),IF(ABS(出库明细!G564-出库明细!E564*出库明细!F564)&gt;0.005,1,0),0)</f>
        <v>0</v>
      </c>
      <c r="O564">
        <f>IF(AND(ISNUMBER(存条明细!G564),ISNUMBER(存条明细!E564),ISNUMBER(存条明细!F564)),IF(ABS(存条明细!G564-存条明细!E564*存条明细!F564)&gt;0.005,1,0),0)</f>
        <v>0</v>
      </c>
    </row>
    <row r="565">
      <c r="A565">
        <f>IF(OR(存条明细!C565="",存条明细!D565=""),"",IF(COUNTIFS(存条明细!$C$4:C565,存条明细!C565,存条明细!$D$4:D565,存条明细!D565)&gt;1,"",IFERROR(MATCH(存条明细!C565,总览汇总!$B$5:$B$304,0),900)*10000000+IFERROR(MATCH(存条明细!D565,基础资料!$E$5:$E$104,0),900)*10000+ROW()))</f>
      </c>
      <c r="B565">
        <f>IFERROR(MATCH(SMALL($A$4:$A$4003,562),$A$4:$A$4003,0),"")</f>
      </c>
      <c r="D565">
        <f>IF(AND(商品库存!B565&lt;&gt;"",商品库存!B565=客户查询!$B$4),COUNTIF(商品库存!$B$4:B565,客户查询!$B$4),"")</f>
      </c>
      <c r="E565">
        <f>IF(AND(商品库存!B565&lt;&gt;"",商品库存!B565=客户对账单!$B$4),COUNTIF(商品库存!$B$4:B565,客户对账单!$B$4),"")</f>
      </c>
      <c r="F565">
        <f>IF(AND(出库明细!C565&lt;&gt;"",出库明细!C565=客户对账单!$B$4,ISNUMBER(出库明细!B565),出库明细!B565&gt;=客户对账单!$G$4,出库明细!B565&lt;=客户对账单!$I$4),出库明细!B565+ROW()/100000,"")</f>
      </c>
      <c r="H565">
        <f>IF(AND(采购进货!C565&lt;&gt;"",采购进货!C565=供应商对账单!$B$4,ISNUMBER(采购进货!B565),采购进货!B565&gt;=供应商对账单!$G$4,采购进货!B565&lt;=供应商对账单!$I$4),采购进货!B565+ROW()/100000,"")</f>
      </c>
      <c r="N565">
        <f>IF(AND(ISNUMBER(出库明细!G565),ISNUMBER(出库明细!E565),ISNUMBER(出库明细!F565)),IF(ABS(出库明细!G565-出库明细!E565*出库明细!F565)&gt;0.005,1,0),0)</f>
        <v>0</v>
      </c>
      <c r="O565">
        <f>IF(AND(ISNUMBER(存条明细!G565),ISNUMBER(存条明细!E565),ISNUMBER(存条明细!F565)),IF(ABS(存条明细!G565-存条明细!E565*存条明细!F565)&gt;0.005,1,0),0)</f>
        <v>0</v>
      </c>
    </row>
    <row r="566">
      <c r="A566">
        <f>IF(OR(存条明细!C566="",存条明细!D566=""),"",IF(COUNTIFS(存条明细!$C$4:C566,存条明细!C566,存条明细!$D$4:D566,存条明细!D566)&gt;1,"",IFERROR(MATCH(存条明细!C566,总览汇总!$B$5:$B$304,0),900)*10000000+IFERROR(MATCH(存条明细!D566,基础资料!$E$5:$E$104,0),900)*10000+ROW()))</f>
      </c>
      <c r="B566">
        <f>IFERROR(MATCH(SMALL($A$4:$A$4003,563),$A$4:$A$4003,0),"")</f>
      </c>
      <c r="D566">
        <f>IF(AND(商品库存!B566&lt;&gt;"",商品库存!B566=客户查询!$B$4),COUNTIF(商品库存!$B$4:B566,客户查询!$B$4),"")</f>
      </c>
      <c r="E566">
        <f>IF(AND(商品库存!B566&lt;&gt;"",商品库存!B566=客户对账单!$B$4),COUNTIF(商品库存!$B$4:B566,客户对账单!$B$4),"")</f>
      </c>
      <c r="F566">
        <f>IF(AND(出库明细!C566&lt;&gt;"",出库明细!C566=客户对账单!$B$4,ISNUMBER(出库明细!B566),出库明细!B566&gt;=客户对账单!$G$4,出库明细!B566&lt;=客户对账单!$I$4),出库明细!B566+ROW()/100000,"")</f>
      </c>
      <c r="H566">
        <f>IF(AND(采购进货!C566&lt;&gt;"",采购进货!C566=供应商对账单!$B$4,ISNUMBER(采购进货!B566),采购进货!B566&gt;=供应商对账单!$G$4,采购进货!B566&lt;=供应商对账单!$I$4),采购进货!B566+ROW()/100000,"")</f>
      </c>
      <c r="N566">
        <f>IF(AND(ISNUMBER(出库明细!G566),ISNUMBER(出库明细!E566),ISNUMBER(出库明细!F566)),IF(ABS(出库明细!G566-出库明细!E566*出库明细!F566)&gt;0.005,1,0),0)</f>
        <v>0</v>
      </c>
      <c r="O566">
        <f>IF(AND(ISNUMBER(存条明细!G566),ISNUMBER(存条明细!E566),ISNUMBER(存条明细!F566)),IF(ABS(存条明细!G566-存条明细!E566*存条明细!F566)&gt;0.005,1,0),0)</f>
        <v>0</v>
      </c>
    </row>
    <row r="567">
      <c r="A567">
        <f>IF(OR(存条明细!C567="",存条明细!D567=""),"",IF(COUNTIFS(存条明细!$C$4:C567,存条明细!C567,存条明细!$D$4:D567,存条明细!D567)&gt;1,"",IFERROR(MATCH(存条明细!C567,总览汇总!$B$5:$B$304,0),900)*10000000+IFERROR(MATCH(存条明细!D567,基础资料!$E$5:$E$104,0),900)*10000+ROW()))</f>
      </c>
      <c r="B567">
        <f>IFERROR(MATCH(SMALL($A$4:$A$4003,564),$A$4:$A$4003,0),"")</f>
      </c>
      <c r="D567">
        <f>IF(AND(商品库存!B567&lt;&gt;"",商品库存!B567=客户查询!$B$4),COUNTIF(商品库存!$B$4:B567,客户查询!$B$4),"")</f>
      </c>
      <c r="E567">
        <f>IF(AND(商品库存!B567&lt;&gt;"",商品库存!B567=客户对账单!$B$4),COUNTIF(商品库存!$B$4:B567,客户对账单!$B$4),"")</f>
      </c>
      <c r="F567">
        <f>IF(AND(出库明细!C567&lt;&gt;"",出库明细!C567=客户对账单!$B$4,ISNUMBER(出库明细!B567),出库明细!B567&gt;=客户对账单!$G$4,出库明细!B567&lt;=客户对账单!$I$4),出库明细!B567+ROW()/100000,"")</f>
      </c>
      <c r="H567">
        <f>IF(AND(采购进货!C567&lt;&gt;"",采购进货!C567=供应商对账单!$B$4,ISNUMBER(采购进货!B567),采购进货!B567&gt;=供应商对账单!$G$4,采购进货!B567&lt;=供应商对账单!$I$4),采购进货!B567+ROW()/100000,"")</f>
      </c>
      <c r="N567">
        <f>IF(AND(ISNUMBER(出库明细!G567),ISNUMBER(出库明细!E567),ISNUMBER(出库明细!F567)),IF(ABS(出库明细!G567-出库明细!E567*出库明细!F567)&gt;0.005,1,0),0)</f>
        <v>0</v>
      </c>
      <c r="O567">
        <f>IF(AND(ISNUMBER(存条明细!G567),ISNUMBER(存条明细!E567),ISNUMBER(存条明细!F567)),IF(ABS(存条明细!G567-存条明细!E567*存条明细!F567)&gt;0.005,1,0),0)</f>
        <v>0</v>
      </c>
    </row>
    <row r="568">
      <c r="A568">
        <f>IF(OR(存条明细!C568="",存条明细!D568=""),"",IF(COUNTIFS(存条明细!$C$4:C568,存条明细!C568,存条明细!$D$4:D568,存条明细!D568)&gt;1,"",IFERROR(MATCH(存条明细!C568,总览汇总!$B$5:$B$304,0),900)*10000000+IFERROR(MATCH(存条明细!D568,基础资料!$E$5:$E$104,0),900)*10000+ROW()))</f>
      </c>
      <c r="B568">
        <f>IFERROR(MATCH(SMALL($A$4:$A$4003,565),$A$4:$A$4003,0),"")</f>
      </c>
      <c r="D568">
        <f>IF(AND(商品库存!B568&lt;&gt;"",商品库存!B568=客户查询!$B$4),COUNTIF(商品库存!$B$4:B568,客户查询!$B$4),"")</f>
      </c>
      <c r="E568">
        <f>IF(AND(商品库存!B568&lt;&gt;"",商品库存!B568=客户对账单!$B$4),COUNTIF(商品库存!$B$4:B568,客户对账单!$B$4),"")</f>
      </c>
      <c r="F568">
        <f>IF(AND(出库明细!C568&lt;&gt;"",出库明细!C568=客户对账单!$B$4,ISNUMBER(出库明细!B568),出库明细!B568&gt;=客户对账单!$G$4,出库明细!B568&lt;=客户对账单!$I$4),出库明细!B568+ROW()/100000,"")</f>
      </c>
      <c r="H568">
        <f>IF(AND(采购进货!C568&lt;&gt;"",采购进货!C568=供应商对账单!$B$4,ISNUMBER(采购进货!B568),采购进货!B568&gt;=供应商对账单!$G$4,采购进货!B568&lt;=供应商对账单!$I$4),采购进货!B568+ROW()/100000,"")</f>
      </c>
      <c r="N568">
        <f>IF(AND(ISNUMBER(出库明细!G568),ISNUMBER(出库明细!E568),ISNUMBER(出库明细!F568)),IF(ABS(出库明细!G568-出库明细!E568*出库明细!F568)&gt;0.005,1,0),0)</f>
        <v>0</v>
      </c>
      <c r="O568">
        <f>IF(AND(ISNUMBER(存条明细!G568),ISNUMBER(存条明细!E568),ISNUMBER(存条明细!F568)),IF(ABS(存条明细!G568-存条明细!E568*存条明细!F568)&gt;0.005,1,0),0)</f>
        <v>0</v>
      </c>
    </row>
    <row r="569">
      <c r="A569">
        <f>IF(OR(存条明细!C569="",存条明细!D569=""),"",IF(COUNTIFS(存条明细!$C$4:C569,存条明细!C569,存条明细!$D$4:D569,存条明细!D569)&gt;1,"",IFERROR(MATCH(存条明细!C569,总览汇总!$B$5:$B$304,0),900)*10000000+IFERROR(MATCH(存条明细!D569,基础资料!$E$5:$E$104,0),900)*10000+ROW()))</f>
      </c>
      <c r="B569">
        <f>IFERROR(MATCH(SMALL($A$4:$A$4003,566),$A$4:$A$4003,0),"")</f>
      </c>
      <c r="D569">
        <f>IF(AND(商品库存!B569&lt;&gt;"",商品库存!B569=客户查询!$B$4),COUNTIF(商品库存!$B$4:B569,客户查询!$B$4),"")</f>
      </c>
      <c r="E569">
        <f>IF(AND(商品库存!B569&lt;&gt;"",商品库存!B569=客户对账单!$B$4),COUNTIF(商品库存!$B$4:B569,客户对账单!$B$4),"")</f>
      </c>
      <c r="F569">
        <f>IF(AND(出库明细!C569&lt;&gt;"",出库明细!C569=客户对账单!$B$4,ISNUMBER(出库明细!B569),出库明细!B569&gt;=客户对账单!$G$4,出库明细!B569&lt;=客户对账单!$I$4),出库明细!B569+ROW()/100000,"")</f>
      </c>
      <c r="H569">
        <f>IF(AND(采购进货!C569&lt;&gt;"",采购进货!C569=供应商对账单!$B$4,ISNUMBER(采购进货!B569),采购进货!B569&gt;=供应商对账单!$G$4,采购进货!B569&lt;=供应商对账单!$I$4),采购进货!B569+ROW()/100000,"")</f>
      </c>
      <c r="N569">
        <f>IF(AND(ISNUMBER(出库明细!G569),ISNUMBER(出库明细!E569),ISNUMBER(出库明细!F569)),IF(ABS(出库明细!G569-出库明细!E569*出库明细!F569)&gt;0.005,1,0),0)</f>
        <v>0</v>
      </c>
      <c r="O569">
        <f>IF(AND(ISNUMBER(存条明细!G569),ISNUMBER(存条明细!E569),ISNUMBER(存条明细!F569)),IF(ABS(存条明细!G569-存条明细!E569*存条明细!F569)&gt;0.005,1,0),0)</f>
        <v>0</v>
      </c>
    </row>
    <row r="570">
      <c r="A570">
        <f>IF(OR(存条明细!C570="",存条明细!D570=""),"",IF(COUNTIFS(存条明细!$C$4:C570,存条明细!C570,存条明细!$D$4:D570,存条明细!D570)&gt;1,"",IFERROR(MATCH(存条明细!C570,总览汇总!$B$5:$B$304,0),900)*10000000+IFERROR(MATCH(存条明细!D570,基础资料!$E$5:$E$104,0),900)*10000+ROW()))</f>
      </c>
      <c r="B570">
        <f>IFERROR(MATCH(SMALL($A$4:$A$4003,567),$A$4:$A$4003,0),"")</f>
      </c>
      <c r="D570">
        <f>IF(AND(商品库存!B570&lt;&gt;"",商品库存!B570=客户查询!$B$4),COUNTIF(商品库存!$B$4:B570,客户查询!$B$4),"")</f>
      </c>
      <c r="E570">
        <f>IF(AND(商品库存!B570&lt;&gt;"",商品库存!B570=客户对账单!$B$4),COUNTIF(商品库存!$B$4:B570,客户对账单!$B$4),"")</f>
      </c>
      <c r="F570">
        <f>IF(AND(出库明细!C570&lt;&gt;"",出库明细!C570=客户对账单!$B$4,ISNUMBER(出库明细!B570),出库明细!B570&gt;=客户对账单!$G$4,出库明细!B570&lt;=客户对账单!$I$4),出库明细!B570+ROW()/100000,"")</f>
      </c>
      <c r="H570">
        <f>IF(AND(采购进货!C570&lt;&gt;"",采购进货!C570=供应商对账单!$B$4,ISNUMBER(采购进货!B570),采购进货!B570&gt;=供应商对账单!$G$4,采购进货!B570&lt;=供应商对账单!$I$4),采购进货!B570+ROW()/100000,"")</f>
      </c>
      <c r="N570">
        <f>IF(AND(ISNUMBER(出库明细!G570),ISNUMBER(出库明细!E570),ISNUMBER(出库明细!F570)),IF(ABS(出库明细!G570-出库明细!E570*出库明细!F570)&gt;0.005,1,0),0)</f>
        <v>0</v>
      </c>
      <c r="O570">
        <f>IF(AND(ISNUMBER(存条明细!G570),ISNUMBER(存条明细!E570),ISNUMBER(存条明细!F570)),IF(ABS(存条明细!G570-存条明细!E570*存条明细!F570)&gt;0.005,1,0),0)</f>
        <v>0</v>
      </c>
    </row>
    <row r="571">
      <c r="A571">
        <f>IF(OR(存条明细!C571="",存条明细!D571=""),"",IF(COUNTIFS(存条明细!$C$4:C571,存条明细!C571,存条明细!$D$4:D571,存条明细!D571)&gt;1,"",IFERROR(MATCH(存条明细!C571,总览汇总!$B$5:$B$304,0),900)*10000000+IFERROR(MATCH(存条明细!D571,基础资料!$E$5:$E$104,0),900)*10000+ROW()))</f>
      </c>
      <c r="B571">
        <f>IFERROR(MATCH(SMALL($A$4:$A$4003,568),$A$4:$A$4003,0),"")</f>
      </c>
      <c r="D571">
        <f>IF(AND(商品库存!B571&lt;&gt;"",商品库存!B571=客户查询!$B$4),COUNTIF(商品库存!$B$4:B571,客户查询!$B$4),"")</f>
      </c>
      <c r="E571">
        <f>IF(AND(商品库存!B571&lt;&gt;"",商品库存!B571=客户对账单!$B$4),COUNTIF(商品库存!$B$4:B571,客户对账单!$B$4),"")</f>
      </c>
      <c r="F571">
        <f>IF(AND(出库明细!C571&lt;&gt;"",出库明细!C571=客户对账单!$B$4,ISNUMBER(出库明细!B571),出库明细!B571&gt;=客户对账单!$G$4,出库明细!B571&lt;=客户对账单!$I$4),出库明细!B571+ROW()/100000,"")</f>
      </c>
      <c r="H571">
        <f>IF(AND(采购进货!C571&lt;&gt;"",采购进货!C571=供应商对账单!$B$4,ISNUMBER(采购进货!B571),采购进货!B571&gt;=供应商对账单!$G$4,采购进货!B571&lt;=供应商对账单!$I$4),采购进货!B571+ROW()/100000,"")</f>
      </c>
      <c r="N571">
        <f>IF(AND(ISNUMBER(出库明细!G571),ISNUMBER(出库明细!E571),ISNUMBER(出库明细!F571)),IF(ABS(出库明细!G571-出库明细!E571*出库明细!F571)&gt;0.005,1,0),0)</f>
        <v>0</v>
      </c>
      <c r="O571">
        <f>IF(AND(ISNUMBER(存条明细!G571),ISNUMBER(存条明细!E571),ISNUMBER(存条明细!F571)),IF(ABS(存条明细!G571-存条明细!E571*存条明细!F571)&gt;0.005,1,0),0)</f>
        <v>0</v>
      </c>
    </row>
    <row r="572">
      <c r="A572">
        <f>IF(OR(存条明细!C572="",存条明细!D572=""),"",IF(COUNTIFS(存条明细!$C$4:C572,存条明细!C572,存条明细!$D$4:D572,存条明细!D572)&gt;1,"",IFERROR(MATCH(存条明细!C572,总览汇总!$B$5:$B$304,0),900)*10000000+IFERROR(MATCH(存条明细!D572,基础资料!$E$5:$E$104,0),900)*10000+ROW()))</f>
      </c>
      <c r="B572">
        <f>IFERROR(MATCH(SMALL($A$4:$A$4003,569),$A$4:$A$4003,0),"")</f>
      </c>
      <c r="D572">
        <f>IF(AND(商品库存!B572&lt;&gt;"",商品库存!B572=客户查询!$B$4),COUNTIF(商品库存!$B$4:B572,客户查询!$B$4),"")</f>
      </c>
      <c r="E572">
        <f>IF(AND(商品库存!B572&lt;&gt;"",商品库存!B572=客户对账单!$B$4),COUNTIF(商品库存!$B$4:B572,客户对账单!$B$4),"")</f>
      </c>
      <c r="F572">
        <f>IF(AND(出库明细!C572&lt;&gt;"",出库明细!C572=客户对账单!$B$4,ISNUMBER(出库明细!B572),出库明细!B572&gt;=客户对账单!$G$4,出库明细!B572&lt;=客户对账单!$I$4),出库明细!B572+ROW()/100000,"")</f>
      </c>
      <c r="H572">
        <f>IF(AND(采购进货!C572&lt;&gt;"",采购进货!C572=供应商对账单!$B$4,ISNUMBER(采购进货!B572),采购进货!B572&gt;=供应商对账单!$G$4,采购进货!B572&lt;=供应商对账单!$I$4),采购进货!B572+ROW()/100000,"")</f>
      </c>
      <c r="N572">
        <f>IF(AND(ISNUMBER(出库明细!G572),ISNUMBER(出库明细!E572),ISNUMBER(出库明细!F572)),IF(ABS(出库明细!G572-出库明细!E572*出库明细!F572)&gt;0.005,1,0),0)</f>
        <v>0</v>
      </c>
      <c r="O572">
        <f>IF(AND(ISNUMBER(存条明细!G572),ISNUMBER(存条明细!E572),ISNUMBER(存条明细!F572)),IF(ABS(存条明细!G572-存条明细!E572*存条明细!F572)&gt;0.005,1,0),0)</f>
        <v>0</v>
      </c>
    </row>
    <row r="573">
      <c r="A573">
        <f>IF(OR(存条明细!C573="",存条明细!D573=""),"",IF(COUNTIFS(存条明细!$C$4:C573,存条明细!C573,存条明细!$D$4:D573,存条明细!D573)&gt;1,"",IFERROR(MATCH(存条明细!C573,总览汇总!$B$5:$B$304,0),900)*10000000+IFERROR(MATCH(存条明细!D573,基础资料!$E$5:$E$104,0),900)*10000+ROW()))</f>
      </c>
      <c r="B573">
        <f>IFERROR(MATCH(SMALL($A$4:$A$4003,570),$A$4:$A$4003,0),"")</f>
      </c>
      <c r="D573">
        <f>IF(AND(商品库存!B573&lt;&gt;"",商品库存!B573=客户查询!$B$4),COUNTIF(商品库存!$B$4:B573,客户查询!$B$4),"")</f>
      </c>
      <c r="E573">
        <f>IF(AND(商品库存!B573&lt;&gt;"",商品库存!B573=客户对账单!$B$4),COUNTIF(商品库存!$B$4:B573,客户对账单!$B$4),"")</f>
      </c>
      <c r="F573">
        <f>IF(AND(出库明细!C573&lt;&gt;"",出库明细!C573=客户对账单!$B$4,ISNUMBER(出库明细!B573),出库明细!B573&gt;=客户对账单!$G$4,出库明细!B573&lt;=客户对账单!$I$4),出库明细!B573+ROW()/100000,"")</f>
      </c>
      <c r="H573">
        <f>IF(AND(采购进货!C573&lt;&gt;"",采购进货!C573=供应商对账单!$B$4,ISNUMBER(采购进货!B573),采购进货!B573&gt;=供应商对账单!$G$4,采购进货!B573&lt;=供应商对账单!$I$4),采购进货!B573+ROW()/100000,"")</f>
      </c>
      <c r="N573">
        <f>IF(AND(ISNUMBER(出库明细!G573),ISNUMBER(出库明细!E573),ISNUMBER(出库明细!F573)),IF(ABS(出库明细!G573-出库明细!E573*出库明细!F573)&gt;0.005,1,0),0)</f>
        <v>0</v>
      </c>
      <c r="O573">
        <f>IF(AND(ISNUMBER(存条明细!G573),ISNUMBER(存条明细!E573),ISNUMBER(存条明细!F573)),IF(ABS(存条明细!G573-存条明细!E573*存条明细!F573)&gt;0.005,1,0),0)</f>
        <v>0</v>
      </c>
    </row>
    <row r="574">
      <c r="A574">
        <f>IF(OR(存条明细!C574="",存条明细!D574=""),"",IF(COUNTIFS(存条明细!$C$4:C574,存条明细!C574,存条明细!$D$4:D574,存条明细!D574)&gt;1,"",IFERROR(MATCH(存条明细!C574,总览汇总!$B$5:$B$304,0),900)*10000000+IFERROR(MATCH(存条明细!D574,基础资料!$E$5:$E$104,0),900)*10000+ROW()))</f>
      </c>
      <c r="B574">
        <f>IFERROR(MATCH(SMALL($A$4:$A$4003,571),$A$4:$A$4003,0),"")</f>
      </c>
      <c r="D574">
        <f>IF(AND(商品库存!B574&lt;&gt;"",商品库存!B574=客户查询!$B$4),COUNTIF(商品库存!$B$4:B574,客户查询!$B$4),"")</f>
      </c>
      <c r="E574">
        <f>IF(AND(商品库存!B574&lt;&gt;"",商品库存!B574=客户对账单!$B$4),COUNTIF(商品库存!$B$4:B574,客户对账单!$B$4),"")</f>
      </c>
      <c r="F574">
        <f>IF(AND(出库明细!C574&lt;&gt;"",出库明细!C574=客户对账单!$B$4,ISNUMBER(出库明细!B574),出库明细!B574&gt;=客户对账单!$G$4,出库明细!B574&lt;=客户对账单!$I$4),出库明细!B574+ROW()/100000,"")</f>
      </c>
      <c r="H574">
        <f>IF(AND(采购进货!C574&lt;&gt;"",采购进货!C574=供应商对账单!$B$4,ISNUMBER(采购进货!B574),采购进货!B574&gt;=供应商对账单!$G$4,采购进货!B574&lt;=供应商对账单!$I$4),采购进货!B574+ROW()/100000,"")</f>
      </c>
      <c r="N574">
        <f>IF(AND(ISNUMBER(出库明细!G574),ISNUMBER(出库明细!E574),ISNUMBER(出库明细!F574)),IF(ABS(出库明细!G574-出库明细!E574*出库明细!F574)&gt;0.005,1,0),0)</f>
        <v>0</v>
      </c>
      <c r="O574">
        <f>IF(AND(ISNUMBER(存条明细!G574),ISNUMBER(存条明细!E574),ISNUMBER(存条明细!F574)),IF(ABS(存条明细!G574-存条明细!E574*存条明细!F574)&gt;0.005,1,0),0)</f>
        <v>0</v>
      </c>
    </row>
    <row r="575">
      <c r="A575">
        <f>IF(OR(存条明细!C575="",存条明细!D575=""),"",IF(COUNTIFS(存条明细!$C$4:C575,存条明细!C575,存条明细!$D$4:D575,存条明细!D575)&gt;1,"",IFERROR(MATCH(存条明细!C575,总览汇总!$B$5:$B$304,0),900)*10000000+IFERROR(MATCH(存条明细!D575,基础资料!$E$5:$E$104,0),900)*10000+ROW()))</f>
      </c>
      <c r="B575">
        <f>IFERROR(MATCH(SMALL($A$4:$A$4003,572),$A$4:$A$4003,0),"")</f>
      </c>
      <c r="D575">
        <f>IF(AND(商品库存!B575&lt;&gt;"",商品库存!B575=客户查询!$B$4),COUNTIF(商品库存!$B$4:B575,客户查询!$B$4),"")</f>
      </c>
      <c r="E575">
        <f>IF(AND(商品库存!B575&lt;&gt;"",商品库存!B575=客户对账单!$B$4),COUNTIF(商品库存!$B$4:B575,客户对账单!$B$4),"")</f>
      </c>
      <c r="F575">
        <f>IF(AND(出库明细!C575&lt;&gt;"",出库明细!C575=客户对账单!$B$4,ISNUMBER(出库明细!B575),出库明细!B575&gt;=客户对账单!$G$4,出库明细!B575&lt;=客户对账单!$I$4),出库明细!B575+ROW()/100000,"")</f>
      </c>
      <c r="H575">
        <f>IF(AND(采购进货!C575&lt;&gt;"",采购进货!C575=供应商对账单!$B$4,ISNUMBER(采购进货!B575),采购进货!B575&gt;=供应商对账单!$G$4,采购进货!B575&lt;=供应商对账单!$I$4),采购进货!B575+ROW()/100000,"")</f>
      </c>
      <c r="N575">
        <f>IF(AND(ISNUMBER(出库明细!G575),ISNUMBER(出库明细!E575),ISNUMBER(出库明细!F575)),IF(ABS(出库明细!G575-出库明细!E575*出库明细!F575)&gt;0.005,1,0),0)</f>
        <v>0</v>
      </c>
      <c r="O575">
        <f>IF(AND(ISNUMBER(存条明细!G575),ISNUMBER(存条明细!E575),ISNUMBER(存条明细!F575)),IF(ABS(存条明细!G575-存条明细!E575*存条明细!F575)&gt;0.005,1,0),0)</f>
        <v>0</v>
      </c>
    </row>
    <row r="576">
      <c r="A576">
        <f>IF(OR(存条明细!C576="",存条明细!D576=""),"",IF(COUNTIFS(存条明细!$C$4:C576,存条明细!C576,存条明细!$D$4:D576,存条明细!D576)&gt;1,"",IFERROR(MATCH(存条明细!C576,总览汇总!$B$5:$B$304,0),900)*10000000+IFERROR(MATCH(存条明细!D576,基础资料!$E$5:$E$104,0),900)*10000+ROW()))</f>
      </c>
      <c r="B576">
        <f>IFERROR(MATCH(SMALL($A$4:$A$4003,573),$A$4:$A$4003,0),"")</f>
      </c>
      <c r="D576">
        <f>IF(AND(商品库存!B576&lt;&gt;"",商品库存!B576=客户查询!$B$4),COUNTIF(商品库存!$B$4:B576,客户查询!$B$4),"")</f>
      </c>
      <c r="E576">
        <f>IF(AND(商品库存!B576&lt;&gt;"",商品库存!B576=客户对账单!$B$4),COUNTIF(商品库存!$B$4:B576,客户对账单!$B$4),"")</f>
      </c>
      <c r="F576">
        <f>IF(AND(出库明细!C576&lt;&gt;"",出库明细!C576=客户对账单!$B$4,ISNUMBER(出库明细!B576),出库明细!B576&gt;=客户对账单!$G$4,出库明细!B576&lt;=客户对账单!$I$4),出库明细!B576+ROW()/100000,"")</f>
      </c>
      <c r="H576">
        <f>IF(AND(采购进货!C576&lt;&gt;"",采购进货!C576=供应商对账单!$B$4,ISNUMBER(采购进货!B576),采购进货!B576&gt;=供应商对账单!$G$4,采购进货!B576&lt;=供应商对账单!$I$4),采购进货!B576+ROW()/100000,"")</f>
      </c>
      <c r="N576">
        <f>IF(AND(ISNUMBER(出库明细!G576),ISNUMBER(出库明细!E576),ISNUMBER(出库明细!F576)),IF(ABS(出库明细!G576-出库明细!E576*出库明细!F576)&gt;0.005,1,0),0)</f>
        <v>0</v>
      </c>
      <c r="O576">
        <f>IF(AND(ISNUMBER(存条明细!G576),ISNUMBER(存条明细!E576),ISNUMBER(存条明细!F576)),IF(ABS(存条明细!G576-存条明细!E576*存条明细!F576)&gt;0.005,1,0),0)</f>
        <v>0</v>
      </c>
    </row>
    <row r="577">
      <c r="A577">
        <f>IF(OR(存条明细!C577="",存条明细!D577=""),"",IF(COUNTIFS(存条明细!$C$4:C577,存条明细!C577,存条明细!$D$4:D577,存条明细!D577)&gt;1,"",IFERROR(MATCH(存条明细!C577,总览汇总!$B$5:$B$304,0),900)*10000000+IFERROR(MATCH(存条明细!D577,基础资料!$E$5:$E$104,0),900)*10000+ROW()))</f>
      </c>
      <c r="B577">
        <f>IFERROR(MATCH(SMALL($A$4:$A$4003,574),$A$4:$A$4003,0),"")</f>
      </c>
      <c r="D577">
        <f>IF(AND(商品库存!B577&lt;&gt;"",商品库存!B577=客户查询!$B$4),COUNTIF(商品库存!$B$4:B577,客户查询!$B$4),"")</f>
      </c>
      <c r="E577">
        <f>IF(AND(商品库存!B577&lt;&gt;"",商品库存!B577=客户对账单!$B$4),COUNTIF(商品库存!$B$4:B577,客户对账单!$B$4),"")</f>
      </c>
      <c r="F577">
        <f>IF(AND(出库明细!C577&lt;&gt;"",出库明细!C577=客户对账单!$B$4,ISNUMBER(出库明细!B577),出库明细!B577&gt;=客户对账单!$G$4,出库明细!B577&lt;=客户对账单!$I$4),出库明细!B577+ROW()/100000,"")</f>
      </c>
      <c r="H577">
        <f>IF(AND(采购进货!C577&lt;&gt;"",采购进货!C577=供应商对账单!$B$4,ISNUMBER(采购进货!B577),采购进货!B577&gt;=供应商对账单!$G$4,采购进货!B577&lt;=供应商对账单!$I$4),采购进货!B577+ROW()/100000,"")</f>
      </c>
      <c r="N577">
        <f>IF(AND(ISNUMBER(出库明细!G577),ISNUMBER(出库明细!E577),ISNUMBER(出库明细!F577)),IF(ABS(出库明细!G577-出库明细!E577*出库明细!F577)&gt;0.005,1,0),0)</f>
        <v>0</v>
      </c>
      <c r="O577">
        <f>IF(AND(ISNUMBER(存条明细!G577),ISNUMBER(存条明细!E577),ISNUMBER(存条明细!F577)),IF(ABS(存条明细!G577-存条明细!E577*存条明细!F577)&gt;0.005,1,0),0)</f>
        <v>0</v>
      </c>
    </row>
    <row r="578">
      <c r="A578">
        <f>IF(OR(存条明细!C578="",存条明细!D578=""),"",IF(COUNTIFS(存条明细!$C$4:C578,存条明细!C578,存条明细!$D$4:D578,存条明细!D578)&gt;1,"",IFERROR(MATCH(存条明细!C578,总览汇总!$B$5:$B$304,0),900)*10000000+IFERROR(MATCH(存条明细!D578,基础资料!$E$5:$E$104,0),900)*10000+ROW()))</f>
      </c>
      <c r="B578">
        <f>IFERROR(MATCH(SMALL($A$4:$A$4003,575),$A$4:$A$4003,0),"")</f>
      </c>
      <c r="D578">
        <f>IF(AND(商品库存!B578&lt;&gt;"",商品库存!B578=客户查询!$B$4),COUNTIF(商品库存!$B$4:B578,客户查询!$B$4),"")</f>
      </c>
      <c r="E578">
        <f>IF(AND(商品库存!B578&lt;&gt;"",商品库存!B578=客户对账单!$B$4),COUNTIF(商品库存!$B$4:B578,客户对账单!$B$4),"")</f>
      </c>
      <c r="F578">
        <f>IF(AND(出库明细!C578&lt;&gt;"",出库明细!C578=客户对账单!$B$4,ISNUMBER(出库明细!B578),出库明细!B578&gt;=客户对账单!$G$4,出库明细!B578&lt;=客户对账单!$I$4),出库明细!B578+ROW()/100000,"")</f>
      </c>
      <c r="H578">
        <f>IF(AND(采购进货!C578&lt;&gt;"",采购进货!C578=供应商对账单!$B$4,ISNUMBER(采购进货!B578),采购进货!B578&gt;=供应商对账单!$G$4,采购进货!B578&lt;=供应商对账单!$I$4),采购进货!B578+ROW()/100000,"")</f>
      </c>
      <c r="N578">
        <f>IF(AND(ISNUMBER(出库明细!G578),ISNUMBER(出库明细!E578),ISNUMBER(出库明细!F578)),IF(ABS(出库明细!G578-出库明细!E578*出库明细!F578)&gt;0.005,1,0),0)</f>
        <v>0</v>
      </c>
      <c r="O578">
        <f>IF(AND(ISNUMBER(存条明细!G578),ISNUMBER(存条明细!E578),ISNUMBER(存条明细!F578)),IF(ABS(存条明细!G578-存条明细!E578*存条明细!F578)&gt;0.005,1,0),0)</f>
        <v>0</v>
      </c>
    </row>
    <row r="579">
      <c r="A579">
        <f>IF(OR(存条明细!C579="",存条明细!D579=""),"",IF(COUNTIFS(存条明细!$C$4:C579,存条明细!C579,存条明细!$D$4:D579,存条明细!D579)&gt;1,"",IFERROR(MATCH(存条明细!C579,总览汇总!$B$5:$B$304,0),900)*10000000+IFERROR(MATCH(存条明细!D579,基础资料!$E$5:$E$104,0),900)*10000+ROW()))</f>
      </c>
      <c r="B579">
        <f>IFERROR(MATCH(SMALL($A$4:$A$4003,576),$A$4:$A$4003,0),"")</f>
      </c>
      <c r="D579">
        <f>IF(AND(商品库存!B579&lt;&gt;"",商品库存!B579=客户查询!$B$4),COUNTIF(商品库存!$B$4:B579,客户查询!$B$4),"")</f>
      </c>
      <c r="E579">
        <f>IF(AND(商品库存!B579&lt;&gt;"",商品库存!B579=客户对账单!$B$4),COUNTIF(商品库存!$B$4:B579,客户对账单!$B$4),"")</f>
      </c>
      <c r="F579">
        <f>IF(AND(出库明细!C579&lt;&gt;"",出库明细!C579=客户对账单!$B$4,ISNUMBER(出库明细!B579),出库明细!B579&gt;=客户对账单!$G$4,出库明细!B579&lt;=客户对账单!$I$4),出库明细!B579+ROW()/100000,"")</f>
      </c>
      <c r="H579">
        <f>IF(AND(采购进货!C579&lt;&gt;"",采购进货!C579=供应商对账单!$B$4,ISNUMBER(采购进货!B579),采购进货!B579&gt;=供应商对账单!$G$4,采购进货!B579&lt;=供应商对账单!$I$4),采购进货!B579+ROW()/100000,"")</f>
      </c>
      <c r="N579">
        <f>IF(AND(ISNUMBER(出库明细!G579),ISNUMBER(出库明细!E579),ISNUMBER(出库明细!F579)),IF(ABS(出库明细!G579-出库明细!E579*出库明细!F579)&gt;0.005,1,0),0)</f>
        <v>0</v>
      </c>
      <c r="O579">
        <f>IF(AND(ISNUMBER(存条明细!G579),ISNUMBER(存条明细!E579),ISNUMBER(存条明细!F579)),IF(ABS(存条明细!G579-存条明细!E579*存条明细!F579)&gt;0.005,1,0),0)</f>
        <v>0</v>
      </c>
    </row>
    <row r="580">
      <c r="A580">
        <f>IF(OR(存条明细!C580="",存条明细!D580=""),"",IF(COUNTIFS(存条明细!$C$4:C580,存条明细!C580,存条明细!$D$4:D580,存条明细!D580)&gt;1,"",IFERROR(MATCH(存条明细!C580,总览汇总!$B$5:$B$304,0),900)*10000000+IFERROR(MATCH(存条明细!D580,基础资料!$E$5:$E$104,0),900)*10000+ROW()))</f>
      </c>
      <c r="B580">
        <f>IFERROR(MATCH(SMALL($A$4:$A$4003,577),$A$4:$A$4003,0),"")</f>
      </c>
      <c r="D580">
        <f>IF(AND(商品库存!B580&lt;&gt;"",商品库存!B580=客户查询!$B$4),COUNTIF(商品库存!$B$4:B580,客户查询!$B$4),"")</f>
      </c>
      <c r="E580">
        <f>IF(AND(商品库存!B580&lt;&gt;"",商品库存!B580=客户对账单!$B$4),COUNTIF(商品库存!$B$4:B580,客户对账单!$B$4),"")</f>
      </c>
      <c r="F580">
        <f>IF(AND(出库明细!C580&lt;&gt;"",出库明细!C580=客户对账单!$B$4,ISNUMBER(出库明细!B580),出库明细!B580&gt;=客户对账单!$G$4,出库明细!B580&lt;=客户对账单!$I$4),出库明细!B580+ROW()/100000,"")</f>
      </c>
      <c r="H580">
        <f>IF(AND(采购进货!C580&lt;&gt;"",采购进货!C580=供应商对账单!$B$4,ISNUMBER(采购进货!B580),采购进货!B580&gt;=供应商对账单!$G$4,采购进货!B580&lt;=供应商对账单!$I$4),采购进货!B580+ROW()/100000,"")</f>
      </c>
      <c r="N580">
        <f>IF(AND(ISNUMBER(出库明细!G580),ISNUMBER(出库明细!E580),ISNUMBER(出库明细!F580)),IF(ABS(出库明细!G580-出库明细!E580*出库明细!F580)&gt;0.005,1,0),0)</f>
        <v>0</v>
      </c>
      <c r="O580">
        <f>IF(AND(ISNUMBER(存条明细!G580),ISNUMBER(存条明细!E580),ISNUMBER(存条明细!F580)),IF(ABS(存条明细!G580-存条明细!E580*存条明细!F580)&gt;0.005,1,0),0)</f>
        <v>0</v>
      </c>
    </row>
    <row r="581">
      <c r="A581">
        <f>IF(OR(存条明细!C581="",存条明细!D581=""),"",IF(COUNTIFS(存条明细!$C$4:C581,存条明细!C581,存条明细!$D$4:D581,存条明细!D581)&gt;1,"",IFERROR(MATCH(存条明细!C581,总览汇总!$B$5:$B$304,0),900)*10000000+IFERROR(MATCH(存条明细!D581,基础资料!$E$5:$E$104,0),900)*10000+ROW()))</f>
      </c>
      <c r="B581">
        <f>IFERROR(MATCH(SMALL($A$4:$A$4003,578),$A$4:$A$4003,0),"")</f>
      </c>
      <c r="D581">
        <f>IF(AND(商品库存!B581&lt;&gt;"",商品库存!B581=客户查询!$B$4),COUNTIF(商品库存!$B$4:B581,客户查询!$B$4),"")</f>
      </c>
      <c r="E581">
        <f>IF(AND(商品库存!B581&lt;&gt;"",商品库存!B581=客户对账单!$B$4),COUNTIF(商品库存!$B$4:B581,客户对账单!$B$4),"")</f>
      </c>
      <c r="F581">
        <f>IF(AND(出库明细!C581&lt;&gt;"",出库明细!C581=客户对账单!$B$4,ISNUMBER(出库明细!B581),出库明细!B581&gt;=客户对账单!$G$4,出库明细!B581&lt;=客户对账单!$I$4),出库明细!B581+ROW()/100000,"")</f>
      </c>
      <c r="H581">
        <f>IF(AND(采购进货!C581&lt;&gt;"",采购进货!C581=供应商对账单!$B$4,ISNUMBER(采购进货!B581),采购进货!B581&gt;=供应商对账单!$G$4,采购进货!B581&lt;=供应商对账单!$I$4),采购进货!B581+ROW()/100000,"")</f>
      </c>
      <c r="N581">
        <f>IF(AND(ISNUMBER(出库明细!G581),ISNUMBER(出库明细!E581),ISNUMBER(出库明细!F581)),IF(ABS(出库明细!G581-出库明细!E581*出库明细!F581)&gt;0.005,1,0),0)</f>
        <v>0</v>
      </c>
      <c r="O581">
        <f>IF(AND(ISNUMBER(存条明细!G581),ISNUMBER(存条明细!E581),ISNUMBER(存条明细!F581)),IF(ABS(存条明细!G581-存条明细!E581*存条明细!F581)&gt;0.005,1,0),0)</f>
        <v>0</v>
      </c>
    </row>
    <row r="582">
      <c r="A582">
        <f>IF(OR(存条明细!C582="",存条明细!D582=""),"",IF(COUNTIFS(存条明细!$C$4:C582,存条明细!C582,存条明细!$D$4:D582,存条明细!D582)&gt;1,"",IFERROR(MATCH(存条明细!C582,总览汇总!$B$5:$B$304,0),900)*10000000+IFERROR(MATCH(存条明细!D582,基础资料!$E$5:$E$104,0),900)*10000+ROW()))</f>
      </c>
      <c r="B582">
        <f>IFERROR(MATCH(SMALL($A$4:$A$4003,579),$A$4:$A$4003,0),"")</f>
      </c>
      <c r="D582">
        <f>IF(AND(商品库存!B582&lt;&gt;"",商品库存!B582=客户查询!$B$4),COUNTIF(商品库存!$B$4:B582,客户查询!$B$4),"")</f>
      </c>
      <c r="E582">
        <f>IF(AND(商品库存!B582&lt;&gt;"",商品库存!B582=客户对账单!$B$4),COUNTIF(商品库存!$B$4:B582,客户对账单!$B$4),"")</f>
      </c>
      <c r="F582">
        <f>IF(AND(出库明细!C582&lt;&gt;"",出库明细!C582=客户对账单!$B$4,ISNUMBER(出库明细!B582),出库明细!B582&gt;=客户对账单!$G$4,出库明细!B582&lt;=客户对账单!$I$4),出库明细!B582+ROW()/100000,"")</f>
      </c>
      <c r="H582">
        <f>IF(AND(采购进货!C582&lt;&gt;"",采购进货!C582=供应商对账单!$B$4,ISNUMBER(采购进货!B582),采购进货!B582&gt;=供应商对账单!$G$4,采购进货!B582&lt;=供应商对账单!$I$4),采购进货!B582+ROW()/100000,"")</f>
      </c>
      <c r="N582">
        <f>IF(AND(ISNUMBER(出库明细!G582),ISNUMBER(出库明细!E582),ISNUMBER(出库明细!F582)),IF(ABS(出库明细!G582-出库明细!E582*出库明细!F582)&gt;0.005,1,0),0)</f>
        <v>0</v>
      </c>
      <c r="O582">
        <f>IF(AND(ISNUMBER(存条明细!G582),ISNUMBER(存条明细!E582),ISNUMBER(存条明细!F582)),IF(ABS(存条明细!G582-存条明细!E582*存条明细!F582)&gt;0.005,1,0),0)</f>
        <v>0</v>
      </c>
    </row>
    <row r="583">
      <c r="A583">
        <f>IF(OR(存条明细!C583="",存条明细!D583=""),"",IF(COUNTIFS(存条明细!$C$4:C583,存条明细!C583,存条明细!$D$4:D583,存条明细!D583)&gt;1,"",IFERROR(MATCH(存条明细!C583,总览汇总!$B$5:$B$304,0),900)*10000000+IFERROR(MATCH(存条明细!D583,基础资料!$E$5:$E$104,0),900)*10000+ROW()))</f>
      </c>
      <c r="B583">
        <f>IFERROR(MATCH(SMALL($A$4:$A$4003,580),$A$4:$A$4003,0),"")</f>
      </c>
      <c r="D583">
        <f>IF(AND(商品库存!B583&lt;&gt;"",商品库存!B583=客户查询!$B$4),COUNTIF(商品库存!$B$4:B583,客户查询!$B$4),"")</f>
      </c>
      <c r="E583">
        <f>IF(AND(商品库存!B583&lt;&gt;"",商品库存!B583=客户对账单!$B$4),COUNTIF(商品库存!$B$4:B583,客户对账单!$B$4),"")</f>
      </c>
      <c r="F583">
        <f>IF(AND(出库明细!C583&lt;&gt;"",出库明细!C583=客户对账单!$B$4,ISNUMBER(出库明细!B583),出库明细!B583&gt;=客户对账单!$G$4,出库明细!B583&lt;=客户对账单!$I$4),出库明细!B583+ROW()/100000,"")</f>
      </c>
      <c r="H583">
        <f>IF(AND(采购进货!C583&lt;&gt;"",采购进货!C583=供应商对账单!$B$4,ISNUMBER(采购进货!B583),采购进货!B583&gt;=供应商对账单!$G$4,采购进货!B583&lt;=供应商对账单!$I$4),采购进货!B583+ROW()/100000,"")</f>
      </c>
      <c r="N583">
        <f>IF(AND(ISNUMBER(出库明细!G583),ISNUMBER(出库明细!E583),ISNUMBER(出库明细!F583)),IF(ABS(出库明细!G583-出库明细!E583*出库明细!F583)&gt;0.005,1,0),0)</f>
        <v>0</v>
      </c>
      <c r="O583">
        <f>IF(AND(ISNUMBER(存条明细!G583),ISNUMBER(存条明细!E583),ISNUMBER(存条明细!F583)),IF(ABS(存条明细!G583-存条明细!E583*存条明细!F583)&gt;0.005,1,0),0)</f>
        <v>0</v>
      </c>
    </row>
    <row r="584">
      <c r="A584">
        <f>IF(OR(存条明细!C584="",存条明细!D584=""),"",IF(COUNTIFS(存条明细!$C$4:C584,存条明细!C584,存条明细!$D$4:D584,存条明细!D584)&gt;1,"",IFERROR(MATCH(存条明细!C584,总览汇总!$B$5:$B$304,0),900)*10000000+IFERROR(MATCH(存条明细!D584,基础资料!$E$5:$E$104,0),900)*10000+ROW()))</f>
      </c>
      <c r="B584">
        <f>IFERROR(MATCH(SMALL($A$4:$A$4003,581),$A$4:$A$4003,0),"")</f>
      </c>
      <c r="D584">
        <f>IF(AND(商品库存!B584&lt;&gt;"",商品库存!B584=客户查询!$B$4),COUNTIF(商品库存!$B$4:B584,客户查询!$B$4),"")</f>
      </c>
      <c r="E584">
        <f>IF(AND(商品库存!B584&lt;&gt;"",商品库存!B584=客户对账单!$B$4),COUNTIF(商品库存!$B$4:B584,客户对账单!$B$4),"")</f>
      </c>
      <c r="F584">
        <f>IF(AND(出库明细!C584&lt;&gt;"",出库明细!C584=客户对账单!$B$4,ISNUMBER(出库明细!B584),出库明细!B584&gt;=客户对账单!$G$4,出库明细!B584&lt;=客户对账单!$I$4),出库明细!B584+ROW()/100000,"")</f>
      </c>
      <c r="H584">
        <f>IF(AND(采购进货!C584&lt;&gt;"",采购进货!C584=供应商对账单!$B$4,ISNUMBER(采购进货!B584),采购进货!B584&gt;=供应商对账单!$G$4,采购进货!B584&lt;=供应商对账单!$I$4),采购进货!B584+ROW()/100000,"")</f>
      </c>
      <c r="N584">
        <f>IF(AND(ISNUMBER(出库明细!G584),ISNUMBER(出库明细!E584),ISNUMBER(出库明细!F584)),IF(ABS(出库明细!G584-出库明细!E584*出库明细!F584)&gt;0.005,1,0),0)</f>
        <v>0</v>
      </c>
      <c r="O584">
        <f>IF(AND(ISNUMBER(存条明细!G584),ISNUMBER(存条明细!E584),ISNUMBER(存条明细!F584)),IF(ABS(存条明细!G584-存条明细!E584*存条明细!F584)&gt;0.005,1,0),0)</f>
        <v>0</v>
      </c>
    </row>
    <row r="585">
      <c r="A585">
        <f>IF(OR(存条明细!C585="",存条明细!D585=""),"",IF(COUNTIFS(存条明细!$C$4:C585,存条明细!C585,存条明细!$D$4:D585,存条明细!D585)&gt;1,"",IFERROR(MATCH(存条明细!C585,总览汇总!$B$5:$B$304,0),900)*10000000+IFERROR(MATCH(存条明细!D585,基础资料!$E$5:$E$104,0),900)*10000+ROW()))</f>
      </c>
      <c r="B585">
        <f>IFERROR(MATCH(SMALL($A$4:$A$4003,582),$A$4:$A$4003,0),"")</f>
      </c>
      <c r="D585">
        <f>IF(AND(商品库存!B585&lt;&gt;"",商品库存!B585=客户查询!$B$4),COUNTIF(商品库存!$B$4:B585,客户查询!$B$4),"")</f>
      </c>
      <c r="E585">
        <f>IF(AND(商品库存!B585&lt;&gt;"",商品库存!B585=客户对账单!$B$4),COUNTIF(商品库存!$B$4:B585,客户对账单!$B$4),"")</f>
      </c>
      <c r="F585">
        <f>IF(AND(出库明细!C585&lt;&gt;"",出库明细!C585=客户对账单!$B$4,ISNUMBER(出库明细!B585),出库明细!B585&gt;=客户对账单!$G$4,出库明细!B585&lt;=客户对账单!$I$4),出库明细!B585+ROW()/100000,"")</f>
      </c>
      <c r="H585">
        <f>IF(AND(采购进货!C585&lt;&gt;"",采购进货!C585=供应商对账单!$B$4,ISNUMBER(采购进货!B585),采购进货!B585&gt;=供应商对账单!$G$4,采购进货!B585&lt;=供应商对账单!$I$4),采购进货!B585+ROW()/100000,"")</f>
      </c>
      <c r="N585">
        <f>IF(AND(ISNUMBER(出库明细!G585),ISNUMBER(出库明细!E585),ISNUMBER(出库明细!F585)),IF(ABS(出库明细!G585-出库明细!E585*出库明细!F585)&gt;0.005,1,0),0)</f>
        <v>0</v>
      </c>
      <c r="O585">
        <f>IF(AND(ISNUMBER(存条明细!G585),ISNUMBER(存条明细!E585),ISNUMBER(存条明细!F585)),IF(ABS(存条明细!G585-存条明细!E585*存条明细!F585)&gt;0.005,1,0),0)</f>
        <v>0</v>
      </c>
    </row>
    <row r="586">
      <c r="A586">
        <f>IF(OR(存条明细!C586="",存条明细!D586=""),"",IF(COUNTIFS(存条明细!$C$4:C586,存条明细!C586,存条明细!$D$4:D586,存条明细!D586)&gt;1,"",IFERROR(MATCH(存条明细!C586,总览汇总!$B$5:$B$304,0),900)*10000000+IFERROR(MATCH(存条明细!D586,基础资料!$E$5:$E$104,0),900)*10000+ROW()))</f>
      </c>
      <c r="B586">
        <f>IFERROR(MATCH(SMALL($A$4:$A$4003,583),$A$4:$A$4003,0),"")</f>
      </c>
      <c r="D586">
        <f>IF(AND(商品库存!B586&lt;&gt;"",商品库存!B586=客户查询!$B$4),COUNTIF(商品库存!$B$4:B586,客户查询!$B$4),"")</f>
      </c>
      <c r="E586">
        <f>IF(AND(商品库存!B586&lt;&gt;"",商品库存!B586=客户对账单!$B$4),COUNTIF(商品库存!$B$4:B586,客户对账单!$B$4),"")</f>
      </c>
      <c r="F586">
        <f>IF(AND(出库明细!C586&lt;&gt;"",出库明细!C586=客户对账单!$B$4,ISNUMBER(出库明细!B586),出库明细!B586&gt;=客户对账单!$G$4,出库明细!B586&lt;=客户对账单!$I$4),出库明细!B586+ROW()/100000,"")</f>
      </c>
      <c r="H586">
        <f>IF(AND(采购进货!C586&lt;&gt;"",采购进货!C586=供应商对账单!$B$4,ISNUMBER(采购进货!B586),采购进货!B586&gt;=供应商对账单!$G$4,采购进货!B586&lt;=供应商对账单!$I$4),采购进货!B586+ROW()/100000,"")</f>
      </c>
      <c r="N586">
        <f>IF(AND(ISNUMBER(出库明细!G586),ISNUMBER(出库明细!E586),ISNUMBER(出库明细!F586)),IF(ABS(出库明细!G586-出库明细!E586*出库明细!F586)&gt;0.005,1,0),0)</f>
        <v>0</v>
      </c>
      <c r="O586">
        <f>IF(AND(ISNUMBER(存条明细!G586),ISNUMBER(存条明细!E586),ISNUMBER(存条明细!F586)),IF(ABS(存条明细!G586-存条明细!E586*存条明细!F586)&gt;0.005,1,0),0)</f>
        <v>0</v>
      </c>
    </row>
    <row r="587">
      <c r="A587">
        <f>IF(OR(存条明细!C587="",存条明细!D587=""),"",IF(COUNTIFS(存条明细!$C$4:C587,存条明细!C587,存条明细!$D$4:D587,存条明细!D587)&gt;1,"",IFERROR(MATCH(存条明细!C587,总览汇总!$B$5:$B$304,0),900)*10000000+IFERROR(MATCH(存条明细!D587,基础资料!$E$5:$E$104,0),900)*10000+ROW()))</f>
      </c>
      <c r="B587">
        <f>IFERROR(MATCH(SMALL($A$4:$A$4003,584),$A$4:$A$4003,0),"")</f>
      </c>
      <c r="D587">
        <f>IF(AND(商品库存!B587&lt;&gt;"",商品库存!B587=客户查询!$B$4),COUNTIF(商品库存!$B$4:B587,客户查询!$B$4),"")</f>
      </c>
      <c r="E587">
        <f>IF(AND(商品库存!B587&lt;&gt;"",商品库存!B587=客户对账单!$B$4),COUNTIF(商品库存!$B$4:B587,客户对账单!$B$4),"")</f>
      </c>
      <c r="F587">
        <f>IF(AND(出库明细!C587&lt;&gt;"",出库明细!C587=客户对账单!$B$4,ISNUMBER(出库明细!B587),出库明细!B587&gt;=客户对账单!$G$4,出库明细!B587&lt;=客户对账单!$I$4),出库明细!B587+ROW()/100000,"")</f>
      </c>
      <c r="H587">
        <f>IF(AND(采购进货!C587&lt;&gt;"",采购进货!C587=供应商对账单!$B$4,ISNUMBER(采购进货!B587),采购进货!B587&gt;=供应商对账单!$G$4,采购进货!B587&lt;=供应商对账单!$I$4),采购进货!B587+ROW()/100000,"")</f>
      </c>
      <c r="N587">
        <f>IF(AND(ISNUMBER(出库明细!G587),ISNUMBER(出库明细!E587),ISNUMBER(出库明细!F587)),IF(ABS(出库明细!G587-出库明细!E587*出库明细!F587)&gt;0.005,1,0),0)</f>
        <v>0</v>
      </c>
      <c r="O587">
        <f>IF(AND(ISNUMBER(存条明细!G587),ISNUMBER(存条明细!E587),ISNUMBER(存条明细!F587)),IF(ABS(存条明细!G587-存条明细!E587*存条明细!F587)&gt;0.005,1,0),0)</f>
        <v>0</v>
      </c>
    </row>
    <row r="588">
      <c r="A588">
        <f>IF(OR(存条明细!C588="",存条明细!D588=""),"",IF(COUNTIFS(存条明细!$C$4:C588,存条明细!C588,存条明细!$D$4:D588,存条明细!D588)&gt;1,"",IFERROR(MATCH(存条明细!C588,总览汇总!$B$5:$B$304,0),900)*10000000+IFERROR(MATCH(存条明细!D588,基础资料!$E$5:$E$104,0),900)*10000+ROW()))</f>
      </c>
      <c r="B588">
        <f>IFERROR(MATCH(SMALL($A$4:$A$4003,585),$A$4:$A$4003,0),"")</f>
      </c>
      <c r="D588">
        <f>IF(AND(商品库存!B588&lt;&gt;"",商品库存!B588=客户查询!$B$4),COUNTIF(商品库存!$B$4:B588,客户查询!$B$4),"")</f>
      </c>
      <c r="E588">
        <f>IF(AND(商品库存!B588&lt;&gt;"",商品库存!B588=客户对账单!$B$4),COUNTIF(商品库存!$B$4:B588,客户对账单!$B$4),"")</f>
      </c>
      <c r="F588">
        <f>IF(AND(出库明细!C588&lt;&gt;"",出库明细!C588=客户对账单!$B$4,ISNUMBER(出库明细!B588),出库明细!B588&gt;=客户对账单!$G$4,出库明细!B588&lt;=客户对账单!$I$4),出库明细!B588+ROW()/100000,"")</f>
      </c>
      <c r="H588">
        <f>IF(AND(采购进货!C588&lt;&gt;"",采购进货!C588=供应商对账单!$B$4,ISNUMBER(采购进货!B588),采购进货!B588&gt;=供应商对账单!$G$4,采购进货!B588&lt;=供应商对账单!$I$4),采购进货!B588+ROW()/100000,"")</f>
      </c>
      <c r="N588">
        <f>IF(AND(ISNUMBER(出库明细!G588),ISNUMBER(出库明细!E588),ISNUMBER(出库明细!F588)),IF(ABS(出库明细!G588-出库明细!E588*出库明细!F588)&gt;0.005,1,0),0)</f>
        <v>0</v>
      </c>
      <c r="O588">
        <f>IF(AND(ISNUMBER(存条明细!G588),ISNUMBER(存条明细!E588),ISNUMBER(存条明细!F588)),IF(ABS(存条明细!G588-存条明细!E588*存条明细!F588)&gt;0.005,1,0),0)</f>
        <v>0</v>
      </c>
    </row>
    <row r="589">
      <c r="A589">
        <f>IF(OR(存条明细!C589="",存条明细!D589=""),"",IF(COUNTIFS(存条明细!$C$4:C589,存条明细!C589,存条明细!$D$4:D589,存条明细!D589)&gt;1,"",IFERROR(MATCH(存条明细!C589,总览汇总!$B$5:$B$304,0),900)*10000000+IFERROR(MATCH(存条明细!D589,基础资料!$E$5:$E$104,0),900)*10000+ROW()))</f>
      </c>
      <c r="B589">
        <f>IFERROR(MATCH(SMALL($A$4:$A$4003,586),$A$4:$A$4003,0),"")</f>
      </c>
      <c r="D589">
        <f>IF(AND(商品库存!B589&lt;&gt;"",商品库存!B589=客户查询!$B$4),COUNTIF(商品库存!$B$4:B589,客户查询!$B$4),"")</f>
      </c>
      <c r="E589">
        <f>IF(AND(商品库存!B589&lt;&gt;"",商品库存!B589=客户对账单!$B$4),COUNTIF(商品库存!$B$4:B589,客户对账单!$B$4),"")</f>
      </c>
      <c r="F589">
        <f>IF(AND(出库明细!C589&lt;&gt;"",出库明细!C589=客户对账单!$B$4,ISNUMBER(出库明细!B589),出库明细!B589&gt;=客户对账单!$G$4,出库明细!B589&lt;=客户对账单!$I$4),出库明细!B589+ROW()/100000,"")</f>
      </c>
      <c r="H589">
        <f>IF(AND(采购进货!C589&lt;&gt;"",采购进货!C589=供应商对账单!$B$4,ISNUMBER(采购进货!B589),采购进货!B589&gt;=供应商对账单!$G$4,采购进货!B589&lt;=供应商对账单!$I$4),采购进货!B589+ROW()/100000,"")</f>
      </c>
      <c r="N589">
        <f>IF(AND(ISNUMBER(出库明细!G589),ISNUMBER(出库明细!E589),ISNUMBER(出库明细!F589)),IF(ABS(出库明细!G589-出库明细!E589*出库明细!F589)&gt;0.005,1,0),0)</f>
        <v>0</v>
      </c>
      <c r="O589">
        <f>IF(AND(ISNUMBER(存条明细!G589),ISNUMBER(存条明细!E589),ISNUMBER(存条明细!F589)),IF(ABS(存条明细!G589-存条明细!E589*存条明细!F589)&gt;0.005,1,0),0)</f>
        <v>0</v>
      </c>
    </row>
    <row r="590">
      <c r="A590">
        <f>IF(OR(存条明细!C590="",存条明细!D590=""),"",IF(COUNTIFS(存条明细!$C$4:C590,存条明细!C590,存条明细!$D$4:D590,存条明细!D590)&gt;1,"",IFERROR(MATCH(存条明细!C590,总览汇总!$B$5:$B$304,0),900)*10000000+IFERROR(MATCH(存条明细!D590,基础资料!$E$5:$E$104,0),900)*10000+ROW()))</f>
      </c>
      <c r="B590">
        <f>IFERROR(MATCH(SMALL($A$4:$A$4003,587),$A$4:$A$4003,0),"")</f>
      </c>
      <c r="D590">
        <f>IF(AND(商品库存!B590&lt;&gt;"",商品库存!B590=客户查询!$B$4),COUNTIF(商品库存!$B$4:B590,客户查询!$B$4),"")</f>
      </c>
      <c r="E590">
        <f>IF(AND(商品库存!B590&lt;&gt;"",商品库存!B590=客户对账单!$B$4),COUNTIF(商品库存!$B$4:B590,客户对账单!$B$4),"")</f>
      </c>
      <c r="F590">
        <f>IF(AND(出库明细!C590&lt;&gt;"",出库明细!C590=客户对账单!$B$4,ISNUMBER(出库明细!B590),出库明细!B590&gt;=客户对账单!$G$4,出库明细!B590&lt;=客户对账单!$I$4),出库明细!B590+ROW()/100000,"")</f>
      </c>
      <c r="H590">
        <f>IF(AND(采购进货!C590&lt;&gt;"",采购进货!C590=供应商对账单!$B$4,ISNUMBER(采购进货!B590),采购进货!B590&gt;=供应商对账单!$G$4,采购进货!B590&lt;=供应商对账单!$I$4),采购进货!B590+ROW()/100000,"")</f>
      </c>
      <c r="N590">
        <f>IF(AND(ISNUMBER(出库明细!G590),ISNUMBER(出库明细!E590),ISNUMBER(出库明细!F590)),IF(ABS(出库明细!G590-出库明细!E590*出库明细!F590)&gt;0.005,1,0),0)</f>
        <v>0</v>
      </c>
      <c r="O590">
        <f>IF(AND(ISNUMBER(存条明细!G590),ISNUMBER(存条明细!E590),ISNUMBER(存条明细!F590)),IF(ABS(存条明细!G590-存条明细!E590*存条明细!F590)&gt;0.005,1,0),0)</f>
        <v>0</v>
      </c>
    </row>
    <row r="591">
      <c r="A591">
        <f>IF(OR(存条明细!C591="",存条明细!D591=""),"",IF(COUNTIFS(存条明细!$C$4:C591,存条明细!C591,存条明细!$D$4:D591,存条明细!D591)&gt;1,"",IFERROR(MATCH(存条明细!C591,总览汇总!$B$5:$B$304,0),900)*10000000+IFERROR(MATCH(存条明细!D591,基础资料!$E$5:$E$104,0),900)*10000+ROW()))</f>
      </c>
      <c r="B591">
        <f>IFERROR(MATCH(SMALL($A$4:$A$4003,588),$A$4:$A$4003,0),"")</f>
      </c>
      <c r="D591">
        <f>IF(AND(商品库存!B591&lt;&gt;"",商品库存!B591=客户查询!$B$4),COUNTIF(商品库存!$B$4:B591,客户查询!$B$4),"")</f>
      </c>
      <c r="E591">
        <f>IF(AND(商品库存!B591&lt;&gt;"",商品库存!B591=客户对账单!$B$4),COUNTIF(商品库存!$B$4:B591,客户对账单!$B$4),"")</f>
      </c>
      <c r="F591">
        <f>IF(AND(出库明细!C591&lt;&gt;"",出库明细!C591=客户对账单!$B$4,ISNUMBER(出库明细!B591),出库明细!B591&gt;=客户对账单!$G$4,出库明细!B591&lt;=客户对账单!$I$4),出库明细!B591+ROW()/100000,"")</f>
      </c>
      <c r="H591">
        <f>IF(AND(采购进货!C591&lt;&gt;"",采购进货!C591=供应商对账单!$B$4,ISNUMBER(采购进货!B591),采购进货!B591&gt;=供应商对账单!$G$4,采购进货!B591&lt;=供应商对账单!$I$4),采购进货!B591+ROW()/100000,"")</f>
      </c>
      <c r="N591">
        <f>IF(AND(ISNUMBER(出库明细!G591),ISNUMBER(出库明细!E591),ISNUMBER(出库明细!F591)),IF(ABS(出库明细!G591-出库明细!E591*出库明细!F591)&gt;0.005,1,0),0)</f>
        <v>0</v>
      </c>
      <c r="O591">
        <f>IF(AND(ISNUMBER(存条明细!G591),ISNUMBER(存条明细!E591),ISNUMBER(存条明细!F591)),IF(ABS(存条明细!G591-存条明细!E591*存条明细!F591)&gt;0.005,1,0),0)</f>
        <v>0</v>
      </c>
    </row>
    <row r="592">
      <c r="A592">
        <f>IF(OR(存条明细!C592="",存条明细!D592=""),"",IF(COUNTIFS(存条明细!$C$4:C592,存条明细!C592,存条明细!$D$4:D592,存条明细!D592)&gt;1,"",IFERROR(MATCH(存条明细!C592,总览汇总!$B$5:$B$304,0),900)*10000000+IFERROR(MATCH(存条明细!D592,基础资料!$E$5:$E$104,0),900)*10000+ROW()))</f>
      </c>
      <c r="B592">
        <f>IFERROR(MATCH(SMALL($A$4:$A$4003,589),$A$4:$A$4003,0),"")</f>
      </c>
      <c r="D592">
        <f>IF(AND(商品库存!B592&lt;&gt;"",商品库存!B592=客户查询!$B$4),COUNTIF(商品库存!$B$4:B592,客户查询!$B$4),"")</f>
      </c>
      <c r="E592">
        <f>IF(AND(商品库存!B592&lt;&gt;"",商品库存!B592=客户对账单!$B$4),COUNTIF(商品库存!$B$4:B592,客户对账单!$B$4),"")</f>
      </c>
      <c r="F592">
        <f>IF(AND(出库明细!C592&lt;&gt;"",出库明细!C592=客户对账单!$B$4,ISNUMBER(出库明细!B592),出库明细!B592&gt;=客户对账单!$G$4,出库明细!B592&lt;=客户对账单!$I$4),出库明细!B592+ROW()/100000,"")</f>
      </c>
      <c r="H592">
        <f>IF(AND(采购进货!C592&lt;&gt;"",采购进货!C592=供应商对账单!$B$4,ISNUMBER(采购进货!B592),采购进货!B592&gt;=供应商对账单!$G$4,采购进货!B592&lt;=供应商对账单!$I$4),采购进货!B592+ROW()/100000,"")</f>
      </c>
      <c r="N592">
        <f>IF(AND(ISNUMBER(出库明细!G592),ISNUMBER(出库明细!E592),ISNUMBER(出库明细!F592)),IF(ABS(出库明细!G592-出库明细!E592*出库明细!F592)&gt;0.005,1,0),0)</f>
        <v>0</v>
      </c>
      <c r="O592">
        <f>IF(AND(ISNUMBER(存条明细!G592),ISNUMBER(存条明细!E592),ISNUMBER(存条明细!F592)),IF(ABS(存条明细!G592-存条明细!E592*存条明细!F592)&gt;0.005,1,0),0)</f>
        <v>0</v>
      </c>
    </row>
    <row r="593">
      <c r="A593">
        <f>IF(OR(存条明细!C593="",存条明细!D593=""),"",IF(COUNTIFS(存条明细!$C$4:C593,存条明细!C593,存条明细!$D$4:D593,存条明细!D593)&gt;1,"",IFERROR(MATCH(存条明细!C593,总览汇总!$B$5:$B$304,0),900)*10000000+IFERROR(MATCH(存条明细!D593,基础资料!$E$5:$E$104,0),900)*10000+ROW()))</f>
      </c>
      <c r="B593">
        <f>IFERROR(MATCH(SMALL($A$4:$A$4003,590),$A$4:$A$4003,0),"")</f>
      </c>
      <c r="D593">
        <f>IF(AND(商品库存!B593&lt;&gt;"",商品库存!B593=客户查询!$B$4),COUNTIF(商品库存!$B$4:B593,客户查询!$B$4),"")</f>
      </c>
      <c r="E593">
        <f>IF(AND(商品库存!B593&lt;&gt;"",商品库存!B593=客户对账单!$B$4),COUNTIF(商品库存!$B$4:B593,客户对账单!$B$4),"")</f>
      </c>
      <c r="F593">
        <f>IF(AND(出库明细!C593&lt;&gt;"",出库明细!C593=客户对账单!$B$4,ISNUMBER(出库明细!B593),出库明细!B593&gt;=客户对账单!$G$4,出库明细!B593&lt;=客户对账单!$I$4),出库明细!B593+ROW()/100000,"")</f>
      </c>
      <c r="H593">
        <f>IF(AND(采购进货!C593&lt;&gt;"",采购进货!C593=供应商对账单!$B$4,ISNUMBER(采购进货!B593),采购进货!B593&gt;=供应商对账单!$G$4,采购进货!B593&lt;=供应商对账单!$I$4),采购进货!B593+ROW()/100000,"")</f>
      </c>
      <c r="N593">
        <f>IF(AND(ISNUMBER(出库明细!G593),ISNUMBER(出库明细!E593),ISNUMBER(出库明细!F593)),IF(ABS(出库明细!G593-出库明细!E593*出库明细!F593)&gt;0.005,1,0),0)</f>
        <v>0</v>
      </c>
      <c r="O593">
        <f>IF(AND(ISNUMBER(存条明细!G593),ISNUMBER(存条明细!E593),ISNUMBER(存条明细!F593)),IF(ABS(存条明细!G593-存条明细!E593*存条明细!F593)&gt;0.005,1,0),0)</f>
        <v>0</v>
      </c>
    </row>
    <row r="594">
      <c r="A594">
        <f>IF(OR(存条明细!C594="",存条明细!D594=""),"",IF(COUNTIFS(存条明细!$C$4:C594,存条明细!C594,存条明细!$D$4:D594,存条明细!D594)&gt;1,"",IFERROR(MATCH(存条明细!C594,总览汇总!$B$5:$B$304,0),900)*10000000+IFERROR(MATCH(存条明细!D594,基础资料!$E$5:$E$104,0),900)*10000+ROW()))</f>
      </c>
      <c r="B594">
        <f>IFERROR(MATCH(SMALL($A$4:$A$4003,591),$A$4:$A$4003,0),"")</f>
      </c>
      <c r="D594">
        <f>IF(AND(商品库存!B594&lt;&gt;"",商品库存!B594=客户查询!$B$4),COUNTIF(商品库存!$B$4:B594,客户查询!$B$4),"")</f>
      </c>
      <c r="E594">
        <f>IF(AND(商品库存!B594&lt;&gt;"",商品库存!B594=客户对账单!$B$4),COUNTIF(商品库存!$B$4:B594,客户对账单!$B$4),"")</f>
      </c>
      <c r="F594">
        <f>IF(AND(出库明细!C594&lt;&gt;"",出库明细!C594=客户对账单!$B$4,ISNUMBER(出库明细!B594),出库明细!B594&gt;=客户对账单!$G$4,出库明细!B594&lt;=客户对账单!$I$4),出库明细!B594+ROW()/100000,"")</f>
      </c>
      <c r="H594">
        <f>IF(AND(采购进货!C594&lt;&gt;"",采购进货!C594=供应商对账单!$B$4,ISNUMBER(采购进货!B594),采购进货!B594&gt;=供应商对账单!$G$4,采购进货!B594&lt;=供应商对账单!$I$4),采购进货!B594+ROW()/100000,"")</f>
      </c>
      <c r="N594">
        <f>IF(AND(ISNUMBER(出库明细!G594),ISNUMBER(出库明细!E594),ISNUMBER(出库明细!F594)),IF(ABS(出库明细!G594-出库明细!E594*出库明细!F594)&gt;0.005,1,0),0)</f>
        <v>0</v>
      </c>
      <c r="O594">
        <f>IF(AND(ISNUMBER(存条明细!G594),ISNUMBER(存条明细!E594),ISNUMBER(存条明细!F594)),IF(ABS(存条明细!G594-存条明细!E594*存条明细!F594)&gt;0.005,1,0),0)</f>
        <v>0</v>
      </c>
    </row>
    <row r="595">
      <c r="A595">
        <f>IF(OR(存条明细!C595="",存条明细!D595=""),"",IF(COUNTIFS(存条明细!$C$4:C595,存条明细!C595,存条明细!$D$4:D595,存条明细!D595)&gt;1,"",IFERROR(MATCH(存条明细!C595,总览汇总!$B$5:$B$304,0),900)*10000000+IFERROR(MATCH(存条明细!D595,基础资料!$E$5:$E$104,0),900)*10000+ROW()))</f>
      </c>
      <c r="B595">
        <f>IFERROR(MATCH(SMALL($A$4:$A$4003,592),$A$4:$A$4003,0),"")</f>
      </c>
      <c r="D595">
        <f>IF(AND(商品库存!B595&lt;&gt;"",商品库存!B595=客户查询!$B$4),COUNTIF(商品库存!$B$4:B595,客户查询!$B$4),"")</f>
      </c>
      <c r="E595">
        <f>IF(AND(商品库存!B595&lt;&gt;"",商品库存!B595=客户对账单!$B$4),COUNTIF(商品库存!$B$4:B595,客户对账单!$B$4),"")</f>
      </c>
      <c r="F595">
        <f>IF(AND(出库明细!C595&lt;&gt;"",出库明细!C595=客户对账单!$B$4,ISNUMBER(出库明细!B595),出库明细!B595&gt;=客户对账单!$G$4,出库明细!B595&lt;=客户对账单!$I$4),出库明细!B595+ROW()/100000,"")</f>
      </c>
      <c r="H595">
        <f>IF(AND(采购进货!C595&lt;&gt;"",采购进货!C595=供应商对账单!$B$4,ISNUMBER(采购进货!B595),采购进货!B595&gt;=供应商对账单!$G$4,采购进货!B595&lt;=供应商对账单!$I$4),采购进货!B595+ROW()/100000,"")</f>
      </c>
      <c r="N595">
        <f>IF(AND(ISNUMBER(出库明细!G595),ISNUMBER(出库明细!E595),ISNUMBER(出库明细!F595)),IF(ABS(出库明细!G595-出库明细!E595*出库明细!F595)&gt;0.005,1,0),0)</f>
        <v>0</v>
      </c>
      <c r="O595">
        <f>IF(AND(ISNUMBER(存条明细!G595),ISNUMBER(存条明细!E595),ISNUMBER(存条明细!F595)),IF(ABS(存条明细!G595-存条明细!E595*存条明细!F595)&gt;0.005,1,0),0)</f>
        <v>0</v>
      </c>
    </row>
    <row r="596">
      <c r="A596">
        <f>IF(OR(存条明细!C596="",存条明细!D596=""),"",IF(COUNTIFS(存条明细!$C$4:C596,存条明细!C596,存条明细!$D$4:D596,存条明细!D596)&gt;1,"",IFERROR(MATCH(存条明细!C596,总览汇总!$B$5:$B$304,0),900)*10000000+IFERROR(MATCH(存条明细!D596,基础资料!$E$5:$E$104,0),900)*10000+ROW()))</f>
      </c>
      <c r="B596">
        <f>IFERROR(MATCH(SMALL($A$4:$A$4003,593),$A$4:$A$4003,0),"")</f>
      </c>
      <c r="D596">
        <f>IF(AND(商品库存!B596&lt;&gt;"",商品库存!B596=客户查询!$B$4),COUNTIF(商品库存!$B$4:B596,客户查询!$B$4),"")</f>
      </c>
      <c r="E596">
        <f>IF(AND(商品库存!B596&lt;&gt;"",商品库存!B596=客户对账单!$B$4),COUNTIF(商品库存!$B$4:B596,客户对账单!$B$4),"")</f>
      </c>
      <c r="F596">
        <f>IF(AND(出库明细!C596&lt;&gt;"",出库明细!C596=客户对账单!$B$4,ISNUMBER(出库明细!B596),出库明细!B596&gt;=客户对账单!$G$4,出库明细!B596&lt;=客户对账单!$I$4),出库明细!B596+ROW()/100000,"")</f>
      </c>
      <c r="H596">
        <f>IF(AND(采购进货!C596&lt;&gt;"",采购进货!C596=供应商对账单!$B$4,ISNUMBER(采购进货!B596),采购进货!B596&gt;=供应商对账单!$G$4,采购进货!B596&lt;=供应商对账单!$I$4),采购进货!B596+ROW()/100000,"")</f>
      </c>
      <c r="N596">
        <f>IF(AND(ISNUMBER(出库明细!G596),ISNUMBER(出库明细!E596),ISNUMBER(出库明细!F596)),IF(ABS(出库明细!G596-出库明细!E596*出库明细!F596)&gt;0.005,1,0),0)</f>
        <v>0</v>
      </c>
      <c r="O596">
        <f>IF(AND(ISNUMBER(存条明细!G596),ISNUMBER(存条明细!E596),ISNUMBER(存条明细!F596)),IF(ABS(存条明细!G596-存条明细!E596*存条明细!F596)&gt;0.005,1,0),0)</f>
        <v>0</v>
      </c>
    </row>
    <row r="597">
      <c r="A597">
        <f>IF(OR(存条明细!C597="",存条明细!D597=""),"",IF(COUNTIFS(存条明细!$C$4:C597,存条明细!C597,存条明细!$D$4:D597,存条明细!D597)&gt;1,"",IFERROR(MATCH(存条明细!C597,总览汇总!$B$5:$B$304,0),900)*10000000+IFERROR(MATCH(存条明细!D597,基础资料!$E$5:$E$104,0),900)*10000+ROW()))</f>
      </c>
      <c r="B597">
        <f>IFERROR(MATCH(SMALL($A$4:$A$4003,594),$A$4:$A$4003,0),"")</f>
      </c>
      <c r="D597">
        <f>IF(AND(商品库存!B597&lt;&gt;"",商品库存!B597=客户查询!$B$4),COUNTIF(商品库存!$B$4:B597,客户查询!$B$4),"")</f>
      </c>
      <c r="E597">
        <f>IF(AND(商品库存!B597&lt;&gt;"",商品库存!B597=客户对账单!$B$4),COUNTIF(商品库存!$B$4:B597,客户对账单!$B$4),"")</f>
      </c>
      <c r="F597">
        <f>IF(AND(出库明细!C597&lt;&gt;"",出库明细!C597=客户对账单!$B$4,ISNUMBER(出库明细!B597),出库明细!B597&gt;=客户对账单!$G$4,出库明细!B597&lt;=客户对账单!$I$4),出库明细!B597+ROW()/100000,"")</f>
      </c>
      <c r="H597">
        <f>IF(AND(采购进货!C597&lt;&gt;"",采购进货!C597=供应商对账单!$B$4,ISNUMBER(采购进货!B597),采购进货!B597&gt;=供应商对账单!$G$4,采购进货!B597&lt;=供应商对账单!$I$4),采购进货!B597+ROW()/100000,"")</f>
      </c>
      <c r="N597">
        <f>IF(AND(ISNUMBER(出库明细!G597),ISNUMBER(出库明细!E597),ISNUMBER(出库明细!F597)),IF(ABS(出库明细!G597-出库明细!E597*出库明细!F597)&gt;0.005,1,0),0)</f>
        <v>0</v>
      </c>
      <c r="O597">
        <f>IF(AND(ISNUMBER(存条明细!G597),ISNUMBER(存条明细!E597),ISNUMBER(存条明细!F597)),IF(ABS(存条明细!G597-存条明细!E597*存条明细!F597)&gt;0.005,1,0),0)</f>
        <v>0</v>
      </c>
    </row>
    <row r="598">
      <c r="A598">
        <f>IF(OR(存条明细!C598="",存条明细!D598=""),"",IF(COUNTIFS(存条明细!$C$4:C598,存条明细!C598,存条明细!$D$4:D598,存条明细!D598)&gt;1,"",IFERROR(MATCH(存条明细!C598,总览汇总!$B$5:$B$304,0),900)*10000000+IFERROR(MATCH(存条明细!D598,基础资料!$E$5:$E$104,0),900)*10000+ROW()))</f>
      </c>
      <c r="B598">
        <f>IFERROR(MATCH(SMALL($A$4:$A$4003,595),$A$4:$A$4003,0),"")</f>
      </c>
      <c r="D598">
        <f>IF(AND(商品库存!B598&lt;&gt;"",商品库存!B598=客户查询!$B$4),COUNTIF(商品库存!$B$4:B598,客户查询!$B$4),"")</f>
      </c>
      <c r="E598">
        <f>IF(AND(商品库存!B598&lt;&gt;"",商品库存!B598=客户对账单!$B$4),COUNTIF(商品库存!$B$4:B598,客户对账单!$B$4),"")</f>
      </c>
      <c r="F598">
        <f>IF(AND(出库明细!C598&lt;&gt;"",出库明细!C598=客户对账单!$B$4,ISNUMBER(出库明细!B598),出库明细!B598&gt;=客户对账单!$G$4,出库明细!B598&lt;=客户对账单!$I$4),出库明细!B598+ROW()/100000,"")</f>
      </c>
      <c r="H598">
        <f>IF(AND(采购进货!C598&lt;&gt;"",采购进货!C598=供应商对账单!$B$4,ISNUMBER(采购进货!B598),采购进货!B598&gt;=供应商对账单!$G$4,采购进货!B598&lt;=供应商对账单!$I$4),采购进货!B598+ROW()/100000,"")</f>
      </c>
      <c r="N598">
        <f>IF(AND(ISNUMBER(出库明细!G598),ISNUMBER(出库明细!E598),ISNUMBER(出库明细!F598)),IF(ABS(出库明细!G598-出库明细!E598*出库明细!F598)&gt;0.005,1,0),0)</f>
        <v>0</v>
      </c>
      <c r="O598">
        <f>IF(AND(ISNUMBER(存条明细!G598),ISNUMBER(存条明细!E598),ISNUMBER(存条明细!F598)),IF(ABS(存条明细!G598-存条明细!E598*存条明细!F598)&gt;0.005,1,0),0)</f>
        <v>0</v>
      </c>
    </row>
    <row r="599">
      <c r="A599">
        <f>IF(OR(存条明细!C599="",存条明细!D599=""),"",IF(COUNTIFS(存条明细!$C$4:C599,存条明细!C599,存条明细!$D$4:D599,存条明细!D599)&gt;1,"",IFERROR(MATCH(存条明细!C599,总览汇总!$B$5:$B$304,0),900)*10000000+IFERROR(MATCH(存条明细!D599,基础资料!$E$5:$E$104,0),900)*10000+ROW()))</f>
      </c>
      <c r="B599">
        <f>IFERROR(MATCH(SMALL($A$4:$A$4003,596),$A$4:$A$4003,0),"")</f>
      </c>
      <c r="D599">
        <f>IF(AND(商品库存!B599&lt;&gt;"",商品库存!B599=客户查询!$B$4),COUNTIF(商品库存!$B$4:B599,客户查询!$B$4),"")</f>
      </c>
      <c r="E599">
        <f>IF(AND(商品库存!B599&lt;&gt;"",商品库存!B599=客户对账单!$B$4),COUNTIF(商品库存!$B$4:B599,客户对账单!$B$4),"")</f>
      </c>
      <c r="F599">
        <f>IF(AND(出库明细!C599&lt;&gt;"",出库明细!C599=客户对账单!$B$4,ISNUMBER(出库明细!B599),出库明细!B599&gt;=客户对账单!$G$4,出库明细!B599&lt;=客户对账单!$I$4),出库明细!B599+ROW()/100000,"")</f>
      </c>
      <c r="H599">
        <f>IF(AND(采购进货!C599&lt;&gt;"",采购进货!C599=供应商对账单!$B$4,ISNUMBER(采购进货!B599),采购进货!B599&gt;=供应商对账单!$G$4,采购进货!B599&lt;=供应商对账单!$I$4),采购进货!B599+ROW()/100000,"")</f>
      </c>
      <c r="N599">
        <f>IF(AND(ISNUMBER(出库明细!G599),ISNUMBER(出库明细!E599),ISNUMBER(出库明细!F599)),IF(ABS(出库明细!G599-出库明细!E599*出库明细!F599)&gt;0.005,1,0),0)</f>
        <v>0</v>
      </c>
      <c r="O599">
        <f>IF(AND(ISNUMBER(存条明细!G599),ISNUMBER(存条明细!E599),ISNUMBER(存条明细!F599)),IF(ABS(存条明细!G599-存条明细!E599*存条明细!F599)&gt;0.005,1,0),0)</f>
        <v>0</v>
      </c>
    </row>
    <row r="600">
      <c r="A600">
        <f>IF(OR(存条明细!C600="",存条明细!D600=""),"",IF(COUNTIFS(存条明细!$C$4:C600,存条明细!C600,存条明细!$D$4:D600,存条明细!D600)&gt;1,"",IFERROR(MATCH(存条明细!C600,总览汇总!$B$5:$B$304,0),900)*10000000+IFERROR(MATCH(存条明细!D600,基础资料!$E$5:$E$104,0),900)*10000+ROW()))</f>
      </c>
      <c r="B600">
        <f>IFERROR(MATCH(SMALL($A$4:$A$4003,597),$A$4:$A$4003,0),"")</f>
      </c>
      <c r="D600">
        <f>IF(AND(商品库存!B600&lt;&gt;"",商品库存!B600=客户查询!$B$4),COUNTIF(商品库存!$B$4:B600,客户查询!$B$4),"")</f>
      </c>
      <c r="E600">
        <f>IF(AND(商品库存!B600&lt;&gt;"",商品库存!B600=客户对账单!$B$4),COUNTIF(商品库存!$B$4:B600,客户对账单!$B$4),"")</f>
      </c>
      <c r="F600">
        <f>IF(AND(出库明细!C600&lt;&gt;"",出库明细!C600=客户对账单!$B$4,ISNUMBER(出库明细!B600),出库明细!B600&gt;=客户对账单!$G$4,出库明细!B600&lt;=客户对账单!$I$4),出库明细!B600+ROW()/100000,"")</f>
      </c>
      <c r="H600">
        <f>IF(AND(采购进货!C600&lt;&gt;"",采购进货!C600=供应商对账单!$B$4,ISNUMBER(采购进货!B600),采购进货!B600&gt;=供应商对账单!$G$4,采购进货!B600&lt;=供应商对账单!$I$4),采购进货!B600+ROW()/100000,"")</f>
      </c>
      <c r="N600">
        <f>IF(AND(ISNUMBER(出库明细!G600),ISNUMBER(出库明细!E600),ISNUMBER(出库明细!F600)),IF(ABS(出库明细!G600-出库明细!E600*出库明细!F600)&gt;0.005,1,0),0)</f>
        <v>0</v>
      </c>
      <c r="O600">
        <f>IF(AND(ISNUMBER(存条明细!G600),ISNUMBER(存条明细!E600),ISNUMBER(存条明细!F600)),IF(ABS(存条明细!G600-存条明细!E600*存条明细!F600)&gt;0.005,1,0),0)</f>
        <v>0</v>
      </c>
    </row>
    <row r="601">
      <c r="A601">
        <f>IF(OR(存条明细!C601="",存条明细!D601=""),"",IF(COUNTIFS(存条明细!$C$4:C601,存条明细!C601,存条明细!$D$4:D601,存条明细!D601)&gt;1,"",IFERROR(MATCH(存条明细!C601,总览汇总!$B$5:$B$304,0),900)*10000000+IFERROR(MATCH(存条明细!D601,基础资料!$E$5:$E$104,0),900)*10000+ROW()))</f>
      </c>
      <c r="B601">
        <f>IFERROR(MATCH(SMALL($A$4:$A$4003,598),$A$4:$A$4003,0),"")</f>
      </c>
      <c r="D601">
        <f>IF(AND(商品库存!B601&lt;&gt;"",商品库存!B601=客户查询!$B$4),COUNTIF(商品库存!$B$4:B601,客户查询!$B$4),"")</f>
      </c>
      <c r="E601">
        <f>IF(AND(商品库存!B601&lt;&gt;"",商品库存!B601=客户对账单!$B$4),COUNTIF(商品库存!$B$4:B601,客户对账单!$B$4),"")</f>
      </c>
      <c r="F601">
        <f>IF(AND(出库明细!C601&lt;&gt;"",出库明细!C601=客户对账单!$B$4,ISNUMBER(出库明细!B601),出库明细!B601&gt;=客户对账单!$G$4,出库明细!B601&lt;=客户对账单!$I$4),出库明细!B601+ROW()/100000,"")</f>
      </c>
      <c r="H601">
        <f>IF(AND(采购进货!C601&lt;&gt;"",采购进货!C601=供应商对账单!$B$4,ISNUMBER(采购进货!B601),采购进货!B601&gt;=供应商对账单!$G$4,采购进货!B601&lt;=供应商对账单!$I$4),采购进货!B601+ROW()/100000,"")</f>
      </c>
      <c r="N601">
        <f>IF(AND(ISNUMBER(出库明细!G601),ISNUMBER(出库明细!E601),ISNUMBER(出库明细!F601)),IF(ABS(出库明细!G601-出库明细!E601*出库明细!F601)&gt;0.005,1,0),0)</f>
        <v>0</v>
      </c>
      <c r="O601">
        <f>IF(AND(ISNUMBER(存条明细!G601),ISNUMBER(存条明细!E601),ISNUMBER(存条明细!F601)),IF(ABS(存条明细!G601-存条明细!E601*存条明细!F601)&gt;0.005,1,0),0)</f>
        <v>0</v>
      </c>
    </row>
    <row r="602">
      <c r="A602">
        <f>IF(OR(存条明细!C602="",存条明细!D602=""),"",IF(COUNTIFS(存条明细!$C$4:C602,存条明细!C602,存条明细!$D$4:D602,存条明细!D602)&gt;1,"",IFERROR(MATCH(存条明细!C602,总览汇总!$B$5:$B$304,0),900)*10000000+IFERROR(MATCH(存条明细!D602,基础资料!$E$5:$E$104,0),900)*10000+ROW()))</f>
      </c>
      <c r="B602">
        <f>IFERROR(MATCH(SMALL($A$4:$A$4003,599),$A$4:$A$4003,0),"")</f>
      </c>
      <c r="D602">
        <f>IF(AND(商品库存!B602&lt;&gt;"",商品库存!B602=客户查询!$B$4),COUNTIF(商品库存!$B$4:B602,客户查询!$B$4),"")</f>
      </c>
      <c r="E602">
        <f>IF(AND(商品库存!B602&lt;&gt;"",商品库存!B602=客户对账单!$B$4),COUNTIF(商品库存!$B$4:B602,客户对账单!$B$4),"")</f>
      </c>
      <c r="F602">
        <f>IF(AND(出库明细!C602&lt;&gt;"",出库明细!C602=客户对账单!$B$4,ISNUMBER(出库明细!B602),出库明细!B602&gt;=客户对账单!$G$4,出库明细!B602&lt;=客户对账单!$I$4),出库明细!B602+ROW()/100000,"")</f>
      </c>
      <c r="H602">
        <f>IF(AND(采购进货!C602&lt;&gt;"",采购进货!C602=供应商对账单!$B$4,ISNUMBER(采购进货!B602),采购进货!B602&gt;=供应商对账单!$G$4,采购进货!B602&lt;=供应商对账单!$I$4),采购进货!B602+ROW()/100000,"")</f>
      </c>
      <c r="N602">
        <f>IF(AND(ISNUMBER(出库明细!G602),ISNUMBER(出库明细!E602),ISNUMBER(出库明细!F602)),IF(ABS(出库明细!G602-出库明细!E602*出库明细!F602)&gt;0.005,1,0),0)</f>
        <v>0</v>
      </c>
      <c r="O602">
        <f>IF(AND(ISNUMBER(存条明细!G602),ISNUMBER(存条明细!E602),ISNUMBER(存条明细!F602)),IF(ABS(存条明细!G602-存条明细!E602*存条明细!F602)&gt;0.005,1,0),0)</f>
        <v>0</v>
      </c>
    </row>
    <row r="603">
      <c r="A603">
        <f>IF(OR(存条明细!C603="",存条明细!D603=""),"",IF(COUNTIFS(存条明细!$C$4:C603,存条明细!C603,存条明细!$D$4:D603,存条明细!D603)&gt;1,"",IFERROR(MATCH(存条明细!C603,总览汇总!$B$5:$B$304,0),900)*10000000+IFERROR(MATCH(存条明细!D603,基础资料!$E$5:$E$104,0),900)*10000+ROW()))</f>
      </c>
      <c r="B603">
        <f>IFERROR(MATCH(SMALL($A$4:$A$4003,600),$A$4:$A$4003,0),"")</f>
      </c>
      <c r="D603">
        <f>IF(AND(商品库存!B603&lt;&gt;"",商品库存!B603=客户查询!$B$4),COUNTIF(商品库存!$B$4:B603,客户查询!$B$4),"")</f>
      </c>
      <c r="E603">
        <f>IF(AND(商品库存!B603&lt;&gt;"",商品库存!B603=客户对账单!$B$4),COUNTIF(商品库存!$B$4:B603,客户对账单!$B$4),"")</f>
      </c>
      <c r="F603">
        <f>IF(AND(出库明细!C603&lt;&gt;"",出库明细!C603=客户对账单!$B$4,ISNUMBER(出库明细!B603),出库明细!B603&gt;=客户对账单!$G$4,出库明细!B603&lt;=客户对账单!$I$4),出库明细!B603+ROW()/100000,"")</f>
      </c>
      <c r="H603">
        <f>IF(AND(采购进货!C603&lt;&gt;"",采购进货!C603=供应商对账单!$B$4,ISNUMBER(采购进货!B603),采购进货!B603&gt;=供应商对账单!$G$4,采购进货!B603&lt;=供应商对账单!$I$4),采购进货!B603+ROW()/100000,"")</f>
      </c>
      <c r="N603">
        <f>IF(AND(ISNUMBER(出库明细!G603),ISNUMBER(出库明细!E603),ISNUMBER(出库明细!F603)),IF(ABS(出库明细!G603-出库明细!E603*出库明细!F603)&gt;0.005,1,0),0)</f>
        <v>0</v>
      </c>
      <c r="O603">
        <f>IF(AND(ISNUMBER(存条明细!G603),ISNUMBER(存条明细!E603),ISNUMBER(存条明细!F603)),IF(ABS(存条明细!G603-存条明细!E603*存条明细!F603)&gt;0.005,1,0),0)</f>
        <v>0</v>
      </c>
    </row>
    <row r="604">
      <c r="A604">
        <f>IF(OR(存条明细!C604="",存条明细!D604=""),"",IF(COUNTIFS(存条明细!$C$4:C604,存条明细!C604,存条明细!$D$4:D604,存条明细!D604)&gt;1,"",IFERROR(MATCH(存条明细!C604,总览汇总!$B$5:$B$304,0),900)*10000000+IFERROR(MATCH(存条明细!D604,基础资料!$E$5:$E$104,0),900)*10000+ROW()))</f>
      </c>
      <c r="F604">
        <f>IF(AND(出库明细!C604&lt;&gt;"",出库明细!C604=客户对账单!$B$4,ISNUMBER(出库明细!B604),出库明细!B604&gt;=客户对账单!$G$4,出库明细!B604&lt;=客户对账单!$I$4),出库明细!B604+ROW()/100000,"")</f>
      </c>
      <c r="H604">
        <f>IF(AND(采购进货!C604&lt;&gt;"",采购进货!C604=供应商对账单!$B$4,ISNUMBER(采购进货!B604),采购进货!B604&gt;=供应商对账单!$G$4,采购进货!B604&lt;=供应商对账单!$I$4),采购进货!B604+ROW()/100000,"")</f>
      </c>
      <c r="N604">
        <f>IF(AND(ISNUMBER(出库明细!G604),ISNUMBER(出库明细!E604),ISNUMBER(出库明细!F604)),IF(ABS(出库明细!G604-出库明细!E604*出库明细!F604)&gt;0.005,1,0),0)</f>
        <v>0</v>
      </c>
      <c r="O604">
        <f>IF(AND(ISNUMBER(存条明细!G604),ISNUMBER(存条明细!E604),ISNUMBER(存条明细!F604)),IF(ABS(存条明细!G604-存条明细!E604*存条明细!F604)&gt;0.005,1,0),0)</f>
        <v>0</v>
      </c>
    </row>
    <row r="605">
      <c r="A605">
        <f>IF(OR(存条明细!C605="",存条明细!D605=""),"",IF(COUNTIFS(存条明细!$C$4:C605,存条明细!C605,存条明细!$D$4:D605,存条明细!D605)&gt;1,"",IFERROR(MATCH(存条明细!C605,总览汇总!$B$5:$B$304,0),900)*10000000+IFERROR(MATCH(存条明细!D605,基础资料!$E$5:$E$104,0),900)*10000+ROW()))</f>
      </c>
      <c r="F605">
        <f>IF(AND(出库明细!C605&lt;&gt;"",出库明细!C605=客户对账单!$B$4,ISNUMBER(出库明细!B605),出库明细!B605&gt;=客户对账单!$G$4,出库明细!B605&lt;=客户对账单!$I$4),出库明细!B605+ROW()/100000,"")</f>
      </c>
      <c r="H605">
        <f>IF(AND(采购进货!C605&lt;&gt;"",采购进货!C605=供应商对账单!$B$4,ISNUMBER(采购进货!B605),采购进货!B605&gt;=供应商对账单!$G$4,采购进货!B605&lt;=供应商对账单!$I$4),采购进货!B605+ROW()/100000,"")</f>
      </c>
      <c r="N605">
        <f>IF(AND(ISNUMBER(出库明细!G605),ISNUMBER(出库明细!E605),ISNUMBER(出库明细!F605)),IF(ABS(出库明细!G605-出库明细!E605*出库明细!F605)&gt;0.005,1,0),0)</f>
        <v>0</v>
      </c>
      <c r="O605">
        <f>IF(AND(ISNUMBER(存条明细!G605),ISNUMBER(存条明细!E605),ISNUMBER(存条明细!F605)),IF(ABS(存条明细!G605-存条明细!E605*存条明细!F605)&gt;0.005,1,0),0)</f>
        <v>0</v>
      </c>
    </row>
    <row r="606">
      <c r="A606">
        <f>IF(OR(存条明细!C606="",存条明细!D606=""),"",IF(COUNTIFS(存条明细!$C$4:C606,存条明细!C606,存条明细!$D$4:D606,存条明细!D606)&gt;1,"",IFERROR(MATCH(存条明细!C606,总览汇总!$B$5:$B$304,0),900)*10000000+IFERROR(MATCH(存条明细!D606,基础资料!$E$5:$E$104,0),900)*10000+ROW()))</f>
      </c>
      <c r="F606">
        <f>IF(AND(出库明细!C606&lt;&gt;"",出库明细!C606=客户对账单!$B$4,ISNUMBER(出库明细!B606),出库明细!B606&gt;=客户对账单!$G$4,出库明细!B606&lt;=客户对账单!$I$4),出库明细!B606+ROW()/100000,"")</f>
      </c>
      <c r="H606">
        <f>IF(AND(采购进货!C606&lt;&gt;"",采购进货!C606=供应商对账单!$B$4,ISNUMBER(采购进货!B606),采购进货!B606&gt;=供应商对账单!$G$4,采购进货!B606&lt;=供应商对账单!$I$4),采购进货!B606+ROW()/100000,"")</f>
      </c>
      <c r="N606">
        <f>IF(AND(ISNUMBER(出库明细!G606),ISNUMBER(出库明细!E606),ISNUMBER(出库明细!F606)),IF(ABS(出库明细!G606-出库明细!E606*出库明细!F606)&gt;0.005,1,0),0)</f>
        <v>0</v>
      </c>
      <c r="O606">
        <f>IF(AND(ISNUMBER(存条明细!G606),ISNUMBER(存条明细!E606),ISNUMBER(存条明细!F606)),IF(ABS(存条明细!G606-存条明细!E606*存条明细!F606)&gt;0.005,1,0),0)</f>
        <v>0</v>
      </c>
    </row>
    <row r="607">
      <c r="A607">
        <f>IF(OR(存条明细!C607="",存条明细!D607=""),"",IF(COUNTIFS(存条明细!$C$4:C607,存条明细!C607,存条明细!$D$4:D607,存条明细!D607)&gt;1,"",IFERROR(MATCH(存条明细!C607,总览汇总!$B$5:$B$304,0),900)*10000000+IFERROR(MATCH(存条明细!D607,基础资料!$E$5:$E$104,0),900)*10000+ROW()))</f>
      </c>
      <c r="F607">
        <f>IF(AND(出库明细!C607&lt;&gt;"",出库明细!C607=客户对账单!$B$4,ISNUMBER(出库明细!B607),出库明细!B607&gt;=客户对账单!$G$4,出库明细!B607&lt;=客户对账单!$I$4),出库明细!B607+ROW()/100000,"")</f>
      </c>
      <c r="H607">
        <f>IF(AND(采购进货!C607&lt;&gt;"",采购进货!C607=供应商对账单!$B$4,ISNUMBER(采购进货!B607),采购进货!B607&gt;=供应商对账单!$G$4,采购进货!B607&lt;=供应商对账单!$I$4),采购进货!B607+ROW()/100000,"")</f>
      </c>
      <c r="N607">
        <f>IF(AND(ISNUMBER(出库明细!G607),ISNUMBER(出库明细!E607),ISNUMBER(出库明细!F607)),IF(ABS(出库明细!G607-出库明细!E607*出库明细!F607)&gt;0.005,1,0),0)</f>
        <v>0</v>
      </c>
      <c r="O607">
        <f>IF(AND(ISNUMBER(存条明细!G607),ISNUMBER(存条明细!E607),ISNUMBER(存条明细!F607)),IF(ABS(存条明细!G607-存条明细!E607*存条明细!F607)&gt;0.005,1,0),0)</f>
        <v>0</v>
      </c>
    </row>
    <row r="608">
      <c r="A608">
        <f>IF(OR(存条明细!C608="",存条明细!D608=""),"",IF(COUNTIFS(存条明细!$C$4:C608,存条明细!C608,存条明细!$D$4:D608,存条明细!D608)&gt;1,"",IFERROR(MATCH(存条明细!C608,总览汇总!$B$5:$B$304,0),900)*10000000+IFERROR(MATCH(存条明细!D608,基础资料!$E$5:$E$104,0),900)*10000+ROW()))</f>
      </c>
      <c r="F608">
        <f>IF(AND(出库明细!C608&lt;&gt;"",出库明细!C608=客户对账单!$B$4,ISNUMBER(出库明细!B608),出库明细!B608&gt;=客户对账单!$G$4,出库明细!B608&lt;=客户对账单!$I$4),出库明细!B608+ROW()/100000,"")</f>
      </c>
      <c r="H608">
        <f>IF(AND(采购进货!C608&lt;&gt;"",采购进货!C608=供应商对账单!$B$4,ISNUMBER(采购进货!B608),采购进货!B608&gt;=供应商对账单!$G$4,采购进货!B608&lt;=供应商对账单!$I$4),采购进货!B608+ROW()/100000,"")</f>
      </c>
      <c r="N608">
        <f>IF(AND(ISNUMBER(出库明细!G608),ISNUMBER(出库明细!E608),ISNUMBER(出库明细!F608)),IF(ABS(出库明细!G608-出库明细!E608*出库明细!F608)&gt;0.005,1,0),0)</f>
        <v>0</v>
      </c>
      <c r="O608">
        <f>IF(AND(ISNUMBER(存条明细!G608),ISNUMBER(存条明细!E608),ISNUMBER(存条明细!F608)),IF(ABS(存条明细!G608-存条明细!E608*存条明细!F608)&gt;0.005,1,0),0)</f>
        <v>0</v>
      </c>
    </row>
    <row r="609">
      <c r="A609">
        <f>IF(OR(存条明细!C609="",存条明细!D609=""),"",IF(COUNTIFS(存条明细!$C$4:C609,存条明细!C609,存条明细!$D$4:D609,存条明细!D609)&gt;1,"",IFERROR(MATCH(存条明细!C609,总览汇总!$B$5:$B$304,0),900)*10000000+IFERROR(MATCH(存条明细!D609,基础资料!$E$5:$E$104,0),900)*10000+ROW()))</f>
      </c>
      <c r="F609">
        <f>IF(AND(出库明细!C609&lt;&gt;"",出库明细!C609=客户对账单!$B$4,ISNUMBER(出库明细!B609),出库明细!B609&gt;=客户对账单!$G$4,出库明细!B609&lt;=客户对账单!$I$4),出库明细!B609+ROW()/100000,"")</f>
      </c>
      <c r="H609">
        <f>IF(AND(采购进货!C609&lt;&gt;"",采购进货!C609=供应商对账单!$B$4,ISNUMBER(采购进货!B609),采购进货!B609&gt;=供应商对账单!$G$4,采购进货!B609&lt;=供应商对账单!$I$4),采购进货!B609+ROW()/100000,"")</f>
      </c>
      <c r="N609">
        <f>IF(AND(ISNUMBER(出库明细!G609),ISNUMBER(出库明细!E609),ISNUMBER(出库明细!F609)),IF(ABS(出库明细!G609-出库明细!E609*出库明细!F609)&gt;0.005,1,0),0)</f>
        <v>0</v>
      </c>
      <c r="O609">
        <f>IF(AND(ISNUMBER(存条明细!G609),ISNUMBER(存条明细!E609),ISNUMBER(存条明细!F609)),IF(ABS(存条明细!G609-存条明细!E609*存条明细!F609)&gt;0.005,1,0),0)</f>
        <v>0</v>
      </c>
    </row>
    <row r="610">
      <c r="A610">
        <f>IF(OR(存条明细!C610="",存条明细!D610=""),"",IF(COUNTIFS(存条明细!$C$4:C610,存条明细!C610,存条明细!$D$4:D610,存条明细!D610)&gt;1,"",IFERROR(MATCH(存条明细!C610,总览汇总!$B$5:$B$304,0),900)*10000000+IFERROR(MATCH(存条明细!D610,基础资料!$E$5:$E$104,0),900)*10000+ROW()))</f>
      </c>
      <c r="F610">
        <f>IF(AND(出库明细!C610&lt;&gt;"",出库明细!C610=客户对账单!$B$4,ISNUMBER(出库明细!B610),出库明细!B610&gt;=客户对账单!$G$4,出库明细!B610&lt;=客户对账单!$I$4),出库明细!B610+ROW()/100000,"")</f>
      </c>
      <c r="H610">
        <f>IF(AND(采购进货!C610&lt;&gt;"",采购进货!C610=供应商对账单!$B$4,ISNUMBER(采购进货!B610),采购进货!B610&gt;=供应商对账单!$G$4,采购进货!B610&lt;=供应商对账单!$I$4),采购进货!B610+ROW()/100000,"")</f>
      </c>
      <c r="N610">
        <f>IF(AND(ISNUMBER(出库明细!G610),ISNUMBER(出库明细!E610),ISNUMBER(出库明细!F610)),IF(ABS(出库明细!G610-出库明细!E610*出库明细!F610)&gt;0.005,1,0),0)</f>
        <v>0</v>
      </c>
      <c r="O610">
        <f>IF(AND(ISNUMBER(存条明细!G610),ISNUMBER(存条明细!E610),ISNUMBER(存条明细!F610)),IF(ABS(存条明细!G610-存条明细!E610*存条明细!F610)&gt;0.005,1,0),0)</f>
        <v>0</v>
      </c>
    </row>
    <row r="611">
      <c r="A611">
        <f>IF(OR(存条明细!C611="",存条明细!D611=""),"",IF(COUNTIFS(存条明细!$C$4:C611,存条明细!C611,存条明细!$D$4:D611,存条明细!D611)&gt;1,"",IFERROR(MATCH(存条明细!C611,总览汇总!$B$5:$B$304,0),900)*10000000+IFERROR(MATCH(存条明细!D611,基础资料!$E$5:$E$104,0),900)*10000+ROW()))</f>
      </c>
      <c r="F611">
        <f>IF(AND(出库明细!C611&lt;&gt;"",出库明细!C611=客户对账单!$B$4,ISNUMBER(出库明细!B611),出库明细!B611&gt;=客户对账单!$G$4,出库明细!B611&lt;=客户对账单!$I$4),出库明细!B611+ROW()/100000,"")</f>
      </c>
      <c r="H611">
        <f>IF(AND(采购进货!C611&lt;&gt;"",采购进货!C611=供应商对账单!$B$4,ISNUMBER(采购进货!B611),采购进货!B611&gt;=供应商对账单!$G$4,采购进货!B611&lt;=供应商对账单!$I$4),采购进货!B611+ROW()/100000,"")</f>
      </c>
      <c r="N611">
        <f>IF(AND(ISNUMBER(出库明细!G611),ISNUMBER(出库明细!E611),ISNUMBER(出库明细!F611)),IF(ABS(出库明细!G611-出库明细!E611*出库明细!F611)&gt;0.005,1,0),0)</f>
        <v>0</v>
      </c>
      <c r="O611">
        <f>IF(AND(ISNUMBER(存条明细!G611),ISNUMBER(存条明细!E611),ISNUMBER(存条明细!F611)),IF(ABS(存条明细!G611-存条明细!E611*存条明细!F611)&gt;0.005,1,0),0)</f>
        <v>0</v>
      </c>
    </row>
    <row r="612">
      <c r="A612">
        <f>IF(OR(存条明细!C612="",存条明细!D612=""),"",IF(COUNTIFS(存条明细!$C$4:C612,存条明细!C612,存条明细!$D$4:D612,存条明细!D612)&gt;1,"",IFERROR(MATCH(存条明细!C612,总览汇总!$B$5:$B$304,0),900)*10000000+IFERROR(MATCH(存条明细!D612,基础资料!$E$5:$E$104,0),900)*10000+ROW()))</f>
      </c>
      <c r="F612">
        <f>IF(AND(出库明细!C612&lt;&gt;"",出库明细!C612=客户对账单!$B$4,ISNUMBER(出库明细!B612),出库明细!B612&gt;=客户对账单!$G$4,出库明细!B612&lt;=客户对账单!$I$4),出库明细!B612+ROW()/100000,"")</f>
      </c>
      <c r="H612">
        <f>IF(AND(采购进货!C612&lt;&gt;"",采购进货!C612=供应商对账单!$B$4,ISNUMBER(采购进货!B612),采购进货!B612&gt;=供应商对账单!$G$4,采购进货!B612&lt;=供应商对账单!$I$4),采购进货!B612+ROW()/100000,"")</f>
      </c>
      <c r="N612">
        <f>IF(AND(ISNUMBER(出库明细!G612),ISNUMBER(出库明细!E612),ISNUMBER(出库明细!F612)),IF(ABS(出库明细!G612-出库明细!E612*出库明细!F612)&gt;0.005,1,0),0)</f>
        <v>0</v>
      </c>
      <c r="O612">
        <f>IF(AND(ISNUMBER(存条明细!G612),ISNUMBER(存条明细!E612),ISNUMBER(存条明细!F612)),IF(ABS(存条明细!G612-存条明细!E612*存条明细!F612)&gt;0.005,1,0),0)</f>
        <v>0</v>
      </c>
    </row>
    <row r="613">
      <c r="A613">
        <f>IF(OR(存条明细!C613="",存条明细!D613=""),"",IF(COUNTIFS(存条明细!$C$4:C613,存条明细!C613,存条明细!$D$4:D613,存条明细!D613)&gt;1,"",IFERROR(MATCH(存条明细!C613,总览汇总!$B$5:$B$304,0),900)*10000000+IFERROR(MATCH(存条明细!D613,基础资料!$E$5:$E$104,0),900)*10000+ROW()))</f>
      </c>
      <c r="F613">
        <f>IF(AND(出库明细!C613&lt;&gt;"",出库明细!C613=客户对账单!$B$4,ISNUMBER(出库明细!B613),出库明细!B613&gt;=客户对账单!$G$4,出库明细!B613&lt;=客户对账单!$I$4),出库明细!B613+ROW()/100000,"")</f>
      </c>
      <c r="H613">
        <f>IF(AND(采购进货!C613&lt;&gt;"",采购进货!C613=供应商对账单!$B$4,ISNUMBER(采购进货!B613),采购进货!B613&gt;=供应商对账单!$G$4,采购进货!B613&lt;=供应商对账单!$I$4),采购进货!B613+ROW()/100000,"")</f>
      </c>
      <c r="N613">
        <f>IF(AND(ISNUMBER(出库明细!G613),ISNUMBER(出库明细!E613),ISNUMBER(出库明细!F613)),IF(ABS(出库明细!G613-出库明细!E613*出库明细!F613)&gt;0.005,1,0),0)</f>
        <v>0</v>
      </c>
      <c r="O613">
        <f>IF(AND(ISNUMBER(存条明细!G613),ISNUMBER(存条明细!E613),ISNUMBER(存条明细!F613)),IF(ABS(存条明细!G613-存条明细!E613*存条明细!F613)&gt;0.005,1,0),0)</f>
        <v>0</v>
      </c>
    </row>
    <row r="614">
      <c r="A614">
        <f>IF(OR(存条明细!C614="",存条明细!D614=""),"",IF(COUNTIFS(存条明细!$C$4:C614,存条明细!C614,存条明细!$D$4:D614,存条明细!D614)&gt;1,"",IFERROR(MATCH(存条明细!C614,总览汇总!$B$5:$B$304,0),900)*10000000+IFERROR(MATCH(存条明细!D614,基础资料!$E$5:$E$104,0),900)*10000+ROW()))</f>
      </c>
      <c r="F614">
        <f>IF(AND(出库明细!C614&lt;&gt;"",出库明细!C614=客户对账单!$B$4,ISNUMBER(出库明细!B614),出库明细!B614&gt;=客户对账单!$G$4,出库明细!B614&lt;=客户对账单!$I$4),出库明细!B614+ROW()/100000,"")</f>
      </c>
      <c r="H614">
        <f>IF(AND(采购进货!C614&lt;&gt;"",采购进货!C614=供应商对账单!$B$4,ISNUMBER(采购进货!B614),采购进货!B614&gt;=供应商对账单!$G$4,采购进货!B614&lt;=供应商对账单!$I$4),采购进货!B614+ROW()/100000,"")</f>
      </c>
      <c r="N614">
        <f>IF(AND(ISNUMBER(出库明细!G614),ISNUMBER(出库明细!E614),ISNUMBER(出库明细!F614)),IF(ABS(出库明细!G614-出库明细!E614*出库明细!F614)&gt;0.005,1,0),0)</f>
        <v>0</v>
      </c>
      <c r="O614">
        <f>IF(AND(ISNUMBER(存条明细!G614),ISNUMBER(存条明细!E614),ISNUMBER(存条明细!F614)),IF(ABS(存条明细!G614-存条明细!E614*存条明细!F614)&gt;0.005,1,0),0)</f>
        <v>0</v>
      </c>
    </row>
    <row r="615">
      <c r="A615">
        <f>IF(OR(存条明细!C615="",存条明细!D615=""),"",IF(COUNTIFS(存条明细!$C$4:C615,存条明细!C615,存条明细!$D$4:D615,存条明细!D615)&gt;1,"",IFERROR(MATCH(存条明细!C615,总览汇总!$B$5:$B$304,0),900)*10000000+IFERROR(MATCH(存条明细!D615,基础资料!$E$5:$E$104,0),900)*10000+ROW()))</f>
      </c>
      <c r="F615">
        <f>IF(AND(出库明细!C615&lt;&gt;"",出库明细!C615=客户对账单!$B$4,ISNUMBER(出库明细!B615),出库明细!B615&gt;=客户对账单!$G$4,出库明细!B615&lt;=客户对账单!$I$4),出库明细!B615+ROW()/100000,"")</f>
      </c>
      <c r="H615">
        <f>IF(AND(采购进货!C615&lt;&gt;"",采购进货!C615=供应商对账单!$B$4,ISNUMBER(采购进货!B615),采购进货!B615&gt;=供应商对账单!$G$4,采购进货!B615&lt;=供应商对账单!$I$4),采购进货!B615+ROW()/100000,"")</f>
      </c>
      <c r="N615">
        <f>IF(AND(ISNUMBER(出库明细!G615),ISNUMBER(出库明细!E615),ISNUMBER(出库明细!F615)),IF(ABS(出库明细!G615-出库明细!E615*出库明细!F615)&gt;0.005,1,0),0)</f>
        <v>0</v>
      </c>
      <c r="O615">
        <f>IF(AND(ISNUMBER(存条明细!G615),ISNUMBER(存条明细!E615),ISNUMBER(存条明细!F615)),IF(ABS(存条明细!G615-存条明细!E615*存条明细!F615)&gt;0.005,1,0),0)</f>
        <v>0</v>
      </c>
    </row>
    <row r="616">
      <c r="A616">
        <f>IF(OR(存条明细!C616="",存条明细!D616=""),"",IF(COUNTIFS(存条明细!$C$4:C616,存条明细!C616,存条明细!$D$4:D616,存条明细!D616)&gt;1,"",IFERROR(MATCH(存条明细!C616,总览汇总!$B$5:$B$304,0),900)*10000000+IFERROR(MATCH(存条明细!D616,基础资料!$E$5:$E$104,0),900)*10000+ROW()))</f>
      </c>
      <c r="F616">
        <f>IF(AND(出库明细!C616&lt;&gt;"",出库明细!C616=客户对账单!$B$4,ISNUMBER(出库明细!B616),出库明细!B616&gt;=客户对账单!$G$4,出库明细!B616&lt;=客户对账单!$I$4),出库明细!B616+ROW()/100000,"")</f>
      </c>
      <c r="H616">
        <f>IF(AND(采购进货!C616&lt;&gt;"",采购进货!C616=供应商对账单!$B$4,ISNUMBER(采购进货!B616),采购进货!B616&gt;=供应商对账单!$G$4,采购进货!B616&lt;=供应商对账单!$I$4),采购进货!B616+ROW()/100000,"")</f>
      </c>
      <c r="N616">
        <f>IF(AND(ISNUMBER(出库明细!G616),ISNUMBER(出库明细!E616),ISNUMBER(出库明细!F616)),IF(ABS(出库明细!G616-出库明细!E616*出库明细!F616)&gt;0.005,1,0),0)</f>
        <v>0</v>
      </c>
      <c r="O616">
        <f>IF(AND(ISNUMBER(存条明细!G616),ISNUMBER(存条明细!E616),ISNUMBER(存条明细!F616)),IF(ABS(存条明细!G616-存条明细!E616*存条明细!F616)&gt;0.005,1,0),0)</f>
        <v>0</v>
      </c>
    </row>
    <row r="617">
      <c r="A617">
        <f>IF(OR(存条明细!C617="",存条明细!D617=""),"",IF(COUNTIFS(存条明细!$C$4:C617,存条明细!C617,存条明细!$D$4:D617,存条明细!D617)&gt;1,"",IFERROR(MATCH(存条明细!C617,总览汇总!$B$5:$B$304,0),900)*10000000+IFERROR(MATCH(存条明细!D617,基础资料!$E$5:$E$104,0),900)*10000+ROW()))</f>
      </c>
      <c r="F617">
        <f>IF(AND(出库明细!C617&lt;&gt;"",出库明细!C617=客户对账单!$B$4,ISNUMBER(出库明细!B617),出库明细!B617&gt;=客户对账单!$G$4,出库明细!B617&lt;=客户对账单!$I$4),出库明细!B617+ROW()/100000,"")</f>
      </c>
      <c r="H617">
        <f>IF(AND(采购进货!C617&lt;&gt;"",采购进货!C617=供应商对账单!$B$4,ISNUMBER(采购进货!B617),采购进货!B617&gt;=供应商对账单!$G$4,采购进货!B617&lt;=供应商对账单!$I$4),采购进货!B617+ROW()/100000,"")</f>
      </c>
      <c r="N617">
        <f>IF(AND(ISNUMBER(出库明细!G617),ISNUMBER(出库明细!E617),ISNUMBER(出库明细!F617)),IF(ABS(出库明细!G617-出库明细!E617*出库明细!F617)&gt;0.005,1,0),0)</f>
        <v>0</v>
      </c>
      <c r="O617">
        <f>IF(AND(ISNUMBER(存条明细!G617),ISNUMBER(存条明细!E617),ISNUMBER(存条明细!F617)),IF(ABS(存条明细!G617-存条明细!E617*存条明细!F617)&gt;0.005,1,0),0)</f>
        <v>0</v>
      </c>
    </row>
    <row r="618">
      <c r="A618">
        <f>IF(OR(存条明细!C618="",存条明细!D618=""),"",IF(COUNTIFS(存条明细!$C$4:C618,存条明细!C618,存条明细!$D$4:D618,存条明细!D618)&gt;1,"",IFERROR(MATCH(存条明细!C618,总览汇总!$B$5:$B$304,0),900)*10000000+IFERROR(MATCH(存条明细!D618,基础资料!$E$5:$E$104,0),900)*10000+ROW()))</f>
      </c>
      <c r="F618">
        <f>IF(AND(出库明细!C618&lt;&gt;"",出库明细!C618=客户对账单!$B$4,ISNUMBER(出库明细!B618),出库明细!B618&gt;=客户对账单!$G$4,出库明细!B618&lt;=客户对账单!$I$4),出库明细!B618+ROW()/100000,"")</f>
      </c>
      <c r="H618">
        <f>IF(AND(采购进货!C618&lt;&gt;"",采购进货!C618=供应商对账单!$B$4,ISNUMBER(采购进货!B618),采购进货!B618&gt;=供应商对账单!$G$4,采购进货!B618&lt;=供应商对账单!$I$4),采购进货!B618+ROW()/100000,"")</f>
      </c>
      <c r="N618">
        <f>IF(AND(ISNUMBER(出库明细!G618),ISNUMBER(出库明细!E618),ISNUMBER(出库明细!F618)),IF(ABS(出库明细!G618-出库明细!E618*出库明细!F618)&gt;0.005,1,0),0)</f>
        <v>0</v>
      </c>
      <c r="O618">
        <f>IF(AND(ISNUMBER(存条明细!G618),ISNUMBER(存条明细!E618),ISNUMBER(存条明细!F618)),IF(ABS(存条明细!G618-存条明细!E618*存条明细!F618)&gt;0.005,1,0),0)</f>
        <v>0</v>
      </c>
    </row>
    <row r="619">
      <c r="A619">
        <f>IF(OR(存条明细!C619="",存条明细!D619=""),"",IF(COUNTIFS(存条明细!$C$4:C619,存条明细!C619,存条明细!$D$4:D619,存条明细!D619)&gt;1,"",IFERROR(MATCH(存条明细!C619,总览汇总!$B$5:$B$304,0),900)*10000000+IFERROR(MATCH(存条明细!D619,基础资料!$E$5:$E$104,0),900)*10000+ROW()))</f>
      </c>
      <c r="F619">
        <f>IF(AND(出库明细!C619&lt;&gt;"",出库明细!C619=客户对账单!$B$4,ISNUMBER(出库明细!B619),出库明细!B619&gt;=客户对账单!$G$4,出库明细!B619&lt;=客户对账单!$I$4),出库明细!B619+ROW()/100000,"")</f>
      </c>
      <c r="H619">
        <f>IF(AND(采购进货!C619&lt;&gt;"",采购进货!C619=供应商对账单!$B$4,ISNUMBER(采购进货!B619),采购进货!B619&gt;=供应商对账单!$G$4,采购进货!B619&lt;=供应商对账单!$I$4),采购进货!B619+ROW()/100000,"")</f>
      </c>
      <c r="N619">
        <f>IF(AND(ISNUMBER(出库明细!G619),ISNUMBER(出库明细!E619),ISNUMBER(出库明细!F619)),IF(ABS(出库明细!G619-出库明细!E619*出库明细!F619)&gt;0.005,1,0),0)</f>
        <v>0</v>
      </c>
      <c r="O619">
        <f>IF(AND(ISNUMBER(存条明细!G619),ISNUMBER(存条明细!E619),ISNUMBER(存条明细!F619)),IF(ABS(存条明细!G619-存条明细!E619*存条明细!F619)&gt;0.005,1,0),0)</f>
        <v>0</v>
      </c>
    </row>
    <row r="620">
      <c r="A620">
        <f>IF(OR(存条明细!C620="",存条明细!D620=""),"",IF(COUNTIFS(存条明细!$C$4:C620,存条明细!C620,存条明细!$D$4:D620,存条明细!D620)&gt;1,"",IFERROR(MATCH(存条明细!C620,总览汇总!$B$5:$B$304,0),900)*10000000+IFERROR(MATCH(存条明细!D620,基础资料!$E$5:$E$104,0),900)*10000+ROW()))</f>
      </c>
      <c r="F620">
        <f>IF(AND(出库明细!C620&lt;&gt;"",出库明细!C620=客户对账单!$B$4,ISNUMBER(出库明细!B620),出库明细!B620&gt;=客户对账单!$G$4,出库明细!B620&lt;=客户对账单!$I$4),出库明细!B620+ROW()/100000,"")</f>
      </c>
      <c r="H620">
        <f>IF(AND(采购进货!C620&lt;&gt;"",采购进货!C620=供应商对账单!$B$4,ISNUMBER(采购进货!B620),采购进货!B620&gt;=供应商对账单!$G$4,采购进货!B620&lt;=供应商对账单!$I$4),采购进货!B620+ROW()/100000,"")</f>
      </c>
      <c r="N620">
        <f>IF(AND(ISNUMBER(出库明细!G620),ISNUMBER(出库明细!E620),ISNUMBER(出库明细!F620)),IF(ABS(出库明细!G620-出库明细!E620*出库明细!F620)&gt;0.005,1,0),0)</f>
        <v>0</v>
      </c>
      <c r="O620">
        <f>IF(AND(ISNUMBER(存条明细!G620),ISNUMBER(存条明细!E620),ISNUMBER(存条明细!F620)),IF(ABS(存条明细!G620-存条明细!E620*存条明细!F620)&gt;0.005,1,0),0)</f>
        <v>0</v>
      </c>
    </row>
    <row r="621">
      <c r="A621">
        <f>IF(OR(存条明细!C621="",存条明细!D621=""),"",IF(COUNTIFS(存条明细!$C$4:C621,存条明细!C621,存条明细!$D$4:D621,存条明细!D621)&gt;1,"",IFERROR(MATCH(存条明细!C621,总览汇总!$B$5:$B$304,0),900)*10000000+IFERROR(MATCH(存条明细!D621,基础资料!$E$5:$E$104,0),900)*10000+ROW()))</f>
      </c>
      <c r="F621">
        <f>IF(AND(出库明细!C621&lt;&gt;"",出库明细!C621=客户对账单!$B$4,ISNUMBER(出库明细!B621),出库明细!B621&gt;=客户对账单!$G$4,出库明细!B621&lt;=客户对账单!$I$4),出库明细!B621+ROW()/100000,"")</f>
      </c>
      <c r="H621">
        <f>IF(AND(采购进货!C621&lt;&gt;"",采购进货!C621=供应商对账单!$B$4,ISNUMBER(采购进货!B621),采购进货!B621&gt;=供应商对账单!$G$4,采购进货!B621&lt;=供应商对账单!$I$4),采购进货!B621+ROW()/100000,"")</f>
      </c>
      <c r="N621">
        <f>IF(AND(ISNUMBER(出库明细!G621),ISNUMBER(出库明细!E621),ISNUMBER(出库明细!F621)),IF(ABS(出库明细!G621-出库明细!E621*出库明细!F621)&gt;0.005,1,0),0)</f>
        <v>0</v>
      </c>
      <c r="O621">
        <f>IF(AND(ISNUMBER(存条明细!G621),ISNUMBER(存条明细!E621),ISNUMBER(存条明细!F621)),IF(ABS(存条明细!G621-存条明细!E621*存条明细!F621)&gt;0.005,1,0),0)</f>
        <v>0</v>
      </c>
    </row>
    <row r="622">
      <c r="A622">
        <f>IF(OR(存条明细!C622="",存条明细!D622=""),"",IF(COUNTIFS(存条明细!$C$4:C622,存条明细!C622,存条明细!$D$4:D622,存条明细!D622)&gt;1,"",IFERROR(MATCH(存条明细!C622,总览汇总!$B$5:$B$304,0),900)*10000000+IFERROR(MATCH(存条明细!D622,基础资料!$E$5:$E$104,0),900)*10000+ROW()))</f>
      </c>
      <c r="F622">
        <f>IF(AND(出库明细!C622&lt;&gt;"",出库明细!C622=客户对账单!$B$4,ISNUMBER(出库明细!B622),出库明细!B622&gt;=客户对账单!$G$4,出库明细!B622&lt;=客户对账单!$I$4),出库明细!B622+ROW()/100000,"")</f>
      </c>
      <c r="H622">
        <f>IF(AND(采购进货!C622&lt;&gt;"",采购进货!C622=供应商对账单!$B$4,ISNUMBER(采购进货!B622),采购进货!B622&gt;=供应商对账单!$G$4,采购进货!B622&lt;=供应商对账单!$I$4),采购进货!B622+ROW()/100000,"")</f>
      </c>
      <c r="N622">
        <f>IF(AND(ISNUMBER(出库明细!G622),ISNUMBER(出库明细!E622),ISNUMBER(出库明细!F622)),IF(ABS(出库明细!G622-出库明细!E622*出库明细!F622)&gt;0.005,1,0),0)</f>
        <v>0</v>
      </c>
      <c r="O622">
        <f>IF(AND(ISNUMBER(存条明细!G622),ISNUMBER(存条明细!E622),ISNUMBER(存条明细!F622)),IF(ABS(存条明细!G622-存条明细!E622*存条明细!F622)&gt;0.005,1,0),0)</f>
        <v>0</v>
      </c>
    </row>
    <row r="623">
      <c r="A623">
        <f>IF(OR(存条明细!C623="",存条明细!D623=""),"",IF(COUNTIFS(存条明细!$C$4:C623,存条明细!C623,存条明细!$D$4:D623,存条明细!D623)&gt;1,"",IFERROR(MATCH(存条明细!C623,总览汇总!$B$5:$B$304,0),900)*10000000+IFERROR(MATCH(存条明细!D623,基础资料!$E$5:$E$104,0),900)*10000+ROW()))</f>
      </c>
      <c r="F623">
        <f>IF(AND(出库明细!C623&lt;&gt;"",出库明细!C623=客户对账单!$B$4,ISNUMBER(出库明细!B623),出库明细!B623&gt;=客户对账单!$G$4,出库明细!B623&lt;=客户对账单!$I$4),出库明细!B623+ROW()/100000,"")</f>
      </c>
      <c r="H623">
        <f>IF(AND(采购进货!C623&lt;&gt;"",采购进货!C623=供应商对账单!$B$4,ISNUMBER(采购进货!B623),采购进货!B623&gt;=供应商对账单!$G$4,采购进货!B623&lt;=供应商对账单!$I$4),采购进货!B623+ROW()/100000,"")</f>
      </c>
      <c r="N623">
        <f>IF(AND(ISNUMBER(出库明细!G623),ISNUMBER(出库明细!E623),ISNUMBER(出库明细!F623)),IF(ABS(出库明细!G623-出库明细!E623*出库明细!F623)&gt;0.005,1,0),0)</f>
        <v>0</v>
      </c>
      <c r="O623">
        <f>IF(AND(ISNUMBER(存条明细!G623),ISNUMBER(存条明细!E623),ISNUMBER(存条明细!F623)),IF(ABS(存条明细!G623-存条明细!E623*存条明细!F623)&gt;0.005,1,0),0)</f>
        <v>0</v>
      </c>
    </row>
    <row r="624">
      <c r="A624">
        <f>IF(OR(存条明细!C624="",存条明细!D624=""),"",IF(COUNTIFS(存条明细!$C$4:C624,存条明细!C624,存条明细!$D$4:D624,存条明细!D624)&gt;1,"",IFERROR(MATCH(存条明细!C624,总览汇总!$B$5:$B$304,0),900)*10000000+IFERROR(MATCH(存条明细!D624,基础资料!$E$5:$E$104,0),900)*10000+ROW()))</f>
      </c>
      <c r="F624">
        <f>IF(AND(出库明细!C624&lt;&gt;"",出库明细!C624=客户对账单!$B$4,ISNUMBER(出库明细!B624),出库明细!B624&gt;=客户对账单!$G$4,出库明细!B624&lt;=客户对账单!$I$4),出库明细!B624+ROW()/100000,"")</f>
      </c>
      <c r="H624">
        <f>IF(AND(采购进货!C624&lt;&gt;"",采购进货!C624=供应商对账单!$B$4,ISNUMBER(采购进货!B624),采购进货!B624&gt;=供应商对账单!$G$4,采购进货!B624&lt;=供应商对账单!$I$4),采购进货!B624+ROW()/100000,"")</f>
      </c>
      <c r="N624">
        <f>IF(AND(ISNUMBER(出库明细!G624),ISNUMBER(出库明细!E624),ISNUMBER(出库明细!F624)),IF(ABS(出库明细!G624-出库明细!E624*出库明细!F624)&gt;0.005,1,0),0)</f>
        <v>0</v>
      </c>
      <c r="O624">
        <f>IF(AND(ISNUMBER(存条明细!G624),ISNUMBER(存条明细!E624),ISNUMBER(存条明细!F624)),IF(ABS(存条明细!G624-存条明细!E624*存条明细!F624)&gt;0.005,1,0),0)</f>
        <v>0</v>
      </c>
    </row>
    <row r="625">
      <c r="A625">
        <f>IF(OR(存条明细!C625="",存条明细!D625=""),"",IF(COUNTIFS(存条明细!$C$4:C625,存条明细!C625,存条明细!$D$4:D625,存条明细!D625)&gt;1,"",IFERROR(MATCH(存条明细!C625,总览汇总!$B$5:$B$304,0),900)*10000000+IFERROR(MATCH(存条明细!D625,基础资料!$E$5:$E$104,0),900)*10000+ROW()))</f>
      </c>
      <c r="F625">
        <f>IF(AND(出库明细!C625&lt;&gt;"",出库明细!C625=客户对账单!$B$4,ISNUMBER(出库明细!B625),出库明细!B625&gt;=客户对账单!$G$4,出库明细!B625&lt;=客户对账单!$I$4),出库明细!B625+ROW()/100000,"")</f>
      </c>
      <c r="H625">
        <f>IF(AND(采购进货!C625&lt;&gt;"",采购进货!C625=供应商对账单!$B$4,ISNUMBER(采购进货!B625),采购进货!B625&gt;=供应商对账单!$G$4,采购进货!B625&lt;=供应商对账单!$I$4),采购进货!B625+ROW()/100000,"")</f>
      </c>
      <c r="N625">
        <f>IF(AND(ISNUMBER(出库明细!G625),ISNUMBER(出库明细!E625),ISNUMBER(出库明细!F625)),IF(ABS(出库明细!G625-出库明细!E625*出库明细!F625)&gt;0.005,1,0),0)</f>
        <v>0</v>
      </c>
      <c r="O625">
        <f>IF(AND(ISNUMBER(存条明细!G625),ISNUMBER(存条明细!E625),ISNUMBER(存条明细!F625)),IF(ABS(存条明细!G625-存条明细!E625*存条明细!F625)&gt;0.005,1,0),0)</f>
        <v>0</v>
      </c>
    </row>
    <row r="626">
      <c r="A626">
        <f>IF(OR(存条明细!C626="",存条明细!D626=""),"",IF(COUNTIFS(存条明细!$C$4:C626,存条明细!C626,存条明细!$D$4:D626,存条明细!D626)&gt;1,"",IFERROR(MATCH(存条明细!C626,总览汇总!$B$5:$B$304,0),900)*10000000+IFERROR(MATCH(存条明细!D626,基础资料!$E$5:$E$104,0),900)*10000+ROW()))</f>
      </c>
      <c r="F626">
        <f>IF(AND(出库明细!C626&lt;&gt;"",出库明细!C626=客户对账单!$B$4,ISNUMBER(出库明细!B626),出库明细!B626&gt;=客户对账单!$G$4,出库明细!B626&lt;=客户对账单!$I$4),出库明细!B626+ROW()/100000,"")</f>
      </c>
      <c r="H626">
        <f>IF(AND(采购进货!C626&lt;&gt;"",采购进货!C626=供应商对账单!$B$4,ISNUMBER(采购进货!B626),采购进货!B626&gt;=供应商对账单!$G$4,采购进货!B626&lt;=供应商对账单!$I$4),采购进货!B626+ROW()/100000,"")</f>
      </c>
      <c r="N626">
        <f>IF(AND(ISNUMBER(出库明细!G626),ISNUMBER(出库明细!E626),ISNUMBER(出库明细!F626)),IF(ABS(出库明细!G626-出库明细!E626*出库明细!F626)&gt;0.005,1,0),0)</f>
        <v>0</v>
      </c>
      <c r="O626">
        <f>IF(AND(ISNUMBER(存条明细!G626),ISNUMBER(存条明细!E626),ISNUMBER(存条明细!F626)),IF(ABS(存条明细!G626-存条明细!E626*存条明细!F626)&gt;0.005,1,0),0)</f>
        <v>0</v>
      </c>
    </row>
    <row r="627">
      <c r="A627">
        <f>IF(OR(存条明细!C627="",存条明细!D627=""),"",IF(COUNTIFS(存条明细!$C$4:C627,存条明细!C627,存条明细!$D$4:D627,存条明细!D627)&gt;1,"",IFERROR(MATCH(存条明细!C627,总览汇总!$B$5:$B$304,0),900)*10000000+IFERROR(MATCH(存条明细!D627,基础资料!$E$5:$E$104,0),900)*10000+ROW()))</f>
      </c>
      <c r="F627">
        <f>IF(AND(出库明细!C627&lt;&gt;"",出库明细!C627=客户对账单!$B$4,ISNUMBER(出库明细!B627),出库明细!B627&gt;=客户对账单!$G$4,出库明细!B627&lt;=客户对账单!$I$4),出库明细!B627+ROW()/100000,"")</f>
      </c>
      <c r="H627">
        <f>IF(AND(采购进货!C627&lt;&gt;"",采购进货!C627=供应商对账单!$B$4,ISNUMBER(采购进货!B627),采购进货!B627&gt;=供应商对账单!$G$4,采购进货!B627&lt;=供应商对账单!$I$4),采购进货!B627+ROW()/100000,"")</f>
      </c>
      <c r="N627">
        <f>IF(AND(ISNUMBER(出库明细!G627),ISNUMBER(出库明细!E627),ISNUMBER(出库明细!F627)),IF(ABS(出库明细!G627-出库明细!E627*出库明细!F627)&gt;0.005,1,0),0)</f>
        <v>0</v>
      </c>
      <c r="O627">
        <f>IF(AND(ISNUMBER(存条明细!G627),ISNUMBER(存条明细!E627),ISNUMBER(存条明细!F627)),IF(ABS(存条明细!G627-存条明细!E627*存条明细!F627)&gt;0.005,1,0),0)</f>
        <v>0</v>
      </c>
    </row>
    <row r="628">
      <c r="A628">
        <f>IF(OR(存条明细!C628="",存条明细!D628=""),"",IF(COUNTIFS(存条明细!$C$4:C628,存条明细!C628,存条明细!$D$4:D628,存条明细!D628)&gt;1,"",IFERROR(MATCH(存条明细!C628,总览汇总!$B$5:$B$304,0),900)*10000000+IFERROR(MATCH(存条明细!D628,基础资料!$E$5:$E$104,0),900)*10000+ROW()))</f>
      </c>
      <c r="F628">
        <f>IF(AND(出库明细!C628&lt;&gt;"",出库明细!C628=客户对账单!$B$4,ISNUMBER(出库明细!B628),出库明细!B628&gt;=客户对账单!$G$4,出库明细!B628&lt;=客户对账单!$I$4),出库明细!B628+ROW()/100000,"")</f>
      </c>
      <c r="H628">
        <f>IF(AND(采购进货!C628&lt;&gt;"",采购进货!C628=供应商对账单!$B$4,ISNUMBER(采购进货!B628),采购进货!B628&gt;=供应商对账单!$G$4,采购进货!B628&lt;=供应商对账单!$I$4),采购进货!B628+ROW()/100000,"")</f>
      </c>
      <c r="N628">
        <f>IF(AND(ISNUMBER(出库明细!G628),ISNUMBER(出库明细!E628),ISNUMBER(出库明细!F628)),IF(ABS(出库明细!G628-出库明细!E628*出库明细!F628)&gt;0.005,1,0),0)</f>
        <v>0</v>
      </c>
      <c r="O628">
        <f>IF(AND(ISNUMBER(存条明细!G628),ISNUMBER(存条明细!E628),ISNUMBER(存条明细!F628)),IF(ABS(存条明细!G628-存条明细!E628*存条明细!F628)&gt;0.005,1,0),0)</f>
        <v>0</v>
      </c>
    </row>
    <row r="629">
      <c r="A629">
        <f>IF(OR(存条明细!C629="",存条明细!D629=""),"",IF(COUNTIFS(存条明细!$C$4:C629,存条明细!C629,存条明细!$D$4:D629,存条明细!D629)&gt;1,"",IFERROR(MATCH(存条明细!C629,总览汇总!$B$5:$B$304,0),900)*10000000+IFERROR(MATCH(存条明细!D629,基础资料!$E$5:$E$104,0),900)*10000+ROW()))</f>
      </c>
      <c r="F629">
        <f>IF(AND(出库明细!C629&lt;&gt;"",出库明细!C629=客户对账单!$B$4,ISNUMBER(出库明细!B629),出库明细!B629&gt;=客户对账单!$G$4,出库明细!B629&lt;=客户对账单!$I$4),出库明细!B629+ROW()/100000,"")</f>
      </c>
      <c r="H629">
        <f>IF(AND(采购进货!C629&lt;&gt;"",采购进货!C629=供应商对账单!$B$4,ISNUMBER(采购进货!B629),采购进货!B629&gt;=供应商对账单!$G$4,采购进货!B629&lt;=供应商对账单!$I$4),采购进货!B629+ROW()/100000,"")</f>
      </c>
      <c r="N629">
        <f>IF(AND(ISNUMBER(出库明细!G629),ISNUMBER(出库明细!E629),ISNUMBER(出库明细!F629)),IF(ABS(出库明细!G629-出库明细!E629*出库明细!F629)&gt;0.005,1,0),0)</f>
        <v>0</v>
      </c>
      <c r="O629">
        <f>IF(AND(ISNUMBER(存条明细!G629),ISNUMBER(存条明细!E629),ISNUMBER(存条明细!F629)),IF(ABS(存条明细!G629-存条明细!E629*存条明细!F629)&gt;0.005,1,0),0)</f>
        <v>0</v>
      </c>
    </row>
    <row r="630">
      <c r="A630">
        <f>IF(OR(存条明细!C630="",存条明细!D630=""),"",IF(COUNTIFS(存条明细!$C$4:C630,存条明细!C630,存条明细!$D$4:D630,存条明细!D630)&gt;1,"",IFERROR(MATCH(存条明细!C630,总览汇总!$B$5:$B$304,0),900)*10000000+IFERROR(MATCH(存条明细!D630,基础资料!$E$5:$E$104,0),900)*10000+ROW()))</f>
      </c>
      <c r="F630">
        <f>IF(AND(出库明细!C630&lt;&gt;"",出库明细!C630=客户对账单!$B$4,ISNUMBER(出库明细!B630),出库明细!B630&gt;=客户对账单!$G$4,出库明细!B630&lt;=客户对账单!$I$4),出库明细!B630+ROW()/100000,"")</f>
      </c>
      <c r="H630">
        <f>IF(AND(采购进货!C630&lt;&gt;"",采购进货!C630=供应商对账单!$B$4,ISNUMBER(采购进货!B630),采购进货!B630&gt;=供应商对账单!$G$4,采购进货!B630&lt;=供应商对账单!$I$4),采购进货!B630+ROW()/100000,"")</f>
      </c>
      <c r="N630">
        <f>IF(AND(ISNUMBER(出库明细!G630),ISNUMBER(出库明细!E630),ISNUMBER(出库明细!F630)),IF(ABS(出库明细!G630-出库明细!E630*出库明细!F630)&gt;0.005,1,0),0)</f>
        <v>0</v>
      </c>
      <c r="O630">
        <f>IF(AND(ISNUMBER(存条明细!G630),ISNUMBER(存条明细!E630),ISNUMBER(存条明细!F630)),IF(ABS(存条明细!G630-存条明细!E630*存条明细!F630)&gt;0.005,1,0),0)</f>
        <v>0</v>
      </c>
    </row>
    <row r="631">
      <c r="A631">
        <f>IF(OR(存条明细!C631="",存条明细!D631=""),"",IF(COUNTIFS(存条明细!$C$4:C631,存条明细!C631,存条明细!$D$4:D631,存条明细!D631)&gt;1,"",IFERROR(MATCH(存条明细!C631,总览汇总!$B$5:$B$304,0),900)*10000000+IFERROR(MATCH(存条明细!D631,基础资料!$E$5:$E$104,0),900)*10000+ROW()))</f>
      </c>
      <c r="F631">
        <f>IF(AND(出库明细!C631&lt;&gt;"",出库明细!C631=客户对账单!$B$4,ISNUMBER(出库明细!B631),出库明细!B631&gt;=客户对账单!$G$4,出库明细!B631&lt;=客户对账单!$I$4),出库明细!B631+ROW()/100000,"")</f>
      </c>
      <c r="H631">
        <f>IF(AND(采购进货!C631&lt;&gt;"",采购进货!C631=供应商对账单!$B$4,ISNUMBER(采购进货!B631),采购进货!B631&gt;=供应商对账单!$G$4,采购进货!B631&lt;=供应商对账单!$I$4),采购进货!B631+ROW()/100000,"")</f>
      </c>
      <c r="N631">
        <f>IF(AND(ISNUMBER(出库明细!G631),ISNUMBER(出库明细!E631),ISNUMBER(出库明细!F631)),IF(ABS(出库明细!G631-出库明细!E631*出库明细!F631)&gt;0.005,1,0),0)</f>
        <v>0</v>
      </c>
      <c r="O631">
        <f>IF(AND(ISNUMBER(存条明细!G631),ISNUMBER(存条明细!E631),ISNUMBER(存条明细!F631)),IF(ABS(存条明细!G631-存条明细!E631*存条明细!F631)&gt;0.005,1,0),0)</f>
        <v>0</v>
      </c>
    </row>
    <row r="632">
      <c r="A632">
        <f>IF(OR(存条明细!C632="",存条明细!D632=""),"",IF(COUNTIFS(存条明细!$C$4:C632,存条明细!C632,存条明细!$D$4:D632,存条明细!D632)&gt;1,"",IFERROR(MATCH(存条明细!C632,总览汇总!$B$5:$B$304,0),900)*10000000+IFERROR(MATCH(存条明细!D632,基础资料!$E$5:$E$104,0),900)*10000+ROW()))</f>
      </c>
      <c r="F632">
        <f>IF(AND(出库明细!C632&lt;&gt;"",出库明细!C632=客户对账单!$B$4,ISNUMBER(出库明细!B632),出库明细!B632&gt;=客户对账单!$G$4,出库明细!B632&lt;=客户对账单!$I$4),出库明细!B632+ROW()/100000,"")</f>
      </c>
      <c r="H632">
        <f>IF(AND(采购进货!C632&lt;&gt;"",采购进货!C632=供应商对账单!$B$4,ISNUMBER(采购进货!B632),采购进货!B632&gt;=供应商对账单!$G$4,采购进货!B632&lt;=供应商对账单!$I$4),采购进货!B632+ROW()/100000,"")</f>
      </c>
      <c r="N632">
        <f>IF(AND(ISNUMBER(出库明细!G632),ISNUMBER(出库明细!E632),ISNUMBER(出库明细!F632)),IF(ABS(出库明细!G632-出库明细!E632*出库明细!F632)&gt;0.005,1,0),0)</f>
        <v>0</v>
      </c>
      <c r="O632">
        <f>IF(AND(ISNUMBER(存条明细!G632),ISNUMBER(存条明细!E632),ISNUMBER(存条明细!F632)),IF(ABS(存条明细!G632-存条明细!E632*存条明细!F632)&gt;0.005,1,0),0)</f>
        <v>0</v>
      </c>
    </row>
    <row r="633">
      <c r="A633">
        <f>IF(OR(存条明细!C633="",存条明细!D633=""),"",IF(COUNTIFS(存条明细!$C$4:C633,存条明细!C633,存条明细!$D$4:D633,存条明细!D633)&gt;1,"",IFERROR(MATCH(存条明细!C633,总览汇总!$B$5:$B$304,0),900)*10000000+IFERROR(MATCH(存条明细!D633,基础资料!$E$5:$E$104,0),900)*10000+ROW()))</f>
      </c>
      <c r="F633">
        <f>IF(AND(出库明细!C633&lt;&gt;"",出库明细!C633=客户对账单!$B$4,ISNUMBER(出库明细!B633),出库明细!B633&gt;=客户对账单!$G$4,出库明细!B633&lt;=客户对账单!$I$4),出库明细!B633+ROW()/100000,"")</f>
      </c>
      <c r="H633">
        <f>IF(AND(采购进货!C633&lt;&gt;"",采购进货!C633=供应商对账单!$B$4,ISNUMBER(采购进货!B633),采购进货!B633&gt;=供应商对账单!$G$4,采购进货!B633&lt;=供应商对账单!$I$4),采购进货!B633+ROW()/100000,"")</f>
      </c>
      <c r="N633">
        <f>IF(AND(ISNUMBER(出库明细!G633),ISNUMBER(出库明细!E633),ISNUMBER(出库明细!F633)),IF(ABS(出库明细!G633-出库明细!E633*出库明细!F633)&gt;0.005,1,0),0)</f>
        <v>0</v>
      </c>
      <c r="O633">
        <f>IF(AND(ISNUMBER(存条明细!G633),ISNUMBER(存条明细!E633),ISNUMBER(存条明细!F633)),IF(ABS(存条明细!G633-存条明细!E633*存条明细!F633)&gt;0.005,1,0),0)</f>
        <v>0</v>
      </c>
    </row>
    <row r="634">
      <c r="A634">
        <f>IF(OR(存条明细!C634="",存条明细!D634=""),"",IF(COUNTIFS(存条明细!$C$4:C634,存条明细!C634,存条明细!$D$4:D634,存条明细!D634)&gt;1,"",IFERROR(MATCH(存条明细!C634,总览汇总!$B$5:$B$304,0),900)*10000000+IFERROR(MATCH(存条明细!D634,基础资料!$E$5:$E$104,0),900)*10000+ROW()))</f>
      </c>
      <c r="F634">
        <f>IF(AND(出库明细!C634&lt;&gt;"",出库明细!C634=客户对账单!$B$4,ISNUMBER(出库明细!B634),出库明细!B634&gt;=客户对账单!$G$4,出库明细!B634&lt;=客户对账单!$I$4),出库明细!B634+ROW()/100000,"")</f>
      </c>
      <c r="H634">
        <f>IF(AND(采购进货!C634&lt;&gt;"",采购进货!C634=供应商对账单!$B$4,ISNUMBER(采购进货!B634),采购进货!B634&gt;=供应商对账单!$G$4,采购进货!B634&lt;=供应商对账单!$I$4),采购进货!B634+ROW()/100000,"")</f>
      </c>
      <c r="N634">
        <f>IF(AND(ISNUMBER(出库明细!G634),ISNUMBER(出库明细!E634),ISNUMBER(出库明细!F634)),IF(ABS(出库明细!G634-出库明细!E634*出库明细!F634)&gt;0.005,1,0),0)</f>
        <v>0</v>
      </c>
      <c r="O634">
        <f>IF(AND(ISNUMBER(存条明细!G634),ISNUMBER(存条明细!E634),ISNUMBER(存条明细!F634)),IF(ABS(存条明细!G634-存条明细!E634*存条明细!F634)&gt;0.005,1,0),0)</f>
        <v>0</v>
      </c>
    </row>
    <row r="635">
      <c r="A635">
        <f>IF(OR(存条明细!C635="",存条明细!D635=""),"",IF(COUNTIFS(存条明细!$C$4:C635,存条明细!C635,存条明细!$D$4:D635,存条明细!D635)&gt;1,"",IFERROR(MATCH(存条明细!C635,总览汇总!$B$5:$B$304,0),900)*10000000+IFERROR(MATCH(存条明细!D635,基础资料!$E$5:$E$104,0),900)*10000+ROW()))</f>
      </c>
      <c r="F635">
        <f>IF(AND(出库明细!C635&lt;&gt;"",出库明细!C635=客户对账单!$B$4,ISNUMBER(出库明细!B635),出库明细!B635&gt;=客户对账单!$G$4,出库明细!B635&lt;=客户对账单!$I$4),出库明细!B635+ROW()/100000,"")</f>
      </c>
      <c r="H635">
        <f>IF(AND(采购进货!C635&lt;&gt;"",采购进货!C635=供应商对账单!$B$4,ISNUMBER(采购进货!B635),采购进货!B635&gt;=供应商对账单!$G$4,采购进货!B635&lt;=供应商对账单!$I$4),采购进货!B635+ROW()/100000,"")</f>
      </c>
      <c r="N635">
        <f>IF(AND(ISNUMBER(出库明细!G635),ISNUMBER(出库明细!E635),ISNUMBER(出库明细!F635)),IF(ABS(出库明细!G635-出库明细!E635*出库明细!F635)&gt;0.005,1,0),0)</f>
        <v>0</v>
      </c>
      <c r="O635">
        <f>IF(AND(ISNUMBER(存条明细!G635),ISNUMBER(存条明细!E635),ISNUMBER(存条明细!F635)),IF(ABS(存条明细!G635-存条明细!E635*存条明细!F635)&gt;0.005,1,0),0)</f>
        <v>0</v>
      </c>
    </row>
    <row r="636">
      <c r="A636">
        <f>IF(OR(存条明细!C636="",存条明细!D636=""),"",IF(COUNTIFS(存条明细!$C$4:C636,存条明细!C636,存条明细!$D$4:D636,存条明细!D636)&gt;1,"",IFERROR(MATCH(存条明细!C636,总览汇总!$B$5:$B$304,0),900)*10000000+IFERROR(MATCH(存条明细!D636,基础资料!$E$5:$E$104,0),900)*10000+ROW()))</f>
      </c>
      <c r="F636">
        <f>IF(AND(出库明细!C636&lt;&gt;"",出库明细!C636=客户对账单!$B$4,ISNUMBER(出库明细!B636),出库明细!B636&gt;=客户对账单!$G$4,出库明细!B636&lt;=客户对账单!$I$4),出库明细!B636+ROW()/100000,"")</f>
      </c>
      <c r="H636">
        <f>IF(AND(采购进货!C636&lt;&gt;"",采购进货!C636=供应商对账单!$B$4,ISNUMBER(采购进货!B636),采购进货!B636&gt;=供应商对账单!$G$4,采购进货!B636&lt;=供应商对账单!$I$4),采购进货!B636+ROW()/100000,"")</f>
      </c>
      <c r="N636">
        <f>IF(AND(ISNUMBER(出库明细!G636),ISNUMBER(出库明细!E636),ISNUMBER(出库明细!F636)),IF(ABS(出库明细!G636-出库明细!E636*出库明细!F636)&gt;0.005,1,0),0)</f>
        <v>0</v>
      </c>
      <c r="O636">
        <f>IF(AND(ISNUMBER(存条明细!G636),ISNUMBER(存条明细!E636),ISNUMBER(存条明细!F636)),IF(ABS(存条明细!G636-存条明细!E636*存条明细!F636)&gt;0.005,1,0),0)</f>
        <v>0</v>
      </c>
    </row>
    <row r="637">
      <c r="A637">
        <f>IF(OR(存条明细!C637="",存条明细!D637=""),"",IF(COUNTIFS(存条明细!$C$4:C637,存条明细!C637,存条明细!$D$4:D637,存条明细!D637)&gt;1,"",IFERROR(MATCH(存条明细!C637,总览汇总!$B$5:$B$304,0),900)*10000000+IFERROR(MATCH(存条明细!D637,基础资料!$E$5:$E$104,0),900)*10000+ROW()))</f>
      </c>
      <c r="F637">
        <f>IF(AND(出库明细!C637&lt;&gt;"",出库明细!C637=客户对账单!$B$4,ISNUMBER(出库明细!B637),出库明细!B637&gt;=客户对账单!$G$4,出库明细!B637&lt;=客户对账单!$I$4),出库明细!B637+ROW()/100000,"")</f>
      </c>
      <c r="H637">
        <f>IF(AND(采购进货!C637&lt;&gt;"",采购进货!C637=供应商对账单!$B$4,ISNUMBER(采购进货!B637),采购进货!B637&gt;=供应商对账单!$G$4,采购进货!B637&lt;=供应商对账单!$I$4),采购进货!B637+ROW()/100000,"")</f>
      </c>
      <c r="N637">
        <f>IF(AND(ISNUMBER(出库明细!G637),ISNUMBER(出库明细!E637),ISNUMBER(出库明细!F637)),IF(ABS(出库明细!G637-出库明细!E637*出库明细!F637)&gt;0.005,1,0),0)</f>
        <v>0</v>
      </c>
      <c r="O637">
        <f>IF(AND(ISNUMBER(存条明细!G637),ISNUMBER(存条明细!E637),ISNUMBER(存条明细!F637)),IF(ABS(存条明细!G637-存条明细!E637*存条明细!F637)&gt;0.005,1,0),0)</f>
        <v>0</v>
      </c>
    </row>
    <row r="638">
      <c r="A638">
        <f>IF(OR(存条明细!C638="",存条明细!D638=""),"",IF(COUNTIFS(存条明细!$C$4:C638,存条明细!C638,存条明细!$D$4:D638,存条明细!D638)&gt;1,"",IFERROR(MATCH(存条明细!C638,总览汇总!$B$5:$B$304,0),900)*10000000+IFERROR(MATCH(存条明细!D638,基础资料!$E$5:$E$104,0),900)*10000+ROW()))</f>
      </c>
      <c r="F638">
        <f>IF(AND(出库明细!C638&lt;&gt;"",出库明细!C638=客户对账单!$B$4,ISNUMBER(出库明细!B638),出库明细!B638&gt;=客户对账单!$G$4,出库明细!B638&lt;=客户对账单!$I$4),出库明细!B638+ROW()/100000,"")</f>
      </c>
      <c r="H638">
        <f>IF(AND(采购进货!C638&lt;&gt;"",采购进货!C638=供应商对账单!$B$4,ISNUMBER(采购进货!B638),采购进货!B638&gt;=供应商对账单!$G$4,采购进货!B638&lt;=供应商对账单!$I$4),采购进货!B638+ROW()/100000,"")</f>
      </c>
      <c r="N638">
        <f>IF(AND(ISNUMBER(出库明细!G638),ISNUMBER(出库明细!E638),ISNUMBER(出库明细!F638)),IF(ABS(出库明细!G638-出库明细!E638*出库明细!F638)&gt;0.005,1,0),0)</f>
        <v>0</v>
      </c>
      <c r="O638">
        <f>IF(AND(ISNUMBER(存条明细!G638),ISNUMBER(存条明细!E638),ISNUMBER(存条明细!F638)),IF(ABS(存条明细!G638-存条明细!E638*存条明细!F638)&gt;0.005,1,0),0)</f>
        <v>0</v>
      </c>
    </row>
    <row r="639">
      <c r="A639">
        <f>IF(OR(存条明细!C639="",存条明细!D639=""),"",IF(COUNTIFS(存条明细!$C$4:C639,存条明细!C639,存条明细!$D$4:D639,存条明细!D639)&gt;1,"",IFERROR(MATCH(存条明细!C639,总览汇总!$B$5:$B$304,0),900)*10000000+IFERROR(MATCH(存条明细!D639,基础资料!$E$5:$E$104,0),900)*10000+ROW()))</f>
      </c>
      <c r="F639">
        <f>IF(AND(出库明细!C639&lt;&gt;"",出库明细!C639=客户对账单!$B$4,ISNUMBER(出库明细!B639),出库明细!B639&gt;=客户对账单!$G$4,出库明细!B639&lt;=客户对账单!$I$4),出库明细!B639+ROW()/100000,"")</f>
      </c>
      <c r="H639">
        <f>IF(AND(采购进货!C639&lt;&gt;"",采购进货!C639=供应商对账单!$B$4,ISNUMBER(采购进货!B639),采购进货!B639&gt;=供应商对账单!$G$4,采购进货!B639&lt;=供应商对账单!$I$4),采购进货!B639+ROW()/100000,"")</f>
      </c>
      <c r="N639">
        <f>IF(AND(ISNUMBER(出库明细!G639),ISNUMBER(出库明细!E639),ISNUMBER(出库明细!F639)),IF(ABS(出库明细!G639-出库明细!E639*出库明细!F639)&gt;0.005,1,0),0)</f>
        <v>0</v>
      </c>
      <c r="O639">
        <f>IF(AND(ISNUMBER(存条明细!G639),ISNUMBER(存条明细!E639),ISNUMBER(存条明细!F639)),IF(ABS(存条明细!G639-存条明细!E639*存条明细!F639)&gt;0.005,1,0),0)</f>
        <v>0</v>
      </c>
    </row>
    <row r="640">
      <c r="A640">
        <f>IF(OR(存条明细!C640="",存条明细!D640=""),"",IF(COUNTIFS(存条明细!$C$4:C640,存条明细!C640,存条明细!$D$4:D640,存条明细!D640)&gt;1,"",IFERROR(MATCH(存条明细!C640,总览汇总!$B$5:$B$304,0),900)*10000000+IFERROR(MATCH(存条明细!D640,基础资料!$E$5:$E$104,0),900)*10000+ROW()))</f>
      </c>
      <c r="F640">
        <f>IF(AND(出库明细!C640&lt;&gt;"",出库明细!C640=客户对账单!$B$4,ISNUMBER(出库明细!B640),出库明细!B640&gt;=客户对账单!$G$4,出库明细!B640&lt;=客户对账单!$I$4),出库明细!B640+ROW()/100000,"")</f>
      </c>
      <c r="H640">
        <f>IF(AND(采购进货!C640&lt;&gt;"",采购进货!C640=供应商对账单!$B$4,ISNUMBER(采购进货!B640),采购进货!B640&gt;=供应商对账单!$G$4,采购进货!B640&lt;=供应商对账单!$I$4),采购进货!B640+ROW()/100000,"")</f>
      </c>
      <c r="N640">
        <f>IF(AND(ISNUMBER(出库明细!G640),ISNUMBER(出库明细!E640),ISNUMBER(出库明细!F640)),IF(ABS(出库明细!G640-出库明细!E640*出库明细!F640)&gt;0.005,1,0),0)</f>
        <v>0</v>
      </c>
      <c r="O640">
        <f>IF(AND(ISNUMBER(存条明细!G640),ISNUMBER(存条明细!E640),ISNUMBER(存条明细!F640)),IF(ABS(存条明细!G640-存条明细!E640*存条明细!F640)&gt;0.005,1,0),0)</f>
        <v>0</v>
      </c>
    </row>
    <row r="641">
      <c r="A641">
        <f>IF(OR(存条明细!C641="",存条明细!D641=""),"",IF(COUNTIFS(存条明细!$C$4:C641,存条明细!C641,存条明细!$D$4:D641,存条明细!D641)&gt;1,"",IFERROR(MATCH(存条明细!C641,总览汇总!$B$5:$B$304,0),900)*10000000+IFERROR(MATCH(存条明细!D641,基础资料!$E$5:$E$104,0),900)*10000+ROW()))</f>
      </c>
      <c r="F641">
        <f>IF(AND(出库明细!C641&lt;&gt;"",出库明细!C641=客户对账单!$B$4,ISNUMBER(出库明细!B641),出库明细!B641&gt;=客户对账单!$G$4,出库明细!B641&lt;=客户对账单!$I$4),出库明细!B641+ROW()/100000,"")</f>
      </c>
      <c r="H641">
        <f>IF(AND(采购进货!C641&lt;&gt;"",采购进货!C641=供应商对账单!$B$4,ISNUMBER(采购进货!B641),采购进货!B641&gt;=供应商对账单!$G$4,采购进货!B641&lt;=供应商对账单!$I$4),采购进货!B641+ROW()/100000,"")</f>
      </c>
      <c r="N641">
        <f>IF(AND(ISNUMBER(出库明细!G641),ISNUMBER(出库明细!E641),ISNUMBER(出库明细!F641)),IF(ABS(出库明细!G641-出库明细!E641*出库明细!F641)&gt;0.005,1,0),0)</f>
        <v>0</v>
      </c>
      <c r="O641">
        <f>IF(AND(ISNUMBER(存条明细!G641),ISNUMBER(存条明细!E641),ISNUMBER(存条明细!F641)),IF(ABS(存条明细!G641-存条明细!E641*存条明细!F641)&gt;0.005,1,0),0)</f>
        <v>0</v>
      </c>
    </row>
    <row r="642">
      <c r="A642">
        <f>IF(OR(存条明细!C642="",存条明细!D642=""),"",IF(COUNTIFS(存条明细!$C$4:C642,存条明细!C642,存条明细!$D$4:D642,存条明细!D642)&gt;1,"",IFERROR(MATCH(存条明细!C642,总览汇总!$B$5:$B$304,0),900)*10000000+IFERROR(MATCH(存条明细!D642,基础资料!$E$5:$E$104,0),900)*10000+ROW()))</f>
      </c>
      <c r="F642">
        <f>IF(AND(出库明细!C642&lt;&gt;"",出库明细!C642=客户对账单!$B$4,ISNUMBER(出库明细!B642),出库明细!B642&gt;=客户对账单!$G$4,出库明细!B642&lt;=客户对账单!$I$4),出库明细!B642+ROW()/100000,"")</f>
      </c>
      <c r="H642">
        <f>IF(AND(采购进货!C642&lt;&gt;"",采购进货!C642=供应商对账单!$B$4,ISNUMBER(采购进货!B642),采购进货!B642&gt;=供应商对账单!$G$4,采购进货!B642&lt;=供应商对账单!$I$4),采购进货!B642+ROW()/100000,"")</f>
      </c>
      <c r="N642">
        <f>IF(AND(ISNUMBER(出库明细!G642),ISNUMBER(出库明细!E642),ISNUMBER(出库明细!F642)),IF(ABS(出库明细!G642-出库明细!E642*出库明细!F642)&gt;0.005,1,0),0)</f>
        <v>0</v>
      </c>
      <c r="O642">
        <f>IF(AND(ISNUMBER(存条明细!G642),ISNUMBER(存条明细!E642),ISNUMBER(存条明细!F642)),IF(ABS(存条明细!G642-存条明细!E642*存条明细!F642)&gt;0.005,1,0),0)</f>
        <v>0</v>
      </c>
    </row>
    <row r="643">
      <c r="A643">
        <f>IF(OR(存条明细!C643="",存条明细!D643=""),"",IF(COUNTIFS(存条明细!$C$4:C643,存条明细!C643,存条明细!$D$4:D643,存条明细!D643)&gt;1,"",IFERROR(MATCH(存条明细!C643,总览汇总!$B$5:$B$304,0),900)*10000000+IFERROR(MATCH(存条明细!D643,基础资料!$E$5:$E$104,0),900)*10000+ROW()))</f>
      </c>
      <c r="F643">
        <f>IF(AND(出库明细!C643&lt;&gt;"",出库明细!C643=客户对账单!$B$4,ISNUMBER(出库明细!B643),出库明细!B643&gt;=客户对账单!$G$4,出库明细!B643&lt;=客户对账单!$I$4),出库明细!B643+ROW()/100000,"")</f>
      </c>
      <c r="H643">
        <f>IF(AND(采购进货!C643&lt;&gt;"",采购进货!C643=供应商对账单!$B$4,ISNUMBER(采购进货!B643),采购进货!B643&gt;=供应商对账单!$G$4,采购进货!B643&lt;=供应商对账单!$I$4),采购进货!B643+ROW()/100000,"")</f>
      </c>
      <c r="N643">
        <f>IF(AND(ISNUMBER(出库明细!G643),ISNUMBER(出库明细!E643),ISNUMBER(出库明细!F643)),IF(ABS(出库明细!G643-出库明细!E643*出库明细!F643)&gt;0.005,1,0),0)</f>
        <v>0</v>
      </c>
      <c r="O643">
        <f>IF(AND(ISNUMBER(存条明细!G643),ISNUMBER(存条明细!E643),ISNUMBER(存条明细!F643)),IF(ABS(存条明细!G643-存条明细!E643*存条明细!F643)&gt;0.005,1,0),0)</f>
        <v>0</v>
      </c>
    </row>
    <row r="644">
      <c r="A644">
        <f>IF(OR(存条明细!C644="",存条明细!D644=""),"",IF(COUNTIFS(存条明细!$C$4:C644,存条明细!C644,存条明细!$D$4:D644,存条明细!D644)&gt;1,"",IFERROR(MATCH(存条明细!C644,总览汇总!$B$5:$B$304,0),900)*10000000+IFERROR(MATCH(存条明细!D644,基础资料!$E$5:$E$104,0),900)*10000+ROW()))</f>
      </c>
      <c r="F644">
        <f>IF(AND(出库明细!C644&lt;&gt;"",出库明细!C644=客户对账单!$B$4,ISNUMBER(出库明细!B644),出库明细!B644&gt;=客户对账单!$G$4,出库明细!B644&lt;=客户对账单!$I$4),出库明细!B644+ROW()/100000,"")</f>
      </c>
      <c r="H644">
        <f>IF(AND(采购进货!C644&lt;&gt;"",采购进货!C644=供应商对账单!$B$4,ISNUMBER(采购进货!B644),采购进货!B644&gt;=供应商对账单!$G$4,采购进货!B644&lt;=供应商对账单!$I$4),采购进货!B644+ROW()/100000,"")</f>
      </c>
      <c r="N644">
        <f>IF(AND(ISNUMBER(出库明细!G644),ISNUMBER(出库明细!E644),ISNUMBER(出库明细!F644)),IF(ABS(出库明细!G644-出库明细!E644*出库明细!F644)&gt;0.005,1,0),0)</f>
        <v>0</v>
      </c>
      <c r="O644">
        <f>IF(AND(ISNUMBER(存条明细!G644),ISNUMBER(存条明细!E644),ISNUMBER(存条明细!F644)),IF(ABS(存条明细!G644-存条明细!E644*存条明细!F644)&gt;0.005,1,0),0)</f>
        <v>0</v>
      </c>
    </row>
    <row r="645">
      <c r="A645">
        <f>IF(OR(存条明细!C645="",存条明细!D645=""),"",IF(COUNTIFS(存条明细!$C$4:C645,存条明细!C645,存条明细!$D$4:D645,存条明细!D645)&gt;1,"",IFERROR(MATCH(存条明细!C645,总览汇总!$B$5:$B$304,0),900)*10000000+IFERROR(MATCH(存条明细!D645,基础资料!$E$5:$E$104,0),900)*10000+ROW()))</f>
      </c>
      <c r="F645">
        <f>IF(AND(出库明细!C645&lt;&gt;"",出库明细!C645=客户对账单!$B$4,ISNUMBER(出库明细!B645),出库明细!B645&gt;=客户对账单!$G$4,出库明细!B645&lt;=客户对账单!$I$4),出库明细!B645+ROW()/100000,"")</f>
      </c>
      <c r="H645">
        <f>IF(AND(采购进货!C645&lt;&gt;"",采购进货!C645=供应商对账单!$B$4,ISNUMBER(采购进货!B645),采购进货!B645&gt;=供应商对账单!$G$4,采购进货!B645&lt;=供应商对账单!$I$4),采购进货!B645+ROW()/100000,"")</f>
      </c>
      <c r="N645">
        <f>IF(AND(ISNUMBER(出库明细!G645),ISNUMBER(出库明细!E645),ISNUMBER(出库明细!F645)),IF(ABS(出库明细!G645-出库明细!E645*出库明细!F645)&gt;0.005,1,0),0)</f>
        <v>0</v>
      </c>
      <c r="O645">
        <f>IF(AND(ISNUMBER(存条明细!G645),ISNUMBER(存条明细!E645),ISNUMBER(存条明细!F645)),IF(ABS(存条明细!G645-存条明细!E645*存条明细!F645)&gt;0.005,1,0),0)</f>
        <v>0</v>
      </c>
    </row>
    <row r="646">
      <c r="A646">
        <f>IF(OR(存条明细!C646="",存条明细!D646=""),"",IF(COUNTIFS(存条明细!$C$4:C646,存条明细!C646,存条明细!$D$4:D646,存条明细!D646)&gt;1,"",IFERROR(MATCH(存条明细!C646,总览汇总!$B$5:$B$304,0),900)*10000000+IFERROR(MATCH(存条明细!D646,基础资料!$E$5:$E$104,0),900)*10000+ROW()))</f>
      </c>
      <c r="F646">
        <f>IF(AND(出库明细!C646&lt;&gt;"",出库明细!C646=客户对账单!$B$4,ISNUMBER(出库明细!B646),出库明细!B646&gt;=客户对账单!$G$4,出库明细!B646&lt;=客户对账单!$I$4),出库明细!B646+ROW()/100000,"")</f>
      </c>
      <c r="H646">
        <f>IF(AND(采购进货!C646&lt;&gt;"",采购进货!C646=供应商对账单!$B$4,ISNUMBER(采购进货!B646),采购进货!B646&gt;=供应商对账单!$G$4,采购进货!B646&lt;=供应商对账单!$I$4),采购进货!B646+ROW()/100000,"")</f>
      </c>
      <c r="N646">
        <f>IF(AND(ISNUMBER(出库明细!G646),ISNUMBER(出库明细!E646),ISNUMBER(出库明细!F646)),IF(ABS(出库明细!G646-出库明细!E646*出库明细!F646)&gt;0.005,1,0),0)</f>
        <v>0</v>
      </c>
      <c r="O646">
        <f>IF(AND(ISNUMBER(存条明细!G646),ISNUMBER(存条明细!E646),ISNUMBER(存条明细!F646)),IF(ABS(存条明细!G646-存条明细!E646*存条明细!F646)&gt;0.005,1,0),0)</f>
        <v>0</v>
      </c>
    </row>
    <row r="647">
      <c r="A647">
        <f>IF(OR(存条明细!C647="",存条明细!D647=""),"",IF(COUNTIFS(存条明细!$C$4:C647,存条明细!C647,存条明细!$D$4:D647,存条明细!D647)&gt;1,"",IFERROR(MATCH(存条明细!C647,总览汇总!$B$5:$B$304,0),900)*10000000+IFERROR(MATCH(存条明细!D647,基础资料!$E$5:$E$104,0),900)*10000+ROW()))</f>
      </c>
      <c r="F647">
        <f>IF(AND(出库明细!C647&lt;&gt;"",出库明细!C647=客户对账单!$B$4,ISNUMBER(出库明细!B647),出库明细!B647&gt;=客户对账单!$G$4,出库明细!B647&lt;=客户对账单!$I$4),出库明细!B647+ROW()/100000,"")</f>
      </c>
      <c r="H647">
        <f>IF(AND(采购进货!C647&lt;&gt;"",采购进货!C647=供应商对账单!$B$4,ISNUMBER(采购进货!B647),采购进货!B647&gt;=供应商对账单!$G$4,采购进货!B647&lt;=供应商对账单!$I$4),采购进货!B647+ROW()/100000,"")</f>
      </c>
      <c r="N647">
        <f>IF(AND(ISNUMBER(出库明细!G647),ISNUMBER(出库明细!E647),ISNUMBER(出库明细!F647)),IF(ABS(出库明细!G647-出库明细!E647*出库明细!F647)&gt;0.005,1,0),0)</f>
        <v>0</v>
      </c>
      <c r="O647">
        <f>IF(AND(ISNUMBER(存条明细!G647),ISNUMBER(存条明细!E647),ISNUMBER(存条明细!F647)),IF(ABS(存条明细!G647-存条明细!E647*存条明细!F647)&gt;0.005,1,0),0)</f>
        <v>0</v>
      </c>
    </row>
    <row r="648">
      <c r="A648">
        <f>IF(OR(存条明细!C648="",存条明细!D648=""),"",IF(COUNTIFS(存条明细!$C$4:C648,存条明细!C648,存条明细!$D$4:D648,存条明细!D648)&gt;1,"",IFERROR(MATCH(存条明细!C648,总览汇总!$B$5:$B$304,0),900)*10000000+IFERROR(MATCH(存条明细!D648,基础资料!$E$5:$E$104,0),900)*10000+ROW()))</f>
      </c>
      <c r="F648">
        <f>IF(AND(出库明细!C648&lt;&gt;"",出库明细!C648=客户对账单!$B$4,ISNUMBER(出库明细!B648),出库明细!B648&gt;=客户对账单!$G$4,出库明细!B648&lt;=客户对账单!$I$4),出库明细!B648+ROW()/100000,"")</f>
      </c>
      <c r="H648">
        <f>IF(AND(采购进货!C648&lt;&gt;"",采购进货!C648=供应商对账单!$B$4,ISNUMBER(采购进货!B648),采购进货!B648&gt;=供应商对账单!$G$4,采购进货!B648&lt;=供应商对账单!$I$4),采购进货!B648+ROW()/100000,"")</f>
      </c>
      <c r="N648">
        <f>IF(AND(ISNUMBER(出库明细!G648),ISNUMBER(出库明细!E648),ISNUMBER(出库明细!F648)),IF(ABS(出库明细!G648-出库明细!E648*出库明细!F648)&gt;0.005,1,0),0)</f>
        <v>0</v>
      </c>
      <c r="O648">
        <f>IF(AND(ISNUMBER(存条明细!G648),ISNUMBER(存条明细!E648),ISNUMBER(存条明细!F648)),IF(ABS(存条明细!G648-存条明细!E648*存条明细!F648)&gt;0.005,1,0),0)</f>
        <v>0</v>
      </c>
    </row>
    <row r="649">
      <c r="A649">
        <f>IF(OR(存条明细!C649="",存条明细!D649=""),"",IF(COUNTIFS(存条明细!$C$4:C649,存条明细!C649,存条明细!$D$4:D649,存条明细!D649)&gt;1,"",IFERROR(MATCH(存条明细!C649,总览汇总!$B$5:$B$304,0),900)*10000000+IFERROR(MATCH(存条明细!D649,基础资料!$E$5:$E$104,0),900)*10000+ROW()))</f>
      </c>
      <c r="F649">
        <f>IF(AND(出库明细!C649&lt;&gt;"",出库明细!C649=客户对账单!$B$4,ISNUMBER(出库明细!B649),出库明细!B649&gt;=客户对账单!$G$4,出库明细!B649&lt;=客户对账单!$I$4),出库明细!B649+ROW()/100000,"")</f>
      </c>
      <c r="H649">
        <f>IF(AND(采购进货!C649&lt;&gt;"",采购进货!C649=供应商对账单!$B$4,ISNUMBER(采购进货!B649),采购进货!B649&gt;=供应商对账单!$G$4,采购进货!B649&lt;=供应商对账单!$I$4),采购进货!B649+ROW()/100000,"")</f>
      </c>
      <c r="N649">
        <f>IF(AND(ISNUMBER(出库明细!G649),ISNUMBER(出库明细!E649),ISNUMBER(出库明细!F649)),IF(ABS(出库明细!G649-出库明细!E649*出库明细!F649)&gt;0.005,1,0),0)</f>
        <v>0</v>
      </c>
      <c r="O649">
        <f>IF(AND(ISNUMBER(存条明细!G649),ISNUMBER(存条明细!E649),ISNUMBER(存条明细!F649)),IF(ABS(存条明细!G649-存条明细!E649*存条明细!F649)&gt;0.005,1,0),0)</f>
        <v>0</v>
      </c>
    </row>
    <row r="650">
      <c r="A650">
        <f>IF(OR(存条明细!C650="",存条明细!D650=""),"",IF(COUNTIFS(存条明细!$C$4:C650,存条明细!C650,存条明细!$D$4:D650,存条明细!D650)&gt;1,"",IFERROR(MATCH(存条明细!C650,总览汇总!$B$5:$B$304,0),900)*10000000+IFERROR(MATCH(存条明细!D650,基础资料!$E$5:$E$104,0),900)*10000+ROW()))</f>
      </c>
      <c r="F650">
        <f>IF(AND(出库明细!C650&lt;&gt;"",出库明细!C650=客户对账单!$B$4,ISNUMBER(出库明细!B650),出库明细!B650&gt;=客户对账单!$G$4,出库明细!B650&lt;=客户对账单!$I$4),出库明细!B650+ROW()/100000,"")</f>
      </c>
      <c r="H650">
        <f>IF(AND(采购进货!C650&lt;&gt;"",采购进货!C650=供应商对账单!$B$4,ISNUMBER(采购进货!B650),采购进货!B650&gt;=供应商对账单!$G$4,采购进货!B650&lt;=供应商对账单!$I$4),采购进货!B650+ROW()/100000,"")</f>
      </c>
      <c r="N650">
        <f>IF(AND(ISNUMBER(出库明细!G650),ISNUMBER(出库明细!E650),ISNUMBER(出库明细!F650)),IF(ABS(出库明细!G650-出库明细!E650*出库明细!F650)&gt;0.005,1,0),0)</f>
        <v>0</v>
      </c>
      <c r="O650">
        <f>IF(AND(ISNUMBER(存条明细!G650),ISNUMBER(存条明细!E650),ISNUMBER(存条明细!F650)),IF(ABS(存条明细!G650-存条明细!E650*存条明细!F650)&gt;0.005,1,0),0)</f>
        <v>0</v>
      </c>
    </row>
    <row r="651">
      <c r="A651">
        <f>IF(OR(存条明细!C651="",存条明细!D651=""),"",IF(COUNTIFS(存条明细!$C$4:C651,存条明细!C651,存条明细!$D$4:D651,存条明细!D651)&gt;1,"",IFERROR(MATCH(存条明细!C651,总览汇总!$B$5:$B$304,0),900)*10000000+IFERROR(MATCH(存条明细!D651,基础资料!$E$5:$E$104,0),900)*10000+ROW()))</f>
      </c>
      <c r="F651">
        <f>IF(AND(出库明细!C651&lt;&gt;"",出库明细!C651=客户对账单!$B$4,ISNUMBER(出库明细!B651),出库明细!B651&gt;=客户对账单!$G$4,出库明细!B651&lt;=客户对账单!$I$4),出库明细!B651+ROW()/100000,"")</f>
      </c>
      <c r="H651">
        <f>IF(AND(采购进货!C651&lt;&gt;"",采购进货!C651=供应商对账单!$B$4,ISNUMBER(采购进货!B651),采购进货!B651&gt;=供应商对账单!$G$4,采购进货!B651&lt;=供应商对账单!$I$4),采购进货!B651+ROW()/100000,"")</f>
      </c>
      <c r="N651">
        <f>IF(AND(ISNUMBER(出库明细!G651),ISNUMBER(出库明细!E651),ISNUMBER(出库明细!F651)),IF(ABS(出库明细!G651-出库明细!E651*出库明细!F651)&gt;0.005,1,0),0)</f>
        <v>0</v>
      </c>
      <c r="O651">
        <f>IF(AND(ISNUMBER(存条明细!G651),ISNUMBER(存条明细!E651),ISNUMBER(存条明细!F651)),IF(ABS(存条明细!G651-存条明细!E651*存条明细!F651)&gt;0.005,1,0),0)</f>
        <v>0</v>
      </c>
    </row>
    <row r="652">
      <c r="A652">
        <f>IF(OR(存条明细!C652="",存条明细!D652=""),"",IF(COUNTIFS(存条明细!$C$4:C652,存条明细!C652,存条明细!$D$4:D652,存条明细!D652)&gt;1,"",IFERROR(MATCH(存条明细!C652,总览汇总!$B$5:$B$304,0),900)*10000000+IFERROR(MATCH(存条明细!D652,基础资料!$E$5:$E$104,0),900)*10000+ROW()))</f>
      </c>
      <c r="F652">
        <f>IF(AND(出库明细!C652&lt;&gt;"",出库明细!C652=客户对账单!$B$4,ISNUMBER(出库明细!B652),出库明细!B652&gt;=客户对账单!$G$4,出库明细!B652&lt;=客户对账单!$I$4),出库明细!B652+ROW()/100000,"")</f>
      </c>
      <c r="H652">
        <f>IF(AND(采购进货!C652&lt;&gt;"",采购进货!C652=供应商对账单!$B$4,ISNUMBER(采购进货!B652),采购进货!B652&gt;=供应商对账单!$G$4,采购进货!B652&lt;=供应商对账单!$I$4),采购进货!B652+ROW()/100000,"")</f>
      </c>
      <c r="N652">
        <f>IF(AND(ISNUMBER(出库明细!G652),ISNUMBER(出库明细!E652),ISNUMBER(出库明细!F652)),IF(ABS(出库明细!G652-出库明细!E652*出库明细!F652)&gt;0.005,1,0),0)</f>
        <v>0</v>
      </c>
      <c r="O652">
        <f>IF(AND(ISNUMBER(存条明细!G652),ISNUMBER(存条明细!E652),ISNUMBER(存条明细!F652)),IF(ABS(存条明细!G652-存条明细!E652*存条明细!F652)&gt;0.005,1,0),0)</f>
        <v>0</v>
      </c>
    </row>
    <row r="653">
      <c r="A653">
        <f>IF(OR(存条明细!C653="",存条明细!D653=""),"",IF(COUNTIFS(存条明细!$C$4:C653,存条明细!C653,存条明细!$D$4:D653,存条明细!D653)&gt;1,"",IFERROR(MATCH(存条明细!C653,总览汇总!$B$5:$B$304,0),900)*10000000+IFERROR(MATCH(存条明细!D653,基础资料!$E$5:$E$104,0),900)*10000+ROW()))</f>
      </c>
      <c r="F653">
        <f>IF(AND(出库明细!C653&lt;&gt;"",出库明细!C653=客户对账单!$B$4,ISNUMBER(出库明细!B653),出库明细!B653&gt;=客户对账单!$G$4,出库明细!B653&lt;=客户对账单!$I$4),出库明细!B653+ROW()/100000,"")</f>
      </c>
      <c r="H653">
        <f>IF(AND(采购进货!C653&lt;&gt;"",采购进货!C653=供应商对账单!$B$4,ISNUMBER(采购进货!B653),采购进货!B653&gt;=供应商对账单!$G$4,采购进货!B653&lt;=供应商对账单!$I$4),采购进货!B653+ROW()/100000,"")</f>
      </c>
      <c r="N653">
        <f>IF(AND(ISNUMBER(出库明细!G653),ISNUMBER(出库明细!E653),ISNUMBER(出库明细!F653)),IF(ABS(出库明细!G653-出库明细!E653*出库明细!F653)&gt;0.005,1,0),0)</f>
        <v>0</v>
      </c>
      <c r="O653">
        <f>IF(AND(ISNUMBER(存条明细!G653),ISNUMBER(存条明细!E653),ISNUMBER(存条明细!F653)),IF(ABS(存条明细!G653-存条明细!E653*存条明细!F653)&gt;0.005,1,0),0)</f>
        <v>0</v>
      </c>
    </row>
    <row r="654">
      <c r="A654">
        <f>IF(OR(存条明细!C654="",存条明细!D654=""),"",IF(COUNTIFS(存条明细!$C$4:C654,存条明细!C654,存条明细!$D$4:D654,存条明细!D654)&gt;1,"",IFERROR(MATCH(存条明细!C654,总览汇总!$B$5:$B$304,0),900)*10000000+IFERROR(MATCH(存条明细!D654,基础资料!$E$5:$E$104,0),900)*10000+ROW()))</f>
      </c>
      <c r="F654">
        <f>IF(AND(出库明细!C654&lt;&gt;"",出库明细!C654=客户对账单!$B$4,ISNUMBER(出库明细!B654),出库明细!B654&gt;=客户对账单!$G$4,出库明细!B654&lt;=客户对账单!$I$4),出库明细!B654+ROW()/100000,"")</f>
      </c>
      <c r="H654">
        <f>IF(AND(采购进货!C654&lt;&gt;"",采购进货!C654=供应商对账单!$B$4,ISNUMBER(采购进货!B654),采购进货!B654&gt;=供应商对账单!$G$4,采购进货!B654&lt;=供应商对账单!$I$4),采购进货!B654+ROW()/100000,"")</f>
      </c>
      <c r="N654">
        <f>IF(AND(ISNUMBER(出库明细!G654),ISNUMBER(出库明细!E654),ISNUMBER(出库明细!F654)),IF(ABS(出库明细!G654-出库明细!E654*出库明细!F654)&gt;0.005,1,0),0)</f>
        <v>0</v>
      </c>
      <c r="O654">
        <f>IF(AND(ISNUMBER(存条明细!G654),ISNUMBER(存条明细!E654),ISNUMBER(存条明细!F654)),IF(ABS(存条明细!G654-存条明细!E654*存条明细!F654)&gt;0.005,1,0),0)</f>
        <v>0</v>
      </c>
    </row>
    <row r="655">
      <c r="A655">
        <f>IF(OR(存条明细!C655="",存条明细!D655=""),"",IF(COUNTIFS(存条明细!$C$4:C655,存条明细!C655,存条明细!$D$4:D655,存条明细!D655)&gt;1,"",IFERROR(MATCH(存条明细!C655,总览汇总!$B$5:$B$304,0),900)*10000000+IFERROR(MATCH(存条明细!D655,基础资料!$E$5:$E$104,0),900)*10000+ROW()))</f>
      </c>
      <c r="F655">
        <f>IF(AND(出库明细!C655&lt;&gt;"",出库明细!C655=客户对账单!$B$4,ISNUMBER(出库明细!B655),出库明细!B655&gt;=客户对账单!$G$4,出库明细!B655&lt;=客户对账单!$I$4),出库明细!B655+ROW()/100000,"")</f>
      </c>
      <c r="H655">
        <f>IF(AND(采购进货!C655&lt;&gt;"",采购进货!C655=供应商对账单!$B$4,ISNUMBER(采购进货!B655),采购进货!B655&gt;=供应商对账单!$G$4,采购进货!B655&lt;=供应商对账单!$I$4),采购进货!B655+ROW()/100000,"")</f>
      </c>
      <c r="N655">
        <f>IF(AND(ISNUMBER(出库明细!G655),ISNUMBER(出库明细!E655),ISNUMBER(出库明细!F655)),IF(ABS(出库明细!G655-出库明细!E655*出库明细!F655)&gt;0.005,1,0),0)</f>
        <v>0</v>
      </c>
      <c r="O655">
        <f>IF(AND(ISNUMBER(存条明细!G655),ISNUMBER(存条明细!E655),ISNUMBER(存条明细!F655)),IF(ABS(存条明细!G655-存条明细!E655*存条明细!F655)&gt;0.005,1,0),0)</f>
        <v>0</v>
      </c>
    </row>
    <row r="656">
      <c r="A656">
        <f>IF(OR(存条明细!C656="",存条明细!D656=""),"",IF(COUNTIFS(存条明细!$C$4:C656,存条明细!C656,存条明细!$D$4:D656,存条明细!D656)&gt;1,"",IFERROR(MATCH(存条明细!C656,总览汇总!$B$5:$B$304,0),900)*10000000+IFERROR(MATCH(存条明细!D656,基础资料!$E$5:$E$104,0),900)*10000+ROW()))</f>
      </c>
      <c r="F656">
        <f>IF(AND(出库明细!C656&lt;&gt;"",出库明细!C656=客户对账单!$B$4,ISNUMBER(出库明细!B656),出库明细!B656&gt;=客户对账单!$G$4,出库明细!B656&lt;=客户对账单!$I$4),出库明细!B656+ROW()/100000,"")</f>
      </c>
      <c r="H656">
        <f>IF(AND(采购进货!C656&lt;&gt;"",采购进货!C656=供应商对账单!$B$4,ISNUMBER(采购进货!B656),采购进货!B656&gt;=供应商对账单!$G$4,采购进货!B656&lt;=供应商对账单!$I$4),采购进货!B656+ROW()/100000,"")</f>
      </c>
      <c r="N656">
        <f>IF(AND(ISNUMBER(出库明细!G656),ISNUMBER(出库明细!E656),ISNUMBER(出库明细!F656)),IF(ABS(出库明细!G656-出库明细!E656*出库明细!F656)&gt;0.005,1,0),0)</f>
        <v>0</v>
      </c>
      <c r="O656">
        <f>IF(AND(ISNUMBER(存条明细!G656),ISNUMBER(存条明细!E656),ISNUMBER(存条明细!F656)),IF(ABS(存条明细!G656-存条明细!E656*存条明细!F656)&gt;0.005,1,0),0)</f>
        <v>0</v>
      </c>
    </row>
    <row r="657">
      <c r="A657">
        <f>IF(OR(存条明细!C657="",存条明细!D657=""),"",IF(COUNTIFS(存条明细!$C$4:C657,存条明细!C657,存条明细!$D$4:D657,存条明细!D657)&gt;1,"",IFERROR(MATCH(存条明细!C657,总览汇总!$B$5:$B$304,0),900)*10000000+IFERROR(MATCH(存条明细!D657,基础资料!$E$5:$E$104,0),900)*10000+ROW()))</f>
      </c>
      <c r="F657">
        <f>IF(AND(出库明细!C657&lt;&gt;"",出库明细!C657=客户对账单!$B$4,ISNUMBER(出库明细!B657),出库明细!B657&gt;=客户对账单!$G$4,出库明细!B657&lt;=客户对账单!$I$4),出库明细!B657+ROW()/100000,"")</f>
      </c>
      <c r="H657">
        <f>IF(AND(采购进货!C657&lt;&gt;"",采购进货!C657=供应商对账单!$B$4,ISNUMBER(采购进货!B657),采购进货!B657&gt;=供应商对账单!$G$4,采购进货!B657&lt;=供应商对账单!$I$4),采购进货!B657+ROW()/100000,"")</f>
      </c>
      <c r="N657">
        <f>IF(AND(ISNUMBER(出库明细!G657),ISNUMBER(出库明细!E657),ISNUMBER(出库明细!F657)),IF(ABS(出库明细!G657-出库明细!E657*出库明细!F657)&gt;0.005,1,0),0)</f>
        <v>0</v>
      </c>
      <c r="O657">
        <f>IF(AND(ISNUMBER(存条明细!G657),ISNUMBER(存条明细!E657),ISNUMBER(存条明细!F657)),IF(ABS(存条明细!G657-存条明细!E657*存条明细!F657)&gt;0.005,1,0),0)</f>
        <v>0</v>
      </c>
    </row>
    <row r="658">
      <c r="A658">
        <f>IF(OR(存条明细!C658="",存条明细!D658=""),"",IF(COUNTIFS(存条明细!$C$4:C658,存条明细!C658,存条明细!$D$4:D658,存条明细!D658)&gt;1,"",IFERROR(MATCH(存条明细!C658,总览汇总!$B$5:$B$304,0),900)*10000000+IFERROR(MATCH(存条明细!D658,基础资料!$E$5:$E$104,0),900)*10000+ROW()))</f>
      </c>
      <c r="F658">
        <f>IF(AND(出库明细!C658&lt;&gt;"",出库明细!C658=客户对账单!$B$4,ISNUMBER(出库明细!B658),出库明细!B658&gt;=客户对账单!$G$4,出库明细!B658&lt;=客户对账单!$I$4),出库明细!B658+ROW()/100000,"")</f>
      </c>
      <c r="H658">
        <f>IF(AND(采购进货!C658&lt;&gt;"",采购进货!C658=供应商对账单!$B$4,ISNUMBER(采购进货!B658),采购进货!B658&gt;=供应商对账单!$G$4,采购进货!B658&lt;=供应商对账单!$I$4),采购进货!B658+ROW()/100000,"")</f>
      </c>
      <c r="N658">
        <f>IF(AND(ISNUMBER(出库明细!G658),ISNUMBER(出库明细!E658),ISNUMBER(出库明细!F658)),IF(ABS(出库明细!G658-出库明细!E658*出库明细!F658)&gt;0.005,1,0),0)</f>
        <v>0</v>
      </c>
      <c r="O658">
        <f>IF(AND(ISNUMBER(存条明细!G658),ISNUMBER(存条明细!E658),ISNUMBER(存条明细!F658)),IF(ABS(存条明细!G658-存条明细!E658*存条明细!F658)&gt;0.005,1,0),0)</f>
        <v>0</v>
      </c>
    </row>
    <row r="659">
      <c r="A659">
        <f>IF(OR(存条明细!C659="",存条明细!D659=""),"",IF(COUNTIFS(存条明细!$C$4:C659,存条明细!C659,存条明细!$D$4:D659,存条明细!D659)&gt;1,"",IFERROR(MATCH(存条明细!C659,总览汇总!$B$5:$B$304,0),900)*10000000+IFERROR(MATCH(存条明细!D659,基础资料!$E$5:$E$104,0),900)*10000+ROW()))</f>
      </c>
      <c r="F659">
        <f>IF(AND(出库明细!C659&lt;&gt;"",出库明细!C659=客户对账单!$B$4,ISNUMBER(出库明细!B659),出库明细!B659&gt;=客户对账单!$G$4,出库明细!B659&lt;=客户对账单!$I$4),出库明细!B659+ROW()/100000,"")</f>
      </c>
      <c r="H659">
        <f>IF(AND(采购进货!C659&lt;&gt;"",采购进货!C659=供应商对账单!$B$4,ISNUMBER(采购进货!B659),采购进货!B659&gt;=供应商对账单!$G$4,采购进货!B659&lt;=供应商对账单!$I$4),采购进货!B659+ROW()/100000,"")</f>
      </c>
      <c r="N659">
        <f>IF(AND(ISNUMBER(出库明细!G659),ISNUMBER(出库明细!E659),ISNUMBER(出库明细!F659)),IF(ABS(出库明细!G659-出库明细!E659*出库明细!F659)&gt;0.005,1,0),0)</f>
        <v>0</v>
      </c>
      <c r="O659">
        <f>IF(AND(ISNUMBER(存条明细!G659),ISNUMBER(存条明细!E659),ISNUMBER(存条明细!F659)),IF(ABS(存条明细!G659-存条明细!E659*存条明细!F659)&gt;0.005,1,0),0)</f>
        <v>0</v>
      </c>
    </row>
    <row r="660">
      <c r="A660">
        <f>IF(OR(存条明细!C660="",存条明细!D660=""),"",IF(COUNTIFS(存条明细!$C$4:C660,存条明细!C660,存条明细!$D$4:D660,存条明细!D660)&gt;1,"",IFERROR(MATCH(存条明细!C660,总览汇总!$B$5:$B$304,0),900)*10000000+IFERROR(MATCH(存条明细!D660,基础资料!$E$5:$E$104,0),900)*10000+ROW()))</f>
      </c>
      <c r="F660">
        <f>IF(AND(出库明细!C660&lt;&gt;"",出库明细!C660=客户对账单!$B$4,ISNUMBER(出库明细!B660),出库明细!B660&gt;=客户对账单!$G$4,出库明细!B660&lt;=客户对账单!$I$4),出库明细!B660+ROW()/100000,"")</f>
      </c>
      <c r="H660">
        <f>IF(AND(采购进货!C660&lt;&gt;"",采购进货!C660=供应商对账单!$B$4,ISNUMBER(采购进货!B660),采购进货!B660&gt;=供应商对账单!$G$4,采购进货!B660&lt;=供应商对账单!$I$4),采购进货!B660+ROW()/100000,"")</f>
      </c>
      <c r="N660">
        <f>IF(AND(ISNUMBER(出库明细!G660),ISNUMBER(出库明细!E660),ISNUMBER(出库明细!F660)),IF(ABS(出库明细!G660-出库明细!E660*出库明细!F660)&gt;0.005,1,0),0)</f>
        <v>0</v>
      </c>
      <c r="O660">
        <f>IF(AND(ISNUMBER(存条明细!G660),ISNUMBER(存条明细!E660),ISNUMBER(存条明细!F660)),IF(ABS(存条明细!G660-存条明细!E660*存条明细!F660)&gt;0.005,1,0),0)</f>
        <v>0</v>
      </c>
    </row>
    <row r="661">
      <c r="A661">
        <f>IF(OR(存条明细!C661="",存条明细!D661=""),"",IF(COUNTIFS(存条明细!$C$4:C661,存条明细!C661,存条明细!$D$4:D661,存条明细!D661)&gt;1,"",IFERROR(MATCH(存条明细!C661,总览汇总!$B$5:$B$304,0),900)*10000000+IFERROR(MATCH(存条明细!D661,基础资料!$E$5:$E$104,0),900)*10000+ROW()))</f>
      </c>
      <c r="F661">
        <f>IF(AND(出库明细!C661&lt;&gt;"",出库明细!C661=客户对账单!$B$4,ISNUMBER(出库明细!B661),出库明细!B661&gt;=客户对账单!$G$4,出库明细!B661&lt;=客户对账单!$I$4),出库明细!B661+ROW()/100000,"")</f>
      </c>
      <c r="H661">
        <f>IF(AND(采购进货!C661&lt;&gt;"",采购进货!C661=供应商对账单!$B$4,ISNUMBER(采购进货!B661),采购进货!B661&gt;=供应商对账单!$G$4,采购进货!B661&lt;=供应商对账单!$I$4),采购进货!B661+ROW()/100000,"")</f>
      </c>
      <c r="N661">
        <f>IF(AND(ISNUMBER(出库明细!G661),ISNUMBER(出库明细!E661),ISNUMBER(出库明细!F661)),IF(ABS(出库明细!G661-出库明细!E661*出库明细!F661)&gt;0.005,1,0),0)</f>
        <v>0</v>
      </c>
      <c r="O661">
        <f>IF(AND(ISNUMBER(存条明细!G661),ISNUMBER(存条明细!E661),ISNUMBER(存条明细!F661)),IF(ABS(存条明细!G661-存条明细!E661*存条明细!F661)&gt;0.005,1,0),0)</f>
        <v>0</v>
      </c>
    </row>
    <row r="662">
      <c r="A662">
        <f>IF(OR(存条明细!C662="",存条明细!D662=""),"",IF(COUNTIFS(存条明细!$C$4:C662,存条明细!C662,存条明细!$D$4:D662,存条明细!D662)&gt;1,"",IFERROR(MATCH(存条明细!C662,总览汇总!$B$5:$B$304,0),900)*10000000+IFERROR(MATCH(存条明细!D662,基础资料!$E$5:$E$104,0),900)*10000+ROW()))</f>
      </c>
      <c r="F662">
        <f>IF(AND(出库明细!C662&lt;&gt;"",出库明细!C662=客户对账单!$B$4,ISNUMBER(出库明细!B662),出库明细!B662&gt;=客户对账单!$G$4,出库明细!B662&lt;=客户对账单!$I$4),出库明细!B662+ROW()/100000,"")</f>
      </c>
      <c r="H662">
        <f>IF(AND(采购进货!C662&lt;&gt;"",采购进货!C662=供应商对账单!$B$4,ISNUMBER(采购进货!B662),采购进货!B662&gt;=供应商对账单!$G$4,采购进货!B662&lt;=供应商对账单!$I$4),采购进货!B662+ROW()/100000,"")</f>
      </c>
      <c r="N662">
        <f>IF(AND(ISNUMBER(出库明细!G662),ISNUMBER(出库明细!E662),ISNUMBER(出库明细!F662)),IF(ABS(出库明细!G662-出库明细!E662*出库明细!F662)&gt;0.005,1,0),0)</f>
        <v>0</v>
      </c>
      <c r="O662">
        <f>IF(AND(ISNUMBER(存条明细!G662),ISNUMBER(存条明细!E662),ISNUMBER(存条明细!F662)),IF(ABS(存条明细!G662-存条明细!E662*存条明细!F662)&gt;0.005,1,0),0)</f>
        <v>0</v>
      </c>
    </row>
    <row r="663">
      <c r="A663">
        <f>IF(OR(存条明细!C663="",存条明细!D663=""),"",IF(COUNTIFS(存条明细!$C$4:C663,存条明细!C663,存条明细!$D$4:D663,存条明细!D663)&gt;1,"",IFERROR(MATCH(存条明细!C663,总览汇总!$B$5:$B$304,0),900)*10000000+IFERROR(MATCH(存条明细!D663,基础资料!$E$5:$E$104,0),900)*10000+ROW()))</f>
      </c>
      <c r="F663">
        <f>IF(AND(出库明细!C663&lt;&gt;"",出库明细!C663=客户对账单!$B$4,ISNUMBER(出库明细!B663),出库明细!B663&gt;=客户对账单!$G$4,出库明细!B663&lt;=客户对账单!$I$4),出库明细!B663+ROW()/100000,"")</f>
      </c>
      <c r="H663">
        <f>IF(AND(采购进货!C663&lt;&gt;"",采购进货!C663=供应商对账单!$B$4,ISNUMBER(采购进货!B663),采购进货!B663&gt;=供应商对账单!$G$4,采购进货!B663&lt;=供应商对账单!$I$4),采购进货!B663+ROW()/100000,"")</f>
      </c>
      <c r="N663">
        <f>IF(AND(ISNUMBER(出库明细!G663),ISNUMBER(出库明细!E663),ISNUMBER(出库明细!F663)),IF(ABS(出库明细!G663-出库明细!E663*出库明细!F663)&gt;0.005,1,0),0)</f>
        <v>0</v>
      </c>
      <c r="O663">
        <f>IF(AND(ISNUMBER(存条明细!G663),ISNUMBER(存条明细!E663),ISNUMBER(存条明细!F663)),IF(ABS(存条明细!G663-存条明细!E663*存条明细!F663)&gt;0.005,1,0),0)</f>
        <v>0</v>
      </c>
    </row>
    <row r="664">
      <c r="A664">
        <f>IF(OR(存条明细!C664="",存条明细!D664=""),"",IF(COUNTIFS(存条明细!$C$4:C664,存条明细!C664,存条明细!$D$4:D664,存条明细!D664)&gt;1,"",IFERROR(MATCH(存条明细!C664,总览汇总!$B$5:$B$304,0),900)*10000000+IFERROR(MATCH(存条明细!D664,基础资料!$E$5:$E$104,0),900)*10000+ROW()))</f>
      </c>
      <c r="F664">
        <f>IF(AND(出库明细!C664&lt;&gt;"",出库明细!C664=客户对账单!$B$4,ISNUMBER(出库明细!B664),出库明细!B664&gt;=客户对账单!$G$4,出库明细!B664&lt;=客户对账单!$I$4),出库明细!B664+ROW()/100000,"")</f>
      </c>
      <c r="H664">
        <f>IF(AND(采购进货!C664&lt;&gt;"",采购进货!C664=供应商对账单!$B$4,ISNUMBER(采购进货!B664),采购进货!B664&gt;=供应商对账单!$G$4,采购进货!B664&lt;=供应商对账单!$I$4),采购进货!B664+ROW()/100000,"")</f>
      </c>
      <c r="N664">
        <f>IF(AND(ISNUMBER(出库明细!G664),ISNUMBER(出库明细!E664),ISNUMBER(出库明细!F664)),IF(ABS(出库明细!G664-出库明细!E664*出库明细!F664)&gt;0.005,1,0),0)</f>
        <v>0</v>
      </c>
      <c r="O664">
        <f>IF(AND(ISNUMBER(存条明细!G664),ISNUMBER(存条明细!E664),ISNUMBER(存条明细!F664)),IF(ABS(存条明细!G664-存条明细!E664*存条明细!F664)&gt;0.005,1,0),0)</f>
        <v>0</v>
      </c>
    </row>
    <row r="665">
      <c r="A665">
        <f>IF(OR(存条明细!C665="",存条明细!D665=""),"",IF(COUNTIFS(存条明细!$C$4:C665,存条明细!C665,存条明细!$D$4:D665,存条明细!D665)&gt;1,"",IFERROR(MATCH(存条明细!C665,总览汇总!$B$5:$B$304,0),900)*10000000+IFERROR(MATCH(存条明细!D665,基础资料!$E$5:$E$104,0),900)*10000+ROW()))</f>
      </c>
      <c r="F665">
        <f>IF(AND(出库明细!C665&lt;&gt;"",出库明细!C665=客户对账单!$B$4,ISNUMBER(出库明细!B665),出库明细!B665&gt;=客户对账单!$G$4,出库明细!B665&lt;=客户对账单!$I$4),出库明细!B665+ROW()/100000,"")</f>
      </c>
      <c r="H665">
        <f>IF(AND(采购进货!C665&lt;&gt;"",采购进货!C665=供应商对账单!$B$4,ISNUMBER(采购进货!B665),采购进货!B665&gt;=供应商对账单!$G$4,采购进货!B665&lt;=供应商对账单!$I$4),采购进货!B665+ROW()/100000,"")</f>
      </c>
      <c r="N665">
        <f>IF(AND(ISNUMBER(出库明细!G665),ISNUMBER(出库明细!E665),ISNUMBER(出库明细!F665)),IF(ABS(出库明细!G665-出库明细!E665*出库明细!F665)&gt;0.005,1,0),0)</f>
        <v>0</v>
      </c>
      <c r="O665">
        <f>IF(AND(ISNUMBER(存条明细!G665),ISNUMBER(存条明细!E665),ISNUMBER(存条明细!F665)),IF(ABS(存条明细!G665-存条明细!E665*存条明细!F665)&gt;0.005,1,0),0)</f>
        <v>0</v>
      </c>
    </row>
    <row r="666">
      <c r="A666">
        <f>IF(OR(存条明细!C666="",存条明细!D666=""),"",IF(COUNTIFS(存条明细!$C$4:C666,存条明细!C666,存条明细!$D$4:D666,存条明细!D666)&gt;1,"",IFERROR(MATCH(存条明细!C666,总览汇总!$B$5:$B$304,0),900)*10000000+IFERROR(MATCH(存条明细!D666,基础资料!$E$5:$E$104,0),900)*10000+ROW()))</f>
      </c>
      <c r="F666">
        <f>IF(AND(出库明细!C666&lt;&gt;"",出库明细!C666=客户对账单!$B$4,ISNUMBER(出库明细!B666),出库明细!B666&gt;=客户对账单!$G$4,出库明细!B666&lt;=客户对账单!$I$4),出库明细!B666+ROW()/100000,"")</f>
      </c>
      <c r="H666">
        <f>IF(AND(采购进货!C666&lt;&gt;"",采购进货!C666=供应商对账单!$B$4,ISNUMBER(采购进货!B666),采购进货!B666&gt;=供应商对账单!$G$4,采购进货!B666&lt;=供应商对账单!$I$4),采购进货!B666+ROW()/100000,"")</f>
      </c>
      <c r="N666">
        <f>IF(AND(ISNUMBER(出库明细!G666),ISNUMBER(出库明细!E666),ISNUMBER(出库明细!F666)),IF(ABS(出库明细!G666-出库明细!E666*出库明细!F666)&gt;0.005,1,0),0)</f>
        <v>0</v>
      </c>
      <c r="O666">
        <f>IF(AND(ISNUMBER(存条明细!G666),ISNUMBER(存条明细!E666),ISNUMBER(存条明细!F666)),IF(ABS(存条明细!G666-存条明细!E666*存条明细!F666)&gt;0.005,1,0),0)</f>
        <v>0</v>
      </c>
    </row>
    <row r="667">
      <c r="A667">
        <f>IF(OR(存条明细!C667="",存条明细!D667=""),"",IF(COUNTIFS(存条明细!$C$4:C667,存条明细!C667,存条明细!$D$4:D667,存条明细!D667)&gt;1,"",IFERROR(MATCH(存条明细!C667,总览汇总!$B$5:$B$304,0),900)*10000000+IFERROR(MATCH(存条明细!D667,基础资料!$E$5:$E$104,0),900)*10000+ROW()))</f>
      </c>
      <c r="F667">
        <f>IF(AND(出库明细!C667&lt;&gt;"",出库明细!C667=客户对账单!$B$4,ISNUMBER(出库明细!B667),出库明细!B667&gt;=客户对账单!$G$4,出库明细!B667&lt;=客户对账单!$I$4),出库明细!B667+ROW()/100000,"")</f>
      </c>
      <c r="H667">
        <f>IF(AND(采购进货!C667&lt;&gt;"",采购进货!C667=供应商对账单!$B$4,ISNUMBER(采购进货!B667),采购进货!B667&gt;=供应商对账单!$G$4,采购进货!B667&lt;=供应商对账单!$I$4),采购进货!B667+ROW()/100000,"")</f>
      </c>
      <c r="N667">
        <f>IF(AND(ISNUMBER(出库明细!G667),ISNUMBER(出库明细!E667),ISNUMBER(出库明细!F667)),IF(ABS(出库明细!G667-出库明细!E667*出库明细!F667)&gt;0.005,1,0),0)</f>
        <v>0</v>
      </c>
      <c r="O667">
        <f>IF(AND(ISNUMBER(存条明细!G667),ISNUMBER(存条明细!E667),ISNUMBER(存条明细!F667)),IF(ABS(存条明细!G667-存条明细!E667*存条明细!F667)&gt;0.005,1,0),0)</f>
        <v>0</v>
      </c>
    </row>
    <row r="668">
      <c r="A668">
        <f>IF(OR(存条明细!C668="",存条明细!D668=""),"",IF(COUNTIFS(存条明细!$C$4:C668,存条明细!C668,存条明细!$D$4:D668,存条明细!D668)&gt;1,"",IFERROR(MATCH(存条明细!C668,总览汇总!$B$5:$B$304,0),900)*10000000+IFERROR(MATCH(存条明细!D668,基础资料!$E$5:$E$104,0),900)*10000+ROW()))</f>
      </c>
      <c r="F668">
        <f>IF(AND(出库明细!C668&lt;&gt;"",出库明细!C668=客户对账单!$B$4,ISNUMBER(出库明细!B668),出库明细!B668&gt;=客户对账单!$G$4,出库明细!B668&lt;=客户对账单!$I$4),出库明细!B668+ROW()/100000,"")</f>
      </c>
      <c r="H668">
        <f>IF(AND(采购进货!C668&lt;&gt;"",采购进货!C668=供应商对账单!$B$4,ISNUMBER(采购进货!B668),采购进货!B668&gt;=供应商对账单!$G$4,采购进货!B668&lt;=供应商对账单!$I$4),采购进货!B668+ROW()/100000,"")</f>
      </c>
      <c r="N668">
        <f>IF(AND(ISNUMBER(出库明细!G668),ISNUMBER(出库明细!E668),ISNUMBER(出库明细!F668)),IF(ABS(出库明细!G668-出库明细!E668*出库明细!F668)&gt;0.005,1,0),0)</f>
        <v>0</v>
      </c>
      <c r="O668">
        <f>IF(AND(ISNUMBER(存条明细!G668),ISNUMBER(存条明细!E668),ISNUMBER(存条明细!F668)),IF(ABS(存条明细!G668-存条明细!E668*存条明细!F668)&gt;0.005,1,0),0)</f>
        <v>0</v>
      </c>
    </row>
    <row r="669">
      <c r="A669">
        <f>IF(OR(存条明细!C669="",存条明细!D669=""),"",IF(COUNTIFS(存条明细!$C$4:C669,存条明细!C669,存条明细!$D$4:D669,存条明细!D669)&gt;1,"",IFERROR(MATCH(存条明细!C669,总览汇总!$B$5:$B$304,0),900)*10000000+IFERROR(MATCH(存条明细!D669,基础资料!$E$5:$E$104,0),900)*10000+ROW()))</f>
      </c>
      <c r="F669">
        <f>IF(AND(出库明细!C669&lt;&gt;"",出库明细!C669=客户对账单!$B$4,ISNUMBER(出库明细!B669),出库明细!B669&gt;=客户对账单!$G$4,出库明细!B669&lt;=客户对账单!$I$4),出库明细!B669+ROW()/100000,"")</f>
      </c>
      <c r="H669">
        <f>IF(AND(采购进货!C669&lt;&gt;"",采购进货!C669=供应商对账单!$B$4,ISNUMBER(采购进货!B669),采购进货!B669&gt;=供应商对账单!$G$4,采购进货!B669&lt;=供应商对账单!$I$4),采购进货!B669+ROW()/100000,"")</f>
      </c>
      <c r="N669">
        <f>IF(AND(ISNUMBER(出库明细!G669),ISNUMBER(出库明细!E669),ISNUMBER(出库明细!F669)),IF(ABS(出库明细!G669-出库明细!E669*出库明细!F669)&gt;0.005,1,0),0)</f>
        <v>0</v>
      </c>
      <c r="O669">
        <f>IF(AND(ISNUMBER(存条明细!G669),ISNUMBER(存条明细!E669),ISNUMBER(存条明细!F669)),IF(ABS(存条明细!G669-存条明细!E669*存条明细!F669)&gt;0.005,1,0),0)</f>
        <v>0</v>
      </c>
    </row>
    <row r="670">
      <c r="A670">
        <f>IF(OR(存条明细!C670="",存条明细!D670=""),"",IF(COUNTIFS(存条明细!$C$4:C670,存条明细!C670,存条明细!$D$4:D670,存条明细!D670)&gt;1,"",IFERROR(MATCH(存条明细!C670,总览汇总!$B$5:$B$304,0),900)*10000000+IFERROR(MATCH(存条明细!D670,基础资料!$E$5:$E$104,0),900)*10000+ROW()))</f>
      </c>
      <c r="F670">
        <f>IF(AND(出库明细!C670&lt;&gt;"",出库明细!C670=客户对账单!$B$4,ISNUMBER(出库明细!B670),出库明细!B670&gt;=客户对账单!$G$4,出库明细!B670&lt;=客户对账单!$I$4),出库明细!B670+ROW()/100000,"")</f>
      </c>
      <c r="H670">
        <f>IF(AND(采购进货!C670&lt;&gt;"",采购进货!C670=供应商对账单!$B$4,ISNUMBER(采购进货!B670),采购进货!B670&gt;=供应商对账单!$G$4,采购进货!B670&lt;=供应商对账单!$I$4),采购进货!B670+ROW()/100000,"")</f>
      </c>
      <c r="N670">
        <f>IF(AND(ISNUMBER(出库明细!G670),ISNUMBER(出库明细!E670),ISNUMBER(出库明细!F670)),IF(ABS(出库明细!G670-出库明细!E670*出库明细!F670)&gt;0.005,1,0),0)</f>
        <v>0</v>
      </c>
      <c r="O670">
        <f>IF(AND(ISNUMBER(存条明细!G670),ISNUMBER(存条明细!E670),ISNUMBER(存条明细!F670)),IF(ABS(存条明细!G670-存条明细!E670*存条明细!F670)&gt;0.005,1,0),0)</f>
        <v>0</v>
      </c>
    </row>
    <row r="671">
      <c r="A671">
        <f>IF(OR(存条明细!C671="",存条明细!D671=""),"",IF(COUNTIFS(存条明细!$C$4:C671,存条明细!C671,存条明细!$D$4:D671,存条明细!D671)&gt;1,"",IFERROR(MATCH(存条明细!C671,总览汇总!$B$5:$B$304,0),900)*10000000+IFERROR(MATCH(存条明细!D671,基础资料!$E$5:$E$104,0),900)*10000+ROW()))</f>
      </c>
      <c r="F671">
        <f>IF(AND(出库明细!C671&lt;&gt;"",出库明细!C671=客户对账单!$B$4,ISNUMBER(出库明细!B671),出库明细!B671&gt;=客户对账单!$G$4,出库明细!B671&lt;=客户对账单!$I$4),出库明细!B671+ROW()/100000,"")</f>
      </c>
      <c r="H671">
        <f>IF(AND(采购进货!C671&lt;&gt;"",采购进货!C671=供应商对账单!$B$4,ISNUMBER(采购进货!B671),采购进货!B671&gt;=供应商对账单!$G$4,采购进货!B671&lt;=供应商对账单!$I$4),采购进货!B671+ROW()/100000,"")</f>
      </c>
      <c r="N671">
        <f>IF(AND(ISNUMBER(出库明细!G671),ISNUMBER(出库明细!E671),ISNUMBER(出库明细!F671)),IF(ABS(出库明细!G671-出库明细!E671*出库明细!F671)&gt;0.005,1,0),0)</f>
        <v>0</v>
      </c>
      <c r="O671">
        <f>IF(AND(ISNUMBER(存条明细!G671),ISNUMBER(存条明细!E671),ISNUMBER(存条明细!F671)),IF(ABS(存条明细!G671-存条明细!E671*存条明细!F671)&gt;0.005,1,0),0)</f>
        <v>0</v>
      </c>
    </row>
    <row r="672">
      <c r="A672">
        <f>IF(OR(存条明细!C672="",存条明细!D672=""),"",IF(COUNTIFS(存条明细!$C$4:C672,存条明细!C672,存条明细!$D$4:D672,存条明细!D672)&gt;1,"",IFERROR(MATCH(存条明细!C672,总览汇总!$B$5:$B$304,0),900)*10000000+IFERROR(MATCH(存条明细!D672,基础资料!$E$5:$E$104,0),900)*10000+ROW()))</f>
      </c>
      <c r="F672">
        <f>IF(AND(出库明细!C672&lt;&gt;"",出库明细!C672=客户对账单!$B$4,ISNUMBER(出库明细!B672),出库明细!B672&gt;=客户对账单!$G$4,出库明细!B672&lt;=客户对账单!$I$4),出库明细!B672+ROW()/100000,"")</f>
      </c>
      <c r="H672">
        <f>IF(AND(采购进货!C672&lt;&gt;"",采购进货!C672=供应商对账单!$B$4,ISNUMBER(采购进货!B672),采购进货!B672&gt;=供应商对账单!$G$4,采购进货!B672&lt;=供应商对账单!$I$4),采购进货!B672+ROW()/100000,"")</f>
      </c>
      <c r="N672">
        <f>IF(AND(ISNUMBER(出库明细!G672),ISNUMBER(出库明细!E672),ISNUMBER(出库明细!F672)),IF(ABS(出库明细!G672-出库明细!E672*出库明细!F672)&gt;0.005,1,0),0)</f>
        <v>0</v>
      </c>
      <c r="O672">
        <f>IF(AND(ISNUMBER(存条明细!G672),ISNUMBER(存条明细!E672),ISNUMBER(存条明细!F672)),IF(ABS(存条明细!G672-存条明细!E672*存条明细!F672)&gt;0.005,1,0),0)</f>
        <v>0</v>
      </c>
    </row>
    <row r="673">
      <c r="A673">
        <f>IF(OR(存条明细!C673="",存条明细!D673=""),"",IF(COUNTIFS(存条明细!$C$4:C673,存条明细!C673,存条明细!$D$4:D673,存条明细!D673)&gt;1,"",IFERROR(MATCH(存条明细!C673,总览汇总!$B$5:$B$304,0),900)*10000000+IFERROR(MATCH(存条明细!D673,基础资料!$E$5:$E$104,0),900)*10000+ROW()))</f>
      </c>
      <c r="F673">
        <f>IF(AND(出库明细!C673&lt;&gt;"",出库明细!C673=客户对账单!$B$4,ISNUMBER(出库明细!B673),出库明细!B673&gt;=客户对账单!$G$4,出库明细!B673&lt;=客户对账单!$I$4),出库明细!B673+ROW()/100000,"")</f>
      </c>
      <c r="H673">
        <f>IF(AND(采购进货!C673&lt;&gt;"",采购进货!C673=供应商对账单!$B$4,ISNUMBER(采购进货!B673),采购进货!B673&gt;=供应商对账单!$G$4,采购进货!B673&lt;=供应商对账单!$I$4),采购进货!B673+ROW()/100000,"")</f>
      </c>
      <c r="N673">
        <f>IF(AND(ISNUMBER(出库明细!G673),ISNUMBER(出库明细!E673),ISNUMBER(出库明细!F673)),IF(ABS(出库明细!G673-出库明细!E673*出库明细!F673)&gt;0.005,1,0),0)</f>
        <v>0</v>
      </c>
      <c r="O673">
        <f>IF(AND(ISNUMBER(存条明细!G673),ISNUMBER(存条明细!E673),ISNUMBER(存条明细!F673)),IF(ABS(存条明细!G673-存条明细!E673*存条明细!F673)&gt;0.005,1,0),0)</f>
        <v>0</v>
      </c>
    </row>
    <row r="674">
      <c r="A674">
        <f>IF(OR(存条明细!C674="",存条明细!D674=""),"",IF(COUNTIFS(存条明细!$C$4:C674,存条明细!C674,存条明细!$D$4:D674,存条明细!D674)&gt;1,"",IFERROR(MATCH(存条明细!C674,总览汇总!$B$5:$B$304,0),900)*10000000+IFERROR(MATCH(存条明细!D674,基础资料!$E$5:$E$104,0),900)*10000+ROW()))</f>
      </c>
      <c r="F674">
        <f>IF(AND(出库明细!C674&lt;&gt;"",出库明细!C674=客户对账单!$B$4,ISNUMBER(出库明细!B674),出库明细!B674&gt;=客户对账单!$G$4,出库明细!B674&lt;=客户对账单!$I$4),出库明细!B674+ROW()/100000,"")</f>
      </c>
      <c r="H674">
        <f>IF(AND(采购进货!C674&lt;&gt;"",采购进货!C674=供应商对账单!$B$4,ISNUMBER(采购进货!B674),采购进货!B674&gt;=供应商对账单!$G$4,采购进货!B674&lt;=供应商对账单!$I$4),采购进货!B674+ROW()/100000,"")</f>
      </c>
      <c r="N674">
        <f>IF(AND(ISNUMBER(出库明细!G674),ISNUMBER(出库明细!E674),ISNUMBER(出库明细!F674)),IF(ABS(出库明细!G674-出库明细!E674*出库明细!F674)&gt;0.005,1,0),0)</f>
        <v>0</v>
      </c>
      <c r="O674">
        <f>IF(AND(ISNUMBER(存条明细!G674),ISNUMBER(存条明细!E674),ISNUMBER(存条明细!F674)),IF(ABS(存条明细!G674-存条明细!E674*存条明细!F674)&gt;0.005,1,0),0)</f>
        <v>0</v>
      </c>
    </row>
    <row r="675">
      <c r="A675">
        <f>IF(OR(存条明细!C675="",存条明细!D675=""),"",IF(COUNTIFS(存条明细!$C$4:C675,存条明细!C675,存条明细!$D$4:D675,存条明细!D675)&gt;1,"",IFERROR(MATCH(存条明细!C675,总览汇总!$B$5:$B$304,0),900)*10000000+IFERROR(MATCH(存条明细!D675,基础资料!$E$5:$E$104,0),900)*10000+ROW()))</f>
      </c>
      <c r="F675">
        <f>IF(AND(出库明细!C675&lt;&gt;"",出库明细!C675=客户对账单!$B$4,ISNUMBER(出库明细!B675),出库明细!B675&gt;=客户对账单!$G$4,出库明细!B675&lt;=客户对账单!$I$4),出库明细!B675+ROW()/100000,"")</f>
      </c>
      <c r="H675">
        <f>IF(AND(采购进货!C675&lt;&gt;"",采购进货!C675=供应商对账单!$B$4,ISNUMBER(采购进货!B675),采购进货!B675&gt;=供应商对账单!$G$4,采购进货!B675&lt;=供应商对账单!$I$4),采购进货!B675+ROW()/100000,"")</f>
      </c>
      <c r="N675">
        <f>IF(AND(ISNUMBER(出库明细!G675),ISNUMBER(出库明细!E675),ISNUMBER(出库明细!F675)),IF(ABS(出库明细!G675-出库明细!E675*出库明细!F675)&gt;0.005,1,0),0)</f>
        <v>0</v>
      </c>
      <c r="O675">
        <f>IF(AND(ISNUMBER(存条明细!G675),ISNUMBER(存条明细!E675),ISNUMBER(存条明细!F675)),IF(ABS(存条明细!G675-存条明细!E675*存条明细!F675)&gt;0.005,1,0),0)</f>
        <v>0</v>
      </c>
    </row>
    <row r="676">
      <c r="A676">
        <f>IF(OR(存条明细!C676="",存条明细!D676=""),"",IF(COUNTIFS(存条明细!$C$4:C676,存条明细!C676,存条明细!$D$4:D676,存条明细!D676)&gt;1,"",IFERROR(MATCH(存条明细!C676,总览汇总!$B$5:$B$304,0),900)*10000000+IFERROR(MATCH(存条明细!D676,基础资料!$E$5:$E$104,0),900)*10000+ROW()))</f>
      </c>
      <c r="F676">
        <f>IF(AND(出库明细!C676&lt;&gt;"",出库明细!C676=客户对账单!$B$4,ISNUMBER(出库明细!B676),出库明细!B676&gt;=客户对账单!$G$4,出库明细!B676&lt;=客户对账单!$I$4),出库明细!B676+ROW()/100000,"")</f>
      </c>
      <c r="H676">
        <f>IF(AND(采购进货!C676&lt;&gt;"",采购进货!C676=供应商对账单!$B$4,ISNUMBER(采购进货!B676),采购进货!B676&gt;=供应商对账单!$G$4,采购进货!B676&lt;=供应商对账单!$I$4),采购进货!B676+ROW()/100000,"")</f>
      </c>
      <c r="N676">
        <f>IF(AND(ISNUMBER(出库明细!G676),ISNUMBER(出库明细!E676),ISNUMBER(出库明细!F676)),IF(ABS(出库明细!G676-出库明细!E676*出库明细!F676)&gt;0.005,1,0),0)</f>
        <v>0</v>
      </c>
      <c r="O676">
        <f>IF(AND(ISNUMBER(存条明细!G676),ISNUMBER(存条明细!E676),ISNUMBER(存条明细!F676)),IF(ABS(存条明细!G676-存条明细!E676*存条明细!F676)&gt;0.005,1,0),0)</f>
        <v>0</v>
      </c>
    </row>
    <row r="677">
      <c r="A677">
        <f>IF(OR(存条明细!C677="",存条明细!D677=""),"",IF(COUNTIFS(存条明细!$C$4:C677,存条明细!C677,存条明细!$D$4:D677,存条明细!D677)&gt;1,"",IFERROR(MATCH(存条明细!C677,总览汇总!$B$5:$B$304,0),900)*10000000+IFERROR(MATCH(存条明细!D677,基础资料!$E$5:$E$104,0),900)*10000+ROW()))</f>
      </c>
      <c r="F677">
        <f>IF(AND(出库明细!C677&lt;&gt;"",出库明细!C677=客户对账单!$B$4,ISNUMBER(出库明细!B677),出库明细!B677&gt;=客户对账单!$G$4,出库明细!B677&lt;=客户对账单!$I$4),出库明细!B677+ROW()/100000,"")</f>
      </c>
      <c r="H677">
        <f>IF(AND(采购进货!C677&lt;&gt;"",采购进货!C677=供应商对账单!$B$4,ISNUMBER(采购进货!B677),采购进货!B677&gt;=供应商对账单!$G$4,采购进货!B677&lt;=供应商对账单!$I$4),采购进货!B677+ROW()/100000,"")</f>
      </c>
      <c r="N677">
        <f>IF(AND(ISNUMBER(出库明细!G677),ISNUMBER(出库明细!E677),ISNUMBER(出库明细!F677)),IF(ABS(出库明细!G677-出库明细!E677*出库明细!F677)&gt;0.005,1,0),0)</f>
        <v>0</v>
      </c>
      <c r="O677">
        <f>IF(AND(ISNUMBER(存条明细!G677),ISNUMBER(存条明细!E677),ISNUMBER(存条明细!F677)),IF(ABS(存条明细!G677-存条明细!E677*存条明细!F677)&gt;0.005,1,0),0)</f>
        <v>0</v>
      </c>
    </row>
    <row r="678">
      <c r="A678">
        <f>IF(OR(存条明细!C678="",存条明细!D678=""),"",IF(COUNTIFS(存条明细!$C$4:C678,存条明细!C678,存条明细!$D$4:D678,存条明细!D678)&gt;1,"",IFERROR(MATCH(存条明细!C678,总览汇总!$B$5:$B$304,0),900)*10000000+IFERROR(MATCH(存条明细!D678,基础资料!$E$5:$E$104,0),900)*10000+ROW()))</f>
      </c>
      <c r="F678">
        <f>IF(AND(出库明细!C678&lt;&gt;"",出库明细!C678=客户对账单!$B$4,ISNUMBER(出库明细!B678),出库明细!B678&gt;=客户对账单!$G$4,出库明细!B678&lt;=客户对账单!$I$4),出库明细!B678+ROW()/100000,"")</f>
      </c>
      <c r="H678">
        <f>IF(AND(采购进货!C678&lt;&gt;"",采购进货!C678=供应商对账单!$B$4,ISNUMBER(采购进货!B678),采购进货!B678&gt;=供应商对账单!$G$4,采购进货!B678&lt;=供应商对账单!$I$4),采购进货!B678+ROW()/100000,"")</f>
      </c>
      <c r="N678">
        <f>IF(AND(ISNUMBER(出库明细!G678),ISNUMBER(出库明细!E678),ISNUMBER(出库明细!F678)),IF(ABS(出库明细!G678-出库明细!E678*出库明细!F678)&gt;0.005,1,0),0)</f>
        <v>0</v>
      </c>
      <c r="O678">
        <f>IF(AND(ISNUMBER(存条明细!G678),ISNUMBER(存条明细!E678),ISNUMBER(存条明细!F678)),IF(ABS(存条明细!G678-存条明细!E678*存条明细!F678)&gt;0.005,1,0),0)</f>
        <v>0</v>
      </c>
    </row>
    <row r="679">
      <c r="A679">
        <f>IF(OR(存条明细!C679="",存条明细!D679=""),"",IF(COUNTIFS(存条明细!$C$4:C679,存条明细!C679,存条明细!$D$4:D679,存条明细!D679)&gt;1,"",IFERROR(MATCH(存条明细!C679,总览汇总!$B$5:$B$304,0),900)*10000000+IFERROR(MATCH(存条明细!D679,基础资料!$E$5:$E$104,0),900)*10000+ROW()))</f>
      </c>
      <c r="F679">
        <f>IF(AND(出库明细!C679&lt;&gt;"",出库明细!C679=客户对账单!$B$4,ISNUMBER(出库明细!B679),出库明细!B679&gt;=客户对账单!$G$4,出库明细!B679&lt;=客户对账单!$I$4),出库明细!B679+ROW()/100000,"")</f>
      </c>
      <c r="H679">
        <f>IF(AND(采购进货!C679&lt;&gt;"",采购进货!C679=供应商对账单!$B$4,ISNUMBER(采购进货!B679),采购进货!B679&gt;=供应商对账单!$G$4,采购进货!B679&lt;=供应商对账单!$I$4),采购进货!B679+ROW()/100000,"")</f>
      </c>
      <c r="N679">
        <f>IF(AND(ISNUMBER(出库明细!G679),ISNUMBER(出库明细!E679),ISNUMBER(出库明细!F679)),IF(ABS(出库明细!G679-出库明细!E679*出库明细!F679)&gt;0.005,1,0),0)</f>
        <v>0</v>
      </c>
      <c r="O679">
        <f>IF(AND(ISNUMBER(存条明细!G679),ISNUMBER(存条明细!E679),ISNUMBER(存条明细!F679)),IF(ABS(存条明细!G679-存条明细!E679*存条明细!F679)&gt;0.005,1,0),0)</f>
        <v>0</v>
      </c>
    </row>
    <row r="680">
      <c r="A680">
        <f>IF(OR(存条明细!C680="",存条明细!D680=""),"",IF(COUNTIFS(存条明细!$C$4:C680,存条明细!C680,存条明细!$D$4:D680,存条明细!D680)&gt;1,"",IFERROR(MATCH(存条明细!C680,总览汇总!$B$5:$B$304,0),900)*10000000+IFERROR(MATCH(存条明细!D680,基础资料!$E$5:$E$104,0),900)*10000+ROW()))</f>
      </c>
      <c r="F680">
        <f>IF(AND(出库明细!C680&lt;&gt;"",出库明细!C680=客户对账单!$B$4,ISNUMBER(出库明细!B680),出库明细!B680&gt;=客户对账单!$G$4,出库明细!B680&lt;=客户对账单!$I$4),出库明细!B680+ROW()/100000,"")</f>
      </c>
      <c r="H680">
        <f>IF(AND(采购进货!C680&lt;&gt;"",采购进货!C680=供应商对账单!$B$4,ISNUMBER(采购进货!B680),采购进货!B680&gt;=供应商对账单!$G$4,采购进货!B680&lt;=供应商对账单!$I$4),采购进货!B680+ROW()/100000,"")</f>
      </c>
      <c r="N680">
        <f>IF(AND(ISNUMBER(出库明细!G680),ISNUMBER(出库明细!E680),ISNUMBER(出库明细!F680)),IF(ABS(出库明细!G680-出库明细!E680*出库明细!F680)&gt;0.005,1,0),0)</f>
        <v>0</v>
      </c>
      <c r="O680">
        <f>IF(AND(ISNUMBER(存条明细!G680),ISNUMBER(存条明细!E680),ISNUMBER(存条明细!F680)),IF(ABS(存条明细!G680-存条明细!E680*存条明细!F680)&gt;0.005,1,0),0)</f>
        <v>0</v>
      </c>
    </row>
    <row r="681">
      <c r="A681">
        <f>IF(OR(存条明细!C681="",存条明细!D681=""),"",IF(COUNTIFS(存条明细!$C$4:C681,存条明细!C681,存条明细!$D$4:D681,存条明细!D681)&gt;1,"",IFERROR(MATCH(存条明细!C681,总览汇总!$B$5:$B$304,0),900)*10000000+IFERROR(MATCH(存条明细!D681,基础资料!$E$5:$E$104,0),900)*10000+ROW()))</f>
      </c>
      <c r="F681">
        <f>IF(AND(出库明细!C681&lt;&gt;"",出库明细!C681=客户对账单!$B$4,ISNUMBER(出库明细!B681),出库明细!B681&gt;=客户对账单!$G$4,出库明细!B681&lt;=客户对账单!$I$4),出库明细!B681+ROW()/100000,"")</f>
      </c>
      <c r="H681">
        <f>IF(AND(采购进货!C681&lt;&gt;"",采购进货!C681=供应商对账单!$B$4,ISNUMBER(采购进货!B681),采购进货!B681&gt;=供应商对账单!$G$4,采购进货!B681&lt;=供应商对账单!$I$4),采购进货!B681+ROW()/100000,"")</f>
      </c>
      <c r="N681">
        <f>IF(AND(ISNUMBER(出库明细!G681),ISNUMBER(出库明细!E681),ISNUMBER(出库明细!F681)),IF(ABS(出库明细!G681-出库明细!E681*出库明细!F681)&gt;0.005,1,0),0)</f>
        <v>0</v>
      </c>
      <c r="O681">
        <f>IF(AND(ISNUMBER(存条明细!G681),ISNUMBER(存条明细!E681),ISNUMBER(存条明细!F681)),IF(ABS(存条明细!G681-存条明细!E681*存条明细!F681)&gt;0.005,1,0),0)</f>
        <v>0</v>
      </c>
    </row>
    <row r="682">
      <c r="A682">
        <f>IF(OR(存条明细!C682="",存条明细!D682=""),"",IF(COUNTIFS(存条明细!$C$4:C682,存条明细!C682,存条明细!$D$4:D682,存条明细!D682)&gt;1,"",IFERROR(MATCH(存条明细!C682,总览汇总!$B$5:$B$304,0),900)*10000000+IFERROR(MATCH(存条明细!D682,基础资料!$E$5:$E$104,0),900)*10000+ROW()))</f>
      </c>
      <c r="F682">
        <f>IF(AND(出库明细!C682&lt;&gt;"",出库明细!C682=客户对账单!$B$4,ISNUMBER(出库明细!B682),出库明细!B682&gt;=客户对账单!$G$4,出库明细!B682&lt;=客户对账单!$I$4),出库明细!B682+ROW()/100000,"")</f>
      </c>
      <c r="H682">
        <f>IF(AND(采购进货!C682&lt;&gt;"",采购进货!C682=供应商对账单!$B$4,ISNUMBER(采购进货!B682),采购进货!B682&gt;=供应商对账单!$G$4,采购进货!B682&lt;=供应商对账单!$I$4),采购进货!B682+ROW()/100000,"")</f>
      </c>
      <c r="N682">
        <f>IF(AND(ISNUMBER(出库明细!G682),ISNUMBER(出库明细!E682),ISNUMBER(出库明细!F682)),IF(ABS(出库明细!G682-出库明细!E682*出库明细!F682)&gt;0.005,1,0),0)</f>
        <v>0</v>
      </c>
      <c r="O682">
        <f>IF(AND(ISNUMBER(存条明细!G682),ISNUMBER(存条明细!E682),ISNUMBER(存条明细!F682)),IF(ABS(存条明细!G682-存条明细!E682*存条明细!F682)&gt;0.005,1,0),0)</f>
        <v>0</v>
      </c>
    </row>
    <row r="683">
      <c r="A683">
        <f>IF(OR(存条明细!C683="",存条明细!D683=""),"",IF(COUNTIFS(存条明细!$C$4:C683,存条明细!C683,存条明细!$D$4:D683,存条明细!D683)&gt;1,"",IFERROR(MATCH(存条明细!C683,总览汇总!$B$5:$B$304,0),900)*10000000+IFERROR(MATCH(存条明细!D683,基础资料!$E$5:$E$104,0),900)*10000+ROW()))</f>
      </c>
      <c r="F683">
        <f>IF(AND(出库明细!C683&lt;&gt;"",出库明细!C683=客户对账单!$B$4,ISNUMBER(出库明细!B683),出库明细!B683&gt;=客户对账单!$G$4,出库明细!B683&lt;=客户对账单!$I$4),出库明细!B683+ROW()/100000,"")</f>
      </c>
      <c r="H683">
        <f>IF(AND(采购进货!C683&lt;&gt;"",采购进货!C683=供应商对账单!$B$4,ISNUMBER(采购进货!B683),采购进货!B683&gt;=供应商对账单!$G$4,采购进货!B683&lt;=供应商对账单!$I$4),采购进货!B683+ROW()/100000,"")</f>
      </c>
      <c r="N683">
        <f>IF(AND(ISNUMBER(出库明细!G683),ISNUMBER(出库明细!E683),ISNUMBER(出库明细!F683)),IF(ABS(出库明细!G683-出库明细!E683*出库明细!F683)&gt;0.005,1,0),0)</f>
        <v>0</v>
      </c>
      <c r="O683">
        <f>IF(AND(ISNUMBER(存条明细!G683),ISNUMBER(存条明细!E683),ISNUMBER(存条明细!F683)),IF(ABS(存条明细!G683-存条明细!E683*存条明细!F683)&gt;0.005,1,0),0)</f>
        <v>0</v>
      </c>
    </row>
    <row r="684">
      <c r="A684">
        <f>IF(OR(存条明细!C684="",存条明细!D684=""),"",IF(COUNTIFS(存条明细!$C$4:C684,存条明细!C684,存条明细!$D$4:D684,存条明细!D684)&gt;1,"",IFERROR(MATCH(存条明细!C684,总览汇总!$B$5:$B$304,0),900)*10000000+IFERROR(MATCH(存条明细!D684,基础资料!$E$5:$E$104,0),900)*10000+ROW()))</f>
      </c>
      <c r="F684">
        <f>IF(AND(出库明细!C684&lt;&gt;"",出库明细!C684=客户对账单!$B$4,ISNUMBER(出库明细!B684),出库明细!B684&gt;=客户对账单!$G$4,出库明细!B684&lt;=客户对账单!$I$4),出库明细!B684+ROW()/100000,"")</f>
      </c>
      <c r="H684">
        <f>IF(AND(采购进货!C684&lt;&gt;"",采购进货!C684=供应商对账单!$B$4,ISNUMBER(采购进货!B684),采购进货!B684&gt;=供应商对账单!$G$4,采购进货!B684&lt;=供应商对账单!$I$4),采购进货!B684+ROW()/100000,"")</f>
      </c>
      <c r="N684">
        <f>IF(AND(ISNUMBER(出库明细!G684),ISNUMBER(出库明细!E684),ISNUMBER(出库明细!F684)),IF(ABS(出库明细!G684-出库明细!E684*出库明细!F684)&gt;0.005,1,0),0)</f>
        <v>0</v>
      </c>
      <c r="O684">
        <f>IF(AND(ISNUMBER(存条明细!G684),ISNUMBER(存条明细!E684),ISNUMBER(存条明细!F684)),IF(ABS(存条明细!G684-存条明细!E684*存条明细!F684)&gt;0.005,1,0),0)</f>
        <v>0</v>
      </c>
    </row>
    <row r="685">
      <c r="A685">
        <f>IF(OR(存条明细!C685="",存条明细!D685=""),"",IF(COUNTIFS(存条明细!$C$4:C685,存条明细!C685,存条明细!$D$4:D685,存条明细!D685)&gt;1,"",IFERROR(MATCH(存条明细!C685,总览汇总!$B$5:$B$304,0),900)*10000000+IFERROR(MATCH(存条明细!D685,基础资料!$E$5:$E$104,0),900)*10000+ROW()))</f>
      </c>
      <c r="F685">
        <f>IF(AND(出库明细!C685&lt;&gt;"",出库明细!C685=客户对账单!$B$4,ISNUMBER(出库明细!B685),出库明细!B685&gt;=客户对账单!$G$4,出库明细!B685&lt;=客户对账单!$I$4),出库明细!B685+ROW()/100000,"")</f>
      </c>
      <c r="H685">
        <f>IF(AND(采购进货!C685&lt;&gt;"",采购进货!C685=供应商对账单!$B$4,ISNUMBER(采购进货!B685),采购进货!B685&gt;=供应商对账单!$G$4,采购进货!B685&lt;=供应商对账单!$I$4),采购进货!B685+ROW()/100000,"")</f>
      </c>
      <c r="N685">
        <f>IF(AND(ISNUMBER(出库明细!G685),ISNUMBER(出库明细!E685),ISNUMBER(出库明细!F685)),IF(ABS(出库明细!G685-出库明细!E685*出库明细!F685)&gt;0.005,1,0),0)</f>
        <v>0</v>
      </c>
      <c r="O685">
        <f>IF(AND(ISNUMBER(存条明细!G685),ISNUMBER(存条明细!E685),ISNUMBER(存条明细!F685)),IF(ABS(存条明细!G685-存条明细!E685*存条明细!F685)&gt;0.005,1,0),0)</f>
        <v>0</v>
      </c>
    </row>
    <row r="686">
      <c r="A686">
        <f>IF(OR(存条明细!C686="",存条明细!D686=""),"",IF(COUNTIFS(存条明细!$C$4:C686,存条明细!C686,存条明细!$D$4:D686,存条明细!D686)&gt;1,"",IFERROR(MATCH(存条明细!C686,总览汇总!$B$5:$B$304,0),900)*10000000+IFERROR(MATCH(存条明细!D686,基础资料!$E$5:$E$104,0),900)*10000+ROW()))</f>
      </c>
      <c r="F686">
        <f>IF(AND(出库明细!C686&lt;&gt;"",出库明细!C686=客户对账单!$B$4,ISNUMBER(出库明细!B686),出库明细!B686&gt;=客户对账单!$G$4,出库明细!B686&lt;=客户对账单!$I$4),出库明细!B686+ROW()/100000,"")</f>
      </c>
      <c r="H686">
        <f>IF(AND(采购进货!C686&lt;&gt;"",采购进货!C686=供应商对账单!$B$4,ISNUMBER(采购进货!B686),采购进货!B686&gt;=供应商对账单!$G$4,采购进货!B686&lt;=供应商对账单!$I$4),采购进货!B686+ROW()/100000,"")</f>
      </c>
      <c r="N686">
        <f>IF(AND(ISNUMBER(出库明细!G686),ISNUMBER(出库明细!E686),ISNUMBER(出库明细!F686)),IF(ABS(出库明细!G686-出库明细!E686*出库明细!F686)&gt;0.005,1,0),0)</f>
        <v>0</v>
      </c>
      <c r="O686">
        <f>IF(AND(ISNUMBER(存条明细!G686),ISNUMBER(存条明细!E686),ISNUMBER(存条明细!F686)),IF(ABS(存条明细!G686-存条明细!E686*存条明细!F686)&gt;0.005,1,0),0)</f>
        <v>0</v>
      </c>
    </row>
    <row r="687">
      <c r="A687">
        <f>IF(OR(存条明细!C687="",存条明细!D687=""),"",IF(COUNTIFS(存条明细!$C$4:C687,存条明细!C687,存条明细!$D$4:D687,存条明细!D687)&gt;1,"",IFERROR(MATCH(存条明细!C687,总览汇总!$B$5:$B$304,0),900)*10000000+IFERROR(MATCH(存条明细!D687,基础资料!$E$5:$E$104,0),900)*10000+ROW()))</f>
      </c>
      <c r="F687">
        <f>IF(AND(出库明细!C687&lt;&gt;"",出库明细!C687=客户对账单!$B$4,ISNUMBER(出库明细!B687),出库明细!B687&gt;=客户对账单!$G$4,出库明细!B687&lt;=客户对账单!$I$4),出库明细!B687+ROW()/100000,"")</f>
      </c>
      <c r="H687">
        <f>IF(AND(采购进货!C687&lt;&gt;"",采购进货!C687=供应商对账单!$B$4,ISNUMBER(采购进货!B687),采购进货!B687&gt;=供应商对账单!$G$4,采购进货!B687&lt;=供应商对账单!$I$4),采购进货!B687+ROW()/100000,"")</f>
      </c>
      <c r="N687">
        <f>IF(AND(ISNUMBER(出库明细!G687),ISNUMBER(出库明细!E687),ISNUMBER(出库明细!F687)),IF(ABS(出库明细!G687-出库明细!E687*出库明细!F687)&gt;0.005,1,0),0)</f>
        <v>0</v>
      </c>
      <c r="O687">
        <f>IF(AND(ISNUMBER(存条明细!G687),ISNUMBER(存条明细!E687),ISNUMBER(存条明细!F687)),IF(ABS(存条明细!G687-存条明细!E687*存条明细!F687)&gt;0.005,1,0),0)</f>
        <v>0</v>
      </c>
    </row>
    <row r="688">
      <c r="A688">
        <f>IF(OR(存条明细!C688="",存条明细!D688=""),"",IF(COUNTIFS(存条明细!$C$4:C688,存条明细!C688,存条明细!$D$4:D688,存条明细!D688)&gt;1,"",IFERROR(MATCH(存条明细!C688,总览汇总!$B$5:$B$304,0),900)*10000000+IFERROR(MATCH(存条明细!D688,基础资料!$E$5:$E$104,0),900)*10000+ROW()))</f>
      </c>
      <c r="F688">
        <f>IF(AND(出库明细!C688&lt;&gt;"",出库明细!C688=客户对账单!$B$4,ISNUMBER(出库明细!B688),出库明细!B688&gt;=客户对账单!$G$4,出库明细!B688&lt;=客户对账单!$I$4),出库明细!B688+ROW()/100000,"")</f>
      </c>
      <c r="H688">
        <f>IF(AND(采购进货!C688&lt;&gt;"",采购进货!C688=供应商对账单!$B$4,ISNUMBER(采购进货!B688),采购进货!B688&gt;=供应商对账单!$G$4,采购进货!B688&lt;=供应商对账单!$I$4),采购进货!B688+ROW()/100000,"")</f>
      </c>
      <c r="N688">
        <f>IF(AND(ISNUMBER(出库明细!G688),ISNUMBER(出库明细!E688),ISNUMBER(出库明细!F688)),IF(ABS(出库明细!G688-出库明细!E688*出库明细!F688)&gt;0.005,1,0),0)</f>
        <v>0</v>
      </c>
      <c r="O688">
        <f>IF(AND(ISNUMBER(存条明细!G688),ISNUMBER(存条明细!E688),ISNUMBER(存条明细!F688)),IF(ABS(存条明细!G688-存条明细!E688*存条明细!F688)&gt;0.005,1,0),0)</f>
        <v>0</v>
      </c>
    </row>
    <row r="689">
      <c r="A689">
        <f>IF(OR(存条明细!C689="",存条明细!D689=""),"",IF(COUNTIFS(存条明细!$C$4:C689,存条明细!C689,存条明细!$D$4:D689,存条明细!D689)&gt;1,"",IFERROR(MATCH(存条明细!C689,总览汇总!$B$5:$B$304,0),900)*10000000+IFERROR(MATCH(存条明细!D689,基础资料!$E$5:$E$104,0),900)*10000+ROW()))</f>
      </c>
      <c r="F689">
        <f>IF(AND(出库明细!C689&lt;&gt;"",出库明细!C689=客户对账单!$B$4,ISNUMBER(出库明细!B689),出库明细!B689&gt;=客户对账单!$G$4,出库明细!B689&lt;=客户对账单!$I$4),出库明细!B689+ROW()/100000,"")</f>
      </c>
      <c r="H689">
        <f>IF(AND(采购进货!C689&lt;&gt;"",采购进货!C689=供应商对账单!$B$4,ISNUMBER(采购进货!B689),采购进货!B689&gt;=供应商对账单!$G$4,采购进货!B689&lt;=供应商对账单!$I$4),采购进货!B689+ROW()/100000,"")</f>
      </c>
      <c r="N689">
        <f>IF(AND(ISNUMBER(出库明细!G689),ISNUMBER(出库明细!E689),ISNUMBER(出库明细!F689)),IF(ABS(出库明细!G689-出库明细!E689*出库明细!F689)&gt;0.005,1,0),0)</f>
        <v>0</v>
      </c>
      <c r="O689">
        <f>IF(AND(ISNUMBER(存条明细!G689),ISNUMBER(存条明细!E689),ISNUMBER(存条明细!F689)),IF(ABS(存条明细!G689-存条明细!E689*存条明细!F689)&gt;0.005,1,0),0)</f>
        <v>0</v>
      </c>
    </row>
    <row r="690">
      <c r="A690">
        <f>IF(OR(存条明细!C690="",存条明细!D690=""),"",IF(COUNTIFS(存条明细!$C$4:C690,存条明细!C690,存条明细!$D$4:D690,存条明细!D690)&gt;1,"",IFERROR(MATCH(存条明细!C690,总览汇总!$B$5:$B$304,0),900)*10000000+IFERROR(MATCH(存条明细!D690,基础资料!$E$5:$E$104,0),900)*10000+ROW()))</f>
      </c>
      <c r="F690">
        <f>IF(AND(出库明细!C690&lt;&gt;"",出库明细!C690=客户对账单!$B$4,ISNUMBER(出库明细!B690),出库明细!B690&gt;=客户对账单!$G$4,出库明细!B690&lt;=客户对账单!$I$4),出库明细!B690+ROW()/100000,"")</f>
      </c>
      <c r="H690">
        <f>IF(AND(采购进货!C690&lt;&gt;"",采购进货!C690=供应商对账单!$B$4,ISNUMBER(采购进货!B690),采购进货!B690&gt;=供应商对账单!$G$4,采购进货!B690&lt;=供应商对账单!$I$4),采购进货!B690+ROW()/100000,"")</f>
      </c>
      <c r="N690">
        <f>IF(AND(ISNUMBER(出库明细!G690),ISNUMBER(出库明细!E690),ISNUMBER(出库明细!F690)),IF(ABS(出库明细!G690-出库明细!E690*出库明细!F690)&gt;0.005,1,0),0)</f>
        <v>0</v>
      </c>
      <c r="O690">
        <f>IF(AND(ISNUMBER(存条明细!G690),ISNUMBER(存条明细!E690),ISNUMBER(存条明细!F690)),IF(ABS(存条明细!G690-存条明细!E690*存条明细!F690)&gt;0.005,1,0),0)</f>
        <v>0</v>
      </c>
    </row>
    <row r="691">
      <c r="A691">
        <f>IF(OR(存条明细!C691="",存条明细!D691=""),"",IF(COUNTIFS(存条明细!$C$4:C691,存条明细!C691,存条明细!$D$4:D691,存条明细!D691)&gt;1,"",IFERROR(MATCH(存条明细!C691,总览汇总!$B$5:$B$304,0),900)*10000000+IFERROR(MATCH(存条明细!D691,基础资料!$E$5:$E$104,0),900)*10000+ROW()))</f>
      </c>
      <c r="F691">
        <f>IF(AND(出库明细!C691&lt;&gt;"",出库明细!C691=客户对账单!$B$4,ISNUMBER(出库明细!B691),出库明细!B691&gt;=客户对账单!$G$4,出库明细!B691&lt;=客户对账单!$I$4),出库明细!B691+ROW()/100000,"")</f>
      </c>
      <c r="H691">
        <f>IF(AND(采购进货!C691&lt;&gt;"",采购进货!C691=供应商对账单!$B$4,ISNUMBER(采购进货!B691),采购进货!B691&gt;=供应商对账单!$G$4,采购进货!B691&lt;=供应商对账单!$I$4),采购进货!B691+ROW()/100000,"")</f>
      </c>
      <c r="N691">
        <f>IF(AND(ISNUMBER(出库明细!G691),ISNUMBER(出库明细!E691),ISNUMBER(出库明细!F691)),IF(ABS(出库明细!G691-出库明细!E691*出库明细!F691)&gt;0.005,1,0),0)</f>
        <v>0</v>
      </c>
      <c r="O691">
        <f>IF(AND(ISNUMBER(存条明细!G691),ISNUMBER(存条明细!E691),ISNUMBER(存条明细!F691)),IF(ABS(存条明细!G691-存条明细!E691*存条明细!F691)&gt;0.005,1,0),0)</f>
        <v>0</v>
      </c>
    </row>
    <row r="692">
      <c r="A692">
        <f>IF(OR(存条明细!C692="",存条明细!D692=""),"",IF(COUNTIFS(存条明细!$C$4:C692,存条明细!C692,存条明细!$D$4:D692,存条明细!D692)&gt;1,"",IFERROR(MATCH(存条明细!C692,总览汇总!$B$5:$B$304,0),900)*10000000+IFERROR(MATCH(存条明细!D692,基础资料!$E$5:$E$104,0),900)*10000+ROW()))</f>
      </c>
      <c r="F692">
        <f>IF(AND(出库明细!C692&lt;&gt;"",出库明细!C692=客户对账单!$B$4,ISNUMBER(出库明细!B692),出库明细!B692&gt;=客户对账单!$G$4,出库明细!B692&lt;=客户对账单!$I$4),出库明细!B692+ROW()/100000,"")</f>
      </c>
      <c r="H692">
        <f>IF(AND(采购进货!C692&lt;&gt;"",采购进货!C692=供应商对账单!$B$4,ISNUMBER(采购进货!B692),采购进货!B692&gt;=供应商对账单!$G$4,采购进货!B692&lt;=供应商对账单!$I$4),采购进货!B692+ROW()/100000,"")</f>
      </c>
      <c r="N692">
        <f>IF(AND(ISNUMBER(出库明细!G692),ISNUMBER(出库明细!E692),ISNUMBER(出库明细!F692)),IF(ABS(出库明细!G692-出库明细!E692*出库明细!F692)&gt;0.005,1,0),0)</f>
        <v>0</v>
      </c>
      <c r="O692">
        <f>IF(AND(ISNUMBER(存条明细!G692),ISNUMBER(存条明细!E692),ISNUMBER(存条明细!F692)),IF(ABS(存条明细!G692-存条明细!E692*存条明细!F692)&gt;0.005,1,0),0)</f>
        <v>0</v>
      </c>
    </row>
    <row r="693">
      <c r="A693">
        <f>IF(OR(存条明细!C693="",存条明细!D693=""),"",IF(COUNTIFS(存条明细!$C$4:C693,存条明细!C693,存条明细!$D$4:D693,存条明细!D693)&gt;1,"",IFERROR(MATCH(存条明细!C693,总览汇总!$B$5:$B$304,0),900)*10000000+IFERROR(MATCH(存条明细!D693,基础资料!$E$5:$E$104,0),900)*10000+ROW()))</f>
      </c>
      <c r="F693">
        <f>IF(AND(出库明细!C693&lt;&gt;"",出库明细!C693=客户对账单!$B$4,ISNUMBER(出库明细!B693),出库明细!B693&gt;=客户对账单!$G$4,出库明细!B693&lt;=客户对账单!$I$4),出库明细!B693+ROW()/100000,"")</f>
      </c>
      <c r="H693">
        <f>IF(AND(采购进货!C693&lt;&gt;"",采购进货!C693=供应商对账单!$B$4,ISNUMBER(采购进货!B693),采购进货!B693&gt;=供应商对账单!$G$4,采购进货!B693&lt;=供应商对账单!$I$4),采购进货!B693+ROW()/100000,"")</f>
      </c>
      <c r="N693">
        <f>IF(AND(ISNUMBER(出库明细!G693),ISNUMBER(出库明细!E693),ISNUMBER(出库明细!F693)),IF(ABS(出库明细!G693-出库明细!E693*出库明细!F693)&gt;0.005,1,0),0)</f>
        <v>0</v>
      </c>
      <c r="O693">
        <f>IF(AND(ISNUMBER(存条明细!G693),ISNUMBER(存条明细!E693),ISNUMBER(存条明细!F693)),IF(ABS(存条明细!G693-存条明细!E693*存条明细!F693)&gt;0.005,1,0),0)</f>
        <v>0</v>
      </c>
    </row>
    <row r="694">
      <c r="A694">
        <f>IF(OR(存条明细!C694="",存条明细!D694=""),"",IF(COUNTIFS(存条明细!$C$4:C694,存条明细!C694,存条明细!$D$4:D694,存条明细!D694)&gt;1,"",IFERROR(MATCH(存条明细!C694,总览汇总!$B$5:$B$304,0),900)*10000000+IFERROR(MATCH(存条明细!D694,基础资料!$E$5:$E$104,0),900)*10000+ROW()))</f>
      </c>
      <c r="F694">
        <f>IF(AND(出库明细!C694&lt;&gt;"",出库明细!C694=客户对账单!$B$4,ISNUMBER(出库明细!B694),出库明细!B694&gt;=客户对账单!$G$4,出库明细!B694&lt;=客户对账单!$I$4),出库明细!B694+ROW()/100000,"")</f>
      </c>
      <c r="H694">
        <f>IF(AND(采购进货!C694&lt;&gt;"",采购进货!C694=供应商对账单!$B$4,ISNUMBER(采购进货!B694),采购进货!B694&gt;=供应商对账单!$G$4,采购进货!B694&lt;=供应商对账单!$I$4),采购进货!B694+ROW()/100000,"")</f>
      </c>
      <c r="N694">
        <f>IF(AND(ISNUMBER(出库明细!G694),ISNUMBER(出库明细!E694),ISNUMBER(出库明细!F694)),IF(ABS(出库明细!G694-出库明细!E694*出库明细!F694)&gt;0.005,1,0),0)</f>
        <v>0</v>
      </c>
      <c r="O694">
        <f>IF(AND(ISNUMBER(存条明细!G694),ISNUMBER(存条明细!E694),ISNUMBER(存条明细!F694)),IF(ABS(存条明细!G694-存条明细!E694*存条明细!F694)&gt;0.005,1,0),0)</f>
        <v>0</v>
      </c>
    </row>
    <row r="695">
      <c r="A695">
        <f>IF(OR(存条明细!C695="",存条明细!D695=""),"",IF(COUNTIFS(存条明细!$C$4:C695,存条明细!C695,存条明细!$D$4:D695,存条明细!D695)&gt;1,"",IFERROR(MATCH(存条明细!C695,总览汇总!$B$5:$B$304,0),900)*10000000+IFERROR(MATCH(存条明细!D695,基础资料!$E$5:$E$104,0),900)*10000+ROW()))</f>
      </c>
      <c r="F695">
        <f>IF(AND(出库明细!C695&lt;&gt;"",出库明细!C695=客户对账单!$B$4,ISNUMBER(出库明细!B695),出库明细!B695&gt;=客户对账单!$G$4,出库明细!B695&lt;=客户对账单!$I$4),出库明细!B695+ROW()/100000,"")</f>
      </c>
      <c r="H695">
        <f>IF(AND(采购进货!C695&lt;&gt;"",采购进货!C695=供应商对账单!$B$4,ISNUMBER(采购进货!B695),采购进货!B695&gt;=供应商对账单!$G$4,采购进货!B695&lt;=供应商对账单!$I$4),采购进货!B695+ROW()/100000,"")</f>
      </c>
      <c r="N695">
        <f>IF(AND(ISNUMBER(出库明细!G695),ISNUMBER(出库明细!E695),ISNUMBER(出库明细!F695)),IF(ABS(出库明细!G695-出库明细!E695*出库明细!F695)&gt;0.005,1,0),0)</f>
        <v>0</v>
      </c>
      <c r="O695">
        <f>IF(AND(ISNUMBER(存条明细!G695),ISNUMBER(存条明细!E695),ISNUMBER(存条明细!F695)),IF(ABS(存条明细!G695-存条明细!E695*存条明细!F695)&gt;0.005,1,0),0)</f>
        <v>0</v>
      </c>
    </row>
    <row r="696">
      <c r="A696">
        <f>IF(OR(存条明细!C696="",存条明细!D696=""),"",IF(COUNTIFS(存条明细!$C$4:C696,存条明细!C696,存条明细!$D$4:D696,存条明细!D696)&gt;1,"",IFERROR(MATCH(存条明细!C696,总览汇总!$B$5:$B$304,0),900)*10000000+IFERROR(MATCH(存条明细!D696,基础资料!$E$5:$E$104,0),900)*10000+ROW()))</f>
      </c>
      <c r="F696">
        <f>IF(AND(出库明细!C696&lt;&gt;"",出库明细!C696=客户对账单!$B$4,ISNUMBER(出库明细!B696),出库明细!B696&gt;=客户对账单!$G$4,出库明细!B696&lt;=客户对账单!$I$4),出库明细!B696+ROW()/100000,"")</f>
      </c>
      <c r="H696">
        <f>IF(AND(采购进货!C696&lt;&gt;"",采购进货!C696=供应商对账单!$B$4,ISNUMBER(采购进货!B696),采购进货!B696&gt;=供应商对账单!$G$4,采购进货!B696&lt;=供应商对账单!$I$4),采购进货!B696+ROW()/100000,"")</f>
      </c>
      <c r="N696">
        <f>IF(AND(ISNUMBER(出库明细!G696),ISNUMBER(出库明细!E696),ISNUMBER(出库明细!F696)),IF(ABS(出库明细!G696-出库明细!E696*出库明细!F696)&gt;0.005,1,0),0)</f>
        <v>0</v>
      </c>
      <c r="O696">
        <f>IF(AND(ISNUMBER(存条明细!G696),ISNUMBER(存条明细!E696),ISNUMBER(存条明细!F696)),IF(ABS(存条明细!G696-存条明细!E696*存条明细!F696)&gt;0.005,1,0),0)</f>
        <v>0</v>
      </c>
    </row>
    <row r="697">
      <c r="A697">
        <f>IF(OR(存条明细!C697="",存条明细!D697=""),"",IF(COUNTIFS(存条明细!$C$4:C697,存条明细!C697,存条明细!$D$4:D697,存条明细!D697)&gt;1,"",IFERROR(MATCH(存条明细!C697,总览汇总!$B$5:$B$304,0),900)*10000000+IFERROR(MATCH(存条明细!D697,基础资料!$E$5:$E$104,0),900)*10000+ROW()))</f>
      </c>
      <c r="F697">
        <f>IF(AND(出库明细!C697&lt;&gt;"",出库明细!C697=客户对账单!$B$4,ISNUMBER(出库明细!B697),出库明细!B697&gt;=客户对账单!$G$4,出库明细!B697&lt;=客户对账单!$I$4),出库明细!B697+ROW()/100000,"")</f>
      </c>
      <c r="H697">
        <f>IF(AND(采购进货!C697&lt;&gt;"",采购进货!C697=供应商对账单!$B$4,ISNUMBER(采购进货!B697),采购进货!B697&gt;=供应商对账单!$G$4,采购进货!B697&lt;=供应商对账单!$I$4),采购进货!B697+ROW()/100000,"")</f>
      </c>
      <c r="N697">
        <f>IF(AND(ISNUMBER(出库明细!G697),ISNUMBER(出库明细!E697),ISNUMBER(出库明细!F697)),IF(ABS(出库明细!G697-出库明细!E697*出库明细!F697)&gt;0.005,1,0),0)</f>
        <v>0</v>
      </c>
      <c r="O697">
        <f>IF(AND(ISNUMBER(存条明细!G697),ISNUMBER(存条明细!E697),ISNUMBER(存条明细!F697)),IF(ABS(存条明细!G697-存条明细!E697*存条明细!F697)&gt;0.005,1,0),0)</f>
        <v>0</v>
      </c>
    </row>
    <row r="698">
      <c r="A698">
        <f>IF(OR(存条明细!C698="",存条明细!D698=""),"",IF(COUNTIFS(存条明细!$C$4:C698,存条明细!C698,存条明细!$D$4:D698,存条明细!D698)&gt;1,"",IFERROR(MATCH(存条明细!C698,总览汇总!$B$5:$B$304,0),900)*10000000+IFERROR(MATCH(存条明细!D698,基础资料!$E$5:$E$104,0),900)*10000+ROW()))</f>
      </c>
      <c r="F698">
        <f>IF(AND(出库明细!C698&lt;&gt;"",出库明细!C698=客户对账单!$B$4,ISNUMBER(出库明细!B698),出库明细!B698&gt;=客户对账单!$G$4,出库明细!B698&lt;=客户对账单!$I$4),出库明细!B698+ROW()/100000,"")</f>
      </c>
      <c r="H698">
        <f>IF(AND(采购进货!C698&lt;&gt;"",采购进货!C698=供应商对账单!$B$4,ISNUMBER(采购进货!B698),采购进货!B698&gt;=供应商对账单!$G$4,采购进货!B698&lt;=供应商对账单!$I$4),采购进货!B698+ROW()/100000,"")</f>
      </c>
      <c r="N698">
        <f>IF(AND(ISNUMBER(出库明细!G698),ISNUMBER(出库明细!E698),ISNUMBER(出库明细!F698)),IF(ABS(出库明细!G698-出库明细!E698*出库明细!F698)&gt;0.005,1,0),0)</f>
        <v>0</v>
      </c>
      <c r="O698">
        <f>IF(AND(ISNUMBER(存条明细!G698),ISNUMBER(存条明细!E698),ISNUMBER(存条明细!F698)),IF(ABS(存条明细!G698-存条明细!E698*存条明细!F698)&gt;0.005,1,0),0)</f>
        <v>0</v>
      </c>
    </row>
    <row r="699">
      <c r="A699">
        <f>IF(OR(存条明细!C699="",存条明细!D699=""),"",IF(COUNTIFS(存条明细!$C$4:C699,存条明细!C699,存条明细!$D$4:D699,存条明细!D699)&gt;1,"",IFERROR(MATCH(存条明细!C699,总览汇总!$B$5:$B$304,0),900)*10000000+IFERROR(MATCH(存条明细!D699,基础资料!$E$5:$E$104,0),900)*10000+ROW()))</f>
      </c>
      <c r="F699">
        <f>IF(AND(出库明细!C699&lt;&gt;"",出库明细!C699=客户对账单!$B$4,ISNUMBER(出库明细!B699),出库明细!B699&gt;=客户对账单!$G$4,出库明细!B699&lt;=客户对账单!$I$4),出库明细!B699+ROW()/100000,"")</f>
      </c>
      <c r="H699">
        <f>IF(AND(采购进货!C699&lt;&gt;"",采购进货!C699=供应商对账单!$B$4,ISNUMBER(采购进货!B699),采购进货!B699&gt;=供应商对账单!$G$4,采购进货!B699&lt;=供应商对账单!$I$4),采购进货!B699+ROW()/100000,"")</f>
      </c>
      <c r="N699">
        <f>IF(AND(ISNUMBER(出库明细!G699),ISNUMBER(出库明细!E699),ISNUMBER(出库明细!F699)),IF(ABS(出库明细!G699-出库明细!E699*出库明细!F699)&gt;0.005,1,0),0)</f>
        <v>0</v>
      </c>
      <c r="O699">
        <f>IF(AND(ISNUMBER(存条明细!G699),ISNUMBER(存条明细!E699),ISNUMBER(存条明细!F699)),IF(ABS(存条明细!G699-存条明细!E699*存条明细!F699)&gt;0.005,1,0),0)</f>
        <v>0</v>
      </c>
    </row>
    <row r="700">
      <c r="A700">
        <f>IF(OR(存条明细!C700="",存条明细!D700=""),"",IF(COUNTIFS(存条明细!$C$4:C700,存条明细!C700,存条明细!$D$4:D700,存条明细!D700)&gt;1,"",IFERROR(MATCH(存条明细!C700,总览汇总!$B$5:$B$304,0),900)*10000000+IFERROR(MATCH(存条明细!D700,基础资料!$E$5:$E$104,0),900)*10000+ROW()))</f>
      </c>
      <c r="F700">
        <f>IF(AND(出库明细!C700&lt;&gt;"",出库明细!C700=客户对账单!$B$4,ISNUMBER(出库明细!B700),出库明细!B700&gt;=客户对账单!$G$4,出库明细!B700&lt;=客户对账单!$I$4),出库明细!B700+ROW()/100000,"")</f>
      </c>
      <c r="H700">
        <f>IF(AND(采购进货!C700&lt;&gt;"",采购进货!C700=供应商对账单!$B$4,ISNUMBER(采购进货!B700),采购进货!B700&gt;=供应商对账单!$G$4,采购进货!B700&lt;=供应商对账单!$I$4),采购进货!B700+ROW()/100000,"")</f>
      </c>
      <c r="N700">
        <f>IF(AND(ISNUMBER(出库明细!G700),ISNUMBER(出库明细!E700),ISNUMBER(出库明细!F700)),IF(ABS(出库明细!G700-出库明细!E700*出库明细!F700)&gt;0.005,1,0),0)</f>
        <v>0</v>
      </c>
      <c r="O700">
        <f>IF(AND(ISNUMBER(存条明细!G700),ISNUMBER(存条明细!E700),ISNUMBER(存条明细!F700)),IF(ABS(存条明细!G700-存条明细!E700*存条明细!F700)&gt;0.005,1,0),0)</f>
        <v>0</v>
      </c>
    </row>
    <row r="701">
      <c r="A701">
        <f>IF(OR(存条明细!C701="",存条明细!D701=""),"",IF(COUNTIFS(存条明细!$C$4:C701,存条明细!C701,存条明细!$D$4:D701,存条明细!D701)&gt;1,"",IFERROR(MATCH(存条明细!C701,总览汇总!$B$5:$B$304,0),900)*10000000+IFERROR(MATCH(存条明细!D701,基础资料!$E$5:$E$104,0),900)*10000+ROW()))</f>
      </c>
      <c r="F701">
        <f>IF(AND(出库明细!C701&lt;&gt;"",出库明细!C701=客户对账单!$B$4,ISNUMBER(出库明细!B701),出库明细!B701&gt;=客户对账单!$G$4,出库明细!B701&lt;=客户对账单!$I$4),出库明细!B701+ROW()/100000,"")</f>
      </c>
      <c r="H701">
        <f>IF(AND(采购进货!C701&lt;&gt;"",采购进货!C701=供应商对账单!$B$4,ISNUMBER(采购进货!B701),采购进货!B701&gt;=供应商对账单!$G$4,采购进货!B701&lt;=供应商对账单!$I$4),采购进货!B701+ROW()/100000,"")</f>
      </c>
      <c r="N701">
        <f>IF(AND(ISNUMBER(出库明细!G701),ISNUMBER(出库明细!E701),ISNUMBER(出库明细!F701)),IF(ABS(出库明细!G701-出库明细!E701*出库明细!F701)&gt;0.005,1,0),0)</f>
        <v>0</v>
      </c>
      <c r="O701">
        <f>IF(AND(ISNUMBER(存条明细!G701),ISNUMBER(存条明细!E701),ISNUMBER(存条明细!F701)),IF(ABS(存条明细!G701-存条明细!E701*存条明细!F701)&gt;0.005,1,0),0)</f>
        <v>0</v>
      </c>
    </row>
    <row r="702">
      <c r="A702">
        <f>IF(OR(存条明细!C702="",存条明细!D702=""),"",IF(COUNTIFS(存条明细!$C$4:C702,存条明细!C702,存条明细!$D$4:D702,存条明细!D702)&gt;1,"",IFERROR(MATCH(存条明细!C702,总览汇总!$B$5:$B$304,0),900)*10000000+IFERROR(MATCH(存条明细!D702,基础资料!$E$5:$E$104,0),900)*10000+ROW()))</f>
      </c>
      <c r="F702">
        <f>IF(AND(出库明细!C702&lt;&gt;"",出库明细!C702=客户对账单!$B$4,ISNUMBER(出库明细!B702),出库明细!B702&gt;=客户对账单!$G$4,出库明细!B702&lt;=客户对账单!$I$4),出库明细!B702+ROW()/100000,"")</f>
      </c>
      <c r="H702">
        <f>IF(AND(采购进货!C702&lt;&gt;"",采购进货!C702=供应商对账单!$B$4,ISNUMBER(采购进货!B702),采购进货!B702&gt;=供应商对账单!$G$4,采购进货!B702&lt;=供应商对账单!$I$4),采购进货!B702+ROW()/100000,"")</f>
      </c>
      <c r="N702">
        <f>IF(AND(ISNUMBER(出库明细!G702),ISNUMBER(出库明细!E702),ISNUMBER(出库明细!F702)),IF(ABS(出库明细!G702-出库明细!E702*出库明细!F702)&gt;0.005,1,0),0)</f>
        <v>0</v>
      </c>
      <c r="O702">
        <f>IF(AND(ISNUMBER(存条明细!G702),ISNUMBER(存条明细!E702),ISNUMBER(存条明细!F702)),IF(ABS(存条明细!G702-存条明细!E702*存条明细!F702)&gt;0.005,1,0),0)</f>
        <v>0</v>
      </c>
    </row>
    <row r="703">
      <c r="A703">
        <f>IF(OR(存条明细!C703="",存条明细!D703=""),"",IF(COUNTIFS(存条明细!$C$4:C703,存条明细!C703,存条明细!$D$4:D703,存条明细!D703)&gt;1,"",IFERROR(MATCH(存条明细!C703,总览汇总!$B$5:$B$304,0),900)*10000000+IFERROR(MATCH(存条明细!D703,基础资料!$E$5:$E$104,0),900)*10000+ROW()))</f>
      </c>
      <c r="F703">
        <f>IF(AND(出库明细!C703&lt;&gt;"",出库明细!C703=客户对账单!$B$4,ISNUMBER(出库明细!B703),出库明细!B703&gt;=客户对账单!$G$4,出库明细!B703&lt;=客户对账单!$I$4),出库明细!B703+ROW()/100000,"")</f>
      </c>
      <c r="H703">
        <f>IF(AND(采购进货!C703&lt;&gt;"",采购进货!C703=供应商对账单!$B$4,ISNUMBER(采购进货!B703),采购进货!B703&gt;=供应商对账单!$G$4,采购进货!B703&lt;=供应商对账单!$I$4),采购进货!B703+ROW()/100000,"")</f>
      </c>
      <c r="N703">
        <f>IF(AND(ISNUMBER(出库明细!G703),ISNUMBER(出库明细!E703),ISNUMBER(出库明细!F703)),IF(ABS(出库明细!G703-出库明细!E703*出库明细!F703)&gt;0.005,1,0),0)</f>
        <v>0</v>
      </c>
      <c r="O703">
        <f>IF(AND(ISNUMBER(存条明细!G703),ISNUMBER(存条明细!E703),ISNUMBER(存条明细!F703)),IF(ABS(存条明细!G703-存条明细!E703*存条明细!F703)&gt;0.005,1,0),0)</f>
        <v>0</v>
      </c>
    </row>
    <row r="704">
      <c r="A704">
        <f>IF(OR(存条明细!C704="",存条明细!D704=""),"",IF(COUNTIFS(存条明细!$C$4:C704,存条明细!C704,存条明细!$D$4:D704,存条明细!D704)&gt;1,"",IFERROR(MATCH(存条明细!C704,总览汇总!$B$5:$B$304,0),900)*10000000+IFERROR(MATCH(存条明细!D704,基础资料!$E$5:$E$104,0),900)*10000+ROW()))</f>
      </c>
      <c r="F704">
        <f>IF(AND(出库明细!C704&lt;&gt;"",出库明细!C704=客户对账单!$B$4,ISNUMBER(出库明细!B704),出库明细!B704&gt;=客户对账单!$G$4,出库明细!B704&lt;=客户对账单!$I$4),出库明细!B704+ROW()/100000,"")</f>
      </c>
      <c r="H704">
        <f>IF(AND(采购进货!C704&lt;&gt;"",采购进货!C704=供应商对账单!$B$4,ISNUMBER(采购进货!B704),采购进货!B704&gt;=供应商对账单!$G$4,采购进货!B704&lt;=供应商对账单!$I$4),采购进货!B704+ROW()/100000,"")</f>
      </c>
      <c r="N704">
        <f>IF(AND(ISNUMBER(出库明细!G704),ISNUMBER(出库明细!E704),ISNUMBER(出库明细!F704)),IF(ABS(出库明细!G704-出库明细!E704*出库明细!F704)&gt;0.005,1,0),0)</f>
        <v>0</v>
      </c>
      <c r="O704">
        <f>IF(AND(ISNUMBER(存条明细!G704),ISNUMBER(存条明细!E704),ISNUMBER(存条明细!F704)),IF(ABS(存条明细!G704-存条明细!E704*存条明细!F704)&gt;0.005,1,0),0)</f>
        <v>0</v>
      </c>
    </row>
    <row r="705">
      <c r="A705">
        <f>IF(OR(存条明细!C705="",存条明细!D705=""),"",IF(COUNTIFS(存条明细!$C$4:C705,存条明细!C705,存条明细!$D$4:D705,存条明细!D705)&gt;1,"",IFERROR(MATCH(存条明细!C705,总览汇总!$B$5:$B$304,0),900)*10000000+IFERROR(MATCH(存条明细!D705,基础资料!$E$5:$E$104,0),900)*10000+ROW()))</f>
      </c>
      <c r="F705">
        <f>IF(AND(出库明细!C705&lt;&gt;"",出库明细!C705=客户对账单!$B$4,ISNUMBER(出库明细!B705),出库明细!B705&gt;=客户对账单!$G$4,出库明细!B705&lt;=客户对账单!$I$4),出库明细!B705+ROW()/100000,"")</f>
      </c>
      <c r="H705">
        <f>IF(AND(采购进货!C705&lt;&gt;"",采购进货!C705=供应商对账单!$B$4,ISNUMBER(采购进货!B705),采购进货!B705&gt;=供应商对账单!$G$4,采购进货!B705&lt;=供应商对账单!$I$4),采购进货!B705+ROW()/100000,"")</f>
      </c>
      <c r="N705">
        <f>IF(AND(ISNUMBER(出库明细!G705),ISNUMBER(出库明细!E705),ISNUMBER(出库明细!F705)),IF(ABS(出库明细!G705-出库明细!E705*出库明细!F705)&gt;0.005,1,0),0)</f>
        <v>0</v>
      </c>
      <c r="O705">
        <f>IF(AND(ISNUMBER(存条明细!G705),ISNUMBER(存条明细!E705),ISNUMBER(存条明细!F705)),IF(ABS(存条明细!G705-存条明细!E705*存条明细!F705)&gt;0.005,1,0),0)</f>
        <v>0</v>
      </c>
    </row>
    <row r="706">
      <c r="A706">
        <f>IF(OR(存条明细!C706="",存条明细!D706=""),"",IF(COUNTIFS(存条明细!$C$4:C706,存条明细!C706,存条明细!$D$4:D706,存条明细!D706)&gt;1,"",IFERROR(MATCH(存条明细!C706,总览汇总!$B$5:$B$304,0),900)*10000000+IFERROR(MATCH(存条明细!D706,基础资料!$E$5:$E$104,0),900)*10000+ROW()))</f>
      </c>
      <c r="F706">
        <f>IF(AND(出库明细!C706&lt;&gt;"",出库明细!C706=客户对账单!$B$4,ISNUMBER(出库明细!B706),出库明细!B706&gt;=客户对账单!$G$4,出库明细!B706&lt;=客户对账单!$I$4),出库明细!B706+ROW()/100000,"")</f>
      </c>
      <c r="H706">
        <f>IF(AND(采购进货!C706&lt;&gt;"",采购进货!C706=供应商对账单!$B$4,ISNUMBER(采购进货!B706),采购进货!B706&gt;=供应商对账单!$G$4,采购进货!B706&lt;=供应商对账单!$I$4),采购进货!B706+ROW()/100000,"")</f>
      </c>
      <c r="N706">
        <f>IF(AND(ISNUMBER(出库明细!G706),ISNUMBER(出库明细!E706),ISNUMBER(出库明细!F706)),IF(ABS(出库明细!G706-出库明细!E706*出库明细!F706)&gt;0.005,1,0),0)</f>
        <v>0</v>
      </c>
      <c r="O706">
        <f>IF(AND(ISNUMBER(存条明细!G706),ISNUMBER(存条明细!E706),ISNUMBER(存条明细!F706)),IF(ABS(存条明细!G706-存条明细!E706*存条明细!F706)&gt;0.005,1,0),0)</f>
        <v>0</v>
      </c>
    </row>
    <row r="707">
      <c r="A707">
        <f>IF(OR(存条明细!C707="",存条明细!D707=""),"",IF(COUNTIFS(存条明细!$C$4:C707,存条明细!C707,存条明细!$D$4:D707,存条明细!D707)&gt;1,"",IFERROR(MATCH(存条明细!C707,总览汇总!$B$5:$B$304,0),900)*10000000+IFERROR(MATCH(存条明细!D707,基础资料!$E$5:$E$104,0),900)*10000+ROW()))</f>
      </c>
      <c r="F707">
        <f>IF(AND(出库明细!C707&lt;&gt;"",出库明细!C707=客户对账单!$B$4,ISNUMBER(出库明细!B707),出库明细!B707&gt;=客户对账单!$G$4,出库明细!B707&lt;=客户对账单!$I$4),出库明细!B707+ROW()/100000,"")</f>
      </c>
      <c r="H707">
        <f>IF(AND(采购进货!C707&lt;&gt;"",采购进货!C707=供应商对账单!$B$4,ISNUMBER(采购进货!B707),采购进货!B707&gt;=供应商对账单!$G$4,采购进货!B707&lt;=供应商对账单!$I$4),采购进货!B707+ROW()/100000,"")</f>
      </c>
      <c r="N707">
        <f>IF(AND(ISNUMBER(出库明细!G707),ISNUMBER(出库明细!E707),ISNUMBER(出库明细!F707)),IF(ABS(出库明细!G707-出库明细!E707*出库明细!F707)&gt;0.005,1,0),0)</f>
        <v>0</v>
      </c>
      <c r="O707">
        <f>IF(AND(ISNUMBER(存条明细!G707),ISNUMBER(存条明细!E707),ISNUMBER(存条明细!F707)),IF(ABS(存条明细!G707-存条明细!E707*存条明细!F707)&gt;0.005,1,0),0)</f>
        <v>0</v>
      </c>
    </row>
    <row r="708">
      <c r="A708">
        <f>IF(OR(存条明细!C708="",存条明细!D708=""),"",IF(COUNTIFS(存条明细!$C$4:C708,存条明细!C708,存条明细!$D$4:D708,存条明细!D708)&gt;1,"",IFERROR(MATCH(存条明细!C708,总览汇总!$B$5:$B$304,0),900)*10000000+IFERROR(MATCH(存条明细!D708,基础资料!$E$5:$E$104,0),900)*10000+ROW()))</f>
      </c>
      <c r="F708">
        <f>IF(AND(出库明细!C708&lt;&gt;"",出库明细!C708=客户对账单!$B$4,ISNUMBER(出库明细!B708),出库明细!B708&gt;=客户对账单!$G$4,出库明细!B708&lt;=客户对账单!$I$4),出库明细!B708+ROW()/100000,"")</f>
      </c>
      <c r="H708">
        <f>IF(AND(采购进货!C708&lt;&gt;"",采购进货!C708=供应商对账单!$B$4,ISNUMBER(采购进货!B708),采购进货!B708&gt;=供应商对账单!$G$4,采购进货!B708&lt;=供应商对账单!$I$4),采购进货!B708+ROW()/100000,"")</f>
      </c>
      <c r="N708">
        <f>IF(AND(ISNUMBER(出库明细!G708),ISNUMBER(出库明细!E708),ISNUMBER(出库明细!F708)),IF(ABS(出库明细!G708-出库明细!E708*出库明细!F708)&gt;0.005,1,0),0)</f>
        <v>0</v>
      </c>
      <c r="O708">
        <f>IF(AND(ISNUMBER(存条明细!G708),ISNUMBER(存条明细!E708),ISNUMBER(存条明细!F708)),IF(ABS(存条明细!G708-存条明细!E708*存条明细!F708)&gt;0.005,1,0),0)</f>
        <v>0</v>
      </c>
    </row>
    <row r="709">
      <c r="A709">
        <f>IF(OR(存条明细!C709="",存条明细!D709=""),"",IF(COUNTIFS(存条明细!$C$4:C709,存条明细!C709,存条明细!$D$4:D709,存条明细!D709)&gt;1,"",IFERROR(MATCH(存条明细!C709,总览汇总!$B$5:$B$304,0),900)*10000000+IFERROR(MATCH(存条明细!D709,基础资料!$E$5:$E$104,0),900)*10000+ROW()))</f>
      </c>
      <c r="F709">
        <f>IF(AND(出库明细!C709&lt;&gt;"",出库明细!C709=客户对账单!$B$4,ISNUMBER(出库明细!B709),出库明细!B709&gt;=客户对账单!$G$4,出库明细!B709&lt;=客户对账单!$I$4),出库明细!B709+ROW()/100000,"")</f>
      </c>
      <c r="H709">
        <f>IF(AND(采购进货!C709&lt;&gt;"",采购进货!C709=供应商对账单!$B$4,ISNUMBER(采购进货!B709),采购进货!B709&gt;=供应商对账单!$G$4,采购进货!B709&lt;=供应商对账单!$I$4),采购进货!B709+ROW()/100000,"")</f>
      </c>
      <c r="N709">
        <f>IF(AND(ISNUMBER(出库明细!G709),ISNUMBER(出库明细!E709),ISNUMBER(出库明细!F709)),IF(ABS(出库明细!G709-出库明细!E709*出库明细!F709)&gt;0.005,1,0),0)</f>
        <v>0</v>
      </c>
      <c r="O709">
        <f>IF(AND(ISNUMBER(存条明细!G709),ISNUMBER(存条明细!E709),ISNUMBER(存条明细!F709)),IF(ABS(存条明细!G709-存条明细!E709*存条明细!F709)&gt;0.005,1,0),0)</f>
        <v>0</v>
      </c>
    </row>
    <row r="710">
      <c r="A710">
        <f>IF(OR(存条明细!C710="",存条明细!D710=""),"",IF(COUNTIFS(存条明细!$C$4:C710,存条明细!C710,存条明细!$D$4:D710,存条明细!D710)&gt;1,"",IFERROR(MATCH(存条明细!C710,总览汇总!$B$5:$B$304,0),900)*10000000+IFERROR(MATCH(存条明细!D710,基础资料!$E$5:$E$104,0),900)*10000+ROW()))</f>
      </c>
      <c r="F710">
        <f>IF(AND(出库明细!C710&lt;&gt;"",出库明细!C710=客户对账单!$B$4,ISNUMBER(出库明细!B710),出库明细!B710&gt;=客户对账单!$G$4,出库明细!B710&lt;=客户对账单!$I$4),出库明细!B710+ROW()/100000,"")</f>
      </c>
      <c r="H710">
        <f>IF(AND(采购进货!C710&lt;&gt;"",采购进货!C710=供应商对账单!$B$4,ISNUMBER(采购进货!B710),采购进货!B710&gt;=供应商对账单!$G$4,采购进货!B710&lt;=供应商对账单!$I$4),采购进货!B710+ROW()/100000,"")</f>
      </c>
      <c r="N710">
        <f>IF(AND(ISNUMBER(出库明细!G710),ISNUMBER(出库明细!E710),ISNUMBER(出库明细!F710)),IF(ABS(出库明细!G710-出库明细!E710*出库明细!F710)&gt;0.005,1,0),0)</f>
        <v>0</v>
      </c>
      <c r="O710">
        <f>IF(AND(ISNUMBER(存条明细!G710),ISNUMBER(存条明细!E710),ISNUMBER(存条明细!F710)),IF(ABS(存条明细!G710-存条明细!E710*存条明细!F710)&gt;0.005,1,0),0)</f>
        <v>0</v>
      </c>
    </row>
    <row r="711">
      <c r="A711">
        <f>IF(OR(存条明细!C711="",存条明细!D711=""),"",IF(COUNTIFS(存条明细!$C$4:C711,存条明细!C711,存条明细!$D$4:D711,存条明细!D711)&gt;1,"",IFERROR(MATCH(存条明细!C711,总览汇总!$B$5:$B$304,0),900)*10000000+IFERROR(MATCH(存条明细!D711,基础资料!$E$5:$E$104,0),900)*10000+ROW()))</f>
      </c>
      <c r="F711">
        <f>IF(AND(出库明细!C711&lt;&gt;"",出库明细!C711=客户对账单!$B$4,ISNUMBER(出库明细!B711),出库明细!B711&gt;=客户对账单!$G$4,出库明细!B711&lt;=客户对账单!$I$4),出库明细!B711+ROW()/100000,"")</f>
      </c>
      <c r="H711">
        <f>IF(AND(采购进货!C711&lt;&gt;"",采购进货!C711=供应商对账单!$B$4,ISNUMBER(采购进货!B711),采购进货!B711&gt;=供应商对账单!$G$4,采购进货!B711&lt;=供应商对账单!$I$4),采购进货!B711+ROW()/100000,"")</f>
      </c>
      <c r="N711">
        <f>IF(AND(ISNUMBER(出库明细!G711),ISNUMBER(出库明细!E711),ISNUMBER(出库明细!F711)),IF(ABS(出库明细!G711-出库明细!E711*出库明细!F711)&gt;0.005,1,0),0)</f>
        <v>0</v>
      </c>
      <c r="O711">
        <f>IF(AND(ISNUMBER(存条明细!G711),ISNUMBER(存条明细!E711),ISNUMBER(存条明细!F711)),IF(ABS(存条明细!G711-存条明细!E711*存条明细!F711)&gt;0.005,1,0),0)</f>
        <v>0</v>
      </c>
    </row>
    <row r="712">
      <c r="A712">
        <f>IF(OR(存条明细!C712="",存条明细!D712=""),"",IF(COUNTIFS(存条明细!$C$4:C712,存条明细!C712,存条明细!$D$4:D712,存条明细!D712)&gt;1,"",IFERROR(MATCH(存条明细!C712,总览汇总!$B$5:$B$304,0),900)*10000000+IFERROR(MATCH(存条明细!D712,基础资料!$E$5:$E$104,0),900)*10000+ROW()))</f>
      </c>
      <c r="F712">
        <f>IF(AND(出库明细!C712&lt;&gt;"",出库明细!C712=客户对账单!$B$4,ISNUMBER(出库明细!B712),出库明细!B712&gt;=客户对账单!$G$4,出库明细!B712&lt;=客户对账单!$I$4),出库明细!B712+ROW()/100000,"")</f>
      </c>
      <c r="H712">
        <f>IF(AND(采购进货!C712&lt;&gt;"",采购进货!C712=供应商对账单!$B$4,ISNUMBER(采购进货!B712),采购进货!B712&gt;=供应商对账单!$G$4,采购进货!B712&lt;=供应商对账单!$I$4),采购进货!B712+ROW()/100000,"")</f>
      </c>
      <c r="N712">
        <f>IF(AND(ISNUMBER(出库明细!G712),ISNUMBER(出库明细!E712),ISNUMBER(出库明细!F712)),IF(ABS(出库明细!G712-出库明细!E712*出库明细!F712)&gt;0.005,1,0),0)</f>
        <v>0</v>
      </c>
      <c r="O712">
        <f>IF(AND(ISNUMBER(存条明细!G712),ISNUMBER(存条明细!E712),ISNUMBER(存条明细!F712)),IF(ABS(存条明细!G712-存条明细!E712*存条明细!F712)&gt;0.005,1,0),0)</f>
        <v>0</v>
      </c>
    </row>
    <row r="713">
      <c r="A713">
        <f>IF(OR(存条明细!C713="",存条明细!D713=""),"",IF(COUNTIFS(存条明细!$C$4:C713,存条明细!C713,存条明细!$D$4:D713,存条明细!D713)&gt;1,"",IFERROR(MATCH(存条明细!C713,总览汇总!$B$5:$B$304,0),900)*10000000+IFERROR(MATCH(存条明细!D713,基础资料!$E$5:$E$104,0),900)*10000+ROW()))</f>
      </c>
      <c r="F713">
        <f>IF(AND(出库明细!C713&lt;&gt;"",出库明细!C713=客户对账单!$B$4,ISNUMBER(出库明细!B713),出库明细!B713&gt;=客户对账单!$G$4,出库明细!B713&lt;=客户对账单!$I$4),出库明细!B713+ROW()/100000,"")</f>
      </c>
      <c r="H713">
        <f>IF(AND(采购进货!C713&lt;&gt;"",采购进货!C713=供应商对账单!$B$4,ISNUMBER(采购进货!B713),采购进货!B713&gt;=供应商对账单!$G$4,采购进货!B713&lt;=供应商对账单!$I$4),采购进货!B713+ROW()/100000,"")</f>
      </c>
      <c r="N713">
        <f>IF(AND(ISNUMBER(出库明细!G713),ISNUMBER(出库明细!E713),ISNUMBER(出库明细!F713)),IF(ABS(出库明细!G713-出库明细!E713*出库明细!F713)&gt;0.005,1,0),0)</f>
        <v>0</v>
      </c>
      <c r="O713">
        <f>IF(AND(ISNUMBER(存条明细!G713),ISNUMBER(存条明细!E713),ISNUMBER(存条明细!F713)),IF(ABS(存条明细!G713-存条明细!E713*存条明细!F713)&gt;0.005,1,0),0)</f>
        <v>0</v>
      </c>
    </row>
    <row r="714">
      <c r="A714">
        <f>IF(OR(存条明细!C714="",存条明细!D714=""),"",IF(COUNTIFS(存条明细!$C$4:C714,存条明细!C714,存条明细!$D$4:D714,存条明细!D714)&gt;1,"",IFERROR(MATCH(存条明细!C714,总览汇总!$B$5:$B$304,0),900)*10000000+IFERROR(MATCH(存条明细!D714,基础资料!$E$5:$E$104,0),900)*10000+ROW()))</f>
      </c>
      <c r="F714">
        <f>IF(AND(出库明细!C714&lt;&gt;"",出库明细!C714=客户对账单!$B$4,ISNUMBER(出库明细!B714),出库明细!B714&gt;=客户对账单!$G$4,出库明细!B714&lt;=客户对账单!$I$4),出库明细!B714+ROW()/100000,"")</f>
      </c>
      <c r="H714">
        <f>IF(AND(采购进货!C714&lt;&gt;"",采购进货!C714=供应商对账单!$B$4,ISNUMBER(采购进货!B714),采购进货!B714&gt;=供应商对账单!$G$4,采购进货!B714&lt;=供应商对账单!$I$4),采购进货!B714+ROW()/100000,"")</f>
      </c>
      <c r="N714">
        <f>IF(AND(ISNUMBER(出库明细!G714),ISNUMBER(出库明细!E714),ISNUMBER(出库明细!F714)),IF(ABS(出库明细!G714-出库明细!E714*出库明细!F714)&gt;0.005,1,0),0)</f>
        <v>0</v>
      </c>
      <c r="O714">
        <f>IF(AND(ISNUMBER(存条明细!G714),ISNUMBER(存条明细!E714),ISNUMBER(存条明细!F714)),IF(ABS(存条明细!G714-存条明细!E714*存条明细!F714)&gt;0.005,1,0),0)</f>
        <v>0</v>
      </c>
    </row>
    <row r="715">
      <c r="A715">
        <f>IF(OR(存条明细!C715="",存条明细!D715=""),"",IF(COUNTIFS(存条明细!$C$4:C715,存条明细!C715,存条明细!$D$4:D715,存条明细!D715)&gt;1,"",IFERROR(MATCH(存条明细!C715,总览汇总!$B$5:$B$304,0),900)*10000000+IFERROR(MATCH(存条明细!D715,基础资料!$E$5:$E$104,0),900)*10000+ROW()))</f>
      </c>
      <c r="F715">
        <f>IF(AND(出库明细!C715&lt;&gt;"",出库明细!C715=客户对账单!$B$4,ISNUMBER(出库明细!B715),出库明细!B715&gt;=客户对账单!$G$4,出库明细!B715&lt;=客户对账单!$I$4),出库明细!B715+ROW()/100000,"")</f>
      </c>
      <c r="H715">
        <f>IF(AND(采购进货!C715&lt;&gt;"",采购进货!C715=供应商对账单!$B$4,ISNUMBER(采购进货!B715),采购进货!B715&gt;=供应商对账单!$G$4,采购进货!B715&lt;=供应商对账单!$I$4),采购进货!B715+ROW()/100000,"")</f>
      </c>
      <c r="N715">
        <f>IF(AND(ISNUMBER(出库明细!G715),ISNUMBER(出库明细!E715),ISNUMBER(出库明细!F715)),IF(ABS(出库明细!G715-出库明细!E715*出库明细!F715)&gt;0.005,1,0),0)</f>
        <v>0</v>
      </c>
      <c r="O715">
        <f>IF(AND(ISNUMBER(存条明细!G715),ISNUMBER(存条明细!E715),ISNUMBER(存条明细!F715)),IF(ABS(存条明细!G715-存条明细!E715*存条明细!F715)&gt;0.005,1,0),0)</f>
        <v>0</v>
      </c>
    </row>
    <row r="716">
      <c r="A716">
        <f>IF(OR(存条明细!C716="",存条明细!D716=""),"",IF(COUNTIFS(存条明细!$C$4:C716,存条明细!C716,存条明细!$D$4:D716,存条明细!D716)&gt;1,"",IFERROR(MATCH(存条明细!C716,总览汇总!$B$5:$B$304,0),900)*10000000+IFERROR(MATCH(存条明细!D716,基础资料!$E$5:$E$104,0),900)*10000+ROW()))</f>
      </c>
      <c r="F716">
        <f>IF(AND(出库明细!C716&lt;&gt;"",出库明细!C716=客户对账单!$B$4,ISNUMBER(出库明细!B716),出库明细!B716&gt;=客户对账单!$G$4,出库明细!B716&lt;=客户对账单!$I$4),出库明细!B716+ROW()/100000,"")</f>
      </c>
      <c r="H716">
        <f>IF(AND(采购进货!C716&lt;&gt;"",采购进货!C716=供应商对账单!$B$4,ISNUMBER(采购进货!B716),采购进货!B716&gt;=供应商对账单!$G$4,采购进货!B716&lt;=供应商对账单!$I$4),采购进货!B716+ROW()/100000,"")</f>
      </c>
      <c r="N716">
        <f>IF(AND(ISNUMBER(出库明细!G716),ISNUMBER(出库明细!E716),ISNUMBER(出库明细!F716)),IF(ABS(出库明细!G716-出库明细!E716*出库明细!F716)&gt;0.005,1,0),0)</f>
        <v>0</v>
      </c>
      <c r="O716">
        <f>IF(AND(ISNUMBER(存条明细!G716),ISNUMBER(存条明细!E716),ISNUMBER(存条明细!F716)),IF(ABS(存条明细!G716-存条明细!E716*存条明细!F716)&gt;0.005,1,0),0)</f>
        <v>0</v>
      </c>
    </row>
    <row r="717">
      <c r="A717">
        <f>IF(OR(存条明细!C717="",存条明细!D717=""),"",IF(COUNTIFS(存条明细!$C$4:C717,存条明细!C717,存条明细!$D$4:D717,存条明细!D717)&gt;1,"",IFERROR(MATCH(存条明细!C717,总览汇总!$B$5:$B$304,0),900)*10000000+IFERROR(MATCH(存条明细!D717,基础资料!$E$5:$E$104,0),900)*10000+ROW()))</f>
      </c>
      <c r="F717">
        <f>IF(AND(出库明细!C717&lt;&gt;"",出库明细!C717=客户对账单!$B$4,ISNUMBER(出库明细!B717),出库明细!B717&gt;=客户对账单!$G$4,出库明细!B717&lt;=客户对账单!$I$4),出库明细!B717+ROW()/100000,"")</f>
      </c>
      <c r="H717">
        <f>IF(AND(采购进货!C717&lt;&gt;"",采购进货!C717=供应商对账单!$B$4,ISNUMBER(采购进货!B717),采购进货!B717&gt;=供应商对账单!$G$4,采购进货!B717&lt;=供应商对账单!$I$4),采购进货!B717+ROW()/100000,"")</f>
      </c>
      <c r="N717">
        <f>IF(AND(ISNUMBER(出库明细!G717),ISNUMBER(出库明细!E717),ISNUMBER(出库明细!F717)),IF(ABS(出库明细!G717-出库明细!E717*出库明细!F717)&gt;0.005,1,0),0)</f>
        <v>0</v>
      </c>
      <c r="O717">
        <f>IF(AND(ISNUMBER(存条明细!G717),ISNUMBER(存条明细!E717),ISNUMBER(存条明细!F717)),IF(ABS(存条明细!G717-存条明细!E717*存条明细!F717)&gt;0.005,1,0),0)</f>
        <v>0</v>
      </c>
    </row>
    <row r="718">
      <c r="A718">
        <f>IF(OR(存条明细!C718="",存条明细!D718=""),"",IF(COUNTIFS(存条明细!$C$4:C718,存条明细!C718,存条明细!$D$4:D718,存条明细!D718)&gt;1,"",IFERROR(MATCH(存条明细!C718,总览汇总!$B$5:$B$304,0),900)*10000000+IFERROR(MATCH(存条明细!D718,基础资料!$E$5:$E$104,0),900)*10000+ROW()))</f>
      </c>
      <c r="F718">
        <f>IF(AND(出库明细!C718&lt;&gt;"",出库明细!C718=客户对账单!$B$4,ISNUMBER(出库明细!B718),出库明细!B718&gt;=客户对账单!$G$4,出库明细!B718&lt;=客户对账单!$I$4),出库明细!B718+ROW()/100000,"")</f>
      </c>
      <c r="H718">
        <f>IF(AND(采购进货!C718&lt;&gt;"",采购进货!C718=供应商对账单!$B$4,ISNUMBER(采购进货!B718),采购进货!B718&gt;=供应商对账单!$G$4,采购进货!B718&lt;=供应商对账单!$I$4),采购进货!B718+ROW()/100000,"")</f>
      </c>
      <c r="N718">
        <f>IF(AND(ISNUMBER(出库明细!G718),ISNUMBER(出库明细!E718),ISNUMBER(出库明细!F718)),IF(ABS(出库明细!G718-出库明细!E718*出库明细!F718)&gt;0.005,1,0),0)</f>
        <v>0</v>
      </c>
      <c r="O718">
        <f>IF(AND(ISNUMBER(存条明细!G718),ISNUMBER(存条明细!E718),ISNUMBER(存条明细!F718)),IF(ABS(存条明细!G718-存条明细!E718*存条明细!F718)&gt;0.005,1,0),0)</f>
        <v>0</v>
      </c>
    </row>
    <row r="719">
      <c r="A719">
        <f>IF(OR(存条明细!C719="",存条明细!D719=""),"",IF(COUNTIFS(存条明细!$C$4:C719,存条明细!C719,存条明细!$D$4:D719,存条明细!D719)&gt;1,"",IFERROR(MATCH(存条明细!C719,总览汇总!$B$5:$B$304,0),900)*10000000+IFERROR(MATCH(存条明细!D719,基础资料!$E$5:$E$104,0),900)*10000+ROW()))</f>
      </c>
      <c r="F719">
        <f>IF(AND(出库明细!C719&lt;&gt;"",出库明细!C719=客户对账单!$B$4,ISNUMBER(出库明细!B719),出库明细!B719&gt;=客户对账单!$G$4,出库明细!B719&lt;=客户对账单!$I$4),出库明细!B719+ROW()/100000,"")</f>
      </c>
      <c r="H719">
        <f>IF(AND(采购进货!C719&lt;&gt;"",采购进货!C719=供应商对账单!$B$4,ISNUMBER(采购进货!B719),采购进货!B719&gt;=供应商对账单!$G$4,采购进货!B719&lt;=供应商对账单!$I$4),采购进货!B719+ROW()/100000,"")</f>
      </c>
      <c r="N719">
        <f>IF(AND(ISNUMBER(出库明细!G719),ISNUMBER(出库明细!E719),ISNUMBER(出库明细!F719)),IF(ABS(出库明细!G719-出库明细!E719*出库明细!F719)&gt;0.005,1,0),0)</f>
        <v>0</v>
      </c>
      <c r="O719">
        <f>IF(AND(ISNUMBER(存条明细!G719),ISNUMBER(存条明细!E719),ISNUMBER(存条明细!F719)),IF(ABS(存条明细!G719-存条明细!E719*存条明细!F719)&gt;0.005,1,0),0)</f>
        <v>0</v>
      </c>
    </row>
    <row r="720">
      <c r="A720">
        <f>IF(OR(存条明细!C720="",存条明细!D720=""),"",IF(COUNTIFS(存条明细!$C$4:C720,存条明细!C720,存条明细!$D$4:D720,存条明细!D720)&gt;1,"",IFERROR(MATCH(存条明细!C720,总览汇总!$B$5:$B$304,0),900)*10000000+IFERROR(MATCH(存条明细!D720,基础资料!$E$5:$E$104,0),900)*10000+ROW()))</f>
      </c>
      <c r="F720">
        <f>IF(AND(出库明细!C720&lt;&gt;"",出库明细!C720=客户对账单!$B$4,ISNUMBER(出库明细!B720),出库明细!B720&gt;=客户对账单!$G$4,出库明细!B720&lt;=客户对账单!$I$4),出库明细!B720+ROW()/100000,"")</f>
      </c>
      <c r="H720">
        <f>IF(AND(采购进货!C720&lt;&gt;"",采购进货!C720=供应商对账单!$B$4,ISNUMBER(采购进货!B720),采购进货!B720&gt;=供应商对账单!$G$4,采购进货!B720&lt;=供应商对账单!$I$4),采购进货!B720+ROW()/100000,"")</f>
      </c>
      <c r="N720">
        <f>IF(AND(ISNUMBER(出库明细!G720),ISNUMBER(出库明细!E720),ISNUMBER(出库明细!F720)),IF(ABS(出库明细!G720-出库明细!E720*出库明细!F720)&gt;0.005,1,0),0)</f>
        <v>0</v>
      </c>
      <c r="O720">
        <f>IF(AND(ISNUMBER(存条明细!G720),ISNUMBER(存条明细!E720),ISNUMBER(存条明细!F720)),IF(ABS(存条明细!G720-存条明细!E720*存条明细!F720)&gt;0.005,1,0),0)</f>
        <v>0</v>
      </c>
    </row>
    <row r="721">
      <c r="A721">
        <f>IF(OR(存条明细!C721="",存条明细!D721=""),"",IF(COUNTIFS(存条明细!$C$4:C721,存条明细!C721,存条明细!$D$4:D721,存条明细!D721)&gt;1,"",IFERROR(MATCH(存条明细!C721,总览汇总!$B$5:$B$304,0),900)*10000000+IFERROR(MATCH(存条明细!D721,基础资料!$E$5:$E$104,0),900)*10000+ROW()))</f>
      </c>
      <c r="F721">
        <f>IF(AND(出库明细!C721&lt;&gt;"",出库明细!C721=客户对账单!$B$4,ISNUMBER(出库明细!B721),出库明细!B721&gt;=客户对账单!$G$4,出库明细!B721&lt;=客户对账单!$I$4),出库明细!B721+ROW()/100000,"")</f>
      </c>
      <c r="H721">
        <f>IF(AND(采购进货!C721&lt;&gt;"",采购进货!C721=供应商对账单!$B$4,ISNUMBER(采购进货!B721),采购进货!B721&gt;=供应商对账单!$G$4,采购进货!B721&lt;=供应商对账单!$I$4),采购进货!B721+ROW()/100000,"")</f>
      </c>
      <c r="N721">
        <f>IF(AND(ISNUMBER(出库明细!G721),ISNUMBER(出库明细!E721),ISNUMBER(出库明细!F721)),IF(ABS(出库明细!G721-出库明细!E721*出库明细!F721)&gt;0.005,1,0),0)</f>
        <v>0</v>
      </c>
      <c r="O721">
        <f>IF(AND(ISNUMBER(存条明细!G721),ISNUMBER(存条明细!E721),ISNUMBER(存条明细!F721)),IF(ABS(存条明细!G721-存条明细!E721*存条明细!F721)&gt;0.005,1,0),0)</f>
        <v>0</v>
      </c>
    </row>
    <row r="722">
      <c r="A722">
        <f>IF(OR(存条明细!C722="",存条明细!D722=""),"",IF(COUNTIFS(存条明细!$C$4:C722,存条明细!C722,存条明细!$D$4:D722,存条明细!D722)&gt;1,"",IFERROR(MATCH(存条明细!C722,总览汇总!$B$5:$B$304,0),900)*10000000+IFERROR(MATCH(存条明细!D722,基础资料!$E$5:$E$104,0),900)*10000+ROW()))</f>
      </c>
      <c r="F722">
        <f>IF(AND(出库明细!C722&lt;&gt;"",出库明细!C722=客户对账单!$B$4,ISNUMBER(出库明细!B722),出库明细!B722&gt;=客户对账单!$G$4,出库明细!B722&lt;=客户对账单!$I$4),出库明细!B722+ROW()/100000,"")</f>
      </c>
      <c r="H722">
        <f>IF(AND(采购进货!C722&lt;&gt;"",采购进货!C722=供应商对账单!$B$4,ISNUMBER(采购进货!B722),采购进货!B722&gt;=供应商对账单!$G$4,采购进货!B722&lt;=供应商对账单!$I$4),采购进货!B722+ROW()/100000,"")</f>
      </c>
      <c r="N722">
        <f>IF(AND(ISNUMBER(出库明细!G722),ISNUMBER(出库明细!E722),ISNUMBER(出库明细!F722)),IF(ABS(出库明细!G722-出库明细!E722*出库明细!F722)&gt;0.005,1,0),0)</f>
        <v>0</v>
      </c>
      <c r="O722">
        <f>IF(AND(ISNUMBER(存条明细!G722),ISNUMBER(存条明细!E722),ISNUMBER(存条明细!F722)),IF(ABS(存条明细!G722-存条明细!E722*存条明细!F722)&gt;0.005,1,0),0)</f>
        <v>0</v>
      </c>
    </row>
    <row r="723">
      <c r="A723">
        <f>IF(OR(存条明细!C723="",存条明细!D723=""),"",IF(COUNTIFS(存条明细!$C$4:C723,存条明细!C723,存条明细!$D$4:D723,存条明细!D723)&gt;1,"",IFERROR(MATCH(存条明细!C723,总览汇总!$B$5:$B$304,0),900)*10000000+IFERROR(MATCH(存条明细!D723,基础资料!$E$5:$E$104,0),900)*10000+ROW()))</f>
      </c>
      <c r="F723">
        <f>IF(AND(出库明细!C723&lt;&gt;"",出库明细!C723=客户对账单!$B$4,ISNUMBER(出库明细!B723),出库明细!B723&gt;=客户对账单!$G$4,出库明细!B723&lt;=客户对账单!$I$4),出库明细!B723+ROW()/100000,"")</f>
      </c>
      <c r="H723">
        <f>IF(AND(采购进货!C723&lt;&gt;"",采购进货!C723=供应商对账单!$B$4,ISNUMBER(采购进货!B723),采购进货!B723&gt;=供应商对账单!$G$4,采购进货!B723&lt;=供应商对账单!$I$4),采购进货!B723+ROW()/100000,"")</f>
      </c>
      <c r="N723">
        <f>IF(AND(ISNUMBER(出库明细!G723),ISNUMBER(出库明细!E723),ISNUMBER(出库明细!F723)),IF(ABS(出库明细!G723-出库明细!E723*出库明细!F723)&gt;0.005,1,0),0)</f>
        <v>0</v>
      </c>
      <c r="O723">
        <f>IF(AND(ISNUMBER(存条明细!G723),ISNUMBER(存条明细!E723),ISNUMBER(存条明细!F723)),IF(ABS(存条明细!G723-存条明细!E723*存条明细!F723)&gt;0.005,1,0),0)</f>
        <v>0</v>
      </c>
    </row>
    <row r="724">
      <c r="A724">
        <f>IF(OR(存条明细!C724="",存条明细!D724=""),"",IF(COUNTIFS(存条明细!$C$4:C724,存条明细!C724,存条明细!$D$4:D724,存条明细!D724)&gt;1,"",IFERROR(MATCH(存条明细!C724,总览汇总!$B$5:$B$304,0),900)*10000000+IFERROR(MATCH(存条明细!D724,基础资料!$E$5:$E$104,0),900)*10000+ROW()))</f>
      </c>
      <c r="F724">
        <f>IF(AND(出库明细!C724&lt;&gt;"",出库明细!C724=客户对账单!$B$4,ISNUMBER(出库明细!B724),出库明细!B724&gt;=客户对账单!$G$4,出库明细!B724&lt;=客户对账单!$I$4),出库明细!B724+ROW()/100000,"")</f>
      </c>
      <c r="H724">
        <f>IF(AND(采购进货!C724&lt;&gt;"",采购进货!C724=供应商对账单!$B$4,ISNUMBER(采购进货!B724),采购进货!B724&gt;=供应商对账单!$G$4,采购进货!B724&lt;=供应商对账单!$I$4),采购进货!B724+ROW()/100000,"")</f>
      </c>
      <c r="N724">
        <f>IF(AND(ISNUMBER(出库明细!G724),ISNUMBER(出库明细!E724),ISNUMBER(出库明细!F724)),IF(ABS(出库明细!G724-出库明细!E724*出库明细!F724)&gt;0.005,1,0),0)</f>
        <v>0</v>
      </c>
      <c r="O724">
        <f>IF(AND(ISNUMBER(存条明细!G724),ISNUMBER(存条明细!E724),ISNUMBER(存条明细!F724)),IF(ABS(存条明细!G724-存条明细!E724*存条明细!F724)&gt;0.005,1,0),0)</f>
        <v>0</v>
      </c>
    </row>
    <row r="725">
      <c r="A725">
        <f>IF(OR(存条明细!C725="",存条明细!D725=""),"",IF(COUNTIFS(存条明细!$C$4:C725,存条明细!C725,存条明细!$D$4:D725,存条明细!D725)&gt;1,"",IFERROR(MATCH(存条明细!C725,总览汇总!$B$5:$B$304,0),900)*10000000+IFERROR(MATCH(存条明细!D725,基础资料!$E$5:$E$104,0),900)*10000+ROW()))</f>
      </c>
      <c r="F725">
        <f>IF(AND(出库明细!C725&lt;&gt;"",出库明细!C725=客户对账单!$B$4,ISNUMBER(出库明细!B725),出库明细!B725&gt;=客户对账单!$G$4,出库明细!B725&lt;=客户对账单!$I$4),出库明细!B725+ROW()/100000,"")</f>
      </c>
      <c r="H725">
        <f>IF(AND(采购进货!C725&lt;&gt;"",采购进货!C725=供应商对账单!$B$4,ISNUMBER(采购进货!B725),采购进货!B725&gt;=供应商对账单!$G$4,采购进货!B725&lt;=供应商对账单!$I$4),采购进货!B725+ROW()/100000,"")</f>
      </c>
      <c r="N725">
        <f>IF(AND(ISNUMBER(出库明细!G725),ISNUMBER(出库明细!E725),ISNUMBER(出库明细!F725)),IF(ABS(出库明细!G725-出库明细!E725*出库明细!F725)&gt;0.005,1,0),0)</f>
        <v>0</v>
      </c>
      <c r="O725">
        <f>IF(AND(ISNUMBER(存条明细!G725),ISNUMBER(存条明细!E725),ISNUMBER(存条明细!F725)),IF(ABS(存条明细!G725-存条明细!E725*存条明细!F725)&gt;0.005,1,0),0)</f>
        <v>0</v>
      </c>
    </row>
    <row r="726">
      <c r="A726">
        <f>IF(OR(存条明细!C726="",存条明细!D726=""),"",IF(COUNTIFS(存条明细!$C$4:C726,存条明细!C726,存条明细!$D$4:D726,存条明细!D726)&gt;1,"",IFERROR(MATCH(存条明细!C726,总览汇总!$B$5:$B$304,0),900)*10000000+IFERROR(MATCH(存条明细!D726,基础资料!$E$5:$E$104,0),900)*10000+ROW()))</f>
      </c>
      <c r="F726">
        <f>IF(AND(出库明细!C726&lt;&gt;"",出库明细!C726=客户对账单!$B$4,ISNUMBER(出库明细!B726),出库明细!B726&gt;=客户对账单!$G$4,出库明细!B726&lt;=客户对账单!$I$4),出库明细!B726+ROW()/100000,"")</f>
      </c>
      <c r="H726">
        <f>IF(AND(采购进货!C726&lt;&gt;"",采购进货!C726=供应商对账单!$B$4,ISNUMBER(采购进货!B726),采购进货!B726&gt;=供应商对账单!$G$4,采购进货!B726&lt;=供应商对账单!$I$4),采购进货!B726+ROW()/100000,"")</f>
      </c>
      <c r="N726">
        <f>IF(AND(ISNUMBER(出库明细!G726),ISNUMBER(出库明细!E726),ISNUMBER(出库明细!F726)),IF(ABS(出库明细!G726-出库明细!E726*出库明细!F726)&gt;0.005,1,0),0)</f>
        <v>0</v>
      </c>
      <c r="O726">
        <f>IF(AND(ISNUMBER(存条明细!G726),ISNUMBER(存条明细!E726),ISNUMBER(存条明细!F726)),IF(ABS(存条明细!G726-存条明细!E726*存条明细!F726)&gt;0.005,1,0),0)</f>
        <v>0</v>
      </c>
    </row>
    <row r="727">
      <c r="A727">
        <f>IF(OR(存条明细!C727="",存条明细!D727=""),"",IF(COUNTIFS(存条明细!$C$4:C727,存条明细!C727,存条明细!$D$4:D727,存条明细!D727)&gt;1,"",IFERROR(MATCH(存条明细!C727,总览汇总!$B$5:$B$304,0),900)*10000000+IFERROR(MATCH(存条明细!D727,基础资料!$E$5:$E$104,0),900)*10000+ROW()))</f>
      </c>
      <c r="F727">
        <f>IF(AND(出库明细!C727&lt;&gt;"",出库明细!C727=客户对账单!$B$4,ISNUMBER(出库明细!B727),出库明细!B727&gt;=客户对账单!$G$4,出库明细!B727&lt;=客户对账单!$I$4),出库明细!B727+ROW()/100000,"")</f>
      </c>
      <c r="H727">
        <f>IF(AND(采购进货!C727&lt;&gt;"",采购进货!C727=供应商对账单!$B$4,ISNUMBER(采购进货!B727),采购进货!B727&gt;=供应商对账单!$G$4,采购进货!B727&lt;=供应商对账单!$I$4),采购进货!B727+ROW()/100000,"")</f>
      </c>
      <c r="N727">
        <f>IF(AND(ISNUMBER(出库明细!G727),ISNUMBER(出库明细!E727),ISNUMBER(出库明细!F727)),IF(ABS(出库明细!G727-出库明细!E727*出库明细!F727)&gt;0.005,1,0),0)</f>
        <v>0</v>
      </c>
      <c r="O727">
        <f>IF(AND(ISNUMBER(存条明细!G727),ISNUMBER(存条明细!E727),ISNUMBER(存条明细!F727)),IF(ABS(存条明细!G727-存条明细!E727*存条明细!F727)&gt;0.005,1,0),0)</f>
        <v>0</v>
      </c>
    </row>
    <row r="728">
      <c r="A728">
        <f>IF(OR(存条明细!C728="",存条明细!D728=""),"",IF(COUNTIFS(存条明细!$C$4:C728,存条明细!C728,存条明细!$D$4:D728,存条明细!D728)&gt;1,"",IFERROR(MATCH(存条明细!C728,总览汇总!$B$5:$B$304,0),900)*10000000+IFERROR(MATCH(存条明细!D728,基础资料!$E$5:$E$104,0),900)*10000+ROW()))</f>
      </c>
      <c r="F728">
        <f>IF(AND(出库明细!C728&lt;&gt;"",出库明细!C728=客户对账单!$B$4,ISNUMBER(出库明细!B728),出库明细!B728&gt;=客户对账单!$G$4,出库明细!B728&lt;=客户对账单!$I$4),出库明细!B728+ROW()/100000,"")</f>
      </c>
      <c r="H728">
        <f>IF(AND(采购进货!C728&lt;&gt;"",采购进货!C728=供应商对账单!$B$4,ISNUMBER(采购进货!B728),采购进货!B728&gt;=供应商对账单!$G$4,采购进货!B728&lt;=供应商对账单!$I$4),采购进货!B728+ROW()/100000,"")</f>
      </c>
      <c r="N728">
        <f>IF(AND(ISNUMBER(出库明细!G728),ISNUMBER(出库明细!E728),ISNUMBER(出库明细!F728)),IF(ABS(出库明细!G728-出库明细!E728*出库明细!F728)&gt;0.005,1,0),0)</f>
        <v>0</v>
      </c>
      <c r="O728">
        <f>IF(AND(ISNUMBER(存条明细!G728),ISNUMBER(存条明细!E728),ISNUMBER(存条明细!F728)),IF(ABS(存条明细!G728-存条明细!E728*存条明细!F728)&gt;0.005,1,0),0)</f>
        <v>0</v>
      </c>
    </row>
    <row r="729">
      <c r="A729">
        <f>IF(OR(存条明细!C729="",存条明细!D729=""),"",IF(COUNTIFS(存条明细!$C$4:C729,存条明细!C729,存条明细!$D$4:D729,存条明细!D729)&gt;1,"",IFERROR(MATCH(存条明细!C729,总览汇总!$B$5:$B$304,0),900)*10000000+IFERROR(MATCH(存条明细!D729,基础资料!$E$5:$E$104,0),900)*10000+ROW()))</f>
      </c>
      <c r="F729">
        <f>IF(AND(出库明细!C729&lt;&gt;"",出库明细!C729=客户对账单!$B$4,ISNUMBER(出库明细!B729),出库明细!B729&gt;=客户对账单!$G$4,出库明细!B729&lt;=客户对账单!$I$4),出库明细!B729+ROW()/100000,"")</f>
      </c>
      <c r="H729">
        <f>IF(AND(采购进货!C729&lt;&gt;"",采购进货!C729=供应商对账单!$B$4,ISNUMBER(采购进货!B729),采购进货!B729&gt;=供应商对账单!$G$4,采购进货!B729&lt;=供应商对账单!$I$4),采购进货!B729+ROW()/100000,"")</f>
      </c>
      <c r="N729">
        <f>IF(AND(ISNUMBER(出库明细!G729),ISNUMBER(出库明细!E729),ISNUMBER(出库明细!F729)),IF(ABS(出库明细!G729-出库明细!E729*出库明细!F729)&gt;0.005,1,0),0)</f>
        <v>0</v>
      </c>
      <c r="O729">
        <f>IF(AND(ISNUMBER(存条明细!G729),ISNUMBER(存条明细!E729),ISNUMBER(存条明细!F729)),IF(ABS(存条明细!G729-存条明细!E729*存条明细!F729)&gt;0.005,1,0),0)</f>
        <v>0</v>
      </c>
    </row>
    <row r="730">
      <c r="A730">
        <f>IF(OR(存条明细!C730="",存条明细!D730=""),"",IF(COUNTIFS(存条明细!$C$4:C730,存条明细!C730,存条明细!$D$4:D730,存条明细!D730)&gt;1,"",IFERROR(MATCH(存条明细!C730,总览汇总!$B$5:$B$304,0),900)*10000000+IFERROR(MATCH(存条明细!D730,基础资料!$E$5:$E$104,0),900)*10000+ROW()))</f>
      </c>
      <c r="F730">
        <f>IF(AND(出库明细!C730&lt;&gt;"",出库明细!C730=客户对账单!$B$4,ISNUMBER(出库明细!B730),出库明细!B730&gt;=客户对账单!$G$4,出库明细!B730&lt;=客户对账单!$I$4),出库明细!B730+ROW()/100000,"")</f>
      </c>
      <c r="H730">
        <f>IF(AND(采购进货!C730&lt;&gt;"",采购进货!C730=供应商对账单!$B$4,ISNUMBER(采购进货!B730),采购进货!B730&gt;=供应商对账单!$G$4,采购进货!B730&lt;=供应商对账单!$I$4),采购进货!B730+ROW()/100000,"")</f>
      </c>
      <c r="N730">
        <f>IF(AND(ISNUMBER(出库明细!G730),ISNUMBER(出库明细!E730),ISNUMBER(出库明细!F730)),IF(ABS(出库明细!G730-出库明细!E730*出库明细!F730)&gt;0.005,1,0),0)</f>
        <v>0</v>
      </c>
      <c r="O730">
        <f>IF(AND(ISNUMBER(存条明细!G730),ISNUMBER(存条明细!E730),ISNUMBER(存条明细!F730)),IF(ABS(存条明细!G730-存条明细!E730*存条明细!F730)&gt;0.005,1,0),0)</f>
        <v>0</v>
      </c>
    </row>
    <row r="731">
      <c r="A731">
        <f>IF(OR(存条明细!C731="",存条明细!D731=""),"",IF(COUNTIFS(存条明细!$C$4:C731,存条明细!C731,存条明细!$D$4:D731,存条明细!D731)&gt;1,"",IFERROR(MATCH(存条明细!C731,总览汇总!$B$5:$B$304,0),900)*10000000+IFERROR(MATCH(存条明细!D731,基础资料!$E$5:$E$104,0),900)*10000+ROW()))</f>
      </c>
      <c r="F731">
        <f>IF(AND(出库明细!C731&lt;&gt;"",出库明细!C731=客户对账单!$B$4,ISNUMBER(出库明细!B731),出库明细!B731&gt;=客户对账单!$G$4,出库明细!B731&lt;=客户对账单!$I$4),出库明细!B731+ROW()/100000,"")</f>
      </c>
      <c r="H731">
        <f>IF(AND(采购进货!C731&lt;&gt;"",采购进货!C731=供应商对账单!$B$4,ISNUMBER(采购进货!B731),采购进货!B731&gt;=供应商对账单!$G$4,采购进货!B731&lt;=供应商对账单!$I$4),采购进货!B731+ROW()/100000,"")</f>
      </c>
      <c r="N731">
        <f>IF(AND(ISNUMBER(出库明细!G731),ISNUMBER(出库明细!E731),ISNUMBER(出库明细!F731)),IF(ABS(出库明细!G731-出库明细!E731*出库明细!F731)&gt;0.005,1,0),0)</f>
        <v>0</v>
      </c>
      <c r="O731">
        <f>IF(AND(ISNUMBER(存条明细!G731),ISNUMBER(存条明细!E731),ISNUMBER(存条明细!F731)),IF(ABS(存条明细!G731-存条明细!E731*存条明细!F731)&gt;0.005,1,0),0)</f>
        <v>0</v>
      </c>
    </row>
    <row r="732">
      <c r="A732">
        <f>IF(OR(存条明细!C732="",存条明细!D732=""),"",IF(COUNTIFS(存条明细!$C$4:C732,存条明细!C732,存条明细!$D$4:D732,存条明细!D732)&gt;1,"",IFERROR(MATCH(存条明细!C732,总览汇总!$B$5:$B$304,0),900)*10000000+IFERROR(MATCH(存条明细!D732,基础资料!$E$5:$E$104,0),900)*10000+ROW()))</f>
      </c>
      <c r="F732">
        <f>IF(AND(出库明细!C732&lt;&gt;"",出库明细!C732=客户对账单!$B$4,ISNUMBER(出库明细!B732),出库明细!B732&gt;=客户对账单!$G$4,出库明细!B732&lt;=客户对账单!$I$4),出库明细!B732+ROW()/100000,"")</f>
      </c>
      <c r="H732">
        <f>IF(AND(采购进货!C732&lt;&gt;"",采购进货!C732=供应商对账单!$B$4,ISNUMBER(采购进货!B732),采购进货!B732&gt;=供应商对账单!$G$4,采购进货!B732&lt;=供应商对账单!$I$4),采购进货!B732+ROW()/100000,"")</f>
      </c>
      <c r="N732">
        <f>IF(AND(ISNUMBER(出库明细!G732),ISNUMBER(出库明细!E732),ISNUMBER(出库明细!F732)),IF(ABS(出库明细!G732-出库明细!E732*出库明细!F732)&gt;0.005,1,0),0)</f>
        <v>0</v>
      </c>
      <c r="O732">
        <f>IF(AND(ISNUMBER(存条明细!G732),ISNUMBER(存条明细!E732),ISNUMBER(存条明细!F732)),IF(ABS(存条明细!G732-存条明细!E732*存条明细!F732)&gt;0.005,1,0),0)</f>
        <v>0</v>
      </c>
    </row>
    <row r="733">
      <c r="A733">
        <f>IF(OR(存条明细!C733="",存条明细!D733=""),"",IF(COUNTIFS(存条明细!$C$4:C733,存条明细!C733,存条明细!$D$4:D733,存条明细!D733)&gt;1,"",IFERROR(MATCH(存条明细!C733,总览汇总!$B$5:$B$304,0),900)*10000000+IFERROR(MATCH(存条明细!D733,基础资料!$E$5:$E$104,0),900)*10000+ROW()))</f>
      </c>
      <c r="F733">
        <f>IF(AND(出库明细!C733&lt;&gt;"",出库明细!C733=客户对账单!$B$4,ISNUMBER(出库明细!B733),出库明细!B733&gt;=客户对账单!$G$4,出库明细!B733&lt;=客户对账单!$I$4),出库明细!B733+ROW()/100000,"")</f>
      </c>
      <c r="H733">
        <f>IF(AND(采购进货!C733&lt;&gt;"",采购进货!C733=供应商对账单!$B$4,ISNUMBER(采购进货!B733),采购进货!B733&gt;=供应商对账单!$G$4,采购进货!B733&lt;=供应商对账单!$I$4),采购进货!B733+ROW()/100000,"")</f>
      </c>
      <c r="N733">
        <f>IF(AND(ISNUMBER(出库明细!G733),ISNUMBER(出库明细!E733),ISNUMBER(出库明细!F733)),IF(ABS(出库明细!G733-出库明细!E733*出库明细!F733)&gt;0.005,1,0),0)</f>
        <v>0</v>
      </c>
      <c r="O733">
        <f>IF(AND(ISNUMBER(存条明细!G733),ISNUMBER(存条明细!E733),ISNUMBER(存条明细!F733)),IF(ABS(存条明细!G733-存条明细!E733*存条明细!F733)&gt;0.005,1,0),0)</f>
        <v>0</v>
      </c>
    </row>
    <row r="734">
      <c r="A734">
        <f>IF(OR(存条明细!C734="",存条明细!D734=""),"",IF(COUNTIFS(存条明细!$C$4:C734,存条明细!C734,存条明细!$D$4:D734,存条明细!D734)&gt;1,"",IFERROR(MATCH(存条明细!C734,总览汇总!$B$5:$B$304,0),900)*10000000+IFERROR(MATCH(存条明细!D734,基础资料!$E$5:$E$104,0),900)*10000+ROW()))</f>
      </c>
      <c r="F734">
        <f>IF(AND(出库明细!C734&lt;&gt;"",出库明细!C734=客户对账单!$B$4,ISNUMBER(出库明细!B734),出库明细!B734&gt;=客户对账单!$G$4,出库明细!B734&lt;=客户对账单!$I$4),出库明细!B734+ROW()/100000,"")</f>
      </c>
      <c r="H734">
        <f>IF(AND(采购进货!C734&lt;&gt;"",采购进货!C734=供应商对账单!$B$4,ISNUMBER(采购进货!B734),采购进货!B734&gt;=供应商对账单!$G$4,采购进货!B734&lt;=供应商对账单!$I$4),采购进货!B734+ROW()/100000,"")</f>
      </c>
      <c r="N734">
        <f>IF(AND(ISNUMBER(出库明细!G734),ISNUMBER(出库明细!E734),ISNUMBER(出库明细!F734)),IF(ABS(出库明细!G734-出库明细!E734*出库明细!F734)&gt;0.005,1,0),0)</f>
        <v>0</v>
      </c>
      <c r="O734">
        <f>IF(AND(ISNUMBER(存条明细!G734),ISNUMBER(存条明细!E734),ISNUMBER(存条明细!F734)),IF(ABS(存条明细!G734-存条明细!E734*存条明细!F734)&gt;0.005,1,0),0)</f>
        <v>0</v>
      </c>
    </row>
    <row r="735">
      <c r="A735">
        <f>IF(OR(存条明细!C735="",存条明细!D735=""),"",IF(COUNTIFS(存条明细!$C$4:C735,存条明细!C735,存条明细!$D$4:D735,存条明细!D735)&gt;1,"",IFERROR(MATCH(存条明细!C735,总览汇总!$B$5:$B$304,0),900)*10000000+IFERROR(MATCH(存条明细!D735,基础资料!$E$5:$E$104,0),900)*10000+ROW()))</f>
      </c>
      <c r="F735">
        <f>IF(AND(出库明细!C735&lt;&gt;"",出库明细!C735=客户对账单!$B$4,ISNUMBER(出库明细!B735),出库明细!B735&gt;=客户对账单!$G$4,出库明细!B735&lt;=客户对账单!$I$4),出库明细!B735+ROW()/100000,"")</f>
      </c>
      <c r="H735">
        <f>IF(AND(采购进货!C735&lt;&gt;"",采购进货!C735=供应商对账单!$B$4,ISNUMBER(采购进货!B735),采购进货!B735&gt;=供应商对账单!$G$4,采购进货!B735&lt;=供应商对账单!$I$4),采购进货!B735+ROW()/100000,"")</f>
      </c>
      <c r="N735">
        <f>IF(AND(ISNUMBER(出库明细!G735),ISNUMBER(出库明细!E735),ISNUMBER(出库明细!F735)),IF(ABS(出库明细!G735-出库明细!E735*出库明细!F735)&gt;0.005,1,0),0)</f>
        <v>0</v>
      </c>
      <c r="O735">
        <f>IF(AND(ISNUMBER(存条明细!G735),ISNUMBER(存条明细!E735),ISNUMBER(存条明细!F735)),IF(ABS(存条明细!G735-存条明细!E735*存条明细!F735)&gt;0.005,1,0),0)</f>
        <v>0</v>
      </c>
    </row>
    <row r="736">
      <c r="A736">
        <f>IF(OR(存条明细!C736="",存条明细!D736=""),"",IF(COUNTIFS(存条明细!$C$4:C736,存条明细!C736,存条明细!$D$4:D736,存条明细!D736)&gt;1,"",IFERROR(MATCH(存条明细!C736,总览汇总!$B$5:$B$304,0),900)*10000000+IFERROR(MATCH(存条明细!D736,基础资料!$E$5:$E$104,0),900)*10000+ROW()))</f>
      </c>
      <c r="F736">
        <f>IF(AND(出库明细!C736&lt;&gt;"",出库明细!C736=客户对账单!$B$4,ISNUMBER(出库明细!B736),出库明细!B736&gt;=客户对账单!$G$4,出库明细!B736&lt;=客户对账单!$I$4),出库明细!B736+ROW()/100000,"")</f>
      </c>
      <c r="H736">
        <f>IF(AND(采购进货!C736&lt;&gt;"",采购进货!C736=供应商对账单!$B$4,ISNUMBER(采购进货!B736),采购进货!B736&gt;=供应商对账单!$G$4,采购进货!B736&lt;=供应商对账单!$I$4),采购进货!B736+ROW()/100000,"")</f>
      </c>
      <c r="N736">
        <f>IF(AND(ISNUMBER(出库明细!G736),ISNUMBER(出库明细!E736),ISNUMBER(出库明细!F736)),IF(ABS(出库明细!G736-出库明细!E736*出库明细!F736)&gt;0.005,1,0),0)</f>
        <v>0</v>
      </c>
      <c r="O736">
        <f>IF(AND(ISNUMBER(存条明细!G736),ISNUMBER(存条明细!E736),ISNUMBER(存条明细!F736)),IF(ABS(存条明细!G736-存条明细!E736*存条明细!F736)&gt;0.005,1,0),0)</f>
        <v>0</v>
      </c>
    </row>
    <row r="737">
      <c r="A737">
        <f>IF(OR(存条明细!C737="",存条明细!D737=""),"",IF(COUNTIFS(存条明细!$C$4:C737,存条明细!C737,存条明细!$D$4:D737,存条明细!D737)&gt;1,"",IFERROR(MATCH(存条明细!C737,总览汇总!$B$5:$B$304,0),900)*10000000+IFERROR(MATCH(存条明细!D737,基础资料!$E$5:$E$104,0),900)*10000+ROW()))</f>
      </c>
      <c r="F737">
        <f>IF(AND(出库明细!C737&lt;&gt;"",出库明细!C737=客户对账单!$B$4,ISNUMBER(出库明细!B737),出库明细!B737&gt;=客户对账单!$G$4,出库明细!B737&lt;=客户对账单!$I$4),出库明细!B737+ROW()/100000,"")</f>
      </c>
      <c r="H737">
        <f>IF(AND(采购进货!C737&lt;&gt;"",采购进货!C737=供应商对账单!$B$4,ISNUMBER(采购进货!B737),采购进货!B737&gt;=供应商对账单!$G$4,采购进货!B737&lt;=供应商对账单!$I$4),采购进货!B737+ROW()/100000,"")</f>
      </c>
      <c r="N737">
        <f>IF(AND(ISNUMBER(出库明细!G737),ISNUMBER(出库明细!E737),ISNUMBER(出库明细!F737)),IF(ABS(出库明细!G737-出库明细!E737*出库明细!F737)&gt;0.005,1,0),0)</f>
        <v>0</v>
      </c>
      <c r="O737">
        <f>IF(AND(ISNUMBER(存条明细!G737),ISNUMBER(存条明细!E737),ISNUMBER(存条明细!F737)),IF(ABS(存条明细!G737-存条明细!E737*存条明细!F737)&gt;0.005,1,0),0)</f>
        <v>0</v>
      </c>
    </row>
    <row r="738">
      <c r="A738">
        <f>IF(OR(存条明细!C738="",存条明细!D738=""),"",IF(COUNTIFS(存条明细!$C$4:C738,存条明细!C738,存条明细!$D$4:D738,存条明细!D738)&gt;1,"",IFERROR(MATCH(存条明细!C738,总览汇总!$B$5:$B$304,0),900)*10000000+IFERROR(MATCH(存条明细!D738,基础资料!$E$5:$E$104,0),900)*10000+ROW()))</f>
      </c>
      <c r="F738">
        <f>IF(AND(出库明细!C738&lt;&gt;"",出库明细!C738=客户对账单!$B$4,ISNUMBER(出库明细!B738),出库明细!B738&gt;=客户对账单!$G$4,出库明细!B738&lt;=客户对账单!$I$4),出库明细!B738+ROW()/100000,"")</f>
      </c>
      <c r="H738">
        <f>IF(AND(采购进货!C738&lt;&gt;"",采购进货!C738=供应商对账单!$B$4,ISNUMBER(采购进货!B738),采购进货!B738&gt;=供应商对账单!$G$4,采购进货!B738&lt;=供应商对账单!$I$4),采购进货!B738+ROW()/100000,"")</f>
      </c>
      <c r="N738">
        <f>IF(AND(ISNUMBER(出库明细!G738),ISNUMBER(出库明细!E738),ISNUMBER(出库明细!F738)),IF(ABS(出库明细!G738-出库明细!E738*出库明细!F738)&gt;0.005,1,0),0)</f>
        <v>0</v>
      </c>
      <c r="O738">
        <f>IF(AND(ISNUMBER(存条明细!G738),ISNUMBER(存条明细!E738),ISNUMBER(存条明细!F738)),IF(ABS(存条明细!G738-存条明细!E738*存条明细!F738)&gt;0.005,1,0),0)</f>
        <v>0</v>
      </c>
    </row>
    <row r="739">
      <c r="A739">
        <f>IF(OR(存条明细!C739="",存条明细!D739=""),"",IF(COUNTIFS(存条明细!$C$4:C739,存条明细!C739,存条明细!$D$4:D739,存条明细!D739)&gt;1,"",IFERROR(MATCH(存条明细!C739,总览汇总!$B$5:$B$304,0),900)*10000000+IFERROR(MATCH(存条明细!D739,基础资料!$E$5:$E$104,0),900)*10000+ROW()))</f>
      </c>
      <c r="F739">
        <f>IF(AND(出库明细!C739&lt;&gt;"",出库明细!C739=客户对账单!$B$4,ISNUMBER(出库明细!B739),出库明细!B739&gt;=客户对账单!$G$4,出库明细!B739&lt;=客户对账单!$I$4),出库明细!B739+ROW()/100000,"")</f>
      </c>
      <c r="H739">
        <f>IF(AND(采购进货!C739&lt;&gt;"",采购进货!C739=供应商对账单!$B$4,ISNUMBER(采购进货!B739),采购进货!B739&gt;=供应商对账单!$G$4,采购进货!B739&lt;=供应商对账单!$I$4),采购进货!B739+ROW()/100000,"")</f>
      </c>
      <c r="N739">
        <f>IF(AND(ISNUMBER(出库明细!G739),ISNUMBER(出库明细!E739),ISNUMBER(出库明细!F739)),IF(ABS(出库明细!G739-出库明细!E739*出库明细!F739)&gt;0.005,1,0),0)</f>
        <v>0</v>
      </c>
      <c r="O739">
        <f>IF(AND(ISNUMBER(存条明细!G739),ISNUMBER(存条明细!E739),ISNUMBER(存条明细!F739)),IF(ABS(存条明细!G739-存条明细!E739*存条明细!F739)&gt;0.005,1,0),0)</f>
        <v>0</v>
      </c>
    </row>
    <row r="740">
      <c r="A740">
        <f>IF(OR(存条明细!C740="",存条明细!D740=""),"",IF(COUNTIFS(存条明细!$C$4:C740,存条明细!C740,存条明细!$D$4:D740,存条明细!D740)&gt;1,"",IFERROR(MATCH(存条明细!C740,总览汇总!$B$5:$B$304,0),900)*10000000+IFERROR(MATCH(存条明细!D740,基础资料!$E$5:$E$104,0),900)*10000+ROW()))</f>
      </c>
      <c r="F740">
        <f>IF(AND(出库明细!C740&lt;&gt;"",出库明细!C740=客户对账单!$B$4,ISNUMBER(出库明细!B740),出库明细!B740&gt;=客户对账单!$G$4,出库明细!B740&lt;=客户对账单!$I$4),出库明细!B740+ROW()/100000,"")</f>
      </c>
      <c r="H740">
        <f>IF(AND(采购进货!C740&lt;&gt;"",采购进货!C740=供应商对账单!$B$4,ISNUMBER(采购进货!B740),采购进货!B740&gt;=供应商对账单!$G$4,采购进货!B740&lt;=供应商对账单!$I$4),采购进货!B740+ROW()/100000,"")</f>
      </c>
      <c r="N740">
        <f>IF(AND(ISNUMBER(出库明细!G740),ISNUMBER(出库明细!E740),ISNUMBER(出库明细!F740)),IF(ABS(出库明细!G740-出库明细!E740*出库明细!F740)&gt;0.005,1,0),0)</f>
        <v>0</v>
      </c>
      <c r="O740">
        <f>IF(AND(ISNUMBER(存条明细!G740),ISNUMBER(存条明细!E740),ISNUMBER(存条明细!F740)),IF(ABS(存条明细!G740-存条明细!E740*存条明细!F740)&gt;0.005,1,0),0)</f>
        <v>0</v>
      </c>
    </row>
    <row r="741">
      <c r="A741">
        <f>IF(OR(存条明细!C741="",存条明细!D741=""),"",IF(COUNTIFS(存条明细!$C$4:C741,存条明细!C741,存条明细!$D$4:D741,存条明细!D741)&gt;1,"",IFERROR(MATCH(存条明细!C741,总览汇总!$B$5:$B$304,0),900)*10000000+IFERROR(MATCH(存条明细!D741,基础资料!$E$5:$E$104,0),900)*10000+ROW()))</f>
      </c>
      <c r="F741">
        <f>IF(AND(出库明细!C741&lt;&gt;"",出库明细!C741=客户对账单!$B$4,ISNUMBER(出库明细!B741),出库明细!B741&gt;=客户对账单!$G$4,出库明细!B741&lt;=客户对账单!$I$4),出库明细!B741+ROW()/100000,"")</f>
      </c>
      <c r="H741">
        <f>IF(AND(采购进货!C741&lt;&gt;"",采购进货!C741=供应商对账单!$B$4,ISNUMBER(采购进货!B741),采购进货!B741&gt;=供应商对账单!$G$4,采购进货!B741&lt;=供应商对账单!$I$4),采购进货!B741+ROW()/100000,"")</f>
      </c>
      <c r="N741">
        <f>IF(AND(ISNUMBER(出库明细!G741),ISNUMBER(出库明细!E741),ISNUMBER(出库明细!F741)),IF(ABS(出库明细!G741-出库明细!E741*出库明细!F741)&gt;0.005,1,0),0)</f>
        <v>0</v>
      </c>
      <c r="O741">
        <f>IF(AND(ISNUMBER(存条明细!G741),ISNUMBER(存条明细!E741),ISNUMBER(存条明细!F741)),IF(ABS(存条明细!G741-存条明细!E741*存条明细!F741)&gt;0.005,1,0),0)</f>
        <v>0</v>
      </c>
    </row>
    <row r="742">
      <c r="A742">
        <f>IF(OR(存条明细!C742="",存条明细!D742=""),"",IF(COUNTIFS(存条明细!$C$4:C742,存条明细!C742,存条明细!$D$4:D742,存条明细!D742)&gt;1,"",IFERROR(MATCH(存条明细!C742,总览汇总!$B$5:$B$304,0),900)*10000000+IFERROR(MATCH(存条明细!D742,基础资料!$E$5:$E$104,0),900)*10000+ROW()))</f>
      </c>
      <c r="F742">
        <f>IF(AND(出库明细!C742&lt;&gt;"",出库明细!C742=客户对账单!$B$4,ISNUMBER(出库明细!B742),出库明细!B742&gt;=客户对账单!$G$4,出库明细!B742&lt;=客户对账单!$I$4),出库明细!B742+ROW()/100000,"")</f>
      </c>
      <c r="H742">
        <f>IF(AND(采购进货!C742&lt;&gt;"",采购进货!C742=供应商对账单!$B$4,ISNUMBER(采购进货!B742),采购进货!B742&gt;=供应商对账单!$G$4,采购进货!B742&lt;=供应商对账单!$I$4),采购进货!B742+ROW()/100000,"")</f>
      </c>
      <c r="N742">
        <f>IF(AND(ISNUMBER(出库明细!G742),ISNUMBER(出库明细!E742),ISNUMBER(出库明细!F742)),IF(ABS(出库明细!G742-出库明细!E742*出库明细!F742)&gt;0.005,1,0),0)</f>
        <v>0</v>
      </c>
      <c r="O742">
        <f>IF(AND(ISNUMBER(存条明细!G742),ISNUMBER(存条明细!E742),ISNUMBER(存条明细!F742)),IF(ABS(存条明细!G742-存条明细!E742*存条明细!F742)&gt;0.005,1,0),0)</f>
        <v>0</v>
      </c>
    </row>
    <row r="743">
      <c r="A743">
        <f>IF(OR(存条明细!C743="",存条明细!D743=""),"",IF(COUNTIFS(存条明细!$C$4:C743,存条明细!C743,存条明细!$D$4:D743,存条明细!D743)&gt;1,"",IFERROR(MATCH(存条明细!C743,总览汇总!$B$5:$B$304,0),900)*10000000+IFERROR(MATCH(存条明细!D743,基础资料!$E$5:$E$104,0),900)*10000+ROW()))</f>
      </c>
      <c r="F743">
        <f>IF(AND(出库明细!C743&lt;&gt;"",出库明细!C743=客户对账单!$B$4,ISNUMBER(出库明细!B743),出库明细!B743&gt;=客户对账单!$G$4,出库明细!B743&lt;=客户对账单!$I$4),出库明细!B743+ROW()/100000,"")</f>
      </c>
      <c r="H743">
        <f>IF(AND(采购进货!C743&lt;&gt;"",采购进货!C743=供应商对账单!$B$4,ISNUMBER(采购进货!B743),采购进货!B743&gt;=供应商对账单!$G$4,采购进货!B743&lt;=供应商对账单!$I$4),采购进货!B743+ROW()/100000,"")</f>
      </c>
      <c r="N743">
        <f>IF(AND(ISNUMBER(出库明细!G743),ISNUMBER(出库明细!E743),ISNUMBER(出库明细!F743)),IF(ABS(出库明细!G743-出库明细!E743*出库明细!F743)&gt;0.005,1,0),0)</f>
        <v>0</v>
      </c>
      <c r="O743">
        <f>IF(AND(ISNUMBER(存条明细!G743),ISNUMBER(存条明细!E743),ISNUMBER(存条明细!F743)),IF(ABS(存条明细!G743-存条明细!E743*存条明细!F743)&gt;0.005,1,0),0)</f>
        <v>0</v>
      </c>
    </row>
    <row r="744">
      <c r="A744">
        <f>IF(OR(存条明细!C744="",存条明细!D744=""),"",IF(COUNTIFS(存条明细!$C$4:C744,存条明细!C744,存条明细!$D$4:D744,存条明细!D744)&gt;1,"",IFERROR(MATCH(存条明细!C744,总览汇总!$B$5:$B$304,0),900)*10000000+IFERROR(MATCH(存条明细!D744,基础资料!$E$5:$E$104,0),900)*10000+ROW()))</f>
      </c>
      <c r="F744">
        <f>IF(AND(出库明细!C744&lt;&gt;"",出库明细!C744=客户对账单!$B$4,ISNUMBER(出库明细!B744),出库明细!B744&gt;=客户对账单!$G$4,出库明细!B744&lt;=客户对账单!$I$4),出库明细!B744+ROW()/100000,"")</f>
      </c>
      <c r="H744">
        <f>IF(AND(采购进货!C744&lt;&gt;"",采购进货!C744=供应商对账单!$B$4,ISNUMBER(采购进货!B744),采购进货!B744&gt;=供应商对账单!$G$4,采购进货!B744&lt;=供应商对账单!$I$4),采购进货!B744+ROW()/100000,"")</f>
      </c>
      <c r="N744">
        <f>IF(AND(ISNUMBER(出库明细!G744),ISNUMBER(出库明细!E744),ISNUMBER(出库明细!F744)),IF(ABS(出库明细!G744-出库明细!E744*出库明细!F744)&gt;0.005,1,0),0)</f>
        <v>0</v>
      </c>
      <c r="O744">
        <f>IF(AND(ISNUMBER(存条明细!G744),ISNUMBER(存条明细!E744),ISNUMBER(存条明细!F744)),IF(ABS(存条明细!G744-存条明细!E744*存条明细!F744)&gt;0.005,1,0),0)</f>
        <v>0</v>
      </c>
    </row>
    <row r="745">
      <c r="A745">
        <f>IF(OR(存条明细!C745="",存条明细!D745=""),"",IF(COUNTIFS(存条明细!$C$4:C745,存条明细!C745,存条明细!$D$4:D745,存条明细!D745)&gt;1,"",IFERROR(MATCH(存条明细!C745,总览汇总!$B$5:$B$304,0),900)*10000000+IFERROR(MATCH(存条明细!D745,基础资料!$E$5:$E$104,0),900)*10000+ROW()))</f>
      </c>
      <c r="F745">
        <f>IF(AND(出库明细!C745&lt;&gt;"",出库明细!C745=客户对账单!$B$4,ISNUMBER(出库明细!B745),出库明细!B745&gt;=客户对账单!$G$4,出库明细!B745&lt;=客户对账单!$I$4),出库明细!B745+ROW()/100000,"")</f>
      </c>
      <c r="H745">
        <f>IF(AND(采购进货!C745&lt;&gt;"",采购进货!C745=供应商对账单!$B$4,ISNUMBER(采购进货!B745),采购进货!B745&gt;=供应商对账单!$G$4,采购进货!B745&lt;=供应商对账单!$I$4),采购进货!B745+ROW()/100000,"")</f>
      </c>
      <c r="N745">
        <f>IF(AND(ISNUMBER(出库明细!G745),ISNUMBER(出库明细!E745),ISNUMBER(出库明细!F745)),IF(ABS(出库明细!G745-出库明细!E745*出库明细!F745)&gt;0.005,1,0),0)</f>
        <v>0</v>
      </c>
      <c r="O745">
        <f>IF(AND(ISNUMBER(存条明细!G745),ISNUMBER(存条明细!E745),ISNUMBER(存条明细!F745)),IF(ABS(存条明细!G745-存条明细!E745*存条明细!F745)&gt;0.005,1,0),0)</f>
        <v>0</v>
      </c>
    </row>
    <row r="746">
      <c r="A746">
        <f>IF(OR(存条明细!C746="",存条明细!D746=""),"",IF(COUNTIFS(存条明细!$C$4:C746,存条明细!C746,存条明细!$D$4:D746,存条明细!D746)&gt;1,"",IFERROR(MATCH(存条明细!C746,总览汇总!$B$5:$B$304,0),900)*10000000+IFERROR(MATCH(存条明细!D746,基础资料!$E$5:$E$104,0),900)*10000+ROW()))</f>
      </c>
      <c r="F746">
        <f>IF(AND(出库明细!C746&lt;&gt;"",出库明细!C746=客户对账单!$B$4,ISNUMBER(出库明细!B746),出库明细!B746&gt;=客户对账单!$G$4,出库明细!B746&lt;=客户对账单!$I$4),出库明细!B746+ROW()/100000,"")</f>
      </c>
      <c r="H746">
        <f>IF(AND(采购进货!C746&lt;&gt;"",采购进货!C746=供应商对账单!$B$4,ISNUMBER(采购进货!B746),采购进货!B746&gt;=供应商对账单!$G$4,采购进货!B746&lt;=供应商对账单!$I$4),采购进货!B746+ROW()/100000,"")</f>
      </c>
      <c r="N746">
        <f>IF(AND(ISNUMBER(出库明细!G746),ISNUMBER(出库明细!E746),ISNUMBER(出库明细!F746)),IF(ABS(出库明细!G746-出库明细!E746*出库明细!F746)&gt;0.005,1,0),0)</f>
        <v>0</v>
      </c>
      <c r="O746">
        <f>IF(AND(ISNUMBER(存条明细!G746),ISNUMBER(存条明细!E746),ISNUMBER(存条明细!F746)),IF(ABS(存条明细!G746-存条明细!E746*存条明细!F746)&gt;0.005,1,0),0)</f>
        <v>0</v>
      </c>
    </row>
    <row r="747">
      <c r="A747">
        <f>IF(OR(存条明细!C747="",存条明细!D747=""),"",IF(COUNTIFS(存条明细!$C$4:C747,存条明细!C747,存条明细!$D$4:D747,存条明细!D747)&gt;1,"",IFERROR(MATCH(存条明细!C747,总览汇总!$B$5:$B$304,0),900)*10000000+IFERROR(MATCH(存条明细!D747,基础资料!$E$5:$E$104,0),900)*10000+ROW()))</f>
      </c>
      <c r="F747">
        <f>IF(AND(出库明细!C747&lt;&gt;"",出库明细!C747=客户对账单!$B$4,ISNUMBER(出库明细!B747),出库明细!B747&gt;=客户对账单!$G$4,出库明细!B747&lt;=客户对账单!$I$4),出库明细!B747+ROW()/100000,"")</f>
      </c>
      <c r="H747">
        <f>IF(AND(采购进货!C747&lt;&gt;"",采购进货!C747=供应商对账单!$B$4,ISNUMBER(采购进货!B747),采购进货!B747&gt;=供应商对账单!$G$4,采购进货!B747&lt;=供应商对账单!$I$4),采购进货!B747+ROW()/100000,"")</f>
      </c>
      <c r="N747">
        <f>IF(AND(ISNUMBER(出库明细!G747),ISNUMBER(出库明细!E747),ISNUMBER(出库明细!F747)),IF(ABS(出库明细!G747-出库明细!E747*出库明细!F747)&gt;0.005,1,0),0)</f>
        <v>0</v>
      </c>
      <c r="O747">
        <f>IF(AND(ISNUMBER(存条明细!G747),ISNUMBER(存条明细!E747),ISNUMBER(存条明细!F747)),IF(ABS(存条明细!G747-存条明细!E747*存条明细!F747)&gt;0.005,1,0),0)</f>
        <v>0</v>
      </c>
    </row>
    <row r="748">
      <c r="A748">
        <f>IF(OR(存条明细!C748="",存条明细!D748=""),"",IF(COUNTIFS(存条明细!$C$4:C748,存条明细!C748,存条明细!$D$4:D748,存条明细!D748)&gt;1,"",IFERROR(MATCH(存条明细!C748,总览汇总!$B$5:$B$304,0),900)*10000000+IFERROR(MATCH(存条明细!D748,基础资料!$E$5:$E$104,0),900)*10000+ROW()))</f>
      </c>
      <c r="F748">
        <f>IF(AND(出库明细!C748&lt;&gt;"",出库明细!C748=客户对账单!$B$4,ISNUMBER(出库明细!B748),出库明细!B748&gt;=客户对账单!$G$4,出库明细!B748&lt;=客户对账单!$I$4),出库明细!B748+ROW()/100000,"")</f>
      </c>
      <c r="H748">
        <f>IF(AND(采购进货!C748&lt;&gt;"",采购进货!C748=供应商对账单!$B$4,ISNUMBER(采购进货!B748),采购进货!B748&gt;=供应商对账单!$G$4,采购进货!B748&lt;=供应商对账单!$I$4),采购进货!B748+ROW()/100000,"")</f>
      </c>
      <c r="N748">
        <f>IF(AND(ISNUMBER(出库明细!G748),ISNUMBER(出库明细!E748),ISNUMBER(出库明细!F748)),IF(ABS(出库明细!G748-出库明细!E748*出库明细!F748)&gt;0.005,1,0),0)</f>
        <v>0</v>
      </c>
      <c r="O748">
        <f>IF(AND(ISNUMBER(存条明细!G748),ISNUMBER(存条明细!E748),ISNUMBER(存条明细!F748)),IF(ABS(存条明细!G748-存条明细!E748*存条明细!F748)&gt;0.005,1,0),0)</f>
        <v>0</v>
      </c>
    </row>
    <row r="749">
      <c r="A749">
        <f>IF(OR(存条明细!C749="",存条明细!D749=""),"",IF(COUNTIFS(存条明细!$C$4:C749,存条明细!C749,存条明细!$D$4:D749,存条明细!D749)&gt;1,"",IFERROR(MATCH(存条明细!C749,总览汇总!$B$5:$B$304,0),900)*10000000+IFERROR(MATCH(存条明细!D749,基础资料!$E$5:$E$104,0),900)*10000+ROW()))</f>
      </c>
      <c r="F749">
        <f>IF(AND(出库明细!C749&lt;&gt;"",出库明细!C749=客户对账单!$B$4,ISNUMBER(出库明细!B749),出库明细!B749&gt;=客户对账单!$G$4,出库明细!B749&lt;=客户对账单!$I$4),出库明细!B749+ROW()/100000,"")</f>
      </c>
      <c r="H749">
        <f>IF(AND(采购进货!C749&lt;&gt;"",采购进货!C749=供应商对账单!$B$4,ISNUMBER(采购进货!B749),采购进货!B749&gt;=供应商对账单!$G$4,采购进货!B749&lt;=供应商对账单!$I$4),采购进货!B749+ROW()/100000,"")</f>
      </c>
      <c r="N749">
        <f>IF(AND(ISNUMBER(出库明细!G749),ISNUMBER(出库明细!E749),ISNUMBER(出库明细!F749)),IF(ABS(出库明细!G749-出库明细!E749*出库明细!F749)&gt;0.005,1,0),0)</f>
        <v>0</v>
      </c>
      <c r="O749">
        <f>IF(AND(ISNUMBER(存条明细!G749),ISNUMBER(存条明细!E749),ISNUMBER(存条明细!F749)),IF(ABS(存条明细!G749-存条明细!E749*存条明细!F749)&gt;0.005,1,0),0)</f>
        <v>0</v>
      </c>
    </row>
    <row r="750">
      <c r="A750">
        <f>IF(OR(存条明细!C750="",存条明细!D750=""),"",IF(COUNTIFS(存条明细!$C$4:C750,存条明细!C750,存条明细!$D$4:D750,存条明细!D750)&gt;1,"",IFERROR(MATCH(存条明细!C750,总览汇总!$B$5:$B$304,0),900)*10000000+IFERROR(MATCH(存条明细!D750,基础资料!$E$5:$E$104,0),900)*10000+ROW()))</f>
      </c>
      <c r="F750">
        <f>IF(AND(出库明细!C750&lt;&gt;"",出库明细!C750=客户对账单!$B$4,ISNUMBER(出库明细!B750),出库明细!B750&gt;=客户对账单!$G$4,出库明细!B750&lt;=客户对账单!$I$4),出库明细!B750+ROW()/100000,"")</f>
      </c>
      <c r="H750">
        <f>IF(AND(采购进货!C750&lt;&gt;"",采购进货!C750=供应商对账单!$B$4,ISNUMBER(采购进货!B750),采购进货!B750&gt;=供应商对账单!$G$4,采购进货!B750&lt;=供应商对账单!$I$4),采购进货!B750+ROW()/100000,"")</f>
      </c>
      <c r="N750">
        <f>IF(AND(ISNUMBER(出库明细!G750),ISNUMBER(出库明细!E750),ISNUMBER(出库明细!F750)),IF(ABS(出库明细!G750-出库明细!E750*出库明细!F750)&gt;0.005,1,0),0)</f>
        <v>0</v>
      </c>
      <c r="O750">
        <f>IF(AND(ISNUMBER(存条明细!G750),ISNUMBER(存条明细!E750),ISNUMBER(存条明细!F750)),IF(ABS(存条明细!G750-存条明细!E750*存条明细!F750)&gt;0.005,1,0),0)</f>
        <v>0</v>
      </c>
    </row>
    <row r="751">
      <c r="A751">
        <f>IF(OR(存条明细!C751="",存条明细!D751=""),"",IF(COUNTIFS(存条明细!$C$4:C751,存条明细!C751,存条明细!$D$4:D751,存条明细!D751)&gt;1,"",IFERROR(MATCH(存条明细!C751,总览汇总!$B$5:$B$304,0),900)*10000000+IFERROR(MATCH(存条明细!D751,基础资料!$E$5:$E$104,0),900)*10000+ROW()))</f>
      </c>
      <c r="F751">
        <f>IF(AND(出库明细!C751&lt;&gt;"",出库明细!C751=客户对账单!$B$4,ISNUMBER(出库明细!B751),出库明细!B751&gt;=客户对账单!$G$4,出库明细!B751&lt;=客户对账单!$I$4),出库明细!B751+ROW()/100000,"")</f>
      </c>
      <c r="H751">
        <f>IF(AND(采购进货!C751&lt;&gt;"",采购进货!C751=供应商对账单!$B$4,ISNUMBER(采购进货!B751),采购进货!B751&gt;=供应商对账单!$G$4,采购进货!B751&lt;=供应商对账单!$I$4),采购进货!B751+ROW()/100000,"")</f>
      </c>
      <c r="N751">
        <f>IF(AND(ISNUMBER(出库明细!G751),ISNUMBER(出库明细!E751),ISNUMBER(出库明细!F751)),IF(ABS(出库明细!G751-出库明细!E751*出库明细!F751)&gt;0.005,1,0),0)</f>
        <v>0</v>
      </c>
      <c r="O751">
        <f>IF(AND(ISNUMBER(存条明细!G751),ISNUMBER(存条明细!E751),ISNUMBER(存条明细!F751)),IF(ABS(存条明细!G751-存条明细!E751*存条明细!F751)&gt;0.005,1,0),0)</f>
        <v>0</v>
      </c>
    </row>
    <row r="752">
      <c r="A752">
        <f>IF(OR(存条明细!C752="",存条明细!D752=""),"",IF(COUNTIFS(存条明细!$C$4:C752,存条明细!C752,存条明细!$D$4:D752,存条明细!D752)&gt;1,"",IFERROR(MATCH(存条明细!C752,总览汇总!$B$5:$B$304,0),900)*10000000+IFERROR(MATCH(存条明细!D752,基础资料!$E$5:$E$104,0),900)*10000+ROW()))</f>
      </c>
      <c r="F752">
        <f>IF(AND(出库明细!C752&lt;&gt;"",出库明细!C752=客户对账单!$B$4,ISNUMBER(出库明细!B752),出库明细!B752&gt;=客户对账单!$G$4,出库明细!B752&lt;=客户对账单!$I$4),出库明细!B752+ROW()/100000,"")</f>
      </c>
      <c r="H752">
        <f>IF(AND(采购进货!C752&lt;&gt;"",采购进货!C752=供应商对账单!$B$4,ISNUMBER(采购进货!B752),采购进货!B752&gt;=供应商对账单!$G$4,采购进货!B752&lt;=供应商对账单!$I$4),采购进货!B752+ROW()/100000,"")</f>
      </c>
      <c r="N752">
        <f>IF(AND(ISNUMBER(出库明细!G752),ISNUMBER(出库明细!E752),ISNUMBER(出库明细!F752)),IF(ABS(出库明细!G752-出库明细!E752*出库明细!F752)&gt;0.005,1,0),0)</f>
        <v>0</v>
      </c>
      <c r="O752">
        <f>IF(AND(ISNUMBER(存条明细!G752),ISNUMBER(存条明细!E752),ISNUMBER(存条明细!F752)),IF(ABS(存条明细!G752-存条明细!E752*存条明细!F752)&gt;0.005,1,0),0)</f>
        <v>0</v>
      </c>
    </row>
    <row r="753">
      <c r="A753">
        <f>IF(OR(存条明细!C753="",存条明细!D753=""),"",IF(COUNTIFS(存条明细!$C$4:C753,存条明细!C753,存条明细!$D$4:D753,存条明细!D753)&gt;1,"",IFERROR(MATCH(存条明细!C753,总览汇总!$B$5:$B$304,0),900)*10000000+IFERROR(MATCH(存条明细!D753,基础资料!$E$5:$E$104,0),900)*10000+ROW()))</f>
      </c>
      <c r="F753">
        <f>IF(AND(出库明细!C753&lt;&gt;"",出库明细!C753=客户对账单!$B$4,ISNUMBER(出库明细!B753),出库明细!B753&gt;=客户对账单!$G$4,出库明细!B753&lt;=客户对账单!$I$4),出库明细!B753+ROW()/100000,"")</f>
      </c>
      <c r="H753">
        <f>IF(AND(采购进货!C753&lt;&gt;"",采购进货!C753=供应商对账单!$B$4,ISNUMBER(采购进货!B753),采购进货!B753&gt;=供应商对账单!$G$4,采购进货!B753&lt;=供应商对账单!$I$4),采购进货!B753+ROW()/100000,"")</f>
      </c>
      <c r="N753">
        <f>IF(AND(ISNUMBER(出库明细!G753),ISNUMBER(出库明细!E753),ISNUMBER(出库明细!F753)),IF(ABS(出库明细!G753-出库明细!E753*出库明细!F753)&gt;0.005,1,0),0)</f>
        <v>0</v>
      </c>
      <c r="O753">
        <f>IF(AND(ISNUMBER(存条明细!G753),ISNUMBER(存条明细!E753),ISNUMBER(存条明细!F753)),IF(ABS(存条明细!G753-存条明细!E753*存条明细!F753)&gt;0.005,1,0),0)</f>
        <v>0</v>
      </c>
    </row>
    <row r="754">
      <c r="A754">
        <f>IF(OR(存条明细!C754="",存条明细!D754=""),"",IF(COUNTIFS(存条明细!$C$4:C754,存条明细!C754,存条明细!$D$4:D754,存条明细!D754)&gt;1,"",IFERROR(MATCH(存条明细!C754,总览汇总!$B$5:$B$304,0),900)*10000000+IFERROR(MATCH(存条明细!D754,基础资料!$E$5:$E$104,0),900)*10000+ROW()))</f>
      </c>
      <c r="F754">
        <f>IF(AND(出库明细!C754&lt;&gt;"",出库明细!C754=客户对账单!$B$4,ISNUMBER(出库明细!B754),出库明细!B754&gt;=客户对账单!$G$4,出库明细!B754&lt;=客户对账单!$I$4),出库明细!B754+ROW()/100000,"")</f>
      </c>
      <c r="H754">
        <f>IF(AND(采购进货!C754&lt;&gt;"",采购进货!C754=供应商对账单!$B$4,ISNUMBER(采购进货!B754),采购进货!B754&gt;=供应商对账单!$G$4,采购进货!B754&lt;=供应商对账单!$I$4),采购进货!B754+ROW()/100000,"")</f>
      </c>
      <c r="N754">
        <f>IF(AND(ISNUMBER(出库明细!G754),ISNUMBER(出库明细!E754),ISNUMBER(出库明细!F754)),IF(ABS(出库明细!G754-出库明细!E754*出库明细!F754)&gt;0.005,1,0),0)</f>
        <v>0</v>
      </c>
      <c r="O754">
        <f>IF(AND(ISNUMBER(存条明细!G754),ISNUMBER(存条明细!E754),ISNUMBER(存条明细!F754)),IF(ABS(存条明细!G754-存条明细!E754*存条明细!F754)&gt;0.005,1,0),0)</f>
        <v>0</v>
      </c>
    </row>
    <row r="755">
      <c r="A755">
        <f>IF(OR(存条明细!C755="",存条明细!D755=""),"",IF(COUNTIFS(存条明细!$C$4:C755,存条明细!C755,存条明细!$D$4:D755,存条明细!D755)&gt;1,"",IFERROR(MATCH(存条明细!C755,总览汇总!$B$5:$B$304,0),900)*10000000+IFERROR(MATCH(存条明细!D755,基础资料!$E$5:$E$104,0),900)*10000+ROW()))</f>
      </c>
      <c r="F755">
        <f>IF(AND(出库明细!C755&lt;&gt;"",出库明细!C755=客户对账单!$B$4,ISNUMBER(出库明细!B755),出库明细!B755&gt;=客户对账单!$G$4,出库明细!B755&lt;=客户对账单!$I$4),出库明细!B755+ROW()/100000,"")</f>
      </c>
      <c r="H755">
        <f>IF(AND(采购进货!C755&lt;&gt;"",采购进货!C755=供应商对账单!$B$4,ISNUMBER(采购进货!B755),采购进货!B755&gt;=供应商对账单!$G$4,采购进货!B755&lt;=供应商对账单!$I$4),采购进货!B755+ROW()/100000,"")</f>
      </c>
      <c r="N755">
        <f>IF(AND(ISNUMBER(出库明细!G755),ISNUMBER(出库明细!E755),ISNUMBER(出库明细!F755)),IF(ABS(出库明细!G755-出库明细!E755*出库明细!F755)&gt;0.005,1,0),0)</f>
        <v>0</v>
      </c>
      <c r="O755">
        <f>IF(AND(ISNUMBER(存条明细!G755),ISNUMBER(存条明细!E755),ISNUMBER(存条明细!F755)),IF(ABS(存条明细!G755-存条明细!E755*存条明细!F755)&gt;0.005,1,0),0)</f>
        <v>0</v>
      </c>
    </row>
    <row r="756">
      <c r="A756">
        <f>IF(OR(存条明细!C756="",存条明细!D756=""),"",IF(COUNTIFS(存条明细!$C$4:C756,存条明细!C756,存条明细!$D$4:D756,存条明细!D756)&gt;1,"",IFERROR(MATCH(存条明细!C756,总览汇总!$B$5:$B$304,0),900)*10000000+IFERROR(MATCH(存条明细!D756,基础资料!$E$5:$E$104,0),900)*10000+ROW()))</f>
      </c>
      <c r="F756">
        <f>IF(AND(出库明细!C756&lt;&gt;"",出库明细!C756=客户对账单!$B$4,ISNUMBER(出库明细!B756),出库明细!B756&gt;=客户对账单!$G$4,出库明细!B756&lt;=客户对账单!$I$4),出库明细!B756+ROW()/100000,"")</f>
      </c>
      <c r="H756">
        <f>IF(AND(采购进货!C756&lt;&gt;"",采购进货!C756=供应商对账单!$B$4,ISNUMBER(采购进货!B756),采购进货!B756&gt;=供应商对账单!$G$4,采购进货!B756&lt;=供应商对账单!$I$4),采购进货!B756+ROW()/100000,"")</f>
      </c>
      <c r="N756">
        <f>IF(AND(ISNUMBER(出库明细!G756),ISNUMBER(出库明细!E756),ISNUMBER(出库明细!F756)),IF(ABS(出库明细!G756-出库明细!E756*出库明细!F756)&gt;0.005,1,0),0)</f>
        <v>0</v>
      </c>
      <c r="O756">
        <f>IF(AND(ISNUMBER(存条明细!G756),ISNUMBER(存条明细!E756),ISNUMBER(存条明细!F756)),IF(ABS(存条明细!G756-存条明细!E756*存条明细!F756)&gt;0.005,1,0),0)</f>
        <v>0</v>
      </c>
    </row>
    <row r="757">
      <c r="A757">
        <f>IF(OR(存条明细!C757="",存条明细!D757=""),"",IF(COUNTIFS(存条明细!$C$4:C757,存条明细!C757,存条明细!$D$4:D757,存条明细!D757)&gt;1,"",IFERROR(MATCH(存条明细!C757,总览汇总!$B$5:$B$304,0),900)*10000000+IFERROR(MATCH(存条明细!D757,基础资料!$E$5:$E$104,0),900)*10000+ROW()))</f>
      </c>
      <c r="F757">
        <f>IF(AND(出库明细!C757&lt;&gt;"",出库明细!C757=客户对账单!$B$4,ISNUMBER(出库明细!B757),出库明细!B757&gt;=客户对账单!$G$4,出库明细!B757&lt;=客户对账单!$I$4),出库明细!B757+ROW()/100000,"")</f>
      </c>
      <c r="H757">
        <f>IF(AND(采购进货!C757&lt;&gt;"",采购进货!C757=供应商对账单!$B$4,ISNUMBER(采购进货!B757),采购进货!B757&gt;=供应商对账单!$G$4,采购进货!B757&lt;=供应商对账单!$I$4),采购进货!B757+ROW()/100000,"")</f>
      </c>
      <c r="N757">
        <f>IF(AND(ISNUMBER(出库明细!G757),ISNUMBER(出库明细!E757),ISNUMBER(出库明细!F757)),IF(ABS(出库明细!G757-出库明细!E757*出库明细!F757)&gt;0.005,1,0),0)</f>
        <v>0</v>
      </c>
      <c r="O757">
        <f>IF(AND(ISNUMBER(存条明细!G757),ISNUMBER(存条明细!E757),ISNUMBER(存条明细!F757)),IF(ABS(存条明细!G757-存条明细!E757*存条明细!F757)&gt;0.005,1,0),0)</f>
        <v>0</v>
      </c>
    </row>
    <row r="758">
      <c r="A758">
        <f>IF(OR(存条明细!C758="",存条明细!D758=""),"",IF(COUNTIFS(存条明细!$C$4:C758,存条明细!C758,存条明细!$D$4:D758,存条明细!D758)&gt;1,"",IFERROR(MATCH(存条明细!C758,总览汇总!$B$5:$B$304,0),900)*10000000+IFERROR(MATCH(存条明细!D758,基础资料!$E$5:$E$104,0),900)*10000+ROW()))</f>
      </c>
      <c r="F758">
        <f>IF(AND(出库明细!C758&lt;&gt;"",出库明细!C758=客户对账单!$B$4,ISNUMBER(出库明细!B758),出库明细!B758&gt;=客户对账单!$G$4,出库明细!B758&lt;=客户对账单!$I$4),出库明细!B758+ROW()/100000,"")</f>
      </c>
      <c r="H758">
        <f>IF(AND(采购进货!C758&lt;&gt;"",采购进货!C758=供应商对账单!$B$4,ISNUMBER(采购进货!B758),采购进货!B758&gt;=供应商对账单!$G$4,采购进货!B758&lt;=供应商对账单!$I$4),采购进货!B758+ROW()/100000,"")</f>
      </c>
      <c r="N758">
        <f>IF(AND(ISNUMBER(出库明细!G758),ISNUMBER(出库明细!E758),ISNUMBER(出库明细!F758)),IF(ABS(出库明细!G758-出库明细!E758*出库明细!F758)&gt;0.005,1,0),0)</f>
        <v>0</v>
      </c>
      <c r="O758">
        <f>IF(AND(ISNUMBER(存条明细!G758),ISNUMBER(存条明细!E758),ISNUMBER(存条明细!F758)),IF(ABS(存条明细!G758-存条明细!E758*存条明细!F758)&gt;0.005,1,0),0)</f>
        <v>0</v>
      </c>
    </row>
    <row r="759">
      <c r="A759">
        <f>IF(OR(存条明细!C759="",存条明细!D759=""),"",IF(COUNTIFS(存条明细!$C$4:C759,存条明细!C759,存条明细!$D$4:D759,存条明细!D759)&gt;1,"",IFERROR(MATCH(存条明细!C759,总览汇总!$B$5:$B$304,0),900)*10000000+IFERROR(MATCH(存条明细!D759,基础资料!$E$5:$E$104,0),900)*10000+ROW()))</f>
      </c>
      <c r="F759">
        <f>IF(AND(出库明细!C759&lt;&gt;"",出库明细!C759=客户对账单!$B$4,ISNUMBER(出库明细!B759),出库明细!B759&gt;=客户对账单!$G$4,出库明细!B759&lt;=客户对账单!$I$4),出库明细!B759+ROW()/100000,"")</f>
      </c>
      <c r="H759">
        <f>IF(AND(采购进货!C759&lt;&gt;"",采购进货!C759=供应商对账单!$B$4,ISNUMBER(采购进货!B759),采购进货!B759&gt;=供应商对账单!$G$4,采购进货!B759&lt;=供应商对账单!$I$4),采购进货!B759+ROW()/100000,"")</f>
      </c>
      <c r="N759">
        <f>IF(AND(ISNUMBER(出库明细!G759),ISNUMBER(出库明细!E759),ISNUMBER(出库明细!F759)),IF(ABS(出库明细!G759-出库明细!E759*出库明细!F759)&gt;0.005,1,0),0)</f>
        <v>0</v>
      </c>
      <c r="O759">
        <f>IF(AND(ISNUMBER(存条明细!G759),ISNUMBER(存条明细!E759),ISNUMBER(存条明细!F759)),IF(ABS(存条明细!G759-存条明细!E759*存条明细!F759)&gt;0.005,1,0),0)</f>
        <v>0</v>
      </c>
    </row>
    <row r="760">
      <c r="A760">
        <f>IF(OR(存条明细!C760="",存条明细!D760=""),"",IF(COUNTIFS(存条明细!$C$4:C760,存条明细!C760,存条明细!$D$4:D760,存条明细!D760)&gt;1,"",IFERROR(MATCH(存条明细!C760,总览汇总!$B$5:$B$304,0),900)*10000000+IFERROR(MATCH(存条明细!D760,基础资料!$E$5:$E$104,0),900)*10000+ROW()))</f>
      </c>
      <c r="F760">
        <f>IF(AND(出库明细!C760&lt;&gt;"",出库明细!C760=客户对账单!$B$4,ISNUMBER(出库明细!B760),出库明细!B760&gt;=客户对账单!$G$4,出库明细!B760&lt;=客户对账单!$I$4),出库明细!B760+ROW()/100000,"")</f>
      </c>
      <c r="H760">
        <f>IF(AND(采购进货!C760&lt;&gt;"",采购进货!C760=供应商对账单!$B$4,ISNUMBER(采购进货!B760),采购进货!B760&gt;=供应商对账单!$G$4,采购进货!B760&lt;=供应商对账单!$I$4),采购进货!B760+ROW()/100000,"")</f>
      </c>
      <c r="N760">
        <f>IF(AND(ISNUMBER(出库明细!G760),ISNUMBER(出库明细!E760),ISNUMBER(出库明细!F760)),IF(ABS(出库明细!G760-出库明细!E760*出库明细!F760)&gt;0.005,1,0),0)</f>
        <v>0</v>
      </c>
      <c r="O760">
        <f>IF(AND(ISNUMBER(存条明细!G760),ISNUMBER(存条明细!E760),ISNUMBER(存条明细!F760)),IF(ABS(存条明细!G760-存条明细!E760*存条明细!F760)&gt;0.005,1,0),0)</f>
        <v>0</v>
      </c>
    </row>
    <row r="761">
      <c r="A761">
        <f>IF(OR(存条明细!C761="",存条明细!D761=""),"",IF(COUNTIFS(存条明细!$C$4:C761,存条明细!C761,存条明细!$D$4:D761,存条明细!D761)&gt;1,"",IFERROR(MATCH(存条明细!C761,总览汇总!$B$5:$B$304,0),900)*10000000+IFERROR(MATCH(存条明细!D761,基础资料!$E$5:$E$104,0),900)*10000+ROW()))</f>
      </c>
      <c r="F761">
        <f>IF(AND(出库明细!C761&lt;&gt;"",出库明细!C761=客户对账单!$B$4,ISNUMBER(出库明细!B761),出库明细!B761&gt;=客户对账单!$G$4,出库明细!B761&lt;=客户对账单!$I$4),出库明细!B761+ROW()/100000,"")</f>
      </c>
      <c r="H761">
        <f>IF(AND(采购进货!C761&lt;&gt;"",采购进货!C761=供应商对账单!$B$4,ISNUMBER(采购进货!B761),采购进货!B761&gt;=供应商对账单!$G$4,采购进货!B761&lt;=供应商对账单!$I$4),采购进货!B761+ROW()/100000,"")</f>
      </c>
      <c r="N761">
        <f>IF(AND(ISNUMBER(出库明细!G761),ISNUMBER(出库明细!E761),ISNUMBER(出库明细!F761)),IF(ABS(出库明细!G761-出库明细!E761*出库明细!F761)&gt;0.005,1,0),0)</f>
        <v>0</v>
      </c>
      <c r="O761">
        <f>IF(AND(ISNUMBER(存条明细!G761),ISNUMBER(存条明细!E761),ISNUMBER(存条明细!F761)),IF(ABS(存条明细!G761-存条明细!E761*存条明细!F761)&gt;0.005,1,0),0)</f>
        <v>0</v>
      </c>
    </row>
    <row r="762">
      <c r="A762">
        <f>IF(OR(存条明细!C762="",存条明细!D762=""),"",IF(COUNTIFS(存条明细!$C$4:C762,存条明细!C762,存条明细!$D$4:D762,存条明细!D762)&gt;1,"",IFERROR(MATCH(存条明细!C762,总览汇总!$B$5:$B$304,0),900)*10000000+IFERROR(MATCH(存条明细!D762,基础资料!$E$5:$E$104,0),900)*10000+ROW()))</f>
      </c>
      <c r="F762">
        <f>IF(AND(出库明细!C762&lt;&gt;"",出库明细!C762=客户对账单!$B$4,ISNUMBER(出库明细!B762),出库明细!B762&gt;=客户对账单!$G$4,出库明细!B762&lt;=客户对账单!$I$4),出库明细!B762+ROW()/100000,"")</f>
      </c>
      <c r="H762">
        <f>IF(AND(采购进货!C762&lt;&gt;"",采购进货!C762=供应商对账单!$B$4,ISNUMBER(采购进货!B762),采购进货!B762&gt;=供应商对账单!$G$4,采购进货!B762&lt;=供应商对账单!$I$4),采购进货!B762+ROW()/100000,"")</f>
      </c>
      <c r="N762">
        <f>IF(AND(ISNUMBER(出库明细!G762),ISNUMBER(出库明细!E762),ISNUMBER(出库明细!F762)),IF(ABS(出库明细!G762-出库明细!E762*出库明细!F762)&gt;0.005,1,0),0)</f>
        <v>0</v>
      </c>
      <c r="O762">
        <f>IF(AND(ISNUMBER(存条明细!G762),ISNUMBER(存条明细!E762),ISNUMBER(存条明细!F762)),IF(ABS(存条明细!G762-存条明细!E762*存条明细!F762)&gt;0.005,1,0),0)</f>
        <v>0</v>
      </c>
    </row>
    <row r="763">
      <c r="A763">
        <f>IF(OR(存条明细!C763="",存条明细!D763=""),"",IF(COUNTIFS(存条明细!$C$4:C763,存条明细!C763,存条明细!$D$4:D763,存条明细!D763)&gt;1,"",IFERROR(MATCH(存条明细!C763,总览汇总!$B$5:$B$304,0),900)*10000000+IFERROR(MATCH(存条明细!D763,基础资料!$E$5:$E$104,0),900)*10000+ROW()))</f>
      </c>
      <c r="F763">
        <f>IF(AND(出库明细!C763&lt;&gt;"",出库明细!C763=客户对账单!$B$4,ISNUMBER(出库明细!B763),出库明细!B763&gt;=客户对账单!$G$4,出库明细!B763&lt;=客户对账单!$I$4),出库明细!B763+ROW()/100000,"")</f>
      </c>
      <c r="H763">
        <f>IF(AND(采购进货!C763&lt;&gt;"",采购进货!C763=供应商对账单!$B$4,ISNUMBER(采购进货!B763),采购进货!B763&gt;=供应商对账单!$G$4,采购进货!B763&lt;=供应商对账单!$I$4),采购进货!B763+ROW()/100000,"")</f>
      </c>
      <c r="N763">
        <f>IF(AND(ISNUMBER(出库明细!G763),ISNUMBER(出库明细!E763),ISNUMBER(出库明细!F763)),IF(ABS(出库明细!G763-出库明细!E763*出库明细!F763)&gt;0.005,1,0),0)</f>
        <v>0</v>
      </c>
      <c r="O763">
        <f>IF(AND(ISNUMBER(存条明细!G763),ISNUMBER(存条明细!E763),ISNUMBER(存条明细!F763)),IF(ABS(存条明细!G763-存条明细!E763*存条明细!F763)&gt;0.005,1,0),0)</f>
        <v>0</v>
      </c>
    </row>
    <row r="764">
      <c r="A764">
        <f>IF(OR(存条明细!C764="",存条明细!D764=""),"",IF(COUNTIFS(存条明细!$C$4:C764,存条明细!C764,存条明细!$D$4:D764,存条明细!D764)&gt;1,"",IFERROR(MATCH(存条明细!C764,总览汇总!$B$5:$B$304,0),900)*10000000+IFERROR(MATCH(存条明细!D764,基础资料!$E$5:$E$104,0),900)*10000+ROW()))</f>
      </c>
      <c r="F764">
        <f>IF(AND(出库明细!C764&lt;&gt;"",出库明细!C764=客户对账单!$B$4,ISNUMBER(出库明细!B764),出库明细!B764&gt;=客户对账单!$G$4,出库明细!B764&lt;=客户对账单!$I$4),出库明细!B764+ROW()/100000,"")</f>
      </c>
      <c r="H764">
        <f>IF(AND(采购进货!C764&lt;&gt;"",采购进货!C764=供应商对账单!$B$4,ISNUMBER(采购进货!B764),采购进货!B764&gt;=供应商对账单!$G$4,采购进货!B764&lt;=供应商对账单!$I$4),采购进货!B764+ROW()/100000,"")</f>
      </c>
      <c r="N764">
        <f>IF(AND(ISNUMBER(出库明细!G764),ISNUMBER(出库明细!E764),ISNUMBER(出库明细!F764)),IF(ABS(出库明细!G764-出库明细!E764*出库明细!F764)&gt;0.005,1,0),0)</f>
        <v>0</v>
      </c>
      <c r="O764">
        <f>IF(AND(ISNUMBER(存条明细!G764),ISNUMBER(存条明细!E764),ISNUMBER(存条明细!F764)),IF(ABS(存条明细!G764-存条明细!E764*存条明细!F764)&gt;0.005,1,0),0)</f>
        <v>0</v>
      </c>
    </row>
    <row r="765">
      <c r="A765">
        <f>IF(OR(存条明细!C765="",存条明细!D765=""),"",IF(COUNTIFS(存条明细!$C$4:C765,存条明细!C765,存条明细!$D$4:D765,存条明细!D765)&gt;1,"",IFERROR(MATCH(存条明细!C765,总览汇总!$B$5:$B$304,0),900)*10000000+IFERROR(MATCH(存条明细!D765,基础资料!$E$5:$E$104,0),900)*10000+ROW()))</f>
      </c>
      <c r="F765">
        <f>IF(AND(出库明细!C765&lt;&gt;"",出库明细!C765=客户对账单!$B$4,ISNUMBER(出库明细!B765),出库明细!B765&gt;=客户对账单!$G$4,出库明细!B765&lt;=客户对账单!$I$4),出库明细!B765+ROW()/100000,"")</f>
      </c>
      <c r="H765">
        <f>IF(AND(采购进货!C765&lt;&gt;"",采购进货!C765=供应商对账单!$B$4,ISNUMBER(采购进货!B765),采购进货!B765&gt;=供应商对账单!$G$4,采购进货!B765&lt;=供应商对账单!$I$4),采购进货!B765+ROW()/100000,"")</f>
      </c>
      <c r="N765">
        <f>IF(AND(ISNUMBER(出库明细!G765),ISNUMBER(出库明细!E765),ISNUMBER(出库明细!F765)),IF(ABS(出库明细!G765-出库明细!E765*出库明细!F765)&gt;0.005,1,0),0)</f>
        <v>0</v>
      </c>
      <c r="O765">
        <f>IF(AND(ISNUMBER(存条明细!G765),ISNUMBER(存条明细!E765),ISNUMBER(存条明细!F765)),IF(ABS(存条明细!G765-存条明细!E765*存条明细!F765)&gt;0.005,1,0),0)</f>
        <v>0</v>
      </c>
    </row>
    <row r="766">
      <c r="A766">
        <f>IF(OR(存条明细!C766="",存条明细!D766=""),"",IF(COUNTIFS(存条明细!$C$4:C766,存条明细!C766,存条明细!$D$4:D766,存条明细!D766)&gt;1,"",IFERROR(MATCH(存条明细!C766,总览汇总!$B$5:$B$304,0),900)*10000000+IFERROR(MATCH(存条明细!D766,基础资料!$E$5:$E$104,0),900)*10000+ROW()))</f>
      </c>
      <c r="F766">
        <f>IF(AND(出库明细!C766&lt;&gt;"",出库明细!C766=客户对账单!$B$4,ISNUMBER(出库明细!B766),出库明细!B766&gt;=客户对账单!$G$4,出库明细!B766&lt;=客户对账单!$I$4),出库明细!B766+ROW()/100000,"")</f>
      </c>
      <c r="H766">
        <f>IF(AND(采购进货!C766&lt;&gt;"",采购进货!C766=供应商对账单!$B$4,ISNUMBER(采购进货!B766),采购进货!B766&gt;=供应商对账单!$G$4,采购进货!B766&lt;=供应商对账单!$I$4),采购进货!B766+ROW()/100000,"")</f>
      </c>
      <c r="N766">
        <f>IF(AND(ISNUMBER(出库明细!G766),ISNUMBER(出库明细!E766),ISNUMBER(出库明细!F766)),IF(ABS(出库明细!G766-出库明细!E766*出库明细!F766)&gt;0.005,1,0),0)</f>
        <v>0</v>
      </c>
      <c r="O766">
        <f>IF(AND(ISNUMBER(存条明细!G766),ISNUMBER(存条明细!E766),ISNUMBER(存条明细!F766)),IF(ABS(存条明细!G766-存条明细!E766*存条明细!F766)&gt;0.005,1,0),0)</f>
        <v>0</v>
      </c>
    </row>
    <row r="767">
      <c r="A767">
        <f>IF(OR(存条明细!C767="",存条明细!D767=""),"",IF(COUNTIFS(存条明细!$C$4:C767,存条明细!C767,存条明细!$D$4:D767,存条明细!D767)&gt;1,"",IFERROR(MATCH(存条明细!C767,总览汇总!$B$5:$B$304,0),900)*10000000+IFERROR(MATCH(存条明细!D767,基础资料!$E$5:$E$104,0),900)*10000+ROW()))</f>
      </c>
      <c r="F767">
        <f>IF(AND(出库明细!C767&lt;&gt;"",出库明细!C767=客户对账单!$B$4,ISNUMBER(出库明细!B767),出库明细!B767&gt;=客户对账单!$G$4,出库明细!B767&lt;=客户对账单!$I$4),出库明细!B767+ROW()/100000,"")</f>
      </c>
      <c r="H767">
        <f>IF(AND(采购进货!C767&lt;&gt;"",采购进货!C767=供应商对账单!$B$4,ISNUMBER(采购进货!B767),采购进货!B767&gt;=供应商对账单!$G$4,采购进货!B767&lt;=供应商对账单!$I$4),采购进货!B767+ROW()/100000,"")</f>
      </c>
      <c r="N767">
        <f>IF(AND(ISNUMBER(出库明细!G767),ISNUMBER(出库明细!E767),ISNUMBER(出库明细!F767)),IF(ABS(出库明细!G767-出库明细!E767*出库明细!F767)&gt;0.005,1,0),0)</f>
        <v>0</v>
      </c>
      <c r="O767">
        <f>IF(AND(ISNUMBER(存条明细!G767),ISNUMBER(存条明细!E767),ISNUMBER(存条明细!F767)),IF(ABS(存条明细!G767-存条明细!E767*存条明细!F767)&gt;0.005,1,0),0)</f>
        <v>0</v>
      </c>
    </row>
    <row r="768">
      <c r="A768">
        <f>IF(OR(存条明细!C768="",存条明细!D768=""),"",IF(COUNTIFS(存条明细!$C$4:C768,存条明细!C768,存条明细!$D$4:D768,存条明细!D768)&gt;1,"",IFERROR(MATCH(存条明细!C768,总览汇总!$B$5:$B$304,0),900)*10000000+IFERROR(MATCH(存条明细!D768,基础资料!$E$5:$E$104,0),900)*10000+ROW()))</f>
      </c>
      <c r="F768">
        <f>IF(AND(出库明细!C768&lt;&gt;"",出库明细!C768=客户对账单!$B$4,ISNUMBER(出库明细!B768),出库明细!B768&gt;=客户对账单!$G$4,出库明细!B768&lt;=客户对账单!$I$4),出库明细!B768+ROW()/100000,"")</f>
      </c>
      <c r="H768">
        <f>IF(AND(采购进货!C768&lt;&gt;"",采购进货!C768=供应商对账单!$B$4,ISNUMBER(采购进货!B768),采购进货!B768&gt;=供应商对账单!$G$4,采购进货!B768&lt;=供应商对账单!$I$4),采购进货!B768+ROW()/100000,"")</f>
      </c>
      <c r="N768">
        <f>IF(AND(ISNUMBER(出库明细!G768),ISNUMBER(出库明细!E768),ISNUMBER(出库明细!F768)),IF(ABS(出库明细!G768-出库明细!E768*出库明细!F768)&gt;0.005,1,0),0)</f>
        <v>0</v>
      </c>
      <c r="O768">
        <f>IF(AND(ISNUMBER(存条明细!G768),ISNUMBER(存条明细!E768),ISNUMBER(存条明细!F768)),IF(ABS(存条明细!G768-存条明细!E768*存条明细!F768)&gt;0.005,1,0),0)</f>
        <v>0</v>
      </c>
    </row>
    <row r="769">
      <c r="A769">
        <f>IF(OR(存条明细!C769="",存条明细!D769=""),"",IF(COUNTIFS(存条明细!$C$4:C769,存条明细!C769,存条明细!$D$4:D769,存条明细!D769)&gt;1,"",IFERROR(MATCH(存条明细!C769,总览汇总!$B$5:$B$304,0),900)*10000000+IFERROR(MATCH(存条明细!D769,基础资料!$E$5:$E$104,0),900)*10000+ROW()))</f>
      </c>
      <c r="F769">
        <f>IF(AND(出库明细!C769&lt;&gt;"",出库明细!C769=客户对账单!$B$4,ISNUMBER(出库明细!B769),出库明细!B769&gt;=客户对账单!$G$4,出库明细!B769&lt;=客户对账单!$I$4),出库明细!B769+ROW()/100000,"")</f>
      </c>
      <c r="H769">
        <f>IF(AND(采购进货!C769&lt;&gt;"",采购进货!C769=供应商对账单!$B$4,ISNUMBER(采购进货!B769),采购进货!B769&gt;=供应商对账单!$G$4,采购进货!B769&lt;=供应商对账单!$I$4),采购进货!B769+ROW()/100000,"")</f>
      </c>
      <c r="N769">
        <f>IF(AND(ISNUMBER(出库明细!G769),ISNUMBER(出库明细!E769),ISNUMBER(出库明细!F769)),IF(ABS(出库明细!G769-出库明细!E769*出库明细!F769)&gt;0.005,1,0),0)</f>
        <v>0</v>
      </c>
      <c r="O769">
        <f>IF(AND(ISNUMBER(存条明细!G769),ISNUMBER(存条明细!E769),ISNUMBER(存条明细!F769)),IF(ABS(存条明细!G769-存条明细!E769*存条明细!F769)&gt;0.005,1,0),0)</f>
        <v>0</v>
      </c>
    </row>
    <row r="770">
      <c r="A770">
        <f>IF(OR(存条明细!C770="",存条明细!D770=""),"",IF(COUNTIFS(存条明细!$C$4:C770,存条明细!C770,存条明细!$D$4:D770,存条明细!D770)&gt;1,"",IFERROR(MATCH(存条明细!C770,总览汇总!$B$5:$B$304,0),900)*10000000+IFERROR(MATCH(存条明细!D770,基础资料!$E$5:$E$104,0),900)*10000+ROW()))</f>
      </c>
      <c r="F770">
        <f>IF(AND(出库明细!C770&lt;&gt;"",出库明细!C770=客户对账单!$B$4,ISNUMBER(出库明细!B770),出库明细!B770&gt;=客户对账单!$G$4,出库明细!B770&lt;=客户对账单!$I$4),出库明细!B770+ROW()/100000,"")</f>
      </c>
      <c r="H770">
        <f>IF(AND(采购进货!C770&lt;&gt;"",采购进货!C770=供应商对账单!$B$4,ISNUMBER(采购进货!B770),采购进货!B770&gt;=供应商对账单!$G$4,采购进货!B770&lt;=供应商对账单!$I$4),采购进货!B770+ROW()/100000,"")</f>
      </c>
      <c r="N770">
        <f>IF(AND(ISNUMBER(出库明细!G770),ISNUMBER(出库明细!E770),ISNUMBER(出库明细!F770)),IF(ABS(出库明细!G770-出库明细!E770*出库明细!F770)&gt;0.005,1,0),0)</f>
        <v>0</v>
      </c>
      <c r="O770">
        <f>IF(AND(ISNUMBER(存条明细!G770),ISNUMBER(存条明细!E770),ISNUMBER(存条明细!F770)),IF(ABS(存条明细!G770-存条明细!E770*存条明细!F770)&gt;0.005,1,0),0)</f>
        <v>0</v>
      </c>
    </row>
    <row r="771">
      <c r="A771">
        <f>IF(OR(存条明细!C771="",存条明细!D771=""),"",IF(COUNTIFS(存条明细!$C$4:C771,存条明细!C771,存条明细!$D$4:D771,存条明细!D771)&gt;1,"",IFERROR(MATCH(存条明细!C771,总览汇总!$B$5:$B$304,0),900)*10000000+IFERROR(MATCH(存条明细!D771,基础资料!$E$5:$E$104,0),900)*10000+ROW()))</f>
      </c>
      <c r="F771">
        <f>IF(AND(出库明细!C771&lt;&gt;"",出库明细!C771=客户对账单!$B$4,ISNUMBER(出库明细!B771),出库明细!B771&gt;=客户对账单!$G$4,出库明细!B771&lt;=客户对账单!$I$4),出库明细!B771+ROW()/100000,"")</f>
      </c>
      <c r="H771">
        <f>IF(AND(采购进货!C771&lt;&gt;"",采购进货!C771=供应商对账单!$B$4,ISNUMBER(采购进货!B771),采购进货!B771&gt;=供应商对账单!$G$4,采购进货!B771&lt;=供应商对账单!$I$4),采购进货!B771+ROW()/100000,"")</f>
      </c>
      <c r="N771">
        <f>IF(AND(ISNUMBER(出库明细!G771),ISNUMBER(出库明细!E771),ISNUMBER(出库明细!F771)),IF(ABS(出库明细!G771-出库明细!E771*出库明细!F771)&gt;0.005,1,0),0)</f>
        <v>0</v>
      </c>
      <c r="O771">
        <f>IF(AND(ISNUMBER(存条明细!G771),ISNUMBER(存条明细!E771),ISNUMBER(存条明细!F771)),IF(ABS(存条明细!G771-存条明细!E771*存条明细!F771)&gt;0.005,1,0),0)</f>
        <v>0</v>
      </c>
    </row>
    <row r="772">
      <c r="A772">
        <f>IF(OR(存条明细!C772="",存条明细!D772=""),"",IF(COUNTIFS(存条明细!$C$4:C772,存条明细!C772,存条明细!$D$4:D772,存条明细!D772)&gt;1,"",IFERROR(MATCH(存条明细!C772,总览汇总!$B$5:$B$304,0),900)*10000000+IFERROR(MATCH(存条明细!D772,基础资料!$E$5:$E$104,0),900)*10000+ROW()))</f>
      </c>
      <c r="F772">
        <f>IF(AND(出库明细!C772&lt;&gt;"",出库明细!C772=客户对账单!$B$4,ISNUMBER(出库明细!B772),出库明细!B772&gt;=客户对账单!$G$4,出库明细!B772&lt;=客户对账单!$I$4),出库明细!B772+ROW()/100000,"")</f>
      </c>
      <c r="H772">
        <f>IF(AND(采购进货!C772&lt;&gt;"",采购进货!C772=供应商对账单!$B$4,ISNUMBER(采购进货!B772),采购进货!B772&gt;=供应商对账单!$G$4,采购进货!B772&lt;=供应商对账单!$I$4),采购进货!B772+ROW()/100000,"")</f>
      </c>
      <c r="N772">
        <f>IF(AND(ISNUMBER(出库明细!G772),ISNUMBER(出库明细!E772),ISNUMBER(出库明细!F772)),IF(ABS(出库明细!G772-出库明细!E772*出库明细!F772)&gt;0.005,1,0),0)</f>
        <v>0</v>
      </c>
      <c r="O772">
        <f>IF(AND(ISNUMBER(存条明细!G772),ISNUMBER(存条明细!E772),ISNUMBER(存条明细!F772)),IF(ABS(存条明细!G772-存条明细!E772*存条明细!F772)&gt;0.005,1,0),0)</f>
        <v>0</v>
      </c>
    </row>
    <row r="773">
      <c r="A773">
        <f>IF(OR(存条明细!C773="",存条明细!D773=""),"",IF(COUNTIFS(存条明细!$C$4:C773,存条明细!C773,存条明细!$D$4:D773,存条明细!D773)&gt;1,"",IFERROR(MATCH(存条明细!C773,总览汇总!$B$5:$B$304,0),900)*10000000+IFERROR(MATCH(存条明细!D773,基础资料!$E$5:$E$104,0),900)*10000+ROW()))</f>
      </c>
      <c r="F773">
        <f>IF(AND(出库明细!C773&lt;&gt;"",出库明细!C773=客户对账单!$B$4,ISNUMBER(出库明细!B773),出库明细!B773&gt;=客户对账单!$G$4,出库明细!B773&lt;=客户对账单!$I$4),出库明细!B773+ROW()/100000,"")</f>
      </c>
      <c r="H773">
        <f>IF(AND(采购进货!C773&lt;&gt;"",采购进货!C773=供应商对账单!$B$4,ISNUMBER(采购进货!B773),采购进货!B773&gt;=供应商对账单!$G$4,采购进货!B773&lt;=供应商对账单!$I$4),采购进货!B773+ROW()/100000,"")</f>
      </c>
      <c r="N773">
        <f>IF(AND(ISNUMBER(出库明细!G773),ISNUMBER(出库明细!E773),ISNUMBER(出库明细!F773)),IF(ABS(出库明细!G773-出库明细!E773*出库明细!F773)&gt;0.005,1,0),0)</f>
        <v>0</v>
      </c>
      <c r="O773">
        <f>IF(AND(ISNUMBER(存条明细!G773),ISNUMBER(存条明细!E773),ISNUMBER(存条明细!F773)),IF(ABS(存条明细!G773-存条明细!E773*存条明细!F773)&gt;0.005,1,0),0)</f>
        <v>0</v>
      </c>
    </row>
    <row r="774">
      <c r="A774">
        <f>IF(OR(存条明细!C774="",存条明细!D774=""),"",IF(COUNTIFS(存条明细!$C$4:C774,存条明细!C774,存条明细!$D$4:D774,存条明细!D774)&gt;1,"",IFERROR(MATCH(存条明细!C774,总览汇总!$B$5:$B$304,0),900)*10000000+IFERROR(MATCH(存条明细!D774,基础资料!$E$5:$E$104,0),900)*10000+ROW()))</f>
      </c>
      <c r="F774">
        <f>IF(AND(出库明细!C774&lt;&gt;"",出库明细!C774=客户对账单!$B$4,ISNUMBER(出库明细!B774),出库明细!B774&gt;=客户对账单!$G$4,出库明细!B774&lt;=客户对账单!$I$4),出库明细!B774+ROW()/100000,"")</f>
      </c>
      <c r="H774">
        <f>IF(AND(采购进货!C774&lt;&gt;"",采购进货!C774=供应商对账单!$B$4,ISNUMBER(采购进货!B774),采购进货!B774&gt;=供应商对账单!$G$4,采购进货!B774&lt;=供应商对账单!$I$4),采购进货!B774+ROW()/100000,"")</f>
      </c>
      <c r="N774">
        <f>IF(AND(ISNUMBER(出库明细!G774),ISNUMBER(出库明细!E774),ISNUMBER(出库明细!F774)),IF(ABS(出库明细!G774-出库明细!E774*出库明细!F774)&gt;0.005,1,0),0)</f>
        <v>0</v>
      </c>
      <c r="O774">
        <f>IF(AND(ISNUMBER(存条明细!G774),ISNUMBER(存条明细!E774),ISNUMBER(存条明细!F774)),IF(ABS(存条明细!G774-存条明细!E774*存条明细!F774)&gt;0.005,1,0),0)</f>
        <v>0</v>
      </c>
    </row>
    <row r="775">
      <c r="A775">
        <f>IF(OR(存条明细!C775="",存条明细!D775=""),"",IF(COUNTIFS(存条明细!$C$4:C775,存条明细!C775,存条明细!$D$4:D775,存条明细!D775)&gt;1,"",IFERROR(MATCH(存条明细!C775,总览汇总!$B$5:$B$304,0),900)*10000000+IFERROR(MATCH(存条明细!D775,基础资料!$E$5:$E$104,0),900)*10000+ROW()))</f>
      </c>
      <c r="F775">
        <f>IF(AND(出库明细!C775&lt;&gt;"",出库明细!C775=客户对账单!$B$4,ISNUMBER(出库明细!B775),出库明细!B775&gt;=客户对账单!$G$4,出库明细!B775&lt;=客户对账单!$I$4),出库明细!B775+ROW()/100000,"")</f>
      </c>
      <c r="H775">
        <f>IF(AND(采购进货!C775&lt;&gt;"",采购进货!C775=供应商对账单!$B$4,ISNUMBER(采购进货!B775),采购进货!B775&gt;=供应商对账单!$G$4,采购进货!B775&lt;=供应商对账单!$I$4),采购进货!B775+ROW()/100000,"")</f>
      </c>
      <c r="N775">
        <f>IF(AND(ISNUMBER(出库明细!G775),ISNUMBER(出库明细!E775),ISNUMBER(出库明细!F775)),IF(ABS(出库明细!G775-出库明细!E775*出库明细!F775)&gt;0.005,1,0),0)</f>
        <v>0</v>
      </c>
      <c r="O775">
        <f>IF(AND(ISNUMBER(存条明细!G775),ISNUMBER(存条明细!E775),ISNUMBER(存条明细!F775)),IF(ABS(存条明细!G775-存条明细!E775*存条明细!F775)&gt;0.005,1,0),0)</f>
        <v>0</v>
      </c>
    </row>
    <row r="776">
      <c r="A776">
        <f>IF(OR(存条明细!C776="",存条明细!D776=""),"",IF(COUNTIFS(存条明细!$C$4:C776,存条明细!C776,存条明细!$D$4:D776,存条明细!D776)&gt;1,"",IFERROR(MATCH(存条明细!C776,总览汇总!$B$5:$B$304,0),900)*10000000+IFERROR(MATCH(存条明细!D776,基础资料!$E$5:$E$104,0),900)*10000+ROW()))</f>
      </c>
      <c r="F776">
        <f>IF(AND(出库明细!C776&lt;&gt;"",出库明细!C776=客户对账单!$B$4,ISNUMBER(出库明细!B776),出库明细!B776&gt;=客户对账单!$G$4,出库明细!B776&lt;=客户对账单!$I$4),出库明细!B776+ROW()/100000,"")</f>
      </c>
      <c r="H776">
        <f>IF(AND(采购进货!C776&lt;&gt;"",采购进货!C776=供应商对账单!$B$4,ISNUMBER(采购进货!B776),采购进货!B776&gt;=供应商对账单!$G$4,采购进货!B776&lt;=供应商对账单!$I$4),采购进货!B776+ROW()/100000,"")</f>
      </c>
      <c r="N776">
        <f>IF(AND(ISNUMBER(出库明细!G776),ISNUMBER(出库明细!E776),ISNUMBER(出库明细!F776)),IF(ABS(出库明细!G776-出库明细!E776*出库明细!F776)&gt;0.005,1,0),0)</f>
        <v>0</v>
      </c>
      <c r="O776">
        <f>IF(AND(ISNUMBER(存条明细!G776),ISNUMBER(存条明细!E776),ISNUMBER(存条明细!F776)),IF(ABS(存条明细!G776-存条明细!E776*存条明细!F776)&gt;0.005,1,0),0)</f>
        <v>0</v>
      </c>
    </row>
    <row r="777">
      <c r="A777">
        <f>IF(OR(存条明细!C777="",存条明细!D777=""),"",IF(COUNTIFS(存条明细!$C$4:C777,存条明细!C777,存条明细!$D$4:D777,存条明细!D777)&gt;1,"",IFERROR(MATCH(存条明细!C777,总览汇总!$B$5:$B$304,0),900)*10000000+IFERROR(MATCH(存条明细!D777,基础资料!$E$5:$E$104,0),900)*10000+ROW()))</f>
      </c>
      <c r="F777">
        <f>IF(AND(出库明细!C777&lt;&gt;"",出库明细!C777=客户对账单!$B$4,ISNUMBER(出库明细!B777),出库明细!B777&gt;=客户对账单!$G$4,出库明细!B777&lt;=客户对账单!$I$4),出库明细!B777+ROW()/100000,"")</f>
      </c>
      <c r="H777">
        <f>IF(AND(采购进货!C777&lt;&gt;"",采购进货!C777=供应商对账单!$B$4,ISNUMBER(采购进货!B777),采购进货!B777&gt;=供应商对账单!$G$4,采购进货!B777&lt;=供应商对账单!$I$4),采购进货!B777+ROW()/100000,"")</f>
      </c>
      <c r="N777">
        <f>IF(AND(ISNUMBER(出库明细!G777),ISNUMBER(出库明细!E777),ISNUMBER(出库明细!F777)),IF(ABS(出库明细!G777-出库明细!E777*出库明细!F777)&gt;0.005,1,0),0)</f>
        <v>0</v>
      </c>
      <c r="O777">
        <f>IF(AND(ISNUMBER(存条明细!G777),ISNUMBER(存条明细!E777),ISNUMBER(存条明细!F777)),IF(ABS(存条明细!G777-存条明细!E777*存条明细!F777)&gt;0.005,1,0),0)</f>
        <v>0</v>
      </c>
    </row>
    <row r="778">
      <c r="A778">
        <f>IF(OR(存条明细!C778="",存条明细!D778=""),"",IF(COUNTIFS(存条明细!$C$4:C778,存条明细!C778,存条明细!$D$4:D778,存条明细!D778)&gt;1,"",IFERROR(MATCH(存条明细!C778,总览汇总!$B$5:$B$304,0),900)*10000000+IFERROR(MATCH(存条明细!D778,基础资料!$E$5:$E$104,0),900)*10000+ROW()))</f>
      </c>
      <c r="F778">
        <f>IF(AND(出库明细!C778&lt;&gt;"",出库明细!C778=客户对账单!$B$4,ISNUMBER(出库明细!B778),出库明细!B778&gt;=客户对账单!$G$4,出库明细!B778&lt;=客户对账单!$I$4),出库明细!B778+ROW()/100000,"")</f>
      </c>
      <c r="H778">
        <f>IF(AND(采购进货!C778&lt;&gt;"",采购进货!C778=供应商对账单!$B$4,ISNUMBER(采购进货!B778),采购进货!B778&gt;=供应商对账单!$G$4,采购进货!B778&lt;=供应商对账单!$I$4),采购进货!B778+ROW()/100000,"")</f>
      </c>
      <c r="N778">
        <f>IF(AND(ISNUMBER(出库明细!G778),ISNUMBER(出库明细!E778),ISNUMBER(出库明细!F778)),IF(ABS(出库明细!G778-出库明细!E778*出库明细!F778)&gt;0.005,1,0),0)</f>
        <v>0</v>
      </c>
      <c r="O778">
        <f>IF(AND(ISNUMBER(存条明细!G778),ISNUMBER(存条明细!E778),ISNUMBER(存条明细!F778)),IF(ABS(存条明细!G778-存条明细!E778*存条明细!F778)&gt;0.005,1,0),0)</f>
        <v>0</v>
      </c>
    </row>
    <row r="779">
      <c r="A779">
        <f>IF(OR(存条明细!C779="",存条明细!D779=""),"",IF(COUNTIFS(存条明细!$C$4:C779,存条明细!C779,存条明细!$D$4:D779,存条明细!D779)&gt;1,"",IFERROR(MATCH(存条明细!C779,总览汇总!$B$5:$B$304,0),900)*10000000+IFERROR(MATCH(存条明细!D779,基础资料!$E$5:$E$104,0),900)*10000+ROW()))</f>
      </c>
      <c r="F779">
        <f>IF(AND(出库明细!C779&lt;&gt;"",出库明细!C779=客户对账单!$B$4,ISNUMBER(出库明细!B779),出库明细!B779&gt;=客户对账单!$G$4,出库明细!B779&lt;=客户对账单!$I$4),出库明细!B779+ROW()/100000,"")</f>
      </c>
      <c r="H779">
        <f>IF(AND(采购进货!C779&lt;&gt;"",采购进货!C779=供应商对账单!$B$4,ISNUMBER(采购进货!B779),采购进货!B779&gt;=供应商对账单!$G$4,采购进货!B779&lt;=供应商对账单!$I$4),采购进货!B779+ROW()/100000,"")</f>
      </c>
      <c r="N779">
        <f>IF(AND(ISNUMBER(出库明细!G779),ISNUMBER(出库明细!E779),ISNUMBER(出库明细!F779)),IF(ABS(出库明细!G779-出库明细!E779*出库明细!F779)&gt;0.005,1,0),0)</f>
        <v>0</v>
      </c>
      <c r="O779">
        <f>IF(AND(ISNUMBER(存条明细!G779),ISNUMBER(存条明细!E779),ISNUMBER(存条明细!F779)),IF(ABS(存条明细!G779-存条明细!E779*存条明细!F779)&gt;0.005,1,0),0)</f>
        <v>0</v>
      </c>
    </row>
    <row r="780">
      <c r="A780">
        <f>IF(OR(存条明细!C780="",存条明细!D780=""),"",IF(COUNTIFS(存条明细!$C$4:C780,存条明细!C780,存条明细!$D$4:D780,存条明细!D780)&gt;1,"",IFERROR(MATCH(存条明细!C780,总览汇总!$B$5:$B$304,0),900)*10000000+IFERROR(MATCH(存条明细!D780,基础资料!$E$5:$E$104,0),900)*10000+ROW()))</f>
      </c>
      <c r="F780">
        <f>IF(AND(出库明细!C780&lt;&gt;"",出库明细!C780=客户对账单!$B$4,ISNUMBER(出库明细!B780),出库明细!B780&gt;=客户对账单!$G$4,出库明细!B780&lt;=客户对账单!$I$4),出库明细!B780+ROW()/100000,"")</f>
      </c>
      <c r="H780">
        <f>IF(AND(采购进货!C780&lt;&gt;"",采购进货!C780=供应商对账单!$B$4,ISNUMBER(采购进货!B780),采购进货!B780&gt;=供应商对账单!$G$4,采购进货!B780&lt;=供应商对账单!$I$4),采购进货!B780+ROW()/100000,"")</f>
      </c>
      <c r="N780">
        <f>IF(AND(ISNUMBER(出库明细!G780),ISNUMBER(出库明细!E780),ISNUMBER(出库明细!F780)),IF(ABS(出库明细!G780-出库明细!E780*出库明细!F780)&gt;0.005,1,0),0)</f>
        <v>0</v>
      </c>
      <c r="O780">
        <f>IF(AND(ISNUMBER(存条明细!G780),ISNUMBER(存条明细!E780),ISNUMBER(存条明细!F780)),IF(ABS(存条明细!G780-存条明细!E780*存条明细!F780)&gt;0.005,1,0),0)</f>
        <v>0</v>
      </c>
    </row>
    <row r="781">
      <c r="A781">
        <f>IF(OR(存条明细!C781="",存条明细!D781=""),"",IF(COUNTIFS(存条明细!$C$4:C781,存条明细!C781,存条明细!$D$4:D781,存条明细!D781)&gt;1,"",IFERROR(MATCH(存条明细!C781,总览汇总!$B$5:$B$304,0),900)*10000000+IFERROR(MATCH(存条明细!D781,基础资料!$E$5:$E$104,0),900)*10000+ROW()))</f>
      </c>
      <c r="F781">
        <f>IF(AND(出库明细!C781&lt;&gt;"",出库明细!C781=客户对账单!$B$4,ISNUMBER(出库明细!B781),出库明细!B781&gt;=客户对账单!$G$4,出库明细!B781&lt;=客户对账单!$I$4),出库明细!B781+ROW()/100000,"")</f>
      </c>
      <c r="H781">
        <f>IF(AND(采购进货!C781&lt;&gt;"",采购进货!C781=供应商对账单!$B$4,ISNUMBER(采购进货!B781),采购进货!B781&gt;=供应商对账单!$G$4,采购进货!B781&lt;=供应商对账单!$I$4),采购进货!B781+ROW()/100000,"")</f>
      </c>
      <c r="N781">
        <f>IF(AND(ISNUMBER(出库明细!G781),ISNUMBER(出库明细!E781),ISNUMBER(出库明细!F781)),IF(ABS(出库明细!G781-出库明细!E781*出库明细!F781)&gt;0.005,1,0),0)</f>
        <v>0</v>
      </c>
      <c r="O781">
        <f>IF(AND(ISNUMBER(存条明细!G781),ISNUMBER(存条明细!E781),ISNUMBER(存条明细!F781)),IF(ABS(存条明细!G781-存条明细!E781*存条明细!F781)&gt;0.005,1,0),0)</f>
        <v>0</v>
      </c>
    </row>
    <row r="782">
      <c r="A782">
        <f>IF(OR(存条明细!C782="",存条明细!D782=""),"",IF(COUNTIFS(存条明细!$C$4:C782,存条明细!C782,存条明细!$D$4:D782,存条明细!D782)&gt;1,"",IFERROR(MATCH(存条明细!C782,总览汇总!$B$5:$B$304,0),900)*10000000+IFERROR(MATCH(存条明细!D782,基础资料!$E$5:$E$104,0),900)*10000+ROW()))</f>
      </c>
      <c r="F782">
        <f>IF(AND(出库明细!C782&lt;&gt;"",出库明细!C782=客户对账单!$B$4,ISNUMBER(出库明细!B782),出库明细!B782&gt;=客户对账单!$G$4,出库明细!B782&lt;=客户对账单!$I$4),出库明细!B782+ROW()/100000,"")</f>
      </c>
      <c r="H782">
        <f>IF(AND(采购进货!C782&lt;&gt;"",采购进货!C782=供应商对账单!$B$4,ISNUMBER(采购进货!B782),采购进货!B782&gt;=供应商对账单!$G$4,采购进货!B782&lt;=供应商对账单!$I$4),采购进货!B782+ROW()/100000,"")</f>
      </c>
      <c r="N782">
        <f>IF(AND(ISNUMBER(出库明细!G782),ISNUMBER(出库明细!E782),ISNUMBER(出库明细!F782)),IF(ABS(出库明细!G782-出库明细!E782*出库明细!F782)&gt;0.005,1,0),0)</f>
        <v>0</v>
      </c>
      <c r="O782">
        <f>IF(AND(ISNUMBER(存条明细!G782),ISNUMBER(存条明细!E782),ISNUMBER(存条明细!F782)),IF(ABS(存条明细!G782-存条明细!E782*存条明细!F782)&gt;0.005,1,0),0)</f>
        <v>0</v>
      </c>
    </row>
    <row r="783">
      <c r="A783">
        <f>IF(OR(存条明细!C783="",存条明细!D783=""),"",IF(COUNTIFS(存条明细!$C$4:C783,存条明细!C783,存条明细!$D$4:D783,存条明细!D783)&gt;1,"",IFERROR(MATCH(存条明细!C783,总览汇总!$B$5:$B$304,0),900)*10000000+IFERROR(MATCH(存条明细!D783,基础资料!$E$5:$E$104,0),900)*10000+ROW()))</f>
      </c>
      <c r="F783">
        <f>IF(AND(出库明细!C783&lt;&gt;"",出库明细!C783=客户对账单!$B$4,ISNUMBER(出库明细!B783),出库明细!B783&gt;=客户对账单!$G$4,出库明细!B783&lt;=客户对账单!$I$4),出库明细!B783+ROW()/100000,"")</f>
      </c>
      <c r="H783">
        <f>IF(AND(采购进货!C783&lt;&gt;"",采购进货!C783=供应商对账单!$B$4,ISNUMBER(采购进货!B783),采购进货!B783&gt;=供应商对账单!$G$4,采购进货!B783&lt;=供应商对账单!$I$4),采购进货!B783+ROW()/100000,"")</f>
      </c>
      <c r="N783">
        <f>IF(AND(ISNUMBER(出库明细!G783),ISNUMBER(出库明细!E783),ISNUMBER(出库明细!F783)),IF(ABS(出库明细!G783-出库明细!E783*出库明细!F783)&gt;0.005,1,0),0)</f>
        <v>0</v>
      </c>
      <c r="O783">
        <f>IF(AND(ISNUMBER(存条明细!G783),ISNUMBER(存条明细!E783),ISNUMBER(存条明细!F783)),IF(ABS(存条明细!G783-存条明细!E783*存条明细!F783)&gt;0.005,1,0),0)</f>
        <v>0</v>
      </c>
    </row>
    <row r="784">
      <c r="A784">
        <f>IF(OR(存条明细!C784="",存条明细!D784=""),"",IF(COUNTIFS(存条明细!$C$4:C784,存条明细!C784,存条明细!$D$4:D784,存条明细!D784)&gt;1,"",IFERROR(MATCH(存条明细!C784,总览汇总!$B$5:$B$304,0),900)*10000000+IFERROR(MATCH(存条明细!D784,基础资料!$E$5:$E$104,0),900)*10000+ROW()))</f>
      </c>
      <c r="F784">
        <f>IF(AND(出库明细!C784&lt;&gt;"",出库明细!C784=客户对账单!$B$4,ISNUMBER(出库明细!B784),出库明细!B784&gt;=客户对账单!$G$4,出库明细!B784&lt;=客户对账单!$I$4),出库明细!B784+ROW()/100000,"")</f>
      </c>
      <c r="H784">
        <f>IF(AND(采购进货!C784&lt;&gt;"",采购进货!C784=供应商对账单!$B$4,ISNUMBER(采购进货!B784),采购进货!B784&gt;=供应商对账单!$G$4,采购进货!B784&lt;=供应商对账单!$I$4),采购进货!B784+ROW()/100000,"")</f>
      </c>
      <c r="N784">
        <f>IF(AND(ISNUMBER(出库明细!G784),ISNUMBER(出库明细!E784),ISNUMBER(出库明细!F784)),IF(ABS(出库明细!G784-出库明细!E784*出库明细!F784)&gt;0.005,1,0),0)</f>
        <v>0</v>
      </c>
      <c r="O784">
        <f>IF(AND(ISNUMBER(存条明细!G784),ISNUMBER(存条明细!E784),ISNUMBER(存条明细!F784)),IF(ABS(存条明细!G784-存条明细!E784*存条明细!F784)&gt;0.005,1,0),0)</f>
        <v>0</v>
      </c>
    </row>
    <row r="785">
      <c r="A785">
        <f>IF(OR(存条明细!C785="",存条明细!D785=""),"",IF(COUNTIFS(存条明细!$C$4:C785,存条明细!C785,存条明细!$D$4:D785,存条明细!D785)&gt;1,"",IFERROR(MATCH(存条明细!C785,总览汇总!$B$5:$B$304,0),900)*10000000+IFERROR(MATCH(存条明细!D785,基础资料!$E$5:$E$104,0),900)*10000+ROW()))</f>
      </c>
      <c r="F785">
        <f>IF(AND(出库明细!C785&lt;&gt;"",出库明细!C785=客户对账单!$B$4,ISNUMBER(出库明细!B785),出库明细!B785&gt;=客户对账单!$G$4,出库明细!B785&lt;=客户对账单!$I$4),出库明细!B785+ROW()/100000,"")</f>
      </c>
      <c r="H785">
        <f>IF(AND(采购进货!C785&lt;&gt;"",采购进货!C785=供应商对账单!$B$4,ISNUMBER(采购进货!B785),采购进货!B785&gt;=供应商对账单!$G$4,采购进货!B785&lt;=供应商对账单!$I$4),采购进货!B785+ROW()/100000,"")</f>
      </c>
      <c r="N785">
        <f>IF(AND(ISNUMBER(出库明细!G785),ISNUMBER(出库明细!E785),ISNUMBER(出库明细!F785)),IF(ABS(出库明细!G785-出库明细!E785*出库明细!F785)&gt;0.005,1,0),0)</f>
        <v>0</v>
      </c>
      <c r="O785">
        <f>IF(AND(ISNUMBER(存条明细!G785),ISNUMBER(存条明细!E785),ISNUMBER(存条明细!F785)),IF(ABS(存条明细!G785-存条明细!E785*存条明细!F785)&gt;0.005,1,0),0)</f>
        <v>0</v>
      </c>
    </row>
    <row r="786">
      <c r="A786">
        <f>IF(OR(存条明细!C786="",存条明细!D786=""),"",IF(COUNTIFS(存条明细!$C$4:C786,存条明细!C786,存条明细!$D$4:D786,存条明细!D786)&gt;1,"",IFERROR(MATCH(存条明细!C786,总览汇总!$B$5:$B$304,0),900)*10000000+IFERROR(MATCH(存条明细!D786,基础资料!$E$5:$E$104,0),900)*10000+ROW()))</f>
      </c>
      <c r="F786">
        <f>IF(AND(出库明细!C786&lt;&gt;"",出库明细!C786=客户对账单!$B$4,ISNUMBER(出库明细!B786),出库明细!B786&gt;=客户对账单!$G$4,出库明细!B786&lt;=客户对账单!$I$4),出库明细!B786+ROW()/100000,"")</f>
      </c>
      <c r="H786">
        <f>IF(AND(采购进货!C786&lt;&gt;"",采购进货!C786=供应商对账单!$B$4,ISNUMBER(采购进货!B786),采购进货!B786&gt;=供应商对账单!$G$4,采购进货!B786&lt;=供应商对账单!$I$4),采购进货!B786+ROW()/100000,"")</f>
      </c>
      <c r="N786">
        <f>IF(AND(ISNUMBER(出库明细!G786),ISNUMBER(出库明细!E786),ISNUMBER(出库明细!F786)),IF(ABS(出库明细!G786-出库明细!E786*出库明细!F786)&gt;0.005,1,0),0)</f>
        <v>0</v>
      </c>
      <c r="O786">
        <f>IF(AND(ISNUMBER(存条明细!G786),ISNUMBER(存条明细!E786),ISNUMBER(存条明细!F786)),IF(ABS(存条明细!G786-存条明细!E786*存条明细!F786)&gt;0.005,1,0),0)</f>
        <v>0</v>
      </c>
    </row>
    <row r="787">
      <c r="A787">
        <f>IF(OR(存条明细!C787="",存条明细!D787=""),"",IF(COUNTIFS(存条明细!$C$4:C787,存条明细!C787,存条明细!$D$4:D787,存条明细!D787)&gt;1,"",IFERROR(MATCH(存条明细!C787,总览汇总!$B$5:$B$304,0),900)*10000000+IFERROR(MATCH(存条明细!D787,基础资料!$E$5:$E$104,0),900)*10000+ROW()))</f>
      </c>
      <c r="F787">
        <f>IF(AND(出库明细!C787&lt;&gt;"",出库明细!C787=客户对账单!$B$4,ISNUMBER(出库明细!B787),出库明细!B787&gt;=客户对账单!$G$4,出库明细!B787&lt;=客户对账单!$I$4),出库明细!B787+ROW()/100000,"")</f>
      </c>
      <c r="H787">
        <f>IF(AND(采购进货!C787&lt;&gt;"",采购进货!C787=供应商对账单!$B$4,ISNUMBER(采购进货!B787),采购进货!B787&gt;=供应商对账单!$G$4,采购进货!B787&lt;=供应商对账单!$I$4),采购进货!B787+ROW()/100000,"")</f>
      </c>
      <c r="N787">
        <f>IF(AND(ISNUMBER(出库明细!G787),ISNUMBER(出库明细!E787),ISNUMBER(出库明细!F787)),IF(ABS(出库明细!G787-出库明细!E787*出库明细!F787)&gt;0.005,1,0),0)</f>
        <v>0</v>
      </c>
      <c r="O787">
        <f>IF(AND(ISNUMBER(存条明细!G787),ISNUMBER(存条明细!E787),ISNUMBER(存条明细!F787)),IF(ABS(存条明细!G787-存条明细!E787*存条明细!F787)&gt;0.005,1,0),0)</f>
        <v>0</v>
      </c>
    </row>
    <row r="788">
      <c r="A788">
        <f>IF(OR(存条明细!C788="",存条明细!D788=""),"",IF(COUNTIFS(存条明细!$C$4:C788,存条明细!C788,存条明细!$D$4:D788,存条明细!D788)&gt;1,"",IFERROR(MATCH(存条明细!C788,总览汇总!$B$5:$B$304,0),900)*10000000+IFERROR(MATCH(存条明细!D788,基础资料!$E$5:$E$104,0),900)*10000+ROW()))</f>
      </c>
      <c r="F788">
        <f>IF(AND(出库明细!C788&lt;&gt;"",出库明细!C788=客户对账单!$B$4,ISNUMBER(出库明细!B788),出库明细!B788&gt;=客户对账单!$G$4,出库明细!B788&lt;=客户对账单!$I$4),出库明细!B788+ROW()/100000,"")</f>
      </c>
      <c r="H788">
        <f>IF(AND(采购进货!C788&lt;&gt;"",采购进货!C788=供应商对账单!$B$4,ISNUMBER(采购进货!B788),采购进货!B788&gt;=供应商对账单!$G$4,采购进货!B788&lt;=供应商对账单!$I$4),采购进货!B788+ROW()/100000,"")</f>
      </c>
      <c r="N788">
        <f>IF(AND(ISNUMBER(出库明细!G788),ISNUMBER(出库明细!E788),ISNUMBER(出库明细!F788)),IF(ABS(出库明细!G788-出库明细!E788*出库明细!F788)&gt;0.005,1,0),0)</f>
        <v>0</v>
      </c>
      <c r="O788">
        <f>IF(AND(ISNUMBER(存条明细!G788),ISNUMBER(存条明细!E788),ISNUMBER(存条明细!F788)),IF(ABS(存条明细!G788-存条明细!E788*存条明细!F788)&gt;0.005,1,0),0)</f>
        <v>0</v>
      </c>
    </row>
    <row r="789">
      <c r="A789">
        <f>IF(OR(存条明细!C789="",存条明细!D789=""),"",IF(COUNTIFS(存条明细!$C$4:C789,存条明细!C789,存条明细!$D$4:D789,存条明细!D789)&gt;1,"",IFERROR(MATCH(存条明细!C789,总览汇总!$B$5:$B$304,0),900)*10000000+IFERROR(MATCH(存条明细!D789,基础资料!$E$5:$E$104,0),900)*10000+ROW()))</f>
      </c>
      <c r="F789">
        <f>IF(AND(出库明细!C789&lt;&gt;"",出库明细!C789=客户对账单!$B$4,ISNUMBER(出库明细!B789),出库明细!B789&gt;=客户对账单!$G$4,出库明细!B789&lt;=客户对账单!$I$4),出库明细!B789+ROW()/100000,"")</f>
      </c>
      <c r="H789">
        <f>IF(AND(采购进货!C789&lt;&gt;"",采购进货!C789=供应商对账单!$B$4,ISNUMBER(采购进货!B789),采购进货!B789&gt;=供应商对账单!$G$4,采购进货!B789&lt;=供应商对账单!$I$4),采购进货!B789+ROW()/100000,"")</f>
      </c>
      <c r="N789">
        <f>IF(AND(ISNUMBER(出库明细!G789),ISNUMBER(出库明细!E789),ISNUMBER(出库明细!F789)),IF(ABS(出库明细!G789-出库明细!E789*出库明细!F789)&gt;0.005,1,0),0)</f>
        <v>0</v>
      </c>
      <c r="O789">
        <f>IF(AND(ISNUMBER(存条明细!G789),ISNUMBER(存条明细!E789),ISNUMBER(存条明细!F789)),IF(ABS(存条明细!G789-存条明细!E789*存条明细!F789)&gt;0.005,1,0),0)</f>
        <v>0</v>
      </c>
    </row>
    <row r="790">
      <c r="A790">
        <f>IF(OR(存条明细!C790="",存条明细!D790=""),"",IF(COUNTIFS(存条明细!$C$4:C790,存条明细!C790,存条明细!$D$4:D790,存条明细!D790)&gt;1,"",IFERROR(MATCH(存条明细!C790,总览汇总!$B$5:$B$304,0),900)*10000000+IFERROR(MATCH(存条明细!D790,基础资料!$E$5:$E$104,0),900)*10000+ROW()))</f>
      </c>
      <c r="F790">
        <f>IF(AND(出库明细!C790&lt;&gt;"",出库明细!C790=客户对账单!$B$4,ISNUMBER(出库明细!B790),出库明细!B790&gt;=客户对账单!$G$4,出库明细!B790&lt;=客户对账单!$I$4),出库明细!B790+ROW()/100000,"")</f>
      </c>
      <c r="H790">
        <f>IF(AND(采购进货!C790&lt;&gt;"",采购进货!C790=供应商对账单!$B$4,ISNUMBER(采购进货!B790),采购进货!B790&gt;=供应商对账单!$G$4,采购进货!B790&lt;=供应商对账单!$I$4),采购进货!B790+ROW()/100000,"")</f>
      </c>
      <c r="N790">
        <f>IF(AND(ISNUMBER(出库明细!G790),ISNUMBER(出库明细!E790),ISNUMBER(出库明细!F790)),IF(ABS(出库明细!G790-出库明细!E790*出库明细!F790)&gt;0.005,1,0),0)</f>
        <v>0</v>
      </c>
      <c r="O790">
        <f>IF(AND(ISNUMBER(存条明细!G790),ISNUMBER(存条明细!E790),ISNUMBER(存条明细!F790)),IF(ABS(存条明细!G790-存条明细!E790*存条明细!F790)&gt;0.005,1,0),0)</f>
        <v>0</v>
      </c>
    </row>
    <row r="791">
      <c r="A791">
        <f>IF(OR(存条明细!C791="",存条明细!D791=""),"",IF(COUNTIFS(存条明细!$C$4:C791,存条明细!C791,存条明细!$D$4:D791,存条明细!D791)&gt;1,"",IFERROR(MATCH(存条明细!C791,总览汇总!$B$5:$B$304,0),900)*10000000+IFERROR(MATCH(存条明细!D791,基础资料!$E$5:$E$104,0),900)*10000+ROW()))</f>
      </c>
      <c r="F791">
        <f>IF(AND(出库明细!C791&lt;&gt;"",出库明细!C791=客户对账单!$B$4,ISNUMBER(出库明细!B791),出库明细!B791&gt;=客户对账单!$G$4,出库明细!B791&lt;=客户对账单!$I$4),出库明细!B791+ROW()/100000,"")</f>
      </c>
      <c r="H791">
        <f>IF(AND(采购进货!C791&lt;&gt;"",采购进货!C791=供应商对账单!$B$4,ISNUMBER(采购进货!B791),采购进货!B791&gt;=供应商对账单!$G$4,采购进货!B791&lt;=供应商对账单!$I$4),采购进货!B791+ROW()/100000,"")</f>
      </c>
      <c r="N791">
        <f>IF(AND(ISNUMBER(出库明细!G791),ISNUMBER(出库明细!E791),ISNUMBER(出库明细!F791)),IF(ABS(出库明细!G791-出库明细!E791*出库明细!F791)&gt;0.005,1,0),0)</f>
        <v>0</v>
      </c>
      <c r="O791">
        <f>IF(AND(ISNUMBER(存条明细!G791),ISNUMBER(存条明细!E791),ISNUMBER(存条明细!F791)),IF(ABS(存条明细!G791-存条明细!E791*存条明细!F791)&gt;0.005,1,0),0)</f>
        <v>0</v>
      </c>
    </row>
    <row r="792">
      <c r="A792">
        <f>IF(OR(存条明细!C792="",存条明细!D792=""),"",IF(COUNTIFS(存条明细!$C$4:C792,存条明细!C792,存条明细!$D$4:D792,存条明细!D792)&gt;1,"",IFERROR(MATCH(存条明细!C792,总览汇总!$B$5:$B$304,0),900)*10000000+IFERROR(MATCH(存条明细!D792,基础资料!$E$5:$E$104,0),900)*10000+ROW()))</f>
      </c>
      <c r="F792">
        <f>IF(AND(出库明细!C792&lt;&gt;"",出库明细!C792=客户对账单!$B$4,ISNUMBER(出库明细!B792),出库明细!B792&gt;=客户对账单!$G$4,出库明细!B792&lt;=客户对账单!$I$4),出库明细!B792+ROW()/100000,"")</f>
      </c>
      <c r="H792">
        <f>IF(AND(采购进货!C792&lt;&gt;"",采购进货!C792=供应商对账单!$B$4,ISNUMBER(采购进货!B792),采购进货!B792&gt;=供应商对账单!$G$4,采购进货!B792&lt;=供应商对账单!$I$4),采购进货!B792+ROW()/100000,"")</f>
      </c>
      <c r="N792">
        <f>IF(AND(ISNUMBER(出库明细!G792),ISNUMBER(出库明细!E792),ISNUMBER(出库明细!F792)),IF(ABS(出库明细!G792-出库明细!E792*出库明细!F792)&gt;0.005,1,0),0)</f>
        <v>0</v>
      </c>
      <c r="O792">
        <f>IF(AND(ISNUMBER(存条明细!G792),ISNUMBER(存条明细!E792),ISNUMBER(存条明细!F792)),IF(ABS(存条明细!G792-存条明细!E792*存条明细!F792)&gt;0.005,1,0),0)</f>
        <v>0</v>
      </c>
    </row>
    <row r="793">
      <c r="A793">
        <f>IF(OR(存条明细!C793="",存条明细!D793=""),"",IF(COUNTIFS(存条明细!$C$4:C793,存条明细!C793,存条明细!$D$4:D793,存条明细!D793)&gt;1,"",IFERROR(MATCH(存条明细!C793,总览汇总!$B$5:$B$304,0),900)*10000000+IFERROR(MATCH(存条明细!D793,基础资料!$E$5:$E$104,0),900)*10000+ROW()))</f>
      </c>
      <c r="F793">
        <f>IF(AND(出库明细!C793&lt;&gt;"",出库明细!C793=客户对账单!$B$4,ISNUMBER(出库明细!B793),出库明细!B793&gt;=客户对账单!$G$4,出库明细!B793&lt;=客户对账单!$I$4),出库明细!B793+ROW()/100000,"")</f>
      </c>
      <c r="H793">
        <f>IF(AND(采购进货!C793&lt;&gt;"",采购进货!C793=供应商对账单!$B$4,ISNUMBER(采购进货!B793),采购进货!B793&gt;=供应商对账单!$G$4,采购进货!B793&lt;=供应商对账单!$I$4),采购进货!B793+ROW()/100000,"")</f>
      </c>
      <c r="N793">
        <f>IF(AND(ISNUMBER(出库明细!G793),ISNUMBER(出库明细!E793),ISNUMBER(出库明细!F793)),IF(ABS(出库明细!G793-出库明细!E793*出库明细!F793)&gt;0.005,1,0),0)</f>
        <v>0</v>
      </c>
      <c r="O793">
        <f>IF(AND(ISNUMBER(存条明细!G793),ISNUMBER(存条明细!E793),ISNUMBER(存条明细!F793)),IF(ABS(存条明细!G793-存条明细!E793*存条明细!F793)&gt;0.005,1,0),0)</f>
        <v>0</v>
      </c>
    </row>
    <row r="794">
      <c r="A794">
        <f>IF(OR(存条明细!C794="",存条明细!D794=""),"",IF(COUNTIFS(存条明细!$C$4:C794,存条明细!C794,存条明细!$D$4:D794,存条明细!D794)&gt;1,"",IFERROR(MATCH(存条明细!C794,总览汇总!$B$5:$B$304,0),900)*10000000+IFERROR(MATCH(存条明细!D794,基础资料!$E$5:$E$104,0),900)*10000+ROW()))</f>
      </c>
      <c r="F794">
        <f>IF(AND(出库明细!C794&lt;&gt;"",出库明细!C794=客户对账单!$B$4,ISNUMBER(出库明细!B794),出库明细!B794&gt;=客户对账单!$G$4,出库明细!B794&lt;=客户对账单!$I$4),出库明细!B794+ROW()/100000,"")</f>
      </c>
      <c r="H794">
        <f>IF(AND(采购进货!C794&lt;&gt;"",采购进货!C794=供应商对账单!$B$4,ISNUMBER(采购进货!B794),采购进货!B794&gt;=供应商对账单!$G$4,采购进货!B794&lt;=供应商对账单!$I$4),采购进货!B794+ROW()/100000,"")</f>
      </c>
      <c r="N794">
        <f>IF(AND(ISNUMBER(出库明细!G794),ISNUMBER(出库明细!E794),ISNUMBER(出库明细!F794)),IF(ABS(出库明细!G794-出库明细!E794*出库明细!F794)&gt;0.005,1,0),0)</f>
        <v>0</v>
      </c>
      <c r="O794">
        <f>IF(AND(ISNUMBER(存条明细!G794),ISNUMBER(存条明细!E794),ISNUMBER(存条明细!F794)),IF(ABS(存条明细!G794-存条明细!E794*存条明细!F794)&gt;0.005,1,0),0)</f>
        <v>0</v>
      </c>
    </row>
    <row r="795">
      <c r="A795">
        <f>IF(OR(存条明细!C795="",存条明细!D795=""),"",IF(COUNTIFS(存条明细!$C$4:C795,存条明细!C795,存条明细!$D$4:D795,存条明细!D795)&gt;1,"",IFERROR(MATCH(存条明细!C795,总览汇总!$B$5:$B$304,0),900)*10000000+IFERROR(MATCH(存条明细!D795,基础资料!$E$5:$E$104,0),900)*10000+ROW()))</f>
      </c>
      <c r="F795">
        <f>IF(AND(出库明细!C795&lt;&gt;"",出库明细!C795=客户对账单!$B$4,ISNUMBER(出库明细!B795),出库明细!B795&gt;=客户对账单!$G$4,出库明细!B795&lt;=客户对账单!$I$4),出库明细!B795+ROW()/100000,"")</f>
      </c>
      <c r="H795">
        <f>IF(AND(采购进货!C795&lt;&gt;"",采购进货!C795=供应商对账单!$B$4,ISNUMBER(采购进货!B795),采购进货!B795&gt;=供应商对账单!$G$4,采购进货!B795&lt;=供应商对账单!$I$4),采购进货!B795+ROW()/100000,"")</f>
      </c>
      <c r="N795">
        <f>IF(AND(ISNUMBER(出库明细!G795),ISNUMBER(出库明细!E795),ISNUMBER(出库明细!F795)),IF(ABS(出库明细!G795-出库明细!E795*出库明细!F795)&gt;0.005,1,0),0)</f>
        <v>0</v>
      </c>
      <c r="O795">
        <f>IF(AND(ISNUMBER(存条明细!G795),ISNUMBER(存条明细!E795),ISNUMBER(存条明细!F795)),IF(ABS(存条明细!G795-存条明细!E795*存条明细!F795)&gt;0.005,1,0),0)</f>
        <v>0</v>
      </c>
    </row>
    <row r="796">
      <c r="A796">
        <f>IF(OR(存条明细!C796="",存条明细!D796=""),"",IF(COUNTIFS(存条明细!$C$4:C796,存条明细!C796,存条明细!$D$4:D796,存条明细!D796)&gt;1,"",IFERROR(MATCH(存条明细!C796,总览汇总!$B$5:$B$304,0),900)*10000000+IFERROR(MATCH(存条明细!D796,基础资料!$E$5:$E$104,0),900)*10000+ROW()))</f>
      </c>
      <c r="F796">
        <f>IF(AND(出库明细!C796&lt;&gt;"",出库明细!C796=客户对账单!$B$4,ISNUMBER(出库明细!B796),出库明细!B796&gt;=客户对账单!$G$4,出库明细!B796&lt;=客户对账单!$I$4),出库明细!B796+ROW()/100000,"")</f>
      </c>
      <c r="H796">
        <f>IF(AND(采购进货!C796&lt;&gt;"",采购进货!C796=供应商对账单!$B$4,ISNUMBER(采购进货!B796),采购进货!B796&gt;=供应商对账单!$G$4,采购进货!B796&lt;=供应商对账单!$I$4),采购进货!B796+ROW()/100000,"")</f>
      </c>
      <c r="N796">
        <f>IF(AND(ISNUMBER(出库明细!G796),ISNUMBER(出库明细!E796),ISNUMBER(出库明细!F796)),IF(ABS(出库明细!G796-出库明细!E796*出库明细!F796)&gt;0.005,1,0),0)</f>
        <v>0</v>
      </c>
      <c r="O796">
        <f>IF(AND(ISNUMBER(存条明细!G796),ISNUMBER(存条明细!E796),ISNUMBER(存条明细!F796)),IF(ABS(存条明细!G796-存条明细!E796*存条明细!F796)&gt;0.005,1,0),0)</f>
        <v>0</v>
      </c>
    </row>
    <row r="797">
      <c r="A797">
        <f>IF(OR(存条明细!C797="",存条明细!D797=""),"",IF(COUNTIFS(存条明细!$C$4:C797,存条明细!C797,存条明细!$D$4:D797,存条明细!D797)&gt;1,"",IFERROR(MATCH(存条明细!C797,总览汇总!$B$5:$B$304,0),900)*10000000+IFERROR(MATCH(存条明细!D797,基础资料!$E$5:$E$104,0),900)*10000+ROW()))</f>
      </c>
      <c r="F797">
        <f>IF(AND(出库明细!C797&lt;&gt;"",出库明细!C797=客户对账单!$B$4,ISNUMBER(出库明细!B797),出库明细!B797&gt;=客户对账单!$G$4,出库明细!B797&lt;=客户对账单!$I$4),出库明细!B797+ROW()/100000,"")</f>
      </c>
      <c r="H797">
        <f>IF(AND(采购进货!C797&lt;&gt;"",采购进货!C797=供应商对账单!$B$4,ISNUMBER(采购进货!B797),采购进货!B797&gt;=供应商对账单!$G$4,采购进货!B797&lt;=供应商对账单!$I$4),采购进货!B797+ROW()/100000,"")</f>
      </c>
      <c r="N797">
        <f>IF(AND(ISNUMBER(出库明细!G797),ISNUMBER(出库明细!E797),ISNUMBER(出库明细!F797)),IF(ABS(出库明细!G797-出库明细!E797*出库明细!F797)&gt;0.005,1,0),0)</f>
        <v>0</v>
      </c>
      <c r="O797">
        <f>IF(AND(ISNUMBER(存条明细!G797),ISNUMBER(存条明细!E797),ISNUMBER(存条明细!F797)),IF(ABS(存条明细!G797-存条明细!E797*存条明细!F797)&gt;0.005,1,0),0)</f>
        <v>0</v>
      </c>
    </row>
    <row r="798">
      <c r="A798">
        <f>IF(OR(存条明细!C798="",存条明细!D798=""),"",IF(COUNTIFS(存条明细!$C$4:C798,存条明细!C798,存条明细!$D$4:D798,存条明细!D798)&gt;1,"",IFERROR(MATCH(存条明细!C798,总览汇总!$B$5:$B$304,0),900)*10000000+IFERROR(MATCH(存条明细!D798,基础资料!$E$5:$E$104,0),900)*10000+ROW()))</f>
      </c>
      <c r="F798">
        <f>IF(AND(出库明细!C798&lt;&gt;"",出库明细!C798=客户对账单!$B$4,ISNUMBER(出库明细!B798),出库明细!B798&gt;=客户对账单!$G$4,出库明细!B798&lt;=客户对账单!$I$4),出库明细!B798+ROW()/100000,"")</f>
      </c>
      <c r="H798">
        <f>IF(AND(采购进货!C798&lt;&gt;"",采购进货!C798=供应商对账单!$B$4,ISNUMBER(采购进货!B798),采购进货!B798&gt;=供应商对账单!$G$4,采购进货!B798&lt;=供应商对账单!$I$4),采购进货!B798+ROW()/100000,"")</f>
      </c>
      <c r="N798">
        <f>IF(AND(ISNUMBER(出库明细!G798),ISNUMBER(出库明细!E798),ISNUMBER(出库明细!F798)),IF(ABS(出库明细!G798-出库明细!E798*出库明细!F798)&gt;0.005,1,0),0)</f>
        <v>0</v>
      </c>
      <c r="O798">
        <f>IF(AND(ISNUMBER(存条明细!G798),ISNUMBER(存条明细!E798),ISNUMBER(存条明细!F798)),IF(ABS(存条明细!G798-存条明细!E798*存条明细!F798)&gt;0.005,1,0),0)</f>
        <v>0</v>
      </c>
    </row>
    <row r="799">
      <c r="A799">
        <f>IF(OR(存条明细!C799="",存条明细!D799=""),"",IF(COUNTIFS(存条明细!$C$4:C799,存条明细!C799,存条明细!$D$4:D799,存条明细!D799)&gt;1,"",IFERROR(MATCH(存条明细!C799,总览汇总!$B$5:$B$304,0),900)*10000000+IFERROR(MATCH(存条明细!D799,基础资料!$E$5:$E$104,0),900)*10000+ROW()))</f>
      </c>
      <c r="F799">
        <f>IF(AND(出库明细!C799&lt;&gt;"",出库明细!C799=客户对账单!$B$4,ISNUMBER(出库明细!B799),出库明细!B799&gt;=客户对账单!$G$4,出库明细!B799&lt;=客户对账单!$I$4),出库明细!B799+ROW()/100000,"")</f>
      </c>
      <c r="H799">
        <f>IF(AND(采购进货!C799&lt;&gt;"",采购进货!C799=供应商对账单!$B$4,ISNUMBER(采购进货!B799),采购进货!B799&gt;=供应商对账单!$G$4,采购进货!B799&lt;=供应商对账单!$I$4),采购进货!B799+ROW()/100000,"")</f>
      </c>
      <c r="N799">
        <f>IF(AND(ISNUMBER(出库明细!G799),ISNUMBER(出库明细!E799),ISNUMBER(出库明细!F799)),IF(ABS(出库明细!G799-出库明细!E799*出库明细!F799)&gt;0.005,1,0),0)</f>
        <v>0</v>
      </c>
      <c r="O799">
        <f>IF(AND(ISNUMBER(存条明细!G799),ISNUMBER(存条明细!E799),ISNUMBER(存条明细!F799)),IF(ABS(存条明细!G799-存条明细!E799*存条明细!F799)&gt;0.005,1,0),0)</f>
        <v>0</v>
      </c>
    </row>
    <row r="800">
      <c r="A800">
        <f>IF(OR(存条明细!C800="",存条明细!D800=""),"",IF(COUNTIFS(存条明细!$C$4:C800,存条明细!C800,存条明细!$D$4:D800,存条明细!D800)&gt;1,"",IFERROR(MATCH(存条明细!C800,总览汇总!$B$5:$B$304,0),900)*10000000+IFERROR(MATCH(存条明细!D800,基础资料!$E$5:$E$104,0),900)*10000+ROW()))</f>
      </c>
      <c r="F800">
        <f>IF(AND(出库明细!C800&lt;&gt;"",出库明细!C800=客户对账单!$B$4,ISNUMBER(出库明细!B800),出库明细!B800&gt;=客户对账单!$G$4,出库明细!B800&lt;=客户对账单!$I$4),出库明细!B800+ROW()/100000,"")</f>
      </c>
      <c r="H800">
        <f>IF(AND(采购进货!C800&lt;&gt;"",采购进货!C800=供应商对账单!$B$4,ISNUMBER(采购进货!B800),采购进货!B800&gt;=供应商对账单!$G$4,采购进货!B800&lt;=供应商对账单!$I$4),采购进货!B800+ROW()/100000,"")</f>
      </c>
      <c r="N800">
        <f>IF(AND(ISNUMBER(出库明细!G800),ISNUMBER(出库明细!E800),ISNUMBER(出库明细!F800)),IF(ABS(出库明细!G800-出库明细!E800*出库明细!F800)&gt;0.005,1,0),0)</f>
        <v>0</v>
      </c>
      <c r="O800">
        <f>IF(AND(ISNUMBER(存条明细!G800),ISNUMBER(存条明细!E800),ISNUMBER(存条明细!F800)),IF(ABS(存条明细!G800-存条明细!E800*存条明细!F800)&gt;0.005,1,0),0)</f>
        <v>0</v>
      </c>
    </row>
    <row r="801">
      <c r="A801">
        <f>IF(OR(存条明细!C801="",存条明细!D801=""),"",IF(COUNTIFS(存条明细!$C$4:C801,存条明细!C801,存条明细!$D$4:D801,存条明细!D801)&gt;1,"",IFERROR(MATCH(存条明细!C801,总览汇总!$B$5:$B$304,0),900)*10000000+IFERROR(MATCH(存条明细!D801,基础资料!$E$5:$E$104,0),900)*10000+ROW()))</f>
      </c>
      <c r="F801">
        <f>IF(AND(出库明细!C801&lt;&gt;"",出库明细!C801=客户对账单!$B$4,ISNUMBER(出库明细!B801),出库明细!B801&gt;=客户对账单!$G$4,出库明细!B801&lt;=客户对账单!$I$4),出库明细!B801+ROW()/100000,"")</f>
      </c>
      <c r="H801">
        <f>IF(AND(采购进货!C801&lt;&gt;"",采购进货!C801=供应商对账单!$B$4,ISNUMBER(采购进货!B801),采购进货!B801&gt;=供应商对账单!$G$4,采购进货!B801&lt;=供应商对账单!$I$4),采购进货!B801+ROW()/100000,"")</f>
      </c>
      <c r="N801">
        <f>IF(AND(ISNUMBER(出库明细!G801),ISNUMBER(出库明细!E801),ISNUMBER(出库明细!F801)),IF(ABS(出库明细!G801-出库明细!E801*出库明细!F801)&gt;0.005,1,0),0)</f>
        <v>0</v>
      </c>
      <c r="O801">
        <f>IF(AND(ISNUMBER(存条明细!G801),ISNUMBER(存条明细!E801),ISNUMBER(存条明细!F801)),IF(ABS(存条明细!G801-存条明细!E801*存条明细!F801)&gt;0.005,1,0),0)</f>
        <v>0</v>
      </c>
    </row>
    <row r="802">
      <c r="A802">
        <f>IF(OR(存条明细!C802="",存条明细!D802=""),"",IF(COUNTIFS(存条明细!$C$4:C802,存条明细!C802,存条明细!$D$4:D802,存条明细!D802)&gt;1,"",IFERROR(MATCH(存条明细!C802,总览汇总!$B$5:$B$304,0),900)*10000000+IFERROR(MATCH(存条明细!D802,基础资料!$E$5:$E$104,0),900)*10000+ROW()))</f>
      </c>
      <c r="F802">
        <f>IF(AND(出库明细!C802&lt;&gt;"",出库明细!C802=客户对账单!$B$4,ISNUMBER(出库明细!B802),出库明细!B802&gt;=客户对账单!$G$4,出库明细!B802&lt;=客户对账单!$I$4),出库明细!B802+ROW()/100000,"")</f>
      </c>
      <c r="H802">
        <f>IF(AND(采购进货!C802&lt;&gt;"",采购进货!C802=供应商对账单!$B$4,ISNUMBER(采购进货!B802),采购进货!B802&gt;=供应商对账单!$G$4,采购进货!B802&lt;=供应商对账单!$I$4),采购进货!B802+ROW()/100000,"")</f>
      </c>
      <c r="N802">
        <f>IF(AND(ISNUMBER(出库明细!G802),ISNUMBER(出库明细!E802),ISNUMBER(出库明细!F802)),IF(ABS(出库明细!G802-出库明细!E802*出库明细!F802)&gt;0.005,1,0),0)</f>
        <v>0</v>
      </c>
      <c r="O802">
        <f>IF(AND(ISNUMBER(存条明细!G802),ISNUMBER(存条明细!E802),ISNUMBER(存条明细!F802)),IF(ABS(存条明细!G802-存条明细!E802*存条明细!F802)&gt;0.005,1,0),0)</f>
        <v>0</v>
      </c>
    </row>
    <row r="803">
      <c r="A803">
        <f>IF(OR(存条明细!C803="",存条明细!D803=""),"",IF(COUNTIFS(存条明细!$C$4:C803,存条明细!C803,存条明细!$D$4:D803,存条明细!D803)&gt;1,"",IFERROR(MATCH(存条明细!C803,总览汇总!$B$5:$B$304,0),900)*10000000+IFERROR(MATCH(存条明细!D803,基础资料!$E$5:$E$104,0),900)*10000+ROW()))</f>
      </c>
      <c r="F803">
        <f>IF(AND(出库明细!C803&lt;&gt;"",出库明细!C803=客户对账单!$B$4,ISNUMBER(出库明细!B803),出库明细!B803&gt;=客户对账单!$G$4,出库明细!B803&lt;=客户对账单!$I$4),出库明细!B803+ROW()/100000,"")</f>
      </c>
      <c r="H803">
        <f>IF(AND(采购进货!C803&lt;&gt;"",采购进货!C803=供应商对账单!$B$4,ISNUMBER(采购进货!B803),采购进货!B803&gt;=供应商对账单!$G$4,采购进货!B803&lt;=供应商对账单!$I$4),采购进货!B803+ROW()/100000,"")</f>
      </c>
      <c r="N803">
        <f>IF(AND(ISNUMBER(出库明细!G803),ISNUMBER(出库明细!E803),ISNUMBER(出库明细!F803)),IF(ABS(出库明细!G803-出库明细!E803*出库明细!F803)&gt;0.005,1,0),0)</f>
        <v>0</v>
      </c>
      <c r="O803">
        <f>IF(AND(ISNUMBER(存条明细!G803),ISNUMBER(存条明细!E803),ISNUMBER(存条明细!F803)),IF(ABS(存条明细!G803-存条明细!E803*存条明细!F803)&gt;0.005,1,0),0)</f>
        <v>0</v>
      </c>
    </row>
    <row r="804">
      <c r="A804">
        <f>IF(OR(存条明细!C804="",存条明细!D804=""),"",IF(COUNTIFS(存条明细!$C$4:C804,存条明细!C804,存条明细!$D$4:D804,存条明细!D804)&gt;1,"",IFERROR(MATCH(存条明细!C804,总览汇总!$B$5:$B$304,0),900)*10000000+IFERROR(MATCH(存条明细!D804,基础资料!$E$5:$E$104,0),900)*10000+ROW()))</f>
      </c>
      <c r="F804">
        <f>IF(AND(出库明细!C804&lt;&gt;"",出库明细!C804=客户对账单!$B$4,ISNUMBER(出库明细!B804),出库明细!B804&gt;=客户对账单!$G$4,出库明细!B804&lt;=客户对账单!$I$4),出库明细!B804+ROW()/100000,"")</f>
      </c>
      <c r="H804">
        <f>IF(AND(采购进货!C804&lt;&gt;"",采购进货!C804=供应商对账单!$B$4,ISNUMBER(采购进货!B804),采购进货!B804&gt;=供应商对账单!$G$4,采购进货!B804&lt;=供应商对账单!$I$4),采购进货!B804+ROW()/100000,"")</f>
      </c>
      <c r="N804">
        <f>IF(AND(ISNUMBER(出库明细!G804),ISNUMBER(出库明细!E804),ISNUMBER(出库明细!F804)),IF(ABS(出库明细!G804-出库明细!E804*出库明细!F804)&gt;0.005,1,0),0)</f>
        <v>0</v>
      </c>
      <c r="O804">
        <f>IF(AND(ISNUMBER(存条明细!G804),ISNUMBER(存条明细!E804),ISNUMBER(存条明细!F804)),IF(ABS(存条明细!G804-存条明细!E804*存条明细!F804)&gt;0.005,1,0),0)</f>
        <v>0</v>
      </c>
    </row>
    <row r="805">
      <c r="A805">
        <f>IF(OR(存条明细!C805="",存条明细!D805=""),"",IF(COUNTIFS(存条明细!$C$4:C805,存条明细!C805,存条明细!$D$4:D805,存条明细!D805)&gt;1,"",IFERROR(MATCH(存条明细!C805,总览汇总!$B$5:$B$304,0),900)*10000000+IFERROR(MATCH(存条明细!D805,基础资料!$E$5:$E$104,0),900)*10000+ROW()))</f>
      </c>
      <c r="F805">
        <f>IF(AND(出库明细!C805&lt;&gt;"",出库明细!C805=客户对账单!$B$4,ISNUMBER(出库明细!B805),出库明细!B805&gt;=客户对账单!$G$4,出库明细!B805&lt;=客户对账单!$I$4),出库明细!B805+ROW()/100000,"")</f>
      </c>
      <c r="H805">
        <f>IF(AND(采购进货!C805&lt;&gt;"",采购进货!C805=供应商对账单!$B$4,ISNUMBER(采购进货!B805),采购进货!B805&gt;=供应商对账单!$G$4,采购进货!B805&lt;=供应商对账单!$I$4),采购进货!B805+ROW()/100000,"")</f>
      </c>
      <c r="N805">
        <f>IF(AND(ISNUMBER(出库明细!G805),ISNUMBER(出库明细!E805),ISNUMBER(出库明细!F805)),IF(ABS(出库明细!G805-出库明细!E805*出库明细!F805)&gt;0.005,1,0),0)</f>
        <v>0</v>
      </c>
      <c r="O805">
        <f>IF(AND(ISNUMBER(存条明细!G805),ISNUMBER(存条明细!E805),ISNUMBER(存条明细!F805)),IF(ABS(存条明细!G805-存条明细!E805*存条明细!F805)&gt;0.005,1,0),0)</f>
        <v>0</v>
      </c>
    </row>
    <row r="806">
      <c r="A806">
        <f>IF(OR(存条明细!C806="",存条明细!D806=""),"",IF(COUNTIFS(存条明细!$C$4:C806,存条明细!C806,存条明细!$D$4:D806,存条明细!D806)&gt;1,"",IFERROR(MATCH(存条明细!C806,总览汇总!$B$5:$B$304,0),900)*10000000+IFERROR(MATCH(存条明细!D806,基础资料!$E$5:$E$104,0),900)*10000+ROW()))</f>
      </c>
      <c r="F806">
        <f>IF(AND(出库明细!C806&lt;&gt;"",出库明细!C806=客户对账单!$B$4,ISNUMBER(出库明细!B806),出库明细!B806&gt;=客户对账单!$G$4,出库明细!B806&lt;=客户对账单!$I$4),出库明细!B806+ROW()/100000,"")</f>
      </c>
      <c r="H806">
        <f>IF(AND(采购进货!C806&lt;&gt;"",采购进货!C806=供应商对账单!$B$4,ISNUMBER(采购进货!B806),采购进货!B806&gt;=供应商对账单!$G$4,采购进货!B806&lt;=供应商对账单!$I$4),采购进货!B806+ROW()/100000,"")</f>
      </c>
      <c r="N806">
        <f>IF(AND(ISNUMBER(出库明细!G806),ISNUMBER(出库明细!E806),ISNUMBER(出库明细!F806)),IF(ABS(出库明细!G806-出库明细!E806*出库明细!F806)&gt;0.005,1,0),0)</f>
        <v>0</v>
      </c>
      <c r="O806">
        <f>IF(AND(ISNUMBER(存条明细!G806),ISNUMBER(存条明细!E806),ISNUMBER(存条明细!F806)),IF(ABS(存条明细!G806-存条明细!E806*存条明细!F806)&gt;0.005,1,0),0)</f>
        <v>0</v>
      </c>
    </row>
    <row r="807">
      <c r="A807">
        <f>IF(OR(存条明细!C807="",存条明细!D807=""),"",IF(COUNTIFS(存条明细!$C$4:C807,存条明细!C807,存条明细!$D$4:D807,存条明细!D807)&gt;1,"",IFERROR(MATCH(存条明细!C807,总览汇总!$B$5:$B$304,0),900)*10000000+IFERROR(MATCH(存条明细!D807,基础资料!$E$5:$E$104,0),900)*10000+ROW()))</f>
      </c>
      <c r="F807">
        <f>IF(AND(出库明细!C807&lt;&gt;"",出库明细!C807=客户对账单!$B$4,ISNUMBER(出库明细!B807),出库明细!B807&gt;=客户对账单!$G$4,出库明细!B807&lt;=客户对账单!$I$4),出库明细!B807+ROW()/100000,"")</f>
      </c>
      <c r="H807">
        <f>IF(AND(采购进货!C807&lt;&gt;"",采购进货!C807=供应商对账单!$B$4,ISNUMBER(采购进货!B807),采购进货!B807&gt;=供应商对账单!$G$4,采购进货!B807&lt;=供应商对账单!$I$4),采购进货!B807+ROW()/100000,"")</f>
      </c>
      <c r="N807">
        <f>IF(AND(ISNUMBER(出库明细!G807),ISNUMBER(出库明细!E807),ISNUMBER(出库明细!F807)),IF(ABS(出库明细!G807-出库明细!E807*出库明细!F807)&gt;0.005,1,0),0)</f>
        <v>0</v>
      </c>
      <c r="O807">
        <f>IF(AND(ISNUMBER(存条明细!G807),ISNUMBER(存条明细!E807),ISNUMBER(存条明细!F807)),IF(ABS(存条明细!G807-存条明细!E807*存条明细!F807)&gt;0.005,1,0),0)</f>
        <v>0</v>
      </c>
    </row>
    <row r="808">
      <c r="A808">
        <f>IF(OR(存条明细!C808="",存条明细!D808=""),"",IF(COUNTIFS(存条明细!$C$4:C808,存条明细!C808,存条明细!$D$4:D808,存条明细!D808)&gt;1,"",IFERROR(MATCH(存条明细!C808,总览汇总!$B$5:$B$304,0),900)*10000000+IFERROR(MATCH(存条明细!D808,基础资料!$E$5:$E$104,0),900)*10000+ROW()))</f>
      </c>
      <c r="F808">
        <f>IF(AND(出库明细!C808&lt;&gt;"",出库明细!C808=客户对账单!$B$4,ISNUMBER(出库明细!B808),出库明细!B808&gt;=客户对账单!$G$4,出库明细!B808&lt;=客户对账单!$I$4),出库明细!B808+ROW()/100000,"")</f>
      </c>
      <c r="H808">
        <f>IF(AND(采购进货!C808&lt;&gt;"",采购进货!C808=供应商对账单!$B$4,ISNUMBER(采购进货!B808),采购进货!B808&gt;=供应商对账单!$G$4,采购进货!B808&lt;=供应商对账单!$I$4),采购进货!B808+ROW()/100000,"")</f>
      </c>
      <c r="N808">
        <f>IF(AND(ISNUMBER(出库明细!G808),ISNUMBER(出库明细!E808),ISNUMBER(出库明细!F808)),IF(ABS(出库明细!G808-出库明细!E808*出库明细!F808)&gt;0.005,1,0),0)</f>
        <v>0</v>
      </c>
      <c r="O808">
        <f>IF(AND(ISNUMBER(存条明细!G808),ISNUMBER(存条明细!E808),ISNUMBER(存条明细!F808)),IF(ABS(存条明细!G808-存条明细!E808*存条明细!F808)&gt;0.005,1,0),0)</f>
        <v>0</v>
      </c>
    </row>
    <row r="809">
      <c r="A809">
        <f>IF(OR(存条明细!C809="",存条明细!D809=""),"",IF(COUNTIFS(存条明细!$C$4:C809,存条明细!C809,存条明细!$D$4:D809,存条明细!D809)&gt;1,"",IFERROR(MATCH(存条明细!C809,总览汇总!$B$5:$B$304,0),900)*10000000+IFERROR(MATCH(存条明细!D809,基础资料!$E$5:$E$104,0),900)*10000+ROW()))</f>
      </c>
      <c r="F809">
        <f>IF(AND(出库明细!C809&lt;&gt;"",出库明细!C809=客户对账单!$B$4,ISNUMBER(出库明细!B809),出库明细!B809&gt;=客户对账单!$G$4,出库明细!B809&lt;=客户对账单!$I$4),出库明细!B809+ROW()/100000,"")</f>
      </c>
      <c r="H809">
        <f>IF(AND(采购进货!C809&lt;&gt;"",采购进货!C809=供应商对账单!$B$4,ISNUMBER(采购进货!B809),采购进货!B809&gt;=供应商对账单!$G$4,采购进货!B809&lt;=供应商对账单!$I$4),采购进货!B809+ROW()/100000,"")</f>
      </c>
      <c r="N809">
        <f>IF(AND(ISNUMBER(出库明细!G809),ISNUMBER(出库明细!E809),ISNUMBER(出库明细!F809)),IF(ABS(出库明细!G809-出库明细!E809*出库明细!F809)&gt;0.005,1,0),0)</f>
        <v>0</v>
      </c>
      <c r="O809">
        <f>IF(AND(ISNUMBER(存条明细!G809),ISNUMBER(存条明细!E809),ISNUMBER(存条明细!F809)),IF(ABS(存条明细!G809-存条明细!E809*存条明细!F809)&gt;0.005,1,0),0)</f>
        <v>0</v>
      </c>
    </row>
    <row r="810">
      <c r="A810">
        <f>IF(OR(存条明细!C810="",存条明细!D810=""),"",IF(COUNTIFS(存条明细!$C$4:C810,存条明细!C810,存条明细!$D$4:D810,存条明细!D810)&gt;1,"",IFERROR(MATCH(存条明细!C810,总览汇总!$B$5:$B$304,0),900)*10000000+IFERROR(MATCH(存条明细!D810,基础资料!$E$5:$E$104,0),900)*10000+ROW()))</f>
      </c>
      <c r="F810">
        <f>IF(AND(出库明细!C810&lt;&gt;"",出库明细!C810=客户对账单!$B$4,ISNUMBER(出库明细!B810),出库明细!B810&gt;=客户对账单!$G$4,出库明细!B810&lt;=客户对账单!$I$4),出库明细!B810+ROW()/100000,"")</f>
      </c>
      <c r="H810">
        <f>IF(AND(采购进货!C810&lt;&gt;"",采购进货!C810=供应商对账单!$B$4,ISNUMBER(采购进货!B810),采购进货!B810&gt;=供应商对账单!$G$4,采购进货!B810&lt;=供应商对账单!$I$4),采购进货!B810+ROW()/100000,"")</f>
      </c>
      <c r="N810">
        <f>IF(AND(ISNUMBER(出库明细!G810),ISNUMBER(出库明细!E810),ISNUMBER(出库明细!F810)),IF(ABS(出库明细!G810-出库明细!E810*出库明细!F810)&gt;0.005,1,0),0)</f>
        <v>0</v>
      </c>
      <c r="O810">
        <f>IF(AND(ISNUMBER(存条明细!G810),ISNUMBER(存条明细!E810),ISNUMBER(存条明细!F810)),IF(ABS(存条明细!G810-存条明细!E810*存条明细!F810)&gt;0.005,1,0),0)</f>
        <v>0</v>
      </c>
    </row>
    <row r="811">
      <c r="A811">
        <f>IF(OR(存条明细!C811="",存条明细!D811=""),"",IF(COUNTIFS(存条明细!$C$4:C811,存条明细!C811,存条明细!$D$4:D811,存条明细!D811)&gt;1,"",IFERROR(MATCH(存条明细!C811,总览汇总!$B$5:$B$304,0),900)*10000000+IFERROR(MATCH(存条明细!D811,基础资料!$E$5:$E$104,0),900)*10000+ROW()))</f>
      </c>
      <c r="F811">
        <f>IF(AND(出库明细!C811&lt;&gt;"",出库明细!C811=客户对账单!$B$4,ISNUMBER(出库明细!B811),出库明细!B811&gt;=客户对账单!$G$4,出库明细!B811&lt;=客户对账单!$I$4),出库明细!B811+ROW()/100000,"")</f>
      </c>
      <c r="H811">
        <f>IF(AND(采购进货!C811&lt;&gt;"",采购进货!C811=供应商对账单!$B$4,ISNUMBER(采购进货!B811),采购进货!B811&gt;=供应商对账单!$G$4,采购进货!B811&lt;=供应商对账单!$I$4),采购进货!B811+ROW()/100000,"")</f>
      </c>
      <c r="N811">
        <f>IF(AND(ISNUMBER(出库明细!G811),ISNUMBER(出库明细!E811),ISNUMBER(出库明细!F811)),IF(ABS(出库明细!G811-出库明细!E811*出库明细!F811)&gt;0.005,1,0),0)</f>
        <v>0</v>
      </c>
      <c r="O811">
        <f>IF(AND(ISNUMBER(存条明细!G811),ISNUMBER(存条明细!E811),ISNUMBER(存条明细!F811)),IF(ABS(存条明细!G811-存条明细!E811*存条明细!F811)&gt;0.005,1,0),0)</f>
        <v>0</v>
      </c>
    </row>
    <row r="812">
      <c r="A812">
        <f>IF(OR(存条明细!C812="",存条明细!D812=""),"",IF(COUNTIFS(存条明细!$C$4:C812,存条明细!C812,存条明细!$D$4:D812,存条明细!D812)&gt;1,"",IFERROR(MATCH(存条明细!C812,总览汇总!$B$5:$B$304,0),900)*10000000+IFERROR(MATCH(存条明细!D812,基础资料!$E$5:$E$104,0),900)*10000+ROW()))</f>
      </c>
      <c r="F812">
        <f>IF(AND(出库明细!C812&lt;&gt;"",出库明细!C812=客户对账单!$B$4,ISNUMBER(出库明细!B812),出库明细!B812&gt;=客户对账单!$G$4,出库明细!B812&lt;=客户对账单!$I$4),出库明细!B812+ROW()/100000,"")</f>
      </c>
      <c r="H812">
        <f>IF(AND(采购进货!C812&lt;&gt;"",采购进货!C812=供应商对账单!$B$4,ISNUMBER(采购进货!B812),采购进货!B812&gt;=供应商对账单!$G$4,采购进货!B812&lt;=供应商对账单!$I$4),采购进货!B812+ROW()/100000,"")</f>
      </c>
      <c r="N812">
        <f>IF(AND(ISNUMBER(出库明细!G812),ISNUMBER(出库明细!E812),ISNUMBER(出库明细!F812)),IF(ABS(出库明细!G812-出库明细!E812*出库明细!F812)&gt;0.005,1,0),0)</f>
        <v>0</v>
      </c>
      <c r="O812">
        <f>IF(AND(ISNUMBER(存条明细!G812),ISNUMBER(存条明细!E812),ISNUMBER(存条明细!F812)),IF(ABS(存条明细!G812-存条明细!E812*存条明细!F812)&gt;0.005,1,0),0)</f>
        <v>0</v>
      </c>
    </row>
    <row r="813">
      <c r="A813">
        <f>IF(OR(存条明细!C813="",存条明细!D813=""),"",IF(COUNTIFS(存条明细!$C$4:C813,存条明细!C813,存条明细!$D$4:D813,存条明细!D813)&gt;1,"",IFERROR(MATCH(存条明细!C813,总览汇总!$B$5:$B$304,0),900)*10000000+IFERROR(MATCH(存条明细!D813,基础资料!$E$5:$E$104,0),900)*10000+ROW()))</f>
      </c>
      <c r="F813">
        <f>IF(AND(出库明细!C813&lt;&gt;"",出库明细!C813=客户对账单!$B$4,ISNUMBER(出库明细!B813),出库明细!B813&gt;=客户对账单!$G$4,出库明细!B813&lt;=客户对账单!$I$4),出库明细!B813+ROW()/100000,"")</f>
      </c>
      <c r="H813">
        <f>IF(AND(采购进货!C813&lt;&gt;"",采购进货!C813=供应商对账单!$B$4,ISNUMBER(采购进货!B813),采购进货!B813&gt;=供应商对账单!$G$4,采购进货!B813&lt;=供应商对账单!$I$4),采购进货!B813+ROW()/100000,"")</f>
      </c>
      <c r="N813">
        <f>IF(AND(ISNUMBER(出库明细!G813),ISNUMBER(出库明细!E813),ISNUMBER(出库明细!F813)),IF(ABS(出库明细!G813-出库明细!E813*出库明细!F813)&gt;0.005,1,0),0)</f>
        <v>0</v>
      </c>
      <c r="O813">
        <f>IF(AND(ISNUMBER(存条明细!G813),ISNUMBER(存条明细!E813),ISNUMBER(存条明细!F813)),IF(ABS(存条明细!G813-存条明细!E813*存条明细!F813)&gt;0.005,1,0),0)</f>
        <v>0</v>
      </c>
    </row>
    <row r="814">
      <c r="A814">
        <f>IF(OR(存条明细!C814="",存条明细!D814=""),"",IF(COUNTIFS(存条明细!$C$4:C814,存条明细!C814,存条明细!$D$4:D814,存条明细!D814)&gt;1,"",IFERROR(MATCH(存条明细!C814,总览汇总!$B$5:$B$304,0),900)*10000000+IFERROR(MATCH(存条明细!D814,基础资料!$E$5:$E$104,0),900)*10000+ROW()))</f>
      </c>
      <c r="F814">
        <f>IF(AND(出库明细!C814&lt;&gt;"",出库明细!C814=客户对账单!$B$4,ISNUMBER(出库明细!B814),出库明细!B814&gt;=客户对账单!$G$4,出库明细!B814&lt;=客户对账单!$I$4),出库明细!B814+ROW()/100000,"")</f>
      </c>
      <c r="H814">
        <f>IF(AND(采购进货!C814&lt;&gt;"",采购进货!C814=供应商对账单!$B$4,ISNUMBER(采购进货!B814),采购进货!B814&gt;=供应商对账单!$G$4,采购进货!B814&lt;=供应商对账单!$I$4),采购进货!B814+ROW()/100000,"")</f>
      </c>
      <c r="N814">
        <f>IF(AND(ISNUMBER(出库明细!G814),ISNUMBER(出库明细!E814),ISNUMBER(出库明细!F814)),IF(ABS(出库明细!G814-出库明细!E814*出库明细!F814)&gt;0.005,1,0),0)</f>
        <v>0</v>
      </c>
      <c r="O814">
        <f>IF(AND(ISNUMBER(存条明细!G814),ISNUMBER(存条明细!E814),ISNUMBER(存条明细!F814)),IF(ABS(存条明细!G814-存条明细!E814*存条明细!F814)&gt;0.005,1,0),0)</f>
        <v>0</v>
      </c>
    </row>
    <row r="815">
      <c r="A815">
        <f>IF(OR(存条明细!C815="",存条明细!D815=""),"",IF(COUNTIFS(存条明细!$C$4:C815,存条明细!C815,存条明细!$D$4:D815,存条明细!D815)&gt;1,"",IFERROR(MATCH(存条明细!C815,总览汇总!$B$5:$B$304,0),900)*10000000+IFERROR(MATCH(存条明细!D815,基础资料!$E$5:$E$104,0),900)*10000+ROW()))</f>
      </c>
      <c r="F815">
        <f>IF(AND(出库明细!C815&lt;&gt;"",出库明细!C815=客户对账单!$B$4,ISNUMBER(出库明细!B815),出库明细!B815&gt;=客户对账单!$G$4,出库明细!B815&lt;=客户对账单!$I$4),出库明细!B815+ROW()/100000,"")</f>
      </c>
      <c r="H815">
        <f>IF(AND(采购进货!C815&lt;&gt;"",采购进货!C815=供应商对账单!$B$4,ISNUMBER(采购进货!B815),采购进货!B815&gt;=供应商对账单!$G$4,采购进货!B815&lt;=供应商对账单!$I$4),采购进货!B815+ROW()/100000,"")</f>
      </c>
      <c r="N815">
        <f>IF(AND(ISNUMBER(出库明细!G815),ISNUMBER(出库明细!E815),ISNUMBER(出库明细!F815)),IF(ABS(出库明细!G815-出库明细!E815*出库明细!F815)&gt;0.005,1,0),0)</f>
        <v>0</v>
      </c>
      <c r="O815">
        <f>IF(AND(ISNUMBER(存条明细!G815),ISNUMBER(存条明细!E815),ISNUMBER(存条明细!F815)),IF(ABS(存条明细!G815-存条明细!E815*存条明细!F815)&gt;0.005,1,0),0)</f>
        <v>0</v>
      </c>
    </row>
    <row r="816">
      <c r="A816">
        <f>IF(OR(存条明细!C816="",存条明细!D816=""),"",IF(COUNTIFS(存条明细!$C$4:C816,存条明细!C816,存条明细!$D$4:D816,存条明细!D816)&gt;1,"",IFERROR(MATCH(存条明细!C816,总览汇总!$B$5:$B$304,0),900)*10000000+IFERROR(MATCH(存条明细!D816,基础资料!$E$5:$E$104,0),900)*10000+ROW()))</f>
      </c>
      <c r="F816">
        <f>IF(AND(出库明细!C816&lt;&gt;"",出库明细!C816=客户对账单!$B$4,ISNUMBER(出库明细!B816),出库明细!B816&gt;=客户对账单!$G$4,出库明细!B816&lt;=客户对账单!$I$4),出库明细!B816+ROW()/100000,"")</f>
      </c>
      <c r="H816">
        <f>IF(AND(采购进货!C816&lt;&gt;"",采购进货!C816=供应商对账单!$B$4,ISNUMBER(采购进货!B816),采购进货!B816&gt;=供应商对账单!$G$4,采购进货!B816&lt;=供应商对账单!$I$4),采购进货!B816+ROW()/100000,"")</f>
      </c>
      <c r="N816">
        <f>IF(AND(ISNUMBER(出库明细!G816),ISNUMBER(出库明细!E816),ISNUMBER(出库明细!F816)),IF(ABS(出库明细!G816-出库明细!E816*出库明细!F816)&gt;0.005,1,0),0)</f>
        <v>0</v>
      </c>
      <c r="O816">
        <f>IF(AND(ISNUMBER(存条明细!G816),ISNUMBER(存条明细!E816),ISNUMBER(存条明细!F816)),IF(ABS(存条明细!G816-存条明细!E816*存条明细!F816)&gt;0.005,1,0),0)</f>
        <v>0</v>
      </c>
    </row>
    <row r="817">
      <c r="A817">
        <f>IF(OR(存条明细!C817="",存条明细!D817=""),"",IF(COUNTIFS(存条明细!$C$4:C817,存条明细!C817,存条明细!$D$4:D817,存条明细!D817)&gt;1,"",IFERROR(MATCH(存条明细!C817,总览汇总!$B$5:$B$304,0),900)*10000000+IFERROR(MATCH(存条明细!D817,基础资料!$E$5:$E$104,0),900)*10000+ROW()))</f>
      </c>
      <c r="F817">
        <f>IF(AND(出库明细!C817&lt;&gt;"",出库明细!C817=客户对账单!$B$4,ISNUMBER(出库明细!B817),出库明细!B817&gt;=客户对账单!$G$4,出库明细!B817&lt;=客户对账单!$I$4),出库明细!B817+ROW()/100000,"")</f>
      </c>
      <c r="H817">
        <f>IF(AND(采购进货!C817&lt;&gt;"",采购进货!C817=供应商对账单!$B$4,ISNUMBER(采购进货!B817),采购进货!B817&gt;=供应商对账单!$G$4,采购进货!B817&lt;=供应商对账单!$I$4),采购进货!B817+ROW()/100000,"")</f>
      </c>
      <c r="N817">
        <f>IF(AND(ISNUMBER(出库明细!G817),ISNUMBER(出库明细!E817),ISNUMBER(出库明细!F817)),IF(ABS(出库明细!G817-出库明细!E817*出库明细!F817)&gt;0.005,1,0),0)</f>
        <v>0</v>
      </c>
      <c r="O817">
        <f>IF(AND(ISNUMBER(存条明细!G817),ISNUMBER(存条明细!E817),ISNUMBER(存条明细!F817)),IF(ABS(存条明细!G817-存条明细!E817*存条明细!F817)&gt;0.005,1,0),0)</f>
        <v>0</v>
      </c>
    </row>
    <row r="818">
      <c r="A818">
        <f>IF(OR(存条明细!C818="",存条明细!D818=""),"",IF(COUNTIFS(存条明细!$C$4:C818,存条明细!C818,存条明细!$D$4:D818,存条明细!D818)&gt;1,"",IFERROR(MATCH(存条明细!C818,总览汇总!$B$5:$B$304,0),900)*10000000+IFERROR(MATCH(存条明细!D818,基础资料!$E$5:$E$104,0),900)*10000+ROW()))</f>
      </c>
      <c r="F818">
        <f>IF(AND(出库明细!C818&lt;&gt;"",出库明细!C818=客户对账单!$B$4,ISNUMBER(出库明细!B818),出库明细!B818&gt;=客户对账单!$G$4,出库明细!B818&lt;=客户对账单!$I$4),出库明细!B818+ROW()/100000,"")</f>
      </c>
      <c r="H818">
        <f>IF(AND(采购进货!C818&lt;&gt;"",采购进货!C818=供应商对账单!$B$4,ISNUMBER(采购进货!B818),采购进货!B818&gt;=供应商对账单!$G$4,采购进货!B818&lt;=供应商对账单!$I$4),采购进货!B818+ROW()/100000,"")</f>
      </c>
      <c r="N818">
        <f>IF(AND(ISNUMBER(出库明细!G818),ISNUMBER(出库明细!E818),ISNUMBER(出库明细!F818)),IF(ABS(出库明细!G818-出库明细!E818*出库明细!F818)&gt;0.005,1,0),0)</f>
        <v>0</v>
      </c>
      <c r="O818">
        <f>IF(AND(ISNUMBER(存条明细!G818),ISNUMBER(存条明细!E818),ISNUMBER(存条明细!F818)),IF(ABS(存条明细!G818-存条明细!E818*存条明细!F818)&gt;0.005,1,0),0)</f>
        <v>0</v>
      </c>
    </row>
    <row r="819">
      <c r="A819">
        <f>IF(OR(存条明细!C819="",存条明细!D819=""),"",IF(COUNTIFS(存条明细!$C$4:C819,存条明细!C819,存条明细!$D$4:D819,存条明细!D819)&gt;1,"",IFERROR(MATCH(存条明细!C819,总览汇总!$B$5:$B$304,0),900)*10000000+IFERROR(MATCH(存条明细!D819,基础资料!$E$5:$E$104,0),900)*10000+ROW()))</f>
      </c>
      <c r="F819">
        <f>IF(AND(出库明细!C819&lt;&gt;"",出库明细!C819=客户对账单!$B$4,ISNUMBER(出库明细!B819),出库明细!B819&gt;=客户对账单!$G$4,出库明细!B819&lt;=客户对账单!$I$4),出库明细!B819+ROW()/100000,"")</f>
      </c>
      <c r="H819">
        <f>IF(AND(采购进货!C819&lt;&gt;"",采购进货!C819=供应商对账单!$B$4,ISNUMBER(采购进货!B819),采购进货!B819&gt;=供应商对账单!$G$4,采购进货!B819&lt;=供应商对账单!$I$4),采购进货!B819+ROW()/100000,"")</f>
      </c>
      <c r="N819">
        <f>IF(AND(ISNUMBER(出库明细!G819),ISNUMBER(出库明细!E819),ISNUMBER(出库明细!F819)),IF(ABS(出库明细!G819-出库明细!E819*出库明细!F819)&gt;0.005,1,0),0)</f>
        <v>0</v>
      </c>
      <c r="O819">
        <f>IF(AND(ISNUMBER(存条明细!G819),ISNUMBER(存条明细!E819),ISNUMBER(存条明细!F819)),IF(ABS(存条明细!G819-存条明细!E819*存条明细!F819)&gt;0.005,1,0),0)</f>
        <v>0</v>
      </c>
    </row>
    <row r="820">
      <c r="A820">
        <f>IF(OR(存条明细!C820="",存条明细!D820=""),"",IF(COUNTIFS(存条明细!$C$4:C820,存条明细!C820,存条明细!$D$4:D820,存条明细!D820)&gt;1,"",IFERROR(MATCH(存条明细!C820,总览汇总!$B$5:$B$304,0),900)*10000000+IFERROR(MATCH(存条明细!D820,基础资料!$E$5:$E$104,0),900)*10000+ROW()))</f>
      </c>
      <c r="F820">
        <f>IF(AND(出库明细!C820&lt;&gt;"",出库明细!C820=客户对账单!$B$4,ISNUMBER(出库明细!B820),出库明细!B820&gt;=客户对账单!$G$4,出库明细!B820&lt;=客户对账单!$I$4),出库明细!B820+ROW()/100000,"")</f>
      </c>
      <c r="H820">
        <f>IF(AND(采购进货!C820&lt;&gt;"",采购进货!C820=供应商对账单!$B$4,ISNUMBER(采购进货!B820),采购进货!B820&gt;=供应商对账单!$G$4,采购进货!B820&lt;=供应商对账单!$I$4),采购进货!B820+ROW()/100000,"")</f>
      </c>
      <c r="N820">
        <f>IF(AND(ISNUMBER(出库明细!G820),ISNUMBER(出库明细!E820),ISNUMBER(出库明细!F820)),IF(ABS(出库明细!G820-出库明细!E820*出库明细!F820)&gt;0.005,1,0),0)</f>
        <v>0</v>
      </c>
      <c r="O820">
        <f>IF(AND(ISNUMBER(存条明细!G820),ISNUMBER(存条明细!E820),ISNUMBER(存条明细!F820)),IF(ABS(存条明细!G820-存条明细!E820*存条明细!F820)&gt;0.005,1,0),0)</f>
        <v>0</v>
      </c>
    </row>
    <row r="821">
      <c r="A821">
        <f>IF(OR(存条明细!C821="",存条明细!D821=""),"",IF(COUNTIFS(存条明细!$C$4:C821,存条明细!C821,存条明细!$D$4:D821,存条明细!D821)&gt;1,"",IFERROR(MATCH(存条明细!C821,总览汇总!$B$5:$B$304,0),900)*10000000+IFERROR(MATCH(存条明细!D821,基础资料!$E$5:$E$104,0),900)*10000+ROW()))</f>
      </c>
      <c r="F821">
        <f>IF(AND(出库明细!C821&lt;&gt;"",出库明细!C821=客户对账单!$B$4,ISNUMBER(出库明细!B821),出库明细!B821&gt;=客户对账单!$G$4,出库明细!B821&lt;=客户对账单!$I$4),出库明细!B821+ROW()/100000,"")</f>
      </c>
      <c r="H821">
        <f>IF(AND(采购进货!C821&lt;&gt;"",采购进货!C821=供应商对账单!$B$4,ISNUMBER(采购进货!B821),采购进货!B821&gt;=供应商对账单!$G$4,采购进货!B821&lt;=供应商对账单!$I$4),采购进货!B821+ROW()/100000,"")</f>
      </c>
      <c r="N821">
        <f>IF(AND(ISNUMBER(出库明细!G821),ISNUMBER(出库明细!E821),ISNUMBER(出库明细!F821)),IF(ABS(出库明细!G821-出库明细!E821*出库明细!F821)&gt;0.005,1,0),0)</f>
        <v>0</v>
      </c>
      <c r="O821">
        <f>IF(AND(ISNUMBER(存条明细!G821),ISNUMBER(存条明细!E821),ISNUMBER(存条明细!F821)),IF(ABS(存条明细!G821-存条明细!E821*存条明细!F821)&gt;0.005,1,0),0)</f>
        <v>0</v>
      </c>
    </row>
    <row r="822">
      <c r="A822">
        <f>IF(OR(存条明细!C822="",存条明细!D822=""),"",IF(COUNTIFS(存条明细!$C$4:C822,存条明细!C822,存条明细!$D$4:D822,存条明细!D822)&gt;1,"",IFERROR(MATCH(存条明细!C822,总览汇总!$B$5:$B$304,0),900)*10000000+IFERROR(MATCH(存条明细!D822,基础资料!$E$5:$E$104,0),900)*10000+ROW()))</f>
      </c>
      <c r="F822">
        <f>IF(AND(出库明细!C822&lt;&gt;"",出库明细!C822=客户对账单!$B$4,ISNUMBER(出库明细!B822),出库明细!B822&gt;=客户对账单!$G$4,出库明细!B822&lt;=客户对账单!$I$4),出库明细!B822+ROW()/100000,"")</f>
      </c>
      <c r="H822">
        <f>IF(AND(采购进货!C822&lt;&gt;"",采购进货!C822=供应商对账单!$B$4,ISNUMBER(采购进货!B822),采购进货!B822&gt;=供应商对账单!$G$4,采购进货!B822&lt;=供应商对账单!$I$4),采购进货!B822+ROW()/100000,"")</f>
      </c>
      <c r="N822">
        <f>IF(AND(ISNUMBER(出库明细!G822),ISNUMBER(出库明细!E822),ISNUMBER(出库明细!F822)),IF(ABS(出库明细!G822-出库明细!E822*出库明细!F822)&gt;0.005,1,0),0)</f>
        <v>0</v>
      </c>
      <c r="O822">
        <f>IF(AND(ISNUMBER(存条明细!G822),ISNUMBER(存条明细!E822),ISNUMBER(存条明细!F822)),IF(ABS(存条明细!G822-存条明细!E822*存条明细!F822)&gt;0.005,1,0),0)</f>
        <v>0</v>
      </c>
    </row>
    <row r="823">
      <c r="A823">
        <f>IF(OR(存条明细!C823="",存条明细!D823=""),"",IF(COUNTIFS(存条明细!$C$4:C823,存条明细!C823,存条明细!$D$4:D823,存条明细!D823)&gt;1,"",IFERROR(MATCH(存条明细!C823,总览汇总!$B$5:$B$304,0),900)*10000000+IFERROR(MATCH(存条明细!D823,基础资料!$E$5:$E$104,0),900)*10000+ROW()))</f>
      </c>
      <c r="F823">
        <f>IF(AND(出库明细!C823&lt;&gt;"",出库明细!C823=客户对账单!$B$4,ISNUMBER(出库明细!B823),出库明细!B823&gt;=客户对账单!$G$4,出库明细!B823&lt;=客户对账单!$I$4),出库明细!B823+ROW()/100000,"")</f>
      </c>
      <c r="H823">
        <f>IF(AND(采购进货!C823&lt;&gt;"",采购进货!C823=供应商对账单!$B$4,ISNUMBER(采购进货!B823),采购进货!B823&gt;=供应商对账单!$G$4,采购进货!B823&lt;=供应商对账单!$I$4),采购进货!B823+ROW()/100000,"")</f>
      </c>
      <c r="N823">
        <f>IF(AND(ISNUMBER(出库明细!G823),ISNUMBER(出库明细!E823),ISNUMBER(出库明细!F823)),IF(ABS(出库明细!G823-出库明细!E823*出库明细!F823)&gt;0.005,1,0),0)</f>
        <v>0</v>
      </c>
      <c r="O823">
        <f>IF(AND(ISNUMBER(存条明细!G823),ISNUMBER(存条明细!E823),ISNUMBER(存条明细!F823)),IF(ABS(存条明细!G823-存条明细!E823*存条明细!F823)&gt;0.005,1,0),0)</f>
        <v>0</v>
      </c>
    </row>
    <row r="824">
      <c r="A824">
        <f>IF(OR(存条明细!C824="",存条明细!D824=""),"",IF(COUNTIFS(存条明细!$C$4:C824,存条明细!C824,存条明细!$D$4:D824,存条明细!D824)&gt;1,"",IFERROR(MATCH(存条明细!C824,总览汇总!$B$5:$B$304,0),900)*10000000+IFERROR(MATCH(存条明细!D824,基础资料!$E$5:$E$104,0),900)*10000+ROW()))</f>
      </c>
      <c r="F824">
        <f>IF(AND(出库明细!C824&lt;&gt;"",出库明细!C824=客户对账单!$B$4,ISNUMBER(出库明细!B824),出库明细!B824&gt;=客户对账单!$G$4,出库明细!B824&lt;=客户对账单!$I$4),出库明细!B824+ROW()/100000,"")</f>
      </c>
      <c r="H824">
        <f>IF(AND(采购进货!C824&lt;&gt;"",采购进货!C824=供应商对账单!$B$4,ISNUMBER(采购进货!B824),采购进货!B824&gt;=供应商对账单!$G$4,采购进货!B824&lt;=供应商对账单!$I$4),采购进货!B824+ROW()/100000,"")</f>
      </c>
      <c r="N824">
        <f>IF(AND(ISNUMBER(出库明细!G824),ISNUMBER(出库明细!E824),ISNUMBER(出库明细!F824)),IF(ABS(出库明细!G824-出库明细!E824*出库明细!F824)&gt;0.005,1,0),0)</f>
        <v>0</v>
      </c>
      <c r="O824">
        <f>IF(AND(ISNUMBER(存条明细!G824),ISNUMBER(存条明细!E824),ISNUMBER(存条明细!F824)),IF(ABS(存条明细!G824-存条明细!E824*存条明细!F824)&gt;0.005,1,0),0)</f>
        <v>0</v>
      </c>
    </row>
    <row r="825">
      <c r="A825">
        <f>IF(OR(存条明细!C825="",存条明细!D825=""),"",IF(COUNTIFS(存条明细!$C$4:C825,存条明细!C825,存条明细!$D$4:D825,存条明细!D825)&gt;1,"",IFERROR(MATCH(存条明细!C825,总览汇总!$B$5:$B$304,0),900)*10000000+IFERROR(MATCH(存条明细!D825,基础资料!$E$5:$E$104,0),900)*10000+ROW()))</f>
      </c>
      <c r="F825">
        <f>IF(AND(出库明细!C825&lt;&gt;"",出库明细!C825=客户对账单!$B$4,ISNUMBER(出库明细!B825),出库明细!B825&gt;=客户对账单!$G$4,出库明细!B825&lt;=客户对账单!$I$4),出库明细!B825+ROW()/100000,"")</f>
      </c>
      <c r="H825">
        <f>IF(AND(采购进货!C825&lt;&gt;"",采购进货!C825=供应商对账单!$B$4,ISNUMBER(采购进货!B825),采购进货!B825&gt;=供应商对账单!$G$4,采购进货!B825&lt;=供应商对账单!$I$4),采购进货!B825+ROW()/100000,"")</f>
      </c>
      <c r="N825">
        <f>IF(AND(ISNUMBER(出库明细!G825),ISNUMBER(出库明细!E825),ISNUMBER(出库明细!F825)),IF(ABS(出库明细!G825-出库明细!E825*出库明细!F825)&gt;0.005,1,0),0)</f>
        <v>0</v>
      </c>
      <c r="O825">
        <f>IF(AND(ISNUMBER(存条明细!G825),ISNUMBER(存条明细!E825),ISNUMBER(存条明细!F825)),IF(ABS(存条明细!G825-存条明细!E825*存条明细!F825)&gt;0.005,1,0),0)</f>
        <v>0</v>
      </c>
    </row>
    <row r="826">
      <c r="A826">
        <f>IF(OR(存条明细!C826="",存条明细!D826=""),"",IF(COUNTIFS(存条明细!$C$4:C826,存条明细!C826,存条明细!$D$4:D826,存条明细!D826)&gt;1,"",IFERROR(MATCH(存条明细!C826,总览汇总!$B$5:$B$304,0),900)*10000000+IFERROR(MATCH(存条明细!D826,基础资料!$E$5:$E$104,0),900)*10000+ROW()))</f>
      </c>
      <c r="F826">
        <f>IF(AND(出库明细!C826&lt;&gt;"",出库明细!C826=客户对账单!$B$4,ISNUMBER(出库明细!B826),出库明细!B826&gt;=客户对账单!$G$4,出库明细!B826&lt;=客户对账单!$I$4),出库明细!B826+ROW()/100000,"")</f>
      </c>
      <c r="H826">
        <f>IF(AND(采购进货!C826&lt;&gt;"",采购进货!C826=供应商对账单!$B$4,ISNUMBER(采购进货!B826),采购进货!B826&gt;=供应商对账单!$G$4,采购进货!B826&lt;=供应商对账单!$I$4),采购进货!B826+ROW()/100000,"")</f>
      </c>
      <c r="N826">
        <f>IF(AND(ISNUMBER(出库明细!G826),ISNUMBER(出库明细!E826),ISNUMBER(出库明细!F826)),IF(ABS(出库明细!G826-出库明细!E826*出库明细!F826)&gt;0.005,1,0),0)</f>
        <v>0</v>
      </c>
      <c r="O826">
        <f>IF(AND(ISNUMBER(存条明细!G826),ISNUMBER(存条明细!E826),ISNUMBER(存条明细!F826)),IF(ABS(存条明细!G826-存条明细!E826*存条明细!F826)&gt;0.005,1,0),0)</f>
        <v>0</v>
      </c>
    </row>
    <row r="827">
      <c r="A827">
        <f>IF(OR(存条明细!C827="",存条明细!D827=""),"",IF(COUNTIFS(存条明细!$C$4:C827,存条明细!C827,存条明细!$D$4:D827,存条明细!D827)&gt;1,"",IFERROR(MATCH(存条明细!C827,总览汇总!$B$5:$B$304,0),900)*10000000+IFERROR(MATCH(存条明细!D827,基础资料!$E$5:$E$104,0),900)*10000+ROW()))</f>
      </c>
      <c r="F827">
        <f>IF(AND(出库明细!C827&lt;&gt;"",出库明细!C827=客户对账单!$B$4,ISNUMBER(出库明细!B827),出库明细!B827&gt;=客户对账单!$G$4,出库明细!B827&lt;=客户对账单!$I$4),出库明细!B827+ROW()/100000,"")</f>
      </c>
      <c r="H827">
        <f>IF(AND(采购进货!C827&lt;&gt;"",采购进货!C827=供应商对账单!$B$4,ISNUMBER(采购进货!B827),采购进货!B827&gt;=供应商对账单!$G$4,采购进货!B827&lt;=供应商对账单!$I$4),采购进货!B827+ROW()/100000,"")</f>
      </c>
      <c r="N827">
        <f>IF(AND(ISNUMBER(出库明细!G827),ISNUMBER(出库明细!E827),ISNUMBER(出库明细!F827)),IF(ABS(出库明细!G827-出库明细!E827*出库明细!F827)&gt;0.005,1,0),0)</f>
        <v>0</v>
      </c>
      <c r="O827">
        <f>IF(AND(ISNUMBER(存条明细!G827),ISNUMBER(存条明细!E827),ISNUMBER(存条明细!F827)),IF(ABS(存条明细!G827-存条明细!E827*存条明细!F827)&gt;0.005,1,0),0)</f>
        <v>0</v>
      </c>
    </row>
    <row r="828">
      <c r="A828">
        <f>IF(OR(存条明细!C828="",存条明细!D828=""),"",IF(COUNTIFS(存条明细!$C$4:C828,存条明细!C828,存条明细!$D$4:D828,存条明细!D828)&gt;1,"",IFERROR(MATCH(存条明细!C828,总览汇总!$B$5:$B$304,0),900)*10000000+IFERROR(MATCH(存条明细!D828,基础资料!$E$5:$E$104,0),900)*10000+ROW()))</f>
      </c>
      <c r="F828">
        <f>IF(AND(出库明细!C828&lt;&gt;"",出库明细!C828=客户对账单!$B$4,ISNUMBER(出库明细!B828),出库明细!B828&gt;=客户对账单!$G$4,出库明细!B828&lt;=客户对账单!$I$4),出库明细!B828+ROW()/100000,"")</f>
      </c>
      <c r="H828">
        <f>IF(AND(采购进货!C828&lt;&gt;"",采购进货!C828=供应商对账单!$B$4,ISNUMBER(采购进货!B828),采购进货!B828&gt;=供应商对账单!$G$4,采购进货!B828&lt;=供应商对账单!$I$4),采购进货!B828+ROW()/100000,"")</f>
      </c>
      <c r="N828">
        <f>IF(AND(ISNUMBER(出库明细!G828),ISNUMBER(出库明细!E828),ISNUMBER(出库明细!F828)),IF(ABS(出库明细!G828-出库明细!E828*出库明细!F828)&gt;0.005,1,0),0)</f>
        <v>0</v>
      </c>
      <c r="O828">
        <f>IF(AND(ISNUMBER(存条明细!G828),ISNUMBER(存条明细!E828),ISNUMBER(存条明细!F828)),IF(ABS(存条明细!G828-存条明细!E828*存条明细!F828)&gt;0.005,1,0),0)</f>
        <v>0</v>
      </c>
    </row>
    <row r="829">
      <c r="A829">
        <f>IF(OR(存条明细!C829="",存条明细!D829=""),"",IF(COUNTIFS(存条明细!$C$4:C829,存条明细!C829,存条明细!$D$4:D829,存条明细!D829)&gt;1,"",IFERROR(MATCH(存条明细!C829,总览汇总!$B$5:$B$304,0),900)*10000000+IFERROR(MATCH(存条明细!D829,基础资料!$E$5:$E$104,0),900)*10000+ROW()))</f>
      </c>
      <c r="F829">
        <f>IF(AND(出库明细!C829&lt;&gt;"",出库明细!C829=客户对账单!$B$4,ISNUMBER(出库明细!B829),出库明细!B829&gt;=客户对账单!$G$4,出库明细!B829&lt;=客户对账单!$I$4),出库明细!B829+ROW()/100000,"")</f>
      </c>
      <c r="H829">
        <f>IF(AND(采购进货!C829&lt;&gt;"",采购进货!C829=供应商对账单!$B$4,ISNUMBER(采购进货!B829),采购进货!B829&gt;=供应商对账单!$G$4,采购进货!B829&lt;=供应商对账单!$I$4),采购进货!B829+ROW()/100000,"")</f>
      </c>
      <c r="N829">
        <f>IF(AND(ISNUMBER(出库明细!G829),ISNUMBER(出库明细!E829),ISNUMBER(出库明细!F829)),IF(ABS(出库明细!G829-出库明细!E829*出库明细!F829)&gt;0.005,1,0),0)</f>
        <v>0</v>
      </c>
      <c r="O829">
        <f>IF(AND(ISNUMBER(存条明细!G829),ISNUMBER(存条明细!E829),ISNUMBER(存条明细!F829)),IF(ABS(存条明细!G829-存条明细!E829*存条明细!F829)&gt;0.005,1,0),0)</f>
        <v>0</v>
      </c>
    </row>
    <row r="830">
      <c r="A830">
        <f>IF(OR(存条明细!C830="",存条明细!D830=""),"",IF(COUNTIFS(存条明细!$C$4:C830,存条明细!C830,存条明细!$D$4:D830,存条明细!D830)&gt;1,"",IFERROR(MATCH(存条明细!C830,总览汇总!$B$5:$B$304,0),900)*10000000+IFERROR(MATCH(存条明细!D830,基础资料!$E$5:$E$104,0),900)*10000+ROW()))</f>
      </c>
      <c r="F830">
        <f>IF(AND(出库明细!C830&lt;&gt;"",出库明细!C830=客户对账单!$B$4,ISNUMBER(出库明细!B830),出库明细!B830&gt;=客户对账单!$G$4,出库明细!B830&lt;=客户对账单!$I$4),出库明细!B830+ROW()/100000,"")</f>
      </c>
      <c r="H830">
        <f>IF(AND(采购进货!C830&lt;&gt;"",采购进货!C830=供应商对账单!$B$4,ISNUMBER(采购进货!B830),采购进货!B830&gt;=供应商对账单!$G$4,采购进货!B830&lt;=供应商对账单!$I$4),采购进货!B830+ROW()/100000,"")</f>
      </c>
      <c r="N830">
        <f>IF(AND(ISNUMBER(出库明细!G830),ISNUMBER(出库明细!E830),ISNUMBER(出库明细!F830)),IF(ABS(出库明细!G830-出库明细!E830*出库明细!F830)&gt;0.005,1,0),0)</f>
        <v>0</v>
      </c>
      <c r="O830">
        <f>IF(AND(ISNUMBER(存条明细!G830),ISNUMBER(存条明细!E830),ISNUMBER(存条明细!F830)),IF(ABS(存条明细!G830-存条明细!E830*存条明细!F830)&gt;0.005,1,0),0)</f>
        <v>0</v>
      </c>
    </row>
    <row r="831">
      <c r="A831">
        <f>IF(OR(存条明细!C831="",存条明细!D831=""),"",IF(COUNTIFS(存条明细!$C$4:C831,存条明细!C831,存条明细!$D$4:D831,存条明细!D831)&gt;1,"",IFERROR(MATCH(存条明细!C831,总览汇总!$B$5:$B$304,0),900)*10000000+IFERROR(MATCH(存条明细!D831,基础资料!$E$5:$E$104,0),900)*10000+ROW()))</f>
      </c>
      <c r="F831">
        <f>IF(AND(出库明细!C831&lt;&gt;"",出库明细!C831=客户对账单!$B$4,ISNUMBER(出库明细!B831),出库明细!B831&gt;=客户对账单!$G$4,出库明细!B831&lt;=客户对账单!$I$4),出库明细!B831+ROW()/100000,"")</f>
      </c>
      <c r="H831">
        <f>IF(AND(采购进货!C831&lt;&gt;"",采购进货!C831=供应商对账单!$B$4,ISNUMBER(采购进货!B831),采购进货!B831&gt;=供应商对账单!$G$4,采购进货!B831&lt;=供应商对账单!$I$4),采购进货!B831+ROW()/100000,"")</f>
      </c>
      <c r="N831">
        <f>IF(AND(ISNUMBER(出库明细!G831),ISNUMBER(出库明细!E831),ISNUMBER(出库明细!F831)),IF(ABS(出库明细!G831-出库明细!E831*出库明细!F831)&gt;0.005,1,0),0)</f>
        <v>0</v>
      </c>
      <c r="O831">
        <f>IF(AND(ISNUMBER(存条明细!G831),ISNUMBER(存条明细!E831),ISNUMBER(存条明细!F831)),IF(ABS(存条明细!G831-存条明细!E831*存条明细!F831)&gt;0.005,1,0),0)</f>
        <v>0</v>
      </c>
    </row>
    <row r="832">
      <c r="A832">
        <f>IF(OR(存条明细!C832="",存条明细!D832=""),"",IF(COUNTIFS(存条明细!$C$4:C832,存条明细!C832,存条明细!$D$4:D832,存条明细!D832)&gt;1,"",IFERROR(MATCH(存条明细!C832,总览汇总!$B$5:$B$304,0),900)*10000000+IFERROR(MATCH(存条明细!D832,基础资料!$E$5:$E$104,0),900)*10000+ROW()))</f>
      </c>
      <c r="F832">
        <f>IF(AND(出库明细!C832&lt;&gt;"",出库明细!C832=客户对账单!$B$4,ISNUMBER(出库明细!B832),出库明细!B832&gt;=客户对账单!$G$4,出库明细!B832&lt;=客户对账单!$I$4),出库明细!B832+ROW()/100000,"")</f>
      </c>
      <c r="H832">
        <f>IF(AND(采购进货!C832&lt;&gt;"",采购进货!C832=供应商对账单!$B$4,ISNUMBER(采购进货!B832),采购进货!B832&gt;=供应商对账单!$G$4,采购进货!B832&lt;=供应商对账单!$I$4),采购进货!B832+ROW()/100000,"")</f>
      </c>
      <c r="N832">
        <f>IF(AND(ISNUMBER(出库明细!G832),ISNUMBER(出库明细!E832),ISNUMBER(出库明细!F832)),IF(ABS(出库明细!G832-出库明细!E832*出库明细!F832)&gt;0.005,1,0),0)</f>
        <v>0</v>
      </c>
      <c r="O832">
        <f>IF(AND(ISNUMBER(存条明细!G832),ISNUMBER(存条明细!E832),ISNUMBER(存条明细!F832)),IF(ABS(存条明细!G832-存条明细!E832*存条明细!F832)&gt;0.005,1,0),0)</f>
        <v>0</v>
      </c>
    </row>
    <row r="833">
      <c r="A833">
        <f>IF(OR(存条明细!C833="",存条明细!D833=""),"",IF(COUNTIFS(存条明细!$C$4:C833,存条明细!C833,存条明细!$D$4:D833,存条明细!D833)&gt;1,"",IFERROR(MATCH(存条明细!C833,总览汇总!$B$5:$B$304,0),900)*10000000+IFERROR(MATCH(存条明细!D833,基础资料!$E$5:$E$104,0),900)*10000+ROW()))</f>
      </c>
      <c r="F833">
        <f>IF(AND(出库明细!C833&lt;&gt;"",出库明细!C833=客户对账单!$B$4,ISNUMBER(出库明细!B833),出库明细!B833&gt;=客户对账单!$G$4,出库明细!B833&lt;=客户对账单!$I$4),出库明细!B833+ROW()/100000,"")</f>
      </c>
      <c r="H833">
        <f>IF(AND(采购进货!C833&lt;&gt;"",采购进货!C833=供应商对账单!$B$4,ISNUMBER(采购进货!B833),采购进货!B833&gt;=供应商对账单!$G$4,采购进货!B833&lt;=供应商对账单!$I$4),采购进货!B833+ROW()/100000,"")</f>
      </c>
      <c r="N833">
        <f>IF(AND(ISNUMBER(出库明细!G833),ISNUMBER(出库明细!E833),ISNUMBER(出库明细!F833)),IF(ABS(出库明细!G833-出库明细!E833*出库明细!F833)&gt;0.005,1,0),0)</f>
        <v>0</v>
      </c>
      <c r="O833">
        <f>IF(AND(ISNUMBER(存条明细!G833),ISNUMBER(存条明细!E833),ISNUMBER(存条明细!F833)),IF(ABS(存条明细!G833-存条明细!E833*存条明细!F833)&gt;0.005,1,0),0)</f>
        <v>0</v>
      </c>
    </row>
    <row r="834">
      <c r="A834">
        <f>IF(OR(存条明细!C834="",存条明细!D834=""),"",IF(COUNTIFS(存条明细!$C$4:C834,存条明细!C834,存条明细!$D$4:D834,存条明细!D834)&gt;1,"",IFERROR(MATCH(存条明细!C834,总览汇总!$B$5:$B$304,0),900)*10000000+IFERROR(MATCH(存条明细!D834,基础资料!$E$5:$E$104,0),900)*10000+ROW()))</f>
      </c>
      <c r="F834">
        <f>IF(AND(出库明细!C834&lt;&gt;"",出库明细!C834=客户对账单!$B$4,ISNUMBER(出库明细!B834),出库明细!B834&gt;=客户对账单!$G$4,出库明细!B834&lt;=客户对账单!$I$4),出库明细!B834+ROW()/100000,"")</f>
      </c>
      <c r="H834">
        <f>IF(AND(采购进货!C834&lt;&gt;"",采购进货!C834=供应商对账单!$B$4,ISNUMBER(采购进货!B834),采购进货!B834&gt;=供应商对账单!$G$4,采购进货!B834&lt;=供应商对账单!$I$4),采购进货!B834+ROW()/100000,"")</f>
      </c>
      <c r="N834">
        <f>IF(AND(ISNUMBER(出库明细!G834),ISNUMBER(出库明细!E834),ISNUMBER(出库明细!F834)),IF(ABS(出库明细!G834-出库明细!E834*出库明细!F834)&gt;0.005,1,0),0)</f>
        <v>0</v>
      </c>
      <c r="O834">
        <f>IF(AND(ISNUMBER(存条明细!G834),ISNUMBER(存条明细!E834),ISNUMBER(存条明细!F834)),IF(ABS(存条明细!G834-存条明细!E834*存条明细!F834)&gt;0.005,1,0),0)</f>
        <v>0</v>
      </c>
    </row>
    <row r="835">
      <c r="A835">
        <f>IF(OR(存条明细!C835="",存条明细!D835=""),"",IF(COUNTIFS(存条明细!$C$4:C835,存条明细!C835,存条明细!$D$4:D835,存条明细!D835)&gt;1,"",IFERROR(MATCH(存条明细!C835,总览汇总!$B$5:$B$304,0),900)*10000000+IFERROR(MATCH(存条明细!D835,基础资料!$E$5:$E$104,0),900)*10000+ROW()))</f>
      </c>
      <c r="F835">
        <f>IF(AND(出库明细!C835&lt;&gt;"",出库明细!C835=客户对账单!$B$4,ISNUMBER(出库明细!B835),出库明细!B835&gt;=客户对账单!$G$4,出库明细!B835&lt;=客户对账单!$I$4),出库明细!B835+ROW()/100000,"")</f>
      </c>
      <c r="H835">
        <f>IF(AND(采购进货!C835&lt;&gt;"",采购进货!C835=供应商对账单!$B$4,ISNUMBER(采购进货!B835),采购进货!B835&gt;=供应商对账单!$G$4,采购进货!B835&lt;=供应商对账单!$I$4),采购进货!B835+ROW()/100000,"")</f>
      </c>
      <c r="N835">
        <f>IF(AND(ISNUMBER(出库明细!G835),ISNUMBER(出库明细!E835),ISNUMBER(出库明细!F835)),IF(ABS(出库明细!G835-出库明细!E835*出库明细!F835)&gt;0.005,1,0),0)</f>
        <v>0</v>
      </c>
      <c r="O835">
        <f>IF(AND(ISNUMBER(存条明细!G835),ISNUMBER(存条明细!E835),ISNUMBER(存条明细!F835)),IF(ABS(存条明细!G835-存条明细!E835*存条明细!F835)&gt;0.005,1,0),0)</f>
        <v>0</v>
      </c>
    </row>
    <row r="836">
      <c r="A836">
        <f>IF(OR(存条明细!C836="",存条明细!D836=""),"",IF(COUNTIFS(存条明细!$C$4:C836,存条明细!C836,存条明细!$D$4:D836,存条明细!D836)&gt;1,"",IFERROR(MATCH(存条明细!C836,总览汇总!$B$5:$B$304,0),900)*10000000+IFERROR(MATCH(存条明细!D836,基础资料!$E$5:$E$104,0),900)*10000+ROW()))</f>
      </c>
      <c r="F836">
        <f>IF(AND(出库明细!C836&lt;&gt;"",出库明细!C836=客户对账单!$B$4,ISNUMBER(出库明细!B836),出库明细!B836&gt;=客户对账单!$G$4,出库明细!B836&lt;=客户对账单!$I$4),出库明细!B836+ROW()/100000,"")</f>
      </c>
      <c r="H836">
        <f>IF(AND(采购进货!C836&lt;&gt;"",采购进货!C836=供应商对账单!$B$4,ISNUMBER(采购进货!B836),采购进货!B836&gt;=供应商对账单!$G$4,采购进货!B836&lt;=供应商对账单!$I$4),采购进货!B836+ROW()/100000,"")</f>
      </c>
      <c r="N836">
        <f>IF(AND(ISNUMBER(出库明细!G836),ISNUMBER(出库明细!E836),ISNUMBER(出库明细!F836)),IF(ABS(出库明细!G836-出库明细!E836*出库明细!F836)&gt;0.005,1,0),0)</f>
        <v>0</v>
      </c>
      <c r="O836">
        <f>IF(AND(ISNUMBER(存条明细!G836),ISNUMBER(存条明细!E836),ISNUMBER(存条明细!F836)),IF(ABS(存条明细!G836-存条明细!E836*存条明细!F836)&gt;0.005,1,0),0)</f>
        <v>0</v>
      </c>
    </row>
    <row r="837">
      <c r="A837">
        <f>IF(OR(存条明细!C837="",存条明细!D837=""),"",IF(COUNTIFS(存条明细!$C$4:C837,存条明细!C837,存条明细!$D$4:D837,存条明细!D837)&gt;1,"",IFERROR(MATCH(存条明细!C837,总览汇总!$B$5:$B$304,0),900)*10000000+IFERROR(MATCH(存条明细!D837,基础资料!$E$5:$E$104,0),900)*10000+ROW()))</f>
      </c>
      <c r="F837">
        <f>IF(AND(出库明细!C837&lt;&gt;"",出库明细!C837=客户对账单!$B$4,ISNUMBER(出库明细!B837),出库明细!B837&gt;=客户对账单!$G$4,出库明细!B837&lt;=客户对账单!$I$4),出库明细!B837+ROW()/100000,"")</f>
      </c>
      <c r="H837">
        <f>IF(AND(采购进货!C837&lt;&gt;"",采购进货!C837=供应商对账单!$B$4,ISNUMBER(采购进货!B837),采购进货!B837&gt;=供应商对账单!$G$4,采购进货!B837&lt;=供应商对账单!$I$4),采购进货!B837+ROW()/100000,"")</f>
      </c>
      <c r="N837">
        <f>IF(AND(ISNUMBER(出库明细!G837),ISNUMBER(出库明细!E837),ISNUMBER(出库明细!F837)),IF(ABS(出库明细!G837-出库明细!E837*出库明细!F837)&gt;0.005,1,0),0)</f>
        <v>0</v>
      </c>
      <c r="O837">
        <f>IF(AND(ISNUMBER(存条明细!G837),ISNUMBER(存条明细!E837),ISNUMBER(存条明细!F837)),IF(ABS(存条明细!G837-存条明细!E837*存条明细!F837)&gt;0.005,1,0),0)</f>
        <v>0</v>
      </c>
    </row>
    <row r="838">
      <c r="A838">
        <f>IF(OR(存条明细!C838="",存条明细!D838=""),"",IF(COUNTIFS(存条明细!$C$4:C838,存条明细!C838,存条明细!$D$4:D838,存条明细!D838)&gt;1,"",IFERROR(MATCH(存条明细!C838,总览汇总!$B$5:$B$304,0),900)*10000000+IFERROR(MATCH(存条明细!D838,基础资料!$E$5:$E$104,0),900)*10000+ROW()))</f>
      </c>
      <c r="F838">
        <f>IF(AND(出库明细!C838&lt;&gt;"",出库明细!C838=客户对账单!$B$4,ISNUMBER(出库明细!B838),出库明细!B838&gt;=客户对账单!$G$4,出库明细!B838&lt;=客户对账单!$I$4),出库明细!B838+ROW()/100000,"")</f>
      </c>
      <c r="H838">
        <f>IF(AND(采购进货!C838&lt;&gt;"",采购进货!C838=供应商对账单!$B$4,ISNUMBER(采购进货!B838),采购进货!B838&gt;=供应商对账单!$G$4,采购进货!B838&lt;=供应商对账单!$I$4),采购进货!B838+ROW()/100000,"")</f>
      </c>
      <c r="N838">
        <f>IF(AND(ISNUMBER(出库明细!G838),ISNUMBER(出库明细!E838),ISNUMBER(出库明细!F838)),IF(ABS(出库明细!G838-出库明细!E838*出库明细!F838)&gt;0.005,1,0),0)</f>
        <v>0</v>
      </c>
      <c r="O838">
        <f>IF(AND(ISNUMBER(存条明细!G838),ISNUMBER(存条明细!E838),ISNUMBER(存条明细!F838)),IF(ABS(存条明细!G838-存条明细!E838*存条明细!F838)&gt;0.005,1,0),0)</f>
        <v>0</v>
      </c>
    </row>
    <row r="839">
      <c r="A839">
        <f>IF(OR(存条明细!C839="",存条明细!D839=""),"",IF(COUNTIFS(存条明细!$C$4:C839,存条明细!C839,存条明细!$D$4:D839,存条明细!D839)&gt;1,"",IFERROR(MATCH(存条明细!C839,总览汇总!$B$5:$B$304,0),900)*10000000+IFERROR(MATCH(存条明细!D839,基础资料!$E$5:$E$104,0),900)*10000+ROW()))</f>
      </c>
      <c r="F839">
        <f>IF(AND(出库明细!C839&lt;&gt;"",出库明细!C839=客户对账单!$B$4,ISNUMBER(出库明细!B839),出库明细!B839&gt;=客户对账单!$G$4,出库明细!B839&lt;=客户对账单!$I$4),出库明细!B839+ROW()/100000,"")</f>
      </c>
      <c r="H839">
        <f>IF(AND(采购进货!C839&lt;&gt;"",采购进货!C839=供应商对账单!$B$4,ISNUMBER(采购进货!B839),采购进货!B839&gt;=供应商对账单!$G$4,采购进货!B839&lt;=供应商对账单!$I$4),采购进货!B839+ROW()/100000,"")</f>
      </c>
      <c r="N839">
        <f>IF(AND(ISNUMBER(出库明细!G839),ISNUMBER(出库明细!E839),ISNUMBER(出库明细!F839)),IF(ABS(出库明细!G839-出库明细!E839*出库明细!F839)&gt;0.005,1,0),0)</f>
        <v>0</v>
      </c>
      <c r="O839">
        <f>IF(AND(ISNUMBER(存条明细!G839),ISNUMBER(存条明细!E839),ISNUMBER(存条明细!F839)),IF(ABS(存条明细!G839-存条明细!E839*存条明细!F839)&gt;0.005,1,0),0)</f>
        <v>0</v>
      </c>
    </row>
    <row r="840">
      <c r="A840">
        <f>IF(OR(存条明细!C840="",存条明细!D840=""),"",IF(COUNTIFS(存条明细!$C$4:C840,存条明细!C840,存条明细!$D$4:D840,存条明细!D840)&gt;1,"",IFERROR(MATCH(存条明细!C840,总览汇总!$B$5:$B$304,0),900)*10000000+IFERROR(MATCH(存条明细!D840,基础资料!$E$5:$E$104,0),900)*10000+ROW()))</f>
      </c>
      <c r="F840">
        <f>IF(AND(出库明细!C840&lt;&gt;"",出库明细!C840=客户对账单!$B$4,ISNUMBER(出库明细!B840),出库明细!B840&gt;=客户对账单!$G$4,出库明细!B840&lt;=客户对账单!$I$4),出库明细!B840+ROW()/100000,"")</f>
      </c>
      <c r="H840">
        <f>IF(AND(采购进货!C840&lt;&gt;"",采购进货!C840=供应商对账单!$B$4,ISNUMBER(采购进货!B840),采购进货!B840&gt;=供应商对账单!$G$4,采购进货!B840&lt;=供应商对账单!$I$4),采购进货!B840+ROW()/100000,"")</f>
      </c>
      <c r="N840">
        <f>IF(AND(ISNUMBER(出库明细!G840),ISNUMBER(出库明细!E840),ISNUMBER(出库明细!F840)),IF(ABS(出库明细!G840-出库明细!E840*出库明细!F840)&gt;0.005,1,0),0)</f>
        <v>0</v>
      </c>
      <c r="O840">
        <f>IF(AND(ISNUMBER(存条明细!G840),ISNUMBER(存条明细!E840),ISNUMBER(存条明细!F840)),IF(ABS(存条明细!G840-存条明细!E840*存条明细!F840)&gt;0.005,1,0),0)</f>
        <v>0</v>
      </c>
    </row>
    <row r="841">
      <c r="A841">
        <f>IF(OR(存条明细!C841="",存条明细!D841=""),"",IF(COUNTIFS(存条明细!$C$4:C841,存条明细!C841,存条明细!$D$4:D841,存条明细!D841)&gt;1,"",IFERROR(MATCH(存条明细!C841,总览汇总!$B$5:$B$304,0),900)*10000000+IFERROR(MATCH(存条明细!D841,基础资料!$E$5:$E$104,0),900)*10000+ROW()))</f>
      </c>
      <c r="F841">
        <f>IF(AND(出库明细!C841&lt;&gt;"",出库明细!C841=客户对账单!$B$4,ISNUMBER(出库明细!B841),出库明细!B841&gt;=客户对账单!$G$4,出库明细!B841&lt;=客户对账单!$I$4),出库明细!B841+ROW()/100000,"")</f>
      </c>
      <c r="H841">
        <f>IF(AND(采购进货!C841&lt;&gt;"",采购进货!C841=供应商对账单!$B$4,ISNUMBER(采购进货!B841),采购进货!B841&gt;=供应商对账单!$G$4,采购进货!B841&lt;=供应商对账单!$I$4),采购进货!B841+ROW()/100000,"")</f>
      </c>
      <c r="N841">
        <f>IF(AND(ISNUMBER(出库明细!G841),ISNUMBER(出库明细!E841),ISNUMBER(出库明细!F841)),IF(ABS(出库明细!G841-出库明细!E841*出库明细!F841)&gt;0.005,1,0),0)</f>
        <v>0</v>
      </c>
      <c r="O841">
        <f>IF(AND(ISNUMBER(存条明细!G841),ISNUMBER(存条明细!E841),ISNUMBER(存条明细!F841)),IF(ABS(存条明细!G841-存条明细!E841*存条明细!F841)&gt;0.005,1,0),0)</f>
        <v>0</v>
      </c>
    </row>
    <row r="842">
      <c r="A842">
        <f>IF(OR(存条明细!C842="",存条明细!D842=""),"",IF(COUNTIFS(存条明细!$C$4:C842,存条明细!C842,存条明细!$D$4:D842,存条明细!D842)&gt;1,"",IFERROR(MATCH(存条明细!C842,总览汇总!$B$5:$B$304,0),900)*10000000+IFERROR(MATCH(存条明细!D842,基础资料!$E$5:$E$104,0),900)*10000+ROW()))</f>
      </c>
      <c r="F842">
        <f>IF(AND(出库明细!C842&lt;&gt;"",出库明细!C842=客户对账单!$B$4,ISNUMBER(出库明细!B842),出库明细!B842&gt;=客户对账单!$G$4,出库明细!B842&lt;=客户对账单!$I$4),出库明细!B842+ROW()/100000,"")</f>
      </c>
      <c r="H842">
        <f>IF(AND(采购进货!C842&lt;&gt;"",采购进货!C842=供应商对账单!$B$4,ISNUMBER(采购进货!B842),采购进货!B842&gt;=供应商对账单!$G$4,采购进货!B842&lt;=供应商对账单!$I$4),采购进货!B842+ROW()/100000,"")</f>
      </c>
      <c r="N842">
        <f>IF(AND(ISNUMBER(出库明细!G842),ISNUMBER(出库明细!E842),ISNUMBER(出库明细!F842)),IF(ABS(出库明细!G842-出库明细!E842*出库明细!F842)&gt;0.005,1,0),0)</f>
        <v>0</v>
      </c>
      <c r="O842">
        <f>IF(AND(ISNUMBER(存条明细!G842),ISNUMBER(存条明细!E842),ISNUMBER(存条明细!F842)),IF(ABS(存条明细!G842-存条明细!E842*存条明细!F842)&gt;0.005,1,0),0)</f>
        <v>0</v>
      </c>
    </row>
    <row r="843">
      <c r="A843">
        <f>IF(OR(存条明细!C843="",存条明细!D843=""),"",IF(COUNTIFS(存条明细!$C$4:C843,存条明细!C843,存条明细!$D$4:D843,存条明细!D843)&gt;1,"",IFERROR(MATCH(存条明细!C843,总览汇总!$B$5:$B$304,0),900)*10000000+IFERROR(MATCH(存条明细!D843,基础资料!$E$5:$E$104,0),900)*10000+ROW()))</f>
      </c>
      <c r="F843">
        <f>IF(AND(出库明细!C843&lt;&gt;"",出库明细!C843=客户对账单!$B$4,ISNUMBER(出库明细!B843),出库明细!B843&gt;=客户对账单!$G$4,出库明细!B843&lt;=客户对账单!$I$4),出库明细!B843+ROW()/100000,"")</f>
      </c>
      <c r="H843">
        <f>IF(AND(采购进货!C843&lt;&gt;"",采购进货!C843=供应商对账单!$B$4,ISNUMBER(采购进货!B843),采购进货!B843&gt;=供应商对账单!$G$4,采购进货!B843&lt;=供应商对账单!$I$4),采购进货!B843+ROW()/100000,"")</f>
      </c>
      <c r="N843">
        <f>IF(AND(ISNUMBER(出库明细!G843),ISNUMBER(出库明细!E843),ISNUMBER(出库明细!F843)),IF(ABS(出库明细!G843-出库明细!E843*出库明细!F843)&gt;0.005,1,0),0)</f>
        <v>0</v>
      </c>
      <c r="O843">
        <f>IF(AND(ISNUMBER(存条明细!G843),ISNUMBER(存条明细!E843),ISNUMBER(存条明细!F843)),IF(ABS(存条明细!G843-存条明细!E843*存条明细!F843)&gt;0.005,1,0),0)</f>
        <v>0</v>
      </c>
    </row>
    <row r="844">
      <c r="A844">
        <f>IF(OR(存条明细!C844="",存条明细!D844=""),"",IF(COUNTIFS(存条明细!$C$4:C844,存条明细!C844,存条明细!$D$4:D844,存条明细!D844)&gt;1,"",IFERROR(MATCH(存条明细!C844,总览汇总!$B$5:$B$304,0),900)*10000000+IFERROR(MATCH(存条明细!D844,基础资料!$E$5:$E$104,0),900)*10000+ROW()))</f>
      </c>
      <c r="F844">
        <f>IF(AND(出库明细!C844&lt;&gt;"",出库明细!C844=客户对账单!$B$4,ISNUMBER(出库明细!B844),出库明细!B844&gt;=客户对账单!$G$4,出库明细!B844&lt;=客户对账单!$I$4),出库明细!B844+ROW()/100000,"")</f>
      </c>
      <c r="H844">
        <f>IF(AND(采购进货!C844&lt;&gt;"",采购进货!C844=供应商对账单!$B$4,ISNUMBER(采购进货!B844),采购进货!B844&gt;=供应商对账单!$G$4,采购进货!B844&lt;=供应商对账单!$I$4),采购进货!B844+ROW()/100000,"")</f>
      </c>
      <c r="N844">
        <f>IF(AND(ISNUMBER(出库明细!G844),ISNUMBER(出库明细!E844),ISNUMBER(出库明细!F844)),IF(ABS(出库明细!G844-出库明细!E844*出库明细!F844)&gt;0.005,1,0),0)</f>
        <v>0</v>
      </c>
      <c r="O844">
        <f>IF(AND(ISNUMBER(存条明细!G844),ISNUMBER(存条明细!E844),ISNUMBER(存条明细!F844)),IF(ABS(存条明细!G844-存条明细!E844*存条明细!F844)&gt;0.005,1,0),0)</f>
        <v>0</v>
      </c>
    </row>
    <row r="845">
      <c r="A845">
        <f>IF(OR(存条明细!C845="",存条明细!D845=""),"",IF(COUNTIFS(存条明细!$C$4:C845,存条明细!C845,存条明细!$D$4:D845,存条明细!D845)&gt;1,"",IFERROR(MATCH(存条明细!C845,总览汇总!$B$5:$B$304,0),900)*10000000+IFERROR(MATCH(存条明细!D845,基础资料!$E$5:$E$104,0),900)*10000+ROW()))</f>
      </c>
      <c r="F845">
        <f>IF(AND(出库明细!C845&lt;&gt;"",出库明细!C845=客户对账单!$B$4,ISNUMBER(出库明细!B845),出库明细!B845&gt;=客户对账单!$G$4,出库明细!B845&lt;=客户对账单!$I$4),出库明细!B845+ROW()/100000,"")</f>
      </c>
      <c r="H845">
        <f>IF(AND(采购进货!C845&lt;&gt;"",采购进货!C845=供应商对账单!$B$4,ISNUMBER(采购进货!B845),采购进货!B845&gt;=供应商对账单!$G$4,采购进货!B845&lt;=供应商对账单!$I$4),采购进货!B845+ROW()/100000,"")</f>
      </c>
      <c r="N845">
        <f>IF(AND(ISNUMBER(出库明细!G845),ISNUMBER(出库明细!E845),ISNUMBER(出库明细!F845)),IF(ABS(出库明细!G845-出库明细!E845*出库明细!F845)&gt;0.005,1,0),0)</f>
        <v>0</v>
      </c>
      <c r="O845">
        <f>IF(AND(ISNUMBER(存条明细!G845),ISNUMBER(存条明细!E845),ISNUMBER(存条明细!F845)),IF(ABS(存条明细!G845-存条明细!E845*存条明细!F845)&gt;0.005,1,0),0)</f>
        <v>0</v>
      </c>
    </row>
    <row r="846">
      <c r="A846">
        <f>IF(OR(存条明细!C846="",存条明细!D846=""),"",IF(COUNTIFS(存条明细!$C$4:C846,存条明细!C846,存条明细!$D$4:D846,存条明细!D846)&gt;1,"",IFERROR(MATCH(存条明细!C846,总览汇总!$B$5:$B$304,0),900)*10000000+IFERROR(MATCH(存条明细!D846,基础资料!$E$5:$E$104,0),900)*10000+ROW()))</f>
      </c>
      <c r="F846">
        <f>IF(AND(出库明细!C846&lt;&gt;"",出库明细!C846=客户对账单!$B$4,ISNUMBER(出库明细!B846),出库明细!B846&gt;=客户对账单!$G$4,出库明细!B846&lt;=客户对账单!$I$4),出库明细!B846+ROW()/100000,"")</f>
      </c>
      <c r="H846">
        <f>IF(AND(采购进货!C846&lt;&gt;"",采购进货!C846=供应商对账单!$B$4,ISNUMBER(采购进货!B846),采购进货!B846&gt;=供应商对账单!$G$4,采购进货!B846&lt;=供应商对账单!$I$4),采购进货!B846+ROW()/100000,"")</f>
      </c>
      <c r="N846">
        <f>IF(AND(ISNUMBER(出库明细!G846),ISNUMBER(出库明细!E846),ISNUMBER(出库明细!F846)),IF(ABS(出库明细!G846-出库明细!E846*出库明细!F846)&gt;0.005,1,0),0)</f>
        <v>0</v>
      </c>
      <c r="O846">
        <f>IF(AND(ISNUMBER(存条明细!G846),ISNUMBER(存条明细!E846),ISNUMBER(存条明细!F846)),IF(ABS(存条明细!G846-存条明细!E846*存条明细!F846)&gt;0.005,1,0),0)</f>
        <v>0</v>
      </c>
    </row>
    <row r="847">
      <c r="A847">
        <f>IF(OR(存条明细!C847="",存条明细!D847=""),"",IF(COUNTIFS(存条明细!$C$4:C847,存条明细!C847,存条明细!$D$4:D847,存条明细!D847)&gt;1,"",IFERROR(MATCH(存条明细!C847,总览汇总!$B$5:$B$304,0),900)*10000000+IFERROR(MATCH(存条明细!D847,基础资料!$E$5:$E$104,0),900)*10000+ROW()))</f>
      </c>
      <c r="F847">
        <f>IF(AND(出库明细!C847&lt;&gt;"",出库明细!C847=客户对账单!$B$4,ISNUMBER(出库明细!B847),出库明细!B847&gt;=客户对账单!$G$4,出库明细!B847&lt;=客户对账单!$I$4),出库明细!B847+ROW()/100000,"")</f>
      </c>
      <c r="H847">
        <f>IF(AND(采购进货!C847&lt;&gt;"",采购进货!C847=供应商对账单!$B$4,ISNUMBER(采购进货!B847),采购进货!B847&gt;=供应商对账单!$G$4,采购进货!B847&lt;=供应商对账单!$I$4),采购进货!B847+ROW()/100000,"")</f>
      </c>
      <c r="N847">
        <f>IF(AND(ISNUMBER(出库明细!G847),ISNUMBER(出库明细!E847),ISNUMBER(出库明细!F847)),IF(ABS(出库明细!G847-出库明细!E847*出库明细!F847)&gt;0.005,1,0),0)</f>
        <v>0</v>
      </c>
      <c r="O847">
        <f>IF(AND(ISNUMBER(存条明细!G847),ISNUMBER(存条明细!E847),ISNUMBER(存条明细!F847)),IF(ABS(存条明细!G847-存条明细!E847*存条明细!F847)&gt;0.005,1,0),0)</f>
        <v>0</v>
      </c>
    </row>
    <row r="848">
      <c r="A848">
        <f>IF(OR(存条明细!C848="",存条明细!D848=""),"",IF(COUNTIFS(存条明细!$C$4:C848,存条明细!C848,存条明细!$D$4:D848,存条明细!D848)&gt;1,"",IFERROR(MATCH(存条明细!C848,总览汇总!$B$5:$B$304,0),900)*10000000+IFERROR(MATCH(存条明细!D848,基础资料!$E$5:$E$104,0),900)*10000+ROW()))</f>
      </c>
      <c r="F848">
        <f>IF(AND(出库明细!C848&lt;&gt;"",出库明细!C848=客户对账单!$B$4,ISNUMBER(出库明细!B848),出库明细!B848&gt;=客户对账单!$G$4,出库明细!B848&lt;=客户对账单!$I$4),出库明细!B848+ROW()/100000,"")</f>
      </c>
      <c r="H848">
        <f>IF(AND(采购进货!C848&lt;&gt;"",采购进货!C848=供应商对账单!$B$4,ISNUMBER(采购进货!B848),采购进货!B848&gt;=供应商对账单!$G$4,采购进货!B848&lt;=供应商对账单!$I$4),采购进货!B848+ROW()/100000,"")</f>
      </c>
      <c r="N848">
        <f>IF(AND(ISNUMBER(出库明细!G848),ISNUMBER(出库明细!E848),ISNUMBER(出库明细!F848)),IF(ABS(出库明细!G848-出库明细!E848*出库明细!F848)&gt;0.005,1,0),0)</f>
        <v>0</v>
      </c>
      <c r="O848">
        <f>IF(AND(ISNUMBER(存条明细!G848),ISNUMBER(存条明细!E848),ISNUMBER(存条明细!F848)),IF(ABS(存条明细!G848-存条明细!E848*存条明细!F848)&gt;0.005,1,0),0)</f>
        <v>0</v>
      </c>
    </row>
    <row r="849">
      <c r="A849">
        <f>IF(OR(存条明细!C849="",存条明细!D849=""),"",IF(COUNTIFS(存条明细!$C$4:C849,存条明细!C849,存条明细!$D$4:D849,存条明细!D849)&gt;1,"",IFERROR(MATCH(存条明细!C849,总览汇总!$B$5:$B$304,0),900)*10000000+IFERROR(MATCH(存条明细!D849,基础资料!$E$5:$E$104,0),900)*10000+ROW()))</f>
      </c>
      <c r="F849">
        <f>IF(AND(出库明细!C849&lt;&gt;"",出库明细!C849=客户对账单!$B$4,ISNUMBER(出库明细!B849),出库明细!B849&gt;=客户对账单!$G$4,出库明细!B849&lt;=客户对账单!$I$4),出库明细!B849+ROW()/100000,"")</f>
      </c>
      <c r="H849">
        <f>IF(AND(采购进货!C849&lt;&gt;"",采购进货!C849=供应商对账单!$B$4,ISNUMBER(采购进货!B849),采购进货!B849&gt;=供应商对账单!$G$4,采购进货!B849&lt;=供应商对账单!$I$4),采购进货!B849+ROW()/100000,"")</f>
      </c>
      <c r="N849">
        <f>IF(AND(ISNUMBER(出库明细!G849),ISNUMBER(出库明细!E849),ISNUMBER(出库明细!F849)),IF(ABS(出库明细!G849-出库明细!E849*出库明细!F849)&gt;0.005,1,0),0)</f>
        <v>0</v>
      </c>
      <c r="O849">
        <f>IF(AND(ISNUMBER(存条明细!G849),ISNUMBER(存条明细!E849),ISNUMBER(存条明细!F849)),IF(ABS(存条明细!G849-存条明细!E849*存条明细!F849)&gt;0.005,1,0),0)</f>
        <v>0</v>
      </c>
    </row>
    <row r="850">
      <c r="A850">
        <f>IF(OR(存条明细!C850="",存条明细!D850=""),"",IF(COUNTIFS(存条明细!$C$4:C850,存条明细!C850,存条明细!$D$4:D850,存条明细!D850)&gt;1,"",IFERROR(MATCH(存条明细!C850,总览汇总!$B$5:$B$304,0),900)*10000000+IFERROR(MATCH(存条明细!D850,基础资料!$E$5:$E$104,0),900)*10000+ROW()))</f>
      </c>
      <c r="F850">
        <f>IF(AND(出库明细!C850&lt;&gt;"",出库明细!C850=客户对账单!$B$4,ISNUMBER(出库明细!B850),出库明细!B850&gt;=客户对账单!$G$4,出库明细!B850&lt;=客户对账单!$I$4),出库明细!B850+ROW()/100000,"")</f>
      </c>
      <c r="H850">
        <f>IF(AND(采购进货!C850&lt;&gt;"",采购进货!C850=供应商对账单!$B$4,ISNUMBER(采购进货!B850),采购进货!B850&gt;=供应商对账单!$G$4,采购进货!B850&lt;=供应商对账单!$I$4),采购进货!B850+ROW()/100000,"")</f>
      </c>
      <c r="N850">
        <f>IF(AND(ISNUMBER(出库明细!G850),ISNUMBER(出库明细!E850),ISNUMBER(出库明细!F850)),IF(ABS(出库明细!G850-出库明细!E850*出库明细!F850)&gt;0.005,1,0),0)</f>
        <v>0</v>
      </c>
      <c r="O850">
        <f>IF(AND(ISNUMBER(存条明细!G850),ISNUMBER(存条明细!E850),ISNUMBER(存条明细!F850)),IF(ABS(存条明细!G850-存条明细!E850*存条明细!F850)&gt;0.005,1,0),0)</f>
        <v>0</v>
      </c>
    </row>
    <row r="851">
      <c r="A851">
        <f>IF(OR(存条明细!C851="",存条明细!D851=""),"",IF(COUNTIFS(存条明细!$C$4:C851,存条明细!C851,存条明细!$D$4:D851,存条明细!D851)&gt;1,"",IFERROR(MATCH(存条明细!C851,总览汇总!$B$5:$B$304,0),900)*10000000+IFERROR(MATCH(存条明细!D851,基础资料!$E$5:$E$104,0),900)*10000+ROW()))</f>
      </c>
      <c r="F851">
        <f>IF(AND(出库明细!C851&lt;&gt;"",出库明细!C851=客户对账单!$B$4,ISNUMBER(出库明细!B851),出库明细!B851&gt;=客户对账单!$G$4,出库明细!B851&lt;=客户对账单!$I$4),出库明细!B851+ROW()/100000,"")</f>
      </c>
      <c r="H851">
        <f>IF(AND(采购进货!C851&lt;&gt;"",采购进货!C851=供应商对账单!$B$4,ISNUMBER(采购进货!B851),采购进货!B851&gt;=供应商对账单!$G$4,采购进货!B851&lt;=供应商对账单!$I$4),采购进货!B851+ROW()/100000,"")</f>
      </c>
      <c r="N851">
        <f>IF(AND(ISNUMBER(出库明细!G851),ISNUMBER(出库明细!E851),ISNUMBER(出库明细!F851)),IF(ABS(出库明细!G851-出库明细!E851*出库明细!F851)&gt;0.005,1,0),0)</f>
        <v>0</v>
      </c>
      <c r="O851">
        <f>IF(AND(ISNUMBER(存条明细!G851),ISNUMBER(存条明细!E851),ISNUMBER(存条明细!F851)),IF(ABS(存条明细!G851-存条明细!E851*存条明细!F851)&gt;0.005,1,0),0)</f>
        <v>0</v>
      </c>
    </row>
    <row r="852">
      <c r="A852">
        <f>IF(OR(存条明细!C852="",存条明细!D852=""),"",IF(COUNTIFS(存条明细!$C$4:C852,存条明细!C852,存条明细!$D$4:D852,存条明细!D852)&gt;1,"",IFERROR(MATCH(存条明细!C852,总览汇总!$B$5:$B$304,0),900)*10000000+IFERROR(MATCH(存条明细!D852,基础资料!$E$5:$E$104,0),900)*10000+ROW()))</f>
      </c>
      <c r="F852">
        <f>IF(AND(出库明细!C852&lt;&gt;"",出库明细!C852=客户对账单!$B$4,ISNUMBER(出库明细!B852),出库明细!B852&gt;=客户对账单!$G$4,出库明细!B852&lt;=客户对账单!$I$4),出库明细!B852+ROW()/100000,"")</f>
      </c>
      <c r="H852">
        <f>IF(AND(采购进货!C852&lt;&gt;"",采购进货!C852=供应商对账单!$B$4,ISNUMBER(采购进货!B852),采购进货!B852&gt;=供应商对账单!$G$4,采购进货!B852&lt;=供应商对账单!$I$4),采购进货!B852+ROW()/100000,"")</f>
      </c>
      <c r="N852">
        <f>IF(AND(ISNUMBER(出库明细!G852),ISNUMBER(出库明细!E852),ISNUMBER(出库明细!F852)),IF(ABS(出库明细!G852-出库明细!E852*出库明细!F852)&gt;0.005,1,0),0)</f>
        <v>0</v>
      </c>
      <c r="O852">
        <f>IF(AND(ISNUMBER(存条明细!G852),ISNUMBER(存条明细!E852),ISNUMBER(存条明细!F852)),IF(ABS(存条明细!G852-存条明细!E852*存条明细!F852)&gt;0.005,1,0),0)</f>
        <v>0</v>
      </c>
    </row>
    <row r="853">
      <c r="A853">
        <f>IF(OR(存条明细!C853="",存条明细!D853=""),"",IF(COUNTIFS(存条明细!$C$4:C853,存条明细!C853,存条明细!$D$4:D853,存条明细!D853)&gt;1,"",IFERROR(MATCH(存条明细!C853,总览汇总!$B$5:$B$304,0),900)*10000000+IFERROR(MATCH(存条明细!D853,基础资料!$E$5:$E$104,0),900)*10000+ROW()))</f>
      </c>
      <c r="F853">
        <f>IF(AND(出库明细!C853&lt;&gt;"",出库明细!C853=客户对账单!$B$4,ISNUMBER(出库明细!B853),出库明细!B853&gt;=客户对账单!$G$4,出库明细!B853&lt;=客户对账单!$I$4),出库明细!B853+ROW()/100000,"")</f>
      </c>
      <c r="H853">
        <f>IF(AND(采购进货!C853&lt;&gt;"",采购进货!C853=供应商对账单!$B$4,ISNUMBER(采购进货!B853),采购进货!B853&gt;=供应商对账单!$G$4,采购进货!B853&lt;=供应商对账单!$I$4),采购进货!B853+ROW()/100000,"")</f>
      </c>
      <c r="N853">
        <f>IF(AND(ISNUMBER(出库明细!G853),ISNUMBER(出库明细!E853),ISNUMBER(出库明细!F853)),IF(ABS(出库明细!G853-出库明细!E853*出库明细!F853)&gt;0.005,1,0),0)</f>
        <v>0</v>
      </c>
      <c r="O853">
        <f>IF(AND(ISNUMBER(存条明细!G853),ISNUMBER(存条明细!E853),ISNUMBER(存条明细!F853)),IF(ABS(存条明细!G853-存条明细!E853*存条明细!F853)&gt;0.005,1,0),0)</f>
        <v>0</v>
      </c>
    </row>
    <row r="854">
      <c r="A854">
        <f>IF(OR(存条明细!C854="",存条明细!D854=""),"",IF(COUNTIFS(存条明细!$C$4:C854,存条明细!C854,存条明细!$D$4:D854,存条明细!D854)&gt;1,"",IFERROR(MATCH(存条明细!C854,总览汇总!$B$5:$B$304,0),900)*10000000+IFERROR(MATCH(存条明细!D854,基础资料!$E$5:$E$104,0),900)*10000+ROW()))</f>
      </c>
      <c r="F854">
        <f>IF(AND(出库明细!C854&lt;&gt;"",出库明细!C854=客户对账单!$B$4,ISNUMBER(出库明细!B854),出库明细!B854&gt;=客户对账单!$G$4,出库明细!B854&lt;=客户对账单!$I$4),出库明细!B854+ROW()/100000,"")</f>
      </c>
      <c r="H854">
        <f>IF(AND(采购进货!C854&lt;&gt;"",采购进货!C854=供应商对账单!$B$4,ISNUMBER(采购进货!B854),采购进货!B854&gt;=供应商对账单!$G$4,采购进货!B854&lt;=供应商对账单!$I$4),采购进货!B854+ROW()/100000,"")</f>
      </c>
      <c r="N854">
        <f>IF(AND(ISNUMBER(出库明细!G854),ISNUMBER(出库明细!E854),ISNUMBER(出库明细!F854)),IF(ABS(出库明细!G854-出库明细!E854*出库明细!F854)&gt;0.005,1,0),0)</f>
        <v>0</v>
      </c>
      <c r="O854">
        <f>IF(AND(ISNUMBER(存条明细!G854),ISNUMBER(存条明细!E854),ISNUMBER(存条明细!F854)),IF(ABS(存条明细!G854-存条明细!E854*存条明细!F854)&gt;0.005,1,0),0)</f>
        <v>0</v>
      </c>
    </row>
    <row r="855">
      <c r="A855">
        <f>IF(OR(存条明细!C855="",存条明细!D855=""),"",IF(COUNTIFS(存条明细!$C$4:C855,存条明细!C855,存条明细!$D$4:D855,存条明细!D855)&gt;1,"",IFERROR(MATCH(存条明细!C855,总览汇总!$B$5:$B$304,0),900)*10000000+IFERROR(MATCH(存条明细!D855,基础资料!$E$5:$E$104,0),900)*10000+ROW()))</f>
      </c>
      <c r="F855">
        <f>IF(AND(出库明细!C855&lt;&gt;"",出库明细!C855=客户对账单!$B$4,ISNUMBER(出库明细!B855),出库明细!B855&gt;=客户对账单!$G$4,出库明细!B855&lt;=客户对账单!$I$4),出库明细!B855+ROW()/100000,"")</f>
      </c>
      <c r="H855">
        <f>IF(AND(采购进货!C855&lt;&gt;"",采购进货!C855=供应商对账单!$B$4,ISNUMBER(采购进货!B855),采购进货!B855&gt;=供应商对账单!$G$4,采购进货!B855&lt;=供应商对账单!$I$4),采购进货!B855+ROW()/100000,"")</f>
      </c>
      <c r="N855">
        <f>IF(AND(ISNUMBER(出库明细!G855),ISNUMBER(出库明细!E855),ISNUMBER(出库明细!F855)),IF(ABS(出库明细!G855-出库明细!E855*出库明细!F855)&gt;0.005,1,0),0)</f>
        <v>0</v>
      </c>
      <c r="O855">
        <f>IF(AND(ISNUMBER(存条明细!G855),ISNUMBER(存条明细!E855),ISNUMBER(存条明细!F855)),IF(ABS(存条明细!G855-存条明细!E855*存条明细!F855)&gt;0.005,1,0),0)</f>
        <v>0</v>
      </c>
    </row>
    <row r="856">
      <c r="A856">
        <f>IF(OR(存条明细!C856="",存条明细!D856=""),"",IF(COUNTIFS(存条明细!$C$4:C856,存条明细!C856,存条明细!$D$4:D856,存条明细!D856)&gt;1,"",IFERROR(MATCH(存条明细!C856,总览汇总!$B$5:$B$304,0),900)*10000000+IFERROR(MATCH(存条明细!D856,基础资料!$E$5:$E$104,0),900)*10000+ROW()))</f>
      </c>
      <c r="F856">
        <f>IF(AND(出库明细!C856&lt;&gt;"",出库明细!C856=客户对账单!$B$4,ISNUMBER(出库明细!B856),出库明细!B856&gt;=客户对账单!$G$4,出库明细!B856&lt;=客户对账单!$I$4),出库明细!B856+ROW()/100000,"")</f>
      </c>
      <c r="H856">
        <f>IF(AND(采购进货!C856&lt;&gt;"",采购进货!C856=供应商对账单!$B$4,ISNUMBER(采购进货!B856),采购进货!B856&gt;=供应商对账单!$G$4,采购进货!B856&lt;=供应商对账单!$I$4),采购进货!B856+ROW()/100000,"")</f>
      </c>
      <c r="N856">
        <f>IF(AND(ISNUMBER(出库明细!G856),ISNUMBER(出库明细!E856),ISNUMBER(出库明细!F856)),IF(ABS(出库明细!G856-出库明细!E856*出库明细!F856)&gt;0.005,1,0),0)</f>
        <v>0</v>
      </c>
      <c r="O856">
        <f>IF(AND(ISNUMBER(存条明细!G856),ISNUMBER(存条明细!E856),ISNUMBER(存条明细!F856)),IF(ABS(存条明细!G856-存条明细!E856*存条明细!F856)&gt;0.005,1,0),0)</f>
        <v>0</v>
      </c>
    </row>
    <row r="857">
      <c r="A857">
        <f>IF(OR(存条明细!C857="",存条明细!D857=""),"",IF(COUNTIFS(存条明细!$C$4:C857,存条明细!C857,存条明细!$D$4:D857,存条明细!D857)&gt;1,"",IFERROR(MATCH(存条明细!C857,总览汇总!$B$5:$B$304,0),900)*10000000+IFERROR(MATCH(存条明细!D857,基础资料!$E$5:$E$104,0),900)*10000+ROW()))</f>
      </c>
      <c r="F857">
        <f>IF(AND(出库明细!C857&lt;&gt;"",出库明细!C857=客户对账单!$B$4,ISNUMBER(出库明细!B857),出库明细!B857&gt;=客户对账单!$G$4,出库明细!B857&lt;=客户对账单!$I$4),出库明细!B857+ROW()/100000,"")</f>
      </c>
      <c r="H857">
        <f>IF(AND(采购进货!C857&lt;&gt;"",采购进货!C857=供应商对账单!$B$4,ISNUMBER(采购进货!B857),采购进货!B857&gt;=供应商对账单!$G$4,采购进货!B857&lt;=供应商对账单!$I$4),采购进货!B857+ROW()/100000,"")</f>
      </c>
      <c r="N857">
        <f>IF(AND(ISNUMBER(出库明细!G857),ISNUMBER(出库明细!E857),ISNUMBER(出库明细!F857)),IF(ABS(出库明细!G857-出库明细!E857*出库明细!F857)&gt;0.005,1,0),0)</f>
        <v>0</v>
      </c>
      <c r="O857">
        <f>IF(AND(ISNUMBER(存条明细!G857),ISNUMBER(存条明细!E857),ISNUMBER(存条明细!F857)),IF(ABS(存条明细!G857-存条明细!E857*存条明细!F857)&gt;0.005,1,0),0)</f>
        <v>0</v>
      </c>
    </row>
    <row r="858">
      <c r="A858">
        <f>IF(OR(存条明细!C858="",存条明细!D858=""),"",IF(COUNTIFS(存条明细!$C$4:C858,存条明细!C858,存条明细!$D$4:D858,存条明细!D858)&gt;1,"",IFERROR(MATCH(存条明细!C858,总览汇总!$B$5:$B$304,0),900)*10000000+IFERROR(MATCH(存条明细!D858,基础资料!$E$5:$E$104,0),900)*10000+ROW()))</f>
      </c>
      <c r="F858">
        <f>IF(AND(出库明细!C858&lt;&gt;"",出库明细!C858=客户对账单!$B$4,ISNUMBER(出库明细!B858),出库明细!B858&gt;=客户对账单!$G$4,出库明细!B858&lt;=客户对账单!$I$4),出库明细!B858+ROW()/100000,"")</f>
      </c>
      <c r="H858">
        <f>IF(AND(采购进货!C858&lt;&gt;"",采购进货!C858=供应商对账单!$B$4,ISNUMBER(采购进货!B858),采购进货!B858&gt;=供应商对账单!$G$4,采购进货!B858&lt;=供应商对账单!$I$4),采购进货!B858+ROW()/100000,"")</f>
      </c>
      <c r="N858">
        <f>IF(AND(ISNUMBER(出库明细!G858),ISNUMBER(出库明细!E858),ISNUMBER(出库明细!F858)),IF(ABS(出库明细!G858-出库明细!E858*出库明细!F858)&gt;0.005,1,0),0)</f>
        <v>0</v>
      </c>
      <c r="O858">
        <f>IF(AND(ISNUMBER(存条明细!G858),ISNUMBER(存条明细!E858),ISNUMBER(存条明细!F858)),IF(ABS(存条明细!G858-存条明细!E858*存条明细!F858)&gt;0.005,1,0),0)</f>
        <v>0</v>
      </c>
    </row>
    <row r="859">
      <c r="A859">
        <f>IF(OR(存条明细!C859="",存条明细!D859=""),"",IF(COUNTIFS(存条明细!$C$4:C859,存条明细!C859,存条明细!$D$4:D859,存条明细!D859)&gt;1,"",IFERROR(MATCH(存条明细!C859,总览汇总!$B$5:$B$304,0),900)*10000000+IFERROR(MATCH(存条明细!D859,基础资料!$E$5:$E$104,0),900)*10000+ROW()))</f>
      </c>
      <c r="F859">
        <f>IF(AND(出库明细!C859&lt;&gt;"",出库明细!C859=客户对账单!$B$4,ISNUMBER(出库明细!B859),出库明细!B859&gt;=客户对账单!$G$4,出库明细!B859&lt;=客户对账单!$I$4),出库明细!B859+ROW()/100000,"")</f>
      </c>
      <c r="H859">
        <f>IF(AND(采购进货!C859&lt;&gt;"",采购进货!C859=供应商对账单!$B$4,ISNUMBER(采购进货!B859),采购进货!B859&gt;=供应商对账单!$G$4,采购进货!B859&lt;=供应商对账单!$I$4),采购进货!B859+ROW()/100000,"")</f>
      </c>
      <c r="N859">
        <f>IF(AND(ISNUMBER(出库明细!G859),ISNUMBER(出库明细!E859),ISNUMBER(出库明细!F859)),IF(ABS(出库明细!G859-出库明细!E859*出库明细!F859)&gt;0.005,1,0),0)</f>
        <v>0</v>
      </c>
      <c r="O859">
        <f>IF(AND(ISNUMBER(存条明细!G859),ISNUMBER(存条明细!E859),ISNUMBER(存条明细!F859)),IF(ABS(存条明细!G859-存条明细!E859*存条明细!F859)&gt;0.005,1,0),0)</f>
        <v>0</v>
      </c>
    </row>
    <row r="860">
      <c r="A860">
        <f>IF(OR(存条明细!C860="",存条明细!D860=""),"",IF(COUNTIFS(存条明细!$C$4:C860,存条明细!C860,存条明细!$D$4:D860,存条明细!D860)&gt;1,"",IFERROR(MATCH(存条明细!C860,总览汇总!$B$5:$B$304,0),900)*10000000+IFERROR(MATCH(存条明细!D860,基础资料!$E$5:$E$104,0),900)*10000+ROW()))</f>
      </c>
      <c r="F860">
        <f>IF(AND(出库明细!C860&lt;&gt;"",出库明细!C860=客户对账单!$B$4,ISNUMBER(出库明细!B860),出库明细!B860&gt;=客户对账单!$G$4,出库明细!B860&lt;=客户对账单!$I$4),出库明细!B860+ROW()/100000,"")</f>
      </c>
      <c r="H860">
        <f>IF(AND(采购进货!C860&lt;&gt;"",采购进货!C860=供应商对账单!$B$4,ISNUMBER(采购进货!B860),采购进货!B860&gt;=供应商对账单!$G$4,采购进货!B860&lt;=供应商对账单!$I$4),采购进货!B860+ROW()/100000,"")</f>
      </c>
      <c r="N860">
        <f>IF(AND(ISNUMBER(出库明细!G860),ISNUMBER(出库明细!E860),ISNUMBER(出库明细!F860)),IF(ABS(出库明细!G860-出库明细!E860*出库明细!F860)&gt;0.005,1,0),0)</f>
        <v>0</v>
      </c>
      <c r="O860">
        <f>IF(AND(ISNUMBER(存条明细!G860),ISNUMBER(存条明细!E860),ISNUMBER(存条明细!F860)),IF(ABS(存条明细!G860-存条明细!E860*存条明细!F860)&gt;0.005,1,0),0)</f>
        <v>0</v>
      </c>
    </row>
    <row r="861">
      <c r="A861">
        <f>IF(OR(存条明细!C861="",存条明细!D861=""),"",IF(COUNTIFS(存条明细!$C$4:C861,存条明细!C861,存条明细!$D$4:D861,存条明细!D861)&gt;1,"",IFERROR(MATCH(存条明细!C861,总览汇总!$B$5:$B$304,0),900)*10000000+IFERROR(MATCH(存条明细!D861,基础资料!$E$5:$E$104,0),900)*10000+ROW()))</f>
      </c>
      <c r="F861">
        <f>IF(AND(出库明细!C861&lt;&gt;"",出库明细!C861=客户对账单!$B$4,ISNUMBER(出库明细!B861),出库明细!B861&gt;=客户对账单!$G$4,出库明细!B861&lt;=客户对账单!$I$4),出库明细!B861+ROW()/100000,"")</f>
      </c>
      <c r="H861">
        <f>IF(AND(采购进货!C861&lt;&gt;"",采购进货!C861=供应商对账单!$B$4,ISNUMBER(采购进货!B861),采购进货!B861&gt;=供应商对账单!$G$4,采购进货!B861&lt;=供应商对账单!$I$4),采购进货!B861+ROW()/100000,"")</f>
      </c>
      <c r="N861">
        <f>IF(AND(ISNUMBER(出库明细!G861),ISNUMBER(出库明细!E861),ISNUMBER(出库明细!F861)),IF(ABS(出库明细!G861-出库明细!E861*出库明细!F861)&gt;0.005,1,0),0)</f>
        <v>0</v>
      </c>
      <c r="O861">
        <f>IF(AND(ISNUMBER(存条明细!G861),ISNUMBER(存条明细!E861),ISNUMBER(存条明细!F861)),IF(ABS(存条明细!G861-存条明细!E861*存条明细!F861)&gt;0.005,1,0),0)</f>
        <v>0</v>
      </c>
    </row>
    <row r="862">
      <c r="A862">
        <f>IF(OR(存条明细!C862="",存条明细!D862=""),"",IF(COUNTIFS(存条明细!$C$4:C862,存条明细!C862,存条明细!$D$4:D862,存条明细!D862)&gt;1,"",IFERROR(MATCH(存条明细!C862,总览汇总!$B$5:$B$304,0),900)*10000000+IFERROR(MATCH(存条明细!D862,基础资料!$E$5:$E$104,0),900)*10000+ROW()))</f>
      </c>
      <c r="F862">
        <f>IF(AND(出库明细!C862&lt;&gt;"",出库明细!C862=客户对账单!$B$4,ISNUMBER(出库明细!B862),出库明细!B862&gt;=客户对账单!$G$4,出库明细!B862&lt;=客户对账单!$I$4),出库明细!B862+ROW()/100000,"")</f>
      </c>
      <c r="H862">
        <f>IF(AND(采购进货!C862&lt;&gt;"",采购进货!C862=供应商对账单!$B$4,ISNUMBER(采购进货!B862),采购进货!B862&gt;=供应商对账单!$G$4,采购进货!B862&lt;=供应商对账单!$I$4),采购进货!B862+ROW()/100000,"")</f>
      </c>
      <c r="N862">
        <f>IF(AND(ISNUMBER(出库明细!G862),ISNUMBER(出库明细!E862),ISNUMBER(出库明细!F862)),IF(ABS(出库明细!G862-出库明细!E862*出库明细!F862)&gt;0.005,1,0),0)</f>
        <v>0</v>
      </c>
      <c r="O862">
        <f>IF(AND(ISNUMBER(存条明细!G862),ISNUMBER(存条明细!E862),ISNUMBER(存条明细!F862)),IF(ABS(存条明细!G862-存条明细!E862*存条明细!F862)&gt;0.005,1,0),0)</f>
        <v>0</v>
      </c>
    </row>
    <row r="863">
      <c r="A863">
        <f>IF(OR(存条明细!C863="",存条明细!D863=""),"",IF(COUNTIFS(存条明细!$C$4:C863,存条明细!C863,存条明细!$D$4:D863,存条明细!D863)&gt;1,"",IFERROR(MATCH(存条明细!C863,总览汇总!$B$5:$B$304,0),900)*10000000+IFERROR(MATCH(存条明细!D863,基础资料!$E$5:$E$104,0),900)*10000+ROW()))</f>
      </c>
      <c r="F863">
        <f>IF(AND(出库明细!C863&lt;&gt;"",出库明细!C863=客户对账单!$B$4,ISNUMBER(出库明细!B863),出库明细!B863&gt;=客户对账单!$G$4,出库明细!B863&lt;=客户对账单!$I$4),出库明细!B863+ROW()/100000,"")</f>
      </c>
      <c r="H863">
        <f>IF(AND(采购进货!C863&lt;&gt;"",采购进货!C863=供应商对账单!$B$4,ISNUMBER(采购进货!B863),采购进货!B863&gt;=供应商对账单!$G$4,采购进货!B863&lt;=供应商对账单!$I$4),采购进货!B863+ROW()/100000,"")</f>
      </c>
      <c r="N863">
        <f>IF(AND(ISNUMBER(出库明细!G863),ISNUMBER(出库明细!E863),ISNUMBER(出库明细!F863)),IF(ABS(出库明细!G863-出库明细!E863*出库明细!F863)&gt;0.005,1,0),0)</f>
        <v>0</v>
      </c>
      <c r="O863">
        <f>IF(AND(ISNUMBER(存条明细!G863),ISNUMBER(存条明细!E863),ISNUMBER(存条明细!F863)),IF(ABS(存条明细!G863-存条明细!E863*存条明细!F863)&gt;0.005,1,0),0)</f>
        <v>0</v>
      </c>
    </row>
    <row r="864">
      <c r="A864">
        <f>IF(OR(存条明细!C864="",存条明细!D864=""),"",IF(COUNTIFS(存条明细!$C$4:C864,存条明细!C864,存条明细!$D$4:D864,存条明细!D864)&gt;1,"",IFERROR(MATCH(存条明细!C864,总览汇总!$B$5:$B$304,0),900)*10000000+IFERROR(MATCH(存条明细!D864,基础资料!$E$5:$E$104,0),900)*10000+ROW()))</f>
      </c>
      <c r="F864">
        <f>IF(AND(出库明细!C864&lt;&gt;"",出库明细!C864=客户对账单!$B$4,ISNUMBER(出库明细!B864),出库明细!B864&gt;=客户对账单!$G$4,出库明细!B864&lt;=客户对账单!$I$4),出库明细!B864+ROW()/100000,"")</f>
      </c>
      <c r="H864">
        <f>IF(AND(采购进货!C864&lt;&gt;"",采购进货!C864=供应商对账单!$B$4,ISNUMBER(采购进货!B864),采购进货!B864&gt;=供应商对账单!$G$4,采购进货!B864&lt;=供应商对账单!$I$4),采购进货!B864+ROW()/100000,"")</f>
      </c>
      <c r="N864">
        <f>IF(AND(ISNUMBER(出库明细!G864),ISNUMBER(出库明细!E864),ISNUMBER(出库明细!F864)),IF(ABS(出库明细!G864-出库明细!E864*出库明细!F864)&gt;0.005,1,0),0)</f>
        <v>0</v>
      </c>
      <c r="O864">
        <f>IF(AND(ISNUMBER(存条明细!G864),ISNUMBER(存条明细!E864),ISNUMBER(存条明细!F864)),IF(ABS(存条明细!G864-存条明细!E864*存条明细!F864)&gt;0.005,1,0),0)</f>
        <v>0</v>
      </c>
    </row>
    <row r="865">
      <c r="A865">
        <f>IF(OR(存条明细!C865="",存条明细!D865=""),"",IF(COUNTIFS(存条明细!$C$4:C865,存条明细!C865,存条明细!$D$4:D865,存条明细!D865)&gt;1,"",IFERROR(MATCH(存条明细!C865,总览汇总!$B$5:$B$304,0),900)*10000000+IFERROR(MATCH(存条明细!D865,基础资料!$E$5:$E$104,0),900)*10000+ROW()))</f>
      </c>
      <c r="F865">
        <f>IF(AND(出库明细!C865&lt;&gt;"",出库明细!C865=客户对账单!$B$4,ISNUMBER(出库明细!B865),出库明细!B865&gt;=客户对账单!$G$4,出库明细!B865&lt;=客户对账单!$I$4),出库明细!B865+ROW()/100000,"")</f>
      </c>
      <c r="H865">
        <f>IF(AND(采购进货!C865&lt;&gt;"",采购进货!C865=供应商对账单!$B$4,ISNUMBER(采购进货!B865),采购进货!B865&gt;=供应商对账单!$G$4,采购进货!B865&lt;=供应商对账单!$I$4),采购进货!B865+ROW()/100000,"")</f>
      </c>
      <c r="N865">
        <f>IF(AND(ISNUMBER(出库明细!G865),ISNUMBER(出库明细!E865),ISNUMBER(出库明细!F865)),IF(ABS(出库明细!G865-出库明细!E865*出库明细!F865)&gt;0.005,1,0),0)</f>
        <v>0</v>
      </c>
      <c r="O865">
        <f>IF(AND(ISNUMBER(存条明细!G865),ISNUMBER(存条明细!E865),ISNUMBER(存条明细!F865)),IF(ABS(存条明细!G865-存条明细!E865*存条明细!F865)&gt;0.005,1,0),0)</f>
        <v>0</v>
      </c>
    </row>
    <row r="866">
      <c r="A866">
        <f>IF(OR(存条明细!C866="",存条明细!D866=""),"",IF(COUNTIFS(存条明细!$C$4:C866,存条明细!C866,存条明细!$D$4:D866,存条明细!D866)&gt;1,"",IFERROR(MATCH(存条明细!C866,总览汇总!$B$5:$B$304,0),900)*10000000+IFERROR(MATCH(存条明细!D866,基础资料!$E$5:$E$104,0),900)*10000+ROW()))</f>
      </c>
      <c r="F866">
        <f>IF(AND(出库明细!C866&lt;&gt;"",出库明细!C866=客户对账单!$B$4,ISNUMBER(出库明细!B866),出库明细!B866&gt;=客户对账单!$G$4,出库明细!B866&lt;=客户对账单!$I$4),出库明细!B866+ROW()/100000,"")</f>
      </c>
      <c r="H866">
        <f>IF(AND(采购进货!C866&lt;&gt;"",采购进货!C866=供应商对账单!$B$4,ISNUMBER(采购进货!B866),采购进货!B866&gt;=供应商对账单!$G$4,采购进货!B866&lt;=供应商对账单!$I$4),采购进货!B866+ROW()/100000,"")</f>
      </c>
      <c r="N866">
        <f>IF(AND(ISNUMBER(出库明细!G866),ISNUMBER(出库明细!E866),ISNUMBER(出库明细!F866)),IF(ABS(出库明细!G866-出库明细!E866*出库明细!F866)&gt;0.005,1,0),0)</f>
        <v>0</v>
      </c>
      <c r="O866">
        <f>IF(AND(ISNUMBER(存条明细!G866),ISNUMBER(存条明细!E866),ISNUMBER(存条明细!F866)),IF(ABS(存条明细!G866-存条明细!E866*存条明细!F866)&gt;0.005,1,0),0)</f>
        <v>0</v>
      </c>
    </row>
    <row r="867">
      <c r="A867">
        <f>IF(OR(存条明细!C867="",存条明细!D867=""),"",IF(COUNTIFS(存条明细!$C$4:C867,存条明细!C867,存条明细!$D$4:D867,存条明细!D867)&gt;1,"",IFERROR(MATCH(存条明细!C867,总览汇总!$B$5:$B$304,0),900)*10000000+IFERROR(MATCH(存条明细!D867,基础资料!$E$5:$E$104,0),900)*10000+ROW()))</f>
      </c>
      <c r="F867">
        <f>IF(AND(出库明细!C867&lt;&gt;"",出库明细!C867=客户对账单!$B$4,ISNUMBER(出库明细!B867),出库明细!B867&gt;=客户对账单!$G$4,出库明细!B867&lt;=客户对账单!$I$4),出库明细!B867+ROW()/100000,"")</f>
      </c>
      <c r="H867">
        <f>IF(AND(采购进货!C867&lt;&gt;"",采购进货!C867=供应商对账单!$B$4,ISNUMBER(采购进货!B867),采购进货!B867&gt;=供应商对账单!$G$4,采购进货!B867&lt;=供应商对账单!$I$4),采购进货!B867+ROW()/100000,"")</f>
      </c>
      <c r="N867">
        <f>IF(AND(ISNUMBER(出库明细!G867),ISNUMBER(出库明细!E867),ISNUMBER(出库明细!F867)),IF(ABS(出库明细!G867-出库明细!E867*出库明细!F867)&gt;0.005,1,0),0)</f>
        <v>0</v>
      </c>
      <c r="O867">
        <f>IF(AND(ISNUMBER(存条明细!G867),ISNUMBER(存条明细!E867),ISNUMBER(存条明细!F867)),IF(ABS(存条明细!G867-存条明细!E867*存条明细!F867)&gt;0.005,1,0),0)</f>
        <v>0</v>
      </c>
    </row>
    <row r="868">
      <c r="A868">
        <f>IF(OR(存条明细!C868="",存条明细!D868=""),"",IF(COUNTIFS(存条明细!$C$4:C868,存条明细!C868,存条明细!$D$4:D868,存条明细!D868)&gt;1,"",IFERROR(MATCH(存条明细!C868,总览汇总!$B$5:$B$304,0),900)*10000000+IFERROR(MATCH(存条明细!D868,基础资料!$E$5:$E$104,0),900)*10000+ROW()))</f>
      </c>
      <c r="F868">
        <f>IF(AND(出库明细!C868&lt;&gt;"",出库明细!C868=客户对账单!$B$4,ISNUMBER(出库明细!B868),出库明细!B868&gt;=客户对账单!$G$4,出库明细!B868&lt;=客户对账单!$I$4),出库明细!B868+ROW()/100000,"")</f>
      </c>
      <c r="H868">
        <f>IF(AND(采购进货!C868&lt;&gt;"",采购进货!C868=供应商对账单!$B$4,ISNUMBER(采购进货!B868),采购进货!B868&gt;=供应商对账单!$G$4,采购进货!B868&lt;=供应商对账单!$I$4),采购进货!B868+ROW()/100000,"")</f>
      </c>
      <c r="N868">
        <f>IF(AND(ISNUMBER(出库明细!G868),ISNUMBER(出库明细!E868),ISNUMBER(出库明细!F868)),IF(ABS(出库明细!G868-出库明细!E868*出库明细!F868)&gt;0.005,1,0),0)</f>
        <v>0</v>
      </c>
      <c r="O868">
        <f>IF(AND(ISNUMBER(存条明细!G868),ISNUMBER(存条明细!E868),ISNUMBER(存条明细!F868)),IF(ABS(存条明细!G868-存条明细!E868*存条明细!F868)&gt;0.005,1,0),0)</f>
        <v>0</v>
      </c>
    </row>
    <row r="869">
      <c r="A869">
        <f>IF(OR(存条明细!C869="",存条明细!D869=""),"",IF(COUNTIFS(存条明细!$C$4:C869,存条明细!C869,存条明细!$D$4:D869,存条明细!D869)&gt;1,"",IFERROR(MATCH(存条明细!C869,总览汇总!$B$5:$B$304,0),900)*10000000+IFERROR(MATCH(存条明细!D869,基础资料!$E$5:$E$104,0),900)*10000+ROW()))</f>
      </c>
      <c r="F869">
        <f>IF(AND(出库明细!C869&lt;&gt;"",出库明细!C869=客户对账单!$B$4,ISNUMBER(出库明细!B869),出库明细!B869&gt;=客户对账单!$G$4,出库明细!B869&lt;=客户对账单!$I$4),出库明细!B869+ROW()/100000,"")</f>
      </c>
      <c r="H869">
        <f>IF(AND(采购进货!C869&lt;&gt;"",采购进货!C869=供应商对账单!$B$4,ISNUMBER(采购进货!B869),采购进货!B869&gt;=供应商对账单!$G$4,采购进货!B869&lt;=供应商对账单!$I$4),采购进货!B869+ROW()/100000,"")</f>
      </c>
      <c r="N869">
        <f>IF(AND(ISNUMBER(出库明细!G869),ISNUMBER(出库明细!E869),ISNUMBER(出库明细!F869)),IF(ABS(出库明细!G869-出库明细!E869*出库明细!F869)&gt;0.005,1,0),0)</f>
        <v>0</v>
      </c>
      <c r="O869">
        <f>IF(AND(ISNUMBER(存条明细!G869),ISNUMBER(存条明细!E869),ISNUMBER(存条明细!F869)),IF(ABS(存条明细!G869-存条明细!E869*存条明细!F869)&gt;0.005,1,0),0)</f>
        <v>0</v>
      </c>
    </row>
    <row r="870">
      <c r="A870">
        <f>IF(OR(存条明细!C870="",存条明细!D870=""),"",IF(COUNTIFS(存条明细!$C$4:C870,存条明细!C870,存条明细!$D$4:D870,存条明细!D870)&gt;1,"",IFERROR(MATCH(存条明细!C870,总览汇总!$B$5:$B$304,0),900)*10000000+IFERROR(MATCH(存条明细!D870,基础资料!$E$5:$E$104,0),900)*10000+ROW()))</f>
      </c>
      <c r="F870">
        <f>IF(AND(出库明细!C870&lt;&gt;"",出库明细!C870=客户对账单!$B$4,ISNUMBER(出库明细!B870),出库明细!B870&gt;=客户对账单!$G$4,出库明细!B870&lt;=客户对账单!$I$4),出库明细!B870+ROW()/100000,"")</f>
      </c>
      <c r="H870">
        <f>IF(AND(采购进货!C870&lt;&gt;"",采购进货!C870=供应商对账单!$B$4,ISNUMBER(采购进货!B870),采购进货!B870&gt;=供应商对账单!$G$4,采购进货!B870&lt;=供应商对账单!$I$4),采购进货!B870+ROW()/100000,"")</f>
      </c>
      <c r="N870">
        <f>IF(AND(ISNUMBER(出库明细!G870),ISNUMBER(出库明细!E870),ISNUMBER(出库明细!F870)),IF(ABS(出库明细!G870-出库明细!E870*出库明细!F870)&gt;0.005,1,0),0)</f>
        <v>0</v>
      </c>
      <c r="O870">
        <f>IF(AND(ISNUMBER(存条明细!G870),ISNUMBER(存条明细!E870),ISNUMBER(存条明细!F870)),IF(ABS(存条明细!G870-存条明细!E870*存条明细!F870)&gt;0.005,1,0),0)</f>
        <v>0</v>
      </c>
    </row>
    <row r="871">
      <c r="A871">
        <f>IF(OR(存条明细!C871="",存条明细!D871=""),"",IF(COUNTIFS(存条明细!$C$4:C871,存条明细!C871,存条明细!$D$4:D871,存条明细!D871)&gt;1,"",IFERROR(MATCH(存条明细!C871,总览汇总!$B$5:$B$304,0),900)*10000000+IFERROR(MATCH(存条明细!D871,基础资料!$E$5:$E$104,0),900)*10000+ROW()))</f>
      </c>
      <c r="F871">
        <f>IF(AND(出库明细!C871&lt;&gt;"",出库明细!C871=客户对账单!$B$4,ISNUMBER(出库明细!B871),出库明细!B871&gt;=客户对账单!$G$4,出库明细!B871&lt;=客户对账单!$I$4),出库明细!B871+ROW()/100000,"")</f>
      </c>
      <c r="H871">
        <f>IF(AND(采购进货!C871&lt;&gt;"",采购进货!C871=供应商对账单!$B$4,ISNUMBER(采购进货!B871),采购进货!B871&gt;=供应商对账单!$G$4,采购进货!B871&lt;=供应商对账单!$I$4),采购进货!B871+ROW()/100000,"")</f>
      </c>
      <c r="N871">
        <f>IF(AND(ISNUMBER(出库明细!G871),ISNUMBER(出库明细!E871),ISNUMBER(出库明细!F871)),IF(ABS(出库明细!G871-出库明细!E871*出库明细!F871)&gt;0.005,1,0),0)</f>
        <v>0</v>
      </c>
      <c r="O871">
        <f>IF(AND(ISNUMBER(存条明细!G871),ISNUMBER(存条明细!E871),ISNUMBER(存条明细!F871)),IF(ABS(存条明细!G871-存条明细!E871*存条明细!F871)&gt;0.005,1,0),0)</f>
        <v>0</v>
      </c>
    </row>
    <row r="872">
      <c r="A872">
        <f>IF(OR(存条明细!C872="",存条明细!D872=""),"",IF(COUNTIFS(存条明细!$C$4:C872,存条明细!C872,存条明细!$D$4:D872,存条明细!D872)&gt;1,"",IFERROR(MATCH(存条明细!C872,总览汇总!$B$5:$B$304,0),900)*10000000+IFERROR(MATCH(存条明细!D872,基础资料!$E$5:$E$104,0),900)*10000+ROW()))</f>
      </c>
      <c r="F872">
        <f>IF(AND(出库明细!C872&lt;&gt;"",出库明细!C872=客户对账单!$B$4,ISNUMBER(出库明细!B872),出库明细!B872&gt;=客户对账单!$G$4,出库明细!B872&lt;=客户对账单!$I$4),出库明细!B872+ROW()/100000,"")</f>
      </c>
      <c r="H872">
        <f>IF(AND(采购进货!C872&lt;&gt;"",采购进货!C872=供应商对账单!$B$4,ISNUMBER(采购进货!B872),采购进货!B872&gt;=供应商对账单!$G$4,采购进货!B872&lt;=供应商对账单!$I$4),采购进货!B872+ROW()/100000,"")</f>
      </c>
      <c r="N872">
        <f>IF(AND(ISNUMBER(出库明细!G872),ISNUMBER(出库明细!E872),ISNUMBER(出库明细!F872)),IF(ABS(出库明细!G872-出库明细!E872*出库明细!F872)&gt;0.005,1,0),0)</f>
        <v>0</v>
      </c>
      <c r="O872">
        <f>IF(AND(ISNUMBER(存条明细!G872),ISNUMBER(存条明细!E872),ISNUMBER(存条明细!F872)),IF(ABS(存条明细!G872-存条明细!E872*存条明细!F872)&gt;0.005,1,0),0)</f>
        <v>0</v>
      </c>
    </row>
    <row r="873">
      <c r="A873">
        <f>IF(OR(存条明细!C873="",存条明细!D873=""),"",IF(COUNTIFS(存条明细!$C$4:C873,存条明细!C873,存条明细!$D$4:D873,存条明细!D873)&gt;1,"",IFERROR(MATCH(存条明细!C873,总览汇总!$B$5:$B$304,0),900)*10000000+IFERROR(MATCH(存条明细!D873,基础资料!$E$5:$E$104,0),900)*10000+ROW()))</f>
      </c>
      <c r="F873">
        <f>IF(AND(出库明细!C873&lt;&gt;"",出库明细!C873=客户对账单!$B$4,ISNUMBER(出库明细!B873),出库明细!B873&gt;=客户对账单!$G$4,出库明细!B873&lt;=客户对账单!$I$4),出库明细!B873+ROW()/100000,"")</f>
      </c>
      <c r="H873">
        <f>IF(AND(采购进货!C873&lt;&gt;"",采购进货!C873=供应商对账单!$B$4,ISNUMBER(采购进货!B873),采购进货!B873&gt;=供应商对账单!$G$4,采购进货!B873&lt;=供应商对账单!$I$4),采购进货!B873+ROW()/100000,"")</f>
      </c>
      <c r="N873">
        <f>IF(AND(ISNUMBER(出库明细!G873),ISNUMBER(出库明细!E873),ISNUMBER(出库明细!F873)),IF(ABS(出库明细!G873-出库明细!E873*出库明细!F873)&gt;0.005,1,0),0)</f>
        <v>0</v>
      </c>
      <c r="O873">
        <f>IF(AND(ISNUMBER(存条明细!G873),ISNUMBER(存条明细!E873),ISNUMBER(存条明细!F873)),IF(ABS(存条明细!G873-存条明细!E873*存条明细!F873)&gt;0.005,1,0),0)</f>
        <v>0</v>
      </c>
    </row>
    <row r="874">
      <c r="A874">
        <f>IF(OR(存条明细!C874="",存条明细!D874=""),"",IF(COUNTIFS(存条明细!$C$4:C874,存条明细!C874,存条明细!$D$4:D874,存条明细!D874)&gt;1,"",IFERROR(MATCH(存条明细!C874,总览汇总!$B$5:$B$304,0),900)*10000000+IFERROR(MATCH(存条明细!D874,基础资料!$E$5:$E$104,0),900)*10000+ROW()))</f>
      </c>
      <c r="F874">
        <f>IF(AND(出库明细!C874&lt;&gt;"",出库明细!C874=客户对账单!$B$4,ISNUMBER(出库明细!B874),出库明细!B874&gt;=客户对账单!$G$4,出库明细!B874&lt;=客户对账单!$I$4),出库明细!B874+ROW()/100000,"")</f>
      </c>
      <c r="H874">
        <f>IF(AND(采购进货!C874&lt;&gt;"",采购进货!C874=供应商对账单!$B$4,ISNUMBER(采购进货!B874),采购进货!B874&gt;=供应商对账单!$G$4,采购进货!B874&lt;=供应商对账单!$I$4),采购进货!B874+ROW()/100000,"")</f>
      </c>
      <c r="N874">
        <f>IF(AND(ISNUMBER(出库明细!G874),ISNUMBER(出库明细!E874),ISNUMBER(出库明细!F874)),IF(ABS(出库明细!G874-出库明细!E874*出库明细!F874)&gt;0.005,1,0),0)</f>
        <v>0</v>
      </c>
      <c r="O874">
        <f>IF(AND(ISNUMBER(存条明细!G874),ISNUMBER(存条明细!E874),ISNUMBER(存条明细!F874)),IF(ABS(存条明细!G874-存条明细!E874*存条明细!F874)&gt;0.005,1,0),0)</f>
        <v>0</v>
      </c>
    </row>
    <row r="875">
      <c r="A875">
        <f>IF(OR(存条明细!C875="",存条明细!D875=""),"",IF(COUNTIFS(存条明细!$C$4:C875,存条明细!C875,存条明细!$D$4:D875,存条明细!D875)&gt;1,"",IFERROR(MATCH(存条明细!C875,总览汇总!$B$5:$B$304,0),900)*10000000+IFERROR(MATCH(存条明细!D875,基础资料!$E$5:$E$104,0),900)*10000+ROW()))</f>
      </c>
      <c r="F875">
        <f>IF(AND(出库明细!C875&lt;&gt;"",出库明细!C875=客户对账单!$B$4,ISNUMBER(出库明细!B875),出库明细!B875&gt;=客户对账单!$G$4,出库明细!B875&lt;=客户对账单!$I$4),出库明细!B875+ROW()/100000,"")</f>
      </c>
      <c r="H875">
        <f>IF(AND(采购进货!C875&lt;&gt;"",采购进货!C875=供应商对账单!$B$4,ISNUMBER(采购进货!B875),采购进货!B875&gt;=供应商对账单!$G$4,采购进货!B875&lt;=供应商对账单!$I$4),采购进货!B875+ROW()/100000,"")</f>
      </c>
      <c r="N875">
        <f>IF(AND(ISNUMBER(出库明细!G875),ISNUMBER(出库明细!E875),ISNUMBER(出库明细!F875)),IF(ABS(出库明细!G875-出库明细!E875*出库明细!F875)&gt;0.005,1,0),0)</f>
        <v>0</v>
      </c>
      <c r="O875">
        <f>IF(AND(ISNUMBER(存条明细!G875),ISNUMBER(存条明细!E875),ISNUMBER(存条明细!F875)),IF(ABS(存条明细!G875-存条明细!E875*存条明细!F875)&gt;0.005,1,0),0)</f>
        <v>0</v>
      </c>
    </row>
    <row r="876">
      <c r="A876">
        <f>IF(OR(存条明细!C876="",存条明细!D876=""),"",IF(COUNTIFS(存条明细!$C$4:C876,存条明细!C876,存条明细!$D$4:D876,存条明细!D876)&gt;1,"",IFERROR(MATCH(存条明细!C876,总览汇总!$B$5:$B$304,0),900)*10000000+IFERROR(MATCH(存条明细!D876,基础资料!$E$5:$E$104,0),900)*10000+ROW()))</f>
      </c>
      <c r="F876">
        <f>IF(AND(出库明细!C876&lt;&gt;"",出库明细!C876=客户对账单!$B$4,ISNUMBER(出库明细!B876),出库明细!B876&gt;=客户对账单!$G$4,出库明细!B876&lt;=客户对账单!$I$4),出库明细!B876+ROW()/100000,"")</f>
      </c>
      <c r="H876">
        <f>IF(AND(采购进货!C876&lt;&gt;"",采购进货!C876=供应商对账单!$B$4,ISNUMBER(采购进货!B876),采购进货!B876&gt;=供应商对账单!$G$4,采购进货!B876&lt;=供应商对账单!$I$4),采购进货!B876+ROW()/100000,"")</f>
      </c>
      <c r="N876">
        <f>IF(AND(ISNUMBER(出库明细!G876),ISNUMBER(出库明细!E876),ISNUMBER(出库明细!F876)),IF(ABS(出库明细!G876-出库明细!E876*出库明细!F876)&gt;0.005,1,0),0)</f>
        <v>0</v>
      </c>
      <c r="O876">
        <f>IF(AND(ISNUMBER(存条明细!G876),ISNUMBER(存条明细!E876),ISNUMBER(存条明细!F876)),IF(ABS(存条明细!G876-存条明细!E876*存条明细!F876)&gt;0.005,1,0),0)</f>
        <v>0</v>
      </c>
    </row>
    <row r="877">
      <c r="A877">
        <f>IF(OR(存条明细!C877="",存条明细!D877=""),"",IF(COUNTIFS(存条明细!$C$4:C877,存条明细!C877,存条明细!$D$4:D877,存条明细!D877)&gt;1,"",IFERROR(MATCH(存条明细!C877,总览汇总!$B$5:$B$304,0),900)*10000000+IFERROR(MATCH(存条明细!D877,基础资料!$E$5:$E$104,0),900)*10000+ROW()))</f>
      </c>
      <c r="F877">
        <f>IF(AND(出库明细!C877&lt;&gt;"",出库明细!C877=客户对账单!$B$4,ISNUMBER(出库明细!B877),出库明细!B877&gt;=客户对账单!$G$4,出库明细!B877&lt;=客户对账单!$I$4),出库明细!B877+ROW()/100000,"")</f>
      </c>
      <c r="H877">
        <f>IF(AND(采购进货!C877&lt;&gt;"",采购进货!C877=供应商对账单!$B$4,ISNUMBER(采购进货!B877),采购进货!B877&gt;=供应商对账单!$G$4,采购进货!B877&lt;=供应商对账单!$I$4),采购进货!B877+ROW()/100000,"")</f>
      </c>
      <c r="N877">
        <f>IF(AND(ISNUMBER(出库明细!G877),ISNUMBER(出库明细!E877),ISNUMBER(出库明细!F877)),IF(ABS(出库明细!G877-出库明细!E877*出库明细!F877)&gt;0.005,1,0),0)</f>
        <v>0</v>
      </c>
      <c r="O877">
        <f>IF(AND(ISNUMBER(存条明细!G877),ISNUMBER(存条明细!E877),ISNUMBER(存条明细!F877)),IF(ABS(存条明细!G877-存条明细!E877*存条明细!F877)&gt;0.005,1,0),0)</f>
        <v>0</v>
      </c>
    </row>
    <row r="878">
      <c r="A878">
        <f>IF(OR(存条明细!C878="",存条明细!D878=""),"",IF(COUNTIFS(存条明细!$C$4:C878,存条明细!C878,存条明细!$D$4:D878,存条明细!D878)&gt;1,"",IFERROR(MATCH(存条明细!C878,总览汇总!$B$5:$B$304,0),900)*10000000+IFERROR(MATCH(存条明细!D878,基础资料!$E$5:$E$104,0),900)*10000+ROW()))</f>
      </c>
      <c r="F878">
        <f>IF(AND(出库明细!C878&lt;&gt;"",出库明细!C878=客户对账单!$B$4,ISNUMBER(出库明细!B878),出库明细!B878&gt;=客户对账单!$G$4,出库明细!B878&lt;=客户对账单!$I$4),出库明细!B878+ROW()/100000,"")</f>
      </c>
      <c r="H878">
        <f>IF(AND(采购进货!C878&lt;&gt;"",采购进货!C878=供应商对账单!$B$4,ISNUMBER(采购进货!B878),采购进货!B878&gt;=供应商对账单!$G$4,采购进货!B878&lt;=供应商对账单!$I$4),采购进货!B878+ROW()/100000,"")</f>
      </c>
      <c r="N878">
        <f>IF(AND(ISNUMBER(出库明细!G878),ISNUMBER(出库明细!E878),ISNUMBER(出库明细!F878)),IF(ABS(出库明细!G878-出库明细!E878*出库明细!F878)&gt;0.005,1,0),0)</f>
        <v>0</v>
      </c>
      <c r="O878">
        <f>IF(AND(ISNUMBER(存条明细!G878),ISNUMBER(存条明细!E878),ISNUMBER(存条明细!F878)),IF(ABS(存条明细!G878-存条明细!E878*存条明细!F878)&gt;0.005,1,0),0)</f>
        <v>0</v>
      </c>
    </row>
    <row r="879">
      <c r="A879">
        <f>IF(OR(存条明细!C879="",存条明细!D879=""),"",IF(COUNTIFS(存条明细!$C$4:C879,存条明细!C879,存条明细!$D$4:D879,存条明细!D879)&gt;1,"",IFERROR(MATCH(存条明细!C879,总览汇总!$B$5:$B$304,0),900)*10000000+IFERROR(MATCH(存条明细!D879,基础资料!$E$5:$E$104,0),900)*10000+ROW()))</f>
      </c>
      <c r="F879">
        <f>IF(AND(出库明细!C879&lt;&gt;"",出库明细!C879=客户对账单!$B$4,ISNUMBER(出库明细!B879),出库明细!B879&gt;=客户对账单!$G$4,出库明细!B879&lt;=客户对账单!$I$4),出库明细!B879+ROW()/100000,"")</f>
      </c>
      <c r="H879">
        <f>IF(AND(采购进货!C879&lt;&gt;"",采购进货!C879=供应商对账单!$B$4,ISNUMBER(采购进货!B879),采购进货!B879&gt;=供应商对账单!$G$4,采购进货!B879&lt;=供应商对账单!$I$4),采购进货!B879+ROW()/100000,"")</f>
      </c>
      <c r="N879">
        <f>IF(AND(ISNUMBER(出库明细!G879),ISNUMBER(出库明细!E879),ISNUMBER(出库明细!F879)),IF(ABS(出库明细!G879-出库明细!E879*出库明细!F879)&gt;0.005,1,0),0)</f>
        <v>0</v>
      </c>
      <c r="O879">
        <f>IF(AND(ISNUMBER(存条明细!G879),ISNUMBER(存条明细!E879),ISNUMBER(存条明细!F879)),IF(ABS(存条明细!G879-存条明细!E879*存条明细!F879)&gt;0.005,1,0),0)</f>
        <v>0</v>
      </c>
    </row>
    <row r="880">
      <c r="A880">
        <f>IF(OR(存条明细!C880="",存条明细!D880=""),"",IF(COUNTIFS(存条明细!$C$4:C880,存条明细!C880,存条明细!$D$4:D880,存条明细!D880)&gt;1,"",IFERROR(MATCH(存条明细!C880,总览汇总!$B$5:$B$304,0),900)*10000000+IFERROR(MATCH(存条明细!D880,基础资料!$E$5:$E$104,0),900)*10000+ROW()))</f>
      </c>
      <c r="F880">
        <f>IF(AND(出库明细!C880&lt;&gt;"",出库明细!C880=客户对账单!$B$4,ISNUMBER(出库明细!B880),出库明细!B880&gt;=客户对账单!$G$4,出库明细!B880&lt;=客户对账单!$I$4),出库明细!B880+ROW()/100000,"")</f>
      </c>
      <c r="H880">
        <f>IF(AND(采购进货!C880&lt;&gt;"",采购进货!C880=供应商对账单!$B$4,ISNUMBER(采购进货!B880),采购进货!B880&gt;=供应商对账单!$G$4,采购进货!B880&lt;=供应商对账单!$I$4),采购进货!B880+ROW()/100000,"")</f>
      </c>
      <c r="N880">
        <f>IF(AND(ISNUMBER(出库明细!G880),ISNUMBER(出库明细!E880),ISNUMBER(出库明细!F880)),IF(ABS(出库明细!G880-出库明细!E880*出库明细!F880)&gt;0.005,1,0),0)</f>
        <v>0</v>
      </c>
      <c r="O880">
        <f>IF(AND(ISNUMBER(存条明细!G880),ISNUMBER(存条明细!E880),ISNUMBER(存条明细!F880)),IF(ABS(存条明细!G880-存条明细!E880*存条明细!F880)&gt;0.005,1,0),0)</f>
        <v>0</v>
      </c>
    </row>
    <row r="881">
      <c r="A881">
        <f>IF(OR(存条明细!C881="",存条明细!D881=""),"",IF(COUNTIFS(存条明细!$C$4:C881,存条明细!C881,存条明细!$D$4:D881,存条明细!D881)&gt;1,"",IFERROR(MATCH(存条明细!C881,总览汇总!$B$5:$B$304,0),900)*10000000+IFERROR(MATCH(存条明细!D881,基础资料!$E$5:$E$104,0),900)*10000+ROW()))</f>
      </c>
      <c r="F881">
        <f>IF(AND(出库明细!C881&lt;&gt;"",出库明细!C881=客户对账单!$B$4,ISNUMBER(出库明细!B881),出库明细!B881&gt;=客户对账单!$G$4,出库明细!B881&lt;=客户对账单!$I$4),出库明细!B881+ROW()/100000,"")</f>
      </c>
      <c r="H881">
        <f>IF(AND(采购进货!C881&lt;&gt;"",采购进货!C881=供应商对账单!$B$4,ISNUMBER(采购进货!B881),采购进货!B881&gt;=供应商对账单!$G$4,采购进货!B881&lt;=供应商对账单!$I$4),采购进货!B881+ROW()/100000,"")</f>
      </c>
      <c r="N881">
        <f>IF(AND(ISNUMBER(出库明细!G881),ISNUMBER(出库明细!E881),ISNUMBER(出库明细!F881)),IF(ABS(出库明细!G881-出库明细!E881*出库明细!F881)&gt;0.005,1,0),0)</f>
        <v>0</v>
      </c>
      <c r="O881">
        <f>IF(AND(ISNUMBER(存条明细!G881),ISNUMBER(存条明细!E881),ISNUMBER(存条明细!F881)),IF(ABS(存条明细!G881-存条明细!E881*存条明细!F881)&gt;0.005,1,0),0)</f>
        <v>0</v>
      </c>
    </row>
    <row r="882">
      <c r="A882">
        <f>IF(OR(存条明细!C882="",存条明细!D882=""),"",IF(COUNTIFS(存条明细!$C$4:C882,存条明细!C882,存条明细!$D$4:D882,存条明细!D882)&gt;1,"",IFERROR(MATCH(存条明细!C882,总览汇总!$B$5:$B$304,0),900)*10000000+IFERROR(MATCH(存条明细!D882,基础资料!$E$5:$E$104,0),900)*10000+ROW()))</f>
      </c>
      <c r="F882">
        <f>IF(AND(出库明细!C882&lt;&gt;"",出库明细!C882=客户对账单!$B$4,ISNUMBER(出库明细!B882),出库明细!B882&gt;=客户对账单!$G$4,出库明细!B882&lt;=客户对账单!$I$4),出库明细!B882+ROW()/100000,"")</f>
      </c>
      <c r="H882">
        <f>IF(AND(采购进货!C882&lt;&gt;"",采购进货!C882=供应商对账单!$B$4,ISNUMBER(采购进货!B882),采购进货!B882&gt;=供应商对账单!$G$4,采购进货!B882&lt;=供应商对账单!$I$4),采购进货!B882+ROW()/100000,"")</f>
      </c>
      <c r="N882">
        <f>IF(AND(ISNUMBER(出库明细!G882),ISNUMBER(出库明细!E882),ISNUMBER(出库明细!F882)),IF(ABS(出库明细!G882-出库明细!E882*出库明细!F882)&gt;0.005,1,0),0)</f>
        <v>0</v>
      </c>
      <c r="O882">
        <f>IF(AND(ISNUMBER(存条明细!G882),ISNUMBER(存条明细!E882),ISNUMBER(存条明细!F882)),IF(ABS(存条明细!G882-存条明细!E882*存条明细!F882)&gt;0.005,1,0),0)</f>
        <v>0</v>
      </c>
    </row>
    <row r="883">
      <c r="A883">
        <f>IF(OR(存条明细!C883="",存条明细!D883=""),"",IF(COUNTIFS(存条明细!$C$4:C883,存条明细!C883,存条明细!$D$4:D883,存条明细!D883)&gt;1,"",IFERROR(MATCH(存条明细!C883,总览汇总!$B$5:$B$304,0),900)*10000000+IFERROR(MATCH(存条明细!D883,基础资料!$E$5:$E$104,0),900)*10000+ROW()))</f>
      </c>
      <c r="F883">
        <f>IF(AND(出库明细!C883&lt;&gt;"",出库明细!C883=客户对账单!$B$4,ISNUMBER(出库明细!B883),出库明细!B883&gt;=客户对账单!$G$4,出库明细!B883&lt;=客户对账单!$I$4),出库明细!B883+ROW()/100000,"")</f>
      </c>
      <c r="H883">
        <f>IF(AND(采购进货!C883&lt;&gt;"",采购进货!C883=供应商对账单!$B$4,ISNUMBER(采购进货!B883),采购进货!B883&gt;=供应商对账单!$G$4,采购进货!B883&lt;=供应商对账单!$I$4),采购进货!B883+ROW()/100000,"")</f>
      </c>
      <c r="N883">
        <f>IF(AND(ISNUMBER(出库明细!G883),ISNUMBER(出库明细!E883),ISNUMBER(出库明细!F883)),IF(ABS(出库明细!G883-出库明细!E883*出库明细!F883)&gt;0.005,1,0),0)</f>
        <v>0</v>
      </c>
      <c r="O883">
        <f>IF(AND(ISNUMBER(存条明细!G883),ISNUMBER(存条明细!E883),ISNUMBER(存条明细!F883)),IF(ABS(存条明细!G883-存条明细!E883*存条明细!F883)&gt;0.005,1,0),0)</f>
        <v>0</v>
      </c>
    </row>
    <row r="884">
      <c r="A884">
        <f>IF(OR(存条明细!C884="",存条明细!D884=""),"",IF(COUNTIFS(存条明细!$C$4:C884,存条明细!C884,存条明细!$D$4:D884,存条明细!D884)&gt;1,"",IFERROR(MATCH(存条明细!C884,总览汇总!$B$5:$B$304,0),900)*10000000+IFERROR(MATCH(存条明细!D884,基础资料!$E$5:$E$104,0),900)*10000+ROW()))</f>
      </c>
      <c r="F884">
        <f>IF(AND(出库明细!C884&lt;&gt;"",出库明细!C884=客户对账单!$B$4,ISNUMBER(出库明细!B884),出库明细!B884&gt;=客户对账单!$G$4,出库明细!B884&lt;=客户对账单!$I$4),出库明细!B884+ROW()/100000,"")</f>
      </c>
      <c r="H884">
        <f>IF(AND(采购进货!C884&lt;&gt;"",采购进货!C884=供应商对账单!$B$4,ISNUMBER(采购进货!B884),采购进货!B884&gt;=供应商对账单!$G$4,采购进货!B884&lt;=供应商对账单!$I$4),采购进货!B884+ROW()/100000,"")</f>
      </c>
      <c r="N884">
        <f>IF(AND(ISNUMBER(出库明细!G884),ISNUMBER(出库明细!E884),ISNUMBER(出库明细!F884)),IF(ABS(出库明细!G884-出库明细!E884*出库明细!F884)&gt;0.005,1,0),0)</f>
        <v>0</v>
      </c>
      <c r="O884">
        <f>IF(AND(ISNUMBER(存条明细!G884),ISNUMBER(存条明细!E884),ISNUMBER(存条明细!F884)),IF(ABS(存条明细!G884-存条明细!E884*存条明细!F884)&gt;0.005,1,0),0)</f>
        <v>0</v>
      </c>
    </row>
    <row r="885">
      <c r="A885">
        <f>IF(OR(存条明细!C885="",存条明细!D885=""),"",IF(COUNTIFS(存条明细!$C$4:C885,存条明细!C885,存条明细!$D$4:D885,存条明细!D885)&gt;1,"",IFERROR(MATCH(存条明细!C885,总览汇总!$B$5:$B$304,0),900)*10000000+IFERROR(MATCH(存条明细!D885,基础资料!$E$5:$E$104,0),900)*10000+ROW()))</f>
      </c>
      <c r="F885">
        <f>IF(AND(出库明细!C885&lt;&gt;"",出库明细!C885=客户对账单!$B$4,ISNUMBER(出库明细!B885),出库明细!B885&gt;=客户对账单!$G$4,出库明细!B885&lt;=客户对账单!$I$4),出库明细!B885+ROW()/100000,"")</f>
      </c>
      <c r="H885">
        <f>IF(AND(采购进货!C885&lt;&gt;"",采购进货!C885=供应商对账单!$B$4,ISNUMBER(采购进货!B885),采购进货!B885&gt;=供应商对账单!$G$4,采购进货!B885&lt;=供应商对账单!$I$4),采购进货!B885+ROW()/100000,"")</f>
      </c>
      <c r="N885">
        <f>IF(AND(ISNUMBER(出库明细!G885),ISNUMBER(出库明细!E885),ISNUMBER(出库明细!F885)),IF(ABS(出库明细!G885-出库明细!E885*出库明细!F885)&gt;0.005,1,0),0)</f>
        <v>0</v>
      </c>
      <c r="O885">
        <f>IF(AND(ISNUMBER(存条明细!G885),ISNUMBER(存条明细!E885),ISNUMBER(存条明细!F885)),IF(ABS(存条明细!G885-存条明细!E885*存条明细!F885)&gt;0.005,1,0),0)</f>
        <v>0</v>
      </c>
    </row>
    <row r="886">
      <c r="A886">
        <f>IF(OR(存条明细!C886="",存条明细!D886=""),"",IF(COUNTIFS(存条明细!$C$4:C886,存条明细!C886,存条明细!$D$4:D886,存条明细!D886)&gt;1,"",IFERROR(MATCH(存条明细!C886,总览汇总!$B$5:$B$304,0),900)*10000000+IFERROR(MATCH(存条明细!D886,基础资料!$E$5:$E$104,0),900)*10000+ROW()))</f>
      </c>
      <c r="F886">
        <f>IF(AND(出库明细!C886&lt;&gt;"",出库明细!C886=客户对账单!$B$4,ISNUMBER(出库明细!B886),出库明细!B886&gt;=客户对账单!$G$4,出库明细!B886&lt;=客户对账单!$I$4),出库明细!B886+ROW()/100000,"")</f>
      </c>
      <c r="H886">
        <f>IF(AND(采购进货!C886&lt;&gt;"",采购进货!C886=供应商对账单!$B$4,ISNUMBER(采购进货!B886),采购进货!B886&gt;=供应商对账单!$G$4,采购进货!B886&lt;=供应商对账单!$I$4),采购进货!B886+ROW()/100000,"")</f>
      </c>
      <c r="N886">
        <f>IF(AND(ISNUMBER(出库明细!G886),ISNUMBER(出库明细!E886),ISNUMBER(出库明细!F886)),IF(ABS(出库明细!G886-出库明细!E886*出库明细!F886)&gt;0.005,1,0),0)</f>
        <v>0</v>
      </c>
      <c r="O886">
        <f>IF(AND(ISNUMBER(存条明细!G886),ISNUMBER(存条明细!E886),ISNUMBER(存条明细!F886)),IF(ABS(存条明细!G886-存条明细!E886*存条明细!F886)&gt;0.005,1,0),0)</f>
        <v>0</v>
      </c>
    </row>
    <row r="887">
      <c r="A887">
        <f>IF(OR(存条明细!C887="",存条明细!D887=""),"",IF(COUNTIFS(存条明细!$C$4:C887,存条明细!C887,存条明细!$D$4:D887,存条明细!D887)&gt;1,"",IFERROR(MATCH(存条明细!C887,总览汇总!$B$5:$B$304,0),900)*10000000+IFERROR(MATCH(存条明细!D887,基础资料!$E$5:$E$104,0),900)*10000+ROW()))</f>
      </c>
      <c r="F887">
        <f>IF(AND(出库明细!C887&lt;&gt;"",出库明细!C887=客户对账单!$B$4,ISNUMBER(出库明细!B887),出库明细!B887&gt;=客户对账单!$G$4,出库明细!B887&lt;=客户对账单!$I$4),出库明细!B887+ROW()/100000,"")</f>
      </c>
      <c r="H887">
        <f>IF(AND(采购进货!C887&lt;&gt;"",采购进货!C887=供应商对账单!$B$4,ISNUMBER(采购进货!B887),采购进货!B887&gt;=供应商对账单!$G$4,采购进货!B887&lt;=供应商对账单!$I$4),采购进货!B887+ROW()/100000,"")</f>
      </c>
      <c r="N887">
        <f>IF(AND(ISNUMBER(出库明细!G887),ISNUMBER(出库明细!E887),ISNUMBER(出库明细!F887)),IF(ABS(出库明细!G887-出库明细!E887*出库明细!F887)&gt;0.005,1,0),0)</f>
        <v>0</v>
      </c>
      <c r="O887">
        <f>IF(AND(ISNUMBER(存条明细!G887),ISNUMBER(存条明细!E887),ISNUMBER(存条明细!F887)),IF(ABS(存条明细!G887-存条明细!E887*存条明细!F887)&gt;0.005,1,0),0)</f>
        <v>0</v>
      </c>
    </row>
    <row r="888">
      <c r="A888">
        <f>IF(OR(存条明细!C888="",存条明细!D888=""),"",IF(COUNTIFS(存条明细!$C$4:C888,存条明细!C888,存条明细!$D$4:D888,存条明细!D888)&gt;1,"",IFERROR(MATCH(存条明细!C888,总览汇总!$B$5:$B$304,0),900)*10000000+IFERROR(MATCH(存条明细!D888,基础资料!$E$5:$E$104,0),900)*10000+ROW()))</f>
      </c>
      <c r="F888">
        <f>IF(AND(出库明细!C888&lt;&gt;"",出库明细!C888=客户对账单!$B$4,ISNUMBER(出库明细!B888),出库明细!B888&gt;=客户对账单!$G$4,出库明细!B888&lt;=客户对账单!$I$4),出库明细!B888+ROW()/100000,"")</f>
      </c>
      <c r="H888">
        <f>IF(AND(采购进货!C888&lt;&gt;"",采购进货!C888=供应商对账单!$B$4,ISNUMBER(采购进货!B888),采购进货!B888&gt;=供应商对账单!$G$4,采购进货!B888&lt;=供应商对账单!$I$4),采购进货!B888+ROW()/100000,"")</f>
      </c>
      <c r="N888">
        <f>IF(AND(ISNUMBER(出库明细!G888),ISNUMBER(出库明细!E888),ISNUMBER(出库明细!F888)),IF(ABS(出库明细!G888-出库明细!E888*出库明细!F888)&gt;0.005,1,0),0)</f>
        <v>0</v>
      </c>
      <c r="O888">
        <f>IF(AND(ISNUMBER(存条明细!G888),ISNUMBER(存条明细!E888),ISNUMBER(存条明细!F888)),IF(ABS(存条明细!G888-存条明细!E888*存条明细!F888)&gt;0.005,1,0),0)</f>
        <v>0</v>
      </c>
    </row>
    <row r="889">
      <c r="A889">
        <f>IF(OR(存条明细!C889="",存条明细!D889=""),"",IF(COUNTIFS(存条明细!$C$4:C889,存条明细!C889,存条明细!$D$4:D889,存条明细!D889)&gt;1,"",IFERROR(MATCH(存条明细!C889,总览汇总!$B$5:$B$304,0),900)*10000000+IFERROR(MATCH(存条明细!D889,基础资料!$E$5:$E$104,0),900)*10000+ROW()))</f>
      </c>
      <c r="F889">
        <f>IF(AND(出库明细!C889&lt;&gt;"",出库明细!C889=客户对账单!$B$4,ISNUMBER(出库明细!B889),出库明细!B889&gt;=客户对账单!$G$4,出库明细!B889&lt;=客户对账单!$I$4),出库明细!B889+ROW()/100000,"")</f>
      </c>
      <c r="H889">
        <f>IF(AND(采购进货!C889&lt;&gt;"",采购进货!C889=供应商对账单!$B$4,ISNUMBER(采购进货!B889),采购进货!B889&gt;=供应商对账单!$G$4,采购进货!B889&lt;=供应商对账单!$I$4),采购进货!B889+ROW()/100000,"")</f>
      </c>
      <c r="N889">
        <f>IF(AND(ISNUMBER(出库明细!G889),ISNUMBER(出库明细!E889),ISNUMBER(出库明细!F889)),IF(ABS(出库明细!G889-出库明细!E889*出库明细!F889)&gt;0.005,1,0),0)</f>
        <v>0</v>
      </c>
      <c r="O889">
        <f>IF(AND(ISNUMBER(存条明细!G889),ISNUMBER(存条明细!E889),ISNUMBER(存条明细!F889)),IF(ABS(存条明细!G889-存条明细!E889*存条明细!F889)&gt;0.005,1,0),0)</f>
        <v>0</v>
      </c>
    </row>
    <row r="890">
      <c r="A890">
        <f>IF(OR(存条明细!C890="",存条明细!D890=""),"",IF(COUNTIFS(存条明细!$C$4:C890,存条明细!C890,存条明细!$D$4:D890,存条明细!D890)&gt;1,"",IFERROR(MATCH(存条明细!C890,总览汇总!$B$5:$B$304,0),900)*10000000+IFERROR(MATCH(存条明细!D890,基础资料!$E$5:$E$104,0),900)*10000+ROW()))</f>
      </c>
      <c r="F890">
        <f>IF(AND(出库明细!C890&lt;&gt;"",出库明细!C890=客户对账单!$B$4,ISNUMBER(出库明细!B890),出库明细!B890&gt;=客户对账单!$G$4,出库明细!B890&lt;=客户对账单!$I$4),出库明细!B890+ROW()/100000,"")</f>
      </c>
      <c r="H890">
        <f>IF(AND(采购进货!C890&lt;&gt;"",采购进货!C890=供应商对账单!$B$4,ISNUMBER(采购进货!B890),采购进货!B890&gt;=供应商对账单!$G$4,采购进货!B890&lt;=供应商对账单!$I$4),采购进货!B890+ROW()/100000,"")</f>
      </c>
      <c r="N890">
        <f>IF(AND(ISNUMBER(出库明细!G890),ISNUMBER(出库明细!E890),ISNUMBER(出库明细!F890)),IF(ABS(出库明细!G890-出库明细!E890*出库明细!F890)&gt;0.005,1,0),0)</f>
        <v>0</v>
      </c>
      <c r="O890">
        <f>IF(AND(ISNUMBER(存条明细!G890),ISNUMBER(存条明细!E890),ISNUMBER(存条明细!F890)),IF(ABS(存条明细!G890-存条明细!E890*存条明细!F890)&gt;0.005,1,0),0)</f>
        <v>0</v>
      </c>
    </row>
    <row r="891">
      <c r="A891">
        <f>IF(OR(存条明细!C891="",存条明细!D891=""),"",IF(COUNTIFS(存条明细!$C$4:C891,存条明细!C891,存条明细!$D$4:D891,存条明细!D891)&gt;1,"",IFERROR(MATCH(存条明细!C891,总览汇总!$B$5:$B$304,0),900)*10000000+IFERROR(MATCH(存条明细!D891,基础资料!$E$5:$E$104,0),900)*10000+ROW()))</f>
      </c>
      <c r="F891">
        <f>IF(AND(出库明细!C891&lt;&gt;"",出库明细!C891=客户对账单!$B$4,ISNUMBER(出库明细!B891),出库明细!B891&gt;=客户对账单!$G$4,出库明细!B891&lt;=客户对账单!$I$4),出库明细!B891+ROW()/100000,"")</f>
      </c>
      <c r="H891">
        <f>IF(AND(采购进货!C891&lt;&gt;"",采购进货!C891=供应商对账单!$B$4,ISNUMBER(采购进货!B891),采购进货!B891&gt;=供应商对账单!$G$4,采购进货!B891&lt;=供应商对账单!$I$4),采购进货!B891+ROW()/100000,"")</f>
      </c>
      <c r="N891">
        <f>IF(AND(ISNUMBER(出库明细!G891),ISNUMBER(出库明细!E891),ISNUMBER(出库明细!F891)),IF(ABS(出库明细!G891-出库明细!E891*出库明细!F891)&gt;0.005,1,0),0)</f>
        <v>0</v>
      </c>
      <c r="O891">
        <f>IF(AND(ISNUMBER(存条明细!G891),ISNUMBER(存条明细!E891),ISNUMBER(存条明细!F891)),IF(ABS(存条明细!G891-存条明细!E891*存条明细!F891)&gt;0.005,1,0),0)</f>
        <v>0</v>
      </c>
    </row>
    <row r="892">
      <c r="A892">
        <f>IF(OR(存条明细!C892="",存条明细!D892=""),"",IF(COUNTIFS(存条明细!$C$4:C892,存条明细!C892,存条明细!$D$4:D892,存条明细!D892)&gt;1,"",IFERROR(MATCH(存条明细!C892,总览汇总!$B$5:$B$304,0),900)*10000000+IFERROR(MATCH(存条明细!D892,基础资料!$E$5:$E$104,0),900)*10000+ROW()))</f>
      </c>
      <c r="F892">
        <f>IF(AND(出库明细!C892&lt;&gt;"",出库明细!C892=客户对账单!$B$4,ISNUMBER(出库明细!B892),出库明细!B892&gt;=客户对账单!$G$4,出库明细!B892&lt;=客户对账单!$I$4),出库明细!B892+ROW()/100000,"")</f>
      </c>
      <c r="H892">
        <f>IF(AND(采购进货!C892&lt;&gt;"",采购进货!C892=供应商对账单!$B$4,ISNUMBER(采购进货!B892),采购进货!B892&gt;=供应商对账单!$G$4,采购进货!B892&lt;=供应商对账单!$I$4),采购进货!B892+ROW()/100000,"")</f>
      </c>
      <c r="N892">
        <f>IF(AND(ISNUMBER(出库明细!G892),ISNUMBER(出库明细!E892),ISNUMBER(出库明细!F892)),IF(ABS(出库明细!G892-出库明细!E892*出库明细!F892)&gt;0.005,1,0),0)</f>
        <v>0</v>
      </c>
      <c r="O892">
        <f>IF(AND(ISNUMBER(存条明细!G892),ISNUMBER(存条明细!E892),ISNUMBER(存条明细!F892)),IF(ABS(存条明细!G892-存条明细!E892*存条明细!F892)&gt;0.005,1,0),0)</f>
        <v>0</v>
      </c>
    </row>
    <row r="893">
      <c r="A893">
        <f>IF(OR(存条明细!C893="",存条明细!D893=""),"",IF(COUNTIFS(存条明细!$C$4:C893,存条明细!C893,存条明细!$D$4:D893,存条明细!D893)&gt;1,"",IFERROR(MATCH(存条明细!C893,总览汇总!$B$5:$B$304,0),900)*10000000+IFERROR(MATCH(存条明细!D893,基础资料!$E$5:$E$104,0),900)*10000+ROW()))</f>
      </c>
      <c r="F893">
        <f>IF(AND(出库明细!C893&lt;&gt;"",出库明细!C893=客户对账单!$B$4,ISNUMBER(出库明细!B893),出库明细!B893&gt;=客户对账单!$G$4,出库明细!B893&lt;=客户对账单!$I$4),出库明细!B893+ROW()/100000,"")</f>
      </c>
      <c r="H893">
        <f>IF(AND(采购进货!C893&lt;&gt;"",采购进货!C893=供应商对账单!$B$4,ISNUMBER(采购进货!B893),采购进货!B893&gt;=供应商对账单!$G$4,采购进货!B893&lt;=供应商对账单!$I$4),采购进货!B893+ROW()/100000,"")</f>
      </c>
      <c r="N893">
        <f>IF(AND(ISNUMBER(出库明细!G893),ISNUMBER(出库明细!E893),ISNUMBER(出库明细!F893)),IF(ABS(出库明细!G893-出库明细!E893*出库明细!F893)&gt;0.005,1,0),0)</f>
        <v>0</v>
      </c>
      <c r="O893">
        <f>IF(AND(ISNUMBER(存条明细!G893),ISNUMBER(存条明细!E893),ISNUMBER(存条明细!F893)),IF(ABS(存条明细!G893-存条明细!E893*存条明细!F893)&gt;0.005,1,0),0)</f>
        <v>0</v>
      </c>
    </row>
    <row r="894">
      <c r="A894">
        <f>IF(OR(存条明细!C894="",存条明细!D894=""),"",IF(COUNTIFS(存条明细!$C$4:C894,存条明细!C894,存条明细!$D$4:D894,存条明细!D894)&gt;1,"",IFERROR(MATCH(存条明细!C894,总览汇总!$B$5:$B$304,0),900)*10000000+IFERROR(MATCH(存条明细!D894,基础资料!$E$5:$E$104,0),900)*10000+ROW()))</f>
      </c>
      <c r="F894">
        <f>IF(AND(出库明细!C894&lt;&gt;"",出库明细!C894=客户对账单!$B$4,ISNUMBER(出库明细!B894),出库明细!B894&gt;=客户对账单!$G$4,出库明细!B894&lt;=客户对账单!$I$4),出库明细!B894+ROW()/100000,"")</f>
      </c>
      <c r="H894">
        <f>IF(AND(采购进货!C894&lt;&gt;"",采购进货!C894=供应商对账单!$B$4,ISNUMBER(采购进货!B894),采购进货!B894&gt;=供应商对账单!$G$4,采购进货!B894&lt;=供应商对账单!$I$4),采购进货!B894+ROW()/100000,"")</f>
      </c>
      <c r="N894">
        <f>IF(AND(ISNUMBER(出库明细!G894),ISNUMBER(出库明细!E894),ISNUMBER(出库明细!F894)),IF(ABS(出库明细!G894-出库明细!E894*出库明细!F894)&gt;0.005,1,0),0)</f>
        <v>0</v>
      </c>
      <c r="O894">
        <f>IF(AND(ISNUMBER(存条明细!G894),ISNUMBER(存条明细!E894),ISNUMBER(存条明细!F894)),IF(ABS(存条明细!G894-存条明细!E894*存条明细!F894)&gt;0.005,1,0),0)</f>
        <v>0</v>
      </c>
    </row>
    <row r="895">
      <c r="A895">
        <f>IF(OR(存条明细!C895="",存条明细!D895=""),"",IF(COUNTIFS(存条明细!$C$4:C895,存条明细!C895,存条明细!$D$4:D895,存条明细!D895)&gt;1,"",IFERROR(MATCH(存条明细!C895,总览汇总!$B$5:$B$304,0),900)*10000000+IFERROR(MATCH(存条明细!D895,基础资料!$E$5:$E$104,0),900)*10000+ROW()))</f>
      </c>
      <c r="F895">
        <f>IF(AND(出库明细!C895&lt;&gt;"",出库明细!C895=客户对账单!$B$4,ISNUMBER(出库明细!B895),出库明细!B895&gt;=客户对账单!$G$4,出库明细!B895&lt;=客户对账单!$I$4),出库明细!B895+ROW()/100000,"")</f>
      </c>
      <c r="H895">
        <f>IF(AND(采购进货!C895&lt;&gt;"",采购进货!C895=供应商对账单!$B$4,ISNUMBER(采购进货!B895),采购进货!B895&gt;=供应商对账单!$G$4,采购进货!B895&lt;=供应商对账单!$I$4),采购进货!B895+ROW()/100000,"")</f>
      </c>
      <c r="N895">
        <f>IF(AND(ISNUMBER(出库明细!G895),ISNUMBER(出库明细!E895),ISNUMBER(出库明细!F895)),IF(ABS(出库明细!G895-出库明细!E895*出库明细!F895)&gt;0.005,1,0),0)</f>
        <v>0</v>
      </c>
      <c r="O895">
        <f>IF(AND(ISNUMBER(存条明细!G895),ISNUMBER(存条明细!E895),ISNUMBER(存条明细!F895)),IF(ABS(存条明细!G895-存条明细!E895*存条明细!F895)&gt;0.005,1,0),0)</f>
        <v>0</v>
      </c>
    </row>
    <row r="896">
      <c r="A896">
        <f>IF(OR(存条明细!C896="",存条明细!D896=""),"",IF(COUNTIFS(存条明细!$C$4:C896,存条明细!C896,存条明细!$D$4:D896,存条明细!D896)&gt;1,"",IFERROR(MATCH(存条明细!C896,总览汇总!$B$5:$B$304,0),900)*10000000+IFERROR(MATCH(存条明细!D896,基础资料!$E$5:$E$104,0),900)*10000+ROW()))</f>
      </c>
      <c r="F896">
        <f>IF(AND(出库明细!C896&lt;&gt;"",出库明细!C896=客户对账单!$B$4,ISNUMBER(出库明细!B896),出库明细!B896&gt;=客户对账单!$G$4,出库明细!B896&lt;=客户对账单!$I$4),出库明细!B896+ROW()/100000,"")</f>
      </c>
      <c r="H896">
        <f>IF(AND(采购进货!C896&lt;&gt;"",采购进货!C896=供应商对账单!$B$4,ISNUMBER(采购进货!B896),采购进货!B896&gt;=供应商对账单!$G$4,采购进货!B896&lt;=供应商对账单!$I$4),采购进货!B896+ROW()/100000,"")</f>
      </c>
      <c r="N896">
        <f>IF(AND(ISNUMBER(出库明细!G896),ISNUMBER(出库明细!E896),ISNUMBER(出库明细!F896)),IF(ABS(出库明细!G896-出库明细!E896*出库明细!F896)&gt;0.005,1,0),0)</f>
        <v>0</v>
      </c>
      <c r="O896">
        <f>IF(AND(ISNUMBER(存条明细!G896),ISNUMBER(存条明细!E896),ISNUMBER(存条明细!F896)),IF(ABS(存条明细!G896-存条明细!E896*存条明细!F896)&gt;0.005,1,0),0)</f>
        <v>0</v>
      </c>
    </row>
    <row r="897">
      <c r="A897">
        <f>IF(OR(存条明细!C897="",存条明细!D897=""),"",IF(COUNTIFS(存条明细!$C$4:C897,存条明细!C897,存条明细!$D$4:D897,存条明细!D897)&gt;1,"",IFERROR(MATCH(存条明细!C897,总览汇总!$B$5:$B$304,0),900)*10000000+IFERROR(MATCH(存条明细!D897,基础资料!$E$5:$E$104,0),900)*10000+ROW()))</f>
      </c>
      <c r="F897">
        <f>IF(AND(出库明细!C897&lt;&gt;"",出库明细!C897=客户对账单!$B$4,ISNUMBER(出库明细!B897),出库明细!B897&gt;=客户对账单!$G$4,出库明细!B897&lt;=客户对账单!$I$4),出库明细!B897+ROW()/100000,"")</f>
      </c>
      <c r="H897">
        <f>IF(AND(采购进货!C897&lt;&gt;"",采购进货!C897=供应商对账单!$B$4,ISNUMBER(采购进货!B897),采购进货!B897&gt;=供应商对账单!$G$4,采购进货!B897&lt;=供应商对账单!$I$4),采购进货!B897+ROW()/100000,"")</f>
      </c>
      <c r="N897">
        <f>IF(AND(ISNUMBER(出库明细!G897),ISNUMBER(出库明细!E897),ISNUMBER(出库明细!F897)),IF(ABS(出库明细!G897-出库明细!E897*出库明细!F897)&gt;0.005,1,0),0)</f>
        <v>0</v>
      </c>
      <c r="O897">
        <f>IF(AND(ISNUMBER(存条明细!G897),ISNUMBER(存条明细!E897),ISNUMBER(存条明细!F897)),IF(ABS(存条明细!G897-存条明细!E897*存条明细!F897)&gt;0.005,1,0),0)</f>
        <v>0</v>
      </c>
    </row>
    <row r="898">
      <c r="A898">
        <f>IF(OR(存条明细!C898="",存条明细!D898=""),"",IF(COUNTIFS(存条明细!$C$4:C898,存条明细!C898,存条明细!$D$4:D898,存条明细!D898)&gt;1,"",IFERROR(MATCH(存条明细!C898,总览汇总!$B$5:$B$304,0),900)*10000000+IFERROR(MATCH(存条明细!D898,基础资料!$E$5:$E$104,0),900)*10000+ROW()))</f>
      </c>
      <c r="F898">
        <f>IF(AND(出库明细!C898&lt;&gt;"",出库明细!C898=客户对账单!$B$4,ISNUMBER(出库明细!B898),出库明细!B898&gt;=客户对账单!$G$4,出库明细!B898&lt;=客户对账单!$I$4),出库明细!B898+ROW()/100000,"")</f>
      </c>
      <c r="H898">
        <f>IF(AND(采购进货!C898&lt;&gt;"",采购进货!C898=供应商对账单!$B$4,ISNUMBER(采购进货!B898),采购进货!B898&gt;=供应商对账单!$G$4,采购进货!B898&lt;=供应商对账单!$I$4),采购进货!B898+ROW()/100000,"")</f>
      </c>
      <c r="N898">
        <f>IF(AND(ISNUMBER(出库明细!G898),ISNUMBER(出库明细!E898),ISNUMBER(出库明细!F898)),IF(ABS(出库明细!G898-出库明细!E898*出库明细!F898)&gt;0.005,1,0),0)</f>
        <v>0</v>
      </c>
      <c r="O898">
        <f>IF(AND(ISNUMBER(存条明细!G898),ISNUMBER(存条明细!E898),ISNUMBER(存条明细!F898)),IF(ABS(存条明细!G898-存条明细!E898*存条明细!F898)&gt;0.005,1,0),0)</f>
        <v>0</v>
      </c>
    </row>
    <row r="899">
      <c r="A899">
        <f>IF(OR(存条明细!C899="",存条明细!D899=""),"",IF(COUNTIFS(存条明细!$C$4:C899,存条明细!C899,存条明细!$D$4:D899,存条明细!D899)&gt;1,"",IFERROR(MATCH(存条明细!C899,总览汇总!$B$5:$B$304,0),900)*10000000+IFERROR(MATCH(存条明细!D899,基础资料!$E$5:$E$104,0),900)*10000+ROW()))</f>
      </c>
      <c r="F899">
        <f>IF(AND(出库明细!C899&lt;&gt;"",出库明细!C899=客户对账单!$B$4,ISNUMBER(出库明细!B899),出库明细!B899&gt;=客户对账单!$G$4,出库明细!B899&lt;=客户对账单!$I$4),出库明细!B899+ROW()/100000,"")</f>
      </c>
      <c r="H899">
        <f>IF(AND(采购进货!C899&lt;&gt;"",采购进货!C899=供应商对账单!$B$4,ISNUMBER(采购进货!B899),采购进货!B899&gt;=供应商对账单!$G$4,采购进货!B899&lt;=供应商对账单!$I$4),采购进货!B899+ROW()/100000,"")</f>
      </c>
      <c r="N899">
        <f>IF(AND(ISNUMBER(出库明细!G899),ISNUMBER(出库明细!E899),ISNUMBER(出库明细!F899)),IF(ABS(出库明细!G899-出库明细!E899*出库明细!F899)&gt;0.005,1,0),0)</f>
        <v>0</v>
      </c>
      <c r="O899">
        <f>IF(AND(ISNUMBER(存条明细!G899),ISNUMBER(存条明细!E899),ISNUMBER(存条明细!F899)),IF(ABS(存条明细!G899-存条明细!E899*存条明细!F899)&gt;0.005,1,0),0)</f>
        <v>0</v>
      </c>
    </row>
    <row r="900">
      <c r="A900">
        <f>IF(OR(存条明细!C900="",存条明细!D900=""),"",IF(COUNTIFS(存条明细!$C$4:C900,存条明细!C900,存条明细!$D$4:D900,存条明细!D900)&gt;1,"",IFERROR(MATCH(存条明细!C900,总览汇总!$B$5:$B$304,0),900)*10000000+IFERROR(MATCH(存条明细!D900,基础资料!$E$5:$E$104,0),900)*10000+ROW()))</f>
      </c>
      <c r="F900">
        <f>IF(AND(出库明细!C900&lt;&gt;"",出库明细!C900=客户对账单!$B$4,ISNUMBER(出库明细!B900),出库明细!B900&gt;=客户对账单!$G$4,出库明细!B900&lt;=客户对账单!$I$4),出库明细!B900+ROW()/100000,"")</f>
      </c>
      <c r="H900">
        <f>IF(AND(采购进货!C900&lt;&gt;"",采购进货!C900=供应商对账单!$B$4,ISNUMBER(采购进货!B900),采购进货!B900&gt;=供应商对账单!$G$4,采购进货!B900&lt;=供应商对账单!$I$4),采购进货!B900+ROW()/100000,"")</f>
      </c>
      <c r="N900">
        <f>IF(AND(ISNUMBER(出库明细!G900),ISNUMBER(出库明细!E900),ISNUMBER(出库明细!F900)),IF(ABS(出库明细!G900-出库明细!E900*出库明细!F900)&gt;0.005,1,0),0)</f>
        <v>0</v>
      </c>
      <c r="O900">
        <f>IF(AND(ISNUMBER(存条明细!G900),ISNUMBER(存条明细!E900),ISNUMBER(存条明细!F900)),IF(ABS(存条明细!G900-存条明细!E900*存条明细!F900)&gt;0.005,1,0),0)</f>
        <v>0</v>
      </c>
    </row>
    <row r="901">
      <c r="A901">
        <f>IF(OR(存条明细!C901="",存条明细!D901=""),"",IF(COUNTIFS(存条明细!$C$4:C901,存条明细!C901,存条明细!$D$4:D901,存条明细!D901)&gt;1,"",IFERROR(MATCH(存条明细!C901,总览汇总!$B$5:$B$304,0),900)*10000000+IFERROR(MATCH(存条明细!D901,基础资料!$E$5:$E$104,0),900)*10000+ROW()))</f>
      </c>
      <c r="F901">
        <f>IF(AND(出库明细!C901&lt;&gt;"",出库明细!C901=客户对账单!$B$4,ISNUMBER(出库明细!B901),出库明细!B901&gt;=客户对账单!$G$4,出库明细!B901&lt;=客户对账单!$I$4),出库明细!B901+ROW()/100000,"")</f>
      </c>
      <c r="H901">
        <f>IF(AND(采购进货!C901&lt;&gt;"",采购进货!C901=供应商对账单!$B$4,ISNUMBER(采购进货!B901),采购进货!B901&gt;=供应商对账单!$G$4,采购进货!B901&lt;=供应商对账单!$I$4),采购进货!B901+ROW()/100000,"")</f>
      </c>
      <c r="N901">
        <f>IF(AND(ISNUMBER(出库明细!G901),ISNUMBER(出库明细!E901),ISNUMBER(出库明细!F901)),IF(ABS(出库明细!G901-出库明细!E901*出库明细!F901)&gt;0.005,1,0),0)</f>
        <v>0</v>
      </c>
      <c r="O901">
        <f>IF(AND(ISNUMBER(存条明细!G901),ISNUMBER(存条明细!E901),ISNUMBER(存条明细!F901)),IF(ABS(存条明细!G901-存条明细!E901*存条明细!F901)&gt;0.005,1,0),0)</f>
        <v>0</v>
      </c>
    </row>
    <row r="902">
      <c r="A902">
        <f>IF(OR(存条明细!C902="",存条明细!D902=""),"",IF(COUNTIFS(存条明细!$C$4:C902,存条明细!C902,存条明细!$D$4:D902,存条明细!D902)&gt;1,"",IFERROR(MATCH(存条明细!C902,总览汇总!$B$5:$B$304,0),900)*10000000+IFERROR(MATCH(存条明细!D902,基础资料!$E$5:$E$104,0),900)*10000+ROW()))</f>
      </c>
      <c r="F902">
        <f>IF(AND(出库明细!C902&lt;&gt;"",出库明细!C902=客户对账单!$B$4,ISNUMBER(出库明细!B902),出库明细!B902&gt;=客户对账单!$G$4,出库明细!B902&lt;=客户对账单!$I$4),出库明细!B902+ROW()/100000,"")</f>
      </c>
      <c r="H902">
        <f>IF(AND(采购进货!C902&lt;&gt;"",采购进货!C902=供应商对账单!$B$4,ISNUMBER(采购进货!B902),采购进货!B902&gt;=供应商对账单!$G$4,采购进货!B902&lt;=供应商对账单!$I$4),采购进货!B902+ROW()/100000,"")</f>
      </c>
      <c r="N902">
        <f>IF(AND(ISNUMBER(出库明细!G902),ISNUMBER(出库明细!E902),ISNUMBER(出库明细!F902)),IF(ABS(出库明细!G902-出库明细!E902*出库明细!F902)&gt;0.005,1,0),0)</f>
        <v>0</v>
      </c>
      <c r="O902">
        <f>IF(AND(ISNUMBER(存条明细!G902),ISNUMBER(存条明细!E902),ISNUMBER(存条明细!F902)),IF(ABS(存条明细!G902-存条明细!E902*存条明细!F902)&gt;0.005,1,0),0)</f>
        <v>0</v>
      </c>
    </row>
    <row r="903">
      <c r="A903">
        <f>IF(OR(存条明细!C903="",存条明细!D903=""),"",IF(COUNTIFS(存条明细!$C$4:C903,存条明细!C903,存条明细!$D$4:D903,存条明细!D903)&gt;1,"",IFERROR(MATCH(存条明细!C903,总览汇总!$B$5:$B$304,0),900)*10000000+IFERROR(MATCH(存条明细!D903,基础资料!$E$5:$E$104,0),900)*10000+ROW()))</f>
      </c>
      <c r="F903">
        <f>IF(AND(出库明细!C903&lt;&gt;"",出库明细!C903=客户对账单!$B$4,ISNUMBER(出库明细!B903),出库明细!B903&gt;=客户对账单!$G$4,出库明细!B903&lt;=客户对账单!$I$4),出库明细!B903+ROW()/100000,"")</f>
      </c>
      <c r="H903">
        <f>IF(AND(采购进货!C903&lt;&gt;"",采购进货!C903=供应商对账单!$B$4,ISNUMBER(采购进货!B903),采购进货!B903&gt;=供应商对账单!$G$4,采购进货!B903&lt;=供应商对账单!$I$4),采购进货!B903+ROW()/100000,"")</f>
      </c>
      <c r="N903">
        <f>IF(AND(ISNUMBER(出库明细!G903),ISNUMBER(出库明细!E903),ISNUMBER(出库明细!F903)),IF(ABS(出库明细!G903-出库明细!E903*出库明细!F903)&gt;0.005,1,0),0)</f>
        <v>0</v>
      </c>
      <c r="O903">
        <f>IF(AND(ISNUMBER(存条明细!G903),ISNUMBER(存条明细!E903),ISNUMBER(存条明细!F903)),IF(ABS(存条明细!G903-存条明细!E903*存条明细!F903)&gt;0.005,1,0),0)</f>
        <v>0</v>
      </c>
    </row>
    <row r="904">
      <c r="A904">
        <f>IF(OR(存条明细!C904="",存条明细!D904=""),"",IF(COUNTIFS(存条明细!$C$4:C904,存条明细!C904,存条明细!$D$4:D904,存条明细!D904)&gt;1,"",IFERROR(MATCH(存条明细!C904,总览汇总!$B$5:$B$304,0),900)*10000000+IFERROR(MATCH(存条明细!D904,基础资料!$E$5:$E$104,0),900)*10000+ROW()))</f>
      </c>
      <c r="F904">
        <f>IF(AND(出库明细!C904&lt;&gt;"",出库明细!C904=客户对账单!$B$4,ISNUMBER(出库明细!B904),出库明细!B904&gt;=客户对账单!$G$4,出库明细!B904&lt;=客户对账单!$I$4),出库明细!B904+ROW()/100000,"")</f>
      </c>
      <c r="H904">
        <f>IF(AND(采购进货!C904&lt;&gt;"",采购进货!C904=供应商对账单!$B$4,ISNUMBER(采购进货!B904),采购进货!B904&gt;=供应商对账单!$G$4,采购进货!B904&lt;=供应商对账单!$I$4),采购进货!B904+ROW()/100000,"")</f>
      </c>
      <c r="N904">
        <f>IF(AND(ISNUMBER(出库明细!G904),ISNUMBER(出库明细!E904),ISNUMBER(出库明细!F904)),IF(ABS(出库明细!G904-出库明细!E904*出库明细!F904)&gt;0.005,1,0),0)</f>
        <v>0</v>
      </c>
      <c r="O904">
        <f>IF(AND(ISNUMBER(存条明细!G904),ISNUMBER(存条明细!E904),ISNUMBER(存条明细!F904)),IF(ABS(存条明细!G904-存条明细!E904*存条明细!F904)&gt;0.005,1,0),0)</f>
        <v>0</v>
      </c>
    </row>
    <row r="905">
      <c r="A905">
        <f>IF(OR(存条明细!C905="",存条明细!D905=""),"",IF(COUNTIFS(存条明细!$C$4:C905,存条明细!C905,存条明细!$D$4:D905,存条明细!D905)&gt;1,"",IFERROR(MATCH(存条明细!C905,总览汇总!$B$5:$B$304,0),900)*10000000+IFERROR(MATCH(存条明细!D905,基础资料!$E$5:$E$104,0),900)*10000+ROW()))</f>
      </c>
      <c r="F905">
        <f>IF(AND(出库明细!C905&lt;&gt;"",出库明细!C905=客户对账单!$B$4,ISNUMBER(出库明细!B905),出库明细!B905&gt;=客户对账单!$G$4,出库明细!B905&lt;=客户对账单!$I$4),出库明细!B905+ROW()/100000,"")</f>
      </c>
      <c r="H905">
        <f>IF(AND(采购进货!C905&lt;&gt;"",采购进货!C905=供应商对账单!$B$4,ISNUMBER(采购进货!B905),采购进货!B905&gt;=供应商对账单!$G$4,采购进货!B905&lt;=供应商对账单!$I$4),采购进货!B905+ROW()/100000,"")</f>
      </c>
      <c r="N905">
        <f>IF(AND(ISNUMBER(出库明细!G905),ISNUMBER(出库明细!E905),ISNUMBER(出库明细!F905)),IF(ABS(出库明细!G905-出库明细!E905*出库明细!F905)&gt;0.005,1,0),0)</f>
        <v>0</v>
      </c>
      <c r="O905">
        <f>IF(AND(ISNUMBER(存条明细!G905),ISNUMBER(存条明细!E905),ISNUMBER(存条明细!F905)),IF(ABS(存条明细!G905-存条明细!E905*存条明细!F905)&gt;0.005,1,0),0)</f>
        <v>0</v>
      </c>
    </row>
    <row r="906">
      <c r="A906">
        <f>IF(OR(存条明细!C906="",存条明细!D906=""),"",IF(COUNTIFS(存条明细!$C$4:C906,存条明细!C906,存条明细!$D$4:D906,存条明细!D906)&gt;1,"",IFERROR(MATCH(存条明细!C906,总览汇总!$B$5:$B$304,0),900)*10000000+IFERROR(MATCH(存条明细!D906,基础资料!$E$5:$E$104,0),900)*10000+ROW()))</f>
      </c>
      <c r="F906">
        <f>IF(AND(出库明细!C906&lt;&gt;"",出库明细!C906=客户对账单!$B$4,ISNUMBER(出库明细!B906),出库明细!B906&gt;=客户对账单!$G$4,出库明细!B906&lt;=客户对账单!$I$4),出库明细!B906+ROW()/100000,"")</f>
      </c>
      <c r="H906">
        <f>IF(AND(采购进货!C906&lt;&gt;"",采购进货!C906=供应商对账单!$B$4,ISNUMBER(采购进货!B906),采购进货!B906&gt;=供应商对账单!$G$4,采购进货!B906&lt;=供应商对账单!$I$4),采购进货!B906+ROW()/100000,"")</f>
      </c>
      <c r="N906">
        <f>IF(AND(ISNUMBER(出库明细!G906),ISNUMBER(出库明细!E906),ISNUMBER(出库明细!F906)),IF(ABS(出库明细!G906-出库明细!E906*出库明细!F906)&gt;0.005,1,0),0)</f>
        <v>0</v>
      </c>
      <c r="O906">
        <f>IF(AND(ISNUMBER(存条明细!G906),ISNUMBER(存条明细!E906),ISNUMBER(存条明细!F906)),IF(ABS(存条明细!G906-存条明细!E906*存条明细!F906)&gt;0.005,1,0),0)</f>
        <v>0</v>
      </c>
    </row>
    <row r="907">
      <c r="A907">
        <f>IF(OR(存条明细!C907="",存条明细!D907=""),"",IF(COUNTIFS(存条明细!$C$4:C907,存条明细!C907,存条明细!$D$4:D907,存条明细!D907)&gt;1,"",IFERROR(MATCH(存条明细!C907,总览汇总!$B$5:$B$304,0),900)*10000000+IFERROR(MATCH(存条明细!D907,基础资料!$E$5:$E$104,0),900)*10000+ROW()))</f>
      </c>
      <c r="F907">
        <f>IF(AND(出库明细!C907&lt;&gt;"",出库明细!C907=客户对账单!$B$4,ISNUMBER(出库明细!B907),出库明细!B907&gt;=客户对账单!$G$4,出库明细!B907&lt;=客户对账单!$I$4),出库明细!B907+ROW()/100000,"")</f>
      </c>
      <c r="H907">
        <f>IF(AND(采购进货!C907&lt;&gt;"",采购进货!C907=供应商对账单!$B$4,ISNUMBER(采购进货!B907),采购进货!B907&gt;=供应商对账单!$G$4,采购进货!B907&lt;=供应商对账单!$I$4),采购进货!B907+ROW()/100000,"")</f>
      </c>
      <c r="N907">
        <f>IF(AND(ISNUMBER(出库明细!G907),ISNUMBER(出库明细!E907),ISNUMBER(出库明细!F907)),IF(ABS(出库明细!G907-出库明细!E907*出库明细!F907)&gt;0.005,1,0),0)</f>
        <v>0</v>
      </c>
      <c r="O907">
        <f>IF(AND(ISNUMBER(存条明细!G907),ISNUMBER(存条明细!E907),ISNUMBER(存条明细!F907)),IF(ABS(存条明细!G907-存条明细!E907*存条明细!F907)&gt;0.005,1,0),0)</f>
        <v>0</v>
      </c>
    </row>
    <row r="908">
      <c r="A908">
        <f>IF(OR(存条明细!C908="",存条明细!D908=""),"",IF(COUNTIFS(存条明细!$C$4:C908,存条明细!C908,存条明细!$D$4:D908,存条明细!D908)&gt;1,"",IFERROR(MATCH(存条明细!C908,总览汇总!$B$5:$B$304,0),900)*10000000+IFERROR(MATCH(存条明细!D908,基础资料!$E$5:$E$104,0),900)*10000+ROW()))</f>
      </c>
      <c r="F908">
        <f>IF(AND(出库明细!C908&lt;&gt;"",出库明细!C908=客户对账单!$B$4,ISNUMBER(出库明细!B908),出库明细!B908&gt;=客户对账单!$G$4,出库明细!B908&lt;=客户对账单!$I$4),出库明细!B908+ROW()/100000,"")</f>
      </c>
      <c r="H908">
        <f>IF(AND(采购进货!C908&lt;&gt;"",采购进货!C908=供应商对账单!$B$4,ISNUMBER(采购进货!B908),采购进货!B908&gt;=供应商对账单!$G$4,采购进货!B908&lt;=供应商对账单!$I$4),采购进货!B908+ROW()/100000,"")</f>
      </c>
      <c r="N908">
        <f>IF(AND(ISNUMBER(出库明细!G908),ISNUMBER(出库明细!E908),ISNUMBER(出库明细!F908)),IF(ABS(出库明细!G908-出库明细!E908*出库明细!F908)&gt;0.005,1,0),0)</f>
        <v>0</v>
      </c>
      <c r="O908">
        <f>IF(AND(ISNUMBER(存条明细!G908),ISNUMBER(存条明细!E908),ISNUMBER(存条明细!F908)),IF(ABS(存条明细!G908-存条明细!E908*存条明细!F908)&gt;0.005,1,0),0)</f>
        <v>0</v>
      </c>
    </row>
    <row r="909">
      <c r="A909">
        <f>IF(OR(存条明细!C909="",存条明细!D909=""),"",IF(COUNTIFS(存条明细!$C$4:C909,存条明细!C909,存条明细!$D$4:D909,存条明细!D909)&gt;1,"",IFERROR(MATCH(存条明细!C909,总览汇总!$B$5:$B$304,0),900)*10000000+IFERROR(MATCH(存条明细!D909,基础资料!$E$5:$E$104,0),900)*10000+ROW()))</f>
      </c>
      <c r="F909">
        <f>IF(AND(出库明细!C909&lt;&gt;"",出库明细!C909=客户对账单!$B$4,ISNUMBER(出库明细!B909),出库明细!B909&gt;=客户对账单!$G$4,出库明细!B909&lt;=客户对账单!$I$4),出库明细!B909+ROW()/100000,"")</f>
      </c>
      <c r="H909">
        <f>IF(AND(采购进货!C909&lt;&gt;"",采购进货!C909=供应商对账单!$B$4,ISNUMBER(采购进货!B909),采购进货!B909&gt;=供应商对账单!$G$4,采购进货!B909&lt;=供应商对账单!$I$4),采购进货!B909+ROW()/100000,"")</f>
      </c>
      <c r="N909">
        <f>IF(AND(ISNUMBER(出库明细!G909),ISNUMBER(出库明细!E909),ISNUMBER(出库明细!F909)),IF(ABS(出库明细!G909-出库明细!E909*出库明细!F909)&gt;0.005,1,0),0)</f>
        <v>0</v>
      </c>
      <c r="O909">
        <f>IF(AND(ISNUMBER(存条明细!G909),ISNUMBER(存条明细!E909),ISNUMBER(存条明细!F909)),IF(ABS(存条明细!G909-存条明细!E909*存条明细!F909)&gt;0.005,1,0),0)</f>
        <v>0</v>
      </c>
    </row>
    <row r="910">
      <c r="A910">
        <f>IF(OR(存条明细!C910="",存条明细!D910=""),"",IF(COUNTIFS(存条明细!$C$4:C910,存条明细!C910,存条明细!$D$4:D910,存条明细!D910)&gt;1,"",IFERROR(MATCH(存条明细!C910,总览汇总!$B$5:$B$304,0),900)*10000000+IFERROR(MATCH(存条明细!D910,基础资料!$E$5:$E$104,0),900)*10000+ROW()))</f>
      </c>
      <c r="F910">
        <f>IF(AND(出库明细!C910&lt;&gt;"",出库明细!C910=客户对账单!$B$4,ISNUMBER(出库明细!B910),出库明细!B910&gt;=客户对账单!$G$4,出库明细!B910&lt;=客户对账单!$I$4),出库明细!B910+ROW()/100000,"")</f>
      </c>
      <c r="H910">
        <f>IF(AND(采购进货!C910&lt;&gt;"",采购进货!C910=供应商对账单!$B$4,ISNUMBER(采购进货!B910),采购进货!B910&gt;=供应商对账单!$G$4,采购进货!B910&lt;=供应商对账单!$I$4),采购进货!B910+ROW()/100000,"")</f>
      </c>
      <c r="N910">
        <f>IF(AND(ISNUMBER(出库明细!G910),ISNUMBER(出库明细!E910),ISNUMBER(出库明细!F910)),IF(ABS(出库明细!G910-出库明细!E910*出库明细!F910)&gt;0.005,1,0),0)</f>
        <v>0</v>
      </c>
      <c r="O910">
        <f>IF(AND(ISNUMBER(存条明细!G910),ISNUMBER(存条明细!E910),ISNUMBER(存条明细!F910)),IF(ABS(存条明细!G910-存条明细!E910*存条明细!F910)&gt;0.005,1,0),0)</f>
        <v>0</v>
      </c>
    </row>
    <row r="911">
      <c r="A911">
        <f>IF(OR(存条明细!C911="",存条明细!D911=""),"",IF(COUNTIFS(存条明细!$C$4:C911,存条明细!C911,存条明细!$D$4:D911,存条明细!D911)&gt;1,"",IFERROR(MATCH(存条明细!C911,总览汇总!$B$5:$B$304,0),900)*10000000+IFERROR(MATCH(存条明细!D911,基础资料!$E$5:$E$104,0),900)*10000+ROW()))</f>
      </c>
      <c r="F911">
        <f>IF(AND(出库明细!C911&lt;&gt;"",出库明细!C911=客户对账单!$B$4,ISNUMBER(出库明细!B911),出库明细!B911&gt;=客户对账单!$G$4,出库明细!B911&lt;=客户对账单!$I$4),出库明细!B911+ROW()/100000,"")</f>
      </c>
      <c r="H911">
        <f>IF(AND(采购进货!C911&lt;&gt;"",采购进货!C911=供应商对账单!$B$4,ISNUMBER(采购进货!B911),采购进货!B911&gt;=供应商对账单!$G$4,采购进货!B911&lt;=供应商对账单!$I$4),采购进货!B911+ROW()/100000,"")</f>
      </c>
      <c r="N911">
        <f>IF(AND(ISNUMBER(出库明细!G911),ISNUMBER(出库明细!E911),ISNUMBER(出库明细!F911)),IF(ABS(出库明细!G911-出库明细!E911*出库明细!F911)&gt;0.005,1,0),0)</f>
        <v>0</v>
      </c>
      <c r="O911">
        <f>IF(AND(ISNUMBER(存条明细!G911),ISNUMBER(存条明细!E911),ISNUMBER(存条明细!F911)),IF(ABS(存条明细!G911-存条明细!E911*存条明细!F911)&gt;0.005,1,0),0)</f>
        <v>0</v>
      </c>
    </row>
    <row r="912">
      <c r="A912">
        <f>IF(OR(存条明细!C912="",存条明细!D912=""),"",IF(COUNTIFS(存条明细!$C$4:C912,存条明细!C912,存条明细!$D$4:D912,存条明细!D912)&gt;1,"",IFERROR(MATCH(存条明细!C912,总览汇总!$B$5:$B$304,0),900)*10000000+IFERROR(MATCH(存条明细!D912,基础资料!$E$5:$E$104,0),900)*10000+ROW()))</f>
      </c>
      <c r="F912">
        <f>IF(AND(出库明细!C912&lt;&gt;"",出库明细!C912=客户对账单!$B$4,ISNUMBER(出库明细!B912),出库明细!B912&gt;=客户对账单!$G$4,出库明细!B912&lt;=客户对账单!$I$4),出库明细!B912+ROW()/100000,"")</f>
      </c>
      <c r="H912">
        <f>IF(AND(采购进货!C912&lt;&gt;"",采购进货!C912=供应商对账单!$B$4,ISNUMBER(采购进货!B912),采购进货!B912&gt;=供应商对账单!$G$4,采购进货!B912&lt;=供应商对账单!$I$4),采购进货!B912+ROW()/100000,"")</f>
      </c>
      <c r="N912">
        <f>IF(AND(ISNUMBER(出库明细!G912),ISNUMBER(出库明细!E912),ISNUMBER(出库明细!F912)),IF(ABS(出库明细!G912-出库明细!E912*出库明细!F912)&gt;0.005,1,0),0)</f>
        <v>0</v>
      </c>
      <c r="O912">
        <f>IF(AND(ISNUMBER(存条明细!G912),ISNUMBER(存条明细!E912),ISNUMBER(存条明细!F912)),IF(ABS(存条明细!G912-存条明细!E912*存条明细!F912)&gt;0.005,1,0),0)</f>
        <v>0</v>
      </c>
    </row>
    <row r="913">
      <c r="A913">
        <f>IF(OR(存条明细!C913="",存条明细!D913=""),"",IF(COUNTIFS(存条明细!$C$4:C913,存条明细!C913,存条明细!$D$4:D913,存条明细!D913)&gt;1,"",IFERROR(MATCH(存条明细!C913,总览汇总!$B$5:$B$304,0),900)*10000000+IFERROR(MATCH(存条明细!D913,基础资料!$E$5:$E$104,0),900)*10000+ROW()))</f>
      </c>
      <c r="F913">
        <f>IF(AND(出库明细!C913&lt;&gt;"",出库明细!C913=客户对账单!$B$4,ISNUMBER(出库明细!B913),出库明细!B913&gt;=客户对账单!$G$4,出库明细!B913&lt;=客户对账单!$I$4),出库明细!B913+ROW()/100000,"")</f>
      </c>
      <c r="H913">
        <f>IF(AND(采购进货!C913&lt;&gt;"",采购进货!C913=供应商对账单!$B$4,ISNUMBER(采购进货!B913),采购进货!B913&gt;=供应商对账单!$G$4,采购进货!B913&lt;=供应商对账单!$I$4),采购进货!B913+ROW()/100000,"")</f>
      </c>
      <c r="N913">
        <f>IF(AND(ISNUMBER(出库明细!G913),ISNUMBER(出库明细!E913),ISNUMBER(出库明细!F913)),IF(ABS(出库明细!G913-出库明细!E913*出库明细!F913)&gt;0.005,1,0),0)</f>
        <v>0</v>
      </c>
      <c r="O913">
        <f>IF(AND(ISNUMBER(存条明细!G913),ISNUMBER(存条明细!E913),ISNUMBER(存条明细!F913)),IF(ABS(存条明细!G913-存条明细!E913*存条明细!F913)&gt;0.005,1,0),0)</f>
        <v>0</v>
      </c>
    </row>
    <row r="914">
      <c r="A914">
        <f>IF(OR(存条明细!C914="",存条明细!D914=""),"",IF(COUNTIFS(存条明细!$C$4:C914,存条明细!C914,存条明细!$D$4:D914,存条明细!D914)&gt;1,"",IFERROR(MATCH(存条明细!C914,总览汇总!$B$5:$B$304,0),900)*10000000+IFERROR(MATCH(存条明细!D914,基础资料!$E$5:$E$104,0),900)*10000+ROW()))</f>
      </c>
      <c r="F914">
        <f>IF(AND(出库明细!C914&lt;&gt;"",出库明细!C914=客户对账单!$B$4,ISNUMBER(出库明细!B914),出库明细!B914&gt;=客户对账单!$G$4,出库明细!B914&lt;=客户对账单!$I$4),出库明细!B914+ROW()/100000,"")</f>
      </c>
      <c r="H914">
        <f>IF(AND(采购进货!C914&lt;&gt;"",采购进货!C914=供应商对账单!$B$4,ISNUMBER(采购进货!B914),采购进货!B914&gt;=供应商对账单!$G$4,采购进货!B914&lt;=供应商对账单!$I$4),采购进货!B914+ROW()/100000,"")</f>
      </c>
      <c r="N914">
        <f>IF(AND(ISNUMBER(出库明细!G914),ISNUMBER(出库明细!E914),ISNUMBER(出库明细!F914)),IF(ABS(出库明细!G914-出库明细!E914*出库明细!F914)&gt;0.005,1,0),0)</f>
        <v>0</v>
      </c>
      <c r="O914">
        <f>IF(AND(ISNUMBER(存条明细!G914),ISNUMBER(存条明细!E914),ISNUMBER(存条明细!F914)),IF(ABS(存条明细!G914-存条明细!E914*存条明细!F914)&gt;0.005,1,0),0)</f>
        <v>0</v>
      </c>
    </row>
    <row r="915">
      <c r="A915">
        <f>IF(OR(存条明细!C915="",存条明细!D915=""),"",IF(COUNTIFS(存条明细!$C$4:C915,存条明细!C915,存条明细!$D$4:D915,存条明细!D915)&gt;1,"",IFERROR(MATCH(存条明细!C915,总览汇总!$B$5:$B$304,0),900)*10000000+IFERROR(MATCH(存条明细!D915,基础资料!$E$5:$E$104,0),900)*10000+ROW()))</f>
      </c>
      <c r="F915">
        <f>IF(AND(出库明细!C915&lt;&gt;"",出库明细!C915=客户对账单!$B$4,ISNUMBER(出库明细!B915),出库明细!B915&gt;=客户对账单!$G$4,出库明细!B915&lt;=客户对账单!$I$4),出库明细!B915+ROW()/100000,"")</f>
      </c>
      <c r="H915">
        <f>IF(AND(采购进货!C915&lt;&gt;"",采购进货!C915=供应商对账单!$B$4,ISNUMBER(采购进货!B915),采购进货!B915&gt;=供应商对账单!$G$4,采购进货!B915&lt;=供应商对账单!$I$4),采购进货!B915+ROW()/100000,"")</f>
      </c>
      <c r="N915">
        <f>IF(AND(ISNUMBER(出库明细!G915),ISNUMBER(出库明细!E915),ISNUMBER(出库明细!F915)),IF(ABS(出库明细!G915-出库明细!E915*出库明细!F915)&gt;0.005,1,0),0)</f>
        <v>0</v>
      </c>
      <c r="O915">
        <f>IF(AND(ISNUMBER(存条明细!G915),ISNUMBER(存条明细!E915),ISNUMBER(存条明细!F915)),IF(ABS(存条明细!G915-存条明细!E915*存条明细!F915)&gt;0.005,1,0),0)</f>
        <v>0</v>
      </c>
    </row>
    <row r="916">
      <c r="A916">
        <f>IF(OR(存条明细!C916="",存条明细!D916=""),"",IF(COUNTIFS(存条明细!$C$4:C916,存条明细!C916,存条明细!$D$4:D916,存条明细!D916)&gt;1,"",IFERROR(MATCH(存条明细!C916,总览汇总!$B$5:$B$304,0),900)*10000000+IFERROR(MATCH(存条明细!D916,基础资料!$E$5:$E$104,0),900)*10000+ROW()))</f>
      </c>
      <c r="F916">
        <f>IF(AND(出库明细!C916&lt;&gt;"",出库明细!C916=客户对账单!$B$4,ISNUMBER(出库明细!B916),出库明细!B916&gt;=客户对账单!$G$4,出库明细!B916&lt;=客户对账单!$I$4),出库明细!B916+ROW()/100000,"")</f>
      </c>
      <c r="H916">
        <f>IF(AND(采购进货!C916&lt;&gt;"",采购进货!C916=供应商对账单!$B$4,ISNUMBER(采购进货!B916),采购进货!B916&gt;=供应商对账单!$G$4,采购进货!B916&lt;=供应商对账单!$I$4),采购进货!B916+ROW()/100000,"")</f>
      </c>
      <c r="N916">
        <f>IF(AND(ISNUMBER(出库明细!G916),ISNUMBER(出库明细!E916),ISNUMBER(出库明细!F916)),IF(ABS(出库明细!G916-出库明细!E916*出库明细!F916)&gt;0.005,1,0),0)</f>
        <v>0</v>
      </c>
      <c r="O916">
        <f>IF(AND(ISNUMBER(存条明细!G916),ISNUMBER(存条明细!E916),ISNUMBER(存条明细!F916)),IF(ABS(存条明细!G916-存条明细!E916*存条明细!F916)&gt;0.005,1,0),0)</f>
        <v>0</v>
      </c>
    </row>
    <row r="917">
      <c r="A917">
        <f>IF(OR(存条明细!C917="",存条明细!D917=""),"",IF(COUNTIFS(存条明细!$C$4:C917,存条明细!C917,存条明细!$D$4:D917,存条明细!D917)&gt;1,"",IFERROR(MATCH(存条明细!C917,总览汇总!$B$5:$B$304,0),900)*10000000+IFERROR(MATCH(存条明细!D917,基础资料!$E$5:$E$104,0),900)*10000+ROW()))</f>
      </c>
      <c r="F917">
        <f>IF(AND(出库明细!C917&lt;&gt;"",出库明细!C917=客户对账单!$B$4,ISNUMBER(出库明细!B917),出库明细!B917&gt;=客户对账单!$G$4,出库明细!B917&lt;=客户对账单!$I$4),出库明细!B917+ROW()/100000,"")</f>
      </c>
      <c r="H917">
        <f>IF(AND(采购进货!C917&lt;&gt;"",采购进货!C917=供应商对账单!$B$4,ISNUMBER(采购进货!B917),采购进货!B917&gt;=供应商对账单!$G$4,采购进货!B917&lt;=供应商对账单!$I$4),采购进货!B917+ROW()/100000,"")</f>
      </c>
      <c r="N917">
        <f>IF(AND(ISNUMBER(出库明细!G917),ISNUMBER(出库明细!E917),ISNUMBER(出库明细!F917)),IF(ABS(出库明细!G917-出库明细!E917*出库明细!F917)&gt;0.005,1,0),0)</f>
        <v>0</v>
      </c>
      <c r="O917">
        <f>IF(AND(ISNUMBER(存条明细!G917),ISNUMBER(存条明细!E917),ISNUMBER(存条明细!F917)),IF(ABS(存条明细!G917-存条明细!E917*存条明细!F917)&gt;0.005,1,0),0)</f>
        <v>0</v>
      </c>
    </row>
    <row r="918">
      <c r="A918">
        <f>IF(OR(存条明细!C918="",存条明细!D918=""),"",IF(COUNTIFS(存条明细!$C$4:C918,存条明细!C918,存条明细!$D$4:D918,存条明细!D918)&gt;1,"",IFERROR(MATCH(存条明细!C918,总览汇总!$B$5:$B$304,0),900)*10000000+IFERROR(MATCH(存条明细!D918,基础资料!$E$5:$E$104,0),900)*10000+ROW()))</f>
      </c>
      <c r="F918">
        <f>IF(AND(出库明细!C918&lt;&gt;"",出库明细!C918=客户对账单!$B$4,ISNUMBER(出库明细!B918),出库明细!B918&gt;=客户对账单!$G$4,出库明细!B918&lt;=客户对账单!$I$4),出库明细!B918+ROW()/100000,"")</f>
      </c>
      <c r="H918">
        <f>IF(AND(采购进货!C918&lt;&gt;"",采购进货!C918=供应商对账单!$B$4,ISNUMBER(采购进货!B918),采购进货!B918&gt;=供应商对账单!$G$4,采购进货!B918&lt;=供应商对账单!$I$4),采购进货!B918+ROW()/100000,"")</f>
      </c>
      <c r="N918">
        <f>IF(AND(ISNUMBER(出库明细!G918),ISNUMBER(出库明细!E918),ISNUMBER(出库明细!F918)),IF(ABS(出库明细!G918-出库明细!E918*出库明细!F918)&gt;0.005,1,0),0)</f>
        <v>0</v>
      </c>
      <c r="O918">
        <f>IF(AND(ISNUMBER(存条明细!G918),ISNUMBER(存条明细!E918),ISNUMBER(存条明细!F918)),IF(ABS(存条明细!G918-存条明细!E918*存条明细!F918)&gt;0.005,1,0),0)</f>
        <v>0</v>
      </c>
    </row>
    <row r="919">
      <c r="A919">
        <f>IF(OR(存条明细!C919="",存条明细!D919=""),"",IF(COUNTIFS(存条明细!$C$4:C919,存条明细!C919,存条明细!$D$4:D919,存条明细!D919)&gt;1,"",IFERROR(MATCH(存条明细!C919,总览汇总!$B$5:$B$304,0),900)*10000000+IFERROR(MATCH(存条明细!D919,基础资料!$E$5:$E$104,0),900)*10000+ROW()))</f>
      </c>
      <c r="F919">
        <f>IF(AND(出库明细!C919&lt;&gt;"",出库明细!C919=客户对账单!$B$4,ISNUMBER(出库明细!B919),出库明细!B919&gt;=客户对账单!$G$4,出库明细!B919&lt;=客户对账单!$I$4),出库明细!B919+ROW()/100000,"")</f>
      </c>
      <c r="H919">
        <f>IF(AND(采购进货!C919&lt;&gt;"",采购进货!C919=供应商对账单!$B$4,ISNUMBER(采购进货!B919),采购进货!B919&gt;=供应商对账单!$G$4,采购进货!B919&lt;=供应商对账单!$I$4),采购进货!B919+ROW()/100000,"")</f>
      </c>
      <c r="N919">
        <f>IF(AND(ISNUMBER(出库明细!G919),ISNUMBER(出库明细!E919),ISNUMBER(出库明细!F919)),IF(ABS(出库明细!G919-出库明细!E919*出库明细!F919)&gt;0.005,1,0),0)</f>
        <v>0</v>
      </c>
      <c r="O919">
        <f>IF(AND(ISNUMBER(存条明细!G919),ISNUMBER(存条明细!E919),ISNUMBER(存条明细!F919)),IF(ABS(存条明细!G919-存条明细!E919*存条明细!F919)&gt;0.005,1,0),0)</f>
        <v>0</v>
      </c>
    </row>
    <row r="920">
      <c r="A920">
        <f>IF(OR(存条明细!C920="",存条明细!D920=""),"",IF(COUNTIFS(存条明细!$C$4:C920,存条明细!C920,存条明细!$D$4:D920,存条明细!D920)&gt;1,"",IFERROR(MATCH(存条明细!C920,总览汇总!$B$5:$B$304,0),900)*10000000+IFERROR(MATCH(存条明细!D920,基础资料!$E$5:$E$104,0),900)*10000+ROW()))</f>
      </c>
      <c r="F920">
        <f>IF(AND(出库明细!C920&lt;&gt;"",出库明细!C920=客户对账单!$B$4,ISNUMBER(出库明细!B920),出库明细!B920&gt;=客户对账单!$G$4,出库明细!B920&lt;=客户对账单!$I$4),出库明细!B920+ROW()/100000,"")</f>
      </c>
      <c r="H920">
        <f>IF(AND(采购进货!C920&lt;&gt;"",采购进货!C920=供应商对账单!$B$4,ISNUMBER(采购进货!B920),采购进货!B920&gt;=供应商对账单!$G$4,采购进货!B920&lt;=供应商对账单!$I$4),采购进货!B920+ROW()/100000,"")</f>
      </c>
      <c r="N920">
        <f>IF(AND(ISNUMBER(出库明细!G920),ISNUMBER(出库明细!E920),ISNUMBER(出库明细!F920)),IF(ABS(出库明细!G920-出库明细!E920*出库明细!F920)&gt;0.005,1,0),0)</f>
        <v>0</v>
      </c>
      <c r="O920">
        <f>IF(AND(ISNUMBER(存条明细!G920),ISNUMBER(存条明细!E920),ISNUMBER(存条明细!F920)),IF(ABS(存条明细!G920-存条明细!E920*存条明细!F920)&gt;0.005,1,0),0)</f>
        <v>0</v>
      </c>
    </row>
    <row r="921">
      <c r="A921">
        <f>IF(OR(存条明细!C921="",存条明细!D921=""),"",IF(COUNTIFS(存条明细!$C$4:C921,存条明细!C921,存条明细!$D$4:D921,存条明细!D921)&gt;1,"",IFERROR(MATCH(存条明细!C921,总览汇总!$B$5:$B$304,0),900)*10000000+IFERROR(MATCH(存条明细!D921,基础资料!$E$5:$E$104,0),900)*10000+ROW()))</f>
      </c>
      <c r="F921">
        <f>IF(AND(出库明细!C921&lt;&gt;"",出库明细!C921=客户对账单!$B$4,ISNUMBER(出库明细!B921),出库明细!B921&gt;=客户对账单!$G$4,出库明细!B921&lt;=客户对账单!$I$4),出库明细!B921+ROW()/100000,"")</f>
      </c>
      <c r="H921">
        <f>IF(AND(采购进货!C921&lt;&gt;"",采购进货!C921=供应商对账单!$B$4,ISNUMBER(采购进货!B921),采购进货!B921&gt;=供应商对账单!$G$4,采购进货!B921&lt;=供应商对账单!$I$4),采购进货!B921+ROW()/100000,"")</f>
      </c>
      <c r="N921">
        <f>IF(AND(ISNUMBER(出库明细!G921),ISNUMBER(出库明细!E921),ISNUMBER(出库明细!F921)),IF(ABS(出库明细!G921-出库明细!E921*出库明细!F921)&gt;0.005,1,0),0)</f>
        <v>0</v>
      </c>
      <c r="O921">
        <f>IF(AND(ISNUMBER(存条明细!G921),ISNUMBER(存条明细!E921),ISNUMBER(存条明细!F921)),IF(ABS(存条明细!G921-存条明细!E921*存条明细!F921)&gt;0.005,1,0),0)</f>
        <v>0</v>
      </c>
    </row>
    <row r="922">
      <c r="A922">
        <f>IF(OR(存条明细!C922="",存条明细!D922=""),"",IF(COUNTIFS(存条明细!$C$4:C922,存条明细!C922,存条明细!$D$4:D922,存条明细!D922)&gt;1,"",IFERROR(MATCH(存条明细!C922,总览汇总!$B$5:$B$304,0),900)*10000000+IFERROR(MATCH(存条明细!D922,基础资料!$E$5:$E$104,0),900)*10000+ROW()))</f>
      </c>
      <c r="F922">
        <f>IF(AND(出库明细!C922&lt;&gt;"",出库明细!C922=客户对账单!$B$4,ISNUMBER(出库明细!B922),出库明细!B922&gt;=客户对账单!$G$4,出库明细!B922&lt;=客户对账单!$I$4),出库明细!B922+ROW()/100000,"")</f>
      </c>
      <c r="H922">
        <f>IF(AND(采购进货!C922&lt;&gt;"",采购进货!C922=供应商对账单!$B$4,ISNUMBER(采购进货!B922),采购进货!B922&gt;=供应商对账单!$G$4,采购进货!B922&lt;=供应商对账单!$I$4),采购进货!B922+ROW()/100000,"")</f>
      </c>
      <c r="N922">
        <f>IF(AND(ISNUMBER(出库明细!G922),ISNUMBER(出库明细!E922),ISNUMBER(出库明细!F922)),IF(ABS(出库明细!G922-出库明细!E922*出库明细!F922)&gt;0.005,1,0),0)</f>
        <v>0</v>
      </c>
      <c r="O922">
        <f>IF(AND(ISNUMBER(存条明细!G922),ISNUMBER(存条明细!E922),ISNUMBER(存条明细!F922)),IF(ABS(存条明细!G922-存条明细!E922*存条明细!F922)&gt;0.005,1,0),0)</f>
        <v>0</v>
      </c>
    </row>
    <row r="923">
      <c r="A923">
        <f>IF(OR(存条明细!C923="",存条明细!D923=""),"",IF(COUNTIFS(存条明细!$C$4:C923,存条明细!C923,存条明细!$D$4:D923,存条明细!D923)&gt;1,"",IFERROR(MATCH(存条明细!C923,总览汇总!$B$5:$B$304,0),900)*10000000+IFERROR(MATCH(存条明细!D923,基础资料!$E$5:$E$104,0),900)*10000+ROW()))</f>
      </c>
      <c r="F923">
        <f>IF(AND(出库明细!C923&lt;&gt;"",出库明细!C923=客户对账单!$B$4,ISNUMBER(出库明细!B923),出库明细!B923&gt;=客户对账单!$G$4,出库明细!B923&lt;=客户对账单!$I$4),出库明细!B923+ROW()/100000,"")</f>
      </c>
      <c r="H923">
        <f>IF(AND(采购进货!C923&lt;&gt;"",采购进货!C923=供应商对账单!$B$4,ISNUMBER(采购进货!B923),采购进货!B923&gt;=供应商对账单!$G$4,采购进货!B923&lt;=供应商对账单!$I$4),采购进货!B923+ROW()/100000,"")</f>
      </c>
      <c r="N923">
        <f>IF(AND(ISNUMBER(出库明细!G923),ISNUMBER(出库明细!E923),ISNUMBER(出库明细!F923)),IF(ABS(出库明细!G923-出库明细!E923*出库明细!F923)&gt;0.005,1,0),0)</f>
        <v>0</v>
      </c>
      <c r="O923">
        <f>IF(AND(ISNUMBER(存条明细!G923),ISNUMBER(存条明细!E923),ISNUMBER(存条明细!F923)),IF(ABS(存条明细!G923-存条明细!E923*存条明细!F923)&gt;0.005,1,0),0)</f>
        <v>0</v>
      </c>
    </row>
    <row r="924">
      <c r="A924">
        <f>IF(OR(存条明细!C924="",存条明细!D924=""),"",IF(COUNTIFS(存条明细!$C$4:C924,存条明细!C924,存条明细!$D$4:D924,存条明细!D924)&gt;1,"",IFERROR(MATCH(存条明细!C924,总览汇总!$B$5:$B$304,0),900)*10000000+IFERROR(MATCH(存条明细!D924,基础资料!$E$5:$E$104,0),900)*10000+ROW()))</f>
      </c>
      <c r="F924">
        <f>IF(AND(出库明细!C924&lt;&gt;"",出库明细!C924=客户对账单!$B$4,ISNUMBER(出库明细!B924),出库明细!B924&gt;=客户对账单!$G$4,出库明细!B924&lt;=客户对账单!$I$4),出库明细!B924+ROW()/100000,"")</f>
      </c>
      <c r="H924">
        <f>IF(AND(采购进货!C924&lt;&gt;"",采购进货!C924=供应商对账单!$B$4,ISNUMBER(采购进货!B924),采购进货!B924&gt;=供应商对账单!$G$4,采购进货!B924&lt;=供应商对账单!$I$4),采购进货!B924+ROW()/100000,"")</f>
      </c>
      <c r="N924">
        <f>IF(AND(ISNUMBER(出库明细!G924),ISNUMBER(出库明细!E924),ISNUMBER(出库明细!F924)),IF(ABS(出库明细!G924-出库明细!E924*出库明细!F924)&gt;0.005,1,0),0)</f>
        <v>0</v>
      </c>
      <c r="O924">
        <f>IF(AND(ISNUMBER(存条明细!G924),ISNUMBER(存条明细!E924),ISNUMBER(存条明细!F924)),IF(ABS(存条明细!G924-存条明细!E924*存条明细!F924)&gt;0.005,1,0),0)</f>
        <v>0</v>
      </c>
    </row>
    <row r="925">
      <c r="A925">
        <f>IF(OR(存条明细!C925="",存条明细!D925=""),"",IF(COUNTIFS(存条明细!$C$4:C925,存条明细!C925,存条明细!$D$4:D925,存条明细!D925)&gt;1,"",IFERROR(MATCH(存条明细!C925,总览汇总!$B$5:$B$304,0),900)*10000000+IFERROR(MATCH(存条明细!D925,基础资料!$E$5:$E$104,0),900)*10000+ROW()))</f>
      </c>
      <c r="F925">
        <f>IF(AND(出库明细!C925&lt;&gt;"",出库明细!C925=客户对账单!$B$4,ISNUMBER(出库明细!B925),出库明细!B925&gt;=客户对账单!$G$4,出库明细!B925&lt;=客户对账单!$I$4),出库明细!B925+ROW()/100000,"")</f>
      </c>
      <c r="H925">
        <f>IF(AND(采购进货!C925&lt;&gt;"",采购进货!C925=供应商对账单!$B$4,ISNUMBER(采购进货!B925),采购进货!B925&gt;=供应商对账单!$G$4,采购进货!B925&lt;=供应商对账单!$I$4),采购进货!B925+ROW()/100000,"")</f>
      </c>
      <c r="N925">
        <f>IF(AND(ISNUMBER(出库明细!G925),ISNUMBER(出库明细!E925),ISNUMBER(出库明细!F925)),IF(ABS(出库明细!G925-出库明细!E925*出库明细!F925)&gt;0.005,1,0),0)</f>
        <v>0</v>
      </c>
      <c r="O925">
        <f>IF(AND(ISNUMBER(存条明细!G925),ISNUMBER(存条明细!E925),ISNUMBER(存条明细!F925)),IF(ABS(存条明细!G925-存条明细!E925*存条明细!F925)&gt;0.005,1,0),0)</f>
        <v>0</v>
      </c>
    </row>
    <row r="926">
      <c r="A926">
        <f>IF(OR(存条明细!C926="",存条明细!D926=""),"",IF(COUNTIFS(存条明细!$C$4:C926,存条明细!C926,存条明细!$D$4:D926,存条明细!D926)&gt;1,"",IFERROR(MATCH(存条明细!C926,总览汇总!$B$5:$B$304,0),900)*10000000+IFERROR(MATCH(存条明细!D926,基础资料!$E$5:$E$104,0),900)*10000+ROW()))</f>
      </c>
      <c r="F926">
        <f>IF(AND(出库明细!C926&lt;&gt;"",出库明细!C926=客户对账单!$B$4,ISNUMBER(出库明细!B926),出库明细!B926&gt;=客户对账单!$G$4,出库明细!B926&lt;=客户对账单!$I$4),出库明细!B926+ROW()/100000,"")</f>
      </c>
      <c r="H926">
        <f>IF(AND(采购进货!C926&lt;&gt;"",采购进货!C926=供应商对账单!$B$4,ISNUMBER(采购进货!B926),采购进货!B926&gt;=供应商对账单!$G$4,采购进货!B926&lt;=供应商对账单!$I$4),采购进货!B926+ROW()/100000,"")</f>
      </c>
      <c r="N926">
        <f>IF(AND(ISNUMBER(出库明细!G926),ISNUMBER(出库明细!E926),ISNUMBER(出库明细!F926)),IF(ABS(出库明细!G926-出库明细!E926*出库明细!F926)&gt;0.005,1,0),0)</f>
        <v>0</v>
      </c>
      <c r="O926">
        <f>IF(AND(ISNUMBER(存条明细!G926),ISNUMBER(存条明细!E926),ISNUMBER(存条明细!F926)),IF(ABS(存条明细!G926-存条明细!E926*存条明细!F926)&gt;0.005,1,0),0)</f>
        <v>0</v>
      </c>
    </row>
    <row r="927">
      <c r="A927">
        <f>IF(OR(存条明细!C927="",存条明细!D927=""),"",IF(COUNTIFS(存条明细!$C$4:C927,存条明细!C927,存条明细!$D$4:D927,存条明细!D927)&gt;1,"",IFERROR(MATCH(存条明细!C927,总览汇总!$B$5:$B$304,0),900)*10000000+IFERROR(MATCH(存条明细!D927,基础资料!$E$5:$E$104,0),900)*10000+ROW()))</f>
      </c>
      <c r="F927">
        <f>IF(AND(出库明细!C927&lt;&gt;"",出库明细!C927=客户对账单!$B$4,ISNUMBER(出库明细!B927),出库明细!B927&gt;=客户对账单!$G$4,出库明细!B927&lt;=客户对账单!$I$4),出库明细!B927+ROW()/100000,"")</f>
      </c>
      <c r="H927">
        <f>IF(AND(采购进货!C927&lt;&gt;"",采购进货!C927=供应商对账单!$B$4,ISNUMBER(采购进货!B927),采购进货!B927&gt;=供应商对账单!$G$4,采购进货!B927&lt;=供应商对账单!$I$4),采购进货!B927+ROW()/100000,"")</f>
      </c>
      <c r="N927">
        <f>IF(AND(ISNUMBER(出库明细!G927),ISNUMBER(出库明细!E927),ISNUMBER(出库明细!F927)),IF(ABS(出库明细!G927-出库明细!E927*出库明细!F927)&gt;0.005,1,0),0)</f>
        <v>0</v>
      </c>
      <c r="O927">
        <f>IF(AND(ISNUMBER(存条明细!G927),ISNUMBER(存条明细!E927),ISNUMBER(存条明细!F927)),IF(ABS(存条明细!G927-存条明细!E927*存条明细!F927)&gt;0.005,1,0),0)</f>
        <v>0</v>
      </c>
    </row>
    <row r="928">
      <c r="A928">
        <f>IF(OR(存条明细!C928="",存条明细!D928=""),"",IF(COUNTIFS(存条明细!$C$4:C928,存条明细!C928,存条明细!$D$4:D928,存条明细!D928)&gt;1,"",IFERROR(MATCH(存条明细!C928,总览汇总!$B$5:$B$304,0),900)*10000000+IFERROR(MATCH(存条明细!D928,基础资料!$E$5:$E$104,0),900)*10000+ROW()))</f>
      </c>
      <c r="F928">
        <f>IF(AND(出库明细!C928&lt;&gt;"",出库明细!C928=客户对账单!$B$4,ISNUMBER(出库明细!B928),出库明细!B928&gt;=客户对账单!$G$4,出库明细!B928&lt;=客户对账单!$I$4),出库明细!B928+ROW()/100000,"")</f>
      </c>
      <c r="H928">
        <f>IF(AND(采购进货!C928&lt;&gt;"",采购进货!C928=供应商对账单!$B$4,ISNUMBER(采购进货!B928),采购进货!B928&gt;=供应商对账单!$G$4,采购进货!B928&lt;=供应商对账单!$I$4),采购进货!B928+ROW()/100000,"")</f>
      </c>
      <c r="N928">
        <f>IF(AND(ISNUMBER(出库明细!G928),ISNUMBER(出库明细!E928),ISNUMBER(出库明细!F928)),IF(ABS(出库明细!G928-出库明细!E928*出库明细!F928)&gt;0.005,1,0),0)</f>
        <v>0</v>
      </c>
      <c r="O928">
        <f>IF(AND(ISNUMBER(存条明细!G928),ISNUMBER(存条明细!E928),ISNUMBER(存条明细!F928)),IF(ABS(存条明细!G928-存条明细!E928*存条明细!F928)&gt;0.005,1,0),0)</f>
        <v>0</v>
      </c>
    </row>
    <row r="929">
      <c r="A929">
        <f>IF(OR(存条明细!C929="",存条明细!D929=""),"",IF(COUNTIFS(存条明细!$C$4:C929,存条明细!C929,存条明细!$D$4:D929,存条明细!D929)&gt;1,"",IFERROR(MATCH(存条明细!C929,总览汇总!$B$5:$B$304,0),900)*10000000+IFERROR(MATCH(存条明细!D929,基础资料!$E$5:$E$104,0),900)*10000+ROW()))</f>
      </c>
      <c r="F929">
        <f>IF(AND(出库明细!C929&lt;&gt;"",出库明细!C929=客户对账单!$B$4,ISNUMBER(出库明细!B929),出库明细!B929&gt;=客户对账单!$G$4,出库明细!B929&lt;=客户对账单!$I$4),出库明细!B929+ROW()/100000,"")</f>
      </c>
      <c r="H929">
        <f>IF(AND(采购进货!C929&lt;&gt;"",采购进货!C929=供应商对账单!$B$4,ISNUMBER(采购进货!B929),采购进货!B929&gt;=供应商对账单!$G$4,采购进货!B929&lt;=供应商对账单!$I$4),采购进货!B929+ROW()/100000,"")</f>
      </c>
      <c r="N929">
        <f>IF(AND(ISNUMBER(出库明细!G929),ISNUMBER(出库明细!E929),ISNUMBER(出库明细!F929)),IF(ABS(出库明细!G929-出库明细!E929*出库明细!F929)&gt;0.005,1,0),0)</f>
        <v>0</v>
      </c>
      <c r="O929">
        <f>IF(AND(ISNUMBER(存条明细!G929),ISNUMBER(存条明细!E929),ISNUMBER(存条明细!F929)),IF(ABS(存条明细!G929-存条明细!E929*存条明细!F929)&gt;0.005,1,0),0)</f>
        <v>0</v>
      </c>
    </row>
    <row r="930">
      <c r="A930">
        <f>IF(OR(存条明细!C930="",存条明细!D930=""),"",IF(COUNTIFS(存条明细!$C$4:C930,存条明细!C930,存条明细!$D$4:D930,存条明细!D930)&gt;1,"",IFERROR(MATCH(存条明细!C930,总览汇总!$B$5:$B$304,0),900)*10000000+IFERROR(MATCH(存条明细!D930,基础资料!$E$5:$E$104,0),900)*10000+ROW()))</f>
      </c>
      <c r="F930">
        <f>IF(AND(出库明细!C930&lt;&gt;"",出库明细!C930=客户对账单!$B$4,ISNUMBER(出库明细!B930),出库明细!B930&gt;=客户对账单!$G$4,出库明细!B930&lt;=客户对账单!$I$4),出库明细!B930+ROW()/100000,"")</f>
      </c>
      <c r="H930">
        <f>IF(AND(采购进货!C930&lt;&gt;"",采购进货!C930=供应商对账单!$B$4,ISNUMBER(采购进货!B930),采购进货!B930&gt;=供应商对账单!$G$4,采购进货!B930&lt;=供应商对账单!$I$4),采购进货!B930+ROW()/100000,"")</f>
      </c>
      <c r="N930">
        <f>IF(AND(ISNUMBER(出库明细!G930),ISNUMBER(出库明细!E930),ISNUMBER(出库明细!F930)),IF(ABS(出库明细!G930-出库明细!E930*出库明细!F930)&gt;0.005,1,0),0)</f>
        <v>0</v>
      </c>
      <c r="O930">
        <f>IF(AND(ISNUMBER(存条明细!G930),ISNUMBER(存条明细!E930),ISNUMBER(存条明细!F930)),IF(ABS(存条明细!G930-存条明细!E930*存条明细!F930)&gt;0.005,1,0),0)</f>
        <v>0</v>
      </c>
    </row>
    <row r="931">
      <c r="A931">
        <f>IF(OR(存条明细!C931="",存条明细!D931=""),"",IF(COUNTIFS(存条明细!$C$4:C931,存条明细!C931,存条明细!$D$4:D931,存条明细!D931)&gt;1,"",IFERROR(MATCH(存条明细!C931,总览汇总!$B$5:$B$304,0),900)*10000000+IFERROR(MATCH(存条明细!D931,基础资料!$E$5:$E$104,0),900)*10000+ROW()))</f>
      </c>
      <c r="F931">
        <f>IF(AND(出库明细!C931&lt;&gt;"",出库明细!C931=客户对账单!$B$4,ISNUMBER(出库明细!B931),出库明细!B931&gt;=客户对账单!$G$4,出库明细!B931&lt;=客户对账单!$I$4),出库明细!B931+ROW()/100000,"")</f>
      </c>
      <c r="H931">
        <f>IF(AND(采购进货!C931&lt;&gt;"",采购进货!C931=供应商对账单!$B$4,ISNUMBER(采购进货!B931),采购进货!B931&gt;=供应商对账单!$G$4,采购进货!B931&lt;=供应商对账单!$I$4),采购进货!B931+ROW()/100000,"")</f>
      </c>
      <c r="N931">
        <f>IF(AND(ISNUMBER(出库明细!G931),ISNUMBER(出库明细!E931),ISNUMBER(出库明细!F931)),IF(ABS(出库明细!G931-出库明细!E931*出库明细!F931)&gt;0.005,1,0),0)</f>
        <v>0</v>
      </c>
      <c r="O931">
        <f>IF(AND(ISNUMBER(存条明细!G931),ISNUMBER(存条明细!E931),ISNUMBER(存条明细!F931)),IF(ABS(存条明细!G931-存条明细!E931*存条明细!F931)&gt;0.005,1,0),0)</f>
        <v>0</v>
      </c>
    </row>
    <row r="932">
      <c r="A932">
        <f>IF(OR(存条明细!C932="",存条明细!D932=""),"",IF(COUNTIFS(存条明细!$C$4:C932,存条明细!C932,存条明细!$D$4:D932,存条明细!D932)&gt;1,"",IFERROR(MATCH(存条明细!C932,总览汇总!$B$5:$B$304,0),900)*10000000+IFERROR(MATCH(存条明细!D932,基础资料!$E$5:$E$104,0),900)*10000+ROW()))</f>
      </c>
      <c r="F932">
        <f>IF(AND(出库明细!C932&lt;&gt;"",出库明细!C932=客户对账单!$B$4,ISNUMBER(出库明细!B932),出库明细!B932&gt;=客户对账单!$G$4,出库明细!B932&lt;=客户对账单!$I$4),出库明细!B932+ROW()/100000,"")</f>
      </c>
      <c r="H932">
        <f>IF(AND(采购进货!C932&lt;&gt;"",采购进货!C932=供应商对账单!$B$4,ISNUMBER(采购进货!B932),采购进货!B932&gt;=供应商对账单!$G$4,采购进货!B932&lt;=供应商对账单!$I$4),采购进货!B932+ROW()/100000,"")</f>
      </c>
      <c r="N932">
        <f>IF(AND(ISNUMBER(出库明细!G932),ISNUMBER(出库明细!E932),ISNUMBER(出库明细!F932)),IF(ABS(出库明细!G932-出库明细!E932*出库明细!F932)&gt;0.005,1,0),0)</f>
        <v>0</v>
      </c>
      <c r="O932">
        <f>IF(AND(ISNUMBER(存条明细!G932),ISNUMBER(存条明细!E932),ISNUMBER(存条明细!F932)),IF(ABS(存条明细!G932-存条明细!E932*存条明细!F932)&gt;0.005,1,0),0)</f>
        <v>0</v>
      </c>
    </row>
    <row r="933">
      <c r="A933">
        <f>IF(OR(存条明细!C933="",存条明细!D933=""),"",IF(COUNTIFS(存条明细!$C$4:C933,存条明细!C933,存条明细!$D$4:D933,存条明细!D933)&gt;1,"",IFERROR(MATCH(存条明细!C933,总览汇总!$B$5:$B$304,0),900)*10000000+IFERROR(MATCH(存条明细!D933,基础资料!$E$5:$E$104,0),900)*10000+ROW()))</f>
      </c>
      <c r="F933">
        <f>IF(AND(出库明细!C933&lt;&gt;"",出库明细!C933=客户对账单!$B$4,ISNUMBER(出库明细!B933),出库明细!B933&gt;=客户对账单!$G$4,出库明细!B933&lt;=客户对账单!$I$4),出库明细!B933+ROW()/100000,"")</f>
      </c>
      <c r="H933">
        <f>IF(AND(采购进货!C933&lt;&gt;"",采购进货!C933=供应商对账单!$B$4,ISNUMBER(采购进货!B933),采购进货!B933&gt;=供应商对账单!$G$4,采购进货!B933&lt;=供应商对账单!$I$4),采购进货!B933+ROW()/100000,"")</f>
      </c>
      <c r="N933">
        <f>IF(AND(ISNUMBER(出库明细!G933),ISNUMBER(出库明细!E933),ISNUMBER(出库明细!F933)),IF(ABS(出库明细!G933-出库明细!E933*出库明细!F933)&gt;0.005,1,0),0)</f>
        <v>0</v>
      </c>
      <c r="O933">
        <f>IF(AND(ISNUMBER(存条明细!G933),ISNUMBER(存条明细!E933),ISNUMBER(存条明细!F933)),IF(ABS(存条明细!G933-存条明细!E933*存条明细!F933)&gt;0.005,1,0),0)</f>
        <v>0</v>
      </c>
    </row>
    <row r="934">
      <c r="A934">
        <f>IF(OR(存条明细!C934="",存条明细!D934=""),"",IF(COUNTIFS(存条明细!$C$4:C934,存条明细!C934,存条明细!$D$4:D934,存条明细!D934)&gt;1,"",IFERROR(MATCH(存条明细!C934,总览汇总!$B$5:$B$304,0),900)*10000000+IFERROR(MATCH(存条明细!D934,基础资料!$E$5:$E$104,0),900)*10000+ROW()))</f>
      </c>
      <c r="F934">
        <f>IF(AND(出库明细!C934&lt;&gt;"",出库明细!C934=客户对账单!$B$4,ISNUMBER(出库明细!B934),出库明细!B934&gt;=客户对账单!$G$4,出库明细!B934&lt;=客户对账单!$I$4),出库明细!B934+ROW()/100000,"")</f>
      </c>
      <c r="H934">
        <f>IF(AND(采购进货!C934&lt;&gt;"",采购进货!C934=供应商对账单!$B$4,ISNUMBER(采购进货!B934),采购进货!B934&gt;=供应商对账单!$G$4,采购进货!B934&lt;=供应商对账单!$I$4),采购进货!B934+ROW()/100000,"")</f>
      </c>
      <c r="N934">
        <f>IF(AND(ISNUMBER(出库明细!G934),ISNUMBER(出库明细!E934),ISNUMBER(出库明细!F934)),IF(ABS(出库明细!G934-出库明细!E934*出库明细!F934)&gt;0.005,1,0),0)</f>
        <v>0</v>
      </c>
      <c r="O934">
        <f>IF(AND(ISNUMBER(存条明细!G934),ISNUMBER(存条明细!E934),ISNUMBER(存条明细!F934)),IF(ABS(存条明细!G934-存条明细!E934*存条明细!F934)&gt;0.005,1,0),0)</f>
        <v>0</v>
      </c>
    </row>
    <row r="935">
      <c r="A935">
        <f>IF(OR(存条明细!C935="",存条明细!D935=""),"",IF(COUNTIFS(存条明细!$C$4:C935,存条明细!C935,存条明细!$D$4:D935,存条明细!D935)&gt;1,"",IFERROR(MATCH(存条明细!C935,总览汇总!$B$5:$B$304,0),900)*10000000+IFERROR(MATCH(存条明细!D935,基础资料!$E$5:$E$104,0),900)*10000+ROW()))</f>
      </c>
      <c r="F935">
        <f>IF(AND(出库明细!C935&lt;&gt;"",出库明细!C935=客户对账单!$B$4,ISNUMBER(出库明细!B935),出库明细!B935&gt;=客户对账单!$G$4,出库明细!B935&lt;=客户对账单!$I$4),出库明细!B935+ROW()/100000,"")</f>
      </c>
      <c r="H935">
        <f>IF(AND(采购进货!C935&lt;&gt;"",采购进货!C935=供应商对账单!$B$4,ISNUMBER(采购进货!B935),采购进货!B935&gt;=供应商对账单!$G$4,采购进货!B935&lt;=供应商对账单!$I$4),采购进货!B935+ROW()/100000,"")</f>
      </c>
      <c r="N935">
        <f>IF(AND(ISNUMBER(出库明细!G935),ISNUMBER(出库明细!E935),ISNUMBER(出库明细!F935)),IF(ABS(出库明细!G935-出库明细!E935*出库明细!F935)&gt;0.005,1,0),0)</f>
        <v>0</v>
      </c>
      <c r="O935">
        <f>IF(AND(ISNUMBER(存条明细!G935),ISNUMBER(存条明细!E935),ISNUMBER(存条明细!F935)),IF(ABS(存条明细!G935-存条明细!E935*存条明细!F935)&gt;0.005,1,0),0)</f>
        <v>0</v>
      </c>
    </row>
    <row r="936">
      <c r="A936">
        <f>IF(OR(存条明细!C936="",存条明细!D936=""),"",IF(COUNTIFS(存条明细!$C$4:C936,存条明细!C936,存条明细!$D$4:D936,存条明细!D936)&gt;1,"",IFERROR(MATCH(存条明细!C936,总览汇总!$B$5:$B$304,0),900)*10000000+IFERROR(MATCH(存条明细!D936,基础资料!$E$5:$E$104,0),900)*10000+ROW()))</f>
      </c>
      <c r="F936">
        <f>IF(AND(出库明细!C936&lt;&gt;"",出库明细!C936=客户对账单!$B$4,ISNUMBER(出库明细!B936),出库明细!B936&gt;=客户对账单!$G$4,出库明细!B936&lt;=客户对账单!$I$4),出库明细!B936+ROW()/100000,"")</f>
      </c>
      <c r="H936">
        <f>IF(AND(采购进货!C936&lt;&gt;"",采购进货!C936=供应商对账单!$B$4,ISNUMBER(采购进货!B936),采购进货!B936&gt;=供应商对账单!$G$4,采购进货!B936&lt;=供应商对账单!$I$4),采购进货!B936+ROW()/100000,"")</f>
      </c>
      <c r="N936">
        <f>IF(AND(ISNUMBER(出库明细!G936),ISNUMBER(出库明细!E936),ISNUMBER(出库明细!F936)),IF(ABS(出库明细!G936-出库明细!E936*出库明细!F936)&gt;0.005,1,0),0)</f>
        <v>0</v>
      </c>
      <c r="O936">
        <f>IF(AND(ISNUMBER(存条明细!G936),ISNUMBER(存条明细!E936),ISNUMBER(存条明细!F936)),IF(ABS(存条明细!G936-存条明细!E936*存条明细!F936)&gt;0.005,1,0),0)</f>
        <v>0</v>
      </c>
    </row>
    <row r="937">
      <c r="A937">
        <f>IF(OR(存条明细!C937="",存条明细!D937=""),"",IF(COUNTIFS(存条明细!$C$4:C937,存条明细!C937,存条明细!$D$4:D937,存条明细!D937)&gt;1,"",IFERROR(MATCH(存条明细!C937,总览汇总!$B$5:$B$304,0),900)*10000000+IFERROR(MATCH(存条明细!D937,基础资料!$E$5:$E$104,0),900)*10000+ROW()))</f>
      </c>
      <c r="F937">
        <f>IF(AND(出库明细!C937&lt;&gt;"",出库明细!C937=客户对账单!$B$4,ISNUMBER(出库明细!B937),出库明细!B937&gt;=客户对账单!$G$4,出库明细!B937&lt;=客户对账单!$I$4),出库明细!B937+ROW()/100000,"")</f>
      </c>
      <c r="H937">
        <f>IF(AND(采购进货!C937&lt;&gt;"",采购进货!C937=供应商对账单!$B$4,ISNUMBER(采购进货!B937),采购进货!B937&gt;=供应商对账单!$G$4,采购进货!B937&lt;=供应商对账单!$I$4),采购进货!B937+ROW()/100000,"")</f>
      </c>
      <c r="N937">
        <f>IF(AND(ISNUMBER(出库明细!G937),ISNUMBER(出库明细!E937),ISNUMBER(出库明细!F937)),IF(ABS(出库明细!G937-出库明细!E937*出库明细!F937)&gt;0.005,1,0),0)</f>
        <v>0</v>
      </c>
      <c r="O937">
        <f>IF(AND(ISNUMBER(存条明细!G937),ISNUMBER(存条明细!E937),ISNUMBER(存条明细!F937)),IF(ABS(存条明细!G937-存条明细!E937*存条明细!F937)&gt;0.005,1,0),0)</f>
        <v>0</v>
      </c>
    </row>
    <row r="938">
      <c r="A938">
        <f>IF(OR(存条明细!C938="",存条明细!D938=""),"",IF(COUNTIFS(存条明细!$C$4:C938,存条明细!C938,存条明细!$D$4:D938,存条明细!D938)&gt;1,"",IFERROR(MATCH(存条明细!C938,总览汇总!$B$5:$B$304,0),900)*10000000+IFERROR(MATCH(存条明细!D938,基础资料!$E$5:$E$104,0),900)*10000+ROW()))</f>
      </c>
      <c r="F938">
        <f>IF(AND(出库明细!C938&lt;&gt;"",出库明细!C938=客户对账单!$B$4,ISNUMBER(出库明细!B938),出库明细!B938&gt;=客户对账单!$G$4,出库明细!B938&lt;=客户对账单!$I$4),出库明细!B938+ROW()/100000,"")</f>
      </c>
      <c r="H938">
        <f>IF(AND(采购进货!C938&lt;&gt;"",采购进货!C938=供应商对账单!$B$4,ISNUMBER(采购进货!B938),采购进货!B938&gt;=供应商对账单!$G$4,采购进货!B938&lt;=供应商对账单!$I$4),采购进货!B938+ROW()/100000,"")</f>
      </c>
      <c r="N938">
        <f>IF(AND(ISNUMBER(出库明细!G938),ISNUMBER(出库明细!E938),ISNUMBER(出库明细!F938)),IF(ABS(出库明细!G938-出库明细!E938*出库明细!F938)&gt;0.005,1,0),0)</f>
        <v>0</v>
      </c>
      <c r="O938">
        <f>IF(AND(ISNUMBER(存条明细!G938),ISNUMBER(存条明细!E938),ISNUMBER(存条明细!F938)),IF(ABS(存条明细!G938-存条明细!E938*存条明细!F938)&gt;0.005,1,0),0)</f>
        <v>0</v>
      </c>
    </row>
    <row r="939">
      <c r="A939">
        <f>IF(OR(存条明细!C939="",存条明细!D939=""),"",IF(COUNTIFS(存条明细!$C$4:C939,存条明细!C939,存条明细!$D$4:D939,存条明细!D939)&gt;1,"",IFERROR(MATCH(存条明细!C939,总览汇总!$B$5:$B$304,0),900)*10000000+IFERROR(MATCH(存条明细!D939,基础资料!$E$5:$E$104,0),900)*10000+ROW()))</f>
      </c>
      <c r="F939">
        <f>IF(AND(出库明细!C939&lt;&gt;"",出库明细!C939=客户对账单!$B$4,ISNUMBER(出库明细!B939),出库明细!B939&gt;=客户对账单!$G$4,出库明细!B939&lt;=客户对账单!$I$4),出库明细!B939+ROW()/100000,"")</f>
      </c>
      <c r="H939">
        <f>IF(AND(采购进货!C939&lt;&gt;"",采购进货!C939=供应商对账单!$B$4,ISNUMBER(采购进货!B939),采购进货!B939&gt;=供应商对账单!$G$4,采购进货!B939&lt;=供应商对账单!$I$4),采购进货!B939+ROW()/100000,"")</f>
      </c>
      <c r="N939">
        <f>IF(AND(ISNUMBER(出库明细!G939),ISNUMBER(出库明细!E939),ISNUMBER(出库明细!F939)),IF(ABS(出库明细!G939-出库明细!E939*出库明细!F939)&gt;0.005,1,0),0)</f>
        <v>0</v>
      </c>
      <c r="O939">
        <f>IF(AND(ISNUMBER(存条明细!G939),ISNUMBER(存条明细!E939),ISNUMBER(存条明细!F939)),IF(ABS(存条明细!G939-存条明细!E939*存条明细!F939)&gt;0.005,1,0),0)</f>
        <v>0</v>
      </c>
    </row>
    <row r="940">
      <c r="A940">
        <f>IF(OR(存条明细!C940="",存条明细!D940=""),"",IF(COUNTIFS(存条明细!$C$4:C940,存条明细!C940,存条明细!$D$4:D940,存条明细!D940)&gt;1,"",IFERROR(MATCH(存条明细!C940,总览汇总!$B$5:$B$304,0),900)*10000000+IFERROR(MATCH(存条明细!D940,基础资料!$E$5:$E$104,0),900)*10000+ROW()))</f>
      </c>
      <c r="F940">
        <f>IF(AND(出库明细!C940&lt;&gt;"",出库明细!C940=客户对账单!$B$4,ISNUMBER(出库明细!B940),出库明细!B940&gt;=客户对账单!$G$4,出库明细!B940&lt;=客户对账单!$I$4),出库明细!B940+ROW()/100000,"")</f>
      </c>
      <c r="H940">
        <f>IF(AND(采购进货!C940&lt;&gt;"",采购进货!C940=供应商对账单!$B$4,ISNUMBER(采购进货!B940),采购进货!B940&gt;=供应商对账单!$G$4,采购进货!B940&lt;=供应商对账单!$I$4),采购进货!B940+ROW()/100000,"")</f>
      </c>
      <c r="N940">
        <f>IF(AND(ISNUMBER(出库明细!G940),ISNUMBER(出库明细!E940),ISNUMBER(出库明细!F940)),IF(ABS(出库明细!G940-出库明细!E940*出库明细!F940)&gt;0.005,1,0),0)</f>
        <v>0</v>
      </c>
      <c r="O940">
        <f>IF(AND(ISNUMBER(存条明细!G940),ISNUMBER(存条明细!E940),ISNUMBER(存条明细!F940)),IF(ABS(存条明细!G940-存条明细!E940*存条明细!F940)&gt;0.005,1,0),0)</f>
        <v>0</v>
      </c>
    </row>
    <row r="941">
      <c r="A941">
        <f>IF(OR(存条明细!C941="",存条明细!D941=""),"",IF(COUNTIFS(存条明细!$C$4:C941,存条明细!C941,存条明细!$D$4:D941,存条明细!D941)&gt;1,"",IFERROR(MATCH(存条明细!C941,总览汇总!$B$5:$B$304,0),900)*10000000+IFERROR(MATCH(存条明细!D941,基础资料!$E$5:$E$104,0),900)*10000+ROW()))</f>
      </c>
      <c r="F941">
        <f>IF(AND(出库明细!C941&lt;&gt;"",出库明细!C941=客户对账单!$B$4,ISNUMBER(出库明细!B941),出库明细!B941&gt;=客户对账单!$G$4,出库明细!B941&lt;=客户对账单!$I$4),出库明细!B941+ROW()/100000,"")</f>
      </c>
      <c r="H941">
        <f>IF(AND(采购进货!C941&lt;&gt;"",采购进货!C941=供应商对账单!$B$4,ISNUMBER(采购进货!B941),采购进货!B941&gt;=供应商对账单!$G$4,采购进货!B941&lt;=供应商对账单!$I$4),采购进货!B941+ROW()/100000,"")</f>
      </c>
      <c r="N941">
        <f>IF(AND(ISNUMBER(出库明细!G941),ISNUMBER(出库明细!E941),ISNUMBER(出库明细!F941)),IF(ABS(出库明细!G941-出库明细!E941*出库明细!F941)&gt;0.005,1,0),0)</f>
        <v>0</v>
      </c>
      <c r="O941">
        <f>IF(AND(ISNUMBER(存条明细!G941),ISNUMBER(存条明细!E941),ISNUMBER(存条明细!F941)),IF(ABS(存条明细!G941-存条明细!E941*存条明细!F941)&gt;0.005,1,0),0)</f>
        <v>0</v>
      </c>
    </row>
    <row r="942">
      <c r="A942">
        <f>IF(OR(存条明细!C942="",存条明细!D942=""),"",IF(COUNTIFS(存条明细!$C$4:C942,存条明细!C942,存条明细!$D$4:D942,存条明细!D942)&gt;1,"",IFERROR(MATCH(存条明细!C942,总览汇总!$B$5:$B$304,0),900)*10000000+IFERROR(MATCH(存条明细!D942,基础资料!$E$5:$E$104,0),900)*10000+ROW()))</f>
      </c>
      <c r="F942">
        <f>IF(AND(出库明细!C942&lt;&gt;"",出库明细!C942=客户对账单!$B$4,ISNUMBER(出库明细!B942),出库明细!B942&gt;=客户对账单!$G$4,出库明细!B942&lt;=客户对账单!$I$4),出库明细!B942+ROW()/100000,"")</f>
      </c>
      <c r="H942">
        <f>IF(AND(采购进货!C942&lt;&gt;"",采购进货!C942=供应商对账单!$B$4,ISNUMBER(采购进货!B942),采购进货!B942&gt;=供应商对账单!$G$4,采购进货!B942&lt;=供应商对账单!$I$4),采购进货!B942+ROW()/100000,"")</f>
      </c>
      <c r="N942">
        <f>IF(AND(ISNUMBER(出库明细!G942),ISNUMBER(出库明细!E942),ISNUMBER(出库明细!F942)),IF(ABS(出库明细!G942-出库明细!E942*出库明细!F942)&gt;0.005,1,0),0)</f>
        <v>0</v>
      </c>
      <c r="O942">
        <f>IF(AND(ISNUMBER(存条明细!G942),ISNUMBER(存条明细!E942),ISNUMBER(存条明细!F942)),IF(ABS(存条明细!G942-存条明细!E942*存条明细!F942)&gt;0.005,1,0),0)</f>
        <v>0</v>
      </c>
    </row>
    <row r="943">
      <c r="A943">
        <f>IF(OR(存条明细!C943="",存条明细!D943=""),"",IF(COUNTIFS(存条明细!$C$4:C943,存条明细!C943,存条明细!$D$4:D943,存条明细!D943)&gt;1,"",IFERROR(MATCH(存条明细!C943,总览汇总!$B$5:$B$304,0),900)*10000000+IFERROR(MATCH(存条明细!D943,基础资料!$E$5:$E$104,0),900)*10000+ROW()))</f>
      </c>
      <c r="F943">
        <f>IF(AND(出库明细!C943&lt;&gt;"",出库明细!C943=客户对账单!$B$4,ISNUMBER(出库明细!B943),出库明细!B943&gt;=客户对账单!$G$4,出库明细!B943&lt;=客户对账单!$I$4),出库明细!B943+ROW()/100000,"")</f>
      </c>
      <c r="H943">
        <f>IF(AND(采购进货!C943&lt;&gt;"",采购进货!C943=供应商对账单!$B$4,ISNUMBER(采购进货!B943),采购进货!B943&gt;=供应商对账单!$G$4,采购进货!B943&lt;=供应商对账单!$I$4),采购进货!B943+ROW()/100000,"")</f>
      </c>
      <c r="N943">
        <f>IF(AND(ISNUMBER(出库明细!G943),ISNUMBER(出库明细!E943),ISNUMBER(出库明细!F943)),IF(ABS(出库明细!G943-出库明细!E943*出库明细!F943)&gt;0.005,1,0),0)</f>
        <v>0</v>
      </c>
      <c r="O943">
        <f>IF(AND(ISNUMBER(存条明细!G943),ISNUMBER(存条明细!E943),ISNUMBER(存条明细!F943)),IF(ABS(存条明细!G943-存条明细!E943*存条明细!F943)&gt;0.005,1,0),0)</f>
        <v>0</v>
      </c>
    </row>
    <row r="944">
      <c r="A944">
        <f>IF(OR(存条明细!C944="",存条明细!D944=""),"",IF(COUNTIFS(存条明细!$C$4:C944,存条明细!C944,存条明细!$D$4:D944,存条明细!D944)&gt;1,"",IFERROR(MATCH(存条明细!C944,总览汇总!$B$5:$B$304,0),900)*10000000+IFERROR(MATCH(存条明细!D944,基础资料!$E$5:$E$104,0),900)*10000+ROW()))</f>
      </c>
      <c r="F944">
        <f>IF(AND(出库明细!C944&lt;&gt;"",出库明细!C944=客户对账单!$B$4,ISNUMBER(出库明细!B944),出库明细!B944&gt;=客户对账单!$G$4,出库明细!B944&lt;=客户对账单!$I$4),出库明细!B944+ROW()/100000,"")</f>
      </c>
      <c r="H944">
        <f>IF(AND(采购进货!C944&lt;&gt;"",采购进货!C944=供应商对账单!$B$4,ISNUMBER(采购进货!B944),采购进货!B944&gt;=供应商对账单!$G$4,采购进货!B944&lt;=供应商对账单!$I$4),采购进货!B944+ROW()/100000,"")</f>
      </c>
      <c r="N944">
        <f>IF(AND(ISNUMBER(出库明细!G944),ISNUMBER(出库明细!E944),ISNUMBER(出库明细!F944)),IF(ABS(出库明细!G944-出库明细!E944*出库明细!F944)&gt;0.005,1,0),0)</f>
        <v>0</v>
      </c>
      <c r="O944">
        <f>IF(AND(ISNUMBER(存条明细!G944),ISNUMBER(存条明细!E944),ISNUMBER(存条明细!F944)),IF(ABS(存条明细!G944-存条明细!E944*存条明细!F944)&gt;0.005,1,0),0)</f>
        <v>0</v>
      </c>
    </row>
    <row r="945">
      <c r="A945">
        <f>IF(OR(存条明细!C945="",存条明细!D945=""),"",IF(COUNTIFS(存条明细!$C$4:C945,存条明细!C945,存条明细!$D$4:D945,存条明细!D945)&gt;1,"",IFERROR(MATCH(存条明细!C945,总览汇总!$B$5:$B$304,0),900)*10000000+IFERROR(MATCH(存条明细!D945,基础资料!$E$5:$E$104,0),900)*10000+ROW()))</f>
      </c>
      <c r="F945">
        <f>IF(AND(出库明细!C945&lt;&gt;"",出库明细!C945=客户对账单!$B$4,ISNUMBER(出库明细!B945),出库明细!B945&gt;=客户对账单!$G$4,出库明细!B945&lt;=客户对账单!$I$4),出库明细!B945+ROW()/100000,"")</f>
      </c>
      <c r="H945">
        <f>IF(AND(采购进货!C945&lt;&gt;"",采购进货!C945=供应商对账单!$B$4,ISNUMBER(采购进货!B945),采购进货!B945&gt;=供应商对账单!$G$4,采购进货!B945&lt;=供应商对账单!$I$4),采购进货!B945+ROW()/100000,"")</f>
      </c>
      <c r="N945">
        <f>IF(AND(ISNUMBER(出库明细!G945),ISNUMBER(出库明细!E945),ISNUMBER(出库明细!F945)),IF(ABS(出库明细!G945-出库明细!E945*出库明细!F945)&gt;0.005,1,0),0)</f>
        <v>0</v>
      </c>
      <c r="O945">
        <f>IF(AND(ISNUMBER(存条明细!G945),ISNUMBER(存条明细!E945),ISNUMBER(存条明细!F945)),IF(ABS(存条明细!G945-存条明细!E945*存条明细!F945)&gt;0.005,1,0),0)</f>
        <v>0</v>
      </c>
    </row>
    <row r="946">
      <c r="A946">
        <f>IF(OR(存条明细!C946="",存条明细!D946=""),"",IF(COUNTIFS(存条明细!$C$4:C946,存条明细!C946,存条明细!$D$4:D946,存条明细!D946)&gt;1,"",IFERROR(MATCH(存条明细!C946,总览汇总!$B$5:$B$304,0),900)*10000000+IFERROR(MATCH(存条明细!D946,基础资料!$E$5:$E$104,0),900)*10000+ROW()))</f>
      </c>
      <c r="F946">
        <f>IF(AND(出库明细!C946&lt;&gt;"",出库明细!C946=客户对账单!$B$4,ISNUMBER(出库明细!B946),出库明细!B946&gt;=客户对账单!$G$4,出库明细!B946&lt;=客户对账单!$I$4),出库明细!B946+ROW()/100000,"")</f>
      </c>
      <c r="H946">
        <f>IF(AND(采购进货!C946&lt;&gt;"",采购进货!C946=供应商对账单!$B$4,ISNUMBER(采购进货!B946),采购进货!B946&gt;=供应商对账单!$G$4,采购进货!B946&lt;=供应商对账单!$I$4),采购进货!B946+ROW()/100000,"")</f>
      </c>
      <c r="N946">
        <f>IF(AND(ISNUMBER(出库明细!G946),ISNUMBER(出库明细!E946),ISNUMBER(出库明细!F946)),IF(ABS(出库明细!G946-出库明细!E946*出库明细!F946)&gt;0.005,1,0),0)</f>
        <v>0</v>
      </c>
      <c r="O946">
        <f>IF(AND(ISNUMBER(存条明细!G946),ISNUMBER(存条明细!E946),ISNUMBER(存条明细!F946)),IF(ABS(存条明细!G946-存条明细!E946*存条明细!F946)&gt;0.005,1,0),0)</f>
        <v>0</v>
      </c>
    </row>
    <row r="947">
      <c r="A947">
        <f>IF(OR(存条明细!C947="",存条明细!D947=""),"",IF(COUNTIFS(存条明细!$C$4:C947,存条明细!C947,存条明细!$D$4:D947,存条明细!D947)&gt;1,"",IFERROR(MATCH(存条明细!C947,总览汇总!$B$5:$B$304,0),900)*10000000+IFERROR(MATCH(存条明细!D947,基础资料!$E$5:$E$104,0),900)*10000+ROW()))</f>
      </c>
      <c r="F947">
        <f>IF(AND(出库明细!C947&lt;&gt;"",出库明细!C947=客户对账单!$B$4,ISNUMBER(出库明细!B947),出库明细!B947&gt;=客户对账单!$G$4,出库明细!B947&lt;=客户对账单!$I$4),出库明细!B947+ROW()/100000,"")</f>
      </c>
      <c r="H947">
        <f>IF(AND(采购进货!C947&lt;&gt;"",采购进货!C947=供应商对账单!$B$4,ISNUMBER(采购进货!B947),采购进货!B947&gt;=供应商对账单!$G$4,采购进货!B947&lt;=供应商对账单!$I$4),采购进货!B947+ROW()/100000,"")</f>
      </c>
      <c r="N947">
        <f>IF(AND(ISNUMBER(出库明细!G947),ISNUMBER(出库明细!E947),ISNUMBER(出库明细!F947)),IF(ABS(出库明细!G947-出库明细!E947*出库明细!F947)&gt;0.005,1,0),0)</f>
        <v>0</v>
      </c>
      <c r="O947">
        <f>IF(AND(ISNUMBER(存条明细!G947),ISNUMBER(存条明细!E947),ISNUMBER(存条明细!F947)),IF(ABS(存条明细!G947-存条明细!E947*存条明细!F947)&gt;0.005,1,0),0)</f>
        <v>0</v>
      </c>
    </row>
    <row r="948">
      <c r="A948">
        <f>IF(OR(存条明细!C948="",存条明细!D948=""),"",IF(COUNTIFS(存条明细!$C$4:C948,存条明细!C948,存条明细!$D$4:D948,存条明细!D948)&gt;1,"",IFERROR(MATCH(存条明细!C948,总览汇总!$B$5:$B$304,0),900)*10000000+IFERROR(MATCH(存条明细!D948,基础资料!$E$5:$E$104,0),900)*10000+ROW()))</f>
      </c>
      <c r="F948">
        <f>IF(AND(出库明细!C948&lt;&gt;"",出库明细!C948=客户对账单!$B$4,ISNUMBER(出库明细!B948),出库明细!B948&gt;=客户对账单!$G$4,出库明细!B948&lt;=客户对账单!$I$4),出库明细!B948+ROW()/100000,"")</f>
      </c>
      <c r="H948">
        <f>IF(AND(采购进货!C948&lt;&gt;"",采购进货!C948=供应商对账单!$B$4,ISNUMBER(采购进货!B948),采购进货!B948&gt;=供应商对账单!$G$4,采购进货!B948&lt;=供应商对账单!$I$4),采购进货!B948+ROW()/100000,"")</f>
      </c>
      <c r="N948">
        <f>IF(AND(ISNUMBER(出库明细!G948),ISNUMBER(出库明细!E948),ISNUMBER(出库明细!F948)),IF(ABS(出库明细!G948-出库明细!E948*出库明细!F948)&gt;0.005,1,0),0)</f>
        <v>0</v>
      </c>
      <c r="O948">
        <f>IF(AND(ISNUMBER(存条明细!G948),ISNUMBER(存条明细!E948),ISNUMBER(存条明细!F948)),IF(ABS(存条明细!G948-存条明细!E948*存条明细!F948)&gt;0.005,1,0),0)</f>
        <v>0</v>
      </c>
    </row>
    <row r="949">
      <c r="A949">
        <f>IF(OR(存条明细!C949="",存条明细!D949=""),"",IF(COUNTIFS(存条明细!$C$4:C949,存条明细!C949,存条明细!$D$4:D949,存条明细!D949)&gt;1,"",IFERROR(MATCH(存条明细!C949,总览汇总!$B$5:$B$304,0),900)*10000000+IFERROR(MATCH(存条明细!D949,基础资料!$E$5:$E$104,0),900)*10000+ROW()))</f>
      </c>
      <c r="F949">
        <f>IF(AND(出库明细!C949&lt;&gt;"",出库明细!C949=客户对账单!$B$4,ISNUMBER(出库明细!B949),出库明细!B949&gt;=客户对账单!$G$4,出库明细!B949&lt;=客户对账单!$I$4),出库明细!B949+ROW()/100000,"")</f>
      </c>
      <c r="H949">
        <f>IF(AND(采购进货!C949&lt;&gt;"",采购进货!C949=供应商对账单!$B$4,ISNUMBER(采购进货!B949),采购进货!B949&gt;=供应商对账单!$G$4,采购进货!B949&lt;=供应商对账单!$I$4),采购进货!B949+ROW()/100000,"")</f>
      </c>
      <c r="N949">
        <f>IF(AND(ISNUMBER(出库明细!G949),ISNUMBER(出库明细!E949),ISNUMBER(出库明细!F949)),IF(ABS(出库明细!G949-出库明细!E949*出库明细!F949)&gt;0.005,1,0),0)</f>
        <v>0</v>
      </c>
      <c r="O949">
        <f>IF(AND(ISNUMBER(存条明细!G949),ISNUMBER(存条明细!E949),ISNUMBER(存条明细!F949)),IF(ABS(存条明细!G949-存条明细!E949*存条明细!F949)&gt;0.005,1,0),0)</f>
        <v>0</v>
      </c>
    </row>
    <row r="950">
      <c r="A950">
        <f>IF(OR(存条明细!C950="",存条明细!D950=""),"",IF(COUNTIFS(存条明细!$C$4:C950,存条明细!C950,存条明细!$D$4:D950,存条明细!D950)&gt;1,"",IFERROR(MATCH(存条明细!C950,总览汇总!$B$5:$B$304,0),900)*10000000+IFERROR(MATCH(存条明细!D950,基础资料!$E$5:$E$104,0),900)*10000+ROW()))</f>
      </c>
      <c r="F950">
        <f>IF(AND(出库明细!C950&lt;&gt;"",出库明细!C950=客户对账单!$B$4,ISNUMBER(出库明细!B950),出库明细!B950&gt;=客户对账单!$G$4,出库明细!B950&lt;=客户对账单!$I$4),出库明细!B950+ROW()/100000,"")</f>
      </c>
      <c r="H950">
        <f>IF(AND(采购进货!C950&lt;&gt;"",采购进货!C950=供应商对账单!$B$4,ISNUMBER(采购进货!B950),采购进货!B950&gt;=供应商对账单!$G$4,采购进货!B950&lt;=供应商对账单!$I$4),采购进货!B950+ROW()/100000,"")</f>
      </c>
      <c r="N950">
        <f>IF(AND(ISNUMBER(出库明细!G950),ISNUMBER(出库明细!E950),ISNUMBER(出库明细!F950)),IF(ABS(出库明细!G950-出库明细!E950*出库明细!F950)&gt;0.005,1,0),0)</f>
        <v>0</v>
      </c>
      <c r="O950">
        <f>IF(AND(ISNUMBER(存条明细!G950),ISNUMBER(存条明细!E950),ISNUMBER(存条明细!F950)),IF(ABS(存条明细!G950-存条明细!E950*存条明细!F950)&gt;0.005,1,0),0)</f>
        <v>0</v>
      </c>
    </row>
    <row r="951">
      <c r="A951">
        <f>IF(OR(存条明细!C951="",存条明细!D951=""),"",IF(COUNTIFS(存条明细!$C$4:C951,存条明细!C951,存条明细!$D$4:D951,存条明细!D951)&gt;1,"",IFERROR(MATCH(存条明细!C951,总览汇总!$B$5:$B$304,0),900)*10000000+IFERROR(MATCH(存条明细!D951,基础资料!$E$5:$E$104,0),900)*10000+ROW()))</f>
      </c>
      <c r="F951">
        <f>IF(AND(出库明细!C951&lt;&gt;"",出库明细!C951=客户对账单!$B$4,ISNUMBER(出库明细!B951),出库明细!B951&gt;=客户对账单!$G$4,出库明细!B951&lt;=客户对账单!$I$4),出库明细!B951+ROW()/100000,"")</f>
      </c>
      <c r="H951">
        <f>IF(AND(采购进货!C951&lt;&gt;"",采购进货!C951=供应商对账单!$B$4,ISNUMBER(采购进货!B951),采购进货!B951&gt;=供应商对账单!$G$4,采购进货!B951&lt;=供应商对账单!$I$4),采购进货!B951+ROW()/100000,"")</f>
      </c>
      <c r="N951">
        <f>IF(AND(ISNUMBER(出库明细!G951),ISNUMBER(出库明细!E951),ISNUMBER(出库明细!F951)),IF(ABS(出库明细!G951-出库明细!E951*出库明细!F951)&gt;0.005,1,0),0)</f>
        <v>0</v>
      </c>
      <c r="O951">
        <f>IF(AND(ISNUMBER(存条明细!G951),ISNUMBER(存条明细!E951),ISNUMBER(存条明细!F951)),IF(ABS(存条明细!G951-存条明细!E951*存条明细!F951)&gt;0.005,1,0),0)</f>
        <v>0</v>
      </c>
    </row>
    <row r="952">
      <c r="A952">
        <f>IF(OR(存条明细!C952="",存条明细!D952=""),"",IF(COUNTIFS(存条明细!$C$4:C952,存条明细!C952,存条明细!$D$4:D952,存条明细!D952)&gt;1,"",IFERROR(MATCH(存条明细!C952,总览汇总!$B$5:$B$304,0),900)*10000000+IFERROR(MATCH(存条明细!D952,基础资料!$E$5:$E$104,0),900)*10000+ROW()))</f>
      </c>
      <c r="F952">
        <f>IF(AND(出库明细!C952&lt;&gt;"",出库明细!C952=客户对账单!$B$4,ISNUMBER(出库明细!B952),出库明细!B952&gt;=客户对账单!$G$4,出库明细!B952&lt;=客户对账单!$I$4),出库明细!B952+ROW()/100000,"")</f>
      </c>
      <c r="H952">
        <f>IF(AND(采购进货!C952&lt;&gt;"",采购进货!C952=供应商对账单!$B$4,ISNUMBER(采购进货!B952),采购进货!B952&gt;=供应商对账单!$G$4,采购进货!B952&lt;=供应商对账单!$I$4),采购进货!B952+ROW()/100000,"")</f>
      </c>
      <c r="N952">
        <f>IF(AND(ISNUMBER(出库明细!G952),ISNUMBER(出库明细!E952),ISNUMBER(出库明细!F952)),IF(ABS(出库明细!G952-出库明细!E952*出库明细!F952)&gt;0.005,1,0),0)</f>
        <v>0</v>
      </c>
      <c r="O952">
        <f>IF(AND(ISNUMBER(存条明细!G952),ISNUMBER(存条明细!E952),ISNUMBER(存条明细!F952)),IF(ABS(存条明细!G952-存条明细!E952*存条明细!F952)&gt;0.005,1,0),0)</f>
        <v>0</v>
      </c>
    </row>
    <row r="953">
      <c r="A953">
        <f>IF(OR(存条明细!C953="",存条明细!D953=""),"",IF(COUNTIFS(存条明细!$C$4:C953,存条明细!C953,存条明细!$D$4:D953,存条明细!D953)&gt;1,"",IFERROR(MATCH(存条明细!C953,总览汇总!$B$5:$B$304,0),900)*10000000+IFERROR(MATCH(存条明细!D953,基础资料!$E$5:$E$104,0),900)*10000+ROW()))</f>
      </c>
      <c r="F953">
        <f>IF(AND(出库明细!C953&lt;&gt;"",出库明细!C953=客户对账单!$B$4,ISNUMBER(出库明细!B953),出库明细!B953&gt;=客户对账单!$G$4,出库明细!B953&lt;=客户对账单!$I$4),出库明细!B953+ROW()/100000,"")</f>
      </c>
      <c r="H953">
        <f>IF(AND(采购进货!C953&lt;&gt;"",采购进货!C953=供应商对账单!$B$4,ISNUMBER(采购进货!B953),采购进货!B953&gt;=供应商对账单!$G$4,采购进货!B953&lt;=供应商对账单!$I$4),采购进货!B953+ROW()/100000,"")</f>
      </c>
      <c r="N953">
        <f>IF(AND(ISNUMBER(出库明细!G953),ISNUMBER(出库明细!E953),ISNUMBER(出库明细!F953)),IF(ABS(出库明细!G953-出库明细!E953*出库明细!F953)&gt;0.005,1,0),0)</f>
        <v>0</v>
      </c>
      <c r="O953">
        <f>IF(AND(ISNUMBER(存条明细!G953),ISNUMBER(存条明细!E953),ISNUMBER(存条明细!F953)),IF(ABS(存条明细!G953-存条明细!E953*存条明细!F953)&gt;0.005,1,0),0)</f>
        <v>0</v>
      </c>
    </row>
    <row r="954">
      <c r="A954">
        <f>IF(OR(存条明细!C954="",存条明细!D954=""),"",IF(COUNTIFS(存条明细!$C$4:C954,存条明细!C954,存条明细!$D$4:D954,存条明细!D954)&gt;1,"",IFERROR(MATCH(存条明细!C954,总览汇总!$B$5:$B$304,0),900)*10000000+IFERROR(MATCH(存条明细!D954,基础资料!$E$5:$E$104,0),900)*10000+ROW()))</f>
      </c>
      <c r="F954">
        <f>IF(AND(出库明细!C954&lt;&gt;"",出库明细!C954=客户对账单!$B$4,ISNUMBER(出库明细!B954),出库明细!B954&gt;=客户对账单!$G$4,出库明细!B954&lt;=客户对账单!$I$4),出库明细!B954+ROW()/100000,"")</f>
      </c>
      <c r="H954">
        <f>IF(AND(采购进货!C954&lt;&gt;"",采购进货!C954=供应商对账单!$B$4,ISNUMBER(采购进货!B954),采购进货!B954&gt;=供应商对账单!$G$4,采购进货!B954&lt;=供应商对账单!$I$4),采购进货!B954+ROW()/100000,"")</f>
      </c>
      <c r="N954">
        <f>IF(AND(ISNUMBER(出库明细!G954),ISNUMBER(出库明细!E954),ISNUMBER(出库明细!F954)),IF(ABS(出库明细!G954-出库明细!E954*出库明细!F954)&gt;0.005,1,0),0)</f>
        <v>0</v>
      </c>
      <c r="O954">
        <f>IF(AND(ISNUMBER(存条明细!G954),ISNUMBER(存条明细!E954),ISNUMBER(存条明细!F954)),IF(ABS(存条明细!G954-存条明细!E954*存条明细!F954)&gt;0.005,1,0),0)</f>
        <v>0</v>
      </c>
    </row>
    <row r="955">
      <c r="A955">
        <f>IF(OR(存条明细!C955="",存条明细!D955=""),"",IF(COUNTIFS(存条明细!$C$4:C955,存条明细!C955,存条明细!$D$4:D955,存条明细!D955)&gt;1,"",IFERROR(MATCH(存条明细!C955,总览汇总!$B$5:$B$304,0),900)*10000000+IFERROR(MATCH(存条明细!D955,基础资料!$E$5:$E$104,0),900)*10000+ROW()))</f>
      </c>
      <c r="F955">
        <f>IF(AND(出库明细!C955&lt;&gt;"",出库明细!C955=客户对账单!$B$4,ISNUMBER(出库明细!B955),出库明细!B955&gt;=客户对账单!$G$4,出库明细!B955&lt;=客户对账单!$I$4),出库明细!B955+ROW()/100000,"")</f>
      </c>
      <c r="H955">
        <f>IF(AND(采购进货!C955&lt;&gt;"",采购进货!C955=供应商对账单!$B$4,ISNUMBER(采购进货!B955),采购进货!B955&gt;=供应商对账单!$G$4,采购进货!B955&lt;=供应商对账单!$I$4),采购进货!B955+ROW()/100000,"")</f>
      </c>
      <c r="N955">
        <f>IF(AND(ISNUMBER(出库明细!G955),ISNUMBER(出库明细!E955),ISNUMBER(出库明细!F955)),IF(ABS(出库明细!G955-出库明细!E955*出库明细!F955)&gt;0.005,1,0),0)</f>
        <v>0</v>
      </c>
      <c r="O955">
        <f>IF(AND(ISNUMBER(存条明细!G955),ISNUMBER(存条明细!E955),ISNUMBER(存条明细!F955)),IF(ABS(存条明细!G955-存条明细!E955*存条明细!F955)&gt;0.005,1,0),0)</f>
        <v>0</v>
      </c>
    </row>
    <row r="956">
      <c r="A956">
        <f>IF(OR(存条明细!C956="",存条明细!D956=""),"",IF(COUNTIFS(存条明细!$C$4:C956,存条明细!C956,存条明细!$D$4:D956,存条明细!D956)&gt;1,"",IFERROR(MATCH(存条明细!C956,总览汇总!$B$5:$B$304,0),900)*10000000+IFERROR(MATCH(存条明细!D956,基础资料!$E$5:$E$104,0),900)*10000+ROW()))</f>
      </c>
      <c r="F956">
        <f>IF(AND(出库明细!C956&lt;&gt;"",出库明细!C956=客户对账单!$B$4,ISNUMBER(出库明细!B956),出库明细!B956&gt;=客户对账单!$G$4,出库明细!B956&lt;=客户对账单!$I$4),出库明细!B956+ROW()/100000,"")</f>
      </c>
      <c r="H956">
        <f>IF(AND(采购进货!C956&lt;&gt;"",采购进货!C956=供应商对账单!$B$4,ISNUMBER(采购进货!B956),采购进货!B956&gt;=供应商对账单!$G$4,采购进货!B956&lt;=供应商对账单!$I$4),采购进货!B956+ROW()/100000,"")</f>
      </c>
      <c r="N956">
        <f>IF(AND(ISNUMBER(出库明细!G956),ISNUMBER(出库明细!E956),ISNUMBER(出库明细!F956)),IF(ABS(出库明细!G956-出库明细!E956*出库明细!F956)&gt;0.005,1,0),0)</f>
        <v>0</v>
      </c>
      <c r="O956">
        <f>IF(AND(ISNUMBER(存条明细!G956),ISNUMBER(存条明细!E956),ISNUMBER(存条明细!F956)),IF(ABS(存条明细!G956-存条明细!E956*存条明细!F956)&gt;0.005,1,0),0)</f>
        <v>0</v>
      </c>
    </row>
    <row r="957">
      <c r="A957">
        <f>IF(OR(存条明细!C957="",存条明细!D957=""),"",IF(COUNTIFS(存条明细!$C$4:C957,存条明细!C957,存条明细!$D$4:D957,存条明细!D957)&gt;1,"",IFERROR(MATCH(存条明细!C957,总览汇总!$B$5:$B$304,0),900)*10000000+IFERROR(MATCH(存条明细!D957,基础资料!$E$5:$E$104,0),900)*10000+ROW()))</f>
      </c>
      <c r="F957">
        <f>IF(AND(出库明细!C957&lt;&gt;"",出库明细!C957=客户对账单!$B$4,ISNUMBER(出库明细!B957),出库明细!B957&gt;=客户对账单!$G$4,出库明细!B957&lt;=客户对账单!$I$4),出库明细!B957+ROW()/100000,"")</f>
      </c>
      <c r="H957">
        <f>IF(AND(采购进货!C957&lt;&gt;"",采购进货!C957=供应商对账单!$B$4,ISNUMBER(采购进货!B957),采购进货!B957&gt;=供应商对账单!$G$4,采购进货!B957&lt;=供应商对账单!$I$4),采购进货!B957+ROW()/100000,"")</f>
      </c>
      <c r="N957">
        <f>IF(AND(ISNUMBER(出库明细!G957),ISNUMBER(出库明细!E957),ISNUMBER(出库明细!F957)),IF(ABS(出库明细!G957-出库明细!E957*出库明细!F957)&gt;0.005,1,0),0)</f>
        <v>0</v>
      </c>
      <c r="O957">
        <f>IF(AND(ISNUMBER(存条明细!G957),ISNUMBER(存条明细!E957),ISNUMBER(存条明细!F957)),IF(ABS(存条明细!G957-存条明细!E957*存条明细!F957)&gt;0.005,1,0),0)</f>
        <v>0</v>
      </c>
    </row>
    <row r="958">
      <c r="A958">
        <f>IF(OR(存条明细!C958="",存条明细!D958=""),"",IF(COUNTIFS(存条明细!$C$4:C958,存条明细!C958,存条明细!$D$4:D958,存条明细!D958)&gt;1,"",IFERROR(MATCH(存条明细!C958,总览汇总!$B$5:$B$304,0),900)*10000000+IFERROR(MATCH(存条明细!D958,基础资料!$E$5:$E$104,0),900)*10000+ROW()))</f>
      </c>
      <c r="F958">
        <f>IF(AND(出库明细!C958&lt;&gt;"",出库明细!C958=客户对账单!$B$4,ISNUMBER(出库明细!B958),出库明细!B958&gt;=客户对账单!$G$4,出库明细!B958&lt;=客户对账单!$I$4),出库明细!B958+ROW()/100000,"")</f>
      </c>
      <c r="H958">
        <f>IF(AND(采购进货!C958&lt;&gt;"",采购进货!C958=供应商对账单!$B$4,ISNUMBER(采购进货!B958),采购进货!B958&gt;=供应商对账单!$G$4,采购进货!B958&lt;=供应商对账单!$I$4),采购进货!B958+ROW()/100000,"")</f>
      </c>
      <c r="N958">
        <f>IF(AND(ISNUMBER(出库明细!G958),ISNUMBER(出库明细!E958),ISNUMBER(出库明细!F958)),IF(ABS(出库明细!G958-出库明细!E958*出库明细!F958)&gt;0.005,1,0),0)</f>
        <v>0</v>
      </c>
      <c r="O958">
        <f>IF(AND(ISNUMBER(存条明细!G958),ISNUMBER(存条明细!E958),ISNUMBER(存条明细!F958)),IF(ABS(存条明细!G958-存条明细!E958*存条明细!F958)&gt;0.005,1,0),0)</f>
        <v>0</v>
      </c>
    </row>
    <row r="959">
      <c r="A959">
        <f>IF(OR(存条明细!C959="",存条明细!D959=""),"",IF(COUNTIFS(存条明细!$C$4:C959,存条明细!C959,存条明细!$D$4:D959,存条明细!D959)&gt;1,"",IFERROR(MATCH(存条明细!C959,总览汇总!$B$5:$B$304,0),900)*10000000+IFERROR(MATCH(存条明细!D959,基础资料!$E$5:$E$104,0),900)*10000+ROW()))</f>
      </c>
      <c r="F959">
        <f>IF(AND(出库明细!C959&lt;&gt;"",出库明细!C959=客户对账单!$B$4,ISNUMBER(出库明细!B959),出库明细!B959&gt;=客户对账单!$G$4,出库明细!B959&lt;=客户对账单!$I$4),出库明细!B959+ROW()/100000,"")</f>
      </c>
      <c r="H959">
        <f>IF(AND(采购进货!C959&lt;&gt;"",采购进货!C959=供应商对账单!$B$4,ISNUMBER(采购进货!B959),采购进货!B959&gt;=供应商对账单!$G$4,采购进货!B959&lt;=供应商对账单!$I$4),采购进货!B959+ROW()/100000,"")</f>
      </c>
      <c r="N959">
        <f>IF(AND(ISNUMBER(出库明细!G959),ISNUMBER(出库明细!E959),ISNUMBER(出库明细!F959)),IF(ABS(出库明细!G959-出库明细!E959*出库明细!F959)&gt;0.005,1,0),0)</f>
        <v>0</v>
      </c>
      <c r="O959">
        <f>IF(AND(ISNUMBER(存条明细!G959),ISNUMBER(存条明细!E959),ISNUMBER(存条明细!F959)),IF(ABS(存条明细!G959-存条明细!E959*存条明细!F959)&gt;0.005,1,0),0)</f>
        <v>0</v>
      </c>
    </row>
    <row r="960">
      <c r="A960">
        <f>IF(OR(存条明细!C960="",存条明细!D960=""),"",IF(COUNTIFS(存条明细!$C$4:C960,存条明细!C960,存条明细!$D$4:D960,存条明细!D960)&gt;1,"",IFERROR(MATCH(存条明细!C960,总览汇总!$B$5:$B$304,0),900)*10000000+IFERROR(MATCH(存条明细!D960,基础资料!$E$5:$E$104,0),900)*10000+ROW()))</f>
      </c>
      <c r="F960">
        <f>IF(AND(出库明细!C960&lt;&gt;"",出库明细!C960=客户对账单!$B$4,ISNUMBER(出库明细!B960),出库明细!B960&gt;=客户对账单!$G$4,出库明细!B960&lt;=客户对账单!$I$4),出库明细!B960+ROW()/100000,"")</f>
      </c>
      <c r="H960">
        <f>IF(AND(采购进货!C960&lt;&gt;"",采购进货!C960=供应商对账单!$B$4,ISNUMBER(采购进货!B960),采购进货!B960&gt;=供应商对账单!$G$4,采购进货!B960&lt;=供应商对账单!$I$4),采购进货!B960+ROW()/100000,"")</f>
      </c>
      <c r="N960">
        <f>IF(AND(ISNUMBER(出库明细!G960),ISNUMBER(出库明细!E960),ISNUMBER(出库明细!F960)),IF(ABS(出库明细!G960-出库明细!E960*出库明细!F960)&gt;0.005,1,0),0)</f>
        <v>0</v>
      </c>
      <c r="O960">
        <f>IF(AND(ISNUMBER(存条明细!G960),ISNUMBER(存条明细!E960),ISNUMBER(存条明细!F960)),IF(ABS(存条明细!G960-存条明细!E960*存条明细!F960)&gt;0.005,1,0),0)</f>
        <v>0</v>
      </c>
    </row>
    <row r="961">
      <c r="A961">
        <f>IF(OR(存条明细!C961="",存条明细!D961=""),"",IF(COUNTIFS(存条明细!$C$4:C961,存条明细!C961,存条明细!$D$4:D961,存条明细!D961)&gt;1,"",IFERROR(MATCH(存条明细!C961,总览汇总!$B$5:$B$304,0),900)*10000000+IFERROR(MATCH(存条明细!D961,基础资料!$E$5:$E$104,0),900)*10000+ROW()))</f>
      </c>
      <c r="F961">
        <f>IF(AND(出库明细!C961&lt;&gt;"",出库明细!C961=客户对账单!$B$4,ISNUMBER(出库明细!B961),出库明细!B961&gt;=客户对账单!$G$4,出库明细!B961&lt;=客户对账单!$I$4),出库明细!B961+ROW()/100000,"")</f>
      </c>
      <c r="H961">
        <f>IF(AND(采购进货!C961&lt;&gt;"",采购进货!C961=供应商对账单!$B$4,ISNUMBER(采购进货!B961),采购进货!B961&gt;=供应商对账单!$G$4,采购进货!B961&lt;=供应商对账单!$I$4),采购进货!B961+ROW()/100000,"")</f>
      </c>
      <c r="N961">
        <f>IF(AND(ISNUMBER(出库明细!G961),ISNUMBER(出库明细!E961),ISNUMBER(出库明细!F961)),IF(ABS(出库明细!G961-出库明细!E961*出库明细!F961)&gt;0.005,1,0),0)</f>
        <v>0</v>
      </c>
      <c r="O961">
        <f>IF(AND(ISNUMBER(存条明细!G961),ISNUMBER(存条明细!E961),ISNUMBER(存条明细!F961)),IF(ABS(存条明细!G961-存条明细!E961*存条明细!F961)&gt;0.005,1,0),0)</f>
        <v>0</v>
      </c>
    </row>
    <row r="962">
      <c r="A962">
        <f>IF(OR(存条明细!C962="",存条明细!D962=""),"",IF(COUNTIFS(存条明细!$C$4:C962,存条明细!C962,存条明细!$D$4:D962,存条明细!D962)&gt;1,"",IFERROR(MATCH(存条明细!C962,总览汇总!$B$5:$B$304,0),900)*10000000+IFERROR(MATCH(存条明细!D962,基础资料!$E$5:$E$104,0),900)*10000+ROW()))</f>
      </c>
      <c r="F962">
        <f>IF(AND(出库明细!C962&lt;&gt;"",出库明细!C962=客户对账单!$B$4,ISNUMBER(出库明细!B962),出库明细!B962&gt;=客户对账单!$G$4,出库明细!B962&lt;=客户对账单!$I$4),出库明细!B962+ROW()/100000,"")</f>
      </c>
      <c r="H962">
        <f>IF(AND(采购进货!C962&lt;&gt;"",采购进货!C962=供应商对账单!$B$4,ISNUMBER(采购进货!B962),采购进货!B962&gt;=供应商对账单!$G$4,采购进货!B962&lt;=供应商对账单!$I$4),采购进货!B962+ROW()/100000,"")</f>
      </c>
      <c r="N962">
        <f>IF(AND(ISNUMBER(出库明细!G962),ISNUMBER(出库明细!E962),ISNUMBER(出库明细!F962)),IF(ABS(出库明细!G962-出库明细!E962*出库明细!F962)&gt;0.005,1,0),0)</f>
        <v>0</v>
      </c>
      <c r="O962">
        <f>IF(AND(ISNUMBER(存条明细!G962),ISNUMBER(存条明细!E962),ISNUMBER(存条明细!F962)),IF(ABS(存条明细!G962-存条明细!E962*存条明细!F962)&gt;0.005,1,0),0)</f>
        <v>0</v>
      </c>
    </row>
    <row r="963">
      <c r="A963">
        <f>IF(OR(存条明细!C963="",存条明细!D963=""),"",IF(COUNTIFS(存条明细!$C$4:C963,存条明细!C963,存条明细!$D$4:D963,存条明细!D963)&gt;1,"",IFERROR(MATCH(存条明细!C963,总览汇总!$B$5:$B$304,0),900)*10000000+IFERROR(MATCH(存条明细!D963,基础资料!$E$5:$E$104,0),900)*10000+ROW()))</f>
      </c>
      <c r="F963">
        <f>IF(AND(出库明细!C963&lt;&gt;"",出库明细!C963=客户对账单!$B$4,ISNUMBER(出库明细!B963),出库明细!B963&gt;=客户对账单!$G$4,出库明细!B963&lt;=客户对账单!$I$4),出库明细!B963+ROW()/100000,"")</f>
      </c>
      <c r="H963">
        <f>IF(AND(采购进货!C963&lt;&gt;"",采购进货!C963=供应商对账单!$B$4,ISNUMBER(采购进货!B963),采购进货!B963&gt;=供应商对账单!$G$4,采购进货!B963&lt;=供应商对账单!$I$4),采购进货!B963+ROW()/100000,"")</f>
      </c>
      <c r="N963">
        <f>IF(AND(ISNUMBER(出库明细!G963),ISNUMBER(出库明细!E963),ISNUMBER(出库明细!F963)),IF(ABS(出库明细!G963-出库明细!E963*出库明细!F963)&gt;0.005,1,0),0)</f>
        <v>0</v>
      </c>
      <c r="O963">
        <f>IF(AND(ISNUMBER(存条明细!G963),ISNUMBER(存条明细!E963),ISNUMBER(存条明细!F963)),IF(ABS(存条明细!G963-存条明细!E963*存条明细!F963)&gt;0.005,1,0),0)</f>
        <v>0</v>
      </c>
    </row>
    <row r="964">
      <c r="A964">
        <f>IF(OR(存条明细!C964="",存条明细!D964=""),"",IF(COUNTIFS(存条明细!$C$4:C964,存条明细!C964,存条明细!$D$4:D964,存条明细!D964)&gt;1,"",IFERROR(MATCH(存条明细!C964,总览汇总!$B$5:$B$304,0),900)*10000000+IFERROR(MATCH(存条明细!D964,基础资料!$E$5:$E$104,0),900)*10000+ROW()))</f>
      </c>
      <c r="F964">
        <f>IF(AND(出库明细!C964&lt;&gt;"",出库明细!C964=客户对账单!$B$4,ISNUMBER(出库明细!B964),出库明细!B964&gt;=客户对账单!$G$4,出库明细!B964&lt;=客户对账单!$I$4),出库明细!B964+ROW()/100000,"")</f>
      </c>
      <c r="H964">
        <f>IF(AND(采购进货!C964&lt;&gt;"",采购进货!C964=供应商对账单!$B$4,ISNUMBER(采购进货!B964),采购进货!B964&gt;=供应商对账单!$G$4,采购进货!B964&lt;=供应商对账单!$I$4),采购进货!B964+ROW()/100000,"")</f>
      </c>
      <c r="N964">
        <f>IF(AND(ISNUMBER(出库明细!G964),ISNUMBER(出库明细!E964),ISNUMBER(出库明细!F964)),IF(ABS(出库明细!G964-出库明细!E964*出库明细!F964)&gt;0.005,1,0),0)</f>
        <v>0</v>
      </c>
      <c r="O964">
        <f>IF(AND(ISNUMBER(存条明细!G964),ISNUMBER(存条明细!E964),ISNUMBER(存条明细!F964)),IF(ABS(存条明细!G964-存条明细!E964*存条明细!F964)&gt;0.005,1,0),0)</f>
        <v>0</v>
      </c>
    </row>
    <row r="965">
      <c r="A965">
        <f>IF(OR(存条明细!C965="",存条明细!D965=""),"",IF(COUNTIFS(存条明细!$C$4:C965,存条明细!C965,存条明细!$D$4:D965,存条明细!D965)&gt;1,"",IFERROR(MATCH(存条明细!C965,总览汇总!$B$5:$B$304,0),900)*10000000+IFERROR(MATCH(存条明细!D965,基础资料!$E$5:$E$104,0),900)*10000+ROW()))</f>
      </c>
      <c r="F965">
        <f>IF(AND(出库明细!C965&lt;&gt;"",出库明细!C965=客户对账单!$B$4,ISNUMBER(出库明细!B965),出库明细!B965&gt;=客户对账单!$G$4,出库明细!B965&lt;=客户对账单!$I$4),出库明细!B965+ROW()/100000,"")</f>
      </c>
      <c r="H965">
        <f>IF(AND(采购进货!C965&lt;&gt;"",采购进货!C965=供应商对账单!$B$4,ISNUMBER(采购进货!B965),采购进货!B965&gt;=供应商对账单!$G$4,采购进货!B965&lt;=供应商对账单!$I$4),采购进货!B965+ROW()/100000,"")</f>
      </c>
      <c r="N965">
        <f>IF(AND(ISNUMBER(出库明细!G965),ISNUMBER(出库明细!E965),ISNUMBER(出库明细!F965)),IF(ABS(出库明细!G965-出库明细!E965*出库明细!F965)&gt;0.005,1,0),0)</f>
        <v>0</v>
      </c>
      <c r="O965">
        <f>IF(AND(ISNUMBER(存条明细!G965),ISNUMBER(存条明细!E965),ISNUMBER(存条明细!F965)),IF(ABS(存条明细!G965-存条明细!E965*存条明细!F965)&gt;0.005,1,0),0)</f>
        <v>0</v>
      </c>
    </row>
    <row r="966">
      <c r="A966">
        <f>IF(OR(存条明细!C966="",存条明细!D966=""),"",IF(COUNTIFS(存条明细!$C$4:C966,存条明细!C966,存条明细!$D$4:D966,存条明细!D966)&gt;1,"",IFERROR(MATCH(存条明细!C966,总览汇总!$B$5:$B$304,0),900)*10000000+IFERROR(MATCH(存条明细!D966,基础资料!$E$5:$E$104,0),900)*10000+ROW()))</f>
      </c>
      <c r="F966">
        <f>IF(AND(出库明细!C966&lt;&gt;"",出库明细!C966=客户对账单!$B$4,ISNUMBER(出库明细!B966),出库明细!B966&gt;=客户对账单!$G$4,出库明细!B966&lt;=客户对账单!$I$4),出库明细!B966+ROW()/100000,"")</f>
      </c>
      <c r="H966">
        <f>IF(AND(采购进货!C966&lt;&gt;"",采购进货!C966=供应商对账单!$B$4,ISNUMBER(采购进货!B966),采购进货!B966&gt;=供应商对账单!$G$4,采购进货!B966&lt;=供应商对账单!$I$4),采购进货!B966+ROW()/100000,"")</f>
      </c>
      <c r="N966">
        <f>IF(AND(ISNUMBER(出库明细!G966),ISNUMBER(出库明细!E966),ISNUMBER(出库明细!F966)),IF(ABS(出库明细!G966-出库明细!E966*出库明细!F966)&gt;0.005,1,0),0)</f>
        <v>0</v>
      </c>
      <c r="O966">
        <f>IF(AND(ISNUMBER(存条明细!G966),ISNUMBER(存条明细!E966),ISNUMBER(存条明细!F966)),IF(ABS(存条明细!G966-存条明细!E966*存条明细!F966)&gt;0.005,1,0),0)</f>
        <v>0</v>
      </c>
    </row>
    <row r="967">
      <c r="A967">
        <f>IF(OR(存条明细!C967="",存条明细!D967=""),"",IF(COUNTIFS(存条明细!$C$4:C967,存条明细!C967,存条明细!$D$4:D967,存条明细!D967)&gt;1,"",IFERROR(MATCH(存条明细!C967,总览汇总!$B$5:$B$304,0),900)*10000000+IFERROR(MATCH(存条明细!D967,基础资料!$E$5:$E$104,0),900)*10000+ROW()))</f>
      </c>
      <c r="F967">
        <f>IF(AND(出库明细!C967&lt;&gt;"",出库明细!C967=客户对账单!$B$4,ISNUMBER(出库明细!B967),出库明细!B967&gt;=客户对账单!$G$4,出库明细!B967&lt;=客户对账单!$I$4),出库明细!B967+ROW()/100000,"")</f>
      </c>
      <c r="H967">
        <f>IF(AND(采购进货!C967&lt;&gt;"",采购进货!C967=供应商对账单!$B$4,ISNUMBER(采购进货!B967),采购进货!B967&gt;=供应商对账单!$G$4,采购进货!B967&lt;=供应商对账单!$I$4),采购进货!B967+ROW()/100000,"")</f>
      </c>
      <c r="N967">
        <f>IF(AND(ISNUMBER(出库明细!G967),ISNUMBER(出库明细!E967),ISNUMBER(出库明细!F967)),IF(ABS(出库明细!G967-出库明细!E967*出库明细!F967)&gt;0.005,1,0),0)</f>
        <v>0</v>
      </c>
      <c r="O967">
        <f>IF(AND(ISNUMBER(存条明细!G967),ISNUMBER(存条明细!E967),ISNUMBER(存条明细!F967)),IF(ABS(存条明细!G967-存条明细!E967*存条明细!F967)&gt;0.005,1,0),0)</f>
        <v>0</v>
      </c>
    </row>
    <row r="968">
      <c r="A968">
        <f>IF(OR(存条明细!C968="",存条明细!D968=""),"",IF(COUNTIFS(存条明细!$C$4:C968,存条明细!C968,存条明细!$D$4:D968,存条明细!D968)&gt;1,"",IFERROR(MATCH(存条明细!C968,总览汇总!$B$5:$B$304,0),900)*10000000+IFERROR(MATCH(存条明细!D968,基础资料!$E$5:$E$104,0),900)*10000+ROW()))</f>
      </c>
      <c r="F968">
        <f>IF(AND(出库明细!C968&lt;&gt;"",出库明细!C968=客户对账单!$B$4,ISNUMBER(出库明细!B968),出库明细!B968&gt;=客户对账单!$G$4,出库明细!B968&lt;=客户对账单!$I$4),出库明细!B968+ROW()/100000,"")</f>
      </c>
      <c r="H968">
        <f>IF(AND(采购进货!C968&lt;&gt;"",采购进货!C968=供应商对账单!$B$4,ISNUMBER(采购进货!B968),采购进货!B968&gt;=供应商对账单!$G$4,采购进货!B968&lt;=供应商对账单!$I$4),采购进货!B968+ROW()/100000,"")</f>
      </c>
      <c r="N968">
        <f>IF(AND(ISNUMBER(出库明细!G968),ISNUMBER(出库明细!E968),ISNUMBER(出库明细!F968)),IF(ABS(出库明细!G968-出库明细!E968*出库明细!F968)&gt;0.005,1,0),0)</f>
        <v>0</v>
      </c>
      <c r="O968">
        <f>IF(AND(ISNUMBER(存条明细!G968),ISNUMBER(存条明细!E968),ISNUMBER(存条明细!F968)),IF(ABS(存条明细!G968-存条明细!E968*存条明细!F968)&gt;0.005,1,0),0)</f>
        <v>0</v>
      </c>
    </row>
    <row r="969">
      <c r="A969">
        <f>IF(OR(存条明细!C969="",存条明细!D969=""),"",IF(COUNTIFS(存条明细!$C$4:C969,存条明细!C969,存条明细!$D$4:D969,存条明细!D969)&gt;1,"",IFERROR(MATCH(存条明细!C969,总览汇总!$B$5:$B$304,0),900)*10000000+IFERROR(MATCH(存条明细!D969,基础资料!$E$5:$E$104,0),900)*10000+ROW()))</f>
      </c>
      <c r="F969">
        <f>IF(AND(出库明细!C969&lt;&gt;"",出库明细!C969=客户对账单!$B$4,ISNUMBER(出库明细!B969),出库明细!B969&gt;=客户对账单!$G$4,出库明细!B969&lt;=客户对账单!$I$4),出库明细!B969+ROW()/100000,"")</f>
      </c>
      <c r="H969">
        <f>IF(AND(采购进货!C969&lt;&gt;"",采购进货!C969=供应商对账单!$B$4,ISNUMBER(采购进货!B969),采购进货!B969&gt;=供应商对账单!$G$4,采购进货!B969&lt;=供应商对账单!$I$4),采购进货!B969+ROW()/100000,"")</f>
      </c>
      <c r="N969">
        <f>IF(AND(ISNUMBER(出库明细!G969),ISNUMBER(出库明细!E969),ISNUMBER(出库明细!F969)),IF(ABS(出库明细!G969-出库明细!E969*出库明细!F969)&gt;0.005,1,0),0)</f>
        <v>0</v>
      </c>
      <c r="O969">
        <f>IF(AND(ISNUMBER(存条明细!G969),ISNUMBER(存条明细!E969),ISNUMBER(存条明细!F969)),IF(ABS(存条明细!G969-存条明细!E969*存条明细!F969)&gt;0.005,1,0),0)</f>
        <v>0</v>
      </c>
    </row>
    <row r="970">
      <c r="A970">
        <f>IF(OR(存条明细!C970="",存条明细!D970=""),"",IF(COUNTIFS(存条明细!$C$4:C970,存条明细!C970,存条明细!$D$4:D970,存条明细!D970)&gt;1,"",IFERROR(MATCH(存条明细!C970,总览汇总!$B$5:$B$304,0),900)*10000000+IFERROR(MATCH(存条明细!D970,基础资料!$E$5:$E$104,0),900)*10000+ROW()))</f>
      </c>
      <c r="F970">
        <f>IF(AND(出库明细!C970&lt;&gt;"",出库明细!C970=客户对账单!$B$4,ISNUMBER(出库明细!B970),出库明细!B970&gt;=客户对账单!$G$4,出库明细!B970&lt;=客户对账单!$I$4),出库明细!B970+ROW()/100000,"")</f>
      </c>
      <c r="H970">
        <f>IF(AND(采购进货!C970&lt;&gt;"",采购进货!C970=供应商对账单!$B$4,ISNUMBER(采购进货!B970),采购进货!B970&gt;=供应商对账单!$G$4,采购进货!B970&lt;=供应商对账单!$I$4),采购进货!B970+ROW()/100000,"")</f>
      </c>
      <c r="N970">
        <f>IF(AND(ISNUMBER(出库明细!G970),ISNUMBER(出库明细!E970),ISNUMBER(出库明细!F970)),IF(ABS(出库明细!G970-出库明细!E970*出库明细!F970)&gt;0.005,1,0),0)</f>
        <v>0</v>
      </c>
      <c r="O970">
        <f>IF(AND(ISNUMBER(存条明细!G970),ISNUMBER(存条明细!E970),ISNUMBER(存条明细!F970)),IF(ABS(存条明细!G970-存条明细!E970*存条明细!F970)&gt;0.005,1,0),0)</f>
        <v>0</v>
      </c>
    </row>
    <row r="971">
      <c r="A971">
        <f>IF(OR(存条明细!C971="",存条明细!D971=""),"",IF(COUNTIFS(存条明细!$C$4:C971,存条明细!C971,存条明细!$D$4:D971,存条明细!D971)&gt;1,"",IFERROR(MATCH(存条明细!C971,总览汇总!$B$5:$B$304,0),900)*10000000+IFERROR(MATCH(存条明细!D971,基础资料!$E$5:$E$104,0),900)*10000+ROW()))</f>
      </c>
      <c r="F971">
        <f>IF(AND(出库明细!C971&lt;&gt;"",出库明细!C971=客户对账单!$B$4,ISNUMBER(出库明细!B971),出库明细!B971&gt;=客户对账单!$G$4,出库明细!B971&lt;=客户对账单!$I$4),出库明细!B971+ROW()/100000,"")</f>
      </c>
      <c r="H971">
        <f>IF(AND(采购进货!C971&lt;&gt;"",采购进货!C971=供应商对账单!$B$4,ISNUMBER(采购进货!B971),采购进货!B971&gt;=供应商对账单!$G$4,采购进货!B971&lt;=供应商对账单!$I$4),采购进货!B971+ROW()/100000,"")</f>
      </c>
      <c r="N971">
        <f>IF(AND(ISNUMBER(出库明细!G971),ISNUMBER(出库明细!E971),ISNUMBER(出库明细!F971)),IF(ABS(出库明细!G971-出库明细!E971*出库明细!F971)&gt;0.005,1,0),0)</f>
        <v>0</v>
      </c>
      <c r="O971">
        <f>IF(AND(ISNUMBER(存条明细!G971),ISNUMBER(存条明细!E971),ISNUMBER(存条明细!F971)),IF(ABS(存条明细!G971-存条明细!E971*存条明细!F971)&gt;0.005,1,0),0)</f>
        <v>0</v>
      </c>
    </row>
    <row r="972">
      <c r="A972">
        <f>IF(OR(存条明细!C972="",存条明细!D972=""),"",IF(COUNTIFS(存条明细!$C$4:C972,存条明细!C972,存条明细!$D$4:D972,存条明细!D972)&gt;1,"",IFERROR(MATCH(存条明细!C972,总览汇总!$B$5:$B$304,0),900)*10000000+IFERROR(MATCH(存条明细!D972,基础资料!$E$5:$E$104,0),900)*10000+ROW()))</f>
      </c>
      <c r="F972">
        <f>IF(AND(出库明细!C972&lt;&gt;"",出库明细!C972=客户对账单!$B$4,ISNUMBER(出库明细!B972),出库明细!B972&gt;=客户对账单!$G$4,出库明细!B972&lt;=客户对账单!$I$4),出库明细!B972+ROW()/100000,"")</f>
      </c>
      <c r="H972">
        <f>IF(AND(采购进货!C972&lt;&gt;"",采购进货!C972=供应商对账单!$B$4,ISNUMBER(采购进货!B972),采购进货!B972&gt;=供应商对账单!$G$4,采购进货!B972&lt;=供应商对账单!$I$4),采购进货!B972+ROW()/100000,"")</f>
      </c>
      <c r="N972">
        <f>IF(AND(ISNUMBER(出库明细!G972),ISNUMBER(出库明细!E972),ISNUMBER(出库明细!F972)),IF(ABS(出库明细!G972-出库明细!E972*出库明细!F972)&gt;0.005,1,0),0)</f>
        <v>0</v>
      </c>
      <c r="O972">
        <f>IF(AND(ISNUMBER(存条明细!G972),ISNUMBER(存条明细!E972),ISNUMBER(存条明细!F972)),IF(ABS(存条明细!G972-存条明细!E972*存条明细!F972)&gt;0.005,1,0),0)</f>
        <v>0</v>
      </c>
    </row>
    <row r="973">
      <c r="A973">
        <f>IF(OR(存条明细!C973="",存条明细!D973=""),"",IF(COUNTIFS(存条明细!$C$4:C973,存条明细!C973,存条明细!$D$4:D973,存条明细!D973)&gt;1,"",IFERROR(MATCH(存条明细!C973,总览汇总!$B$5:$B$304,0),900)*10000000+IFERROR(MATCH(存条明细!D973,基础资料!$E$5:$E$104,0),900)*10000+ROW()))</f>
      </c>
      <c r="F973">
        <f>IF(AND(出库明细!C973&lt;&gt;"",出库明细!C973=客户对账单!$B$4,ISNUMBER(出库明细!B973),出库明细!B973&gt;=客户对账单!$G$4,出库明细!B973&lt;=客户对账单!$I$4),出库明细!B973+ROW()/100000,"")</f>
      </c>
      <c r="H973">
        <f>IF(AND(采购进货!C973&lt;&gt;"",采购进货!C973=供应商对账单!$B$4,ISNUMBER(采购进货!B973),采购进货!B973&gt;=供应商对账单!$G$4,采购进货!B973&lt;=供应商对账单!$I$4),采购进货!B973+ROW()/100000,"")</f>
      </c>
      <c r="N973">
        <f>IF(AND(ISNUMBER(出库明细!G973),ISNUMBER(出库明细!E973),ISNUMBER(出库明细!F973)),IF(ABS(出库明细!G973-出库明细!E973*出库明细!F973)&gt;0.005,1,0),0)</f>
        <v>0</v>
      </c>
      <c r="O973">
        <f>IF(AND(ISNUMBER(存条明细!G973),ISNUMBER(存条明细!E973),ISNUMBER(存条明细!F973)),IF(ABS(存条明细!G973-存条明细!E973*存条明细!F973)&gt;0.005,1,0),0)</f>
        <v>0</v>
      </c>
    </row>
    <row r="974">
      <c r="A974">
        <f>IF(OR(存条明细!C974="",存条明细!D974=""),"",IF(COUNTIFS(存条明细!$C$4:C974,存条明细!C974,存条明细!$D$4:D974,存条明细!D974)&gt;1,"",IFERROR(MATCH(存条明细!C974,总览汇总!$B$5:$B$304,0),900)*10000000+IFERROR(MATCH(存条明细!D974,基础资料!$E$5:$E$104,0),900)*10000+ROW()))</f>
      </c>
      <c r="F974">
        <f>IF(AND(出库明细!C974&lt;&gt;"",出库明细!C974=客户对账单!$B$4,ISNUMBER(出库明细!B974),出库明细!B974&gt;=客户对账单!$G$4,出库明细!B974&lt;=客户对账单!$I$4),出库明细!B974+ROW()/100000,"")</f>
      </c>
      <c r="H974">
        <f>IF(AND(采购进货!C974&lt;&gt;"",采购进货!C974=供应商对账单!$B$4,ISNUMBER(采购进货!B974),采购进货!B974&gt;=供应商对账单!$G$4,采购进货!B974&lt;=供应商对账单!$I$4),采购进货!B974+ROW()/100000,"")</f>
      </c>
      <c r="N974">
        <f>IF(AND(ISNUMBER(出库明细!G974),ISNUMBER(出库明细!E974),ISNUMBER(出库明细!F974)),IF(ABS(出库明细!G974-出库明细!E974*出库明细!F974)&gt;0.005,1,0),0)</f>
        <v>0</v>
      </c>
      <c r="O974">
        <f>IF(AND(ISNUMBER(存条明细!G974),ISNUMBER(存条明细!E974),ISNUMBER(存条明细!F974)),IF(ABS(存条明细!G974-存条明细!E974*存条明细!F974)&gt;0.005,1,0),0)</f>
        <v>0</v>
      </c>
    </row>
    <row r="975">
      <c r="A975">
        <f>IF(OR(存条明细!C975="",存条明细!D975=""),"",IF(COUNTIFS(存条明细!$C$4:C975,存条明细!C975,存条明细!$D$4:D975,存条明细!D975)&gt;1,"",IFERROR(MATCH(存条明细!C975,总览汇总!$B$5:$B$304,0),900)*10000000+IFERROR(MATCH(存条明细!D975,基础资料!$E$5:$E$104,0),900)*10000+ROW()))</f>
      </c>
      <c r="F975">
        <f>IF(AND(出库明细!C975&lt;&gt;"",出库明细!C975=客户对账单!$B$4,ISNUMBER(出库明细!B975),出库明细!B975&gt;=客户对账单!$G$4,出库明细!B975&lt;=客户对账单!$I$4),出库明细!B975+ROW()/100000,"")</f>
      </c>
      <c r="H975">
        <f>IF(AND(采购进货!C975&lt;&gt;"",采购进货!C975=供应商对账单!$B$4,ISNUMBER(采购进货!B975),采购进货!B975&gt;=供应商对账单!$G$4,采购进货!B975&lt;=供应商对账单!$I$4),采购进货!B975+ROW()/100000,"")</f>
      </c>
      <c r="N975">
        <f>IF(AND(ISNUMBER(出库明细!G975),ISNUMBER(出库明细!E975),ISNUMBER(出库明细!F975)),IF(ABS(出库明细!G975-出库明细!E975*出库明细!F975)&gt;0.005,1,0),0)</f>
        <v>0</v>
      </c>
      <c r="O975">
        <f>IF(AND(ISNUMBER(存条明细!G975),ISNUMBER(存条明细!E975),ISNUMBER(存条明细!F975)),IF(ABS(存条明细!G975-存条明细!E975*存条明细!F975)&gt;0.005,1,0),0)</f>
        <v>0</v>
      </c>
    </row>
    <row r="976">
      <c r="A976">
        <f>IF(OR(存条明细!C976="",存条明细!D976=""),"",IF(COUNTIFS(存条明细!$C$4:C976,存条明细!C976,存条明细!$D$4:D976,存条明细!D976)&gt;1,"",IFERROR(MATCH(存条明细!C976,总览汇总!$B$5:$B$304,0),900)*10000000+IFERROR(MATCH(存条明细!D976,基础资料!$E$5:$E$104,0),900)*10000+ROW()))</f>
      </c>
      <c r="F976">
        <f>IF(AND(出库明细!C976&lt;&gt;"",出库明细!C976=客户对账单!$B$4,ISNUMBER(出库明细!B976),出库明细!B976&gt;=客户对账单!$G$4,出库明细!B976&lt;=客户对账单!$I$4),出库明细!B976+ROW()/100000,"")</f>
      </c>
      <c r="H976">
        <f>IF(AND(采购进货!C976&lt;&gt;"",采购进货!C976=供应商对账单!$B$4,ISNUMBER(采购进货!B976),采购进货!B976&gt;=供应商对账单!$G$4,采购进货!B976&lt;=供应商对账单!$I$4),采购进货!B976+ROW()/100000,"")</f>
      </c>
      <c r="N976">
        <f>IF(AND(ISNUMBER(出库明细!G976),ISNUMBER(出库明细!E976),ISNUMBER(出库明细!F976)),IF(ABS(出库明细!G976-出库明细!E976*出库明细!F976)&gt;0.005,1,0),0)</f>
        <v>0</v>
      </c>
      <c r="O976">
        <f>IF(AND(ISNUMBER(存条明细!G976),ISNUMBER(存条明细!E976),ISNUMBER(存条明细!F976)),IF(ABS(存条明细!G976-存条明细!E976*存条明细!F976)&gt;0.005,1,0),0)</f>
        <v>0</v>
      </c>
    </row>
    <row r="977">
      <c r="A977">
        <f>IF(OR(存条明细!C977="",存条明细!D977=""),"",IF(COUNTIFS(存条明细!$C$4:C977,存条明细!C977,存条明细!$D$4:D977,存条明细!D977)&gt;1,"",IFERROR(MATCH(存条明细!C977,总览汇总!$B$5:$B$304,0),900)*10000000+IFERROR(MATCH(存条明细!D977,基础资料!$E$5:$E$104,0),900)*10000+ROW()))</f>
      </c>
      <c r="F977">
        <f>IF(AND(出库明细!C977&lt;&gt;"",出库明细!C977=客户对账单!$B$4,ISNUMBER(出库明细!B977),出库明细!B977&gt;=客户对账单!$G$4,出库明细!B977&lt;=客户对账单!$I$4),出库明细!B977+ROW()/100000,"")</f>
      </c>
      <c r="H977">
        <f>IF(AND(采购进货!C977&lt;&gt;"",采购进货!C977=供应商对账单!$B$4,ISNUMBER(采购进货!B977),采购进货!B977&gt;=供应商对账单!$G$4,采购进货!B977&lt;=供应商对账单!$I$4),采购进货!B977+ROW()/100000,"")</f>
      </c>
      <c r="N977">
        <f>IF(AND(ISNUMBER(出库明细!G977),ISNUMBER(出库明细!E977),ISNUMBER(出库明细!F977)),IF(ABS(出库明细!G977-出库明细!E977*出库明细!F977)&gt;0.005,1,0),0)</f>
        <v>0</v>
      </c>
      <c r="O977">
        <f>IF(AND(ISNUMBER(存条明细!G977),ISNUMBER(存条明细!E977),ISNUMBER(存条明细!F977)),IF(ABS(存条明细!G977-存条明细!E977*存条明细!F977)&gt;0.005,1,0),0)</f>
        <v>0</v>
      </c>
    </row>
    <row r="978">
      <c r="A978">
        <f>IF(OR(存条明细!C978="",存条明细!D978=""),"",IF(COUNTIFS(存条明细!$C$4:C978,存条明细!C978,存条明细!$D$4:D978,存条明细!D978)&gt;1,"",IFERROR(MATCH(存条明细!C978,总览汇总!$B$5:$B$304,0),900)*10000000+IFERROR(MATCH(存条明细!D978,基础资料!$E$5:$E$104,0),900)*10000+ROW()))</f>
      </c>
      <c r="F978">
        <f>IF(AND(出库明细!C978&lt;&gt;"",出库明细!C978=客户对账单!$B$4,ISNUMBER(出库明细!B978),出库明细!B978&gt;=客户对账单!$G$4,出库明细!B978&lt;=客户对账单!$I$4),出库明细!B978+ROW()/100000,"")</f>
      </c>
      <c r="H978">
        <f>IF(AND(采购进货!C978&lt;&gt;"",采购进货!C978=供应商对账单!$B$4,ISNUMBER(采购进货!B978),采购进货!B978&gt;=供应商对账单!$G$4,采购进货!B978&lt;=供应商对账单!$I$4),采购进货!B978+ROW()/100000,"")</f>
      </c>
      <c r="N978">
        <f>IF(AND(ISNUMBER(出库明细!G978),ISNUMBER(出库明细!E978),ISNUMBER(出库明细!F978)),IF(ABS(出库明细!G978-出库明细!E978*出库明细!F978)&gt;0.005,1,0),0)</f>
        <v>0</v>
      </c>
      <c r="O978">
        <f>IF(AND(ISNUMBER(存条明细!G978),ISNUMBER(存条明细!E978),ISNUMBER(存条明细!F978)),IF(ABS(存条明细!G978-存条明细!E978*存条明细!F978)&gt;0.005,1,0),0)</f>
        <v>0</v>
      </c>
    </row>
    <row r="979">
      <c r="A979">
        <f>IF(OR(存条明细!C979="",存条明细!D979=""),"",IF(COUNTIFS(存条明细!$C$4:C979,存条明细!C979,存条明细!$D$4:D979,存条明细!D979)&gt;1,"",IFERROR(MATCH(存条明细!C979,总览汇总!$B$5:$B$304,0),900)*10000000+IFERROR(MATCH(存条明细!D979,基础资料!$E$5:$E$104,0),900)*10000+ROW()))</f>
      </c>
      <c r="F979">
        <f>IF(AND(出库明细!C979&lt;&gt;"",出库明细!C979=客户对账单!$B$4,ISNUMBER(出库明细!B979),出库明细!B979&gt;=客户对账单!$G$4,出库明细!B979&lt;=客户对账单!$I$4),出库明细!B979+ROW()/100000,"")</f>
      </c>
      <c r="H979">
        <f>IF(AND(采购进货!C979&lt;&gt;"",采购进货!C979=供应商对账单!$B$4,ISNUMBER(采购进货!B979),采购进货!B979&gt;=供应商对账单!$G$4,采购进货!B979&lt;=供应商对账单!$I$4),采购进货!B979+ROW()/100000,"")</f>
      </c>
      <c r="N979">
        <f>IF(AND(ISNUMBER(出库明细!G979),ISNUMBER(出库明细!E979),ISNUMBER(出库明细!F979)),IF(ABS(出库明细!G979-出库明细!E979*出库明细!F979)&gt;0.005,1,0),0)</f>
        <v>0</v>
      </c>
      <c r="O979">
        <f>IF(AND(ISNUMBER(存条明细!G979),ISNUMBER(存条明细!E979),ISNUMBER(存条明细!F979)),IF(ABS(存条明细!G979-存条明细!E979*存条明细!F979)&gt;0.005,1,0),0)</f>
        <v>0</v>
      </c>
    </row>
    <row r="980">
      <c r="A980">
        <f>IF(OR(存条明细!C980="",存条明细!D980=""),"",IF(COUNTIFS(存条明细!$C$4:C980,存条明细!C980,存条明细!$D$4:D980,存条明细!D980)&gt;1,"",IFERROR(MATCH(存条明细!C980,总览汇总!$B$5:$B$304,0),900)*10000000+IFERROR(MATCH(存条明细!D980,基础资料!$E$5:$E$104,0),900)*10000+ROW()))</f>
      </c>
      <c r="F980">
        <f>IF(AND(出库明细!C980&lt;&gt;"",出库明细!C980=客户对账单!$B$4,ISNUMBER(出库明细!B980),出库明细!B980&gt;=客户对账单!$G$4,出库明细!B980&lt;=客户对账单!$I$4),出库明细!B980+ROW()/100000,"")</f>
      </c>
      <c r="H980">
        <f>IF(AND(采购进货!C980&lt;&gt;"",采购进货!C980=供应商对账单!$B$4,ISNUMBER(采购进货!B980),采购进货!B980&gt;=供应商对账单!$G$4,采购进货!B980&lt;=供应商对账单!$I$4),采购进货!B980+ROW()/100000,"")</f>
      </c>
      <c r="N980">
        <f>IF(AND(ISNUMBER(出库明细!G980),ISNUMBER(出库明细!E980),ISNUMBER(出库明细!F980)),IF(ABS(出库明细!G980-出库明细!E980*出库明细!F980)&gt;0.005,1,0),0)</f>
        <v>0</v>
      </c>
      <c r="O980">
        <f>IF(AND(ISNUMBER(存条明细!G980),ISNUMBER(存条明细!E980),ISNUMBER(存条明细!F980)),IF(ABS(存条明细!G980-存条明细!E980*存条明细!F980)&gt;0.005,1,0),0)</f>
        <v>0</v>
      </c>
    </row>
    <row r="981">
      <c r="A981">
        <f>IF(OR(存条明细!C981="",存条明细!D981=""),"",IF(COUNTIFS(存条明细!$C$4:C981,存条明细!C981,存条明细!$D$4:D981,存条明细!D981)&gt;1,"",IFERROR(MATCH(存条明细!C981,总览汇总!$B$5:$B$304,0),900)*10000000+IFERROR(MATCH(存条明细!D981,基础资料!$E$5:$E$104,0),900)*10000+ROW()))</f>
      </c>
      <c r="F981">
        <f>IF(AND(出库明细!C981&lt;&gt;"",出库明细!C981=客户对账单!$B$4,ISNUMBER(出库明细!B981),出库明细!B981&gt;=客户对账单!$G$4,出库明细!B981&lt;=客户对账单!$I$4),出库明细!B981+ROW()/100000,"")</f>
      </c>
      <c r="H981">
        <f>IF(AND(采购进货!C981&lt;&gt;"",采购进货!C981=供应商对账单!$B$4,ISNUMBER(采购进货!B981),采购进货!B981&gt;=供应商对账单!$G$4,采购进货!B981&lt;=供应商对账单!$I$4),采购进货!B981+ROW()/100000,"")</f>
      </c>
      <c r="N981">
        <f>IF(AND(ISNUMBER(出库明细!G981),ISNUMBER(出库明细!E981),ISNUMBER(出库明细!F981)),IF(ABS(出库明细!G981-出库明细!E981*出库明细!F981)&gt;0.005,1,0),0)</f>
        <v>0</v>
      </c>
      <c r="O981">
        <f>IF(AND(ISNUMBER(存条明细!G981),ISNUMBER(存条明细!E981),ISNUMBER(存条明细!F981)),IF(ABS(存条明细!G981-存条明细!E981*存条明细!F981)&gt;0.005,1,0),0)</f>
        <v>0</v>
      </c>
    </row>
    <row r="982">
      <c r="A982">
        <f>IF(OR(存条明细!C982="",存条明细!D982=""),"",IF(COUNTIFS(存条明细!$C$4:C982,存条明细!C982,存条明细!$D$4:D982,存条明细!D982)&gt;1,"",IFERROR(MATCH(存条明细!C982,总览汇总!$B$5:$B$304,0),900)*10000000+IFERROR(MATCH(存条明细!D982,基础资料!$E$5:$E$104,0),900)*10000+ROW()))</f>
      </c>
      <c r="F982">
        <f>IF(AND(出库明细!C982&lt;&gt;"",出库明细!C982=客户对账单!$B$4,ISNUMBER(出库明细!B982),出库明细!B982&gt;=客户对账单!$G$4,出库明细!B982&lt;=客户对账单!$I$4),出库明细!B982+ROW()/100000,"")</f>
      </c>
      <c r="H982">
        <f>IF(AND(采购进货!C982&lt;&gt;"",采购进货!C982=供应商对账单!$B$4,ISNUMBER(采购进货!B982),采购进货!B982&gt;=供应商对账单!$G$4,采购进货!B982&lt;=供应商对账单!$I$4),采购进货!B982+ROW()/100000,"")</f>
      </c>
      <c r="N982">
        <f>IF(AND(ISNUMBER(出库明细!G982),ISNUMBER(出库明细!E982),ISNUMBER(出库明细!F982)),IF(ABS(出库明细!G982-出库明细!E982*出库明细!F982)&gt;0.005,1,0),0)</f>
        <v>0</v>
      </c>
      <c r="O982">
        <f>IF(AND(ISNUMBER(存条明细!G982),ISNUMBER(存条明细!E982),ISNUMBER(存条明细!F982)),IF(ABS(存条明细!G982-存条明细!E982*存条明细!F982)&gt;0.005,1,0),0)</f>
        <v>0</v>
      </c>
    </row>
    <row r="983">
      <c r="A983">
        <f>IF(OR(存条明细!C983="",存条明细!D983=""),"",IF(COUNTIFS(存条明细!$C$4:C983,存条明细!C983,存条明细!$D$4:D983,存条明细!D983)&gt;1,"",IFERROR(MATCH(存条明细!C983,总览汇总!$B$5:$B$304,0),900)*10000000+IFERROR(MATCH(存条明细!D983,基础资料!$E$5:$E$104,0),900)*10000+ROW()))</f>
      </c>
      <c r="F983">
        <f>IF(AND(出库明细!C983&lt;&gt;"",出库明细!C983=客户对账单!$B$4,ISNUMBER(出库明细!B983),出库明细!B983&gt;=客户对账单!$G$4,出库明细!B983&lt;=客户对账单!$I$4),出库明细!B983+ROW()/100000,"")</f>
      </c>
      <c r="H983">
        <f>IF(AND(采购进货!C983&lt;&gt;"",采购进货!C983=供应商对账单!$B$4,ISNUMBER(采购进货!B983),采购进货!B983&gt;=供应商对账单!$G$4,采购进货!B983&lt;=供应商对账单!$I$4),采购进货!B983+ROW()/100000,"")</f>
      </c>
      <c r="N983">
        <f>IF(AND(ISNUMBER(出库明细!G983),ISNUMBER(出库明细!E983),ISNUMBER(出库明细!F983)),IF(ABS(出库明细!G983-出库明细!E983*出库明细!F983)&gt;0.005,1,0),0)</f>
        <v>0</v>
      </c>
      <c r="O983">
        <f>IF(AND(ISNUMBER(存条明细!G983),ISNUMBER(存条明细!E983),ISNUMBER(存条明细!F983)),IF(ABS(存条明细!G983-存条明细!E983*存条明细!F983)&gt;0.005,1,0),0)</f>
        <v>0</v>
      </c>
    </row>
    <row r="984">
      <c r="A984">
        <f>IF(OR(存条明细!C984="",存条明细!D984=""),"",IF(COUNTIFS(存条明细!$C$4:C984,存条明细!C984,存条明细!$D$4:D984,存条明细!D984)&gt;1,"",IFERROR(MATCH(存条明细!C984,总览汇总!$B$5:$B$304,0),900)*10000000+IFERROR(MATCH(存条明细!D984,基础资料!$E$5:$E$104,0),900)*10000+ROW()))</f>
      </c>
      <c r="F984">
        <f>IF(AND(出库明细!C984&lt;&gt;"",出库明细!C984=客户对账单!$B$4,ISNUMBER(出库明细!B984),出库明细!B984&gt;=客户对账单!$G$4,出库明细!B984&lt;=客户对账单!$I$4),出库明细!B984+ROW()/100000,"")</f>
      </c>
      <c r="H984">
        <f>IF(AND(采购进货!C984&lt;&gt;"",采购进货!C984=供应商对账单!$B$4,ISNUMBER(采购进货!B984),采购进货!B984&gt;=供应商对账单!$G$4,采购进货!B984&lt;=供应商对账单!$I$4),采购进货!B984+ROW()/100000,"")</f>
      </c>
      <c r="N984">
        <f>IF(AND(ISNUMBER(出库明细!G984),ISNUMBER(出库明细!E984),ISNUMBER(出库明细!F984)),IF(ABS(出库明细!G984-出库明细!E984*出库明细!F984)&gt;0.005,1,0),0)</f>
        <v>0</v>
      </c>
      <c r="O984">
        <f>IF(AND(ISNUMBER(存条明细!G984),ISNUMBER(存条明细!E984),ISNUMBER(存条明细!F984)),IF(ABS(存条明细!G984-存条明细!E984*存条明细!F984)&gt;0.005,1,0),0)</f>
        <v>0</v>
      </c>
    </row>
    <row r="985">
      <c r="A985">
        <f>IF(OR(存条明细!C985="",存条明细!D985=""),"",IF(COUNTIFS(存条明细!$C$4:C985,存条明细!C985,存条明细!$D$4:D985,存条明细!D985)&gt;1,"",IFERROR(MATCH(存条明细!C985,总览汇总!$B$5:$B$304,0),900)*10000000+IFERROR(MATCH(存条明细!D985,基础资料!$E$5:$E$104,0),900)*10000+ROW()))</f>
      </c>
      <c r="F985">
        <f>IF(AND(出库明细!C985&lt;&gt;"",出库明细!C985=客户对账单!$B$4,ISNUMBER(出库明细!B985),出库明细!B985&gt;=客户对账单!$G$4,出库明细!B985&lt;=客户对账单!$I$4),出库明细!B985+ROW()/100000,"")</f>
      </c>
      <c r="H985">
        <f>IF(AND(采购进货!C985&lt;&gt;"",采购进货!C985=供应商对账单!$B$4,ISNUMBER(采购进货!B985),采购进货!B985&gt;=供应商对账单!$G$4,采购进货!B985&lt;=供应商对账单!$I$4),采购进货!B985+ROW()/100000,"")</f>
      </c>
      <c r="N985">
        <f>IF(AND(ISNUMBER(出库明细!G985),ISNUMBER(出库明细!E985),ISNUMBER(出库明细!F985)),IF(ABS(出库明细!G985-出库明细!E985*出库明细!F985)&gt;0.005,1,0),0)</f>
        <v>0</v>
      </c>
      <c r="O985">
        <f>IF(AND(ISNUMBER(存条明细!G985),ISNUMBER(存条明细!E985),ISNUMBER(存条明细!F985)),IF(ABS(存条明细!G985-存条明细!E985*存条明细!F985)&gt;0.005,1,0),0)</f>
        <v>0</v>
      </c>
    </row>
    <row r="986">
      <c r="A986">
        <f>IF(OR(存条明细!C986="",存条明细!D986=""),"",IF(COUNTIFS(存条明细!$C$4:C986,存条明细!C986,存条明细!$D$4:D986,存条明细!D986)&gt;1,"",IFERROR(MATCH(存条明细!C986,总览汇总!$B$5:$B$304,0),900)*10000000+IFERROR(MATCH(存条明细!D986,基础资料!$E$5:$E$104,0),900)*10000+ROW()))</f>
      </c>
      <c r="F986">
        <f>IF(AND(出库明细!C986&lt;&gt;"",出库明细!C986=客户对账单!$B$4,ISNUMBER(出库明细!B986),出库明细!B986&gt;=客户对账单!$G$4,出库明细!B986&lt;=客户对账单!$I$4),出库明细!B986+ROW()/100000,"")</f>
      </c>
      <c r="H986">
        <f>IF(AND(采购进货!C986&lt;&gt;"",采购进货!C986=供应商对账单!$B$4,ISNUMBER(采购进货!B986),采购进货!B986&gt;=供应商对账单!$G$4,采购进货!B986&lt;=供应商对账单!$I$4),采购进货!B986+ROW()/100000,"")</f>
      </c>
      <c r="N986">
        <f>IF(AND(ISNUMBER(出库明细!G986),ISNUMBER(出库明细!E986),ISNUMBER(出库明细!F986)),IF(ABS(出库明细!G986-出库明细!E986*出库明细!F986)&gt;0.005,1,0),0)</f>
        <v>0</v>
      </c>
      <c r="O986">
        <f>IF(AND(ISNUMBER(存条明细!G986),ISNUMBER(存条明细!E986),ISNUMBER(存条明细!F986)),IF(ABS(存条明细!G986-存条明细!E986*存条明细!F986)&gt;0.005,1,0),0)</f>
        <v>0</v>
      </c>
    </row>
    <row r="987">
      <c r="A987">
        <f>IF(OR(存条明细!C987="",存条明细!D987=""),"",IF(COUNTIFS(存条明细!$C$4:C987,存条明细!C987,存条明细!$D$4:D987,存条明细!D987)&gt;1,"",IFERROR(MATCH(存条明细!C987,总览汇总!$B$5:$B$304,0),900)*10000000+IFERROR(MATCH(存条明细!D987,基础资料!$E$5:$E$104,0),900)*10000+ROW()))</f>
      </c>
      <c r="F987">
        <f>IF(AND(出库明细!C987&lt;&gt;"",出库明细!C987=客户对账单!$B$4,ISNUMBER(出库明细!B987),出库明细!B987&gt;=客户对账单!$G$4,出库明细!B987&lt;=客户对账单!$I$4),出库明细!B987+ROW()/100000,"")</f>
      </c>
      <c r="H987">
        <f>IF(AND(采购进货!C987&lt;&gt;"",采购进货!C987=供应商对账单!$B$4,ISNUMBER(采购进货!B987),采购进货!B987&gt;=供应商对账单!$G$4,采购进货!B987&lt;=供应商对账单!$I$4),采购进货!B987+ROW()/100000,"")</f>
      </c>
      <c r="N987">
        <f>IF(AND(ISNUMBER(出库明细!G987),ISNUMBER(出库明细!E987),ISNUMBER(出库明细!F987)),IF(ABS(出库明细!G987-出库明细!E987*出库明细!F987)&gt;0.005,1,0),0)</f>
        <v>0</v>
      </c>
      <c r="O987">
        <f>IF(AND(ISNUMBER(存条明细!G987),ISNUMBER(存条明细!E987),ISNUMBER(存条明细!F987)),IF(ABS(存条明细!G987-存条明细!E987*存条明细!F987)&gt;0.005,1,0),0)</f>
        <v>0</v>
      </c>
    </row>
    <row r="988">
      <c r="A988">
        <f>IF(OR(存条明细!C988="",存条明细!D988=""),"",IF(COUNTIFS(存条明细!$C$4:C988,存条明细!C988,存条明细!$D$4:D988,存条明细!D988)&gt;1,"",IFERROR(MATCH(存条明细!C988,总览汇总!$B$5:$B$304,0),900)*10000000+IFERROR(MATCH(存条明细!D988,基础资料!$E$5:$E$104,0),900)*10000+ROW()))</f>
      </c>
      <c r="F988">
        <f>IF(AND(出库明细!C988&lt;&gt;"",出库明细!C988=客户对账单!$B$4,ISNUMBER(出库明细!B988),出库明细!B988&gt;=客户对账单!$G$4,出库明细!B988&lt;=客户对账单!$I$4),出库明细!B988+ROW()/100000,"")</f>
      </c>
      <c r="H988">
        <f>IF(AND(采购进货!C988&lt;&gt;"",采购进货!C988=供应商对账单!$B$4,ISNUMBER(采购进货!B988),采购进货!B988&gt;=供应商对账单!$G$4,采购进货!B988&lt;=供应商对账单!$I$4),采购进货!B988+ROW()/100000,"")</f>
      </c>
      <c r="N988">
        <f>IF(AND(ISNUMBER(出库明细!G988),ISNUMBER(出库明细!E988),ISNUMBER(出库明细!F988)),IF(ABS(出库明细!G988-出库明细!E988*出库明细!F988)&gt;0.005,1,0),0)</f>
        <v>0</v>
      </c>
      <c r="O988">
        <f>IF(AND(ISNUMBER(存条明细!G988),ISNUMBER(存条明细!E988),ISNUMBER(存条明细!F988)),IF(ABS(存条明细!G988-存条明细!E988*存条明细!F988)&gt;0.005,1,0),0)</f>
        <v>0</v>
      </c>
    </row>
    <row r="989">
      <c r="A989">
        <f>IF(OR(存条明细!C989="",存条明细!D989=""),"",IF(COUNTIFS(存条明细!$C$4:C989,存条明细!C989,存条明细!$D$4:D989,存条明细!D989)&gt;1,"",IFERROR(MATCH(存条明细!C989,总览汇总!$B$5:$B$304,0),900)*10000000+IFERROR(MATCH(存条明细!D989,基础资料!$E$5:$E$104,0),900)*10000+ROW()))</f>
      </c>
      <c r="F989">
        <f>IF(AND(出库明细!C989&lt;&gt;"",出库明细!C989=客户对账单!$B$4,ISNUMBER(出库明细!B989),出库明细!B989&gt;=客户对账单!$G$4,出库明细!B989&lt;=客户对账单!$I$4),出库明细!B989+ROW()/100000,"")</f>
      </c>
      <c r="H989">
        <f>IF(AND(采购进货!C989&lt;&gt;"",采购进货!C989=供应商对账单!$B$4,ISNUMBER(采购进货!B989),采购进货!B989&gt;=供应商对账单!$G$4,采购进货!B989&lt;=供应商对账单!$I$4),采购进货!B989+ROW()/100000,"")</f>
      </c>
      <c r="N989">
        <f>IF(AND(ISNUMBER(出库明细!G989),ISNUMBER(出库明细!E989),ISNUMBER(出库明细!F989)),IF(ABS(出库明细!G989-出库明细!E989*出库明细!F989)&gt;0.005,1,0),0)</f>
        <v>0</v>
      </c>
      <c r="O989">
        <f>IF(AND(ISNUMBER(存条明细!G989),ISNUMBER(存条明细!E989),ISNUMBER(存条明细!F989)),IF(ABS(存条明细!G989-存条明细!E989*存条明细!F989)&gt;0.005,1,0),0)</f>
        <v>0</v>
      </c>
    </row>
    <row r="990">
      <c r="A990">
        <f>IF(OR(存条明细!C990="",存条明细!D990=""),"",IF(COUNTIFS(存条明细!$C$4:C990,存条明细!C990,存条明细!$D$4:D990,存条明细!D990)&gt;1,"",IFERROR(MATCH(存条明细!C990,总览汇总!$B$5:$B$304,0),900)*10000000+IFERROR(MATCH(存条明细!D990,基础资料!$E$5:$E$104,0),900)*10000+ROW()))</f>
      </c>
      <c r="F990">
        <f>IF(AND(出库明细!C990&lt;&gt;"",出库明细!C990=客户对账单!$B$4,ISNUMBER(出库明细!B990),出库明细!B990&gt;=客户对账单!$G$4,出库明细!B990&lt;=客户对账单!$I$4),出库明细!B990+ROW()/100000,"")</f>
      </c>
      <c r="H990">
        <f>IF(AND(采购进货!C990&lt;&gt;"",采购进货!C990=供应商对账单!$B$4,ISNUMBER(采购进货!B990),采购进货!B990&gt;=供应商对账单!$G$4,采购进货!B990&lt;=供应商对账单!$I$4),采购进货!B990+ROW()/100000,"")</f>
      </c>
      <c r="N990">
        <f>IF(AND(ISNUMBER(出库明细!G990),ISNUMBER(出库明细!E990),ISNUMBER(出库明细!F990)),IF(ABS(出库明细!G990-出库明细!E990*出库明细!F990)&gt;0.005,1,0),0)</f>
        <v>0</v>
      </c>
      <c r="O990">
        <f>IF(AND(ISNUMBER(存条明细!G990),ISNUMBER(存条明细!E990),ISNUMBER(存条明细!F990)),IF(ABS(存条明细!G990-存条明细!E990*存条明细!F990)&gt;0.005,1,0),0)</f>
        <v>0</v>
      </c>
    </row>
    <row r="991">
      <c r="A991">
        <f>IF(OR(存条明细!C991="",存条明细!D991=""),"",IF(COUNTIFS(存条明细!$C$4:C991,存条明细!C991,存条明细!$D$4:D991,存条明细!D991)&gt;1,"",IFERROR(MATCH(存条明细!C991,总览汇总!$B$5:$B$304,0),900)*10000000+IFERROR(MATCH(存条明细!D991,基础资料!$E$5:$E$104,0),900)*10000+ROW()))</f>
      </c>
      <c r="F991">
        <f>IF(AND(出库明细!C991&lt;&gt;"",出库明细!C991=客户对账单!$B$4,ISNUMBER(出库明细!B991),出库明细!B991&gt;=客户对账单!$G$4,出库明细!B991&lt;=客户对账单!$I$4),出库明细!B991+ROW()/100000,"")</f>
      </c>
      <c r="H991">
        <f>IF(AND(采购进货!C991&lt;&gt;"",采购进货!C991=供应商对账单!$B$4,ISNUMBER(采购进货!B991),采购进货!B991&gt;=供应商对账单!$G$4,采购进货!B991&lt;=供应商对账单!$I$4),采购进货!B991+ROW()/100000,"")</f>
      </c>
      <c r="N991">
        <f>IF(AND(ISNUMBER(出库明细!G991),ISNUMBER(出库明细!E991),ISNUMBER(出库明细!F991)),IF(ABS(出库明细!G991-出库明细!E991*出库明细!F991)&gt;0.005,1,0),0)</f>
        <v>0</v>
      </c>
      <c r="O991">
        <f>IF(AND(ISNUMBER(存条明细!G991),ISNUMBER(存条明细!E991),ISNUMBER(存条明细!F991)),IF(ABS(存条明细!G991-存条明细!E991*存条明细!F991)&gt;0.005,1,0),0)</f>
        <v>0</v>
      </c>
    </row>
    <row r="992">
      <c r="A992">
        <f>IF(OR(存条明细!C992="",存条明细!D992=""),"",IF(COUNTIFS(存条明细!$C$4:C992,存条明细!C992,存条明细!$D$4:D992,存条明细!D992)&gt;1,"",IFERROR(MATCH(存条明细!C992,总览汇总!$B$5:$B$304,0),900)*10000000+IFERROR(MATCH(存条明细!D992,基础资料!$E$5:$E$104,0),900)*10000+ROW()))</f>
      </c>
      <c r="F992">
        <f>IF(AND(出库明细!C992&lt;&gt;"",出库明细!C992=客户对账单!$B$4,ISNUMBER(出库明细!B992),出库明细!B992&gt;=客户对账单!$G$4,出库明细!B992&lt;=客户对账单!$I$4),出库明细!B992+ROW()/100000,"")</f>
      </c>
      <c r="H992">
        <f>IF(AND(采购进货!C992&lt;&gt;"",采购进货!C992=供应商对账单!$B$4,ISNUMBER(采购进货!B992),采购进货!B992&gt;=供应商对账单!$G$4,采购进货!B992&lt;=供应商对账单!$I$4),采购进货!B992+ROW()/100000,"")</f>
      </c>
      <c r="N992">
        <f>IF(AND(ISNUMBER(出库明细!G992),ISNUMBER(出库明细!E992),ISNUMBER(出库明细!F992)),IF(ABS(出库明细!G992-出库明细!E992*出库明细!F992)&gt;0.005,1,0),0)</f>
        <v>0</v>
      </c>
      <c r="O992">
        <f>IF(AND(ISNUMBER(存条明细!G992),ISNUMBER(存条明细!E992),ISNUMBER(存条明细!F992)),IF(ABS(存条明细!G992-存条明细!E992*存条明细!F992)&gt;0.005,1,0),0)</f>
        <v>0</v>
      </c>
    </row>
    <row r="993">
      <c r="A993">
        <f>IF(OR(存条明细!C993="",存条明细!D993=""),"",IF(COUNTIFS(存条明细!$C$4:C993,存条明细!C993,存条明细!$D$4:D993,存条明细!D993)&gt;1,"",IFERROR(MATCH(存条明细!C993,总览汇总!$B$5:$B$304,0),900)*10000000+IFERROR(MATCH(存条明细!D993,基础资料!$E$5:$E$104,0),900)*10000+ROW()))</f>
      </c>
      <c r="F993">
        <f>IF(AND(出库明细!C993&lt;&gt;"",出库明细!C993=客户对账单!$B$4,ISNUMBER(出库明细!B993),出库明细!B993&gt;=客户对账单!$G$4,出库明细!B993&lt;=客户对账单!$I$4),出库明细!B993+ROW()/100000,"")</f>
      </c>
      <c r="H993">
        <f>IF(AND(采购进货!C993&lt;&gt;"",采购进货!C993=供应商对账单!$B$4,ISNUMBER(采购进货!B993),采购进货!B993&gt;=供应商对账单!$G$4,采购进货!B993&lt;=供应商对账单!$I$4),采购进货!B993+ROW()/100000,"")</f>
      </c>
      <c r="N993">
        <f>IF(AND(ISNUMBER(出库明细!G993),ISNUMBER(出库明细!E993),ISNUMBER(出库明细!F993)),IF(ABS(出库明细!G993-出库明细!E993*出库明细!F993)&gt;0.005,1,0),0)</f>
        <v>0</v>
      </c>
      <c r="O993">
        <f>IF(AND(ISNUMBER(存条明细!G993),ISNUMBER(存条明细!E993),ISNUMBER(存条明细!F993)),IF(ABS(存条明细!G993-存条明细!E993*存条明细!F993)&gt;0.005,1,0),0)</f>
        <v>0</v>
      </c>
    </row>
    <row r="994">
      <c r="A994">
        <f>IF(OR(存条明细!C994="",存条明细!D994=""),"",IF(COUNTIFS(存条明细!$C$4:C994,存条明细!C994,存条明细!$D$4:D994,存条明细!D994)&gt;1,"",IFERROR(MATCH(存条明细!C994,总览汇总!$B$5:$B$304,0),900)*10000000+IFERROR(MATCH(存条明细!D994,基础资料!$E$5:$E$104,0),900)*10000+ROW()))</f>
      </c>
      <c r="F994">
        <f>IF(AND(出库明细!C994&lt;&gt;"",出库明细!C994=客户对账单!$B$4,ISNUMBER(出库明细!B994),出库明细!B994&gt;=客户对账单!$G$4,出库明细!B994&lt;=客户对账单!$I$4),出库明细!B994+ROW()/100000,"")</f>
      </c>
      <c r="H994">
        <f>IF(AND(采购进货!C994&lt;&gt;"",采购进货!C994=供应商对账单!$B$4,ISNUMBER(采购进货!B994),采购进货!B994&gt;=供应商对账单!$G$4,采购进货!B994&lt;=供应商对账单!$I$4),采购进货!B994+ROW()/100000,"")</f>
      </c>
      <c r="N994">
        <f>IF(AND(ISNUMBER(出库明细!G994),ISNUMBER(出库明细!E994),ISNUMBER(出库明细!F994)),IF(ABS(出库明细!G994-出库明细!E994*出库明细!F994)&gt;0.005,1,0),0)</f>
        <v>0</v>
      </c>
      <c r="O994">
        <f>IF(AND(ISNUMBER(存条明细!G994),ISNUMBER(存条明细!E994),ISNUMBER(存条明细!F994)),IF(ABS(存条明细!G994-存条明细!E994*存条明细!F994)&gt;0.005,1,0),0)</f>
        <v>0</v>
      </c>
    </row>
    <row r="995">
      <c r="A995">
        <f>IF(OR(存条明细!C995="",存条明细!D995=""),"",IF(COUNTIFS(存条明细!$C$4:C995,存条明细!C995,存条明细!$D$4:D995,存条明细!D995)&gt;1,"",IFERROR(MATCH(存条明细!C995,总览汇总!$B$5:$B$304,0),900)*10000000+IFERROR(MATCH(存条明细!D995,基础资料!$E$5:$E$104,0),900)*10000+ROW()))</f>
      </c>
      <c r="F995">
        <f>IF(AND(出库明细!C995&lt;&gt;"",出库明细!C995=客户对账单!$B$4,ISNUMBER(出库明细!B995),出库明细!B995&gt;=客户对账单!$G$4,出库明细!B995&lt;=客户对账单!$I$4),出库明细!B995+ROW()/100000,"")</f>
      </c>
      <c r="H995">
        <f>IF(AND(采购进货!C995&lt;&gt;"",采购进货!C995=供应商对账单!$B$4,ISNUMBER(采购进货!B995),采购进货!B995&gt;=供应商对账单!$G$4,采购进货!B995&lt;=供应商对账单!$I$4),采购进货!B995+ROW()/100000,"")</f>
      </c>
      <c r="N995">
        <f>IF(AND(ISNUMBER(出库明细!G995),ISNUMBER(出库明细!E995),ISNUMBER(出库明细!F995)),IF(ABS(出库明细!G995-出库明细!E995*出库明细!F995)&gt;0.005,1,0),0)</f>
        <v>0</v>
      </c>
      <c r="O995">
        <f>IF(AND(ISNUMBER(存条明细!G995),ISNUMBER(存条明细!E995),ISNUMBER(存条明细!F995)),IF(ABS(存条明细!G995-存条明细!E995*存条明细!F995)&gt;0.005,1,0),0)</f>
        <v>0</v>
      </c>
    </row>
    <row r="996">
      <c r="A996">
        <f>IF(OR(存条明细!C996="",存条明细!D996=""),"",IF(COUNTIFS(存条明细!$C$4:C996,存条明细!C996,存条明细!$D$4:D996,存条明细!D996)&gt;1,"",IFERROR(MATCH(存条明细!C996,总览汇总!$B$5:$B$304,0),900)*10000000+IFERROR(MATCH(存条明细!D996,基础资料!$E$5:$E$104,0),900)*10000+ROW()))</f>
      </c>
      <c r="F996">
        <f>IF(AND(出库明细!C996&lt;&gt;"",出库明细!C996=客户对账单!$B$4,ISNUMBER(出库明细!B996),出库明细!B996&gt;=客户对账单!$G$4,出库明细!B996&lt;=客户对账单!$I$4),出库明细!B996+ROW()/100000,"")</f>
      </c>
      <c r="H996">
        <f>IF(AND(采购进货!C996&lt;&gt;"",采购进货!C996=供应商对账单!$B$4,ISNUMBER(采购进货!B996),采购进货!B996&gt;=供应商对账单!$G$4,采购进货!B996&lt;=供应商对账单!$I$4),采购进货!B996+ROW()/100000,"")</f>
      </c>
      <c r="N996">
        <f>IF(AND(ISNUMBER(出库明细!G996),ISNUMBER(出库明细!E996),ISNUMBER(出库明细!F996)),IF(ABS(出库明细!G996-出库明细!E996*出库明细!F996)&gt;0.005,1,0),0)</f>
        <v>0</v>
      </c>
      <c r="O996">
        <f>IF(AND(ISNUMBER(存条明细!G996),ISNUMBER(存条明细!E996),ISNUMBER(存条明细!F996)),IF(ABS(存条明细!G996-存条明细!E996*存条明细!F996)&gt;0.005,1,0),0)</f>
        <v>0</v>
      </c>
    </row>
    <row r="997">
      <c r="A997">
        <f>IF(OR(存条明细!C997="",存条明细!D997=""),"",IF(COUNTIFS(存条明细!$C$4:C997,存条明细!C997,存条明细!$D$4:D997,存条明细!D997)&gt;1,"",IFERROR(MATCH(存条明细!C997,总览汇总!$B$5:$B$304,0),900)*10000000+IFERROR(MATCH(存条明细!D997,基础资料!$E$5:$E$104,0),900)*10000+ROW()))</f>
      </c>
      <c r="F997">
        <f>IF(AND(出库明细!C997&lt;&gt;"",出库明细!C997=客户对账单!$B$4,ISNUMBER(出库明细!B997),出库明细!B997&gt;=客户对账单!$G$4,出库明细!B997&lt;=客户对账单!$I$4),出库明细!B997+ROW()/100000,"")</f>
      </c>
      <c r="H997">
        <f>IF(AND(采购进货!C997&lt;&gt;"",采购进货!C997=供应商对账单!$B$4,ISNUMBER(采购进货!B997),采购进货!B997&gt;=供应商对账单!$G$4,采购进货!B997&lt;=供应商对账单!$I$4),采购进货!B997+ROW()/100000,"")</f>
      </c>
      <c r="N997">
        <f>IF(AND(ISNUMBER(出库明细!G997),ISNUMBER(出库明细!E997),ISNUMBER(出库明细!F997)),IF(ABS(出库明细!G997-出库明细!E997*出库明细!F997)&gt;0.005,1,0),0)</f>
        <v>0</v>
      </c>
      <c r="O997">
        <f>IF(AND(ISNUMBER(存条明细!G997),ISNUMBER(存条明细!E997),ISNUMBER(存条明细!F997)),IF(ABS(存条明细!G997-存条明细!E997*存条明细!F997)&gt;0.005,1,0),0)</f>
        <v>0</v>
      </c>
    </row>
    <row r="998">
      <c r="A998">
        <f>IF(OR(存条明细!C998="",存条明细!D998=""),"",IF(COUNTIFS(存条明细!$C$4:C998,存条明细!C998,存条明细!$D$4:D998,存条明细!D998)&gt;1,"",IFERROR(MATCH(存条明细!C998,总览汇总!$B$5:$B$304,0),900)*10000000+IFERROR(MATCH(存条明细!D998,基础资料!$E$5:$E$104,0),900)*10000+ROW()))</f>
      </c>
      <c r="F998">
        <f>IF(AND(出库明细!C998&lt;&gt;"",出库明细!C998=客户对账单!$B$4,ISNUMBER(出库明细!B998),出库明细!B998&gt;=客户对账单!$G$4,出库明细!B998&lt;=客户对账单!$I$4),出库明细!B998+ROW()/100000,"")</f>
      </c>
      <c r="H998">
        <f>IF(AND(采购进货!C998&lt;&gt;"",采购进货!C998=供应商对账单!$B$4,ISNUMBER(采购进货!B998),采购进货!B998&gt;=供应商对账单!$G$4,采购进货!B998&lt;=供应商对账单!$I$4),采购进货!B998+ROW()/100000,"")</f>
      </c>
      <c r="N998">
        <f>IF(AND(ISNUMBER(出库明细!G998),ISNUMBER(出库明细!E998),ISNUMBER(出库明细!F998)),IF(ABS(出库明细!G998-出库明细!E998*出库明细!F998)&gt;0.005,1,0),0)</f>
        <v>0</v>
      </c>
      <c r="O998">
        <f>IF(AND(ISNUMBER(存条明细!G998),ISNUMBER(存条明细!E998),ISNUMBER(存条明细!F998)),IF(ABS(存条明细!G998-存条明细!E998*存条明细!F998)&gt;0.005,1,0),0)</f>
        <v>0</v>
      </c>
    </row>
    <row r="999">
      <c r="A999">
        <f>IF(OR(存条明细!C999="",存条明细!D999=""),"",IF(COUNTIFS(存条明细!$C$4:C999,存条明细!C999,存条明细!$D$4:D999,存条明细!D999)&gt;1,"",IFERROR(MATCH(存条明细!C999,总览汇总!$B$5:$B$304,0),900)*10000000+IFERROR(MATCH(存条明细!D999,基础资料!$E$5:$E$104,0),900)*10000+ROW()))</f>
      </c>
      <c r="F999">
        <f>IF(AND(出库明细!C999&lt;&gt;"",出库明细!C999=客户对账单!$B$4,ISNUMBER(出库明细!B999),出库明细!B999&gt;=客户对账单!$G$4,出库明细!B999&lt;=客户对账单!$I$4),出库明细!B999+ROW()/100000,"")</f>
      </c>
      <c r="H999">
        <f>IF(AND(采购进货!C999&lt;&gt;"",采购进货!C999=供应商对账单!$B$4,ISNUMBER(采购进货!B999),采购进货!B999&gt;=供应商对账单!$G$4,采购进货!B999&lt;=供应商对账单!$I$4),采购进货!B999+ROW()/100000,"")</f>
      </c>
      <c r="N999">
        <f>IF(AND(ISNUMBER(出库明细!G999),ISNUMBER(出库明细!E999),ISNUMBER(出库明细!F999)),IF(ABS(出库明细!G999-出库明细!E999*出库明细!F999)&gt;0.005,1,0),0)</f>
        <v>0</v>
      </c>
      <c r="O999">
        <f>IF(AND(ISNUMBER(存条明细!G999),ISNUMBER(存条明细!E999),ISNUMBER(存条明细!F999)),IF(ABS(存条明细!G999-存条明细!E999*存条明细!F999)&gt;0.005,1,0),0)</f>
        <v>0</v>
      </c>
    </row>
    <row r="1000">
      <c r="A1000">
        <f>IF(OR(存条明细!C1000="",存条明细!D1000=""),"",IF(COUNTIFS(存条明细!$C$4:C1000,存条明细!C1000,存条明细!$D$4:D1000,存条明细!D1000)&gt;1,"",IFERROR(MATCH(存条明细!C1000,总览汇总!$B$5:$B$304,0),900)*10000000+IFERROR(MATCH(存条明细!D1000,基础资料!$E$5:$E$104,0),900)*10000+ROW()))</f>
      </c>
      <c r="F1000">
        <f>IF(AND(出库明细!C1000&lt;&gt;"",出库明细!C1000=客户对账单!$B$4,ISNUMBER(出库明细!B1000),出库明细!B1000&gt;=客户对账单!$G$4,出库明细!B1000&lt;=客户对账单!$I$4),出库明细!B1000+ROW()/100000,"")</f>
      </c>
      <c r="H1000">
        <f>IF(AND(采购进货!C1000&lt;&gt;"",采购进货!C1000=供应商对账单!$B$4,ISNUMBER(采购进货!B1000),采购进货!B1000&gt;=供应商对账单!$G$4,采购进货!B1000&lt;=供应商对账单!$I$4),采购进货!B1000+ROW()/100000,"")</f>
      </c>
      <c r="N1000">
        <f>IF(AND(ISNUMBER(出库明细!G1000),ISNUMBER(出库明细!E1000),ISNUMBER(出库明细!F1000)),IF(ABS(出库明细!G1000-出库明细!E1000*出库明细!F1000)&gt;0.005,1,0),0)</f>
        <v>0</v>
      </c>
      <c r="O1000">
        <f>IF(AND(ISNUMBER(存条明细!G1000),ISNUMBER(存条明细!E1000),ISNUMBER(存条明细!F1000)),IF(ABS(存条明细!G1000-存条明细!E1000*存条明细!F1000)&gt;0.005,1,0),0)</f>
        <v>0</v>
      </c>
    </row>
    <row r="1001">
      <c r="A1001">
        <f>IF(OR(存条明细!C1001="",存条明细!D1001=""),"",IF(COUNTIFS(存条明细!$C$4:C1001,存条明细!C1001,存条明细!$D$4:D1001,存条明细!D1001)&gt;1,"",IFERROR(MATCH(存条明细!C1001,总览汇总!$B$5:$B$304,0),900)*10000000+IFERROR(MATCH(存条明细!D1001,基础资料!$E$5:$E$104,0),900)*10000+ROW()))</f>
      </c>
      <c r="F1001">
        <f>IF(AND(出库明细!C1001&lt;&gt;"",出库明细!C1001=客户对账单!$B$4,ISNUMBER(出库明细!B1001),出库明细!B1001&gt;=客户对账单!$G$4,出库明细!B1001&lt;=客户对账单!$I$4),出库明细!B1001+ROW()/100000,"")</f>
      </c>
      <c r="H1001">
        <f>IF(AND(采购进货!C1001&lt;&gt;"",采购进货!C1001=供应商对账单!$B$4,ISNUMBER(采购进货!B1001),采购进货!B1001&gt;=供应商对账单!$G$4,采购进货!B1001&lt;=供应商对账单!$I$4),采购进货!B1001+ROW()/100000,"")</f>
      </c>
      <c r="N1001">
        <f>IF(AND(ISNUMBER(出库明细!G1001),ISNUMBER(出库明细!E1001),ISNUMBER(出库明细!F1001)),IF(ABS(出库明细!G1001-出库明细!E1001*出库明细!F1001)&gt;0.005,1,0),0)</f>
        <v>0</v>
      </c>
      <c r="O1001">
        <f>IF(AND(ISNUMBER(存条明细!G1001),ISNUMBER(存条明细!E1001),ISNUMBER(存条明细!F1001)),IF(ABS(存条明细!G1001-存条明细!E1001*存条明细!F1001)&gt;0.005,1,0),0)</f>
        <v>0</v>
      </c>
    </row>
    <row r="1002">
      <c r="A1002">
        <f>IF(OR(存条明细!C1002="",存条明细!D1002=""),"",IF(COUNTIFS(存条明细!$C$4:C1002,存条明细!C1002,存条明细!$D$4:D1002,存条明细!D1002)&gt;1,"",IFERROR(MATCH(存条明细!C1002,总览汇总!$B$5:$B$304,0),900)*10000000+IFERROR(MATCH(存条明细!D1002,基础资料!$E$5:$E$104,0),900)*10000+ROW()))</f>
      </c>
      <c r="F1002">
        <f>IF(AND(出库明细!C1002&lt;&gt;"",出库明细!C1002=客户对账单!$B$4,ISNUMBER(出库明细!B1002),出库明细!B1002&gt;=客户对账单!$G$4,出库明细!B1002&lt;=客户对账单!$I$4),出库明细!B1002+ROW()/100000,"")</f>
      </c>
      <c r="H1002">
        <f>IF(AND(采购进货!C1002&lt;&gt;"",采购进货!C1002=供应商对账单!$B$4,ISNUMBER(采购进货!B1002),采购进货!B1002&gt;=供应商对账单!$G$4,采购进货!B1002&lt;=供应商对账单!$I$4),采购进货!B1002+ROW()/100000,"")</f>
      </c>
      <c r="N1002">
        <f>IF(AND(ISNUMBER(出库明细!G1002),ISNUMBER(出库明细!E1002),ISNUMBER(出库明细!F1002)),IF(ABS(出库明细!G1002-出库明细!E1002*出库明细!F1002)&gt;0.005,1,0),0)</f>
        <v>0</v>
      </c>
      <c r="O1002">
        <f>IF(AND(ISNUMBER(存条明细!G1002),ISNUMBER(存条明细!E1002),ISNUMBER(存条明细!F1002)),IF(ABS(存条明细!G1002-存条明细!E1002*存条明细!F1002)&gt;0.005,1,0),0)</f>
        <v>0</v>
      </c>
    </row>
    <row r="1003">
      <c r="A1003">
        <f>IF(OR(存条明细!C1003="",存条明细!D1003=""),"",IF(COUNTIFS(存条明细!$C$4:C1003,存条明细!C1003,存条明细!$D$4:D1003,存条明细!D1003)&gt;1,"",IFERROR(MATCH(存条明细!C1003,总览汇总!$B$5:$B$304,0),900)*10000000+IFERROR(MATCH(存条明细!D1003,基础资料!$E$5:$E$104,0),900)*10000+ROW()))</f>
      </c>
      <c r="F1003">
        <f>IF(AND(出库明细!C1003&lt;&gt;"",出库明细!C1003=客户对账单!$B$4,ISNUMBER(出库明细!B1003),出库明细!B1003&gt;=客户对账单!$G$4,出库明细!B1003&lt;=客户对账单!$I$4),出库明细!B1003+ROW()/100000,"")</f>
      </c>
      <c r="H1003">
        <f>IF(AND(采购进货!C1003&lt;&gt;"",采购进货!C1003=供应商对账单!$B$4,ISNUMBER(采购进货!B1003),采购进货!B1003&gt;=供应商对账单!$G$4,采购进货!B1003&lt;=供应商对账单!$I$4),采购进货!B1003+ROW()/100000,"")</f>
      </c>
      <c r="N1003">
        <f>IF(AND(ISNUMBER(出库明细!G1003),ISNUMBER(出库明细!E1003),ISNUMBER(出库明细!F1003)),IF(ABS(出库明细!G1003-出库明细!E1003*出库明细!F1003)&gt;0.005,1,0),0)</f>
        <v>0</v>
      </c>
      <c r="O1003">
        <f>IF(AND(ISNUMBER(存条明细!G1003),ISNUMBER(存条明细!E1003),ISNUMBER(存条明细!F1003)),IF(ABS(存条明细!G1003-存条明细!E1003*存条明细!F1003)&gt;0.005,1,0),0)</f>
        <v>0</v>
      </c>
    </row>
    <row r="1004">
      <c r="A1004">
        <f>IF(OR(出库明细!C4="",出库明细!D4=""),"",IF(OR(COUNTIFS(存条明细!$C$4:$C$1003,出库明细!C4,存条明细!$D$4:$D$1003,出库明细!D4)&gt;0,COUNTIFS(出库明细!$C$4:C4,出库明细!C4,出库明细!$D$4:D4,出库明细!D4)&gt;1),"",IFERROR(MATCH(出库明细!C4,总览汇总!$B$5:$B$304,0),900)*10000000+IFERROR(MATCH(出库明细!D4,基础资料!$E$5:$E$104,0),900)*10000+ROW()))</f>
      </c>
      <c r="F1004">
        <f>IF(AND(出库明细!C1004&lt;&gt;"",出库明细!C1004=客户对账单!$B$4,ISNUMBER(出库明细!B1004),出库明细!B1004&gt;=客户对账单!$G$4,出库明细!B1004&lt;=客户对账单!$I$4),出库明细!B1004+ROW()/100000,"")</f>
      </c>
      <c r="H1004">
        <f>IF(AND(采购进货!C1004&lt;&gt;"",采购进货!C1004=供应商对账单!$B$4,ISNUMBER(采购进货!B1004),采购进货!B1004&gt;=供应商对账单!$G$4,采购进货!B1004&lt;=供应商对账单!$I$4),采购进货!B1004+ROW()/100000,"")</f>
      </c>
      <c r="N1004">
        <f>IF(AND(ISNUMBER(出库明细!G1004),ISNUMBER(出库明细!E1004),ISNUMBER(出库明细!F1004)),IF(ABS(出库明细!G1004-出库明细!E1004*出库明细!F1004)&gt;0.005,1,0),0)</f>
        <v>0</v>
      </c>
    </row>
    <row r="1005">
      <c r="A1005">
        <f>IF(OR(出库明细!C5="",出库明细!D5=""),"",IF(OR(COUNTIFS(存条明细!$C$4:$C$1003,出库明细!C5,存条明细!$D$4:$D$1003,出库明细!D5)&gt;0,COUNTIFS(出库明细!$C$4:C5,出库明细!C5,出库明细!$D$4:D5,出库明细!D5)&gt;1),"",IFERROR(MATCH(出库明细!C5,总览汇总!$B$5:$B$304,0),900)*10000000+IFERROR(MATCH(出库明细!D5,基础资料!$E$5:$E$104,0),900)*10000+ROW()))</f>
      </c>
      <c r="F1005">
        <f>IF(AND(出库明细!C1005&lt;&gt;"",出库明细!C1005=客户对账单!$B$4,ISNUMBER(出库明细!B1005),出库明细!B1005&gt;=客户对账单!$G$4,出库明细!B1005&lt;=客户对账单!$I$4),出库明细!B1005+ROW()/100000,"")</f>
      </c>
      <c r="H1005">
        <f>IF(AND(采购进货!C1005&lt;&gt;"",采购进货!C1005=供应商对账单!$B$4,ISNUMBER(采购进货!B1005),采购进货!B1005&gt;=供应商对账单!$G$4,采购进货!B1005&lt;=供应商对账单!$I$4),采购进货!B1005+ROW()/100000,"")</f>
      </c>
      <c r="N1005">
        <f>IF(AND(ISNUMBER(出库明细!G1005),ISNUMBER(出库明细!E1005),ISNUMBER(出库明细!F1005)),IF(ABS(出库明细!G1005-出库明细!E1005*出库明细!F1005)&gt;0.005,1,0),0)</f>
        <v>0</v>
      </c>
    </row>
    <row r="1006">
      <c r="A1006">
        <f>IF(OR(出库明细!C6="",出库明细!D6=""),"",IF(OR(COUNTIFS(存条明细!$C$4:$C$1003,出库明细!C6,存条明细!$D$4:$D$1003,出库明细!D6)&gt;0,COUNTIFS(出库明细!$C$4:C6,出库明细!C6,出库明细!$D$4:D6,出库明细!D6)&gt;1),"",IFERROR(MATCH(出库明细!C6,总览汇总!$B$5:$B$304,0),900)*10000000+IFERROR(MATCH(出库明细!D6,基础资料!$E$5:$E$104,0),900)*10000+ROW()))</f>
      </c>
      <c r="F1006">
        <f>IF(AND(出库明细!C1006&lt;&gt;"",出库明细!C1006=客户对账单!$B$4,ISNUMBER(出库明细!B1006),出库明细!B1006&gt;=客户对账单!$G$4,出库明细!B1006&lt;=客户对账单!$I$4),出库明细!B1006+ROW()/100000,"")</f>
      </c>
      <c r="H1006">
        <f>IF(AND(采购进货!C1006&lt;&gt;"",采购进货!C1006=供应商对账单!$B$4,ISNUMBER(采购进货!B1006),采购进货!B1006&gt;=供应商对账单!$G$4,采购进货!B1006&lt;=供应商对账单!$I$4),采购进货!B1006+ROW()/100000,"")</f>
      </c>
      <c r="N1006">
        <f>IF(AND(ISNUMBER(出库明细!G1006),ISNUMBER(出库明细!E1006),ISNUMBER(出库明细!F1006)),IF(ABS(出库明细!G1006-出库明细!E1006*出库明细!F1006)&gt;0.005,1,0),0)</f>
        <v>0</v>
      </c>
    </row>
    <row r="1007">
      <c r="A1007">
        <f>IF(OR(出库明细!C7="",出库明细!D7=""),"",IF(OR(COUNTIFS(存条明细!$C$4:$C$1003,出库明细!C7,存条明细!$D$4:$D$1003,出库明细!D7)&gt;0,COUNTIFS(出库明细!$C$4:C7,出库明细!C7,出库明细!$D$4:D7,出库明细!D7)&gt;1),"",IFERROR(MATCH(出库明细!C7,总览汇总!$B$5:$B$304,0),900)*10000000+IFERROR(MATCH(出库明细!D7,基础资料!$E$5:$E$104,0),900)*10000+ROW()))</f>
      </c>
      <c r="F1007">
        <f>IF(AND(出库明细!C1007&lt;&gt;"",出库明细!C1007=客户对账单!$B$4,ISNUMBER(出库明细!B1007),出库明细!B1007&gt;=客户对账单!$G$4,出库明细!B1007&lt;=客户对账单!$I$4),出库明细!B1007+ROW()/100000,"")</f>
      </c>
      <c r="H1007">
        <f>IF(AND(采购进货!C1007&lt;&gt;"",采购进货!C1007=供应商对账单!$B$4,ISNUMBER(采购进货!B1007),采购进货!B1007&gt;=供应商对账单!$G$4,采购进货!B1007&lt;=供应商对账单!$I$4),采购进货!B1007+ROW()/100000,"")</f>
      </c>
      <c r="N1007">
        <f>IF(AND(ISNUMBER(出库明细!G1007),ISNUMBER(出库明细!E1007),ISNUMBER(出库明细!F1007)),IF(ABS(出库明细!G1007-出库明细!E1007*出库明细!F1007)&gt;0.005,1,0),0)</f>
        <v>0</v>
      </c>
    </row>
    <row r="1008">
      <c r="A1008">
        <f>IF(OR(出库明细!C8="",出库明细!D8=""),"",IF(OR(COUNTIFS(存条明细!$C$4:$C$1003,出库明细!C8,存条明细!$D$4:$D$1003,出库明细!D8)&gt;0,COUNTIFS(出库明细!$C$4:C8,出库明细!C8,出库明细!$D$4:D8,出库明细!D8)&gt;1),"",IFERROR(MATCH(出库明细!C8,总览汇总!$B$5:$B$304,0),900)*10000000+IFERROR(MATCH(出库明细!D8,基础资料!$E$5:$E$104,0),900)*10000+ROW()))</f>
      </c>
      <c r="F1008">
        <f>IF(AND(出库明细!C1008&lt;&gt;"",出库明细!C1008=客户对账单!$B$4,ISNUMBER(出库明细!B1008),出库明细!B1008&gt;=客户对账单!$G$4,出库明细!B1008&lt;=客户对账单!$I$4),出库明细!B1008+ROW()/100000,"")</f>
      </c>
      <c r="H1008">
        <f>IF(AND(采购进货!C1008&lt;&gt;"",采购进货!C1008=供应商对账单!$B$4,ISNUMBER(采购进货!B1008),采购进货!B1008&gt;=供应商对账单!$G$4,采购进货!B1008&lt;=供应商对账单!$I$4),采购进货!B1008+ROW()/100000,"")</f>
      </c>
      <c r="N1008">
        <f>IF(AND(ISNUMBER(出库明细!G1008),ISNUMBER(出库明细!E1008),ISNUMBER(出库明细!F1008)),IF(ABS(出库明细!G1008-出库明细!E1008*出库明细!F1008)&gt;0.005,1,0),0)</f>
        <v>0</v>
      </c>
    </row>
    <row r="1009">
      <c r="A1009">
        <f>IF(OR(出库明细!C9="",出库明细!D9=""),"",IF(OR(COUNTIFS(存条明细!$C$4:$C$1003,出库明细!C9,存条明细!$D$4:$D$1003,出库明细!D9)&gt;0,COUNTIFS(出库明细!$C$4:C9,出库明细!C9,出库明细!$D$4:D9,出库明细!D9)&gt;1),"",IFERROR(MATCH(出库明细!C9,总览汇总!$B$5:$B$304,0),900)*10000000+IFERROR(MATCH(出库明细!D9,基础资料!$E$5:$E$104,0),900)*10000+ROW()))</f>
      </c>
      <c r="F1009">
        <f>IF(AND(出库明细!C1009&lt;&gt;"",出库明细!C1009=客户对账单!$B$4,ISNUMBER(出库明细!B1009),出库明细!B1009&gt;=客户对账单!$G$4,出库明细!B1009&lt;=客户对账单!$I$4),出库明细!B1009+ROW()/100000,"")</f>
      </c>
      <c r="H1009">
        <f>IF(AND(采购进货!C1009&lt;&gt;"",采购进货!C1009=供应商对账单!$B$4,ISNUMBER(采购进货!B1009),采购进货!B1009&gt;=供应商对账单!$G$4,采购进货!B1009&lt;=供应商对账单!$I$4),采购进货!B1009+ROW()/100000,"")</f>
      </c>
      <c r="N1009">
        <f>IF(AND(ISNUMBER(出库明细!G1009),ISNUMBER(出库明细!E1009),ISNUMBER(出库明细!F1009)),IF(ABS(出库明细!G1009-出库明细!E1009*出库明细!F1009)&gt;0.005,1,0),0)</f>
        <v>0</v>
      </c>
    </row>
    <row r="1010">
      <c r="A1010">
        <f>IF(OR(出库明细!C10="",出库明细!D10=""),"",IF(OR(COUNTIFS(存条明细!$C$4:$C$1003,出库明细!C10,存条明细!$D$4:$D$1003,出库明细!D10)&gt;0,COUNTIFS(出库明细!$C$4:C10,出库明细!C10,出库明细!$D$4:D10,出库明细!D10)&gt;1),"",IFERROR(MATCH(出库明细!C10,总览汇总!$B$5:$B$304,0),900)*10000000+IFERROR(MATCH(出库明细!D10,基础资料!$E$5:$E$104,0),900)*10000+ROW()))</f>
      </c>
      <c r="F1010">
        <f>IF(AND(出库明细!C1010&lt;&gt;"",出库明细!C1010=客户对账单!$B$4,ISNUMBER(出库明细!B1010),出库明细!B1010&gt;=客户对账单!$G$4,出库明细!B1010&lt;=客户对账单!$I$4),出库明细!B1010+ROW()/100000,"")</f>
      </c>
      <c r="H1010">
        <f>IF(AND(采购进货!C1010&lt;&gt;"",采购进货!C1010=供应商对账单!$B$4,ISNUMBER(采购进货!B1010),采购进货!B1010&gt;=供应商对账单!$G$4,采购进货!B1010&lt;=供应商对账单!$I$4),采购进货!B1010+ROW()/100000,"")</f>
      </c>
      <c r="N1010">
        <f>IF(AND(ISNUMBER(出库明细!G1010),ISNUMBER(出库明细!E1010),ISNUMBER(出库明细!F1010)),IF(ABS(出库明细!G1010-出库明细!E1010*出库明细!F1010)&gt;0.005,1,0),0)</f>
        <v>0</v>
      </c>
    </row>
    <row r="1011">
      <c r="A1011">
        <f>IF(OR(出库明细!C11="",出库明细!D11=""),"",IF(OR(COUNTIFS(存条明细!$C$4:$C$1003,出库明细!C11,存条明细!$D$4:$D$1003,出库明细!D11)&gt;0,COUNTIFS(出库明细!$C$4:C11,出库明细!C11,出库明细!$D$4:D11,出库明细!D11)&gt;1),"",IFERROR(MATCH(出库明细!C11,总览汇总!$B$5:$B$304,0),900)*10000000+IFERROR(MATCH(出库明细!D11,基础资料!$E$5:$E$104,0),900)*10000+ROW()))</f>
      </c>
      <c r="F1011">
        <f>IF(AND(出库明细!C1011&lt;&gt;"",出库明细!C1011=客户对账单!$B$4,ISNUMBER(出库明细!B1011),出库明细!B1011&gt;=客户对账单!$G$4,出库明细!B1011&lt;=客户对账单!$I$4),出库明细!B1011+ROW()/100000,"")</f>
      </c>
      <c r="H1011">
        <f>IF(AND(采购进货!C1011&lt;&gt;"",采购进货!C1011=供应商对账单!$B$4,ISNUMBER(采购进货!B1011),采购进货!B1011&gt;=供应商对账单!$G$4,采购进货!B1011&lt;=供应商对账单!$I$4),采购进货!B1011+ROW()/100000,"")</f>
      </c>
      <c r="N1011">
        <f>IF(AND(ISNUMBER(出库明细!G1011),ISNUMBER(出库明细!E1011),ISNUMBER(出库明细!F1011)),IF(ABS(出库明细!G1011-出库明细!E1011*出库明细!F1011)&gt;0.005,1,0),0)</f>
        <v>0</v>
      </c>
    </row>
    <row r="1012">
      <c r="A1012">
        <f>IF(OR(出库明细!C12="",出库明细!D12=""),"",IF(OR(COUNTIFS(存条明细!$C$4:$C$1003,出库明细!C12,存条明细!$D$4:$D$1003,出库明细!D12)&gt;0,COUNTIFS(出库明细!$C$4:C12,出库明细!C12,出库明细!$D$4:D12,出库明细!D12)&gt;1),"",IFERROR(MATCH(出库明细!C12,总览汇总!$B$5:$B$304,0),900)*10000000+IFERROR(MATCH(出库明细!D12,基础资料!$E$5:$E$104,0),900)*10000+ROW()))</f>
      </c>
      <c r="F1012">
        <f>IF(AND(出库明细!C1012&lt;&gt;"",出库明细!C1012=客户对账单!$B$4,ISNUMBER(出库明细!B1012),出库明细!B1012&gt;=客户对账单!$G$4,出库明细!B1012&lt;=客户对账单!$I$4),出库明细!B1012+ROW()/100000,"")</f>
      </c>
      <c r="H1012">
        <f>IF(AND(采购进货!C1012&lt;&gt;"",采购进货!C1012=供应商对账单!$B$4,ISNUMBER(采购进货!B1012),采购进货!B1012&gt;=供应商对账单!$G$4,采购进货!B1012&lt;=供应商对账单!$I$4),采购进货!B1012+ROW()/100000,"")</f>
      </c>
      <c r="N1012">
        <f>IF(AND(ISNUMBER(出库明细!G1012),ISNUMBER(出库明细!E1012),ISNUMBER(出库明细!F1012)),IF(ABS(出库明细!G1012-出库明细!E1012*出库明细!F1012)&gt;0.005,1,0),0)</f>
        <v>0</v>
      </c>
    </row>
    <row r="1013">
      <c r="A1013">
        <f>IF(OR(出库明细!C13="",出库明细!D13=""),"",IF(OR(COUNTIFS(存条明细!$C$4:$C$1003,出库明细!C13,存条明细!$D$4:$D$1003,出库明细!D13)&gt;0,COUNTIFS(出库明细!$C$4:C13,出库明细!C13,出库明细!$D$4:D13,出库明细!D13)&gt;1),"",IFERROR(MATCH(出库明细!C13,总览汇总!$B$5:$B$304,0),900)*10000000+IFERROR(MATCH(出库明细!D13,基础资料!$E$5:$E$104,0),900)*10000+ROW()))</f>
      </c>
      <c r="F1013">
        <f>IF(AND(出库明细!C1013&lt;&gt;"",出库明细!C1013=客户对账单!$B$4,ISNUMBER(出库明细!B1013),出库明细!B1013&gt;=客户对账单!$G$4,出库明细!B1013&lt;=客户对账单!$I$4),出库明细!B1013+ROW()/100000,"")</f>
      </c>
      <c r="H1013">
        <f>IF(AND(采购进货!C1013&lt;&gt;"",采购进货!C1013=供应商对账单!$B$4,ISNUMBER(采购进货!B1013),采购进货!B1013&gt;=供应商对账单!$G$4,采购进货!B1013&lt;=供应商对账单!$I$4),采购进货!B1013+ROW()/100000,"")</f>
      </c>
      <c r="N1013">
        <f>IF(AND(ISNUMBER(出库明细!G1013),ISNUMBER(出库明细!E1013),ISNUMBER(出库明细!F1013)),IF(ABS(出库明细!G1013-出库明细!E1013*出库明细!F1013)&gt;0.005,1,0),0)</f>
        <v>0</v>
      </c>
    </row>
    <row r="1014">
      <c r="A1014">
        <f>IF(OR(出库明细!C14="",出库明细!D14=""),"",IF(OR(COUNTIFS(存条明细!$C$4:$C$1003,出库明细!C14,存条明细!$D$4:$D$1003,出库明细!D14)&gt;0,COUNTIFS(出库明细!$C$4:C14,出库明细!C14,出库明细!$D$4:D14,出库明细!D14)&gt;1),"",IFERROR(MATCH(出库明细!C14,总览汇总!$B$5:$B$304,0),900)*10000000+IFERROR(MATCH(出库明细!D14,基础资料!$E$5:$E$104,0),900)*10000+ROW()))</f>
        <v>40091014</v>
      </c>
      <c r="F1014">
        <f>IF(AND(出库明细!C1014&lt;&gt;"",出库明细!C1014=客户对账单!$B$4,ISNUMBER(出库明细!B1014),出库明细!B1014&gt;=客户对账单!$G$4,出库明细!B1014&lt;=客户对账单!$I$4),出库明细!B1014+ROW()/100000,"")</f>
      </c>
      <c r="H1014">
        <f>IF(AND(采购进货!C1014&lt;&gt;"",采购进货!C1014=供应商对账单!$B$4,ISNUMBER(采购进货!B1014),采购进货!B1014&gt;=供应商对账单!$G$4,采购进货!B1014&lt;=供应商对账单!$I$4),采购进货!B1014+ROW()/100000,"")</f>
      </c>
      <c r="N1014">
        <f>IF(AND(ISNUMBER(出库明细!G1014),ISNUMBER(出库明细!E1014),ISNUMBER(出库明细!F1014)),IF(ABS(出库明细!G1014-出库明细!E1014*出库明细!F1014)&gt;0.005,1,0),0)</f>
        <v>0</v>
      </c>
    </row>
    <row r="1015">
      <c r="A1015">
        <f>IF(OR(出库明细!C15="",出库明细!D15=""),"",IF(OR(COUNTIFS(存条明细!$C$4:$C$1003,出库明细!C15,存条明细!$D$4:$D$1003,出库明细!D15)&gt;0,COUNTIFS(出库明细!$C$4:C15,出库明细!C15,出库明细!$D$4:D15,出库明细!D15)&gt;1),"",IFERROR(MATCH(出库明细!C15,总览汇总!$B$5:$B$304,0),900)*10000000+IFERROR(MATCH(出库明细!D15,基础资料!$E$5:$E$104,0),900)*10000+ROW()))</f>
      </c>
      <c r="F1015">
        <f>IF(AND(出库明细!C1015&lt;&gt;"",出库明细!C1015=客户对账单!$B$4,ISNUMBER(出库明细!B1015),出库明细!B1015&gt;=客户对账单!$G$4,出库明细!B1015&lt;=客户对账单!$I$4),出库明细!B1015+ROW()/100000,"")</f>
      </c>
      <c r="H1015">
        <f>IF(AND(采购进货!C1015&lt;&gt;"",采购进货!C1015=供应商对账单!$B$4,ISNUMBER(采购进货!B1015),采购进货!B1015&gt;=供应商对账单!$G$4,采购进货!B1015&lt;=供应商对账单!$I$4),采购进货!B1015+ROW()/100000,"")</f>
      </c>
      <c r="N1015">
        <f>IF(AND(ISNUMBER(出库明细!G1015),ISNUMBER(出库明细!E1015),ISNUMBER(出库明细!F1015)),IF(ABS(出库明细!G1015-出库明细!E1015*出库明细!F1015)&gt;0.005,1,0),0)</f>
        <v>0</v>
      </c>
    </row>
    <row r="1016">
      <c r="A1016">
        <f>IF(OR(出库明细!C16="",出库明细!D16=""),"",IF(OR(COUNTIFS(存条明细!$C$4:$C$1003,出库明细!C16,存条明细!$D$4:$D$1003,出库明细!D16)&gt;0,COUNTIFS(出库明细!$C$4:C16,出库明细!C16,出库明细!$D$4:D16,出库明细!D16)&gt;1),"",IFERROR(MATCH(出库明细!C16,总览汇总!$B$5:$B$304,0),900)*10000000+IFERROR(MATCH(出库明细!D16,基础资料!$E$5:$E$104,0),900)*10000+ROW()))</f>
      </c>
      <c r="F1016">
        <f>IF(AND(出库明细!C1016&lt;&gt;"",出库明细!C1016=客户对账单!$B$4,ISNUMBER(出库明细!B1016),出库明细!B1016&gt;=客户对账单!$G$4,出库明细!B1016&lt;=客户对账单!$I$4),出库明细!B1016+ROW()/100000,"")</f>
      </c>
      <c r="H1016">
        <f>IF(AND(采购进货!C1016&lt;&gt;"",采购进货!C1016=供应商对账单!$B$4,ISNUMBER(采购进货!B1016),采购进货!B1016&gt;=供应商对账单!$G$4,采购进货!B1016&lt;=供应商对账单!$I$4),采购进货!B1016+ROW()/100000,"")</f>
      </c>
      <c r="N1016">
        <f>IF(AND(ISNUMBER(出库明细!G1016),ISNUMBER(出库明细!E1016),ISNUMBER(出库明细!F1016)),IF(ABS(出库明细!G1016-出库明细!E1016*出库明细!F1016)&gt;0.005,1,0),0)</f>
        <v>0</v>
      </c>
    </row>
    <row r="1017">
      <c r="A1017">
        <f>IF(OR(出库明细!C17="",出库明细!D17=""),"",IF(OR(COUNTIFS(存条明细!$C$4:$C$1003,出库明细!C17,存条明细!$D$4:$D$1003,出库明细!D17)&gt;0,COUNTIFS(出库明细!$C$4:C17,出库明细!C17,出库明细!$D$4:D17,出库明细!D17)&gt;1),"",IFERROR(MATCH(出库明细!C17,总览汇总!$B$5:$B$304,0),900)*10000000+IFERROR(MATCH(出库明细!D17,基础资料!$E$5:$E$104,0),900)*10000+ROW()))</f>
      </c>
      <c r="F1017">
        <f>IF(AND(出库明细!C1017&lt;&gt;"",出库明细!C1017=客户对账单!$B$4,ISNUMBER(出库明细!B1017),出库明细!B1017&gt;=客户对账单!$G$4,出库明细!B1017&lt;=客户对账单!$I$4),出库明细!B1017+ROW()/100000,"")</f>
      </c>
      <c r="H1017">
        <f>IF(AND(采购进货!C1017&lt;&gt;"",采购进货!C1017=供应商对账单!$B$4,ISNUMBER(采购进货!B1017),采购进货!B1017&gt;=供应商对账单!$G$4,采购进货!B1017&lt;=供应商对账单!$I$4),采购进货!B1017+ROW()/100000,"")</f>
      </c>
      <c r="N1017">
        <f>IF(AND(ISNUMBER(出库明细!G1017),ISNUMBER(出库明细!E1017),ISNUMBER(出库明细!F1017)),IF(ABS(出库明细!G1017-出库明细!E1017*出库明细!F1017)&gt;0.005,1,0),0)</f>
        <v>0</v>
      </c>
    </row>
    <row r="1018">
      <c r="A1018">
        <f>IF(OR(出库明细!C18="",出库明细!D18=""),"",IF(OR(COUNTIFS(存条明细!$C$4:$C$1003,出库明细!C18,存条明细!$D$4:$D$1003,出库明细!D18)&gt;0,COUNTIFS(出库明细!$C$4:C18,出库明细!C18,出库明细!$D$4:D18,出库明细!D18)&gt;1),"",IFERROR(MATCH(出库明细!C18,总览汇总!$B$5:$B$304,0),900)*10000000+IFERROR(MATCH(出库明细!D18,基础资料!$E$5:$E$104,0),900)*10000+ROW()))</f>
      </c>
      <c r="F1018">
        <f>IF(AND(出库明细!C1018&lt;&gt;"",出库明细!C1018=客户对账单!$B$4,ISNUMBER(出库明细!B1018),出库明细!B1018&gt;=客户对账单!$G$4,出库明细!B1018&lt;=客户对账单!$I$4),出库明细!B1018+ROW()/100000,"")</f>
      </c>
      <c r="H1018">
        <f>IF(AND(采购进货!C1018&lt;&gt;"",采购进货!C1018=供应商对账单!$B$4,ISNUMBER(采购进货!B1018),采购进货!B1018&gt;=供应商对账单!$G$4,采购进货!B1018&lt;=供应商对账单!$I$4),采购进货!B1018+ROW()/100000,"")</f>
      </c>
      <c r="N1018">
        <f>IF(AND(ISNUMBER(出库明细!G1018),ISNUMBER(出库明细!E1018),ISNUMBER(出库明细!F1018)),IF(ABS(出库明细!G1018-出库明细!E1018*出库明细!F1018)&gt;0.005,1,0),0)</f>
        <v>0</v>
      </c>
    </row>
    <row r="1019">
      <c r="A1019">
        <f>IF(OR(出库明细!C19="",出库明细!D19=""),"",IF(OR(COUNTIFS(存条明细!$C$4:$C$1003,出库明细!C19,存条明细!$D$4:$D$1003,出库明细!D19)&gt;0,COUNTIFS(出库明细!$C$4:C19,出库明细!C19,出库明细!$D$4:D19,出库明细!D19)&gt;1),"",IFERROR(MATCH(出库明细!C19,总览汇总!$B$5:$B$304,0),900)*10000000+IFERROR(MATCH(出库明细!D19,基础资料!$E$5:$E$104,0),900)*10000+ROW()))</f>
      </c>
      <c r="F1019">
        <f>IF(AND(出库明细!C1019&lt;&gt;"",出库明细!C1019=客户对账单!$B$4,ISNUMBER(出库明细!B1019),出库明细!B1019&gt;=客户对账单!$G$4,出库明细!B1019&lt;=客户对账单!$I$4),出库明细!B1019+ROW()/100000,"")</f>
      </c>
      <c r="H1019">
        <f>IF(AND(采购进货!C1019&lt;&gt;"",采购进货!C1019=供应商对账单!$B$4,ISNUMBER(采购进货!B1019),采购进货!B1019&gt;=供应商对账单!$G$4,采购进货!B1019&lt;=供应商对账单!$I$4),采购进货!B1019+ROW()/100000,"")</f>
      </c>
      <c r="N1019">
        <f>IF(AND(ISNUMBER(出库明细!G1019),ISNUMBER(出库明细!E1019),ISNUMBER(出库明细!F1019)),IF(ABS(出库明细!G1019-出库明细!E1019*出库明细!F1019)&gt;0.005,1,0),0)</f>
        <v>0</v>
      </c>
    </row>
    <row r="1020">
      <c r="A1020">
        <f>IF(OR(出库明细!C20="",出库明细!D20=""),"",IF(OR(COUNTIFS(存条明细!$C$4:$C$1003,出库明细!C20,存条明细!$D$4:$D$1003,出库明细!D20)&gt;0,COUNTIFS(出库明细!$C$4:C20,出库明细!C20,出库明细!$D$4:D20,出库明细!D20)&gt;1),"",IFERROR(MATCH(出库明细!C20,总览汇总!$B$5:$B$304,0),900)*10000000+IFERROR(MATCH(出库明细!D20,基础资料!$E$5:$E$104,0),900)*10000+ROW()))</f>
      </c>
      <c r="F1020">
        <f>IF(AND(出库明细!C1020&lt;&gt;"",出库明细!C1020=客户对账单!$B$4,ISNUMBER(出库明细!B1020),出库明细!B1020&gt;=客户对账单!$G$4,出库明细!B1020&lt;=客户对账单!$I$4),出库明细!B1020+ROW()/100000,"")</f>
      </c>
      <c r="H1020">
        <f>IF(AND(采购进货!C1020&lt;&gt;"",采购进货!C1020=供应商对账单!$B$4,ISNUMBER(采购进货!B1020),采购进货!B1020&gt;=供应商对账单!$G$4,采购进货!B1020&lt;=供应商对账单!$I$4),采购进货!B1020+ROW()/100000,"")</f>
      </c>
      <c r="N1020">
        <f>IF(AND(ISNUMBER(出库明细!G1020),ISNUMBER(出库明细!E1020),ISNUMBER(出库明细!F1020)),IF(ABS(出库明细!G1020-出库明细!E1020*出库明细!F1020)&gt;0.005,1,0),0)</f>
        <v>0</v>
      </c>
    </row>
    <row r="1021">
      <c r="A1021">
        <f>IF(OR(出库明细!C21="",出库明细!D21=""),"",IF(OR(COUNTIFS(存条明细!$C$4:$C$1003,出库明细!C21,存条明细!$D$4:$D$1003,出库明细!D21)&gt;0,COUNTIFS(出库明细!$C$4:C21,出库明细!C21,出库明细!$D$4:D21,出库明细!D21)&gt;1),"",IFERROR(MATCH(出库明细!C21,总览汇总!$B$5:$B$304,0),900)*10000000+IFERROR(MATCH(出库明细!D21,基础资料!$E$5:$E$104,0),900)*10000+ROW()))</f>
      </c>
      <c r="F1021">
        <f>IF(AND(出库明细!C1021&lt;&gt;"",出库明细!C1021=客户对账单!$B$4,ISNUMBER(出库明细!B1021),出库明细!B1021&gt;=客户对账单!$G$4,出库明细!B1021&lt;=客户对账单!$I$4),出库明细!B1021+ROW()/100000,"")</f>
      </c>
      <c r="H1021">
        <f>IF(AND(采购进货!C1021&lt;&gt;"",采购进货!C1021=供应商对账单!$B$4,ISNUMBER(采购进货!B1021),采购进货!B1021&gt;=供应商对账单!$G$4,采购进货!B1021&lt;=供应商对账单!$I$4),采购进货!B1021+ROW()/100000,"")</f>
      </c>
      <c r="N1021">
        <f>IF(AND(ISNUMBER(出库明细!G1021),ISNUMBER(出库明细!E1021),ISNUMBER(出库明细!F1021)),IF(ABS(出库明细!G1021-出库明细!E1021*出库明细!F1021)&gt;0.005,1,0),0)</f>
        <v>0</v>
      </c>
    </row>
    <row r="1022">
      <c r="A1022">
        <f>IF(OR(出库明细!C22="",出库明细!D22=""),"",IF(OR(COUNTIFS(存条明细!$C$4:$C$1003,出库明细!C22,存条明细!$D$4:$D$1003,出库明细!D22)&gt;0,COUNTIFS(出库明细!$C$4:C22,出库明细!C22,出库明细!$D$4:D22,出库明细!D22)&gt;1),"",IFERROR(MATCH(出库明细!C22,总览汇总!$B$5:$B$304,0),900)*10000000+IFERROR(MATCH(出库明细!D22,基础资料!$E$5:$E$104,0),900)*10000+ROW()))</f>
      </c>
      <c r="F1022">
        <f>IF(AND(出库明细!C1022&lt;&gt;"",出库明细!C1022=客户对账单!$B$4,ISNUMBER(出库明细!B1022),出库明细!B1022&gt;=客户对账单!$G$4,出库明细!B1022&lt;=客户对账单!$I$4),出库明细!B1022+ROW()/100000,"")</f>
      </c>
      <c r="H1022">
        <f>IF(AND(采购进货!C1022&lt;&gt;"",采购进货!C1022=供应商对账单!$B$4,ISNUMBER(采购进货!B1022),采购进货!B1022&gt;=供应商对账单!$G$4,采购进货!B1022&lt;=供应商对账单!$I$4),采购进货!B1022+ROW()/100000,"")</f>
      </c>
      <c r="N1022">
        <f>IF(AND(ISNUMBER(出库明细!G1022),ISNUMBER(出库明细!E1022),ISNUMBER(出库明细!F1022)),IF(ABS(出库明细!G1022-出库明细!E1022*出库明细!F1022)&gt;0.005,1,0),0)</f>
        <v>0</v>
      </c>
    </row>
    <row r="1023">
      <c r="A1023">
        <f>IF(OR(出库明细!C23="",出库明细!D23=""),"",IF(OR(COUNTIFS(存条明细!$C$4:$C$1003,出库明细!C23,存条明细!$D$4:$D$1003,出库明细!D23)&gt;0,COUNTIFS(出库明细!$C$4:C23,出库明细!C23,出库明细!$D$4:D23,出库明细!D23)&gt;1),"",IFERROR(MATCH(出库明细!C23,总览汇总!$B$5:$B$304,0),900)*10000000+IFERROR(MATCH(出库明细!D23,基础资料!$E$5:$E$104,0),900)*10000+ROW()))</f>
        <v>120041023</v>
      </c>
      <c r="F1023">
        <f>IF(AND(出库明细!C1023&lt;&gt;"",出库明细!C1023=客户对账单!$B$4,ISNUMBER(出库明细!B1023),出库明细!B1023&gt;=客户对账单!$G$4,出库明细!B1023&lt;=客户对账单!$I$4),出库明细!B1023+ROW()/100000,"")</f>
      </c>
      <c r="H1023">
        <f>IF(AND(采购进货!C1023&lt;&gt;"",采购进货!C1023=供应商对账单!$B$4,ISNUMBER(采购进货!B1023),采购进货!B1023&gt;=供应商对账单!$G$4,采购进货!B1023&lt;=供应商对账单!$I$4),采购进货!B1023+ROW()/100000,"")</f>
      </c>
      <c r="N1023">
        <f>IF(AND(ISNUMBER(出库明细!G1023),ISNUMBER(出库明细!E1023),ISNUMBER(出库明细!F1023)),IF(ABS(出库明细!G1023-出库明细!E1023*出库明细!F1023)&gt;0.005,1,0),0)</f>
        <v>0</v>
      </c>
    </row>
    <row r="1024">
      <c r="A1024">
        <f>IF(OR(出库明细!C24="",出库明细!D24=""),"",IF(OR(COUNTIFS(存条明细!$C$4:$C$1003,出库明细!C24,存条明细!$D$4:$D$1003,出库明细!D24)&gt;0,COUNTIFS(出库明细!$C$4:C24,出库明细!C24,出库明细!$D$4:D24,出库明细!D24)&gt;1),"",IFERROR(MATCH(出库明细!C24,总览汇总!$B$5:$B$304,0),900)*10000000+IFERROR(MATCH(出库明细!D24,基础资料!$E$5:$E$104,0),900)*10000+ROW()))</f>
        <v>120031024</v>
      </c>
      <c r="F1024">
        <f>IF(AND(出库明细!C1024&lt;&gt;"",出库明细!C1024=客户对账单!$B$4,ISNUMBER(出库明细!B1024),出库明细!B1024&gt;=客户对账单!$G$4,出库明细!B1024&lt;=客户对账单!$I$4),出库明细!B1024+ROW()/100000,"")</f>
      </c>
      <c r="H1024">
        <f>IF(AND(采购进货!C1024&lt;&gt;"",采购进货!C1024=供应商对账单!$B$4,ISNUMBER(采购进货!B1024),采购进货!B1024&gt;=供应商对账单!$G$4,采购进货!B1024&lt;=供应商对账单!$I$4),采购进货!B1024+ROW()/100000,"")</f>
      </c>
      <c r="N1024">
        <f>IF(AND(ISNUMBER(出库明细!G1024),ISNUMBER(出库明细!E1024),ISNUMBER(出库明细!F1024)),IF(ABS(出库明细!G1024-出库明细!E1024*出库明细!F1024)&gt;0.005,1,0),0)</f>
        <v>0</v>
      </c>
    </row>
    <row r="1025">
      <c r="A1025">
        <f>IF(OR(出库明细!C25="",出库明细!D25=""),"",IF(OR(COUNTIFS(存条明细!$C$4:$C$1003,出库明细!C25,存条明细!$D$4:$D$1003,出库明细!D25)&gt;0,COUNTIFS(出库明细!$C$4:C25,出库明细!C25,出库明细!$D$4:D25,出库明细!D25)&gt;1),"",IFERROR(MATCH(出库明细!C25,总览汇总!$B$5:$B$304,0),900)*10000000+IFERROR(MATCH(出库明细!D25,基础资料!$E$5:$E$104,0),900)*10000+ROW()))</f>
      </c>
      <c r="F1025">
        <f>IF(AND(出库明细!C1025&lt;&gt;"",出库明细!C1025=客户对账单!$B$4,ISNUMBER(出库明细!B1025),出库明细!B1025&gt;=客户对账单!$G$4,出库明细!B1025&lt;=客户对账单!$I$4),出库明细!B1025+ROW()/100000,"")</f>
      </c>
      <c r="H1025">
        <f>IF(AND(采购进货!C1025&lt;&gt;"",采购进货!C1025=供应商对账单!$B$4,ISNUMBER(采购进货!B1025),采购进货!B1025&gt;=供应商对账单!$G$4,采购进货!B1025&lt;=供应商对账单!$I$4),采购进货!B1025+ROW()/100000,"")</f>
      </c>
      <c r="N1025">
        <f>IF(AND(ISNUMBER(出库明细!G1025),ISNUMBER(出库明细!E1025),ISNUMBER(出库明细!F1025)),IF(ABS(出库明细!G1025-出库明细!E1025*出库明细!F1025)&gt;0.005,1,0),0)</f>
        <v>0</v>
      </c>
    </row>
    <row r="1026">
      <c r="A1026">
        <f>IF(OR(出库明细!C26="",出库明细!D26=""),"",IF(OR(COUNTIFS(存条明细!$C$4:$C$1003,出库明细!C26,存条明细!$D$4:$D$1003,出库明细!D26)&gt;0,COUNTIFS(出库明细!$C$4:C26,出库明细!C26,出库明细!$D$4:D26,出库明细!D26)&gt;1),"",IFERROR(MATCH(出库明细!C26,总览汇总!$B$5:$B$304,0),900)*10000000+IFERROR(MATCH(出库明细!D26,基础资料!$E$5:$E$104,0),900)*10000+ROW()))</f>
      </c>
      <c r="F1026">
        <f>IF(AND(出库明细!C1026&lt;&gt;"",出库明细!C1026=客户对账单!$B$4,ISNUMBER(出库明细!B1026),出库明细!B1026&gt;=客户对账单!$G$4,出库明细!B1026&lt;=客户对账单!$I$4),出库明细!B1026+ROW()/100000,"")</f>
      </c>
      <c r="H1026">
        <f>IF(AND(采购进货!C1026&lt;&gt;"",采购进货!C1026=供应商对账单!$B$4,ISNUMBER(采购进货!B1026),采购进货!B1026&gt;=供应商对账单!$G$4,采购进货!B1026&lt;=供应商对账单!$I$4),采购进货!B1026+ROW()/100000,"")</f>
      </c>
      <c r="N1026">
        <f>IF(AND(ISNUMBER(出库明细!G1026),ISNUMBER(出库明细!E1026),ISNUMBER(出库明细!F1026)),IF(ABS(出库明细!G1026-出库明细!E1026*出库明细!F1026)&gt;0.005,1,0),0)</f>
        <v>0</v>
      </c>
    </row>
    <row r="1027">
      <c r="A1027">
        <f>IF(OR(出库明细!C27="",出库明细!D27=""),"",IF(OR(COUNTIFS(存条明细!$C$4:$C$1003,出库明细!C27,存条明细!$D$4:$D$1003,出库明细!D27)&gt;0,COUNTIFS(出库明细!$C$4:C27,出库明细!C27,出库明细!$D$4:D27,出库明细!D27)&gt;1),"",IFERROR(MATCH(出库明细!C27,总览汇总!$B$5:$B$304,0),900)*10000000+IFERROR(MATCH(出库明细!D27,基础资料!$E$5:$E$104,0),900)*10000+ROW()))</f>
      </c>
      <c r="F1027">
        <f>IF(AND(出库明细!C1027&lt;&gt;"",出库明细!C1027=客户对账单!$B$4,ISNUMBER(出库明细!B1027),出库明细!B1027&gt;=客户对账单!$G$4,出库明细!B1027&lt;=客户对账单!$I$4),出库明细!B1027+ROW()/100000,"")</f>
      </c>
      <c r="H1027">
        <f>IF(AND(采购进货!C1027&lt;&gt;"",采购进货!C1027=供应商对账单!$B$4,ISNUMBER(采购进货!B1027),采购进货!B1027&gt;=供应商对账单!$G$4,采购进货!B1027&lt;=供应商对账单!$I$4),采购进货!B1027+ROW()/100000,"")</f>
      </c>
      <c r="N1027">
        <f>IF(AND(ISNUMBER(出库明细!G1027),ISNUMBER(出库明细!E1027),ISNUMBER(出库明细!F1027)),IF(ABS(出库明细!G1027-出库明细!E1027*出库明细!F1027)&gt;0.005,1,0),0)</f>
        <v>0</v>
      </c>
    </row>
    <row r="1028">
      <c r="A1028">
        <f>IF(OR(出库明细!C28="",出库明细!D28=""),"",IF(OR(COUNTIFS(存条明细!$C$4:$C$1003,出库明细!C28,存条明细!$D$4:$D$1003,出库明细!D28)&gt;0,COUNTIFS(出库明细!$C$4:C28,出库明细!C28,出库明细!$D$4:D28,出库明细!D28)&gt;1),"",IFERROR(MATCH(出库明细!C28,总览汇总!$B$5:$B$304,0),900)*10000000+IFERROR(MATCH(出库明细!D28,基础资料!$E$5:$E$104,0),900)*10000+ROW()))</f>
      </c>
      <c r="F1028">
        <f>IF(AND(出库明细!C1028&lt;&gt;"",出库明细!C1028=客户对账单!$B$4,ISNUMBER(出库明细!B1028),出库明细!B1028&gt;=客户对账单!$G$4,出库明细!B1028&lt;=客户对账单!$I$4),出库明细!B1028+ROW()/100000,"")</f>
      </c>
      <c r="H1028">
        <f>IF(AND(采购进货!C1028&lt;&gt;"",采购进货!C1028=供应商对账单!$B$4,ISNUMBER(采购进货!B1028),采购进货!B1028&gt;=供应商对账单!$G$4,采购进货!B1028&lt;=供应商对账单!$I$4),采购进货!B1028+ROW()/100000,"")</f>
      </c>
      <c r="N1028">
        <f>IF(AND(ISNUMBER(出库明细!G1028),ISNUMBER(出库明细!E1028),ISNUMBER(出库明细!F1028)),IF(ABS(出库明细!G1028-出库明细!E1028*出库明细!F1028)&gt;0.005,1,0),0)</f>
        <v>0</v>
      </c>
    </row>
    <row r="1029">
      <c r="A1029">
        <f>IF(OR(出库明细!C29="",出库明细!D29=""),"",IF(OR(COUNTIFS(存条明细!$C$4:$C$1003,出库明细!C29,存条明细!$D$4:$D$1003,出库明细!D29)&gt;0,COUNTIFS(出库明细!$C$4:C29,出库明细!C29,出库明细!$D$4:D29,出库明细!D29)&gt;1),"",IFERROR(MATCH(出库明细!C29,总览汇总!$B$5:$B$304,0),900)*10000000+IFERROR(MATCH(出库明细!D29,基础资料!$E$5:$E$104,0),900)*10000+ROW()))</f>
      </c>
      <c r="F1029">
        <f>IF(AND(出库明细!C1029&lt;&gt;"",出库明细!C1029=客户对账单!$B$4,ISNUMBER(出库明细!B1029),出库明细!B1029&gt;=客户对账单!$G$4,出库明细!B1029&lt;=客户对账单!$I$4),出库明细!B1029+ROW()/100000,"")</f>
      </c>
      <c r="H1029">
        <f>IF(AND(采购进货!C1029&lt;&gt;"",采购进货!C1029=供应商对账单!$B$4,ISNUMBER(采购进货!B1029),采购进货!B1029&gt;=供应商对账单!$G$4,采购进货!B1029&lt;=供应商对账单!$I$4),采购进货!B1029+ROW()/100000,"")</f>
      </c>
      <c r="N1029">
        <f>IF(AND(ISNUMBER(出库明细!G1029),ISNUMBER(出库明细!E1029),ISNUMBER(出库明细!F1029)),IF(ABS(出库明细!G1029-出库明细!E1029*出库明细!F1029)&gt;0.005,1,0),0)</f>
        <v>0</v>
      </c>
    </row>
    <row r="1030">
      <c r="A1030">
        <f>IF(OR(出库明细!C30="",出库明细!D30=""),"",IF(OR(COUNTIFS(存条明细!$C$4:$C$1003,出库明细!C30,存条明细!$D$4:$D$1003,出库明细!D30)&gt;0,COUNTIFS(出库明细!$C$4:C30,出库明细!C30,出库明细!$D$4:D30,出库明细!D30)&gt;1),"",IFERROR(MATCH(出库明细!C30,总览汇总!$B$5:$B$304,0),900)*10000000+IFERROR(MATCH(出库明细!D30,基础资料!$E$5:$E$104,0),900)*10000+ROW()))</f>
      </c>
      <c r="F1030">
        <f>IF(AND(出库明细!C1030&lt;&gt;"",出库明细!C1030=客户对账单!$B$4,ISNUMBER(出库明细!B1030),出库明细!B1030&gt;=客户对账单!$G$4,出库明细!B1030&lt;=客户对账单!$I$4),出库明细!B1030+ROW()/100000,"")</f>
      </c>
      <c r="H1030">
        <f>IF(AND(采购进货!C1030&lt;&gt;"",采购进货!C1030=供应商对账单!$B$4,ISNUMBER(采购进货!B1030),采购进货!B1030&gt;=供应商对账单!$G$4,采购进货!B1030&lt;=供应商对账单!$I$4),采购进货!B1030+ROW()/100000,"")</f>
      </c>
      <c r="N1030">
        <f>IF(AND(ISNUMBER(出库明细!G1030),ISNUMBER(出库明细!E1030),ISNUMBER(出库明细!F1030)),IF(ABS(出库明细!G1030-出库明细!E1030*出库明细!F1030)&gt;0.005,1,0),0)</f>
        <v>0</v>
      </c>
    </row>
    <row r="1031">
      <c r="A1031">
        <f>IF(OR(出库明细!C31="",出库明细!D31=""),"",IF(OR(COUNTIFS(存条明细!$C$4:$C$1003,出库明细!C31,存条明细!$D$4:$D$1003,出库明细!D31)&gt;0,COUNTIFS(出库明细!$C$4:C31,出库明细!C31,出库明细!$D$4:D31,出库明细!D31)&gt;1),"",IFERROR(MATCH(出库明细!C31,总览汇总!$B$5:$B$304,0),900)*10000000+IFERROR(MATCH(出库明细!D31,基础资料!$E$5:$E$104,0),900)*10000+ROW()))</f>
      </c>
      <c r="F1031">
        <f>IF(AND(出库明细!C1031&lt;&gt;"",出库明细!C1031=客户对账单!$B$4,ISNUMBER(出库明细!B1031),出库明细!B1031&gt;=客户对账单!$G$4,出库明细!B1031&lt;=客户对账单!$I$4),出库明细!B1031+ROW()/100000,"")</f>
      </c>
      <c r="H1031">
        <f>IF(AND(采购进货!C1031&lt;&gt;"",采购进货!C1031=供应商对账单!$B$4,ISNUMBER(采购进货!B1031),采购进货!B1031&gt;=供应商对账单!$G$4,采购进货!B1031&lt;=供应商对账单!$I$4),采购进货!B1031+ROW()/100000,"")</f>
      </c>
      <c r="N1031">
        <f>IF(AND(ISNUMBER(出库明细!G1031),ISNUMBER(出库明细!E1031),ISNUMBER(出库明细!F1031)),IF(ABS(出库明细!G1031-出库明细!E1031*出库明细!F1031)&gt;0.005,1,0),0)</f>
        <v>0</v>
      </c>
    </row>
    <row r="1032">
      <c r="A1032">
        <f>IF(OR(出库明细!C32="",出库明细!D32=""),"",IF(OR(COUNTIFS(存条明细!$C$4:$C$1003,出库明细!C32,存条明细!$D$4:$D$1003,出库明细!D32)&gt;0,COUNTIFS(出库明细!$C$4:C32,出库明细!C32,出库明细!$D$4:D32,出库明细!D32)&gt;1),"",IFERROR(MATCH(出库明细!C32,总览汇总!$B$5:$B$304,0),900)*10000000+IFERROR(MATCH(出库明细!D32,基础资料!$E$5:$E$104,0),900)*10000+ROW()))</f>
      </c>
      <c r="F1032">
        <f>IF(AND(出库明细!C1032&lt;&gt;"",出库明细!C1032=客户对账单!$B$4,ISNUMBER(出库明细!B1032),出库明细!B1032&gt;=客户对账单!$G$4,出库明细!B1032&lt;=客户对账单!$I$4),出库明细!B1032+ROW()/100000,"")</f>
      </c>
      <c r="H1032">
        <f>IF(AND(采购进货!C1032&lt;&gt;"",采购进货!C1032=供应商对账单!$B$4,ISNUMBER(采购进货!B1032),采购进货!B1032&gt;=供应商对账单!$G$4,采购进货!B1032&lt;=供应商对账单!$I$4),采购进货!B1032+ROW()/100000,"")</f>
      </c>
      <c r="N1032">
        <f>IF(AND(ISNUMBER(出库明细!G1032),ISNUMBER(出库明细!E1032),ISNUMBER(出库明细!F1032)),IF(ABS(出库明细!G1032-出库明细!E1032*出库明细!F1032)&gt;0.005,1,0),0)</f>
        <v>0</v>
      </c>
    </row>
    <row r="1033">
      <c r="A1033">
        <f>IF(OR(出库明细!C33="",出库明细!D33=""),"",IF(OR(COUNTIFS(存条明细!$C$4:$C$1003,出库明细!C33,存条明细!$D$4:$D$1003,出库明细!D33)&gt;0,COUNTIFS(出库明细!$C$4:C33,出库明细!C33,出库明细!$D$4:D33,出库明细!D33)&gt;1),"",IFERROR(MATCH(出库明细!C33,总览汇总!$B$5:$B$304,0),900)*10000000+IFERROR(MATCH(出库明细!D33,基础资料!$E$5:$E$104,0),900)*10000+ROW()))</f>
      </c>
      <c r="F1033">
        <f>IF(AND(出库明细!C1033&lt;&gt;"",出库明细!C1033=客户对账单!$B$4,ISNUMBER(出库明细!B1033),出库明细!B1033&gt;=客户对账单!$G$4,出库明细!B1033&lt;=客户对账单!$I$4),出库明细!B1033+ROW()/100000,"")</f>
      </c>
      <c r="H1033">
        <f>IF(AND(采购进货!C1033&lt;&gt;"",采购进货!C1033=供应商对账单!$B$4,ISNUMBER(采购进货!B1033),采购进货!B1033&gt;=供应商对账单!$G$4,采购进货!B1033&lt;=供应商对账单!$I$4),采购进货!B1033+ROW()/100000,"")</f>
      </c>
      <c r="N1033">
        <f>IF(AND(ISNUMBER(出库明细!G1033),ISNUMBER(出库明细!E1033),ISNUMBER(出库明细!F1033)),IF(ABS(出库明细!G1033-出库明细!E1033*出库明细!F1033)&gt;0.005,1,0),0)</f>
        <v>0</v>
      </c>
    </row>
    <row r="1034">
      <c r="A1034">
        <f>IF(OR(出库明细!C34="",出库明细!D34=""),"",IF(OR(COUNTIFS(存条明细!$C$4:$C$1003,出库明细!C34,存条明细!$D$4:$D$1003,出库明细!D34)&gt;0,COUNTIFS(出库明细!$C$4:C34,出库明细!C34,出库明细!$D$4:D34,出库明细!D34)&gt;1),"",IFERROR(MATCH(出库明细!C34,总览汇总!$B$5:$B$304,0),900)*10000000+IFERROR(MATCH(出库明细!D34,基础资料!$E$5:$E$104,0),900)*10000+ROW()))</f>
      </c>
      <c r="F1034">
        <f>IF(AND(出库明细!C1034&lt;&gt;"",出库明细!C1034=客户对账单!$B$4,ISNUMBER(出库明细!B1034),出库明细!B1034&gt;=客户对账单!$G$4,出库明细!B1034&lt;=客户对账单!$I$4),出库明细!B1034+ROW()/100000,"")</f>
      </c>
      <c r="H1034">
        <f>IF(AND(采购进货!C1034&lt;&gt;"",采购进货!C1034=供应商对账单!$B$4,ISNUMBER(采购进货!B1034),采购进货!B1034&gt;=供应商对账单!$G$4,采购进货!B1034&lt;=供应商对账单!$I$4),采购进货!B1034+ROW()/100000,"")</f>
      </c>
      <c r="N1034">
        <f>IF(AND(ISNUMBER(出库明细!G1034),ISNUMBER(出库明细!E1034),ISNUMBER(出库明细!F1034)),IF(ABS(出库明细!G1034-出库明细!E1034*出库明细!F1034)&gt;0.005,1,0),0)</f>
        <v>0</v>
      </c>
    </row>
    <row r="1035">
      <c r="A1035">
        <f>IF(OR(出库明细!C35="",出库明细!D35=""),"",IF(OR(COUNTIFS(存条明细!$C$4:$C$1003,出库明细!C35,存条明细!$D$4:$D$1003,出库明细!D35)&gt;0,COUNTIFS(出库明细!$C$4:C35,出库明细!C35,出库明细!$D$4:D35,出库明细!D35)&gt;1),"",IFERROR(MATCH(出库明细!C35,总览汇总!$B$5:$B$304,0),900)*10000000+IFERROR(MATCH(出库明细!D35,基础资料!$E$5:$E$104,0),900)*10000+ROW()))</f>
      </c>
      <c r="F1035">
        <f>IF(AND(出库明细!C1035&lt;&gt;"",出库明细!C1035=客户对账单!$B$4,ISNUMBER(出库明细!B1035),出库明细!B1035&gt;=客户对账单!$G$4,出库明细!B1035&lt;=客户对账单!$I$4),出库明细!B1035+ROW()/100000,"")</f>
      </c>
      <c r="H1035">
        <f>IF(AND(采购进货!C1035&lt;&gt;"",采购进货!C1035=供应商对账单!$B$4,ISNUMBER(采购进货!B1035),采购进货!B1035&gt;=供应商对账单!$G$4,采购进货!B1035&lt;=供应商对账单!$I$4),采购进货!B1035+ROW()/100000,"")</f>
      </c>
      <c r="N1035">
        <f>IF(AND(ISNUMBER(出库明细!G1035),ISNUMBER(出库明细!E1035),ISNUMBER(出库明细!F1035)),IF(ABS(出库明细!G1035-出库明细!E1035*出库明细!F1035)&gt;0.005,1,0),0)</f>
        <v>0</v>
      </c>
    </row>
    <row r="1036">
      <c r="A1036">
        <f>IF(OR(出库明细!C36="",出库明细!D36=""),"",IF(OR(COUNTIFS(存条明细!$C$4:$C$1003,出库明细!C36,存条明细!$D$4:$D$1003,出库明细!D36)&gt;0,COUNTIFS(出库明细!$C$4:C36,出库明细!C36,出库明细!$D$4:D36,出库明细!D36)&gt;1),"",IFERROR(MATCH(出库明细!C36,总览汇总!$B$5:$B$304,0),900)*10000000+IFERROR(MATCH(出库明细!D36,基础资料!$E$5:$E$104,0),900)*10000+ROW()))</f>
      </c>
      <c r="F1036">
        <f>IF(AND(出库明细!C1036&lt;&gt;"",出库明细!C1036=客户对账单!$B$4,ISNUMBER(出库明细!B1036),出库明细!B1036&gt;=客户对账单!$G$4,出库明细!B1036&lt;=客户对账单!$I$4),出库明细!B1036+ROW()/100000,"")</f>
      </c>
      <c r="H1036">
        <f>IF(AND(采购进货!C1036&lt;&gt;"",采购进货!C1036=供应商对账单!$B$4,ISNUMBER(采购进货!B1036),采购进货!B1036&gt;=供应商对账单!$G$4,采购进货!B1036&lt;=供应商对账单!$I$4),采购进货!B1036+ROW()/100000,"")</f>
      </c>
      <c r="N1036">
        <f>IF(AND(ISNUMBER(出库明细!G1036),ISNUMBER(出库明细!E1036),ISNUMBER(出库明细!F1036)),IF(ABS(出库明细!G1036-出库明细!E1036*出库明细!F1036)&gt;0.005,1,0),0)</f>
        <v>0</v>
      </c>
    </row>
    <row r="1037">
      <c r="A1037">
        <f>IF(OR(出库明细!C37="",出库明细!D37=""),"",IF(OR(COUNTIFS(存条明细!$C$4:$C$1003,出库明细!C37,存条明细!$D$4:$D$1003,出库明细!D37)&gt;0,COUNTIFS(出库明细!$C$4:C37,出库明细!C37,出库明细!$D$4:D37,出库明细!D37)&gt;1),"",IFERROR(MATCH(出库明细!C37,总览汇总!$B$5:$B$304,0),900)*10000000+IFERROR(MATCH(出库明细!D37,基础资料!$E$5:$E$104,0),900)*10000+ROW()))</f>
      </c>
      <c r="F1037">
        <f>IF(AND(出库明细!C1037&lt;&gt;"",出库明细!C1037=客户对账单!$B$4,ISNUMBER(出库明细!B1037),出库明细!B1037&gt;=客户对账单!$G$4,出库明细!B1037&lt;=客户对账单!$I$4),出库明细!B1037+ROW()/100000,"")</f>
      </c>
      <c r="H1037">
        <f>IF(AND(采购进货!C1037&lt;&gt;"",采购进货!C1037=供应商对账单!$B$4,ISNUMBER(采购进货!B1037),采购进货!B1037&gt;=供应商对账单!$G$4,采购进货!B1037&lt;=供应商对账单!$I$4),采购进货!B1037+ROW()/100000,"")</f>
      </c>
      <c r="N1037">
        <f>IF(AND(ISNUMBER(出库明细!G1037),ISNUMBER(出库明细!E1037),ISNUMBER(出库明细!F1037)),IF(ABS(出库明细!G1037-出库明细!E1037*出库明细!F1037)&gt;0.005,1,0),0)</f>
        <v>0</v>
      </c>
    </row>
    <row r="1038">
      <c r="A1038">
        <f>IF(OR(出库明细!C38="",出库明细!D38=""),"",IF(OR(COUNTIFS(存条明细!$C$4:$C$1003,出库明细!C38,存条明细!$D$4:$D$1003,出库明细!D38)&gt;0,COUNTIFS(出库明细!$C$4:C38,出库明细!C38,出库明细!$D$4:D38,出库明细!D38)&gt;1),"",IFERROR(MATCH(出库明细!C38,总览汇总!$B$5:$B$304,0),900)*10000000+IFERROR(MATCH(出库明细!D38,基础资料!$E$5:$E$104,0),900)*10000+ROW()))</f>
      </c>
      <c r="F1038">
        <f>IF(AND(出库明细!C1038&lt;&gt;"",出库明细!C1038=客户对账单!$B$4,ISNUMBER(出库明细!B1038),出库明细!B1038&gt;=客户对账单!$G$4,出库明细!B1038&lt;=客户对账单!$I$4),出库明细!B1038+ROW()/100000,"")</f>
      </c>
      <c r="H1038">
        <f>IF(AND(采购进货!C1038&lt;&gt;"",采购进货!C1038=供应商对账单!$B$4,ISNUMBER(采购进货!B1038),采购进货!B1038&gt;=供应商对账单!$G$4,采购进货!B1038&lt;=供应商对账单!$I$4),采购进货!B1038+ROW()/100000,"")</f>
      </c>
      <c r="N1038">
        <f>IF(AND(ISNUMBER(出库明细!G1038),ISNUMBER(出库明细!E1038),ISNUMBER(出库明细!F1038)),IF(ABS(出库明细!G1038-出库明细!E1038*出库明细!F1038)&gt;0.005,1,0),0)</f>
        <v>0</v>
      </c>
    </row>
    <row r="1039">
      <c r="A1039">
        <f>IF(OR(出库明细!C39="",出库明细!D39=""),"",IF(OR(COUNTIFS(存条明细!$C$4:$C$1003,出库明细!C39,存条明细!$D$4:$D$1003,出库明细!D39)&gt;0,COUNTIFS(出库明细!$C$4:C39,出库明细!C39,出库明细!$D$4:D39,出库明细!D39)&gt;1),"",IFERROR(MATCH(出库明细!C39,总览汇总!$B$5:$B$304,0),900)*10000000+IFERROR(MATCH(出库明细!D39,基础资料!$E$5:$E$104,0),900)*10000+ROW()))</f>
      </c>
      <c r="F1039">
        <f>IF(AND(出库明细!C1039&lt;&gt;"",出库明细!C1039=客户对账单!$B$4,ISNUMBER(出库明细!B1039),出库明细!B1039&gt;=客户对账单!$G$4,出库明细!B1039&lt;=客户对账单!$I$4),出库明细!B1039+ROW()/100000,"")</f>
      </c>
      <c r="H1039">
        <f>IF(AND(采购进货!C1039&lt;&gt;"",采购进货!C1039=供应商对账单!$B$4,ISNUMBER(采购进货!B1039),采购进货!B1039&gt;=供应商对账单!$G$4,采购进货!B1039&lt;=供应商对账单!$I$4),采购进货!B1039+ROW()/100000,"")</f>
      </c>
      <c r="N1039">
        <f>IF(AND(ISNUMBER(出库明细!G1039),ISNUMBER(出库明细!E1039),ISNUMBER(出库明细!F1039)),IF(ABS(出库明细!G1039-出库明细!E1039*出库明细!F1039)&gt;0.005,1,0),0)</f>
        <v>0</v>
      </c>
    </row>
    <row r="1040">
      <c r="A1040">
        <f>IF(OR(出库明细!C40="",出库明细!D40=""),"",IF(OR(COUNTIFS(存条明细!$C$4:$C$1003,出库明细!C40,存条明细!$D$4:$D$1003,出库明细!D40)&gt;0,COUNTIFS(出库明细!$C$4:C40,出库明细!C40,出库明细!$D$4:D40,出库明细!D40)&gt;1),"",IFERROR(MATCH(出库明细!C40,总览汇总!$B$5:$B$304,0),900)*10000000+IFERROR(MATCH(出库明细!D40,基础资料!$E$5:$E$104,0),900)*10000+ROW()))</f>
      </c>
      <c r="F1040">
        <f>IF(AND(出库明细!C1040&lt;&gt;"",出库明细!C1040=客户对账单!$B$4,ISNUMBER(出库明细!B1040),出库明细!B1040&gt;=客户对账单!$G$4,出库明细!B1040&lt;=客户对账单!$I$4),出库明细!B1040+ROW()/100000,"")</f>
      </c>
      <c r="H1040">
        <f>IF(AND(采购进货!C1040&lt;&gt;"",采购进货!C1040=供应商对账单!$B$4,ISNUMBER(采购进货!B1040),采购进货!B1040&gt;=供应商对账单!$G$4,采购进货!B1040&lt;=供应商对账单!$I$4),采购进货!B1040+ROW()/100000,"")</f>
      </c>
      <c r="N1040">
        <f>IF(AND(ISNUMBER(出库明细!G1040),ISNUMBER(出库明细!E1040),ISNUMBER(出库明细!F1040)),IF(ABS(出库明细!G1040-出库明细!E1040*出库明细!F1040)&gt;0.005,1,0),0)</f>
        <v>0</v>
      </c>
    </row>
    <row r="1041">
      <c r="A1041">
        <f>IF(OR(出库明细!C41="",出库明细!D41=""),"",IF(OR(COUNTIFS(存条明细!$C$4:$C$1003,出库明细!C41,存条明细!$D$4:$D$1003,出库明细!D41)&gt;0,COUNTIFS(出库明细!$C$4:C41,出库明细!C41,出库明细!$D$4:D41,出库明细!D41)&gt;1),"",IFERROR(MATCH(出库明细!C41,总览汇总!$B$5:$B$304,0),900)*10000000+IFERROR(MATCH(出库明细!D41,基础资料!$E$5:$E$104,0),900)*10000+ROW()))</f>
      </c>
      <c r="F1041">
        <f>IF(AND(出库明细!C1041&lt;&gt;"",出库明细!C1041=客户对账单!$B$4,ISNUMBER(出库明细!B1041),出库明细!B1041&gt;=客户对账单!$G$4,出库明细!B1041&lt;=客户对账单!$I$4),出库明细!B1041+ROW()/100000,"")</f>
      </c>
      <c r="H1041">
        <f>IF(AND(采购进货!C1041&lt;&gt;"",采购进货!C1041=供应商对账单!$B$4,ISNUMBER(采购进货!B1041),采购进货!B1041&gt;=供应商对账单!$G$4,采购进货!B1041&lt;=供应商对账单!$I$4),采购进货!B1041+ROW()/100000,"")</f>
      </c>
      <c r="N1041">
        <f>IF(AND(ISNUMBER(出库明细!G1041),ISNUMBER(出库明细!E1041),ISNUMBER(出库明细!F1041)),IF(ABS(出库明细!G1041-出库明细!E1041*出库明细!F1041)&gt;0.005,1,0),0)</f>
        <v>0</v>
      </c>
    </row>
    <row r="1042">
      <c r="A1042">
        <f>IF(OR(出库明细!C42="",出库明细!D42=""),"",IF(OR(COUNTIFS(存条明细!$C$4:$C$1003,出库明细!C42,存条明细!$D$4:$D$1003,出库明细!D42)&gt;0,COUNTIFS(出库明细!$C$4:C42,出库明细!C42,出库明细!$D$4:D42,出库明细!D42)&gt;1),"",IFERROR(MATCH(出库明细!C42,总览汇总!$B$5:$B$304,0),900)*10000000+IFERROR(MATCH(出库明细!D42,基础资料!$E$5:$E$104,0),900)*10000+ROW()))</f>
      </c>
      <c r="F1042">
        <f>IF(AND(出库明细!C1042&lt;&gt;"",出库明细!C1042=客户对账单!$B$4,ISNUMBER(出库明细!B1042),出库明细!B1042&gt;=客户对账单!$G$4,出库明细!B1042&lt;=客户对账单!$I$4),出库明细!B1042+ROW()/100000,"")</f>
      </c>
      <c r="H1042">
        <f>IF(AND(采购进货!C1042&lt;&gt;"",采购进货!C1042=供应商对账单!$B$4,ISNUMBER(采购进货!B1042),采购进货!B1042&gt;=供应商对账单!$G$4,采购进货!B1042&lt;=供应商对账单!$I$4),采购进货!B1042+ROW()/100000,"")</f>
      </c>
      <c r="N1042">
        <f>IF(AND(ISNUMBER(出库明细!G1042),ISNUMBER(出库明细!E1042),ISNUMBER(出库明细!F1042)),IF(ABS(出库明细!G1042-出库明细!E1042*出库明细!F1042)&gt;0.005,1,0),0)</f>
        <v>0</v>
      </c>
    </row>
    <row r="1043">
      <c r="A1043">
        <f>IF(OR(出库明细!C43="",出库明细!D43=""),"",IF(OR(COUNTIFS(存条明细!$C$4:$C$1003,出库明细!C43,存条明细!$D$4:$D$1003,出库明细!D43)&gt;0,COUNTIFS(出库明细!$C$4:C43,出库明细!C43,出库明细!$D$4:D43,出库明细!D43)&gt;1),"",IFERROR(MATCH(出库明细!C43,总览汇总!$B$5:$B$304,0),900)*10000000+IFERROR(MATCH(出库明细!D43,基础资料!$E$5:$E$104,0),900)*10000+ROW()))</f>
      </c>
      <c r="F1043">
        <f>IF(AND(出库明细!C1043&lt;&gt;"",出库明细!C1043=客户对账单!$B$4,ISNUMBER(出库明细!B1043),出库明细!B1043&gt;=客户对账单!$G$4,出库明细!B1043&lt;=客户对账单!$I$4),出库明细!B1043+ROW()/100000,"")</f>
      </c>
      <c r="H1043">
        <f>IF(AND(采购进货!C1043&lt;&gt;"",采购进货!C1043=供应商对账单!$B$4,ISNUMBER(采购进货!B1043),采购进货!B1043&gt;=供应商对账单!$G$4,采购进货!B1043&lt;=供应商对账单!$I$4),采购进货!B1043+ROW()/100000,"")</f>
      </c>
      <c r="N1043">
        <f>IF(AND(ISNUMBER(出库明细!G1043),ISNUMBER(出库明细!E1043),ISNUMBER(出库明细!F1043)),IF(ABS(出库明细!G1043-出库明细!E1043*出库明细!F1043)&gt;0.005,1,0),0)</f>
        <v>0</v>
      </c>
    </row>
    <row r="1044">
      <c r="A1044">
        <f>IF(OR(出库明细!C44="",出库明细!D44=""),"",IF(OR(COUNTIFS(存条明细!$C$4:$C$1003,出库明细!C44,存条明细!$D$4:$D$1003,出库明细!D44)&gt;0,COUNTIFS(出库明细!$C$4:C44,出库明细!C44,出库明细!$D$4:D44,出库明细!D44)&gt;1),"",IFERROR(MATCH(出库明细!C44,总览汇总!$B$5:$B$304,0),900)*10000000+IFERROR(MATCH(出库明细!D44,基础资料!$E$5:$E$104,0),900)*10000+ROW()))</f>
        <v>280031044</v>
      </c>
      <c r="F1044">
        <f>IF(AND(出库明细!C1044&lt;&gt;"",出库明细!C1044=客户对账单!$B$4,ISNUMBER(出库明细!B1044),出库明细!B1044&gt;=客户对账单!$G$4,出库明细!B1044&lt;=客户对账单!$I$4),出库明细!B1044+ROW()/100000,"")</f>
      </c>
      <c r="H1044">
        <f>IF(AND(采购进货!C1044&lt;&gt;"",采购进货!C1044=供应商对账单!$B$4,ISNUMBER(采购进货!B1044),采购进货!B1044&gt;=供应商对账单!$G$4,采购进货!B1044&lt;=供应商对账单!$I$4),采购进货!B1044+ROW()/100000,"")</f>
      </c>
      <c r="N1044">
        <f>IF(AND(ISNUMBER(出库明细!G1044),ISNUMBER(出库明细!E1044),ISNUMBER(出库明细!F1044)),IF(ABS(出库明细!G1044-出库明细!E1044*出库明细!F1044)&gt;0.005,1,0),0)</f>
        <v>0</v>
      </c>
    </row>
    <row r="1045">
      <c r="A1045">
        <f>IF(OR(出库明细!C45="",出库明细!D45=""),"",IF(OR(COUNTIFS(存条明细!$C$4:$C$1003,出库明细!C45,存条明细!$D$4:$D$1003,出库明细!D45)&gt;0,COUNTIFS(出库明细!$C$4:C45,出库明细!C45,出库明细!$D$4:D45,出库明细!D45)&gt;1),"",IFERROR(MATCH(出库明细!C45,总览汇总!$B$5:$B$304,0),900)*10000000+IFERROR(MATCH(出库明细!D45,基础资料!$E$5:$E$104,0),900)*10000+ROW()))</f>
        <v>280041045</v>
      </c>
      <c r="F1045">
        <f>IF(AND(出库明细!C1045&lt;&gt;"",出库明细!C1045=客户对账单!$B$4,ISNUMBER(出库明细!B1045),出库明细!B1045&gt;=客户对账单!$G$4,出库明细!B1045&lt;=客户对账单!$I$4),出库明细!B1045+ROW()/100000,"")</f>
      </c>
      <c r="H1045">
        <f>IF(AND(采购进货!C1045&lt;&gt;"",采购进货!C1045=供应商对账单!$B$4,ISNUMBER(采购进货!B1045),采购进货!B1045&gt;=供应商对账单!$G$4,采购进货!B1045&lt;=供应商对账单!$I$4),采购进货!B1045+ROW()/100000,"")</f>
      </c>
      <c r="N1045">
        <f>IF(AND(ISNUMBER(出库明细!G1045),ISNUMBER(出库明细!E1045),ISNUMBER(出库明细!F1045)),IF(ABS(出库明细!G1045-出库明细!E1045*出库明细!F1045)&gt;0.005,1,0),0)</f>
        <v>0</v>
      </c>
    </row>
    <row r="1046">
      <c r="A1046">
        <f>IF(OR(出库明细!C46="",出库明细!D46=""),"",IF(OR(COUNTIFS(存条明细!$C$4:$C$1003,出库明细!C46,存条明细!$D$4:$D$1003,出库明细!D46)&gt;0,COUNTIFS(出库明细!$C$4:C46,出库明细!C46,出库明细!$D$4:D46,出库明细!D46)&gt;1),"",IFERROR(MATCH(出库明细!C46,总览汇总!$B$5:$B$304,0),900)*10000000+IFERROR(MATCH(出库明细!D46,基础资料!$E$5:$E$104,0),900)*10000+ROW()))</f>
        <v>280051046</v>
      </c>
      <c r="F1046">
        <f>IF(AND(出库明细!C1046&lt;&gt;"",出库明细!C1046=客户对账单!$B$4,ISNUMBER(出库明细!B1046),出库明细!B1046&gt;=客户对账单!$G$4,出库明细!B1046&lt;=客户对账单!$I$4),出库明细!B1046+ROW()/100000,"")</f>
      </c>
      <c r="H1046">
        <f>IF(AND(采购进货!C1046&lt;&gt;"",采购进货!C1046=供应商对账单!$B$4,ISNUMBER(采购进货!B1046),采购进货!B1046&gt;=供应商对账单!$G$4,采购进货!B1046&lt;=供应商对账单!$I$4),采购进货!B1046+ROW()/100000,"")</f>
      </c>
      <c r="N1046">
        <f>IF(AND(ISNUMBER(出库明细!G1046),ISNUMBER(出库明细!E1046),ISNUMBER(出库明细!F1046)),IF(ABS(出库明细!G1046-出库明细!E1046*出库明细!F1046)&gt;0.005,1,0),0)</f>
        <v>0</v>
      </c>
    </row>
    <row r="1047">
      <c r="A1047">
        <f>IF(OR(出库明细!C47="",出库明细!D47=""),"",IF(OR(COUNTIFS(存条明细!$C$4:$C$1003,出库明细!C47,存条明细!$D$4:$D$1003,出库明细!D47)&gt;0,COUNTIFS(出库明细!$C$4:C47,出库明细!C47,出库明细!$D$4:D47,出库明细!D47)&gt;1),"",IFERROR(MATCH(出库明细!C47,总览汇总!$B$5:$B$304,0),900)*10000000+IFERROR(MATCH(出库明细!D47,基础资料!$E$5:$E$104,0),900)*10000+ROW()))</f>
        <v>280061047</v>
      </c>
      <c r="F1047">
        <f>IF(AND(出库明细!C1047&lt;&gt;"",出库明细!C1047=客户对账单!$B$4,ISNUMBER(出库明细!B1047),出库明细!B1047&gt;=客户对账单!$G$4,出库明细!B1047&lt;=客户对账单!$I$4),出库明细!B1047+ROW()/100000,"")</f>
      </c>
      <c r="H1047">
        <f>IF(AND(采购进货!C1047&lt;&gt;"",采购进货!C1047=供应商对账单!$B$4,ISNUMBER(采购进货!B1047),采购进货!B1047&gt;=供应商对账单!$G$4,采购进货!B1047&lt;=供应商对账单!$I$4),采购进货!B1047+ROW()/100000,"")</f>
      </c>
      <c r="N1047">
        <f>IF(AND(ISNUMBER(出库明细!G1047),ISNUMBER(出库明细!E1047),ISNUMBER(出库明细!F1047)),IF(ABS(出库明细!G1047-出库明细!E1047*出库明细!F1047)&gt;0.005,1,0),0)</f>
        <v>0</v>
      </c>
    </row>
    <row r="1048">
      <c r="A1048">
        <f>IF(OR(出库明细!C48="",出库明细!D48=""),"",IF(OR(COUNTIFS(存条明细!$C$4:$C$1003,出库明细!C48,存条明细!$D$4:$D$1003,出库明细!D48)&gt;0,COUNTIFS(出库明细!$C$4:C48,出库明细!C48,出库明细!$D$4:D48,出库明细!D48)&gt;1),"",IFERROR(MATCH(出库明细!C48,总览汇总!$B$5:$B$304,0),900)*10000000+IFERROR(MATCH(出库明细!D48,基础资料!$E$5:$E$104,0),900)*10000+ROW()))</f>
      </c>
      <c r="F1048">
        <f>IF(AND(出库明细!C1048&lt;&gt;"",出库明细!C1048=客户对账单!$B$4,ISNUMBER(出库明细!B1048),出库明细!B1048&gt;=客户对账单!$G$4,出库明细!B1048&lt;=客户对账单!$I$4),出库明细!B1048+ROW()/100000,"")</f>
      </c>
      <c r="H1048">
        <f>IF(AND(采购进货!C1048&lt;&gt;"",采购进货!C1048=供应商对账单!$B$4,ISNUMBER(采购进货!B1048),采购进货!B1048&gt;=供应商对账单!$G$4,采购进货!B1048&lt;=供应商对账单!$I$4),采购进货!B1048+ROW()/100000,"")</f>
      </c>
      <c r="N1048">
        <f>IF(AND(ISNUMBER(出库明细!G1048),ISNUMBER(出库明细!E1048),ISNUMBER(出库明细!F1048)),IF(ABS(出库明细!G1048-出库明细!E1048*出库明细!F1048)&gt;0.005,1,0),0)</f>
        <v>0</v>
      </c>
    </row>
    <row r="1049">
      <c r="A1049">
        <f>IF(OR(出库明细!C49="",出库明细!D49=""),"",IF(OR(COUNTIFS(存条明细!$C$4:$C$1003,出库明细!C49,存条明细!$D$4:$D$1003,出库明细!D49)&gt;0,COUNTIFS(出库明细!$C$4:C49,出库明细!C49,出库明细!$D$4:D49,出库明细!D49)&gt;1),"",IFERROR(MATCH(出库明细!C49,总览汇总!$B$5:$B$304,0),900)*10000000+IFERROR(MATCH(出库明细!D49,基础资料!$E$5:$E$104,0),900)*10000+ROW()))</f>
      </c>
      <c r="F1049">
        <f>IF(AND(出库明细!C1049&lt;&gt;"",出库明细!C1049=客户对账单!$B$4,ISNUMBER(出库明细!B1049),出库明细!B1049&gt;=客户对账单!$G$4,出库明细!B1049&lt;=客户对账单!$I$4),出库明细!B1049+ROW()/100000,"")</f>
      </c>
      <c r="H1049">
        <f>IF(AND(采购进货!C1049&lt;&gt;"",采购进货!C1049=供应商对账单!$B$4,ISNUMBER(采购进货!B1049),采购进货!B1049&gt;=供应商对账单!$G$4,采购进货!B1049&lt;=供应商对账单!$I$4),采购进货!B1049+ROW()/100000,"")</f>
      </c>
      <c r="N1049">
        <f>IF(AND(ISNUMBER(出库明细!G1049),ISNUMBER(出库明细!E1049),ISNUMBER(出库明细!F1049)),IF(ABS(出库明细!G1049-出库明细!E1049*出库明细!F1049)&gt;0.005,1,0),0)</f>
        <v>0</v>
      </c>
    </row>
    <row r="1050">
      <c r="A1050">
        <f>IF(OR(出库明细!C50="",出库明细!D50=""),"",IF(OR(COUNTIFS(存条明细!$C$4:$C$1003,出库明细!C50,存条明细!$D$4:$D$1003,出库明细!D50)&gt;0,COUNTIFS(出库明细!$C$4:C50,出库明细!C50,出库明细!$D$4:D50,出库明细!D50)&gt;1),"",IFERROR(MATCH(出库明细!C50,总览汇总!$B$5:$B$304,0),900)*10000000+IFERROR(MATCH(出库明细!D50,基础资料!$E$5:$E$104,0),900)*10000+ROW()))</f>
      </c>
      <c r="F1050">
        <f>IF(AND(出库明细!C1050&lt;&gt;"",出库明细!C1050=客户对账单!$B$4,ISNUMBER(出库明细!B1050),出库明细!B1050&gt;=客户对账单!$G$4,出库明细!B1050&lt;=客户对账单!$I$4),出库明细!B1050+ROW()/100000,"")</f>
      </c>
      <c r="H1050">
        <f>IF(AND(采购进货!C1050&lt;&gt;"",采购进货!C1050=供应商对账单!$B$4,ISNUMBER(采购进货!B1050),采购进货!B1050&gt;=供应商对账单!$G$4,采购进货!B1050&lt;=供应商对账单!$I$4),采购进货!B1050+ROW()/100000,"")</f>
      </c>
      <c r="N1050">
        <f>IF(AND(ISNUMBER(出库明细!G1050),ISNUMBER(出库明细!E1050),ISNUMBER(出库明细!F1050)),IF(ABS(出库明细!G1050-出库明细!E1050*出库明细!F1050)&gt;0.005,1,0),0)</f>
        <v>0</v>
      </c>
    </row>
    <row r="1051">
      <c r="A1051">
        <f>IF(OR(出库明细!C51="",出库明细!D51=""),"",IF(OR(COUNTIFS(存条明细!$C$4:$C$1003,出库明细!C51,存条明细!$D$4:$D$1003,出库明细!D51)&gt;0,COUNTIFS(出库明细!$C$4:C51,出库明细!C51,出库明细!$D$4:D51,出库明细!D51)&gt;1),"",IFERROR(MATCH(出库明细!C51,总览汇总!$B$5:$B$304,0),900)*10000000+IFERROR(MATCH(出库明细!D51,基础资料!$E$5:$E$104,0),900)*10000+ROW()))</f>
        <v>440031051</v>
      </c>
      <c r="F1051">
        <f>IF(AND(出库明细!C1051&lt;&gt;"",出库明细!C1051=客户对账单!$B$4,ISNUMBER(出库明细!B1051),出库明细!B1051&gt;=客户对账单!$G$4,出库明细!B1051&lt;=客户对账单!$I$4),出库明细!B1051+ROW()/100000,"")</f>
      </c>
      <c r="H1051">
        <f>IF(AND(采购进货!C1051&lt;&gt;"",采购进货!C1051=供应商对账单!$B$4,ISNUMBER(采购进货!B1051),采购进货!B1051&gt;=供应商对账单!$G$4,采购进货!B1051&lt;=供应商对账单!$I$4),采购进货!B1051+ROW()/100000,"")</f>
      </c>
      <c r="N1051">
        <f>IF(AND(ISNUMBER(出库明细!G1051),ISNUMBER(出库明细!E1051),ISNUMBER(出库明细!F1051)),IF(ABS(出库明细!G1051-出库明细!E1051*出库明细!F1051)&gt;0.005,1,0),0)</f>
        <v>0</v>
      </c>
    </row>
    <row r="1052">
      <c r="A1052">
        <f>IF(OR(出库明细!C52="",出库明细!D52=""),"",IF(OR(COUNTIFS(存条明细!$C$4:$C$1003,出库明细!C52,存条明细!$D$4:$D$1003,出库明细!D52)&gt;0,COUNTIFS(出库明细!$C$4:C52,出库明细!C52,出库明细!$D$4:D52,出库明细!D52)&gt;1),"",IFERROR(MATCH(出库明细!C52,总览汇总!$B$5:$B$304,0),900)*10000000+IFERROR(MATCH(出库明细!D52,基础资料!$E$5:$E$104,0),900)*10000+ROW()))</f>
        <v>440021052</v>
      </c>
      <c r="F1052">
        <f>IF(AND(出库明细!C1052&lt;&gt;"",出库明细!C1052=客户对账单!$B$4,ISNUMBER(出库明细!B1052),出库明细!B1052&gt;=客户对账单!$G$4,出库明细!B1052&lt;=客户对账单!$I$4),出库明细!B1052+ROW()/100000,"")</f>
      </c>
      <c r="H1052">
        <f>IF(AND(采购进货!C1052&lt;&gt;"",采购进货!C1052=供应商对账单!$B$4,ISNUMBER(采购进货!B1052),采购进货!B1052&gt;=供应商对账单!$G$4,采购进货!B1052&lt;=供应商对账单!$I$4),采购进货!B1052+ROW()/100000,"")</f>
      </c>
      <c r="N1052">
        <f>IF(AND(ISNUMBER(出库明细!G1052),ISNUMBER(出库明细!E1052),ISNUMBER(出库明细!F1052)),IF(ABS(出库明细!G1052-出库明细!E1052*出库明细!F1052)&gt;0.005,1,0),0)</f>
        <v>0</v>
      </c>
    </row>
    <row r="1053">
      <c r="A1053">
        <f>IF(OR(出库明细!C53="",出库明细!D53=""),"",IF(OR(COUNTIFS(存条明细!$C$4:$C$1003,出库明细!C53,存条明细!$D$4:$D$1003,出库明细!D53)&gt;0,COUNTIFS(出库明细!$C$4:C53,出库明细!C53,出库明细!$D$4:D53,出库明细!D53)&gt;1),"",IFERROR(MATCH(出库明细!C53,总览汇总!$B$5:$B$304,0),900)*10000000+IFERROR(MATCH(出库明细!D53,基础资料!$E$5:$E$104,0),900)*10000+ROW()))</f>
      </c>
      <c r="F1053">
        <f>IF(AND(出库明细!C1053&lt;&gt;"",出库明细!C1053=客户对账单!$B$4,ISNUMBER(出库明细!B1053),出库明细!B1053&gt;=客户对账单!$G$4,出库明细!B1053&lt;=客户对账单!$I$4),出库明细!B1053+ROW()/100000,"")</f>
      </c>
      <c r="H1053">
        <f>IF(AND(采购进货!C1053&lt;&gt;"",采购进货!C1053=供应商对账单!$B$4,ISNUMBER(采购进货!B1053),采购进货!B1053&gt;=供应商对账单!$G$4,采购进货!B1053&lt;=供应商对账单!$I$4),采购进货!B1053+ROW()/100000,"")</f>
      </c>
      <c r="N1053">
        <f>IF(AND(ISNUMBER(出库明细!G1053),ISNUMBER(出库明细!E1053),ISNUMBER(出库明细!F1053)),IF(ABS(出库明细!G1053-出库明细!E1053*出库明细!F1053)&gt;0.005,1,0),0)</f>
        <v>0</v>
      </c>
    </row>
    <row r="1054">
      <c r="A1054">
        <f>IF(OR(出库明细!C54="",出库明细!D54=""),"",IF(OR(COUNTIFS(存条明细!$C$4:$C$1003,出库明细!C54,存条明细!$D$4:$D$1003,出库明细!D54)&gt;0,COUNTIFS(出库明细!$C$4:C54,出库明细!C54,出库明细!$D$4:D54,出库明细!D54)&gt;1),"",IFERROR(MATCH(出库明细!C54,总览汇总!$B$5:$B$304,0),900)*10000000+IFERROR(MATCH(出库明细!D54,基础资料!$E$5:$E$104,0),900)*10000+ROW()))</f>
      </c>
      <c r="F1054">
        <f>IF(AND(出库明细!C1054&lt;&gt;"",出库明细!C1054=客户对账单!$B$4,ISNUMBER(出库明细!B1054),出库明细!B1054&gt;=客户对账单!$G$4,出库明细!B1054&lt;=客户对账单!$I$4),出库明细!B1054+ROW()/100000,"")</f>
      </c>
      <c r="H1054">
        <f>IF(AND(采购进货!C1054&lt;&gt;"",采购进货!C1054=供应商对账单!$B$4,ISNUMBER(采购进货!B1054),采购进货!B1054&gt;=供应商对账单!$G$4,采购进货!B1054&lt;=供应商对账单!$I$4),采购进货!B1054+ROW()/100000,"")</f>
      </c>
      <c r="N1054">
        <f>IF(AND(ISNUMBER(出库明细!G1054),ISNUMBER(出库明细!E1054),ISNUMBER(出库明细!F1054)),IF(ABS(出库明细!G1054-出库明细!E1054*出库明细!F1054)&gt;0.005,1,0),0)</f>
        <v>0</v>
      </c>
    </row>
    <row r="1055">
      <c r="A1055">
        <f>IF(OR(出库明细!C55="",出库明细!D55=""),"",IF(OR(COUNTIFS(存条明细!$C$4:$C$1003,出库明细!C55,存条明细!$D$4:$D$1003,出库明细!D55)&gt;0,COUNTIFS(出库明细!$C$4:C55,出库明细!C55,出库明细!$D$4:D55,出库明细!D55)&gt;1),"",IFERROR(MATCH(出库明细!C55,总览汇总!$B$5:$B$304,0),900)*10000000+IFERROR(MATCH(出库明细!D55,基础资料!$E$5:$E$104,0),900)*10000+ROW()))</f>
        <v>300051055</v>
      </c>
      <c r="F1055">
        <f>IF(AND(出库明细!C1055&lt;&gt;"",出库明细!C1055=客户对账单!$B$4,ISNUMBER(出库明细!B1055),出库明细!B1055&gt;=客户对账单!$G$4,出库明细!B1055&lt;=客户对账单!$I$4),出库明细!B1055+ROW()/100000,"")</f>
      </c>
      <c r="H1055">
        <f>IF(AND(采购进货!C1055&lt;&gt;"",采购进货!C1055=供应商对账单!$B$4,ISNUMBER(采购进货!B1055),采购进货!B1055&gt;=供应商对账单!$G$4,采购进货!B1055&lt;=供应商对账单!$I$4),采购进货!B1055+ROW()/100000,"")</f>
      </c>
      <c r="N1055">
        <f>IF(AND(ISNUMBER(出库明细!G1055),ISNUMBER(出库明细!E1055),ISNUMBER(出库明细!F1055)),IF(ABS(出库明细!G1055-出库明细!E1055*出库明细!F1055)&gt;0.005,1,0),0)</f>
        <v>0</v>
      </c>
    </row>
    <row r="1056">
      <c r="A1056">
        <f>IF(OR(出库明细!C56="",出库明细!D56=""),"",IF(OR(COUNTIFS(存条明细!$C$4:$C$1003,出库明细!C56,存条明细!$D$4:$D$1003,出库明细!D56)&gt;0,COUNTIFS(出库明细!$C$4:C56,出库明细!C56,出库明细!$D$4:D56,出库明细!D56)&gt;1),"",IFERROR(MATCH(出库明细!C56,总览汇总!$B$5:$B$304,0),900)*10000000+IFERROR(MATCH(出库明细!D56,基础资料!$E$5:$E$104,0),900)*10000+ROW()))</f>
        <v>300061056</v>
      </c>
      <c r="F1056">
        <f>IF(AND(出库明细!C1056&lt;&gt;"",出库明细!C1056=客户对账单!$B$4,ISNUMBER(出库明细!B1056),出库明细!B1056&gt;=客户对账单!$G$4,出库明细!B1056&lt;=客户对账单!$I$4),出库明细!B1056+ROW()/100000,"")</f>
      </c>
      <c r="H1056">
        <f>IF(AND(采购进货!C1056&lt;&gt;"",采购进货!C1056=供应商对账单!$B$4,ISNUMBER(采购进货!B1056),采购进货!B1056&gt;=供应商对账单!$G$4,采购进货!B1056&lt;=供应商对账单!$I$4),采购进货!B1056+ROW()/100000,"")</f>
      </c>
      <c r="N1056">
        <f>IF(AND(ISNUMBER(出库明细!G1056),ISNUMBER(出库明细!E1056),ISNUMBER(出库明细!F1056)),IF(ABS(出库明细!G1056-出库明细!E1056*出库明细!F1056)&gt;0.005,1,0),0)</f>
        <v>0</v>
      </c>
    </row>
    <row r="1057">
      <c r="A1057">
        <f>IF(OR(出库明细!C57="",出库明细!D57=""),"",IF(OR(COUNTIFS(存条明细!$C$4:$C$1003,出库明细!C57,存条明细!$D$4:$D$1003,出库明细!D57)&gt;0,COUNTIFS(出库明细!$C$4:C57,出库明细!C57,出库明细!$D$4:D57,出库明细!D57)&gt;1),"",IFERROR(MATCH(出库明细!C57,总览汇总!$B$5:$B$304,0),900)*10000000+IFERROR(MATCH(出库明细!D57,基础资料!$E$5:$E$104,0),900)*10000+ROW()))</f>
      </c>
      <c r="F1057">
        <f>IF(AND(出库明细!C1057&lt;&gt;"",出库明细!C1057=客户对账单!$B$4,ISNUMBER(出库明细!B1057),出库明细!B1057&gt;=客户对账单!$G$4,出库明细!B1057&lt;=客户对账单!$I$4),出库明细!B1057+ROW()/100000,"")</f>
      </c>
      <c r="H1057">
        <f>IF(AND(采购进货!C1057&lt;&gt;"",采购进货!C1057=供应商对账单!$B$4,ISNUMBER(采购进货!B1057),采购进货!B1057&gt;=供应商对账单!$G$4,采购进货!B1057&lt;=供应商对账单!$I$4),采购进货!B1057+ROW()/100000,"")</f>
      </c>
      <c r="N1057">
        <f>IF(AND(ISNUMBER(出库明细!G1057),ISNUMBER(出库明细!E1057),ISNUMBER(出库明细!F1057)),IF(ABS(出库明细!G1057-出库明细!E1057*出库明细!F1057)&gt;0.005,1,0),0)</f>
        <v>0</v>
      </c>
    </row>
    <row r="1058">
      <c r="A1058">
        <f>IF(OR(出库明细!C58="",出库明细!D58=""),"",IF(OR(COUNTIFS(存条明细!$C$4:$C$1003,出库明细!C58,存条明细!$D$4:$D$1003,出库明细!D58)&gt;0,COUNTIFS(出库明细!$C$4:C58,出库明细!C58,出库明细!$D$4:D58,出库明细!D58)&gt;1),"",IFERROR(MATCH(出库明细!C58,总览汇总!$B$5:$B$304,0),900)*10000000+IFERROR(MATCH(出库明细!D58,基础资料!$E$5:$E$104,0),900)*10000+ROW()))</f>
      </c>
      <c r="F1058">
        <f>IF(AND(出库明细!C1058&lt;&gt;"",出库明细!C1058=客户对账单!$B$4,ISNUMBER(出库明细!B1058),出库明细!B1058&gt;=客户对账单!$G$4,出库明细!B1058&lt;=客户对账单!$I$4),出库明细!B1058+ROW()/100000,"")</f>
      </c>
      <c r="H1058">
        <f>IF(AND(采购进货!C1058&lt;&gt;"",采购进货!C1058=供应商对账单!$B$4,ISNUMBER(采购进货!B1058),采购进货!B1058&gt;=供应商对账单!$G$4,采购进货!B1058&lt;=供应商对账单!$I$4),采购进货!B1058+ROW()/100000,"")</f>
      </c>
      <c r="N1058">
        <f>IF(AND(ISNUMBER(出库明细!G1058),ISNUMBER(出库明细!E1058),ISNUMBER(出库明细!F1058)),IF(ABS(出库明细!G1058-出库明细!E1058*出库明细!F1058)&gt;0.005,1,0),0)</f>
        <v>0</v>
      </c>
    </row>
    <row r="1059">
      <c r="A1059">
        <f>IF(OR(出库明细!C59="",出库明细!D59=""),"",IF(OR(COUNTIFS(存条明细!$C$4:$C$1003,出库明细!C59,存条明细!$D$4:$D$1003,出库明细!D59)&gt;0,COUNTIFS(出库明细!$C$4:C59,出库明细!C59,出库明细!$D$4:D59,出库明细!D59)&gt;1),"",IFERROR(MATCH(出库明细!C59,总览汇总!$B$5:$B$304,0),900)*10000000+IFERROR(MATCH(出库明细!D59,基础资料!$E$5:$E$104,0),900)*10000+ROW()))</f>
        <v>300041059</v>
      </c>
      <c r="F1059">
        <f>IF(AND(出库明细!C1059&lt;&gt;"",出库明细!C1059=客户对账单!$B$4,ISNUMBER(出库明细!B1059),出库明细!B1059&gt;=客户对账单!$G$4,出库明细!B1059&lt;=客户对账单!$I$4),出库明细!B1059+ROW()/100000,"")</f>
      </c>
      <c r="H1059">
        <f>IF(AND(采购进货!C1059&lt;&gt;"",采购进货!C1059=供应商对账单!$B$4,ISNUMBER(采购进货!B1059),采购进货!B1059&gt;=供应商对账单!$G$4,采购进货!B1059&lt;=供应商对账单!$I$4),采购进货!B1059+ROW()/100000,"")</f>
      </c>
      <c r="N1059">
        <f>IF(AND(ISNUMBER(出库明细!G1059),ISNUMBER(出库明细!E1059),ISNUMBER(出库明细!F1059)),IF(ABS(出库明细!G1059-出库明细!E1059*出库明细!F1059)&gt;0.005,1,0),0)</f>
        <v>0</v>
      </c>
    </row>
    <row r="1060">
      <c r="A1060">
        <f>IF(OR(出库明细!C60="",出库明细!D60=""),"",IF(OR(COUNTIFS(存条明细!$C$4:$C$1003,出库明细!C60,存条明细!$D$4:$D$1003,出库明细!D60)&gt;0,COUNTIFS(出库明细!$C$4:C60,出库明细!C60,出库明细!$D$4:D60,出库明细!D60)&gt;1),"",IFERROR(MATCH(出库明细!C60,总览汇总!$B$5:$B$304,0),900)*10000000+IFERROR(MATCH(出库明细!D60,基础资料!$E$5:$E$104,0),900)*10000+ROW()))</f>
        <v>300171060</v>
      </c>
      <c r="F1060">
        <f>IF(AND(出库明细!C1060&lt;&gt;"",出库明细!C1060=客户对账单!$B$4,ISNUMBER(出库明细!B1060),出库明细!B1060&gt;=客户对账单!$G$4,出库明细!B1060&lt;=客户对账单!$I$4),出库明细!B1060+ROW()/100000,"")</f>
      </c>
      <c r="H1060">
        <f>IF(AND(采购进货!C1060&lt;&gt;"",采购进货!C1060=供应商对账单!$B$4,ISNUMBER(采购进货!B1060),采购进货!B1060&gt;=供应商对账单!$G$4,采购进货!B1060&lt;=供应商对账单!$I$4),采购进货!B1060+ROW()/100000,"")</f>
      </c>
      <c r="N1060">
        <f>IF(AND(ISNUMBER(出库明细!G1060),ISNUMBER(出库明细!E1060),ISNUMBER(出库明细!F1060)),IF(ABS(出库明细!G1060-出库明细!E1060*出库明细!F1060)&gt;0.005,1,0),0)</f>
        <v>0</v>
      </c>
    </row>
    <row r="1061">
      <c r="A1061">
        <f>IF(OR(出库明细!C61="",出库明细!D61=""),"",IF(OR(COUNTIFS(存条明细!$C$4:$C$1003,出库明细!C61,存条明细!$D$4:$D$1003,出库明细!D61)&gt;0,COUNTIFS(出库明细!$C$4:C61,出库明细!C61,出库明细!$D$4:D61,出库明细!D61)&gt;1),"",IFERROR(MATCH(出库明细!C61,总览汇总!$B$5:$B$304,0),900)*10000000+IFERROR(MATCH(出库明细!D61,基础资料!$E$5:$E$104,0),900)*10000+ROW()))</f>
      </c>
      <c r="F1061">
        <f>IF(AND(出库明细!C1061&lt;&gt;"",出库明细!C1061=客户对账单!$B$4,ISNUMBER(出库明细!B1061),出库明细!B1061&gt;=客户对账单!$G$4,出库明细!B1061&lt;=客户对账单!$I$4),出库明细!B1061+ROW()/100000,"")</f>
      </c>
      <c r="H1061">
        <f>IF(AND(采购进货!C1061&lt;&gt;"",采购进货!C1061=供应商对账单!$B$4,ISNUMBER(采购进货!B1061),采购进货!B1061&gt;=供应商对账单!$G$4,采购进货!B1061&lt;=供应商对账单!$I$4),采购进货!B1061+ROW()/100000,"")</f>
      </c>
      <c r="N1061">
        <f>IF(AND(ISNUMBER(出库明细!G1061),ISNUMBER(出库明细!E1061),ISNUMBER(出库明细!F1061)),IF(ABS(出库明细!G1061-出库明细!E1061*出库明细!F1061)&gt;0.005,1,0),0)</f>
        <v>0</v>
      </c>
    </row>
    <row r="1062">
      <c r="A1062">
        <f>IF(OR(出库明细!C62="",出库明细!D62=""),"",IF(OR(COUNTIFS(存条明细!$C$4:$C$1003,出库明细!C62,存条明细!$D$4:$D$1003,出库明细!D62)&gt;0,COUNTIFS(出库明细!$C$4:C62,出库明细!C62,出库明细!$D$4:D62,出库明细!D62)&gt;1),"",IFERROR(MATCH(出库明细!C62,总览汇总!$B$5:$B$304,0),900)*10000000+IFERROR(MATCH(出库明细!D62,基础资料!$E$5:$E$104,0),900)*10000+ROW()))</f>
        <v>70211062</v>
      </c>
      <c r="F1062">
        <f>IF(AND(出库明细!C1062&lt;&gt;"",出库明细!C1062=客户对账单!$B$4,ISNUMBER(出库明细!B1062),出库明细!B1062&gt;=客户对账单!$G$4,出库明细!B1062&lt;=客户对账单!$I$4),出库明细!B1062+ROW()/100000,"")</f>
      </c>
      <c r="H1062">
        <f>IF(AND(采购进货!C1062&lt;&gt;"",采购进货!C1062=供应商对账单!$B$4,ISNUMBER(采购进货!B1062),采购进货!B1062&gt;=供应商对账单!$G$4,采购进货!B1062&lt;=供应商对账单!$I$4),采购进货!B1062+ROW()/100000,"")</f>
      </c>
      <c r="N1062">
        <f>IF(AND(ISNUMBER(出库明细!G1062),ISNUMBER(出库明细!E1062),ISNUMBER(出库明细!F1062)),IF(ABS(出库明细!G1062-出库明细!E1062*出库明细!F1062)&gt;0.005,1,0),0)</f>
        <v>0</v>
      </c>
    </row>
    <row r="1063">
      <c r="A1063">
        <f>IF(OR(出库明细!C63="",出库明细!D63=""),"",IF(OR(COUNTIFS(存条明细!$C$4:$C$1003,出库明细!C63,存条明细!$D$4:$D$1003,出库明细!D63)&gt;0,COUNTIFS(出库明细!$C$4:C63,出库明细!C63,出库明细!$D$4:D63,出库明细!D63)&gt;1),"",IFERROR(MATCH(出库明细!C63,总览汇总!$B$5:$B$304,0),900)*10000000+IFERROR(MATCH(出库明细!D63,基础资料!$E$5:$E$104,0),900)*10000+ROW()))</f>
      </c>
      <c r="F1063">
        <f>IF(AND(出库明细!C1063&lt;&gt;"",出库明细!C1063=客户对账单!$B$4,ISNUMBER(出库明细!B1063),出库明细!B1063&gt;=客户对账单!$G$4,出库明细!B1063&lt;=客户对账单!$I$4),出库明细!B1063+ROW()/100000,"")</f>
      </c>
      <c r="H1063">
        <f>IF(AND(采购进货!C1063&lt;&gt;"",采购进货!C1063=供应商对账单!$B$4,ISNUMBER(采购进货!B1063),采购进货!B1063&gt;=供应商对账单!$G$4,采购进货!B1063&lt;=供应商对账单!$I$4),采购进货!B1063+ROW()/100000,"")</f>
      </c>
      <c r="N1063">
        <f>IF(AND(ISNUMBER(出库明细!G1063),ISNUMBER(出库明细!E1063),ISNUMBER(出库明细!F1063)),IF(ABS(出库明细!G1063-出库明细!E1063*出库明细!F1063)&gt;0.005,1,0),0)</f>
        <v>0</v>
      </c>
    </row>
    <row r="1064">
      <c r="A1064">
        <f>IF(OR(出库明细!C64="",出库明细!D64=""),"",IF(OR(COUNTIFS(存条明细!$C$4:$C$1003,出库明细!C64,存条明细!$D$4:$D$1003,出库明细!D64)&gt;0,COUNTIFS(出库明细!$C$4:C64,出库明细!C64,出库明细!$D$4:D64,出库明细!D64)&gt;1),"",IFERROR(MATCH(出库明细!C64,总览汇总!$B$5:$B$304,0),900)*10000000+IFERROR(MATCH(出库明细!D64,基础资料!$E$5:$E$104,0),900)*10000+ROW()))</f>
      </c>
      <c r="F1064">
        <f>IF(AND(出库明细!C1064&lt;&gt;"",出库明细!C1064=客户对账单!$B$4,ISNUMBER(出库明细!B1064),出库明细!B1064&gt;=客户对账单!$G$4,出库明细!B1064&lt;=客户对账单!$I$4),出库明细!B1064+ROW()/100000,"")</f>
      </c>
      <c r="H1064">
        <f>IF(AND(采购进货!C1064&lt;&gt;"",采购进货!C1064=供应商对账单!$B$4,ISNUMBER(采购进货!B1064),采购进货!B1064&gt;=供应商对账单!$G$4,采购进货!B1064&lt;=供应商对账单!$I$4),采购进货!B1064+ROW()/100000,"")</f>
      </c>
      <c r="N1064">
        <f>IF(AND(ISNUMBER(出库明细!G1064),ISNUMBER(出库明细!E1064),ISNUMBER(出库明细!F1064)),IF(ABS(出库明细!G1064-出库明细!E1064*出库明细!F1064)&gt;0.005,1,0),0)</f>
        <v>0</v>
      </c>
    </row>
    <row r="1065">
      <c r="A1065">
        <f>IF(OR(出库明细!C65="",出库明细!D65=""),"",IF(OR(COUNTIFS(存条明细!$C$4:$C$1003,出库明细!C65,存条明细!$D$4:$D$1003,出库明细!D65)&gt;0,COUNTIFS(出库明细!$C$4:C65,出库明细!C65,出库明细!$D$4:D65,出库明细!D65)&gt;1),"",IFERROR(MATCH(出库明细!C65,总览汇总!$B$5:$B$304,0),900)*10000000+IFERROR(MATCH(出库明细!D65,基础资料!$E$5:$E$104,0),900)*10000+ROW()))</f>
      </c>
      <c r="F1065">
        <f>IF(AND(出库明细!C1065&lt;&gt;"",出库明细!C1065=客户对账单!$B$4,ISNUMBER(出库明细!B1065),出库明细!B1065&gt;=客户对账单!$G$4,出库明细!B1065&lt;=客户对账单!$I$4),出库明细!B1065+ROW()/100000,"")</f>
      </c>
      <c r="H1065">
        <f>IF(AND(采购进货!C1065&lt;&gt;"",采购进货!C1065=供应商对账单!$B$4,ISNUMBER(采购进货!B1065),采购进货!B1065&gt;=供应商对账单!$G$4,采购进货!B1065&lt;=供应商对账单!$I$4),采购进货!B1065+ROW()/100000,"")</f>
      </c>
      <c r="N1065">
        <f>IF(AND(ISNUMBER(出库明细!G1065),ISNUMBER(出库明细!E1065),ISNUMBER(出库明细!F1065)),IF(ABS(出库明细!G1065-出库明细!E1065*出库明细!F1065)&gt;0.005,1,0),0)</f>
        <v>0</v>
      </c>
    </row>
    <row r="1066">
      <c r="A1066">
        <f>IF(OR(出库明细!C66="",出库明细!D66=""),"",IF(OR(COUNTIFS(存条明细!$C$4:$C$1003,出库明细!C66,存条明细!$D$4:$D$1003,出库明细!D66)&gt;0,COUNTIFS(出库明细!$C$4:C66,出库明细!C66,出库明细!$D$4:D66,出库明细!D66)&gt;1),"",IFERROR(MATCH(出库明细!C66,总览汇总!$B$5:$B$304,0),900)*10000000+IFERROR(MATCH(出库明细!D66,基础资料!$E$5:$E$104,0),900)*10000+ROW()))</f>
        <v>70261066</v>
      </c>
      <c r="F1066">
        <f>IF(AND(出库明细!C1066&lt;&gt;"",出库明细!C1066=客户对账单!$B$4,ISNUMBER(出库明细!B1066),出库明细!B1066&gt;=客户对账单!$G$4,出库明细!B1066&lt;=客户对账单!$I$4),出库明细!B1066+ROW()/100000,"")</f>
      </c>
      <c r="H1066">
        <f>IF(AND(采购进货!C1066&lt;&gt;"",采购进货!C1066=供应商对账单!$B$4,ISNUMBER(采购进货!B1066),采购进货!B1066&gt;=供应商对账单!$G$4,采购进货!B1066&lt;=供应商对账单!$I$4),采购进货!B1066+ROW()/100000,"")</f>
      </c>
      <c r="N1066">
        <f>IF(AND(ISNUMBER(出库明细!G1066),ISNUMBER(出库明细!E1066),ISNUMBER(出库明细!F1066)),IF(ABS(出库明细!G1066-出库明细!E1066*出库明细!F1066)&gt;0.005,1,0),0)</f>
        <v>0</v>
      </c>
    </row>
    <row r="1067">
      <c r="A1067">
        <f>IF(OR(出库明细!C67="",出库明细!D67=""),"",IF(OR(COUNTIFS(存条明细!$C$4:$C$1003,出库明细!C67,存条明细!$D$4:$D$1003,出库明细!D67)&gt;0,COUNTIFS(出库明细!$C$4:C67,出库明细!C67,出库明细!$D$4:D67,出库明细!D67)&gt;1),"",IFERROR(MATCH(出库明细!C67,总览汇总!$B$5:$B$304,0),900)*10000000+IFERROR(MATCH(出库明细!D67,基础资料!$E$5:$E$104,0),900)*10000+ROW()))</f>
      </c>
      <c r="F1067">
        <f>IF(AND(出库明细!C1067&lt;&gt;"",出库明细!C1067=客户对账单!$B$4,ISNUMBER(出库明细!B1067),出库明细!B1067&gt;=客户对账单!$G$4,出库明细!B1067&lt;=客户对账单!$I$4),出库明细!B1067+ROW()/100000,"")</f>
      </c>
      <c r="H1067">
        <f>IF(AND(采购进货!C1067&lt;&gt;"",采购进货!C1067=供应商对账单!$B$4,ISNUMBER(采购进货!B1067),采购进货!B1067&gt;=供应商对账单!$G$4,采购进货!B1067&lt;=供应商对账单!$I$4),采购进货!B1067+ROW()/100000,"")</f>
      </c>
      <c r="N1067">
        <f>IF(AND(ISNUMBER(出库明细!G1067),ISNUMBER(出库明细!E1067),ISNUMBER(出库明细!F1067)),IF(ABS(出库明细!G1067-出库明细!E1067*出库明细!F1067)&gt;0.005,1,0),0)</f>
        <v>0</v>
      </c>
    </row>
    <row r="1068">
      <c r="A1068">
        <f>IF(OR(出库明细!C68="",出库明细!D68=""),"",IF(OR(COUNTIFS(存条明细!$C$4:$C$1003,出库明细!C68,存条明细!$D$4:$D$1003,出库明细!D68)&gt;0,COUNTIFS(出库明细!$C$4:C68,出库明细!C68,出库明细!$D$4:D68,出库明细!D68)&gt;1),"",IFERROR(MATCH(出库明细!C68,总览汇总!$B$5:$B$304,0),900)*10000000+IFERROR(MATCH(出库明细!D68,基础资料!$E$5:$E$104,0),900)*10000+ROW()))</f>
        <v>70241068</v>
      </c>
      <c r="F1068">
        <f>IF(AND(出库明细!C1068&lt;&gt;"",出库明细!C1068=客户对账单!$B$4,ISNUMBER(出库明细!B1068),出库明细!B1068&gt;=客户对账单!$G$4,出库明细!B1068&lt;=客户对账单!$I$4),出库明细!B1068+ROW()/100000,"")</f>
      </c>
      <c r="H1068">
        <f>IF(AND(采购进货!C1068&lt;&gt;"",采购进货!C1068=供应商对账单!$B$4,ISNUMBER(采购进货!B1068),采购进货!B1068&gt;=供应商对账单!$G$4,采购进货!B1068&lt;=供应商对账单!$I$4),采购进货!B1068+ROW()/100000,"")</f>
      </c>
      <c r="N1068">
        <f>IF(AND(ISNUMBER(出库明细!G1068),ISNUMBER(出库明细!E1068),ISNUMBER(出库明细!F1068)),IF(ABS(出库明细!G1068-出库明细!E1068*出库明细!F1068)&gt;0.005,1,0),0)</f>
        <v>0</v>
      </c>
    </row>
    <row r="1069">
      <c r="A1069">
        <f>IF(OR(出库明细!C69="",出库明细!D69=""),"",IF(OR(COUNTIFS(存条明细!$C$4:$C$1003,出库明细!C69,存条明细!$D$4:$D$1003,出库明细!D69)&gt;0,COUNTIFS(出库明细!$C$4:C69,出库明细!C69,出库明细!$D$4:D69,出库明细!D69)&gt;1),"",IFERROR(MATCH(出库明细!C69,总览汇总!$B$5:$B$304,0),900)*10000000+IFERROR(MATCH(出库明细!D69,基础资料!$E$5:$E$104,0),900)*10000+ROW()))</f>
      </c>
      <c r="F1069">
        <f>IF(AND(出库明细!C1069&lt;&gt;"",出库明细!C1069=客户对账单!$B$4,ISNUMBER(出库明细!B1069),出库明细!B1069&gt;=客户对账单!$G$4,出库明细!B1069&lt;=客户对账单!$I$4),出库明细!B1069+ROW()/100000,"")</f>
      </c>
      <c r="H1069">
        <f>IF(AND(采购进货!C1069&lt;&gt;"",采购进货!C1069=供应商对账单!$B$4,ISNUMBER(采购进货!B1069),采购进货!B1069&gt;=供应商对账单!$G$4,采购进货!B1069&lt;=供应商对账单!$I$4),采购进货!B1069+ROW()/100000,"")</f>
      </c>
      <c r="N1069">
        <f>IF(AND(ISNUMBER(出库明细!G1069),ISNUMBER(出库明细!E1069),ISNUMBER(出库明细!F1069)),IF(ABS(出库明细!G1069-出库明细!E1069*出库明细!F1069)&gt;0.005,1,0),0)</f>
        <v>0</v>
      </c>
    </row>
    <row r="1070">
      <c r="A1070">
        <f>IF(OR(出库明细!C70="",出库明细!D70=""),"",IF(OR(COUNTIFS(存条明细!$C$4:$C$1003,出库明细!C70,存条明细!$D$4:$D$1003,出库明细!D70)&gt;0,COUNTIFS(出库明细!$C$4:C70,出库明细!C70,出库明细!$D$4:D70,出库明细!D70)&gt;1),"",IFERROR(MATCH(出库明细!C70,总览汇总!$B$5:$B$304,0),900)*10000000+IFERROR(MATCH(出库明细!D70,基础资料!$E$5:$E$104,0),900)*10000+ROW()))</f>
      </c>
      <c r="F1070">
        <f>IF(AND(出库明细!C1070&lt;&gt;"",出库明细!C1070=客户对账单!$B$4,ISNUMBER(出库明细!B1070),出库明细!B1070&gt;=客户对账单!$G$4,出库明细!B1070&lt;=客户对账单!$I$4),出库明细!B1070+ROW()/100000,"")</f>
      </c>
      <c r="H1070">
        <f>IF(AND(采购进货!C1070&lt;&gt;"",采购进货!C1070=供应商对账单!$B$4,ISNUMBER(采购进货!B1070),采购进货!B1070&gt;=供应商对账单!$G$4,采购进货!B1070&lt;=供应商对账单!$I$4),采购进货!B1070+ROW()/100000,"")</f>
      </c>
      <c r="N1070">
        <f>IF(AND(ISNUMBER(出库明细!G1070),ISNUMBER(出库明细!E1070),ISNUMBER(出库明细!F1070)),IF(ABS(出库明细!G1070-出库明细!E1070*出库明细!F1070)&gt;0.005,1,0),0)</f>
        <v>0</v>
      </c>
    </row>
    <row r="1071">
      <c r="A1071">
        <f>IF(OR(出库明细!C71="",出库明细!D71=""),"",IF(OR(COUNTIFS(存条明细!$C$4:$C$1003,出库明细!C71,存条明细!$D$4:$D$1003,出库明细!D71)&gt;0,COUNTIFS(出库明细!$C$4:C71,出库明细!C71,出库明细!$D$4:D71,出库明细!D71)&gt;1),"",IFERROR(MATCH(出库明细!C71,总览汇总!$B$5:$B$304,0),900)*10000000+IFERROR(MATCH(出库明细!D71,基础资料!$E$5:$E$104,0),900)*10000+ROW()))</f>
      </c>
      <c r="F1071">
        <f>IF(AND(出库明细!C1071&lt;&gt;"",出库明细!C1071=客户对账单!$B$4,ISNUMBER(出库明细!B1071),出库明细!B1071&gt;=客户对账单!$G$4,出库明细!B1071&lt;=客户对账单!$I$4),出库明细!B1071+ROW()/100000,"")</f>
      </c>
      <c r="H1071">
        <f>IF(AND(采购进货!C1071&lt;&gt;"",采购进货!C1071=供应商对账单!$B$4,ISNUMBER(采购进货!B1071),采购进货!B1071&gt;=供应商对账单!$G$4,采购进货!B1071&lt;=供应商对账单!$I$4),采购进货!B1071+ROW()/100000,"")</f>
      </c>
      <c r="N1071">
        <f>IF(AND(ISNUMBER(出库明细!G1071),ISNUMBER(出库明细!E1071),ISNUMBER(出库明细!F1071)),IF(ABS(出库明细!G1071-出库明细!E1071*出库明细!F1071)&gt;0.005,1,0),0)</f>
        <v>0</v>
      </c>
    </row>
    <row r="1072">
      <c r="A1072">
        <f>IF(OR(出库明细!C72="",出库明细!D72=""),"",IF(OR(COUNTIFS(存条明细!$C$4:$C$1003,出库明细!C72,存条明细!$D$4:$D$1003,出库明细!D72)&gt;0,COUNTIFS(出库明细!$C$4:C72,出库明细!C72,出库明细!$D$4:D72,出库明细!D72)&gt;1),"",IFERROR(MATCH(出库明细!C72,总览汇总!$B$5:$B$304,0),900)*10000000+IFERROR(MATCH(出库明细!D72,基础资料!$E$5:$E$104,0),900)*10000+ROW()))</f>
        <v>70221072</v>
      </c>
      <c r="F1072">
        <f>IF(AND(出库明细!C1072&lt;&gt;"",出库明细!C1072=客户对账单!$B$4,ISNUMBER(出库明细!B1072),出库明细!B1072&gt;=客户对账单!$G$4,出库明细!B1072&lt;=客户对账单!$I$4),出库明细!B1072+ROW()/100000,"")</f>
      </c>
      <c r="H1072">
        <f>IF(AND(采购进货!C1072&lt;&gt;"",采购进货!C1072=供应商对账单!$B$4,ISNUMBER(采购进货!B1072),采购进货!B1072&gt;=供应商对账单!$G$4,采购进货!B1072&lt;=供应商对账单!$I$4),采购进货!B1072+ROW()/100000,"")</f>
      </c>
      <c r="N1072">
        <f>IF(AND(ISNUMBER(出库明细!G1072),ISNUMBER(出库明细!E1072),ISNUMBER(出库明细!F1072)),IF(ABS(出库明细!G1072-出库明细!E1072*出库明细!F1072)&gt;0.005,1,0),0)</f>
        <v>0</v>
      </c>
    </row>
    <row r="1073">
      <c r="A1073">
        <f>IF(OR(出库明细!C73="",出库明细!D73=""),"",IF(OR(COUNTIFS(存条明细!$C$4:$C$1003,出库明细!C73,存条明细!$D$4:$D$1003,出库明细!D73)&gt;0,COUNTIFS(出库明细!$C$4:C73,出库明细!C73,出库明细!$D$4:D73,出库明细!D73)&gt;1),"",IFERROR(MATCH(出库明细!C73,总览汇总!$B$5:$B$304,0),900)*10000000+IFERROR(MATCH(出库明细!D73,基础资料!$E$5:$E$104,0),900)*10000+ROW()))</f>
      </c>
      <c r="F1073">
        <f>IF(AND(出库明细!C1073&lt;&gt;"",出库明细!C1073=客户对账单!$B$4,ISNUMBER(出库明细!B1073),出库明细!B1073&gt;=客户对账单!$G$4,出库明细!B1073&lt;=客户对账单!$I$4),出库明细!B1073+ROW()/100000,"")</f>
      </c>
      <c r="H1073">
        <f>IF(AND(采购进货!C1073&lt;&gt;"",采购进货!C1073=供应商对账单!$B$4,ISNUMBER(采购进货!B1073),采购进货!B1073&gt;=供应商对账单!$G$4,采购进货!B1073&lt;=供应商对账单!$I$4),采购进货!B1073+ROW()/100000,"")</f>
      </c>
      <c r="N1073">
        <f>IF(AND(ISNUMBER(出库明细!G1073),ISNUMBER(出库明细!E1073),ISNUMBER(出库明细!F1073)),IF(ABS(出库明细!G1073-出库明细!E1073*出库明细!F1073)&gt;0.005,1,0),0)</f>
        <v>0</v>
      </c>
    </row>
    <row r="1074">
      <c r="A1074">
        <f>IF(OR(出库明细!C74="",出库明细!D74=""),"",IF(OR(COUNTIFS(存条明细!$C$4:$C$1003,出库明细!C74,存条明细!$D$4:$D$1003,出库明细!D74)&gt;0,COUNTIFS(出库明细!$C$4:C74,出库明细!C74,出库明细!$D$4:D74,出库明细!D74)&gt;1),"",IFERROR(MATCH(出库明细!C74,总览汇总!$B$5:$B$304,0),900)*10000000+IFERROR(MATCH(出库明细!D74,基础资料!$E$5:$E$104,0),900)*10000+ROW()))</f>
        <v>70011074</v>
      </c>
      <c r="F1074">
        <f>IF(AND(出库明细!C1074&lt;&gt;"",出库明细!C1074=客户对账单!$B$4,ISNUMBER(出库明细!B1074),出库明细!B1074&gt;=客户对账单!$G$4,出库明细!B1074&lt;=客户对账单!$I$4),出库明细!B1074+ROW()/100000,"")</f>
      </c>
      <c r="H1074">
        <f>IF(AND(采购进货!C1074&lt;&gt;"",采购进货!C1074=供应商对账单!$B$4,ISNUMBER(采购进货!B1074),采购进货!B1074&gt;=供应商对账单!$G$4,采购进货!B1074&lt;=供应商对账单!$I$4),采购进货!B1074+ROW()/100000,"")</f>
      </c>
      <c r="N1074">
        <f>IF(AND(ISNUMBER(出库明细!G1074),ISNUMBER(出库明细!E1074),ISNUMBER(出库明细!F1074)),IF(ABS(出库明细!G1074-出库明细!E1074*出库明细!F1074)&gt;0.005,1,0),0)</f>
        <v>0</v>
      </c>
    </row>
    <row r="1075">
      <c r="A1075">
        <f>IF(OR(出库明细!C75="",出库明细!D75=""),"",IF(OR(COUNTIFS(存条明细!$C$4:$C$1003,出库明细!C75,存条明细!$D$4:$D$1003,出库明细!D75)&gt;0,COUNTIFS(出库明细!$C$4:C75,出库明细!C75,出库明细!$D$4:D75,出库明细!D75)&gt;1),"",IFERROR(MATCH(出库明细!C75,总览汇总!$B$5:$B$304,0),900)*10000000+IFERROR(MATCH(出库明细!D75,基础资料!$E$5:$E$104,0),900)*10000+ROW()))</f>
      </c>
      <c r="F1075">
        <f>IF(AND(出库明细!C1075&lt;&gt;"",出库明细!C1075=客户对账单!$B$4,ISNUMBER(出库明细!B1075),出库明细!B1075&gt;=客户对账单!$G$4,出库明细!B1075&lt;=客户对账单!$I$4),出库明细!B1075+ROW()/100000,"")</f>
      </c>
      <c r="H1075">
        <f>IF(AND(采购进货!C1075&lt;&gt;"",采购进货!C1075=供应商对账单!$B$4,ISNUMBER(采购进货!B1075),采购进货!B1075&gt;=供应商对账单!$G$4,采购进货!B1075&lt;=供应商对账单!$I$4),采购进货!B1075+ROW()/100000,"")</f>
      </c>
      <c r="N1075">
        <f>IF(AND(ISNUMBER(出库明细!G1075),ISNUMBER(出库明细!E1075),ISNUMBER(出库明细!F1075)),IF(ABS(出库明细!G1075-出库明细!E1075*出库明细!F1075)&gt;0.005,1,0),0)</f>
        <v>0</v>
      </c>
    </row>
    <row r="1076">
      <c r="A1076">
        <f>IF(OR(出库明细!C76="",出库明细!D76=""),"",IF(OR(COUNTIFS(存条明细!$C$4:$C$1003,出库明细!C76,存条明细!$D$4:$D$1003,出库明细!D76)&gt;0,COUNTIFS(出库明细!$C$4:C76,出库明细!C76,出库明细!$D$4:D76,出库明细!D76)&gt;1),"",IFERROR(MATCH(出库明细!C76,总览汇总!$B$5:$B$304,0),900)*10000000+IFERROR(MATCH(出库明细!D76,基础资料!$E$5:$E$104,0),900)*10000+ROW()))</f>
      </c>
      <c r="F1076">
        <f>IF(AND(出库明细!C1076&lt;&gt;"",出库明细!C1076=客户对账单!$B$4,ISNUMBER(出库明细!B1076),出库明细!B1076&gt;=客户对账单!$G$4,出库明细!B1076&lt;=客户对账单!$I$4),出库明细!B1076+ROW()/100000,"")</f>
      </c>
      <c r="H1076">
        <f>IF(AND(采购进货!C1076&lt;&gt;"",采购进货!C1076=供应商对账单!$B$4,ISNUMBER(采购进货!B1076),采购进货!B1076&gt;=供应商对账单!$G$4,采购进货!B1076&lt;=供应商对账单!$I$4),采购进货!B1076+ROW()/100000,"")</f>
      </c>
      <c r="N1076">
        <f>IF(AND(ISNUMBER(出库明细!G1076),ISNUMBER(出库明细!E1076),ISNUMBER(出库明细!F1076)),IF(ABS(出库明细!G1076-出库明细!E1076*出库明细!F1076)&gt;0.005,1,0),0)</f>
        <v>0</v>
      </c>
    </row>
    <row r="1077">
      <c r="A1077">
        <f>IF(OR(出库明细!C77="",出库明细!D77=""),"",IF(OR(COUNTIFS(存条明细!$C$4:$C$1003,出库明细!C77,存条明细!$D$4:$D$1003,出库明细!D77)&gt;0,COUNTIFS(出库明细!$C$4:C77,出库明细!C77,出库明细!$D$4:D77,出库明细!D77)&gt;1),"",IFERROR(MATCH(出库明细!C77,总览汇总!$B$5:$B$304,0),900)*10000000+IFERROR(MATCH(出库明细!D77,基础资料!$E$5:$E$104,0),900)*10000+ROW()))</f>
      </c>
      <c r="F1077">
        <f>IF(AND(出库明细!C1077&lt;&gt;"",出库明细!C1077=客户对账单!$B$4,ISNUMBER(出库明细!B1077),出库明细!B1077&gt;=客户对账单!$G$4,出库明细!B1077&lt;=客户对账单!$I$4),出库明细!B1077+ROW()/100000,"")</f>
      </c>
      <c r="H1077">
        <f>IF(AND(采购进货!C1077&lt;&gt;"",采购进货!C1077=供应商对账单!$B$4,ISNUMBER(采购进货!B1077),采购进货!B1077&gt;=供应商对账单!$G$4,采购进货!B1077&lt;=供应商对账单!$I$4),采购进货!B1077+ROW()/100000,"")</f>
      </c>
      <c r="N1077">
        <f>IF(AND(ISNUMBER(出库明细!G1077),ISNUMBER(出库明细!E1077),ISNUMBER(出库明细!F1077)),IF(ABS(出库明细!G1077-出库明细!E1077*出库明细!F1077)&gt;0.005,1,0),0)</f>
        <v>0</v>
      </c>
    </row>
    <row r="1078">
      <c r="A1078">
        <f>IF(OR(出库明细!C78="",出库明细!D78=""),"",IF(OR(COUNTIFS(存条明细!$C$4:$C$1003,出库明细!C78,存条明细!$D$4:$D$1003,出库明细!D78)&gt;0,COUNTIFS(出库明细!$C$4:C78,出库明细!C78,出库明细!$D$4:D78,出库明细!D78)&gt;1),"",IFERROR(MATCH(出库明细!C78,总览汇总!$B$5:$B$304,0),900)*10000000+IFERROR(MATCH(出库明细!D78,基础资料!$E$5:$E$104,0),900)*10000+ROW()))</f>
        <v>70231078</v>
      </c>
      <c r="F1078">
        <f>IF(AND(出库明细!C1078&lt;&gt;"",出库明细!C1078=客户对账单!$B$4,ISNUMBER(出库明细!B1078),出库明细!B1078&gt;=客户对账单!$G$4,出库明细!B1078&lt;=客户对账单!$I$4),出库明细!B1078+ROW()/100000,"")</f>
      </c>
      <c r="H1078">
        <f>IF(AND(采购进货!C1078&lt;&gt;"",采购进货!C1078=供应商对账单!$B$4,ISNUMBER(采购进货!B1078),采购进货!B1078&gt;=供应商对账单!$G$4,采购进货!B1078&lt;=供应商对账单!$I$4),采购进货!B1078+ROW()/100000,"")</f>
      </c>
      <c r="N1078">
        <f>IF(AND(ISNUMBER(出库明细!G1078),ISNUMBER(出库明细!E1078),ISNUMBER(出库明细!F1078)),IF(ABS(出库明细!G1078-出库明细!E1078*出库明细!F1078)&gt;0.005,1,0),0)</f>
        <v>0</v>
      </c>
    </row>
    <row r="1079">
      <c r="A1079">
        <f>IF(OR(出库明细!C79="",出库明细!D79=""),"",IF(OR(COUNTIFS(存条明细!$C$4:$C$1003,出库明细!C79,存条明细!$D$4:$D$1003,出库明细!D79)&gt;0,COUNTIFS(出库明细!$C$4:C79,出库明细!C79,出库明细!$D$4:D79,出库明细!D79)&gt;1),"",IFERROR(MATCH(出库明细!C79,总览汇总!$B$5:$B$304,0),900)*10000000+IFERROR(MATCH(出库明细!D79,基础资料!$E$5:$E$104,0),900)*10000+ROW()))</f>
      </c>
      <c r="F1079">
        <f>IF(AND(出库明细!C1079&lt;&gt;"",出库明细!C1079=客户对账单!$B$4,ISNUMBER(出库明细!B1079),出库明细!B1079&gt;=客户对账单!$G$4,出库明细!B1079&lt;=客户对账单!$I$4),出库明细!B1079+ROW()/100000,"")</f>
      </c>
      <c r="H1079">
        <f>IF(AND(采购进货!C1079&lt;&gt;"",采购进货!C1079=供应商对账单!$B$4,ISNUMBER(采购进货!B1079),采购进货!B1079&gt;=供应商对账单!$G$4,采购进货!B1079&lt;=供应商对账单!$I$4),采购进货!B1079+ROW()/100000,"")</f>
      </c>
      <c r="N1079">
        <f>IF(AND(ISNUMBER(出库明细!G1079),ISNUMBER(出库明细!E1079),ISNUMBER(出库明细!F1079)),IF(ABS(出库明细!G1079-出库明细!E1079*出库明细!F1079)&gt;0.005,1,0),0)</f>
        <v>0</v>
      </c>
    </row>
    <row r="1080">
      <c r="A1080">
        <f>IF(OR(出库明细!C80="",出库明细!D80=""),"",IF(OR(COUNTIFS(存条明细!$C$4:$C$1003,出库明细!C80,存条明细!$D$4:$D$1003,出库明细!D80)&gt;0,COUNTIFS(出库明细!$C$4:C80,出库明细!C80,出库明细!$D$4:D80,出库明细!D80)&gt;1),"",IFERROR(MATCH(出库明细!C80,总览汇总!$B$5:$B$304,0),900)*10000000+IFERROR(MATCH(出库明细!D80,基础资料!$E$5:$E$104,0),900)*10000+ROW()))</f>
      </c>
      <c r="F1080">
        <f>IF(AND(出库明细!C1080&lt;&gt;"",出库明细!C1080=客户对账单!$B$4,ISNUMBER(出库明细!B1080),出库明细!B1080&gt;=客户对账单!$G$4,出库明细!B1080&lt;=客户对账单!$I$4),出库明细!B1080+ROW()/100000,"")</f>
      </c>
      <c r="H1080">
        <f>IF(AND(采购进货!C1080&lt;&gt;"",采购进货!C1080=供应商对账单!$B$4,ISNUMBER(采购进货!B1080),采购进货!B1080&gt;=供应商对账单!$G$4,采购进货!B1080&lt;=供应商对账单!$I$4),采购进货!B1080+ROW()/100000,"")</f>
      </c>
      <c r="N1080">
        <f>IF(AND(ISNUMBER(出库明细!G1080),ISNUMBER(出库明细!E1080),ISNUMBER(出库明细!F1080)),IF(ABS(出库明细!G1080-出库明细!E1080*出库明细!F1080)&gt;0.005,1,0),0)</f>
        <v>0</v>
      </c>
    </row>
    <row r="1081">
      <c r="A1081">
        <f>IF(OR(出库明细!C81="",出库明细!D81=""),"",IF(OR(COUNTIFS(存条明细!$C$4:$C$1003,出库明细!C81,存条明细!$D$4:$D$1003,出库明细!D81)&gt;0,COUNTIFS(出库明细!$C$4:C81,出库明细!C81,出库明细!$D$4:D81,出库明细!D81)&gt;1),"",IFERROR(MATCH(出库明细!C81,总览汇总!$B$5:$B$304,0),900)*10000000+IFERROR(MATCH(出库明细!D81,基础资料!$E$5:$E$104,0),900)*10000+ROW()))</f>
      </c>
      <c r="F1081">
        <f>IF(AND(出库明细!C1081&lt;&gt;"",出库明细!C1081=客户对账单!$B$4,ISNUMBER(出库明细!B1081),出库明细!B1081&gt;=客户对账单!$G$4,出库明细!B1081&lt;=客户对账单!$I$4),出库明细!B1081+ROW()/100000,"")</f>
      </c>
      <c r="H1081">
        <f>IF(AND(采购进货!C1081&lt;&gt;"",采购进货!C1081=供应商对账单!$B$4,ISNUMBER(采购进货!B1081),采购进货!B1081&gt;=供应商对账单!$G$4,采购进货!B1081&lt;=供应商对账单!$I$4),采购进货!B1081+ROW()/100000,"")</f>
      </c>
      <c r="N1081">
        <f>IF(AND(ISNUMBER(出库明细!G1081),ISNUMBER(出库明细!E1081),ISNUMBER(出库明细!F1081)),IF(ABS(出库明细!G1081-出库明细!E1081*出库明细!F1081)&gt;0.005,1,0),0)</f>
        <v>0</v>
      </c>
    </row>
    <row r="1082">
      <c r="A1082">
        <f>IF(OR(出库明细!C82="",出库明细!D82=""),"",IF(OR(COUNTIFS(存条明细!$C$4:$C$1003,出库明细!C82,存条明细!$D$4:$D$1003,出库明细!D82)&gt;0,COUNTIFS(出库明细!$C$4:C82,出库明细!C82,出库明细!$D$4:D82,出库明细!D82)&gt;1),"",IFERROR(MATCH(出库明细!C82,总览汇总!$B$5:$B$304,0),900)*10000000+IFERROR(MATCH(出库明细!D82,基础资料!$E$5:$E$104,0),900)*10000+ROW()))</f>
      </c>
      <c r="F1082">
        <f>IF(AND(出库明细!C1082&lt;&gt;"",出库明细!C1082=客户对账单!$B$4,ISNUMBER(出库明细!B1082),出库明细!B1082&gt;=客户对账单!$G$4,出库明细!B1082&lt;=客户对账单!$I$4),出库明细!B1082+ROW()/100000,"")</f>
      </c>
      <c r="H1082">
        <f>IF(AND(采购进货!C1082&lt;&gt;"",采购进货!C1082=供应商对账单!$B$4,ISNUMBER(采购进货!B1082),采购进货!B1082&gt;=供应商对账单!$G$4,采购进货!B1082&lt;=供应商对账单!$I$4),采购进货!B1082+ROW()/100000,"")</f>
      </c>
      <c r="N1082">
        <f>IF(AND(ISNUMBER(出库明细!G1082),ISNUMBER(出库明细!E1082),ISNUMBER(出库明细!F1082)),IF(ABS(出库明细!G1082-出库明细!E1082*出库明细!F1082)&gt;0.005,1,0),0)</f>
        <v>0</v>
      </c>
    </row>
    <row r="1083">
      <c r="A1083">
        <f>IF(OR(出库明细!C83="",出库明细!D83=""),"",IF(OR(COUNTIFS(存条明细!$C$4:$C$1003,出库明细!C83,存条明细!$D$4:$D$1003,出库明细!D83)&gt;0,COUNTIFS(出库明细!$C$4:C83,出库明细!C83,出库明细!$D$4:D83,出库明细!D83)&gt;1),"",IFERROR(MATCH(出库明细!C83,总览汇总!$B$5:$B$304,0),900)*10000000+IFERROR(MATCH(出库明细!D83,基础资料!$E$5:$E$104,0),900)*10000+ROW()))</f>
        <v>50011083</v>
      </c>
      <c r="F1083">
        <f>IF(AND(出库明细!C1083&lt;&gt;"",出库明细!C1083=客户对账单!$B$4,ISNUMBER(出库明细!B1083),出库明细!B1083&gt;=客户对账单!$G$4,出库明细!B1083&lt;=客户对账单!$I$4),出库明细!B1083+ROW()/100000,"")</f>
      </c>
      <c r="H1083">
        <f>IF(AND(采购进货!C1083&lt;&gt;"",采购进货!C1083=供应商对账单!$B$4,ISNUMBER(采购进货!B1083),采购进货!B1083&gt;=供应商对账单!$G$4,采购进货!B1083&lt;=供应商对账单!$I$4),采购进货!B1083+ROW()/100000,"")</f>
      </c>
      <c r="N1083">
        <f>IF(AND(ISNUMBER(出库明细!G1083),ISNUMBER(出库明细!E1083),ISNUMBER(出库明细!F1083)),IF(ABS(出库明细!G1083-出库明细!E1083*出库明细!F1083)&gt;0.005,1,0),0)</f>
        <v>0</v>
      </c>
    </row>
    <row r="1084">
      <c r="A1084">
        <f>IF(OR(出库明细!C84="",出库明细!D84=""),"",IF(OR(COUNTIFS(存条明细!$C$4:$C$1003,出库明细!C84,存条明细!$D$4:$D$1003,出库明细!D84)&gt;0,COUNTIFS(出库明细!$C$4:C84,出库明细!C84,出库明细!$D$4:D84,出库明细!D84)&gt;1),"",IFERROR(MATCH(出库明细!C84,总览汇总!$B$5:$B$304,0),900)*10000000+IFERROR(MATCH(出库明细!D84,基础资料!$E$5:$E$104,0),900)*10000+ROW()))</f>
      </c>
      <c r="F1084">
        <f>IF(AND(出库明细!C1084&lt;&gt;"",出库明细!C1084=客户对账单!$B$4,ISNUMBER(出库明细!B1084),出库明细!B1084&gt;=客户对账单!$G$4,出库明细!B1084&lt;=客户对账单!$I$4),出库明细!B1084+ROW()/100000,"")</f>
      </c>
      <c r="H1084">
        <f>IF(AND(采购进货!C1084&lt;&gt;"",采购进货!C1084=供应商对账单!$B$4,ISNUMBER(采购进货!B1084),采购进货!B1084&gt;=供应商对账单!$G$4,采购进货!B1084&lt;=供应商对账单!$I$4),采购进货!B1084+ROW()/100000,"")</f>
      </c>
      <c r="N1084">
        <f>IF(AND(ISNUMBER(出库明细!G1084),ISNUMBER(出库明细!E1084),ISNUMBER(出库明细!F1084)),IF(ABS(出库明细!G1084-出库明细!E1084*出库明细!F1084)&gt;0.005,1,0),0)</f>
        <v>0</v>
      </c>
    </row>
    <row r="1085">
      <c r="A1085">
        <f>IF(OR(出库明细!C85="",出库明细!D85=""),"",IF(OR(COUNTIFS(存条明细!$C$4:$C$1003,出库明细!C85,存条明细!$D$4:$D$1003,出库明细!D85)&gt;0,COUNTIFS(出库明细!$C$4:C85,出库明细!C85,出库明细!$D$4:D85,出库明细!D85)&gt;1),"",IFERROR(MATCH(出库明细!C85,总览汇总!$B$5:$B$304,0),900)*10000000+IFERROR(MATCH(出库明细!D85,基础资料!$E$5:$E$104,0),900)*10000+ROW()))</f>
        <v>130031085</v>
      </c>
      <c r="F1085">
        <f>IF(AND(出库明细!C1085&lt;&gt;"",出库明细!C1085=客户对账单!$B$4,ISNUMBER(出库明细!B1085),出库明细!B1085&gt;=客户对账单!$G$4,出库明细!B1085&lt;=客户对账单!$I$4),出库明细!B1085+ROW()/100000,"")</f>
      </c>
      <c r="H1085">
        <f>IF(AND(采购进货!C1085&lt;&gt;"",采购进货!C1085=供应商对账单!$B$4,ISNUMBER(采购进货!B1085),采购进货!B1085&gt;=供应商对账单!$G$4,采购进货!B1085&lt;=供应商对账单!$I$4),采购进货!B1085+ROW()/100000,"")</f>
      </c>
      <c r="N1085">
        <f>IF(AND(ISNUMBER(出库明细!G1085),ISNUMBER(出库明细!E1085),ISNUMBER(出库明细!F1085)),IF(ABS(出库明细!G1085-出库明细!E1085*出库明细!F1085)&gt;0.005,1,0),0)</f>
        <v>0</v>
      </c>
    </row>
    <row r="1086">
      <c r="A1086">
        <f>IF(OR(出库明细!C86="",出库明细!D86=""),"",IF(OR(COUNTIFS(存条明细!$C$4:$C$1003,出库明细!C86,存条明细!$D$4:$D$1003,出库明细!D86)&gt;0,COUNTIFS(出库明细!$C$4:C86,出库明细!C86,出库明细!$D$4:D86,出库明细!D86)&gt;1),"",IFERROR(MATCH(出库明细!C86,总览汇总!$B$5:$B$304,0),900)*10000000+IFERROR(MATCH(出库明细!D86,基础资料!$E$5:$E$104,0),900)*10000+ROW()))</f>
      </c>
      <c r="F1086">
        <f>IF(AND(出库明细!C1086&lt;&gt;"",出库明细!C1086=客户对账单!$B$4,ISNUMBER(出库明细!B1086),出库明细!B1086&gt;=客户对账单!$G$4,出库明细!B1086&lt;=客户对账单!$I$4),出库明细!B1086+ROW()/100000,"")</f>
      </c>
      <c r="H1086">
        <f>IF(AND(采购进货!C1086&lt;&gt;"",采购进货!C1086=供应商对账单!$B$4,ISNUMBER(采购进货!B1086),采购进货!B1086&gt;=供应商对账单!$G$4,采购进货!B1086&lt;=供应商对账单!$I$4),采购进货!B1086+ROW()/100000,"")</f>
      </c>
      <c r="N1086">
        <f>IF(AND(ISNUMBER(出库明细!G1086),ISNUMBER(出库明细!E1086),ISNUMBER(出库明细!F1086)),IF(ABS(出库明细!G1086-出库明细!E1086*出库明细!F1086)&gt;0.005,1,0),0)</f>
        <v>0</v>
      </c>
    </row>
    <row r="1087">
      <c r="A1087">
        <f>IF(OR(出库明细!C87="",出库明细!D87=""),"",IF(OR(COUNTIFS(存条明细!$C$4:$C$1003,出库明细!C87,存条明细!$D$4:$D$1003,出库明细!D87)&gt;0,COUNTIFS(出库明细!$C$4:C87,出库明细!C87,出库明细!$D$4:D87,出库明细!D87)&gt;1),"",IFERROR(MATCH(出库明细!C87,总览汇总!$B$5:$B$304,0),900)*10000000+IFERROR(MATCH(出库明细!D87,基础资料!$E$5:$E$104,0),900)*10000+ROW()))</f>
        <v>130021087</v>
      </c>
      <c r="F1087">
        <f>IF(AND(出库明细!C1087&lt;&gt;"",出库明细!C1087=客户对账单!$B$4,ISNUMBER(出库明细!B1087),出库明细!B1087&gt;=客户对账单!$G$4,出库明细!B1087&lt;=客户对账单!$I$4),出库明细!B1087+ROW()/100000,"")</f>
      </c>
      <c r="H1087">
        <f>IF(AND(采购进货!C1087&lt;&gt;"",采购进货!C1087=供应商对账单!$B$4,ISNUMBER(采购进货!B1087),采购进货!B1087&gt;=供应商对账单!$G$4,采购进货!B1087&lt;=供应商对账单!$I$4),采购进货!B1087+ROW()/100000,"")</f>
      </c>
      <c r="N1087">
        <f>IF(AND(ISNUMBER(出库明细!G1087),ISNUMBER(出库明细!E1087),ISNUMBER(出库明细!F1087)),IF(ABS(出库明细!G1087-出库明细!E1087*出库明细!F1087)&gt;0.005,1,0),0)</f>
        <v>0</v>
      </c>
    </row>
    <row r="1088">
      <c r="A1088">
        <f>IF(OR(出库明细!C88="",出库明细!D88=""),"",IF(OR(COUNTIFS(存条明细!$C$4:$C$1003,出库明细!C88,存条明细!$D$4:$D$1003,出库明细!D88)&gt;0,COUNTIFS(出库明细!$C$4:C88,出库明细!C88,出库明细!$D$4:D88,出库明细!D88)&gt;1),"",IFERROR(MATCH(出库明细!C88,总览汇总!$B$5:$B$304,0),900)*10000000+IFERROR(MATCH(出库明细!D88,基础资料!$E$5:$E$104,0),900)*10000+ROW()))</f>
      </c>
      <c r="F1088">
        <f>IF(AND(出库明细!C1088&lt;&gt;"",出库明细!C1088=客户对账单!$B$4,ISNUMBER(出库明细!B1088),出库明细!B1088&gt;=客户对账单!$G$4,出库明细!B1088&lt;=客户对账单!$I$4),出库明细!B1088+ROW()/100000,"")</f>
      </c>
      <c r="H1088">
        <f>IF(AND(采购进货!C1088&lt;&gt;"",采购进货!C1088=供应商对账单!$B$4,ISNUMBER(采购进货!B1088),采购进货!B1088&gt;=供应商对账单!$G$4,采购进货!B1088&lt;=供应商对账单!$I$4),采购进货!B1088+ROW()/100000,"")</f>
      </c>
      <c r="N1088">
        <f>IF(AND(ISNUMBER(出库明细!G1088),ISNUMBER(出库明细!E1088),ISNUMBER(出库明细!F1088)),IF(ABS(出库明细!G1088-出库明细!E1088*出库明细!F1088)&gt;0.005,1,0),0)</f>
        <v>0</v>
      </c>
    </row>
    <row r="1089">
      <c r="A1089">
        <f>IF(OR(出库明细!C89="",出库明细!D89=""),"",IF(OR(COUNTIFS(存条明细!$C$4:$C$1003,出库明细!C89,存条明细!$D$4:$D$1003,出库明细!D89)&gt;0,COUNTIFS(出库明细!$C$4:C89,出库明细!C89,出库明细!$D$4:D89,出库明细!D89)&gt;1),"",IFERROR(MATCH(出库明细!C89,总览汇总!$B$5:$B$304,0),900)*10000000+IFERROR(MATCH(出库明细!D89,基础资料!$E$5:$E$104,0),900)*10000+ROW()))</f>
      </c>
      <c r="F1089">
        <f>IF(AND(出库明细!C1089&lt;&gt;"",出库明细!C1089=客户对账单!$B$4,ISNUMBER(出库明细!B1089),出库明细!B1089&gt;=客户对账单!$G$4,出库明细!B1089&lt;=客户对账单!$I$4),出库明细!B1089+ROW()/100000,"")</f>
      </c>
      <c r="H1089">
        <f>IF(AND(采购进货!C1089&lt;&gt;"",采购进货!C1089=供应商对账单!$B$4,ISNUMBER(采购进货!B1089),采购进货!B1089&gt;=供应商对账单!$G$4,采购进货!B1089&lt;=供应商对账单!$I$4),采购进货!B1089+ROW()/100000,"")</f>
      </c>
      <c r="N1089">
        <f>IF(AND(ISNUMBER(出库明细!G1089),ISNUMBER(出库明细!E1089),ISNUMBER(出库明细!F1089)),IF(ABS(出库明细!G1089-出库明细!E1089*出库明细!F1089)&gt;0.005,1,0),0)</f>
        <v>0</v>
      </c>
    </row>
    <row r="1090">
      <c r="A1090">
        <f>IF(OR(出库明细!C90="",出库明细!D90=""),"",IF(OR(COUNTIFS(存条明细!$C$4:$C$1003,出库明细!C90,存条明细!$D$4:$D$1003,出库明细!D90)&gt;0,COUNTIFS(出库明细!$C$4:C90,出库明细!C90,出库明细!$D$4:D90,出库明细!D90)&gt;1),"",IFERROR(MATCH(出库明细!C90,总览汇总!$B$5:$B$304,0),900)*10000000+IFERROR(MATCH(出库明细!D90,基础资料!$E$5:$E$104,0),900)*10000+ROW()))</f>
      </c>
      <c r="F1090">
        <f>IF(AND(出库明细!C1090&lt;&gt;"",出库明细!C1090=客户对账单!$B$4,ISNUMBER(出库明细!B1090),出库明细!B1090&gt;=客户对账单!$G$4,出库明细!B1090&lt;=客户对账单!$I$4),出库明细!B1090+ROW()/100000,"")</f>
      </c>
      <c r="H1090">
        <f>IF(AND(采购进货!C1090&lt;&gt;"",采购进货!C1090=供应商对账单!$B$4,ISNUMBER(采购进货!B1090),采购进货!B1090&gt;=供应商对账单!$G$4,采购进货!B1090&lt;=供应商对账单!$I$4),采购进货!B1090+ROW()/100000,"")</f>
      </c>
      <c r="N1090">
        <f>IF(AND(ISNUMBER(出库明细!G1090),ISNUMBER(出库明细!E1090),ISNUMBER(出库明细!F1090)),IF(ABS(出库明细!G1090-出库明细!E1090*出库明细!F1090)&gt;0.005,1,0),0)</f>
        <v>0</v>
      </c>
    </row>
    <row r="1091">
      <c r="A1091">
        <f>IF(OR(出库明细!C91="",出库明细!D91=""),"",IF(OR(COUNTIFS(存条明细!$C$4:$C$1003,出库明细!C91,存条明细!$D$4:$D$1003,出库明细!D91)&gt;0,COUNTIFS(出库明细!$C$4:C91,出库明细!C91,出库明细!$D$4:D91,出库明细!D91)&gt;1),"",IFERROR(MATCH(出库明细!C91,总览汇总!$B$5:$B$304,0),900)*10000000+IFERROR(MATCH(出库明细!D91,基础资料!$E$5:$E$104,0),900)*10000+ROW()))</f>
      </c>
      <c r="F1091">
        <f>IF(AND(出库明细!C1091&lt;&gt;"",出库明细!C1091=客户对账单!$B$4,ISNUMBER(出库明细!B1091),出库明细!B1091&gt;=客户对账单!$G$4,出库明细!B1091&lt;=客户对账单!$I$4),出库明细!B1091+ROW()/100000,"")</f>
      </c>
      <c r="H1091">
        <f>IF(AND(采购进货!C1091&lt;&gt;"",采购进货!C1091=供应商对账单!$B$4,ISNUMBER(采购进货!B1091),采购进货!B1091&gt;=供应商对账单!$G$4,采购进货!B1091&lt;=供应商对账单!$I$4),采购进货!B1091+ROW()/100000,"")</f>
      </c>
      <c r="N1091">
        <f>IF(AND(ISNUMBER(出库明细!G1091),ISNUMBER(出库明细!E1091),ISNUMBER(出库明细!F1091)),IF(ABS(出库明细!G1091-出库明细!E1091*出库明细!F1091)&gt;0.005,1,0),0)</f>
        <v>0</v>
      </c>
    </row>
    <row r="1092">
      <c r="A1092">
        <f>IF(OR(出库明细!C92="",出库明细!D92=""),"",IF(OR(COUNTIFS(存条明细!$C$4:$C$1003,出库明细!C92,存条明细!$D$4:$D$1003,出库明细!D92)&gt;0,COUNTIFS(出库明细!$C$4:C92,出库明细!C92,出库明细!$D$4:D92,出库明细!D92)&gt;1),"",IFERROR(MATCH(出库明细!C92,总览汇总!$B$5:$B$304,0),900)*10000000+IFERROR(MATCH(出库明细!D92,基础资料!$E$5:$E$104,0),900)*10000+ROW()))</f>
        <v>480051092</v>
      </c>
      <c r="F1092">
        <f>IF(AND(出库明细!C1092&lt;&gt;"",出库明细!C1092=客户对账单!$B$4,ISNUMBER(出库明细!B1092),出库明细!B1092&gt;=客户对账单!$G$4,出库明细!B1092&lt;=客户对账单!$I$4),出库明细!B1092+ROW()/100000,"")</f>
      </c>
      <c r="H1092">
        <f>IF(AND(采购进货!C1092&lt;&gt;"",采购进货!C1092=供应商对账单!$B$4,ISNUMBER(采购进货!B1092),采购进货!B1092&gt;=供应商对账单!$G$4,采购进货!B1092&lt;=供应商对账单!$I$4),采购进货!B1092+ROW()/100000,"")</f>
      </c>
      <c r="N1092">
        <f>IF(AND(ISNUMBER(出库明细!G1092),ISNUMBER(出库明细!E1092),ISNUMBER(出库明细!F1092)),IF(ABS(出库明细!G1092-出库明细!E1092*出库明细!F1092)&gt;0.005,1,0),0)</f>
        <v>0</v>
      </c>
    </row>
    <row r="1093">
      <c r="A1093">
        <f>IF(OR(出库明细!C93="",出库明细!D93=""),"",IF(OR(COUNTIFS(存条明细!$C$4:$C$1003,出库明细!C93,存条明细!$D$4:$D$1003,出库明细!D93)&gt;0,COUNTIFS(出库明细!$C$4:C93,出库明细!C93,出库明细!$D$4:D93,出库明细!D93)&gt;1),"",IFERROR(MATCH(出库明细!C93,总览汇总!$B$5:$B$304,0),900)*10000000+IFERROR(MATCH(出库明细!D93,基础资料!$E$5:$E$104,0),900)*10000+ROW()))</f>
        <v>480191093</v>
      </c>
      <c r="F1093">
        <f>IF(AND(出库明细!C1093&lt;&gt;"",出库明细!C1093=客户对账单!$B$4,ISNUMBER(出库明细!B1093),出库明细!B1093&gt;=客户对账单!$G$4,出库明细!B1093&lt;=客户对账单!$I$4),出库明细!B1093+ROW()/100000,"")</f>
      </c>
      <c r="H1093">
        <f>IF(AND(采购进货!C1093&lt;&gt;"",采购进货!C1093=供应商对账单!$B$4,ISNUMBER(采购进货!B1093),采购进货!B1093&gt;=供应商对账单!$G$4,采购进货!B1093&lt;=供应商对账单!$I$4),采购进货!B1093+ROW()/100000,"")</f>
      </c>
      <c r="N1093">
        <f>IF(AND(ISNUMBER(出库明细!G1093),ISNUMBER(出库明细!E1093),ISNUMBER(出库明细!F1093)),IF(ABS(出库明细!G1093-出库明细!E1093*出库明细!F1093)&gt;0.005,1,0),0)</f>
        <v>0</v>
      </c>
    </row>
    <row r="1094">
      <c r="A1094">
        <f>IF(OR(出库明细!C94="",出库明细!D94=""),"",IF(OR(COUNTIFS(存条明细!$C$4:$C$1003,出库明细!C94,存条明细!$D$4:$D$1003,出库明细!D94)&gt;0,COUNTIFS(出库明细!$C$4:C94,出库明细!C94,出库明细!$D$4:D94,出库明细!D94)&gt;1),"",IFERROR(MATCH(出库明细!C94,总览汇总!$B$5:$B$304,0),900)*10000000+IFERROR(MATCH(出库明细!D94,基础资料!$E$5:$E$104,0),900)*10000+ROW()))</f>
        <v>480041094</v>
      </c>
      <c r="F1094">
        <f>IF(AND(出库明细!C1094&lt;&gt;"",出库明细!C1094=客户对账单!$B$4,ISNUMBER(出库明细!B1094),出库明细!B1094&gt;=客户对账单!$G$4,出库明细!B1094&lt;=客户对账单!$I$4),出库明细!B1094+ROW()/100000,"")</f>
      </c>
      <c r="H1094">
        <f>IF(AND(采购进货!C1094&lt;&gt;"",采购进货!C1094=供应商对账单!$B$4,ISNUMBER(采购进货!B1094),采购进货!B1094&gt;=供应商对账单!$G$4,采购进货!B1094&lt;=供应商对账单!$I$4),采购进货!B1094+ROW()/100000,"")</f>
      </c>
      <c r="N1094">
        <f>IF(AND(ISNUMBER(出库明细!G1094),ISNUMBER(出库明细!E1094),ISNUMBER(出库明细!F1094)),IF(ABS(出库明细!G1094-出库明细!E1094*出库明细!F1094)&gt;0.005,1,0),0)</f>
        <v>0</v>
      </c>
    </row>
    <row r="1095">
      <c r="A1095">
        <f>IF(OR(出库明细!C95="",出库明细!D95=""),"",IF(OR(COUNTIFS(存条明细!$C$4:$C$1003,出库明细!C95,存条明细!$D$4:$D$1003,出库明细!D95)&gt;0,COUNTIFS(出库明细!$C$4:C95,出库明细!C95,出库明细!$D$4:D95,出库明细!D95)&gt;1),"",IFERROR(MATCH(出库明细!C95,总览汇总!$B$5:$B$304,0),900)*10000000+IFERROR(MATCH(出库明细!D95,基础资料!$E$5:$E$104,0),900)*10000+ROW()))</f>
        <v>480031095</v>
      </c>
      <c r="F1095">
        <f>IF(AND(出库明细!C1095&lt;&gt;"",出库明细!C1095=客户对账单!$B$4,ISNUMBER(出库明细!B1095),出库明细!B1095&gt;=客户对账单!$G$4,出库明细!B1095&lt;=客户对账单!$I$4),出库明细!B1095+ROW()/100000,"")</f>
      </c>
      <c r="H1095">
        <f>IF(AND(采购进货!C1095&lt;&gt;"",采购进货!C1095=供应商对账单!$B$4,ISNUMBER(采购进货!B1095),采购进货!B1095&gt;=供应商对账单!$G$4,采购进货!B1095&lt;=供应商对账单!$I$4),采购进货!B1095+ROW()/100000,"")</f>
      </c>
      <c r="N1095">
        <f>IF(AND(ISNUMBER(出库明细!G1095),ISNUMBER(出库明细!E1095),ISNUMBER(出库明细!F1095)),IF(ABS(出库明细!G1095-出库明细!E1095*出库明细!F1095)&gt;0.005,1,0),0)</f>
        <v>0</v>
      </c>
    </row>
    <row r="1096">
      <c r="A1096">
        <f>IF(OR(出库明细!C96="",出库明细!D96=""),"",IF(OR(COUNTIFS(存条明细!$C$4:$C$1003,出库明细!C96,存条明细!$D$4:$D$1003,出库明细!D96)&gt;0,COUNTIFS(出库明细!$C$4:C96,出库明细!C96,出库明细!$D$4:D96,出库明细!D96)&gt;1),"",IFERROR(MATCH(出库明细!C96,总览汇总!$B$5:$B$304,0),900)*10000000+IFERROR(MATCH(出库明细!D96,基础资料!$E$5:$E$104,0),900)*10000+ROW()))</f>
      </c>
      <c r="F1096">
        <f>IF(AND(出库明细!C1096&lt;&gt;"",出库明细!C1096=客户对账单!$B$4,ISNUMBER(出库明细!B1096),出库明细!B1096&gt;=客户对账单!$G$4,出库明细!B1096&lt;=客户对账单!$I$4),出库明细!B1096+ROW()/100000,"")</f>
      </c>
      <c r="H1096">
        <f>IF(AND(采购进货!C1096&lt;&gt;"",采购进货!C1096=供应商对账单!$B$4,ISNUMBER(采购进货!B1096),采购进货!B1096&gt;=供应商对账单!$G$4,采购进货!B1096&lt;=供应商对账单!$I$4),采购进货!B1096+ROW()/100000,"")</f>
      </c>
      <c r="N1096">
        <f>IF(AND(ISNUMBER(出库明细!G1096),ISNUMBER(出库明细!E1096),ISNUMBER(出库明细!F1096)),IF(ABS(出库明细!G1096-出库明细!E1096*出库明细!F1096)&gt;0.005,1,0),0)</f>
        <v>0</v>
      </c>
    </row>
    <row r="1097">
      <c r="A1097">
        <f>IF(OR(出库明细!C97="",出库明细!D97=""),"",IF(OR(COUNTIFS(存条明细!$C$4:$C$1003,出库明细!C97,存条明细!$D$4:$D$1003,出库明细!D97)&gt;0,COUNTIFS(出库明细!$C$4:C97,出库明细!C97,出库明细!$D$4:D97,出库明细!D97)&gt;1),"",IFERROR(MATCH(出库明细!C97,总览汇总!$B$5:$B$304,0),900)*10000000+IFERROR(MATCH(出库明细!D97,基础资料!$E$5:$E$104,0),900)*10000+ROW()))</f>
        <v>480061097</v>
      </c>
      <c r="F1097">
        <f>IF(AND(出库明细!C1097&lt;&gt;"",出库明细!C1097=客户对账单!$B$4,ISNUMBER(出库明细!B1097),出库明细!B1097&gt;=客户对账单!$G$4,出库明细!B1097&lt;=客户对账单!$I$4),出库明细!B1097+ROW()/100000,"")</f>
      </c>
      <c r="H1097">
        <f>IF(AND(采购进货!C1097&lt;&gt;"",采购进货!C1097=供应商对账单!$B$4,ISNUMBER(采购进货!B1097),采购进货!B1097&gt;=供应商对账单!$G$4,采购进货!B1097&lt;=供应商对账单!$I$4),采购进货!B1097+ROW()/100000,"")</f>
      </c>
      <c r="N1097">
        <f>IF(AND(ISNUMBER(出库明细!G1097),ISNUMBER(出库明细!E1097),ISNUMBER(出库明细!F1097)),IF(ABS(出库明细!G1097-出库明细!E1097*出库明细!F1097)&gt;0.005,1,0),0)</f>
        <v>0</v>
      </c>
    </row>
    <row r="1098">
      <c r="A1098">
        <f>IF(OR(出库明细!C98="",出库明细!D98=""),"",IF(OR(COUNTIFS(存条明细!$C$4:$C$1003,出库明细!C98,存条明细!$D$4:$D$1003,出库明细!D98)&gt;0,COUNTIFS(出库明细!$C$4:C98,出库明细!C98,出库明细!$D$4:D98,出库明细!D98)&gt;1),"",IFERROR(MATCH(出库明细!C98,总览汇总!$B$5:$B$304,0),900)*10000000+IFERROR(MATCH(出库明细!D98,基础资料!$E$5:$E$104,0),900)*10000+ROW()))</f>
      </c>
      <c r="F1098">
        <f>IF(AND(出库明细!C1098&lt;&gt;"",出库明细!C1098=客户对账单!$B$4,ISNUMBER(出库明细!B1098),出库明细!B1098&gt;=客户对账单!$G$4,出库明细!B1098&lt;=客户对账单!$I$4),出库明细!B1098+ROW()/100000,"")</f>
      </c>
      <c r="H1098">
        <f>IF(AND(采购进货!C1098&lt;&gt;"",采购进货!C1098=供应商对账单!$B$4,ISNUMBER(采购进货!B1098),采购进货!B1098&gt;=供应商对账单!$G$4,采购进货!B1098&lt;=供应商对账单!$I$4),采购进货!B1098+ROW()/100000,"")</f>
      </c>
      <c r="N1098">
        <f>IF(AND(ISNUMBER(出库明细!G1098),ISNUMBER(出库明细!E1098),ISNUMBER(出库明细!F1098)),IF(ABS(出库明细!G1098-出库明细!E1098*出库明细!F1098)&gt;0.005,1,0),0)</f>
        <v>0</v>
      </c>
    </row>
    <row r="1099">
      <c r="A1099">
        <f>IF(OR(出库明细!C99="",出库明细!D99=""),"",IF(OR(COUNTIFS(存条明细!$C$4:$C$1003,出库明细!C99,存条明细!$D$4:$D$1003,出库明细!D99)&gt;0,COUNTIFS(出库明细!$C$4:C99,出库明细!C99,出库明细!$D$4:D99,出库明细!D99)&gt;1),"",IFERROR(MATCH(出库明细!C99,总览汇总!$B$5:$B$304,0),900)*10000000+IFERROR(MATCH(出库明细!D99,基础资料!$E$5:$E$104,0),900)*10000+ROW()))</f>
        <v>100051099</v>
      </c>
      <c r="F1099">
        <f>IF(AND(出库明细!C1099&lt;&gt;"",出库明细!C1099=客户对账单!$B$4,ISNUMBER(出库明细!B1099),出库明细!B1099&gt;=客户对账单!$G$4,出库明细!B1099&lt;=客户对账单!$I$4),出库明细!B1099+ROW()/100000,"")</f>
      </c>
      <c r="H1099">
        <f>IF(AND(采购进货!C1099&lt;&gt;"",采购进货!C1099=供应商对账单!$B$4,ISNUMBER(采购进货!B1099),采购进货!B1099&gt;=供应商对账单!$G$4,采购进货!B1099&lt;=供应商对账单!$I$4),采购进货!B1099+ROW()/100000,"")</f>
      </c>
      <c r="N1099">
        <f>IF(AND(ISNUMBER(出库明细!G1099),ISNUMBER(出库明细!E1099),ISNUMBER(出库明细!F1099)),IF(ABS(出库明细!G1099-出库明细!E1099*出库明细!F1099)&gt;0.005,1,0),0)</f>
        <v>0</v>
      </c>
    </row>
    <row r="1100">
      <c r="A1100">
        <f>IF(OR(出库明细!C100="",出库明细!D100=""),"",IF(OR(COUNTIFS(存条明细!$C$4:$C$1003,出库明细!C100,存条明细!$D$4:$D$1003,出库明细!D100)&gt;0,COUNTIFS(出库明细!$C$4:C100,出库明细!C100,出库明细!$D$4:D100,出库明细!D100)&gt;1),"",IFERROR(MATCH(出库明细!C100,总览汇总!$B$5:$B$304,0),900)*10000000+IFERROR(MATCH(出库明细!D100,基础资料!$E$5:$E$104,0),900)*10000+ROW()))</f>
        <v>100031100</v>
      </c>
      <c r="F1100">
        <f>IF(AND(出库明细!C1100&lt;&gt;"",出库明细!C1100=客户对账单!$B$4,ISNUMBER(出库明细!B1100),出库明细!B1100&gt;=客户对账单!$G$4,出库明细!B1100&lt;=客户对账单!$I$4),出库明细!B1100+ROW()/100000,"")</f>
      </c>
      <c r="H1100">
        <f>IF(AND(采购进货!C1100&lt;&gt;"",采购进货!C1100=供应商对账单!$B$4,ISNUMBER(采购进货!B1100),采购进货!B1100&gt;=供应商对账单!$G$4,采购进货!B1100&lt;=供应商对账单!$I$4),采购进货!B1100+ROW()/100000,"")</f>
      </c>
      <c r="N1100">
        <f>IF(AND(ISNUMBER(出库明细!G1100),ISNUMBER(出库明细!E1100),ISNUMBER(出库明细!F1100)),IF(ABS(出库明细!G1100-出库明细!E1100*出库明细!F1100)&gt;0.005,1,0),0)</f>
        <v>0</v>
      </c>
    </row>
    <row r="1101">
      <c r="A1101">
        <f>IF(OR(出库明细!C101="",出库明细!D101=""),"",IF(OR(COUNTIFS(存条明细!$C$4:$C$1003,出库明细!C101,存条明细!$D$4:$D$1003,出库明细!D101)&gt;0,COUNTIFS(出库明细!$C$4:C101,出库明细!C101,出库明细!$D$4:D101,出库明细!D101)&gt;1),"",IFERROR(MATCH(出库明细!C101,总览汇总!$B$5:$B$304,0),900)*10000000+IFERROR(MATCH(出库明细!D101,基础资料!$E$5:$E$104,0),900)*10000+ROW()))</f>
      </c>
      <c r="F1101">
        <f>IF(AND(出库明细!C1101&lt;&gt;"",出库明细!C1101=客户对账单!$B$4,ISNUMBER(出库明细!B1101),出库明细!B1101&gt;=客户对账单!$G$4,出库明细!B1101&lt;=客户对账单!$I$4),出库明细!B1101+ROW()/100000,"")</f>
      </c>
      <c r="H1101">
        <f>IF(AND(采购进货!C1101&lt;&gt;"",采购进货!C1101=供应商对账单!$B$4,ISNUMBER(采购进货!B1101),采购进货!B1101&gt;=供应商对账单!$G$4,采购进货!B1101&lt;=供应商对账单!$I$4),采购进货!B1101+ROW()/100000,"")</f>
      </c>
      <c r="N1101">
        <f>IF(AND(ISNUMBER(出库明细!G1101),ISNUMBER(出库明细!E1101),ISNUMBER(出库明细!F1101)),IF(ABS(出库明细!G1101-出库明细!E1101*出库明细!F1101)&gt;0.005,1,0),0)</f>
        <v>0</v>
      </c>
    </row>
    <row r="1102">
      <c r="A1102">
        <f>IF(OR(出库明细!C102="",出库明细!D102=""),"",IF(OR(COUNTIFS(存条明细!$C$4:$C$1003,出库明细!C102,存条明细!$D$4:$D$1003,出库明细!D102)&gt;0,COUNTIFS(出库明细!$C$4:C102,出库明细!C102,出库明细!$D$4:D102,出库明细!D102)&gt;1),"",IFERROR(MATCH(出库明细!C102,总览汇总!$B$5:$B$304,0),900)*10000000+IFERROR(MATCH(出库明细!D102,基础资料!$E$5:$E$104,0),900)*10000+ROW()))</f>
      </c>
      <c r="F1102">
        <f>IF(AND(出库明细!C1102&lt;&gt;"",出库明细!C1102=客户对账单!$B$4,ISNUMBER(出库明细!B1102),出库明细!B1102&gt;=客户对账单!$G$4,出库明细!B1102&lt;=客户对账单!$I$4),出库明细!B1102+ROW()/100000,"")</f>
      </c>
      <c r="H1102">
        <f>IF(AND(采购进货!C1102&lt;&gt;"",采购进货!C1102=供应商对账单!$B$4,ISNUMBER(采购进货!B1102),采购进货!B1102&gt;=供应商对账单!$G$4,采购进货!B1102&lt;=供应商对账单!$I$4),采购进货!B1102+ROW()/100000,"")</f>
      </c>
      <c r="N1102">
        <f>IF(AND(ISNUMBER(出库明细!G1102),ISNUMBER(出库明细!E1102),ISNUMBER(出库明细!F1102)),IF(ABS(出库明细!G1102-出库明细!E1102*出库明细!F1102)&gt;0.005,1,0),0)</f>
        <v>0</v>
      </c>
    </row>
    <row r="1103">
      <c r="A1103">
        <f>IF(OR(出库明细!C103="",出库明细!D103=""),"",IF(OR(COUNTIFS(存条明细!$C$4:$C$1003,出库明细!C103,存条明细!$D$4:$D$1003,出库明细!D103)&gt;0,COUNTIFS(出库明细!$C$4:C103,出库明细!C103,出库明细!$D$4:D103,出库明细!D103)&gt;1),"",IFERROR(MATCH(出库明细!C103,总览汇总!$B$5:$B$304,0),900)*10000000+IFERROR(MATCH(出库明细!D103,基础资料!$E$5:$E$104,0),900)*10000+ROW()))</f>
      </c>
      <c r="F1103">
        <f>IF(AND(出库明细!C1103&lt;&gt;"",出库明细!C1103=客户对账单!$B$4,ISNUMBER(出库明细!B1103),出库明细!B1103&gt;=客户对账单!$G$4,出库明细!B1103&lt;=客户对账单!$I$4),出库明细!B1103+ROW()/100000,"")</f>
      </c>
      <c r="H1103">
        <f>IF(AND(采购进货!C1103&lt;&gt;"",采购进货!C1103=供应商对账单!$B$4,ISNUMBER(采购进货!B1103),采购进货!B1103&gt;=供应商对账单!$G$4,采购进货!B1103&lt;=供应商对账单!$I$4),采购进货!B1103+ROW()/100000,"")</f>
      </c>
      <c r="N1103">
        <f>IF(AND(ISNUMBER(出库明细!G1103),ISNUMBER(出库明细!E1103),ISNUMBER(出库明细!F1103)),IF(ABS(出库明细!G1103-出库明细!E1103*出库明细!F1103)&gt;0.005,1,0),0)</f>
        <v>0</v>
      </c>
    </row>
    <row r="1104">
      <c r="A1104">
        <f>IF(OR(出库明细!C104="",出库明细!D104=""),"",IF(OR(COUNTIFS(存条明细!$C$4:$C$1003,出库明细!C104,存条明细!$D$4:$D$1003,出库明细!D104)&gt;0,COUNTIFS(出库明细!$C$4:C104,出库明细!C104,出库明细!$D$4:D104,出库明细!D104)&gt;1),"",IFERROR(MATCH(出库明细!C104,总览汇总!$B$5:$B$304,0),900)*10000000+IFERROR(MATCH(出库明细!D104,基础资料!$E$5:$E$104,0),900)*10000+ROW()))</f>
      </c>
      <c r="F1104">
        <f>IF(AND(出库明细!C1104&lt;&gt;"",出库明细!C1104=客户对账单!$B$4,ISNUMBER(出库明细!B1104),出库明细!B1104&gt;=客户对账单!$G$4,出库明细!B1104&lt;=客户对账单!$I$4),出库明细!B1104+ROW()/100000,"")</f>
      </c>
      <c r="H1104">
        <f>IF(AND(采购进货!C1104&lt;&gt;"",采购进货!C1104=供应商对账单!$B$4,ISNUMBER(采购进货!B1104),采购进货!B1104&gt;=供应商对账单!$G$4,采购进货!B1104&lt;=供应商对账单!$I$4),采购进货!B1104+ROW()/100000,"")</f>
      </c>
      <c r="N1104">
        <f>IF(AND(ISNUMBER(出库明细!G1104),ISNUMBER(出库明细!E1104),ISNUMBER(出库明细!F1104)),IF(ABS(出库明细!G1104-出库明细!E1104*出库明细!F1104)&gt;0.005,1,0),0)</f>
        <v>0</v>
      </c>
    </row>
    <row r="1105">
      <c r="A1105">
        <f>IF(OR(出库明细!C105="",出库明细!D105=""),"",IF(OR(COUNTIFS(存条明细!$C$4:$C$1003,出库明细!C105,存条明细!$D$4:$D$1003,出库明细!D105)&gt;0,COUNTIFS(出库明细!$C$4:C105,出库明细!C105,出库明细!$D$4:D105,出库明细!D105)&gt;1),"",IFERROR(MATCH(出库明细!C105,总览汇总!$B$5:$B$304,0),900)*10000000+IFERROR(MATCH(出库明细!D105,基础资料!$E$5:$E$104,0),900)*10000+ROW()))</f>
      </c>
      <c r="F1105">
        <f>IF(AND(出库明细!C1105&lt;&gt;"",出库明细!C1105=客户对账单!$B$4,ISNUMBER(出库明细!B1105),出库明细!B1105&gt;=客户对账单!$G$4,出库明细!B1105&lt;=客户对账单!$I$4),出库明细!B1105+ROW()/100000,"")</f>
      </c>
      <c r="H1105">
        <f>IF(AND(采购进货!C1105&lt;&gt;"",采购进货!C1105=供应商对账单!$B$4,ISNUMBER(采购进货!B1105),采购进货!B1105&gt;=供应商对账单!$G$4,采购进货!B1105&lt;=供应商对账单!$I$4),采购进货!B1105+ROW()/100000,"")</f>
      </c>
      <c r="N1105">
        <f>IF(AND(ISNUMBER(出库明细!G1105),ISNUMBER(出库明细!E1105),ISNUMBER(出库明细!F1105)),IF(ABS(出库明细!G1105-出库明细!E1105*出库明细!F1105)&gt;0.005,1,0),0)</f>
        <v>0</v>
      </c>
    </row>
    <row r="1106">
      <c r="A1106">
        <f>IF(OR(出库明细!C106="",出库明细!D106=""),"",IF(OR(COUNTIFS(存条明细!$C$4:$C$1003,出库明细!C106,存条明细!$D$4:$D$1003,出库明细!D106)&gt;0,COUNTIFS(出库明细!$C$4:C106,出库明细!C106,出库明细!$D$4:D106,出库明细!D106)&gt;1),"",IFERROR(MATCH(出库明细!C106,总览汇总!$B$5:$B$304,0),900)*10000000+IFERROR(MATCH(出库明细!D106,基础资料!$E$5:$E$104,0),900)*10000+ROW()))</f>
      </c>
      <c r="F1106">
        <f>IF(AND(出库明细!C1106&lt;&gt;"",出库明细!C1106=客户对账单!$B$4,ISNUMBER(出库明细!B1106),出库明细!B1106&gt;=客户对账单!$G$4,出库明细!B1106&lt;=客户对账单!$I$4),出库明细!B1106+ROW()/100000,"")</f>
      </c>
      <c r="H1106">
        <f>IF(AND(采购进货!C1106&lt;&gt;"",采购进货!C1106=供应商对账单!$B$4,ISNUMBER(采购进货!B1106),采购进货!B1106&gt;=供应商对账单!$G$4,采购进货!B1106&lt;=供应商对账单!$I$4),采购进货!B1106+ROW()/100000,"")</f>
      </c>
      <c r="N1106">
        <f>IF(AND(ISNUMBER(出库明细!G1106),ISNUMBER(出库明细!E1106),ISNUMBER(出库明细!F1106)),IF(ABS(出库明细!G1106-出库明细!E1106*出库明细!F1106)&gt;0.005,1,0),0)</f>
        <v>0</v>
      </c>
    </row>
    <row r="1107">
      <c r="A1107">
        <f>IF(OR(出库明细!C107="",出库明细!D107=""),"",IF(OR(COUNTIFS(存条明细!$C$4:$C$1003,出库明细!C107,存条明细!$D$4:$D$1003,出库明细!D107)&gt;0,COUNTIFS(出库明细!$C$4:C107,出库明细!C107,出库明细!$D$4:D107,出库明细!D107)&gt;1),"",IFERROR(MATCH(出库明细!C107,总览汇总!$B$5:$B$304,0),900)*10000000+IFERROR(MATCH(出库明细!D107,基础资料!$E$5:$E$104,0),900)*10000+ROW()))</f>
      </c>
      <c r="F1107">
        <f>IF(AND(出库明细!C1107&lt;&gt;"",出库明细!C1107=客户对账单!$B$4,ISNUMBER(出库明细!B1107),出库明细!B1107&gt;=客户对账单!$G$4,出库明细!B1107&lt;=客户对账单!$I$4),出库明细!B1107+ROW()/100000,"")</f>
      </c>
      <c r="H1107">
        <f>IF(AND(采购进货!C1107&lt;&gt;"",采购进货!C1107=供应商对账单!$B$4,ISNUMBER(采购进货!B1107),采购进货!B1107&gt;=供应商对账单!$G$4,采购进货!B1107&lt;=供应商对账单!$I$4),采购进货!B1107+ROW()/100000,"")</f>
      </c>
      <c r="N1107">
        <f>IF(AND(ISNUMBER(出库明细!G1107),ISNUMBER(出库明细!E1107),ISNUMBER(出库明细!F1107)),IF(ABS(出库明细!G1107-出库明细!E1107*出库明细!F1107)&gt;0.005,1,0),0)</f>
        <v>0</v>
      </c>
    </row>
    <row r="1108">
      <c r="A1108">
        <f>IF(OR(出库明细!C108="",出库明细!D108=""),"",IF(OR(COUNTIFS(存条明细!$C$4:$C$1003,出库明细!C108,存条明细!$D$4:$D$1003,出库明细!D108)&gt;0,COUNTIFS(出库明细!$C$4:C108,出库明细!C108,出库明细!$D$4:D108,出库明细!D108)&gt;1),"",IFERROR(MATCH(出库明细!C108,总览汇总!$B$5:$B$304,0),900)*10000000+IFERROR(MATCH(出库明细!D108,基础资料!$E$5:$E$104,0),900)*10000+ROW()))</f>
      </c>
      <c r="F1108">
        <f>IF(AND(出库明细!C1108&lt;&gt;"",出库明细!C1108=客户对账单!$B$4,ISNUMBER(出库明细!B1108),出库明细!B1108&gt;=客户对账单!$G$4,出库明细!B1108&lt;=客户对账单!$I$4),出库明细!B1108+ROW()/100000,"")</f>
      </c>
      <c r="H1108">
        <f>IF(AND(采购进货!C1108&lt;&gt;"",采购进货!C1108=供应商对账单!$B$4,ISNUMBER(采购进货!B1108),采购进货!B1108&gt;=供应商对账单!$G$4,采购进货!B1108&lt;=供应商对账单!$I$4),采购进货!B1108+ROW()/100000,"")</f>
      </c>
      <c r="N1108">
        <f>IF(AND(ISNUMBER(出库明细!G1108),ISNUMBER(出库明细!E1108),ISNUMBER(出库明细!F1108)),IF(ABS(出库明细!G1108-出库明细!E1108*出库明细!F1108)&gt;0.005,1,0),0)</f>
        <v>0</v>
      </c>
    </row>
    <row r="1109">
      <c r="A1109">
        <f>IF(OR(出库明细!C109="",出库明细!D109=""),"",IF(OR(COUNTIFS(存条明细!$C$4:$C$1003,出库明细!C109,存条明细!$D$4:$D$1003,出库明细!D109)&gt;0,COUNTIFS(出库明细!$C$4:C109,出库明细!C109,出库明细!$D$4:D109,出库明细!D109)&gt;1),"",IFERROR(MATCH(出库明细!C109,总览汇总!$B$5:$B$304,0),900)*10000000+IFERROR(MATCH(出库明细!D109,基础资料!$E$5:$E$104,0),900)*10000+ROW()))</f>
      </c>
      <c r="F1109">
        <f>IF(AND(出库明细!C1109&lt;&gt;"",出库明细!C1109=客户对账单!$B$4,ISNUMBER(出库明细!B1109),出库明细!B1109&gt;=客户对账单!$G$4,出库明细!B1109&lt;=客户对账单!$I$4),出库明细!B1109+ROW()/100000,"")</f>
      </c>
      <c r="H1109">
        <f>IF(AND(采购进货!C1109&lt;&gt;"",采购进货!C1109=供应商对账单!$B$4,ISNUMBER(采购进货!B1109),采购进货!B1109&gt;=供应商对账单!$G$4,采购进货!B1109&lt;=供应商对账单!$I$4),采购进货!B1109+ROW()/100000,"")</f>
      </c>
      <c r="N1109">
        <f>IF(AND(ISNUMBER(出库明细!G1109),ISNUMBER(出库明细!E1109),ISNUMBER(出库明细!F1109)),IF(ABS(出库明细!G1109-出库明细!E1109*出库明细!F1109)&gt;0.005,1,0),0)</f>
        <v>0</v>
      </c>
    </row>
    <row r="1110">
      <c r="A1110">
        <f>IF(OR(出库明细!C110="",出库明细!D110=""),"",IF(OR(COUNTIFS(存条明细!$C$4:$C$1003,出库明细!C110,存条明细!$D$4:$D$1003,出库明细!D110)&gt;0,COUNTIFS(出库明细!$C$4:C110,出库明细!C110,出库明细!$D$4:D110,出库明细!D110)&gt;1),"",IFERROR(MATCH(出库明细!C110,总览汇总!$B$5:$B$304,0),900)*10000000+IFERROR(MATCH(出库明细!D110,基础资料!$E$5:$E$104,0),900)*10000+ROW()))</f>
      </c>
      <c r="F1110">
        <f>IF(AND(出库明细!C1110&lt;&gt;"",出库明细!C1110=客户对账单!$B$4,ISNUMBER(出库明细!B1110),出库明细!B1110&gt;=客户对账单!$G$4,出库明细!B1110&lt;=客户对账单!$I$4),出库明细!B1110+ROW()/100000,"")</f>
      </c>
      <c r="H1110">
        <f>IF(AND(采购进货!C1110&lt;&gt;"",采购进货!C1110=供应商对账单!$B$4,ISNUMBER(采购进货!B1110),采购进货!B1110&gt;=供应商对账单!$G$4,采购进货!B1110&lt;=供应商对账单!$I$4),采购进货!B1110+ROW()/100000,"")</f>
      </c>
      <c r="N1110">
        <f>IF(AND(ISNUMBER(出库明细!G1110),ISNUMBER(出库明细!E1110),ISNUMBER(出库明细!F1110)),IF(ABS(出库明细!G1110-出库明细!E1110*出库明细!F1110)&gt;0.005,1,0),0)</f>
        <v>0</v>
      </c>
    </row>
    <row r="1111">
      <c r="A1111">
        <f>IF(OR(出库明细!C111="",出库明细!D111=""),"",IF(OR(COUNTIFS(存条明细!$C$4:$C$1003,出库明细!C111,存条明细!$D$4:$D$1003,出库明细!D111)&gt;0,COUNTIFS(出库明细!$C$4:C111,出库明细!C111,出库明细!$D$4:D111,出库明细!D111)&gt;1),"",IFERROR(MATCH(出库明细!C111,总览汇总!$B$5:$B$304,0),900)*10000000+IFERROR(MATCH(出库明细!D111,基础资料!$E$5:$E$104,0),900)*10000+ROW()))</f>
      </c>
      <c r="F1111">
        <f>IF(AND(出库明细!C1111&lt;&gt;"",出库明细!C1111=客户对账单!$B$4,ISNUMBER(出库明细!B1111),出库明细!B1111&gt;=客户对账单!$G$4,出库明细!B1111&lt;=客户对账单!$I$4),出库明细!B1111+ROW()/100000,"")</f>
      </c>
      <c r="H1111">
        <f>IF(AND(采购进货!C1111&lt;&gt;"",采购进货!C1111=供应商对账单!$B$4,ISNUMBER(采购进货!B1111),采购进货!B1111&gt;=供应商对账单!$G$4,采购进货!B1111&lt;=供应商对账单!$I$4),采购进货!B1111+ROW()/100000,"")</f>
      </c>
      <c r="N1111">
        <f>IF(AND(ISNUMBER(出库明细!G1111),ISNUMBER(出库明细!E1111),ISNUMBER(出库明细!F1111)),IF(ABS(出库明细!G1111-出库明细!E1111*出库明细!F1111)&gt;0.005,1,0),0)</f>
        <v>0</v>
      </c>
    </row>
    <row r="1112">
      <c r="A1112">
        <f>IF(OR(出库明细!C112="",出库明细!D112=""),"",IF(OR(COUNTIFS(存条明细!$C$4:$C$1003,出库明细!C112,存条明细!$D$4:$D$1003,出库明细!D112)&gt;0,COUNTIFS(出库明细!$C$4:C112,出库明细!C112,出库明细!$D$4:D112,出库明细!D112)&gt;1),"",IFERROR(MATCH(出库明细!C112,总览汇总!$B$5:$B$304,0),900)*10000000+IFERROR(MATCH(出库明细!D112,基础资料!$E$5:$E$104,0),900)*10000+ROW()))</f>
      </c>
      <c r="F1112">
        <f>IF(AND(出库明细!C1112&lt;&gt;"",出库明细!C1112=客户对账单!$B$4,ISNUMBER(出库明细!B1112),出库明细!B1112&gt;=客户对账单!$G$4,出库明细!B1112&lt;=客户对账单!$I$4),出库明细!B1112+ROW()/100000,"")</f>
      </c>
      <c r="H1112">
        <f>IF(AND(采购进货!C1112&lt;&gt;"",采购进货!C1112=供应商对账单!$B$4,ISNUMBER(采购进货!B1112),采购进货!B1112&gt;=供应商对账单!$G$4,采购进货!B1112&lt;=供应商对账单!$I$4),采购进货!B1112+ROW()/100000,"")</f>
      </c>
      <c r="N1112">
        <f>IF(AND(ISNUMBER(出库明细!G1112),ISNUMBER(出库明细!E1112),ISNUMBER(出库明细!F1112)),IF(ABS(出库明细!G1112-出库明细!E1112*出库明细!F1112)&gt;0.005,1,0),0)</f>
        <v>0</v>
      </c>
    </row>
    <row r="1113">
      <c r="A1113">
        <f>IF(OR(出库明细!C113="",出库明细!D113=""),"",IF(OR(COUNTIFS(存条明细!$C$4:$C$1003,出库明细!C113,存条明细!$D$4:$D$1003,出库明细!D113)&gt;0,COUNTIFS(出库明细!$C$4:C113,出库明细!C113,出库明细!$D$4:D113,出库明细!D113)&gt;1),"",IFERROR(MATCH(出库明细!C113,总览汇总!$B$5:$B$304,0),900)*10000000+IFERROR(MATCH(出库明细!D113,基础资料!$E$5:$E$104,0),900)*10000+ROW()))</f>
      </c>
      <c r="F1113">
        <f>IF(AND(出库明细!C1113&lt;&gt;"",出库明细!C1113=客户对账单!$B$4,ISNUMBER(出库明细!B1113),出库明细!B1113&gt;=客户对账单!$G$4,出库明细!B1113&lt;=客户对账单!$I$4),出库明细!B1113+ROW()/100000,"")</f>
      </c>
      <c r="H1113">
        <f>IF(AND(采购进货!C1113&lt;&gt;"",采购进货!C1113=供应商对账单!$B$4,ISNUMBER(采购进货!B1113),采购进货!B1113&gt;=供应商对账单!$G$4,采购进货!B1113&lt;=供应商对账单!$I$4),采购进货!B1113+ROW()/100000,"")</f>
      </c>
      <c r="N1113">
        <f>IF(AND(ISNUMBER(出库明细!G1113),ISNUMBER(出库明细!E1113),ISNUMBER(出库明细!F1113)),IF(ABS(出库明细!G1113-出库明细!E1113*出库明细!F1113)&gt;0.005,1,0),0)</f>
        <v>0</v>
      </c>
    </row>
    <row r="1114">
      <c r="A1114">
        <f>IF(OR(出库明细!C114="",出库明细!D114=""),"",IF(OR(COUNTIFS(存条明细!$C$4:$C$1003,出库明细!C114,存条明细!$D$4:$D$1003,出库明细!D114)&gt;0,COUNTIFS(出库明细!$C$4:C114,出库明细!C114,出库明细!$D$4:D114,出库明细!D114)&gt;1),"",IFERROR(MATCH(出库明细!C114,总览汇总!$B$5:$B$304,0),900)*10000000+IFERROR(MATCH(出库明细!D114,基础资料!$E$5:$E$104,0),900)*10000+ROW()))</f>
      </c>
      <c r="F1114">
        <f>IF(AND(出库明细!C1114&lt;&gt;"",出库明细!C1114=客户对账单!$B$4,ISNUMBER(出库明细!B1114),出库明细!B1114&gt;=客户对账单!$G$4,出库明细!B1114&lt;=客户对账单!$I$4),出库明细!B1114+ROW()/100000,"")</f>
      </c>
      <c r="H1114">
        <f>IF(AND(采购进货!C1114&lt;&gt;"",采购进货!C1114=供应商对账单!$B$4,ISNUMBER(采购进货!B1114),采购进货!B1114&gt;=供应商对账单!$G$4,采购进货!B1114&lt;=供应商对账单!$I$4),采购进货!B1114+ROW()/100000,"")</f>
      </c>
      <c r="N1114">
        <f>IF(AND(ISNUMBER(出库明细!G1114),ISNUMBER(出库明细!E1114),ISNUMBER(出库明细!F1114)),IF(ABS(出库明细!G1114-出库明细!E1114*出库明细!F1114)&gt;0.005,1,0),0)</f>
        <v>0</v>
      </c>
    </row>
    <row r="1115">
      <c r="A1115">
        <f>IF(OR(出库明细!C115="",出库明细!D115=""),"",IF(OR(COUNTIFS(存条明细!$C$4:$C$1003,出库明细!C115,存条明细!$D$4:$D$1003,出库明细!D115)&gt;0,COUNTIFS(出库明细!$C$4:C115,出库明细!C115,出库明细!$D$4:D115,出库明细!D115)&gt;1),"",IFERROR(MATCH(出库明细!C115,总览汇总!$B$5:$B$304,0),900)*10000000+IFERROR(MATCH(出库明细!D115,基础资料!$E$5:$E$104,0),900)*10000+ROW()))</f>
      </c>
      <c r="F1115">
        <f>IF(AND(出库明细!C1115&lt;&gt;"",出库明细!C1115=客户对账单!$B$4,ISNUMBER(出库明细!B1115),出库明细!B1115&gt;=客户对账单!$G$4,出库明细!B1115&lt;=客户对账单!$I$4),出库明细!B1115+ROW()/100000,"")</f>
      </c>
      <c r="H1115">
        <f>IF(AND(采购进货!C1115&lt;&gt;"",采购进货!C1115=供应商对账单!$B$4,ISNUMBER(采购进货!B1115),采购进货!B1115&gt;=供应商对账单!$G$4,采购进货!B1115&lt;=供应商对账单!$I$4),采购进货!B1115+ROW()/100000,"")</f>
      </c>
      <c r="N1115">
        <f>IF(AND(ISNUMBER(出库明细!G1115),ISNUMBER(出库明细!E1115),ISNUMBER(出库明细!F1115)),IF(ABS(出库明细!G1115-出库明细!E1115*出库明细!F1115)&gt;0.005,1,0),0)</f>
        <v>0</v>
      </c>
    </row>
    <row r="1116">
      <c r="A1116">
        <f>IF(OR(出库明细!C116="",出库明细!D116=""),"",IF(OR(COUNTIFS(存条明细!$C$4:$C$1003,出库明细!C116,存条明细!$D$4:$D$1003,出库明细!D116)&gt;0,COUNTIFS(出库明细!$C$4:C116,出库明细!C116,出库明细!$D$4:D116,出库明细!D116)&gt;1),"",IFERROR(MATCH(出库明细!C116,总览汇总!$B$5:$B$304,0),900)*10000000+IFERROR(MATCH(出库明细!D116,基础资料!$E$5:$E$104,0),900)*10000+ROW()))</f>
      </c>
      <c r="F1116">
        <f>IF(AND(出库明细!C1116&lt;&gt;"",出库明细!C1116=客户对账单!$B$4,ISNUMBER(出库明细!B1116),出库明细!B1116&gt;=客户对账单!$G$4,出库明细!B1116&lt;=客户对账单!$I$4),出库明细!B1116+ROW()/100000,"")</f>
      </c>
      <c r="H1116">
        <f>IF(AND(采购进货!C1116&lt;&gt;"",采购进货!C1116=供应商对账单!$B$4,ISNUMBER(采购进货!B1116),采购进货!B1116&gt;=供应商对账单!$G$4,采购进货!B1116&lt;=供应商对账单!$I$4),采购进货!B1116+ROW()/100000,"")</f>
      </c>
      <c r="N1116">
        <f>IF(AND(ISNUMBER(出库明细!G1116),ISNUMBER(出库明细!E1116),ISNUMBER(出库明细!F1116)),IF(ABS(出库明细!G1116-出库明细!E1116*出库明细!F1116)&gt;0.005,1,0),0)</f>
        <v>0</v>
      </c>
    </row>
    <row r="1117">
      <c r="A1117">
        <f>IF(OR(出库明细!C117="",出库明细!D117=""),"",IF(OR(COUNTIFS(存条明细!$C$4:$C$1003,出库明细!C117,存条明细!$D$4:$D$1003,出库明细!D117)&gt;0,COUNTIFS(出库明细!$C$4:C117,出库明细!C117,出库明细!$D$4:D117,出库明细!D117)&gt;1),"",IFERROR(MATCH(出库明细!C117,总览汇总!$B$5:$B$304,0),900)*10000000+IFERROR(MATCH(出库明细!D117,基础资料!$E$5:$E$104,0),900)*10000+ROW()))</f>
      </c>
      <c r="F1117">
        <f>IF(AND(出库明细!C1117&lt;&gt;"",出库明细!C1117=客户对账单!$B$4,ISNUMBER(出库明细!B1117),出库明细!B1117&gt;=客户对账单!$G$4,出库明细!B1117&lt;=客户对账单!$I$4),出库明细!B1117+ROW()/100000,"")</f>
      </c>
      <c r="H1117">
        <f>IF(AND(采购进货!C1117&lt;&gt;"",采购进货!C1117=供应商对账单!$B$4,ISNUMBER(采购进货!B1117),采购进货!B1117&gt;=供应商对账单!$G$4,采购进货!B1117&lt;=供应商对账单!$I$4),采购进货!B1117+ROW()/100000,"")</f>
      </c>
      <c r="N1117">
        <f>IF(AND(ISNUMBER(出库明细!G1117),ISNUMBER(出库明细!E1117),ISNUMBER(出库明细!F1117)),IF(ABS(出库明细!G1117-出库明细!E1117*出库明细!F1117)&gt;0.005,1,0),0)</f>
        <v>0</v>
      </c>
    </row>
    <row r="1118">
      <c r="A1118">
        <f>IF(OR(出库明细!C118="",出库明细!D118=""),"",IF(OR(COUNTIFS(存条明细!$C$4:$C$1003,出库明细!C118,存条明细!$D$4:$D$1003,出库明细!D118)&gt;0,COUNTIFS(出库明细!$C$4:C118,出库明细!C118,出库明细!$D$4:D118,出库明细!D118)&gt;1),"",IFERROR(MATCH(出库明细!C118,总览汇总!$B$5:$B$304,0),900)*10000000+IFERROR(MATCH(出库明细!D118,基础资料!$E$5:$E$104,0),900)*10000+ROW()))</f>
      </c>
      <c r="F1118">
        <f>IF(AND(出库明细!C1118&lt;&gt;"",出库明细!C1118=客户对账单!$B$4,ISNUMBER(出库明细!B1118),出库明细!B1118&gt;=客户对账单!$G$4,出库明细!B1118&lt;=客户对账单!$I$4),出库明细!B1118+ROW()/100000,"")</f>
      </c>
      <c r="H1118">
        <f>IF(AND(采购进货!C1118&lt;&gt;"",采购进货!C1118=供应商对账单!$B$4,ISNUMBER(采购进货!B1118),采购进货!B1118&gt;=供应商对账单!$G$4,采购进货!B1118&lt;=供应商对账单!$I$4),采购进货!B1118+ROW()/100000,"")</f>
      </c>
      <c r="N1118">
        <f>IF(AND(ISNUMBER(出库明细!G1118),ISNUMBER(出库明细!E1118),ISNUMBER(出库明细!F1118)),IF(ABS(出库明细!G1118-出库明细!E1118*出库明细!F1118)&gt;0.005,1,0),0)</f>
        <v>0</v>
      </c>
    </row>
    <row r="1119">
      <c r="A1119">
        <f>IF(OR(出库明细!C119="",出库明细!D119=""),"",IF(OR(COUNTIFS(存条明细!$C$4:$C$1003,出库明细!C119,存条明细!$D$4:$D$1003,出库明细!D119)&gt;0,COUNTIFS(出库明细!$C$4:C119,出库明细!C119,出库明细!$D$4:D119,出库明细!D119)&gt;1),"",IFERROR(MATCH(出库明细!C119,总览汇总!$B$5:$B$304,0),900)*10000000+IFERROR(MATCH(出库明细!D119,基础资料!$E$5:$E$104,0),900)*10000+ROW()))</f>
      </c>
      <c r="F1119">
        <f>IF(AND(出库明细!C1119&lt;&gt;"",出库明细!C1119=客户对账单!$B$4,ISNUMBER(出库明细!B1119),出库明细!B1119&gt;=客户对账单!$G$4,出库明细!B1119&lt;=客户对账单!$I$4),出库明细!B1119+ROW()/100000,"")</f>
      </c>
      <c r="H1119">
        <f>IF(AND(采购进货!C1119&lt;&gt;"",采购进货!C1119=供应商对账单!$B$4,ISNUMBER(采购进货!B1119),采购进货!B1119&gt;=供应商对账单!$G$4,采购进货!B1119&lt;=供应商对账单!$I$4),采购进货!B1119+ROW()/100000,"")</f>
      </c>
      <c r="N1119">
        <f>IF(AND(ISNUMBER(出库明细!G1119),ISNUMBER(出库明细!E1119),ISNUMBER(出库明细!F1119)),IF(ABS(出库明细!G1119-出库明细!E1119*出库明细!F1119)&gt;0.005,1,0),0)</f>
        <v>0</v>
      </c>
    </row>
    <row r="1120">
      <c r="A1120">
        <f>IF(OR(出库明细!C120="",出库明细!D120=""),"",IF(OR(COUNTIFS(存条明细!$C$4:$C$1003,出库明细!C120,存条明细!$D$4:$D$1003,出库明细!D120)&gt;0,COUNTIFS(出库明细!$C$4:C120,出库明细!C120,出库明细!$D$4:D120,出库明细!D120)&gt;1),"",IFERROR(MATCH(出库明细!C120,总览汇总!$B$5:$B$304,0),900)*10000000+IFERROR(MATCH(出库明细!D120,基础资料!$E$5:$E$104,0),900)*10000+ROW()))</f>
      </c>
      <c r="F1120">
        <f>IF(AND(出库明细!C1120&lt;&gt;"",出库明细!C1120=客户对账单!$B$4,ISNUMBER(出库明细!B1120),出库明细!B1120&gt;=客户对账单!$G$4,出库明细!B1120&lt;=客户对账单!$I$4),出库明细!B1120+ROW()/100000,"")</f>
      </c>
      <c r="H1120">
        <f>IF(AND(采购进货!C1120&lt;&gt;"",采购进货!C1120=供应商对账单!$B$4,ISNUMBER(采购进货!B1120),采购进货!B1120&gt;=供应商对账单!$G$4,采购进货!B1120&lt;=供应商对账单!$I$4),采购进货!B1120+ROW()/100000,"")</f>
      </c>
      <c r="N1120">
        <f>IF(AND(ISNUMBER(出库明细!G1120),ISNUMBER(出库明细!E1120),ISNUMBER(出库明细!F1120)),IF(ABS(出库明细!G1120-出库明细!E1120*出库明细!F1120)&gt;0.005,1,0),0)</f>
        <v>0</v>
      </c>
    </row>
    <row r="1121">
      <c r="A1121">
        <f>IF(OR(出库明细!C121="",出库明细!D121=""),"",IF(OR(COUNTIFS(存条明细!$C$4:$C$1003,出库明细!C121,存条明细!$D$4:$D$1003,出库明细!D121)&gt;0,COUNTIFS(出库明细!$C$4:C121,出库明细!C121,出库明细!$D$4:D121,出库明细!D121)&gt;1),"",IFERROR(MATCH(出库明细!C121,总览汇总!$B$5:$B$304,0),900)*10000000+IFERROR(MATCH(出库明细!D121,基础资料!$E$5:$E$104,0),900)*10000+ROW()))</f>
      </c>
      <c r="F1121">
        <f>IF(AND(出库明细!C1121&lt;&gt;"",出库明细!C1121=客户对账单!$B$4,ISNUMBER(出库明细!B1121),出库明细!B1121&gt;=客户对账单!$G$4,出库明细!B1121&lt;=客户对账单!$I$4),出库明细!B1121+ROW()/100000,"")</f>
      </c>
      <c r="H1121">
        <f>IF(AND(采购进货!C1121&lt;&gt;"",采购进货!C1121=供应商对账单!$B$4,ISNUMBER(采购进货!B1121),采购进货!B1121&gt;=供应商对账单!$G$4,采购进货!B1121&lt;=供应商对账单!$I$4),采购进货!B1121+ROW()/100000,"")</f>
      </c>
      <c r="N1121">
        <f>IF(AND(ISNUMBER(出库明细!G1121),ISNUMBER(出库明细!E1121),ISNUMBER(出库明细!F1121)),IF(ABS(出库明细!G1121-出库明细!E1121*出库明细!F1121)&gt;0.005,1,0),0)</f>
        <v>0</v>
      </c>
    </row>
    <row r="1122">
      <c r="A1122">
        <f>IF(OR(出库明细!C122="",出库明细!D122=""),"",IF(OR(COUNTIFS(存条明细!$C$4:$C$1003,出库明细!C122,存条明细!$D$4:$D$1003,出库明细!D122)&gt;0,COUNTIFS(出库明细!$C$4:C122,出库明细!C122,出库明细!$D$4:D122,出库明细!D122)&gt;1),"",IFERROR(MATCH(出库明细!C122,总览汇总!$B$5:$B$304,0),900)*10000000+IFERROR(MATCH(出库明细!D122,基础资料!$E$5:$E$104,0),900)*10000+ROW()))</f>
      </c>
      <c r="F1122">
        <f>IF(AND(出库明细!C1122&lt;&gt;"",出库明细!C1122=客户对账单!$B$4,ISNUMBER(出库明细!B1122),出库明细!B1122&gt;=客户对账单!$G$4,出库明细!B1122&lt;=客户对账单!$I$4),出库明细!B1122+ROW()/100000,"")</f>
      </c>
      <c r="H1122">
        <f>IF(AND(采购进货!C1122&lt;&gt;"",采购进货!C1122=供应商对账单!$B$4,ISNUMBER(采购进货!B1122),采购进货!B1122&gt;=供应商对账单!$G$4,采购进货!B1122&lt;=供应商对账单!$I$4),采购进货!B1122+ROW()/100000,"")</f>
      </c>
      <c r="N1122">
        <f>IF(AND(ISNUMBER(出库明细!G1122),ISNUMBER(出库明细!E1122),ISNUMBER(出库明细!F1122)),IF(ABS(出库明细!G1122-出库明细!E1122*出库明细!F1122)&gt;0.005,1,0),0)</f>
        <v>0</v>
      </c>
    </row>
    <row r="1123">
      <c r="A1123">
        <f>IF(OR(出库明细!C123="",出库明细!D123=""),"",IF(OR(COUNTIFS(存条明细!$C$4:$C$1003,出库明细!C123,存条明细!$D$4:$D$1003,出库明细!D123)&gt;0,COUNTIFS(出库明细!$C$4:C123,出库明细!C123,出库明细!$D$4:D123,出库明细!D123)&gt;1),"",IFERROR(MATCH(出库明细!C123,总览汇总!$B$5:$B$304,0),900)*10000000+IFERROR(MATCH(出库明细!D123,基础资料!$E$5:$E$104,0),900)*10000+ROW()))</f>
      </c>
      <c r="F1123">
        <f>IF(AND(出库明细!C1123&lt;&gt;"",出库明细!C1123=客户对账单!$B$4,ISNUMBER(出库明细!B1123),出库明细!B1123&gt;=客户对账单!$G$4,出库明细!B1123&lt;=客户对账单!$I$4),出库明细!B1123+ROW()/100000,"")</f>
      </c>
      <c r="H1123">
        <f>IF(AND(采购进货!C1123&lt;&gt;"",采购进货!C1123=供应商对账单!$B$4,ISNUMBER(采购进货!B1123),采购进货!B1123&gt;=供应商对账单!$G$4,采购进货!B1123&lt;=供应商对账单!$I$4),采购进货!B1123+ROW()/100000,"")</f>
      </c>
      <c r="N1123">
        <f>IF(AND(ISNUMBER(出库明细!G1123),ISNUMBER(出库明细!E1123),ISNUMBER(出库明细!F1123)),IF(ABS(出库明细!G1123-出库明细!E1123*出库明细!F1123)&gt;0.005,1,0),0)</f>
        <v>0</v>
      </c>
    </row>
    <row r="1124">
      <c r="A1124">
        <f>IF(OR(出库明细!C124="",出库明细!D124=""),"",IF(OR(COUNTIFS(存条明细!$C$4:$C$1003,出库明细!C124,存条明细!$D$4:$D$1003,出库明细!D124)&gt;0,COUNTIFS(出库明细!$C$4:C124,出库明细!C124,出库明细!$D$4:D124,出库明细!D124)&gt;1),"",IFERROR(MATCH(出库明细!C124,总览汇总!$B$5:$B$304,0),900)*10000000+IFERROR(MATCH(出库明细!D124,基础资料!$E$5:$E$104,0),900)*10000+ROW()))</f>
      </c>
      <c r="F1124">
        <f>IF(AND(出库明细!C1124&lt;&gt;"",出库明细!C1124=客户对账单!$B$4,ISNUMBER(出库明细!B1124),出库明细!B1124&gt;=客户对账单!$G$4,出库明细!B1124&lt;=客户对账单!$I$4),出库明细!B1124+ROW()/100000,"")</f>
      </c>
      <c r="H1124">
        <f>IF(AND(采购进货!C1124&lt;&gt;"",采购进货!C1124=供应商对账单!$B$4,ISNUMBER(采购进货!B1124),采购进货!B1124&gt;=供应商对账单!$G$4,采购进货!B1124&lt;=供应商对账单!$I$4),采购进货!B1124+ROW()/100000,"")</f>
      </c>
      <c r="N1124">
        <f>IF(AND(ISNUMBER(出库明细!G1124),ISNUMBER(出库明细!E1124),ISNUMBER(出库明细!F1124)),IF(ABS(出库明细!G1124-出库明细!E1124*出库明细!F1124)&gt;0.005,1,0),0)</f>
        <v>0</v>
      </c>
    </row>
    <row r="1125">
      <c r="A1125">
        <f>IF(OR(出库明细!C125="",出库明细!D125=""),"",IF(OR(COUNTIFS(存条明细!$C$4:$C$1003,出库明细!C125,存条明细!$D$4:$D$1003,出库明细!D125)&gt;0,COUNTIFS(出库明细!$C$4:C125,出库明细!C125,出库明细!$D$4:D125,出库明细!D125)&gt;1),"",IFERROR(MATCH(出库明细!C125,总览汇总!$B$5:$B$304,0),900)*10000000+IFERROR(MATCH(出库明细!D125,基础资料!$E$5:$E$104,0),900)*10000+ROW()))</f>
      </c>
      <c r="F1125">
        <f>IF(AND(出库明细!C1125&lt;&gt;"",出库明细!C1125=客户对账单!$B$4,ISNUMBER(出库明细!B1125),出库明细!B1125&gt;=客户对账单!$G$4,出库明细!B1125&lt;=客户对账单!$I$4),出库明细!B1125+ROW()/100000,"")</f>
      </c>
      <c r="H1125">
        <f>IF(AND(采购进货!C1125&lt;&gt;"",采购进货!C1125=供应商对账单!$B$4,ISNUMBER(采购进货!B1125),采购进货!B1125&gt;=供应商对账单!$G$4,采购进货!B1125&lt;=供应商对账单!$I$4),采购进货!B1125+ROW()/100000,"")</f>
      </c>
      <c r="N1125">
        <f>IF(AND(ISNUMBER(出库明细!G1125),ISNUMBER(出库明细!E1125),ISNUMBER(出库明细!F1125)),IF(ABS(出库明细!G1125-出库明细!E1125*出库明细!F1125)&gt;0.005,1,0),0)</f>
        <v>0</v>
      </c>
    </row>
    <row r="1126">
      <c r="A1126">
        <f>IF(OR(出库明细!C126="",出库明细!D126=""),"",IF(OR(COUNTIFS(存条明细!$C$4:$C$1003,出库明细!C126,存条明细!$D$4:$D$1003,出库明细!D126)&gt;0,COUNTIFS(出库明细!$C$4:C126,出库明细!C126,出库明细!$D$4:D126,出库明细!D126)&gt;1),"",IFERROR(MATCH(出库明细!C126,总览汇总!$B$5:$B$304,0),900)*10000000+IFERROR(MATCH(出库明细!D126,基础资料!$E$5:$E$104,0),900)*10000+ROW()))</f>
      </c>
      <c r="F1126">
        <f>IF(AND(出库明细!C1126&lt;&gt;"",出库明细!C1126=客户对账单!$B$4,ISNUMBER(出库明细!B1126),出库明细!B1126&gt;=客户对账单!$G$4,出库明细!B1126&lt;=客户对账单!$I$4),出库明细!B1126+ROW()/100000,"")</f>
      </c>
      <c r="H1126">
        <f>IF(AND(采购进货!C1126&lt;&gt;"",采购进货!C1126=供应商对账单!$B$4,ISNUMBER(采购进货!B1126),采购进货!B1126&gt;=供应商对账单!$G$4,采购进货!B1126&lt;=供应商对账单!$I$4),采购进货!B1126+ROW()/100000,"")</f>
      </c>
      <c r="N1126">
        <f>IF(AND(ISNUMBER(出库明细!G1126),ISNUMBER(出库明细!E1126),ISNUMBER(出库明细!F1126)),IF(ABS(出库明细!G1126-出库明细!E1126*出库明细!F1126)&gt;0.005,1,0),0)</f>
        <v>0</v>
      </c>
    </row>
    <row r="1127">
      <c r="A1127">
        <f>IF(OR(出库明细!C127="",出库明细!D127=""),"",IF(OR(COUNTIFS(存条明细!$C$4:$C$1003,出库明细!C127,存条明细!$D$4:$D$1003,出库明细!D127)&gt;0,COUNTIFS(出库明细!$C$4:C127,出库明细!C127,出库明细!$D$4:D127,出库明细!D127)&gt;1),"",IFERROR(MATCH(出库明细!C127,总览汇总!$B$5:$B$304,0),900)*10000000+IFERROR(MATCH(出库明细!D127,基础资料!$E$5:$E$104,0),900)*10000+ROW()))</f>
      </c>
      <c r="F1127">
        <f>IF(AND(出库明细!C1127&lt;&gt;"",出库明细!C1127=客户对账单!$B$4,ISNUMBER(出库明细!B1127),出库明细!B1127&gt;=客户对账单!$G$4,出库明细!B1127&lt;=客户对账单!$I$4),出库明细!B1127+ROW()/100000,"")</f>
      </c>
      <c r="H1127">
        <f>IF(AND(采购进货!C1127&lt;&gt;"",采购进货!C1127=供应商对账单!$B$4,ISNUMBER(采购进货!B1127),采购进货!B1127&gt;=供应商对账单!$G$4,采购进货!B1127&lt;=供应商对账单!$I$4),采购进货!B1127+ROW()/100000,"")</f>
      </c>
      <c r="N1127">
        <f>IF(AND(ISNUMBER(出库明细!G1127),ISNUMBER(出库明细!E1127),ISNUMBER(出库明细!F1127)),IF(ABS(出库明细!G1127-出库明细!E1127*出库明细!F1127)&gt;0.005,1,0),0)</f>
        <v>0</v>
      </c>
    </row>
    <row r="1128">
      <c r="A1128">
        <f>IF(OR(出库明细!C128="",出库明细!D128=""),"",IF(OR(COUNTIFS(存条明细!$C$4:$C$1003,出库明细!C128,存条明细!$D$4:$D$1003,出库明细!D128)&gt;0,COUNTIFS(出库明细!$C$4:C128,出库明细!C128,出库明细!$D$4:D128,出库明细!D128)&gt;1),"",IFERROR(MATCH(出库明细!C128,总览汇总!$B$5:$B$304,0),900)*10000000+IFERROR(MATCH(出库明细!D128,基础资料!$E$5:$E$104,0),900)*10000+ROW()))</f>
      </c>
      <c r="F1128">
        <f>IF(AND(出库明细!C1128&lt;&gt;"",出库明细!C1128=客户对账单!$B$4,ISNUMBER(出库明细!B1128),出库明细!B1128&gt;=客户对账单!$G$4,出库明细!B1128&lt;=客户对账单!$I$4),出库明细!B1128+ROW()/100000,"")</f>
      </c>
      <c r="H1128">
        <f>IF(AND(采购进货!C1128&lt;&gt;"",采购进货!C1128=供应商对账单!$B$4,ISNUMBER(采购进货!B1128),采购进货!B1128&gt;=供应商对账单!$G$4,采购进货!B1128&lt;=供应商对账单!$I$4),采购进货!B1128+ROW()/100000,"")</f>
      </c>
      <c r="N1128">
        <f>IF(AND(ISNUMBER(出库明细!G1128),ISNUMBER(出库明细!E1128),ISNUMBER(出库明细!F1128)),IF(ABS(出库明细!G1128-出库明细!E1128*出库明细!F1128)&gt;0.005,1,0),0)</f>
        <v>0</v>
      </c>
    </row>
    <row r="1129">
      <c r="A1129">
        <f>IF(OR(出库明细!C129="",出库明细!D129=""),"",IF(OR(COUNTIFS(存条明细!$C$4:$C$1003,出库明细!C129,存条明细!$D$4:$D$1003,出库明细!D129)&gt;0,COUNTIFS(出库明细!$C$4:C129,出库明细!C129,出库明细!$D$4:D129,出库明细!D129)&gt;1),"",IFERROR(MATCH(出库明细!C129,总览汇总!$B$5:$B$304,0),900)*10000000+IFERROR(MATCH(出库明细!D129,基础资料!$E$5:$E$104,0),900)*10000+ROW()))</f>
      </c>
      <c r="F1129">
        <f>IF(AND(出库明细!C1129&lt;&gt;"",出库明细!C1129=客户对账单!$B$4,ISNUMBER(出库明细!B1129),出库明细!B1129&gt;=客户对账单!$G$4,出库明细!B1129&lt;=客户对账单!$I$4),出库明细!B1129+ROW()/100000,"")</f>
      </c>
      <c r="H1129">
        <f>IF(AND(采购进货!C1129&lt;&gt;"",采购进货!C1129=供应商对账单!$B$4,ISNUMBER(采购进货!B1129),采购进货!B1129&gt;=供应商对账单!$G$4,采购进货!B1129&lt;=供应商对账单!$I$4),采购进货!B1129+ROW()/100000,"")</f>
      </c>
      <c r="N1129">
        <f>IF(AND(ISNUMBER(出库明细!G1129),ISNUMBER(出库明细!E1129),ISNUMBER(出库明细!F1129)),IF(ABS(出库明细!G1129-出库明细!E1129*出库明细!F1129)&gt;0.005,1,0),0)</f>
        <v>0</v>
      </c>
    </row>
    <row r="1130">
      <c r="A1130">
        <f>IF(OR(出库明细!C130="",出库明细!D130=""),"",IF(OR(COUNTIFS(存条明细!$C$4:$C$1003,出库明细!C130,存条明细!$D$4:$D$1003,出库明细!D130)&gt;0,COUNTIFS(出库明细!$C$4:C130,出库明细!C130,出库明细!$D$4:D130,出库明细!D130)&gt;1),"",IFERROR(MATCH(出库明细!C130,总览汇总!$B$5:$B$304,0),900)*10000000+IFERROR(MATCH(出库明细!D130,基础资料!$E$5:$E$104,0),900)*10000+ROW()))</f>
      </c>
      <c r="F1130">
        <f>IF(AND(出库明细!C1130&lt;&gt;"",出库明细!C1130=客户对账单!$B$4,ISNUMBER(出库明细!B1130),出库明细!B1130&gt;=客户对账单!$G$4,出库明细!B1130&lt;=客户对账单!$I$4),出库明细!B1130+ROW()/100000,"")</f>
      </c>
      <c r="H1130">
        <f>IF(AND(采购进货!C1130&lt;&gt;"",采购进货!C1130=供应商对账单!$B$4,ISNUMBER(采购进货!B1130),采购进货!B1130&gt;=供应商对账单!$G$4,采购进货!B1130&lt;=供应商对账单!$I$4),采购进货!B1130+ROW()/100000,"")</f>
      </c>
      <c r="N1130">
        <f>IF(AND(ISNUMBER(出库明细!G1130),ISNUMBER(出库明细!E1130),ISNUMBER(出库明细!F1130)),IF(ABS(出库明细!G1130-出库明细!E1130*出库明细!F1130)&gt;0.005,1,0),0)</f>
        <v>0</v>
      </c>
    </row>
    <row r="1131">
      <c r="A1131">
        <f>IF(OR(出库明细!C131="",出库明细!D131=""),"",IF(OR(COUNTIFS(存条明细!$C$4:$C$1003,出库明细!C131,存条明细!$D$4:$D$1003,出库明细!D131)&gt;0,COUNTIFS(出库明细!$C$4:C131,出库明细!C131,出库明细!$D$4:D131,出库明细!D131)&gt;1),"",IFERROR(MATCH(出库明细!C131,总览汇总!$B$5:$B$304,0),900)*10000000+IFERROR(MATCH(出库明细!D131,基础资料!$E$5:$E$104,0),900)*10000+ROW()))</f>
      </c>
      <c r="F1131">
        <f>IF(AND(出库明细!C1131&lt;&gt;"",出库明细!C1131=客户对账单!$B$4,ISNUMBER(出库明细!B1131),出库明细!B1131&gt;=客户对账单!$G$4,出库明细!B1131&lt;=客户对账单!$I$4),出库明细!B1131+ROW()/100000,"")</f>
      </c>
      <c r="H1131">
        <f>IF(AND(采购进货!C1131&lt;&gt;"",采购进货!C1131=供应商对账单!$B$4,ISNUMBER(采购进货!B1131),采购进货!B1131&gt;=供应商对账单!$G$4,采购进货!B1131&lt;=供应商对账单!$I$4),采购进货!B1131+ROW()/100000,"")</f>
      </c>
      <c r="N1131">
        <f>IF(AND(ISNUMBER(出库明细!G1131),ISNUMBER(出库明细!E1131),ISNUMBER(出库明细!F1131)),IF(ABS(出库明细!G1131-出库明细!E1131*出库明细!F1131)&gt;0.005,1,0),0)</f>
        <v>0</v>
      </c>
    </row>
    <row r="1132">
      <c r="A1132">
        <f>IF(OR(出库明细!C132="",出库明细!D132=""),"",IF(OR(COUNTIFS(存条明细!$C$4:$C$1003,出库明细!C132,存条明细!$D$4:$D$1003,出库明细!D132)&gt;0,COUNTIFS(出库明细!$C$4:C132,出库明细!C132,出库明细!$D$4:D132,出库明细!D132)&gt;1),"",IFERROR(MATCH(出库明细!C132,总览汇总!$B$5:$B$304,0),900)*10000000+IFERROR(MATCH(出库明细!D132,基础资料!$E$5:$E$104,0),900)*10000+ROW()))</f>
      </c>
      <c r="F1132">
        <f>IF(AND(出库明细!C1132&lt;&gt;"",出库明细!C1132=客户对账单!$B$4,ISNUMBER(出库明细!B1132),出库明细!B1132&gt;=客户对账单!$G$4,出库明细!B1132&lt;=客户对账单!$I$4),出库明细!B1132+ROW()/100000,"")</f>
      </c>
      <c r="H1132">
        <f>IF(AND(采购进货!C1132&lt;&gt;"",采购进货!C1132=供应商对账单!$B$4,ISNUMBER(采购进货!B1132),采购进货!B1132&gt;=供应商对账单!$G$4,采购进货!B1132&lt;=供应商对账单!$I$4),采购进货!B1132+ROW()/100000,"")</f>
      </c>
      <c r="N1132">
        <f>IF(AND(ISNUMBER(出库明细!G1132),ISNUMBER(出库明细!E1132),ISNUMBER(出库明细!F1132)),IF(ABS(出库明细!G1132-出库明细!E1132*出库明细!F1132)&gt;0.005,1,0),0)</f>
        <v>0</v>
      </c>
    </row>
    <row r="1133">
      <c r="A1133">
        <f>IF(OR(出库明细!C133="",出库明细!D133=""),"",IF(OR(COUNTIFS(存条明细!$C$4:$C$1003,出库明细!C133,存条明细!$D$4:$D$1003,出库明细!D133)&gt;0,COUNTIFS(出库明细!$C$4:C133,出库明细!C133,出库明细!$D$4:D133,出库明细!D133)&gt;1),"",IFERROR(MATCH(出库明细!C133,总览汇总!$B$5:$B$304,0),900)*10000000+IFERROR(MATCH(出库明细!D133,基础资料!$E$5:$E$104,0),900)*10000+ROW()))</f>
      </c>
      <c r="F1133">
        <f>IF(AND(出库明细!C1133&lt;&gt;"",出库明细!C1133=客户对账单!$B$4,ISNUMBER(出库明细!B1133),出库明细!B1133&gt;=客户对账单!$G$4,出库明细!B1133&lt;=客户对账单!$I$4),出库明细!B1133+ROW()/100000,"")</f>
      </c>
      <c r="H1133">
        <f>IF(AND(采购进货!C1133&lt;&gt;"",采购进货!C1133=供应商对账单!$B$4,ISNUMBER(采购进货!B1133),采购进货!B1133&gt;=供应商对账单!$G$4,采购进货!B1133&lt;=供应商对账单!$I$4),采购进货!B1133+ROW()/100000,"")</f>
      </c>
      <c r="N1133">
        <f>IF(AND(ISNUMBER(出库明细!G1133),ISNUMBER(出库明细!E1133),ISNUMBER(出库明细!F1133)),IF(ABS(出库明细!G1133-出库明细!E1133*出库明细!F1133)&gt;0.005,1,0),0)</f>
        <v>0</v>
      </c>
    </row>
    <row r="1134">
      <c r="A1134">
        <f>IF(OR(出库明细!C134="",出库明细!D134=""),"",IF(OR(COUNTIFS(存条明细!$C$4:$C$1003,出库明细!C134,存条明细!$D$4:$D$1003,出库明细!D134)&gt;0,COUNTIFS(出库明细!$C$4:C134,出库明细!C134,出库明细!$D$4:D134,出库明细!D134)&gt;1),"",IFERROR(MATCH(出库明细!C134,总览汇总!$B$5:$B$304,0),900)*10000000+IFERROR(MATCH(出库明细!D134,基础资料!$E$5:$E$104,0),900)*10000+ROW()))</f>
      </c>
      <c r="F1134">
        <f>IF(AND(出库明细!C1134&lt;&gt;"",出库明细!C1134=客户对账单!$B$4,ISNUMBER(出库明细!B1134),出库明细!B1134&gt;=客户对账单!$G$4,出库明细!B1134&lt;=客户对账单!$I$4),出库明细!B1134+ROW()/100000,"")</f>
      </c>
      <c r="H1134">
        <f>IF(AND(采购进货!C1134&lt;&gt;"",采购进货!C1134=供应商对账单!$B$4,ISNUMBER(采购进货!B1134),采购进货!B1134&gt;=供应商对账单!$G$4,采购进货!B1134&lt;=供应商对账单!$I$4),采购进货!B1134+ROW()/100000,"")</f>
      </c>
      <c r="N1134">
        <f>IF(AND(ISNUMBER(出库明细!G1134),ISNUMBER(出库明细!E1134),ISNUMBER(出库明细!F1134)),IF(ABS(出库明细!G1134-出库明细!E1134*出库明细!F1134)&gt;0.005,1,0),0)</f>
        <v>0</v>
      </c>
    </row>
    <row r="1135">
      <c r="A1135">
        <f>IF(OR(出库明细!C135="",出库明细!D135=""),"",IF(OR(COUNTIFS(存条明细!$C$4:$C$1003,出库明细!C135,存条明细!$D$4:$D$1003,出库明细!D135)&gt;0,COUNTIFS(出库明细!$C$4:C135,出库明细!C135,出库明细!$D$4:D135,出库明细!D135)&gt;1),"",IFERROR(MATCH(出库明细!C135,总览汇总!$B$5:$B$304,0),900)*10000000+IFERROR(MATCH(出库明细!D135,基础资料!$E$5:$E$104,0),900)*10000+ROW()))</f>
      </c>
      <c r="F1135">
        <f>IF(AND(出库明细!C1135&lt;&gt;"",出库明细!C1135=客户对账单!$B$4,ISNUMBER(出库明细!B1135),出库明细!B1135&gt;=客户对账单!$G$4,出库明细!B1135&lt;=客户对账单!$I$4),出库明细!B1135+ROW()/100000,"")</f>
      </c>
      <c r="H1135">
        <f>IF(AND(采购进货!C1135&lt;&gt;"",采购进货!C1135=供应商对账单!$B$4,ISNUMBER(采购进货!B1135),采购进货!B1135&gt;=供应商对账单!$G$4,采购进货!B1135&lt;=供应商对账单!$I$4),采购进货!B1135+ROW()/100000,"")</f>
      </c>
      <c r="N1135">
        <f>IF(AND(ISNUMBER(出库明细!G1135),ISNUMBER(出库明细!E1135),ISNUMBER(出库明细!F1135)),IF(ABS(出库明细!G1135-出库明细!E1135*出库明细!F1135)&gt;0.005,1,0),0)</f>
        <v>0</v>
      </c>
    </row>
    <row r="1136">
      <c r="A1136">
        <f>IF(OR(出库明细!C136="",出库明细!D136=""),"",IF(OR(COUNTIFS(存条明细!$C$4:$C$1003,出库明细!C136,存条明细!$D$4:$D$1003,出库明细!D136)&gt;0,COUNTIFS(出库明细!$C$4:C136,出库明细!C136,出库明细!$D$4:D136,出库明细!D136)&gt;1),"",IFERROR(MATCH(出库明细!C136,总览汇总!$B$5:$B$304,0),900)*10000000+IFERROR(MATCH(出库明细!D136,基础资料!$E$5:$E$104,0),900)*10000+ROW()))</f>
      </c>
      <c r="F1136">
        <f>IF(AND(出库明细!C1136&lt;&gt;"",出库明细!C1136=客户对账单!$B$4,ISNUMBER(出库明细!B1136),出库明细!B1136&gt;=客户对账单!$G$4,出库明细!B1136&lt;=客户对账单!$I$4),出库明细!B1136+ROW()/100000,"")</f>
      </c>
      <c r="H1136">
        <f>IF(AND(采购进货!C1136&lt;&gt;"",采购进货!C1136=供应商对账单!$B$4,ISNUMBER(采购进货!B1136),采购进货!B1136&gt;=供应商对账单!$G$4,采购进货!B1136&lt;=供应商对账单!$I$4),采购进货!B1136+ROW()/100000,"")</f>
      </c>
      <c r="N1136">
        <f>IF(AND(ISNUMBER(出库明细!G1136),ISNUMBER(出库明细!E1136),ISNUMBER(出库明细!F1136)),IF(ABS(出库明细!G1136-出库明细!E1136*出库明细!F1136)&gt;0.005,1,0),0)</f>
        <v>0</v>
      </c>
    </row>
    <row r="1137">
      <c r="A1137">
        <f>IF(OR(出库明细!C137="",出库明细!D137=""),"",IF(OR(COUNTIFS(存条明细!$C$4:$C$1003,出库明细!C137,存条明细!$D$4:$D$1003,出库明细!D137)&gt;0,COUNTIFS(出库明细!$C$4:C137,出库明细!C137,出库明细!$D$4:D137,出库明细!D137)&gt;1),"",IFERROR(MATCH(出库明细!C137,总览汇总!$B$5:$B$304,0),900)*10000000+IFERROR(MATCH(出库明细!D137,基础资料!$E$5:$E$104,0),900)*10000+ROW()))</f>
      </c>
      <c r="F1137">
        <f>IF(AND(出库明细!C1137&lt;&gt;"",出库明细!C1137=客户对账单!$B$4,ISNUMBER(出库明细!B1137),出库明细!B1137&gt;=客户对账单!$G$4,出库明细!B1137&lt;=客户对账单!$I$4),出库明细!B1137+ROW()/100000,"")</f>
      </c>
      <c r="H1137">
        <f>IF(AND(采购进货!C1137&lt;&gt;"",采购进货!C1137=供应商对账单!$B$4,ISNUMBER(采购进货!B1137),采购进货!B1137&gt;=供应商对账单!$G$4,采购进货!B1137&lt;=供应商对账单!$I$4),采购进货!B1137+ROW()/100000,"")</f>
      </c>
      <c r="N1137">
        <f>IF(AND(ISNUMBER(出库明细!G1137),ISNUMBER(出库明细!E1137),ISNUMBER(出库明细!F1137)),IF(ABS(出库明细!G1137-出库明细!E1137*出库明细!F1137)&gt;0.005,1,0),0)</f>
        <v>0</v>
      </c>
    </row>
    <row r="1138">
      <c r="A1138">
        <f>IF(OR(出库明细!C138="",出库明细!D138=""),"",IF(OR(COUNTIFS(存条明细!$C$4:$C$1003,出库明细!C138,存条明细!$D$4:$D$1003,出库明细!D138)&gt;0,COUNTIFS(出库明细!$C$4:C138,出库明细!C138,出库明细!$D$4:D138,出库明细!D138)&gt;1),"",IFERROR(MATCH(出库明细!C138,总览汇总!$B$5:$B$304,0),900)*10000000+IFERROR(MATCH(出库明细!D138,基础资料!$E$5:$E$104,0),900)*10000+ROW()))</f>
      </c>
      <c r="F1138">
        <f>IF(AND(出库明细!C1138&lt;&gt;"",出库明细!C1138=客户对账单!$B$4,ISNUMBER(出库明细!B1138),出库明细!B1138&gt;=客户对账单!$G$4,出库明细!B1138&lt;=客户对账单!$I$4),出库明细!B1138+ROW()/100000,"")</f>
      </c>
      <c r="H1138">
        <f>IF(AND(采购进货!C1138&lt;&gt;"",采购进货!C1138=供应商对账单!$B$4,ISNUMBER(采购进货!B1138),采购进货!B1138&gt;=供应商对账单!$G$4,采购进货!B1138&lt;=供应商对账单!$I$4),采购进货!B1138+ROW()/100000,"")</f>
      </c>
      <c r="N1138">
        <f>IF(AND(ISNUMBER(出库明细!G1138),ISNUMBER(出库明细!E1138),ISNUMBER(出库明细!F1138)),IF(ABS(出库明细!G1138-出库明细!E1138*出库明细!F1138)&gt;0.005,1,0),0)</f>
        <v>0</v>
      </c>
    </row>
    <row r="1139">
      <c r="A1139">
        <f>IF(OR(出库明细!C139="",出库明细!D139=""),"",IF(OR(COUNTIFS(存条明细!$C$4:$C$1003,出库明细!C139,存条明细!$D$4:$D$1003,出库明细!D139)&gt;0,COUNTIFS(出库明细!$C$4:C139,出库明细!C139,出库明细!$D$4:D139,出库明细!D139)&gt;1),"",IFERROR(MATCH(出库明细!C139,总览汇总!$B$5:$B$304,0),900)*10000000+IFERROR(MATCH(出库明细!D139,基础资料!$E$5:$E$104,0),900)*10000+ROW()))</f>
      </c>
      <c r="F1139">
        <f>IF(AND(出库明细!C1139&lt;&gt;"",出库明细!C1139=客户对账单!$B$4,ISNUMBER(出库明细!B1139),出库明细!B1139&gt;=客户对账单!$G$4,出库明细!B1139&lt;=客户对账单!$I$4),出库明细!B1139+ROW()/100000,"")</f>
      </c>
      <c r="H1139">
        <f>IF(AND(采购进货!C1139&lt;&gt;"",采购进货!C1139=供应商对账单!$B$4,ISNUMBER(采购进货!B1139),采购进货!B1139&gt;=供应商对账单!$G$4,采购进货!B1139&lt;=供应商对账单!$I$4),采购进货!B1139+ROW()/100000,"")</f>
      </c>
      <c r="N1139">
        <f>IF(AND(ISNUMBER(出库明细!G1139),ISNUMBER(出库明细!E1139),ISNUMBER(出库明细!F1139)),IF(ABS(出库明细!G1139-出库明细!E1139*出库明细!F1139)&gt;0.005,1,0),0)</f>
        <v>0</v>
      </c>
    </row>
    <row r="1140">
      <c r="A1140">
        <f>IF(OR(出库明细!C140="",出库明细!D140=""),"",IF(OR(COUNTIFS(存条明细!$C$4:$C$1003,出库明细!C140,存条明细!$D$4:$D$1003,出库明细!D140)&gt;0,COUNTIFS(出库明细!$C$4:C140,出库明细!C140,出库明细!$D$4:D140,出库明细!D140)&gt;1),"",IFERROR(MATCH(出库明细!C140,总览汇总!$B$5:$B$304,0),900)*10000000+IFERROR(MATCH(出库明细!D140,基础资料!$E$5:$E$104,0),900)*10000+ROW()))</f>
      </c>
      <c r="F1140">
        <f>IF(AND(出库明细!C1140&lt;&gt;"",出库明细!C1140=客户对账单!$B$4,ISNUMBER(出库明细!B1140),出库明细!B1140&gt;=客户对账单!$G$4,出库明细!B1140&lt;=客户对账单!$I$4),出库明细!B1140+ROW()/100000,"")</f>
      </c>
      <c r="H1140">
        <f>IF(AND(采购进货!C1140&lt;&gt;"",采购进货!C1140=供应商对账单!$B$4,ISNUMBER(采购进货!B1140),采购进货!B1140&gt;=供应商对账单!$G$4,采购进货!B1140&lt;=供应商对账单!$I$4),采购进货!B1140+ROW()/100000,"")</f>
      </c>
      <c r="N1140">
        <f>IF(AND(ISNUMBER(出库明细!G1140),ISNUMBER(出库明细!E1140),ISNUMBER(出库明细!F1140)),IF(ABS(出库明细!G1140-出库明细!E1140*出库明细!F1140)&gt;0.005,1,0),0)</f>
        <v>0</v>
      </c>
    </row>
    <row r="1141">
      <c r="A1141">
        <f>IF(OR(出库明细!C141="",出库明细!D141=""),"",IF(OR(COUNTIFS(存条明细!$C$4:$C$1003,出库明细!C141,存条明细!$D$4:$D$1003,出库明细!D141)&gt;0,COUNTIFS(出库明细!$C$4:C141,出库明细!C141,出库明细!$D$4:D141,出库明细!D141)&gt;1),"",IFERROR(MATCH(出库明细!C141,总览汇总!$B$5:$B$304,0),900)*10000000+IFERROR(MATCH(出库明细!D141,基础资料!$E$5:$E$104,0),900)*10000+ROW()))</f>
      </c>
      <c r="F1141">
        <f>IF(AND(出库明细!C1141&lt;&gt;"",出库明细!C1141=客户对账单!$B$4,ISNUMBER(出库明细!B1141),出库明细!B1141&gt;=客户对账单!$G$4,出库明细!B1141&lt;=客户对账单!$I$4),出库明细!B1141+ROW()/100000,"")</f>
      </c>
      <c r="H1141">
        <f>IF(AND(采购进货!C1141&lt;&gt;"",采购进货!C1141=供应商对账单!$B$4,ISNUMBER(采购进货!B1141),采购进货!B1141&gt;=供应商对账单!$G$4,采购进货!B1141&lt;=供应商对账单!$I$4),采购进货!B1141+ROW()/100000,"")</f>
      </c>
      <c r="N1141">
        <f>IF(AND(ISNUMBER(出库明细!G1141),ISNUMBER(出库明细!E1141),ISNUMBER(出库明细!F1141)),IF(ABS(出库明细!G1141-出库明细!E1141*出库明细!F1141)&gt;0.005,1,0),0)</f>
        <v>0</v>
      </c>
    </row>
    <row r="1142">
      <c r="A1142">
        <f>IF(OR(出库明细!C142="",出库明细!D142=""),"",IF(OR(COUNTIFS(存条明细!$C$4:$C$1003,出库明细!C142,存条明细!$D$4:$D$1003,出库明细!D142)&gt;0,COUNTIFS(出库明细!$C$4:C142,出库明细!C142,出库明细!$D$4:D142,出库明细!D142)&gt;1),"",IFERROR(MATCH(出库明细!C142,总览汇总!$B$5:$B$304,0),900)*10000000+IFERROR(MATCH(出库明细!D142,基础资料!$E$5:$E$104,0),900)*10000+ROW()))</f>
      </c>
      <c r="F1142">
        <f>IF(AND(出库明细!C1142&lt;&gt;"",出库明细!C1142=客户对账单!$B$4,ISNUMBER(出库明细!B1142),出库明细!B1142&gt;=客户对账单!$G$4,出库明细!B1142&lt;=客户对账单!$I$4),出库明细!B1142+ROW()/100000,"")</f>
      </c>
      <c r="H1142">
        <f>IF(AND(采购进货!C1142&lt;&gt;"",采购进货!C1142=供应商对账单!$B$4,ISNUMBER(采购进货!B1142),采购进货!B1142&gt;=供应商对账单!$G$4,采购进货!B1142&lt;=供应商对账单!$I$4),采购进货!B1142+ROW()/100000,"")</f>
      </c>
      <c r="N1142">
        <f>IF(AND(ISNUMBER(出库明细!G1142),ISNUMBER(出库明细!E1142),ISNUMBER(出库明细!F1142)),IF(ABS(出库明细!G1142-出库明细!E1142*出库明细!F1142)&gt;0.005,1,0),0)</f>
        <v>0</v>
      </c>
    </row>
    <row r="1143">
      <c r="A1143">
        <f>IF(OR(出库明细!C143="",出库明细!D143=""),"",IF(OR(COUNTIFS(存条明细!$C$4:$C$1003,出库明细!C143,存条明细!$D$4:$D$1003,出库明细!D143)&gt;0,COUNTIFS(出库明细!$C$4:C143,出库明细!C143,出库明细!$D$4:D143,出库明细!D143)&gt;1),"",IFERROR(MATCH(出库明细!C143,总览汇总!$B$5:$B$304,0),900)*10000000+IFERROR(MATCH(出库明细!D143,基础资料!$E$5:$E$104,0),900)*10000+ROW()))</f>
      </c>
      <c r="F1143">
        <f>IF(AND(出库明细!C1143&lt;&gt;"",出库明细!C1143=客户对账单!$B$4,ISNUMBER(出库明细!B1143),出库明细!B1143&gt;=客户对账单!$G$4,出库明细!B1143&lt;=客户对账单!$I$4),出库明细!B1143+ROW()/100000,"")</f>
      </c>
      <c r="H1143">
        <f>IF(AND(采购进货!C1143&lt;&gt;"",采购进货!C1143=供应商对账单!$B$4,ISNUMBER(采购进货!B1143),采购进货!B1143&gt;=供应商对账单!$G$4,采购进货!B1143&lt;=供应商对账单!$I$4),采购进货!B1143+ROW()/100000,"")</f>
      </c>
      <c r="N1143">
        <f>IF(AND(ISNUMBER(出库明细!G1143),ISNUMBER(出库明细!E1143),ISNUMBER(出库明细!F1143)),IF(ABS(出库明细!G1143-出库明细!E1143*出库明细!F1143)&gt;0.005,1,0),0)</f>
        <v>0</v>
      </c>
    </row>
    <row r="1144">
      <c r="A1144">
        <f>IF(OR(出库明细!C144="",出库明细!D144=""),"",IF(OR(COUNTIFS(存条明细!$C$4:$C$1003,出库明细!C144,存条明细!$D$4:$D$1003,出库明细!D144)&gt;0,COUNTIFS(出库明细!$C$4:C144,出库明细!C144,出库明细!$D$4:D144,出库明细!D144)&gt;1),"",IFERROR(MATCH(出库明细!C144,总览汇总!$B$5:$B$304,0),900)*10000000+IFERROR(MATCH(出库明细!D144,基础资料!$E$5:$E$104,0),900)*10000+ROW()))</f>
      </c>
      <c r="F1144">
        <f>IF(AND(出库明细!C1144&lt;&gt;"",出库明细!C1144=客户对账单!$B$4,ISNUMBER(出库明细!B1144),出库明细!B1144&gt;=客户对账单!$G$4,出库明细!B1144&lt;=客户对账单!$I$4),出库明细!B1144+ROW()/100000,"")</f>
      </c>
      <c r="H1144">
        <f>IF(AND(采购进货!C1144&lt;&gt;"",采购进货!C1144=供应商对账单!$B$4,ISNUMBER(采购进货!B1144),采购进货!B1144&gt;=供应商对账单!$G$4,采购进货!B1144&lt;=供应商对账单!$I$4),采购进货!B1144+ROW()/100000,"")</f>
      </c>
      <c r="N1144">
        <f>IF(AND(ISNUMBER(出库明细!G1144),ISNUMBER(出库明细!E1144),ISNUMBER(出库明细!F1144)),IF(ABS(出库明细!G1144-出库明细!E1144*出库明细!F1144)&gt;0.005,1,0),0)</f>
        <v>0</v>
      </c>
    </row>
    <row r="1145">
      <c r="A1145">
        <f>IF(OR(出库明细!C145="",出库明细!D145=""),"",IF(OR(COUNTIFS(存条明细!$C$4:$C$1003,出库明细!C145,存条明细!$D$4:$D$1003,出库明细!D145)&gt;0,COUNTIFS(出库明细!$C$4:C145,出库明细!C145,出库明细!$D$4:D145,出库明细!D145)&gt;1),"",IFERROR(MATCH(出库明细!C145,总览汇总!$B$5:$B$304,0),900)*10000000+IFERROR(MATCH(出库明细!D145,基础资料!$E$5:$E$104,0),900)*10000+ROW()))</f>
      </c>
      <c r="F1145">
        <f>IF(AND(出库明细!C1145&lt;&gt;"",出库明细!C1145=客户对账单!$B$4,ISNUMBER(出库明细!B1145),出库明细!B1145&gt;=客户对账单!$G$4,出库明细!B1145&lt;=客户对账单!$I$4),出库明细!B1145+ROW()/100000,"")</f>
      </c>
      <c r="H1145">
        <f>IF(AND(采购进货!C1145&lt;&gt;"",采购进货!C1145=供应商对账单!$B$4,ISNUMBER(采购进货!B1145),采购进货!B1145&gt;=供应商对账单!$G$4,采购进货!B1145&lt;=供应商对账单!$I$4),采购进货!B1145+ROW()/100000,"")</f>
      </c>
      <c r="N1145">
        <f>IF(AND(ISNUMBER(出库明细!G1145),ISNUMBER(出库明细!E1145),ISNUMBER(出库明细!F1145)),IF(ABS(出库明细!G1145-出库明细!E1145*出库明细!F1145)&gt;0.005,1,0),0)</f>
        <v>0</v>
      </c>
    </row>
    <row r="1146">
      <c r="A1146">
        <f>IF(OR(出库明细!C146="",出库明细!D146=""),"",IF(OR(COUNTIFS(存条明细!$C$4:$C$1003,出库明细!C146,存条明细!$D$4:$D$1003,出库明细!D146)&gt;0,COUNTIFS(出库明细!$C$4:C146,出库明细!C146,出库明细!$D$4:D146,出库明细!D146)&gt;1),"",IFERROR(MATCH(出库明细!C146,总览汇总!$B$5:$B$304,0),900)*10000000+IFERROR(MATCH(出库明细!D146,基础资料!$E$5:$E$104,0),900)*10000+ROW()))</f>
      </c>
      <c r="F1146">
        <f>IF(AND(出库明细!C1146&lt;&gt;"",出库明细!C1146=客户对账单!$B$4,ISNUMBER(出库明细!B1146),出库明细!B1146&gt;=客户对账单!$G$4,出库明细!B1146&lt;=客户对账单!$I$4),出库明细!B1146+ROW()/100000,"")</f>
      </c>
      <c r="H1146">
        <f>IF(AND(采购进货!C1146&lt;&gt;"",采购进货!C1146=供应商对账单!$B$4,ISNUMBER(采购进货!B1146),采购进货!B1146&gt;=供应商对账单!$G$4,采购进货!B1146&lt;=供应商对账单!$I$4),采购进货!B1146+ROW()/100000,"")</f>
      </c>
      <c r="N1146">
        <f>IF(AND(ISNUMBER(出库明细!G1146),ISNUMBER(出库明细!E1146),ISNUMBER(出库明细!F1146)),IF(ABS(出库明细!G1146-出库明细!E1146*出库明细!F1146)&gt;0.005,1,0),0)</f>
        <v>0</v>
      </c>
    </row>
    <row r="1147">
      <c r="A1147">
        <f>IF(OR(出库明细!C147="",出库明细!D147=""),"",IF(OR(COUNTIFS(存条明细!$C$4:$C$1003,出库明细!C147,存条明细!$D$4:$D$1003,出库明细!D147)&gt;0,COUNTIFS(出库明细!$C$4:C147,出库明细!C147,出库明细!$D$4:D147,出库明细!D147)&gt;1),"",IFERROR(MATCH(出库明细!C147,总览汇总!$B$5:$B$304,0),900)*10000000+IFERROR(MATCH(出库明细!D147,基础资料!$E$5:$E$104,0),900)*10000+ROW()))</f>
      </c>
      <c r="F1147">
        <f>IF(AND(出库明细!C1147&lt;&gt;"",出库明细!C1147=客户对账单!$B$4,ISNUMBER(出库明细!B1147),出库明细!B1147&gt;=客户对账单!$G$4,出库明细!B1147&lt;=客户对账单!$I$4),出库明细!B1147+ROW()/100000,"")</f>
      </c>
      <c r="H1147">
        <f>IF(AND(采购进货!C1147&lt;&gt;"",采购进货!C1147=供应商对账单!$B$4,ISNUMBER(采购进货!B1147),采购进货!B1147&gt;=供应商对账单!$G$4,采购进货!B1147&lt;=供应商对账单!$I$4),采购进货!B1147+ROW()/100000,"")</f>
      </c>
      <c r="N1147">
        <f>IF(AND(ISNUMBER(出库明细!G1147),ISNUMBER(出库明细!E1147),ISNUMBER(出库明细!F1147)),IF(ABS(出库明细!G1147-出库明细!E1147*出库明细!F1147)&gt;0.005,1,0),0)</f>
        <v>0</v>
      </c>
    </row>
    <row r="1148">
      <c r="A1148">
        <f>IF(OR(出库明细!C148="",出库明细!D148=""),"",IF(OR(COUNTIFS(存条明细!$C$4:$C$1003,出库明细!C148,存条明细!$D$4:$D$1003,出库明细!D148)&gt;0,COUNTIFS(出库明细!$C$4:C148,出库明细!C148,出库明细!$D$4:D148,出库明细!D148)&gt;1),"",IFERROR(MATCH(出库明细!C148,总览汇总!$B$5:$B$304,0),900)*10000000+IFERROR(MATCH(出库明细!D148,基础资料!$E$5:$E$104,0),900)*10000+ROW()))</f>
        <v>20061148</v>
      </c>
      <c r="F1148">
        <f>IF(AND(出库明细!C1148&lt;&gt;"",出库明细!C1148=客户对账单!$B$4,ISNUMBER(出库明细!B1148),出库明细!B1148&gt;=客户对账单!$G$4,出库明细!B1148&lt;=客户对账单!$I$4),出库明细!B1148+ROW()/100000,"")</f>
      </c>
      <c r="H1148">
        <f>IF(AND(采购进货!C1148&lt;&gt;"",采购进货!C1148=供应商对账单!$B$4,ISNUMBER(采购进货!B1148),采购进货!B1148&gt;=供应商对账单!$G$4,采购进货!B1148&lt;=供应商对账单!$I$4),采购进货!B1148+ROW()/100000,"")</f>
      </c>
      <c r="N1148">
        <f>IF(AND(ISNUMBER(出库明细!G1148),ISNUMBER(出库明细!E1148),ISNUMBER(出库明细!F1148)),IF(ABS(出库明细!G1148-出库明细!E1148*出库明细!F1148)&gt;0.005,1,0),0)</f>
        <v>0</v>
      </c>
    </row>
    <row r="1149">
      <c r="A1149">
        <f>IF(OR(出库明细!C149="",出库明细!D149=""),"",IF(OR(COUNTIFS(存条明细!$C$4:$C$1003,出库明细!C149,存条明细!$D$4:$D$1003,出库明细!D149)&gt;0,COUNTIFS(出库明细!$C$4:C149,出库明细!C149,出库明细!$D$4:D149,出库明细!D149)&gt;1),"",IFERROR(MATCH(出库明细!C149,总览汇总!$B$5:$B$304,0),900)*10000000+IFERROR(MATCH(出库明细!D149,基础资料!$E$5:$E$104,0),900)*10000+ROW()))</f>
      </c>
      <c r="F1149">
        <f>IF(AND(出库明细!C1149&lt;&gt;"",出库明细!C1149=客户对账单!$B$4,ISNUMBER(出库明细!B1149),出库明细!B1149&gt;=客户对账单!$G$4,出库明细!B1149&lt;=客户对账单!$I$4),出库明细!B1149+ROW()/100000,"")</f>
      </c>
      <c r="H1149">
        <f>IF(AND(采购进货!C1149&lt;&gt;"",采购进货!C1149=供应商对账单!$B$4,ISNUMBER(采购进货!B1149),采购进货!B1149&gt;=供应商对账单!$G$4,采购进货!B1149&lt;=供应商对账单!$I$4),采购进货!B1149+ROW()/100000,"")</f>
      </c>
      <c r="N1149">
        <f>IF(AND(ISNUMBER(出库明细!G1149),ISNUMBER(出库明细!E1149),ISNUMBER(出库明细!F1149)),IF(ABS(出库明细!G1149-出库明细!E1149*出库明细!F1149)&gt;0.005,1,0),0)</f>
        <v>0</v>
      </c>
    </row>
    <row r="1150">
      <c r="A1150">
        <f>IF(OR(出库明细!C150="",出库明细!D150=""),"",IF(OR(COUNTIFS(存条明细!$C$4:$C$1003,出库明细!C150,存条明细!$D$4:$D$1003,出库明细!D150)&gt;0,COUNTIFS(出库明细!$C$4:C150,出库明细!C150,出库明细!$D$4:D150,出库明细!D150)&gt;1),"",IFERROR(MATCH(出库明细!C150,总览汇总!$B$5:$B$304,0),900)*10000000+IFERROR(MATCH(出库明细!D150,基础资料!$E$5:$E$104,0),900)*10000+ROW()))</f>
        <v>20051150</v>
      </c>
      <c r="F1150">
        <f>IF(AND(出库明细!C1150&lt;&gt;"",出库明细!C1150=客户对账单!$B$4,ISNUMBER(出库明细!B1150),出库明细!B1150&gt;=客户对账单!$G$4,出库明细!B1150&lt;=客户对账单!$I$4),出库明细!B1150+ROW()/100000,"")</f>
      </c>
      <c r="H1150">
        <f>IF(AND(采购进货!C1150&lt;&gt;"",采购进货!C1150=供应商对账单!$B$4,ISNUMBER(采购进货!B1150),采购进货!B1150&gt;=供应商对账单!$G$4,采购进货!B1150&lt;=供应商对账单!$I$4),采购进货!B1150+ROW()/100000,"")</f>
      </c>
      <c r="N1150">
        <f>IF(AND(ISNUMBER(出库明细!G1150),ISNUMBER(出库明细!E1150),ISNUMBER(出库明细!F1150)),IF(ABS(出库明细!G1150-出库明细!E1150*出库明细!F1150)&gt;0.005,1,0),0)</f>
        <v>0</v>
      </c>
    </row>
    <row r="1151">
      <c r="A1151">
        <f>IF(OR(出库明细!C151="",出库明细!D151=""),"",IF(OR(COUNTIFS(存条明细!$C$4:$C$1003,出库明细!C151,存条明细!$D$4:$D$1003,出库明细!D151)&gt;0,COUNTIFS(出库明细!$C$4:C151,出库明细!C151,出库明细!$D$4:D151,出库明细!D151)&gt;1),"",IFERROR(MATCH(出库明细!C151,总览汇总!$B$5:$B$304,0),900)*10000000+IFERROR(MATCH(出库明细!D151,基础资料!$E$5:$E$104,0),900)*10000+ROW()))</f>
      </c>
      <c r="F1151">
        <f>IF(AND(出库明细!C1151&lt;&gt;"",出库明细!C1151=客户对账单!$B$4,ISNUMBER(出库明细!B1151),出库明细!B1151&gt;=客户对账单!$G$4,出库明细!B1151&lt;=客户对账单!$I$4),出库明细!B1151+ROW()/100000,"")</f>
      </c>
      <c r="H1151">
        <f>IF(AND(采购进货!C1151&lt;&gt;"",采购进货!C1151=供应商对账单!$B$4,ISNUMBER(采购进货!B1151),采购进货!B1151&gt;=供应商对账单!$G$4,采购进货!B1151&lt;=供应商对账单!$I$4),采购进货!B1151+ROW()/100000,"")</f>
      </c>
      <c r="N1151">
        <f>IF(AND(ISNUMBER(出库明细!G1151),ISNUMBER(出库明细!E1151),ISNUMBER(出库明细!F1151)),IF(ABS(出库明细!G1151-出库明细!E1151*出库明细!F1151)&gt;0.005,1,0),0)</f>
        <v>0</v>
      </c>
    </row>
    <row r="1152">
      <c r="A1152">
        <f>IF(OR(出库明细!C152="",出库明细!D152=""),"",IF(OR(COUNTIFS(存条明细!$C$4:$C$1003,出库明细!C152,存条明细!$D$4:$D$1003,出库明细!D152)&gt;0,COUNTIFS(出库明细!$C$4:C152,出库明细!C152,出库明细!$D$4:D152,出库明细!D152)&gt;1),"",IFERROR(MATCH(出库明细!C152,总览汇总!$B$5:$B$304,0),900)*10000000+IFERROR(MATCH(出库明细!D152,基础资料!$E$5:$E$104,0),900)*10000+ROW()))</f>
      </c>
      <c r="F1152">
        <f>IF(AND(出库明细!C1152&lt;&gt;"",出库明细!C1152=客户对账单!$B$4,ISNUMBER(出库明细!B1152),出库明细!B1152&gt;=客户对账单!$G$4,出库明细!B1152&lt;=客户对账单!$I$4),出库明细!B1152+ROW()/100000,"")</f>
      </c>
      <c r="H1152">
        <f>IF(AND(采购进货!C1152&lt;&gt;"",采购进货!C1152=供应商对账单!$B$4,ISNUMBER(采购进货!B1152),采购进货!B1152&gt;=供应商对账单!$G$4,采购进货!B1152&lt;=供应商对账单!$I$4),采购进货!B1152+ROW()/100000,"")</f>
      </c>
      <c r="N1152">
        <f>IF(AND(ISNUMBER(出库明细!G1152),ISNUMBER(出库明细!E1152),ISNUMBER(出库明细!F1152)),IF(ABS(出库明细!G1152-出库明细!E1152*出库明细!F1152)&gt;0.005,1,0),0)</f>
        <v>0</v>
      </c>
    </row>
    <row r="1153">
      <c r="A1153">
        <f>IF(OR(出库明细!C153="",出库明细!D153=""),"",IF(OR(COUNTIFS(存条明细!$C$4:$C$1003,出库明细!C153,存条明细!$D$4:$D$1003,出库明细!D153)&gt;0,COUNTIFS(出库明细!$C$4:C153,出库明细!C153,出库明细!$D$4:D153,出库明细!D153)&gt;1),"",IFERROR(MATCH(出库明细!C153,总览汇总!$B$5:$B$304,0),900)*10000000+IFERROR(MATCH(出库明细!D153,基础资料!$E$5:$E$104,0),900)*10000+ROW()))</f>
        <v>20031153</v>
      </c>
      <c r="F1153">
        <f>IF(AND(出库明细!C1153&lt;&gt;"",出库明细!C1153=客户对账单!$B$4,ISNUMBER(出库明细!B1153),出库明细!B1153&gt;=客户对账单!$G$4,出库明细!B1153&lt;=客户对账单!$I$4),出库明细!B1153+ROW()/100000,"")</f>
      </c>
      <c r="H1153">
        <f>IF(AND(采购进货!C1153&lt;&gt;"",采购进货!C1153=供应商对账单!$B$4,ISNUMBER(采购进货!B1153),采购进货!B1153&gt;=供应商对账单!$G$4,采购进货!B1153&lt;=供应商对账单!$I$4),采购进货!B1153+ROW()/100000,"")</f>
      </c>
      <c r="N1153">
        <f>IF(AND(ISNUMBER(出库明细!G1153),ISNUMBER(出库明细!E1153),ISNUMBER(出库明细!F1153)),IF(ABS(出库明细!G1153-出库明细!E1153*出库明细!F1153)&gt;0.005,1,0),0)</f>
        <v>0</v>
      </c>
    </row>
    <row r="1154">
      <c r="A1154">
        <f>IF(OR(出库明细!C154="",出库明细!D154=""),"",IF(OR(COUNTIFS(存条明细!$C$4:$C$1003,出库明细!C154,存条明细!$D$4:$D$1003,出库明细!D154)&gt;0,COUNTIFS(出库明细!$C$4:C154,出库明细!C154,出库明细!$D$4:D154,出库明细!D154)&gt;1),"",IFERROR(MATCH(出库明细!C154,总览汇总!$B$5:$B$304,0),900)*10000000+IFERROR(MATCH(出库明细!D154,基础资料!$E$5:$E$104,0),900)*10000+ROW()))</f>
      </c>
      <c r="F1154">
        <f>IF(AND(出库明细!C1154&lt;&gt;"",出库明细!C1154=客户对账单!$B$4,ISNUMBER(出库明细!B1154),出库明细!B1154&gt;=客户对账单!$G$4,出库明细!B1154&lt;=客户对账单!$I$4),出库明细!B1154+ROW()/100000,"")</f>
      </c>
      <c r="H1154">
        <f>IF(AND(采购进货!C1154&lt;&gt;"",采购进货!C1154=供应商对账单!$B$4,ISNUMBER(采购进货!B1154),采购进货!B1154&gt;=供应商对账单!$G$4,采购进货!B1154&lt;=供应商对账单!$I$4),采购进货!B1154+ROW()/100000,"")</f>
      </c>
      <c r="N1154">
        <f>IF(AND(ISNUMBER(出库明细!G1154),ISNUMBER(出库明细!E1154),ISNUMBER(出库明细!F1154)),IF(ABS(出库明细!G1154-出库明细!E1154*出库明细!F1154)&gt;0.005,1,0),0)</f>
        <v>0</v>
      </c>
    </row>
    <row r="1155">
      <c r="A1155">
        <f>IF(OR(出库明细!C155="",出库明细!D155=""),"",IF(OR(COUNTIFS(存条明细!$C$4:$C$1003,出库明细!C155,存条明细!$D$4:$D$1003,出库明细!D155)&gt;0,COUNTIFS(出库明细!$C$4:C155,出库明细!C155,出库明细!$D$4:D155,出库明细!D155)&gt;1),"",IFERROR(MATCH(出库明细!C155,总览汇总!$B$5:$B$304,0),900)*10000000+IFERROR(MATCH(出库明细!D155,基础资料!$E$5:$E$104,0),900)*10000+ROW()))</f>
      </c>
      <c r="F1155">
        <f>IF(AND(出库明细!C1155&lt;&gt;"",出库明细!C1155=客户对账单!$B$4,ISNUMBER(出库明细!B1155),出库明细!B1155&gt;=客户对账单!$G$4,出库明细!B1155&lt;=客户对账单!$I$4),出库明细!B1155+ROW()/100000,"")</f>
      </c>
      <c r="H1155">
        <f>IF(AND(采购进货!C1155&lt;&gt;"",采购进货!C1155=供应商对账单!$B$4,ISNUMBER(采购进货!B1155),采购进货!B1155&gt;=供应商对账单!$G$4,采购进货!B1155&lt;=供应商对账单!$I$4),采购进货!B1155+ROW()/100000,"")</f>
      </c>
      <c r="N1155">
        <f>IF(AND(ISNUMBER(出库明细!G1155),ISNUMBER(出库明细!E1155),ISNUMBER(出库明细!F1155)),IF(ABS(出库明细!G1155-出库明细!E1155*出库明细!F1155)&gt;0.005,1,0),0)</f>
        <v>0</v>
      </c>
    </row>
    <row r="1156">
      <c r="A1156">
        <f>IF(OR(出库明细!C156="",出库明细!D156=""),"",IF(OR(COUNTIFS(存条明细!$C$4:$C$1003,出库明细!C156,存条明细!$D$4:$D$1003,出库明细!D156)&gt;0,COUNTIFS(出库明细!$C$4:C156,出库明细!C156,出库明细!$D$4:D156,出库明细!D156)&gt;1),"",IFERROR(MATCH(出库明细!C156,总览汇总!$B$5:$B$304,0),900)*10000000+IFERROR(MATCH(出库明细!D156,基础资料!$E$5:$E$104,0),900)*10000+ROW()))</f>
        <v>10181156</v>
      </c>
      <c r="F1156">
        <f>IF(AND(出库明细!C1156&lt;&gt;"",出库明细!C1156=客户对账单!$B$4,ISNUMBER(出库明细!B1156),出库明细!B1156&gt;=客户对账单!$G$4,出库明细!B1156&lt;=客户对账单!$I$4),出库明细!B1156+ROW()/100000,"")</f>
      </c>
      <c r="H1156">
        <f>IF(AND(采购进货!C1156&lt;&gt;"",采购进货!C1156=供应商对账单!$B$4,ISNUMBER(采购进货!B1156),采购进货!B1156&gt;=供应商对账单!$G$4,采购进货!B1156&lt;=供应商对账单!$I$4),采购进货!B1156+ROW()/100000,"")</f>
      </c>
      <c r="N1156">
        <f>IF(AND(ISNUMBER(出库明细!G1156),ISNUMBER(出库明细!E1156),ISNUMBER(出库明细!F1156)),IF(ABS(出库明细!G1156-出库明细!E1156*出库明细!F1156)&gt;0.005,1,0),0)</f>
        <v>0</v>
      </c>
    </row>
    <row r="1157">
      <c r="A1157">
        <f>IF(OR(出库明细!C157="",出库明细!D157=""),"",IF(OR(COUNTIFS(存条明细!$C$4:$C$1003,出库明细!C157,存条明细!$D$4:$D$1003,出库明细!D157)&gt;0,COUNTIFS(出库明细!$C$4:C157,出库明细!C157,出库明细!$D$4:D157,出库明细!D157)&gt;1),"",IFERROR(MATCH(出库明细!C157,总览汇总!$B$5:$B$304,0),900)*10000000+IFERROR(MATCH(出库明细!D157,基础资料!$E$5:$E$104,0),900)*10000+ROW()))</f>
      </c>
      <c r="F1157">
        <f>IF(AND(出库明细!C1157&lt;&gt;"",出库明细!C1157=客户对账单!$B$4,ISNUMBER(出库明细!B1157),出库明细!B1157&gt;=客户对账单!$G$4,出库明细!B1157&lt;=客户对账单!$I$4),出库明细!B1157+ROW()/100000,"")</f>
      </c>
      <c r="H1157">
        <f>IF(AND(采购进货!C1157&lt;&gt;"",采购进货!C1157=供应商对账单!$B$4,ISNUMBER(采购进货!B1157),采购进货!B1157&gt;=供应商对账单!$G$4,采购进货!B1157&lt;=供应商对账单!$I$4),采购进货!B1157+ROW()/100000,"")</f>
      </c>
      <c r="N1157">
        <f>IF(AND(ISNUMBER(出库明细!G1157),ISNUMBER(出库明细!E1157),ISNUMBER(出库明细!F1157)),IF(ABS(出库明细!G1157-出库明细!E1157*出库明细!F1157)&gt;0.005,1,0),0)</f>
        <v>0</v>
      </c>
    </row>
    <row r="1158">
      <c r="A1158">
        <f>IF(OR(出库明细!C158="",出库明细!D158=""),"",IF(OR(COUNTIFS(存条明细!$C$4:$C$1003,出库明细!C158,存条明细!$D$4:$D$1003,出库明细!D158)&gt;0,COUNTIFS(出库明细!$C$4:C158,出库明细!C158,出库明细!$D$4:D158,出库明细!D158)&gt;1),"",IFERROR(MATCH(出库明细!C158,总览汇总!$B$5:$B$304,0),900)*10000000+IFERROR(MATCH(出库明细!D158,基础资料!$E$5:$E$104,0),900)*10000+ROW()))</f>
      </c>
      <c r="F1158">
        <f>IF(AND(出库明细!C1158&lt;&gt;"",出库明细!C1158=客户对账单!$B$4,ISNUMBER(出库明细!B1158),出库明细!B1158&gt;=客户对账单!$G$4,出库明细!B1158&lt;=客户对账单!$I$4),出库明细!B1158+ROW()/100000,"")</f>
      </c>
      <c r="H1158">
        <f>IF(AND(采购进货!C1158&lt;&gt;"",采购进货!C1158=供应商对账单!$B$4,ISNUMBER(采购进货!B1158),采购进货!B1158&gt;=供应商对账单!$G$4,采购进货!B1158&lt;=供应商对账单!$I$4),采购进货!B1158+ROW()/100000,"")</f>
      </c>
      <c r="N1158">
        <f>IF(AND(ISNUMBER(出库明细!G1158),ISNUMBER(出库明细!E1158),ISNUMBER(出库明细!F1158)),IF(ABS(出库明细!G1158-出库明细!E1158*出库明细!F1158)&gt;0.005,1,0),0)</f>
        <v>0</v>
      </c>
    </row>
    <row r="1159">
      <c r="A1159">
        <f>IF(OR(出库明细!C159="",出库明细!D159=""),"",IF(OR(COUNTIFS(存条明细!$C$4:$C$1003,出库明细!C159,存条明细!$D$4:$D$1003,出库明细!D159)&gt;0,COUNTIFS(出库明细!$C$4:C159,出库明细!C159,出库明细!$D$4:D159,出库明细!D159)&gt;1),"",IFERROR(MATCH(出库明细!C159,总览汇总!$B$5:$B$304,0),900)*10000000+IFERROR(MATCH(出库明细!D159,基础资料!$E$5:$E$104,0),900)*10000+ROW()))</f>
      </c>
      <c r="F1159">
        <f>IF(AND(出库明细!C1159&lt;&gt;"",出库明细!C1159=客户对账单!$B$4,ISNUMBER(出库明细!B1159),出库明细!B1159&gt;=客户对账单!$G$4,出库明细!B1159&lt;=客户对账单!$I$4),出库明细!B1159+ROW()/100000,"")</f>
      </c>
      <c r="H1159">
        <f>IF(AND(采购进货!C1159&lt;&gt;"",采购进货!C1159=供应商对账单!$B$4,ISNUMBER(采购进货!B1159),采购进货!B1159&gt;=供应商对账单!$G$4,采购进货!B1159&lt;=供应商对账单!$I$4),采购进货!B1159+ROW()/100000,"")</f>
      </c>
      <c r="N1159">
        <f>IF(AND(ISNUMBER(出库明细!G1159),ISNUMBER(出库明细!E1159),ISNUMBER(出库明细!F1159)),IF(ABS(出库明细!G1159-出库明细!E1159*出库明细!F1159)&gt;0.005,1,0),0)</f>
        <v>0</v>
      </c>
    </row>
    <row r="1160">
      <c r="A1160">
        <f>IF(OR(出库明细!C160="",出库明细!D160=""),"",IF(OR(COUNTIFS(存条明细!$C$4:$C$1003,出库明细!C160,存条明细!$D$4:$D$1003,出库明细!D160)&gt;0,COUNTIFS(出库明细!$C$4:C160,出库明细!C160,出库明细!$D$4:D160,出库明细!D160)&gt;1),"",IFERROR(MATCH(出库明细!C160,总览汇总!$B$5:$B$304,0),900)*10000000+IFERROR(MATCH(出库明细!D160,基础资料!$E$5:$E$104,0),900)*10000+ROW()))</f>
      </c>
      <c r="F1160">
        <f>IF(AND(出库明细!C1160&lt;&gt;"",出库明细!C1160=客户对账单!$B$4,ISNUMBER(出库明细!B1160),出库明细!B1160&gt;=客户对账单!$G$4,出库明细!B1160&lt;=客户对账单!$I$4),出库明细!B1160+ROW()/100000,"")</f>
      </c>
      <c r="H1160">
        <f>IF(AND(采购进货!C1160&lt;&gt;"",采购进货!C1160=供应商对账单!$B$4,ISNUMBER(采购进货!B1160),采购进货!B1160&gt;=供应商对账单!$G$4,采购进货!B1160&lt;=供应商对账单!$I$4),采购进货!B1160+ROW()/100000,"")</f>
      </c>
      <c r="N1160">
        <f>IF(AND(ISNUMBER(出库明细!G1160),ISNUMBER(出库明细!E1160),ISNUMBER(出库明细!F1160)),IF(ABS(出库明细!G1160-出库明细!E1160*出库明细!F1160)&gt;0.005,1,0),0)</f>
        <v>0</v>
      </c>
    </row>
    <row r="1161">
      <c r="A1161">
        <f>IF(OR(出库明细!C161="",出库明细!D161=""),"",IF(OR(COUNTIFS(存条明细!$C$4:$C$1003,出库明细!C161,存条明细!$D$4:$D$1003,出库明细!D161)&gt;0,COUNTIFS(出库明细!$C$4:C161,出库明细!C161,出库明细!$D$4:D161,出库明细!D161)&gt;1),"",IFERROR(MATCH(出库明细!C161,总览汇总!$B$5:$B$304,0),900)*10000000+IFERROR(MATCH(出库明细!D161,基础资料!$E$5:$E$104,0),900)*10000+ROW()))</f>
      </c>
      <c r="F1161">
        <f>IF(AND(出库明细!C1161&lt;&gt;"",出库明细!C1161=客户对账单!$B$4,ISNUMBER(出库明细!B1161),出库明细!B1161&gt;=客户对账单!$G$4,出库明细!B1161&lt;=客户对账单!$I$4),出库明细!B1161+ROW()/100000,"")</f>
      </c>
      <c r="H1161">
        <f>IF(AND(采购进货!C1161&lt;&gt;"",采购进货!C1161=供应商对账单!$B$4,ISNUMBER(采购进货!B1161),采购进货!B1161&gt;=供应商对账单!$G$4,采购进货!B1161&lt;=供应商对账单!$I$4),采购进货!B1161+ROW()/100000,"")</f>
      </c>
      <c r="N1161">
        <f>IF(AND(ISNUMBER(出库明细!G1161),ISNUMBER(出库明细!E1161),ISNUMBER(出库明细!F1161)),IF(ABS(出库明细!G1161-出库明细!E1161*出库明细!F1161)&gt;0.005,1,0),0)</f>
        <v>0</v>
      </c>
    </row>
    <row r="1162">
      <c r="A1162">
        <f>IF(OR(出库明细!C162="",出库明细!D162=""),"",IF(OR(COUNTIFS(存条明细!$C$4:$C$1003,出库明细!C162,存条明细!$D$4:$D$1003,出库明细!D162)&gt;0,COUNTIFS(出库明细!$C$4:C162,出库明细!C162,出库明细!$D$4:D162,出库明细!D162)&gt;1),"",IFERROR(MATCH(出库明细!C162,总览汇总!$B$5:$B$304,0),900)*10000000+IFERROR(MATCH(出库明细!D162,基础资料!$E$5:$E$104,0),900)*10000+ROW()))</f>
      </c>
      <c r="F1162">
        <f>IF(AND(出库明细!C1162&lt;&gt;"",出库明细!C1162=客户对账单!$B$4,ISNUMBER(出库明细!B1162),出库明细!B1162&gt;=客户对账单!$G$4,出库明细!B1162&lt;=客户对账单!$I$4),出库明细!B1162+ROW()/100000,"")</f>
      </c>
      <c r="H1162">
        <f>IF(AND(采购进货!C1162&lt;&gt;"",采购进货!C1162=供应商对账单!$B$4,ISNUMBER(采购进货!B1162),采购进货!B1162&gt;=供应商对账单!$G$4,采购进货!B1162&lt;=供应商对账单!$I$4),采购进货!B1162+ROW()/100000,"")</f>
      </c>
      <c r="N1162">
        <f>IF(AND(ISNUMBER(出库明细!G1162),ISNUMBER(出库明细!E1162),ISNUMBER(出库明细!F1162)),IF(ABS(出库明细!G1162-出库明细!E1162*出库明细!F1162)&gt;0.005,1,0),0)</f>
        <v>0</v>
      </c>
    </row>
    <row r="1163">
      <c r="A1163">
        <f>IF(OR(出库明细!C163="",出库明细!D163=""),"",IF(OR(COUNTIFS(存条明细!$C$4:$C$1003,出库明细!C163,存条明细!$D$4:$D$1003,出库明细!D163)&gt;0,COUNTIFS(出库明细!$C$4:C163,出库明细!C163,出库明细!$D$4:D163,出库明细!D163)&gt;1),"",IFERROR(MATCH(出库明细!C163,总览汇总!$B$5:$B$304,0),900)*10000000+IFERROR(MATCH(出库明细!D163,基础资料!$E$5:$E$104,0),900)*10000+ROW()))</f>
      </c>
      <c r="F1163">
        <f>IF(AND(出库明细!C1163&lt;&gt;"",出库明细!C1163=客户对账单!$B$4,ISNUMBER(出库明细!B1163),出库明细!B1163&gt;=客户对账单!$G$4,出库明细!B1163&lt;=客户对账单!$I$4),出库明细!B1163+ROW()/100000,"")</f>
      </c>
      <c r="H1163">
        <f>IF(AND(采购进货!C1163&lt;&gt;"",采购进货!C1163=供应商对账单!$B$4,ISNUMBER(采购进货!B1163),采购进货!B1163&gt;=供应商对账单!$G$4,采购进货!B1163&lt;=供应商对账单!$I$4),采购进货!B1163+ROW()/100000,"")</f>
      </c>
      <c r="N1163">
        <f>IF(AND(ISNUMBER(出库明细!G1163),ISNUMBER(出库明细!E1163),ISNUMBER(出库明细!F1163)),IF(ABS(出库明细!G1163-出库明细!E1163*出库明细!F1163)&gt;0.005,1,0),0)</f>
        <v>0</v>
      </c>
    </row>
    <row r="1164">
      <c r="A1164">
        <f>IF(OR(出库明细!C164="",出库明细!D164=""),"",IF(OR(COUNTIFS(存条明细!$C$4:$C$1003,出库明细!C164,存条明细!$D$4:$D$1003,出库明细!D164)&gt;0,COUNTIFS(出库明细!$C$4:C164,出库明细!C164,出库明细!$D$4:D164,出库明细!D164)&gt;1),"",IFERROR(MATCH(出库明细!C164,总览汇总!$B$5:$B$304,0),900)*10000000+IFERROR(MATCH(出库明细!D164,基础资料!$E$5:$E$104,0),900)*10000+ROW()))</f>
      </c>
      <c r="F1164">
        <f>IF(AND(出库明细!C1164&lt;&gt;"",出库明细!C1164=客户对账单!$B$4,ISNUMBER(出库明细!B1164),出库明细!B1164&gt;=客户对账单!$G$4,出库明细!B1164&lt;=客户对账单!$I$4),出库明细!B1164+ROW()/100000,"")</f>
      </c>
      <c r="H1164">
        <f>IF(AND(采购进货!C1164&lt;&gt;"",采购进货!C1164=供应商对账单!$B$4,ISNUMBER(采购进货!B1164),采购进货!B1164&gt;=供应商对账单!$G$4,采购进货!B1164&lt;=供应商对账单!$I$4),采购进货!B1164+ROW()/100000,"")</f>
      </c>
      <c r="N1164">
        <f>IF(AND(ISNUMBER(出库明细!G1164),ISNUMBER(出库明细!E1164),ISNUMBER(出库明细!F1164)),IF(ABS(出库明细!G1164-出库明细!E1164*出库明细!F1164)&gt;0.005,1,0),0)</f>
        <v>0</v>
      </c>
    </row>
    <row r="1165">
      <c r="A1165">
        <f>IF(OR(出库明细!C165="",出库明细!D165=""),"",IF(OR(COUNTIFS(存条明细!$C$4:$C$1003,出库明细!C165,存条明细!$D$4:$D$1003,出库明细!D165)&gt;0,COUNTIFS(出库明细!$C$4:C165,出库明细!C165,出库明细!$D$4:D165,出库明细!D165)&gt;1),"",IFERROR(MATCH(出库明细!C165,总览汇总!$B$5:$B$304,0),900)*10000000+IFERROR(MATCH(出库明细!D165,基础资料!$E$5:$E$104,0),900)*10000+ROW()))</f>
      </c>
      <c r="F1165">
        <f>IF(AND(出库明细!C1165&lt;&gt;"",出库明细!C1165=客户对账单!$B$4,ISNUMBER(出库明细!B1165),出库明细!B1165&gt;=客户对账单!$G$4,出库明细!B1165&lt;=客户对账单!$I$4),出库明细!B1165+ROW()/100000,"")</f>
      </c>
      <c r="H1165">
        <f>IF(AND(采购进货!C1165&lt;&gt;"",采购进货!C1165=供应商对账单!$B$4,ISNUMBER(采购进货!B1165),采购进货!B1165&gt;=供应商对账单!$G$4,采购进货!B1165&lt;=供应商对账单!$I$4),采购进货!B1165+ROW()/100000,"")</f>
      </c>
      <c r="N1165">
        <f>IF(AND(ISNUMBER(出库明细!G1165),ISNUMBER(出库明细!E1165),ISNUMBER(出库明细!F1165)),IF(ABS(出库明细!G1165-出库明细!E1165*出库明细!F1165)&gt;0.005,1,0),0)</f>
        <v>0</v>
      </c>
    </row>
    <row r="1166">
      <c r="A1166">
        <f>IF(OR(出库明细!C166="",出库明细!D166=""),"",IF(OR(COUNTIFS(存条明细!$C$4:$C$1003,出库明细!C166,存条明细!$D$4:$D$1003,出库明细!D166)&gt;0,COUNTIFS(出库明细!$C$4:C166,出库明细!C166,出库明细!$D$4:D166,出库明细!D166)&gt;1),"",IFERROR(MATCH(出库明细!C166,总览汇总!$B$5:$B$304,0),900)*10000000+IFERROR(MATCH(出库明细!D166,基础资料!$E$5:$E$104,0),900)*10000+ROW()))</f>
      </c>
      <c r="F1166">
        <f>IF(AND(出库明细!C1166&lt;&gt;"",出库明细!C1166=客户对账单!$B$4,ISNUMBER(出库明细!B1166),出库明细!B1166&gt;=客户对账单!$G$4,出库明细!B1166&lt;=客户对账单!$I$4),出库明细!B1166+ROW()/100000,"")</f>
      </c>
      <c r="H1166">
        <f>IF(AND(采购进货!C1166&lt;&gt;"",采购进货!C1166=供应商对账单!$B$4,ISNUMBER(采购进货!B1166),采购进货!B1166&gt;=供应商对账单!$G$4,采购进货!B1166&lt;=供应商对账单!$I$4),采购进货!B1166+ROW()/100000,"")</f>
      </c>
      <c r="N1166">
        <f>IF(AND(ISNUMBER(出库明细!G1166),ISNUMBER(出库明细!E1166),ISNUMBER(出库明细!F1166)),IF(ABS(出库明细!G1166-出库明细!E1166*出库明细!F1166)&gt;0.005,1,0),0)</f>
        <v>0</v>
      </c>
    </row>
    <row r="1167">
      <c r="A1167">
        <f>IF(OR(出库明细!C167="",出库明细!D167=""),"",IF(OR(COUNTIFS(存条明细!$C$4:$C$1003,出库明细!C167,存条明细!$D$4:$D$1003,出库明细!D167)&gt;0,COUNTIFS(出库明细!$C$4:C167,出库明细!C167,出库明细!$D$4:D167,出库明细!D167)&gt;1),"",IFERROR(MATCH(出库明细!C167,总览汇总!$B$5:$B$304,0),900)*10000000+IFERROR(MATCH(出库明细!D167,基础资料!$E$5:$E$104,0),900)*10000+ROW()))</f>
      </c>
      <c r="F1167">
        <f>IF(AND(出库明细!C1167&lt;&gt;"",出库明细!C1167=客户对账单!$B$4,ISNUMBER(出库明细!B1167),出库明细!B1167&gt;=客户对账单!$G$4,出库明细!B1167&lt;=客户对账单!$I$4),出库明细!B1167+ROW()/100000,"")</f>
      </c>
      <c r="H1167">
        <f>IF(AND(采购进货!C1167&lt;&gt;"",采购进货!C1167=供应商对账单!$B$4,ISNUMBER(采购进货!B1167),采购进货!B1167&gt;=供应商对账单!$G$4,采购进货!B1167&lt;=供应商对账单!$I$4),采购进货!B1167+ROW()/100000,"")</f>
      </c>
      <c r="N1167">
        <f>IF(AND(ISNUMBER(出库明细!G1167),ISNUMBER(出库明细!E1167),ISNUMBER(出库明细!F1167)),IF(ABS(出库明细!G1167-出库明细!E1167*出库明细!F1167)&gt;0.005,1,0),0)</f>
        <v>0</v>
      </c>
    </row>
    <row r="1168">
      <c r="A1168">
        <f>IF(OR(出库明细!C168="",出库明细!D168=""),"",IF(OR(COUNTIFS(存条明细!$C$4:$C$1003,出库明细!C168,存条明细!$D$4:$D$1003,出库明细!D168)&gt;0,COUNTIFS(出库明细!$C$4:C168,出库明细!C168,出库明细!$D$4:D168,出库明细!D168)&gt;1),"",IFERROR(MATCH(出库明细!C168,总览汇总!$B$5:$B$304,0),900)*10000000+IFERROR(MATCH(出库明细!D168,基础资料!$E$5:$E$104,0),900)*10000+ROW()))</f>
      </c>
      <c r="F1168">
        <f>IF(AND(出库明细!C1168&lt;&gt;"",出库明细!C1168=客户对账单!$B$4,ISNUMBER(出库明细!B1168),出库明细!B1168&gt;=客户对账单!$G$4,出库明细!B1168&lt;=客户对账单!$I$4),出库明细!B1168+ROW()/100000,"")</f>
      </c>
      <c r="H1168">
        <f>IF(AND(采购进货!C1168&lt;&gt;"",采购进货!C1168=供应商对账单!$B$4,ISNUMBER(采购进货!B1168),采购进货!B1168&gt;=供应商对账单!$G$4,采购进货!B1168&lt;=供应商对账单!$I$4),采购进货!B1168+ROW()/100000,"")</f>
      </c>
      <c r="N1168">
        <f>IF(AND(ISNUMBER(出库明细!G1168),ISNUMBER(出库明细!E1168),ISNUMBER(出库明细!F1168)),IF(ABS(出库明细!G1168-出库明细!E1168*出库明细!F1168)&gt;0.005,1,0),0)</f>
        <v>0</v>
      </c>
    </row>
    <row r="1169">
      <c r="A1169">
        <f>IF(OR(出库明细!C169="",出库明细!D169=""),"",IF(OR(COUNTIFS(存条明细!$C$4:$C$1003,出库明细!C169,存条明细!$D$4:$D$1003,出库明细!D169)&gt;0,COUNTIFS(出库明细!$C$4:C169,出库明细!C169,出库明细!$D$4:D169,出库明细!D169)&gt;1),"",IFERROR(MATCH(出库明细!C169,总览汇总!$B$5:$B$304,0),900)*10000000+IFERROR(MATCH(出库明细!D169,基础资料!$E$5:$E$104,0),900)*10000+ROW()))</f>
      </c>
      <c r="F1169">
        <f>IF(AND(出库明细!C1169&lt;&gt;"",出库明细!C1169=客户对账单!$B$4,ISNUMBER(出库明细!B1169),出库明细!B1169&gt;=客户对账单!$G$4,出库明细!B1169&lt;=客户对账单!$I$4),出库明细!B1169+ROW()/100000,"")</f>
      </c>
      <c r="H1169">
        <f>IF(AND(采购进货!C1169&lt;&gt;"",采购进货!C1169=供应商对账单!$B$4,ISNUMBER(采购进货!B1169),采购进货!B1169&gt;=供应商对账单!$G$4,采购进货!B1169&lt;=供应商对账单!$I$4),采购进货!B1169+ROW()/100000,"")</f>
      </c>
      <c r="N1169">
        <f>IF(AND(ISNUMBER(出库明细!G1169),ISNUMBER(出库明细!E1169),ISNUMBER(出库明细!F1169)),IF(ABS(出库明细!G1169-出库明细!E1169*出库明细!F1169)&gt;0.005,1,0),0)</f>
        <v>0</v>
      </c>
    </row>
    <row r="1170">
      <c r="A1170">
        <f>IF(OR(出库明细!C170="",出库明细!D170=""),"",IF(OR(COUNTIFS(存条明细!$C$4:$C$1003,出库明细!C170,存条明细!$D$4:$D$1003,出库明细!D170)&gt;0,COUNTIFS(出库明细!$C$4:C170,出库明细!C170,出库明细!$D$4:D170,出库明细!D170)&gt;1),"",IFERROR(MATCH(出库明细!C170,总览汇总!$B$5:$B$304,0),900)*10000000+IFERROR(MATCH(出库明细!D170,基础资料!$E$5:$E$104,0),900)*10000+ROW()))</f>
      </c>
      <c r="F1170">
        <f>IF(AND(出库明细!C1170&lt;&gt;"",出库明细!C1170=客户对账单!$B$4,ISNUMBER(出库明细!B1170),出库明细!B1170&gt;=客户对账单!$G$4,出库明细!B1170&lt;=客户对账单!$I$4),出库明细!B1170+ROW()/100000,"")</f>
      </c>
      <c r="H1170">
        <f>IF(AND(采购进货!C1170&lt;&gt;"",采购进货!C1170=供应商对账单!$B$4,ISNUMBER(采购进货!B1170),采购进货!B1170&gt;=供应商对账单!$G$4,采购进货!B1170&lt;=供应商对账单!$I$4),采购进货!B1170+ROW()/100000,"")</f>
      </c>
      <c r="N1170">
        <f>IF(AND(ISNUMBER(出库明细!G1170),ISNUMBER(出库明细!E1170),ISNUMBER(出库明细!F1170)),IF(ABS(出库明细!G1170-出库明细!E1170*出库明细!F1170)&gt;0.005,1,0),0)</f>
        <v>0</v>
      </c>
    </row>
    <row r="1171">
      <c r="A1171">
        <f>IF(OR(出库明细!C171="",出库明细!D171=""),"",IF(OR(COUNTIFS(存条明细!$C$4:$C$1003,出库明细!C171,存条明细!$D$4:$D$1003,出库明细!D171)&gt;0,COUNTIFS(出库明细!$C$4:C171,出库明细!C171,出库明细!$D$4:D171,出库明细!D171)&gt;1),"",IFERROR(MATCH(出库明细!C171,总览汇总!$B$5:$B$304,0),900)*10000000+IFERROR(MATCH(出库明细!D171,基础资料!$E$5:$E$104,0),900)*10000+ROW()))</f>
      </c>
      <c r="F1171">
        <f>IF(AND(出库明细!C1171&lt;&gt;"",出库明细!C1171=客户对账单!$B$4,ISNUMBER(出库明细!B1171),出库明细!B1171&gt;=客户对账单!$G$4,出库明细!B1171&lt;=客户对账单!$I$4),出库明细!B1171+ROW()/100000,"")</f>
      </c>
      <c r="H1171">
        <f>IF(AND(采购进货!C1171&lt;&gt;"",采购进货!C1171=供应商对账单!$B$4,ISNUMBER(采购进货!B1171),采购进货!B1171&gt;=供应商对账单!$G$4,采购进货!B1171&lt;=供应商对账单!$I$4),采购进货!B1171+ROW()/100000,"")</f>
      </c>
      <c r="N1171">
        <f>IF(AND(ISNUMBER(出库明细!G1171),ISNUMBER(出库明细!E1171),ISNUMBER(出库明细!F1171)),IF(ABS(出库明细!G1171-出库明细!E1171*出库明细!F1171)&gt;0.005,1,0),0)</f>
        <v>0</v>
      </c>
    </row>
    <row r="1172">
      <c r="A1172">
        <f>IF(OR(出库明细!C172="",出库明细!D172=""),"",IF(OR(COUNTIFS(存条明细!$C$4:$C$1003,出库明细!C172,存条明细!$D$4:$D$1003,出库明细!D172)&gt;0,COUNTIFS(出库明细!$C$4:C172,出库明细!C172,出库明细!$D$4:D172,出库明细!D172)&gt;1),"",IFERROR(MATCH(出库明细!C172,总览汇总!$B$5:$B$304,0),900)*10000000+IFERROR(MATCH(出库明细!D172,基础资料!$E$5:$E$104,0),900)*10000+ROW()))</f>
      </c>
      <c r="F1172">
        <f>IF(AND(出库明细!C1172&lt;&gt;"",出库明细!C1172=客户对账单!$B$4,ISNUMBER(出库明细!B1172),出库明细!B1172&gt;=客户对账单!$G$4,出库明细!B1172&lt;=客户对账单!$I$4),出库明细!B1172+ROW()/100000,"")</f>
      </c>
      <c r="H1172">
        <f>IF(AND(采购进货!C1172&lt;&gt;"",采购进货!C1172=供应商对账单!$B$4,ISNUMBER(采购进货!B1172),采购进货!B1172&gt;=供应商对账单!$G$4,采购进货!B1172&lt;=供应商对账单!$I$4),采购进货!B1172+ROW()/100000,"")</f>
      </c>
      <c r="N1172">
        <f>IF(AND(ISNUMBER(出库明细!G1172),ISNUMBER(出库明细!E1172),ISNUMBER(出库明细!F1172)),IF(ABS(出库明细!G1172-出库明细!E1172*出库明细!F1172)&gt;0.005,1,0),0)</f>
        <v>0</v>
      </c>
    </row>
    <row r="1173">
      <c r="A1173">
        <f>IF(OR(出库明细!C173="",出库明细!D173=""),"",IF(OR(COUNTIFS(存条明细!$C$4:$C$1003,出库明细!C173,存条明细!$D$4:$D$1003,出库明细!D173)&gt;0,COUNTIFS(出库明细!$C$4:C173,出库明细!C173,出库明细!$D$4:D173,出库明细!D173)&gt;1),"",IFERROR(MATCH(出库明细!C173,总览汇总!$B$5:$B$304,0),900)*10000000+IFERROR(MATCH(出库明细!D173,基础资料!$E$5:$E$104,0),900)*10000+ROW()))</f>
      </c>
      <c r="F1173">
        <f>IF(AND(出库明细!C1173&lt;&gt;"",出库明细!C1173=客户对账单!$B$4,ISNUMBER(出库明细!B1173),出库明细!B1173&gt;=客户对账单!$G$4,出库明细!B1173&lt;=客户对账单!$I$4),出库明细!B1173+ROW()/100000,"")</f>
      </c>
      <c r="H1173">
        <f>IF(AND(采购进货!C1173&lt;&gt;"",采购进货!C1173=供应商对账单!$B$4,ISNUMBER(采购进货!B1173),采购进货!B1173&gt;=供应商对账单!$G$4,采购进货!B1173&lt;=供应商对账单!$I$4),采购进货!B1173+ROW()/100000,"")</f>
      </c>
      <c r="N1173">
        <f>IF(AND(ISNUMBER(出库明细!G1173),ISNUMBER(出库明细!E1173),ISNUMBER(出库明细!F1173)),IF(ABS(出库明细!G1173-出库明细!E1173*出库明细!F1173)&gt;0.005,1,0),0)</f>
        <v>0</v>
      </c>
    </row>
    <row r="1174">
      <c r="A1174">
        <f>IF(OR(出库明细!C174="",出库明细!D174=""),"",IF(OR(COUNTIFS(存条明细!$C$4:$C$1003,出库明细!C174,存条明细!$D$4:$D$1003,出库明细!D174)&gt;0,COUNTIFS(出库明细!$C$4:C174,出库明细!C174,出库明细!$D$4:D174,出库明细!D174)&gt;1),"",IFERROR(MATCH(出库明细!C174,总览汇总!$B$5:$B$304,0),900)*10000000+IFERROR(MATCH(出库明细!D174,基础资料!$E$5:$E$104,0),900)*10000+ROW()))</f>
      </c>
      <c r="F1174">
        <f>IF(AND(出库明细!C1174&lt;&gt;"",出库明细!C1174=客户对账单!$B$4,ISNUMBER(出库明细!B1174),出库明细!B1174&gt;=客户对账单!$G$4,出库明细!B1174&lt;=客户对账单!$I$4),出库明细!B1174+ROW()/100000,"")</f>
      </c>
      <c r="H1174">
        <f>IF(AND(采购进货!C1174&lt;&gt;"",采购进货!C1174=供应商对账单!$B$4,ISNUMBER(采购进货!B1174),采购进货!B1174&gt;=供应商对账单!$G$4,采购进货!B1174&lt;=供应商对账单!$I$4),采购进货!B1174+ROW()/100000,"")</f>
      </c>
      <c r="N1174">
        <f>IF(AND(ISNUMBER(出库明细!G1174),ISNUMBER(出库明细!E1174),ISNUMBER(出库明细!F1174)),IF(ABS(出库明细!G1174-出库明细!E1174*出库明细!F1174)&gt;0.005,1,0),0)</f>
        <v>0</v>
      </c>
    </row>
    <row r="1175">
      <c r="A1175">
        <f>IF(OR(出库明细!C175="",出库明细!D175=""),"",IF(OR(COUNTIFS(存条明细!$C$4:$C$1003,出库明细!C175,存条明细!$D$4:$D$1003,出库明细!D175)&gt;0,COUNTIFS(出库明细!$C$4:C175,出库明细!C175,出库明细!$D$4:D175,出库明细!D175)&gt;1),"",IFERROR(MATCH(出库明细!C175,总览汇总!$B$5:$B$304,0),900)*10000000+IFERROR(MATCH(出库明细!D175,基础资料!$E$5:$E$104,0),900)*10000+ROW()))</f>
      </c>
      <c r="F1175">
        <f>IF(AND(出库明细!C1175&lt;&gt;"",出库明细!C1175=客户对账单!$B$4,ISNUMBER(出库明细!B1175),出库明细!B1175&gt;=客户对账单!$G$4,出库明细!B1175&lt;=客户对账单!$I$4),出库明细!B1175+ROW()/100000,"")</f>
      </c>
      <c r="H1175">
        <f>IF(AND(采购进货!C1175&lt;&gt;"",采购进货!C1175=供应商对账单!$B$4,ISNUMBER(采购进货!B1175),采购进货!B1175&gt;=供应商对账单!$G$4,采购进货!B1175&lt;=供应商对账单!$I$4),采购进货!B1175+ROW()/100000,"")</f>
      </c>
      <c r="N1175">
        <f>IF(AND(ISNUMBER(出库明细!G1175),ISNUMBER(出库明细!E1175),ISNUMBER(出库明细!F1175)),IF(ABS(出库明细!G1175-出库明细!E1175*出库明细!F1175)&gt;0.005,1,0),0)</f>
        <v>0</v>
      </c>
    </row>
    <row r="1176">
      <c r="A1176">
        <f>IF(OR(出库明细!C176="",出库明细!D176=""),"",IF(OR(COUNTIFS(存条明细!$C$4:$C$1003,出库明细!C176,存条明细!$D$4:$D$1003,出库明细!D176)&gt;0,COUNTIFS(出库明细!$C$4:C176,出库明细!C176,出库明细!$D$4:D176,出库明细!D176)&gt;1),"",IFERROR(MATCH(出库明细!C176,总览汇总!$B$5:$B$304,0),900)*10000000+IFERROR(MATCH(出库明细!D176,基础资料!$E$5:$E$104,0),900)*10000+ROW()))</f>
      </c>
      <c r="F1176">
        <f>IF(AND(出库明细!C1176&lt;&gt;"",出库明细!C1176=客户对账单!$B$4,ISNUMBER(出库明细!B1176),出库明细!B1176&gt;=客户对账单!$G$4,出库明细!B1176&lt;=客户对账单!$I$4),出库明细!B1176+ROW()/100000,"")</f>
      </c>
      <c r="H1176">
        <f>IF(AND(采购进货!C1176&lt;&gt;"",采购进货!C1176=供应商对账单!$B$4,ISNUMBER(采购进货!B1176),采购进货!B1176&gt;=供应商对账单!$G$4,采购进货!B1176&lt;=供应商对账单!$I$4),采购进货!B1176+ROW()/100000,"")</f>
      </c>
      <c r="N1176">
        <f>IF(AND(ISNUMBER(出库明细!G1176),ISNUMBER(出库明细!E1176),ISNUMBER(出库明细!F1176)),IF(ABS(出库明细!G1176-出库明细!E1176*出库明细!F1176)&gt;0.005,1,0),0)</f>
        <v>0</v>
      </c>
    </row>
    <row r="1177">
      <c r="A1177">
        <f>IF(OR(出库明细!C177="",出库明细!D177=""),"",IF(OR(COUNTIFS(存条明细!$C$4:$C$1003,出库明细!C177,存条明细!$D$4:$D$1003,出库明细!D177)&gt;0,COUNTIFS(出库明细!$C$4:C177,出库明细!C177,出库明细!$D$4:D177,出库明细!D177)&gt;1),"",IFERROR(MATCH(出库明细!C177,总览汇总!$B$5:$B$304,0),900)*10000000+IFERROR(MATCH(出库明细!D177,基础资料!$E$5:$E$104,0),900)*10000+ROW()))</f>
        <v>450031177</v>
      </c>
      <c r="F1177">
        <f>IF(AND(出库明细!C1177&lt;&gt;"",出库明细!C1177=客户对账单!$B$4,ISNUMBER(出库明细!B1177),出库明细!B1177&gt;=客户对账单!$G$4,出库明细!B1177&lt;=客户对账单!$I$4),出库明细!B1177+ROW()/100000,"")</f>
      </c>
      <c r="H1177">
        <f>IF(AND(采购进货!C1177&lt;&gt;"",采购进货!C1177=供应商对账单!$B$4,ISNUMBER(采购进货!B1177),采购进货!B1177&gt;=供应商对账单!$G$4,采购进货!B1177&lt;=供应商对账单!$I$4),采购进货!B1177+ROW()/100000,"")</f>
      </c>
      <c r="N1177">
        <f>IF(AND(ISNUMBER(出库明细!G1177),ISNUMBER(出库明细!E1177),ISNUMBER(出库明细!F1177)),IF(ABS(出库明细!G1177-出库明细!E1177*出库明细!F1177)&gt;0.005,1,0),0)</f>
        <v>0</v>
      </c>
    </row>
    <row r="1178">
      <c r="A1178">
        <f>IF(OR(出库明细!C178="",出库明细!D178=""),"",IF(OR(COUNTIFS(存条明细!$C$4:$C$1003,出库明细!C178,存条明细!$D$4:$D$1003,出库明细!D178)&gt;0,COUNTIFS(出库明细!$C$4:C178,出库明细!C178,出库明细!$D$4:D178,出库明细!D178)&gt;1),"",IFERROR(MATCH(出库明细!C178,总览汇总!$B$5:$B$304,0),900)*10000000+IFERROR(MATCH(出库明细!D178,基础资料!$E$5:$E$104,0),900)*10000+ROW()))</f>
        <v>450041178</v>
      </c>
      <c r="F1178">
        <f>IF(AND(出库明细!C1178&lt;&gt;"",出库明细!C1178=客户对账单!$B$4,ISNUMBER(出库明细!B1178),出库明细!B1178&gt;=客户对账单!$G$4,出库明细!B1178&lt;=客户对账单!$I$4),出库明细!B1178+ROW()/100000,"")</f>
      </c>
      <c r="H1178">
        <f>IF(AND(采购进货!C1178&lt;&gt;"",采购进货!C1178=供应商对账单!$B$4,ISNUMBER(采购进货!B1178),采购进货!B1178&gt;=供应商对账单!$G$4,采购进货!B1178&lt;=供应商对账单!$I$4),采购进货!B1178+ROW()/100000,"")</f>
      </c>
      <c r="N1178">
        <f>IF(AND(ISNUMBER(出库明细!G1178),ISNUMBER(出库明细!E1178),ISNUMBER(出库明细!F1178)),IF(ABS(出库明细!G1178-出库明细!E1178*出库明细!F1178)&gt;0.005,1,0),0)</f>
        <v>0</v>
      </c>
    </row>
    <row r="1179">
      <c r="A1179">
        <f>IF(OR(出库明细!C179="",出库明细!D179=""),"",IF(OR(COUNTIFS(存条明细!$C$4:$C$1003,出库明细!C179,存条明细!$D$4:$D$1003,出库明细!D179)&gt;0,COUNTIFS(出库明细!$C$4:C179,出库明细!C179,出库明细!$D$4:D179,出库明细!D179)&gt;1),"",IFERROR(MATCH(出库明细!C179,总览汇总!$B$5:$B$304,0),900)*10000000+IFERROR(MATCH(出库明细!D179,基础资料!$E$5:$E$104,0),900)*10000+ROW()))</f>
      </c>
      <c r="F1179">
        <f>IF(AND(出库明细!C1179&lt;&gt;"",出库明细!C1179=客户对账单!$B$4,ISNUMBER(出库明细!B1179),出库明细!B1179&gt;=客户对账单!$G$4,出库明细!B1179&lt;=客户对账单!$I$4),出库明细!B1179+ROW()/100000,"")</f>
      </c>
      <c r="H1179">
        <f>IF(AND(采购进货!C1179&lt;&gt;"",采购进货!C1179=供应商对账单!$B$4,ISNUMBER(采购进货!B1179),采购进货!B1179&gt;=供应商对账单!$G$4,采购进货!B1179&lt;=供应商对账单!$I$4),采购进货!B1179+ROW()/100000,"")</f>
      </c>
      <c r="N1179">
        <f>IF(AND(ISNUMBER(出库明细!G1179),ISNUMBER(出库明细!E1179),ISNUMBER(出库明细!F1179)),IF(ABS(出库明细!G1179-出库明细!E1179*出库明细!F1179)&gt;0.005,1,0),0)</f>
        <v>0</v>
      </c>
    </row>
    <row r="1180">
      <c r="A1180">
        <f>IF(OR(出库明细!C180="",出库明细!D180=""),"",IF(OR(COUNTIFS(存条明细!$C$4:$C$1003,出库明细!C180,存条明细!$D$4:$D$1003,出库明细!D180)&gt;0,COUNTIFS(出库明细!$C$4:C180,出库明细!C180,出库明细!$D$4:D180,出库明细!D180)&gt;1),"",IFERROR(MATCH(出库明细!C180,总览汇总!$B$5:$B$304,0),900)*10000000+IFERROR(MATCH(出库明细!D180,基础资料!$E$5:$E$104,0),900)*10000+ROW()))</f>
      </c>
      <c r="F1180">
        <f>IF(AND(出库明细!C1180&lt;&gt;"",出库明细!C1180=客户对账单!$B$4,ISNUMBER(出库明细!B1180),出库明细!B1180&gt;=客户对账单!$G$4,出库明细!B1180&lt;=客户对账单!$I$4),出库明细!B1180+ROW()/100000,"")</f>
      </c>
      <c r="H1180">
        <f>IF(AND(采购进货!C1180&lt;&gt;"",采购进货!C1180=供应商对账单!$B$4,ISNUMBER(采购进货!B1180),采购进货!B1180&gt;=供应商对账单!$G$4,采购进货!B1180&lt;=供应商对账单!$I$4),采购进货!B1180+ROW()/100000,"")</f>
      </c>
      <c r="N1180">
        <f>IF(AND(ISNUMBER(出库明细!G1180),ISNUMBER(出库明细!E1180),ISNUMBER(出库明细!F1180)),IF(ABS(出库明细!G1180-出库明细!E1180*出库明细!F1180)&gt;0.005,1,0),0)</f>
        <v>0</v>
      </c>
    </row>
    <row r="1181">
      <c r="A1181">
        <f>IF(OR(出库明细!C181="",出库明细!D181=""),"",IF(OR(COUNTIFS(存条明细!$C$4:$C$1003,出库明细!C181,存条明细!$D$4:$D$1003,出库明细!D181)&gt;0,COUNTIFS(出库明细!$C$4:C181,出库明细!C181,出库明细!$D$4:D181,出库明细!D181)&gt;1),"",IFERROR(MATCH(出库明细!C181,总览汇总!$B$5:$B$304,0),900)*10000000+IFERROR(MATCH(出库明细!D181,基础资料!$E$5:$E$104,0),900)*10000+ROW()))</f>
      </c>
      <c r="F1181">
        <f>IF(AND(出库明细!C1181&lt;&gt;"",出库明细!C1181=客户对账单!$B$4,ISNUMBER(出库明细!B1181),出库明细!B1181&gt;=客户对账单!$G$4,出库明细!B1181&lt;=客户对账单!$I$4),出库明细!B1181+ROW()/100000,"")</f>
      </c>
      <c r="H1181">
        <f>IF(AND(采购进货!C1181&lt;&gt;"",采购进货!C1181=供应商对账单!$B$4,ISNUMBER(采购进货!B1181),采购进货!B1181&gt;=供应商对账单!$G$4,采购进货!B1181&lt;=供应商对账单!$I$4),采购进货!B1181+ROW()/100000,"")</f>
      </c>
      <c r="N1181">
        <f>IF(AND(ISNUMBER(出库明细!G1181),ISNUMBER(出库明细!E1181),ISNUMBER(出库明细!F1181)),IF(ABS(出库明细!G1181-出库明细!E1181*出库明细!F1181)&gt;0.005,1,0),0)</f>
        <v>0</v>
      </c>
    </row>
    <row r="1182">
      <c r="A1182">
        <f>IF(OR(出库明细!C182="",出库明细!D182=""),"",IF(OR(COUNTIFS(存条明细!$C$4:$C$1003,出库明细!C182,存条明细!$D$4:$D$1003,出库明细!D182)&gt;0,COUNTIFS(出库明细!$C$4:C182,出库明细!C182,出库明细!$D$4:D182,出库明细!D182)&gt;1),"",IFERROR(MATCH(出库明细!C182,总览汇总!$B$5:$B$304,0),900)*10000000+IFERROR(MATCH(出库明细!D182,基础资料!$E$5:$E$104,0),900)*10000+ROW()))</f>
      </c>
      <c r="F1182">
        <f>IF(AND(出库明细!C1182&lt;&gt;"",出库明细!C1182=客户对账单!$B$4,ISNUMBER(出库明细!B1182),出库明细!B1182&gt;=客户对账单!$G$4,出库明细!B1182&lt;=客户对账单!$I$4),出库明细!B1182+ROW()/100000,"")</f>
      </c>
      <c r="H1182">
        <f>IF(AND(采购进货!C1182&lt;&gt;"",采购进货!C1182=供应商对账单!$B$4,ISNUMBER(采购进货!B1182),采购进货!B1182&gt;=供应商对账单!$G$4,采购进货!B1182&lt;=供应商对账单!$I$4),采购进货!B1182+ROW()/100000,"")</f>
      </c>
      <c r="N1182">
        <f>IF(AND(ISNUMBER(出库明细!G1182),ISNUMBER(出库明细!E1182),ISNUMBER(出库明细!F1182)),IF(ABS(出库明细!G1182-出库明细!E1182*出库明细!F1182)&gt;0.005,1,0),0)</f>
        <v>0</v>
      </c>
    </row>
    <row r="1183">
      <c r="A1183">
        <f>IF(OR(出库明细!C183="",出库明细!D183=""),"",IF(OR(COUNTIFS(存条明细!$C$4:$C$1003,出库明细!C183,存条明细!$D$4:$D$1003,出库明细!D183)&gt;0,COUNTIFS(出库明细!$C$4:C183,出库明细!C183,出库明细!$D$4:D183,出库明细!D183)&gt;1),"",IFERROR(MATCH(出库明细!C183,总览汇总!$B$5:$B$304,0),900)*10000000+IFERROR(MATCH(出库明细!D183,基础资料!$E$5:$E$104,0),900)*10000+ROW()))</f>
      </c>
      <c r="F1183">
        <f>IF(AND(出库明细!C1183&lt;&gt;"",出库明细!C1183=客户对账单!$B$4,ISNUMBER(出库明细!B1183),出库明细!B1183&gt;=客户对账单!$G$4,出库明细!B1183&lt;=客户对账单!$I$4),出库明细!B1183+ROW()/100000,"")</f>
      </c>
      <c r="H1183">
        <f>IF(AND(采购进货!C1183&lt;&gt;"",采购进货!C1183=供应商对账单!$B$4,ISNUMBER(采购进货!B1183),采购进货!B1183&gt;=供应商对账单!$G$4,采购进货!B1183&lt;=供应商对账单!$I$4),采购进货!B1183+ROW()/100000,"")</f>
      </c>
      <c r="N1183">
        <f>IF(AND(ISNUMBER(出库明细!G1183),ISNUMBER(出库明细!E1183),ISNUMBER(出库明细!F1183)),IF(ABS(出库明细!G1183-出库明细!E1183*出库明细!F1183)&gt;0.005,1,0),0)</f>
        <v>0</v>
      </c>
    </row>
    <row r="1184">
      <c r="A1184">
        <f>IF(OR(出库明细!C184="",出库明细!D184=""),"",IF(OR(COUNTIFS(存条明细!$C$4:$C$1003,出库明细!C184,存条明细!$D$4:$D$1003,出库明细!D184)&gt;0,COUNTIFS(出库明细!$C$4:C184,出库明细!C184,出库明细!$D$4:D184,出库明细!D184)&gt;1),"",IFERROR(MATCH(出库明细!C184,总览汇总!$B$5:$B$304,0),900)*10000000+IFERROR(MATCH(出库明细!D184,基础资料!$E$5:$E$104,0),900)*10000+ROW()))</f>
      </c>
      <c r="F1184">
        <f>IF(AND(出库明细!C1184&lt;&gt;"",出库明细!C1184=客户对账单!$B$4,ISNUMBER(出库明细!B1184),出库明细!B1184&gt;=客户对账单!$G$4,出库明细!B1184&lt;=客户对账单!$I$4),出库明细!B1184+ROW()/100000,"")</f>
      </c>
      <c r="H1184">
        <f>IF(AND(采购进货!C1184&lt;&gt;"",采购进货!C1184=供应商对账单!$B$4,ISNUMBER(采购进货!B1184),采购进货!B1184&gt;=供应商对账单!$G$4,采购进货!B1184&lt;=供应商对账单!$I$4),采购进货!B1184+ROW()/100000,"")</f>
      </c>
      <c r="N1184">
        <f>IF(AND(ISNUMBER(出库明细!G1184),ISNUMBER(出库明细!E1184),ISNUMBER(出库明细!F1184)),IF(ABS(出库明细!G1184-出库明细!E1184*出库明细!F1184)&gt;0.005,1,0),0)</f>
        <v>0</v>
      </c>
    </row>
    <row r="1185">
      <c r="A1185">
        <f>IF(OR(出库明细!C185="",出库明细!D185=""),"",IF(OR(COUNTIFS(存条明细!$C$4:$C$1003,出库明细!C185,存条明细!$D$4:$D$1003,出库明细!D185)&gt;0,COUNTIFS(出库明细!$C$4:C185,出库明细!C185,出库明细!$D$4:D185,出库明细!D185)&gt;1),"",IFERROR(MATCH(出库明细!C185,总览汇总!$B$5:$B$304,0),900)*10000000+IFERROR(MATCH(出库明细!D185,基础资料!$E$5:$E$104,0),900)*10000+ROW()))</f>
      </c>
      <c r="F1185">
        <f>IF(AND(出库明细!C1185&lt;&gt;"",出库明细!C1185=客户对账单!$B$4,ISNUMBER(出库明细!B1185),出库明细!B1185&gt;=客户对账单!$G$4,出库明细!B1185&lt;=客户对账单!$I$4),出库明细!B1185+ROW()/100000,"")</f>
      </c>
      <c r="H1185">
        <f>IF(AND(采购进货!C1185&lt;&gt;"",采购进货!C1185=供应商对账单!$B$4,ISNUMBER(采购进货!B1185),采购进货!B1185&gt;=供应商对账单!$G$4,采购进货!B1185&lt;=供应商对账单!$I$4),采购进货!B1185+ROW()/100000,"")</f>
      </c>
      <c r="N1185">
        <f>IF(AND(ISNUMBER(出库明细!G1185),ISNUMBER(出库明细!E1185),ISNUMBER(出库明细!F1185)),IF(ABS(出库明细!G1185-出库明细!E1185*出库明细!F1185)&gt;0.005,1,0),0)</f>
        <v>0</v>
      </c>
    </row>
    <row r="1186">
      <c r="A1186">
        <f>IF(OR(出库明细!C186="",出库明细!D186=""),"",IF(OR(COUNTIFS(存条明细!$C$4:$C$1003,出库明细!C186,存条明细!$D$4:$D$1003,出库明细!D186)&gt;0,COUNTIFS(出库明细!$C$4:C186,出库明细!C186,出库明细!$D$4:D186,出库明细!D186)&gt;1),"",IFERROR(MATCH(出库明细!C186,总览汇总!$B$5:$B$304,0),900)*10000000+IFERROR(MATCH(出库明细!D186,基础资料!$E$5:$E$104,0),900)*10000+ROW()))</f>
      </c>
      <c r="F1186">
        <f>IF(AND(出库明细!C1186&lt;&gt;"",出库明细!C1186=客户对账单!$B$4,ISNUMBER(出库明细!B1186),出库明细!B1186&gt;=客户对账单!$G$4,出库明细!B1186&lt;=客户对账单!$I$4),出库明细!B1186+ROW()/100000,"")</f>
      </c>
      <c r="H1186">
        <f>IF(AND(采购进货!C1186&lt;&gt;"",采购进货!C1186=供应商对账单!$B$4,ISNUMBER(采购进货!B1186),采购进货!B1186&gt;=供应商对账单!$G$4,采购进货!B1186&lt;=供应商对账单!$I$4),采购进货!B1186+ROW()/100000,"")</f>
      </c>
      <c r="N1186">
        <f>IF(AND(ISNUMBER(出库明细!G1186),ISNUMBER(出库明细!E1186),ISNUMBER(出库明细!F1186)),IF(ABS(出库明细!G1186-出库明细!E1186*出库明细!F1186)&gt;0.005,1,0),0)</f>
        <v>0</v>
      </c>
    </row>
    <row r="1187">
      <c r="A1187">
        <f>IF(OR(出库明细!C187="",出库明细!D187=""),"",IF(OR(COUNTIFS(存条明细!$C$4:$C$1003,出库明细!C187,存条明细!$D$4:$D$1003,出库明细!D187)&gt;0,COUNTIFS(出库明细!$C$4:C187,出库明细!C187,出库明细!$D$4:D187,出库明细!D187)&gt;1),"",IFERROR(MATCH(出库明细!C187,总览汇总!$B$5:$B$304,0),900)*10000000+IFERROR(MATCH(出库明细!D187,基础资料!$E$5:$E$104,0),900)*10000+ROW()))</f>
      </c>
      <c r="F1187">
        <f>IF(AND(出库明细!C1187&lt;&gt;"",出库明细!C1187=客户对账单!$B$4,ISNUMBER(出库明细!B1187),出库明细!B1187&gt;=客户对账单!$G$4,出库明细!B1187&lt;=客户对账单!$I$4),出库明细!B1187+ROW()/100000,"")</f>
      </c>
      <c r="H1187">
        <f>IF(AND(采购进货!C1187&lt;&gt;"",采购进货!C1187=供应商对账单!$B$4,ISNUMBER(采购进货!B1187),采购进货!B1187&gt;=供应商对账单!$G$4,采购进货!B1187&lt;=供应商对账单!$I$4),采购进货!B1187+ROW()/100000,"")</f>
      </c>
      <c r="N1187">
        <f>IF(AND(ISNUMBER(出库明细!G1187),ISNUMBER(出库明细!E1187),ISNUMBER(出库明细!F1187)),IF(ABS(出库明细!G1187-出库明细!E1187*出库明细!F1187)&gt;0.005,1,0),0)</f>
        <v>0</v>
      </c>
    </row>
    <row r="1188">
      <c r="A1188">
        <f>IF(OR(出库明细!C188="",出库明细!D188=""),"",IF(OR(COUNTIFS(存条明细!$C$4:$C$1003,出库明细!C188,存条明细!$D$4:$D$1003,出库明细!D188)&gt;0,COUNTIFS(出库明细!$C$4:C188,出库明细!C188,出库明细!$D$4:D188,出库明细!D188)&gt;1),"",IFERROR(MATCH(出库明细!C188,总览汇总!$B$5:$B$304,0),900)*10000000+IFERROR(MATCH(出库明细!D188,基础资料!$E$5:$E$104,0),900)*10000+ROW()))</f>
      </c>
      <c r="F1188">
        <f>IF(AND(出库明细!C1188&lt;&gt;"",出库明细!C1188=客户对账单!$B$4,ISNUMBER(出库明细!B1188),出库明细!B1188&gt;=客户对账单!$G$4,出库明细!B1188&lt;=客户对账单!$I$4),出库明细!B1188+ROW()/100000,"")</f>
      </c>
      <c r="H1188">
        <f>IF(AND(采购进货!C1188&lt;&gt;"",采购进货!C1188=供应商对账单!$B$4,ISNUMBER(采购进货!B1188),采购进货!B1188&gt;=供应商对账单!$G$4,采购进货!B1188&lt;=供应商对账单!$I$4),采购进货!B1188+ROW()/100000,"")</f>
      </c>
      <c r="N1188">
        <f>IF(AND(ISNUMBER(出库明细!G1188),ISNUMBER(出库明细!E1188),ISNUMBER(出库明细!F1188)),IF(ABS(出库明细!G1188-出库明细!E1188*出库明细!F1188)&gt;0.005,1,0),0)</f>
        <v>0</v>
      </c>
    </row>
    <row r="1189">
      <c r="A1189">
        <f>IF(OR(出库明细!C189="",出库明细!D189=""),"",IF(OR(COUNTIFS(存条明细!$C$4:$C$1003,出库明细!C189,存条明细!$D$4:$D$1003,出库明细!D189)&gt;0,COUNTIFS(出库明细!$C$4:C189,出库明细!C189,出库明细!$D$4:D189,出库明细!D189)&gt;1),"",IFERROR(MATCH(出库明细!C189,总览汇总!$B$5:$B$304,0),900)*10000000+IFERROR(MATCH(出库明细!D189,基础资料!$E$5:$E$104,0),900)*10000+ROW()))</f>
      </c>
      <c r="F1189">
        <f>IF(AND(出库明细!C1189&lt;&gt;"",出库明细!C1189=客户对账单!$B$4,ISNUMBER(出库明细!B1189),出库明细!B1189&gt;=客户对账单!$G$4,出库明细!B1189&lt;=客户对账单!$I$4),出库明细!B1189+ROW()/100000,"")</f>
      </c>
      <c r="H1189">
        <f>IF(AND(采购进货!C1189&lt;&gt;"",采购进货!C1189=供应商对账单!$B$4,ISNUMBER(采购进货!B1189),采购进货!B1189&gt;=供应商对账单!$G$4,采购进货!B1189&lt;=供应商对账单!$I$4),采购进货!B1189+ROW()/100000,"")</f>
      </c>
      <c r="N1189">
        <f>IF(AND(ISNUMBER(出库明细!G1189),ISNUMBER(出库明细!E1189),ISNUMBER(出库明细!F1189)),IF(ABS(出库明细!G1189-出库明细!E1189*出库明细!F1189)&gt;0.005,1,0),0)</f>
        <v>0</v>
      </c>
    </row>
    <row r="1190">
      <c r="A1190">
        <f>IF(OR(出库明细!C190="",出库明细!D190=""),"",IF(OR(COUNTIFS(存条明细!$C$4:$C$1003,出库明细!C190,存条明细!$D$4:$D$1003,出库明细!D190)&gt;0,COUNTIFS(出库明细!$C$4:C190,出库明细!C190,出库明细!$D$4:D190,出库明细!D190)&gt;1),"",IFERROR(MATCH(出库明细!C190,总览汇总!$B$5:$B$304,0),900)*10000000+IFERROR(MATCH(出库明细!D190,基础资料!$E$5:$E$104,0),900)*10000+ROW()))</f>
      </c>
      <c r="F1190">
        <f>IF(AND(出库明细!C1190&lt;&gt;"",出库明细!C1190=客户对账单!$B$4,ISNUMBER(出库明细!B1190),出库明细!B1190&gt;=客户对账单!$G$4,出库明细!B1190&lt;=客户对账单!$I$4),出库明细!B1190+ROW()/100000,"")</f>
      </c>
      <c r="H1190">
        <f>IF(AND(采购进货!C1190&lt;&gt;"",采购进货!C1190=供应商对账单!$B$4,ISNUMBER(采购进货!B1190),采购进货!B1190&gt;=供应商对账单!$G$4,采购进货!B1190&lt;=供应商对账单!$I$4),采购进货!B1190+ROW()/100000,"")</f>
      </c>
      <c r="N1190">
        <f>IF(AND(ISNUMBER(出库明细!G1190),ISNUMBER(出库明细!E1190),ISNUMBER(出库明细!F1190)),IF(ABS(出库明细!G1190-出库明细!E1190*出库明细!F1190)&gt;0.005,1,0),0)</f>
        <v>0</v>
      </c>
    </row>
    <row r="1191">
      <c r="A1191">
        <f>IF(OR(出库明细!C191="",出库明细!D191=""),"",IF(OR(COUNTIFS(存条明细!$C$4:$C$1003,出库明细!C191,存条明细!$D$4:$D$1003,出库明细!D191)&gt;0,COUNTIFS(出库明细!$C$4:C191,出库明细!C191,出库明细!$D$4:D191,出库明细!D191)&gt;1),"",IFERROR(MATCH(出库明细!C191,总览汇总!$B$5:$B$304,0),900)*10000000+IFERROR(MATCH(出库明细!D191,基础资料!$E$5:$E$104,0),900)*10000+ROW()))</f>
      </c>
      <c r="F1191">
        <f>IF(AND(出库明细!C1191&lt;&gt;"",出库明细!C1191=客户对账单!$B$4,ISNUMBER(出库明细!B1191),出库明细!B1191&gt;=客户对账单!$G$4,出库明细!B1191&lt;=客户对账单!$I$4),出库明细!B1191+ROW()/100000,"")</f>
      </c>
      <c r="H1191">
        <f>IF(AND(采购进货!C1191&lt;&gt;"",采购进货!C1191=供应商对账单!$B$4,ISNUMBER(采购进货!B1191),采购进货!B1191&gt;=供应商对账单!$G$4,采购进货!B1191&lt;=供应商对账单!$I$4),采购进货!B1191+ROW()/100000,"")</f>
      </c>
      <c r="N1191">
        <f>IF(AND(ISNUMBER(出库明细!G1191),ISNUMBER(出库明细!E1191),ISNUMBER(出库明细!F1191)),IF(ABS(出库明细!G1191-出库明细!E1191*出库明细!F1191)&gt;0.005,1,0),0)</f>
        <v>0</v>
      </c>
    </row>
    <row r="1192">
      <c r="A1192">
        <f>IF(OR(出库明细!C192="",出库明细!D192=""),"",IF(OR(COUNTIFS(存条明细!$C$4:$C$1003,出库明细!C192,存条明细!$D$4:$D$1003,出库明细!D192)&gt;0,COUNTIFS(出库明细!$C$4:C192,出库明细!C192,出库明细!$D$4:D192,出库明细!D192)&gt;1),"",IFERROR(MATCH(出库明细!C192,总览汇总!$B$5:$B$304,0),900)*10000000+IFERROR(MATCH(出库明细!D192,基础资料!$E$5:$E$104,0),900)*10000+ROW()))</f>
      </c>
      <c r="F1192">
        <f>IF(AND(出库明细!C1192&lt;&gt;"",出库明细!C1192=客户对账单!$B$4,ISNUMBER(出库明细!B1192),出库明细!B1192&gt;=客户对账单!$G$4,出库明细!B1192&lt;=客户对账单!$I$4),出库明细!B1192+ROW()/100000,"")</f>
      </c>
      <c r="H1192">
        <f>IF(AND(采购进货!C1192&lt;&gt;"",采购进货!C1192=供应商对账单!$B$4,ISNUMBER(采购进货!B1192),采购进货!B1192&gt;=供应商对账单!$G$4,采购进货!B1192&lt;=供应商对账单!$I$4),采购进货!B1192+ROW()/100000,"")</f>
      </c>
      <c r="N1192">
        <f>IF(AND(ISNUMBER(出库明细!G1192),ISNUMBER(出库明细!E1192),ISNUMBER(出库明细!F1192)),IF(ABS(出库明细!G1192-出库明细!E1192*出库明细!F1192)&gt;0.005,1,0),0)</f>
        <v>0</v>
      </c>
    </row>
    <row r="1193">
      <c r="A1193">
        <f>IF(OR(出库明细!C193="",出库明细!D193=""),"",IF(OR(COUNTIFS(存条明细!$C$4:$C$1003,出库明细!C193,存条明细!$D$4:$D$1003,出库明细!D193)&gt;0,COUNTIFS(出库明细!$C$4:C193,出库明细!C193,出库明细!$D$4:D193,出库明细!D193)&gt;1),"",IFERROR(MATCH(出库明细!C193,总览汇总!$B$5:$B$304,0),900)*10000000+IFERROR(MATCH(出库明细!D193,基础资料!$E$5:$E$104,0),900)*10000+ROW()))</f>
      </c>
      <c r="F1193">
        <f>IF(AND(出库明细!C1193&lt;&gt;"",出库明细!C1193=客户对账单!$B$4,ISNUMBER(出库明细!B1193),出库明细!B1193&gt;=客户对账单!$G$4,出库明细!B1193&lt;=客户对账单!$I$4),出库明细!B1193+ROW()/100000,"")</f>
      </c>
      <c r="H1193">
        <f>IF(AND(采购进货!C1193&lt;&gt;"",采购进货!C1193=供应商对账单!$B$4,ISNUMBER(采购进货!B1193),采购进货!B1193&gt;=供应商对账单!$G$4,采购进货!B1193&lt;=供应商对账单!$I$4),采购进货!B1193+ROW()/100000,"")</f>
      </c>
      <c r="N1193">
        <f>IF(AND(ISNUMBER(出库明细!G1193),ISNUMBER(出库明细!E1193),ISNUMBER(出库明细!F1193)),IF(ABS(出库明细!G1193-出库明细!E1193*出库明细!F1193)&gt;0.005,1,0),0)</f>
        <v>0</v>
      </c>
    </row>
    <row r="1194">
      <c r="A1194">
        <f>IF(OR(出库明细!C194="",出库明细!D194=""),"",IF(OR(COUNTIFS(存条明细!$C$4:$C$1003,出库明细!C194,存条明细!$D$4:$D$1003,出库明细!D194)&gt;0,COUNTIFS(出库明细!$C$4:C194,出库明细!C194,出库明细!$D$4:D194,出库明细!D194)&gt;1),"",IFERROR(MATCH(出库明细!C194,总览汇总!$B$5:$B$304,0),900)*10000000+IFERROR(MATCH(出库明细!D194,基础资料!$E$5:$E$104,0),900)*10000+ROW()))</f>
      </c>
      <c r="F1194">
        <f>IF(AND(出库明细!C1194&lt;&gt;"",出库明细!C1194=客户对账单!$B$4,ISNUMBER(出库明细!B1194),出库明细!B1194&gt;=客户对账单!$G$4,出库明细!B1194&lt;=客户对账单!$I$4),出库明细!B1194+ROW()/100000,"")</f>
      </c>
      <c r="H1194">
        <f>IF(AND(采购进货!C1194&lt;&gt;"",采购进货!C1194=供应商对账单!$B$4,ISNUMBER(采购进货!B1194),采购进货!B1194&gt;=供应商对账单!$G$4,采购进货!B1194&lt;=供应商对账单!$I$4),采购进货!B1194+ROW()/100000,"")</f>
      </c>
      <c r="N1194">
        <f>IF(AND(ISNUMBER(出库明细!G1194),ISNUMBER(出库明细!E1194),ISNUMBER(出库明细!F1194)),IF(ABS(出库明细!G1194-出库明细!E1194*出库明细!F1194)&gt;0.005,1,0),0)</f>
        <v>0</v>
      </c>
    </row>
    <row r="1195">
      <c r="A1195">
        <f>IF(OR(出库明细!C195="",出库明细!D195=""),"",IF(OR(COUNTIFS(存条明细!$C$4:$C$1003,出库明细!C195,存条明细!$D$4:$D$1003,出库明细!D195)&gt;0,COUNTIFS(出库明细!$C$4:C195,出库明细!C195,出库明细!$D$4:D195,出库明细!D195)&gt;1),"",IFERROR(MATCH(出库明细!C195,总览汇总!$B$5:$B$304,0),900)*10000000+IFERROR(MATCH(出库明细!D195,基础资料!$E$5:$E$104,0),900)*10000+ROW()))</f>
      </c>
      <c r="F1195">
        <f>IF(AND(出库明细!C1195&lt;&gt;"",出库明细!C1195=客户对账单!$B$4,ISNUMBER(出库明细!B1195),出库明细!B1195&gt;=客户对账单!$G$4,出库明细!B1195&lt;=客户对账单!$I$4),出库明细!B1195+ROW()/100000,"")</f>
      </c>
      <c r="H1195">
        <f>IF(AND(采购进货!C1195&lt;&gt;"",采购进货!C1195=供应商对账单!$B$4,ISNUMBER(采购进货!B1195),采购进货!B1195&gt;=供应商对账单!$G$4,采购进货!B1195&lt;=供应商对账单!$I$4),采购进货!B1195+ROW()/100000,"")</f>
      </c>
      <c r="N1195">
        <f>IF(AND(ISNUMBER(出库明细!G1195),ISNUMBER(出库明细!E1195),ISNUMBER(出库明细!F1195)),IF(ABS(出库明细!G1195-出库明细!E1195*出库明细!F1195)&gt;0.005,1,0),0)</f>
        <v>0</v>
      </c>
    </row>
    <row r="1196">
      <c r="A1196">
        <f>IF(OR(出库明细!C196="",出库明细!D196=""),"",IF(OR(COUNTIFS(存条明细!$C$4:$C$1003,出库明细!C196,存条明细!$D$4:$D$1003,出库明细!D196)&gt;0,COUNTIFS(出库明细!$C$4:C196,出库明细!C196,出库明细!$D$4:D196,出库明细!D196)&gt;1),"",IFERROR(MATCH(出库明细!C196,总览汇总!$B$5:$B$304,0),900)*10000000+IFERROR(MATCH(出库明细!D196,基础资料!$E$5:$E$104,0),900)*10000+ROW()))</f>
      </c>
      <c r="F1196">
        <f>IF(AND(出库明细!C1196&lt;&gt;"",出库明细!C1196=客户对账单!$B$4,ISNUMBER(出库明细!B1196),出库明细!B1196&gt;=客户对账单!$G$4,出库明细!B1196&lt;=客户对账单!$I$4),出库明细!B1196+ROW()/100000,"")</f>
      </c>
      <c r="H1196">
        <f>IF(AND(采购进货!C1196&lt;&gt;"",采购进货!C1196=供应商对账单!$B$4,ISNUMBER(采购进货!B1196),采购进货!B1196&gt;=供应商对账单!$G$4,采购进货!B1196&lt;=供应商对账单!$I$4),采购进货!B1196+ROW()/100000,"")</f>
      </c>
      <c r="N1196">
        <f>IF(AND(ISNUMBER(出库明细!G1196),ISNUMBER(出库明细!E1196),ISNUMBER(出库明细!F1196)),IF(ABS(出库明细!G1196-出库明细!E1196*出库明细!F1196)&gt;0.005,1,0),0)</f>
        <v>0</v>
      </c>
    </row>
    <row r="1197">
      <c r="A1197">
        <f>IF(OR(出库明细!C197="",出库明细!D197=""),"",IF(OR(COUNTIFS(存条明细!$C$4:$C$1003,出库明细!C197,存条明细!$D$4:$D$1003,出库明细!D197)&gt;0,COUNTIFS(出库明细!$C$4:C197,出库明细!C197,出库明细!$D$4:D197,出库明细!D197)&gt;1),"",IFERROR(MATCH(出库明细!C197,总览汇总!$B$5:$B$304,0),900)*10000000+IFERROR(MATCH(出库明细!D197,基础资料!$E$5:$E$104,0),900)*10000+ROW()))</f>
      </c>
      <c r="F1197">
        <f>IF(AND(出库明细!C1197&lt;&gt;"",出库明细!C1197=客户对账单!$B$4,ISNUMBER(出库明细!B1197),出库明细!B1197&gt;=客户对账单!$G$4,出库明细!B1197&lt;=客户对账单!$I$4),出库明细!B1197+ROW()/100000,"")</f>
      </c>
      <c r="H1197">
        <f>IF(AND(采购进货!C1197&lt;&gt;"",采购进货!C1197=供应商对账单!$B$4,ISNUMBER(采购进货!B1197),采购进货!B1197&gt;=供应商对账单!$G$4,采购进货!B1197&lt;=供应商对账单!$I$4),采购进货!B1197+ROW()/100000,"")</f>
      </c>
      <c r="N1197">
        <f>IF(AND(ISNUMBER(出库明细!G1197),ISNUMBER(出库明细!E1197),ISNUMBER(出库明细!F1197)),IF(ABS(出库明细!G1197-出库明细!E1197*出库明细!F1197)&gt;0.005,1,0),0)</f>
        <v>0</v>
      </c>
    </row>
    <row r="1198">
      <c r="A1198">
        <f>IF(OR(出库明细!C198="",出库明细!D198=""),"",IF(OR(COUNTIFS(存条明细!$C$4:$C$1003,出库明细!C198,存条明细!$D$4:$D$1003,出库明细!D198)&gt;0,COUNTIFS(出库明细!$C$4:C198,出库明细!C198,出库明细!$D$4:D198,出库明细!D198)&gt;1),"",IFERROR(MATCH(出库明细!C198,总览汇总!$B$5:$B$304,0),900)*10000000+IFERROR(MATCH(出库明细!D198,基础资料!$E$5:$E$104,0),900)*10000+ROW()))</f>
      </c>
      <c r="F1198">
        <f>IF(AND(出库明细!C1198&lt;&gt;"",出库明细!C1198=客户对账单!$B$4,ISNUMBER(出库明细!B1198),出库明细!B1198&gt;=客户对账单!$G$4,出库明细!B1198&lt;=客户对账单!$I$4),出库明细!B1198+ROW()/100000,"")</f>
      </c>
      <c r="H1198">
        <f>IF(AND(采购进货!C1198&lt;&gt;"",采购进货!C1198=供应商对账单!$B$4,ISNUMBER(采购进货!B1198),采购进货!B1198&gt;=供应商对账单!$G$4,采购进货!B1198&lt;=供应商对账单!$I$4),采购进货!B1198+ROW()/100000,"")</f>
      </c>
      <c r="N1198">
        <f>IF(AND(ISNUMBER(出库明细!G1198),ISNUMBER(出库明细!E1198),ISNUMBER(出库明细!F1198)),IF(ABS(出库明细!G1198-出库明细!E1198*出库明细!F1198)&gt;0.005,1,0),0)</f>
        <v>0</v>
      </c>
    </row>
    <row r="1199">
      <c r="A1199">
        <f>IF(OR(出库明细!C199="",出库明细!D199=""),"",IF(OR(COUNTIFS(存条明细!$C$4:$C$1003,出库明细!C199,存条明细!$D$4:$D$1003,出库明细!D199)&gt;0,COUNTIFS(出库明细!$C$4:C199,出库明细!C199,出库明细!$D$4:D199,出库明细!D199)&gt;1),"",IFERROR(MATCH(出库明细!C199,总览汇总!$B$5:$B$304,0),900)*10000000+IFERROR(MATCH(出库明细!D199,基础资料!$E$5:$E$104,0),900)*10000+ROW()))</f>
      </c>
      <c r="F1199">
        <f>IF(AND(出库明细!C1199&lt;&gt;"",出库明细!C1199=客户对账单!$B$4,ISNUMBER(出库明细!B1199),出库明细!B1199&gt;=客户对账单!$G$4,出库明细!B1199&lt;=客户对账单!$I$4),出库明细!B1199+ROW()/100000,"")</f>
      </c>
      <c r="H1199">
        <f>IF(AND(采购进货!C1199&lt;&gt;"",采购进货!C1199=供应商对账单!$B$4,ISNUMBER(采购进货!B1199),采购进货!B1199&gt;=供应商对账单!$G$4,采购进货!B1199&lt;=供应商对账单!$I$4),采购进货!B1199+ROW()/100000,"")</f>
      </c>
      <c r="N1199">
        <f>IF(AND(ISNUMBER(出库明细!G1199),ISNUMBER(出库明细!E1199),ISNUMBER(出库明细!F1199)),IF(ABS(出库明细!G1199-出库明细!E1199*出库明细!F1199)&gt;0.005,1,0),0)</f>
        <v>0</v>
      </c>
    </row>
    <row r="1200">
      <c r="A1200">
        <f>IF(OR(出库明细!C200="",出库明细!D200=""),"",IF(OR(COUNTIFS(存条明细!$C$4:$C$1003,出库明细!C200,存条明细!$D$4:$D$1003,出库明细!D200)&gt;0,COUNTIFS(出库明细!$C$4:C200,出库明细!C200,出库明细!$D$4:D200,出库明细!D200)&gt;1),"",IFERROR(MATCH(出库明细!C200,总览汇总!$B$5:$B$304,0),900)*10000000+IFERROR(MATCH(出库明细!D200,基础资料!$E$5:$E$104,0),900)*10000+ROW()))</f>
      </c>
      <c r="F1200">
        <f>IF(AND(出库明细!C1200&lt;&gt;"",出库明细!C1200=客户对账单!$B$4,ISNUMBER(出库明细!B1200),出库明细!B1200&gt;=客户对账单!$G$4,出库明细!B1200&lt;=客户对账单!$I$4),出库明细!B1200+ROW()/100000,"")</f>
      </c>
      <c r="H1200">
        <f>IF(AND(采购进货!C1200&lt;&gt;"",采购进货!C1200=供应商对账单!$B$4,ISNUMBER(采购进货!B1200),采购进货!B1200&gt;=供应商对账单!$G$4,采购进货!B1200&lt;=供应商对账单!$I$4),采购进货!B1200+ROW()/100000,"")</f>
      </c>
      <c r="N1200">
        <f>IF(AND(ISNUMBER(出库明细!G1200),ISNUMBER(出库明细!E1200),ISNUMBER(出库明细!F1200)),IF(ABS(出库明细!G1200-出库明细!E1200*出库明细!F1200)&gt;0.005,1,0),0)</f>
        <v>0</v>
      </c>
    </row>
    <row r="1201">
      <c r="A1201">
        <f>IF(OR(出库明细!C201="",出库明细!D201=""),"",IF(OR(COUNTIFS(存条明细!$C$4:$C$1003,出库明细!C201,存条明细!$D$4:$D$1003,出库明细!D201)&gt;0,COUNTIFS(出库明细!$C$4:C201,出库明细!C201,出库明细!$D$4:D201,出库明细!D201)&gt;1),"",IFERROR(MATCH(出库明细!C201,总览汇总!$B$5:$B$304,0),900)*10000000+IFERROR(MATCH(出库明细!D201,基础资料!$E$5:$E$104,0),900)*10000+ROW()))</f>
      </c>
      <c r="F1201">
        <f>IF(AND(出库明细!C1201&lt;&gt;"",出库明细!C1201=客户对账单!$B$4,ISNUMBER(出库明细!B1201),出库明细!B1201&gt;=客户对账单!$G$4,出库明细!B1201&lt;=客户对账单!$I$4),出库明细!B1201+ROW()/100000,"")</f>
      </c>
      <c r="H1201">
        <f>IF(AND(采购进货!C1201&lt;&gt;"",采购进货!C1201=供应商对账单!$B$4,ISNUMBER(采购进货!B1201),采购进货!B1201&gt;=供应商对账单!$G$4,采购进货!B1201&lt;=供应商对账单!$I$4),采购进货!B1201+ROW()/100000,"")</f>
      </c>
      <c r="N1201">
        <f>IF(AND(ISNUMBER(出库明细!G1201),ISNUMBER(出库明细!E1201),ISNUMBER(出库明细!F1201)),IF(ABS(出库明细!G1201-出库明细!E1201*出库明细!F1201)&gt;0.005,1,0),0)</f>
        <v>0</v>
      </c>
    </row>
    <row r="1202">
      <c r="A1202">
        <f>IF(OR(出库明细!C202="",出库明细!D202=""),"",IF(OR(COUNTIFS(存条明细!$C$4:$C$1003,出库明细!C202,存条明细!$D$4:$D$1003,出库明细!D202)&gt;0,COUNTIFS(出库明细!$C$4:C202,出库明细!C202,出库明细!$D$4:D202,出库明细!D202)&gt;1),"",IFERROR(MATCH(出库明细!C202,总览汇总!$B$5:$B$304,0),900)*10000000+IFERROR(MATCH(出库明细!D202,基础资料!$E$5:$E$104,0),900)*10000+ROW()))</f>
      </c>
      <c r="F1202">
        <f>IF(AND(出库明细!C1202&lt;&gt;"",出库明细!C1202=客户对账单!$B$4,ISNUMBER(出库明细!B1202),出库明细!B1202&gt;=客户对账单!$G$4,出库明细!B1202&lt;=客户对账单!$I$4),出库明细!B1202+ROW()/100000,"")</f>
      </c>
      <c r="H1202">
        <f>IF(AND(采购进货!C1202&lt;&gt;"",采购进货!C1202=供应商对账单!$B$4,ISNUMBER(采购进货!B1202),采购进货!B1202&gt;=供应商对账单!$G$4,采购进货!B1202&lt;=供应商对账单!$I$4),采购进货!B1202+ROW()/100000,"")</f>
      </c>
      <c r="N1202">
        <f>IF(AND(ISNUMBER(出库明细!G1202),ISNUMBER(出库明细!E1202),ISNUMBER(出库明细!F1202)),IF(ABS(出库明细!G1202-出库明细!E1202*出库明细!F1202)&gt;0.005,1,0),0)</f>
        <v>0</v>
      </c>
    </row>
    <row r="1203">
      <c r="A1203">
        <f>IF(OR(出库明细!C203="",出库明细!D203=""),"",IF(OR(COUNTIFS(存条明细!$C$4:$C$1003,出库明细!C203,存条明细!$D$4:$D$1003,出库明细!D203)&gt;0,COUNTIFS(出库明细!$C$4:C203,出库明细!C203,出库明细!$D$4:D203,出库明细!D203)&gt;1),"",IFERROR(MATCH(出库明细!C203,总览汇总!$B$5:$B$304,0),900)*10000000+IFERROR(MATCH(出库明细!D203,基础资料!$E$5:$E$104,0),900)*10000+ROW()))</f>
      </c>
      <c r="F1203">
        <f>IF(AND(出库明细!C1203&lt;&gt;"",出库明细!C1203=客户对账单!$B$4,ISNUMBER(出库明细!B1203),出库明细!B1203&gt;=客户对账单!$G$4,出库明细!B1203&lt;=客户对账单!$I$4),出库明细!B1203+ROW()/100000,"")</f>
      </c>
      <c r="H1203">
        <f>IF(AND(采购进货!C1203&lt;&gt;"",采购进货!C1203=供应商对账单!$B$4,ISNUMBER(采购进货!B1203),采购进货!B1203&gt;=供应商对账单!$G$4,采购进货!B1203&lt;=供应商对账单!$I$4),采购进货!B1203+ROW()/100000,"")</f>
      </c>
      <c r="N1203">
        <f>IF(AND(ISNUMBER(出库明细!G1203),ISNUMBER(出库明细!E1203),ISNUMBER(出库明细!F1203)),IF(ABS(出库明细!G1203-出库明细!E1203*出库明细!F1203)&gt;0.005,1,0),0)</f>
        <v>0</v>
      </c>
    </row>
    <row r="1204">
      <c r="A1204">
        <f>IF(OR(出库明细!C204="",出库明细!D204=""),"",IF(OR(COUNTIFS(存条明细!$C$4:$C$1003,出库明细!C204,存条明细!$D$4:$D$1003,出库明细!D204)&gt;0,COUNTIFS(出库明细!$C$4:C204,出库明细!C204,出库明细!$D$4:D204,出库明细!D204)&gt;1),"",IFERROR(MATCH(出库明细!C204,总览汇总!$B$5:$B$304,0),900)*10000000+IFERROR(MATCH(出库明细!D204,基础资料!$E$5:$E$104,0),900)*10000+ROW()))</f>
      </c>
      <c r="F1204">
        <f>IF(AND(出库明细!C1204&lt;&gt;"",出库明细!C1204=客户对账单!$B$4,ISNUMBER(出库明细!B1204),出库明细!B1204&gt;=客户对账单!$G$4,出库明细!B1204&lt;=客户对账单!$I$4),出库明细!B1204+ROW()/100000,"")</f>
      </c>
      <c r="H1204">
        <f>IF(AND(采购进货!C1204&lt;&gt;"",采购进货!C1204=供应商对账单!$B$4,ISNUMBER(采购进货!B1204),采购进货!B1204&gt;=供应商对账单!$G$4,采购进货!B1204&lt;=供应商对账单!$I$4),采购进货!B1204+ROW()/100000,"")</f>
      </c>
      <c r="N1204">
        <f>IF(AND(ISNUMBER(出库明细!G1204),ISNUMBER(出库明细!E1204),ISNUMBER(出库明细!F1204)),IF(ABS(出库明细!G1204-出库明细!E1204*出库明细!F1204)&gt;0.005,1,0),0)</f>
        <v>0</v>
      </c>
    </row>
    <row r="1205">
      <c r="A1205">
        <f>IF(OR(出库明细!C205="",出库明细!D205=""),"",IF(OR(COUNTIFS(存条明细!$C$4:$C$1003,出库明细!C205,存条明细!$D$4:$D$1003,出库明细!D205)&gt;0,COUNTIFS(出库明细!$C$4:C205,出库明细!C205,出库明细!$D$4:D205,出库明细!D205)&gt;1),"",IFERROR(MATCH(出库明细!C205,总览汇总!$B$5:$B$304,0),900)*10000000+IFERROR(MATCH(出库明细!D205,基础资料!$E$5:$E$104,0),900)*10000+ROW()))</f>
      </c>
      <c r="F1205">
        <f>IF(AND(出库明细!C1205&lt;&gt;"",出库明细!C1205=客户对账单!$B$4,ISNUMBER(出库明细!B1205),出库明细!B1205&gt;=客户对账单!$G$4,出库明细!B1205&lt;=客户对账单!$I$4),出库明细!B1205+ROW()/100000,"")</f>
      </c>
      <c r="H1205">
        <f>IF(AND(采购进货!C1205&lt;&gt;"",采购进货!C1205=供应商对账单!$B$4,ISNUMBER(采购进货!B1205),采购进货!B1205&gt;=供应商对账单!$G$4,采购进货!B1205&lt;=供应商对账单!$I$4),采购进货!B1205+ROW()/100000,"")</f>
      </c>
      <c r="N1205">
        <f>IF(AND(ISNUMBER(出库明细!G1205),ISNUMBER(出库明细!E1205),ISNUMBER(出库明细!F1205)),IF(ABS(出库明细!G1205-出库明细!E1205*出库明细!F1205)&gt;0.005,1,0),0)</f>
        <v>0</v>
      </c>
    </row>
    <row r="1206">
      <c r="A1206">
        <f>IF(OR(出库明细!C206="",出库明细!D206=""),"",IF(OR(COUNTIFS(存条明细!$C$4:$C$1003,出库明细!C206,存条明细!$D$4:$D$1003,出库明细!D206)&gt;0,COUNTIFS(出库明细!$C$4:C206,出库明细!C206,出库明细!$D$4:D206,出库明细!D206)&gt;1),"",IFERROR(MATCH(出库明细!C206,总览汇总!$B$5:$B$304,0),900)*10000000+IFERROR(MATCH(出库明细!D206,基础资料!$E$5:$E$104,0),900)*10000+ROW()))</f>
      </c>
      <c r="F1206">
        <f>IF(AND(出库明细!C1206&lt;&gt;"",出库明细!C1206=客户对账单!$B$4,ISNUMBER(出库明细!B1206),出库明细!B1206&gt;=客户对账单!$G$4,出库明细!B1206&lt;=客户对账单!$I$4),出库明细!B1206+ROW()/100000,"")</f>
      </c>
      <c r="H1206">
        <f>IF(AND(采购进货!C1206&lt;&gt;"",采购进货!C1206=供应商对账单!$B$4,ISNUMBER(采购进货!B1206),采购进货!B1206&gt;=供应商对账单!$G$4,采购进货!B1206&lt;=供应商对账单!$I$4),采购进货!B1206+ROW()/100000,"")</f>
      </c>
      <c r="N1206">
        <f>IF(AND(ISNUMBER(出库明细!G1206),ISNUMBER(出库明细!E1206),ISNUMBER(出库明细!F1206)),IF(ABS(出库明细!G1206-出库明细!E1206*出库明细!F1206)&gt;0.005,1,0),0)</f>
        <v>0</v>
      </c>
    </row>
    <row r="1207">
      <c r="A1207">
        <f>IF(OR(出库明细!C207="",出库明细!D207=""),"",IF(OR(COUNTIFS(存条明细!$C$4:$C$1003,出库明细!C207,存条明细!$D$4:$D$1003,出库明细!D207)&gt;0,COUNTIFS(出库明细!$C$4:C207,出库明细!C207,出库明细!$D$4:D207,出库明细!D207)&gt;1),"",IFERROR(MATCH(出库明细!C207,总览汇总!$B$5:$B$304,0),900)*10000000+IFERROR(MATCH(出库明细!D207,基础资料!$E$5:$E$104,0),900)*10000+ROW()))</f>
      </c>
      <c r="F1207">
        <f>IF(AND(出库明细!C1207&lt;&gt;"",出库明细!C1207=客户对账单!$B$4,ISNUMBER(出库明细!B1207),出库明细!B1207&gt;=客户对账单!$G$4,出库明细!B1207&lt;=客户对账单!$I$4),出库明细!B1207+ROW()/100000,"")</f>
      </c>
      <c r="H1207">
        <f>IF(AND(采购进货!C1207&lt;&gt;"",采购进货!C1207=供应商对账单!$B$4,ISNUMBER(采购进货!B1207),采购进货!B1207&gt;=供应商对账单!$G$4,采购进货!B1207&lt;=供应商对账单!$I$4),采购进货!B1207+ROW()/100000,"")</f>
      </c>
      <c r="N1207">
        <f>IF(AND(ISNUMBER(出库明细!G1207),ISNUMBER(出库明细!E1207),ISNUMBER(出库明细!F1207)),IF(ABS(出库明细!G1207-出库明细!E1207*出库明细!F1207)&gt;0.005,1,0),0)</f>
        <v>0</v>
      </c>
    </row>
    <row r="1208">
      <c r="A1208">
        <f>IF(OR(出库明细!C208="",出库明细!D208=""),"",IF(OR(COUNTIFS(存条明细!$C$4:$C$1003,出库明细!C208,存条明细!$D$4:$D$1003,出库明细!D208)&gt;0,COUNTIFS(出库明细!$C$4:C208,出库明细!C208,出库明细!$D$4:D208,出库明细!D208)&gt;1),"",IFERROR(MATCH(出库明细!C208,总览汇总!$B$5:$B$304,0),900)*10000000+IFERROR(MATCH(出库明细!D208,基础资料!$E$5:$E$104,0),900)*10000+ROW()))</f>
      </c>
      <c r="F1208">
        <f>IF(AND(出库明细!C1208&lt;&gt;"",出库明细!C1208=客户对账单!$B$4,ISNUMBER(出库明细!B1208),出库明细!B1208&gt;=客户对账单!$G$4,出库明细!B1208&lt;=客户对账单!$I$4),出库明细!B1208+ROW()/100000,"")</f>
      </c>
      <c r="H1208">
        <f>IF(AND(采购进货!C1208&lt;&gt;"",采购进货!C1208=供应商对账单!$B$4,ISNUMBER(采购进货!B1208),采购进货!B1208&gt;=供应商对账单!$G$4,采购进货!B1208&lt;=供应商对账单!$I$4),采购进货!B1208+ROW()/100000,"")</f>
      </c>
      <c r="N1208">
        <f>IF(AND(ISNUMBER(出库明细!G1208),ISNUMBER(出库明细!E1208),ISNUMBER(出库明细!F1208)),IF(ABS(出库明细!G1208-出库明细!E1208*出库明细!F1208)&gt;0.005,1,0),0)</f>
        <v>0</v>
      </c>
    </row>
    <row r="1209">
      <c r="A1209">
        <f>IF(OR(出库明细!C209="",出库明细!D209=""),"",IF(OR(COUNTIFS(存条明细!$C$4:$C$1003,出库明细!C209,存条明细!$D$4:$D$1003,出库明细!D209)&gt;0,COUNTIFS(出库明细!$C$4:C209,出库明细!C209,出库明细!$D$4:D209,出库明细!D209)&gt;1),"",IFERROR(MATCH(出库明细!C209,总览汇总!$B$5:$B$304,0),900)*10000000+IFERROR(MATCH(出库明细!D209,基础资料!$E$5:$E$104,0),900)*10000+ROW()))</f>
        <v>680011209</v>
      </c>
      <c r="F1209">
        <f>IF(AND(出库明细!C1209&lt;&gt;"",出库明细!C1209=客户对账单!$B$4,ISNUMBER(出库明细!B1209),出库明细!B1209&gt;=客户对账单!$G$4,出库明细!B1209&lt;=客户对账单!$I$4),出库明细!B1209+ROW()/100000,"")</f>
      </c>
      <c r="H1209">
        <f>IF(AND(采购进货!C1209&lt;&gt;"",采购进货!C1209=供应商对账单!$B$4,ISNUMBER(采购进货!B1209),采购进货!B1209&gt;=供应商对账单!$G$4,采购进货!B1209&lt;=供应商对账单!$I$4),采购进货!B1209+ROW()/100000,"")</f>
      </c>
      <c r="N1209">
        <f>IF(AND(ISNUMBER(出库明细!G1209),ISNUMBER(出库明细!E1209),ISNUMBER(出库明细!F1209)),IF(ABS(出库明细!G1209-出库明细!E1209*出库明细!F1209)&gt;0.005,1,0),0)</f>
        <v>0</v>
      </c>
    </row>
    <row r="1210">
      <c r="A1210">
        <f>IF(OR(出库明细!C210="",出库明细!D210=""),"",IF(OR(COUNTIFS(存条明细!$C$4:$C$1003,出库明细!C210,存条明细!$D$4:$D$1003,出库明细!D210)&gt;0,COUNTIFS(出库明细!$C$4:C210,出库明细!C210,出库明细!$D$4:D210,出库明细!D210)&gt;1),"",IFERROR(MATCH(出库明细!C210,总览汇总!$B$5:$B$304,0),900)*10000000+IFERROR(MATCH(出库明细!D210,基础资料!$E$5:$E$104,0),900)*10000+ROW()))</f>
        <v>680031210</v>
      </c>
      <c r="F1210">
        <f>IF(AND(出库明细!C1210&lt;&gt;"",出库明细!C1210=客户对账单!$B$4,ISNUMBER(出库明细!B1210),出库明细!B1210&gt;=客户对账单!$G$4,出库明细!B1210&lt;=客户对账单!$I$4),出库明细!B1210+ROW()/100000,"")</f>
      </c>
      <c r="H1210">
        <f>IF(AND(采购进货!C1210&lt;&gt;"",采购进货!C1210=供应商对账单!$B$4,ISNUMBER(采购进货!B1210),采购进货!B1210&gt;=供应商对账单!$G$4,采购进货!B1210&lt;=供应商对账单!$I$4),采购进货!B1210+ROW()/100000,"")</f>
      </c>
      <c r="N1210">
        <f>IF(AND(ISNUMBER(出库明细!G1210),ISNUMBER(出库明细!E1210),ISNUMBER(出库明细!F1210)),IF(ABS(出库明细!G1210-出库明细!E1210*出库明细!F1210)&gt;0.005,1,0),0)</f>
        <v>0</v>
      </c>
    </row>
    <row r="1211">
      <c r="A1211">
        <f>IF(OR(出库明细!C211="",出库明细!D211=""),"",IF(OR(COUNTIFS(存条明细!$C$4:$C$1003,出库明细!C211,存条明细!$D$4:$D$1003,出库明细!D211)&gt;0,COUNTIFS(出库明细!$C$4:C211,出库明细!C211,出库明细!$D$4:D211,出库明细!D211)&gt;1),"",IFERROR(MATCH(出库明细!C211,总览汇总!$B$5:$B$304,0),900)*10000000+IFERROR(MATCH(出库明细!D211,基础资料!$E$5:$E$104,0),900)*10000+ROW()))</f>
        <v>680051211</v>
      </c>
      <c r="F1211">
        <f>IF(AND(出库明细!C1211&lt;&gt;"",出库明细!C1211=客户对账单!$B$4,ISNUMBER(出库明细!B1211),出库明细!B1211&gt;=客户对账单!$G$4,出库明细!B1211&lt;=客户对账单!$I$4),出库明细!B1211+ROW()/100000,"")</f>
      </c>
      <c r="H1211">
        <f>IF(AND(采购进货!C1211&lt;&gt;"",采购进货!C1211=供应商对账单!$B$4,ISNUMBER(采购进货!B1211),采购进货!B1211&gt;=供应商对账单!$G$4,采购进货!B1211&lt;=供应商对账单!$I$4),采购进货!B1211+ROW()/100000,"")</f>
      </c>
      <c r="N1211">
        <f>IF(AND(ISNUMBER(出库明细!G1211),ISNUMBER(出库明细!E1211),ISNUMBER(出库明细!F1211)),IF(ABS(出库明细!G1211-出库明细!E1211*出库明细!F1211)&gt;0.005,1,0),0)</f>
        <v>0</v>
      </c>
    </row>
    <row r="1212">
      <c r="A1212">
        <f>IF(OR(出库明细!C212="",出库明细!D212=""),"",IF(OR(COUNTIFS(存条明细!$C$4:$C$1003,出库明细!C212,存条明细!$D$4:$D$1003,出库明细!D212)&gt;0,COUNTIFS(出库明细!$C$4:C212,出库明细!C212,出库明细!$D$4:D212,出库明细!D212)&gt;1),"",IFERROR(MATCH(出库明细!C212,总览汇总!$B$5:$B$304,0),900)*10000000+IFERROR(MATCH(出库明细!D212,基础资料!$E$5:$E$104,0),900)*10000+ROW()))</f>
      </c>
      <c r="F1212">
        <f>IF(AND(出库明细!C1212&lt;&gt;"",出库明细!C1212=客户对账单!$B$4,ISNUMBER(出库明细!B1212),出库明细!B1212&gt;=客户对账单!$G$4,出库明细!B1212&lt;=客户对账单!$I$4),出库明细!B1212+ROW()/100000,"")</f>
      </c>
      <c r="H1212">
        <f>IF(AND(采购进货!C1212&lt;&gt;"",采购进货!C1212=供应商对账单!$B$4,ISNUMBER(采购进货!B1212),采购进货!B1212&gt;=供应商对账单!$G$4,采购进货!B1212&lt;=供应商对账单!$I$4),采购进货!B1212+ROW()/100000,"")</f>
      </c>
      <c r="N1212">
        <f>IF(AND(ISNUMBER(出库明细!G1212),ISNUMBER(出库明细!E1212),ISNUMBER(出库明细!F1212)),IF(ABS(出库明细!G1212-出库明细!E1212*出库明细!F1212)&gt;0.005,1,0),0)</f>
        <v>0</v>
      </c>
    </row>
    <row r="1213">
      <c r="A1213">
        <f>IF(OR(出库明细!C213="",出库明细!D213=""),"",IF(OR(COUNTIFS(存条明细!$C$4:$C$1003,出库明细!C213,存条明细!$D$4:$D$1003,出库明细!D213)&gt;0,COUNTIFS(出库明细!$C$4:C213,出库明细!C213,出库明细!$D$4:D213,出库明细!D213)&gt;1),"",IFERROR(MATCH(出库明细!C213,总览汇总!$B$5:$B$304,0),900)*10000000+IFERROR(MATCH(出库明细!D213,基础资料!$E$5:$E$104,0),900)*10000+ROW()))</f>
      </c>
      <c r="F1213">
        <f>IF(AND(出库明细!C1213&lt;&gt;"",出库明细!C1213=客户对账单!$B$4,ISNUMBER(出库明细!B1213),出库明细!B1213&gt;=客户对账单!$G$4,出库明细!B1213&lt;=客户对账单!$I$4),出库明细!B1213+ROW()/100000,"")</f>
      </c>
      <c r="H1213">
        <f>IF(AND(采购进货!C1213&lt;&gt;"",采购进货!C1213=供应商对账单!$B$4,ISNUMBER(采购进货!B1213),采购进货!B1213&gt;=供应商对账单!$G$4,采购进货!B1213&lt;=供应商对账单!$I$4),采购进货!B1213+ROW()/100000,"")</f>
      </c>
      <c r="N1213">
        <f>IF(AND(ISNUMBER(出库明细!G1213),ISNUMBER(出库明细!E1213),ISNUMBER(出库明细!F1213)),IF(ABS(出库明细!G1213-出库明细!E1213*出库明细!F1213)&gt;0.005,1,0),0)</f>
        <v>0</v>
      </c>
    </row>
    <row r="1214">
      <c r="A1214">
        <f>IF(OR(出库明细!C214="",出库明细!D214=""),"",IF(OR(COUNTIFS(存条明细!$C$4:$C$1003,出库明细!C214,存条明细!$D$4:$D$1003,出库明细!D214)&gt;0,COUNTIFS(出库明细!$C$4:C214,出库明细!C214,出库明细!$D$4:D214,出库明细!D214)&gt;1),"",IFERROR(MATCH(出库明细!C214,总览汇总!$B$5:$B$304,0),900)*10000000+IFERROR(MATCH(出库明细!D214,基础资料!$E$5:$E$104,0),900)*10000+ROW()))</f>
      </c>
      <c r="F1214">
        <f>IF(AND(出库明细!C1214&lt;&gt;"",出库明细!C1214=客户对账单!$B$4,ISNUMBER(出库明细!B1214),出库明细!B1214&gt;=客户对账单!$G$4,出库明细!B1214&lt;=客户对账单!$I$4),出库明细!B1214+ROW()/100000,"")</f>
      </c>
      <c r="H1214">
        <f>IF(AND(采购进货!C1214&lt;&gt;"",采购进货!C1214=供应商对账单!$B$4,ISNUMBER(采购进货!B1214),采购进货!B1214&gt;=供应商对账单!$G$4,采购进货!B1214&lt;=供应商对账单!$I$4),采购进货!B1214+ROW()/100000,"")</f>
      </c>
      <c r="N1214">
        <f>IF(AND(ISNUMBER(出库明细!G1214),ISNUMBER(出库明细!E1214),ISNUMBER(出库明细!F1214)),IF(ABS(出库明细!G1214-出库明细!E1214*出库明细!F1214)&gt;0.005,1,0),0)</f>
        <v>0</v>
      </c>
    </row>
    <row r="1215">
      <c r="A1215">
        <f>IF(OR(出库明细!C215="",出库明细!D215=""),"",IF(OR(COUNTIFS(存条明细!$C$4:$C$1003,出库明细!C215,存条明细!$D$4:$D$1003,出库明细!D215)&gt;0,COUNTIFS(出库明细!$C$4:C215,出库明细!C215,出库明细!$D$4:D215,出库明细!D215)&gt;1),"",IFERROR(MATCH(出库明细!C215,总览汇总!$B$5:$B$304,0),900)*10000000+IFERROR(MATCH(出库明细!D215,基础资料!$E$5:$E$104,0),900)*10000+ROW()))</f>
      </c>
      <c r="F1215">
        <f>IF(AND(出库明细!C1215&lt;&gt;"",出库明细!C1215=客户对账单!$B$4,ISNUMBER(出库明细!B1215),出库明细!B1215&gt;=客户对账单!$G$4,出库明细!B1215&lt;=客户对账单!$I$4),出库明细!B1215+ROW()/100000,"")</f>
      </c>
      <c r="H1215">
        <f>IF(AND(采购进货!C1215&lt;&gt;"",采购进货!C1215=供应商对账单!$B$4,ISNUMBER(采购进货!B1215),采购进货!B1215&gt;=供应商对账单!$G$4,采购进货!B1215&lt;=供应商对账单!$I$4),采购进货!B1215+ROW()/100000,"")</f>
      </c>
      <c r="N1215">
        <f>IF(AND(ISNUMBER(出库明细!G1215),ISNUMBER(出库明细!E1215),ISNUMBER(出库明细!F1215)),IF(ABS(出库明细!G1215-出库明细!E1215*出库明细!F1215)&gt;0.005,1,0),0)</f>
        <v>0</v>
      </c>
    </row>
    <row r="1216">
      <c r="A1216">
        <f>IF(OR(出库明细!C216="",出库明细!D216=""),"",IF(OR(COUNTIFS(存条明细!$C$4:$C$1003,出库明细!C216,存条明细!$D$4:$D$1003,出库明细!D216)&gt;0,COUNTIFS(出库明细!$C$4:C216,出库明细!C216,出库明细!$D$4:D216,出库明细!D216)&gt;1),"",IFERROR(MATCH(出库明细!C216,总览汇总!$B$5:$B$304,0),900)*10000000+IFERROR(MATCH(出库明细!D216,基础资料!$E$5:$E$104,0),900)*10000+ROW()))</f>
      </c>
      <c r="F1216">
        <f>IF(AND(出库明细!C1216&lt;&gt;"",出库明细!C1216=客户对账单!$B$4,ISNUMBER(出库明细!B1216),出库明细!B1216&gt;=客户对账单!$G$4,出库明细!B1216&lt;=客户对账单!$I$4),出库明细!B1216+ROW()/100000,"")</f>
      </c>
      <c r="H1216">
        <f>IF(AND(采购进货!C1216&lt;&gt;"",采购进货!C1216=供应商对账单!$B$4,ISNUMBER(采购进货!B1216),采购进货!B1216&gt;=供应商对账单!$G$4,采购进货!B1216&lt;=供应商对账单!$I$4),采购进货!B1216+ROW()/100000,"")</f>
      </c>
      <c r="N1216">
        <f>IF(AND(ISNUMBER(出库明细!G1216),ISNUMBER(出库明细!E1216),ISNUMBER(出库明细!F1216)),IF(ABS(出库明细!G1216-出库明细!E1216*出库明细!F1216)&gt;0.005,1,0),0)</f>
        <v>0</v>
      </c>
    </row>
    <row r="1217">
      <c r="A1217">
        <f>IF(OR(出库明细!C217="",出库明细!D217=""),"",IF(OR(COUNTIFS(存条明细!$C$4:$C$1003,出库明细!C217,存条明细!$D$4:$D$1003,出库明细!D217)&gt;0,COUNTIFS(出库明细!$C$4:C217,出库明细!C217,出库明细!$D$4:D217,出库明细!D217)&gt;1),"",IFERROR(MATCH(出库明细!C217,总览汇总!$B$5:$B$304,0),900)*10000000+IFERROR(MATCH(出库明细!D217,基础资料!$E$5:$E$104,0),900)*10000+ROW()))</f>
      </c>
      <c r="F1217">
        <f>IF(AND(出库明细!C1217&lt;&gt;"",出库明细!C1217=客户对账单!$B$4,ISNUMBER(出库明细!B1217),出库明细!B1217&gt;=客户对账单!$G$4,出库明细!B1217&lt;=客户对账单!$I$4),出库明细!B1217+ROW()/100000,"")</f>
      </c>
      <c r="H1217">
        <f>IF(AND(采购进货!C1217&lt;&gt;"",采购进货!C1217=供应商对账单!$B$4,ISNUMBER(采购进货!B1217),采购进货!B1217&gt;=供应商对账单!$G$4,采购进货!B1217&lt;=供应商对账单!$I$4),采购进货!B1217+ROW()/100000,"")</f>
      </c>
      <c r="N1217">
        <f>IF(AND(ISNUMBER(出库明细!G1217),ISNUMBER(出库明细!E1217),ISNUMBER(出库明细!F1217)),IF(ABS(出库明细!G1217-出库明细!E1217*出库明细!F1217)&gt;0.005,1,0),0)</f>
        <v>0</v>
      </c>
    </row>
    <row r="1218">
      <c r="A1218">
        <f>IF(OR(出库明细!C218="",出库明细!D218=""),"",IF(OR(COUNTIFS(存条明细!$C$4:$C$1003,出库明细!C218,存条明细!$D$4:$D$1003,出库明细!D218)&gt;0,COUNTIFS(出库明细!$C$4:C218,出库明细!C218,出库明细!$D$4:D218,出库明细!D218)&gt;1),"",IFERROR(MATCH(出库明细!C218,总览汇总!$B$5:$B$304,0),900)*10000000+IFERROR(MATCH(出库明细!D218,基础资料!$E$5:$E$104,0),900)*10000+ROW()))</f>
      </c>
      <c r="F1218">
        <f>IF(AND(出库明细!C1218&lt;&gt;"",出库明细!C1218=客户对账单!$B$4,ISNUMBER(出库明细!B1218),出库明细!B1218&gt;=客户对账单!$G$4,出库明细!B1218&lt;=客户对账单!$I$4),出库明细!B1218+ROW()/100000,"")</f>
      </c>
      <c r="H1218">
        <f>IF(AND(采购进货!C1218&lt;&gt;"",采购进货!C1218=供应商对账单!$B$4,ISNUMBER(采购进货!B1218),采购进货!B1218&gt;=供应商对账单!$G$4,采购进货!B1218&lt;=供应商对账单!$I$4),采购进货!B1218+ROW()/100000,"")</f>
      </c>
      <c r="N1218">
        <f>IF(AND(ISNUMBER(出库明细!G1218),ISNUMBER(出库明细!E1218),ISNUMBER(出库明细!F1218)),IF(ABS(出库明细!G1218-出库明细!E1218*出库明细!F1218)&gt;0.005,1,0),0)</f>
        <v>0</v>
      </c>
    </row>
    <row r="1219">
      <c r="A1219">
        <f>IF(OR(出库明细!C219="",出库明细!D219=""),"",IF(OR(COUNTIFS(存条明细!$C$4:$C$1003,出库明细!C219,存条明细!$D$4:$D$1003,出库明细!D219)&gt;0,COUNTIFS(出库明细!$C$4:C219,出库明细!C219,出库明细!$D$4:D219,出库明细!D219)&gt;1),"",IFERROR(MATCH(出库明细!C219,总览汇总!$B$5:$B$304,0),900)*10000000+IFERROR(MATCH(出库明细!D219,基础资料!$E$5:$E$104,0),900)*10000+ROW()))</f>
      </c>
      <c r="F1219">
        <f>IF(AND(出库明细!C1219&lt;&gt;"",出库明细!C1219=客户对账单!$B$4,ISNUMBER(出库明细!B1219),出库明细!B1219&gt;=客户对账单!$G$4,出库明细!B1219&lt;=客户对账单!$I$4),出库明细!B1219+ROW()/100000,"")</f>
      </c>
      <c r="H1219">
        <f>IF(AND(采购进货!C1219&lt;&gt;"",采购进货!C1219=供应商对账单!$B$4,ISNUMBER(采购进货!B1219),采购进货!B1219&gt;=供应商对账单!$G$4,采购进货!B1219&lt;=供应商对账单!$I$4),采购进货!B1219+ROW()/100000,"")</f>
      </c>
      <c r="N1219">
        <f>IF(AND(ISNUMBER(出库明细!G1219),ISNUMBER(出库明细!E1219),ISNUMBER(出库明细!F1219)),IF(ABS(出库明细!G1219-出库明细!E1219*出库明细!F1219)&gt;0.005,1,0),0)</f>
        <v>0</v>
      </c>
    </row>
    <row r="1220">
      <c r="A1220">
        <f>IF(OR(出库明细!C220="",出库明细!D220=""),"",IF(OR(COUNTIFS(存条明细!$C$4:$C$1003,出库明细!C220,存条明细!$D$4:$D$1003,出库明细!D220)&gt;0,COUNTIFS(出库明细!$C$4:C220,出库明细!C220,出库明细!$D$4:D220,出库明细!D220)&gt;1),"",IFERROR(MATCH(出库明细!C220,总览汇总!$B$5:$B$304,0),900)*10000000+IFERROR(MATCH(出库明细!D220,基础资料!$E$5:$E$104,0),900)*10000+ROW()))</f>
      </c>
      <c r="F1220">
        <f>IF(AND(出库明细!C1220&lt;&gt;"",出库明细!C1220=客户对账单!$B$4,ISNUMBER(出库明细!B1220),出库明细!B1220&gt;=客户对账单!$G$4,出库明细!B1220&lt;=客户对账单!$I$4),出库明细!B1220+ROW()/100000,"")</f>
      </c>
      <c r="H1220">
        <f>IF(AND(采购进货!C1220&lt;&gt;"",采购进货!C1220=供应商对账单!$B$4,ISNUMBER(采购进货!B1220),采购进货!B1220&gt;=供应商对账单!$G$4,采购进货!B1220&lt;=供应商对账单!$I$4),采购进货!B1220+ROW()/100000,"")</f>
      </c>
      <c r="N1220">
        <f>IF(AND(ISNUMBER(出库明细!G1220),ISNUMBER(出库明细!E1220),ISNUMBER(出库明细!F1220)),IF(ABS(出库明细!G1220-出库明细!E1220*出库明细!F1220)&gt;0.005,1,0),0)</f>
        <v>0</v>
      </c>
    </row>
    <row r="1221">
      <c r="A1221">
        <f>IF(OR(出库明细!C221="",出库明细!D221=""),"",IF(OR(COUNTIFS(存条明细!$C$4:$C$1003,出库明细!C221,存条明细!$D$4:$D$1003,出库明细!D221)&gt;0,COUNTIFS(出库明细!$C$4:C221,出库明细!C221,出库明细!$D$4:D221,出库明细!D221)&gt;1),"",IFERROR(MATCH(出库明细!C221,总览汇总!$B$5:$B$304,0),900)*10000000+IFERROR(MATCH(出库明细!D221,基础资料!$E$5:$E$104,0),900)*10000+ROW()))</f>
      </c>
      <c r="F1221">
        <f>IF(AND(出库明细!C1221&lt;&gt;"",出库明细!C1221=客户对账单!$B$4,ISNUMBER(出库明细!B1221),出库明细!B1221&gt;=客户对账单!$G$4,出库明细!B1221&lt;=客户对账单!$I$4),出库明细!B1221+ROW()/100000,"")</f>
      </c>
      <c r="H1221">
        <f>IF(AND(采购进货!C1221&lt;&gt;"",采购进货!C1221=供应商对账单!$B$4,ISNUMBER(采购进货!B1221),采购进货!B1221&gt;=供应商对账单!$G$4,采购进货!B1221&lt;=供应商对账单!$I$4),采购进货!B1221+ROW()/100000,"")</f>
      </c>
      <c r="N1221">
        <f>IF(AND(ISNUMBER(出库明细!G1221),ISNUMBER(出库明细!E1221),ISNUMBER(出库明细!F1221)),IF(ABS(出库明细!G1221-出库明细!E1221*出库明细!F1221)&gt;0.005,1,0),0)</f>
        <v>0</v>
      </c>
    </row>
    <row r="1222">
      <c r="A1222">
        <f>IF(OR(出库明细!C222="",出库明细!D222=""),"",IF(OR(COUNTIFS(存条明细!$C$4:$C$1003,出库明细!C222,存条明细!$D$4:$D$1003,出库明细!D222)&gt;0,COUNTIFS(出库明细!$C$4:C222,出库明细!C222,出库明细!$D$4:D222,出库明细!D222)&gt;1),"",IFERROR(MATCH(出库明细!C222,总览汇总!$B$5:$B$304,0),900)*10000000+IFERROR(MATCH(出库明细!D222,基础资料!$E$5:$E$104,0),900)*10000+ROW()))</f>
      </c>
      <c r="F1222">
        <f>IF(AND(出库明细!C1222&lt;&gt;"",出库明细!C1222=客户对账单!$B$4,ISNUMBER(出库明细!B1222),出库明细!B1222&gt;=客户对账单!$G$4,出库明细!B1222&lt;=客户对账单!$I$4),出库明细!B1222+ROW()/100000,"")</f>
      </c>
      <c r="H1222">
        <f>IF(AND(采购进货!C1222&lt;&gt;"",采购进货!C1222=供应商对账单!$B$4,ISNUMBER(采购进货!B1222),采购进货!B1222&gt;=供应商对账单!$G$4,采购进货!B1222&lt;=供应商对账单!$I$4),采购进货!B1222+ROW()/100000,"")</f>
      </c>
      <c r="N1222">
        <f>IF(AND(ISNUMBER(出库明细!G1222),ISNUMBER(出库明细!E1222),ISNUMBER(出库明细!F1222)),IF(ABS(出库明细!G1222-出库明细!E1222*出库明细!F1222)&gt;0.005,1,0),0)</f>
        <v>0</v>
      </c>
    </row>
    <row r="1223">
      <c r="A1223">
        <f>IF(OR(出库明细!C223="",出库明细!D223=""),"",IF(OR(COUNTIFS(存条明细!$C$4:$C$1003,出库明细!C223,存条明细!$D$4:$D$1003,出库明细!D223)&gt;0,COUNTIFS(出库明细!$C$4:C223,出库明细!C223,出库明细!$D$4:D223,出库明细!D223)&gt;1),"",IFERROR(MATCH(出库明细!C223,总览汇总!$B$5:$B$304,0),900)*10000000+IFERROR(MATCH(出库明细!D223,基础资料!$E$5:$E$104,0),900)*10000+ROW()))</f>
      </c>
      <c r="F1223">
        <f>IF(AND(出库明细!C1223&lt;&gt;"",出库明细!C1223=客户对账单!$B$4,ISNUMBER(出库明细!B1223),出库明细!B1223&gt;=客户对账单!$G$4,出库明细!B1223&lt;=客户对账单!$I$4),出库明细!B1223+ROW()/100000,"")</f>
      </c>
      <c r="H1223">
        <f>IF(AND(采购进货!C1223&lt;&gt;"",采购进货!C1223=供应商对账单!$B$4,ISNUMBER(采购进货!B1223),采购进货!B1223&gt;=供应商对账单!$G$4,采购进货!B1223&lt;=供应商对账单!$I$4),采购进货!B1223+ROW()/100000,"")</f>
      </c>
      <c r="N1223">
        <f>IF(AND(ISNUMBER(出库明细!G1223),ISNUMBER(出库明细!E1223),ISNUMBER(出库明细!F1223)),IF(ABS(出库明细!G1223-出库明细!E1223*出库明细!F1223)&gt;0.005,1,0),0)</f>
        <v>0</v>
      </c>
    </row>
    <row r="1224">
      <c r="A1224">
        <f>IF(OR(出库明细!C224="",出库明细!D224=""),"",IF(OR(COUNTIFS(存条明细!$C$4:$C$1003,出库明细!C224,存条明细!$D$4:$D$1003,出库明细!D224)&gt;0,COUNTIFS(出库明细!$C$4:C224,出库明细!C224,出库明细!$D$4:D224,出库明细!D224)&gt;1),"",IFERROR(MATCH(出库明细!C224,总览汇总!$B$5:$B$304,0),900)*10000000+IFERROR(MATCH(出库明细!D224,基础资料!$E$5:$E$104,0),900)*10000+ROW()))</f>
      </c>
      <c r="F1224">
        <f>IF(AND(出库明细!C1224&lt;&gt;"",出库明细!C1224=客户对账单!$B$4,ISNUMBER(出库明细!B1224),出库明细!B1224&gt;=客户对账单!$G$4,出库明细!B1224&lt;=客户对账单!$I$4),出库明细!B1224+ROW()/100000,"")</f>
      </c>
      <c r="H1224">
        <f>IF(AND(采购进货!C1224&lt;&gt;"",采购进货!C1224=供应商对账单!$B$4,ISNUMBER(采购进货!B1224),采购进货!B1224&gt;=供应商对账单!$G$4,采购进货!B1224&lt;=供应商对账单!$I$4),采购进货!B1224+ROW()/100000,"")</f>
      </c>
      <c r="N1224">
        <f>IF(AND(ISNUMBER(出库明细!G1224),ISNUMBER(出库明细!E1224),ISNUMBER(出库明细!F1224)),IF(ABS(出库明细!G1224-出库明细!E1224*出库明细!F1224)&gt;0.005,1,0),0)</f>
        <v>0</v>
      </c>
    </row>
    <row r="1225">
      <c r="A1225">
        <f>IF(OR(出库明细!C225="",出库明细!D225=""),"",IF(OR(COUNTIFS(存条明细!$C$4:$C$1003,出库明细!C225,存条明细!$D$4:$D$1003,出库明细!D225)&gt;0,COUNTIFS(出库明细!$C$4:C225,出库明细!C225,出库明细!$D$4:D225,出库明细!D225)&gt;1),"",IFERROR(MATCH(出库明细!C225,总览汇总!$B$5:$B$304,0),900)*10000000+IFERROR(MATCH(出库明细!D225,基础资料!$E$5:$E$104,0),900)*10000+ROW()))</f>
        <v>330081225</v>
      </c>
      <c r="F1225">
        <f>IF(AND(出库明细!C1225&lt;&gt;"",出库明细!C1225=客户对账单!$B$4,ISNUMBER(出库明细!B1225),出库明细!B1225&gt;=客户对账单!$G$4,出库明细!B1225&lt;=客户对账单!$I$4),出库明细!B1225+ROW()/100000,"")</f>
      </c>
      <c r="H1225">
        <f>IF(AND(采购进货!C1225&lt;&gt;"",采购进货!C1225=供应商对账单!$B$4,ISNUMBER(采购进货!B1225),采购进货!B1225&gt;=供应商对账单!$G$4,采购进货!B1225&lt;=供应商对账单!$I$4),采购进货!B1225+ROW()/100000,"")</f>
      </c>
      <c r="N1225">
        <f>IF(AND(ISNUMBER(出库明细!G1225),ISNUMBER(出库明细!E1225),ISNUMBER(出库明细!F1225)),IF(ABS(出库明细!G1225-出库明细!E1225*出库明细!F1225)&gt;0.005,1,0),0)</f>
        <v>0</v>
      </c>
    </row>
    <row r="1226">
      <c r="A1226">
        <f>IF(OR(出库明细!C226="",出库明细!D226=""),"",IF(OR(COUNTIFS(存条明细!$C$4:$C$1003,出库明细!C226,存条明细!$D$4:$D$1003,出库明细!D226)&gt;0,COUNTIFS(出库明细!$C$4:C226,出库明细!C226,出库明细!$D$4:D226,出库明细!D226)&gt;1),"",IFERROR(MATCH(出库明细!C226,总览汇总!$B$5:$B$304,0),900)*10000000+IFERROR(MATCH(出库明细!D226,基础资料!$E$5:$E$104,0),900)*10000+ROW()))</f>
      </c>
      <c r="F1226">
        <f>IF(AND(出库明细!C1226&lt;&gt;"",出库明细!C1226=客户对账单!$B$4,ISNUMBER(出库明细!B1226),出库明细!B1226&gt;=客户对账单!$G$4,出库明细!B1226&lt;=客户对账单!$I$4),出库明细!B1226+ROW()/100000,"")</f>
      </c>
      <c r="H1226">
        <f>IF(AND(采购进货!C1226&lt;&gt;"",采购进货!C1226=供应商对账单!$B$4,ISNUMBER(采购进货!B1226),采购进货!B1226&gt;=供应商对账单!$G$4,采购进货!B1226&lt;=供应商对账单!$I$4),采购进货!B1226+ROW()/100000,"")</f>
      </c>
      <c r="N1226">
        <f>IF(AND(ISNUMBER(出库明细!G1226),ISNUMBER(出库明细!E1226),ISNUMBER(出库明细!F1226)),IF(ABS(出库明细!G1226-出库明细!E1226*出库明细!F1226)&gt;0.005,1,0),0)</f>
        <v>0</v>
      </c>
    </row>
    <row r="1227">
      <c r="A1227">
        <f>IF(OR(出库明细!C227="",出库明细!D227=""),"",IF(OR(COUNTIFS(存条明细!$C$4:$C$1003,出库明细!C227,存条明细!$D$4:$D$1003,出库明细!D227)&gt;0,COUNTIFS(出库明细!$C$4:C227,出库明细!C227,出库明细!$D$4:D227,出库明细!D227)&gt;1),"",IFERROR(MATCH(出库明细!C227,总览汇总!$B$5:$B$304,0),900)*10000000+IFERROR(MATCH(出库明细!D227,基础资料!$E$5:$E$104,0),900)*10000+ROW()))</f>
      </c>
      <c r="F1227">
        <f>IF(AND(出库明细!C1227&lt;&gt;"",出库明细!C1227=客户对账单!$B$4,ISNUMBER(出库明细!B1227),出库明细!B1227&gt;=客户对账单!$G$4,出库明细!B1227&lt;=客户对账单!$I$4),出库明细!B1227+ROW()/100000,"")</f>
      </c>
      <c r="H1227">
        <f>IF(AND(采购进货!C1227&lt;&gt;"",采购进货!C1227=供应商对账单!$B$4,ISNUMBER(采购进货!B1227),采购进货!B1227&gt;=供应商对账单!$G$4,采购进货!B1227&lt;=供应商对账单!$I$4),采购进货!B1227+ROW()/100000,"")</f>
      </c>
      <c r="N1227">
        <f>IF(AND(ISNUMBER(出库明细!G1227),ISNUMBER(出库明细!E1227),ISNUMBER(出库明细!F1227)),IF(ABS(出库明细!G1227-出库明细!E1227*出库明细!F1227)&gt;0.005,1,0),0)</f>
        <v>0</v>
      </c>
    </row>
    <row r="1228">
      <c r="A1228">
        <f>IF(OR(出库明细!C228="",出库明细!D228=""),"",IF(OR(COUNTIFS(存条明细!$C$4:$C$1003,出库明细!C228,存条明细!$D$4:$D$1003,出库明细!D228)&gt;0,COUNTIFS(出库明细!$C$4:C228,出库明细!C228,出库明细!$D$4:D228,出库明细!D228)&gt;1),"",IFERROR(MATCH(出库明细!C228,总览汇总!$B$5:$B$304,0),900)*10000000+IFERROR(MATCH(出库明细!D228,基础资料!$E$5:$E$104,0),900)*10000+ROW()))</f>
      </c>
      <c r="F1228">
        <f>IF(AND(出库明细!C1228&lt;&gt;"",出库明细!C1228=客户对账单!$B$4,ISNUMBER(出库明细!B1228),出库明细!B1228&gt;=客户对账单!$G$4,出库明细!B1228&lt;=客户对账单!$I$4),出库明细!B1228+ROW()/100000,"")</f>
      </c>
      <c r="H1228">
        <f>IF(AND(采购进货!C1228&lt;&gt;"",采购进货!C1228=供应商对账单!$B$4,ISNUMBER(采购进货!B1228),采购进货!B1228&gt;=供应商对账单!$G$4,采购进货!B1228&lt;=供应商对账单!$I$4),采购进货!B1228+ROW()/100000,"")</f>
      </c>
      <c r="N1228">
        <f>IF(AND(ISNUMBER(出库明细!G1228),ISNUMBER(出库明细!E1228),ISNUMBER(出库明细!F1228)),IF(ABS(出库明细!G1228-出库明细!E1228*出库明细!F1228)&gt;0.005,1,0),0)</f>
        <v>0</v>
      </c>
    </row>
    <row r="1229">
      <c r="A1229">
        <f>IF(OR(出库明细!C229="",出库明细!D229=""),"",IF(OR(COUNTIFS(存条明细!$C$4:$C$1003,出库明细!C229,存条明细!$D$4:$D$1003,出库明细!D229)&gt;0,COUNTIFS(出库明细!$C$4:C229,出库明细!C229,出库明细!$D$4:D229,出库明细!D229)&gt;1),"",IFERROR(MATCH(出库明细!C229,总览汇总!$B$5:$B$304,0),900)*10000000+IFERROR(MATCH(出库明细!D229,基础资料!$E$5:$E$104,0),900)*10000+ROW()))</f>
      </c>
      <c r="F1229">
        <f>IF(AND(出库明细!C1229&lt;&gt;"",出库明细!C1229=客户对账单!$B$4,ISNUMBER(出库明细!B1229),出库明细!B1229&gt;=客户对账单!$G$4,出库明细!B1229&lt;=客户对账单!$I$4),出库明细!B1229+ROW()/100000,"")</f>
      </c>
      <c r="H1229">
        <f>IF(AND(采购进货!C1229&lt;&gt;"",采购进货!C1229=供应商对账单!$B$4,ISNUMBER(采购进货!B1229),采购进货!B1229&gt;=供应商对账单!$G$4,采购进货!B1229&lt;=供应商对账单!$I$4),采购进货!B1229+ROW()/100000,"")</f>
      </c>
      <c r="N1229">
        <f>IF(AND(ISNUMBER(出库明细!G1229),ISNUMBER(出库明细!E1229),ISNUMBER(出库明细!F1229)),IF(ABS(出库明细!G1229-出库明细!E1229*出库明细!F1229)&gt;0.005,1,0),0)</f>
        <v>0</v>
      </c>
    </row>
    <row r="1230">
      <c r="A1230">
        <f>IF(OR(出库明细!C230="",出库明细!D230=""),"",IF(OR(COUNTIFS(存条明细!$C$4:$C$1003,出库明细!C230,存条明细!$D$4:$D$1003,出库明细!D230)&gt;0,COUNTIFS(出库明细!$C$4:C230,出库明细!C230,出库明细!$D$4:D230,出库明细!D230)&gt;1),"",IFERROR(MATCH(出库明细!C230,总览汇总!$B$5:$B$304,0),900)*10000000+IFERROR(MATCH(出库明细!D230,基础资料!$E$5:$E$104,0),900)*10000+ROW()))</f>
      </c>
      <c r="F1230">
        <f>IF(AND(出库明细!C1230&lt;&gt;"",出库明细!C1230=客户对账单!$B$4,ISNUMBER(出库明细!B1230),出库明细!B1230&gt;=客户对账单!$G$4,出库明细!B1230&lt;=客户对账单!$I$4),出库明细!B1230+ROW()/100000,"")</f>
      </c>
      <c r="H1230">
        <f>IF(AND(采购进货!C1230&lt;&gt;"",采购进货!C1230=供应商对账单!$B$4,ISNUMBER(采购进货!B1230),采购进货!B1230&gt;=供应商对账单!$G$4,采购进货!B1230&lt;=供应商对账单!$I$4),采购进货!B1230+ROW()/100000,"")</f>
      </c>
      <c r="N1230">
        <f>IF(AND(ISNUMBER(出库明细!G1230),ISNUMBER(出库明细!E1230),ISNUMBER(出库明细!F1230)),IF(ABS(出库明细!G1230-出库明细!E1230*出库明细!F1230)&gt;0.005,1,0),0)</f>
        <v>0</v>
      </c>
    </row>
    <row r="1231">
      <c r="A1231">
        <f>IF(OR(出库明细!C231="",出库明细!D231=""),"",IF(OR(COUNTIFS(存条明细!$C$4:$C$1003,出库明细!C231,存条明细!$D$4:$D$1003,出库明细!D231)&gt;0,COUNTIFS(出库明细!$C$4:C231,出库明细!C231,出库明细!$D$4:D231,出库明细!D231)&gt;1),"",IFERROR(MATCH(出库明细!C231,总览汇总!$B$5:$B$304,0),900)*10000000+IFERROR(MATCH(出库明细!D231,基础资料!$E$5:$E$104,0),900)*10000+ROW()))</f>
      </c>
      <c r="F1231">
        <f>IF(AND(出库明细!C1231&lt;&gt;"",出库明细!C1231=客户对账单!$B$4,ISNUMBER(出库明细!B1231),出库明细!B1231&gt;=客户对账单!$G$4,出库明细!B1231&lt;=客户对账单!$I$4),出库明细!B1231+ROW()/100000,"")</f>
      </c>
      <c r="H1231">
        <f>IF(AND(采购进货!C1231&lt;&gt;"",采购进货!C1231=供应商对账单!$B$4,ISNUMBER(采购进货!B1231),采购进货!B1231&gt;=供应商对账单!$G$4,采购进货!B1231&lt;=供应商对账单!$I$4),采购进货!B1231+ROW()/100000,"")</f>
      </c>
      <c r="N1231">
        <f>IF(AND(ISNUMBER(出库明细!G1231),ISNUMBER(出库明细!E1231),ISNUMBER(出库明细!F1231)),IF(ABS(出库明细!G1231-出库明细!E1231*出库明细!F1231)&gt;0.005,1,0),0)</f>
        <v>0</v>
      </c>
    </row>
    <row r="1232">
      <c r="A1232">
        <f>IF(OR(出库明细!C232="",出库明细!D232=""),"",IF(OR(COUNTIFS(存条明细!$C$4:$C$1003,出库明细!C232,存条明细!$D$4:$D$1003,出库明细!D232)&gt;0,COUNTIFS(出库明细!$C$4:C232,出库明细!C232,出库明细!$D$4:D232,出库明细!D232)&gt;1),"",IFERROR(MATCH(出库明细!C232,总览汇总!$B$5:$B$304,0),900)*10000000+IFERROR(MATCH(出库明细!D232,基础资料!$E$5:$E$104,0),900)*10000+ROW()))</f>
      </c>
      <c r="F1232">
        <f>IF(AND(出库明细!C1232&lt;&gt;"",出库明细!C1232=客户对账单!$B$4,ISNUMBER(出库明细!B1232),出库明细!B1232&gt;=客户对账单!$G$4,出库明细!B1232&lt;=客户对账单!$I$4),出库明细!B1232+ROW()/100000,"")</f>
      </c>
      <c r="H1232">
        <f>IF(AND(采购进货!C1232&lt;&gt;"",采购进货!C1232=供应商对账单!$B$4,ISNUMBER(采购进货!B1232),采购进货!B1232&gt;=供应商对账单!$G$4,采购进货!B1232&lt;=供应商对账单!$I$4),采购进货!B1232+ROW()/100000,"")</f>
      </c>
      <c r="N1232">
        <f>IF(AND(ISNUMBER(出库明细!G1232),ISNUMBER(出库明细!E1232),ISNUMBER(出库明细!F1232)),IF(ABS(出库明细!G1232-出库明细!E1232*出库明细!F1232)&gt;0.005,1,0),0)</f>
        <v>0</v>
      </c>
    </row>
    <row r="1233">
      <c r="A1233">
        <f>IF(OR(出库明细!C233="",出库明细!D233=""),"",IF(OR(COUNTIFS(存条明细!$C$4:$C$1003,出库明细!C233,存条明细!$D$4:$D$1003,出库明细!D233)&gt;0,COUNTIFS(出库明细!$C$4:C233,出库明细!C233,出库明细!$D$4:D233,出库明细!D233)&gt;1),"",IFERROR(MATCH(出库明细!C233,总览汇总!$B$5:$B$304,0),900)*10000000+IFERROR(MATCH(出库明细!D233,基础资料!$E$5:$E$104,0),900)*10000+ROW()))</f>
      </c>
      <c r="F1233">
        <f>IF(AND(出库明细!C1233&lt;&gt;"",出库明细!C1233=客户对账单!$B$4,ISNUMBER(出库明细!B1233),出库明细!B1233&gt;=客户对账单!$G$4,出库明细!B1233&lt;=客户对账单!$I$4),出库明细!B1233+ROW()/100000,"")</f>
      </c>
      <c r="H1233">
        <f>IF(AND(采购进货!C1233&lt;&gt;"",采购进货!C1233=供应商对账单!$B$4,ISNUMBER(采购进货!B1233),采购进货!B1233&gt;=供应商对账单!$G$4,采购进货!B1233&lt;=供应商对账单!$I$4),采购进货!B1233+ROW()/100000,"")</f>
      </c>
      <c r="N1233">
        <f>IF(AND(ISNUMBER(出库明细!G1233),ISNUMBER(出库明细!E1233),ISNUMBER(出库明细!F1233)),IF(ABS(出库明细!G1233-出库明细!E1233*出库明细!F1233)&gt;0.005,1,0),0)</f>
        <v>0</v>
      </c>
    </row>
    <row r="1234">
      <c r="A1234">
        <f>IF(OR(出库明细!C234="",出库明细!D234=""),"",IF(OR(COUNTIFS(存条明细!$C$4:$C$1003,出库明细!C234,存条明细!$D$4:$D$1003,出库明细!D234)&gt;0,COUNTIFS(出库明细!$C$4:C234,出库明细!C234,出库明细!$D$4:D234,出库明细!D234)&gt;1),"",IFERROR(MATCH(出库明细!C234,总览汇总!$B$5:$B$304,0),900)*10000000+IFERROR(MATCH(出库明细!D234,基础资料!$E$5:$E$104,0),900)*10000+ROW()))</f>
      </c>
      <c r="F1234">
        <f>IF(AND(出库明细!C1234&lt;&gt;"",出库明细!C1234=客户对账单!$B$4,ISNUMBER(出库明细!B1234),出库明细!B1234&gt;=客户对账单!$G$4,出库明细!B1234&lt;=客户对账单!$I$4),出库明细!B1234+ROW()/100000,"")</f>
      </c>
      <c r="H1234">
        <f>IF(AND(采购进货!C1234&lt;&gt;"",采购进货!C1234=供应商对账单!$B$4,ISNUMBER(采购进货!B1234),采购进货!B1234&gt;=供应商对账单!$G$4,采购进货!B1234&lt;=供应商对账单!$I$4),采购进货!B1234+ROW()/100000,"")</f>
      </c>
      <c r="N1234">
        <f>IF(AND(ISNUMBER(出库明细!G1234),ISNUMBER(出库明细!E1234),ISNUMBER(出库明细!F1234)),IF(ABS(出库明细!G1234-出库明细!E1234*出库明细!F1234)&gt;0.005,1,0),0)</f>
        <v>0</v>
      </c>
    </row>
    <row r="1235">
      <c r="A1235">
        <f>IF(OR(出库明细!C235="",出库明细!D235=""),"",IF(OR(COUNTIFS(存条明细!$C$4:$C$1003,出库明细!C235,存条明细!$D$4:$D$1003,出库明细!D235)&gt;0,COUNTIFS(出库明细!$C$4:C235,出库明细!C235,出库明细!$D$4:D235,出库明细!D235)&gt;1),"",IFERROR(MATCH(出库明细!C235,总览汇总!$B$5:$B$304,0),900)*10000000+IFERROR(MATCH(出库明细!D235,基础资料!$E$5:$E$104,0),900)*10000+ROW()))</f>
      </c>
      <c r="F1235">
        <f>IF(AND(出库明细!C1235&lt;&gt;"",出库明细!C1235=客户对账单!$B$4,ISNUMBER(出库明细!B1235),出库明细!B1235&gt;=客户对账单!$G$4,出库明细!B1235&lt;=客户对账单!$I$4),出库明细!B1235+ROW()/100000,"")</f>
      </c>
      <c r="H1235">
        <f>IF(AND(采购进货!C1235&lt;&gt;"",采购进货!C1235=供应商对账单!$B$4,ISNUMBER(采购进货!B1235),采购进货!B1235&gt;=供应商对账单!$G$4,采购进货!B1235&lt;=供应商对账单!$I$4),采购进货!B1235+ROW()/100000,"")</f>
      </c>
      <c r="N1235">
        <f>IF(AND(ISNUMBER(出库明细!G1235),ISNUMBER(出库明细!E1235),ISNUMBER(出库明细!F1235)),IF(ABS(出库明细!G1235-出库明细!E1235*出库明细!F1235)&gt;0.005,1,0),0)</f>
        <v>0</v>
      </c>
    </row>
    <row r="1236">
      <c r="A1236">
        <f>IF(OR(出库明细!C236="",出库明细!D236=""),"",IF(OR(COUNTIFS(存条明细!$C$4:$C$1003,出库明细!C236,存条明细!$D$4:$D$1003,出库明细!D236)&gt;0,COUNTIFS(出库明细!$C$4:C236,出库明细!C236,出库明细!$D$4:D236,出库明细!D236)&gt;1),"",IFERROR(MATCH(出库明细!C236,总览汇总!$B$5:$B$304,0),900)*10000000+IFERROR(MATCH(出库明细!D236,基础资料!$E$5:$E$104,0),900)*10000+ROW()))</f>
      </c>
      <c r="F1236">
        <f>IF(AND(出库明细!C1236&lt;&gt;"",出库明细!C1236=客户对账单!$B$4,ISNUMBER(出库明细!B1236),出库明细!B1236&gt;=客户对账单!$G$4,出库明细!B1236&lt;=客户对账单!$I$4),出库明细!B1236+ROW()/100000,"")</f>
      </c>
      <c r="H1236">
        <f>IF(AND(采购进货!C1236&lt;&gt;"",采购进货!C1236=供应商对账单!$B$4,ISNUMBER(采购进货!B1236),采购进货!B1236&gt;=供应商对账单!$G$4,采购进货!B1236&lt;=供应商对账单!$I$4),采购进货!B1236+ROW()/100000,"")</f>
      </c>
      <c r="N1236">
        <f>IF(AND(ISNUMBER(出库明细!G1236),ISNUMBER(出库明细!E1236),ISNUMBER(出库明细!F1236)),IF(ABS(出库明细!G1236-出库明细!E1236*出库明细!F1236)&gt;0.005,1,0),0)</f>
        <v>0</v>
      </c>
    </row>
    <row r="1237">
      <c r="A1237">
        <f>IF(OR(出库明细!C237="",出库明细!D237=""),"",IF(OR(COUNTIFS(存条明细!$C$4:$C$1003,出库明细!C237,存条明细!$D$4:$D$1003,出库明细!D237)&gt;0,COUNTIFS(出库明细!$C$4:C237,出库明细!C237,出库明细!$D$4:D237,出库明细!D237)&gt;1),"",IFERROR(MATCH(出库明细!C237,总览汇总!$B$5:$B$304,0),900)*10000000+IFERROR(MATCH(出库明细!D237,基础资料!$E$5:$E$104,0),900)*10000+ROW()))</f>
      </c>
      <c r="F1237">
        <f>IF(AND(出库明细!C1237&lt;&gt;"",出库明细!C1237=客户对账单!$B$4,ISNUMBER(出库明细!B1237),出库明细!B1237&gt;=客户对账单!$G$4,出库明细!B1237&lt;=客户对账单!$I$4),出库明细!B1237+ROW()/100000,"")</f>
      </c>
      <c r="H1237">
        <f>IF(AND(采购进货!C1237&lt;&gt;"",采购进货!C1237=供应商对账单!$B$4,ISNUMBER(采购进货!B1237),采购进货!B1237&gt;=供应商对账单!$G$4,采购进货!B1237&lt;=供应商对账单!$I$4),采购进货!B1237+ROW()/100000,"")</f>
      </c>
      <c r="N1237">
        <f>IF(AND(ISNUMBER(出库明细!G1237),ISNUMBER(出库明细!E1237),ISNUMBER(出库明细!F1237)),IF(ABS(出库明细!G1237-出库明细!E1237*出库明细!F1237)&gt;0.005,1,0),0)</f>
        <v>0</v>
      </c>
    </row>
    <row r="1238">
      <c r="A1238">
        <f>IF(OR(出库明细!C238="",出库明细!D238=""),"",IF(OR(COUNTIFS(存条明细!$C$4:$C$1003,出库明细!C238,存条明细!$D$4:$D$1003,出库明细!D238)&gt;0,COUNTIFS(出库明细!$C$4:C238,出库明细!C238,出库明细!$D$4:D238,出库明细!D238)&gt;1),"",IFERROR(MATCH(出库明细!C238,总览汇总!$B$5:$B$304,0),900)*10000000+IFERROR(MATCH(出库明细!D238,基础资料!$E$5:$E$104,0),900)*10000+ROW()))</f>
      </c>
      <c r="F1238">
        <f>IF(AND(出库明细!C1238&lt;&gt;"",出库明细!C1238=客户对账单!$B$4,ISNUMBER(出库明细!B1238),出库明细!B1238&gt;=客户对账单!$G$4,出库明细!B1238&lt;=客户对账单!$I$4),出库明细!B1238+ROW()/100000,"")</f>
      </c>
      <c r="H1238">
        <f>IF(AND(采购进货!C1238&lt;&gt;"",采购进货!C1238=供应商对账单!$B$4,ISNUMBER(采购进货!B1238),采购进货!B1238&gt;=供应商对账单!$G$4,采购进货!B1238&lt;=供应商对账单!$I$4),采购进货!B1238+ROW()/100000,"")</f>
      </c>
      <c r="N1238">
        <f>IF(AND(ISNUMBER(出库明细!G1238),ISNUMBER(出库明细!E1238),ISNUMBER(出库明细!F1238)),IF(ABS(出库明细!G1238-出库明细!E1238*出库明细!F1238)&gt;0.005,1,0),0)</f>
        <v>0</v>
      </c>
    </row>
    <row r="1239">
      <c r="A1239">
        <f>IF(OR(出库明细!C239="",出库明细!D239=""),"",IF(OR(COUNTIFS(存条明细!$C$4:$C$1003,出库明细!C239,存条明细!$D$4:$D$1003,出库明细!D239)&gt;0,COUNTIFS(出库明细!$C$4:C239,出库明细!C239,出库明细!$D$4:D239,出库明细!D239)&gt;1),"",IFERROR(MATCH(出库明细!C239,总览汇总!$B$5:$B$304,0),900)*10000000+IFERROR(MATCH(出库明细!D239,基础资料!$E$5:$E$104,0),900)*10000+ROW()))</f>
      </c>
      <c r="F1239">
        <f>IF(AND(出库明细!C1239&lt;&gt;"",出库明细!C1239=客户对账单!$B$4,ISNUMBER(出库明细!B1239),出库明细!B1239&gt;=客户对账单!$G$4,出库明细!B1239&lt;=客户对账单!$I$4),出库明细!B1239+ROW()/100000,"")</f>
      </c>
      <c r="H1239">
        <f>IF(AND(采购进货!C1239&lt;&gt;"",采购进货!C1239=供应商对账单!$B$4,ISNUMBER(采购进货!B1239),采购进货!B1239&gt;=供应商对账单!$G$4,采购进货!B1239&lt;=供应商对账单!$I$4),采购进货!B1239+ROW()/100000,"")</f>
      </c>
      <c r="N1239">
        <f>IF(AND(ISNUMBER(出库明细!G1239),ISNUMBER(出库明细!E1239),ISNUMBER(出库明细!F1239)),IF(ABS(出库明细!G1239-出库明细!E1239*出库明细!F1239)&gt;0.005,1,0),0)</f>
        <v>0</v>
      </c>
    </row>
    <row r="1240">
      <c r="A1240">
        <f>IF(OR(出库明细!C240="",出库明细!D240=""),"",IF(OR(COUNTIFS(存条明细!$C$4:$C$1003,出库明细!C240,存条明细!$D$4:$D$1003,出库明细!D240)&gt;0,COUNTIFS(出库明细!$C$4:C240,出库明细!C240,出库明细!$D$4:D240,出库明细!D240)&gt;1),"",IFERROR(MATCH(出库明细!C240,总览汇总!$B$5:$B$304,0),900)*10000000+IFERROR(MATCH(出库明细!D240,基础资料!$E$5:$E$104,0),900)*10000+ROW()))</f>
      </c>
      <c r="F1240">
        <f>IF(AND(出库明细!C1240&lt;&gt;"",出库明细!C1240=客户对账单!$B$4,ISNUMBER(出库明细!B1240),出库明细!B1240&gt;=客户对账单!$G$4,出库明细!B1240&lt;=客户对账单!$I$4),出库明细!B1240+ROW()/100000,"")</f>
      </c>
      <c r="H1240">
        <f>IF(AND(采购进货!C1240&lt;&gt;"",采购进货!C1240=供应商对账单!$B$4,ISNUMBER(采购进货!B1240),采购进货!B1240&gt;=供应商对账单!$G$4,采购进货!B1240&lt;=供应商对账单!$I$4),采购进货!B1240+ROW()/100000,"")</f>
      </c>
      <c r="N1240">
        <f>IF(AND(ISNUMBER(出库明细!G1240),ISNUMBER(出库明细!E1240),ISNUMBER(出库明细!F1240)),IF(ABS(出库明细!G1240-出库明细!E1240*出库明细!F1240)&gt;0.005,1,0),0)</f>
        <v>0</v>
      </c>
    </row>
    <row r="1241">
      <c r="A1241">
        <f>IF(OR(出库明细!C241="",出库明细!D241=""),"",IF(OR(COUNTIFS(存条明细!$C$4:$C$1003,出库明细!C241,存条明细!$D$4:$D$1003,出库明细!D241)&gt;0,COUNTIFS(出库明细!$C$4:C241,出库明细!C241,出库明细!$D$4:D241,出库明细!D241)&gt;1),"",IFERROR(MATCH(出库明细!C241,总览汇总!$B$5:$B$304,0),900)*10000000+IFERROR(MATCH(出库明细!D241,基础资料!$E$5:$E$104,0),900)*10000+ROW()))</f>
      </c>
      <c r="F1241">
        <f>IF(AND(出库明细!C1241&lt;&gt;"",出库明细!C1241=客户对账单!$B$4,ISNUMBER(出库明细!B1241),出库明细!B1241&gt;=客户对账单!$G$4,出库明细!B1241&lt;=客户对账单!$I$4),出库明细!B1241+ROW()/100000,"")</f>
      </c>
      <c r="H1241">
        <f>IF(AND(采购进货!C1241&lt;&gt;"",采购进货!C1241=供应商对账单!$B$4,ISNUMBER(采购进货!B1241),采购进货!B1241&gt;=供应商对账单!$G$4,采购进货!B1241&lt;=供应商对账单!$I$4),采购进货!B1241+ROW()/100000,"")</f>
      </c>
      <c r="N1241">
        <f>IF(AND(ISNUMBER(出库明细!G1241),ISNUMBER(出库明细!E1241),ISNUMBER(出库明细!F1241)),IF(ABS(出库明细!G1241-出库明细!E1241*出库明细!F1241)&gt;0.005,1,0),0)</f>
        <v>0</v>
      </c>
    </row>
    <row r="1242">
      <c r="A1242">
        <f>IF(OR(出库明细!C242="",出库明细!D242=""),"",IF(OR(COUNTIFS(存条明细!$C$4:$C$1003,出库明细!C242,存条明细!$D$4:$D$1003,出库明细!D242)&gt;0,COUNTIFS(出库明细!$C$4:C242,出库明细!C242,出库明细!$D$4:D242,出库明细!D242)&gt;1),"",IFERROR(MATCH(出库明细!C242,总览汇总!$B$5:$B$304,0),900)*10000000+IFERROR(MATCH(出库明细!D242,基础资料!$E$5:$E$104,0),900)*10000+ROW()))</f>
        <v>50051242</v>
      </c>
      <c r="F1242">
        <f>IF(AND(出库明细!C1242&lt;&gt;"",出库明细!C1242=客户对账单!$B$4,ISNUMBER(出库明细!B1242),出库明细!B1242&gt;=客户对账单!$G$4,出库明细!B1242&lt;=客户对账单!$I$4),出库明细!B1242+ROW()/100000,"")</f>
      </c>
      <c r="H1242">
        <f>IF(AND(采购进货!C1242&lt;&gt;"",采购进货!C1242=供应商对账单!$B$4,ISNUMBER(采购进货!B1242),采购进货!B1242&gt;=供应商对账单!$G$4,采购进货!B1242&lt;=供应商对账单!$I$4),采购进货!B1242+ROW()/100000,"")</f>
      </c>
      <c r="N1242">
        <f>IF(AND(ISNUMBER(出库明细!G1242),ISNUMBER(出库明细!E1242),ISNUMBER(出库明细!F1242)),IF(ABS(出库明细!G1242-出库明细!E1242*出库明细!F1242)&gt;0.005,1,0),0)</f>
        <v>0</v>
      </c>
    </row>
    <row r="1243">
      <c r="A1243">
        <f>IF(OR(出库明细!C243="",出库明细!D243=""),"",IF(OR(COUNTIFS(存条明细!$C$4:$C$1003,出库明细!C243,存条明细!$D$4:$D$1003,出库明细!D243)&gt;0,COUNTIFS(出库明细!$C$4:C243,出库明细!C243,出库明细!$D$4:D243,出库明细!D243)&gt;1),"",IFERROR(MATCH(出库明细!C243,总览汇总!$B$5:$B$304,0),900)*10000000+IFERROR(MATCH(出库明细!D243,基础资料!$E$5:$E$104,0),900)*10000+ROW()))</f>
      </c>
      <c r="F1243">
        <f>IF(AND(出库明细!C1243&lt;&gt;"",出库明细!C1243=客户对账单!$B$4,ISNUMBER(出库明细!B1243),出库明细!B1243&gt;=客户对账单!$G$4,出库明细!B1243&lt;=客户对账单!$I$4),出库明细!B1243+ROW()/100000,"")</f>
      </c>
      <c r="H1243">
        <f>IF(AND(采购进货!C1243&lt;&gt;"",采购进货!C1243=供应商对账单!$B$4,ISNUMBER(采购进货!B1243),采购进货!B1243&gt;=供应商对账单!$G$4,采购进货!B1243&lt;=供应商对账单!$I$4),采购进货!B1243+ROW()/100000,"")</f>
      </c>
      <c r="N1243">
        <f>IF(AND(ISNUMBER(出库明细!G1243),ISNUMBER(出库明细!E1243),ISNUMBER(出库明细!F1243)),IF(ABS(出库明细!G1243-出库明细!E1243*出库明细!F1243)&gt;0.005,1,0),0)</f>
        <v>0</v>
      </c>
    </row>
    <row r="1244">
      <c r="A1244">
        <f>IF(OR(出库明细!C244="",出库明细!D244=""),"",IF(OR(COUNTIFS(存条明细!$C$4:$C$1003,出库明细!C244,存条明细!$D$4:$D$1003,出库明细!D244)&gt;0,COUNTIFS(出库明细!$C$4:C244,出库明细!C244,出库明细!$D$4:D244,出库明细!D244)&gt;1),"",IFERROR(MATCH(出库明细!C244,总览汇总!$B$5:$B$304,0),900)*10000000+IFERROR(MATCH(出库明细!D244,基础资料!$E$5:$E$104,0),900)*10000+ROW()))</f>
      </c>
      <c r="F1244">
        <f>IF(AND(出库明细!C1244&lt;&gt;"",出库明细!C1244=客户对账单!$B$4,ISNUMBER(出库明细!B1244),出库明细!B1244&gt;=客户对账单!$G$4,出库明细!B1244&lt;=客户对账单!$I$4),出库明细!B1244+ROW()/100000,"")</f>
      </c>
      <c r="H1244">
        <f>IF(AND(采购进货!C1244&lt;&gt;"",采购进货!C1244=供应商对账单!$B$4,ISNUMBER(采购进货!B1244),采购进货!B1244&gt;=供应商对账单!$G$4,采购进货!B1244&lt;=供应商对账单!$I$4),采购进货!B1244+ROW()/100000,"")</f>
      </c>
      <c r="N1244">
        <f>IF(AND(ISNUMBER(出库明细!G1244),ISNUMBER(出库明细!E1244),ISNUMBER(出库明细!F1244)),IF(ABS(出库明细!G1244-出库明细!E1244*出库明细!F1244)&gt;0.005,1,0),0)</f>
        <v>0</v>
      </c>
    </row>
    <row r="1245">
      <c r="A1245">
        <f>IF(OR(出库明细!C245="",出库明细!D245=""),"",IF(OR(COUNTIFS(存条明细!$C$4:$C$1003,出库明细!C245,存条明细!$D$4:$D$1003,出库明细!D245)&gt;0,COUNTIFS(出库明细!$C$4:C245,出库明细!C245,出库明细!$D$4:D245,出库明细!D245)&gt;1),"",IFERROR(MATCH(出库明细!C245,总览汇总!$B$5:$B$304,0),900)*10000000+IFERROR(MATCH(出库明细!D245,基础资料!$E$5:$E$104,0),900)*10000+ROW()))</f>
      </c>
      <c r="F1245">
        <f>IF(AND(出库明细!C1245&lt;&gt;"",出库明细!C1245=客户对账单!$B$4,ISNUMBER(出库明细!B1245),出库明细!B1245&gt;=客户对账单!$G$4,出库明细!B1245&lt;=客户对账单!$I$4),出库明细!B1245+ROW()/100000,"")</f>
      </c>
      <c r="H1245">
        <f>IF(AND(采购进货!C1245&lt;&gt;"",采购进货!C1245=供应商对账单!$B$4,ISNUMBER(采购进货!B1245),采购进货!B1245&gt;=供应商对账单!$G$4,采购进货!B1245&lt;=供应商对账单!$I$4),采购进货!B1245+ROW()/100000,"")</f>
      </c>
      <c r="N1245">
        <f>IF(AND(ISNUMBER(出库明细!G1245),ISNUMBER(出库明细!E1245),ISNUMBER(出库明细!F1245)),IF(ABS(出库明细!G1245-出库明细!E1245*出库明细!F1245)&gt;0.005,1,0),0)</f>
        <v>0</v>
      </c>
    </row>
    <row r="1246">
      <c r="A1246">
        <f>IF(OR(出库明细!C246="",出库明细!D246=""),"",IF(OR(COUNTIFS(存条明细!$C$4:$C$1003,出库明细!C246,存条明细!$D$4:$D$1003,出库明细!D246)&gt;0,COUNTIFS(出库明细!$C$4:C246,出库明细!C246,出库明细!$D$4:D246,出库明细!D246)&gt;1),"",IFERROR(MATCH(出库明细!C246,总览汇总!$B$5:$B$304,0),900)*10000000+IFERROR(MATCH(出库明细!D246,基础资料!$E$5:$E$104,0),900)*10000+ROW()))</f>
      </c>
      <c r="F1246">
        <f>IF(AND(出库明细!C1246&lt;&gt;"",出库明细!C1246=客户对账单!$B$4,ISNUMBER(出库明细!B1246),出库明细!B1246&gt;=客户对账单!$G$4,出库明细!B1246&lt;=客户对账单!$I$4),出库明细!B1246+ROW()/100000,"")</f>
      </c>
      <c r="H1246">
        <f>IF(AND(采购进货!C1246&lt;&gt;"",采购进货!C1246=供应商对账单!$B$4,ISNUMBER(采购进货!B1246),采购进货!B1246&gt;=供应商对账单!$G$4,采购进货!B1246&lt;=供应商对账单!$I$4),采购进货!B1246+ROW()/100000,"")</f>
      </c>
      <c r="N1246">
        <f>IF(AND(ISNUMBER(出库明细!G1246),ISNUMBER(出库明细!E1246),ISNUMBER(出库明细!F1246)),IF(ABS(出库明细!G1246-出库明细!E1246*出库明细!F1246)&gt;0.005,1,0),0)</f>
        <v>0</v>
      </c>
    </row>
    <row r="1247">
      <c r="A1247">
        <f>IF(OR(出库明细!C247="",出库明细!D247=""),"",IF(OR(COUNTIFS(存条明细!$C$4:$C$1003,出库明细!C247,存条明细!$D$4:$D$1003,出库明细!D247)&gt;0,COUNTIFS(出库明细!$C$4:C247,出库明细!C247,出库明细!$D$4:D247,出库明细!D247)&gt;1),"",IFERROR(MATCH(出库明细!C247,总览汇总!$B$5:$B$304,0),900)*10000000+IFERROR(MATCH(出库明细!D247,基础资料!$E$5:$E$104,0),900)*10000+ROW()))</f>
      </c>
      <c r="F1247">
        <f>IF(AND(出库明细!C1247&lt;&gt;"",出库明细!C1247=客户对账单!$B$4,ISNUMBER(出库明细!B1247),出库明细!B1247&gt;=客户对账单!$G$4,出库明细!B1247&lt;=客户对账单!$I$4),出库明细!B1247+ROW()/100000,"")</f>
      </c>
      <c r="H1247">
        <f>IF(AND(采购进货!C1247&lt;&gt;"",采购进货!C1247=供应商对账单!$B$4,ISNUMBER(采购进货!B1247),采购进货!B1247&gt;=供应商对账单!$G$4,采购进货!B1247&lt;=供应商对账单!$I$4),采购进货!B1247+ROW()/100000,"")</f>
      </c>
      <c r="N1247">
        <f>IF(AND(ISNUMBER(出库明细!G1247),ISNUMBER(出库明细!E1247),ISNUMBER(出库明细!F1247)),IF(ABS(出库明细!G1247-出库明细!E1247*出库明细!F1247)&gt;0.005,1,0),0)</f>
        <v>0</v>
      </c>
    </row>
    <row r="1248">
      <c r="A1248">
        <f>IF(OR(出库明细!C248="",出库明细!D248=""),"",IF(OR(COUNTIFS(存条明细!$C$4:$C$1003,出库明细!C248,存条明细!$D$4:$D$1003,出库明细!D248)&gt;0,COUNTIFS(出库明细!$C$4:C248,出库明细!C248,出库明细!$D$4:D248,出库明细!D248)&gt;1),"",IFERROR(MATCH(出库明细!C248,总览汇总!$B$5:$B$304,0),900)*10000000+IFERROR(MATCH(出库明细!D248,基础资料!$E$5:$E$104,0),900)*10000+ROW()))</f>
      </c>
      <c r="F1248">
        <f>IF(AND(出库明细!C1248&lt;&gt;"",出库明细!C1248=客户对账单!$B$4,ISNUMBER(出库明细!B1248),出库明细!B1248&gt;=客户对账单!$G$4,出库明细!B1248&lt;=客户对账单!$I$4),出库明细!B1248+ROW()/100000,"")</f>
      </c>
      <c r="H1248">
        <f>IF(AND(采购进货!C1248&lt;&gt;"",采购进货!C1248=供应商对账单!$B$4,ISNUMBER(采购进货!B1248),采购进货!B1248&gt;=供应商对账单!$G$4,采购进货!B1248&lt;=供应商对账单!$I$4),采购进货!B1248+ROW()/100000,"")</f>
      </c>
      <c r="N1248">
        <f>IF(AND(ISNUMBER(出库明细!G1248),ISNUMBER(出库明细!E1248),ISNUMBER(出库明细!F1248)),IF(ABS(出库明细!G1248-出库明细!E1248*出库明细!F1248)&gt;0.005,1,0),0)</f>
        <v>0</v>
      </c>
    </row>
    <row r="1249">
      <c r="A1249">
        <f>IF(OR(出库明细!C249="",出库明细!D249=""),"",IF(OR(COUNTIFS(存条明细!$C$4:$C$1003,出库明细!C249,存条明细!$D$4:$D$1003,出库明细!D249)&gt;0,COUNTIFS(出库明细!$C$4:C249,出库明细!C249,出库明细!$D$4:D249,出库明细!D249)&gt;1),"",IFERROR(MATCH(出库明细!C249,总览汇总!$B$5:$B$304,0),900)*10000000+IFERROR(MATCH(出库明细!D249,基础资料!$E$5:$E$104,0),900)*10000+ROW()))</f>
      </c>
      <c r="F1249">
        <f>IF(AND(出库明细!C1249&lt;&gt;"",出库明细!C1249=客户对账单!$B$4,ISNUMBER(出库明细!B1249),出库明细!B1249&gt;=客户对账单!$G$4,出库明细!B1249&lt;=客户对账单!$I$4),出库明细!B1249+ROW()/100000,"")</f>
      </c>
      <c r="H1249">
        <f>IF(AND(采购进货!C1249&lt;&gt;"",采购进货!C1249=供应商对账单!$B$4,ISNUMBER(采购进货!B1249),采购进货!B1249&gt;=供应商对账单!$G$4,采购进货!B1249&lt;=供应商对账单!$I$4),采购进货!B1249+ROW()/100000,"")</f>
      </c>
      <c r="N1249">
        <f>IF(AND(ISNUMBER(出库明细!G1249),ISNUMBER(出库明细!E1249),ISNUMBER(出库明细!F1249)),IF(ABS(出库明细!G1249-出库明细!E1249*出库明细!F1249)&gt;0.005,1,0),0)</f>
        <v>0</v>
      </c>
    </row>
    <row r="1250">
      <c r="A1250">
        <f>IF(OR(出库明细!C250="",出库明细!D250=""),"",IF(OR(COUNTIFS(存条明细!$C$4:$C$1003,出库明细!C250,存条明细!$D$4:$D$1003,出库明细!D250)&gt;0,COUNTIFS(出库明细!$C$4:C250,出库明细!C250,出库明细!$D$4:D250,出库明细!D250)&gt;1),"",IFERROR(MATCH(出库明细!C250,总览汇总!$B$5:$B$304,0),900)*10000000+IFERROR(MATCH(出库明细!D250,基础资料!$E$5:$E$104,0),900)*10000+ROW()))</f>
      </c>
      <c r="F1250">
        <f>IF(AND(出库明细!C1250&lt;&gt;"",出库明细!C1250=客户对账单!$B$4,ISNUMBER(出库明细!B1250),出库明细!B1250&gt;=客户对账单!$G$4,出库明细!B1250&lt;=客户对账单!$I$4),出库明细!B1250+ROW()/100000,"")</f>
      </c>
      <c r="H1250">
        <f>IF(AND(采购进货!C1250&lt;&gt;"",采购进货!C1250=供应商对账单!$B$4,ISNUMBER(采购进货!B1250),采购进货!B1250&gt;=供应商对账单!$G$4,采购进货!B1250&lt;=供应商对账单!$I$4),采购进货!B1250+ROW()/100000,"")</f>
      </c>
      <c r="N1250">
        <f>IF(AND(ISNUMBER(出库明细!G1250),ISNUMBER(出库明细!E1250),ISNUMBER(出库明细!F1250)),IF(ABS(出库明细!G1250-出库明细!E1250*出库明细!F1250)&gt;0.005,1,0),0)</f>
        <v>0</v>
      </c>
    </row>
    <row r="1251">
      <c r="A1251">
        <f>IF(OR(出库明细!C251="",出库明细!D251=""),"",IF(OR(COUNTIFS(存条明细!$C$4:$C$1003,出库明细!C251,存条明细!$D$4:$D$1003,出库明细!D251)&gt;0,COUNTIFS(出库明细!$C$4:C251,出库明细!C251,出库明细!$D$4:D251,出库明细!D251)&gt;1),"",IFERROR(MATCH(出库明细!C251,总览汇总!$B$5:$B$304,0),900)*10000000+IFERROR(MATCH(出库明细!D251,基础资料!$E$5:$E$104,0),900)*10000+ROW()))</f>
      </c>
      <c r="F1251">
        <f>IF(AND(出库明细!C1251&lt;&gt;"",出库明细!C1251=客户对账单!$B$4,ISNUMBER(出库明细!B1251),出库明细!B1251&gt;=客户对账单!$G$4,出库明细!B1251&lt;=客户对账单!$I$4),出库明细!B1251+ROW()/100000,"")</f>
      </c>
      <c r="H1251">
        <f>IF(AND(采购进货!C1251&lt;&gt;"",采购进货!C1251=供应商对账单!$B$4,ISNUMBER(采购进货!B1251),采购进货!B1251&gt;=供应商对账单!$G$4,采购进货!B1251&lt;=供应商对账单!$I$4),采购进货!B1251+ROW()/100000,"")</f>
      </c>
      <c r="N1251">
        <f>IF(AND(ISNUMBER(出库明细!G1251),ISNUMBER(出库明细!E1251),ISNUMBER(出库明细!F1251)),IF(ABS(出库明细!G1251-出库明细!E1251*出库明细!F1251)&gt;0.005,1,0),0)</f>
        <v>0</v>
      </c>
    </row>
    <row r="1252">
      <c r="A1252">
        <f>IF(OR(出库明细!C252="",出库明细!D252=""),"",IF(OR(COUNTIFS(存条明细!$C$4:$C$1003,出库明细!C252,存条明细!$D$4:$D$1003,出库明细!D252)&gt;0,COUNTIFS(出库明细!$C$4:C252,出库明细!C252,出库明细!$D$4:D252,出库明细!D252)&gt;1),"",IFERROR(MATCH(出库明细!C252,总览汇总!$B$5:$B$304,0),900)*10000000+IFERROR(MATCH(出库明细!D252,基础资料!$E$5:$E$104,0),900)*10000+ROW()))</f>
        <v>440011252</v>
      </c>
      <c r="F1252">
        <f>IF(AND(出库明细!C1252&lt;&gt;"",出库明细!C1252=客户对账单!$B$4,ISNUMBER(出库明细!B1252),出库明细!B1252&gt;=客户对账单!$G$4,出库明细!B1252&lt;=客户对账单!$I$4),出库明细!B1252+ROW()/100000,"")</f>
      </c>
      <c r="H1252">
        <f>IF(AND(采购进货!C1252&lt;&gt;"",采购进货!C1252=供应商对账单!$B$4,ISNUMBER(采购进货!B1252),采购进货!B1252&gt;=供应商对账单!$G$4,采购进货!B1252&lt;=供应商对账单!$I$4),采购进货!B1252+ROW()/100000,"")</f>
      </c>
      <c r="N1252">
        <f>IF(AND(ISNUMBER(出库明细!G1252),ISNUMBER(出库明细!E1252),ISNUMBER(出库明细!F1252)),IF(ABS(出库明细!G1252-出库明细!E1252*出库明细!F1252)&gt;0.005,1,0),0)</f>
        <v>0</v>
      </c>
    </row>
    <row r="1253">
      <c r="A1253">
        <f>IF(OR(出库明细!C253="",出库明细!D253=""),"",IF(OR(COUNTIFS(存条明细!$C$4:$C$1003,出库明细!C253,存条明细!$D$4:$D$1003,出库明细!D253)&gt;0,COUNTIFS(出库明细!$C$4:C253,出库明细!C253,出库明细!$D$4:D253,出库明细!D253)&gt;1),"",IFERROR(MATCH(出库明细!C253,总览汇总!$B$5:$B$304,0),900)*10000000+IFERROR(MATCH(出库明细!D253,基础资料!$E$5:$E$104,0),900)*10000+ROW()))</f>
        <v>360051253</v>
      </c>
      <c r="F1253">
        <f>IF(AND(出库明细!C1253&lt;&gt;"",出库明细!C1253=客户对账单!$B$4,ISNUMBER(出库明细!B1253),出库明细!B1253&gt;=客户对账单!$G$4,出库明细!B1253&lt;=客户对账单!$I$4),出库明细!B1253+ROW()/100000,"")</f>
      </c>
      <c r="H1253">
        <f>IF(AND(采购进货!C1253&lt;&gt;"",采购进货!C1253=供应商对账单!$B$4,ISNUMBER(采购进货!B1253),采购进货!B1253&gt;=供应商对账单!$G$4,采购进货!B1253&lt;=供应商对账单!$I$4),采购进货!B1253+ROW()/100000,"")</f>
      </c>
      <c r="N1253">
        <f>IF(AND(ISNUMBER(出库明细!G1253),ISNUMBER(出库明细!E1253),ISNUMBER(出库明细!F1253)),IF(ABS(出库明细!G1253-出库明细!E1253*出库明细!F1253)&gt;0.005,1,0),0)</f>
        <v>0</v>
      </c>
    </row>
    <row r="1254">
      <c r="A1254">
        <f>IF(OR(出库明细!C254="",出库明细!D254=""),"",IF(OR(COUNTIFS(存条明细!$C$4:$C$1003,出库明细!C254,存条明细!$D$4:$D$1003,出库明细!D254)&gt;0,COUNTIFS(出库明细!$C$4:C254,出库明细!C254,出库明细!$D$4:D254,出库明细!D254)&gt;1),"",IFERROR(MATCH(出库明细!C254,总览汇总!$B$5:$B$304,0),900)*10000000+IFERROR(MATCH(出库明细!D254,基础资料!$E$5:$E$104,0),900)*10000+ROW()))</f>
        <v>360061254</v>
      </c>
      <c r="F1254">
        <f>IF(AND(出库明细!C1254&lt;&gt;"",出库明细!C1254=客户对账单!$B$4,ISNUMBER(出库明细!B1254),出库明细!B1254&gt;=客户对账单!$G$4,出库明细!B1254&lt;=客户对账单!$I$4),出库明细!B1254+ROW()/100000,"")</f>
      </c>
      <c r="H1254">
        <f>IF(AND(采购进货!C1254&lt;&gt;"",采购进货!C1254=供应商对账单!$B$4,ISNUMBER(采购进货!B1254),采购进货!B1254&gt;=供应商对账单!$G$4,采购进货!B1254&lt;=供应商对账单!$I$4),采购进货!B1254+ROW()/100000,"")</f>
      </c>
      <c r="N1254">
        <f>IF(AND(ISNUMBER(出库明细!G1254),ISNUMBER(出库明细!E1254),ISNUMBER(出库明细!F1254)),IF(ABS(出库明细!G1254-出库明细!E1254*出库明细!F1254)&gt;0.005,1,0),0)</f>
        <v>0</v>
      </c>
    </row>
    <row r="1255">
      <c r="A1255">
        <f>IF(OR(出库明细!C255="",出库明细!D255=""),"",IF(OR(COUNTIFS(存条明细!$C$4:$C$1003,出库明细!C255,存条明细!$D$4:$D$1003,出库明细!D255)&gt;0,COUNTIFS(出库明细!$C$4:C255,出库明细!C255,出库明细!$D$4:D255,出库明细!D255)&gt;1),"",IFERROR(MATCH(出库明细!C255,总览汇总!$B$5:$B$304,0),900)*10000000+IFERROR(MATCH(出库明细!D255,基础资料!$E$5:$E$104,0),900)*10000+ROW()))</f>
      </c>
      <c r="F1255">
        <f>IF(AND(出库明细!C1255&lt;&gt;"",出库明细!C1255=客户对账单!$B$4,ISNUMBER(出库明细!B1255),出库明细!B1255&gt;=客户对账单!$G$4,出库明细!B1255&lt;=客户对账单!$I$4),出库明细!B1255+ROW()/100000,"")</f>
      </c>
      <c r="H1255">
        <f>IF(AND(采购进货!C1255&lt;&gt;"",采购进货!C1255=供应商对账单!$B$4,ISNUMBER(采购进货!B1255),采购进货!B1255&gt;=供应商对账单!$G$4,采购进货!B1255&lt;=供应商对账单!$I$4),采购进货!B1255+ROW()/100000,"")</f>
      </c>
      <c r="N1255">
        <f>IF(AND(ISNUMBER(出库明细!G1255),ISNUMBER(出库明细!E1255),ISNUMBER(出库明细!F1255)),IF(ABS(出库明细!G1255-出库明细!E1255*出库明细!F1255)&gt;0.005,1,0),0)</f>
        <v>0</v>
      </c>
    </row>
    <row r="1256">
      <c r="A1256">
        <f>IF(OR(出库明细!C256="",出库明细!D256=""),"",IF(OR(COUNTIFS(存条明细!$C$4:$C$1003,出库明细!C256,存条明细!$D$4:$D$1003,出库明细!D256)&gt;0,COUNTIFS(出库明细!$C$4:C256,出库明细!C256,出库明细!$D$4:D256,出库明细!D256)&gt;1),"",IFERROR(MATCH(出库明细!C256,总览汇总!$B$5:$B$304,0),900)*10000000+IFERROR(MATCH(出库明细!D256,基础资料!$E$5:$E$104,0),900)*10000+ROW()))</f>
      </c>
      <c r="F1256">
        <f>IF(AND(出库明细!C1256&lt;&gt;"",出库明细!C1256=客户对账单!$B$4,ISNUMBER(出库明细!B1256),出库明细!B1256&gt;=客户对账单!$G$4,出库明细!B1256&lt;=客户对账单!$I$4),出库明细!B1256+ROW()/100000,"")</f>
      </c>
      <c r="H1256">
        <f>IF(AND(采购进货!C1256&lt;&gt;"",采购进货!C1256=供应商对账单!$B$4,ISNUMBER(采购进货!B1256),采购进货!B1256&gt;=供应商对账单!$G$4,采购进货!B1256&lt;=供应商对账单!$I$4),采购进货!B1256+ROW()/100000,"")</f>
      </c>
      <c r="N1256">
        <f>IF(AND(ISNUMBER(出库明细!G1256),ISNUMBER(出库明细!E1256),ISNUMBER(出库明细!F1256)),IF(ABS(出库明细!G1256-出库明细!E1256*出库明细!F1256)&gt;0.005,1,0),0)</f>
        <v>0</v>
      </c>
    </row>
    <row r="1257">
      <c r="A1257">
        <f>IF(OR(出库明细!C257="",出库明细!D257=""),"",IF(OR(COUNTIFS(存条明细!$C$4:$C$1003,出库明细!C257,存条明细!$D$4:$D$1003,出库明细!D257)&gt;0,COUNTIFS(出库明细!$C$4:C257,出库明细!C257,出库明细!$D$4:D257,出库明细!D257)&gt;1),"",IFERROR(MATCH(出库明细!C257,总览汇总!$B$5:$B$304,0),900)*10000000+IFERROR(MATCH(出库明细!D257,基础资料!$E$5:$E$104,0),900)*10000+ROW()))</f>
      </c>
      <c r="F1257">
        <f>IF(AND(出库明细!C1257&lt;&gt;"",出库明细!C1257=客户对账单!$B$4,ISNUMBER(出库明细!B1257),出库明细!B1257&gt;=客户对账单!$G$4,出库明细!B1257&lt;=客户对账单!$I$4),出库明细!B1257+ROW()/100000,"")</f>
      </c>
      <c r="H1257">
        <f>IF(AND(采购进货!C1257&lt;&gt;"",采购进货!C1257=供应商对账单!$B$4,ISNUMBER(采购进货!B1257),采购进货!B1257&gt;=供应商对账单!$G$4,采购进货!B1257&lt;=供应商对账单!$I$4),采购进货!B1257+ROW()/100000,"")</f>
      </c>
      <c r="N1257">
        <f>IF(AND(ISNUMBER(出库明细!G1257),ISNUMBER(出库明细!E1257),ISNUMBER(出库明细!F1257)),IF(ABS(出库明细!G1257-出库明细!E1257*出库明细!F1257)&gt;0.005,1,0),0)</f>
        <v>0</v>
      </c>
    </row>
    <row r="1258">
      <c r="A1258">
        <f>IF(OR(出库明细!C258="",出库明细!D258=""),"",IF(OR(COUNTIFS(存条明细!$C$4:$C$1003,出库明细!C258,存条明细!$D$4:$D$1003,出库明细!D258)&gt;0,COUNTIFS(出库明细!$C$4:C258,出库明细!C258,出库明细!$D$4:D258,出库明细!D258)&gt;1),"",IFERROR(MATCH(出库明细!C258,总览汇总!$B$5:$B$304,0),900)*10000000+IFERROR(MATCH(出库明细!D258,基础资料!$E$5:$E$104,0),900)*10000+ROW()))</f>
      </c>
      <c r="F1258">
        <f>IF(AND(出库明细!C1258&lt;&gt;"",出库明细!C1258=客户对账单!$B$4,ISNUMBER(出库明细!B1258),出库明细!B1258&gt;=客户对账单!$G$4,出库明细!B1258&lt;=客户对账单!$I$4),出库明细!B1258+ROW()/100000,"")</f>
      </c>
      <c r="H1258">
        <f>IF(AND(采购进货!C1258&lt;&gt;"",采购进货!C1258=供应商对账单!$B$4,ISNUMBER(采购进货!B1258),采购进货!B1258&gt;=供应商对账单!$G$4,采购进货!B1258&lt;=供应商对账单!$I$4),采购进货!B1258+ROW()/100000,"")</f>
      </c>
      <c r="N1258">
        <f>IF(AND(ISNUMBER(出库明细!G1258),ISNUMBER(出库明细!E1258),ISNUMBER(出库明细!F1258)),IF(ABS(出库明细!G1258-出库明细!E1258*出库明细!F1258)&gt;0.005,1,0),0)</f>
        <v>0</v>
      </c>
    </row>
    <row r="1259">
      <c r="A1259">
        <f>IF(OR(出库明细!C259="",出库明细!D259=""),"",IF(OR(COUNTIFS(存条明细!$C$4:$C$1003,出库明细!C259,存条明细!$D$4:$D$1003,出库明细!D259)&gt;0,COUNTIFS(出库明细!$C$4:C259,出库明细!C259,出库明细!$D$4:D259,出库明细!D259)&gt;1),"",IFERROR(MATCH(出库明细!C259,总览汇总!$B$5:$B$304,0),900)*10000000+IFERROR(MATCH(出库明细!D259,基础资料!$E$5:$E$104,0),900)*10000+ROW()))</f>
      </c>
      <c r="F1259">
        <f>IF(AND(出库明细!C1259&lt;&gt;"",出库明细!C1259=客户对账单!$B$4,ISNUMBER(出库明细!B1259),出库明细!B1259&gt;=客户对账单!$G$4,出库明细!B1259&lt;=客户对账单!$I$4),出库明细!B1259+ROW()/100000,"")</f>
      </c>
      <c r="H1259">
        <f>IF(AND(采购进货!C1259&lt;&gt;"",采购进货!C1259=供应商对账单!$B$4,ISNUMBER(采购进货!B1259),采购进货!B1259&gt;=供应商对账单!$G$4,采购进货!B1259&lt;=供应商对账单!$I$4),采购进货!B1259+ROW()/100000,"")</f>
      </c>
      <c r="N1259">
        <f>IF(AND(ISNUMBER(出库明细!G1259),ISNUMBER(出库明细!E1259),ISNUMBER(出库明细!F1259)),IF(ABS(出库明细!G1259-出库明细!E1259*出库明细!F1259)&gt;0.005,1,0),0)</f>
        <v>0</v>
      </c>
    </row>
    <row r="1260">
      <c r="A1260">
        <f>IF(OR(出库明细!C260="",出库明细!D260=""),"",IF(OR(COUNTIFS(存条明细!$C$4:$C$1003,出库明细!C260,存条明细!$D$4:$D$1003,出库明细!D260)&gt;0,COUNTIFS(出库明细!$C$4:C260,出库明细!C260,出库明细!$D$4:D260,出库明细!D260)&gt;1),"",IFERROR(MATCH(出库明细!C260,总览汇总!$B$5:$B$304,0),900)*10000000+IFERROR(MATCH(出库明细!D260,基础资料!$E$5:$E$104,0),900)*10000+ROW()))</f>
      </c>
      <c r="F1260">
        <f>IF(AND(出库明细!C1260&lt;&gt;"",出库明细!C1260=客户对账单!$B$4,ISNUMBER(出库明细!B1260),出库明细!B1260&gt;=客户对账单!$G$4,出库明细!B1260&lt;=客户对账单!$I$4),出库明细!B1260+ROW()/100000,"")</f>
      </c>
      <c r="H1260">
        <f>IF(AND(采购进货!C1260&lt;&gt;"",采购进货!C1260=供应商对账单!$B$4,ISNUMBER(采购进货!B1260),采购进货!B1260&gt;=供应商对账单!$G$4,采购进货!B1260&lt;=供应商对账单!$I$4),采购进货!B1260+ROW()/100000,"")</f>
      </c>
      <c r="N1260">
        <f>IF(AND(ISNUMBER(出库明细!G1260),ISNUMBER(出库明细!E1260),ISNUMBER(出库明细!F1260)),IF(ABS(出库明细!G1260-出库明细!E1260*出库明细!F1260)&gt;0.005,1,0),0)</f>
        <v>0</v>
      </c>
    </row>
    <row r="1261">
      <c r="A1261">
        <f>IF(OR(出库明细!C261="",出库明细!D261=""),"",IF(OR(COUNTIFS(存条明细!$C$4:$C$1003,出库明细!C261,存条明细!$D$4:$D$1003,出库明细!D261)&gt;0,COUNTIFS(出库明细!$C$4:C261,出库明细!C261,出库明细!$D$4:D261,出库明细!D261)&gt;1),"",IFERROR(MATCH(出库明细!C261,总览汇总!$B$5:$B$304,0),900)*10000000+IFERROR(MATCH(出库明细!D261,基础资料!$E$5:$E$104,0),900)*10000+ROW()))</f>
      </c>
      <c r="F1261">
        <f>IF(AND(出库明细!C1261&lt;&gt;"",出库明细!C1261=客户对账单!$B$4,ISNUMBER(出库明细!B1261),出库明细!B1261&gt;=客户对账单!$G$4,出库明细!B1261&lt;=客户对账单!$I$4),出库明细!B1261+ROW()/100000,"")</f>
      </c>
      <c r="H1261">
        <f>IF(AND(采购进货!C1261&lt;&gt;"",采购进货!C1261=供应商对账单!$B$4,ISNUMBER(采购进货!B1261),采购进货!B1261&gt;=供应商对账单!$G$4,采购进货!B1261&lt;=供应商对账单!$I$4),采购进货!B1261+ROW()/100000,"")</f>
      </c>
      <c r="N1261">
        <f>IF(AND(ISNUMBER(出库明细!G1261),ISNUMBER(出库明细!E1261),ISNUMBER(出库明细!F1261)),IF(ABS(出库明细!G1261-出库明细!E1261*出库明细!F1261)&gt;0.005,1,0),0)</f>
        <v>0</v>
      </c>
    </row>
    <row r="1262">
      <c r="A1262">
        <f>IF(OR(出库明细!C262="",出库明细!D262=""),"",IF(OR(COUNTIFS(存条明细!$C$4:$C$1003,出库明细!C262,存条明细!$D$4:$D$1003,出库明细!D262)&gt;0,COUNTIFS(出库明细!$C$4:C262,出库明细!C262,出库明细!$D$4:D262,出库明细!D262)&gt;1),"",IFERROR(MATCH(出库明细!C262,总览汇总!$B$5:$B$304,0),900)*10000000+IFERROR(MATCH(出库明细!D262,基础资料!$E$5:$E$104,0),900)*10000+ROW()))</f>
        <v>50031262</v>
      </c>
      <c r="F1262">
        <f>IF(AND(出库明细!C1262&lt;&gt;"",出库明细!C1262=客户对账单!$B$4,ISNUMBER(出库明细!B1262),出库明细!B1262&gt;=客户对账单!$G$4,出库明细!B1262&lt;=客户对账单!$I$4),出库明细!B1262+ROW()/100000,"")</f>
      </c>
      <c r="H1262">
        <f>IF(AND(采购进货!C1262&lt;&gt;"",采购进货!C1262=供应商对账单!$B$4,ISNUMBER(采购进货!B1262),采购进货!B1262&gt;=供应商对账单!$G$4,采购进货!B1262&lt;=供应商对账单!$I$4),采购进货!B1262+ROW()/100000,"")</f>
      </c>
      <c r="N1262">
        <f>IF(AND(ISNUMBER(出库明细!G1262),ISNUMBER(出库明细!E1262),ISNUMBER(出库明细!F1262)),IF(ABS(出库明细!G1262-出库明细!E1262*出库明细!F1262)&gt;0.005,1,0),0)</f>
        <v>0</v>
      </c>
    </row>
    <row r="1263">
      <c r="A1263">
        <f>IF(OR(出库明细!C263="",出库明细!D263=""),"",IF(OR(COUNTIFS(存条明细!$C$4:$C$1003,出库明细!C263,存条明细!$D$4:$D$1003,出库明细!D263)&gt;0,COUNTIFS(出库明细!$C$4:C263,出库明细!C263,出库明细!$D$4:D263,出库明细!D263)&gt;1),"",IFERROR(MATCH(出库明细!C263,总览汇总!$B$5:$B$304,0),900)*10000000+IFERROR(MATCH(出库明细!D263,基础资料!$E$5:$E$104,0),900)*10000+ROW()))</f>
      </c>
      <c r="F1263">
        <f>IF(AND(出库明细!C1263&lt;&gt;"",出库明细!C1263=客户对账单!$B$4,ISNUMBER(出库明细!B1263),出库明细!B1263&gt;=客户对账单!$G$4,出库明细!B1263&lt;=客户对账单!$I$4),出库明细!B1263+ROW()/100000,"")</f>
      </c>
      <c r="H1263">
        <f>IF(AND(采购进货!C1263&lt;&gt;"",采购进货!C1263=供应商对账单!$B$4,ISNUMBER(采购进货!B1263),采购进货!B1263&gt;=供应商对账单!$G$4,采购进货!B1263&lt;=供应商对账单!$I$4),采购进货!B1263+ROW()/100000,"")</f>
      </c>
      <c r="N1263">
        <f>IF(AND(ISNUMBER(出库明细!G1263),ISNUMBER(出库明细!E1263),ISNUMBER(出库明细!F1263)),IF(ABS(出库明细!G1263-出库明细!E1263*出库明细!F1263)&gt;0.005,1,0),0)</f>
        <v>0</v>
      </c>
    </row>
    <row r="1264">
      <c r="A1264">
        <f>IF(OR(出库明细!C264="",出库明细!D264=""),"",IF(OR(COUNTIFS(存条明细!$C$4:$C$1003,出库明细!C264,存条明细!$D$4:$D$1003,出库明细!D264)&gt;0,COUNTIFS(出库明细!$C$4:C264,出库明细!C264,出库明细!$D$4:D264,出库明细!D264)&gt;1),"",IFERROR(MATCH(出库明细!C264,总览汇总!$B$5:$B$304,0),900)*10000000+IFERROR(MATCH(出库明细!D264,基础资料!$E$5:$E$104,0),900)*10000+ROW()))</f>
      </c>
      <c r="F1264">
        <f>IF(AND(出库明细!C1264&lt;&gt;"",出库明细!C1264=客户对账单!$B$4,ISNUMBER(出库明细!B1264),出库明细!B1264&gt;=客户对账单!$G$4,出库明细!B1264&lt;=客户对账单!$I$4),出库明细!B1264+ROW()/100000,"")</f>
      </c>
      <c r="H1264">
        <f>IF(AND(采购进货!C1264&lt;&gt;"",采购进货!C1264=供应商对账单!$B$4,ISNUMBER(采购进货!B1264),采购进货!B1264&gt;=供应商对账单!$G$4,采购进货!B1264&lt;=供应商对账单!$I$4),采购进货!B1264+ROW()/100000,"")</f>
      </c>
      <c r="N1264">
        <f>IF(AND(ISNUMBER(出库明细!G1264),ISNUMBER(出库明细!E1264),ISNUMBER(出库明细!F1264)),IF(ABS(出库明细!G1264-出库明细!E1264*出库明细!F1264)&gt;0.005,1,0),0)</f>
        <v>0</v>
      </c>
    </row>
    <row r="1265">
      <c r="A1265">
        <f>IF(OR(出库明细!C265="",出库明细!D265=""),"",IF(OR(COUNTIFS(存条明细!$C$4:$C$1003,出库明细!C265,存条明细!$D$4:$D$1003,出库明细!D265)&gt;0,COUNTIFS(出库明细!$C$4:C265,出库明细!C265,出库明细!$D$4:D265,出库明细!D265)&gt;1),"",IFERROR(MATCH(出库明细!C265,总览汇总!$B$5:$B$304,0),900)*10000000+IFERROR(MATCH(出库明细!D265,基础资料!$E$5:$E$104,0),900)*10000+ROW()))</f>
      </c>
      <c r="F1265">
        <f>IF(AND(出库明细!C1265&lt;&gt;"",出库明细!C1265=客户对账单!$B$4,ISNUMBER(出库明细!B1265),出库明细!B1265&gt;=客户对账单!$G$4,出库明细!B1265&lt;=客户对账单!$I$4),出库明细!B1265+ROW()/100000,"")</f>
      </c>
      <c r="H1265">
        <f>IF(AND(采购进货!C1265&lt;&gt;"",采购进货!C1265=供应商对账单!$B$4,ISNUMBER(采购进货!B1265),采购进货!B1265&gt;=供应商对账单!$G$4,采购进货!B1265&lt;=供应商对账单!$I$4),采购进货!B1265+ROW()/100000,"")</f>
      </c>
      <c r="N1265">
        <f>IF(AND(ISNUMBER(出库明细!G1265),ISNUMBER(出库明细!E1265),ISNUMBER(出库明细!F1265)),IF(ABS(出库明细!G1265-出库明细!E1265*出库明细!F1265)&gt;0.005,1,0),0)</f>
        <v>0</v>
      </c>
    </row>
    <row r="1266">
      <c r="A1266">
        <f>IF(OR(出库明细!C266="",出库明细!D266=""),"",IF(OR(COUNTIFS(存条明细!$C$4:$C$1003,出库明细!C266,存条明细!$D$4:$D$1003,出库明细!D266)&gt;0,COUNTIFS(出库明细!$C$4:C266,出库明细!C266,出库明细!$D$4:D266,出库明细!D266)&gt;1),"",IFERROR(MATCH(出库明细!C266,总览汇总!$B$5:$B$304,0),900)*10000000+IFERROR(MATCH(出库明细!D266,基础资料!$E$5:$E$104,0),900)*10000+ROW()))</f>
      </c>
      <c r="F1266">
        <f>IF(AND(出库明细!C1266&lt;&gt;"",出库明细!C1266=客户对账单!$B$4,ISNUMBER(出库明细!B1266),出库明细!B1266&gt;=客户对账单!$G$4,出库明细!B1266&lt;=客户对账单!$I$4),出库明细!B1266+ROW()/100000,"")</f>
      </c>
      <c r="H1266">
        <f>IF(AND(采购进货!C1266&lt;&gt;"",采购进货!C1266=供应商对账单!$B$4,ISNUMBER(采购进货!B1266),采购进货!B1266&gt;=供应商对账单!$G$4,采购进货!B1266&lt;=供应商对账单!$I$4),采购进货!B1266+ROW()/100000,"")</f>
      </c>
      <c r="N1266">
        <f>IF(AND(ISNUMBER(出库明细!G1266),ISNUMBER(出库明细!E1266),ISNUMBER(出库明细!F1266)),IF(ABS(出库明细!G1266-出库明细!E1266*出库明细!F1266)&gt;0.005,1,0),0)</f>
        <v>0</v>
      </c>
    </row>
    <row r="1267">
      <c r="A1267">
        <f>IF(OR(出库明细!C267="",出库明细!D267=""),"",IF(OR(COUNTIFS(存条明细!$C$4:$C$1003,出库明细!C267,存条明细!$D$4:$D$1003,出库明细!D267)&gt;0,COUNTIFS(出库明细!$C$4:C267,出库明细!C267,出库明细!$D$4:D267,出库明细!D267)&gt;1),"",IFERROR(MATCH(出库明细!C267,总览汇总!$B$5:$B$304,0),900)*10000000+IFERROR(MATCH(出库明细!D267,基础资料!$E$5:$E$104,0),900)*10000+ROW()))</f>
      </c>
      <c r="F1267">
        <f>IF(AND(出库明细!C1267&lt;&gt;"",出库明细!C1267=客户对账单!$B$4,ISNUMBER(出库明细!B1267),出库明细!B1267&gt;=客户对账单!$G$4,出库明细!B1267&lt;=客户对账单!$I$4),出库明细!B1267+ROW()/100000,"")</f>
      </c>
      <c r="H1267">
        <f>IF(AND(采购进货!C1267&lt;&gt;"",采购进货!C1267=供应商对账单!$B$4,ISNUMBER(采购进货!B1267),采购进货!B1267&gt;=供应商对账单!$G$4,采购进货!B1267&lt;=供应商对账单!$I$4),采购进货!B1267+ROW()/100000,"")</f>
      </c>
      <c r="N1267">
        <f>IF(AND(ISNUMBER(出库明细!G1267),ISNUMBER(出库明细!E1267),ISNUMBER(出库明细!F1267)),IF(ABS(出库明细!G1267-出库明细!E1267*出库明细!F1267)&gt;0.005,1,0),0)</f>
        <v>0</v>
      </c>
    </row>
    <row r="1268">
      <c r="A1268">
        <f>IF(OR(出库明细!C268="",出库明细!D268=""),"",IF(OR(COUNTIFS(存条明细!$C$4:$C$1003,出库明细!C268,存条明细!$D$4:$D$1003,出库明细!D268)&gt;0,COUNTIFS(出库明细!$C$4:C268,出库明细!C268,出库明细!$D$4:D268,出库明细!D268)&gt;1),"",IFERROR(MATCH(出库明细!C268,总览汇总!$B$5:$B$304,0),900)*10000000+IFERROR(MATCH(出库明细!D268,基础资料!$E$5:$E$104,0),900)*10000+ROW()))</f>
      </c>
      <c r="F1268">
        <f>IF(AND(出库明细!C1268&lt;&gt;"",出库明细!C1268=客户对账单!$B$4,ISNUMBER(出库明细!B1268),出库明细!B1268&gt;=客户对账单!$G$4,出库明细!B1268&lt;=客户对账单!$I$4),出库明细!B1268+ROW()/100000,"")</f>
      </c>
      <c r="H1268">
        <f>IF(AND(采购进货!C1268&lt;&gt;"",采购进货!C1268=供应商对账单!$B$4,ISNUMBER(采购进货!B1268),采购进货!B1268&gt;=供应商对账单!$G$4,采购进货!B1268&lt;=供应商对账单!$I$4),采购进货!B1268+ROW()/100000,"")</f>
      </c>
      <c r="N1268">
        <f>IF(AND(ISNUMBER(出库明细!G1268),ISNUMBER(出库明细!E1268),ISNUMBER(出库明细!F1268)),IF(ABS(出库明细!G1268-出库明细!E1268*出库明细!F1268)&gt;0.005,1,0),0)</f>
        <v>0</v>
      </c>
    </row>
    <row r="1269">
      <c r="A1269">
        <f>IF(OR(出库明细!C269="",出库明细!D269=""),"",IF(OR(COUNTIFS(存条明细!$C$4:$C$1003,出库明细!C269,存条明细!$D$4:$D$1003,出库明细!D269)&gt;0,COUNTIFS(出库明细!$C$4:C269,出库明细!C269,出库明细!$D$4:D269,出库明细!D269)&gt;1),"",IFERROR(MATCH(出库明细!C269,总览汇总!$B$5:$B$304,0),900)*10000000+IFERROR(MATCH(出库明细!D269,基础资料!$E$5:$E$104,0),900)*10000+ROW()))</f>
      </c>
      <c r="F1269">
        <f>IF(AND(出库明细!C1269&lt;&gt;"",出库明细!C1269=客户对账单!$B$4,ISNUMBER(出库明细!B1269),出库明细!B1269&gt;=客户对账单!$G$4,出库明细!B1269&lt;=客户对账单!$I$4),出库明细!B1269+ROW()/100000,"")</f>
      </c>
      <c r="H1269">
        <f>IF(AND(采购进货!C1269&lt;&gt;"",采购进货!C1269=供应商对账单!$B$4,ISNUMBER(采购进货!B1269),采购进货!B1269&gt;=供应商对账单!$G$4,采购进货!B1269&lt;=供应商对账单!$I$4),采购进货!B1269+ROW()/100000,"")</f>
      </c>
      <c r="N1269">
        <f>IF(AND(ISNUMBER(出库明细!G1269),ISNUMBER(出库明细!E1269),ISNUMBER(出库明细!F1269)),IF(ABS(出库明细!G1269-出库明细!E1269*出库明细!F1269)&gt;0.005,1,0),0)</f>
        <v>0</v>
      </c>
    </row>
    <row r="1270">
      <c r="A1270">
        <f>IF(OR(出库明细!C270="",出库明细!D270=""),"",IF(OR(COUNTIFS(存条明细!$C$4:$C$1003,出库明细!C270,存条明细!$D$4:$D$1003,出库明细!D270)&gt;0,COUNTIFS(出库明细!$C$4:C270,出库明细!C270,出库明细!$D$4:D270,出库明细!D270)&gt;1),"",IFERROR(MATCH(出库明细!C270,总览汇总!$B$5:$B$304,0),900)*10000000+IFERROR(MATCH(出库明细!D270,基础资料!$E$5:$E$104,0),900)*10000+ROW()))</f>
      </c>
      <c r="F1270">
        <f>IF(AND(出库明细!C1270&lt;&gt;"",出库明细!C1270=客户对账单!$B$4,ISNUMBER(出库明细!B1270),出库明细!B1270&gt;=客户对账单!$G$4,出库明细!B1270&lt;=客户对账单!$I$4),出库明细!B1270+ROW()/100000,"")</f>
      </c>
      <c r="H1270">
        <f>IF(AND(采购进货!C1270&lt;&gt;"",采购进货!C1270=供应商对账单!$B$4,ISNUMBER(采购进货!B1270),采购进货!B1270&gt;=供应商对账单!$G$4,采购进货!B1270&lt;=供应商对账单!$I$4),采购进货!B1270+ROW()/100000,"")</f>
      </c>
      <c r="N1270">
        <f>IF(AND(ISNUMBER(出库明细!G1270),ISNUMBER(出库明细!E1270),ISNUMBER(出库明细!F1270)),IF(ABS(出库明细!G1270-出库明细!E1270*出库明细!F1270)&gt;0.005,1,0),0)</f>
        <v>0</v>
      </c>
    </row>
    <row r="1271">
      <c r="A1271">
        <f>IF(OR(出库明细!C271="",出库明细!D271=""),"",IF(OR(COUNTIFS(存条明细!$C$4:$C$1003,出库明细!C271,存条明细!$D$4:$D$1003,出库明细!D271)&gt;0,COUNTIFS(出库明细!$C$4:C271,出库明细!C271,出库明细!$D$4:D271,出库明细!D271)&gt;1),"",IFERROR(MATCH(出库明细!C271,总览汇总!$B$5:$B$304,0),900)*10000000+IFERROR(MATCH(出库明细!D271,基础资料!$E$5:$E$104,0),900)*10000+ROW()))</f>
      </c>
      <c r="F1271">
        <f>IF(AND(出库明细!C1271&lt;&gt;"",出库明细!C1271=客户对账单!$B$4,ISNUMBER(出库明细!B1271),出库明细!B1271&gt;=客户对账单!$G$4,出库明细!B1271&lt;=客户对账单!$I$4),出库明细!B1271+ROW()/100000,"")</f>
      </c>
      <c r="H1271">
        <f>IF(AND(采购进货!C1271&lt;&gt;"",采购进货!C1271=供应商对账单!$B$4,ISNUMBER(采购进货!B1271),采购进货!B1271&gt;=供应商对账单!$G$4,采购进货!B1271&lt;=供应商对账单!$I$4),采购进货!B1271+ROW()/100000,"")</f>
      </c>
      <c r="N1271">
        <f>IF(AND(ISNUMBER(出库明细!G1271),ISNUMBER(出库明细!E1271),ISNUMBER(出库明细!F1271)),IF(ABS(出库明细!G1271-出库明细!E1271*出库明细!F1271)&gt;0.005,1,0),0)</f>
        <v>0</v>
      </c>
    </row>
    <row r="1272">
      <c r="A1272">
        <f>IF(OR(出库明细!C272="",出库明细!D272=""),"",IF(OR(COUNTIFS(存条明细!$C$4:$C$1003,出库明细!C272,存条明细!$D$4:$D$1003,出库明细!D272)&gt;0,COUNTIFS(出库明细!$C$4:C272,出库明细!C272,出库明细!$D$4:D272,出库明细!D272)&gt;1),"",IFERROR(MATCH(出库明细!C272,总览汇总!$B$5:$B$304,0),900)*10000000+IFERROR(MATCH(出库明细!D272,基础资料!$E$5:$E$104,0),900)*10000+ROW()))</f>
        <v>270051272</v>
      </c>
      <c r="F1272">
        <f>IF(AND(出库明细!C1272&lt;&gt;"",出库明细!C1272=客户对账单!$B$4,ISNUMBER(出库明细!B1272),出库明细!B1272&gt;=客户对账单!$G$4,出库明细!B1272&lt;=客户对账单!$I$4),出库明细!B1272+ROW()/100000,"")</f>
      </c>
      <c r="H1272">
        <f>IF(AND(采购进货!C1272&lt;&gt;"",采购进货!C1272=供应商对账单!$B$4,ISNUMBER(采购进货!B1272),采购进货!B1272&gt;=供应商对账单!$G$4,采购进货!B1272&lt;=供应商对账单!$I$4),采购进货!B1272+ROW()/100000,"")</f>
      </c>
      <c r="N1272">
        <f>IF(AND(ISNUMBER(出库明细!G1272),ISNUMBER(出库明细!E1272),ISNUMBER(出库明细!F1272)),IF(ABS(出库明细!G1272-出库明细!E1272*出库明细!F1272)&gt;0.005,1,0),0)</f>
        <v>0</v>
      </c>
    </row>
    <row r="1273">
      <c r="A1273">
        <f>IF(OR(出库明细!C273="",出库明细!D273=""),"",IF(OR(COUNTIFS(存条明细!$C$4:$C$1003,出库明细!C273,存条明细!$D$4:$D$1003,出库明细!D273)&gt;0,COUNTIFS(出库明细!$C$4:C273,出库明细!C273,出库明细!$D$4:D273,出库明细!D273)&gt;1),"",IFERROR(MATCH(出库明细!C273,总览汇总!$B$5:$B$304,0),900)*10000000+IFERROR(MATCH(出库明细!D273,基础资料!$E$5:$E$104,0),900)*10000+ROW()))</f>
      </c>
      <c r="F1273">
        <f>IF(AND(出库明细!C1273&lt;&gt;"",出库明细!C1273=客户对账单!$B$4,ISNUMBER(出库明细!B1273),出库明细!B1273&gt;=客户对账单!$G$4,出库明细!B1273&lt;=客户对账单!$I$4),出库明细!B1273+ROW()/100000,"")</f>
      </c>
      <c r="H1273">
        <f>IF(AND(采购进货!C1273&lt;&gt;"",采购进货!C1273=供应商对账单!$B$4,ISNUMBER(采购进货!B1273),采购进货!B1273&gt;=供应商对账单!$G$4,采购进货!B1273&lt;=供应商对账单!$I$4),采购进货!B1273+ROW()/100000,"")</f>
      </c>
      <c r="N1273">
        <f>IF(AND(ISNUMBER(出库明细!G1273),ISNUMBER(出库明细!E1273),ISNUMBER(出库明细!F1273)),IF(ABS(出库明细!G1273-出库明细!E1273*出库明细!F1273)&gt;0.005,1,0),0)</f>
        <v>0</v>
      </c>
    </row>
    <row r="1274">
      <c r="A1274">
        <f>IF(OR(出库明细!C274="",出库明细!D274=""),"",IF(OR(COUNTIFS(存条明细!$C$4:$C$1003,出库明细!C274,存条明细!$D$4:$D$1003,出库明细!D274)&gt;0,COUNTIFS(出库明细!$C$4:C274,出库明细!C274,出库明细!$D$4:D274,出库明细!D274)&gt;1),"",IFERROR(MATCH(出库明细!C274,总览汇总!$B$5:$B$304,0),900)*10000000+IFERROR(MATCH(出库明细!D274,基础资料!$E$5:$E$104,0),900)*10000+ROW()))</f>
      </c>
      <c r="F1274">
        <f>IF(AND(出库明细!C1274&lt;&gt;"",出库明细!C1274=客户对账单!$B$4,ISNUMBER(出库明细!B1274),出库明细!B1274&gt;=客户对账单!$G$4,出库明细!B1274&lt;=客户对账单!$I$4),出库明细!B1274+ROW()/100000,"")</f>
      </c>
      <c r="H1274">
        <f>IF(AND(采购进货!C1274&lt;&gt;"",采购进货!C1274=供应商对账单!$B$4,ISNUMBER(采购进货!B1274),采购进货!B1274&gt;=供应商对账单!$G$4,采购进货!B1274&lt;=供应商对账单!$I$4),采购进货!B1274+ROW()/100000,"")</f>
      </c>
      <c r="N1274">
        <f>IF(AND(ISNUMBER(出库明细!G1274),ISNUMBER(出库明细!E1274),ISNUMBER(出库明细!F1274)),IF(ABS(出库明细!G1274-出库明细!E1274*出库明细!F1274)&gt;0.005,1,0),0)</f>
        <v>0</v>
      </c>
    </row>
    <row r="1275">
      <c r="A1275">
        <f>IF(OR(出库明细!C275="",出库明细!D275=""),"",IF(OR(COUNTIFS(存条明细!$C$4:$C$1003,出库明细!C275,存条明细!$D$4:$D$1003,出库明细!D275)&gt;0,COUNTIFS(出库明细!$C$4:C275,出库明细!C275,出库明细!$D$4:D275,出库明细!D275)&gt;1),"",IFERROR(MATCH(出库明细!C275,总览汇总!$B$5:$B$304,0),900)*10000000+IFERROR(MATCH(出库明细!D275,基础资料!$E$5:$E$104,0),900)*10000+ROW()))</f>
      </c>
      <c r="F1275">
        <f>IF(AND(出库明细!C1275&lt;&gt;"",出库明细!C1275=客户对账单!$B$4,ISNUMBER(出库明细!B1275),出库明细!B1275&gt;=客户对账单!$G$4,出库明细!B1275&lt;=客户对账单!$I$4),出库明细!B1275+ROW()/100000,"")</f>
      </c>
      <c r="H1275">
        <f>IF(AND(采购进货!C1275&lt;&gt;"",采购进货!C1275=供应商对账单!$B$4,ISNUMBER(采购进货!B1275),采购进货!B1275&gt;=供应商对账单!$G$4,采购进货!B1275&lt;=供应商对账单!$I$4),采购进货!B1275+ROW()/100000,"")</f>
      </c>
      <c r="N1275">
        <f>IF(AND(ISNUMBER(出库明细!G1275),ISNUMBER(出库明细!E1275),ISNUMBER(出库明细!F1275)),IF(ABS(出库明细!G1275-出库明细!E1275*出库明细!F1275)&gt;0.005,1,0),0)</f>
        <v>0</v>
      </c>
    </row>
    <row r="1276">
      <c r="A1276">
        <f>IF(OR(出库明细!C276="",出库明细!D276=""),"",IF(OR(COUNTIFS(存条明细!$C$4:$C$1003,出库明细!C276,存条明细!$D$4:$D$1003,出库明细!D276)&gt;0,COUNTIFS(出库明细!$C$4:C276,出库明细!C276,出库明细!$D$4:D276,出库明细!D276)&gt;1),"",IFERROR(MATCH(出库明细!C276,总览汇总!$B$5:$B$304,0),900)*10000000+IFERROR(MATCH(出库明细!D276,基础资料!$E$5:$E$104,0),900)*10000+ROW()))</f>
      </c>
      <c r="F1276">
        <f>IF(AND(出库明细!C1276&lt;&gt;"",出库明细!C1276=客户对账单!$B$4,ISNUMBER(出库明细!B1276),出库明细!B1276&gt;=客户对账单!$G$4,出库明细!B1276&lt;=客户对账单!$I$4),出库明细!B1276+ROW()/100000,"")</f>
      </c>
      <c r="H1276">
        <f>IF(AND(采购进货!C1276&lt;&gt;"",采购进货!C1276=供应商对账单!$B$4,ISNUMBER(采购进货!B1276),采购进货!B1276&gt;=供应商对账单!$G$4,采购进货!B1276&lt;=供应商对账单!$I$4),采购进货!B1276+ROW()/100000,"")</f>
      </c>
      <c r="N1276">
        <f>IF(AND(ISNUMBER(出库明细!G1276),ISNUMBER(出库明细!E1276),ISNUMBER(出库明细!F1276)),IF(ABS(出库明细!G1276-出库明细!E1276*出库明细!F1276)&gt;0.005,1,0),0)</f>
        <v>0</v>
      </c>
    </row>
    <row r="1277">
      <c r="A1277">
        <f>IF(OR(出库明细!C277="",出库明细!D277=""),"",IF(OR(COUNTIFS(存条明细!$C$4:$C$1003,出库明细!C277,存条明细!$D$4:$D$1003,出库明细!D277)&gt;0,COUNTIFS(出库明细!$C$4:C277,出库明细!C277,出库明细!$D$4:D277,出库明细!D277)&gt;1),"",IFERROR(MATCH(出库明细!C277,总览汇总!$B$5:$B$304,0),900)*10000000+IFERROR(MATCH(出库明细!D277,基础资料!$E$5:$E$104,0),900)*10000+ROW()))</f>
      </c>
      <c r="F1277">
        <f>IF(AND(出库明细!C1277&lt;&gt;"",出库明细!C1277=客户对账单!$B$4,ISNUMBER(出库明细!B1277),出库明细!B1277&gt;=客户对账单!$G$4,出库明细!B1277&lt;=客户对账单!$I$4),出库明细!B1277+ROW()/100000,"")</f>
      </c>
      <c r="H1277">
        <f>IF(AND(采购进货!C1277&lt;&gt;"",采购进货!C1277=供应商对账单!$B$4,ISNUMBER(采购进货!B1277),采购进货!B1277&gt;=供应商对账单!$G$4,采购进货!B1277&lt;=供应商对账单!$I$4),采购进货!B1277+ROW()/100000,"")</f>
      </c>
      <c r="N1277">
        <f>IF(AND(ISNUMBER(出库明细!G1277),ISNUMBER(出库明细!E1277),ISNUMBER(出库明细!F1277)),IF(ABS(出库明细!G1277-出库明细!E1277*出库明细!F1277)&gt;0.005,1,0),0)</f>
        <v>0</v>
      </c>
    </row>
    <row r="1278">
      <c r="A1278">
        <f>IF(OR(出库明细!C278="",出库明细!D278=""),"",IF(OR(COUNTIFS(存条明细!$C$4:$C$1003,出库明细!C278,存条明细!$D$4:$D$1003,出库明细!D278)&gt;0,COUNTIFS(出库明细!$C$4:C278,出库明细!C278,出库明细!$D$4:D278,出库明细!D278)&gt;1),"",IFERROR(MATCH(出库明细!C278,总览汇总!$B$5:$B$304,0),900)*10000000+IFERROR(MATCH(出库明细!D278,基础资料!$E$5:$E$104,0),900)*10000+ROW()))</f>
      </c>
      <c r="F1278">
        <f>IF(AND(出库明细!C1278&lt;&gt;"",出库明细!C1278=客户对账单!$B$4,ISNUMBER(出库明细!B1278),出库明细!B1278&gt;=客户对账单!$G$4,出库明细!B1278&lt;=客户对账单!$I$4),出库明细!B1278+ROW()/100000,"")</f>
      </c>
      <c r="H1278">
        <f>IF(AND(采购进货!C1278&lt;&gt;"",采购进货!C1278=供应商对账单!$B$4,ISNUMBER(采购进货!B1278),采购进货!B1278&gt;=供应商对账单!$G$4,采购进货!B1278&lt;=供应商对账单!$I$4),采购进货!B1278+ROW()/100000,"")</f>
      </c>
      <c r="N1278">
        <f>IF(AND(ISNUMBER(出库明细!G1278),ISNUMBER(出库明细!E1278),ISNUMBER(出库明细!F1278)),IF(ABS(出库明细!G1278-出库明细!E1278*出库明细!F1278)&gt;0.005,1,0),0)</f>
        <v>0</v>
      </c>
    </row>
    <row r="1279">
      <c r="A1279">
        <f>IF(OR(出库明细!C279="",出库明细!D279=""),"",IF(OR(COUNTIFS(存条明细!$C$4:$C$1003,出库明细!C279,存条明细!$D$4:$D$1003,出库明细!D279)&gt;0,COUNTIFS(出库明细!$C$4:C279,出库明细!C279,出库明细!$D$4:D279,出库明细!D279)&gt;1),"",IFERROR(MATCH(出库明细!C279,总览汇总!$B$5:$B$304,0),900)*10000000+IFERROR(MATCH(出库明细!D279,基础资料!$E$5:$E$104,0),900)*10000+ROW()))</f>
      </c>
      <c r="F1279">
        <f>IF(AND(出库明细!C1279&lt;&gt;"",出库明细!C1279=客户对账单!$B$4,ISNUMBER(出库明细!B1279),出库明细!B1279&gt;=客户对账单!$G$4,出库明细!B1279&lt;=客户对账单!$I$4),出库明细!B1279+ROW()/100000,"")</f>
      </c>
      <c r="H1279">
        <f>IF(AND(采购进货!C1279&lt;&gt;"",采购进货!C1279=供应商对账单!$B$4,ISNUMBER(采购进货!B1279),采购进货!B1279&gt;=供应商对账单!$G$4,采购进货!B1279&lt;=供应商对账单!$I$4),采购进货!B1279+ROW()/100000,"")</f>
      </c>
      <c r="N1279">
        <f>IF(AND(ISNUMBER(出库明细!G1279),ISNUMBER(出库明细!E1279),ISNUMBER(出库明细!F1279)),IF(ABS(出库明细!G1279-出库明细!E1279*出库明细!F1279)&gt;0.005,1,0),0)</f>
        <v>0</v>
      </c>
    </row>
    <row r="1280">
      <c r="A1280">
        <f>IF(OR(出库明细!C280="",出库明细!D280=""),"",IF(OR(COUNTIFS(存条明细!$C$4:$C$1003,出库明细!C280,存条明细!$D$4:$D$1003,出库明细!D280)&gt;0,COUNTIFS(出库明细!$C$4:C280,出库明细!C280,出库明细!$D$4:D280,出库明细!D280)&gt;1),"",IFERROR(MATCH(出库明细!C280,总览汇总!$B$5:$B$304,0),900)*10000000+IFERROR(MATCH(出库明细!D280,基础资料!$E$5:$E$104,0),900)*10000+ROW()))</f>
      </c>
      <c r="F1280">
        <f>IF(AND(出库明细!C1280&lt;&gt;"",出库明细!C1280=客户对账单!$B$4,ISNUMBER(出库明细!B1280),出库明细!B1280&gt;=客户对账单!$G$4,出库明细!B1280&lt;=客户对账单!$I$4),出库明细!B1280+ROW()/100000,"")</f>
      </c>
      <c r="H1280">
        <f>IF(AND(采购进货!C1280&lt;&gt;"",采购进货!C1280=供应商对账单!$B$4,ISNUMBER(采购进货!B1280),采购进货!B1280&gt;=供应商对账单!$G$4,采购进货!B1280&lt;=供应商对账单!$I$4),采购进货!B1280+ROW()/100000,"")</f>
      </c>
      <c r="N1280">
        <f>IF(AND(ISNUMBER(出库明细!G1280),ISNUMBER(出库明细!E1280),ISNUMBER(出库明细!F1280)),IF(ABS(出库明细!G1280-出库明细!E1280*出库明细!F1280)&gt;0.005,1,0),0)</f>
        <v>0</v>
      </c>
    </row>
    <row r="1281">
      <c r="A1281">
        <f>IF(OR(出库明细!C281="",出库明细!D281=""),"",IF(OR(COUNTIFS(存条明细!$C$4:$C$1003,出库明细!C281,存条明细!$D$4:$D$1003,出库明细!D281)&gt;0,COUNTIFS(出库明细!$C$4:C281,出库明细!C281,出库明细!$D$4:D281,出库明细!D281)&gt;1),"",IFERROR(MATCH(出库明细!C281,总览汇总!$B$5:$B$304,0),900)*10000000+IFERROR(MATCH(出库明细!D281,基础资料!$E$5:$E$104,0),900)*10000+ROW()))</f>
      </c>
      <c r="F1281">
        <f>IF(AND(出库明细!C1281&lt;&gt;"",出库明细!C1281=客户对账单!$B$4,ISNUMBER(出库明细!B1281),出库明细!B1281&gt;=客户对账单!$G$4,出库明细!B1281&lt;=客户对账单!$I$4),出库明细!B1281+ROW()/100000,"")</f>
      </c>
      <c r="H1281">
        <f>IF(AND(采购进货!C1281&lt;&gt;"",采购进货!C1281=供应商对账单!$B$4,ISNUMBER(采购进货!B1281),采购进货!B1281&gt;=供应商对账单!$G$4,采购进货!B1281&lt;=供应商对账单!$I$4),采购进货!B1281+ROW()/100000,"")</f>
      </c>
      <c r="N1281">
        <f>IF(AND(ISNUMBER(出库明细!G1281),ISNUMBER(出库明细!E1281),ISNUMBER(出库明细!F1281)),IF(ABS(出库明细!G1281-出库明细!E1281*出库明细!F1281)&gt;0.005,1,0),0)</f>
        <v>0</v>
      </c>
    </row>
    <row r="1282">
      <c r="A1282">
        <f>IF(OR(出库明细!C282="",出库明细!D282=""),"",IF(OR(COUNTIFS(存条明细!$C$4:$C$1003,出库明细!C282,存条明细!$D$4:$D$1003,出库明细!D282)&gt;0,COUNTIFS(出库明细!$C$4:C282,出库明细!C282,出库明细!$D$4:D282,出库明细!D282)&gt;1),"",IFERROR(MATCH(出库明细!C282,总览汇总!$B$5:$B$304,0),900)*10000000+IFERROR(MATCH(出库明细!D282,基础资料!$E$5:$E$104,0),900)*10000+ROW()))</f>
      </c>
      <c r="F1282">
        <f>IF(AND(出库明细!C1282&lt;&gt;"",出库明细!C1282=客户对账单!$B$4,ISNUMBER(出库明细!B1282),出库明细!B1282&gt;=客户对账单!$G$4,出库明细!B1282&lt;=客户对账单!$I$4),出库明细!B1282+ROW()/100000,"")</f>
      </c>
      <c r="H1282">
        <f>IF(AND(采购进货!C1282&lt;&gt;"",采购进货!C1282=供应商对账单!$B$4,ISNUMBER(采购进货!B1282),采购进货!B1282&gt;=供应商对账单!$G$4,采购进货!B1282&lt;=供应商对账单!$I$4),采购进货!B1282+ROW()/100000,"")</f>
      </c>
      <c r="N1282">
        <f>IF(AND(ISNUMBER(出库明细!G1282),ISNUMBER(出库明细!E1282),ISNUMBER(出库明细!F1282)),IF(ABS(出库明细!G1282-出库明细!E1282*出库明细!F1282)&gt;0.005,1,0),0)</f>
        <v>0</v>
      </c>
    </row>
    <row r="1283">
      <c r="A1283">
        <f>IF(OR(出库明细!C283="",出库明细!D283=""),"",IF(OR(COUNTIFS(存条明细!$C$4:$C$1003,出库明细!C283,存条明细!$D$4:$D$1003,出库明细!D283)&gt;0,COUNTIFS(出库明细!$C$4:C283,出库明细!C283,出库明细!$D$4:D283,出库明细!D283)&gt;1),"",IFERROR(MATCH(出库明细!C283,总览汇总!$B$5:$B$304,0),900)*10000000+IFERROR(MATCH(出库明细!D283,基础资料!$E$5:$E$104,0),900)*10000+ROW()))</f>
      </c>
      <c r="F1283">
        <f>IF(AND(出库明细!C1283&lt;&gt;"",出库明细!C1283=客户对账单!$B$4,ISNUMBER(出库明细!B1283),出库明细!B1283&gt;=客户对账单!$G$4,出库明细!B1283&lt;=客户对账单!$I$4),出库明细!B1283+ROW()/100000,"")</f>
      </c>
      <c r="H1283">
        <f>IF(AND(采购进货!C1283&lt;&gt;"",采购进货!C1283=供应商对账单!$B$4,ISNUMBER(采购进货!B1283),采购进货!B1283&gt;=供应商对账单!$G$4,采购进货!B1283&lt;=供应商对账单!$I$4),采购进货!B1283+ROW()/100000,"")</f>
      </c>
      <c r="N1283">
        <f>IF(AND(ISNUMBER(出库明细!G1283),ISNUMBER(出库明细!E1283),ISNUMBER(出库明细!F1283)),IF(ABS(出库明细!G1283-出库明细!E1283*出库明细!F1283)&gt;0.005,1,0),0)</f>
        <v>0</v>
      </c>
    </row>
    <row r="1284">
      <c r="A1284">
        <f>IF(OR(出库明细!C284="",出库明细!D284=""),"",IF(OR(COUNTIFS(存条明细!$C$4:$C$1003,出库明细!C284,存条明细!$D$4:$D$1003,出库明细!D284)&gt;0,COUNTIFS(出库明细!$C$4:C284,出库明细!C284,出库明细!$D$4:D284,出库明细!D284)&gt;1),"",IFERROR(MATCH(出库明细!C284,总览汇总!$B$5:$B$304,0),900)*10000000+IFERROR(MATCH(出库明细!D284,基础资料!$E$5:$E$104,0),900)*10000+ROW()))</f>
      </c>
      <c r="F1284">
        <f>IF(AND(出库明细!C1284&lt;&gt;"",出库明细!C1284=客户对账单!$B$4,ISNUMBER(出库明细!B1284),出库明细!B1284&gt;=客户对账单!$G$4,出库明细!B1284&lt;=客户对账单!$I$4),出库明细!B1284+ROW()/100000,"")</f>
      </c>
      <c r="H1284">
        <f>IF(AND(采购进货!C1284&lt;&gt;"",采购进货!C1284=供应商对账单!$B$4,ISNUMBER(采购进货!B1284),采购进货!B1284&gt;=供应商对账单!$G$4,采购进货!B1284&lt;=供应商对账单!$I$4),采购进货!B1284+ROW()/100000,"")</f>
      </c>
      <c r="N1284">
        <f>IF(AND(ISNUMBER(出库明细!G1284),ISNUMBER(出库明细!E1284),ISNUMBER(出库明细!F1284)),IF(ABS(出库明细!G1284-出库明细!E1284*出库明细!F1284)&gt;0.005,1,0),0)</f>
        <v>0</v>
      </c>
    </row>
    <row r="1285">
      <c r="A1285">
        <f>IF(OR(出库明细!C285="",出库明细!D285=""),"",IF(OR(COUNTIFS(存条明细!$C$4:$C$1003,出库明细!C285,存条明细!$D$4:$D$1003,出库明细!D285)&gt;0,COUNTIFS(出库明细!$C$4:C285,出库明细!C285,出库明细!$D$4:D285,出库明细!D285)&gt;1),"",IFERROR(MATCH(出库明细!C285,总览汇总!$B$5:$B$304,0),900)*10000000+IFERROR(MATCH(出库明细!D285,基础资料!$E$5:$E$104,0),900)*10000+ROW()))</f>
      </c>
      <c r="F1285">
        <f>IF(AND(出库明细!C1285&lt;&gt;"",出库明细!C1285=客户对账单!$B$4,ISNUMBER(出库明细!B1285),出库明细!B1285&gt;=客户对账单!$G$4,出库明细!B1285&lt;=客户对账单!$I$4),出库明细!B1285+ROW()/100000,"")</f>
      </c>
      <c r="H1285">
        <f>IF(AND(采购进货!C1285&lt;&gt;"",采购进货!C1285=供应商对账单!$B$4,ISNUMBER(采购进货!B1285),采购进货!B1285&gt;=供应商对账单!$G$4,采购进货!B1285&lt;=供应商对账单!$I$4),采购进货!B1285+ROW()/100000,"")</f>
      </c>
      <c r="N1285">
        <f>IF(AND(ISNUMBER(出库明细!G1285),ISNUMBER(出库明细!E1285),ISNUMBER(出库明细!F1285)),IF(ABS(出库明细!G1285-出库明细!E1285*出库明细!F1285)&gt;0.005,1,0),0)</f>
        <v>0</v>
      </c>
    </row>
    <row r="1286">
      <c r="A1286">
        <f>IF(OR(出库明细!C286="",出库明细!D286=""),"",IF(OR(COUNTIFS(存条明细!$C$4:$C$1003,出库明细!C286,存条明细!$D$4:$D$1003,出库明细!D286)&gt;0,COUNTIFS(出库明细!$C$4:C286,出库明细!C286,出库明细!$D$4:D286,出库明细!D286)&gt;1),"",IFERROR(MATCH(出库明细!C286,总览汇总!$B$5:$B$304,0),900)*10000000+IFERROR(MATCH(出库明细!D286,基础资料!$E$5:$E$104,0),900)*10000+ROW()))</f>
      </c>
      <c r="F1286">
        <f>IF(AND(出库明细!C1286&lt;&gt;"",出库明细!C1286=客户对账单!$B$4,ISNUMBER(出库明细!B1286),出库明细!B1286&gt;=客户对账单!$G$4,出库明细!B1286&lt;=客户对账单!$I$4),出库明细!B1286+ROW()/100000,"")</f>
      </c>
      <c r="H1286">
        <f>IF(AND(采购进货!C1286&lt;&gt;"",采购进货!C1286=供应商对账单!$B$4,ISNUMBER(采购进货!B1286),采购进货!B1286&gt;=供应商对账单!$G$4,采购进货!B1286&lt;=供应商对账单!$I$4),采购进货!B1286+ROW()/100000,"")</f>
      </c>
      <c r="N1286">
        <f>IF(AND(ISNUMBER(出库明细!G1286),ISNUMBER(出库明细!E1286),ISNUMBER(出库明细!F1286)),IF(ABS(出库明细!G1286-出库明细!E1286*出库明细!F1286)&gt;0.005,1,0),0)</f>
        <v>0</v>
      </c>
    </row>
    <row r="1287">
      <c r="A1287">
        <f>IF(OR(出库明细!C287="",出库明细!D287=""),"",IF(OR(COUNTIFS(存条明细!$C$4:$C$1003,出库明细!C287,存条明细!$D$4:$D$1003,出库明细!D287)&gt;0,COUNTIFS(出库明细!$C$4:C287,出库明细!C287,出库明细!$D$4:D287,出库明细!D287)&gt;1),"",IFERROR(MATCH(出库明细!C287,总览汇总!$B$5:$B$304,0),900)*10000000+IFERROR(MATCH(出库明细!D287,基础资料!$E$5:$E$104,0),900)*10000+ROW()))</f>
      </c>
      <c r="F1287">
        <f>IF(AND(出库明细!C1287&lt;&gt;"",出库明细!C1287=客户对账单!$B$4,ISNUMBER(出库明细!B1287),出库明细!B1287&gt;=客户对账单!$G$4,出库明细!B1287&lt;=客户对账单!$I$4),出库明细!B1287+ROW()/100000,"")</f>
      </c>
      <c r="H1287">
        <f>IF(AND(采购进货!C1287&lt;&gt;"",采购进货!C1287=供应商对账单!$B$4,ISNUMBER(采购进货!B1287),采购进货!B1287&gt;=供应商对账单!$G$4,采购进货!B1287&lt;=供应商对账单!$I$4),采购进货!B1287+ROW()/100000,"")</f>
      </c>
      <c r="N1287">
        <f>IF(AND(ISNUMBER(出库明细!G1287),ISNUMBER(出库明细!E1287),ISNUMBER(出库明细!F1287)),IF(ABS(出库明细!G1287-出库明细!E1287*出库明细!F1287)&gt;0.005,1,0),0)</f>
        <v>0</v>
      </c>
    </row>
    <row r="1288">
      <c r="A1288">
        <f>IF(OR(出库明细!C288="",出库明细!D288=""),"",IF(OR(COUNTIFS(存条明细!$C$4:$C$1003,出库明细!C288,存条明细!$D$4:$D$1003,出库明细!D288)&gt;0,COUNTIFS(出库明细!$C$4:C288,出库明细!C288,出库明细!$D$4:D288,出库明细!D288)&gt;1),"",IFERROR(MATCH(出库明细!C288,总览汇总!$B$5:$B$304,0),900)*10000000+IFERROR(MATCH(出库明细!D288,基础资料!$E$5:$E$104,0),900)*10000+ROW()))</f>
      </c>
      <c r="F1288">
        <f>IF(AND(出库明细!C1288&lt;&gt;"",出库明细!C1288=客户对账单!$B$4,ISNUMBER(出库明细!B1288),出库明细!B1288&gt;=客户对账单!$G$4,出库明细!B1288&lt;=客户对账单!$I$4),出库明细!B1288+ROW()/100000,"")</f>
      </c>
      <c r="H1288">
        <f>IF(AND(采购进货!C1288&lt;&gt;"",采购进货!C1288=供应商对账单!$B$4,ISNUMBER(采购进货!B1288),采购进货!B1288&gt;=供应商对账单!$G$4,采购进货!B1288&lt;=供应商对账单!$I$4),采购进货!B1288+ROW()/100000,"")</f>
      </c>
      <c r="N1288">
        <f>IF(AND(ISNUMBER(出库明细!G1288),ISNUMBER(出库明细!E1288),ISNUMBER(出库明细!F1288)),IF(ABS(出库明细!G1288-出库明细!E1288*出库明细!F1288)&gt;0.005,1,0),0)</f>
        <v>0</v>
      </c>
    </row>
    <row r="1289">
      <c r="A1289">
        <f>IF(OR(出库明细!C289="",出库明细!D289=""),"",IF(OR(COUNTIFS(存条明细!$C$4:$C$1003,出库明细!C289,存条明细!$D$4:$D$1003,出库明细!D289)&gt;0,COUNTIFS(出库明细!$C$4:C289,出库明细!C289,出库明细!$D$4:D289,出库明细!D289)&gt;1),"",IFERROR(MATCH(出库明细!C289,总览汇总!$B$5:$B$304,0),900)*10000000+IFERROR(MATCH(出库明细!D289,基础资料!$E$5:$E$104,0),900)*10000+ROW()))</f>
      </c>
      <c r="F1289">
        <f>IF(AND(出库明细!C1289&lt;&gt;"",出库明细!C1289=客户对账单!$B$4,ISNUMBER(出库明细!B1289),出库明细!B1289&gt;=客户对账单!$G$4,出库明细!B1289&lt;=客户对账单!$I$4),出库明细!B1289+ROW()/100000,"")</f>
      </c>
      <c r="H1289">
        <f>IF(AND(采购进货!C1289&lt;&gt;"",采购进货!C1289=供应商对账单!$B$4,ISNUMBER(采购进货!B1289),采购进货!B1289&gt;=供应商对账单!$G$4,采购进货!B1289&lt;=供应商对账单!$I$4),采购进货!B1289+ROW()/100000,"")</f>
      </c>
      <c r="N1289">
        <f>IF(AND(ISNUMBER(出库明细!G1289),ISNUMBER(出库明细!E1289),ISNUMBER(出库明细!F1289)),IF(ABS(出库明细!G1289-出库明细!E1289*出库明细!F1289)&gt;0.005,1,0),0)</f>
        <v>0</v>
      </c>
    </row>
    <row r="1290">
      <c r="A1290">
        <f>IF(OR(出库明细!C290="",出库明细!D290=""),"",IF(OR(COUNTIFS(存条明细!$C$4:$C$1003,出库明细!C290,存条明细!$D$4:$D$1003,出库明细!D290)&gt;0,COUNTIFS(出库明细!$C$4:C290,出库明细!C290,出库明细!$D$4:D290,出库明细!D290)&gt;1),"",IFERROR(MATCH(出库明细!C290,总览汇总!$B$5:$B$304,0),900)*10000000+IFERROR(MATCH(出库明细!D290,基础资料!$E$5:$E$104,0),900)*10000+ROW()))</f>
      </c>
      <c r="F1290">
        <f>IF(AND(出库明细!C1290&lt;&gt;"",出库明细!C1290=客户对账单!$B$4,ISNUMBER(出库明细!B1290),出库明细!B1290&gt;=客户对账单!$G$4,出库明细!B1290&lt;=客户对账单!$I$4),出库明细!B1290+ROW()/100000,"")</f>
      </c>
      <c r="H1290">
        <f>IF(AND(采购进货!C1290&lt;&gt;"",采购进货!C1290=供应商对账单!$B$4,ISNUMBER(采购进货!B1290),采购进货!B1290&gt;=供应商对账单!$G$4,采购进货!B1290&lt;=供应商对账单!$I$4),采购进货!B1290+ROW()/100000,"")</f>
      </c>
      <c r="N1290">
        <f>IF(AND(ISNUMBER(出库明细!G1290),ISNUMBER(出库明细!E1290),ISNUMBER(出库明细!F1290)),IF(ABS(出库明细!G1290-出库明细!E1290*出库明细!F1290)&gt;0.005,1,0),0)</f>
        <v>0</v>
      </c>
    </row>
    <row r="1291">
      <c r="A1291">
        <f>IF(OR(出库明细!C291="",出库明细!D291=""),"",IF(OR(COUNTIFS(存条明细!$C$4:$C$1003,出库明细!C291,存条明细!$D$4:$D$1003,出库明细!D291)&gt;0,COUNTIFS(出库明细!$C$4:C291,出库明细!C291,出库明细!$D$4:D291,出库明细!D291)&gt;1),"",IFERROR(MATCH(出库明细!C291,总览汇总!$B$5:$B$304,0),900)*10000000+IFERROR(MATCH(出库明细!D291,基础资料!$E$5:$E$104,0),900)*10000+ROW()))</f>
      </c>
      <c r="F1291">
        <f>IF(AND(出库明细!C1291&lt;&gt;"",出库明细!C1291=客户对账单!$B$4,ISNUMBER(出库明细!B1291),出库明细!B1291&gt;=客户对账单!$G$4,出库明细!B1291&lt;=客户对账单!$I$4),出库明细!B1291+ROW()/100000,"")</f>
      </c>
      <c r="H1291">
        <f>IF(AND(采购进货!C1291&lt;&gt;"",采购进货!C1291=供应商对账单!$B$4,ISNUMBER(采购进货!B1291),采购进货!B1291&gt;=供应商对账单!$G$4,采购进货!B1291&lt;=供应商对账单!$I$4),采购进货!B1291+ROW()/100000,"")</f>
      </c>
      <c r="N1291">
        <f>IF(AND(ISNUMBER(出库明细!G1291),ISNUMBER(出库明细!E1291),ISNUMBER(出库明细!F1291)),IF(ABS(出库明细!G1291-出库明细!E1291*出库明细!F1291)&gt;0.005,1,0),0)</f>
        <v>0</v>
      </c>
    </row>
    <row r="1292">
      <c r="A1292">
        <f>IF(OR(出库明细!C292="",出库明细!D292=""),"",IF(OR(COUNTIFS(存条明细!$C$4:$C$1003,出库明细!C292,存条明细!$D$4:$D$1003,出库明细!D292)&gt;0,COUNTIFS(出库明细!$C$4:C292,出库明细!C292,出库明细!$D$4:D292,出库明细!D292)&gt;1),"",IFERROR(MATCH(出库明细!C292,总览汇总!$B$5:$B$304,0),900)*10000000+IFERROR(MATCH(出库明细!D292,基础资料!$E$5:$E$104,0),900)*10000+ROW()))</f>
      </c>
      <c r="F1292">
        <f>IF(AND(出库明细!C1292&lt;&gt;"",出库明细!C1292=客户对账单!$B$4,ISNUMBER(出库明细!B1292),出库明细!B1292&gt;=客户对账单!$G$4,出库明细!B1292&lt;=客户对账单!$I$4),出库明细!B1292+ROW()/100000,"")</f>
      </c>
      <c r="H1292">
        <f>IF(AND(采购进货!C1292&lt;&gt;"",采购进货!C1292=供应商对账单!$B$4,ISNUMBER(采购进货!B1292),采购进货!B1292&gt;=供应商对账单!$G$4,采购进货!B1292&lt;=供应商对账单!$I$4),采购进货!B1292+ROW()/100000,"")</f>
      </c>
      <c r="N1292">
        <f>IF(AND(ISNUMBER(出库明细!G1292),ISNUMBER(出库明细!E1292),ISNUMBER(出库明细!F1292)),IF(ABS(出库明细!G1292-出库明细!E1292*出库明细!F1292)&gt;0.005,1,0),0)</f>
        <v>0</v>
      </c>
    </row>
    <row r="1293">
      <c r="A1293">
        <f>IF(OR(出库明细!C293="",出库明细!D293=""),"",IF(OR(COUNTIFS(存条明细!$C$4:$C$1003,出库明细!C293,存条明细!$D$4:$D$1003,出库明细!D293)&gt;0,COUNTIFS(出库明细!$C$4:C293,出库明细!C293,出库明细!$D$4:D293,出库明细!D293)&gt;1),"",IFERROR(MATCH(出库明细!C293,总览汇总!$B$5:$B$304,0),900)*10000000+IFERROR(MATCH(出库明细!D293,基础资料!$E$5:$E$104,0),900)*10000+ROW()))</f>
      </c>
      <c r="F1293">
        <f>IF(AND(出库明细!C1293&lt;&gt;"",出库明细!C1293=客户对账单!$B$4,ISNUMBER(出库明细!B1293),出库明细!B1293&gt;=客户对账单!$G$4,出库明细!B1293&lt;=客户对账单!$I$4),出库明细!B1293+ROW()/100000,"")</f>
      </c>
      <c r="H1293">
        <f>IF(AND(采购进货!C1293&lt;&gt;"",采购进货!C1293=供应商对账单!$B$4,ISNUMBER(采购进货!B1293),采购进货!B1293&gt;=供应商对账单!$G$4,采购进货!B1293&lt;=供应商对账单!$I$4),采购进货!B1293+ROW()/100000,"")</f>
      </c>
      <c r="N1293">
        <f>IF(AND(ISNUMBER(出库明细!G1293),ISNUMBER(出库明细!E1293),ISNUMBER(出库明细!F1293)),IF(ABS(出库明细!G1293-出库明细!E1293*出库明细!F1293)&gt;0.005,1,0),0)</f>
        <v>0</v>
      </c>
    </row>
    <row r="1294">
      <c r="A1294">
        <f>IF(OR(出库明细!C294="",出库明细!D294=""),"",IF(OR(COUNTIFS(存条明细!$C$4:$C$1003,出库明细!C294,存条明细!$D$4:$D$1003,出库明细!D294)&gt;0,COUNTIFS(出库明细!$C$4:C294,出库明细!C294,出库明细!$D$4:D294,出库明细!D294)&gt;1),"",IFERROR(MATCH(出库明细!C294,总览汇总!$B$5:$B$304,0),900)*10000000+IFERROR(MATCH(出库明细!D294,基础资料!$E$5:$E$104,0),900)*10000+ROW()))</f>
      </c>
      <c r="F1294">
        <f>IF(AND(出库明细!C1294&lt;&gt;"",出库明细!C1294=客户对账单!$B$4,ISNUMBER(出库明细!B1294),出库明细!B1294&gt;=客户对账单!$G$4,出库明细!B1294&lt;=客户对账单!$I$4),出库明细!B1294+ROW()/100000,"")</f>
      </c>
      <c r="H1294">
        <f>IF(AND(采购进货!C1294&lt;&gt;"",采购进货!C1294=供应商对账单!$B$4,ISNUMBER(采购进货!B1294),采购进货!B1294&gt;=供应商对账单!$G$4,采购进货!B1294&lt;=供应商对账单!$I$4),采购进货!B1294+ROW()/100000,"")</f>
      </c>
      <c r="N1294">
        <f>IF(AND(ISNUMBER(出库明细!G1294),ISNUMBER(出库明细!E1294),ISNUMBER(出库明细!F1294)),IF(ABS(出库明细!G1294-出库明细!E1294*出库明细!F1294)&gt;0.005,1,0),0)</f>
        <v>0</v>
      </c>
    </row>
    <row r="1295">
      <c r="A1295">
        <f>IF(OR(出库明细!C295="",出库明细!D295=""),"",IF(OR(COUNTIFS(存条明细!$C$4:$C$1003,出库明细!C295,存条明细!$D$4:$D$1003,出库明细!D295)&gt;0,COUNTIFS(出库明细!$C$4:C295,出库明细!C295,出库明细!$D$4:D295,出库明细!D295)&gt;1),"",IFERROR(MATCH(出库明细!C295,总览汇总!$B$5:$B$304,0),900)*10000000+IFERROR(MATCH(出库明细!D295,基础资料!$E$5:$E$104,0),900)*10000+ROW()))</f>
        <v>460091295</v>
      </c>
      <c r="F1295">
        <f>IF(AND(出库明细!C1295&lt;&gt;"",出库明细!C1295=客户对账单!$B$4,ISNUMBER(出库明细!B1295),出库明细!B1295&gt;=客户对账单!$G$4,出库明细!B1295&lt;=客户对账单!$I$4),出库明细!B1295+ROW()/100000,"")</f>
      </c>
      <c r="H1295">
        <f>IF(AND(采购进货!C1295&lt;&gt;"",采购进货!C1295=供应商对账单!$B$4,ISNUMBER(采购进货!B1295),采购进货!B1295&gt;=供应商对账单!$G$4,采购进货!B1295&lt;=供应商对账单!$I$4),采购进货!B1295+ROW()/100000,"")</f>
      </c>
      <c r="N1295">
        <f>IF(AND(ISNUMBER(出库明细!G1295),ISNUMBER(出库明细!E1295),ISNUMBER(出库明细!F1295)),IF(ABS(出库明细!G1295-出库明细!E1295*出库明细!F1295)&gt;0.005,1,0),0)</f>
        <v>0</v>
      </c>
    </row>
    <row r="1296">
      <c r="A1296">
        <f>IF(OR(出库明细!C296="",出库明细!D296=""),"",IF(OR(COUNTIFS(存条明细!$C$4:$C$1003,出库明细!C296,存条明细!$D$4:$D$1003,出库明细!D296)&gt;0,COUNTIFS(出库明细!$C$4:C296,出库明细!C296,出库明细!$D$4:D296,出库明细!D296)&gt;1),"",IFERROR(MATCH(出库明细!C296,总览汇总!$B$5:$B$304,0),900)*10000000+IFERROR(MATCH(出库明细!D296,基础资料!$E$5:$E$104,0),900)*10000+ROW()))</f>
      </c>
      <c r="F1296">
        <f>IF(AND(出库明细!C1296&lt;&gt;"",出库明细!C1296=客户对账单!$B$4,ISNUMBER(出库明细!B1296),出库明细!B1296&gt;=客户对账单!$G$4,出库明细!B1296&lt;=客户对账单!$I$4),出库明细!B1296+ROW()/100000,"")</f>
      </c>
      <c r="H1296">
        <f>IF(AND(采购进货!C1296&lt;&gt;"",采购进货!C1296=供应商对账单!$B$4,ISNUMBER(采购进货!B1296),采购进货!B1296&gt;=供应商对账单!$G$4,采购进货!B1296&lt;=供应商对账单!$I$4),采购进货!B1296+ROW()/100000,"")</f>
      </c>
      <c r="N1296">
        <f>IF(AND(ISNUMBER(出库明细!G1296),ISNUMBER(出库明细!E1296),ISNUMBER(出库明细!F1296)),IF(ABS(出库明细!G1296-出库明细!E1296*出库明细!F1296)&gt;0.005,1,0),0)</f>
        <v>0</v>
      </c>
    </row>
    <row r="1297">
      <c r="A1297">
        <f>IF(OR(出库明细!C297="",出库明细!D297=""),"",IF(OR(COUNTIFS(存条明细!$C$4:$C$1003,出库明细!C297,存条明细!$D$4:$D$1003,出库明细!D297)&gt;0,COUNTIFS(出库明细!$C$4:C297,出库明细!C297,出库明细!$D$4:D297,出库明细!D297)&gt;1),"",IFERROR(MATCH(出库明细!C297,总览汇总!$B$5:$B$304,0),900)*10000000+IFERROR(MATCH(出库明细!D297,基础资料!$E$5:$E$104,0),900)*10000+ROW()))</f>
      </c>
      <c r="F1297">
        <f>IF(AND(出库明细!C1297&lt;&gt;"",出库明细!C1297=客户对账单!$B$4,ISNUMBER(出库明细!B1297),出库明细!B1297&gt;=客户对账单!$G$4,出库明细!B1297&lt;=客户对账单!$I$4),出库明细!B1297+ROW()/100000,"")</f>
      </c>
      <c r="H1297">
        <f>IF(AND(采购进货!C1297&lt;&gt;"",采购进货!C1297=供应商对账单!$B$4,ISNUMBER(采购进货!B1297),采购进货!B1297&gt;=供应商对账单!$G$4,采购进货!B1297&lt;=供应商对账单!$I$4),采购进货!B1297+ROW()/100000,"")</f>
      </c>
      <c r="N1297">
        <f>IF(AND(ISNUMBER(出库明细!G1297),ISNUMBER(出库明细!E1297),ISNUMBER(出库明细!F1297)),IF(ABS(出库明细!G1297-出库明细!E1297*出库明细!F1297)&gt;0.005,1,0),0)</f>
        <v>0</v>
      </c>
    </row>
    <row r="1298">
      <c r="A1298">
        <f>IF(OR(出库明细!C298="",出库明细!D298=""),"",IF(OR(COUNTIFS(存条明细!$C$4:$C$1003,出库明细!C298,存条明细!$D$4:$D$1003,出库明细!D298)&gt;0,COUNTIFS(出库明细!$C$4:C298,出库明细!C298,出库明细!$D$4:D298,出库明细!D298)&gt;1),"",IFERROR(MATCH(出库明细!C298,总览汇总!$B$5:$B$304,0),900)*10000000+IFERROR(MATCH(出库明细!D298,基础资料!$E$5:$E$104,0),900)*10000+ROW()))</f>
      </c>
      <c r="F1298">
        <f>IF(AND(出库明细!C1298&lt;&gt;"",出库明细!C1298=客户对账单!$B$4,ISNUMBER(出库明细!B1298),出库明细!B1298&gt;=客户对账单!$G$4,出库明细!B1298&lt;=客户对账单!$I$4),出库明细!B1298+ROW()/100000,"")</f>
      </c>
      <c r="H1298">
        <f>IF(AND(采购进货!C1298&lt;&gt;"",采购进货!C1298=供应商对账单!$B$4,ISNUMBER(采购进货!B1298),采购进货!B1298&gt;=供应商对账单!$G$4,采购进货!B1298&lt;=供应商对账单!$I$4),采购进货!B1298+ROW()/100000,"")</f>
      </c>
      <c r="N1298">
        <f>IF(AND(ISNUMBER(出库明细!G1298),ISNUMBER(出库明细!E1298),ISNUMBER(出库明细!F1298)),IF(ABS(出库明细!G1298-出库明细!E1298*出库明细!F1298)&gt;0.005,1,0),0)</f>
        <v>0</v>
      </c>
    </row>
    <row r="1299">
      <c r="A1299">
        <f>IF(OR(出库明细!C299="",出库明细!D299=""),"",IF(OR(COUNTIFS(存条明细!$C$4:$C$1003,出库明细!C299,存条明细!$D$4:$D$1003,出库明细!D299)&gt;0,COUNTIFS(出库明细!$C$4:C299,出库明细!C299,出库明细!$D$4:D299,出库明细!D299)&gt;1),"",IFERROR(MATCH(出库明细!C299,总览汇总!$B$5:$B$304,0),900)*10000000+IFERROR(MATCH(出库明细!D299,基础资料!$E$5:$E$104,0),900)*10000+ROW()))</f>
      </c>
      <c r="F1299">
        <f>IF(AND(出库明细!C1299&lt;&gt;"",出库明细!C1299=客户对账单!$B$4,ISNUMBER(出库明细!B1299),出库明细!B1299&gt;=客户对账单!$G$4,出库明细!B1299&lt;=客户对账单!$I$4),出库明细!B1299+ROW()/100000,"")</f>
      </c>
      <c r="H1299">
        <f>IF(AND(采购进货!C1299&lt;&gt;"",采购进货!C1299=供应商对账单!$B$4,ISNUMBER(采购进货!B1299),采购进货!B1299&gt;=供应商对账单!$G$4,采购进货!B1299&lt;=供应商对账单!$I$4),采购进货!B1299+ROW()/100000,"")</f>
      </c>
      <c r="N1299">
        <f>IF(AND(ISNUMBER(出库明细!G1299),ISNUMBER(出库明细!E1299),ISNUMBER(出库明细!F1299)),IF(ABS(出库明细!G1299-出库明细!E1299*出库明细!F1299)&gt;0.005,1,0),0)</f>
        <v>0</v>
      </c>
    </row>
    <row r="1300">
      <c r="A1300">
        <f>IF(OR(出库明细!C300="",出库明细!D300=""),"",IF(OR(COUNTIFS(存条明细!$C$4:$C$1003,出库明细!C300,存条明细!$D$4:$D$1003,出库明细!D300)&gt;0,COUNTIFS(出库明细!$C$4:C300,出库明细!C300,出库明细!$D$4:D300,出库明细!D300)&gt;1),"",IFERROR(MATCH(出库明细!C300,总览汇总!$B$5:$B$304,0),900)*10000000+IFERROR(MATCH(出库明细!D300,基础资料!$E$5:$E$104,0),900)*10000+ROW()))</f>
      </c>
      <c r="F1300">
        <f>IF(AND(出库明细!C1300&lt;&gt;"",出库明细!C1300=客户对账单!$B$4,ISNUMBER(出库明细!B1300),出库明细!B1300&gt;=客户对账单!$G$4,出库明细!B1300&lt;=客户对账单!$I$4),出库明细!B1300+ROW()/100000,"")</f>
      </c>
      <c r="H1300">
        <f>IF(AND(采购进货!C1300&lt;&gt;"",采购进货!C1300=供应商对账单!$B$4,ISNUMBER(采购进货!B1300),采购进货!B1300&gt;=供应商对账单!$G$4,采购进货!B1300&lt;=供应商对账单!$I$4),采购进货!B1300+ROW()/100000,"")</f>
      </c>
      <c r="N1300">
        <f>IF(AND(ISNUMBER(出库明细!G1300),ISNUMBER(出库明细!E1300),ISNUMBER(出库明细!F1300)),IF(ABS(出库明细!G1300-出库明细!E1300*出库明细!F1300)&gt;0.005,1,0),0)</f>
        <v>0</v>
      </c>
    </row>
    <row r="1301">
      <c r="A1301">
        <f>IF(OR(出库明细!C301="",出库明细!D301=""),"",IF(OR(COUNTIFS(存条明细!$C$4:$C$1003,出库明细!C301,存条明细!$D$4:$D$1003,出库明细!D301)&gt;0,COUNTIFS(出库明细!$C$4:C301,出库明细!C301,出库明细!$D$4:D301,出库明细!D301)&gt;1),"",IFERROR(MATCH(出库明细!C301,总览汇总!$B$5:$B$304,0),900)*10000000+IFERROR(MATCH(出库明细!D301,基础资料!$E$5:$E$104,0),900)*10000+ROW()))</f>
      </c>
      <c r="F1301">
        <f>IF(AND(出库明细!C1301&lt;&gt;"",出库明细!C1301=客户对账单!$B$4,ISNUMBER(出库明细!B1301),出库明细!B1301&gt;=客户对账单!$G$4,出库明细!B1301&lt;=客户对账单!$I$4),出库明细!B1301+ROW()/100000,"")</f>
      </c>
      <c r="H1301">
        <f>IF(AND(采购进货!C1301&lt;&gt;"",采购进货!C1301=供应商对账单!$B$4,ISNUMBER(采购进货!B1301),采购进货!B1301&gt;=供应商对账单!$G$4,采购进货!B1301&lt;=供应商对账单!$I$4),采购进货!B1301+ROW()/100000,"")</f>
      </c>
      <c r="N1301">
        <f>IF(AND(ISNUMBER(出库明细!G1301),ISNUMBER(出库明细!E1301),ISNUMBER(出库明细!F1301)),IF(ABS(出库明细!G1301-出库明细!E1301*出库明细!F1301)&gt;0.005,1,0),0)</f>
        <v>0</v>
      </c>
    </row>
    <row r="1302">
      <c r="A1302">
        <f>IF(OR(出库明细!C302="",出库明细!D302=""),"",IF(OR(COUNTIFS(存条明细!$C$4:$C$1003,出库明细!C302,存条明细!$D$4:$D$1003,出库明细!D302)&gt;0,COUNTIFS(出库明细!$C$4:C302,出库明细!C302,出库明细!$D$4:D302,出库明细!D302)&gt;1),"",IFERROR(MATCH(出库明细!C302,总览汇总!$B$5:$B$304,0),900)*10000000+IFERROR(MATCH(出库明细!D302,基础资料!$E$5:$E$104,0),900)*10000+ROW()))</f>
      </c>
      <c r="F1302">
        <f>IF(AND(出库明细!C1302&lt;&gt;"",出库明细!C1302=客户对账单!$B$4,ISNUMBER(出库明细!B1302),出库明细!B1302&gt;=客户对账单!$G$4,出库明细!B1302&lt;=客户对账单!$I$4),出库明细!B1302+ROW()/100000,"")</f>
      </c>
      <c r="H1302">
        <f>IF(AND(采购进货!C1302&lt;&gt;"",采购进货!C1302=供应商对账单!$B$4,ISNUMBER(采购进货!B1302),采购进货!B1302&gt;=供应商对账单!$G$4,采购进货!B1302&lt;=供应商对账单!$I$4),采购进货!B1302+ROW()/100000,"")</f>
      </c>
      <c r="N1302">
        <f>IF(AND(ISNUMBER(出库明细!G1302),ISNUMBER(出库明细!E1302),ISNUMBER(出库明细!F1302)),IF(ABS(出库明细!G1302-出库明细!E1302*出库明细!F1302)&gt;0.005,1,0),0)</f>
        <v>0</v>
      </c>
    </row>
    <row r="1303">
      <c r="A1303">
        <f>IF(OR(出库明细!C303="",出库明细!D303=""),"",IF(OR(COUNTIFS(存条明细!$C$4:$C$1003,出库明细!C303,存条明细!$D$4:$D$1003,出库明细!D303)&gt;0,COUNTIFS(出库明细!$C$4:C303,出库明细!C303,出库明细!$D$4:D303,出库明细!D303)&gt;1),"",IFERROR(MATCH(出库明细!C303,总览汇总!$B$5:$B$304,0),900)*10000000+IFERROR(MATCH(出库明细!D303,基础资料!$E$5:$E$104,0),900)*10000+ROW()))</f>
      </c>
      <c r="F1303">
        <f>IF(AND(出库明细!C1303&lt;&gt;"",出库明细!C1303=客户对账单!$B$4,ISNUMBER(出库明细!B1303),出库明细!B1303&gt;=客户对账单!$G$4,出库明细!B1303&lt;=客户对账单!$I$4),出库明细!B1303+ROW()/100000,"")</f>
      </c>
      <c r="H1303">
        <f>IF(AND(采购进货!C1303&lt;&gt;"",采购进货!C1303=供应商对账单!$B$4,ISNUMBER(采购进货!B1303),采购进货!B1303&gt;=供应商对账单!$G$4,采购进货!B1303&lt;=供应商对账单!$I$4),采购进货!B1303+ROW()/100000,"")</f>
      </c>
      <c r="N1303">
        <f>IF(AND(ISNUMBER(出库明细!G1303),ISNUMBER(出库明细!E1303),ISNUMBER(出库明细!F1303)),IF(ABS(出库明细!G1303-出库明细!E1303*出库明细!F1303)&gt;0.005,1,0),0)</f>
        <v>0</v>
      </c>
    </row>
    <row r="1304">
      <c r="A1304">
        <f>IF(OR(出库明细!C304="",出库明细!D304=""),"",IF(OR(COUNTIFS(存条明细!$C$4:$C$1003,出库明细!C304,存条明细!$D$4:$D$1003,出库明细!D304)&gt;0,COUNTIFS(出库明细!$C$4:C304,出库明细!C304,出库明细!$D$4:D304,出库明细!D304)&gt;1),"",IFERROR(MATCH(出库明细!C304,总览汇总!$B$5:$B$304,0),900)*10000000+IFERROR(MATCH(出库明细!D304,基础资料!$E$5:$E$104,0),900)*10000+ROW()))</f>
      </c>
      <c r="F1304">
        <f>IF(AND(出库明细!C1304&lt;&gt;"",出库明细!C1304=客户对账单!$B$4,ISNUMBER(出库明细!B1304),出库明细!B1304&gt;=客户对账单!$G$4,出库明细!B1304&lt;=客户对账单!$I$4),出库明细!B1304+ROW()/100000,"")</f>
      </c>
      <c r="H1304">
        <f>IF(AND(采购进货!C1304&lt;&gt;"",采购进货!C1304=供应商对账单!$B$4,ISNUMBER(采购进货!B1304),采购进货!B1304&gt;=供应商对账单!$G$4,采购进货!B1304&lt;=供应商对账单!$I$4),采购进货!B1304+ROW()/100000,"")</f>
      </c>
      <c r="N1304">
        <f>IF(AND(ISNUMBER(出库明细!G1304),ISNUMBER(出库明细!E1304),ISNUMBER(出库明细!F1304)),IF(ABS(出库明细!G1304-出库明细!E1304*出库明细!F1304)&gt;0.005,1,0),0)</f>
        <v>0</v>
      </c>
    </row>
    <row r="1305">
      <c r="A1305">
        <f>IF(OR(出库明细!C305="",出库明细!D305=""),"",IF(OR(COUNTIFS(存条明细!$C$4:$C$1003,出库明细!C305,存条明细!$D$4:$D$1003,出库明细!D305)&gt;0,COUNTIFS(出库明细!$C$4:C305,出库明细!C305,出库明细!$D$4:D305,出库明细!D305)&gt;1),"",IFERROR(MATCH(出库明细!C305,总览汇总!$B$5:$B$304,0),900)*10000000+IFERROR(MATCH(出库明细!D305,基础资料!$E$5:$E$104,0),900)*10000+ROW()))</f>
      </c>
      <c r="F1305">
        <f>IF(AND(出库明细!C1305&lt;&gt;"",出库明细!C1305=客户对账单!$B$4,ISNUMBER(出库明细!B1305),出库明细!B1305&gt;=客户对账单!$G$4,出库明细!B1305&lt;=客户对账单!$I$4),出库明细!B1305+ROW()/100000,"")</f>
      </c>
      <c r="H1305">
        <f>IF(AND(采购进货!C1305&lt;&gt;"",采购进货!C1305=供应商对账单!$B$4,ISNUMBER(采购进货!B1305),采购进货!B1305&gt;=供应商对账单!$G$4,采购进货!B1305&lt;=供应商对账单!$I$4),采购进货!B1305+ROW()/100000,"")</f>
      </c>
      <c r="N1305">
        <f>IF(AND(ISNUMBER(出库明细!G1305),ISNUMBER(出库明细!E1305),ISNUMBER(出库明细!F1305)),IF(ABS(出库明细!G1305-出库明细!E1305*出库明细!F1305)&gt;0.005,1,0),0)</f>
        <v>0</v>
      </c>
    </row>
    <row r="1306">
      <c r="A1306">
        <f>IF(OR(出库明细!C306="",出库明细!D306=""),"",IF(OR(COUNTIFS(存条明细!$C$4:$C$1003,出库明细!C306,存条明细!$D$4:$D$1003,出库明细!D306)&gt;0,COUNTIFS(出库明细!$C$4:C306,出库明细!C306,出库明细!$D$4:D306,出库明细!D306)&gt;1),"",IFERROR(MATCH(出库明细!C306,总览汇总!$B$5:$B$304,0),900)*10000000+IFERROR(MATCH(出库明细!D306,基础资料!$E$5:$E$104,0),900)*10000+ROW()))</f>
      </c>
      <c r="F1306">
        <f>IF(AND(出库明细!C1306&lt;&gt;"",出库明细!C1306=客户对账单!$B$4,ISNUMBER(出库明细!B1306),出库明细!B1306&gt;=客户对账单!$G$4,出库明细!B1306&lt;=客户对账单!$I$4),出库明细!B1306+ROW()/100000,"")</f>
      </c>
      <c r="H1306">
        <f>IF(AND(采购进货!C1306&lt;&gt;"",采购进货!C1306=供应商对账单!$B$4,ISNUMBER(采购进货!B1306),采购进货!B1306&gt;=供应商对账单!$G$4,采购进货!B1306&lt;=供应商对账单!$I$4),采购进货!B1306+ROW()/100000,"")</f>
      </c>
      <c r="N1306">
        <f>IF(AND(ISNUMBER(出库明细!G1306),ISNUMBER(出库明细!E1306),ISNUMBER(出库明细!F1306)),IF(ABS(出库明细!G1306-出库明细!E1306*出库明细!F1306)&gt;0.005,1,0),0)</f>
        <v>0</v>
      </c>
    </row>
    <row r="1307">
      <c r="A1307">
        <f>IF(OR(出库明细!C307="",出库明细!D307=""),"",IF(OR(COUNTIFS(存条明细!$C$4:$C$1003,出库明细!C307,存条明细!$D$4:$D$1003,出库明细!D307)&gt;0,COUNTIFS(出库明细!$C$4:C307,出库明细!C307,出库明细!$D$4:D307,出库明细!D307)&gt;1),"",IFERROR(MATCH(出库明细!C307,总览汇总!$B$5:$B$304,0),900)*10000000+IFERROR(MATCH(出库明细!D307,基础资料!$E$5:$E$104,0),900)*10000+ROW()))</f>
      </c>
      <c r="F1307">
        <f>IF(AND(出库明细!C1307&lt;&gt;"",出库明细!C1307=客户对账单!$B$4,ISNUMBER(出库明细!B1307),出库明细!B1307&gt;=客户对账单!$G$4,出库明细!B1307&lt;=客户对账单!$I$4),出库明细!B1307+ROW()/100000,"")</f>
      </c>
      <c r="H1307">
        <f>IF(AND(采购进货!C1307&lt;&gt;"",采购进货!C1307=供应商对账单!$B$4,ISNUMBER(采购进货!B1307),采购进货!B1307&gt;=供应商对账单!$G$4,采购进货!B1307&lt;=供应商对账单!$I$4),采购进货!B1307+ROW()/100000,"")</f>
      </c>
      <c r="N1307">
        <f>IF(AND(ISNUMBER(出库明细!G1307),ISNUMBER(出库明细!E1307),ISNUMBER(出库明细!F1307)),IF(ABS(出库明细!G1307-出库明细!E1307*出库明细!F1307)&gt;0.005,1,0),0)</f>
        <v>0</v>
      </c>
    </row>
    <row r="1308">
      <c r="A1308">
        <f>IF(OR(出库明细!C308="",出库明细!D308=""),"",IF(OR(COUNTIFS(存条明细!$C$4:$C$1003,出库明细!C308,存条明细!$D$4:$D$1003,出库明细!D308)&gt;0,COUNTIFS(出库明细!$C$4:C308,出库明细!C308,出库明细!$D$4:D308,出库明细!D308)&gt;1),"",IFERROR(MATCH(出库明细!C308,总览汇总!$B$5:$B$304,0),900)*10000000+IFERROR(MATCH(出库明细!D308,基础资料!$E$5:$E$104,0),900)*10000+ROW()))</f>
      </c>
      <c r="F1308">
        <f>IF(AND(出库明细!C1308&lt;&gt;"",出库明细!C1308=客户对账单!$B$4,ISNUMBER(出库明细!B1308),出库明细!B1308&gt;=客户对账单!$G$4,出库明细!B1308&lt;=客户对账单!$I$4),出库明细!B1308+ROW()/100000,"")</f>
      </c>
      <c r="H1308">
        <f>IF(AND(采购进货!C1308&lt;&gt;"",采购进货!C1308=供应商对账单!$B$4,ISNUMBER(采购进货!B1308),采购进货!B1308&gt;=供应商对账单!$G$4,采购进货!B1308&lt;=供应商对账单!$I$4),采购进货!B1308+ROW()/100000,"")</f>
      </c>
      <c r="N1308">
        <f>IF(AND(ISNUMBER(出库明细!G1308),ISNUMBER(出库明细!E1308),ISNUMBER(出库明细!F1308)),IF(ABS(出库明细!G1308-出库明细!E1308*出库明细!F1308)&gt;0.005,1,0),0)</f>
        <v>0</v>
      </c>
    </row>
    <row r="1309">
      <c r="A1309">
        <f>IF(OR(出库明细!C309="",出库明细!D309=""),"",IF(OR(COUNTIFS(存条明细!$C$4:$C$1003,出库明细!C309,存条明细!$D$4:$D$1003,出库明细!D309)&gt;0,COUNTIFS(出库明细!$C$4:C309,出库明细!C309,出库明细!$D$4:D309,出库明细!D309)&gt;1),"",IFERROR(MATCH(出库明细!C309,总览汇总!$B$5:$B$304,0),900)*10000000+IFERROR(MATCH(出库明细!D309,基础资料!$E$5:$E$104,0),900)*10000+ROW()))</f>
      </c>
      <c r="F1309">
        <f>IF(AND(出库明细!C1309&lt;&gt;"",出库明细!C1309=客户对账单!$B$4,ISNUMBER(出库明细!B1309),出库明细!B1309&gt;=客户对账单!$G$4,出库明细!B1309&lt;=客户对账单!$I$4),出库明细!B1309+ROW()/100000,"")</f>
      </c>
      <c r="H1309">
        <f>IF(AND(采购进货!C1309&lt;&gt;"",采购进货!C1309=供应商对账单!$B$4,ISNUMBER(采购进货!B1309),采购进货!B1309&gt;=供应商对账单!$G$4,采购进货!B1309&lt;=供应商对账单!$I$4),采购进货!B1309+ROW()/100000,"")</f>
      </c>
      <c r="N1309">
        <f>IF(AND(ISNUMBER(出库明细!G1309),ISNUMBER(出库明细!E1309),ISNUMBER(出库明细!F1309)),IF(ABS(出库明细!G1309-出库明细!E1309*出库明细!F1309)&gt;0.005,1,0),0)</f>
        <v>0</v>
      </c>
    </row>
    <row r="1310">
      <c r="A1310">
        <f>IF(OR(出库明细!C310="",出库明细!D310=""),"",IF(OR(COUNTIFS(存条明细!$C$4:$C$1003,出库明细!C310,存条明细!$D$4:$D$1003,出库明细!D310)&gt;0,COUNTIFS(出库明细!$C$4:C310,出库明细!C310,出库明细!$D$4:D310,出库明细!D310)&gt;1),"",IFERROR(MATCH(出库明细!C310,总览汇总!$B$5:$B$304,0),900)*10000000+IFERROR(MATCH(出库明细!D310,基础资料!$E$5:$E$104,0),900)*10000+ROW()))</f>
      </c>
      <c r="F1310">
        <f>IF(AND(出库明细!C1310&lt;&gt;"",出库明细!C1310=客户对账单!$B$4,ISNUMBER(出库明细!B1310),出库明细!B1310&gt;=客户对账单!$G$4,出库明细!B1310&lt;=客户对账单!$I$4),出库明细!B1310+ROW()/100000,"")</f>
      </c>
      <c r="H1310">
        <f>IF(AND(采购进货!C1310&lt;&gt;"",采购进货!C1310=供应商对账单!$B$4,ISNUMBER(采购进货!B1310),采购进货!B1310&gt;=供应商对账单!$G$4,采购进货!B1310&lt;=供应商对账单!$I$4),采购进货!B1310+ROW()/100000,"")</f>
      </c>
      <c r="N1310">
        <f>IF(AND(ISNUMBER(出库明细!G1310),ISNUMBER(出库明细!E1310),ISNUMBER(出库明细!F1310)),IF(ABS(出库明细!G1310-出库明细!E1310*出库明细!F1310)&gt;0.005,1,0),0)</f>
        <v>0</v>
      </c>
    </row>
    <row r="1311">
      <c r="A1311">
        <f>IF(OR(出库明细!C311="",出库明细!D311=""),"",IF(OR(COUNTIFS(存条明细!$C$4:$C$1003,出库明细!C311,存条明细!$D$4:$D$1003,出库明细!D311)&gt;0,COUNTIFS(出库明细!$C$4:C311,出库明细!C311,出库明细!$D$4:D311,出库明细!D311)&gt;1),"",IFERROR(MATCH(出库明细!C311,总览汇总!$B$5:$B$304,0),900)*10000000+IFERROR(MATCH(出库明细!D311,基础资料!$E$5:$E$104,0),900)*10000+ROW()))</f>
      </c>
      <c r="F1311">
        <f>IF(AND(出库明细!C1311&lt;&gt;"",出库明细!C1311=客户对账单!$B$4,ISNUMBER(出库明细!B1311),出库明细!B1311&gt;=客户对账单!$G$4,出库明细!B1311&lt;=客户对账单!$I$4),出库明细!B1311+ROW()/100000,"")</f>
      </c>
      <c r="H1311">
        <f>IF(AND(采购进货!C1311&lt;&gt;"",采购进货!C1311=供应商对账单!$B$4,ISNUMBER(采购进货!B1311),采购进货!B1311&gt;=供应商对账单!$G$4,采购进货!B1311&lt;=供应商对账单!$I$4),采购进货!B1311+ROW()/100000,"")</f>
      </c>
      <c r="N1311">
        <f>IF(AND(ISNUMBER(出库明细!G1311),ISNUMBER(出库明细!E1311),ISNUMBER(出库明细!F1311)),IF(ABS(出库明细!G1311-出库明细!E1311*出库明细!F1311)&gt;0.005,1,0),0)</f>
        <v>0</v>
      </c>
    </row>
    <row r="1312">
      <c r="A1312">
        <f>IF(OR(出库明细!C312="",出库明细!D312=""),"",IF(OR(COUNTIFS(存条明细!$C$4:$C$1003,出库明细!C312,存条明细!$D$4:$D$1003,出库明细!D312)&gt;0,COUNTIFS(出库明细!$C$4:C312,出库明细!C312,出库明细!$D$4:D312,出库明细!D312)&gt;1),"",IFERROR(MATCH(出库明细!C312,总览汇总!$B$5:$B$304,0),900)*10000000+IFERROR(MATCH(出库明细!D312,基础资料!$E$5:$E$104,0),900)*10000+ROW()))</f>
      </c>
      <c r="F1312">
        <f>IF(AND(出库明细!C1312&lt;&gt;"",出库明细!C1312=客户对账单!$B$4,ISNUMBER(出库明细!B1312),出库明细!B1312&gt;=客户对账单!$G$4,出库明细!B1312&lt;=客户对账单!$I$4),出库明细!B1312+ROW()/100000,"")</f>
      </c>
      <c r="H1312">
        <f>IF(AND(采购进货!C1312&lt;&gt;"",采购进货!C1312=供应商对账单!$B$4,ISNUMBER(采购进货!B1312),采购进货!B1312&gt;=供应商对账单!$G$4,采购进货!B1312&lt;=供应商对账单!$I$4),采购进货!B1312+ROW()/100000,"")</f>
      </c>
      <c r="N1312">
        <f>IF(AND(ISNUMBER(出库明细!G1312),ISNUMBER(出库明细!E1312),ISNUMBER(出库明细!F1312)),IF(ABS(出库明细!G1312-出库明细!E1312*出库明细!F1312)&gt;0.005,1,0),0)</f>
        <v>0</v>
      </c>
    </row>
    <row r="1313">
      <c r="A1313">
        <f>IF(OR(出库明细!C313="",出库明细!D313=""),"",IF(OR(COUNTIFS(存条明细!$C$4:$C$1003,出库明细!C313,存条明细!$D$4:$D$1003,出库明细!D313)&gt;0,COUNTIFS(出库明细!$C$4:C313,出库明细!C313,出库明细!$D$4:D313,出库明细!D313)&gt;1),"",IFERROR(MATCH(出库明细!C313,总览汇总!$B$5:$B$304,0),900)*10000000+IFERROR(MATCH(出库明细!D313,基础资料!$E$5:$E$104,0),900)*10000+ROW()))</f>
      </c>
      <c r="F1313">
        <f>IF(AND(出库明细!C1313&lt;&gt;"",出库明细!C1313=客户对账单!$B$4,ISNUMBER(出库明细!B1313),出库明细!B1313&gt;=客户对账单!$G$4,出库明细!B1313&lt;=客户对账单!$I$4),出库明细!B1313+ROW()/100000,"")</f>
      </c>
      <c r="H1313">
        <f>IF(AND(采购进货!C1313&lt;&gt;"",采购进货!C1313=供应商对账单!$B$4,ISNUMBER(采购进货!B1313),采购进货!B1313&gt;=供应商对账单!$G$4,采购进货!B1313&lt;=供应商对账单!$I$4),采购进货!B1313+ROW()/100000,"")</f>
      </c>
      <c r="N1313">
        <f>IF(AND(ISNUMBER(出库明细!G1313),ISNUMBER(出库明细!E1313),ISNUMBER(出库明细!F1313)),IF(ABS(出库明细!G1313-出库明细!E1313*出库明细!F1313)&gt;0.005,1,0),0)</f>
        <v>0</v>
      </c>
    </row>
    <row r="1314">
      <c r="A1314">
        <f>IF(OR(出库明细!C314="",出库明细!D314=""),"",IF(OR(COUNTIFS(存条明细!$C$4:$C$1003,出库明细!C314,存条明细!$D$4:$D$1003,出库明细!D314)&gt;0,COUNTIFS(出库明细!$C$4:C314,出库明细!C314,出库明细!$D$4:D314,出库明细!D314)&gt;1),"",IFERROR(MATCH(出库明细!C314,总览汇总!$B$5:$B$304,0),900)*10000000+IFERROR(MATCH(出库明细!D314,基础资料!$E$5:$E$104,0),900)*10000+ROW()))</f>
      </c>
      <c r="F1314">
        <f>IF(AND(出库明细!C1314&lt;&gt;"",出库明细!C1314=客户对账单!$B$4,ISNUMBER(出库明细!B1314),出库明细!B1314&gt;=客户对账单!$G$4,出库明细!B1314&lt;=客户对账单!$I$4),出库明细!B1314+ROW()/100000,"")</f>
      </c>
      <c r="H1314">
        <f>IF(AND(采购进货!C1314&lt;&gt;"",采购进货!C1314=供应商对账单!$B$4,ISNUMBER(采购进货!B1314),采购进货!B1314&gt;=供应商对账单!$G$4,采购进货!B1314&lt;=供应商对账单!$I$4),采购进货!B1314+ROW()/100000,"")</f>
      </c>
      <c r="N1314">
        <f>IF(AND(ISNUMBER(出库明细!G1314),ISNUMBER(出库明细!E1314),ISNUMBER(出库明细!F1314)),IF(ABS(出库明细!G1314-出库明细!E1314*出库明细!F1314)&gt;0.005,1,0),0)</f>
        <v>0</v>
      </c>
    </row>
    <row r="1315">
      <c r="A1315">
        <f>IF(OR(出库明细!C315="",出库明细!D315=""),"",IF(OR(COUNTIFS(存条明细!$C$4:$C$1003,出库明细!C315,存条明细!$D$4:$D$1003,出库明细!D315)&gt;0,COUNTIFS(出库明细!$C$4:C315,出库明细!C315,出库明细!$D$4:D315,出库明细!D315)&gt;1),"",IFERROR(MATCH(出库明细!C315,总览汇总!$B$5:$B$304,0),900)*10000000+IFERROR(MATCH(出库明细!D315,基础资料!$E$5:$E$104,0),900)*10000+ROW()))</f>
      </c>
      <c r="F1315">
        <f>IF(AND(出库明细!C1315&lt;&gt;"",出库明细!C1315=客户对账单!$B$4,ISNUMBER(出库明细!B1315),出库明细!B1315&gt;=客户对账单!$G$4,出库明细!B1315&lt;=客户对账单!$I$4),出库明细!B1315+ROW()/100000,"")</f>
      </c>
      <c r="H1315">
        <f>IF(AND(采购进货!C1315&lt;&gt;"",采购进货!C1315=供应商对账单!$B$4,ISNUMBER(采购进货!B1315),采购进货!B1315&gt;=供应商对账单!$G$4,采购进货!B1315&lt;=供应商对账单!$I$4),采购进货!B1315+ROW()/100000,"")</f>
      </c>
      <c r="N1315">
        <f>IF(AND(ISNUMBER(出库明细!G1315),ISNUMBER(出库明细!E1315),ISNUMBER(出库明细!F1315)),IF(ABS(出库明细!G1315-出库明细!E1315*出库明细!F1315)&gt;0.005,1,0),0)</f>
        <v>0</v>
      </c>
    </row>
    <row r="1316">
      <c r="A1316">
        <f>IF(OR(出库明细!C316="",出库明细!D316=""),"",IF(OR(COUNTIFS(存条明细!$C$4:$C$1003,出库明细!C316,存条明细!$D$4:$D$1003,出库明细!D316)&gt;0,COUNTIFS(出库明细!$C$4:C316,出库明细!C316,出库明细!$D$4:D316,出库明细!D316)&gt;1),"",IFERROR(MATCH(出库明细!C316,总览汇总!$B$5:$B$304,0),900)*10000000+IFERROR(MATCH(出库明细!D316,基础资料!$E$5:$E$104,0),900)*10000+ROW()))</f>
      </c>
      <c r="F1316">
        <f>IF(AND(出库明细!C1316&lt;&gt;"",出库明细!C1316=客户对账单!$B$4,ISNUMBER(出库明细!B1316),出库明细!B1316&gt;=客户对账单!$G$4,出库明细!B1316&lt;=客户对账单!$I$4),出库明细!B1316+ROW()/100000,"")</f>
      </c>
      <c r="H1316">
        <f>IF(AND(采购进货!C1316&lt;&gt;"",采购进货!C1316=供应商对账单!$B$4,ISNUMBER(采购进货!B1316),采购进货!B1316&gt;=供应商对账单!$G$4,采购进货!B1316&lt;=供应商对账单!$I$4),采购进货!B1316+ROW()/100000,"")</f>
      </c>
      <c r="N1316">
        <f>IF(AND(ISNUMBER(出库明细!G1316),ISNUMBER(出库明细!E1316),ISNUMBER(出库明细!F1316)),IF(ABS(出库明细!G1316-出库明细!E1316*出库明细!F1316)&gt;0.005,1,0),0)</f>
        <v>0</v>
      </c>
    </row>
    <row r="1317">
      <c r="A1317">
        <f>IF(OR(出库明细!C317="",出库明细!D317=""),"",IF(OR(COUNTIFS(存条明细!$C$4:$C$1003,出库明细!C317,存条明细!$D$4:$D$1003,出库明细!D317)&gt;0,COUNTIFS(出库明细!$C$4:C317,出库明细!C317,出库明细!$D$4:D317,出库明细!D317)&gt;1),"",IFERROR(MATCH(出库明细!C317,总览汇总!$B$5:$B$304,0),900)*10000000+IFERROR(MATCH(出库明细!D317,基础资料!$E$5:$E$104,0),900)*10000+ROW()))</f>
      </c>
      <c r="F1317">
        <f>IF(AND(出库明细!C1317&lt;&gt;"",出库明细!C1317=客户对账单!$B$4,ISNUMBER(出库明细!B1317),出库明细!B1317&gt;=客户对账单!$G$4,出库明细!B1317&lt;=客户对账单!$I$4),出库明细!B1317+ROW()/100000,"")</f>
      </c>
      <c r="H1317">
        <f>IF(AND(采购进货!C1317&lt;&gt;"",采购进货!C1317=供应商对账单!$B$4,ISNUMBER(采购进货!B1317),采购进货!B1317&gt;=供应商对账单!$G$4,采购进货!B1317&lt;=供应商对账单!$I$4),采购进货!B1317+ROW()/100000,"")</f>
      </c>
      <c r="N1317">
        <f>IF(AND(ISNUMBER(出库明细!G1317),ISNUMBER(出库明细!E1317),ISNUMBER(出库明细!F1317)),IF(ABS(出库明细!G1317-出库明细!E1317*出库明细!F1317)&gt;0.005,1,0),0)</f>
        <v>0</v>
      </c>
    </row>
    <row r="1318">
      <c r="A1318">
        <f>IF(OR(出库明细!C318="",出库明细!D318=""),"",IF(OR(COUNTIFS(存条明细!$C$4:$C$1003,出库明细!C318,存条明细!$D$4:$D$1003,出库明细!D318)&gt;0,COUNTIFS(出库明细!$C$4:C318,出库明细!C318,出库明细!$D$4:D318,出库明细!D318)&gt;1),"",IFERROR(MATCH(出库明细!C318,总览汇总!$B$5:$B$304,0),900)*10000000+IFERROR(MATCH(出库明细!D318,基础资料!$E$5:$E$104,0),900)*10000+ROW()))</f>
      </c>
      <c r="F1318">
        <f>IF(AND(出库明细!C1318&lt;&gt;"",出库明细!C1318=客户对账单!$B$4,ISNUMBER(出库明细!B1318),出库明细!B1318&gt;=客户对账单!$G$4,出库明细!B1318&lt;=客户对账单!$I$4),出库明细!B1318+ROW()/100000,"")</f>
      </c>
      <c r="H1318">
        <f>IF(AND(采购进货!C1318&lt;&gt;"",采购进货!C1318=供应商对账单!$B$4,ISNUMBER(采购进货!B1318),采购进货!B1318&gt;=供应商对账单!$G$4,采购进货!B1318&lt;=供应商对账单!$I$4),采购进货!B1318+ROW()/100000,"")</f>
      </c>
      <c r="N1318">
        <f>IF(AND(ISNUMBER(出库明细!G1318),ISNUMBER(出库明细!E1318),ISNUMBER(出库明细!F1318)),IF(ABS(出库明细!G1318-出库明细!E1318*出库明细!F1318)&gt;0.005,1,0),0)</f>
        <v>0</v>
      </c>
    </row>
    <row r="1319">
      <c r="A1319">
        <f>IF(OR(出库明细!C319="",出库明细!D319=""),"",IF(OR(COUNTIFS(存条明细!$C$4:$C$1003,出库明细!C319,存条明细!$D$4:$D$1003,出库明细!D319)&gt;0,COUNTIFS(出库明细!$C$4:C319,出库明细!C319,出库明细!$D$4:D319,出库明细!D319)&gt;1),"",IFERROR(MATCH(出库明细!C319,总览汇总!$B$5:$B$304,0),900)*10000000+IFERROR(MATCH(出库明细!D319,基础资料!$E$5:$E$104,0),900)*10000+ROW()))</f>
      </c>
      <c r="F1319">
        <f>IF(AND(出库明细!C1319&lt;&gt;"",出库明细!C1319=客户对账单!$B$4,ISNUMBER(出库明细!B1319),出库明细!B1319&gt;=客户对账单!$G$4,出库明细!B1319&lt;=客户对账单!$I$4),出库明细!B1319+ROW()/100000,"")</f>
      </c>
      <c r="H1319">
        <f>IF(AND(采购进货!C1319&lt;&gt;"",采购进货!C1319=供应商对账单!$B$4,ISNUMBER(采购进货!B1319),采购进货!B1319&gt;=供应商对账单!$G$4,采购进货!B1319&lt;=供应商对账单!$I$4),采购进货!B1319+ROW()/100000,"")</f>
      </c>
      <c r="N1319">
        <f>IF(AND(ISNUMBER(出库明细!G1319),ISNUMBER(出库明细!E1319),ISNUMBER(出库明细!F1319)),IF(ABS(出库明细!G1319-出库明细!E1319*出库明细!F1319)&gt;0.005,1,0),0)</f>
        <v>0</v>
      </c>
    </row>
    <row r="1320">
      <c r="A1320">
        <f>IF(OR(出库明细!C320="",出库明细!D320=""),"",IF(OR(COUNTIFS(存条明细!$C$4:$C$1003,出库明细!C320,存条明细!$D$4:$D$1003,出库明细!D320)&gt;0,COUNTIFS(出库明细!$C$4:C320,出库明细!C320,出库明细!$D$4:D320,出库明细!D320)&gt;1),"",IFERROR(MATCH(出库明细!C320,总览汇总!$B$5:$B$304,0),900)*10000000+IFERROR(MATCH(出库明细!D320,基础资料!$E$5:$E$104,0),900)*10000+ROW()))</f>
      </c>
      <c r="F1320">
        <f>IF(AND(出库明细!C1320&lt;&gt;"",出库明细!C1320=客户对账单!$B$4,ISNUMBER(出库明细!B1320),出库明细!B1320&gt;=客户对账单!$G$4,出库明细!B1320&lt;=客户对账单!$I$4),出库明细!B1320+ROW()/100000,"")</f>
      </c>
      <c r="H1320">
        <f>IF(AND(采购进货!C1320&lt;&gt;"",采购进货!C1320=供应商对账单!$B$4,ISNUMBER(采购进货!B1320),采购进货!B1320&gt;=供应商对账单!$G$4,采购进货!B1320&lt;=供应商对账单!$I$4),采购进货!B1320+ROW()/100000,"")</f>
      </c>
      <c r="N1320">
        <f>IF(AND(ISNUMBER(出库明细!G1320),ISNUMBER(出库明细!E1320),ISNUMBER(出库明细!F1320)),IF(ABS(出库明细!G1320-出库明细!E1320*出库明细!F1320)&gt;0.005,1,0),0)</f>
        <v>0</v>
      </c>
    </row>
    <row r="1321">
      <c r="A1321">
        <f>IF(OR(出库明细!C321="",出库明细!D321=""),"",IF(OR(COUNTIFS(存条明细!$C$4:$C$1003,出库明细!C321,存条明细!$D$4:$D$1003,出库明细!D321)&gt;0,COUNTIFS(出库明细!$C$4:C321,出库明细!C321,出库明细!$D$4:D321,出库明细!D321)&gt;1),"",IFERROR(MATCH(出库明细!C321,总览汇总!$B$5:$B$304,0),900)*10000000+IFERROR(MATCH(出库明细!D321,基础资料!$E$5:$E$104,0),900)*10000+ROW()))</f>
      </c>
      <c r="F1321">
        <f>IF(AND(出库明细!C1321&lt;&gt;"",出库明细!C1321=客户对账单!$B$4,ISNUMBER(出库明细!B1321),出库明细!B1321&gt;=客户对账单!$G$4,出库明细!B1321&lt;=客户对账单!$I$4),出库明细!B1321+ROW()/100000,"")</f>
      </c>
      <c r="H1321">
        <f>IF(AND(采购进货!C1321&lt;&gt;"",采购进货!C1321=供应商对账单!$B$4,ISNUMBER(采购进货!B1321),采购进货!B1321&gt;=供应商对账单!$G$4,采购进货!B1321&lt;=供应商对账单!$I$4),采购进货!B1321+ROW()/100000,"")</f>
      </c>
      <c r="N1321">
        <f>IF(AND(ISNUMBER(出库明细!G1321),ISNUMBER(出库明细!E1321),ISNUMBER(出库明细!F1321)),IF(ABS(出库明细!G1321-出库明细!E1321*出库明细!F1321)&gt;0.005,1,0),0)</f>
        <v>0</v>
      </c>
    </row>
    <row r="1322">
      <c r="A1322">
        <f>IF(OR(出库明细!C322="",出库明细!D322=""),"",IF(OR(COUNTIFS(存条明细!$C$4:$C$1003,出库明细!C322,存条明细!$D$4:$D$1003,出库明细!D322)&gt;0,COUNTIFS(出库明细!$C$4:C322,出库明细!C322,出库明细!$D$4:D322,出库明细!D322)&gt;1),"",IFERROR(MATCH(出库明细!C322,总览汇总!$B$5:$B$304,0),900)*10000000+IFERROR(MATCH(出库明细!D322,基础资料!$E$5:$E$104,0),900)*10000+ROW()))</f>
        <v>280191322</v>
      </c>
      <c r="F1322">
        <f>IF(AND(出库明细!C1322&lt;&gt;"",出库明细!C1322=客户对账单!$B$4,ISNUMBER(出库明细!B1322),出库明细!B1322&gt;=客户对账单!$G$4,出库明细!B1322&lt;=客户对账单!$I$4),出库明细!B1322+ROW()/100000,"")</f>
      </c>
      <c r="H1322">
        <f>IF(AND(采购进货!C1322&lt;&gt;"",采购进货!C1322=供应商对账单!$B$4,ISNUMBER(采购进货!B1322),采购进货!B1322&gt;=供应商对账单!$G$4,采购进货!B1322&lt;=供应商对账单!$I$4),采购进货!B1322+ROW()/100000,"")</f>
      </c>
      <c r="N1322">
        <f>IF(AND(ISNUMBER(出库明细!G1322),ISNUMBER(出库明细!E1322),ISNUMBER(出库明细!F1322)),IF(ABS(出库明细!G1322-出库明细!E1322*出库明细!F1322)&gt;0.005,1,0),0)</f>
        <v>0</v>
      </c>
    </row>
    <row r="1323">
      <c r="A1323">
        <f>IF(OR(出库明细!C323="",出库明细!D323=""),"",IF(OR(COUNTIFS(存条明细!$C$4:$C$1003,出库明细!C323,存条明细!$D$4:$D$1003,出库明细!D323)&gt;0,COUNTIFS(出库明细!$C$4:C323,出库明细!C323,出库明细!$D$4:D323,出库明细!D323)&gt;1),"",IFERROR(MATCH(出库明细!C323,总览汇总!$B$5:$B$304,0),900)*10000000+IFERROR(MATCH(出库明细!D323,基础资料!$E$5:$E$104,0),900)*10000+ROW()))</f>
      </c>
      <c r="F1323">
        <f>IF(AND(出库明细!C1323&lt;&gt;"",出库明细!C1323=客户对账单!$B$4,ISNUMBER(出库明细!B1323),出库明细!B1323&gt;=客户对账单!$G$4,出库明细!B1323&lt;=客户对账单!$I$4),出库明细!B1323+ROW()/100000,"")</f>
      </c>
      <c r="H1323">
        <f>IF(AND(采购进货!C1323&lt;&gt;"",采购进货!C1323=供应商对账单!$B$4,ISNUMBER(采购进货!B1323),采购进货!B1323&gt;=供应商对账单!$G$4,采购进货!B1323&lt;=供应商对账单!$I$4),采购进货!B1323+ROW()/100000,"")</f>
      </c>
      <c r="N1323">
        <f>IF(AND(ISNUMBER(出库明细!G1323),ISNUMBER(出库明细!E1323),ISNUMBER(出库明细!F1323)),IF(ABS(出库明细!G1323-出库明细!E1323*出库明细!F1323)&gt;0.005,1,0),0)</f>
        <v>0</v>
      </c>
    </row>
    <row r="1324">
      <c r="A1324">
        <f>IF(OR(出库明细!C324="",出库明细!D324=""),"",IF(OR(COUNTIFS(存条明细!$C$4:$C$1003,出库明细!C324,存条明细!$D$4:$D$1003,出库明细!D324)&gt;0,COUNTIFS(出库明细!$C$4:C324,出库明细!C324,出库明细!$D$4:D324,出库明细!D324)&gt;1),"",IFERROR(MATCH(出库明细!C324,总览汇总!$B$5:$B$304,0),900)*10000000+IFERROR(MATCH(出库明细!D324,基础资料!$E$5:$E$104,0),900)*10000+ROW()))</f>
      </c>
      <c r="F1324">
        <f>IF(AND(出库明细!C1324&lt;&gt;"",出库明细!C1324=客户对账单!$B$4,ISNUMBER(出库明细!B1324),出库明细!B1324&gt;=客户对账单!$G$4,出库明细!B1324&lt;=客户对账单!$I$4),出库明细!B1324+ROW()/100000,"")</f>
      </c>
      <c r="H1324">
        <f>IF(AND(采购进货!C1324&lt;&gt;"",采购进货!C1324=供应商对账单!$B$4,ISNUMBER(采购进货!B1324),采购进货!B1324&gt;=供应商对账单!$G$4,采购进货!B1324&lt;=供应商对账单!$I$4),采购进货!B1324+ROW()/100000,"")</f>
      </c>
      <c r="N1324">
        <f>IF(AND(ISNUMBER(出库明细!G1324),ISNUMBER(出库明细!E1324),ISNUMBER(出库明细!F1324)),IF(ABS(出库明细!G1324-出库明细!E1324*出库明细!F1324)&gt;0.005,1,0),0)</f>
        <v>0</v>
      </c>
    </row>
    <row r="1325">
      <c r="A1325">
        <f>IF(OR(出库明细!C325="",出库明细!D325=""),"",IF(OR(COUNTIFS(存条明细!$C$4:$C$1003,出库明细!C325,存条明细!$D$4:$D$1003,出库明细!D325)&gt;0,COUNTIFS(出库明细!$C$4:C325,出库明细!C325,出库明细!$D$4:D325,出库明细!D325)&gt;1),"",IFERROR(MATCH(出库明细!C325,总览汇总!$B$5:$B$304,0),900)*10000000+IFERROR(MATCH(出库明细!D325,基础资料!$E$5:$E$104,0),900)*10000+ROW()))</f>
      </c>
      <c r="F1325">
        <f>IF(AND(出库明细!C1325&lt;&gt;"",出库明细!C1325=客户对账单!$B$4,ISNUMBER(出库明细!B1325),出库明细!B1325&gt;=客户对账单!$G$4,出库明细!B1325&lt;=客户对账单!$I$4),出库明细!B1325+ROW()/100000,"")</f>
      </c>
      <c r="H1325">
        <f>IF(AND(采购进货!C1325&lt;&gt;"",采购进货!C1325=供应商对账单!$B$4,ISNUMBER(采购进货!B1325),采购进货!B1325&gt;=供应商对账单!$G$4,采购进货!B1325&lt;=供应商对账单!$I$4),采购进货!B1325+ROW()/100000,"")</f>
      </c>
      <c r="N1325">
        <f>IF(AND(ISNUMBER(出库明细!G1325),ISNUMBER(出库明细!E1325),ISNUMBER(出库明细!F1325)),IF(ABS(出库明细!G1325-出库明细!E1325*出库明细!F1325)&gt;0.005,1,0),0)</f>
        <v>0</v>
      </c>
    </row>
    <row r="1326">
      <c r="A1326">
        <f>IF(OR(出库明细!C326="",出库明细!D326=""),"",IF(OR(COUNTIFS(存条明细!$C$4:$C$1003,出库明细!C326,存条明细!$D$4:$D$1003,出库明细!D326)&gt;0,COUNTIFS(出库明细!$C$4:C326,出库明细!C326,出库明细!$D$4:D326,出库明细!D326)&gt;1),"",IFERROR(MATCH(出库明细!C326,总览汇总!$B$5:$B$304,0),900)*10000000+IFERROR(MATCH(出库明细!D326,基础资料!$E$5:$E$104,0),900)*10000+ROW()))</f>
      </c>
      <c r="F1326">
        <f>IF(AND(出库明细!C1326&lt;&gt;"",出库明细!C1326=客户对账单!$B$4,ISNUMBER(出库明细!B1326),出库明细!B1326&gt;=客户对账单!$G$4,出库明细!B1326&lt;=客户对账单!$I$4),出库明细!B1326+ROW()/100000,"")</f>
      </c>
      <c r="H1326">
        <f>IF(AND(采购进货!C1326&lt;&gt;"",采购进货!C1326=供应商对账单!$B$4,ISNUMBER(采购进货!B1326),采购进货!B1326&gt;=供应商对账单!$G$4,采购进货!B1326&lt;=供应商对账单!$I$4),采购进货!B1326+ROW()/100000,"")</f>
      </c>
      <c r="N1326">
        <f>IF(AND(ISNUMBER(出库明细!G1326),ISNUMBER(出库明细!E1326),ISNUMBER(出库明细!F1326)),IF(ABS(出库明细!G1326-出库明细!E1326*出库明细!F1326)&gt;0.005,1,0),0)</f>
        <v>0</v>
      </c>
    </row>
    <row r="1327">
      <c r="A1327">
        <f>IF(OR(出库明细!C327="",出库明细!D327=""),"",IF(OR(COUNTIFS(存条明细!$C$4:$C$1003,出库明细!C327,存条明细!$D$4:$D$1003,出库明细!D327)&gt;0,COUNTIFS(出库明细!$C$4:C327,出库明细!C327,出库明细!$D$4:D327,出库明细!D327)&gt;1),"",IFERROR(MATCH(出库明细!C327,总览汇总!$B$5:$B$304,0),900)*10000000+IFERROR(MATCH(出库明细!D327,基础资料!$E$5:$E$104,0),900)*10000+ROW()))</f>
      </c>
      <c r="F1327">
        <f>IF(AND(出库明细!C1327&lt;&gt;"",出库明细!C1327=客户对账单!$B$4,ISNUMBER(出库明细!B1327),出库明细!B1327&gt;=客户对账单!$G$4,出库明细!B1327&lt;=客户对账单!$I$4),出库明细!B1327+ROW()/100000,"")</f>
      </c>
      <c r="H1327">
        <f>IF(AND(采购进货!C1327&lt;&gt;"",采购进货!C1327=供应商对账单!$B$4,ISNUMBER(采购进货!B1327),采购进货!B1327&gt;=供应商对账单!$G$4,采购进货!B1327&lt;=供应商对账单!$I$4),采购进货!B1327+ROW()/100000,"")</f>
      </c>
      <c r="N1327">
        <f>IF(AND(ISNUMBER(出库明细!G1327),ISNUMBER(出库明细!E1327),ISNUMBER(出库明细!F1327)),IF(ABS(出库明细!G1327-出库明细!E1327*出库明细!F1327)&gt;0.005,1,0),0)</f>
        <v>0</v>
      </c>
    </row>
    <row r="1328">
      <c r="A1328">
        <f>IF(OR(出库明细!C328="",出库明细!D328=""),"",IF(OR(COUNTIFS(存条明细!$C$4:$C$1003,出库明细!C328,存条明细!$D$4:$D$1003,出库明细!D328)&gt;0,COUNTIFS(出库明细!$C$4:C328,出库明细!C328,出库明细!$D$4:D328,出库明细!D328)&gt;1),"",IFERROR(MATCH(出库明细!C328,总览汇总!$B$5:$B$304,0),900)*10000000+IFERROR(MATCH(出库明细!D328,基础资料!$E$5:$E$104,0),900)*10000+ROW()))</f>
      </c>
      <c r="F1328">
        <f>IF(AND(出库明细!C1328&lt;&gt;"",出库明细!C1328=客户对账单!$B$4,ISNUMBER(出库明细!B1328),出库明细!B1328&gt;=客户对账单!$G$4,出库明细!B1328&lt;=客户对账单!$I$4),出库明细!B1328+ROW()/100000,"")</f>
      </c>
      <c r="H1328">
        <f>IF(AND(采购进货!C1328&lt;&gt;"",采购进货!C1328=供应商对账单!$B$4,ISNUMBER(采购进货!B1328),采购进货!B1328&gt;=供应商对账单!$G$4,采购进货!B1328&lt;=供应商对账单!$I$4),采购进货!B1328+ROW()/100000,"")</f>
      </c>
      <c r="N1328">
        <f>IF(AND(ISNUMBER(出库明细!G1328),ISNUMBER(出库明细!E1328),ISNUMBER(出库明细!F1328)),IF(ABS(出库明细!G1328-出库明细!E1328*出库明细!F1328)&gt;0.005,1,0),0)</f>
        <v>0</v>
      </c>
    </row>
    <row r="1329">
      <c r="A1329">
        <f>IF(OR(出库明细!C329="",出库明细!D329=""),"",IF(OR(COUNTIFS(存条明细!$C$4:$C$1003,出库明细!C329,存条明细!$D$4:$D$1003,出库明细!D329)&gt;0,COUNTIFS(出库明细!$C$4:C329,出库明细!C329,出库明细!$D$4:D329,出库明细!D329)&gt;1),"",IFERROR(MATCH(出库明细!C329,总览汇总!$B$5:$B$304,0),900)*10000000+IFERROR(MATCH(出库明细!D329,基础资料!$E$5:$E$104,0),900)*10000+ROW()))</f>
      </c>
      <c r="F1329">
        <f>IF(AND(出库明细!C1329&lt;&gt;"",出库明细!C1329=客户对账单!$B$4,ISNUMBER(出库明细!B1329),出库明细!B1329&gt;=客户对账单!$G$4,出库明细!B1329&lt;=客户对账单!$I$4),出库明细!B1329+ROW()/100000,"")</f>
      </c>
      <c r="H1329">
        <f>IF(AND(采购进货!C1329&lt;&gt;"",采购进货!C1329=供应商对账单!$B$4,ISNUMBER(采购进货!B1329),采购进货!B1329&gt;=供应商对账单!$G$4,采购进货!B1329&lt;=供应商对账单!$I$4),采购进货!B1329+ROW()/100000,"")</f>
      </c>
      <c r="N1329">
        <f>IF(AND(ISNUMBER(出库明细!G1329),ISNUMBER(出库明细!E1329),ISNUMBER(出库明细!F1329)),IF(ABS(出库明细!G1329-出库明细!E1329*出库明细!F1329)&gt;0.005,1,0),0)</f>
        <v>0</v>
      </c>
    </row>
    <row r="1330">
      <c r="A1330">
        <f>IF(OR(出库明细!C330="",出库明细!D330=""),"",IF(OR(COUNTIFS(存条明细!$C$4:$C$1003,出库明细!C330,存条明细!$D$4:$D$1003,出库明细!D330)&gt;0,COUNTIFS(出库明细!$C$4:C330,出库明细!C330,出库明细!$D$4:D330,出库明细!D330)&gt;1),"",IFERROR(MATCH(出库明细!C330,总览汇总!$B$5:$B$304,0),900)*10000000+IFERROR(MATCH(出库明细!D330,基础资料!$E$5:$E$104,0),900)*10000+ROW()))</f>
        <v>480011330</v>
      </c>
      <c r="F1330">
        <f>IF(AND(出库明细!C1330&lt;&gt;"",出库明细!C1330=客户对账单!$B$4,ISNUMBER(出库明细!B1330),出库明细!B1330&gt;=客户对账单!$G$4,出库明细!B1330&lt;=客户对账单!$I$4),出库明细!B1330+ROW()/100000,"")</f>
      </c>
      <c r="H1330">
        <f>IF(AND(采购进货!C1330&lt;&gt;"",采购进货!C1330=供应商对账单!$B$4,ISNUMBER(采购进货!B1330),采购进货!B1330&gt;=供应商对账单!$G$4,采购进货!B1330&lt;=供应商对账单!$I$4),采购进货!B1330+ROW()/100000,"")</f>
      </c>
      <c r="N1330">
        <f>IF(AND(ISNUMBER(出库明细!G1330),ISNUMBER(出库明细!E1330),ISNUMBER(出库明细!F1330)),IF(ABS(出库明细!G1330-出库明细!E1330*出库明细!F1330)&gt;0.005,1,0),0)</f>
        <v>0</v>
      </c>
    </row>
    <row r="1331">
      <c r="A1331">
        <f>IF(OR(出库明细!C331="",出库明细!D331=""),"",IF(OR(COUNTIFS(存条明细!$C$4:$C$1003,出库明细!C331,存条明细!$D$4:$D$1003,出库明细!D331)&gt;0,COUNTIFS(出库明细!$C$4:C331,出库明细!C331,出库明细!$D$4:D331,出库明细!D331)&gt;1),"",IFERROR(MATCH(出库明细!C331,总览汇总!$B$5:$B$304,0),900)*10000000+IFERROR(MATCH(出库明细!D331,基础资料!$E$5:$E$104,0),900)*10000+ROW()))</f>
      </c>
      <c r="F1331">
        <f>IF(AND(出库明细!C1331&lt;&gt;"",出库明细!C1331=客户对账单!$B$4,ISNUMBER(出库明细!B1331),出库明细!B1331&gt;=客户对账单!$G$4,出库明细!B1331&lt;=客户对账单!$I$4),出库明细!B1331+ROW()/100000,"")</f>
      </c>
      <c r="H1331">
        <f>IF(AND(采购进货!C1331&lt;&gt;"",采购进货!C1331=供应商对账单!$B$4,ISNUMBER(采购进货!B1331),采购进货!B1331&gt;=供应商对账单!$G$4,采购进货!B1331&lt;=供应商对账单!$I$4),采购进货!B1331+ROW()/100000,"")</f>
      </c>
      <c r="N1331">
        <f>IF(AND(ISNUMBER(出库明细!G1331),ISNUMBER(出库明细!E1331),ISNUMBER(出库明细!F1331)),IF(ABS(出库明细!G1331-出库明细!E1331*出库明细!F1331)&gt;0.005,1,0),0)</f>
        <v>0</v>
      </c>
    </row>
    <row r="1332">
      <c r="A1332">
        <f>IF(OR(出库明细!C332="",出库明细!D332=""),"",IF(OR(COUNTIFS(存条明细!$C$4:$C$1003,出库明细!C332,存条明细!$D$4:$D$1003,出库明细!D332)&gt;0,COUNTIFS(出库明细!$C$4:C332,出库明细!C332,出库明细!$D$4:D332,出库明细!D332)&gt;1),"",IFERROR(MATCH(出库明细!C332,总览汇总!$B$5:$B$304,0),900)*10000000+IFERROR(MATCH(出库明细!D332,基础资料!$E$5:$E$104,0),900)*10000+ROW()))</f>
      </c>
      <c r="F1332">
        <f>IF(AND(出库明细!C1332&lt;&gt;"",出库明细!C1332=客户对账单!$B$4,ISNUMBER(出库明细!B1332),出库明细!B1332&gt;=客户对账单!$G$4,出库明细!B1332&lt;=客户对账单!$I$4),出库明细!B1332+ROW()/100000,"")</f>
      </c>
      <c r="H1332">
        <f>IF(AND(采购进货!C1332&lt;&gt;"",采购进货!C1332=供应商对账单!$B$4,ISNUMBER(采购进货!B1332),采购进货!B1332&gt;=供应商对账单!$G$4,采购进货!B1332&lt;=供应商对账单!$I$4),采购进货!B1332+ROW()/100000,"")</f>
      </c>
      <c r="N1332">
        <f>IF(AND(ISNUMBER(出库明细!G1332),ISNUMBER(出库明细!E1332),ISNUMBER(出库明细!F1332)),IF(ABS(出库明细!G1332-出库明细!E1332*出库明细!F1332)&gt;0.005,1,0),0)</f>
        <v>0</v>
      </c>
    </row>
    <row r="1333">
      <c r="A1333">
        <f>IF(OR(出库明细!C333="",出库明细!D333=""),"",IF(OR(COUNTIFS(存条明细!$C$4:$C$1003,出库明细!C333,存条明细!$D$4:$D$1003,出库明细!D333)&gt;0,COUNTIFS(出库明细!$C$4:C333,出库明细!C333,出库明细!$D$4:D333,出库明细!D333)&gt;1),"",IFERROR(MATCH(出库明细!C333,总览汇总!$B$5:$B$304,0),900)*10000000+IFERROR(MATCH(出库明细!D333,基础资料!$E$5:$E$104,0),900)*10000+ROW()))</f>
      </c>
      <c r="F1333">
        <f>IF(AND(出库明细!C1333&lt;&gt;"",出库明细!C1333=客户对账单!$B$4,ISNUMBER(出库明细!B1333),出库明细!B1333&gt;=客户对账单!$G$4,出库明细!B1333&lt;=客户对账单!$I$4),出库明细!B1333+ROW()/100000,"")</f>
      </c>
      <c r="H1333">
        <f>IF(AND(采购进货!C1333&lt;&gt;"",采购进货!C1333=供应商对账单!$B$4,ISNUMBER(采购进货!B1333),采购进货!B1333&gt;=供应商对账单!$G$4,采购进货!B1333&lt;=供应商对账单!$I$4),采购进货!B1333+ROW()/100000,"")</f>
      </c>
      <c r="N1333">
        <f>IF(AND(ISNUMBER(出库明细!G1333),ISNUMBER(出库明细!E1333),ISNUMBER(出库明细!F1333)),IF(ABS(出库明细!G1333-出库明细!E1333*出库明细!F1333)&gt;0.005,1,0),0)</f>
        <v>0</v>
      </c>
    </row>
    <row r="1334">
      <c r="A1334">
        <f>IF(OR(出库明细!C334="",出库明细!D334=""),"",IF(OR(COUNTIFS(存条明细!$C$4:$C$1003,出库明细!C334,存条明细!$D$4:$D$1003,出库明细!D334)&gt;0,COUNTIFS(出库明细!$C$4:C334,出库明细!C334,出库明细!$D$4:D334,出库明细!D334)&gt;1),"",IFERROR(MATCH(出库明细!C334,总览汇总!$B$5:$B$304,0),900)*10000000+IFERROR(MATCH(出库明细!D334,基础资料!$E$5:$E$104,0),900)*10000+ROW()))</f>
      </c>
      <c r="F1334">
        <f>IF(AND(出库明细!C1334&lt;&gt;"",出库明细!C1334=客户对账单!$B$4,ISNUMBER(出库明细!B1334),出库明细!B1334&gt;=客户对账单!$G$4,出库明细!B1334&lt;=客户对账单!$I$4),出库明细!B1334+ROW()/100000,"")</f>
      </c>
      <c r="H1334">
        <f>IF(AND(采购进货!C1334&lt;&gt;"",采购进货!C1334=供应商对账单!$B$4,ISNUMBER(采购进货!B1334),采购进货!B1334&gt;=供应商对账单!$G$4,采购进货!B1334&lt;=供应商对账单!$I$4),采购进货!B1334+ROW()/100000,"")</f>
      </c>
      <c r="N1334">
        <f>IF(AND(ISNUMBER(出库明细!G1334),ISNUMBER(出库明细!E1334),ISNUMBER(出库明细!F1334)),IF(ABS(出库明细!G1334-出库明细!E1334*出库明细!F1334)&gt;0.005,1,0),0)</f>
        <v>0</v>
      </c>
    </row>
    <row r="1335">
      <c r="A1335">
        <f>IF(OR(出库明细!C335="",出库明细!D335=""),"",IF(OR(COUNTIFS(存条明细!$C$4:$C$1003,出库明细!C335,存条明细!$D$4:$D$1003,出库明细!D335)&gt;0,COUNTIFS(出库明细!$C$4:C335,出库明细!C335,出库明细!$D$4:D335,出库明细!D335)&gt;1),"",IFERROR(MATCH(出库明细!C335,总览汇总!$B$5:$B$304,0),900)*10000000+IFERROR(MATCH(出库明细!D335,基础资料!$E$5:$E$104,0),900)*10000+ROW()))</f>
      </c>
      <c r="F1335">
        <f>IF(AND(出库明细!C1335&lt;&gt;"",出库明细!C1335=客户对账单!$B$4,ISNUMBER(出库明细!B1335),出库明细!B1335&gt;=客户对账单!$G$4,出库明细!B1335&lt;=客户对账单!$I$4),出库明细!B1335+ROW()/100000,"")</f>
      </c>
      <c r="H1335">
        <f>IF(AND(采购进货!C1335&lt;&gt;"",采购进货!C1335=供应商对账单!$B$4,ISNUMBER(采购进货!B1335),采购进货!B1335&gt;=供应商对账单!$G$4,采购进货!B1335&lt;=供应商对账单!$I$4),采购进货!B1335+ROW()/100000,"")</f>
      </c>
      <c r="N1335">
        <f>IF(AND(ISNUMBER(出库明细!G1335),ISNUMBER(出库明细!E1335),ISNUMBER(出库明细!F1335)),IF(ABS(出库明细!G1335-出库明细!E1335*出库明细!F1335)&gt;0.005,1,0),0)</f>
        <v>0</v>
      </c>
    </row>
    <row r="1336">
      <c r="A1336">
        <f>IF(OR(出库明细!C336="",出库明细!D336=""),"",IF(OR(COUNTIFS(存条明细!$C$4:$C$1003,出库明细!C336,存条明细!$D$4:$D$1003,出库明细!D336)&gt;0,COUNTIFS(出库明细!$C$4:C336,出库明细!C336,出库明细!$D$4:D336,出库明细!D336)&gt;1),"",IFERROR(MATCH(出库明细!C336,总览汇总!$B$5:$B$304,0),900)*10000000+IFERROR(MATCH(出库明细!D336,基础资料!$E$5:$E$104,0),900)*10000+ROW()))</f>
      </c>
      <c r="F1336">
        <f>IF(AND(出库明细!C1336&lt;&gt;"",出库明细!C1336=客户对账单!$B$4,ISNUMBER(出库明细!B1336),出库明细!B1336&gt;=客户对账单!$G$4,出库明细!B1336&lt;=客户对账单!$I$4),出库明细!B1336+ROW()/100000,"")</f>
      </c>
      <c r="H1336">
        <f>IF(AND(采购进货!C1336&lt;&gt;"",采购进货!C1336=供应商对账单!$B$4,ISNUMBER(采购进货!B1336),采购进货!B1336&gt;=供应商对账单!$G$4,采购进货!B1336&lt;=供应商对账单!$I$4),采购进货!B1336+ROW()/100000,"")</f>
      </c>
      <c r="N1336">
        <f>IF(AND(ISNUMBER(出库明细!G1336),ISNUMBER(出库明细!E1336),ISNUMBER(出库明细!F1336)),IF(ABS(出库明细!G1336-出库明细!E1336*出库明细!F1336)&gt;0.005,1,0),0)</f>
        <v>0</v>
      </c>
    </row>
    <row r="1337">
      <c r="A1337">
        <f>IF(OR(出库明细!C337="",出库明细!D337=""),"",IF(OR(COUNTIFS(存条明细!$C$4:$C$1003,出库明细!C337,存条明细!$D$4:$D$1003,出库明细!D337)&gt;0,COUNTIFS(出库明细!$C$4:C337,出库明细!C337,出库明细!$D$4:D337,出库明细!D337)&gt;1),"",IFERROR(MATCH(出库明细!C337,总览汇总!$B$5:$B$304,0),900)*10000000+IFERROR(MATCH(出库明细!D337,基础资料!$E$5:$E$104,0),900)*10000+ROW()))</f>
      </c>
      <c r="F1337">
        <f>IF(AND(出库明细!C1337&lt;&gt;"",出库明细!C1337=客户对账单!$B$4,ISNUMBER(出库明细!B1337),出库明细!B1337&gt;=客户对账单!$G$4,出库明细!B1337&lt;=客户对账单!$I$4),出库明细!B1337+ROW()/100000,"")</f>
      </c>
      <c r="H1337">
        <f>IF(AND(采购进货!C1337&lt;&gt;"",采购进货!C1337=供应商对账单!$B$4,ISNUMBER(采购进货!B1337),采购进货!B1337&gt;=供应商对账单!$G$4,采购进货!B1337&lt;=供应商对账单!$I$4),采购进货!B1337+ROW()/100000,"")</f>
      </c>
      <c r="N1337">
        <f>IF(AND(ISNUMBER(出库明细!G1337),ISNUMBER(出库明细!E1337),ISNUMBER(出库明细!F1337)),IF(ABS(出库明细!G1337-出库明细!E1337*出库明细!F1337)&gt;0.005,1,0),0)</f>
        <v>0</v>
      </c>
    </row>
    <row r="1338">
      <c r="A1338">
        <f>IF(OR(出库明细!C338="",出库明细!D338=""),"",IF(OR(COUNTIFS(存条明细!$C$4:$C$1003,出库明细!C338,存条明细!$D$4:$D$1003,出库明细!D338)&gt;0,COUNTIFS(出库明细!$C$4:C338,出库明细!C338,出库明细!$D$4:D338,出库明细!D338)&gt;1),"",IFERROR(MATCH(出库明细!C338,总览汇总!$B$5:$B$304,0),900)*10000000+IFERROR(MATCH(出库明细!D338,基础资料!$E$5:$E$104,0),900)*10000+ROW()))</f>
      </c>
      <c r="F1338">
        <f>IF(AND(出库明细!C1338&lt;&gt;"",出库明细!C1338=客户对账单!$B$4,ISNUMBER(出库明细!B1338),出库明细!B1338&gt;=客户对账单!$G$4,出库明细!B1338&lt;=客户对账单!$I$4),出库明细!B1338+ROW()/100000,"")</f>
      </c>
      <c r="H1338">
        <f>IF(AND(采购进货!C1338&lt;&gt;"",采购进货!C1338=供应商对账单!$B$4,ISNUMBER(采购进货!B1338),采购进货!B1338&gt;=供应商对账单!$G$4,采购进货!B1338&lt;=供应商对账单!$I$4),采购进货!B1338+ROW()/100000,"")</f>
      </c>
      <c r="N1338">
        <f>IF(AND(ISNUMBER(出库明细!G1338),ISNUMBER(出库明细!E1338),ISNUMBER(出库明细!F1338)),IF(ABS(出库明细!G1338-出库明细!E1338*出库明细!F1338)&gt;0.005,1,0),0)</f>
        <v>0</v>
      </c>
    </row>
    <row r="1339">
      <c r="A1339">
        <f>IF(OR(出库明细!C339="",出库明细!D339=""),"",IF(OR(COUNTIFS(存条明细!$C$4:$C$1003,出库明细!C339,存条明细!$D$4:$D$1003,出库明细!D339)&gt;0,COUNTIFS(出库明细!$C$4:C339,出库明细!C339,出库明细!$D$4:D339,出库明细!D339)&gt;1),"",IFERROR(MATCH(出库明细!C339,总览汇总!$B$5:$B$304,0),900)*10000000+IFERROR(MATCH(出库明细!D339,基础资料!$E$5:$E$104,0),900)*10000+ROW()))</f>
        <v>40151339</v>
      </c>
      <c r="F1339">
        <f>IF(AND(出库明细!C1339&lt;&gt;"",出库明细!C1339=客户对账单!$B$4,ISNUMBER(出库明细!B1339),出库明细!B1339&gt;=客户对账单!$G$4,出库明细!B1339&lt;=客户对账单!$I$4),出库明细!B1339+ROW()/100000,"")</f>
      </c>
      <c r="H1339">
        <f>IF(AND(采购进货!C1339&lt;&gt;"",采购进货!C1339=供应商对账单!$B$4,ISNUMBER(采购进货!B1339),采购进货!B1339&gt;=供应商对账单!$G$4,采购进货!B1339&lt;=供应商对账单!$I$4),采购进货!B1339+ROW()/100000,"")</f>
      </c>
      <c r="N1339">
        <f>IF(AND(ISNUMBER(出库明细!G1339),ISNUMBER(出库明细!E1339),ISNUMBER(出库明细!F1339)),IF(ABS(出库明细!G1339-出库明细!E1339*出库明细!F1339)&gt;0.005,1,0),0)</f>
        <v>0</v>
      </c>
    </row>
    <row r="1340">
      <c r="A1340">
        <f>IF(OR(出库明细!C340="",出库明细!D340=""),"",IF(OR(COUNTIFS(存条明细!$C$4:$C$1003,出库明细!C340,存条明细!$D$4:$D$1003,出库明细!D340)&gt;0,COUNTIFS(出库明细!$C$4:C340,出库明细!C340,出库明细!$D$4:D340,出库明细!D340)&gt;1),"",IFERROR(MATCH(出库明细!C340,总览汇总!$B$5:$B$304,0),900)*10000000+IFERROR(MATCH(出库明细!D340,基础资料!$E$5:$E$104,0),900)*10000+ROW()))</f>
        <v>40191340</v>
      </c>
      <c r="F1340">
        <f>IF(AND(出库明细!C1340&lt;&gt;"",出库明细!C1340=客户对账单!$B$4,ISNUMBER(出库明细!B1340),出库明细!B1340&gt;=客户对账单!$G$4,出库明细!B1340&lt;=客户对账单!$I$4),出库明细!B1340+ROW()/100000,"")</f>
      </c>
      <c r="H1340">
        <f>IF(AND(采购进货!C1340&lt;&gt;"",采购进货!C1340=供应商对账单!$B$4,ISNUMBER(采购进货!B1340),采购进货!B1340&gt;=供应商对账单!$G$4,采购进货!B1340&lt;=供应商对账单!$I$4),采购进货!B1340+ROW()/100000,"")</f>
      </c>
      <c r="N1340">
        <f>IF(AND(ISNUMBER(出库明细!G1340),ISNUMBER(出库明细!E1340),ISNUMBER(出库明细!F1340)),IF(ABS(出库明细!G1340-出库明细!E1340*出库明细!F1340)&gt;0.005,1,0),0)</f>
        <v>0</v>
      </c>
    </row>
    <row r="1341">
      <c r="A1341">
        <f>IF(OR(出库明细!C341="",出库明细!D341=""),"",IF(OR(COUNTIFS(存条明细!$C$4:$C$1003,出库明细!C341,存条明细!$D$4:$D$1003,出库明细!D341)&gt;0,COUNTIFS(出库明细!$C$4:C341,出库明细!C341,出库明细!$D$4:D341,出库明细!D341)&gt;1),"",IFERROR(MATCH(出库明细!C341,总览汇总!$B$5:$B$304,0),900)*10000000+IFERROR(MATCH(出库明细!D341,基础资料!$E$5:$E$104,0),900)*10000+ROW()))</f>
      </c>
      <c r="F1341">
        <f>IF(AND(出库明细!C1341&lt;&gt;"",出库明细!C1341=客户对账单!$B$4,ISNUMBER(出库明细!B1341),出库明细!B1341&gt;=客户对账单!$G$4,出库明细!B1341&lt;=客户对账单!$I$4),出库明细!B1341+ROW()/100000,"")</f>
      </c>
      <c r="H1341">
        <f>IF(AND(采购进货!C1341&lt;&gt;"",采购进货!C1341=供应商对账单!$B$4,ISNUMBER(采购进货!B1341),采购进货!B1341&gt;=供应商对账单!$G$4,采购进货!B1341&lt;=供应商对账单!$I$4),采购进货!B1341+ROW()/100000,"")</f>
      </c>
      <c r="N1341">
        <f>IF(AND(ISNUMBER(出库明细!G1341),ISNUMBER(出库明细!E1341),ISNUMBER(出库明细!F1341)),IF(ABS(出库明细!G1341-出库明细!E1341*出库明细!F1341)&gt;0.005,1,0),0)</f>
        <v>0</v>
      </c>
    </row>
    <row r="1342">
      <c r="A1342">
        <f>IF(OR(出库明细!C342="",出库明细!D342=""),"",IF(OR(COUNTIFS(存条明细!$C$4:$C$1003,出库明细!C342,存条明细!$D$4:$D$1003,出库明细!D342)&gt;0,COUNTIFS(出库明细!$C$4:C342,出库明细!C342,出库明细!$D$4:D342,出库明细!D342)&gt;1),"",IFERROR(MATCH(出库明细!C342,总览汇总!$B$5:$B$304,0),900)*10000000+IFERROR(MATCH(出库明细!D342,基础资料!$E$5:$E$104,0),900)*10000+ROW()))</f>
      </c>
      <c r="F1342">
        <f>IF(AND(出库明细!C1342&lt;&gt;"",出库明细!C1342=客户对账单!$B$4,ISNUMBER(出库明细!B1342),出库明细!B1342&gt;=客户对账单!$G$4,出库明细!B1342&lt;=客户对账单!$I$4),出库明细!B1342+ROW()/100000,"")</f>
      </c>
      <c r="H1342">
        <f>IF(AND(采购进货!C1342&lt;&gt;"",采购进货!C1342=供应商对账单!$B$4,ISNUMBER(采购进货!B1342),采购进货!B1342&gt;=供应商对账单!$G$4,采购进货!B1342&lt;=供应商对账单!$I$4),采购进货!B1342+ROW()/100000,"")</f>
      </c>
      <c r="N1342">
        <f>IF(AND(ISNUMBER(出库明细!G1342),ISNUMBER(出库明细!E1342),ISNUMBER(出库明细!F1342)),IF(ABS(出库明细!G1342-出库明细!E1342*出库明细!F1342)&gt;0.005,1,0),0)</f>
        <v>0</v>
      </c>
    </row>
    <row r="1343">
      <c r="A1343">
        <f>IF(OR(出库明细!C343="",出库明细!D343=""),"",IF(OR(COUNTIFS(存条明细!$C$4:$C$1003,出库明细!C343,存条明细!$D$4:$D$1003,出库明细!D343)&gt;0,COUNTIFS(出库明细!$C$4:C343,出库明细!C343,出库明细!$D$4:D343,出库明细!D343)&gt;1),"",IFERROR(MATCH(出库明细!C343,总览汇总!$B$5:$B$304,0),900)*10000000+IFERROR(MATCH(出库明细!D343,基础资料!$E$5:$E$104,0),900)*10000+ROW()))</f>
      </c>
      <c r="F1343">
        <f>IF(AND(出库明细!C1343&lt;&gt;"",出库明细!C1343=客户对账单!$B$4,ISNUMBER(出库明细!B1343),出库明细!B1343&gt;=客户对账单!$G$4,出库明细!B1343&lt;=客户对账单!$I$4),出库明细!B1343+ROW()/100000,"")</f>
      </c>
      <c r="H1343">
        <f>IF(AND(采购进货!C1343&lt;&gt;"",采购进货!C1343=供应商对账单!$B$4,ISNUMBER(采购进货!B1343),采购进货!B1343&gt;=供应商对账单!$G$4,采购进货!B1343&lt;=供应商对账单!$I$4),采购进货!B1343+ROW()/100000,"")</f>
      </c>
      <c r="N1343">
        <f>IF(AND(ISNUMBER(出库明细!G1343),ISNUMBER(出库明细!E1343),ISNUMBER(出库明细!F1343)),IF(ABS(出库明细!G1343-出库明细!E1343*出库明细!F1343)&gt;0.005,1,0),0)</f>
        <v>0</v>
      </c>
    </row>
    <row r="1344">
      <c r="A1344">
        <f>IF(OR(出库明细!C344="",出库明细!D344=""),"",IF(OR(COUNTIFS(存条明细!$C$4:$C$1003,出库明细!C344,存条明细!$D$4:$D$1003,出库明细!D344)&gt;0,COUNTIFS(出库明细!$C$4:C344,出库明细!C344,出库明细!$D$4:D344,出库明细!D344)&gt;1),"",IFERROR(MATCH(出库明细!C344,总览汇总!$B$5:$B$304,0),900)*10000000+IFERROR(MATCH(出库明细!D344,基础资料!$E$5:$E$104,0),900)*10000+ROW()))</f>
      </c>
      <c r="F1344">
        <f>IF(AND(出库明细!C1344&lt;&gt;"",出库明细!C1344=客户对账单!$B$4,ISNUMBER(出库明细!B1344),出库明细!B1344&gt;=客户对账单!$G$4,出库明细!B1344&lt;=客户对账单!$I$4),出库明细!B1344+ROW()/100000,"")</f>
      </c>
      <c r="H1344">
        <f>IF(AND(采购进货!C1344&lt;&gt;"",采购进货!C1344=供应商对账单!$B$4,ISNUMBER(采购进货!B1344),采购进货!B1344&gt;=供应商对账单!$G$4,采购进货!B1344&lt;=供应商对账单!$I$4),采购进货!B1344+ROW()/100000,"")</f>
      </c>
      <c r="N1344">
        <f>IF(AND(ISNUMBER(出库明细!G1344),ISNUMBER(出库明细!E1344),ISNUMBER(出库明细!F1344)),IF(ABS(出库明细!G1344-出库明细!E1344*出库明细!F1344)&gt;0.005,1,0),0)</f>
        <v>0</v>
      </c>
    </row>
    <row r="1345">
      <c r="A1345">
        <f>IF(OR(出库明细!C345="",出库明细!D345=""),"",IF(OR(COUNTIFS(存条明细!$C$4:$C$1003,出库明细!C345,存条明细!$D$4:$D$1003,出库明细!D345)&gt;0,COUNTIFS(出库明细!$C$4:C345,出库明细!C345,出库明细!$D$4:D345,出库明细!D345)&gt;1),"",IFERROR(MATCH(出库明细!C345,总览汇总!$B$5:$B$304,0),900)*10000000+IFERROR(MATCH(出库明细!D345,基础资料!$E$5:$E$104,0),900)*10000+ROW()))</f>
      </c>
      <c r="F1345">
        <f>IF(AND(出库明细!C1345&lt;&gt;"",出库明细!C1345=客户对账单!$B$4,ISNUMBER(出库明细!B1345),出库明细!B1345&gt;=客户对账单!$G$4,出库明细!B1345&lt;=客户对账单!$I$4),出库明细!B1345+ROW()/100000,"")</f>
      </c>
      <c r="H1345">
        <f>IF(AND(采购进货!C1345&lt;&gt;"",采购进货!C1345=供应商对账单!$B$4,ISNUMBER(采购进货!B1345),采购进货!B1345&gt;=供应商对账单!$G$4,采购进货!B1345&lt;=供应商对账单!$I$4),采购进货!B1345+ROW()/100000,"")</f>
      </c>
      <c r="N1345">
        <f>IF(AND(ISNUMBER(出库明细!G1345),ISNUMBER(出库明细!E1345),ISNUMBER(出库明细!F1345)),IF(ABS(出库明细!G1345-出库明细!E1345*出库明细!F1345)&gt;0.005,1,0),0)</f>
        <v>0</v>
      </c>
    </row>
    <row r="1346">
      <c r="A1346">
        <f>IF(OR(出库明细!C346="",出库明细!D346=""),"",IF(OR(COUNTIFS(存条明细!$C$4:$C$1003,出库明细!C346,存条明细!$D$4:$D$1003,出库明细!D346)&gt;0,COUNTIFS(出库明细!$C$4:C346,出库明细!C346,出库明细!$D$4:D346,出库明细!D346)&gt;1),"",IFERROR(MATCH(出库明细!C346,总览汇总!$B$5:$B$304,0),900)*10000000+IFERROR(MATCH(出库明细!D346,基础资料!$E$5:$E$104,0),900)*10000+ROW()))</f>
      </c>
      <c r="F1346">
        <f>IF(AND(出库明细!C1346&lt;&gt;"",出库明细!C1346=客户对账单!$B$4,ISNUMBER(出库明细!B1346),出库明细!B1346&gt;=客户对账单!$G$4,出库明细!B1346&lt;=客户对账单!$I$4),出库明细!B1346+ROW()/100000,"")</f>
      </c>
      <c r="H1346">
        <f>IF(AND(采购进货!C1346&lt;&gt;"",采购进货!C1346=供应商对账单!$B$4,ISNUMBER(采购进货!B1346),采购进货!B1346&gt;=供应商对账单!$G$4,采购进货!B1346&lt;=供应商对账单!$I$4),采购进货!B1346+ROW()/100000,"")</f>
      </c>
      <c r="N1346">
        <f>IF(AND(ISNUMBER(出库明细!G1346),ISNUMBER(出库明细!E1346),ISNUMBER(出库明细!F1346)),IF(ABS(出库明细!G1346-出库明细!E1346*出库明细!F1346)&gt;0.005,1,0),0)</f>
        <v>0</v>
      </c>
    </row>
    <row r="1347">
      <c r="A1347">
        <f>IF(OR(出库明细!C347="",出库明细!D347=""),"",IF(OR(COUNTIFS(存条明细!$C$4:$C$1003,出库明细!C347,存条明细!$D$4:$D$1003,出库明细!D347)&gt;0,COUNTIFS(出库明细!$C$4:C347,出库明细!C347,出库明细!$D$4:D347,出库明细!D347)&gt;1),"",IFERROR(MATCH(出库明细!C347,总览汇总!$B$5:$B$304,0),900)*10000000+IFERROR(MATCH(出库明细!D347,基础资料!$E$5:$E$104,0),900)*10000+ROW()))</f>
        <v>300031347</v>
      </c>
      <c r="F1347">
        <f>IF(AND(出库明细!C1347&lt;&gt;"",出库明细!C1347=客户对账单!$B$4,ISNUMBER(出库明细!B1347),出库明细!B1347&gt;=客户对账单!$G$4,出库明细!B1347&lt;=客户对账单!$I$4),出库明细!B1347+ROW()/100000,"")</f>
      </c>
      <c r="H1347">
        <f>IF(AND(采购进货!C1347&lt;&gt;"",采购进货!C1347=供应商对账单!$B$4,ISNUMBER(采购进货!B1347),采购进货!B1347&gt;=供应商对账单!$G$4,采购进货!B1347&lt;=供应商对账单!$I$4),采购进货!B1347+ROW()/100000,"")</f>
      </c>
      <c r="N1347">
        <f>IF(AND(ISNUMBER(出库明细!G1347),ISNUMBER(出库明细!E1347),ISNUMBER(出库明细!F1347)),IF(ABS(出库明细!G1347-出库明细!E1347*出库明细!F1347)&gt;0.005,1,0),0)</f>
        <v>0</v>
      </c>
    </row>
    <row r="1348">
      <c r="A1348">
        <f>IF(OR(出库明细!C348="",出库明细!D348=""),"",IF(OR(COUNTIFS(存条明细!$C$4:$C$1003,出库明细!C348,存条明细!$D$4:$D$1003,出库明细!D348)&gt;0,COUNTIFS(出库明细!$C$4:C348,出库明细!C348,出库明细!$D$4:D348,出库明细!D348)&gt;1),"",IFERROR(MATCH(出库明细!C348,总览汇总!$B$5:$B$304,0),900)*10000000+IFERROR(MATCH(出库明细!D348,基础资料!$E$5:$E$104,0),900)*10000+ROW()))</f>
      </c>
      <c r="F1348">
        <f>IF(AND(出库明细!C1348&lt;&gt;"",出库明细!C1348=客户对账单!$B$4,ISNUMBER(出库明细!B1348),出库明细!B1348&gt;=客户对账单!$G$4,出库明细!B1348&lt;=客户对账单!$I$4),出库明细!B1348+ROW()/100000,"")</f>
      </c>
      <c r="H1348">
        <f>IF(AND(采购进货!C1348&lt;&gt;"",采购进货!C1348=供应商对账单!$B$4,ISNUMBER(采购进货!B1348),采购进货!B1348&gt;=供应商对账单!$G$4,采购进货!B1348&lt;=供应商对账单!$I$4),采购进货!B1348+ROW()/100000,"")</f>
      </c>
      <c r="N1348">
        <f>IF(AND(ISNUMBER(出库明细!G1348),ISNUMBER(出库明细!E1348),ISNUMBER(出库明细!F1348)),IF(ABS(出库明细!G1348-出库明细!E1348*出库明细!F1348)&gt;0.005,1,0),0)</f>
        <v>0</v>
      </c>
    </row>
    <row r="1349">
      <c r="A1349">
        <f>IF(OR(出库明细!C349="",出库明细!D349=""),"",IF(OR(COUNTIFS(存条明细!$C$4:$C$1003,出库明细!C349,存条明细!$D$4:$D$1003,出库明细!D349)&gt;0,COUNTIFS(出库明细!$C$4:C349,出库明细!C349,出库明细!$D$4:D349,出库明细!D349)&gt;1),"",IFERROR(MATCH(出库明细!C349,总览汇总!$B$5:$B$304,0),900)*10000000+IFERROR(MATCH(出库明细!D349,基础资料!$E$5:$E$104,0),900)*10000+ROW()))</f>
        <v>350051349</v>
      </c>
      <c r="F1349">
        <f>IF(AND(出库明细!C1349&lt;&gt;"",出库明细!C1349=客户对账单!$B$4,ISNUMBER(出库明细!B1349),出库明细!B1349&gt;=客户对账单!$G$4,出库明细!B1349&lt;=客户对账单!$I$4),出库明细!B1349+ROW()/100000,"")</f>
      </c>
      <c r="H1349">
        <f>IF(AND(采购进货!C1349&lt;&gt;"",采购进货!C1349=供应商对账单!$B$4,ISNUMBER(采购进货!B1349),采购进货!B1349&gt;=供应商对账单!$G$4,采购进货!B1349&lt;=供应商对账单!$I$4),采购进货!B1349+ROW()/100000,"")</f>
      </c>
      <c r="N1349">
        <f>IF(AND(ISNUMBER(出库明细!G1349),ISNUMBER(出库明细!E1349),ISNUMBER(出库明细!F1349)),IF(ABS(出库明细!G1349-出库明细!E1349*出库明细!F1349)&gt;0.005,1,0),0)</f>
        <v>0</v>
      </c>
    </row>
    <row r="1350">
      <c r="A1350">
        <f>IF(OR(出库明细!C350="",出库明细!D350=""),"",IF(OR(COUNTIFS(存条明细!$C$4:$C$1003,出库明细!C350,存条明细!$D$4:$D$1003,出库明细!D350)&gt;0,COUNTIFS(出库明细!$C$4:C350,出库明细!C350,出库明细!$D$4:D350,出库明细!D350)&gt;1),"",IFERROR(MATCH(出库明细!C350,总览汇总!$B$5:$B$304,0),900)*10000000+IFERROR(MATCH(出库明细!D350,基础资料!$E$5:$E$104,0),900)*10000+ROW()))</f>
      </c>
      <c r="F1350">
        <f>IF(AND(出库明细!C1350&lt;&gt;"",出库明细!C1350=客户对账单!$B$4,ISNUMBER(出库明细!B1350),出库明细!B1350&gt;=客户对账单!$G$4,出库明细!B1350&lt;=客户对账单!$I$4),出库明细!B1350+ROW()/100000,"")</f>
      </c>
      <c r="H1350">
        <f>IF(AND(采购进货!C1350&lt;&gt;"",采购进货!C1350=供应商对账单!$B$4,ISNUMBER(采购进货!B1350),采购进货!B1350&gt;=供应商对账单!$G$4,采购进货!B1350&lt;=供应商对账单!$I$4),采购进货!B1350+ROW()/100000,"")</f>
      </c>
      <c r="N1350">
        <f>IF(AND(ISNUMBER(出库明细!G1350),ISNUMBER(出库明细!E1350),ISNUMBER(出库明细!F1350)),IF(ABS(出库明细!G1350-出库明细!E1350*出库明细!F1350)&gt;0.005,1,0),0)</f>
        <v>0</v>
      </c>
    </row>
    <row r="1351">
      <c r="A1351">
        <f>IF(OR(出库明细!C351="",出库明细!D351=""),"",IF(OR(COUNTIFS(存条明细!$C$4:$C$1003,出库明细!C351,存条明细!$D$4:$D$1003,出库明细!D351)&gt;0,COUNTIFS(出库明细!$C$4:C351,出库明细!C351,出库明细!$D$4:D351,出库明细!D351)&gt;1),"",IFERROR(MATCH(出库明细!C351,总览汇总!$B$5:$B$304,0),900)*10000000+IFERROR(MATCH(出库明细!D351,基础资料!$E$5:$E$104,0),900)*10000+ROW()))</f>
        <v>50061351</v>
      </c>
      <c r="F1351">
        <f>IF(AND(出库明细!C1351&lt;&gt;"",出库明细!C1351=客户对账单!$B$4,ISNUMBER(出库明细!B1351),出库明细!B1351&gt;=客户对账单!$G$4,出库明细!B1351&lt;=客户对账单!$I$4),出库明细!B1351+ROW()/100000,"")</f>
      </c>
      <c r="H1351">
        <f>IF(AND(采购进货!C1351&lt;&gt;"",采购进货!C1351=供应商对账单!$B$4,ISNUMBER(采购进货!B1351),采购进货!B1351&gt;=供应商对账单!$G$4,采购进货!B1351&lt;=供应商对账单!$I$4),采购进货!B1351+ROW()/100000,"")</f>
      </c>
      <c r="N1351">
        <f>IF(AND(ISNUMBER(出库明细!G1351),ISNUMBER(出库明细!E1351),ISNUMBER(出库明细!F1351)),IF(ABS(出库明细!G1351-出库明细!E1351*出库明细!F1351)&gt;0.005,1,0),0)</f>
        <v>0</v>
      </c>
    </row>
    <row r="1352">
      <c r="A1352">
        <f>IF(OR(出库明细!C352="",出库明细!D352=""),"",IF(OR(COUNTIFS(存条明细!$C$4:$C$1003,出库明细!C352,存条明细!$D$4:$D$1003,出库明细!D352)&gt;0,COUNTIFS(出库明细!$C$4:C352,出库明细!C352,出库明细!$D$4:D352,出库明细!D352)&gt;1),"",IFERROR(MATCH(出库明细!C352,总览汇总!$B$5:$B$304,0),900)*10000000+IFERROR(MATCH(出库明细!D352,基础资料!$E$5:$E$104,0),900)*10000+ROW()))</f>
      </c>
      <c r="F1352">
        <f>IF(AND(出库明细!C1352&lt;&gt;"",出库明细!C1352=客户对账单!$B$4,ISNUMBER(出库明细!B1352),出库明细!B1352&gt;=客户对账单!$G$4,出库明细!B1352&lt;=客户对账单!$I$4),出库明细!B1352+ROW()/100000,"")</f>
      </c>
      <c r="H1352">
        <f>IF(AND(采购进货!C1352&lt;&gt;"",采购进货!C1352=供应商对账单!$B$4,ISNUMBER(采购进货!B1352),采购进货!B1352&gt;=供应商对账单!$G$4,采购进货!B1352&lt;=供应商对账单!$I$4),采购进货!B1352+ROW()/100000,"")</f>
      </c>
      <c r="N1352">
        <f>IF(AND(ISNUMBER(出库明细!G1352),ISNUMBER(出库明细!E1352),ISNUMBER(出库明细!F1352)),IF(ABS(出库明细!G1352-出库明细!E1352*出库明细!F1352)&gt;0.005,1,0),0)</f>
        <v>0</v>
      </c>
    </row>
    <row r="1353">
      <c r="A1353">
        <f>IF(OR(出库明细!C353="",出库明细!D353=""),"",IF(OR(COUNTIFS(存条明细!$C$4:$C$1003,出库明细!C353,存条明细!$D$4:$D$1003,出库明细!D353)&gt;0,COUNTIFS(出库明细!$C$4:C353,出库明细!C353,出库明细!$D$4:D353,出库明细!D353)&gt;1),"",IFERROR(MATCH(出库明细!C353,总览汇总!$B$5:$B$304,0),900)*10000000+IFERROR(MATCH(出库明细!D353,基础资料!$E$5:$E$104,0),900)*10000+ROW()))</f>
      </c>
      <c r="F1353">
        <f>IF(AND(出库明细!C1353&lt;&gt;"",出库明细!C1353=客户对账单!$B$4,ISNUMBER(出库明细!B1353),出库明细!B1353&gt;=客户对账单!$G$4,出库明细!B1353&lt;=客户对账单!$I$4),出库明细!B1353+ROW()/100000,"")</f>
      </c>
      <c r="H1353">
        <f>IF(AND(采购进货!C1353&lt;&gt;"",采购进货!C1353=供应商对账单!$B$4,ISNUMBER(采购进货!B1353),采购进货!B1353&gt;=供应商对账单!$G$4,采购进货!B1353&lt;=供应商对账单!$I$4),采购进货!B1353+ROW()/100000,"")</f>
      </c>
      <c r="N1353">
        <f>IF(AND(ISNUMBER(出库明细!G1353),ISNUMBER(出库明细!E1353),ISNUMBER(出库明细!F1353)),IF(ABS(出库明细!G1353-出库明细!E1353*出库明细!F1353)&gt;0.005,1,0),0)</f>
        <v>0</v>
      </c>
    </row>
    <row r="1354">
      <c r="A1354">
        <f>IF(OR(出库明细!C354="",出库明细!D354=""),"",IF(OR(COUNTIFS(存条明细!$C$4:$C$1003,出库明细!C354,存条明细!$D$4:$D$1003,出库明细!D354)&gt;0,COUNTIFS(出库明细!$C$4:C354,出库明细!C354,出库明细!$D$4:D354,出库明细!D354)&gt;1),"",IFERROR(MATCH(出库明细!C354,总览汇总!$B$5:$B$304,0),900)*10000000+IFERROR(MATCH(出库明细!D354,基础资料!$E$5:$E$104,0),900)*10000+ROW()))</f>
      </c>
      <c r="F1354">
        <f>IF(AND(出库明细!C1354&lt;&gt;"",出库明细!C1354=客户对账单!$B$4,ISNUMBER(出库明细!B1354),出库明细!B1354&gt;=客户对账单!$G$4,出库明细!B1354&lt;=客户对账单!$I$4),出库明细!B1354+ROW()/100000,"")</f>
      </c>
      <c r="H1354">
        <f>IF(AND(采购进货!C1354&lt;&gt;"",采购进货!C1354=供应商对账单!$B$4,ISNUMBER(采购进货!B1354),采购进货!B1354&gt;=供应商对账单!$G$4,采购进货!B1354&lt;=供应商对账单!$I$4),采购进货!B1354+ROW()/100000,"")</f>
      </c>
      <c r="N1354">
        <f>IF(AND(ISNUMBER(出库明细!G1354),ISNUMBER(出库明细!E1354),ISNUMBER(出库明细!F1354)),IF(ABS(出库明细!G1354-出库明细!E1354*出库明细!F1354)&gt;0.005,1,0),0)</f>
        <v>0</v>
      </c>
    </row>
    <row r="1355">
      <c r="A1355">
        <f>IF(OR(出库明细!C355="",出库明细!D355=""),"",IF(OR(COUNTIFS(存条明细!$C$4:$C$1003,出库明细!C355,存条明细!$D$4:$D$1003,出库明细!D355)&gt;0,COUNTIFS(出库明细!$C$4:C355,出库明细!C355,出库明细!$D$4:D355,出库明细!D355)&gt;1),"",IFERROR(MATCH(出库明细!C355,总览汇总!$B$5:$B$304,0),900)*10000000+IFERROR(MATCH(出库明细!D355,基础资料!$E$5:$E$104,0),900)*10000+ROW()))</f>
      </c>
      <c r="F1355">
        <f>IF(AND(出库明细!C1355&lt;&gt;"",出库明细!C1355=客户对账单!$B$4,ISNUMBER(出库明细!B1355),出库明细!B1355&gt;=客户对账单!$G$4,出库明细!B1355&lt;=客户对账单!$I$4),出库明细!B1355+ROW()/100000,"")</f>
      </c>
      <c r="H1355">
        <f>IF(AND(采购进货!C1355&lt;&gt;"",采购进货!C1355=供应商对账单!$B$4,ISNUMBER(采购进货!B1355),采购进货!B1355&gt;=供应商对账单!$G$4,采购进货!B1355&lt;=供应商对账单!$I$4),采购进货!B1355+ROW()/100000,"")</f>
      </c>
      <c r="N1355">
        <f>IF(AND(ISNUMBER(出库明细!G1355),ISNUMBER(出库明细!E1355),ISNUMBER(出库明细!F1355)),IF(ABS(出库明细!G1355-出库明细!E1355*出库明细!F1355)&gt;0.005,1,0),0)</f>
        <v>0</v>
      </c>
    </row>
    <row r="1356">
      <c r="A1356">
        <f>IF(OR(出库明细!C356="",出库明细!D356=""),"",IF(OR(COUNTIFS(存条明细!$C$4:$C$1003,出库明细!C356,存条明细!$D$4:$D$1003,出库明细!D356)&gt;0,COUNTIFS(出库明细!$C$4:C356,出库明细!C356,出库明细!$D$4:D356,出库明细!D356)&gt;1),"",IFERROR(MATCH(出库明细!C356,总览汇总!$B$5:$B$304,0),900)*10000000+IFERROR(MATCH(出库明细!D356,基础资料!$E$5:$E$104,0),900)*10000+ROW()))</f>
      </c>
      <c r="F1356">
        <f>IF(AND(出库明细!C1356&lt;&gt;"",出库明细!C1356=客户对账单!$B$4,ISNUMBER(出库明细!B1356),出库明细!B1356&gt;=客户对账单!$G$4,出库明细!B1356&lt;=客户对账单!$I$4),出库明细!B1356+ROW()/100000,"")</f>
      </c>
      <c r="H1356">
        <f>IF(AND(采购进货!C1356&lt;&gt;"",采购进货!C1356=供应商对账单!$B$4,ISNUMBER(采购进货!B1356),采购进货!B1356&gt;=供应商对账单!$G$4,采购进货!B1356&lt;=供应商对账单!$I$4),采购进货!B1356+ROW()/100000,"")</f>
      </c>
      <c r="N1356">
        <f>IF(AND(ISNUMBER(出库明细!G1356),ISNUMBER(出库明细!E1356),ISNUMBER(出库明细!F1356)),IF(ABS(出库明细!G1356-出库明细!E1356*出库明细!F1356)&gt;0.005,1,0),0)</f>
        <v>0</v>
      </c>
    </row>
    <row r="1357">
      <c r="A1357">
        <f>IF(OR(出库明细!C357="",出库明细!D357=""),"",IF(OR(COUNTIFS(存条明细!$C$4:$C$1003,出库明细!C357,存条明细!$D$4:$D$1003,出库明细!D357)&gt;0,COUNTIFS(出库明细!$C$4:C357,出库明细!C357,出库明细!$D$4:D357,出库明细!D357)&gt;1),"",IFERROR(MATCH(出库明细!C357,总览汇总!$B$5:$B$304,0),900)*10000000+IFERROR(MATCH(出库明细!D357,基础资料!$E$5:$E$104,0),900)*10000+ROW()))</f>
      </c>
      <c r="F1357">
        <f>IF(AND(出库明细!C1357&lt;&gt;"",出库明细!C1357=客户对账单!$B$4,ISNUMBER(出库明细!B1357),出库明细!B1357&gt;=客户对账单!$G$4,出库明细!B1357&lt;=客户对账单!$I$4),出库明细!B1357+ROW()/100000,"")</f>
      </c>
      <c r="H1357">
        <f>IF(AND(采购进货!C1357&lt;&gt;"",采购进货!C1357=供应商对账单!$B$4,ISNUMBER(采购进货!B1357),采购进货!B1357&gt;=供应商对账单!$G$4,采购进货!B1357&lt;=供应商对账单!$I$4),采购进货!B1357+ROW()/100000,"")</f>
      </c>
      <c r="N1357">
        <f>IF(AND(ISNUMBER(出库明细!G1357),ISNUMBER(出库明细!E1357),ISNUMBER(出库明细!F1357)),IF(ABS(出库明细!G1357-出库明细!E1357*出库明细!F1357)&gt;0.005,1,0),0)</f>
        <v>0</v>
      </c>
    </row>
    <row r="1358">
      <c r="A1358">
        <f>IF(OR(出库明细!C358="",出库明细!D358=""),"",IF(OR(COUNTIFS(存条明细!$C$4:$C$1003,出库明细!C358,存条明细!$D$4:$D$1003,出库明细!D358)&gt;0,COUNTIFS(出库明细!$C$4:C358,出库明细!C358,出库明细!$D$4:D358,出库明细!D358)&gt;1),"",IFERROR(MATCH(出库明细!C358,总览汇总!$B$5:$B$304,0),900)*10000000+IFERROR(MATCH(出库明细!D358,基础资料!$E$5:$E$104,0),900)*10000+ROW()))</f>
      </c>
      <c r="F1358">
        <f>IF(AND(出库明细!C1358&lt;&gt;"",出库明细!C1358=客户对账单!$B$4,ISNUMBER(出库明细!B1358),出库明细!B1358&gt;=客户对账单!$G$4,出库明细!B1358&lt;=客户对账单!$I$4),出库明细!B1358+ROW()/100000,"")</f>
      </c>
      <c r="H1358">
        <f>IF(AND(采购进货!C1358&lt;&gt;"",采购进货!C1358=供应商对账单!$B$4,ISNUMBER(采购进货!B1358),采购进货!B1358&gt;=供应商对账单!$G$4,采购进货!B1358&lt;=供应商对账单!$I$4),采购进货!B1358+ROW()/100000,"")</f>
      </c>
      <c r="N1358">
        <f>IF(AND(ISNUMBER(出库明细!G1358),ISNUMBER(出库明细!E1358),ISNUMBER(出库明细!F1358)),IF(ABS(出库明细!G1358-出库明细!E1358*出库明细!F1358)&gt;0.005,1,0),0)</f>
        <v>0</v>
      </c>
    </row>
    <row r="1359">
      <c r="A1359">
        <f>IF(OR(出库明细!C359="",出库明细!D359=""),"",IF(OR(COUNTIFS(存条明细!$C$4:$C$1003,出库明细!C359,存条明细!$D$4:$D$1003,出库明细!D359)&gt;0,COUNTIFS(出库明细!$C$4:C359,出库明细!C359,出库明细!$D$4:D359,出库明细!D359)&gt;1),"",IFERROR(MATCH(出库明细!C359,总览汇总!$B$5:$B$304,0),900)*10000000+IFERROR(MATCH(出库明细!D359,基础资料!$E$5:$E$104,0),900)*10000+ROW()))</f>
      </c>
      <c r="F1359">
        <f>IF(AND(出库明细!C1359&lt;&gt;"",出库明细!C1359=客户对账单!$B$4,ISNUMBER(出库明细!B1359),出库明细!B1359&gt;=客户对账单!$G$4,出库明细!B1359&lt;=客户对账单!$I$4),出库明细!B1359+ROW()/100000,"")</f>
      </c>
      <c r="H1359">
        <f>IF(AND(采购进货!C1359&lt;&gt;"",采购进货!C1359=供应商对账单!$B$4,ISNUMBER(采购进货!B1359),采购进货!B1359&gt;=供应商对账单!$G$4,采购进货!B1359&lt;=供应商对账单!$I$4),采购进货!B1359+ROW()/100000,"")</f>
      </c>
      <c r="N1359">
        <f>IF(AND(ISNUMBER(出库明细!G1359),ISNUMBER(出库明细!E1359),ISNUMBER(出库明细!F1359)),IF(ABS(出库明细!G1359-出库明细!E1359*出库明细!F1359)&gt;0.005,1,0),0)</f>
        <v>0</v>
      </c>
    </row>
    <row r="1360">
      <c r="A1360">
        <f>IF(OR(出库明细!C360="",出库明细!D360=""),"",IF(OR(COUNTIFS(存条明细!$C$4:$C$1003,出库明细!C360,存条明细!$D$4:$D$1003,出库明细!D360)&gt;0,COUNTIFS(出库明细!$C$4:C360,出库明细!C360,出库明细!$D$4:D360,出库明细!D360)&gt;1),"",IFERROR(MATCH(出库明细!C360,总览汇总!$B$5:$B$304,0),900)*10000000+IFERROR(MATCH(出库明细!D360,基础资料!$E$5:$E$104,0),900)*10000+ROW()))</f>
      </c>
      <c r="F1360">
        <f>IF(AND(出库明细!C1360&lt;&gt;"",出库明细!C1360=客户对账单!$B$4,ISNUMBER(出库明细!B1360),出库明细!B1360&gt;=客户对账单!$G$4,出库明细!B1360&lt;=客户对账单!$I$4),出库明细!B1360+ROW()/100000,"")</f>
      </c>
      <c r="H1360">
        <f>IF(AND(采购进货!C1360&lt;&gt;"",采购进货!C1360=供应商对账单!$B$4,ISNUMBER(采购进货!B1360),采购进货!B1360&gt;=供应商对账单!$G$4,采购进货!B1360&lt;=供应商对账单!$I$4),采购进货!B1360+ROW()/100000,"")</f>
      </c>
      <c r="N1360">
        <f>IF(AND(ISNUMBER(出库明细!G1360),ISNUMBER(出库明细!E1360),ISNUMBER(出库明细!F1360)),IF(ABS(出库明细!G1360-出库明细!E1360*出库明细!F1360)&gt;0.005,1,0),0)</f>
        <v>0</v>
      </c>
    </row>
    <row r="1361">
      <c r="A1361">
        <f>IF(OR(出库明细!C361="",出库明细!D361=""),"",IF(OR(COUNTIFS(存条明细!$C$4:$C$1003,出库明细!C361,存条明细!$D$4:$D$1003,出库明细!D361)&gt;0,COUNTIFS(出库明细!$C$4:C361,出库明细!C361,出库明细!$D$4:D361,出库明细!D361)&gt;1),"",IFERROR(MATCH(出库明细!C361,总览汇总!$B$5:$B$304,0),900)*10000000+IFERROR(MATCH(出库明细!D361,基础资料!$E$5:$E$104,0),900)*10000+ROW()))</f>
        <v>130011361</v>
      </c>
      <c r="F1361">
        <f>IF(AND(出库明细!C1361&lt;&gt;"",出库明细!C1361=客户对账单!$B$4,ISNUMBER(出库明细!B1361),出库明细!B1361&gt;=客户对账单!$G$4,出库明细!B1361&lt;=客户对账单!$I$4),出库明细!B1361+ROW()/100000,"")</f>
      </c>
      <c r="H1361">
        <f>IF(AND(采购进货!C1361&lt;&gt;"",采购进货!C1361=供应商对账单!$B$4,ISNUMBER(采购进货!B1361),采购进货!B1361&gt;=供应商对账单!$G$4,采购进货!B1361&lt;=供应商对账单!$I$4),采购进货!B1361+ROW()/100000,"")</f>
      </c>
      <c r="N1361">
        <f>IF(AND(ISNUMBER(出库明细!G1361),ISNUMBER(出库明细!E1361),ISNUMBER(出库明细!F1361)),IF(ABS(出库明细!G1361-出库明细!E1361*出库明细!F1361)&gt;0.005,1,0),0)</f>
        <v>0</v>
      </c>
    </row>
    <row r="1362">
      <c r="A1362">
        <f>IF(OR(出库明细!C362="",出库明细!D362=""),"",IF(OR(COUNTIFS(存条明细!$C$4:$C$1003,出库明细!C362,存条明细!$D$4:$D$1003,出库明细!D362)&gt;0,COUNTIFS(出库明细!$C$4:C362,出库明细!C362,出库明细!$D$4:D362,出库明细!D362)&gt;1),"",IFERROR(MATCH(出库明细!C362,总览汇总!$B$5:$B$304,0),900)*10000000+IFERROR(MATCH(出库明细!D362,基础资料!$E$5:$E$104,0),900)*10000+ROW()))</f>
      </c>
      <c r="F1362">
        <f>IF(AND(出库明细!C1362&lt;&gt;"",出库明细!C1362=客户对账单!$B$4,ISNUMBER(出库明细!B1362),出库明细!B1362&gt;=客户对账单!$G$4,出库明细!B1362&lt;=客户对账单!$I$4),出库明细!B1362+ROW()/100000,"")</f>
      </c>
      <c r="H1362">
        <f>IF(AND(采购进货!C1362&lt;&gt;"",采购进货!C1362=供应商对账单!$B$4,ISNUMBER(采购进货!B1362),采购进货!B1362&gt;=供应商对账单!$G$4,采购进货!B1362&lt;=供应商对账单!$I$4),采购进货!B1362+ROW()/100000,"")</f>
      </c>
      <c r="N1362">
        <f>IF(AND(ISNUMBER(出库明细!G1362),ISNUMBER(出库明细!E1362),ISNUMBER(出库明细!F1362)),IF(ABS(出库明细!G1362-出库明细!E1362*出库明细!F1362)&gt;0.005,1,0),0)</f>
        <v>0</v>
      </c>
    </row>
    <row r="1363">
      <c r="A1363">
        <f>IF(OR(出库明细!C363="",出库明细!D363=""),"",IF(OR(COUNTIFS(存条明细!$C$4:$C$1003,出库明细!C363,存条明细!$D$4:$D$1003,出库明细!D363)&gt;0,COUNTIFS(出库明细!$C$4:C363,出库明细!C363,出库明细!$D$4:D363,出库明细!D363)&gt;1),"",IFERROR(MATCH(出库明细!C363,总览汇总!$B$5:$B$304,0),900)*10000000+IFERROR(MATCH(出库明细!D363,基础资料!$E$5:$E$104,0),900)*10000+ROW()))</f>
      </c>
      <c r="F1363">
        <f>IF(AND(出库明细!C1363&lt;&gt;"",出库明细!C1363=客户对账单!$B$4,ISNUMBER(出库明细!B1363),出库明细!B1363&gt;=客户对账单!$G$4,出库明细!B1363&lt;=客户对账单!$I$4),出库明细!B1363+ROW()/100000,"")</f>
      </c>
      <c r="H1363">
        <f>IF(AND(采购进货!C1363&lt;&gt;"",采购进货!C1363=供应商对账单!$B$4,ISNUMBER(采购进货!B1363),采购进货!B1363&gt;=供应商对账单!$G$4,采购进货!B1363&lt;=供应商对账单!$I$4),采购进货!B1363+ROW()/100000,"")</f>
      </c>
      <c r="N1363">
        <f>IF(AND(ISNUMBER(出库明细!G1363),ISNUMBER(出库明细!E1363),ISNUMBER(出库明细!F1363)),IF(ABS(出库明细!G1363-出库明细!E1363*出库明细!F1363)&gt;0.005,1,0),0)</f>
        <v>0</v>
      </c>
    </row>
    <row r="1364">
      <c r="A1364">
        <f>IF(OR(出库明细!C364="",出库明细!D364=""),"",IF(OR(COUNTIFS(存条明细!$C$4:$C$1003,出库明细!C364,存条明细!$D$4:$D$1003,出库明细!D364)&gt;0,COUNTIFS(出库明细!$C$4:C364,出库明细!C364,出库明细!$D$4:D364,出库明细!D364)&gt;1),"",IFERROR(MATCH(出库明细!C364,总览汇总!$B$5:$B$304,0),900)*10000000+IFERROR(MATCH(出库明细!D364,基础资料!$E$5:$E$104,0),900)*10000+ROW()))</f>
      </c>
      <c r="F1364">
        <f>IF(AND(出库明细!C1364&lt;&gt;"",出库明细!C1364=客户对账单!$B$4,ISNUMBER(出库明细!B1364),出库明细!B1364&gt;=客户对账单!$G$4,出库明细!B1364&lt;=客户对账单!$I$4),出库明细!B1364+ROW()/100000,"")</f>
      </c>
      <c r="H1364">
        <f>IF(AND(采购进货!C1364&lt;&gt;"",采购进货!C1364=供应商对账单!$B$4,ISNUMBER(采购进货!B1364),采购进货!B1364&gt;=供应商对账单!$G$4,采购进货!B1364&lt;=供应商对账单!$I$4),采购进货!B1364+ROW()/100000,"")</f>
      </c>
      <c r="N1364">
        <f>IF(AND(ISNUMBER(出库明细!G1364),ISNUMBER(出库明细!E1364),ISNUMBER(出库明细!F1364)),IF(ABS(出库明细!G1364-出库明细!E1364*出库明细!F1364)&gt;0.005,1,0),0)</f>
        <v>0</v>
      </c>
    </row>
    <row r="1365">
      <c r="A1365">
        <f>IF(OR(出库明细!C365="",出库明细!D365=""),"",IF(OR(COUNTIFS(存条明细!$C$4:$C$1003,出库明细!C365,存条明细!$D$4:$D$1003,出库明细!D365)&gt;0,COUNTIFS(出库明细!$C$4:C365,出库明细!C365,出库明细!$D$4:D365,出库明细!D365)&gt;1),"",IFERROR(MATCH(出库明细!C365,总览汇总!$B$5:$B$304,0),900)*10000000+IFERROR(MATCH(出库明细!D365,基础资料!$E$5:$E$104,0),900)*10000+ROW()))</f>
      </c>
      <c r="F1365">
        <f>IF(AND(出库明细!C1365&lt;&gt;"",出库明细!C1365=客户对账单!$B$4,ISNUMBER(出库明细!B1365),出库明细!B1365&gt;=客户对账单!$G$4,出库明细!B1365&lt;=客户对账单!$I$4),出库明细!B1365+ROW()/100000,"")</f>
      </c>
      <c r="H1365">
        <f>IF(AND(采购进货!C1365&lt;&gt;"",采购进货!C1365=供应商对账单!$B$4,ISNUMBER(采购进货!B1365),采购进货!B1365&gt;=供应商对账单!$G$4,采购进货!B1365&lt;=供应商对账单!$I$4),采购进货!B1365+ROW()/100000,"")</f>
      </c>
      <c r="N1365">
        <f>IF(AND(ISNUMBER(出库明细!G1365),ISNUMBER(出库明细!E1365),ISNUMBER(出库明细!F1365)),IF(ABS(出库明细!G1365-出库明细!E1365*出库明细!F1365)&gt;0.005,1,0),0)</f>
        <v>0</v>
      </c>
    </row>
    <row r="1366">
      <c r="A1366">
        <f>IF(OR(出库明细!C366="",出库明细!D366=""),"",IF(OR(COUNTIFS(存条明细!$C$4:$C$1003,出库明细!C366,存条明细!$D$4:$D$1003,出库明细!D366)&gt;0,COUNTIFS(出库明细!$C$4:C366,出库明细!C366,出库明细!$D$4:D366,出库明细!D366)&gt;1),"",IFERROR(MATCH(出库明细!C366,总览汇总!$B$5:$B$304,0),900)*10000000+IFERROR(MATCH(出库明细!D366,基础资料!$E$5:$E$104,0),900)*10000+ROW()))</f>
      </c>
      <c r="F1366">
        <f>IF(AND(出库明细!C1366&lt;&gt;"",出库明细!C1366=客户对账单!$B$4,ISNUMBER(出库明细!B1366),出库明细!B1366&gt;=客户对账单!$G$4,出库明细!B1366&lt;=客户对账单!$I$4),出库明细!B1366+ROW()/100000,"")</f>
      </c>
      <c r="H1366">
        <f>IF(AND(采购进货!C1366&lt;&gt;"",采购进货!C1366=供应商对账单!$B$4,ISNUMBER(采购进货!B1366),采购进货!B1366&gt;=供应商对账单!$G$4,采购进货!B1366&lt;=供应商对账单!$I$4),采购进货!B1366+ROW()/100000,"")</f>
      </c>
      <c r="N1366">
        <f>IF(AND(ISNUMBER(出库明细!G1366),ISNUMBER(出库明细!E1366),ISNUMBER(出库明细!F1366)),IF(ABS(出库明细!G1366-出库明细!E1366*出库明细!F1366)&gt;0.005,1,0),0)</f>
        <v>0</v>
      </c>
    </row>
    <row r="1367">
      <c r="A1367">
        <f>IF(OR(出库明细!C367="",出库明细!D367=""),"",IF(OR(COUNTIFS(存条明细!$C$4:$C$1003,出库明细!C367,存条明细!$D$4:$D$1003,出库明细!D367)&gt;0,COUNTIFS(出库明细!$C$4:C367,出库明细!C367,出库明细!$D$4:D367,出库明细!D367)&gt;1),"",IFERROR(MATCH(出库明细!C367,总览汇总!$B$5:$B$304,0),900)*10000000+IFERROR(MATCH(出库明细!D367,基础资料!$E$5:$E$104,0),900)*10000+ROW()))</f>
      </c>
      <c r="F1367">
        <f>IF(AND(出库明细!C1367&lt;&gt;"",出库明细!C1367=客户对账单!$B$4,ISNUMBER(出库明细!B1367),出库明细!B1367&gt;=客户对账单!$G$4,出库明细!B1367&lt;=客户对账单!$I$4),出库明细!B1367+ROW()/100000,"")</f>
      </c>
      <c r="H1367">
        <f>IF(AND(采购进货!C1367&lt;&gt;"",采购进货!C1367=供应商对账单!$B$4,ISNUMBER(采购进货!B1367),采购进货!B1367&gt;=供应商对账单!$G$4,采购进货!B1367&lt;=供应商对账单!$I$4),采购进货!B1367+ROW()/100000,"")</f>
      </c>
      <c r="N1367">
        <f>IF(AND(ISNUMBER(出库明细!G1367),ISNUMBER(出库明细!E1367),ISNUMBER(出库明细!F1367)),IF(ABS(出库明细!G1367-出库明细!E1367*出库明细!F1367)&gt;0.005,1,0),0)</f>
        <v>0</v>
      </c>
    </row>
    <row r="1368">
      <c r="A1368">
        <f>IF(OR(出库明细!C368="",出库明细!D368=""),"",IF(OR(COUNTIFS(存条明细!$C$4:$C$1003,出库明细!C368,存条明细!$D$4:$D$1003,出库明细!D368)&gt;0,COUNTIFS(出库明细!$C$4:C368,出库明细!C368,出库明细!$D$4:D368,出库明细!D368)&gt;1),"",IFERROR(MATCH(出库明细!C368,总览汇总!$B$5:$B$304,0),900)*10000000+IFERROR(MATCH(出库明细!D368,基础资料!$E$5:$E$104,0),900)*10000+ROW()))</f>
        <v>110061368</v>
      </c>
      <c r="F1368">
        <f>IF(AND(出库明细!C1368&lt;&gt;"",出库明细!C1368=客户对账单!$B$4,ISNUMBER(出库明细!B1368),出库明细!B1368&gt;=客户对账单!$G$4,出库明细!B1368&lt;=客户对账单!$I$4),出库明细!B1368+ROW()/100000,"")</f>
      </c>
      <c r="H1368">
        <f>IF(AND(采购进货!C1368&lt;&gt;"",采购进货!C1368=供应商对账单!$B$4,ISNUMBER(采购进货!B1368),采购进货!B1368&gt;=供应商对账单!$G$4,采购进货!B1368&lt;=供应商对账单!$I$4),采购进货!B1368+ROW()/100000,"")</f>
      </c>
      <c r="N1368">
        <f>IF(AND(ISNUMBER(出库明细!G1368),ISNUMBER(出库明细!E1368),ISNUMBER(出库明细!F1368)),IF(ABS(出库明细!G1368-出库明细!E1368*出库明细!F1368)&gt;0.005,1,0),0)</f>
        <v>0</v>
      </c>
    </row>
    <row r="1369">
      <c r="A1369">
        <f>IF(OR(出库明细!C369="",出库明细!D369=""),"",IF(OR(COUNTIFS(存条明细!$C$4:$C$1003,出库明细!C369,存条明细!$D$4:$D$1003,出库明细!D369)&gt;0,COUNTIFS(出库明细!$C$4:C369,出库明细!C369,出库明细!$D$4:D369,出库明细!D369)&gt;1),"",IFERROR(MATCH(出库明细!C369,总览汇总!$B$5:$B$304,0),900)*10000000+IFERROR(MATCH(出库明细!D369,基础资料!$E$5:$E$104,0),900)*10000+ROW()))</f>
      </c>
      <c r="F1369">
        <f>IF(AND(出库明细!C1369&lt;&gt;"",出库明细!C1369=客户对账单!$B$4,ISNUMBER(出库明细!B1369),出库明细!B1369&gt;=客户对账单!$G$4,出库明细!B1369&lt;=客户对账单!$I$4),出库明细!B1369+ROW()/100000,"")</f>
      </c>
      <c r="H1369">
        <f>IF(AND(采购进货!C1369&lt;&gt;"",采购进货!C1369=供应商对账单!$B$4,ISNUMBER(采购进货!B1369),采购进货!B1369&gt;=供应商对账单!$G$4,采购进货!B1369&lt;=供应商对账单!$I$4),采购进货!B1369+ROW()/100000,"")</f>
      </c>
      <c r="N1369">
        <f>IF(AND(ISNUMBER(出库明细!G1369),ISNUMBER(出库明细!E1369),ISNUMBER(出库明细!F1369)),IF(ABS(出库明细!G1369-出库明细!E1369*出库明细!F1369)&gt;0.005,1,0),0)</f>
        <v>0</v>
      </c>
    </row>
    <row r="1370">
      <c r="A1370">
        <f>IF(OR(出库明细!C370="",出库明细!D370=""),"",IF(OR(COUNTIFS(存条明细!$C$4:$C$1003,出库明细!C370,存条明细!$D$4:$D$1003,出库明细!D370)&gt;0,COUNTIFS(出库明细!$C$4:C370,出库明细!C370,出库明细!$D$4:D370,出库明细!D370)&gt;1),"",IFERROR(MATCH(出库明细!C370,总览汇总!$B$5:$B$304,0),900)*10000000+IFERROR(MATCH(出库明细!D370,基础资料!$E$5:$E$104,0),900)*10000+ROW()))</f>
        <v>110021370</v>
      </c>
      <c r="F1370">
        <f>IF(AND(出库明细!C1370&lt;&gt;"",出库明细!C1370=客户对账单!$B$4,ISNUMBER(出库明细!B1370),出库明细!B1370&gt;=客户对账单!$G$4,出库明细!B1370&lt;=客户对账单!$I$4),出库明细!B1370+ROW()/100000,"")</f>
      </c>
      <c r="H1370">
        <f>IF(AND(采购进货!C1370&lt;&gt;"",采购进货!C1370=供应商对账单!$B$4,ISNUMBER(采购进货!B1370),采购进货!B1370&gt;=供应商对账单!$G$4,采购进货!B1370&lt;=供应商对账单!$I$4),采购进货!B1370+ROW()/100000,"")</f>
      </c>
      <c r="N1370">
        <f>IF(AND(ISNUMBER(出库明细!G1370),ISNUMBER(出库明细!E1370),ISNUMBER(出库明细!F1370)),IF(ABS(出库明细!G1370-出库明细!E1370*出库明细!F1370)&gt;0.005,1,0),0)</f>
        <v>0</v>
      </c>
    </row>
    <row r="1371">
      <c r="A1371">
        <f>IF(OR(出库明细!C371="",出库明细!D371=""),"",IF(OR(COUNTIFS(存条明细!$C$4:$C$1003,出库明细!C371,存条明细!$D$4:$D$1003,出库明细!D371)&gt;0,COUNTIFS(出库明细!$C$4:C371,出库明细!C371,出库明细!$D$4:D371,出库明细!D371)&gt;1),"",IFERROR(MATCH(出库明细!C371,总览汇总!$B$5:$B$304,0),900)*10000000+IFERROR(MATCH(出库明细!D371,基础资料!$E$5:$E$104,0),900)*10000+ROW()))</f>
      </c>
      <c r="F1371">
        <f>IF(AND(出库明细!C1371&lt;&gt;"",出库明细!C1371=客户对账单!$B$4,ISNUMBER(出库明细!B1371),出库明细!B1371&gt;=客户对账单!$G$4,出库明细!B1371&lt;=客户对账单!$I$4),出库明细!B1371+ROW()/100000,"")</f>
      </c>
      <c r="H1371">
        <f>IF(AND(采购进货!C1371&lt;&gt;"",采购进货!C1371=供应商对账单!$B$4,ISNUMBER(采购进货!B1371),采购进货!B1371&gt;=供应商对账单!$G$4,采购进货!B1371&lt;=供应商对账单!$I$4),采购进货!B1371+ROW()/100000,"")</f>
      </c>
      <c r="N1371">
        <f>IF(AND(ISNUMBER(出库明细!G1371),ISNUMBER(出库明细!E1371),ISNUMBER(出库明细!F1371)),IF(ABS(出库明细!G1371-出库明细!E1371*出库明细!F1371)&gt;0.005,1,0),0)</f>
        <v>0</v>
      </c>
    </row>
    <row r="1372">
      <c r="A1372">
        <f>IF(OR(出库明细!C372="",出库明细!D372=""),"",IF(OR(COUNTIFS(存条明细!$C$4:$C$1003,出库明细!C372,存条明细!$D$4:$D$1003,出库明细!D372)&gt;0,COUNTIFS(出库明细!$C$4:C372,出库明细!C372,出库明细!$D$4:D372,出库明细!D372)&gt;1),"",IFERROR(MATCH(出库明细!C372,总览汇总!$B$5:$B$304,0),900)*10000000+IFERROR(MATCH(出库明细!D372,基础资料!$E$5:$E$104,0),900)*10000+ROW()))</f>
      </c>
      <c r="F1372">
        <f>IF(AND(出库明细!C1372&lt;&gt;"",出库明细!C1372=客户对账单!$B$4,ISNUMBER(出库明细!B1372),出库明细!B1372&gt;=客户对账单!$G$4,出库明细!B1372&lt;=客户对账单!$I$4),出库明细!B1372+ROW()/100000,"")</f>
      </c>
      <c r="H1372">
        <f>IF(AND(采购进货!C1372&lt;&gt;"",采购进货!C1372=供应商对账单!$B$4,ISNUMBER(采购进货!B1372),采购进货!B1372&gt;=供应商对账单!$G$4,采购进货!B1372&lt;=供应商对账单!$I$4),采购进货!B1372+ROW()/100000,"")</f>
      </c>
      <c r="N1372">
        <f>IF(AND(ISNUMBER(出库明细!G1372),ISNUMBER(出库明细!E1372),ISNUMBER(出库明细!F1372)),IF(ABS(出库明细!G1372-出库明细!E1372*出库明细!F1372)&gt;0.005,1,0),0)</f>
        <v>0</v>
      </c>
    </row>
    <row r="1373">
      <c r="A1373">
        <f>IF(OR(出库明细!C373="",出库明细!D373=""),"",IF(OR(COUNTIFS(存条明细!$C$4:$C$1003,出库明细!C373,存条明细!$D$4:$D$1003,出库明细!D373)&gt;0,COUNTIFS(出库明细!$C$4:C373,出库明细!C373,出库明细!$D$4:D373,出库明细!D373)&gt;1),"",IFERROR(MATCH(出库明细!C373,总览汇总!$B$5:$B$304,0),900)*10000000+IFERROR(MATCH(出库明细!D373,基础资料!$E$5:$E$104,0),900)*10000+ROW()))</f>
      </c>
      <c r="F1373">
        <f>IF(AND(出库明细!C1373&lt;&gt;"",出库明细!C1373=客户对账单!$B$4,ISNUMBER(出库明细!B1373),出库明细!B1373&gt;=客户对账单!$G$4,出库明细!B1373&lt;=客户对账单!$I$4),出库明细!B1373+ROW()/100000,"")</f>
      </c>
      <c r="H1373">
        <f>IF(AND(采购进货!C1373&lt;&gt;"",采购进货!C1373=供应商对账单!$B$4,ISNUMBER(采购进货!B1373),采购进货!B1373&gt;=供应商对账单!$G$4,采购进货!B1373&lt;=供应商对账单!$I$4),采购进货!B1373+ROW()/100000,"")</f>
      </c>
      <c r="N1373">
        <f>IF(AND(ISNUMBER(出库明细!G1373),ISNUMBER(出库明细!E1373),ISNUMBER(出库明细!F1373)),IF(ABS(出库明细!G1373-出库明细!E1373*出库明细!F1373)&gt;0.005,1,0),0)</f>
        <v>0</v>
      </c>
    </row>
    <row r="1374">
      <c r="A1374">
        <f>IF(OR(出库明细!C374="",出库明细!D374=""),"",IF(OR(COUNTIFS(存条明细!$C$4:$C$1003,出库明细!C374,存条明细!$D$4:$D$1003,出库明细!D374)&gt;0,COUNTIFS(出库明细!$C$4:C374,出库明细!C374,出库明细!$D$4:D374,出库明细!D374)&gt;1),"",IFERROR(MATCH(出库明细!C374,总览汇总!$B$5:$B$304,0),900)*10000000+IFERROR(MATCH(出库明细!D374,基础资料!$E$5:$E$104,0),900)*10000+ROW()))</f>
      </c>
      <c r="F1374">
        <f>IF(AND(出库明细!C1374&lt;&gt;"",出库明细!C1374=客户对账单!$B$4,ISNUMBER(出库明细!B1374),出库明细!B1374&gt;=客户对账单!$G$4,出库明细!B1374&lt;=客户对账单!$I$4),出库明细!B1374+ROW()/100000,"")</f>
      </c>
      <c r="H1374">
        <f>IF(AND(采购进货!C1374&lt;&gt;"",采购进货!C1374=供应商对账单!$B$4,ISNUMBER(采购进货!B1374),采购进货!B1374&gt;=供应商对账单!$G$4,采购进货!B1374&lt;=供应商对账单!$I$4),采购进货!B1374+ROW()/100000,"")</f>
      </c>
      <c r="N1374">
        <f>IF(AND(ISNUMBER(出库明细!G1374),ISNUMBER(出库明细!E1374),ISNUMBER(出库明细!F1374)),IF(ABS(出库明细!G1374-出库明细!E1374*出库明细!F1374)&gt;0.005,1,0),0)</f>
        <v>0</v>
      </c>
    </row>
    <row r="1375">
      <c r="A1375">
        <f>IF(OR(出库明细!C375="",出库明细!D375=""),"",IF(OR(COUNTIFS(存条明细!$C$4:$C$1003,出库明细!C375,存条明细!$D$4:$D$1003,出库明细!D375)&gt;0,COUNTIFS(出库明细!$C$4:C375,出库明细!C375,出库明细!$D$4:D375,出库明细!D375)&gt;1),"",IFERROR(MATCH(出库明细!C375,总览汇总!$B$5:$B$304,0),900)*10000000+IFERROR(MATCH(出库明细!D375,基础资料!$E$5:$E$104,0),900)*10000+ROW()))</f>
      </c>
      <c r="F1375">
        <f>IF(AND(出库明细!C1375&lt;&gt;"",出库明细!C1375=客户对账单!$B$4,ISNUMBER(出库明细!B1375),出库明细!B1375&gt;=客户对账单!$G$4,出库明细!B1375&lt;=客户对账单!$I$4),出库明细!B1375+ROW()/100000,"")</f>
      </c>
      <c r="H1375">
        <f>IF(AND(采购进货!C1375&lt;&gt;"",采购进货!C1375=供应商对账单!$B$4,ISNUMBER(采购进货!B1375),采购进货!B1375&gt;=供应商对账单!$G$4,采购进货!B1375&lt;=供应商对账单!$I$4),采购进货!B1375+ROW()/100000,"")</f>
      </c>
      <c r="N1375">
        <f>IF(AND(ISNUMBER(出库明细!G1375),ISNUMBER(出库明细!E1375),ISNUMBER(出库明细!F1375)),IF(ABS(出库明细!G1375-出库明细!E1375*出库明细!F1375)&gt;0.005,1,0),0)</f>
        <v>0</v>
      </c>
    </row>
    <row r="1376">
      <c r="A1376">
        <f>IF(OR(出库明细!C376="",出库明细!D376=""),"",IF(OR(COUNTIFS(存条明细!$C$4:$C$1003,出库明细!C376,存条明细!$D$4:$D$1003,出库明细!D376)&gt;0,COUNTIFS(出库明细!$C$4:C376,出库明细!C376,出库明细!$D$4:D376,出库明细!D376)&gt;1),"",IFERROR(MATCH(出库明细!C376,总览汇总!$B$5:$B$304,0),900)*10000000+IFERROR(MATCH(出库明细!D376,基础资料!$E$5:$E$104,0),900)*10000+ROW()))</f>
      </c>
      <c r="F1376">
        <f>IF(AND(出库明细!C1376&lt;&gt;"",出库明细!C1376=客户对账单!$B$4,ISNUMBER(出库明细!B1376),出库明细!B1376&gt;=客户对账单!$G$4,出库明细!B1376&lt;=客户对账单!$I$4),出库明细!B1376+ROW()/100000,"")</f>
      </c>
      <c r="H1376">
        <f>IF(AND(采购进货!C1376&lt;&gt;"",采购进货!C1376=供应商对账单!$B$4,ISNUMBER(采购进货!B1376),采购进货!B1376&gt;=供应商对账单!$G$4,采购进货!B1376&lt;=供应商对账单!$I$4),采购进货!B1376+ROW()/100000,"")</f>
      </c>
      <c r="N1376">
        <f>IF(AND(ISNUMBER(出库明细!G1376),ISNUMBER(出库明细!E1376),ISNUMBER(出库明细!F1376)),IF(ABS(出库明细!G1376-出库明细!E1376*出库明细!F1376)&gt;0.005,1,0),0)</f>
        <v>0</v>
      </c>
    </row>
    <row r="1377">
      <c r="A1377">
        <f>IF(OR(出库明细!C377="",出库明细!D377=""),"",IF(OR(COUNTIFS(存条明细!$C$4:$C$1003,出库明细!C377,存条明细!$D$4:$D$1003,出库明细!D377)&gt;0,COUNTIFS(出库明细!$C$4:C377,出库明细!C377,出库明细!$D$4:D377,出库明细!D377)&gt;1),"",IFERROR(MATCH(出库明细!C377,总览汇总!$B$5:$B$304,0),900)*10000000+IFERROR(MATCH(出库明细!D377,基础资料!$E$5:$E$104,0),900)*10000+ROW()))</f>
      </c>
      <c r="F1377">
        <f>IF(AND(出库明细!C1377&lt;&gt;"",出库明细!C1377=客户对账单!$B$4,ISNUMBER(出库明细!B1377),出库明细!B1377&gt;=客户对账单!$G$4,出库明细!B1377&lt;=客户对账单!$I$4),出库明细!B1377+ROW()/100000,"")</f>
      </c>
      <c r="H1377">
        <f>IF(AND(采购进货!C1377&lt;&gt;"",采购进货!C1377=供应商对账单!$B$4,ISNUMBER(采购进货!B1377),采购进货!B1377&gt;=供应商对账单!$G$4,采购进货!B1377&lt;=供应商对账单!$I$4),采购进货!B1377+ROW()/100000,"")</f>
      </c>
      <c r="N1377">
        <f>IF(AND(ISNUMBER(出库明细!G1377),ISNUMBER(出库明细!E1377),ISNUMBER(出库明细!F1377)),IF(ABS(出库明细!G1377-出库明细!E1377*出库明细!F1377)&gt;0.005,1,0),0)</f>
        <v>0</v>
      </c>
    </row>
    <row r="1378">
      <c r="A1378">
        <f>IF(OR(出库明细!C378="",出库明细!D378=""),"",IF(OR(COUNTIFS(存条明细!$C$4:$C$1003,出库明细!C378,存条明细!$D$4:$D$1003,出库明细!D378)&gt;0,COUNTIFS(出库明细!$C$4:C378,出库明细!C378,出库明细!$D$4:D378,出库明细!D378)&gt;1),"",IFERROR(MATCH(出库明细!C378,总览汇总!$B$5:$B$304,0),900)*10000000+IFERROR(MATCH(出库明细!D378,基础资料!$E$5:$E$104,0),900)*10000+ROW()))</f>
      </c>
      <c r="F1378">
        <f>IF(AND(出库明细!C1378&lt;&gt;"",出库明细!C1378=客户对账单!$B$4,ISNUMBER(出库明细!B1378),出库明细!B1378&gt;=客户对账单!$G$4,出库明细!B1378&lt;=客户对账单!$I$4),出库明细!B1378+ROW()/100000,"")</f>
      </c>
      <c r="H1378">
        <f>IF(AND(采购进货!C1378&lt;&gt;"",采购进货!C1378=供应商对账单!$B$4,ISNUMBER(采购进货!B1378),采购进货!B1378&gt;=供应商对账单!$G$4,采购进货!B1378&lt;=供应商对账单!$I$4),采购进货!B1378+ROW()/100000,"")</f>
      </c>
      <c r="N1378">
        <f>IF(AND(ISNUMBER(出库明细!G1378),ISNUMBER(出库明细!E1378),ISNUMBER(出库明细!F1378)),IF(ABS(出库明细!G1378-出库明细!E1378*出库明细!F1378)&gt;0.005,1,0),0)</f>
        <v>0</v>
      </c>
    </row>
    <row r="1379">
      <c r="A1379">
        <f>IF(OR(出库明细!C379="",出库明细!D379=""),"",IF(OR(COUNTIFS(存条明细!$C$4:$C$1003,出库明细!C379,存条明细!$D$4:$D$1003,出库明细!D379)&gt;0,COUNTIFS(出库明细!$C$4:C379,出库明细!C379,出库明细!$D$4:D379,出库明细!D379)&gt;1),"",IFERROR(MATCH(出库明细!C379,总览汇总!$B$5:$B$304,0),900)*10000000+IFERROR(MATCH(出库明细!D379,基础资料!$E$5:$E$104,0),900)*10000+ROW()))</f>
      </c>
      <c r="F1379">
        <f>IF(AND(出库明细!C1379&lt;&gt;"",出库明细!C1379=客户对账单!$B$4,ISNUMBER(出库明细!B1379),出库明细!B1379&gt;=客户对账单!$G$4,出库明细!B1379&lt;=客户对账单!$I$4),出库明细!B1379+ROW()/100000,"")</f>
      </c>
      <c r="H1379">
        <f>IF(AND(采购进货!C1379&lt;&gt;"",采购进货!C1379=供应商对账单!$B$4,ISNUMBER(采购进货!B1379),采购进货!B1379&gt;=供应商对账单!$G$4,采购进货!B1379&lt;=供应商对账单!$I$4),采购进货!B1379+ROW()/100000,"")</f>
      </c>
      <c r="N1379">
        <f>IF(AND(ISNUMBER(出库明细!G1379),ISNUMBER(出库明细!E1379),ISNUMBER(出库明细!F1379)),IF(ABS(出库明细!G1379-出库明细!E1379*出库明细!F1379)&gt;0.005,1,0),0)</f>
        <v>0</v>
      </c>
    </row>
    <row r="1380">
      <c r="A1380">
        <f>IF(OR(出库明细!C380="",出库明细!D380=""),"",IF(OR(COUNTIFS(存条明细!$C$4:$C$1003,出库明细!C380,存条明细!$D$4:$D$1003,出库明细!D380)&gt;0,COUNTIFS(出库明细!$C$4:C380,出库明细!C380,出库明细!$D$4:D380,出库明细!D380)&gt;1),"",IFERROR(MATCH(出库明细!C380,总览汇总!$B$5:$B$304,0),900)*10000000+IFERROR(MATCH(出库明细!D380,基础资料!$E$5:$E$104,0),900)*10000+ROW()))</f>
      </c>
      <c r="F1380">
        <f>IF(AND(出库明细!C1380&lt;&gt;"",出库明细!C1380=客户对账单!$B$4,ISNUMBER(出库明细!B1380),出库明细!B1380&gt;=客户对账单!$G$4,出库明细!B1380&lt;=客户对账单!$I$4),出库明细!B1380+ROW()/100000,"")</f>
      </c>
      <c r="H1380">
        <f>IF(AND(采购进货!C1380&lt;&gt;"",采购进货!C1380=供应商对账单!$B$4,ISNUMBER(采购进货!B1380),采购进货!B1380&gt;=供应商对账单!$G$4,采购进货!B1380&lt;=供应商对账单!$I$4),采购进货!B1380+ROW()/100000,"")</f>
      </c>
      <c r="N1380">
        <f>IF(AND(ISNUMBER(出库明细!G1380),ISNUMBER(出库明细!E1380),ISNUMBER(出库明细!F1380)),IF(ABS(出库明细!G1380-出库明细!E1380*出库明细!F1380)&gt;0.005,1,0),0)</f>
        <v>0</v>
      </c>
    </row>
    <row r="1381">
      <c r="A1381">
        <f>IF(OR(出库明细!C381="",出库明细!D381=""),"",IF(OR(COUNTIFS(存条明细!$C$4:$C$1003,出库明细!C381,存条明细!$D$4:$D$1003,出库明细!D381)&gt;0,COUNTIFS(出库明细!$C$4:C381,出库明细!C381,出库明细!$D$4:D381,出库明细!D381)&gt;1),"",IFERROR(MATCH(出库明细!C381,总览汇总!$B$5:$B$304,0),900)*10000000+IFERROR(MATCH(出库明细!D381,基础资料!$E$5:$E$104,0),900)*10000+ROW()))</f>
      </c>
      <c r="F1381">
        <f>IF(AND(出库明细!C1381&lt;&gt;"",出库明细!C1381=客户对账单!$B$4,ISNUMBER(出库明细!B1381),出库明细!B1381&gt;=客户对账单!$G$4,出库明细!B1381&lt;=客户对账单!$I$4),出库明细!B1381+ROW()/100000,"")</f>
      </c>
      <c r="H1381">
        <f>IF(AND(采购进货!C1381&lt;&gt;"",采购进货!C1381=供应商对账单!$B$4,ISNUMBER(采购进货!B1381),采购进货!B1381&gt;=供应商对账单!$G$4,采购进货!B1381&lt;=供应商对账单!$I$4),采购进货!B1381+ROW()/100000,"")</f>
      </c>
      <c r="N1381">
        <f>IF(AND(ISNUMBER(出库明细!G1381),ISNUMBER(出库明细!E1381),ISNUMBER(出库明细!F1381)),IF(ABS(出库明细!G1381-出库明细!E1381*出库明细!F1381)&gt;0.005,1,0),0)</f>
        <v>0</v>
      </c>
    </row>
    <row r="1382">
      <c r="A1382">
        <f>IF(OR(出库明细!C382="",出库明细!D382=""),"",IF(OR(COUNTIFS(存条明细!$C$4:$C$1003,出库明细!C382,存条明细!$D$4:$D$1003,出库明细!D382)&gt;0,COUNTIFS(出库明细!$C$4:C382,出库明细!C382,出库明细!$D$4:D382,出库明细!D382)&gt;1),"",IFERROR(MATCH(出库明细!C382,总览汇总!$B$5:$B$304,0),900)*10000000+IFERROR(MATCH(出库明细!D382,基础资料!$E$5:$E$104,0),900)*10000+ROW()))</f>
      </c>
      <c r="F1382">
        <f>IF(AND(出库明细!C1382&lt;&gt;"",出库明细!C1382=客户对账单!$B$4,ISNUMBER(出库明细!B1382),出库明细!B1382&gt;=客户对账单!$G$4,出库明细!B1382&lt;=客户对账单!$I$4),出库明细!B1382+ROW()/100000,"")</f>
      </c>
      <c r="H1382">
        <f>IF(AND(采购进货!C1382&lt;&gt;"",采购进货!C1382=供应商对账单!$B$4,ISNUMBER(采购进货!B1382),采购进货!B1382&gt;=供应商对账单!$G$4,采购进货!B1382&lt;=供应商对账单!$I$4),采购进货!B1382+ROW()/100000,"")</f>
      </c>
      <c r="N1382">
        <f>IF(AND(ISNUMBER(出库明细!G1382),ISNUMBER(出库明细!E1382),ISNUMBER(出库明细!F1382)),IF(ABS(出库明细!G1382-出库明细!E1382*出库明细!F1382)&gt;0.005,1,0),0)</f>
        <v>0</v>
      </c>
    </row>
    <row r="1383">
      <c r="A1383">
        <f>IF(OR(出库明细!C383="",出库明细!D383=""),"",IF(OR(COUNTIFS(存条明细!$C$4:$C$1003,出库明细!C383,存条明细!$D$4:$D$1003,出库明细!D383)&gt;0,COUNTIFS(出库明细!$C$4:C383,出库明细!C383,出库明细!$D$4:D383,出库明细!D383)&gt;1),"",IFERROR(MATCH(出库明细!C383,总览汇总!$B$5:$B$304,0),900)*10000000+IFERROR(MATCH(出库明细!D383,基础资料!$E$5:$E$104,0),900)*10000+ROW()))</f>
      </c>
      <c r="F1383">
        <f>IF(AND(出库明细!C1383&lt;&gt;"",出库明细!C1383=客户对账单!$B$4,ISNUMBER(出库明细!B1383),出库明细!B1383&gt;=客户对账单!$G$4,出库明细!B1383&lt;=客户对账单!$I$4),出库明细!B1383+ROW()/100000,"")</f>
      </c>
      <c r="H1383">
        <f>IF(AND(采购进货!C1383&lt;&gt;"",采购进货!C1383=供应商对账单!$B$4,ISNUMBER(采购进货!B1383),采购进货!B1383&gt;=供应商对账单!$G$4,采购进货!B1383&lt;=供应商对账单!$I$4),采购进货!B1383+ROW()/100000,"")</f>
      </c>
      <c r="N1383">
        <f>IF(AND(ISNUMBER(出库明细!G1383),ISNUMBER(出库明细!E1383),ISNUMBER(出库明细!F1383)),IF(ABS(出库明细!G1383-出库明细!E1383*出库明细!F1383)&gt;0.005,1,0),0)</f>
        <v>0</v>
      </c>
    </row>
    <row r="1384">
      <c r="A1384">
        <f>IF(OR(出库明细!C384="",出库明细!D384=""),"",IF(OR(COUNTIFS(存条明细!$C$4:$C$1003,出库明细!C384,存条明细!$D$4:$D$1003,出库明细!D384)&gt;0,COUNTIFS(出库明细!$C$4:C384,出库明细!C384,出库明细!$D$4:D384,出库明细!D384)&gt;1),"",IFERROR(MATCH(出库明细!C384,总览汇总!$B$5:$B$304,0),900)*10000000+IFERROR(MATCH(出库明细!D384,基础资料!$E$5:$E$104,0),900)*10000+ROW()))</f>
      </c>
      <c r="F1384">
        <f>IF(AND(出库明细!C1384&lt;&gt;"",出库明细!C1384=客户对账单!$B$4,ISNUMBER(出库明细!B1384),出库明细!B1384&gt;=客户对账单!$G$4,出库明细!B1384&lt;=客户对账单!$I$4),出库明细!B1384+ROW()/100000,"")</f>
      </c>
      <c r="H1384">
        <f>IF(AND(采购进货!C1384&lt;&gt;"",采购进货!C1384=供应商对账单!$B$4,ISNUMBER(采购进货!B1384),采购进货!B1384&gt;=供应商对账单!$G$4,采购进货!B1384&lt;=供应商对账单!$I$4),采购进货!B1384+ROW()/100000,"")</f>
      </c>
      <c r="N1384">
        <f>IF(AND(ISNUMBER(出库明细!G1384),ISNUMBER(出库明细!E1384),ISNUMBER(出库明细!F1384)),IF(ABS(出库明细!G1384-出库明细!E1384*出库明细!F1384)&gt;0.005,1,0),0)</f>
        <v>0</v>
      </c>
    </row>
    <row r="1385">
      <c r="A1385">
        <f>IF(OR(出库明细!C385="",出库明细!D385=""),"",IF(OR(COUNTIFS(存条明细!$C$4:$C$1003,出库明细!C385,存条明细!$D$4:$D$1003,出库明细!D385)&gt;0,COUNTIFS(出库明细!$C$4:C385,出库明细!C385,出库明细!$D$4:D385,出库明细!D385)&gt;1),"",IFERROR(MATCH(出库明细!C385,总览汇总!$B$5:$B$304,0),900)*10000000+IFERROR(MATCH(出库明细!D385,基础资料!$E$5:$E$104,0),900)*10000+ROW()))</f>
      </c>
      <c r="F1385">
        <f>IF(AND(出库明细!C1385&lt;&gt;"",出库明细!C1385=客户对账单!$B$4,ISNUMBER(出库明细!B1385),出库明细!B1385&gt;=客户对账单!$G$4,出库明细!B1385&lt;=客户对账单!$I$4),出库明细!B1385+ROW()/100000,"")</f>
      </c>
      <c r="H1385">
        <f>IF(AND(采购进货!C1385&lt;&gt;"",采购进货!C1385=供应商对账单!$B$4,ISNUMBER(采购进货!B1385),采购进货!B1385&gt;=供应商对账单!$G$4,采购进货!B1385&lt;=供应商对账单!$I$4),采购进货!B1385+ROW()/100000,"")</f>
      </c>
      <c r="N1385">
        <f>IF(AND(ISNUMBER(出库明细!G1385),ISNUMBER(出库明细!E1385),ISNUMBER(出库明细!F1385)),IF(ABS(出库明细!G1385-出库明细!E1385*出库明细!F1385)&gt;0.005,1,0),0)</f>
        <v>0</v>
      </c>
    </row>
    <row r="1386">
      <c r="A1386">
        <f>IF(OR(出库明细!C386="",出库明细!D386=""),"",IF(OR(COUNTIFS(存条明细!$C$4:$C$1003,出库明细!C386,存条明细!$D$4:$D$1003,出库明细!D386)&gt;0,COUNTIFS(出库明细!$C$4:C386,出库明细!C386,出库明细!$D$4:D386,出库明细!D386)&gt;1),"",IFERROR(MATCH(出库明细!C386,总览汇总!$B$5:$B$304,0),900)*10000000+IFERROR(MATCH(出库明细!D386,基础资料!$E$5:$E$104,0),900)*10000+ROW()))</f>
      </c>
      <c r="F1386">
        <f>IF(AND(出库明细!C1386&lt;&gt;"",出库明细!C1386=客户对账单!$B$4,ISNUMBER(出库明细!B1386),出库明细!B1386&gt;=客户对账单!$G$4,出库明细!B1386&lt;=客户对账单!$I$4),出库明细!B1386+ROW()/100000,"")</f>
      </c>
      <c r="H1386">
        <f>IF(AND(采购进货!C1386&lt;&gt;"",采购进货!C1386=供应商对账单!$B$4,ISNUMBER(采购进货!B1386),采购进货!B1386&gt;=供应商对账单!$G$4,采购进货!B1386&lt;=供应商对账单!$I$4),采购进货!B1386+ROW()/100000,"")</f>
      </c>
      <c r="N1386">
        <f>IF(AND(ISNUMBER(出库明细!G1386),ISNUMBER(出库明细!E1386),ISNUMBER(出库明细!F1386)),IF(ABS(出库明细!G1386-出库明细!E1386*出库明细!F1386)&gt;0.005,1,0),0)</f>
        <v>0</v>
      </c>
    </row>
    <row r="1387">
      <c r="A1387">
        <f>IF(OR(出库明细!C387="",出库明细!D387=""),"",IF(OR(COUNTIFS(存条明细!$C$4:$C$1003,出库明细!C387,存条明细!$D$4:$D$1003,出库明细!D387)&gt;0,COUNTIFS(出库明细!$C$4:C387,出库明细!C387,出库明细!$D$4:D387,出库明细!D387)&gt;1),"",IFERROR(MATCH(出库明细!C387,总览汇总!$B$5:$B$304,0),900)*10000000+IFERROR(MATCH(出库明细!D387,基础资料!$E$5:$E$104,0),900)*10000+ROW()))</f>
      </c>
      <c r="F1387">
        <f>IF(AND(出库明细!C1387&lt;&gt;"",出库明细!C1387=客户对账单!$B$4,ISNUMBER(出库明细!B1387),出库明细!B1387&gt;=客户对账单!$G$4,出库明细!B1387&lt;=客户对账单!$I$4),出库明细!B1387+ROW()/100000,"")</f>
      </c>
      <c r="H1387">
        <f>IF(AND(采购进货!C1387&lt;&gt;"",采购进货!C1387=供应商对账单!$B$4,ISNUMBER(采购进货!B1387),采购进货!B1387&gt;=供应商对账单!$G$4,采购进货!B1387&lt;=供应商对账单!$I$4),采购进货!B1387+ROW()/100000,"")</f>
      </c>
      <c r="N1387">
        <f>IF(AND(ISNUMBER(出库明细!G1387),ISNUMBER(出库明细!E1387),ISNUMBER(出库明细!F1387)),IF(ABS(出库明细!G1387-出库明细!E1387*出库明细!F1387)&gt;0.005,1,0),0)</f>
        <v>0</v>
      </c>
    </row>
    <row r="1388">
      <c r="A1388">
        <f>IF(OR(出库明细!C388="",出库明细!D388=""),"",IF(OR(COUNTIFS(存条明细!$C$4:$C$1003,出库明细!C388,存条明细!$D$4:$D$1003,出库明细!D388)&gt;0,COUNTIFS(出库明细!$C$4:C388,出库明细!C388,出库明细!$D$4:D388,出库明细!D388)&gt;1),"",IFERROR(MATCH(出库明细!C388,总览汇总!$B$5:$B$304,0),900)*10000000+IFERROR(MATCH(出库明细!D388,基础资料!$E$5:$E$104,0),900)*10000+ROW()))</f>
      </c>
      <c r="F1388">
        <f>IF(AND(出库明细!C1388&lt;&gt;"",出库明细!C1388=客户对账单!$B$4,ISNUMBER(出库明细!B1388),出库明细!B1388&gt;=客户对账单!$G$4,出库明细!B1388&lt;=客户对账单!$I$4),出库明细!B1388+ROW()/100000,"")</f>
      </c>
      <c r="H1388">
        <f>IF(AND(采购进货!C1388&lt;&gt;"",采购进货!C1388=供应商对账单!$B$4,ISNUMBER(采购进货!B1388),采购进货!B1388&gt;=供应商对账单!$G$4,采购进货!B1388&lt;=供应商对账单!$I$4),采购进货!B1388+ROW()/100000,"")</f>
      </c>
      <c r="N1388">
        <f>IF(AND(ISNUMBER(出库明细!G1388),ISNUMBER(出库明细!E1388),ISNUMBER(出库明细!F1388)),IF(ABS(出库明细!G1388-出库明细!E1388*出库明细!F1388)&gt;0.005,1,0),0)</f>
        <v>0</v>
      </c>
    </row>
    <row r="1389">
      <c r="A1389">
        <f>IF(OR(出库明细!C389="",出库明细!D389=""),"",IF(OR(COUNTIFS(存条明细!$C$4:$C$1003,出库明细!C389,存条明细!$D$4:$D$1003,出库明细!D389)&gt;0,COUNTIFS(出库明细!$C$4:C389,出库明细!C389,出库明细!$D$4:D389,出库明细!D389)&gt;1),"",IFERROR(MATCH(出库明细!C389,总览汇总!$B$5:$B$304,0),900)*10000000+IFERROR(MATCH(出库明细!D389,基础资料!$E$5:$E$104,0),900)*10000+ROW()))</f>
        <v>350061389</v>
      </c>
      <c r="F1389">
        <f>IF(AND(出库明细!C1389&lt;&gt;"",出库明细!C1389=客户对账单!$B$4,ISNUMBER(出库明细!B1389),出库明细!B1389&gt;=客户对账单!$G$4,出库明细!B1389&lt;=客户对账单!$I$4),出库明细!B1389+ROW()/100000,"")</f>
      </c>
      <c r="H1389">
        <f>IF(AND(采购进货!C1389&lt;&gt;"",采购进货!C1389=供应商对账单!$B$4,ISNUMBER(采购进货!B1389),采购进货!B1389&gt;=供应商对账单!$G$4,采购进货!B1389&lt;=供应商对账单!$I$4),采购进货!B1389+ROW()/100000,"")</f>
      </c>
      <c r="N1389">
        <f>IF(AND(ISNUMBER(出库明细!G1389),ISNUMBER(出库明细!E1389),ISNUMBER(出库明细!F1389)),IF(ABS(出库明细!G1389-出库明细!E1389*出库明细!F1389)&gt;0.005,1,0),0)</f>
        <v>0</v>
      </c>
    </row>
    <row r="1390">
      <c r="A1390">
        <f>IF(OR(出库明细!C390="",出库明细!D390=""),"",IF(OR(COUNTIFS(存条明细!$C$4:$C$1003,出库明细!C390,存条明细!$D$4:$D$1003,出库明细!D390)&gt;0,COUNTIFS(出库明细!$C$4:C390,出库明细!C390,出库明细!$D$4:D390,出库明细!D390)&gt;1),"",IFERROR(MATCH(出库明细!C390,总览汇总!$B$5:$B$304,0),900)*10000000+IFERROR(MATCH(出库明细!D390,基础资料!$E$5:$E$104,0),900)*10000+ROW()))</f>
      </c>
      <c r="F1390">
        <f>IF(AND(出库明细!C1390&lt;&gt;"",出库明细!C1390=客户对账单!$B$4,ISNUMBER(出库明细!B1390),出库明细!B1390&gt;=客户对账单!$G$4,出库明细!B1390&lt;=客户对账单!$I$4),出库明细!B1390+ROW()/100000,"")</f>
      </c>
      <c r="H1390">
        <f>IF(AND(采购进货!C1390&lt;&gt;"",采购进货!C1390=供应商对账单!$B$4,ISNUMBER(采购进货!B1390),采购进货!B1390&gt;=供应商对账单!$G$4,采购进货!B1390&lt;=供应商对账单!$I$4),采购进货!B1390+ROW()/100000,"")</f>
      </c>
      <c r="N1390">
        <f>IF(AND(ISNUMBER(出库明细!G1390),ISNUMBER(出库明细!E1390),ISNUMBER(出库明细!F1390)),IF(ABS(出库明细!G1390-出库明细!E1390*出库明细!F1390)&gt;0.005,1,0),0)</f>
        <v>0</v>
      </c>
    </row>
    <row r="1391">
      <c r="A1391">
        <f>IF(OR(出库明细!C391="",出库明细!D391=""),"",IF(OR(COUNTIFS(存条明细!$C$4:$C$1003,出库明细!C391,存条明细!$D$4:$D$1003,出库明细!D391)&gt;0,COUNTIFS(出库明细!$C$4:C391,出库明细!C391,出库明细!$D$4:D391,出库明细!D391)&gt;1),"",IFERROR(MATCH(出库明细!C391,总览汇总!$B$5:$B$304,0),900)*10000000+IFERROR(MATCH(出库明细!D391,基础资料!$E$5:$E$104,0),900)*10000+ROW()))</f>
      </c>
      <c r="F1391">
        <f>IF(AND(出库明细!C1391&lt;&gt;"",出库明细!C1391=客户对账单!$B$4,ISNUMBER(出库明细!B1391),出库明细!B1391&gt;=客户对账单!$G$4,出库明细!B1391&lt;=客户对账单!$I$4),出库明细!B1391+ROW()/100000,"")</f>
      </c>
      <c r="H1391">
        <f>IF(AND(采购进货!C1391&lt;&gt;"",采购进货!C1391=供应商对账单!$B$4,ISNUMBER(采购进货!B1391),采购进货!B1391&gt;=供应商对账单!$G$4,采购进货!B1391&lt;=供应商对账单!$I$4),采购进货!B1391+ROW()/100000,"")</f>
      </c>
      <c r="N1391">
        <f>IF(AND(ISNUMBER(出库明细!G1391),ISNUMBER(出库明细!E1391),ISNUMBER(出库明细!F1391)),IF(ABS(出库明细!G1391-出库明细!E1391*出库明细!F1391)&gt;0.005,1,0),0)</f>
        <v>0</v>
      </c>
    </row>
    <row r="1392">
      <c r="A1392">
        <f>IF(OR(出库明细!C392="",出库明细!D392=""),"",IF(OR(COUNTIFS(存条明细!$C$4:$C$1003,出库明细!C392,存条明细!$D$4:$D$1003,出库明细!D392)&gt;0,COUNTIFS(出库明细!$C$4:C392,出库明细!C392,出库明细!$D$4:D392,出库明细!D392)&gt;1),"",IFERROR(MATCH(出库明细!C392,总览汇总!$B$5:$B$304,0),900)*10000000+IFERROR(MATCH(出库明细!D392,基础资料!$E$5:$E$104,0),900)*10000+ROW()))</f>
      </c>
      <c r="F1392">
        <f>IF(AND(出库明细!C1392&lt;&gt;"",出库明细!C1392=客户对账单!$B$4,ISNUMBER(出库明细!B1392),出库明细!B1392&gt;=客户对账单!$G$4,出库明细!B1392&lt;=客户对账单!$I$4),出库明细!B1392+ROW()/100000,"")</f>
      </c>
      <c r="H1392">
        <f>IF(AND(采购进货!C1392&lt;&gt;"",采购进货!C1392=供应商对账单!$B$4,ISNUMBER(采购进货!B1392),采购进货!B1392&gt;=供应商对账单!$G$4,采购进货!B1392&lt;=供应商对账单!$I$4),采购进货!B1392+ROW()/100000,"")</f>
      </c>
      <c r="N1392">
        <f>IF(AND(ISNUMBER(出库明细!G1392),ISNUMBER(出库明细!E1392),ISNUMBER(出库明细!F1392)),IF(ABS(出库明细!G1392-出库明细!E1392*出库明细!F1392)&gt;0.005,1,0),0)</f>
        <v>0</v>
      </c>
    </row>
    <row r="1393">
      <c r="A1393">
        <f>IF(OR(出库明细!C393="",出库明细!D393=""),"",IF(OR(COUNTIFS(存条明细!$C$4:$C$1003,出库明细!C393,存条明细!$D$4:$D$1003,出库明细!D393)&gt;0,COUNTIFS(出库明细!$C$4:C393,出库明细!C393,出库明细!$D$4:D393,出库明细!D393)&gt;1),"",IFERROR(MATCH(出库明细!C393,总览汇总!$B$5:$B$304,0),900)*10000000+IFERROR(MATCH(出库明细!D393,基础资料!$E$5:$E$104,0),900)*10000+ROW()))</f>
      </c>
      <c r="F1393">
        <f>IF(AND(出库明细!C1393&lt;&gt;"",出库明细!C1393=客户对账单!$B$4,ISNUMBER(出库明细!B1393),出库明细!B1393&gt;=客户对账单!$G$4,出库明细!B1393&lt;=客户对账单!$I$4),出库明细!B1393+ROW()/100000,"")</f>
      </c>
      <c r="H1393">
        <f>IF(AND(采购进货!C1393&lt;&gt;"",采购进货!C1393=供应商对账单!$B$4,ISNUMBER(采购进货!B1393),采购进货!B1393&gt;=供应商对账单!$G$4,采购进货!B1393&lt;=供应商对账单!$I$4),采购进货!B1393+ROW()/100000,"")</f>
      </c>
      <c r="N1393">
        <f>IF(AND(ISNUMBER(出库明细!G1393),ISNUMBER(出库明细!E1393),ISNUMBER(出库明细!F1393)),IF(ABS(出库明细!G1393-出库明细!E1393*出库明细!F1393)&gt;0.005,1,0),0)</f>
        <v>0</v>
      </c>
    </row>
    <row r="1394">
      <c r="A1394">
        <f>IF(OR(出库明细!C394="",出库明细!D394=""),"",IF(OR(COUNTIFS(存条明细!$C$4:$C$1003,出库明细!C394,存条明细!$D$4:$D$1003,出库明细!D394)&gt;0,COUNTIFS(出库明细!$C$4:C394,出库明细!C394,出库明细!$D$4:D394,出库明细!D394)&gt;1),"",IFERROR(MATCH(出库明细!C394,总览汇总!$B$5:$B$304,0),900)*10000000+IFERROR(MATCH(出库明细!D394,基础资料!$E$5:$E$104,0),900)*10000+ROW()))</f>
      </c>
      <c r="F1394">
        <f>IF(AND(出库明细!C1394&lt;&gt;"",出库明细!C1394=客户对账单!$B$4,ISNUMBER(出库明细!B1394),出库明细!B1394&gt;=客户对账单!$G$4,出库明细!B1394&lt;=客户对账单!$I$4),出库明细!B1394+ROW()/100000,"")</f>
      </c>
      <c r="H1394">
        <f>IF(AND(采购进货!C1394&lt;&gt;"",采购进货!C1394=供应商对账单!$B$4,ISNUMBER(采购进货!B1394),采购进货!B1394&gt;=供应商对账单!$G$4,采购进货!B1394&lt;=供应商对账单!$I$4),采购进货!B1394+ROW()/100000,"")</f>
      </c>
      <c r="N1394">
        <f>IF(AND(ISNUMBER(出库明细!G1394),ISNUMBER(出库明细!E1394),ISNUMBER(出库明细!F1394)),IF(ABS(出库明细!G1394-出库明细!E1394*出库明细!F1394)&gt;0.005,1,0),0)</f>
        <v>0</v>
      </c>
    </row>
    <row r="1395">
      <c r="A1395">
        <f>IF(OR(出库明细!C395="",出库明细!D395=""),"",IF(OR(COUNTIFS(存条明细!$C$4:$C$1003,出库明细!C395,存条明细!$D$4:$D$1003,出库明细!D395)&gt;0,COUNTIFS(出库明细!$C$4:C395,出库明细!C395,出库明细!$D$4:D395,出库明细!D395)&gt;1),"",IFERROR(MATCH(出库明细!C395,总览汇总!$B$5:$B$304,0),900)*10000000+IFERROR(MATCH(出库明细!D395,基础资料!$E$5:$E$104,0),900)*10000+ROW()))</f>
      </c>
      <c r="F1395">
        <f>IF(AND(出库明细!C1395&lt;&gt;"",出库明细!C1395=客户对账单!$B$4,ISNUMBER(出库明细!B1395),出库明细!B1395&gt;=客户对账单!$G$4,出库明细!B1395&lt;=客户对账单!$I$4),出库明细!B1395+ROW()/100000,"")</f>
      </c>
      <c r="H1395">
        <f>IF(AND(采购进货!C1395&lt;&gt;"",采购进货!C1395=供应商对账单!$B$4,ISNUMBER(采购进货!B1395),采购进货!B1395&gt;=供应商对账单!$G$4,采购进货!B1395&lt;=供应商对账单!$I$4),采购进货!B1395+ROW()/100000,"")</f>
      </c>
      <c r="N1395">
        <f>IF(AND(ISNUMBER(出库明细!G1395),ISNUMBER(出库明细!E1395),ISNUMBER(出库明细!F1395)),IF(ABS(出库明细!G1395-出库明细!E1395*出库明细!F1395)&gt;0.005,1,0),0)</f>
        <v>0</v>
      </c>
    </row>
    <row r="1396">
      <c r="A1396">
        <f>IF(OR(出库明细!C396="",出库明细!D396=""),"",IF(OR(COUNTIFS(存条明细!$C$4:$C$1003,出库明细!C396,存条明细!$D$4:$D$1003,出库明细!D396)&gt;0,COUNTIFS(出库明细!$C$4:C396,出库明细!C396,出库明细!$D$4:D396,出库明细!D396)&gt;1),"",IFERROR(MATCH(出库明细!C396,总览汇总!$B$5:$B$304,0),900)*10000000+IFERROR(MATCH(出库明细!D396,基础资料!$E$5:$E$104,0),900)*10000+ROW()))</f>
      </c>
      <c r="F1396">
        <f>IF(AND(出库明细!C1396&lt;&gt;"",出库明细!C1396=客户对账单!$B$4,ISNUMBER(出库明细!B1396),出库明细!B1396&gt;=客户对账单!$G$4,出库明细!B1396&lt;=客户对账单!$I$4),出库明细!B1396+ROW()/100000,"")</f>
      </c>
      <c r="H1396">
        <f>IF(AND(采购进货!C1396&lt;&gt;"",采购进货!C1396=供应商对账单!$B$4,ISNUMBER(采购进货!B1396),采购进货!B1396&gt;=供应商对账单!$G$4,采购进货!B1396&lt;=供应商对账单!$I$4),采购进货!B1396+ROW()/100000,"")</f>
      </c>
      <c r="N1396">
        <f>IF(AND(ISNUMBER(出库明细!G1396),ISNUMBER(出库明细!E1396),ISNUMBER(出库明细!F1396)),IF(ABS(出库明细!G1396-出库明细!E1396*出库明细!F1396)&gt;0.005,1,0),0)</f>
        <v>0</v>
      </c>
    </row>
    <row r="1397">
      <c r="A1397">
        <f>IF(OR(出库明细!C397="",出库明细!D397=""),"",IF(OR(COUNTIFS(存条明细!$C$4:$C$1003,出库明细!C397,存条明细!$D$4:$D$1003,出库明细!D397)&gt;0,COUNTIFS(出库明细!$C$4:C397,出库明细!C397,出库明细!$D$4:D397,出库明细!D397)&gt;1),"",IFERROR(MATCH(出库明细!C397,总览汇总!$B$5:$B$304,0),900)*10000000+IFERROR(MATCH(出库明细!D397,基础资料!$E$5:$E$104,0),900)*10000+ROW()))</f>
      </c>
      <c r="F1397">
        <f>IF(AND(出库明细!C1397&lt;&gt;"",出库明细!C1397=客户对账单!$B$4,ISNUMBER(出库明细!B1397),出库明细!B1397&gt;=客户对账单!$G$4,出库明细!B1397&lt;=客户对账单!$I$4),出库明细!B1397+ROW()/100000,"")</f>
      </c>
      <c r="H1397">
        <f>IF(AND(采购进货!C1397&lt;&gt;"",采购进货!C1397=供应商对账单!$B$4,ISNUMBER(采购进货!B1397),采购进货!B1397&gt;=供应商对账单!$G$4,采购进货!B1397&lt;=供应商对账单!$I$4),采购进货!B1397+ROW()/100000,"")</f>
      </c>
      <c r="N1397">
        <f>IF(AND(ISNUMBER(出库明细!G1397),ISNUMBER(出库明细!E1397),ISNUMBER(出库明细!F1397)),IF(ABS(出库明细!G1397-出库明细!E1397*出库明细!F1397)&gt;0.005,1,0),0)</f>
        <v>0</v>
      </c>
    </row>
    <row r="1398">
      <c r="A1398">
        <f>IF(OR(出库明细!C398="",出库明细!D398=""),"",IF(OR(COUNTIFS(存条明细!$C$4:$C$1003,出库明细!C398,存条明细!$D$4:$D$1003,出库明细!D398)&gt;0,COUNTIFS(出库明细!$C$4:C398,出库明细!C398,出库明细!$D$4:D398,出库明细!D398)&gt;1),"",IFERROR(MATCH(出库明细!C398,总览汇总!$B$5:$B$304,0),900)*10000000+IFERROR(MATCH(出库明细!D398,基础资料!$E$5:$E$104,0),900)*10000+ROW()))</f>
      </c>
      <c r="F1398">
        <f>IF(AND(出库明细!C1398&lt;&gt;"",出库明细!C1398=客户对账单!$B$4,ISNUMBER(出库明细!B1398),出库明细!B1398&gt;=客户对账单!$G$4,出库明细!B1398&lt;=客户对账单!$I$4),出库明细!B1398+ROW()/100000,"")</f>
      </c>
      <c r="H1398">
        <f>IF(AND(采购进货!C1398&lt;&gt;"",采购进货!C1398=供应商对账单!$B$4,ISNUMBER(采购进货!B1398),采购进货!B1398&gt;=供应商对账单!$G$4,采购进货!B1398&lt;=供应商对账单!$I$4),采购进货!B1398+ROW()/100000,"")</f>
      </c>
      <c r="N1398">
        <f>IF(AND(ISNUMBER(出库明细!G1398),ISNUMBER(出库明细!E1398),ISNUMBER(出库明细!F1398)),IF(ABS(出库明细!G1398-出库明细!E1398*出库明细!F1398)&gt;0.005,1,0),0)</f>
        <v>0</v>
      </c>
    </row>
    <row r="1399">
      <c r="A1399">
        <f>IF(OR(出库明细!C399="",出库明细!D399=""),"",IF(OR(COUNTIFS(存条明细!$C$4:$C$1003,出库明细!C399,存条明细!$D$4:$D$1003,出库明细!D399)&gt;0,COUNTIFS(出库明细!$C$4:C399,出库明细!C399,出库明细!$D$4:D399,出库明细!D399)&gt;1),"",IFERROR(MATCH(出库明细!C399,总览汇总!$B$5:$B$304,0),900)*10000000+IFERROR(MATCH(出库明细!D399,基础资料!$E$5:$E$104,0),900)*10000+ROW()))</f>
      </c>
      <c r="F1399">
        <f>IF(AND(出库明细!C1399&lt;&gt;"",出库明细!C1399=客户对账单!$B$4,ISNUMBER(出库明细!B1399),出库明细!B1399&gt;=客户对账单!$G$4,出库明细!B1399&lt;=客户对账单!$I$4),出库明细!B1399+ROW()/100000,"")</f>
      </c>
      <c r="H1399">
        <f>IF(AND(采购进货!C1399&lt;&gt;"",采购进货!C1399=供应商对账单!$B$4,ISNUMBER(采购进货!B1399),采购进货!B1399&gt;=供应商对账单!$G$4,采购进货!B1399&lt;=供应商对账单!$I$4),采购进货!B1399+ROW()/100000,"")</f>
      </c>
      <c r="N1399">
        <f>IF(AND(ISNUMBER(出库明细!G1399),ISNUMBER(出库明细!E1399),ISNUMBER(出库明细!F1399)),IF(ABS(出库明细!G1399-出库明细!E1399*出库明细!F1399)&gt;0.005,1,0),0)</f>
        <v>0</v>
      </c>
    </row>
    <row r="1400">
      <c r="A1400">
        <f>IF(OR(出库明细!C400="",出库明细!D400=""),"",IF(OR(COUNTIFS(存条明细!$C$4:$C$1003,出库明细!C400,存条明细!$D$4:$D$1003,出库明细!D400)&gt;0,COUNTIFS(出库明细!$C$4:C400,出库明细!C400,出库明细!$D$4:D400,出库明细!D400)&gt;1),"",IFERROR(MATCH(出库明细!C400,总览汇总!$B$5:$B$304,0),900)*10000000+IFERROR(MATCH(出库明细!D400,基础资料!$E$5:$E$104,0),900)*10000+ROW()))</f>
      </c>
      <c r="F1400">
        <f>IF(AND(出库明细!C1400&lt;&gt;"",出库明细!C1400=客户对账单!$B$4,ISNUMBER(出库明细!B1400),出库明细!B1400&gt;=客户对账单!$G$4,出库明细!B1400&lt;=客户对账单!$I$4),出库明细!B1400+ROW()/100000,"")</f>
      </c>
      <c r="H1400">
        <f>IF(AND(采购进货!C1400&lt;&gt;"",采购进货!C1400=供应商对账单!$B$4,ISNUMBER(采购进货!B1400),采购进货!B1400&gt;=供应商对账单!$G$4,采购进货!B1400&lt;=供应商对账单!$I$4),采购进货!B1400+ROW()/100000,"")</f>
      </c>
      <c r="N1400">
        <f>IF(AND(ISNUMBER(出库明细!G1400),ISNUMBER(出库明细!E1400),ISNUMBER(出库明细!F1400)),IF(ABS(出库明细!G1400-出库明细!E1400*出库明细!F1400)&gt;0.005,1,0),0)</f>
        <v>0</v>
      </c>
    </row>
    <row r="1401">
      <c r="A1401">
        <f>IF(OR(出库明细!C401="",出库明细!D401=""),"",IF(OR(COUNTIFS(存条明细!$C$4:$C$1003,出库明细!C401,存条明细!$D$4:$D$1003,出库明细!D401)&gt;0,COUNTIFS(出库明细!$C$4:C401,出库明细!C401,出库明细!$D$4:D401,出库明细!D401)&gt;1),"",IFERROR(MATCH(出库明细!C401,总览汇总!$B$5:$B$304,0),900)*10000000+IFERROR(MATCH(出库明细!D401,基础资料!$E$5:$E$104,0),900)*10000+ROW()))</f>
      </c>
      <c r="F1401">
        <f>IF(AND(出库明细!C1401&lt;&gt;"",出库明细!C1401=客户对账单!$B$4,ISNUMBER(出库明细!B1401),出库明细!B1401&gt;=客户对账单!$G$4,出库明细!B1401&lt;=客户对账单!$I$4),出库明细!B1401+ROW()/100000,"")</f>
      </c>
      <c r="H1401">
        <f>IF(AND(采购进货!C1401&lt;&gt;"",采购进货!C1401=供应商对账单!$B$4,ISNUMBER(采购进货!B1401),采购进货!B1401&gt;=供应商对账单!$G$4,采购进货!B1401&lt;=供应商对账单!$I$4),采购进货!B1401+ROW()/100000,"")</f>
      </c>
      <c r="N1401">
        <f>IF(AND(ISNUMBER(出库明细!G1401),ISNUMBER(出库明细!E1401),ISNUMBER(出库明细!F1401)),IF(ABS(出库明细!G1401-出库明细!E1401*出库明细!F1401)&gt;0.005,1,0),0)</f>
        <v>0</v>
      </c>
    </row>
    <row r="1402">
      <c r="A1402">
        <f>IF(OR(出库明细!C402="",出库明细!D402=""),"",IF(OR(COUNTIFS(存条明细!$C$4:$C$1003,出库明细!C402,存条明细!$D$4:$D$1003,出库明细!D402)&gt;0,COUNTIFS(出库明细!$C$4:C402,出库明细!C402,出库明细!$D$4:D402,出库明细!D402)&gt;1),"",IFERROR(MATCH(出库明细!C402,总览汇总!$B$5:$B$304,0),900)*10000000+IFERROR(MATCH(出库明细!D402,基础资料!$E$5:$E$104,0),900)*10000+ROW()))</f>
      </c>
      <c r="F1402">
        <f>IF(AND(出库明细!C1402&lt;&gt;"",出库明细!C1402=客户对账单!$B$4,ISNUMBER(出库明细!B1402),出库明细!B1402&gt;=客户对账单!$G$4,出库明细!B1402&lt;=客户对账单!$I$4),出库明细!B1402+ROW()/100000,"")</f>
      </c>
      <c r="H1402">
        <f>IF(AND(采购进货!C1402&lt;&gt;"",采购进货!C1402=供应商对账单!$B$4,ISNUMBER(采购进货!B1402),采购进货!B1402&gt;=供应商对账单!$G$4,采购进货!B1402&lt;=供应商对账单!$I$4),采购进货!B1402+ROW()/100000,"")</f>
      </c>
      <c r="N1402">
        <f>IF(AND(ISNUMBER(出库明细!G1402),ISNUMBER(出库明细!E1402),ISNUMBER(出库明细!F1402)),IF(ABS(出库明细!G1402-出库明细!E1402*出库明细!F1402)&gt;0.005,1,0),0)</f>
        <v>0</v>
      </c>
    </row>
    <row r="1403">
      <c r="A1403">
        <f>IF(OR(出库明细!C403="",出库明细!D403=""),"",IF(OR(COUNTIFS(存条明细!$C$4:$C$1003,出库明细!C403,存条明细!$D$4:$D$1003,出库明细!D403)&gt;0,COUNTIFS(出库明细!$C$4:C403,出库明细!C403,出库明细!$D$4:D403,出库明细!D403)&gt;1),"",IFERROR(MATCH(出库明细!C403,总览汇总!$B$5:$B$304,0),900)*10000000+IFERROR(MATCH(出库明细!D403,基础资料!$E$5:$E$104,0),900)*10000+ROW()))</f>
      </c>
      <c r="F1403">
        <f>IF(AND(出库明细!C1403&lt;&gt;"",出库明细!C1403=客户对账单!$B$4,ISNUMBER(出库明细!B1403),出库明细!B1403&gt;=客户对账单!$G$4,出库明细!B1403&lt;=客户对账单!$I$4),出库明细!B1403+ROW()/100000,"")</f>
      </c>
      <c r="H1403">
        <f>IF(AND(采购进货!C1403&lt;&gt;"",采购进货!C1403=供应商对账单!$B$4,ISNUMBER(采购进货!B1403),采购进货!B1403&gt;=供应商对账单!$G$4,采购进货!B1403&lt;=供应商对账单!$I$4),采购进货!B1403+ROW()/100000,"")</f>
      </c>
      <c r="N1403">
        <f>IF(AND(ISNUMBER(出库明细!G1403),ISNUMBER(出库明细!E1403),ISNUMBER(出库明细!F1403)),IF(ABS(出库明细!G1403-出库明细!E1403*出库明细!F1403)&gt;0.005,1,0),0)</f>
        <v>0</v>
      </c>
    </row>
    <row r="1404">
      <c r="A1404">
        <f>IF(OR(出库明细!C404="",出库明细!D404=""),"",IF(OR(COUNTIFS(存条明细!$C$4:$C$1003,出库明细!C404,存条明细!$D$4:$D$1003,出库明细!D404)&gt;0,COUNTIFS(出库明细!$C$4:C404,出库明细!C404,出库明细!$D$4:D404,出库明细!D404)&gt;1),"",IFERROR(MATCH(出库明细!C404,总览汇总!$B$5:$B$304,0),900)*10000000+IFERROR(MATCH(出库明细!D404,基础资料!$E$5:$E$104,0),900)*10000+ROW()))</f>
      </c>
      <c r="F1404">
        <f>IF(AND(出库明细!C1404&lt;&gt;"",出库明细!C1404=客户对账单!$B$4,ISNUMBER(出库明细!B1404),出库明细!B1404&gt;=客户对账单!$G$4,出库明细!B1404&lt;=客户对账单!$I$4),出库明细!B1404+ROW()/100000,"")</f>
      </c>
      <c r="H1404">
        <f>IF(AND(采购进货!C1404&lt;&gt;"",采购进货!C1404=供应商对账单!$B$4,ISNUMBER(采购进货!B1404),采购进货!B1404&gt;=供应商对账单!$G$4,采购进货!B1404&lt;=供应商对账单!$I$4),采购进货!B1404+ROW()/100000,"")</f>
      </c>
      <c r="N1404">
        <f>IF(AND(ISNUMBER(出库明细!G1404),ISNUMBER(出库明细!E1404),ISNUMBER(出库明细!F1404)),IF(ABS(出库明细!G1404-出库明细!E1404*出库明细!F1404)&gt;0.005,1,0),0)</f>
        <v>0</v>
      </c>
    </row>
    <row r="1405">
      <c r="A1405">
        <f>IF(OR(出库明细!C405="",出库明细!D405=""),"",IF(OR(COUNTIFS(存条明细!$C$4:$C$1003,出库明细!C405,存条明细!$D$4:$D$1003,出库明细!D405)&gt;0,COUNTIFS(出库明细!$C$4:C405,出库明细!C405,出库明细!$D$4:D405,出库明细!D405)&gt;1),"",IFERROR(MATCH(出库明细!C405,总览汇总!$B$5:$B$304,0),900)*10000000+IFERROR(MATCH(出库明细!D405,基础资料!$E$5:$E$104,0),900)*10000+ROW()))</f>
      </c>
      <c r="F1405">
        <f>IF(AND(出库明细!C1405&lt;&gt;"",出库明细!C1405=客户对账单!$B$4,ISNUMBER(出库明细!B1405),出库明细!B1405&gt;=客户对账单!$G$4,出库明细!B1405&lt;=客户对账单!$I$4),出库明细!B1405+ROW()/100000,"")</f>
      </c>
      <c r="H1405">
        <f>IF(AND(采购进货!C1405&lt;&gt;"",采购进货!C1405=供应商对账单!$B$4,ISNUMBER(采购进货!B1405),采购进货!B1405&gt;=供应商对账单!$G$4,采购进货!B1405&lt;=供应商对账单!$I$4),采购进货!B1405+ROW()/100000,"")</f>
      </c>
      <c r="N1405">
        <f>IF(AND(ISNUMBER(出库明细!G1405),ISNUMBER(出库明细!E1405),ISNUMBER(出库明细!F1405)),IF(ABS(出库明细!G1405-出库明细!E1405*出库明细!F1405)&gt;0.005,1,0),0)</f>
        <v>0</v>
      </c>
    </row>
    <row r="1406">
      <c r="A1406">
        <f>IF(OR(出库明细!C406="",出库明细!D406=""),"",IF(OR(COUNTIFS(存条明细!$C$4:$C$1003,出库明细!C406,存条明细!$D$4:$D$1003,出库明细!D406)&gt;0,COUNTIFS(出库明细!$C$4:C406,出库明细!C406,出库明细!$D$4:D406,出库明细!D406)&gt;1),"",IFERROR(MATCH(出库明细!C406,总览汇总!$B$5:$B$304,0),900)*10000000+IFERROR(MATCH(出库明细!D406,基础资料!$E$5:$E$104,0),900)*10000+ROW()))</f>
      </c>
      <c r="F1406">
        <f>IF(AND(出库明细!C1406&lt;&gt;"",出库明细!C1406=客户对账单!$B$4,ISNUMBER(出库明细!B1406),出库明细!B1406&gt;=客户对账单!$G$4,出库明细!B1406&lt;=客户对账单!$I$4),出库明细!B1406+ROW()/100000,"")</f>
      </c>
      <c r="H1406">
        <f>IF(AND(采购进货!C1406&lt;&gt;"",采购进货!C1406=供应商对账单!$B$4,ISNUMBER(采购进货!B1406),采购进货!B1406&gt;=供应商对账单!$G$4,采购进货!B1406&lt;=供应商对账单!$I$4),采购进货!B1406+ROW()/100000,"")</f>
      </c>
      <c r="N1406">
        <f>IF(AND(ISNUMBER(出库明细!G1406),ISNUMBER(出库明细!E1406),ISNUMBER(出库明细!F1406)),IF(ABS(出库明细!G1406-出库明细!E1406*出库明细!F1406)&gt;0.005,1,0),0)</f>
        <v>0</v>
      </c>
    </row>
    <row r="1407">
      <c r="A1407">
        <f>IF(OR(出库明细!C407="",出库明细!D407=""),"",IF(OR(COUNTIFS(存条明细!$C$4:$C$1003,出库明细!C407,存条明细!$D$4:$D$1003,出库明细!D407)&gt;0,COUNTIFS(出库明细!$C$4:C407,出库明细!C407,出库明细!$D$4:D407,出库明细!D407)&gt;1),"",IFERROR(MATCH(出库明细!C407,总览汇总!$B$5:$B$304,0),900)*10000000+IFERROR(MATCH(出库明细!D407,基础资料!$E$5:$E$104,0),900)*10000+ROW()))</f>
      </c>
      <c r="F1407">
        <f>IF(AND(出库明细!C1407&lt;&gt;"",出库明细!C1407=客户对账单!$B$4,ISNUMBER(出库明细!B1407),出库明细!B1407&gt;=客户对账单!$G$4,出库明细!B1407&lt;=客户对账单!$I$4),出库明细!B1407+ROW()/100000,"")</f>
      </c>
      <c r="H1407">
        <f>IF(AND(采购进货!C1407&lt;&gt;"",采购进货!C1407=供应商对账单!$B$4,ISNUMBER(采购进货!B1407),采购进货!B1407&gt;=供应商对账单!$G$4,采购进货!B1407&lt;=供应商对账单!$I$4),采购进货!B1407+ROW()/100000,"")</f>
      </c>
      <c r="N1407">
        <f>IF(AND(ISNUMBER(出库明细!G1407),ISNUMBER(出库明细!E1407),ISNUMBER(出库明细!F1407)),IF(ABS(出库明细!G1407-出库明细!E1407*出库明细!F1407)&gt;0.005,1,0),0)</f>
        <v>0</v>
      </c>
    </row>
    <row r="1408">
      <c r="A1408">
        <f>IF(OR(出库明细!C408="",出库明细!D408=""),"",IF(OR(COUNTIFS(存条明细!$C$4:$C$1003,出库明细!C408,存条明细!$D$4:$D$1003,出库明细!D408)&gt;0,COUNTIFS(出库明细!$C$4:C408,出库明细!C408,出库明细!$D$4:D408,出库明细!D408)&gt;1),"",IFERROR(MATCH(出库明细!C408,总览汇总!$B$5:$B$304,0),900)*10000000+IFERROR(MATCH(出库明细!D408,基础资料!$E$5:$E$104,0),900)*10000+ROW()))</f>
      </c>
      <c r="F1408">
        <f>IF(AND(出库明细!C1408&lt;&gt;"",出库明细!C1408=客户对账单!$B$4,ISNUMBER(出库明细!B1408),出库明细!B1408&gt;=客户对账单!$G$4,出库明细!B1408&lt;=客户对账单!$I$4),出库明细!B1408+ROW()/100000,"")</f>
      </c>
      <c r="H1408">
        <f>IF(AND(采购进货!C1408&lt;&gt;"",采购进货!C1408=供应商对账单!$B$4,ISNUMBER(采购进货!B1408),采购进货!B1408&gt;=供应商对账单!$G$4,采购进货!B1408&lt;=供应商对账单!$I$4),采购进货!B1408+ROW()/100000,"")</f>
      </c>
      <c r="N1408">
        <f>IF(AND(ISNUMBER(出库明细!G1408),ISNUMBER(出库明细!E1408),ISNUMBER(出库明细!F1408)),IF(ABS(出库明细!G1408-出库明细!E1408*出库明细!F1408)&gt;0.005,1,0),0)</f>
        <v>0</v>
      </c>
    </row>
    <row r="1409">
      <c r="A1409">
        <f>IF(OR(出库明细!C409="",出库明细!D409=""),"",IF(OR(COUNTIFS(存条明细!$C$4:$C$1003,出库明细!C409,存条明细!$D$4:$D$1003,出库明细!D409)&gt;0,COUNTIFS(出库明细!$C$4:C409,出库明细!C409,出库明细!$D$4:D409,出库明细!D409)&gt;1),"",IFERROR(MATCH(出库明细!C409,总览汇总!$B$5:$B$304,0),900)*10000000+IFERROR(MATCH(出库明细!D409,基础资料!$E$5:$E$104,0),900)*10000+ROW()))</f>
      </c>
      <c r="F1409">
        <f>IF(AND(出库明细!C1409&lt;&gt;"",出库明细!C1409=客户对账单!$B$4,ISNUMBER(出库明细!B1409),出库明细!B1409&gt;=客户对账单!$G$4,出库明细!B1409&lt;=客户对账单!$I$4),出库明细!B1409+ROW()/100000,"")</f>
      </c>
      <c r="H1409">
        <f>IF(AND(采购进货!C1409&lt;&gt;"",采购进货!C1409=供应商对账单!$B$4,ISNUMBER(采购进货!B1409),采购进货!B1409&gt;=供应商对账单!$G$4,采购进货!B1409&lt;=供应商对账单!$I$4),采购进货!B1409+ROW()/100000,"")</f>
      </c>
      <c r="N1409">
        <f>IF(AND(ISNUMBER(出库明细!G1409),ISNUMBER(出库明细!E1409),ISNUMBER(出库明细!F1409)),IF(ABS(出库明细!G1409-出库明细!E1409*出库明细!F1409)&gt;0.005,1,0),0)</f>
        <v>0</v>
      </c>
    </row>
    <row r="1410">
      <c r="A1410">
        <f>IF(OR(出库明细!C410="",出库明细!D410=""),"",IF(OR(COUNTIFS(存条明细!$C$4:$C$1003,出库明细!C410,存条明细!$D$4:$D$1003,出库明细!D410)&gt;0,COUNTIFS(出库明细!$C$4:C410,出库明细!C410,出库明细!$D$4:D410,出库明细!D410)&gt;1),"",IFERROR(MATCH(出库明细!C410,总览汇总!$B$5:$B$304,0),900)*10000000+IFERROR(MATCH(出库明细!D410,基础资料!$E$5:$E$104,0),900)*10000+ROW()))</f>
      </c>
      <c r="F1410">
        <f>IF(AND(出库明细!C1410&lt;&gt;"",出库明细!C1410=客户对账单!$B$4,ISNUMBER(出库明细!B1410),出库明细!B1410&gt;=客户对账单!$G$4,出库明细!B1410&lt;=客户对账单!$I$4),出库明细!B1410+ROW()/100000,"")</f>
      </c>
      <c r="H1410">
        <f>IF(AND(采购进货!C1410&lt;&gt;"",采购进货!C1410=供应商对账单!$B$4,ISNUMBER(采购进货!B1410),采购进货!B1410&gt;=供应商对账单!$G$4,采购进货!B1410&lt;=供应商对账单!$I$4),采购进货!B1410+ROW()/100000,"")</f>
      </c>
      <c r="N1410">
        <f>IF(AND(ISNUMBER(出库明细!G1410),ISNUMBER(出库明细!E1410),ISNUMBER(出库明细!F1410)),IF(ABS(出库明细!G1410-出库明细!E1410*出库明细!F1410)&gt;0.005,1,0),0)</f>
        <v>0</v>
      </c>
    </row>
    <row r="1411">
      <c r="A1411">
        <f>IF(OR(出库明细!C411="",出库明细!D411=""),"",IF(OR(COUNTIFS(存条明细!$C$4:$C$1003,出库明细!C411,存条明细!$D$4:$D$1003,出库明细!D411)&gt;0,COUNTIFS(出库明细!$C$4:C411,出库明细!C411,出库明细!$D$4:D411,出库明细!D411)&gt;1),"",IFERROR(MATCH(出库明细!C411,总览汇总!$B$5:$B$304,0),900)*10000000+IFERROR(MATCH(出库明细!D411,基础资料!$E$5:$E$104,0),900)*10000+ROW()))</f>
        <v>250051411</v>
      </c>
      <c r="F1411">
        <f>IF(AND(出库明细!C1411&lt;&gt;"",出库明细!C1411=客户对账单!$B$4,ISNUMBER(出库明细!B1411),出库明细!B1411&gt;=客户对账单!$G$4,出库明细!B1411&lt;=客户对账单!$I$4),出库明细!B1411+ROW()/100000,"")</f>
      </c>
      <c r="H1411">
        <f>IF(AND(采购进货!C1411&lt;&gt;"",采购进货!C1411=供应商对账单!$B$4,ISNUMBER(采购进货!B1411),采购进货!B1411&gt;=供应商对账单!$G$4,采购进货!B1411&lt;=供应商对账单!$I$4),采购进货!B1411+ROW()/100000,"")</f>
      </c>
      <c r="N1411">
        <f>IF(AND(ISNUMBER(出库明细!G1411),ISNUMBER(出库明细!E1411),ISNUMBER(出库明细!F1411)),IF(ABS(出库明细!G1411-出库明细!E1411*出库明细!F1411)&gt;0.005,1,0),0)</f>
        <v>0</v>
      </c>
    </row>
    <row r="1412">
      <c r="A1412">
        <f>IF(OR(出库明细!C412="",出库明细!D412=""),"",IF(OR(COUNTIFS(存条明细!$C$4:$C$1003,出库明细!C412,存条明细!$D$4:$D$1003,出库明细!D412)&gt;0,COUNTIFS(出库明细!$C$4:C412,出库明细!C412,出库明细!$D$4:D412,出库明细!D412)&gt;1),"",IFERROR(MATCH(出库明细!C412,总览汇总!$B$5:$B$304,0),900)*10000000+IFERROR(MATCH(出库明细!D412,基础资料!$E$5:$E$104,0),900)*10000+ROW()))</f>
        <v>270041412</v>
      </c>
      <c r="F1412">
        <f>IF(AND(出库明细!C1412&lt;&gt;"",出库明细!C1412=客户对账单!$B$4,ISNUMBER(出库明细!B1412),出库明细!B1412&gt;=客户对账单!$G$4,出库明细!B1412&lt;=客户对账单!$I$4),出库明细!B1412+ROW()/100000,"")</f>
      </c>
      <c r="H1412">
        <f>IF(AND(采购进货!C1412&lt;&gt;"",采购进货!C1412=供应商对账单!$B$4,ISNUMBER(采购进货!B1412),采购进货!B1412&gt;=供应商对账单!$G$4,采购进货!B1412&lt;=供应商对账单!$I$4),采购进货!B1412+ROW()/100000,"")</f>
      </c>
      <c r="N1412">
        <f>IF(AND(ISNUMBER(出库明细!G1412),ISNUMBER(出库明细!E1412),ISNUMBER(出库明细!F1412)),IF(ABS(出库明细!G1412-出库明细!E1412*出库明细!F1412)&gt;0.005,1,0),0)</f>
        <v>0</v>
      </c>
    </row>
    <row r="1413">
      <c r="A1413">
        <f>IF(OR(出库明细!C413="",出库明细!D413=""),"",IF(OR(COUNTIFS(存条明细!$C$4:$C$1003,出库明细!C413,存条明细!$D$4:$D$1003,出库明细!D413)&gt;0,COUNTIFS(出库明细!$C$4:C413,出库明细!C413,出库明细!$D$4:D413,出库明细!D413)&gt;1),"",IFERROR(MATCH(出库明细!C413,总览汇总!$B$5:$B$304,0),900)*10000000+IFERROR(MATCH(出库明细!D413,基础资料!$E$5:$E$104,0),900)*10000+ROW()))</f>
        <v>270061413</v>
      </c>
      <c r="F1413">
        <f>IF(AND(出库明细!C1413&lt;&gt;"",出库明细!C1413=客户对账单!$B$4,ISNUMBER(出库明细!B1413),出库明细!B1413&gt;=客户对账单!$G$4,出库明细!B1413&lt;=客户对账单!$I$4),出库明细!B1413+ROW()/100000,"")</f>
      </c>
      <c r="H1413">
        <f>IF(AND(采购进货!C1413&lt;&gt;"",采购进货!C1413=供应商对账单!$B$4,ISNUMBER(采购进货!B1413),采购进货!B1413&gt;=供应商对账单!$G$4,采购进货!B1413&lt;=供应商对账单!$I$4),采购进货!B1413+ROW()/100000,"")</f>
      </c>
      <c r="N1413">
        <f>IF(AND(ISNUMBER(出库明细!G1413),ISNUMBER(出库明细!E1413),ISNUMBER(出库明细!F1413)),IF(ABS(出库明细!G1413-出库明细!E1413*出库明细!F1413)&gt;0.005,1,0),0)</f>
        <v>0</v>
      </c>
    </row>
    <row r="1414">
      <c r="A1414">
        <f>IF(OR(出库明细!C414="",出库明细!D414=""),"",IF(OR(COUNTIFS(存条明细!$C$4:$C$1003,出库明细!C414,存条明细!$D$4:$D$1003,出库明细!D414)&gt;0,COUNTIFS(出库明细!$C$4:C414,出库明细!C414,出库明细!$D$4:D414,出库明细!D414)&gt;1),"",IFERROR(MATCH(出库明细!C414,总览汇总!$B$5:$B$304,0),900)*10000000+IFERROR(MATCH(出库明细!D414,基础资料!$E$5:$E$104,0),900)*10000+ROW()))</f>
        <v>270191414</v>
      </c>
      <c r="F1414">
        <f>IF(AND(出库明细!C1414&lt;&gt;"",出库明细!C1414=客户对账单!$B$4,ISNUMBER(出库明细!B1414),出库明细!B1414&gt;=客户对账单!$G$4,出库明细!B1414&lt;=客户对账单!$I$4),出库明细!B1414+ROW()/100000,"")</f>
      </c>
      <c r="H1414">
        <f>IF(AND(采购进货!C1414&lt;&gt;"",采购进货!C1414=供应商对账单!$B$4,ISNUMBER(采购进货!B1414),采购进货!B1414&gt;=供应商对账单!$G$4,采购进货!B1414&lt;=供应商对账单!$I$4),采购进货!B1414+ROW()/100000,"")</f>
      </c>
      <c r="N1414">
        <f>IF(AND(ISNUMBER(出库明细!G1414),ISNUMBER(出库明细!E1414),ISNUMBER(出库明细!F1414)),IF(ABS(出库明细!G1414-出库明细!E1414*出库明细!F1414)&gt;0.005,1,0),0)</f>
        <v>0</v>
      </c>
    </row>
    <row r="1415">
      <c r="A1415">
        <f>IF(OR(出库明细!C415="",出库明细!D415=""),"",IF(OR(COUNTIFS(存条明细!$C$4:$C$1003,出库明细!C415,存条明细!$D$4:$D$1003,出库明细!D415)&gt;0,COUNTIFS(出库明细!$C$4:C415,出库明细!C415,出库明细!$D$4:D415,出库明细!D415)&gt;1),"",IFERROR(MATCH(出库明细!C415,总览汇总!$B$5:$B$304,0),900)*10000000+IFERROR(MATCH(出库明细!D415,基础资料!$E$5:$E$104,0),900)*10000+ROW()))</f>
        <v>270081415</v>
      </c>
      <c r="F1415">
        <f>IF(AND(出库明细!C1415&lt;&gt;"",出库明细!C1415=客户对账单!$B$4,ISNUMBER(出库明细!B1415),出库明细!B1415&gt;=客户对账单!$G$4,出库明细!B1415&lt;=客户对账单!$I$4),出库明细!B1415+ROW()/100000,"")</f>
      </c>
      <c r="H1415">
        <f>IF(AND(采购进货!C1415&lt;&gt;"",采购进货!C1415=供应商对账单!$B$4,ISNUMBER(采购进货!B1415),采购进货!B1415&gt;=供应商对账单!$G$4,采购进货!B1415&lt;=供应商对账单!$I$4),采购进货!B1415+ROW()/100000,"")</f>
      </c>
      <c r="N1415">
        <f>IF(AND(ISNUMBER(出库明细!G1415),ISNUMBER(出库明细!E1415),ISNUMBER(出库明细!F1415)),IF(ABS(出库明细!G1415-出库明细!E1415*出库明细!F1415)&gt;0.005,1,0),0)</f>
        <v>0</v>
      </c>
    </row>
    <row r="1416">
      <c r="A1416">
        <f>IF(OR(出库明细!C416="",出库明细!D416=""),"",IF(OR(COUNTIFS(存条明细!$C$4:$C$1003,出库明细!C416,存条明细!$D$4:$D$1003,出库明细!D416)&gt;0,COUNTIFS(出库明细!$C$4:C416,出库明细!C416,出库明细!$D$4:D416,出库明细!D416)&gt;1),"",IFERROR(MATCH(出库明细!C416,总览汇总!$B$5:$B$304,0),900)*10000000+IFERROR(MATCH(出库明细!D416,基础资料!$E$5:$E$104,0),900)*10000+ROW()))</f>
        <v>270201416</v>
      </c>
      <c r="F1416">
        <f>IF(AND(出库明细!C1416&lt;&gt;"",出库明细!C1416=客户对账单!$B$4,ISNUMBER(出库明细!B1416),出库明细!B1416&gt;=客户对账单!$G$4,出库明细!B1416&lt;=客户对账单!$I$4),出库明细!B1416+ROW()/100000,"")</f>
      </c>
      <c r="H1416">
        <f>IF(AND(采购进货!C1416&lt;&gt;"",采购进货!C1416=供应商对账单!$B$4,ISNUMBER(采购进货!B1416),采购进货!B1416&gt;=供应商对账单!$G$4,采购进货!B1416&lt;=供应商对账单!$I$4),采购进货!B1416+ROW()/100000,"")</f>
      </c>
      <c r="N1416">
        <f>IF(AND(ISNUMBER(出库明细!G1416),ISNUMBER(出库明细!E1416),ISNUMBER(出库明细!F1416)),IF(ABS(出库明细!G1416-出库明细!E1416*出库明细!F1416)&gt;0.005,1,0),0)</f>
        <v>0</v>
      </c>
    </row>
    <row r="1417">
      <c r="A1417">
        <f>IF(OR(出库明细!C417="",出库明细!D417=""),"",IF(OR(COUNTIFS(存条明细!$C$4:$C$1003,出库明细!C417,存条明细!$D$4:$D$1003,出库明细!D417)&gt;0,COUNTIFS(出库明细!$C$4:C417,出库明细!C417,出库明细!$D$4:D417,出库明细!D417)&gt;1),"",IFERROR(MATCH(出库明细!C417,总览汇总!$B$5:$B$304,0),900)*10000000+IFERROR(MATCH(出库明细!D417,基础资料!$E$5:$E$104,0),900)*10000+ROW()))</f>
      </c>
      <c r="F1417">
        <f>IF(AND(出库明细!C1417&lt;&gt;"",出库明细!C1417=客户对账单!$B$4,ISNUMBER(出库明细!B1417),出库明细!B1417&gt;=客户对账单!$G$4,出库明细!B1417&lt;=客户对账单!$I$4),出库明细!B1417+ROW()/100000,"")</f>
      </c>
      <c r="H1417">
        <f>IF(AND(采购进货!C1417&lt;&gt;"",采购进货!C1417=供应商对账单!$B$4,ISNUMBER(采购进货!B1417),采购进货!B1417&gt;=供应商对账单!$G$4,采购进货!B1417&lt;=供应商对账单!$I$4),采购进货!B1417+ROW()/100000,"")</f>
      </c>
      <c r="N1417">
        <f>IF(AND(ISNUMBER(出库明细!G1417),ISNUMBER(出库明细!E1417),ISNUMBER(出库明细!F1417)),IF(ABS(出库明细!G1417-出库明细!E1417*出库明细!F1417)&gt;0.005,1,0),0)</f>
        <v>0</v>
      </c>
    </row>
    <row r="1418">
      <c r="A1418">
        <f>IF(OR(出库明细!C418="",出库明细!D418=""),"",IF(OR(COUNTIFS(存条明细!$C$4:$C$1003,出库明细!C418,存条明细!$D$4:$D$1003,出库明细!D418)&gt;0,COUNTIFS(出库明细!$C$4:C418,出库明细!C418,出库明细!$D$4:D418,出库明细!D418)&gt;1),"",IFERROR(MATCH(出库明细!C418,总览汇总!$B$5:$B$304,0),900)*10000000+IFERROR(MATCH(出库明细!D418,基础资料!$E$5:$E$104,0),900)*10000+ROW()))</f>
      </c>
      <c r="F1418">
        <f>IF(AND(出库明细!C1418&lt;&gt;"",出库明细!C1418=客户对账单!$B$4,ISNUMBER(出库明细!B1418),出库明细!B1418&gt;=客户对账单!$G$4,出库明细!B1418&lt;=客户对账单!$I$4),出库明细!B1418+ROW()/100000,"")</f>
      </c>
      <c r="H1418">
        <f>IF(AND(采购进货!C1418&lt;&gt;"",采购进货!C1418=供应商对账单!$B$4,ISNUMBER(采购进货!B1418),采购进货!B1418&gt;=供应商对账单!$G$4,采购进货!B1418&lt;=供应商对账单!$I$4),采购进货!B1418+ROW()/100000,"")</f>
      </c>
      <c r="N1418">
        <f>IF(AND(ISNUMBER(出库明细!G1418),ISNUMBER(出库明细!E1418),ISNUMBER(出库明细!F1418)),IF(ABS(出库明细!G1418-出库明细!E1418*出库明细!F1418)&gt;0.005,1,0),0)</f>
        <v>0</v>
      </c>
    </row>
    <row r="1419">
      <c r="A1419">
        <f>IF(OR(出库明细!C419="",出库明细!D419=""),"",IF(OR(COUNTIFS(存条明细!$C$4:$C$1003,出库明细!C419,存条明细!$D$4:$D$1003,出库明细!D419)&gt;0,COUNTIFS(出库明细!$C$4:C419,出库明细!C419,出库明细!$D$4:D419,出库明细!D419)&gt;1),"",IFERROR(MATCH(出库明细!C419,总览汇总!$B$5:$B$304,0),900)*10000000+IFERROR(MATCH(出库明细!D419,基础资料!$E$5:$E$104,0),900)*10000+ROW()))</f>
      </c>
      <c r="F1419">
        <f>IF(AND(出库明细!C1419&lt;&gt;"",出库明细!C1419=客户对账单!$B$4,ISNUMBER(出库明细!B1419),出库明细!B1419&gt;=客户对账单!$G$4,出库明细!B1419&lt;=客户对账单!$I$4),出库明细!B1419+ROW()/100000,"")</f>
      </c>
      <c r="H1419">
        <f>IF(AND(采购进货!C1419&lt;&gt;"",采购进货!C1419=供应商对账单!$B$4,ISNUMBER(采购进货!B1419),采购进货!B1419&gt;=供应商对账单!$G$4,采购进货!B1419&lt;=供应商对账单!$I$4),采购进货!B1419+ROW()/100000,"")</f>
      </c>
      <c r="N1419">
        <f>IF(AND(ISNUMBER(出库明细!G1419),ISNUMBER(出库明细!E1419),ISNUMBER(出库明细!F1419)),IF(ABS(出库明细!G1419-出库明细!E1419*出库明细!F1419)&gt;0.005,1,0),0)</f>
        <v>0</v>
      </c>
    </row>
    <row r="1420">
      <c r="A1420">
        <f>IF(OR(出库明细!C420="",出库明细!D420=""),"",IF(OR(COUNTIFS(存条明细!$C$4:$C$1003,出库明细!C420,存条明细!$D$4:$D$1003,出库明细!D420)&gt;0,COUNTIFS(出库明细!$C$4:C420,出库明细!C420,出库明细!$D$4:D420,出库明细!D420)&gt;1),"",IFERROR(MATCH(出库明细!C420,总览汇总!$B$5:$B$304,0),900)*10000000+IFERROR(MATCH(出库明细!D420,基础资料!$E$5:$E$104,0),900)*10000+ROW()))</f>
      </c>
      <c r="F1420">
        <f>IF(AND(出库明细!C1420&lt;&gt;"",出库明细!C1420=客户对账单!$B$4,ISNUMBER(出库明细!B1420),出库明细!B1420&gt;=客户对账单!$G$4,出库明细!B1420&lt;=客户对账单!$I$4),出库明细!B1420+ROW()/100000,"")</f>
      </c>
      <c r="H1420">
        <f>IF(AND(采购进货!C1420&lt;&gt;"",采购进货!C1420=供应商对账单!$B$4,ISNUMBER(采购进货!B1420),采购进货!B1420&gt;=供应商对账单!$G$4,采购进货!B1420&lt;=供应商对账单!$I$4),采购进货!B1420+ROW()/100000,"")</f>
      </c>
      <c r="N1420">
        <f>IF(AND(ISNUMBER(出库明细!G1420),ISNUMBER(出库明细!E1420),ISNUMBER(出库明细!F1420)),IF(ABS(出库明细!G1420-出库明细!E1420*出库明细!F1420)&gt;0.005,1,0),0)</f>
        <v>0</v>
      </c>
    </row>
    <row r="1421">
      <c r="A1421">
        <f>IF(OR(出库明细!C421="",出库明细!D421=""),"",IF(OR(COUNTIFS(存条明细!$C$4:$C$1003,出库明细!C421,存条明细!$D$4:$D$1003,出库明细!D421)&gt;0,COUNTIFS(出库明细!$C$4:C421,出库明细!C421,出库明细!$D$4:D421,出库明细!D421)&gt;1),"",IFERROR(MATCH(出库明细!C421,总览汇总!$B$5:$B$304,0),900)*10000000+IFERROR(MATCH(出库明细!D421,基础资料!$E$5:$E$104,0),900)*10000+ROW()))</f>
      </c>
      <c r="F1421">
        <f>IF(AND(出库明细!C1421&lt;&gt;"",出库明细!C1421=客户对账单!$B$4,ISNUMBER(出库明细!B1421),出库明细!B1421&gt;=客户对账单!$G$4,出库明细!B1421&lt;=客户对账单!$I$4),出库明细!B1421+ROW()/100000,"")</f>
      </c>
      <c r="H1421">
        <f>IF(AND(采购进货!C1421&lt;&gt;"",采购进货!C1421=供应商对账单!$B$4,ISNUMBER(采购进货!B1421),采购进货!B1421&gt;=供应商对账单!$G$4,采购进货!B1421&lt;=供应商对账单!$I$4),采购进货!B1421+ROW()/100000,"")</f>
      </c>
      <c r="N1421">
        <f>IF(AND(ISNUMBER(出库明细!G1421),ISNUMBER(出库明细!E1421),ISNUMBER(出库明细!F1421)),IF(ABS(出库明细!G1421-出库明细!E1421*出库明细!F1421)&gt;0.005,1,0),0)</f>
        <v>0</v>
      </c>
    </row>
    <row r="1422">
      <c r="A1422">
        <f>IF(OR(出库明细!C422="",出库明细!D422=""),"",IF(OR(COUNTIFS(存条明细!$C$4:$C$1003,出库明细!C422,存条明细!$D$4:$D$1003,出库明细!D422)&gt;0,COUNTIFS(出库明细!$C$4:C422,出库明细!C422,出库明细!$D$4:D422,出库明细!D422)&gt;1),"",IFERROR(MATCH(出库明细!C422,总览汇总!$B$5:$B$304,0),900)*10000000+IFERROR(MATCH(出库明细!D422,基础资料!$E$5:$E$104,0),900)*10000+ROW()))</f>
      </c>
      <c r="F1422">
        <f>IF(AND(出库明细!C1422&lt;&gt;"",出库明细!C1422=客户对账单!$B$4,ISNUMBER(出库明细!B1422),出库明细!B1422&gt;=客户对账单!$G$4,出库明细!B1422&lt;=客户对账单!$I$4),出库明细!B1422+ROW()/100000,"")</f>
      </c>
      <c r="H1422">
        <f>IF(AND(采购进货!C1422&lt;&gt;"",采购进货!C1422=供应商对账单!$B$4,ISNUMBER(采购进货!B1422),采购进货!B1422&gt;=供应商对账单!$G$4,采购进货!B1422&lt;=供应商对账单!$I$4),采购进货!B1422+ROW()/100000,"")</f>
      </c>
      <c r="N1422">
        <f>IF(AND(ISNUMBER(出库明细!G1422),ISNUMBER(出库明细!E1422),ISNUMBER(出库明细!F1422)),IF(ABS(出库明细!G1422-出库明细!E1422*出库明细!F1422)&gt;0.005,1,0),0)</f>
        <v>0</v>
      </c>
    </row>
    <row r="1423">
      <c r="A1423">
        <f>IF(OR(出库明细!C423="",出库明细!D423=""),"",IF(OR(COUNTIFS(存条明细!$C$4:$C$1003,出库明细!C423,存条明细!$D$4:$D$1003,出库明细!D423)&gt;0,COUNTIFS(出库明细!$C$4:C423,出库明细!C423,出库明细!$D$4:D423,出库明细!D423)&gt;1),"",IFERROR(MATCH(出库明细!C423,总览汇总!$B$5:$B$304,0),900)*10000000+IFERROR(MATCH(出库明细!D423,基础资料!$E$5:$E$104,0),900)*10000+ROW()))</f>
      </c>
      <c r="F1423">
        <f>IF(AND(出库明细!C1423&lt;&gt;"",出库明细!C1423=客户对账单!$B$4,ISNUMBER(出库明细!B1423),出库明细!B1423&gt;=客户对账单!$G$4,出库明细!B1423&lt;=客户对账单!$I$4),出库明细!B1423+ROW()/100000,"")</f>
      </c>
      <c r="H1423">
        <f>IF(AND(采购进货!C1423&lt;&gt;"",采购进货!C1423=供应商对账单!$B$4,ISNUMBER(采购进货!B1423),采购进货!B1423&gt;=供应商对账单!$G$4,采购进货!B1423&lt;=供应商对账单!$I$4),采购进货!B1423+ROW()/100000,"")</f>
      </c>
      <c r="N1423">
        <f>IF(AND(ISNUMBER(出库明细!G1423),ISNUMBER(出库明细!E1423),ISNUMBER(出库明细!F1423)),IF(ABS(出库明细!G1423-出库明细!E1423*出库明细!F1423)&gt;0.005,1,0),0)</f>
        <v>0</v>
      </c>
    </row>
    <row r="1424">
      <c r="A1424">
        <f>IF(OR(出库明细!C424="",出库明细!D424=""),"",IF(OR(COUNTIFS(存条明细!$C$4:$C$1003,出库明细!C424,存条明细!$D$4:$D$1003,出库明细!D424)&gt;0,COUNTIFS(出库明细!$C$4:C424,出库明细!C424,出库明细!$D$4:D424,出库明细!D424)&gt;1),"",IFERROR(MATCH(出库明细!C424,总览汇总!$B$5:$B$304,0),900)*10000000+IFERROR(MATCH(出库明细!D424,基础资料!$E$5:$E$104,0),900)*10000+ROW()))</f>
      </c>
      <c r="F1424">
        <f>IF(AND(出库明细!C1424&lt;&gt;"",出库明细!C1424=客户对账单!$B$4,ISNUMBER(出库明细!B1424),出库明细!B1424&gt;=客户对账单!$G$4,出库明细!B1424&lt;=客户对账单!$I$4),出库明细!B1424+ROW()/100000,"")</f>
      </c>
      <c r="H1424">
        <f>IF(AND(采购进货!C1424&lt;&gt;"",采购进货!C1424=供应商对账单!$B$4,ISNUMBER(采购进货!B1424),采购进货!B1424&gt;=供应商对账单!$G$4,采购进货!B1424&lt;=供应商对账单!$I$4),采购进货!B1424+ROW()/100000,"")</f>
      </c>
      <c r="N1424">
        <f>IF(AND(ISNUMBER(出库明细!G1424),ISNUMBER(出库明细!E1424),ISNUMBER(出库明细!F1424)),IF(ABS(出库明细!G1424-出库明细!E1424*出库明细!F1424)&gt;0.005,1,0),0)</f>
        <v>0</v>
      </c>
    </row>
    <row r="1425">
      <c r="A1425">
        <f>IF(OR(出库明细!C425="",出库明细!D425=""),"",IF(OR(COUNTIFS(存条明细!$C$4:$C$1003,出库明细!C425,存条明细!$D$4:$D$1003,出库明细!D425)&gt;0,COUNTIFS(出库明细!$C$4:C425,出库明细!C425,出库明细!$D$4:D425,出库明细!D425)&gt;1),"",IFERROR(MATCH(出库明细!C425,总览汇总!$B$5:$B$304,0),900)*10000000+IFERROR(MATCH(出库明细!D425,基础资料!$E$5:$E$104,0),900)*10000+ROW()))</f>
      </c>
      <c r="F1425">
        <f>IF(AND(出库明细!C1425&lt;&gt;"",出库明细!C1425=客户对账单!$B$4,ISNUMBER(出库明细!B1425),出库明细!B1425&gt;=客户对账单!$G$4,出库明细!B1425&lt;=客户对账单!$I$4),出库明细!B1425+ROW()/100000,"")</f>
      </c>
      <c r="H1425">
        <f>IF(AND(采购进货!C1425&lt;&gt;"",采购进货!C1425=供应商对账单!$B$4,ISNUMBER(采购进货!B1425),采购进货!B1425&gt;=供应商对账单!$G$4,采购进货!B1425&lt;=供应商对账单!$I$4),采购进货!B1425+ROW()/100000,"")</f>
      </c>
      <c r="N1425">
        <f>IF(AND(ISNUMBER(出库明细!G1425),ISNUMBER(出库明细!E1425),ISNUMBER(出库明细!F1425)),IF(ABS(出库明细!G1425-出库明细!E1425*出库明细!F1425)&gt;0.005,1,0),0)</f>
        <v>0</v>
      </c>
    </row>
    <row r="1426">
      <c r="A1426">
        <f>IF(OR(出库明细!C426="",出库明细!D426=""),"",IF(OR(COUNTIFS(存条明细!$C$4:$C$1003,出库明细!C426,存条明细!$D$4:$D$1003,出库明细!D426)&gt;0,COUNTIFS(出库明细!$C$4:C426,出库明细!C426,出库明细!$D$4:D426,出库明细!D426)&gt;1),"",IFERROR(MATCH(出库明细!C426,总览汇总!$B$5:$B$304,0),900)*10000000+IFERROR(MATCH(出库明细!D426,基础资料!$E$5:$E$104,0),900)*10000+ROW()))</f>
      </c>
      <c r="F1426">
        <f>IF(AND(出库明细!C1426&lt;&gt;"",出库明细!C1426=客户对账单!$B$4,ISNUMBER(出库明细!B1426),出库明细!B1426&gt;=客户对账单!$G$4,出库明细!B1426&lt;=客户对账单!$I$4),出库明细!B1426+ROW()/100000,"")</f>
      </c>
      <c r="H1426">
        <f>IF(AND(采购进货!C1426&lt;&gt;"",采购进货!C1426=供应商对账单!$B$4,ISNUMBER(采购进货!B1426),采购进货!B1426&gt;=供应商对账单!$G$4,采购进货!B1426&lt;=供应商对账单!$I$4),采购进货!B1426+ROW()/100000,"")</f>
      </c>
      <c r="N1426">
        <f>IF(AND(ISNUMBER(出库明细!G1426),ISNUMBER(出库明细!E1426),ISNUMBER(出库明细!F1426)),IF(ABS(出库明细!G1426-出库明细!E1426*出库明细!F1426)&gt;0.005,1,0),0)</f>
        <v>0</v>
      </c>
    </row>
    <row r="1427">
      <c r="A1427">
        <f>IF(OR(出库明细!C427="",出库明细!D427=""),"",IF(OR(COUNTIFS(存条明细!$C$4:$C$1003,出库明细!C427,存条明细!$D$4:$D$1003,出库明细!D427)&gt;0,COUNTIFS(出库明细!$C$4:C427,出库明细!C427,出库明细!$D$4:D427,出库明细!D427)&gt;1),"",IFERROR(MATCH(出库明细!C427,总览汇总!$B$5:$B$304,0),900)*10000000+IFERROR(MATCH(出库明细!D427,基础资料!$E$5:$E$104,0),900)*10000+ROW()))</f>
      </c>
      <c r="F1427">
        <f>IF(AND(出库明细!C1427&lt;&gt;"",出库明细!C1427=客户对账单!$B$4,ISNUMBER(出库明细!B1427),出库明细!B1427&gt;=客户对账单!$G$4,出库明细!B1427&lt;=客户对账单!$I$4),出库明细!B1427+ROW()/100000,"")</f>
      </c>
      <c r="H1427">
        <f>IF(AND(采购进货!C1427&lt;&gt;"",采购进货!C1427=供应商对账单!$B$4,ISNUMBER(采购进货!B1427),采购进货!B1427&gt;=供应商对账单!$G$4,采购进货!B1427&lt;=供应商对账单!$I$4),采购进货!B1427+ROW()/100000,"")</f>
      </c>
      <c r="N1427">
        <f>IF(AND(ISNUMBER(出库明细!G1427),ISNUMBER(出库明细!E1427),ISNUMBER(出库明细!F1427)),IF(ABS(出库明细!G1427-出库明细!E1427*出库明细!F1427)&gt;0.005,1,0),0)</f>
        <v>0</v>
      </c>
    </row>
    <row r="1428">
      <c r="A1428">
        <f>IF(OR(出库明细!C428="",出库明细!D428=""),"",IF(OR(COUNTIFS(存条明细!$C$4:$C$1003,出库明细!C428,存条明细!$D$4:$D$1003,出库明细!D428)&gt;0,COUNTIFS(出库明细!$C$4:C428,出库明细!C428,出库明细!$D$4:D428,出库明细!D428)&gt;1),"",IFERROR(MATCH(出库明细!C428,总览汇总!$B$5:$B$304,0),900)*10000000+IFERROR(MATCH(出库明细!D428,基础资料!$E$5:$E$104,0),900)*10000+ROW()))</f>
        <v>280151428</v>
      </c>
      <c r="F1428">
        <f>IF(AND(出库明细!C1428&lt;&gt;"",出库明细!C1428=客户对账单!$B$4,ISNUMBER(出库明细!B1428),出库明细!B1428&gt;=客户对账单!$G$4,出库明细!B1428&lt;=客户对账单!$I$4),出库明细!B1428+ROW()/100000,"")</f>
      </c>
      <c r="H1428">
        <f>IF(AND(采购进货!C1428&lt;&gt;"",采购进货!C1428=供应商对账单!$B$4,ISNUMBER(采购进货!B1428),采购进货!B1428&gt;=供应商对账单!$G$4,采购进货!B1428&lt;=供应商对账单!$I$4),采购进货!B1428+ROW()/100000,"")</f>
      </c>
      <c r="N1428">
        <f>IF(AND(ISNUMBER(出库明细!G1428),ISNUMBER(出库明细!E1428),ISNUMBER(出库明细!F1428)),IF(ABS(出库明细!G1428-出库明细!E1428*出库明细!F1428)&gt;0.005,1,0),0)</f>
        <v>0</v>
      </c>
    </row>
    <row r="1429">
      <c r="A1429">
        <f>IF(OR(出库明细!C429="",出库明细!D429=""),"",IF(OR(COUNTIFS(存条明细!$C$4:$C$1003,出库明细!C429,存条明细!$D$4:$D$1003,出库明细!D429)&gt;0,COUNTIFS(出库明细!$C$4:C429,出库明细!C429,出库明细!$D$4:D429,出库明细!D429)&gt;1),"",IFERROR(MATCH(出库明细!C429,总览汇总!$B$5:$B$304,0),900)*10000000+IFERROR(MATCH(出库明细!D429,基础资料!$E$5:$E$104,0),900)*10000+ROW()))</f>
        <v>280081429</v>
      </c>
      <c r="F1429">
        <f>IF(AND(出库明细!C1429&lt;&gt;"",出库明细!C1429=客户对账单!$B$4,ISNUMBER(出库明细!B1429),出库明细!B1429&gt;=客户对账单!$G$4,出库明细!B1429&lt;=客户对账单!$I$4),出库明细!B1429+ROW()/100000,"")</f>
      </c>
      <c r="H1429">
        <f>IF(AND(采购进货!C1429&lt;&gt;"",采购进货!C1429=供应商对账单!$B$4,ISNUMBER(采购进货!B1429),采购进货!B1429&gt;=供应商对账单!$G$4,采购进货!B1429&lt;=供应商对账单!$I$4),采购进货!B1429+ROW()/100000,"")</f>
      </c>
      <c r="N1429">
        <f>IF(AND(ISNUMBER(出库明细!G1429),ISNUMBER(出库明细!E1429),ISNUMBER(出库明细!F1429)),IF(ABS(出库明细!G1429-出库明细!E1429*出库明细!F1429)&gt;0.005,1,0),0)</f>
        <v>0</v>
      </c>
    </row>
    <row r="1430">
      <c r="A1430">
        <f>IF(OR(出库明细!C430="",出库明细!D430=""),"",IF(OR(COUNTIFS(存条明细!$C$4:$C$1003,出库明细!C430,存条明细!$D$4:$D$1003,出库明细!D430)&gt;0,COUNTIFS(出库明细!$C$4:C430,出库明细!C430,出库明细!$D$4:D430,出库明细!D430)&gt;1),"",IFERROR(MATCH(出库明细!C430,总览汇总!$B$5:$B$304,0),900)*10000000+IFERROR(MATCH(出库明细!D430,基础资料!$E$5:$E$104,0),900)*10000+ROW()))</f>
      </c>
      <c r="F1430">
        <f>IF(AND(出库明细!C1430&lt;&gt;"",出库明细!C1430=客户对账单!$B$4,ISNUMBER(出库明细!B1430),出库明细!B1430&gt;=客户对账单!$G$4,出库明细!B1430&lt;=客户对账单!$I$4),出库明细!B1430+ROW()/100000,"")</f>
      </c>
      <c r="H1430">
        <f>IF(AND(采购进货!C1430&lt;&gt;"",采购进货!C1430=供应商对账单!$B$4,ISNUMBER(采购进货!B1430),采购进货!B1430&gt;=供应商对账单!$G$4,采购进货!B1430&lt;=供应商对账单!$I$4),采购进货!B1430+ROW()/100000,"")</f>
      </c>
      <c r="N1430">
        <f>IF(AND(ISNUMBER(出库明细!G1430),ISNUMBER(出库明细!E1430),ISNUMBER(出库明细!F1430)),IF(ABS(出库明细!G1430-出库明细!E1430*出库明细!F1430)&gt;0.005,1,0),0)</f>
        <v>0</v>
      </c>
    </row>
    <row r="1431">
      <c r="A1431">
        <f>IF(OR(出库明细!C431="",出库明细!D431=""),"",IF(OR(COUNTIFS(存条明细!$C$4:$C$1003,出库明细!C431,存条明细!$D$4:$D$1003,出库明细!D431)&gt;0,COUNTIFS(出库明细!$C$4:C431,出库明细!C431,出库明细!$D$4:D431,出库明细!D431)&gt;1),"",IFERROR(MATCH(出库明细!C431,总览汇总!$B$5:$B$304,0),900)*10000000+IFERROR(MATCH(出库明细!D431,基础资料!$E$5:$E$104,0),900)*10000+ROW()))</f>
      </c>
      <c r="F1431">
        <f>IF(AND(出库明细!C1431&lt;&gt;"",出库明细!C1431=客户对账单!$B$4,ISNUMBER(出库明细!B1431),出库明细!B1431&gt;=客户对账单!$G$4,出库明细!B1431&lt;=客户对账单!$I$4),出库明细!B1431+ROW()/100000,"")</f>
      </c>
      <c r="H1431">
        <f>IF(AND(采购进货!C1431&lt;&gt;"",采购进货!C1431=供应商对账单!$B$4,ISNUMBER(采购进货!B1431),采购进货!B1431&gt;=供应商对账单!$G$4,采购进货!B1431&lt;=供应商对账单!$I$4),采购进货!B1431+ROW()/100000,"")</f>
      </c>
      <c r="N1431">
        <f>IF(AND(ISNUMBER(出库明细!G1431),ISNUMBER(出库明细!E1431),ISNUMBER(出库明细!F1431)),IF(ABS(出库明细!G1431-出库明细!E1431*出库明细!F1431)&gt;0.005,1,0),0)</f>
        <v>0</v>
      </c>
    </row>
    <row r="1432">
      <c r="A1432">
        <f>IF(OR(出库明细!C432="",出库明细!D432=""),"",IF(OR(COUNTIFS(存条明细!$C$4:$C$1003,出库明细!C432,存条明细!$D$4:$D$1003,出库明细!D432)&gt;0,COUNTIFS(出库明细!$C$4:C432,出库明细!C432,出库明细!$D$4:D432,出库明细!D432)&gt;1),"",IFERROR(MATCH(出库明细!C432,总览汇总!$B$5:$B$304,0),900)*10000000+IFERROR(MATCH(出库明细!D432,基础资料!$E$5:$E$104,0),900)*10000+ROW()))</f>
      </c>
      <c r="F1432">
        <f>IF(AND(出库明细!C1432&lt;&gt;"",出库明细!C1432=客户对账单!$B$4,ISNUMBER(出库明细!B1432),出库明细!B1432&gt;=客户对账单!$G$4,出库明细!B1432&lt;=客户对账单!$I$4),出库明细!B1432+ROW()/100000,"")</f>
      </c>
      <c r="H1432">
        <f>IF(AND(采购进货!C1432&lt;&gt;"",采购进货!C1432=供应商对账单!$B$4,ISNUMBER(采购进货!B1432),采购进货!B1432&gt;=供应商对账单!$G$4,采购进货!B1432&lt;=供应商对账单!$I$4),采购进货!B1432+ROW()/100000,"")</f>
      </c>
      <c r="N1432">
        <f>IF(AND(ISNUMBER(出库明细!G1432),ISNUMBER(出库明细!E1432),ISNUMBER(出库明细!F1432)),IF(ABS(出库明细!G1432-出库明细!E1432*出库明细!F1432)&gt;0.005,1,0),0)</f>
        <v>0</v>
      </c>
    </row>
    <row r="1433">
      <c r="A1433">
        <f>IF(OR(出库明细!C433="",出库明细!D433=""),"",IF(OR(COUNTIFS(存条明细!$C$4:$C$1003,出库明细!C433,存条明细!$D$4:$D$1003,出库明细!D433)&gt;0,COUNTIFS(出库明细!$C$4:C433,出库明细!C433,出库明细!$D$4:D433,出库明细!D433)&gt;1),"",IFERROR(MATCH(出库明细!C433,总览汇总!$B$5:$B$304,0),900)*10000000+IFERROR(MATCH(出库明细!D433,基础资料!$E$5:$E$104,0),900)*10000+ROW()))</f>
      </c>
      <c r="F1433">
        <f>IF(AND(出库明细!C1433&lt;&gt;"",出库明细!C1433=客户对账单!$B$4,ISNUMBER(出库明细!B1433),出库明细!B1433&gt;=客户对账单!$G$4,出库明细!B1433&lt;=客户对账单!$I$4),出库明细!B1433+ROW()/100000,"")</f>
      </c>
      <c r="H1433">
        <f>IF(AND(采购进货!C1433&lt;&gt;"",采购进货!C1433=供应商对账单!$B$4,ISNUMBER(采购进货!B1433),采购进货!B1433&gt;=供应商对账单!$G$4,采购进货!B1433&lt;=供应商对账单!$I$4),采购进货!B1433+ROW()/100000,"")</f>
      </c>
      <c r="N1433">
        <f>IF(AND(ISNUMBER(出库明细!G1433),ISNUMBER(出库明细!E1433),ISNUMBER(出库明细!F1433)),IF(ABS(出库明细!G1433-出库明细!E1433*出库明细!F1433)&gt;0.005,1,0),0)</f>
        <v>0</v>
      </c>
    </row>
    <row r="1434">
      <c r="A1434">
        <f>IF(OR(出库明细!C434="",出库明细!D434=""),"",IF(OR(COUNTIFS(存条明细!$C$4:$C$1003,出库明细!C434,存条明细!$D$4:$D$1003,出库明细!D434)&gt;0,COUNTIFS(出库明细!$C$4:C434,出库明细!C434,出库明细!$D$4:D434,出库明细!D434)&gt;1),"",IFERROR(MATCH(出库明细!C434,总览汇总!$B$5:$B$304,0),900)*10000000+IFERROR(MATCH(出库明细!D434,基础资料!$E$5:$E$104,0),900)*10000+ROW()))</f>
      </c>
      <c r="F1434">
        <f>IF(AND(出库明细!C1434&lt;&gt;"",出库明细!C1434=客户对账单!$B$4,ISNUMBER(出库明细!B1434),出库明细!B1434&gt;=客户对账单!$G$4,出库明细!B1434&lt;=客户对账单!$I$4),出库明细!B1434+ROW()/100000,"")</f>
      </c>
      <c r="H1434">
        <f>IF(AND(采购进货!C1434&lt;&gt;"",采购进货!C1434=供应商对账单!$B$4,ISNUMBER(采购进货!B1434),采购进货!B1434&gt;=供应商对账单!$G$4,采购进货!B1434&lt;=供应商对账单!$I$4),采购进货!B1434+ROW()/100000,"")</f>
      </c>
      <c r="N1434">
        <f>IF(AND(ISNUMBER(出库明细!G1434),ISNUMBER(出库明细!E1434),ISNUMBER(出库明细!F1434)),IF(ABS(出库明细!G1434-出库明细!E1434*出库明细!F1434)&gt;0.005,1,0),0)</f>
        <v>0</v>
      </c>
    </row>
    <row r="1435">
      <c r="A1435">
        <f>IF(OR(出库明细!C435="",出库明细!D435=""),"",IF(OR(COUNTIFS(存条明细!$C$4:$C$1003,出库明细!C435,存条明细!$D$4:$D$1003,出库明细!D435)&gt;0,COUNTIFS(出库明细!$C$4:C435,出库明细!C435,出库明细!$D$4:D435,出库明细!D435)&gt;1),"",IFERROR(MATCH(出库明细!C435,总览汇总!$B$5:$B$304,0),900)*10000000+IFERROR(MATCH(出库明细!D435,基础资料!$E$5:$E$104,0),900)*10000+ROW()))</f>
      </c>
      <c r="F1435">
        <f>IF(AND(出库明细!C1435&lt;&gt;"",出库明细!C1435=客户对账单!$B$4,ISNUMBER(出库明细!B1435),出库明细!B1435&gt;=客户对账单!$G$4,出库明细!B1435&lt;=客户对账单!$I$4),出库明细!B1435+ROW()/100000,"")</f>
      </c>
      <c r="H1435">
        <f>IF(AND(采购进货!C1435&lt;&gt;"",采购进货!C1435=供应商对账单!$B$4,ISNUMBER(采购进货!B1435),采购进货!B1435&gt;=供应商对账单!$G$4,采购进货!B1435&lt;=供应商对账单!$I$4),采购进货!B1435+ROW()/100000,"")</f>
      </c>
      <c r="N1435">
        <f>IF(AND(ISNUMBER(出库明细!G1435),ISNUMBER(出库明细!E1435),ISNUMBER(出库明细!F1435)),IF(ABS(出库明细!G1435-出库明细!E1435*出库明细!F1435)&gt;0.005,1,0),0)</f>
        <v>0</v>
      </c>
    </row>
    <row r="1436">
      <c r="A1436">
        <f>IF(OR(出库明细!C436="",出库明细!D436=""),"",IF(OR(COUNTIFS(存条明细!$C$4:$C$1003,出库明细!C436,存条明细!$D$4:$D$1003,出库明细!D436)&gt;0,COUNTIFS(出库明细!$C$4:C436,出库明细!C436,出库明细!$D$4:D436,出库明细!D436)&gt;1),"",IFERROR(MATCH(出库明细!C436,总览汇总!$B$5:$B$304,0),900)*10000000+IFERROR(MATCH(出库明细!D436,基础资料!$E$5:$E$104,0),900)*10000+ROW()))</f>
      </c>
      <c r="F1436">
        <f>IF(AND(出库明细!C1436&lt;&gt;"",出库明细!C1436=客户对账单!$B$4,ISNUMBER(出库明细!B1436),出库明细!B1436&gt;=客户对账单!$G$4,出库明细!B1436&lt;=客户对账单!$I$4),出库明细!B1436+ROW()/100000,"")</f>
      </c>
      <c r="H1436">
        <f>IF(AND(采购进货!C1436&lt;&gt;"",采购进货!C1436=供应商对账单!$B$4,ISNUMBER(采购进货!B1436),采购进货!B1436&gt;=供应商对账单!$G$4,采购进货!B1436&lt;=供应商对账单!$I$4),采购进货!B1436+ROW()/100000,"")</f>
      </c>
      <c r="N1436">
        <f>IF(AND(ISNUMBER(出库明细!G1436),ISNUMBER(出库明细!E1436),ISNUMBER(出库明细!F1436)),IF(ABS(出库明细!G1436-出库明细!E1436*出库明细!F1436)&gt;0.005,1,0),0)</f>
        <v>0</v>
      </c>
    </row>
    <row r="1437">
      <c r="A1437">
        <f>IF(OR(出库明细!C437="",出库明细!D437=""),"",IF(OR(COUNTIFS(存条明细!$C$4:$C$1003,出库明细!C437,存条明细!$D$4:$D$1003,出库明细!D437)&gt;0,COUNTIFS(出库明细!$C$4:C437,出库明细!C437,出库明细!$D$4:D437,出库明细!D437)&gt;1),"",IFERROR(MATCH(出库明细!C437,总览汇总!$B$5:$B$304,0),900)*10000000+IFERROR(MATCH(出库明细!D437,基础资料!$E$5:$E$104,0),900)*10000+ROW()))</f>
      </c>
      <c r="F1437">
        <f>IF(AND(出库明细!C1437&lt;&gt;"",出库明细!C1437=客户对账单!$B$4,ISNUMBER(出库明细!B1437),出库明细!B1437&gt;=客户对账单!$G$4,出库明细!B1437&lt;=客户对账单!$I$4),出库明细!B1437+ROW()/100000,"")</f>
      </c>
      <c r="H1437">
        <f>IF(AND(采购进货!C1437&lt;&gt;"",采购进货!C1437=供应商对账单!$B$4,ISNUMBER(采购进货!B1437),采购进货!B1437&gt;=供应商对账单!$G$4,采购进货!B1437&lt;=供应商对账单!$I$4),采购进货!B1437+ROW()/100000,"")</f>
      </c>
      <c r="N1437">
        <f>IF(AND(ISNUMBER(出库明细!G1437),ISNUMBER(出库明细!E1437),ISNUMBER(出库明细!F1437)),IF(ABS(出库明细!G1437-出库明细!E1437*出库明细!F1437)&gt;0.005,1,0),0)</f>
        <v>0</v>
      </c>
    </row>
    <row r="1438">
      <c r="A1438">
        <f>IF(OR(出库明细!C438="",出库明细!D438=""),"",IF(OR(COUNTIFS(存条明细!$C$4:$C$1003,出库明细!C438,存条明细!$D$4:$D$1003,出库明细!D438)&gt;0,COUNTIFS(出库明细!$C$4:C438,出库明细!C438,出库明细!$D$4:D438,出库明细!D438)&gt;1),"",IFERROR(MATCH(出库明细!C438,总览汇总!$B$5:$B$304,0),900)*10000000+IFERROR(MATCH(出库明细!D438,基础资料!$E$5:$E$104,0),900)*10000+ROW()))</f>
      </c>
      <c r="F1438">
        <f>IF(AND(出库明细!C1438&lt;&gt;"",出库明细!C1438=客户对账单!$B$4,ISNUMBER(出库明细!B1438),出库明细!B1438&gt;=客户对账单!$G$4,出库明细!B1438&lt;=客户对账单!$I$4),出库明细!B1438+ROW()/100000,"")</f>
      </c>
      <c r="H1438">
        <f>IF(AND(采购进货!C1438&lt;&gt;"",采购进货!C1438=供应商对账单!$B$4,ISNUMBER(采购进货!B1438),采购进货!B1438&gt;=供应商对账单!$G$4,采购进货!B1438&lt;=供应商对账单!$I$4),采购进货!B1438+ROW()/100000,"")</f>
      </c>
      <c r="N1438">
        <f>IF(AND(ISNUMBER(出库明细!G1438),ISNUMBER(出库明细!E1438),ISNUMBER(出库明细!F1438)),IF(ABS(出库明细!G1438-出库明细!E1438*出库明细!F1438)&gt;0.005,1,0),0)</f>
        <v>0</v>
      </c>
    </row>
    <row r="1439">
      <c r="A1439">
        <f>IF(OR(出库明细!C439="",出库明细!D439=""),"",IF(OR(COUNTIFS(存条明细!$C$4:$C$1003,出库明细!C439,存条明细!$D$4:$D$1003,出库明细!D439)&gt;0,COUNTIFS(出库明细!$C$4:C439,出库明细!C439,出库明细!$D$4:D439,出库明细!D439)&gt;1),"",IFERROR(MATCH(出库明细!C439,总览汇总!$B$5:$B$304,0),900)*10000000+IFERROR(MATCH(出库明细!D439,基础资料!$E$5:$E$104,0),900)*10000+ROW()))</f>
      </c>
      <c r="F1439">
        <f>IF(AND(出库明细!C1439&lt;&gt;"",出库明细!C1439=客户对账单!$B$4,ISNUMBER(出库明细!B1439),出库明细!B1439&gt;=客户对账单!$G$4,出库明细!B1439&lt;=客户对账单!$I$4),出库明细!B1439+ROW()/100000,"")</f>
      </c>
      <c r="H1439">
        <f>IF(AND(采购进货!C1439&lt;&gt;"",采购进货!C1439=供应商对账单!$B$4,ISNUMBER(采购进货!B1439),采购进货!B1439&gt;=供应商对账单!$G$4,采购进货!B1439&lt;=供应商对账单!$I$4),采购进货!B1439+ROW()/100000,"")</f>
      </c>
      <c r="N1439">
        <f>IF(AND(ISNUMBER(出库明细!G1439),ISNUMBER(出库明细!E1439),ISNUMBER(出库明细!F1439)),IF(ABS(出库明细!G1439-出库明细!E1439*出库明细!F1439)&gt;0.005,1,0),0)</f>
        <v>0</v>
      </c>
    </row>
    <row r="1440">
      <c r="A1440">
        <f>IF(OR(出库明细!C440="",出库明细!D440=""),"",IF(OR(COUNTIFS(存条明细!$C$4:$C$1003,出库明细!C440,存条明细!$D$4:$D$1003,出库明细!D440)&gt;0,COUNTIFS(出库明细!$C$4:C440,出库明细!C440,出库明细!$D$4:D440,出库明细!D440)&gt;1),"",IFERROR(MATCH(出库明细!C440,总览汇总!$B$5:$B$304,0),900)*10000000+IFERROR(MATCH(出库明细!D440,基础资料!$E$5:$E$104,0),900)*10000+ROW()))</f>
      </c>
      <c r="F1440">
        <f>IF(AND(出库明细!C1440&lt;&gt;"",出库明细!C1440=客户对账单!$B$4,ISNUMBER(出库明细!B1440),出库明细!B1440&gt;=客户对账单!$G$4,出库明细!B1440&lt;=客户对账单!$I$4),出库明细!B1440+ROW()/100000,"")</f>
      </c>
      <c r="H1440">
        <f>IF(AND(采购进货!C1440&lt;&gt;"",采购进货!C1440=供应商对账单!$B$4,ISNUMBER(采购进货!B1440),采购进货!B1440&gt;=供应商对账单!$G$4,采购进货!B1440&lt;=供应商对账单!$I$4),采购进货!B1440+ROW()/100000,"")</f>
      </c>
      <c r="N1440">
        <f>IF(AND(ISNUMBER(出库明细!G1440),ISNUMBER(出库明细!E1440),ISNUMBER(出库明细!F1440)),IF(ABS(出库明细!G1440-出库明细!E1440*出库明细!F1440)&gt;0.005,1,0),0)</f>
        <v>0</v>
      </c>
    </row>
    <row r="1441">
      <c r="A1441">
        <f>IF(OR(出库明细!C441="",出库明细!D441=""),"",IF(OR(COUNTIFS(存条明细!$C$4:$C$1003,出库明细!C441,存条明细!$D$4:$D$1003,出库明细!D441)&gt;0,COUNTIFS(出库明细!$C$4:C441,出库明细!C441,出库明细!$D$4:D441,出库明细!D441)&gt;1),"",IFERROR(MATCH(出库明细!C441,总览汇总!$B$5:$B$304,0),900)*10000000+IFERROR(MATCH(出库明细!D441,基础资料!$E$5:$E$104,0),900)*10000+ROW()))</f>
        <v>430011441</v>
      </c>
      <c r="F1441">
        <f>IF(AND(出库明细!C1441&lt;&gt;"",出库明细!C1441=客户对账单!$B$4,ISNUMBER(出库明细!B1441),出库明细!B1441&gt;=客户对账单!$G$4,出库明细!B1441&lt;=客户对账单!$I$4),出库明细!B1441+ROW()/100000,"")</f>
      </c>
      <c r="H1441">
        <f>IF(AND(采购进货!C1441&lt;&gt;"",采购进货!C1441=供应商对账单!$B$4,ISNUMBER(采购进货!B1441),采购进货!B1441&gt;=供应商对账单!$G$4,采购进货!B1441&lt;=供应商对账单!$I$4),采购进货!B1441+ROW()/100000,"")</f>
      </c>
      <c r="N1441">
        <f>IF(AND(ISNUMBER(出库明细!G1441),ISNUMBER(出库明细!E1441),ISNUMBER(出库明细!F1441)),IF(ABS(出库明细!G1441-出库明细!E1441*出库明细!F1441)&gt;0.005,1,0),0)</f>
        <v>0</v>
      </c>
    </row>
    <row r="1442">
      <c r="A1442">
        <f>IF(OR(出库明细!C442="",出库明细!D442=""),"",IF(OR(COUNTIFS(存条明细!$C$4:$C$1003,出库明细!C442,存条明细!$D$4:$D$1003,出库明细!D442)&gt;0,COUNTIFS(出库明细!$C$4:C442,出库明细!C442,出库明细!$D$4:D442,出库明细!D442)&gt;1),"",IFERROR(MATCH(出库明细!C442,总览汇总!$B$5:$B$304,0),900)*10000000+IFERROR(MATCH(出库明细!D442,基础资料!$E$5:$E$104,0),900)*10000+ROW()))</f>
      </c>
      <c r="F1442">
        <f>IF(AND(出库明细!C1442&lt;&gt;"",出库明细!C1442=客户对账单!$B$4,ISNUMBER(出库明细!B1442),出库明细!B1442&gt;=客户对账单!$G$4,出库明细!B1442&lt;=客户对账单!$I$4),出库明细!B1442+ROW()/100000,"")</f>
      </c>
      <c r="H1442">
        <f>IF(AND(采购进货!C1442&lt;&gt;"",采购进货!C1442=供应商对账单!$B$4,ISNUMBER(采购进货!B1442),采购进货!B1442&gt;=供应商对账单!$G$4,采购进货!B1442&lt;=供应商对账单!$I$4),采购进货!B1442+ROW()/100000,"")</f>
      </c>
      <c r="N1442">
        <f>IF(AND(ISNUMBER(出库明细!G1442),ISNUMBER(出库明细!E1442),ISNUMBER(出库明细!F1442)),IF(ABS(出库明细!G1442-出库明细!E1442*出库明细!F1442)&gt;0.005,1,0),0)</f>
        <v>0</v>
      </c>
    </row>
    <row r="1443">
      <c r="A1443">
        <f>IF(OR(出库明细!C443="",出库明细!D443=""),"",IF(OR(COUNTIFS(存条明细!$C$4:$C$1003,出库明细!C443,存条明细!$D$4:$D$1003,出库明细!D443)&gt;0,COUNTIFS(出库明细!$C$4:C443,出库明细!C443,出库明细!$D$4:D443,出库明细!D443)&gt;1),"",IFERROR(MATCH(出库明细!C443,总览汇总!$B$5:$B$304,0),900)*10000000+IFERROR(MATCH(出库明细!D443,基础资料!$E$5:$E$104,0),900)*10000+ROW()))</f>
      </c>
      <c r="F1443">
        <f>IF(AND(出库明细!C1443&lt;&gt;"",出库明细!C1443=客户对账单!$B$4,ISNUMBER(出库明细!B1443),出库明细!B1443&gt;=客户对账单!$G$4,出库明细!B1443&lt;=客户对账单!$I$4),出库明细!B1443+ROW()/100000,"")</f>
      </c>
      <c r="H1443">
        <f>IF(AND(采购进货!C1443&lt;&gt;"",采购进货!C1443=供应商对账单!$B$4,ISNUMBER(采购进货!B1443),采购进货!B1443&gt;=供应商对账单!$G$4,采购进货!B1443&lt;=供应商对账单!$I$4),采购进货!B1443+ROW()/100000,"")</f>
      </c>
      <c r="N1443">
        <f>IF(AND(ISNUMBER(出库明细!G1443),ISNUMBER(出库明细!E1443),ISNUMBER(出库明细!F1443)),IF(ABS(出库明细!G1443-出库明细!E1443*出库明细!F1443)&gt;0.005,1,0),0)</f>
        <v>0</v>
      </c>
    </row>
    <row r="1444">
      <c r="A1444">
        <f>IF(OR(出库明细!C444="",出库明细!D444=""),"",IF(OR(COUNTIFS(存条明细!$C$4:$C$1003,出库明细!C444,存条明细!$D$4:$D$1003,出库明细!D444)&gt;0,COUNTIFS(出库明细!$C$4:C444,出库明细!C444,出库明细!$D$4:D444,出库明细!D444)&gt;1),"",IFERROR(MATCH(出库明细!C444,总览汇总!$B$5:$B$304,0),900)*10000000+IFERROR(MATCH(出库明细!D444,基础资料!$E$5:$E$104,0),900)*10000+ROW()))</f>
      </c>
      <c r="F1444">
        <f>IF(AND(出库明细!C1444&lt;&gt;"",出库明细!C1444=客户对账单!$B$4,ISNUMBER(出库明细!B1444),出库明细!B1444&gt;=客户对账单!$G$4,出库明细!B1444&lt;=客户对账单!$I$4),出库明细!B1444+ROW()/100000,"")</f>
      </c>
      <c r="H1444">
        <f>IF(AND(采购进货!C1444&lt;&gt;"",采购进货!C1444=供应商对账单!$B$4,ISNUMBER(采购进货!B1444),采购进货!B1444&gt;=供应商对账单!$G$4,采购进货!B1444&lt;=供应商对账单!$I$4),采购进货!B1444+ROW()/100000,"")</f>
      </c>
      <c r="N1444">
        <f>IF(AND(ISNUMBER(出库明细!G1444),ISNUMBER(出库明细!E1444),ISNUMBER(出库明细!F1444)),IF(ABS(出库明细!G1444-出库明细!E1444*出库明细!F1444)&gt;0.005,1,0),0)</f>
        <v>0</v>
      </c>
    </row>
    <row r="1445">
      <c r="A1445">
        <f>IF(OR(出库明细!C445="",出库明细!D445=""),"",IF(OR(COUNTIFS(存条明细!$C$4:$C$1003,出库明细!C445,存条明细!$D$4:$D$1003,出库明细!D445)&gt;0,COUNTIFS(出库明细!$C$4:C445,出库明细!C445,出库明细!$D$4:D445,出库明细!D445)&gt;1),"",IFERROR(MATCH(出库明细!C445,总览汇总!$B$5:$B$304,0),900)*10000000+IFERROR(MATCH(出库明细!D445,基础资料!$E$5:$E$104,0),900)*10000+ROW()))</f>
      </c>
      <c r="F1445">
        <f>IF(AND(出库明细!C1445&lt;&gt;"",出库明细!C1445=客户对账单!$B$4,ISNUMBER(出库明细!B1445),出库明细!B1445&gt;=客户对账单!$G$4,出库明细!B1445&lt;=客户对账单!$I$4),出库明细!B1445+ROW()/100000,"")</f>
      </c>
      <c r="H1445">
        <f>IF(AND(采购进货!C1445&lt;&gt;"",采购进货!C1445=供应商对账单!$B$4,ISNUMBER(采购进货!B1445),采购进货!B1445&gt;=供应商对账单!$G$4,采购进货!B1445&lt;=供应商对账单!$I$4),采购进货!B1445+ROW()/100000,"")</f>
      </c>
      <c r="N1445">
        <f>IF(AND(ISNUMBER(出库明细!G1445),ISNUMBER(出库明细!E1445),ISNUMBER(出库明细!F1445)),IF(ABS(出库明细!G1445-出库明细!E1445*出库明细!F1445)&gt;0.005,1,0),0)</f>
        <v>0</v>
      </c>
    </row>
    <row r="1446">
      <c r="A1446">
        <f>IF(OR(出库明细!C446="",出库明细!D446=""),"",IF(OR(COUNTIFS(存条明细!$C$4:$C$1003,出库明细!C446,存条明细!$D$4:$D$1003,出库明细!D446)&gt;0,COUNTIFS(出库明细!$C$4:C446,出库明细!C446,出库明细!$D$4:D446,出库明细!D446)&gt;1),"",IFERROR(MATCH(出库明细!C446,总览汇总!$B$5:$B$304,0),900)*10000000+IFERROR(MATCH(出库明细!D446,基础资料!$E$5:$E$104,0),900)*10000+ROW()))</f>
      </c>
      <c r="F1446">
        <f>IF(AND(出库明细!C1446&lt;&gt;"",出库明细!C1446=客户对账单!$B$4,ISNUMBER(出库明细!B1446),出库明细!B1446&gt;=客户对账单!$G$4,出库明细!B1446&lt;=客户对账单!$I$4),出库明细!B1446+ROW()/100000,"")</f>
      </c>
      <c r="H1446">
        <f>IF(AND(采购进货!C1446&lt;&gt;"",采购进货!C1446=供应商对账单!$B$4,ISNUMBER(采购进货!B1446),采购进货!B1446&gt;=供应商对账单!$G$4,采购进货!B1446&lt;=供应商对账单!$I$4),采购进货!B1446+ROW()/100000,"")</f>
      </c>
      <c r="N1446">
        <f>IF(AND(ISNUMBER(出库明细!G1446),ISNUMBER(出库明细!E1446),ISNUMBER(出库明细!F1446)),IF(ABS(出库明细!G1446-出库明细!E1446*出库明细!F1446)&gt;0.005,1,0),0)</f>
        <v>0</v>
      </c>
    </row>
    <row r="1447">
      <c r="A1447">
        <f>IF(OR(出库明细!C447="",出库明细!D447=""),"",IF(OR(COUNTIFS(存条明细!$C$4:$C$1003,出库明细!C447,存条明细!$D$4:$D$1003,出库明细!D447)&gt;0,COUNTIFS(出库明细!$C$4:C447,出库明细!C447,出库明细!$D$4:D447,出库明细!D447)&gt;1),"",IFERROR(MATCH(出库明细!C447,总览汇总!$B$5:$B$304,0),900)*10000000+IFERROR(MATCH(出库明细!D447,基础资料!$E$5:$E$104,0),900)*10000+ROW()))</f>
      </c>
      <c r="F1447">
        <f>IF(AND(出库明细!C1447&lt;&gt;"",出库明细!C1447=客户对账单!$B$4,ISNUMBER(出库明细!B1447),出库明细!B1447&gt;=客户对账单!$G$4,出库明细!B1447&lt;=客户对账单!$I$4),出库明细!B1447+ROW()/100000,"")</f>
      </c>
      <c r="H1447">
        <f>IF(AND(采购进货!C1447&lt;&gt;"",采购进货!C1447=供应商对账单!$B$4,ISNUMBER(采购进货!B1447),采购进货!B1447&gt;=供应商对账单!$G$4,采购进货!B1447&lt;=供应商对账单!$I$4),采购进货!B1447+ROW()/100000,"")</f>
      </c>
      <c r="N1447">
        <f>IF(AND(ISNUMBER(出库明细!G1447),ISNUMBER(出库明细!E1447),ISNUMBER(出库明细!F1447)),IF(ABS(出库明细!G1447-出库明细!E1447*出库明细!F1447)&gt;0.005,1,0),0)</f>
        <v>0</v>
      </c>
    </row>
    <row r="1448">
      <c r="A1448">
        <f>IF(OR(出库明细!C448="",出库明细!D448=""),"",IF(OR(COUNTIFS(存条明细!$C$4:$C$1003,出库明细!C448,存条明细!$D$4:$D$1003,出库明细!D448)&gt;0,COUNTIFS(出库明细!$C$4:C448,出库明细!C448,出库明细!$D$4:D448,出库明细!D448)&gt;1),"",IFERROR(MATCH(出库明细!C448,总览汇总!$B$5:$B$304,0),900)*10000000+IFERROR(MATCH(出库明细!D448,基础资料!$E$5:$E$104,0),900)*10000+ROW()))</f>
      </c>
      <c r="F1448">
        <f>IF(AND(出库明细!C1448&lt;&gt;"",出库明细!C1448=客户对账单!$B$4,ISNUMBER(出库明细!B1448),出库明细!B1448&gt;=客户对账单!$G$4,出库明细!B1448&lt;=客户对账单!$I$4),出库明细!B1448+ROW()/100000,"")</f>
      </c>
      <c r="H1448">
        <f>IF(AND(采购进货!C1448&lt;&gt;"",采购进货!C1448=供应商对账单!$B$4,ISNUMBER(采购进货!B1448),采购进货!B1448&gt;=供应商对账单!$G$4,采购进货!B1448&lt;=供应商对账单!$I$4),采购进货!B1448+ROW()/100000,"")</f>
      </c>
      <c r="N1448">
        <f>IF(AND(ISNUMBER(出库明细!G1448),ISNUMBER(出库明细!E1448),ISNUMBER(出库明细!F1448)),IF(ABS(出库明细!G1448-出库明细!E1448*出库明细!F1448)&gt;0.005,1,0),0)</f>
        <v>0</v>
      </c>
    </row>
    <row r="1449">
      <c r="A1449">
        <f>IF(OR(出库明细!C449="",出库明细!D449=""),"",IF(OR(COUNTIFS(存条明细!$C$4:$C$1003,出库明细!C449,存条明细!$D$4:$D$1003,出库明细!D449)&gt;0,COUNTIFS(出库明细!$C$4:C449,出库明细!C449,出库明细!$D$4:D449,出库明细!D449)&gt;1),"",IFERROR(MATCH(出库明细!C449,总览汇总!$B$5:$B$304,0),900)*10000000+IFERROR(MATCH(出库明细!D449,基础资料!$E$5:$E$104,0),900)*10000+ROW()))</f>
      </c>
      <c r="F1449">
        <f>IF(AND(出库明细!C1449&lt;&gt;"",出库明细!C1449=客户对账单!$B$4,ISNUMBER(出库明细!B1449),出库明细!B1449&gt;=客户对账单!$G$4,出库明细!B1449&lt;=客户对账单!$I$4),出库明细!B1449+ROW()/100000,"")</f>
      </c>
      <c r="H1449">
        <f>IF(AND(采购进货!C1449&lt;&gt;"",采购进货!C1449=供应商对账单!$B$4,ISNUMBER(采购进货!B1449),采购进货!B1449&gt;=供应商对账单!$G$4,采购进货!B1449&lt;=供应商对账单!$I$4),采购进货!B1449+ROW()/100000,"")</f>
      </c>
      <c r="N1449">
        <f>IF(AND(ISNUMBER(出库明细!G1449),ISNUMBER(出库明细!E1449),ISNUMBER(出库明细!F1449)),IF(ABS(出库明细!G1449-出库明细!E1449*出库明细!F1449)&gt;0.005,1,0),0)</f>
        <v>0</v>
      </c>
    </row>
    <row r="1450">
      <c r="A1450">
        <f>IF(OR(出库明细!C450="",出库明细!D450=""),"",IF(OR(COUNTIFS(存条明细!$C$4:$C$1003,出库明细!C450,存条明细!$D$4:$D$1003,出库明细!D450)&gt;0,COUNTIFS(出库明细!$C$4:C450,出库明细!C450,出库明细!$D$4:D450,出库明细!D450)&gt;1),"",IFERROR(MATCH(出库明细!C450,总览汇总!$B$5:$B$304,0),900)*10000000+IFERROR(MATCH(出库明细!D450,基础资料!$E$5:$E$104,0),900)*10000+ROW()))</f>
      </c>
      <c r="F1450">
        <f>IF(AND(出库明细!C1450&lt;&gt;"",出库明细!C1450=客户对账单!$B$4,ISNUMBER(出库明细!B1450),出库明细!B1450&gt;=客户对账单!$G$4,出库明细!B1450&lt;=客户对账单!$I$4),出库明细!B1450+ROW()/100000,"")</f>
      </c>
      <c r="H1450">
        <f>IF(AND(采购进货!C1450&lt;&gt;"",采购进货!C1450=供应商对账单!$B$4,ISNUMBER(采购进货!B1450),采购进货!B1450&gt;=供应商对账单!$G$4,采购进货!B1450&lt;=供应商对账单!$I$4),采购进货!B1450+ROW()/100000,"")</f>
      </c>
      <c r="N1450">
        <f>IF(AND(ISNUMBER(出库明细!G1450),ISNUMBER(出库明细!E1450),ISNUMBER(出库明细!F1450)),IF(ABS(出库明细!G1450-出库明细!E1450*出库明细!F1450)&gt;0.005,1,0),0)</f>
        <v>0</v>
      </c>
    </row>
    <row r="1451">
      <c r="A1451">
        <f>IF(OR(出库明细!C451="",出库明细!D451=""),"",IF(OR(COUNTIFS(存条明细!$C$4:$C$1003,出库明细!C451,存条明细!$D$4:$D$1003,出库明细!D451)&gt;0,COUNTIFS(出库明细!$C$4:C451,出库明细!C451,出库明细!$D$4:D451,出库明细!D451)&gt;1),"",IFERROR(MATCH(出库明细!C451,总览汇总!$B$5:$B$304,0),900)*10000000+IFERROR(MATCH(出库明细!D451,基础资料!$E$5:$E$104,0),900)*10000+ROW()))</f>
      </c>
      <c r="F1451">
        <f>IF(AND(出库明细!C1451&lt;&gt;"",出库明细!C1451=客户对账单!$B$4,ISNUMBER(出库明细!B1451),出库明细!B1451&gt;=客户对账单!$G$4,出库明细!B1451&lt;=客户对账单!$I$4),出库明细!B1451+ROW()/100000,"")</f>
      </c>
      <c r="H1451">
        <f>IF(AND(采购进货!C1451&lt;&gt;"",采购进货!C1451=供应商对账单!$B$4,ISNUMBER(采购进货!B1451),采购进货!B1451&gt;=供应商对账单!$G$4,采购进货!B1451&lt;=供应商对账单!$I$4),采购进货!B1451+ROW()/100000,"")</f>
      </c>
      <c r="N1451">
        <f>IF(AND(ISNUMBER(出库明细!G1451),ISNUMBER(出库明细!E1451),ISNUMBER(出库明细!F1451)),IF(ABS(出库明细!G1451-出库明细!E1451*出库明细!F1451)&gt;0.005,1,0),0)</f>
        <v>0</v>
      </c>
    </row>
    <row r="1452">
      <c r="A1452">
        <f>IF(OR(出库明细!C452="",出库明细!D452=""),"",IF(OR(COUNTIFS(存条明细!$C$4:$C$1003,出库明细!C452,存条明细!$D$4:$D$1003,出库明细!D452)&gt;0,COUNTIFS(出库明细!$C$4:C452,出库明细!C452,出库明细!$D$4:D452,出库明细!D452)&gt;1),"",IFERROR(MATCH(出库明细!C452,总览汇总!$B$5:$B$304,0),900)*10000000+IFERROR(MATCH(出库明细!D452,基础资料!$E$5:$E$104,0),900)*10000+ROW()))</f>
      </c>
      <c r="F1452">
        <f>IF(AND(出库明细!C1452&lt;&gt;"",出库明细!C1452=客户对账单!$B$4,ISNUMBER(出库明细!B1452),出库明细!B1452&gt;=客户对账单!$G$4,出库明细!B1452&lt;=客户对账单!$I$4),出库明细!B1452+ROW()/100000,"")</f>
      </c>
      <c r="H1452">
        <f>IF(AND(采购进货!C1452&lt;&gt;"",采购进货!C1452=供应商对账单!$B$4,ISNUMBER(采购进货!B1452),采购进货!B1452&gt;=供应商对账单!$G$4,采购进货!B1452&lt;=供应商对账单!$I$4),采购进货!B1452+ROW()/100000,"")</f>
      </c>
      <c r="N1452">
        <f>IF(AND(ISNUMBER(出库明细!G1452),ISNUMBER(出库明细!E1452),ISNUMBER(出库明细!F1452)),IF(ABS(出库明细!G1452-出库明细!E1452*出库明细!F1452)&gt;0.005,1,0),0)</f>
        <v>0</v>
      </c>
    </row>
    <row r="1453">
      <c r="A1453">
        <f>IF(OR(出库明细!C453="",出库明细!D453=""),"",IF(OR(COUNTIFS(存条明细!$C$4:$C$1003,出库明细!C453,存条明细!$D$4:$D$1003,出库明细!D453)&gt;0,COUNTIFS(出库明细!$C$4:C453,出库明细!C453,出库明细!$D$4:D453,出库明细!D453)&gt;1),"",IFERROR(MATCH(出库明细!C453,总览汇总!$B$5:$B$304,0),900)*10000000+IFERROR(MATCH(出库明细!D453,基础资料!$E$5:$E$104,0),900)*10000+ROW()))</f>
      </c>
      <c r="F1453">
        <f>IF(AND(出库明细!C1453&lt;&gt;"",出库明细!C1453=客户对账单!$B$4,ISNUMBER(出库明细!B1453),出库明细!B1453&gt;=客户对账单!$G$4,出库明细!B1453&lt;=客户对账单!$I$4),出库明细!B1453+ROW()/100000,"")</f>
      </c>
      <c r="H1453">
        <f>IF(AND(采购进货!C1453&lt;&gt;"",采购进货!C1453=供应商对账单!$B$4,ISNUMBER(采购进货!B1453),采购进货!B1453&gt;=供应商对账单!$G$4,采购进货!B1453&lt;=供应商对账单!$I$4),采购进货!B1453+ROW()/100000,"")</f>
      </c>
      <c r="N1453">
        <f>IF(AND(ISNUMBER(出库明细!G1453),ISNUMBER(出库明细!E1453),ISNUMBER(出库明细!F1453)),IF(ABS(出库明细!G1453-出库明细!E1453*出库明细!F1453)&gt;0.005,1,0),0)</f>
        <v>0</v>
      </c>
    </row>
    <row r="1454">
      <c r="A1454">
        <f>IF(OR(出库明细!C454="",出库明细!D454=""),"",IF(OR(COUNTIFS(存条明细!$C$4:$C$1003,出库明细!C454,存条明细!$D$4:$D$1003,出库明细!D454)&gt;0,COUNTIFS(出库明细!$C$4:C454,出库明细!C454,出库明细!$D$4:D454,出库明细!D454)&gt;1),"",IFERROR(MATCH(出库明细!C454,总览汇总!$B$5:$B$304,0),900)*10000000+IFERROR(MATCH(出库明细!D454,基础资料!$E$5:$E$104,0),900)*10000+ROW()))</f>
      </c>
      <c r="F1454">
        <f>IF(AND(出库明细!C1454&lt;&gt;"",出库明细!C1454=客户对账单!$B$4,ISNUMBER(出库明细!B1454),出库明细!B1454&gt;=客户对账单!$G$4,出库明细!B1454&lt;=客户对账单!$I$4),出库明细!B1454+ROW()/100000,"")</f>
      </c>
      <c r="H1454">
        <f>IF(AND(采购进货!C1454&lt;&gt;"",采购进货!C1454=供应商对账单!$B$4,ISNUMBER(采购进货!B1454),采购进货!B1454&gt;=供应商对账单!$G$4,采购进货!B1454&lt;=供应商对账单!$I$4),采购进货!B1454+ROW()/100000,"")</f>
      </c>
      <c r="N1454">
        <f>IF(AND(ISNUMBER(出库明细!G1454),ISNUMBER(出库明细!E1454),ISNUMBER(出库明细!F1454)),IF(ABS(出库明细!G1454-出库明细!E1454*出库明细!F1454)&gt;0.005,1,0),0)</f>
        <v>0</v>
      </c>
    </row>
    <row r="1455">
      <c r="A1455">
        <f>IF(OR(出库明细!C455="",出库明细!D455=""),"",IF(OR(COUNTIFS(存条明细!$C$4:$C$1003,出库明细!C455,存条明细!$D$4:$D$1003,出库明细!D455)&gt;0,COUNTIFS(出库明细!$C$4:C455,出库明细!C455,出库明细!$D$4:D455,出库明细!D455)&gt;1),"",IFERROR(MATCH(出库明细!C455,总览汇总!$B$5:$B$304,0),900)*10000000+IFERROR(MATCH(出库明细!D455,基础资料!$E$5:$E$104,0),900)*10000+ROW()))</f>
      </c>
      <c r="F1455">
        <f>IF(AND(出库明细!C1455&lt;&gt;"",出库明细!C1455=客户对账单!$B$4,ISNUMBER(出库明细!B1455),出库明细!B1455&gt;=客户对账单!$G$4,出库明细!B1455&lt;=客户对账单!$I$4),出库明细!B1455+ROW()/100000,"")</f>
      </c>
      <c r="H1455">
        <f>IF(AND(采购进货!C1455&lt;&gt;"",采购进货!C1455=供应商对账单!$B$4,ISNUMBER(采购进货!B1455),采购进货!B1455&gt;=供应商对账单!$G$4,采购进货!B1455&lt;=供应商对账单!$I$4),采购进货!B1455+ROW()/100000,"")</f>
      </c>
      <c r="N1455">
        <f>IF(AND(ISNUMBER(出库明细!G1455),ISNUMBER(出库明细!E1455),ISNUMBER(出库明细!F1455)),IF(ABS(出库明细!G1455-出库明细!E1455*出库明细!F1455)&gt;0.005,1,0),0)</f>
        <v>0</v>
      </c>
    </row>
    <row r="1456">
      <c r="A1456">
        <f>IF(OR(出库明细!C456="",出库明细!D456=""),"",IF(OR(COUNTIFS(存条明细!$C$4:$C$1003,出库明细!C456,存条明细!$D$4:$D$1003,出库明细!D456)&gt;0,COUNTIFS(出库明细!$C$4:C456,出库明细!C456,出库明细!$D$4:D456,出库明细!D456)&gt;1),"",IFERROR(MATCH(出库明细!C456,总览汇总!$B$5:$B$304,0),900)*10000000+IFERROR(MATCH(出库明细!D456,基础资料!$E$5:$E$104,0),900)*10000+ROW()))</f>
        <v>350041456</v>
      </c>
      <c r="F1456">
        <f>IF(AND(出库明细!C1456&lt;&gt;"",出库明细!C1456=客户对账单!$B$4,ISNUMBER(出库明细!B1456),出库明细!B1456&gt;=客户对账单!$G$4,出库明细!B1456&lt;=客户对账单!$I$4),出库明细!B1456+ROW()/100000,"")</f>
      </c>
      <c r="H1456">
        <f>IF(AND(采购进货!C1456&lt;&gt;"",采购进货!C1456=供应商对账单!$B$4,ISNUMBER(采购进货!B1456),采购进货!B1456&gt;=供应商对账单!$G$4,采购进货!B1456&lt;=供应商对账单!$I$4),采购进货!B1456+ROW()/100000,"")</f>
      </c>
      <c r="N1456">
        <f>IF(AND(ISNUMBER(出库明细!G1456),ISNUMBER(出库明细!E1456),ISNUMBER(出库明细!F1456)),IF(ABS(出库明细!G1456-出库明细!E1456*出库明细!F1456)&gt;0.005,1,0),0)</f>
        <v>0</v>
      </c>
    </row>
    <row r="1457">
      <c r="A1457">
        <f>IF(OR(出库明细!C457="",出库明细!D457=""),"",IF(OR(COUNTIFS(存条明细!$C$4:$C$1003,出库明细!C457,存条明细!$D$4:$D$1003,出库明细!D457)&gt;0,COUNTIFS(出库明细!$C$4:C457,出库明细!C457,出库明细!$D$4:D457,出库明细!D457)&gt;1),"",IFERROR(MATCH(出库明细!C457,总览汇总!$B$5:$B$304,0),900)*10000000+IFERROR(MATCH(出库明细!D457,基础资料!$E$5:$E$104,0),900)*10000+ROW()))</f>
        <v>350031457</v>
      </c>
      <c r="F1457">
        <f>IF(AND(出库明细!C1457&lt;&gt;"",出库明细!C1457=客户对账单!$B$4,ISNUMBER(出库明细!B1457),出库明细!B1457&gt;=客户对账单!$G$4,出库明细!B1457&lt;=客户对账单!$I$4),出库明细!B1457+ROW()/100000,"")</f>
      </c>
      <c r="H1457">
        <f>IF(AND(采购进货!C1457&lt;&gt;"",采购进货!C1457=供应商对账单!$B$4,ISNUMBER(采购进货!B1457),采购进货!B1457&gt;=供应商对账单!$G$4,采购进货!B1457&lt;=供应商对账单!$I$4),采购进货!B1457+ROW()/100000,"")</f>
      </c>
      <c r="N1457">
        <f>IF(AND(ISNUMBER(出库明细!G1457),ISNUMBER(出库明细!E1457),ISNUMBER(出库明细!F1457)),IF(ABS(出库明细!G1457-出库明细!E1457*出库明细!F1457)&gt;0.005,1,0),0)</f>
        <v>0</v>
      </c>
    </row>
    <row r="1458">
      <c r="A1458">
        <f>IF(OR(出库明细!C458="",出库明细!D458=""),"",IF(OR(COUNTIFS(存条明细!$C$4:$C$1003,出库明细!C458,存条明细!$D$4:$D$1003,出库明细!D458)&gt;0,COUNTIFS(出库明细!$C$4:C458,出库明细!C458,出库明细!$D$4:D458,出库明细!D458)&gt;1),"",IFERROR(MATCH(出库明细!C458,总览汇总!$B$5:$B$304,0),900)*10000000+IFERROR(MATCH(出库明细!D458,基础资料!$E$5:$E$104,0),900)*10000+ROW()))</f>
      </c>
      <c r="F1458">
        <f>IF(AND(出库明细!C1458&lt;&gt;"",出库明细!C1458=客户对账单!$B$4,ISNUMBER(出库明细!B1458),出库明细!B1458&gt;=客户对账单!$G$4,出库明细!B1458&lt;=客户对账单!$I$4),出库明细!B1458+ROW()/100000,"")</f>
      </c>
      <c r="H1458">
        <f>IF(AND(采购进货!C1458&lt;&gt;"",采购进货!C1458=供应商对账单!$B$4,ISNUMBER(采购进货!B1458),采购进货!B1458&gt;=供应商对账单!$G$4,采购进货!B1458&lt;=供应商对账单!$I$4),采购进货!B1458+ROW()/100000,"")</f>
      </c>
      <c r="N1458">
        <f>IF(AND(ISNUMBER(出库明细!G1458),ISNUMBER(出库明细!E1458),ISNUMBER(出库明细!F1458)),IF(ABS(出库明细!G1458-出库明细!E1458*出库明细!F1458)&gt;0.005,1,0),0)</f>
        <v>0</v>
      </c>
    </row>
    <row r="1459">
      <c r="A1459">
        <f>IF(OR(出库明细!C459="",出库明细!D459=""),"",IF(OR(COUNTIFS(存条明细!$C$4:$C$1003,出库明细!C459,存条明细!$D$4:$D$1003,出库明细!D459)&gt;0,COUNTIFS(出库明细!$C$4:C459,出库明细!C459,出库明细!$D$4:D459,出库明细!D459)&gt;1),"",IFERROR(MATCH(出库明细!C459,总览汇总!$B$5:$B$304,0),900)*10000000+IFERROR(MATCH(出库明细!D459,基础资料!$E$5:$E$104,0),900)*10000+ROW()))</f>
      </c>
      <c r="F1459">
        <f>IF(AND(出库明细!C1459&lt;&gt;"",出库明细!C1459=客户对账单!$B$4,ISNUMBER(出库明细!B1459),出库明细!B1459&gt;=客户对账单!$G$4,出库明细!B1459&lt;=客户对账单!$I$4),出库明细!B1459+ROW()/100000,"")</f>
      </c>
      <c r="H1459">
        <f>IF(AND(采购进货!C1459&lt;&gt;"",采购进货!C1459=供应商对账单!$B$4,ISNUMBER(采购进货!B1459),采购进货!B1459&gt;=供应商对账单!$G$4,采购进货!B1459&lt;=供应商对账单!$I$4),采购进货!B1459+ROW()/100000,"")</f>
      </c>
      <c r="N1459">
        <f>IF(AND(ISNUMBER(出库明细!G1459),ISNUMBER(出库明细!E1459),ISNUMBER(出库明细!F1459)),IF(ABS(出库明细!G1459-出库明细!E1459*出库明细!F1459)&gt;0.005,1,0),0)</f>
        <v>0</v>
      </c>
    </row>
    <row r="1460">
      <c r="A1460">
        <f>IF(OR(出库明细!C460="",出库明细!D460=""),"",IF(OR(COUNTIFS(存条明细!$C$4:$C$1003,出库明细!C460,存条明细!$D$4:$D$1003,出库明细!D460)&gt;0,COUNTIFS(出库明细!$C$4:C460,出库明细!C460,出库明细!$D$4:D460,出库明细!D460)&gt;1),"",IFERROR(MATCH(出库明细!C460,总览汇总!$B$5:$B$304,0),900)*10000000+IFERROR(MATCH(出库明细!D460,基础资料!$E$5:$E$104,0),900)*10000+ROW()))</f>
      </c>
      <c r="F1460">
        <f>IF(AND(出库明细!C1460&lt;&gt;"",出库明细!C1460=客户对账单!$B$4,ISNUMBER(出库明细!B1460),出库明细!B1460&gt;=客户对账单!$G$4,出库明细!B1460&lt;=客户对账单!$I$4),出库明细!B1460+ROW()/100000,"")</f>
      </c>
      <c r="H1460">
        <f>IF(AND(采购进货!C1460&lt;&gt;"",采购进货!C1460=供应商对账单!$B$4,ISNUMBER(采购进货!B1460),采购进货!B1460&gt;=供应商对账单!$G$4,采购进货!B1460&lt;=供应商对账单!$I$4),采购进货!B1460+ROW()/100000,"")</f>
      </c>
      <c r="N1460">
        <f>IF(AND(ISNUMBER(出库明细!G1460),ISNUMBER(出库明细!E1460),ISNUMBER(出库明细!F1460)),IF(ABS(出库明细!G1460-出库明细!E1460*出库明细!F1460)&gt;0.005,1,0),0)</f>
        <v>0</v>
      </c>
    </row>
    <row r="1461">
      <c r="A1461">
        <f>IF(OR(出库明细!C461="",出库明细!D461=""),"",IF(OR(COUNTIFS(存条明细!$C$4:$C$1003,出库明细!C461,存条明细!$D$4:$D$1003,出库明细!D461)&gt;0,COUNTIFS(出库明细!$C$4:C461,出库明细!C461,出库明细!$D$4:D461,出库明细!D461)&gt;1),"",IFERROR(MATCH(出库明细!C461,总览汇总!$B$5:$B$304,0),900)*10000000+IFERROR(MATCH(出库明细!D461,基础资料!$E$5:$E$104,0),900)*10000+ROW()))</f>
      </c>
      <c r="F1461">
        <f>IF(AND(出库明细!C1461&lt;&gt;"",出库明细!C1461=客户对账单!$B$4,ISNUMBER(出库明细!B1461),出库明细!B1461&gt;=客户对账单!$G$4,出库明细!B1461&lt;=客户对账单!$I$4),出库明细!B1461+ROW()/100000,"")</f>
      </c>
      <c r="H1461">
        <f>IF(AND(采购进货!C1461&lt;&gt;"",采购进货!C1461=供应商对账单!$B$4,ISNUMBER(采购进货!B1461),采购进货!B1461&gt;=供应商对账单!$G$4,采购进货!B1461&lt;=供应商对账单!$I$4),采购进货!B1461+ROW()/100000,"")</f>
      </c>
      <c r="N1461">
        <f>IF(AND(ISNUMBER(出库明细!G1461),ISNUMBER(出库明细!E1461),ISNUMBER(出库明细!F1461)),IF(ABS(出库明细!G1461-出库明细!E1461*出库明细!F1461)&gt;0.005,1,0),0)</f>
        <v>0</v>
      </c>
    </row>
    <row r="1462">
      <c r="A1462">
        <f>IF(OR(出库明细!C462="",出库明细!D462=""),"",IF(OR(COUNTIFS(存条明细!$C$4:$C$1003,出库明细!C462,存条明细!$D$4:$D$1003,出库明细!D462)&gt;0,COUNTIFS(出库明细!$C$4:C462,出库明细!C462,出库明细!$D$4:D462,出库明细!D462)&gt;1),"",IFERROR(MATCH(出库明细!C462,总览汇总!$B$5:$B$304,0),900)*10000000+IFERROR(MATCH(出库明细!D462,基础资料!$E$5:$E$104,0),900)*10000+ROW()))</f>
      </c>
      <c r="F1462">
        <f>IF(AND(出库明细!C1462&lt;&gt;"",出库明细!C1462=客户对账单!$B$4,ISNUMBER(出库明细!B1462),出库明细!B1462&gt;=客户对账单!$G$4,出库明细!B1462&lt;=客户对账单!$I$4),出库明细!B1462+ROW()/100000,"")</f>
      </c>
      <c r="H1462">
        <f>IF(AND(采购进货!C1462&lt;&gt;"",采购进货!C1462=供应商对账单!$B$4,ISNUMBER(采购进货!B1462),采购进货!B1462&gt;=供应商对账单!$G$4,采购进货!B1462&lt;=供应商对账单!$I$4),采购进货!B1462+ROW()/100000,"")</f>
      </c>
      <c r="N1462">
        <f>IF(AND(ISNUMBER(出库明细!G1462),ISNUMBER(出库明细!E1462),ISNUMBER(出库明细!F1462)),IF(ABS(出库明细!G1462-出库明细!E1462*出库明细!F1462)&gt;0.005,1,0),0)</f>
        <v>0</v>
      </c>
    </row>
    <row r="1463">
      <c r="A1463">
        <f>IF(OR(出库明细!C463="",出库明细!D463=""),"",IF(OR(COUNTIFS(存条明细!$C$4:$C$1003,出库明细!C463,存条明细!$D$4:$D$1003,出库明细!D463)&gt;0,COUNTIFS(出库明细!$C$4:C463,出库明细!C463,出库明细!$D$4:D463,出库明细!D463)&gt;1),"",IFERROR(MATCH(出库明细!C463,总览汇总!$B$5:$B$304,0),900)*10000000+IFERROR(MATCH(出库明细!D463,基础资料!$E$5:$E$104,0),900)*10000+ROW()))</f>
      </c>
      <c r="F1463">
        <f>IF(AND(出库明细!C1463&lt;&gt;"",出库明细!C1463=客户对账单!$B$4,ISNUMBER(出库明细!B1463),出库明细!B1463&gt;=客户对账单!$G$4,出库明细!B1463&lt;=客户对账单!$I$4),出库明细!B1463+ROW()/100000,"")</f>
      </c>
      <c r="H1463">
        <f>IF(AND(采购进货!C1463&lt;&gt;"",采购进货!C1463=供应商对账单!$B$4,ISNUMBER(采购进货!B1463),采购进货!B1463&gt;=供应商对账单!$G$4,采购进货!B1463&lt;=供应商对账单!$I$4),采购进货!B1463+ROW()/100000,"")</f>
      </c>
      <c r="N1463">
        <f>IF(AND(ISNUMBER(出库明细!G1463),ISNUMBER(出库明细!E1463),ISNUMBER(出库明细!F1463)),IF(ABS(出库明细!G1463-出库明细!E1463*出库明细!F1463)&gt;0.005,1,0),0)</f>
        <v>0</v>
      </c>
    </row>
    <row r="1464">
      <c r="A1464">
        <f>IF(OR(出库明细!C464="",出库明细!D464=""),"",IF(OR(COUNTIFS(存条明细!$C$4:$C$1003,出库明细!C464,存条明细!$D$4:$D$1003,出库明细!D464)&gt;0,COUNTIFS(出库明细!$C$4:C464,出库明细!C464,出库明细!$D$4:D464,出库明细!D464)&gt;1),"",IFERROR(MATCH(出库明细!C464,总览汇总!$B$5:$B$304,0),900)*10000000+IFERROR(MATCH(出库明细!D464,基础资料!$E$5:$E$104,0),900)*10000+ROW()))</f>
      </c>
      <c r="F1464">
        <f>IF(AND(出库明细!C1464&lt;&gt;"",出库明细!C1464=客户对账单!$B$4,ISNUMBER(出库明细!B1464),出库明细!B1464&gt;=客户对账单!$G$4,出库明细!B1464&lt;=客户对账单!$I$4),出库明细!B1464+ROW()/100000,"")</f>
      </c>
      <c r="H1464">
        <f>IF(AND(采购进货!C1464&lt;&gt;"",采购进货!C1464=供应商对账单!$B$4,ISNUMBER(采购进货!B1464),采购进货!B1464&gt;=供应商对账单!$G$4,采购进货!B1464&lt;=供应商对账单!$I$4),采购进货!B1464+ROW()/100000,"")</f>
      </c>
      <c r="N1464">
        <f>IF(AND(ISNUMBER(出库明细!G1464),ISNUMBER(出库明细!E1464),ISNUMBER(出库明细!F1464)),IF(ABS(出库明细!G1464-出库明细!E1464*出库明细!F1464)&gt;0.005,1,0),0)</f>
        <v>0</v>
      </c>
    </row>
    <row r="1465">
      <c r="A1465">
        <f>IF(OR(出库明细!C465="",出库明细!D465=""),"",IF(OR(COUNTIFS(存条明细!$C$4:$C$1003,出库明细!C465,存条明细!$D$4:$D$1003,出库明细!D465)&gt;0,COUNTIFS(出库明细!$C$4:C465,出库明细!C465,出库明细!$D$4:D465,出库明细!D465)&gt;1),"",IFERROR(MATCH(出库明细!C465,总览汇总!$B$5:$B$304,0),900)*10000000+IFERROR(MATCH(出库明细!D465,基础资料!$E$5:$E$104,0),900)*10000+ROW()))</f>
      </c>
      <c r="F1465">
        <f>IF(AND(出库明细!C1465&lt;&gt;"",出库明细!C1465=客户对账单!$B$4,ISNUMBER(出库明细!B1465),出库明细!B1465&gt;=客户对账单!$G$4,出库明细!B1465&lt;=客户对账单!$I$4),出库明细!B1465+ROW()/100000,"")</f>
      </c>
      <c r="H1465">
        <f>IF(AND(采购进货!C1465&lt;&gt;"",采购进货!C1465=供应商对账单!$B$4,ISNUMBER(采购进货!B1465),采购进货!B1465&gt;=供应商对账单!$G$4,采购进货!B1465&lt;=供应商对账单!$I$4),采购进货!B1465+ROW()/100000,"")</f>
      </c>
      <c r="N1465">
        <f>IF(AND(ISNUMBER(出库明细!G1465),ISNUMBER(出库明细!E1465),ISNUMBER(出库明细!F1465)),IF(ABS(出库明细!G1465-出库明细!E1465*出库明细!F1465)&gt;0.005,1,0),0)</f>
        <v>0</v>
      </c>
    </row>
    <row r="1466">
      <c r="A1466">
        <f>IF(OR(出库明细!C466="",出库明细!D466=""),"",IF(OR(COUNTIFS(存条明细!$C$4:$C$1003,出库明细!C466,存条明细!$D$4:$D$1003,出库明细!D466)&gt;0,COUNTIFS(出库明细!$C$4:C466,出库明细!C466,出库明细!$D$4:D466,出库明细!D466)&gt;1),"",IFERROR(MATCH(出库明细!C466,总览汇总!$B$5:$B$304,0),900)*10000000+IFERROR(MATCH(出库明细!D466,基础资料!$E$5:$E$104,0),900)*10000+ROW()))</f>
      </c>
      <c r="F1466">
        <f>IF(AND(出库明细!C1466&lt;&gt;"",出库明细!C1466=客户对账单!$B$4,ISNUMBER(出库明细!B1466),出库明细!B1466&gt;=客户对账单!$G$4,出库明细!B1466&lt;=客户对账单!$I$4),出库明细!B1466+ROW()/100000,"")</f>
      </c>
      <c r="H1466">
        <f>IF(AND(采购进货!C1466&lt;&gt;"",采购进货!C1466=供应商对账单!$B$4,ISNUMBER(采购进货!B1466),采购进货!B1466&gt;=供应商对账单!$G$4,采购进货!B1466&lt;=供应商对账单!$I$4),采购进货!B1466+ROW()/100000,"")</f>
      </c>
      <c r="N1466">
        <f>IF(AND(ISNUMBER(出库明细!G1466),ISNUMBER(出库明细!E1466),ISNUMBER(出库明细!F1466)),IF(ABS(出库明细!G1466-出库明细!E1466*出库明细!F1466)&gt;0.005,1,0),0)</f>
        <v>0</v>
      </c>
    </row>
    <row r="1467">
      <c r="A1467">
        <f>IF(OR(出库明细!C467="",出库明细!D467=""),"",IF(OR(COUNTIFS(存条明细!$C$4:$C$1003,出库明细!C467,存条明细!$D$4:$D$1003,出库明细!D467)&gt;0,COUNTIFS(出库明细!$C$4:C467,出库明细!C467,出库明细!$D$4:D467,出库明细!D467)&gt;1),"",IFERROR(MATCH(出库明细!C467,总览汇总!$B$5:$B$304,0),900)*10000000+IFERROR(MATCH(出库明细!D467,基础资料!$E$5:$E$104,0),900)*10000+ROW()))</f>
        <v>140051467</v>
      </c>
      <c r="F1467">
        <f>IF(AND(出库明细!C1467&lt;&gt;"",出库明细!C1467=客户对账单!$B$4,ISNUMBER(出库明细!B1467),出库明细!B1467&gt;=客户对账单!$G$4,出库明细!B1467&lt;=客户对账单!$I$4),出库明细!B1467+ROW()/100000,"")</f>
      </c>
      <c r="H1467">
        <f>IF(AND(采购进货!C1467&lt;&gt;"",采购进货!C1467=供应商对账单!$B$4,ISNUMBER(采购进货!B1467),采购进货!B1467&gt;=供应商对账单!$G$4,采购进货!B1467&lt;=供应商对账单!$I$4),采购进货!B1467+ROW()/100000,"")</f>
      </c>
      <c r="N1467">
        <f>IF(AND(ISNUMBER(出库明细!G1467),ISNUMBER(出库明细!E1467),ISNUMBER(出库明细!F1467)),IF(ABS(出库明细!G1467-出库明细!E1467*出库明细!F1467)&gt;0.005,1,0),0)</f>
        <v>0</v>
      </c>
    </row>
    <row r="1468">
      <c r="A1468">
        <f>IF(OR(出库明细!C468="",出库明细!D468=""),"",IF(OR(COUNTIFS(存条明细!$C$4:$C$1003,出库明细!C468,存条明细!$D$4:$D$1003,出库明细!D468)&gt;0,COUNTIFS(出库明细!$C$4:C468,出库明细!C468,出库明细!$D$4:D468,出库明细!D468)&gt;1),"",IFERROR(MATCH(出库明细!C468,总览汇总!$B$5:$B$304,0),900)*10000000+IFERROR(MATCH(出库明细!D468,基础资料!$E$5:$E$104,0),900)*10000+ROW()))</f>
      </c>
      <c r="F1468">
        <f>IF(AND(出库明细!C1468&lt;&gt;"",出库明细!C1468=客户对账单!$B$4,ISNUMBER(出库明细!B1468),出库明细!B1468&gt;=客户对账单!$G$4,出库明细!B1468&lt;=客户对账单!$I$4),出库明细!B1468+ROW()/100000,"")</f>
      </c>
      <c r="H1468">
        <f>IF(AND(采购进货!C1468&lt;&gt;"",采购进货!C1468=供应商对账单!$B$4,ISNUMBER(采购进货!B1468),采购进货!B1468&gt;=供应商对账单!$G$4,采购进货!B1468&lt;=供应商对账单!$I$4),采购进货!B1468+ROW()/100000,"")</f>
      </c>
      <c r="N1468">
        <f>IF(AND(ISNUMBER(出库明细!G1468),ISNUMBER(出库明细!E1468),ISNUMBER(出库明细!F1468)),IF(ABS(出库明细!G1468-出库明细!E1468*出库明细!F1468)&gt;0.005,1,0),0)</f>
        <v>0</v>
      </c>
    </row>
    <row r="1469">
      <c r="A1469">
        <f>IF(OR(出库明细!C469="",出库明细!D469=""),"",IF(OR(COUNTIFS(存条明细!$C$4:$C$1003,出库明细!C469,存条明细!$D$4:$D$1003,出库明细!D469)&gt;0,COUNTIFS(出库明细!$C$4:C469,出库明细!C469,出库明细!$D$4:D469,出库明细!D469)&gt;1),"",IFERROR(MATCH(出库明细!C469,总览汇总!$B$5:$B$304,0),900)*10000000+IFERROR(MATCH(出库明细!D469,基础资料!$E$5:$E$104,0),900)*10000+ROW()))</f>
      </c>
      <c r="F1469">
        <f>IF(AND(出库明细!C1469&lt;&gt;"",出库明细!C1469=客户对账单!$B$4,ISNUMBER(出库明细!B1469),出库明细!B1469&gt;=客户对账单!$G$4,出库明细!B1469&lt;=客户对账单!$I$4),出库明细!B1469+ROW()/100000,"")</f>
      </c>
      <c r="H1469">
        <f>IF(AND(采购进货!C1469&lt;&gt;"",采购进货!C1469=供应商对账单!$B$4,ISNUMBER(采购进货!B1469),采购进货!B1469&gt;=供应商对账单!$G$4,采购进货!B1469&lt;=供应商对账单!$I$4),采购进货!B1469+ROW()/100000,"")</f>
      </c>
      <c r="N1469">
        <f>IF(AND(ISNUMBER(出库明细!G1469),ISNUMBER(出库明细!E1469),ISNUMBER(出库明细!F1469)),IF(ABS(出库明细!G1469-出库明细!E1469*出库明细!F1469)&gt;0.005,1,0),0)</f>
        <v>0</v>
      </c>
    </row>
    <row r="1470">
      <c r="A1470">
        <f>IF(OR(出库明细!C470="",出库明细!D470=""),"",IF(OR(COUNTIFS(存条明细!$C$4:$C$1003,出库明细!C470,存条明细!$D$4:$D$1003,出库明细!D470)&gt;0,COUNTIFS(出库明细!$C$4:C470,出库明细!C470,出库明细!$D$4:D470,出库明细!D470)&gt;1),"",IFERROR(MATCH(出库明细!C470,总览汇总!$B$5:$B$304,0),900)*10000000+IFERROR(MATCH(出库明细!D470,基础资料!$E$5:$E$104,0),900)*10000+ROW()))</f>
      </c>
      <c r="F1470">
        <f>IF(AND(出库明细!C1470&lt;&gt;"",出库明细!C1470=客户对账单!$B$4,ISNUMBER(出库明细!B1470),出库明细!B1470&gt;=客户对账单!$G$4,出库明细!B1470&lt;=客户对账单!$I$4),出库明细!B1470+ROW()/100000,"")</f>
      </c>
      <c r="H1470">
        <f>IF(AND(采购进货!C1470&lt;&gt;"",采购进货!C1470=供应商对账单!$B$4,ISNUMBER(采购进货!B1470),采购进货!B1470&gt;=供应商对账单!$G$4,采购进货!B1470&lt;=供应商对账单!$I$4),采购进货!B1470+ROW()/100000,"")</f>
      </c>
      <c r="N1470">
        <f>IF(AND(ISNUMBER(出库明细!G1470),ISNUMBER(出库明细!E1470),ISNUMBER(出库明细!F1470)),IF(ABS(出库明细!G1470-出库明细!E1470*出库明细!F1470)&gt;0.005,1,0),0)</f>
        <v>0</v>
      </c>
    </row>
    <row r="1471">
      <c r="A1471">
        <f>IF(OR(出库明细!C471="",出库明细!D471=""),"",IF(OR(COUNTIFS(存条明细!$C$4:$C$1003,出库明细!C471,存条明细!$D$4:$D$1003,出库明细!D471)&gt;0,COUNTIFS(出库明细!$C$4:C471,出库明细!C471,出库明细!$D$4:D471,出库明细!D471)&gt;1),"",IFERROR(MATCH(出库明细!C471,总览汇总!$B$5:$B$304,0),900)*10000000+IFERROR(MATCH(出库明细!D471,基础资料!$E$5:$E$104,0),900)*10000+ROW()))</f>
      </c>
      <c r="F1471">
        <f>IF(AND(出库明细!C1471&lt;&gt;"",出库明细!C1471=客户对账单!$B$4,ISNUMBER(出库明细!B1471),出库明细!B1471&gt;=客户对账单!$G$4,出库明细!B1471&lt;=客户对账单!$I$4),出库明细!B1471+ROW()/100000,"")</f>
      </c>
      <c r="H1471">
        <f>IF(AND(采购进货!C1471&lt;&gt;"",采购进货!C1471=供应商对账单!$B$4,ISNUMBER(采购进货!B1471),采购进货!B1471&gt;=供应商对账单!$G$4,采购进货!B1471&lt;=供应商对账单!$I$4),采购进货!B1471+ROW()/100000,"")</f>
      </c>
      <c r="N1471">
        <f>IF(AND(ISNUMBER(出库明细!G1471),ISNUMBER(出库明细!E1471),ISNUMBER(出库明细!F1471)),IF(ABS(出库明细!G1471-出库明细!E1471*出库明细!F1471)&gt;0.005,1,0),0)</f>
        <v>0</v>
      </c>
    </row>
    <row r="1472">
      <c r="A1472">
        <f>IF(OR(出库明细!C472="",出库明细!D472=""),"",IF(OR(COUNTIFS(存条明细!$C$4:$C$1003,出库明细!C472,存条明细!$D$4:$D$1003,出库明细!D472)&gt;0,COUNTIFS(出库明细!$C$4:C472,出库明细!C472,出库明细!$D$4:D472,出库明细!D472)&gt;1),"",IFERROR(MATCH(出库明细!C472,总览汇总!$B$5:$B$304,0),900)*10000000+IFERROR(MATCH(出库明细!D472,基础资料!$E$5:$E$104,0),900)*10000+ROW()))</f>
      </c>
      <c r="F1472">
        <f>IF(AND(出库明细!C1472&lt;&gt;"",出库明细!C1472=客户对账单!$B$4,ISNUMBER(出库明细!B1472),出库明细!B1472&gt;=客户对账单!$G$4,出库明细!B1472&lt;=客户对账单!$I$4),出库明细!B1472+ROW()/100000,"")</f>
      </c>
      <c r="H1472">
        <f>IF(AND(采购进货!C1472&lt;&gt;"",采购进货!C1472=供应商对账单!$B$4,ISNUMBER(采购进货!B1472),采购进货!B1472&gt;=供应商对账单!$G$4,采购进货!B1472&lt;=供应商对账单!$I$4),采购进货!B1472+ROW()/100000,"")</f>
      </c>
      <c r="N1472">
        <f>IF(AND(ISNUMBER(出库明细!G1472),ISNUMBER(出库明细!E1472),ISNUMBER(出库明细!F1472)),IF(ABS(出库明细!G1472-出库明细!E1472*出库明细!F1472)&gt;0.005,1,0),0)</f>
        <v>0</v>
      </c>
    </row>
    <row r="1473">
      <c r="A1473">
        <f>IF(OR(出库明细!C473="",出库明细!D473=""),"",IF(OR(COUNTIFS(存条明细!$C$4:$C$1003,出库明细!C473,存条明细!$D$4:$D$1003,出库明细!D473)&gt;0,COUNTIFS(出库明细!$C$4:C473,出库明细!C473,出库明细!$D$4:D473,出库明细!D473)&gt;1),"",IFERROR(MATCH(出库明细!C473,总览汇总!$B$5:$B$304,0),900)*10000000+IFERROR(MATCH(出库明细!D473,基础资料!$E$5:$E$104,0),900)*10000+ROW()))</f>
      </c>
      <c r="F1473">
        <f>IF(AND(出库明细!C1473&lt;&gt;"",出库明细!C1473=客户对账单!$B$4,ISNUMBER(出库明细!B1473),出库明细!B1473&gt;=客户对账单!$G$4,出库明细!B1473&lt;=客户对账单!$I$4),出库明细!B1473+ROW()/100000,"")</f>
      </c>
      <c r="H1473">
        <f>IF(AND(采购进货!C1473&lt;&gt;"",采购进货!C1473=供应商对账单!$B$4,ISNUMBER(采购进货!B1473),采购进货!B1473&gt;=供应商对账单!$G$4,采购进货!B1473&lt;=供应商对账单!$I$4),采购进货!B1473+ROW()/100000,"")</f>
      </c>
      <c r="N1473">
        <f>IF(AND(ISNUMBER(出库明细!G1473),ISNUMBER(出库明细!E1473),ISNUMBER(出库明细!F1473)),IF(ABS(出库明细!G1473-出库明细!E1473*出库明细!F1473)&gt;0.005,1,0),0)</f>
        <v>0</v>
      </c>
    </row>
    <row r="1474">
      <c r="A1474">
        <f>IF(OR(出库明细!C474="",出库明细!D474=""),"",IF(OR(COUNTIFS(存条明细!$C$4:$C$1003,出库明细!C474,存条明细!$D$4:$D$1003,出库明细!D474)&gt;0,COUNTIFS(出库明细!$C$4:C474,出库明细!C474,出库明细!$D$4:D474,出库明细!D474)&gt;1),"",IFERROR(MATCH(出库明细!C474,总览汇总!$B$5:$B$304,0),900)*10000000+IFERROR(MATCH(出库明细!D474,基础资料!$E$5:$E$104,0),900)*10000+ROW()))</f>
      </c>
      <c r="F1474">
        <f>IF(AND(出库明细!C1474&lt;&gt;"",出库明细!C1474=客户对账单!$B$4,ISNUMBER(出库明细!B1474),出库明细!B1474&gt;=客户对账单!$G$4,出库明细!B1474&lt;=客户对账单!$I$4),出库明细!B1474+ROW()/100000,"")</f>
      </c>
      <c r="H1474">
        <f>IF(AND(采购进货!C1474&lt;&gt;"",采购进货!C1474=供应商对账单!$B$4,ISNUMBER(采购进货!B1474),采购进货!B1474&gt;=供应商对账单!$G$4,采购进货!B1474&lt;=供应商对账单!$I$4),采购进货!B1474+ROW()/100000,"")</f>
      </c>
      <c r="N1474">
        <f>IF(AND(ISNUMBER(出库明细!G1474),ISNUMBER(出库明细!E1474),ISNUMBER(出库明细!F1474)),IF(ABS(出库明细!G1474-出库明细!E1474*出库明细!F1474)&gt;0.005,1,0),0)</f>
        <v>0</v>
      </c>
    </row>
    <row r="1475">
      <c r="A1475">
        <f>IF(OR(出库明细!C475="",出库明细!D475=""),"",IF(OR(COUNTIFS(存条明细!$C$4:$C$1003,出库明细!C475,存条明细!$D$4:$D$1003,出库明细!D475)&gt;0,COUNTIFS(出库明细!$C$4:C475,出库明细!C475,出库明细!$D$4:D475,出库明细!D475)&gt;1),"",IFERROR(MATCH(出库明细!C475,总览汇总!$B$5:$B$304,0),900)*10000000+IFERROR(MATCH(出库明细!D475,基础资料!$E$5:$E$104,0),900)*10000+ROW()))</f>
      </c>
      <c r="F1475">
        <f>IF(AND(出库明细!C1475&lt;&gt;"",出库明细!C1475=客户对账单!$B$4,ISNUMBER(出库明细!B1475),出库明细!B1475&gt;=客户对账单!$G$4,出库明细!B1475&lt;=客户对账单!$I$4),出库明细!B1475+ROW()/100000,"")</f>
      </c>
      <c r="H1475">
        <f>IF(AND(采购进货!C1475&lt;&gt;"",采购进货!C1475=供应商对账单!$B$4,ISNUMBER(采购进货!B1475),采购进货!B1475&gt;=供应商对账单!$G$4,采购进货!B1475&lt;=供应商对账单!$I$4),采购进货!B1475+ROW()/100000,"")</f>
      </c>
      <c r="N1475">
        <f>IF(AND(ISNUMBER(出库明细!G1475),ISNUMBER(出库明细!E1475),ISNUMBER(出库明细!F1475)),IF(ABS(出库明细!G1475-出库明细!E1475*出库明细!F1475)&gt;0.005,1,0),0)</f>
        <v>0</v>
      </c>
    </row>
    <row r="1476">
      <c r="A1476">
        <f>IF(OR(出库明细!C476="",出库明细!D476=""),"",IF(OR(COUNTIFS(存条明细!$C$4:$C$1003,出库明细!C476,存条明细!$D$4:$D$1003,出库明细!D476)&gt;0,COUNTIFS(出库明细!$C$4:C476,出库明细!C476,出库明细!$D$4:D476,出库明细!D476)&gt;1),"",IFERROR(MATCH(出库明细!C476,总览汇总!$B$5:$B$304,0),900)*10000000+IFERROR(MATCH(出库明细!D476,基础资料!$E$5:$E$104,0),900)*10000+ROW()))</f>
      </c>
      <c r="F1476">
        <f>IF(AND(出库明细!C1476&lt;&gt;"",出库明细!C1476=客户对账单!$B$4,ISNUMBER(出库明细!B1476),出库明细!B1476&gt;=客户对账单!$G$4,出库明细!B1476&lt;=客户对账单!$I$4),出库明细!B1476+ROW()/100000,"")</f>
      </c>
      <c r="H1476">
        <f>IF(AND(采购进货!C1476&lt;&gt;"",采购进货!C1476=供应商对账单!$B$4,ISNUMBER(采购进货!B1476),采购进货!B1476&gt;=供应商对账单!$G$4,采购进货!B1476&lt;=供应商对账单!$I$4),采购进货!B1476+ROW()/100000,"")</f>
      </c>
      <c r="N1476">
        <f>IF(AND(ISNUMBER(出库明细!G1476),ISNUMBER(出库明细!E1476),ISNUMBER(出库明细!F1476)),IF(ABS(出库明细!G1476-出库明细!E1476*出库明细!F1476)&gt;0.005,1,0),0)</f>
        <v>0</v>
      </c>
    </row>
    <row r="1477">
      <c r="A1477">
        <f>IF(OR(出库明细!C477="",出库明细!D477=""),"",IF(OR(COUNTIFS(存条明细!$C$4:$C$1003,出库明细!C477,存条明细!$D$4:$D$1003,出库明细!D477)&gt;0,COUNTIFS(出库明细!$C$4:C477,出库明细!C477,出库明细!$D$4:D477,出库明细!D477)&gt;1),"",IFERROR(MATCH(出库明细!C477,总览汇总!$B$5:$B$304,0),900)*10000000+IFERROR(MATCH(出库明细!D477,基础资料!$E$5:$E$104,0),900)*10000+ROW()))</f>
      </c>
      <c r="F1477">
        <f>IF(AND(出库明细!C1477&lt;&gt;"",出库明细!C1477=客户对账单!$B$4,ISNUMBER(出库明细!B1477),出库明细!B1477&gt;=客户对账单!$G$4,出库明细!B1477&lt;=客户对账单!$I$4),出库明细!B1477+ROW()/100000,"")</f>
      </c>
      <c r="H1477">
        <f>IF(AND(采购进货!C1477&lt;&gt;"",采购进货!C1477=供应商对账单!$B$4,ISNUMBER(采购进货!B1477),采购进货!B1477&gt;=供应商对账单!$G$4,采购进货!B1477&lt;=供应商对账单!$I$4),采购进货!B1477+ROW()/100000,"")</f>
      </c>
      <c r="N1477">
        <f>IF(AND(ISNUMBER(出库明细!G1477),ISNUMBER(出库明细!E1477),ISNUMBER(出库明细!F1477)),IF(ABS(出库明细!G1477-出库明细!E1477*出库明细!F1477)&gt;0.005,1,0),0)</f>
        <v>0</v>
      </c>
    </row>
    <row r="1478">
      <c r="A1478">
        <f>IF(OR(出库明细!C478="",出库明细!D478=""),"",IF(OR(COUNTIFS(存条明细!$C$4:$C$1003,出库明细!C478,存条明细!$D$4:$D$1003,出库明细!D478)&gt;0,COUNTIFS(出库明细!$C$4:C478,出库明细!C478,出库明细!$D$4:D478,出库明细!D478)&gt;1),"",IFERROR(MATCH(出库明细!C478,总览汇总!$B$5:$B$304,0),900)*10000000+IFERROR(MATCH(出库明细!D478,基础资料!$E$5:$E$104,0),900)*10000+ROW()))</f>
      </c>
      <c r="F1478">
        <f>IF(AND(出库明细!C1478&lt;&gt;"",出库明细!C1478=客户对账单!$B$4,ISNUMBER(出库明细!B1478),出库明细!B1478&gt;=客户对账单!$G$4,出库明细!B1478&lt;=客户对账单!$I$4),出库明细!B1478+ROW()/100000,"")</f>
      </c>
      <c r="H1478">
        <f>IF(AND(采购进货!C1478&lt;&gt;"",采购进货!C1478=供应商对账单!$B$4,ISNUMBER(采购进货!B1478),采购进货!B1478&gt;=供应商对账单!$G$4,采购进货!B1478&lt;=供应商对账单!$I$4),采购进货!B1478+ROW()/100000,"")</f>
      </c>
      <c r="N1478">
        <f>IF(AND(ISNUMBER(出库明细!G1478),ISNUMBER(出库明细!E1478),ISNUMBER(出库明细!F1478)),IF(ABS(出库明细!G1478-出库明细!E1478*出库明细!F1478)&gt;0.005,1,0),0)</f>
        <v>0</v>
      </c>
    </row>
    <row r="1479">
      <c r="A1479">
        <f>IF(OR(出库明细!C479="",出库明细!D479=""),"",IF(OR(COUNTIFS(存条明细!$C$4:$C$1003,出库明细!C479,存条明细!$D$4:$D$1003,出库明细!D479)&gt;0,COUNTIFS(出库明细!$C$4:C479,出库明细!C479,出库明细!$D$4:D479,出库明细!D479)&gt;1),"",IFERROR(MATCH(出库明细!C479,总览汇总!$B$5:$B$304,0),900)*10000000+IFERROR(MATCH(出库明细!D479,基础资料!$E$5:$E$104,0),900)*10000+ROW()))</f>
      </c>
      <c r="F1479">
        <f>IF(AND(出库明细!C1479&lt;&gt;"",出库明细!C1479=客户对账单!$B$4,ISNUMBER(出库明细!B1479),出库明细!B1479&gt;=客户对账单!$G$4,出库明细!B1479&lt;=客户对账单!$I$4),出库明细!B1479+ROW()/100000,"")</f>
      </c>
      <c r="H1479">
        <f>IF(AND(采购进货!C1479&lt;&gt;"",采购进货!C1479=供应商对账单!$B$4,ISNUMBER(采购进货!B1479),采购进货!B1479&gt;=供应商对账单!$G$4,采购进货!B1479&lt;=供应商对账单!$I$4),采购进货!B1479+ROW()/100000,"")</f>
      </c>
      <c r="N1479">
        <f>IF(AND(ISNUMBER(出库明细!G1479),ISNUMBER(出库明细!E1479),ISNUMBER(出库明细!F1479)),IF(ABS(出库明细!G1479-出库明细!E1479*出库明细!F1479)&gt;0.005,1,0),0)</f>
        <v>0</v>
      </c>
    </row>
    <row r="1480">
      <c r="A1480">
        <f>IF(OR(出库明细!C480="",出库明细!D480=""),"",IF(OR(COUNTIFS(存条明细!$C$4:$C$1003,出库明细!C480,存条明细!$D$4:$D$1003,出库明细!D480)&gt;0,COUNTIFS(出库明细!$C$4:C480,出库明细!C480,出库明细!$D$4:D480,出库明细!D480)&gt;1),"",IFERROR(MATCH(出库明细!C480,总览汇总!$B$5:$B$304,0),900)*10000000+IFERROR(MATCH(出库明细!D480,基础资料!$E$5:$E$104,0),900)*10000+ROW()))</f>
      </c>
      <c r="F1480">
        <f>IF(AND(出库明细!C1480&lt;&gt;"",出库明细!C1480=客户对账单!$B$4,ISNUMBER(出库明细!B1480),出库明细!B1480&gt;=客户对账单!$G$4,出库明细!B1480&lt;=客户对账单!$I$4),出库明细!B1480+ROW()/100000,"")</f>
      </c>
      <c r="H1480">
        <f>IF(AND(采购进货!C1480&lt;&gt;"",采购进货!C1480=供应商对账单!$B$4,ISNUMBER(采购进货!B1480),采购进货!B1480&gt;=供应商对账单!$G$4,采购进货!B1480&lt;=供应商对账单!$I$4),采购进货!B1480+ROW()/100000,"")</f>
      </c>
      <c r="N1480">
        <f>IF(AND(ISNUMBER(出库明细!G1480),ISNUMBER(出库明细!E1480),ISNUMBER(出库明细!F1480)),IF(ABS(出库明细!G1480-出库明细!E1480*出库明细!F1480)&gt;0.005,1,0),0)</f>
        <v>0</v>
      </c>
    </row>
    <row r="1481">
      <c r="A1481">
        <f>IF(OR(出库明细!C481="",出库明细!D481=""),"",IF(OR(COUNTIFS(存条明细!$C$4:$C$1003,出库明细!C481,存条明细!$D$4:$D$1003,出库明细!D481)&gt;0,COUNTIFS(出库明细!$C$4:C481,出库明细!C481,出库明细!$D$4:D481,出库明细!D481)&gt;1),"",IFERROR(MATCH(出库明细!C481,总览汇总!$B$5:$B$304,0),900)*10000000+IFERROR(MATCH(出库明细!D481,基础资料!$E$5:$E$104,0),900)*10000+ROW()))</f>
      </c>
      <c r="F1481">
        <f>IF(AND(出库明细!C1481&lt;&gt;"",出库明细!C1481=客户对账单!$B$4,ISNUMBER(出库明细!B1481),出库明细!B1481&gt;=客户对账单!$G$4,出库明细!B1481&lt;=客户对账单!$I$4),出库明细!B1481+ROW()/100000,"")</f>
      </c>
      <c r="H1481">
        <f>IF(AND(采购进货!C1481&lt;&gt;"",采购进货!C1481=供应商对账单!$B$4,ISNUMBER(采购进货!B1481),采购进货!B1481&gt;=供应商对账单!$G$4,采购进货!B1481&lt;=供应商对账单!$I$4),采购进货!B1481+ROW()/100000,"")</f>
      </c>
      <c r="N1481">
        <f>IF(AND(ISNUMBER(出库明细!G1481),ISNUMBER(出库明细!E1481),ISNUMBER(出库明细!F1481)),IF(ABS(出库明细!G1481-出库明细!E1481*出库明细!F1481)&gt;0.005,1,0),0)</f>
        <v>0</v>
      </c>
    </row>
    <row r="1482">
      <c r="A1482">
        <f>IF(OR(出库明细!C482="",出库明细!D482=""),"",IF(OR(COUNTIFS(存条明细!$C$4:$C$1003,出库明细!C482,存条明细!$D$4:$D$1003,出库明细!D482)&gt;0,COUNTIFS(出库明细!$C$4:C482,出库明细!C482,出库明细!$D$4:D482,出库明细!D482)&gt;1),"",IFERROR(MATCH(出库明细!C482,总览汇总!$B$5:$B$304,0),900)*10000000+IFERROR(MATCH(出库明细!D482,基础资料!$E$5:$E$104,0),900)*10000+ROW()))</f>
      </c>
      <c r="F1482">
        <f>IF(AND(出库明细!C1482&lt;&gt;"",出库明细!C1482=客户对账单!$B$4,ISNUMBER(出库明细!B1482),出库明细!B1482&gt;=客户对账单!$G$4,出库明细!B1482&lt;=客户对账单!$I$4),出库明细!B1482+ROW()/100000,"")</f>
      </c>
      <c r="H1482">
        <f>IF(AND(采购进货!C1482&lt;&gt;"",采购进货!C1482=供应商对账单!$B$4,ISNUMBER(采购进货!B1482),采购进货!B1482&gt;=供应商对账单!$G$4,采购进货!B1482&lt;=供应商对账单!$I$4),采购进货!B1482+ROW()/100000,"")</f>
      </c>
      <c r="N1482">
        <f>IF(AND(ISNUMBER(出库明细!G1482),ISNUMBER(出库明细!E1482),ISNUMBER(出库明细!F1482)),IF(ABS(出库明细!G1482-出库明细!E1482*出库明细!F1482)&gt;0.005,1,0),0)</f>
        <v>0</v>
      </c>
    </row>
    <row r="1483">
      <c r="A1483">
        <f>IF(OR(出库明细!C483="",出库明细!D483=""),"",IF(OR(COUNTIFS(存条明细!$C$4:$C$1003,出库明细!C483,存条明细!$D$4:$D$1003,出库明细!D483)&gt;0,COUNTIFS(出库明细!$C$4:C483,出库明细!C483,出库明细!$D$4:D483,出库明细!D483)&gt;1),"",IFERROR(MATCH(出库明细!C483,总览汇总!$B$5:$B$304,0),900)*10000000+IFERROR(MATCH(出库明细!D483,基础资料!$E$5:$E$104,0),900)*10000+ROW()))</f>
      </c>
      <c r="F1483">
        <f>IF(AND(出库明细!C1483&lt;&gt;"",出库明细!C1483=客户对账单!$B$4,ISNUMBER(出库明细!B1483),出库明细!B1483&gt;=客户对账单!$G$4,出库明细!B1483&lt;=客户对账单!$I$4),出库明细!B1483+ROW()/100000,"")</f>
      </c>
      <c r="H1483">
        <f>IF(AND(采购进货!C1483&lt;&gt;"",采购进货!C1483=供应商对账单!$B$4,ISNUMBER(采购进货!B1483),采购进货!B1483&gt;=供应商对账单!$G$4,采购进货!B1483&lt;=供应商对账单!$I$4),采购进货!B1483+ROW()/100000,"")</f>
      </c>
      <c r="N1483">
        <f>IF(AND(ISNUMBER(出库明细!G1483),ISNUMBER(出库明细!E1483),ISNUMBER(出库明细!F1483)),IF(ABS(出库明细!G1483-出库明细!E1483*出库明细!F1483)&gt;0.005,1,0),0)</f>
        <v>0</v>
      </c>
    </row>
    <row r="1484">
      <c r="A1484">
        <f>IF(OR(出库明细!C484="",出库明细!D484=""),"",IF(OR(COUNTIFS(存条明细!$C$4:$C$1003,出库明细!C484,存条明细!$D$4:$D$1003,出库明细!D484)&gt;0,COUNTIFS(出库明细!$C$4:C484,出库明细!C484,出库明细!$D$4:D484,出库明细!D484)&gt;1),"",IFERROR(MATCH(出库明细!C484,总览汇总!$B$5:$B$304,0),900)*10000000+IFERROR(MATCH(出库明细!D484,基础资料!$E$5:$E$104,0),900)*10000+ROW()))</f>
      </c>
      <c r="F1484">
        <f>IF(AND(出库明细!C1484&lt;&gt;"",出库明细!C1484=客户对账单!$B$4,ISNUMBER(出库明细!B1484),出库明细!B1484&gt;=客户对账单!$G$4,出库明细!B1484&lt;=客户对账单!$I$4),出库明细!B1484+ROW()/100000,"")</f>
      </c>
      <c r="H1484">
        <f>IF(AND(采购进货!C1484&lt;&gt;"",采购进货!C1484=供应商对账单!$B$4,ISNUMBER(采购进货!B1484),采购进货!B1484&gt;=供应商对账单!$G$4,采购进货!B1484&lt;=供应商对账单!$I$4),采购进货!B1484+ROW()/100000,"")</f>
      </c>
      <c r="N1484">
        <f>IF(AND(ISNUMBER(出库明细!G1484),ISNUMBER(出库明细!E1484),ISNUMBER(出库明细!F1484)),IF(ABS(出库明细!G1484-出库明细!E1484*出库明细!F1484)&gt;0.005,1,0),0)</f>
        <v>0</v>
      </c>
    </row>
    <row r="1485">
      <c r="A1485">
        <f>IF(OR(出库明细!C485="",出库明细!D485=""),"",IF(OR(COUNTIFS(存条明细!$C$4:$C$1003,出库明细!C485,存条明细!$D$4:$D$1003,出库明细!D485)&gt;0,COUNTIFS(出库明细!$C$4:C485,出库明细!C485,出库明细!$D$4:D485,出库明细!D485)&gt;1),"",IFERROR(MATCH(出库明细!C485,总览汇总!$B$5:$B$304,0),900)*10000000+IFERROR(MATCH(出库明细!D485,基础资料!$E$5:$E$104,0),900)*10000+ROW()))</f>
      </c>
      <c r="F1485">
        <f>IF(AND(出库明细!C1485&lt;&gt;"",出库明细!C1485=客户对账单!$B$4,ISNUMBER(出库明细!B1485),出库明细!B1485&gt;=客户对账单!$G$4,出库明细!B1485&lt;=客户对账单!$I$4),出库明细!B1485+ROW()/100000,"")</f>
      </c>
      <c r="H1485">
        <f>IF(AND(采购进货!C1485&lt;&gt;"",采购进货!C1485=供应商对账单!$B$4,ISNUMBER(采购进货!B1485),采购进货!B1485&gt;=供应商对账单!$G$4,采购进货!B1485&lt;=供应商对账单!$I$4),采购进货!B1485+ROW()/100000,"")</f>
      </c>
      <c r="N1485">
        <f>IF(AND(ISNUMBER(出库明细!G1485),ISNUMBER(出库明细!E1485),ISNUMBER(出库明细!F1485)),IF(ABS(出库明细!G1485-出库明细!E1485*出库明细!F1485)&gt;0.005,1,0),0)</f>
        <v>0</v>
      </c>
    </row>
    <row r="1486">
      <c r="A1486">
        <f>IF(OR(出库明细!C486="",出库明细!D486=""),"",IF(OR(COUNTIFS(存条明细!$C$4:$C$1003,出库明细!C486,存条明细!$D$4:$D$1003,出库明细!D486)&gt;0,COUNTIFS(出库明细!$C$4:C486,出库明细!C486,出库明细!$D$4:D486,出库明细!D486)&gt;1),"",IFERROR(MATCH(出库明细!C486,总览汇总!$B$5:$B$304,0),900)*10000000+IFERROR(MATCH(出库明细!D486,基础资料!$E$5:$E$104,0),900)*10000+ROW()))</f>
      </c>
      <c r="F1486">
        <f>IF(AND(出库明细!C1486&lt;&gt;"",出库明细!C1486=客户对账单!$B$4,ISNUMBER(出库明细!B1486),出库明细!B1486&gt;=客户对账单!$G$4,出库明细!B1486&lt;=客户对账单!$I$4),出库明细!B1486+ROW()/100000,"")</f>
      </c>
      <c r="H1486">
        <f>IF(AND(采购进货!C1486&lt;&gt;"",采购进货!C1486=供应商对账单!$B$4,ISNUMBER(采购进货!B1486),采购进货!B1486&gt;=供应商对账单!$G$4,采购进货!B1486&lt;=供应商对账单!$I$4),采购进货!B1486+ROW()/100000,"")</f>
      </c>
      <c r="N1486">
        <f>IF(AND(ISNUMBER(出库明细!G1486),ISNUMBER(出库明细!E1486),ISNUMBER(出库明细!F1486)),IF(ABS(出库明细!G1486-出库明细!E1486*出库明细!F1486)&gt;0.005,1,0),0)</f>
        <v>0</v>
      </c>
    </row>
    <row r="1487">
      <c r="A1487">
        <f>IF(OR(出库明细!C487="",出库明细!D487=""),"",IF(OR(COUNTIFS(存条明细!$C$4:$C$1003,出库明细!C487,存条明细!$D$4:$D$1003,出库明细!D487)&gt;0,COUNTIFS(出库明细!$C$4:C487,出库明细!C487,出库明细!$D$4:D487,出库明细!D487)&gt;1),"",IFERROR(MATCH(出库明细!C487,总览汇总!$B$5:$B$304,0),900)*10000000+IFERROR(MATCH(出库明细!D487,基础资料!$E$5:$E$104,0),900)*10000+ROW()))</f>
      </c>
      <c r="F1487">
        <f>IF(AND(出库明细!C1487&lt;&gt;"",出库明细!C1487=客户对账单!$B$4,ISNUMBER(出库明细!B1487),出库明细!B1487&gt;=客户对账单!$G$4,出库明细!B1487&lt;=客户对账单!$I$4),出库明细!B1487+ROW()/100000,"")</f>
      </c>
      <c r="H1487">
        <f>IF(AND(采购进货!C1487&lt;&gt;"",采购进货!C1487=供应商对账单!$B$4,ISNUMBER(采购进货!B1487),采购进货!B1487&gt;=供应商对账单!$G$4,采购进货!B1487&lt;=供应商对账单!$I$4),采购进货!B1487+ROW()/100000,"")</f>
      </c>
      <c r="N1487">
        <f>IF(AND(ISNUMBER(出库明细!G1487),ISNUMBER(出库明细!E1487),ISNUMBER(出库明细!F1487)),IF(ABS(出库明细!G1487-出库明细!E1487*出库明细!F1487)&gt;0.005,1,0),0)</f>
        <v>0</v>
      </c>
    </row>
    <row r="1488">
      <c r="A1488">
        <f>IF(OR(出库明细!C488="",出库明细!D488=""),"",IF(OR(COUNTIFS(存条明细!$C$4:$C$1003,出库明细!C488,存条明细!$D$4:$D$1003,出库明细!D488)&gt;0,COUNTIFS(出库明细!$C$4:C488,出库明细!C488,出库明细!$D$4:D488,出库明细!D488)&gt;1),"",IFERROR(MATCH(出库明细!C488,总览汇总!$B$5:$B$304,0),900)*10000000+IFERROR(MATCH(出库明细!D488,基础资料!$E$5:$E$104,0),900)*10000+ROW()))</f>
      </c>
      <c r="F1488">
        <f>IF(AND(出库明细!C1488&lt;&gt;"",出库明细!C1488=客户对账单!$B$4,ISNUMBER(出库明细!B1488),出库明细!B1488&gt;=客户对账单!$G$4,出库明细!B1488&lt;=客户对账单!$I$4),出库明细!B1488+ROW()/100000,"")</f>
      </c>
      <c r="H1488">
        <f>IF(AND(采购进货!C1488&lt;&gt;"",采购进货!C1488=供应商对账单!$B$4,ISNUMBER(采购进货!B1488),采购进货!B1488&gt;=供应商对账单!$G$4,采购进货!B1488&lt;=供应商对账单!$I$4),采购进货!B1488+ROW()/100000,"")</f>
      </c>
      <c r="N1488">
        <f>IF(AND(ISNUMBER(出库明细!G1488),ISNUMBER(出库明细!E1488),ISNUMBER(出库明细!F1488)),IF(ABS(出库明细!G1488-出库明细!E1488*出库明细!F1488)&gt;0.005,1,0),0)</f>
        <v>0</v>
      </c>
    </row>
    <row r="1489">
      <c r="A1489">
        <f>IF(OR(出库明细!C489="",出库明细!D489=""),"",IF(OR(COUNTIFS(存条明细!$C$4:$C$1003,出库明细!C489,存条明细!$D$4:$D$1003,出库明细!D489)&gt;0,COUNTIFS(出库明细!$C$4:C489,出库明细!C489,出库明细!$D$4:D489,出库明细!D489)&gt;1),"",IFERROR(MATCH(出库明细!C489,总览汇总!$B$5:$B$304,0),900)*10000000+IFERROR(MATCH(出库明细!D489,基础资料!$E$5:$E$104,0),900)*10000+ROW()))</f>
      </c>
      <c r="F1489">
        <f>IF(AND(出库明细!C1489&lt;&gt;"",出库明细!C1489=客户对账单!$B$4,ISNUMBER(出库明细!B1489),出库明细!B1489&gt;=客户对账单!$G$4,出库明细!B1489&lt;=客户对账单!$I$4),出库明细!B1489+ROW()/100000,"")</f>
      </c>
      <c r="H1489">
        <f>IF(AND(采购进货!C1489&lt;&gt;"",采购进货!C1489=供应商对账单!$B$4,ISNUMBER(采购进货!B1489),采购进货!B1489&gt;=供应商对账单!$G$4,采购进货!B1489&lt;=供应商对账单!$I$4),采购进货!B1489+ROW()/100000,"")</f>
      </c>
      <c r="N1489">
        <f>IF(AND(ISNUMBER(出库明细!G1489),ISNUMBER(出库明细!E1489),ISNUMBER(出库明细!F1489)),IF(ABS(出库明细!G1489-出库明细!E1489*出库明细!F1489)&gt;0.005,1,0),0)</f>
        <v>0</v>
      </c>
    </row>
    <row r="1490">
      <c r="A1490">
        <f>IF(OR(出库明细!C490="",出库明细!D490=""),"",IF(OR(COUNTIFS(存条明细!$C$4:$C$1003,出库明细!C490,存条明细!$D$4:$D$1003,出库明细!D490)&gt;0,COUNTIFS(出库明细!$C$4:C490,出库明细!C490,出库明细!$D$4:D490,出库明细!D490)&gt;1),"",IFERROR(MATCH(出库明细!C490,总览汇总!$B$5:$B$304,0),900)*10000000+IFERROR(MATCH(出库明细!D490,基础资料!$E$5:$E$104,0),900)*10000+ROW()))</f>
      </c>
      <c r="F1490">
        <f>IF(AND(出库明细!C1490&lt;&gt;"",出库明细!C1490=客户对账单!$B$4,ISNUMBER(出库明细!B1490),出库明细!B1490&gt;=客户对账单!$G$4,出库明细!B1490&lt;=客户对账单!$I$4),出库明细!B1490+ROW()/100000,"")</f>
      </c>
      <c r="H1490">
        <f>IF(AND(采购进货!C1490&lt;&gt;"",采购进货!C1490=供应商对账单!$B$4,ISNUMBER(采购进货!B1490),采购进货!B1490&gt;=供应商对账单!$G$4,采购进货!B1490&lt;=供应商对账单!$I$4),采购进货!B1490+ROW()/100000,"")</f>
      </c>
      <c r="N1490">
        <f>IF(AND(ISNUMBER(出库明细!G1490),ISNUMBER(出库明细!E1490),ISNUMBER(出库明细!F1490)),IF(ABS(出库明细!G1490-出库明细!E1490*出库明细!F1490)&gt;0.005,1,0),0)</f>
        <v>0</v>
      </c>
    </row>
    <row r="1491">
      <c r="A1491">
        <f>IF(OR(出库明细!C491="",出库明细!D491=""),"",IF(OR(COUNTIFS(存条明细!$C$4:$C$1003,出库明细!C491,存条明细!$D$4:$D$1003,出库明细!D491)&gt;0,COUNTIFS(出库明细!$C$4:C491,出库明细!C491,出库明细!$D$4:D491,出库明细!D491)&gt;1),"",IFERROR(MATCH(出库明细!C491,总览汇总!$B$5:$B$304,0),900)*10000000+IFERROR(MATCH(出库明细!D491,基础资料!$E$5:$E$104,0),900)*10000+ROW()))</f>
      </c>
      <c r="F1491">
        <f>IF(AND(出库明细!C1491&lt;&gt;"",出库明细!C1491=客户对账单!$B$4,ISNUMBER(出库明细!B1491),出库明细!B1491&gt;=客户对账单!$G$4,出库明细!B1491&lt;=客户对账单!$I$4),出库明细!B1491+ROW()/100000,"")</f>
      </c>
      <c r="H1491">
        <f>IF(AND(采购进货!C1491&lt;&gt;"",采购进货!C1491=供应商对账单!$B$4,ISNUMBER(采购进货!B1491),采购进货!B1491&gt;=供应商对账单!$G$4,采购进货!B1491&lt;=供应商对账单!$I$4),采购进货!B1491+ROW()/100000,"")</f>
      </c>
      <c r="N1491">
        <f>IF(AND(ISNUMBER(出库明细!G1491),ISNUMBER(出库明细!E1491),ISNUMBER(出库明细!F1491)),IF(ABS(出库明细!G1491-出库明细!E1491*出库明细!F1491)&gt;0.005,1,0),0)</f>
        <v>0</v>
      </c>
    </row>
    <row r="1492">
      <c r="A1492">
        <f>IF(OR(出库明细!C492="",出库明细!D492=""),"",IF(OR(COUNTIFS(存条明细!$C$4:$C$1003,出库明细!C492,存条明细!$D$4:$D$1003,出库明细!D492)&gt;0,COUNTIFS(出库明细!$C$4:C492,出库明细!C492,出库明细!$D$4:D492,出库明细!D492)&gt;1),"",IFERROR(MATCH(出库明细!C492,总览汇总!$B$5:$B$304,0),900)*10000000+IFERROR(MATCH(出库明细!D492,基础资料!$E$5:$E$104,0),900)*10000+ROW()))</f>
      </c>
      <c r="F1492">
        <f>IF(AND(出库明细!C1492&lt;&gt;"",出库明细!C1492=客户对账单!$B$4,ISNUMBER(出库明细!B1492),出库明细!B1492&gt;=客户对账单!$G$4,出库明细!B1492&lt;=客户对账单!$I$4),出库明细!B1492+ROW()/100000,"")</f>
      </c>
      <c r="H1492">
        <f>IF(AND(采购进货!C1492&lt;&gt;"",采购进货!C1492=供应商对账单!$B$4,ISNUMBER(采购进货!B1492),采购进货!B1492&gt;=供应商对账单!$G$4,采购进货!B1492&lt;=供应商对账单!$I$4),采购进货!B1492+ROW()/100000,"")</f>
      </c>
      <c r="N1492">
        <f>IF(AND(ISNUMBER(出库明细!G1492),ISNUMBER(出库明细!E1492),ISNUMBER(出库明细!F1492)),IF(ABS(出库明细!G1492-出库明细!E1492*出库明细!F1492)&gt;0.005,1,0),0)</f>
        <v>0</v>
      </c>
    </row>
    <row r="1493">
      <c r="A1493">
        <f>IF(OR(出库明细!C493="",出库明细!D493=""),"",IF(OR(COUNTIFS(存条明细!$C$4:$C$1003,出库明细!C493,存条明细!$D$4:$D$1003,出库明细!D493)&gt;0,COUNTIFS(出库明细!$C$4:C493,出库明细!C493,出库明细!$D$4:D493,出库明细!D493)&gt;1),"",IFERROR(MATCH(出库明细!C493,总览汇总!$B$5:$B$304,0),900)*10000000+IFERROR(MATCH(出库明细!D493,基础资料!$E$5:$E$104,0),900)*10000+ROW()))</f>
      </c>
      <c r="F1493">
        <f>IF(AND(出库明细!C1493&lt;&gt;"",出库明细!C1493=客户对账单!$B$4,ISNUMBER(出库明细!B1493),出库明细!B1493&gt;=客户对账单!$G$4,出库明细!B1493&lt;=客户对账单!$I$4),出库明细!B1493+ROW()/100000,"")</f>
      </c>
      <c r="H1493">
        <f>IF(AND(采购进货!C1493&lt;&gt;"",采购进货!C1493=供应商对账单!$B$4,ISNUMBER(采购进货!B1493),采购进货!B1493&gt;=供应商对账单!$G$4,采购进货!B1493&lt;=供应商对账单!$I$4),采购进货!B1493+ROW()/100000,"")</f>
      </c>
      <c r="N1493">
        <f>IF(AND(ISNUMBER(出库明细!G1493),ISNUMBER(出库明细!E1493),ISNUMBER(出库明细!F1493)),IF(ABS(出库明细!G1493-出库明细!E1493*出库明细!F1493)&gt;0.005,1,0),0)</f>
        <v>0</v>
      </c>
    </row>
    <row r="1494">
      <c r="A1494">
        <f>IF(OR(出库明细!C494="",出库明细!D494=""),"",IF(OR(COUNTIFS(存条明细!$C$4:$C$1003,出库明细!C494,存条明细!$D$4:$D$1003,出库明细!D494)&gt;0,COUNTIFS(出库明细!$C$4:C494,出库明细!C494,出库明细!$D$4:D494,出库明细!D494)&gt;1),"",IFERROR(MATCH(出库明细!C494,总览汇总!$B$5:$B$304,0),900)*10000000+IFERROR(MATCH(出库明细!D494,基础资料!$E$5:$E$104,0),900)*10000+ROW()))</f>
      </c>
      <c r="F1494">
        <f>IF(AND(出库明细!C1494&lt;&gt;"",出库明细!C1494=客户对账单!$B$4,ISNUMBER(出库明细!B1494),出库明细!B1494&gt;=客户对账单!$G$4,出库明细!B1494&lt;=客户对账单!$I$4),出库明细!B1494+ROW()/100000,"")</f>
      </c>
      <c r="H1494">
        <f>IF(AND(采购进货!C1494&lt;&gt;"",采购进货!C1494=供应商对账单!$B$4,ISNUMBER(采购进货!B1494),采购进货!B1494&gt;=供应商对账单!$G$4,采购进货!B1494&lt;=供应商对账单!$I$4),采购进货!B1494+ROW()/100000,"")</f>
      </c>
      <c r="N1494">
        <f>IF(AND(ISNUMBER(出库明细!G1494),ISNUMBER(出库明细!E1494),ISNUMBER(出库明细!F1494)),IF(ABS(出库明细!G1494-出库明细!E1494*出库明细!F1494)&gt;0.005,1,0),0)</f>
        <v>0</v>
      </c>
    </row>
    <row r="1495">
      <c r="A1495">
        <f>IF(OR(出库明细!C495="",出库明细!D495=""),"",IF(OR(COUNTIFS(存条明细!$C$4:$C$1003,出库明细!C495,存条明细!$D$4:$D$1003,出库明细!D495)&gt;0,COUNTIFS(出库明细!$C$4:C495,出库明细!C495,出库明细!$D$4:D495,出库明细!D495)&gt;1),"",IFERROR(MATCH(出库明细!C495,总览汇总!$B$5:$B$304,0),900)*10000000+IFERROR(MATCH(出库明细!D495,基础资料!$E$5:$E$104,0),900)*10000+ROW()))</f>
      </c>
      <c r="F1495">
        <f>IF(AND(出库明细!C1495&lt;&gt;"",出库明细!C1495=客户对账单!$B$4,ISNUMBER(出库明细!B1495),出库明细!B1495&gt;=客户对账单!$G$4,出库明细!B1495&lt;=客户对账单!$I$4),出库明细!B1495+ROW()/100000,"")</f>
      </c>
      <c r="H1495">
        <f>IF(AND(采购进货!C1495&lt;&gt;"",采购进货!C1495=供应商对账单!$B$4,ISNUMBER(采购进货!B1495),采购进货!B1495&gt;=供应商对账单!$G$4,采购进货!B1495&lt;=供应商对账单!$I$4),采购进货!B1495+ROW()/100000,"")</f>
      </c>
      <c r="N1495">
        <f>IF(AND(ISNUMBER(出库明细!G1495),ISNUMBER(出库明细!E1495),ISNUMBER(出库明细!F1495)),IF(ABS(出库明细!G1495-出库明细!E1495*出库明细!F1495)&gt;0.005,1,0),0)</f>
        <v>0</v>
      </c>
    </row>
    <row r="1496">
      <c r="A1496">
        <f>IF(OR(出库明细!C496="",出库明细!D496=""),"",IF(OR(COUNTIFS(存条明细!$C$4:$C$1003,出库明细!C496,存条明细!$D$4:$D$1003,出库明细!D496)&gt;0,COUNTIFS(出库明细!$C$4:C496,出库明细!C496,出库明细!$D$4:D496,出库明细!D496)&gt;1),"",IFERROR(MATCH(出库明细!C496,总览汇总!$B$5:$B$304,0),900)*10000000+IFERROR(MATCH(出库明细!D496,基础资料!$E$5:$E$104,0),900)*10000+ROW()))</f>
      </c>
      <c r="F1496">
        <f>IF(AND(出库明细!C1496&lt;&gt;"",出库明细!C1496=客户对账单!$B$4,ISNUMBER(出库明细!B1496),出库明细!B1496&gt;=客户对账单!$G$4,出库明细!B1496&lt;=客户对账单!$I$4),出库明细!B1496+ROW()/100000,"")</f>
      </c>
      <c r="H1496">
        <f>IF(AND(采购进货!C1496&lt;&gt;"",采购进货!C1496=供应商对账单!$B$4,ISNUMBER(采购进货!B1496),采购进货!B1496&gt;=供应商对账单!$G$4,采购进货!B1496&lt;=供应商对账单!$I$4),采购进货!B1496+ROW()/100000,"")</f>
      </c>
      <c r="N1496">
        <f>IF(AND(ISNUMBER(出库明细!G1496),ISNUMBER(出库明细!E1496),ISNUMBER(出库明细!F1496)),IF(ABS(出库明细!G1496-出库明细!E1496*出库明细!F1496)&gt;0.005,1,0),0)</f>
        <v>0</v>
      </c>
    </row>
    <row r="1497">
      <c r="A1497">
        <f>IF(OR(出库明细!C497="",出库明细!D497=""),"",IF(OR(COUNTIFS(存条明细!$C$4:$C$1003,出库明细!C497,存条明细!$D$4:$D$1003,出库明细!D497)&gt;0,COUNTIFS(出库明细!$C$4:C497,出库明细!C497,出库明细!$D$4:D497,出库明细!D497)&gt;1),"",IFERROR(MATCH(出库明细!C497,总览汇总!$B$5:$B$304,0),900)*10000000+IFERROR(MATCH(出库明细!D497,基础资料!$E$5:$E$104,0),900)*10000+ROW()))</f>
      </c>
      <c r="F1497">
        <f>IF(AND(出库明细!C1497&lt;&gt;"",出库明细!C1497=客户对账单!$B$4,ISNUMBER(出库明细!B1497),出库明细!B1497&gt;=客户对账单!$G$4,出库明细!B1497&lt;=客户对账单!$I$4),出库明细!B1497+ROW()/100000,"")</f>
      </c>
      <c r="H1497">
        <f>IF(AND(采购进货!C1497&lt;&gt;"",采购进货!C1497=供应商对账单!$B$4,ISNUMBER(采购进货!B1497),采购进货!B1497&gt;=供应商对账单!$G$4,采购进货!B1497&lt;=供应商对账单!$I$4),采购进货!B1497+ROW()/100000,"")</f>
      </c>
      <c r="N1497">
        <f>IF(AND(ISNUMBER(出库明细!G1497),ISNUMBER(出库明细!E1497),ISNUMBER(出库明细!F1497)),IF(ABS(出库明细!G1497-出库明细!E1497*出库明细!F1497)&gt;0.005,1,0),0)</f>
        <v>0</v>
      </c>
    </row>
    <row r="1498">
      <c r="A1498">
        <f>IF(OR(出库明细!C498="",出库明细!D498=""),"",IF(OR(COUNTIFS(存条明细!$C$4:$C$1003,出库明细!C498,存条明细!$D$4:$D$1003,出库明细!D498)&gt;0,COUNTIFS(出库明细!$C$4:C498,出库明细!C498,出库明细!$D$4:D498,出库明细!D498)&gt;1),"",IFERROR(MATCH(出库明细!C498,总览汇总!$B$5:$B$304,0),900)*10000000+IFERROR(MATCH(出库明细!D498,基础资料!$E$5:$E$104,0),900)*10000+ROW()))</f>
      </c>
      <c r="F1498">
        <f>IF(AND(出库明细!C1498&lt;&gt;"",出库明细!C1498=客户对账单!$B$4,ISNUMBER(出库明细!B1498),出库明细!B1498&gt;=客户对账单!$G$4,出库明细!B1498&lt;=客户对账单!$I$4),出库明细!B1498+ROW()/100000,"")</f>
      </c>
      <c r="H1498">
        <f>IF(AND(采购进货!C1498&lt;&gt;"",采购进货!C1498=供应商对账单!$B$4,ISNUMBER(采购进货!B1498),采购进货!B1498&gt;=供应商对账单!$G$4,采购进货!B1498&lt;=供应商对账单!$I$4),采购进货!B1498+ROW()/100000,"")</f>
      </c>
      <c r="N1498">
        <f>IF(AND(ISNUMBER(出库明细!G1498),ISNUMBER(出库明细!E1498),ISNUMBER(出库明细!F1498)),IF(ABS(出库明细!G1498-出库明细!E1498*出库明细!F1498)&gt;0.005,1,0),0)</f>
        <v>0</v>
      </c>
    </row>
    <row r="1499">
      <c r="A1499">
        <f>IF(OR(出库明细!C499="",出库明细!D499=""),"",IF(OR(COUNTIFS(存条明细!$C$4:$C$1003,出库明细!C499,存条明细!$D$4:$D$1003,出库明细!D499)&gt;0,COUNTIFS(出库明细!$C$4:C499,出库明细!C499,出库明细!$D$4:D499,出库明细!D499)&gt;1),"",IFERROR(MATCH(出库明细!C499,总览汇总!$B$5:$B$304,0),900)*10000000+IFERROR(MATCH(出库明细!D499,基础资料!$E$5:$E$104,0),900)*10000+ROW()))</f>
      </c>
      <c r="F1499">
        <f>IF(AND(出库明细!C1499&lt;&gt;"",出库明细!C1499=客户对账单!$B$4,ISNUMBER(出库明细!B1499),出库明细!B1499&gt;=客户对账单!$G$4,出库明细!B1499&lt;=客户对账单!$I$4),出库明细!B1499+ROW()/100000,"")</f>
      </c>
      <c r="H1499">
        <f>IF(AND(采购进货!C1499&lt;&gt;"",采购进货!C1499=供应商对账单!$B$4,ISNUMBER(采购进货!B1499),采购进货!B1499&gt;=供应商对账单!$G$4,采购进货!B1499&lt;=供应商对账单!$I$4),采购进货!B1499+ROW()/100000,"")</f>
      </c>
      <c r="N1499">
        <f>IF(AND(ISNUMBER(出库明细!G1499),ISNUMBER(出库明细!E1499),ISNUMBER(出库明细!F1499)),IF(ABS(出库明细!G1499-出库明细!E1499*出库明细!F1499)&gt;0.005,1,0),0)</f>
        <v>0</v>
      </c>
    </row>
    <row r="1500">
      <c r="A1500">
        <f>IF(OR(出库明细!C500="",出库明细!D500=""),"",IF(OR(COUNTIFS(存条明细!$C$4:$C$1003,出库明细!C500,存条明细!$D$4:$D$1003,出库明细!D500)&gt;0,COUNTIFS(出库明细!$C$4:C500,出库明细!C500,出库明细!$D$4:D500,出库明细!D500)&gt;1),"",IFERROR(MATCH(出库明细!C500,总览汇总!$B$5:$B$304,0),900)*10000000+IFERROR(MATCH(出库明细!D500,基础资料!$E$5:$E$104,0),900)*10000+ROW()))</f>
      </c>
      <c r="F1500">
        <f>IF(AND(出库明细!C1500&lt;&gt;"",出库明细!C1500=客户对账单!$B$4,ISNUMBER(出库明细!B1500),出库明细!B1500&gt;=客户对账单!$G$4,出库明细!B1500&lt;=客户对账单!$I$4),出库明细!B1500+ROW()/100000,"")</f>
      </c>
      <c r="H1500">
        <f>IF(AND(采购进货!C1500&lt;&gt;"",采购进货!C1500=供应商对账单!$B$4,ISNUMBER(采购进货!B1500),采购进货!B1500&gt;=供应商对账单!$G$4,采购进货!B1500&lt;=供应商对账单!$I$4),采购进货!B1500+ROW()/100000,"")</f>
      </c>
      <c r="N1500">
        <f>IF(AND(ISNUMBER(出库明细!G1500),ISNUMBER(出库明细!E1500),ISNUMBER(出库明细!F1500)),IF(ABS(出库明细!G1500-出库明细!E1500*出库明细!F1500)&gt;0.005,1,0),0)</f>
        <v>0</v>
      </c>
    </row>
    <row r="1501">
      <c r="A1501">
        <f>IF(OR(出库明细!C501="",出库明细!D501=""),"",IF(OR(COUNTIFS(存条明细!$C$4:$C$1003,出库明细!C501,存条明细!$D$4:$D$1003,出库明细!D501)&gt;0,COUNTIFS(出库明细!$C$4:C501,出库明细!C501,出库明细!$D$4:D501,出库明细!D501)&gt;1),"",IFERROR(MATCH(出库明细!C501,总览汇总!$B$5:$B$304,0),900)*10000000+IFERROR(MATCH(出库明细!D501,基础资料!$E$5:$E$104,0),900)*10000+ROW()))</f>
      </c>
      <c r="F1501">
        <f>IF(AND(出库明细!C1501&lt;&gt;"",出库明细!C1501=客户对账单!$B$4,ISNUMBER(出库明细!B1501),出库明细!B1501&gt;=客户对账单!$G$4,出库明细!B1501&lt;=客户对账单!$I$4),出库明细!B1501+ROW()/100000,"")</f>
      </c>
      <c r="H1501">
        <f>IF(AND(采购进货!C1501&lt;&gt;"",采购进货!C1501=供应商对账单!$B$4,ISNUMBER(采购进货!B1501),采购进货!B1501&gt;=供应商对账单!$G$4,采购进货!B1501&lt;=供应商对账单!$I$4),采购进货!B1501+ROW()/100000,"")</f>
      </c>
      <c r="N1501">
        <f>IF(AND(ISNUMBER(出库明细!G1501),ISNUMBER(出库明细!E1501),ISNUMBER(出库明细!F1501)),IF(ABS(出库明细!G1501-出库明细!E1501*出库明细!F1501)&gt;0.005,1,0),0)</f>
        <v>0</v>
      </c>
    </row>
    <row r="1502">
      <c r="A1502">
        <f>IF(OR(出库明细!C502="",出库明细!D502=""),"",IF(OR(COUNTIFS(存条明细!$C$4:$C$1003,出库明细!C502,存条明细!$D$4:$D$1003,出库明细!D502)&gt;0,COUNTIFS(出库明细!$C$4:C502,出库明细!C502,出库明细!$D$4:D502,出库明细!D502)&gt;1),"",IFERROR(MATCH(出库明细!C502,总览汇总!$B$5:$B$304,0),900)*10000000+IFERROR(MATCH(出库明细!D502,基础资料!$E$5:$E$104,0),900)*10000+ROW()))</f>
      </c>
      <c r="F1502">
        <f>IF(AND(出库明细!C1502&lt;&gt;"",出库明细!C1502=客户对账单!$B$4,ISNUMBER(出库明细!B1502),出库明细!B1502&gt;=客户对账单!$G$4,出库明细!B1502&lt;=客户对账单!$I$4),出库明细!B1502+ROW()/100000,"")</f>
      </c>
      <c r="H1502">
        <f>IF(AND(采购进货!C1502&lt;&gt;"",采购进货!C1502=供应商对账单!$B$4,ISNUMBER(采购进货!B1502),采购进货!B1502&gt;=供应商对账单!$G$4,采购进货!B1502&lt;=供应商对账单!$I$4),采购进货!B1502+ROW()/100000,"")</f>
      </c>
      <c r="N1502">
        <f>IF(AND(ISNUMBER(出库明细!G1502),ISNUMBER(出库明细!E1502),ISNUMBER(出库明细!F1502)),IF(ABS(出库明细!G1502-出库明细!E1502*出库明细!F1502)&gt;0.005,1,0),0)</f>
        <v>0</v>
      </c>
    </row>
    <row r="1503">
      <c r="A1503">
        <f>IF(OR(出库明细!C503="",出库明细!D503=""),"",IF(OR(COUNTIFS(存条明细!$C$4:$C$1003,出库明细!C503,存条明细!$D$4:$D$1003,出库明细!D503)&gt;0,COUNTIFS(出库明细!$C$4:C503,出库明细!C503,出库明细!$D$4:D503,出库明细!D503)&gt;1),"",IFERROR(MATCH(出库明细!C503,总览汇总!$B$5:$B$304,0),900)*10000000+IFERROR(MATCH(出库明细!D503,基础资料!$E$5:$E$104,0),900)*10000+ROW()))</f>
      </c>
      <c r="F1503">
        <f>IF(AND(出库明细!C1503&lt;&gt;"",出库明细!C1503=客户对账单!$B$4,ISNUMBER(出库明细!B1503),出库明细!B1503&gt;=客户对账单!$G$4,出库明细!B1503&lt;=客户对账单!$I$4),出库明细!B1503+ROW()/100000,"")</f>
      </c>
      <c r="H1503">
        <f>IF(AND(采购进货!C1503&lt;&gt;"",采购进货!C1503=供应商对账单!$B$4,ISNUMBER(采购进货!B1503),采购进货!B1503&gt;=供应商对账单!$G$4,采购进货!B1503&lt;=供应商对账单!$I$4),采购进货!B1503+ROW()/100000,"")</f>
      </c>
      <c r="N1503">
        <f>IF(AND(ISNUMBER(出库明细!G1503),ISNUMBER(出库明细!E1503),ISNUMBER(出库明细!F1503)),IF(ABS(出库明细!G1503-出库明细!E1503*出库明细!F1503)&gt;0.005,1,0),0)</f>
        <v>0</v>
      </c>
    </row>
    <row r="1504">
      <c r="A1504">
        <f>IF(OR(出库明细!C504="",出库明细!D504=""),"",IF(OR(COUNTIFS(存条明细!$C$4:$C$1003,出库明细!C504,存条明细!$D$4:$D$1003,出库明细!D504)&gt;0,COUNTIFS(出库明细!$C$4:C504,出库明细!C504,出库明细!$D$4:D504,出库明细!D504)&gt;1),"",IFERROR(MATCH(出库明细!C504,总览汇总!$B$5:$B$304,0),900)*10000000+IFERROR(MATCH(出库明细!D504,基础资料!$E$5:$E$104,0),900)*10000+ROW()))</f>
      </c>
      <c r="F1504">
        <f>IF(AND(出库明细!C1504&lt;&gt;"",出库明细!C1504=客户对账单!$B$4,ISNUMBER(出库明细!B1504),出库明细!B1504&gt;=客户对账单!$G$4,出库明细!B1504&lt;=客户对账单!$I$4),出库明细!B1504+ROW()/100000,"")</f>
      </c>
      <c r="H1504">
        <f>IF(AND(资金台帐!K7&lt;&gt;"",资金台帐!K7=供应商对账单!$B$4,资金台帐!P7="应付",ISNUMBER(资金台帐!B7),资金台帐!B7&gt;=供应商对账单!$G$4,资金台帐!B7&lt;=供应商对账单!$I$4),资金台帐!B7+ROW()/100000,"")</f>
      </c>
      <c r="N1504">
        <f>IF(AND(ISNUMBER(出库明细!G1504),ISNUMBER(出库明细!E1504),ISNUMBER(出库明细!F1504)),IF(ABS(出库明细!G1504-出库明细!E1504*出库明细!F1504)&gt;0.005,1,0),0)</f>
        <v>0</v>
      </c>
    </row>
    <row r="1505">
      <c r="A1505">
        <f>IF(OR(出库明细!C505="",出库明细!D505=""),"",IF(OR(COUNTIFS(存条明细!$C$4:$C$1003,出库明细!C505,存条明细!$D$4:$D$1003,出库明细!D505)&gt;0,COUNTIFS(出库明细!$C$4:C505,出库明细!C505,出库明细!$D$4:D505,出库明细!D505)&gt;1),"",IFERROR(MATCH(出库明细!C505,总览汇总!$B$5:$B$304,0),900)*10000000+IFERROR(MATCH(出库明细!D505,基础资料!$E$5:$E$104,0),900)*10000+ROW()))</f>
      </c>
      <c r="F1505">
        <f>IF(AND(出库明细!C1505&lt;&gt;"",出库明细!C1505=客户对账单!$B$4,ISNUMBER(出库明细!B1505),出库明细!B1505&gt;=客户对账单!$G$4,出库明细!B1505&lt;=客户对账单!$I$4),出库明细!B1505+ROW()/100000,"")</f>
      </c>
      <c r="H1505">
        <f>IF(AND(资金台帐!K8&lt;&gt;"",资金台帐!K8=供应商对账单!$B$4,资金台帐!P8="应付",ISNUMBER(资金台帐!B8),资金台帐!B8&gt;=供应商对账单!$G$4,资金台帐!B8&lt;=供应商对账单!$I$4),资金台帐!B8+ROW()/100000,"")</f>
      </c>
      <c r="N1505">
        <f>IF(AND(ISNUMBER(出库明细!G1505),ISNUMBER(出库明细!E1505),ISNUMBER(出库明细!F1505)),IF(ABS(出库明细!G1505-出库明细!E1505*出库明细!F1505)&gt;0.005,1,0),0)</f>
        <v>0</v>
      </c>
    </row>
    <row r="1506">
      <c r="A1506">
        <f>IF(OR(出库明细!C506="",出库明细!D506=""),"",IF(OR(COUNTIFS(存条明细!$C$4:$C$1003,出库明细!C506,存条明细!$D$4:$D$1003,出库明细!D506)&gt;0,COUNTIFS(出库明细!$C$4:C506,出库明细!C506,出库明细!$D$4:D506,出库明细!D506)&gt;1),"",IFERROR(MATCH(出库明细!C506,总览汇总!$B$5:$B$304,0),900)*10000000+IFERROR(MATCH(出库明细!D506,基础资料!$E$5:$E$104,0),900)*10000+ROW()))</f>
      </c>
      <c r="F1506">
        <f>IF(AND(出库明细!C1506&lt;&gt;"",出库明细!C1506=客户对账单!$B$4,ISNUMBER(出库明细!B1506),出库明细!B1506&gt;=客户对账单!$G$4,出库明细!B1506&lt;=客户对账单!$I$4),出库明细!B1506+ROW()/100000,"")</f>
      </c>
      <c r="H1506">
        <f>IF(AND(资金台帐!K9&lt;&gt;"",资金台帐!K9=供应商对账单!$B$4,资金台帐!P9="应付",ISNUMBER(资金台帐!B9),资金台帐!B9&gt;=供应商对账单!$G$4,资金台帐!B9&lt;=供应商对账单!$I$4),资金台帐!B9+ROW()/100000,"")</f>
      </c>
      <c r="N1506">
        <f>IF(AND(ISNUMBER(出库明细!G1506),ISNUMBER(出库明细!E1506),ISNUMBER(出库明细!F1506)),IF(ABS(出库明细!G1506-出库明细!E1506*出库明细!F1506)&gt;0.005,1,0),0)</f>
        <v>0</v>
      </c>
    </row>
    <row r="1507">
      <c r="A1507">
        <f>IF(OR(出库明细!C507="",出库明细!D507=""),"",IF(OR(COUNTIFS(存条明细!$C$4:$C$1003,出库明细!C507,存条明细!$D$4:$D$1003,出库明细!D507)&gt;0,COUNTIFS(出库明细!$C$4:C507,出库明细!C507,出库明细!$D$4:D507,出库明细!D507)&gt;1),"",IFERROR(MATCH(出库明细!C507,总览汇总!$B$5:$B$304,0),900)*10000000+IFERROR(MATCH(出库明细!D507,基础资料!$E$5:$E$104,0),900)*10000+ROW()))</f>
      </c>
      <c r="F1507">
        <f>IF(AND(出库明细!C1507&lt;&gt;"",出库明细!C1507=客户对账单!$B$4,ISNUMBER(出库明细!B1507),出库明细!B1507&gt;=客户对账单!$G$4,出库明细!B1507&lt;=客户对账单!$I$4),出库明细!B1507+ROW()/100000,"")</f>
      </c>
      <c r="H1507">
        <f>IF(AND(资金台帐!K10&lt;&gt;"",资金台帐!K10=供应商对账单!$B$4,资金台帐!P10="应付",ISNUMBER(资金台帐!B10),资金台帐!B10&gt;=供应商对账单!$G$4,资金台帐!B10&lt;=供应商对账单!$I$4),资金台帐!B10+ROW()/100000,"")</f>
      </c>
      <c r="N1507">
        <f>IF(AND(ISNUMBER(出库明细!G1507),ISNUMBER(出库明细!E1507),ISNUMBER(出库明细!F1507)),IF(ABS(出库明细!G1507-出库明细!E1507*出库明细!F1507)&gt;0.005,1,0),0)</f>
        <v>0</v>
      </c>
    </row>
    <row r="1508">
      <c r="A1508">
        <f>IF(OR(出库明细!C508="",出库明细!D508=""),"",IF(OR(COUNTIFS(存条明细!$C$4:$C$1003,出库明细!C508,存条明细!$D$4:$D$1003,出库明细!D508)&gt;0,COUNTIFS(出库明细!$C$4:C508,出库明细!C508,出库明细!$D$4:D508,出库明细!D508)&gt;1),"",IFERROR(MATCH(出库明细!C508,总览汇总!$B$5:$B$304,0),900)*10000000+IFERROR(MATCH(出库明细!D508,基础资料!$E$5:$E$104,0),900)*10000+ROW()))</f>
      </c>
      <c r="F1508">
        <f>IF(AND(出库明细!C1508&lt;&gt;"",出库明细!C1508=客户对账单!$B$4,ISNUMBER(出库明细!B1508),出库明细!B1508&gt;=客户对账单!$G$4,出库明细!B1508&lt;=客户对账单!$I$4),出库明细!B1508+ROW()/100000,"")</f>
      </c>
      <c r="H1508">
        <f>IF(AND(资金台帐!K11&lt;&gt;"",资金台帐!K11=供应商对账单!$B$4,资金台帐!P11="应付",ISNUMBER(资金台帐!B11),资金台帐!B11&gt;=供应商对账单!$G$4,资金台帐!B11&lt;=供应商对账单!$I$4),资金台帐!B11+ROW()/100000,"")</f>
      </c>
      <c r="N1508">
        <f>IF(AND(ISNUMBER(出库明细!G1508),ISNUMBER(出库明细!E1508),ISNUMBER(出库明细!F1508)),IF(ABS(出库明细!G1508-出库明细!E1508*出库明细!F1508)&gt;0.005,1,0),0)</f>
        <v>0</v>
      </c>
    </row>
    <row r="1509">
      <c r="A1509">
        <f>IF(OR(出库明细!C509="",出库明细!D509=""),"",IF(OR(COUNTIFS(存条明细!$C$4:$C$1003,出库明细!C509,存条明细!$D$4:$D$1003,出库明细!D509)&gt;0,COUNTIFS(出库明细!$C$4:C509,出库明细!C509,出库明细!$D$4:D509,出库明细!D509)&gt;1),"",IFERROR(MATCH(出库明细!C509,总览汇总!$B$5:$B$304,0),900)*10000000+IFERROR(MATCH(出库明细!D509,基础资料!$E$5:$E$104,0),900)*10000+ROW()))</f>
      </c>
      <c r="F1509">
        <f>IF(AND(出库明细!C1509&lt;&gt;"",出库明细!C1509=客户对账单!$B$4,ISNUMBER(出库明细!B1509),出库明细!B1509&gt;=客户对账单!$G$4,出库明细!B1509&lt;=客户对账单!$I$4),出库明细!B1509+ROW()/100000,"")</f>
      </c>
      <c r="H1509">
        <f>IF(AND(资金台帐!K12&lt;&gt;"",资金台帐!K12=供应商对账单!$B$4,资金台帐!P12="应付",ISNUMBER(资金台帐!B12),资金台帐!B12&gt;=供应商对账单!$G$4,资金台帐!B12&lt;=供应商对账单!$I$4),资金台帐!B12+ROW()/100000,"")</f>
      </c>
      <c r="N1509">
        <f>IF(AND(ISNUMBER(出库明细!G1509),ISNUMBER(出库明细!E1509),ISNUMBER(出库明细!F1509)),IF(ABS(出库明细!G1509-出库明细!E1509*出库明细!F1509)&gt;0.005,1,0),0)</f>
        <v>0</v>
      </c>
    </row>
    <row r="1510">
      <c r="A1510">
        <f>IF(OR(出库明细!C510="",出库明细!D510=""),"",IF(OR(COUNTIFS(存条明细!$C$4:$C$1003,出库明细!C510,存条明细!$D$4:$D$1003,出库明细!D510)&gt;0,COUNTIFS(出库明细!$C$4:C510,出库明细!C510,出库明细!$D$4:D510,出库明细!D510)&gt;1),"",IFERROR(MATCH(出库明细!C510,总览汇总!$B$5:$B$304,0),900)*10000000+IFERROR(MATCH(出库明细!D510,基础资料!$E$5:$E$104,0),900)*10000+ROW()))</f>
      </c>
      <c r="F1510">
        <f>IF(AND(出库明细!C1510&lt;&gt;"",出库明细!C1510=客户对账单!$B$4,ISNUMBER(出库明细!B1510),出库明细!B1510&gt;=客户对账单!$G$4,出库明细!B1510&lt;=客户对账单!$I$4),出库明细!B1510+ROW()/100000,"")</f>
      </c>
      <c r="H1510">
        <f>IF(AND(资金台帐!K13&lt;&gt;"",资金台帐!K13=供应商对账单!$B$4,资金台帐!P13="应付",ISNUMBER(资金台帐!B13),资金台帐!B13&gt;=供应商对账单!$G$4,资金台帐!B13&lt;=供应商对账单!$I$4),资金台帐!B13+ROW()/100000,"")</f>
      </c>
      <c r="N1510">
        <f>IF(AND(ISNUMBER(出库明细!G1510),ISNUMBER(出库明细!E1510),ISNUMBER(出库明细!F1510)),IF(ABS(出库明细!G1510-出库明细!E1510*出库明细!F1510)&gt;0.005,1,0),0)</f>
        <v>0</v>
      </c>
    </row>
    <row r="1511">
      <c r="A1511">
        <f>IF(OR(出库明细!C511="",出库明细!D511=""),"",IF(OR(COUNTIFS(存条明细!$C$4:$C$1003,出库明细!C511,存条明细!$D$4:$D$1003,出库明细!D511)&gt;0,COUNTIFS(出库明细!$C$4:C511,出库明细!C511,出库明细!$D$4:D511,出库明细!D511)&gt;1),"",IFERROR(MATCH(出库明细!C511,总览汇总!$B$5:$B$304,0),900)*10000000+IFERROR(MATCH(出库明细!D511,基础资料!$E$5:$E$104,0),900)*10000+ROW()))</f>
      </c>
      <c r="F1511">
        <f>IF(AND(出库明细!C1511&lt;&gt;"",出库明细!C1511=客户对账单!$B$4,ISNUMBER(出库明细!B1511),出库明细!B1511&gt;=客户对账单!$G$4,出库明细!B1511&lt;=客户对账单!$I$4),出库明细!B1511+ROW()/100000,"")</f>
      </c>
      <c r="H1511">
        <f>IF(AND(资金台帐!K14&lt;&gt;"",资金台帐!K14=供应商对账单!$B$4,资金台帐!P14="应付",ISNUMBER(资金台帐!B14),资金台帐!B14&gt;=供应商对账单!$G$4,资金台帐!B14&lt;=供应商对账单!$I$4),资金台帐!B14+ROW()/100000,"")</f>
      </c>
      <c r="N1511">
        <f>IF(AND(ISNUMBER(出库明细!G1511),ISNUMBER(出库明细!E1511),ISNUMBER(出库明细!F1511)),IF(ABS(出库明细!G1511-出库明细!E1511*出库明细!F1511)&gt;0.005,1,0),0)</f>
        <v>0</v>
      </c>
    </row>
    <row r="1512">
      <c r="A1512">
        <f>IF(OR(出库明细!C512="",出库明细!D512=""),"",IF(OR(COUNTIFS(存条明细!$C$4:$C$1003,出库明细!C512,存条明细!$D$4:$D$1003,出库明细!D512)&gt;0,COUNTIFS(出库明细!$C$4:C512,出库明细!C512,出库明细!$D$4:D512,出库明细!D512)&gt;1),"",IFERROR(MATCH(出库明细!C512,总览汇总!$B$5:$B$304,0),900)*10000000+IFERROR(MATCH(出库明细!D512,基础资料!$E$5:$E$104,0),900)*10000+ROW()))</f>
      </c>
      <c r="F1512">
        <f>IF(AND(出库明细!C1512&lt;&gt;"",出库明细!C1512=客户对账单!$B$4,ISNUMBER(出库明细!B1512),出库明细!B1512&gt;=客户对账单!$G$4,出库明细!B1512&lt;=客户对账单!$I$4),出库明细!B1512+ROW()/100000,"")</f>
      </c>
      <c r="H1512">
        <f>IF(AND(资金台帐!K15&lt;&gt;"",资金台帐!K15=供应商对账单!$B$4,资金台帐!P15="应付",ISNUMBER(资金台帐!B15),资金台帐!B15&gt;=供应商对账单!$G$4,资金台帐!B15&lt;=供应商对账单!$I$4),资金台帐!B15+ROW()/100000,"")</f>
      </c>
      <c r="N1512">
        <f>IF(AND(ISNUMBER(出库明细!G1512),ISNUMBER(出库明细!E1512),ISNUMBER(出库明细!F1512)),IF(ABS(出库明细!G1512-出库明细!E1512*出库明细!F1512)&gt;0.005,1,0),0)</f>
        <v>0</v>
      </c>
    </row>
    <row r="1513">
      <c r="A1513">
        <f>IF(OR(出库明细!C513="",出库明细!D513=""),"",IF(OR(COUNTIFS(存条明细!$C$4:$C$1003,出库明细!C513,存条明细!$D$4:$D$1003,出库明细!D513)&gt;0,COUNTIFS(出库明细!$C$4:C513,出库明细!C513,出库明细!$D$4:D513,出库明细!D513)&gt;1),"",IFERROR(MATCH(出库明细!C513,总览汇总!$B$5:$B$304,0),900)*10000000+IFERROR(MATCH(出库明细!D513,基础资料!$E$5:$E$104,0),900)*10000+ROW()))</f>
      </c>
      <c r="F1513">
        <f>IF(AND(出库明细!C1513&lt;&gt;"",出库明细!C1513=客户对账单!$B$4,ISNUMBER(出库明细!B1513),出库明细!B1513&gt;=客户对账单!$G$4,出库明细!B1513&lt;=客户对账单!$I$4),出库明细!B1513+ROW()/100000,"")</f>
      </c>
      <c r="H1513">
        <f>IF(AND(资金台帐!K16&lt;&gt;"",资金台帐!K16=供应商对账单!$B$4,资金台帐!P16="应付",ISNUMBER(资金台帐!B16),资金台帐!B16&gt;=供应商对账单!$G$4,资金台帐!B16&lt;=供应商对账单!$I$4),资金台帐!B16+ROW()/100000,"")</f>
      </c>
      <c r="N1513">
        <f>IF(AND(ISNUMBER(出库明细!G1513),ISNUMBER(出库明细!E1513),ISNUMBER(出库明细!F1513)),IF(ABS(出库明细!G1513-出库明细!E1513*出库明细!F1513)&gt;0.005,1,0),0)</f>
        <v>0</v>
      </c>
    </row>
    <row r="1514">
      <c r="A1514">
        <f>IF(OR(出库明细!C514="",出库明细!D514=""),"",IF(OR(COUNTIFS(存条明细!$C$4:$C$1003,出库明细!C514,存条明细!$D$4:$D$1003,出库明细!D514)&gt;0,COUNTIFS(出库明细!$C$4:C514,出库明细!C514,出库明细!$D$4:D514,出库明细!D514)&gt;1),"",IFERROR(MATCH(出库明细!C514,总览汇总!$B$5:$B$304,0),900)*10000000+IFERROR(MATCH(出库明细!D514,基础资料!$E$5:$E$104,0),900)*10000+ROW()))</f>
      </c>
      <c r="F1514">
        <f>IF(AND(出库明细!C1514&lt;&gt;"",出库明细!C1514=客户对账单!$B$4,ISNUMBER(出库明细!B1514),出库明细!B1514&gt;=客户对账单!$G$4,出库明细!B1514&lt;=客户对账单!$I$4),出库明细!B1514+ROW()/100000,"")</f>
      </c>
      <c r="H1514">
        <f>IF(AND(资金台帐!K17&lt;&gt;"",资金台帐!K17=供应商对账单!$B$4,资金台帐!P17="应付",ISNUMBER(资金台帐!B17),资金台帐!B17&gt;=供应商对账单!$G$4,资金台帐!B17&lt;=供应商对账单!$I$4),资金台帐!B17+ROW()/100000,"")</f>
      </c>
      <c r="N1514">
        <f>IF(AND(ISNUMBER(出库明细!G1514),ISNUMBER(出库明细!E1514),ISNUMBER(出库明细!F1514)),IF(ABS(出库明细!G1514-出库明细!E1514*出库明细!F1514)&gt;0.005,1,0),0)</f>
        <v>0</v>
      </c>
    </row>
    <row r="1515">
      <c r="A1515">
        <f>IF(OR(出库明细!C515="",出库明细!D515=""),"",IF(OR(COUNTIFS(存条明细!$C$4:$C$1003,出库明细!C515,存条明细!$D$4:$D$1003,出库明细!D515)&gt;0,COUNTIFS(出库明细!$C$4:C515,出库明细!C515,出库明细!$D$4:D515,出库明细!D515)&gt;1),"",IFERROR(MATCH(出库明细!C515,总览汇总!$B$5:$B$304,0),900)*10000000+IFERROR(MATCH(出库明细!D515,基础资料!$E$5:$E$104,0),900)*10000+ROW()))</f>
      </c>
      <c r="F1515">
        <f>IF(AND(出库明细!C1515&lt;&gt;"",出库明细!C1515=客户对账单!$B$4,ISNUMBER(出库明细!B1515),出库明细!B1515&gt;=客户对账单!$G$4,出库明细!B1515&lt;=客户对账单!$I$4),出库明细!B1515+ROW()/100000,"")</f>
      </c>
      <c r="H1515">
        <f>IF(AND(资金台帐!K18&lt;&gt;"",资金台帐!K18=供应商对账单!$B$4,资金台帐!P18="应付",ISNUMBER(资金台帐!B18),资金台帐!B18&gt;=供应商对账单!$G$4,资金台帐!B18&lt;=供应商对账单!$I$4),资金台帐!B18+ROW()/100000,"")</f>
      </c>
      <c r="N1515">
        <f>IF(AND(ISNUMBER(出库明细!G1515),ISNUMBER(出库明细!E1515),ISNUMBER(出库明细!F1515)),IF(ABS(出库明细!G1515-出库明细!E1515*出库明细!F1515)&gt;0.005,1,0),0)</f>
        <v>0</v>
      </c>
    </row>
    <row r="1516">
      <c r="A1516">
        <f>IF(OR(出库明细!C516="",出库明细!D516=""),"",IF(OR(COUNTIFS(存条明细!$C$4:$C$1003,出库明细!C516,存条明细!$D$4:$D$1003,出库明细!D516)&gt;0,COUNTIFS(出库明细!$C$4:C516,出库明细!C516,出库明细!$D$4:D516,出库明细!D516)&gt;1),"",IFERROR(MATCH(出库明细!C516,总览汇总!$B$5:$B$304,0),900)*10000000+IFERROR(MATCH(出库明细!D516,基础资料!$E$5:$E$104,0),900)*10000+ROW()))</f>
      </c>
      <c r="F1516">
        <f>IF(AND(出库明细!C1516&lt;&gt;"",出库明细!C1516=客户对账单!$B$4,ISNUMBER(出库明细!B1516),出库明细!B1516&gt;=客户对账单!$G$4,出库明细!B1516&lt;=客户对账单!$I$4),出库明细!B1516+ROW()/100000,"")</f>
      </c>
      <c r="H1516">
        <f>IF(AND(资金台帐!K19&lt;&gt;"",资金台帐!K19=供应商对账单!$B$4,资金台帐!P19="应付",ISNUMBER(资金台帐!B19),资金台帐!B19&gt;=供应商对账单!$G$4,资金台帐!B19&lt;=供应商对账单!$I$4),资金台帐!B19+ROW()/100000,"")</f>
      </c>
      <c r="N1516">
        <f>IF(AND(ISNUMBER(出库明细!G1516),ISNUMBER(出库明细!E1516),ISNUMBER(出库明细!F1516)),IF(ABS(出库明细!G1516-出库明细!E1516*出库明细!F1516)&gt;0.005,1,0),0)</f>
        <v>0</v>
      </c>
    </row>
    <row r="1517">
      <c r="A1517">
        <f>IF(OR(出库明细!C517="",出库明细!D517=""),"",IF(OR(COUNTIFS(存条明细!$C$4:$C$1003,出库明细!C517,存条明细!$D$4:$D$1003,出库明细!D517)&gt;0,COUNTIFS(出库明细!$C$4:C517,出库明细!C517,出库明细!$D$4:D517,出库明细!D517)&gt;1),"",IFERROR(MATCH(出库明细!C517,总览汇总!$B$5:$B$304,0),900)*10000000+IFERROR(MATCH(出库明细!D517,基础资料!$E$5:$E$104,0),900)*10000+ROW()))</f>
      </c>
      <c r="F1517">
        <f>IF(AND(出库明细!C1517&lt;&gt;"",出库明细!C1517=客户对账单!$B$4,ISNUMBER(出库明细!B1517),出库明细!B1517&gt;=客户对账单!$G$4,出库明细!B1517&lt;=客户对账单!$I$4),出库明细!B1517+ROW()/100000,"")</f>
      </c>
      <c r="H1517">
        <f>IF(AND(资金台帐!K20&lt;&gt;"",资金台帐!K20=供应商对账单!$B$4,资金台帐!P20="应付",ISNUMBER(资金台帐!B20),资金台帐!B20&gt;=供应商对账单!$G$4,资金台帐!B20&lt;=供应商对账单!$I$4),资金台帐!B20+ROW()/100000,"")</f>
      </c>
      <c r="N1517">
        <f>IF(AND(ISNUMBER(出库明细!G1517),ISNUMBER(出库明细!E1517),ISNUMBER(出库明细!F1517)),IF(ABS(出库明细!G1517-出库明细!E1517*出库明细!F1517)&gt;0.005,1,0),0)</f>
        <v>0</v>
      </c>
    </row>
    <row r="1518">
      <c r="A1518">
        <f>IF(OR(出库明细!C518="",出库明细!D518=""),"",IF(OR(COUNTIFS(存条明细!$C$4:$C$1003,出库明细!C518,存条明细!$D$4:$D$1003,出库明细!D518)&gt;0,COUNTIFS(出库明细!$C$4:C518,出库明细!C518,出库明细!$D$4:D518,出库明细!D518)&gt;1),"",IFERROR(MATCH(出库明细!C518,总览汇总!$B$5:$B$304,0),900)*10000000+IFERROR(MATCH(出库明细!D518,基础资料!$E$5:$E$104,0),900)*10000+ROW()))</f>
      </c>
      <c r="F1518">
        <f>IF(AND(出库明细!C1518&lt;&gt;"",出库明细!C1518=客户对账单!$B$4,ISNUMBER(出库明细!B1518),出库明细!B1518&gt;=客户对账单!$G$4,出库明细!B1518&lt;=客户对账单!$I$4),出库明细!B1518+ROW()/100000,"")</f>
      </c>
      <c r="H1518">
        <f>IF(AND(资金台帐!K21&lt;&gt;"",资金台帐!K21=供应商对账单!$B$4,资金台帐!P21="应付",ISNUMBER(资金台帐!B21),资金台帐!B21&gt;=供应商对账单!$G$4,资金台帐!B21&lt;=供应商对账单!$I$4),资金台帐!B21+ROW()/100000,"")</f>
      </c>
      <c r="N1518">
        <f>IF(AND(ISNUMBER(出库明细!G1518),ISNUMBER(出库明细!E1518),ISNUMBER(出库明细!F1518)),IF(ABS(出库明细!G1518-出库明细!E1518*出库明细!F1518)&gt;0.005,1,0),0)</f>
        <v>0</v>
      </c>
    </row>
    <row r="1519">
      <c r="A1519">
        <f>IF(OR(出库明细!C519="",出库明细!D519=""),"",IF(OR(COUNTIFS(存条明细!$C$4:$C$1003,出库明细!C519,存条明细!$D$4:$D$1003,出库明细!D519)&gt;0,COUNTIFS(出库明细!$C$4:C519,出库明细!C519,出库明细!$D$4:D519,出库明细!D519)&gt;1),"",IFERROR(MATCH(出库明细!C519,总览汇总!$B$5:$B$304,0),900)*10000000+IFERROR(MATCH(出库明细!D519,基础资料!$E$5:$E$104,0),900)*10000+ROW()))</f>
      </c>
      <c r="F1519">
        <f>IF(AND(出库明细!C1519&lt;&gt;"",出库明细!C1519=客户对账单!$B$4,ISNUMBER(出库明细!B1519),出库明细!B1519&gt;=客户对账单!$G$4,出库明细!B1519&lt;=客户对账单!$I$4),出库明细!B1519+ROW()/100000,"")</f>
      </c>
      <c r="H1519">
        <f>IF(AND(资金台帐!K22&lt;&gt;"",资金台帐!K22=供应商对账单!$B$4,资金台帐!P22="应付",ISNUMBER(资金台帐!B22),资金台帐!B22&gt;=供应商对账单!$G$4,资金台帐!B22&lt;=供应商对账单!$I$4),资金台帐!B22+ROW()/100000,"")</f>
      </c>
      <c r="N1519">
        <f>IF(AND(ISNUMBER(出库明细!G1519),ISNUMBER(出库明细!E1519),ISNUMBER(出库明细!F1519)),IF(ABS(出库明细!G1519-出库明细!E1519*出库明细!F1519)&gt;0.005,1,0),0)</f>
        <v>0</v>
      </c>
    </row>
    <row r="1520">
      <c r="A1520">
        <f>IF(OR(出库明细!C520="",出库明细!D520=""),"",IF(OR(COUNTIFS(存条明细!$C$4:$C$1003,出库明细!C520,存条明细!$D$4:$D$1003,出库明细!D520)&gt;0,COUNTIFS(出库明细!$C$4:C520,出库明细!C520,出库明细!$D$4:D520,出库明细!D520)&gt;1),"",IFERROR(MATCH(出库明细!C520,总览汇总!$B$5:$B$304,0),900)*10000000+IFERROR(MATCH(出库明细!D520,基础资料!$E$5:$E$104,0),900)*10000+ROW()))</f>
      </c>
      <c r="F1520">
        <f>IF(AND(出库明细!C1520&lt;&gt;"",出库明细!C1520=客户对账单!$B$4,ISNUMBER(出库明细!B1520),出库明细!B1520&gt;=客户对账单!$G$4,出库明细!B1520&lt;=客户对账单!$I$4),出库明细!B1520+ROW()/100000,"")</f>
      </c>
      <c r="H1520">
        <f>IF(AND(资金台帐!K23&lt;&gt;"",资金台帐!K23=供应商对账单!$B$4,资金台帐!P23="应付",ISNUMBER(资金台帐!B23),资金台帐!B23&gt;=供应商对账单!$G$4,资金台帐!B23&lt;=供应商对账单!$I$4),资金台帐!B23+ROW()/100000,"")</f>
      </c>
      <c r="N1520">
        <f>IF(AND(ISNUMBER(出库明细!G1520),ISNUMBER(出库明细!E1520),ISNUMBER(出库明细!F1520)),IF(ABS(出库明细!G1520-出库明细!E1520*出库明细!F1520)&gt;0.005,1,0),0)</f>
        <v>0</v>
      </c>
    </row>
    <row r="1521">
      <c r="A1521">
        <f>IF(OR(出库明细!C521="",出库明细!D521=""),"",IF(OR(COUNTIFS(存条明细!$C$4:$C$1003,出库明细!C521,存条明细!$D$4:$D$1003,出库明细!D521)&gt;0,COUNTIFS(出库明细!$C$4:C521,出库明细!C521,出库明细!$D$4:D521,出库明细!D521)&gt;1),"",IFERROR(MATCH(出库明细!C521,总览汇总!$B$5:$B$304,0),900)*10000000+IFERROR(MATCH(出库明细!D521,基础资料!$E$5:$E$104,0),900)*10000+ROW()))</f>
      </c>
      <c r="F1521">
        <f>IF(AND(出库明细!C1521&lt;&gt;"",出库明细!C1521=客户对账单!$B$4,ISNUMBER(出库明细!B1521),出库明细!B1521&gt;=客户对账单!$G$4,出库明细!B1521&lt;=客户对账单!$I$4),出库明细!B1521+ROW()/100000,"")</f>
      </c>
      <c r="H1521">
        <f>IF(AND(资金台帐!K24&lt;&gt;"",资金台帐!K24=供应商对账单!$B$4,资金台帐!P24="应付",ISNUMBER(资金台帐!B24),资金台帐!B24&gt;=供应商对账单!$G$4,资金台帐!B24&lt;=供应商对账单!$I$4),资金台帐!B24+ROW()/100000,"")</f>
      </c>
      <c r="N1521">
        <f>IF(AND(ISNUMBER(出库明细!G1521),ISNUMBER(出库明细!E1521),ISNUMBER(出库明细!F1521)),IF(ABS(出库明细!G1521-出库明细!E1521*出库明细!F1521)&gt;0.005,1,0),0)</f>
        <v>0</v>
      </c>
    </row>
    <row r="1522">
      <c r="A1522">
        <f>IF(OR(出库明细!C522="",出库明细!D522=""),"",IF(OR(COUNTIFS(存条明细!$C$4:$C$1003,出库明细!C522,存条明细!$D$4:$D$1003,出库明细!D522)&gt;0,COUNTIFS(出库明细!$C$4:C522,出库明细!C522,出库明细!$D$4:D522,出库明细!D522)&gt;1),"",IFERROR(MATCH(出库明细!C522,总览汇总!$B$5:$B$304,0),900)*10000000+IFERROR(MATCH(出库明细!D522,基础资料!$E$5:$E$104,0),900)*10000+ROW()))</f>
      </c>
      <c r="F1522">
        <f>IF(AND(出库明细!C1522&lt;&gt;"",出库明细!C1522=客户对账单!$B$4,ISNUMBER(出库明细!B1522),出库明细!B1522&gt;=客户对账单!$G$4,出库明细!B1522&lt;=客户对账单!$I$4),出库明细!B1522+ROW()/100000,"")</f>
      </c>
      <c r="H1522">
        <f>IF(AND(资金台帐!K25&lt;&gt;"",资金台帐!K25=供应商对账单!$B$4,资金台帐!P25="应付",ISNUMBER(资金台帐!B25),资金台帐!B25&gt;=供应商对账单!$G$4,资金台帐!B25&lt;=供应商对账单!$I$4),资金台帐!B25+ROW()/100000,"")</f>
      </c>
      <c r="N1522">
        <f>IF(AND(ISNUMBER(出库明细!G1522),ISNUMBER(出库明细!E1522),ISNUMBER(出库明细!F1522)),IF(ABS(出库明细!G1522-出库明细!E1522*出库明细!F1522)&gt;0.005,1,0),0)</f>
        <v>0</v>
      </c>
    </row>
    <row r="1523">
      <c r="A1523">
        <f>IF(OR(出库明细!C523="",出库明细!D523=""),"",IF(OR(COUNTIFS(存条明细!$C$4:$C$1003,出库明细!C523,存条明细!$D$4:$D$1003,出库明细!D523)&gt;0,COUNTIFS(出库明细!$C$4:C523,出库明细!C523,出库明细!$D$4:D523,出库明细!D523)&gt;1),"",IFERROR(MATCH(出库明细!C523,总览汇总!$B$5:$B$304,0),900)*10000000+IFERROR(MATCH(出库明细!D523,基础资料!$E$5:$E$104,0),900)*10000+ROW()))</f>
      </c>
      <c r="F1523">
        <f>IF(AND(出库明细!C1523&lt;&gt;"",出库明细!C1523=客户对账单!$B$4,ISNUMBER(出库明细!B1523),出库明细!B1523&gt;=客户对账单!$G$4,出库明细!B1523&lt;=客户对账单!$I$4),出库明细!B1523+ROW()/100000,"")</f>
      </c>
      <c r="H1523">
        <f>IF(AND(资金台帐!K26&lt;&gt;"",资金台帐!K26=供应商对账单!$B$4,资金台帐!P26="应付",ISNUMBER(资金台帐!B26),资金台帐!B26&gt;=供应商对账单!$G$4,资金台帐!B26&lt;=供应商对账单!$I$4),资金台帐!B26+ROW()/100000,"")</f>
      </c>
      <c r="N1523">
        <f>IF(AND(ISNUMBER(出库明细!G1523),ISNUMBER(出库明细!E1523),ISNUMBER(出库明细!F1523)),IF(ABS(出库明细!G1523-出库明细!E1523*出库明细!F1523)&gt;0.005,1,0),0)</f>
        <v>0</v>
      </c>
    </row>
    <row r="1524">
      <c r="A1524">
        <f>IF(OR(出库明细!C524="",出库明细!D524=""),"",IF(OR(COUNTIFS(存条明细!$C$4:$C$1003,出库明细!C524,存条明细!$D$4:$D$1003,出库明细!D524)&gt;0,COUNTIFS(出库明细!$C$4:C524,出库明细!C524,出库明细!$D$4:D524,出库明细!D524)&gt;1),"",IFERROR(MATCH(出库明细!C524,总览汇总!$B$5:$B$304,0),900)*10000000+IFERROR(MATCH(出库明细!D524,基础资料!$E$5:$E$104,0),900)*10000+ROW()))</f>
      </c>
      <c r="F1524">
        <f>IF(AND(出库明细!C1524&lt;&gt;"",出库明细!C1524=客户对账单!$B$4,ISNUMBER(出库明细!B1524),出库明细!B1524&gt;=客户对账单!$G$4,出库明细!B1524&lt;=客户对账单!$I$4),出库明细!B1524+ROW()/100000,"")</f>
      </c>
      <c r="H1524">
        <f>IF(AND(资金台帐!K27&lt;&gt;"",资金台帐!K27=供应商对账单!$B$4,资金台帐!P27="应付",ISNUMBER(资金台帐!B27),资金台帐!B27&gt;=供应商对账单!$G$4,资金台帐!B27&lt;=供应商对账单!$I$4),资金台帐!B27+ROW()/100000,"")</f>
      </c>
      <c r="N1524">
        <f>IF(AND(ISNUMBER(出库明细!G1524),ISNUMBER(出库明细!E1524),ISNUMBER(出库明细!F1524)),IF(ABS(出库明细!G1524-出库明细!E1524*出库明细!F1524)&gt;0.005,1,0),0)</f>
        <v>0</v>
      </c>
    </row>
    <row r="1525">
      <c r="A1525">
        <f>IF(OR(出库明细!C525="",出库明细!D525=""),"",IF(OR(COUNTIFS(存条明细!$C$4:$C$1003,出库明细!C525,存条明细!$D$4:$D$1003,出库明细!D525)&gt;0,COUNTIFS(出库明细!$C$4:C525,出库明细!C525,出库明细!$D$4:D525,出库明细!D525)&gt;1),"",IFERROR(MATCH(出库明细!C525,总览汇总!$B$5:$B$304,0),900)*10000000+IFERROR(MATCH(出库明细!D525,基础资料!$E$5:$E$104,0),900)*10000+ROW()))</f>
      </c>
      <c r="F1525">
        <f>IF(AND(出库明细!C1525&lt;&gt;"",出库明细!C1525=客户对账单!$B$4,ISNUMBER(出库明细!B1525),出库明细!B1525&gt;=客户对账单!$G$4,出库明细!B1525&lt;=客户对账单!$I$4),出库明细!B1525+ROW()/100000,"")</f>
      </c>
      <c r="H1525">
        <f>IF(AND(资金台帐!K28&lt;&gt;"",资金台帐!K28=供应商对账单!$B$4,资金台帐!P28="应付",ISNUMBER(资金台帐!B28),资金台帐!B28&gt;=供应商对账单!$G$4,资金台帐!B28&lt;=供应商对账单!$I$4),资金台帐!B28+ROW()/100000,"")</f>
      </c>
      <c r="N1525">
        <f>IF(AND(ISNUMBER(出库明细!G1525),ISNUMBER(出库明细!E1525),ISNUMBER(出库明细!F1525)),IF(ABS(出库明细!G1525-出库明细!E1525*出库明细!F1525)&gt;0.005,1,0),0)</f>
        <v>0</v>
      </c>
    </row>
    <row r="1526">
      <c r="A1526">
        <f>IF(OR(出库明细!C526="",出库明细!D526=""),"",IF(OR(COUNTIFS(存条明细!$C$4:$C$1003,出库明细!C526,存条明细!$D$4:$D$1003,出库明细!D526)&gt;0,COUNTIFS(出库明细!$C$4:C526,出库明细!C526,出库明细!$D$4:D526,出库明细!D526)&gt;1),"",IFERROR(MATCH(出库明细!C526,总览汇总!$B$5:$B$304,0),900)*10000000+IFERROR(MATCH(出库明细!D526,基础资料!$E$5:$E$104,0),900)*10000+ROW()))</f>
      </c>
      <c r="F1526">
        <f>IF(AND(出库明细!C1526&lt;&gt;"",出库明细!C1526=客户对账单!$B$4,ISNUMBER(出库明细!B1526),出库明细!B1526&gt;=客户对账单!$G$4,出库明细!B1526&lt;=客户对账单!$I$4),出库明细!B1526+ROW()/100000,"")</f>
      </c>
      <c r="H1526">
        <f>IF(AND(资金台帐!K29&lt;&gt;"",资金台帐!K29=供应商对账单!$B$4,资金台帐!P29="应付",ISNUMBER(资金台帐!B29),资金台帐!B29&gt;=供应商对账单!$G$4,资金台帐!B29&lt;=供应商对账单!$I$4),资金台帐!B29+ROW()/100000,"")</f>
      </c>
      <c r="N1526">
        <f>IF(AND(ISNUMBER(出库明细!G1526),ISNUMBER(出库明细!E1526),ISNUMBER(出库明细!F1526)),IF(ABS(出库明细!G1526-出库明细!E1526*出库明细!F1526)&gt;0.005,1,0),0)</f>
        <v>0</v>
      </c>
    </row>
    <row r="1527">
      <c r="A1527">
        <f>IF(OR(出库明细!C527="",出库明细!D527=""),"",IF(OR(COUNTIFS(存条明细!$C$4:$C$1003,出库明细!C527,存条明细!$D$4:$D$1003,出库明细!D527)&gt;0,COUNTIFS(出库明细!$C$4:C527,出库明细!C527,出库明细!$D$4:D527,出库明细!D527)&gt;1),"",IFERROR(MATCH(出库明细!C527,总览汇总!$B$5:$B$304,0),900)*10000000+IFERROR(MATCH(出库明细!D527,基础资料!$E$5:$E$104,0),900)*10000+ROW()))</f>
      </c>
      <c r="F1527">
        <f>IF(AND(出库明细!C1527&lt;&gt;"",出库明细!C1527=客户对账单!$B$4,ISNUMBER(出库明细!B1527),出库明细!B1527&gt;=客户对账单!$G$4,出库明细!B1527&lt;=客户对账单!$I$4),出库明细!B1527+ROW()/100000,"")</f>
      </c>
      <c r="H1527">
        <f>IF(AND(资金台帐!K30&lt;&gt;"",资金台帐!K30=供应商对账单!$B$4,资金台帐!P30="应付",ISNUMBER(资金台帐!B30),资金台帐!B30&gt;=供应商对账单!$G$4,资金台帐!B30&lt;=供应商对账单!$I$4),资金台帐!B30+ROW()/100000,"")</f>
      </c>
      <c r="N1527">
        <f>IF(AND(ISNUMBER(出库明细!G1527),ISNUMBER(出库明细!E1527),ISNUMBER(出库明细!F1527)),IF(ABS(出库明细!G1527-出库明细!E1527*出库明细!F1527)&gt;0.005,1,0),0)</f>
        <v>0</v>
      </c>
    </row>
    <row r="1528">
      <c r="A1528">
        <f>IF(OR(出库明细!C528="",出库明细!D528=""),"",IF(OR(COUNTIFS(存条明细!$C$4:$C$1003,出库明细!C528,存条明细!$D$4:$D$1003,出库明细!D528)&gt;0,COUNTIFS(出库明细!$C$4:C528,出库明细!C528,出库明细!$D$4:D528,出库明细!D528)&gt;1),"",IFERROR(MATCH(出库明细!C528,总览汇总!$B$5:$B$304,0),900)*10000000+IFERROR(MATCH(出库明细!D528,基础资料!$E$5:$E$104,0),900)*10000+ROW()))</f>
      </c>
      <c r="F1528">
        <f>IF(AND(出库明细!C1528&lt;&gt;"",出库明细!C1528=客户对账单!$B$4,ISNUMBER(出库明细!B1528),出库明细!B1528&gt;=客户对账单!$G$4,出库明细!B1528&lt;=客户对账单!$I$4),出库明细!B1528+ROW()/100000,"")</f>
      </c>
      <c r="H1528">
        <f>IF(AND(资金台帐!K31&lt;&gt;"",资金台帐!K31=供应商对账单!$B$4,资金台帐!P31="应付",ISNUMBER(资金台帐!B31),资金台帐!B31&gt;=供应商对账单!$G$4,资金台帐!B31&lt;=供应商对账单!$I$4),资金台帐!B31+ROW()/100000,"")</f>
      </c>
      <c r="N1528">
        <f>IF(AND(ISNUMBER(出库明细!G1528),ISNUMBER(出库明细!E1528),ISNUMBER(出库明细!F1528)),IF(ABS(出库明细!G1528-出库明细!E1528*出库明细!F1528)&gt;0.005,1,0),0)</f>
        <v>0</v>
      </c>
    </row>
    <row r="1529">
      <c r="A1529">
        <f>IF(OR(出库明细!C529="",出库明细!D529=""),"",IF(OR(COUNTIFS(存条明细!$C$4:$C$1003,出库明细!C529,存条明细!$D$4:$D$1003,出库明细!D529)&gt;0,COUNTIFS(出库明细!$C$4:C529,出库明细!C529,出库明细!$D$4:D529,出库明细!D529)&gt;1),"",IFERROR(MATCH(出库明细!C529,总览汇总!$B$5:$B$304,0),900)*10000000+IFERROR(MATCH(出库明细!D529,基础资料!$E$5:$E$104,0),900)*10000+ROW()))</f>
      </c>
      <c r="F1529">
        <f>IF(AND(出库明细!C1529&lt;&gt;"",出库明细!C1529=客户对账单!$B$4,ISNUMBER(出库明细!B1529),出库明细!B1529&gt;=客户对账单!$G$4,出库明细!B1529&lt;=客户对账单!$I$4),出库明细!B1529+ROW()/100000,"")</f>
      </c>
      <c r="H1529">
        <f>IF(AND(资金台帐!K32&lt;&gt;"",资金台帐!K32=供应商对账单!$B$4,资金台帐!P32="应付",ISNUMBER(资金台帐!B32),资金台帐!B32&gt;=供应商对账单!$G$4,资金台帐!B32&lt;=供应商对账单!$I$4),资金台帐!B32+ROW()/100000,"")</f>
      </c>
      <c r="N1529">
        <f>IF(AND(ISNUMBER(出库明细!G1529),ISNUMBER(出库明细!E1529),ISNUMBER(出库明细!F1529)),IF(ABS(出库明细!G1529-出库明细!E1529*出库明细!F1529)&gt;0.005,1,0),0)</f>
        <v>0</v>
      </c>
    </row>
    <row r="1530">
      <c r="A1530">
        <f>IF(OR(出库明细!C530="",出库明细!D530=""),"",IF(OR(COUNTIFS(存条明细!$C$4:$C$1003,出库明细!C530,存条明细!$D$4:$D$1003,出库明细!D530)&gt;0,COUNTIFS(出库明细!$C$4:C530,出库明细!C530,出库明细!$D$4:D530,出库明细!D530)&gt;1),"",IFERROR(MATCH(出库明细!C530,总览汇总!$B$5:$B$304,0),900)*10000000+IFERROR(MATCH(出库明细!D530,基础资料!$E$5:$E$104,0),900)*10000+ROW()))</f>
      </c>
      <c r="F1530">
        <f>IF(AND(出库明细!C1530&lt;&gt;"",出库明细!C1530=客户对账单!$B$4,ISNUMBER(出库明细!B1530),出库明细!B1530&gt;=客户对账单!$G$4,出库明细!B1530&lt;=客户对账单!$I$4),出库明细!B1530+ROW()/100000,"")</f>
      </c>
      <c r="H1530">
        <f>IF(AND(资金台帐!K33&lt;&gt;"",资金台帐!K33=供应商对账单!$B$4,资金台帐!P33="应付",ISNUMBER(资金台帐!B33),资金台帐!B33&gt;=供应商对账单!$G$4,资金台帐!B33&lt;=供应商对账单!$I$4),资金台帐!B33+ROW()/100000,"")</f>
      </c>
      <c r="N1530">
        <f>IF(AND(ISNUMBER(出库明细!G1530),ISNUMBER(出库明细!E1530),ISNUMBER(出库明细!F1530)),IF(ABS(出库明细!G1530-出库明细!E1530*出库明细!F1530)&gt;0.005,1,0),0)</f>
        <v>0</v>
      </c>
    </row>
    <row r="1531">
      <c r="A1531">
        <f>IF(OR(出库明细!C531="",出库明细!D531=""),"",IF(OR(COUNTIFS(存条明细!$C$4:$C$1003,出库明细!C531,存条明细!$D$4:$D$1003,出库明细!D531)&gt;0,COUNTIFS(出库明细!$C$4:C531,出库明细!C531,出库明细!$D$4:D531,出库明细!D531)&gt;1),"",IFERROR(MATCH(出库明细!C531,总览汇总!$B$5:$B$304,0),900)*10000000+IFERROR(MATCH(出库明细!D531,基础资料!$E$5:$E$104,0),900)*10000+ROW()))</f>
      </c>
      <c r="F1531">
        <f>IF(AND(出库明细!C1531&lt;&gt;"",出库明细!C1531=客户对账单!$B$4,ISNUMBER(出库明细!B1531),出库明细!B1531&gt;=客户对账单!$G$4,出库明细!B1531&lt;=客户对账单!$I$4),出库明细!B1531+ROW()/100000,"")</f>
      </c>
      <c r="H1531">
        <f>IF(AND(资金台帐!K34&lt;&gt;"",资金台帐!K34=供应商对账单!$B$4,资金台帐!P34="应付",ISNUMBER(资金台帐!B34),资金台帐!B34&gt;=供应商对账单!$G$4,资金台帐!B34&lt;=供应商对账单!$I$4),资金台帐!B34+ROW()/100000,"")</f>
      </c>
      <c r="N1531">
        <f>IF(AND(ISNUMBER(出库明细!G1531),ISNUMBER(出库明细!E1531),ISNUMBER(出库明细!F1531)),IF(ABS(出库明细!G1531-出库明细!E1531*出库明细!F1531)&gt;0.005,1,0),0)</f>
        <v>0</v>
      </c>
    </row>
    <row r="1532">
      <c r="A1532">
        <f>IF(OR(出库明细!C532="",出库明细!D532=""),"",IF(OR(COUNTIFS(存条明细!$C$4:$C$1003,出库明细!C532,存条明细!$D$4:$D$1003,出库明细!D532)&gt;0,COUNTIFS(出库明细!$C$4:C532,出库明细!C532,出库明细!$D$4:D532,出库明细!D532)&gt;1),"",IFERROR(MATCH(出库明细!C532,总览汇总!$B$5:$B$304,0),900)*10000000+IFERROR(MATCH(出库明细!D532,基础资料!$E$5:$E$104,0),900)*10000+ROW()))</f>
      </c>
      <c r="F1532">
        <f>IF(AND(出库明细!C1532&lt;&gt;"",出库明细!C1532=客户对账单!$B$4,ISNUMBER(出库明细!B1532),出库明细!B1532&gt;=客户对账单!$G$4,出库明细!B1532&lt;=客户对账单!$I$4),出库明细!B1532+ROW()/100000,"")</f>
      </c>
      <c r="H1532">
        <f>IF(AND(资金台帐!K35&lt;&gt;"",资金台帐!K35=供应商对账单!$B$4,资金台帐!P35="应付",ISNUMBER(资金台帐!B35),资金台帐!B35&gt;=供应商对账单!$G$4,资金台帐!B35&lt;=供应商对账单!$I$4),资金台帐!B35+ROW()/100000,"")</f>
      </c>
      <c r="N1532">
        <f>IF(AND(ISNUMBER(出库明细!G1532),ISNUMBER(出库明细!E1532),ISNUMBER(出库明细!F1532)),IF(ABS(出库明细!G1532-出库明细!E1532*出库明细!F1532)&gt;0.005,1,0),0)</f>
        <v>0</v>
      </c>
    </row>
    <row r="1533">
      <c r="A1533">
        <f>IF(OR(出库明细!C533="",出库明细!D533=""),"",IF(OR(COUNTIFS(存条明细!$C$4:$C$1003,出库明细!C533,存条明细!$D$4:$D$1003,出库明细!D533)&gt;0,COUNTIFS(出库明细!$C$4:C533,出库明细!C533,出库明细!$D$4:D533,出库明细!D533)&gt;1),"",IFERROR(MATCH(出库明细!C533,总览汇总!$B$5:$B$304,0),900)*10000000+IFERROR(MATCH(出库明细!D533,基础资料!$E$5:$E$104,0),900)*10000+ROW()))</f>
      </c>
      <c r="F1533">
        <f>IF(AND(出库明细!C1533&lt;&gt;"",出库明细!C1533=客户对账单!$B$4,ISNUMBER(出库明细!B1533),出库明细!B1533&gt;=客户对账单!$G$4,出库明细!B1533&lt;=客户对账单!$I$4),出库明细!B1533+ROW()/100000,"")</f>
      </c>
      <c r="H1533">
        <f>IF(AND(资金台帐!K36&lt;&gt;"",资金台帐!K36=供应商对账单!$B$4,资金台帐!P36="应付",ISNUMBER(资金台帐!B36),资金台帐!B36&gt;=供应商对账单!$G$4,资金台帐!B36&lt;=供应商对账单!$I$4),资金台帐!B36+ROW()/100000,"")</f>
      </c>
      <c r="N1533">
        <f>IF(AND(ISNUMBER(出库明细!G1533),ISNUMBER(出库明细!E1533),ISNUMBER(出库明细!F1533)),IF(ABS(出库明细!G1533-出库明细!E1533*出库明细!F1533)&gt;0.005,1,0),0)</f>
        <v>0</v>
      </c>
    </row>
    <row r="1534">
      <c r="A1534">
        <f>IF(OR(出库明细!C534="",出库明细!D534=""),"",IF(OR(COUNTIFS(存条明细!$C$4:$C$1003,出库明细!C534,存条明细!$D$4:$D$1003,出库明细!D534)&gt;0,COUNTIFS(出库明细!$C$4:C534,出库明细!C534,出库明细!$D$4:D534,出库明细!D534)&gt;1),"",IFERROR(MATCH(出库明细!C534,总览汇总!$B$5:$B$304,0),900)*10000000+IFERROR(MATCH(出库明细!D534,基础资料!$E$5:$E$104,0),900)*10000+ROW()))</f>
      </c>
      <c r="F1534">
        <f>IF(AND(出库明细!C1534&lt;&gt;"",出库明细!C1534=客户对账单!$B$4,ISNUMBER(出库明细!B1534),出库明细!B1534&gt;=客户对账单!$G$4,出库明细!B1534&lt;=客户对账单!$I$4),出库明细!B1534+ROW()/100000,"")</f>
      </c>
      <c r="H1534">
        <f>IF(AND(资金台帐!K37&lt;&gt;"",资金台帐!K37=供应商对账单!$B$4,资金台帐!P37="应付",ISNUMBER(资金台帐!B37),资金台帐!B37&gt;=供应商对账单!$G$4,资金台帐!B37&lt;=供应商对账单!$I$4),资金台帐!B37+ROW()/100000,"")</f>
      </c>
      <c r="N1534">
        <f>IF(AND(ISNUMBER(出库明细!G1534),ISNUMBER(出库明细!E1534),ISNUMBER(出库明细!F1534)),IF(ABS(出库明细!G1534-出库明细!E1534*出库明细!F1534)&gt;0.005,1,0),0)</f>
        <v>0</v>
      </c>
    </row>
    <row r="1535">
      <c r="A1535">
        <f>IF(OR(出库明细!C535="",出库明细!D535=""),"",IF(OR(COUNTIFS(存条明细!$C$4:$C$1003,出库明细!C535,存条明细!$D$4:$D$1003,出库明细!D535)&gt;0,COUNTIFS(出库明细!$C$4:C535,出库明细!C535,出库明细!$D$4:D535,出库明细!D535)&gt;1),"",IFERROR(MATCH(出库明细!C535,总览汇总!$B$5:$B$304,0),900)*10000000+IFERROR(MATCH(出库明细!D535,基础资料!$E$5:$E$104,0),900)*10000+ROW()))</f>
      </c>
      <c r="F1535">
        <f>IF(AND(出库明细!C1535&lt;&gt;"",出库明细!C1535=客户对账单!$B$4,ISNUMBER(出库明细!B1535),出库明细!B1535&gt;=客户对账单!$G$4,出库明细!B1535&lt;=客户对账单!$I$4),出库明细!B1535+ROW()/100000,"")</f>
      </c>
      <c r="H1535">
        <f>IF(AND(资金台帐!K38&lt;&gt;"",资金台帐!K38=供应商对账单!$B$4,资金台帐!P38="应付",ISNUMBER(资金台帐!B38),资金台帐!B38&gt;=供应商对账单!$G$4,资金台帐!B38&lt;=供应商对账单!$I$4),资金台帐!B38+ROW()/100000,"")</f>
      </c>
      <c r="N1535">
        <f>IF(AND(ISNUMBER(出库明细!G1535),ISNUMBER(出库明细!E1535),ISNUMBER(出库明细!F1535)),IF(ABS(出库明细!G1535-出库明细!E1535*出库明细!F1535)&gt;0.005,1,0),0)</f>
        <v>0</v>
      </c>
    </row>
    <row r="1536">
      <c r="A1536">
        <f>IF(OR(出库明细!C536="",出库明细!D536=""),"",IF(OR(COUNTIFS(存条明细!$C$4:$C$1003,出库明细!C536,存条明细!$D$4:$D$1003,出库明细!D536)&gt;0,COUNTIFS(出库明细!$C$4:C536,出库明细!C536,出库明细!$D$4:D536,出库明细!D536)&gt;1),"",IFERROR(MATCH(出库明细!C536,总览汇总!$B$5:$B$304,0),900)*10000000+IFERROR(MATCH(出库明细!D536,基础资料!$E$5:$E$104,0),900)*10000+ROW()))</f>
      </c>
      <c r="F1536">
        <f>IF(AND(出库明细!C1536&lt;&gt;"",出库明细!C1536=客户对账单!$B$4,ISNUMBER(出库明细!B1536),出库明细!B1536&gt;=客户对账单!$G$4,出库明细!B1536&lt;=客户对账单!$I$4),出库明细!B1536+ROW()/100000,"")</f>
      </c>
      <c r="H1536">
        <f>IF(AND(资金台帐!K39&lt;&gt;"",资金台帐!K39=供应商对账单!$B$4,资金台帐!P39="应付",ISNUMBER(资金台帐!B39),资金台帐!B39&gt;=供应商对账单!$G$4,资金台帐!B39&lt;=供应商对账单!$I$4),资金台帐!B39+ROW()/100000,"")</f>
      </c>
      <c r="N1536">
        <f>IF(AND(ISNUMBER(出库明细!G1536),ISNUMBER(出库明细!E1536),ISNUMBER(出库明细!F1536)),IF(ABS(出库明细!G1536-出库明细!E1536*出库明细!F1536)&gt;0.005,1,0),0)</f>
        <v>0</v>
      </c>
    </row>
    <row r="1537">
      <c r="A1537">
        <f>IF(OR(出库明细!C537="",出库明细!D537=""),"",IF(OR(COUNTIFS(存条明细!$C$4:$C$1003,出库明细!C537,存条明细!$D$4:$D$1003,出库明细!D537)&gt;0,COUNTIFS(出库明细!$C$4:C537,出库明细!C537,出库明细!$D$4:D537,出库明细!D537)&gt;1),"",IFERROR(MATCH(出库明细!C537,总览汇总!$B$5:$B$304,0),900)*10000000+IFERROR(MATCH(出库明细!D537,基础资料!$E$5:$E$104,0),900)*10000+ROW()))</f>
      </c>
      <c r="F1537">
        <f>IF(AND(出库明细!C1537&lt;&gt;"",出库明细!C1537=客户对账单!$B$4,ISNUMBER(出库明细!B1537),出库明细!B1537&gt;=客户对账单!$G$4,出库明细!B1537&lt;=客户对账单!$I$4),出库明细!B1537+ROW()/100000,"")</f>
      </c>
      <c r="H1537">
        <f>IF(AND(资金台帐!K40&lt;&gt;"",资金台帐!K40=供应商对账单!$B$4,资金台帐!P40="应付",ISNUMBER(资金台帐!B40),资金台帐!B40&gt;=供应商对账单!$G$4,资金台帐!B40&lt;=供应商对账单!$I$4),资金台帐!B40+ROW()/100000,"")</f>
      </c>
      <c r="N1537">
        <f>IF(AND(ISNUMBER(出库明细!G1537),ISNUMBER(出库明细!E1537),ISNUMBER(出库明细!F1537)),IF(ABS(出库明细!G1537-出库明细!E1537*出库明细!F1537)&gt;0.005,1,0),0)</f>
        <v>0</v>
      </c>
    </row>
    <row r="1538">
      <c r="A1538">
        <f>IF(OR(出库明细!C538="",出库明细!D538=""),"",IF(OR(COUNTIFS(存条明细!$C$4:$C$1003,出库明细!C538,存条明细!$D$4:$D$1003,出库明细!D538)&gt;0,COUNTIFS(出库明细!$C$4:C538,出库明细!C538,出库明细!$D$4:D538,出库明细!D538)&gt;1),"",IFERROR(MATCH(出库明细!C538,总览汇总!$B$5:$B$304,0),900)*10000000+IFERROR(MATCH(出库明细!D538,基础资料!$E$5:$E$104,0),900)*10000+ROW()))</f>
      </c>
      <c r="F1538">
        <f>IF(AND(出库明细!C1538&lt;&gt;"",出库明细!C1538=客户对账单!$B$4,ISNUMBER(出库明细!B1538),出库明细!B1538&gt;=客户对账单!$G$4,出库明细!B1538&lt;=客户对账单!$I$4),出库明细!B1538+ROW()/100000,"")</f>
      </c>
      <c r="H1538">
        <f>IF(AND(资金台帐!K41&lt;&gt;"",资金台帐!K41=供应商对账单!$B$4,资金台帐!P41="应付",ISNUMBER(资金台帐!B41),资金台帐!B41&gt;=供应商对账单!$G$4,资金台帐!B41&lt;=供应商对账单!$I$4),资金台帐!B41+ROW()/100000,"")</f>
      </c>
      <c r="N1538">
        <f>IF(AND(ISNUMBER(出库明细!G1538),ISNUMBER(出库明细!E1538),ISNUMBER(出库明细!F1538)),IF(ABS(出库明细!G1538-出库明细!E1538*出库明细!F1538)&gt;0.005,1,0),0)</f>
        <v>0</v>
      </c>
    </row>
    <row r="1539">
      <c r="A1539">
        <f>IF(OR(出库明细!C539="",出库明细!D539=""),"",IF(OR(COUNTIFS(存条明细!$C$4:$C$1003,出库明细!C539,存条明细!$D$4:$D$1003,出库明细!D539)&gt;0,COUNTIFS(出库明细!$C$4:C539,出库明细!C539,出库明细!$D$4:D539,出库明细!D539)&gt;1),"",IFERROR(MATCH(出库明细!C539,总览汇总!$B$5:$B$304,0),900)*10000000+IFERROR(MATCH(出库明细!D539,基础资料!$E$5:$E$104,0),900)*10000+ROW()))</f>
      </c>
      <c r="F1539">
        <f>IF(AND(出库明细!C1539&lt;&gt;"",出库明细!C1539=客户对账单!$B$4,ISNUMBER(出库明细!B1539),出库明细!B1539&gt;=客户对账单!$G$4,出库明细!B1539&lt;=客户对账单!$I$4),出库明细!B1539+ROW()/100000,"")</f>
      </c>
      <c r="H1539">
        <f>IF(AND(资金台帐!K42&lt;&gt;"",资金台帐!K42=供应商对账单!$B$4,资金台帐!P42="应付",ISNUMBER(资金台帐!B42),资金台帐!B42&gt;=供应商对账单!$G$4,资金台帐!B42&lt;=供应商对账单!$I$4),资金台帐!B42+ROW()/100000,"")</f>
      </c>
      <c r="N1539">
        <f>IF(AND(ISNUMBER(出库明细!G1539),ISNUMBER(出库明细!E1539),ISNUMBER(出库明细!F1539)),IF(ABS(出库明细!G1539-出库明细!E1539*出库明细!F1539)&gt;0.005,1,0),0)</f>
        <v>0</v>
      </c>
    </row>
    <row r="1540">
      <c r="A1540">
        <f>IF(OR(出库明细!C540="",出库明细!D540=""),"",IF(OR(COUNTIFS(存条明细!$C$4:$C$1003,出库明细!C540,存条明细!$D$4:$D$1003,出库明细!D540)&gt;0,COUNTIFS(出库明细!$C$4:C540,出库明细!C540,出库明细!$D$4:D540,出库明细!D540)&gt;1),"",IFERROR(MATCH(出库明细!C540,总览汇总!$B$5:$B$304,0),900)*10000000+IFERROR(MATCH(出库明细!D540,基础资料!$E$5:$E$104,0),900)*10000+ROW()))</f>
      </c>
      <c r="F1540">
        <f>IF(AND(出库明细!C1540&lt;&gt;"",出库明细!C1540=客户对账单!$B$4,ISNUMBER(出库明细!B1540),出库明细!B1540&gt;=客户对账单!$G$4,出库明细!B1540&lt;=客户对账单!$I$4),出库明细!B1540+ROW()/100000,"")</f>
      </c>
      <c r="H1540">
        <f>IF(AND(资金台帐!K43&lt;&gt;"",资金台帐!K43=供应商对账单!$B$4,资金台帐!P43="应付",ISNUMBER(资金台帐!B43),资金台帐!B43&gt;=供应商对账单!$G$4,资金台帐!B43&lt;=供应商对账单!$I$4),资金台帐!B43+ROW()/100000,"")</f>
      </c>
      <c r="N1540">
        <f>IF(AND(ISNUMBER(出库明细!G1540),ISNUMBER(出库明细!E1540),ISNUMBER(出库明细!F1540)),IF(ABS(出库明细!G1540-出库明细!E1540*出库明细!F1540)&gt;0.005,1,0),0)</f>
        <v>0</v>
      </c>
    </row>
    <row r="1541">
      <c r="A1541">
        <f>IF(OR(出库明细!C541="",出库明细!D541=""),"",IF(OR(COUNTIFS(存条明细!$C$4:$C$1003,出库明细!C541,存条明细!$D$4:$D$1003,出库明细!D541)&gt;0,COUNTIFS(出库明细!$C$4:C541,出库明细!C541,出库明细!$D$4:D541,出库明细!D541)&gt;1),"",IFERROR(MATCH(出库明细!C541,总览汇总!$B$5:$B$304,0),900)*10000000+IFERROR(MATCH(出库明细!D541,基础资料!$E$5:$E$104,0),900)*10000+ROW()))</f>
      </c>
      <c r="F1541">
        <f>IF(AND(出库明细!C1541&lt;&gt;"",出库明细!C1541=客户对账单!$B$4,ISNUMBER(出库明细!B1541),出库明细!B1541&gt;=客户对账单!$G$4,出库明细!B1541&lt;=客户对账单!$I$4),出库明细!B1541+ROW()/100000,"")</f>
      </c>
      <c r="H1541">
        <f>IF(AND(资金台帐!K44&lt;&gt;"",资金台帐!K44=供应商对账单!$B$4,资金台帐!P44="应付",ISNUMBER(资金台帐!B44),资金台帐!B44&gt;=供应商对账单!$G$4,资金台帐!B44&lt;=供应商对账单!$I$4),资金台帐!B44+ROW()/100000,"")</f>
      </c>
      <c r="N1541">
        <f>IF(AND(ISNUMBER(出库明细!G1541),ISNUMBER(出库明细!E1541),ISNUMBER(出库明细!F1541)),IF(ABS(出库明细!G1541-出库明细!E1541*出库明细!F1541)&gt;0.005,1,0),0)</f>
        <v>0</v>
      </c>
    </row>
    <row r="1542">
      <c r="A1542">
        <f>IF(OR(出库明细!C542="",出库明细!D542=""),"",IF(OR(COUNTIFS(存条明细!$C$4:$C$1003,出库明细!C542,存条明细!$D$4:$D$1003,出库明细!D542)&gt;0,COUNTIFS(出库明细!$C$4:C542,出库明细!C542,出库明细!$D$4:D542,出库明细!D542)&gt;1),"",IFERROR(MATCH(出库明细!C542,总览汇总!$B$5:$B$304,0),900)*10000000+IFERROR(MATCH(出库明细!D542,基础资料!$E$5:$E$104,0),900)*10000+ROW()))</f>
      </c>
      <c r="F1542">
        <f>IF(AND(出库明细!C1542&lt;&gt;"",出库明细!C1542=客户对账单!$B$4,ISNUMBER(出库明细!B1542),出库明细!B1542&gt;=客户对账单!$G$4,出库明细!B1542&lt;=客户对账单!$I$4),出库明细!B1542+ROW()/100000,"")</f>
      </c>
      <c r="H1542">
        <f>IF(AND(资金台帐!K45&lt;&gt;"",资金台帐!K45=供应商对账单!$B$4,资金台帐!P45="应付",ISNUMBER(资金台帐!B45),资金台帐!B45&gt;=供应商对账单!$G$4,资金台帐!B45&lt;=供应商对账单!$I$4),资金台帐!B45+ROW()/100000,"")</f>
      </c>
      <c r="N1542">
        <f>IF(AND(ISNUMBER(出库明细!G1542),ISNUMBER(出库明细!E1542),ISNUMBER(出库明细!F1542)),IF(ABS(出库明细!G1542-出库明细!E1542*出库明细!F1542)&gt;0.005,1,0),0)</f>
        <v>0</v>
      </c>
    </row>
    <row r="1543">
      <c r="A1543">
        <f>IF(OR(出库明细!C543="",出库明细!D543=""),"",IF(OR(COUNTIFS(存条明细!$C$4:$C$1003,出库明细!C543,存条明细!$D$4:$D$1003,出库明细!D543)&gt;0,COUNTIFS(出库明细!$C$4:C543,出库明细!C543,出库明细!$D$4:D543,出库明细!D543)&gt;1),"",IFERROR(MATCH(出库明细!C543,总览汇总!$B$5:$B$304,0),900)*10000000+IFERROR(MATCH(出库明细!D543,基础资料!$E$5:$E$104,0),900)*10000+ROW()))</f>
      </c>
      <c r="F1543">
        <f>IF(AND(出库明细!C1543&lt;&gt;"",出库明细!C1543=客户对账单!$B$4,ISNUMBER(出库明细!B1543),出库明细!B1543&gt;=客户对账单!$G$4,出库明细!B1543&lt;=客户对账单!$I$4),出库明细!B1543+ROW()/100000,"")</f>
      </c>
      <c r="H1543">
        <f>IF(AND(资金台帐!K46&lt;&gt;"",资金台帐!K46=供应商对账单!$B$4,资金台帐!P46="应付",ISNUMBER(资金台帐!B46),资金台帐!B46&gt;=供应商对账单!$G$4,资金台帐!B46&lt;=供应商对账单!$I$4),资金台帐!B46+ROW()/100000,"")</f>
      </c>
      <c r="N1543">
        <f>IF(AND(ISNUMBER(出库明细!G1543),ISNUMBER(出库明细!E1543),ISNUMBER(出库明细!F1543)),IF(ABS(出库明细!G1543-出库明细!E1543*出库明细!F1543)&gt;0.005,1,0),0)</f>
        <v>0</v>
      </c>
    </row>
    <row r="1544">
      <c r="A1544">
        <f>IF(OR(出库明细!C544="",出库明细!D544=""),"",IF(OR(COUNTIFS(存条明细!$C$4:$C$1003,出库明细!C544,存条明细!$D$4:$D$1003,出库明细!D544)&gt;0,COUNTIFS(出库明细!$C$4:C544,出库明细!C544,出库明细!$D$4:D544,出库明细!D544)&gt;1),"",IFERROR(MATCH(出库明细!C544,总览汇总!$B$5:$B$304,0),900)*10000000+IFERROR(MATCH(出库明细!D544,基础资料!$E$5:$E$104,0),900)*10000+ROW()))</f>
      </c>
      <c r="F1544">
        <f>IF(AND(出库明细!C1544&lt;&gt;"",出库明细!C1544=客户对账单!$B$4,ISNUMBER(出库明细!B1544),出库明细!B1544&gt;=客户对账单!$G$4,出库明细!B1544&lt;=客户对账单!$I$4),出库明细!B1544+ROW()/100000,"")</f>
      </c>
      <c r="H1544">
        <f>IF(AND(资金台帐!K47&lt;&gt;"",资金台帐!K47=供应商对账单!$B$4,资金台帐!P47="应付",ISNUMBER(资金台帐!B47),资金台帐!B47&gt;=供应商对账单!$G$4,资金台帐!B47&lt;=供应商对账单!$I$4),资金台帐!B47+ROW()/100000,"")</f>
      </c>
      <c r="N1544">
        <f>IF(AND(ISNUMBER(出库明细!G1544),ISNUMBER(出库明细!E1544),ISNUMBER(出库明细!F1544)),IF(ABS(出库明细!G1544-出库明细!E1544*出库明细!F1544)&gt;0.005,1,0),0)</f>
        <v>0</v>
      </c>
    </row>
    <row r="1545">
      <c r="A1545">
        <f>IF(OR(出库明细!C545="",出库明细!D545=""),"",IF(OR(COUNTIFS(存条明细!$C$4:$C$1003,出库明细!C545,存条明细!$D$4:$D$1003,出库明细!D545)&gt;0,COUNTIFS(出库明细!$C$4:C545,出库明细!C545,出库明细!$D$4:D545,出库明细!D545)&gt;1),"",IFERROR(MATCH(出库明细!C545,总览汇总!$B$5:$B$304,0),900)*10000000+IFERROR(MATCH(出库明细!D545,基础资料!$E$5:$E$104,0),900)*10000+ROW()))</f>
      </c>
      <c r="F1545">
        <f>IF(AND(出库明细!C1545&lt;&gt;"",出库明细!C1545=客户对账单!$B$4,ISNUMBER(出库明细!B1545),出库明细!B1545&gt;=客户对账单!$G$4,出库明细!B1545&lt;=客户对账单!$I$4),出库明细!B1545+ROW()/100000,"")</f>
      </c>
      <c r="H1545">
        <f>IF(AND(资金台帐!K48&lt;&gt;"",资金台帐!K48=供应商对账单!$B$4,资金台帐!P48="应付",ISNUMBER(资金台帐!B48),资金台帐!B48&gt;=供应商对账单!$G$4,资金台帐!B48&lt;=供应商对账单!$I$4),资金台帐!B48+ROW()/100000,"")</f>
      </c>
      <c r="N1545">
        <f>IF(AND(ISNUMBER(出库明细!G1545),ISNUMBER(出库明细!E1545),ISNUMBER(出库明细!F1545)),IF(ABS(出库明细!G1545-出库明细!E1545*出库明细!F1545)&gt;0.005,1,0),0)</f>
        <v>0</v>
      </c>
    </row>
    <row r="1546">
      <c r="A1546">
        <f>IF(OR(出库明细!C546="",出库明细!D546=""),"",IF(OR(COUNTIFS(存条明细!$C$4:$C$1003,出库明细!C546,存条明细!$D$4:$D$1003,出库明细!D546)&gt;0,COUNTIFS(出库明细!$C$4:C546,出库明细!C546,出库明细!$D$4:D546,出库明细!D546)&gt;1),"",IFERROR(MATCH(出库明细!C546,总览汇总!$B$5:$B$304,0),900)*10000000+IFERROR(MATCH(出库明细!D546,基础资料!$E$5:$E$104,0),900)*10000+ROW()))</f>
      </c>
      <c r="F1546">
        <f>IF(AND(出库明细!C1546&lt;&gt;"",出库明细!C1546=客户对账单!$B$4,ISNUMBER(出库明细!B1546),出库明细!B1546&gt;=客户对账单!$G$4,出库明细!B1546&lt;=客户对账单!$I$4),出库明细!B1546+ROW()/100000,"")</f>
      </c>
      <c r="H1546">
        <f>IF(AND(资金台帐!K49&lt;&gt;"",资金台帐!K49=供应商对账单!$B$4,资金台帐!P49="应付",ISNUMBER(资金台帐!B49),资金台帐!B49&gt;=供应商对账单!$G$4,资金台帐!B49&lt;=供应商对账单!$I$4),资金台帐!B49+ROW()/100000,"")</f>
      </c>
      <c r="N1546">
        <f>IF(AND(ISNUMBER(出库明细!G1546),ISNUMBER(出库明细!E1546),ISNUMBER(出库明细!F1546)),IF(ABS(出库明细!G1546-出库明细!E1546*出库明细!F1546)&gt;0.005,1,0),0)</f>
        <v>0</v>
      </c>
    </row>
    <row r="1547">
      <c r="A1547">
        <f>IF(OR(出库明细!C547="",出库明细!D547=""),"",IF(OR(COUNTIFS(存条明细!$C$4:$C$1003,出库明细!C547,存条明细!$D$4:$D$1003,出库明细!D547)&gt;0,COUNTIFS(出库明细!$C$4:C547,出库明细!C547,出库明细!$D$4:D547,出库明细!D547)&gt;1),"",IFERROR(MATCH(出库明细!C547,总览汇总!$B$5:$B$304,0),900)*10000000+IFERROR(MATCH(出库明细!D547,基础资料!$E$5:$E$104,0),900)*10000+ROW()))</f>
      </c>
      <c r="F1547">
        <f>IF(AND(出库明细!C1547&lt;&gt;"",出库明细!C1547=客户对账单!$B$4,ISNUMBER(出库明细!B1547),出库明细!B1547&gt;=客户对账单!$G$4,出库明细!B1547&lt;=客户对账单!$I$4),出库明细!B1547+ROW()/100000,"")</f>
      </c>
      <c r="H1547">
        <f>IF(AND(资金台帐!K50&lt;&gt;"",资金台帐!K50=供应商对账单!$B$4,资金台帐!P50="应付",ISNUMBER(资金台帐!B50),资金台帐!B50&gt;=供应商对账单!$G$4,资金台帐!B50&lt;=供应商对账单!$I$4),资金台帐!B50+ROW()/100000,"")</f>
      </c>
      <c r="N1547">
        <f>IF(AND(ISNUMBER(出库明细!G1547),ISNUMBER(出库明细!E1547),ISNUMBER(出库明细!F1547)),IF(ABS(出库明细!G1547-出库明细!E1547*出库明细!F1547)&gt;0.005,1,0),0)</f>
        <v>0</v>
      </c>
    </row>
    <row r="1548">
      <c r="A1548">
        <f>IF(OR(出库明细!C548="",出库明细!D548=""),"",IF(OR(COUNTIFS(存条明细!$C$4:$C$1003,出库明细!C548,存条明细!$D$4:$D$1003,出库明细!D548)&gt;0,COUNTIFS(出库明细!$C$4:C548,出库明细!C548,出库明细!$D$4:D548,出库明细!D548)&gt;1),"",IFERROR(MATCH(出库明细!C548,总览汇总!$B$5:$B$304,0),900)*10000000+IFERROR(MATCH(出库明细!D548,基础资料!$E$5:$E$104,0),900)*10000+ROW()))</f>
      </c>
      <c r="F1548">
        <f>IF(AND(出库明细!C1548&lt;&gt;"",出库明细!C1548=客户对账单!$B$4,ISNUMBER(出库明细!B1548),出库明细!B1548&gt;=客户对账单!$G$4,出库明细!B1548&lt;=客户对账单!$I$4),出库明细!B1548+ROW()/100000,"")</f>
      </c>
      <c r="H1548">
        <f>IF(AND(资金台帐!K51&lt;&gt;"",资金台帐!K51=供应商对账单!$B$4,资金台帐!P51="应付",ISNUMBER(资金台帐!B51),资金台帐!B51&gt;=供应商对账单!$G$4,资金台帐!B51&lt;=供应商对账单!$I$4),资金台帐!B51+ROW()/100000,"")</f>
      </c>
      <c r="N1548">
        <f>IF(AND(ISNUMBER(出库明细!G1548),ISNUMBER(出库明细!E1548),ISNUMBER(出库明细!F1548)),IF(ABS(出库明细!G1548-出库明细!E1548*出库明细!F1548)&gt;0.005,1,0),0)</f>
        <v>0</v>
      </c>
    </row>
    <row r="1549">
      <c r="A1549">
        <f>IF(OR(出库明细!C549="",出库明细!D549=""),"",IF(OR(COUNTIFS(存条明细!$C$4:$C$1003,出库明细!C549,存条明细!$D$4:$D$1003,出库明细!D549)&gt;0,COUNTIFS(出库明细!$C$4:C549,出库明细!C549,出库明细!$D$4:D549,出库明细!D549)&gt;1),"",IFERROR(MATCH(出库明细!C549,总览汇总!$B$5:$B$304,0),900)*10000000+IFERROR(MATCH(出库明细!D549,基础资料!$E$5:$E$104,0),900)*10000+ROW()))</f>
      </c>
      <c r="F1549">
        <f>IF(AND(出库明细!C1549&lt;&gt;"",出库明细!C1549=客户对账单!$B$4,ISNUMBER(出库明细!B1549),出库明细!B1549&gt;=客户对账单!$G$4,出库明细!B1549&lt;=客户对账单!$I$4),出库明细!B1549+ROW()/100000,"")</f>
      </c>
      <c r="H1549">
        <f>IF(AND(资金台帐!K52&lt;&gt;"",资金台帐!K52=供应商对账单!$B$4,资金台帐!P52="应付",ISNUMBER(资金台帐!B52),资金台帐!B52&gt;=供应商对账单!$G$4,资金台帐!B52&lt;=供应商对账单!$I$4),资金台帐!B52+ROW()/100000,"")</f>
      </c>
      <c r="N1549">
        <f>IF(AND(ISNUMBER(出库明细!G1549),ISNUMBER(出库明细!E1549),ISNUMBER(出库明细!F1549)),IF(ABS(出库明细!G1549-出库明细!E1549*出库明细!F1549)&gt;0.005,1,0),0)</f>
        <v>0</v>
      </c>
    </row>
    <row r="1550">
      <c r="A1550">
        <f>IF(OR(出库明细!C550="",出库明细!D550=""),"",IF(OR(COUNTIFS(存条明细!$C$4:$C$1003,出库明细!C550,存条明细!$D$4:$D$1003,出库明细!D550)&gt;0,COUNTIFS(出库明细!$C$4:C550,出库明细!C550,出库明细!$D$4:D550,出库明细!D550)&gt;1),"",IFERROR(MATCH(出库明细!C550,总览汇总!$B$5:$B$304,0),900)*10000000+IFERROR(MATCH(出库明细!D550,基础资料!$E$5:$E$104,0),900)*10000+ROW()))</f>
      </c>
      <c r="F1550">
        <f>IF(AND(出库明细!C1550&lt;&gt;"",出库明细!C1550=客户对账单!$B$4,ISNUMBER(出库明细!B1550),出库明细!B1550&gt;=客户对账单!$G$4,出库明细!B1550&lt;=客户对账单!$I$4),出库明细!B1550+ROW()/100000,"")</f>
      </c>
      <c r="H1550">
        <f>IF(AND(资金台帐!K53&lt;&gt;"",资金台帐!K53=供应商对账单!$B$4,资金台帐!P53="应付",ISNUMBER(资金台帐!B53),资金台帐!B53&gt;=供应商对账单!$G$4,资金台帐!B53&lt;=供应商对账单!$I$4),资金台帐!B53+ROW()/100000,"")</f>
      </c>
      <c r="N1550">
        <f>IF(AND(ISNUMBER(出库明细!G1550),ISNUMBER(出库明细!E1550),ISNUMBER(出库明细!F1550)),IF(ABS(出库明细!G1550-出库明细!E1550*出库明细!F1550)&gt;0.005,1,0),0)</f>
        <v>0</v>
      </c>
    </row>
    <row r="1551">
      <c r="A1551">
        <f>IF(OR(出库明细!C551="",出库明细!D551=""),"",IF(OR(COUNTIFS(存条明细!$C$4:$C$1003,出库明细!C551,存条明细!$D$4:$D$1003,出库明细!D551)&gt;0,COUNTIFS(出库明细!$C$4:C551,出库明细!C551,出库明细!$D$4:D551,出库明细!D551)&gt;1),"",IFERROR(MATCH(出库明细!C551,总览汇总!$B$5:$B$304,0),900)*10000000+IFERROR(MATCH(出库明细!D551,基础资料!$E$5:$E$104,0),900)*10000+ROW()))</f>
      </c>
      <c r="F1551">
        <f>IF(AND(出库明细!C1551&lt;&gt;"",出库明细!C1551=客户对账单!$B$4,ISNUMBER(出库明细!B1551),出库明细!B1551&gt;=客户对账单!$G$4,出库明细!B1551&lt;=客户对账单!$I$4),出库明细!B1551+ROW()/100000,"")</f>
      </c>
      <c r="H1551">
        <f>IF(AND(资金台帐!K54&lt;&gt;"",资金台帐!K54=供应商对账单!$B$4,资金台帐!P54="应付",ISNUMBER(资金台帐!B54),资金台帐!B54&gt;=供应商对账单!$G$4,资金台帐!B54&lt;=供应商对账单!$I$4),资金台帐!B54+ROW()/100000,"")</f>
      </c>
      <c r="N1551">
        <f>IF(AND(ISNUMBER(出库明细!G1551),ISNUMBER(出库明细!E1551),ISNUMBER(出库明细!F1551)),IF(ABS(出库明细!G1551-出库明细!E1551*出库明细!F1551)&gt;0.005,1,0),0)</f>
        <v>0</v>
      </c>
    </row>
    <row r="1552">
      <c r="A1552">
        <f>IF(OR(出库明细!C552="",出库明细!D552=""),"",IF(OR(COUNTIFS(存条明细!$C$4:$C$1003,出库明细!C552,存条明细!$D$4:$D$1003,出库明细!D552)&gt;0,COUNTIFS(出库明细!$C$4:C552,出库明细!C552,出库明细!$D$4:D552,出库明细!D552)&gt;1),"",IFERROR(MATCH(出库明细!C552,总览汇总!$B$5:$B$304,0),900)*10000000+IFERROR(MATCH(出库明细!D552,基础资料!$E$5:$E$104,0),900)*10000+ROW()))</f>
      </c>
      <c r="F1552">
        <f>IF(AND(出库明细!C1552&lt;&gt;"",出库明细!C1552=客户对账单!$B$4,ISNUMBER(出库明细!B1552),出库明细!B1552&gt;=客户对账单!$G$4,出库明细!B1552&lt;=客户对账单!$I$4),出库明细!B1552+ROW()/100000,"")</f>
      </c>
      <c r="H1552">
        <f>IF(AND(资金台帐!K55&lt;&gt;"",资金台帐!K55=供应商对账单!$B$4,资金台帐!P55="应付",ISNUMBER(资金台帐!B55),资金台帐!B55&gt;=供应商对账单!$G$4,资金台帐!B55&lt;=供应商对账单!$I$4),资金台帐!B55+ROW()/100000,"")</f>
      </c>
      <c r="N1552">
        <f>IF(AND(ISNUMBER(出库明细!G1552),ISNUMBER(出库明细!E1552),ISNUMBER(出库明细!F1552)),IF(ABS(出库明细!G1552-出库明细!E1552*出库明细!F1552)&gt;0.005,1,0),0)</f>
        <v>0</v>
      </c>
    </row>
    <row r="1553">
      <c r="A1553">
        <f>IF(OR(出库明细!C553="",出库明细!D553=""),"",IF(OR(COUNTIFS(存条明细!$C$4:$C$1003,出库明细!C553,存条明细!$D$4:$D$1003,出库明细!D553)&gt;0,COUNTIFS(出库明细!$C$4:C553,出库明细!C553,出库明细!$D$4:D553,出库明细!D553)&gt;1),"",IFERROR(MATCH(出库明细!C553,总览汇总!$B$5:$B$304,0),900)*10000000+IFERROR(MATCH(出库明细!D553,基础资料!$E$5:$E$104,0),900)*10000+ROW()))</f>
      </c>
      <c r="F1553">
        <f>IF(AND(出库明细!C1553&lt;&gt;"",出库明细!C1553=客户对账单!$B$4,ISNUMBER(出库明细!B1553),出库明细!B1553&gt;=客户对账单!$G$4,出库明细!B1553&lt;=客户对账单!$I$4),出库明细!B1553+ROW()/100000,"")</f>
      </c>
      <c r="H1553">
        <f>IF(AND(资金台帐!K56&lt;&gt;"",资金台帐!K56=供应商对账单!$B$4,资金台帐!P56="应付",ISNUMBER(资金台帐!B56),资金台帐!B56&gt;=供应商对账单!$G$4,资金台帐!B56&lt;=供应商对账单!$I$4),资金台帐!B56+ROW()/100000,"")</f>
      </c>
      <c r="N1553">
        <f>IF(AND(ISNUMBER(出库明细!G1553),ISNUMBER(出库明细!E1553),ISNUMBER(出库明细!F1553)),IF(ABS(出库明细!G1553-出库明细!E1553*出库明细!F1553)&gt;0.005,1,0),0)</f>
        <v>0</v>
      </c>
    </row>
    <row r="1554">
      <c r="A1554">
        <f>IF(OR(出库明细!C554="",出库明细!D554=""),"",IF(OR(COUNTIFS(存条明细!$C$4:$C$1003,出库明细!C554,存条明细!$D$4:$D$1003,出库明细!D554)&gt;0,COUNTIFS(出库明细!$C$4:C554,出库明细!C554,出库明细!$D$4:D554,出库明细!D554)&gt;1),"",IFERROR(MATCH(出库明细!C554,总览汇总!$B$5:$B$304,0),900)*10000000+IFERROR(MATCH(出库明细!D554,基础资料!$E$5:$E$104,0),900)*10000+ROW()))</f>
      </c>
      <c r="F1554">
        <f>IF(AND(出库明细!C1554&lt;&gt;"",出库明细!C1554=客户对账单!$B$4,ISNUMBER(出库明细!B1554),出库明细!B1554&gt;=客户对账单!$G$4,出库明细!B1554&lt;=客户对账单!$I$4),出库明细!B1554+ROW()/100000,"")</f>
      </c>
      <c r="H1554">
        <f>IF(AND(资金台帐!K57&lt;&gt;"",资金台帐!K57=供应商对账单!$B$4,资金台帐!P57="应付",ISNUMBER(资金台帐!B57),资金台帐!B57&gt;=供应商对账单!$G$4,资金台帐!B57&lt;=供应商对账单!$I$4),资金台帐!B57+ROW()/100000,"")</f>
      </c>
      <c r="N1554">
        <f>IF(AND(ISNUMBER(出库明细!G1554),ISNUMBER(出库明细!E1554),ISNUMBER(出库明细!F1554)),IF(ABS(出库明细!G1554-出库明细!E1554*出库明细!F1554)&gt;0.005,1,0),0)</f>
        <v>0</v>
      </c>
    </row>
    <row r="1555">
      <c r="A1555">
        <f>IF(OR(出库明细!C555="",出库明细!D555=""),"",IF(OR(COUNTIFS(存条明细!$C$4:$C$1003,出库明细!C555,存条明细!$D$4:$D$1003,出库明细!D555)&gt;0,COUNTIFS(出库明细!$C$4:C555,出库明细!C555,出库明细!$D$4:D555,出库明细!D555)&gt;1),"",IFERROR(MATCH(出库明细!C555,总览汇总!$B$5:$B$304,0),900)*10000000+IFERROR(MATCH(出库明细!D555,基础资料!$E$5:$E$104,0),900)*10000+ROW()))</f>
      </c>
      <c r="F1555">
        <f>IF(AND(出库明细!C1555&lt;&gt;"",出库明细!C1555=客户对账单!$B$4,ISNUMBER(出库明细!B1555),出库明细!B1555&gt;=客户对账单!$G$4,出库明细!B1555&lt;=客户对账单!$I$4),出库明细!B1555+ROW()/100000,"")</f>
      </c>
      <c r="H1555">
        <f>IF(AND(资金台帐!K58&lt;&gt;"",资金台帐!K58=供应商对账单!$B$4,资金台帐!P58="应付",ISNUMBER(资金台帐!B58),资金台帐!B58&gt;=供应商对账单!$G$4,资金台帐!B58&lt;=供应商对账单!$I$4),资金台帐!B58+ROW()/100000,"")</f>
      </c>
      <c r="N1555">
        <f>IF(AND(ISNUMBER(出库明细!G1555),ISNUMBER(出库明细!E1555),ISNUMBER(出库明细!F1555)),IF(ABS(出库明细!G1555-出库明细!E1555*出库明细!F1555)&gt;0.005,1,0),0)</f>
        <v>0</v>
      </c>
    </row>
    <row r="1556">
      <c r="A1556">
        <f>IF(OR(出库明细!C556="",出库明细!D556=""),"",IF(OR(COUNTIFS(存条明细!$C$4:$C$1003,出库明细!C556,存条明细!$D$4:$D$1003,出库明细!D556)&gt;0,COUNTIFS(出库明细!$C$4:C556,出库明细!C556,出库明细!$D$4:D556,出库明细!D556)&gt;1),"",IFERROR(MATCH(出库明细!C556,总览汇总!$B$5:$B$304,0),900)*10000000+IFERROR(MATCH(出库明细!D556,基础资料!$E$5:$E$104,0),900)*10000+ROW()))</f>
      </c>
      <c r="F1556">
        <f>IF(AND(出库明细!C1556&lt;&gt;"",出库明细!C1556=客户对账单!$B$4,ISNUMBER(出库明细!B1556),出库明细!B1556&gt;=客户对账单!$G$4,出库明细!B1556&lt;=客户对账单!$I$4),出库明细!B1556+ROW()/100000,"")</f>
      </c>
      <c r="H1556">
        <f>IF(AND(资金台帐!K59&lt;&gt;"",资金台帐!K59=供应商对账单!$B$4,资金台帐!P59="应付",ISNUMBER(资金台帐!B59),资金台帐!B59&gt;=供应商对账单!$G$4,资金台帐!B59&lt;=供应商对账单!$I$4),资金台帐!B59+ROW()/100000,"")</f>
      </c>
      <c r="N1556">
        <f>IF(AND(ISNUMBER(出库明细!G1556),ISNUMBER(出库明细!E1556),ISNUMBER(出库明细!F1556)),IF(ABS(出库明细!G1556-出库明细!E1556*出库明细!F1556)&gt;0.005,1,0),0)</f>
        <v>0</v>
      </c>
    </row>
    <row r="1557">
      <c r="A1557">
        <f>IF(OR(出库明细!C557="",出库明细!D557=""),"",IF(OR(COUNTIFS(存条明细!$C$4:$C$1003,出库明细!C557,存条明细!$D$4:$D$1003,出库明细!D557)&gt;0,COUNTIFS(出库明细!$C$4:C557,出库明细!C557,出库明细!$D$4:D557,出库明细!D557)&gt;1),"",IFERROR(MATCH(出库明细!C557,总览汇总!$B$5:$B$304,0),900)*10000000+IFERROR(MATCH(出库明细!D557,基础资料!$E$5:$E$104,0),900)*10000+ROW()))</f>
      </c>
      <c r="F1557">
        <f>IF(AND(出库明细!C1557&lt;&gt;"",出库明细!C1557=客户对账单!$B$4,ISNUMBER(出库明细!B1557),出库明细!B1557&gt;=客户对账单!$G$4,出库明细!B1557&lt;=客户对账单!$I$4),出库明细!B1557+ROW()/100000,"")</f>
      </c>
      <c r="H1557">
        <f>IF(AND(资金台帐!K60&lt;&gt;"",资金台帐!K60=供应商对账单!$B$4,资金台帐!P60="应付",ISNUMBER(资金台帐!B60),资金台帐!B60&gt;=供应商对账单!$G$4,资金台帐!B60&lt;=供应商对账单!$I$4),资金台帐!B60+ROW()/100000,"")</f>
      </c>
      <c r="N1557">
        <f>IF(AND(ISNUMBER(出库明细!G1557),ISNUMBER(出库明细!E1557),ISNUMBER(出库明细!F1557)),IF(ABS(出库明细!G1557-出库明细!E1557*出库明细!F1557)&gt;0.005,1,0),0)</f>
        <v>0</v>
      </c>
    </row>
    <row r="1558">
      <c r="A1558">
        <f>IF(OR(出库明细!C558="",出库明细!D558=""),"",IF(OR(COUNTIFS(存条明细!$C$4:$C$1003,出库明细!C558,存条明细!$D$4:$D$1003,出库明细!D558)&gt;0,COUNTIFS(出库明细!$C$4:C558,出库明细!C558,出库明细!$D$4:D558,出库明细!D558)&gt;1),"",IFERROR(MATCH(出库明细!C558,总览汇总!$B$5:$B$304,0),900)*10000000+IFERROR(MATCH(出库明细!D558,基础资料!$E$5:$E$104,0),900)*10000+ROW()))</f>
      </c>
      <c r="F1558">
        <f>IF(AND(出库明细!C1558&lt;&gt;"",出库明细!C1558=客户对账单!$B$4,ISNUMBER(出库明细!B1558),出库明细!B1558&gt;=客户对账单!$G$4,出库明细!B1558&lt;=客户对账单!$I$4),出库明细!B1558+ROW()/100000,"")</f>
      </c>
      <c r="H1558">
        <f>IF(AND(资金台帐!K61&lt;&gt;"",资金台帐!K61=供应商对账单!$B$4,资金台帐!P61="应付",ISNUMBER(资金台帐!B61),资金台帐!B61&gt;=供应商对账单!$G$4,资金台帐!B61&lt;=供应商对账单!$I$4),资金台帐!B61+ROW()/100000,"")</f>
      </c>
      <c r="N1558">
        <f>IF(AND(ISNUMBER(出库明细!G1558),ISNUMBER(出库明细!E1558),ISNUMBER(出库明细!F1558)),IF(ABS(出库明细!G1558-出库明细!E1558*出库明细!F1558)&gt;0.005,1,0),0)</f>
        <v>0</v>
      </c>
    </row>
    <row r="1559">
      <c r="A1559">
        <f>IF(OR(出库明细!C559="",出库明细!D559=""),"",IF(OR(COUNTIFS(存条明细!$C$4:$C$1003,出库明细!C559,存条明细!$D$4:$D$1003,出库明细!D559)&gt;0,COUNTIFS(出库明细!$C$4:C559,出库明细!C559,出库明细!$D$4:D559,出库明细!D559)&gt;1),"",IFERROR(MATCH(出库明细!C559,总览汇总!$B$5:$B$304,0),900)*10000000+IFERROR(MATCH(出库明细!D559,基础资料!$E$5:$E$104,0),900)*10000+ROW()))</f>
      </c>
      <c r="F1559">
        <f>IF(AND(出库明细!C1559&lt;&gt;"",出库明细!C1559=客户对账单!$B$4,ISNUMBER(出库明细!B1559),出库明细!B1559&gt;=客户对账单!$G$4,出库明细!B1559&lt;=客户对账单!$I$4),出库明细!B1559+ROW()/100000,"")</f>
      </c>
      <c r="H1559">
        <f>IF(AND(资金台帐!K62&lt;&gt;"",资金台帐!K62=供应商对账单!$B$4,资金台帐!P62="应付",ISNUMBER(资金台帐!B62),资金台帐!B62&gt;=供应商对账单!$G$4,资金台帐!B62&lt;=供应商对账单!$I$4),资金台帐!B62+ROW()/100000,"")</f>
      </c>
      <c r="N1559">
        <f>IF(AND(ISNUMBER(出库明细!G1559),ISNUMBER(出库明细!E1559),ISNUMBER(出库明细!F1559)),IF(ABS(出库明细!G1559-出库明细!E1559*出库明细!F1559)&gt;0.005,1,0),0)</f>
        <v>0</v>
      </c>
    </row>
    <row r="1560">
      <c r="A1560">
        <f>IF(OR(出库明细!C560="",出库明细!D560=""),"",IF(OR(COUNTIFS(存条明细!$C$4:$C$1003,出库明细!C560,存条明细!$D$4:$D$1003,出库明细!D560)&gt;0,COUNTIFS(出库明细!$C$4:C560,出库明细!C560,出库明细!$D$4:D560,出库明细!D560)&gt;1),"",IFERROR(MATCH(出库明细!C560,总览汇总!$B$5:$B$304,0),900)*10000000+IFERROR(MATCH(出库明细!D560,基础资料!$E$5:$E$104,0),900)*10000+ROW()))</f>
      </c>
      <c r="F1560">
        <f>IF(AND(出库明细!C1560&lt;&gt;"",出库明细!C1560=客户对账单!$B$4,ISNUMBER(出库明细!B1560),出库明细!B1560&gt;=客户对账单!$G$4,出库明细!B1560&lt;=客户对账单!$I$4),出库明细!B1560+ROW()/100000,"")</f>
      </c>
      <c r="H1560">
        <f>IF(AND(资金台帐!K63&lt;&gt;"",资金台帐!K63=供应商对账单!$B$4,资金台帐!P63="应付",ISNUMBER(资金台帐!B63),资金台帐!B63&gt;=供应商对账单!$G$4,资金台帐!B63&lt;=供应商对账单!$I$4),资金台帐!B63+ROW()/100000,"")</f>
      </c>
      <c r="N1560">
        <f>IF(AND(ISNUMBER(出库明细!G1560),ISNUMBER(出库明细!E1560),ISNUMBER(出库明细!F1560)),IF(ABS(出库明细!G1560-出库明细!E1560*出库明细!F1560)&gt;0.005,1,0),0)</f>
        <v>0</v>
      </c>
    </row>
    <row r="1561">
      <c r="A1561">
        <f>IF(OR(出库明细!C561="",出库明细!D561=""),"",IF(OR(COUNTIFS(存条明细!$C$4:$C$1003,出库明细!C561,存条明细!$D$4:$D$1003,出库明细!D561)&gt;0,COUNTIFS(出库明细!$C$4:C561,出库明细!C561,出库明细!$D$4:D561,出库明细!D561)&gt;1),"",IFERROR(MATCH(出库明细!C561,总览汇总!$B$5:$B$304,0),900)*10000000+IFERROR(MATCH(出库明细!D561,基础资料!$E$5:$E$104,0),900)*10000+ROW()))</f>
      </c>
      <c r="F1561">
        <f>IF(AND(出库明细!C1561&lt;&gt;"",出库明细!C1561=客户对账单!$B$4,ISNUMBER(出库明细!B1561),出库明细!B1561&gt;=客户对账单!$G$4,出库明细!B1561&lt;=客户对账单!$I$4),出库明细!B1561+ROW()/100000,"")</f>
      </c>
      <c r="H1561">
        <f>IF(AND(资金台帐!K64&lt;&gt;"",资金台帐!K64=供应商对账单!$B$4,资金台帐!P64="应付",ISNUMBER(资金台帐!B64),资金台帐!B64&gt;=供应商对账单!$G$4,资金台帐!B64&lt;=供应商对账单!$I$4),资金台帐!B64+ROW()/100000,"")</f>
      </c>
      <c r="N1561">
        <f>IF(AND(ISNUMBER(出库明细!G1561),ISNUMBER(出库明细!E1561),ISNUMBER(出库明细!F1561)),IF(ABS(出库明细!G1561-出库明细!E1561*出库明细!F1561)&gt;0.005,1,0),0)</f>
        <v>0</v>
      </c>
    </row>
    <row r="1562">
      <c r="A1562">
        <f>IF(OR(出库明细!C562="",出库明细!D562=""),"",IF(OR(COUNTIFS(存条明细!$C$4:$C$1003,出库明细!C562,存条明细!$D$4:$D$1003,出库明细!D562)&gt;0,COUNTIFS(出库明细!$C$4:C562,出库明细!C562,出库明细!$D$4:D562,出库明细!D562)&gt;1),"",IFERROR(MATCH(出库明细!C562,总览汇总!$B$5:$B$304,0),900)*10000000+IFERROR(MATCH(出库明细!D562,基础资料!$E$5:$E$104,0),900)*10000+ROW()))</f>
      </c>
      <c r="F1562">
        <f>IF(AND(出库明细!C1562&lt;&gt;"",出库明细!C1562=客户对账单!$B$4,ISNUMBER(出库明细!B1562),出库明细!B1562&gt;=客户对账单!$G$4,出库明细!B1562&lt;=客户对账单!$I$4),出库明细!B1562+ROW()/100000,"")</f>
      </c>
      <c r="H1562">
        <f>IF(AND(资金台帐!K65&lt;&gt;"",资金台帐!K65=供应商对账单!$B$4,资金台帐!P65="应付",ISNUMBER(资金台帐!B65),资金台帐!B65&gt;=供应商对账单!$G$4,资金台帐!B65&lt;=供应商对账单!$I$4),资金台帐!B65+ROW()/100000,"")</f>
      </c>
      <c r="N1562">
        <f>IF(AND(ISNUMBER(出库明细!G1562),ISNUMBER(出库明细!E1562),ISNUMBER(出库明细!F1562)),IF(ABS(出库明细!G1562-出库明细!E1562*出库明细!F1562)&gt;0.005,1,0),0)</f>
        <v>0</v>
      </c>
    </row>
    <row r="1563">
      <c r="A1563">
        <f>IF(OR(出库明细!C563="",出库明细!D563=""),"",IF(OR(COUNTIFS(存条明细!$C$4:$C$1003,出库明细!C563,存条明细!$D$4:$D$1003,出库明细!D563)&gt;0,COUNTIFS(出库明细!$C$4:C563,出库明细!C563,出库明细!$D$4:D563,出库明细!D563)&gt;1),"",IFERROR(MATCH(出库明细!C563,总览汇总!$B$5:$B$304,0),900)*10000000+IFERROR(MATCH(出库明细!D563,基础资料!$E$5:$E$104,0),900)*10000+ROW()))</f>
      </c>
      <c r="F1563">
        <f>IF(AND(出库明细!C1563&lt;&gt;"",出库明细!C1563=客户对账单!$B$4,ISNUMBER(出库明细!B1563),出库明细!B1563&gt;=客户对账单!$G$4,出库明细!B1563&lt;=客户对账单!$I$4),出库明细!B1563+ROW()/100000,"")</f>
      </c>
      <c r="H1563">
        <f>IF(AND(资金台帐!K66&lt;&gt;"",资金台帐!K66=供应商对账单!$B$4,资金台帐!P66="应付",ISNUMBER(资金台帐!B66),资金台帐!B66&gt;=供应商对账单!$G$4,资金台帐!B66&lt;=供应商对账单!$I$4),资金台帐!B66+ROW()/100000,"")</f>
      </c>
      <c r="N1563">
        <f>IF(AND(ISNUMBER(出库明细!G1563),ISNUMBER(出库明细!E1563),ISNUMBER(出库明细!F1563)),IF(ABS(出库明细!G1563-出库明细!E1563*出库明细!F1563)&gt;0.005,1,0),0)</f>
        <v>0</v>
      </c>
    </row>
    <row r="1564">
      <c r="A1564">
        <f>IF(OR(出库明细!C564="",出库明细!D564=""),"",IF(OR(COUNTIFS(存条明细!$C$4:$C$1003,出库明细!C564,存条明细!$D$4:$D$1003,出库明细!D564)&gt;0,COUNTIFS(出库明细!$C$4:C564,出库明细!C564,出库明细!$D$4:D564,出库明细!D564)&gt;1),"",IFERROR(MATCH(出库明细!C564,总览汇总!$B$5:$B$304,0),900)*10000000+IFERROR(MATCH(出库明细!D564,基础资料!$E$5:$E$104,0),900)*10000+ROW()))</f>
      </c>
      <c r="F1564">
        <f>IF(AND(出库明细!C1564&lt;&gt;"",出库明细!C1564=客户对账单!$B$4,ISNUMBER(出库明细!B1564),出库明细!B1564&gt;=客户对账单!$G$4,出库明细!B1564&lt;=客户对账单!$I$4),出库明细!B1564+ROW()/100000,"")</f>
      </c>
      <c r="H1564">
        <f>IF(AND(资金台帐!K67&lt;&gt;"",资金台帐!K67=供应商对账单!$B$4,资金台帐!P67="应付",ISNUMBER(资金台帐!B67),资金台帐!B67&gt;=供应商对账单!$G$4,资金台帐!B67&lt;=供应商对账单!$I$4),资金台帐!B67+ROW()/100000,"")</f>
      </c>
      <c r="N1564">
        <f>IF(AND(ISNUMBER(出库明细!G1564),ISNUMBER(出库明细!E1564),ISNUMBER(出库明细!F1564)),IF(ABS(出库明细!G1564-出库明细!E1564*出库明细!F1564)&gt;0.005,1,0),0)</f>
        <v>0</v>
      </c>
    </row>
    <row r="1565">
      <c r="A1565">
        <f>IF(OR(出库明细!C565="",出库明细!D565=""),"",IF(OR(COUNTIFS(存条明细!$C$4:$C$1003,出库明细!C565,存条明细!$D$4:$D$1003,出库明细!D565)&gt;0,COUNTIFS(出库明细!$C$4:C565,出库明细!C565,出库明细!$D$4:D565,出库明细!D565)&gt;1),"",IFERROR(MATCH(出库明细!C565,总览汇总!$B$5:$B$304,0),900)*10000000+IFERROR(MATCH(出库明细!D565,基础资料!$E$5:$E$104,0),900)*10000+ROW()))</f>
      </c>
      <c r="F1565">
        <f>IF(AND(出库明细!C1565&lt;&gt;"",出库明细!C1565=客户对账单!$B$4,ISNUMBER(出库明细!B1565),出库明细!B1565&gt;=客户对账单!$G$4,出库明细!B1565&lt;=客户对账单!$I$4),出库明细!B1565+ROW()/100000,"")</f>
      </c>
      <c r="H1565">
        <f>IF(AND(资金台帐!K68&lt;&gt;"",资金台帐!K68=供应商对账单!$B$4,资金台帐!P68="应付",ISNUMBER(资金台帐!B68),资金台帐!B68&gt;=供应商对账单!$G$4,资金台帐!B68&lt;=供应商对账单!$I$4),资金台帐!B68+ROW()/100000,"")</f>
      </c>
      <c r="N1565">
        <f>IF(AND(ISNUMBER(出库明细!G1565),ISNUMBER(出库明细!E1565),ISNUMBER(出库明细!F1565)),IF(ABS(出库明细!G1565-出库明细!E1565*出库明细!F1565)&gt;0.005,1,0),0)</f>
        <v>0</v>
      </c>
    </row>
    <row r="1566">
      <c r="A1566">
        <f>IF(OR(出库明细!C566="",出库明细!D566=""),"",IF(OR(COUNTIFS(存条明细!$C$4:$C$1003,出库明细!C566,存条明细!$D$4:$D$1003,出库明细!D566)&gt;0,COUNTIFS(出库明细!$C$4:C566,出库明细!C566,出库明细!$D$4:D566,出库明细!D566)&gt;1),"",IFERROR(MATCH(出库明细!C566,总览汇总!$B$5:$B$304,0),900)*10000000+IFERROR(MATCH(出库明细!D566,基础资料!$E$5:$E$104,0),900)*10000+ROW()))</f>
      </c>
      <c r="F1566">
        <f>IF(AND(出库明细!C1566&lt;&gt;"",出库明细!C1566=客户对账单!$B$4,ISNUMBER(出库明细!B1566),出库明细!B1566&gt;=客户对账单!$G$4,出库明细!B1566&lt;=客户对账单!$I$4),出库明细!B1566+ROW()/100000,"")</f>
      </c>
      <c r="H1566">
        <f>IF(AND(资金台帐!K69&lt;&gt;"",资金台帐!K69=供应商对账单!$B$4,资金台帐!P69="应付",ISNUMBER(资金台帐!B69),资金台帐!B69&gt;=供应商对账单!$G$4,资金台帐!B69&lt;=供应商对账单!$I$4),资金台帐!B69+ROW()/100000,"")</f>
      </c>
      <c r="N1566">
        <f>IF(AND(ISNUMBER(出库明细!G1566),ISNUMBER(出库明细!E1566),ISNUMBER(出库明细!F1566)),IF(ABS(出库明细!G1566-出库明细!E1566*出库明细!F1566)&gt;0.005,1,0),0)</f>
        <v>0</v>
      </c>
    </row>
    <row r="1567">
      <c r="A1567">
        <f>IF(OR(出库明细!C567="",出库明细!D567=""),"",IF(OR(COUNTIFS(存条明细!$C$4:$C$1003,出库明细!C567,存条明细!$D$4:$D$1003,出库明细!D567)&gt;0,COUNTIFS(出库明细!$C$4:C567,出库明细!C567,出库明细!$D$4:D567,出库明细!D567)&gt;1),"",IFERROR(MATCH(出库明细!C567,总览汇总!$B$5:$B$304,0),900)*10000000+IFERROR(MATCH(出库明细!D567,基础资料!$E$5:$E$104,0),900)*10000+ROW()))</f>
      </c>
      <c r="F1567">
        <f>IF(AND(出库明细!C1567&lt;&gt;"",出库明细!C1567=客户对账单!$B$4,ISNUMBER(出库明细!B1567),出库明细!B1567&gt;=客户对账单!$G$4,出库明细!B1567&lt;=客户对账单!$I$4),出库明细!B1567+ROW()/100000,"")</f>
      </c>
      <c r="H1567">
        <f>IF(AND(资金台帐!K70&lt;&gt;"",资金台帐!K70=供应商对账单!$B$4,资金台帐!P70="应付",ISNUMBER(资金台帐!B70),资金台帐!B70&gt;=供应商对账单!$G$4,资金台帐!B70&lt;=供应商对账单!$I$4),资金台帐!B70+ROW()/100000,"")</f>
      </c>
      <c r="N1567">
        <f>IF(AND(ISNUMBER(出库明细!G1567),ISNUMBER(出库明细!E1567),ISNUMBER(出库明细!F1567)),IF(ABS(出库明细!G1567-出库明细!E1567*出库明细!F1567)&gt;0.005,1,0),0)</f>
        <v>0</v>
      </c>
    </row>
    <row r="1568">
      <c r="A1568">
        <f>IF(OR(出库明细!C568="",出库明细!D568=""),"",IF(OR(COUNTIFS(存条明细!$C$4:$C$1003,出库明细!C568,存条明细!$D$4:$D$1003,出库明细!D568)&gt;0,COUNTIFS(出库明细!$C$4:C568,出库明细!C568,出库明细!$D$4:D568,出库明细!D568)&gt;1),"",IFERROR(MATCH(出库明细!C568,总览汇总!$B$5:$B$304,0),900)*10000000+IFERROR(MATCH(出库明细!D568,基础资料!$E$5:$E$104,0),900)*10000+ROW()))</f>
      </c>
      <c r="F1568">
        <f>IF(AND(出库明细!C1568&lt;&gt;"",出库明细!C1568=客户对账单!$B$4,ISNUMBER(出库明细!B1568),出库明细!B1568&gt;=客户对账单!$G$4,出库明细!B1568&lt;=客户对账单!$I$4),出库明细!B1568+ROW()/100000,"")</f>
      </c>
      <c r="H1568">
        <f>IF(AND(资金台帐!K71&lt;&gt;"",资金台帐!K71=供应商对账单!$B$4,资金台帐!P71="应付",ISNUMBER(资金台帐!B71),资金台帐!B71&gt;=供应商对账单!$G$4,资金台帐!B71&lt;=供应商对账单!$I$4),资金台帐!B71+ROW()/100000,"")</f>
      </c>
      <c r="N1568">
        <f>IF(AND(ISNUMBER(出库明细!G1568),ISNUMBER(出库明细!E1568),ISNUMBER(出库明细!F1568)),IF(ABS(出库明细!G1568-出库明细!E1568*出库明细!F1568)&gt;0.005,1,0),0)</f>
        <v>0</v>
      </c>
    </row>
    <row r="1569">
      <c r="A1569">
        <f>IF(OR(出库明细!C569="",出库明细!D569=""),"",IF(OR(COUNTIFS(存条明细!$C$4:$C$1003,出库明细!C569,存条明细!$D$4:$D$1003,出库明细!D569)&gt;0,COUNTIFS(出库明细!$C$4:C569,出库明细!C569,出库明细!$D$4:D569,出库明细!D569)&gt;1),"",IFERROR(MATCH(出库明细!C569,总览汇总!$B$5:$B$304,0),900)*10000000+IFERROR(MATCH(出库明细!D569,基础资料!$E$5:$E$104,0),900)*10000+ROW()))</f>
      </c>
      <c r="F1569">
        <f>IF(AND(出库明细!C1569&lt;&gt;"",出库明细!C1569=客户对账单!$B$4,ISNUMBER(出库明细!B1569),出库明细!B1569&gt;=客户对账单!$G$4,出库明细!B1569&lt;=客户对账单!$I$4),出库明细!B1569+ROW()/100000,"")</f>
      </c>
      <c r="H1569">
        <f>IF(AND(资金台帐!K72&lt;&gt;"",资金台帐!K72=供应商对账单!$B$4,资金台帐!P72="应付",ISNUMBER(资金台帐!B72),资金台帐!B72&gt;=供应商对账单!$G$4,资金台帐!B72&lt;=供应商对账单!$I$4),资金台帐!B72+ROW()/100000,"")</f>
      </c>
      <c r="N1569">
        <f>IF(AND(ISNUMBER(出库明细!G1569),ISNUMBER(出库明细!E1569),ISNUMBER(出库明细!F1569)),IF(ABS(出库明细!G1569-出库明细!E1569*出库明细!F1569)&gt;0.005,1,0),0)</f>
        <v>0</v>
      </c>
    </row>
    <row r="1570">
      <c r="A1570">
        <f>IF(OR(出库明细!C570="",出库明细!D570=""),"",IF(OR(COUNTIFS(存条明细!$C$4:$C$1003,出库明细!C570,存条明细!$D$4:$D$1003,出库明细!D570)&gt;0,COUNTIFS(出库明细!$C$4:C570,出库明细!C570,出库明细!$D$4:D570,出库明细!D570)&gt;1),"",IFERROR(MATCH(出库明细!C570,总览汇总!$B$5:$B$304,0),900)*10000000+IFERROR(MATCH(出库明细!D570,基础资料!$E$5:$E$104,0),900)*10000+ROW()))</f>
      </c>
      <c r="F1570">
        <f>IF(AND(出库明细!C1570&lt;&gt;"",出库明细!C1570=客户对账单!$B$4,ISNUMBER(出库明细!B1570),出库明细!B1570&gt;=客户对账单!$G$4,出库明细!B1570&lt;=客户对账单!$I$4),出库明细!B1570+ROW()/100000,"")</f>
      </c>
      <c r="H1570">
        <f>IF(AND(资金台帐!K73&lt;&gt;"",资金台帐!K73=供应商对账单!$B$4,资金台帐!P73="应付",ISNUMBER(资金台帐!B73),资金台帐!B73&gt;=供应商对账单!$G$4,资金台帐!B73&lt;=供应商对账单!$I$4),资金台帐!B73+ROW()/100000,"")</f>
      </c>
      <c r="N1570">
        <f>IF(AND(ISNUMBER(出库明细!G1570),ISNUMBER(出库明细!E1570),ISNUMBER(出库明细!F1570)),IF(ABS(出库明细!G1570-出库明细!E1570*出库明细!F1570)&gt;0.005,1,0),0)</f>
        <v>0</v>
      </c>
    </row>
    <row r="1571">
      <c r="A1571">
        <f>IF(OR(出库明细!C571="",出库明细!D571=""),"",IF(OR(COUNTIFS(存条明细!$C$4:$C$1003,出库明细!C571,存条明细!$D$4:$D$1003,出库明细!D571)&gt;0,COUNTIFS(出库明细!$C$4:C571,出库明细!C571,出库明细!$D$4:D571,出库明细!D571)&gt;1),"",IFERROR(MATCH(出库明细!C571,总览汇总!$B$5:$B$304,0),900)*10000000+IFERROR(MATCH(出库明细!D571,基础资料!$E$5:$E$104,0),900)*10000+ROW()))</f>
      </c>
      <c r="F1571">
        <f>IF(AND(出库明细!C1571&lt;&gt;"",出库明细!C1571=客户对账单!$B$4,ISNUMBER(出库明细!B1571),出库明细!B1571&gt;=客户对账单!$G$4,出库明细!B1571&lt;=客户对账单!$I$4),出库明细!B1571+ROW()/100000,"")</f>
      </c>
      <c r="H1571">
        <f>IF(AND(资金台帐!K74&lt;&gt;"",资金台帐!K74=供应商对账单!$B$4,资金台帐!P74="应付",ISNUMBER(资金台帐!B74),资金台帐!B74&gt;=供应商对账单!$G$4,资金台帐!B74&lt;=供应商对账单!$I$4),资金台帐!B74+ROW()/100000,"")</f>
      </c>
      <c r="N1571">
        <f>IF(AND(ISNUMBER(出库明细!G1571),ISNUMBER(出库明细!E1571),ISNUMBER(出库明细!F1571)),IF(ABS(出库明细!G1571-出库明细!E1571*出库明细!F1571)&gt;0.005,1,0),0)</f>
        <v>0</v>
      </c>
    </row>
    <row r="1572">
      <c r="A1572">
        <f>IF(OR(出库明细!C572="",出库明细!D572=""),"",IF(OR(COUNTIFS(存条明细!$C$4:$C$1003,出库明细!C572,存条明细!$D$4:$D$1003,出库明细!D572)&gt;0,COUNTIFS(出库明细!$C$4:C572,出库明细!C572,出库明细!$D$4:D572,出库明细!D572)&gt;1),"",IFERROR(MATCH(出库明细!C572,总览汇总!$B$5:$B$304,0),900)*10000000+IFERROR(MATCH(出库明细!D572,基础资料!$E$5:$E$104,0),900)*10000+ROW()))</f>
      </c>
      <c r="F1572">
        <f>IF(AND(出库明细!C1572&lt;&gt;"",出库明细!C1572=客户对账单!$B$4,ISNUMBER(出库明细!B1572),出库明细!B1572&gt;=客户对账单!$G$4,出库明细!B1572&lt;=客户对账单!$I$4),出库明细!B1572+ROW()/100000,"")</f>
      </c>
      <c r="H1572">
        <f>IF(AND(资金台帐!K75&lt;&gt;"",资金台帐!K75=供应商对账单!$B$4,资金台帐!P75="应付",ISNUMBER(资金台帐!B75),资金台帐!B75&gt;=供应商对账单!$G$4,资金台帐!B75&lt;=供应商对账单!$I$4),资金台帐!B75+ROW()/100000,"")</f>
      </c>
      <c r="N1572">
        <f>IF(AND(ISNUMBER(出库明细!G1572),ISNUMBER(出库明细!E1572),ISNUMBER(出库明细!F1572)),IF(ABS(出库明细!G1572-出库明细!E1572*出库明细!F1572)&gt;0.005,1,0),0)</f>
        <v>0</v>
      </c>
    </row>
    <row r="1573">
      <c r="A1573">
        <f>IF(OR(出库明细!C573="",出库明细!D573=""),"",IF(OR(COUNTIFS(存条明细!$C$4:$C$1003,出库明细!C573,存条明细!$D$4:$D$1003,出库明细!D573)&gt;0,COUNTIFS(出库明细!$C$4:C573,出库明细!C573,出库明细!$D$4:D573,出库明细!D573)&gt;1),"",IFERROR(MATCH(出库明细!C573,总览汇总!$B$5:$B$304,0),900)*10000000+IFERROR(MATCH(出库明细!D573,基础资料!$E$5:$E$104,0),900)*10000+ROW()))</f>
      </c>
      <c r="F1573">
        <f>IF(AND(出库明细!C1573&lt;&gt;"",出库明细!C1573=客户对账单!$B$4,ISNUMBER(出库明细!B1573),出库明细!B1573&gt;=客户对账单!$G$4,出库明细!B1573&lt;=客户对账单!$I$4),出库明细!B1573+ROW()/100000,"")</f>
      </c>
      <c r="H1573">
        <f>IF(AND(资金台帐!K76&lt;&gt;"",资金台帐!K76=供应商对账单!$B$4,资金台帐!P76="应付",ISNUMBER(资金台帐!B76),资金台帐!B76&gt;=供应商对账单!$G$4,资金台帐!B76&lt;=供应商对账单!$I$4),资金台帐!B76+ROW()/100000,"")</f>
      </c>
      <c r="N1573">
        <f>IF(AND(ISNUMBER(出库明细!G1573),ISNUMBER(出库明细!E1573),ISNUMBER(出库明细!F1573)),IF(ABS(出库明细!G1573-出库明细!E1573*出库明细!F1573)&gt;0.005,1,0),0)</f>
        <v>0</v>
      </c>
    </row>
    <row r="1574">
      <c r="A1574">
        <f>IF(OR(出库明细!C574="",出库明细!D574=""),"",IF(OR(COUNTIFS(存条明细!$C$4:$C$1003,出库明细!C574,存条明细!$D$4:$D$1003,出库明细!D574)&gt;0,COUNTIFS(出库明细!$C$4:C574,出库明细!C574,出库明细!$D$4:D574,出库明细!D574)&gt;1),"",IFERROR(MATCH(出库明细!C574,总览汇总!$B$5:$B$304,0),900)*10000000+IFERROR(MATCH(出库明细!D574,基础资料!$E$5:$E$104,0),900)*10000+ROW()))</f>
      </c>
      <c r="F1574">
        <f>IF(AND(出库明细!C1574&lt;&gt;"",出库明细!C1574=客户对账单!$B$4,ISNUMBER(出库明细!B1574),出库明细!B1574&gt;=客户对账单!$G$4,出库明细!B1574&lt;=客户对账单!$I$4),出库明细!B1574+ROW()/100000,"")</f>
      </c>
      <c r="H1574">
        <f>IF(AND(资金台帐!K77&lt;&gt;"",资金台帐!K77=供应商对账单!$B$4,资金台帐!P77="应付",ISNUMBER(资金台帐!B77),资金台帐!B77&gt;=供应商对账单!$G$4,资金台帐!B77&lt;=供应商对账单!$I$4),资金台帐!B77+ROW()/100000,"")</f>
      </c>
      <c r="N1574">
        <f>IF(AND(ISNUMBER(出库明细!G1574),ISNUMBER(出库明细!E1574),ISNUMBER(出库明细!F1574)),IF(ABS(出库明细!G1574-出库明细!E1574*出库明细!F1574)&gt;0.005,1,0),0)</f>
        <v>0</v>
      </c>
    </row>
    <row r="1575">
      <c r="A1575">
        <f>IF(OR(出库明细!C575="",出库明细!D575=""),"",IF(OR(COUNTIFS(存条明细!$C$4:$C$1003,出库明细!C575,存条明细!$D$4:$D$1003,出库明细!D575)&gt;0,COUNTIFS(出库明细!$C$4:C575,出库明细!C575,出库明细!$D$4:D575,出库明细!D575)&gt;1),"",IFERROR(MATCH(出库明细!C575,总览汇总!$B$5:$B$304,0),900)*10000000+IFERROR(MATCH(出库明细!D575,基础资料!$E$5:$E$104,0),900)*10000+ROW()))</f>
      </c>
      <c r="F1575">
        <f>IF(AND(出库明细!C1575&lt;&gt;"",出库明细!C1575=客户对账单!$B$4,ISNUMBER(出库明细!B1575),出库明细!B1575&gt;=客户对账单!$G$4,出库明细!B1575&lt;=客户对账单!$I$4),出库明细!B1575+ROW()/100000,"")</f>
      </c>
      <c r="H1575">
        <f>IF(AND(资金台帐!K78&lt;&gt;"",资金台帐!K78=供应商对账单!$B$4,资金台帐!P78="应付",ISNUMBER(资金台帐!B78),资金台帐!B78&gt;=供应商对账单!$G$4,资金台帐!B78&lt;=供应商对账单!$I$4),资金台帐!B78+ROW()/100000,"")</f>
      </c>
      <c r="N1575">
        <f>IF(AND(ISNUMBER(出库明细!G1575),ISNUMBER(出库明细!E1575),ISNUMBER(出库明细!F1575)),IF(ABS(出库明细!G1575-出库明细!E1575*出库明细!F1575)&gt;0.005,1,0),0)</f>
        <v>0</v>
      </c>
    </row>
    <row r="1576">
      <c r="A1576">
        <f>IF(OR(出库明细!C576="",出库明细!D576=""),"",IF(OR(COUNTIFS(存条明细!$C$4:$C$1003,出库明细!C576,存条明细!$D$4:$D$1003,出库明细!D576)&gt;0,COUNTIFS(出库明细!$C$4:C576,出库明细!C576,出库明细!$D$4:D576,出库明细!D576)&gt;1),"",IFERROR(MATCH(出库明细!C576,总览汇总!$B$5:$B$304,0),900)*10000000+IFERROR(MATCH(出库明细!D576,基础资料!$E$5:$E$104,0),900)*10000+ROW()))</f>
      </c>
      <c r="F1576">
        <f>IF(AND(出库明细!C1576&lt;&gt;"",出库明细!C1576=客户对账单!$B$4,ISNUMBER(出库明细!B1576),出库明细!B1576&gt;=客户对账单!$G$4,出库明细!B1576&lt;=客户对账单!$I$4),出库明细!B1576+ROW()/100000,"")</f>
      </c>
      <c r="H1576">
        <f>IF(AND(资金台帐!K79&lt;&gt;"",资金台帐!K79=供应商对账单!$B$4,资金台帐!P79="应付",ISNUMBER(资金台帐!B79),资金台帐!B79&gt;=供应商对账单!$G$4,资金台帐!B79&lt;=供应商对账单!$I$4),资金台帐!B79+ROW()/100000,"")</f>
      </c>
      <c r="N1576">
        <f>IF(AND(ISNUMBER(出库明细!G1576),ISNUMBER(出库明细!E1576),ISNUMBER(出库明细!F1576)),IF(ABS(出库明细!G1576-出库明细!E1576*出库明细!F1576)&gt;0.005,1,0),0)</f>
        <v>0</v>
      </c>
    </row>
    <row r="1577">
      <c r="A1577">
        <f>IF(OR(出库明细!C577="",出库明细!D577=""),"",IF(OR(COUNTIFS(存条明细!$C$4:$C$1003,出库明细!C577,存条明细!$D$4:$D$1003,出库明细!D577)&gt;0,COUNTIFS(出库明细!$C$4:C577,出库明细!C577,出库明细!$D$4:D577,出库明细!D577)&gt;1),"",IFERROR(MATCH(出库明细!C577,总览汇总!$B$5:$B$304,0),900)*10000000+IFERROR(MATCH(出库明细!D577,基础资料!$E$5:$E$104,0),900)*10000+ROW()))</f>
      </c>
      <c r="F1577">
        <f>IF(AND(出库明细!C1577&lt;&gt;"",出库明细!C1577=客户对账单!$B$4,ISNUMBER(出库明细!B1577),出库明细!B1577&gt;=客户对账单!$G$4,出库明细!B1577&lt;=客户对账单!$I$4),出库明细!B1577+ROW()/100000,"")</f>
      </c>
      <c r="H1577">
        <f>IF(AND(资金台帐!K80&lt;&gt;"",资金台帐!K80=供应商对账单!$B$4,资金台帐!P80="应付",ISNUMBER(资金台帐!B80),资金台帐!B80&gt;=供应商对账单!$G$4,资金台帐!B80&lt;=供应商对账单!$I$4),资金台帐!B80+ROW()/100000,"")</f>
      </c>
      <c r="N1577">
        <f>IF(AND(ISNUMBER(出库明细!G1577),ISNUMBER(出库明细!E1577),ISNUMBER(出库明细!F1577)),IF(ABS(出库明细!G1577-出库明细!E1577*出库明细!F1577)&gt;0.005,1,0),0)</f>
        <v>0</v>
      </c>
    </row>
    <row r="1578">
      <c r="A1578">
        <f>IF(OR(出库明细!C578="",出库明细!D578=""),"",IF(OR(COUNTIFS(存条明细!$C$4:$C$1003,出库明细!C578,存条明细!$D$4:$D$1003,出库明细!D578)&gt;0,COUNTIFS(出库明细!$C$4:C578,出库明细!C578,出库明细!$D$4:D578,出库明细!D578)&gt;1),"",IFERROR(MATCH(出库明细!C578,总览汇总!$B$5:$B$304,0),900)*10000000+IFERROR(MATCH(出库明细!D578,基础资料!$E$5:$E$104,0),900)*10000+ROW()))</f>
      </c>
      <c r="F1578">
        <f>IF(AND(出库明细!C1578&lt;&gt;"",出库明细!C1578=客户对账单!$B$4,ISNUMBER(出库明细!B1578),出库明细!B1578&gt;=客户对账单!$G$4,出库明细!B1578&lt;=客户对账单!$I$4),出库明细!B1578+ROW()/100000,"")</f>
      </c>
      <c r="H1578">
        <f>IF(AND(资金台帐!K81&lt;&gt;"",资金台帐!K81=供应商对账单!$B$4,资金台帐!P81="应付",ISNUMBER(资金台帐!B81),资金台帐!B81&gt;=供应商对账单!$G$4,资金台帐!B81&lt;=供应商对账单!$I$4),资金台帐!B81+ROW()/100000,"")</f>
      </c>
      <c r="N1578">
        <f>IF(AND(ISNUMBER(出库明细!G1578),ISNUMBER(出库明细!E1578),ISNUMBER(出库明细!F1578)),IF(ABS(出库明细!G1578-出库明细!E1578*出库明细!F1578)&gt;0.005,1,0),0)</f>
        <v>0</v>
      </c>
    </row>
    <row r="1579">
      <c r="A1579">
        <f>IF(OR(出库明细!C579="",出库明细!D579=""),"",IF(OR(COUNTIFS(存条明细!$C$4:$C$1003,出库明细!C579,存条明细!$D$4:$D$1003,出库明细!D579)&gt;0,COUNTIFS(出库明细!$C$4:C579,出库明细!C579,出库明细!$D$4:D579,出库明细!D579)&gt;1),"",IFERROR(MATCH(出库明细!C579,总览汇总!$B$5:$B$304,0),900)*10000000+IFERROR(MATCH(出库明细!D579,基础资料!$E$5:$E$104,0),900)*10000+ROW()))</f>
      </c>
      <c r="F1579">
        <f>IF(AND(出库明细!C1579&lt;&gt;"",出库明细!C1579=客户对账单!$B$4,ISNUMBER(出库明细!B1579),出库明细!B1579&gt;=客户对账单!$G$4,出库明细!B1579&lt;=客户对账单!$I$4),出库明细!B1579+ROW()/100000,"")</f>
      </c>
      <c r="H1579">
        <f>IF(AND(资金台帐!K82&lt;&gt;"",资金台帐!K82=供应商对账单!$B$4,资金台帐!P82="应付",ISNUMBER(资金台帐!B82),资金台帐!B82&gt;=供应商对账单!$G$4,资金台帐!B82&lt;=供应商对账单!$I$4),资金台帐!B82+ROW()/100000,"")</f>
      </c>
      <c r="N1579">
        <f>IF(AND(ISNUMBER(出库明细!G1579),ISNUMBER(出库明细!E1579),ISNUMBER(出库明细!F1579)),IF(ABS(出库明细!G1579-出库明细!E1579*出库明细!F1579)&gt;0.005,1,0),0)</f>
        <v>0</v>
      </c>
    </row>
    <row r="1580">
      <c r="A1580">
        <f>IF(OR(出库明细!C580="",出库明细!D580=""),"",IF(OR(COUNTIFS(存条明细!$C$4:$C$1003,出库明细!C580,存条明细!$D$4:$D$1003,出库明细!D580)&gt;0,COUNTIFS(出库明细!$C$4:C580,出库明细!C580,出库明细!$D$4:D580,出库明细!D580)&gt;1),"",IFERROR(MATCH(出库明细!C580,总览汇总!$B$5:$B$304,0),900)*10000000+IFERROR(MATCH(出库明细!D580,基础资料!$E$5:$E$104,0),900)*10000+ROW()))</f>
      </c>
      <c r="F1580">
        <f>IF(AND(出库明细!C1580&lt;&gt;"",出库明细!C1580=客户对账单!$B$4,ISNUMBER(出库明细!B1580),出库明细!B1580&gt;=客户对账单!$G$4,出库明细!B1580&lt;=客户对账单!$I$4),出库明细!B1580+ROW()/100000,"")</f>
      </c>
      <c r="H1580">
        <f>IF(AND(资金台帐!K83&lt;&gt;"",资金台帐!K83=供应商对账单!$B$4,资金台帐!P83="应付",ISNUMBER(资金台帐!B83),资金台帐!B83&gt;=供应商对账单!$G$4,资金台帐!B83&lt;=供应商对账单!$I$4),资金台帐!B83+ROW()/100000,"")</f>
      </c>
      <c r="N1580">
        <f>IF(AND(ISNUMBER(出库明细!G1580),ISNUMBER(出库明细!E1580),ISNUMBER(出库明细!F1580)),IF(ABS(出库明细!G1580-出库明细!E1580*出库明细!F1580)&gt;0.005,1,0),0)</f>
        <v>0</v>
      </c>
    </row>
    <row r="1581">
      <c r="A1581">
        <f>IF(OR(出库明细!C581="",出库明细!D581=""),"",IF(OR(COUNTIFS(存条明细!$C$4:$C$1003,出库明细!C581,存条明细!$D$4:$D$1003,出库明细!D581)&gt;0,COUNTIFS(出库明细!$C$4:C581,出库明细!C581,出库明细!$D$4:D581,出库明细!D581)&gt;1),"",IFERROR(MATCH(出库明细!C581,总览汇总!$B$5:$B$304,0),900)*10000000+IFERROR(MATCH(出库明细!D581,基础资料!$E$5:$E$104,0),900)*10000+ROW()))</f>
      </c>
      <c r="F1581">
        <f>IF(AND(出库明细!C1581&lt;&gt;"",出库明细!C1581=客户对账单!$B$4,ISNUMBER(出库明细!B1581),出库明细!B1581&gt;=客户对账单!$G$4,出库明细!B1581&lt;=客户对账单!$I$4),出库明细!B1581+ROW()/100000,"")</f>
      </c>
      <c r="H1581">
        <f>IF(AND(资金台帐!K84&lt;&gt;"",资金台帐!K84=供应商对账单!$B$4,资金台帐!P84="应付",ISNUMBER(资金台帐!B84),资金台帐!B84&gt;=供应商对账单!$G$4,资金台帐!B84&lt;=供应商对账单!$I$4),资金台帐!B84+ROW()/100000,"")</f>
      </c>
      <c r="N1581">
        <f>IF(AND(ISNUMBER(出库明细!G1581),ISNUMBER(出库明细!E1581),ISNUMBER(出库明细!F1581)),IF(ABS(出库明细!G1581-出库明细!E1581*出库明细!F1581)&gt;0.005,1,0),0)</f>
        <v>0</v>
      </c>
    </row>
    <row r="1582">
      <c r="A1582">
        <f>IF(OR(出库明细!C582="",出库明细!D582=""),"",IF(OR(COUNTIFS(存条明细!$C$4:$C$1003,出库明细!C582,存条明细!$D$4:$D$1003,出库明细!D582)&gt;0,COUNTIFS(出库明细!$C$4:C582,出库明细!C582,出库明细!$D$4:D582,出库明细!D582)&gt;1),"",IFERROR(MATCH(出库明细!C582,总览汇总!$B$5:$B$304,0),900)*10000000+IFERROR(MATCH(出库明细!D582,基础资料!$E$5:$E$104,0),900)*10000+ROW()))</f>
      </c>
      <c r="F1582">
        <f>IF(AND(出库明细!C1582&lt;&gt;"",出库明细!C1582=客户对账单!$B$4,ISNUMBER(出库明细!B1582),出库明细!B1582&gt;=客户对账单!$G$4,出库明细!B1582&lt;=客户对账单!$I$4),出库明细!B1582+ROW()/100000,"")</f>
      </c>
      <c r="H1582">
        <f>IF(AND(资金台帐!K85&lt;&gt;"",资金台帐!K85=供应商对账单!$B$4,资金台帐!P85="应付",ISNUMBER(资金台帐!B85),资金台帐!B85&gt;=供应商对账单!$G$4,资金台帐!B85&lt;=供应商对账单!$I$4),资金台帐!B85+ROW()/100000,"")</f>
      </c>
      <c r="N1582">
        <f>IF(AND(ISNUMBER(出库明细!G1582),ISNUMBER(出库明细!E1582),ISNUMBER(出库明细!F1582)),IF(ABS(出库明细!G1582-出库明细!E1582*出库明细!F1582)&gt;0.005,1,0),0)</f>
        <v>0</v>
      </c>
    </row>
    <row r="1583">
      <c r="A1583">
        <f>IF(OR(出库明细!C583="",出库明细!D583=""),"",IF(OR(COUNTIFS(存条明细!$C$4:$C$1003,出库明细!C583,存条明细!$D$4:$D$1003,出库明细!D583)&gt;0,COUNTIFS(出库明细!$C$4:C583,出库明细!C583,出库明细!$D$4:D583,出库明细!D583)&gt;1),"",IFERROR(MATCH(出库明细!C583,总览汇总!$B$5:$B$304,0),900)*10000000+IFERROR(MATCH(出库明细!D583,基础资料!$E$5:$E$104,0),900)*10000+ROW()))</f>
      </c>
      <c r="F1583">
        <f>IF(AND(出库明细!C1583&lt;&gt;"",出库明细!C1583=客户对账单!$B$4,ISNUMBER(出库明细!B1583),出库明细!B1583&gt;=客户对账单!$G$4,出库明细!B1583&lt;=客户对账单!$I$4),出库明细!B1583+ROW()/100000,"")</f>
      </c>
      <c r="H1583">
        <f>IF(AND(资金台帐!K86&lt;&gt;"",资金台帐!K86=供应商对账单!$B$4,资金台帐!P86="应付",ISNUMBER(资金台帐!B86),资金台帐!B86&gt;=供应商对账单!$G$4,资金台帐!B86&lt;=供应商对账单!$I$4),资金台帐!B86+ROW()/100000,"")</f>
      </c>
      <c r="N1583">
        <f>IF(AND(ISNUMBER(出库明细!G1583),ISNUMBER(出库明细!E1583),ISNUMBER(出库明细!F1583)),IF(ABS(出库明细!G1583-出库明细!E1583*出库明细!F1583)&gt;0.005,1,0),0)</f>
        <v>0</v>
      </c>
    </row>
    <row r="1584">
      <c r="A1584">
        <f>IF(OR(出库明细!C584="",出库明细!D584=""),"",IF(OR(COUNTIFS(存条明细!$C$4:$C$1003,出库明细!C584,存条明细!$D$4:$D$1003,出库明细!D584)&gt;0,COUNTIFS(出库明细!$C$4:C584,出库明细!C584,出库明细!$D$4:D584,出库明细!D584)&gt;1),"",IFERROR(MATCH(出库明细!C584,总览汇总!$B$5:$B$304,0),900)*10000000+IFERROR(MATCH(出库明细!D584,基础资料!$E$5:$E$104,0),900)*10000+ROW()))</f>
      </c>
      <c r="F1584">
        <f>IF(AND(出库明细!C1584&lt;&gt;"",出库明细!C1584=客户对账单!$B$4,ISNUMBER(出库明细!B1584),出库明细!B1584&gt;=客户对账单!$G$4,出库明细!B1584&lt;=客户对账单!$I$4),出库明细!B1584+ROW()/100000,"")</f>
      </c>
      <c r="H1584">
        <f>IF(AND(资金台帐!K87&lt;&gt;"",资金台帐!K87=供应商对账单!$B$4,资金台帐!P87="应付",ISNUMBER(资金台帐!B87),资金台帐!B87&gt;=供应商对账单!$G$4,资金台帐!B87&lt;=供应商对账单!$I$4),资金台帐!B87+ROW()/100000,"")</f>
      </c>
      <c r="N1584">
        <f>IF(AND(ISNUMBER(出库明细!G1584),ISNUMBER(出库明细!E1584),ISNUMBER(出库明细!F1584)),IF(ABS(出库明细!G1584-出库明细!E1584*出库明细!F1584)&gt;0.005,1,0),0)</f>
        <v>0</v>
      </c>
    </row>
    <row r="1585">
      <c r="A1585">
        <f>IF(OR(出库明细!C585="",出库明细!D585=""),"",IF(OR(COUNTIFS(存条明细!$C$4:$C$1003,出库明细!C585,存条明细!$D$4:$D$1003,出库明细!D585)&gt;0,COUNTIFS(出库明细!$C$4:C585,出库明细!C585,出库明细!$D$4:D585,出库明细!D585)&gt;1),"",IFERROR(MATCH(出库明细!C585,总览汇总!$B$5:$B$304,0),900)*10000000+IFERROR(MATCH(出库明细!D585,基础资料!$E$5:$E$104,0),900)*10000+ROW()))</f>
      </c>
      <c r="F1585">
        <f>IF(AND(出库明细!C1585&lt;&gt;"",出库明细!C1585=客户对账单!$B$4,ISNUMBER(出库明细!B1585),出库明细!B1585&gt;=客户对账单!$G$4,出库明细!B1585&lt;=客户对账单!$I$4),出库明细!B1585+ROW()/100000,"")</f>
      </c>
      <c r="H1585">
        <f>IF(AND(资金台帐!K88&lt;&gt;"",资金台帐!K88=供应商对账单!$B$4,资金台帐!P88="应付",ISNUMBER(资金台帐!B88),资金台帐!B88&gt;=供应商对账单!$G$4,资金台帐!B88&lt;=供应商对账单!$I$4),资金台帐!B88+ROW()/100000,"")</f>
      </c>
      <c r="N1585">
        <f>IF(AND(ISNUMBER(出库明细!G1585),ISNUMBER(出库明细!E1585),ISNUMBER(出库明细!F1585)),IF(ABS(出库明细!G1585-出库明细!E1585*出库明细!F1585)&gt;0.005,1,0),0)</f>
        <v>0</v>
      </c>
    </row>
    <row r="1586">
      <c r="A1586">
        <f>IF(OR(出库明细!C586="",出库明细!D586=""),"",IF(OR(COUNTIFS(存条明细!$C$4:$C$1003,出库明细!C586,存条明细!$D$4:$D$1003,出库明细!D586)&gt;0,COUNTIFS(出库明细!$C$4:C586,出库明细!C586,出库明细!$D$4:D586,出库明细!D586)&gt;1),"",IFERROR(MATCH(出库明细!C586,总览汇总!$B$5:$B$304,0),900)*10000000+IFERROR(MATCH(出库明细!D586,基础资料!$E$5:$E$104,0),900)*10000+ROW()))</f>
      </c>
      <c r="F1586">
        <f>IF(AND(出库明细!C1586&lt;&gt;"",出库明细!C1586=客户对账单!$B$4,ISNUMBER(出库明细!B1586),出库明细!B1586&gt;=客户对账单!$G$4,出库明细!B1586&lt;=客户对账单!$I$4),出库明细!B1586+ROW()/100000,"")</f>
      </c>
      <c r="H1586">
        <f>IF(AND(资金台帐!K89&lt;&gt;"",资金台帐!K89=供应商对账单!$B$4,资金台帐!P89="应付",ISNUMBER(资金台帐!B89),资金台帐!B89&gt;=供应商对账单!$G$4,资金台帐!B89&lt;=供应商对账单!$I$4),资金台帐!B89+ROW()/100000,"")</f>
      </c>
      <c r="N1586">
        <f>IF(AND(ISNUMBER(出库明细!G1586),ISNUMBER(出库明细!E1586),ISNUMBER(出库明细!F1586)),IF(ABS(出库明细!G1586-出库明细!E1586*出库明细!F1586)&gt;0.005,1,0),0)</f>
        <v>0</v>
      </c>
    </row>
    <row r="1587">
      <c r="A1587">
        <f>IF(OR(出库明细!C587="",出库明细!D587=""),"",IF(OR(COUNTIFS(存条明细!$C$4:$C$1003,出库明细!C587,存条明细!$D$4:$D$1003,出库明细!D587)&gt;0,COUNTIFS(出库明细!$C$4:C587,出库明细!C587,出库明细!$D$4:D587,出库明细!D587)&gt;1),"",IFERROR(MATCH(出库明细!C587,总览汇总!$B$5:$B$304,0),900)*10000000+IFERROR(MATCH(出库明细!D587,基础资料!$E$5:$E$104,0),900)*10000+ROW()))</f>
      </c>
      <c r="F1587">
        <f>IF(AND(出库明细!C1587&lt;&gt;"",出库明细!C1587=客户对账单!$B$4,ISNUMBER(出库明细!B1587),出库明细!B1587&gt;=客户对账单!$G$4,出库明细!B1587&lt;=客户对账单!$I$4),出库明细!B1587+ROW()/100000,"")</f>
      </c>
      <c r="H1587">
        <f>IF(AND(资金台帐!K90&lt;&gt;"",资金台帐!K90=供应商对账单!$B$4,资金台帐!P90="应付",ISNUMBER(资金台帐!B90),资金台帐!B90&gt;=供应商对账单!$G$4,资金台帐!B90&lt;=供应商对账单!$I$4),资金台帐!B90+ROW()/100000,"")</f>
      </c>
      <c r="N1587">
        <f>IF(AND(ISNUMBER(出库明细!G1587),ISNUMBER(出库明细!E1587),ISNUMBER(出库明细!F1587)),IF(ABS(出库明细!G1587-出库明细!E1587*出库明细!F1587)&gt;0.005,1,0),0)</f>
        <v>0</v>
      </c>
    </row>
    <row r="1588">
      <c r="A1588">
        <f>IF(OR(出库明细!C588="",出库明细!D588=""),"",IF(OR(COUNTIFS(存条明细!$C$4:$C$1003,出库明细!C588,存条明细!$D$4:$D$1003,出库明细!D588)&gt;0,COUNTIFS(出库明细!$C$4:C588,出库明细!C588,出库明细!$D$4:D588,出库明细!D588)&gt;1),"",IFERROR(MATCH(出库明细!C588,总览汇总!$B$5:$B$304,0),900)*10000000+IFERROR(MATCH(出库明细!D588,基础资料!$E$5:$E$104,0),900)*10000+ROW()))</f>
      </c>
      <c r="F1588">
        <f>IF(AND(出库明细!C1588&lt;&gt;"",出库明细!C1588=客户对账单!$B$4,ISNUMBER(出库明细!B1588),出库明细!B1588&gt;=客户对账单!$G$4,出库明细!B1588&lt;=客户对账单!$I$4),出库明细!B1588+ROW()/100000,"")</f>
      </c>
      <c r="H1588">
        <f>IF(AND(资金台帐!K91&lt;&gt;"",资金台帐!K91=供应商对账单!$B$4,资金台帐!P91="应付",ISNUMBER(资金台帐!B91),资金台帐!B91&gt;=供应商对账单!$G$4,资金台帐!B91&lt;=供应商对账单!$I$4),资金台帐!B91+ROW()/100000,"")</f>
      </c>
      <c r="N1588">
        <f>IF(AND(ISNUMBER(出库明细!G1588),ISNUMBER(出库明细!E1588),ISNUMBER(出库明细!F1588)),IF(ABS(出库明细!G1588-出库明细!E1588*出库明细!F1588)&gt;0.005,1,0),0)</f>
        <v>0</v>
      </c>
    </row>
    <row r="1589">
      <c r="A1589">
        <f>IF(OR(出库明细!C589="",出库明细!D589=""),"",IF(OR(COUNTIFS(存条明细!$C$4:$C$1003,出库明细!C589,存条明细!$D$4:$D$1003,出库明细!D589)&gt;0,COUNTIFS(出库明细!$C$4:C589,出库明细!C589,出库明细!$D$4:D589,出库明细!D589)&gt;1),"",IFERROR(MATCH(出库明细!C589,总览汇总!$B$5:$B$304,0),900)*10000000+IFERROR(MATCH(出库明细!D589,基础资料!$E$5:$E$104,0),900)*10000+ROW()))</f>
      </c>
      <c r="F1589">
        <f>IF(AND(出库明细!C1589&lt;&gt;"",出库明细!C1589=客户对账单!$B$4,ISNUMBER(出库明细!B1589),出库明细!B1589&gt;=客户对账单!$G$4,出库明细!B1589&lt;=客户对账单!$I$4),出库明细!B1589+ROW()/100000,"")</f>
      </c>
      <c r="H1589">
        <f>IF(AND(资金台帐!K92&lt;&gt;"",资金台帐!K92=供应商对账单!$B$4,资金台帐!P92="应付",ISNUMBER(资金台帐!B92),资金台帐!B92&gt;=供应商对账单!$G$4,资金台帐!B92&lt;=供应商对账单!$I$4),资金台帐!B92+ROW()/100000,"")</f>
      </c>
      <c r="N1589">
        <f>IF(AND(ISNUMBER(出库明细!G1589),ISNUMBER(出库明细!E1589),ISNUMBER(出库明细!F1589)),IF(ABS(出库明细!G1589-出库明细!E1589*出库明细!F1589)&gt;0.005,1,0),0)</f>
        <v>0</v>
      </c>
    </row>
    <row r="1590">
      <c r="A1590">
        <f>IF(OR(出库明细!C590="",出库明细!D590=""),"",IF(OR(COUNTIFS(存条明细!$C$4:$C$1003,出库明细!C590,存条明细!$D$4:$D$1003,出库明细!D590)&gt;0,COUNTIFS(出库明细!$C$4:C590,出库明细!C590,出库明细!$D$4:D590,出库明细!D590)&gt;1),"",IFERROR(MATCH(出库明细!C590,总览汇总!$B$5:$B$304,0),900)*10000000+IFERROR(MATCH(出库明细!D590,基础资料!$E$5:$E$104,0),900)*10000+ROW()))</f>
      </c>
      <c r="F1590">
        <f>IF(AND(出库明细!C1590&lt;&gt;"",出库明细!C1590=客户对账单!$B$4,ISNUMBER(出库明细!B1590),出库明细!B1590&gt;=客户对账单!$G$4,出库明细!B1590&lt;=客户对账单!$I$4),出库明细!B1590+ROW()/100000,"")</f>
      </c>
      <c r="H1590">
        <f>IF(AND(资金台帐!K93&lt;&gt;"",资金台帐!K93=供应商对账单!$B$4,资金台帐!P93="应付",ISNUMBER(资金台帐!B93),资金台帐!B93&gt;=供应商对账单!$G$4,资金台帐!B93&lt;=供应商对账单!$I$4),资金台帐!B93+ROW()/100000,"")</f>
      </c>
      <c r="N1590">
        <f>IF(AND(ISNUMBER(出库明细!G1590),ISNUMBER(出库明细!E1590),ISNUMBER(出库明细!F1590)),IF(ABS(出库明细!G1590-出库明细!E1590*出库明细!F1590)&gt;0.005,1,0),0)</f>
        <v>0</v>
      </c>
    </row>
    <row r="1591">
      <c r="A1591">
        <f>IF(OR(出库明细!C591="",出库明细!D591=""),"",IF(OR(COUNTIFS(存条明细!$C$4:$C$1003,出库明细!C591,存条明细!$D$4:$D$1003,出库明细!D591)&gt;0,COUNTIFS(出库明细!$C$4:C591,出库明细!C591,出库明细!$D$4:D591,出库明细!D591)&gt;1),"",IFERROR(MATCH(出库明细!C591,总览汇总!$B$5:$B$304,0),900)*10000000+IFERROR(MATCH(出库明细!D591,基础资料!$E$5:$E$104,0),900)*10000+ROW()))</f>
      </c>
      <c r="F1591">
        <f>IF(AND(出库明细!C1591&lt;&gt;"",出库明细!C1591=客户对账单!$B$4,ISNUMBER(出库明细!B1591),出库明细!B1591&gt;=客户对账单!$G$4,出库明细!B1591&lt;=客户对账单!$I$4),出库明细!B1591+ROW()/100000,"")</f>
      </c>
      <c r="H1591">
        <f>IF(AND(资金台帐!K94&lt;&gt;"",资金台帐!K94=供应商对账单!$B$4,资金台帐!P94="应付",ISNUMBER(资金台帐!B94),资金台帐!B94&gt;=供应商对账单!$G$4,资金台帐!B94&lt;=供应商对账单!$I$4),资金台帐!B94+ROW()/100000,"")</f>
      </c>
      <c r="N1591">
        <f>IF(AND(ISNUMBER(出库明细!G1591),ISNUMBER(出库明细!E1591),ISNUMBER(出库明细!F1591)),IF(ABS(出库明细!G1591-出库明细!E1591*出库明细!F1591)&gt;0.005,1,0),0)</f>
        <v>0</v>
      </c>
    </row>
    <row r="1592">
      <c r="A1592">
        <f>IF(OR(出库明细!C592="",出库明细!D592=""),"",IF(OR(COUNTIFS(存条明细!$C$4:$C$1003,出库明细!C592,存条明细!$D$4:$D$1003,出库明细!D592)&gt;0,COUNTIFS(出库明细!$C$4:C592,出库明细!C592,出库明细!$D$4:D592,出库明细!D592)&gt;1),"",IFERROR(MATCH(出库明细!C592,总览汇总!$B$5:$B$304,0),900)*10000000+IFERROR(MATCH(出库明细!D592,基础资料!$E$5:$E$104,0),900)*10000+ROW()))</f>
      </c>
      <c r="F1592">
        <f>IF(AND(出库明细!C1592&lt;&gt;"",出库明细!C1592=客户对账单!$B$4,ISNUMBER(出库明细!B1592),出库明细!B1592&gt;=客户对账单!$G$4,出库明细!B1592&lt;=客户对账单!$I$4),出库明细!B1592+ROW()/100000,"")</f>
      </c>
      <c r="H1592">
        <f>IF(AND(资金台帐!K95&lt;&gt;"",资金台帐!K95=供应商对账单!$B$4,资金台帐!P95="应付",ISNUMBER(资金台帐!B95),资金台帐!B95&gt;=供应商对账单!$G$4,资金台帐!B95&lt;=供应商对账单!$I$4),资金台帐!B95+ROW()/100000,"")</f>
      </c>
      <c r="N1592">
        <f>IF(AND(ISNUMBER(出库明细!G1592),ISNUMBER(出库明细!E1592),ISNUMBER(出库明细!F1592)),IF(ABS(出库明细!G1592-出库明细!E1592*出库明细!F1592)&gt;0.005,1,0),0)</f>
        <v>0</v>
      </c>
    </row>
    <row r="1593">
      <c r="A1593">
        <f>IF(OR(出库明细!C593="",出库明细!D593=""),"",IF(OR(COUNTIFS(存条明细!$C$4:$C$1003,出库明细!C593,存条明细!$D$4:$D$1003,出库明细!D593)&gt;0,COUNTIFS(出库明细!$C$4:C593,出库明细!C593,出库明细!$D$4:D593,出库明细!D593)&gt;1),"",IFERROR(MATCH(出库明细!C593,总览汇总!$B$5:$B$304,0),900)*10000000+IFERROR(MATCH(出库明细!D593,基础资料!$E$5:$E$104,0),900)*10000+ROW()))</f>
      </c>
      <c r="F1593">
        <f>IF(AND(出库明细!C1593&lt;&gt;"",出库明细!C1593=客户对账单!$B$4,ISNUMBER(出库明细!B1593),出库明细!B1593&gt;=客户对账单!$G$4,出库明细!B1593&lt;=客户对账单!$I$4),出库明细!B1593+ROW()/100000,"")</f>
      </c>
      <c r="H1593">
        <f>IF(AND(资金台帐!K96&lt;&gt;"",资金台帐!K96=供应商对账单!$B$4,资金台帐!P96="应付",ISNUMBER(资金台帐!B96),资金台帐!B96&gt;=供应商对账单!$G$4,资金台帐!B96&lt;=供应商对账单!$I$4),资金台帐!B96+ROW()/100000,"")</f>
      </c>
      <c r="N1593">
        <f>IF(AND(ISNUMBER(出库明细!G1593),ISNUMBER(出库明细!E1593),ISNUMBER(出库明细!F1593)),IF(ABS(出库明细!G1593-出库明细!E1593*出库明细!F1593)&gt;0.005,1,0),0)</f>
        <v>0</v>
      </c>
    </row>
    <row r="1594">
      <c r="A1594">
        <f>IF(OR(出库明细!C594="",出库明细!D594=""),"",IF(OR(COUNTIFS(存条明细!$C$4:$C$1003,出库明细!C594,存条明细!$D$4:$D$1003,出库明细!D594)&gt;0,COUNTIFS(出库明细!$C$4:C594,出库明细!C594,出库明细!$D$4:D594,出库明细!D594)&gt;1),"",IFERROR(MATCH(出库明细!C594,总览汇总!$B$5:$B$304,0),900)*10000000+IFERROR(MATCH(出库明细!D594,基础资料!$E$5:$E$104,0),900)*10000+ROW()))</f>
      </c>
      <c r="F1594">
        <f>IF(AND(出库明细!C1594&lt;&gt;"",出库明细!C1594=客户对账单!$B$4,ISNUMBER(出库明细!B1594),出库明细!B1594&gt;=客户对账单!$G$4,出库明细!B1594&lt;=客户对账单!$I$4),出库明细!B1594+ROW()/100000,"")</f>
      </c>
      <c r="H1594">
        <f>IF(AND(资金台帐!K97&lt;&gt;"",资金台帐!K97=供应商对账单!$B$4,资金台帐!P97="应付",ISNUMBER(资金台帐!B97),资金台帐!B97&gt;=供应商对账单!$G$4,资金台帐!B97&lt;=供应商对账单!$I$4),资金台帐!B97+ROW()/100000,"")</f>
      </c>
      <c r="N1594">
        <f>IF(AND(ISNUMBER(出库明细!G1594),ISNUMBER(出库明细!E1594),ISNUMBER(出库明细!F1594)),IF(ABS(出库明细!G1594-出库明细!E1594*出库明细!F1594)&gt;0.005,1,0),0)</f>
        <v>0</v>
      </c>
    </row>
    <row r="1595">
      <c r="A1595">
        <f>IF(OR(出库明细!C595="",出库明细!D595=""),"",IF(OR(COUNTIFS(存条明细!$C$4:$C$1003,出库明细!C595,存条明细!$D$4:$D$1003,出库明细!D595)&gt;0,COUNTIFS(出库明细!$C$4:C595,出库明细!C595,出库明细!$D$4:D595,出库明细!D595)&gt;1),"",IFERROR(MATCH(出库明细!C595,总览汇总!$B$5:$B$304,0),900)*10000000+IFERROR(MATCH(出库明细!D595,基础资料!$E$5:$E$104,0),900)*10000+ROW()))</f>
      </c>
      <c r="F1595">
        <f>IF(AND(出库明细!C1595&lt;&gt;"",出库明细!C1595=客户对账单!$B$4,ISNUMBER(出库明细!B1595),出库明细!B1595&gt;=客户对账单!$G$4,出库明细!B1595&lt;=客户对账单!$I$4),出库明细!B1595+ROW()/100000,"")</f>
      </c>
      <c r="H1595">
        <f>IF(AND(资金台帐!K98&lt;&gt;"",资金台帐!K98=供应商对账单!$B$4,资金台帐!P98="应付",ISNUMBER(资金台帐!B98),资金台帐!B98&gt;=供应商对账单!$G$4,资金台帐!B98&lt;=供应商对账单!$I$4),资金台帐!B98+ROW()/100000,"")</f>
      </c>
      <c r="N1595">
        <f>IF(AND(ISNUMBER(出库明细!G1595),ISNUMBER(出库明细!E1595),ISNUMBER(出库明细!F1595)),IF(ABS(出库明细!G1595-出库明细!E1595*出库明细!F1595)&gt;0.005,1,0),0)</f>
        <v>0</v>
      </c>
    </row>
    <row r="1596">
      <c r="A1596">
        <f>IF(OR(出库明细!C596="",出库明细!D596=""),"",IF(OR(COUNTIFS(存条明细!$C$4:$C$1003,出库明细!C596,存条明细!$D$4:$D$1003,出库明细!D596)&gt;0,COUNTIFS(出库明细!$C$4:C596,出库明细!C596,出库明细!$D$4:D596,出库明细!D596)&gt;1),"",IFERROR(MATCH(出库明细!C596,总览汇总!$B$5:$B$304,0),900)*10000000+IFERROR(MATCH(出库明细!D596,基础资料!$E$5:$E$104,0),900)*10000+ROW()))</f>
      </c>
      <c r="F1596">
        <f>IF(AND(出库明细!C1596&lt;&gt;"",出库明细!C1596=客户对账单!$B$4,ISNUMBER(出库明细!B1596),出库明细!B1596&gt;=客户对账单!$G$4,出库明细!B1596&lt;=客户对账单!$I$4),出库明细!B1596+ROW()/100000,"")</f>
      </c>
      <c r="H1596">
        <f>IF(AND(资金台帐!K99&lt;&gt;"",资金台帐!K99=供应商对账单!$B$4,资金台帐!P99="应付",ISNUMBER(资金台帐!B99),资金台帐!B99&gt;=供应商对账单!$G$4,资金台帐!B99&lt;=供应商对账单!$I$4),资金台帐!B99+ROW()/100000,"")</f>
      </c>
      <c r="N1596">
        <f>IF(AND(ISNUMBER(出库明细!G1596),ISNUMBER(出库明细!E1596),ISNUMBER(出库明细!F1596)),IF(ABS(出库明细!G1596-出库明细!E1596*出库明细!F1596)&gt;0.005,1,0),0)</f>
        <v>0</v>
      </c>
    </row>
    <row r="1597">
      <c r="A1597">
        <f>IF(OR(出库明细!C597="",出库明细!D597=""),"",IF(OR(COUNTIFS(存条明细!$C$4:$C$1003,出库明细!C597,存条明细!$D$4:$D$1003,出库明细!D597)&gt;0,COUNTIFS(出库明细!$C$4:C597,出库明细!C597,出库明细!$D$4:D597,出库明细!D597)&gt;1),"",IFERROR(MATCH(出库明细!C597,总览汇总!$B$5:$B$304,0),900)*10000000+IFERROR(MATCH(出库明细!D597,基础资料!$E$5:$E$104,0),900)*10000+ROW()))</f>
      </c>
      <c r="F1597">
        <f>IF(AND(出库明细!C1597&lt;&gt;"",出库明细!C1597=客户对账单!$B$4,ISNUMBER(出库明细!B1597),出库明细!B1597&gt;=客户对账单!$G$4,出库明细!B1597&lt;=客户对账单!$I$4),出库明细!B1597+ROW()/100000,"")</f>
      </c>
      <c r="H1597">
        <f>IF(AND(资金台帐!K100&lt;&gt;"",资金台帐!K100=供应商对账单!$B$4,资金台帐!P100="应付",ISNUMBER(资金台帐!B100),资金台帐!B100&gt;=供应商对账单!$G$4,资金台帐!B100&lt;=供应商对账单!$I$4),资金台帐!B100+ROW()/100000,"")</f>
      </c>
      <c r="N1597">
        <f>IF(AND(ISNUMBER(出库明细!G1597),ISNUMBER(出库明细!E1597),ISNUMBER(出库明细!F1597)),IF(ABS(出库明细!G1597-出库明细!E1597*出库明细!F1597)&gt;0.005,1,0),0)</f>
        <v>0</v>
      </c>
    </row>
    <row r="1598">
      <c r="A1598">
        <f>IF(OR(出库明细!C598="",出库明细!D598=""),"",IF(OR(COUNTIFS(存条明细!$C$4:$C$1003,出库明细!C598,存条明细!$D$4:$D$1003,出库明细!D598)&gt;0,COUNTIFS(出库明细!$C$4:C598,出库明细!C598,出库明细!$D$4:D598,出库明细!D598)&gt;1),"",IFERROR(MATCH(出库明细!C598,总览汇总!$B$5:$B$304,0),900)*10000000+IFERROR(MATCH(出库明细!D598,基础资料!$E$5:$E$104,0),900)*10000+ROW()))</f>
      </c>
      <c r="F1598">
        <f>IF(AND(出库明细!C1598&lt;&gt;"",出库明细!C1598=客户对账单!$B$4,ISNUMBER(出库明细!B1598),出库明细!B1598&gt;=客户对账单!$G$4,出库明细!B1598&lt;=客户对账单!$I$4),出库明细!B1598+ROW()/100000,"")</f>
      </c>
      <c r="H1598">
        <f>IF(AND(资金台帐!K101&lt;&gt;"",资金台帐!K101=供应商对账单!$B$4,资金台帐!P101="应付",ISNUMBER(资金台帐!B101),资金台帐!B101&gt;=供应商对账单!$G$4,资金台帐!B101&lt;=供应商对账单!$I$4),资金台帐!B101+ROW()/100000,"")</f>
      </c>
      <c r="N1598">
        <f>IF(AND(ISNUMBER(出库明细!G1598),ISNUMBER(出库明细!E1598),ISNUMBER(出库明细!F1598)),IF(ABS(出库明细!G1598-出库明细!E1598*出库明细!F1598)&gt;0.005,1,0),0)</f>
        <v>0</v>
      </c>
    </row>
    <row r="1599">
      <c r="A1599">
        <f>IF(OR(出库明细!C599="",出库明细!D599=""),"",IF(OR(COUNTIFS(存条明细!$C$4:$C$1003,出库明细!C599,存条明细!$D$4:$D$1003,出库明细!D599)&gt;0,COUNTIFS(出库明细!$C$4:C599,出库明细!C599,出库明细!$D$4:D599,出库明细!D599)&gt;1),"",IFERROR(MATCH(出库明细!C599,总览汇总!$B$5:$B$304,0),900)*10000000+IFERROR(MATCH(出库明细!D599,基础资料!$E$5:$E$104,0),900)*10000+ROW()))</f>
      </c>
      <c r="F1599">
        <f>IF(AND(出库明细!C1599&lt;&gt;"",出库明细!C1599=客户对账单!$B$4,ISNUMBER(出库明细!B1599),出库明细!B1599&gt;=客户对账单!$G$4,出库明细!B1599&lt;=客户对账单!$I$4),出库明细!B1599+ROW()/100000,"")</f>
      </c>
      <c r="H1599">
        <f>IF(AND(资金台帐!K102&lt;&gt;"",资金台帐!K102=供应商对账单!$B$4,资金台帐!P102="应付",ISNUMBER(资金台帐!B102),资金台帐!B102&gt;=供应商对账单!$G$4,资金台帐!B102&lt;=供应商对账单!$I$4),资金台帐!B102+ROW()/100000,"")</f>
      </c>
      <c r="N1599">
        <f>IF(AND(ISNUMBER(出库明细!G1599),ISNUMBER(出库明细!E1599),ISNUMBER(出库明细!F1599)),IF(ABS(出库明细!G1599-出库明细!E1599*出库明细!F1599)&gt;0.005,1,0),0)</f>
        <v>0</v>
      </c>
    </row>
    <row r="1600">
      <c r="A1600">
        <f>IF(OR(出库明细!C600="",出库明细!D600=""),"",IF(OR(COUNTIFS(存条明细!$C$4:$C$1003,出库明细!C600,存条明细!$D$4:$D$1003,出库明细!D600)&gt;0,COUNTIFS(出库明细!$C$4:C600,出库明细!C600,出库明细!$D$4:D600,出库明细!D600)&gt;1),"",IFERROR(MATCH(出库明细!C600,总览汇总!$B$5:$B$304,0),900)*10000000+IFERROR(MATCH(出库明细!D600,基础资料!$E$5:$E$104,0),900)*10000+ROW()))</f>
      </c>
      <c r="F1600">
        <f>IF(AND(出库明细!C1600&lt;&gt;"",出库明细!C1600=客户对账单!$B$4,ISNUMBER(出库明细!B1600),出库明细!B1600&gt;=客户对账单!$G$4,出库明细!B1600&lt;=客户对账单!$I$4),出库明细!B1600+ROW()/100000,"")</f>
      </c>
      <c r="H1600">
        <f>IF(AND(资金台帐!K103&lt;&gt;"",资金台帐!K103=供应商对账单!$B$4,资金台帐!P103="应付",ISNUMBER(资金台帐!B103),资金台帐!B103&gt;=供应商对账单!$G$4,资金台帐!B103&lt;=供应商对账单!$I$4),资金台帐!B103+ROW()/100000,"")</f>
      </c>
      <c r="N1600">
        <f>IF(AND(ISNUMBER(出库明细!G1600),ISNUMBER(出库明细!E1600),ISNUMBER(出库明细!F1600)),IF(ABS(出库明细!G1600-出库明细!E1600*出库明细!F1600)&gt;0.005,1,0),0)</f>
        <v>0</v>
      </c>
    </row>
    <row r="1601">
      <c r="A1601">
        <f>IF(OR(出库明细!C601="",出库明细!D601=""),"",IF(OR(COUNTIFS(存条明细!$C$4:$C$1003,出库明细!C601,存条明细!$D$4:$D$1003,出库明细!D601)&gt;0,COUNTIFS(出库明细!$C$4:C601,出库明细!C601,出库明细!$D$4:D601,出库明细!D601)&gt;1),"",IFERROR(MATCH(出库明细!C601,总览汇总!$B$5:$B$304,0),900)*10000000+IFERROR(MATCH(出库明细!D601,基础资料!$E$5:$E$104,0),900)*10000+ROW()))</f>
      </c>
      <c r="F1601">
        <f>IF(AND(出库明细!C1601&lt;&gt;"",出库明细!C1601=客户对账单!$B$4,ISNUMBER(出库明细!B1601),出库明细!B1601&gt;=客户对账单!$G$4,出库明细!B1601&lt;=客户对账单!$I$4),出库明细!B1601+ROW()/100000,"")</f>
      </c>
      <c r="H1601">
        <f>IF(AND(资金台帐!K104&lt;&gt;"",资金台帐!K104=供应商对账单!$B$4,资金台帐!P104="应付",ISNUMBER(资金台帐!B104),资金台帐!B104&gt;=供应商对账单!$G$4,资金台帐!B104&lt;=供应商对账单!$I$4),资金台帐!B104+ROW()/100000,"")</f>
      </c>
      <c r="N1601">
        <f>IF(AND(ISNUMBER(出库明细!G1601),ISNUMBER(出库明细!E1601),ISNUMBER(出库明细!F1601)),IF(ABS(出库明细!G1601-出库明细!E1601*出库明细!F1601)&gt;0.005,1,0),0)</f>
        <v>0</v>
      </c>
    </row>
    <row r="1602">
      <c r="A1602">
        <f>IF(OR(出库明细!C602="",出库明细!D602=""),"",IF(OR(COUNTIFS(存条明细!$C$4:$C$1003,出库明细!C602,存条明细!$D$4:$D$1003,出库明细!D602)&gt;0,COUNTIFS(出库明细!$C$4:C602,出库明细!C602,出库明细!$D$4:D602,出库明细!D602)&gt;1),"",IFERROR(MATCH(出库明细!C602,总览汇总!$B$5:$B$304,0),900)*10000000+IFERROR(MATCH(出库明细!D602,基础资料!$E$5:$E$104,0),900)*10000+ROW()))</f>
      </c>
      <c r="F1602">
        <f>IF(AND(出库明细!C1602&lt;&gt;"",出库明细!C1602=客户对账单!$B$4,ISNUMBER(出库明细!B1602),出库明细!B1602&gt;=客户对账单!$G$4,出库明细!B1602&lt;=客户对账单!$I$4),出库明细!B1602+ROW()/100000,"")</f>
      </c>
      <c r="H1602">
        <f>IF(AND(资金台帐!K105&lt;&gt;"",资金台帐!K105=供应商对账单!$B$4,资金台帐!P105="应付",ISNUMBER(资金台帐!B105),资金台帐!B105&gt;=供应商对账单!$G$4,资金台帐!B105&lt;=供应商对账单!$I$4),资金台帐!B105+ROW()/100000,"")</f>
      </c>
      <c r="N1602">
        <f>IF(AND(ISNUMBER(出库明细!G1602),ISNUMBER(出库明细!E1602),ISNUMBER(出库明细!F1602)),IF(ABS(出库明细!G1602-出库明细!E1602*出库明细!F1602)&gt;0.005,1,0),0)</f>
        <v>0</v>
      </c>
    </row>
    <row r="1603">
      <c r="A1603">
        <f>IF(OR(出库明细!C603="",出库明细!D603=""),"",IF(OR(COUNTIFS(存条明细!$C$4:$C$1003,出库明细!C603,存条明细!$D$4:$D$1003,出库明细!D603)&gt;0,COUNTIFS(出库明细!$C$4:C603,出库明细!C603,出库明细!$D$4:D603,出库明细!D603)&gt;1),"",IFERROR(MATCH(出库明细!C603,总览汇总!$B$5:$B$304,0),900)*10000000+IFERROR(MATCH(出库明细!D603,基础资料!$E$5:$E$104,0),900)*10000+ROW()))</f>
      </c>
      <c r="F1603">
        <f>IF(AND(出库明细!C1603&lt;&gt;"",出库明细!C1603=客户对账单!$B$4,ISNUMBER(出库明细!B1603),出库明细!B1603&gt;=客户对账单!$G$4,出库明细!B1603&lt;=客户对账单!$I$4),出库明细!B1603+ROW()/100000,"")</f>
      </c>
      <c r="H1603">
        <f>IF(AND(资金台帐!K106&lt;&gt;"",资金台帐!K106=供应商对账单!$B$4,资金台帐!P106="应付",ISNUMBER(资金台帐!B106),资金台帐!B106&gt;=供应商对账单!$G$4,资金台帐!B106&lt;=供应商对账单!$I$4),资金台帐!B106+ROW()/100000,"")</f>
      </c>
      <c r="N1603">
        <f>IF(AND(ISNUMBER(出库明细!G1603),ISNUMBER(出库明细!E1603),ISNUMBER(出库明细!F1603)),IF(ABS(出库明细!G1603-出库明细!E1603*出库明细!F1603)&gt;0.005,1,0),0)</f>
        <v>0</v>
      </c>
    </row>
    <row r="1604">
      <c r="A1604">
        <f>IF(OR(出库明细!C604="",出库明细!D604=""),"",IF(OR(COUNTIFS(存条明细!$C$4:$C$1003,出库明细!C604,存条明细!$D$4:$D$1003,出库明细!D604)&gt;0,COUNTIFS(出库明细!$C$4:C604,出库明细!C604,出库明细!$D$4:D604,出库明细!D604)&gt;1),"",IFERROR(MATCH(出库明细!C604,总览汇总!$B$5:$B$304,0),900)*10000000+IFERROR(MATCH(出库明细!D604,基础资料!$E$5:$E$104,0),900)*10000+ROW()))</f>
      </c>
      <c r="F1604">
        <f>IF(AND(出库明细!C1604&lt;&gt;"",出库明细!C1604=客户对账单!$B$4,ISNUMBER(出库明细!B1604),出库明细!B1604&gt;=客户对账单!$G$4,出库明细!B1604&lt;=客户对账单!$I$4),出库明细!B1604+ROW()/100000,"")</f>
      </c>
      <c r="H1604">
        <f>IF(AND(资金台帐!K107&lt;&gt;"",资金台帐!K107=供应商对账单!$B$4,资金台帐!P107="应付",ISNUMBER(资金台帐!B107),资金台帐!B107&gt;=供应商对账单!$G$4,资金台帐!B107&lt;=供应商对账单!$I$4),资金台帐!B107+ROW()/100000,"")</f>
      </c>
      <c r="N1604">
        <f>IF(AND(ISNUMBER(出库明细!G1604),ISNUMBER(出库明细!E1604),ISNUMBER(出库明细!F1604)),IF(ABS(出库明细!G1604-出库明细!E1604*出库明细!F1604)&gt;0.005,1,0),0)</f>
        <v>0</v>
      </c>
    </row>
    <row r="1605">
      <c r="A1605">
        <f>IF(OR(出库明细!C605="",出库明细!D605=""),"",IF(OR(COUNTIFS(存条明细!$C$4:$C$1003,出库明细!C605,存条明细!$D$4:$D$1003,出库明细!D605)&gt;0,COUNTIFS(出库明细!$C$4:C605,出库明细!C605,出库明细!$D$4:D605,出库明细!D605)&gt;1),"",IFERROR(MATCH(出库明细!C605,总览汇总!$B$5:$B$304,0),900)*10000000+IFERROR(MATCH(出库明细!D605,基础资料!$E$5:$E$104,0),900)*10000+ROW()))</f>
      </c>
      <c r="F1605">
        <f>IF(AND(出库明细!C1605&lt;&gt;"",出库明细!C1605=客户对账单!$B$4,ISNUMBER(出库明细!B1605),出库明细!B1605&gt;=客户对账单!$G$4,出库明细!B1605&lt;=客户对账单!$I$4),出库明细!B1605+ROW()/100000,"")</f>
      </c>
      <c r="H1605">
        <f>IF(AND(资金台帐!K108&lt;&gt;"",资金台帐!K108=供应商对账单!$B$4,资金台帐!P108="应付",ISNUMBER(资金台帐!B108),资金台帐!B108&gt;=供应商对账单!$G$4,资金台帐!B108&lt;=供应商对账单!$I$4),资金台帐!B108+ROW()/100000,"")</f>
      </c>
      <c r="N1605">
        <f>IF(AND(ISNUMBER(出库明细!G1605),ISNUMBER(出库明细!E1605),ISNUMBER(出库明细!F1605)),IF(ABS(出库明细!G1605-出库明细!E1605*出库明细!F1605)&gt;0.005,1,0),0)</f>
        <v>0</v>
      </c>
    </row>
    <row r="1606">
      <c r="A1606">
        <f>IF(OR(出库明细!C606="",出库明细!D606=""),"",IF(OR(COUNTIFS(存条明细!$C$4:$C$1003,出库明细!C606,存条明细!$D$4:$D$1003,出库明细!D606)&gt;0,COUNTIFS(出库明细!$C$4:C606,出库明细!C606,出库明细!$D$4:D606,出库明细!D606)&gt;1),"",IFERROR(MATCH(出库明细!C606,总览汇总!$B$5:$B$304,0),900)*10000000+IFERROR(MATCH(出库明细!D606,基础资料!$E$5:$E$104,0),900)*10000+ROW()))</f>
      </c>
      <c r="F1606">
        <f>IF(AND(出库明细!C1606&lt;&gt;"",出库明细!C1606=客户对账单!$B$4,ISNUMBER(出库明细!B1606),出库明细!B1606&gt;=客户对账单!$G$4,出库明细!B1606&lt;=客户对账单!$I$4),出库明细!B1606+ROW()/100000,"")</f>
      </c>
      <c r="H1606">
        <f>IF(AND(资金台帐!K109&lt;&gt;"",资金台帐!K109=供应商对账单!$B$4,资金台帐!P109="应付",ISNUMBER(资金台帐!B109),资金台帐!B109&gt;=供应商对账单!$G$4,资金台帐!B109&lt;=供应商对账单!$I$4),资金台帐!B109+ROW()/100000,"")</f>
      </c>
      <c r="N1606">
        <f>IF(AND(ISNUMBER(出库明细!G1606),ISNUMBER(出库明细!E1606),ISNUMBER(出库明细!F1606)),IF(ABS(出库明细!G1606-出库明细!E1606*出库明细!F1606)&gt;0.005,1,0),0)</f>
        <v>0</v>
      </c>
    </row>
    <row r="1607">
      <c r="A1607">
        <f>IF(OR(出库明细!C607="",出库明细!D607=""),"",IF(OR(COUNTIFS(存条明细!$C$4:$C$1003,出库明细!C607,存条明细!$D$4:$D$1003,出库明细!D607)&gt;0,COUNTIFS(出库明细!$C$4:C607,出库明细!C607,出库明细!$D$4:D607,出库明细!D607)&gt;1),"",IFERROR(MATCH(出库明细!C607,总览汇总!$B$5:$B$304,0),900)*10000000+IFERROR(MATCH(出库明细!D607,基础资料!$E$5:$E$104,0),900)*10000+ROW()))</f>
      </c>
      <c r="F1607">
        <f>IF(AND(出库明细!C1607&lt;&gt;"",出库明细!C1607=客户对账单!$B$4,ISNUMBER(出库明细!B1607),出库明细!B1607&gt;=客户对账单!$G$4,出库明细!B1607&lt;=客户对账单!$I$4),出库明细!B1607+ROW()/100000,"")</f>
      </c>
      <c r="H1607">
        <f>IF(AND(资金台帐!K110&lt;&gt;"",资金台帐!K110=供应商对账单!$B$4,资金台帐!P110="应付",ISNUMBER(资金台帐!B110),资金台帐!B110&gt;=供应商对账单!$G$4,资金台帐!B110&lt;=供应商对账单!$I$4),资金台帐!B110+ROW()/100000,"")</f>
      </c>
      <c r="N1607">
        <f>IF(AND(ISNUMBER(出库明细!G1607),ISNUMBER(出库明细!E1607),ISNUMBER(出库明细!F1607)),IF(ABS(出库明细!G1607-出库明细!E1607*出库明细!F1607)&gt;0.005,1,0),0)</f>
        <v>0</v>
      </c>
    </row>
    <row r="1608">
      <c r="A1608">
        <f>IF(OR(出库明细!C608="",出库明细!D608=""),"",IF(OR(COUNTIFS(存条明细!$C$4:$C$1003,出库明细!C608,存条明细!$D$4:$D$1003,出库明细!D608)&gt;0,COUNTIFS(出库明细!$C$4:C608,出库明细!C608,出库明细!$D$4:D608,出库明细!D608)&gt;1),"",IFERROR(MATCH(出库明细!C608,总览汇总!$B$5:$B$304,0),900)*10000000+IFERROR(MATCH(出库明细!D608,基础资料!$E$5:$E$104,0),900)*10000+ROW()))</f>
      </c>
      <c r="F1608">
        <f>IF(AND(出库明细!C1608&lt;&gt;"",出库明细!C1608=客户对账单!$B$4,ISNUMBER(出库明细!B1608),出库明细!B1608&gt;=客户对账单!$G$4,出库明细!B1608&lt;=客户对账单!$I$4),出库明细!B1608+ROW()/100000,"")</f>
      </c>
      <c r="H1608">
        <f>IF(AND(资金台帐!K111&lt;&gt;"",资金台帐!K111=供应商对账单!$B$4,资金台帐!P111="应付",ISNUMBER(资金台帐!B111),资金台帐!B111&gt;=供应商对账单!$G$4,资金台帐!B111&lt;=供应商对账单!$I$4),资金台帐!B111+ROW()/100000,"")</f>
      </c>
      <c r="N1608">
        <f>IF(AND(ISNUMBER(出库明细!G1608),ISNUMBER(出库明细!E1608),ISNUMBER(出库明细!F1608)),IF(ABS(出库明细!G1608-出库明细!E1608*出库明细!F1608)&gt;0.005,1,0),0)</f>
        <v>0</v>
      </c>
    </row>
    <row r="1609">
      <c r="A1609">
        <f>IF(OR(出库明细!C609="",出库明细!D609=""),"",IF(OR(COUNTIFS(存条明细!$C$4:$C$1003,出库明细!C609,存条明细!$D$4:$D$1003,出库明细!D609)&gt;0,COUNTIFS(出库明细!$C$4:C609,出库明细!C609,出库明细!$D$4:D609,出库明细!D609)&gt;1),"",IFERROR(MATCH(出库明细!C609,总览汇总!$B$5:$B$304,0),900)*10000000+IFERROR(MATCH(出库明细!D609,基础资料!$E$5:$E$104,0),900)*10000+ROW()))</f>
      </c>
      <c r="F1609">
        <f>IF(AND(出库明细!C1609&lt;&gt;"",出库明细!C1609=客户对账单!$B$4,ISNUMBER(出库明细!B1609),出库明细!B1609&gt;=客户对账单!$G$4,出库明细!B1609&lt;=客户对账单!$I$4),出库明细!B1609+ROW()/100000,"")</f>
      </c>
      <c r="H1609">
        <f>IF(AND(资金台帐!K112&lt;&gt;"",资金台帐!K112=供应商对账单!$B$4,资金台帐!P112="应付",ISNUMBER(资金台帐!B112),资金台帐!B112&gt;=供应商对账单!$G$4,资金台帐!B112&lt;=供应商对账单!$I$4),资金台帐!B112+ROW()/100000,"")</f>
      </c>
      <c r="N1609">
        <f>IF(AND(ISNUMBER(出库明细!G1609),ISNUMBER(出库明细!E1609),ISNUMBER(出库明细!F1609)),IF(ABS(出库明细!G1609-出库明细!E1609*出库明细!F1609)&gt;0.005,1,0),0)</f>
        <v>0</v>
      </c>
    </row>
    <row r="1610">
      <c r="A1610">
        <f>IF(OR(出库明细!C610="",出库明细!D610=""),"",IF(OR(COUNTIFS(存条明细!$C$4:$C$1003,出库明细!C610,存条明细!$D$4:$D$1003,出库明细!D610)&gt;0,COUNTIFS(出库明细!$C$4:C610,出库明细!C610,出库明细!$D$4:D610,出库明细!D610)&gt;1),"",IFERROR(MATCH(出库明细!C610,总览汇总!$B$5:$B$304,0),900)*10000000+IFERROR(MATCH(出库明细!D610,基础资料!$E$5:$E$104,0),900)*10000+ROW()))</f>
      </c>
      <c r="F1610">
        <f>IF(AND(出库明细!C1610&lt;&gt;"",出库明细!C1610=客户对账单!$B$4,ISNUMBER(出库明细!B1610),出库明细!B1610&gt;=客户对账单!$G$4,出库明细!B1610&lt;=客户对账单!$I$4),出库明细!B1610+ROW()/100000,"")</f>
      </c>
      <c r="H1610">
        <f>IF(AND(资金台帐!K113&lt;&gt;"",资金台帐!K113=供应商对账单!$B$4,资金台帐!P113="应付",ISNUMBER(资金台帐!B113),资金台帐!B113&gt;=供应商对账单!$G$4,资金台帐!B113&lt;=供应商对账单!$I$4),资金台帐!B113+ROW()/100000,"")</f>
      </c>
      <c r="N1610">
        <f>IF(AND(ISNUMBER(出库明细!G1610),ISNUMBER(出库明细!E1610),ISNUMBER(出库明细!F1610)),IF(ABS(出库明细!G1610-出库明细!E1610*出库明细!F1610)&gt;0.005,1,0),0)</f>
        <v>0</v>
      </c>
    </row>
    <row r="1611">
      <c r="A1611">
        <f>IF(OR(出库明细!C611="",出库明细!D611=""),"",IF(OR(COUNTIFS(存条明细!$C$4:$C$1003,出库明细!C611,存条明细!$D$4:$D$1003,出库明细!D611)&gt;0,COUNTIFS(出库明细!$C$4:C611,出库明细!C611,出库明细!$D$4:D611,出库明细!D611)&gt;1),"",IFERROR(MATCH(出库明细!C611,总览汇总!$B$5:$B$304,0),900)*10000000+IFERROR(MATCH(出库明细!D611,基础资料!$E$5:$E$104,0),900)*10000+ROW()))</f>
      </c>
      <c r="F1611">
        <f>IF(AND(出库明细!C1611&lt;&gt;"",出库明细!C1611=客户对账单!$B$4,ISNUMBER(出库明细!B1611),出库明细!B1611&gt;=客户对账单!$G$4,出库明细!B1611&lt;=客户对账单!$I$4),出库明细!B1611+ROW()/100000,"")</f>
      </c>
      <c r="H1611">
        <f>IF(AND(资金台帐!K114&lt;&gt;"",资金台帐!K114=供应商对账单!$B$4,资金台帐!P114="应付",ISNUMBER(资金台帐!B114),资金台帐!B114&gt;=供应商对账单!$G$4,资金台帐!B114&lt;=供应商对账单!$I$4),资金台帐!B114+ROW()/100000,"")</f>
      </c>
      <c r="N1611">
        <f>IF(AND(ISNUMBER(出库明细!G1611),ISNUMBER(出库明细!E1611),ISNUMBER(出库明细!F1611)),IF(ABS(出库明细!G1611-出库明细!E1611*出库明细!F1611)&gt;0.005,1,0),0)</f>
        <v>0</v>
      </c>
    </row>
    <row r="1612">
      <c r="A1612">
        <f>IF(OR(出库明细!C612="",出库明细!D612=""),"",IF(OR(COUNTIFS(存条明细!$C$4:$C$1003,出库明细!C612,存条明细!$D$4:$D$1003,出库明细!D612)&gt;0,COUNTIFS(出库明细!$C$4:C612,出库明细!C612,出库明细!$D$4:D612,出库明细!D612)&gt;1),"",IFERROR(MATCH(出库明细!C612,总览汇总!$B$5:$B$304,0),900)*10000000+IFERROR(MATCH(出库明细!D612,基础资料!$E$5:$E$104,0),900)*10000+ROW()))</f>
      </c>
      <c r="F1612">
        <f>IF(AND(出库明细!C1612&lt;&gt;"",出库明细!C1612=客户对账单!$B$4,ISNUMBER(出库明细!B1612),出库明细!B1612&gt;=客户对账单!$G$4,出库明细!B1612&lt;=客户对账单!$I$4),出库明细!B1612+ROW()/100000,"")</f>
      </c>
      <c r="H1612">
        <f>IF(AND(资金台帐!K115&lt;&gt;"",资金台帐!K115=供应商对账单!$B$4,资金台帐!P115="应付",ISNUMBER(资金台帐!B115),资金台帐!B115&gt;=供应商对账单!$G$4,资金台帐!B115&lt;=供应商对账单!$I$4),资金台帐!B115+ROW()/100000,"")</f>
      </c>
      <c r="N1612">
        <f>IF(AND(ISNUMBER(出库明细!G1612),ISNUMBER(出库明细!E1612),ISNUMBER(出库明细!F1612)),IF(ABS(出库明细!G1612-出库明细!E1612*出库明细!F1612)&gt;0.005,1,0),0)</f>
        <v>0</v>
      </c>
    </row>
    <row r="1613">
      <c r="A1613">
        <f>IF(OR(出库明细!C613="",出库明细!D613=""),"",IF(OR(COUNTIFS(存条明细!$C$4:$C$1003,出库明细!C613,存条明细!$D$4:$D$1003,出库明细!D613)&gt;0,COUNTIFS(出库明细!$C$4:C613,出库明细!C613,出库明细!$D$4:D613,出库明细!D613)&gt;1),"",IFERROR(MATCH(出库明细!C613,总览汇总!$B$5:$B$304,0),900)*10000000+IFERROR(MATCH(出库明细!D613,基础资料!$E$5:$E$104,0),900)*10000+ROW()))</f>
      </c>
      <c r="F1613">
        <f>IF(AND(出库明细!C1613&lt;&gt;"",出库明细!C1613=客户对账单!$B$4,ISNUMBER(出库明细!B1613),出库明细!B1613&gt;=客户对账单!$G$4,出库明细!B1613&lt;=客户对账单!$I$4),出库明细!B1613+ROW()/100000,"")</f>
      </c>
      <c r="H1613">
        <f>IF(AND(资金台帐!K116&lt;&gt;"",资金台帐!K116=供应商对账单!$B$4,资金台帐!P116="应付",ISNUMBER(资金台帐!B116),资金台帐!B116&gt;=供应商对账单!$G$4,资金台帐!B116&lt;=供应商对账单!$I$4),资金台帐!B116+ROW()/100000,"")</f>
      </c>
      <c r="N1613">
        <f>IF(AND(ISNUMBER(出库明细!G1613),ISNUMBER(出库明细!E1613),ISNUMBER(出库明细!F1613)),IF(ABS(出库明细!G1613-出库明细!E1613*出库明细!F1613)&gt;0.005,1,0),0)</f>
        <v>0</v>
      </c>
    </row>
    <row r="1614">
      <c r="A1614">
        <f>IF(OR(出库明细!C614="",出库明细!D614=""),"",IF(OR(COUNTIFS(存条明细!$C$4:$C$1003,出库明细!C614,存条明细!$D$4:$D$1003,出库明细!D614)&gt;0,COUNTIFS(出库明细!$C$4:C614,出库明细!C614,出库明细!$D$4:D614,出库明细!D614)&gt;1),"",IFERROR(MATCH(出库明细!C614,总览汇总!$B$5:$B$304,0),900)*10000000+IFERROR(MATCH(出库明细!D614,基础资料!$E$5:$E$104,0),900)*10000+ROW()))</f>
      </c>
      <c r="F1614">
        <f>IF(AND(出库明细!C1614&lt;&gt;"",出库明细!C1614=客户对账单!$B$4,ISNUMBER(出库明细!B1614),出库明细!B1614&gt;=客户对账单!$G$4,出库明细!B1614&lt;=客户对账单!$I$4),出库明细!B1614+ROW()/100000,"")</f>
      </c>
      <c r="H1614">
        <f>IF(AND(资金台帐!K117&lt;&gt;"",资金台帐!K117=供应商对账单!$B$4,资金台帐!P117="应付",ISNUMBER(资金台帐!B117),资金台帐!B117&gt;=供应商对账单!$G$4,资金台帐!B117&lt;=供应商对账单!$I$4),资金台帐!B117+ROW()/100000,"")</f>
      </c>
      <c r="N1614">
        <f>IF(AND(ISNUMBER(出库明细!G1614),ISNUMBER(出库明细!E1614),ISNUMBER(出库明细!F1614)),IF(ABS(出库明细!G1614-出库明细!E1614*出库明细!F1614)&gt;0.005,1,0),0)</f>
        <v>0</v>
      </c>
    </row>
    <row r="1615">
      <c r="A1615">
        <f>IF(OR(出库明细!C615="",出库明细!D615=""),"",IF(OR(COUNTIFS(存条明细!$C$4:$C$1003,出库明细!C615,存条明细!$D$4:$D$1003,出库明细!D615)&gt;0,COUNTIFS(出库明细!$C$4:C615,出库明细!C615,出库明细!$D$4:D615,出库明细!D615)&gt;1),"",IFERROR(MATCH(出库明细!C615,总览汇总!$B$5:$B$304,0),900)*10000000+IFERROR(MATCH(出库明细!D615,基础资料!$E$5:$E$104,0),900)*10000+ROW()))</f>
      </c>
      <c r="F1615">
        <f>IF(AND(出库明细!C1615&lt;&gt;"",出库明细!C1615=客户对账单!$B$4,ISNUMBER(出库明细!B1615),出库明细!B1615&gt;=客户对账单!$G$4,出库明细!B1615&lt;=客户对账单!$I$4),出库明细!B1615+ROW()/100000,"")</f>
      </c>
      <c r="H1615">
        <f>IF(AND(资金台帐!K118&lt;&gt;"",资金台帐!K118=供应商对账单!$B$4,资金台帐!P118="应付",ISNUMBER(资金台帐!B118),资金台帐!B118&gt;=供应商对账单!$G$4,资金台帐!B118&lt;=供应商对账单!$I$4),资金台帐!B118+ROW()/100000,"")</f>
      </c>
      <c r="N1615">
        <f>IF(AND(ISNUMBER(出库明细!G1615),ISNUMBER(出库明细!E1615),ISNUMBER(出库明细!F1615)),IF(ABS(出库明细!G1615-出库明细!E1615*出库明细!F1615)&gt;0.005,1,0),0)</f>
        <v>0</v>
      </c>
    </row>
    <row r="1616">
      <c r="A1616">
        <f>IF(OR(出库明细!C616="",出库明细!D616=""),"",IF(OR(COUNTIFS(存条明细!$C$4:$C$1003,出库明细!C616,存条明细!$D$4:$D$1003,出库明细!D616)&gt;0,COUNTIFS(出库明细!$C$4:C616,出库明细!C616,出库明细!$D$4:D616,出库明细!D616)&gt;1),"",IFERROR(MATCH(出库明细!C616,总览汇总!$B$5:$B$304,0),900)*10000000+IFERROR(MATCH(出库明细!D616,基础资料!$E$5:$E$104,0),900)*10000+ROW()))</f>
      </c>
      <c r="F1616">
        <f>IF(AND(出库明细!C1616&lt;&gt;"",出库明细!C1616=客户对账单!$B$4,ISNUMBER(出库明细!B1616),出库明细!B1616&gt;=客户对账单!$G$4,出库明细!B1616&lt;=客户对账单!$I$4),出库明细!B1616+ROW()/100000,"")</f>
      </c>
      <c r="H1616">
        <f>IF(AND(资金台帐!K119&lt;&gt;"",资金台帐!K119=供应商对账单!$B$4,资金台帐!P119="应付",ISNUMBER(资金台帐!B119),资金台帐!B119&gt;=供应商对账单!$G$4,资金台帐!B119&lt;=供应商对账单!$I$4),资金台帐!B119+ROW()/100000,"")</f>
      </c>
      <c r="N1616">
        <f>IF(AND(ISNUMBER(出库明细!G1616),ISNUMBER(出库明细!E1616),ISNUMBER(出库明细!F1616)),IF(ABS(出库明细!G1616-出库明细!E1616*出库明细!F1616)&gt;0.005,1,0),0)</f>
        <v>0</v>
      </c>
    </row>
    <row r="1617">
      <c r="A1617">
        <f>IF(OR(出库明细!C617="",出库明细!D617=""),"",IF(OR(COUNTIFS(存条明细!$C$4:$C$1003,出库明细!C617,存条明细!$D$4:$D$1003,出库明细!D617)&gt;0,COUNTIFS(出库明细!$C$4:C617,出库明细!C617,出库明细!$D$4:D617,出库明细!D617)&gt;1),"",IFERROR(MATCH(出库明细!C617,总览汇总!$B$5:$B$304,0),900)*10000000+IFERROR(MATCH(出库明细!D617,基础资料!$E$5:$E$104,0),900)*10000+ROW()))</f>
      </c>
      <c r="F1617">
        <f>IF(AND(出库明细!C1617&lt;&gt;"",出库明细!C1617=客户对账单!$B$4,ISNUMBER(出库明细!B1617),出库明细!B1617&gt;=客户对账单!$G$4,出库明细!B1617&lt;=客户对账单!$I$4),出库明细!B1617+ROW()/100000,"")</f>
      </c>
      <c r="H1617">
        <f>IF(AND(资金台帐!K120&lt;&gt;"",资金台帐!K120=供应商对账单!$B$4,资金台帐!P120="应付",ISNUMBER(资金台帐!B120),资金台帐!B120&gt;=供应商对账单!$G$4,资金台帐!B120&lt;=供应商对账单!$I$4),资金台帐!B120+ROW()/100000,"")</f>
      </c>
      <c r="N1617">
        <f>IF(AND(ISNUMBER(出库明细!G1617),ISNUMBER(出库明细!E1617),ISNUMBER(出库明细!F1617)),IF(ABS(出库明细!G1617-出库明细!E1617*出库明细!F1617)&gt;0.005,1,0),0)</f>
        <v>0</v>
      </c>
    </row>
    <row r="1618">
      <c r="A1618">
        <f>IF(OR(出库明细!C618="",出库明细!D618=""),"",IF(OR(COUNTIFS(存条明细!$C$4:$C$1003,出库明细!C618,存条明细!$D$4:$D$1003,出库明细!D618)&gt;0,COUNTIFS(出库明细!$C$4:C618,出库明细!C618,出库明细!$D$4:D618,出库明细!D618)&gt;1),"",IFERROR(MATCH(出库明细!C618,总览汇总!$B$5:$B$304,0),900)*10000000+IFERROR(MATCH(出库明细!D618,基础资料!$E$5:$E$104,0),900)*10000+ROW()))</f>
      </c>
      <c r="F1618">
        <f>IF(AND(出库明细!C1618&lt;&gt;"",出库明细!C1618=客户对账单!$B$4,ISNUMBER(出库明细!B1618),出库明细!B1618&gt;=客户对账单!$G$4,出库明细!B1618&lt;=客户对账单!$I$4),出库明细!B1618+ROW()/100000,"")</f>
      </c>
      <c r="H1618">
        <f>IF(AND(资金台帐!K121&lt;&gt;"",资金台帐!K121=供应商对账单!$B$4,资金台帐!P121="应付",ISNUMBER(资金台帐!B121),资金台帐!B121&gt;=供应商对账单!$G$4,资金台帐!B121&lt;=供应商对账单!$I$4),资金台帐!B121+ROW()/100000,"")</f>
      </c>
      <c r="N1618">
        <f>IF(AND(ISNUMBER(出库明细!G1618),ISNUMBER(出库明细!E1618),ISNUMBER(出库明细!F1618)),IF(ABS(出库明细!G1618-出库明细!E1618*出库明细!F1618)&gt;0.005,1,0),0)</f>
        <v>0</v>
      </c>
    </row>
    <row r="1619">
      <c r="A1619">
        <f>IF(OR(出库明细!C619="",出库明细!D619=""),"",IF(OR(COUNTIFS(存条明细!$C$4:$C$1003,出库明细!C619,存条明细!$D$4:$D$1003,出库明细!D619)&gt;0,COUNTIFS(出库明细!$C$4:C619,出库明细!C619,出库明细!$D$4:D619,出库明细!D619)&gt;1),"",IFERROR(MATCH(出库明细!C619,总览汇总!$B$5:$B$304,0),900)*10000000+IFERROR(MATCH(出库明细!D619,基础资料!$E$5:$E$104,0),900)*10000+ROW()))</f>
      </c>
      <c r="F1619">
        <f>IF(AND(出库明细!C1619&lt;&gt;"",出库明细!C1619=客户对账单!$B$4,ISNUMBER(出库明细!B1619),出库明细!B1619&gt;=客户对账单!$G$4,出库明细!B1619&lt;=客户对账单!$I$4),出库明细!B1619+ROW()/100000,"")</f>
      </c>
      <c r="H1619">
        <f>IF(AND(资金台帐!K122&lt;&gt;"",资金台帐!K122=供应商对账单!$B$4,资金台帐!P122="应付",ISNUMBER(资金台帐!B122),资金台帐!B122&gt;=供应商对账单!$G$4,资金台帐!B122&lt;=供应商对账单!$I$4),资金台帐!B122+ROW()/100000,"")</f>
      </c>
      <c r="N1619">
        <f>IF(AND(ISNUMBER(出库明细!G1619),ISNUMBER(出库明细!E1619),ISNUMBER(出库明细!F1619)),IF(ABS(出库明细!G1619-出库明细!E1619*出库明细!F1619)&gt;0.005,1,0),0)</f>
        <v>0</v>
      </c>
    </row>
    <row r="1620">
      <c r="A1620">
        <f>IF(OR(出库明细!C620="",出库明细!D620=""),"",IF(OR(COUNTIFS(存条明细!$C$4:$C$1003,出库明细!C620,存条明细!$D$4:$D$1003,出库明细!D620)&gt;0,COUNTIFS(出库明细!$C$4:C620,出库明细!C620,出库明细!$D$4:D620,出库明细!D620)&gt;1),"",IFERROR(MATCH(出库明细!C620,总览汇总!$B$5:$B$304,0),900)*10000000+IFERROR(MATCH(出库明细!D620,基础资料!$E$5:$E$104,0),900)*10000+ROW()))</f>
      </c>
      <c r="F1620">
        <f>IF(AND(出库明细!C1620&lt;&gt;"",出库明细!C1620=客户对账单!$B$4,ISNUMBER(出库明细!B1620),出库明细!B1620&gt;=客户对账单!$G$4,出库明细!B1620&lt;=客户对账单!$I$4),出库明细!B1620+ROW()/100000,"")</f>
      </c>
      <c r="H1620">
        <f>IF(AND(资金台帐!K123&lt;&gt;"",资金台帐!K123=供应商对账单!$B$4,资金台帐!P123="应付",ISNUMBER(资金台帐!B123),资金台帐!B123&gt;=供应商对账单!$G$4,资金台帐!B123&lt;=供应商对账单!$I$4),资金台帐!B123+ROW()/100000,"")</f>
      </c>
      <c r="N1620">
        <f>IF(AND(ISNUMBER(出库明细!G1620),ISNUMBER(出库明细!E1620),ISNUMBER(出库明细!F1620)),IF(ABS(出库明细!G1620-出库明细!E1620*出库明细!F1620)&gt;0.005,1,0),0)</f>
        <v>0</v>
      </c>
    </row>
    <row r="1621">
      <c r="A1621">
        <f>IF(OR(出库明细!C621="",出库明细!D621=""),"",IF(OR(COUNTIFS(存条明细!$C$4:$C$1003,出库明细!C621,存条明细!$D$4:$D$1003,出库明细!D621)&gt;0,COUNTIFS(出库明细!$C$4:C621,出库明细!C621,出库明细!$D$4:D621,出库明细!D621)&gt;1),"",IFERROR(MATCH(出库明细!C621,总览汇总!$B$5:$B$304,0),900)*10000000+IFERROR(MATCH(出库明细!D621,基础资料!$E$5:$E$104,0),900)*10000+ROW()))</f>
      </c>
      <c r="F1621">
        <f>IF(AND(出库明细!C1621&lt;&gt;"",出库明细!C1621=客户对账单!$B$4,ISNUMBER(出库明细!B1621),出库明细!B1621&gt;=客户对账单!$G$4,出库明细!B1621&lt;=客户对账单!$I$4),出库明细!B1621+ROW()/100000,"")</f>
      </c>
      <c r="H1621">
        <f>IF(AND(资金台帐!K124&lt;&gt;"",资金台帐!K124=供应商对账单!$B$4,资金台帐!P124="应付",ISNUMBER(资金台帐!B124),资金台帐!B124&gt;=供应商对账单!$G$4,资金台帐!B124&lt;=供应商对账单!$I$4),资金台帐!B124+ROW()/100000,"")</f>
      </c>
      <c r="N1621">
        <f>IF(AND(ISNUMBER(出库明细!G1621),ISNUMBER(出库明细!E1621),ISNUMBER(出库明细!F1621)),IF(ABS(出库明细!G1621-出库明细!E1621*出库明细!F1621)&gt;0.005,1,0),0)</f>
        <v>0</v>
      </c>
    </row>
    <row r="1622">
      <c r="A1622">
        <f>IF(OR(出库明细!C622="",出库明细!D622=""),"",IF(OR(COUNTIFS(存条明细!$C$4:$C$1003,出库明细!C622,存条明细!$D$4:$D$1003,出库明细!D622)&gt;0,COUNTIFS(出库明细!$C$4:C622,出库明细!C622,出库明细!$D$4:D622,出库明细!D622)&gt;1),"",IFERROR(MATCH(出库明细!C622,总览汇总!$B$5:$B$304,0),900)*10000000+IFERROR(MATCH(出库明细!D622,基础资料!$E$5:$E$104,0),900)*10000+ROW()))</f>
      </c>
      <c r="F1622">
        <f>IF(AND(出库明细!C1622&lt;&gt;"",出库明细!C1622=客户对账单!$B$4,ISNUMBER(出库明细!B1622),出库明细!B1622&gt;=客户对账单!$G$4,出库明细!B1622&lt;=客户对账单!$I$4),出库明细!B1622+ROW()/100000,"")</f>
      </c>
      <c r="H1622">
        <f>IF(AND(资金台帐!K125&lt;&gt;"",资金台帐!K125=供应商对账单!$B$4,资金台帐!P125="应付",ISNUMBER(资金台帐!B125),资金台帐!B125&gt;=供应商对账单!$G$4,资金台帐!B125&lt;=供应商对账单!$I$4),资金台帐!B125+ROW()/100000,"")</f>
      </c>
      <c r="N1622">
        <f>IF(AND(ISNUMBER(出库明细!G1622),ISNUMBER(出库明细!E1622),ISNUMBER(出库明细!F1622)),IF(ABS(出库明细!G1622-出库明细!E1622*出库明细!F1622)&gt;0.005,1,0),0)</f>
        <v>0</v>
      </c>
    </row>
    <row r="1623">
      <c r="A1623">
        <f>IF(OR(出库明细!C623="",出库明细!D623=""),"",IF(OR(COUNTIFS(存条明细!$C$4:$C$1003,出库明细!C623,存条明细!$D$4:$D$1003,出库明细!D623)&gt;0,COUNTIFS(出库明细!$C$4:C623,出库明细!C623,出库明细!$D$4:D623,出库明细!D623)&gt;1),"",IFERROR(MATCH(出库明细!C623,总览汇总!$B$5:$B$304,0),900)*10000000+IFERROR(MATCH(出库明细!D623,基础资料!$E$5:$E$104,0),900)*10000+ROW()))</f>
      </c>
      <c r="F1623">
        <f>IF(AND(出库明细!C1623&lt;&gt;"",出库明细!C1623=客户对账单!$B$4,ISNUMBER(出库明细!B1623),出库明细!B1623&gt;=客户对账单!$G$4,出库明细!B1623&lt;=客户对账单!$I$4),出库明细!B1623+ROW()/100000,"")</f>
      </c>
      <c r="H1623">
        <f>IF(AND(资金台帐!K126&lt;&gt;"",资金台帐!K126=供应商对账单!$B$4,资金台帐!P126="应付",ISNUMBER(资金台帐!B126),资金台帐!B126&gt;=供应商对账单!$G$4,资金台帐!B126&lt;=供应商对账单!$I$4),资金台帐!B126+ROW()/100000,"")</f>
      </c>
      <c r="N1623">
        <f>IF(AND(ISNUMBER(出库明细!G1623),ISNUMBER(出库明细!E1623),ISNUMBER(出库明细!F1623)),IF(ABS(出库明细!G1623-出库明细!E1623*出库明细!F1623)&gt;0.005,1,0),0)</f>
        <v>0</v>
      </c>
    </row>
    <row r="1624">
      <c r="A1624">
        <f>IF(OR(出库明细!C624="",出库明细!D624=""),"",IF(OR(COUNTIFS(存条明细!$C$4:$C$1003,出库明细!C624,存条明细!$D$4:$D$1003,出库明细!D624)&gt;0,COUNTIFS(出库明细!$C$4:C624,出库明细!C624,出库明细!$D$4:D624,出库明细!D624)&gt;1),"",IFERROR(MATCH(出库明细!C624,总览汇总!$B$5:$B$304,0),900)*10000000+IFERROR(MATCH(出库明细!D624,基础资料!$E$5:$E$104,0),900)*10000+ROW()))</f>
      </c>
      <c r="F1624">
        <f>IF(AND(出库明细!C1624&lt;&gt;"",出库明细!C1624=客户对账单!$B$4,ISNUMBER(出库明细!B1624),出库明细!B1624&gt;=客户对账单!$G$4,出库明细!B1624&lt;=客户对账单!$I$4),出库明细!B1624+ROW()/100000,"")</f>
      </c>
      <c r="H1624">
        <f>IF(AND(资金台帐!K127&lt;&gt;"",资金台帐!K127=供应商对账单!$B$4,资金台帐!P127="应付",ISNUMBER(资金台帐!B127),资金台帐!B127&gt;=供应商对账单!$G$4,资金台帐!B127&lt;=供应商对账单!$I$4),资金台帐!B127+ROW()/100000,"")</f>
      </c>
      <c r="N1624">
        <f>IF(AND(ISNUMBER(出库明细!G1624),ISNUMBER(出库明细!E1624),ISNUMBER(出库明细!F1624)),IF(ABS(出库明细!G1624-出库明细!E1624*出库明细!F1624)&gt;0.005,1,0),0)</f>
        <v>0</v>
      </c>
    </row>
    <row r="1625">
      <c r="A1625">
        <f>IF(OR(出库明细!C625="",出库明细!D625=""),"",IF(OR(COUNTIFS(存条明细!$C$4:$C$1003,出库明细!C625,存条明细!$D$4:$D$1003,出库明细!D625)&gt;0,COUNTIFS(出库明细!$C$4:C625,出库明细!C625,出库明细!$D$4:D625,出库明细!D625)&gt;1),"",IFERROR(MATCH(出库明细!C625,总览汇总!$B$5:$B$304,0),900)*10000000+IFERROR(MATCH(出库明细!D625,基础资料!$E$5:$E$104,0),900)*10000+ROW()))</f>
      </c>
      <c r="F1625">
        <f>IF(AND(出库明细!C1625&lt;&gt;"",出库明细!C1625=客户对账单!$B$4,ISNUMBER(出库明细!B1625),出库明细!B1625&gt;=客户对账单!$G$4,出库明细!B1625&lt;=客户对账单!$I$4),出库明细!B1625+ROW()/100000,"")</f>
      </c>
      <c r="H1625">
        <f>IF(AND(资金台帐!K128&lt;&gt;"",资金台帐!K128=供应商对账单!$B$4,资金台帐!P128="应付",ISNUMBER(资金台帐!B128),资金台帐!B128&gt;=供应商对账单!$G$4,资金台帐!B128&lt;=供应商对账单!$I$4),资金台帐!B128+ROW()/100000,"")</f>
      </c>
      <c r="N1625">
        <f>IF(AND(ISNUMBER(出库明细!G1625),ISNUMBER(出库明细!E1625),ISNUMBER(出库明细!F1625)),IF(ABS(出库明细!G1625-出库明细!E1625*出库明细!F1625)&gt;0.005,1,0),0)</f>
        <v>0</v>
      </c>
    </row>
    <row r="1626">
      <c r="A1626">
        <f>IF(OR(出库明细!C626="",出库明细!D626=""),"",IF(OR(COUNTIFS(存条明细!$C$4:$C$1003,出库明细!C626,存条明细!$D$4:$D$1003,出库明细!D626)&gt;0,COUNTIFS(出库明细!$C$4:C626,出库明细!C626,出库明细!$D$4:D626,出库明细!D626)&gt;1),"",IFERROR(MATCH(出库明细!C626,总览汇总!$B$5:$B$304,0),900)*10000000+IFERROR(MATCH(出库明细!D626,基础资料!$E$5:$E$104,0),900)*10000+ROW()))</f>
      </c>
      <c r="F1626">
        <f>IF(AND(出库明细!C1626&lt;&gt;"",出库明细!C1626=客户对账单!$B$4,ISNUMBER(出库明细!B1626),出库明细!B1626&gt;=客户对账单!$G$4,出库明细!B1626&lt;=客户对账单!$I$4),出库明细!B1626+ROW()/100000,"")</f>
      </c>
      <c r="H1626">
        <f>IF(AND(资金台帐!K129&lt;&gt;"",资金台帐!K129=供应商对账单!$B$4,资金台帐!P129="应付",ISNUMBER(资金台帐!B129),资金台帐!B129&gt;=供应商对账单!$G$4,资金台帐!B129&lt;=供应商对账单!$I$4),资金台帐!B129+ROW()/100000,"")</f>
      </c>
      <c r="N1626">
        <f>IF(AND(ISNUMBER(出库明细!G1626),ISNUMBER(出库明细!E1626),ISNUMBER(出库明细!F1626)),IF(ABS(出库明细!G1626-出库明细!E1626*出库明细!F1626)&gt;0.005,1,0),0)</f>
        <v>0</v>
      </c>
    </row>
    <row r="1627">
      <c r="A1627">
        <f>IF(OR(出库明细!C627="",出库明细!D627=""),"",IF(OR(COUNTIFS(存条明细!$C$4:$C$1003,出库明细!C627,存条明细!$D$4:$D$1003,出库明细!D627)&gt;0,COUNTIFS(出库明细!$C$4:C627,出库明细!C627,出库明细!$D$4:D627,出库明细!D627)&gt;1),"",IFERROR(MATCH(出库明细!C627,总览汇总!$B$5:$B$304,0),900)*10000000+IFERROR(MATCH(出库明细!D627,基础资料!$E$5:$E$104,0),900)*10000+ROW()))</f>
      </c>
      <c r="F1627">
        <f>IF(AND(出库明细!C1627&lt;&gt;"",出库明细!C1627=客户对账单!$B$4,ISNUMBER(出库明细!B1627),出库明细!B1627&gt;=客户对账单!$G$4,出库明细!B1627&lt;=客户对账单!$I$4),出库明细!B1627+ROW()/100000,"")</f>
      </c>
      <c r="H1627">
        <f>IF(AND(资金台帐!K130&lt;&gt;"",资金台帐!K130=供应商对账单!$B$4,资金台帐!P130="应付",ISNUMBER(资金台帐!B130),资金台帐!B130&gt;=供应商对账单!$G$4,资金台帐!B130&lt;=供应商对账单!$I$4),资金台帐!B130+ROW()/100000,"")</f>
      </c>
      <c r="N1627">
        <f>IF(AND(ISNUMBER(出库明细!G1627),ISNUMBER(出库明细!E1627),ISNUMBER(出库明细!F1627)),IF(ABS(出库明细!G1627-出库明细!E1627*出库明细!F1627)&gt;0.005,1,0),0)</f>
        <v>0</v>
      </c>
    </row>
    <row r="1628">
      <c r="A1628">
        <f>IF(OR(出库明细!C628="",出库明细!D628=""),"",IF(OR(COUNTIFS(存条明细!$C$4:$C$1003,出库明细!C628,存条明细!$D$4:$D$1003,出库明细!D628)&gt;0,COUNTIFS(出库明细!$C$4:C628,出库明细!C628,出库明细!$D$4:D628,出库明细!D628)&gt;1),"",IFERROR(MATCH(出库明细!C628,总览汇总!$B$5:$B$304,0),900)*10000000+IFERROR(MATCH(出库明细!D628,基础资料!$E$5:$E$104,0),900)*10000+ROW()))</f>
      </c>
      <c r="F1628">
        <f>IF(AND(出库明细!C1628&lt;&gt;"",出库明细!C1628=客户对账单!$B$4,ISNUMBER(出库明细!B1628),出库明细!B1628&gt;=客户对账单!$G$4,出库明细!B1628&lt;=客户对账单!$I$4),出库明细!B1628+ROW()/100000,"")</f>
      </c>
      <c r="H1628">
        <f>IF(AND(资金台帐!K131&lt;&gt;"",资金台帐!K131=供应商对账单!$B$4,资金台帐!P131="应付",ISNUMBER(资金台帐!B131),资金台帐!B131&gt;=供应商对账单!$G$4,资金台帐!B131&lt;=供应商对账单!$I$4),资金台帐!B131+ROW()/100000,"")</f>
      </c>
      <c r="N1628">
        <f>IF(AND(ISNUMBER(出库明细!G1628),ISNUMBER(出库明细!E1628),ISNUMBER(出库明细!F1628)),IF(ABS(出库明细!G1628-出库明细!E1628*出库明细!F1628)&gt;0.005,1,0),0)</f>
        <v>0</v>
      </c>
    </row>
    <row r="1629">
      <c r="A1629">
        <f>IF(OR(出库明细!C629="",出库明细!D629=""),"",IF(OR(COUNTIFS(存条明细!$C$4:$C$1003,出库明细!C629,存条明细!$D$4:$D$1003,出库明细!D629)&gt;0,COUNTIFS(出库明细!$C$4:C629,出库明细!C629,出库明细!$D$4:D629,出库明细!D629)&gt;1),"",IFERROR(MATCH(出库明细!C629,总览汇总!$B$5:$B$304,0),900)*10000000+IFERROR(MATCH(出库明细!D629,基础资料!$E$5:$E$104,0),900)*10000+ROW()))</f>
      </c>
      <c r="F1629">
        <f>IF(AND(出库明细!C1629&lt;&gt;"",出库明细!C1629=客户对账单!$B$4,ISNUMBER(出库明细!B1629),出库明细!B1629&gt;=客户对账单!$G$4,出库明细!B1629&lt;=客户对账单!$I$4),出库明细!B1629+ROW()/100000,"")</f>
      </c>
      <c r="H1629">
        <f>IF(AND(资金台帐!K132&lt;&gt;"",资金台帐!K132=供应商对账单!$B$4,资金台帐!P132="应付",ISNUMBER(资金台帐!B132),资金台帐!B132&gt;=供应商对账单!$G$4,资金台帐!B132&lt;=供应商对账单!$I$4),资金台帐!B132+ROW()/100000,"")</f>
      </c>
      <c r="N1629">
        <f>IF(AND(ISNUMBER(出库明细!G1629),ISNUMBER(出库明细!E1629),ISNUMBER(出库明细!F1629)),IF(ABS(出库明细!G1629-出库明细!E1629*出库明细!F1629)&gt;0.005,1,0),0)</f>
        <v>0</v>
      </c>
    </row>
    <row r="1630">
      <c r="A1630">
        <f>IF(OR(出库明细!C630="",出库明细!D630=""),"",IF(OR(COUNTIFS(存条明细!$C$4:$C$1003,出库明细!C630,存条明细!$D$4:$D$1003,出库明细!D630)&gt;0,COUNTIFS(出库明细!$C$4:C630,出库明细!C630,出库明细!$D$4:D630,出库明细!D630)&gt;1),"",IFERROR(MATCH(出库明细!C630,总览汇总!$B$5:$B$304,0),900)*10000000+IFERROR(MATCH(出库明细!D630,基础资料!$E$5:$E$104,0),900)*10000+ROW()))</f>
      </c>
      <c r="F1630">
        <f>IF(AND(出库明细!C1630&lt;&gt;"",出库明细!C1630=客户对账单!$B$4,ISNUMBER(出库明细!B1630),出库明细!B1630&gt;=客户对账单!$G$4,出库明细!B1630&lt;=客户对账单!$I$4),出库明细!B1630+ROW()/100000,"")</f>
      </c>
      <c r="H1630">
        <f>IF(AND(资金台帐!K133&lt;&gt;"",资金台帐!K133=供应商对账单!$B$4,资金台帐!P133="应付",ISNUMBER(资金台帐!B133),资金台帐!B133&gt;=供应商对账单!$G$4,资金台帐!B133&lt;=供应商对账单!$I$4),资金台帐!B133+ROW()/100000,"")</f>
      </c>
      <c r="N1630">
        <f>IF(AND(ISNUMBER(出库明细!G1630),ISNUMBER(出库明细!E1630),ISNUMBER(出库明细!F1630)),IF(ABS(出库明细!G1630-出库明细!E1630*出库明细!F1630)&gt;0.005,1,0),0)</f>
        <v>0</v>
      </c>
    </row>
    <row r="1631">
      <c r="A1631">
        <f>IF(OR(出库明细!C631="",出库明细!D631=""),"",IF(OR(COUNTIFS(存条明细!$C$4:$C$1003,出库明细!C631,存条明细!$D$4:$D$1003,出库明细!D631)&gt;0,COUNTIFS(出库明细!$C$4:C631,出库明细!C631,出库明细!$D$4:D631,出库明细!D631)&gt;1),"",IFERROR(MATCH(出库明细!C631,总览汇总!$B$5:$B$304,0),900)*10000000+IFERROR(MATCH(出库明细!D631,基础资料!$E$5:$E$104,0),900)*10000+ROW()))</f>
      </c>
      <c r="F1631">
        <f>IF(AND(出库明细!C1631&lt;&gt;"",出库明细!C1631=客户对账单!$B$4,ISNUMBER(出库明细!B1631),出库明细!B1631&gt;=客户对账单!$G$4,出库明细!B1631&lt;=客户对账单!$I$4),出库明细!B1631+ROW()/100000,"")</f>
      </c>
      <c r="H1631">
        <f>IF(AND(资金台帐!K134&lt;&gt;"",资金台帐!K134=供应商对账单!$B$4,资金台帐!P134="应付",ISNUMBER(资金台帐!B134),资金台帐!B134&gt;=供应商对账单!$G$4,资金台帐!B134&lt;=供应商对账单!$I$4),资金台帐!B134+ROW()/100000,"")</f>
      </c>
      <c r="N1631">
        <f>IF(AND(ISNUMBER(出库明细!G1631),ISNUMBER(出库明细!E1631),ISNUMBER(出库明细!F1631)),IF(ABS(出库明细!G1631-出库明细!E1631*出库明细!F1631)&gt;0.005,1,0),0)</f>
        <v>0</v>
      </c>
    </row>
    <row r="1632">
      <c r="A1632">
        <f>IF(OR(出库明细!C632="",出库明细!D632=""),"",IF(OR(COUNTIFS(存条明细!$C$4:$C$1003,出库明细!C632,存条明细!$D$4:$D$1003,出库明细!D632)&gt;0,COUNTIFS(出库明细!$C$4:C632,出库明细!C632,出库明细!$D$4:D632,出库明细!D632)&gt;1),"",IFERROR(MATCH(出库明细!C632,总览汇总!$B$5:$B$304,0),900)*10000000+IFERROR(MATCH(出库明细!D632,基础资料!$E$5:$E$104,0),900)*10000+ROW()))</f>
      </c>
      <c r="F1632">
        <f>IF(AND(出库明细!C1632&lt;&gt;"",出库明细!C1632=客户对账单!$B$4,ISNUMBER(出库明细!B1632),出库明细!B1632&gt;=客户对账单!$G$4,出库明细!B1632&lt;=客户对账单!$I$4),出库明细!B1632+ROW()/100000,"")</f>
      </c>
      <c r="H1632">
        <f>IF(AND(资金台帐!K135&lt;&gt;"",资金台帐!K135=供应商对账单!$B$4,资金台帐!P135="应付",ISNUMBER(资金台帐!B135),资金台帐!B135&gt;=供应商对账单!$G$4,资金台帐!B135&lt;=供应商对账单!$I$4),资金台帐!B135+ROW()/100000,"")</f>
      </c>
      <c r="N1632">
        <f>IF(AND(ISNUMBER(出库明细!G1632),ISNUMBER(出库明细!E1632),ISNUMBER(出库明细!F1632)),IF(ABS(出库明细!G1632-出库明细!E1632*出库明细!F1632)&gt;0.005,1,0),0)</f>
        <v>0</v>
      </c>
    </row>
    <row r="1633">
      <c r="A1633">
        <f>IF(OR(出库明细!C633="",出库明细!D633=""),"",IF(OR(COUNTIFS(存条明细!$C$4:$C$1003,出库明细!C633,存条明细!$D$4:$D$1003,出库明细!D633)&gt;0,COUNTIFS(出库明细!$C$4:C633,出库明细!C633,出库明细!$D$4:D633,出库明细!D633)&gt;1),"",IFERROR(MATCH(出库明细!C633,总览汇总!$B$5:$B$304,0),900)*10000000+IFERROR(MATCH(出库明细!D633,基础资料!$E$5:$E$104,0),900)*10000+ROW()))</f>
      </c>
      <c r="F1633">
        <f>IF(AND(出库明细!C1633&lt;&gt;"",出库明细!C1633=客户对账单!$B$4,ISNUMBER(出库明细!B1633),出库明细!B1633&gt;=客户对账单!$G$4,出库明细!B1633&lt;=客户对账单!$I$4),出库明细!B1633+ROW()/100000,"")</f>
      </c>
      <c r="H1633">
        <f>IF(AND(资金台帐!K136&lt;&gt;"",资金台帐!K136=供应商对账单!$B$4,资金台帐!P136="应付",ISNUMBER(资金台帐!B136),资金台帐!B136&gt;=供应商对账单!$G$4,资金台帐!B136&lt;=供应商对账单!$I$4),资金台帐!B136+ROW()/100000,"")</f>
      </c>
      <c r="N1633">
        <f>IF(AND(ISNUMBER(出库明细!G1633),ISNUMBER(出库明细!E1633),ISNUMBER(出库明细!F1633)),IF(ABS(出库明细!G1633-出库明细!E1633*出库明细!F1633)&gt;0.005,1,0),0)</f>
        <v>0</v>
      </c>
    </row>
    <row r="1634">
      <c r="A1634">
        <f>IF(OR(出库明细!C634="",出库明细!D634=""),"",IF(OR(COUNTIFS(存条明细!$C$4:$C$1003,出库明细!C634,存条明细!$D$4:$D$1003,出库明细!D634)&gt;0,COUNTIFS(出库明细!$C$4:C634,出库明细!C634,出库明细!$D$4:D634,出库明细!D634)&gt;1),"",IFERROR(MATCH(出库明细!C634,总览汇总!$B$5:$B$304,0),900)*10000000+IFERROR(MATCH(出库明细!D634,基础资料!$E$5:$E$104,0),900)*10000+ROW()))</f>
      </c>
      <c r="F1634">
        <f>IF(AND(出库明细!C1634&lt;&gt;"",出库明细!C1634=客户对账单!$B$4,ISNUMBER(出库明细!B1634),出库明细!B1634&gt;=客户对账单!$G$4,出库明细!B1634&lt;=客户对账单!$I$4),出库明细!B1634+ROW()/100000,"")</f>
      </c>
      <c r="H1634">
        <f>IF(AND(资金台帐!K137&lt;&gt;"",资金台帐!K137=供应商对账单!$B$4,资金台帐!P137="应付",ISNUMBER(资金台帐!B137),资金台帐!B137&gt;=供应商对账单!$G$4,资金台帐!B137&lt;=供应商对账单!$I$4),资金台帐!B137+ROW()/100000,"")</f>
      </c>
      <c r="N1634">
        <f>IF(AND(ISNUMBER(出库明细!G1634),ISNUMBER(出库明细!E1634),ISNUMBER(出库明细!F1634)),IF(ABS(出库明细!G1634-出库明细!E1634*出库明细!F1634)&gt;0.005,1,0),0)</f>
        <v>0</v>
      </c>
    </row>
    <row r="1635">
      <c r="A1635">
        <f>IF(OR(出库明细!C635="",出库明细!D635=""),"",IF(OR(COUNTIFS(存条明细!$C$4:$C$1003,出库明细!C635,存条明细!$D$4:$D$1003,出库明细!D635)&gt;0,COUNTIFS(出库明细!$C$4:C635,出库明细!C635,出库明细!$D$4:D635,出库明细!D635)&gt;1),"",IFERROR(MATCH(出库明细!C635,总览汇总!$B$5:$B$304,0),900)*10000000+IFERROR(MATCH(出库明细!D635,基础资料!$E$5:$E$104,0),900)*10000+ROW()))</f>
      </c>
      <c r="F1635">
        <f>IF(AND(出库明细!C1635&lt;&gt;"",出库明细!C1635=客户对账单!$B$4,ISNUMBER(出库明细!B1635),出库明细!B1635&gt;=客户对账单!$G$4,出库明细!B1635&lt;=客户对账单!$I$4),出库明细!B1635+ROW()/100000,"")</f>
      </c>
      <c r="H1635">
        <f>IF(AND(资金台帐!K138&lt;&gt;"",资金台帐!K138=供应商对账单!$B$4,资金台帐!P138="应付",ISNUMBER(资金台帐!B138),资金台帐!B138&gt;=供应商对账单!$G$4,资金台帐!B138&lt;=供应商对账单!$I$4),资金台帐!B138+ROW()/100000,"")</f>
      </c>
      <c r="N1635">
        <f>IF(AND(ISNUMBER(出库明细!G1635),ISNUMBER(出库明细!E1635),ISNUMBER(出库明细!F1635)),IF(ABS(出库明细!G1635-出库明细!E1635*出库明细!F1635)&gt;0.005,1,0),0)</f>
        <v>0</v>
      </c>
    </row>
    <row r="1636">
      <c r="A1636">
        <f>IF(OR(出库明细!C636="",出库明细!D636=""),"",IF(OR(COUNTIFS(存条明细!$C$4:$C$1003,出库明细!C636,存条明细!$D$4:$D$1003,出库明细!D636)&gt;0,COUNTIFS(出库明细!$C$4:C636,出库明细!C636,出库明细!$D$4:D636,出库明细!D636)&gt;1),"",IFERROR(MATCH(出库明细!C636,总览汇总!$B$5:$B$304,0),900)*10000000+IFERROR(MATCH(出库明细!D636,基础资料!$E$5:$E$104,0),900)*10000+ROW()))</f>
      </c>
      <c r="F1636">
        <f>IF(AND(出库明细!C1636&lt;&gt;"",出库明细!C1636=客户对账单!$B$4,ISNUMBER(出库明细!B1636),出库明细!B1636&gt;=客户对账单!$G$4,出库明细!B1636&lt;=客户对账单!$I$4),出库明细!B1636+ROW()/100000,"")</f>
      </c>
      <c r="H1636">
        <f>IF(AND(资金台帐!K139&lt;&gt;"",资金台帐!K139=供应商对账单!$B$4,资金台帐!P139="应付",ISNUMBER(资金台帐!B139),资金台帐!B139&gt;=供应商对账单!$G$4,资金台帐!B139&lt;=供应商对账单!$I$4),资金台帐!B139+ROW()/100000,"")</f>
      </c>
      <c r="N1636">
        <f>IF(AND(ISNUMBER(出库明细!G1636),ISNUMBER(出库明细!E1636),ISNUMBER(出库明细!F1636)),IF(ABS(出库明细!G1636-出库明细!E1636*出库明细!F1636)&gt;0.005,1,0),0)</f>
        <v>0</v>
      </c>
    </row>
    <row r="1637">
      <c r="A1637">
        <f>IF(OR(出库明细!C637="",出库明细!D637=""),"",IF(OR(COUNTIFS(存条明细!$C$4:$C$1003,出库明细!C637,存条明细!$D$4:$D$1003,出库明细!D637)&gt;0,COUNTIFS(出库明细!$C$4:C637,出库明细!C637,出库明细!$D$4:D637,出库明细!D637)&gt;1),"",IFERROR(MATCH(出库明细!C637,总览汇总!$B$5:$B$304,0),900)*10000000+IFERROR(MATCH(出库明细!D637,基础资料!$E$5:$E$104,0),900)*10000+ROW()))</f>
      </c>
      <c r="F1637">
        <f>IF(AND(出库明细!C1637&lt;&gt;"",出库明细!C1637=客户对账单!$B$4,ISNUMBER(出库明细!B1637),出库明细!B1637&gt;=客户对账单!$G$4,出库明细!B1637&lt;=客户对账单!$I$4),出库明细!B1637+ROW()/100000,"")</f>
      </c>
      <c r="H1637">
        <f>IF(AND(资金台帐!K140&lt;&gt;"",资金台帐!K140=供应商对账单!$B$4,资金台帐!P140="应付",ISNUMBER(资金台帐!B140),资金台帐!B140&gt;=供应商对账单!$G$4,资金台帐!B140&lt;=供应商对账单!$I$4),资金台帐!B140+ROW()/100000,"")</f>
      </c>
      <c r="N1637">
        <f>IF(AND(ISNUMBER(出库明细!G1637),ISNUMBER(出库明细!E1637),ISNUMBER(出库明细!F1637)),IF(ABS(出库明细!G1637-出库明细!E1637*出库明细!F1637)&gt;0.005,1,0),0)</f>
        <v>0</v>
      </c>
    </row>
    <row r="1638">
      <c r="A1638">
        <f>IF(OR(出库明细!C638="",出库明细!D638=""),"",IF(OR(COUNTIFS(存条明细!$C$4:$C$1003,出库明细!C638,存条明细!$D$4:$D$1003,出库明细!D638)&gt;0,COUNTIFS(出库明细!$C$4:C638,出库明细!C638,出库明细!$D$4:D638,出库明细!D638)&gt;1),"",IFERROR(MATCH(出库明细!C638,总览汇总!$B$5:$B$304,0),900)*10000000+IFERROR(MATCH(出库明细!D638,基础资料!$E$5:$E$104,0),900)*10000+ROW()))</f>
      </c>
      <c r="F1638">
        <f>IF(AND(出库明细!C1638&lt;&gt;"",出库明细!C1638=客户对账单!$B$4,ISNUMBER(出库明细!B1638),出库明细!B1638&gt;=客户对账单!$G$4,出库明细!B1638&lt;=客户对账单!$I$4),出库明细!B1638+ROW()/100000,"")</f>
      </c>
      <c r="H1638">
        <f>IF(AND(资金台帐!K141&lt;&gt;"",资金台帐!K141=供应商对账单!$B$4,资金台帐!P141="应付",ISNUMBER(资金台帐!B141),资金台帐!B141&gt;=供应商对账单!$G$4,资金台帐!B141&lt;=供应商对账单!$I$4),资金台帐!B141+ROW()/100000,"")</f>
      </c>
      <c r="N1638">
        <f>IF(AND(ISNUMBER(出库明细!G1638),ISNUMBER(出库明细!E1638),ISNUMBER(出库明细!F1638)),IF(ABS(出库明细!G1638-出库明细!E1638*出库明细!F1638)&gt;0.005,1,0),0)</f>
        <v>0</v>
      </c>
    </row>
    <row r="1639">
      <c r="A1639">
        <f>IF(OR(出库明细!C639="",出库明细!D639=""),"",IF(OR(COUNTIFS(存条明细!$C$4:$C$1003,出库明细!C639,存条明细!$D$4:$D$1003,出库明细!D639)&gt;0,COUNTIFS(出库明细!$C$4:C639,出库明细!C639,出库明细!$D$4:D639,出库明细!D639)&gt;1),"",IFERROR(MATCH(出库明细!C639,总览汇总!$B$5:$B$304,0),900)*10000000+IFERROR(MATCH(出库明细!D639,基础资料!$E$5:$E$104,0),900)*10000+ROW()))</f>
      </c>
      <c r="F1639">
        <f>IF(AND(出库明细!C1639&lt;&gt;"",出库明细!C1639=客户对账单!$B$4,ISNUMBER(出库明细!B1639),出库明细!B1639&gt;=客户对账单!$G$4,出库明细!B1639&lt;=客户对账单!$I$4),出库明细!B1639+ROW()/100000,"")</f>
      </c>
      <c r="H1639">
        <f>IF(AND(资金台帐!K142&lt;&gt;"",资金台帐!K142=供应商对账单!$B$4,资金台帐!P142="应付",ISNUMBER(资金台帐!B142),资金台帐!B142&gt;=供应商对账单!$G$4,资金台帐!B142&lt;=供应商对账单!$I$4),资金台帐!B142+ROW()/100000,"")</f>
      </c>
      <c r="N1639">
        <f>IF(AND(ISNUMBER(出库明细!G1639),ISNUMBER(出库明细!E1639),ISNUMBER(出库明细!F1639)),IF(ABS(出库明细!G1639-出库明细!E1639*出库明细!F1639)&gt;0.005,1,0),0)</f>
        <v>0</v>
      </c>
    </row>
    <row r="1640">
      <c r="A1640">
        <f>IF(OR(出库明细!C640="",出库明细!D640=""),"",IF(OR(COUNTIFS(存条明细!$C$4:$C$1003,出库明细!C640,存条明细!$D$4:$D$1003,出库明细!D640)&gt;0,COUNTIFS(出库明细!$C$4:C640,出库明细!C640,出库明细!$D$4:D640,出库明细!D640)&gt;1),"",IFERROR(MATCH(出库明细!C640,总览汇总!$B$5:$B$304,0),900)*10000000+IFERROR(MATCH(出库明细!D640,基础资料!$E$5:$E$104,0),900)*10000+ROW()))</f>
      </c>
      <c r="F1640">
        <f>IF(AND(出库明细!C1640&lt;&gt;"",出库明细!C1640=客户对账单!$B$4,ISNUMBER(出库明细!B1640),出库明细!B1640&gt;=客户对账单!$G$4,出库明细!B1640&lt;=客户对账单!$I$4),出库明细!B1640+ROW()/100000,"")</f>
      </c>
      <c r="H1640">
        <f>IF(AND(资金台帐!K143&lt;&gt;"",资金台帐!K143=供应商对账单!$B$4,资金台帐!P143="应付",ISNUMBER(资金台帐!B143),资金台帐!B143&gt;=供应商对账单!$G$4,资金台帐!B143&lt;=供应商对账单!$I$4),资金台帐!B143+ROW()/100000,"")</f>
      </c>
      <c r="N1640">
        <f>IF(AND(ISNUMBER(出库明细!G1640),ISNUMBER(出库明细!E1640),ISNUMBER(出库明细!F1640)),IF(ABS(出库明细!G1640-出库明细!E1640*出库明细!F1640)&gt;0.005,1,0),0)</f>
        <v>0</v>
      </c>
    </row>
    <row r="1641">
      <c r="A1641">
        <f>IF(OR(出库明细!C641="",出库明细!D641=""),"",IF(OR(COUNTIFS(存条明细!$C$4:$C$1003,出库明细!C641,存条明细!$D$4:$D$1003,出库明细!D641)&gt;0,COUNTIFS(出库明细!$C$4:C641,出库明细!C641,出库明细!$D$4:D641,出库明细!D641)&gt;1),"",IFERROR(MATCH(出库明细!C641,总览汇总!$B$5:$B$304,0),900)*10000000+IFERROR(MATCH(出库明细!D641,基础资料!$E$5:$E$104,0),900)*10000+ROW()))</f>
      </c>
      <c r="F1641">
        <f>IF(AND(出库明细!C1641&lt;&gt;"",出库明细!C1641=客户对账单!$B$4,ISNUMBER(出库明细!B1641),出库明细!B1641&gt;=客户对账单!$G$4,出库明细!B1641&lt;=客户对账单!$I$4),出库明细!B1641+ROW()/100000,"")</f>
      </c>
      <c r="H1641">
        <f>IF(AND(资金台帐!K144&lt;&gt;"",资金台帐!K144=供应商对账单!$B$4,资金台帐!P144="应付",ISNUMBER(资金台帐!B144),资金台帐!B144&gt;=供应商对账单!$G$4,资金台帐!B144&lt;=供应商对账单!$I$4),资金台帐!B144+ROW()/100000,"")</f>
      </c>
      <c r="N1641">
        <f>IF(AND(ISNUMBER(出库明细!G1641),ISNUMBER(出库明细!E1641),ISNUMBER(出库明细!F1641)),IF(ABS(出库明细!G1641-出库明细!E1641*出库明细!F1641)&gt;0.005,1,0),0)</f>
        <v>0</v>
      </c>
    </row>
    <row r="1642">
      <c r="A1642">
        <f>IF(OR(出库明细!C642="",出库明细!D642=""),"",IF(OR(COUNTIFS(存条明细!$C$4:$C$1003,出库明细!C642,存条明细!$D$4:$D$1003,出库明细!D642)&gt;0,COUNTIFS(出库明细!$C$4:C642,出库明细!C642,出库明细!$D$4:D642,出库明细!D642)&gt;1),"",IFERROR(MATCH(出库明细!C642,总览汇总!$B$5:$B$304,0),900)*10000000+IFERROR(MATCH(出库明细!D642,基础资料!$E$5:$E$104,0),900)*10000+ROW()))</f>
      </c>
      <c r="F1642">
        <f>IF(AND(出库明细!C1642&lt;&gt;"",出库明细!C1642=客户对账单!$B$4,ISNUMBER(出库明细!B1642),出库明细!B1642&gt;=客户对账单!$G$4,出库明细!B1642&lt;=客户对账单!$I$4),出库明细!B1642+ROW()/100000,"")</f>
      </c>
      <c r="H1642">
        <f>IF(AND(资金台帐!K145&lt;&gt;"",资金台帐!K145=供应商对账单!$B$4,资金台帐!P145="应付",ISNUMBER(资金台帐!B145),资金台帐!B145&gt;=供应商对账单!$G$4,资金台帐!B145&lt;=供应商对账单!$I$4),资金台帐!B145+ROW()/100000,"")</f>
      </c>
      <c r="N1642">
        <f>IF(AND(ISNUMBER(出库明细!G1642),ISNUMBER(出库明细!E1642),ISNUMBER(出库明细!F1642)),IF(ABS(出库明细!G1642-出库明细!E1642*出库明细!F1642)&gt;0.005,1,0),0)</f>
        <v>0</v>
      </c>
    </row>
    <row r="1643">
      <c r="A1643">
        <f>IF(OR(出库明细!C643="",出库明细!D643=""),"",IF(OR(COUNTIFS(存条明细!$C$4:$C$1003,出库明细!C643,存条明细!$D$4:$D$1003,出库明细!D643)&gt;0,COUNTIFS(出库明细!$C$4:C643,出库明细!C643,出库明细!$D$4:D643,出库明细!D643)&gt;1),"",IFERROR(MATCH(出库明细!C643,总览汇总!$B$5:$B$304,0),900)*10000000+IFERROR(MATCH(出库明细!D643,基础资料!$E$5:$E$104,0),900)*10000+ROW()))</f>
      </c>
      <c r="F1643">
        <f>IF(AND(出库明细!C1643&lt;&gt;"",出库明细!C1643=客户对账单!$B$4,ISNUMBER(出库明细!B1643),出库明细!B1643&gt;=客户对账单!$G$4,出库明细!B1643&lt;=客户对账单!$I$4),出库明细!B1643+ROW()/100000,"")</f>
      </c>
      <c r="H1643">
        <f>IF(AND(资金台帐!K146&lt;&gt;"",资金台帐!K146=供应商对账单!$B$4,资金台帐!P146="应付",ISNUMBER(资金台帐!B146),资金台帐!B146&gt;=供应商对账单!$G$4,资金台帐!B146&lt;=供应商对账单!$I$4),资金台帐!B146+ROW()/100000,"")</f>
      </c>
      <c r="N1643">
        <f>IF(AND(ISNUMBER(出库明细!G1643),ISNUMBER(出库明细!E1643),ISNUMBER(出库明细!F1643)),IF(ABS(出库明细!G1643-出库明细!E1643*出库明细!F1643)&gt;0.005,1,0),0)</f>
        <v>0</v>
      </c>
    </row>
    <row r="1644">
      <c r="A1644">
        <f>IF(OR(出库明细!C644="",出库明细!D644=""),"",IF(OR(COUNTIFS(存条明细!$C$4:$C$1003,出库明细!C644,存条明细!$D$4:$D$1003,出库明细!D644)&gt;0,COUNTIFS(出库明细!$C$4:C644,出库明细!C644,出库明细!$D$4:D644,出库明细!D644)&gt;1),"",IFERROR(MATCH(出库明细!C644,总览汇总!$B$5:$B$304,0),900)*10000000+IFERROR(MATCH(出库明细!D644,基础资料!$E$5:$E$104,0),900)*10000+ROW()))</f>
      </c>
      <c r="F1644">
        <f>IF(AND(出库明细!C1644&lt;&gt;"",出库明细!C1644=客户对账单!$B$4,ISNUMBER(出库明细!B1644),出库明细!B1644&gt;=客户对账单!$G$4,出库明细!B1644&lt;=客户对账单!$I$4),出库明细!B1644+ROW()/100000,"")</f>
      </c>
      <c r="H1644">
        <f>IF(AND(资金台帐!K147&lt;&gt;"",资金台帐!K147=供应商对账单!$B$4,资金台帐!P147="应付",ISNUMBER(资金台帐!B147),资金台帐!B147&gt;=供应商对账单!$G$4,资金台帐!B147&lt;=供应商对账单!$I$4),资金台帐!B147+ROW()/100000,"")</f>
      </c>
      <c r="N1644">
        <f>IF(AND(ISNUMBER(出库明细!G1644),ISNUMBER(出库明细!E1644),ISNUMBER(出库明细!F1644)),IF(ABS(出库明细!G1644-出库明细!E1644*出库明细!F1644)&gt;0.005,1,0),0)</f>
        <v>0</v>
      </c>
    </row>
    <row r="1645">
      <c r="A1645">
        <f>IF(OR(出库明细!C645="",出库明细!D645=""),"",IF(OR(COUNTIFS(存条明细!$C$4:$C$1003,出库明细!C645,存条明细!$D$4:$D$1003,出库明细!D645)&gt;0,COUNTIFS(出库明细!$C$4:C645,出库明细!C645,出库明细!$D$4:D645,出库明细!D645)&gt;1),"",IFERROR(MATCH(出库明细!C645,总览汇总!$B$5:$B$304,0),900)*10000000+IFERROR(MATCH(出库明细!D645,基础资料!$E$5:$E$104,0),900)*10000+ROW()))</f>
      </c>
      <c r="F1645">
        <f>IF(AND(出库明细!C1645&lt;&gt;"",出库明细!C1645=客户对账单!$B$4,ISNUMBER(出库明细!B1645),出库明细!B1645&gt;=客户对账单!$G$4,出库明细!B1645&lt;=客户对账单!$I$4),出库明细!B1645+ROW()/100000,"")</f>
      </c>
      <c r="H1645">
        <f>IF(AND(资金台帐!K148&lt;&gt;"",资金台帐!K148=供应商对账单!$B$4,资金台帐!P148="应付",ISNUMBER(资金台帐!B148),资金台帐!B148&gt;=供应商对账单!$G$4,资金台帐!B148&lt;=供应商对账单!$I$4),资金台帐!B148+ROW()/100000,"")</f>
      </c>
      <c r="N1645">
        <f>IF(AND(ISNUMBER(出库明细!G1645),ISNUMBER(出库明细!E1645),ISNUMBER(出库明细!F1645)),IF(ABS(出库明细!G1645-出库明细!E1645*出库明细!F1645)&gt;0.005,1,0),0)</f>
        <v>0</v>
      </c>
    </row>
    <row r="1646">
      <c r="A1646">
        <f>IF(OR(出库明细!C646="",出库明细!D646=""),"",IF(OR(COUNTIFS(存条明细!$C$4:$C$1003,出库明细!C646,存条明细!$D$4:$D$1003,出库明细!D646)&gt;0,COUNTIFS(出库明细!$C$4:C646,出库明细!C646,出库明细!$D$4:D646,出库明细!D646)&gt;1),"",IFERROR(MATCH(出库明细!C646,总览汇总!$B$5:$B$304,0),900)*10000000+IFERROR(MATCH(出库明细!D646,基础资料!$E$5:$E$104,0),900)*10000+ROW()))</f>
      </c>
      <c r="F1646">
        <f>IF(AND(出库明细!C1646&lt;&gt;"",出库明细!C1646=客户对账单!$B$4,ISNUMBER(出库明细!B1646),出库明细!B1646&gt;=客户对账单!$G$4,出库明细!B1646&lt;=客户对账单!$I$4),出库明细!B1646+ROW()/100000,"")</f>
      </c>
      <c r="H1646">
        <f>IF(AND(资金台帐!K149&lt;&gt;"",资金台帐!K149=供应商对账单!$B$4,资金台帐!P149="应付",ISNUMBER(资金台帐!B149),资金台帐!B149&gt;=供应商对账单!$G$4,资金台帐!B149&lt;=供应商对账单!$I$4),资金台帐!B149+ROW()/100000,"")</f>
      </c>
      <c r="N1646">
        <f>IF(AND(ISNUMBER(出库明细!G1646),ISNUMBER(出库明细!E1646),ISNUMBER(出库明细!F1646)),IF(ABS(出库明细!G1646-出库明细!E1646*出库明细!F1646)&gt;0.005,1,0),0)</f>
        <v>0</v>
      </c>
    </row>
    <row r="1647">
      <c r="A1647">
        <f>IF(OR(出库明细!C647="",出库明细!D647=""),"",IF(OR(COUNTIFS(存条明细!$C$4:$C$1003,出库明细!C647,存条明细!$D$4:$D$1003,出库明细!D647)&gt;0,COUNTIFS(出库明细!$C$4:C647,出库明细!C647,出库明细!$D$4:D647,出库明细!D647)&gt;1),"",IFERROR(MATCH(出库明细!C647,总览汇总!$B$5:$B$304,0),900)*10000000+IFERROR(MATCH(出库明细!D647,基础资料!$E$5:$E$104,0),900)*10000+ROW()))</f>
      </c>
      <c r="F1647">
        <f>IF(AND(出库明细!C1647&lt;&gt;"",出库明细!C1647=客户对账单!$B$4,ISNUMBER(出库明细!B1647),出库明细!B1647&gt;=客户对账单!$G$4,出库明细!B1647&lt;=客户对账单!$I$4),出库明细!B1647+ROW()/100000,"")</f>
      </c>
      <c r="H1647">
        <f>IF(AND(资金台帐!K150&lt;&gt;"",资金台帐!K150=供应商对账单!$B$4,资金台帐!P150="应付",ISNUMBER(资金台帐!B150),资金台帐!B150&gt;=供应商对账单!$G$4,资金台帐!B150&lt;=供应商对账单!$I$4),资金台帐!B150+ROW()/100000,"")</f>
      </c>
      <c r="N1647">
        <f>IF(AND(ISNUMBER(出库明细!G1647),ISNUMBER(出库明细!E1647),ISNUMBER(出库明细!F1647)),IF(ABS(出库明细!G1647-出库明细!E1647*出库明细!F1647)&gt;0.005,1,0),0)</f>
        <v>0</v>
      </c>
    </row>
    <row r="1648">
      <c r="A1648">
        <f>IF(OR(出库明细!C648="",出库明细!D648=""),"",IF(OR(COUNTIFS(存条明细!$C$4:$C$1003,出库明细!C648,存条明细!$D$4:$D$1003,出库明细!D648)&gt;0,COUNTIFS(出库明细!$C$4:C648,出库明细!C648,出库明细!$D$4:D648,出库明细!D648)&gt;1),"",IFERROR(MATCH(出库明细!C648,总览汇总!$B$5:$B$304,0),900)*10000000+IFERROR(MATCH(出库明细!D648,基础资料!$E$5:$E$104,0),900)*10000+ROW()))</f>
      </c>
      <c r="F1648">
        <f>IF(AND(出库明细!C1648&lt;&gt;"",出库明细!C1648=客户对账单!$B$4,ISNUMBER(出库明细!B1648),出库明细!B1648&gt;=客户对账单!$G$4,出库明细!B1648&lt;=客户对账单!$I$4),出库明细!B1648+ROW()/100000,"")</f>
      </c>
      <c r="H1648">
        <f>IF(AND(资金台帐!K151&lt;&gt;"",资金台帐!K151=供应商对账单!$B$4,资金台帐!P151="应付",ISNUMBER(资金台帐!B151),资金台帐!B151&gt;=供应商对账单!$G$4,资金台帐!B151&lt;=供应商对账单!$I$4),资金台帐!B151+ROW()/100000,"")</f>
      </c>
      <c r="N1648">
        <f>IF(AND(ISNUMBER(出库明细!G1648),ISNUMBER(出库明细!E1648),ISNUMBER(出库明细!F1648)),IF(ABS(出库明细!G1648-出库明细!E1648*出库明细!F1648)&gt;0.005,1,0),0)</f>
        <v>0</v>
      </c>
    </row>
    <row r="1649">
      <c r="A1649">
        <f>IF(OR(出库明细!C649="",出库明细!D649=""),"",IF(OR(COUNTIFS(存条明细!$C$4:$C$1003,出库明细!C649,存条明细!$D$4:$D$1003,出库明细!D649)&gt;0,COUNTIFS(出库明细!$C$4:C649,出库明细!C649,出库明细!$D$4:D649,出库明细!D649)&gt;1),"",IFERROR(MATCH(出库明细!C649,总览汇总!$B$5:$B$304,0),900)*10000000+IFERROR(MATCH(出库明细!D649,基础资料!$E$5:$E$104,0),900)*10000+ROW()))</f>
      </c>
      <c r="F1649">
        <f>IF(AND(出库明细!C1649&lt;&gt;"",出库明细!C1649=客户对账单!$B$4,ISNUMBER(出库明细!B1649),出库明细!B1649&gt;=客户对账单!$G$4,出库明细!B1649&lt;=客户对账单!$I$4),出库明细!B1649+ROW()/100000,"")</f>
      </c>
      <c r="H1649">
        <f>IF(AND(资金台帐!K152&lt;&gt;"",资金台帐!K152=供应商对账单!$B$4,资金台帐!P152="应付",ISNUMBER(资金台帐!B152),资金台帐!B152&gt;=供应商对账单!$G$4,资金台帐!B152&lt;=供应商对账单!$I$4),资金台帐!B152+ROW()/100000,"")</f>
      </c>
      <c r="N1649">
        <f>IF(AND(ISNUMBER(出库明细!G1649),ISNUMBER(出库明细!E1649),ISNUMBER(出库明细!F1649)),IF(ABS(出库明细!G1649-出库明细!E1649*出库明细!F1649)&gt;0.005,1,0),0)</f>
        <v>0</v>
      </c>
    </row>
    <row r="1650">
      <c r="A1650">
        <f>IF(OR(出库明细!C650="",出库明细!D650=""),"",IF(OR(COUNTIFS(存条明细!$C$4:$C$1003,出库明细!C650,存条明细!$D$4:$D$1003,出库明细!D650)&gt;0,COUNTIFS(出库明细!$C$4:C650,出库明细!C650,出库明细!$D$4:D650,出库明细!D650)&gt;1),"",IFERROR(MATCH(出库明细!C650,总览汇总!$B$5:$B$304,0),900)*10000000+IFERROR(MATCH(出库明细!D650,基础资料!$E$5:$E$104,0),900)*10000+ROW()))</f>
      </c>
      <c r="F1650">
        <f>IF(AND(出库明细!C1650&lt;&gt;"",出库明细!C1650=客户对账单!$B$4,ISNUMBER(出库明细!B1650),出库明细!B1650&gt;=客户对账单!$G$4,出库明细!B1650&lt;=客户对账单!$I$4),出库明细!B1650+ROW()/100000,"")</f>
      </c>
      <c r="H1650">
        <f>IF(AND(资金台帐!K153&lt;&gt;"",资金台帐!K153=供应商对账单!$B$4,资金台帐!P153="应付",ISNUMBER(资金台帐!B153),资金台帐!B153&gt;=供应商对账单!$G$4,资金台帐!B153&lt;=供应商对账单!$I$4),资金台帐!B153+ROW()/100000,"")</f>
      </c>
      <c r="N1650">
        <f>IF(AND(ISNUMBER(出库明细!G1650),ISNUMBER(出库明细!E1650),ISNUMBER(出库明细!F1650)),IF(ABS(出库明细!G1650-出库明细!E1650*出库明细!F1650)&gt;0.005,1,0),0)</f>
        <v>0</v>
      </c>
    </row>
    <row r="1651">
      <c r="A1651">
        <f>IF(OR(出库明细!C651="",出库明细!D651=""),"",IF(OR(COUNTIFS(存条明细!$C$4:$C$1003,出库明细!C651,存条明细!$D$4:$D$1003,出库明细!D651)&gt;0,COUNTIFS(出库明细!$C$4:C651,出库明细!C651,出库明细!$D$4:D651,出库明细!D651)&gt;1),"",IFERROR(MATCH(出库明细!C651,总览汇总!$B$5:$B$304,0),900)*10000000+IFERROR(MATCH(出库明细!D651,基础资料!$E$5:$E$104,0),900)*10000+ROW()))</f>
      </c>
      <c r="F1651">
        <f>IF(AND(出库明细!C1651&lt;&gt;"",出库明细!C1651=客户对账单!$B$4,ISNUMBER(出库明细!B1651),出库明细!B1651&gt;=客户对账单!$G$4,出库明细!B1651&lt;=客户对账单!$I$4),出库明细!B1651+ROW()/100000,"")</f>
      </c>
      <c r="H1651">
        <f>IF(AND(资金台帐!K154&lt;&gt;"",资金台帐!K154=供应商对账单!$B$4,资金台帐!P154="应付",ISNUMBER(资金台帐!B154),资金台帐!B154&gt;=供应商对账单!$G$4,资金台帐!B154&lt;=供应商对账单!$I$4),资金台帐!B154+ROW()/100000,"")</f>
      </c>
      <c r="N1651">
        <f>IF(AND(ISNUMBER(出库明细!G1651),ISNUMBER(出库明细!E1651),ISNUMBER(出库明细!F1651)),IF(ABS(出库明细!G1651-出库明细!E1651*出库明细!F1651)&gt;0.005,1,0),0)</f>
        <v>0</v>
      </c>
    </row>
    <row r="1652">
      <c r="A1652">
        <f>IF(OR(出库明细!C652="",出库明细!D652=""),"",IF(OR(COUNTIFS(存条明细!$C$4:$C$1003,出库明细!C652,存条明细!$D$4:$D$1003,出库明细!D652)&gt;0,COUNTIFS(出库明细!$C$4:C652,出库明细!C652,出库明细!$D$4:D652,出库明细!D652)&gt;1),"",IFERROR(MATCH(出库明细!C652,总览汇总!$B$5:$B$304,0),900)*10000000+IFERROR(MATCH(出库明细!D652,基础资料!$E$5:$E$104,0),900)*10000+ROW()))</f>
      </c>
      <c r="F1652">
        <f>IF(AND(出库明细!C1652&lt;&gt;"",出库明细!C1652=客户对账单!$B$4,ISNUMBER(出库明细!B1652),出库明细!B1652&gt;=客户对账单!$G$4,出库明细!B1652&lt;=客户对账单!$I$4),出库明细!B1652+ROW()/100000,"")</f>
      </c>
      <c r="H1652">
        <f>IF(AND(资金台帐!K155&lt;&gt;"",资金台帐!K155=供应商对账单!$B$4,资金台帐!P155="应付",ISNUMBER(资金台帐!B155),资金台帐!B155&gt;=供应商对账单!$G$4,资金台帐!B155&lt;=供应商对账单!$I$4),资金台帐!B155+ROW()/100000,"")</f>
      </c>
      <c r="N1652">
        <f>IF(AND(ISNUMBER(出库明细!G1652),ISNUMBER(出库明细!E1652),ISNUMBER(出库明细!F1652)),IF(ABS(出库明细!G1652-出库明细!E1652*出库明细!F1652)&gt;0.005,1,0),0)</f>
        <v>0</v>
      </c>
    </row>
    <row r="1653">
      <c r="A1653">
        <f>IF(OR(出库明细!C653="",出库明细!D653=""),"",IF(OR(COUNTIFS(存条明细!$C$4:$C$1003,出库明细!C653,存条明细!$D$4:$D$1003,出库明细!D653)&gt;0,COUNTIFS(出库明细!$C$4:C653,出库明细!C653,出库明细!$D$4:D653,出库明细!D653)&gt;1),"",IFERROR(MATCH(出库明细!C653,总览汇总!$B$5:$B$304,0),900)*10000000+IFERROR(MATCH(出库明细!D653,基础资料!$E$5:$E$104,0),900)*10000+ROW()))</f>
      </c>
      <c r="F1653">
        <f>IF(AND(出库明细!C1653&lt;&gt;"",出库明细!C1653=客户对账单!$B$4,ISNUMBER(出库明细!B1653),出库明细!B1653&gt;=客户对账单!$G$4,出库明细!B1653&lt;=客户对账单!$I$4),出库明细!B1653+ROW()/100000,"")</f>
      </c>
      <c r="H1653">
        <f>IF(AND(资金台帐!K156&lt;&gt;"",资金台帐!K156=供应商对账单!$B$4,资金台帐!P156="应付",ISNUMBER(资金台帐!B156),资金台帐!B156&gt;=供应商对账单!$G$4,资金台帐!B156&lt;=供应商对账单!$I$4),资金台帐!B156+ROW()/100000,"")</f>
      </c>
      <c r="N1653">
        <f>IF(AND(ISNUMBER(出库明细!G1653),ISNUMBER(出库明细!E1653),ISNUMBER(出库明细!F1653)),IF(ABS(出库明细!G1653-出库明细!E1653*出库明细!F1653)&gt;0.005,1,0),0)</f>
        <v>0</v>
      </c>
    </row>
    <row r="1654">
      <c r="A1654">
        <f>IF(OR(出库明细!C654="",出库明细!D654=""),"",IF(OR(COUNTIFS(存条明细!$C$4:$C$1003,出库明细!C654,存条明细!$D$4:$D$1003,出库明细!D654)&gt;0,COUNTIFS(出库明细!$C$4:C654,出库明细!C654,出库明细!$D$4:D654,出库明细!D654)&gt;1),"",IFERROR(MATCH(出库明细!C654,总览汇总!$B$5:$B$304,0),900)*10000000+IFERROR(MATCH(出库明细!D654,基础资料!$E$5:$E$104,0),900)*10000+ROW()))</f>
      </c>
      <c r="F1654">
        <f>IF(AND(出库明细!C1654&lt;&gt;"",出库明细!C1654=客户对账单!$B$4,ISNUMBER(出库明细!B1654),出库明细!B1654&gt;=客户对账单!$G$4,出库明细!B1654&lt;=客户对账单!$I$4),出库明细!B1654+ROW()/100000,"")</f>
      </c>
      <c r="H1654">
        <f>IF(AND(资金台帐!K157&lt;&gt;"",资金台帐!K157=供应商对账单!$B$4,资金台帐!P157="应付",ISNUMBER(资金台帐!B157),资金台帐!B157&gt;=供应商对账单!$G$4,资金台帐!B157&lt;=供应商对账单!$I$4),资金台帐!B157+ROW()/100000,"")</f>
      </c>
      <c r="N1654">
        <f>IF(AND(ISNUMBER(出库明细!G1654),ISNUMBER(出库明细!E1654),ISNUMBER(出库明细!F1654)),IF(ABS(出库明细!G1654-出库明细!E1654*出库明细!F1654)&gt;0.005,1,0),0)</f>
        <v>0</v>
      </c>
    </row>
    <row r="1655">
      <c r="A1655">
        <f>IF(OR(出库明细!C655="",出库明细!D655=""),"",IF(OR(COUNTIFS(存条明细!$C$4:$C$1003,出库明细!C655,存条明细!$D$4:$D$1003,出库明细!D655)&gt;0,COUNTIFS(出库明细!$C$4:C655,出库明细!C655,出库明细!$D$4:D655,出库明细!D655)&gt;1),"",IFERROR(MATCH(出库明细!C655,总览汇总!$B$5:$B$304,0),900)*10000000+IFERROR(MATCH(出库明细!D655,基础资料!$E$5:$E$104,0),900)*10000+ROW()))</f>
      </c>
      <c r="F1655">
        <f>IF(AND(出库明细!C1655&lt;&gt;"",出库明细!C1655=客户对账单!$B$4,ISNUMBER(出库明细!B1655),出库明细!B1655&gt;=客户对账单!$G$4,出库明细!B1655&lt;=客户对账单!$I$4),出库明细!B1655+ROW()/100000,"")</f>
      </c>
      <c r="H1655">
        <f>IF(AND(资金台帐!K158&lt;&gt;"",资金台帐!K158=供应商对账单!$B$4,资金台帐!P158="应付",ISNUMBER(资金台帐!B158),资金台帐!B158&gt;=供应商对账单!$G$4,资金台帐!B158&lt;=供应商对账单!$I$4),资金台帐!B158+ROW()/100000,"")</f>
      </c>
      <c r="N1655">
        <f>IF(AND(ISNUMBER(出库明细!G1655),ISNUMBER(出库明细!E1655),ISNUMBER(出库明细!F1655)),IF(ABS(出库明细!G1655-出库明细!E1655*出库明细!F1655)&gt;0.005,1,0),0)</f>
        <v>0</v>
      </c>
    </row>
    <row r="1656">
      <c r="A1656">
        <f>IF(OR(出库明细!C656="",出库明细!D656=""),"",IF(OR(COUNTIFS(存条明细!$C$4:$C$1003,出库明细!C656,存条明细!$D$4:$D$1003,出库明细!D656)&gt;0,COUNTIFS(出库明细!$C$4:C656,出库明细!C656,出库明细!$D$4:D656,出库明细!D656)&gt;1),"",IFERROR(MATCH(出库明细!C656,总览汇总!$B$5:$B$304,0),900)*10000000+IFERROR(MATCH(出库明细!D656,基础资料!$E$5:$E$104,0),900)*10000+ROW()))</f>
      </c>
      <c r="F1656">
        <f>IF(AND(出库明细!C1656&lt;&gt;"",出库明细!C1656=客户对账单!$B$4,ISNUMBER(出库明细!B1656),出库明细!B1656&gt;=客户对账单!$G$4,出库明细!B1656&lt;=客户对账单!$I$4),出库明细!B1656+ROW()/100000,"")</f>
      </c>
      <c r="H1656">
        <f>IF(AND(资金台帐!K159&lt;&gt;"",资金台帐!K159=供应商对账单!$B$4,资金台帐!P159="应付",ISNUMBER(资金台帐!B159),资金台帐!B159&gt;=供应商对账单!$G$4,资金台帐!B159&lt;=供应商对账单!$I$4),资金台帐!B159+ROW()/100000,"")</f>
      </c>
      <c r="N1656">
        <f>IF(AND(ISNUMBER(出库明细!G1656),ISNUMBER(出库明细!E1656),ISNUMBER(出库明细!F1656)),IF(ABS(出库明细!G1656-出库明细!E1656*出库明细!F1656)&gt;0.005,1,0),0)</f>
        <v>0</v>
      </c>
    </row>
    <row r="1657">
      <c r="A1657">
        <f>IF(OR(出库明细!C657="",出库明细!D657=""),"",IF(OR(COUNTIFS(存条明细!$C$4:$C$1003,出库明细!C657,存条明细!$D$4:$D$1003,出库明细!D657)&gt;0,COUNTIFS(出库明细!$C$4:C657,出库明细!C657,出库明细!$D$4:D657,出库明细!D657)&gt;1),"",IFERROR(MATCH(出库明细!C657,总览汇总!$B$5:$B$304,0),900)*10000000+IFERROR(MATCH(出库明细!D657,基础资料!$E$5:$E$104,0),900)*10000+ROW()))</f>
      </c>
      <c r="F1657">
        <f>IF(AND(出库明细!C1657&lt;&gt;"",出库明细!C1657=客户对账单!$B$4,ISNUMBER(出库明细!B1657),出库明细!B1657&gt;=客户对账单!$G$4,出库明细!B1657&lt;=客户对账单!$I$4),出库明细!B1657+ROW()/100000,"")</f>
      </c>
      <c r="H1657">
        <f>IF(AND(资金台帐!K160&lt;&gt;"",资金台帐!K160=供应商对账单!$B$4,资金台帐!P160="应付",ISNUMBER(资金台帐!B160),资金台帐!B160&gt;=供应商对账单!$G$4,资金台帐!B160&lt;=供应商对账单!$I$4),资金台帐!B160+ROW()/100000,"")</f>
      </c>
      <c r="N1657">
        <f>IF(AND(ISNUMBER(出库明细!G1657),ISNUMBER(出库明细!E1657),ISNUMBER(出库明细!F1657)),IF(ABS(出库明细!G1657-出库明细!E1657*出库明细!F1657)&gt;0.005,1,0),0)</f>
        <v>0</v>
      </c>
    </row>
    <row r="1658">
      <c r="A1658">
        <f>IF(OR(出库明细!C658="",出库明细!D658=""),"",IF(OR(COUNTIFS(存条明细!$C$4:$C$1003,出库明细!C658,存条明细!$D$4:$D$1003,出库明细!D658)&gt;0,COUNTIFS(出库明细!$C$4:C658,出库明细!C658,出库明细!$D$4:D658,出库明细!D658)&gt;1),"",IFERROR(MATCH(出库明细!C658,总览汇总!$B$5:$B$304,0),900)*10000000+IFERROR(MATCH(出库明细!D658,基础资料!$E$5:$E$104,0),900)*10000+ROW()))</f>
      </c>
      <c r="F1658">
        <f>IF(AND(出库明细!C1658&lt;&gt;"",出库明细!C1658=客户对账单!$B$4,ISNUMBER(出库明细!B1658),出库明细!B1658&gt;=客户对账单!$G$4,出库明细!B1658&lt;=客户对账单!$I$4),出库明细!B1658+ROW()/100000,"")</f>
      </c>
      <c r="H1658">
        <f>IF(AND(资金台帐!K161&lt;&gt;"",资金台帐!K161=供应商对账单!$B$4,资金台帐!P161="应付",ISNUMBER(资金台帐!B161),资金台帐!B161&gt;=供应商对账单!$G$4,资金台帐!B161&lt;=供应商对账单!$I$4),资金台帐!B161+ROW()/100000,"")</f>
      </c>
      <c r="N1658">
        <f>IF(AND(ISNUMBER(出库明细!G1658),ISNUMBER(出库明细!E1658),ISNUMBER(出库明细!F1658)),IF(ABS(出库明细!G1658-出库明细!E1658*出库明细!F1658)&gt;0.005,1,0),0)</f>
        <v>0</v>
      </c>
    </row>
    <row r="1659">
      <c r="A1659">
        <f>IF(OR(出库明细!C659="",出库明细!D659=""),"",IF(OR(COUNTIFS(存条明细!$C$4:$C$1003,出库明细!C659,存条明细!$D$4:$D$1003,出库明细!D659)&gt;0,COUNTIFS(出库明细!$C$4:C659,出库明细!C659,出库明细!$D$4:D659,出库明细!D659)&gt;1),"",IFERROR(MATCH(出库明细!C659,总览汇总!$B$5:$B$304,0),900)*10000000+IFERROR(MATCH(出库明细!D659,基础资料!$E$5:$E$104,0),900)*10000+ROW()))</f>
      </c>
      <c r="F1659">
        <f>IF(AND(出库明细!C1659&lt;&gt;"",出库明细!C1659=客户对账单!$B$4,ISNUMBER(出库明细!B1659),出库明细!B1659&gt;=客户对账单!$G$4,出库明细!B1659&lt;=客户对账单!$I$4),出库明细!B1659+ROW()/100000,"")</f>
      </c>
      <c r="H1659">
        <f>IF(AND(资金台帐!K162&lt;&gt;"",资金台帐!K162=供应商对账单!$B$4,资金台帐!P162="应付",ISNUMBER(资金台帐!B162),资金台帐!B162&gt;=供应商对账单!$G$4,资金台帐!B162&lt;=供应商对账单!$I$4),资金台帐!B162+ROW()/100000,"")</f>
      </c>
      <c r="N1659">
        <f>IF(AND(ISNUMBER(出库明细!G1659),ISNUMBER(出库明细!E1659),ISNUMBER(出库明细!F1659)),IF(ABS(出库明细!G1659-出库明细!E1659*出库明细!F1659)&gt;0.005,1,0),0)</f>
        <v>0</v>
      </c>
    </row>
    <row r="1660">
      <c r="A1660">
        <f>IF(OR(出库明细!C660="",出库明细!D660=""),"",IF(OR(COUNTIFS(存条明细!$C$4:$C$1003,出库明细!C660,存条明细!$D$4:$D$1003,出库明细!D660)&gt;0,COUNTIFS(出库明细!$C$4:C660,出库明细!C660,出库明细!$D$4:D660,出库明细!D660)&gt;1),"",IFERROR(MATCH(出库明细!C660,总览汇总!$B$5:$B$304,0),900)*10000000+IFERROR(MATCH(出库明细!D660,基础资料!$E$5:$E$104,0),900)*10000+ROW()))</f>
      </c>
      <c r="F1660">
        <f>IF(AND(出库明细!C1660&lt;&gt;"",出库明细!C1660=客户对账单!$B$4,ISNUMBER(出库明细!B1660),出库明细!B1660&gt;=客户对账单!$G$4,出库明细!B1660&lt;=客户对账单!$I$4),出库明细!B1660+ROW()/100000,"")</f>
      </c>
      <c r="H1660">
        <f>IF(AND(资金台帐!K163&lt;&gt;"",资金台帐!K163=供应商对账单!$B$4,资金台帐!P163="应付",ISNUMBER(资金台帐!B163),资金台帐!B163&gt;=供应商对账单!$G$4,资金台帐!B163&lt;=供应商对账单!$I$4),资金台帐!B163+ROW()/100000,"")</f>
      </c>
      <c r="N1660">
        <f>IF(AND(ISNUMBER(出库明细!G1660),ISNUMBER(出库明细!E1660),ISNUMBER(出库明细!F1660)),IF(ABS(出库明细!G1660-出库明细!E1660*出库明细!F1660)&gt;0.005,1,0),0)</f>
        <v>0</v>
      </c>
    </row>
    <row r="1661">
      <c r="A1661">
        <f>IF(OR(出库明细!C661="",出库明细!D661=""),"",IF(OR(COUNTIFS(存条明细!$C$4:$C$1003,出库明细!C661,存条明细!$D$4:$D$1003,出库明细!D661)&gt;0,COUNTIFS(出库明细!$C$4:C661,出库明细!C661,出库明细!$D$4:D661,出库明细!D661)&gt;1),"",IFERROR(MATCH(出库明细!C661,总览汇总!$B$5:$B$304,0),900)*10000000+IFERROR(MATCH(出库明细!D661,基础资料!$E$5:$E$104,0),900)*10000+ROW()))</f>
      </c>
      <c r="F1661">
        <f>IF(AND(出库明细!C1661&lt;&gt;"",出库明细!C1661=客户对账单!$B$4,ISNUMBER(出库明细!B1661),出库明细!B1661&gt;=客户对账单!$G$4,出库明细!B1661&lt;=客户对账单!$I$4),出库明细!B1661+ROW()/100000,"")</f>
      </c>
      <c r="H1661">
        <f>IF(AND(资金台帐!K164&lt;&gt;"",资金台帐!K164=供应商对账单!$B$4,资金台帐!P164="应付",ISNUMBER(资金台帐!B164),资金台帐!B164&gt;=供应商对账单!$G$4,资金台帐!B164&lt;=供应商对账单!$I$4),资金台帐!B164+ROW()/100000,"")</f>
      </c>
      <c r="N1661">
        <f>IF(AND(ISNUMBER(出库明细!G1661),ISNUMBER(出库明细!E1661),ISNUMBER(出库明细!F1661)),IF(ABS(出库明细!G1661-出库明细!E1661*出库明细!F1661)&gt;0.005,1,0),0)</f>
        <v>0</v>
      </c>
    </row>
    <row r="1662">
      <c r="A1662">
        <f>IF(OR(出库明细!C662="",出库明细!D662=""),"",IF(OR(COUNTIFS(存条明细!$C$4:$C$1003,出库明细!C662,存条明细!$D$4:$D$1003,出库明细!D662)&gt;0,COUNTIFS(出库明细!$C$4:C662,出库明细!C662,出库明细!$D$4:D662,出库明细!D662)&gt;1),"",IFERROR(MATCH(出库明细!C662,总览汇总!$B$5:$B$304,0),900)*10000000+IFERROR(MATCH(出库明细!D662,基础资料!$E$5:$E$104,0),900)*10000+ROW()))</f>
      </c>
      <c r="F1662">
        <f>IF(AND(出库明细!C1662&lt;&gt;"",出库明细!C1662=客户对账单!$B$4,ISNUMBER(出库明细!B1662),出库明细!B1662&gt;=客户对账单!$G$4,出库明细!B1662&lt;=客户对账单!$I$4),出库明细!B1662+ROW()/100000,"")</f>
      </c>
      <c r="H1662">
        <f>IF(AND(资金台帐!K165&lt;&gt;"",资金台帐!K165=供应商对账单!$B$4,资金台帐!P165="应付",ISNUMBER(资金台帐!B165),资金台帐!B165&gt;=供应商对账单!$G$4,资金台帐!B165&lt;=供应商对账单!$I$4),资金台帐!B165+ROW()/100000,"")</f>
      </c>
      <c r="N1662">
        <f>IF(AND(ISNUMBER(出库明细!G1662),ISNUMBER(出库明细!E1662),ISNUMBER(出库明细!F1662)),IF(ABS(出库明细!G1662-出库明细!E1662*出库明细!F1662)&gt;0.005,1,0),0)</f>
        <v>0</v>
      </c>
    </row>
    <row r="1663">
      <c r="A1663">
        <f>IF(OR(出库明细!C663="",出库明细!D663=""),"",IF(OR(COUNTIFS(存条明细!$C$4:$C$1003,出库明细!C663,存条明细!$D$4:$D$1003,出库明细!D663)&gt;0,COUNTIFS(出库明细!$C$4:C663,出库明细!C663,出库明细!$D$4:D663,出库明细!D663)&gt;1),"",IFERROR(MATCH(出库明细!C663,总览汇总!$B$5:$B$304,0),900)*10000000+IFERROR(MATCH(出库明细!D663,基础资料!$E$5:$E$104,0),900)*10000+ROW()))</f>
      </c>
      <c r="F1663">
        <f>IF(AND(出库明细!C1663&lt;&gt;"",出库明细!C1663=客户对账单!$B$4,ISNUMBER(出库明细!B1663),出库明细!B1663&gt;=客户对账单!$G$4,出库明细!B1663&lt;=客户对账单!$I$4),出库明细!B1663+ROW()/100000,"")</f>
      </c>
      <c r="H1663">
        <f>IF(AND(资金台帐!K166&lt;&gt;"",资金台帐!K166=供应商对账单!$B$4,资金台帐!P166="应付",ISNUMBER(资金台帐!B166),资金台帐!B166&gt;=供应商对账单!$G$4,资金台帐!B166&lt;=供应商对账单!$I$4),资金台帐!B166+ROW()/100000,"")</f>
      </c>
      <c r="N1663">
        <f>IF(AND(ISNUMBER(出库明细!G1663),ISNUMBER(出库明细!E1663),ISNUMBER(出库明细!F1663)),IF(ABS(出库明细!G1663-出库明细!E1663*出库明细!F1663)&gt;0.005,1,0),0)</f>
        <v>0</v>
      </c>
    </row>
    <row r="1664">
      <c r="A1664">
        <f>IF(OR(出库明细!C664="",出库明细!D664=""),"",IF(OR(COUNTIFS(存条明细!$C$4:$C$1003,出库明细!C664,存条明细!$D$4:$D$1003,出库明细!D664)&gt;0,COUNTIFS(出库明细!$C$4:C664,出库明细!C664,出库明细!$D$4:D664,出库明细!D664)&gt;1),"",IFERROR(MATCH(出库明细!C664,总览汇总!$B$5:$B$304,0),900)*10000000+IFERROR(MATCH(出库明细!D664,基础资料!$E$5:$E$104,0),900)*10000+ROW()))</f>
      </c>
      <c r="F1664">
        <f>IF(AND(出库明细!C1664&lt;&gt;"",出库明细!C1664=客户对账单!$B$4,ISNUMBER(出库明细!B1664),出库明细!B1664&gt;=客户对账单!$G$4,出库明细!B1664&lt;=客户对账单!$I$4),出库明细!B1664+ROW()/100000,"")</f>
      </c>
      <c r="H1664">
        <f>IF(AND(资金台帐!K167&lt;&gt;"",资金台帐!K167=供应商对账单!$B$4,资金台帐!P167="应付",ISNUMBER(资金台帐!B167),资金台帐!B167&gt;=供应商对账单!$G$4,资金台帐!B167&lt;=供应商对账单!$I$4),资金台帐!B167+ROW()/100000,"")</f>
      </c>
      <c r="N1664">
        <f>IF(AND(ISNUMBER(出库明细!G1664),ISNUMBER(出库明细!E1664),ISNUMBER(出库明细!F1664)),IF(ABS(出库明细!G1664-出库明细!E1664*出库明细!F1664)&gt;0.005,1,0),0)</f>
        <v>0</v>
      </c>
    </row>
    <row r="1665">
      <c r="A1665">
        <f>IF(OR(出库明细!C665="",出库明细!D665=""),"",IF(OR(COUNTIFS(存条明细!$C$4:$C$1003,出库明细!C665,存条明细!$D$4:$D$1003,出库明细!D665)&gt;0,COUNTIFS(出库明细!$C$4:C665,出库明细!C665,出库明细!$D$4:D665,出库明细!D665)&gt;1),"",IFERROR(MATCH(出库明细!C665,总览汇总!$B$5:$B$304,0),900)*10000000+IFERROR(MATCH(出库明细!D665,基础资料!$E$5:$E$104,0),900)*10000+ROW()))</f>
      </c>
      <c r="F1665">
        <f>IF(AND(出库明细!C1665&lt;&gt;"",出库明细!C1665=客户对账单!$B$4,ISNUMBER(出库明细!B1665),出库明细!B1665&gt;=客户对账单!$G$4,出库明细!B1665&lt;=客户对账单!$I$4),出库明细!B1665+ROW()/100000,"")</f>
      </c>
      <c r="H1665">
        <f>IF(AND(资金台帐!K168&lt;&gt;"",资金台帐!K168=供应商对账单!$B$4,资金台帐!P168="应付",ISNUMBER(资金台帐!B168),资金台帐!B168&gt;=供应商对账单!$G$4,资金台帐!B168&lt;=供应商对账单!$I$4),资金台帐!B168+ROW()/100000,"")</f>
      </c>
      <c r="N1665">
        <f>IF(AND(ISNUMBER(出库明细!G1665),ISNUMBER(出库明细!E1665),ISNUMBER(出库明细!F1665)),IF(ABS(出库明细!G1665-出库明细!E1665*出库明细!F1665)&gt;0.005,1,0),0)</f>
        <v>0</v>
      </c>
    </row>
    <row r="1666">
      <c r="A1666">
        <f>IF(OR(出库明细!C666="",出库明细!D666=""),"",IF(OR(COUNTIFS(存条明细!$C$4:$C$1003,出库明细!C666,存条明细!$D$4:$D$1003,出库明细!D666)&gt;0,COUNTIFS(出库明细!$C$4:C666,出库明细!C666,出库明细!$D$4:D666,出库明细!D666)&gt;1),"",IFERROR(MATCH(出库明细!C666,总览汇总!$B$5:$B$304,0),900)*10000000+IFERROR(MATCH(出库明细!D666,基础资料!$E$5:$E$104,0),900)*10000+ROW()))</f>
      </c>
      <c r="F1666">
        <f>IF(AND(出库明细!C1666&lt;&gt;"",出库明细!C1666=客户对账单!$B$4,ISNUMBER(出库明细!B1666),出库明细!B1666&gt;=客户对账单!$G$4,出库明细!B1666&lt;=客户对账单!$I$4),出库明细!B1666+ROW()/100000,"")</f>
      </c>
      <c r="H1666">
        <f>IF(AND(资金台帐!K169&lt;&gt;"",资金台帐!K169=供应商对账单!$B$4,资金台帐!P169="应付",ISNUMBER(资金台帐!B169),资金台帐!B169&gt;=供应商对账单!$G$4,资金台帐!B169&lt;=供应商对账单!$I$4),资金台帐!B169+ROW()/100000,"")</f>
      </c>
      <c r="N1666">
        <f>IF(AND(ISNUMBER(出库明细!G1666),ISNUMBER(出库明细!E1666),ISNUMBER(出库明细!F1666)),IF(ABS(出库明细!G1666-出库明细!E1666*出库明细!F1666)&gt;0.005,1,0),0)</f>
        <v>0</v>
      </c>
    </row>
    <row r="1667">
      <c r="A1667">
        <f>IF(OR(出库明细!C667="",出库明细!D667=""),"",IF(OR(COUNTIFS(存条明细!$C$4:$C$1003,出库明细!C667,存条明细!$D$4:$D$1003,出库明细!D667)&gt;0,COUNTIFS(出库明细!$C$4:C667,出库明细!C667,出库明细!$D$4:D667,出库明细!D667)&gt;1),"",IFERROR(MATCH(出库明细!C667,总览汇总!$B$5:$B$304,0),900)*10000000+IFERROR(MATCH(出库明细!D667,基础资料!$E$5:$E$104,0),900)*10000+ROW()))</f>
      </c>
      <c r="F1667">
        <f>IF(AND(出库明细!C1667&lt;&gt;"",出库明细!C1667=客户对账单!$B$4,ISNUMBER(出库明细!B1667),出库明细!B1667&gt;=客户对账单!$G$4,出库明细!B1667&lt;=客户对账单!$I$4),出库明细!B1667+ROW()/100000,"")</f>
      </c>
      <c r="H1667">
        <f>IF(AND(资金台帐!K170&lt;&gt;"",资金台帐!K170=供应商对账单!$B$4,资金台帐!P170="应付",ISNUMBER(资金台帐!B170),资金台帐!B170&gt;=供应商对账单!$G$4,资金台帐!B170&lt;=供应商对账单!$I$4),资金台帐!B170+ROW()/100000,"")</f>
      </c>
      <c r="N1667">
        <f>IF(AND(ISNUMBER(出库明细!G1667),ISNUMBER(出库明细!E1667),ISNUMBER(出库明细!F1667)),IF(ABS(出库明细!G1667-出库明细!E1667*出库明细!F1667)&gt;0.005,1,0),0)</f>
        <v>0</v>
      </c>
    </row>
    <row r="1668">
      <c r="A1668">
        <f>IF(OR(出库明细!C668="",出库明细!D668=""),"",IF(OR(COUNTIFS(存条明细!$C$4:$C$1003,出库明细!C668,存条明细!$D$4:$D$1003,出库明细!D668)&gt;0,COUNTIFS(出库明细!$C$4:C668,出库明细!C668,出库明细!$D$4:D668,出库明细!D668)&gt;1),"",IFERROR(MATCH(出库明细!C668,总览汇总!$B$5:$B$304,0),900)*10000000+IFERROR(MATCH(出库明细!D668,基础资料!$E$5:$E$104,0),900)*10000+ROW()))</f>
      </c>
      <c r="F1668">
        <f>IF(AND(出库明细!C1668&lt;&gt;"",出库明细!C1668=客户对账单!$B$4,ISNUMBER(出库明细!B1668),出库明细!B1668&gt;=客户对账单!$G$4,出库明细!B1668&lt;=客户对账单!$I$4),出库明细!B1668+ROW()/100000,"")</f>
      </c>
      <c r="H1668">
        <f>IF(AND(资金台帐!K171&lt;&gt;"",资金台帐!K171=供应商对账单!$B$4,资金台帐!P171="应付",ISNUMBER(资金台帐!B171),资金台帐!B171&gt;=供应商对账单!$G$4,资金台帐!B171&lt;=供应商对账单!$I$4),资金台帐!B171+ROW()/100000,"")</f>
      </c>
      <c r="N1668">
        <f>IF(AND(ISNUMBER(出库明细!G1668),ISNUMBER(出库明细!E1668),ISNUMBER(出库明细!F1668)),IF(ABS(出库明细!G1668-出库明细!E1668*出库明细!F1668)&gt;0.005,1,0),0)</f>
        <v>0</v>
      </c>
    </row>
    <row r="1669">
      <c r="A1669">
        <f>IF(OR(出库明细!C669="",出库明细!D669=""),"",IF(OR(COUNTIFS(存条明细!$C$4:$C$1003,出库明细!C669,存条明细!$D$4:$D$1003,出库明细!D669)&gt;0,COUNTIFS(出库明细!$C$4:C669,出库明细!C669,出库明细!$D$4:D669,出库明细!D669)&gt;1),"",IFERROR(MATCH(出库明细!C669,总览汇总!$B$5:$B$304,0),900)*10000000+IFERROR(MATCH(出库明细!D669,基础资料!$E$5:$E$104,0),900)*10000+ROW()))</f>
      </c>
      <c r="F1669">
        <f>IF(AND(出库明细!C1669&lt;&gt;"",出库明细!C1669=客户对账单!$B$4,ISNUMBER(出库明细!B1669),出库明细!B1669&gt;=客户对账单!$G$4,出库明细!B1669&lt;=客户对账单!$I$4),出库明细!B1669+ROW()/100000,"")</f>
      </c>
      <c r="H1669">
        <f>IF(AND(资金台帐!K172&lt;&gt;"",资金台帐!K172=供应商对账单!$B$4,资金台帐!P172="应付",ISNUMBER(资金台帐!B172),资金台帐!B172&gt;=供应商对账单!$G$4,资金台帐!B172&lt;=供应商对账单!$I$4),资金台帐!B172+ROW()/100000,"")</f>
      </c>
      <c r="N1669">
        <f>IF(AND(ISNUMBER(出库明细!G1669),ISNUMBER(出库明细!E1669),ISNUMBER(出库明细!F1669)),IF(ABS(出库明细!G1669-出库明细!E1669*出库明细!F1669)&gt;0.005,1,0),0)</f>
        <v>0</v>
      </c>
    </row>
    <row r="1670">
      <c r="A1670">
        <f>IF(OR(出库明细!C670="",出库明细!D670=""),"",IF(OR(COUNTIFS(存条明细!$C$4:$C$1003,出库明细!C670,存条明细!$D$4:$D$1003,出库明细!D670)&gt;0,COUNTIFS(出库明细!$C$4:C670,出库明细!C670,出库明细!$D$4:D670,出库明细!D670)&gt;1),"",IFERROR(MATCH(出库明细!C670,总览汇总!$B$5:$B$304,0),900)*10000000+IFERROR(MATCH(出库明细!D670,基础资料!$E$5:$E$104,0),900)*10000+ROW()))</f>
      </c>
      <c r="F1670">
        <f>IF(AND(出库明细!C1670&lt;&gt;"",出库明细!C1670=客户对账单!$B$4,ISNUMBER(出库明细!B1670),出库明细!B1670&gt;=客户对账单!$G$4,出库明细!B1670&lt;=客户对账单!$I$4),出库明细!B1670+ROW()/100000,"")</f>
      </c>
      <c r="H1670">
        <f>IF(AND(资金台帐!K173&lt;&gt;"",资金台帐!K173=供应商对账单!$B$4,资金台帐!P173="应付",ISNUMBER(资金台帐!B173),资金台帐!B173&gt;=供应商对账单!$G$4,资金台帐!B173&lt;=供应商对账单!$I$4),资金台帐!B173+ROW()/100000,"")</f>
      </c>
      <c r="N1670">
        <f>IF(AND(ISNUMBER(出库明细!G1670),ISNUMBER(出库明细!E1670),ISNUMBER(出库明细!F1670)),IF(ABS(出库明细!G1670-出库明细!E1670*出库明细!F1670)&gt;0.005,1,0),0)</f>
        <v>0</v>
      </c>
    </row>
    <row r="1671">
      <c r="A1671">
        <f>IF(OR(出库明细!C671="",出库明细!D671=""),"",IF(OR(COUNTIFS(存条明细!$C$4:$C$1003,出库明细!C671,存条明细!$D$4:$D$1003,出库明细!D671)&gt;0,COUNTIFS(出库明细!$C$4:C671,出库明细!C671,出库明细!$D$4:D671,出库明细!D671)&gt;1),"",IFERROR(MATCH(出库明细!C671,总览汇总!$B$5:$B$304,0),900)*10000000+IFERROR(MATCH(出库明细!D671,基础资料!$E$5:$E$104,0),900)*10000+ROW()))</f>
      </c>
      <c r="F1671">
        <f>IF(AND(出库明细!C1671&lt;&gt;"",出库明细!C1671=客户对账单!$B$4,ISNUMBER(出库明细!B1671),出库明细!B1671&gt;=客户对账单!$G$4,出库明细!B1671&lt;=客户对账单!$I$4),出库明细!B1671+ROW()/100000,"")</f>
      </c>
      <c r="H1671">
        <f>IF(AND(资金台帐!K174&lt;&gt;"",资金台帐!K174=供应商对账单!$B$4,资金台帐!P174="应付",ISNUMBER(资金台帐!B174),资金台帐!B174&gt;=供应商对账单!$G$4,资金台帐!B174&lt;=供应商对账单!$I$4),资金台帐!B174+ROW()/100000,"")</f>
      </c>
      <c r="N1671">
        <f>IF(AND(ISNUMBER(出库明细!G1671),ISNUMBER(出库明细!E1671),ISNUMBER(出库明细!F1671)),IF(ABS(出库明细!G1671-出库明细!E1671*出库明细!F1671)&gt;0.005,1,0),0)</f>
        <v>0</v>
      </c>
    </row>
    <row r="1672">
      <c r="A1672">
        <f>IF(OR(出库明细!C672="",出库明细!D672=""),"",IF(OR(COUNTIFS(存条明细!$C$4:$C$1003,出库明细!C672,存条明细!$D$4:$D$1003,出库明细!D672)&gt;0,COUNTIFS(出库明细!$C$4:C672,出库明细!C672,出库明细!$D$4:D672,出库明细!D672)&gt;1),"",IFERROR(MATCH(出库明细!C672,总览汇总!$B$5:$B$304,0),900)*10000000+IFERROR(MATCH(出库明细!D672,基础资料!$E$5:$E$104,0),900)*10000+ROW()))</f>
      </c>
      <c r="F1672">
        <f>IF(AND(出库明细!C1672&lt;&gt;"",出库明细!C1672=客户对账单!$B$4,ISNUMBER(出库明细!B1672),出库明细!B1672&gt;=客户对账单!$G$4,出库明细!B1672&lt;=客户对账单!$I$4),出库明细!B1672+ROW()/100000,"")</f>
      </c>
      <c r="H1672">
        <f>IF(AND(资金台帐!K175&lt;&gt;"",资金台帐!K175=供应商对账单!$B$4,资金台帐!P175="应付",ISNUMBER(资金台帐!B175),资金台帐!B175&gt;=供应商对账单!$G$4,资金台帐!B175&lt;=供应商对账单!$I$4),资金台帐!B175+ROW()/100000,"")</f>
      </c>
      <c r="N1672">
        <f>IF(AND(ISNUMBER(出库明细!G1672),ISNUMBER(出库明细!E1672),ISNUMBER(出库明细!F1672)),IF(ABS(出库明细!G1672-出库明细!E1672*出库明细!F1672)&gt;0.005,1,0),0)</f>
        <v>0</v>
      </c>
    </row>
    <row r="1673">
      <c r="A1673">
        <f>IF(OR(出库明细!C673="",出库明细!D673=""),"",IF(OR(COUNTIFS(存条明细!$C$4:$C$1003,出库明细!C673,存条明细!$D$4:$D$1003,出库明细!D673)&gt;0,COUNTIFS(出库明细!$C$4:C673,出库明细!C673,出库明细!$D$4:D673,出库明细!D673)&gt;1),"",IFERROR(MATCH(出库明细!C673,总览汇总!$B$5:$B$304,0),900)*10000000+IFERROR(MATCH(出库明细!D673,基础资料!$E$5:$E$104,0),900)*10000+ROW()))</f>
      </c>
      <c r="F1673">
        <f>IF(AND(出库明细!C1673&lt;&gt;"",出库明细!C1673=客户对账单!$B$4,ISNUMBER(出库明细!B1673),出库明细!B1673&gt;=客户对账单!$G$4,出库明细!B1673&lt;=客户对账单!$I$4),出库明细!B1673+ROW()/100000,"")</f>
      </c>
      <c r="H1673">
        <f>IF(AND(资金台帐!K176&lt;&gt;"",资金台帐!K176=供应商对账单!$B$4,资金台帐!P176="应付",ISNUMBER(资金台帐!B176),资金台帐!B176&gt;=供应商对账单!$G$4,资金台帐!B176&lt;=供应商对账单!$I$4),资金台帐!B176+ROW()/100000,"")</f>
      </c>
      <c r="N1673">
        <f>IF(AND(ISNUMBER(出库明细!G1673),ISNUMBER(出库明细!E1673),ISNUMBER(出库明细!F1673)),IF(ABS(出库明细!G1673-出库明细!E1673*出库明细!F1673)&gt;0.005,1,0),0)</f>
        <v>0</v>
      </c>
    </row>
    <row r="1674">
      <c r="A1674">
        <f>IF(OR(出库明细!C674="",出库明细!D674=""),"",IF(OR(COUNTIFS(存条明细!$C$4:$C$1003,出库明细!C674,存条明细!$D$4:$D$1003,出库明细!D674)&gt;0,COUNTIFS(出库明细!$C$4:C674,出库明细!C674,出库明细!$D$4:D674,出库明细!D674)&gt;1),"",IFERROR(MATCH(出库明细!C674,总览汇总!$B$5:$B$304,0),900)*10000000+IFERROR(MATCH(出库明细!D674,基础资料!$E$5:$E$104,0),900)*10000+ROW()))</f>
      </c>
      <c r="F1674">
        <f>IF(AND(出库明细!C1674&lt;&gt;"",出库明细!C1674=客户对账单!$B$4,ISNUMBER(出库明细!B1674),出库明细!B1674&gt;=客户对账单!$G$4,出库明细!B1674&lt;=客户对账单!$I$4),出库明细!B1674+ROW()/100000,"")</f>
      </c>
      <c r="H1674">
        <f>IF(AND(资金台帐!K177&lt;&gt;"",资金台帐!K177=供应商对账单!$B$4,资金台帐!P177="应付",ISNUMBER(资金台帐!B177),资金台帐!B177&gt;=供应商对账单!$G$4,资金台帐!B177&lt;=供应商对账单!$I$4),资金台帐!B177+ROW()/100000,"")</f>
      </c>
      <c r="N1674">
        <f>IF(AND(ISNUMBER(出库明细!G1674),ISNUMBER(出库明细!E1674),ISNUMBER(出库明细!F1674)),IF(ABS(出库明细!G1674-出库明细!E1674*出库明细!F1674)&gt;0.005,1,0),0)</f>
        <v>0</v>
      </c>
    </row>
    <row r="1675">
      <c r="A1675">
        <f>IF(OR(出库明细!C675="",出库明细!D675=""),"",IF(OR(COUNTIFS(存条明细!$C$4:$C$1003,出库明细!C675,存条明细!$D$4:$D$1003,出库明细!D675)&gt;0,COUNTIFS(出库明细!$C$4:C675,出库明细!C675,出库明细!$D$4:D675,出库明细!D675)&gt;1),"",IFERROR(MATCH(出库明细!C675,总览汇总!$B$5:$B$304,0),900)*10000000+IFERROR(MATCH(出库明细!D675,基础资料!$E$5:$E$104,0),900)*10000+ROW()))</f>
      </c>
      <c r="F1675">
        <f>IF(AND(出库明细!C1675&lt;&gt;"",出库明细!C1675=客户对账单!$B$4,ISNUMBER(出库明细!B1675),出库明细!B1675&gt;=客户对账单!$G$4,出库明细!B1675&lt;=客户对账单!$I$4),出库明细!B1675+ROW()/100000,"")</f>
      </c>
      <c r="H1675">
        <f>IF(AND(资金台帐!K178&lt;&gt;"",资金台帐!K178=供应商对账单!$B$4,资金台帐!P178="应付",ISNUMBER(资金台帐!B178),资金台帐!B178&gt;=供应商对账单!$G$4,资金台帐!B178&lt;=供应商对账单!$I$4),资金台帐!B178+ROW()/100000,"")</f>
      </c>
      <c r="N1675">
        <f>IF(AND(ISNUMBER(出库明细!G1675),ISNUMBER(出库明细!E1675),ISNUMBER(出库明细!F1675)),IF(ABS(出库明细!G1675-出库明细!E1675*出库明细!F1675)&gt;0.005,1,0),0)</f>
        <v>0</v>
      </c>
    </row>
    <row r="1676">
      <c r="A1676">
        <f>IF(OR(出库明细!C676="",出库明细!D676=""),"",IF(OR(COUNTIFS(存条明细!$C$4:$C$1003,出库明细!C676,存条明细!$D$4:$D$1003,出库明细!D676)&gt;0,COUNTIFS(出库明细!$C$4:C676,出库明细!C676,出库明细!$D$4:D676,出库明细!D676)&gt;1),"",IFERROR(MATCH(出库明细!C676,总览汇总!$B$5:$B$304,0),900)*10000000+IFERROR(MATCH(出库明细!D676,基础资料!$E$5:$E$104,0),900)*10000+ROW()))</f>
      </c>
      <c r="F1676">
        <f>IF(AND(出库明细!C1676&lt;&gt;"",出库明细!C1676=客户对账单!$B$4,ISNUMBER(出库明细!B1676),出库明细!B1676&gt;=客户对账单!$G$4,出库明细!B1676&lt;=客户对账单!$I$4),出库明细!B1676+ROW()/100000,"")</f>
      </c>
      <c r="H1676">
        <f>IF(AND(资金台帐!K179&lt;&gt;"",资金台帐!K179=供应商对账单!$B$4,资金台帐!P179="应付",ISNUMBER(资金台帐!B179),资金台帐!B179&gt;=供应商对账单!$G$4,资金台帐!B179&lt;=供应商对账单!$I$4),资金台帐!B179+ROW()/100000,"")</f>
      </c>
      <c r="N1676">
        <f>IF(AND(ISNUMBER(出库明细!G1676),ISNUMBER(出库明细!E1676),ISNUMBER(出库明细!F1676)),IF(ABS(出库明细!G1676-出库明细!E1676*出库明细!F1676)&gt;0.005,1,0),0)</f>
        <v>0</v>
      </c>
    </row>
    <row r="1677">
      <c r="A1677">
        <f>IF(OR(出库明细!C677="",出库明细!D677=""),"",IF(OR(COUNTIFS(存条明细!$C$4:$C$1003,出库明细!C677,存条明细!$D$4:$D$1003,出库明细!D677)&gt;0,COUNTIFS(出库明细!$C$4:C677,出库明细!C677,出库明细!$D$4:D677,出库明细!D677)&gt;1),"",IFERROR(MATCH(出库明细!C677,总览汇总!$B$5:$B$304,0),900)*10000000+IFERROR(MATCH(出库明细!D677,基础资料!$E$5:$E$104,0),900)*10000+ROW()))</f>
      </c>
      <c r="F1677">
        <f>IF(AND(出库明细!C1677&lt;&gt;"",出库明细!C1677=客户对账单!$B$4,ISNUMBER(出库明细!B1677),出库明细!B1677&gt;=客户对账单!$G$4,出库明细!B1677&lt;=客户对账单!$I$4),出库明细!B1677+ROW()/100000,"")</f>
      </c>
      <c r="H1677">
        <f>IF(AND(资金台帐!K180&lt;&gt;"",资金台帐!K180=供应商对账单!$B$4,资金台帐!P180="应付",ISNUMBER(资金台帐!B180),资金台帐!B180&gt;=供应商对账单!$G$4,资金台帐!B180&lt;=供应商对账单!$I$4),资金台帐!B180+ROW()/100000,"")</f>
      </c>
      <c r="N1677">
        <f>IF(AND(ISNUMBER(出库明细!G1677),ISNUMBER(出库明细!E1677),ISNUMBER(出库明细!F1677)),IF(ABS(出库明细!G1677-出库明细!E1677*出库明细!F1677)&gt;0.005,1,0),0)</f>
        <v>0</v>
      </c>
    </row>
    <row r="1678">
      <c r="A1678">
        <f>IF(OR(出库明细!C678="",出库明细!D678=""),"",IF(OR(COUNTIFS(存条明细!$C$4:$C$1003,出库明细!C678,存条明细!$D$4:$D$1003,出库明细!D678)&gt;0,COUNTIFS(出库明细!$C$4:C678,出库明细!C678,出库明细!$D$4:D678,出库明细!D678)&gt;1),"",IFERROR(MATCH(出库明细!C678,总览汇总!$B$5:$B$304,0),900)*10000000+IFERROR(MATCH(出库明细!D678,基础资料!$E$5:$E$104,0),900)*10000+ROW()))</f>
      </c>
      <c r="F1678">
        <f>IF(AND(出库明细!C1678&lt;&gt;"",出库明细!C1678=客户对账单!$B$4,ISNUMBER(出库明细!B1678),出库明细!B1678&gt;=客户对账单!$G$4,出库明细!B1678&lt;=客户对账单!$I$4),出库明细!B1678+ROW()/100000,"")</f>
      </c>
      <c r="H1678">
        <f>IF(AND(资金台帐!K181&lt;&gt;"",资金台帐!K181=供应商对账单!$B$4,资金台帐!P181="应付",ISNUMBER(资金台帐!B181),资金台帐!B181&gt;=供应商对账单!$G$4,资金台帐!B181&lt;=供应商对账单!$I$4),资金台帐!B181+ROW()/100000,"")</f>
      </c>
      <c r="N1678">
        <f>IF(AND(ISNUMBER(出库明细!G1678),ISNUMBER(出库明细!E1678),ISNUMBER(出库明细!F1678)),IF(ABS(出库明细!G1678-出库明细!E1678*出库明细!F1678)&gt;0.005,1,0),0)</f>
        <v>0</v>
      </c>
    </row>
    <row r="1679">
      <c r="A1679">
        <f>IF(OR(出库明细!C679="",出库明细!D679=""),"",IF(OR(COUNTIFS(存条明细!$C$4:$C$1003,出库明细!C679,存条明细!$D$4:$D$1003,出库明细!D679)&gt;0,COUNTIFS(出库明细!$C$4:C679,出库明细!C679,出库明细!$D$4:D679,出库明细!D679)&gt;1),"",IFERROR(MATCH(出库明细!C679,总览汇总!$B$5:$B$304,0),900)*10000000+IFERROR(MATCH(出库明细!D679,基础资料!$E$5:$E$104,0),900)*10000+ROW()))</f>
      </c>
      <c r="F1679">
        <f>IF(AND(出库明细!C1679&lt;&gt;"",出库明细!C1679=客户对账单!$B$4,ISNUMBER(出库明细!B1679),出库明细!B1679&gt;=客户对账单!$G$4,出库明细!B1679&lt;=客户对账单!$I$4),出库明细!B1679+ROW()/100000,"")</f>
      </c>
      <c r="H1679">
        <f>IF(AND(资金台帐!K182&lt;&gt;"",资金台帐!K182=供应商对账单!$B$4,资金台帐!P182="应付",ISNUMBER(资金台帐!B182),资金台帐!B182&gt;=供应商对账单!$G$4,资金台帐!B182&lt;=供应商对账单!$I$4),资金台帐!B182+ROW()/100000,"")</f>
      </c>
      <c r="N1679">
        <f>IF(AND(ISNUMBER(出库明细!G1679),ISNUMBER(出库明细!E1679),ISNUMBER(出库明细!F1679)),IF(ABS(出库明细!G1679-出库明细!E1679*出库明细!F1679)&gt;0.005,1,0),0)</f>
        <v>0</v>
      </c>
    </row>
    <row r="1680">
      <c r="A1680">
        <f>IF(OR(出库明细!C680="",出库明细!D680=""),"",IF(OR(COUNTIFS(存条明细!$C$4:$C$1003,出库明细!C680,存条明细!$D$4:$D$1003,出库明细!D680)&gt;0,COUNTIFS(出库明细!$C$4:C680,出库明细!C680,出库明细!$D$4:D680,出库明细!D680)&gt;1),"",IFERROR(MATCH(出库明细!C680,总览汇总!$B$5:$B$304,0),900)*10000000+IFERROR(MATCH(出库明细!D680,基础资料!$E$5:$E$104,0),900)*10000+ROW()))</f>
      </c>
      <c r="F1680">
        <f>IF(AND(出库明细!C1680&lt;&gt;"",出库明细!C1680=客户对账单!$B$4,ISNUMBER(出库明细!B1680),出库明细!B1680&gt;=客户对账单!$G$4,出库明细!B1680&lt;=客户对账单!$I$4),出库明细!B1680+ROW()/100000,"")</f>
      </c>
      <c r="H1680">
        <f>IF(AND(资金台帐!K183&lt;&gt;"",资金台帐!K183=供应商对账单!$B$4,资金台帐!P183="应付",ISNUMBER(资金台帐!B183),资金台帐!B183&gt;=供应商对账单!$G$4,资金台帐!B183&lt;=供应商对账单!$I$4),资金台帐!B183+ROW()/100000,"")</f>
      </c>
      <c r="N1680">
        <f>IF(AND(ISNUMBER(出库明细!G1680),ISNUMBER(出库明细!E1680),ISNUMBER(出库明细!F1680)),IF(ABS(出库明细!G1680-出库明细!E1680*出库明细!F1680)&gt;0.005,1,0),0)</f>
        <v>0</v>
      </c>
    </row>
    <row r="1681">
      <c r="A1681">
        <f>IF(OR(出库明细!C681="",出库明细!D681=""),"",IF(OR(COUNTIFS(存条明细!$C$4:$C$1003,出库明细!C681,存条明细!$D$4:$D$1003,出库明细!D681)&gt;0,COUNTIFS(出库明细!$C$4:C681,出库明细!C681,出库明细!$D$4:D681,出库明细!D681)&gt;1),"",IFERROR(MATCH(出库明细!C681,总览汇总!$B$5:$B$304,0),900)*10000000+IFERROR(MATCH(出库明细!D681,基础资料!$E$5:$E$104,0),900)*10000+ROW()))</f>
      </c>
      <c r="F1681">
        <f>IF(AND(出库明细!C1681&lt;&gt;"",出库明细!C1681=客户对账单!$B$4,ISNUMBER(出库明细!B1681),出库明细!B1681&gt;=客户对账单!$G$4,出库明细!B1681&lt;=客户对账单!$I$4),出库明细!B1681+ROW()/100000,"")</f>
      </c>
      <c r="H1681">
        <f>IF(AND(资金台帐!K184&lt;&gt;"",资金台帐!K184=供应商对账单!$B$4,资金台帐!P184="应付",ISNUMBER(资金台帐!B184),资金台帐!B184&gt;=供应商对账单!$G$4,资金台帐!B184&lt;=供应商对账单!$I$4),资金台帐!B184+ROW()/100000,"")</f>
      </c>
      <c r="N1681">
        <f>IF(AND(ISNUMBER(出库明细!G1681),ISNUMBER(出库明细!E1681),ISNUMBER(出库明细!F1681)),IF(ABS(出库明细!G1681-出库明细!E1681*出库明细!F1681)&gt;0.005,1,0),0)</f>
        <v>0</v>
      </c>
    </row>
    <row r="1682">
      <c r="A1682">
        <f>IF(OR(出库明细!C682="",出库明细!D682=""),"",IF(OR(COUNTIFS(存条明细!$C$4:$C$1003,出库明细!C682,存条明细!$D$4:$D$1003,出库明细!D682)&gt;0,COUNTIFS(出库明细!$C$4:C682,出库明细!C682,出库明细!$D$4:D682,出库明细!D682)&gt;1),"",IFERROR(MATCH(出库明细!C682,总览汇总!$B$5:$B$304,0),900)*10000000+IFERROR(MATCH(出库明细!D682,基础资料!$E$5:$E$104,0),900)*10000+ROW()))</f>
      </c>
      <c r="F1682">
        <f>IF(AND(出库明细!C1682&lt;&gt;"",出库明细!C1682=客户对账单!$B$4,ISNUMBER(出库明细!B1682),出库明细!B1682&gt;=客户对账单!$G$4,出库明细!B1682&lt;=客户对账单!$I$4),出库明细!B1682+ROW()/100000,"")</f>
      </c>
      <c r="H1682">
        <f>IF(AND(资金台帐!K185&lt;&gt;"",资金台帐!K185=供应商对账单!$B$4,资金台帐!P185="应付",ISNUMBER(资金台帐!B185),资金台帐!B185&gt;=供应商对账单!$G$4,资金台帐!B185&lt;=供应商对账单!$I$4),资金台帐!B185+ROW()/100000,"")</f>
      </c>
      <c r="N1682">
        <f>IF(AND(ISNUMBER(出库明细!G1682),ISNUMBER(出库明细!E1682),ISNUMBER(出库明细!F1682)),IF(ABS(出库明细!G1682-出库明细!E1682*出库明细!F1682)&gt;0.005,1,0),0)</f>
        <v>0</v>
      </c>
    </row>
    <row r="1683">
      <c r="A1683">
        <f>IF(OR(出库明细!C683="",出库明细!D683=""),"",IF(OR(COUNTIFS(存条明细!$C$4:$C$1003,出库明细!C683,存条明细!$D$4:$D$1003,出库明细!D683)&gt;0,COUNTIFS(出库明细!$C$4:C683,出库明细!C683,出库明细!$D$4:D683,出库明细!D683)&gt;1),"",IFERROR(MATCH(出库明细!C683,总览汇总!$B$5:$B$304,0),900)*10000000+IFERROR(MATCH(出库明细!D683,基础资料!$E$5:$E$104,0),900)*10000+ROW()))</f>
      </c>
      <c r="F1683">
        <f>IF(AND(出库明细!C1683&lt;&gt;"",出库明细!C1683=客户对账单!$B$4,ISNUMBER(出库明细!B1683),出库明细!B1683&gt;=客户对账单!$G$4,出库明细!B1683&lt;=客户对账单!$I$4),出库明细!B1683+ROW()/100000,"")</f>
      </c>
      <c r="H1683">
        <f>IF(AND(资金台帐!K186&lt;&gt;"",资金台帐!K186=供应商对账单!$B$4,资金台帐!P186="应付",ISNUMBER(资金台帐!B186),资金台帐!B186&gt;=供应商对账单!$G$4,资金台帐!B186&lt;=供应商对账单!$I$4),资金台帐!B186+ROW()/100000,"")</f>
      </c>
      <c r="N1683">
        <f>IF(AND(ISNUMBER(出库明细!G1683),ISNUMBER(出库明细!E1683),ISNUMBER(出库明细!F1683)),IF(ABS(出库明细!G1683-出库明细!E1683*出库明细!F1683)&gt;0.005,1,0),0)</f>
        <v>0</v>
      </c>
    </row>
    <row r="1684">
      <c r="A1684">
        <f>IF(OR(出库明细!C684="",出库明细!D684=""),"",IF(OR(COUNTIFS(存条明细!$C$4:$C$1003,出库明细!C684,存条明细!$D$4:$D$1003,出库明细!D684)&gt;0,COUNTIFS(出库明细!$C$4:C684,出库明细!C684,出库明细!$D$4:D684,出库明细!D684)&gt;1),"",IFERROR(MATCH(出库明细!C684,总览汇总!$B$5:$B$304,0),900)*10000000+IFERROR(MATCH(出库明细!D684,基础资料!$E$5:$E$104,0),900)*10000+ROW()))</f>
      </c>
      <c r="F1684">
        <f>IF(AND(出库明细!C1684&lt;&gt;"",出库明细!C1684=客户对账单!$B$4,ISNUMBER(出库明细!B1684),出库明细!B1684&gt;=客户对账单!$G$4,出库明细!B1684&lt;=客户对账单!$I$4),出库明细!B1684+ROW()/100000,"")</f>
      </c>
      <c r="H1684">
        <f>IF(AND(资金台帐!K187&lt;&gt;"",资金台帐!K187=供应商对账单!$B$4,资金台帐!P187="应付",ISNUMBER(资金台帐!B187),资金台帐!B187&gt;=供应商对账单!$G$4,资金台帐!B187&lt;=供应商对账单!$I$4),资金台帐!B187+ROW()/100000,"")</f>
      </c>
      <c r="N1684">
        <f>IF(AND(ISNUMBER(出库明细!G1684),ISNUMBER(出库明细!E1684),ISNUMBER(出库明细!F1684)),IF(ABS(出库明细!G1684-出库明细!E1684*出库明细!F1684)&gt;0.005,1,0),0)</f>
        <v>0</v>
      </c>
    </row>
    <row r="1685">
      <c r="A1685">
        <f>IF(OR(出库明细!C685="",出库明细!D685=""),"",IF(OR(COUNTIFS(存条明细!$C$4:$C$1003,出库明细!C685,存条明细!$D$4:$D$1003,出库明细!D685)&gt;0,COUNTIFS(出库明细!$C$4:C685,出库明细!C685,出库明细!$D$4:D685,出库明细!D685)&gt;1),"",IFERROR(MATCH(出库明细!C685,总览汇总!$B$5:$B$304,0),900)*10000000+IFERROR(MATCH(出库明细!D685,基础资料!$E$5:$E$104,0),900)*10000+ROW()))</f>
      </c>
      <c r="F1685">
        <f>IF(AND(出库明细!C1685&lt;&gt;"",出库明细!C1685=客户对账单!$B$4,ISNUMBER(出库明细!B1685),出库明细!B1685&gt;=客户对账单!$G$4,出库明细!B1685&lt;=客户对账单!$I$4),出库明细!B1685+ROW()/100000,"")</f>
      </c>
      <c r="H1685">
        <f>IF(AND(资金台帐!K188&lt;&gt;"",资金台帐!K188=供应商对账单!$B$4,资金台帐!P188="应付",ISNUMBER(资金台帐!B188),资金台帐!B188&gt;=供应商对账单!$G$4,资金台帐!B188&lt;=供应商对账单!$I$4),资金台帐!B188+ROW()/100000,"")</f>
      </c>
      <c r="N1685">
        <f>IF(AND(ISNUMBER(出库明细!G1685),ISNUMBER(出库明细!E1685),ISNUMBER(出库明细!F1685)),IF(ABS(出库明细!G1685-出库明细!E1685*出库明细!F1685)&gt;0.005,1,0),0)</f>
        <v>0</v>
      </c>
    </row>
    <row r="1686">
      <c r="A1686">
        <f>IF(OR(出库明细!C686="",出库明细!D686=""),"",IF(OR(COUNTIFS(存条明细!$C$4:$C$1003,出库明细!C686,存条明细!$D$4:$D$1003,出库明细!D686)&gt;0,COUNTIFS(出库明细!$C$4:C686,出库明细!C686,出库明细!$D$4:D686,出库明细!D686)&gt;1),"",IFERROR(MATCH(出库明细!C686,总览汇总!$B$5:$B$304,0),900)*10000000+IFERROR(MATCH(出库明细!D686,基础资料!$E$5:$E$104,0),900)*10000+ROW()))</f>
      </c>
      <c r="F1686">
        <f>IF(AND(出库明细!C1686&lt;&gt;"",出库明细!C1686=客户对账单!$B$4,ISNUMBER(出库明细!B1686),出库明细!B1686&gt;=客户对账单!$G$4,出库明细!B1686&lt;=客户对账单!$I$4),出库明细!B1686+ROW()/100000,"")</f>
      </c>
      <c r="H1686">
        <f>IF(AND(资金台帐!K189&lt;&gt;"",资金台帐!K189=供应商对账单!$B$4,资金台帐!P189="应付",ISNUMBER(资金台帐!B189),资金台帐!B189&gt;=供应商对账单!$G$4,资金台帐!B189&lt;=供应商对账单!$I$4),资金台帐!B189+ROW()/100000,"")</f>
      </c>
      <c r="N1686">
        <f>IF(AND(ISNUMBER(出库明细!G1686),ISNUMBER(出库明细!E1686),ISNUMBER(出库明细!F1686)),IF(ABS(出库明细!G1686-出库明细!E1686*出库明细!F1686)&gt;0.005,1,0),0)</f>
        <v>0</v>
      </c>
    </row>
    <row r="1687">
      <c r="A1687">
        <f>IF(OR(出库明细!C687="",出库明细!D687=""),"",IF(OR(COUNTIFS(存条明细!$C$4:$C$1003,出库明细!C687,存条明细!$D$4:$D$1003,出库明细!D687)&gt;0,COUNTIFS(出库明细!$C$4:C687,出库明细!C687,出库明细!$D$4:D687,出库明细!D687)&gt;1),"",IFERROR(MATCH(出库明细!C687,总览汇总!$B$5:$B$304,0),900)*10000000+IFERROR(MATCH(出库明细!D687,基础资料!$E$5:$E$104,0),900)*10000+ROW()))</f>
      </c>
      <c r="F1687">
        <f>IF(AND(出库明细!C1687&lt;&gt;"",出库明细!C1687=客户对账单!$B$4,ISNUMBER(出库明细!B1687),出库明细!B1687&gt;=客户对账单!$G$4,出库明细!B1687&lt;=客户对账单!$I$4),出库明细!B1687+ROW()/100000,"")</f>
      </c>
      <c r="H1687">
        <f>IF(AND(资金台帐!K190&lt;&gt;"",资金台帐!K190=供应商对账单!$B$4,资金台帐!P190="应付",ISNUMBER(资金台帐!B190),资金台帐!B190&gt;=供应商对账单!$G$4,资金台帐!B190&lt;=供应商对账单!$I$4),资金台帐!B190+ROW()/100000,"")</f>
      </c>
      <c r="N1687">
        <f>IF(AND(ISNUMBER(出库明细!G1687),ISNUMBER(出库明细!E1687),ISNUMBER(出库明细!F1687)),IF(ABS(出库明细!G1687-出库明细!E1687*出库明细!F1687)&gt;0.005,1,0),0)</f>
        <v>0</v>
      </c>
    </row>
    <row r="1688">
      <c r="A1688">
        <f>IF(OR(出库明细!C688="",出库明细!D688=""),"",IF(OR(COUNTIFS(存条明细!$C$4:$C$1003,出库明细!C688,存条明细!$D$4:$D$1003,出库明细!D688)&gt;0,COUNTIFS(出库明细!$C$4:C688,出库明细!C688,出库明细!$D$4:D688,出库明细!D688)&gt;1),"",IFERROR(MATCH(出库明细!C688,总览汇总!$B$5:$B$304,0),900)*10000000+IFERROR(MATCH(出库明细!D688,基础资料!$E$5:$E$104,0),900)*10000+ROW()))</f>
      </c>
      <c r="F1688">
        <f>IF(AND(出库明细!C1688&lt;&gt;"",出库明细!C1688=客户对账单!$B$4,ISNUMBER(出库明细!B1688),出库明细!B1688&gt;=客户对账单!$G$4,出库明细!B1688&lt;=客户对账单!$I$4),出库明细!B1688+ROW()/100000,"")</f>
      </c>
      <c r="H1688">
        <f>IF(AND(资金台帐!K191&lt;&gt;"",资金台帐!K191=供应商对账单!$B$4,资金台帐!P191="应付",ISNUMBER(资金台帐!B191),资金台帐!B191&gt;=供应商对账单!$G$4,资金台帐!B191&lt;=供应商对账单!$I$4),资金台帐!B191+ROW()/100000,"")</f>
      </c>
      <c r="N1688">
        <f>IF(AND(ISNUMBER(出库明细!G1688),ISNUMBER(出库明细!E1688),ISNUMBER(出库明细!F1688)),IF(ABS(出库明细!G1688-出库明细!E1688*出库明细!F1688)&gt;0.005,1,0),0)</f>
        <v>0</v>
      </c>
    </row>
    <row r="1689">
      <c r="A1689">
        <f>IF(OR(出库明细!C689="",出库明细!D689=""),"",IF(OR(COUNTIFS(存条明细!$C$4:$C$1003,出库明细!C689,存条明细!$D$4:$D$1003,出库明细!D689)&gt;0,COUNTIFS(出库明细!$C$4:C689,出库明细!C689,出库明细!$D$4:D689,出库明细!D689)&gt;1),"",IFERROR(MATCH(出库明细!C689,总览汇总!$B$5:$B$304,0),900)*10000000+IFERROR(MATCH(出库明细!D689,基础资料!$E$5:$E$104,0),900)*10000+ROW()))</f>
      </c>
      <c r="F1689">
        <f>IF(AND(出库明细!C1689&lt;&gt;"",出库明细!C1689=客户对账单!$B$4,ISNUMBER(出库明细!B1689),出库明细!B1689&gt;=客户对账单!$G$4,出库明细!B1689&lt;=客户对账单!$I$4),出库明细!B1689+ROW()/100000,"")</f>
      </c>
      <c r="H1689">
        <f>IF(AND(资金台帐!K192&lt;&gt;"",资金台帐!K192=供应商对账单!$B$4,资金台帐!P192="应付",ISNUMBER(资金台帐!B192),资金台帐!B192&gt;=供应商对账单!$G$4,资金台帐!B192&lt;=供应商对账单!$I$4),资金台帐!B192+ROW()/100000,"")</f>
      </c>
      <c r="N1689">
        <f>IF(AND(ISNUMBER(出库明细!G1689),ISNUMBER(出库明细!E1689),ISNUMBER(出库明细!F1689)),IF(ABS(出库明细!G1689-出库明细!E1689*出库明细!F1689)&gt;0.005,1,0),0)</f>
        <v>0</v>
      </c>
    </row>
    <row r="1690">
      <c r="A1690">
        <f>IF(OR(出库明细!C690="",出库明细!D690=""),"",IF(OR(COUNTIFS(存条明细!$C$4:$C$1003,出库明细!C690,存条明细!$D$4:$D$1003,出库明细!D690)&gt;0,COUNTIFS(出库明细!$C$4:C690,出库明细!C690,出库明细!$D$4:D690,出库明细!D690)&gt;1),"",IFERROR(MATCH(出库明细!C690,总览汇总!$B$5:$B$304,0),900)*10000000+IFERROR(MATCH(出库明细!D690,基础资料!$E$5:$E$104,0),900)*10000+ROW()))</f>
      </c>
      <c r="F1690">
        <f>IF(AND(出库明细!C1690&lt;&gt;"",出库明细!C1690=客户对账单!$B$4,ISNUMBER(出库明细!B1690),出库明细!B1690&gt;=客户对账单!$G$4,出库明细!B1690&lt;=客户对账单!$I$4),出库明细!B1690+ROW()/100000,"")</f>
      </c>
      <c r="H1690">
        <f>IF(AND(资金台帐!K193&lt;&gt;"",资金台帐!K193=供应商对账单!$B$4,资金台帐!P193="应付",ISNUMBER(资金台帐!B193),资金台帐!B193&gt;=供应商对账单!$G$4,资金台帐!B193&lt;=供应商对账单!$I$4),资金台帐!B193+ROW()/100000,"")</f>
      </c>
      <c r="N1690">
        <f>IF(AND(ISNUMBER(出库明细!G1690),ISNUMBER(出库明细!E1690),ISNUMBER(出库明细!F1690)),IF(ABS(出库明细!G1690-出库明细!E1690*出库明细!F1690)&gt;0.005,1,0),0)</f>
        <v>0</v>
      </c>
    </row>
    <row r="1691">
      <c r="A1691">
        <f>IF(OR(出库明细!C691="",出库明细!D691=""),"",IF(OR(COUNTIFS(存条明细!$C$4:$C$1003,出库明细!C691,存条明细!$D$4:$D$1003,出库明细!D691)&gt;0,COUNTIFS(出库明细!$C$4:C691,出库明细!C691,出库明细!$D$4:D691,出库明细!D691)&gt;1),"",IFERROR(MATCH(出库明细!C691,总览汇总!$B$5:$B$304,0),900)*10000000+IFERROR(MATCH(出库明细!D691,基础资料!$E$5:$E$104,0),900)*10000+ROW()))</f>
      </c>
      <c r="F1691">
        <f>IF(AND(出库明细!C1691&lt;&gt;"",出库明细!C1691=客户对账单!$B$4,ISNUMBER(出库明细!B1691),出库明细!B1691&gt;=客户对账单!$G$4,出库明细!B1691&lt;=客户对账单!$I$4),出库明细!B1691+ROW()/100000,"")</f>
      </c>
      <c r="H1691">
        <f>IF(AND(资金台帐!K194&lt;&gt;"",资金台帐!K194=供应商对账单!$B$4,资金台帐!P194="应付",ISNUMBER(资金台帐!B194),资金台帐!B194&gt;=供应商对账单!$G$4,资金台帐!B194&lt;=供应商对账单!$I$4),资金台帐!B194+ROW()/100000,"")</f>
      </c>
      <c r="N1691">
        <f>IF(AND(ISNUMBER(出库明细!G1691),ISNUMBER(出库明细!E1691),ISNUMBER(出库明细!F1691)),IF(ABS(出库明细!G1691-出库明细!E1691*出库明细!F1691)&gt;0.005,1,0),0)</f>
        <v>0</v>
      </c>
    </row>
    <row r="1692">
      <c r="A1692">
        <f>IF(OR(出库明细!C692="",出库明细!D692=""),"",IF(OR(COUNTIFS(存条明细!$C$4:$C$1003,出库明细!C692,存条明细!$D$4:$D$1003,出库明细!D692)&gt;0,COUNTIFS(出库明细!$C$4:C692,出库明细!C692,出库明细!$D$4:D692,出库明细!D692)&gt;1),"",IFERROR(MATCH(出库明细!C692,总览汇总!$B$5:$B$304,0),900)*10000000+IFERROR(MATCH(出库明细!D692,基础资料!$E$5:$E$104,0),900)*10000+ROW()))</f>
      </c>
      <c r="F1692">
        <f>IF(AND(出库明细!C1692&lt;&gt;"",出库明细!C1692=客户对账单!$B$4,ISNUMBER(出库明细!B1692),出库明细!B1692&gt;=客户对账单!$G$4,出库明细!B1692&lt;=客户对账单!$I$4),出库明细!B1692+ROW()/100000,"")</f>
      </c>
      <c r="H1692">
        <f>IF(AND(资金台帐!K195&lt;&gt;"",资金台帐!K195=供应商对账单!$B$4,资金台帐!P195="应付",ISNUMBER(资金台帐!B195),资金台帐!B195&gt;=供应商对账单!$G$4,资金台帐!B195&lt;=供应商对账单!$I$4),资金台帐!B195+ROW()/100000,"")</f>
      </c>
      <c r="N1692">
        <f>IF(AND(ISNUMBER(出库明细!G1692),ISNUMBER(出库明细!E1692),ISNUMBER(出库明细!F1692)),IF(ABS(出库明细!G1692-出库明细!E1692*出库明细!F1692)&gt;0.005,1,0),0)</f>
        <v>0</v>
      </c>
    </row>
    <row r="1693">
      <c r="A1693">
        <f>IF(OR(出库明细!C693="",出库明细!D693=""),"",IF(OR(COUNTIFS(存条明细!$C$4:$C$1003,出库明细!C693,存条明细!$D$4:$D$1003,出库明细!D693)&gt;0,COUNTIFS(出库明细!$C$4:C693,出库明细!C693,出库明细!$D$4:D693,出库明细!D693)&gt;1),"",IFERROR(MATCH(出库明细!C693,总览汇总!$B$5:$B$304,0),900)*10000000+IFERROR(MATCH(出库明细!D693,基础资料!$E$5:$E$104,0),900)*10000+ROW()))</f>
      </c>
      <c r="F1693">
        <f>IF(AND(出库明细!C1693&lt;&gt;"",出库明细!C1693=客户对账单!$B$4,ISNUMBER(出库明细!B1693),出库明细!B1693&gt;=客户对账单!$G$4,出库明细!B1693&lt;=客户对账单!$I$4),出库明细!B1693+ROW()/100000,"")</f>
      </c>
      <c r="H1693">
        <f>IF(AND(资金台帐!K196&lt;&gt;"",资金台帐!K196=供应商对账单!$B$4,资金台帐!P196="应付",ISNUMBER(资金台帐!B196),资金台帐!B196&gt;=供应商对账单!$G$4,资金台帐!B196&lt;=供应商对账单!$I$4),资金台帐!B196+ROW()/100000,"")</f>
      </c>
      <c r="N1693">
        <f>IF(AND(ISNUMBER(出库明细!G1693),ISNUMBER(出库明细!E1693),ISNUMBER(出库明细!F1693)),IF(ABS(出库明细!G1693-出库明细!E1693*出库明细!F1693)&gt;0.005,1,0),0)</f>
        <v>0</v>
      </c>
    </row>
    <row r="1694">
      <c r="A1694">
        <f>IF(OR(出库明细!C694="",出库明细!D694=""),"",IF(OR(COUNTIFS(存条明细!$C$4:$C$1003,出库明细!C694,存条明细!$D$4:$D$1003,出库明细!D694)&gt;0,COUNTIFS(出库明细!$C$4:C694,出库明细!C694,出库明细!$D$4:D694,出库明细!D694)&gt;1),"",IFERROR(MATCH(出库明细!C694,总览汇总!$B$5:$B$304,0),900)*10000000+IFERROR(MATCH(出库明细!D694,基础资料!$E$5:$E$104,0),900)*10000+ROW()))</f>
      </c>
      <c r="F1694">
        <f>IF(AND(出库明细!C1694&lt;&gt;"",出库明细!C1694=客户对账单!$B$4,ISNUMBER(出库明细!B1694),出库明细!B1694&gt;=客户对账单!$G$4,出库明细!B1694&lt;=客户对账单!$I$4),出库明细!B1694+ROW()/100000,"")</f>
      </c>
      <c r="H1694">
        <f>IF(AND(资金台帐!K197&lt;&gt;"",资金台帐!K197=供应商对账单!$B$4,资金台帐!P197="应付",ISNUMBER(资金台帐!B197),资金台帐!B197&gt;=供应商对账单!$G$4,资金台帐!B197&lt;=供应商对账单!$I$4),资金台帐!B197+ROW()/100000,"")</f>
      </c>
      <c r="N1694">
        <f>IF(AND(ISNUMBER(出库明细!G1694),ISNUMBER(出库明细!E1694),ISNUMBER(出库明细!F1694)),IF(ABS(出库明细!G1694-出库明细!E1694*出库明细!F1694)&gt;0.005,1,0),0)</f>
        <v>0</v>
      </c>
    </row>
    <row r="1695">
      <c r="A1695">
        <f>IF(OR(出库明细!C695="",出库明细!D695=""),"",IF(OR(COUNTIFS(存条明细!$C$4:$C$1003,出库明细!C695,存条明细!$D$4:$D$1003,出库明细!D695)&gt;0,COUNTIFS(出库明细!$C$4:C695,出库明细!C695,出库明细!$D$4:D695,出库明细!D695)&gt;1),"",IFERROR(MATCH(出库明细!C695,总览汇总!$B$5:$B$304,0),900)*10000000+IFERROR(MATCH(出库明细!D695,基础资料!$E$5:$E$104,0),900)*10000+ROW()))</f>
      </c>
      <c r="F1695">
        <f>IF(AND(出库明细!C1695&lt;&gt;"",出库明细!C1695=客户对账单!$B$4,ISNUMBER(出库明细!B1695),出库明细!B1695&gt;=客户对账单!$G$4,出库明细!B1695&lt;=客户对账单!$I$4),出库明细!B1695+ROW()/100000,"")</f>
      </c>
      <c r="H1695">
        <f>IF(AND(资金台帐!K198&lt;&gt;"",资金台帐!K198=供应商对账单!$B$4,资金台帐!P198="应付",ISNUMBER(资金台帐!B198),资金台帐!B198&gt;=供应商对账单!$G$4,资金台帐!B198&lt;=供应商对账单!$I$4),资金台帐!B198+ROW()/100000,"")</f>
      </c>
      <c r="N1695">
        <f>IF(AND(ISNUMBER(出库明细!G1695),ISNUMBER(出库明细!E1695),ISNUMBER(出库明细!F1695)),IF(ABS(出库明细!G1695-出库明细!E1695*出库明细!F1695)&gt;0.005,1,0),0)</f>
        <v>0</v>
      </c>
    </row>
    <row r="1696">
      <c r="A1696">
        <f>IF(OR(出库明细!C696="",出库明细!D696=""),"",IF(OR(COUNTIFS(存条明细!$C$4:$C$1003,出库明细!C696,存条明细!$D$4:$D$1003,出库明细!D696)&gt;0,COUNTIFS(出库明细!$C$4:C696,出库明细!C696,出库明细!$D$4:D696,出库明细!D696)&gt;1),"",IFERROR(MATCH(出库明细!C696,总览汇总!$B$5:$B$304,0),900)*10000000+IFERROR(MATCH(出库明细!D696,基础资料!$E$5:$E$104,0),900)*10000+ROW()))</f>
      </c>
      <c r="F1696">
        <f>IF(AND(出库明细!C1696&lt;&gt;"",出库明细!C1696=客户对账单!$B$4,ISNUMBER(出库明细!B1696),出库明细!B1696&gt;=客户对账单!$G$4,出库明细!B1696&lt;=客户对账单!$I$4),出库明细!B1696+ROW()/100000,"")</f>
      </c>
      <c r="H1696">
        <f>IF(AND(资金台帐!K199&lt;&gt;"",资金台帐!K199=供应商对账单!$B$4,资金台帐!P199="应付",ISNUMBER(资金台帐!B199),资金台帐!B199&gt;=供应商对账单!$G$4,资金台帐!B199&lt;=供应商对账单!$I$4),资金台帐!B199+ROW()/100000,"")</f>
      </c>
      <c r="N1696">
        <f>IF(AND(ISNUMBER(出库明细!G1696),ISNUMBER(出库明细!E1696),ISNUMBER(出库明细!F1696)),IF(ABS(出库明细!G1696-出库明细!E1696*出库明细!F1696)&gt;0.005,1,0),0)</f>
        <v>0</v>
      </c>
    </row>
    <row r="1697">
      <c r="A1697">
        <f>IF(OR(出库明细!C697="",出库明细!D697=""),"",IF(OR(COUNTIFS(存条明细!$C$4:$C$1003,出库明细!C697,存条明细!$D$4:$D$1003,出库明细!D697)&gt;0,COUNTIFS(出库明细!$C$4:C697,出库明细!C697,出库明细!$D$4:D697,出库明细!D697)&gt;1),"",IFERROR(MATCH(出库明细!C697,总览汇总!$B$5:$B$304,0),900)*10000000+IFERROR(MATCH(出库明细!D697,基础资料!$E$5:$E$104,0),900)*10000+ROW()))</f>
      </c>
      <c r="F1697">
        <f>IF(AND(出库明细!C1697&lt;&gt;"",出库明细!C1697=客户对账单!$B$4,ISNUMBER(出库明细!B1697),出库明细!B1697&gt;=客户对账单!$G$4,出库明细!B1697&lt;=客户对账单!$I$4),出库明细!B1697+ROW()/100000,"")</f>
      </c>
      <c r="H1697">
        <f>IF(AND(资金台帐!K200&lt;&gt;"",资金台帐!K200=供应商对账单!$B$4,资金台帐!P200="应付",ISNUMBER(资金台帐!B200),资金台帐!B200&gt;=供应商对账单!$G$4,资金台帐!B200&lt;=供应商对账单!$I$4),资金台帐!B200+ROW()/100000,"")</f>
      </c>
      <c r="N1697">
        <f>IF(AND(ISNUMBER(出库明细!G1697),ISNUMBER(出库明细!E1697),ISNUMBER(出库明细!F1697)),IF(ABS(出库明细!G1697-出库明细!E1697*出库明细!F1697)&gt;0.005,1,0),0)</f>
        <v>0</v>
      </c>
    </row>
    <row r="1698">
      <c r="A1698">
        <f>IF(OR(出库明细!C698="",出库明细!D698=""),"",IF(OR(COUNTIFS(存条明细!$C$4:$C$1003,出库明细!C698,存条明细!$D$4:$D$1003,出库明细!D698)&gt;0,COUNTIFS(出库明细!$C$4:C698,出库明细!C698,出库明细!$D$4:D698,出库明细!D698)&gt;1),"",IFERROR(MATCH(出库明细!C698,总览汇总!$B$5:$B$304,0),900)*10000000+IFERROR(MATCH(出库明细!D698,基础资料!$E$5:$E$104,0),900)*10000+ROW()))</f>
      </c>
      <c r="F1698">
        <f>IF(AND(出库明细!C1698&lt;&gt;"",出库明细!C1698=客户对账单!$B$4,ISNUMBER(出库明细!B1698),出库明细!B1698&gt;=客户对账单!$G$4,出库明细!B1698&lt;=客户对账单!$I$4),出库明细!B1698+ROW()/100000,"")</f>
      </c>
      <c r="H1698">
        <f>IF(AND(资金台帐!K201&lt;&gt;"",资金台帐!K201=供应商对账单!$B$4,资金台帐!P201="应付",ISNUMBER(资金台帐!B201),资金台帐!B201&gt;=供应商对账单!$G$4,资金台帐!B201&lt;=供应商对账单!$I$4),资金台帐!B201+ROW()/100000,"")</f>
      </c>
      <c r="N1698">
        <f>IF(AND(ISNUMBER(出库明细!G1698),ISNUMBER(出库明细!E1698),ISNUMBER(出库明细!F1698)),IF(ABS(出库明细!G1698-出库明细!E1698*出库明细!F1698)&gt;0.005,1,0),0)</f>
        <v>0</v>
      </c>
    </row>
    <row r="1699">
      <c r="A1699">
        <f>IF(OR(出库明细!C699="",出库明细!D699=""),"",IF(OR(COUNTIFS(存条明细!$C$4:$C$1003,出库明细!C699,存条明细!$D$4:$D$1003,出库明细!D699)&gt;0,COUNTIFS(出库明细!$C$4:C699,出库明细!C699,出库明细!$D$4:D699,出库明细!D699)&gt;1),"",IFERROR(MATCH(出库明细!C699,总览汇总!$B$5:$B$304,0),900)*10000000+IFERROR(MATCH(出库明细!D699,基础资料!$E$5:$E$104,0),900)*10000+ROW()))</f>
      </c>
      <c r="F1699">
        <f>IF(AND(出库明细!C1699&lt;&gt;"",出库明细!C1699=客户对账单!$B$4,ISNUMBER(出库明细!B1699),出库明细!B1699&gt;=客户对账单!$G$4,出库明细!B1699&lt;=客户对账单!$I$4),出库明细!B1699+ROW()/100000,"")</f>
      </c>
      <c r="H1699">
        <f>IF(AND(资金台帐!K202&lt;&gt;"",资金台帐!K202=供应商对账单!$B$4,资金台帐!P202="应付",ISNUMBER(资金台帐!B202),资金台帐!B202&gt;=供应商对账单!$G$4,资金台帐!B202&lt;=供应商对账单!$I$4),资金台帐!B202+ROW()/100000,"")</f>
      </c>
      <c r="N1699">
        <f>IF(AND(ISNUMBER(出库明细!G1699),ISNUMBER(出库明细!E1699),ISNUMBER(出库明细!F1699)),IF(ABS(出库明细!G1699-出库明细!E1699*出库明细!F1699)&gt;0.005,1,0),0)</f>
        <v>0</v>
      </c>
    </row>
    <row r="1700">
      <c r="A1700">
        <f>IF(OR(出库明细!C700="",出库明细!D700=""),"",IF(OR(COUNTIFS(存条明细!$C$4:$C$1003,出库明细!C700,存条明细!$D$4:$D$1003,出库明细!D700)&gt;0,COUNTIFS(出库明细!$C$4:C700,出库明细!C700,出库明细!$D$4:D700,出库明细!D700)&gt;1),"",IFERROR(MATCH(出库明细!C700,总览汇总!$B$5:$B$304,0),900)*10000000+IFERROR(MATCH(出库明细!D700,基础资料!$E$5:$E$104,0),900)*10000+ROW()))</f>
      </c>
      <c r="F1700">
        <f>IF(AND(出库明细!C1700&lt;&gt;"",出库明细!C1700=客户对账单!$B$4,ISNUMBER(出库明细!B1700),出库明细!B1700&gt;=客户对账单!$G$4,出库明细!B1700&lt;=客户对账单!$I$4),出库明细!B1700+ROW()/100000,"")</f>
      </c>
      <c r="H1700">
        <f>IF(AND(资金台帐!K203&lt;&gt;"",资金台帐!K203=供应商对账单!$B$4,资金台帐!P203="应付",ISNUMBER(资金台帐!B203),资金台帐!B203&gt;=供应商对账单!$G$4,资金台帐!B203&lt;=供应商对账单!$I$4),资金台帐!B203+ROW()/100000,"")</f>
      </c>
      <c r="N1700">
        <f>IF(AND(ISNUMBER(出库明细!G1700),ISNUMBER(出库明细!E1700),ISNUMBER(出库明细!F1700)),IF(ABS(出库明细!G1700-出库明细!E1700*出库明细!F1700)&gt;0.005,1,0),0)</f>
        <v>0</v>
      </c>
    </row>
    <row r="1701">
      <c r="A1701">
        <f>IF(OR(出库明细!C701="",出库明细!D701=""),"",IF(OR(COUNTIFS(存条明细!$C$4:$C$1003,出库明细!C701,存条明细!$D$4:$D$1003,出库明细!D701)&gt;0,COUNTIFS(出库明细!$C$4:C701,出库明细!C701,出库明细!$D$4:D701,出库明细!D701)&gt;1),"",IFERROR(MATCH(出库明细!C701,总览汇总!$B$5:$B$304,0),900)*10000000+IFERROR(MATCH(出库明细!D701,基础资料!$E$5:$E$104,0),900)*10000+ROW()))</f>
      </c>
      <c r="F1701">
        <f>IF(AND(出库明细!C1701&lt;&gt;"",出库明细!C1701=客户对账单!$B$4,ISNUMBER(出库明细!B1701),出库明细!B1701&gt;=客户对账单!$G$4,出库明细!B1701&lt;=客户对账单!$I$4),出库明细!B1701+ROW()/100000,"")</f>
      </c>
      <c r="H1701">
        <f>IF(AND(资金台帐!K204&lt;&gt;"",资金台帐!K204=供应商对账单!$B$4,资金台帐!P204="应付",ISNUMBER(资金台帐!B204),资金台帐!B204&gt;=供应商对账单!$G$4,资金台帐!B204&lt;=供应商对账单!$I$4),资金台帐!B204+ROW()/100000,"")</f>
      </c>
      <c r="N1701">
        <f>IF(AND(ISNUMBER(出库明细!G1701),ISNUMBER(出库明细!E1701),ISNUMBER(出库明细!F1701)),IF(ABS(出库明细!G1701-出库明细!E1701*出库明细!F1701)&gt;0.005,1,0),0)</f>
        <v>0</v>
      </c>
    </row>
    <row r="1702">
      <c r="A1702">
        <f>IF(OR(出库明细!C702="",出库明细!D702=""),"",IF(OR(COUNTIFS(存条明细!$C$4:$C$1003,出库明细!C702,存条明细!$D$4:$D$1003,出库明细!D702)&gt;0,COUNTIFS(出库明细!$C$4:C702,出库明细!C702,出库明细!$D$4:D702,出库明细!D702)&gt;1),"",IFERROR(MATCH(出库明细!C702,总览汇总!$B$5:$B$304,0),900)*10000000+IFERROR(MATCH(出库明细!D702,基础资料!$E$5:$E$104,0),900)*10000+ROW()))</f>
      </c>
      <c r="F1702">
        <f>IF(AND(出库明细!C1702&lt;&gt;"",出库明细!C1702=客户对账单!$B$4,ISNUMBER(出库明细!B1702),出库明细!B1702&gt;=客户对账单!$G$4,出库明细!B1702&lt;=客户对账单!$I$4),出库明细!B1702+ROW()/100000,"")</f>
      </c>
      <c r="H1702">
        <f>IF(AND(资金台帐!K205&lt;&gt;"",资金台帐!K205=供应商对账单!$B$4,资金台帐!P205="应付",ISNUMBER(资金台帐!B205),资金台帐!B205&gt;=供应商对账单!$G$4,资金台帐!B205&lt;=供应商对账单!$I$4),资金台帐!B205+ROW()/100000,"")</f>
      </c>
      <c r="N1702">
        <f>IF(AND(ISNUMBER(出库明细!G1702),ISNUMBER(出库明细!E1702),ISNUMBER(出库明细!F1702)),IF(ABS(出库明细!G1702-出库明细!E1702*出库明细!F1702)&gt;0.005,1,0),0)</f>
        <v>0</v>
      </c>
    </row>
    <row r="1703">
      <c r="A1703">
        <f>IF(OR(出库明细!C703="",出库明细!D703=""),"",IF(OR(COUNTIFS(存条明细!$C$4:$C$1003,出库明细!C703,存条明细!$D$4:$D$1003,出库明细!D703)&gt;0,COUNTIFS(出库明细!$C$4:C703,出库明细!C703,出库明细!$D$4:D703,出库明细!D703)&gt;1),"",IFERROR(MATCH(出库明细!C703,总览汇总!$B$5:$B$304,0),900)*10000000+IFERROR(MATCH(出库明细!D703,基础资料!$E$5:$E$104,0),900)*10000+ROW()))</f>
      </c>
      <c r="F1703">
        <f>IF(AND(出库明细!C1703&lt;&gt;"",出库明细!C1703=客户对账单!$B$4,ISNUMBER(出库明细!B1703),出库明细!B1703&gt;=客户对账单!$G$4,出库明细!B1703&lt;=客户对账单!$I$4),出库明细!B1703+ROW()/100000,"")</f>
      </c>
      <c r="H1703">
        <f>IF(AND(资金台帐!K206&lt;&gt;"",资金台帐!K206=供应商对账单!$B$4,资金台帐!P206="应付",ISNUMBER(资金台帐!B206),资金台帐!B206&gt;=供应商对账单!$G$4,资金台帐!B206&lt;=供应商对账单!$I$4),资金台帐!B206+ROW()/100000,"")</f>
      </c>
      <c r="N1703">
        <f>IF(AND(ISNUMBER(出库明细!G1703),ISNUMBER(出库明细!E1703),ISNUMBER(出库明细!F1703)),IF(ABS(出库明细!G1703-出库明细!E1703*出库明细!F1703)&gt;0.005,1,0),0)</f>
        <v>0</v>
      </c>
    </row>
    <row r="1704">
      <c r="A1704">
        <f>IF(OR(出库明细!C704="",出库明细!D704=""),"",IF(OR(COUNTIFS(存条明细!$C$4:$C$1003,出库明细!C704,存条明细!$D$4:$D$1003,出库明细!D704)&gt;0,COUNTIFS(出库明细!$C$4:C704,出库明细!C704,出库明细!$D$4:D704,出库明细!D704)&gt;1),"",IFERROR(MATCH(出库明细!C704,总览汇总!$B$5:$B$304,0),900)*10000000+IFERROR(MATCH(出库明细!D704,基础资料!$E$5:$E$104,0),900)*10000+ROW()))</f>
      </c>
      <c r="F1704">
        <f>IF(AND(出库明细!C1704&lt;&gt;"",出库明细!C1704=客户对账单!$B$4,ISNUMBER(出库明细!B1704),出库明细!B1704&gt;=客户对账单!$G$4,出库明细!B1704&lt;=客户对账单!$I$4),出库明细!B1704+ROW()/100000,"")</f>
      </c>
      <c r="H1704">
        <f>IF(AND(资金台帐!K207&lt;&gt;"",资金台帐!K207=供应商对账单!$B$4,资金台帐!P207="应付",ISNUMBER(资金台帐!B207),资金台帐!B207&gt;=供应商对账单!$G$4,资金台帐!B207&lt;=供应商对账单!$I$4),资金台帐!B207+ROW()/100000,"")</f>
      </c>
      <c r="N1704">
        <f>IF(AND(ISNUMBER(出库明细!G1704),ISNUMBER(出库明细!E1704),ISNUMBER(出库明细!F1704)),IF(ABS(出库明细!G1704-出库明细!E1704*出库明细!F1704)&gt;0.005,1,0),0)</f>
        <v>0</v>
      </c>
    </row>
    <row r="1705">
      <c r="A1705">
        <f>IF(OR(出库明细!C705="",出库明细!D705=""),"",IF(OR(COUNTIFS(存条明细!$C$4:$C$1003,出库明细!C705,存条明细!$D$4:$D$1003,出库明细!D705)&gt;0,COUNTIFS(出库明细!$C$4:C705,出库明细!C705,出库明细!$D$4:D705,出库明细!D705)&gt;1),"",IFERROR(MATCH(出库明细!C705,总览汇总!$B$5:$B$304,0),900)*10000000+IFERROR(MATCH(出库明细!D705,基础资料!$E$5:$E$104,0),900)*10000+ROW()))</f>
      </c>
      <c r="F1705">
        <f>IF(AND(出库明细!C1705&lt;&gt;"",出库明细!C1705=客户对账单!$B$4,ISNUMBER(出库明细!B1705),出库明细!B1705&gt;=客户对账单!$G$4,出库明细!B1705&lt;=客户对账单!$I$4),出库明细!B1705+ROW()/100000,"")</f>
      </c>
      <c r="H1705">
        <f>IF(AND(资金台帐!K208&lt;&gt;"",资金台帐!K208=供应商对账单!$B$4,资金台帐!P208="应付",ISNUMBER(资金台帐!B208),资金台帐!B208&gt;=供应商对账单!$G$4,资金台帐!B208&lt;=供应商对账单!$I$4),资金台帐!B208+ROW()/100000,"")</f>
      </c>
      <c r="N1705">
        <f>IF(AND(ISNUMBER(出库明细!G1705),ISNUMBER(出库明细!E1705),ISNUMBER(出库明细!F1705)),IF(ABS(出库明细!G1705-出库明细!E1705*出库明细!F1705)&gt;0.005,1,0),0)</f>
        <v>0</v>
      </c>
    </row>
    <row r="1706">
      <c r="A1706">
        <f>IF(OR(出库明细!C706="",出库明细!D706=""),"",IF(OR(COUNTIFS(存条明细!$C$4:$C$1003,出库明细!C706,存条明细!$D$4:$D$1003,出库明细!D706)&gt;0,COUNTIFS(出库明细!$C$4:C706,出库明细!C706,出库明细!$D$4:D706,出库明细!D706)&gt;1),"",IFERROR(MATCH(出库明细!C706,总览汇总!$B$5:$B$304,0),900)*10000000+IFERROR(MATCH(出库明细!D706,基础资料!$E$5:$E$104,0),900)*10000+ROW()))</f>
      </c>
      <c r="F1706">
        <f>IF(AND(出库明细!C1706&lt;&gt;"",出库明细!C1706=客户对账单!$B$4,ISNUMBER(出库明细!B1706),出库明细!B1706&gt;=客户对账单!$G$4,出库明细!B1706&lt;=客户对账单!$I$4),出库明细!B1706+ROW()/100000,"")</f>
      </c>
      <c r="H1706">
        <f>IF(AND(资金台帐!K209&lt;&gt;"",资金台帐!K209=供应商对账单!$B$4,资金台帐!P209="应付",ISNUMBER(资金台帐!B209),资金台帐!B209&gt;=供应商对账单!$G$4,资金台帐!B209&lt;=供应商对账单!$I$4),资金台帐!B209+ROW()/100000,"")</f>
      </c>
      <c r="N1706">
        <f>IF(AND(ISNUMBER(出库明细!G1706),ISNUMBER(出库明细!E1706),ISNUMBER(出库明细!F1706)),IF(ABS(出库明细!G1706-出库明细!E1706*出库明细!F1706)&gt;0.005,1,0),0)</f>
        <v>0</v>
      </c>
    </row>
    <row r="1707">
      <c r="A1707">
        <f>IF(OR(出库明细!C707="",出库明细!D707=""),"",IF(OR(COUNTIFS(存条明细!$C$4:$C$1003,出库明细!C707,存条明细!$D$4:$D$1003,出库明细!D707)&gt;0,COUNTIFS(出库明细!$C$4:C707,出库明细!C707,出库明细!$D$4:D707,出库明细!D707)&gt;1),"",IFERROR(MATCH(出库明细!C707,总览汇总!$B$5:$B$304,0),900)*10000000+IFERROR(MATCH(出库明细!D707,基础资料!$E$5:$E$104,0),900)*10000+ROW()))</f>
      </c>
      <c r="F1707">
        <f>IF(AND(出库明细!C1707&lt;&gt;"",出库明细!C1707=客户对账单!$B$4,ISNUMBER(出库明细!B1707),出库明细!B1707&gt;=客户对账单!$G$4,出库明细!B1707&lt;=客户对账单!$I$4),出库明细!B1707+ROW()/100000,"")</f>
      </c>
      <c r="H1707">
        <f>IF(AND(资金台帐!K210&lt;&gt;"",资金台帐!K210=供应商对账单!$B$4,资金台帐!P210="应付",ISNUMBER(资金台帐!B210),资金台帐!B210&gt;=供应商对账单!$G$4,资金台帐!B210&lt;=供应商对账单!$I$4),资金台帐!B210+ROW()/100000,"")</f>
      </c>
      <c r="N1707">
        <f>IF(AND(ISNUMBER(出库明细!G1707),ISNUMBER(出库明细!E1707),ISNUMBER(出库明细!F1707)),IF(ABS(出库明细!G1707-出库明细!E1707*出库明细!F1707)&gt;0.005,1,0),0)</f>
        <v>0</v>
      </c>
    </row>
    <row r="1708">
      <c r="A1708">
        <f>IF(OR(出库明细!C708="",出库明细!D708=""),"",IF(OR(COUNTIFS(存条明细!$C$4:$C$1003,出库明细!C708,存条明细!$D$4:$D$1003,出库明细!D708)&gt;0,COUNTIFS(出库明细!$C$4:C708,出库明细!C708,出库明细!$D$4:D708,出库明细!D708)&gt;1),"",IFERROR(MATCH(出库明细!C708,总览汇总!$B$5:$B$304,0),900)*10000000+IFERROR(MATCH(出库明细!D708,基础资料!$E$5:$E$104,0),900)*10000+ROW()))</f>
      </c>
      <c r="F1708">
        <f>IF(AND(出库明细!C1708&lt;&gt;"",出库明细!C1708=客户对账单!$B$4,ISNUMBER(出库明细!B1708),出库明细!B1708&gt;=客户对账单!$G$4,出库明细!B1708&lt;=客户对账单!$I$4),出库明细!B1708+ROW()/100000,"")</f>
      </c>
      <c r="H1708">
        <f>IF(AND(资金台帐!K211&lt;&gt;"",资金台帐!K211=供应商对账单!$B$4,资金台帐!P211="应付",ISNUMBER(资金台帐!B211),资金台帐!B211&gt;=供应商对账单!$G$4,资金台帐!B211&lt;=供应商对账单!$I$4),资金台帐!B211+ROW()/100000,"")</f>
      </c>
      <c r="N1708">
        <f>IF(AND(ISNUMBER(出库明细!G1708),ISNUMBER(出库明细!E1708),ISNUMBER(出库明细!F1708)),IF(ABS(出库明细!G1708-出库明细!E1708*出库明细!F1708)&gt;0.005,1,0),0)</f>
        <v>0</v>
      </c>
    </row>
    <row r="1709">
      <c r="A1709">
        <f>IF(OR(出库明细!C709="",出库明细!D709=""),"",IF(OR(COUNTIFS(存条明细!$C$4:$C$1003,出库明细!C709,存条明细!$D$4:$D$1003,出库明细!D709)&gt;0,COUNTIFS(出库明细!$C$4:C709,出库明细!C709,出库明细!$D$4:D709,出库明细!D709)&gt;1),"",IFERROR(MATCH(出库明细!C709,总览汇总!$B$5:$B$304,0),900)*10000000+IFERROR(MATCH(出库明细!D709,基础资料!$E$5:$E$104,0),900)*10000+ROW()))</f>
      </c>
      <c r="F1709">
        <f>IF(AND(出库明细!C1709&lt;&gt;"",出库明细!C1709=客户对账单!$B$4,ISNUMBER(出库明细!B1709),出库明细!B1709&gt;=客户对账单!$G$4,出库明细!B1709&lt;=客户对账单!$I$4),出库明细!B1709+ROW()/100000,"")</f>
      </c>
      <c r="H1709">
        <f>IF(AND(资金台帐!K212&lt;&gt;"",资金台帐!K212=供应商对账单!$B$4,资金台帐!P212="应付",ISNUMBER(资金台帐!B212),资金台帐!B212&gt;=供应商对账单!$G$4,资金台帐!B212&lt;=供应商对账单!$I$4),资金台帐!B212+ROW()/100000,"")</f>
      </c>
      <c r="N1709">
        <f>IF(AND(ISNUMBER(出库明细!G1709),ISNUMBER(出库明细!E1709),ISNUMBER(出库明细!F1709)),IF(ABS(出库明细!G1709-出库明细!E1709*出库明细!F1709)&gt;0.005,1,0),0)</f>
        <v>0</v>
      </c>
    </row>
    <row r="1710">
      <c r="A1710">
        <f>IF(OR(出库明细!C710="",出库明细!D710=""),"",IF(OR(COUNTIFS(存条明细!$C$4:$C$1003,出库明细!C710,存条明细!$D$4:$D$1003,出库明细!D710)&gt;0,COUNTIFS(出库明细!$C$4:C710,出库明细!C710,出库明细!$D$4:D710,出库明细!D710)&gt;1),"",IFERROR(MATCH(出库明细!C710,总览汇总!$B$5:$B$304,0),900)*10000000+IFERROR(MATCH(出库明细!D710,基础资料!$E$5:$E$104,0),900)*10000+ROW()))</f>
      </c>
      <c r="F1710">
        <f>IF(AND(出库明细!C1710&lt;&gt;"",出库明细!C1710=客户对账单!$B$4,ISNUMBER(出库明细!B1710),出库明细!B1710&gt;=客户对账单!$G$4,出库明细!B1710&lt;=客户对账单!$I$4),出库明细!B1710+ROW()/100000,"")</f>
      </c>
      <c r="H1710">
        <f>IF(AND(资金台帐!K213&lt;&gt;"",资金台帐!K213=供应商对账单!$B$4,资金台帐!P213="应付",ISNUMBER(资金台帐!B213),资金台帐!B213&gt;=供应商对账单!$G$4,资金台帐!B213&lt;=供应商对账单!$I$4),资金台帐!B213+ROW()/100000,"")</f>
      </c>
      <c r="N1710">
        <f>IF(AND(ISNUMBER(出库明细!G1710),ISNUMBER(出库明细!E1710),ISNUMBER(出库明细!F1710)),IF(ABS(出库明细!G1710-出库明细!E1710*出库明细!F1710)&gt;0.005,1,0),0)</f>
        <v>0</v>
      </c>
    </row>
    <row r="1711">
      <c r="A1711">
        <f>IF(OR(出库明细!C711="",出库明细!D711=""),"",IF(OR(COUNTIFS(存条明细!$C$4:$C$1003,出库明细!C711,存条明细!$D$4:$D$1003,出库明细!D711)&gt;0,COUNTIFS(出库明细!$C$4:C711,出库明细!C711,出库明细!$D$4:D711,出库明细!D711)&gt;1),"",IFERROR(MATCH(出库明细!C711,总览汇总!$B$5:$B$304,0),900)*10000000+IFERROR(MATCH(出库明细!D711,基础资料!$E$5:$E$104,0),900)*10000+ROW()))</f>
      </c>
      <c r="F1711">
        <f>IF(AND(出库明细!C1711&lt;&gt;"",出库明细!C1711=客户对账单!$B$4,ISNUMBER(出库明细!B1711),出库明细!B1711&gt;=客户对账单!$G$4,出库明细!B1711&lt;=客户对账单!$I$4),出库明细!B1711+ROW()/100000,"")</f>
      </c>
      <c r="H1711">
        <f>IF(AND(资金台帐!K214&lt;&gt;"",资金台帐!K214=供应商对账单!$B$4,资金台帐!P214="应付",ISNUMBER(资金台帐!B214),资金台帐!B214&gt;=供应商对账单!$G$4,资金台帐!B214&lt;=供应商对账单!$I$4),资金台帐!B214+ROW()/100000,"")</f>
      </c>
      <c r="N1711">
        <f>IF(AND(ISNUMBER(出库明细!G1711),ISNUMBER(出库明细!E1711),ISNUMBER(出库明细!F1711)),IF(ABS(出库明细!G1711-出库明细!E1711*出库明细!F1711)&gt;0.005,1,0),0)</f>
        <v>0</v>
      </c>
    </row>
    <row r="1712">
      <c r="A1712">
        <f>IF(OR(出库明细!C712="",出库明细!D712=""),"",IF(OR(COUNTIFS(存条明细!$C$4:$C$1003,出库明细!C712,存条明细!$D$4:$D$1003,出库明细!D712)&gt;0,COUNTIFS(出库明细!$C$4:C712,出库明细!C712,出库明细!$D$4:D712,出库明细!D712)&gt;1),"",IFERROR(MATCH(出库明细!C712,总览汇总!$B$5:$B$304,0),900)*10000000+IFERROR(MATCH(出库明细!D712,基础资料!$E$5:$E$104,0),900)*10000+ROW()))</f>
      </c>
      <c r="F1712">
        <f>IF(AND(出库明细!C1712&lt;&gt;"",出库明细!C1712=客户对账单!$B$4,ISNUMBER(出库明细!B1712),出库明细!B1712&gt;=客户对账单!$G$4,出库明细!B1712&lt;=客户对账单!$I$4),出库明细!B1712+ROW()/100000,"")</f>
      </c>
      <c r="H1712">
        <f>IF(AND(资金台帐!K215&lt;&gt;"",资金台帐!K215=供应商对账单!$B$4,资金台帐!P215="应付",ISNUMBER(资金台帐!B215),资金台帐!B215&gt;=供应商对账单!$G$4,资金台帐!B215&lt;=供应商对账单!$I$4),资金台帐!B215+ROW()/100000,"")</f>
      </c>
      <c r="N1712">
        <f>IF(AND(ISNUMBER(出库明细!G1712),ISNUMBER(出库明细!E1712),ISNUMBER(出库明细!F1712)),IF(ABS(出库明细!G1712-出库明细!E1712*出库明细!F1712)&gt;0.005,1,0),0)</f>
        <v>0</v>
      </c>
    </row>
    <row r="1713">
      <c r="A1713">
        <f>IF(OR(出库明细!C713="",出库明细!D713=""),"",IF(OR(COUNTIFS(存条明细!$C$4:$C$1003,出库明细!C713,存条明细!$D$4:$D$1003,出库明细!D713)&gt;0,COUNTIFS(出库明细!$C$4:C713,出库明细!C713,出库明细!$D$4:D713,出库明细!D713)&gt;1),"",IFERROR(MATCH(出库明细!C713,总览汇总!$B$5:$B$304,0),900)*10000000+IFERROR(MATCH(出库明细!D713,基础资料!$E$5:$E$104,0),900)*10000+ROW()))</f>
      </c>
      <c r="F1713">
        <f>IF(AND(出库明细!C1713&lt;&gt;"",出库明细!C1713=客户对账单!$B$4,ISNUMBER(出库明细!B1713),出库明细!B1713&gt;=客户对账单!$G$4,出库明细!B1713&lt;=客户对账单!$I$4),出库明细!B1713+ROW()/100000,"")</f>
      </c>
      <c r="H1713">
        <f>IF(AND(资金台帐!K216&lt;&gt;"",资金台帐!K216=供应商对账单!$B$4,资金台帐!P216="应付",ISNUMBER(资金台帐!B216),资金台帐!B216&gt;=供应商对账单!$G$4,资金台帐!B216&lt;=供应商对账单!$I$4),资金台帐!B216+ROW()/100000,"")</f>
      </c>
      <c r="N1713">
        <f>IF(AND(ISNUMBER(出库明细!G1713),ISNUMBER(出库明细!E1713),ISNUMBER(出库明细!F1713)),IF(ABS(出库明细!G1713-出库明细!E1713*出库明细!F1713)&gt;0.005,1,0),0)</f>
        <v>0</v>
      </c>
    </row>
    <row r="1714">
      <c r="A1714">
        <f>IF(OR(出库明细!C714="",出库明细!D714=""),"",IF(OR(COUNTIFS(存条明细!$C$4:$C$1003,出库明细!C714,存条明细!$D$4:$D$1003,出库明细!D714)&gt;0,COUNTIFS(出库明细!$C$4:C714,出库明细!C714,出库明细!$D$4:D714,出库明细!D714)&gt;1),"",IFERROR(MATCH(出库明细!C714,总览汇总!$B$5:$B$304,0),900)*10000000+IFERROR(MATCH(出库明细!D714,基础资料!$E$5:$E$104,0),900)*10000+ROW()))</f>
      </c>
      <c r="F1714">
        <f>IF(AND(出库明细!C1714&lt;&gt;"",出库明细!C1714=客户对账单!$B$4,ISNUMBER(出库明细!B1714),出库明细!B1714&gt;=客户对账单!$G$4,出库明细!B1714&lt;=客户对账单!$I$4),出库明细!B1714+ROW()/100000,"")</f>
      </c>
      <c r="H1714">
        <f>IF(AND(资金台帐!K217&lt;&gt;"",资金台帐!K217=供应商对账单!$B$4,资金台帐!P217="应付",ISNUMBER(资金台帐!B217),资金台帐!B217&gt;=供应商对账单!$G$4,资金台帐!B217&lt;=供应商对账单!$I$4),资金台帐!B217+ROW()/100000,"")</f>
      </c>
      <c r="N1714">
        <f>IF(AND(ISNUMBER(出库明细!G1714),ISNUMBER(出库明细!E1714),ISNUMBER(出库明细!F1714)),IF(ABS(出库明细!G1714-出库明细!E1714*出库明细!F1714)&gt;0.005,1,0),0)</f>
        <v>0</v>
      </c>
    </row>
    <row r="1715">
      <c r="A1715">
        <f>IF(OR(出库明细!C715="",出库明细!D715=""),"",IF(OR(COUNTIFS(存条明细!$C$4:$C$1003,出库明细!C715,存条明细!$D$4:$D$1003,出库明细!D715)&gt;0,COUNTIFS(出库明细!$C$4:C715,出库明细!C715,出库明细!$D$4:D715,出库明细!D715)&gt;1),"",IFERROR(MATCH(出库明细!C715,总览汇总!$B$5:$B$304,0),900)*10000000+IFERROR(MATCH(出库明细!D715,基础资料!$E$5:$E$104,0),900)*10000+ROW()))</f>
      </c>
      <c r="F1715">
        <f>IF(AND(出库明细!C1715&lt;&gt;"",出库明细!C1715=客户对账单!$B$4,ISNUMBER(出库明细!B1715),出库明细!B1715&gt;=客户对账单!$G$4,出库明细!B1715&lt;=客户对账单!$I$4),出库明细!B1715+ROW()/100000,"")</f>
      </c>
      <c r="H1715">
        <f>IF(AND(资金台帐!K218&lt;&gt;"",资金台帐!K218=供应商对账单!$B$4,资金台帐!P218="应付",ISNUMBER(资金台帐!B218),资金台帐!B218&gt;=供应商对账单!$G$4,资金台帐!B218&lt;=供应商对账单!$I$4),资金台帐!B218+ROW()/100000,"")</f>
      </c>
      <c r="N1715">
        <f>IF(AND(ISNUMBER(出库明细!G1715),ISNUMBER(出库明细!E1715),ISNUMBER(出库明细!F1715)),IF(ABS(出库明细!G1715-出库明细!E1715*出库明细!F1715)&gt;0.005,1,0),0)</f>
        <v>0</v>
      </c>
    </row>
    <row r="1716">
      <c r="A1716">
        <f>IF(OR(出库明细!C716="",出库明细!D716=""),"",IF(OR(COUNTIFS(存条明细!$C$4:$C$1003,出库明细!C716,存条明细!$D$4:$D$1003,出库明细!D716)&gt;0,COUNTIFS(出库明细!$C$4:C716,出库明细!C716,出库明细!$D$4:D716,出库明细!D716)&gt;1),"",IFERROR(MATCH(出库明细!C716,总览汇总!$B$5:$B$304,0),900)*10000000+IFERROR(MATCH(出库明细!D716,基础资料!$E$5:$E$104,0),900)*10000+ROW()))</f>
      </c>
      <c r="F1716">
        <f>IF(AND(出库明细!C1716&lt;&gt;"",出库明细!C1716=客户对账单!$B$4,ISNUMBER(出库明细!B1716),出库明细!B1716&gt;=客户对账单!$G$4,出库明细!B1716&lt;=客户对账单!$I$4),出库明细!B1716+ROW()/100000,"")</f>
      </c>
      <c r="H1716">
        <f>IF(AND(资金台帐!K219&lt;&gt;"",资金台帐!K219=供应商对账单!$B$4,资金台帐!P219="应付",ISNUMBER(资金台帐!B219),资金台帐!B219&gt;=供应商对账单!$G$4,资金台帐!B219&lt;=供应商对账单!$I$4),资金台帐!B219+ROW()/100000,"")</f>
      </c>
      <c r="N1716">
        <f>IF(AND(ISNUMBER(出库明细!G1716),ISNUMBER(出库明细!E1716),ISNUMBER(出库明细!F1716)),IF(ABS(出库明细!G1716-出库明细!E1716*出库明细!F1716)&gt;0.005,1,0),0)</f>
        <v>0</v>
      </c>
    </row>
    <row r="1717">
      <c r="A1717">
        <f>IF(OR(出库明细!C717="",出库明细!D717=""),"",IF(OR(COUNTIFS(存条明细!$C$4:$C$1003,出库明细!C717,存条明细!$D$4:$D$1003,出库明细!D717)&gt;0,COUNTIFS(出库明细!$C$4:C717,出库明细!C717,出库明细!$D$4:D717,出库明细!D717)&gt;1),"",IFERROR(MATCH(出库明细!C717,总览汇总!$B$5:$B$304,0),900)*10000000+IFERROR(MATCH(出库明细!D717,基础资料!$E$5:$E$104,0),900)*10000+ROW()))</f>
      </c>
      <c r="F1717">
        <f>IF(AND(出库明细!C1717&lt;&gt;"",出库明细!C1717=客户对账单!$B$4,ISNUMBER(出库明细!B1717),出库明细!B1717&gt;=客户对账单!$G$4,出库明细!B1717&lt;=客户对账单!$I$4),出库明细!B1717+ROW()/100000,"")</f>
      </c>
      <c r="H1717">
        <f>IF(AND(资金台帐!K220&lt;&gt;"",资金台帐!K220=供应商对账单!$B$4,资金台帐!P220="应付",ISNUMBER(资金台帐!B220),资金台帐!B220&gt;=供应商对账单!$G$4,资金台帐!B220&lt;=供应商对账单!$I$4),资金台帐!B220+ROW()/100000,"")</f>
      </c>
      <c r="N1717">
        <f>IF(AND(ISNUMBER(出库明细!G1717),ISNUMBER(出库明细!E1717),ISNUMBER(出库明细!F1717)),IF(ABS(出库明细!G1717-出库明细!E1717*出库明细!F1717)&gt;0.005,1,0),0)</f>
        <v>0</v>
      </c>
    </row>
    <row r="1718">
      <c r="A1718">
        <f>IF(OR(出库明细!C718="",出库明细!D718=""),"",IF(OR(COUNTIFS(存条明细!$C$4:$C$1003,出库明细!C718,存条明细!$D$4:$D$1003,出库明细!D718)&gt;0,COUNTIFS(出库明细!$C$4:C718,出库明细!C718,出库明细!$D$4:D718,出库明细!D718)&gt;1),"",IFERROR(MATCH(出库明细!C718,总览汇总!$B$5:$B$304,0),900)*10000000+IFERROR(MATCH(出库明细!D718,基础资料!$E$5:$E$104,0),900)*10000+ROW()))</f>
      </c>
      <c r="F1718">
        <f>IF(AND(出库明细!C1718&lt;&gt;"",出库明细!C1718=客户对账单!$B$4,ISNUMBER(出库明细!B1718),出库明细!B1718&gt;=客户对账单!$G$4,出库明细!B1718&lt;=客户对账单!$I$4),出库明细!B1718+ROW()/100000,"")</f>
      </c>
      <c r="H1718">
        <f>IF(AND(资金台帐!K221&lt;&gt;"",资金台帐!K221=供应商对账单!$B$4,资金台帐!P221="应付",ISNUMBER(资金台帐!B221),资金台帐!B221&gt;=供应商对账单!$G$4,资金台帐!B221&lt;=供应商对账单!$I$4),资金台帐!B221+ROW()/100000,"")</f>
      </c>
      <c r="N1718">
        <f>IF(AND(ISNUMBER(出库明细!G1718),ISNUMBER(出库明细!E1718),ISNUMBER(出库明细!F1718)),IF(ABS(出库明细!G1718-出库明细!E1718*出库明细!F1718)&gt;0.005,1,0),0)</f>
        <v>0</v>
      </c>
    </row>
    <row r="1719">
      <c r="A1719">
        <f>IF(OR(出库明细!C719="",出库明细!D719=""),"",IF(OR(COUNTIFS(存条明细!$C$4:$C$1003,出库明细!C719,存条明细!$D$4:$D$1003,出库明细!D719)&gt;0,COUNTIFS(出库明细!$C$4:C719,出库明细!C719,出库明细!$D$4:D719,出库明细!D719)&gt;1),"",IFERROR(MATCH(出库明细!C719,总览汇总!$B$5:$B$304,0),900)*10000000+IFERROR(MATCH(出库明细!D719,基础资料!$E$5:$E$104,0),900)*10000+ROW()))</f>
      </c>
      <c r="F1719">
        <f>IF(AND(出库明细!C1719&lt;&gt;"",出库明细!C1719=客户对账单!$B$4,ISNUMBER(出库明细!B1719),出库明细!B1719&gt;=客户对账单!$G$4,出库明细!B1719&lt;=客户对账单!$I$4),出库明细!B1719+ROW()/100000,"")</f>
      </c>
      <c r="H1719">
        <f>IF(AND(资金台帐!K222&lt;&gt;"",资金台帐!K222=供应商对账单!$B$4,资金台帐!P222="应付",ISNUMBER(资金台帐!B222),资金台帐!B222&gt;=供应商对账单!$G$4,资金台帐!B222&lt;=供应商对账单!$I$4),资金台帐!B222+ROW()/100000,"")</f>
      </c>
      <c r="N1719">
        <f>IF(AND(ISNUMBER(出库明细!G1719),ISNUMBER(出库明细!E1719),ISNUMBER(出库明细!F1719)),IF(ABS(出库明细!G1719-出库明细!E1719*出库明细!F1719)&gt;0.005,1,0),0)</f>
        <v>0</v>
      </c>
    </row>
    <row r="1720">
      <c r="A1720">
        <f>IF(OR(出库明细!C720="",出库明细!D720=""),"",IF(OR(COUNTIFS(存条明细!$C$4:$C$1003,出库明细!C720,存条明细!$D$4:$D$1003,出库明细!D720)&gt;0,COUNTIFS(出库明细!$C$4:C720,出库明细!C720,出库明细!$D$4:D720,出库明细!D720)&gt;1),"",IFERROR(MATCH(出库明细!C720,总览汇总!$B$5:$B$304,0),900)*10000000+IFERROR(MATCH(出库明细!D720,基础资料!$E$5:$E$104,0),900)*10000+ROW()))</f>
      </c>
      <c r="F1720">
        <f>IF(AND(出库明细!C1720&lt;&gt;"",出库明细!C1720=客户对账单!$B$4,ISNUMBER(出库明细!B1720),出库明细!B1720&gt;=客户对账单!$G$4,出库明细!B1720&lt;=客户对账单!$I$4),出库明细!B1720+ROW()/100000,"")</f>
      </c>
      <c r="H1720">
        <f>IF(AND(资金台帐!K223&lt;&gt;"",资金台帐!K223=供应商对账单!$B$4,资金台帐!P223="应付",ISNUMBER(资金台帐!B223),资金台帐!B223&gt;=供应商对账单!$G$4,资金台帐!B223&lt;=供应商对账单!$I$4),资金台帐!B223+ROW()/100000,"")</f>
      </c>
      <c r="N1720">
        <f>IF(AND(ISNUMBER(出库明细!G1720),ISNUMBER(出库明细!E1720),ISNUMBER(出库明细!F1720)),IF(ABS(出库明细!G1720-出库明细!E1720*出库明细!F1720)&gt;0.005,1,0),0)</f>
        <v>0</v>
      </c>
    </row>
    <row r="1721">
      <c r="A1721">
        <f>IF(OR(出库明细!C721="",出库明细!D721=""),"",IF(OR(COUNTIFS(存条明细!$C$4:$C$1003,出库明细!C721,存条明细!$D$4:$D$1003,出库明细!D721)&gt;0,COUNTIFS(出库明细!$C$4:C721,出库明细!C721,出库明细!$D$4:D721,出库明细!D721)&gt;1),"",IFERROR(MATCH(出库明细!C721,总览汇总!$B$5:$B$304,0),900)*10000000+IFERROR(MATCH(出库明细!D721,基础资料!$E$5:$E$104,0),900)*10000+ROW()))</f>
      </c>
      <c r="F1721">
        <f>IF(AND(出库明细!C1721&lt;&gt;"",出库明细!C1721=客户对账单!$B$4,ISNUMBER(出库明细!B1721),出库明细!B1721&gt;=客户对账单!$G$4,出库明细!B1721&lt;=客户对账单!$I$4),出库明细!B1721+ROW()/100000,"")</f>
      </c>
      <c r="H1721">
        <f>IF(AND(资金台帐!K224&lt;&gt;"",资金台帐!K224=供应商对账单!$B$4,资金台帐!P224="应付",ISNUMBER(资金台帐!B224),资金台帐!B224&gt;=供应商对账单!$G$4,资金台帐!B224&lt;=供应商对账单!$I$4),资金台帐!B224+ROW()/100000,"")</f>
      </c>
      <c r="N1721">
        <f>IF(AND(ISNUMBER(出库明细!G1721),ISNUMBER(出库明细!E1721),ISNUMBER(出库明细!F1721)),IF(ABS(出库明细!G1721-出库明细!E1721*出库明细!F1721)&gt;0.005,1,0),0)</f>
        <v>0</v>
      </c>
    </row>
    <row r="1722">
      <c r="A1722">
        <f>IF(OR(出库明细!C722="",出库明细!D722=""),"",IF(OR(COUNTIFS(存条明细!$C$4:$C$1003,出库明细!C722,存条明细!$D$4:$D$1003,出库明细!D722)&gt;0,COUNTIFS(出库明细!$C$4:C722,出库明细!C722,出库明细!$D$4:D722,出库明细!D722)&gt;1),"",IFERROR(MATCH(出库明细!C722,总览汇总!$B$5:$B$304,0),900)*10000000+IFERROR(MATCH(出库明细!D722,基础资料!$E$5:$E$104,0),900)*10000+ROW()))</f>
      </c>
      <c r="F1722">
        <f>IF(AND(出库明细!C1722&lt;&gt;"",出库明细!C1722=客户对账单!$B$4,ISNUMBER(出库明细!B1722),出库明细!B1722&gt;=客户对账单!$G$4,出库明细!B1722&lt;=客户对账单!$I$4),出库明细!B1722+ROW()/100000,"")</f>
      </c>
      <c r="H1722">
        <f>IF(AND(资金台帐!K225&lt;&gt;"",资金台帐!K225=供应商对账单!$B$4,资金台帐!P225="应付",ISNUMBER(资金台帐!B225),资金台帐!B225&gt;=供应商对账单!$G$4,资金台帐!B225&lt;=供应商对账单!$I$4),资金台帐!B225+ROW()/100000,"")</f>
      </c>
      <c r="N1722">
        <f>IF(AND(ISNUMBER(出库明细!G1722),ISNUMBER(出库明细!E1722),ISNUMBER(出库明细!F1722)),IF(ABS(出库明细!G1722-出库明细!E1722*出库明细!F1722)&gt;0.005,1,0),0)</f>
        <v>0</v>
      </c>
    </row>
    <row r="1723">
      <c r="A1723">
        <f>IF(OR(出库明细!C723="",出库明细!D723=""),"",IF(OR(COUNTIFS(存条明细!$C$4:$C$1003,出库明细!C723,存条明细!$D$4:$D$1003,出库明细!D723)&gt;0,COUNTIFS(出库明细!$C$4:C723,出库明细!C723,出库明细!$D$4:D723,出库明细!D723)&gt;1),"",IFERROR(MATCH(出库明细!C723,总览汇总!$B$5:$B$304,0),900)*10000000+IFERROR(MATCH(出库明细!D723,基础资料!$E$5:$E$104,0),900)*10000+ROW()))</f>
      </c>
      <c r="F1723">
        <f>IF(AND(出库明细!C1723&lt;&gt;"",出库明细!C1723=客户对账单!$B$4,ISNUMBER(出库明细!B1723),出库明细!B1723&gt;=客户对账单!$G$4,出库明细!B1723&lt;=客户对账单!$I$4),出库明细!B1723+ROW()/100000,"")</f>
      </c>
      <c r="H1723">
        <f>IF(AND(资金台帐!K226&lt;&gt;"",资金台帐!K226=供应商对账单!$B$4,资金台帐!P226="应付",ISNUMBER(资金台帐!B226),资金台帐!B226&gt;=供应商对账单!$G$4,资金台帐!B226&lt;=供应商对账单!$I$4),资金台帐!B226+ROW()/100000,"")</f>
      </c>
      <c r="N1723">
        <f>IF(AND(ISNUMBER(出库明细!G1723),ISNUMBER(出库明细!E1723),ISNUMBER(出库明细!F1723)),IF(ABS(出库明细!G1723-出库明细!E1723*出库明细!F1723)&gt;0.005,1,0),0)</f>
        <v>0</v>
      </c>
    </row>
    <row r="1724">
      <c r="A1724">
        <f>IF(OR(出库明细!C724="",出库明细!D724=""),"",IF(OR(COUNTIFS(存条明细!$C$4:$C$1003,出库明细!C724,存条明细!$D$4:$D$1003,出库明细!D724)&gt;0,COUNTIFS(出库明细!$C$4:C724,出库明细!C724,出库明细!$D$4:D724,出库明细!D724)&gt;1),"",IFERROR(MATCH(出库明细!C724,总览汇总!$B$5:$B$304,0),900)*10000000+IFERROR(MATCH(出库明细!D724,基础资料!$E$5:$E$104,0),900)*10000+ROW()))</f>
      </c>
      <c r="F1724">
        <f>IF(AND(出库明细!C1724&lt;&gt;"",出库明细!C1724=客户对账单!$B$4,ISNUMBER(出库明细!B1724),出库明细!B1724&gt;=客户对账单!$G$4,出库明细!B1724&lt;=客户对账单!$I$4),出库明细!B1724+ROW()/100000,"")</f>
      </c>
      <c r="H1724">
        <f>IF(AND(资金台帐!K227&lt;&gt;"",资金台帐!K227=供应商对账单!$B$4,资金台帐!P227="应付",ISNUMBER(资金台帐!B227),资金台帐!B227&gt;=供应商对账单!$G$4,资金台帐!B227&lt;=供应商对账单!$I$4),资金台帐!B227+ROW()/100000,"")</f>
      </c>
      <c r="N1724">
        <f>IF(AND(ISNUMBER(出库明细!G1724),ISNUMBER(出库明细!E1724),ISNUMBER(出库明细!F1724)),IF(ABS(出库明细!G1724-出库明细!E1724*出库明细!F1724)&gt;0.005,1,0),0)</f>
        <v>0</v>
      </c>
    </row>
    <row r="1725">
      <c r="A1725">
        <f>IF(OR(出库明细!C725="",出库明细!D725=""),"",IF(OR(COUNTIFS(存条明细!$C$4:$C$1003,出库明细!C725,存条明细!$D$4:$D$1003,出库明细!D725)&gt;0,COUNTIFS(出库明细!$C$4:C725,出库明细!C725,出库明细!$D$4:D725,出库明细!D725)&gt;1),"",IFERROR(MATCH(出库明细!C725,总览汇总!$B$5:$B$304,0),900)*10000000+IFERROR(MATCH(出库明细!D725,基础资料!$E$5:$E$104,0),900)*10000+ROW()))</f>
      </c>
      <c r="F1725">
        <f>IF(AND(出库明细!C1725&lt;&gt;"",出库明细!C1725=客户对账单!$B$4,ISNUMBER(出库明细!B1725),出库明细!B1725&gt;=客户对账单!$G$4,出库明细!B1725&lt;=客户对账单!$I$4),出库明细!B1725+ROW()/100000,"")</f>
      </c>
      <c r="H1725">
        <f>IF(AND(资金台帐!K228&lt;&gt;"",资金台帐!K228=供应商对账单!$B$4,资金台帐!P228="应付",ISNUMBER(资金台帐!B228),资金台帐!B228&gt;=供应商对账单!$G$4,资金台帐!B228&lt;=供应商对账单!$I$4),资金台帐!B228+ROW()/100000,"")</f>
      </c>
      <c r="N1725">
        <f>IF(AND(ISNUMBER(出库明细!G1725),ISNUMBER(出库明细!E1725),ISNUMBER(出库明细!F1725)),IF(ABS(出库明细!G1725-出库明细!E1725*出库明细!F1725)&gt;0.005,1,0),0)</f>
        <v>0</v>
      </c>
    </row>
    <row r="1726">
      <c r="A1726">
        <f>IF(OR(出库明细!C726="",出库明细!D726=""),"",IF(OR(COUNTIFS(存条明细!$C$4:$C$1003,出库明细!C726,存条明细!$D$4:$D$1003,出库明细!D726)&gt;0,COUNTIFS(出库明细!$C$4:C726,出库明细!C726,出库明细!$D$4:D726,出库明细!D726)&gt;1),"",IFERROR(MATCH(出库明细!C726,总览汇总!$B$5:$B$304,0),900)*10000000+IFERROR(MATCH(出库明细!D726,基础资料!$E$5:$E$104,0),900)*10000+ROW()))</f>
      </c>
      <c r="F1726">
        <f>IF(AND(出库明细!C1726&lt;&gt;"",出库明细!C1726=客户对账单!$B$4,ISNUMBER(出库明细!B1726),出库明细!B1726&gt;=客户对账单!$G$4,出库明细!B1726&lt;=客户对账单!$I$4),出库明细!B1726+ROW()/100000,"")</f>
      </c>
      <c r="H1726">
        <f>IF(AND(资金台帐!K229&lt;&gt;"",资金台帐!K229=供应商对账单!$B$4,资金台帐!P229="应付",ISNUMBER(资金台帐!B229),资金台帐!B229&gt;=供应商对账单!$G$4,资金台帐!B229&lt;=供应商对账单!$I$4),资金台帐!B229+ROW()/100000,"")</f>
      </c>
      <c r="N1726">
        <f>IF(AND(ISNUMBER(出库明细!G1726),ISNUMBER(出库明细!E1726),ISNUMBER(出库明细!F1726)),IF(ABS(出库明细!G1726-出库明细!E1726*出库明细!F1726)&gt;0.005,1,0),0)</f>
        <v>0</v>
      </c>
    </row>
    <row r="1727">
      <c r="A1727">
        <f>IF(OR(出库明细!C727="",出库明细!D727=""),"",IF(OR(COUNTIFS(存条明细!$C$4:$C$1003,出库明细!C727,存条明细!$D$4:$D$1003,出库明细!D727)&gt;0,COUNTIFS(出库明细!$C$4:C727,出库明细!C727,出库明细!$D$4:D727,出库明细!D727)&gt;1),"",IFERROR(MATCH(出库明细!C727,总览汇总!$B$5:$B$304,0),900)*10000000+IFERROR(MATCH(出库明细!D727,基础资料!$E$5:$E$104,0),900)*10000+ROW()))</f>
      </c>
      <c r="F1727">
        <f>IF(AND(出库明细!C1727&lt;&gt;"",出库明细!C1727=客户对账单!$B$4,ISNUMBER(出库明细!B1727),出库明细!B1727&gt;=客户对账单!$G$4,出库明细!B1727&lt;=客户对账单!$I$4),出库明细!B1727+ROW()/100000,"")</f>
      </c>
      <c r="H1727">
        <f>IF(AND(资金台帐!K230&lt;&gt;"",资金台帐!K230=供应商对账单!$B$4,资金台帐!P230="应付",ISNUMBER(资金台帐!B230),资金台帐!B230&gt;=供应商对账单!$G$4,资金台帐!B230&lt;=供应商对账单!$I$4),资金台帐!B230+ROW()/100000,"")</f>
      </c>
      <c r="N1727">
        <f>IF(AND(ISNUMBER(出库明细!G1727),ISNUMBER(出库明细!E1727),ISNUMBER(出库明细!F1727)),IF(ABS(出库明细!G1727-出库明细!E1727*出库明细!F1727)&gt;0.005,1,0),0)</f>
        <v>0</v>
      </c>
    </row>
    <row r="1728">
      <c r="A1728">
        <f>IF(OR(出库明细!C728="",出库明细!D728=""),"",IF(OR(COUNTIFS(存条明细!$C$4:$C$1003,出库明细!C728,存条明细!$D$4:$D$1003,出库明细!D728)&gt;0,COUNTIFS(出库明细!$C$4:C728,出库明细!C728,出库明细!$D$4:D728,出库明细!D728)&gt;1),"",IFERROR(MATCH(出库明细!C728,总览汇总!$B$5:$B$304,0),900)*10000000+IFERROR(MATCH(出库明细!D728,基础资料!$E$5:$E$104,0),900)*10000+ROW()))</f>
      </c>
      <c r="F1728">
        <f>IF(AND(出库明细!C1728&lt;&gt;"",出库明细!C1728=客户对账单!$B$4,ISNUMBER(出库明细!B1728),出库明细!B1728&gt;=客户对账单!$G$4,出库明细!B1728&lt;=客户对账单!$I$4),出库明细!B1728+ROW()/100000,"")</f>
      </c>
      <c r="H1728">
        <f>IF(AND(资金台帐!K231&lt;&gt;"",资金台帐!K231=供应商对账单!$B$4,资金台帐!P231="应付",ISNUMBER(资金台帐!B231),资金台帐!B231&gt;=供应商对账单!$G$4,资金台帐!B231&lt;=供应商对账单!$I$4),资金台帐!B231+ROW()/100000,"")</f>
      </c>
      <c r="N1728">
        <f>IF(AND(ISNUMBER(出库明细!G1728),ISNUMBER(出库明细!E1728),ISNUMBER(出库明细!F1728)),IF(ABS(出库明细!G1728-出库明细!E1728*出库明细!F1728)&gt;0.005,1,0),0)</f>
        <v>0</v>
      </c>
    </row>
    <row r="1729">
      <c r="A1729">
        <f>IF(OR(出库明细!C729="",出库明细!D729=""),"",IF(OR(COUNTIFS(存条明细!$C$4:$C$1003,出库明细!C729,存条明细!$D$4:$D$1003,出库明细!D729)&gt;0,COUNTIFS(出库明细!$C$4:C729,出库明细!C729,出库明细!$D$4:D729,出库明细!D729)&gt;1),"",IFERROR(MATCH(出库明细!C729,总览汇总!$B$5:$B$304,0),900)*10000000+IFERROR(MATCH(出库明细!D729,基础资料!$E$5:$E$104,0),900)*10000+ROW()))</f>
      </c>
      <c r="F1729">
        <f>IF(AND(出库明细!C1729&lt;&gt;"",出库明细!C1729=客户对账单!$B$4,ISNUMBER(出库明细!B1729),出库明细!B1729&gt;=客户对账单!$G$4,出库明细!B1729&lt;=客户对账单!$I$4),出库明细!B1729+ROW()/100000,"")</f>
      </c>
      <c r="H1729">
        <f>IF(AND(资金台帐!K232&lt;&gt;"",资金台帐!K232=供应商对账单!$B$4,资金台帐!P232="应付",ISNUMBER(资金台帐!B232),资金台帐!B232&gt;=供应商对账单!$G$4,资金台帐!B232&lt;=供应商对账单!$I$4),资金台帐!B232+ROW()/100000,"")</f>
      </c>
      <c r="N1729">
        <f>IF(AND(ISNUMBER(出库明细!G1729),ISNUMBER(出库明细!E1729),ISNUMBER(出库明细!F1729)),IF(ABS(出库明细!G1729-出库明细!E1729*出库明细!F1729)&gt;0.005,1,0),0)</f>
        <v>0</v>
      </c>
    </row>
    <row r="1730">
      <c r="A1730">
        <f>IF(OR(出库明细!C730="",出库明细!D730=""),"",IF(OR(COUNTIFS(存条明细!$C$4:$C$1003,出库明细!C730,存条明细!$D$4:$D$1003,出库明细!D730)&gt;0,COUNTIFS(出库明细!$C$4:C730,出库明细!C730,出库明细!$D$4:D730,出库明细!D730)&gt;1),"",IFERROR(MATCH(出库明细!C730,总览汇总!$B$5:$B$304,0),900)*10000000+IFERROR(MATCH(出库明细!D730,基础资料!$E$5:$E$104,0),900)*10000+ROW()))</f>
      </c>
      <c r="F1730">
        <f>IF(AND(出库明细!C1730&lt;&gt;"",出库明细!C1730=客户对账单!$B$4,ISNUMBER(出库明细!B1730),出库明细!B1730&gt;=客户对账单!$G$4,出库明细!B1730&lt;=客户对账单!$I$4),出库明细!B1730+ROW()/100000,"")</f>
      </c>
      <c r="H1730">
        <f>IF(AND(资金台帐!K233&lt;&gt;"",资金台帐!K233=供应商对账单!$B$4,资金台帐!P233="应付",ISNUMBER(资金台帐!B233),资金台帐!B233&gt;=供应商对账单!$G$4,资金台帐!B233&lt;=供应商对账单!$I$4),资金台帐!B233+ROW()/100000,"")</f>
      </c>
      <c r="N1730">
        <f>IF(AND(ISNUMBER(出库明细!G1730),ISNUMBER(出库明细!E1730),ISNUMBER(出库明细!F1730)),IF(ABS(出库明细!G1730-出库明细!E1730*出库明细!F1730)&gt;0.005,1,0),0)</f>
        <v>0</v>
      </c>
    </row>
    <row r="1731">
      <c r="A1731">
        <f>IF(OR(出库明细!C731="",出库明细!D731=""),"",IF(OR(COUNTIFS(存条明细!$C$4:$C$1003,出库明细!C731,存条明细!$D$4:$D$1003,出库明细!D731)&gt;0,COUNTIFS(出库明细!$C$4:C731,出库明细!C731,出库明细!$D$4:D731,出库明细!D731)&gt;1),"",IFERROR(MATCH(出库明细!C731,总览汇总!$B$5:$B$304,0),900)*10000000+IFERROR(MATCH(出库明细!D731,基础资料!$E$5:$E$104,0),900)*10000+ROW()))</f>
      </c>
      <c r="F1731">
        <f>IF(AND(出库明细!C1731&lt;&gt;"",出库明细!C1731=客户对账单!$B$4,ISNUMBER(出库明细!B1731),出库明细!B1731&gt;=客户对账单!$G$4,出库明细!B1731&lt;=客户对账单!$I$4),出库明细!B1731+ROW()/100000,"")</f>
      </c>
      <c r="H1731">
        <f>IF(AND(资金台帐!K234&lt;&gt;"",资金台帐!K234=供应商对账单!$B$4,资金台帐!P234="应付",ISNUMBER(资金台帐!B234),资金台帐!B234&gt;=供应商对账单!$G$4,资金台帐!B234&lt;=供应商对账单!$I$4),资金台帐!B234+ROW()/100000,"")</f>
      </c>
      <c r="N1731">
        <f>IF(AND(ISNUMBER(出库明细!G1731),ISNUMBER(出库明细!E1731),ISNUMBER(出库明细!F1731)),IF(ABS(出库明细!G1731-出库明细!E1731*出库明细!F1731)&gt;0.005,1,0),0)</f>
        <v>0</v>
      </c>
    </row>
    <row r="1732">
      <c r="A1732">
        <f>IF(OR(出库明细!C732="",出库明细!D732=""),"",IF(OR(COUNTIFS(存条明细!$C$4:$C$1003,出库明细!C732,存条明细!$D$4:$D$1003,出库明细!D732)&gt;0,COUNTIFS(出库明细!$C$4:C732,出库明细!C732,出库明细!$D$4:D732,出库明细!D732)&gt;1),"",IFERROR(MATCH(出库明细!C732,总览汇总!$B$5:$B$304,0),900)*10000000+IFERROR(MATCH(出库明细!D732,基础资料!$E$5:$E$104,0),900)*10000+ROW()))</f>
      </c>
      <c r="F1732">
        <f>IF(AND(出库明细!C1732&lt;&gt;"",出库明细!C1732=客户对账单!$B$4,ISNUMBER(出库明细!B1732),出库明细!B1732&gt;=客户对账单!$G$4,出库明细!B1732&lt;=客户对账单!$I$4),出库明细!B1732+ROW()/100000,"")</f>
      </c>
      <c r="H1732">
        <f>IF(AND(资金台帐!K235&lt;&gt;"",资金台帐!K235=供应商对账单!$B$4,资金台帐!P235="应付",ISNUMBER(资金台帐!B235),资金台帐!B235&gt;=供应商对账单!$G$4,资金台帐!B235&lt;=供应商对账单!$I$4),资金台帐!B235+ROW()/100000,"")</f>
      </c>
      <c r="N1732">
        <f>IF(AND(ISNUMBER(出库明细!G1732),ISNUMBER(出库明细!E1732),ISNUMBER(出库明细!F1732)),IF(ABS(出库明细!G1732-出库明细!E1732*出库明细!F1732)&gt;0.005,1,0),0)</f>
        <v>0</v>
      </c>
    </row>
    <row r="1733">
      <c r="A1733">
        <f>IF(OR(出库明细!C733="",出库明细!D733=""),"",IF(OR(COUNTIFS(存条明细!$C$4:$C$1003,出库明细!C733,存条明细!$D$4:$D$1003,出库明细!D733)&gt;0,COUNTIFS(出库明细!$C$4:C733,出库明细!C733,出库明细!$D$4:D733,出库明细!D733)&gt;1),"",IFERROR(MATCH(出库明细!C733,总览汇总!$B$5:$B$304,0),900)*10000000+IFERROR(MATCH(出库明细!D733,基础资料!$E$5:$E$104,0),900)*10000+ROW()))</f>
      </c>
      <c r="F1733">
        <f>IF(AND(出库明细!C1733&lt;&gt;"",出库明细!C1733=客户对账单!$B$4,ISNUMBER(出库明细!B1733),出库明细!B1733&gt;=客户对账单!$G$4,出库明细!B1733&lt;=客户对账单!$I$4),出库明细!B1733+ROW()/100000,"")</f>
      </c>
      <c r="H1733">
        <f>IF(AND(资金台帐!K236&lt;&gt;"",资金台帐!K236=供应商对账单!$B$4,资金台帐!P236="应付",ISNUMBER(资金台帐!B236),资金台帐!B236&gt;=供应商对账单!$G$4,资金台帐!B236&lt;=供应商对账单!$I$4),资金台帐!B236+ROW()/100000,"")</f>
      </c>
      <c r="N1733">
        <f>IF(AND(ISNUMBER(出库明细!G1733),ISNUMBER(出库明细!E1733),ISNUMBER(出库明细!F1733)),IF(ABS(出库明细!G1733-出库明细!E1733*出库明细!F1733)&gt;0.005,1,0),0)</f>
        <v>0</v>
      </c>
    </row>
    <row r="1734">
      <c r="A1734">
        <f>IF(OR(出库明细!C734="",出库明细!D734=""),"",IF(OR(COUNTIFS(存条明细!$C$4:$C$1003,出库明细!C734,存条明细!$D$4:$D$1003,出库明细!D734)&gt;0,COUNTIFS(出库明细!$C$4:C734,出库明细!C734,出库明细!$D$4:D734,出库明细!D734)&gt;1),"",IFERROR(MATCH(出库明细!C734,总览汇总!$B$5:$B$304,0),900)*10000000+IFERROR(MATCH(出库明细!D734,基础资料!$E$5:$E$104,0),900)*10000+ROW()))</f>
      </c>
      <c r="F1734">
        <f>IF(AND(出库明细!C1734&lt;&gt;"",出库明细!C1734=客户对账单!$B$4,ISNUMBER(出库明细!B1734),出库明细!B1734&gt;=客户对账单!$G$4,出库明细!B1734&lt;=客户对账单!$I$4),出库明细!B1734+ROW()/100000,"")</f>
      </c>
      <c r="H1734">
        <f>IF(AND(资金台帐!K237&lt;&gt;"",资金台帐!K237=供应商对账单!$B$4,资金台帐!P237="应付",ISNUMBER(资金台帐!B237),资金台帐!B237&gt;=供应商对账单!$G$4,资金台帐!B237&lt;=供应商对账单!$I$4),资金台帐!B237+ROW()/100000,"")</f>
      </c>
      <c r="N1734">
        <f>IF(AND(ISNUMBER(出库明细!G1734),ISNUMBER(出库明细!E1734),ISNUMBER(出库明细!F1734)),IF(ABS(出库明细!G1734-出库明细!E1734*出库明细!F1734)&gt;0.005,1,0),0)</f>
        <v>0</v>
      </c>
    </row>
    <row r="1735">
      <c r="A1735">
        <f>IF(OR(出库明细!C735="",出库明细!D735=""),"",IF(OR(COUNTIFS(存条明细!$C$4:$C$1003,出库明细!C735,存条明细!$D$4:$D$1003,出库明细!D735)&gt;0,COUNTIFS(出库明细!$C$4:C735,出库明细!C735,出库明细!$D$4:D735,出库明细!D735)&gt;1),"",IFERROR(MATCH(出库明细!C735,总览汇总!$B$5:$B$304,0),900)*10000000+IFERROR(MATCH(出库明细!D735,基础资料!$E$5:$E$104,0),900)*10000+ROW()))</f>
      </c>
      <c r="F1735">
        <f>IF(AND(出库明细!C1735&lt;&gt;"",出库明细!C1735=客户对账单!$B$4,ISNUMBER(出库明细!B1735),出库明细!B1735&gt;=客户对账单!$G$4,出库明细!B1735&lt;=客户对账单!$I$4),出库明细!B1735+ROW()/100000,"")</f>
      </c>
      <c r="H1735">
        <f>IF(AND(资金台帐!K238&lt;&gt;"",资金台帐!K238=供应商对账单!$B$4,资金台帐!P238="应付",ISNUMBER(资金台帐!B238),资金台帐!B238&gt;=供应商对账单!$G$4,资金台帐!B238&lt;=供应商对账单!$I$4),资金台帐!B238+ROW()/100000,"")</f>
      </c>
      <c r="N1735">
        <f>IF(AND(ISNUMBER(出库明细!G1735),ISNUMBER(出库明细!E1735),ISNUMBER(出库明细!F1735)),IF(ABS(出库明细!G1735-出库明细!E1735*出库明细!F1735)&gt;0.005,1,0),0)</f>
        <v>0</v>
      </c>
    </row>
    <row r="1736">
      <c r="A1736">
        <f>IF(OR(出库明细!C736="",出库明细!D736=""),"",IF(OR(COUNTIFS(存条明细!$C$4:$C$1003,出库明细!C736,存条明细!$D$4:$D$1003,出库明细!D736)&gt;0,COUNTIFS(出库明细!$C$4:C736,出库明细!C736,出库明细!$D$4:D736,出库明细!D736)&gt;1),"",IFERROR(MATCH(出库明细!C736,总览汇总!$B$5:$B$304,0),900)*10000000+IFERROR(MATCH(出库明细!D736,基础资料!$E$5:$E$104,0),900)*10000+ROW()))</f>
      </c>
      <c r="F1736">
        <f>IF(AND(出库明细!C1736&lt;&gt;"",出库明细!C1736=客户对账单!$B$4,ISNUMBER(出库明细!B1736),出库明细!B1736&gt;=客户对账单!$G$4,出库明细!B1736&lt;=客户对账单!$I$4),出库明细!B1736+ROW()/100000,"")</f>
      </c>
      <c r="H1736">
        <f>IF(AND(资金台帐!K239&lt;&gt;"",资金台帐!K239=供应商对账单!$B$4,资金台帐!P239="应付",ISNUMBER(资金台帐!B239),资金台帐!B239&gt;=供应商对账单!$G$4,资金台帐!B239&lt;=供应商对账单!$I$4),资金台帐!B239+ROW()/100000,"")</f>
      </c>
      <c r="N1736">
        <f>IF(AND(ISNUMBER(出库明细!G1736),ISNUMBER(出库明细!E1736),ISNUMBER(出库明细!F1736)),IF(ABS(出库明细!G1736-出库明细!E1736*出库明细!F1736)&gt;0.005,1,0),0)</f>
        <v>0</v>
      </c>
    </row>
    <row r="1737">
      <c r="A1737">
        <f>IF(OR(出库明细!C737="",出库明细!D737=""),"",IF(OR(COUNTIFS(存条明细!$C$4:$C$1003,出库明细!C737,存条明细!$D$4:$D$1003,出库明细!D737)&gt;0,COUNTIFS(出库明细!$C$4:C737,出库明细!C737,出库明细!$D$4:D737,出库明细!D737)&gt;1),"",IFERROR(MATCH(出库明细!C737,总览汇总!$B$5:$B$304,0),900)*10000000+IFERROR(MATCH(出库明细!D737,基础资料!$E$5:$E$104,0),900)*10000+ROW()))</f>
      </c>
      <c r="F1737">
        <f>IF(AND(出库明细!C1737&lt;&gt;"",出库明细!C1737=客户对账单!$B$4,ISNUMBER(出库明细!B1737),出库明细!B1737&gt;=客户对账单!$G$4,出库明细!B1737&lt;=客户对账单!$I$4),出库明细!B1737+ROW()/100000,"")</f>
      </c>
      <c r="H1737">
        <f>IF(AND(资金台帐!K240&lt;&gt;"",资金台帐!K240=供应商对账单!$B$4,资金台帐!P240="应付",ISNUMBER(资金台帐!B240),资金台帐!B240&gt;=供应商对账单!$G$4,资金台帐!B240&lt;=供应商对账单!$I$4),资金台帐!B240+ROW()/100000,"")</f>
      </c>
      <c r="N1737">
        <f>IF(AND(ISNUMBER(出库明细!G1737),ISNUMBER(出库明细!E1737),ISNUMBER(出库明细!F1737)),IF(ABS(出库明细!G1737-出库明细!E1737*出库明细!F1737)&gt;0.005,1,0),0)</f>
        <v>0</v>
      </c>
    </row>
    <row r="1738">
      <c r="A1738">
        <f>IF(OR(出库明细!C738="",出库明细!D738=""),"",IF(OR(COUNTIFS(存条明细!$C$4:$C$1003,出库明细!C738,存条明细!$D$4:$D$1003,出库明细!D738)&gt;0,COUNTIFS(出库明细!$C$4:C738,出库明细!C738,出库明细!$D$4:D738,出库明细!D738)&gt;1),"",IFERROR(MATCH(出库明细!C738,总览汇总!$B$5:$B$304,0),900)*10000000+IFERROR(MATCH(出库明细!D738,基础资料!$E$5:$E$104,0),900)*10000+ROW()))</f>
      </c>
      <c r="F1738">
        <f>IF(AND(出库明细!C1738&lt;&gt;"",出库明细!C1738=客户对账单!$B$4,ISNUMBER(出库明细!B1738),出库明细!B1738&gt;=客户对账单!$G$4,出库明细!B1738&lt;=客户对账单!$I$4),出库明细!B1738+ROW()/100000,"")</f>
      </c>
      <c r="H1738">
        <f>IF(AND(资金台帐!K241&lt;&gt;"",资金台帐!K241=供应商对账单!$B$4,资金台帐!P241="应付",ISNUMBER(资金台帐!B241),资金台帐!B241&gt;=供应商对账单!$G$4,资金台帐!B241&lt;=供应商对账单!$I$4),资金台帐!B241+ROW()/100000,"")</f>
      </c>
      <c r="N1738">
        <f>IF(AND(ISNUMBER(出库明细!G1738),ISNUMBER(出库明细!E1738),ISNUMBER(出库明细!F1738)),IF(ABS(出库明细!G1738-出库明细!E1738*出库明细!F1738)&gt;0.005,1,0),0)</f>
        <v>0</v>
      </c>
    </row>
    <row r="1739">
      <c r="A1739">
        <f>IF(OR(出库明细!C739="",出库明细!D739=""),"",IF(OR(COUNTIFS(存条明细!$C$4:$C$1003,出库明细!C739,存条明细!$D$4:$D$1003,出库明细!D739)&gt;0,COUNTIFS(出库明细!$C$4:C739,出库明细!C739,出库明细!$D$4:D739,出库明细!D739)&gt;1),"",IFERROR(MATCH(出库明细!C739,总览汇总!$B$5:$B$304,0),900)*10000000+IFERROR(MATCH(出库明细!D739,基础资料!$E$5:$E$104,0),900)*10000+ROW()))</f>
      </c>
      <c r="F1739">
        <f>IF(AND(出库明细!C1739&lt;&gt;"",出库明细!C1739=客户对账单!$B$4,ISNUMBER(出库明细!B1739),出库明细!B1739&gt;=客户对账单!$G$4,出库明细!B1739&lt;=客户对账单!$I$4),出库明细!B1739+ROW()/100000,"")</f>
      </c>
      <c r="H1739">
        <f>IF(AND(资金台帐!K242&lt;&gt;"",资金台帐!K242=供应商对账单!$B$4,资金台帐!P242="应付",ISNUMBER(资金台帐!B242),资金台帐!B242&gt;=供应商对账单!$G$4,资金台帐!B242&lt;=供应商对账单!$I$4),资金台帐!B242+ROW()/100000,"")</f>
      </c>
      <c r="N1739">
        <f>IF(AND(ISNUMBER(出库明细!G1739),ISNUMBER(出库明细!E1739),ISNUMBER(出库明细!F1739)),IF(ABS(出库明细!G1739-出库明细!E1739*出库明细!F1739)&gt;0.005,1,0),0)</f>
        <v>0</v>
      </c>
    </row>
    <row r="1740">
      <c r="A1740">
        <f>IF(OR(出库明细!C740="",出库明细!D740=""),"",IF(OR(COUNTIFS(存条明细!$C$4:$C$1003,出库明细!C740,存条明细!$D$4:$D$1003,出库明细!D740)&gt;0,COUNTIFS(出库明细!$C$4:C740,出库明细!C740,出库明细!$D$4:D740,出库明细!D740)&gt;1),"",IFERROR(MATCH(出库明细!C740,总览汇总!$B$5:$B$304,0),900)*10000000+IFERROR(MATCH(出库明细!D740,基础资料!$E$5:$E$104,0),900)*10000+ROW()))</f>
      </c>
      <c r="F1740">
        <f>IF(AND(出库明细!C1740&lt;&gt;"",出库明细!C1740=客户对账单!$B$4,ISNUMBER(出库明细!B1740),出库明细!B1740&gt;=客户对账单!$G$4,出库明细!B1740&lt;=客户对账单!$I$4),出库明细!B1740+ROW()/100000,"")</f>
      </c>
      <c r="H1740">
        <f>IF(AND(资金台帐!K243&lt;&gt;"",资金台帐!K243=供应商对账单!$B$4,资金台帐!P243="应付",ISNUMBER(资金台帐!B243),资金台帐!B243&gt;=供应商对账单!$G$4,资金台帐!B243&lt;=供应商对账单!$I$4),资金台帐!B243+ROW()/100000,"")</f>
      </c>
      <c r="N1740">
        <f>IF(AND(ISNUMBER(出库明细!G1740),ISNUMBER(出库明细!E1740),ISNUMBER(出库明细!F1740)),IF(ABS(出库明细!G1740-出库明细!E1740*出库明细!F1740)&gt;0.005,1,0),0)</f>
        <v>0</v>
      </c>
    </row>
    <row r="1741">
      <c r="A1741">
        <f>IF(OR(出库明细!C741="",出库明细!D741=""),"",IF(OR(COUNTIFS(存条明细!$C$4:$C$1003,出库明细!C741,存条明细!$D$4:$D$1003,出库明细!D741)&gt;0,COUNTIFS(出库明细!$C$4:C741,出库明细!C741,出库明细!$D$4:D741,出库明细!D741)&gt;1),"",IFERROR(MATCH(出库明细!C741,总览汇总!$B$5:$B$304,0),900)*10000000+IFERROR(MATCH(出库明细!D741,基础资料!$E$5:$E$104,0),900)*10000+ROW()))</f>
      </c>
      <c r="F1741">
        <f>IF(AND(出库明细!C1741&lt;&gt;"",出库明细!C1741=客户对账单!$B$4,ISNUMBER(出库明细!B1741),出库明细!B1741&gt;=客户对账单!$G$4,出库明细!B1741&lt;=客户对账单!$I$4),出库明细!B1741+ROW()/100000,"")</f>
      </c>
      <c r="H1741">
        <f>IF(AND(资金台帐!K244&lt;&gt;"",资金台帐!K244=供应商对账单!$B$4,资金台帐!P244="应付",ISNUMBER(资金台帐!B244),资金台帐!B244&gt;=供应商对账单!$G$4,资金台帐!B244&lt;=供应商对账单!$I$4),资金台帐!B244+ROW()/100000,"")</f>
      </c>
      <c r="N1741">
        <f>IF(AND(ISNUMBER(出库明细!G1741),ISNUMBER(出库明细!E1741),ISNUMBER(出库明细!F1741)),IF(ABS(出库明细!G1741-出库明细!E1741*出库明细!F1741)&gt;0.005,1,0),0)</f>
        <v>0</v>
      </c>
    </row>
    <row r="1742">
      <c r="A1742">
        <f>IF(OR(出库明细!C742="",出库明细!D742=""),"",IF(OR(COUNTIFS(存条明细!$C$4:$C$1003,出库明细!C742,存条明细!$D$4:$D$1003,出库明细!D742)&gt;0,COUNTIFS(出库明细!$C$4:C742,出库明细!C742,出库明细!$D$4:D742,出库明细!D742)&gt;1),"",IFERROR(MATCH(出库明细!C742,总览汇总!$B$5:$B$304,0),900)*10000000+IFERROR(MATCH(出库明细!D742,基础资料!$E$5:$E$104,0),900)*10000+ROW()))</f>
      </c>
      <c r="F1742">
        <f>IF(AND(出库明细!C1742&lt;&gt;"",出库明细!C1742=客户对账单!$B$4,ISNUMBER(出库明细!B1742),出库明细!B1742&gt;=客户对账单!$G$4,出库明细!B1742&lt;=客户对账单!$I$4),出库明细!B1742+ROW()/100000,"")</f>
      </c>
      <c r="H1742">
        <f>IF(AND(资金台帐!K245&lt;&gt;"",资金台帐!K245=供应商对账单!$B$4,资金台帐!P245="应付",ISNUMBER(资金台帐!B245),资金台帐!B245&gt;=供应商对账单!$G$4,资金台帐!B245&lt;=供应商对账单!$I$4),资金台帐!B245+ROW()/100000,"")</f>
      </c>
      <c r="N1742">
        <f>IF(AND(ISNUMBER(出库明细!G1742),ISNUMBER(出库明细!E1742),ISNUMBER(出库明细!F1742)),IF(ABS(出库明细!G1742-出库明细!E1742*出库明细!F1742)&gt;0.005,1,0),0)</f>
        <v>0</v>
      </c>
    </row>
    <row r="1743">
      <c r="A1743">
        <f>IF(OR(出库明细!C743="",出库明细!D743=""),"",IF(OR(COUNTIFS(存条明细!$C$4:$C$1003,出库明细!C743,存条明细!$D$4:$D$1003,出库明细!D743)&gt;0,COUNTIFS(出库明细!$C$4:C743,出库明细!C743,出库明细!$D$4:D743,出库明细!D743)&gt;1),"",IFERROR(MATCH(出库明细!C743,总览汇总!$B$5:$B$304,0),900)*10000000+IFERROR(MATCH(出库明细!D743,基础资料!$E$5:$E$104,0),900)*10000+ROW()))</f>
      </c>
      <c r="F1743">
        <f>IF(AND(出库明细!C1743&lt;&gt;"",出库明细!C1743=客户对账单!$B$4,ISNUMBER(出库明细!B1743),出库明细!B1743&gt;=客户对账单!$G$4,出库明细!B1743&lt;=客户对账单!$I$4),出库明细!B1743+ROW()/100000,"")</f>
      </c>
      <c r="H1743">
        <f>IF(AND(资金台帐!K246&lt;&gt;"",资金台帐!K246=供应商对账单!$B$4,资金台帐!P246="应付",ISNUMBER(资金台帐!B246),资金台帐!B246&gt;=供应商对账单!$G$4,资金台帐!B246&lt;=供应商对账单!$I$4),资金台帐!B246+ROW()/100000,"")</f>
      </c>
      <c r="N1743">
        <f>IF(AND(ISNUMBER(出库明细!G1743),ISNUMBER(出库明细!E1743),ISNUMBER(出库明细!F1743)),IF(ABS(出库明细!G1743-出库明细!E1743*出库明细!F1743)&gt;0.005,1,0),0)</f>
        <v>0</v>
      </c>
    </row>
    <row r="1744">
      <c r="A1744">
        <f>IF(OR(出库明细!C744="",出库明细!D744=""),"",IF(OR(COUNTIFS(存条明细!$C$4:$C$1003,出库明细!C744,存条明细!$D$4:$D$1003,出库明细!D744)&gt;0,COUNTIFS(出库明细!$C$4:C744,出库明细!C744,出库明细!$D$4:D744,出库明细!D744)&gt;1),"",IFERROR(MATCH(出库明细!C744,总览汇总!$B$5:$B$304,0),900)*10000000+IFERROR(MATCH(出库明细!D744,基础资料!$E$5:$E$104,0),900)*10000+ROW()))</f>
      </c>
      <c r="F1744">
        <f>IF(AND(出库明细!C1744&lt;&gt;"",出库明细!C1744=客户对账单!$B$4,ISNUMBER(出库明细!B1744),出库明细!B1744&gt;=客户对账单!$G$4,出库明细!B1744&lt;=客户对账单!$I$4),出库明细!B1744+ROW()/100000,"")</f>
      </c>
      <c r="H1744">
        <f>IF(AND(资金台帐!K247&lt;&gt;"",资金台帐!K247=供应商对账单!$B$4,资金台帐!P247="应付",ISNUMBER(资金台帐!B247),资金台帐!B247&gt;=供应商对账单!$G$4,资金台帐!B247&lt;=供应商对账单!$I$4),资金台帐!B247+ROW()/100000,"")</f>
      </c>
      <c r="N1744">
        <f>IF(AND(ISNUMBER(出库明细!G1744),ISNUMBER(出库明细!E1744),ISNUMBER(出库明细!F1744)),IF(ABS(出库明细!G1744-出库明细!E1744*出库明细!F1744)&gt;0.005,1,0),0)</f>
        <v>0</v>
      </c>
    </row>
    <row r="1745">
      <c r="A1745">
        <f>IF(OR(出库明细!C745="",出库明细!D745=""),"",IF(OR(COUNTIFS(存条明细!$C$4:$C$1003,出库明细!C745,存条明细!$D$4:$D$1003,出库明细!D745)&gt;0,COUNTIFS(出库明细!$C$4:C745,出库明细!C745,出库明细!$D$4:D745,出库明细!D745)&gt;1),"",IFERROR(MATCH(出库明细!C745,总览汇总!$B$5:$B$304,0),900)*10000000+IFERROR(MATCH(出库明细!D745,基础资料!$E$5:$E$104,0),900)*10000+ROW()))</f>
      </c>
      <c r="F1745">
        <f>IF(AND(出库明细!C1745&lt;&gt;"",出库明细!C1745=客户对账单!$B$4,ISNUMBER(出库明细!B1745),出库明细!B1745&gt;=客户对账单!$G$4,出库明细!B1745&lt;=客户对账单!$I$4),出库明细!B1745+ROW()/100000,"")</f>
      </c>
      <c r="H1745">
        <f>IF(AND(资金台帐!K248&lt;&gt;"",资金台帐!K248=供应商对账单!$B$4,资金台帐!P248="应付",ISNUMBER(资金台帐!B248),资金台帐!B248&gt;=供应商对账单!$G$4,资金台帐!B248&lt;=供应商对账单!$I$4),资金台帐!B248+ROW()/100000,"")</f>
      </c>
      <c r="N1745">
        <f>IF(AND(ISNUMBER(出库明细!G1745),ISNUMBER(出库明细!E1745),ISNUMBER(出库明细!F1745)),IF(ABS(出库明细!G1745-出库明细!E1745*出库明细!F1745)&gt;0.005,1,0),0)</f>
        <v>0</v>
      </c>
    </row>
    <row r="1746">
      <c r="A1746">
        <f>IF(OR(出库明细!C746="",出库明细!D746=""),"",IF(OR(COUNTIFS(存条明细!$C$4:$C$1003,出库明细!C746,存条明细!$D$4:$D$1003,出库明细!D746)&gt;0,COUNTIFS(出库明细!$C$4:C746,出库明细!C746,出库明细!$D$4:D746,出库明细!D746)&gt;1),"",IFERROR(MATCH(出库明细!C746,总览汇总!$B$5:$B$304,0),900)*10000000+IFERROR(MATCH(出库明细!D746,基础资料!$E$5:$E$104,0),900)*10000+ROW()))</f>
      </c>
      <c r="F1746">
        <f>IF(AND(出库明细!C1746&lt;&gt;"",出库明细!C1746=客户对账单!$B$4,ISNUMBER(出库明细!B1746),出库明细!B1746&gt;=客户对账单!$G$4,出库明细!B1746&lt;=客户对账单!$I$4),出库明细!B1746+ROW()/100000,"")</f>
      </c>
      <c r="H1746">
        <f>IF(AND(资金台帐!K249&lt;&gt;"",资金台帐!K249=供应商对账单!$B$4,资金台帐!P249="应付",ISNUMBER(资金台帐!B249),资金台帐!B249&gt;=供应商对账单!$G$4,资金台帐!B249&lt;=供应商对账单!$I$4),资金台帐!B249+ROW()/100000,"")</f>
      </c>
      <c r="N1746">
        <f>IF(AND(ISNUMBER(出库明细!G1746),ISNUMBER(出库明细!E1746),ISNUMBER(出库明细!F1746)),IF(ABS(出库明细!G1746-出库明细!E1746*出库明细!F1746)&gt;0.005,1,0),0)</f>
        <v>0</v>
      </c>
    </row>
    <row r="1747">
      <c r="A1747">
        <f>IF(OR(出库明细!C747="",出库明细!D747=""),"",IF(OR(COUNTIFS(存条明细!$C$4:$C$1003,出库明细!C747,存条明细!$D$4:$D$1003,出库明细!D747)&gt;0,COUNTIFS(出库明细!$C$4:C747,出库明细!C747,出库明细!$D$4:D747,出库明细!D747)&gt;1),"",IFERROR(MATCH(出库明细!C747,总览汇总!$B$5:$B$304,0),900)*10000000+IFERROR(MATCH(出库明细!D747,基础资料!$E$5:$E$104,0),900)*10000+ROW()))</f>
      </c>
      <c r="F1747">
        <f>IF(AND(出库明细!C1747&lt;&gt;"",出库明细!C1747=客户对账单!$B$4,ISNUMBER(出库明细!B1747),出库明细!B1747&gt;=客户对账单!$G$4,出库明细!B1747&lt;=客户对账单!$I$4),出库明细!B1747+ROW()/100000,"")</f>
      </c>
      <c r="H1747">
        <f>IF(AND(资金台帐!K250&lt;&gt;"",资金台帐!K250=供应商对账单!$B$4,资金台帐!P250="应付",ISNUMBER(资金台帐!B250),资金台帐!B250&gt;=供应商对账单!$G$4,资金台帐!B250&lt;=供应商对账单!$I$4),资金台帐!B250+ROW()/100000,"")</f>
      </c>
      <c r="N1747">
        <f>IF(AND(ISNUMBER(出库明细!G1747),ISNUMBER(出库明细!E1747),ISNUMBER(出库明细!F1747)),IF(ABS(出库明细!G1747-出库明细!E1747*出库明细!F1747)&gt;0.005,1,0),0)</f>
        <v>0</v>
      </c>
    </row>
    <row r="1748">
      <c r="A1748">
        <f>IF(OR(出库明细!C748="",出库明细!D748=""),"",IF(OR(COUNTIFS(存条明细!$C$4:$C$1003,出库明细!C748,存条明细!$D$4:$D$1003,出库明细!D748)&gt;0,COUNTIFS(出库明细!$C$4:C748,出库明细!C748,出库明细!$D$4:D748,出库明细!D748)&gt;1),"",IFERROR(MATCH(出库明细!C748,总览汇总!$B$5:$B$304,0),900)*10000000+IFERROR(MATCH(出库明细!D748,基础资料!$E$5:$E$104,0),900)*10000+ROW()))</f>
      </c>
      <c r="F1748">
        <f>IF(AND(出库明细!C1748&lt;&gt;"",出库明细!C1748=客户对账单!$B$4,ISNUMBER(出库明细!B1748),出库明细!B1748&gt;=客户对账单!$G$4,出库明细!B1748&lt;=客户对账单!$I$4),出库明细!B1748+ROW()/100000,"")</f>
      </c>
      <c r="H1748">
        <f>IF(AND(资金台帐!K251&lt;&gt;"",资金台帐!K251=供应商对账单!$B$4,资金台帐!P251="应付",ISNUMBER(资金台帐!B251),资金台帐!B251&gt;=供应商对账单!$G$4,资金台帐!B251&lt;=供应商对账单!$I$4),资金台帐!B251+ROW()/100000,"")</f>
      </c>
      <c r="N1748">
        <f>IF(AND(ISNUMBER(出库明细!G1748),ISNUMBER(出库明细!E1748),ISNUMBER(出库明细!F1748)),IF(ABS(出库明细!G1748-出库明细!E1748*出库明细!F1748)&gt;0.005,1,0),0)</f>
        <v>0</v>
      </c>
    </row>
    <row r="1749">
      <c r="A1749">
        <f>IF(OR(出库明细!C749="",出库明细!D749=""),"",IF(OR(COUNTIFS(存条明细!$C$4:$C$1003,出库明细!C749,存条明细!$D$4:$D$1003,出库明细!D749)&gt;0,COUNTIFS(出库明细!$C$4:C749,出库明细!C749,出库明细!$D$4:D749,出库明细!D749)&gt;1),"",IFERROR(MATCH(出库明细!C749,总览汇总!$B$5:$B$304,0),900)*10000000+IFERROR(MATCH(出库明细!D749,基础资料!$E$5:$E$104,0),900)*10000+ROW()))</f>
      </c>
      <c r="F1749">
        <f>IF(AND(出库明细!C1749&lt;&gt;"",出库明细!C1749=客户对账单!$B$4,ISNUMBER(出库明细!B1749),出库明细!B1749&gt;=客户对账单!$G$4,出库明细!B1749&lt;=客户对账单!$I$4),出库明细!B1749+ROW()/100000,"")</f>
      </c>
      <c r="H1749">
        <f>IF(AND(资金台帐!K252&lt;&gt;"",资金台帐!K252=供应商对账单!$B$4,资金台帐!P252="应付",ISNUMBER(资金台帐!B252),资金台帐!B252&gt;=供应商对账单!$G$4,资金台帐!B252&lt;=供应商对账单!$I$4),资金台帐!B252+ROW()/100000,"")</f>
      </c>
      <c r="N1749">
        <f>IF(AND(ISNUMBER(出库明细!G1749),ISNUMBER(出库明细!E1749),ISNUMBER(出库明细!F1749)),IF(ABS(出库明细!G1749-出库明细!E1749*出库明细!F1749)&gt;0.005,1,0),0)</f>
        <v>0</v>
      </c>
    </row>
    <row r="1750">
      <c r="A1750">
        <f>IF(OR(出库明细!C750="",出库明细!D750=""),"",IF(OR(COUNTIFS(存条明细!$C$4:$C$1003,出库明细!C750,存条明细!$D$4:$D$1003,出库明细!D750)&gt;0,COUNTIFS(出库明细!$C$4:C750,出库明细!C750,出库明细!$D$4:D750,出库明细!D750)&gt;1),"",IFERROR(MATCH(出库明细!C750,总览汇总!$B$5:$B$304,0),900)*10000000+IFERROR(MATCH(出库明细!D750,基础资料!$E$5:$E$104,0),900)*10000+ROW()))</f>
      </c>
      <c r="F1750">
        <f>IF(AND(出库明细!C1750&lt;&gt;"",出库明细!C1750=客户对账单!$B$4,ISNUMBER(出库明细!B1750),出库明细!B1750&gt;=客户对账单!$G$4,出库明细!B1750&lt;=客户对账单!$I$4),出库明细!B1750+ROW()/100000,"")</f>
      </c>
      <c r="H1750">
        <f>IF(AND(资金台帐!K253&lt;&gt;"",资金台帐!K253=供应商对账单!$B$4,资金台帐!P253="应付",ISNUMBER(资金台帐!B253),资金台帐!B253&gt;=供应商对账单!$G$4,资金台帐!B253&lt;=供应商对账单!$I$4),资金台帐!B253+ROW()/100000,"")</f>
      </c>
      <c r="N1750">
        <f>IF(AND(ISNUMBER(出库明细!G1750),ISNUMBER(出库明细!E1750),ISNUMBER(出库明细!F1750)),IF(ABS(出库明细!G1750-出库明细!E1750*出库明细!F1750)&gt;0.005,1,0),0)</f>
        <v>0</v>
      </c>
    </row>
    <row r="1751">
      <c r="A1751">
        <f>IF(OR(出库明细!C751="",出库明细!D751=""),"",IF(OR(COUNTIFS(存条明细!$C$4:$C$1003,出库明细!C751,存条明细!$D$4:$D$1003,出库明细!D751)&gt;0,COUNTIFS(出库明细!$C$4:C751,出库明细!C751,出库明细!$D$4:D751,出库明细!D751)&gt;1),"",IFERROR(MATCH(出库明细!C751,总览汇总!$B$5:$B$304,0),900)*10000000+IFERROR(MATCH(出库明细!D751,基础资料!$E$5:$E$104,0),900)*10000+ROW()))</f>
      </c>
      <c r="F1751">
        <f>IF(AND(出库明细!C1751&lt;&gt;"",出库明细!C1751=客户对账单!$B$4,ISNUMBER(出库明细!B1751),出库明细!B1751&gt;=客户对账单!$G$4,出库明细!B1751&lt;=客户对账单!$I$4),出库明细!B1751+ROW()/100000,"")</f>
      </c>
      <c r="H1751">
        <f>IF(AND(资金台帐!K254&lt;&gt;"",资金台帐!K254=供应商对账单!$B$4,资金台帐!P254="应付",ISNUMBER(资金台帐!B254),资金台帐!B254&gt;=供应商对账单!$G$4,资金台帐!B254&lt;=供应商对账单!$I$4),资金台帐!B254+ROW()/100000,"")</f>
      </c>
      <c r="N1751">
        <f>IF(AND(ISNUMBER(出库明细!G1751),ISNUMBER(出库明细!E1751),ISNUMBER(出库明细!F1751)),IF(ABS(出库明细!G1751-出库明细!E1751*出库明细!F1751)&gt;0.005,1,0),0)</f>
        <v>0</v>
      </c>
    </row>
    <row r="1752">
      <c r="A1752">
        <f>IF(OR(出库明细!C752="",出库明细!D752=""),"",IF(OR(COUNTIFS(存条明细!$C$4:$C$1003,出库明细!C752,存条明细!$D$4:$D$1003,出库明细!D752)&gt;0,COUNTIFS(出库明细!$C$4:C752,出库明细!C752,出库明细!$D$4:D752,出库明细!D752)&gt;1),"",IFERROR(MATCH(出库明细!C752,总览汇总!$B$5:$B$304,0),900)*10000000+IFERROR(MATCH(出库明细!D752,基础资料!$E$5:$E$104,0),900)*10000+ROW()))</f>
      </c>
      <c r="F1752">
        <f>IF(AND(出库明细!C1752&lt;&gt;"",出库明细!C1752=客户对账单!$B$4,ISNUMBER(出库明细!B1752),出库明细!B1752&gt;=客户对账单!$G$4,出库明细!B1752&lt;=客户对账单!$I$4),出库明细!B1752+ROW()/100000,"")</f>
      </c>
      <c r="H1752">
        <f>IF(AND(资金台帐!K255&lt;&gt;"",资金台帐!K255=供应商对账单!$B$4,资金台帐!P255="应付",ISNUMBER(资金台帐!B255),资金台帐!B255&gt;=供应商对账单!$G$4,资金台帐!B255&lt;=供应商对账单!$I$4),资金台帐!B255+ROW()/100000,"")</f>
      </c>
      <c r="N1752">
        <f>IF(AND(ISNUMBER(出库明细!G1752),ISNUMBER(出库明细!E1752),ISNUMBER(出库明细!F1752)),IF(ABS(出库明细!G1752-出库明细!E1752*出库明细!F1752)&gt;0.005,1,0),0)</f>
        <v>0</v>
      </c>
    </row>
    <row r="1753">
      <c r="A1753">
        <f>IF(OR(出库明细!C753="",出库明细!D753=""),"",IF(OR(COUNTIFS(存条明细!$C$4:$C$1003,出库明细!C753,存条明细!$D$4:$D$1003,出库明细!D753)&gt;0,COUNTIFS(出库明细!$C$4:C753,出库明细!C753,出库明细!$D$4:D753,出库明细!D753)&gt;1),"",IFERROR(MATCH(出库明细!C753,总览汇总!$B$5:$B$304,0),900)*10000000+IFERROR(MATCH(出库明细!D753,基础资料!$E$5:$E$104,0),900)*10000+ROW()))</f>
      </c>
      <c r="F1753">
        <f>IF(AND(出库明细!C1753&lt;&gt;"",出库明细!C1753=客户对账单!$B$4,ISNUMBER(出库明细!B1753),出库明细!B1753&gt;=客户对账单!$G$4,出库明细!B1753&lt;=客户对账单!$I$4),出库明细!B1753+ROW()/100000,"")</f>
      </c>
      <c r="H1753">
        <f>IF(AND(资金台帐!K256&lt;&gt;"",资金台帐!K256=供应商对账单!$B$4,资金台帐!P256="应付",ISNUMBER(资金台帐!B256),资金台帐!B256&gt;=供应商对账单!$G$4,资金台帐!B256&lt;=供应商对账单!$I$4),资金台帐!B256+ROW()/100000,"")</f>
      </c>
      <c r="N1753">
        <f>IF(AND(ISNUMBER(出库明细!G1753),ISNUMBER(出库明细!E1753),ISNUMBER(出库明细!F1753)),IF(ABS(出库明细!G1753-出库明细!E1753*出库明细!F1753)&gt;0.005,1,0),0)</f>
        <v>0</v>
      </c>
    </row>
    <row r="1754">
      <c r="A1754">
        <f>IF(OR(出库明细!C754="",出库明细!D754=""),"",IF(OR(COUNTIFS(存条明细!$C$4:$C$1003,出库明细!C754,存条明细!$D$4:$D$1003,出库明细!D754)&gt;0,COUNTIFS(出库明细!$C$4:C754,出库明细!C754,出库明细!$D$4:D754,出库明细!D754)&gt;1),"",IFERROR(MATCH(出库明细!C754,总览汇总!$B$5:$B$304,0),900)*10000000+IFERROR(MATCH(出库明细!D754,基础资料!$E$5:$E$104,0),900)*10000+ROW()))</f>
      </c>
      <c r="F1754">
        <f>IF(AND(出库明细!C1754&lt;&gt;"",出库明细!C1754=客户对账单!$B$4,ISNUMBER(出库明细!B1754),出库明细!B1754&gt;=客户对账单!$G$4,出库明细!B1754&lt;=客户对账单!$I$4),出库明细!B1754+ROW()/100000,"")</f>
      </c>
      <c r="H1754">
        <f>IF(AND(资金台帐!K257&lt;&gt;"",资金台帐!K257=供应商对账单!$B$4,资金台帐!P257="应付",ISNUMBER(资金台帐!B257),资金台帐!B257&gt;=供应商对账单!$G$4,资金台帐!B257&lt;=供应商对账单!$I$4),资金台帐!B257+ROW()/100000,"")</f>
      </c>
      <c r="N1754">
        <f>IF(AND(ISNUMBER(出库明细!G1754),ISNUMBER(出库明细!E1754),ISNUMBER(出库明细!F1754)),IF(ABS(出库明细!G1754-出库明细!E1754*出库明细!F1754)&gt;0.005,1,0),0)</f>
        <v>0</v>
      </c>
    </row>
    <row r="1755">
      <c r="A1755">
        <f>IF(OR(出库明细!C755="",出库明细!D755=""),"",IF(OR(COUNTIFS(存条明细!$C$4:$C$1003,出库明细!C755,存条明细!$D$4:$D$1003,出库明细!D755)&gt;0,COUNTIFS(出库明细!$C$4:C755,出库明细!C755,出库明细!$D$4:D755,出库明细!D755)&gt;1),"",IFERROR(MATCH(出库明细!C755,总览汇总!$B$5:$B$304,0),900)*10000000+IFERROR(MATCH(出库明细!D755,基础资料!$E$5:$E$104,0),900)*10000+ROW()))</f>
      </c>
      <c r="F1755">
        <f>IF(AND(出库明细!C1755&lt;&gt;"",出库明细!C1755=客户对账单!$B$4,ISNUMBER(出库明细!B1755),出库明细!B1755&gt;=客户对账单!$G$4,出库明细!B1755&lt;=客户对账单!$I$4),出库明细!B1755+ROW()/100000,"")</f>
      </c>
      <c r="H1755">
        <f>IF(AND(资金台帐!K258&lt;&gt;"",资金台帐!K258=供应商对账单!$B$4,资金台帐!P258="应付",ISNUMBER(资金台帐!B258),资金台帐!B258&gt;=供应商对账单!$G$4,资金台帐!B258&lt;=供应商对账单!$I$4),资金台帐!B258+ROW()/100000,"")</f>
      </c>
      <c r="N1755">
        <f>IF(AND(ISNUMBER(出库明细!G1755),ISNUMBER(出库明细!E1755),ISNUMBER(出库明细!F1755)),IF(ABS(出库明细!G1755-出库明细!E1755*出库明细!F1755)&gt;0.005,1,0),0)</f>
        <v>0</v>
      </c>
    </row>
    <row r="1756">
      <c r="A1756">
        <f>IF(OR(出库明细!C756="",出库明细!D756=""),"",IF(OR(COUNTIFS(存条明细!$C$4:$C$1003,出库明细!C756,存条明细!$D$4:$D$1003,出库明细!D756)&gt;0,COUNTIFS(出库明细!$C$4:C756,出库明细!C756,出库明细!$D$4:D756,出库明细!D756)&gt;1),"",IFERROR(MATCH(出库明细!C756,总览汇总!$B$5:$B$304,0),900)*10000000+IFERROR(MATCH(出库明细!D756,基础资料!$E$5:$E$104,0),900)*10000+ROW()))</f>
      </c>
      <c r="F1756">
        <f>IF(AND(出库明细!C1756&lt;&gt;"",出库明细!C1756=客户对账单!$B$4,ISNUMBER(出库明细!B1756),出库明细!B1756&gt;=客户对账单!$G$4,出库明细!B1756&lt;=客户对账单!$I$4),出库明细!B1756+ROW()/100000,"")</f>
      </c>
      <c r="H1756">
        <f>IF(AND(资金台帐!K259&lt;&gt;"",资金台帐!K259=供应商对账单!$B$4,资金台帐!P259="应付",ISNUMBER(资金台帐!B259),资金台帐!B259&gt;=供应商对账单!$G$4,资金台帐!B259&lt;=供应商对账单!$I$4),资金台帐!B259+ROW()/100000,"")</f>
      </c>
      <c r="N1756">
        <f>IF(AND(ISNUMBER(出库明细!G1756),ISNUMBER(出库明细!E1756),ISNUMBER(出库明细!F1756)),IF(ABS(出库明细!G1756-出库明细!E1756*出库明细!F1756)&gt;0.005,1,0),0)</f>
        <v>0</v>
      </c>
    </row>
    <row r="1757">
      <c r="A1757">
        <f>IF(OR(出库明细!C757="",出库明细!D757=""),"",IF(OR(COUNTIFS(存条明细!$C$4:$C$1003,出库明细!C757,存条明细!$D$4:$D$1003,出库明细!D757)&gt;0,COUNTIFS(出库明细!$C$4:C757,出库明细!C757,出库明细!$D$4:D757,出库明细!D757)&gt;1),"",IFERROR(MATCH(出库明细!C757,总览汇总!$B$5:$B$304,0),900)*10000000+IFERROR(MATCH(出库明细!D757,基础资料!$E$5:$E$104,0),900)*10000+ROW()))</f>
      </c>
      <c r="F1757">
        <f>IF(AND(出库明细!C1757&lt;&gt;"",出库明细!C1757=客户对账单!$B$4,ISNUMBER(出库明细!B1757),出库明细!B1757&gt;=客户对账单!$G$4,出库明细!B1757&lt;=客户对账单!$I$4),出库明细!B1757+ROW()/100000,"")</f>
      </c>
      <c r="H1757">
        <f>IF(AND(资金台帐!K260&lt;&gt;"",资金台帐!K260=供应商对账单!$B$4,资金台帐!P260="应付",ISNUMBER(资金台帐!B260),资金台帐!B260&gt;=供应商对账单!$G$4,资金台帐!B260&lt;=供应商对账单!$I$4),资金台帐!B260+ROW()/100000,"")</f>
      </c>
      <c r="N1757">
        <f>IF(AND(ISNUMBER(出库明细!G1757),ISNUMBER(出库明细!E1757),ISNUMBER(出库明细!F1757)),IF(ABS(出库明细!G1757-出库明细!E1757*出库明细!F1757)&gt;0.005,1,0),0)</f>
        <v>0</v>
      </c>
    </row>
    <row r="1758">
      <c r="A1758">
        <f>IF(OR(出库明细!C758="",出库明细!D758=""),"",IF(OR(COUNTIFS(存条明细!$C$4:$C$1003,出库明细!C758,存条明细!$D$4:$D$1003,出库明细!D758)&gt;0,COUNTIFS(出库明细!$C$4:C758,出库明细!C758,出库明细!$D$4:D758,出库明细!D758)&gt;1),"",IFERROR(MATCH(出库明细!C758,总览汇总!$B$5:$B$304,0),900)*10000000+IFERROR(MATCH(出库明细!D758,基础资料!$E$5:$E$104,0),900)*10000+ROW()))</f>
      </c>
      <c r="F1758">
        <f>IF(AND(出库明细!C1758&lt;&gt;"",出库明细!C1758=客户对账单!$B$4,ISNUMBER(出库明细!B1758),出库明细!B1758&gt;=客户对账单!$G$4,出库明细!B1758&lt;=客户对账单!$I$4),出库明细!B1758+ROW()/100000,"")</f>
      </c>
      <c r="H1758">
        <f>IF(AND(资金台帐!K261&lt;&gt;"",资金台帐!K261=供应商对账单!$B$4,资金台帐!P261="应付",ISNUMBER(资金台帐!B261),资金台帐!B261&gt;=供应商对账单!$G$4,资金台帐!B261&lt;=供应商对账单!$I$4),资金台帐!B261+ROW()/100000,"")</f>
      </c>
      <c r="N1758">
        <f>IF(AND(ISNUMBER(出库明细!G1758),ISNUMBER(出库明细!E1758),ISNUMBER(出库明细!F1758)),IF(ABS(出库明细!G1758-出库明细!E1758*出库明细!F1758)&gt;0.005,1,0),0)</f>
        <v>0</v>
      </c>
    </row>
    <row r="1759">
      <c r="A1759">
        <f>IF(OR(出库明细!C759="",出库明细!D759=""),"",IF(OR(COUNTIFS(存条明细!$C$4:$C$1003,出库明细!C759,存条明细!$D$4:$D$1003,出库明细!D759)&gt;0,COUNTIFS(出库明细!$C$4:C759,出库明细!C759,出库明细!$D$4:D759,出库明细!D759)&gt;1),"",IFERROR(MATCH(出库明细!C759,总览汇总!$B$5:$B$304,0),900)*10000000+IFERROR(MATCH(出库明细!D759,基础资料!$E$5:$E$104,0),900)*10000+ROW()))</f>
      </c>
      <c r="F1759">
        <f>IF(AND(出库明细!C1759&lt;&gt;"",出库明细!C1759=客户对账单!$B$4,ISNUMBER(出库明细!B1759),出库明细!B1759&gt;=客户对账单!$G$4,出库明细!B1759&lt;=客户对账单!$I$4),出库明细!B1759+ROW()/100000,"")</f>
      </c>
      <c r="H1759">
        <f>IF(AND(资金台帐!K262&lt;&gt;"",资金台帐!K262=供应商对账单!$B$4,资金台帐!P262="应付",ISNUMBER(资金台帐!B262),资金台帐!B262&gt;=供应商对账单!$G$4,资金台帐!B262&lt;=供应商对账单!$I$4),资金台帐!B262+ROW()/100000,"")</f>
      </c>
      <c r="N1759">
        <f>IF(AND(ISNUMBER(出库明细!G1759),ISNUMBER(出库明细!E1759),ISNUMBER(出库明细!F1759)),IF(ABS(出库明细!G1759-出库明细!E1759*出库明细!F1759)&gt;0.005,1,0),0)</f>
        <v>0</v>
      </c>
    </row>
    <row r="1760">
      <c r="A1760">
        <f>IF(OR(出库明细!C760="",出库明细!D760=""),"",IF(OR(COUNTIFS(存条明细!$C$4:$C$1003,出库明细!C760,存条明细!$D$4:$D$1003,出库明细!D760)&gt;0,COUNTIFS(出库明细!$C$4:C760,出库明细!C760,出库明细!$D$4:D760,出库明细!D760)&gt;1),"",IFERROR(MATCH(出库明细!C760,总览汇总!$B$5:$B$304,0),900)*10000000+IFERROR(MATCH(出库明细!D760,基础资料!$E$5:$E$104,0),900)*10000+ROW()))</f>
      </c>
      <c r="F1760">
        <f>IF(AND(出库明细!C1760&lt;&gt;"",出库明细!C1760=客户对账单!$B$4,ISNUMBER(出库明细!B1760),出库明细!B1760&gt;=客户对账单!$G$4,出库明细!B1760&lt;=客户对账单!$I$4),出库明细!B1760+ROW()/100000,"")</f>
      </c>
      <c r="H1760">
        <f>IF(AND(资金台帐!K263&lt;&gt;"",资金台帐!K263=供应商对账单!$B$4,资金台帐!P263="应付",ISNUMBER(资金台帐!B263),资金台帐!B263&gt;=供应商对账单!$G$4,资金台帐!B263&lt;=供应商对账单!$I$4),资金台帐!B263+ROW()/100000,"")</f>
      </c>
      <c r="N1760">
        <f>IF(AND(ISNUMBER(出库明细!G1760),ISNUMBER(出库明细!E1760),ISNUMBER(出库明细!F1760)),IF(ABS(出库明细!G1760-出库明细!E1760*出库明细!F1760)&gt;0.005,1,0),0)</f>
        <v>0</v>
      </c>
    </row>
    <row r="1761">
      <c r="A1761">
        <f>IF(OR(出库明细!C761="",出库明细!D761=""),"",IF(OR(COUNTIFS(存条明细!$C$4:$C$1003,出库明细!C761,存条明细!$D$4:$D$1003,出库明细!D761)&gt;0,COUNTIFS(出库明细!$C$4:C761,出库明细!C761,出库明细!$D$4:D761,出库明细!D761)&gt;1),"",IFERROR(MATCH(出库明细!C761,总览汇总!$B$5:$B$304,0),900)*10000000+IFERROR(MATCH(出库明细!D761,基础资料!$E$5:$E$104,0),900)*10000+ROW()))</f>
      </c>
      <c r="F1761">
        <f>IF(AND(出库明细!C1761&lt;&gt;"",出库明细!C1761=客户对账单!$B$4,ISNUMBER(出库明细!B1761),出库明细!B1761&gt;=客户对账单!$G$4,出库明细!B1761&lt;=客户对账单!$I$4),出库明细!B1761+ROW()/100000,"")</f>
      </c>
      <c r="H1761">
        <f>IF(AND(资金台帐!K264&lt;&gt;"",资金台帐!K264=供应商对账单!$B$4,资金台帐!P264="应付",ISNUMBER(资金台帐!B264),资金台帐!B264&gt;=供应商对账单!$G$4,资金台帐!B264&lt;=供应商对账单!$I$4),资金台帐!B264+ROW()/100000,"")</f>
      </c>
      <c r="N1761">
        <f>IF(AND(ISNUMBER(出库明细!G1761),ISNUMBER(出库明细!E1761),ISNUMBER(出库明细!F1761)),IF(ABS(出库明细!G1761-出库明细!E1761*出库明细!F1761)&gt;0.005,1,0),0)</f>
        <v>0</v>
      </c>
    </row>
    <row r="1762">
      <c r="A1762">
        <f>IF(OR(出库明细!C762="",出库明细!D762=""),"",IF(OR(COUNTIFS(存条明细!$C$4:$C$1003,出库明细!C762,存条明细!$D$4:$D$1003,出库明细!D762)&gt;0,COUNTIFS(出库明细!$C$4:C762,出库明细!C762,出库明细!$D$4:D762,出库明细!D762)&gt;1),"",IFERROR(MATCH(出库明细!C762,总览汇总!$B$5:$B$304,0),900)*10000000+IFERROR(MATCH(出库明细!D762,基础资料!$E$5:$E$104,0),900)*10000+ROW()))</f>
      </c>
      <c r="F1762">
        <f>IF(AND(出库明细!C1762&lt;&gt;"",出库明细!C1762=客户对账单!$B$4,ISNUMBER(出库明细!B1762),出库明细!B1762&gt;=客户对账单!$G$4,出库明细!B1762&lt;=客户对账单!$I$4),出库明细!B1762+ROW()/100000,"")</f>
      </c>
      <c r="H1762">
        <f>IF(AND(资金台帐!K265&lt;&gt;"",资金台帐!K265=供应商对账单!$B$4,资金台帐!P265="应付",ISNUMBER(资金台帐!B265),资金台帐!B265&gt;=供应商对账单!$G$4,资金台帐!B265&lt;=供应商对账单!$I$4),资金台帐!B265+ROW()/100000,"")</f>
      </c>
      <c r="N1762">
        <f>IF(AND(ISNUMBER(出库明细!G1762),ISNUMBER(出库明细!E1762),ISNUMBER(出库明细!F1762)),IF(ABS(出库明细!G1762-出库明细!E1762*出库明细!F1762)&gt;0.005,1,0),0)</f>
        <v>0</v>
      </c>
    </row>
    <row r="1763">
      <c r="A1763">
        <f>IF(OR(出库明细!C763="",出库明细!D763=""),"",IF(OR(COUNTIFS(存条明细!$C$4:$C$1003,出库明细!C763,存条明细!$D$4:$D$1003,出库明细!D763)&gt;0,COUNTIFS(出库明细!$C$4:C763,出库明细!C763,出库明细!$D$4:D763,出库明细!D763)&gt;1),"",IFERROR(MATCH(出库明细!C763,总览汇总!$B$5:$B$304,0),900)*10000000+IFERROR(MATCH(出库明细!D763,基础资料!$E$5:$E$104,0),900)*10000+ROW()))</f>
      </c>
      <c r="F1763">
        <f>IF(AND(出库明细!C1763&lt;&gt;"",出库明细!C1763=客户对账单!$B$4,ISNUMBER(出库明细!B1763),出库明细!B1763&gt;=客户对账单!$G$4,出库明细!B1763&lt;=客户对账单!$I$4),出库明细!B1763+ROW()/100000,"")</f>
      </c>
      <c r="H1763">
        <f>IF(AND(资金台帐!K266&lt;&gt;"",资金台帐!K266=供应商对账单!$B$4,资金台帐!P266="应付",ISNUMBER(资金台帐!B266),资金台帐!B266&gt;=供应商对账单!$G$4,资金台帐!B266&lt;=供应商对账单!$I$4),资金台帐!B266+ROW()/100000,"")</f>
      </c>
      <c r="N1763">
        <f>IF(AND(ISNUMBER(出库明细!G1763),ISNUMBER(出库明细!E1763),ISNUMBER(出库明细!F1763)),IF(ABS(出库明细!G1763-出库明细!E1763*出库明细!F1763)&gt;0.005,1,0),0)</f>
        <v>0</v>
      </c>
    </row>
    <row r="1764">
      <c r="A1764">
        <f>IF(OR(出库明细!C764="",出库明细!D764=""),"",IF(OR(COUNTIFS(存条明细!$C$4:$C$1003,出库明细!C764,存条明细!$D$4:$D$1003,出库明细!D764)&gt;0,COUNTIFS(出库明细!$C$4:C764,出库明细!C764,出库明细!$D$4:D764,出库明细!D764)&gt;1),"",IFERROR(MATCH(出库明细!C764,总览汇总!$B$5:$B$304,0),900)*10000000+IFERROR(MATCH(出库明细!D764,基础资料!$E$5:$E$104,0),900)*10000+ROW()))</f>
      </c>
      <c r="F1764">
        <f>IF(AND(出库明细!C1764&lt;&gt;"",出库明细!C1764=客户对账单!$B$4,ISNUMBER(出库明细!B1764),出库明细!B1764&gt;=客户对账单!$G$4,出库明细!B1764&lt;=客户对账单!$I$4),出库明细!B1764+ROW()/100000,"")</f>
      </c>
      <c r="H1764">
        <f>IF(AND(资金台帐!K267&lt;&gt;"",资金台帐!K267=供应商对账单!$B$4,资金台帐!P267="应付",ISNUMBER(资金台帐!B267),资金台帐!B267&gt;=供应商对账单!$G$4,资金台帐!B267&lt;=供应商对账单!$I$4),资金台帐!B267+ROW()/100000,"")</f>
      </c>
      <c r="N1764">
        <f>IF(AND(ISNUMBER(出库明细!G1764),ISNUMBER(出库明细!E1764),ISNUMBER(出库明细!F1764)),IF(ABS(出库明细!G1764-出库明细!E1764*出库明细!F1764)&gt;0.005,1,0),0)</f>
        <v>0</v>
      </c>
    </row>
    <row r="1765">
      <c r="A1765">
        <f>IF(OR(出库明细!C765="",出库明细!D765=""),"",IF(OR(COUNTIFS(存条明细!$C$4:$C$1003,出库明细!C765,存条明细!$D$4:$D$1003,出库明细!D765)&gt;0,COUNTIFS(出库明细!$C$4:C765,出库明细!C765,出库明细!$D$4:D765,出库明细!D765)&gt;1),"",IFERROR(MATCH(出库明细!C765,总览汇总!$B$5:$B$304,0),900)*10000000+IFERROR(MATCH(出库明细!D765,基础资料!$E$5:$E$104,0),900)*10000+ROW()))</f>
      </c>
      <c r="F1765">
        <f>IF(AND(出库明细!C1765&lt;&gt;"",出库明细!C1765=客户对账单!$B$4,ISNUMBER(出库明细!B1765),出库明细!B1765&gt;=客户对账单!$G$4,出库明细!B1765&lt;=客户对账单!$I$4),出库明细!B1765+ROW()/100000,"")</f>
      </c>
      <c r="H1765">
        <f>IF(AND(资金台帐!K268&lt;&gt;"",资金台帐!K268=供应商对账单!$B$4,资金台帐!P268="应付",ISNUMBER(资金台帐!B268),资金台帐!B268&gt;=供应商对账单!$G$4,资金台帐!B268&lt;=供应商对账单!$I$4),资金台帐!B268+ROW()/100000,"")</f>
      </c>
      <c r="N1765">
        <f>IF(AND(ISNUMBER(出库明细!G1765),ISNUMBER(出库明细!E1765),ISNUMBER(出库明细!F1765)),IF(ABS(出库明细!G1765-出库明细!E1765*出库明细!F1765)&gt;0.005,1,0),0)</f>
        <v>0</v>
      </c>
    </row>
    <row r="1766">
      <c r="A1766">
        <f>IF(OR(出库明细!C766="",出库明细!D766=""),"",IF(OR(COUNTIFS(存条明细!$C$4:$C$1003,出库明细!C766,存条明细!$D$4:$D$1003,出库明细!D766)&gt;0,COUNTIFS(出库明细!$C$4:C766,出库明细!C766,出库明细!$D$4:D766,出库明细!D766)&gt;1),"",IFERROR(MATCH(出库明细!C766,总览汇总!$B$5:$B$304,0),900)*10000000+IFERROR(MATCH(出库明细!D766,基础资料!$E$5:$E$104,0),900)*10000+ROW()))</f>
      </c>
      <c r="F1766">
        <f>IF(AND(出库明细!C1766&lt;&gt;"",出库明细!C1766=客户对账单!$B$4,ISNUMBER(出库明细!B1766),出库明细!B1766&gt;=客户对账单!$G$4,出库明细!B1766&lt;=客户对账单!$I$4),出库明细!B1766+ROW()/100000,"")</f>
      </c>
      <c r="H1766">
        <f>IF(AND(资金台帐!K269&lt;&gt;"",资金台帐!K269=供应商对账单!$B$4,资金台帐!P269="应付",ISNUMBER(资金台帐!B269),资金台帐!B269&gt;=供应商对账单!$G$4,资金台帐!B269&lt;=供应商对账单!$I$4),资金台帐!B269+ROW()/100000,"")</f>
      </c>
      <c r="N1766">
        <f>IF(AND(ISNUMBER(出库明细!G1766),ISNUMBER(出库明细!E1766),ISNUMBER(出库明细!F1766)),IF(ABS(出库明细!G1766-出库明细!E1766*出库明细!F1766)&gt;0.005,1,0),0)</f>
        <v>0</v>
      </c>
    </row>
    <row r="1767">
      <c r="A1767">
        <f>IF(OR(出库明细!C767="",出库明细!D767=""),"",IF(OR(COUNTIFS(存条明细!$C$4:$C$1003,出库明细!C767,存条明细!$D$4:$D$1003,出库明细!D767)&gt;0,COUNTIFS(出库明细!$C$4:C767,出库明细!C767,出库明细!$D$4:D767,出库明细!D767)&gt;1),"",IFERROR(MATCH(出库明细!C767,总览汇总!$B$5:$B$304,0),900)*10000000+IFERROR(MATCH(出库明细!D767,基础资料!$E$5:$E$104,0),900)*10000+ROW()))</f>
      </c>
      <c r="F1767">
        <f>IF(AND(出库明细!C1767&lt;&gt;"",出库明细!C1767=客户对账单!$B$4,ISNUMBER(出库明细!B1767),出库明细!B1767&gt;=客户对账单!$G$4,出库明细!B1767&lt;=客户对账单!$I$4),出库明细!B1767+ROW()/100000,"")</f>
      </c>
      <c r="H1767">
        <f>IF(AND(资金台帐!K270&lt;&gt;"",资金台帐!K270=供应商对账单!$B$4,资金台帐!P270="应付",ISNUMBER(资金台帐!B270),资金台帐!B270&gt;=供应商对账单!$G$4,资金台帐!B270&lt;=供应商对账单!$I$4),资金台帐!B270+ROW()/100000,"")</f>
      </c>
      <c r="N1767">
        <f>IF(AND(ISNUMBER(出库明细!G1767),ISNUMBER(出库明细!E1767),ISNUMBER(出库明细!F1767)),IF(ABS(出库明细!G1767-出库明细!E1767*出库明细!F1767)&gt;0.005,1,0),0)</f>
        <v>0</v>
      </c>
    </row>
    <row r="1768">
      <c r="A1768">
        <f>IF(OR(出库明细!C768="",出库明细!D768=""),"",IF(OR(COUNTIFS(存条明细!$C$4:$C$1003,出库明细!C768,存条明细!$D$4:$D$1003,出库明细!D768)&gt;0,COUNTIFS(出库明细!$C$4:C768,出库明细!C768,出库明细!$D$4:D768,出库明细!D768)&gt;1),"",IFERROR(MATCH(出库明细!C768,总览汇总!$B$5:$B$304,0),900)*10000000+IFERROR(MATCH(出库明细!D768,基础资料!$E$5:$E$104,0),900)*10000+ROW()))</f>
      </c>
      <c r="F1768">
        <f>IF(AND(出库明细!C1768&lt;&gt;"",出库明细!C1768=客户对账单!$B$4,ISNUMBER(出库明细!B1768),出库明细!B1768&gt;=客户对账单!$G$4,出库明细!B1768&lt;=客户对账单!$I$4),出库明细!B1768+ROW()/100000,"")</f>
      </c>
      <c r="H1768">
        <f>IF(AND(资金台帐!K271&lt;&gt;"",资金台帐!K271=供应商对账单!$B$4,资金台帐!P271="应付",ISNUMBER(资金台帐!B271),资金台帐!B271&gt;=供应商对账单!$G$4,资金台帐!B271&lt;=供应商对账单!$I$4),资金台帐!B271+ROW()/100000,"")</f>
      </c>
      <c r="N1768">
        <f>IF(AND(ISNUMBER(出库明细!G1768),ISNUMBER(出库明细!E1768),ISNUMBER(出库明细!F1768)),IF(ABS(出库明细!G1768-出库明细!E1768*出库明细!F1768)&gt;0.005,1,0),0)</f>
        <v>0</v>
      </c>
    </row>
    <row r="1769">
      <c r="A1769">
        <f>IF(OR(出库明细!C769="",出库明细!D769=""),"",IF(OR(COUNTIFS(存条明细!$C$4:$C$1003,出库明细!C769,存条明细!$D$4:$D$1003,出库明细!D769)&gt;0,COUNTIFS(出库明细!$C$4:C769,出库明细!C769,出库明细!$D$4:D769,出库明细!D769)&gt;1),"",IFERROR(MATCH(出库明细!C769,总览汇总!$B$5:$B$304,0),900)*10000000+IFERROR(MATCH(出库明细!D769,基础资料!$E$5:$E$104,0),900)*10000+ROW()))</f>
      </c>
      <c r="F1769">
        <f>IF(AND(出库明细!C1769&lt;&gt;"",出库明细!C1769=客户对账单!$B$4,ISNUMBER(出库明细!B1769),出库明细!B1769&gt;=客户对账单!$G$4,出库明细!B1769&lt;=客户对账单!$I$4),出库明细!B1769+ROW()/100000,"")</f>
      </c>
      <c r="H1769">
        <f>IF(AND(资金台帐!K272&lt;&gt;"",资金台帐!K272=供应商对账单!$B$4,资金台帐!P272="应付",ISNUMBER(资金台帐!B272),资金台帐!B272&gt;=供应商对账单!$G$4,资金台帐!B272&lt;=供应商对账单!$I$4),资金台帐!B272+ROW()/100000,"")</f>
      </c>
      <c r="N1769">
        <f>IF(AND(ISNUMBER(出库明细!G1769),ISNUMBER(出库明细!E1769),ISNUMBER(出库明细!F1769)),IF(ABS(出库明细!G1769-出库明细!E1769*出库明细!F1769)&gt;0.005,1,0),0)</f>
        <v>0</v>
      </c>
    </row>
    <row r="1770">
      <c r="A1770">
        <f>IF(OR(出库明细!C770="",出库明细!D770=""),"",IF(OR(COUNTIFS(存条明细!$C$4:$C$1003,出库明细!C770,存条明细!$D$4:$D$1003,出库明细!D770)&gt;0,COUNTIFS(出库明细!$C$4:C770,出库明细!C770,出库明细!$D$4:D770,出库明细!D770)&gt;1),"",IFERROR(MATCH(出库明细!C770,总览汇总!$B$5:$B$304,0),900)*10000000+IFERROR(MATCH(出库明细!D770,基础资料!$E$5:$E$104,0),900)*10000+ROW()))</f>
      </c>
      <c r="F1770">
        <f>IF(AND(出库明细!C1770&lt;&gt;"",出库明细!C1770=客户对账单!$B$4,ISNUMBER(出库明细!B1770),出库明细!B1770&gt;=客户对账单!$G$4,出库明细!B1770&lt;=客户对账单!$I$4),出库明细!B1770+ROW()/100000,"")</f>
      </c>
      <c r="H1770">
        <f>IF(AND(资金台帐!K273&lt;&gt;"",资金台帐!K273=供应商对账单!$B$4,资金台帐!P273="应付",ISNUMBER(资金台帐!B273),资金台帐!B273&gt;=供应商对账单!$G$4,资金台帐!B273&lt;=供应商对账单!$I$4),资金台帐!B273+ROW()/100000,"")</f>
      </c>
      <c r="N1770">
        <f>IF(AND(ISNUMBER(出库明细!G1770),ISNUMBER(出库明细!E1770),ISNUMBER(出库明细!F1770)),IF(ABS(出库明细!G1770-出库明细!E1770*出库明细!F1770)&gt;0.005,1,0),0)</f>
        <v>0</v>
      </c>
    </row>
    <row r="1771">
      <c r="A1771">
        <f>IF(OR(出库明细!C771="",出库明细!D771=""),"",IF(OR(COUNTIFS(存条明细!$C$4:$C$1003,出库明细!C771,存条明细!$D$4:$D$1003,出库明细!D771)&gt;0,COUNTIFS(出库明细!$C$4:C771,出库明细!C771,出库明细!$D$4:D771,出库明细!D771)&gt;1),"",IFERROR(MATCH(出库明细!C771,总览汇总!$B$5:$B$304,0),900)*10000000+IFERROR(MATCH(出库明细!D771,基础资料!$E$5:$E$104,0),900)*10000+ROW()))</f>
      </c>
      <c r="F1771">
        <f>IF(AND(出库明细!C1771&lt;&gt;"",出库明细!C1771=客户对账单!$B$4,ISNUMBER(出库明细!B1771),出库明细!B1771&gt;=客户对账单!$G$4,出库明细!B1771&lt;=客户对账单!$I$4),出库明细!B1771+ROW()/100000,"")</f>
      </c>
      <c r="H1771">
        <f>IF(AND(资金台帐!K274&lt;&gt;"",资金台帐!K274=供应商对账单!$B$4,资金台帐!P274="应付",ISNUMBER(资金台帐!B274),资金台帐!B274&gt;=供应商对账单!$G$4,资金台帐!B274&lt;=供应商对账单!$I$4),资金台帐!B274+ROW()/100000,"")</f>
      </c>
      <c r="N1771">
        <f>IF(AND(ISNUMBER(出库明细!G1771),ISNUMBER(出库明细!E1771),ISNUMBER(出库明细!F1771)),IF(ABS(出库明细!G1771-出库明细!E1771*出库明细!F1771)&gt;0.005,1,0),0)</f>
        <v>0</v>
      </c>
    </row>
    <row r="1772">
      <c r="A1772">
        <f>IF(OR(出库明细!C772="",出库明细!D772=""),"",IF(OR(COUNTIFS(存条明细!$C$4:$C$1003,出库明细!C772,存条明细!$D$4:$D$1003,出库明细!D772)&gt;0,COUNTIFS(出库明细!$C$4:C772,出库明细!C772,出库明细!$D$4:D772,出库明细!D772)&gt;1),"",IFERROR(MATCH(出库明细!C772,总览汇总!$B$5:$B$304,0),900)*10000000+IFERROR(MATCH(出库明细!D772,基础资料!$E$5:$E$104,0),900)*10000+ROW()))</f>
      </c>
      <c r="F1772">
        <f>IF(AND(出库明细!C1772&lt;&gt;"",出库明细!C1772=客户对账单!$B$4,ISNUMBER(出库明细!B1772),出库明细!B1772&gt;=客户对账单!$G$4,出库明细!B1772&lt;=客户对账单!$I$4),出库明细!B1772+ROW()/100000,"")</f>
      </c>
      <c r="H1772">
        <f>IF(AND(资金台帐!K275&lt;&gt;"",资金台帐!K275=供应商对账单!$B$4,资金台帐!P275="应付",ISNUMBER(资金台帐!B275),资金台帐!B275&gt;=供应商对账单!$G$4,资金台帐!B275&lt;=供应商对账单!$I$4),资金台帐!B275+ROW()/100000,"")</f>
      </c>
      <c r="N1772">
        <f>IF(AND(ISNUMBER(出库明细!G1772),ISNUMBER(出库明细!E1772),ISNUMBER(出库明细!F1772)),IF(ABS(出库明细!G1772-出库明细!E1772*出库明细!F1772)&gt;0.005,1,0),0)</f>
        <v>0</v>
      </c>
    </row>
    <row r="1773">
      <c r="A1773">
        <f>IF(OR(出库明细!C773="",出库明细!D773=""),"",IF(OR(COUNTIFS(存条明细!$C$4:$C$1003,出库明细!C773,存条明细!$D$4:$D$1003,出库明细!D773)&gt;0,COUNTIFS(出库明细!$C$4:C773,出库明细!C773,出库明细!$D$4:D773,出库明细!D773)&gt;1),"",IFERROR(MATCH(出库明细!C773,总览汇总!$B$5:$B$304,0),900)*10000000+IFERROR(MATCH(出库明细!D773,基础资料!$E$5:$E$104,0),900)*10000+ROW()))</f>
      </c>
      <c r="F1773">
        <f>IF(AND(出库明细!C1773&lt;&gt;"",出库明细!C1773=客户对账单!$B$4,ISNUMBER(出库明细!B1773),出库明细!B1773&gt;=客户对账单!$G$4,出库明细!B1773&lt;=客户对账单!$I$4),出库明细!B1773+ROW()/100000,"")</f>
      </c>
      <c r="H1773">
        <f>IF(AND(资金台帐!K276&lt;&gt;"",资金台帐!K276=供应商对账单!$B$4,资金台帐!P276="应付",ISNUMBER(资金台帐!B276),资金台帐!B276&gt;=供应商对账单!$G$4,资金台帐!B276&lt;=供应商对账单!$I$4),资金台帐!B276+ROW()/100000,"")</f>
      </c>
      <c r="N1773">
        <f>IF(AND(ISNUMBER(出库明细!G1773),ISNUMBER(出库明细!E1773),ISNUMBER(出库明细!F1773)),IF(ABS(出库明细!G1773-出库明细!E1773*出库明细!F1773)&gt;0.005,1,0),0)</f>
        <v>0</v>
      </c>
    </row>
    <row r="1774">
      <c r="A1774">
        <f>IF(OR(出库明细!C774="",出库明细!D774=""),"",IF(OR(COUNTIFS(存条明细!$C$4:$C$1003,出库明细!C774,存条明细!$D$4:$D$1003,出库明细!D774)&gt;0,COUNTIFS(出库明细!$C$4:C774,出库明细!C774,出库明细!$D$4:D774,出库明细!D774)&gt;1),"",IFERROR(MATCH(出库明细!C774,总览汇总!$B$5:$B$304,0),900)*10000000+IFERROR(MATCH(出库明细!D774,基础资料!$E$5:$E$104,0),900)*10000+ROW()))</f>
      </c>
      <c r="F1774">
        <f>IF(AND(出库明细!C1774&lt;&gt;"",出库明细!C1774=客户对账单!$B$4,ISNUMBER(出库明细!B1774),出库明细!B1774&gt;=客户对账单!$G$4,出库明细!B1774&lt;=客户对账单!$I$4),出库明细!B1774+ROW()/100000,"")</f>
      </c>
      <c r="H1774">
        <f>IF(AND(资金台帐!K277&lt;&gt;"",资金台帐!K277=供应商对账单!$B$4,资金台帐!P277="应付",ISNUMBER(资金台帐!B277),资金台帐!B277&gt;=供应商对账单!$G$4,资金台帐!B277&lt;=供应商对账单!$I$4),资金台帐!B277+ROW()/100000,"")</f>
      </c>
      <c r="N1774">
        <f>IF(AND(ISNUMBER(出库明细!G1774),ISNUMBER(出库明细!E1774),ISNUMBER(出库明细!F1774)),IF(ABS(出库明细!G1774-出库明细!E1774*出库明细!F1774)&gt;0.005,1,0),0)</f>
        <v>0</v>
      </c>
    </row>
    <row r="1775">
      <c r="A1775">
        <f>IF(OR(出库明细!C775="",出库明细!D775=""),"",IF(OR(COUNTIFS(存条明细!$C$4:$C$1003,出库明细!C775,存条明细!$D$4:$D$1003,出库明细!D775)&gt;0,COUNTIFS(出库明细!$C$4:C775,出库明细!C775,出库明细!$D$4:D775,出库明细!D775)&gt;1),"",IFERROR(MATCH(出库明细!C775,总览汇总!$B$5:$B$304,0),900)*10000000+IFERROR(MATCH(出库明细!D775,基础资料!$E$5:$E$104,0),900)*10000+ROW()))</f>
      </c>
      <c r="F1775">
        <f>IF(AND(出库明细!C1775&lt;&gt;"",出库明细!C1775=客户对账单!$B$4,ISNUMBER(出库明细!B1775),出库明细!B1775&gt;=客户对账单!$G$4,出库明细!B1775&lt;=客户对账单!$I$4),出库明细!B1775+ROW()/100000,"")</f>
      </c>
      <c r="H1775">
        <f>IF(AND(资金台帐!K278&lt;&gt;"",资金台帐!K278=供应商对账单!$B$4,资金台帐!P278="应付",ISNUMBER(资金台帐!B278),资金台帐!B278&gt;=供应商对账单!$G$4,资金台帐!B278&lt;=供应商对账单!$I$4),资金台帐!B278+ROW()/100000,"")</f>
      </c>
      <c r="N1775">
        <f>IF(AND(ISNUMBER(出库明细!G1775),ISNUMBER(出库明细!E1775),ISNUMBER(出库明细!F1775)),IF(ABS(出库明细!G1775-出库明细!E1775*出库明细!F1775)&gt;0.005,1,0),0)</f>
        <v>0</v>
      </c>
    </row>
    <row r="1776">
      <c r="A1776">
        <f>IF(OR(出库明细!C776="",出库明细!D776=""),"",IF(OR(COUNTIFS(存条明细!$C$4:$C$1003,出库明细!C776,存条明细!$D$4:$D$1003,出库明细!D776)&gt;0,COUNTIFS(出库明细!$C$4:C776,出库明细!C776,出库明细!$D$4:D776,出库明细!D776)&gt;1),"",IFERROR(MATCH(出库明细!C776,总览汇总!$B$5:$B$304,0),900)*10000000+IFERROR(MATCH(出库明细!D776,基础资料!$E$5:$E$104,0),900)*10000+ROW()))</f>
      </c>
      <c r="F1776">
        <f>IF(AND(出库明细!C1776&lt;&gt;"",出库明细!C1776=客户对账单!$B$4,ISNUMBER(出库明细!B1776),出库明细!B1776&gt;=客户对账单!$G$4,出库明细!B1776&lt;=客户对账单!$I$4),出库明细!B1776+ROW()/100000,"")</f>
      </c>
      <c r="H1776">
        <f>IF(AND(资金台帐!K279&lt;&gt;"",资金台帐!K279=供应商对账单!$B$4,资金台帐!P279="应付",ISNUMBER(资金台帐!B279),资金台帐!B279&gt;=供应商对账单!$G$4,资金台帐!B279&lt;=供应商对账单!$I$4),资金台帐!B279+ROW()/100000,"")</f>
      </c>
      <c r="N1776">
        <f>IF(AND(ISNUMBER(出库明细!G1776),ISNUMBER(出库明细!E1776),ISNUMBER(出库明细!F1776)),IF(ABS(出库明细!G1776-出库明细!E1776*出库明细!F1776)&gt;0.005,1,0),0)</f>
        <v>0</v>
      </c>
    </row>
    <row r="1777">
      <c r="A1777">
        <f>IF(OR(出库明细!C777="",出库明细!D777=""),"",IF(OR(COUNTIFS(存条明细!$C$4:$C$1003,出库明细!C777,存条明细!$D$4:$D$1003,出库明细!D777)&gt;0,COUNTIFS(出库明细!$C$4:C777,出库明细!C777,出库明细!$D$4:D777,出库明细!D777)&gt;1),"",IFERROR(MATCH(出库明细!C777,总览汇总!$B$5:$B$304,0),900)*10000000+IFERROR(MATCH(出库明细!D777,基础资料!$E$5:$E$104,0),900)*10000+ROW()))</f>
      </c>
      <c r="F1777">
        <f>IF(AND(出库明细!C1777&lt;&gt;"",出库明细!C1777=客户对账单!$B$4,ISNUMBER(出库明细!B1777),出库明细!B1777&gt;=客户对账单!$G$4,出库明细!B1777&lt;=客户对账单!$I$4),出库明细!B1777+ROW()/100000,"")</f>
      </c>
      <c r="H1777">
        <f>IF(AND(资金台帐!K280&lt;&gt;"",资金台帐!K280=供应商对账单!$B$4,资金台帐!P280="应付",ISNUMBER(资金台帐!B280),资金台帐!B280&gt;=供应商对账单!$G$4,资金台帐!B280&lt;=供应商对账单!$I$4),资金台帐!B280+ROW()/100000,"")</f>
      </c>
      <c r="N1777">
        <f>IF(AND(ISNUMBER(出库明细!G1777),ISNUMBER(出库明细!E1777),ISNUMBER(出库明细!F1777)),IF(ABS(出库明细!G1777-出库明细!E1777*出库明细!F1777)&gt;0.005,1,0),0)</f>
        <v>0</v>
      </c>
    </row>
    <row r="1778">
      <c r="A1778">
        <f>IF(OR(出库明细!C778="",出库明细!D778=""),"",IF(OR(COUNTIFS(存条明细!$C$4:$C$1003,出库明细!C778,存条明细!$D$4:$D$1003,出库明细!D778)&gt;0,COUNTIFS(出库明细!$C$4:C778,出库明细!C778,出库明细!$D$4:D778,出库明细!D778)&gt;1),"",IFERROR(MATCH(出库明细!C778,总览汇总!$B$5:$B$304,0),900)*10000000+IFERROR(MATCH(出库明细!D778,基础资料!$E$5:$E$104,0),900)*10000+ROW()))</f>
      </c>
      <c r="F1778">
        <f>IF(AND(出库明细!C1778&lt;&gt;"",出库明细!C1778=客户对账单!$B$4,ISNUMBER(出库明细!B1778),出库明细!B1778&gt;=客户对账单!$G$4,出库明细!B1778&lt;=客户对账单!$I$4),出库明细!B1778+ROW()/100000,"")</f>
      </c>
      <c r="H1778">
        <f>IF(AND(资金台帐!K281&lt;&gt;"",资金台帐!K281=供应商对账单!$B$4,资金台帐!P281="应付",ISNUMBER(资金台帐!B281),资金台帐!B281&gt;=供应商对账单!$G$4,资金台帐!B281&lt;=供应商对账单!$I$4),资金台帐!B281+ROW()/100000,"")</f>
      </c>
      <c r="N1778">
        <f>IF(AND(ISNUMBER(出库明细!G1778),ISNUMBER(出库明细!E1778),ISNUMBER(出库明细!F1778)),IF(ABS(出库明细!G1778-出库明细!E1778*出库明细!F1778)&gt;0.005,1,0),0)</f>
        <v>0</v>
      </c>
    </row>
    <row r="1779">
      <c r="A1779">
        <f>IF(OR(出库明细!C779="",出库明细!D779=""),"",IF(OR(COUNTIFS(存条明细!$C$4:$C$1003,出库明细!C779,存条明细!$D$4:$D$1003,出库明细!D779)&gt;0,COUNTIFS(出库明细!$C$4:C779,出库明细!C779,出库明细!$D$4:D779,出库明细!D779)&gt;1),"",IFERROR(MATCH(出库明细!C779,总览汇总!$B$5:$B$304,0),900)*10000000+IFERROR(MATCH(出库明细!D779,基础资料!$E$5:$E$104,0),900)*10000+ROW()))</f>
      </c>
      <c r="F1779">
        <f>IF(AND(出库明细!C1779&lt;&gt;"",出库明细!C1779=客户对账单!$B$4,ISNUMBER(出库明细!B1779),出库明细!B1779&gt;=客户对账单!$G$4,出库明细!B1779&lt;=客户对账单!$I$4),出库明细!B1779+ROW()/100000,"")</f>
      </c>
      <c r="H1779">
        <f>IF(AND(资金台帐!K282&lt;&gt;"",资金台帐!K282=供应商对账单!$B$4,资金台帐!P282="应付",ISNUMBER(资金台帐!B282),资金台帐!B282&gt;=供应商对账单!$G$4,资金台帐!B282&lt;=供应商对账单!$I$4),资金台帐!B282+ROW()/100000,"")</f>
      </c>
      <c r="N1779">
        <f>IF(AND(ISNUMBER(出库明细!G1779),ISNUMBER(出库明细!E1779),ISNUMBER(出库明细!F1779)),IF(ABS(出库明细!G1779-出库明细!E1779*出库明细!F1779)&gt;0.005,1,0),0)</f>
        <v>0</v>
      </c>
    </row>
    <row r="1780">
      <c r="A1780">
        <f>IF(OR(出库明细!C780="",出库明细!D780=""),"",IF(OR(COUNTIFS(存条明细!$C$4:$C$1003,出库明细!C780,存条明细!$D$4:$D$1003,出库明细!D780)&gt;0,COUNTIFS(出库明细!$C$4:C780,出库明细!C780,出库明细!$D$4:D780,出库明细!D780)&gt;1),"",IFERROR(MATCH(出库明细!C780,总览汇总!$B$5:$B$304,0),900)*10000000+IFERROR(MATCH(出库明细!D780,基础资料!$E$5:$E$104,0),900)*10000+ROW()))</f>
      </c>
      <c r="F1780">
        <f>IF(AND(出库明细!C1780&lt;&gt;"",出库明细!C1780=客户对账单!$B$4,ISNUMBER(出库明细!B1780),出库明细!B1780&gt;=客户对账单!$G$4,出库明细!B1780&lt;=客户对账单!$I$4),出库明细!B1780+ROW()/100000,"")</f>
      </c>
      <c r="H1780">
        <f>IF(AND(资金台帐!K283&lt;&gt;"",资金台帐!K283=供应商对账单!$B$4,资金台帐!P283="应付",ISNUMBER(资金台帐!B283),资金台帐!B283&gt;=供应商对账单!$G$4,资金台帐!B283&lt;=供应商对账单!$I$4),资金台帐!B283+ROW()/100000,"")</f>
      </c>
      <c r="N1780">
        <f>IF(AND(ISNUMBER(出库明细!G1780),ISNUMBER(出库明细!E1780),ISNUMBER(出库明细!F1780)),IF(ABS(出库明细!G1780-出库明细!E1780*出库明细!F1780)&gt;0.005,1,0),0)</f>
        <v>0</v>
      </c>
    </row>
    <row r="1781">
      <c r="A1781">
        <f>IF(OR(出库明细!C781="",出库明细!D781=""),"",IF(OR(COUNTIFS(存条明细!$C$4:$C$1003,出库明细!C781,存条明细!$D$4:$D$1003,出库明细!D781)&gt;0,COUNTIFS(出库明细!$C$4:C781,出库明细!C781,出库明细!$D$4:D781,出库明细!D781)&gt;1),"",IFERROR(MATCH(出库明细!C781,总览汇总!$B$5:$B$304,0),900)*10000000+IFERROR(MATCH(出库明细!D781,基础资料!$E$5:$E$104,0),900)*10000+ROW()))</f>
      </c>
      <c r="F1781">
        <f>IF(AND(出库明细!C1781&lt;&gt;"",出库明细!C1781=客户对账单!$B$4,ISNUMBER(出库明细!B1781),出库明细!B1781&gt;=客户对账单!$G$4,出库明细!B1781&lt;=客户对账单!$I$4),出库明细!B1781+ROW()/100000,"")</f>
      </c>
      <c r="H1781">
        <f>IF(AND(资金台帐!K284&lt;&gt;"",资金台帐!K284=供应商对账单!$B$4,资金台帐!P284="应付",ISNUMBER(资金台帐!B284),资金台帐!B284&gt;=供应商对账单!$G$4,资金台帐!B284&lt;=供应商对账单!$I$4),资金台帐!B284+ROW()/100000,"")</f>
      </c>
      <c r="N1781">
        <f>IF(AND(ISNUMBER(出库明细!G1781),ISNUMBER(出库明细!E1781),ISNUMBER(出库明细!F1781)),IF(ABS(出库明细!G1781-出库明细!E1781*出库明细!F1781)&gt;0.005,1,0),0)</f>
        <v>0</v>
      </c>
    </row>
    <row r="1782">
      <c r="A1782">
        <f>IF(OR(出库明细!C782="",出库明细!D782=""),"",IF(OR(COUNTIFS(存条明细!$C$4:$C$1003,出库明细!C782,存条明细!$D$4:$D$1003,出库明细!D782)&gt;0,COUNTIFS(出库明细!$C$4:C782,出库明细!C782,出库明细!$D$4:D782,出库明细!D782)&gt;1),"",IFERROR(MATCH(出库明细!C782,总览汇总!$B$5:$B$304,0),900)*10000000+IFERROR(MATCH(出库明细!D782,基础资料!$E$5:$E$104,0),900)*10000+ROW()))</f>
      </c>
      <c r="F1782">
        <f>IF(AND(出库明细!C1782&lt;&gt;"",出库明细!C1782=客户对账单!$B$4,ISNUMBER(出库明细!B1782),出库明细!B1782&gt;=客户对账单!$G$4,出库明细!B1782&lt;=客户对账单!$I$4),出库明细!B1782+ROW()/100000,"")</f>
      </c>
      <c r="H1782">
        <f>IF(AND(资金台帐!K285&lt;&gt;"",资金台帐!K285=供应商对账单!$B$4,资金台帐!P285="应付",ISNUMBER(资金台帐!B285),资金台帐!B285&gt;=供应商对账单!$G$4,资金台帐!B285&lt;=供应商对账单!$I$4),资金台帐!B285+ROW()/100000,"")</f>
      </c>
      <c r="N1782">
        <f>IF(AND(ISNUMBER(出库明细!G1782),ISNUMBER(出库明细!E1782),ISNUMBER(出库明细!F1782)),IF(ABS(出库明细!G1782-出库明细!E1782*出库明细!F1782)&gt;0.005,1,0),0)</f>
        <v>0</v>
      </c>
    </row>
    <row r="1783">
      <c r="A1783">
        <f>IF(OR(出库明细!C783="",出库明细!D783=""),"",IF(OR(COUNTIFS(存条明细!$C$4:$C$1003,出库明细!C783,存条明细!$D$4:$D$1003,出库明细!D783)&gt;0,COUNTIFS(出库明细!$C$4:C783,出库明细!C783,出库明细!$D$4:D783,出库明细!D783)&gt;1),"",IFERROR(MATCH(出库明细!C783,总览汇总!$B$5:$B$304,0),900)*10000000+IFERROR(MATCH(出库明细!D783,基础资料!$E$5:$E$104,0),900)*10000+ROW()))</f>
      </c>
      <c r="F1783">
        <f>IF(AND(出库明细!C1783&lt;&gt;"",出库明细!C1783=客户对账单!$B$4,ISNUMBER(出库明细!B1783),出库明细!B1783&gt;=客户对账单!$G$4,出库明细!B1783&lt;=客户对账单!$I$4),出库明细!B1783+ROW()/100000,"")</f>
      </c>
      <c r="H1783">
        <f>IF(AND(资金台帐!K286&lt;&gt;"",资金台帐!K286=供应商对账单!$B$4,资金台帐!P286="应付",ISNUMBER(资金台帐!B286),资金台帐!B286&gt;=供应商对账单!$G$4,资金台帐!B286&lt;=供应商对账单!$I$4),资金台帐!B286+ROW()/100000,"")</f>
      </c>
      <c r="N1783">
        <f>IF(AND(ISNUMBER(出库明细!G1783),ISNUMBER(出库明细!E1783),ISNUMBER(出库明细!F1783)),IF(ABS(出库明细!G1783-出库明细!E1783*出库明细!F1783)&gt;0.005,1,0),0)</f>
        <v>0</v>
      </c>
    </row>
    <row r="1784">
      <c r="A1784">
        <f>IF(OR(出库明细!C784="",出库明细!D784=""),"",IF(OR(COUNTIFS(存条明细!$C$4:$C$1003,出库明细!C784,存条明细!$D$4:$D$1003,出库明细!D784)&gt;0,COUNTIFS(出库明细!$C$4:C784,出库明细!C784,出库明细!$D$4:D784,出库明细!D784)&gt;1),"",IFERROR(MATCH(出库明细!C784,总览汇总!$B$5:$B$304,0),900)*10000000+IFERROR(MATCH(出库明细!D784,基础资料!$E$5:$E$104,0),900)*10000+ROW()))</f>
      </c>
      <c r="F1784">
        <f>IF(AND(出库明细!C1784&lt;&gt;"",出库明细!C1784=客户对账单!$B$4,ISNUMBER(出库明细!B1784),出库明细!B1784&gt;=客户对账单!$G$4,出库明细!B1784&lt;=客户对账单!$I$4),出库明细!B1784+ROW()/100000,"")</f>
      </c>
      <c r="H1784">
        <f>IF(AND(资金台帐!K287&lt;&gt;"",资金台帐!K287=供应商对账单!$B$4,资金台帐!P287="应付",ISNUMBER(资金台帐!B287),资金台帐!B287&gt;=供应商对账单!$G$4,资金台帐!B287&lt;=供应商对账单!$I$4),资金台帐!B287+ROW()/100000,"")</f>
      </c>
      <c r="N1784">
        <f>IF(AND(ISNUMBER(出库明细!G1784),ISNUMBER(出库明细!E1784),ISNUMBER(出库明细!F1784)),IF(ABS(出库明细!G1784-出库明细!E1784*出库明细!F1784)&gt;0.005,1,0),0)</f>
        <v>0</v>
      </c>
    </row>
    <row r="1785">
      <c r="A1785">
        <f>IF(OR(出库明细!C785="",出库明细!D785=""),"",IF(OR(COUNTIFS(存条明细!$C$4:$C$1003,出库明细!C785,存条明细!$D$4:$D$1003,出库明细!D785)&gt;0,COUNTIFS(出库明细!$C$4:C785,出库明细!C785,出库明细!$D$4:D785,出库明细!D785)&gt;1),"",IFERROR(MATCH(出库明细!C785,总览汇总!$B$5:$B$304,0),900)*10000000+IFERROR(MATCH(出库明细!D785,基础资料!$E$5:$E$104,0),900)*10000+ROW()))</f>
      </c>
      <c r="F1785">
        <f>IF(AND(出库明细!C1785&lt;&gt;"",出库明细!C1785=客户对账单!$B$4,ISNUMBER(出库明细!B1785),出库明细!B1785&gt;=客户对账单!$G$4,出库明细!B1785&lt;=客户对账单!$I$4),出库明细!B1785+ROW()/100000,"")</f>
      </c>
      <c r="H1785">
        <f>IF(AND(资金台帐!K288&lt;&gt;"",资金台帐!K288=供应商对账单!$B$4,资金台帐!P288="应付",ISNUMBER(资金台帐!B288),资金台帐!B288&gt;=供应商对账单!$G$4,资金台帐!B288&lt;=供应商对账单!$I$4),资金台帐!B288+ROW()/100000,"")</f>
      </c>
      <c r="N1785">
        <f>IF(AND(ISNUMBER(出库明细!G1785),ISNUMBER(出库明细!E1785),ISNUMBER(出库明细!F1785)),IF(ABS(出库明细!G1785-出库明细!E1785*出库明细!F1785)&gt;0.005,1,0),0)</f>
        <v>0</v>
      </c>
    </row>
    <row r="1786">
      <c r="A1786">
        <f>IF(OR(出库明细!C786="",出库明细!D786=""),"",IF(OR(COUNTIFS(存条明细!$C$4:$C$1003,出库明细!C786,存条明细!$D$4:$D$1003,出库明细!D786)&gt;0,COUNTIFS(出库明细!$C$4:C786,出库明细!C786,出库明细!$D$4:D786,出库明细!D786)&gt;1),"",IFERROR(MATCH(出库明细!C786,总览汇总!$B$5:$B$304,0),900)*10000000+IFERROR(MATCH(出库明细!D786,基础资料!$E$5:$E$104,0),900)*10000+ROW()))</f>
      </c>
      <c r="F1786">
        <f>IF(AND(出库明细!C1786&lt;&gt;"",出库明细!C1786=客户对账单!$B$4,ISNUMBER(出库明细!B1786),出库明细!B1786&gt;=客户对账单!$G$4,出库明细!B1786&lt;=客户对账单!$I$4),出库明细!B1786+ROW()/100000,"")</f>
      </c>
      <c r="H1786">
        <f>IF(AND(资金台帐!K289&lt;&gt;"",资金台帐!K289=供应商对账单!$B$4,资金台帐!P289="应付",ISNUMBER(资金台帐!B289),资金台帐!B289&gt;=供应商对账单!$G$4,资金台帐!B289&lt;=供应商对账单!$I$4),资金台帐!B289+ROW()/100000,"")</f>
      </c>
      <c r="N1786">
        <f>IF(AND(ISNUMBER(出库明细!G1786),ISNUMBER(出库明细!E1786),ISNUMBER(出库明细!F1786)),IF(ABS(出库明细!G1786-出库明细!E1786*出库明细!F1786)&gt;0.005,1,0),0)</f>
        <v>0</v>
      </c>
    </row>
    <row r="1787">
      <c r="A1787">
        <f>IF(OR(出库明细!C787="",出库明细!D787=""),"",IF(OR(COUNTIFS(存条明细!$C$4:$C$1003,出库明细!C787,存条明细!$D$4:$D$1003,出库明细!D787)&gt;0,COUNTIFS(出库明细!$C$4:C787,出库明细!C787,出库明细!$D$4:D787,出库明细!D787)&gt;1),"",IFERROR(MATCH(出库明细!C787,总览汇总!$B$5:$B$304,0),900)*10000000+IFERROR(MATCH(出库明细!D787,基础资料!$E$5:$E$104,0),900)*10000+ROW()))</f>
      </c>
      <c r="F1787">
        <f>IF(AND(出库明细!C1787&lt;&gt;"",出库明细!C1787=客户对账单!$B$4,ISNUMBER(出库明细!B1787),出库明细!B1787&gt;=客户对账单!$G$4,出库明细!B1787&lt;=客户对账单!$I$4),出库明细!B1787+ROW()/100000,"")</f>
      </c>
      <c r="H1787">
        <f>IF(AND(资金台帐!K290&lt;&gt;"",资金台帐!K290=供应商对账单!$B$4,资金台帐!P290="应付",ISNUMBER(资金台帐!B290),资金台帐!B290&gt;=供应商对账单!$G$4,资金台帐!B290&lt;=供应商对账单!$I$4),资金台帐!B290+ROW()/100000,"")</f>
      </c>
      <c r="N1787">
        <f>IF(AND(ISNUMBER(出库明细!G1787),ISNUMBER(出库明细!E1787),ISNUMBER(出库明细!F1787)),IF(ABS(出库明细!G1787-出库明细!E1787*出库明细!F1787)&gt;0.005,1,0),0)</f>
        <v>0</v>
      </c>
    </row>
    <row r="1788">
      <c r="A1788">
        <f>IF(OR(出库明细!C788="",出库明细!D788=""),"",IF(OR(COUNTIFS(存条明细!$C$4:$C$1003,出库明细!C788,存条明细!$D$4:$D$1003,出库明细!D788)&gt;0,COUNTIFS(出库明细!$C$4:C788,出库明细!C788,出库明细!$D$4:D788,出库明细!D788)&gt;1),"",IFERROR(MATCH(出库明细!C788,总览汇总!$B$5:$B$304,0),900)*10000000+IFERROR(MATCH(出库明细!D788,基础资料!$E$5:$E$104,0),900)*10000+ROW()))</f>
      </c>
      <c r="F1788">
        <f>IF(AND(出库明细!C1788&lt;&gt;"",出库明细!C1788=客户对账单!$B$4,ISNUMBER(出库明细!B1788),出库明细!B1788&gt;=客户对账单!$G$4,出库明细!B1788&lt;=客户对账单!$I$4),出库明细!B1788+ROW()/100000,"")</f>
      </c>
      <c r="H1788">
        <f>IF(AND(资金台帐!K291&lt;&gt;"",资金台帐!K291=供应商对账单!$B$4,资金台帐!P291="应付",ISNUMBER(资金台帐!B291),资金台帐!B291&gt;=供应商对账单!$G$4,资金台帐!B291&lt;=供应商对账单!$I$4),资金台帐!B291+ROW()/100000,"")</f>
      </c>
      <c r="N1788">
        <f>IF(AND(ISNUMBER(出库明细!G1788),ISNUMBER(出库明细!E1788),ISNUMBER(出库明细!F1788)),IF(ABS(出库明细!G1788-出库明细!E1788*出库明细!F1788)&gt;0.005,1,0),0)</f>
        <v>0</v>
      </c>
    </row>
    <row r="1789">
      <c r="A1789">
        <f>IF(OR(出库明细!C789="",出库明细!D789=""),"",IF(OR(COUNTIFS(存条明细!$C$4:$C$1003,出库明细!C789,存条明细!$D$4:$D$1003,出库明细!D789)&gt;0,COUNTIFS(出库明细!$C$4:C789,出库明细!C789,出库明细!$D$4:D789,出库明细!D789)&gt;1),"",IFERROR(MATCH(出库明细!C789,总览汇总!$B$5:$B$304,0),900)*10000000+IFERROR(MATCH(出库明细!D789,基础资料!$E$5:$E$104,0),900)*10000+ROW()))</f>
      </c>
      <c r="F1789">
        <f>IF(AND(出库明细!C1789&lt;&gt;"",出库明细!C1789=客户对账单!$B$4,ISNUMBER(出库明细!B1789),出库明细!B1789&gt;=客户对账单!$G$4,出库明细!B1789&lt;=客户对账单!$I$4),出库明细!B1789+ROW()/100000,"")</f>
      </c>
      <c r="H1789">
        <f>IF(AND(资金台帐!K292&lt;&gt;"",资金台帐!K292=供应商对账单!$B$4,资金台帐!P292="应付",ISNUMBER(资金台帐!B292),资金台帐!B292&gt;=供应商对账单!$G$4,资金台帐!B292&lt;=供应商对账单!$I$4),资金台帐!B292+ROW()/100000,"")</f>
      </c>
      <c r="N1789">
        <f>IF(AND(ISNUMBER(出库明细!G1789),ISNUMBER(出库明细!E1789),ISNUMBER(出库明细!F1789)),IF(ABS(出库明细!G1789-出库明细!E1789*出库明细!F1789)&gt;0.005,1,0),0)</f>
        <v>0</v>
      </c>
    </row>
    <row r="1790">
      <c r="A1790">
        <f>IF(OR(出库明细!C790="",出库明细!D790=""),"",IF(OR(COUNTIFS(存条明细!$C$4:$C$1003,出库明细!C790,存条明细!$D$4:$D$1003,出库明细!D790)&gt;0,COUNTIFS(出库明细!$C$4:C790,出库明细!C790,出库明细!$D$4:D790,出库明细!D790)&gt;1),"",IFERROR(MATCH(出库明细!C790,总览汇总!$B$5:$B$304,0),900)*10000000+IFERROR(MATCH(出库明细!D790,基础资料!$E$5:$E$104,0),900)*10000+ROW()))</f>
      </c>
      <c r="F1790">
        <f>IF(AND(出库明细!C1790&lt;&gt;"",出库明细!C1790=客户对账单!$B$4,ISNUMBER(出库明细!B1790),出库明细!B1790&gt;=客户对账单!$G$4,出库明细!B1790&lt;=客户对账单!$I$4),出库明细!B1790+ROW()/100000,"")</f>
      </c>
      <c r="H1790">
        <f>IF(AND(资金台帐!K293&lt;&gt;"",资金台帐!K293=供应商对账单!$B$4,资金台帐!P293="应付",ISNUMBER(资金台帐!B293),资金台帐!B293&gt;=供应商对账单!$G$4,资金台帐!B293&lt;=供应商对账单!$I$4),资金台帐!B293+ROW()/100000,"")</f>
      </c>
      <c r="N1790">
        <f>IF(AND(ISNUMBER(出库明细!G1790),ISNUMBER(出库明细!E1790),ISNUMBER(出库明细!F1790)),IF(ABS(出库明细!G1790-出库明细!E1790*出库明细!F1790)&gt;0.005,1,0),0)</f>
        <v>0</v>
      </c>
    </row>
    <row r="1791">
      <c r="A1791">
        <f>IF(OR(出库明细!C791="",出库明细!D791=""),"",IF(OR(COUNTIFS(存条明细!$C$4:$C$1003,出库明细!C791,存条明细!$D$4:$D$1003,出库明细!D791)&gt;0,COUNTIFS(出库明细!$C$4:C791,出库明细!C791,出库明细!$D$4:D791,出库明细!D791)&gt;1),"",IFERROR(MATCH(出库明细!C791,总览汇总!$B$5:$B$304,0),900)*10000000+IFERROR(MATCH(出库明细!D791,基础资料!$E$5:$E$104,0),900)*10000+ROW()))</f>
      </c>
      <c r="F1791">
        <f>IF(AND(出库明细!C1791&lt;&gt;"",出库明细!C1791=客户对账单!$B$4,ISNUMBER(出库明细!B1791),出库明细!B1791&gt;=客户对账单!$G$4,出库明细!B1791&lt;=客户对账单!$I$4),出库明细!B1791+ROW()/100000,"")</f>
      </c>
      <c r="H1791">
        <f>IF(AND(资金台帐!K294&lt;&gt;"",资金台帐!K294=供应商对账单!$B$4,资金台帐!P294="应付",ISNUMBER(资金台帐!B294),资金台帐!B294&gt;=供应商对账单!$G$4,资金台帐!B294&lt;=供应商对账单!$I$4),资金台帐!B294+ROW()/100000,"")</f>
      </c>
      <c r="N1791">
        <f>IF(AND(ISNUMBER(出库明细!G1791),ISNUMBER(出库明细!E1791),ISNUMBER(出库明细!F1791)),IF(ABS(出库明细!G1791-出库明细!E1791*出库明细!F1791)&gt;0.005,1,0),0)</f>
        <v>0</v>
      </c>
    </row>
    <row r="1792">
      <c r="A1792">
        <f>IF(OR(出库明细!C792="",出库明细!D792=""),"",IF(OR(COUNTIFS(存条明细!$C$4:$C$1003,出库明细!C792,存条明细!$D$4:$D$1003,出库明细!D792)&gt;0,COUNTIFS(出库明细!$C$4:C792,出库明细!C792,出库明细!$D$4:D792,出库明细!D792)&gt;1),"",IFERROR(MATCH(出库明细!C792,总览汇总!$B$5:$B$304,0),900)*10000000+IFERROR(MATCH(出库明细!D792,基础资料!$E$5:$E$104,0),900)*10000+ROW()))</f>
      </c>
      <c r="F1792">
        <f>IF(AND(出库明细!C1792&lt;&gt;"",出库明细!C1792=客户对账单!$B$4,ISNUMBER(出库明细!B1792),出库明细!B1792&gt;=客户对账单!$G$4,出库明细!B1792&lt;=客户对账单!$I$4),出库明细!B1792+ROW()/100000,"")</f>
      </c>
      <c r="H1792">
        <f>IF(AND(资金台帐!K295&lt;&gt;"",资金台帐!K295=供应商对账单!$B$4,资金台帐!P295="应付",ISNUMBER(资金台帐!B295),资金台帐!B295&gt;=供应商对账单!$G$4,资金台帐!B295&lt;=供应商对账单!$I$4),资金台帐!B295+ROW()/100000,"")</f>
      </c>
      <c r="N1792">
        <f>IF(AND(ISNUMBER(出库明细!G1792),ISNUMBER(出库明细!E1792),ISNUMBER(出库明细!F1792)),IF(ABS(出库明细!G1792-出库明细!E1792*出库明细!F1792)&gt;0.005,1,0),0)</f>
        <v>0</v>
      </c>
    </row>
    <row r="1793">
      <c r="A1793">
        <f>IF(OR(出库明细!C793="",出库明细!D793=""),"",IF(OR(COUNTIFS(存条明细!$C$4:$C$1003,出库明细!C793,存条明细!$D$4:$D$1003,出库明细!D793)&gt;0,COUNTIFS(出库明细!$C$4:C793,出库明细!C793,出库明细!$D$4:D793,出库明细!D793)&gt;1),"",IFERROR(MATCH(出库明细!C793,总览汇总!$B$5:$B$304,0),900)*10000000+IFERROR(MATCH(出库明细!D793,基础资料!$E$5:$E$104,0),900)*10000+ROW()))</f>
      </c>
      <c r="F1793">
        <f>IF(AND(出库明细!C1793&lt;&gt;"",出库明细!C1793=客户对账单!$B$4,ISNUMBER(出库明细!B1793),出库明细!B1793&gt;=客户对账单!$G$4,出库明细!B1793&lt;=客户对账单!$I$4),出库明细!B1793+ROW()/100000,"")</f>
      </c>
      <c r="H1793">
        <f>IF(AND(资金台帐!K296&lt;&gt;"",资金台帐!K296=供应商对账单!$B$4,资金台帐!P296="应付",ISNUMBER(资金台帐!B296),资金台帐!B296&gt;=供应商对账单!$G$4,资金台帐!B296&lt;=供应商对账单!$I$4),资金台帐!B296+ROW()/100000,"")</f>
      </c>
      <c r="N1793">
        <f>IF(AND(ISNUMBER(出库明细!G1793),ISNUMBER(出库明细!E1793),ISNUMBER(出库明细!F1793)),IF(ABS(出库明细!G1793-出库明细!E1793*出库明细!F1793)&gt;0.005,1,0),0)</f>
        <v>0</v>
      </c>
    </row>
    <row r="1794">
      <c r="A1794">
        <f>IF(OR(出库明细!C794="",出库明细!D794=""),"",IF(OR(COUNTIFS(存条明细!$C$4:$C$1003,出库明细!C794,存条明细!$D$4:$D$1003,出库明细!D794)&gt;0,COUNTIFS(出库明细!$C$4:C794,出库明细!C794,出库明细!$D$4:D794,出库明细!D794)&gt;1),"",IFERROR(MATCH(出库明细!C794,总览汇总!$B$5:$B$304,0),900)*10000000+IFERROR(MATCH(出库明细!D794,基础资料!$E$5:$E$104,0),900)*10000+ROW()))</f>
      </c>
      <c r="F1794">
        <f>IF(AND(出库明细!C1794&lt;&gt;"",出库明细!C1794=客户对账单!$B$4,ISNUMBER(出库明细!B1794),出库明细!B1794&gt;=客户对账单!$G$4,出库明细!B1794&lt;=客户对账单!$I$4),出库明细!B1794+ROW()/100000,"")</f>
      </c>
      <c r="H1794">
        <f>IF(AND(资金台帐!K297&lt;&gt;"",资金台帐!K297=供应商对账单!$B$4,资金台帐!P297="应付",ISNUMBER(资金台帐!B297),资金台帐!B297&gt;=供应商对账单!$G$4,资金台帐!B297&lt;=供应商对账单!$I$4),资金台帐!B297+ROW()/100000,"")</f>
      </c>
      <c r="N1794">
        <f>IF(AND(ISNUMBER(出库明细!G1794),ISNUMBER(出库明细!E1794),ISNUMBER(出库明细!F1794)),IF(ABS(出库明细!G1794-出库明细!E1794*出库明细!F1794)&gt;0.005,1,0),0)</f>
        <v>0</v>
      </c>
    </row>
    <row r="1795">
      <c r="A1795">
        <f>IF(OR(出库明细!C795="",出库明细!D795=""),"",IF(OR(COUNTIFS(存条明细!$C$4:$C$1003,出库明细!C795,存条明细!$D$4:$D$1003,出库明细!D795)&gt;0,COUNTIFS(出库明细!$C$4:C795,出库明细!C795,出库明细!$D$4:D795,出库明细!D795)&gt;1),"",IFERROR(MATCH(出库明细!C795,总览汇总!$B$5:$B$304,0),900)*10000000+IFERROR(MATCH(出库明细!D795,基础资料!$E$5:$E$104,0),900)*10000+ROW()))</f>
      </c>
      <c r="F1795">
        <f>IF(AND(出库明细!C1795&lt;&gt;"",出库明细!C1795=客户对账单!$B$4,ISNUMBER(出库明细!B1795),出库明细!B1795&gt;=客户对账单!$G$4,出库明细!B1795&lt;=客户对账单!$I$4),出库明细!B1795+ROW()/100000,"")</f>
      </c>
      <c r="H1795">
        <f>IF(AND(资金台帐!K298&lt;&gt;"",资金台帐!K298=供应商对账单!$B$4,资金台帐!P298="应付",ISNUMBER(资金台帐!B298),资金台帐!B298&gt;=供应商对账单!$G$4,资金台帐!B298&lt;=供应商对账单!$I$4),资金台帐!B298+ROW()/100000,"")</f>
      </c>
      <c r="N1795">
        <f>IF(AND(ISNUMBER(出库明细!G1795),ISNUMBER(出库明细!E1795),ISNUMBER(出库明细!F1795)),IF(ABS(出库明细!G1795-出库明细!E1795*出库明细!F1795)&gt;0.005,1,0),0)</f>
        <v>0</v>
      </c>
    </row>
    <row r="1796">
      <c r="A1796">
        <f>IF(OR(出库明细!C796="",出库明细!D796=""),"",IF(OR(COUNTIFS(存条明细!$C$4:$C$1003,出库明细!C796,存条明细!$D$4:$D$1003,出库明细!D796)&gt;0,COUNTIFS(出库明细!$C$4:C796,出库明细!C796,出库明细!$D$4:D796,出库明细!D796)&gt;1),"",IFERROR(MATCH(出库明细!C796,总览汇总!$B$5:$B$304,0),900)*10000000+IFERROR(MATCH(出库明细!D796,基础资料!$E$5:$E$104,0),900)*10000+ROW()))</f>
      </c>
      <c r="F1796">
        <f>IF(AND(出库明细!C1796&lt;&gt;"",出库明细!C1796=客户对账单!$B$4,ISNUMBER(出库明细!B1796),出库明细!B1796&gt;=客户对账单!$G$4,出库明细!B1796&lt;=客户对账单!$I$4),出库明细!B1796+ROW()/100000,"")</f>
      </c>
      <c r="H1796">
        <f>IF(AND(资金台帐!K299&lt;&gt;"",资金台帐!K299=供应商对账单!$B$4,资金台帐!P299="应付",ISNUMBER(资金台帐!B299),资金台帐!B299&gt;=供应商对账单!$G$4,资金台帐!B299&lt;=供应商对账单!$I$4),资金台帐!B299+ROW()/100000,"")</f>
      </c>
      <c r="N1796">
        <f>IF(AND(ISNUMBER(出库明细!G1796),ISNUMBER(出库明细!E1796),ISNUMBER(出库明细!F1796)),IF(ABS(出库明细!G1796-出库明细!E1796*出库明细!F1796)&gt;0.005,1,0),0)</f>
        <v>0</v>
      </c>
    </row>
    <row r="1797">
      <c r="A1797">
        <f>IF(OR(出库明细!C797="",出库明细!D797=""),"",IF(OR(COUNTIFS(存条明细!$C$4:$C$1003,出库明细!C797,存条明细!$D$4:$D$1003,出库明细!D797)&gt;0,COUNTIFS(出库明细!$C$4:C797,出库明细!C797,出库明细!$D$4:D797,出库明细!D797)&gt;1),"",IFERROR(MATCH(出库明细!C797,总览汇总!$B$5:$B$304,0),900)*10000000+IFERROR(MATCH(出库明细!D797,基础资料!$E$5:$E$104,0),900)*10000+ROW()))</f>
      </c>
      <c r="F1797">
        <f>IF(AND(出库明细!C1797&lt;&gt;"",出库明细!C1797=客户对账单!$B$4,ISNUMBER(出库明细!B1797),出库明细!B1797&gt;=客户对账单!$G$4,出库明细!B1797&lt;=客户对账单!$I$4),出库明细!B1797+ROW()/100000,"")</f>
      </c>
      <c r="H1797">
        <f>IF(AND(资金台帐!K300&lt;&gt;"",资金台帐!K300=供应商对账单!$B$4,资金台帐!P300="应付",ISNUMBER(资金台帐!B300),资金台帐!B300&gt;=供应商对账单!$G$4,资金台帐!B300&lt;=供应商对账单!$I$4),资金台帐!B300+ROW()/100000,"")</f>
      </c>
      <c r="N1797">
        <f>IF(AND(ISNUMBER(出库明细!G1797),ISNUMBER(出库明细!E1797),ISNUMBER(出库明细!F1797)),IF(ABS(出库明细!G1797-出库明细!E1797*出库明细!F1797)&gt;0.005,1,0),0)</f>
        <v>0</v>
      </c>
    </row>
    <row r="1798">
      <c r="A1798">
        <f>IF(OR(出库明细!C798="",出库明细!D798=""),"",IF(OR(COUNTIFS(存条明细!$C$4:$C$1003,出库明细!C798,存条明细!$D$4:$D$1003,出库明细!D798)&gt;0,COUNTIFS(出库明细!$C$4:C798,出库明细!C798,出库明细!$D$4:D798,出库明细!D798)&gt;1),"",IFERROR(MATCH(出库明细!C798,总览汇总!$B$5:$B$304,0),900)*10000000+IFERROR(MATCH(出库明细!D798,基础资料!$E$5:$E$104,0),900)*10000+ROW()))</f>
      </c>
      <c r="F1798">
        <f>IF(AND(出库明细!C1798&lt;&gt;"",出库明细!C1798=客户对账单!$B$4,ISNUMBER(出库明细!B1798),出库明细!B1798&gt;=客户对账单!$G$4,出库明细!B1798&lt;=客户对账单!$I$4),出库明细!B1798+ROW()/100000,"")</f>
      </c>
      <c r="H1798">
        <f>IF(AND(资金台帐!K301&lt;&gt;"",资金台帐!K301=供应商对账单!$B$4,资金台帐!P301="应付",ISNUMBER(资金台帐!B301),资金台帐!B301&gt;=供应商对账单!$G$4,资金台帐!B301&lt;=供应商对账单!$I$4),资金台帐!B301+ROW()/100000,"")</f>
      </c>
      <c r="N1798">
        <f>IF(AND(ISNUMBER(出库明细!G1798),ISNUMBER(出库明细!E1798),ISNUMBER(出库明细!F1798)),IF(ABS(出库明细!G1798-出库明细!E1798*出库明细!F1798)&gt;0.005,1,0),0)</f>
        <v>0</v>
      </c>
    </row>
    <row r="1799">
      <c r="A1799">
        <f>IF(OR(出库明细!C799="",出库明细!D799=""),"",IF(OR(COUNTIFS(存条明细!$C$4:$C$1003,出库明细!C799,存条明细!$D$4:$D$1003,出库明细!D799)&gt;0,COUNTIFS(出库明细!$C$4:C799,出库明细!C799,出库明细!$D$4:D799,出库明细!D799)&gt;1),"",IFERROR(MATCH(出库明细!C799,总览汇总!$B$5:$B$304,0),900)*10000000+IFERROR(MATCH(出库明细!D799,基础资料!$E$5:$E$104,0),900)*10000+ROW()))</f>
      </c>
      <c r="F1799">
        <f>IF(AND(出库明细!C1799&lt;&gt;"",出库明细!C1799=客户对账单!$B$4,ISNUMBER(出库明细!B1799),出库明细!B1799&gt;=客户对账单!$G$4,出库明细!B1799&lt;=客户对账单!$I$4),出库明细!B1799+ROW()/100000,"")</f>
      </c>
      <c r="H1799">
        <f>IF(AND(资金台帐!K302&lt;&gt;"",资金台帐!K302=供应商对账单!$B$4,资金台帐!P302="应付",ISNUMBER(资金台帐!B302),资金台帐!B302&gt;=供应商对账单!$G$4,资金台帐!B302&lt;=供应商对账单!$I$4),资金台帐!B302+ROW()/100000,"")</f>
      </c>
      <c r="N1799">
        <f>IF(AND(ISNUMBER(出库明细!G1799),ISNUMBER(出库明细!E1799),ISNUMBER(出库明细!F1799)),IF(ABS(出库明细!G1799-出库明细!E1799*出库明细!F1799)&gt;0.005,1,0),0)</f>
        <v>0</v>
      </c>
    </row>
    <row r="1800">
      <c r="A1800">
        <f>IF(OR(出库明细!C800="",出库明细!D800=""),"",IF(OR(COUNTIFS(存条明细!$C$4:$C$1003,出库明细!C800,存条明细!$D$4:$D$1003,出库明细!D800)&gt;0,COUNTIFS(出库明细!$C$4:C800,出库明细!C800,出库明细!$D$4:D800,出库明细!D800)&gt;1),"",IFERROR(MATCH(出库明细!C800,总览汇总!$B$5:$B$304,0),900)*10000000+IFERROR(MATCH(出库明细!D800,基础资料!$E$5:$E$104,0),900)*10000+ROW()))</f>
      </c>
      <c r="F1800">
        <f>IF(AND(出库明细!C1800&lt;&gt;"",出库明细!C1800=客户对账单!$B$4,ISNUMBER(出库明细!B1800),出库明细!B1800&gt;=客户对账单!$G$4,出库明细!B1800&lt;=客户对账单!$I$4),出库明细!B1800+ROW()/100000,"")</f>
      </c>
      <c r="H1800">
        <f>IF(AND(资金台帐!K303&lt;&gt;"",资金台帐!K303=供应商对账单!$B$4,资金台帐!P303="应付",ISNUMBER(资金台帐!B303),资金台帐!B303&gt;=供应商对账单!$G$4,资金台帐!B303&lt;=供应商对账单!$I$4),资金台帐!B303+ROW()/100000,"")</f>
      </c>
      <c r="N1800">
        <f>IF(AND(ISNUMBER(出库明细!G1800),ISNUMBER(出库明细!E1800),ISNUMBER(出库明细!F1800)),IF(ABS(出库明细!G1800-出库明细!E1800*出库明细!F1800)&gt;0.005,1,0),0)</f>
        <v>0</v>
      </c>
    </row>
    <row r="1801">
      <c r="A1801">
        <f>IF(OR(出库明细!C801="",出库明细!D801=""),"",IF(OR(COUNTIFS(存条明细!$C$4:$C$1003,出库明细!C801,存条明细!$D$4:$D$1003,出库明细!D801)&gt;0,COUNTIFS(出库明细!$C$4:C801,出库明细!C801,出库明细!$D$4:D801,出库明细!D801)&gt;1),"",IFERROR(MATCH(出库明细!C801,总览汇总!$B$5:$B$304,0),900)*10000000+IFERROR(MATCH(出库明细!D801,基础资料!$E$5:$E$104,0),900)*10000+ROW()))</f>
      </c>
      <c r="F1801">
        <f>IF(AND(出库明细!C1801&lt;&gt;"",出库明细!C1801=客户对账单!$B$4,ISNUMBER(出库明细!B1801),出库明细!B1801&gt;=客户对账单!$G$4,出库明细!B1801&lt;=客户对账单!$I$4),出库明细!B1801+ROW()/100000,"")</f>
      </c>
      <c r="H1801">
        <f>IF(AND(资金台帐!K304&lt;&gt;"",资金台帐!K304=供应商对账单!$B$4,资金台帐!P304="应付",ISNUMBER(资金台帐!B304),资金台帐!B304&gt;=供应商对账单!$G$4,资金台帐!B304&lt;=供应商对账单!$I$4),资金台帐!B304+ROW()/100000,"")</f>
      </c>
      <c r="N1801">
        <f>IF(AND(ISNUMBER(出库明细!G1801),ISNUMBER(出库明细!E1801),ISNUMBER(出库明细!F1801)),IF(ABS(出库明细!G1801-出库明细!E1801*出库明细!F1801)&gt;0.005,1,0),0)</f>
        <v>0</v>
      </c>
    </row>
    <row r="1802">
      <c r="A1802">
        <f>IF(OR(出库明细!C802="",出库明细!D802=""),"",IF(OR(COUNTIFS(存条明细!$C$4:$C$1003,出库明细!C802,存条明细!$D$4:$D$1003,出库明细!D802)&gt;0,COUNTIFS(出库明细!$C$4:C802,出库明细!C802,出库明细!$D$4:D802,出库明细!D802)&gt;1),"",IFERROR(MATCH(出库明细!C802,总览汇总!$B$5:$B$304,0),900)*10000000+IFERROR(MATCH(出库明细!D802,基础资料!$E$5:$E$104,0),900)*10000+ROW()))</f>
      </c>
      <c r="F1802">
        <f>IF(AND(出库明细!C1802&lt;&gt;"",出库明细!C1802=客户对账单!$B$4,ISNUMBER(出库明细!B1802),出库明细!B1802&gt;=客户对账单!$G$4,出库明细!B1802&lt;=客户对账单!$I$4),出库明细!B1802+ROW()/100000,"")</f>
      </c>
      <c r="H1802">
        <f>IF(AND(资金台帐!K305&lt;&gt;"",资金台帐!K305=供应商对账单!$B$4,资金台帐!P305="应付",ISNUMBER(资金台帐!B305),资金台帐!B305&gt;=供应商对账单!$G$4,资金台帐!B305&lt;=供应商对账单!$I$4),资金台帐!B305+ROW()/100000,"")</f>
      </c>
      <c r="N1802">
        <f>IF(AND(ISNUMBER(出库明细!G1802),ISNUMBER(出库明细!E1802),ISNUMBER(出库明细!F1802)),IF(ABS(出库明细!G1802-出库明细!E1802*出库明细!F1802)&gt;0.005,1,0),0)</f>
        <v>0</v>
      </c>
    </row>
    <row r="1803">
      <c r="A1803">
        <f>IF(OR(出库明细!C803="",出库明细!D803=""),"",IF(OR(COUNTIFS(存条明细!$C$4:$C$1003,出库明细!C803,存条明细!$D$4:$D$1003,出库明细!D803)&gt;0,COUNTIFS(出库明细!$C$4:C803,出库明细!C803,出库明细!$D$4:D803,出库明细!D803)&gt;1),"",IFERROR(MATCH(出库明细!C803,总览汇总!$B$5:$B$304,0),900)*10000000+IFERROR(MATCH(出库明细!D803,基础资料!$E$5:$E$104,0),900)*10000+ROW()))</f>
      </c>
      <c r="F1803">
        <f>IF(AND(出库明细!C1803&lt;&gt;"",出库明细!C1803=客户对账单!$B$4,ISNUMBER(出库明细!B1803),出库明细!B1803&gt;=客户对账单!$G$4,出库明细!B1803&lt;=客户对账单!$I$4),出库明细!B1803+ROW()/100000,"")</f>
      </c>
      <c r="H1803">
        <f>IF(AND(资金台帐!K306&lt;&gt;"",资金台帐!K306=供应商对账单!$B$4,资金台帐!P306="应付",ISNUMBER(资金台帐!B306),资金台帐!B306&gt;=供应商对账单!$G$4,资金台帐!B306&lt;=供应商对账单!$I$4),资金台帐!B306+ROW()/100000,"")</f>
      </c>
      <c r="N1803">
        <f>IF(AND(ISNUMBER(出库明细!G1803),ISNUMBER(出库明细!E1803),ISNUMBER(出库明细!F1803)),IF(ABS(出库明细!G1803-出库明细!E1803*出库明细!F1803)&gt;0.005,1,0),0)</f>
        <v>0</v>
      </c>
    </row>
    <row r="1804">
      <c r="A1804">
        <f>IF(OR(出库明细!C804="",出库明细!D804=""),"",IF(OR(COUNTIFS(存条明细!$C$4:$C$1003,出库明细!C804,存条明细!$D$4:$D$1003,出库明细!D804)&gt;0,COUNTIFS(出库明细!$C$4:C804,出库明细!C804,出库明细!$D$4:D804,出库明细!D804)&gt;1),"",IFERROR(MATCH(出库明细!C804,总览汇总!$B$5:$B$304,0),900)*10000000+IFERROR(MATCH(出库明细!D804,基础资料!$E$5:$E$104,0),900)*10000+ROW()))</f>
      </c>
      <c r="F1804">
        <f>IF(AND(出库明细!C1804&lt;&gt;"",出库明细!C1804=客户对账单!$B$4,ISNUMBER(出库明细!B1804),出库明细!B1804&gt;=客户对账单!$G$4,出库明细!B1804&lt;=客户对账单!$I$4),出库明细!B1804+ROW()/100000,"")</f>
      </c>
      <c r="H1804">
        <f>IF(AND(资金台帐!K307&lt;&gt;"",资金台帐!K307=供应商对账单!$B$4,资金台帐!P307="应付",ISNUMBER(资金台帐!B307),资金台帐!B307&gt;=供应商对账单!$G$4,资金台帐!B307&lt;=供应商对账单!$I$4),资金台帐!B307+ROW()/100000,"")</f>
      </c>
      <c r="N1804">
        <f>IF(AND(ISNUMBER(出库明细!G1804),ISNUMBER(出库明细!E1804),ISNUMBER(出库明细!F1804)),IF(ABS(出库明细!G1804-出库明细!E1804*出库明细!F1804)&gt;0.005,1,0),0)</f>
        <v>0</v>
      </c>
    </row>
    <row r="1805">
      <c r="A1805">
        <f>IF(OR(出库明细!C805="",出库明细!D805=""),"",IF(OR(COUNTIFS(存条明细!$C$4:$C$1003,出库明细!C805,存条明细!$D$4:$D$1003,出库明细!D805)&gt;0,COUNTIFS(出库明细!$C$4:C805,出库明细!C805,出库明细!$D$4:D805,出库明细!D805)&gt;1),"",IFERROR(MATCH(出库明细!C805,总览汇总!$B$5:$B$304,0),900)*10000000+IFERROR(MATCH(出库明细!D805,基础资料!$E$5:$E$104,0),900)*10000+ROW()))</f>
      </c>
      <c r="F1805">
        <f>IF(AND(出库明细!C1805&lt;&gt;"",出库明细!C1805=客户对账单!$B$4,ISNUMBER(出库明细!B1805),出库明细!B1805&gt;=客户对账单!$G$4,出库明细!B1805&lt;=客户对账单!$I$4),出库明细!B1805+ROW()/100000,"")</f>
      </c>
      <c r="H1805">
        <f>IF(AND(资金台帐!K308&lt;&gt;"",资金台帐!K308=供应商对账单!$B$4,资金台帐!P308="应付",ISNUMBER(资金台帐!B308),资金台帐!B308&gt;=供应商对账单!$G$4,资金台帐!B308&lt;=供应商对账单!$I$4),资金台帐!B308+ROW()/100000,"")</f>
      </c>
      <c r="N1805">
        <f>IF(AND(ISNUMBER(出库明细!G1805),ISNUMBER(出库明细!E1805),ISNUMBER(出库明细!F1805)),IF(ABS(出库明细!G1805-出库明细!E1805*出库明细!F1805)&gt;0.005,1,0),0)</f>
        <v>0</v>
      </c>
    </row>
    <row r="1806">
      <c r="A1806">
        <f>IF(OR(出库明细!C806="",出库明细!D806=""),"",IF(OR(COUNTIFS(存条明细!$C$4:$C$1003,出库明细!C806,存条明细!$D$4:$D$1003,出库明细!D806)&gt;0,COUNTIFS(出库明细!$C$4:C806,出库明细!C806,出库明细!$D$4:D806,出库明细!D806)&gt;1),"",IFERROR(MATCH(出库明细!C806,总览汇总!$B$5:$B$304,0),900)*10000000+IFERROR(MATCH(出库明细!D806,基础资料!$E$5:$E$104,0),900)*10000+ROW()))</f>
      </c>
      <c r="F1806">
        <f>IF(AND(出库明细!C1806&lt;&gt;"",出库明细!C1806=客户对账单!$B$4,ISNUMBER(出库明细!B1806),出库明细!B1806&gt;=客户对账单!$G$4,出库明细!B1806&lt;=客户对账单!$I$4),出库明细!B1806+ROW()/100000,"")</f>
      </c>
      <c r="H1806">
        <f>IF(AND(资金台帐!K309&lt;&gt;"",资金台帐!K309=供应商对账单!$B$4,资金台帐!P309="应付",ISNUMBER(资金台帐!B309),资金台帐!B309&gt;=供应商对账单!$G$4,资金台帐!B309&lt;=供应商对账单!$I$4),资金台帐!B309+ROW()/100000,"")</f>
      </c>
      <c r="N1806">
        <f>IF(AND(ISNUMBER(出库明细!G1806),ISNUMBER(出库明细!E1806),ISNUMBER(出库明细!F1806)),IF(ABS(出库明细!G1806-出库明细!E1806*出库明细!F1806)&gt;0.005,1,0),0)</f>
        <v>0</v>
      </c>
    </row>
    <row r="1807">
      <c r="A1807">
        <f>IF(OR(出库明细!C807="",出库明细!D807=""),"",IF(OR(COUNTIFS(存条明细!$C$4:$C$1003,出库明细!C807,存条明细!$D$4:$D$1003,出库明细!D807)&gt;0,COUNTIFS(出库明细!$C$4:C807,出库明细!C807,出库明细!$D$4:D807,出库明细!D807)&gt;1),"",IFERROR(MATCH(出库明细!C807,总览汇总!$B$5:$B$304,0),900)*10000000+IFERROR(MATCH(出库明细!D807,基础资料!$E$5:$E$104,0),900)*10000+ROW()))</f>
      </c>
      <c r="F1807">
        <f>IF(AND(出库明细!C1807&lt;&gt;"",出库明细!C1807=客户对账单!$B$4,ISNUMBER(出库明细!B1807),出库明细!B1807&gt;=客户对账单!$G$4,出库明细!B1807&lt;=客户对账单!$I$4),出库明细!B1807+ROW()/100000,"")</f>
      </c>
      <c r="H1807">
        <f>IF(AND(资金台帐!K310&lt;&gt;"",资金台帐!K310=供应商对账单!$B$4,资金台帐!P310="应付",ISNUMBER(资金台帐!B310),资金台帐!B310&gt;=供应商对账单!$G$4,资金台帐!B310&lt;=供应商对账单!$I$4),资金台帐!B310+ROW()/100000,"")</f>
      </c>
      <c r="N1807">
        <f>IF(AND(ISNUMBER(出库明细!G1807),ISNUMBER(出库明细!E1807),ISNUMBER(出库明细!F1807)),IF(ABS(出库明细!G1807-出库明细!E1807*出库明细!F1807)&gt;0.005,1,0),0)</f>
        <v>0</v>
      </c>
    </row>
    <row r="1808">
      <c r="A1808">
        <f>IF(OR(出库明细!C808="",出库明细!D808=""),"",IF(OR(COUNTIFS(存条明细!$C$4:$C$1003,出库明细!C808,存条明细!$D$4:$D$1003,出库明细!D808)&gt;0,COUNTIFS(出库明细!$C$4:C808,出库明细!C808,出库明细!$D$4:D808,出库明细!D808)&gt;1),"",IFERROR(MATCH(出库明细!C808,总览汇总!$B$5:$B$304,0),900)*10000000+IFERROR(MATCH(出库明细!D808,基础资料!$E$5:$E$104,0),900)*10000+ROW()))</f>
      </c>
      <c r="F1808">
        <f>IF(AND(出库明细!C1808&lt;&gt;"",出库明细!C1808=客户对账单!$B$4,ISNUMBER(出库明细!B1808),出库明细!B1808&gt;=客户对账单!$G$4,出库明细!B1808&lt;=客户对账单!$I$4),出库明细!B1808+ROW()/100000,"")</f>
      </c>
      <c r="H1808">
        <f>IF(AND(资金台帐!K311&lt;&gt;"",资金台帐!K311=供应商对账单!$B$4,资金台帐!P311="应付",ISNUMBER(资金台帐!B311),资金台帐!B311&gt;=供应商对账单!$G$4,资金台帐!B311&lt;=供应商对账单!$I$4),资金台帐!B311+ROW()/100000,"")</f>
      </c>
      <c r="N1808">
        <f>IF(AND(ISNUMBER(出库明细!G1808),ISNUMBER(出库明细!E1808),ISNUMBER(出库明细!F1808)),IF(ABS(出库明细!G1808-出库明细!E1808*出库明细!F1808)&gt;0.005,1,0),0)</f>
        <v>0</v>
      </c>
    </row>
    <row r="1809">
      <c r="A1809">
        <f>IF(OR(出库明细!C809="",出库明细!D809=""),"",IF(OR(COUNTIFS(存条明细!$C$4:$C$1003,出库明细!C809,存条明细!$D$4:$D$1003,出库明细!D809)&gt;0,COUNTIFS(出库明细!$C$4:C809,出库明细!C809,出库明细!$D$4:D809,出库明细!D809)&gt;1),"",IFERROR(MATCH(出库明细!C809,总览汇总!$B$5:$B$304,0),900)*10000000+IFERROR(MATCH(出库明细!D809,基础资料!$E$5:$E$104,0),900)*10000+ROW()))</f>
      </c>
      <c r="F1809">
        <f>IF(AND(出库明细!C1809&lt;&gt;"",出库明细!C1809=客户对账单!$B$4,ISNUMBER(出库明细!B1809),出库明细!B1809&gt;=客户对账单!$G$4,出库明细!B1809&lt;=客户对账单!$I$4),出库明细!B1809+ROW()/100000,"")</f>
      </c>
      <c r="H1809">
        <f>IF(AND(资金台帐!K312&lt;&gt;"",资金台帐!K312=供应商对账单!$B$4,资金台帐!P312="应付",ISNUMBER(资金台帐!B312),资金台帐!B312&gt;=供应商对账单!$G$4,资金台帐!B312&lt;=供应商对账单!$I$4),资金台帐!B312+ROW()/100000,"")</f>
      </c>
      <c r="N1809">
        <f>IF(AND(ISNUMBER(出库明细!G1809),ISNUMBER(出库明细!E1809),ISNUMBER(出库明细!F1809)),IF(ABS(出库明细!G1809-出库明细!E1809*出库明细!F1809)&gt;0.005,1,0),0)</f>
        <v>0</v>
      </c>
    </row>
    <row r="1810">
      <c r="A1810">
        <f>IF(OR(出库明细!C810="",出库明细!D810=""),"",IF(OR(COUNTIFS(存条明细!$C$4:$C$1003,出库明细!C810,存条明细!$D$4:$D$1003,出库明细!D810)&gt;0,COUNTIFS(出库明细!$C$4:C810,出库明细!C810,出库明细!$D$4:D810,出库明细!D810)&gt;1),"",IFERROR(MATCH(出库明细!C810,总览汇总!$B$5:$B$304,0),900)*10000000+IFERROR(MATCH(出库明细!D810,基础资料!$E$5:$E$104,0),900)*10000+ROW()))</f>
      </c>
      <c r="F1810">
        <f>IF(AND(出库明细!C1810&lt;&gt;"",出库明细!C1810=客户对账单!$B$4,ISNUMBER(出库明细!B1810),出库明细!B1810&gt;=客户对账单!$G$4,出库明细!B1810&lt;=客户对账单!$I$4),出库明细!B1810+ROW()/100000,"")</f>
      </c>
      <c r="H1810">
        <f>IF(AND(资金台帐!K313&lt;&gt;"",资金台帐!K313=供应商对账单!$B$4,资金台帐!P313="应付",ISNUMBER(资金台帐!B313),资金台帐!B313&gt;=供应商对账单!$G$4,资金台帐!B313&lt;=供应商对账单!$I$4),资金台帐!B313+ROW()/100000,"")</f>
      </c>
      <c r="N1810">
        <f>IF(AND(ISNUMBER(出库明细!G1810),ISNUMBER(出库明细!E1810),ISNUMBER(出库明细!F1810)),IF(ABS(出库明细!G1810-出库明细!E1810*出库明细!F1810)&gt;0.005,1,0),0)</f>
        <v>0</v>
      </c>
    </row>
    <row r="1811">
      <c r="A1811">
        <f>IF(OR(出库明细!C811="",出库明细!D811=""),"",IF(OR(COUNTIFS(存条明细!$C$4:$C$1003,出库明细!C811,存条明细!$D$4:$D$1003,出库明细!D811)&gt;0,COUNTIFS(出库明细!$C$4:C811,出库明细!C811,出库明细!$D$4:D811,出库明细!D811)&gt;1),"",IFERROR(MATCH(出库明细!C811,总览汇总!$B$5:$B$304,0),900)*10000000+IFERROR(MATCH(出库明细!D811,基础资料!$E$5:$E$104,0),900)*10000+ROW()))</f>
      </c>
      <c r="F1811">
        <f>IF(AND(出库明细!C1811&lt;&gt;"",出库明细!C1811=客户对账单!$B$4,ISNUMBER(出库明细!B1811),出库明细!B1811&gt;=客户对账单!$G$4,出库明细!B1811&lt;=客户对账单!$I$4),出库明细!B1811+ROW()/100000,"")</f>
      </c>
      <c r="H1811">
        <f>IF(AND(资金台帐!K314&lt;&gt;"",资金台帐!K314=供应商对账单!$B$4,资金台帐!P314="应付",ISNUMBER(资金台帐!B314),资金台帐!B314&gt;=供应商对账单!$G$4,资金台帐!B314&lt;=供应商对账单!$I$4),资金台帐!B314+ROW()/100000,"")</f>
      </c>
      <c r="N1811">
        <f>IF(AND(ISNUMBER(出库明细!G1811),ISNUMBER(出库明细!E1811),ISNUMBER(出库明细!F1811)),IF(ABS(出库明细!G1811-出库明细!E1811*出库明细!F1811)&gt;0.005,1,0),0)</f>
        <v>0</v>
      </c>
    </row>
    <row r="1812">
      <c r="A1812">
        <f>IF(OR(出库明细!C812="",出库明细!D812=""),"",IF(OR(COUNTIFS(存条明细!$C$4:$C$1003,出库明细!C812,存条明细!$D$4:$D$1003,出库明细!D812)&gt;0,COUNTIFS(出库明细!$C$4:C812,出库明细!C812,出库明细!$D$4:D812,出库明细!D812)&gt;1),"",IFERROR(MATCH(出库明细!C812,总览汇总!$B$5:$B$304,0),900)*10000000+IFERROR(MATCH(出库明细!D812,基础资料!$E$5:$E$104,0),900)*10000+ROW()))</f>
      </c>
      <c r="F1812">
        <f>IF(AND(出库明细!C1812&lt;&gt;"",出库明细!C1812=客户对账单!$B$4,ISNUMBER(出库明细!B1812),出库明细!B1812&gt;=客户对账单!$G$4,出库明细!B1812&lt;=客户对账单!$I$4),出库明细!B1812+ROW()/100000,"")</f>
      </c>
      <c r="H1812">
        <f>IF(AND(资金台帐!K315&lt;&gt;"",资金台帐!K315=供应商对账单!$B$4,资金台帐!P315="应付",ISNUMBER(资金台帐!B315),资金台帐!B315&gt;=供应商对账单!$G$4,资金台帐!B315&lt;=供应商对账单!$I$4),资金台帐!B315+ROW()/100000,"")</f>
      </c>
      <c r="N1812">
        <f>IF(AND(ISNUMBER(出库明细!G1812),ISNUMBER(出库明细!E1812),ISNUMBER(出库明细!F1812)),IF(ABS(出库明细!G1812-出库明细!E1812*出库明细!F1812)&gt;0.005,1,0),0)</f>
        <v>0</v>
      </c>
    </row>
    <row r="1813">
      <c r="A1813">
        <f>IF(OR(出库明细!C813="",出库明细!D813=""),"",IF(OR(COUNTIFS(存条明细!$C$4:$C$1003,出库明细!C813,存条明细!$D$4:$D$1003,出库明细!D813)&gt;0,COUNTIFS(出库明细!$C$4:C813,出库明细!C813,出库明细!$D$4:D813,出库明细!D813)&gt;1),"",IFERROR(MATCH(出库明细!C813,总览汇总!$B$5:$B$304,0),900)*10000000+IFERROR(MATCH(出库明细!D813,基础资料!$E$5:$E$104,0),900)*10000+ROW()))</f>
      </c>
      <c r="F1813">
        <f>IF(AND(出库明细!C1813&lt;&gt;"",出库明细!C1813=客户对账单!$B$4,ISNUMBER(出库明细!B1813),出库明细!B1813&gt;=客户对账单!$G$4,出库明细!B1813&lt;=客户对账单!$I$4),出库明细!B1813+ROW()/100000,"")</f>
      </c>
      <c r="H1813">
        <f>IF(AND(资金台帐!K316&lt;&gt;"",资金台帐!K316=供应商对账单!$B$4,资金台帐!P316="应付",ISNUMBER(资金台帐!B316),资金台帐!B316&gt;=供应商对账单!$G$4,资金台帐!B316&lt;=供应商对账单!$I$4),资金台帐!B316+ROW()/100000,"")</f>
      </c>
      <c r="N1813">
        <f>IF(AND(ISNUMBER(出库明细!G1813),ISNUMBER(出库明细!E1813),ISNUMBER(出库明细!F1813)),IF(ABS(出库明细!G1813-出库明细!E1813*出库明细!F1813)&gt;0.005,1,0),0)</f>
        <v>0</v>
      </c>
    </row>
    <row r="1814">
      <c r="A1814">
        <f>IF(OR(出库明细!C814="",出库明细!D814=""),"",IF(OR(COUNTIFS(存条明细!$C$4:$C$1003,出库明细!C814,存条明细!$D$4:$D$1003,出库明细!D814)&gt;0,COUNTIFS(出库明细!$C$4:C814,出库明细!C814,出库明细!$D$4:D814,出库明细!D814)&gt;1),"",IFERROR(MATCH(出库明细!C814,总览汇总!$B$5:$B$304,0),900)*10000000+IFERROR(MATCH(出库明细!D814,基础资料!$E$5:$E$104,0),900)*10000+ROW()))</f>
      </c>
      <c r="F1814">
        <f>IF(AND(出库明细!C1814&lt;&gt;"",出库明细!C1814=客户对账单!$B$4,ISNUMBER(出库明细!B1814),出库明细!B1814&gt;=客户对账单!$G$4,出库明细!B1814&lt;=客户对账单!$I$4),出库明细!B1814+ROW()/100000,"")</f>
      </c>
      <c r="H1814">
        <f>IF(AND(资金台帐!K317&lt;&gt;"",资金台帐!K317=供应商对账单!$B$4,资金台帐!P317="应付",ISNUMBER(资金台帐!B317),资金台帐!B317&gt;=供应商对账单!$G$4,资金台帐!B317&lt;=供应商对账单!$I$4),资金台帐!B317+ROW()/100000,"")</f>
      </c>
      <c r="N1814">
        <f>IF(AND(ISNUMBER(出库明细!G1814),ISNUMBER(出库明细!E1814),ISNUMBER(出库明细!F1814)),IF(ABS(出库明细!G1814-出库明细!E1814*出库明细!F1814)&gt;0.005,1,0),0)</f>
        <v>0</v>
      </c>
    </row>
    <row r="1815">
      <c r="A1815">
        <f>IF(OR(出库明细!C815="",出库明细!D815=""),"",IF(OR(COUNTIFS(存条明细!$C$4:$C$1003,出库明细!C815,存条明细!$D$4:$D$1003,出库明细!D815)&gt;0,COUNTIFS(出库明细!$C$4:C815,出库明细!C815,出库明细!$D$4:D815,出库明细!D815)&gt;1),"",IFERROR(MATCH(出库明细!C815,总览汇总!$B$5:$B$304,0),900)*10000000+IFERROR(MATCH(出库明细!D815,基础资料!$E$5:$E$104,0),900)*10000+ROW()))</f>
      </c>
      <c r="F1815">
        <f>IF(AND(出库明细!C1815&lt;&gt;"",出库明细!C1815=客户对账单!$B$4,ISNUMBER(出库明细!B1815),出库明细!B1815&gt;=客户对账单!$G$4,出库明细!B1815&lt;=客户对账单!$I$4),出库明细!B1815+ROW()/100000,"")</f>
      </c>
      <c r="H1815">
        <f>IF(AND(资金台帐!K318&lt;&gt;"",资金台帐!K318=供应商对账单!$B$4,资金台帐!P318="应付",ISNUMBER(资金台帐!B318),资金台帐!B318&gt;=供应商对账单!$G$4,资金台帐!B318&lt;=供应商对账单!$I$4),资金台帐!B318+ROW()/100000,"")</f>
      </c>
      <c r="N1815">
        <f>IF(AND(ISNUMBER(出库明细!G1815),ISNUMBER(出库明细!E1815),ISNUMBER(出库明细!F1815)),IF(ABS(出库明细!G1815-出库明细!E1815*出库明细!F1815)&gt;0.005,1,0),0)</f>
        <v>0</v>
      </c>
    </row>
    <row r="1816">
      <c r="A1816">
        <f>IF(OR(出库明细!C816="",出库明细!D816=""),"",IF(OR(COUNTIFS(存条明细!$C$4:$C$1003,出库明细!C816,存条明细!$D$4:$D$1003,出库明细!D816)&gt;0,COUNTIFS(出库明细!$C$4:C816,出库明细!C816,出库明细!$D$4:D816,出库明细!D816)&gt;1),"",IFERROR(MATCH(出库明细!C816,总览汇总!$B$5:$B$304,0),900)*10000000+IFERROR(MATCH(出库明细!D816,基础资料!$E$5:$E$104,0),900)*10000+ROW()))</f>
      </c>
      <c r="F1816">
        <f>IF(AND(出库明细!C1816&lt;&gt;"",出库明细!C1816=客户对账单!$B$4,ISNUMBER(出库明细!B1816),出库明细!B1816&gt;=客户对账单!$G$4,出库明细!B1816&lt;=客户对账单!$I$4),出库明细!B1816+ROW()/100000,"")</f>
      </c>
      <c r="H1816">
        <f>IF(AND(资金台帐!K319&lt;&gt;"",资金台帐!K319=供应商对账单!$B$4,资金台帐!P319="应付",ISNUMBER(资金台帐!B319),资金台帐!B319&gt;=供应商对账单!$G$4,资金台帐!B319&lt;=供应商对账单!$I$4),资金台帐!B319+ROW()/100000,"")</f>
      </c>
      <c r="N1816">
        <f>IF(AND(ISNUMBER(出库明细!G1816),ISNUMBER(出库明细!E1816),ISNUMBER(出库明细!F1816)),IF(ABS(出库明细!G1816-出库明细!E1816*出库明细!F1816)&gt;0.005,1,0),0)</f>
        <v>0</v>
      </c>
    </row>
    <row r="1817">
      <c r="A1817">
        <f>IF(OR(出库明细!C817="",出库明细!D817=""),"",IF(OR(COUNTIFS(存条明细!$C$4:$C$1003,出库明细!C817,存条明细!$D$4:$D$1003,出库明细!D817)&gt;0,COUNTIFS(出库明细!$C$4:C817,出库明细!C817,出库明细!$D$4:D817,出库明细!D817)&gt;1),"",IFERROR(MATCH(出库明细!C817,总览汇总!$B$5:$B$304,0),900)*10000000+IFERROR(MATCH(出库明细!D817,基础资料!$E$5:$E$104,0),900)*10000+ROW()))</f>
      </c>
      <c r="F1817">
        <f>IF(AND(出库明细!C1817&lt;&gt;"",出库明细!C1817=客户对账单!$B$4,ISNUMBER(出库明细!B1817),出库明细!B1817&gt;=客户对账单!$G$4,出库明细!B1817&lt;=客户对账单!$I$4),出库明细!B1817+ROW()/100000,"")</f>
      </c>
      <c r="H1817">
        <f>IF(AND(资金台帐!K320&lt;&gt;"",资金台帐!K320=供应商对账单!$B$4,资金台帐!P320="应付",ISNUMBER(资金台帐!B320),资金台帐!B320&gt;=供应商对账单!$G$4,资金台帐!B320&lt;=供应商对账单!$I$4),资金台帐!B320+ROW()/100000,"")</f>
      </c>
      <c r="N1817">
        <f>IF(AND(ISNUMBER(出库明细!G1817),ISNUMBER(出库明细!E1817),ISNUMBER(出库明细!F1817)),IF(ABS(出库明细!G1817-出库明细!E1817*出库明细!F1817)&gt;0.005,1,0),0)</f>
        <v>0</v>
      </c>
    </row>
    <row r="1818">
      <c r="A1818">
        <f>IF(OR(出库明细!C818="",出库明细!D818=""),"",IF(OR(COUNTIFS(存条明细!$C$4:$C$1003,出库明细!C818,存条明细!$D$4:$D$1003,出库明细!D818)&gt;0,COUNTIFS(出库明细!$C$4:C818,出库明细!C818,出库明细!$D$4:D818,出库明细!D818)&gt;1),"",IFERROR(MATCH(出库明细!C818,总览汇总!$B$5:$B$304,0),900)*10000000+IFERROR(MATCH(出库明细!D818,基础资料!$E$5:$E$104,0),900)*10000+ROW()))</f>
      </c>
      <c r="F1818">
        <f>IF(AND(出库明细!C1818&lt;&gt;"",出库明细!C1818=客户对账单!$B$4,ISNUMBER(出库明细!B1818),出库明细!B1818&gt;=客户对账单!$G$4,出库明细!B1818&lt;=客户对账单!$I$4),出库明细!B1818+ROW()/100000,"")</f>
      </c>
      <c r="H1818">
        <f>IF(AND(资金台帐!K321&lt;&gt;"",资金台帐!K321=供应商对账单!$B$4,资金台帐!P321="应付",ISNUMBER(资金台帐!B321),资金台帐!B321&gt;=供应商对账单!$G$4,资金台帐!B321&lt;=供应商对账单!$I$4),资金台帐!B321+ROW()/100000,"")</f>
      </c>
      <c r="N1818">
        <f>IF(AND(ISNUMBER(出库明细!G1818),ISNUMBER(出库明细!E1818),ISNUMBER(出库明细!F1818)),IF(ABS(出库明细!G1818-出库明细!E1818*出库明细!F1818)&gt;0.005,1,0),0)</f>
        <v>0</v>
      </c>
    </row>
    <row r="1819">
      <c r="A1819">
        <f>IF(OR(出库明细!C819="",出库明细!D819=""),"",IF(OR(COUNTIFS(存条明细!$C$4:$C$1003,出库明细!C819,存条明细!$D$4:$D$1003,出库明细!D819)&gt;0,COUNTIFS(出库明细!$C$4:C819,出库明细!C819,出库明细!$D$4:D819,出库明细!D819)&gt;1),"",IFERROR(MATCH(出库明细!C819,总览汇总!$B$5:$B$304,0),900)*10000000+IFERROR(MATCH(出库明细!D819,基础资料!$E$5:$E$104,0),900)*10000+ROW()))</f>
      </c>
      <c r="F1819">
        <f>IF(AND(出库明细!C1819&lt;&gt;"",出库明细!C1819=客户对账单!$B$4,ISNUMBER(出库明细!B1819),出库明细!B1819&gt;=客户对账单!$G$4,出库明细!B1819&lt;=客户对账单!$I$4),出库明细!B1819+ROW()/100000,"")</f>
      </c>
      <c r="H1819">
        <f>IF(AND(资金台帐!K322&lt;&gt;"",资金台帐!K322=供应商对账单!$B$4,资金台帐!P322="应付",ISNUMBER(资金台帐!B322),资金台帐!B322&gt;=供应商对账单!$G$4,资金台帐!B322&lt;=供应商对账单!$I$4),资金台帐!B322+ROW()/100000,"")</f>
      </c>
      <c r="N1819">
        <f>IF(AND(ISNUMBER(出库明细!G1819),ISNUMBER(出库明细!E1819),ISNUMBER(出库明细!F1819)),IF(ABS(出库明细!G1819-出库明细!E1819*出库明细!F1819)&gt;0.005,1,0),0)</f>
        <v>0</v>
      </c>
    </row>
    <row r="1820">
      <c r="A1820">
        <f>IF(OR(出库明细!C820="",出库明细!D820=""),"",IF(OR(COUNTIFS(存条明细!$C$4:$C$1003,出库明细!C820,存条明细!$D$4:$D$1003,出库明细!D820)&gt;0,COUNTIFS(出库明细!$C$4:C820,出库明细!C820,出库明细!$D$4:D820,出库明细!D820)&gt;1),"",IFERROR(MATCH(出库明细!C820,总览汇总!$B$5:$B$304,0),900)*10000000+IFERROR(MATCH(出库明细!D820,基础资料!$E$5:$E$104,0),900)*10000+ROW()))</f>
      </c>
      <c r="F1820">
        <f>IF(AND(出库明细!C1820&lt;&gt;"",出库明细!C1820=客户对账单!$B$4,ISNUMBER(出库明细!B1820),出库明细!B1820&gt;=客户对账单!$G$4,出库明细!B1820&lt;=客户对账单!$I$4),出库明细!B1820+ROW()/100000,"")</f>
      </c>
      <c r="H1820">
        <f>IF(AND(资金台帐!K323&lt;&gt;"",资金台帐!K323=供应商对账单!$B$4,资金台帐!P323="应付",ISNUMBER(资金台帐!B323),资金台帐!B323&gt;=供应商对账单!$G$4,资金台帐!B323&lt;=供应商对账单!$I$4),资金台帐!B323+ROW()/100000,"")</f>
      </c>
      <c r="N1820">
        <f>IF(AND(ISNUMBER(出库明细!G1820),ISNUMBER(出库明细!E1820),ISNUMBER(出库明细!F1820)),IF(ABS(出库明细!G1820-出库明细!E1820*出库明细!F1820)&gt;0.005,1,0),0)</f>
        <v>0</v>
      </c>
    </row>
    <row r="1821">
      <c r="A1821">
        <f>IF(OR(出库明细!C821="",出库明细!D821=""),"",IF(OR(COUNTIFS(存条明细!$C$4:$C$1003,出库明细!C821,存条明细!$D$4:$D$1003,出库明细!D821)&gt;0,COUNTIFS(出库明细!$C$4:C821,出库明细!C821,出库明细!$D$4:D821,出库明细!D821)&gt;1),"",IFERROR(MATCH(出库明细!C821,总览汇总!$B$5:$B$304,0),900)*10000000+IFERROR(MATCH(出库明细!D821,基础资料!$E$5:$E$104,0),900)*10000+ROW()))</f>
      </c>
      <c r="F1821">
        <f>IF(AND(出库明细!C1821&lt;&gt;"",出库明细!C1821=客户对账单!$B$4,ISNUMBER(出库明细!B1821),出库明细!B1821&gt;=客户对账单!$G$4,出库明细!B1821&lt;=客户对账单!$I$4),出库明细!B1821+ROW()/100000,"")</f>
      </c>
      <c r="H1821">
        <f>IF(AND(资金台帐!K324&lt;&gt;"",资金台帐!K324=供应商对账单!$B$4,资金台帐!P324="应付",ISNUMBER(资金台帐!B324),资金台帐!B324&gt;=供应商对账单!$G$4,资金台帐!B324&lt;=供应商对账单!$I$4),资金台帐!B324+ROW()/100000,"")</f>
      </c>
      <c r="N1821">
        <f>IF(AND(ISNUMBER(出库明细!G1821),ISNUMBER(出库明细!E1821),ISNUMBER(出库明细!F1821)),IF(ABS(出库明细!G1821-出库明细!E1821*出库明细!F1821)&gt;0.005,1,0),0)</f>
        <v>0</v>
      </c>
    </row>
    <row r="1822">
      <c r="A1822">
        <f>IF(OR(出库明细!C822="",出库明细!D822=""),"",IF(OR(COUNTIFS(存条明细!$C$4:$C$1003,出库明细!C822,存条明细!$D$4:$D$1003,出库明细!D822)&gt;0,COUNTIFS(出库明细!$C$4:C822,出库明细!C822,出库明细!$D$4:D822,出库明细!D822)&gt;1),"",IFERROR(MATCH(出库明细!C822,总览汇总!$B$5:$B$304,0),900)*10000000+IFERROR(MATCH(出库明细!D822,基础资料!$E$5:$E$104,0),900)*10000+ROW()))</f>
      </c>
      <c r="F1822">
        <f>IF(AND(出库明细!C1822&lt;&gt;"",出库明细!C1822=客户对账单!$B$4,ISNUMBER(出库明细!B1822),出库明细!B1822&gt;=客户对账单!$G$4,出库明细!B1822&lt;=客户对账单!$I$4),出库明细!B1822+ROW()/100000,"")</f>
      </c>
      <c r="H1822">
        <f>IF(AND(资金台帐!K325&lt;&gt;"",资金台帐!K325=供应商对账单!$B$4,资金台帐!P325="应付",ISNUMBER(资金台帐!B325),资金台帐!B325&gt;=供应商对账单!$G$4,资金台帐!B325&lt;=供应商对账单!$I$4),资金台帐!B325+ROW()/100000,"")</f>
      </c>
      <c r="N1822">
        <f>IF(AND(ISNUMBER(出库明细!G1822),ISNUMBER(出库明细!E1822),ISNUMBER(出库明细!F1822)),IF(ABS(出库明细!G1822-出库明细!E1822*出库明细!F1822)&gt;0.005,1,0),0)</f>
        <v>0</v>
      </c>
    </row>
    <row r="1823">
      <c r="A1823">
        <f>IF(OR(出库明细!C823="",出库明细!D823=""),"",IF(OR(COUNTIFS(存条明细!$C$4:$C$1003,出库明细!C823,存条明细!$D$4:$D$1003,出库明细!D823)&gt;0,COUNTIFS(出库明细!$C$4:C823,出库明细!C823,出库明细!$D$4:D823,出库明细!D823)&gt;1),"",IFERROR(MATCH(出库明细!C823,总览汇总!$B$5:$B$304,0),900)*10000000+IFERROR(MATCH(出库明细!D823,基础资料!$E$5:$E$104,0),900)*10000+ROW()))</f>
      </c>
      <c r="F1823">
        <f>IF(AND(出库明细!C1823&lt;&gt;"",出库明细!C1823=客户对账单!$B$4,ISNUMBER(出库明细!B1823),出库明细!B1823&gt;=客户对账单!$G$4,出库明细!B1823&lt;=客户对账单!$I$4),出库明细!B1823+ROW()/100000,"")</f>
      </c>
      <c r="H1823">
        <f>IF(AND(资金台帐!K326&lt;&gt;"",资金台帐!K326=供应商对账单!$B$4,资金台帐!P326="应付",ISNUMBER(资金台帐!B326),资金台帐!B326&gt;=供应商对账单!$G$4,资金台帐!B326&lt;=供应商对账单!$I$4),资金台帐!B326+ROW()/100000,"")</f>
      </c>
      <c r="N1823">
        <f>IF(AND(ISNUMBER(出库明细!G1823),ISNUMBER(出库明细!E1823),ISNUMBER(出库明细!F1823)),IF(ABS(出库明细!G1823-出库明细!E1823*出库明细!F1823)&gt;0.005,1,0),0)</f>
        <v>0</v>
      </c>
    </row>
    <row r="1824">
      <c r="A1824">
        <f>IF(OR(出库明细!C824="",出库明细!D824=""),"",IF(OR(COUNTIFS(存条明细!$C$4:$C$1003,出库明细!C824,存条明细!$D$4:$D$1003,出库明细!D824)&gt;0,COUNTIFS(出库明细!$C$4:C824,出库明细!C824,出库明细!$D$4:D824,出库明细!D824)&gt;1),"",IFERROR(MATCH(出库明细!C824,总览汇总!$B$5:$B$304,0),900)*10000000+IFERROR(MATCH(出库明细!D824,基础资料!$E$5:$E$104,0),900)*10000+ROW()))</f>
      </c>
      <c r="F1824">
        <f>IF(AND(出库明细!C1824&lt;&gt;"",出库明细!C1824=客户对账单!$B$4,ISNUMBER(出库明细!B1824),出库明细!B1824&gt;=客户对账单!$G$4,出库明细!B1824&lt;=客户对账单!$I$4),出库明细!B1824+ROW()/100000,"")</f>
      </c>
      <c r="H1824">
        <f>IF(AND(资金台帐!K327&lt;&gt;"",资金台帐!K327=供应商对账单!$B$4,资金台帐!P327="应付",ISNUMBER(资金台帐!B327),资金台帐!B327&gt;=供应商对账单!$G$4,资金台帐!B327&lt;=供应商对账单!$I$4),资金台帐!B327+ROW()/100000,"")</f>
      </c>
      <c r="N1824">
        <f>IF(AND(ISNUMBER(出库明细!G1824),ISNUMBER(出库明细!E1824),ISNUMBER(出库明细!F1824)),IF(ABS(出库明细!G1824-出库明细!E1824*出库明细!F1824)&gt;0.005,1,0),0)</f>
        <v>0</v>
      </c>
    </row>
    <row r="1825">
      <c r="A1825">
        <f>IF(OR(出库明细!C825="",出库明细!D825=""),"",IF(OR(COUNTIFS(存条明细!$C$4:$C$1003,出库明细!C825,存条明细!$D$4:$D$1003,出库明细!D825)&gt;0,COUNTIFS(出库明细!$C$4:C825,出库明细!C825,出库明细!$D$4:D825,出库明细!D825)&gt;1),"",IFERROR(MATCH(出库明细!C825,总览汇总!$B$5:$B$304,0),900)*10000000+IFERROR(MATCH(出库明细!D825,基础资料!$E$5:$E$104,0),900)*10000+ROW()))</f>
      </c>
      <c r="F1825">
        <f>IF(AND(出库明细!C1825&lt;&gt;"",出库明细!C1825=客户对账单!$B$4,ISNUMBER(出库明细!B1825),出库明细!B1825&gt;=客户对账单!$G$4,出库明细!B1825&lt;=客户对账单!$I$4),出库明细!B1825+ROW()/100000,"")</f>
      </c>
      <c r="H1825">
        <f>IF(AND(资金台帐!K328&lt;&gt;"",资金台帐!K328=供应商对账单!$B$4,资金台帐!P328="应付",ISNUMBER(资金台帐!B328),资金台帐!B328&gt;=供应商对账单!$G$4,资金台帐!B328&lt;=供应商对账单!$I$4),资金台帐!B328+ROW()/100000,"")</f>
      </c>
      <c r="N1825">
        <f>IF(AND(ISNUMBER(出库明细!G1825),ISNUMBER(出库明细!E1825),ISNUMBER(出库明细!F1825)),IF(ABS(出库明细!G1825-出库明细!E1825*出库明细!F1825)&gt;0.005,1,0),0)</f>
        <v>0</v>
      </c>
    </row>
    <row r="1826">
      <c r="A1826">
        <f>IF(OR(出库明细!C826="",出库明细!D826=""),"",IF(OR(COUNTIFS(存条明细!$C$4:$C$1003,出库明细!C826,存条明细!$D$4:$D$1003,出库明细!D826)&gt;0,COUNTIFS(出库明细!$C$4:C826,出库明细!C826,出库明细!$D$4:D826,出库明细!D826)&gt;1),"",IFERROR(MATCH(出库明细!C826,总览汇总!$B$5:$B$304,0),900)*10000000+IFERROR(MATCH(出库明细!D826,基础资料!$E$5:$E$104,0),900)*10000+ROW()))</f>
      </c>
      <c r="F1826">
        <f>IF(AND(出库明细!C1826&lt;&gt;"",出库明细!C1826=客户对账单!$B$4,ISNUMBER(出库明细!B1826),出库明细!B1826&gt;=客户对账单!$G$4,出库明细!B1826&lt;=客户对账单!$I$4),出库明细!B1826+ROW()/100000,"")</f>
      </c>
      <c r="H1826">
        <f>IF(AND(资金台帐!K329&lt;&gt;"",资金台帐!K329=供应商对账单!$B$4,资金台帐!P329="应付",ISNUMBER(资金台帐!B329),资金台帐!B329&gt;=供应商对账单!$G$4,资金台帐!B329&lt;=供应商对账单!$I$4),资金台帐!B329+ROW()/100000,"")</f>
      </c>
      <c r="N1826">
        <f>IF(AND(ISNUMBER(出库明细!G1826),ISNUMBER(出库明细!E1826),ISNUMBER(出库明细!F1826)),IF(ABS(出库明细!G1826-出库明细!E1826*出库明细!F1826)&gt;0.005,1,0),0)</f>
        <v>0</v>
      </c>
    </row>
    <row r="1827">
      <c r="A1827">
        <f>IF(OR(出库明细!C827="",出库明细!D827=""),"",IF(OR(COUNTIFS(存条明细!$C$4:$C$1003,出库明细!C827,存条明细!$D$4:$D$1003,出库明细!D827)&gt;0,COUNTIFS(出库明细!$C$4:C827,出库明细!C827,出库明细!$D$4:D827,出库明细!D827)&gt;1),"",IFERROR(MATCH(出库明细!C827,总览汇总!$B$5:$B$304,0),900)*10000000+IFERROR(MATCH(出库明细!D827,基础资料!$E$5:$E$104,0),900)*10000+ROW()))</f>
      </c>
      <c r="F1827">
        <f>IF(AND(出库明细!C1827&lt;&gt;"",出库明细!C1827=客户对账单!$B$4,ISNUMBER(出库明细!B1827),出库明细!B1827&gt;=客户对账单!$G$4,出库明细!B1827&lt;=客户对账单!$I$4),出库明细!B1827+ROW()/100000,"")</f>
      </c>
      <c r="H1827">
        <f>IF(AND(资金台帐!K330&lt;&gt;"",资金台帐!K330=供应商对账单!$B$4,资金台帐!P330="应付",ISNUMBER(资金台帐!B330),资金台帐!B330&gt;=供应商对账单!$G$4,资金台帐!B330&lt;=供应商对账单!$I$4),资金台帐!B330+ROW()/100000,"")</f>
      </c>
      <c r="N1827">
        <f>IF(AND(ISNUMBER(出库明细!G1827),ISNUMBER(出库明细!E1827),ISNUMBER(出库明细!F1827)),IF(ABS(出库明细!G1827-出库明细!E1827*出库明细!F1827)&gt;0.005,1,0),0)</f>
        <v>0</v>
      </c>
    </row>
    <row r="1828">
      <c r="A1828">
        <f>IF(OR(出库明细!C828="",出库明细!D828=""),"",IF(OR(COUNTIFS(存条明细!$C$4:$C$1003,出库明细!C828,存条明细!$D$4:$D$1003,出库明细!D828)&gt;0,COUNTIFS(出库明细!$C$4:C828,出库明细!C828,出库明细!$D$4:D828,出库明细!D828)&gt;1),"",IFERROR(MATCH(出库明细!C828,总览汇总!$B$5:$B$304,0),900)*10000000+IFERROR(MATCH(出库明细!D828,基础资料!$E$5:$E$104,0),900)*10000+ROW()))</f>
      </c>
      <c r="F1828">
        <f>IF(AND(出库明细!C1828&lt;&gt;"",出库明细!C1828=客户对账单!$B$4,ISNUMBER(出库明细!B1828),出库明细!B1828&gt;=客户对账单!$G$4,出库明细!B1828&lt;=客户对账单!$I$4),出库明细!B1828+ROW()/100000,"")</f>
      </c>
      <c r="H1828">
        <f>IF(AND(资金台帐!K331&lt;&gt;"",资金台帐!K331=供应商对账单!$B$4,资金台帐!P331="应付",ISNUMBER(资金台帐!B331),资金台帐!B331&gt;=供应商对账单!$G$4,资金台帐!B331&lt;=供应商对账单!$I$4),资金台帐!B331+ROW()/100000,"")</f>
      </c>
      <c r="N1828">
        <f>IF(AND(ISNUMBER(出库明细!G1828),ISNUMBER(出库明细!E1828),ISNUMBER(出库明细!F1828)),IF(ABS(出库明细!G1828-出库明细!E1828*出库明细!F1828)&gt;0.005,1,0),0)</f>
        <v>0</v>
      </c>
    </row>
    <row r="1829">
      <c r="A1829">
        <f>IF(OR(出库明细!C829="",出库明细!D829=""),"",IF(OR(COUNTIFS(存条明细!$C$4:$C$1003,出库明细!C829,存条明细!$D$4:$D$1003,出库明细!D829)&gt;0,COUNTIFS(出库明细!$C$4:C829,出库明细!C829,出库明细!$D$4:D829,出库明细!D829)&gt;1),"",IFERROR(MATCH(出库明细!C829,总览汇总!$B$5:$B$304,0),900)*10000000+IFERROR(MATCH(出库明细!D829,基础资料!$E$5:$E$104,0),900)*10000+ROW()))</f>
      </c>
      <c r="F1829">
        <f>IF(AND(出库明细!C1829&lt;&gt;"",出库明细!C1829=客户对账单!$B$4,ISNUMBER(出库明细!B1829),出库明细!B1829&gt;=客户对账单!$G$4,出库明细!B1829&lt;=客户对账单!$I$4),出库明细!B1829+ROW()/100000,"")</f>
      </c>
      <c r="H1829">
        <f>IF(AND(资金台帐!K332&lt;&gt;"",资金台帐!K332=供应商对账单!$B$4,资金台帐!P332="应付",ISNUMBER(资金台帐!B332),资金台帐!B332&gt;=供应商对账单!$G$4,资金台帐!B332&lt;=供应商对账单!$I$4),资金台帐!B332+ROW()/100000,"")</f>
      </c>
      <c r="N1829">
        <f>IF(AND(ISNUMBER(出库明细!G1829),ISNUMBER(出库明细!E1829),ISNUMBER(出库明细!F1829)),IF(ABS(出库明细!G1829-出库明细!E1829*出库明细!F1829)&gt;0.005,1,0),0)</f>
        <v>0</v>
      </c>
    </row>
    <row r="1830">
      <c r="A1830">
        <f>IF(OR(出库明细!C830="",出库明细!D830=""),"",IF(OR(COUNTIFS(存条明细!$C$4:$C$1003,出库明细!C830,存条明细!$D$4:$D$1003,出库明细!D830)&gt;0,COUNTIFS(出库明细!$C$4:C830,出库明细!C830,出库明细!$D$4:D830,出库明细!D830)&gt;1),"",IFERROR(MATCH(出库明细!C830,总览汇总!$B$5:$B$304,0),900)*10000000+IFERROR(MATCH(出库明细!D830,基础资料!$E$5:$E$104,0),900)*10000+ROW()))</f>
      </c>
      <c r="F1830">
        <f>IF(AND(出库明细!C1830&lt;&gt;"",出库明细!C1830=客户对账单!$B$4,ISNUMBER(出库明细!B1830),出库明细!B1830&gt;=客户对账单!$G$4,出库明细!B1830&lt;=客户对账单!$I$4),出库明细!B1830+ROW()/100000,"")</f>
      </c>
      <c r="H1830">
        <f>IF(AND(资金台帐!K333&lt;&gt;"",资金台帐!K333=供应商对账单!$B$4,资金台帐!P333="应付",ISNUMBER(资金台帐!B333),资金台帐!B333&gt;=供应商对账单!$G$4,资金台帐!B333&lt;=供应商对账单!$I$4),资金台帐!B333+ROW()/100000,"")</f>
      </c>
      <c r="N1830">
        <f>IF(AND(ISNUMBER(出库明细!G1830),ISNUMBER(出库明细!E1830),ISNUMBER(出库明细!F1830)),IF(ABS(出库明细!G1830-出库明细!E1830*出库明细!F1830)&gt;0.005,1,0),0)</f>
        <v>0</v>
      </c>
    </row>
    <row r="1831">
      <c r="A1831">
        <f>IF(OR(出库明细!C831="",出库明细!D831=""),"",IF(OR(COUNTIFS(存条明细!$C$4:$C$1003,出库明细!C831,存条明细!$D$4:$D$1003,出库明细!D831)&gt;0,COUNTIFS(出库明细!$C$4:C831,出库明细!C831,出库明细!$D$4:D831,出库明细!D831)&gt;1),"",IFERROR(MATCH(出库明细!C831,总览汇总!$B$5:$B$304,0),900)*10000000+IFERROR(MATCH(出库明细!D831,基础资料!$E$5:$E$104,0),900)*10000+ROW()))</f>
      </c>
      <c r="F1831">
        <f>IF(AND(出库明细!C1831&lt;&gt;"",出库明细!C1831=客户对账单!$B$4,ISNUMBER(出库明细!B1831),出库明细!B1831&gt;=客户对账单!$G$4,出库明细!B1831&lt;=客户对账单!$I$4),出库明细!B1831+ROW()/100000,"")</f>
      </c>
      <c r="H1831">
        <f>IF(AND(资金台帐!K334&lt;&gt;"",资金台帐!K334=供应商对账单!$B$4,资金台帐!P334="应付",ISNUMBER(资金台帐!B334),资金台帐!B334&gt;=供应商对账单!$G$4,资金台帐!B334&lt;=供应商对账单!$I$4),资金台帐!B334+ROW()/100000,"")</f>
      </c>
      <c r="N1831">
        <f>IF(AND(ISNUMBER(出库明细!G1831),ISNUMBER(出库明细!E1831),ISNUMBER(出库明细!F1831)),IF(ABS(出库明细!G1831-出库明细!E1831*出库明细!F1831)&gt;0.005,1,0),0)</f>
        <v>0</v>
      </c>
    </row>
    <row r="1832">
      <c r="A1832">
        <f>IF(OR(出库明细!C832="",出库明细!D832=""),"",IF(OR(COUNTIFS(存条明细!$C$4:$C$1003,出库明细!C832,存条明细!$D$4:$D$1003,出库明细!D832)&gt;0,COUNTIFS(出库明细!$C$4:C832,出库明细!C832,出库明细!$D$4:D832,出库明细!D832)&gt;1),"",IFERROR(MATCH(出库明细!C832,总览汇总!$B$5:$B$304,0),900)*10000000+IFERROR(MATCH(出库明细!D832,基础资料!$E$5:$E$104,0),900)*10000+ROW()))</f>
      </c>
      <c r="F1832">
        <f>IF(AND(出库明细!C1832&lt;&gt;"",出库明细!C1832=客户对账单!$B$4,ISNUMBER(出库明细!B1832),出库明细!B1832&gt;=客户对账单!$G$4,出库明细!B1832&lt;=客户对账单!$I$4),出库明细!B1832+ROW()/100000,"")</f>
      </c>
      <c r="H1832">
        <f>IF(AND(资金台帐!K335&lt;&gt;"",资金台帐!K335=供应商对账单!$B$4,资金台帐!P335="应付",ISNUMBER(资金台帐!B335),资金台帐!B335&gt;=供应商对账单!$G$4,资金台帐!B335&lt;=供应商对账单!$I$4),资金台帐!B335+ROW()/100000,"")</f>
      </c>
      <c r="N1832">
        <f>IF(AND(ISNUMBER(出库明细!G1832),ISNUMBER(出库明细!E1832),ISNUMBER(出库明细!F1832)),IF(ABS(出库明细!G1832-出库明细!E1832*出库明细!F1832)&gt;0.005,1,0),0)</f>
        <v>0</v>
      </c>
    </row>
    <row r="1833">
      <c r="A1833">
        <f>IF(OR(出库明细!C833="",出库明细!D833=""),"",IF(OR(COUNTIFS(存条明细!$C$4:$C$1003,出库明细!C833,存条明细!$D$4:$D$1003,出库明细!D833)&gt;0,COUNTIFS(出库明细!$C$4:C833,出库明细!C833,出库明细!$D$4:D833,出库明细!D833)&gt;1),"",IFERROR(MATCH(出库明细!C833,总览汇总!$B$5:$B$304,0),900)*10000000+IFERROR(MATCH(出库明细!D833,基础资料!$E$5:$E$104,0),900)*10000+ROW()))</f>
      </c>
      <c r="F1833">
        <f>IF(AND(出库明细!C1833&lt;&gt;"",出库明细!C1833=客户对账单!$B$4,ISNUMBER(出库明细!B1833),出库明细!B1833&gt;=客户对账单!$G$4,出库明细!B1833&lt;=客户对账单!$I$4),出库明细!B1833+ROW()/100000,"")</f>
      </c>
      <c r="H1833">
        <f>IF(AND(资金台帐!K336&lt;&gt;"",资金台帐!K336=供应商对账单!$B$4,资金台帐!P336="应付",ISNUMBER(资金台帐!B336),资金台帐!B336&gt;=供应商对账单!$G$4,资金台帐!B336&lt;=供应商对账单!$I$4),资金台帐!B336+ROW()/100000,"")</f>
      </c>
      <c r="N1833">
        <f>IF(AND(ISNUMBER(出库明细!G1833),ISNUMBER(出库明细!E1833),ISNUMBER(出库明细!F1833)),IF(ABS(出库明细!G1833-出库明细!E1833*出库明细!F1833)&gt;0.005,1,0),0)</f>
        <v>0</v>
      </c>
    </row>
    <row r="1834">
      <c r="A1834">
        <f>IF(OR(出库明细!C834="",出库明细!D834=""),"",IF(OR(COUNTIFS(存条明细!$C$4:$C$1003,出库明细!C834,存条明细!$D$4:$D$1003,出库明细!D834)&gt;0,COUNTIFS(出库明细!$C$4:C834,出库明细!C834,出库明细!$D$4:D834,出库明细!D834)&gt;1),"",IFERROR(MATCH(出库明细!C834,总览汇总!$B$5:$B$304,0),900)*10000000+IFERROR(MATCH(出库明细!D834,基础资料!$E$5:$E$104,0),900)*10000+ROW()))</f>
      </c>
      <c r="F1834">
        <f>IF(AND(出库明细!C1834&lt;&gt;"",出库明细!C1834=客户对账单!$B$4,ISNUMBER(出库明细!B1834),出库明细!B1834&gt;=客户对账单!$G$4,出库明细!B1834&lt;=客户对账单!$I$4),出库明细!B1834+ROW()/100000,"")</f>
      </c>
      <c r="H1834">
        <f>IF(AND(资金台帐!K337&lt;&gt;"",资金台帐!K337=供应商对账单!$B$4,资金台帐!P337="应付",ISNUMBER(资金台帐!B337),资金台帐!B337&gt;=供应商对账单!$G$4,资金台帐!B337&lt;=供应商对账单!$I$4),资金台帐!B337+ROW()/100000,"")</f>
      </c>
      <c r="N1834">
        <f>IF(AND(ISNUMBER(出库明细!G1834),ISNUMBER(出库明细!E1834),ISNUMBER(出库明细!F1834)),IF(ABS(出库明细!G1834-出库明细!E1834*出库明细!F1834)&gt;0.005,1,0),0)</f>
        <v>0</v>
      </c>
    </row>
    <row r="1835">
      <c r="A1835">
        <f>IF(OR(出库明细!C835="",出库明细!D835=""),"",IF(OR(COUNTIFS(存条明细!$C$4:$C$1003,出库明细!C835,存条明细!$D$4:$D$1003,出库明细!D835)&gt;0,COUNTIFS(出库明细!$C$4:C835,出库明细!C835,出库明细!$D$4:D835,出库明细!D835)&gt;1),"",IFERROR(MATCH(出库明细!C835,总览汇总!$B$5:$B$304,0),900)*10000000+IFERROR(MATCH(出库明细!D835,基础资料!$E$5:$E$104,0),900)*10000+ROW()))</f>
      </c>
      <c r="F1835">
        <f>IF(AND(出库明细!C1835&lt;&gt;"",出库明细!C1835=客户对账单!$B$4,ISNUMBER(出库明细!B1835),出库明细!B1835&gt;=客户对账单!$G$4,出库明细!B1835&lt;=客户对账单!$I$4),出库明细!B1835+ROW()/100000,"")</f>
      </c>
      <c r="H1835">
        <f>IF(AND(资金台帐!K338&lt;&gt;"",资金台帐!K338=供应商对账单!$B$4,资金台帐!P338="应付",ISNUMBER(资金台帐!B338),资金台帐!B338&gt;=供应商对账单!$G$4,资金台帐!B338&lt;=供应商对账单!$I$4),资金台帐!B338+ROW()/100000,"")</f>
      </c>
      <c r="N1835">
        <f>IF(AND(ISNUMBER(出库明细!G1835),ISNUMBER(出库明细!E1835),ISNUMBER(出库明细!F1835)),IF(ABS(出库明细!G1835-出库明细!E1835*出库明细!F1835)&gt;0.005,1,0),0)</f>
        <v>0</v>
      </c>
    </row>
    <row r="1836">
      <c r="A1836">
        <f>IF(OR(出库明细!C836="",出库明细!D836=""),"",IF(OR(COUNTIFS(存条明细!$C$4:$C$1003,出库明细!C836,存条明细!$D$4:$D$1003,出库明细!D836)&gt;0,COUNTIFS(出库明细!$C$4:C836,出库明细!C836,出库明细!$D$4:D836,出库明细!D836)&gt;1),"",IFERROR(MATCH(出库明细!C836,总览汇总!$B$5:$B$304,0),900)*10000000+IFERROR(MATCH(出库明细!D836,基础资料!$E$5:$E$104,0),900)*10000+ROW()))</f>
      </c>
      <c r="F1836">
        <f>IF(AND(出库明细!C1836&lt;&gt;"",出库明细!C1836=客户对账单!$B$4,ISNUMBER(出库明细!B1836),出库明细!B1836&gt;=客户对账单!$G$4,出库明细!B1836&lt;=客户对账单!$I$4),出库明细!B1836+ROW()/100000,"")</f>
      </c>
      <c r="H1836">
        <f>IF(AND(资金台帐!K339&lt;&gt;"",资金台帐!K339=供应商对账单!$B$4,资金台帐!P339="应付",ISNUMBER(资金台帐!B339),资金台帐!B339&gt;=供应商对账单!$G$4,资金台帐!B339&lt;=供应商对账单!$I$4),资金台帐!B339+ROW()/100000,"")</f>
      </c>
      <c r="N1836">
        <f>IF(AND(ISNUMBER(出库明细!G1836),ISNUMBER(出库明细!E1836),ISNUMBER(出库明细!F1836)),IF(ABS(出库明细!G1836-出库明细!E1836*出库明细!F1836)&gt;0.005,1,0),0)</f>
        <v>0</v>
      </c>
    </row>
    <row r="1837">
      <c r="A1837">
        <f>IF(OR(出库明细!C837="",出库明细!D837=""),"",IF(OR(COUNTIFS(存条明细!$C$4:$C$1003,出库明细!C837,存条明细!$D$4:$D$1003,出库明细!D837)&gt;0,COUNTIFS(出库明细!$C$4:C837,出库明细!C837,出库明细!$D$4:D837,出库明细!D837)&gt;1),"",IFERROR(MATCH(出库明细!C837,总览汇总!$B$5:$B$304,0),900)*10000000+IFERROR(MATCH(出库明细!D837,基础资料!$E$5:$E$104,0),900)*10000+ROW()))</f>
      </c>
      <c r="F1837">
        <f>IF(AND(出库明细!C1837&lt;&gt;"",出库明细!C1837=客户对账单!$B$4,ISNUMBER(出库明细!B1837),出库明细!B1837&gt;=客户对账单!$G$4,出库明细!B1837&lt;=客户对账单!$I$4),出库明细!B1837+ROW()/100000,"")</f>
      </c>
      <c r="H1837">
        <f>IF(AND(资金台帐!K340&lt;&gt;"",资金台帐!K340=供应商对账单!$B$4,资金台帐!P340="应付",ISNUMBER(资金台帐!B340),资金台帐!B340&gt;=供应商对账单!$G$4,资金台帐!B340&lt;=供应商对账单!$I$4),资金台帐!B340+ROW()/100000,"")</f>
      </c>
      <c r="N1837">
        <f>IF(AND(ISNUMBER(出库明细!G1837),ISNUMBER(出库明细!E1837),ISNUMBER(出库明细!F1837)),IF(ABS(出库明细!G1837-出库明细!E1837*出库明细!F1837)&gt;0.005,1,0),0)</f>
        <v>0</v>
      </c>
    </row>
    <row r="1838">
      <c r="A1838">
        <f>IF(OR(出库明细!C838="",出库明细!D838=""),"",IF(OR(COUNTIFS(存条明细!$C$4:$C$1003,出库明细!C838,存条明细!$D$4:$D$1003,出库明细!D838)&gt;0,COUNTIFS(出库明细!$C$4:C838,出库明细!C838,出库明细!$D$4:D838,出库明细!D838)&gt;1),"",IFERROR(MATCH(出库明细!C838,总览汇总!$B$5:$B$304,0),900)*10000000+IFERROR(MATCH(出库明细!D838,基础资料!$E$5:$E$104,0),900)*10000+ROW()))</f>
      </c>
      <c r="F1838">
        <f>IF(AND(出库明细!C1838&lt;&gt;"",出库明细!C1838=客户对账单!$B$4,ISNUMBER(出库明细!B1838),出库明细!B1838&gt;=客户对账单!$G$4,出库明细!B1838&lt;=客户对账单!$I$4),出库明细!B1838+ROW()/100000,"")</f>
      </c>
      <c r="H1838">
        <f>IF(AND(资金台帐!K341&lt;&gt;"",资金台帐!K341=供应商对账单!$B$4,资金台帐!P341="应付",ISNUMBER(资金台帐!B341),资金台帐!B341&gt;=供应商对账单!$G$4,资金台帐!B341&lt;=供应商对账单!$I$4),资金台帐!B341+ROW()/100000,"")</f>
      </c>
      <c r="N1838">
        <f>IF(AND(ISNUMBER(出库明细!G1838),ISNUMBER(出库明细!E1838),ISNUMBER(出库明细!F1838)),IF(ABS(出库明细!G1838-出库明细!E1838*出库明细!F1838)&gt;0.005,1,0),0)</f>
        <v>0</v>
      </c>
    </row>
    <row r="1839">
      <c r="A1839">
        <f>IF(OR(出库明细!C839="",出库明细!D839=""),"",IF(OR(COUNTIFS(存条明细!$C$4:$C$1003,出库明细!C839,存条明细!$D$4:$D$1003,出库明细!D839)&gt;0,COUNTIFS(出库明细!$C$4:C839,出库明细!C839,出库明细!$D$4:D839,出库明细!D839)&gt;1),"",IFERROR(MATCH(出库明细!C839,总览汇总!$B$5:$B$304,0),900)*10000000+IFERROR(MATCH(出库明细!D839,基础资料!$E$5:$E$104,0),900)*10000+ROW()))</f>
      </c>
      <c r="F1839">
        <f>IF(AND(出库明细!C1839&lt;&gt;"",出库明细!C1839=客户对账单!$B$4,ISNUMBER(出库明细!B1839),出库明细!B1839&gt;=客户对账单!$G$4,出库明细!B1839&lt;=客户对账单!$I$4),出库明细!B1839+ROW()/100000,"")</f>
      </c>
      <c r="H1839">
        <f>IF(AND(资金台帐!K342&lt;&gt;"",资金台帐!K342=供应商对账单!$B$4,资金台帐!P342="应付",ISNUMBER(资金台帐!B342),资金台帐!B342&gt;=供应商对账单!$G$4,资金台帐!B342&lt;=供应商对账单!$I$4),资金台帐!B342+ROW()/100000,"")</f>
      </c>
      <c r="N1839">
        <f>IF(AND(ISNUMBER(出库明细!G1839),ISNUMBER(出库明细!E1839),ISNUMBER(出库明细!F1839)),IF(ABS(出库明细!G1839-出库明细!E1839*出库明细!F1839)&gt;0.005,1,0),0)</f>
        <v>0</v>
      </c>
    </row>
    <row r="1840">
      <c r="A1840">
        <f>IF(OR(出库明细!C840="",出库明细!D840=""),"",IF(OR(COUNTIFS(存条明细!$C$4:$C$1003,出库明细!C840,存条明细!$D$4:$D$1003,出库明细!D840)&gt;0,COUNTIFS(出库明细!$C$4:C840,出库明细!C840,出库明细!$D$4:D840,出库明细!D840)&gt;1),"",IFERROR(MATCH(出库明细!C840,总览汇总!$B$5:$B$304,0),900)*10000000+IFERROR(MATCH(出库明细!D840,基础资料!$E$5:$E$104,0),900)*10000+ROW()))</f>
      </c>
      <c r="F1840">
        <f>IF(AND(出库明细!C1840&lt;&gt;"",出库明细!C1840=客户对账单!$B$4,ISNUMBER(出库明细!B1840),出库明细!B1840&gt;=客户对账单!$G$4,出库明细!B1840&lt;=客户对账单!$I$4),出库明细!B1840+ROW()/100000,"")</f>
      </c>
      <c r="H1840">
        <f>IF(AND(资金台帐!K343&lt;&gt;"",资金台帐!K343=供应商对账单!$B$4,资金台帐!P343="应付",ISNUMBER(资金台帐!B343),资金台帐!B343&gt;=供应商对账单!$G$4,资金台帐!B343&lt;=供应商对账单!$I$4),资金台帐!B343+ROW()/100000,"")</f>
      </c>
      <c r="N1840">
        <f>IF(AND(ISNUMBER(出库明细!G1840),ISNUMBER(出库明细!E1840),ISNUMBER(出库明细!F1840)),IF(ABS(出库明细!G1840-出库明细!E1840*出库明细!F1840)&gt;0.005,1,0),0)</f>
        <v>0</v>
      </c>
    </row>
    <row r="1841">
      <c r="A1841">
        <f>IF(OR(出库明细!C841="",出库明细!D841=""),"",IF(OR(COUNTIFS(存条明细!$C$4:$C$1003,出库明细!C841,存条明细!$D$4:$D$1003,出库明细!D841)&gt;0,COUNTIFS(出库明细!$C$4:C841,出库明细!C841,出库明细!$D$4:D841,出库明细!D841)&gt;1),"",IFERROR(MATCH(出库明细!C841,总览汇总!$B$5:$B$304,0),900)*10000000+IFERROR(MATCH(出库明细!D841,基础资料!$E$5:$E$104,0),900)*10000+ROW()))</f>
      </c>
      <c r="F1841">
        <f>IF(AND(出库明细!C1841&lt;&gt;"",出库明细!C1841=客户对账单!$B$4,ISNUMBER(出库明细!B1841),出库明细!B1841&gt;=客户对账单!$G$4,出库明细!B1841&lt;=客户对账单!$I$4),出库明细!B1841+ROW()/100000,"")</f>
      </c>
      <c r="H1841">
        <f>IF(AND(资金台帐!K344&lt;&gt;"",资金台帐!K344=供应商对账单!$B$4,资金台帐!P344="应付",ISNUMBER(资金台帐!B344),资金台帐!B344&gt;=供应商对账单!$G$4,资金台帐!B344&lt;=供应商对账单!$I$4),资金台帐!B344+ROW()/100000,"")</f>
      </c>
      <c r="N1841">
        <f>IF(AND(ISNUMBER(出库明细!G1841),ISNUMBER(出库明细!E1841),ISNUMBER(出库明细!F1841)),IF(ABS(出库明细!G1841-出库明细!E1841*出库明细!F1841)&gt;0.005,1,0),0)</f>
        <v>0</v>
      </c>
    </row>
    <row r="1842">
      <c r="A1842">
        <f>IF(OR(出库明细!C842="",出库明细!D842=""),"",IF(OR(COUNTIFS(存条明细!$C$4:$C$1003,出库明细!C842,存条明细!$D$4:$D$1003,出库明细!D842)&gt;0,COUNTIFS(出库明细!$C$4:C842,出库明细!C842,出库明细!$D$4:D842,出库明细!D842)&gt;1),"",IFERROR(MATCH(出库明细!C842,总览汇总!$B$5:$B$304,0),900)*10000000+IFERROR(MATCH(出库明细!D842,基础资料!$E$5:$E$104,0),900)*10000+ROW()))</f>
      </c>
      <c r="F1842">
        <f>IF(AND(出库明细!C1842&lt;&gt;"",出库明细!C1842=客户对账单!$B$4,ISNUMBER(出库明细!B1842),出库明细!B1842&gt;=客户对账单!$G$4,出库明细!B1842&lt;=客户对账单!$I$4),出库明细!B1842+ROW()/100000,"")</f>
      </c>
      <c r="H1842">
        <f>IF(AND(资金台帐!K345&lt;&gt;"",资金台帐!K345=供应商对账单!$B$4,资金台帐!P345="应付",ISNUMBER(资金台帐!B345),资金台帐!B345&gt;=供应商对账单!$G$4,资金台帐!B345&lt;=供应商对账单!$I$4),资金台帐!B345+ROW()/100000,"")</f>
      </c>
      <c r="N1842">
        <f>IF(AND(ISNUMBER(出库明细!G1842),ISNUMBER(出库明细!E1842),ISNUMBER(出库明细!F1842)),IF(ABS(出库明细!G1842-出库明细!E1842*出库明细!F1842)&gt;0.005,1,0),0)</f>
        <v>0</v>
      </c>
    </row>
    <row r="1843">
      <c r="A1843">
        <f>IF(OR(出库明细!C843="",出库明细!D843=""),"",IF(OR(COUNTIFS(存条明细!$C$4:$C$1003,出库明细!C843,存条明细!$D$4:$D$1003,出库明细!D843)&gt;0,COUNTIFS(出库明细!$C$4:C843,出库明细!C843,出库明细!$D$4:D843,出库明细!D843)&gt;1),"",IFERROR(MATCH(出库明细!C843,总览汇总!$B$5:$B$304,0),900)*10000000+IFERROR(MATCH(出库明细!D843,基础资料!$E$5:$E$104,0),900)*10000+ROW()))</f>
      </c>
      <c r="F1843">
        <f>IF(AND(出库明细!C1843&lt;&gt;"",出库明细!C1843=客户对账单!$B$4,ISNUMBER(出库明细!B1843),出库明细!B1843&gt;=客户对账单!$G$4,出库明细!B1843&lt;=客户对账单!$I$4),出库明细!B1843+ROW()/100000,"")</f>
      </c>
      <c r="H1843">
        <f>IF(AND(资金台帐!K346&lt;&gt;"",资金台帐!K346=供应商对账单!$B$4,资金台帐!P346="应付",ISNUMBER(资金台帐!B346),资金台帐!B346&gt;=供应商对账单!$G$4,资金台帐!B346&lt;=供应商对账单!$I$4),资金台帐!B346+ROW()/100000,"")</f>
      </c>
      <c r="N1843">
        <f>IF(AND(ISNUMBER(出库明细!G1843),ISNUMBER(出库明细!E1843),ISNUMBER(出库明细!F1843)),IF(ABS(出库明细!G1843-出库明细!E1843*出库明细!F1843)&gt;0.005,1,0),0)</f>
        <v>0</v>
      </c>
    </row>
    <row r="1844">
      <c r="A1844">
        <f>IF(OR(出库明细!C844="",出库明细!D844=""),"",IF(OR(COUNTIFS(存条明细!$C$4:$C$1003,出库明细!C844,存条明细!$D$4:$D$1003,出库明细!D844)&gt;0,COUNTIFS(出库明细!$C$4:C844,出库明细!C844,出库明细!$D$4:D844,出库明细!D844)&gt;1),"",IFERROR(MATCH(出库明细!C844,总览汇总!$B$5:$B$304,0),900)*10000000+IFERROR(MATCH(出库明细!D844,基础资料!$E$5:$E$104,0),900)*10000+ROW()))</f>
      </c>
      <c r="F1844">
        <f>IF(AND(出库明细!C1844&lt;&gt;"",出库明细!C1844=客户对账单!$B$4,ISNUMBER(出库明细!B1844),出库明细!B1844&gt;=客户对账单!$G$4,出库明细!B1844&lt;=客户对账单!$I$4),出库明细!B1844+ROW()/100000,"")</f>
      </c>
      <c r="H1844">
        <f>IF(AND(资金台帐!K347&lt;&gt;"",资金台帐!K347=供应商对账单!$B$4,资金台帐!P347="应付",ISNUMBER(资金台帐!B347),资金台帐!B347&gt;=供应商对账单!$G$4,资金台帐!B347&lt;=供应商对账单!$I$4),资金台帐!B347+ROW()/100000,"")</f>
      </c>
      <c r="N1844">
        <f>IF(AND(ISNUMBER(出库明细!G1844),ISNUMBER(出库明细!E1844),ISNUMBER(出库明细!F1844)),IF(ABS(出库明细!G1844-出库明细!E1844*出库明细!F1844)&gt;0.005,1,0),0)</f>
        <v>0</v>
      </c>
    </row>
    <row r="1845">
      <c r="A1845">
        <f>IF(OR(出库明细!C845="",出库明细!D845=""),"",IF(OR(COUNTIFS(存条明细!$C$4:$C$1003,出库明细!C845,存条明细!$D$4:$D$1003,出库明细!D845)&gt;0,COUNTIFS(出库明细!$C$4:C845,出库明细!C845,出库明细!$D$4:D845,出库明细!D845)&gt;1),"",IFERROR(MATCH(出库明细!C845,总览汇总!$B$5:$B$304,0),900)*10000000+IFERROR(MATCH(出库明细!D845,基础资料!$E$5:$E$104,0),900)*10000+ROW()))</f>
      </c>
      <c r="F1845">
        <f>IF(AND(出库明细!C1845&lt;&gt;"",出库明细!C1845=客户对账单!$B$4,ISNUMBER(出库明细!B1845),出库明细!B1845&gt;=客户对账单!$G$4,出库明细!B1845&lt;=客户对账单!$I$4),出库明细!B1845+ROW()/100000,"")</f>
      </c>
      <c r="H1845">
        <f>IF(AND(资金台帐!K348&lt;&gt;"",资金台帐!K348=供应商对账单!$B$4,资金台帐!P348="应付",ISNUMBER(资金台帐!B348),资金台帐!B348&gt;=供应商对账单!$G$4,资金台帐!B348&lt;=供应商对账单!$I$4),资金台帐!B348+ROW()/100000,"")</f>
      </c>
      <c r="N1845">
        <f>IF(AND(ISNUMBER(出库明细!G1845),ISNUMBER(出库明细!E1845),ISNUMBER(出库明细!F1845)),IF(ABS(出库明细!G1845-出库明细!E1845*出库明细!F1845)&gt;0.005,1,0),0)</f>
        <v>0</v>
      </c>
    </row>
    <row r="1846">
      <c r="A1846">
        <f>IF(OR(出库明细!C846="",出库明细!D846=""),"",IF(OR(COUNTIFS(存条明细!$C$4:$C$1003,出库明细!C846,存条明细!$D$4:$D$1003,出库明细!D846)&gt;0,COUNTIFS(出库明细!$C$4:C846,出库明细!C846,出库明细!$D$4:D846,出库明细!D846)&gt;1),"",IFERROR(MATCH(出库明细!C846,总览汇总!$B$5:$B$304,0),900)*10000000+IFERROR(MATCH(出库明细!D846,基础资料!$E$5:$E$104,0),900)*10000+ROW()))</f>
      </c>
      <c r="F1846">
        <f>IF(AND(出库明细!C1846&lt;&gt;"",出库明细!C1846=客户对账单!$B$4,ISNUMBER(出库明细!B1846),出库明细!B1846&gt;=客户对账单!$G$4,出库明细!B1846&lt;=客户对账单!$I$4),出库明细!B1846+ROW()/100000,"")</f>
      </c>
      <c r="H1846">
        <f>IF(AND(资金台帐!K349&lt;&gt;"",资金台帐!K349=供应商对账单!$B$4,资金台帐!P349="应付",ISNUMBER(资金台帐!B349),资金台帐!B349&gt;=供应商对账单!$G$4,资金台帐!B349&lt;=供应商对账单!$I$4),资金台帐!B349+ROW()/100000,"")</f>
      </c>
      <c r="N1846">
        <f>IF(AND(ISNUMBER(出库明细!G1846),ISNUMBER(出库明细!E1846),ISNUMBER(出库明细!F1846)),IF(ABS(出库明细!G1846-出库明细!E1846*出库明细!F1846)&gt;0.005,1,0),0)</f>
        <v>0</v>
      </c>
    </row>
    <row r="1847">
      <c r="A1847">
        <f>IF(OR(出库明细!C847="",出库明细!D847=""),"",IF(OR(COUNTIFS(存条明细!$C$4:$C$1003,出库明细!C847,存条明细!$D$4:$D$1003,出库明细!D847)&gt;0,COUNTIFS(出库明细!$C$4:C847,出库明细!C847,出库明细!$D$4:D847,出库明细!D847)&gt;1),"",IFERROR(MATCH(出库明细!C847,总览汇总!$B$5:$B$304,0),900)*10000000+IFERROR(MATCH(出库明细!D847,基础资料!$E$5:$E$104,0),900)*10000+ROW()))</f>
      </c>
      <c r="F1847">
        <f>IF(AND(出库明细!C1847&lt;&gt;"",出库明细!C1847=客户对账单!$B$4,ISNUMBER(出库明细!B1847),出库明细!B1847&gt;=客户对账单!$G$4,出库明细!B1847&lt;=客户对账单!$I$4),出库明细!B1847+ROW()/100000,"")</f>
      </c>
      <c r="H1847">
        <f>IF(AND(资金台帐!K350&lt;&gt;"",资金台帐!K350=供应商对账单!$B$4,资金台帐!P350="应付",ISNUMBER(资金台帐!B350),资金台帐!B350&gt;=供应商对账单!$G$4,资金台帐!B350&lt;=供应商对账单!$I$4),资金台帐!B350+ROW()/100000,"")</f>
      </c>
      <c r="N1847">
        <f>IF(AND(ISNUMBER(出库明细!G1847),ISNUMBER(出库明细!E1847),ISNUMBER(出库明细!F1847)),IF(ABS(出库明细!G1847-出库明细!E1847*出库明细!F1847)&gt;0.005,1,0),0)</f>
        <v>0</v>
      </c>
    </row>
    <row r="1848">
      <c r="A1848">
        <f>IF(OR(出库明细!C848="",出库明细!D848=""),"",IF(OR(COUNTIFS(存条明细!$C$4:$C$1003,出库明细!C848,存条明细!$D$4:$D$1003,出库明细!D848)&gt;0,COUNTIFS(出库明细!$C$4:C848,出库明细!C848,出库明细!$D$4:D848,出库明细!D848)&gt;1),"",IFERROR(MATCH(出库明细!C848,总览汇总!$B$5:$B$304,0),900)*10000000+IFERROR(MATCH(出库明细!D848,基础资料!$E$5:$E$104,0),900)*10000+ROW()))</f>
      </c>
      <c r="F1848">
        <f>IF(AND(出库明细!C1848&lt;&gt;"",出库明细!C1848=客户对账单!$B$4,ISNUMBER(出库明细!B1848),出库明细!B1848&gt;=客户对账单!$G$4,出库明细!B1848&lt;=客户对账单!$I$4),出库明细!B1848+ROW()/100000,"")</f>
      </c>
      <c r="H1848">
        <f>IF(AND(资金台帐!K351&lt;&gt;"",资金台帐!K351=供应商对账单!$B$4,资金台帐!P351="应付",ISNUMBER(资金台帐!B351),资金台帐!B351&gt;=供应商对账单!$G$4,资金台帐!B351&lt;=供应商对账单!$I$4),资金台帐!B351+ROW()/100000,"")</f>
      </c>
      <c r="N1848">
        <f>IF(AND(ISNUMBER(出库明细!G1848),ISNUMBER(出库明细!E1848),ISNUMBER(出库明细!F1848)),IF(ABS(出库明细!G1848-出库明细!E1848*出库明细!F1848)&gt;0.005,1,0),0)</f>
        <v>0</v>
      </c>
    </row>
    <row r="1849">
      <c r="A1849">
        <f>IF(OR(出库明细!C849="",出库明细!D849=""),"",IF(OR(COUNTIFS(存条明细!$C$4:$C$1003,出库明细!C849,存条明细!$D$4:$D$1003,出库明细!D849)&gt;0,COUNTIFS(出库明细!$C$4:C849,出库明细!C849,出库明细!$D$4:D849,出库明细!D849)&gt;1),"",IFERROR(MATCH(出库明细!C849,总览汇总!$B$5:$B$304,0),900)*10000000+IFERROR(MATCH(出库明细!D849,基础资料!$E$5:$E$104,0),900)*10000+ROW()))</f>
      </c>
      <c r="F1849">
        <f>IF(AND(出库明细!C1849&lt;&gt;"",出库明细!C1849=客户对账单!$B$4,ISNUMBER(出库明细!B1849),出库明细!B1849&gt;=客户对账单!$G$4,出库明细!B1849&lt;=客户对账单!$I$4),出库明细!B1849+ROW()/100000,"")</f>
      </c>
      <c r="H1849">
        <f>IF(AND(资金台帐!K352&lt;&gt;"",资金台帐!K352=供应商对账单!$B$4,资金台帐!P352="应付",ISNUMBER(资金台帐!B352),资金台帐!B352&gt;=供应商对账单!$G$4,资金台帐!B352&lt;=供应商对账单!$I$4),资金台帐!B352+ROW()/100000,"")</f>
      </c>
      <c r="N1849">
        <f>IF(AND(ISNUMBER(出库明细!G1849),ISNUMBER(出库明细!E1849),ISNUMBER(出库明细!F1849)),IF(ABS(出库明细!G1849-出库明细!E1849*出库明细!F1849)&gt;0.005,1,0),0)</f>
        <v>0</v>
      </c>
    </row>
    <row r="1850">
      <c r="A1850">
        <f>IF(OR(出库明细!C850="",出库明细!D850=""),"",IF(OR(COUNTIFS(存条明细!$C$4:$C$1003,出库明细!C850,存条明细!$D$4:$D$1003,出库明细!D850)&gt;0,COUNTIFS(出库明细!$C$4:C850,出库明细!C850,出库明细!$D$4:D850,出库明细!D850)&gt;1),"",IFERROR(MATCH(出库明细!C850,总览汇总!$B$5:$B$304,0),900)*10000000+IFERROR(MATCH(出库明细!D850,基础资料!$E$5:$E$104,0),900)*10000+ROW()))</f>
      </c>
      <c r="F1850">
        <f>IF(AND(出库明细!C1850&lt;&gt;"",出库明细!C1850=客户对账单!$B$4,ISNUMBER(出库明细!B1850),出库明细!B1850&gt;=客户对账单!$G$4,出库明细!B1850&lt;=客户对账单!$I$4),出库明细!B1850+ROW()/100000,"")</f>
      </c>
      <c r="H1850">
        <f>IF(AND(资金台帐!K353&lt;&gt;"",资金台帐!K353=供应商对账单!$B$4,资金台帐!P353="应付",ISNUMBER(资金台帐!B353),资金台帐!B353&gt;=供应商对账单!$G$4,资金台帐!B353&lt;=供应商对账单!$I$4),资金台帐!B353+ROW()/100000,"")</f>
      </c>
      <c r="N1850">
        <f>IF(AND(ISNUMBER(出库明细!G1850),ISNUMBER(出库明细!E1850),ISNUMBER(出库明细!F1850)),IF(ABS(出库明细!G1850-出库明细!E1850*出库明细!F1850)&gt;0.005,1,0),0)</f>
        <v>0</v>
      </c>
    </row>
    <row r="1851">
      <c r="A1851">
        <f>IF(OR(出库明细!C851="",出库明细!D851=""),"",IF(OR(COUNTIFS(存条明细!$C$4:$C$1003,出库明细!C851,存条明细!$D$4:$D$1003,出库明细!D851)&gt;0,COUNTIFS(出库明细!$C$4:C851,出库明细!C851,出库明细!$D$4:D851,出库明细!D851)&gt;1),"",IFERROR(MATCH(出库明细!C851,总览汇总!$B$5:$B$304,0),900)*10000000+IFERROR(MATCH(出库明细!D851,基础资料!$E$5:$E$104,0),900)*10000+ROW()))</f>
      </c>
      <c r="F1851">
        <f>IF(AND(出库明细!C1851&lt;&gt;"",出库明细!C1851=客户对账单!$B$4,ISNUMBER(出库明细!B1851),出库明细!B1851&gt;=客户对账单!$G$4,出库明细!B1851&lt;=客户对账单!$I$4),出库明细!B1851+ROW()/100000,"")</f>
      </c>
      <c r="H1851">
        <f>IF(AND(资金台帐!K354&lt;&gt;"",资金台帐!K354=供应商对账单!$B$4,资金台帐!P354="应付",ISNUMBER(资金台帐!B354),资金台帐!B354&gt;=供应商对账单!$G$4,资金台帐!B354&lt;=供应商对账单!$I$4),资金台帐!B354+ROW()/100000,"")</f>
      </c>
      <c r="N1851">
        <f>IF(AND(ISNUMBER(出库明细!G1851),ISNUMBER(出库明细!E1851),ISNUMBER(出库明细!F1851)),IF(ABS(出库明细!G1851-出库明细!E1851*出库明细!F1851)&gt;0.005,1,0),0)</f>
        <v>0</v>
      </c>
    </row>
    <row r="1852">
      <c r="A1852">
        <f>IF(OR(出库明细!C852="",出库明细!D852=""),"",IF(OR(COUNTIFS(存条明细!$C$4:$C$1003,出库明细!C852,存条明细!$D$4:$D$1003,出库明细!D852)&gt;0,COUNTIFS(出库明细!$C$4:C852,出库明细!C852,出库明细!$D$4:D852,出库明细!D852)&gt;1),"",IFERROR(MATCH(出库明细!C852,总览汇总!$B$5:$B$304,0),900)*10000000+IFERROR(MATCH(出库明细!D852,基础资料!$E$5:$E$104,0),900)*10000+ROW()))</f>
      </c>
      <c r="F1852">
        <f>IF(AND(出库明细!C1852&lt;&gt;"",出库明细!C1852=客户对账单!$B$4,ISNUMBER(出库明细!B1852),出库明细!B1852&gt;=客户对账单!$G$4,出库明细!B1852&lt;=客户对账单!$I$4),出库明细!B1852+ROW()/100000,"")</f>
      </c>
      <c r="H1852">
        <f>IF(AND(资金台帐!K355&lt;&gt;"",资金台帐!K355=供应商对账单!$B$4,资金台帐!P355="应付",ISNUMBER(资金台帐!B355),资金台帐!B355&gt;=供应商对账单!$G$4,资金台帐!B355&lt;=供应商对账单!$I$4),资金台帐!B355+ROW()/100000,"")</f>
      </c>
      <c r="N1852">
        <f>IF(AND(ISNUMBER(出库明细!G1852),ISNUMBER(出库明细!E1852),ISNUMBER(出库明细!F1852)),IF(ABS(出库明细!G1852-出库明细!E1852*出库明细!F1852)&gt;0.005,1,0),0)</f>
        <v>0</v>
      </c>
    </row>
    <row r="1853">
      <c r="A1853">
        <f>IF(OR(出库明细!C853="",出库明细!D853=""),"",IF(OR(COUNTIFS(存条明细!$C$4:$C$1003,出库明细!C853,存条明细!$D$4:$D$1003,出库明细!D853)&gt;0,COUNTIFS(出库明细!$C$4:C853,出库明细!C853,出库明细!$D$4:D853,出库明细!D853)&gt;1),"",IFERROR(MATCH(出库明细!C853,总览汇总!$B$5:$B$304,0),900)*10000000+IFERROR(MATCH(出库明细!D853,基础资料!$E$5:$E$104,0),900)*10000+ROW()))</f>
      </c>
      <c r="F1853">
        <f>IF(AND(出库明细!C1853&lt;&gt;"",出库明细!C1853=客户对账单!$B$4,ISNUMBER(出库明细!B1853),出库明细!B1853&gt;=客户对账单!$G$4,出库明细!B1853&lt;=客户对账单!$I$4),出库明细!B1853+ROW()/100000,"")</f>
      </c>
      <c r="H1853">
        <f>IF(AND(资金台帐!K356&lt;&gt;"",资金台帐!K356=供应商对账单!$B$4,资金台帐!P356="应付",ISNUMBER(资金台帐!B356),资金台帐!B356&gt;=供应商对账单!$G$4,资金台帐!B356&lt;=供应商对账单!$I$4),资金台帐!B356+ROW()/100000,"")</f>
      </c>
      <c r="N1853">
        <f>IF(AND(ISNUMBER(出库明细!G1853),ISNUMBER(出库明细!E1853),ISNUMBER(出库明细!F1853)),IF(ABS(出库明细!G1853-出库明细!E1853*出库明细!F1853)&gt;0.005,1,0),0)</f>
        <v>0</v>
      </c>
    </row>
    <row r="1854">
      <c r="A1854">
        <f>IF(OR(出库明细!C854="",出库明细!D854=""),"",IF(OR(COUNTIFS(存条明细!$C$4:$C$1003,出库明细!C854,存条明细!$D$4:$D$1003,出库明细!D854)&gt;0,COUNTIFS(出库明细!$C$4:C854,出库明细!C854,出库明细!$D$4:D854,出库明细!D854)&gt;1),"",IFERROR(MATCH(出库明细!C854,总览汇总!$B$5:$B$304,0),900)*10000000+IFERROR(MATCH(出库明细!D854,基础资料!$E$5:$E$104,0),900)*10000+ROW()))</f>
      </c>
      <c r="F1854">
        <f>IF(AND(出库明细!C1854&lt;&gt;"",出库明细!C1854=客户对账单!$B$4,ISNUMBER(出库明细!B1854),出库明细!B1854&gt;=客户对账单!$G$4,出库明细!B1854&lt;=客户对账单!$I$4),出库明细!B1854+ROW()/100000,"")</f>
      </c>
      <c r="H1854">
        <f>IF(AND(资金台帐!K357&lt;&gt;"",资金台帐!K357=供应商对账单!$B$4,资金台帐!P357="应付",ISNUMBER(资金台帐!B357),资金台帐!B357&gt;=供应商对账单!$G$4,资金台帐!B357&lt;=供应商对账单!$I$4),资金台帐!B357+ROW()/100000,"")</f>
      </c>
      <c r="N1854">
        <f>IF(AND(ISNUMBER(出库明细!G1854),ISNUMBER(出库明细!E1854),ISNUMBER(出库明细!F1854)),IF(ABS(出库明细!G1854-出库明细!E1854*出库明细!F1854)&gt;0.005,1,0),0)</f>
        <v>0</v>
      </c>
    </row>
    <row r="1855">
      <c r="A1855">
        <f>IF(OR(出库明细!C855="",出库明细!D855=""),"",IF(OR(COUNTIFS(存条明细!$C$4:$C$1003,出库明细!C855,存条明细!$D$4:$D$1003,出库明细!D855)&gt;0,COUNTIFS(出库明细!$C$4:C855,出库明细!C855,出库明细!$D$4:D855,出库明细!D855)&gt;1),"",IFERROR(MATCH(出库明细!C855,总览汇总!$B$5:$B$304,0),900)*10000000+IFERROR(MATCH(出库明细!D855,基础资料!$E$5:$E$104,0),900)*10000+ROW()))</f>
      </c>
      <c r="F1855">
        <f>IF(AND(出库明细!C1855&lt;&gt;"",出库明细!C1855=客户对账单!$B$4,ISNUMBER(出库明细!B1855),出库明细!B1855&gt;=客户对账单!$G$4,出库明细!B1855&lt;=客户对账单!$I$4),出库明细!B1855+ROW()/100000,"")</f>
      </c>
      <c r="H1855">
        <f>IF(AND(资金台帐!K358&lt;&gt;"",资金台帐!K358=供应商对账单!$B$4,资金台帐!P358="应付",ISNUMBER(资金台帐!B358),资金台帐!B358&gt;=供应商对账单!$G$4,资金台帐!B358&lt;=供应商对账单!$I$4),资金台帐!B358+ROW()/100000,"")</f>
      </c>
      <c r="N1855">
        <f>IF(AND(ISNUMBER(出库明细!G1855),ISNUMBER(出库明细!E1855),ISNUMBER(出库明细!F1855)),IF(ABS(出库明细!G1855-出库明细!E1855*出库明细!F1855)&gt;0.005,1,0),0)</f>
        <v>0</v>
      </c>
    </row>
    <row r="1856">
      <c r="A1856">
        <f>IF(OR(出库明细!C856="",出库明细!D856=""),"",IF(OR(COUNTIFS(存条明细!$C$4:$C$1003,出库明细!C856,存条明细!$D$4:$D$1003,出库明细!D856)&gt;0,COUNTIFS(出库明细!$C$4:C856,出库明细!C856,出库明细!$D$4:D856,出库明细!D856)&gt;1),"",IFERROR(MATCH(出库明细!C856,总览汇总!$B$5:$B$304,0),900)*10000000+IFERROR(MATCH(出库明细!D856,基础资料!$E$5:$E$104,0),900)*10000+ROW()))</f>
      </c>
      <c r="F1856">
        <f>IF(AND(出库明细!C1856&lt;&gt;"",出库明细!C1856=客户对账单!$B$4,ISNUMBER(出库明细!B1856),出库明细!B1856&gt;=客户对账单!$G$4,出库明细!B1856&lt;=客户对账单!$I$4),出库明细!B1856+ROW()/100000,"")</f>
      </c>
      <c r="H1856">
        <f>IF(AND(资金台帐!K359&lt;&gt;"",资金台帐!K359=供应商对账单!$B$4,资金台帐!P359="应付",ISNUMBER(资金台帐!B359),资金台帐!B359&gt;=供应商对账单!$G$4,资金台帐!B359&lt;=供应商对账单!$I$4),资金台帐!B359+ROW()/100000,"")</f>
      </c>
      <c r="N1856">
        <f>IF(AND(ISNUMBER(出库明细!G1856),ISNUMBER(出库明细!E1856),ISNUMBER(出库明细!F1856)),IF(ABS(出库明细!G1856-出库明细!E1856*出库明细!F1856)&gt;0.005,1,0),0)</f>
        <v>0</v>
      </c>
    </row>
    <row r="1857">
      <c r="A1857">
        <f>IF(OR(出库明细!C857="",出库明细!D857=""),"",IF(OR(COUNTIFS(存条明细!$C$4:$C$1003,出库明细!C857,存条明细!$D$4:$D$1003,出库明细!D857)&gt;0,COUNTIFS(出库明细!$C$4:C857,出库明细!C857,出库明细!$D$4:D857,出库明细!D857)&gt;1),"",IFERROR(MATCH(出库明细!C857,总览汇总!$B$5:$B$304,0),900)*10000000+IFERROR(MATCH(出库明细!D857,基础资料!$E$5:$E$104,0),900)*10000+ROW()))</f>
      </c>
      <c r="F1857">
        <f>IF(AND(出库明细!C1857&lt;&gt;"",出库明细!C1857=客户对账单!$B$4,ISNUMBER(出库明细!B1857),出库明细!B1857&gt;=客户对账单!$G$4,出库明细!B1857&lt;=客户对账单!$I$4),出库明细!B1857+ROW()/100000,"")</f>
      </c>
      <c r="H1857">
        <f>IF(AND(资金台帐!K360&lt;&gt;"",资金台帐!K360=供应商对账单!$B$4,资金台帐!P360="应付",ISNUMBER(资金台帐!B360),资金台帐!B360&gt;=供应商对账单!$G$4,资金台帐!B360&lt;=供应商对账单!$I$4),资金台帐!B360+ROW()/100000,"")</f>
      </c>
      <c r="N1857">
        <f>IF(AND(ISNUMBER(出库明细!G1857),ISNUMBER(出库明细!E1857),ISNUMBER(出库明细!F1857)),IF(ABS(出库明细!G1857-出库明细!E1857*出库明细!F1857)&gt;0.005,1,0),0)</f>
        <v>0</v>
      </c>
    </row>
    <row r="1858">
      <c r="A1858">
        <f>IF(OR(出库明细!C858="",出库明细!D858=""),"",IF(OR(COUNTIFS(存条明细!$C$4:$C$1003,出库明细!C858,存条明细!$D$4:$D$1003,出库明细!D858)&gt;0,COUNTIFS(出库明细!$C$4:C858,出库明细!C858,出库明细!$D$4:D858,出库明细!D858)&gt;1),"",IFERROR(MATCH(出库明细!C858,总览汇总!$B$5:$B$304,0),900)*10000000+IFERROR(MATCH(出库明细!D858,基础资料!$E$5:$E$104,0),900)*10000+ROW()))</f>
      </c>
      <c r="F1858">
        <f>IF(AND(出库明细!C1858&lt;&gt;"",出库明细!C1858=客户对账单!$B$4,ISNUMBER(出库明细!B1858),出库明细!B1858&gt;=客户对账单!$G$4,出库明细!B1858&lt;=客户对账单!$I$4),出库明细!B1858+ROW()/100000,"")</f>
      </c>
      <c r="H1858">
        <f>IF(AND(资金台帐!K361&lt;&gt;"",资金台帐!K361=供应商对账单!$B$4,资金台帐!P361="应付",ISNUMBER(资金台帐!B361),资金台帐!B361&gt;=供应商对账单!$G$4,资金台帐!B361&lt;=供应商对账单!$I$4),资金台帐!B361+ROW()/100000,"")</f>
      </c>
      <c r="N1858">
        <f>IF(AND(ISNUMBER(出库明细!G1858),ISNUMBER(出库明细!E1858),ISNUMBER(出库明细!F1858)),IF(ABS(出库明细!G1858-出库明细!E1858*出库明细!F1858)&gt;0.005,1,0),0)</f>
        <v>0</v>
      </c>
    </row>
    <row r="1859">
      <c r="A1859">
        <f>IF(OR(出库明细!C859="",出库明细!D859=""),"",IF(OR(COUNTIFS(存条明细!$C$4:$C$1003,出库明细!C859,存条明细!$D$4:$D$1003,出库明细!D859)&gt;0,COUNTIFS(出库明细!$C$4:C859,出库明细!C859,出库明细!$D$4:D859,出库明细!D859)&gt;1),"",IFERROR(MATCH(出库明细!C859,总览汇总!$B$5:$B$304,0),900)*10000000+IFERROR(MATCH(出库明细!D859,基础资料!$E$5:$E$104,0),900)*10000+ROW()))</f>
      </c>
      <c r="F1859">
        <f>IF(AND(出库明细!C1859&lt;&gt;"",出库明细!C1859=客户对账单!$B$4,ISNUMBER(出库明细!B1859),出库明细!B1859&gt;=客户对账单!$G$4,出库明细!B1859&lt;=客户对账单!$I$4),出库明细!B1859+ROW()/100000,"")</f>
      </c>
      <c r="H1859">
        <f>IF(AND(资金台帐!K362&lt;&gt;"",资金台帐!K362=供应商对账单!$B$4,资金台帐!P362="应付",ISNUMBER(资金台帐!B362),资金台帐!B362&gt;=供应商对账单!$G$4,资金台帐!B362&lt;=供应商对账单!$I$4),资金台帐!B362+ROW()/100000,"")</f>
      </c>
      <c r="N1859">
        <f>IF(AND(ISNUMBER(出库明细!G1859),ISNUMBER(出库明细!E1859),ISNUMBER(出库明细!F1859)),IF(ABS(出库明细!G1859-出库明细!E1859*出库明细!F1859)&gt;0.005,1,0),0)</f>
        <v>0</v>
      </c>
    </row>
    <row r="1860">
      <c r="A1860">
        <f>IF(OR(出库明细!C860="",出库明细!D860=""),"",IF(OR(COUNTIFS(存条明细!$C$4:$C$1003,出库明细!C860,存条明细!$D$4:$D$1003,出库明细!D860)&gt;0,COUNTIFS(出库明细!$C$4:C860,出库明细!C860,出库明细!$D$4:D860,出库明细!D860)&gt;1),"",IFERROR(MATCH(出库明细!C860,总览汇总!$B$5:$B$304,0),900)*10000000+IFERROR(MATCH(出库明细!D860,基础资料!$E$5:$E$104,0),900)*10000+ROW()))</f>
      </c>
      <c r="F1860">
        <f>IF(AND(出库明细!C1860&lt;&gt;"",出库明细!C1860=客户对账单!$B$4,ISNUMBER(出库明细!B1860),出库明细!B1860&gt;=客户对账单!$G$4,出库明细!B1860&lt;=客户对账单!$I$4),出库明细!B1860+ROW()/100000,"")</f>
      </c>
      <c r="H1860">
        <f>IF(AND(资金台帐!K363&lt;&gt;"",资金台帐!K363=供应商对账单!$B$4,资金台帐!P363="应付",ISNUMBER(资金台帐!B363),资金台帐!B363&gt;=供应商对账单!$G$4,资金台帐!B363&lt;=供应商对账单!$I$4),资金台帐!B363+ROW()/100000,"")</f>
      </c>
      <c r="N1860">
        <f>IF(AND(ISNUMBER(出库明细!G1860),ISNUMBER(出库明细!E1860),ISNUMBER(出库明细!F1860)),IF(ABS(出库明细!G1860-出库明细!E1860*出库明细!F1860)&gt;0.005,1,0),0)</f>
        <v>0</v>
      </c>
    </row>
    <row r="1861">
      <c r="A1861">
        <f>IF(OR(出库明细!C861="",出库明细!D861=""),"",IF(OR(COUNTIFS(存条明细!$C$4:$C$1003,出库明细!C861,存条明细!$D$4:$D$1003,出库明细!D861)&gt;0,COUNTIFS(出库明细!$C$4:C861,出库明细!C861,出库明细!$D$4:D861,出库明细!D861)&gt;1),"",IFERROR(MATCH(出库明细!C861,总览汇总!$B$5:$B$304,0),900)*10000000+IFERROR(MATCH(出库明细!D861,基础资料!$E$5:$E$104,0),900)*10000+ROW()))</f>
      </c>
      <c r="F1861">
        <f>IF(AND(出库明细!C1861&lt;&gt;"",出库明细!C1861=客户对账单!$B$4,ISNUMBER(出库明细!B1861),出库明细!B1861&gt;=客户对账单!$G$4,出库明细!B1861&lt;=客户对账单!$I$4),出库明细!B1861+ROW()/100000,"")</f>
      </c>
      <c r="H1861">
        <f>IF(AND(资金台帐!K364&lt;&gt;"",资金台帐!K364=供应商对账单!$B$4,资金台帐!P364="应付",ISNUMBER(资金台帐!B364),资金台帐!B364&gt;=供应商对账单!$G$4,资金台帐!B364&lt;=供应商对账单!$I$4),资金台帐!B364+ROW()/100000,"")</f>
      </c>
      <c r="N1861">
        <f>IF(AND(ISNUMBER(出库明细!G1861),ISNUMBER(出库明细!E1861),ISNUMBER(出库明细!F1861)),IF(ABS(出库明细!G1861-出库明细!E1861*出库明细!F1861)&gt;0.005,1,0),0)</f>
        <v>0</v>
      </c>
    </row>
    <row r="1862">
      <c r="A1862">
        <f>IF(OR(出库明细!C862="",出库明细!D862=""),"",IF(OR(COUNTIFS(存条明细!$C$4:$C$1003,出库明细!C862,存条明细!$D$4:$D$1003,出库明细!D862)&gt;0,COUNTIFS(出库明细!$C$4:C862,出库明细!C862,出库明细!$D$4:D862,出库明细!D862)&gt;1),"",IFERROR(MATCH(出库明细!C862,总览汇总!$B$5:$B$304,0),900)*10000000+IFERROR(MATCH(出库明细!D862,基础资料!$E$5:$E$104,0),900)*10000+ROW()))</f>
      </c>
      <c r="F1862">
        <f>IF(AND(出库明细!C1862&lt;&gt;"",出库明细!C1862=客户对账单!$B$4,ISNUMBER(出库明细!B1862),出库明细!B1862&gt;=客户对账单!$G$4,出库明细!B1862&lt;=客户对账单!$I$4),出库明细!B1862+ROW()/100000,"")</f>
      </c>
      <c r="H1862">
        <f>IF(AND(资金台帐!K365&lt;&gt;"",资金台帐!K365=供应商对账单!$B$4,资金台帐!P365="应付",ISNUMBER(资金台帐!B365),资金台帐!B365&gt;=供应商对账单!$G$4,资金台帐!B365&lt;=供应商对账单!$I$4),资金台帐!B365+ROW()/100000,"")</f>
      </c>
      <c r="N1862">
        <f>IF(AND(ISNUMBER(出库明细!G1862),ISNUMBER(出库明细!E1862),ISNUMBER(出库明细!F1862)),IF(ABS(出库明细!G1862-出库明细!E1862*出库明细!F1862)&gt;0.005,1,0),0)</f>
        <v>0</v>
      </c>
    </row>
    <row r="1863">
      <c r="A1863">
        <f>IF(OR(出库明细!C863="",出库明细!D863=""),"",IF(OR(COUNTIFS(存条明细!$C$4:$C$1003,出库明细!C863,存条明细!$D$4:$D$1003,出库明细!D863)&gt;0,COUNTIFS(出库明细!$C$4:C863,出库明细!C863,出库明细!$D$4:D863,出库明细!D863)&gt;1),"",IFERROR(MATCH(出库明细!C863,总览汇总!$B$5:$B$304,0),900)*10000000+IFERROR(MATCH(出库明细!D863,基础资料!$E$5:$E$104,0),900)*10000+ROW()))</f>
      </c>
      <c r="F1863">
        <f>IF(AND(出库明细!C1863&lt;&gt;"",出库明细!C1863=客户对账单!$B$4,ISNUMBER(出库明细!B1863),出库明细!B1863&gt;=客户对账单!$G$4,出库明细!B1863&lt;=客户对账单!$I$4),出库明细!B1863+ROW()/100000,"")</f>
      </c>
      <c r="H1863">
        <f>IF(AND(资金台帐!K366&lt;&gt;"",资金台帐!K366=供应商对账单!$B$4,资金台帐!P366="应付",ISNUMBER(资金台帐!B366),资金台帐!B366&gt;=供应商对账单!$G$4,资金台帐!B366&lt;=供应商对账单!$I$4),资金台帐!B366+ROW()/100000,"")</f>
      </c>
      <c r="N1863">
        <f>IF(AND(ISNUMBER(出库明细!G1863),ISNUMBER(出库明细!E1863),ISNUMBER(出库明细!F1863)),IF(ABS(出库明细!G1863-出库明细!E1863*出库明细!F1863)&gt;0.005,1,0),0)</f>
        <v>0</v>
      </c>
    </row>
    <row r="1864">
      <c r="A1864">
        <f>IF(OR(出库明细!C864="",出库明细!D864=""),"",IF(OR(COUNTIFS(存条明细!$C$4:$C$1003,出库明细!C864,存条明细!$D$4:$D$1003,出库明细!D864)&gt;0,COUNTIFS(出库明细!$C$4:C864,出库明细!C864,出库明细!$D$4:D864,出库明细!D864)&gt;1),"",IFERROR(MATCH(出库明细!C864,总览汇总!$B$5:$B$304,0),900)*10000000+IFERROR(MATCH(出库明细!D864,基础资料!$E$5:$E$104,0),900)*10000+ROW()))</f>
      </c>
      <c r="F1864">
        <f>IF(AND(出库明细!C1864&lt;&gt;"",出库明细!C1864=客户对账单!$B$4,ISNUMBER(出库明细!B1864),出库明细!B1864&gt;=客户对账单!$G$4,出库明细!B1864&lt;=客户对账单!$I$4),出库明细!B1864+ROW()/100000,"")</f>
      </c>
      <c r="H1864">
        <f>IF(AND(资金台帐!K367&lt;&gt;"",资金台帐!K367=供应商对账单!$B$4,资金台帐!P367="应付",ISNUMBER(资金台帐!B367),资金台帐!B367&gt;=供应商对账单!$G$4,资金台帐!B367&lt;=供应商对账单!$I$4),资金台帐!B367+ROW()/100000,"")</f>
      </c>
      <c r="N1864">
        <f>IF(AND(ISNUMBER(出库明细!G1864),ISNUMBER(出库明细!E1864),ISNUMBER(出库明细!F1864)),IF(ABS(出库明细!G1864-出库明细!E1864*出库明细!F1864)&gt;0.005,1,0),0)</f>
        <v>0</v>
      </c>
    </row>
    <row r="1865">
      <c r="A1865">
        <f>IF(OR(出库明细!C865="",出库明细!D865=""),"",IF(OR(COUNTIFS(存条明细!$C$4:$C$1003,出库明细!C865,存条明细!$D$4:$D$1003,出库明细!D865)&gt;0,COUNTIFS(出库明细!$C$4:C865,出库明细!C865,出库明细!$D$4:D865,出库明细!D865)&gt;1),"",IFERROR(MATCH(出库明细!C865,总览汇总!$B$5:$B$304,0),900)*10000000+IFERROR(MATCH(出库明细!D865,基础资料!$E$5:$E$104,0),900)*10000+ROW()))</f>
      </c>
      <c r="F1865">
        <f>IF(AND(出库明细!C1865&lt;&gt;"",出库明细!C1865=客户对账单!$B$4,ISNUMBER(出库明细!B1865),出库明细!B1865&gt;=客户对账单!$G$4,出库明细!B1865&lt;=客户对账单!$I$4),出库明细!B1865+ROW()/100000,"")</f>
      </c>
      <c r="H1865">
        <f>IF(AND(资金台帐!K368&lt;&gt;"",资金台帐!K368=供应商对账单!$B$4,资金台帐!P368="应付",ISNUMBER(资金台帐!B368),资金台帐!B368&gt;=供应商对账单!$G$4,资金台帐!B368&lt;=供应商对账单!$I$4),资金台帐!B368+ROW()/100000,"")</f>
      </c>
      <c r="N1865">
        <f>IF(AND(ISNUMBER(出库明细!G1865),ISNUMBER(出库明细!E1865),ISNUMBER(出库明细!F1865)),IF(ABS(出库明细!G1865-出库明细!E1865*出库明细!F1865)&gt;0.005,1,0),0)</f>
        <v>0</v>
      </c>
    </row>
    <row r="1866">
      <c r="A1866">
        <f>IF(OR(出库明细!C866="",出库明细!D866=""),"",IF(OR(COUNTIFS(存条明细!$C$4:$C$1003,出库明细!C866,存条明细!$D$4:$D$1003,出库明细!D866)&gt;0,COUNTIFS(出库明细!$C$4:C866,出库明细!C866,出库明细!$D$4:D866,出库明细!D866)&gt;1),"",IFERROR(MATCH(出库明细!C866,总览汇总!$B$5:$B$304,0),900)*10000000+IFERROR(MATCH(出库明细!D866,基础资料!$E$5:$E$104,0),900)*10000+ROW()))</f>
      </c>
      <c r="F1866">
        <f>IF(AND(出库明细!C1866&lt;&gt;"",出库明细!C1866=客户对账单!$B$4,ISNUMBER(出库明细!B1866),出库明细!B1866&gt;=客户对账单!$G$4,出库明细!B1866&lt;=客户对账单!$I$4),出库明细!B1866+ROW()/100000,"")</f>
      </c>
      <c r="H1866">
        <f>IF(AND(资金台帐!K369&lt;&gt;"",资金台帐!K369=供应商对账单!$B$4,资金台帐!P369="应付",ISNUMBER(资金台帐!B369),资金台帐!B369&gt;=供应商对账单!$G$4,资金台帐!B369&lt;=供应商对账单!$I$4),资金台帐!B369+ROW()/100000,"")</f>
      </c>
      <c r="N1866">
        <f>IF(AND(ISNUMBER(出库明细!G1866),ISNUMBER(出库明细!E1866),ISNUMBER(出库明细!F1866)),IF(ABS(出库明细!G1866-出库明细!E1866*出库明细!F1866)&gt;0.005,1,0),0)</f>
        <v>0</v>
      </c>
    </row>
    <row r="1867">
      <c r="A1867">
        <f>IF(OR(出库明细!C867="",出库明细!D867=""),"",IF(OR(COUNTIFS(存条明细!$C$4:$C$1003,出库明细!C867,存条明细!$D$4:$D$1003,出库明细!D867)&gt;0,COUNTIFS(出库明细!$C$4:C867,出库明细!C867,出库明细!$D$4:D867,出库明细!D867)&gt;1),"",IFERROR(MATCH(出库明细!C867,总览汇总!$B$5:$B$304,0),900)*10000000+IFERROR(MATCH(出库明细!D867,基础资料!$E$5:$E$104,0),900)*10000+ROW()))</f>
      </c>
      <c r="F1867">
        <f>IF(AND(出库明细!C1867&lt;&gt;"",出库明细!C1867=客户对账单!$B$4,ISNUMBER(出库明细!B1867),出库明细!B1867&gt;=客户对账单!$G$4,出库明细!B1867&lt;=客户对账单!$I$4),出库明细!B1867+ROW()/100000,"")</f>
      </c>
      <c r="H1867">
        <f>IF(AND(资金台帐!K370&lt;&gt;"",资金台帐!K370=供应商对账单!$B$4,资金台帐!P370="应付",ISNUMBER(资金台帐!B370),资金台帐!B370&gt;=供应商对账单!$G$4,资金台帐!B370&lt;=供应商对账单!$I$4),资金台帐!B370+ROW()/100000,"")</f>
      </c>
      <c r="N1867">
        <f>IF(AND(ISNUMBER(出库明细!G1867),ISNUMBER(出库明细!E1867),ISNUMBER(出库明细!F1867)),IF(ABS(出库明细!G1867-出库明细!E1867*出库明细!F1867)&gt;0.005,1,0),0)</f>
        <v>0</v>
      </c>
    </row>
    <row r="1868">
      <c r="A1868">
        <f>IF(OR(出库明细!C868="",出库明细!D868=""),"",IF(OR(COUNTIFS(存条明细!$C$4:$C$1003,出库明细!C868,存条明细!$D$4:$D$1003,出库明细!D868)&gt;0,COUNTIFS(出库明细!$C$4:C868,出库明细!C868,出库明细!$D$4:D868,出库明细!D868)&gt;1),"",IFERROR(MATCH(出库明细!C868,总览汇总!$B$5:$B$304,0),900)*10000000+IFERROR(MATCH(出库明细!D868,基础资料!$E$5:$E$104,0),900)*10000+ROW()))</f>
      </c>
      <c r="F1868">
        <f>IF(AND(出库明细!C1868&lt;&gt;"",出库明细!C1868=客户对账单!$B$4,ISNUMBER(出库明细!B1868),出库明细!B1868&gt;=客户对账单!$G$4,出库明细!B1868&lt;=客户对账单!$I$4),出库明细!B1868+ROW()/100000,"")</f>
      </c>
      <c r="H1868">
        <f>IF(AND(资金台帐!K371&lt;&gt;"",资金台帐!K371=供应商对账单!$B$4,资金台帐!P371="应付",ISNUMBER(资金台帐!B371),资金台帐!B371&gt;=供应商对账单!$G$4,资金台帐!B371&lt;=供应商对账单!$I$4),资金台帐!B371+ROW()/100000,"")</f>
      </c>
      <c r="N1868">
        <f>IF(AND(ISNUMBER(出库明细!G1868),ISNUMBER(出库明细!E1868),ISNUMBER(出库明细!F1868)),IF(ABS(出库明细!G1868-出库明细!E1868*出库明细!F1868)&gt;0.005,1,0),0)</f>
        <v>0</v>
      </c>
    </row>
    <row r="1869">
      <c r="A1869">
        <f>IF(OR(出库明细!C869="",出库明细!D869=""),"",IF(OR(COUNTIFS(存条明细!$C$4:$C$1003,出库明细!C869,存条明细!$D$4:$D$1003,出库明细!D869)&gt;0,COUNTIFS(出库明细!$C$4:C869,出库明细!C869,出库明细!$D$4:D869,出库明细!D869)&gt;1),"",IFERROR(MATCH(出库明细!C869,总览汇总!$B$5:$B$304,0),900)*10000000+IFERROR(MATCH(出库明细!D869,基础资料!$E$5:$E$104,0),900)*10000+ROW()))</f>
      </c>
      <c r="F1869">
        <f>IF(AND(出库明细!C1869&lt;&gt;"",出库明细!C1869=客户对账单!$B$4,ISNUMBER(出库明细!B1869),出库明细!B1869&gt;=客户对账单!$G$4,出库明细!B1869&lt;=客户对账单!$I$4),出库明细!B1869+ROW()/100000,"")</f>
      </c>
      <c r="H1869">
        <f>IF(AND(资金台帐!K372&lt;&gt;"",资金台帐!K372=供应商对账单!$B$4,资金台帐!P372="应付",ISNUMBER(资金台帐!B372),资金台帐!B372&gt;=供应商对账单!$G$4,资金台帐!B372&lt;=供应商对账单!$I$4),资金台帐!B372+ROW()/100000,"")</f>
      </c>
      <c r="N1869">
        <f>IF(AND(ISNUMBER(出库明细!G1869),ISNUMBER(出库明细!E1869),ISNUMBER(出库明细!F1869)),IF(ABS(出库明细!G1869-出库明细!E1869*出库明细!F1869)&gt;0.005,1,0),0)</f>
        <v>0</v>
      </c>
    </row>
    <row r="1870">
      <c r="A1870">
        <f>IF(OR(出库明细!C870="",出库明细!D870=""),"",IF(OR(COUNTIFS(存条明细!$C$4:$C$1003,出库明细!C870,存条明细!$D$4:$D$1003,出库明细!D870)&gt;0,COUNTIFS(出库明细!$C$4:C870,出库明细!C870,出库明细!$D$4:D870,出库明细!D870)&gt;1),"",IFERROR(MATCH(出库明细!C870,总览汇总!$B$5:$B$304,0),900)*10000000+IFERROR(MATCH(出库明细!D870,基础资料!$E$5:$E$104,0),900)*10000+ROW()))</f>
      </c>
      <c r="F1870">
        <f>IF(AND(出库明细!C1870&lt;&gt;"",出库明细!C1870=客户对账单!$B$4,ISNUMBER(出库明细!B1870),出库明细!B1870&gt;=客户对账单!$G$4,出库明细!B1870&lt;=客户对账单!$I$4),出库明细!B1870+ROW()/100000,"")</f>
      </c>
      <c r="H1870">
        <f>IF(AND(资金台帐!K373&lt;&gt;"",资金台帐!K373=供应商对账单!$B$4,资金台帐!P373="应付",ISNUMBER(资金台帐!B373),资金台帐!B373&gt;=供应商对账单!$G$4,资金台帐!B373&lt;=供应商对账单!$I$4),资金台帐!B373+ROW()/100000,"")</f>
      </c>
      <c r="N1870">
        <f>IF(AND(ISNUMBER(出库明细!G1870),ISNUMBER(出库明细!E1870),ISNUMBER(出库明细!F1870)),IF(ABS(出库明细!G1870-出库明细!E1870*出库明细!F1870)&gt;0.005,1,0),0)</f>
        <v>0</v>
      </c>
    </row>
    <row r="1871">
      <c r="A1871">
        <f>IF(OR(出库明细!C871="",出库明细!D871=""),"",IF(OR(COUNTIFS(存条明细!$C$4:$C$1003,出库明细!C871,存条明细!$D$4:$D$1003,出库明细!D871)&gt;0,COUNTIFS(出库明细!$C$4:C871,出库明细!C871,出库明细!$D$4:D871,出库明细!D871)&gt;1),"",IFERROR(MATCH(出库明细!C871,总览汇总!$B$5:$B$304,0),900)*10000000+IFERROR(MATCH(出库明细!D871,基础资料!$E$5:$E$104,0),900)*10000+ROW()))</f>
      </c>
      <c r="F1871">
        <f>IF(AND(出库明细!C1871&lt;&gt;"",出库明细!C1871=客户对账单!$B$4,ISNUMBER(出库明细!B1871),出库明细!B1871&gt;=客户对账单!$G$4,出库明细!B1871&lt;=客户对账单!$I$4),出库明细!B1871+ROW()/100000,"")</f>
      </c>
      <c r="H1871">
        <f>IF(AND(资金台帐!K374&lt;&gt;"",资金台帐!K374=供应商对账单!$B$4,资金台帐!P374="应付",ISNUMBER(资金台帐!B374),资金台帐!B374&gt;=供应商对账单!$G$4,资金台帐!B374&lt;=供应商对账单!$I$4),资金台帐!B374+ROW()/100000,"")</f>
      </c>
      <c r="N1871">
        <f>IF(AND(ISNUMBER(出库明细!G1871),ISNUMBER(出库明细!E1871),ISNUMBER(出库明细!F1871)),IF(ABS(出库明细!G1871-出库明细!E1871*出库明细!F1871)&gt;0.005,1,0),0)</f>
        <v>0</v>
      </c>
    </row>
    <row r="1872">
      <c r="A1872">
        <f>IF(OR(出库明细!C872="",出库明细!D872=""),"",IF(OR(COUNTIFS(存条明细!$C$4:$C$1003,出库明细!C872,存条明细!$D$4:$D$1003,出库明细!D872)&gt;0,COUNTIFS(出库明细!$C$4:C872,出库明细!C872,出库明细!$D$4:D872,出库明细!D872)&gt;1),"",IFERROR(MATCH(出库明细!C872,总览汇总!$B$5:$B$304,0),900)*10000000+IFERROR(MATCH(出库明细!D872,基础资料!$E$5:$E$104,0),900)*10000+ROW()))</f>
      </c>
      <c r="F1872">
        <f>IF(AND(出库明细!C1872&lt;&gt;"",出库明细!C1872=客户对账单!$B$4,ISNUMBER(出库明细!B1872),出库明细!B1872&gt;=客户对账单!$G$4,出库明细!B1872&lt;=客户对账单!$I$4),出库明细!B1872+ROW()/100000,"")</f>
      </c>
      <c r="H1872">
        <f>IF(AND(资金台帐!K375&lt;&gt;"",资金台帐!K375=供应商对账单!$B$4,资金台帐!P375="应付",ISNUMBER(资金台帐!B375),资金台帐!B375&gt;=供应商对账单!$G$4,资金台帐!B375&lt;=供应商对账单!$I$4),资金台帐!B375+ROW()/100000,"")</f>
      </c>
      <c r="N1872">
        <f>IF(AND(ISNUMBER(出库明细!G1872),ISNUMBER(出库明细!E1872),ISNUMBER(出库明细!F1872)),IF(ABS(出库明细!G1872-出库明细!E1872*出库明细!F1872)&gt;0.005,1,0),0)</f>
        <v>0</v>
      </c>
    </row>
    <row r="1873">
      <c r="A1873">
        <f>IF(OR(出库明细!C873="",出库明细!D873=""),"",IF(OR(COUNTIFS(存条明细!$C$4:$C$1003,出库明细!C873,存条明细!$D$4:$D$1003,出库明细!D873)&gt;0,COUNTIFS(出库明细!$C$4:C873,出库明细!C873,出库明细!$D$4:D873,出库明细!D873)&gt;1),"",IFERROR(MATCH(出库明细!C873,总览汇总!$B$5:$B$304,0),900)*10000000+IFERROR(MATCH(出库明细!D873,基础资料!$E$5:$E$104,0),900)*10000+ROW()))</f>
      </c>
      <c r="F1873">
        <f>IF(AND(出库明细!C1873&lt;&gt;"",出库明细!C1873=客户对账单!$B$4,ISNUMBER(出库明细!B1873),出库明细!B1873&gt;=客户对账单!$G$4,出库明细!B1873&lt;=客户对账单!$I$4),出库明细!B1873+ROW()/100000,"")</f>
      </c>
      <c r="H1873">
        <f>IF(AND(资金台帐!K376&lt;&gt;"",资金台帐!K376=供应商对账单!$B$4,资金台帐!P376="应付",ISNUMBER(资金台帐!B376),资金台帐!B376&gt;=供应商对账单!$G$4,资金台帐!B376&lt;=供应商对账单!$I$4),资金台帐!B376+ROW()/100000,"")</f>
      </c>
      <c r="N1873">
        <f>IF(AND(ISNUMBER(出库明细!G1873),ISNUMBER(出库明细!E1873),ISNUMBER(出库明细!F1873)),IF(ABS(出库明细!G1873-出库明细!E1873*出库明细!F1873)&gt;0.005,1,0),0)</f>
        <v>0</v>
      </c>
    </row>
    <row r="1874">
      <c r="A1874">
        <f>IF(OR(出库明细!C874="",出库明细!D874=""),"",IF(OR(COUNTIFS(存条明细!$C$4:$C$1003,出库明细!C874,存条明细!$D$4:$D$1003,出库明细!D874)&gt;0,COUNTIFS(出库明细!$C$4:C874,出库明细!C874,出库明细!$D$4:D874,出库明细!D874)&gt;1),"",IFERROR(MATCH(出库明细!C874,总览汇总!$B$5:$B$304,0),900)*10000000+IFERROR(MATCH(出库明细!D874,基础资料!$E$5:$E$104,0),900)*10000+ROW()))</f>
      </c>
      <c r="F1874">
        <f>IF(AND(出库明细!C1874&lt;&gt;"",出库明细!C1874=客户对账单!$B$4,ISNUMBER(出库明细!B1874),出库明细!B1874&gt;=客户对账单!$G$4,出库明细!B1874&lt;=客户对账单!$I$4),出库明细!B1874+ROW()/100000,"")</f>
      </c>
      <c r="H1874">
        <f>IF(AND(资金台帐!K377&lt;&gt;"",资金台帐!K377=供应商对账单!$B$4,资金台帐!P377="应付",ISNUMBER(资金台帐!B377),资金台帐!B377&gt;=供应商对账单!$G$4,资金台帐!B377&lt;=供应商对账单!$I$4),资金台帐!B377+ROW()/100000,"")</f>
      </c>
      <c r="N1874">
        <f>IF(AND(ISNUMBER(出库明细!G1874),ISNUMBER(出库明细!E1874),ISNUMBER(出库明细!F1874)),IF(ABS(出库明细!G1874-出库明细!E1874*出库明细!F1874)&gt;0.005,1,0),0)</f>
        <v>0</v>
      </c>
    </row>
    <row r="1875">
      <c r="A1875">
        <f>IF(OR(出库明细!C875="",出库明细!D875=""),"",IF(OR(COUNTIFS(存条明细!$C$4:$C$1003,出库明细!C875,存条明细!$D$4:$D$1003,出库明细!D875)&gt;0,COUNTIFS(出库明细!$C$4:C875,出库明细!C875,出库明细!$D$4:D875,出库明细!D875)&gt;1),"",IFERROR(MATCH(出库明细!C875,总览汇总!$B$5:$B$304,0),900)*10000000+IFERROR(MATCH(出库明细!D875,基础资料!$E$5:$E$104,0),900)*10000+ROW()))</f>
      </c>
      <c r="F1875">
        <f>IF(AND(出库明细!C1875&lt;&gt;"",出库明细!C1875=客户对账单!$B$4,ISNUMBER(出库明细!B1875),出库明细!B1875&gt;=客户对账单!$G$4,出库明细!B1875&lt;=客户对账单!$I$4),出库明细!B1875+ROW()/100000,"")</f>
      </c>
      <c r="H1875">
        <f>IF(AND(资金台帐!K378&lt;&gt;"",资金台帐!K378=供应商对账单!$B$4,资金台帐!P378="应付",ISNUMBER(资金台帐!B378),资金台帐!B378&gt;=供应商对账单!$G$4,资金台帐!B378&lt;=供应商对账单!$I$4),资金台帐!B378+ROW()/100000,"")</f>
      </c>
      <c r="N1875">
        <f>IF(AND(ISNUMBER(出库明细!G1875),ISNUMBER(出库明细!E1875),ISNUMBER(出库明细!F1875)),IF(ABS(出库明细!G1875-出库明细!E1875*出库明细!F1875)&gt;0.005,1,0),0)</f>
        <v>0</v>
      </c>
    </row>
    <row r="1876">
      <c r="A1876">
        <f>IF(OR(出库明细!C876="",出库明细!D876=""),"",IF(OR(COUNTIFS(存条明细!$C$4:$C$1003,出库明细!C876,存条明细!$D$4:$D$1003,出库明细!D876)&gt;0,COUNTIFS(出库明细!$C$4:C876,出库明细!C876,出库明细!$D$4:D876,出库明细!D876)&gt;1),"",IFERROR(MATCH(出库明细!C876,总览汇总!$B$5:$B$304,0),900)*10000000+IFERROR(MATCH(出库明细!D876,基础资料!$E$5:$E$104,0),900)*10000+ROW()))</f>
      </c>
      <c r="F1876">
        <f>IF(AND(出库明细!C1876&lt;&gt;"",出库明细!C1876=客户对账单!$B$4,ISNUMBER(出库明细!B1876),出库明细!B1876&gt;=客户对账单!$G$4,出库明细!B1876&lt;=客户对账单!$I$4),出库明细!B1876+ROW()/100000,"")</f>
      </c>
      <c r="H1876">
        <f>IF(AND(资金台帐!K379&lt;&gt;"",资金台帐!K379=供应商对账单!$B$4,资金台帐!P379="应付",ISNUMBER(资金台帐!B379),资金台帐!B379&gt;=供应商对账单!$G$4,资金台帐!B379&lt;=供应商对账单!$I$4),资金台帐!B379+ROW()/100000,"")</f>
      </c>
      <c r="N1876">
        <f>IF(AND(ISNUMBER(出库明细!G1876),ISNUMBER(出库明细!E1876),ISNUMBER(出库明细!F1876)),IF(ABS(出库明细!G1876-出库明细!E1876*出库明细!F1876)&gt;0.005,1,0),0)</f>
        <v>0</v>
      </c>
    </row>
    <row r="1877">
      <c r="A1877">
        <f>IF(OR(出库明细!C877="",出库明细!D877=""),"",IF(OR(COUNTIFS(存条明细!$C$4:$C$1003,出库明细!C877,存条明细!$D$4:$D$1003,出库明细!D877)&gt;0,COUNTIFS(出库明细!$C$4:C877,出库明细!C877,出库明细!$D$4:D877,出库明细!D877)&gt;1),"",IFERROR(MATCH(出库明细!C877,总览汇总!$B$5:$B$304,0),900)*10000000+IFERROR(MATCH(出库明细!D877,基础资料!$E$5:$E$104,0),900)*10000+ROW()))</f>
      </c>
      <c r="F1877">
        <f>IF(AND(出库明细!C1877&lt;&gt;"",出库明细!C1877=客户对账单!$B$4,ISNUMBER(出库明细!B1877),出库明细!B1877&gt;=客户对账单!$G$4,出库明细!B1877&lt;=客户对账单!$I$4),出库明细!B1877+ROW()/100000,"")</f>
      </c>
      <c r="H1877">
        <f>IF(AND(资金台帐!K380&lt;&gt;"",资金台帐!K380=供应商对账单!$B$4,资金台帐!P380="应付",ISNUMBER(资金台帐!B380),资金台帐!B380&gt;=供应商对账单!$G$4,资金台帐!B380&lt;=供应商对账单!$I$4),资金台帐!B380+ROW()/100000,"")</f>
      </c>
      <c r="N1877">
        <f>IF(AND(ISNUMBER(出库明细!G1877),ISNUMBER(出库明细!E1877),ISNUMBER(出库明细!F1877)),IF(ABS(出库明细!G1877-出库明细!E1877*出库明细!F1877)&gt;0.005,1,0),0)</f>
        <v>0</v>
      </c>
    </row>
    <row r="1878">
      <c r="A1878">
        <f>IF(OR(出库明细!C878="",出库明细!D878=""),"",IF(OR(COUNTIFS(存条明细!$C$4:$C$1003,出库明细!C878,存条明细!$D$4:$D$1003,出库明细!D878)&gt;0,COUNTIFS(出库明细!$C$4:C878,出库明细!C878,出库明细!$D$4:D878,出库明细!D878)&gt;1),"",IFERROR(MATCH(出库明细!C878,总览汇总!$B$5:$B$304,0),900)*10000000+IFERROR(MATCH(出库明细!D878,基础资料!$E$5:$E$104,0),900)*10000+ROW()))</f>
      </c>
      <c r="F1878">
        <f>IF(AND(出库明细!C1878&lt;&gt;"",出库明细!C1878=客户对账单!$B$4,ISNUMBER(出库明细!B1878),出库明细!B1878&gt;=客户对账单!$G$4,出库明细!B1878&lt;=客户对账单!$I$4),出库明细!B1878+ROW()/100000,"")</f>
      </c>
      <c r="H1878">
        <f>IF(AND(资金台帐!K381&lt;&gt;"",资金台帐!K381=供应商对账单!$B$4,资金台帐!P381="应付",ISNUMBER(资金台帐!B381),资金台帐!B381&gt;=供应商对账单!$G$4,资金台帐!B381&lt;=供应商对账单!$I$4),资金台帐!B381+ROW()/100000,"")</f>
      </c>
      <c r="N1878">
        <f>IF(AND(ISNUMBER(出库明细!G1878),ISNUMBER(出库明细!E1878),ISNUMBER(出库明细!F1878)),IF(ABS(出库明细!G1878-出库明细!E1878*出库明细!F1878)&gt;0.005,1,0),0)</f>
        <v>0</v>
      </c>
    </row>
    <row r="1879">
      <c r="A1879">
        <f>IF(OR(出库明细!C879="",出库明细!D879=""),"",IF(OR(COUNTIFS(存条明细!$C$4:$C$1003,出库明细!C879,存条明细!$D$4:$D$1003,出库明细!D879)&gt;0,COUNTIFS(出库明细!$C$4:C879,出库明细!C879,出库明细!$D$4:D879,出库明细!D879)&gt;1),"",IFERROR(MATCH(出库明细!C879,总览汇总!$B$5:$B$304,0),900)*10000000+IFERROR(MATCH(出库明细!D879,基础资料!$E$5:$E$104,0),900)*10000+ROW()))</f>
      </c>
      <c r="F1879">
        <f>IF(AND(出库明细!C1879&lt;&gt;"",出库明细!C1879=客户对账单!$B$4,ISNUMBER(出库明细!B1879),出库明细!B1879&gt;=客户对账单!$G$4,出库明细!B1879&lt;=客户对账单!$I$4),出库明细!B1879+ROW()/100000,"")</f>
      </c>
      <c r="H1879">
        <f>IF(AND(资金台帐!K382&lt;&gt;"",资金台帐!K382=供应商对账单!$B$4,资金台帐!P382="应付",ISNUMBER(资金台帐!B382),资金台帐!B382&gt;=供应商对账单!$G$4,资金台帐!B382&lt;=供应商对账单!$I$4),资金台帐!B382+ROW()/100000,"")</f>
      </c>
      <c r="N1879">
        <f>IF(AND(ISNUMBER(出库明细!G1879),ISNUMBER(出库明细!E1879),ISNUMBER(出库明细!F1879)),IF(ABS(出库明细!G1879-出库明细!E1879*出库明细!F1879)&gt;0.005,1,0),0)</f>
        <v>0</v>
      </c>
    </row>
    <row r="1880">
      <c r="A1880">
        <f>IF(OR(出库明细!C880="",出库明细!D880=""),"",IF(OR(COUNTIFS(存条明细!$C$4:$C$1003,出库明细!C880,存条明细!$D$4:$D$1003,出库明细!D880)&gt;0,COUNTIFS(出库明细!$C$4:C880,出库明细!C880,出库明细!$D$4:D880,出库明细!D880)&gt;1),"",IFERROR(MATCH(出库明细!C880,总览汇总!$B$5:$B$304,0),900)*10000000+IFERROR(MATCH(出库明细!D880,基础资料!$E$5:$E$104,0),900)*10000+ROW()))</f>
      </c>
      <c r="F1880">
        <f>IF(AND(出库明细!C1880&lt;&gt;"",出库明细!C1880=客户对账单!$B$4,ISNUMBER(出库明细!B1880),出库明细!B1880&gt;=客户对账单!$G$4,出库明细!B1880&lt;=客户对账单!$I$4),出库明细!B1880+ROW()/100000,"")</f>
      </c>
      <c r="H1880">
        <f>IF(AND(资金台帐!K383&lt;&gt;"",资金台帐!K383=供应商对账单!$B$4,资金台帐!P383="应付",ISNUMBER(资金台帐!B383),资金台帐!B383&gt;=供应商对账单!$G$4,资金台帐!B383&lt;=供应商对账单!$I$4),资金台帐!B383+ROW()/100000,"")</f>
      </c>
      <c r="N1880">
        <f>IF(AND(ISNUMBER(出库明细!G1880),ISNUMBER(出库明细!E1880),ISNUMBER(出库明细!F1880)),IF(ABS(出库明细!G1880-出库明细!E1880*出库明细!F1880)&gt;0.005,1,0),0)</f>
        <v>0</v>
      </c>
    </row>
    <row r="1881">
      <c r="A1881">
        <f>IF(OR(出库明细!C881="",出库明细!D881=""),"",IF(OR(COUNTIFS(存条明细!$C$4:$C$1003,出库明细!C881,存条明细!$D$4:$D$1003,出库明细!D881)&gt;0,COUNTIFS(出库明细!$C$4:C881,出库明细!C881,出库明细!$D$4:D881,出库明细!D881)&gt;1),"",IFERROR(MATCH(出库明细!C881,总览汇总!$B$5:$B$304,0),900)*10000000+IFERROR(MATCH(出库明细!D881,基础资料!$E$5:$E$104,0),900)*10000+ROW()))</f>
      </c>
      <c r="F1881">
        <f>IF(AND(出库明细!C1881&lt;&gt;"",出库明细!C1881=客户对账单!$B$4,ISNUMBER(出库明细!B1881),出库明细!B1881&gt;=客户对账单!$G$4,出库明细!B1881&lt;=客户对账单!$I$4),出库明细!B1881+ROW()/100000,"")</f>
      </c>
      <c r="H1881">
        <f>IF(AND(资金台帐!K384&lt;&gt;"",资金台帐!K384=供应商对账单!$B$4,资金台帐!P384="应付",ISNUMBER(资金台帐!B384),资金台帐!B384&gt;=供应商对账单!$G$4,资金台帐!B384&lt;=供应商对账单!$I$4),资金台帐!B384+ROW()/100000,"")</f>
      </c>
      <c r="N1881">
        <f>IF(AND(ISNUMBER(出库明细!G1881),ISNUMBER(出库明细!E1881),ISNUMBER(出库明细!F1881)),IF(ABS(出库明细!G1881-出库明细!E1881*出库明细!F1881)&gt;0.005,1,0),0)</f>
        <v>0</v>
      </c>
    </row>
    <row r="1882">
      <c r="A1882">
        <f>IF(OR(出库明细!C882="",出库明细!D882=""),"",IF(OR(COUNTIFS(存条明细!$C$4:$C$1003,出库明细!C882,存条明细!$D$4:$D$1003,出库明细!D882)&gt;0,COUNTIFS(出库明细!$C$4:C882,出库明细!C882,出库明细!$D$4:D882,出库明细!D882)&gt;1),"",IFERROR(MATCH(出库明细!C882,总览汇总!$B$5:$B$304,0),900)*10000000+IFERROR(MATCH(出库明细!D882,基础资料!$E$5:$E$104,0),900)*10000+ROW()))</f>
      </c>
      <c r="F1882">
        <f>IF(AND(出库明细!C1882&lt;&gt;"",出库明细!C1882=客户对账单!$B$4,ISNUMBER(出库明细!B1882),出库明细!B1882&gt;=客户对账单!$G$4,出库明细!B1882&lt;=客户对账单!$I$4),出库明细!B1882+ROW()/100000,"")</f>
      </c>
      <c r="H1882">
        <f>IF(AND(资金台帐!K385&lt;&gt;"",资金台帐!K385=供应商对账单!$B$4,资金台帐!P385="应付",ISNUMBER(资金台帐!B385),资金台帐!B385&gt;=供应商对账单!$G$4,资金台帐!B385&lt;=供应商对账单!$I$4),资金台帐!B385+ROW()/100000,"")</f>
      </c>
      <c r="N1882">
        <f>IF(AND(ISNUMBER(出库明细!G1882),ISNUMBER(出库明细!E1882),ISNUMBER(出库明细!F1882)),IF(ABS(出库明细!G1882-出库明细!E1882*出库明细!F1882)&gt;0.005,1,0),0)</f>
        <v>0</v>
      </c>
    </row>
    <row r="1883">
      <c r="A1883">
        <f>IF(OR(出库明细!C883="",出库明细!D883=""),"",IF(OR(COUNTIFS(存条明细!$C$4:$C$1003,出库明细!C883,存条明细!$D$4:$D$1003,出库明细!D883)&gt;0,COUNTIFS(出库明细!$C$4:C883,出库明细!C883,出库明细!$D$4:D883,出库明细!D883)&gt;1),"",IFERROR(MATCH(出库明细!C883,总览汇总!$B$5:$B$304,0),900)*10000000+IFERROR(MATCH(出库明细!D883,基础资料!$E$5:$E$104,0),900)*10000+ROW()))</f>
      </c>
      <c r="F1883">
        <f>IF(AND(出库明细!C1883&lt;&gt;"",出库明细!C1883=客户对账单!$B$4,ISNUMBER(出库明细!B1883),出库明细!B1883&gt;=客户对账单!$G$4,出库明细!B1883&lt;=客户对账单!$I$4),出库明细!B1883+ROW()/100000,"")</f>
      </c>
      <c r="H1883">
        <f>IF(AND(资金台帐!K386&lt;&gt;"",资金台帐!K386=供应商对账单!$B$4,资金台帐!P386="应付",ISNUMBER(资金台帐!B386),资金台帐!B386&gt;=供应商对账单!$G$4,资金台帐!B386&lt;=供应商对账单!$I$4),资金台帐!B386+ROW()/100000,"")</f>
      </c>
      <c r="N1883">
        <f>IF(AND(ISNUMBER(出库明细!G1883),ISNUMBER(出库明细!E1883),ISNUMBER(出库明细!F1883)),IF(ABS(出库明细!G1883-出库明细!E1883*出库明细!F1883)&gt;0.005,1,0),0)</f>
        <v>0</v>
      </c>
    </row>
    <row r="1884">
      <c r="A1884">
        <f>IF(OR(出库明细!C884="",出库明细!D884=""),"",IF(OR(COUNTIFS(存条明细!$C$4:$C$1003,出库明细!C884,存条明细!$D$4:$D$1003,出库明细!D884)&gt;0,COUNTIFS(出库明细!$C$4:C884,出库明细!C884,出库明细!$D$4:D884,出库明细!D884)&gt;1),"",IFERROR(MATCH(出库明细!C884,总览汇总!$B$5:$B$304,0),900)*10000000+IFERROR(MATCH(出库明细!D884,基础资料!$E$5:$E$104,0),900)*10000+ROW()))</f>
      </c>
      <c r="F1884">
        <f>IF(AND(出库明细!C1884&lt;&gt;"",出库明细!C1884=客户对账单!$B$4,ISNUMBER(出库明细!B1884),出库明细!B1884&gt;=客户对账单!$G$4,出库明细!B1884&lt;=客户对账单!$I$4),出库明细!B1884+ROW()/100000,"")</f>
      </c>
      <c r="H1884">
        <f>IF(AND(资金台帐!K387&lt;&gt;"",资金台帐!K387=供应商对账单!$B$4,资金台帐!P387="应付",ISNUMBER(资金台帐!B387),资金台帐!B387&gt;=供应商对账单!$G$4,资金台帐!B387&lt;=供应商对账单!$I$4),资金台帐!B387+ROW()/100000,"")</f>
      </c>
      <c r="N1884">
        <f>IF(AND(ISNUMBER(出库明细!G1884),ISNUMBER(出库明细!E1884),ISNUMBER(出库明细!F1884)),IF(ABS(出库明细!G1884-出库明细!E1884*出库明细!F1884)&gt;0.005,1,0),0)</f>
        <v>0</v>
      </c>
    </row>
    <row r="1885">
      <c r="A1885">
        <f>IF(OR(出库明细!C885="",出库明细!D885=""),"",IF(OR(COUNTIFS(存条明细!$C$4:$C$1003,出库明细!C885,存条明细!$D$4:$D$1003,出库明细!D885)&gt;0,COUNTIFS(出库明细!$C$4:C885,出库明细!C885,出库明细!$D$4:D885,出库明细!D885)&gt;1),"",IFERROR(MATCH(出库明细!C885,总览汇总!$B$5:$B$304,0),900)*10000000+IFERROR(MATCH(出库明细!D885,基础资料!$E$5:$E$104,0),900)*10000+ROW()))</f>
      </c>
      <c r="F1885">
        <f>IF(AND(出库明细!C1885&lt;&gt;"",出库明细!C1885=客户对账单!$B$4,ISNUMBER(出库明细!B1885),出库明细!B1885&gt;=客户对账单!$G$4,出库明细!B1885&lt;=客户对账单!$I$4),出库明细!B1885+ROW()/100000,"")</f>
      </c>
      <c r="H1885">
        <f>IF(AND(资金台帐!K388&lt;&gt;"",资金台帐!K388=供应商对账单!$B$4,资金台帐!P388="应付",ISNUMBER(资金台帐!B388),资金台帐!B388&gt;=供应商对账单!$G$4,资金台帐!B388&lt;=供应商对账单!$I$4),资金台帐!B388+ROW()/100000,"")</f>
      </c>
      <c r="N1885">
        <f>IF(AND(ISNUMBER(出库明细!G1885),ISNUMBER(出库明细!E1885),ISNUMBER(出库明细!F1885)),IF(ABS(出库明细!G1885-出库明细!E1885*出库明细!F1885)&gt;0.005,1,0),0)</f>
        <v>0</v>
      </c>
    </row>
    <row r="1886">
      <c r="A1886">
        <f>IF(OR(出库明细!C886="",出库明细!D886=""),"",IF(OR(COUNTIFS(存条明细!$C$4:$C$1003,出库明细!C886,存条明细!$D$4:$D$1003,出库明细!D886)&gt;0,COUNTIFS(出库明细!$C$4:C886,出库明细!C886,出库明细!$D$4:D886,出库明细!D886)&gt;1),"",IFERROR(MATCH(出库明细!C886,总览汇总!$B$5:$B$304,0),900)*10000000+IFERROR(MATCH(出库明细!D886,基础资料!$E$5:$E$104,0),900)*10000+ROW()))</f>
      </c>
      <c r="F1886">
        <f>IF(AND(出库明细!C1886&lt;&gt;"",出库明细!C1886=客户对账单!$B$4,ISNUMBER(出库明细!B1886),出库明细!B1886&gt;=客户对账单!$G$4,出库明细!B1886&lt;=客户对账单!$I$4),出库明细!B1886+ROW()/100000,"")</f>
      </c>
      <c r="H1886">
        <f>IF(AND(资金台帐!K389&lt;&gt;"",资金台帐!K389=供应商对账单!$B$4,资金台帐!P389="应付",ISNUMBER(资金台帐!B389),资金台帐!B389&gt;=供应商对账单!$G$4,资金台帐!B389&lt;=供应商对账单!$I$4),资金台帐!B389+ROW()/100000,"")</f>
      </c>
      <c r="N1886">
        <f>IF(AND(ISNUMBER(出库明细!G1886),ISNUMBER(出库明细!E1886),ISNUMBER(出库明细!F1886)),IF(ABS(出库明细!G1886-出库明细!E1886*出库明细!F1886)&gt;0.005,1,0),0)</f>
        <v>0</v>
      </c>
    </row>
    <row r="1887">
      <c r="A1887">
        <f>IF(OR(出库明细!C887="",出库明细!D887=""),"",IF(OR(COUNTIFS(存条明细!$C$4:$C$1003,出库明细!C887,存条明细!$D$4:$D$1003,出库明细!D887)&gt;0,COUNTIFS(出库明细!$C$4:C887,出库明细!C887,出库明细!$D$4:D887,出库明细!D887)&gt;1),"",IFERROR(MATCH(出库明细!C887,总览汇总!$B$5:$B$304,0),900)*10000000+IFERROR(MATCH(出库明细!D887,基础资料!$E$5:$E$104,0),900)*10000+ROW()))</f>
      </c>
      <c r="F1887">
        <f>IF(AND(出库明细!C1887&lt;&gt;"",出库明细!C1887=客户对账单!$B$4,ISNUMBER(出库明细!B1887),出库明细!B1887&gt;=客户对账单!$G$4,出库明细!B1887&lt;=客户对账单!$I$4),出库明细!B1887+ROW()/100000,"")</f>
      </c>
      <c r="H1887">
        <f>IF(AND(资金台帐!K390&lt;&gt;"",资金台帐!K390=供应商对账单!$B$4,资金台帐!P390="应付",ISNUMBER(资金台帐!B390),资金台帐!B390&gt;=供应商对账单!$G$4,资金台帐!B390&lt;=供应商对账单!$I$4),资金台帐!B390+ROW()/100000,"")</f>
      </c>
      <c r="N1887">
        <f>IF(AND(ISNUMBER(出库明细!G1887),ISNUMBER(出库明细!E1887),ISNUMBER(出库明细!F1887)),IF(ABS(出库明细!G1887-出库明细!E1887*出库明细!F1887)&gt;0.005,1,0),0)</f>
        <v>0</v>
      </c>
    </row>
    <row r="1888">
      <c r="A1888">
        <f>IF(OR(出库明细!C888="",出库明细!D888=""),"",IF(OR(COUNTIFS(存条明细!$C$4:$C$1003,出库明细!C888,存条明细!$D$4:$D$1003,出库明细!D888)&gt;0,COUNTIFS(出库明细!$C$4:C888,出库明细!C888,出库明细!$D$4:D888,出库明细!D888)&gt;1),"",IFERROR(MATCH(出库明细!C888,总览汇总!$B$5:$B$304,0),900)*10000000+IFERROR(MATCH(出库明细!D888,基础资料!$E$5:$E$104,0),900)*10000+ROW()))</f>
      </c>
      <c r="F1888">
        <f>IF(AND(出库明细!C1888&lt;&gt;"",出库明细!C1888=客户对账单!$B$4,ISNUMBER(出库明细!B1888),出库明细!B1888&gt;=客户对账单!$G$4,出库明细!B1888&lt;=客户对账单!$I$4),出库明细!B1888+ROW()/100000,"")</f>
      </c>
      <c r="H1888">
        <f>IF(AND(资金台帐!K391&lt;&gt;"",资金台帐!K391=供应商对账单!$B$4,资金台帐!P391="应付",ISNUMBER(资金台帐!B391),资金台帐!B391&gt;=供应商对账单!$G$4,资金台帐!B391&lt;=供应商对账单!$I$4),资金台帐!B391+ROW()/100000,"")</f>
      </c>
      <c r="N1888">
        <f>IF(AND(ISNUMBER(出库明细!G1888),ISNUMBER(出库明细!E1888),ISNUMBER(出库明细!F1888)),IF(ABS(出库明细!G1888-出库明细!E1888*出库明细!F1888)&gt;0.005,1,0),0)</f>
        <v>0</v>
      </c>
    </row>
    <row r="1889">
      <c r="A1889">
        <f>IF(OR(出库明细!C889="",出库明细!D889=""),"",IF(OR(COUNTIFS(存条明细!$C$4:$C$1003,出库明细!C889,存条明细!$D$4:$D$1003,出库明细!D889)&gt;0,COUNTIFS(出库明细!$C$4:C889,出库明细!C889,出库明细!$D$4:D889,出库明细!D889)&gt;1),"",IFERROR(MATCH(出库明细!C889,总览汇总!$B$5:$B$304,0),900)*10000000+IFERROR(MATCH(出库明细!D889,基础资料!$E$5:$E$104,0),900)*10000+ROW()))</f>
      </c>
      <c r="F1889">
        <f>IF(AND(出库明细!C1889&lt;&gt;"",出库明细!C1889=客户对账单!$B$4,ISNUMBER(出库明细!B1889),出库明细!B1889&gt;=客户对账单!$G$4,出库明细!B1889&lt;=客户对账单!$I$4),出库明细!B1889+ROW()/100000,"")</f>
      </c>
      <c r="H1889">
        <f>IF(AND(资金台帐!K392&lt;&gt;"",资金台帐!K392=供应商对账单!$B$4,资金台帐!P392="应付",ISNUMBER(资金台帐!B392),资金台帐!B392&gt;=供应商对账单!$G$4,资金台帐!B392&lt;=供应商对账单!$I$4),资金台帐!B392+ROW()/100000,"")</f>
      </c>
      <c r="N1889">
        <f>IF(AND(ISNUMBER(出库明细!G1889),ISNUMBER(出库明细!E1889),ISNUMBER(出库明细!F1889)),IF(ABS(出库明细!G1889-出库明细!E1889*出库明细!F1889)&gt;0.005,1,0),0)</f>
        <v>0</v>
      </c>
    </row>
    <row r="1890">
      <c r="A1890">
        <f>IF(OR(出库明细!C890="",出库明细!D890=""),"",IF(OR(COUNTIFS(存条明细!$C$4:$C$1003,出库明细!C890,存条明细!$D$4:$D$1003,出库明细!D890)&gt;0,COUNTIFS(出库明细!$C$4:C890,出库明细!C890,出库明细!$D$4:D890,出库明细!D890)&gt;1),"",IFERROR(MATCH(出库明细!C890,总览汇总!$B$5:$B$304,0),900)*10000000+IFERROR(MATCH(出库明细!D890,基础资料!$E$5:$E$104,0),900)*10000+ROW()))</f>
      </c>
      <c r="F1890">
        <f>IF(AND(出库明细!C1890&lt;&gt;"",出库明细!C1890=客户对账单!$B$4,ISNUMBER(出库明细!B1890),出库明细!B1890&gt;=客户对账单!$G$4,出库明细!B1890&lt;=客户对账单!$I$4),出库明细!B1890+ROW()/100000,"")</f>
      </c>
      <c r="H1890">
        <f>IF(AND(资金台帐!K393&lt;&gt;"",资金台帐!K393=供应商对账单!$B$4,资金台帐!P393="应付",ISNUMBER(资金台帐!B393),资金台帐!B393&gt;=供应商对账单!$G$4,资金台帐!B393&lt;=供应商对账单!$I$4),资金台帐!B393+ROW()/100000,"")</f>
      </c>
      <c r="N1890">
        <f>IF(AND(ISNUMBER(出库明细!G1890),ISNUMBER(出库明细!E1890),ISNUMBER(出库明细!F1890)),IF(ABS(出库明细!G1890-出库明细!E1890*出库明细!F1890)&gt;0.005,1,0),0)</f>
        <v>0</v>
      </c>
    </row>
    <row r="1891">
      <c r="A1891">
        <f>IF(OR(出库明细!C891="",出库明细!D891=""),"",IF(OR(COUNTIFS(存条明细!$C$4:$C$1003,出库明细!C891,存条明细!$D$4:$D$1003,出库明细!D891)&gt;0,COUNTIFS(出库明细!$C$4:C891,出库明细!C891,出库明细!$D$4:D891,出库明细!D891)&gt;1),"",IFERROR(MATCH(出库明细!C891,总览汇总!$B$5:$B$304,0),900)*10000000+IFERROR(MATCH(出库明细!D891,基础资料!$E$5:$E$104,0),900)*10000+ROW()))</f>
      </c>
      <c r="F1891">
        <f>IF(AND(出库明细!C1891&lt;&gt;"",出库明细!C1891=客户对账单!$B$4,ISNUMBER(出库明细!B1891),出库明细!B1891&gt;=客户对账单!$G$4,出库明细!B1891&lt;=客户对账单!$I$4),出库明细!B1891+ROW()/100000,"")</f>
      </c>
      <c r="H1891">
        <f>IF(AND(资金台帐!K394&lt;&gt;"",资金台帐!K394=供应商对账单!$B$4,资金台帐!P394="应付",ISNUMBER(资金台帐!B394),资金台帐!B394&gt;=供应商对账单!$G$4,资金台帐!B394&lt;=供应商对账单!$I$4),资金台帐!B394+ROW()/100000,"")</f>
      </c>
      <c r="N1891">
        <f>IF(AND(ISNUMBER(出库明细!G1891),ISNUMBER(出库明细!E1891),ISNUMBER(出库明细!F1891)),IF(ABS(出库明细!G1891-出库明细!E1891*出库明细!F1891)&gt;0.005,1,0),0)</f>
        <v>0</v>
      </c>
    </row>
    <row r="1892">
      <c r="A1892">
        <f>IF(OR(出库明细!C892="",出库明细!D892=""),"",IF(OR(COUNTIFS(存条明细!$C$4:$C$1003,出库明细!C892,存条明细!$D$4:$D$1003,出库明细!D892)&gt;0,COUNTIFS(出库明细!$C$4:C892,出库明细!C892,出库明细!$D$4:D892,出库明细!D892)&gt;1),"",IFERROR(MATCH(出库明细!C892,总览汇总!$B$5:$B$304,0),900)*10000000+IFERROR(MATCH(出库明细!D892,基础资料!$E$5:$E$104,0),900)*10000+ROW()))</f>
      </c>
      <c r="F1892">
        <f>IF(AND(出库明细!C1892&lt;&gt;"",出库明细!C1892=客户对账单!$B$4,ISNUMBER(出库明细!B1892),出库明细!B1892&gt;=客户对账单!$G$4,出库明细!B1892&lt;=客户对账单!$I$4),出库明细!B1892+ROW()/100000,"")</f>
      </c>
      <c r="H1892">
        <f>IF(AND(资金台帐!K395&lt;&gt;"",资金台帐!K395=供应商对账单!$B$4,资金台帐!P395="应付",ISNUMBER(资金台帐!B395),资金台帐!B395&gt;=供应商对账单!$G$4,资金台帐!B395&lt;=供应商对账单!$I$4),资金台帐!B395+ROW()/100000,"")</f>
      </c>
      <c r="N1892">
        <f>IF(AND(ISNUMBER(出库明细!G1892),ISNUMBER(出库明细!E1892),ISNUMBER(出库明细!F1892)),IF(ABS(出库明细!G1892-出库明细!E1892*出库明细!F1892)&gt;0.005,1,0),0)</f>
        <v>0</v>
      </c>
    </row>
    <row r="1893">
      <c r="A1893">
        <f>IF(OR(出库明细!C893="",出库明细!D893=""),"",IF(OR(COUNTIFS(存条明细!$C$4:$C$1003,出库明细!C893,存条明细!$D$4:$D$1003,出库明细!D893)&gt;0,COUNTIFS(出库明细!$C$4:C893,出库明细!C893,出库明细!$D$4:D893,出库明细!D893)&gt;1),"",IFERROR(MATCH(出库明细!C893,总览汇总!$B$5:$B$304,0),900)*10000000+IFERROR(MATCH(出库明细!D893,基础资料!$E$5:$E$104,0),900)*10000+ROW()))</f>
      </c>
      <c r="F1893">
        <f>IF(AND(出库明细!C1893&lt;&gt;"",出库明细!C1893=客户对账单!$B$4,ISNUMBER(出库明细!B1893),出库明细!B1893&gt;=客户对账单!$G$4,出库明细!B1893&lt;=客户对账单!$I$4),出库明细!B1893+ROW()/100000,"")</f>
      </c>
      <c r="H1893">
        <f>IF(AND(资金台帐!K396&lt;&gt;"",资金台帐!K396=供应商对账单!$B$4,资金台帐!P396="应付",ISNUMBER(资金台帐!B396),资金台帐!B396&gt;=供应商对账单!$G$4,资金台帐!B396&lt;=供应商对账单!$I$4),资金台帐!B396+ROW()/100000,"")</f>
      </c>
      <c r="N1893">
        <f>IF(AND(ISNUMBER(出库明细!G1893),ISNUMBER(出库明细!E1893),ISNUMBER(出库明细!F1893)),IF(ABS(出库明细!G1893-出库明细!E1893*出库明细!F1893)&gt;0.005,1,0),0)</f>
        <v>0</v>
      </c>
    </row>
    <row r="1894">
      <c r="A1894">
        <f>IF(OR(出库明细!C894="",出库明细!D894=""),"",IF(OR(COUNTIFS(存条明细!$C$4:$C$1003,出库明细!C894,存条明细!$D$4:$D$1003,出库明细!D894)&gt;0,COUNTIFS(出库明细!$C$4:C894,出库明细!C894,出库明细!$D$4:D894,出库明细!D894)&gt;1),"",IFERROR(MATCH(出库明细!C894,总览汇总!$B$5:$B$304,0),900)*10000000+IFERROR(MATCH(出库明细!D894,基础资料!$E$5:$E$104,0),900)*10000+ROW()))</f>
      </c>
      <c r="F1894">
        <f>IF(AND(出库明细!C1894&lt;&gt;"",出库明细!C1894=客户对账单!$B$4,ISNUMBER(出库明细!B1894),出库明细!B1894&gt;=客户对账单!$G$4,出库明细!B1894&lt;=客户对账单!$I$4),出库明细!B1894+ROW()/100000,"")</f>
      </c>
      <c r="H1894">
        <f>IF(AND(资金台帐!K397&lt;&gt;"",资金台帐!K397=供应商对账单!$B$4,资金台帐!P397="应付",ISNUMBER(资金台帐!B397),资金台帐!B397&gt;=供应商对账单!$G$4,资金台帐!B397&lt;=供应商对账单!$I$4),资金台帐!B397+ROW()/100000,"")</f>
      </c>
      <c r="N1894">
        <f>IF(AND(ISNUMBER(出库明细!G1894),ISNUMBER(出库明细!E1894),ISNUMBER(出库明细!F1894)),IF(ABS(出库明细!G1894-出库明细!E1894*出库明细!F1894)&gt;0.005,1,0),0)</f>
        <v>0</v>
      </c>
    </row>
    <row r="1895">
      <c r="A1895">
        <f>IF(OR(出库明细!C895="",出库明细!D895=""),"",IF(OR(COUNTIFS(存条明细!$C$4:$C$1003,出库明细!C895,存条明细!$D$4:$D$1003,出库明细!D895)&gt;0,COUNTIFS(出库明细!$C$4:C895,出库明细!C895,出库明细!$D$4:D895,出库明细!D895)&gt;1),"",IFERROR(MATCH(出库明细!C895,总览汇总!$B$5:$B$304,0),900)*10000000+IFERROR(MATCH(出库明细!D895,基础资料!$E$5:$E$104,0),900)*10000+ROW()))</f>
      </c>
      <c r="F1895">
        <f>IF(AND(出库明细!C1895&lt;&gt;"",出库明细!C1895=客户对账单!$B$4,ISNUMBER(出库明细!B1895),出库明细!B1895&gt;=客户对账单!$G$4,出库明细!B1895&lt;=客户对账单!$I$4),出库明细!B1895+ROW()/100000,"")</f>
      </c>
      <c r="H1895">
        <f>IF(AND(资金台帐!K398&lt;&gt;"",资金台帐!K398=供应商对账单!$B$4,资金台帐!P398="应付",ISNUMBER(资金台帐!B398),资金台帐!B398&gt;=供应商对账单!$G$4,资金台帐!B398&lt;=供应商对账单!$I$4),资金台帐!B398+ROW()/100000,"")</f>
      </c>
      <c r="N1895">
        <f>IF(AND(ISNUMBER(出库明细!G1895),ISNUMBER(出库明细!E1895),ISNUMBER(出库明细!F1895)),IF(ABS(出库明细!G1895-出库明细!E1895*出库明细!F1895)&gt;0.005,1,0),0)</f>
        <v>0</v>
      </c>
    </row>
    <row r="1896">
      <c r="A1896">
        <f>IF(OR(出库明细!C896="",出库明细!D896=""),"",IF(OR(COUNTIFS(存条明细!$C$4:$C$1003,出库明细!C896,存条明细!$D$4:$D$1003,出库明细!D896)&gt;0,COUNTIFS(出库明细!$C$4:C896,出库明细!C896,出库明细!$D$4:D896,出库明细!D896)&gt;1),"",IFERROR(MATCH(出库明细!C896,总览汇总!$B$5:$B$304,0),900)*10000000+IFERROR(MATCH(出库明细!D896,基础资料!$E$5:$E$104,0),900)*10000+ROW()))</f>
      </c>
      <c r="F1896">
        <f>IF(AND(出库明细!C1896&lt;&gt;"",出库明细!C1896=客户对账单!$B$4,ISNUMBER(出库明细!B1896),出库明细!B1896&gt;=客户对账单!$G$4,出库明细!B1896&lt;=客户对账单!$I$4),出库明细!B1896+ROW()/100000,"")</f>
      </c>
      <c r="H1896">
        <f>IF(AND(资金台帐!K399&lt;&gt;"",资金台帐!K399=供应商对账单!$B$4,资金台帐!P399="应付",ISNUMBER(资金台帐!B399),资金台帐!B399&gt;=供应商对账单!$G$4,资金台帐!B399&lt;=供应商对账单!$I$4),资金台帐!B399+ROW()/100000,"")</f>
      </c>
      <c r="N1896">
        <f>IF(AND(ISNUMBER(出库明细!G1896),ISNUMBER(出库明细!E1896),ISNUMBER(出库明细!F1896)),IF(ABS(出库明细!G1896-出库明细!E1896*出库明细!F1896)&gt;0.005,1,0),0)</f>
        <v>0</v>
      </c>
    </row>
    <row r="1897">
      <c r="A1897">
        <f>IF(OR(出库明细!C897="",出库明细!D897=""),"",IF(OR(COUNTIFS(存条明细!$C$4:$C$1003,出库明细!C897,存条明细!$D$4:$D$1003,出库明细!D897)&gt;0,COUNTIFS(出库明细!$C$4:C897,出库明细!C897,出库明细!$D$4:D897,出库明细!D897)&gt;1),"",IFERROR(MATCH(出库明细!C897,总览汇总!$B$5:$B$304,0),900)*10000000+IFERROR(MATCH(出库明细!D897,基础资料!$E$5:$E$104,0),900)*10000+ROW()))</f>
      </c>
      <c r="F1897">
        <f>IF(AND(出库明细!C1897&lt;&gt;"",出库明细!C1897=客户对账单!$B$4,ISNUMBER(出库明细!B1897),出库明细!B1897&gt;=客户对账单!$G$4,出库明细!B1897&lt;=客户对账单!$I$4),出库明细!B1897+ROW()/100000,"")</f>
      </c>
      <c r="H1897">
        <f>IF(AND(资金台帐!K400&lt;&gt;"",资金台帐!K400=供应商对账单!$B$4,资金台帐!P400="应付",ISNUMBER(资金台帐!B400),资金台帐!B400&gt;=供应商对账单!$G$4,资金台帐!B400&lt;=供应商对账单!$I$4),资金台帐!B400+ROW()/100000,"")</f>
      </c>
      <c r="N1897">
        <f>IF(AND(ISNUMBER(出库明细!G1897),ISNUMBER(出库明细!E1897),ISNUMBER(出库明细!F1897)),IF(ABS(出库明细!G1897-出库明细!E1897*出库明细!F1897)&gt;0.005,1,0),0)</f>
        <v>0</v>
      </c>
    </row>
    <row r="1898">
      <c r="A1898">
        <f>IF(OR(出库明细!C898="",出库明细!D898=""),"",IF(OR(COUNTIFS(存条明细!$C$4:$C$1003,出库明细!C898,存条明细!$D$4:$D$1003,出库明细!D898)&gt;0,COUNTIFS(出库明细!$C$4:C898,出库明细!C898,出库明细!$D$4:D898,出库明细!D898)&gt;1),"",IFERROR(MATCH(出库明细!C898,总览汇总!$B$5:$B$304,0),900)*10000000+IFERROR(MATCH(出库明细!D898,基础资料!$E$5:$E$104,0),900)*10000+ROW()))</f>
      </c>
      <c r="F1898">
        <f>IF(AND(出库明细!C1898&lt;&gt;"",出库明细!C1898=客户对账单!$B$4,ISNUMBER(出库明细!B1898),出库明细!B1898&gt;=客户对账单!$G$4,出库明细!B1898&lt;=客户对账单!$I$4),出库明细!B1898+ROW()/100000,"")</f>
      </c>
      <c r="H1898">
        <f>IF(AND(资金台帐!K401&lt;&gt;"",资金台帐!K401=供应商对账单!$B$4,资金台帐!P401="应付",ISNUMBER(资金台帐!B401),资金台帐!B401&gt;=供应商对账单!$G$4,资金台帐!B401&lt;=供应商对账单!$I$4),资金台帐!B401+ROW()/100000,"")</f>
      </c>
      <c r="N1898">
        <f>IF(AND(ISNUMBER(出库明细!G1898),ISNUMBER(出库明细!E1898),ISNUMBER(出库明细!F1898)),IF(ABS(出库明细!G1898-出库明细!E1898*出库明细!F1898)&gt;0.005,1,0),0)</f>
        <v>0</v>
      </c>
    </row>
    <row r="1899">
      <c r="A1899">
        <f>IF(OR(出库明细!C899="",出库明细!D899=""),"",IF(OR(COUNTIFS(存条明细!$C$4:$C$1003,出库明细!C899,存条明细!$D$4:$D$1003,出库明细!D899)&gt;0,COUNTIFS(出库明细!$C$4:C899,出库明细!C899,出库明细!$D$4:D899,出库明细!D899)&gt;1),"",IFERROR(MATCH(出库明细!C899,总览汇总!$B$5:$B$304,0),900)*10000000+IFERROR(MATCH(出库明细!D899,基础资料!$E$5:$E$104,0),900)*10000+ROW()))</f>
      </c>
      <c r="F1899">
        <f>IF(AND(出库明细!C1899&lt;&gt;"",出库明细!C1899=客户对账单!$B$4,ISNUMBER(出库明细!B1899),出库明细!B1899&gt;=客户对账单!$G$4,出库明细!B1899&lt;=客户对账单!$I$4),出库明细!B1899+ROW()/100000,"")</f>
      </c>
      <c r="H1899">
        <f>IF(AND(资金台帐!K402&lt;&gt;"",资金台帐!K402=供应商对账单!$B$4,资金台帐!P402="应付",ISNUMBER(资金台帐!B402),资金台帐!B402&gt;=供应商对账单!$G$4,资金台帐!B402&lt;=供应商对账单!$I$4),资金台帐!B402+ROW()/100000,"")</f>
      </c>
      <c r="N1899">
        <f>IF(AND(ISNUMBER(出库明细!G1899),ISNUMBER(出库明细!E1899),ISNUMBER(出库明细!F1899)),IF(ABS(出库明细!G1899-出库明细!E1899*出库明细!F1899)&gt;0.005,1,0),0)</f>
        <v>0</v>
      </c>
    </row>
    <row r="1900">
      <c r="A1900">
        <f>IF(OR(出库明细!C900="",出库明细!D900=""),"",IF(OR(COUNTIFS(存条明细!$C$4:$C$1003,出库明细!C900,存条明细!$D$4:$D$1003,出库明细!D900)&gt;0,COUNTIFS(出库明细!$C$4:C900,出库明细!C900,出库明细!$D$4:D900,出库明细!D900)&gt;1),"",IFERROR(MATCH(出库明细!C900,总览汇总!$B$5:$B$304,0),900)*10000000+IFERROR(MATCH(出库明细!D900,基础资料!$E$5:$E$104,0),900)*10000+ROW()))</f>
      </c>
      <c r="F1900">
        <f>IF(AND(出库明细!C1900&lt;&gt;"",出库明细!C1900=客户对账单!$B$4,ISNUMBER(出库明细!B1900),出库明细!B1900&gt;=客户对账单!$G$4,出库明细!B1900&lt;=客户对账单!$I$4),出库明细!B1900+ROW()/100000,"")</f>
      </c>
      <c r="H1900">
        <f>IF(AND(资金台帐!K403&lt;&gt;"",资金台帐!K403=供应商对账单!$B$4,资金台帐!P403="应付",ISNUMBER(资金台帐!B403),资金台帐!B403&gt;=供应商对账单!$G$4,资金台帐!B403&lt;=供应商对账单!$I$4),资金台帐!B403+ROW()/100000,"")</f>
      </c>
      <c r="N1900">
        <f>IF(AND(ISNUMBER(出库明细!G1900),ISNUMBER(出库明细!E1900),ISNUMBER(出库明细!F1900)),IF(ABS(出库明细!G1900-出库明细!E1900*出库明细!F1900)&gt;0.005,1,0),0)</f>
        <v>0</v>
      </c>
    </row>
    <row r="1901">
      <c r="A1901">
        <f>IF(OR(出库明细!C901="",出库明细!D901=""),"",IF(OR(COUNTIFS(存条明细!$C$4:$C$1003,出库明细!C901,存条明细!$D$4:$D$1003,出库明细!D901)&gt;0,COUNTIFS(出库明细!$C$4:C901,出库明细!C901,出库明细!$D$4:D901,出库明细!D901)&gt;1),"",IFERROR(MATCH(出库明细!C901,总览汇总!$B$5:$B$304,0),900)*10000000+IFERROR(MATCH(出库明细!D901,基础资料!$E$5:$E$104,0),900)*10000+ROW()))</f>
      </c>
      <c r="F1901">
        <f>IF(AND(出库明细!C1901&lt;&gt;"",出库明细!C1901=客户对账单!$B$4,ISNUMBER(出库明细!B1901),出库明细!B1901&gt;=客户对账单!$G$4,出库明细!B1901&lt;=客户对账单!$I$4),出库明细!B1901+ROW()/100000,"")</f>
      </c>
      <c r="H1901">
        <f>IF(AND(资金台帐!K404&lt;&gt;"",资金台帐!K404=供应商对账单!$B$4,资金台帐!P404="应付",ISNUMBER(资金台帐!B404),资金台帐!B404&gt;=供应商对账单!$G$4,资金台帐!B404&lt;=供应商对账单!$I$4),资金台帐!B404+ROW()/100000,"")</f>
      </c>
      <c r="N1901">
        <f>IF(AND(ISNUMBER(出库明细!G1901),ISNUMBER(出库明细!E1901),ISNUMBER(出库明细!F1901)),IF(ABS(出库明细!G1901-出库明细!E1901*出库明细!F1901)&gt;0.005,1,0),0)</f>
        <v>0</v>
      </c>
    </row>
    <row r="1902">
      <c r="A1902">
        <f>IF(OR(出库明细!C902="",出库明细!D902=""),"",IF(OR(COUNTIFS(存条明细!$C$4:$C$1003,出库明细!C902,存条明细!$D$4:$D$1003,出库明细!D902)&gt;0,COUNTIFS(出库明细!$C$4:C902,出库明细!C902,出库明细!$D$4:D902,出库明细!D902)&gt;1),"",IFERROR(MATCH(出库明细!C902,总览汇总!$B$5:$B$304,0),900)*10000000+IFERROR(MATCH(出库明细!D902,基础资料!$E$5:$E$104,0),900)*10000+ROW()))</f>
      </c>
      <c r="F1902">
        <f>IF(AND(出库明细!C1902&lt;&gt;"",出库明细!C1902=客户对账单!$B$4,ISNUMBER(出库明细!B1902),出库明细!B1902&gt;=客户对账单!$G$4,出库明细!B1902&lt;=客户对账单!$I$4),出库明细!B1902+ROW()/100000,"")</f>
      </c>
      <c r="H1902">
        <f>IF(AND(资金台帐!K405&lt;&gt;"",资金台帐!K405=供应商对账单!$B$4,资金台帐!P405="应付",ISNUMBER(资金台帐!B405),资金台帐!B405&gt;=供应商对账单!$G$4,资金台帐!B405&lt;=供应商对账单!$I$4),资金台帐!B405+ROW()/100000,"")</f>
      </c>
      <c r="N1902">
        <f>IF(AND(ISNUMBER(出库明细!G1902),ISNUMBER(出库明细!E1902),ISNUMBER(出库明细!F1902)),IF(ABS(出库明细!G1902-出库明细!E1902*出库明细!F1902)&gt;0.005,1,0),0)</f>
        <v>0</v>
      </c>
    </row>
    <row r="1903">
      <c r="A1903">
        <f>IF(OR(出库明细!C903="",出库明细!D903=""),"",IF(OR(COUNTIFS(存条明细!$C$4:$C$1003,出库明细!C903,存条明细!$D$4:$D$1003,出库明细!D903)&gt;0,COUNTIFS(出库明细!$C$4:C903,出库明细!C903,出库明细!$D$4:D903,出库明细!D903)&gt;1),"",IFERROR(MATCH(出库明细!C903,总览汇总!$B$5:$B$304,0),900)*10000000+IFERROR(MATCH(出库明细!D903,基础资料!$E$5:$E$104,0),900)*10000+ROW()))</f>
      </c>
      <c r="F1903">
        <f>IF(AND(出库明细!C1903&lt;&gt;"",出库明细!C1903=客户对账单!$B$4,ISNUMBER(出库明细!B1903),出库明细!B1903&gt;=客户对账单!$G$4,出库明细!B1903&lt;=客户对账单!$I$4),出库明细!B1903+ROW()/100000,"")</f>
      </c>
      <c r="H1903">
        <f>IF(AND(资金台帐!K406&lt;&gt;"",资金台帐!K406=供应商对账单!$B$4,资金台帐!P406="应付",ISNUMBER(资金台帐!B406),资金台帐!B406&gt;=供应商对账单!$G$4,资金台帐!B406&lt;=供应商对账单!$I$4),资金台帐!B406+ROW()/100000,"")</f>
      </c>
      <c r="N1903">
        <f>IF(AND(ISNUMBER(出库明细!G1903),ISNUMBER(出库明细!E1903),ISNUMBER(出库明细!F1903)),IF(ABS(出库明细!G1903-出库明细!E1903*出库明细!F1903)&gt;0.005,1,0),0)</f>
        <v>0</v>
      </c>
    </row>
    <row r="1904">
      <c r="A1904">
        <f>IF(OR(出库明细!C904="",出库明细!D904=""),"",IF(OR(COUNTIFS(存条明细!$C$4:$C$1003,出库明细!C904,存条明细!$D$4:$D$1003,出库明细!D904)&gt;0,COUNTIFS(出库明细!$C$4:C904,出库明细!C904,出库明细!$D$4:D904,出库明细!D904)&gt;1),"",IFERROR(MATCH(出库明细!C904,总览汇总!$B$5:$B$304,0),900)*10000000+IFERROR(MATCH(出库明细!D904,基础资料!$E$5:$E$104,0),900)*10000+ROW()))</f>
      </c>
      <c r="F1904">
        <f>IF(AND(出库明细!C1904&lt;&gt;"",出库明细!C1904=客户对账单!$B$4,ISNUMBER(出库明细!B1904),出库明细!B1904&gt;=客户对账单!$G$4,出库明细!B1904&lt;=客户对账单!$I$4),出库明细!B1904+ROW()/100000,"")</f>
      </c>
      <c r="H1904">
        <f>IF(AND(资金台帐!K407&lt;&gt;"",资金台帐!K407=供应商对账单!$B$4,资金台帐!P407="应付",ISNUMBER(资金台帐!B407),资金台帐!B407&gt;=供应商对账单!$G$4,资金台帐!B407&lt;=供应商对账单!$I$4),资金台帐!B407+ROW()/100000,"")</f>
      </c>
      <c r="N1904">
        <f>IF(AND(ISNUMBER(出库明细!G1904),ISNUMBER(出库明细!E1904),ISNUMBER(出库明细!F1904)),IF(ABS(出库明细!G1904-出库明细!E1904*出库明细!F1904)&gt;0.005,1,0),0)</f>
        <v>0</v>
      </c>
    </row>
    <row r="1905">
      <c r="A1905">
        <f>IF(OR(出库明细!C905="",出库明细!D905=""),"",IF(OR(COUNTIFS(存条明细!$C$4:$C$1003,出库明细!C905,存条明细!$D$4:$D$1003,出库明细!D905)&gt;0,COUNTIFS(出库明细!$C$4:C905,出库明细!C905,出库明细!$D$4:D905,出库明细!D905)&gt;1),"",IFERROR(MATCH(出库明细!C905,总览汇总!$B$5:$B$304,0),900)*10000000+IFERROR(MATCH(出库明细!D905,基础资料!$E$5:$E$104,0),900)*10000+ROW()))</f>
      </c>
      <c r="F1905">
        <f>IF(AND(出库明细!C1905&lt;&gt;"",出库明细!C1905=客户对账单!$B$4,ISNUMBER(出库明细!B1905),出库明细!B1905&gt;=客户对账单!$G$4,出库明细!B1905&lt;=客户对账单!$I$4),出库明细!B1905+ROW()/100000,"")</f>
      </c>
      <c r="H1905">
        <f>IF(AND(资金台帐!K408&lt;&gt;"",资金台帐!K408=供应商对账单!$B$4,资金台帐!P408="应付",ISNUMBER(资金台帐!B408),资金台帐!B408&gt;=供应商对账单!$G$4,资金台帐!B408&lt;=供应商对账单!$I$4),资金台帐!B408+ROW()/100000,"")</f>
      </c>
      <c r="N1905">
        <f>IF(AND(ISNUMBER(出库明细!G1905),ISNUMBER(出库明细!E1905),ISNUMBER(出库明细!F1905)),IF(ABS(出库明细!G1905-出库明细!E1905*出库明细!F1905)&gt;0.005,1,0),0)</f>
        <v>0</v>
      </c>
    </row>
    <row r="1906">
      <c r="A1906">
        <f>IF(OR(出库明细!C906="",出库明细!D906=""),"",IF(OR(COUNTIFS(存条明细!$C$4:$C$1003,出库明细!C906,存条明细!$D$4:$D$1003,出库明细!D906)&gt;0,COUNTIFS(出库明细!$C$4:C906,出库明细!C906,出库明细!$D$4:D906,出库明细!D906)&gt;1),"",IFERROR(MATCH(出库明细!C906,总览汇总!$B$5:$B$304,0),900)*10000000+IFERROR(MATCH(出库明细!D906,基础资料!$E$5:$E$104,0),900)*10000+ROW()))</f>
      </c>
      <c r="F1906">
        <f>IF(AND(出库明细!C1906&lt;&gt;"",出库明细!C1906=客户对账单!$B$4,ISNUMBER(出库明细!B1906),出库明细!B1906&gt;=客户对账单!$G$4,出库明细!B1906&lt;=客户对账单!$I$4),出库明细!B1906+ROW()/100000,"")</f>
      </c>
      <c r="H1906">
        <f>IF(AND(资金台帐!K409&lt;&gt;"",资金台帐!K409=供应商对账单!$B$4,资金台帐!P409="应付",ISNUMBER(资金台帐!B409),资金台帐!B409&gt;=供应商对账单!$G$4,资金台帐!B409&lt;=供应商对账单!$I$4),资金台帐!B409+ROW()/100000,"")</f>
      </c>
      <c r="N1906">
        <f>IF(AND(ISNUMBER(出库明细!G1906),ISNUMBER(出库明细!E1906),ISNUMBER(出库明细!F1906)),IF(ABS(出库明细!G1906-出库明细!E1906*出库明细!F1906)&gt;0.005,1,0),0)</f>
        <v>0</v>
      </c>
    </row>
    <row r="1907">
      <c r="A1907">
        <f>IF(OR(出库明细!C907="",出库明细!D907=""),"",IF(OR(COUNTIFS(存条明细!$C$4:$C$1003,出库明细!C907,存条明细!$D$4:$D$1003,出库明细!D907)&gt;0,COUNTIFS(出库明细!$C$4:C907,出库明细!C907,出库明细!$D$4:D907,出库明细!D907)&gt;1),"",IFERROR(MATCH(出库明细!C907,总览汇总!$B$5:$B$304,0),900)*10000000+IFERROR(MATCH(出库明细!D907,基础资料!$E$5:$E$104,0),900)*10000+ROW()))</f>
      </c>
      <c r="F1907">
        <f>IF(AND(出库明细!C1907&lt;&gt;"",出库明细!C1907=客户对账单!$B$4,ISNUMBER(出库明细!B1907),出库明细!B1907&gt;=客户对账单!$G$4,出库明细!B1907&lt;=客户对账单!$I$4),出库明细!B1907+ROW()/100000,"")</f>
      </c>
      <c r="H1907">
        <f>IF(AND(资金台帐!K410&lt;&gt;"",资金台帐!K410=供应商对账单!$B$4,资金台帐!P410="应付",ISNUMBER(资金台帐!B410),资金台帐!B410&gt;=供应商对账单!$G$4,资金台帐!B410&lt;=供应商对账单!$I$4),资金台帐!B410+ROW()/100000,"")</f>
      </c>
      <c r="N1907">
        <f>IF(AND(ISNUMBER(出库明细!G1907),ISNUMBER(出库明细!E1907),ISNUMBER(出库明细!F1907)),IF(ABS(出库明细!G1907-出库明细!E1907*出库明细!F1907)&gt;0.005,1,0),0)</f>
        <v>0</v>
      </c>
    </row>
    <row r="1908">
      <c r="A1908">
        <f>IF(OR(出库明细!C908="",出库明细!D908=""),"",IF(OR(COUNTIFS(存条明细!$C$4:$C$1003,出库明细!C908,存条明细!$D$4:$D$1003,出库明细!D908)&gt;0,COUNTIFS(出库明细!$C$4:C908,出库明细!C908,出库明细!$D$4:D908,出库明细!D908)&gt;1),"",IFERROR(MATCH(出库明细!C908,总览汇总!$B$5:$B$304,0),900)*10000000+IFERROR(MATCH(出库明细!D908,基础资料!$E$5:$E$104,0),900)*10000+ROW()))</f>
      </c>
      <c r="F1908">
        <f>IF(AND(出库明细!C1908&lt;&gt;"",出库明细!C1908=客户对账单!$B$4,ISNUMBER(出库明细!B1908),出库明细!B1908&gt;=客户对账单!$G$4,出库明细!B1908&lt;=客户对账单!$I$4),出库明细!B1908+ROW()/100000,"")</f>
      </c>
      <c r="H1908">
        <f>IF(AND(资金台帐!K411&lt;&gt;"",资金台帐!K411=供应商对账单!$B$4,资金台帐!P411="应付",ISNUMBER(资金台帐!B411),资金台帐!B411&gt;=供应商对账单!$G$4,资金台帐!B411&lt;=供应商对账单!$I$4),资金台帐!B411+ROW()/100000,"")</f>
      </c>
      <c r="N1908">
        <f>IF(AND(ISNUMBER(出库明细!G1908),ISNUMBER(出库明细!E1908),ISNUMBER(出库明细!F1908)),IF(ABS(出库明细!G1908-出库明细!E1908*出库明细!F1908)&gt;0.005,1,0),0)</f>
        <v>0</v>
      </c>
    </row>
    <row r="1909">
      <c r="A1909">
        <f>IF(OR(出库明细!C909="",出库明细!D909=""),"",IF(OR(COUNTIFS(存条明细!$C$4:$C$1003,出库明细!C909,存条明细!$D$4:$D$1003,出库明细!D909)&gt;0,COUNTIFS(出库明细!$C$4:C909,出库明细!C909,出库明细!$D$4:D909,出库明细!D909)&gt;1),"",IFERROR(MATCH(出库明细!C909,总览汇总!$B$5:$B$304,0),900)*10000000+IFERROR(MATCH(出库明细!D909,基础资料!$E$5:$E$104,0),900)*10000+ROW()))</f>
      </c>
      <c r="F1909">
        <f>IF(AND(出库明细!C1909&lt;&gt;"",出库明细!C1909=客户对账单!$B$4,ISNUMBER(出库明细!B1909),出库明细!B1909&gt;=客户对账单!$G$4,出库明细!B1909&lt;=客户对账单!$I$4),出库明细!B1909+ROW()/100000,"")</f>
      </c>
      <c r="H1909">
        <f>IF(AND(资金台帐!K412&lt;&gt;"",资金台帐!K412=供应商对账单!$B$4,资金台帐!P412="应付",ISNUMBER(资金台帐!B412),资金台帐!B412&gt;=供应商对账单!$G$4,资金台帐!B412&lt;=供应商对账单!$I$4),资金台帐!B412+ROW()/100000,"")</f>
      </c>
      <c r="N1909">
        <f>IF(AND(ISNUMBER(出库明细!G1909),ISNUMBER(出库明细!E1909),ISNUMBER(出库明细!F1909)),IF(ABS(出库明细!G1909-出库明细!E1909*出库明细!F1909)&gt;0.005,1,0),0)</f>
        <v>0</v>
      </c>
    </row>
    <row r="1910">
      <c r="A1910">
        <f>IF(OR(出库明细!C910="",出库明细!D910=""),"",IF(OR(COUNTIFS(存条明细!$C$4:$C$1003,出库明细!C910,存条明细!$D$4:$D$1003,出库明细!D910)&gt;0,COUNTIFS(出库明细!$C$4:C910,出库明细!C910,出库明细!$D$4:D910,出库明细!D910)&gt;1),"",IFERROR(MATCH(出库明细!C910,总览汇总!$B$5:$B$304,0),900)*10000000+IFERROR(MATCH(出库明细!D910,基础资料!$E$5:$E$104,0),900)*10000+ROW()))</f>
      </c>
      <c r="F1910">
        <f>IF(AND(出库明细!C1910&lt;&gt;"",出库明细!C1910=客户对账单!$B$4,ISNUMBER(出库明细!B1910),出库明细!B1910&gt;=客户对账单!$G$4,出库明细!B1910&lt;=客户对账单!$I$4),出库明细!B1910+ROW()/100000,"")</f>
      </c>
      <c r="H1910">
        <f>IF(AND(资金台帐!K413&lt;&gt;"",资金台帐!K413=供应商对账单!$B$4,资金台帐!P413="应付",ISNUMBER(资金台帐!B413),资金台帐!B413&gt;=供应商对账单!$G$4,资金台帐!B413&lt;=供应商对账单!$I$4),资金台帐!B413+ROW()/100000,"")</f>
      </c>
      <c r="N1910">
        <f>IF(AND(ISNUMBER(出库明细!G1910),ISNUMBER(出库明细!E1910),ISNUMBER(出库明细!F1910)),IF(ABS(出库明细!G1910-出库明细!E1910*出库明细!F1910)&gt;0.005,1,0),0)</f>
        <v>0</v>
      </c>
    </row>
    <row r="1911">
      <c r="A1911">
        <f>IF(OR(出库明细!C911="",出库明细!D911=""),"",IF(OR(COUNTIFS(存条明细!$C$4:$C$1003,出库明细!C911,存条明细!$D$4:$D$1003,出库明细!D911)&gt;0,COUNTIFS(出库明细!$C$4:C911,出库明细!C911,出库明细!$D$4:D911,出库明细!D911)&gt;1),"",IFERROR(MATCH(出库明细!C911,总览汇总!$B$5:$B$304,0),900)*10000000+IFERROR(MATCH(出库明细!D911,基础资料!$E$5:$E$104,0),900)*10000+ROW()))</f>
      </c>
      <c r="F1911">
        <f>IF(AND(出库明细!C1911&lt;&gt;"",出库明细!C1911=客户对账单!$B$4,ISNUMBER(出库明细!B1911),出库明细!B1911&gt;=客户对账单!$G$4,出库明细!B1911&lt;=客户对账单!$I$4),出库明细!B1911+ROW()/100000,"")</f>
      </c>
      <c r="H1911">
        <f>IF(AND(资金台帐!K414&lt;&gt;"",资金台帐!K414=供应商对账单!$B$4,资金台帐!P414="应付",ISNUMBER(资金台帐!B414),资金台帐!B414&gt;=供应商对账单!$G$4,资金台帐!B414&lt;=供应商对账单!$I$4),资金台帐!B414+ROW()/100000,"")</f>
      </c>
      <c r="N1911">
        <f>IF(AND(ISNUMBER(出库明细!G1911),ISNUMBER(出库明细!E1911),ISNUMBER(出库明细!F1911)),IF(ABS(出库明细!G1911-出库明细!E1911*出库明细!F1911)&gt;0.005,1,0),0)</f>
        <v>0</v>
      </c>
    </row>
    <row r="1912">
      <c r="A1912">
        <f>IF(OR(出库明细!C912="",出库明细!D912=""),"",IF(OR(COUNTIFS(存条明细!$C$4:$C$1003,出库明细!C912,存条明细!$D$4:$D$1003,出库明细!D912)&gt;0,COUNTIFS(出库明细!$C$4:C912,出库明细!C912,出库明细!$D$4:D912,出库明细!D912)&gt;1),"",IFERROR(MATCH(出库明细!C912,总览汇总!$B$5:$B$304,0),900)*10000000+IFERROR(MATCH(出库明细!D912,基础资料!$E$5:$E$104,0),900)*10000+ROW()))</f>
      </c>
      <c r="F1912">
        <f>IF(AND(出库明细!C1912&lt;&gt;"",出库明细!C1912=客户对账单!$B$4,ISNUMBER(出库明细!B1912),出库明细!B1912&gt;=客户对账单!$G$4,出库明细!B1912&lt;=客户对账单!$I$4),出库明细!B1912+ROW()/100000,"")</f>
      </c>
      <c r="H1912">
        <f>IF(AND(资金台帐!K415&lt;&gt;"",资金台帐!K415=供应商对账单!$B$4,资金台帐!P415="应付",ISNUMBER(资金台帐!B415),资金台帐!B415&gt;=供应商对账单!$G$4,资金台帐!B415&lt;=供应商对账单!$I$4),资金台帐!B415+ROW()/100000,"")</f>
      </c>
      <c r="N1912">
        <f>IF(AND(ISNUMBER(出库明细!G1912),ISNUMBER(出库明细!E1912),ISNUMBER(出库明细!F1912)),IF(ABS(出库明细!G1912-出库明细!E1912*出库明细!F1912)&gt;0.005,1,0),0)</f>
        <v>0</v>
      </c>
    </row>
    <row r="1913">
      <c r="A1913">
        <f>IF(OR(出库明细!C913="",出库明细!D913=""),"",IF(OR(COUNTIFS(存条明细!$C$4:$C$1003,出库明细!C913,存条明细!$D$4:$D$1003,出库明细!D913)&gt;0,COUNTIFS(出库明细!$C$4:C913,出库明细!C913,出库明细!$D$4:D913,出库明细!D913)&gt;1),"",IFERROR(MATCH(出库明细!C913,总览汇总!$B$5:$B$304,0),900)*10000000+IFERROR(MATCH(出库明细!D913,基础资料!$E$5:$E$104,0),900)*10000+ROW()))</f>
      </c>
      <c r="F1913">
        <f>IF(AND(出库明细!C1913&lt;&gt;"",出库明细!C1913=客户对账单!$B$4,ISNUMBER(出库明细!B1913),出库明细!B1913&gt;=客户对账单!$G$4,出库明细!B1913&lt;=客户对账单!$I$4),出库明细!B1913+ROW()/100000,"")</f>
      </c>
      <c r="H1913">
        <f>IF(AND(资金台帐!K416&lt;&gt;"",资金台帐!K416=供应商对账单!$B$4,资金台帐!P416="应付",ISNUMBER(资金台帐!B416),资金台帐!B416&gt;=供应商对账单!$G$4,资金台帐!B416&lt;=供应商对账单!$I$4),资金台帐!B416+ROW()/100000,"")</f>
      </c>
      <c r="N1913">
        <f>IF(AND(ISNUMBER(出库明细!G1913),ISNUMBER(出库明细!E1913),ISNUMBER(出库明细!F1913)),IF(ABS(出库明细!G1913-出库明细!E1913*出库明细!F1913)&gt;0.005,1,0),0)</f>
        <v>0</v>
      </c>
    </row>
    <row r="1914">
      <c r="A1914">
        <f>IF(OR(出库明细!C914="",出库明细!D914=""),"",IF(OR(COUNTIFS(存条明细!$C$4:$C$1003,出库明细!C914,存条明细!$D$4:$D$1003,出库明细!D914)&gt;0,COUNTIFS(出库明细!$C$4:C914,出库明细!C914,出库明细!$D$4:D914,出库明细!D914)&gt;1),"",IFERROR(MATCH(出库明细!C914,总览汇总!$B$5:$B$304,0),900)*10000000+IFERROR(MATCH(出库明细!D914,基础资料!$E$5:$E$104,0),900)*10000+ROW()))</f>
      </c>
      <c r="F1914">
        <f>IF(AND(出库明细!C1914&lt;&gt;"",出库明细!C1914=客户对账单!$B$4,ISNUMBER(出库明细!B1914),出库明细!B1914&gt;=客户对账单!$G$4,出库明细!B1914&lt;=客户对账单!$I$4),出库明细!B1914+ROW()/100000,"")</f>
      </c>
      <c r="H1914">
        <f>IF(AND(资金台帐!K417&lt;&gt;"",资金台帐!K417=供应商对账单!$B$4,资金台帐!P417="应付",ISNUMBER(资金台帐!B417),资金台帐!B417&gt;=供应商对账单!$G$4,资金台帐!B417&lt;=供应商对账单!$I$4),资金台帐!B417+ROW()/100000,"")</f>
      </c>
      <c r="N1914">
        <f>IF(AND(ISNUMBER(出库明细!G1914),ISNUMBER(出库明细!E1914),ISNUMBER(出库明细!F1914)),IF(ABS(出库明细!G1914-出库明细!E1914*出库明细!F1914)&gt;0.005,1,0),0)</f>
        <v>0</v>
      </c>
    </row>
    <row r="1915">
      <c r="A1915">
        <f>IF(OR(出库明细!C915="",出库明细!D915=""),"",IF(OR(COUNTIFS(存条明细!$C$4:$C$1003,出库明细!C915,存条明细!$D$4:$D$1003,出库明细!D915)&gt;0,COUNTIFS(出库明细!$C$4:C915,出库明细!C915,出库明细!$D$4:D915,出库明细!D915)&gt;1),"",IFERROR(MATCH(出库明细!C915,总览汇总!$B$5:$B$304,0),900)*10000000+IFERROR(MATCH(出库明细!D915,基础资料!$E$5:$E$104,0),900)*10000+ROW()))</f>
      </c>
      <c r="F1915">
        <f>IF(AND(出库明细!C1915&lt;&gt;"",出库明细!C1915=客户对账单!$B$4,ISNUMBER(出库明细!B1915),出库明细!B1915&gt;=客户对账单!$G$4,出库明细!B1915&lt;=客户对账单!$I$4),出库明细!B1915+ROW()/100000,"")</f>
      </c>
      <c r="H1915">
        <f>IF(AND(资金台帐!K418&lt;&gt;"",资金台帐!K418=供应商对账单!$B$4,资金台帐!P418="应付",ISNUMBER(资金台帐!B418),资金台帐!B418&gt;=供应商对账单!$G$4,资金台帐!B418&lt;=供应商对账单!$I$4),资金台帐!B418+ROW()/100000,"")</f>
      </c>
      <c r="N1915">
        <f>IF(AND(ISNUMBER(出库明细!G1915),ISNUMBER(出库明细!E1915),ISNUMBER(出库明细!F1915)),IF(ABS(出库明细!G1915-出库明细!E1915*出库明细!F1915)&gt;0.005,1,0),0)</f>
        <v>0</v>
      </c>
    </row>
    <row r="1916">
      <c r="A1916">
        <f>IF(OR(出库明细!C916="",出库明细!D916=""),"",IF(OR(COUNTIFS(存条明细!$C$4:$C$1003,出库明细!C916,存条明细!$D$4:$D$1003,出库明细!D916)&gt;0,COUNTIFS(出库明细!$C$4:C916,出库明细!C916,出库明细!$D$4:D916,出库明细!D916)&gt;1),"",IFERROR(MATCH(出库明细!C916,总览汇总!$B$5:$B$304,0),900)*10000000+IFERROR(MATCH(出库明细!D916,基础资料!$E$5:$E$104,0),900)*10000+ROW()))</f>
      </c>
      <c r="F1916">
        <f>IF(AND(出库明细!C1916&lt;&gt;"",出库明细!C1916=客户对账单!$B$4,ISNUMBER(出库明细!B1916),出库明细!B1916&gt;=客户对账单!$G$4,出库明细!B1916&lt;=客户对账单!$I$4),出库明细!B1916+ROW()/100000,"")</f>
      </c>
      <c r="H1916">
        <f>IF(AND(资金台帐!K419&lt;&gt;"",资金台帐!K419=供应商对账单!$B$4,资金台帐!P419="应付",ISNUMBER(资金台帐!B419),资金台帐!B419&gt;=供应商对账单!$G$4,资金台帐!B419&lt;=供应商对账单!$I$4),资金台帐!B419+ROW()/100000,"")</f>
      </c>
      <c r="N1916">
        <f>IF(AND(ISNUMBER(出库明细!G1916),ISNUMBER(出库明细!E1916),ISNUMBER(出库明细!F1916)),IF(ABS(出库明细!G1916-出库明细!E1916*出库明细!F1916)&gt;0.005,1,0),0)</f>
        <v>0</v>
      </c>
    </row>
    <row r="1917">
      <c r="A1917">
        <f>IF(OR(出库明细!C917="",出库明细!D917=""),"",IF(OR(COUNTIFS(存条明细!$C$4:$C$1003,出库明细!C917,存条明细!$D$4:$D$1003,出库明细!D917)&gt;0,COUNTIFS(出库明细!$C$4:C917,出库明细!C917,出库明细!$D$4:D917,出库明细!D917)&gt;1),"",IFERROR(MATCH(出库明细!C917,总览汇总!$B$5:$B$304,0),900)*10000000+IFERROR(MATCH(出库明细!D917,基础资料!$E$5:$E$104,0),900)*10000+ROW()))</f>
      </c>
      <c r="F1917">
        <f>IF(AND(出库明细!C1917&lt;&gt;"",出库明细!C1917=客户对账单!$B$4,ISNUMBER(出库明细!B1917),出库明细!B1917&gt;=客户对账单!$G$4,出库明细!B1917&lt;=客户对账单!$I$4),出库明细!B1917+ROW()/100000,"")</f>
      </c>
      <c r="H1917">
        <f>IF(AND(资金台帐!K420&lt;&gt;"",资金台帐!K420=供应商对账单!$B$4,资金台帐!P420="应付",ISNUMBER(资金台帐!B420),资金台帐!B420&gt;=供应商对账单!$G$4,资金台帐!B420&lt;=供应商对账单!$I$4),资金台帐!B420+ROW()/100000,"")</f>
      </c>
      <c r="N1917">
        <f>IF(AND(ISNUMBER(出库明细!G1917),ISNUMBER(出库明细!E1917),ISNUMBER(出库明细!F1917)),IF(ABS(出库明细!G1917-出库明细!E1917*出库明细!F1917)&gt;0.005,1,0),0)</f>
        <v>0</v>
      </c>
    </row>
    <row r="1918">
      <c r="A1918">
        <f>IF(OR(出库明细!C918="",出库明细!D918=""),"",IF(OR(COUNTIFS(存条明细!$C$4:$C$1003,出库明细!C918,存条明细!$D$4:$D$1003,出库明细!D918)&gt;0,COUNTIFS(出库明细!$C$4:C918,出库明细!C918,出库明细!$D$4:D918,出库明细!D918)&gt;1),"",IFERROR(MATCH(出库明细!C918,总览汇总!$B$5:$B$304,0),900)*10000000+IFERROR(MATCH(出库明细!D918,基础资料!$E$5:$E$104,0),900)*10000+ROW()))</f>
      </c>
      <c r="F1918">
        <f>IF(AND(出库明细!C1918&lt;&gt;"",出库明细!C1918=客户对账单!$B$4,ISNUMBER(出库明细!B1918),出库明细!B1918&gt;=客户对账单!$G$4,出库明细!B1918&lt;=客户对账单!$I$4),出库明细!B1918+ROW()/100000,"")</f>
      </c>
      <c r="H1918">
        <f>IF(AND(资金台帐!K421&lt;&gt;"",资金台帐!K421=供应商对账单!$B$4,资金台帐!P421="应付",ISNUMBER(资金台帐!B421),资金台帐!B421&gt;=供应商对账单!$G$4,资金台帐!B421&lt;=供应商对账单!$I$4),资金台帐!B421+ROW()/100000,"")</f>
      </c>
      <c r="N1918">
        <f>IF(AND(ISNUMBER(出库明细!G1918),ISNUMBER(出库明细!E1918),ISNUMBER(出库明细!F1918)),IF(ABS(出库明细!G1918-出库明细!E1918*出库明细!F1918)&gt;0.005,1,0),0)</f>
        <v>0</v>
      </c>
    </row>
    <row r="1919">
      <c r="A1919">
        <f>IF(OR(出库明细!C919="",出库明细!D919=""),"",IF(OR(COUNTIFS(存条明细!$C$4:$C$1003,出库明细!C919,存条明细!$D$4:$D$1003,出库明细!D919)&gt;0,COUNTIFS(出库明细!$C$4:C919,出库明细!C919,出库明细!$D$4:D919,出库明细!D919)&gt;1),"",IFERROR(MATCH(出库明细!C919,总览汇总!$B$5:$B$304,0),900)*10000000+IFERROR(MATCH(出库明细!D919,基础资料!$E$5:$E$104,0),900)*10000+ROW()))</f>
      </c>
      <c r="F1919">
        <f>IF(AND(出库明细!C1919&lt;&gt;"",出库明细!C1919=客户对账单!$B$4,ISNUMBER(出库明细!B1919),出库明细!B1919&gt;=客户对账单!$G$4,出库明细!B1919&lt;=客户对账单!$I$4),出库明细!B1919+ROW()/100000,"")</f>
      </c>
      <c r="H1919">
        <f>IF(AND(资金台帐!K422&lt;&gt;"",资金台帐!K422=供应商对账单!$B$4,资金台帐!P422="应付",ISNUMBER(资金台帐!B422),资金台帐!B422&gt;=供应商对账单!$G$4,资金台帐!B422&lt;=供应商对账单!$I$4),资金台帐!B422+ROW()/100000,"")</f>
      </c>
      <c r="N1919">
        <f>IF(AND(ISNUMBER(出库明细!G1919),ISNUMBER(出库明细!E1919),ISNUMBER(出库明细!F1919)),IF(ABS(出库明细!G1919-出库明细!E1919*出库明细!F1919)&gt;0.005,1,0),0)</f>
        <v>0</v>
      </c>
    </row>
    <row r="1920">
      <c r="A1920">
        <f>IF(OR(出库明细!C920="",出库明细!D920=""),"",IF(OR(COUNTIFS(存条明细!$C$4:$C$1003,出库明细!C920,存条明细!$D$4:$D$1003,出库明细!D920)&gt;0,COUNTIFS(出库明细!$C$4:C920,出库明细!C920,出库明细!$D$4:D920,出库明细!D920)&gt;1),"",IFERROR(MATCH(出库明细!C920,总览汇总!$B$5:$B$304,0),900)*10000000+IFERROR(MATCH(出库明细!D920,基础资料!$E$5:$E$104,0),900)*10000+ROW()))</f>
      </c>
      <c r="F1920">
        <f>IF(AND(出库明细!C1920&lt;&gt;"",出库明细!C1920=客户对账单!$B$4,ISNUMBER(出库明细!B1920),出库明细!B1920&gt;=客户对账单!$G$4,出库明细!B1920&lt;=客户对账单!$I$4),出库明细!B1920+ROW()/100000,"")</f>
      </c>
      <c r="H1920">
        <f>IF(AND(资金台帐!K423&lt;&gt;"",资金台帐!K423=供应商对账单!$B$4,资金台帐!P423="应付",ISNUMBER(资金台帐!B423),资金台帐!B423&gt;=供应商对账单!$G$4,资金台帐!B423&lt;=供应商对账单!$I$4),资金台帐!B423+ROW()/100000,"")</f>
      </c>
      <c r="N1920">
        <f>IF(AND(ISNUMBER(出库明细!G1920),ISNUMBER(出库明细!E1920),ISNUMBER(出库明细!F1920)),IF(ABS(出库明细!G1920-出库明细!E1920*出库明细!F1920)&gt;0.005,1,0),0)</f>
        <v>0</v>
      </c>
    </row>
    <row r="1921">
      <c r="A1921">
        <f>IF(OR(出库明细!C921="",出库明细!D921=""),"",IF(OR(COUNTIFS(存条明细!$C$4:$C$1003,出库明细!C921,存条明细!$D$4:$D$1003,出库明细!D921)&gt;0,COUNTIFS(出库明细!$C$4:C921,出库明细!C921,出库明细!$D$4:D921,出库明细!D921)&gt;1),"",IFERROR(MATCH(出库明细!C921,总览汇总!$B$5:$B$304,0),900)*10000000+IFERROR(MATCH(出库明细!D921,基础资料!$E$5:$E$104,0),900)*10000+ROW()))</f>
      </c>
      <c r="F1921">
        <f>IF(AND(出库明细!C1921&lt;&gt;"",出库明细!C1921=客户对账单!$B$4,ISNUMBER(出库明细!B1921),出库明细!B1921&gt;=客户对账单!$G$4,出库明细!B1921&lt;=客户对账单!$I$4),出库明细!B1921+ROW()/100000,"")</f>
      </c>
      <c r="H1921">
        <f>IF(AND(资金台帐!K424&lt;&gt;"",资金台帐!K424=供应商对账单!$B$4,资金台帐!P424="应付",ISNUMBER(资金台帐!B424),资金台帐!B424&gt;=供应商对账单!$G$4,资金台帐!B424&lt;=供应商对账单!$I$4),资金台帐!B424+ROW()/100000,"")</f>
      </c>
      <c r="N1921">
        <f>IF(AND(ISNUMBER(出库明细!G1921),ISNUMBER(出库明细!E1921),ISNUMBER(出库明细!F1921)),IF(ABS(出库明细!G1921-出库明细!E1921*出库明细!F1921)&gt;0.005,1,0),0)</f>
        <v>0</v>
      </c>
    </row>
    <row r="1922">
      <c r="A1922">
        <f>IF(OR(出库明细!C922="",出库明细!D922=""),"",IF(OR(COUNTIFS(存条明细!$C$4:$C$1003,出库明细!C922,存条明细!$D$4:$D$1003,出库明细!D922)&gt;0,COUNTIFS(出库明细!$C$4:C922,出库明细!C922,出库明细!$D$4:D922,出库明细!D922)&gt;1),"",IFERROR(MATCH(出库明细!C922,总览汇总!$B$5:$B$304,0),900)*10000000+IFERROR(MATCH(出库明细!D922,基础资料!$E$5:$E$104,0),900)*10000+ROW()))</f>
      </c>
      <c r="F1922">
        <f>IF(AND(出库明细!C1922&lt;&gt;"",出库明细!C1922=客户对账单!$B$4,ISNUMBER(出库明细!B1922),出库明细!B1922&gt;=客户对账单!$G$4,出库明细!B1922&lt;=客户对账单!$I$4),出库明细!B1922+ROW()/100000,"")</f>
      </c>
      <c r="H1922">
        <f>IF(AND(资金台帐!K425&lt;&gt;"",资金台帐!K425=供应商对账单!$B$4,资金台帐!P425="应付",ISNUMBER(资金台帐!B425),资金台帐!B425&gt;=供应商对账单!$G$4,资金台帐!B425&lt;=供应商对账单!$I$4),资金台帐!B425+ROW()/100000,"")</f>
      </c>
      <c r="N1922">
        <f>IF(AND(ISNUMBER(出库明细!G1922),ISNUMBER(出库明细!E1922),ISNUMBER(出库明细!F1922)),IF(ABS(出库明细!G1922-出库明细!E1922*出库明细!F1922)&gt;0.005,1,0),0)</f>
        <v>0</v>
      </c>
    </row>
    <row r="1923">
      <c r="A1923">
        <f>IF(OR(出库明细!C923="",出库明细!D923=""),"",IF(OR(COUNTIFS(存条明细!$C$4:$C$1003,出库明细!C923,存条明细!$D$4:$D$1003,出库明细!D923)&gt;0,COUNTIFS(出库明细!$C$4:C923,出库明细!C923,出库明细!$D$4:D923,出库明细!D923)&gt;1),"",IFERROR(MATCH(出库明细!C923,总览汇总!$B$5:$B$304,0),900)*10000000+IFERROR(MATCH(出库明细!D923,基础资料!$E$5:$E$104,0),900)*10000+ROW()))</f>
      </c>
      <c r="F1923">
        <f>IF(AND(出库明细!C1923&lt;&gt;"",出库明细!C1923=客户对账单!$B$4,ISNUMBER(出库明细!B1923),出库明细!B1923&gt;=客户对账单!$G$4,出库明细!B1923&lt;=客户对账单!$I$4),出库明细!B1923+ROW()/100000,"")</f>
      </c>
      <c r="H1923">
        <f>IF(AND(资金台帐!K426&lt;&gt;"",资金台帐!K426=供应商对账单!$B$4,资金台帐!P426="应付",ISNUMBER(资金台帐!B426),资金台帐!B426&gt;=供应商对账单!$G$4,资金台帐!B426&lt;=供应商对账单!$I$4),资金台帐!B426+ROW()/100000,"")</f>
      </c>
      <c r="N1923">
        <f>IF(AND(ISNUMBER(出库明细!G1923),ISNUMBER(出库明细!E1923),ISNUMBER(出库明细!F1923)),IF(ABS(出库明细!G1923-出库明细!E1923*出库明细!F1923)&gt;0.005,1,0),0)</f>
        <v>0</v>
      </c>
    </row>
    <row r="1924">
      <c r="A1924">
        <f>IF(OR(出库明细!C924="",出库明细!D924=""),"",IF(OR(COUNTIFS(存条明细!$C$4:$C$1003,出库明细!C924,存条明细!$D$4:$D$1003,出库明细!D924)&gt;0,COUNTIFS(出库明细!$C$4:C924,出库明细!C924,出库明细!$D$4:D924,出库明细!D924)&gt;1),"",IFERROR(MATCH(出库明细!C924,总览汇总!$B$5:$B$304,0),900)*10000000+IFERROR(MATCH(出库明细!D924,基础资料!$E$5:$E$104,0),900)*10000+ROW()))</f>
      </c>
      <c r="F1924">
        <f>IF(AND(出库明细!C1924&lt;&gt;"",出库明细!C1924=客户对账单!$B$4,ISNUMBER(出库明细!B1924),出库明细!B1924&gt;=客户对账单!$G$4,出库明细!B1924&lt;=客户对账单!$I$4),出库明细!B1924+ROW()/100000,"")</f>
      </c>
      <c r="H1924">
        <f>IF(AND(资金台帐!K427&lt;&gt;"",资金台帐!K427=供应商对账单!$B$4,资金台帐!P427="应付",ISNUMBER(资金台帐!B427),资金台帐!B427&gt;=供应商对账单!$G$4,资金台帐!B427&lt;=供应商对账单!$I$4),资金台帐!B427+ROW()/100000,"")</f>
      </c>
      <c r="N1924">
        <f>IF(AND(ISNUMBER(出库明细!G1924),ISNUMBER(出库明细!E1924),ISNUMBER(出库明细!F1924)),IF(ABS(出库明细!G1924-出库明细!E1924*出库明细!F1924)&gt;0.005,1,0),0)</f>
        <v>0</v>
      </c>
    </row>
    <row r="1925">
      <c r="A1925">
        <f>IF(OR(出库明细!C925="",出库明细!D925=""),"",IF(OR(COUNTIFS(存条明细!$C$4:$C$1003,出库明细!C925,存条明细!$D$4:$D$1003,出库明细!D925)&gt;0,COUNTIFS(出库明细!$C$4:C925,出库明细!C925,出库明细!$D$4:D925,出库明细!D925)&gt;1),"",IFERROR(MATCH(出库明细!C925,总览汇总!$B$5:$B$304,0),900)*10000000+IFERROR(MATCH(出库明细!D925,基础资料!$E$5:$E$104,0),900)*10000+ROW()))</f>
      </c>
      <c r="F1925">
        <f>IF(AND(出库明细!C1925&lt;&gt;"",出库明细!C1925=客户对账单!$B$4,ISNUMBER(出库明细!B1925),出库明细!B1925&gt;=客户对账单!$G$4,出库明细!B1925&lt;=客户对账单!$I$4),出库明细!B1925+ROW()/100000,"")</f>
      </c>
      <c r="H1925">
        <f>IF(AND(资金台帐!K428&lt;&gt;"",资金台帐!K428=供应商对账单!$B$4,资金台帐!P428="应付",ISNUMBER(资金台帐!B428),资金台帐!B428&gt;=供应商对账单!$G$4,资金台帐!B428&lt;=供应商对账单!$I$4),资金台帐!B428+ROW()/100000,"")</f>
      </c>
      <c r="N1925">
        <f>IF(AND(ISNUMBER(出库明细!G1925),ISNUMBER(出库明细!E1925),ISNUMBER(出库明细!F1925)),IF(ABS(出库明细!G1925-出库明细!E1925*出库明细!F1925)&gt;0.005,1,0),0)</f>
        <v>0</v>
      </c>
    </row>
    <row r="1926">
      <c r="A1926">
        <f>IF(OR(出库明细!C926="",出库明细!D926=""),"",IF(OR(COUNTIFS(存条明细!$C$4:$C$1003,出库明细!C926,存条明细!$D$4:$D$1003,出库明细!D926)&gt;0,COUNTIFS(出库明细!$C$4:C926,出库明细!C926,出库明细!$D$4:D926,出库明细!D926)&gt;1),"",IFERROR(MATCH(出库明细!C926,总览汇总!$B$5:$B$304,0),900)*10000000+IFERROR(MATCH(出库明细!D926,基础资料!$E$5:$E$104,0),900)*10000+ROW()))</f>
      </c>
      <c r="F1926">
        <f>IF(AND(出库明细!C1926&lt;&gt;"",出库明细!C1926=客户对账单!$B$4,ISNUMBER(出库明细!B1926),出库明细!B1926&gt;=客户对账单!$G$4,出库明细!B1926&lt;=客户对账单!$I$4),出库明细!B1926+ROW()/100000,"")</f>
      </c>
      <c r="H1926">
        <f>IF(AND(资金台帐!K429&lt;&gt;"",资金台帐!K429=供应商对账单!$B$4,资金台帐!P429="应付",ISNUMBER(资金台帐!B429),资金台帐!B429&gt;=供应商对账单!$G$4,资金台帐!B429&lt;=供应商对账单!$I$4),资金台帐!B429+ROW()/100000,"")</f>
      </c>
      <c r="N1926">
        <f>IF(AND(ISNUMBER(出库明细!G1926),ISNUMBER(出库明细!E1926),ISNUMBER(出库明细!F1926)),IF(ABS(出库明细!G1926-出库明细!E1926*出库明细!F1926)&gt;0.005,1,0),0)</f>
        <v>0</v>
      </c>
    </row>
    <row r="1927">
      <c r="A1927">
        <f>IF(OR(出库明细!C927="",出库明细!D927=""),"",IF(OR(COUNTIFS(存条明细!$C$4:$C$1003,出库明细!C927,存条明细!$D$4:$D$1003,出库明细!D927)&gt;0,COUNTIFS(出库明细!$C$4:C927,出库明细!C927,出库明细!$D$4:D927,出库明细!D927)&gt;1),"",IFERROR(MATCH(出库明细!C927,总览汇总!$B$5:$B$304,0),900)*10000000+IFERROR(MATCH(出库明细!D927,基础资料!$E$5:$E$104,0),900)*10000+ROW()))</f>
      </c>
      <c r="F1927">
        <f>IF(AND(出库明细!C1927&lt;&gt;"",出库明细!C1927=客户对账单!$B$4,ISNUMBER(出库明细!B1927),出库明细!B1927&gt;=客户对账单!$G$4,出库明细!B1927&lt;=客户对账单!$I$4),出库明细!B1927+ROW()/100000,"")</f>
      </c>
      <c r="H1927">
        <f>IF(AND(资金台帐!K430&lt;&gt;"",资金台帐!K430=供应商对账单!$B$4,资金台帐!P430="应付",ISNUMBER(资金台帐!B430),资金台帐!B430&gt;=供应商对账单!$G$4,资金台帐!B430&lt;=供应商对账单!$I$4),资金台帐!B430+ROW()/100000,"")</f>
      </c>
      <c r="N1927">
        <f>IF(AND(ISNUMBER(出库明细!G1927),ISNUMBER(出库明细!E1927),ISNUMBER(出库明细!F1927)),IF(ABS(出库明细!G1927-出库明细!E1927*出库明细!F1927)&gt;0.005,1,0),0)</f>
        <v>0</v>
      </c>
    </row>
    <row r="1928">
      <c r="A1928">
        <f>IF(OR(出库明细!C928="",出库明细!D928=""),"",IF(OR(COUNTIFS(存条明细!$C$4:$C$1003,出库明细!C928,存条明细!$D$4:$D$1003,出库明细!D928)&gt;0,COUNTIFS(出库明细!$C$4:C928,出库明细!C928,出库明细!$D$4:D928,出库明细!D928)&gt;1),"",IFERROR(MATCH(出库明细!C928,总览汇总!$B$5:$B$304,0),900)*10000000+IFERROR(MATCH(出库明细!D928,基础资料!$E$5:$E$104,0),900)*10000+ROW()))</f>
      </c>
      <c r="F1928">
        <f>IF(AND(出库明细!C1928&lt;&gt;"",出库明细!C1928=客户对账单!$B$4,ISNUMBER(出库明细!B1928),出库明细!B1928&gt;=客户对账单!$G$4,出库明细!B1928&lt;=客户对账单!$I$4),出库明细!B1928+ROW()/100000,"")</f>
      </c>
      <c r="H1928">
        <f>IF(AND(资金台帐!K431&lt;&gt;"",资金台帐!K431=供应商对账单!$B$4,资金台帐!P431="应付",ISNUMBER(资金台帐!B431),资金台帐!B431&gt;=供应商对账单!$G$4,资金台帐!B431&lt;=供应商对账单!$I$4),资金台帐!B431+ROW()/100000,"")</f>
      </c>
      <c r="N1928">
        <f>IF(AND(ISNUMBER(出库明细!G1928),ISNUMBER(出库明细!E1928),ISNUMBER(出库明细!F1928)),IF(ABS(出库明细!G1928-出库明细!E1928*出库明细!F1928)&gt;0.005,1,0),0)</f>
        <v>0</v>
      </c>
    </row>
    <row r="1929">
      <c r="A1929">
        <f>IF(OR(出库明细!C929="",出库明细!D929=""),"",IF(OR(COUNTIFS(存条明细!$C$4:$C$1003,出库明细!C929,存条明细!$D$4:$D$1003,出库明细!D929)&gt;0,COUNTIFS(出库明细!$C$4:C929,出库明细!C929,出库明细!$D$4:D929,出库明细!D929)&gt;1),"",IFERROR(MATCH(出库明细!C929,总览汇总!$B$5:$B$304,0),900)*10000000+IFERROR(MATCH(出库明细!D929,基础资料!$E$5:$E$104,0),900)*10000+ROW()))</f>
      </c>
      <c r="F1929">
        <f>IF(AND(出库明细!C1929&lt;&gt;"",出库明细!C1929=客户对账单!$B$4,ISNUMBER(出库明细!B1929),出库明细!B1929&gt;=客户对账单!$G$4,出库明细!B1929&lt;=客户对账单!$I$4),出库明细!B1929+ROW()/100000,"")</f>
      </c>
      <c r="H1929">
        <f>IF(AND(资金台帐!K432&lt;&gt;"",资金台帐!K432=供应商对账单!$B$4,资金台帐!P432="应付",ISNUMBER(资金台帐!B432),资金台帐!B432&gt;=供应商对账单!$G$4,资金台帐!B432&lt;=供应商对账单!$I$4),资金台帐!B432+ROW()/100000,"")</f>
      </c>
      <c r="N1929">
        <f>IF(AND(ISNUMBER(出库明细!G1929),ISNUMBER(出库明细!E1929),ISNUMBER(出库明细!F1929)),IF(ABS(出库明细!G1929-出库明细!E1929*出库明细!F1929)&gt;0.005,1,0),0)</f>
        <v>0</v>
      </c>
    </row>
    <row r="1930">
      <c r="A1930">
        <f>IF(OR(出库明细!C930="",出库明细!D930=""),"",IF(OR(COUNTIFS(存条明细!$C$4:$C$1003,出库明细!C930,存条明细!$D$4:$D$1003,出库明细!D930)&gt;0,COUNTIFS(出库明细!$C$4:C930,出库明细!C930,出库明细!$D$4:D930,出库明细!D930)&gt;1),"",IFERROR(MATCH(出库明细!C930,总览汇总!$B$5:$B$304,0),900)*10000000+IFERROR(MATCH(出库明细!D930,基础资料!$E$5:$E$104,0),900)*10000+ROW()))</f>
      </c>
      <c r="F1930">
        <f>IF(AND(出库明细!C1930&lt;&gt;"",出库明细!C1930=客户对账单!$B$4,ISNUMBER(出库明细!B1930),出库明细!B1930&gt;=客户对账单!$G$4,出库明细!B1930&lt;=客户对账单!$I$4),出库明细!B1930+ROW()/100000,"")</f>
      </c>
      <c r="H1930">
        <f>IF(AND(资金台帐!K433&lt;&gt;"",资金台帐!K433=供应商对账单!$B$4,资金台帐!P433="应付",ISNUMBER(资金台帐!B433),资金台帐!B433&gt;=供应商对账单!$G$4,资金台帐!B433&lt;=供应商对账单!$I$4),资金台帐!B433+ROW()/100000,"")</f>
      </c>
      <c r="N1930">
        <f>IF(AND(ISNUMBER(出库明细!G1930),ISNUMBER(出库明细!E1930),ISNUMBER(出库明细!F1930)),IF(ABS(出库明细!G1930-出库明细!E1930*出库明细!F1930)&gt;0.005,1,0),0)</f>
        <v>0</v>
      </c>
    </row>
    <row r="1931">
      <c r="A1931">
        <f>IF(OR(出库明细!C931="",出库明细!D931=""),"",IF(OR(COUNTIFS(存条明细!$C$4:$C$1003,出库明细!C931,存条明细!$D$4:$D$1003,出库明细!D931)&gt;0,COUNTIFS(出库明细!$C$4:C931,出库明细!C931,出库明细!$D$4:D931,出库明细!D931)&gt;1),"",IFERROR(MATCH(出库明细!C931,总览汇总!$B$5:$B$304,0),900)*10000000+IFERROR(MATCH(出库明细!D931,基础资料!$E$5:$E$104,0),900)*10000+ROW()))</f>
      </c>
      <c r="F1931">
        <f>IF(AND(出库明细!C1931&lt;&gt;"",出库明细!C1931=客户对账单!$B$4,ISNUMBER(出库明细!B1931),出库明细!B1931&gt;=客户对账单!$G$4,出库明细!B1931&lt;=客户对账单!$I$4),出库明细!B1931+ROW()/100000,"")</f>
      </c>
      <c r="H1931">
        <f>IF(AND(资金台帐!K434&lt;&gt;"",资金台帐!K434=供应商对账单!$B$4,资金台帐!P434="应付",ISNUMBER(资金台帐!B434),资金台帐!B434&gt;=供应商对账单!$G$4,资金台帐!B434&lt;=供应商对账单!$I$4),资金台帐!B434+ROW()/100000,"")</f>
      </c>
      <c r="N1931">
        <f>IF(AND(ISNUMBER(出库明细!G1931),ISNUMBER(出库明细!E1931),ISNUMBER(出库明细!F1931)),IF(ABS(出库明细!G1931-出库明细!E1931*出库明细!F1931)&gt;0.005,1,0),0)</f>
        <v>0</v>
      </c>
    </row>
    <row r="1932">
      <c r="A1932">
        <f>IF(OR(出库明细!C932="",出库明细!D932=""),"",IF(OR(COUNTIFS(存条明细!$C$4:$C$1003,出库明细!C932,存条明细!$D$4:$D$1003,出库明细!D932)&gt;0,COUNTIFS(出库明细!$C$4:C932,出库明细!C932,出库明细!$D$4:D932,出库明细!D932)&gt;1),"",IFERROR(MATCH(出库明细!C932,总览汇总!$B$5:$B$304,0),900)*10000000+IFERROR(MATCH(出库明细!D932,基础资料!$E$5:$E$104,0),900)*10000+ROW()))</f>
      </c>
      <c r="F1932">
        <f>IF(AND(出库明细!C1932&lt;&gt;"",出库明细!C1932=客户对账单!$B$4,ISNUMBER(出库明细!B1932),出库明细!B1932&gt;=客户对账单!$G$4,出库明细!B1932&lt;=客户对账单!$I$4),出库明细!B1932+ROW()/100000,"")</f>
      </c>
      <c r="H1932">
        <f>IF(AND(资金台帐!K435&lt;&gt;"",资金台帐!K435=供应商对账单!$B$4,资金台帐!P435="应付",ISNUMBER(资金台帐!B435),资金台帐!B435&gt;=供应商对账单!$G$4,资金台帐!B435&lt;=供应商对账单!$I$4),资金台帐!B435+ROW()/100000,"")</f>
      </c>
      <c r="N1932">
        <f>IF(AND(ISNUMBER(出库明细!G1932),ISNUMBER(出库明细!E1932),ISNUMBER(出库明细!F1932)),IF(ABS(出库明细!G1932-出库明细!E1932*出库明细!F1932)&gt;0.005,1,0),0)</f>
        <v>0</v>
      </c>
    </row>
    <row r="1933">
      <c r="A1933">
        <f>IF(OR(出库明细!C933="",出库明细!D933=""),"",IF(OR(COUNTIFS(存条明细!$C$4:$C$1003,出库明细!C933,存条明细!$D$4:$D$1003,出库明细!D933)&gt;0,COUNTIFS(出库明细!$C$4:C933,出库明细!C933,出库明细!$D$4:D933,出库明细!D933)&gt;1),"",IFERROR(MATCH(出库明细!C933,总览汇总!$B$5:$B$304,0),900)*10000000+IFERROR(MATCH(出库明细!D933,基础资料!$E$5:$E$104,0),900)*10000+ROW()))</f>
      </c>
      <c r="F1933">
        <f>IF(AND(出库明细!C1933&lt;&gt;"",出库明细!C1933=客户对账单!$B$4,ISNUMBER(出库明细!B1933),出库明细!B1933&gt;=客户对账单!$G$4,出库明细!B1933&lt;=客户对账单!$I$4),出库明细!B1933+ROW()/100000,"")</f>
      </c>
      <c r="H1933">
        <f>IF(AND(资金台帐!K436&lt;&gt;"",资金台帐!K436=供应商对账单!$B$4,资金台帐!P436="应付",ISNUMBER(资金台帐!B436),资金台帐!B436&gt;=供应商对账单!$G$4,资金台帐!B436&lt;=供应商对账单!$I$4),资金台帐!B436+ROW()/100000,"")</f>
      </c>
      <c r="N1933">
        <f>IF(AND(ISNUMBER(出库明细!G1933),ISNUMBER(出库明细!E1933),ISNUMBER(出库明细!F1933)),IF(ABS(出库明细!G1933-出库明细!E1933*出库明细!F1933)&gt;0.005,1,0),0)</f>
        <v>0</v>
      </c>
    </row>
    <row r="1934">
      <c r="A1934">
        <f>IF(OR(出库明细!C934="",出库明细!D934=""),"",IF(OR(COUNTIFS(存条明细!$C$4:$C$1003,出库明细!C934,存条明细!$D$4:$D$1003,出库明细!D934)&gt;0,COUNTIFS(出库明细!$C$4:C934,出库明细!C934,出库明细!$D$4:D934,出库明细!D934)&gt;1),"",IFERROR(MATCH(出库明细!C934,总览汇总!$B$5:$B$304,0),900)*10000000+IFERROR(MATCH(出库明细!D934,基础资料!$E$5:$E$104,0),900)*10000+ROW()))</f>
      </c>
      <c r="F1934">
        <f>IF(AND(出库明细!C1934&lt;&gt;"",出库明细!C1934=客户对账单!$B$4,ISNUMBER(出库明细!B1934),出库明细!B1934&gt;=客户对账单!$G$4,出库明细!B1934&lt;=客户对账单!$I$4),出库明细!B1934+ROW()/100000,"")</f>
      </c>
      <c r="H1934">
        <f>IF(AND(资金台帐!K437&lt;&gt;"",资金台帐!K437=供应商对账单!$B$4,资金台帐!P437="应付",ISNUMBER(资金台帐!B437),资金台帐!B437&gt;=供应商对账单!$G$4,资金台帐!B437&lt;=供应商对账单!$I$4),资金台帐!B437+ROW()/100000,"")</f>
      </c>
      <c r="N1934">
        <f>IF(AND(ISNUMBER(出库明细!G1934),ISNUMBER(出库明细!E1934),ISNUMBER(出库明细!F1934)),IF(ABS(出库明细!G1934-出库明细!E1934*出库明细!F1934)&gt;0.005,1,0),0)</f>
        <v>0</v>
      </c>
    </row>
    <row r="1935">
      <c r="A1935">
        <f>IF(OR(出库明细!C935="",出库明细!D935=""),"",IF(OR(COUNTIFS(存条明细!$C$4:$C$1003,出库明细!C935,存条明细!$D$4:$D$1003,出库明细!D935)&gt;0,COUNTIFS(出库明细!$C$4:C935,出库明细!C935,出库明细!$D$4:D935,出库明细!D935)&gt;1),"",IFERROR(MATCH(出库明细!C935,总览汇总!$B$5:$B$304,0),900)*10000000+IFERROR(MATCH(出库明细!D935,基础资料!$E$5:$E$104,0),900)*10000+ROW()))</f>
      </c>
      <c r="F1935">
        <f>IF(AND(出库明细!C1935&lt;&gt;"",出库明细!C1935=客户对账单!$B$4,ISNUMBER(出库明细!B1935),出库明细!B1935&gt;=客户对账单!$G$4,出库明细!B1935&lt;=客户对账单!$I$4),出库明细!B1935+ROW()/100000,"")</f>
      </c>
      <c r="H1935">
        <f>IF(AND(资金台帐!K438&lt;&gt;"",资金台帐!K438=供应商对账单!$B$4,资金台帐!P438="应付",ISNUMBER(资金台帐!B438),资金台帐!B438&gt;=供应商对账单!$G$4,资金台帐!B438&lt;=供应商对账单!$I$4),资金台帐!B438+ROW()/100000,"")</f>
      </c>
      <c r="N1935">
        <f>IF(AND(ISNUMBER(出库明细!G1935),ISNUMBER(出库明细!E1935),ISNUMBER(出库明细!F1935)),IF(ABS(出库明细!G1935-出库明细!E1935*出库明细!F1935)&gt;0.005,1,0),0)</f>
        <v>0</v>
      </c>
    </row>
    <row r="1936">
      <c r="A1936">
        <f>IF(OR(出库明细!C936="",出库明细!D936=""),"",IF(OR(COUNTIFS(存条明细!$C$4:$C$1003,出库明细!C936,存条明细!$D$4:$D$1003,出库明细!D936)&gt;0,COUNTIFS(出库明细!$C$4:C936,出库明细!C936,出库明细!$D$4:D936,出库明细!D936)&gt;1),"",IFERROR(MATCH(出库明细!C936,总览汇总!$B$5:$B$304,0),900)*10000000+IFERROR(MATCH(出库明细!D936,基础资料!$E$5:$E$104,0),900)*10000+ROW()))</f>
      </c>
      <c r="F1936">
        <f>IF(AND(出库明细!C1936&lt;&gt;"",出库明细!C1936=客户对账单!$B$4,ISNUMBER(出库明细!B1936),出库明细!B1936&gt;=客户对账单!$G$4,出库明细!B1936&lt;=客户对账单!$I$4),出库明细!B1936+ROW()/100000,"")</f>
      </c>
      <c r="H1936">
        <f>IF(AND(资金台帐!K439&lt;&gt;"",资金台帐!K439=供应商对账单!$B$4,资金台帐!P439="应付",ISNUMBER(资金台帐!B439),资金台帐!B439&gt;=供应商对账单!$G$4,资金台帐!B439&lt;=供应商对账单!$I$4),资金台帐!B439+ROW()/100000,"")</f>
      </c>
      <c r="N1936">
        <f>IF(AND(ISNUMBER(出库明细!G1936),ISNUMBER(出库明细!E1936),ISNUMBER(出库明细!F1936)),IF(ABS(出库明细!G1936-出库明细!E1936*出库明细!F1936)&gt;0.005,1,0),0)</f>
        <v>0</v>
      </c>
    </row>
    <row r="1937">
      <c r="A1937">
        <f>IF(OR(出库明细!C937="",出库明细!D937=""),"",IF(OR(COUNTIFS(存条明细!$C$4:$C$1003,出库明细!C937,存条明细!$D$4:$D$1003,出库明细!D937)&gt;0,COUNTIFS(出库明细!$C$4:C937,出库明细!C937,出库明细!$D$4:D937,出库明细!D937)&gt;1),"",IFERROR(MATCH(出库明细!C937,总览汇总!$B$5:$B$304,0),900)*10000000+IFERROR(MATCH(出库明细!D937,基础资料!$E$5:$E$104,0),900)*10000+ROW()))</f>
      </c>
      <c r="F1937">
        <f>IF(AND(出库明细!C1937&lt;&gt;"",出库明细!C1937=客户对账单!$B$4,ISNUMBER(出库明细!B1937),出库明细!B1937&gt;=客户对账单!$G$4,出库明细!B1937&lt;=客户对账单!$I$4),出库明细!B1937+ROW()/100000,"")</f>
      </c>
      <c r="H1937">
        <f>IF(AND(资金台帐!K440&lt;&gt;"",资金台帐!K440=供应商对账单!$B$4,资金台帐!P440="应付",ISNUMBER(资金台帐!B440),资金台帐!B440&gt;=供应商对账单!$G$4,资金台帐!B440&lt;=供应商对账单!$I$4),资金台帐!B440+ROW()/100000,"")</f>
      </c>
      <c r="N1937">
        <f>IF(AND(ISNUMBER(出库明细!G1937),ISNUMBER(出库明细!E1937),ISNUMBER(出库明细!F1937)),IF(ABS(出库明细!G1937-出库明细!E1937*出库明细!F1937)&gt;0.005,1,0),0)</f>
        <v>0</v>
      </c>
    </row>
    <row r="1938">
      <c r="A1938">
        <f>IF(OR(出库明细!C938="",出库明细!D938=""),"",IF(OR(COUNTIFS(存条明细!$C$4:$C$1003,出库明细!C938,存条明细!$D$4:$D$1003,出库明细!D938)&gt;0,COUNTIFS(出库明细!$C$4:C938,出库明细!C938,出库明细!$D$4:D938,出库明细!D938)&gt;1),"",IFERROR(MATCH(出库明细!C938,总览汇总!$B$5:$B$304,0),900)*10000000+IFERROR(MATCH(出库明细!D938,基础资料!$E$5:$E$104,0),900)*10000+ROW()))</f>
      </c>
      <c r="F1938">
        <f>IF(AND(出库明细!C1938&lt;&gt;"",出库明细!C1938=客户对账单!$B$4,ISNUMBER(出库明细!B1938),出库明细!B1938&gt;=客户对账单!$G$4,出库明细!B1938&lt;=客户对账单!$I$4),出库明细!B1938+ROW()/100000,"")</f>
      </c>
      <c r="H1938">
        <f>IF(AND(资金台帐!K441&lt;&gt;"",资金台帐!K441=供应商对账单!$B$4,资金台帐!P441="应付",ISNUMBER(资金台帐!B441),资金台帐!B441&gt;=供应商对账单!$G$4,资金台帐!B441&lt;=供应商对账单!$I$4),资金台帐!B441+ROW()/100000,"")</f>
      </c>
      <c r="N1938">
        <f>IF(AND(ISNUMBER(出库明细!G1938),ISNUMBER(出库明细!E1938),ISNUMBER(出库明细!F1938)),IF(ABS(出库明细!G1938-出库明细!E1938*出库明细!F1938)&gt;0.005,1,0),0)</f>
        <v>0</v>
      </c>
    </row>
    <row r="1939">
      <c r="A1939">
        <f>IF(OR(出库明细!C939="",出库明细!D939=""),"",IF(OR(COUNTIFS(存条明细!$C$4:$C$1003,出库明细!C939,存条明细!$D$4:$D$1003,出库明细!D939)&gt;0,COUNTIFS(出库明细!$C$4:C939,出库明细!C939,出库明细!$D$4:D939,出库明细!D939)&gt;1),"",IFERROR(MATCH(出库明细!C939,总览汇总!$B$5:$B$304,0),900)*10000000+IFERROR(MATCH(出库明细!D939,基础资料!$E$5:$E$104,0),900)*10000+ROW()))</f>
      </c>
      <c r="F1939">
        <f>IF(AND(出库明细!C1939&lt;&gt;"",出库明细!C1939=客户对账单!$B$4,ISNUMBER(出库明细!B1939),出库明细!B1939&gt;=客户对账单!$G$4,出库明细!B1939&lt;=客户对账单!$I$4),出库明细!B1939+ROW()/100000,"")</f>
      </c>
      <c r="H1939">
        <f>IF(AND(资金台帐!K442&lt;&gt;"",资金台帐!K442=供应商对账单!$B$4,资金台帐!P442="应付",ISNUMBER(资金台帐!B442),资金台帐!B442&gt;=供应商对账单!$G$4,资金台帐!B442&lt;=供应商对账单!$I$4),资金台帐!B442+ROW()/100000,"")</f>
      </c>
      <c r="N1939">
        <f>IF(AND(ISNUMBER(出库明细!G1939),ISNUMBER(出库明细!E1939),ISNUMBER(出库明细!F1939)),IF(ABS(出库明细!G1939-出库明细!E1939*出库明细!F1939)&gt;0.005,1,0),0)</f>
        <v>0</v>
      </c>
    </row>
    <row r="1940">
      <c r="A1940">
        <f>IF(OR(出库明细!C940="",出库明细!D940=""),"",IF(OR(COUNTIFS(存条明细!$C$4:$C$1003,出库明细!C940,存条明细!$D$4:$D$1003,出库明细!D940)&gt;0,COUNTIFS(出库明细!$C$4:C940,出库明细!C940,出库明细!$D$4:D940,出库明细!D940)&gt;1),"",IFERROR(MATCH(出库明细!C940,总览汇总!$B$5:$B$304,0),900)*10000000+IFERROR(MATCH(出库明细!D940,基础资料!$E$5:$E$104,0),900)*10000+ROW()))</f>
      </c>
      <c r="F1940">
        <f>IF(AND(出库明细!C1940&lt;&gt;"",出库明细!C1940=客户对账单!$B$4,ISNUMBER(出库明细!B1940),出库明细!B1940&gt;=客户对账单!$G$4,出库明细!B1940&lt;=客户对账单!$I$4),出库明细!B1940+ROW()/100000,"")</f>
      </c>
      <c r="H1940">
        <f>IF(AND(资金台帐!K443&lt;&gt;"",资金台帐!K443=供应商对账单!$B$4,资金台帐!P443="应付",ISNUMBER(资金台帐!B443),资金台帐!B443&gt;=供应商对账单!$G$4,资金台帐!B443&lt;=供应商对账单!$I$4),资金台帐!B443+ROW()/100000,"")</f>
      </c>
      <c r="N1940">
        <f>IF(AND(ISNUMBER(出库明细!G1940),ISNUMBER(出库明细!E1940),ISNUMBER(出库明细!F1940)),IF(ABS(出库明细!G1940-出库明细!E1940*出库明细!F1940)&gt;0.005,1,0),0)</f>
        <v>0</v>
      </c>
    </row>
    <row r="1941">
      <c r="A1941">
        <f>IF(OR(出库明细!C941="",出库明细!D941=""),"",IF(OR(COUNTIFS(存条明细!$C$4:$C$1003,出库明细!C941,存条明细!$D$4:$D$1003,出库明细!D941)&gt;0,COUNTIFS(出库明细!$C$4:C941,出库明细!C941,出库明细!$D$4:D941,出库明细!D941)&gt;1),"",IFERROR(MATCH(出库明细!C941,总览汇总!$B$5:$B$304,0),900)*10000000+IFERROR(MATCH(出库明细!D941,基础资料!$E$5:$E$104,0),900)*10000+ROW()))</f>
      </c>
      <c r="F1941">
        <f>IF(AND(出库明细!C1941&lt;&gt;"",出库明细!C1941=客户对账单!$B$4,ISNUMBER(出库明细!B1941),出库明细!B1941&gt;=客户对账单!$G$4,出库明细!B1941&lt;=客户对账单!$I$4),出库明细!B1941+ROW()/100000,"")</f>
      </c>
      <c r="H1941">
        <f>IF(AND(资金台帐!K444&lt;&gt;"",资金台帐!K444=供应商对账单!$B$4,资金台帐!P444="应付",ISNUMBER(资金台帐!B444),资金台帐!B444&gt;=供应商对账单!$G$4,资金台帐!B444&lt;=供应商对账单!$I$4),资金台帐!B444+ROW()/100000,"")</f>
      </c>
      <c r="N1941">
        <f>IF(AND(ISNUMBER(出库明细!G1941),ISNUMBER(出库明细!E1941),ISNUMBER(出库明细!F1941)),IF(ABS(出库明细!G1941-出库明细!E1941*出库明细!F1941)&gt;0.005,1,0),0)</f>
        <v>0</v>
      </c>
    </row>
    <row r="1942">
      <c r="A1942">
        <f>IF(OR(出库明细!C942="",出库明细!D942=""),"",IF(OR(COUNTIFS(存条明细!$C$4:$C$1003,出库明细!C942,存条明细!$D$4:$D$1003,出库明细!D942)&gt;0,COUNTIFS(出库明细!$C$4:C942,出库明细!C942,出库明细!$D$4:D942,出库明细!D942)&gt;1),"",IFERROR(MATCH(出库明细!C942,总览汇总!$B$5:$B$304,0),900)*10000000+IFERROR(MATCH(出库明细!D942,基础资料!$E$5:$E$104,0),900)*10000+ROW()))</f>
      </c>
      <c r="F1942">
        <f>IF(AND(出库明细!C1942&lt;&gt;"",出库明细!C1942=客户对账单!$B$4,ISNUMBER(出库明细!B1942),出库明细!B1942&gt;=客户对账单!$G$4,出库明细!B1942&lt;=客户对账单!$I$4),出库明细!B1942+ROW()/100000,"")</f>
      </c>
      <c r="H1942">
        <f>IF(AND(资金台帐!K445&lt;&gt;"",资金台帐!K445=供应商对账单!$B$4,资金台帐!P445="应付",ISNUMBER(资金台帐!B445),资金台帐!B445&gt;=供应商对账单!$G$4,资金台帐!B445&lt;=供应商对账单!$I$4),资金台帐!B445+ROW()/100000,"")</f>
      </c>
      <c r="N1942">
        <f>IF(AND(ISNUMBER(出库明细!G1942),ISNUMBER(出库明细!E1942),ISNUMBER(出库明细!F1942)),IF(ABS(出库明细!G1942-出库明细!E1942*出库明细!F1942)&gt;0.005,1,0),0)</f>
        <v>0</v>
      </c>
    </row>
    <row r="1943">
      <c r="A1943">
        <f>IF(OR(出库明细!C943="",出库明细!D943=""),"",IF(OR(COUNTIFS(存条明细!$C$4:$C$1003,出库明细!C943,存条明细!$D$4:$D$1003,出库明细!D943)&gt;0,COUNTIFS(出库明细!$C$4:C943,出库明细!C943,出库明细!$D$4:D943,出库明细!D943)&gt;1),"",IFERROR(MATCH(出库明细!C943,总览汇总!$B$5:$B$304,0),900)*10000000+IFERROR(MATCH(出库明细!D943,基础资料!$E$5:$E$104,0),900)*10000+ROW()))</f>
      </c>
      <c r="F1943">
        <f>IF(AND(出库明细!C1943&lt;&gt;"",出库明细!C1943=客户对账单!$B$4,ISNUMBER(出库明细!B1943),出库明细!B1943&gt;=客户对账单!$G$4,出库明细!B1943&lt;=客户对账单!$I$4),出库明细!B1943+ROW()/100000,"")</f>
      </c>
      <c r="H1943">
        <f>IF(AND(资金台帐!K446&lt;&gt;"",资金台帐!K446=供应商对账单!$B$4,资金台帐!P446="应付",ISNUMBER(资金台帐!B446),资金台帐!B446&gt;=供应商对账单!$G$4,资金台帐!B446&lt;=供应商对账单!$I$4),资金台帐!B446+ROW()/100000,"")</f>
      </c>
      <c r="N1943">
        <f>IF(AND(ISNUMBER(出库明细!G1943),ISNUMBER(出库明细!E1943),ISNUMBER(出库明细!F1943)),IF(ABS(出库明细!G1943-出库明细!E1943*出库明细!F1943)&gt;0.005,1,0),0)</f>
        <v>0</v>
      </c>
    </row>
    <row r="1944">
      <c r="A1944">
        <f>IF(OR(出库明细!C944="",出库明细!D944=""),"",IF(OR(COUNTIFS(存条明细!$C$4:$C$1003,出库明细!C944,存条明细!$D$4:$D$1003,出库明细!D944)&gt;0,COUNTIFS(出库明细!$C$4:C944,出库明细!C944,出库明细!$D$4:D944,出库明细!D944)&gt;1),"",IFERROR(MATCH(出库明细!C944,总览汇总!$B$5:$B$304,0),900)*10000000+IFERROR(MATCH(出库明细!D944,基础资料!$E$5:$E$104,0),900)*10000+ROW()))</f>
      </c>
      <c r="F1944">
        <f>IF(AND(出库明细!C1944&lt;&gt;"",出库明细!C1944=客户对账单!$B$4,ISNUMBER(出库明细!B1944),出库明细!B1944&gt;=客户对账单!$G$4,出库明细!B1944&lt;=客户对账单!$I$4),出库明细!B1944+ROW()/100000,"")</f>
      </c>
      <c r="H1944">
        <f>IF(AND(资金台帐!K447&lt;&gt;"",资金台帐!K447=供应商对账单!$B$4,资金台帐!P447="应付",ISNUMBER(资金台帐!B447),资金台帐!B447&gt;=供应商对账单!$G$4,资金台帐!B447&lt;=供应商对账单!$I$4),资金台帐!B447+ROW()/100000,"")</f>
      </c>
      <c r="N1944">
        <f>IF(AND(ISNUMBER(出库明细!G1944),ISNUMBER(出库明细!E1944),ISNUMBER(出库明细!F1944)),IF(ABS(出库明细!G1944-出库明细!E1944*出库明细!F1944)&gt;0.005,1,0),0)</f>
        <v>0</v>
      </c>
    </row>
    <row r="1945">
      <c r="A1945">
        <f>IF(OR(出库明细!C945="",出库明细!D945=""),"",IF(OR(COUNTIFS(存条明细!$C$4:$C$1003,出库明细!C945,存条明细!$D$4:$D$1003,出库明细!D945)&gt;0,COUNTIFS(出库明细!$C$4:C945,出库明细!C945,出库明细!$D$4:D945,出库明细!D945)&gt;1),"",IFERROR(MATCH(出库明细!C945,总览汇总!$B$5:$B$304,0),900)*10000000+IFERROR(MATCH(出库明细!D945,基础资料!$E$5:$E$104,0),900)*10000+ROW()))</f>
      </c>
      <c r="F1945">
        <f>IF(AND(出库明细!C1945&lt;&gt;"",出库明细!C1945=客户对账单!$B$4,ISNUMBER(出库明细!B1945),出库明细!B1945&gt;=客户对账单!$G$4,出库明细!B1945&lt;=客户对账单!$I$4),出库明细!B1945+ROW()/100000,"")</f>
      </c>
      <c r="H1945">
        <f>IF(AND(资金台帐!K448&lt;&gt;"",资金台帐!K448=供应商对账单!$B$4,资金台帐!P448="应付",ISNUMBER(资金台帐!B448),资金台帐!B448&gt;=供应商对账单!$G$4,资金台帐!B448&lt;=供应商对账单!$I$4),资金台帐!B448+ROW()/100000,"")</f>
      </c>
      <c r="N1945">
        <f>IF(AND(ISNUMBER(出库明细!G1945),ISNUMBER(出库明细!E1945),ISNUMBER(出库明细!F1945)),IF(ABS(出库明细!G1945-出库明细!E1945*出库明细!F1945)&gt;0.005,1,0),0)</f>
        <v>0</v>
      </c>
    </row>
    <row r="1946">
      <c r="A1946">
        <f>IF(OR(出库明细!C946="",出库明细!D946=""),"",IF(OR(COUNTIFS(存条明细!$C$4:$C$1003,出库明细!C946,存条明细!$D$4:$D$1003,出库明细!D946)&gt;0,COUNTIFS(出库明细!$C$4:C946,出库明细!C946,出库明细!$D$4:D946,出库明细!D946)&gt;1),"",IFERROR(MATCH(出库明细!C946,总览汇总!$B$5:$B$304,0),900)*10000000+IFERROR(MATCH(出库明细!D946,基础资料!$E$5:$E$104,0),900)*10000+ROW()))</f>
      </c>
      <c r="F1946">
        <f>IF(AND(出库明细!C1946&lt;&gt;"",出库明细!C1946=客户对账单!$B$4,ISNUMBER(出库明细!B1946),出库明细!B1946&gt;=客户对账单!$G$4,出库明细!B1946&lt;=客户对账单!$I$4),出库明细!B1946+ROW()/100000,"")</f>
      </c>
      <c r="H1946">
        <f>IF(AND(资金台帐!K449&lt;&gt;"",资金台帐!K449=供应商对账单!$B$4,资金台帐!P449="应付",ISNUMBER(资金台帐!B449),资金台帐!B449&gt;=供应商对账单!$G$4,资金台帐!B449&lt;=供应商对账单!$I$4),资金台帐!B449+ROW()/100000,"")</f>
      </c>
      <c r="N1946">
        <f>IF(AND(ISNUMBER(出库明细!G1946),ISNUMBER(出库明细!E1946),ISNUMBER(出库明细!F1946)),IF(ABS(出库明细!G1946-出库明细!E1946*出库明细!F1946)&gt;0.005,1,0),0)</f>
        <v>0</v>
      </c>
    </row>
    <row r="1947">
      <c r="A1947">
        <f>IF(OR(出库明细!C947="",出库明细!D947=""),"",IF(OR(COUNTIFS(存条明细!$C$4:$C$1003,出库明细!C947,存条明细!$D$4:$D$1003,出库明细!D947)&gt;0,COUNTIFS(出库明细!$C$4:C947,出库明细!C947,出库明细!$D$4:D947,出库明细!D947)&gt;1),"",IFERROR(MATCH(出库明细!C947,总览汇总!$B$5:$B$304,0),900)*10000000+IFERROR(MATCH(出库明细!D947,基础资料!$E$5:$E$104,0),900)*10000+ROW()))</f>
      </c>
      <c r="F1947">
        <f>IF(AND(出库明细!C1947&lt;&gt;"",出库明细!C1947=客户对账单!$B$4,ISNUMBER(出库明细!B1947),出库明细!B1947&gt;=客户对账单!$G$4,出库明细!B1947&lt;=客户对账单!$I$4),出库明细!B1947+ROW()/100000,"")</f>
      </c>
      <c r="H1947">
        <f>IF(AND(资金台帐!K450&lt;&gt;"",资金台帐!K450=供应商对账单!$B$4,资金台帐!P450="应付",ISNUMBER(资金台帐!B450),资金台帐!B450&gt;=供应商对账单!$G$4,资金台帐!B450&lt;=供应商对账单!$I$4),资金台帐!B450+ROW()/100000,"")</f>
      </c>
      <c r="N1947">
        <f>IF(AND(ISNUMBER(出库明细!G1947),ISNUMBER(出库明细!E1947),ISNUMBER(出库明细!F1947)),IF(ABS(出库明细!G1947-出库明细!E1947*出库明细!F1947)&gt;0.005,1,0),0)</f>
        <v>0</v>
      </c>
    </row>
    <row r="1948">
      <c r="A1948">
        <f>IF(OR(出库明细!C948="",出库明细!D948=""),"",IF(OR(COUNTIFS(存条明细!$C$4:$C$1003,出库明细!C948,存条明细!$D$4:$D$1003,出库明细!D948)&gt;0,COUNTIFS(出库明细!$C$4:C948,出库明细!C948,出库明细!$D$4:D948,出库明细!D948)&gt;1),"",IFERROR(MATCH(出库明细!C948,总览汇总!$B$5:$B$304,0),900)*10000000+IFERROR(MATCH(出库明细!D948,基础资料!$E$5:$E$104,0),900)*10000+ROW()))</f>
      </c>
      <c r="F1948">
        <f>IF(AND(出库明细!C1948&lt;&gt;"",出库明细!C1948=客户对账单!$B$4,ISNUMBER(出库明细!B1948),出库明细!B1948&gt;=客户对账单!$G$4,出库明细!B1948&lt;=客户对账单!$I$4),出库明细!B1948+ROW()/100000,"")</f>
      </c>
      <c r="H1948">
        <f>IF(AND(资金台帐!K451&lt;&gt;"",资金台帐!K451=供应商对账单!$B$4,资金台帐!P451="应付",ISNUMBER(资金台帐!B451),资金台帐!B451&gt;=供应商对账单!$G$4,资金台帐!B451&lt;=供应商对账单!$I$4),资金台帐!B451+ROW()/100000,"")</f>
      </c>
      <c r="N1948">
        <f>IF(AND(ISNUMBER(出库明细!G1948),ISNUMBER(出库明细!E1948),ISNUMBER(出库明细!F1948)),IF(ABS(出库明细!G1948-出库明细!E1948*出库明细!F1948)&gt;0.005,1,0),0)</f>
        <v>0</v>
      </c>
    </row>
    <row r="1949">
      <c r="A1949">
        <f>IF(OR(出库明细!C949="",出库明细!D949=""),"",IF(OR(COUNTIFS(存条明细!$C$4:$C$1003,出库明细!C949,存条明细!$D$4:$D$1003,出库明细!D949)&gt;0,COUNTIFS(出库明细!$C$4:C949,出库明细!C949,出库明细!$D$4:D949,出库明细!D949)&gt;1),"",IFERROR(MATCH(出库明细!C949,总览汇总!$B$5:$B$304,0),900)*10000000+IFERROR(MATCH(出库明细!D949,基础资料!$E$5:$E$104,0),900)*10000+ROW()))</f>
      </c>
      <c r="F1949">
        <f>IF(AND(出库明细!C1949&lt;&gt;"",出库明细!C1949=客户对账单!$B$4,ISNUMBER(出库明细!B1949),出库明细!B1949&gt;=客户对账单!$G$4,出库明细!B1949&lt;=客户对账单!$I$4),出库明细!B1949+ROW()/100000,"")</f>
      </c>
      <c r="H1949">
        <f>IF(AND(资金台帐!K452&lt;&gt;"",资金台帐!K452=供应商对账单!$B$4,资金台帐!P452="应付",ISNUMBER(资金台帐!B452),资金台帐!B452&gt;=供应商对账单!$G$4,资金台帐!B452&lt;=供应商对账单!$I$4),资金台帐!B452+ROW()/100000,"")</f>
      </c>
      <c r="N1949">
        <f>IF(AND(ISNUMBER(出库明细!G1949),ISNUMBER(出库明细!E1949),ISNUMBER(出库明细!F1949)),IF(ABS(出库明细!G1949-出库明细!E1949*出库明细!F1949)&gt;0.005,1,0),0)</f>
        <v>0</v>
      </c>
    </row>
    <row r="1950">
      <c r="A1950">
        <f>IF(OR(出库明细!C950="",出库明细!D950=""),"",IF(OR(COUNTIFS(存条明细!$C$4:$C$1003,出库明细!C950,存条明细!$D$4:$D$1003,出库明细!D950)&gt;0,COUNTIFS(出库明细!$C$4:C950,出库明细!C950,出库明细!$D$4:D950,出库明细!D950)&gt;1),"",IFERROR(MATCH(出库明细!C950,总览汇总!$B$5:$B$304,0),900)*10000000+IFERROR(MATCH(出库明细!D950,基础资料!$E$5:$E$104,0),900)*10000+ROW()))</f>
      </c>
      <c r="F1950">
        <f>IF(AND(出库明细!C1950&lt;&gt;"",出库明细!C1950=客户对账单!$B$4,ISNUMBER(出库明细!B1950),出库明细!B1950&gt;=客户对账单!$G$4,出库明细!B1950&lt;=客户对账单!$I$4),出库明细!B1950+ROW()/100000,"")</f>
      </c>
      <c r="H1950">
        <f>IF(AND(资金台帐!K453&lt;&gt;"",资金台帐!K453=供应商对账单!$B$4,资金台帐!P453="应付",ISNUMBER(资金台帐!B453),资金台帐!B453&gt;=供应商对账单!$G$4,资金台帐!B453&lt;=供应商对账单!$I$4),资金台帐!B453+ROW()/100000,"")</f>
      </c>
      <c r="N1950">
        <f>IF(AND(ISNUMBER(出库明细!G1950),ISNUMBER(出库明细!E1950),ISNUMBER(出库明细!F1950)),IF(ABS(出库明细!G1950-出库明细!E1950*出库明细!F1950)&gt;0.005,1,0),0)</f>
        <v>0</v>
      </c>
    </row>
    <row r="1951">
      <c r="A1951">
        <f>IF(OR(出库明细!C951="",出库明细!D951=""),"",IF(OR(COUNTIFS(存条明细!$C$4:$C$1003,出库明细!C951,存条明细!$D$4:$D$1003,出库明细!D951)&gt;0,COUNTIFS(出库明细!$C$4:C951,出库明细!C951,出库明细!$D$4:D951,出库明细!D951)&gt;1),"",IFERROR(MATCH(出库明细!C951,总览汇总!$B$5:$B$304,0),900)*10000000+IFERROR(MATCH(出库明细!D951,基础资料!$E$5:$E$104,0),900)*10000+ROW()))</f>
      </c>
      <c r="F1951">
        <f>IF(AND(出库明细!C1951&lt;&gt;"",出库明细!C1951=客户对账单!$B$4,ISNUMBER(出库明细!B1951),出库明细!B1951&gt;=客户对账单!$G$4,出库明细!B1951&lt;=客户对账单!$I$4),出库明细!B1951+ROW()/100000,"")</f>
      </c>
      <c r="H1951">
        <f>IF(AND(资金台帐!K454&lt;&gt;"",资金台帐!K454=供应商对账单!$B$4,资金台帐!P454="应付",ISNUMBER(资金台帐!B454),资金台帐!B454&gt;=供应商对账单!$G$4,资金台帐!B454&lt;=供应商对账单!$I$4),资金台帐!B454+ROW()/100000,"")</f>
      </c>
      <c r="N1951">
        <f>IF(AND(ISNUMBER(出库明细!G1951),ISNUMBER(出库明细!E1951),ISNUMBER(出库明细!F1951)),IF(ABS(出库明细!G1951-出库明细!E1951*出库明细!F1951)&gt;0.005,1,0),0)</f>
        <v>0</v>
      </c>
    </row>
    <row r="1952">
      <c r="A1952">
        <f>IF(OR(出库明细!C952="",出库明细!D952=""),"",IF(OR(COUNTIFS(存条明细!$C$4:$C$1003,出库明细!C952,存条明细!$D$4:$D$1003,出库明细!D952)&gt;0,COUNTIFS(出库明细!$C$4:C952,出库明细!C952,出库明细!$D$4:D952,出库明细!D952)&gt;1),"",IFERROR(MATCH(出库明细!C952,总览汇总!$B$5:$B$304,0),900)*10000000+IFERROR(MATCH(出库明细!D952,基础资料!$E$5:$E$104,0),900)*10000+ROW()))</f>
      </c>
      <c r="F1952">
        <f>IF(AND(出库明细!C1952&lt;&gt;"",出库明细!C1952=客户对账单!$B$4,ISNUMBER(出库明细!B1952),出库明细!B1952&gt;=客户对账单!$G$4,出库明细!B1952&lt;=客户对账单!$I$4),出库明细!B1952+ROW()/100000,"")</f>
      </c>
      <c r="H1952">
        <f>IF(AND(资金台帐!K455&lt;&gt;"",资金台帐!K455=供应商对账单!$B$4,资金台帐!P455="应付",ISNUMBER(资金台帐!B455),资金台帐!B455&gt;=供应商对账单!$G$4,资金台帐!B455&lt;=供应商对账单!$I$4),资金台帐!B455+ROW()/100000,"")</f>
      </c>
      <c r="N1952">
        <f>IF(AND(ISNUMBER(出库明细!G1952),ISNUMBER(出库明细!E1952),ISNUMBER(出库明细!F1952)),IF(ABS(出库明细!G1952-出库明细!E1952*出库明细!F1952)&gt;0.005,1,0),0)</f>
        <v>0</v>
      </c>
    </row>
    <row r="1953">
      <c r="A1953">
        <f>IF(OR(出库明细!C953="",出库明细!D953=""),"",IF(OR(COUNTIFS(存条明细!$C$4:$C$1003,出库明细!C953,存条明细!$D$4:$D$1003,出库明细!D953)&gt;0,COUNTIFS(出库明细!$C$4:C953,出库明细!C953,出库明细!$D$4:D953,出库明细!D953)&gt;1),"",IFERROR(MATCH(出库明细!C953,总览汇总!$B$5:$B$304,0),900)*10000000+IFERROR(MATCH(出库明细!D953,基础资料!$E$5:$E$104,0),900)*10000+ROW()))</f>
      </c>
      <c r="F1953">
        <f>IF(AND(出库明细!C1953&lt;&gt;"",出库明细!C1953=客户对账单!$B$4,ISNUMBER(出库明细!B1953),出库明细!B1953&gt;=客户对账单!$G$4,出库明细!B1953&lt;=客户对账单!$I$4),出库明细!B1953+ROW()/100000,"")</f>
      </c>
      <c r="H1953">
        <f>IF(AND(资金台帐!K456&lt;&gt;"",资金台帐!K456=供应商对账单!$B$4,资金台帐!P456="应付",ISNUMBER(资金台帐!B456),资金台帐!B456&gt;=供应商对账单!$G$4,资金台帐!B456&lt;=供应商对账单!$I$4),资金台帐!B456+ROW()/100000,"")</f>
      </c>
      <c r="N1953">
        <f>IF(AND(ISNUMBER(出库明细!G1953),ISNUMBER(出库明细!E1953),ISNUMBER(出库明细!F1953)),IF(ABS(出库明细!G1953-出库明细!E1953*出库明细!F1953)&gt;0.005,1,0),0)</f>
        <v>0</v>
      </c>
    </row>
    <row r="1954">
      <c r="A1954">
        <f>IF(OR(出库明细!C954="",出库明细!D954=""),"",IF(OR(COUNTIFS(存条明细!$C$4:$C$1003,出库明细!C954,存条明细!$D$4:$D$1003,出库明细!D954)&gt;0,COUNTIFS(出库明细!$C$4:C954,出库明细!C954,出库明细!$D$4:D954,出库明细!D954)&gt;1),"",IFERROR(MATCH(出库明细!C954,总览汇总!$B$5:$B$304,0),900)*10000000+IFERROR(MATCH(出库明细!D954,基础资料!$E$5:$E$104,0),900)*10000+ROW()))</f>
      </c>
      <c r="F1954">
        <f>IF(AND(出库明细!C1954&lt;&gt;"",出库明细!C1954=客户对账单!$B$4,ISNUMBER(出库明细!B1954),出库明细!B1954&gt;=客户对账单!$G$4,出库明细!B1954&lt;=客户对账单!$I$4),出库明细!B1954+ROW()/100000,"")</f>
      </c>
      <c r="H1954">
        <f>IF(AND(资金台帐!K457&lt;&gt;"",资金台帐!K457=供应商对账单!$B$4,资金台帐!P457="应付",ISNUMBER(资金台帐!B457),资金台帐!B457&gt;=供应商对账单!$G$4,资金台帐!B457&lt;=供应商对账单!$I$4),资金台帐!B457+ROW()/100000,"")</f>
      </c>
      <c r="N1954">
        <f>IF(AND(ISNUMBER(出库明细!G1954),ISNUMBER(出库明细!E1954),ISNUMBER(出库明细!F1954)),IF(ABS(出库明细!G1954-出库明细!E1954*出库明细!F1954)&gt;0.005,1,0),0)</f>
        <v>0</v>
      </c>
    </row>
    <row r="1955">
      <c r="A1955">
        <f>IF(OR(出库明细!C955="",出库明细!D955=""),"",IF(OR(COUNTIFS(存条明细!$C$4:$C$1003,出库明细!C955,存条明细!$D$4:$D$1003,出库明细!D955)&gt;0,COUNTIFS(出库明细!$C$4:C955,出库明细!C955,出库明细!$D$4:D955,出库明细!D955)&gt;1),"",IFERROR(MATCH(出库明细!C955,总览汇总!$B$5:$B$304,0),900)*10000000+IFERROR(MATCH(出库明细!D955,基础资料!$E$5:$E$104,0),900)*10000+ROW()))</f>
      </c>
      <c r="F1955">
        <f>IF(AND(出库明细!C1955&lt;&gt;"",出库明细!C1955=客户对账单!$B$4,ISNUMBER(出库明细!B1955),出库明细!B1955&gt;=客户对账单!$G$4,出库明细!B1955&lt;=客户对账单!$I$4),出库明细!B1955+ROW()/100000,"")</f>
      </c>
      <c r="H1955">
        <f>IF(AND(资金台帐!K458&lt;&gt;"",资金台帐!K458=供应商对账单!$B$4,资金台帐!P458="应付",ISNUMBER(资金台帐!B458),资金台帐!B458&gt;=供应商对账单!$G$4,资金台帐!B458&lt;=供应商对账单!$I$4),资金台帐!B458+ROW()/100000,"")</f>
      </c>
      <c r="N1955">
        <f>IF(AND(ISNUMBER(出库明细!G1955),ISNUMBER(出库明细!E1955),ISNUMBER(出库明细!F1955)),IF(ABS(出库明细!G1955-出库明细!E1955*出库明细!F1955)&gt;0.005,1,0),0)</f>
        <v>0</v>
      </c>
    </row>
    <row r="1956">
      <c r="A1956">
        <f>IF(OR(出库明细!C956="",出库明细!D956=""),"",IF(OR(COUNTIFS(存条明细!$C$4:$C$1003,出库明细!C956,存条明细!$D$4:$D$1003,出库明细!D956)&gt;0,COUNTIFS(出库明细!$C$4:C956,出库明细!C956,出库明细!$D$4:D956,出库明细!D956)&gt;1),"",IFERROR(MATCH(出库明细!C956,总览汇总!$B$5:$B$304,0),900)*10000000+IFERROR(MATCH(出库明细!D956,基础资料!$E$5:$E$104,0),900)*10000+ROW()))</f>
      </c>
      <c r="F1956">
        <f>IF(AND(出库明细!C1956&lt;&gt;"",出库明细!C1956=客户对账单!$B$4,ISNUMBER(出库明细!B1956),出库明细!B1956&gt;=客户对账单!$G$4,出库明细!B1956&lt;=客户对账单!$I$4),出库明细!B1956+ROW()/100000,"")</f>
      </c>
      <c r="H1956">
        <f>IF(AND(资金台帐!K459&lt;&gt;"",资金台帐!K459=供应商对账单!$B$4,资金台帐!P459="应付",ISNUMBER(资金台帐!B459),资金台帐!B459&gt;=供应商对账单!$G$4,资金台帐!B459&lt;=供应商对账单!$I$4),资金台帐!B459+ROW()/100000,"")</f>
      </c>
      <c r="N1956">
        <f>IF(AND(ISNUMBER(出库明细!G1956),ISNUMBER(出库明细!E1956),ISNUMBER(出库明细!F1956)),IF(ABS(出库明细!G1956-出库明细!E1956*出库明细!F1956)&gt;0.005,1,0),0)</f>
        <v>0</v>
      </c>
    </row>
    <row r="1957">
      <c r="A1957">
        <f>IF(OR(出库明细!C957="",出库明细!D957=""),"",IF(OR(COUNTIFS(存条明细!$C$4:$C$1003,出库明细!C957,存条明细!$D$4:$D$1003,出库明细!D957)&gt;0,COUNTIFS(出库明细!$C$4:C957,出库明细!C957,出库明细!$D$4:D957,出库明细!D957)&gt;1),"",IFERROR(MATCH(出库明细!C957,总览汇总!$B$5:$B$304,0),900)*10000000+IFERROR(MATCH(出库明细!D957,基础资料!$E$5:$E$104,0),900)*10000+ROW()))</f>
      </c>
      <c r="F1957">
        <f>IF(AND(出库明细!C1957&lt;&gt;"",出库明细!C1957=客户对账单!$B$4,ISNUMBER(出库明细!B1957),出库明细!B1957&gt;=客户对账单!$G$4,出库明细!B1957&lt;=客户对账单!$I$4),出库明细!B1957+ROW()/100000,"")</f>
      </c>
      <c r="H1957">
        <f>IF(AND(资金台帐!K460&lt;&gt;"",资金台帐!K460=供应商对账单!$B$4,资金台帐!P460="应付",ISNUMBER(资金台帐!B460),资金台帐!B460&gt;=供应商对账单!$G$4,资金台帐!B460&lt;=供应商对账单!$I$4),资金台帐!B460+ROW()/100000,"")</f>
      </c>
      <c r="N1957">
        <f>IF(AND(ISNUMBER(出库明细!G1957),ISNUMBER(出库明细!E1957),ISNUMBER(出库明细!F1957)),IF(ABS(出库明细!G1957-出库明细!E1957*出库明细!F1957)&gt;0.005,1,0),0)</f>
        <v>0</v>
      </c>
    </row>
    <row r="1958">
      <c r="A1958">
        <f>IF(OR(出库明细!C958="",出库明细!D958=""),"",IF(OR(COUNTIFS(存条明细!$C$4:$C$1003,出库明细!C958,存条明细!$D$4:$D$1003,出库明细!D958)&gt;0,COUNTIFS(出库明细!$C$4:C958,出库明细!C958,出库明细!$D$4:D958,出库明细!D958)&gt;1),"",IFERROR(MATCH(出库明细!C958,总览汇总!$B$5:$B$304,0),900)*10000000+IFERROR(MATCH(出库明细!D958,基础资料!$E$5:$E$104,0),900)*10000+ROW()))</f>
      </c>
      <c r="F1958">
        <f>IF(AND(出库明细!C1958&lt;&gt;"",出库明细!C1958=客户对账单!$B$4,ISNUMBER(出库明细!B1958),出库明细!B1958&gt;=客户对账单!$G$4,出库明细!B1958&lt;=客户对账单!$I$4),出库明细!B1958+ROW()/100000,"")</f>
      </c>
      <c r="H1958">
        <f>IF(AND(资金台帐!K461&lt;&gt;"",资金台帐!K461=供应商对账单!$B$4,资金台帐!P461="应付",ISNUMBER(资金台帐!B461),资金台帐!B461&gt;=供应商对账单!$G$4,资金台帐!B461&lt;=供应商对账单!$I$4),资金台帐!B461+ROW()/100000,"")</f>
      </c>
      <c r="N1958">
        <f>IF(AND(ISNUMBER(出库明细!G1958),ISNUMBER(出库明细!E1958),ISNUMBER(出库明细!F1958)),IF(ABS(出库明细!G1958-出库明细!E1958*出库明细!F1958)&gt;0.005,1,0),0)</f>
        <v>0</v>
      </c>
    </row>
    <row r="1959">
      <c r="A1959">
        <f>IF(OR(出库明细!C959="",出库明细!D959=""),"",IF(OR(COUNTIFS(存条明细!$C$4:$C$1003,出库明细!C959,存条明细!$D$4:$D$1003,出库明细!D959)&gt;0,COUNTIFS(出库明细!$C$4:C959,出库明细!C959,出库明细!$D$4:D959,出库明细!D959)&gt;1),"",IFERROR(MATCH(出库明细!C959,总览汇总!$B$5:$B$304,0),900)*10000000+IFERROR(MATCH(出库明细!D959,基础资料!$E$5:$E$104,0),900)*10000+ROW()))</f>
      </c>
      <c r="F1959">
        <f>IF(AND(出库明细!C1959&lt;&gt;"",出库明细!C1959=客户对账单!$B$4,ISNUMBER(出库明细!B1959),出库明细!B1959&gt;=客户对账单!$G$4,出库明细!B1959&lt;=客户对账单!$I$4),出库明细!B1959+ROW()/100000,"")</f>
      </c>
      <c r="H1959">
        <f>IF(AND(资金台帐!K462&lt;&gt;"",资金台帐!K462=供应商对账单!$B$4,资金台帐!P462="应付",ISNUMBER(资金台帐!B462),资金台帐!B462&gt;=供应商对账单!$G$4,资金台帐!B462&lt;=供应商对账单!$I$4),资金台帐!B462+ROW()/100000,"")</f>
      </c>
      <c r="N1959">
        <f>IF(AND(ISNUMBER(出库明细!G1959),ISNUMBER(出库明细!E1959),ISNUMBER(出库明细!F1959)),IF(ABS(出库明细!G1959-出库明细!E1959*出库明细!F1959)&gt;0.005,1,0),0)</f>
        <v>0</v>
      </c>
    </row>
    <row r="1960">
      <c r="A1960">
        <f>IF(OR(出库明细!C960="",出库明细!D960=""),"",IF(OR(COUNTIFS(存条明细!$C$4:$C$1003,出库明细!C960,存条明细!$D$4:$D$1003,出库明细!D960)&gt;0,COUNTIFS(出库明细!$C$4:C960,出库明细!C960,出库明细!$D$4:D960,出库明细!D960)&gt;1),"",IFERROR(MATCH(出库明细!C960,总览汇总!$B$5:$B$304,0),900)*10000000+IFERROR(MATCH(出库明细!D960,基础资料!$E$5:$E$104,0),900)*10000+ROW()))</f>
      </c>
      <c r="F1960">
        <f>IF(AND(出库明细!C1960&lt;&gt;"",出库明细!C1960=客户对账单!$B$4,ISNUMBER(出库明细!B1960),出库明细!B1960&gt;=客户对账单!$G$4,出库明细!B1960&lt;=客户对账单!$I$4),出库明细!B1960+ROW()/100000,"")</f>
      </c>
      <c r="H1960">
        <f>IF(AND(资金台帐!K463&lt;&gt;"",资金台帐!K463=供应商对账单!$B$4,资金台帐!P463="应付",ISNUMBER(资金台帐!B463),资金台帐!B463&gt;=供应商对账单!$G$4,资金台帐!B463&lt;=供应商对账单!$I$4),资金台帐!B463+ROW()/100000,"")</f>
      </c>
      <c r="N1960">
        <f>IF(AND(ISNUMBER(出库明细!G1960),ISNUMBER(出库明细!E1960),ISNUMBER(出库明细!F1960)),IF(ABS(出库明细!G1960-出库明细!E1960*出库明细!F1960)&gt;0.005,1,0),0)</f>
        <v>0</v>
      </c>
    </row>
    <row r="1961">
      <c r="A1961">
        <f>IF(OR(出库明细!C961="",出库明细!D961=""),"",IF(OR(COUNTIFS(存条明细!$C$4:$C$1003,出库明细!C961,存条明细!$D$4:$D$1003,出库明细!D961)&gt;0,COUNTIFS(出库明细!$C$4:C961,出库明细!C961,出库明细!$D$4:D961,出库明细!D961)&gt;1),"",IFERROR(MATCH(出库明细!C961,总览汇总!$B$5:$B$304,0),900)*10000000+IFERROR(MATCH(出库明细!D961,基础资料!$E$5:$E$104,0),900)*10000+ROW()))</f>
      </c>
      <c r="F1961">
        <f>IF(AND(出库明细!C1961&lt;&gt;"",出库明细!C1961=客户对账单!$B$4,ISNUMBER(出库明细!B1961),出库明细!B1961&gt;=客户对账单!$G$4,出库明细!B1961&lt;=客户对账单!$I$4),出库明细!B1961+ROW()/100000,"")</f>
      </c>
      <c r="H1961">
        <f>IF(AND(资金台帐!K464&lt;&gt;"",资金台帐!K464=供应商对账单!$B$4,资金台帐!P464="应付",ISNUMBER(资金台帐!B464),资金台帐!B464&gt;=供应商对账单!$G$4,资金台帐!B464&lt;=供应商对账单!$I$4),资金台帐!B464+ROW()/100000,"")</f>
      </c>
      <c r="N1961">
        <f>IF(AND(ISNUMBER(出库明细!G1961),ISNUMBER(出库明细!E1961),ISNUMBER(出库明细!F1961)),IF(ABS(出库明细!G1961-出库明细!E1961*出库明细!F1961)&gt;0.005,1,0),0)</f>
        <v>0</v>
      </c>
    </row>
    <row r="1962">
      <c r="A1962">
        <f>IF(OR(出库明细!C962="",出库明细!D962=""),"",IF(OR(COUNTIFS(存条明细!$C$4:$C$1003,出库明细!C962,存条明细!$D$4:$D$1003,出库明细!D962)&gt;0,COUNTIFS(出库明细!$C$4:C962,出库明细!C962,出库明细!$D$4:D962,出库明细!D962)&gt;1),"",IFERROR(MATCH(出库明细!C962,总览汇总!$B$5:$B$304,0),900)*10000000+IFERROR(MATCH(出库明细!D962,基础资料!$E$5:$E$104,0),900)*10000+ROW()))</f>
      </c>
      <c r="F1962">
        <f>IF(AND(出库明细!C1962&lt;&gt;"",出库明细!C1962=客户对账单!$B$4,ISNUMBER(出库明细!B1962),出库明细!B1962&gt;=客户对账单!$G$4,出库明细!B1962&lt;=客户对账单!$I$4),出库明细!B1962+ROW()/100000,"")</f>
      </c>
      <c r="H1962">
        <f>IF(AND(资金台帐!K465&lt;&gt;"",资金台帐!K465=供应商对账单!$B$4,资金台帐!P465="应付",ISNUMBER(资金台帐!B465),资金台帐!B465&gt;=供应商对账单!$G$4,资金台帐!B465&lt;=供应商对账单!$I$4),资金台帐!B465+ROW()/100000,"")</f>
      </c>
      <c r="N1962">
        <f>IF(AND(ISNUMBER(出库明细!G1962),ISNUMBER(出库明细!E1962),ISNUMBER(出库明细!F1962)),IF(ABS(出库明细!G1962-出库明细!E1962*出库明细!F1962)&gt;0.005,1,0),0)</f>
        <v>0</v>
      </c>
    </row>
    <row r="1963">
      <c r="A1963">
        <f>IF(OR(出库明细!C963="",出库明细!D963=""),"",IF(OR(COUNTIFS(存条明细!$C$4:$C$1003,出库明细!C963,存条明细!$D$4:$D$1003,出库明细!D963)&gt;0,COUNTIFS(出库明细!$C$4:C963,出库明细!C963,出库明细!$D$4:D963,出库明细!D963)&gt;1),"",IFERROR(MATCH(出库明细!C963,总览汇总!$B$5:$B$304,0),900)*10000000+IFERROR(MATCH(出库明细!D963,基础资料!$E$5:$E$104,0),900)*10000+ROW()))</f>
      </c>
      <c r="F1963">
        <f>IF(AND(出库明细!C1963&lt;&gt;"",出库明细!C1963=客户对账单!$B$4,ISNUMBER(出库明细!B1963),出库明细!B1963&gt;=客户对账单!$G$4,出库明细!B1963&lt;=客户对账单!$I$4),出库明细!B1963+ROW()/100000,"")</f>
      </c>
      <c r="H1963">
        <f>IF(AND(资金台帐!K466&lt;&gt;"",资金台帐!K466=供应商对账单!$B$4,资金台帐!P466="应付",ISNUMBER(资金台帐!B466),资金台帐!B466&gt;=供应商对账单!$G$4,资金台帐!B466&lt;=供应商对账单!$I$4),资金台帐!B466+ROW()/100000,"")</f>
      </c>
      <c r="N1963">
        <f>IF(AND(ISNUMBER(出库明细!G1963),ISNUMBER(出库明细!E1963),ISNUMBER(出库明细!F1963)),IF(ABS(出库明细!G1963-出库明细!E1963*出库明细!F1963)&gt;0.005,1,0),0)</f>
        <v>0</v>
      </c>
    </row>
    <row r="1964">
      <c r="A1964">
        <f>IF(OR(出库明细!C964="",出库明细!D964=""),"",IF(OR(COUNTIFS(存条明细!$C$4:$C$1003,出库明细!C964,存条明细!$D$4:$D$1003,出库明细!D964)&gt;0,COUNTIFS(出库明细!$C$4:C964,出库明细!C964,出库明细!$D$4:D964,出库明细!D964)&gt;1),"",IFERROR(MATCH(出库明细!C964,总览汇总!$B$5:$B$304,0),900)*10000000+IFERROR(MATCH(出库明细!D964,基础资料!$E$5:$E$104,0),900)*10000+ROW()))</f>
      </c>
      <c r="F1964">
        <f>IF(AND(出库明细!C1964&lt;&gt;"",出库明细!C1964=客户对账单!$B$4,ISNUMBER(出库明细!B1964),出库明细!B1964&gt;=客户对账单!$G$4,出库明细!B1964&lt;=客户对账单!$I$4),出库明细!B1964+ROW()/100000,"")</f>
      </c>
      <c r="H1964">
        <f>IF(AND(资金台帐!K467&lt;&gt;"",资金台帐!K467=供应商对账单!$B$4,资金台帐!P467="应付",ISNUMBER(资金台帐!B467),资金台帐!B467&gt;=供应商对账单!$G$4,资金台帐!B467&lt;=供应商对账单!$I$4),资金台帐!B467+ROW()/100000,"")</f>
      </c>
      <c r="N1964">
        <f>IF(AND(ISNUMBER(出库明细!G1964),ISNUMBER(出库明细!E1964),ISNUMBER(出库明细!F1964)),IF(ABS(出库明细!G1964-出库明细!E1964*出库明细!F1964)&gt;0.005,1,0),0)</f>
        <v>0</v>
      </c>
    </row>
    <row r="1965">
      <c r="A1965">
        <f>IF(OR(出库明细!C965="",出库明细!D965=""),"",IF(OR(COUNTIFS(存条明细!$C$4:$C$1003,出库明细!C965,存条明细!$D$4:$D$1003,出库明细!D965)&gt;0,COUNTIFS(出库明细!$C$4:C965,出库明细!C965,出库明细!$D$4:D965,出库明细!D965)&gt;1),"",IFERROR(MATCH(出库明细!C965,总览汇总!$B$5:$B$304,0),900)*10000000+IFERROR(MATCH(出库明细!D965,基础资料!$E$5:$E$104,0),900)*10000+ROW()))</f>
      </c>
      <c r="F1965">
        <f>IF(AND(出库明细!C1965&lt;&gt;"",出库明细!C1965=客户对账单!$B$4,ISNUMBER(出库明细!B1965),出库明细!B1965&gt;=客户对账单!$G$4,出库明细!B1965&lt;=客户对账单!$I$4),出库明细!B1965+ROW()/100000,"")</f>
      </c>
      <c r="H1965">
        <f>IF(AND(资金台帐!K468&lt;&gt;"",资金台帐!K468=供应商对账单!$B$4,资金台帐!P468="应付",ISNUMBER(资金台帐!B468),资金台帐!B468&gt;=供应商对账单!$G$4,资金台帐!B468&lt;=供应商对账单!$I$4),资金台帐!B468+ROW()/100000,"")</f>
      </c>
      <c r="N1965">
        <f>IF(AND(ISNUMBER(出库明细!G1965),ISNUMBER(出库明细!E1965),ISNUMBER(出库明细!F1965)),IF(ABS(出库明细!G1965-出库明细!E1965*出库明细!F1965)&gt;0.005,1,0),0)</f>
        <v>0</v>
      </c>
    </row>
    <row r="1966">
      <c r="A1966">
        <f>IF(OR(出库明细!C966="",出库明细!D966=""),"",IF(OR(COUNTIFS(存条明细!$C$4:$C$1003,出库明细!C966,存条明细!$D$4:$D$1003,出库明细!D966)&gt;0,COUNTIFS(出库明细!$C$4:C966,出库明细!C966,出库明细!$D$4:D966,出库明细!D966)&gt;1),"",IFERROR(MATCH(出库明细!C966,总览汇总!$B$5:$B$304,0),900)*10000000+IFERROR(MATCH(出库明细!D966,基础资料!$E$5:$E$104,0),900)*10000+ROW()))</f>
      </c>
      <c r="F1966">
        <f>IF(AND(出库明细!C1966&lt;&gt;"",出库明细!C1966=客户对账单!$B$4,ISNUMBER(出库明细!B1966),出库明细!B1966&gt;=客户对账单!$G$4,出库明细!B1966&lt;=客户对账单!$I$4),出库明细!B1966+ROW()/100000,"")</f>
      </c>
      <c r="H1966">
        <f>IF(AND(资金台帐!K469&lt;&gt;"",资金台帐!K469=供应商对账单!$B$4,资金台帐!P469="应付",ISNUMBER(资金台帐!B469),资金台帐!B469&gt;=供应商对账单!$G$4,资金台帐!B469&lt;=供应商对账单!$I$4),资金台帐!B469+ROW()/100000,"")</f>
      </c>
      <c r="N1966">
        <f>IF(AND(ISNUMBER(出库明细!G1966),ISNUMBER(出库明细!E1966),ISNUMBER(出库明细!F1966)),IF(ABS(出库明细!G1966-出库明细!E1966*出库明细!F1966)&gt;0.005,1,0),0)</f>
        <v>0</v>
      </c>
    </row>
    <row r="1967">
      <c r="A1967">
        <f>IF(OR(出库明细!C967="",出库明细!D967=""),"",IF(OR(COUNTIFS(存条明细!$C$4:$C$1003,出库明细!C967,存条明细!$D$4:$D$1003,出库明细!D967)&gt;0,COUNTIFS(出库明细!$C$4:C967,出库明细!C967,出库明细!$D$4:D967,出库明细!D967)&gt;1),"",IFERROR(MATCH(出库明细!C967,总览汇总!$B$5:$B$304,0),900)*10000000+IFERROR(MATCH(出库明细!D967,基础资料!$E$5:$E$104,0),900)*10000+ROW()))</f>
      </c>
      <c r="F1967">
        <f>IF(AND(出库明细!C1967&lt;&gt;"",出库明细!C1967=客户对账单!$B$4,ISNUMBER(出库明细!B1967),出库明细!B1967&gt;=客户对账单!$G$4,出库明细!B1967&lt;=客户对账单!$I$4),出库明细!B1967+ROW()/100000,"")</f>
      </c>
      <c r="H1967">
        <f>IF(AND(资金台帐!K470&lt;&gt;"",资金台帐!K470=供应商对账单!$B$4,资金台帐!P470="应付",ISNUMBER(资金台帐!B470),资金台帐!B470&gt;=供应商对账单!$G$4,资金台帐!B470&lt;=供应商对账单!$I$4),资金台帐!B470+ROW()/100000,"")</f>
      </c>
      <c r="N1967">
        <f>IF(AND(ISNUMBER(出库明细!G1967),ISNUMBER(出库明细!E1967),ISNUMBER(出库明细!F1967)),IF(ABS(出库明细!G1967-出库明细!E1967*出库明细!F1967)&gt;0.005,1,0),0)</f>
        <v>0</v>
      </c>
    </row>
    <row r="1968">
      <c r="A1968">
        <f>IF(OR(出库明细!C968="",出库明细!D968=""),"",IF(OR(COUNTIFS(存条明细!$C$4:$C$1003,出库明细!C968,存条明细!$D$4:$D$1003,出库明细!D968)&gt;0,COUNTIFS(出库明细!$C$4:C968,出库明细!C968,出库明细!$D$4:D968,出库明细!D968)&gt;1),"",IFERROR(MATCH(出库明细!C968,总览汇总!$B$5:$B$304,0),900)*10000000+IFERROR(MATCH(出库明细!D968,基础资料!$E$5:$E$104,0),900)*10000+ROW()))</f>
      </c>
      <c r="F1968">
        <f>IF(AND(出库明细!C1968&lt;&gt;"",出库明细!C1968=客户对账单!$B$4,ISNUMBER(出库明细!B1968),出库明细!B1968&gt;=客户对账单!$G$4,出库明细!B1968&lt;=客户对账单!$I$4),出库明细!B1968+ROW()/100000,"")</f>
      </c>
      <c r="H1968">
        <f>IF(AND(资金台帐!K471&lt;&gt;"",资金台帐!K471=供应商对账单!$B$4,资金台帐!P471="应付",ISNUMBER(资金台帐!B471),资金台帐!B471&gt;=供应商对账单!$G$4,资金台帐!B471&lt;=供应商对账单!$I$4),资金台帐!B471+ROW()/100000,"")</f>
      </c>
      <c r="N1968">
        <f>IF(AND(ISNUMBER(出库明细!G1968),ISNUMBER(出库明细!E1968),ISNUMBER(出库明细!F1968)),IF(ABS(出库明细!G1968-出库明细!E1968*出库明细!F1968)&gt;0.005,1,0),0)</f>
        <v>0</v>
      </c>
    </row>
    <row r="1969">
      <c r="A1969">
        <f>IF(OR(出库明细!C969="",出库明细!D969=""),"",IF(OR(COUNTIFS(存条明细!$C$4:$C$1003,出库明细!C969,存条明细!$D$4:$D$1003,出库明细!D969)&gt;0,COUNTIFS(出库明细!$C$4:C969,出库明细!C969,出库明细!$D$4:D969,出库明细!D969)&gt;1),"",IFERROR(MATCH(出库明细!C969,总览汇总!$B$5:$B$304,0),900)*10000000+IFERROR(MATCH(出库明细!D969,基础资料!$E$5:$E$104,0),900)*10000+ROW()))</f>
      </c>
      <c r="F1969">
        <f>IF(AND(出库明细!C1969&lt;&gt;"",出库明细!C1969=客户对账单!$B$4,ISNUMBER(出库明细!B1969),出库明细!B1969&gt;=客户对账单!$G$4,出库明细!B1969&lt;=客户对账单!$I$4),出库明细!B1969+ROW()/100000,"")</f>
      </c>
      <c r="H1969">
        <f>IF(AND(资金台帐!K472&lt;&gt;"",资金台帐!K472=供应商对账单!$B$4,资金台帐!P472="应付",ISNUMBER(资金台帐!B472),资金台帐!B472&gt;=供应商对账单!$G$4,资金台帐!B472&lt;=供应商对账单!$I$4),资金台帐!B472+ROW()/100000,"")</f>
      </c>
      <c r="N1969">
        <f>IF(AND(ISNUMBER(出库明细!G1969),ISNUMBER(出库明细!E1969),ISNUMBER(出库明细!F1969)),IF(ABS(出库明细!G1969-出库明细!E1969*出库明细!F1969)&gt;0.005,1,0),0)</f>
        <v>0</v>
      </c>
    </row>
    <row r="1970">
      <c r="A1970">
        <f>IF(OR(出库明细!C970="",出库明细!D970=""),"",IF(OR(COUNTIFS(存条明细!$C$4:$C$1003,出库明细!C970,存条明细!$D$4:$D$1003,出库明细!D970)&gt;0,COUNTIFS(出库明细!$C$4:C970,出库明细!C970,出库明细!$D$4:D970,出库明细!D970)&gt;1),"",IFERROR(MATCH(出库明细!C970,总览汇总!$B$5:$B$304,0),900)*10000000+IFERROR(MATCH(出库明细!D970,基础资料!$E$5:$E$104,0),900)*10000+ROW()))</f>
      </c>
      <c r="F1970">
        <f>IF(AND(出库明细!C1970&lt;&gt;"",出库明细!C1970=客户对账单!$B$4,ISNUMBER(出库明细!B1970),出库明细!B1970&gt;=客户对账单!$G$4,出库明细!B1970&lt;=客户对账单!$I$4),出库明细!B1970+ROW()/100000,"")</f>
      </c>
      <c r="H1970">
        <f>IF(AND(资金台帐!K473&lt;&gt;"",资金台帐!K473=供应商对账单!$B$4,资金台帐!P473="应付",ISNUMBER(资金台帐!B473),资金台帐!B473&gt;=供应商对账单!$G$4,资金台帐!B473&lt;=供应商对账单!$I$4),资金台帐!B473+ROW()/100000,"")</f>
      </c>
      <c r="N1970">
        <f>IF(AND(ISNUMBER(出库明细!G1970),ISNUMBER(出库明细!E1970),ISNUMBER(出库明细!F1970)),IF(ABS(出库明细!G1970-出库明细!E1970*出库明细!F1970)&gt;0.005,1,0),0)</f>
        <v>0</v>
      </c>
    </row>
    <row r="1971">
      <c r="A1971">
        <f>IF(OR(出库明细!C971="",出库明细!D971=""),"",IF(OR(COUNTIFS(存条明细!$C$4:$C$1003,出库明细!C971,存条明细!$D$4:$D$1003,出库明细!D971)&gt;0,COUNTIFS(出库明细!$C$4:C971,出库明细!C971,出库明细!$D$4:D971,出库明细!D971)&gt;1),"",IFERROR(MATCH(出库明细!C971,总览汇总!$B$5:$B$304,0),900)*10000000+IFERROR(MATCH(出库明细!D971,基础资料!$E$5:$E$104,0),900)*10000+ROW()))</f>
      </c>
      <c r="F1971">
        <f>IF(AND(出库明细!C1971&lt;&gt;"",出库明细!C1971=客户对账单!$B$4,ISNUMBER(出库明细!B1971),出库明细!B1971&gt;=客户对账单!$G$4,出库明细!B1971&lt;=客户对账单!$I$4),出库明细!B1971+ROW()/100000,"")</f>
      </c>
      <c r="H1971">
        <f>IF(AND(资金台帐!K474&lt;&gt;"",资金台帐!K474=供应商对账单!$B$4,资金台帐!P474="应付",ISNUMBER(资金台帐!B474),资金台帐!B474&gt;=供应商对账单!$G$4,资金台帐!B474&lt;=供应商对账单!$I$4),资金台帐!B474+ROW()/100000,"")</f>
      </c>
      <c r="N1971">
        <f>IF(AND(ISNUMBER(出库明细!G1971),ISNUMBER(出库明细!E1971),ISNUMBER(出库明细!F1971)),IF(ABS(出库明细!G1971-出库明细!E1971*出库明细!F1971)&gt;0.005,1,0),0)</f>
        <v>0</v>
      </c>
    </row>
    <row r="1972">
      <c r="A1972">
        <f>IF(OR(出库明细!C972="",出库明细!D972=""),"",IF(OR(COUNTIFS(存条明细!$C$4:$C$1003,出库明细!C972,存条明细!$D$4:$D$1003,出库明细!D972)&gt;0,COUNTIFS(出库明细!$C$4:C972,出库明细!C972,出库明细!$D$4:D972,出库明细!D972)&gt;1),"",IFERROR(MATCH(出库明细!C972,总览汇总!$B$5:$B$304,0),900)*10000000+IFERROR(MATCH(出库明细!D972,基础资料!$E$5:$E$104,0),900)*10000+ROW()))</f>
      </c>
      <c r="F1972">
        <f>IF(AND(出库明细!C1972&lt;&gt;"",出库明细!C1972=客户对账单!$B$4,ISNUMBER(出库明细!B1972),出库明细!B1972&gt;=客户对账单!$G$4,出库明细!B1972&lt;=客户对账单!$I$4),出库明细!B1972+ROW()/100000,"")</f>
      </c>
      <c r="H1972">
        <f>IF(AND(资金台帐!K475&lt;&gt;"",资金台帐!K475=供应商对账单!$B$4,资金台帐!P475="应付",ISNUMBER(资金台帐!B475),资金台帐!B475&gt;=供应商对账单!$G$4,资金台帐!B475&lt;=供应商对账单!$I$4),资金台帐!B475+ROW()/100000,"")</f>
      </c>
      <c r="N1972">
        <f>IF(AND(ISNUMBER(出库明细!G1972),ISNUMBER(出库明细!E1972),ISNUMBER(出库明细!F1972)),IF(ABS(出库明细!G1972-出库明细!E1972*出库明细!F1972)&gt;0.005,1,0),0)</f>
        <v>0</v>
      </c>
    </row>
    <row r="1973">
      <c r="A1973">
        <f>IF(OR(出库明细!C973="",出库明细!D973=""),"",IF(OR(COUNTIFS(存条明细!$C$4:$C$1003,出库明细!C973,存条明细!$D$4:$D$1003,出库明细!D973)&gt;0,COUNTIFS(出库明细!$C$4:C973,出库明细!C973,出库明细!$D$4:D973,出库明细!D973)&gt;1),"",IFERROR(MATCH(出库明细!C973,总览汇总!$B$5:$B$304,0),900)*10000000+IFERROR(MATCH(出库明细!D973,基础资料!$E$5:$E$104,0),900)*10000+ROW()))</f>
      </c>
      <c r="F1973">
        <f>IF(AND(出库明细!C1973&lt;&gt;"",出库明细!C1973=客户对账单!$B$4,ISNUMBER(出库明细!B1973),出库明细!B1973&gt;=客户对账单!$G$4,出库明细!B1973&lt;=客户对账单!$I$4),出库明细!B1973+ROW()/100000,"")</f>
      </c>
      <c r="H1973">
        <f>IF(AND(资金台帐!K476&lt;&gt;"",资金台帐!K476=供应商对账单!$B$4,资金台帐!P476="应付",ISNUMBER(资金台帐!B476),资金台帐!B476&gt;=供应商对账单!$G$4,资金台帐!B476&lt;=供应商对账单!$I$4),资金台帐!B476+ROW()/100000,"")</f>
      </c>
      <c r="N1973">
        <f>IF(AND(ISNUMBER(出库明细!G1973),ISNUMBER(出库明细!E1973),ISNUMBER(出库明细!F1973)),IF(ABS(出库明细!G1973-出库明细!E1973*出库明细!F1973)&gt;0.005,1,0),0)</f>
        <v>0</v>
      </c>
    </row>
    <row r="1974">
      <c r="A1974">
        <f>IF(OR(出库明细!C974="",出库明细!D974=""),"",IF(OR(COUNTIFS(存条明细!$C$4:$C$1003,出库明细!C974,存条明细!$D$4:$D$1003,出库明细!D974)&gt;0,COUNTIFS(出库明细!$C$4:C974,出库明细!C974,出库明细!$D$4:D974,出库明细!D974)&gt;1),"",IFERROR(MATCH(出库明细!C974,总览汇总!$B$5:$B$304,0),900)*10000000+IFERROR(MATCH(出库明细!D974,基础资料!$E$5:$E$104,0),900)*10000+ROW()))</f>
      </c>
      <c r="F1974">
        <f>IF(AND(出库明细!C1974&lt;&gt;"",出库明细!C1974=客户对账单!$B$4,ISNUMBER(出库明细!B1974),出库明细!B1974&gt;=客户对账单!$G$4,出库明细!B1974&lt;=客户对账单!$I$4),出库明细!B1974+ROW()/100000,"")</f>
      </c>
      <c r="H1974">
        <f>IF(AND(资金台帐!K477&lt;&gt;"",资金台帐!K477=供应商对账单!$B$4,资金台帐!P477="应付",ISNUMBER(资金台帐!B477),资金台帐!B477&gt;=供应商对账单!$G$4,资金台帐!B477&lt;=供应商对账单!$I$4),资金台帐!B477+ROW()/100000,"")</f>
      </c>
      <c r="N1974">
        <f>IF(AND(ISNUMBER(出库明细!G1974),ISNUMBER(出库明细!E1974),ISNUMBER(出库明细!F1974)),IF(ABS(出库明细!G1974-出库明细!E1974*出库明细!F1974)&gt;0.005,1,0),0)</f>
        <v>0</v>
      </c>
    </row>
    <row r="1975">
      <c r="A1975">
        <f>IF(OR(出库明细!C975="",出库明细!D975=""),"",IF(OR(COUNTIFS(存条明细!$C$4:$C$1003,出库明细!C975,存条明细!$D$4:$D$1003,出库明细!D975)&gt;0,COUNTIFS(出库明细!$C$4:C975,出库明细!C975,出库明细!$D$4:D975,出库明细!D975)&gt;1),"",IFERROR(MATCH(出库明细!C975,总览汇总!$B$5:$B$304,0),900)*10000000+IFERROR(MATCH(出库明细!D975,基础资料!$E$5:$E$104,0),900)*10000+ROW()))</f>
      </c>
      <c r="F1975">
        <f>IF(AND(出库明细!C1975&lt;&gt;"",出库明细!C1975=客户对账单!$B$4,ISNUMBER(出库明细!B1975),出库明细!B1975&gt;=客户对账单!$G$4,出库明细!B1975&lt;=客户对账单!$I$4),出库明细!B1975+ROW()/100000,"")</f>
      </c>
      <c r="H1975">
        <f>IF(AND(资金台帐!K478&lt;&gt;"",资金台帐!K478=供应商对账单!$B$4,资金台帐!P478="应付",ISNUMBER(资金台帐!B478),资金台帐!B478&gt;=供应商对账单!$G$4,资金台帐!B478&lt;=供应商对账单!$I$4),资金台帐!B478+ROW()/100000,"")</f>
      </c>
      <c r="N1975">
        <f>IF(AND(ISNUMBER(出库明细!G1975),ISNUMBER(出库明细!E1975),ISNUMBER(出库明细!F1975)),IF(ABS(出库明细!G1975-出库明细!E1975*出库明细!F1975)&gt;0.005,1,0),0)</f>
        <v>0</v>
      </c>
    </row>
    <row r="1976">
      <c r="A1976">
        <f>IF(OR(出库明细!C976="",出库明细!D976=""),"",IF(OR(COUNTIFS(存条明细!$C$4:$C$1003,出库明细!C976,存条明细!$D$4:$D$1003,出库明细!D976)&gt;0,COUNTIFS(出库明细!$C$4:C976,出库明细!C976,出库明细!$D$4:D976,出库明细!D976)&gt;1),"",IFERROR(MATCH(出库明细!C976,总览汇总!$B$5:$B$304,0),900)*10000000+IFERROR(MATCH(出库明细!D976,基础资料!$E$5:$E$104,0),900)*10000+ROW()))</f>
      </c>
      <c r="F1976">
        <f>IF(AND(出库明细!C1976&lt;&gt;"",出库明细!C1976=客户对账单!$B$4,ISNUMBER(出库明细!B1976),出库明细!B1976&gt;=客户对账单!$G$4,出库明细!B1976&lt;=客户对账单!$I$4),出库明细!B1976+ROW()/100000,"")</f>
      </c>
      <c r="H1976">
        <f>IF(AND(资金台帐!K479&lt;&gt;"",资金台帐!K479=供应商对账单!$B$4,资金台帐!P479="应付",ISNUMBER(资金台帐!B479),资金台帐!B479&gt;=供应商对账单!$G$4,资金台帐!B479&lt;=供应商对账单!$I$4),资金台帐!B479+ROW()/100000,"")</f>
      </c>
      <c r="N1976">
        <f>IF(AND(ISNUMBER(出库明细!G1976),ISNUMBER(出库明细!E1976),ISNUMBER(出库明细!F1976)),IF(ABS(出库明细!G1976-出库明细!E1976*出库明细!F1976)&gt;0.005,1,0),0)</f>
        <v>0</v>
      </c>
    </row>
    <row r="1977">
      <c r="A1977">
        <f>IF(OR(出库明细!C977="",出库明细!D977=""),"",IF(OR(COUNTIFS(存条明细!$C$4:$C$1003,出库明细!C977,存条明细!$D$4:$D$1003,出库明细!D977)&gt;0,COUNTIFS(出库明细!$C$4:C977,出库明细!C977,出库明细!$D$4:D977,出库明细!D977)&gt;1),"",IFERROR(MATCH(出库明细!C977,总览汇总!$B$5:$B$304,0),900)*10000000+IFERROR(MATCH(出库明细!D977,基础资料!$E$5:$E$104,0),900)*10000+ROW()))</f>
      </c>
      <c r="F1977">
        <f>IF(AND(出库明细!C1977&lt;&gt;"",出库明细!C1977=客户对账单!$B$4,ISNUMBER(出库明细!B1977),出库明细!B1977&gt;=客户对账单!$G$4,出库明细!B1977&lt;=客户对账单!$I$4),出库明细!B1977+ROW()/100000,"")</f>
      </c>
      <c r="H1977">
        <f>IF(AND(资金台帐!K480&lt;&gt;"",资金台帐!K480=供应商对账单!$B$4,资金台帐!P480="应付",ISNUMBER(资金台帐!B480),资金台帐!B480&gt;=供应商对账单!$G$4,资金台帐!B480&lt;=供应商对账单!$I$4),资金台帐!B480+ROW()/100000,"")</f>
      </c>
      <c r="N1977">
        <f>IF(AND(ISNUMBER(出库明细!G1977),ISNUMBER(出库明细!E1977),ISNUMBER(出库明细!F1977)),IF(ABS(出库明细!G1977-出库明细!E1977*出库明细!F1977)&gt;0.005,1,0),0)</f>
        <v>0</v>
      </c>
    </row>
    <row r="1978">
      <c r="A1978">
        <f>IF(OR(出库明细!C978="",出库明细!D978=""),"",IF(OR(COUNTIFS(存条明细!$C$4:$C$1003,出库明细!C978,存条明细!$D$4:$D$1003,出库明细!D978)&gt;0,COUNTIFS(出库明细!$C$4:C978,出库明细!C978,出库明细!$D$4:D978,出库明细!D978)&gt;1),"",IFERROR(MATCH(出库明细!C978,总览汇总!$B$5:$B$304,0),900)*10000000+IFERROR(MATCH(出库明细!D978,基础资料!$E$5:$E$104,0),900)*10000+ROW()))</f>
      </c>
      <c r="F1978">
        <f>IF(AND(出库明细!C1978&lt;&gt;"",出库明细!C1978=客户对账单!$B$4,ISNUMBER(出库明细!B1978),出库明细!B1978&gt;=客户对账单!$G$4,出库明细!B1978&lt;=客户对账单!$I$4),出库明细!B1978+ROW()/100000,"")</f>
      </c>
      <c r="H1978">
        <f>IF(AND(资金台帐!K481&lt;&gt;"",资金台帐!K481=供应商对账单!$B$4,资金台帐!P481="应付",ISNUMBER(资金台帐!B481),资金台帐!B481&gt;=供应商对账单!$G$4,资金台帐!B481&lt;=供应商对账单!$I$4),资金台帐!B481+ROW()/100000,"")</f>
      </c>
      <c r="N1978">
        <f>IF(AND(ISNUMBER(出库明细!G1978),ISNUMBER(出库明细!E1978),ISNUMBER(出库明细!F1978)),IF(ABS(出库明细!G1978-出库明细!E1978*出库明细!F1978)&gt;0.005,1,0),0)</f>
        <v>0</v>
      </c>
    </row>
    <row r="1979">
      <c r="A1979">
        <f>IF(OR(出库明细!C979="",出库明细!D979=""),"",IF(OR(COUNTIFS(存条明细!$C$4:$C$1003,出库明细!C979,存条明细!$D$4:$D$1003,出库明细!D979)&gt;0,COUNTIFS(出库明细!$C$4:C979,出库明细!C979,出库明细!$D$4:D979,出库明细!D979)&gt;1),"",IFERROR(MATCH(出库明细!C979,总览汇总!$B$5:$B$304,0),900)*10000000+IFERROR(MATCH(出库明细!D979,基础资料!$E$5:$E$104,0),900)*10000+ROW()))</f>
      </c>
      <c r="F1979">
        <f>IF(AND(出库明细!C1979&lt;&gt;"",出库明细!C1979=客户对账单!$B$4,ISNUMBER(出库明细!B1979),出库明细!B1979&gt;=客户对账单!$G$4,出库明细!B1979&lt;=客户对账单!$I$4),出库明细!B1979+ROW()/100000,"")</f>
      </c>
      <c r="H1979">
        <f>IF(AND(资金台帐!K482&lt;&gt;"",资金台帐!K482=供应商对账单!$B$4,资金台帐!P482="应付",ISNUMBER(资金台帐!B482),资金台帐!B482&gt;=供应商对账单!$G$4,资金台帐!B482&lt;=供应商对账单!$I$4),资金台帐!B482+ROW()/100000,"")</f>
      </c>
      <c r="N1979">
        <f>IF(AND(ISNUMBER(出库明细!G1979),ISNUMBER(出库明细!E1979),ISNUMBER(出库明细!F1979)),IF(ABS(出库明细!G1979-出库明细!E1979*出库明细!F1979)&gt;0.005,1,0),0)</f>
        <v>0</v>
      </c>
    </row>
    <row r="1980">
      <c r="A1980">
        <f>IF(OR(出库明细!C980="",出库明细!D980=""),"",IF(OR(COUNTIFS(存条明细!$C$4:$C$1003,出库明细!C980,存条明细!$D$4:$D$1003,出库明细!D980)&gt;0,COUNTIFS(出库明细!$C$4:C980,出库明细!C980,出库明细!$D$4:D980,出库明细!D980)&gt;1),"",IFERROR(MATCH(出库明细!C980,总览汇总!$B$5:$B$304,0),900)*10000000+IFERROR(MATCH(出库明细!D980,基础资料!$E$5:$E$104,0),900)*10000+ROW()))</f>
      </c>
      <c r="F1980">
        <f>IF(AND(出库明细!C1980&lt;&gt;"",出库明细!C1980=客户对账单!$B$4,ISNUMBER(出库明细!B1980),出库明细!B1980&gt;=客户对账单!$G$4,出库明细!B1980&lt;=客户对账单!$I$4),出库明细!B1980+ROW()/100000,"")</f>
      </c>
      <c r="H1980">
        <f>IF(AND(资金台帐!K483&lt;&gt;"",资金台帐!K483=供应商对账单!$B$4,资金台帐!P483="应付",ISNUMBER(资金台帐!B483),资金台帐!B483&gt;=供应商对账单!$G$4,资金台帐!B483&lt;=供应商对账单!$I$4),资金台帐!B483+ROW()/100000,"")</f>
      </c>
      <c r="N1980">
        <f>IF(AND(ISNUMBER(出库明细!G1980),ISNUMBER(出库明细!E1980),ISNUMBER(出库明细!F1980)),IF(ABS(出库明细!G1980-出库明细!E1980*出库明细!F1980)&gt;0.005,1,0),0)</f>
        <v>0</v>
      </c>
    </row>
    <row r="1981">
      <c r="A1981">
        <f>IF(OR(出库明细!C981="",出库明细!D981=""),"",IF(OR(COUNTIFS(存条明细!$C$4:$C$1003,出库明细!C981,存条明细!$D$4:$D$1003,出库明细!D981)&gt;0,COUNTIFS(出库明细!$C$4:C981,出库明细!C981,出库明细!$D$4:D981,出库明细!D981)&gt;1),"",IFERROR(MATCH(出库明细!C981,总览汇总!$B$5:$B$304,0),900)*10000000+IFERROR(MATCH(出库明细!D981,基础资料!$E$5:$E$104,0),900)*10000+ROW()))</f>
      </c>
      <c r="F1981">
        <f>IF(AND(出库明细!C1981&lt;&gt;"",出库明细!C1981=客户对账单!$B$4,ISNUMBER(出库明细!B1981),出库明细!B1981&gt;=客户对账单!$G$4,出库明细!B1981&lt;=客户对账单!$I$4),出库明细!B1981+ROW()/100000,"")</f>
      </c>
      <c r="H1981">
        <f>IF(AND(资金台帐!K484&lt;&gt;"",资金台帐!K484=供应商对账单!$B$4,资金台帐!P484="应付",ISNUMBER(资金台帐!B484),资金台帐!B484&gt;=供应商对账单!$G$4,资金台帐!B484&lt;=供应商对账单!$I$4),资金台帐!B484+ROW()/100000,"")</f>
      </c>
      <c r="N1981">
        <f>IF(AND(ISNUMBER(出库明细!G1981),ISNUMBER(出库明细!E1981),ISNUMBER(出库明细!F1981)),IF(ABS(出库明细!G1981-出库明细!E1981*出库明细!F1981)&gt;0.005,1,0),0)</f>
        <v>0</v>
      </c>
    </row>
    <row r="1982">
      <c r="A1982">
        <f>IF(OR(出库明细!C982="",出库明细!D982=""),"",IF(OR(COUNTIFS(存条明细!$C$4:$C$1003,出库明细!C982,存条明细!$D$4:$D$1003,出库明细!D982)&gt;0,COUNTIFS(出库明细!$C$4:C982,出库明细!C982,出库明细!$D$4:D982,出库明细!D982)&gt;1),"",IFERROR(MATCH(出库明细!C982,总览汇总!$B$5:$B$304,0),900)*10000000+IFERROR(MATCH(出库明细!D982,基础资料!$E$5:$E$104,0),900)*10000+ROW()))</f>
      </c>
      <c r="F1982">
        <f>IF(AND(出库明细!C1982&lt;&gt;"",出库明细!C1982=客户对账单!$B$4,ISNUMBER(出库明细!B1982),出库明细!B1982&gt;=客户对账单!$G$4,出库明细!B1982&lt;=客户对账单!$I$4),出库明细!B1982+ROW()/100000,"")</f>
      </c>
      <c r="H1982">
        <f>IF(AND(资金台帐!K485&lt;&gt;"",资金台帐!K485=供应商对账单!$B$4,资金台帐!P485="应付",ISNUMBER(资金台帐!B485),资金台帐!B485&gt;=供应商对账单!$G$4,资金台帐!B485&lt;=供应商对账单!$I$4),资金台帐!B485+ROW()/100000,"")</f>
      </c>
      <c r="N1982">
        <f>IF(AND(ISNUMBER(出库明细!G1982),ISNUMBER(出库明细!E1982),ISNUMBER(出库明细!F1982)),IF(ABS(出库明细!G1982-出库明细!E1982*出库明细!F1982)&gt;0.005,1,0),0)</f>
        <v>0</v>
      </c>
    </row>
    <row r="1983">
      <c r="A1983">
        <f>IF(OR(出库明细!C983="",出库明细!D983=""),"",IF(OR(COUNTIFS(存条明细!$C$4:$C$1003,出库明细!C983,存条明细!$D$4:$D$1003,出库明细!D983)&gt;0,COUNTIFS(出库明细!$C$4:C983,出库明细!C983,出库明细!$D$4:D983,出库明细!D983)&gt;1),"",IFERROR(MATCH(出库明细!C983,总览汇总!$B$5:$B$304,0),900)*10000000+IFERROR(MATCH(出库明细!D983,基础资料!$E$5:$E$104,0),900)*10000+ROW()))</f>
      </c>
      <c r="F1983">
        <f>IF(AND(出库明细!C1983&lt;&gt;"",出库明细!C1983=客户对账单!$B$4,ISNUMBER(出库明细!B1983),出库明细!B1983&gt;=客户对账单!$G$4,出库明细!B1983&lt;=客户对账单!$I$4),出库明细!B1983+ROW()/100000,"")</f>
      </c>
      <c r="H1983">
        <f>IF(AND(资金台帐!K486&lt;&gt;"",资金台帐!K486=供应商对账单!$B$4,资金台帐!P486="应付",ISNUMBER(资金台帐!B486),资金台帐!B486&gt;=供应商对账单!$G$4,资金台帐!B486&lt;=供应商对账单!$I$4),资金台帐!B486+ROW()/100000,"")</f>
      </c>
      <c r="N1983">
        <f>IF(AND(ISNUMBER(出库明细!G1983),ISNUMBER(出库明细!E1983),ISNUMBER(出库明细!F1983)),IF(ABS(出库明细!G1983-出库明细!E1983*出库明细!F1983)&gt;0.005,1,0),0)</f>
        <v>0</v>
      </c>
    </row>
    <row r="1984">
      <c r="A1984">
        <f>IF(OR(出库明细!C984="",出库明细!D984=""),"",IF(OR(COUNTIFS(存条明细!$C$4:$C$1003,出库明细!C984,存条明细!$D$4:$D$1003,出库明细!D984)&gt;0,COUNTIFS(出库明细!$C$4:C984,出库明细!C984,出库明细!$D$4:D984,出库明细!D984)&gt;1),"",IFERROR(MATCH(出库明细!C984,总览汇总!$B$5:$B$304,0),900)*10000000+IFERROR(MATCH(出库明细!D984,基础资料!$E$5:$E$104,0),900)*10000+ROW()))</f>
      </c>
      <c r="F1984">
        <f>IF(AND(出库明细!C1984&lt;&gt;"",出库明细!C1984=客户对账单!$B$4,ISNUMBER(出库明细!B1984),出库明细!B1984&gt;=客户对账单!$G$4,出库明细!B1984&lt;=客户对账单!$I$4),出库明细!B1984+ROW()/100000,"")</f>
      </c>
      <c r="H1984">
        <f>IF(AND(资金台帐!K487&lt;&gt;"",资金台帐!K487=供应商对账单!$B$4,资金台帐!P487="应付",ISNUMBER(资金台帐!B487),资金台帐!B487&gt;=供应商对账单!$G$4,资金台帐!B487&lt;=供应商对账单!$I$4),资金台帐!B487+ROW()/100000,"")</f>
      </c>
      <c r="N1984">
        <f>IF(AND(ISNUMBER(出库明细!G1984),ISNUMBER(出库明细!E1984),ISNUMBER(出库明细!F1984)),IF(ABS(出库明细!G1984-出库明细!E1984*出库明细!F1984)&gt;0.005,1,0),0)</f>
        <v>0</v>
      </c>
    </row>
    <row r="1985">
      <c r="A1985">
        <f>IF(OR(出库明细!C985="",出库明细!D985=""),"",IF(OR(COUNTIFS(存条明细!$C$4:$C$1003,出库明细!C985,存条明细!$D$4:$D$1003,出库明细!D985)&gt;0,COUNTIFS(出库明细!$C$4:C985,出库明细!C985,出库明细!$D$4:D985,出库明细!D985)&gt;1),"",IFERROR(MATCH(出库明细!C985,总览汇总!$B$5:$B$304,0),900)*10000000+IFERROR(MATCH(出库明细!D985,基础资料!$E$5:$E$104,0),900)*10000+ROW()))</f>
      </c>
      <c r="F1985">
        <f>IF(AND(出库明细!C1985&lt;&gt;"",出库明细!C1985=客户对账单!$B$4,ISNUMBER(出库明细!B1985),出库明细!B1985&gt;=客户对账单!$G$4,出库明细!B1985&lt;=客户对账单!$I$4),出库明细!B1985+ROW()/100000,"")</f>
      </c>
      <c r="H1985">
        <f>IF(AND(资金台帐!K488&lt;&gt;"",资金台帐!K488=供应商对账单!$B$4,资金台帐!P488="应付",ISNUMBER(资金台帐!B488),资金台帐!B488&gt;=供应商对账单!$G$4,资金台帐!B488&lt;=供应商对账单!$I$4),资金台帐!B488+ROW()/100000,"")</f>
      </c>
      <c r="N1985">
        <f>IF(AND(ISNUMBER(出库明细!G1985),ISNUMBER(出库明细!E1985),ISNUMBER(出库明细!F1985)),IF(ABS(出库明细!G1985-出库明细!E1985*出库明细!F1985)&gt;0.005,1,0),0)</f>
        <v>0</v>
      </c>
    </row>
    <row r="1986">
      <c r="A1986">
        <f>IF(OR(出库明细!C986="",出库明细!D986=""),"",IF(OR(COUNTIFS(存条明细!$C$4:$C$1003,出库明细!C986,存条明细!$D$4:$D$1003,出库明细!D986)&gt;0,COUNTIFS(出库明细!$C$4:C986,出库明细!C986,出库明细!$D$4:D986,出库明细!D986)&gt;1),"",IFERROR(MATCH(出库明细!C986,总览汇总!$B$5:$B$304,0),900)*10000000+IFERROR(MATCH(出库明细!D986,基础资料!$E$5:$E$104,0),900)*10000+ROW()))</f>
      </c>
      <c r="F1986">
        <f>IF(AND(出库明细!C1986&lt;&gt;"",出库明细!C1986=客户对账单!$B$4,ISNUMBER(出库明细!B1986),出库明细!B1986&gt;=客户对账单!$G$4,出库明细!B1986&lt;=客户对账单!$I$4),出库明细!B1986+ROW()/100000,"")</f>
      </c>
      <c r="H1986">
        <f>IF(AND(资金台帐!K489&lt;&gt;"",资金台帐!K489=供应商对账单!$B$4,资金台帐!P489="应付",ISNUMBER(资金台帐!B489),资金台帐!B489&gt;=供应商对账单!$G$4,资金台帐!B489&lt;=供应商对账单!$I$4),资金台帐!B489+ROW()/100000,"")</f>
      </c>
      <c r="N1986">
        <f>IF(AND(ISNUMBER(出库明细!G1986),ISNUMBER(出库明细!E1986),ISNUMBER(出库明细!F1986)),IF(ABS(出库明细!G1986-出库明细!E1986*出库明细!F1986)&gt;0.005,1,0),0)</f>
        <v>0</v>
      </c>
    </row>
    <row r="1987">
      <c r="A1987">
        <f>IF(OR(出库明细!C987="",出库明细!D987=""),"",IF(OR(COUNTIFS(存条明细!$C$4:$C$1003,出库明细!C987,存条明细!$D$4:$D$1003,出库明细!D987)&gt;0,COUNTIFS(出库明细!$C$4:C987,出库明细!C987,出库明细!$D$4:D987,出库明细!D987)&gt;1),"",IFERROR(MATCH(出库明细!C987,总览汇总!$B$5:$B$304,0),900)*10000000+IFERROR(MATCH(出库明细!D987,基础资料!$E$5:$E$104,0),900)*10000+ROW()))</f>
      </c>
      <c r="F1987">
        <f>IF(AND(出库明细!C1987&lt;&gt;"",出库明细!C1987=客户对账单!$B$4,ISNUMBER(出库明细!B1987),出库明细!B1987&gt;=客户对账单!$G$4,出库明细!B1987&lt;=客户对账单!$I$4),出库明细!B1987+ROW()/100000,"")</f>
      </c>
      <c r="H1987">
        <f>IF(AND(资金台帐!K490&lt;&gt;"",资金台帐!K490=供应商对账单!$B$4,资金台帐!P490="应付",ISNUMBER(资金台帐!B490),资金台帐!B490&gt;=供应商对账单!$G$4,资金台帐!B490&lt;=供应商对账单!$I$4),资金台帐!B490+ROW()/100000,"")</f>
      </c>
      <c r="N1987">
        <f>IF(AND(ISNUMBER(出库明细!G1987),ISNUMBER(出库明细!E1987),ISNUMBER(出库明细!F1987)),IF(ABS(出库明细!G1987-出库明细!E1987*出库明细!F1987)&gt;0.005,1,0),0)</f>
        <v>0</v>
      </c>
    </row>
    <row r="1988">
      <c r="A1988">
        <f>IF(OR(出库明细!C988="",出库明细!D988=""),"",IF(OR(COUNTIFS(存条明细!$C$4:$C$1003,出库明细!C988,存条明细!$D$4:$D$1003,出库明细!D988)&gt;0,COUNTIFS(出库明细!$C$4:C988,出库明细!C988,出库明细!$D$4:D988,出库明细!D988)&gt;1),"",IFERROR(MATCH(出库明细!C988,总览汇总!$B$5:$B$304,0),900)*10000000+IFERROR(MATCH(出库明细!D988,基础资料!$E$5:$E$104,0),900)*10000+ROW()))</f>
      </c>
      <c r="F1988">
        <f>IF(AND(出库明细!C1988&lt;&gt;"",出库明细!C1988=客户对账单!$B$4,ISNUMBER(出库明细!B1988),出库明细!B1988&gt;=客户对账单!$G$4,出库明细!B1988&lt;=客户对账单!$I$4),出库明细!B1988+ROW()/100000,"")</f>
      </c>
      <c r="H1988">
        <f>IF(AND(资金台帐!K491&lt;&gt;"",资金台帐!K491=供应商对账单!$B$4,资金台帐!P491="应付",ISNUMBER(资金台帐!B491),资金台帐!B491&gt;=供应商对账单!$G$4,资金台帐!B491&lt;=供应商对账单!$I$4),资金台帐!B491+ROW()/100000,"")</f>
      </c>
      <c r="N1988">
        <f>IF(AND(ISNUMBER(出库明细!G1988),ISNUMBER(出库明细!E1988),ISNUMBER(出库明细!F1988)),IF(ABS(出库明细!G1988-出库明细!E1988*出库明细!F1988)&gt;0.005,1,0),0)</f>
        <v>0</v>
      </c>
    </row>
    <row r="1989">
      <c r="A1989">
        <f>IF(OR(出库明细!C989="",出库明细!D989=""),"",IF(OR(COUNTIFS(存条明细!$C$4:$C$1003,出库明细!C989,存条明细!$D$4:$D$1003,出库明细!D989)&gt;0,COUNTIFS(出库明细!$C$4:C989,出库明细!C989,出库明细!$D$4:D989,出库明细!D989)&gt;1),"",IFERROR(MATCH(出库明细!C989,总览汇总!$B$5:$B$304,0),900)*10000000+IFERROR(MATCH(出库明细!D989,基础资料!$E$5:$E$104,0),900)*10000+ROW()))</f>
      </c>
      <c r="F1989">
        <f>IF(AND(出库明细!C1989&lt;&gt;"",出库明细!C1989=客户对账单!$B$4,ISNUMBER(出库明细!B1989),出库明细!B1989&gt;=客户对账单!$G$4,出库明细!B1989&lt;=客户对账单!$I$4),出库明细!B1989+ROW()/100000,"")</f>
      </c>
      <c r="H1989">
        <f>IF(AND(资金台帐!K492&lt;&gt;"",资金台帐!K492=供应商对账单!$B$4,资金台帐!P492="应付",ISNUMBER(资金台帐!B492),资金台帐!B492&gt;=供应商对账单!$G$4,资金台帐!B492&lt;=供应商对账单!$I$4),资金台帐!B492+ROW()/100000,"")</f>
      </c>
      <c r="N1989">
        <f>IF(AND(ISNUMBER(出库明细!G1989),ISNUMBER(出库明细!E1989),ISNUMBER(出库明细!F1989)),IF(ABS(出库明细!G1989-出库明细!E1989*出库明细!F1989)&gt;0.005,1,0),0)</f>
        <v>0</v>
      </c>
    </row>
    <row r="1990">
      <c r="A1990">
        <f>IF(OR(出库明细!C990="",出库明细!D990=""),"",IF(OR(COUNTIFS(存条明细!$C$4:$C$1003,出库明细!C990,存条明细!$D$4:$D$1003,出库明细!D990)&gt;0,COUNTIFS(出库明细!$C$4:C990,出库明细!C990,出库明细!$D$4:D990,出库明细!D990)&gt;1),"",IFERROR(MATCH(出库明细!C990,总览汇总!$B$5:$B$304,0),900)*10000000+IFERROR(MATCH(出库明细!D990,基础资料!$E$5:$E$104,0),900)*10000+ROW()))</f>
      </c>
      <c r="F1990">
        <f>IF(AND(出库明细!C1990&lt;&gt;"",出库明细!C1990=客户对账单!$B$4,ISNUMBER(出库明细!B1990),出库明细!B1990&gt;=客户对账单!$G$4,出库明细!B1990&lt;=客户对账单!$I$4),出库明细!B1990+ROW()/100000,"")</f>
      </c>
      <c r="H1990">
        <f>IF(AND(资金台帐!K493&lt;&gt;"",资金台帐!K493=供应商对账单!$B$4,资金台帐!P493="应付",ISNUMBER(资金台帐!B493),资金台帐!B493&gt;=供应商对账单!$G$4,资金台帐!B493&lt;=供应商对账单!$I$4),资金台帐!B493+ROW()/100000,"")</f>
      </c>
      <c r="N1990">
        <f>IF(AND(ISNUMBER(出库明细!G1990),ISNUMBER(出库明细!E1990),ISNUMBER(出库明细!F1990)),IF(ABS(出库明细!G1990-出库明细!E1990*出库明细!F1990)&gt;0.005,1,0),0)</f>
        <v>0</v>
      </c>
    </row>
    <row r="1991">
      <c r="A1991">
        <f>IF(OR(出库明细!C991="",出库明细!D991=""),"",IF(OR(COUNTIFS(存条明细!$C$4:$C$1003,出库明细!C991,存条明细!$D$4:$D$1003,出库明细!D991)&gt;0,COUNTIFS(出库明细!$C$4:C991,出库明细!C991,出库明细!$D$4:D991,出库明细!D991)&gt;1),"",IFERROR(MATCH(出库明细!C991,总览汇总!$B$5:$B$304,0),900)*10000000+IFERROR(MATCH(出库明细!D991,基础资料!$E$5:$E$104,0),900)*10000+ROW()))</f>
      </c>
      <c r="F1991">
        <f>IF(AND(出库明细!C1991&lt;&gt;"",出库明细!C1991=客户对账单!$B$4,ISNUMBER(出库明细!B1991),出库明细!B1991&gt;=客户对账单!$G$4,出库明细!B1991&lt;=客户对账单!$I$4),出库明细!B1991+ROW()/100000,"")</f>
      </c>
      <c r="H1991">
        <f>IF(AND(资金台帐!K494&lt;&gt;"",资金台帐!K494=供应商对账单!$B$4,资金台帐!P494="应付",ISNUMBER(资金台帐!B494),资金台帐!B494&gt;=供应商对账单!$G$4,资金台帐!B494&lt;=供应商对账单!$I$4),资金台帐!B494+ROW()/100000,"")</f>
      </c>
      <c r="N1991">
        <f>IF(AND(ISNUMBER(出库明细!G1991),ISNUMBER(出库明细!E1991),ISNUMBER(出库明细!F1991)),IF(ABS(出库明细!G1991-出库明细!E1991*出库明细!F1991)&gt;0.005,1,0),0)</f>
        <v>0</v>
      </c>
    </row>
    <row r="1992">
      <c r="A1992">
        <f>IF(OR(出库明细!C992="",出库明细!D992=""),"",IF(OR(COUNTIFS(存条明细!$C$4:$C$1003,出库明细!C992,存条明细!$D$4:$D$1003,出库明细!D992)&gt;0,COUNTIFS(出库明细!$C$4:C992,出库明细!C992,出库明细!$D$4:D992,出库明细!D992)&gt;1),"",IFERROR(MATCH(出库明细!C992,总览汇总!$B$5:$B$304,0),900)*10000000+IFERROR(MATCH(出库明细!D992,基础资料!$E$5:$E$104,0),900)*10000+ROW()))</f>
      </c>
      <c r="F1992">
        <f>IF(AND(出库明细!C1992&lt;&gt;"",出库明细!C1992=客户对账单!$B$4,ISNUMBER(出库明细!B1992),出库明细!B1992&gt;=客户对账单!$G$4,出库明细!B1992&lt;=客户对账单!$I$4),出库明细!B1992+ROW()/100000,"")</f>
      </c>
      <c r="H1992">
        <f>IF(AND(资金台帐!K495&lt;&gt;"",资金台帐!K495=供应商对账单!$B$4,资金台帐!P495="应付",ISNUMBER(资金台帐!B495),资金台帐!B495&gt;=供应商对账单!$G$4,资金台帐!B495&lt;=供应商对账单!$I$4),资金台帐!B495+ROW()/100000,"")</f>
      </c>
      <c r="N1992">
        <f>IF(AND(ISNUMBER(出库明细!G1992),ISNUMBER(出库明细!E1992),ISNUMBER(出库明细!F1992)),IF(ABS(出库明细!G1992-出库明细!E1992*出库明细!F1992)&gt;0.005,1,0),0)</f>
        <v>0</v>
      </c>
    </row>
    <row r="1993">
      <c r="A1993">
        <f>IF(OR(出库明细!C993="",出库明细!D993=""),"",IF(OR(COUNTIFS(存条明细!$C$4:$C$1003,出库明细!C993,存条明细!$D$4:$D$1003,出库明细!D993)&gt;0,COUNTIFS(出库明细!$C$4:C993,出库明细!C993,出库明细!$D$4:D993,出库明细!D993)&gt;1),"",IFERROR(MATCH(出库明细!C993,总览汇总!$B$5:$B$304,0),900)*10000000+IFERROR(MATCH(出库明细!D993,基础资料!$E$5:$E$104,0),900)*10000+ROW()))</f>
      </c>
      <c r="F1993">
        <f>IF(AND(出库明细!C1993&lt;&gt;"",出库明细!C1993=客户对账单!$B$4,ISNUMBER(出库明细!B1993),出库明细!B1993&gt;=客户对账单!$G$4,出库明细!B1993&lt;=客户对账单!$I$4),出库明细!B1993+ROW()/100000,"")</f>
      </c>
      <c r="H1993">
        <f>IF(AND(资金台帐!K496&lt;&gt;"",资金台帐!K496=供应商对账单!$B$4,资金台帐!P496="应付",ISNUMBER(资金台帐!B496),资金台帐!B496&gt;=供应商对账单!$G$4,资金台帐!B496&lt;=供应商对账单!$I$4),资金台帐!B496+ROW()/100000,"")</f>
      </c>
      <c r="N1993">
        <f>IF(AND(ISNUMBER(出库明细!G1993),ISNUMBER(出库明细!E1993),ISNUMBER(出库明细!F1993)),IF(ABS(出库明细!G1993-出库明细!E1993*出库明细!F1993)&gt;0.005,1,0),0)</f>
        <v>0</v>
      </c>
    </row>
    <row r="1994">
      <c r="A1994">
        <f>IF(OR(出库明细!C994="",出库明细!D994=""),"",IF(OR(COUNTIFS(存条明细!$C$4:$C$1003,出库明细!C994,存条明细!$D$4:$D$1003,出库明细!D994)&gt;0,COUNTIFS(出库明细!$C$4:C994,出库明细!C994,出库明细!$D$4:D994,出库明细!D994)&gt;1),"",IFERROR(MATCH(出库明细!C994,总览汇总!$B$5:$B$304,0),900)*10000000+IFERROR(MATCH(出库明细!D994,基础资料!$E$5:$E$104,0),900)*10000+ROW()))</f>
      </c>
      <c r="F1994">
        <f>IF(AND(出库明细!C1994&lt;&gt;"",出库明细!C1994=客户对账单!$B$4,ISNUMBER(出库明细!B1994),出库明细!B1994&gt;=客户对账单!$G$4,出库明细!B1994&lt;=客户对账单!$I$4),出库明细!B1994+ROW()/100000,"")</f>
      </c>
      <c r="H1994">
        <f>IF(AND(资金台帐!K497&lt;&gt;"",资金台帐!K497=供应商对账单!$B$4,资金台帐!P497="应付",ISNUMBER(资金台帐!B497),资金台帐!B497&gt;=供应商对账单!$G$4,资金台帐!B497&lt;=供应商对账单!$I$4),资金台帐!B497+ROW()/100000,"")</f>
      </c>
      <c r="N1994">
        <f>IF(AND(ISNUMBER(出库明细!G1994),ISNUMBER(出库明细!E1994),ISNUMBER(出库明细!F1994)),IF(ABS(出库明细!G1994-出库明细!E1994*出库明细!F1994)&gt;0.005,1,0),0)</f>
        <v>0</v>
      </c>
    </row>
    <row r="1995">
      <c r="A1995">
        <f>IF(OR(出库明细!C995="",出库明细!D995=""),"",IF(OR(COUNTIFS(存条明细!$C$4:$C$1003,出库明细!C995,存条明细!$D$4:$D$1003,出库明细!D995)&gt;0,COUNTIFS(出库明细!$C$4:C995,出库明细!C995,出库明细!$D$4:D995,出库明细!D995)&gt;1),"",IFERROR(MATCH(出库明细!C995,总览汇总!$B$5:$B$304,0),900)*10000000+IFERROR(MATCH(出库明细!D995,基础资料!$E$5:$E$104,0),900)*10000+ROW()))</f>
      </c>
      <c r="F1995">
        <f>IF(AND(出库明细!C1995&lt;&gt;"",出库明细!C1995=客户对账单!$B$4,ISNUMBER(出库明细!B1995),出库明细!B1995&gt;=客户对账单!$G$4,出库明细!B1995&lt;=客户对账单!$I$4),出库明细!B1995+ROW()/100000,"")</f>
      </c>
      <c r="H1995">
        <f>IF(AND(资金台帐!K498&lt;&gt;"",资金台帐!K498=供应商对账单!$B$4,资金台帐!P498="应付",ISNUMBER(资金台帐!B498),资金台帐!B498&gt;=供应商对账单!$G$4,资金台帐!B498&lt;=供应商对账单!$I$4),资金台帐!B498+ROW()/100000,"")</f>
      </c>
      <c r="N1995">
        <f>IF(AND(ISNUMBER(出库明细!G1995),ISNUMBER(出库明细!E1995),ISNUMBER(出库明细!F1995)),IF(ABS(出库明细!G1995-出库明细!E1995*出库明细!F1995)&gt;0.005,1,0),0)</f>
        <v>0</v>
      </c>
    </row>
    <row r="1996">
      <c r="A1996">
        <f>IF(OR(出库明细!C996="",出库明细!D996=""),"",IF(OR(COUNTIFS(存条明细!$C$4:$C$1003,出库明细!C996,存条明细!$D$4:$D$1003,出库明细!D996)&gt;0,COUNTIFS(出库明细!$C$4:C996,出库明细!C996,出库明细!$D$4:D996,出库明细!D996)&gt;1),"",IFERROR(MATCH(出库明细!C996,总览汇总!$B$5:$B$304,0),900)*10000000+IFERROR(MATCH(出库明细!D996,基础资料!$E$5:$E$104,0),900)*10000+ROW()))</f>
      </c>
      <c r="F1996">
        <f>IF(AND(出库明细!C1996&lt;&gt;"",出库明细!C1996=客户对账单!$B$4,ISNUMBER(出库明细!B1996),出库明细!B1996&gt;=客户对账单!$G$4,出库明细!B1996&lt;=客户对账单!$I$4),出库明细!B1996+ROW()/100000,"")</f>
      </c>
      <c r="H1996">
        <f>IF(AND(资金台帐!K499&lt;&gt;"",资金台帐!K499=供应商对账单!$B$4,资金台帐!P499="应付",ISNUMBER(资金台帐!B499),资金台帐!B499&gt;=供应商对账单!$G$4,资金台帐!B499&lt;=供应商对账单!$I$4),资金台帐!B499+ROW()/100000,"")</f>
      </c>
      <c r="N1996">
        <f>IF(AND(ISNUMBER(出库明细!G1996),ISNUMBER(出库明细!E1996),ISNUMBER(出库明细!F1996)),IF(ABS(出库明细!G1996-出库明细!E1996*出库明细!F1996)&gt;0.005,1,0),0)</f>
        <v>0</v>
      </c>
    </row>
    <row r="1997">
      <c r="A1997">
        <f>IF(OR(出库明细!C997="",出库明细!D997=""),"",IF(OR(COUNTIFS(存条明细!$C$4:$C$1003,出库明细!C997,存条明细!$D$4:$D$1003,出库明细!D997)&gt;0,COUNTIFS(出库明细!$C$4:C997,出库明细!C997,出库明细!$D$4:D997,出库明细!D997)&gt;1),"",IFERROR(MATCH(出库明细!C997,总览汇总!$B$5:$B$304,0),900)*10000000+IFERROR(MATCH(出库明细!D997,基础资料!$E$5:$E$104,0),900)*10000+ROW()))</f>
      </c>
      <c r="F1997">
        <f>IF(AND(出库明细!C1997&lt;&gt;"",出库明细!C1997=客户对账单!$B$4,ISNUMBER(出库明细!B1997),出库明细!B1997&gt;=客户对账单!$G$4,出库明细!B1997&lt;=客户对账单!$I$4),出库明细!B1997+ROW()/100000,"")</f>
      </c>
      <c r="H1997">
        <f>IF(AND(资金台帐!K500&lt;&gt;"",资金台帐!K500=供应商对账单!$B$4,资金台帐!P500="应付",ISNUMBER(资金台帐!B500),资金台帐!B500&gt;=供应商对账单!$G$4,资金台帐!B500&lt;=供应商对账单!$I$4),资金台帐!B500+ROW()/100000,"")</f>
      </c>
      <c r="N1997">
        <f>IF(AND(ISNUMBER(出库明细!G1997),ISNUMBER(出库明细!E1997),ISNUMBER(出库明细!F1997)),IF(ABS(出库明细!G1997-出库明细!E1997*出库明细!F1997)&gt;0.005,1,0),0)</f>
        <v>0</v>
      </c>
    </row>
    <row r="1998">
      <c r="A1998">
        <f>IF(OR(出库明细!C998="",出库明细!D998=""),"",IF(OR(COUNTIFS(存条明细!$C$4:$C$1003,出库明细!C998,存条明细!$D$4:$D$1003,出库明细!D998)&gt;0,COUNTIFS(出库明细!$C$4:C998,出库明细!C998,出库明细!$D$4:D998,出库明细!D998)&gt;1),"",IFERROR(MATCH(出库明细!C998,总览汇总!$B$5:$B$304,0),900)*10000000+IFERROR(MATCH(出库明细!D998,基础资料!$E$5:$E$104,0),900)*10000+ROW()))</f>
      </c>
      <c r="F1998">
        <f>IF(AND(出库明细!C1998&lt;&gt;"",出库明细!C1998=客户对账单!$B$4,ISNUMBER(出库明细!B1998),出库明细!B1998&gt;=客户对账单!$G$4,出库明细!B1998&lt;=客户对账单!$I$4),出库明细!B1998+ROW()/100000,"")</f>
      </c>
      <c r="H1998">
        <f>IF(AND(资金台帐!K501&lt;&gt;"",资金台帐!K501=供应商对账单!$B$4,资金台帐!P501="应付",ISNUMBER(资金台帐!B501),资金台帐!B501&gt;=供应商对账单!$G$4,资金台帐!B501&lt;=供应商对账单!$I$4),资金台帐!B501+ROW()/100000,"")</f>
      </c>
      <c r="N1998">
        <f>IF(AND(ISNUMBER(出库明细!G1998),ISNUMBER(出库明细!E1998),ISNUMBER(出库明细!F1998)),IF(ABS(出库明细!G1998-出库明细!E1998*出库明细!F1998)&gt;0.005,1,0),0)</f>
        <v>0</v>
      </c>
    </row>
    <row r="1999">
      <c r="A1999">
        <f>IF(OR(出库明细!C999="",出库明细!D999=""),"",IF(OR(COUNTIFS(存条明细!$C$4:$C$1003,出库明细!C999,存条明细!$D$4:$D$1003,出库明细!D999)&gt;0,COUNTIFS(出库明细!$C$4:C999,出库明细!C999,出库明细!$D$4:D999,出库明细!D999)&gt;1),"",IFERROR(MATCH(出库明细!C999,总览汇总!$B$5:$B$304,0),900)*10000000+IFERROR(MATCH(出库明细!D999,基础资料!$E$5:$E$104,0),900)*10000+ROW()))</f>
      </c>
      <c r="F1999">
        <f>IF(AND(出库明细!C1999&lt;&gt;"",出库明细!C1999=客户对账单!$B$4,ISNUMBER(出库明细!B1999),出库明细!B1999&gt;=客户对账单!$G$4,出库明细!B1999&lt;=客户对账单!$I$4),出库明细!B1999+ROW()/100000,"")</f>
      </c>
      <c r="H1999">
        <f>IF(AND(资金台帐!K502&lt;&gt;"",资金台帐!K502=供应商对账单!$B$4,资金台帐!P502="应付",ISNUMBER(资金台帐!B502),资金台帐!B502&gt;=供应商对账单!$G$4,资金台帐!B502&lt;=供应商对账单!$I$4),资金台帐!B502+ROW()/100000,"")</f>
      </c>
      <c r="N1999">
        <f>IF(AND(ISNUMBER(出库明细!G1999),ISNUMBER(出库明细!E1999),ISNUMBER(出库明细!F1999)),IF(ABS(出库明细!G1999-出库明细!E1999*出库明细!F1999)&gt;0.005,1,0),0)</f>
        <v>0</v>
      </c>
    </row>
    <row r="2000">
      <c r="A2000">
        <f>IF(OR(出库明细!C1000="",出库明细!D1000=""),"",IF(OR(COUNTIFS(存条明细!$C$4:$C$1003,出库明细!C1000,存条明细!$D$4:$D$1003,出库明细!D1000)&gt;0,COUNTIFS(出库明细!$C$4:C1000,出库明细!C1000,出库明细!$D$4:D1000,出库明细!D1000)&gt;1),"",IFERROR(MATCH(出库明细!C1000,总览汇总!$B$5:$B$304,0),900)*10000000+IFERROR(MATCH(出库明细!D1000,基础资料!$E$5:$E$104,0),900)*10000+ROW()))</f>
      </c>
      <c r="F2000">
        <f>IF(AND(出库明细!C2000&lt;&gt;"",出库明细!C2000=客户对账单!$B$4,ISNUMBER(出库明细!B2000),出库明细!B2000&gt;=客户对账单!$G$4,出库明细!B2000&lt;=客户对账单!$I$4),出库明细!B2000+ROW()/100000,"")</f>
      </c>
      <c r="H2000">
        <f>IF(AND(资金台帐!K503&lt;&gt;"",资金台帐!K503=供应商对账单!$B$4,资金台帐!P503="应付",ISNUMBER(资金台帐!B503),资金台帐!B503&gt;=供应商对账单!$G$4,资金台帐!B503&lt;=供应商对账单!$I$4),资金台帐!B503+ROW()/100000,"")</f>
      </c>
      <c r="N2000">
        <f>IF(AND(ISNUMBER(出库明细!G2000),ISNUMBER(出库明细!E2000),ISNUMBER(出库明细!F2000)),IF(ABS(出库明细!G2000-出库明细!E2000*出库明细!F2000)&gt;0.005,1,0),0)</f>
        <v>0</v>
      </c>
    </row>
    <row r="2001">
      <c r="A2001">
        <f>IF(OR(出库明细!C1001="",出库明细!D1001=""),"",IF(OR(COUNTIFS(存条明细!$C$4:$C$1003,出库明细!C1001,存条明细!$D$4:$D$1003,出库明细!D1001)&gt;0,COUNTIFS(出库明细!$C$4:C1001,出库明细!C1001,出库明细!$D$4:D1001,出库明细!D1001)&gt;1),"",IFERROR(MATCH(出库明细!C1001,总览汇总!$B$5:$B$304,0),900)*10000000+IFERROR(MATCH(出库明细!D1001,基础资料!$E$5:$E$104,0),900)*10000+ROW()))</f>
      </c>
      <c r="F2001">
        <f>IF(AND(出库明细!C2001&lt;&gt;"",出库明细!C2001=客户对账单!$B$4,ISNUMBER(出库明细!B2001),出库明细!B2001&gt;=客户对账单!$G$4,出库明细!B2001&lt;=客户对账单!$I$4),出库明细!B2001+ROW()/100000,"")</f>
      </c>
      <c r="H2001">
        <f>IF(AND(资金台帐!K504&lt;&gt;"",资金台帐!K504=供应商对账单!$B$4,资金台帐!P504="应付",ISNUMBER(资金台帐!B504),资金台帐!B504&gt;=供应商对账单!$G$4,资金台帐!B504&lt;=供应商对账单!$I$4),资金台帐!B504+ROW()/100000,"")</f>
      </c>
      <c r="N2001">
        <f>IF(AND(ISNUMBER(出库明细!G2001),ISNUMBER(出库明细!E2001),ISNUMBER(出库明细!F2001)),IF(ABS(出库明细!G2001-出库明细!E2001*出库明细!F2001)&gt;0.005,1,0),0)</f>
        <v>0</v>
      </c>
    </row>
    <row r="2002">
      <c r="A2002">
        <f>IF(OR(出库明细!C1002="",出库明细!D1002=""),"",IF(OR(COUNTIFS(存条明细!$C$4:$C$1003,出库明细!C1002,存条明细!$D$4:$D$1003,出库明细!D1002)&gt;0,COUNTIFS(出库明细!$C$4:C1002,出库明细!C1002,出库明细!$D$4:D1002,出库明细!D1002)&gt;1),"",IFERROR(MATCH(出库明细!C1002,总览汇总!$B$5:$B$304,0),900)*10000000+IFERROR(MATCH(出库明细!D1002,基础资料!$E$5:$E$104,0),900)*10000+ROW()))</f>
      </c>
      <c r="F2002">
        <f>IF(AND(出库明细!C2002&lt;&gt;"",出库明细!C2002=客户对账单!$B$4,ISNUMBER(出库明细!B2002),出库明细!B2002&gt;=客户对账单!$G$4,出库明细!B2002&lt;=客户对账单!$I$4),出库明细!B2002+ROW()/100000,"")</f>
      </c>
      <c r="H2002">
        <f>IF(AND(资金台帐!K505&lt;&gt;"",资金台帐!K505=供应商对账单!$B$4,资金台帐!P505="应付",ISNUMBER(资金台帐!B505),资金台帐!B505&gt;=供应商对账单!$G$4,资金台帐!B505&lt;=供应商对账单!$I$4),资金台帐!B505+ROW()/100000,"")</f>
      </c>
      <c r="N2002">
        <f>IF(AND(ISNUMBER(出库明细!G2002),ISNUMBER(出库明细!E2002),ISNUMBER(出库明细!F2002)),IF(ABS(出库明细!G2002-出库明细!E2002*出库明细!F2002)&gt;0.005,1,0),0)</f>
        <v>0</v>
      </c>
    </row>
    <row r="2003">
      <c r="A2003">
        <f>IF(OR(出库明细!C1003="",出库明细!D1003=""),"",IF(OR(COUNTIFS(存条明细!$C$4:$C$1003,出库明细!C1003,存条明细!$D$4:$D$1003,出库明细!D1003)&gt;0,COUNTIFS(出库明细!$C$4:C1003,出库明细!C1003,出库明细!$D$4:D1003,出库明细!D1003)&gt;1),"",IFERROR(MATCH(出库明细!C1003,总览汇总!$B$5:$B$304,0),900)*10000000+IFERROR(MATCH(出库明细!D1003,基础资料!$E$5:$E$104,0),900)*10000+ROW()))</f>
      </c>
      <c r="F2003">
        <f>IF(AND(出库明细!C2003&lt;&gt;"",出库明细!C2003=客户对账单!$B$4,ISNUMBER(出库明细!B2003),出库明细!B2003&gt;=客户对账单!$G$4,出库明细!B2003&lt;=客户对账单!$I$4),出库明细!B2003+ROW()/100000,"")</f>
      </c>
      <c r="H2003">
        <f>IF(AND(资金台帐!K506&lt;&gt;"",资金台帐!K506=供应商对账单!$B$4,资金台帐!P506="应付",ISNUMBER(资金台帐!B506),资金台帐!B506&gt;=供应商对账单!$G$4,资金台帐!B506&lt;=供应商对账单!$I$4),资金台帐!B506+ROW()/100000,"")</f>
      </c>
      <c r="N2003">
        <f>IF(AND(ISNUMBER(出库明细!G2003),ISNUMBER(出库明细!E2003),ISNUMBER(出库明细!F2003)),IF(ABS(出库明细!G2003-出库明细!E2003*出库明细!F2003)&gt;0.005,1,0),0)</f>
        <v>0</v>
      </c>
    </row>
    <row r="2004">
      <c r="A2004">
        <f>IF(OR(出库明细!C1004="",出库明细!D1004=""),"",IF(OR(COUNTIFS(存条明细!$C$4:$C$1003,出库明细!C1004,存条明细!$D$4:$D$1003,出库明细!D1004)&gt;0,COUNTIFS(出库明细!$C$4:C1004,出库明细!C1004,出库明细!$D$4:D1004,出库明细!D1004)&gt;1),"",IFERROR(MATCH(出库明细!C1004,总览汇总!$B$5:$B$304,0),900)*10000000+IFERROR(MATCH(出库明细!D1004,基础资料!$E$5:$E$104,0),900)*10000+ROW()))</f>
      </c>
      <c r="F2004">
        <f>IF(AND(出库明细!C2004&lt;&gt;"",出库明细!C2004=客户对账单!$B$4,ISNUMBER(出库明细!B2004),出库明细!B2004&gt;=客户对账单!$G$4,出库明细!B2004&lt;=客户对账单!$I$4),出库明细!B2004+ROW()/100000,"")</f>
      </c>
      <c r="H2004">
        <f>IF(AND(资金台帐!K507&lt;&gt;"",资金台帐!K507=供应商对账单!$B$4,资金台帐!P507="应付",ISNUMBER(资金台帐!B507),资金台帐!B507&gt;=供应商对账单!$G$4,资金台帐!B507&lt;=供应商对账单!$I$4),资金台帐!B507+ROW()/100000,"")</f>
      </c>
      <c r="N2004">
        <f>IF(AND(ISNUMBER(出库明细!G2004),ISNUMBER(出库明细!E2004),ISNUMBER(出库明细!F2004)),IF(ABS(出库明细!G2004-出库明细!E2004*出库明细!F2004)&gt;0.005,1,0),0)</f>
        <v>0</v>
      </c>
    </row>
    <row r="2005">
      <c r="A2005">
        <f>IF(OR(出库明细!C1005="",出库明细!D1005=""),"",IF(OR(COUNTIFS(存条明细!$C$4:$C$1003,出库明细!C1005,存条明细!$D$4:$D$1003,出库明细!D1005)&gt;0,COUNTIFS(出库明细!$C$4:C1005,出库明细!C1005,出库明细!$D$4:D1005,出库明细!D1005)&gt;1),"",IFERROR(MATCH(出库明细!C1005,总览汇总!$B$5:$B$304,0),900)*10000000+IFERROR(MATCH(出库明细!D1005,基础资料!$E$5:$E$104,0),900)*10000+ROW()))</f>
      </c>
      <c r="F2005">
        <f>IF(AND(出库明细!C2005&lt;&gt;"",出库明细!C2005=客户对账单!$B$4,ISNUMBER(出库明细!B2005),出库明细!B2005&gt;=客户对账单!$G$4,出库明细!B2005&lt;=客户对账单!$I$4),出库明细!B2005+ROW()/100000,"")</f>
      </c>
      <c r="H2005">
        <f>IF(AND(资金台帐!K508&lt;&gt;"",资金台帐!K508=供应商对账单!$B$4,资金台帐!P508="应付",ISNUMBER(资金台帐!B508),资金台帐!B508&gt;=供应商对账单!$G$4,资金台帐!B508&lt;=供应商对账单!$I$4),资金台帐!B508+ROW()/100000,"")</f>
      </c>
      <c r="N2005">
        <f>IF(AND(ISNUMBER(出库明细!G2005),ISNUMBER(出库明细!E2005),ISNUMBER(出库明细!F2005)),IF(ABS(出库明细!G2005-出库明细!E2005*出库明细!F2005)&gt;0.005,1,0),0)</f>
        <v>0</v>
      </c>
    </row>
    <row r="2006">
      <c r="A2006">
        <f>IF(OR(出库明细!C1006="",出库明细!D1006=""),"",IF(OR(COUNTIFS(存条明细!$C$4:$C$1003,出库明细!C1006,存条明细!$D$4:$D$1003,出库明细!D1006)&gt;0,COUNTIFS(出库明细!$C$4:C1006,出库明细!C1006,出库明细!$D$4:D1006,出库明细!D1006)&gt;1),"",IFERROR(MATCH(出库明细!C1006,总览汇总!$B$5:$B$304,0),900)*10000000+IFERROR(MATCH(出库明细!D1006,基础资料!$E$5:$E$104,0),900)*10000+ROW()))</f>
      </c>
      <c r="F2006">
        <f>IF(AND(出库明细!C2006&lt;&gt;"",出库明细!C2006=客户对账单!$B$4,ISNUMBER(出库明细!B2006),出库明细!B2006&gt;=客户对账单!$G$4,出库明细!B2006&lt;=客户对账单!$I$4),出库明细!B2006+ROW()/100000,"")</f>
      </c>
      <c r="H2006">
        <f>IF(AND(资金台帐!K509&lt;&gt;"",资金台帐!K509=供应商对账单!$B$4,资金台帐!P509="应付",ISNUMBER(资金台帐!B509),资金台帐!B509&gt;=供应商对账单!$G$4,资金台帐!B509&lt;=供应商对账单!$I$4),资金台帐!B509+ROW()/100000,"")</f>
      </c>
      <c r="N2006">
        <f>IF(AND(ISNUMBER(出库明细!G2006),ISNUMBER(出库明细!E2006),ISNUMBER(出库明细!F2006)),IF(ABS(出库明细!G2006-出库明细!E2006*出库明细!F2006)&gt;0.005,1,0),0)</f>
        <v>0</v>
      </c>
    </row>
    <row r="2007">
      <c r="A2007">
        <f>IF(OR(出库明细!C1007="",出库明细!D1007=""),"",IF(OR(COUNTIFS(存条明细!$C$4:$C$1003,出库明细!C1007,存条明细!$D$4:$D$1003,出库明细!D1007)&gt;0,COUNTIFS(出库明细!$C$4:C1007,出库明细!C1007,出库明细!$D$4:D1007,出库明细!D1007)&gt;1),"",IFERROR(MATCH(出库明细!C1007,总览汇总!$B$5:$B$304,0),900)*10000000+IFERROR(MATCH(出库明细!D1007,基础资料!$E$5:$E$104,0),900)*10000+ROW()))</f>
      </c>
      <c r="F2007">
        <f>IF(AND(出库明细!C2007&lt;&gt;"",出库明细!C2007=客户对账单!$B$4,ISNUMBER(出库明细!B2007),出库明细!B2007&gt;=客户对账单!$G$4,出库明细!B2007&lt;=客户对账单!$I$4),出库明细!B2007+ROW()/100000,"")</f>
      </c>
      <c r="H2007">
        <f>IF(AND(资金台帐!K510&lt;&gt;"",资金台帐!K510=供应商对账单!$B$4,资金台帐!P510="应付",ISNUMBER(资金台帐!B510),资金台帐!B510&gt;=供应商对账单!$G$4,资金台帐!B510&lt;=供应商对账单!$I$4),资金台帐!B510+ROW()/100000,"")</f>
      </c>
      <c r="N2007">
        <f>IF(AND(ISNUMBER(出库明细!G2007),ISNUMBER(出库明细!E2007),ISNUMBER(出库明细!F2007)),IF(ABS(出库明细!G2007-出库明细!E2007*出库明细!F2007)&gt;0.005,1,0),0)</f>
        <v>0</v>
      </c>
    </row>
    <row r="2008">
      <c r="A2008">
        <f>IF(OR(出库明细!C1008="",出库明细!D1008=""),"",IF(OR(COUNTIFS(存条明细!$C$4:$C$1003,出库明细!C1008,存条明细!$D$4:$D$1003,出库明细!D1008)&gt;0,COUNTIFS(出库明细!$C$4:C1008,出库明细!C1008,出库明细!$D$4:D1008,出库明细!D1008)&gt;1),"",IFERROR(MATCH(出库明细!C1008,总览汇总!$B$5:$B$304,0),900)*10000000+IFERROR(MATCH(出库明细!D1008,基础资料!$E$5:$E$104,0),900)*10000+ROW()))</f>
      </c>
      <c r="F2008">
        <f>IF(AND(出库明细!C2008&lt;&gt;"",出库明细!C2008=客户对账单!$B$4,ISNUMBER(出库明细!B2008),出库明细!B2008&gt;=客户对账单!$G$4,出库明细!B2008&lt;=客户对账单!$I$4),出库明细!B2008+ROW()/100000,"")</f>
      </c>
      <c r="H2008">
        <f>IF(AND(资金台帐!K511&lt;&gt;"",资金台帐!K511=供应商对账单!$B$4,资金台帐!P511="应付",ISNUMBER(资金台帐!B511),资金台帐!B511&gt;=供应商对账单!$G$4,资金台帐!B511&lt;=供应商对账单!$I$4),资金台帐!B511+ROW()/100000,"")</f>
      </c>
      <c r="N2008">
        <f>IF(AND(ISNUMBER(出库明细!G2008),ISNUMBER(出库明细!E2008),ISNUMBER(出库明细!F2008)),IF(ABS(出库明细!G2008-出库明细!E2008*出库明细!F2008)&gt;0.005,1,0),0)</f>
        <v>0</v>
      </c>
    </row>
    <row r="2009">
      <c r="A2009">
        <f>IF(OR(出库明细!C1009="",出库明细!D1009=""),"",IF(OR(COUNTIFS(存条明细!$C$4:$C$1003,出库明细!C1009,存条明细!$D$4:$D$1003,出库明细!D1009)&gt;0,COUNTIFS(出库明细!$C$4:C1009,出库明细!C1009,出库明细!$D$4:D1009,出库明细!D1009)&gt;1),"",IFERROR(MATCH(出库明细!C1009,总览汇总!$B$5:$B$304,0),900)*10000000+IFERROR(MATCH(出库明细!D1009,基础资料!$E$5:$E$104,0),900)*10000+ROW()))</f>
      </c>
      <c r="F2009">
        <f>IF(AND(出库明细!C2009&lt;&gt;"",出库明细!C2009=客户对账单!$B$4,ISNUMBER(出库明细!B2009),出库明细!B2009&gt;=客户对账单!$G$4,出库明细!B2009&lt;=客户对账单!$I$4),出库明细!B2009+ROW()/100000,"")</f>
      </c>
      <c r="H2009">
        <f>IF(AND(资金台帐!K512&lt;&gt;"",资金台帐!K512=供应商对账单!$B$4,资金台帐!P512="应付",ISNUMBER(资金台帐!B512),资金台帐!B512&gt;=供应商对账单!$G$4,资金台帐!B512&lt;=供应商对账单!$I$4),资金台帐!B512+ROW()/100000,"")</f>
      </c>
      <c r="N2009">
        <f>IF(AND(ISNUMBER(出库明细!G2009),ISNUMBER(出库明细!E2009),ISNUMBER(出库明细!F2009)),IF(ABS(出库明细!G2009-出库明细!E2009*出库明细!F2009)&gt;0.005,1,0),0)</f>
        <v>0</v>
      </c>
    </row>
    <row r="2010">
      <c r="A2010">
        <f>IF(OR(出库明细!C1010="",出库明细!D1010=""),"",IF(OR(COUNTIFS(存条明细!$C$4:$C$1003,出库明细!C1010,存条明细!$D$4:$D$1003,出库明细!D1010)&gt;0,COUNTIFS(出库明细!$C$4:C1010,出库明细!C1010,出库明细!$D$4:D1010,出库明细!D1010)&gt;1),"",IFERROR(MATCH(出库明细!C1010,总览汇总!$B$5:$B$304,0),900)*10000000+IFERROR(MATCH(出库明细!D1010,基础资料!$E$5:$E$104,0),900)*10000+ROW()))</f>
      </c>
      <c r="F2010">
        <f>IF(AND(出库明细!C2010&lt;&gt;"",出库明细!C2010=客户对账单!$B$4,ISNUMBER(出库明细!B2010),出库明细!B2010&gt;=客户对账单!$G$4,出库明细!B2010&lt;=客户对账单!$I$4),出库明细!B2010+ROW()/100000,"")</f>
      </c>
      <c r="H2010">
        <f>IF(AND(资金台帐!K513&lt;&gt;"",资金台帐!K513=供应商对账单!$B$4,资金台帐!P513="应付",ISNUMBER(资金台帐!B513),资金台帐!B513&gt;=供应商对账单!$G$4,资金台帐!B513&lt;=供应商对账单!$I$4),资金台帐!B513+ROW()/100000,"")</f>
      </c>
      <c r="N2010">
        <f>IF(AND(ISNUMBER(出库明细!G2010),ISNUMBER(出库明细!E2010),ISNUMBER(出库明细!F2010)),IF(ABS(出库明细!G2010-出库明细!E2010*出库明细!F2010)&gt;0.005,1,0),0)</f>
        <v>0</v>
      </c>
    </row>
    <row r="2011">
      <c r="A2011">
        <f>IF(OR(出库明细!C1011="",出库明细!D1011=""),"",IF(OR(COUNTIFS(存条明细!$C$4:$C$1003,出库明细!C1011,存条明细!$D$4:$D$1003,出库明细!D1011)&gt;0,COUNTIFS(出库明细!$C$4:C1011,出库明细!C1011,出库明细!$D$4:D1011,出库明细!D1011)&gt;1),"",IFERROR(MATCH(出库明细!C1011,总览汇总!$B$5:$B$304,0),900)*10000000+IFERROR(MATCH(出库明细!D1011,基础资料!$E$5:$E$104,0),900)*10000+ROW()))</f>
      </c>
      <c r="F2011">
        <f>IF(AND(出库明细!C2011&lt;&gt;"",出库明细!C2011=客户对账单!$B$4,ISNUMBER(出库明细!B2011),出库明细!B2011&gt;=客户对账单!$G$4,出库明细!B2011&lt;=客户对账单!$I$4),出库明细!B2011+ROW()/100000,"")</f>
      </c>
      <c r="H2011">
        <f>IF(AND(资金台帐!K514&lt;&gt;"",资金台帐!K514=供应商对账单!$B$4,资金台帐!P514="应付",ISNUMBER(资金台帐!B514),资金台帐!B514&gt;=供应商对账单!$G$4,资金台帐!B514&lt;=供应商对账单!$I$4),资金台帐!B514+ROW()/100000,"")</f>
      </c>
      <c r="N2011">
        <f>IF(AND(ISNUMBER(出库明细!G2011),ISNUMBER(出库明细!E2011),ISNUMBER(出库明细!F2011)),IF(ABS(出库明细!G2011-出库明细!E2011*出库明细!F2011)&gt;0.005,1,0),0)</f>
        <v>0</v>
      </c>
    </row>
    <row r="2012">
      <c r="A2012">
        <f>IF(OR(出库明细!C1012="",出库明细!D1012=""),"",IF(OR(COUNTIFS(存条明细!$C$4:$C$1003,出库明细!C1012,存条明细!$D$4:$D$1003,出库明细!D1012)&gt;0,COUNTIFS(出库明细!$C$4:C1012,出库明细!C1012,出库明细!$D$4:D1012,出库明细!D1012)&gt;1),"",IFERROR(MATCH(出库明细!C1012,总览汇总!$B$5:$B$304,0),900)*10000000+IFERROR(MATCH(出库明细!D1012,基础资料!$E$5:$E$104,0),900)*10000+ROW()))</f>
      </c>
      <c r="F2012">
        <f>IF(AND(出库明细!C2012&lt;&gt;"",出库明细!C2012=客户对账单!$B$4,ISNUMBER(出库明细!B2012),出库明细!B2012&gt;=客户对账单!$G$4,出库明细!B2012&lt;=客户对账单!$I$4),出库明细!B2012+ROW()/100000,"")</f>
      </c>
      <c r="H2012">
        <f>IF(AND(资金台帐!K515&lt;&gt;"",资金台帐!K515=供应商对账单!$B$4,资金台帐!P515="应付",ISNUMBER(资金台帐!B515),资金台帐!B515&gt;=供应商对账单!$G$4,资金台帐!B515&lt;=供应商对账单!$I$4),资金台帐!B515+ROW()/100000,"")</f>
      </c>
      <c r="N2012">
        <f>IF(AND(ISNUMBER(出库明细!G2012),ISNUMBER(出库明细!E2012),ISNUMBER(出库明细!F2012)),IF(ABS(出库明细!G2012-出库明细!E2012*出库明细!F2012)&gt;0.005,1,0),0)</f>
        <v>0</v>
      </c>
    </row>
    <row r="2013">
      <c r="A2013">
        <f>IF(OR(出库明细!C1013="",出库明细!D1013=""),"",IF(OR(COUNTIFS(存条明细!$C$4:$C$1003,出库明细!C1013,存条明细!$D$4:$D$1003,出库明细!D1013)&gt;0,COUNTIFS(出库明细!$C$4:C1013,出库明细!C1013,出库明细!$D$4:D1013,出库明细!D1013)&gt;1),"",IFERROR(MATCH(出库明细!C1013,总览汇总!$B$5:$B$304,0),900)*10000000+IFERROR(MATCH(出库明细!D1013,基础资料!$E$5:$E$104,0),900)*10000+ROW()))</f>
      </c>
      <c r="F2013">
        <f>IF(AND(出库明细!C2013&lt;&gt;"",出库明细!C2013=客户对账单!$B$4,ISNUMBER(出库明细!B2013),出库明细!B2013&gt;=客户对账单!$G$4,出库明细!B2013&lt;=客户对账单!$I$4),出库明细!B2013+ROW()/100000,"")</f>
      </c>
      <c r="H2013">
        <f>IF(AND(资金台帐!K516&lt;&gt;"",资金台帐!K516=供应商对账单!$B$4,资金台帐!P516="应付",ISNUMBER(资金台帐!B516),资金台帐!B516&gt;=供应商对账单!$G$4,资金台帐!B516&lt;=供应商对账单!$I$4),资金台帐!B516+ROW()/100000,"")</f>
      </c>
      <c r="N2013">
        <f>IF(AND(ISNUMBER(出库明细!G2013),ISNUMBER(出库明细!E2013),ISNUMBER(出库明细!F2013)),IF(ABS(出库明细!G2013-出库明细!E2013*出库明细!F2013)&gt;0.005,1,0),0)</f>
        <v>0</v>
      </c>
    </row>
    <row r="2014">
      <c r="A2014">
        <f>IF(OR(出库明细!C1014="",出库明细!D1014=""),"",IF(OR(COUNTIFS(存条明细!$C$4:$C$1003,出库明细!C1014,存条明细!$D$4:$D$1003,出库明细!D1014)&gt;0,COUNTIFS(出库明细!$C$4:C1014,出库明细!C1014,出库明细!$D$4:D1014,出库明细!D1014)&gt;1),"",IFERROR(MATCH(出库明细!C1014,总览汇总!$B$5:$B$304,0),900)*10000000+IFERROR(MATCH(出库明细!D1014,基础资料!$E$5:$E$104,0),900)*10000+ROW()))</f>
      </c>
      <c r="F2014">
        <f>IF(AND(出库明细!C2014&lt;&gt;"",出库明细!C2014=客户对账单!$B$4,ISNUMBER(出库明细!B2014),出库明细!B2014&gt;=客户对账单!$G$4,出库明细!B2014&lt;=客户对账单!$I$4),出库明细!B2014+ROW()/100000,"")</f>
      </c>
      <c r="H2014">
        <f>IF(AND(资金台帐!K517&lt;&gt;"",资金台帐!K517=供应商对账单!$B$4,资金台帐!P517="应付",ISNUMBER(资金台帐!B517),资金台帐!B517&gt;=供应商对账单!$G$4,资金台帐!B517&lt;=供应商对账单!$I$4),资金台帐!B517+ROW()/100000,"")</f>
      </c>
      <c r="N2014">
        <f>IF(AND(ISNUMBER(出库明细!G2014),ISNUMBER(出库明细!E2014),ISNUMBER(出库明细!F2014)),IF(ABS(出库明细!G2014-出库明细!E2014*出库明细!F2014)&gt;0.005,1,0),0)</f>
        <v>0</v>
      </c>
    </row>
    <row r="2015">
      <c r="A2015">
        <f>IF(OR(出库明细!C1015="",出库明细!D1015=""),"",IF(OR(COUNTIFS(存条明细!$C$4:$C$1003,出库明细!C1015,存条明细!$D$4:$D$1003,出库明细!D1015)&gt;0,COUNTIFS(出库明细!$C$4:C1015,出库明细!C1015,出库明细!$D$4:D1015,出库明细!D1015)&gt;1),"",IFERROR(MATCH(出库明细!C1015,总览汇总!$B$5:$B$304,0),900)*10000000+IFERROR(MATCH(出库明细!D1015,基础资料!$E$5:$E$104,0),900)*10000+ROW()))</f>
      </c>
      <c r="F2015">
        <f>IF(AND(出库明细!C2015&lt;&gt;"",出库明细!C2015=客户对账单!$B$4,ISNUMBER(出库明细!B2015),出库明细!B2015&gt;=客户对账单!$G$4,出库明细!B2015&lt;=客户对账单!$I$4),出库明细!B2015+ROW()/100000,"")</f>
      </c>
      <c r="H2015">
        <f>IF(AND(资金台帐!K518&lt;&gt;"",资金台帐!K518=供应商对账单!$B$4,资金台帐!P518="应付",ISNUMBER(资金台帐!B518),资金台帐!B518&gt;=供应商对账单!$G$4,资金台帐!B518&lt;=供应商对账单!$I$4),资金台帐!B518+ROW()/100000,"")</f>
      </c>
      <c r="N2015">
        <f>IF(AND(ISNUMBER(出库明细!G2015),ISNUMBER(出库明细!E2015),ISNUMBER(出库明细!F2015)),IF(ABS(出库明细!G2015-出库明细!E2015*出库明细!F2015)&gt;0.005,1,0),0)</f>
        <v>0</v>
      </c>
    </row>
    <row r="2016">
      <c r="A2016">
        <f>IF(OR(出库明细!C1016="",出库明细!D1016=""),"",IF(OR(COUNTIFS(存条明细!$C$4:$C$1003,出库明细!C1016,存条明细!$D$4:$D$1003,出库明细!D1016)&gt;0,COUNTIFS(出库明细!$C$4:C1016,出库明细!C1016,出库明细!$D$4:D1016,出库明细!D1016)&gt;1),"",IFERROR(MATCH(出库明细!C1016,总览汇总!$B$5:$B$304,0),900)*10000000+IFERROR(MATCH(出库明细!D1016,基础资料!$E$5:$E$104,0),900)*10000+ROW()))</f>
      </c>
      <c r="F2016">
        <f>IF(AND(出库明细!C2016&lt;&gt;"",出库明细!C2016=客户对账单!$B$4,ISNUMBER(出库明细!B2016),出库明细!B2016&gt;=客户对账单!$G$4,出库明细!B2016&lt;=客户对账单!$I$4),出库明细!B2016+ROW()/100000,"")</f>
      </c>
      <c r="H2016">
        <f>IF(AND(资金台帐!K519&lt;&gt;"",资金台帐!K519=供应商对账单!$B$4,资金台帐!P519="应付",ISNUMBER(资金台帐!B519),资金台帐!B519&gt;=供应商对账单!$G$4,资金台帐!B519&lt;=供应商对账单!$I$4),资金台帐!B519+ROW()/100000,"")</f>
      </c>
      <c r="N2016">
        <f>IF(AND(ISNUMBER(出库明细!G2016),ISNUMBER(出库明细!E2016),ISNUMBER(出库明细!F2016)),IF(ABS(出库明细!G2016-出库明细!E2016*出库明细!F2016)&gt;0.005,1,0),0)</f>
        <v>0</v>
      </c>
    </row>
    <row r="2017">
      <c r="A2017">
        <f>IF(OR(出库明细!C1017="",出库明细!D1017=""),"",IF(OR(COUNTIFS(存条明细!$C$4:$C$1003,出库明细!C1017,存条明细!$D$4:$D$1003,出库明细!D1017)&gt;0,COUNTIFS(出库明细!$C$4:C1017,出库明细!C1017,出库明细!$D$4:D1017,出库明细!D1017)&gt;1),"",IFERROR(MATCH(出库明细!C1017,总览汇总!$B$5:$B$304,0),900)*10000000+IFERROR(MATCH(出库明细!D1017,基础资料!$E$5:$E$104,0),900)*10000+ROW()))</f>
      </c>
      <c r="F2017">
        <f>IF(AND(出库明细!C2017&lt;&gt;"",出库明细!C2017=客户对账单!$B$4,ISNUMBER(出库明细!B2017),出库明细!B2017&gt;=客户对账单!$G$4,出库明细!B2017&lt;=客户对账单!$I$4),出库明细!B2017+ROW()/100000,"")</f>
      </c>
      <c r="H2017">
        <f>IF(AND(资金台帐!K520&lt;&gt;"",资金台帐!K520=供应商对账单!$B$4,资金台帐!P520="应付",ISNUMBER(资金台帐!B520),资金台帐!B520&gt;=供应商对账单!$G$4,资金台帐!B520&lt;=供应商对账单!$I$4),资金台帐!B520+ROW()/100000,"")</f>
      </c>
      <c r="N2017">
        <f>IF(AND(ISNUMBER(出库明细!G2017),ISNUMBER(出库明细!E2017),ISNUMBER(出库明细!F2017)),IF(ABS(出库明细!G2017-出库明细!E2017*出库明细!F2017)&gt;0.005,1,0),0)</f>
        <v>0</v>
      </c>
    </row>
    <row r="2018">
      <c r="A2018">
        <f>IF(OR(出库明细!C1018="",出库明细!D1018=""),"",IF(OR(COUNTIFS(存条明细!$C$4:$C$1003,出库明细!C1018,存条明细!$D$4:$D$1003,出库明细!D1018)&gt;0,COUNTIFS(出库明细!$C$4:C1018,出库明细!C1018,出库明细!$D$4:D1018,出库明细!D1018)&gt;1),"",IFERROR(MATCH(出库明细!C1018,总览汇总!$B$5:$B$304,0),900)*10000000+IFERROR(MATCH(出库明细!D1018,基础资料!$E$5:$E$104,0),900)*10000+ROW()))</f>
      </c>
      <c r="F2018">
        <f>IF(AND(出库明细!C2018&lt;&gt;"",出库明细!C2018=客户对账单!$B$4,ISNUMBER(出库明细!B2018),出库明细!B2018&gt;=客户对账单!$G$4,出库明细!B2018&lt;=客户对账单!$I$4),出库明细!B2018+ROW()/100000,"")</f>
      </c>
      <c r="H2018">
        <f>IF(AND(资金台帐!K521&lt;&gt;"",资金台帐!K521=供应商对账单!$B$4,资金台帐!P521="应付",ISNUMBER(资金台帐!B521),资金台帐!B521&gt;=供应商对账单!$G$4,资金台帐!B521&lt;=供应商对账单!$I$4),资金台帐!B521+ROW()/100000,"")</f>
      </c>
      <c r="N2018">
        <f>IF(AND(ISNUMBER(出库明细!G2018),ISNUMBER(出库明细!E2018),ISNUMBER(出库明细!F2018)),IF(ABS(出库明细!G2018-出库明细!E2018*出库明细!F2018)&gt;0.005,1,0),0)</f>
        <v>0</v>
      </c>
    </row>
    <row r="2019">
      <c r="A2019">
        <f>IF(OR(出库明细!C1019="",出库明细!D1019=""),"",IF(OR(COUNTIFS(存条明细!$C$4:$C$1003,出库明细!C1019,存条明细!$D$4:$D$1003,出库明细!D1019)&gt;0,COUNTIFS(出库明细!$C$4:C1019,出库明细!C1019,出库明细!$D$4:D1019,出库明细!D1019)&gt;1),"",IFERROR(MATCH(出库明细!C1019,总览汇总!$B$5:$B$304,0),900)*10000000+IFERROR(MATCH(出库明细!D1019,基础资料!$E$5:$E$104,0),900)*10000+ROW()))</f>
      </c>
      <c r="F2019">
        <f>IF(AND(出库明细!C2019&lt;&gt;"",出库明细!C2019=客户对账单!$B$4,ISNUMBER(出库明细!B2019),出库明细!B2019&gt;=客户对账单!$G$4,出库明细!B2019&lt;=客户对账单!$I$4),出库明细!B2019+ROW()/100000,"")</f>
      </c>
      <c r="H2019">
        <f>IF(AND(资金台帐!K522&lt;&gt;"",资金台帐!K522=供应商对账单!$B$4,资金台帐!P522="应付",ISNUMBER(资金台帐!B522),资金台帐!B522&gt;=供应商对账单!$G$4,资金台帐!B522&lt;=供应商对账单!$I$4),资金台帐!B522+ROW()/100000,"")</f>
      </c>
      <c r="N2019">
        <f>IF(AND(ISNUMBER(出库明细!G2019),ISNUMBER(出库明细!E2019),ISNUMBER(出库明细!F2019)),IF(ABS(出库明细!G2019-出库明细!E2019*出库明细!F2019)&gt;0.005,1,0),0)</f>
        <v>0</v>
      </c>
    </row>
    <row r="2020">
      <c r="A2020">
        <f>IF(OR(出库明细!C1020="",出库明细!D1020=""),"",IF(OR(COUNTIFS(存条明细!$C$4:$C$1003,出库明细!C1020,存条明细!$D$4:$D$1003,出库明细!D1020)&gt;0,COUNTIFS(出库明细!$C$4:C1020,出库明细!C1020,出库明细!$D$4:D1020,出库明细!D1020)&gt;1),"",IFERROR(MATCH(出库明细!C1020,总览汇总!$B$5:$B$304,0),900)*10000000+IFERROR(MATCH(出库明细!D1020,基础资料!$E$5:$E$104,0),900)*10000+ROW()))</f>
      </c>
      <c r="F2020">
        <f>IF(AND(出库明细!C2020&lt;&gt;"",出库明细!C2020=客户对账单!$B$4,ISNUMBER(出库明细!B2020),出库明细!B2020&gt;=客户对账单!$G$4,出库明细!B2020&lt;=客户对账单!$I$4),出库明细!B2020+ROW()/100000,"")</f>
      </c>
      <c r="H2020">
        <f>IF(AND(资金台帐!K523&lt;&gt;"",资金台帐!K523=供应商对账单!$B$4,资金台帐!P523="应付",ISNUMBER(资金台帐!B523),资金台帐!B523&gt;=供应商对账单!$G$4,资金台帐!B523&lt;=供应商对账单!$I$4),资金台帐!B523+ROW()/100000,"")</f>
      </c>
      <c r="N2020">
        <f>IF(AND(ISNUMBER(出库明细!G2020),ISNUMBER(出库明细!E2020),ISNUMBER(出库明细!F2020)),IF(ABS(出库明细!G2020-出库明细!E2020*出库明细!F2020)&gt;0.005,1,0),0)</f>
        <v>0</v>
      </c>
    </row>
    <row r="2021">
      <c r="A2021">
        <f>IF(OR(出库明细!C1021="",出库明细!D1021=""),"",IF(OR(COUNTIFS(存条明细!$C$4:$C$1003,出库明细!C1021,存条明细!$D$4:$D$1003,出库明细!D1021)&gt;0,COUNTIFS(出库明细!$C$4:C1021,出库明细!C1021,出库明细!$D$4:D1021,出库明细!D1021)&gt;1),"",IFERROR(MATCH(出库明细!C1021,总览汇总!$B$5:$B$304,0),900)*10000000+IFERROR(MATCH(出库明细!D1021,基础资料!$E$5:$E$104,0),900)*10000+ROW()))</f>
      </c>
      <c r="F2021">
        <f>IF(AND(出库明细!C2021&lt;&gt;"",出库明细!C2021=客户对账单!$B$4,ISNUMBER(出库明细!B2021),出库明细!B2021&gt;=客户对账单!$G$4,出库明细!B2021&lt;=客户对账单!$I$4),出库明细!B2021+ROW()/100000,"")</f>
      </c>
      <c r="H2021">
        <f>IF(AND(资金台帐!K524&lt;&gt;"",资金台帐!K524=供应商对账单!$B$4,资金台帐!P524="应付",ISNUMBER(资金台帐!B524),资金台帐!B524&gt;=供应商对账单!$G$4,资金台帐!B524&lt;=供应商对账单!$I$4),资金台帐!B524+ROW()/100000,"")</f>
      </c>
      <c r="N2021">
        <f>IF(AND(ISNUMBER(出库明细!G2021),ISNUMBER(出库明细!E2021),ISNUMBER(出库明细!F2021)),IF(ABS(出库明细!G2021-出库明细!E2021*出库明细!F2021)&gt;0.005,1,0),0)</f>
        <v>0</v>
      </c>
    </row>
    <row r="2022">
      <c r="A2022">
        <f>IF(OR(出库明细!C1022="",出库明细!D1022=""),"",IF(OR(COUNTIFS(存条明细!$C$4:$C$1003,出库明细!C1022,存条明细!$D$4:$D$1003,出库明细!D1022)&gt;0,COUNTIFS(出库明细!$C$4:C1022,出库明细!C1022,出库明细!$D$4:D1022,出库明细!D1022)&gt;1),"",IFERROR(MATCH(出库明细!C1022,总览汇总!$B$5:$B$304,0),900)*10000000+IFERROR(MATCH(出库明细!D1022,基础资料!$E$5:$E$104,0),900)*10000+ROW()))</f>
      </c>
      <c r="F2022">
        <f>IF(AND(出库明细!C2022&lt;&gt;"",出库明细!C2022=客户对账单!$B$4,ISNUMBER(出库明细!B2022),出库明细!B2022&gt;=客户对账单!$G$4,出库明细!B2022&lt;=客户对账单!$I$4),出库明细!B2022+ROW()/100000,"")</f>
      </c>
      <c r="H2022">
        <f>IF(AND(资金台帐!K525&lt;&gt;"",资金台帐!K525=供应商对账单!$B$4,资金台帐!P525="应付",ISNUMBER(资金台帐!B525),资金台帐!B525&gt;=供应商对账单!$G$4,资金台帐!B525&lt;=供应商对账单!$I$4),资金台帐!B525+ROW()/100000,"")</f>
      </c>
      <c r="N2022">
        <f>IF(AND(ISNUMBER(出库明细!G2022),ISNUMBER(出库明细!E2022),ISNUMBER(出库明细!F2022)),IF(ABS(出库明细!G2022-出库明细!E2022*出库明细!F2022)&gt;0.005,1,0),0)</f>
        <v>0</v>
      </c>
    </row>
    <row r="2023">
      <c r="A2023">
        <f>IF(OR(出库明细!C1023="",出库明细!D1023=""),"",IF(OR(COUNTIFS(存条明细!$C$4:$C$1003,出库明细!C1023,存条明细!$D$4:$D$1003,出库明细!D1023)&gt;0,COUNTIFS(出库明细!$C$4:C1023,出库明细!C1023,出库明细!$D$4:D1023,出库明细!D1023)&gt;1),"",IFERROR(MATCH(出库明细!C1023,总览汇总!$B$5:$B$304,0),900)*10000000+IFERROR(MATCH(出库明细!D1023,基础资料!$E$5:$E$104,0),900)*10000+ROW()))</f>
      </c>
      <c r="F2023">
        <f>IF(AND(出库明细!C2023&lt;&gt;"",出库明细!C2023=客户对账单!$B$4,ISNUMBER(出库明细!B2023),出库明细!B2023&gt;=客户对账单!$G$4,出库明细!B2023&lt;=客户对账单!$I$4),出库明细!B2023+ROW()/100000,"")</f>
      </c>
      <c r="H2023">
        <f>IF(AND(资金台帐!K526&lt;&gt;"",资金台帐!K526=供应商对账单!$B$4,资金台帐!P526="应付",ISNUMBER(资金台帐!B526),资金台帐!B526&gt;=供应商对账单!$G$4,资金台帐!B526&lt;=供应商对账单!$I$4),资金台帐!B526+ROW()/100000,"")</f>
      </c>
      <c r="N2023">
        <f>IF(AND(ISNUMBER(出库明细!G2023),ISNUMBER(出库明细!E2023),ISNUMBER(出库明细!F2023)),IF(ABS(出库明细!G2023-出库明细!E2023*出库明细!F2023)&gt;0.005,1,0),0)</f>
        <v>0</v>
      </c>
    </row>
    <row r="2024">
      <c r="A2024">
        <f>IF(OR(出库明细!C1024="",出库明细!D1024=""),"",IF(OR(COUNTIFS(存条明细!$C$4:$C$1003,出库明细!C1024,存条明细!$D$4:$D$1003,出库明细!D1024)&gt;0,COUNTIFS(出库明细!$C$4:C1024,出库明细!C1024,出库明细!$D$4:D1024,出库明细!D1024)&gt;1),"",IFERROR(MATCH(出库明细!C1024,总览汇总!$B$5:$B$304,0),900)*10000000+IFERROR(MATCH(出库明细!D1024,基础资料!$E$5:$E$104,0),900)*10000+ROW()))</f>
      </c>
      <c r="F2024">
        <f>IF(AND(出库明细!C2024&lt;&gt;"",出库明细!C2024=客户对账单!$B$4,ISNUMBER(出库明细!B2024),出库明细!B2024&gt;=客户对账单!$G$4,出库明细!B2024&lt;=客户对账单!$I$4),出库明细!B2024+ROW()/100000,"")</f>
      </c>
      <c r="H2024">
        <f>IF(AND(资金台帐!K527&lt;&gt;"",资金台帐!K527=供应商对账单!$B$4,资金台帐!P527="应付",ISNUMBER(资金台帐!B527),资金台帐!B527&gt;=供应商对账单!$G$4,资金台帐!B527&lt;=供应商对账单!$I$4),资金台帐!B527+ROW()/100000,"")</f>
      </c>
      <c r="N2024">
        <f>IF(AND(ISNUMBER(出库明细!G2024),ISNUMBER(出库明细!E2024),ISNUMBER(出库明细!F2024)),IF(ABS(出库明细!G2024-出库明细!E2024*出库明细!F2024)&gt;0.005,1,0),0)</f>
        <v>0</v>
      </c>
    </row>
    <row r="2025">
      <c r="A2025">
        <f>IF(OR(出库明细!C1025="",出库明细!D1025=""),"",IF(OR(COUNTIFS(存条明细!$C$4:$C$1003,出库明细!C1025,存条明细!$D$4:$D$1003,出库明细!D1025)&gt;0,COUNTIFS(出库明细!$C$4:C1025,出库明细!C1025,出库明细!$D$4:D1025,出库明细!D1025)&gt;1),"",IFERROR(MATCH(出库明细!C1025,总览汇总!$B$5:$B$304,0),900)*10000000+IFERROR(MATCH(出库明细!D1025,基础资料!$E$5:$E$104,0),900)*10000+ROW()))</f>
      </c>
      <c r="F2025">
        <f>IF(AND(出库明细!C2025&lt;&gt;"",出库明细!C2025=客户对账单!$B$4,ISNUMBER(出库明细!B2025),出库明细!B2025&gt;=客户对账单!$G$4,出库明细!B2025&lt;=客户对账单!$I$4),出库明细!B2025+ROW()/100000,"")</f>
      </c>
      <c r="H2025">
        <f>IF(AND(资金台帐!K528&lt;&gt;"",资金台帐!K528=供应商对账单!$B$4,资金台帐!P528="应付",ISNUMBER(资金台帐!B528),资金台帐!B528&gt;=供应商对账单!$G$4,资金台帐!B528&lt;=供应商对账单!$I$4),资金台帐!B528+ROW()/100000,"")</f>
      </c>
      <c r="N2025">
        <f>IF(AND(ISNUMBER(出库明细!G2025),ISNUMBER(出库明细!E2025),ISNUMBER(出库明细!F2025)),IF(ABS(出库明细!G2025-出库明细!E2025*出库明细!F2025)&gt;0.005,1,0),0)</f>
        <v>0</v>
      </c>
    </row>
    <row r="2026">
      <c r="A2026">
        <f>IF(OR(出库明细!C1026="",出库明细!D1026=""),"",IF(OR(COUNTIFS(存条明细!$C$4:$C$1003,出库明细!C1026,存条明细!$D$4:$D$1003,出库明细!D1026)&gt;0,COUNTIFS(出库明细!$C$4:C1026,出库明细!C1026,出库明细!$D$4:D1026,出库明细!D1026)&gt;1),"",IFERROR(MATCH(出库明细!C1026,总览汇总!$B$5:$B$304,0),900)*10000000+IFERROR(MATCH(出库明细!D1026,基础资料!$E$5:$E$104,0),900)*10000+ROW()))</f>
      </c>
      <c r="F2026">
        <f>IF(AND(出库明细!C2026&lt;&gt;"",出库明细!C2026=客户对账单!$B$4,ISNUMBER(出库明细!B2026),出库明细!B2026&gt;=客户对账单!$G$4,出库明细!B2026&lt;=客户对账单!$I$4),出库明细!B2026+ROW()/100000,"")</f>
      </c>
      <c r="H2026">
        <f>IF(AND(资金台帐!K529&lt;&gt;"",资金台帐!K529=供应商对账单!$B$4,资金台帐!P529="应付",ISNUMBER(资金台帐!B529),资金台帐!B529&gt;=供应商对账单!$G$4,资金台帐!B529&lt;=供应商对账单!$I$4),资金台帐!B529+ROW()/100000,"")</f>
      </c>
      <c r="N2026">
        <f>IF(AND(ISNUMBER(出库明细!G2026),ISNUMBER(出库明细!E2026),ISNUMBER(出库明细!F2026)),IF(ABS(出库明细!G2026-出库明细!E2026*出库明细!F2026)&gt;0.005,1,0),0)</f>
        <v>0</v>
      </c>
    </row>
    <row r="2027">
      <c r="A2027">
        <f>IF(OR(出库明细!C1027="",出库明细!D1027=""),"",IF(OR(COUNTIFS(存条明细!$C$4:$C$1003,出库明细!C1027,存条明细!$D$4:$D$1003,出库明细!D1027)&gt;0,COUNTIFS(出库明细!$C$4:C1027,出库明细!C1027,出库明细!$D$4:D1027,出库明细!D1027)&gt;1),"",IFERROR(MATCH(出库明细!C1027,总览汇总!$B$5:$B$304,0),900)*10000000+IFERROR(MATCH(出库明细!D1027,基础资料!$E$5:$E$104,0),900)*10000+ROW()))</f>
      </c>
      <c r="F2027">
        <f>IF(AND(出库明细!C2027&lt;&gt;"",出库明细!C2027=客户对账单!$B$4,ISNUMBER(出库明细!B2027),出库明细!B2027&gt;=客户对账单!$G$4,出库明细!B2027&lt;=客户对账单!$I$4),出库明细!B2027+ROW()/100000,"")</f>
      </c>
      <c r="H2027">
        <f>IF(AND(资金台帐!K530&lt;&gt;"",资金台帐!K530=供应商对账单!$B$4,资金台帐!P530="应付",ISNUMBER(资金台帐!B530),资金台帐!B530&gt;=供应商对账单!$G$4,资金台帐!B530&lt;=供应商对账单!$I$4),资金台帐!B530+ROW()/100000,"")</f>
      </c>
      <c r="N2027">
        <f>IF(AND(ISNUMBER(出库明细!G2027),ISNUMBER(出库明细!E2027),ISNUMBER(出库明细!F2027)),IF(ABS(出库明细!G2027-出库明细!E2027*出库明细!F2027)&gt;0.005,1,0),0)</f>
        <v>0</v>
      </c>
    </row>
    <row r="2028">
      <c r="A2028">
        <f>IF(OR(出库明细!C1028="",出库明细!D1028=""),"",IF(OR(COUNTIFS(存条明细!$C$4:$C$1003,出库明细!C1028,存条明细!$D$4:$D$1003,出库明细!D1028)&gt;0,COUNTIFS(出库明细!$C$4:C1028,出库明细!C1028,出库明细!$D$4:D1028,出库明细!D1028)&gt;1),"",IFERROR(MATCH(出库明细!C1028,总览汇总!$B$5:$B$304,0),900)*10000000+IFERROR(MATCH(出库明细!D1028,基础资料!$E$5:$E$104,0),900)*10000+ROW()))</f>
      </c>
      <c r="F2028">
        <f>IF(AND(出库明细!C2028&lt;&gt;"",出库明细!C2028=客户对账单!$B$4,ISNUMBER(出库明细!B2028),出库明细!B2028&gt;=客户对账单!$G$4,出库明细!B2028&lt;=客户对账单!$I$4),出库明细!B2028+ROW()/100000,"")</f>
      </c>
      <c r="H2028">
        <f>IF(AND(资金台帐!K531&lt;&gt;"",资金台帐!K531=供应商对账单!$B$4,资金台帐!P531="应付",ISNUMBER(资金台帐!B531),资金台帐!B531&gt;=供应商对账单!$G$4,资金台帐!B531&lt;=供应商对账单!$I$4),资金台帐!B531+ROW()/100000,"")</f>
      </c>
      <c r="N2028">
        <f>IF(AND(ISNUMBER(出库明细!G2028),ISNUMBER(出库明细!E2028),ISNUMBER(出库明细!F2028)),IF(ABS(出库明细!G2028-出库明细!E2028*出库明细!F2028)&gt;0.005,1,0),0)</f>
        <v>0</v>
      </c>
    </row>
    <row r="2029">
      <c r="A2029">
        <f>IF(OR(出库明细!C1029="",出库明细!D1029=""),"",IF(OR(COUNTIFS(存条明细!$C$4:$C$1003,出库明细!C1029,存条明细!$D$4:$D$1003,出库明细!D1029)&gt;0,COUNTIFS(出库明细!$C$4:C1029,出库明细!C1029,出库明细!$D$4:D1029,出库明细!D1029)&gt;1),"",IFERROR(MATCH(出库明细!C1029,总览汇总!$B$5:$B$304,0),900)*10000000+IFERROR(MATCH(出库明细!D1029,基础资料!$E$5:$E$104,0),900)*10000+ROW()))</f>
      </c>
      <c r="F2029">
        <f>IF(AND(出库明细!C2029&lt;&gt;"",出库明细!C2029=客户对账单!$B$4,ISNUMBER(出库明细!B2029),出库明细!B2029&gt;=客户对账单!$G$4,出库明细!B2029&lt;=客户对账单!$I$4),出库明细!B2029+ROW()/100000,"")</f>
      </c>
      <c r="H2029">
        <f>IF(AND(资金台帐!K532&lt;&gt;"",资金台帐!K532=供应商对账单!$B$4,资金台帐!P532="应付",ISNUMBER(资金台帐!B532),资金台帐!B532&gt;=供应商对账单!$G$4,资金台帐!B532&lt;=供应商对账单!$I$4),资金台帐!B532+ROW()/100000,"")</f>
      </c>
      <c r="N2029">
        <f>IF(AND(ISNUMBER(出库明细!G2029),ISNUMBER(出库明细!E2029),ISNUMBER(出库明细!F2029)),IF(ABS(出库明细!G2029-出库明细!E2029*出库明细!F2029)&gt;0.005,1,0),0)</f>
        <v>0</v>
      </c>
    </row>
    <row r="2030">
      <c r="A2030">
        <f>IF(OR(出库明细!C1030="",出库明细!D1030=""),"",IF(OR(COUNTIFS(存条明细!$C$4:$C$1003,出库明细!C1030,存条明细!$D$4:$D$1003,出库明细!D1030)&gt;0,COUNTIFS(出库明细!$C$4:C1030,出库明细!C1030,出库明细!$D$4:D1030,出库明细!D1030)&gt;1),"",IFERROR(MATCH(出库明细!C1030,总览汇总!$B$5:$B$304,0),900)*10000000+IFERROR(MATCH(出库明细!D1030,基础资料!$E$5:$E$104,0),900)*10000+ROW()))</f>
      </c>
      <c r="F2030">
        <f>IF(AND(出库明细!C2030&lt;&gt;"",出库明细!C2030=客户对账单!$B$4,ISNUMBER(出库明细!B2030),出库明细!B2030&gt;=客户对账单!$G$4,出库明细!B2030&lt;=客户对账单!$I$4),出库明细!B2030+ROW()/100000,"")</f>
      </c>
      <c r="H2030">
        <f>IF(AND(资金台帐!K533&lt;&gt;"",资金台帐!K533=供应商对账单!$B$4,资金台帐!P533="应付",ISNUMBER(资金台帐!B533),资金台帐!B533&gt;=供应商对账单!$G$4,资金台帐!B533&lt;=供应商对账单!$I$4),资金台帐!B533+ROW()/100000,"")</f>
      </c>
      <c r="N2030">
        <f>IF(AND(ISNUMBER(出库明细!G2030),ISNUMBER(出库明细!E2030),ISNUMBER(出库明细!F2030)),IF(ABS(出库明细!G2030-出库明细!E2030*出库明细!F2030)&gt;0.005,1,0),0)</f>
        <v>0</v>
      </c>
    </row>
    <row r="2031">
      <c r="A2031">
        <f>IF(OR(出库明细!C1031="",出库明细!D1031=""),"",IF(OR(COUNTIFS(存条明细!$C$4:$C$1003,出库明细!C1031,存条明细!$D$4:$D$1003,出库明细!D1031)&gt;0,COUNTIFS(出库明细!$C$4:C1031,出库明细!C1031,出库明细!$D$4:D1031,出库明细!D1031)&gt;1),"",IFERROR(MATCH(出库明细!C1031,总览汇总!$B$5:$B$304,0),900)*10000000+IFERROR(MATCH(出库明细!D1031,基础资料!$E$5:$E$104,0),900)*10000+ROW()))</f>
      </c>
      <c r="F2031">
        <f>IF(AND(出库明细!C2031&lt;&gt;"",出库明细!C2031=客户对账单!$B$4,ISNUMBER(出库明细!B2031),出库明细!B2031&gt;=客户对账单!$G$4,出库明细!B2031&lt;=客户对账单!$I$4),出库明细!B2031+ROW()/100000,"")</f>
      </c>
      <c r="H2031">
        <f>IF(AND(资金台帐!K534&lt;&gt;"",资金台帐!K534=供应商对账单!$B$4,资金台帐!P534="应付",ISNUMBER(资金台帐!B534),资金台帐!B534&gt;=供应商对账单!$G$4,资金台帐!B534&lt;=供应商对账单!$I$4),资金台帐!B534+ROW()/100000,"")</f>
      </c>
      <c r="N2031">
        <f>IF(AND(ISNUMBER(出库明细!G2031),ISNUMBER(出库明细!E2031),ISNUMBER(出库明细!F2031)),IF(ABS(出库明细!G2031-出库明细!E2031*出库明细!F2031)&gt;0.005,1,0),0)</f>
        <v>0</v>
      </c>
    </row>
    <row r="2032">
      <c r="A2032">
        <f>IF(OR(出库明细!C1032="",出库明细!D1032=""),"",IF(OR(COUNTIFS(存条明细!$C$4:$C$1003,出库明细!C1032,存条明细!$D$4:$D$1003,出库明细!D1032)&gt;0,COUNTIFS(出库明细!$C$4:C1032,出库明细!C1032,出库明细!$D$4:D1032,出库明细!D1032)&gt;1),"",IFERROR(MATCH(出库明细!C1032,总览汇总!$B$5:$B$304,0),900)*10000000+IFERROR(MATCH(出库明细!D1032,基础资料!$E$5:$E$104,0),900)*10000+ROW()))</f>
      </c>
      <c r="F2032">
        <f>IF(AND(出库明细!C2032&lt;&gt;"",出库明细!C2032=客户对账单!$B$4,ISNUMBER(出库明细!B2032),出库明细!B2032&gt;=客户对账单!$G$4,出库明细!B2032&lt;=客户对账单!$I$4),出库明细!B2032+ROW()/100000,"")</f>
      </c>
      <c r="H2032">
        <f>IF(AND(资金台帐!K535&lt;&gt;"",资金台帐!K535=供应商对账单!$B$4,资金台帐!P535="应付",ISNUMBER(资金台帐!B535),资金台帐!B535&gt;=供应商对账单!$G$4,资金台帐!B535&lt;=供应商对账单!$I$4),资金台帐!B535+ROW()/100000,"")</f>
      </c>
      <c r="N2032">
        <f>IF(AND(ISNUMBER(出库明细!G2032),ISNUMBER(出库明细!E2032),ISNUMBER(出库明细!F2032)),IF(ABS(出库明细!G2032-出库明细!E2032*出库明细!F2032)&gt;0.005,1,0),0)</f>
        <v>0</v>
      </c>
    </row>
    <row r="2033">
      <c r="A2033">
        <f>IF(OR(出库明细!C1033="",出库明细!D1033=""),"",IF(OR(COUNTIFS(存条明细!$C$4:$C$1003,出库明细!C1033,存条明细!$D$4:$D$1003,出库明细!D1033)&gt;0,COUNTIFS(出库明细!$C$4:C1033,出库明细!C1033,出库明细!$D$4:D1033,出库明细!D1033)&gt;1),"",IFERROR(MATCH(出库明细!C1033,总览汇总!$B$5:$B$304,0),900)*10000000+IFERROR(MATCH(出库明细!D1033,基础资料!$E$5:$E$104,0),900)*10000+ROW()))</f>
      </c>
      <c r="F2033">
        <f>IF(AND(出库明细!C2033&lt;&gt;"",出库明细!C2033=客户对账单!$B$4,ISNUMBER(出库明细!B2033),出库明细!B2033&gt;=客户对账单!$G$4,出库明细!B2033&lt;=客户对账单!$I$4),出库明细!B2033+ROW()/100000,"")</f>
      </c>
      <c r="H2033">
        <f>IF(AND(资金台帐!K536&lt;&gt;"",资金台帐!K536=供应商对账单!$B$4,资金台帐!P536="应付",ISNUMBER(资金台帐!B536),资金台帐!B536&gt;=供应商对账单!$G$4,资金台帐!B536&lt;=供应商对账单!$I$4),资金台帐!B536+ROW()/100000,"")</f>
      </c>
      <c r="N2033">
        <f>IF(AND(ISNUMBER(出库明细!G2033),ISNUMBER(出库明细!E2033),ISNUMBER(出库明细!F2033)),IF(ABS(出库明细!G2033-出库明细!E2033*出库明细!F2033)&gt;0.005,1,0),0)</f>
        <v>0</v>
      </c>
    </row>
    <row r="2034">
      <c r="A2034">
        <f>IF(OR(出库明细!C1034="",出库明细!D1034=""),"",IF(OR(COUNTIFS(存条明细!$C$4:$C$1003,出库明细!C1034,存条明细!$D$4:$D$1003,出库明细!D1034)&gt;0,COUNTIFS(出库明细!$C$4:C1034,出库明细!C1034,出库明细!$D$4:D1034,出库明细!D1034)&gt;1),"",IFERROR(MATCH(出库明细!C1034,总览汇总!$B$5:$B$304,0),900)*10000000+IFERROR(MATCH(出库明细!D1034,基础资料!$E$5:$E$104,0),900)*10000+ROW()))</f>
      </c>
      <c r="F2034">
        <f>IF(AND(出库明细!C2034&lt;&gt;"",出库明细!C2034=客户对账单!$B$4,ISNUMBER(出库明细!B2034),出库明细!B2034&gt;=客户对账单!$G$4,出库明细!B2034&lt;=客户对账单!$I$4),出库明细!B2034+ROW()/100000,"")</f>
      </c>
      <c r="H2034">
        <f>IF(AND(资金台帐!K537&lt;&gt;"",资金台帐!K537=供应商对账单!$B$4,资金台帐!P537="应付",ISNUMBER(资金台帐!B537),资金台帐!B537&gt;=供应商对账单!$G$4,资金台帐!B537&lt;=供应商对账单!$I$4),资金台帐!B537+ROW()/100000,"")</f>
      </c>
      <c r="N2034">
        <f>IF(AND(ISNUMBER(出库明细!G2034),ISNUMBER(出库明细!E2034),ISNUMBER(出库明细!F2034)),IF(ABS(出库明细!G2034-出库明细!E2034*出库明细!F2034)&gt;0.005,1,0),0)</f>
        <v>0</v>
      </c>
    </row>
    <row r="2035">
      <c r="A2035">
        <f>IF(OR(出库明细!C1035="",出库明细!D1035=""),"",IF(OR(COUNTIFS(存条明细!$C$4:$C$1003,出库明细!C1035,存条明细!$D$4:$D$1003,出库明细!D1035)&gt;0,COUNTIFS(出库明细!$C$4:C1035,出库明细!C1035,出库明细!$D$4:D1035,出库明细!D1035)&gt;1),"",IFERROR(MATCH(出库明细!C1035,总览汇总!$B$5:$B$304,0),900)*10000000+IFERROR(MATCH(出库明细!D1035,基础资料!$E$5:$E$104,0),900)*10000+ROW()))</f>
      </c>
      <c r="F2035">
        <f>IF(AND(出库明细!C2035&lt;&gt;"",出库明细!C2035=客户对账单!$B$4,ISNUMBER(出库明细!B2035),出库明细!B2035&gt;=客户对账单!$G$4,出库明细!B2035&lt;=客户对账单!$I$4),出库明细!B2035+ROW()/100000,"")</f>
      </c>
      <c r="H2035">
        <f>IF(AND(资金台帐!K538&lt;&gt;"",资金台帐!K538=供应商对账单!$B$4,资金台帐!P538="应付",ISNUMBER(资金台帐!B538),资金台帐!B538&gt;=供应商对账单!$G$4,资金台帐!B538&lt;=供应商对账单!$I$4),资金台帐!B538+ROW()/100000,"")</f>
      </c>
      <c r="N2035">
        <f>IF(AND(ISNUMBER(出库明细!G2035),ISNUMBER(出库明细!E2035),ISNUMBER(出库明细!F2035)),IF(ABS(出库明细!G2035-出库明细!E2035*出库明细!F2035)&gt;0.005,1,0),0)</f>
        <v>0</v>
      </c>
    </row>
    <row r="2036">
      <c r="A2036">
        <f>IF(OR(出库明细!C1036="",出库明细!D1036=""),"",IF(OR(COUNTIFS(存条明细!$C$4:$C$1003,出库明细!C1036,存条明细!$D$4:$D$1003,出库明细!D1036)&gt;0,COUNTIFS(出库明细!$C$4:C1036,出库明细!C1036,出库明细!$D$4:D1036,出库明细!D1036)&gt;1),"",IFERROR(MATCH(出库明细!C1036,总览汇总!$B$5:$B$304,0),900)*10000000+IFERROR(MATCH(出库明细!D1036,基础资料!$E$5:$E$104,0),900)*10000+ROW()))</f>
      </c>
      <c r="F2036">
        <f>IF(AND(出库明细!C2036&lt;&gt;"",出库明细!C2036=客户对账单!$B$4,ISNUMBER(出库明细!B2036),出库明细!B2036&gt;=客户对账单!$G$4,出库明细!B2036&lt;=客户对账单!$I$4),出库明细!B2036+ROW()/100000,"")</f>
      </c>
      <c r="H2036">
        <f>IF(AND(资金台帐!K539&lt;&gt;"",资金台帐!K539=供应商对账单!$B$4,资金台帐!P539="应付",ISNUMBER(资金台帐!B539),资金台帐!B539&gt;=供应商对账单!$G$4,资金台帐!B539&lt;=供应商对账单!$I$4),资金台帐!B539+ROW()/100000,"")</f>
      </c>
      <c r="N2036">
        <f>IF(AND(ISNUMBER(出库明细!G2036),ISNUMBER(出库明细!E2036),ISNUMBER(出库明细!F2036)),IF(ABS(出库明细!G2036-出库明细!E2036*出库明细!F2036)&gt;0.005,1,0),0)</f>
        <v>0</v>
      </c>
    </row>
    <row r="2037">
      <c r="A2037">
        <f>IF(OR(出库明细!C1037="",出库明细!D1037=""),"",IF(OR(COUNTIFS(存条明细!$C$4:$C$1003,出库明细!C1037,存条明细!$D$4:$D$1003,出库明细!D1037)&gt;0,COUNTIFS(出库明细!$C$4:C1037,出库明细!C1037,出库明细!$D$4:D1037,出库明细!D1037)&gt;1),"",IFERROR(MATCH(出库明细!C1037,总览汇总!$B$5:$B$304,0),900)*10000000+IFERROR(MATCH(出库明细!D1037,基础资料!$E$5:$E$104,0),900)*10000+ROW()))</f>
      </c>
      <c r="F2037">
        <f>IF(AND(出库明细!C2037&lt;&gt;"",出库明细!C2037=客户对账单!$B$4,ISNUMBER(出库明细!B2037),出库明细!B2037&gt;=客户对账单!$G$4,出库明细!B2037&lt;=客户对账单!$I$4),出库明细!B2037+ROW()/100000,"")</f>
      </c>
      <c r="H2037">
        <f>IF(AND(资金台帐!K540&lt;&gt;"",资金台帐!K540=供应商对账单!$B$4,资金台帐!P540="应付",ISNUMBER(资金台帐!B540),资金台帐!B540&gt;=供应商对账单!$G$4,资金台帐!B540&lt;=供应商对账单!$I$4),资金台帐!B540+ROW()/100000,"")</f>
      </c>
      <c r="N2037">
        <f>IF(AND(ISNUMBER(出库明细!G2037),ISNUMBER(出库明细!E2037),ISNUMBER(出库明细!F2037)),IF(ABS(出库明细!G2037-出库明细!E2037*出库明细!F2037)&gt;0.005,1,0),0)</f>
        <v>0</v>
      </c>
    </row>
    <row r="2038">
      <c r="A2038">
        <f>IF(OR(出库明细!C1038="",出库明细!D1038=""),"",IF(OR(COUNTIFS(存条明细!$C$4:$C$1003,出库明细!C1038,存条明细!$D$4:$D$1003,出库明细!D1038)&gt;0,COUNTIFS(出库明细!$C$4:C1038,出库明细!C1038,出库明细!$D$4:D1038,出库明细!D1038)&gt;1),"",IFERROR(MATCH(出库明细!C1038,总览汇总!$B$5:$B$304,0),900)*10000000+IFERROR(MATCH(出库明细!D1038,基础资料!$E$5:$E$104,0),900)*10000+ROW()))</f>
      </c>
      <c r="F2038">
        <f>IF(AND(出库明细!C2038&lt;&gt;"",出库明细!C2038=客户对账单!$B$4,ISNUMBER(出库明细!B2038),出库明细!B2038&gt;=客户对账单!$G$4,出库明细!B2038&lt;=客户对账单!$I$4),出库明细!B2038+ROW()/100000,"")</f>
      </c>
      <c r="H2038">
        <f>IF(AND(资金台帐!K541&lt;&gt;"",资金台帐!K541=供应商对账单!$B$4,资金台帐!P541="应付",ISNUMBER(资金台帐!B541),资金台帐!B541&gt;=供应商对账单!$G$4,资金台帐!B541&lt;=供应商对账单!$I$4),资金台帐!B541+ROW()/100000,"")</f>
      </c>
      <c r="N2038">
        <f>IF(AND(ISNUMBER(出库明细!G2038),ISNUMBER(出库明细!E2038),ISNUMBER(出库明细!F2038)),IF(ABS(出库明细!G2038-出库明细!E2038*出库明细!F2038)&gt;0.005,1,0),0)</f>
        <v>0</v>
      </c>
    </row>
    <row r="2039">
      <c r="A2039">
        <f>IF(OR(出库明细!C1039="",出库明细!D1039=""),"",IF(OR(COUNTIFS(存条明细!$C$4:$C$1003,出库明细!C1039,存条明细!$D$4:$D$1003,出库明细!D1039)&gt;0,COUNTIFS(出库明细!$C$4:C1039,出库明细!C1039,出库明细!$D$4:D1039,出库明细!D1039)&gt;1),"",IFERROR(MATCH(出库明细!C1039,总览汇总!$B$5:$B$304,0),900)*10000000+IFERROR(MATCH(出库明细!D1039,基础资料!$E$5:$E$104,0),900)*10000+ROW()))</f>
      </c>
      <c r="F2039">
        <f>IF(AND(出库明细!C2039&lt;&gt;"",出库明细!C2039=客户对账单!$B$4,ISNUMBER(出库明细!B2039),出库明细!B2039&gt;=客户对账单!$G$4,出库明细!B2039&lt;=客户对账单!$I$4),出库明细!B2039+ROW()/100000,"")</f>
      </c>
      <c r="H2039">
        <f>IF(AND(资金台帐!K542&lt;&gt;"",资金台帐!K542=供应商对账单!$B$4,资金台帐!P542="应付",ISNUMBER(资金台帐!B542),资金台帐!B542&gt;=供应商对账单!$G$4,资金台帐!B542&lt;=供应商对账单!$I$4),资金台帐!B542+ROW()/100000,"")</f>
      </c>
      <c r="N2039">
        <f>IF(AND(ISNUMBER(出库明细!G2039),ISNUMBER(出库明细!E2039),ISNUMBER(出库明细!F2039)),IF(ABS(出库明细!G2039-出库明细!E2039*出库明细!F2039)&gt;0.005,1,0),0)</f>
        <v>0</v>
      </c>
    </row>
    <row r="2040">
      <c r="A2040">
        <f>IF(OR(出库明细!C1040="",出库明细!D1040=""),"",IF(OR(COUNTIFS(存条明细!$C$4:$C$1003,出库明细!C1040,存条明细!$D$4:$D$1003,出库明细!D1040)&gt;0,COUNTIFS(出库明细!$C$4:C1040,出库明细!C1040,出库明细!$D$4:D1040,出库明细!D1040)&gt;1),"",IFERROR(MATCH(出库明细!C1040,总览汇总!$B$5:$B$304,0),900)*10000000+IFERROR(MATCH(出库明细!D1040,基础资料!$E$5:$E$104,0),900)*10000+ROW()))</f>
      </c>
      <c r="F2040">
        <f>IF(AND(出库明细!C2040&lt;&gt;"",出库明细!C2040=客户对账单!$B$4,ISNUMBER(出库明细!B2040),出库明细!B2040&gt;=客户对账单!$G$4,出库明细!B2040&lt;=客户对账单!$I$4),出库明细!B2040+ROW()/100000,"")</f>
      </c>
      <c r="H2040">
        <f>IF(AND(资金台帐!K543&lt;&gt;"",资金台帐!K543=供应商对账单!$B$4,资金台帐!P543="应付",ISNUMBER(资金台帐!B543),资金台帐!B543&gt;=供应商对账单!$G$4,资金台帐!B543&lt;=供应商对账单!$I$4),资金台帐!B543+ROW()/100000,"")</f>
      </c>
      <c r="N2040">
        <f>IF(AND(ISNUMBER(出库明细!G2040),ISNUMBER(出库明细!E2040),ISNUMBER(出库明细!F2040)),IF(ABS(出库明细!G2040-出库明细!E2040*出库明细!F2040)&gt;0.005,1,0),0)</f>
        <v>0</v>
      </c>
    </row>
    <row r="2041">
      <c r="A2041">
        <f>IF(OR(出库明细!C1041="",出库明细!D1041=""),"",IF(OR(COUNTIFS(存条明细!$C$4:$C$1003,出库明细!C1041,存条明细!$D$4:$D$1003,出库明细!D1041)&gt;0,COUNTIFS(出库明细!$C$4:C1041,出库明细!C1041,出库明细!$D$4:D1041,出库明细!D1041)&gt;1),"",IFERROR(MATCH(出库明细!C1041,总览汇总!$B$5:$B$304,0),900)*10000000+IFERROR(MATCH(出库明细!D1041,基础资料!$E$5:$E$104,0),900)*10000+ROW()))</f>
      </c>
      <c r="F2041">
        <f>IF(AND(出库明细!C2041&lt;&gt;"",出库明细!C2041=客户对账单!$B$4,ISNUMBER(出库明细!B2041),出库明细!B2041&gt;=客户对账单!$G$4,出库明细!B2041&lt;=客户对账单!$I$4),出库明细!B2041+ROW()/100000,"")</f>
      </c>
      <c r="H2041">
        <f>IF(AND(资金台帐!K544&lt;&gt;"",资金台帐!K544=供应商对账单!$B$4,资金台帐!P544="应付",ISNUMBER(资金台帐!B544),资金台帐!B544&gt;=供应商对账单!$G$4,资金台帐!B544&lt;=供应商对账单!$I$4),资金台帐!B544+ROW()/100000,"")</f>
      </c>
      <c r="N2041">
        <f>IF(AND(ISNUMBER(出库明细!G2041),ISNUMBER(出库明细!E2041),ISNUMBER(出库明细!F2041)),IF(ABS(出库明细!G2041-出库明细!E2041*出库明细!F2041)&gt;0.005,1,0),0)</f>
        <v>0</v>
      </c>
    </row>
    <row r="2042">
      <c r="A2042">
        <f>IF(OR(出库明细!C1042="",出库明细!D1042=""),"",IF(OR(COUNTIFS(存条明细!$C$4:$C$1003,出库明细!C1042,存条明细!$D$4:$D$1003,出库明细!D1042)&gt;0,COUNTIFS(出库明细!$C$4:C1042,出库明细!C1042,出库明细!$D$4:D1042,出库明细!D1042)&gt;1),"",IFERROR(MATCH(出库明细!C1042,总览汇总!$B$5:$B$304,0),900)*10000000+IFERROR(MATCH(出库明细!D1042,基础资料!$E$5:$E$104,0),900)*10000+ROW()))</f>
      </c>
      <c r="F2042">
        <f>IF(AND(出库明细!C2042&lt;&gt;"",出库明细!C2042=客户对账单!$B$4,ISNUMBER(出库明细!B2042),出库明细!B2042&gt;=客户对账单!$G$4,出库明细!B2042&lt;=客户对账单!$I$4),出库明细!B2042+ROW()/100000,"")</f>
      </c>
      <c r="H2042">
        <f>IF(AND(资金台帐!K545&lt;&gt;"",资金台帐!K545=供应商对账单!$B$4,资金台帐!P545="应付",ISNUMBER(资金台帐!B545),资金台帐!B545&gt;=供应商对账单!$G$4,资金台帐!B545&lt;=供应商对账单!$I$4),资金台帐!B545+ROW()/100000,"")</f>
      </c>
      <c r="N2042">
        <f>IF(AND(ISNUMBER(出库明细!G2042),ISNUMBER(出库明细!E2042),ISNUMBER(出库明细!F2042)),IF(ABS(出库明细!G2042-出库明细!E2042*出库明细!F2042)&gt;0.005,1,0),0)</f>
        <v>0</v>
      </c>
    </row>
    <row r="2043">
      <c r="A2043">
        <f>IF(OR(出库明细!C1043="",出库明细!D1043=""),"",IF(OR(COUNTIFS(存条明细!$C$4:$C$1003,出库明细!C1043,存条明细!$D$4:$D$1003,出库明细!D1043)&gt;0,COUNTIFS(出库明细!$C$4:C1043,出库明细!C1043,出库明细!$D$4:D1043,出库明细!D1043)&gt;1),"",IFERROR(MATCH(出库明细!C1043,总览汇总!$B$5:$B$304,0),900)*10000000+IFERROR(MATCH(出库明细!D1043,基础资料!$E$5:$E$104,0),900)*10000+ROW()))</f>
      </c>
      <c r="F2043">
        <f>IF(AND(出库明细!C2043&lt;&gt;"",出库明细!C2043=客户对账单!$B$4,ISNUMBER(出库明细!B2043),出库明细!B2043&gt;=客户对账单!$G$4,出库明细!B2043&lt;=客户对账单!$I$4),出库明细!B2043+ROW()/100000,"")</f>
      </c>
      <c r="H2043">
        <f>IF(AND(资金台帐!K546&lt;&gt;"",资金台帐!K546=供应商对账单!$B$4,资金台帐!P546="应付",ISNUMBER(资金台帐!B546),资金台帐!B546&gt;=供应商对账单!$G$4,资金台帐!B546&lt;=供应商对账单!$I$4),资金台帐!B546+ROW()/100000,"")</f>
      </c>
      <c r="N2043">
        <f>IF(AND(ISNUMBER(出库明细!G2043),ISNUMBER(出库明细!E2043),ISNUMBER(出库明细!F2043)),IF(ABS(出库明细!G2043-出库明细!E2043*出库明细!F2043)&gt;0.005,1,0),0)</f>
        <v>0</v>
      </c>
    </row>
    <row r="2044">
      <c r="A2044">
        <f>IF(OR(出库明细!C1044="",出库明细!D1044=""),"",IF(OR(COUNTIFS(存条明细!$C$4:$C$1003,出库明细!C1044,存条明细!$D$4:$D$1003,出库明细!D1044)&gt;0,COUNTIFS(出库明细!$C$4:C1044,出库明细!C1044,出库明细!$D$4:D1044,出库明细!D1044)&gt;1),"",IFERROR(MATCH(出库明细!C1044,总览汇总!$B$5:$B$304,0),900)*10000000+IFERROR(MATCH(出库明细!D1044,基础资料!$E$5:$E$104,0),900)*10000+ROW()))</f>
      </c>
      <c r="F2044">
        <f>IF(AND(出库明细!C2044&lt;&gt;"",出库明细!C2044=客户对账单!$B$4,ISNUMBER(出库明细!B2044),出库明细!B2044&gt;=客户对账单!$G$4,出库明细!B2044&lt;=客户对账单!$I$4),出库明细!B2044+ROW()/100000,"")</f>
      </c>
      <c r="H2044">
        <f>IF(AND(资金台帐!K547&lt;&gt;"",资金台帐!K547=供应商对账单!$B$4,资金台帐!P547="应付",ISNUMBER(资金台帐!B547),资金台帐!B547&gt;=供应商对账单!$G$4,资金台帐!B547&lt;=供应商对账单!$I$4),资金台帐!B547+ROW()/100000,"")</f>
      </c>
      <c r="N2044">
        <f>IF(AND(ISNUMBER(出库明细!G2044),ISNUMBER(出库明细!E2044),ISNUMBER(出库明细!F2044)),IF(ABS(出库明细!G2044-出库明细!E2044*出库明细!F2044)&gt;0.005,1,0),0)</f>
        <v>0</v>
      </c>
    </row>
    <row r="2045">
      <c r="A2045">
        <f>IF(OR(出库明细!C1045="",出库明细!D1045=""),"",IF(OR(COUNTIFS(存条明细!$C$4:$C$1003,出库明细!C1045,存条明细!$D$4:$D$1003,出库明细!D1045)&gt;0,COUNTIFS(出库明细!$C$4:C1045,出库明细!C1045,出库明细!$D$4:D1045,出库明细!D1045)&gt;1),"",IFERROR(MATCH(出库明细!C1045,总览汇总!$B$5:$B$304,0),900)*10000000+IFERROR(MATCH(出库明细!D1045,基础资料!$E$5:$E$104,0),900)*10000+ROW()))</f>
      </c>
      <c r="F2045">
        <f>IF(AND(出库明细!C2045&lt;&gt;"",出库明细!C2045=客户对账单!$B$4,ISNUMBER(出库明细!B2045),出库明细!B2045&gt;=客户对账单!$G$4,出库明细!B2045&lt;=客户对账单!$I$4),出库明细!B2045+ROW()/100000,"")</f>
      </c>
      <c r="H2045">
        <f>IF(AND(资金台帐!K548&lt;&gt;"",资金台帐!K548=供应商对账单!$B$4,资金台帐!P548="应付",ISNUMBER(资金台帐!B548),资金台帐!B548&gt;=供应商对账单!$G$4,资金台帐!B548&lt;=供应商对账单!$I$4),资金台帐!B548+ROW()/100000,"")</f>
      </c>
      <c r="N2045">
        <f>IF(AND(ISNUMBER(出库明细!G2045),ISNUMBER(出库明细!E2045),ISNUMBER(出库明细!F2045)),IF(ABS(出库明细!G2045-出库明细!E2045*出库明细!F2045)&gt;0.005,1,0),0)</f>
        <v>0</v>
      </c>
    </row>
    <row r="2046">
      <c r="A2046">
        <f>IF(OR(出库明细!C1046="",出库明细!D1046=""),"",IF(OR(COUNTIFS(存条明细!$C$4:$C$1003,出库明细!C1046,存条明细!$D$4:$D$1003,出库明细!D1046)&gt;0,COUNTIFS(出库明细!$C$4:C1046,出库明细!C1046,出库明细!$D$4:D1046,出库明细!D1046)&gt;1),"",IFERROR(MATCH(出库明细!C1046,总览汇总!$B$5:$B$304,0),900)*10000000+IFERROR(MATCH(出库明细!D1046,基础资料!$E$5:$E$104,0),900)*10000+ROW()))</f>
      </c>
      <c r="F2046">
        <f>IF(AND(出库明细!C2046&lt;&gt;"",出库明细!C2046=客户对账单!$B$4,ISNUMBER(出库明细!B2046),出库明细!B2046&gt;=客户对账单!$G$4,出库明细!B2046&lt;=客户对账单!$I$4),出库明细!B2046+ROW()/100000,"")</f>
      </c>
      <c r="H2046">
        <f>IF(AND(资金台帐!K549&lt;&gt;"",资金台帐!K549=供应商对账单!$B$4,资金台帐!P549="应付",ISNUMBER(资金台帐!B549),资金台帐!B549&gt;=供应商对账单!$G$4,资金台帐!B549&lt;=供应商对账单!$I$4),资金台帐!B549+ROW()/100000,"")</f>
      </c>
      <c r="N2046">
        <f>IF(AND(ISNUMBER(出库明细!G2046),ISNUMBER(出库明细!E2046),ISNUMBER(出库明细!F2046)),IF(ABS(出库明细!G2046-出库明细!E2046*出库明细!F2046)&gt;0.005,1,0),0)</f>
        <v>0</v>
      </c>
    </row>
    <row r="2047">
      <c r="A2047">
        <f>IF(OR(出库明细!C1047="",出库明细!D1047=""),"",IF(OR(COUNTIFS(存条明细!$C$4:$C$1003,出库明细!C1047,存条明细!$D$4:$D$1003,出库明细!D1047)&gt;0,COUNTIFS(出库明细!$C$4:C1047,出库明细!C1047,出库明细!$D$4:D1047,出库明细!D1047)&gt;1),"",IFERROR(MATCH(出库明细!C1047,总览汇总!$B$5:$B$304,0),900)*10000000+IFERROR(MATCH(出库明细!D1047,基础资料!$E$5:$E$104,0),900)*10000+ROW()))</f>
      </c>
      <c r="F2047">
        <f>IF(AND(出库明细!C2047&lt;&gt;"",出库明细!C2047=客户对账单!$B$4,ISNUMBER(出库明细!B2047),出库明细!B2047&gt;=客户对账单!$G$4,出库明细!B2047&lt;=客户对账单!$I$4),出库明细!B2047+ROW()/100000,"")</f>
      </c>
      <c r="H2047">
        <f>IF(AND(资金台帐!K550&lt;&gt;"",资金台帐!K550=供应商对账单!$B$4,资金台帐!P550="应付",ISNUMBER(资金台帐!B550),资金台帐!B550&gt;=供应商对账单!$G$4,资金台帐!B550&lt;=供应商对账单!$I$4),资金台帐!B550+ROW()/100000,"")</f>
      </c>
      <c r="N2047">
        <f>IF(AND(ISNUMBER(出库明细!G2047),ISNUMBER(出库明细!E2047),ISNUMBER(出库明细!F2047)),IF(ABS(出库明细!G2047-出库明细!E2047*出库明细!F2047)&gt;0.005,1,0),0)</f>
        <v>0</v>
      </c>
    </row>
    <row r="2048">
      <c r="A2048">
        <f>IF(OR(出库明细!C1048="",出库明细!D1048=""),"",IF(OR(COUNTIFS(存条明细!$C$4:$C$1003,出库明细!C1048,存条明细!$D$4:$D$1003,出库明细!D1048)&gt;0,COUNTIFS(出库明细!$C$4:C1048,出库明细!C1048,出库明细!$D$4:D1048,出库明细!D1048)&gt;1),"",IFERROR(MATCH(出库明细!C1048,总览汇总!$B$5:$B$304,0),900)*10000000+IFERROR(MATCH(出库明细!D1048,基础资料!$E$5:$E$104,0),900)*10000+ROW()))</f>
      </c>
      <c r="F2048">
        <f>IF(AND(出库明细!C2048&lt;&gt;"",出库明细!C2048=客户对账单!$B$4,ISNUMBER(出库明细!B2048),出库明细!B2048&gt;=客户对账单!$G$4,出库明细!B2048&lt;=客户对账单!$I$4),出库明细!B2048+ROW()/100000,"")</f>
      </c>
      <c r="H2048">
        <f>IF(AND(资金台帐!K551&lt;&gt;"",资金台帐!K551=供应商对账单!$B$4,资金台帐!P551="应付",ISNUMBER(资金台帐!B551),资金台帐!B551&gt;=供应商对账单!$G$4,资金台帐!B551&lt;=供应商对账单!$I$4),资金台帐!B551+ROW()/100000,"")</f>
      </c>
      <c r="N2048">
        <f>IF(AND(ISNUMBER(出库明细!G2048),ISNUMBER(出库明细!E2048),ISNUMBER(出库明细!F2048)),IF(ABS(出库明细!G2048-出库明细!E2048*出库明细!F2048)&gt;0.005,1,0),0)</f>
        <v>0</v>
      </c>
    </row>
    <row r="2049">
      <c r="A2049">
        <f>IF(OR(出库明细!C1049="",出库明细!D1049=""),"",IF(OR(COUNTIFS(存条明细!$C$4:$C$1003,出库明细!C1049,存条明细!$D$4:$D$1003,出库明细!D1049)&gt;0,COUNTIFS(出库明细!$C$4:C1049,出库明细!C1049,出库明细!$D$4:D1049,出库明细!D1049)&gt;1),"",IFERROR(MATCH(出库明细!C1049,总览汇总!$B$5:$B$304,0),900)*10000000+IFERROR(MATCH(出库明细!D1049,基础资料!$E$5:$E$104,0),900)*10000+ROW()))</f>
      </c>
      <c r="F2049">
        <f>IF(AND(出库明细!C2049&lt;&gt;"",出库明细!C2049=客户对账单!$B$4,ISNUMBER(出库明细!B2049),出库明细!B2049&gt;=客户对账单!$G$4,出库明细!B2049&lt;=客户对账单!$I$4),出库明细!B2049+ROW()/100000,"")</f>
      </c>
      <c r="H2049">
        <f>IF(AND(资金台帐!K552&lt;&gt;"",资金台帐!K552=供应商对账单!$B$4,资金台帐!P552="应付",ISNUMBER(资金台帐!B552),资金台帐!B552&gt;=供应商对账单!$G$4,资金台帐!B552&lt;=供应商对账单!$I$4),资金台帐!B552+ROW()/100000,"")</f>
      </c>
      <c r="N2049">
        <f>IF(AND(ISNUMBER(出库明细!G2049),ISNUMBER(出库明细!E2049),ISNUMBER(出库明细!F2049)),IF(ABS(出库明细!G2049-出库明细!E2049*出库明细!F2049)&gt;0.005,1,0),0)</f>
        <v>0</v>
      </c>
    </row>
    <row r="2050">
      <c r="A2050">
        <f>IF(OR(出库明细!C1050="",出库明细!D1050=""),"",IF(OR(COUNTIFS(存条明细!$C$4:$C$1003,出库明细!C1050,存条明细!$D$4:$D$1003,出库明细!D1050)&gt;0,COUNTIFS(出库明细!$C$4:C1050,出库明细!C1050,出库明细!$D$4:D1050,出库明细!D1050)&gt;1),"",IFERROR(MATCH(出库明细!C1050,总览汇总!$B$5:$B$304,0),900)*10000000+IFERROR(MATCH(出库明细!D1050,基础资料!$E$5:$E$104,0),900)*10000+ROW()))</f>
      </c>
      <c r="F2050">
        <f>IF(AND(出库明细!C2050&lt;&gt;"",出库明细!C2050=客户对账单!$B$4,ISNUMBER(出库明细!B2050),出库明细!B2050&gt;=客户对账单!$G$4,出库明细!B2050&lt;=客户对账单!$I$4),出库明细!B2050+ROW()/100000,"")</f>
      </c>
      <c r="H2050">
        <f>IF(AND(资金台帐!K553&lt;&gt;"",资金台帐!K553=供应商对账单!$B$4,资金台帐!P553="应付",ISNUMBER(资金台帐!B553),资金台帐!B553&gt;=供应商对账单!$G$4,资金台帐!B553&lt;=供应商对账单!$I$4),资金台帐!B553+ROW()/100000,"")</f>
      </c>
      <c r="N2050">
        <f>IF(AND(ISNUMBER(出库明细!G2050),ISNUMBER(出库明细!E2050),ISNUMBER(出库明细!F2050)),IF(ABS(出库明细!G2050-出库明细!E2050*出库明细!F2050)&gt;0.005,1,0),0)</f>
        <v>0</v>
      </c>
    </row>
    <row r="2051">
      <c r="A2051">
        <f>IF(OR(出库明细!C1051="",出库明细!D1051=""),"",IF(OR(COUNTIFS(存条明细!$C$4:$C$1003,出库明细!C1051,存条明细!$D$4:$D$1003,出库明细!D1051)&gt;0,COUNTIFS(出库明细!$C$4:C1051,出库明细!C1051,出库明细!$D$4:D1051,出库明细!D1051)&gt;1),"",IFERROR(MATCH(出库明细!C1051,总览汇总!$B$5:$B$304,0),900)*10000000+IFERROR(MATCH(出库明细!D1051,基础资料!$E$5:$E$104,0),900)*10000+ROW()))</f>
      </c>
      <c r="F2051">
        <f>IF(AND(出库明细!C2051&lt;&gt;"",出库明细!C2051=客户对账单!$B$4,ISNUMBER(出库明细!B2051),出库明细!B2051&gt;=客户对账单!$G$4,出库明细!B2051&lt;=客户对账单!$I$4),出库明细!B2051+ROW()/100000,"")</f>
      </c>
      <c r="H2051">
        <f>IF(AND(资金台帐!K554&lt;&gt;"",资金台帐!K554=供应商对账单!$B$4,资金台帐!P554="应付",ISNUMBER(资金台帐!B554),资金台帐!B554&gt;=供应商对账单!$G$4,资金台帐!B554&lt;=供应商对账单!$I$4),资金台帐!B554+ROW()/100000,"")</f>
      </c>
      <c r="N2051">
        <f>IF(AND(ISNUMBER(出库明细!G2051),ISNUMBER(出库明细!E2051),ISNUMBER(出库明细!F2051)),IF(ABS(出库明细!G2051-出库明细!E2051*出库明细!F2051)&gt;0.005,1,0),0)</f>
        <v>0</v>
      </c>
    </row>
    <row r="2052">
      <c r="A2052">
        <f>IF(OR(出库明细!C1052="",出库明细!D1052=""),"",IF(OR(COUNTIFS(存条明细!$C$4:$C$1003,出库明细!C1052,存条明细!$D$4:$D$1003,出库明细!D1052)&gt;0,COUNTIFS(出库明细!$C$4:C1052,出库明细!C1052,出库明细!$D$4:D1052,出库明细!D1052)&gt;1),"",IFERROR(MATCH(出库明细!C1052,总览汇总!$B$5:$B$304,0),900)*10000000+IFERROR(MATCH(出库明细!D1052,基础资料!$E$5:$E$104,0),900)*10000+ROW()))</f>
      </c>
      <c r="F2052">
        <f>IF(AND(出库明细!C2052&lt;&gt;"",出库明细!C2052=客户对账单!$B$4,ISNUMBER(出库明细!B2052),出库明细!B2052&gt;=客户对账单!$G$4,出库明细!B2052&lt;=客户对账单!$I$4),出库明细!B2052+ROW()/100000,"")</f>
      </c>
      <c r="H2052">
        <f>IF(AND(资金台帐!K555&lt;&gt;"",资金台帐!K555=供应商对账单!$B$4,资金台帐!P555="应付",ISNUMBER(资金台帐!B555),资金台帐!B555&gt;=供应商对账单!$G$4,资金台帐!B555&lt;=供应商对账单!$I$4),资金台帐!B555+ROW()/100000,"")</f>
      </c>
      <c r="N2052">
        <f>IF(AND(ISNUMBER(出库明细!G2052),ISNUMBER(出库明细!E2052),ISNUMBER(出库明细!F2052)),IF(ABS(出库明细!G2052-出库明细!E2052*出库明细!F2052)&gt;0.005,1,0),0)</f>
        <v>0</v>
      </c>
    </row>
    <row r="2053">
      <c r="A2053">
        <f>IF(OR(出库明细!C1053="",出库明细!D1053=""),"",IF(OR(COUNTIFS(存条明细!$C$4:$C$1003,出库明细!C1053,存条明细!$D$4:$D$1003,出库明细!D1053)&gt;0,COUNTIFS(出库明细!$C$4:C1053,出库明细!C1053,出库明细!$D$4:D1053,出库明细!D1053)&gt;1),"",IFERROR(MATCH(出库明细!C1053,总览汇总!$B$5:$B$304,0),900)*10000000+IFERROR(MATCH(出库明细!D1053,基础资料!$E$5:$E$104,0),900)*10000+ROW()))</f>
      </c>
      <c r="F2053">
        <f>IF(AND(出库明细!C2053&lt;&gt;"",出库明细!C2053=客户对账单!$B$4,ISNUMBER(出库明细!B2053),出库明细!B2053&gt;=客户对账单!$G$4,出库明细!B2053&lt;=客户对账单!$I$4),出库明细!B2053+ROW()/100000,"")</f>
      </c>
      <c r="H2053">
        <f>IF(AND(资金台帐!K556&lt;&gt;"",资金台帐!K556=供应商对账单!$B$4,资金台帐!P556="应付",ISNUMBER(资金台帐!B556),资金台帐!B556&gt;=供应商对账单!$G$4,资金台帐!B556&lt;=供应商对账单!$I$4),资金台帐!B556+ROW()/100000,"")</f>
      </c>
      <c r="N2053">
        <f>IF(AND(ISNUMBER(出库明细!G2053),ISNUMBER(出库明细!E2053),ISNUMBER(出库明细!F2053)),IF(ABS(出库明细!G2053-出库明细!E2053*出库明细!F2053)&gt;0.005,1,0),0)</f>
        <v>0</v>
      </c>
    </row>
    <row r="2054">
      <c r="A2054">
        <f>IF(OR(出库明细!C1054="",出库明细!D1054=""),"",IF(OR(COUNTIFS(存条明细!$C$4:$C$1003,出库明细!C1054,存条明细!$D$4:$D$1003,出库明细!D1054)&gt;0,COUNTIFS(出库明细!$C$4:C1054,出库明细!C1054,出库明细!$D$4:D1054,出库明细!D1054)&gt;1),"",IFERROR(MATCH(出库明细!C1054,总览汇总!$B$5:$B$304,0),900)*10000000+IFERROR(MATCH(出库明细!D1054,基础资料!$E$5:$E$104,0),900)*10000+ROW()))</f>
      </c>
      <c r="F2054">
        <f>IF(AND(出库明细!C2054&lt;&gt;"",出库明细!C2054=客户对账单!$B$4,ISNUMBER(出库明细!B2054),出库明细!B2054&gt;=客户对账单!$G$4,出库明细!B2054&lt;=客户对账单!$I$4),出库明细!B2054+ROW()/100000,"")</f>
      </c>
      <c r="H2054">
        <f>IF(AND(资金台帐!K557&lt;&gt;"",资金台帐!K557=供应商对账单!$B$4,资金台帐!P557="应付",ISNUMBER(资金台帐!B557),资金台帐!B557&gt;=供应商对账单!$G$4,资金台帐!B557&lt;=供应商对账单!$I$4),资金台帐!B557+ROW()/100000,"")</f>
      </c>
      <c r="N2054">
        <f>IF(AND(ISNUMBER(出库明细!G2054),ISNUMBER(出库明细!E2054),ISNUMBER(出库明细!F2054)),IF(ABS(出库明细!G2054-出库明细!E2054*出库明细!F2054)&gt;0.005,1,0),0)</f>
        <v>0</v>
      </c>
    </row>
    <row r="2055">
      <c r="A2055">
        <f>IF(OR(出库明细!C1055="",出库明细!D1055=""),"",IF(OR(COUNTIFS(存条明细!$C$4:$C$1003,出库明细!C1055,存条明细!$D$4:$D$1003,出库明细!D1055)&gt;0,COUNTIFS(出库明细!$C$4:C1055,出库明细!C1055,出库明细!$D$4:D1055,出库明细!D1055)&gt;1),"",IFERROR(MATCH(出库明细!C1055,总览汇总!$B$5:$B$304,0),900)*10000000+IFERROR(MATCH(出库明细!D1055,基础资料!$E$5:$E$104,0),900)*10000+ROW()))</f>
      </c>
      <c r="F2055">
        <f>IF(AND(出库明细!C2055&lt;&gt;"",出库明细!C2055=客户对账单!$B$4,ISNUMBER(出库明细!B2055),出库明细!B2055&gt;=客户对账单!$G$4,出库明细!B2055&lt;=客户对账单!$I$4),出库明细!B2055+ROW()/100000,"")</f>
      </c>
      <c r="H2055">
        <f>IF(AND(资金台帐!K558&lt;&gt;"",资金台帐!K558=供应商对账单!$B$4,资金台帐!P558="应付",ISNUMBER(资金台帐!B558),资金台帐!B558&gt;=供应商对账单!$G$4,资金台帐!B558&lt;=供应商对账单!$I$4),资金台帐!B558+ROW()/100000,"")</f>
      </c>
      <c r="N2055">
        <f>IF(AND(ISNUMBER(出库明细!G2055),ISNUMBER(出库明细!E2055),ISNUMBER(出库明细!F2055)),IF(ABS(出库明细!G2055-出库明细!E2055*出库明细!F2055)&gt;0.005,1,0),0)</f>
        <v>0</v>
      </c>
    </row>
    <row r="2056">
      <c r="A2056">
        <f>IF(OR(出库明细!C1056="",出库明细!D1056=""),"",IF(OR(COUNTIFS(存条明细!$C$4:$C$1003,出库明细!C1056,存条明细!$D$4:$D$1003,出库明细!D1056)&gt;0,COUNTIFS(出库明细!$C$4:C1056,出库明细!C1056,出库明细!$D$4:D1056,出库明细!D1056)&gt;1),"",IFERROR(MATCH(出库明细!C1056,总览汇总!$B$5:$B$304,0),900)*10000000+IFERROR(MATCH(出库明细!D1056,基础资料!$E$5:$E$104,0),900)*10000+ROW()))</f>
      </c>
      <c r="F2056">
        <f>IF(AND(出库明细!C2056&lt;&gt;"",出库明细!C2056=客户对账单!$B$4,ISNUMBER(出库明细!B2056),出库明细!B2056&gt;=客户对账单!$G$4,出库明细!B2056&lt;=客户对账单!$I$4),出库明细!B2056+ROW()/100000,"")</f>
      </c>
      <c r="H2056">
        <f>IF(AND(资金台帐!K559&lt;&gt;"",资金台帐!K559=供应商对账单!$B$4,资金台帐!P559="应付",ISNUMBER(资金台帐!B559),资金台帐!B559&gt;=供应商对账单!$G$4,资金台帐!B559&lt;=供应商对账单!$I$4),资金台帐!B559+ROW()/100000,"")</f>
      </c>
      <c r="N2056">
        <f>IF(AND(ISNUMBER(出库明细!G2056),ISNUMBER(出库明细!E2056),ISNUMBER(出库明细!F2056)),IF(ABS(出库明细!G2056-出库明细!E2056*出库明细!F2056)&gt;0.005,1,0),0)</f>
        <v>0</v>
      </c>
    </row>
    <row r="2057">
      <c r="A2057">
        <f>IF(OR(出库明细!C1057="",出库明细!D1057=""),"",IF(OR(COUNTIFS(存条明细!$C$4:$C$1003,出库明细!C1057,存条明细!$D$4:$D$1003,出库明细!D1057)&gt;0,COUNTIFS(出库明细!$C$4:C1057,出库明细!C1057,出库明细!$D$4:D1057,出库明细!D1057)&gt;1),"",IFERROR(MATCH(出库明细!C1057,总览汇总!$B$5:$B$304,0),900)*10000000+IFERROR(MATCH(出库明细!D1057,基础资料!$E$5:$E$104,0),900)*10000+ROW()))</f>
      </c>
      <c r="F2057">
        <f>IF(AND(出库明细!C2057&lt;&gt;"",出库明细!C2057=客户对账单!$B$4,ISNUMBER(出库明细!B2057),出库明细!B2057&gt;=客户对账单!$G$4,出库明细!B2057&lt;=客户对账单!$I$4),出库明细!B2057+ROW()/100000,"")</f>
      </c>
      <c r="H2057">
        <f>IF(AND(资金台帐!K560&lt;&gt;"",资金台帐!K560=供应商对账单!$B$4,资金台帐!P560="应付",ISNUMBER(资金台帐!B560),资金台帐!B560&gt;=供应商对账单!$G$4,资金台帐!B560&lt;=供应商对账单!$I$4),资金台帐!B560+ROW()/100000,"")</f>
      </c>
      <c r="N2057">
        <f>IF(AND(ISNUMBER(出库明细!G2057),ISNUMBER(出库明细!E2057),ISNUMBER(出库明细!F2057)),IF(ABS(出库明细!G2057-出库明细!E2057*出库明细!F2057)&gt;0.005,1,0),0)</f>
        <v>0</v>
      </c>
    </row>
    <row r="2058">
      <c r="A2058">
        <f>IF(OR(出库明细!C1058="",出库明细!D1058=""),"",IF(OR(COUNTIFS(存条明细!$C$4:$C$1003,出库明细!C1058,存条明细!$D$4:$D$1003,出库明细!D1058)&gt;0,COUNTIFS(出库明细!$C$4:C1058,出库明细!C1058,出库明细!$D$4:D1058,出库明细!D1058)&gt;1),"",IFERROR(MATCH(出库明细!C1058,总览汇总!$B$5:$B$304,0),900)*10000000+IFERROR(MATCH(出库明细!D1058,基础资料!$E$5:$E$104,0),900)*10000+ROW()))</f>
      </c>
      <c r="F2058">
        <f>IF(AND(出库明细!C2058&lt;&gt;"",出库明细!C2058=客户对账单!$B$4,ISNUMBER(出库明细!B2058),出库明细!B2058&gt;=客户对账单!$G$4,出库明细!B2058&lt;=客户对账单!$I$4),出库明细!B2058+ROW()/100000,"")</f>
      </c>
      <c r="H2058">
        <f>IF(AND(资金台帐!K561&lt;&gt;"",资金台帐!K561=供应商对账单!$B$4,资金台帐!P561="应付",ISNUMBER(资金台帐!B561),资金台帐!B561&gt;=供应商对账单!$G$4,资金台帐!B561&lt;=供应商对账单!$I$4),资金台帐!B561+ROW()/100000,"")</f>
      </c>
      <c r="N2058">
        <f>IF(AND(ISNUMBER(出库明细!G2058),ISNUMBER(出库明细!E2058),ISNUMBER(出库明细!F2058)),IF(ABS(出库明细!G2058-出库明细!E2058*出库明细!F2058)&gt;0.005,1,0),0)</f>
        <v>0</v>
      </c>
    </row>
    <row r="2059">
      <c r="A2059">
        <f>IF(OR(出库明细!C1059="",出库明细!D1059=""),"",IF(OR(COUNTIFS(存条明细!$C$4:$C$1003,出库明细!C1059,存条明细!$D$4:$D$1003,出库明细!D1059)&gt;0,COUNTIFS(出库明细!$C$4:C1059,出库明细!C1059,出库明细!$D$4:D1059,出库明细!D1059)&gt;1),"",IFERROR(MATCH(出库明细!C1059,总览汇总!$B$5:$B$304,0),900)*10000000+IFERROR(MATCH(出库明细!D1059,基础资料!$E$5:$E$104,0),900)*10000+ROW()))</f>
      </c>
      <c r="F2059">
        <f>IF(AND(出库明细!C2059&lt;&gt;"",出库明细!C2059=客户对账单!$B$4,ISNUMBER(出库明细!B2059),出库明细!B2059&gt;=客户对账单!$G$4,出库明细!B2059&lt;=客户对账单!$I$4),出库明细!B2059+ROW()/100000,"")</f>
      </c>
      <c r="H2059">
        <f>IF(AND(资金台帐!K562&lt;&gt;"",资金台帐!K562=供应商对账单!$B$4,资金台帐!P562="应付",ISNUMBER(资金台帐!B562),资金台帐!B562&gt;=供应商对账单!$G$4,资金台帐!B562&lt;=供应商对账单!$I$4),资金台帐!B562+ROW()/100000,"")</f>
      </c>
      <c r="N2059">
        <f>IF(AND(ISNUMBER(出库明细!G2059),ISNUMBER(出库明细!E2059),ISNUMBER(出库明细!F2059)),IF(ABS(出库明细!G2059-出库明细!E2059*出库明细!F2059)&gt;0.005,1,0),0)</f>
        <v>0</v>
      </c>
    </row>
    <row r="2060">
      <c r="A2060">
        <f>IF(OR(出库明细!C1060="",出库明细!D1060=""),"",IF(OR(COUNTIFS(存条明细!$C$4:$C$1003,出库明细!C1060,存条明细!$D$4:$D$1003,出库明细!D1060)&gt;0,COUNTIFS(出库明细!$C$4:C1060,出库明细!C1060,出库明细!$D$4:D1060,出库明细!D1060)&gt;1),"",IFERROR(MATCH(出库明细!C1060,总览汇总!$B$5:$B$304,0),900)*10000000+IFERROR(MATCH(出库明细!D1060,基础资料!$E$5:$E$104,0),900)*10000+ROW()))</f>
      </c>
      <c r="F2060">
        <f>IF(AND(出库明细!C2060&lt;&gt;"",出库明细!C2060=客户对账单!$B$4,ISNUMBER(出库明细!B2060),出库明细!B2060&gt;=客户对账单!$G$4,出库明细!B2060&lt;=客户对账单!$I$4),出库明细!B2060+ROW()/100000,"")</f>
      </c>
      <c r="H2060">
        <f>IF(AND(资金台帐!K563&lt;&gt;"",资金台帐!K563=供应商对账单!$B$4,资金台帐!P563="应付",ISNUMBER(资金台帐!B563),资金台帐!B563&gt;=供应商对账单!$G$4,资金台帐!B563&lt;=供应商对账单!$I$4),资金台帐!B563+ROW()/100000,"")</f>
      </c>
      <c r="N2060">
        <f>IF(AND(ISNUMBER(出库明细!G2060),ISNUMBER(出库明细!E2060),ISNUMBER(出库明细!F2060)),IF(ABS(出库明细!G2060-出库明细!E2060*出库明细!F2060)&gt;0.005,1,0),0)</f>
        <v>0</v>
      </c>
    </row>
    <row r="2061">
      <c r="A2061">
        <f>IF(OR(出库明细!C1061="",出库明细!D1061=""),"",IF(OR(COUNTIFS(存条明细!$C$4:$C$1003,出库明细!C1061,存条明细!$D$4:$D$1003,出库明细!D1061)&gt;0,COUNTIFS(出库明细!$C$4:C1061,出库明细!C1061,出库明细!$D$4:D1061,出库明细!D1061)&gt;1),"",IFERROR(MATCH(出库明细!C1061,总览汇总!$B$5:$B$304,0),900)*10000000+IFERROR(MATCH(出库明细!D1061,基础资料!$E$5:$E$104,0),900)*10000+ROW()))</f>
      </c>
      <c r="F2061">
        <f>IF(AND(出库明细!C2061&lt;&gt;"",出库明细!C2061=客户对账单!$B$4,ISNUMBER(出库明细!B2061),出库明细!B2061&gt;=客户对账单!$G$4,出库明细!B2061&lt;=客户对账单!$I$4),出库明细!B2061+ROW()/100000,"")</f>
      </c>
      <c r="H2061">
        <f>IF(AND(资金台帐!K564&lt;&gt;"",资金台帐!K564=供应商对账单!$B$4,资金台帐!P564="应付",ISNUMBER(资金台帐!B564),资金台帐!B564&gt;=供应商对账单!$G$4,资金台帐!B564&lt;=供应商对账单!$I$4),资金台帐!B564+ROW()/100000,"")</f>
      </c>
      <c r="N2061">
        <f>IF(AND(ISNUMBER(出库明细!G2061),ISNUMBER(出库明细!E2061),ISNUMBER(出库明细!F2061)),IF(ABS(出库明细!G2061-出库明细!E2061*出库明细!F2061)&gt;0.005,1,0),0)</f>
        <v>0</v>
      </c>
    </row>
    <row r="2062">
      <c r="A2062">
        <f>IF(OR(出库明细!C1062="",出库明细!D1062=""),"",IF(OR(COUNTIFS(存条明细!$C$4:$C$1003,出库明细!C1062,存条明细!$D$4:$D$1003,出库明细!D1062)&gt;0,COUNTIFS(出库明细!$C$4:C1062,出库明细!C1062,出库明细!$D$4:D1062,出库明细!D1062)&gt;1),"",IFERROR(MATCH(出库明细!C1062,总览汇总!$B$5:$B$304,0),900)*10000000+IFERROR(MATCH(出库明细!D1062,基础资料!$E$5:$E$104,0),900)*10000+ROW()))</f>
      </c>
      <c r="F2062">
        <f>IF(AND(出库明细!C2062&lt;&gt;"",出库明细!C2062=客户对账单!$B$4,ISNUMBER(出库明细!B2062),出库明细!B2062&gt;=客户对账单!$G$4,出库明细!B2062&lt;=客户对账单!$I$4),出库明细!B2062+ROW()/100000,"")</f>
      </c>
      <c r="H2062">
        <f>IF(AND(资金台帐!K565&lt;&gt;"",资金台帐!K565=供应商对账单!$B$4,资金台帐!P565="应付",ISNUMBER(资金台帐!B565),资金台帐!B565&gt;=供应商对账单!$G$4,资金台帐!B565&lt;=供应商对账单!$I$4),资金台帐!B565+ROW()/100000,"")</f>
      </c>
      <c r="N2062">
        <f>IF(AND(ISNUMBER(出库明细!G2062),ISNUMBER(出库明细!E2062),ISNUMBER(出库明细!F2062)),IF(ABS(出库明细!G2062-出库明细!E2062*出库明细!F2062)&gt;0.005,1,0),0)</f>
        <v>0</v>
      </c>
    </row>
    <row r="2063">
      <c r="A2063">
        <f>IF(OR(出库明细!C1063="",出库明细!D1063=""),"",IF(OR(COUNTIFS(存条明细!$C$4:$C$1003,出库明细!C1063,存条明细!$D$4:$D$1003,出库明细!D1063)&gt;0,COUNTIFS(出库明细!$C$4:C1063,出库明细!C1063,出库明细!$D$4:D1063,出库明细!D1063)&gt;1),"",IFERROR(MATCH(出库明细!C1063,总览汇总!$B$5:$B$304,0),900)*10000000+IFERROR(MATCH(出库明细!D1063,基础资料!$E$5:$E$104,0),900)*10000+ROW()))</f>
      </c>
      <c r="F2063">
        <f>IF(AND(出库明细!C2063&lt;&gt;"",出库明细!C2063=客户对账单!$B$4,ISNUMBER(出库明细!B2063),出库明细!B2063&gt;=客户对账单!$G$4,出库明细!B2063&lt;=客户对账单!$I$4),出库明细!B2063+ROW()/100000,"")</f>
      </c>
      <c r="H2063">
        <f>IF(AND(资金台帐!K566&lt;&gt;"",资金台帐!K566=供应商对账单!$B$4,资金台帐!P566="应付",ISNUMBER(资金台帐!B566),资金台帐!B566&gt;=供应商对账单!$G$4,资金台帐!B566&lt;=供应商对账单!$I$4),资金台帐!B566+ROW()/100000,"")</f>
      </c>
      <c r="N2063">
        <f>IF(AND(ISNUMBER(出库明细!G2063),ISNUMBER(出库明细!E2063),ISNUMBER(出库明细!F2063)),IF(ABS(出库明细!G2063-出库明细!E2063*出库明细!F2063)&gt;0.005,1,0),0)</f>
        <v>0</v>
      </c>
    </row>
    <row r="2064">
      <c r="A2064">
        <f>IF(OR(出库明细!C1064="",出库明细!D1064=""),"",IF(OR(COUNTIFS(存条明细!$C$4:$C$1003,出库明细!C1064,存条明细!$D$4:$D$1003,出库明细!D1064)&gt;0,COUNTIFS(出库明细!$C$4:C1064,出库明细!C1064,出库明细!$D$4:D1064,出库明细!D1064)&gt;1),"",IFERROR(MATCH(出库明细!C1064,总览汇总!$B$5:$B$304,0),900)*10000000+IFERROR(MATCH(出库明细!D1064,基础资料!$E$5:$E$104,0),900)*10000+ROW()))</f>
      </c>
      <c r="F2064">
        <f>IF(AND(出库明细!C2064&lt;&gt;"",出库明细!C2064=客户对账单!$B$4,ISNUMBER(出库明细!B2064),出库明细!B2064&gt;=客户对账单!$G$4,出库明细!B2064&lt;=客户对账单!$I$4),出库明细!B2064+ROW()/100000,"")</f>
      </c>
      <c r="H2064">
        <f>IF(AND(资金台帐!K567&lt;&gt;"",资金台帐!K567=供应商对账单!$B$4,资金台帐!P567="应付",ISNUMBER(资金台帐!B567),资金台帐!B567&gt;=供应商对账单!$G$4,资金台帐!B567&lt;=供应商对账单!$I$4),资金台帐!B567+ROW()/100000,"")</f>
      </c>
      <c r="N2064">
        <f>IF(AND(ISNUMBER(出库明细!G2064),ISNUMBER(出库明细!E2064),ISNUMBER(出库明细!F2064)),IF(ABS(出库明细!G2064-出库明细!E2064*出库明细!F2064)&gt;0.005,1,0),0)</f>
        <v>0</v>
      </c>
    </row>
    <row r="2065">
      <c r="A2065">
        <f>IF(OR(出库明细!C1065="",出库明细!D1065=""),"",IF(OR(COUNTIFS(存条明细!$C$4:$C$1003,出库明细!C1065,存条明细!$D$4:$D$1003,出库明细!D1065)&gt;0,COUNTIFS(出库明细!$C$4:C1065,出库明细!C1065,出库明细!$D$4:D1065,出库明细!D1065)&gt;1),"",IFERROR(MATCH(出库明细!C1065,总览汇总!$B$5:$B$304,0),900)*10000000+IFERROR(MATCH(出库明细!D1065,基础资料!$E$5:$E$104,0),900)*10000+ROW()))</f>
      </c>
      <c r="F2065">
        <f>IF(AND(出库明细!C2065&lt;&gt;"",出库明细!C2065=客户对账单!$B$4,ISNUMBER(出库明细!B2065),出库明细!B2065&gt;=客户对账单!$G$4,出库明细!B2065&lt;=客户对账单!$I$4),出库明细!B2065+ROW()/100000,"")</f>
      </c>
      <c r="H2065">
        <f>IF(AND(资金台帐!K568&lt;&gt;"",资金台帐!K568=供应商对账单!$B$4,资金台帐!P568="应付",ISNUMBER(资金台帐!B568),资金台帐!B568&gt;=供应商对账单!$G$4,资金台帐!B568&lt;=供应商对账单!$I$4),资金台帐!B568+ROW()/100000,"")</f>
      </c>
      <c r="N2065">
        <f>IF(AND(ISNUMBER(出库明细!G2065),ISNUMBER(出库明细!E2065),ISNUMBER(出库明细!F2065)),IF(ABS(出库明细!G2065-出库明细!E2065*出库明细!F2065)&gt;0.005,1,0),0)</f>
        <v>0</v>
      </c>
    </row>
    <row r="2066">
      <c r="A2066">
        <f>IF(OR(出库明细!C1066="",出库明细!D1066=""),"",IF(OR(COUNTIFS(存条明细!$C$4:$C$1003,出库明细!C1066,存条明细!$D$4:$D$1003,出库明细!D1066)&gt;0,COUNTIFS(出库明细!$C$4:C1066,出库明细!C1066,出库明细!$D$4:D1066,出库明细!D1066)&gt;1),"",IFERROR(MATCH(出库明细!C1066,总览汇总!$B$5:$B$304,0),900)*10000000+IFERROR(MATCH(出库明细!D1066,基础资料!$E$5:$E$104,0),900)*10000+ROW()))</f>
      </c>
      <c r="F2066">
        <f>IF(AND(出库明细!C2066&lt;&gt;"",出库明细!C2066=客户对账单!$B$4,ISNUMBER(出库明细!B2066),出库明细!B2066&gt;=客户对账单!$G$4,出库明细!B2066&lt;=客户对账单!$I$4),出库明细!B2066+ROW()/100000,"")</f>
      </c>
      <c r="H2066">
        <f>IF(AND(资金台帐!K569&lt;&gt;"",资金台帐!K569=供应商对账单!$B$4,资金台帐!P569="应付",ISNUMBER(资金台帐!B569),资金台帐!B569&gt;=供应商对账单!$G$4,资金台帐!B569&lt;=供应商对账单!$I$4),资金台帐!B569+ROW()/100000,"")</f>
      </c>
      <c r="N2066">
        <f>IF(AND(ISNUMBER(出库明细!G2066),ISNUMBER(出库明细!E2066),ISNUMBER(出库明细!F2066)),IF(ABS(出库明细!G2066-出库明细!E2066*出库明细!F2066)&gt;0.005,1,0),0)</f>
        <v>0</v>
      </c>
    </row>
    <row r="2067">
      <c r="A2067">
        <f>IF(OR(出库明细!C1067="",出库明细!D1067=""),"",IF(OR(COUNTIFS(存条明细!$C$4:$C$1003,出库明细!C1067,存条明细!$D$4:$D$1003,出库明细!D1067)&gt;0,COUNTIFS(出库明细!$C$4:C1067,出库明细!C1067,出库明细!$D$4:D1067,出库明细!D1067)&gt;1),"",IFERROR(MATCH(出库明细!C1067,总览汇总!$B$5:$B$304,0),900)*10000000+IFERROR(MATCH(出库明细!D1067,基础资料!$E$5:$E$104,0),900)*10000+ROW()))</f>
      </c>
      <c r="F2067">
        <f>IF(AND(出库明细!C2067&lt;&gt;"",出库明细!C2067=客户对账单!$B$4,ISNUMBER(出库明细!B2067),出库明细!B2067&gt;=客户对账单!$G$4,出库明细!B2067&lt;=客户对账单!$I$4),出库明细!B2067+ROW()/100000,"")</f>
      </c>
      <c r="H2067">
        <f>IF(AND(资金台帐!K570&lt;&gt;"",资金台帐!K570=供应商对账单!$B$4,资金台帐!P570="应付",ISNUMBER(资金台帐!B570),资金台帐!B570&gt;=供应商对账单!$G$4,资金台帐!B570&lt;=供应商对账单!$I$4),资金台帐!B570+ROW()/100000,"")</f>
      </c>
      <c r="N2067">
        <f>IF(AND(ISNUMBER(出库明细!G2067),ISNUMBER(出库明细!E2067),ISNUMBER(出库明细!F2067)),IF(ABS(出库明细!G2067-出库明细!E2067*出库明细!F2067)&gt;0.005,1,0),0)</f>
        <v>0</v>
      </c>
    </row>
    <row r="2068">
      <c r="A2068">
        <f>IF(OR(出库明细!C1068="",出库明细!D1068=""),"",IF(OR(COUNTIFS(存条明细!$C$4:$C$1003,出库明细!C1068,存条明细!$D$4:$D$1003,出库明细!D1068)&gt;0,COUNTIFS(出库明细!$C$4:C1068,出库明细!C1068,出库明细!$D$4:D1068,出库明细!D1068)&gt;1),"",IFERROR(MATCH(出库明细!C1068,总览汇总!$B$5:$B$304,0),900)*10000000+IFERROR(MATCH(出库明细!D1068,基础资料!$E$5:$E$104,0),900)*10000+ROW()))</f>
      </c>
      <c r="F2068">
        <f>IF(AND(出库明细!C2068&lt;&gt;"",出库明细!C2068=客户对账单!$B$4,ISNUMBER(出库明细!B2068),出库明细!B2068&gt;=客户对账单!$G$4,出库明细!B2068&lt;=客户对账单!$I$4),出库明细!B2068+ROW()/100000,"")</f>
      </c>
      <c r="H2068">
        <f>IF(AND(资金台帐!K571&lt;&gt;"",资金台帐!K571=供应商对账单!$B$4,资金台帐!P571="应付",ISNUMBER(资金台帐!B571),资金台帐!B571&gt;=供应商对账单!$G$4,资金台帐!B571&lt;=供应商对账单!$I$4),资金台帐!B571+ROW()/100000,"")</f>
      </c>
      <c r="N2068">
        <f>IF(AND(ISNUMBER(出库明细!G2068),ISNUMBER(出库明细!E2068),ISNUMBER(出库明细!F2068)),IF(ABS(出库明细!G2068-出库明细!E2068*出库明细!F2068)&gt;0.005,1,0),0)</f>
        <v>0</v>
      </c>
    </row>
    <row r="2069">
      <c r="A2069">
        <f>IF(OR(出库明细!C1069="",出库明细!D1069=""),"",IF(OR(COUNTIFS(存条明细!$C$4:$C$1003,出库明细!C1069,存条明细!$D$4:$D$1003,出库明细!D1069)&gt;0,COUNTIFS(出库明细!$C$4:C1069,出库明细!C1069,出库明细!$D$4:D1069,出库明细!D1069)&gt;1),"",IFERROR(MATCH(出库明细!C1069,总览汇总!$B$5:$B$304,0),900)*10000000+IFERROR(MATCH(出库明细!D1069,基础资料!$E$5:$E$104,0),900)*10000+ROW()))</f>
      </c>
      <c r="F2069">
        <f>IF(AND(出库明细!C2069&lt;&gt;"",出库明细!C2069=客户对账单!$B$4,ISNUMBER(出库明细!B2069),出库明细!B2069&gt;=客户对账单!$G$4,出库明细!B2069&lt;=客户对账单!$I$4),出库明细!B2069+ROW()/100000,"")</f>
      </c>
      <c r="H2069">
        <f>IF(AND(资金台帐!K572&lt;&gt;"",资金台帐!K572=供应商对账单!$B$4,资金台帐!P572="应付",ISNUMBER(资金台帐!B572),资金台帐!B572&gt;=供应商对账单!$G$4,资金台帐!B572&lt;=供应商对账单!$I$4),资金台帐!B572+ROW()/100000,"")</f>
      </c>
      <c r="N2069">
        <f>IF(AND(ISNUMBER(出库明细!G2069),ISNUMBER(出库明细!E2069),ISNUMBER(出库明细!F2069)),IF(ABS(出库明细!G2069-出库明细!E2069*出库明细!F2069)&gt;0.005,1,0),0)</f>
        <v>0</v>
      </c>
    </row>
    <row r="2070">
      <c r="A2070">
        <f>IF(OR(出库明细!C1070="",出库明细!D1070=""),"",IF(OR(COUNTIFS(存条明细!$C$4:$C$1003,出库明细!C1070,存条明细!$D$4:$D$1003,出库明细!D1070)&gt;0,COUNTIFS(出库明细!$C$4:C1070,出库明细!C1070,出库明细!$D$4:D1070,出库明细!D1070)&gt;1),"",IFERROR(MATCH(出库明细!C1070,总览汇总!$B$5:$B$304,0),900)*10000000+IFERROR(MATCH(出库明细!D1070,基础资料!$E$5:$E$104,0),900)*10000+ROW()))</f>
      </c>
      <c r="F2070">
        <f>IF(AND(出库明细!C2070&lt;&gt;"",出库明细!C2070=客户对账单!$B$4,ISNUMBER(出库明细!B2070),出库明细!B2070&gt;=客户对账单!$G$4,出库明细!B2070&lt;=客户对账单!$I$4),出库明细!B2070+ROW()/100000,"")</f>
      </c>
      <c r="H2070">
        <f>IF(AND(资金台帐!K573&lt;&gt;"",资金台帐!K573=供应商对账单!$B$4,资金台帐!P573="应付",ISNUMBER(资金台帐!B573),资金台帐!B573&gt;=供应商对账单!$G$4,资金台帐!B573&lt;=供应商对账单!$I$4),资金台帐!B573+ROW()/100000,"")</f>
      </c>
      <c r="N2070">
        <f>IF(AND(ISNUMBER(出库明细!G2070),ISNUMBER(出库明细!E2070),ISNUMBER(出库明细!F2070)),IF(ABS(出库明细!G2070-出库明细!E2070*出库明细!F2070)&gt;0.005,1,0),0)</f>
        <v>0</v>
      </c>
    </row>
    <row r="2071">
      <c r="A2071">
        <f>IF(OR(出库明细!C1071="",出库明细!D1071=""),"",IF(OR(COUNTIFS(存条明细!$C$4:$C$1003,出库明细!C1071,存条明细!$D$4:$D$1003,出库明细!D1071)&gt;0,COUNTIFS(出库明细!$C$4:C1071,出库明细!C1071,出库明细!$D$4:D1071,出库明细!D1071)&gt;1),"",IFERROR(MATCH(出库明细!C1071,总览汇总!$B$5:$B$304,0),900)*10000000+IFERROR(MATCH(出库明细!D1071,基础资料!$E$5:$E$104,0),900)*10000+ROW()))</f>
      </c>
      <c r="F2071">
        <f>IF(AND(出库明细!C2071&lt;&gt;"",出库明细!C2071=客户对账单!$B$4,ISNUMBER(出库明细!B2071),出库明细!B2071&gt;=客户对账单!$G$4,出库明细!B2071&lt;=客户对账单!$I$4),出库明细!B2071+ROW()/100000,"")</f>
      </c>
      <c r="H2071">
        <f>IF(AND(资金台帐!K574&lt;&gt;"",资金台帐!K574=供应商对账单!$B$4,资金台帐!P574="应付",ISNUMBER(资金台帐!B574),资金台帐!B574&gt;=供应商对账单!$G$4,资金台帐!B574&lt;=供应商对账单!$I$4),资金台帐!B574+ROW()/100000,"")</f>
      </c>
      <c r="N2071">
        <f>IF(AND(ISNUMBER(出库明细!G2071),ISNUMBER(出库明细!E2071),ISNUMBER(出库明细!F2071)),IF(ABS(出库明细!G2071-出库明细!E2071*出库明细!F2071)&gt;0.005,1,0),0)</f>
        <v>0</v>
      </c>
    </row>
    <row r="2072">
      <c r="A2072">
        <f>IF(OR(出库明细!C1072="",出库明细!D1072=""),"",IF(OR(COUNTIFS(存条明细!$C$4:$C$1003,出库明细!C1072,存条明细!$D$4:$D$1003,出库明细!D1072)&gt;0,COUNTIFS(出库明细!$C$4:C1072,出库明细!C1072,出库明细!$D$4:D1072,出库明细!D1072)&gt;1),"",IFERROR(MATCH(出库明细!C1072,总览汇总!$B$5:$B$304,0),900)*10000000+IFERROR(MATCH(出库明细!D1072,基础资料!$E$5:$E$104,0),900)*10000+ROW()))</f>
      </c>
      <c r="F2072">
        <f>IF(AND(出库明细!C2072&lt;&gt;"",出库明细!C2072=客户对账单!$B$4,ISNUMBER(出库明细!B2072),出库明细!B2072&gt;=客户对账单!$G$4,出库明细!B2072&lt;=客户对账单!$I$4),出库明细!B2072+ROW()/100000,"")</f>
      </c>
      <c r="H2072">
        <f>IF(AND(资金台帐!K575&lt;&gt;"",资金台帐!K575=供应商对账单!$B$4,资金台帐!P575="应付",ISNUMBER(资金台帐!B575),资金台帐!B575&gt;=供应商对账单!$G$4,资金台帐!B575&lt;=供应商对账单!$I$4),资金台帐!B575+ROW()/100000,"")</f>
      </c>
      <c r="N2072">
        <f>IF(AND(ISNUMBER(出库明细!G2072),ISNUMBER(出库明细!E2072),ISNUMBER(出库明细!F2072)),IF(ABS(出库明细!G2072-出库明细!E2072*出库明细!F2072)&gt;0.005,1,0),0)</f>
        <v>0</v>
      </c>
    </row>
    <row r="2073">
      <c r="A2073">
        <f>IF(OR(出库明细!C1073="",出库明细!D1073=""),"",IF(OR(COUNTIFS(存条明细!$C$4:$C$1003,出库明细!C1073,存条明细!$D$4:$D$1003,出库明细!D1073)&gt;0,COUNTIFS(出库明细!$C$4:C1073,出库明细!C1073,出库明细!$D$4:D1073,出库明细!D1073)&gt;1),"",IFERROR(MATCH(出库明细!C1073,总览汇总!$B$5:$B$304,0),900)*10000000+IFERROR(MATCH(出库明细!D1073,基础资料!$E$5:$E$104,0),900)*10000+ROW()))</f>
      </c>
      <c r="F2073">
        <f>IF(AND(出库明细!C2073&lt;&gt;"",出库明细!C2073=客户对账单!$B$4,ISNUMBER(出库明细!B2073),出库明细!B2073&gt;=客户对账单!$G$4,出库明细!B2073&lt;=客户对账单!$I$4),出库明细!B2073+ROW()/100000,"")</f>
      </c>
      <c r="H2073">
        <f>IF(AND(资金台帐!K576&lt;&gt;"",资金台帐!K576=供应商对账单!$B$4,资金台帐!P576="应付",ISNUMBER(资金台帐!B576),资金台帐!B576&gt;=供应商对账单!$G$4,资金台帐!B576&lt;=供应商对账单!$I$4),资金台帐!B576+ROW()/100000,"")</f>
      </c>
      <c r="N2073">
        <f>IF(AND(ISNUMBER(出库明细!G2073),ISNUMBER(出库明细!E2073),ISNUMBER(出库明细!F2073)),IF(ABS(出库明细!G2073-出库明细!E2073*出库明细!F2073)&gt;0.005,1,0),0)</f>
        <v>0</v>
      </c>
    </row>
    <row r="2074">
      <c r="A2074">
        <f>IF(OR(出库明细!C1074="",出库明细!D1074=""),"",IF(OR(COUNTIFS(存条明细!$C$4:$C$1003,出库明细!C1074,存条明细!$D$4:$D$1003,出库明细!D1074)&gt;0,COUNTIFS(出库明细!$C$4:C1074,出库明细!C1074,出库明细!$D$4:D1074,出库明细!D1074)&gt;1),"",IFERROR(MATCH(出库明细!C1074,总览汇总!$B$5:$B$304,0),900)*10000000+IFERROR(MATCH(出库明细!D1074,基础资料!$E$5:$E$104,0),900)*10000+ROW()))</f>
      </c>
      <c r="F2074">
        <f>IF(AND(出库明细!C2074&lt;&gt;"",出库明细!C2074=客户对账单!$B$4,ISNUMBER(出库明细!B2074),出库明细!B2074&gt;=客户对账单!$G$4,出库明细!B2074&lt;=客户对账单!$I$4),出库明细!B2074+ROW()/100000,"")</f>
      </c>
      <c r="H2074">
        <f>IF(AND(资金台帐!K577&lt;&gt;"",资金台帐!K577=供应商对账单!$B$4,资金台帐!P577="应付",ISNUMBER(资金台帐!B577),资金台帐!B577&gt;=供应商对账单!$G$4,资金台帐!B577&lt;=供应商对账单!$I$4),资金台帐!B577+ROW()/100000,"")</f>
      </c>
      <c r="N2074">
        <f>IF(AND(ISNUMBER(出库明细!G2074),ISNUMBER(出库明细!E2074),ISNUMBER(出库明细!F2074)),IF(ABS(出库明细!G2074-出库明细!E2074*出库明细!F2074)&gt;0.005,1,0),0)</f>
        <v>0</v>
      </c>
    </row>
    <row r="2075">
      <c r="A2075">
        <f>IF(OR(出库明细!C1075="",出库明细!D1075=""),"",IF(OR(COUNTIFS(存条明细!$C$4:$C$1003,出库明细!C1075,存条明细!$D$4:$D$1003,出库明细!D1075)&gt;0,COUNTIFS(出库明细!$C$4:C1075,出库明细!C1075,出库明细!$D$4:D1075,出库明细!D1075)&gt;1),"",IFERROR(MATCH(出库明细!C1075,总览汇总!$B$5:$B$304,0),900)*10000000+IFERROR(MATCH(出库明细!D1075,基础资料!$E$5:$E$104,0),900)*10000+ROW()))</f>
      </c>
      <c r="F2075">
        <f>IF(AND(出库明细!C2075&lt;&gt;"",出库明细!C2075=客户对账单!$B$4,ISNUMBER(出库明细!B2075),出库明细!B2075&gt;=客户对账单!$G$4,出库明细!B2075&lt;=客户对账单!$I$4),出库明细!B2075+ROW()/100000,"")</f>
      </c>
      <c r="H2075">
        <f>IF(AND(资金台帐!K578&lt;&gt;"",资金台帐!K578=供应商对账单!$B$4,资金台帐!P578="应付",ISNUMBER(资金台帐!B578),资金台帐!B578&gt;=供应商对账单!$G$4,资金台帐!B578&lt;=供应商对账单!$I$4),资金台帐!B578+ROW()/100000,"")</f>
      </c>
      <c r="N2075">
        <f>IF(AND(ISNUMBER(出库明细!G2075),ISNUMBER(出库明细!E2075),ISNUMBER(出库明细!F2075)),IF(ABS(出库明细!G2075-出库明细!E2075*出库明细!F2075)&gt;0.005,1,0),0)</f>
        <v>0</v>
      </c>
    </row>
    <row r="2076">
      <c r="A2076">
        <f>IF(OR(出库明细!C1076="",出库明细!D1076=""),"",IF(OR(COUNTIFS(存条明细!$C$4:$C$1003,出库明细!C1076,存条明细!$D$4:$D$1003,出库明细!D1076)&gt;0,COUNTIFS(出库明细!$C$4:C1076,出库明细!C1076,出库明细!$D$4:D1076,出库明细!D1076)&gt;1),"",IFERROR(MATCH(出库明细!C1076,总览汇总!$B$5:$B$304,0),900)*10000000+IFERROR(MATCH(出库明细!D1076,基础资料!$E$5:$E$104,0),900)*10000+ROW()))</f>
      </c>
      <c r="F2076">
        <f>IF(AND(出库明细!C2076&lt;&gt;"",出库明细!C2076=客户对账单!$B$4,ISNUMBER(出库明细!B2076),出库明细!B2076&gt;=客户对账单!$G$4,出库明细!B2076&lt;=客户对账单!$I$4),出库明细!B2076+ROW()/100000,"")</f>
      </c>
      <c r="H2076">
        <f>IF(AND(资金台帐!K579&lt;&gt;"",资金台帐!K579=供应商对账单!$B$4,资金台帐!P579="应付",ISNUMBER(资金台帐!B579),资金台帐!B579&gt;=供应商对账单!$G$4,资金台帐!B579&lt;=供应商对账单!$I$4),资金台帐!B579+ROW()/100000,"")</f>
      </c>
      <c r="N2076">
        <f>IF(AND(ISNUMBER(出库明细!G2076),ISNUMBER(出库明细!E2076),ISNUMBER(出库明细!F2076)),IF(ABS(出库明细!G2076-出库明细!E2076*出库明细!F2076)&gt;0.005,1,0),0)</f>
        <v>0</v>
      </c>
    </row>
    <row r="2077">
      <c r="A2077">
        <f>IF(OR(出库明细!C1077="",出库明细!D1077=""),"",IF(OR(COUNTIFS(存条明细!$C$4:$C$1003,出库明细!C1077,存条明细!$D$4:$D$1003,出库明细!D1077)&gt;0,COUNTIFS(出库明细!$C$4:C1077,出库明细!C1077,出库明细!$D$4:D1077,出库明细!D1077)&gt;1),"",IFERROR(MATCH(出库明细!C1077,总览汇总!$B$5:$B$304,0),900)*10000000+IFERROR(MATCH(出库明细!D1077,基础资料!$E$5:$E$104,0),900)*10000+ROW()))</f>
      </c>
      <c r="F2077">
        <f>IF(AND(出库明细!C2077&lt;&gt;"",出库明细!C2077=客户对账单!$B$4,ISNUMBER(出库明细!B2077),出库明细!B2077&gt;=客户对账单!$G$4,出库明细!B2077&lt;=客户对账单!$I$4),出库明细!B2077+ROW()/100000,"")</f>
      </c>
      <c r="H2077">
        <f>IF(AND(资金台帐!K580&lt;&gt;"",资金台帐!K580=供应商对账单!$B$4,资金台帐!P580="应付",ISNUMBER(资金台帐!B580),资金台帐!B580&gt;=供应商对账单!$G$4,资金台帐!B580&lt;=供应商对账单!$I$4),资金台帐!B580+ROW()/100000,"")</f>
      </c>
      <c r="N2077">
        <f>IF(AND(ISNUMBER(出库明细!G2077),ISNUMBER(出库明细!E2077),ISNUMBER(出库明细!F2077)),IF(ABS(出库明细!G2077-出库明细!E2077*出库明细!F2077)&gt;0.005,1,0),0)</f>
        <v>0</v>
      </c>
    </row>
    <row r="2078">
      <c r="A2078">
        <f>IF(OR(出库明细!C1078="",出库明细!D1078=""),"",IF(OR(COUNTIFS(存条明细!$C$4:$C$1003,出库明细!C1078,存条明细!$D$4:$D$1003,出库明细!D1078)&gt;0,COUNTIFS(出库明细!$C$4:C1078,出库明细!C1078,出库明细!$D$4:D1078,出库明细!D1078)&gt;1),"",IFERROR(MATCH(出库明细!C1078,总览汇总!$B$5:$B$304,0),900)*10000000+IFERROR(MATCH(出库明细!D1078,基础资料!$E$5:$E$104,0),900)*10000+ROW()))</f>
      </c>
      <c r="F2078">
        <f>IF(AND(出库明细!C2078&lt;&gt;"",出库明细!C2078=客户对账单!$B$4,ISNUMBER(出库明细!B2078),出库明细!B2078&gt;=客户对账单!$G$4,出库明细!B2078&lt;=客户对账单!$I$4),出库明细!B2078+ROW()/100000,"")</f>
      </c>
      <c r="H2078">
        <f>IF(AND(资金台帐!K581&lt;&gt;"",资金台帐!K581=供应商对账单!$B$4,资金台帐!P581="应付",ISNUMBER(资金台帐!B581),资金台帐!B581&gt;=供应商对账单!$G$4,资金台帐!B581&lt;=供应商对账单!$I$4),资金台帐!B581+ROW()/100000,"")</f>
      </c>
      <c r="N2078">
        <f>IF(AND(ISNUMBER(出库明细!G2078),ISNUMBER(出库明细!E2078),ISNUMBER(出库明细!F2078)),IF(ABS(出库明细!G2078-出库明细!E2078*出库明细!F2078)&gt;0.005,1,0),0)</f>
        <v>0</v>
      </c>
    </row>
    <row r="2079">
      <c r="A2079">
        <f>IF(OR(出库明细!C1079="",出库明细!D1079=""),"",IF(OR(COUNTIFS(存条明细!$C$4:$C$1003,出库明细!C1079,存条明细!$D$4:$D$1003,出库明细!D1079)&gt;0,COUNTIFS(出库明细!$C$4:C1079,出库明细!C1079,出库明细!$D$4:D1079,出库明细!D1079)&gt;1),"",IFERROR(MATCH(出库明细!C1079,总览汇总!$B$5:$B$304,0),900)*10000000+IFERROR(MATCH(出库明细!D1079,基础资料!$E$5:$E$104,0),900)*10000+ROW()))</f>
      </c>
      <c r="F2079">
        <f>IF(AND(出库明细!C2079&lt;&gt;"",出库明细!C2079=客户对账单!$B$4,ISNUMBER(出库明细!B2079),出库明细!B2079&gt;=客户对账单!$G$4,出库明细!B2079&lt;=客户对账单!$I$4),出库明细!B2079+ROW()/100000,"")</f>
      </c>
      <c r="H2079">
        <f>IF(AND(资金台帐!K582&lt;&gt;"",资金台帐!K582=供应商对账单!$B$4,资金台帐!P582="应付",ISNUMBER(资金台帐!B582),资金台帐!B582&gt;=供应商对账单!$G$4,资金台帐!B582&lt;=供应商对账单!$I$4),资金台帐!B582+ROW()/100000,"")</f>
      </c>
      <c r="N2079">
        <f>IF(AND(ISNUMBER(出库明细!G2079),ISNUMBER(出库明细!E2079),ISNUMBER(出库明细!F2079)),IF(ABS(出库明细!G2079-出库明细!E2079*出库明细!F2079)&gt;0.005,1,0),0)</f>
        <v>0</v>
      </c>
    </row>
    <row r="2080">
      <c r="A2080">
        <f>IF(OR(出库明细!C1080="",出库明细!D1080=""),"",IF(OR(COUNTIFS(存条明细!$C$4:$C$1003,出库明细!C1080,存条明细!$D$4:$D$1003,出库明细!D1080)&gt;0,COUNTIFS(出库明细!$C$4:C1080,出库明细!C1080,出库明细!$D$4:D1080,出库明细!D1080)&gt;1),"",IFERROR(MATCH(出库明细!C1080,总览汇总!$B$5:$B$304,0),900)*10000000+IFERROR(MATCH(出库明细!D1080,基础资料!$E$5:$E$104,0),900)*10000+ROW()))</f>
      </c>
      <c r="F2080">
        <f>IF(AND(出库明细!C2080&lt;&gt;"",出库明细!C2080=客户对账单!$B$4,ISNUMBER(出库明细!B2080),出库明细!B2080&gt;=客户对账单!$G$4,出库明细!B2080&lt;=客户对账单!$I$4),出库明细!B2080+ROW()/100000,"")</f>
      </c>
      <c r="H2080">
        <f>IF(AND(资金台帐!K583&lt;&gt;"",资金台帐!K583=供应商对账单!$B$4,资金台帐!P583="应付",ISNUMBER(资金台帐!B583),资金台帐!B583&gt;=供应商对账单!$G$4,资金台帐!B583&lt;=供应商对账单!$I$4),资金台帐!B583+ROW()/100000,"")</f>
      </c>
      <c r="N2080">
        <f>IF(AND(ISNUMBER(出库明细!G2080),ISNUMBER(出库明细!E2080),ISNUMBER(出库明细!F2080)),IF(ABS(出库明细!G2080-出库明细!E2080*出库明细!F2080)&gt;0.005,1,0),0)</f>
        <v>0</v>
      </c>
    </row>
    <row r="2081">
      <c r="A2081">
        <f>IF(OR(出库明细!C1081="",出库明细!D1081=""),"",IF(OR(COUNTIFS(存条明细!$C$4:$C$1003,出库明细!C1081,存条明细!$D$4:$D$1003,出库明细!D1081)&gt;0,COUNTIFS(出库明细!$C$4:C1081,出库明细!C1081,出库明细!$D$4:D1081,出库明细!D1081)&gt;1),"",IFERROR(MATCH(出库明细!C1081,总览汇总!$B$5:$B$304,0),900)*10000000+IFERROR(MATCH(出库明细!D1081,基础资料!$E$5:$E$104,0),900)*10000+ROW()))</f>
      </c>
      <c r="F2081">
        <f>IF(AND(出库明细!C2081&lt;&gt;"",出库明细!C2081=客户对账单!$B$4,ISNUMBER(出库明细!B2081),出库明细!B2081&gt;=客户对账单!$G$4,出库明细!B2081&lt;=客户对账单!$I$4),出库明细!B2081+ROW()/100000,"")</f>
      </c>
      <c r="H2081">
        <f>IF(AND(资金台帐!K584&lt;&gt;"",资金台帐!K584=供应商对账单!$B$4,资金台帐!P584="应付",ISNUMBER(资金台帐!B584),资金台帐!B584&gt;=供应商对账单!$G$4,资金台帐!B584&lt;=供应商对账单!$I$4),资金台帐!B584+ROW()/100000,"")</f>
      </c>
      <c r="N2081">
        <f>IF(AND(ISNUMBER(出库明细!G2081),ISNUMBER(出库明细!E2081),ISNUMBER(出库明细!F2081)),IF(ABS(出库明细!G2081-出库明细!E2081*出库明细!F2081)&gt;0.005,1,0),0)</f>
        <v>0</v>
      </c>
    </row>
    <row r="2082">
      <c r="A2082">
        <f>IF(OR(出库明细!C1082="",出库明细!D1082=""),"",IF(OR(COUNTIFS(存条明细!$C$4:$C$1003,出库明细!C1082,存条明细!$D$4:$D$1003,出库明细!D1082)&gt;0,COUNTIFS(出库明细!$C$4:C1082,出库明细!C1082,出库明细!$D$4:D1082,出库明细!D1082)&gt;1),"",IFERROR(MATCH(出库明细!C1082,总览汇总!$B$5:$B$304,0),900)*10000000+IFERROR(MATCH(出库明细!D1082,基础资料!$E$5:$E$104,0),900)*10000+ROW()))</f>
      </c>
      <c r="F2082">
        <f>IF(AND(出库明细!C2082&lt;&gt;"",出库明细!C2082=客户对账单!$B$4,ISNUMBER(出库明细!B2082),出库明细!B2082&gt;=客户对账单!$G$4,出库明细!B2082&lt;=客户对账单!$I$4),出库明细!B2082+ROW()/100000,"")</f>
      </c>
      <c r="H2082">
        <f>IF(AND(资金台帐!K585&lt;&gt;"",资金台帐!K585=供应商对账单!$B$4,资金台帐!P585="应付",ISNUMBER(资金台帐!B585),资金台帐!B585&gt;=供应商对账单!$G$4,资金台帐!B585&lt;=供应商对账单!$I$4),资金台帐!B585+ROW()/100000,"")</f>
      </c>
      <c r="N2082">
        <f>IF(AND(ISNUMBER(出库明细!G2082),ISNUMBER(出库明细!E2082),ISNUMBER(出库明细!F2082)),IF(ABS(出库明细!G2082-出库明细!E2082*出库明细!F2082)&gt;0.005,1,0),0)</f>
        <v>0</v>
      </c>
    </row>
    <row r="2083">
      <c r="A2083">
        <f>IF(OR(出库明细!C1083="",出库明细!D1083=""),"",IF(OR(COUNTIFS(存条明细!$C$4:$C$1003,出库明细!C1083,存条明细!$D$4:$D$1003,出库明细!D1083)&gt;0,COUNTIFS(出库明细!$C$4:C1083,出库明细!C1083,出库明细!$D$4:D1083,出库明细!D1083)&gt;1),"",IFERROR(MATCH(出库明细!C1083,总览汇总!$B$5:$B$304,0),900)*10000000+IFERROR(MATCH(出库明细!D1083,基础资料!$E$5:$E$104,0),900)*10000+ROW()))</f>
      </c>
      <c r="F2083">
        <f>IF(AND(出库明细!C2083&lt;&gt;"",出库明细!C2083=客户对账单!$B$4,ISNUMBER(出库明细!B2083),出库明细!B2083&gt;=客户对账单!$G$4,出库明细!B2083&lt;=客户对账单!$I$4),出库明细!B2083+ROW()/100000,"")</f>
      </c>
      <c r="H2083">
        <f>IF(AND(资金台帐!K586&lt;&gt;"",资金台帐!K586=供应商对账单!$B$4,资金台帐!P586="应付",ISNUMBER(资金台帐!B586),资金台帐!B586&gt;=供应商对账单!$G$4,资金台帐!B586&lt;=供应商对账单!$I$4),资金台帐!B586+ROW()/100000,"")</f>
      </c>
      <c r="N2083">
        <f>IF(AND(ISNUMBER(出库明细!G2083),ISNUMBER(出库明细!E2083),ISNUMBER(出库明细!F2083)),IF(ABS(出库明细!G2083-出库明细!E2083*出库明细!F2083)&gt;0.005,1,0),0)</f>
        <v>0</v>
      </c>
    </row>
    <row r="2084">
      <c r="A2084">
        <f>IF(OR(出库明细!C1084="",出库明细!D1084=""),"",IF(OR(COUNTIFS(存条明细!$C$4:$C$1003,出库明细!C1084,存条明细!$D$4:$D$1003,出库明细!D1084)&gt;0,COUNTIFS(出库明细!$C$4:C1084,出库明细!C1084,出库明细!$D$4:D1084,出库明细!D1084)&gt;1),"",IFERROR(MATCH(出库明细!C1084,总览汇总!$B$5:$B$304,0),900)*10000000+IFERROR(MATCH(出库明细!D1084,基础资料!$E$5:$E$104,0),900)*10000+ROW()))</f>
      </c>
      <c r="F2084">
        <f>IF(AND(出库明细!C2084&lt;&gt;"",出库明细!C2084=客户对账单!$B$4,ISNUMBER(出库明细!B2084),出库明细!B2084&gt;=客户对账单!$G$4,出库明细!B2084&lt;=客户对账单!$I$4),出库明细!B2084+ROW()/100000,"")</f>
      </c>
      <c r="H2084">
        <f>IF(AND(资金台帐!K587&lt;&gt;"",资金台帐!K587=供应商对账单!$B$4,资金台帐!P587="应付",ISNUMBER(资金台帐!B587),资金台帐!B587&gt;=供应商对账单!$G$4,资金台帐!B587&lt;=供应商对账单!$I$4),资金台帐!B587+ROW()/100000,"")</f>
      </c>
      <c r="N2084">
        <f>IF(AND(ISNUMBER(出库明细!G2084),ISNUMBER(出库明细!E2084),ISNUMBER(出库明细!F2084)),IF(ABS(出库明细!G2084-出库明细!E2084*出库明细!F2084)&gt;0.005,1,0),0)</f>
        <v>0</v>
      </c>
    </row>
    <row r="2085">
      <c r="A2085">
        <f>IF(OR(出库明细!C1085="",出库明细!D1085=""),"",IF(OR(COUNTIFS(存条明细!$C$4:$C$1003,出库明细!C1085,存条明细!$D$4:$D$1003,出库明细!D1085)&gt;0,COUNTIFS(出库明细!$C$4:C1085,出库明细!C1085,出库明细!$D$4:D1085,出库明细!D1085)&gt;1),"",IFERROR(MATCH(出库明细!C1085,总览汇总!$B$5:$B$304,0),900)*10000000+IFERROR(MATCH(出库明细!D1085,基础资料!$E$5:$E$104,0),900)*10000+ROW()))</f>
      </c>
      <c r="F2085">
        <f>IF(AND(出库明细!C2085&lt;&gt;"",出库明细!C2085=客户对账单!$B$4,ISNUMBER(出库明细!B2085),出库明细!B2085&gt;=客户对账单!$G$4,出库明细!B2085&lt;=客户对账单!$I$4),出库明细!B2085+ROW()/100000,"")</f>
      </c>
      <c r="H2085">
        <f>IF(AND(资金台帐!K588&lt;&gt;"",资金台帐!K588=供应商对账单!$B$4,资金台帐!P588="应付",ISNUMBER(资金台帐!B588),资金台帐!B588&gt;=供应商对账单!$G$4,资金台帐!B588&lt;=供应商对账单!$I$4),资金台帐!B588+ROW()/100000,"")</f>
      </c>
      <c r="N2085">
        <f>IF(AND(ISNUMBER(出库明细!G2085),ISNUMBER(出库明细!E2085),ISNUMBER(出库明细!F2085)),IF(ABS(出库明细!G2085-出库明细!E2085*出库明细!F2085)&gt;0.005,1,0),0)</f>
        <v>0</v>
      </c>
    </row>
    <row r="2086">
      <c r="A2086">
        <f>IF(OR(出库明细!C1086="",出库明细!D1086=""),"",IF(OR(COUNTIFS(存条明细!$C$4:$C$1003,出库明细!C1086,存条明细!$D$4:$D$1003,出库明细!D1086)&gt;0,COUNTIFS(出库明细!$C$4:C1086,出库明细!C1086,出库明细!$D$4:D1086,出库明细!D1086)&gt;1),"",IFERROR(MATCH(出库明细!C1086,总览汇总!$B$5:$B$304,0),900)*10000000+IFERROR(MATCH(出库明细!D1086,基础资料!$E$5:$E$104,0),900)*10000+ROW()))</f>
      </c>
      <c r="F2086">
        <f>IF(AND(出库明细!C2086&lt;&gt;"",出库明细!C2086=客户对账单!$B$4,ISNUMBER(出库明细!B2086),出库明细!B2086&gt;=客户对账单!$G$4,出库明细!B2086&lt;=客户对账单!$I$4),出库明细!B2086+ROW()/100000,"")</f>
      </c>
      <c r="H2086">
        <f>IF(AND(资金台帐!K589&lt;&gt;"",资金台帐!K589=供应商对账单!$B$4,资金台帐!P589="应付",ISNUMBER(资金台帐!B589),资金台帐!B589&gt;=供应商对账单!$G$4,资金台帐!B589&lt;=供应商对账单!$I$4),资金台帐!B589+ROW()/100000,"")</f>
      </c>
      <c r="N2086">
        <f>IF(AND(ISNUMBER(出库明细!G2086),ISNUMBER(出库明细!E2086),ISNUMBER(出库明细!F2086)),IF(ABS(出库明细!G2086-出库明细!E2086*出库明细!F2086)&gt;0.005,1,0),0)</f>
        <v>0</v>
      </c>
    </row>
    <row r="2087">
      <c r="A2087">
        <f>IF(OR(出库明细!C1087="",出库明细!D1087=""),"",IF(OR(COUNTIFS(存条明细!$C$4:$C$1003,出库明细!C1087,存条明细!$D$4:$D$1003,出库明细!D1087)&gt;0,COUNTIFS(出库明细!$C$4:C1087,出库明细!C1087,出库明细!$D$4:D1087,出库明细!D1087)&gt;1),"",IFERROR(MATCH(出库明细!C1087,总览汇总!$B$5:$B$304,0),900)*10000000+IFERROR(MATCH(出库明细!D1087,基础资料!$E$5:$E$104,0),900)*10000+ROW()))</f>
      </c>
      <c r="F2087">
        <f>IF(AND(出库明细!C2087&lt;&gt;"",出库明细!C2087=客户对账单!$B$4,ISNUMBER(出库明细!B2087),出库明细!B2087&gt;=客户对账单!$G$4,出库明细!B2087&lt;=客户对账单!$I$4),出库明细!B2087+ROW()/100000,"")</f>
      </c>
      <c r="H2087">
        <f>IF(AND(资金台帐!K590&lt;&gt;"",资金台帐!K590=供应商对账单!$B$4,资金台帐!P590="应付",ISNUMBER(资金台帐!B590),资金台帐!B590&gt;=供应商对账单!$G$4,资金台帐!B590&lt;=供应商对账单!$I$4),资金台帐!B590+ROW()/100000,"")</f>
      </c>
      <c r="N2087">
        <f>IF(AND(ISNUMBER(出库明细!G2087),ISNUMBER(出库明细!E2087),ISNUMBER(出库明细!F2087)),IF(ABS(出库明细!G2087-出库明细!E2087*出库明细!F2087)&gt;0.005,1,0),0)</f>
        <v>0</v>
      </c>
    </row>
    <row r="2088">
      <c r="A2088">
        <f>IF(OR(出库明细!C1088="",出库明细!D1088=""),"",IF(OR(COUNTIFS(存条明细!$C$4:$C$1003,出库明细!C1088,存条明细!$D$4:$D$1003,出库明细!D1088)&gt;0,COUNTIFS(出库明细!$C$4:C1088,出库明细!C1088,出库明细!$D$4:D1088,出库明细!D1088)&gt;1),"",IFERROR(MATCH(出库明细!C1088,总览汇总!$B$5:$B$304,0),900)*10000000+IFERROR(MATCH(出库明细!D1088,基础资料!$E$5:$E$104,0),900)*10000+ROW()))</f>
      </c>
      <c r="F2088">
        <f>IF(AND(出库明细!C2088&lt;&gt;"",出库明细!C2088=客户对账单!$B$4,ISNUMBER(出库明细!B2088),出库明细!B2088&gt;=客户对账单!$G$4,出库明细!B2088&lt;=客户对账单!$I$4),出库明细!B2088+ROW()/100000,"")</f>
      </c>
      <c r="H2088">
        <f>IF(AND(资金台帐!K591&lt;&gt;"",资金台帐!K591=供应商对账单!$B$4,资金台帐!P591="应付",ISNUMBER(资金台帐!B591),资金台帐!B591&gt;=供应商对账单!$G$4,资金台帐!B591&lt;=供应商对账单!$I$4),资金台帐!B591+ROW()/100000,"")</f>
      </c>
      <c r="N2088">
        <f>IF(AND(ISNUMBER(出库明细!G2088),ISNUMBER(出库明细!E2088),ISNUMBER(出库明细!F2088)),IF(ABS(出库明细!G2088-出库明细!E2088*出库明细!F2088)&gt;0.005,1,0),0)</f>
        <v>0</v>
      </c>
    </row>
    <row r="2089">
      <c r="A2089">
        <f>IF(OR(出库明细!C1089="",出库明细!D1089=""),"",IF(OR(COUNTIFS(存条明细!$C$4:$C$1003,出库明细!C1089,存条明细!$D$4:$D$1003,出库明细!D1089)&gt;0,COUNTIFS(出库明细!$C$4:C1089,出库明细!C1089,出库明细!$D$4:D1089,出库明细!D1089)&gt;1),"",IFERROR(MATCH(出库明细!C1089,总览汇总!$B$5:$B$304,0),900)*10000000+IFERROR(MATCH(出库明细!D1089,基础资料!$E$5:$E$104,0),900)*10000+ROW()))</f>
      </c>
      <c r="F2089">
        <f>IF(AND(出库明细!C2089&lt;&gt;"",出库明细!C2089=客户对账单!$B$4,ISNUMBER(出库明细!B2089),出库明细!B2089&gt;=客户对账单!$G$4,出库明细!B2089&lt;=客户对账单!$I$4),出库明细!B2089+ROW()/100000,"")</f>
      </c>
      <c r="H2089">
        <f>IF(AND(资金台帐!K592&lt;&gt;"",资金台帐!K592=供应商对账单!$B$4,资金台帐!P592="应付",ISNUMBER(资金台帐!B592),资金台帐!B592&gt;=供应商对账单!$G$4,资金台帐!B592&lt;=供应商对账单!$I$4),资金台帐!B592+ROW()/100000,"")</f>
      </c>
      <c r="N2089">
        <f>IF(AND(ISNUMBER(出库明细!G2089),ISNUMBER(出库明细!E2089),ISNUMBER(出库明细!F2089)),IF(ABS(出库明细!G2089-出库明细!E2089*出库明细!F2089)&gt;0.005,1,0),0)</f>
        <v>0</v>
      </c>
    </row>
    <row r="2090">
      <c r="A2090">
        <f>IF(OR(出库明细!C1090="",出库明细!D1090=""),"",IF(OR(COUNTIFS(存条明细!$C$4:$C$1003,出库明细!C1090,存条明细!$D$4:$D$1003,出库明细!D1090)&gt;0,COUNTIFS(出库明细!$C$4:C1090,出库明细!C1090,出库明细!$D$4:D1090,出库明细!D1090)&gt;1),"",IFERROR(MATCH(出库明细!C1090,总览汇总!$B$5:$B$304,0),900)*10000000+IFERROR(MATCH(出库明细!D1090,基础资料!$E$5:$E$104,0),900)*10000+ROW()))</f>
      </c>
      <c r="F2090">
        <f>IF(AND(出库明细!C2090&lt;&gt;"",出库明细!C2090=客户对账单!$B$4,ISNUMBER(出库明细!B2090),出库明细!B2090&gt;=客户对账单!$G$4,出库明细!B2090&lt;=客户对账单!$I$4),出库明细!B2090+ROW()/100000,"")</f>
      </c>
      <c r="H2090">
        <f>IF(AND(资金台帐!K593&lt;&gt;"",资金台帐!K593=供应商对账单!$B$4,资金台帐!P593="应付",ISNUMBER(资金台帐!B593),资金台帐!B593&gt;=供应商对账单!$G$4,资金台帐!B593&lt;=供应商对账单!$I$4),资金台帐!B593+ROW()/100000,"")</f>
      </c>
      <c r="N2090">
        <f>IF(AND(ISNUMBER(出库明细!G2090),ISNUMBER(出库明细!E2090),ISNUMBER(出库明细!F2090)),IF(ABS(出库明细!G2090-出库明细!E2090*出库明细!F2090)&gt;0.005,1,0),0)</f>
        <v>0</v>
      </c>
    </row>
    <row r="2091">
      <c r="A2091">
        <f>IF(OR(出库明细!C1091="",出库明细!D1091=""),"",IF(OR(COUNTIFS(存条明细!$C$4:$C$1003,出库明细!C1091,存条明细!$D$4:$D$1003,出库明细!D1091)&gt;0,COUNTIFS(出库明细!$C$4:C1091,出库明细!C1091,出库明细!$D$4:D1091,出库明细!D1091)&gt;1),"",IFERROR(MATCH(出库明细!C1091,总览汇总!$B$5:$B$304,0),900)*10000000+IFERROR(MATCH(出库明细!D1091,基础资料!$E$5:$E$104,0),900)*10000+ROW()))</f>
      </c>
      <c r="F2091">
        <f>IF(AND(出库明细!C2091&lt;&gt;"",出库明细!C2091=客户对账单!$B$4,ISNUMBER(出库明细!B2091),出库明细!B2091&gt;=客户对账单!$G$4,出库明细!B2091&lt;=客户对账单!$I$4),出库明细!B2091+ROW()/100000,"")</f>
      </c>
      <c r="H2091">
        <f>IF(AND(资金台帐!K594&lt;&gt;"",资金台帐!K594=供应商对账单!$B$4,资金台帐!P594="应付",ISNUMBER(资金台帐!B594),资金台帐!B594&gt;=供应商对账单!$G$4,资金台帐!B594&lt;=供应商对账单!$I$4),资金台帐!B594+ROW()/100000,"")</f>
      </c>
      <c r="N2091">
        <f>IF(AND(ISNUMBER(出库明细!G2091),ISNUMBER(出库明细!E2091),ISNUMBER(出库明细!F2091)),IF(ABS(出库明细!G2091-出库明细!E2091*出库明细!F2091)&gt;0.005,1,0),0)</f>
        <v>0</v>
      </c>
    </row>
    <row r="2092">
      <c r="A2092">
        <f>IF(OR(出库明细!C1092="",出库明细!D1092=""),"",IF(OR(COUNTIFS(存条明细!$C$4:$C$1003,出库明细!C1092,存条明细!$D$4:$D$1003,出库明细!D1092)&gt;0,COUNTIFS(出库明细!$C$4:C1092,出库明细!C1092,出库明细!$D$4:D1092,出库明细!D1092)&gt;1),"",IFERROR(MATCH(出库明细!C1092,总览汇总!$B$5:$B$304,0),900)*10000000+IFERROR(MATCH(出库明细!D1092,基础资料!$E$5:$E$104,0),900)*10000+ROW()))</f>
      </c>
      <c r="F2092">
        <f>IF(AND(出库明细!C2092&lt;&gt;"",出库明细!C2092=客户对账单!$B$4,ISNUMBER(出库明细!B2092),出库明细!B2092&gt;=客户对账单!$G$4,出库明细!B2092&lt;=客户对账单!$I$4),出库明细!B2092+ROW()/100000,"")</f>
      </c>
      <c r="H2092">
        <f>IF(AND(资金台帐!K595&lt;&gt;"",资金台帐!K595=供应商对账单!$B$4,资金台帐!P595="应付",ISNUMBER(资金台帐!B595),资金台帐!B595&gt;=供应商对账单!$G$4,资金台帐!B595&lt;=供应商对账单!$I$4),资金台帐!B595+ROW()/100000,"")</f>
      </c>
      <c r="N2092">
        <f>IF(AND(ISNUMBER(出库明细!G2092),ISNUMBER(出库明细!E2092),ISNUMBER(出库明细!F2092)),IF(ABS(出库明细!G2092-出库明细!E2092*出库明细!F2092)&gt;0.005,1,0),0)</f>
        <v>0</v>
      </c>
    </row>
    <row r="2093">
      <c r="A2093">
        <f>IF(OR(出库明细!C1093="",出库明细!D1093=""),"",IF(OR(COUNTIFS(存条明细!$C$4:$C$1003,出库明细!C1093,存条明细!$D$4:$D$1003,出库明细!D1093)&gt;0,COUNTIFS(出库明细!$C$4:C1093,出库明细!C1093,出库明细!$D$4:D1093,出库明细!D1093)&gt;1),"",IFERROR(MATCH(出库明细!C1093,总览汇总!$B$5:$B$304,0),900)*10000000+IFERROR(MATCH(出库明细!D1093,基础资料!$E$5:$E$104,0),900)*10000+ROW()))</f>
      </c>
      <c r="F2093">
        <f>IF(AND(出库明细!C2093&lt;&gt;"",出库明细!C2093=客户对账单!$B$4,ISNUMBER(出库明细!B2093),出库明细!B2093&gt;=客户对账单!$G$4,出库明细!B2093&lt;=客户对账单!$I$4),出库明细!B2093+ROW()/100000,"")</f>
      </c>
      <c r="H2093">
        <f>IF(AND(资金台帐!K596&lt;&gt;"",资金台帐!K596=供应商对账单!$B$4,资金台帐!P596="应付",ISNUMBER(资金台帐!B596),资金台帐!B596&gt;=供应商对账单!$G$4,资金台帐!B596&lt;=供应商对账单!$I$4),资金台帐!B596+ROW()/100000,"")</f>
      </c>
      <c r="N2093">
        <f>IF(AND(ISNUMBER(出库明细!G2093),ISNUMBER(出库明细!E2093),ISNUMBER(出库明细!F2093)),IF(ABS(出库明细!G2093-出库明细!E2093*出库明细!F2093)&gt;0.005,1,0),0)</f>
        <v>0</v>
      </c>
    </row>
    <row r="2094">
      <c r="A2094">
        <f>IF(OR(出库明细!C1094="",出库明细!D1094=""),"",IF(OR(COUNTIFS(存条明细!$C$4:$C$1003,出库明细!C1094,存条明细!$D$4:$D$1003,出库明细!D1094)&gt;0,COUNTIFS(出库明细!$C$4:C1094,出库明细!C1094,出库明细!$D$4:D1094,出库明细!D1094)&gt;1),"",IFERROR(MATCH(出库明细!C1094,总览汇总!$B$5:$B$304,0),900)*10000000+IFERROR(MATCH(出库明细!D1094,基础资料!$E$5:$E$104,0),900)*10000+ROW()))</f>
      </c>
      <c r="F2094">
        <f>IF(AND(出库明细!C2094&lt;&gt;"",出库明细!C2094=客户对账单!$B$4,ISNUMBER(出库明细!B2094),出库明细!B2094&gt;=客户对账单!$G$4,出库明细!B2094&lt;=客户对账单!$I$4),出库明细!B2094+ROW()/100000,"")</f>
      </c>
      <c r="H2094">
        <f>IF(AND(资金台帐!K597&lt;&gt;"",资金台帐!K597=供应商对账单!$B$4,资金台帐!P597="应付",ISNUMBER(资金台帐!B597),资金台帐!B597&gt;=供应商对账单!$G$4,资金台帐!B597&lt;=供应商对账单!$I$4),资金台帐!B597+ROW()/100000,"")</f>
      </c>
      <c r="N2094">
        <f>IF(AND(ISNUMBER(出库明细!G2094),ISNUMBER(出库明细!E2094),ISNUMBER(出库明细!F2094)),IF(ABS(出库明细!G2094-出库明细!E2094*出库明细!F2094)&gt;0.005,1,0),0)</f>
        <v>0</v>
      </c>
    </row>
    <row r="2095">
      <c r="A2095">
        <f>IF(OR(出库明细!C1095="",出库明细!D1095=""),"",IF(OR(COUNTIFS(存条明细!$C$4:$C$1003,出库明细!C1095,存条明细!$D$4:$D$1003,出库明细!D1095)&gt;0,COUNTIFS(出库明细!$C$4:C1095,出库明细!C1095,出库明细!$D$4:D1095,出库明细!D1095)&gt;1),"",IFERROR(MATCH(出库明细!C1095,总览汇总!$B$5:$B$304,0),900)*10000000+IFERROR(MATCH(出库明细!D1095,基础资料!$E$5:$E$104,0),900)*10000+ROW()))</f>
      </c>
      <c r="F2095">
        <f>IF(AND(出库明细!C2095&lt;&gt;"",出库明细!C2095=客户对账单!$B$4,ISNUMBER(出库明细!B2095),出库明细!B2095&gt;=客户对账单!$G$4,出库明细!B2095&lt;=客户对账单!$I$4),出库明细!B2095+ROW()/100000,"")</f>
      </c>
      <c r="H2095">
        <f>IF(AND(资金台帐!K598&lt;&gt;"",资金台帐!K598=供应商对账单!$B$4,资金台帐!P598="应付",ISNUMBER(资金台帐!B598),资金台帐!B598&gt;=供应商对账单!$G$4,资金台帐!B598&lt;=供应商对账单!$I$4),资金台帐!B598+ROW()/100000,"")</f>
      </c>
      <c r="N2095">
        <f>IF(AND(ISNUMBER(出库明细!G2095),ISNUMBER(出库明细!E2095),ISNUMBER(出库明细!F2095)),IF(ABS(出库明细!G2095-出库明细!E2095*出库明细!F2095)&gt;0.005,1,0),0)</f>
        <v>0</v>
      </c>
    </row>
    <row r="2096">
      <c r="A2096">
        <f>IF(OR(出库明细!C1096="",出库明细!D1096=""),"",IF(OR(COUNTIFS(存条明细!$C$4:$C$1003,出库明细!C1096,存条明细!$D$4:$D$1003,出库明细!D1096)&gt;0,COUNTIFS(出库明细!$C$4:C1096,出库明细!C1096,出库明细!$D$4:D1096,出库明细!D1096)&gt;1),"",IFERROR(MATCH(出库明细!C1096,总览汇总!$B$5:$B$304,0),900)*10000000+IFERROR(MATCH(出库明细!D1096,基础资料!$E$5:$E$104,0),900)*10000+ROW()))</f>
      </c>
      <c r="F2096">
        <f>IF(AND(出库明细!C2096&lt;&gt;"",出库明细!C2096=客户对账单!$B$4,ISNUMBER(出库明细!B2096),出库明细!B2096&gt;=客户对账单!$G$4,出库明细!B2096&lt;=客户对账单!$I$4),出库明细!B2096+ROW()/100000,"")</f>
      </c>
      <c r="H2096">
        <f>IF(AND(资金台帐!K599&lt;&gt;"",资金台帐!K599=供应商对账单!$B$4,资金台帐!P599="应付",ISNUMBER(资金台帐!B599),资金台帐!B599&gt;=供应商对账单!$G$4,资金台帐!B599&lt;=供应商对账单!$I$4),资金台帐!B599+ROW()/100000,"")</f>
      </c>
      <c r="N2096">
        <f>IF(AND(ISNUMBER(出库明细!G2096),ISNUMBER(出库明细!E2096),ISNUMBER(出库明细!F2096)),IF(ABS(出库明细!G2096-出库明细!E2096*出库明细!F2096)&gt;0.005,1,0),0)</f>
        <v>0</v>
      </c>
    </row>
    <row r="2097">
      <c r="A2097">
        <f>IF(OR(出库明细!C1097="",出库明细!D1097=""),"",IF(OR(COUNTIFS(存条明细!$C$4:$C$1003,出库明细!C1097,存条明细!$D$4:$D$1003,出库明细!D1097)&gt;0,COUNTIFS(出库明细!$C$4:C1097,出库明细!C1097,出库明细!$D$4:D1097,出库明细!D1097)&gt;1),"",IFERROR(MATCH(出库明细!C1097,总览汇总!$B$5:$B$304,0),900)*10000000+IFERROR(MATCH(出库明细!D1097,基础资料!$E$5:$E$104,0),900)*10000+ROW()))</f>
      </c>
      <c r="F2097">
        <f>IF(AND(出库明细!C2097&lt;&gt;"",出库明细!C2097=客户对账单!$B$4,ISNUMBER(出库明细!B2097),出库明细!B2097&gt;=客户对账单!$G$4,出库明细!B2097&lt;=客户对账单!$I$4),出库明细!B2097+ROW()/100000,"")</f>
      </c>
      <c r="H2097">
        <f>IF(AND(资金台帐!K600&lt;&gt;"",资金台帐!K600=供应商对账单!$B$4,资金台帐!P600="应付",ISNUMBER(资金台帐!B600),资金台帐!B600&gt;=供应商对账单!$G$4,资金台帐!B600&lt;=供应商对账单!$I$4),资金台帐!B600+ROW()/100000,"")</f>
      </c>
      <c r="N2097">
        <f>IF(AND(ISNUMBER(出库明细!G2097),ISNUMBER(出库明细!E2097),ISNUMBER(出库明细!F2097)),IF(ABS(出库明细!G2097-出库明细!E2097*出库明细!F2097)&gt;0.005,1,0),0)</f>
        <v>0</v>
      </c>
    </row>
    <row r="2098">
      <c r="A2098">
        <f>IF(OR(出库明细!C1098="",出库明细!D1098=""),"",IF(OR(COUNTIFS(存条明细!$C$4:$C$1003,出库明细!C1098,存条明细!$D$4:$D$1003,出库明细!D1098)&gt;0,COUNTIFS(出库明细!$C$4:C1098,出库明细!C1098,出库明细!$D$4:D1098,出库明细!D1098)&gt;1),"",IFERROR(MATCH(出库明细!C1098,总览汇总!$B$5:$B$304,0),900)*10000000+IFERROR(MATCH(出库明细!D1098,基础资料!$E$5:$E$104,0),900)*10000+ROW()))</f>
      </c>
      <c r="F2098">
        <f>IF(AND(出库明细!C2098&lt;&gt;"",出库明细!C2098=客户对账单!$B$4,ISNUMBER(出库明细!B2098),出库明细!B2098&gt;=客户对账单!$G$4,出库明细!B2098&lt;=客户对账单!$I$4),出库明细!B2098+ROW()/100000,"")</f>
      </c>
      <c r="H2098">
        <f>IF(AND(资金台帐!K601&lt;&gt;"",资金台帐!K601=供应商对账单!$B$4,资金台帐!P601="应付",ISNUMBER(资金台帐!B601),资金台帐!B601&gt;=供应商对账单!$G$4,资金台帐!B601&lt;=供应商对账单!$I$4),资金台帐!B601+ROW()/100000,"")</f>
      </c>
      <c r="N2098">
        <f>IF(AND(ISNUMBER(出库明细!G2098),ISNUMBER(出库明细!E2098),ISNUMBER(出库明细!F2098)),IF(ABS(出库明细!G2098-出库明细!E2098*出库明细!F2098)&gt;0.005,1,0),0)</f>
        <v>0</v>
      </c>
    </row>
    <row r="2099">
      <c r="A2099">
        <f>IF(OR(出库明细!C1099="",出库明细!D1099=""),"",IF(OR(COUNTIFS(存条明细!$C$4:$C$1003,出库明细!C1099,存条明细!$D$4:$D$1003,出库明细!D1099)&gt;0,COUNTIFS(出库明细!$C$4:C1099,出库明细!C1099,出库明细!$D$4:D1099,出库明细!D1099)&gt;1),"",IFERROR(MATCH(出库明细!C1099,总览汇总!$B$5:$B$304,0),900)*10000000+IFERROR(MATCH(出库明细!D1099,基础资料!$E$5:$E$104,0),900)*10000+ROW()))</f>
      </c>
      <c r="F2099">
        <f>IF(AND(出库明细!C2099&lt;&gt;"",出库明细!C2099=客户对账单!$B$4,ISNUMBER(出库明细!B2099),出库明细!B2099&gt;=客户对账单!$G$4,出库明细!B2099&lt;=客户对账单!$I$4),出库明细!B2099+ROW()/100000,"")</f>
      </c>
      <c r="H2099">
        <f>IF(AND(资金台帐!K602&lt;&gt;"",资金台帐!K602=供应商对账单!$B$4,资金台帐!P602="应付",ISNUMBER(资金台帐!B602),资金台帐!B602&gt;=供应商对账单!$G$4,资金台帐!B602&lt;=供应商对账单!$I$4),资金台帐!B602+ROW()/100000,"")</f>
      </c>
      <c r="N2099">
        <f>IF(AND(ISNUMBER(出库明细!G2099),ISNUMBER(出库明细!E2099),ISNUMBER(出库明细!F2099)),IF(ABS(出库明细!G2099-出库明细!E2099*出库明细!F2099)&gt;0.005,1,0),0)</f>
        <v>0</v>
      </c>
    </row>
    <row r="2100">
      <c r="A2100">
        <f>IF(OR(出库明细!C1100="",出库明细!D1100=""),"",IF(OR(COUNTIFS(存条明细!$C$4:$C$1003,出库明细!C1100,存条明细!$D$4:$D$1003,出库明细!D1100)&gt;0,COUNTIFS(出库明细!$C$4:C1100,出库明细!C1100,出库明细!$D$4:D1100,出库明细!D1100)&gt;1),"",IFERROR(MATCH(出库明细!C1100,总览汇总!$B$5:$B$304,0),900)*10000000+IFERROR(MATCH(出库明细!D1100,基础资料!$E$5:$E$104,0),900)*10000+ROW()))</f>
      </c>
      <c r="F2100">
        <f>IF(AND(出库明细!C2100&lt;&gt;"",出库明细!C2100=客户对账单!$B$4,ISNUMBER(出库明细!B2100),出库明细!B2100&gt;=客户对账单!$G$4,出库明细!B2100&lt;=客户对账单!$I$4),出库明细!B2100+ROW()/100000,"")</f>
      </c>
      <c r="H2100">
        <f>IF(AND(资金台帐!K603&lt;&gt;"",资金台帐!K603=供应商对账单!$B$4,资金台帐!P603="应付",ISNUMBER(资金台帐!B603),资金台帐!B603&gt;=供应商对账单!$G$4,资金台帐!B603&lt;=供应商对账单!$I$4),资金台帐!B603+ROW()/100000,"")</f>
      </c>
      <c r="N2100">
        <f>IF(AND(ISNUMBER(出库明细!G2100),ISNUMBER(出库明细!E2100),ISNUMBER(出库明细!F2100)),IF(ABS(出库明细!G2100-出库明细!E2100*出库明细!F2100)&gt;0.005,1,0),0)</f>
        <v>0</v>
      </c>
    </row>
    <row r="2101">
      <c r="A2101">
        <f>IF(OR(出库明细!C1101="",出库明细!D1101=""),"",IF(OR(COUNTIFS(存条明细!$C$4:$C$1003,出库明细!C1101,存条明细!$D$4:$D$1003,出库明细!D1101)&gt;0,COUNTIFS(出库明细!$C$4:C1101,出库明细!C1101,出库明细!$D$4:D1101,出库明细!D1101)&gt;1),"",IFERROR(MATCH(出库明细!C1101,总览汇总!$B$5:$B$304,0),900)*10000000+IFERROR(MATCH(出库明细!D1101,基础资料!$E$5:$E$104,0),900)*10000+ROW()))</f>
      </c>
      <c r="F2101">
        <f>IF(AND(出库明细!C2101&lt;&gt;"",出库明细!C2101=客户对账单!$B$4,ISNUMBER(出库明细!B2101),出库明细!B2101&gt;=客户对账单!$G$4,出库明细!B2101&lt;=客户对账单!$I$4),出库明细!B2101+ROW()/100000,"")</f>
      </c>
      <c r="H2101">
        <f>IF(AND(资金台帐!K604&lt;&gt;"",资金台帐!K604=供应商对账单!$B$4,资金台帐!P604="应付",ISNUMBER(资金台帐!B604),资金台帐!B604&gt;=供应商对账单!$G$4,资金台帐!B604&lt;=供应商对账单!$I$4),资金台帐!B604+ROW()/100000,"")</f>
      </c>
      <c r="N2101">
        <f>IF(AND(ISNUMBER(出库明细!G2101),ISNUMBER(出库明细!E2101),ISNUMBER(出库明细!F2101)),IF(ABS(出库明细!G2101-出库明细!E2101*出库明细!F2101)&gt;0.005,1,0),0)</f>
        <v>0</v>
      </c>
    </row>
    <row r="2102">
      <c r="A2102">
        <f>IF(OR(出库明细!C1102="",出库明细!D1102=""),"",IF(OR(COUNTIFS(存条明细!$C$4:$C$1003,出库明细!C1102,存条明细!$D$4:$D$1003,出库明细!D1102)&gt;0,COUNTIFS(出库明细!$C$4:C1102,出库明细!C1102,出库明细!$D$4:D1102,出库明细!D1102)&gt;1),"",IFERROR(MATCH(出库明细!C1102,总览汇总!$B$5:$B$304,0),900)*10000000+IFERROR(MATCH(出库明细!D1102,基础资料!$E$5:$E$104,0),900)*10000+ROW()))</f>
      </c>
      <c r="F2102">
        <f>IF(AND(出库明细!C2102&lt;&gt;"",出库明细!C2102=客户对账单!$B$4,ISNUMBER(出库明细!B2102),出库明细!B2102&gt;=客户对账单!$G$4,出库明细!B2102&lt;=客户对账单!$I$4),出库明细!B2102+ROW()/100000,"")</f>
      </c>
      <c r="H2102">
        <f>IF(AND(资金台帐!K605&lt;&gt;"",资金台帐!K605=供应商对账单!$B$4,资金台帐!P605="应付",ISNUMBER(资金台帐!B605),资金台帐!B605&gt;=供应商对账单!$G$4,资金台帐!B605&lt;=供应商对账单!$I$4),资金台帐!B605+ROW()/100000,"")</f>
      </c>
      <c r="N2102">
        <f>IF(AND(ISNUMBER(出库明细!G2102),ISNUMBER(出库明细!E2102),ISNUMBER(出库明细!F2102)),IF(ABS(出库明细!G2102-出库明细!E2102*出库明细!F2102)&gt;0.005,1,0),0)</f>
        <v>0</v>
      </c>
    </row>
    <row r="2103">
      <c r="A2103">
        <f>IF(OR(出库明细!C1103="",出库明细!D1103=""),"",IF(OR(COUNTIFS(存条明细!$C$4:$C$1003,出库明细!C1103,存条明细!$D$4:$D$1003,出库明细!D1103)&gt;0,COUNTIFS(出库明细!$C$4:C1103,出库明细!C1103,出库明细!$D$4:D1103,出库明细!D1103)&gt;1),"",IFERROR(MATCH(出库明细!C1103,总览汇总!$B$5:$B$304,0),900)*10000000+IFERROR(MATCH(出库明细!D1103,基础资料!$E$5:$E$104,0),900)*10000+ROW()))</f>
      </c>
      <c r="F2103">
        <f>IF(AND(出库明细!C2103&lt;&gt;"",出库明细!C2103=客户对账单!$B$4,ISNUMBER(出库明细!B2103),出库明细!B2103&gt;=客户对账单!$G$4,出库明细!B2103&lt;=客户对账单!$I$4),出库明细!B2103+ROW()/100000,"")</f>
      </c>
      <c r="H2103">
        <f>IF(AND(资金台帐!K606&lt;&gt;"",资金台帐!K606=供应商对账单!$B$4,资金台帐!P606="应付",ISNUMBER(资金台帐!B606),资金台帐!B606&gt;=供应商对账单!$G$4,资金台帐!B606&lt;=供应商对账单!$I$4),资金台帐!B606+ROW()/100000,"")</f>
      </c>
      <c r="N2103">
        <f>IF(AND(ISNUMBER(出库明细!G2103),ISNUMBER(出库明细!E2103),ISNUMBER(出库明细!F2103)),IF(ABS(出库明细!G2103-出库明细!E2103*出库明细!F2103)&gt;0.005,1,0),0)</f>
        <v>0</v>
      </c>
    </row>
    <row r="2104">
      <c r="A2104">
        <f>IF(OR(出库明细!C1104="",出库明细!D1104=""),"",IF(OR(COUNTIFS(存条明细!$C$4:$C$1003,出库明细!C1104,存条明细!$D$4:$D$1003,出库明细!D1104)&gt;0,COUNTIFS(出库明细!$C$4:C1104,出库明细!C1104,出库明细!$D$4:D1104,出库明细!D1104)&gt;1),"",IFERROR(MATCH(出库明细!C1104,总览汇总!$B$5:$B$304,0),900)*10000000+IFERROR(MATCH(出库明细!D1104,基础资料!$E$5:$E$104,0),900)*10000+ROW()))</f>
      </c>
      <c r="F2104">
        <f>IF(AND(出库明细!C2104&lt;&gt;"",出库明细!C2104=客户对账单!$B$4,ISNUMBER(出库明细!B2104),出库明细!B2104&gt;=客户对账单!$G$4,出库明细!B2104&lt;=客户对账单!$I$4),出库明细!B2104+ROW()/100000,"")</f>
      </c>
      <c r="H2104">
        <f>IF(AND(资金台帐!K607&lt;&gt;"",资金台帐!K607=供应商对账单!$B$4,资金台帐!P607="应付",ISNUMBER(资金台帐!B607),资金台帐!B607&gt;=供应商对账单!$G$4,资金台帐!B607&lt;=供应商对账单!$I$4),资金台帐!B607+ROW()/100000,"")</f>
      </c>
      <c r="N2104">
        <f>IF(AND(ISNUMBER(出库明细!G2104),ISNUMBER(出库明细!E2104),ISNUMBER(出库明细!F2104)),IF(ABS(出库明细!G2104-出库明细!E2104*出库明细!F2104)&gt;0.005,1,0),0)</f>
        <v>0</v>
      </c>
    </row>
    <row r="2105">
      <c r="A2105">
        <f>IF(OR(出库明细!C1105="",出库明细!D1105=""),"",IF(OR(COUNTIFS(存条明细!$C$4:$C$1003,出库明细!C1105,存条明细!$D$4:$D$1003,出库明细!D1105)&gt;0,COUNTIFS(出库明细!$C$4:C1105,出库明细!C1105,出库明细!$D$4:D1105,出库明细!D1105)&gt;1),"",IFERROR(MATCH(出库明细!C1105,总览汇总!$B$5:$B$304,0),900)*10000000+IFERROR(MATCH(出库明细!D1105,基础资料!$E$5:$E$104,0),900)*10000+ROW()))</f>
      </c>
      <c r="F2105">
        <f>IF(AND(出库明细!C2105&lt;&gt;"",出库明细!C2105=客户对账单!$B$4,ISNUMBER(出库明细!B2105),出库明细!B2105&gt;=客户对账单!$G$4,出库明细!B2105&lt;=客户对账单!$I$4),出库明细!B2105+ROW()/100000,"")</f>
      </c>
      <c r="H2105">
        <f>IF(AND(资金台帐!K608&lt;&gt;"",资金台帐!K608=供应商对账单!$B$4,资金台帐!P608="应付",ISNUMBER(资金台帐!B608),资金台帐!B608&gt;=供应商对账单!$G$4,资金台帐!B608&lt;=供应商对账单!$I$4),资金台帐!B608+ROW()/100000,"")</f>
      </c>
      <c r="N2105">
        <f>IF(AND(ISNUMBER(出库明细!G2105),ISNUMBER(出库明细!E2105),ISNUMBER(出库明细!F2105)),IF(ABS(出库明细!G2105-出库明细!E2105*出库明细!F2105)&gt;0.005,1,0),0)</f>
        <v>0</v>
      </c>
    </row>
    <row r="2106">
      <c r="A2106">
        <f>IF(OR(出库明细!C1106="",出库明细!D1106=""),"",IF(OR(COUNTIFS(存条明细!$C$4:$C$1003,出库明细!C1106,存条明细!$D$4:$D$1003,出库明细!D1106)&gt;0,COUNTIFS(出库明细!$C$4:C1106,出库明细!C1106,出库明细!$D$4:D1106,出库明细!D1106)&gt;1),"",IFERROR(MATCH(出库明细!C1106,总览汇总!$B$5:$B$304,0),900)*10000000+IFERROR(MATCH(出库明细!D1106,基础资料!$E$5:$E$104,0),900)*10000+ROW()))</f>
      </c>
      <c r="F2106">
        <f>IF(AND(出库明细!C2106&lt;&gt;"",出库明细!C2106=客户对账单!$B$4,ISNUMBER(出库明细!B2106),出库明细!B2106&gt;=客户对账单!$G$4,出库明细!B2106&lt;=客户对账单!$I$4),出库明细!B2106+ROW()/100000,"")</f>
      </c>
      <c r="H2106">
        <f>IF(AND(资金台帐!K609&lt;&gt;"",资金台帐!K609=供应商对账单!$B$4,资金台帐!P609="应付",ISNUMBER(资金台帐!B609),资金台帐!B609&gt;=供应商对账单!$G$4,资金台帐!B609&lt;=供应商对账单!$I$4),资金台帐!B609+ROW()/100000,"")</f>
      </c>
      <c r="N2106">
        <f>IF(AND(ISNUMBER(出库明细!G2106),ISNUMBER(出库明细!E2106),ISNUMBER(出库明细!F2106)),IF(ABS(出库明细!G2106-出库明细!E2106*出库明细!F2106)&gt;0.005,1,0),0)</f>
        <v>0</v>
      </c>
    </row>
    <row r="2107">
      <c r="A2107">
        <f>IF(OR(出库明细!C1107="",出库明细!D1107=""),"",IF(OR(COUNTIFS(存条明细!$C$4:$C$1003,出库明细!C1107,存条明细!$D$4:$D$1003,出库明细!D1107)&gt;0,COUNTIFS(出库明细!$C$4:C1107,出库明细!C1107,出库明细!$D$4:D1107,出库明细!D1107)&gt;1),"",IFERROR(MATCH(出库明细!C1107,总览汇总!$B$5:$B$304,0),900)*10000000+IFERROR(MATCH(出库明细!D1107,基础资料!$E$5:$E$104,0),900)*10000+ROW()))</f>
      </c>
      <c r="F2107">
        <f>IF(AND(出库明细!C2107&lt;&gt;"",出库明细!C2107=客户对账单!$B$4,ISNUMBER(出库明细!B2107),出库明细!B2107&gt;=客户对账单!$G$4,出库明细!B2107&lt;=客户对账单!$I$4),出库明细!B2107+ROW()/100000,"")</f>
      </c>
      <c r="H2107">
        <f>IF(AND(资金台帐!K610&lt;&gt;"",资金台帐!K610=供应商对账单!$B$4,资金台帐!P610="应付",ISNUMBER(资金台帐!B610),资金台帐!B610&gt;=供应商对账单!$G$4,资金台帐!B610&lt;=供应商对账单!$I$4),资金台帐!B610+ROW()/100000,"")</f>
      </c>
      <c r="N2107">
        <f>IF(AND(ISNUMBER(出库明细!G2107),ISNUMBER(出库明细!E2107),ISNUMBER(出库明细!F2107)),IF(ABS(出库明细!G2107-出库明细!E2107*出库明细!F2107)&gt;0.005,1,0),0)</f>
        <v>0</v>
      </c>
    </row>
    <row r="2108">
      <c r="A2108">
        <f>IF(OR(出库明细!C1108="",出库明细!D1108=""),"",IF(OR(COUNTIFS(存条明细!$C$4:$C$1003,出库明细!C1108,存条明细!$D$4:$D$1003,出库明细!D1108)&gt;0,COUNTIFS(出库明细!$C$4:C1108,出库明细!C1108,出库明细!$D$4:D1108,出库明细!D1108)&gt;1),"",IFERROR(MATCH(出库明细!C1108,总览汇总!$B$5:$B$304,0),900)*10000000+IFERROR(MATCH(出库明细!D1108,基础资料!$E$5:$E$104,0),900)*10000+ROW()))</f>
      </c>
      <c r="F2108">
        <f>IF(AND(出库明细!C2108&lt;&gt;"",出库明细!C2108=客户对账单!$B$4,ISNUMBER(出库明细!B2108),出库明细!B2108&gt;=客户对账单!$G$4,出库明细!B2108&lt;=客户对账单!$I$4),出库明细!B2108+ROW()/100000,"")</f>
      </c>
      <c r="H2108">
        <f>IF(AND(资金台帐!K611&lt;&gt;"",资金台帐!K611=供应商对账单!$B$4,资金台帐!P611="应付",ISNUMBER(资金台帐!B611),资金台帐!B611&gt;=供应商对账单!$G$4,资金台帐!B611&lt;=供应商对账单!$I$4),资金台帐!B611+ROW()/100000,"")</f>
      </c>
      <c r="N2108">
        <f>IF(AND(ISNUMBER(出库明细!G2108),ISNUMBER(出库明细!E2108),ISNUMBER(出库明细!F2108)),IF(ABS(出库明细!G2108-出库明细!E2108*出库明细!F2108)&gt;0.005,1,0),0)</f>
        <v>0</v>
      </c>
    </row>
    <row r="2109">
      <c r="A2109">
        <f>IF(OR(出库明细!C1109="",出库明细!D1109=""),"",IF(OR(COUNTIFS(存条明细!$C$4:$C$1003,出库明细!C1109,存条明细!$D$4:$D$1003,出库明细!D1109)&gt;0,COUNTIFS(出库明细!$C$4:C1109,出库明细!C1109,出库明细!$D$4:D1109,出库明细!D1109)&gt;1),"",IFERROR(MATCH(出库明细!C1109,总览汇总!$B$5:$B$304,0),900)*10000000+IFERROR(MATCH(出库明细!D1109,基础资料!$E$5:$E$104,0),900)*10000+ROW()))</f>
      </c>
      <c r="F2109">
        <f>IF(AND(出库明细!C2109&lt;&gt;"",出库明细!C2109=客户对账单!$B$4,ISNUMBER(出库明细!B2109),出库明细!B2109&gt;=客户对账单!$G$4,出库明细!B2109&lt;=客户对账单!$I$4),出库明细!B2109+ROW()/100000,"")</f>
      </c>
      <c r="H2109">
        <f>IF(AND(资金台帐!K612&lt;&gt;"",资金台帐!K612=供应商对账单!$B$4,资金台帐!P612="应付",ISNUMBER(资金台帐!B612),资金台帐!B612&gt;=供应商对账单!$G$4,资金台帐!B612&lt;=供应商对账单!$I$4),资金台帐!B612+ROW()/100000,"")</f>
      </c>
      <c r="N2109">
        <f>IF(AND(ISNUMBER(出库明细!G2109),ISNUMBER(出库明细!E2109),ISNUMBER(出库明细!F2109)),IF(ABS(出库明细!G2109-出库明细!E2109*出库明细!F2109)&gt;0.005,1,0),0)</f>
        <v>0</v>
      </c>
    </row>
    <row r="2110">
      <c r="A2110">
        <f>IF(OR(出库明细!C1110="",出库明细!D1110=""),"",IF(OR(COUNTIFS(存条明细!$C$4:$C$1003,出库明细!C1110,存条明细!$D$4:$D$1003,出库明细!D1110)&gt;0,COUNTIFS(出库明细!$C$4:C1110,出库明细!C1110,出库明细!$D$4:D1110,出库明细!D1110)&gt;1),"",IFERROR(MATCH(出库明细!C1110,总览汇总!$B$5:$B$304,0),900)*10000000+IFERROR(MATCH(出库明细!D1110,基础资料!$E$5:$E$104,0),900)*10000+ROW()))</f>
      </c>
      <c r="F2110">
        <f>IF(AND(出库明细!C2110&lt;&gt;"",出库明细!C2110=客户对账单!$B$4,ISNUMBER(出库明细!B2110),出库明细!B2110&gt;=客户对账单!$G$4,出库明细!B2110&lt;=客户对账单!$I$4),出库明细!B2110+ROW()/100000,"")</f>
      </c>
      <c r="H2110">
        <f>IF(AND(资金台帐!K613&lt;&gt;"",资金台帐!K613=供应商对账单!$B$4,资金台帐!P613="应付",ISNUMBER(资金台帐!B613),资金台帐!B613&gt;=供应商对账单!$G$4,资金台帐!B613&lt;=供应商对账单!$I$4),资金台帐!B613+ROW()/100000,"")</f>
      </c>
      <c r="N2110">
        <f>IF(AND(ISNUMBER(出库明细!G2110),ISNUMBER(出库明细!E2110),ISNUMBER(出库明细!F2110)),IF(ABS(出库明细!G2110-出库明细!E2110*出库明细!F2110)&gt;0.005,1,0),0)</f>
        <v>0</v>
      </c>
    </row>
    <row r="2111">
      <c r="A2111">
        <f>IF(OR(出库明细!C1111="",出库明细!D1111=""),"",IF(OR(COUNTIFS(存条明细!$C$4:$C$1003,出库明细!C1111,存条明细!$D$4:$D$1003,出库明细!D1111)&gt;0,COUNTIFS(出库明细!$C$4:C1111,出库明细!C1111,出库明细!$D$4:D1111,出库明细!D1111)&gt;1),"",IFERROR(MATCH(出库明细!C1111,总览汇总!$B$5:$B$304,0),900)*10000000+IFERROR(MATCH(出库明细!D1111,基础资料!$E$5:$E$104,0),900)*10000+ROW()))</f>
      </c>
      <c r="F2111">
        <f>IF(AND(出库明细!C2111&lt;&gt;"",出库明细!C2111=客户对账单!$B$4,ISNUMBER(出库明细!B2111),出库明细!B2111&gt;=客户对账单!$G$4,出库明细!B2111&lt;=客户对账单!$I$4),出库明细!B2111+ROW()/100000,"")</f>
      </c>
      <c r="H2111">
        <f>IF(AND(资金台帐!K614&lt;&gt;"",资金台帐!K614=供应商对账单!$B$4,资金台帐!P614="应付",ISNUMBER(资金台帐!B614),资金台帐!B614&gt;=供应商对账单!$G$4,资金台帐!B614&lt;=供应商对账单!$I$4),资金台帐!B614+ROW()/100000,"")</f>
      </c>
      <c r="N2111">
        <f>IF(AND(ISNUMBER(出库明细!G2111),ISNUMBER(出库明细!E2111),ISNUMBER(出库明细!F2111)),IF(ABS(出库明细!G2111-出库明细!E2111*出库明细!F2111)&gt;0.005,1,0),0)</f>
        <v>0</v>
      </c>
    </row>
    <row r="2112">
      <c r="A2112">
        <f>IF(OR(出库明细!C1112="",出库明细!D1112=""),"",IF(OR(COUNTIFS(存条明细!$C$4:$C$1003,出库明细!C1112,存条明细!$D$4:$D$1003,出库明细!D1112)&gt;0,COUNTIFS(出库明细!$C$4:C1112,出库明细!C1112,出库明细!$D$4:D1112,出库明细!D1112)&gt;1),"",IFERROR(MATCH(出库明细!C1112,总览汇总!$B$5:$B$304,0),900)*10000000+IFERROR(MATCH(出库明细!D1112,基础资料!$E$5:$E$104,0),900)*10000+ROW()))</f>
      </c>
      <c r="F2112">
        <f>IF(AND(出库明细!C2112&lt;&gt;"",出库明细!C2112=客户对账单!$B$4,ISNUMBER(出库明细!B2112),出库明细!B2112&gt;=客户对账单!$G$4,出库明细!B2112&lt;=客户对账单!$I$4),出库明细!B2112+ROW()/100000,"")</f>
      </c>
      <c r="H2112">
        <f>IF(AND(资金台帐!K615&lt;&gt;"",资金台帐!K615=供应商对账单!$B$4,资金台帐!P615="应付",ISNUMBER(资金台帐!B615),资金台帐!B615&gt;=供应商对账单!$G$4,资金台帐!B615&lt;=供应商对账单!$I$4),资金台帐!B615+ROW()/100000,"")</f>
      </c>
      <c r="N2112">
        <f>IF(AND(ISNUMBER(出库明细!G2112),ISNUMBER(出库明细!E2112),ISNUMBER(出库明细!F2112)),IF(ABS(出库明细!G2112-出库明细!E2112*出库明细!F2112)&gt;0.005,1,0),0)</f>
        <v>0</v>
      </c>
    </row>
    <row r="2113">
      <c r="A2113">
        <f>IF(OR(出库明细!C1113="",出库明细!D1113=""),"",IF(OR(COUNTIFS(存条明细!$C$4:$C$1003,出库明细!C1113,存条明细!$D$4:$D$1003,出库明细!D1113)&gt;0,COUNTIFS(出库明细!$C$4:C1113,出库明细!C1113,出库明细!$D$4:D1113,出库明细!D1113)&gt;1),"",IFERROR(MATCH(出库明细!C1113,总览汇总!$B$5:$B$304,0),900)*10000000+IFERROR(MATCH(出库明细!D1113,基础资料!$E$5:$E$104,0),900)*10000+ROW()))</f>
      </c>
      <c r="F2113">
        <f>IF(AND(出库明细!C2113&lt;&gt;"",出库明细!C2113=客户对账单!$B$4,ISNUMBER(出库明细!B2113),出库明细!B2113&gt;=客户对账单!$G$4,出库明细!B2113&lt;=客户对账单!$I$4),出库明细!B2113+ROW()/100000,"")</f>
      </c>
      <c r="H2113">
        <f>IF(AND(资金台帐!K616&lt;&gt;"",资金台帐!K616=供应商对账单!$B$4,资金台帐!P616="应付",ISNUMBER(资金台帐!B616),资金台帐!B616&gt;=供应商对账单!$G$4,资金台帐!B616&lt;=供应商对账单!$I$4),资金台帐!B616+ROW()/100000,"")</f>
      </c>
      <c r="N2113">
        <f>IF(AND(ISNUMBER(出库明细!G2113),ISNUMBER(出库明细!E2113),ISNUMBER(出库明细!F2113)),IF(ABS(出库明细!G2113-出库明细!E2113*出库明细!F2113)&gt;0.005,1,0),0)</f>
        <v>0</v>
      </c>
    </row>
    <row r="2114">
      <c r="A2114">
        <f>IF(OR(出库明细!C1114="",出库明细!D1114=""),"",IF(OR(COUNTIFS(存条明细!$C$4:$C$1003,出库明细!C1114,存条明细!$D$4:$D$1003,出库明细!D1114)&gt;0,COUNTIFS(出库明细!$C$4:C1114,出库明细!C1114,出库明细!$D$4:D1114,出库明细!D1114)&gt;1),"",IFERROR(MATCH(出库明细!C1114,总览汇总!$B$5:$B$304,0),900)*10000000+IFERROR(MATCH(出库明细!D1114,基础资料!$E$5:$E$104,0),900)*10000+ROW()))</f>
      </c>
      <c r="F2114">
        <f>IF(AND(出库明细!C2114&lt;&gt;"",出库明细!C2114=客户对账单!$B$4,ISNUMBER(出库明细!B2114),出库明细!B2114&gt;=客户对账单!$G$4,出库明细!B2114&lt;=客户对账单!$I$4),出库明细!B2114+ROW()/100000,"")</f>
      </c>
      <c r="H2114">
        <f>IF(AND(资金台帐!K617&lt;&gt;"",资金台帐!K617=供应商对账单!$B$4,资金台帐!P617="应付",ISNUMBER(资金台帐!B617),资金台帐!B617&gt;=供应商对账单!$G$4,资金台帐!B617&lt;=供应商对账单!$I$4),资金台帐!B617+ROW()/100000,"")</f>
      </c>
      <c r="N2114">
        <f>IF(AND(ISNUMBER(出库明细!G2114),ISNUMBER(出库明细!E2114),ISNUMBER(出库明细!F2114)),IF(ABS(出库明细!G2114-出库明细!E2114*出库明细!F2114)&gt;0.005,1,0),0)</f>
        <v>0</v>
      </c>
    </row>
    <row r="2115">
      <c r="A2115">
        <f>IF(OR(出库明细!C1115="",出库明细!D1115=""),"",IF(OR(COUNTIFS(存条明细!$C$4:$C$1003,出库明细!C1115,存条明细!$D$4:$D$1003,出库明细!D1115)&gt;0,COUNTIFS(出库明细!$C$4:C1115,出库明细!C1115,出库明细!$D$4:D1115,出库明细!D1115)&gt;1),"",IFERROR(MATCH(出库明细!C1115,总览汇总!$B$5:$B$304,0),900)*10000000+IFERROR(MATCH(出库明细!D1115,基础资料!$E$5:$E$104,0),900)*10000+ROW()))</f>
      </c>
      <c r="F2115">
        <f>IF(AND(出库明细!C2115&lt;&gt;"",出库明细!C2115=客户对账单!$B$4,ISNUMBER(出库明细!B2115),出库明细!B2115&gt;=客户对账单!$G$4,出库明细!B2115&lt;=客户对账单!$I$4),出库明细!B2115+ROW()/100000,"")</f>
      </c>
      <c r="H2115">
        <f>IF(AND(资金台帐!K618&lt;&gt;"",资金台帐!K618=供应商对账单!$B$4,资金台帐!P618="应付",ISNUMBER(资金台帐!B618),资金台帐!B618&gt;=供应商对账单!$G$4,资金台帐!B618&lt;=供应商对账单!$I$4),资金台帐!B618+ROW()/100000,"")</f>
      </c>
      <c r="N2115">
        <f>IF(AND(ISNUMBER(出库明细!G2115),ISNUMBER(出库明细!E2115),ISNUMBER(出库明细!F2115)),IF(ABS(出库明细!G2115-出库明细!E2115*出库明细!F2115)&gt;0.005,1,0),0)</f>
        <v>0</v>
      </c>
    </row>
    <row r="2116">
      <c r="A2116">
        <f>IF(OR(出库明细!C1116="",出库明细!D1116=""),"",IF(OR(COUNTIFS(存条明细!$C$4:$C$1003,出库明细!C1116,存条明细!$D$4:$D$1003,出库明细!D1116)&gt;0,COUNTIFS(出库明细!$C$4:C1116,出库明细!C1116,出库明细!$D$4:D1116,出库明细!D1116)&gt;1),"",IFERROR(MATCH(出库明细!C1116,总览汇总!$B$5:$B$304,0),900)*10000000+IFERROR(MATCH(出库明细!D1116,基础资料!$E$5:$E$104,0),900)*10000+ROW()))</f>
      </c>
      <c r="F2116">
        <f>IF(AND(出库明细!C2116&lt;&gt;"",出库明细!C2116=客户对账单!$B$4,ISNUMBER(出库明细!B2116),出库明细!B2116&gt;=客户对账单!$G$4,出库明细!B2116&lt;=客户对账单!$I$4),出库明细!B2116+ROW()/100000,"")</f>
      </c>
      <c r="H2116">
        <f>IF(AND(资金台帐!K619&lt;&gt;"",资金台帐!K619=供应商对账单!$B$4,资金台帐!P619="应付",ISNUMBER(资金台帐!B619),资金台帐!B619&gt;=供应商对账单!$G$4,资金台帐!B619&lt;=供应商对账单!$I$4),资金台帐!B619+ROW()/100000,"")</f>
      </c>
      <c r="N2116">
        <f>IF(AND(ISNUMBER(出库明细!G2116),ISNUMBER(出库明细!E2116),ISNUMBER(出库明细!F2116)),IF(ABS(出库明细!G2116-出库明细!E2116*出库明细!F2116)&gt;0.005,1,0),0)</f>
        <v>0</v>
      </c>
    </row>
    <row r="2117">
      <c r="A2117">
        <f>IF(OR(出库明细!C1117="",出库明细!D1117=""),"",IF(OR(COUNTIFS(存条明细!$C$4:$C$1003,出库明细!C1117,存条明细!$D$4:$D$1003,出库明细!D1117)&gt;0,COUNTIFS(出库明细!$C$4:C1117,出库明细!C1117,出库明细!$D$4:D1117,出库明细!D1117)&gt;1),"",IFERROR(MATCH(出库明细!C1117,总览汇总!$B$5:$B$304,0),900)*10000000+IFERROR(MATCH(出库明细!D1117,基础资料!$E$5:$E$104,0),900)*10000+ROW()))</f>
      </c>
      <c r="F2117">
        <f>IF(AND(出库明细!C2117&lt;&gt;"",出库明细!C2117=客户对账单!$B$4,ISNUMBER(出库明细!B2117),出库明细!B2117&gt;=客户对账单!$G$4,出库明细!B2117&lt;=客户对账单!$I$4),出库明细!B2117+ROW()/100000,"")</f>
      </c>
      <c r="H2117">
        <f>IF(AND(资金台帐!K620&lt;&gt;"",资金台帐!K620=供应商对账单!$B$4,资金台帐!P620="应付",ISNUMBER(资金台帐!B620),资金台帐!B620&gt;=供应商对账单!$G$4,资金台帐!B620&lt;=供应商对账单!$I$4),资金台帐!B620+ROW()/100000,"")</f>
      </c>
      <c r="N2117">
        <f>IF(AND(ISNUMBER(出库明细!G2117),ISNUMBER(出库明细!E2117),ISNUMBER(出库明细!F2117)),IF(ABS(出库明细!G2117-出库明细!E2117*出库明细!F2117)&gt;0.005,1,0),0)</f>
        <v>0</v>
      </c>
    </row>
    <row r="2118">
      <c r="A2118">
        <f>IF(OR(出库明细!C1118="",出库明细!D1118=""),"",IF(OR(COUNTIFS(存条明细!$C$4:$C$1003,出库明细!C1118,存条明细!$D$4:$D$1003,出库明细!D1118)&gt;0,COUNTIFS(出库明细!$C$4:C1118,出库明细!C1118,出库明细!$D$4:D1118,出库明细!D1118)&gt;1),"",IFERROR(MATCH(出库明细!C1118,总览汇总!$B$5:$B$304,0),900)*10000000+IFERROR(MATCH(出库明细!D1118,基础资料!$E$5:$E$104,0),900)*10000+ROW()))</f>
      </c>
      <c r="F2118">
        <f>IF(AND(出库明细!C2118&lt;&gt;"",出库明细!C2118=客户对账单!$B$4,ISNUMBER(出库明细!B2118),出库明细!B2118&gt;=客户对账单!$G$4,出库明细!B2118&lt;=客户对账单!$I$4),出库明细!B2118+ROW()/100000,"")</f>
      </c>
      <c r="H2118">
        <f>IF(AND(资金台帐!K621&lt;&gt;"",资金台帐!K621=供应商对账单!$B$4,资金台帐!P621="应付",ISNUMBER(资金台帐!B621),资金台帐!B621&gt;=供应商对账单!$G$4,资金台帐!B621&lt;=供应商对账单!$I$4),资金台帐!B621+ROW()/100000,"")</f>
      </c>
      <c r="N2118">
        <f>IF(AND(ISNUMBER(出库明细!G2118),ISNUMBER(出库明细!E2118),ISNUMBER(出库明细!F2118)),IF(ABS(出库明细!G2118-出库明细!E2118*出库明细!F2118)&gt;0.005,1,0),0)</f>
        <v>0</v>
      </c>
    </row>
    <row r="2119">
      <c r="A2119">
        <f>IF(OR(出库明细!C1119="",出库明细!D1119=""),"",IF(OR(COUNTIFS(存条明细!$C$4:$C$1003,出库明细!C1119,存条明细!$D$4:$D$1003,出库明细!D1119)&gt;0,COUNTIFS(出库明细!$C$4:C1119,出库明细!C1119,出库明细!$D$4:D1119,出库明细!D1119)&gt;1),"",IFERROR(MATCH(出库明细!C1119,总览汇总!$B$5:$B$304,0),900)*10000000+IFERROR(MATCH(出库明细!D1119,基础资料!$E$5:$E$104,0),900)*10000+ROW()))</f>
      </c>
      <c r="F2119">
        <f>IF(AND(出库明细!C2119&lt;&gt;"",出库明细!C2119=客户对账单!$B$4,ISNUMBER(出库明细!B2119),出库明细!B2119&gt;=客户对账单!$G$4,出库明细!B2119&lt;=客户对账单!$I$4),出库明细!B2119+ROW()/100000,"")</f>
      </c>
      <c r="H2119">
        <f>IF(AND(资金台帐!K622&lt;&gt;"",资金台帐!K622=供应商对账单!$B$4,资金台帐!P622="应付",ISNUMBER(资金台帐!B622),资金台帐!B622&gt;=供应商对账单!$G$4,资金台帐!B622&lt;=供应商对账单!$I$4),资金台帐!B622+ROW()/100000,"")</f>
      </c>
      <c r="N2119">
        <f>IF(AND(ISNUMBER(出库明细!G2119),ISNUMBER(出库明细!E2119),ISNUMBER(出库明细!F2119)),IF(ABS(出库明细!G2119-出库明细!E2119*出库明细!F2119)&gt;0.005,1,0),0)</f>
        <v>0</v>
      </c>
    </row>
    <row r="2120">
      <c r="A2120">
        <f>IF(OR(出库明细!C1120="",出库明细!D1120=""),"",IF(OR(COUNTIFS(存条明细!$C$4:$C$1003,出库明细!C1120,存条明细!$D$4:$D$1003,出库明细!D1120)&gt;0,COUNTIFS(出库明细!$C$4:C1120,出库明细!C1120,出库明细!$D$4:D1120,出库明细!D1120)&gt;1),"",IFERROR(MATCH(出库明细!C1120,总览汇总!$B$5:$B$304,0),900)*10000000+IFERROR(MATCH(出库明细!D1120,基础资料!$E$5:$E$104,0),900)*10000+ROW()))</f>
      </c>
      <c r="F2120">
        <f>IF(AND(出库明细!C2120&lt;&gt;"",出库明细!C2120=客户对账单!$B$4,ISNUMBER(出库明细!B2120),出库明细!B2120&gt;=客户对账单!$G$4,出库明细!B2120&lt;=客户对账单!$I$4),出库明细!B2120+ROW()/100000,"")</f>
      </c>
      <c r="H2120">
        <f>IF(AND(资金台帐!K623&lt;&gt;"",资金台帐!K623=供应商对账单!$B$4,资金台帐!P623="应付",ISNUMBER(资金台帐!B623),资金台帐!B623&gt;=供应商对账单!$G$4,资金台帐!B623&lt;=供应商对账单!$I$4),资金台帐!B623+ROW()/100000,"")</f>
      </c>
      <c r="N2120">
        <f>IF(AND(ISNUMBER(出库明细!G2120),ISNUMBER(出库明细!E2120),ISNUMBER(出库明细!F2120)),IF(ABS(出库明细!G2120-出库明细!E2120*出库明细!F2120)&gt;0.005,1,0),0)</f>
        <v>0</v>
      </c>
    </row>
    <row r="2121">
      <c r="A2121">
        <f>IF(OR(出库明细!C1121="",出库明细!D1121=""),"",IF(OR(COUNTIFS(存条明细!$C$4:$C$1003,出库明细!C1121,存条明细!$D$4:$D$1003,出库明细!D1121)&gt;0,COUNTIFS(出库明细!$C$4:C1121,出库明细!C1121,出库明细!$D$4:D1121,出库明细!D1121)&gt;1),"",IFERROR(MATCH(出库明细!C1121,总览汇总!$B$5:$B$304,0),900)*10000000+IFERROR(MATCH(出库明细!D1121,基础资料!$E$5:$E$104,0),900)*10000+ROW()))</f>
      </c>
      <c r="F2121">
        <f>IF(AND(出库明细!C2121&lt;&gt;"",出库明细!C2121=客户对账单!$B$4,ISNUMBER(出库明细!B2121),出库明细!B2121&gt;=客户对账单!$G$4,出库明细!B2121&lt;=客户对账单!$I$4),出库明细!B2121+ROW()/100000,"")</f>
      </c>
      <c r="H2121">
        <f>IF(AND(资金台帐!K624&lt;&gt;"",资金台帐!K624=供应商对账单!$B$4,资金台帐!P624="应付",ISNUMBER(资金台帐!B624),资金台帐!B624&gt;=供应商对账单!$G$4,资金台帐!B624&lt;=供应商对账单!$I$4),资金台帐!B624+ROW()/100000,"")</f>
      </c>
      <c r="N2121">
        <f>IF(AND(ISNUMBER(出库明细!G2121),ISNUMBER(出库明细!E2121),ISNUMBER(出库明细!F2121)),IF(ABS(出库明细!G2121-出库明细!E2121*出库明细!F2121)&gt;0.005,1,0),0)</f>
        <v>0</v>
      </c>
    </row>
    <row r="2122">
      <c r="A2122">
        <f>IF(OR(出库明细!C1122="",出库明细!D1122=""),"",IF(OR(COUNTIFS(存条明细!$C$4:$C$1003,出库明细!C1122,存条明细!$D$4:$D$1003,出库明细!D1122)&gt;0,COUNTIFS(出库明细!$C$4:C1122,出库明细!C1122,出库明细!$D$4:D1122,出库明细!D1122)&gt;1),"",IFERROR(MATCH(出库明细!C1122,总览汇总!$B$5:$B$304,0),900)*10000000+IFERROR(MATCH(出库明细!D1122,基础资料!$E$5:$E$104,0),900)*10000+ROW()))</f>
      </c>
      <c r="F2122">
        <f>IF(AND(出库明细!C2122&lt;&gt;"",出库明细!C2122=客户对账单!$B$4,ISNUMBER(出库明细!B2122),出库明细!B2122&gt;=客户对账单!$G$4,出库明细!B2122&lt;=客户对账单!$I$4),出库明细!B2122+ROW()/100000,"")</f>
      </c>
      <c r="H2122">
        <f>IF(AND(资金台帐!K625&lt;&gt;"",资金台帐!K625=供应商对账单!$B$4,资金台帐!P625="应付",ISNUMBER(资金台帐!B625),资金台帐!B625&gt;=供应商对账单!$G$4,资金台帐!B625&lt;=供应商对账单!$I$4),资金台帐!B625+ROW()/100000,"")</f>
      </c>
      <c r="N2122">
        <f>IF(AND(ISNUMBER(出库明细!G2122),ISNUMBER(出库明细!E2122),ISNUMBER(出库明细!F2122)),IF(ABS(出库明细!G2122-出库明细!E2122*出库明细!F2122)&gt;0.005,1,0),0)</f>
        <v>0</v>
      </c>
    </row>
    <row r="2123">
      <c r="A2123">
        <f>IF(OR(出库明细!C1123="",出库明细!D1123=""),"",IF(OR(COUNTIFS(存条明细!$C$4:$C$1003,出库明细!C1123,存条明细!$D$4:$D$1003,出库明细!D1123)&gt;0,COUNTIFS(出库明细!$C$4:C1123,出库明细!C1123,出库明细!$D$4:D1123,出库明细!D1123)&gt;1),"",IFERROR(MATCH(出库明细!C1123,总览汇总!$B$5:$B$304,0),900)*10000000+IFERROR(MATCH(出库明细!D1123,基础资料!$E$5:$E$104,0),900)*10000+ROW()))</f>
      </c>
      <c r="F2123">
        <f>IF(AND(出库明细!C2123&lt;&gt;"",出库明细!C2123=客户对账单!$B$4,ISNUMBER(出库明细!B2123),出库明细!B2123&gt;=客户对账单!$G$4,出库明细!B2123&lt;=客户对账单!$I$4),出库明细!B2123+ROW()/100000,"")</f>
      </c>
      <c r="H2123">
        <f>IF(AND(资金台帐!K626&lt;&gt;"",资金台帐!K626=供应商对账单!$B$4,资金台帐!P626="应付",ISNUMBER(资金台帐!B626),资金台帐!B626&gt;=供应商对账单!$G$4,资金台帐!B626&lt;=供应商对账单!$I$4),资金台帐!B626+ROW()/100000,"")</f>
      </c>
      <c r="N2123">
        <f>IF(AND(ISNUMBER(出库明细!G2123),ISNUMBER(出库明细!E2123),ISNUMBER(出库明细!F2123)),IF(ABS(出库明细!G2123-出库明细!E2123*出库明细!F2123)&gt;0.005,1,0),0)</f>
        <v>0</v>
      </c>
    </row>
    <row r="2124">
      <c r="A2124">
        <f>IF(OR(出库明细!C1124="",出库明细!D1124=""),"",IF(OR(COUNTIFS(存条明细!$C$4:$C$1003,出库明细!C1124,存条明细!$D$4:$D$1003,出库明细!D1124)&gt;0,COUNTIFS(出库明细!$C$4:C1124,出库明细!C1124,出库明细!$D$4:D1124,出库明细!D1124)&gt;1),"",IFERROR(MATCH(出库明细!C1124,总览汇总!$B$5:$B$304,0),900)*10000000+IFERROR(MATCH(出库明细!D1124,基础资料!$E$5:$E$104,0),900)*10000+ROW()))</f>
      </c>
      <c r="F2124">
        <f>IF(AND(出库明细!C2124&lt;&gt;"",出库明细!C2124=客户对账单!$B$4,ISNUMBER(出库明细!B2124),出库明细!B2124&gt;=客户对账单!$G$4,出库明细!B2124&lt;=客户对账单!$I$4),出库明细!B2124+ROW()/100000,"")</f>
      </c>
      <c r="H2124">
        <f>IF(AND(资金台帐!K627&lt;&gt;"",资金台帐!K627=供应商对账单!$B$4,资金台帐!P627="应付",ISNUMBER(资金台帐!B627),资金台帐!B627&gt;=供应商对账单!$G$4,资金台帐!B627&lt;=供应商对账单!$I$4),资金台帐!B627+ROW()/100000,"")</f>
      </c>
      <c r="N2124">
        <f>IF(AND(ISNUMBER(出库明细!G2124),ISNUMBER(出库明细!E2124),ISNUMBER(出库明细!F2124)),IF(ABS(出库明细!G2124-出库明细!E2124*出库明细!F2124)&gt;0.005,1,0),0)</f>
        <v>0</v>
      </c>
    </row>
    <row r="2125">
      <c r="A2125">
        <f>IF(OR(出库明细!C1125="",出库明细!D1125=""),"",IF(OR(COUNTIFS(存条明细!$C$4:$C$1003,出库明细!C1125,存条明细!$D$4:$D$1003,出库明细!D1125)&gt;0,COUNTIFS(出库明细!$C$4:C1125,出库明细!C1125,出库明细!$D$4:D1125,出库明细!D1125)&gt;1),"",IFERROR(MATCH(出库明细!C1125,总览汇总!$B$5:$B$304,0),900)*10000000+IFERROR(MATCH(出库明细!D1125,基础资料!$E$5:$E$104,0),900)*10000+ROW()))</f>
      </c>
      <c r="F2125">
        <f>IF(AND(出库明细!C2125&lt;&gt;"",出库明细!C2125=客户对账单!$B$4,ISNUMBER(出库明细!B2125),出库明细!B2125&gt;=客户对账单!$G$4,出库明细!B2125&lt;=客户对账单!$I$4),出库明细!B2125+ROW()/100000,"")</f>
      </c>
      <c r="H2125">
        <f>IF(AND(资金台帐!K628&lt;&gt;"",资金台帐!K628=供应商对账单!$B$4,资金台帐!P628="应付",ISNUMBER(资金台帐!B628),资金台帐!B628&gt;=供应商对账单!$G$4,资金台帐!B628&lt;=供应商对账单!$I$4),资金台帐!B628+ROW()/100000,"")</f>
      </c>
      <c r="N2125">
        <f>IF(AND(ISNUMBER(出库明细!G2125),ISNUMBER(出库明细!E2125),ISNUMBER(出库明细!F2125)),IF(ABS(出库明细!G2125-出库明细!E2125*出库明细!F2125)&gt;0.005,1,0),0)</f>
        <v>0</v>
      </c>
    </row>
    <row r="2126">
      <c r="A2126">
        <f>IF(OR(出库明细!C1126="",出库明细!D1126=""),"",IF(OR(COUNTIFS(存条明细!$C$4:$C$1003,出库明细!C1126,存条明细!$D$4:$D$1003,出库明细!D1126)&gt;0,COUNTIFS(出库明细!$C$4:C1126,出库明细!C1126,出库明细!$D$4:D1126,出库明细!D1126)&gt;1),"",IFERROR(MATCH(出库明细!C1126,总览汇总!$B$5:$B$304,0),900)*10000000+IFERROR(MATCH(出库明细!D1126,基础资料!$E$5:$E$104,0),900)*10000+ROW()))</f>
      </c>
      <c r="F2126">
        <f>IF(AND(出库明细!C2126&lt;&gt;"",出库明细!C2126=客户对账单!$B$4,ISNUMBER(出库明细!B2126),出库明细!B2126&gt;=客户对账单!$G$4,出库明细!B2126&lt;=客户对账单!$I$4),出库明细!B2126+ROW()/100000,"")</f>
      </c>
      <c r="H2126">
        <f>IF(AND(资金台帐!K629&lt;&gt;"",资金台帐!K629=供应商对账单!$B$4,资金台帐!P629="应付",ISNUMBER(资金台帐!B629),资金台帐!B629&gt;=供应商对账单!$G$4,资金台帐!B629&lt;=供应商对账单!$I$4),资金台帐!B629+ROW()/100000,"")</f>
      </c>
      <c r="N2126">
        <f>IF(AND(ISNUMBER(出库明细!G2126),ISNUMBER(出库明细!E2126),ISNUMBER(出库明细!F2126)),IF(ABS(出库明细!G2126-出库明细!E2126*出库明细!F2126)&gt;0.005,1,0),0)</f>
        <v>0</v>
      </c>
    </row>
    <row r="2127">
      <c r="A2127">
        <f>IF(OR(出库明细!C1127="",出库明细!D1127=""),"",IF(OR(COUNTIFS(存条明细!$C$4:$C$1003,出库明细!C1127,存条明细!$D$4:$D$1003,出库明细!D1127)&gt;0,COUNTIFS(出库明细!$C$4:C1127,出库明细!C1127,出库明细!$D$4:D1127,出库明细!D1127)&gt;1),"",IFERROR(MATCH(出库明细!C1127,总览汇总!$B$5:$B$304,0),900)*10000000+IFERROR(MATCH(出库明细!D1127,基础资料!$E$5:$E$104,0),900)*10000+ROW()))</f>
      </c>
      <c r="F2127">
        <f>IF(AND(出库明细!C2127&lt;&gt;"",出库明细!C2127=客户对账单!$B$4,ISNUMBER(出库明细!B2127),出库明细!B2127&gt;=客户对账单!$G$4,出库明细!B2127&lt;=客户对账单!$I$4),出库明细!B2127+ROW()/100000,"")</f>
      </c>
      <c r="H2127">
        <f>IF(AND(资金台帐!K630&lt;&gt;"",资金台帐!K630=供应商对账单!$B$4,资金台帐!P630="应付",ISNUMBER(资金台帐!B630),资金台帐!B630&gt;=供应商对账单!$G$4,资金台帐!B630&lt;=供应商对账单!$I$4),资金台帐!B630+ROW()/100000,"")</f>
      </c>
      <c r="N2127">
        <f>IF(AND(ISNUMBER(出库明细!G2127),ISNUMBER(出库明细!E2127),ISNUMBER(出库明细!F2127)),IF(ABS(出库明细!G2127-出库明细!E2127*出库明细!F2127)&gt;0.005,1,0),0)</f>
        <v>0</v>
      </c>
    </row>
    <row r="2128">
      <c r="A2128">
        <f>IF(OR(出库明细!C1128="",出库明细!D1128=""),"",IF(OR(COUNTIFS(存条明细!$C$4:$C$1003,出库明细!C1128,存条明细!$D$4:$D$1003,出库明细!D1128)&gt;0,COUNTIFS(出库明细!$C$4:C1128,出库明细!C1128,出库明细!$D$4:D1128,出库明细!D1128)&gt;1),"",IFERROR(MATCH(出库明细!C1128,总览汇总!$B$5:$B$304,0),900)*10000000+IFERROR(MATCH(出库明细!D1128,基础资料!$E$5:$E$104,0),900)*10000+ROW()))</f>
      </c>
      <c r="F2128">
        <f>IF(AND(出库明细!C2128&lt;&gt;"",出库明细!C2128=客户对账单!$B$4,ISNUMBER(出库明细!B2128),出库明细!B2128&gt;=客户对账单!$G$4,出库明细!B2128&lt;=客户对账单!$I$4),出库明细!B2128+ROW()/100000,"")</f>
      </c>
      <c r="H2128">
        <f>IF(AND(资金台帐!K631&lt;&gt;"",资金台帐!K631=供应商对账单!$B$4,资金台帐!P631="应付",ISNUMBER(资金台帐!B631),资金台帐!B631&gt;=供应商对账单!$G$4,资金台帐!B631&lt;=供应商对账单!$I$4),资金台帐!B631+ROW()/100000,"")</f>
      </c>
      <c r="N2128">
        <f>IF(AND(ISNUMBER(出库明细!G2128),ISNUMBER(出库明细!E2128),ISNUMBER(出库明细!F2128)),IF(ABS(出库明细!G2128-出库明细!E2128*出库明细!F2128)&gt;0.005,1,0),0)</f>
        <v>0</v>
      </c>
    </row>
    <row r="2129">
      <c r="A2129">
        <f>IF(OR(出库明细!C1129="",出库明细!D1129=""),"",IF(OR(COUNTIFS(存条明细!$C$4:$C$1003,出库明细!C1129,存条明细!$D$4:$D$1003,出库明细!D1129)&gt;0,COUNTIFS(出库明细!$C$4:C1129,出库明细!C1129,出库明细!$D$4:D1129,出库明细!D1129)&gt;1),"",IFERROR(MATCH(出库明细!C1129,总览汇总!$B$5:$B$304,0),900)*10000000+IFERROR(MATCH(出库明细!D1129,基础资料!$E$5:$E$104,0),900)*10000+ROW()))</f>
      </c>
      <c r="F2129">
        <f>IF(AND(出库明细!C2129&lt;&gt;"",出库明细!C2129=客户对账单!$B$4,ISNUMBER(出库明细!B2129),出库明细!B2129&gt;=客户对账单!$G$4,出库明细!B2129&lt;=客户对账单!$I$4),出库明细!B2129+ROW()/100000,"")</f>
      </c>
      <c r="H2129">
        <f>IF(AND(资金台帐!K632&lt;&gt;"",资金台帐!K632=供应商对账单!$B$4,资金台帐!P632="应付",ISNUMBER(资金台帐!B632),资金台帐!B632&gt;=供应商对账单!$G$4,资金台帐!B632&lt;=供应商对账单!$I$4),资金台帐!B632+ROW()/100000,"")</f>
      </c>
      <c r="N2129">
        <f>IF(AND(ISNUMBER(出库明细!G2129),ISNUMBER(出库明细!E2129),ISNUMBER(出库明细!F2129)),IF(ABS(出库明细!G2129-出库明细!E2129*出库明细!F2129)&gt;0.005,1,0),0)</f>
        <v>0</v>
      </c>
    </row>
    <row r="2130">
      <c r="A2130">
        <f>IF(OR(出库明细!C1130="",出库明细!D1130=""),"",IF(OR(COUNTIFS(存条明细!$C$4:$C$1003,出库明细!C1130,存条明细!$D$4:$D$1003,出库明细!D1130)&gt;0,COUNTIFS(出库明细!$C$4:C1130,出库明细!C1130,出库明细!$D$4:D1130,出库明细!D1130)&gt;1),"",IFERROR(MATCH(出库明细!C1130,总览汇总!$B$5:$B$304,0),900)*10000000+IFERROR(MATCH(出库明细!D1130,基础资料!$E$5:$E$104,0),900)*10000+ROW()))</f>
      </c>
      <c r="F2130">
        <f>IF(AND(出库明细!C2130&lt;&gt;"",出库明细!C2130=客户对账单!$B$4,ISNUMBER(出库明细!B2130),出库明细!B2130&gt;=客户对账单!$G$4,出库明细!B2130&lt;=客户对账单!$I$4),出库明细!B2130+ROW()/100000,"")</f>
      </c>
      <c r="H2130">
        <f>IF(AND(资金台帐!K633&lt;&gt;"",资金台帐!K633=供应商对账单!$B$4,资金台帐!P633="应付",ISNUMBER(资金台帐!B633),资金台帐!B633&gt;=供应商对账单!$G$4,资金台帐!B633&lt;=供应商对账单!$I$4),资金台帐!B633+ROW()/100000,"")</f>
      </c>
      <c r="N2130">
        <f>IF(AND(ISNUMBER(出库明细!G2130),ISNUMBER(出库明细!E2130),ISNUMBER(出库明细!F2130)),IF(ABS(出库明细!G2130-出库明细!E2130*出库明细!F2130)&gt;0.005,1,0),0)</f>
        <v>0</v>
      </c>
    </row>
    <row r="2131">
      <c r="A2131">
        <f>IF(OR(出库明细!C1131="",出库明细!D1131=""),"",IF(OR(COUNTIFS(存条明细!$C$4:$C$1003,出库明细!C1131,存条明细!$D$4:$D$1003,出库明细!D1131)&gt;0,COUNTIFS(出库明细!$C$4:C1131,出库明细!C1131,出库明细!$D$4:D1131,出库明细!D1131)&gt;1),"",IFERROR(MATCH(出库明细!C1131,总览汇总!$B$5:$B$304,0),900)*10000000+IFERROR(MATCH(出库明细!D1131,基础资料!$E$5:$E$104,0),900)*10000+ROW()))</f>
      </c>
      <c r="F2131">
        <f>IF(AND(出库明细!C2131&lt;&gt;"",出库明细!C2131=客户对账单!$B$4,ISNUMBER(出库明细!B2131),出库明细!B2131&gt;=客户对账单!$G$4,出库明细!B2131&lt;=客户对账单!$I$4),出库明细!B2131+ROW()/100000,"")</f>
      </c>
      <c r="H2131">
        <f>IF(AND(资金台帐!K634&lt;&gt;"",资金台帐!K634=供应商对账单!$B$4,资金台帐!P634="应付",ISNUMBER(资金台帐!B634),资金台帐!B634&gt;=供应商对账单!$G$4,资金台帐!B634&lt;=供应商对账单!$I$4),资金台帐!B634+ROW()/100000,"")</f>
      </c>
      <c r="N2131">
        <f>IF(AND(ISNUMBER(出库明细!G2131),ISNUMBER(出库明细!E2131),ISNUMBER(出库明细!F2131)),IF(ABS(出库明细!G2131-出库明细!E2131*出库明细!F2131)&gt;0.005,1,0),0)</f>
        <v>0</v>
      </c>
    </row>
    <row r="2132">
      <c r="A2132">
        <f>IF(OR(出库明细!C1132="",出库明细!D1132=""),"",IF(OR(COUNTIFS(存条明细!$C$4:$C$1003,出库明细!C1132,存条明细!$D$4:$D$1003,出库明细!D1132)&gt;0,COUNTIFS(出库明细!$C$4:C1132,出库明细!C1132,出库明细!$D$4:D1132,出库明细!D1132)&gt;1),"",IFERROR(MATCH(出库明细!C1132,总览汇总!$B$5:$B$304,0),900)*10000000+IFERROR(MATCH(出库明细!D1132,基础资料!$E$5:$E$104,0),900)*10000+ROW()))</f>
      </c>
      <c r="F2132">
        <f>IF(AND(出库明细!C2132&lt;&gt;"",出库明细!C2132=客户对账单!$B$4,ISNUMBER(出库明细!B2132),出库明细!B2132&gt;=客户对账单!$G$4,出库明细!B2132&lt;=客户对账单!$I$4),出库明细!B2132+ROW()/100000,"")</f>
      </c>
      <c r="H2132">
        <f>IF(AND(资金台帐!K635&lt;&gt;"",资金台帐!K635=供应商对账单!$B$4,资金台帐!P635="应付",ISNUMBER(资金台帐!B635),资金台帐!B635&gt;=供应商对账单!$G$4,资金台帐!B635&lt;=供应商对账单!$I$4),资金台帐!B635+ROW()/100000,"")</f>
      </c>
      <c r="N2132">
        <f>IF(AND(ISNUMBER(出库明细!G2132),ISNUMBER(出库明细!E2132),ISNUMBER(出库明细!F2132)),IF(ABS(出库明细!G2132-出库明细!E2132*出库明细!F2132)&gt;0.005,1,0),0)</f>
        <v>0</v>
      </c>
    </row>
    <row r="2133">
      <c r="A2133">
        <f>IF(OR(出库明细!C1133="",出库明细!D1133=""),"",IF(OR(COUNTIFS(存条明细!$C$4:$C$1003,出库明细!C1133,存条明细!$D$4:$D$1003,出库明细!D1133)&gt;0,COUNTIFS(出库明细!$C$4:C1133,出库明细!C1133,出库明细!$D$4:D1133,出库明细!D1133)&gt;1),"",IFERROR(MATCH(出库明细!C1133,总览汇总!$B$5:$B$304,0),900)*10000000+IFERROR(MATCH(出库明细!D1133,基础资料!$E$5:$E$104,0),900)*10000+ROW()))</f>
      </c>
      <c r="F2133">
        <f>IF(AND(出库明细!C2133&lt;&gt;"",出库明细!C2133=客户对账单!$B$4,ISNUMBER(出库明细!B2133),出库明细!B2133&gt;=客户对账单!$G$4,出库明细!B2133&lt;=客户对账单!$I$4),出库明细!B2133+ROW()/100000,"")</f>
      </c>
      <c r="H2133">
        <f>IF(AND(资金台帐!K636&lt;&gt;"",资金台帐!K636=供应商对账单!$B$4,资金台帐!P636="应付",ISNUMBER(资金台帐!B636),资金台帐!B636&gt;=供应商对账单!$G$4,资金台帐!B636&lt;=供应商对账单!$I$4),资金台帐!B636+ROW()/100000,"")</f>
      </c>
      <c r="N2133">
        <f>IF(AND(ISNUMBER(出库明细!G2133),ISNUMBER(出库明细!E2133),ISNUMBER(出库明细!F2133)),IF(ABS(出库明细!G2133-出库明细!E2133*出库明细!F2133)&gt;0.005,1,0),0)</f>
        <v>0</v>
      </c>
    </row>
    <row r="2134">
      <c r="A2134">
        <f>IF(OR(出库明细!C1134="",出库明细!D1134=""),"",IF(OR(COUNTIFS(存条明细!$C$4:$C$1003,出库明细!C1134,存条明细!$D$4:$D$1003,出库明细!D1134)&gt;0,COUNTIFS(出库明细!$C$4:C1134,出库明细!C1134,出库明细!$D$4:D1134,出库明细!D1134)&gt;1),"",IFERROR(MATCH(出库明细!C1134,总览汇总!$B$5:$B$304,0),900)*10000000+IFERROR(MATCH(出库明细!D1134,基础资料!$E$5:$E$104,0),900)*10000+ROW()))</f>
      </c>
      <c r="F2134">
        <f>IF(AND(出库明细!C2134&lt;&gt;"",出库明细!C2134=客户对账单!$B$4,ISNUMBER(出库明细!B2134),出库明细!B2134&gt;=客户对账单!$G$4,出库明细!B2134&lt;=客户对账单!$I$4),出库明细!B2134+ROW()/100000,"")</f>
      </c>
      <c r="H2134">
        <f>IF(AND(资金台帐!K637&lt;&gt;"",资金台帐!K637=供应商对账单!$B$4,资金台帐!P637="应付",ISNUMBER(资金台帐!B637),资金台帐!B637&gt;=供应商对账单!$G$4,资金台帐!B637&lt;=供应商对账单!$I$4),资金台帐!B637+ROW()/100000,"")</f>
      </c>
      <c r="N2134">
        <f>IF(AND(ISNUMBER(出库明细!G2134),ISNUMBER(出库明细!E2134),ISNUMBER(出库明细!F2134)),IF(ABS(出库明细!G2134-出库明细!E2134*出库明细!F2134)&gt;0.005,1,0),0)</f>
        <v>0</v>
      </c>
    </row>
    <row r="2135">
      <c r="A2135">
        <f>IF(OR(出库明细!C1135="",出库明细!D1135=""),"",IF(OR(COUNTIFS(存条明细!$C$4:$C$1003,出库明细!C1135,存条明细!$D$4:$D$1003,出库明细!D1135)&gt;0,COUNTIFS(出库明细!$C$4:C1135,出库明细!C1135,出库明细!$D$4:D1135,出库明细!D1135)&gt;1),"",IFERROR(MATCH(出库明细!C1135,总览汇总!$B$5:$B$304,0),900)*10000000+IFERROR(MATCH(出库明细!D1135,基础资料!$E$5:$E$104,0),900)*10000+ROW()))</f>
      </c>
      <c r="F2135">
        <f>IF(AND(出库明细!C2135&lt;&gt;"",出库明细!C2135=客户对账单!$B$4,ISNUMBER(出库明细!B2135),出库明细!B2135&gt;=客户对账单!$G$4,出库明细!B2135&lt;=客户对账单!$I$4),出库明细!B2135+ROW()/100000,"")</f>
      </c>
      <c r="H2135">
        <f>IF(AND(资金台帐!K638&lt;&gt;"",资金台帐!K638=供应商对账单!$B$4,资金台帐!P638="应付",ISNUMBER(资金台帐!B638),资金台帐!B638&gt;=供应商对账单!$G$4,资金台帐!B638&lt;=供应商对账单!$I$4),资金台帐!B638+ROW()/100000,"")</f>
      </c>
      <c r="N2135">
        <f>IF(AND(ISNUMBER(出库明细!G2135),ISNUMBER(出库明细!E2135),ISNUMBER(出库明细!F2135)),IF(ABS(出库明细!G2135-出库明细!E2135*出库明细!F2135)&gt;0.005,1,0),0)</f>
        <v>0</v>
      </c>
    </row>
    <row r="2136">
      <c r="A2136">
        <f>IF(OR(出库明细!C1136="",出库明细!D1136=""),"",IF(OR(COUNTIFS(存条明细!$C$4:$C$1003,出库明细!C1136,存条明细!$D$4:$D$1003,出库明细!D1136)&gt;0,COUNTIFS(出库明细!$C$4:C1136,出库明细!C1136,出库明细!$D$4:D1136,出库明细!D1136)&gt;1),"",IFERROR(MATCH(出库明细!C1136,总览汇总!$B$5:$B$304,0),900)*10000000+IFERROR(MATCH(出库明细!D1136,基础资料!$E$5:$E$104,0),900)*10000+ROW()))</f>
      </c>
      <c r="F2136">
        <f>IF(AND(出库明细!C2136&lt;&gt;"",出库明细!C2136=客户对账单!$B$4,ISNUMBER(出库明细!B2136),出库明细!B2136&gt;=客户对账单!$G$4,出库明细!B2136&lt;=客户对账单!$I$4),出库明细!B2136+ROW()/100000,"")</f>
      </c>
      <c r="H2136">
        <f>IF(AND(资金台帐!K639&lt;&gt;"",资金台帐!K639=供应商对账单!$B$4,资金台帐!P639="应付",ISNUMBER(资金台帐!B639),资金台帐!B639&gt;=供应商对账单!$G$4,资金台帐!B639&lt;=供应商对账单!$I$4),资金台帐!B639+ROW()/100000,"")</f>
      </c>
      <c r="N2136">
        <f>IF(AND(ISNUMBER(出库明细!G2136),ISNUMBER(出库明细!E2136),ISNUMBER(出库明细!F2136)),IF(ABS(出库明细!G2136-出库明细!E2136*出库明细!F2136)&gt;0.005,1,0),0)</f>
        <v>0</v>
      </c>
    </row>
    <row r="2137">
      <c r="A2137">
        <f>IF(OR(出库明细!C1137="",出库明细!D1137=""),"",IF(OR(COUNTIFS(存条明细!$C$4:$C$1003,出库明细!C1137,存条明细!$D$4:$D$1003,出库明细!D1137)&gt;0,COUNTIFS(出库明细!$C$4:C1137,出库明细!C1137,出库明细!$D$4:D1137,出库明细!D1137)&gt;1),"",IFERROR(MATCH(出库明细!C1137,总览汇总!$B$5:$B$304,0),900)*10000000+IFERROR(MATCH(出库明细!D1137,基础资料!$E$5:$E$104,0),900)*10000+ROW()))</f>
      </c>
      <c r="F2137">
        <f>IF(AND(出库明细!C2137&lt;&gt;"",出库明细!C2137=客户对账单!$B$4,ISNUMBER(出库明细!B2137),出库明细!B2137&gt;=客户对账单!$G$4,出库明细!B2137&lt;=客户对账单!$I$4),出库明细!B2137+ROW()/100000,"")</f>
      </c>
      <c r="H2137">
        <f>IF(AND(资金台帐!K640&lt;&gt;"",资金台帐!K640=供应商对账单!$B$4,资金台帐!P640="应付",ISNUMBER(资金台帐!B640),资金台帐!B640&gt;=供应商对账单!$G$4,资金台帐!B640&lt;=供应商对账单!$I$4),资金台帐!B640+ROW()/100000,"")</f>
      </c>
      <c r="N2137">
        <f>IF(AND(ISNUMBER(出库明细!G2137),ISNUMBER(出库明细!E2137),ISNUMBER(出库明细!F2137)),IF(ABS(出库明细!G2137-出库明细!E2137*出库明细!F2137)&gt;0.005,1,0),0)</f>
        <v>0</v>
      </c>
    </row>
    <row r="2138">
      <c r="A2138">
        <f>IF(OR(出库明细!C1138="",出库明细!D1138=""),"",IF(OR(COUNTIFS(存条明细!$C$4:$C$1003,出库明细!C1138,存条明细!$D$4:$D$1003,出库明细!D1138)&gt;0,COUNTIFS(出库明细!$C$4:C1138,出库明细!C1138,出库明细!$D$4:D1138,出库明细!D1138)&gt;1),"",IFERROR(MATCH(出库明细!C1138,总览汇总!$B$5:$B$304,0),900)*10000000+IFERROR(MATCH(出库明细!D1138,基础资料!$E$5:$E$104,0),900)*10000+ROW()))</f>
      </c>
      <c r="F2138">
        <f>IF(AND(出库明细!C2138&lt;&gt;"",出库明细!C2138=客户对账单!$B$4,ISNUMBER(出库明细!B2138),出库明细!B2138&gt;=客户对账单!$G$4,出库明细!B2138&lt;=客户对账单!$I$4),出库明细!B2138+ROW()/100000,"")</f>
      </c>
      <c r="H2138">
        <f>IF(AND(资金台帐!K641&lt;&gt;"",资金台帐!K641=供应商对账单!$B$4,资金台帐!P641="应付",ISNUMBER(资金台帐!B641),资金台帐!B641&gt;=供应商对账单!$G$4,资金台帐!B641&lt;=供应商对账单!$I$4),资金台帐!B641+ROW()/100000,"")</f>
      </c>
      <c r="N2138">
        <f>IF(AND(ISNUMBER(出库明细!G2138),ISNUMBER(出库明细!E2138),ISNUMBER(出库明细!F2138)),IF(ABS(出库明细!G2138-出库明细!E2138*出库明细!F2138)&gt;0.005,1,0),0)</f>
        <v>0</v>
      </c>
    </row>
    <row r="2139">
      <c r="A2139">
        <f>IF(OR(出库明细!C1139="",出库明细!D1139=""),"",IF(OR(COUNTIFS(存条明细!$C$4:$C$1003,出库明细!C1139,存条明细!$D$4:$D$1003,出库明细!D1139)&gt;0,COUNTIFS(出库明细!$C$4:C1139,出库明细!C1139,出库明细!$D$4:D1139,出库明细!D1139)&gt;1),"",IFERROR(MATCH(出库明细!C1139,总览汇总!$B$5:$B$304,0),900)*10000000+IFERROR(MATCH(出库明细!D1139,基础资料!$E$5:$E$104,0),900)*10000+ROW()))</f>
      </c>
      <c r="F2139">
        <f>IF(AND(出库明细!C2139&lt;&gt;"",出库明细!C2139=客户对账单!$B$4,ISNUMBER(出库明细!B2139),出库明细!B2139&gt;=客户对账单!$G$4,出库明细!B2139&lt;=客户对账单!$I$4),出库明细!B2139+ROW()/100000,"")</f>
      </c>
      <c r="H2139">
        <f>IF(AND(资金台帐!K642&lt;&gt;"",资金台帐!K642=供应商对账单!$B$4,资金台帐!P642="应付",ISNUMBER(资金台帐!B642),资金台帐!B642&gt;=供应商对账单!$G$4,资金台帐!B642&lt;=供应商对账单!$I$4),资金台帐!B642+ROW()/100000,"")</f>
      </c>
      <c r="N2139">
        <f>IF(AND(ISNUMBER(出库明细!G2139),ISNUMBER(出库明细!E2139),ISNUMBER(出库明细!F2139)),IF(ABS(出库明细!G2139-出库明细!E2139*出库明细!F2139)&gt;0.005,1,0),0)</f>
        <v>0</v>
      </c>
    </row>
    <row r="2140">
      <c r="A2140">
        <f>IF(OR(出库明细!C1140="",出库明细!D1140=""),"",IF(OR(COUNTIFS(存条明细!$C$4:$C$1003,出库明细!C1140,存条明细!$D$4:$D$1003,出库明细!D1140)&gt;0,COUNTIFS(出库明细!$C$4:C1140,出库明细!C1140,出库明细!$D$4:D1140,出库明细!D1140)&gt;1),"",IFERROR(MATCH(出库明细!C1140,总览汇总!$B$5:$B$304,0),900)*10000000+IFERROR(MATCH(出库明细!D1140,基础资料!$E$5:$E$104,0),900)*10000+ROW()))</f>
      </c>
      <c r="F2140">
        <f>IF(AND(出库明细!C2140&lt;&gt;"",出库明细!C2140=客户对账单!$B$4,ISNUMBER(出库明细!B2140),出库明细!B2140&gt;=客户对账单!$G$4,出库明细!B2140&lt;=客户对账单!$I$4),出库明细!B2140+ROW()/100000,"")</f>
      </c>
      <c r="H2140">
        <f>IF(AND(资金台帐!K643&lt;&gt;"",资金台帐!K643=供应商对账单!$B$4,资金台帐!P643="应付",ISNUMBER(资金台帐!B643),资金台帐!B643&gt;=供应商对账单!$G$4,资金台帐!B643&lt;=供应商对账单!$I$4),资金台帐!B643+ROW()/100000,"")</f>
      </c>
      <c r="N2140">
        <f>IF(AND(ISNUMBER(出库明细!G2140),ISNUMBER(出库明细!E2140),ISNUMBER(出库明细!F2140)),IF(ABS(出库明细!G2140-出库明细!E2140*出库明细!F2140)&gt;0.005,1,0),0)</f>
        <v>0</v>
      </c>
    </row>
    <row r="2141">
      <c r="A2141">
        <f>IF(OR(出库明细!C1141="",出库明细!D1141=""),"",IF(OR(COUNTIFS(存条明细!$C$4:$C$1003,出库明细!C1141,存条明细!$D$4:$D$1003,出库明细!D1141)&gt;0,COUNTIFS(出库明细!$C$4:C1141,出库明细!C1141,出库明细!$D$4:D1141,出库明细!D1141)&gt;1),"",IFERROR(MATCH(出库明细!C1141,总览汇总!$B$5:$B$304,0),900)*10000000+IFERROR(MATCH(出库明细!D1141,基础资料!$E$5:$E$104,0),900)*10000+ROW()))</f>
      </c>
      <c r="F2141">
        <f>IF(AND(出库明细!C2141&lt;&gt;"",出库明细!C2141=客户对账单!$B$4,ISNUMBER(出库明细!B2141),出库明细!B2141&gt;=客户对账单!$G$4,出库明细!B2141&lt;=客户对账单!$I$4),出库明细!B2141+ROW()/100000,"")</f>
      </c>
      <c r="H2141">
        <f>IF(AND(资金台帐!K644&lt;&gt;"",资金台帐!K644=供应商对账单!$B$4,资金台帐!P644="应付",ISNUMBER(资金台帐!B644),资金台帐!B644&gt;=供应商对账单!$G$4,资金台帐!B644&lt;=供应商对账单!$I$4),资金台帐!B644+ROW()/100000,"")</f>
      </c>
      <c r="N2141">
        <f>IF(AND(ISNUMBER(出库明细!G2141),ISNUMBER(出库明细!E2141),ISNUMBER(出库明细!F2141)),IF(ABS(出库明细!G2141-出库明细!E2141*出库明细!F2141)&gt;0.005,1,0),0)</f>
        <v>0</v>
      </c>
    </row>
    <row r="2142">
      <c r="A2142">
        <f>IF(OR(出库明细!C1142="",出库明细!D1142=""),"",IF(OR(COUNTIFS(存条明细!$C$4:$C$1003,出库明细!C1142,存条明细!$D$4:$D$1003,出库明细!D1142)&gt;0,COUNTIFS(出库明细!$C$4:C1142,出库明细!C1142,出库明细!$D$4:D1142,出库明细!D1142)&gt;1),"",IFERROR(MATCH(出库明细!C1142,总览汇总!$B$5:$B$304,0),900)*10000000+IFERROR(MATCH(出库明细!D1142,基础资料!$E$5:$E$104,0),900)*10000+ROW()))</f>
      </c>
      <c r="F2142">
        <f>IF(AND(出库明细!C2142&lt;&gt;"",出库明细!C2142=客户对账单!$B$4,ISNUMBER(出库明细!B2142),出库明细!B2142&gt;=客户对账单!$G$4,出库明细!B2142&lt;=客户对账单!$I$4),出库明细!B2142+ROW()/100000,"")</f>
      </c>
      <c r="H2142">
        <f>IF(AND(资金台帐!K645&lt;&gt;"",资金台帐!K645=供应商对账单!$B$4,资金台帐!P645="应付",ISNUMBER(资金台帐!B645),资金台帐!B645&gt;=供应商对账单!$G$4,资金台帐!B645&lt;=供应商对账单!$I$4),资金台帐!B645+ROW()/100000,"")</f>
      </c>
      <c r="N2142">
        <f>IF(AND(ISNUMBER(出库明细!G2142),ISNUMBER(出库明细!E2142),ISNUMBER(出库明细!F2142)),IF(ABS(出库明细!G2142-出库明细!E2142*出库明细!F2142)&gt;0.005,1,0),0)</f>
        <v>0</v>
      </c>
    </row>
    <row r="2143">
      <c r="A2143">
        <f>IF(OR(出库明细!C1143="",出库明细!D1143=""),"",IF(OR(COUNTIFS(存条明细!$C$4:$C$1003,出库明细!C1143,存条明细!$D$4:$D$1003,出库明细!D1143)&gt;0,COUNTIFS(出库明细!$C$4:C1143,出库明细!C1143,出库明细!$D$4:D1143,出库明细!D1143)&gt;1),"",IFERROR(MATCH(出库明细!C1143,总览汇总!$B$5:$B$304,0),900)*10000000+IFERROR(MATCH(出库明细!D1143,基础资料!$E$5:$E$104,0),900)*10000+ROW()))</f>
      </c>
      <c r="F2143">
        <f>IF(AND(出库明细!C2143&lt;&gt;"",出库明细!C2143=客户对账单!$B$4,ISNUMBER(出库明细!B2143),出库明细!B2143&gt;=客户对账单!$G$4,出库明细!B2143&lt;=客户对账单!$I$4),出库明细!B2143+ROW()/100000,"")</f>
      </c>
      <c r="H2143">
        <f>IF(AND(资金台帐!K646&lt;&gt;"",资金台帐!K646=供应商对账单!$B$4,资金台帐!P646="应付",ISNUMBER(资金台帐!B646),资金台帐!B646&gt;=供应商对账单!$G$4,资金台帐!B646&lt;=供应商对账单!$I$4),资金台帐!B646+ROW()/100000,"")</f>
      </c>
      <c r="N2143">
        <f>IF(AND(ISNUMBER(出库明细!G2143),ISNUMBER(出库明细!E2143),ISNUMBER(出库明细!F2143)),IF(ABS(出库明细!G2143-出库明细!E2143*出库明细!F2143)&gt;0.005,1,0),0)</f>
        <v>0</v>
      </c>
    </row>
    <row r="2144">
      <c r="A2144">
        <f>IF(OR(出库明细!C1144="",出库明细!D1144=""),"",IF(OR(COUNTIFS(存条明细!$C$4:$C$1003,出库明细!C1144,存条明细!$D$4:$D$1003,出库明细!D1144)&gt;0,COUNTIFS(出库明细!$C$4:C1144,出库明细!C1144,出库明细!$D$4:D1144,出库明细!D1144)&gt;1),"",IFERROR(MATCH(出库明细!C1144,总览汇总!$B$5:$B$304,0),900)*10000000+IFERROR(MATCH(出库明细!D1144,基础资料!$E$5:$E$104,0),900)*10000+ROW()))</f>
      </c>
      <c r="F2144">
        <f>IF(AND(出库明细!C2144&lt;&gt;"",出库明细!C2144=客户对账单!$B$4,ISNUMBER(出库明细!B2144),出库明细!B2144&gt;=客户对账单!$G$4,出库明细!B2144&lt;=客户对账单!$I$4),出库明细!B2144+ROW()/100000,"")</f>
      </c>
      <c r="H2144">
        <f>IF(AND(资金台帐!K647&lt;&gt;"",资金台帐!K647=供应商对账单!$B$4,资金台帐!P647="应付",ISNUMBER(资金台帐!B647),资金台帐!B647&gt;=供应商对账单!$G$4,资金台帐!B647&lt;=供应商对账单!$I$4),资金台帐!B647+ROW()/100000,"")</f>
      </c>
      <c r="N2144">
        <f>IF(AND(ISNUMBER(出库明细!G2144),ISNUMBER(出库明细!E2144),ISNUMBER(出库明细!F2144)),IF(ABS(出库明细!G2144-出库明细!E2144*出库明细!F2144)&gt;0.005,1,0),0)</f>
        <v>0</v>
      </c>
    </row>
    <row r="2145">
      <c r="A2145">
        <f>IF(OR(出库明细!C1145="",出库明细!D1145=""),"",IF(OR(COUNTIFS(存条明细!$C$4:$C$1003,出库明细!C1145,存条明细!$D$4:$D$1003,出库明细!D1145)&gt;0,COUNTIFS(出库明细!$C$4:C1145,出库明细!C1145,出库明细!$D$4:D1145,出库明细!D1145)&gt;1),"",IFERROR(MATCH(出库明细!C1145,总览汇总!$B$5:$B$304,0),900)*10000000+IFERROR(MATCH(出库明细!D1145,基础资料!$E$5:$E$104,0),900)*10000+ROW()))</f>
      </c>
      <c r="F2145">
        <f>IF(AND(出库明细!C2145&lt;&gt;"",出库明细!C2145=客户对账单!$B$4,ISNUMBER(出库明细!B2145),出库明细!B2145&gt;=客户对账单!$G$4,出库明细!B2145&lt;=客户对账单!$I$4),出库明细!B2145+ROW()/100000,"")</f>
      </c>
      <c r="H2145">
        <f>IF(AND(资金台帐!K648&lt;&gt;"",资金台帐!K648=供应商对账单!$B$4,资金台帐!P648="应付",ISNUMBER(资金台帐!B648),资金台帐!B648&gt;=供应商对账单!$G$4,资金台帐!B648&lt;=供应商对账单!$I$4),资金台帐!B648+ROW()/100000,"")</f>
      </c>
      <c r="N2145">
        <f>IF(AND(ISNUMBER(出库明细!G2145),ISNUMBER(出库明细!E2145),ISNUMBER(出库明细!F2145)),IF(ABS(出库明细!G2145-出库明细!E2145*出库明细!F2145)&gt;0.005,1,0),0)</f>
        <v>0</v>
      </c>
    </row>
    <row r="2146">
      <c r="A2146">
        <f>IF(OR(出库明细!C1146="",出库明细!D1146=""),"",IF(OR(COUNTIFS(存条明细!$C$4:$C$1003,出库明细!C1146,存条明细!$D$4:$D$1003,出库明细!D1146)&gt;0,COUNTIFS(出库明细!$C$4:C1146,出库明细!C1146,出库明细!$D$4:D1146,出库明细!D1146)&gt;1),"",IFERROR(MATCH(出库明细!C1146,总览汇总!$B$5:$B$304,0),900)*10000000+IFERROR(MATCH(出库明细!D1146,基础资料!$E$5:$E$104,0),900)*10000+ROW()))</f>
      </c>
      <c r="F2146">
        <f>IF(AND(出库明细!C2146&lt;&gt;"",出库明细!C2146=客户对账单!$B$4,ISNUMBER(出库明细!B2146),出库明细!B2146&gt;=客户对账单!$G$4,出库明细!B2146&lt;=客户对账单!$I$4),出库明细!B2146+ROW()/100000,"")</f>
      </c>
      <c r="H2146">
        <f>IF(AND(资金台帐!K649&lt;&gt;"",资金台帐!K649=供应商对账单!$B$4,资金台帐!P649="应付",ISNUMBER(资金台帐!B649),资金台帐!B649&gt;=供应商对账单!$G$4,资金台帐!B649&lt;=供应商对账单!$I$4),资金台帐!B649+ROW()/100000,"")</f>
      </c>
      <c r="N2146">
        <f>IF(AND(ISNUMBER(出库明细!G2146),ISNUMBER(出库明细!E2146),ISNUMBER(出库明细!F2146)),IF(ABS(出库明细!G2146-出库明细!E2146*出库明细!F2146)&gt;0.005,1,0),0)</f>
        <v>0</v>
      </c>
    </row>
    <row r="2147">
      <c r="A2147">
        <f>IF(OR(出库明细!C1147="",出库明细!D1147=""),"",IF(OR(COUNTIFS(存条明细!$C$4:$C$1003,出库明细!C1147,存条明细!$D$4:$D$1003,出库明细!D1147)&gt;0,COUNTIFS(出库明细!$C$4:C1147,出库明细!C1147,出库明细!$D$4:D1147,出库明细!D1147)&gt;1),"",IFERROR(MATCH(出库明细!C1147,总览汇总!$B$5:$B$304,0),900)*10000000+IFERROR(MATCH(出库明细!D1147,基础资料!$E$5:$E$104,0),900)*10000+ROW()))</f>
      </c>
      <c r="F2147">
        <f>IF(AND(出库明细!C2147&lt;&gt;"",出库明细!C2147=客户对账单!$B$4,ISNUMBER(出库明细!B2147),出库明细!B2147&gt;=客户对账单!$G$4,出库明细!B2147&lt;=客户对账单!$I$4),出库明细!B2147+ROW()/100000,"")</f>
      </c>
      <c r="H2147">
        <f>IF(AND(资金台帐!K650&lt;&gt;"",资金台帐!K650=供应商对账单!$B$4,资金台帐!P650="应付",ISNUMBER(资金台帐!B650),资金台帐!B650&gt;=供应商对账单!$G$4,资金台帐!B650&lt;=供应商对账单!$I$4),资金台帐!B650+ROW()/100000,"")</f>
      </c>
      <c r="N2147">
        <f>IF(AND(ISNUMBER(出库明细!G2147),ISNUMBER(出库明细!E2147),ISNUMBER(出库明细!F2147)),IF(ABS(出库明细!G2147-出库明细!E2147*出库明细!F2147)&gt;0.005,1,0),0)</f>
        <v>0</v>
      </c>
    </row>
    <row r="2148">
      <c r="A2148">
        <f>IF(OR(出库明细!C1148="",出库明细!D1148=""),"",IF(OR(COUNTIFS(存条明细!$C$4:$C$1003,出库明细!C1148,存条明细!$D$4:$D$1003,出库明细!D1148)&gt;0,COUNTIFS(出库明细!$C$4:C1148,出库明细!C1148,出库明细!$D$4:D1148,出库明细!D1148)&gt;1),"",IFERROR(MATCH(出库明细!C1148,总览汇总!$B$5:$B$304,0),900)*10000000+IFERROR(MATCH(出库明细!D1148,基础资料!$E$5:$E$104,0),900)*10000+ROW()))</f>
      </c>
      <c r="F2148">
        <f>IF(AND(出库明细!C2148&lt;&gt;"",出库明细!C2148=客户对账单!$B$4,ISNUMBER(出库明细!B2148),出库明细!B2148&gt;=客户对账单!$G$4,出库明细!B2148&lt;=客户对账单!$I$4),出库明细!B2148+ROW()/100000,"")</f>
      </c>
      <c r="H2148">
        <f>IF(AND(资金台帐!K651&lt;&gt;"",资金台帐!K651=供应商对账单!$B$4,资金台帐!P651="应付",ISNUMBER(资金台帐!B651),资金台帐!B651&gt;=供应商对账单!$G$4,资金台帐!B651&lt;=供应商对账单!$I$4),资金台帐!B651+ROW()/100000,"")</f>
      </c>
      <c r="N2148">
        <f>IF(AND(ISNUMBER(出库明细!G2148),ISNUMBER(出库明细!E2148),ISNUMBER(出库明细!F2148)),IF(ABS(出库明细!G2148-出库明细!E2148*出库明细!F2148)&gt;0.005,1,0),0)</f>
        <v>0</v>
      </c>
    </row>
    <row r="2149">
      <c r="A2149">
        <f>IF(OR(出库明细!C1149="",出库明细!D1149=""),"",IF(OR(COUNTIFS(存条明细!$C$4:$C$1003,出库明细!C1149,存条明细!$D$4:$D$1003,出库明细!D1149)&gt;0,COUNTIFS(出库明细!$C$4:C1149,出库明细!C1149,出库明细!$D$4:D1149,出库明细!D1149)&gt;1),"",IFERROR(MATCH(出库明细!C1149,总览汇总!$B$5:$B$304,0),900)*10000000+IFERROR(MATCH(出库明细!D1149,基础资料!$E$5:$E$104,0),900)*10000+ROW()))</f>
      </c>
      <c r="F2149">
        <f>IF(AND(出库明细!C2149&lt;&gt;"",出库明细!C2149=客户对账单!$B$4,ISNUMBER(出库明细!B2149),出库明细!B2149&gt;=客户对账单!$G$4,出库明细!B2149&lt;=客户对账单!$I$4),出库明细!B2149+ROW()/100000,"")</f>
      </c>
      <c r="H2149">
        <f>IF(AND(资金台帐!K652&lt;&gt;"",资金台帐!K652=供应商对账单!$B$4,资金台帐!P652="应付",ISNUMBER(资金台帐!B652),资金台帐!B652&gt;=供应商对账单!$G$4,资金台帐!B652&lt;=供应商对账单!$I$4),资金台帐!B652+ROW()/100000,"")</f>
      </c>
      <c r="N2149">
        <f>IF(AND(ISNUMBER(出库明细!G2149),ISNUMBER(出库明细!E2149),ISNUMBER(出库明细!F2149)),IF(ABS(出库明细!G2149-出库明细!E2149*出库明细!F2149)&gt;0.005,1,0),0)</f>
        <v>0</v>
      </c>
    </row>
    <row r="2150">
      <c r="A2150">
        <f>IF(OR(出库明细!C1150="",出库明细!D1150=""),"",IF(OR(COUNTIFS(存条明细!$C$4:$C$1003,出库明细!C1150,存条明细!$D$4:$D$1003,出库明细!D1150)&gt;0,COUNTIFS(出库明细!$C$4:C1150,出库明细!C1150,出库明细!$D$4:D1150,出库明细!D1150)&gt;1),"",IFERROR(MATCH(出库明细!C1150,总览汇总!$B$5:$B$304,0),900)*10000000+IFERROR(MATCH(出库明细!D1150,基础资料!$E$5:$E$104,0),900)*10000+ROW()))</f>
      </c>
      <c r="F2150">
        <f>IF(AND(出库明细!C2150&lt;&gt;"",出库明细!C2150=客户对账单!$B$4,ISNUMBER(出库明细!B2150),出库明细!B2150&gt;=客户对账单!$G$4,出库明细!B2150&lt;=客户对账单!$I$4),出库明细!B2150+ROW()/100000,"")</f>
      </c>
      <c r="H2150">
        <f>IF(AND(资金台帐!K653&lt;&gt;"",资金台帐!K653=供应商对账单!$B$4,资金台帐!P653="应付",ISNUMBER(资金台帐!B653),资金台帐!B653&gt;=供应商对账单!$G$4,资金台帐!B653&lt;=供应商对账单!$I$4),资金台帐!B653+ROW()/100000,"")</f>
      </c>
      <c r="N2150">
        <f>IF(AND(ISNUMBER(出库明细!G2150),ISNUMBER(出库明细!E2150),ISNUMBER(出库明细!F2150)),IF(ABS(出库明细!G2150-出库明细!E2150*出库明细!F2150)&gt;0.005,1,0),0)</f>
        <v>0</v>
      </c>
    </row>
    <row r="2151">
      <c r="A2151">
        <f>IF(OR(出库明细!C1151="",出库明细!D1151=""),"",IF(OR(COUNTIFS(存条明细!$C$4:$C$1003,出库明细!C1151,存条明细!$D$4:$D$1003,出库明细!D1151)&gt;0,COUNTIFS(出库明细!$C$4:C1151,出库明细!C1151,出库明细!$D$4:D1151,出库明细!D1151)&gt;1),"",IFERROR(MATCH(出库明细!C1151,总览汇总!$B$5:$B$304,0),900)*10000000+IFERROR(MATCH(出库明细!D1151,基础资料!$E$5:$E$104,0),900)*10000+ROW()))</f>
      </c>
      <c r="F2151">
        <f>IF(AND(出库明细!C2151&lt;&gt;"",出库明细!C2151=客户对账单!$B$4,ISNUMBER(出库明细!B2151),出库明细!B2151&gt;=客户对账单!$G$4,出库明细!B2151&lt;=客户对账单!$I$4),出库明细!B2151+ROW()/100000,"")</f>
      </c>
      <c r="H2151">
        <f>IF(AND(资金台帐!K654&lt;&gt;"",资金台帐!K654=供应商对账单!$B$4,资金台帐!P654="应付",ISNUMBER(资金台帐!B654),资金台帐!B654&gt;=供应商对账单!$G$4,资金台帐!B654&lt;=供应商对账单!$I$4),资金台帐!B654+ROW()/100000,"")</f>
      </c>
      <c r="N2151">
        <f>IF(AND(ISNUMBER(出库明细!G2151),ISNUMBER(出库明细!E2151),ISNUMBER(出库明细!F2151)),IF(ABS(出库明细!G2151-出库明细!E2151*出库明细!F2151)&gt;0.005,1,0),0)</f>
        <v>0</v>
      </c>
    </row>
    <row r="2152">
      <c r="A2152">
        <f>IF(OR(出库明细!C1152="",出库明细!D1152=""),"",IF(OR(COUNTIFS(存条明细!$C$4:$C$1003,出库明细!C1152,存条明细!$D$4:$D$1003,出库明细!D1152)&gt;0,COUNTIFS(出库明细!$C$4:C1152,出库明细!C1152,出库明细!$D$4:D1152,出库明细!D1152)&gt;1),"",IFERROR(MATCH(出库明细!C1152,总览汇总!$B$5:$B$304,0),900)*10000000+IFERROR(MATCH(出库明细!D1152,基础资料!$E$5:$E$104,0),900)*10000+ROW()))</f>
      </c>
      <c r="F2152">
        <f>IF(AND(出库明细!C2152&lt;&gt;"",出库明细!C2152=客户对账单!$B$4,ISNUMBER(出库明细!B2152),出库明细!B2152&gt;=客户对账单!$G$4,出库明细!B2152&lt;=客户对账单!$I$4),出库明细!B2152+ROW()/100000,"")</f>
      </c>
      <c r="H2152">
        <f>IF(AND(资金台帐!K655&lt;&gt;"",资金台帐!K655=供应商对账单!$B$4,资金台帐!P655="应付",ISNUMBER(资金台帐!B655),资金台帐!B655&gt;=供应商对账单!$G$4,资金台帐!B655&lt;=供应商对账单!$I$4),资金台帐!B655+ROW()/100000,"")</f>
      </c>
      <c r="N2152">
        <f>IF(AND(ISNUMBER(出库明细!G2152),ISNUMBER(出库明细!E2152),ISNUMBER(出库明细!F2152)),IF(ABS(出库明细!G2152-出库明细!E2152*出库明细!F2152)&gt;0.005,1,0),0)</f>
        <v>0</v>
      </c>
    </row>
    <row r="2153">
      <c r="A2153">
        <f>IF(OR(出库明细!C1153="",出库明细!D1153=""),"",IF(OR(COUNTIFS(存条明细!$C$4:$C$1003,出库明细!C1153,存条明细!$D$4:$D$1003,出库明细!D1153)&gt;0,COUNTIFS(出库明细!$C$4:C1153,出库明细!C1153,出库明细!$D$4:D1153,出库明细!D1153)&gt;1),"",IFERROR(MATCH(出库明细!C1153,总览汇总!$B$5:$B$304,0),900)*10000000+IFERROR(MATCH(出库明细!D1153,基础资料!$E$5:$E$104,0),900)*10000+ROW()))</f>
      </c>
      <c r="F2153">
        <f>IF(AND(出库明细!C2153&lt;&gt;"",出库明细!C2153=客户对账单!$B$4,ISNUMBER(出库明细!B2153),出库明细!B2153&gt;=客户对账单!$G$4,出库明细!B2153&lt;=客户对账单!$I$4),出库明细!B2153+ROW()/100000,"")</f>
      </c>
      <c r="H2153">
        <f>IF(AND(资金台帐!K656&lt;&gt;"",资金台帐!K656=供应商对账单!$B$4,资金台帐!P656="应付",ISNUMBER(资金台帐!B656),资金台帐!B656&gt;=供应商对账单!$G$4,资金台帐!B656&lt;=供应商对账单!$I$4),资金台帐!B656+ROW()/100000,"")</f>
      </c>
      <c r="N2153">
        <f>IF(AND(ISNUMBER(出库明细!G2153),ISNUMBER(出库明细!E2153),ISNUMBER(出库明细!F2153)),IF(ABS(出库明细!G2153-出库明细!E2153*出库明细!F2153)&gt;0.005,1,0),0)</f>
        <v>0</v>
      </c>
    </row>
    <row r="2154">
      <c r="A2154">
        <f>IF(OR(出库明细!C1154="",出库明细!D1154=""),"",IF(OR(COUNTIFS(存条明细!$C$4:$C$1003,出库明细!C1154,存条明细!$D$4:$D$1003,出库明细!D1154)&gt;0,COUNTIFS(出库明细!$C$4:C1154,出库明细!C1154,出库明细!$D$4:D1154,出库明细!D1154)&gt;1),"",IFERROR(MATCH(出库明细!C1154,总览汇总!$B$5:$B$304,0),900)*10000000+IFERROR(MATCH(出库明细!D1154,基础资料!$E$5:$E$104,0),900)*10000+ROW()))</f>
      </c>
      <c r="F2154">
        <f>IF(AND(出库明细!C2154&lt;&gt;"",出库明细!C2154=客户对账单!$B$4,ISNUMBER(出库明细!B2154),出库明细!B2154&gt;=客户对账单!$G$4,出库明细!B2154&lt;=客户对账单!$I$4),出库明细!B2154+ROW()/100000,"")</f>
      </c>
      <c r="H2154">
        <f>IF(AND(资金台帐!K657&lt;&gt;"",资金台帐!K657=供应商对账单!$B$4,资金台帐!P657="应付",ISNUMBER(资金台帐!B657),资金台帐!B657&gt;=供应商对账单!$G$4,资金台帐!B657&lt;=供应商对账单!$I$4),资金台帐!B657+ROW()/100000,"")</f>
      </c>
      <c r="N2154">
        <f>IF(AND(ISNUMBER(出库明细!G2154),ISNUMBER(出库明细!E2154),ISNUMBER(出库明细!F2154)),IF(ABS(出库明细!G2154-出库明细!E2154*出库明细!F2154)&gt;0.005,1,0),0)</f>
        <v>0</v>
      </c>
    </row>
    <row r="2155">
      <c r="A2155">
        <f>IF(OR(出库明细!C1155="",出库明细!D1155=""),"",IF(OR(COUNTIFS(存条明细!$C$4:$C$1003,出库明细!C1155,存条明细!$D$4:$D$1003,出库明细!D1155)&gt;0,COUNTIFS(出库明细!$C$4:C1155,出库明细!C1155,出库明细!$D$4:D1155,出库明细!D1155)&gt;1),"",IFERROR(MATCH(出库明细!C1155,总览汇总!$B$5:$B$304,0),900)*10000000+IFERROR(MATCH(出库明细!D1155,基础资料!$E$5:$E$104,0),900)*10000+ROW()))</f>
      </c>
      <c r="F2155">
        <f>IF(AND(出库明细!C2155&lt;&gt;"",出库明细!C2155=客户对账单!$B$4,ISNUMBER(出库明细!B2155),出库明细!B2155&gt;=客户对账单!$G$4,出库明细!B2155&lt;=客户对账单!$I$4),出库明细!B2155+ROW()/100000,"")</f>
      </c>
      <c r="H2155">
        <f>IF(AND(资金台帐!K658&lt;&gt;"",资金台帐!K658=供应商对账单!$B$4,资金台帐!P658="应付",ISNUMBER(资金台帐!B658),资金台帐!B658&gt;=供应商对账单!$G$4,资金台帐!B658&lt;=供应商对账单!$I$4),资金台帐!B658+ROW()/100000,"")</f>
      </c>
      <c r="N2155">
        <f>IF(AND(ISNUMBER(出库明细!G2155),ISNUMBER(出库明细!E2155),ISNUMBER(出库明细!F2155)),IF(ABS(出库明细!G2155-出库明细!E2155*出库明细!F2155)&gt;0.005,1,0),0)</f>
        <v>0</v>
      </c>
    </row>
    <row r="2156">
      <c r="A2156">
        <f>IF(OR(出库明细!C1156="",出库明细!D1156=""),"",IF(OR(COUNTIFS(存条明细!$C$4:$C$1003,出库明细!C1156,存条明细!$D$4:$D$1003,出库明细!D1156)&gt;0,COUNTIFS(出库明细!$C$4:C1156,出库明细!C1156,出库明细!$D$4:D1156,出库明细!D1156)&gt;1),"",IFERROR(MATCH(出库明细!C1156,总览汇总!$B$5:$B$304,0),900)*10000000+IFERROR(MATCH(出库明细!D1156,基础资料!$E$5:$E$104,0),900)*10000+ROW()))</f>
      </c>
      <c r="F2156">
        <f>IF(AND(出库明细!C2156&lt;&gt;"",出库明细!C2156=客户对账单!$B$4,ISNUMBER(出库明细!B2156),出库明细!B2156&gt;=客户对账单!$G$4,出库明细!B2156&lt;=客户对账单!$I$4),出库明细!B2156+ROW()/100000,"")</f>
      </c>
      <c r="H2156">
        <f>IF(AND(资金台帐!K659&lt;&gt;"",资金台帐!K659=供应商对账单!$B$4,资金台帐!P659="应付",ISNUMBER(资金台帐!B659),资金台帐!B659&gt;=供应商对账单!$G$4,资金台帐!B659&lt;=供应商对账单!$I$4),资金台帐!B659+ROW()/100000,"")</f>
      </c>
      <c r="N2156">
        <f>IF(AND(ISNUMBER(出库明细!G2156),ISNUMBER(出库明细!E2156),ISNUMBER(出库明细!F2156)),IF(ABS(出库明细!G2156-出库明细!E2156*出库明细!F2156)&gt;0.005,1,0),0)</f>
        <v>0</v>
      </c>
    </row>
    <row r="2157">
      <c r="A2157">
        <f>IF(OR(出库明细!C1157="",出库明细!D1157=""),"",IF(OR(COUNTIFS(存条明细!$C$4:$C$1003,出库明细!C1157,存条明细!$D$4:$D$1003,出库明细!D1157)&gt;0,COUNTIFS(出库明细!$C$4:C1157,出库明细!C1157,出库明细!$D$4:D1157,出库明细!D1157)&gt;1),"",IFERROR(MATCH(出库明细!C1157,总览汇总!$B$5:$B$304,0),900)*10000000+IFERROR(MATCH(出库明细!D1157,基础资料!$E$5:$E$104,0),900)*10000+ROW()))</f>
      </c>
      <c r="F2157">
        <f>IF(AND(出库明细!C2157&lt;&gt;"",出库明细!C2157=客户对账单!$B$4,ISNUMBER(出库明细!B2157),出库明细!B2157&gt;=客户对账单!$G$4,出库明细!B2157&lt;=客户对账单!$I$4),出库明细!B2157+ROW()/100000,"")</f>
      </c>
      <c r="H2157">
        <f>IF(AND(资金台帐!K660&lt;&gt;"",资金台帐!K660=供应商对账单!$B$4,资金台帐!P660="应付",ISNUMBER(资金台帐!B660),资金台帐!B660&gt;=供应商对账单!$G$4,资金台帐!B660&lt;=供应商对账单!$I$4),资金台帐!B660+ROW()/100000,"")</f>
      </c>
      <c r="N2157">
        <f>IF(AND(ISNUMBER(出库明细!G2157),ISNUMBER(出库明细!E2157),ISNUMBER(出库明细!F2157)),IF(ABS(出库明细!G2157-出库明细!E2157*出库明细!F2157)&gt;0.005,1,0),0)</f>
        <v>0</v>
      </c>
    </row>
    <row r="2158">
      <c r="A2158">
        <f>IF(OR(出库明细!C1158="",出库明细!D1158=""),"",IF(OR(COUNTIFS(存条明细!$C$4:$C$1003,出库明细!C1158,存条明细!$D$4:$D$1003,出库明细!D1158)&gt;0,COUNTIFS(出库明细!$C$4:C1158,出库明细!C1158,出库明细!$D$4:D1158,出库明细!D1158)&gt;1),"",IFERROR(MATCH(出库明细!C1158,总览汇总!$B$5:$B$304,0),900)*10000000+IFERROR(MATCH(出库明细!D1158,基础资料!$E$5:$E$104,0),900)*10000+ROW()))</f>
      </c>
      <c r="F2158">
        <f>IF(AND(出库明细!C2158&lt;&gt;"",出库明细!C2158=客户对账单!$B$4,ISNUMBER(出库明细!B2158),出库明细!B2158&gt;=客户对账单!$G$4,出库明细!B2158&lt;=客户对账单!$I$4),出库明细!B2158+ROW()/100000,"")</f>
      </c>
      <c r="H2158">
        <f>IF(AND(资金台帐!K661&lt;&gt;"",资金台帐!K661=供应商对账单!$B$4,资金台帐!P661="应付",ISNUMBER(资金台帐!B661),资金台帐!B661&gt;=供应商对账单!$G$4,资金台帐!B661&lt;=供应商对账单!$I$4),资金台帐!B661+ROW()/100000,"")</f>
      </c>
      <c r="N2158">
        <f>IF(AND(ISNUMBER(出库明细!G2158),ISNUMBER(出库明细!E2158),ISNUMBER(出库明细!F2158)),IF(ABS(出库明细!G2158-出库明细!E2158*出库明细!F2158)&gt;0.005,1,0),0)</f>
        <v>0</v>
      </c>
    </row>
    <row r="2159">
      <c r="A2159">
        <f>IF(OR(出库明细!C1159="",出库明细!D1159=""),"",IF(OR(COUNTIFS(存条明细!$C$4:$C$1003,出库明细!C1159,存条明细!$D$4:$D$1003,出库明细!D1159)&gt;0,COUNTIFS(出库明细!$C$4:C1159,出库明细!C1159,出库明细!$D$4:D1159,出库明细!D1159)&gt;1),"",IFERROR(MATCH(出库明细!C1159,总览汇总!$B$5:$B$304,0),900)*10000000+IFERROR(MATCH(出库明细!D1159,基础资料!$E$5:$E$104,0),900)*10000+ROW()))</f>
      </c>
      <c r="F2159">
        <f>IF(AND(出库明细!C2159&lt;&gt;"",出库明细!C2159=客户对账单!$B$4,ISNUMBER(出库明细!B2159),出库明细!B2159&gt;=客户对账单!$G$4,出库明细!B2159&lt;=客户对账单!$I$4),出库明细!B2159+ROW()/100000,"")</f>
      </c>
      <c r="H2159">
        <f>IF(AND(资金台帐!K662&lt;&gt;"",资金台帐!K662=供应商对账单!$B$4,资金台帐!P662="应付",ISNUMBER(资金台帐!B662),资金台帐!B662&gt;=供应商对账单!$G$4,资金台帐!B662&lt;=供应商对账单!$I$4),资金台帐!B662+ROW()/100000,"")</f>
      </c>
      <c r="N2159">
        <f>IF(AND(ISNUMBER(出库明细!G2159),ISNUMBER(出库明细!E2159),ISNUMBER(出库明细!F2159)),IF(ABS(出库明细!G2159-出库明细!E2159*出库明细!F2159)&gt;0.005,1,0),0)</f>
        <v>0</v>
      </c>
    </row>
    <row r="2160">
      <c r="A2160">
        <f>IF(OR(出库明细!C1160="",出库明细!D1160=""),"",IF(OR(COUNTIFS(存条明细!$C$4:$C$1003,出库明细!C1160,存条明细!$D$4:$D$1003,出库明细!D1160)&gt;0,COUNTIFS(出库明细!$C$4:C1160,出库明细!C1160,出库明细!$D$4:D1160,出库明细!D1160)&gt;1),"",IFERROR(MATCH(出库明细!C1160,总览汇总!$B$5:$B$304,0),900)*10000000+IFERROR(MATCH(出库明细!D1160,基础资料!$E$5:$E$104,0),900)*10000+ROW()))</f>
      </c>
      <c r="F2160">
        <f>IF(AND(出库明细!C2160&lt;&gt;"",出库明细!C2160=客户对账单!$B$4,ISNUMBER(出库明细!B2160),出库明细!B2160&gt;=客户对账单!$G$4,出库明细!B2160&lt;=客户对账单!$I$4),出库明细!B2160+ROW()/100000,"")</f>
      </c>
      <c r="H2160">
        <f>IF(AND(资金台帐!K663&lt;&gt;"",资金台帐!K663=供应商对账单!$B$4,资金台帐!P663="应付",ISNUMBER(资金台帐!B663),资金台帐!B663&gt;=供应商对账单!$G$4,资金台帐!B663&lt;=供应商对账单!$I$4),资金台帐!B663+ROW()/100000,"")</f>
      </c>
      <c r="N2160">
        <f>IF(AND(ISNUMBER(出库明细!G2160),ISNUMBER(出库明细!E2160),ISNUMBER(出库明细!F2160)),IF(ABS(出库明细!G2160-出库明细!E2160*出库明细!F2160)&gt;0.005,1,0),0)</f>
        <v>0</v>
      </c>
    </row>
    <row r="2161">
      <c r="A2161">
        <f>IF(OR(出库明细!C1161="",出库明细!D1161=""),"",IF(OR(COUNTIFS(存条明细!$C$4:$C$1003,出库明细!C1161,存条明细!$D$4:$D$1003,出库明细!D1161)&gt;0,COUNTIFS(出库明细!$C$4:C1161,出库明细!C1161,出库明细!$D$4:D1161,出库明细!D1161)&gt;1),"",IFERROR(MATCH(出库明细!C1161,总览汇总!$B$5:$B$304,0),900)*10000000+IFERROR(MATCH(出库明细!D1161,基础资料!$E$5:$E$104,0),900)*10000+ROW()))</f>
      </c>
      <c r="F2161">
        <f>IF(AND(出库明细!C2161&lt;&gt;"",出库明细!C2161=客户对账单!$B$4,ISNUMBER(出库明细!B2161),出库明细!B2161&gt;=客户对账单!$G$4,出库明细!B2161&lt;=客户对账单!$I$4),出库明细!B2161+ROW()/100000,"")</f>
      </c>
      <c r="H2161">
        <f>IF(AND(资金台帐!K664&lt;&gt;"",资金台帐!K664=供应商对账单!$B$4,资金台帐!P664="应付",ISNUMBER(资金台帐!B664),资金台帐!B664&gt;=供应商对账单!$G$4,资金台帐!B664&lt;=供应商对账单!$I$4),资金台帐!B664+ROW()/100000,"")</f>
      </c>
      <c r="N2161">
        <f>IF(AND(ISNUMBER(出库明细!G2161),ISNUMBER(出库明细!E2161),ISNUMBER(出库明细!F2161)),IF(ABS(出库明细!G2161-出库明细!E2161*出库明细!F2161)&gt;0.005,1,0),0)</f>
        <v>0</v>
      </c>
    </row>
    <row r="2162">
      <c r="A2162">
        <f>IF(OR(出库明细!C1162="",出库明细!D1162=""),"",IF(OR(COUNTIFS(存条明细!$C$4:$C$1003,出库明细!C1162,存条明细!$D$4:$D$1003,出库明细!D1162)&gt;0,COUNTIFS(出库明细!$C$4:C1162,出库明细!C1162,出库明细!$D$4:D1162,出库明细!D1162)&gt;1),"",IFERROR(MATCH(出库明细!C1162,总览汇总!$B$5:$B$304,0),900)*10000000+IFERROR(MATCH(出库明细!D1162,基础资料!$E$5:$E$104,0),900)*10000+ROW()))</f>
      </c>
      <c r="F2162">
        <f>IF(AND(出库明细!C2162&lt;&gt;"",出库明细!C2162=客户对账单!$B$4,ISNUMBER(出库明细!B2162),出库明细!B2162&gt;=客户对账单!$G$4,出库明细!B2162&lt;=客户对账单!$I$4),出库明细!B2162+ROW()/100000,"")</f>
      </c>
      <c r="H2162">
        <f>IF(AND(资金台帐!K665&lt;&gt;"",资金台帐!K665=供应商对账单!$B$4,资金台帐!P665="应付",ISNUMBER(资金台帐!B665),资金台帐!B665&gt;=供应商对账单!$G$4,资金台帐!B665&lt;=供应商对账单!$I$4),资金台帐!B665+ROW()/100000,"")</f>
      </c>
      <c r="N2162">
        <f>IF(AND(ISNUMBER(出库明细!G2162),ISNUMBER(出库明细!E2162),ISNUMBER(出库明细!F2162)),IF(ABS(出库明细!G2162-出库明细!E2162*出库明细!F2162)&gt;0.005,1,0),0)</f>
        <v>0</v>
      </c>
    </row>
    <row r="2163">
      <c r="A2163">
        <f>IF(OR(出库明细!C1163="",出库明细!D1163=""),"",IF(OR(COUNTIFS(存条明细!$C$4:$C$1003,出库明细!C1163,存条明细!$D$4:$D$1003,出库明细!D1163)&gt;0,COUNTIFS(出库明细!$C$4:C1163,出库明细!C1163,出库明细!$D$4:D1163,出库明细!D1163)&gt;1),"",IFERROR(MATCH(出库明细!C1163,总览汇总!$B$5:$B$304,0),900)*10000000+IFERROR(MATCH(出库明细!D1163,基础资料!$E$5:$E$104,0),900)*10000+ROW()))</f>
      </c>
      <c r="F2163">
        <f>IF(AND(出库明细!C2163&lt;&gt;"",出库明细!C2163=客户对账单!$B$4,ISNUMBER(出库明细!B2163),出库明细!B2163&gt;=客户对账单!$G$4,出库明细!B2163&lt;=客户对账单!$I$4),出库明细!B2163+ROW()/100000,"")</f>
      </c>
      <c r="H2163">
        <f>IF(AND(资金台帐!K666&lt;&gt;"",资金台帐!K666=供应商对账单!$B$4,资金台帐!P666="应付",ISNUMBER(资金台帐!B666),资金台帐!B666&gt;=供应商对账单!$G$4,资金台帐!B666&lt;=供应商对账单!$I$4),资金台帐!B666+ROW()/100000,"")</f>
      </c>
      <c r="N2163">
        <f>IF(AND(ISNUMBER(出库明细!G2163),ISNUMBER(出库明细!E2163),ISNUMBER(出库明细!F2163)),IF(ABS(出库明细!G2163-出库明细!E2163*出库明细!F2163)&gt;0.005,1,0),0)</f>
        <v>0</v>
      </c>
    </row>
    <row r="2164">
      <c r="A2164">
        <f>IF(OR(出库明细!C1164="",出库明细!D1164=""),"",IF(OR(COUNTIFS(存条明细!$C$4:$C$1003,出库明细!C1164,存条明细!$D$4:$D$1003,出库明细!D1164)&gt;0,COUNTIFS(出库明细!$C$4:C1164,出库明细!C1164,出库明细!$D$4:D1164,出库明细!D1164)&gt;1),"",IFERROR(MATCH(出库明细!C1164,总览汇总!$B$5:$B$304,0),900)*10000000+IFERROR(MATCH(出库明细!D1164,基础资料!$E$5:$E$104,0),900)*10000+ROW()))</f>
      </c>
      <c r="F2164">
        <f>IF(AND(出库明细!C2164&lt;&gt;"",出库明细!C2164=客户对账单!$B$4,ISNUMBER(出库明细!B2164),出库明细!B2164&gt;=客户对账单!$G$4,出库明细!B2164&lt;=客户对账单!$I$4),出库明细!B2164+ROW()/100000,"")</f>
      </c>
      <c r="H2164">
        <f>IF(AND(资金台帐!K667&lt;&gt;"",资金台帐!K667=供应商对账单!$B$4,资金台帐!P667="应付",ISNUMBER(资金台帐!B667),资金台帐!B667&gt;=供应商对账单!$G$4,资金台帐!B667&lt;=供应商对账单!$I$4),资金台帐!B667+ROW()/100000,"")</f>
      </c>
      <c r="N2164">
        <f>IF(AND(ISNUMBER(出库明细!G2164),ISNUMBER(出库明细!E2164),ISNUMBER(出库明细!F2164)),IF(ABS(出库明细!G2164-出库明细!E2164*出库明细!F2164)&gt;0.005,1,0),0)</f>
        <v>0</v>
      </c>
    </row>
    <row r="2165">
      <c r="A2165">
        <f>IF(OR(出库明细!C1165="",出库明细!D1165=""),"",IF(OR(COUNTIFS(存条明细!$C$4:$C$1003,出库明细!C1165,存条明细!$D$4:$D$1003,出库明细!D1165)&gt;0,COUNTIFS(出库明细!$C$4:C1165,出库明细!C1165,出库明细!$D$4:D1165,出库明细!D1165)&gt;1),"",IFERROR(MATCH(出库明细!C1165,总览汇总!$B$5:$B$304,0),900)*10000000+IFERROR(MATCH(出库明细!D1165,基础资料!$E$5:$E$104,0),900)*10000+ROW()))</f>
      </c>
      <c r="F2165">
        <f>IF(AND(出库明细!C2165&lt;&gt;"",出库明细!C2165=客户对账单!$B$4,ISNUMBER(出库明细!B2165),出库明细!B2165&gt;=客户对账单!$G$4,出库明细!B2165&lt;=客户对账单!$I$4),出库明细!B2165+ROW()/100000,"")</f>
      </c>
      <c r="H2165">
        <f>IF(AND(资金台帐!K668&lt;&gt;"",资金台帐!K668=供应商对账单!$B$4,资金台帐!P668="应付",ISNUMBER(资金台帐!B668),资金台帐!B668&gt;=供应商对账单!$G$4,资金台帐!B668&lt;=供应商对账单!$I$4),资金台帐!B668+ROW()/100000,"")</f>
      </c>
      <c r="N2165">
        <f>IF(AND(ISNUMBER(出库明细!G2165),ISNUMBER(出库明细!E2165),ISNUMBER(出库明细!F2165)),IF(ABS(出库明细!G2165-出库明细!E2165*出库明细!F2165)&gt;0.005,1,0),0)</f>
        <v>0</v>
      </c>
    </row>
    <row r="2166">
      <c r="A2166">
        <f>IF(OR(出库明细!C1166="",出库明细!D1166=""),"",IF(OR(COUNTIFS(存条明细!$C$4:$C$1003,出库明细!C1166,存条明细!$D$4:$D$1003,出库明细!D1166)&gt;0,COUNTIFS(出库明细!$C$4:C1166,出库明细!C1166,出库明细!$D$4:D1166,出库明细!D1166)&gt;1),"",IFERROR(MATCH(出库明细!C1166,总览汇总!$B$5:$B$304,0),900)*10000000+IFERROR(MATCH(出库明细!D1166,基础资料!$E$5:$E$104,0),900)*10000+ROW()))</f>
      </c>
      <c r="F2166">
        <f>IF(AND(出库明细!C2166&lt;&gt;"",出库明细!C2166=客户对账单!$B$4,ISNUMBER(出库明细!B2166),出库明细!B2166&gt;=客户对账单!$G$4,出库明细!B2166&lt;=客户对账单!$I$4),出库明细!B2166+ROW()/100000,"")</f>
      </c>
      <c r="H2166">
        <f>IF(AND(资金台帐!K669&lt;&gt;"",资金台帐!K669=供应商对账单!$B$4,资金台帐!P669="应付",ISNUMBER(资金台帐!B669),资金台帐!B669&gt;=供应商对账单!$G$4,资金台帐!B669&lt;=供应商对账单!$I$4),资金台帐!B669+ROW()/100000,"")</f>
      </c>
      <c r="N2166">
        <f>IF(AND(ISNUMBER(出库明细!G2166),ISNUMBER(出库明细!E2166),ISNUMBER(出库明细!F2166)),IF(ABS(出库明细!G2166-出库明细!E2166*出库明细!F2166)&gt;0.005,1,0),0)</f>
        <v>0</v>
      </c>
    </row>
    <row r="2167">
      <c r="A2167">
        <f>IF(OR(出库明细!C1167="",出库明细!D1167=""),"",IF(OR(COUNTIFS(存条明细!$C$4:$C$1003,出库明细!C1167,存条明细!$D$4:$D$1003,出库明细!D1167)&gt;0,COUNTIFS(出库明细!$C$4:C1167,出库明细!C1167,出库明细!$D$4:D1167,出库明细!D1167)&gt;1),"",IFERROR(MATCH(出库明细!C1167,总览汇总!$B$5:$B$304,0),900)*10000000+IFERROR(MATCH(出库明细!D1167,基础资料!$E$5:$E$104,0),900)*10000+ROW()))</f>
      </c>
      <c r="F2167">
        <f>IF(AND(出库明细!C2167&lt;&gt;"",出库明细!C2167=客户对账单!$B$4,ISNUMBER(出库明细!B2167),出库明细!B2167&gt;=客户对账单!$G$4,出库明细!B2167&lt;=客户对账单!$I$4),出库明细!B2167+ROW()/100000,"")</f>
      </c>
      <c r="H2167">
        <f>IF(AND(资金台帐!K670&lt;&gt;"",资金台帐!K670=供应商对账单!$B$4,资金台帐!P670="应付",ISNUMBER(资金台帐!B670),资金台帐!B670&gt;=供应商对账单!$G$4,资金台帐!B670&lt;=供应商对账单!$I$4),资金台帐!B670+ROW()/100000,"")</f>
      </c>
      <c r="N2167">
        <f>IF(AND(ISNUMBER(出库明细!G2167),ISNUMBER(出库明细!E2167),ISNUMBER(出库明细!F2167)),IF(ABS(出库明细!G2167-出库明细!E2167*出库明细!F2167)&gt;0.005,1,0),0)</f>
        <v>0</v>
      </c>
    </row>
    <row r="2168">
      <c r="A2168">
        <f>IF(OR(出库明细!C1168="",出库明细!D1168=""),"",IF(OR(COUNTIFS(存条明细!$C$4:$C$1003,出库明细!C1168,存条明细!$D$4:$D$1003,出库明细!D1168)&gt;0,COUNTIFS(出库明细!$C$4:C1168,出库明细!C1168,出库明细!$D$4:D1168,出库明细!D1168)&gt;1),"",IFERROR(MATCH(出库明细!C1168,总览汇总!$B$5:$B$304,0),900)*10000000+IFERROR(MATCH(出库明细!D1168,基础资料!$E$5:$E$104,0),900)*10000+ROW()))</f>
      </c>
      <c r="F2168">
        <f>IF(AND(出库明细!C2168&lt;&gt;"",出库明细!C2168=客户对账单!$B$4,ISNUMBER(出库明细!B2168),出库明细!B2168&gt;=客户对账单!$G$4,出库明细!B2168&lt;=客户对账单!$I$4),出库明细!B2168+ROW()/100000,"")</f>
      </c>
      <c r="H2168">
        <f>IF(AND(资金台帐!K671&lt;&gt;"",资金台帐!K671=供应商对账单!$B$4,资金台帐!P671="应付",ISNUMBER(资金台帐!B671),资金台帐!B671&gt;=供应商对账单!$G$4,资金台帐!B671&lt;=供应商对账单!$I$4),资金台帐!B671+ROW()/100000,"")</f>
      </c>
      <c r="N2168">
        <f>IF(AND(ISNUMBER(出库明细!G2168),ISNUMBER(出库明细!E2168),ISNUMBER(出库明细!F2168)),IF(ABS(出库明细!G2168-出库明细!E2168*出库明细!F2168)&gt;0.005,1,0),0)</f>
        <v>0</v>
      </c>
    </row>
    <row r="2169">
      <c r="A2169">
        <f>IF(OR(出库明细!C1169="",出库明细!D1169=""),"",IF(OR(COUNTIFS(存条明细!$C$4:$C$1003,出库明细!C1169,存条明细!$D$4:$D$1003,出库明细!D1169)&gt;0,COUNTIFS(出库明细!$C$4:C1169,出库明细!C1169,出库明细!$D$4:D1169,出库明细!D1169)&gt;1),"",IFERROR(MATCH(出库明细!C1169,总览汇总!$B$5:$B$304,0),900)*10000000+IFERROR(MATCH(出库明细!D1169,基础资料!$E$5:$E$104,0),900)*10000+ROW()))</f>
      </c>
      <c r="F2169">
        <f>IF(AND(出库明细!C2169&lt;&gt;"",出库明细!C2169=客户对账单!$B$4,ISNUMBER(出库明细!B2169),出库明细!B2169&gt;=客户对账单!$G$4,出库明细!B2169&lt;=客户对账单!$I$4),出库明细!B2169+ROW()/100000,"")</f>
      </c>
      <c r="H2169">
        <f>IF(AND(资金台帐!K672&lt;&gt;"",资金台帐!K672=供应商对账单!$B$4,资金台帐!P672="应付",ISNUMBER(资金台帐!B672),资金台帐!B672&gt;=供应商对账单!$G$4,资金台帐!B672&lt;=供应商对账单!$I$4),资金台帐!B672+ROW()/100000,"")</f>
      </c>
      <c r="N2169">
        <f>IF(AND(ISNUMBER(出库明细!G2169),ISNUMBER(出库明细!E2169),ISNUMBER(出库明细!F2169)),IF(ABS(出库明细!G2169-出库明细!E2169*出库明细!F2169)&gt;0.005,1,0),0)</f>
        <v>0</v>
      </c>
    </row>
    <row r="2170">
      <c r="A2170">
        <f>IF(OR(出库明细!C1170="",出库明细!D1170=""),"",IF(OR(COUNTIFS(存条明细!$C$4:$C$1003,出库明细!C1170,存条明细!$D$4:$D$1003,出库明细!D1170)&gt;0,COUNTIFS(出库明细!$C$4:C1170,出库明细!C1170,出库明细!$D$4:D1170,出库明细!D1170)&gt;1),"",IFERROR(MATCH(出库明细!C1170,总览汇总!$B$5:$B$304,0),900)*10000000+IFERROR(MATCH(出库明细!D1170,基础资料!$E$5:$E$104,0),900)*10000+ROW()))</f>
      </c>
      <c r="F2170">
        <f>IF(AND(出库明细!C2170&lt;&gt;"",出库明细!C2170=客户对账单!$B$4,ISNUMBER(出库明细!B2170),出库明细!B2170&gt;=客户对账单!$G$4,出库明细!B2170&lt;=客户对账单!$I$4),出库明细!B2170+ROW()/100000,"")</f>
      </c>
      <c r="H2170">
        <f>IF(AND(资金台帐!K673&lt;&gt;"",资金台帐!K673=供应商对账单!$B$4,资金台帐!P673="应付",ISNUMBER(资金台帐!B673),资金台帐!B673&gt;=供应商对账单!$G$4,资金台帐!B673&lt;=供应商对账单!$I$4),资金台帐!B673+ROW()/100000,"")</f>
      </c>
      <c r="N2170">
        <f>IF(AND(ISNUMBER(出库明细!G2170),ISNUMBER(出库明细!E2170),ISNUMBER(出库明细!F2170)),IF(ABS(出库明细!G2170-出库明细!E2170*出库明细!F2170)&gt;0.005,1,0),0)</f>
        <v>0</v>
      </c>
    </row>
    <row r="2171">
      <c r="A2171">
        <f>IF(OR(出库明细!C1171="",出库明细!D1171=""),"",IF(OR(COUNTIFS(存条明细!$C$4:$C$1003,出库明细!C1171,存条明细!$D$4:$D$1003,出库明细!D1171)&gt;0,COUNTIFS(出库明细!$C$4:C1171,出库明细!C1171,出库明细!$D$4:D1171,出库明细!D1171)&gt;1),"",IFERROR(MATCH(出库明细!C1171,总览汇总!$B$5:$B$304,0),900)*10000000+IFERROR(MATCH(出库明细!D1171,基础资料!$E$5:$E$104,0),900)*10000+ROW()))</f>
      </c>
      <c r="F2171">
        <f>IF(AND(出库明细!C2171&lt;&gt;"",出库明细!C2171=客户对账单!$B$4,ISNUMBER(出库明细!B2171),出库明细!B2171&gt;=客户对账单!$G$4,出库明细!B2171&lt;=客户对账单!$I$4),出库明细!B2171+ROW()/100000,"")</f>
      </c>
      <c r="H2171">
        <f>IF(AND(资金台帐!K674&lt;&gt;"",资金台帐!K674=供应商对账单!$B$4,资金台帐!P674="应付",ISNUMBER(资金台帐!B674),资金台帐!B674&gt;=供应商对账单!$G$4,资金台帐!B674&lt;=供应商对账单!$I$4),资金台帐!B674+ROW()/100000,"")</f>
      </c>
      <c r="N2171">
        <f>IF(AND(ISNUMBER(出库明细!G2171),ISNUMBER(出库明细!E2171),ISNUMBER(出库明细!F2171)),IF(ABS(出库明细!G2171-出库明细!E2171*出库明细!F2171)&gt;0.005,1,0),0)</f>
        <v>0</v>
      </c>
    </row>
    <row r="2172">
      <c r="A2172">
        <f>IF(OR(出库明细!C1172="",出库明细!D1172=""),"",IF(OR(COUNTIFS(存条明细!$C$4:$C$1003,出库明细!C1172,存条明细!$D$4:$D$1003,出库明细!D1172)&gt;0,COUNTIFS(出库明细!$C$4:C1172,出库明细!C1172,出库明细!$D$4:D1172,出库明细!D1172)&gt;1),"",IFERROR(MATCH(出库明细!C1172,总览汇总!$B$5:$B$304,0),900)*10000000+IFERROR(MATCH(出库明细!D1172,基础资料!$E$5:$E$104,0),900)*10000+ROW()))</f>
      </c>
      <c r="F2172">
        <f>IF(AND(出库明细!C2172&lt;&gt;"",出库明细!C2172=客户对账单!$B$4,ISNUMBER(出库明细!B2172),出库明细!B2172&gt;=客户对账单!$G$4,出库明细!B2172&lt;=客户对账单!$I$4),出库明细!B2172+ROW()/100000,"")</f>
      </c>
      <c r="H2172">
        <f>IF(AND(资金台帐!K675&lt;&gt;"",资金台帐!K675=供应商对账单!$B$4,资金台帐!P675="应付",ISNUMBER(资金台帐!B675),资金台帐!B675&gt;=供应商对账单!$G$4,资金台帐!B675&lt;=供应商对账单!$I$4),资金台帐!B675+ROW()/100000,"")</f>
      </c>
      <c r="N2172">
        <f>IF(AND(ISNUMBER(出库明细!G2172),ISNUMBER(出库明细!E2172),ISNUMBER(出库明细!F2172)),IF(ABS(出库明细!G2172-出库明细!E2172*出库明细!F2172)&gt;0.005,1,0),0)</f>
        <v>0</v>
      </c>
    </row>
    <row r="2173">
      <c r="A2173">
        <f>IF(OR(出库明细!C1173="",出库明细!D1173=""),"",IF(OR(COUNTIFS(存条明细!$C$4:$C$1003,出库明细!C1173,存条明细!$D$4:$D$1003,出库明细!D1173)&gt;0,COUNTIFS(出库明细!$C$4:C1173,出库明细!C1173,出库明细!$D$4:D1173,出库明细!D1173)&gt;1),"",IFERROR(MATCH(出库明细!C1173,总览汇总!$B$5:$B$304,0),900)*10000000+IFERROR(MATCH(出库明细!D1173,基础资料!$E$5:$E$104,0),900)*10000+ROW()))</f>
      </c>
      <c r="F2173">
        <f>IF(AND(出库明细!C2173&lt;&gt;"",出库明细!C2173=客户对账单!$B$4,ISNUMBER(出库明细!B2173),出库明细!B2173&gt;=客户对账单!$G$4,出库明细!B2173&lt;=客户对账单!$I$4),出库明细!B2173+ROW()/100000,"")</f>
      </c>
      <c r="H2173">
        <f>IF(AND(资金台帐!K676&lt;&gt;"",资金台帐!K676=供应商对账单!$B$4,资金台帐!P676="应付",ISNUMBER(资金台帐!B676),资金台帐!B676&gt;=供应商对账单!$G$4,资金台帐!B676&lt;=供应商对账单!$I$4),资金台帐!B676+ROW()/100000,"")</f>
      </c>
      <c r="N2173">
        <f>IF(AND(ISNUMBER(出库明细!G2173),ISNUMBER(出库明细!E2173),ISNUMBER(出库明细!F2173)),IF(ABS(出库明细!G2173-出库明细!E2173*出库明细!F2173)&gt;0.005,1,0),0)</f>
        <v>0</v>
      </c>
    </row>
    <row r="2174">
      <c r="A2174">
        <f>IF(OR(出库明细!C1174="",出库明细!D1174=""),"",IF(OR(COUNTIFS(存条明细!$C$4:$C$1003,出库明细!C1174,存条明细!$D$4:$D$1003,出库明细!D1174)&gt;0,COUNTIFS(出库明细!$C$4:C1174,出库明细!C1174,出库明细!$D$4:D1174,出库明细!D1174)&gt;1),"",IFERROR(MATCH(出库明细!C1174,总览汇总!$B$5:$B$304,0),900)*10000000+IFERROR(MATCH(出库明细!D1174,基础资料!$E$5:$E$104,0),900)*10000+ROW()))</f>
      </c>
      <c r="F2174">
        <f>IF(AND(出库明细!C2174&lt;&gt;"",出库明细!C2174=客户对账单!$B$4,ISNUMBER(出库明细!B2174),出库明细!B2174&gt;=客户对账单!$G$4,出库明细!B2174&lt;=客户对账单!$I$4),出库明细!B2174+ROW()/100000,"")</f>
      </c>
      <c r="H2174">
        <f>IF(AND(资金台帐!K677&lt;&gt;"",资金台帐!K677=供应商对账单!$B$4,资金台帐!P677="应付",ISNUMBER(资金台帐!B677),资金台帐!B677&gt;=供应商对账单!$G$4,资金台帐!B677&lt;=供应商对账单!$I$4),资金台帐!B677+ROW()/100000,"")</f>
      </c>
      <c r="N2174">
        <f>IF(AND(ISNUMBER(出库明细!G2174),ISNUMBER(出库明细!E2174),ISNUMBER(出库明细!F2174)),IF(ABS(出库明细!G2174-出库明细!E2174*出库明细!F2174)&gt;0.005,1,0),0)</f>
        <v>0</v>
      </c>
    </row>
    <row r="2175">
      <c r="A2175">
        <f>IF(OR(出库明细!C1175="",出库明细!D1175=""),"",IF(OR(COUNTIFS(存条明细!$C$4:$C$1003,出库明细!C1175,存条明细!$D$4:$D$1003,出库明细!D1175)&gt;0,COUNTIFS(出库明细!$C$4:C1175,出库明细!C1175,出库明细!$D$4:D1175,出库明细!D1175)&gt;1),"",IFERROR(MATCH(出库明细!C1175,总览汇总!$B$5:$B$304,0),900)*10000000+IFERROR(MATCH(出库明细!D1175,基础资料!$E$5:$E$104,0),900)*10000+ROW()))</f>
      </c>
      <c r="F2175">
        <f>IF(AND(出库明细!C2175&lt;&gt;"",出库明细!C2175=客户对账单!$B$4,ISNUMBER(出库明细!B2175),出库明细!B2175&gt;=客户对账单!$G$4,出库明细!B2175&lt;=客户对账单!$I$4),出库明细!B2175+ROW()/100000,"")</f>
      </c>
      <c r="H2175">
        <f>IF(AND(资金台帐!K678&lt;&gt;"",资金台帐!K678=供应商对账单!$B$4,资金台帐!P678="应付",ISNUMBER(资金台帐!B678),资金台帐!B678&gt;=供应商对账单!$G$4,资金台帐!B678&lt;=供应商对账单!$I$4),资金台帐!B678+ROW()/100000,"")</f>
      </c>
      <c r="N2175">
        <f>IF(AND(ISNUMBER(出库明细!G2175),ISNUMBER(出库明细!E2175),ISNUMBER(出库明细!F2175)),IF(ABS(出库明细!G2175-出库明细!E2175*出库明细!F2175)&gt;0.005,1,0),0)</f>
        <v>0</v>
      </c>
    </row>
    <row r="2176">
      <c r="A2176">
        <f>IF(OR(出库明细!C1176="",出库明细!D1176=""),"",IF(OR(COUNTIFS(存条明细!$C$4:$C$1003,出库明细!C1176,存条明细!$D$4:$D$1003,出库明细!D1176)&gt;0,COUNTIFS(出库明细!$C$4:C1176,出库明细!C1176,出库明细!$D$4:D1176,出库明细!D1176)&gt;1),"",IFERROR(MATCH(出库明细!C1176,总览汇总!$B$5:$B$304,0),900)*10000000+IFERROR(MATCH(出库明细!D1176,基础资料!$E$5:$E$104,0),900)*10000+ROW()))</f>
      </c>
      <c r="F2176">
        <f>IF(AND(出库明细!C2176&lt;&gt;"",出库明细!C2176=客户对账单!$B$4,ISNUMBER(出库明细!B2176),出库明细!B2176&gt;=客户对账单!$G$4,出库明细!B2176&lt;=客户对账单!$I$4),出库明细!B2176+ROW()/100000,"")</f>
      </c>
      <c r="H2176">
        <f>IF(AND(资金台帐!K679&lt;&gt;"",资金台帐!K679=供应商对账单!$B$4,资金台帐!P679="应付",ISNUMBER(资金台帐!B679),资金台帐!B679&gt;=供应商对账单!$G$4,资金台帐!B679&lt;=供应商对账单!$I$4),资金台帐!B679+ROW()/100000,"")</f>
      </c>
      <c r="N2176">
        <f>IF(AND(ISNUMBER(出库明细!G2176),ISNUMBER(出库明细!E2176),ISNUMBER(出库明细!F2176)),IF(ABS(出库明细!G2176-出库明细!E2176*出库明细!F2176)&gt;0.005,1,0),0)</f>
        <v>0</v>
      </c>
    </row>
    <row r="2177">
      <c r="A2177">
        <f>IF(OR(出库明细!C1177="",出库明细!D1177=""),"",IF(OR(COUNTIFS(存条明细!$C$4:$C$1003,出库明细!C1177,存条明细!$D$4:$D$1003,出库明细!D1177)&gt;0,COUNTIFS(出库明细!$C$4:C1177,出库明细!C1177,出库明细!$D$4:D1177,出库明细!D1177)&gt;1),"",IFERROR(MATCH(出库明细!C1177,总览汇总!$B$5:$B$304,0),900)*10000000+IFERROR(MATCH(出库明细!D1177,基础资料!$E$5:$E$104,0),900)*10000+ROW()))</f>
      </c>
      <c r="F2177">
        <f>IF(AND(出库明细!C2177&lt;&gt;"",出库明细!C2177=客户对账单!$B$4,ISNUMBER(出库明细!B2177),出库明细!B2177&gt;=客户对账单!$G$4,出库明细!B2177&lt;=客户对账单!$I$4),出库明细!B2177+ROW()/100000,"")</f>
      </c>
      <c r="H2177">
        <f>IF(AND(资金台帐!K680&lt;&gt;"",资金台帐!K680=供应商对账单!$B$4,资金台帐!P680="应付",ISNUMBER(资金台帐!B680),资金台帐!B680&gt;=供应商对账单!$G$4,资金台帐!B680&lt;=供应商对账单!$I$4),资金台帐!B680+ROW()/100000,"")</f>
      </c>
      <c r="N2177">
        <f>IF(AND(ISNUMBER(出库明细!G2177),ISNUMBER(出库明细!E2177),ISNUMBER(出库明细!F2177)),IF(ABS(出库明细!G2177-出库明细!E2177*出库明细!F2177)&gt;0.005,1,0),0)</f>
        <v>0</v>
      </c>
    </row>
    <row r="2178">
      <c r="A2178">
        <f>IF(OR(出库明细!C1178="",出库明细!D1178=""),"",IF(OR(COUNTIFS(存条明细!$C$4:$C$1003,出库明细!C1178,存条明细!$D$4:$D$1003,出库明细!D1178)&gt;0,COUNTIFS(出库明细!$C$4:C1178,出库明细!C1178,出库明细!$D$4:D1178,出库明细!D1178)&gt;1),"",IFERROR(MATCH(出库明细!C1178,总览汇总!$B$5:$B$304,0),900)*10000000+IFERROR(MATCH(出库明细!D1178,基础资料!$E$5:$E$104,0),900)*10000+ROW()))</f>
      </c>
      <c r="F2178">
        <f>IF(AND(出库明细!C2178&lt;&gt;"",出库明细!C2178=客户对账单!$B$4,ISNUMBER(出库明细!B2178),出库明细!B2178&gt;=客户对账单!$G$4,出库明细!B2178&lt;=客户对账单!$I$4),出库明细!B2178+ROW()/100000,"")</f>
      </c>
      <c r="H2178">
        <f>IF(AND(资金台帐!K681&lt;&gt;"",资金台帐!K681=供应商对账单!$B$4,资金台帐!P681="应付",ISNUMBER(资金台帐!B681),资金台帐!B681&gt;=供应商对账单!$G$4,资金台帐!B681&lt;=供应商对账单!$I$4),资金台帐!B681+ROW()/100000,"")</f>
      </c>
      <c r="N2178">
        <f>IF(AND(ISNUMBER(出库明细!G2178),ISNUMBER(出库明细!E2178),ISNUMBER(出库明细!F2178)),IF(ABS(出库明细!G2178-出库明细!E2178*出库明细!F2178)&gt;0.005,1,0),0)</f>
        <v>0</v>
      </c>
    </row>
    <row r="2179">
      <c r="A2179">
        <f>IF(OR(出库明细!C1179="",出库明细!D1179=""),"",IF(OR(COUNTIFS(存条明细!$C$4:$C$1003,出库明细!C1179,存条明细!$D$4:$D$1003,出库明细!D1179)&gt;0,COUNTIFS(出库明细!$C$4:C1179,出库明细!C1179,出库明细!$D$4:D1179,出库明细!D1179)&gt;1),"",IFERROR(MATCH(出库明细!C1179,总览汇总!$B$5:$B$304,0),900)*10000000+IFERROR(MATCH(出库明细!D1179,基础资料!$E$5:$E$104,0),900)*10000+ROW()))</f>
      </c>
      <c r="F2179">
        <f>IF(AND(出库明细!C2179&lt;&gt;"",出库明细!C2179=客户对账单!$B$4,ISNUMBER(出库明细!B2179),出库明细!B2179&gt;=客户对账单!$G$4,出库明细!B2179&lt;=客户对账单!$I$4),出库明细!B2179+ROW()/100000,"")</f>
      </c>
      <c r="H2179">
        <f>IF(AND(资金台帐!K682&lt;&gt;"",资金台帐!K682=供应商对账单!$B$4,资金台帐!P682="应付",ISNUMBER(资金台帐!B682),资金台帐!B682&gt;=供应商对账单!$G$4,资金台帐!B682&lt;=供应商对账单!$I$4),资金台帐!B682+ROW()/100000,"")</f>
      </c>
      <c r="N2179">
        <f>IF(AND(ISNUMBER(出库明细!G2179),ISNUMBER(出库明细!E2179),ISNUMBER(出库明细!F2179)),IF(ABS(出库明细!G2179-出库明细!E2179*出库明细!F2179)&gt;0.005,1,0),0)</f>
        <v>0</v>
      </c>
    </row>
    <row r="2180">
      <c r="A2180">
        <f>IF(OR(出库明细!C1180="",出库明细!D1180=""),"",IF(OR(COUNTIFS(存条明细!$C$4:$C$1003,出库明细!C1180,存条明细!$D$4:$D$1003,出库明细!D1180)&gt;0,COUNTIFS(出库明细!$C$4:C1180,出库明细!C1180,出库明细!$D$4:D1180,出库明细!D1180)&gt;1),"",IFERROR(MATCH(出库明细!C1180,总览汇总!$B$5:$B$304,0),900)*10000000+IFERROR(MATCH(出库明细!D1180,基础资料!$E$5:$E$104,0),900)*10000+ROW()))</f>
      </c>
      <c r="F2180">
        <f>IF(AND(出库明细!C2180&lt;&gt;"",出库明细!C2180=客户对账单!$B$4,ISNUMBER(出库明细!B2180),出库明细!B2180&gt;=客户对账单!$G$4,出库明细!B2180&lt;=客户对账单!$I$4),出库明细!B2180+ROW()/100000,"")</f>
      </c>
      <c r="H2180">
        <f>IF(AND(资金台帐!K683&lt;&gt;"",资金台帐!K683=供应商对账单!$B$4,资金台帐!P683="应付",ISNUMBER(资金台帐!B683),资金台帐!B683&gt;=供应商对账单!$G$4,资金台帐!B683&lt;=供应商对账单!$I$4),资金台帐!B683+ROW()/100000,"")</f>
      </c>
      <c r="N2180">
        <f>IF(AND(ISNUMBER(出库明细!G2180),ISNUMBER(出库明细!E2180),ISNUMBER(出库明细!F2180)),IF(ABS(出库明细!G2180-出库明细!E2180*出库明细!F2180)&gt;0.005,1,0),0)</f>
        <v>0</v>
      </c>
    </row>
    <row r="2181">
      <c r="A2181">
        <f>IF(OR(出库明细!C1181="",出库明细!D1181=""),"",IF(OR(COUNTIFS(存条明细!$C$4:$C$1003,出库明细!C1181,存条明细!$D$4:$D$1003,出库明细!D1181)&gt;0,COUNTIFS(出库明细!$C$4:C1181,出库明细!C1181,出库明细!$D$4:D1181,出库明细!D1181)&gt;1),"",IFERROR(MATCH(出库明细!C1181,总览汇总!$B$5:$B$304,0),900)*10000000+IFERROR(MATCH(出库明细!D1181,基础资料!$E$5:$E$104,0),900)*10000+ROW()))</f>
      </c>
      <c r="F2181">
        <f>IF(AND(出库明细!C2181&lt;&gt;"",出库明细!C2181=客户对账单!$B$4,ISNUMBER(出库明细!B2181),出库明细!B2181&gt;=客户对账单!$G$4,出库明细!B2181&lt;=客户对账单!$I$4),出库明细!B2181+ROW()/100000,"")</f>
      </c>
      <c r="H2181">
        <f>IF(AND(资金台帐!K684&lt;&gt;"",资金台帐!K684=供应商对账单!$B$4,资金台帐!P684="应付",ISNUMBER(资金台帐!B684),资金台帐!B684&gt;=供应商对账单!$G$4,资金台帐!B684&lt;=供应商对账单!$I$4),资金台帐!B684+ROW()/100000,"")</f>
      </c>
      <c r="N2181">
        <f>IF(AND(ISNUMBER(出库明细!G2181),ISNUMBER(出库明细!E2181),ISNUMBER(出库明细!F2181)),IF(ABS(出库明细!G2181-出库明细!E2181*出库明细!F2181)&gt;0.005,1,0),0)</f>
        <v>0</v>
      </c>
    </row>
    <row r="2182">
      <c r="A2182">
        <f>IF(OR(出库明细!C1182="",出库明细!D1182=""),"",IF(OR(COUNTIFS(存条明细!$C$4:$C$1003,出库明细!C1182,存条明细!$D$4:$D$1003,出库明细!D1182)&gt;0,COUNTIFS(出库明细!$C$4:C1182,出库明细!C1182,出库明细!$D$4:D1182,出库明细!D1182)&gt;1),"",IFERROR(MATCH(出库明细!C1182,总览汇总!$B$5:$B$304,0),900)*10000000+IFERROR(MATCH(出库明细!D1182,基础资料!$E$5:$E$104,0),900)*10000+ROW()))</f>
      </c>
      <c r="F2182">
        <f>IF(AND(出库明细!C2182&lt;&gt;"",出库明细!C2182=客户对账单!$B$4,ISNUMBER(出库明细!B2182),出库明细!B2182&gt;=客户对账单!$G$4,出库明细!B2182&lt;=客户对账单!$I$4),出库明细!B2182+ROW()/100000,"")</f>
      </c>
      <c r="H2182">
        <f>IF(AND(资金台帐!K685&lt;&gt;"",资金台帐!K685=供应商对账单!$B$4,资金台帐!P685="应付",ISNUMBER(资金台帐!B685),资金台帐!B685&gt;=供应商对账单!$G$4,资金台帐!B685&lt;=供应商对账单!$I$4),资金台帐!B685+ROW()/100000,"")</f>
      </c>
      <c r="N2182">
        <f>IF(AND(ISNUMBER(出库明细!G2182),ISNUMBER(出库明细!E2182),ISNUMBER(出库明细!F2182)),IF(ABS(出库明细!G2182-出库明细!E2182*出库明细!F2182)&gt;0.005,1,0),0)</f>
        <v>0</v>
      </c>
    </row>
    <row r="2183">
      <c r="A2183">
        <f>IF(OR(出库明细!C1183="",出库明细!D1183=""),"",IF(OR(COUNTIFS(存条明细!$C$4:$C$1003,出库明细!C1183,存条明细!$D$4:$D$1003,出库明细!D1183)&gt;0,COUNTIFS(出库明细!$C$4:C1183,出库明细!C1183,出库明细!$D$4:D1183,出库明细!D1183)&gt;1),"",IFERROR(MATCH(出库明细!C1183,总览汇总!$B$5:$B$304,0),900)*10000000+IFERROR(MATCH(出库明细!D1183,基础资料!$E$5:$E$104,0),900)*10000+ROW()))</f>
      </c>
      <c r="F2183">
        <f>IF(AND(出库明细!C2183&lt;&gt;"",出库明细!C2183=客户对账单!$B$4,ISNUMBER(出库明细!B2183),出库明细!B2183&gt;=客户对账单!$G$4,出库明细!B2183&lt;=客户对账单!$I$4),出库明细!B2183+ROW()/100000,"")</f>
      </c>
      <c r="H2183">
        <f>IF(AND(资金台帐!K686&lt;&gt;"",资金台帐!K686=供应商对账单!$B$4,资金台帐!P686="应付",ISNUMBER(资金台帐!B686),资金台帐!B686&gt;=供应商对账单!$G$4,资金台帐!B686&lt;=供应商对账单!$I$4),资金台帐!B686+ROW()/100000,"")</f>
      </c>
      <c r="N2183">
        <f>IF(AND(ISNUMBER(出库明细!G2183),ISNUMBER(出库明细!E2183),ISNUMBER(出库明细!F2183)),IF(ABS(出库明细!G2183-出库明细!E2183*出库明细!F2183)&gt;0.005,1,0),0)</f>
        <v>0</v>
      </c>
    </row>
    <row r="2184">
      <c r="A2184">
        <f>IF(OR(出库明细!C1184="",出库明细!D1184=""),"",IF(OR(COUNTIFS(存条明细!$C$4:$C$1003,出库明细!C1184,存条明细!$D$4:$D$1003,出库明细!D1184)&gt;0,COUNTIFS(出库明细!$C$4:C1184,出库明细!C1184,出库明细!$D$4:D1184,出库明细!D1184)&gt;1),"",IFERROR(MATCH(出库明细!C1184,总览汇总!$B$5:$B$304,0),900)*10000000+IFERROR(MATCH(出库明细!D1184,基础资料!$E$5:$E$104,0),900)*10000+ROW()))</f>
      </c>
      <c r="F2184">
        <f>IF(AND(出库明细!C2184&lt;&gt;"",出库明细!C2184=客户对账单!$B$4,ISNUMBER(出库明细!B2184),出库明细!B2184&gt;=客户对账单!$G$4,出库明细!B2184&lt;=客户对账单!$I$4),出库明细!B2184+ROW()/100000,"")</f>
      </c>
      <c r="H2184">
        <f>IF(AND(资金台帐!K687&lt;&gt;"",资金台帐!K687=供应商对账单!$B$4,资金台帐!P687="应付",ISNUMBER(资金台帐!B687),资金台帐!B687&gt;=供应商对账单!$G$4,资金台帐!B687&lt;=供应商对账单!$I$4),资金台帐!B687+ROW()/100000,"")</f>
      </c>
      <c r="N2184">
        <f>IF(AND(ISNUMBER(出库明细!G2184),ISNUMBER(出库明细!E2184),ISNUMBER(出库明细!F2184)),IF(ABS(出库明细!G2184-出库明细!E2184*出库明细!F2184)&gt;0.005,1,0),0)</f>
        <v>0</v>
      </c>
    </row>
    <row r="2185">
      <c r="A2185">
        <f>IF(OR(出库明细!C1185="",出库明细!D1185=""),"",IF(OR(COUNTIFS(存条明细!$C$4:$C$1003,出库明细!C1185,存条明细!$D$4:$D$1003,出库明细!D1185)&gt;0,COUNTIFS(出库明细!$C$4:C1185,出库明细!C1185,出库明细!$D$4:D1185,出库明细!D1185)&gt;1),"",IFERROR(MATCH(出库明细!C1185,总览汇总!$B$5:$B$304,0),900)*10000000+IFERROR(MATCH(出库明细!D1185,基础资料!$E$5:$E$104,0),900)*10000+ROW()))</f>
      </c>
      <c r="F2185">
        <f>IF(AND(出库明细!C2185&lt;&gt;"",出库明细!C2185=客户对账单!$B$4,ISNUMBER(出库明细!B2185),出库明细!B2185&gt;=客户对账单!$G$4,出库明细!B2185&lt;=客户对账单!$I$4),出库明细!B2185+ROW()/100000,"")</f>
      </c>
      <c r="H2185">
        <f>IF(AND(资金台帐!K688&lt;&gt;"",资金台帐!K688=供应商对账单!$B$4,资金台帐!P688="应付",ISNUMBER(资金台帐!B688),资金台帐!B688&gt;=供应商对账单!$G$4,资金台帐!B688&lt;=供应商对账单!$I$4),资金台帐!B688+ROW()/100000,"")</f>
      </c>
      <c r="N2185">
        <f>IF(AND(ISNUMBER(出库明细!G2185),ISNUMBER(出库明细!E2185),ISNUMBER(出库明细!F2185)),IF(ABS(出库明细!G2185-出库明细!E2185*出库明细!F2185)&gt;0.005,1,0),0)</f>
        <v>0</v>
      </c>
    </row>
    <row r="2186">
      <c r="A2186">
        <f>IF(OR(出库明细!C1186="",出库明细!D1186=""),"",IF(OR(COUNTIFS(存条明细!$C$4:$C$1003,出库明细!C1186,存条明细!$D$4:$D$1003,出库明细!D1186)&gt;0,COUNTIFS(出库明细!$C$4:C1186,出库明细!C1186,出库明细!$D$4:D1186,出库明细!D1186)&gt;1),"",IFERROR(MATCH(出库明细!C1186,总览汇总!$B$5:$B$304,0),900)*10000000+IFERROR(MATCH(出库明细!D1186,基础资料!$E$5:$E$104,0),900)*10000+ROW()))</f>
      </c>
      <c r="F2186">
        <f>IF(AND(出库明细!C2186&lt;&gt;"",出库明细!C2186=客户对账单!$B$4,ISNUMBER(出库明细!B2186),出库明细!B2186&gt;=客户对账单!$G$4,出库明细!B2186&lt;=客户对账单!$I$4),出库明细!B2186+ROW()/100000,"")</f>
      </c>
      <c r="H2186">
        <f>IF(AND(资金台帐!K689&lt;&gt;"",资金台帐!K689=供应商对账单!$B$4,资金台帐!P689="应付",ISNUMBER(资金台帐!B689),资金台帐!B689&gt;=供应商对账单!$G$4,资金台帐!B689&lt;=供应商对账单!$I$4),资金台帐!B689+ROW()/100000,"")</f>
      </c>
      <c r="N2186">
        <f>IF(AND(ISNUMBER(出库明细!G2186),ISNUMBER(出库明细!E2186),ISNUMBER(出库明细!F2186)),IF(ABS(出库明细!G2186-出库明细!E2186*出库明细!F2186)&gt;0.005,1,0),0)</f>
        <v>0</v>
      </c>
    </row>
    <row r="2187">
      <c r="A2187">
        <f>IF(OR(出库明细!C1187="",出库明细!D1187=""),"",IF(OR(COUNTIFS(存条明细!$C$4:$C$1003,出库明细!C1187,存条明细!$D$4:$D$1003,出库明细!D1187)&gt;0,COUNTIFS(出库明细!$C$4:C1187,出库明细!C1187,出库明细!$D$4:D1187,出库明细!D1187)&gt;1),"",IFERROR(MATCH(出库明细!C1187,总览汇总!$B$5:$B$304,0),900)*10000000+IFERROR(MATCH(出库明细!D1187,基础资料!$E$5:$E$104,0),900)*10000+ROW()))</f>
      </c>
      <c r="F2187">
        <f>IF(AND(出库明细!C2187&lt;&gt;"",出库明细!C2187=客户对账单!$B$4,ISNUMBER(出库明细!B2187),出库明细!B2187&gt;=客户对账单!$G$4,出库明细!B2187&lt;=客户对账单!$I$4),出库明细!B2187+ROW()/100000,"")</f>
      </c>
      <c r="H2187">
        <f>IF(AND(资金台帐!K690&lt;&gt;"",资金台帐!K690=供应商对账单!$B$4,资金台帐!P690="应付",ISNUMBER(资金台帐!B690),资金台帐!B690&gt;=供应商对账单!$G$4,资金台帐!B690&lt;=供应商对账单!$I$4),资金台帐!B690+ROW()/100000,"")</f>
      </c>
      <c r="N2187">
        <f>IF(AND(ISNUMBER(出库明细!G2187),ISNUMBER(出库明细!E2187),ISNUMBER(出库明细!F2187)),IF(ABS(出库明细!G2187-出库明细!E2187*出库明细!F2187)&gt;0.005,1,0),0)</f>
        <v>0</v>
      </c>
    </row>
    <row r="2188">
      <c r="A2188">
        <f>IF(OR(出库明细!C1188="",出库明细!D1188=""),"",IF(OR(COUNTIFS(存条明细!$C$4:$C$1003,出库明细!C1188,存条明细!$D$4:$D$1003,出库明细!D1188)&gt;0,COUNTIFS(出库明细!$C$4:C1188,出库明细!C1188,出库明细!$D$4:D1188,出库明细!D1188)&gt;1),"",IFERROR(MATCH(出库明细!C1188,总览汇总!$B$5:$B$304,0),900)*10000000+IFERROR(MATCH(出库明细!D1188,基础资料!$E$5:$E$104,0),900)*10000+ROW()))</f>
      </c>
      <c r="F2188">
        <f>IF(AND(出库明细!C2188&lt;&gt;"",出库明细!C2188=客户对账单!$B$4,ISNUMBER(出库明细!B2188),出库明细!B2188&gt;=客户对账单!$G$4,出库明细!B2188&lt;=客户对账单!$I$4),出库明细!B2188+ROW()/100000,"")</f>
      </c>
      <c r="H2188">
        <f>IF(AND(资金台帐!K691&lt;&gt;"",资金台帐!K691=供应商对账单!$B$4,资金台帐!P691="应付",ISNUMBER(资金台帐!B691),资金台帐!B691&gt;=供应商对账单!$G$4,资金台帐!B691&lt;=供应商对账单!$I$4),资金台帐!B691+ROW()/100000,"")</f>
      </c>
      <c r="N2188">
        <f>IF(AND(ISNUMBER(出库明细!G2188),ISNUMBER(出库明细!E2188),ISNUMBER(出库明细!F2188)),IF(ABS(出库明细!G2188-出库明细!E2188*出库明细!F2188)&gt;0.005,1,0),0)</f>
        <v>0</v>
      </c>
    </row>
    <row r="2189">
      <c r="A2189">
        <f>IF(OR(出库明细!C1189="",出库明细!D1189=""),"",IF(OR(COUNTIFS(存条明细!$C$4:$C$1003,出库明细!C1189,存条明细!$D$4:$D$1003,出库明细!D1189)&gt;0,COUNTIFS(出库明细!$C$4:C1189,出库明细!C1189,出库明细!$D$4:D1189,出库明细!D1189)&gt;1),"",IFERROR(MATCH(出库明细!C1189,总览汇总!$B$5:$B$304,0),900)*10000000+IFERROR(MATCH(出库明细!D1189,基础资料!$E$5:$E$104,0),900)*10000+ROW()))</f>
      </c>
      <c r="F2189">
        <f>IF(AND(出库明细!C2189&lt;&gt;"",出库明细!C2189=客户对账单!$B$4,ISNUMBER(出库明细!B2189),出库明细!B2189&gt;=客户对账单!$G$4,出库明细!B2189&lt;=客户对账单!$I$4),出库明细!B2189+ROW()/100000,"")</f>
      </c>
      <c r="H2189">
        <f>IF(AND(资金台帐!K692&lt;&gt;"",资金台帐!K692=供应商对账单!$B$4,资金台帐!P692="应付",ISNUMBER(资金台帐!B692),资金台帐!B692&gt;=供应商对账单!$G$4,资金台帐!B692&lt;=供应商对账单!$I$4),资金台帐!B692+ROW()/100000,"")</f>
      </c>
      <c r="N2189">
        <f>IF(AND(ISNUMBER(出库明细!G2189),ISNUMBER(出库明细!E2189),ISNUMBER(出库明细!F2189)),IF(ABS(出库明细!G2189-出库明细!E2189*出库明细!F2189)&gt;0.005,1,0),0)</f>
        <v>0</v>
      </c>
    </row>
    <row r="2190">
      <c r="A2190">
        <f>IF(OR(出库明细!C1190="",出库明细!D1190=""),"",IF(OR(COUNTIFS(存条明细!$C$4:$C$1003,出库明细!C1190,存条明细!$D$4:$D$1003,出库明细!D1190)&gt;0,COUNTIFS(出库明细!$C$4:C1190,出库明细!C1190,出库明细!$D$4:D1190,出库明细!D1190)&gt;1),"",IFERROR(MATCH(出库明细!C1190,总览汇总!$B$5:$B$304,0),900)*10000000+IFERROR(MATCH(出库明细!D1190,基础资料!$E$5:$E$104,0),900)*10000+ROW()))</f>
      </c>
      <c r="F2190">
        <f>IF(AND(出库明细!C2190&lt;&gt;"",出库明细!C2190=客户对账单!$B$4,ISNUMBER(出库明细!B2190),出库明细!B2190&gt;=客户对账单!$G$4,出库明细!B2190&lt;=客户对账单!$I$4),出库明细!B2190+ROW()/100000,"")</f>
      </c>
      <c r="H2190">
        <f>IF(AND(资金台帐!K693&lt;&gt;"",资金台帐!K693=供应商对账单!$B$4,资金台帐!P693="应付",ISNUMBER(资金台帐!B693),资金台帐!B693&gt;=供应商对账单!$G$4,资金台帐!B693&lt;=供应商对账单!$I$4),资金台帐!B693+ROW()/100000,"")</f>
      </c>
      <c r="N2190">
        <f>IF(AND(ISNUMBER(出库明细!G2190),ISNUMBER(出库明细!E2190),ISNUMBER(出库明细!F2190)),IF(ABS(出库明细!G2190-出库明细!E2190*出库明细!F2190)&gt;0.005,1,0),0)</f>
        <v>0</v>
      </c>
    </row>
    <row r="2191">
      <c r="A2191">
        <f>IF(OR(出库明细!C1191="",出库明细!D1191=""),"",IF(OR(COUNTIFS(存条明细!$C$4:$C$1003,出库明细!C1191,存条明细!$D$4:$D$1003,出库明细!D1191)&gt;0,COUNTIFS(出库明细!$C$4:C1191,出库明细!C1191,出库明细!$D$4:D1191,出库明细!D1191)&gt;1),"",IFERROR(MATCH(出库明细!C1191,总览汇总!$B$5:$B$304,0),900)*10000000+IFERROR(MATCH(出库明细!D1191,基础资料!$E$5:$E$104,0),900)*10000+ROW()))</f>
      </c>
      <c r="F2191">
        <f>IF(AND(出库明细!C2191&lt;&gt;"",出库明细!C2191=客户对账单!$B$4,ISNUMBER(出库明细!B2191),出库明细!B2191&gt;=客户对账单!$G$4,出库明细!B2191&lt;=客户对账单!$I$4),出库明细!B2191+ROW()/100000,"")</f>
      </c>
      <c r="H2191">
        <f>IF(AND(资金台帐!K694&lt;&gt;"",资金台帐!K694=供应商对账单!$B$4,资金台帐!P694="应付",ISNUMBER(资金台帐!B694),资金台帐!B694&gt;=供应商对账单!$G$4,资金台帐!B694&lt;=供应商对账单!$I$4),资金台帐!B694+ROW()/100000,"")</f>
      </c>
      <c r="N2191">
        <f>IF(AND(ISNUMBER(出库明细!G2191),ISNUMBER(出库明细!E2191),ISNUMBER(出库明细!F2191)),IF(ABS(出库明细!G2191-出库明细!E2191*出库明细!F2191)&gt;0.005,1,0),0)</f>
        <v>0</v>
      </c>
    </row>
    <row r="2192">
      <c r="A2192">
        <f>IF(OR(出库明细!C1192="",出库明细!D1192=""),"",IF(OR(COUNTIFS(存条明细!$C$4:$C$1003,出库明细!C1192,存条明细!$D$4:$D$1003,出库明细!D1192)&gt;0,COUNTIFS(出库明细!$C$4:C1192,出库明细!C1192,出库明细!$D$4:D1192,出库明细!D1192)&gt;1),"",IFERROR(MATCH(出库明细!C1192,总览汇总!$B$5:$B$304,0),900)*10000000+IFERROR(MATCH(出库明细!D1192,基础资料!$E$5:$E$104,0),900)*10000+ROW()))</f>
      </c>
      <c r="F2192">
        <f>IF(AND(出库明细!C2192&lt;&gt;"",出库明细!C2192=客户对账单!$B$4,ISNUMBER(出库明细!B2192),出库明细!B2192&gt;=客户对账单!$G$4,出库明细!B2192&lt;=客户对账单!$I$4),出库明细!B2192+ROW()/100000,"")</f>
      </c>
      <c r="H2192">
        <f>IF(AND(资金台帐!K695&lt;&gt;"",资金台帐!K695=供应商对账单!$B$4,资金台帐!P695="应付",ISNUMBER(资金台帐!B695),资金台帐!B695&gt;=供应商对账单!$G$4,资金台帐!B695&lt;=供应商对账单!$I$4),资金台帐!B695+ROW()/100000,"")</f>
      </c>
      <c r="N2192">
        <f>IF(AND(ISNUMBER(出库明细!G2192),ISNUMBER(出库明细!E2192),ISNUMBER(出库明细!F2192)),IF(ABS(出库明细!G2192-出库明细!E2192*出库明细!F2192)&gt;0.005,1,0),0)</f>
        <v>0</v>
      </c>
    </row>
    <row r="2193">
      <c r="A2193">
        <f>IF(OR(出库明细!C1193="",出库明细!D1193=""),"",IF(OR(COUNTIFS(存条明细!$C$4:$C$1003,出库明细!C1193,存条明细!$D$4:$D$1003,出库明细!D1193)&gt;0,COUNTIFS(出库明细!$C$4:C1193,出库明细!C1193,出库明细!$D$4:D1193,出库明细!D1193)&gt;1),"",IFERROR(MATCH(出库明细!C1193,总览汇总!$B$5:$B$304,0),900)*10000000+IFERROR(MATCH(出库明细!D1193,基础资料!$E$5:$E$104,0),900)*10000+ROW()))</f>
      </c>
      <c r="F2193">
        <f>IF(AND(出库明细!C2193&lt;&gt;"",出库明细!C2193=客户对账单!$B$4,ISNUMBER(出库明细!B2193),出库明细!B2193&gt;=客户对账单!$G$4,出库明细!B2193&lt;=客户对账单!$I$4),出库明细!B2193+ROW()/100000,"")</f>
      </c>
      <c r="H2193">
        <f>IF(AND(资金台帐!K696&lt;&gt;"",资金台帐!K696=供应商对账单!$B$4,资金台帐!P696="应付",ISNUMBER(资金台帐!B696),资金台帐!B696&gt;=供应商对账单!$G$4,资金台帐!B696&lt;=供应商对账单!$I$4),资金台帐!B696+ROW()/100000,"")</f>
      </c>
      <c r="N2193">
        <f>IF(AND(ISNUMBER(出库明细!G2193),ISNUMBER(出库明细!E2193),ISNUMBER(出库明细!F2193)),IF(ABS(出库明细!G2193-出库明细!E2193*出库明细!F2193)&gt;0.005,1,0),0)</f>
        <v>0</v>
      </c>
    </row>
    <row r="2194">
      <c r="A2194">
        <f>IF(OR(出库明细!C1194="",出库明细!D1194=""),"",IF(OR(COUNTIFS(存条明细!$C$4:$C$1003,出库明细!C1194,存条明细!$D$4:$D$1003,出库明细!D1194)&gt;0,COUNTIFS(出库明细!$C$4:C1194,出库明细!C1194,出库明细!$D$4:D1194,出库明细!D1194)&gt;1),"",IFERROR(MATCH(出库明细!C1194,总览汇总!$B$5:$B$304,0),900)*10000000+IFERROR(MATCH(出库明细!D1194,基础资料!$E$5:$E$104,0),900)*10000+ROW()))</f>
      </c>
      <c r="F2194">
        <f>IF(AND(出库明细!C2194&lt;&gt;"",出库明细!C2194=客户对账单!$B$4,ISNUMBER(出库明细!B2194),出库明细!B2194&gt;=客户对账单!$G$4,出库明细!B2194&lt;=客户对账单!$I$4),出库明细!B2194+ROW()/100000,"")</f>
      </c>
      <c r="H2194">
        <f>IF(AND(资金台帐!K697&lt;&gt;"",资金台帐!K697=供应商对账单!$B$4,资金台帐!P697="应付",ISNUMBER(资金台帐!B697),资金台帐!B697&gt;=供应商对账单!$G$4,资金台帐!B697&lt;=供应商对账单!$I$4),资金台帐!B697+ROW()/100000,"")</f>
      </c>
      <c r="N2194">
        <f>IF(AND(ISNUMBER(出库明细!G2194),ISNUMBER(出库明细!E2194),ISNUMBER(出库明细!F2194)),IF(ABS(出库明细!G2194-出库明细!E2194*出库明细!F2194)&gt;0.005,1,0),0)</f>
        <v>0</v>
      </c>
    </row>
    <row r="2195">
      <c r="A2195">
        <f>IF(OR(出库明细!C1195="",出库明细!D1195=""),"",IF(OR(COUNTIFS(存条明细!$C$4:$C$1003,出库明细!C1195,存条明细!$D$4:$D$1003,出库明细!D1195)&gt;0,COUNTIFS(出库明细!$C$4:C1195,出库明细!C1195,出库明细!$D$4:D1195,出库明细!D1195)&gt;1),"",IFERROR(MATCH(出库明细!C1195,总览汇总!$B$5:$B$304,0),900)*10000000+IFERROR(MATCH(出库明细!D1195,基础资料!$E$5:$E$104,0),900)*10000+ROW()))</f>
      </c>
      <c r="F2195">
        <f>IF(AND(出库明细!C2195&lt;&gt;"",出库明细!C2195=客户对账单!$B$4,ISNUMBER(出库明细!B2195),出库明细!B2195&gt;=客户对账单!$G$4,出库明细!B2195&lt;=客户对账单!$I$4),出库明细!B2195+ROW()/100000,"")</f>
      </c>
      <c r="H2195">
        <f>IF(AND(资金台帐!K698&lt;&gt;"",资金台帐!K698=供应商对账单!$B$4,资金台帐!P698="应付",ISNUMBER(资金台帐!B698),资金台帐!B698&gt;=供应商对账单!$G$4,资金台帐!B698&lt;=供应商对账单!$I$4),资金台帐!B698+ROW()/100000,"")</f>
      </c>
      <c r="N2195">
        <f>IF(AND(ISNUMBER(出库明细!G2195),ISNUMBER(出库明细!E2195),ISNUMBER(出库明细!F2195)),IF(ABS(出库明细!G2195-出库明细!E2195*出库明细!F2195)&gt;0.005,1,0),0)</f>
        <v>0</v>
      </c>
    </row>
    <row r="2196">
      <c r="A2196">
        <f>IF(OR(出库明细!C1196="",出库明细!D1196=""),"",IF(OR(COUNTIFS(存条明细!$C$4:$C$1003,出库明细!C1196,存条明细!$D$4:$D$1003,出库明细!D1196)&gt;0,COUNTIFS(出库明细!$C$4:C1196,出库明细!C1196,出库明细!$D$4:D1196,出库明细!D1196)&gt;1),"",IFERROR(MATCH(出库明细!C1196,总览汇总!$B$5:$B$304,0),900)*10000000+IFERROR(MATCH(出库明细!D1196,基础资料!$E$5:$E$104,0),900)*10000+ROW()))</f>
      </c>
      <c r="F2196">
        <f>IF(AND(出库明细!C2196&lt;&gt;"",出库明细!C2196=客户对账单!$B$4,ISNUMBER(出库明细!B2196),出库明细!B2196&gt;=客户对账单!$G$4,出库明细!B2196&lt;=客户对账单!$I$4),出库明细!B2196+ROW()/100000,"")</f>
      </c>
      <c r="H2196">
        <f>IF(AND(资金台帐!K699&lt;&gt;"",资金台帐!K699=供应商对账单!$B$4,资金台帐!P699="应付",ISNUMBER(资金台帐!B699),资金台帐!B699&gt;=供应商对账单!$G$4,资金台帐!B699&lt;=供应商对账单!$I$4),资金台帐!B699+ROW()/100000,"")</f>
      </c>
      <c r="N2196">
        <f>IF(AND(ISNUMBER(出库明细!G2196),ISNUMBER(出库明细!E2196),ISNUMBER(出库明细!F2196)),IF(ABS(出库明细!G2196-出库明细!E2196*出库明细!F2196)&gt;0.005,1,0),0)</f>
        <v>0</v>
      </c>
    </row>
    <row r="2197">
      <c r="A2197">
        <f>IF(OR(出库明细!C1197="",出库明细!D1197=""),"",IF(OR(COUNTIFS(存条明细!$C$4:$C$1003,出库明细!C1197,存条明细!$D$4:$D$1003,出库明细!D1197)&gt;0,COUNTIFS(出库明细!$C$4:C1197,出库明细!C1197,出库明细!$D$4:D1197,出库明细!D1197)&gt;1),"",IFERROR(MATCH(出库明细!C1197,总览汇总!$B$5:$B$304,0),900)*10000000+IFERROR(MATCH(出库明细!D1197,基础资料!$E$5:$E$104,0),900)*10000+ROW()))</f>
      </c>
      <c r="F2197">
        <f>IF(AND(出库明细!C2197&lt;&gt;"",出库明细!C2197=客户对账单!$B$4,ISNUMBER(出库明细!B2197),出库明细!B2197&gt;=客户对账单!$G$4,出库明细!B2197&lt;=客户对账单!$I$4),出库明细!B2197+ROW()/100000,"")</f>
      </c>
      <c r="H2197">
        <f>IF(AND(资金台帐!K700&lt;&gt;"",资金台帐!K700=供应商对账单!$B$4,资金台帐!P700="应付",ISNUMBER(资金台帐!B700),资金台帐!B700&gt;=供应商对账单!$G$4,资金台帐!B700&lt;=供应商对账单!$I$4),资金台帐!B700+ROW()/100000,"")</f>
      </c>
      <c r="N2197">
        <f>IF(AND(ISNUMBER(出库明细!G2197),ISNUMBER(出库明细!E2197),ISNUMBER(出库明细!F2197)),IF(ABS(出库明细!G2197-出库明细!E2197*出库明细!F2197)&gt;0.005,1,0),0)</f>
        <v>0</v>
      </c>
    </row>
    <row r="2198">
      <c r="A2198">
        <f>IF(OR(出库明细!C1198="",出库明细!D1198=""),"",IF(OR(COUNTIFS(存条明细!$C$4:$C$1003,出库明细!C1198,存条明细!$D$4:$D$1003,出库明细!D1198)&gt;0,COUNTIFS(出库明细!$C$4:C1198,出库明细!C1198,出库明细!$D$4:D1198,出库明细!D1198)&gt;1),"",IFERROR(MATCH(出库明细!C1198,总览汇总!$B$5:$B$304,0),900)*10000000+IFERROR(MATCH(出库明细!D1198,基础资料!$E$5:$E$104,0),900)*10000+ROW()))</f>
      </c>
      <c r="F2198">
        <f>IF(AND(出库明细!C2198&lt;&gt;"",出库明细!C2198=客户对账单!$B$4,ISNUMBER(出库明细!B2198),出库明细!B2198&gt;=客户对账单!$G$4,出库明细!B2198&lt;=客户对账单!$I$4),出库明细!B2198+ROW()/100000,"")</f>
      </c>
      <c r="H2198">
        <f>IF(AND(资金台帐!K701&lt;&gt;"",资金台帐!K701=供应商对账单!$B$4,资金台帐!P701="应付",ISNUMBER(资金台帐!B701),资金台帐!B701&gt;=供应商对账单!$G$4,资金台帐!B701&lt;=供应商对账单!$I$4),资金台帐!B701+ROW()/100000,"")</f>
      </c>
      <c r="N2198">
        <f>IF(AND(ISNUMBER(出库明细!G2198),ISNUMBER(出库明细!E2198),ISNUMBER(出库明细!F2198)),IF(ABS(出库明细!G2198-出库明细!E2198*出库明细!F2198)&gt;0.005,1,0),0)</f>
        <v>0</v>
      </c>
    </row>
    <row r="2199">
      <c r="A2199">
        <f>IF(OR(出库明细!C1199="",出库明细!D1199=""),"",IF(OR(COUNTIFS(存条明细!$C$4:$C$1003,出库明细!C1199,存条明细!$D$4:$D$1003,出库明细!D1199)&gt;0,COUNTIFS(出库明细!$C$4:C1199,出库明细!C1199,出库明细!$D$4:D1199,出库明细!D1199)&gt;1),"",IFERROR(MATCH(出库明细!C1199,总览汇总!$B$5:$B$304,0),900)*10000000+IFERROR(MATCH(出库明细!D1199,基础资料!$E$5:$E$104,0),900)*10000+ROW()))</f>
      </c>
      <c r="F2199">
        <f>IF(AND(出库明细!C2199&lt;&gt;"",出库明细!C2199=客户对账单!$B$4,ISNUMBER(出库明细!B2199),出库明细!B2199&gt;=客户对账单!$G$4,出库明细!B2199&lt;=客户对账单!$I$4),出库明细!B2199+ROW()/100000,"")</f>
      </c>
      <c r="H2199">
        <f>IF(AND(资金台帐!K702&lt;&gt;"",资金台帐!K702=供应商对账单!$B$4,资金台帐!P702="应付",ISNUMBER(资金台帐!B702),资金台帐!B702&gt;=供应商对账单!$G$4,资金台帐!B702&lt;=供应商对账单!$I$4),资金台帐!B702+ROW()/100000,"")</f>
      </c>
      <c r="N2199">
        <f>IF(AND(ISNUMBER(出库明细!G2199),ISNUMBER(出库明细!E2199),ISNUMBER(出库明细!F2199)),IF(ABS(出库明细!G2199-出库明细!E2199*出库明细!F2199)&gt;0.005,1,0),0)</f>
        <v>0</v>
      </c>
    </row>
    <row r="2200">
      <c r="A2200">
        <f>IF(OR(出库明细!C1200="",出库明细!D1200=""),"",IF(OR(COUNTIFS(存条明细!$C$4:$C$1003,出库明细!C1200,存条明细!$D$4:$D$1003,出库明细!D1200)&gt;0,COUNTIFS(出库明细!$C$4:C1200,出库明细!C1200,出库明细!$D$4:D1200,出库明细!D1200)&gt;1),"",IFERROR(MATCH(出库明细!C1200,总览汇总!$B$5:$B$304,0),900)*10000000+IFERROR(MATCH(出库明细!D1200,基础资料!$E$5:$E$104,0),900)*10000+ROW()))</f>
      </c>
      <c r="F2200">
        <f>IF(AND(出库明细!C2200&lt;&gt;"",出库明细!C2200=客户对账单!$B$4,ISNUMBER(出库明细!B2200),出库明细!B2200&gt;=客户对账单!$G$4,出库明细!B2200&lt;=客户对账单!$I$4),出库明细!B2200+ROW()/100000,"")</f>
      </c>
      <c r="H2200">
        <f>IF(AND(资金台帐!K703&lt;&gt;"",资金台帐!K703=供应商对账单!$B$4,资金台帐!P703="应付",ISNUMBER(资金台帐!B703),资金台帐!B703&gt;=供应商对账单!$G$4,资金台帐!B703&lt;=供应商对账单!$I$4),资金台帐!B703+ROW()/100000,"")</f>
      </c>
      <c r="N2200">
        <f>IF(AND(ISNUMBER(出库明细!G2200),ISNUMBER(出库明细!E2200),ISNUMBER(出库明细!F2200)),IF(ABS(出库明细!G2200-出库明细!E2200*出库明细!F2200)&gt;0.005,1,0),0)</f>
        <v>0</v>
      </c>
    </row>
    <row r="2201">
      <c r="A2201">
        <f>IF(OR(出库明细!C1201="",出库明细!D1201=""),"",IF(OR(COUNTIFS(存条明细!$C$4:$C$1003,出库明细!C1201,存条明细!$D$4:$D$1003,出库明细!D1201)&gt;0,COUNTIFS(出库明细!$C$4:C1201,出库明细!C1201,出库明细!$D$4:D1201,出库明细!D1201)&gt;1),"",IFERROR(MATCH(出库明细!C1201,总览汇总!$B$5:$B$304,0),900)*10000000+IFERROR(MATCH(出库明细!D1201,基础资料!$E$5:$E$104,0),900)*10000+ROW()))</f>
      </c>
      <c r="F2201">
        <f>IF(AND(出库明细!C2201&lt;&gt;"",出库明细!C2201=客户对账单!$B$4,ISNUMBER(出库明细!B2201),出库明细!B2201&gt;=客户对账单!$G$4,出库明细!B2201&lt;=客户对账单!$I$4),出库明细!B2201+ROW()/100000,"")</f>
      </c>
      <c r="H2201">
        <f>IF(AND(资金台帐!K704&lt;&gt;"",资金台帐!K704=供应商对账单!$B$4,资金台帐!P704="应付",ISNUMBER(资金台帐!B704),资金台帐!B704&gt;=供应商对账单!$G$4,资金台帐!B704&lt;=供应商对账单!$I$4),资金台帐!B704+ROW()/100000,"")</f>
      </c>
      <c r="N2201">
        <f>IF(AND(ISNUMBER(出库明细!G2201),ISNUMBER(出库明细!E2201),ISNUMBER(出库明细!F2201)),IF(ABS(出库明细!G2201-出库明细!E2201*出库明细!F2201)&gt;0.005,1,0),0)</f>
        <v>0</v>
      </c>
    </row>
    <row r="2202">
      <c r="A2202">
        <f>IF(OR(出库明细!C1202="",出库明细!D1202=""),"",IF(OR(COUNTIFS(存条明细!$C$4:$C$1003,出库明细!C1202,存条明细!$D$4:$D$1003,出库明细!D1202)&gt;0,COUNTIFS(出库明细!$C$4:C1202,出库明细!C1202,出库明细!$D$4:D1202,出库明细!D1202)&gt;1),"",IFERROR(MATCH(出库明细!C1202,总览汇总!$B$5:$B$304,0),900)*10000000+IFERROR(MATCH(出库明细!D1202,基础资料!$E$5:$E$104,0),900)*10000+ROW()))</f>
      </c>
      <c r="F2202">
        <f>IF(AND(出库明细!C2202&lt;&gt;"",出库明细!C2202=客户对账单!$B$4,ISNUMBER(出库明细!B2202),出库明细!B2202&gt;=客户对账单!$G$4,出库明细!B2202&lt;=客户对账单!$I$4),出库明细!B2202+ROW()/100000,"")</f>
      </c>
      <c r="H2202">
        <f>IF(AND(资金台帐!K705&lt;&gt;"",资金台帐!K705=供应商对账单!$B$4,资金台帐!P705="应付",ISNUMBER(资金台帐!B705),资金台帐!B705&gt;=供应商对账单!$G$4,资金台帐!B705&lt;=供应商对账单!$I$4),资金台帐!B705+ROW()/100000,"")</f>
      </c>
      <c r="N2202">
        <f>IF(AND(ISNUMBER(出库明细!G2202),ISNUMBER(出库明细!E2202),ISNUMBER(出库明细!F2202)),IF(ABS(出库明细!G2202-出库明细!E2202*出库明细!F2202)&gt;0.005,1,0),0)</f>
        <v>0</v>
      </c>
    </row>
    <row r="2203">
      <c r="A2203">
        <f>IF(OR(出库明细!C1203="",出库明细!D1203=""),"",IF(OR(COUNTIFS(存条明细!$C$4:$C$1003,出库明细!C1203,存条明细!$D$4:$D$1003,出库明细!D1203)&gt;0,COUNTIFS(出库明细!$C$4:C1203,出库明细!C1203,出库明细!$D$4:D1203,出库明细!D1203)&gt;1),"",IFERROR(MATCH(出库明细!C1203,总览汇总!$B$5:$B$304,0),900)*10000000+IFERROR(MATCH(出库明细!D1203,基础资料!$E$5:$E$104,0),900)*10000+ROW()))</f>
      </c>
      <c r="F2203">
        <f>IF(AND(出库明细!C2203&lt;&gt;"",出库明细!C2203=客户对账单!$B$4,ISNUMBER(出库明细!B2203),出库明细!B2203&gt;=客户对账单!$G$4,出库明细!B2203&lt;=客户对账单!$I$4),出库明细!B2203+ROW()/100000,"")</f>
      </c>
      <c r="H2203">
        <f>IF(AND(资金台帐!K706&lt;&gt;"",资金台帐!K706=供应商对账单!$B$4,资金台帐!P706="应付",ISNUMBER(资金台帐!B706),资金台帐!B706&gt;=供应商对账单!$G$4,资金台帐!B706&lt;=供应商对账单!$I$4),资金台帐!B706+ROW()/100000,"")</f>
      </c>
      <c r="N2203">
        <f>IF(AND(ISNUMBER(出库明细!G2203),ISNUMBER(出库明细!E2203),ISNUMBER(出库明细!F2203)),IF(ABS(出库明细!G2203-出库明细!E2203*出库明细!F2203)&gt;0.005,1,0),0)</f>
        <v>0</v>
      </c>
    </row>
    <row r="2204">
      <c r="A2204">
        <f>IF(OR(出库明细!C1204="",出库明细!D1204=""),"",IF(OR(COUNTIFS(存条明细!$C$4:$C$1003,出库明细!C1204,存条明细!$D$4:$D$1003,出库明细!D1204)&gt;0,COUNTIFS(出库明细!$C$4:C1204,出库明细!C1204,出库明细!$D$4:D1204,出库明细!D1204)&gt;1),"",IFERROR(MATCH(出库明细!C1204,总览汇总!$B$5:$B$304,0),900)*10000000+IFERROR(MATCH(出库明细!D1204,基础资料!$E$5:$E$104,0),900)*10000+ROW()))</f>
      </c>
      <c r="F2204">
        <f>IF(AND(出库明细!C2204&lt;&gt;"",出库明细!C2204=客户对账单!$B$4,ISNUMBER(出库明细!B2204),出库明细!B2204&gt;=客户对账单!$G$4,出库明细!B2204&lt;=客户对账单!$I$4),出库明细!B2204+ROW()/100000,"")</f>
      </c>
      <c r="H2204">
        <f>IF(AND(资金台帐!K707&lt;&gt;"",资金台帐!K707=供应商对账单!$B$4,资金台帐!P707="应付",ISNUMBER(资金台帐!B707),资金台帐!B707&gt;=供应商对账单!$G$4,资金台帐!B707&lt;=供应商对账单!$I$4),资金台帐!B707+ROW()/100000,"")</f>
      </c>
      <c r="N2204">
        <f>IF(AND(ISNUMBER(出库明细!G2204),ISNUMBER(出库明细!E2204),ISNUMBER(出库明细!F2204)),IF(ABS(出库明细!G2204-出库明细!E2204*出库明细!F2204)&gt;0.005,1,0),0)</f>
        <v>0</v>
      </c>
    </row>
    <row r="2205">
      <c r="A2205">
        <f>IF(OR(出库明细!C1205="",出库明细!D1205=""),"",IF(OR(COUNTIFS(存条明细!$C$4:$C$1003,出库明细!C1205,存条明细!$D$4:$D$1003,出库明细!D1205)&gt;0,COUNTIFS(出库明细!$C$4:C1205,出库明细!C1205,出库明细!$D$4:D1205,出库明细!D1205)&gt;1),"",IFERROR(MATCH(出库明细!C1205,总览汇总!$B$5:$B$304,0),900)*10000000+IFERROR(MATCH(出库明细!D1205,基础资料!$E$5:$E$104,0),900)*10000+ROW()))</f>
      </c>
      <c r="F2205">
        <f>IF(AND(出库明细!C2205&lt;&gt;"",出库明细!C2205=客户对账单!$B$4,ISNUMBER(出库明细!B2205),出库明细!B2205&gt;=客户对账单!$G$4,出库明细!B2205&lt;=客户对账单!$I$4),出库明细!B2205+ROW()/100000,"")</f>
      </c>
      <c r="H2205">
        <f>IF(AND(资金台帐!K708&lt;&gt;"",资金台帐!K708=供应商对账单!$B$4,资金台帐!P708="应付",ISNUMBER(资金台帐!B708),资金台帐!B708&gt;=供应商对账单!$G$4,资金台帐!B708&lt;=供应商对账单!$I$4),资金台帐!B708+ROW()/100000,"")</f>
      </c>
      <c r="N2205">
        <f>IF(AND(ISNUMBER(出库明细!G2205),ISNUMBER(出库明细!E2205),ISNUMBER(出库明细!F2205)),IF(ABS(出库明细!G2205-出库明细!E2205*出库明细!F2205)&gt;0.005,1,0),0)</f>
        <v>0</v>
      </c>
    </row>
    <row r="2206">
      <c r="A2206">
        <f>IF(OR(出库明细!C1206="",出库明细!D1206=""),"",IF(OR(COUNTIFS(存条明细!$C$4:$C$1003,出库明细!C1206,存条明细!$D$4:$D$1003,出库明细!D1206)&gt;0,COUNTIFS(出库明细!$C$4:C1206,出库明细!C1206,出库明细!$D$4:D1206,出库明细!D1206)&gt;1),"",IFERROR(MATCH(出库明细!C1206,总览汇总!$B$5:$B$304,0),900)*10000000+IFERROR(MATCH(出库明细!D1206,基础资料!$E$5:$E$104,0),900)*10000+ROW()))</f>
      </c>
      <c r="F2206">
        <f>IF(AND(出库明细!C2206&lt;&gt;"",出库明细!C2206=客户对账单!$B$4,ISNUMBER(出库明细!B2206),出库明细!B2206&gt;=客户对账单!$G$4,出库明细!B2206&lt;=客户对账单!$I$4),出库明细!B2206+ROW()/100000,"")</f>
      </c>
      <c r="H2206">
        <f>IF(AND(资金台帐!K709&lt;&gt;"",资金台帐!K709=供应商对账单!$B$4,资金台帐!P709="应付",ISNUMBER(资金台帐!B709),资金台帐!B709&gt;=供应商对账单!$G$4,资金台帐!B709&lt;=供应商对账单!$I$4),资金台帐!B709+ROW()/100000,"")</f>
      </c>
      <c r="N2206">
        <f>IF(AND(ISNUMBER(出库明细!G2206),ISNUMBER(出库明细!E2206),ISNUMBER(出库明细!F2206)),IF(ABS(出库明细!G2206-出库明细!E2206*出库明细!F2206)&gt;0.005,1,0),0)</f>
        <v>0</v>
      </c>
    </row>
    <row r="2207">
      <c r="A2207">
        <f>IF(OR(出库明细!C1207="",出库明细!D1207=""),"",IF(OR(COUNTIFS(存条明细!$C$4:$C$1003,出库明细!C1207,存条明细!$D$4:$D$1003,出库明细!D1207)&gt;0,COUNTIFS(出库明细!$C$4:C1207,出库明细!C1207,出库明细!$D$4:D1207,出库明细!D1207)&gt;1),"",IFERROR(MATCH(出库明细!C1207,总览汇总!$B$5:$B$304,0),900)*10000000+IFERROR(MATCH(出库明细!D1207,基础资料!$E$5:$E$104,0),900)*10000+ROW()))</f>
      </c>
      <c r="F2207">
        <f>IF(AND(出库明细!C2207&lt;&gt;"",出库明细!C2207=客户对账单!$B$4,ISNUMBER(出库明细!B2207),出库明细!B2207&gt;=客户对账单!$G$4,出库明细!B2207&lt;=客户对账单!$I$4),出库明细!B2207+ROW()/100000,"")</f>
      </c>
      <c r="H2207">
        <f>IF(AND(资金台帐!K710&lt;&gt;"",资金台帐!K710=供应商对账单!$B$4,资金台帐!P710="应付",ISNUMBER(资金台帐!B710),资金台帐!B710&gt;=供应商对账单!$G$4,资金台帐!B710&lt;=供应商对账单!$I$4),资金台帐!B710+ROW()/100000,"")</f>
      </c>
      <c r="N2207">
        <f>IF(AND(ISNUMBER(出库明细!G2207),ISNUMBER(出库明细!E2207),ISNUMBER(出库明细!F2207)),IF(ABS(出库明细!G2207-出库明细!E2207*出库明细!F2207)&gt;0.005,1,0),0)</f>
        <v>0</v>
      </c>
    </row>
    <row r="2208">
      <c r="A2208">
        <f>IF(OR(出库明细!C1208="",出库明细!D1208=""),"",IF(OR(COUNTIFS(存条明细!$C$4:$C$1003,出库明细!C1208,存条明细!$D$4:$D$1003,出库明细!D1208)&gt;0,COUNTIFS(出库明细!$C$4:C1208,出库明细!C1208,出库明细!$D$4:D1208,出库明细!D1208)&gt;1),"",IFERROR(MATCH(出库明细!C1208,总览汇总!$B$5:$B$304,0),900)*10000000+IFERROR(MATCH(出库明细!D1208,基础资料!$E$5:$E$104,0),900)*10000+ROW()))</f>
      </c>
      <c r="F2208">
        <f>IF(AND(出库明细!C2208&lt;&gt;"",出库明细!C2208=客户对账单!$B$4,ISNUMBER(出库明细!B2208),出库明细!B2208&gt;=客户对账单!$G$4,出库明细!B2208&lt;=客户对账单!$I$4),出库明细!B2208+ROW()/100000,"")</f>
      </c>
      <c r="H2208">
        <f>IF(AND(资金台帐!K711&lt;&gt;"",资金台帐!K711=供应商对账单!$B$4,资金台帐!P711="应付",ISNUMBER(资金台帐!B711),资金台帐!B711&gt;=供应商对账单!$G$4,资金台帐!B711&lt;=供应商对账单!$I$4),资金台帐!B711+ROW()/100000,"")</f>
      </c>
      <c r="N2208">
        <f>IF(AND(ISNUMBER(出库明细!G2208),ISNUMBER(出库明细!E2208),ISNUMBER(出库明细!F2208)),IF(ABS(出库明细!G2208-出库明细!E2208*出库明细!F2208)&gt;0.005,1,0),0)</f>
        <v>0</v>
      </c>
    </row>
    <row r="2209">
      <c r="A2209">
        <f>IF(OR(出库明细!C1209="",出库明细!D1209=""),"",IF(OR(COUNTIFS(存条明细!$C$4:$C$1003,出库明细!C1209,存条明细!$D$4:$D$1003,出库明细!D1209)&gt;0,COUNTIFS(出库明细!$C$4:C1209,出库明细!C1209,出库明细!$D$4:D1209,出库明细!D1209)&gt;1),"",IFERROR(MATCH(出库明细!C1209,总览汇总!$B$5:$B$304,0),900)*10000000+IFERROR(MATCH(出库明细!D1209,基础资料!$E$5:$E$104,0),900)*10000+ROW()))</f>
      </c>
      <c r="F2209">
        <f>IF(AND(出库明细!C2209&lt;&gt;"",出库明细!C2209=客户对账单!$B$4,ISNUMBER(出库明细!B2209),出库明细!B2209&gt;=客户对账单!$G$4,出库明细!B2209&lt;=客户对账单!$I$4),出库明细!B2209+ROW()/100000,"")</f>
      </c>
      <c r="H2209">
        <f>IF(AND(资金台帐!K712&lt;&gt;"",资金台帐!K712=供应商对账单!$B$4,资金台帐!P712="应付",ISNUMBER(资金台帐!B712),资金台帐!B712&gt;=供应商对账单!$G$4,资金台帐!B712&lt;=供应商对账单!$I$4),资金台帐!B712+ROW()/100000,"")</f>
      </c>
      <c r="N2209">
        <f>IF(AND(ISNUMBER(出库明细!G2209),ISNUMBER(出库明细!E2209),ISNUMBER(出库明细!F2209)),IF(ABS(出库明细!G2209-出库明细!E2209*出库明细!F2209)&gt;0.005,1,0),0)</f>
        <v>0</v>
      </c>
    </row>
    <row r="2210">
      <c r="A2210">
        <f>IF(OR(出库明细!C1210="",出库明细!D1210=""),"",IF(OR(COUNTIFS(存条明细!$C$4:$C$1003,出库明细!C1210,存条明细!$D$4:$D$1003,出库明细!D1210)&gt;0,COUNTIFS(出库明细!$C$4:C1210,出库明细!C1210,出库明细!$D$4:D1210,出库明细!D1210)&gt;1),"",IFERROR(MATCH(出库明细!C1210,总览汇总!$B$5:$B$304,0),900)*10000000+IFERROR(MATCH(出库明细!D1210,基础资料!$E$5:$E$104,0),900)*10000+ROW()))</f>
      </c>
      <c r="F2210">
        <f>IF(AND(出库明细!C2210&lt;&gt;"",出库明细!C2210=客户对账单!$B$4,ISNUMBER(出库明细!B2210),出库明细!B2210&gt;=客户对账单!$G$4,出库明细!B2210&lt;=客户对账单!$I$4),出库明细!B2210+ROW()/100000,"")</f>
      </c>
      <c r="H2210">
        <f>IF(AND(资金台帐!K713&lt;&gt;"",资金台帐!K713=供应商对账单!$B$4,资金台帐!P713="应付",ISNUMBER(资金台帐!B713),资金台帐!B713&gt;=供应商对账单!$G$4,资金台帐!B713&lt;=供应商对账单!$I$4),资金台帐!B713+ROW()/100000,"")</f>
      </c>
      <c r="N2210">
        <f>IF(AND(ISNUMBER(出库明细!G2210),ISNUMBER(出库明细!E2210),ISNUMBER(出库明细!F2210)),IF(ABS(出库明细!G2210-出库明细!E2210*出库明细!F2210)&gt;0.005,1,0),0)</f>
        <v>0</v>
      </c>
    </row>
    <row r="2211">
      <c r="A2211">
        <f>IF(OR(出库明细!C1211="",出库明细!D1211=""),"",IF(OR(COUNTIFS(存条明细!$C$4:$C$1003,出库明细!C1211,存条明细!$D$4:$D$1003,出库明细!D1211)&gt;0,COUNTIFS(出库明细!$C$4:C1211,出库明细!C1211,出库明细!$D$4:D1211,出库明细!D1211)&gt;1),"",IFERROR(MATCH(出库明细!C1211,总览汇总!$B$5:$B$304,0),900)*10000000+IFERROR(MATCH(出库明细!D1211,基础资料!$E$5:$E$104,0),900)*10000+ROW()))</f>
      </c>
      <c r="F2211">
        <f>IF(AND(出库明细!C2211&lt;&gt;"",出库明细!C2211=客户对账单!$B$4,ISNUMBER(出库明细!B2211),出库明细!B2211&gt;=客户对账单!$G$4,出库明细!B2211&lt;=客户对账单!$I$4),出库明细!B2211+ROW()/100000,"")</f>
      </c>
      <c r="H2211">
        <f>IF(AND(资金台帐!K714&lt;&gt;"",资金台帐!K714=供应商对账单!$B$4,资金台帐!P714="应付",ISNUMBER(资金台帐!B714),资金台帐!B714&gt;=供应商对账单!$G$4,资金台帐!B714&lt;=供应商对账单!$I$4),资金台帐!B714+ROW()/100000,"")</f>
      </c>
      <c r="N2211">
        <f>IF(AND(ISNUMBER(出库明细!G2211),ISNUMBER(出库明细!E2211),ISNUMBER(出库明细!F2211)),IF(ABS(出库明细!G2211-出库明细!E2211*出库明细!F2211)&gt;0.005,1,0),0)</f>
        <v>0</v>
      </c>
    </row>
    <row r="2212">
      <c r="A2212">
        <f>IF(OR(出库明细!C1212="",出库明细!D1212=""),"",IF(OR(COUNTIFS(存条明细!$C$4:$C$1003,出库明细!C1212,存条明细!$D$4:$D$1003,出库明细!D1212)&gt;0,COUNTIFS(出库明细!$C$4:C1212,出库明细!C1212,出库明细!$D$4:D1212,出库明细!D1212)&gt;1),"",IFERROR(MATCH(出库明细!C1212,总览汇总!$B$5:$B$304,0),900)*10000000+IFERROR(MATCH(出库明细!D1212,基础资料!$E$5:$E$104,0),900)*10000+ROW()))</f>
      </c>
      <c r="F2212">
        <f>IF(AND(出库明细!C2212&lt;&gt;"",出库明细!C2212=客户对账单!$B$4,ISNUMBER(出库明细!B2212),出库明细!B2212&gt;=客户对账单!$G$4,出库明细!B2212&lt;=客户对账单!$I$4),出库明细!B2212+ROW()/100000,"")</f>
      </c>
      <c r="H2212">
        <f>IF(AND(资金台帐!K715&lt;&gt;"",资金台帐!K715=供应商对账单!$B$4,资金台帐!P715="应付",ISNUMBER(资金台帐!B715),资金台帐!B715&gt;=供应商对账单!$G$4,资金台帐!B715&lt;=供应商对账单!$I$4),资金台帐!B715+ROW()/100000,"")</f>
      </c>
      <c r="N2212">
        <f>IF(AND(ISNUMBER(出库明细!G2212),ISNUMBER(出库明细!E2212),ISNUMBER(出库明细!F2212)),IF(ABS(出库明细!G2212-出库明细!E2212*出库明细!F2212)&gt;0.005,1,0),0)</f>
        <v>0</v>
      </c>
    </row>
    <row r="2213">
      <c r="A2213">
        <f>IF(OR(出库明细!C1213="",出库明细!D1213=""),"",IF(OR(COUNTIFS(存条明细!$C$4:$C$1003,出库明细!C1213,存条明细!$D$4:$D$1003,出库明细!D1213)&gt;0,COUNTIFS(出库明细!$C$4:C1213,出库明细!C1213,出库明细!$D$4:D1213,出库明细!D1213)&gt;1),"",IFERROR(MATCH(出库明细!C1213,总览汇总!$B$5:$B$304,0),900)*10000000+IFERROR(MATCH(出库明细!D1213,基础资料!$E$5:$E$104,0),900)*10000+ROW()))</f>
      </c>
      <c r="F2213">
        <f>IF(AND(出库明细!C2213&lt;&gt;"",出库明细!C2213=客户对账单!$B$4,ISNUMBER(出库明细!B2213),出库明细!B2213&gt;=客户对账单!$G$4,出库明细!B2213&lt;=客户对账单!$I$4),出库明细!B2213+ROW()/100000,"")</f>
      </c>
      <c r="H2213">
        <f>IF(AND(资金台帐!K716&lt;&gt;"",资金台帐!K716=供应商对账单!$B$4,资金台帐!P716="应付",ISNUMBER(资金台帐!B716),资金台帐!B716&gt;=供应商对账单!$G$4,资金台帐!B716&lt;=供应商对账单!$I$4),资金台帐!B716+ROW()/100000,"")</f>
      </c>
      <c r="N2213">
        <f>IF(AND(ISNUMBER(出库明细!G2213),ISNUMBER(出库明细!E2213),ISNUMBER(出库明细!F2213)),IF(ABS(出库明细!G2213-出库明细!E2213*出库明细!F2213)&gt;0.005,1,0),0)</f>
        <v>0</v>
      </c>
    </row>
    <row r="2214">
      <c r="A2214">
        <f>IF(OR(出库明细!C1214="",出库明细!D1214=""),"",IF(OR(COUNTIFS(存条明细!$C$4:$C$1003,出库明细!C1214,存条明细!$D$4:$D$1003,出库明细!D1214)&gt;0,COUNTIFS(出库明细!$C$4:C1214,出库明细!C1214,出库明细!$D$4:D1214,出库明细!D1214)&gt;1),"",IFERROR(MATCH(出库明细!C1214,总览汇总!$B$5:$B$304,0),900)*10000000+IFERROR(MATCH(出库明细!D1214,基础资料!$E$5:$E$104,0),900)*10000+ROW()))</f>
      </c>
      <c r="F2214">
        <f>IF(AND(出库明细!C2214&lt;&gt;"",出库明细!C2214=客户对账单!$B$4,ISNUMBER(出库明细!B2214),出库明细!B2214&gt;=客户对账单!$G$4,出库明细!B2214&lt;=客户对账单!$I$4),出库明细!B2214+ROW()/100000,"")</f>
      </c>
      <c r="H2214">
        <f>IF(AND(资金台帐!K717&lt;&gt;"",资金台帐!K717=供应商对账单!$B$4,资金台帐!P717="应付",ISNUMBER(资金台帐!B717),资金台帐!B717&gt;=供应商对账单!$G$4,资金台帐!B717&lt;=供应商对账单!$I$4),资金台帐!B717+ROW()/100000,"")</f>
      </c>
      <c r="N2214">
        <f>IF(AND(ISNUMBER(出库明细!G2214),ISNUMBER(出库明细!E2214),ISNUMBER(出库明细!F2214)),IF(ABS(出库明细!G2214-出库明细!E2214*出库明细!F2214)&gt;0.005,1,0),0)</f>
        <v>0</v>
      </c>
    </row>
    <row r="2215">
      <c r="A2215">
        <f>IF(OR(出库明细!C1215="",出库明细!D1215=""),"",IF(OR(COUNTIFS(存条明细!$C$4:$C$1003,出库明细!C1215,存条明细!$D$4:$D$1003,出库明细!D1215)&gt;0,COUNTIFS(出库明细!$C$4:C1215,出库明细!C1215,出库明细!$D$4:D1215,出库明细!D1215)&gt;1),"",IFERROR(MATCH(出库明细!C1215,总览汇总!$B$5:$B$304,0),900)*10000000+IFERROR(MATCH(出库明细!D1215,基础资料!$E$5:$E$104,0),900)*10000+ROW()))</f>
      </c>
      <c r="F2215">
        <f>IF(AND(出库明细!C2215&lt;&gt;"",出库明细!C2215=客户对账单!$B$4,ISNUMBER(出库明细!B2215),出库明细!B2215&gt;=客户对账单!$G$4,出库明细!B2215&lt;=客户对账单!$I$4),出库明细!B2215+ROW()/100000,"")</f>
      </c>
      <c r="H2215">
        <f>IF(AND(资金台帐!K718&lt;&gt;"",资金台帐!K718=供应商对账单!$B$4,资金台帐!P718="应付",ISNUMBER(资金台帐!B718),资金台帐!B718&gt;=供应商对账单!$G$4,资金台帐!B718&lt;=供应商对账单!$I$4),资金台帐!B718+ROW()/100000,"")</f>
      </c>
      <c r="N2215">
        <f>IF(AND(ISNUMBER(出库明细!G2215),ISNUMBER(出库明细!E2215),ISNUMBER(出库明细!F2215)),IF(ABS(出库明细!G2215-出库明细!E2215*出库明细!F2215)&gt;0.005,1,0),0)</f>
        <v>0</v>
      </c>
    </row>
    <row r="2216">
      <c r="A2216">
        <f>IF(OR(出库明细!C1216="",出库明细!D1216=""),"",IF(OR(COUNTIFS(存条明细!$C$4:$C$1003,出库明细!C1216,存条明细!$D$4:$D$1003,出库明细!D1216)&gt;0,COUNTIFS(出库明细!$C$4:C1216,出库明细!C1216,出库明细!$D$4:D1216,出库明细!D1216)&gt;1),"",IFERROR(MATCH(出库明细!C1216,总览汇总!$B$5:$B$304,0),900)*10000000+IFERROR(MATCH(出库明细!D1216,基础资料!$E$5:$E$104,0),900)*10000+ROW()))</f>
      </c>
      <c r="F2216">
        <f>IF(AND(出库明细!C2216&lt;&gt;"",出库明细!C2216=客户对账单!$B$4,ISNUMBER(出库明细!B2216),出库明细!B2216&gt;=客户对账单!$G$4,出库明细!B2216&lt;=客户对账单!$I$4),出库明细!B2216+ROW()/100000,"")</f>
      </c>
      <c r="H2216">
        <f>IF(AND(资金台帐!K719&lt;&gt;"",资金台帐!K719=供应商对账单!$B$4,资金台帐!P719="应付",ISNUMBER(资金台帐!B719),资金台帐!B719&gt;=供应商对账单!$G$4,资金台帐!B719&lt;=供应商对账单!$I$4),资金台帐!B719+ROW()/100000,"")</f>
      </c>
      <c r="N2216">
        <f>IF(AND(ISNUMBER(出库明细!G2216),ISNUMBER(出库明细!E2216),ISNUMBER(出库明细!F2216)),IF(ABS(出库明细!G2216-出库明细!E2216*出库明细!F2216)&gt;0.005,1,0),0)</f>
        <v>0</v>
      </c>
    </row>
    <row r="2217">
      <c r="A2217">
        <f>IF(OR(出库明细!C1217="",出库明细!D1217=""),"",IF(OR(COUNTIFS(存条明细!$C$4:$C$1003,出库明细!C1217,存条明细!$D$4:$D$1003,出库明细!D1217)&gt;0,COUNTIFS(出库明细!$C$4:C1217,出库明细!C1217,出库明细!$D$4:D1217,出库明细!D1217)&gt;1),"",IFERROR(MATCH(出库明细!C1217,总览汇总!$B$5:$B$304,0),900)*10000000+IFERROR(MATCH(出库明细!D1217,基础资料!$E$5:$E$104,0),900)*10000+ROW()))</f>
      </c>
      <c r="F2217">
        <f>IF(AND(出库明细!C2217&lt;&gt;"",出库明细!C2217=客户对账单!$B$4,ISNUMBER(出库明细!B2217),出库明细!B2217&gt;=客户对账单!$G$4,出库明细!B2217&lt;=客户对账单!$I$4),出库明细!B2217+ROW()/100000,"")</f>
      </c>
      <c r="H2217">
        <f>IF(AND(资金台帐!K720&lt;&gt;"",资金台帐!K720=供应商对账单!$B$4,资金台帐!P720="应付",ISNUMBER(资金台帐!B720),资金台帐!B720&gt;=供应商对账单!$G$4,资金台帐!B720&lt;=供应商对账单!$I$4),资金台帐!B720+ROW()/100000,"")</f>
      </c>
      <c r="N2217">
        <f>IF(AND(ISNUMBER(出库明细!G2217),ISNUMBER(出库明细!E2217),ISNUMBER(出库明细!F2217)),IF(ABS(出库明细!G2217-出库明细!E2217*出库明细!F2217)&gt;0.005,1,0),0)</f>
        <v>0</v>
      </c>
    </row>
    <row r="2218">
      <c r="A2218">
        <f>IF(OR(出库明细!C1218="",出库明细!D1218=""),"",IF(OR(COUNTIFS(存条明细!$C$4:$C$1003,出库明细!C1218,存条明细!$D$4:$D$1003,出库明细!D1218)&gt;0,COUNTIFS(出库明细!$C$4:C1218,出库明细!C1218,出库明细!$D$4:D1218,出库明细!D1218)&gt;1),"",IFERROR(MATCH(出库明细!C1218,总览汇总!$B$5:$B$304,0),900)*10000000+IFERROR(MATCH(出库明细!D1218,基础资料!$E$5:$E$104,0),900)*10000+ROW()))</f>
      </c>
      <c r="F2218">
        <f>IF(AND(出库明细!C2218&lt;&gt;"",出库明细!C2218=客户对账单!$B$4,ISNUMBER(出库明细!B2218),出库明细!B2218&gt;=客户对账单!$G$4,出库明细!B2218&lt;=客户对账单!$I$4),出库明细!B2218+ROW()/100000,"")</f>
      </c>
      <c r="H2218">
        <f>IF(AND(资金台帐!K721&lt;&gt;"",资金台帐!K721=供应商对账单!$B$4,资金台帐!P721="应付",ISNUMBER(资金台帐!B721),资金台帐!B721&gt;=供应商对账单!$G$4,资金台帐!B721&lt;=供应商对账单!$I$4),资金台帐!B721+ROW()/100000,"")</f>
      </c>
      <c r="N2218">
        <f>IF(AND(ISNUMBER(出库明细!G2218),ISNUMBER(出库明细!E2218),ISNUMBER(出库明细!F2218)),IF(ABS(出库明细!G2218-出库明细!E2218*出库明细!F2218)&gt;0.005,1,0),0)</f>
        <v>0</v>
      </c>
    </row>
    <row r="2219">
      <c r="A2219">
        <f>IF(OR(出库明细!C1219="",出库明细!D1219=""),"",IF(OR(COUNTIFS(存条明细!$C$4:$C$1003,出库明细!C1219,存条明细!$D$4:$D$1003,出库明细!D1219)&gt;0,COUNTIFS(出库明细!$C$4:C1219,出库明细!C1219,出库明细!$D$4:D1219,出库明细!D1219)&gt;1),"",IFERROR(MATCH(出库明细!C1219,总览汇总!$B$5:$B$304,0),900)*10000000+IFERROR(MATCH(出库明细!D1219,基础资料!$E$5:$E$104,0),900)*10000+ROW()))</f>
      </c>
      <c r="F2219">
        <f>IF(AND(出库明细!C2219&lt;&gt;"",出库明细!C2219=客户对账单!$B$4,ISNUMBER(出库明细!B2219),出库明细!B2219&gt;=客户对账单!$G$4,出库明细!B2219&lt;=客户对账单!$I$4),出库明细!B2219+ROW()/100000,"")</f>
      </c>
      <c r="H2219">
        <f>IF(AND(资金台帐!K722&lt;&gt;"",资金台帐!K722=供应商对账单!$B$4,资金台帐!P722="应付",ISNUMBER(资金台帐!B722),资金台帐!B722&gt;=供应商对账单!$G$4,资金台帐!B722&lt;=供应商对账单!$I$4),资金台帐!B722+ROW()/100000,"")</f>
      </c>
      <c r="N2219">
        <f>IF(AND(ISNUMBER(出库明细!G2219),ISNUMBER(出库明细!E2219),ISNUMBER(出库明细!F2219)),IF(ABS(出库明细!G2219-出库明细!E2219*出库明细!F2219)&gt;0.005,1,0),0)</f>
        <v>0</v>
      </c>
    </row>
    <row r="2220">
      <c r="A2220">
        <f>IF(OR(出库明细!C1220="",出库明细!D1220=""),"",IF(OR(COUNTIFS(存条明细!$C$4:$C$1003,出库明细!C1220,存条明细!$D$4:$D$1003,出库明细!D1220)&gt;0,COUNTIFS(出库明细!$C$4:C1220,出库明细!C1220,出库明细!$D$4:D1220,出库明细!D1220)&gt;1),"",IFERROR(MATCH(出库明细!C1220,总览汇总!$B$5:$B$304,0),900)*10000000+IFERROR(MATCH(出库明细!D1220,基础资料!$E$5:$E$104,0),900)*10000+ROW()))</f>
      </c>
      <c r="F2220">
        <f>IF(AND(出库明细!C2220&lt;&gt;"",出库明细!C2220=客户对账单!$B$4,ISNUMBER(出库明细!B2220),出库明细!B2220&gt;=客户对账单!$G$4,出库明细!B2220&lt;=客户对账单!$I$4),出库明细!B2220+ROW()/100000,"")</f>
      </c>
      <c r="H2220">
        <f>IF(AND(资金台帐!K723&lt;&gt;"",资金台帐!K723=供应商对账单!$B$4,资金台帐!P723="应付",ISNUMBER(资金台帐!B723),资金台帐!B723&gt;=供应商对账单!$G$4,资金台帐!B723&lt;=供应商对账单!$I$4),资金台帐!B723+ROW()/100000,"")</f>
      </c>
      <c r="N2220">
        <f>IF(AND(ISNUMBER(出库明细!G2220),ISNUMBER(出库明细!E2220),ISNUMBER(出库明细!F2220)),IF(ABS(出库明细!G2220-出库明细!E2220*出库明细!F2220)&gt;0.005,1,0),0)</f>
        <v>0</v>
      </c>
    </row>
    <row r="2221">
      <c r="A2221">
        <f>IF(OR(出库明细!C1221="",出库明细!D1221=""),"",IF(OR(COUNTIFS(存条明细!$C$4:$C$1003,出库明细!C1221,存条明细!$D$4:$D$1003,出库明细!D1221)&gt;0,COUNTIFS(出库明细!$C$4:C1221,出库明细!C1221,出库明细!$D$4:D1221,出库明细!D1221)&gt;1),"",IFERROR(MATCH(出库明细!C1221,总览汇总!$B$5:$B$304,0),900)*10000000+IFERROR(MATCH(出库明细!D1221,基础资料!$E$5:$E$104,0),900)*10000+ROW()))</f>
      </c>
      <c r="F2221">
        <f>IF(AND(出库明细!C2221&lt;&gt;"",出库明细!C2221=客户对账单!$B$4,ISNUMBER(出库明细!B2221),出库明细!B2221&gt;=客户对账单!$G$4,出库明细!B2221&lt;=客户对账单!$I$4),出库明细!B2221+ROW()/100000,"")</f>
      </c>
      <c r="H2221">
        <f>IF(AND(资金台帐!K724&lt;&gt;"",资金台帐!K724=供应商对账单!$B$4,资金台帐!P724="应付",ISNUMBER(资金台帐!B724),资金台帐!B724&gt;=供应商对账单!$G$4,资金台帐!B724&lt;=供应商对账单!$I$4),资金台帐!B724+ROW()/100000,"")</f>
      </c>
      <c r="N2221">
        <f>IF(AND(ISNUMBER(出库明细!G2221),ISNUMBER(出库明细!E2221),ISNUMBER(出库明细!F2221)),IF(ABS(出库明细!G2221-出库明细!E2221*出库明细!F2221)&gt;0.005,1,0),0)</f>
        <v>0</v>
      </c>
    </row>
    <row r="2222">
      <c r="A2222">
        <f>IF(OR(出库明细!C1222="",出库明细!D1222=""),"",IF(OR(COUNTIFS(存条明细!$C$4:$C$1003,出库明细!C1222,存条明细!$D$4:$D$1003,出库明细!D1222)&gt;0,COUNTIFS(出库明细!$C$4:C1222,出库明细!C1222,出库明细!$D$4:D1222,出库明细!D1222)&gt;1),"",IFERROR(MATCH(出库明细!C1222,总览汇总!$B$5:$B$304,0),900)*10000000+IFERROR(MATCH(出库明细!D1222,基础资料!$E$5:$E$104,0),900)*10000+ROW()))</f>
      </c>
      <c r="F2222">
        <f>IF(AND(出库明细!C2222&lt;&gt;"",出库明细!C2222=客户对账单!$B$4,ISNUMBER(出库明细!B2222),出库明细!B2222&gt;=客户对账单!$G$4,出库明细!B2222&lt;=客户对账单!$I$4),出库明细!B2222+ROW()/100000,"")</f>
      </c>
      <c r="H2222">
        <f>IF(AND(资金台帐!K725&lt;&gt;"",资金台帐!K725=供应商对账单!$B$4,资金台帐!P725="应付",ISNUMBER(资金台帐!B725),资金台帐!B725&gt;=供应商对账单!$G$4,资金台帐!B725&lt;=供应商对账单!$I$4),资金台帐!B725+ROW()/100000,"")</f>
      </c>
      <c r="N2222">
        <f>IF(AND(ISNUMBER(出库明细!G2222),ISNUMBER(出库明细!E2222),ISNUMBER(出库明细!F2222)),IF(ABS(出库明细!G2222-出库明细!E2222*出库明细!F2222)&gt;0.005,1,0),0)</f>
        <v>0</v>
      </c>
    </row>
    <row r="2223">
      <c r="A2223">
        <f>IF(OR(出库明细!C1223="",出库明细!D1223=""),"",IF(OR(COUNTIFS(存条明细!$C$4:$C$1003,出库明细!C1223,存条明细!$D$4:$D$1003,出库明细!D1223)&gt;0,COUNTIFS(出库明细!$C$4:C1223,出库明细!C1223,出库明细!$D$4:D1223,出库明细!D1223)&gt;1),"",IFERROR(MATCH(出库明细!C1223,总览汇总!$B$5:$B$304,0),900)*10000000+IFERROR(MATCH(出库明细!D1223,基础资料!$E$5:$E$104,0),900)*10000+ROW()))</f>
      </c>
      <c r="F2223">
        <f>IF(AND(出库明细!C2223&lt;&gt;"",出库明细!C2223=客户对账单!$B$4,ISNUMBER(出库明细!B2223),出库明细!B2223&gt;=客户对账单!$G$4,出库明细!B2223&lt;=客户对账单!$I$4),出库明细!B2223+ROW()/100000,"")</f>
      </c>
      <c r="H2223">
        <f>IF(AND(资金台帐!K726&lt;&gt;"",资金台帐!K726=供应商对账单!$B$4,资金台帐!P726="应付",ISNUMBER(资金台帐!B726),资金台帐!B726&gt;=供应商对账单!$G$4,资金台帐!B726&lt;=供应商对账单!$I$4),资金台帐!B726+ROW()/100000,"")</f>
      </c>
      <c r="N2223">
        <f>IF(AND(ISNUMBER(出库明细!G2223),ISNUMBER(出库明细!E2223),ISNUMBER(出库明细!F2223)),IF(ABS(出库明细!G2223-出库明细!E2223*出库明细!F2223)&gt;0.005,1,0),0)</f>
        <v>0</v>
      </c>
    </row>
    <row r="2224">
      <c r="A2224">
        <f>IF(OR(出库明细!C1224="",出库明细!D1224=""),"",IF(OR(COUNTIFS(存条明细!$C$4:$C$1003,出库明细!C1224,存条明细!$D$4:$D$1003,出库明细!D1224)&gt;0,COUNTIFS(出库明细!$C$4:C1224,出库明细!C1224,出库明细!$D$4:D1224,出库明细!D1224)&gt;1),"",IFERROR(MATCH(出库明细!C1224,总览汇总!$B$5:$B$304,0),900)*10000000+IFERROR(MATCH(出库明细!D1224,基础资料!$E$5:$E$104,0),900)*10000+ROW()))</f>
      </c>
      <c r="F2224">
        <f>IF(AND(出库明细!C2224&lt;&gt;"",出库明细!C2224=客户对账单!$B$4,ISNUMBER(出库明细!B2224),出库明细!B2224&gt;=客户对账单!$G$4,出库明细!B2224&lt;=客户对账单!$I$4),出库明细!B2224+ROW()/100000,"")</f>
      </c>
      <c r="H2224">
        <f>IF(AND(资金台帐!K727&lt;&gt;"",资金台帐!K727=供应商对账单!$B$4,资金台帐!P727="应付",ISNUMBER(资金台帐!B727),资金台帐!B727&gt;=供应商对账单!$G$4,资金台帐!B727&lt;=供应商对账单!$I$4),资金台帐!B727+ROW()/100000,"")</f>
      </c>
      <c r="N2224">
        <f>IF(AND(ISNUMBER(出库明细!G2224),ISNUMBER(出库明细!E2224),ISNUMBER(出库明细!F2224)),IF(ABS(出库明细!G2224-出库明细!E2224*出库明细!F2224)&gt;0.005,1,0),0)</f>
        <v>0</v>
      </c>
    </row>
    <row r="2225">
      <c r="A2225">
        <f>IF(OR(出库明细!C1225="",出库明细!D1225=""),"",IF(OR(COUNTIFS(存条明细!$C$4:$C$1003,出库明细!C1225,存条明细!$D$4:$D$1003,出库明细!D1225)&gt;0,COUNTIFS(出库明细!$C$4:C1225,出库明细!C1225,出库明细!$D$4:D1225,出库明细!D1225)&gt;1),"",IFERROR(MATCH(出库明细!C1225,总览汇总!$B$5:$B$304,0),900)*10000000+IFERROR(MATCH(出库明细!D1225,基础资料!$E$5:$E$104,0),900)*10000+ROW()))</f>
      </c>
      <c r="F2225">
        <f>IF(AND(出库明细!C2225&lt;&gt;"",出库明细!C2225=客户对账单!$B$4,ISNUMBER(出库明细!B2225),出库明细!B2225&gt;=客户对账单!$G$4,出库明细!B2225&lt;=客户对账单!$I$4),出库明细!B2225+ROW()/100000,"")</f>
      </c>
      <c r="H2225">
        <f>IF(AND(资金台帐!K728&lt;&gt;"",资金台帐!K728=供应商对账单!$B$4,资金台帐!P728="应付",ISNUMBER(资金台帐!B728),资金台帐!B728&gt;=供应商对账单!$G$4,资金台帐!B728&lt;=供应商对账单!$I$4),资金台帐!B728+ROW()/100000,"")</f>
      </c>
      <c r="N2225">
        <f>IF(AND(ISNUMBER(出库明细!G2225),ISNUMBER(出库明细!E2225),ISNUMBER(出库明细!F2225)),IF(ABS(出库明细!G2225-出库明细!E2225*出库明细!F2225)&gt;0.005,1,0),0)</f>
        <v>0</v>
      </c>
    </row>
    <row r="2226">
      <c r="A2226">
        <f>IF(OR(出库明细!C1226="",出库明细!D1226=""),"",IF(OR(COUNTIFS(存条明细!$C$4:$C$1003,出库明细!C1226,存条明细!$D$4:$D$1003,出库明细!D1226)&gt;0,COUNTIFS(出库明细!$C$4:C1226,出库明细!C1226,出库明细!$D$4:D1226,出库明细!D1226)&gt;1),"",IFERROR(MATCH(出库明细!C1226,总览汇总!$B$5:$B$304,0),900)*10000000+IFERROR(MATCH(出库明细!D1226,基础资料!$E$5:$E$104,0),900)*10000+ROW()))</f>
      </c>
      <c r="F2226">
        <f>IF(AND(出库明细!C2226&lt;&gt;"",出库明细!C2226=客户对账单!$B$4,ISNUMBER(出库明细!B2226),出库明细!B2226&gt;=客户对账单!$G$4,出库明细!B2226&lt;=客户对账单!$I$4),出库明细!B2226+ROW()/100000,"")</f>
      </c>
      <c r="H2226">
        <f>IF(AND(资金台帐!K729&lt;&gt;"",资金台帐!K729=供应商对账单!$B$4,资金台帐!P729="应付",ISNUMBER(资金台帐!B729),资金台帐!B729&gt;=供应商对账单!$G$4,资金台帐!B729&lt;=供应商对账单!$I$4),资金台帐!B729+ROW()/100000,"")</f>
      </c>
      <c r="N2226">
        <f>IF(AND(ISNUMBER(出库明细!G2226),ISNUMBER(出库明细!E2226),ISNUMBER(出库明细!F2226)),IF(ABS(出库明细!G2226-出库明细!E2226*出库明细!F2226)&gt;0.005,1,0),0)</f>
        <v>0</v>
      </c>
    </row>
    <row r="2227">
      <c r="A2227">
        <f>IF(OR(出库明细!C1227="",出库明细!D1227=""),"",IF(OR(COUNTIFS(存条明细!$C$4:$C$1003,出库明细!C1227,存条明细!$D$4:$D$1003,出库明细!D1227)&gt;0,COUNTIFS(出库明细!$C$4:C1227,出库明细!C1227,出库明细!$D$4:D1227,出库明细!D1227)&gt;1),"",IFERROR(MATCH(出库明细!C1227,总览汇总!$B$5:$B$304,0),900)*10000000+IFERROR(MATCH(出库明细!D1227,基础资料!$E$5:$E$104,0),900)*10000+ROW()))</f>
      </c>
      <c r="F2227">
        <f>IF(AND(出库明细!C2227&lt;&gt;"",出库明细!C2227=客户对账单!$B$4,ISNUMBER(出库明细!B2227),出库明细!B2227&gt;=客户对账单!$G$4,出库明细!B2227&lt;=客户对账单!$I$4),出库明细!B2227+ROW()/100000,"")</f>
      </c>
      <c r="H2227">
        <f>IF(AND(资金台帐!K730&lt;&gt;"",资金台帐!K730=供应商对账单!$B$4,资金台帐!P730="应付",ISNUMBER(资金台帐!B730),资金台帐!B730&gt;=供应商对账单!$G$4,资金台帐!B730&lt;=供应商对账单!$I$4),资金台帐!B730+ROW()/100000,"")</f>
      </c>
      <c r="N2227">
        <f>IF(AND(ISNUMBER(出库明细!G2227),ISNUMBER(出库明细!E2227),ISNUMBER(出库明细!F2227)),IF(ABS(出库明细!G2227-出库明细!E2227*出库明细!F2227)&gt;0.005,1,0),0)</f>
        <v>0</v>
      </c>
    </row>
    <row r="2228">
      <c r="A2228">
        <f>IF(OR(出库明细!C1228="",出库明细!D1228=""),"",IF(OR(COUNTIFS(存条明细!$C$4:$C$1003,出库明细!C1228,存条明细!$D$4:$D$1003,出库明细!D1228)&gt;0,COUNTIFS(出库明细!$C$4:C1228,出库明细!C1228,出库明细!$D$4:D1228,出库明细!D1228)&gt;1),"",IFERROR(MATCH(出库明细!C1228,总览汇总!$B$5:$B$304,0),900)*10000000+IFERROR(MATCH(出库明细!D1228,基础资料!$E$5:$E$104,0),900)*10000+ROW()))</f>
      </c>
      <c r="F2228">
        <f>IF(AND(出库明细!C2228&lt;&gt;"",出库明细!C2228=客户对账单!$B$4,ISNUMBER(出库明细!B2228),出库明细!B2228&gt;=客户对账单!$G$4,出库明细!B2228&lt;=客户对账单!$I$4),出库明细!B2228+ROW()/100000,"")</f>
      </c>
      <c r="H2228">
        <f>IF(AND(资金台帐!K731&lt;&gt;"",资金台帐!K731=供应商对账单!$B$4,资金台帐!P731="应付",ISNUMBER(资金台帐!B731),资金台帐!B731&gt;=供应商对账单!$G$4,资金台帐!B731&lt;=供应商对账单!$I$4),资金台帐!B731+ROW()/100000,"")</f>
      </c>
      <c r="N2228">
        <f>IF(AND(ISNUMBER(出库明细!G2228),ISNUMBER(出库明细!E2228),ISNUMBER(出库明细!F2228)),IF(ABS(出库明细!G2228-出库明细!E2228*出库明细!F2228)&gt;0.005,1,0),0)</f>
        <v>0</v>
      </c>
    </row>
    <row r="2229">
      <c r="A2229">
        <f>IF(OR(出库明细!C1229="",出库明细!D1229=""),"",IF(OR(COUNTIFS(存条明细!$C$4:$C$1003,出库明细!C1229,存条明细!$D$4:$D$1003,出库明细!D1229)&gt;0,COUNTIFS(出库明细!$C$4:C1229,出库明细!C1229,出库明细!$D$4:D1229,出库明细!D1229)&gt;1),"",IFERROR(MATCH(出库明细!C1229,总览汇总!$B$5:$B$304,0),900)*10000000+IFERROR(MATCH(出库明细!D1229,基础资料!$E$5:$E$104,0),900)*10000+ROW()))</f>
      </c>
      <c r="F2229">
        <f>IF(AND(出库明细!C2229&lt;&gt;"",出库明细!C2229=客户对账单!$B$4,ISNUMBER(出库明细!B2229),出库明细!B2229&gt;=客户对账单!$G$4,出库明细!B2229&lt;=客户对账单!$I$4),出库明细!B2229+ROW()/100000,"")</f>
      </c>
      <c r="H2229">
        <f>IF(AND(资金台帐!K732&lt;&gt;"",资金台帐!K732=供应商对账单!$B$4,资金台帐!P732="应付",ISNUMBER(资金台帐!B732),资金台帐!B732&gt;=供应商对账单!$G$4,资金台帐!B732&lt;=供应商对账单!$I$4),资金台帐!B732+ROW()/100000,"")</f>
      </c>
      <c r="N2229">
        <f>IF(AND(ISNUMBER(出库明细!G2229),ISNUMBER(出库明细!E2229),ISNUMBER(出库明细!F2229)),IF(ABS(出库明细!G2229-出库明细!E2229*出库明细!F2229)&gt;0.005,1,0),0)</f>
        <v>0</v>
      </c>
    </row>
    <row r="2230">
      <c r="A2230">
        <f>IF(OR(出库明细!C1230="",出库明细!D1230=""),"",IF(OR(COUNTIFS(存条明细!$C$4:$C$1003,出库明细!C1230,存条明细!$D$4:$D$1003,出库明细!D1230)&gt;0,COUNTIFS(出库明细!$C$4:C1230,出库明细!C1230,出库明细!$D$4:D1230,出库明细!D1230)&gt;1),"",IFERROR(MATCH(出库明细!C1230,总览汇总!$B$5:$B$304,0),900)*10000000+IFERROR(MATCH(出库明细!D1230,基础资料!$E$5:$E$104,0),900)*10000+ROW()))</f>
      </c>
      <c r="F2230">
        <f>IF(AND(出库明细!C2230&lt;&gt;"",出库明细!C2230=客户对账单!$B$4,ISNUMBER(出库明细!B2230),出库明细!B2230&gt;=客户对账单!$G$4,出库明细!B2230&lt;=客户对账单!$I$4),出库明细!B2230+ROW()/100000,"")</f>
      </c>
      <c r="H2230">
        <f>IF(AND(资金台帐!K733&lt;&gt;"",资金台帐!K733=供应商对账单!$B$4,资金台帐!P733="应付",ISNUMBER(资金台帐!B733),资金台帐!B733&gt;=供应商对账单!$G$4,资金台帐!B733&lt;=供应商对账单!$I$4),资金台帐!B733+ROW()/100000,"")</f>
      </c>
      <c r="N2230">
        <f>IF(AND(ISNUMBER(出库明细!G2230),ISNUMBER(出库明细!E2230),ISNUMBER(出库明细!F2230)),IF(ABS(出库明细!G2230-出库明细!E2230*出库明细!F2230)&gt;0.005,1,0),0)</f>
        <v>0</v>
      </c>
    </row>
    <row r="2231">
      <c r="A2231">
        <f>IF(OR(出库明细!C1231="",出库明细!D1231=""),"",IF(OR(COUNTIFS(存条明细!$C$4:$C$1003,出库明细!C1231,存条明细!$D$4:$D$1003,出库明细!D1231)&gt;0,COUNTIFS(出库明细!$C$4:C1231,出库明细!C1231,出库明细!$D$4:D1231,出库明细!D1231)&gt;1),"",IFERROR(MATCH(出库明细!C1231,总览汇总!$B$5:$B$304,0),900)*10000000+IFERROR(MATCH(出库明细!D1231,基础资料!$E$5:$E$104,0),900)*10000+ROW()))</f>
      </c>
      <c r="F2231">
        <f>IF(AND(出库明细!C2231&lt;&gt;"",出库明细!C2231=客户对账单!$B$4,ISNUMBER(出库明细!B2231),出库明细!B2231&gt;=客户对账单!$G$4,出库明细!B2231&lt;=客户对账单!$I$4),出库明细!B2231+ROW()/100000,"")</f>
      </c>
      <c r="H2231">
        <f>IF(AND(资金台帐!K734&lt;&gt;"",资金台帐!K734=供应商对账单!$B$4,资金台帐!P734="应付",ISNUMBER(资金台帐!B734),资金台帐!B734&gt;=供应商对账单!$G$4,资金台帐!B734&lt;=供应商对账单!$I$4),资金台帐!B734+ROW()/100000,"")</f>
      </c>
      <c r="N2231">
        <f>IF(AND(ISNUMBER(出库明细!G2231),ISNUMBER(出库明细!E2231),ISNUMBER(出库明细!F2231)),IF(ABS(出库明细!G2231-出库明细!E2231*出库明细!F2231)&gt;0.005,1,0),0)</f>
        <v>0</v>
      </c>
    </row>
    <row r="2232">
      <c r="A2232">
        <f>IF(OR(出库明细!C1232="",出库明细!D1232=""),"",IF(OR(COUNTIFS(存条明细!$C$4:$C$1003,出库明细!C1232,存条明细!$D$4:$D$1003,出库明细!D1232)&gt;0,COUNTIFS(出库明细!$C$4:C1232,出库明细!C1232,出库明细!$D$4:D1232,出库明细!D1232)&gt;1),"",IFERROR(MATCH(出库明细!C1232,总览汇总!$B$5:$B$304,0),900)*10000000+IFERROR(MATCH(出库明细!D1232,基础资料!$E$5:$E$104,0),900)*10000+ROW()))</f>
      </c>
      <c r="F2232">
        <f>IF(AND(出库明细!C2232&lt;&gt;"",出库明细!C2232=客户对账单!$B$4,ISNUMBER(出库明细!B2232),出库明细!B2232&gt;=客户对账单!$G$4,出库明细!B2232&lt;=客户对账单!$I$4),出库明细!B2232+ROW()/100000,"")</f>
      </c>
      <c r="H2232">
        <f>IF(AND(资金台帐!K735&lt;&gt;"",资金台帐!K735=供应商对账单!$B$4,资金台帐!P735="应付",ISNUMBER(资金台帐!B735),资金台帐!B735&gt;=供应商对账单!$G$4,资金台帐!B735&lt;=供应商对账单!$I$4),资金台帐!B735+ROW()/100000,"")</f>
      </c>
      <c r="N2232">
        <f>IF(AND(ISNUMBER(出库明细!G2232),ISNUMBER(出库明细!E2232),ISNUMBER(出库明细!F2232)),IF(ABS(出库明细!G2232-出库明细!E2232*出库明细!F2232)&gt;0.005,1,0),0)</f>
        <v>0</v>
      </c>
    </row>
    <row r="2233">
      <c r="A2233">
        <f>IF(OR(出库明细!C1233="",出库明细!D1233=""),"",IF(OR(COUNTIFS(存条明细!$C$4:$C$1003,出库明细!C1233,存条明细!$D$4:$D$1003,出库明细!D1233)&gt;0,COUNTIFS(出库明细!$C$4:C1233,出库明细!C1233,出库明细!$D$4:D1233,出库明细!D1233)&gt;1),"",IFERROR(MATCH(出库明细!C1233,总览汇总!$B$5:$B$304,0),900)*10000000+IFERROR(MATCH(出库明细!D1233,基础资料!$E$5:$E$104,0),900)*10000+ROW()))</f>
      </c>
      <c r="F2233">
        <f>IF(AND(出库明细!C2233&lt;&gt;"",出库明细!C2233=客户对账单!$B$4,ISNUMBER(出库明细!B2233),出库明细!B2233&gt;=客户对账单!$G$4,出库明细!B2233&lt;=客户对账单!$I$4),出库明细!B2233+ROW()/100000,"")</f>
      </c>
      <c r="H2233">
        <f>IF(AND(资金台帐!K736&lt;&gt;"",资金台帐!K736=供应商对账单!$B$4,资金台帐!P736="应付",ISNUMBER(资金台帐!B736),资金台帐!B736&gt;=供应商对账单!$G$4,资金台帐!B736&lt;=供应商对账单!$I$4),资金台帐!B736+ROW()/100000,"")</f>
      </c>
      <c r="N2233">
        <f>IF(AND(ISNUMBER(出库明细!G2233),ISNUMBER(出库明细!E2233),ISNUMBER(出库明细!F2233)),IF(ABS(出库明细!G2233-出库明细!E2233*出库明细!F2233)&gt;0.005,1,0),0)</f>
        <v>0</v>
      </c>
    </row>
    <row r="2234">
      <c r="A2234">
        <f>IF(OR(出库明细!C1234="",出库明细!D1234=""),"",IF(OR(COUNTIFS(存条明细!$C$4:$C$1003,出库明细!C1234,存条明细!$D$4:$D$1003,出库明细!D1234)&gt;0,COUNTIFS(出库明细!$C$4:C1234,出库明细!C1234,出库明细!$D$4:D1234,出库明细!D1234)&gt;1),"",IFERROR(MATCH(出库明细!C1234,总览汇总!$B$5:$B$304,0),900)*10000000+IFERROR(MATCH(出库明细!D1234,基础资料!$E$5:$E$104,0),900)*10000+ROW()))</f>
      </c>
      <c r="F2234">
        <f>IF(AND(出库明细!C2234&lt;&gt;"",出库明细!C2234=客户对账单!$B$4,ISNUMBER(出库明细!B2234),出库明细!B2234&gt;=客户对账单!$G$4,出库明细!B2234&lt;=客户对账单!$I$4),出库明细!B2234+ROW()/100000,"")</f>
      </c>
      <c r="H2234">
        <f>IF(AND(资金台帐!K737&lt;&gt;"",资金台帐!K737=供应商对账单!$B$4,资金台帐!P737="应付",ISNUMBER(资金台帐!B737),资金台帐!B737&gt;=供应商对账单!$G$4,资金台帐!B737&lt;=供应商对账单!$I$4),资金台帐!B737+ROW()/100000,"")</f>
      </c>
      <c r="N2234">
        <f>IF(AND(ISNUMBER(出库明细!G2234),ISNUMBER(出库明细!E2234),ISNUMBER(出库明细!F2234)),IF(ABS(出库明细!G2234-出库明细!E2234*出库明细!F2234)&gt;0.005,1,0),0)</f>
        <v>0</v>
      </c>
    </row>
    <row r="2235">
      <c r="A2235">
        <f>IF(OR(出库明细!C1235="",出库明细!D1235=""),"",IF(OR(COUNTIFS(存条明细!$C$4:$C$1003,出库明细!C1235,存条明细!$D$4:$D$1003,出库明细!D1235)&gt;0,COUNTIFS(出库明细!$C$4:C1235,出库明细!C1235,出库明细!$D$4:D1235,出库明细!D1235)&gt;1),"",IFERROR(MATCH(出库明细!C1235,总览汇总!$B$5:$B$304,0),900)*10000000+IFERROR(MATCH(出库明细!D1235,基础资料!$E$5:$E$104,0),900)*10000+ROW()))</f>
      </c>
      <c r="F2235">
        <f>IF(AND(出库明细!C2235&lt;&gt;"",出库明细!C2235=客户对账单!$B$4,ISNUMBER(出库明细!B2235),出库明细!B2235&gt;=客户对账单!$G$4,出库明细!B2235&lt;=客户对账单!$I$4),出库明细!B2235+ROW()/100000,"")</f>
      </c>
      <c r="H2235">
        <f>IF(AND(资金台帐!K738&lt;&gt;"",资金台帐!K738=供应商对账单!$B$4,资金台帐!P738="应付",ISNUMBER(资金台帐!B738),资金台帐!B738&gt;=供应商对账单!$G$4,资金台帐!B738&lt;=供应商对账单!$I$4),资金台帐!B738+ROW()/100000,"")</f>
      </c>
      <c r="N2235">
        <f>IF(AND(ISNUMBER(出库明细!G2235),ISNUMBER(出库明细!E2235),ISNUMBER(出库明细!F2235)),IF(ABS(出库明细!G2235-出库明细!E2235*出库明细!F2235)&gt;0.005,1,0),0)</f>
        <v>0</v>
      </c>
    </row>
    <row r="2236">
      <c r="A2236">
        <f>IF(OR(出库明细!C1236="",出库明细!D1236=""),"",IF(OR(COUNTIFS(存条明细!$C$4:$C$1003,出库明细!C1236,存条明细!$D$4:$D$1003,出库明细!D1236)&gt;0,COUNTIFS(出库明细!$C$4:C1236,出库明细!C1236,出库明细!$D$4:D1236,出库明细!D1236)&gt;1),"",IFERROR(MATCH(出库明细!C1236,总览汇总!$B$5:$B$304,0),900)*10000000+IFERROR(MATCH(出库明细!D1236,基础资料!$E$5:$E$104,0),900)*10000+ROW()))</f>
      </c>
      <c r="F2236">
        <f>IF(AND(出库明细!C2236&lt;&gt;"",出库明细!C2236=客户对账单!$B$4,ISNUMBER(出库明细!B2236),出库明细!B2236&gt;=客户对账单!$G$4,出库明细!B2236&lt;=客户对账单!$I$4),出库明细!B2236+ROW()/100000,"")</f>
      </c>
      <c r="H2236">
        <f>IF(AND(资金台帐!K739&lt;&gt;"",资金台帐!K739=供应商对账单!$B$4,资金台帐!P739="应付",ISNUMBER(资金台帐!B739),资金台帐!B739&gt;=供应商对账单!$G$4,资金台帐!B739&lt;=供应商对账单!$I$4),资金台帐!B739+ROW()/100000,"")</f>
      </c>
      <c r="N2236">
        <f>IF(AND(ISNUMBER(出库明细!G2236),ISNUMBER(出库明细!E2236),ISNUMBER(出库明细!F2236)),IF(ABS(出库明细!G2236-出库明细!E2236*出库明细!F2236)&gt;0.005,1,0),0)</f>
        <v>0</v>
      </c>
    </row>
    <row r="2237">
      <c r="A2237">
        <f>IF(OR(出库明细!C1237="",出库明细!D1237=""),"",IF(OR(COUNTIFS(存条明细!$C$4:$C$1003,出库明细!C1237,存条明细!$D$4:$D$1003,出库明细!D1237)&gt;0,COUNTIFS(出库明细!$C$4:C1237,出库明细!C1237,出库明细!$D$4:D1237,出库明细!D1237)&gt;1),"",IFERROR(MATCH(出库明细!C1237,总览汇总!$B$5:$B$304,0),900)*10000000+IFERROR(MATCH(出库明细!D1237,基础资料!$E$5:$E$104,0),900)*10000+ROW()))</f>
      </c>
      <c r="F2237">
        <f>IF(AND(出库明细!C2237&lt;&gt;"",出库明细!C2237=客户对账单!$B$4,ISNUMBER(出库明细!B2237),出库明细!B2237&gt;=客户对账单!$G$4,出库明细!B2237&lt;=客户对账单!$I$4),出库明细!B2237+ROW()/100000,"")</f>
      </c>
      <c r="H2237">
        <f>IF(AND(资金台帐!K740&lt;&gt;"",资金台帐!K740=供应商对账单!$B$4,资金台帐!P740="应付",ISNUMBER(资金台帐!B740),资金台帐!B740&gt;=供应商对账单!$G$4,资金台帐!B740&lt;=供应商对账单!$I$4),资金台帐!B740+ROW()/100000,"")</f>
      </c>
      <c r="N2237">
        <f>IF(AND(ISNUMBER(出库明细!G2237),ISNUMBER(出库明细!E2237),ISNUMBER(出库明细!F2237)),IF(ABS(出库明细!G2237-出库明细!E2237*出库明细!F2237)&gt;0.005,1,0),0)</f>
        <v>0</v>
      </c>
    </row>
    <row r="2238">
      <c r="A2238">
        <f>IF(OR(出库明细!C1238="",出库明细!D1238=""),"",IF(OR(COUNTIFS(存条明细!$C$4:$C$1003,出库明细!C1238,存条明细!$D$4:$D$1003,出库明细!D1238)&gt;0,COUNTIFS(出库明细!$C$4:C1238,出库明细!C1238,出库明细!$D$4:D1238,出库明细!D1238)&gt;1),"",IFERROR(MATCH(出库明细!C1238,总览汇总!$B$5:$B$304,0),900)*10000000+IFERROR(MATCH(出库明细!D1238,基础资料!$E$5:$E$104,0),900)*10000+ROW()))</f>
      </c>
      <c r="F2238">
        <f>IF(AND(出库明细!C2238&lt;&gt;"",出库明细!C2238=客户对账单!$B$4,ISNUMBER(出库明细!B2238),出库明细!B2238&gt;=客户对账单!$G$4,出库明细!B2238&lt;=客户对账单!$I$4),出库明细!B2238+ROW()/100000,"")</f>
      </c>
      <c r="H2238">
        <f>IF(AND(资金台帐!K741&lt;&gt;"",资金台帐!K741=供应商对账单!$B$4,资金台帐!P741="应付",ISNUMBER(资金台帐!B741),资金台帐!B741&gt;=供应商对账单!$G$4,资金台帐!B741&lt;=供应商对账单!$I$4),资金台帐!B741+ROW()/100000,"")</f>
      </c>
      <c r="N2238">
        <f>IF(AND(ISNUMBER(出库明细!G2238),ISNUMBER(出库明细!E2238),ISNUMBER(出库明细!F2238)),IF(ABS(出库明细!G2238-出库明细!E2238*出库明细!F2238)&gt;0.005,1,0),0)</f>
        <v>0</v>
      </c>
    </row>
    <row r="2239">
      <c r="A2239">
        <f>IF(OR(出库明细!C1239="",出库明细!D1239=""),"",IF(OR(COUNTIFS(存条明细!$C$4:$C$1003,出库明细!C1239,存条明细!$D$4:$D$1003,出库明细!D1239)&gt;0,COUNTIFS(出库明细!$C$4:C1239,出库明细!C1239,出库明细!$D$4:D1239,出库明细!D1239)&gt;1),"",IFERROR(MATCH(出库明细!C1239,总览汇总!$B$5:$B$304,0),900)*10000000+IFERROR(MATCH(出库明细!D1239,基础资料!$E$5:$E$104,0),900)*10000+ROW()))</f>
      </c>
      <c r="F2239">
        <f>IF(AND(出库明细!C2239&lt;&gt;"",出库明细!C2239=客户对账单!$B$4,ISNUMBER(出库明细!B2239),出库明细!B2239&gt;=客户对账单!$G$4,出库明细!B2239&lt;=客户对账单!$I$4),出库明细!B2239+ROW()/100000,"")</f>
      </c>
      <c r="H2239">
        <f>IF(AND(资金台帐!K742&lt;&gt;"",资金台帐!K742=供应商对账单!$B$4,资金台帐!P742="应付",ISNUMBER(资金台帐!B742),资金台帐!B742&gt;=供应商对账单!$G$4,资金台帐!B742&lt;=供应商对账单!$I$4),资金台帐!B742+ROW()/100000,"")</f>
      </c>
      <c r="N2239">
        <f>IF(AND(ISNUMBER(出库明细!G2239),ISNUMBER(出库明细!E2239),ISNUMBER(出库明细!F2239)),IF(ABS(出库明细!G2239-出库明细!E2239*出库明细!F2239)&gt;0.005,1,0),0)</f>
        <v>0</v>
      </c>
    </row>
    <row r="2240">
      <c r="A2240">
        <f>IF(OR(出库明细!C1240="",出库明细!D1240=""),"",IF(OR(COUNTIFS(存条明细!$C$4:$C$1003,出库明细!C1240,存条明细!$D$4:$D$1003,出库明细!D1240)&gt;0,COUNTIFS(出库明细!$C$4:C1240,出库明细!C1240,出库明细!$D$4:D1240,出库明细!D1240)&gt;1),"",IFERROR(MATCH(出库明细!C1240,总览汇总!$B$5:$B$304,0),900)*10000000+IFERROR(MATCH(出库明细!D1240,基础资料!$E$5:$E$104,0),900)*10000+ROW()))</f>
      </c>
      <c r="F2240">
        <f>IF(AND(出库明细!C2240&lt;&gt;"",出库明细!C2240=客户对账单!$B$4,ISNUMBER(出库明细!B2240),出库明细!B2240&gt;=客户对账单!$G$4,出库明细!B2240&lt;=客户对账单!$I$4),出库明细!B2240+ROW()/100000,"")</f>
      </c>
      <c r="H2240">
        <f>IF(AND(资金台帐!K743&lt;&gt;"",资金台帐!K743=供应商对账单!$B$4,资金台帐!P743="应付",ISNUMBER(资金台帐!B743),资金台帐!B743&gt;=供应商对账单!$G$4,资金台帐!B743&lt;=供应商对账单!$I$4),资金台帐!B743+ROW()/100000,"")</f>
      </c>
      <c r="N2240">
        <f>IF(AND(ISNUMBER(出库明细!G2240),ISNUMBER(出库明细!E2240),ISNUMBER(出库明细!F2240)),IF(ABS(出库明细!G2240-出库明细!E2240*出库明细!F2240)&gt;0.005,1,0),0)</f>
        <v>0</v>
      </c>
    </row>
    <row r="2241">
      <c r="A2241">
        <f>IF(OR(出库明细!C1241="",出库明细!D1241=""),"",IF(OR(COUNTIFS(存条明细!$C$4:$C$1003,出库明细!C1241,存条明细!$D$4:$D$1003,出库明细!D1241)&gt;0,COUNTIFS(出库明细!$C$4:C1241,出库明细!C1241,出库明细!$D$4:D1241,出库明细!D1241)&gt;1),"",IFERROR(MATCH(出库明细!C1241,总览汇总!$B$5:$B$304,0),900)*10000000+IFERROR(MATCH(出库明细!D1241,基础资料!$E$5:$E$104,0),900)*10000+ROW()))</f>
      </c>
      <c r="F2241">
        <f>IF(AND(出库明细!C2241&lt;&gt;"",出库明细!C2241=客户对账单!$B$4,ISNUMBER(出库明细!B2241),出库明细!B2241&gt;=客户对账单!$G$4,出库明细!B2241&lt;=客户对账单!$I$4),出库明细!B2241+ROW()/100000,"")</f>
      </c>
      <c r="H2241">
        <f>IF(AND(资金台帐!K744&lt;&gt;"",资金台帐!K744=供应商对账单!$B$4,资金台帐!P744="应付",ISNUMBER(资金台帐!B744),资金台帐!B744&gt;=供应商对账单!$G$4,资金台帐!B744&lt;=供应商对账单!$I$4),资金台帐!B744+ROW()/100000,"")</f>
      </c>
      <c r="N2241">
        <f>IF(AND(ISNUMBER(出库明细!G2241),ISNUMBER(出库明细!E2241),ISNUMBER(出库明细!F2241)),IF(ABS(出库明细!G2241-出库明细!E2241*出库明细!F2241)&gt;0.005,1,0),0)</f>
        <v>0</v>
      </c>
    </row>
    <row r="2242">
      <c r="A2242">
        <f>IF(OR(出库明细!C1242="",出库明细!D1242=""),"",IF(OR(COUNTIFS(存条明细!$C$4:$C$1003,出库明细!C1242,存条明细!$D$4:$D$1003,出库明细!D1242)&gt;0,COUNTIFS(出库明细!$C$4:C1242,出库明细!C1242,出库明细!$D$4:D1242,出库明细!D1242)&gt;1),"",IFERROR(MATCH(出库明细!C1242,总览汇总!$B$5:$B$304,0),900)*10000000+IFERROR(MATCH(出库明细!D1242,基础资料!$E$5:$E$104,0),900)*10000+ROW()))</f>
      </c>
      <c r="F2242">
        <f>IF(AND(出库明细!C2242&lt;&gt;"",出库明细!C2242=客户对账单!$B$4,ISNUMBER(出库明细!B2242),出库明细!B2242&gt;=客户对账单!$G$4,出库明细!B2242&lt;=客户对账单!$I$4),出库明细!B2242+ROW()/100000,"")</f>
      </c>
      <c r="H2242">
        <f>IF(AND(资金台帐!K745&lt;&gt;"",资金台帐!K745=供应商对账单!$B$4,资金台帐!P745="应付",ISNUMBER(资金台帐!B745),资金台帐!B745&gt;=供应商对账单!$G$4,资金台帐!B745&lt;=供应商对账单!$I$4),资金台帐!B745+ROW()/100000,"")</f>
      </c>
      <c r="N2242">
        <f>IF(AND(ISNUMBER(出库明细!G2242),ISNUMBER(出库明细!E2242),ISNUMBER(出库明细!F2242)),IF(ABS(出库明细!G2242-出库明细!E2242*出库明细!F2242)&gt;0.005,1,0),0)</f>
        <v>0</v>
      </c>
    </row>
    <row r="2243">
      <c r="A2243">
        <f>IF(OR(出库明细!C1243="",出库明细!D1243=""),"",IF(OR(COUNTIFS(存条明细!$C$4:$C$1003,出库明细!C1243,存条明细!$D$4:$D$1003,出库明细!D1243)&gt;0,COUNTIFS(出库明细!$C$4:C1243,出库明细!C1243,出库明细!$D$4:D1243,出库明细!D1243)&gt;1),"",IFERROR(MATCH(出库明细!C1243,总览汇总!$B$5:$B$304,0),900)*10000000+IFERROR(MATCH(出库明细!D1243,基础资料!$E$5:$E$104,0),900)*10000+ROW()))</f>
      </c>
      <c r="F2243">
        <f>IF(AND(出库明细!C2243&lt;&gt;"",出库明细!C2243=客户对账单!$B$4,ISNUMBER(出库明细!B2243),出库明细!B2243&gt;=客户对账单!$G$4,出库明细!B2243&lt;=客户对账单!$I$4),出库明细!B2243+ROW()/100000,"")</f>
      </c>
      <c r="H2243">
        <f>IF(AND(资金台帐!K746&lt;&gt;"",资金台帐!K746=供应商对账单!$B$4,资金台帐!P746="应付",ISNUMBER(资金台帐!B746),资金台帐!B746&gt;=供应商对账单!$G$4,资金台帐!B746&lt;=供应商对账单!$I$4),资金台帐!B746+ROW()/100000,"")</f>
      </c>
      <c r="N2243">
        <f>IF(AND(ISNUMBER(出库明细!G2243),ISNUMBER(出库明细!E2243),ISNUMBER(出库明细!F2243)),IF(ABS(出库明细!G2243-出库明细!E2243*出库明细!F2243)&gt;0.005,1,0),0)</f>
        <v>0</v>
      </c>
    </row>
    <row r="2244">
      <c r="A2244">
        <f>IF(OR(出库明细!C1244="",出库明细!D1244=""),"",IF(OR(COUNTIFS(存条明细!$C$4:$C$1003,出库明细!C1244,存条明细!$D$4:$D$1003,出库明细!D1244)&gt;0,COUNTIFS(出库明细!$C$4:C1244,出库明细!C1244,出库明细!$D$4:D1244,出库明细!D1244)&gt;1),"",IFERROR(MATCH(出库明细!C1244,总览汇总!$B$5:$B$304,0),900)*10000000+IFERROR(MATCH(出库明细!D1244,基础资料!$E$5:$E$104,0),900)*10000+ROW()))</f>
      </c>
      <c r="F2244">
        <f>IF(AND(出库明细!C2244&lt;&gt;"",出库明细!C2244=客户对账单!$B$4,ISNUMBER(出库明细!B2244),出库明细!B2244&gt;=客户对账单!$G$4,出库明细!B2244&lt;=客户对账单!$I$4),出库明细!B2244+ROW()/100000,"")</f>
      </c>
      <c r="H2244">
        <f>IF(AND(资金台帐!K747&lt;&gt;"",资金台帐!K747=供应商对账单!$B$4,资金台帐!P747="应付",ISNUMBER(资金台帐!B747),资金台帐!B747&gt;=供应商对账单!$G$4,资金台帐!B747&lt;=供应商对账单!$I$4),资金台帐!B747+ROW()/100000,"")</f>
      </c>
      <c r="N2244">
        <f>IF(AND(ISNUMBER(出库明细!G2244),ISNUMBER(出库明细!E2244),ISNUMBER(出库明细!F2244)),IF(ABS(出库明细!G2244-出库明细!E2244*出库明细!F2244)&gt;0.005,1,0),0)</f>
        <v>0</v>
      </c>
    </row>
    <row r="2245">
      <c r="A2245">
        <f>IF(OR(出库明细!C1245="",出库明细!D1245=""),"",IF(OR(COUNTIFS(存条明细!$C$4:$C$1003,出库明细!C1245,存条明细!$D$4:$D$1003,出库明细!D1245)&gt;0,COUNTIFS(出库明细!$C$4:C1245,出库明细!C1245,出库明细!$D$4:D1245,出库明细!D1245)&gt;1),"",IFERROR(MATCH(出库明细!C1245,总览汇总!$B$5:$B$304,0),900)*10000000+IFERROR(MATCH(出库明细!D1245,基础资料!$E$5:$E$104,0),900)*10000+ROW()))</f>
      </c>
      <c r="F2245">
        <f>IF(AND(出库明细!C2245&lt;&gt;"",出库明细!C2245=客户对账单!$B$4,ISNUMBER(出库明细!B2245),出库明细!B2245&gt;=客户对账单!$G$4,出库明细!B2245&lt;=客户对账单!$I$4),出库明细!B2245+ROW()/100000,"")</f>
      </c>
      <c r="H2245">
        <f>IF(AND(资金台帐!K748&lt;&gt;"",资金台帐!K748=供应商对账单!$B$4,资金台帐!P748="应付",ISNUMBER(资金台帐!B748),资金台帐!B748&gt;=供应商对账单!$G$4,资金台帐!B748&lt;=供应商对账单!$I$4),资金台帐!B748+ROW()/100000,"")</f>
      </c>
      <c r="N2245">
        <f>IF(AND(ISNUMBER(出库明细!G2245),ISNUMBER(出库明细!E2245),ISNUMBER(出库明细!F2245)),IF(ABS(出库明细!G2245-出库明细!E2245*出库明细!F2245)&gt;0.005,1,0),0)</f>
        <v>0</v>
      </c>
    </row>
    <row r="2246">
      <c r="A2246">
        <f>IF(OR(出库明细!C1246="",出库明细!D1246=""),"",IF(OR(COUNTIFS(存条明细!$C$4:$C$1003,出库明细!C1246,存条明细!$D$4:$D$1003,出库明细!D1246)&gt;0,COUNTIFS(出库明细!$C$4:C1246,出库明细!C1246,出库明细!$D$4:D1246,出库明细!D1246)&gt;1),"",IFERROR(MATCH(出库明细!C1246,总览汇总!$B$5:$B$304,0),900)*10000000+IFERROR(MATCH(出库明细!D1246,基础资料!$E$5:$E$104,0),900)*10000+ROW()))</f>
      </c>
      <c r="F2246">
        <f>IF(AND(出库明细!C2246&lt;&gt;"",出库明细!C2246=客户对账单!$B$4,ISNUMBER(出库明细!B2246),出库明细!B2246&gt;=客户对账单!$G$4,出库明细!B2246&lt;=客户对账单!$I$4),出库明细!B2246+ROW()/100000,"")</f>
      </c>
      <c r="H2246">
        <f>IF(AND(资金台帐!K749&lt;&gt;"",资金台帐!K749=供应商对账单!$B$4,资金台帐!P749="应付",ISNUMBER(资金台帐!B749),资金台帐!B749&gt;=供应商对账单!$G$4,资金台帐!B749&lt;=供应商对账单!$I$4),资金台帐!B749+ROW()/100000,"")</f>
      </c>
      <c r="N2246">
        <f>IF(AND(ISNUMBER(出库明细!G2246),ISNUMBER(出库明细!E2246),ISNUMBER(出库明细!F2246)),IF(ABS(出库明细!G2246-出库明细!E2246*出库明细!F2246)&gt;0.005,1,0),0)</f>
        <v>0</v>
      </c>
    </row>
    <row r="2247">
      <c r="A2247">
        <f>IF(OR(出库明细!C1247="",出库明细!D1247=""),"",IF(OR(COUNTIFS(存条明细!$C$4:$C$1003,出库明细!C1247,存条明细!$D$4:$D$1003,出库明细!D1247)&gt;0,COUNTIFS(出库明细!$C$4:C1247,出库明细!C1247,出库明细!$D$4:D1247,出库明细!D1247)&gt;1),"",IFERROR(MATCH(出库明细!C1247,总览汇总!$B$5:$B$304,0),900)*10000000+IFERROR(MATCH(出库明细!D1247,基础资料!$E$5:$E$104,0),900)*10000+ROW()))</f>
      </c>
      <c r="F2247">
        <f>IF(AND(出库明细!C2247&lt;&gt;"",出库明细!C2247=客户对账单!$B$4,ISNUMBER(出库明细!B2247),出库明细!B2247&gt;=客户对账单!$G$4,出库明细!B2247&lt;=客户对账单!$I$4),出库明细!B2247+ROW()/100000,"")</f>
      </c>
      <c r="H2247">
        <f>IF(AND(资金台帐!K750&lt;&gt;"",资金台帐!K750=供应商对账单!$B$4,资金台帐!P750="应付",ISNUMBER(资金台帐!B750),资金台帐!B750&gt;=供应商对账单!$G$4,资金台帐!B750&lt;=供应商对账单!$I$4),资金台帐!B750+ROW()/100000,"")</f>
      </c>
      <c r="N2247">
        <f>IF(AND(ISNUMBER(出库明细!G2247),ISNUMBER(出库明细!E2247),ISNUMBER(出库明细!F2247)),IF(ABS(出库明细!G2247-出库明细!E2247*出库明细!F2247)&gt;0.005,1,0),0)</f>
        <v>0</v>
      </c>
    </row>
    <row r="2248">
      <c r="A2248">
        <f>IF(OR(出库明细!C1248="",出库明细!D1248=""),"",IF(OR(COUNTIFS(存条明细!$C$4:$C$1003,出库明细!C1248,存条明细!$D$4:$D$1003,出库明细!D1248)&gt;0,COUNTIFS(出库明细!$C$4:C1248,出库明细!C1248,出库明细!$D$4:D1248,出库明细!D1248)&gt;1),"",IFERROR(MATCH(出库明细!C1248,总览汇总!$B$5:$B$304,0),900)*10000000+IFERROR(MATCH(出库明细!D1248,基础资料!$E$5:$E$104,0),900)*10000+ROW()))</f>
      </c>
      <c r="F2248">
        <f>IF(AND(出库明细!C2248&lt;&gt;"",出库明细!C2248=客户对账单!$B$4,ISNUMBER(出库明细!B2248),出库明细!B2248&gt;=客户对账单!$G$4,出库明细!B2248&lt;=客户对账单!$I$4),出库明细!B2248+ROW()/100000,"")</f>
      </c>
      <c r="H2248">
        <f>IF(AND(资金台帐!K751&lt;&gt;"",资金台帐!K751=供应商对账单!$B$4,资金台帐!P751="应付",ISNUMBER(资金台帐!B751),资金台帐!B751&gt;=供应商对账单!$G$4,资金台帐!B751&lt;=供应商对账单!$I$4),资金台帐!B751+ROW()/100000,"")</f>
      </c>
      <c r="N2248">
        <f>IF(AND(ISNUMBER(出库明细!G2248),ISNUMBER(出库明细!E2248),ISNUMBER(出库明细!F2248)),IF(ABS(出库明细!G2248-出库明细!E2248*出库明细!F2248)&gt;0.005,1,0),0)</f>
        <v>0</v>
      </c>
    </row>
    <row r="2249">
      <c r="A2249">
        <f>IF(OR(出库明细!C1249="",出库明细!D1249=""),"",IF(OR(COUNTIFS(存条明细!$C$4:$C$1003,出库明细!C1249,存条明细!$D$4:$D$1003,出库明细!D1249)&gt;0,COUNTIFS(出库明细!$C$4:C1249,出库明细!C1249,出库明细!$D$4:D1249,出库明细!D1249)&gt;1),"",IFERROR(MATCH(出库明细!C1249,总览汇总!$B$5:$B$304,0),900)*10000000+IFERROR(MATCH(出库明细!D1249,基础资料!$E$5:$E$104,0),900)*10000+ROW()))</f>
      </c>
      <c r="F2249">
        <f>IF(AND(出库明细!C2249&lt;&gt;"",出库明细!C2249=客户对账单!$B$4,ISNUMBER(出库明细!B2249),出库明细!B2249&gt;=客户对账单!$G$4,出库明细!B2249&lt;=客户对账单!$I$4),出库明细!B2249+ROW()/100000,"")</f>
      </c>
      <c r="H2249">
        <f>IF(AND(资金台帐!K752&lt;&gt;"",资金台帐!K752=供应商对账单!$B$4,资金台帐!P752="应付",ISNUMBER(资金台帐!B752),资金台帐!B752&gt;=供应商对账单!$G$4,资金台帐!B752&lt;=供应商对账单!$I$4),资金台帐!B752+ROW()/100000,"")</f>
      </c>
      <c r="N2249">
        <f>IF(AND(ISNUMBER(出库明细!G2249),ISNUMBER(出库明细!E2249),ISNUMBER(出库明细!F2249)),IF(ABS(出库明细!G2249-出库明细!E2249*出库明细!F2249)&gt;0.005,1,0),0)</f>
        <v>0</v>
      </c>
    </row>
    <row r="2250">
      <c r="A2250">
        <f>IF(OR(出库明细!C1250="",出库明细!D1250=""),"",IF(OR(COUNTIFS(存条明细!$C$4:$C$1003,出库明细!C1250,存条明细!$D$4:$D$1003,出库明细!D1250)&gt;0,COUNTIFS(出库明细!$C$4:C1250,出库明细!C1250,出库明细!$D$4:D1250,出库明细!D1250)&gt;1),"",IFERROR(MATCH(出库明细!C1250,总览汇总!$B$5:$B$304,0),900)*10000000+IFERROR(MATCH(出库明细!D1250,基础资料!$E$5:$E$104,0),900)*10000+ROW()))</f>
      </c>
      <c r="F2250">
        <f>IF(AND(出库明细!C2250&lt;&gt;"",出库明细!C2250=客户对账单!$B$4,ISNUMBER(出库明细!B2250),出库明细!B2250&gt;=客户对账单!$G$4,出库明细!B2250&lt;=客户对账单!$I$4),出库明细!B2250+ROW()/100000,"")</f>
      </c>
      <c r="H2250">
        <f>IF(AND(资金台帐!K753&lt;&gt;"",资金台帐!K753=供应商对账单!$B$4,资金台帐!P753="应付",ISNUMBER(资金台帐!B753),资金台帐!B753&gt;=供应商对账单!$G$4,资金台帐!B753&lt;=供应商对账单!$I$4),资金台帐!B753+ROW()/100000,"")</f>
      </c>
      <c r="N2250">
        <f>IF(AND(ISNUMBER(出库明细!G2250),ISNUMBER(出库明细!E2250),ISNUMBER(出库明细!F2250)),IF(ABS(出库明细!G2250-出库明细!E2250*出库明细!F2250)&gt;0.005,1,0),0)</f>
        <v>0</v>
      </c>
    </row>
    <row r="2251">
      <c r="A2251">
        <f>IF(OR(出库明细!C1251="",出库明细!D1251=""),"",IF(OR(COUNTIFS(存条明细!$C$4:$C$1003,出库明细!C1251,存条明细!$D$4:$D$1003,出库明细!D1251)&gt;0,COUNTIFS(出库明细!$C$4:C1251,出库明细!C1251,出库明细!$D$4:D1251,出库明细!D1251)&gt;1),"",IFERROR(MATCH(出库明细!C1251,总览汇总!$B$5:$B$304,0),900)*10000000+IFERROR(MATCH(出库明细!D1251,基础资料!$E$5:$E$104,0),900)*10000+ROW()))</f>
      </c>
      <c r="F2251">
        <f>IF(AND(出库明细!C2251&lt;&gt;"",出库明细!C2251=客户对账单!$B$4,ISNUMBER(出库明细!B2251),出库明细!B2251&gt;=客户对账单!$G$4,出库明细!B2251&lt;=客户对账单!$I$4),出库明细!B2251+ROW()/100000,"")</f>
      </c>
      <c r="H2251">
        <f>IF(AND(资金台帐!K754&lt;&gt;"",资金台帐!K754=供应商对账单!$B$4,资金台帐!P754="应付",ISNUMBER(资金台帐!B754),资金台帐!B754&gt;=供应商对账单!$G$4,资金台帐!B754&lt;=供应商对账单!$I$4),资金台帐!B754+ROW()/100000,"")</f>
      </c>
      <c r="N2251">
        <f>IF(AND(ISNUMBER(出库明细!G2251),ISNUMBER(出库明细!E2251),ISNUMBER(出库明细!F2251)),IF(ABS(出库明细!G2251-出库明细!E2251*出库明细!F2251)&gt;0.005,1,0),0)</f>
        <v>0</v>
      </c>
    </row>
    <row r="2252">
      <c r="A2252">
        <f>IF(OR(出库明细!C1252="",出库明细!D1252=""),"",IF(OR(COUNTIFS(存条明细!$C$4:$C$1003,出库明细!C1252,存条明细!$D$4:$D$1003,出库明细!D1252)&gt;0,COUNTIFS(出库明细!$C$4:C1252,出库明细!C1252,出库明细!$D$4:D1252,出库明细!D1252)&gt;1),"",IFERROR(MATCH(出库明细!C1252,总览汇总!$B$5:$B$304,0),900)*10000000+IFERROR(MATCH(出库明细!D1252,基础资料!$E$5:$E$104,0),900)*10000+ROW()))</f>
      </c>
      <c r="F2252">
        <f>IF(AND(出库明细!C2252&lt;&gt;"",出库明细!C2252=客户对账单!$B$4,ISNUMBER(出库明细!B2252),出库明细!B2252&gt;=客户对账单!$G$4,出库明细!B2252&lt;=客户对账单!$I$4),出库明细!B2252+ROW()/100000,"")</f>
      </c>
      <c r="H2252">
        <f>IF(AND(资金台帐!K755&lt;&gt;"",资金台帐!K755=供应商对账单!$B$4,资金台帐!P755="应付",ISNUMBER(资金台帐!B755),资金台帐!B755&gt;=供应商对账单!$G$4,资金台帐!B755&lt;=供应商对账单!$I$4),资金台帐!B755+ROW()/100000,"")</f>
      </c>
      <c r="N2252">
        <f>IF(AND(ISNUMBER(出库明细!G2252),ISNUMBER(出库明细!E2252),ISNUMBER(出库明细!F2252)),IF(ABS(出库明细!G2252-出库明细!E2252*出库明细!F2252)&gt;0.005,1,0),0)</f>
        <v>0</v>
      </c>
    </row>
    <row r="2253">
      <c r="A2253">
        <f>IF(OR(出库明细!C1253="",出库明细!D1253=""),"",IF(OR(COUNTIFS(存条明细!$C$4:$C$1003,出库明细!C1253,存条明细!$D$4:$D$1003,出库明细!D1253)&gt;0,COUNTIFS(出库明细!$C$4:C1253,出库明细!C1253,出库明细!$D$4:D1253,出库明细!D1253)&gt;1),"",IFERROR(MATCH(出库明细!C1253,总览汇总!$B$5:$B$304,0),900)*10000000+IFERROR(MATCH(出库明细!D1253,基础资料!$E$5:$E$104,0),900)*10000+ROW()))</f>
      </c>
      <c r="F2253">
        <f>IF(AND(出库明细!C2253&lt;&gt;"",出库明细!C2253=客户对账单!$B$4,ISNUMBER(出库明细!B2253),出库明细!B2253&gt;=客户对账单!$G$4,出库明细!B2253&lt;=客户对账单!$I$4),出库明细!B2253+ROW()/100000,"")</f>
      </c>
      <c r="H2253">
        <f>IF(AND(资金台帐!K756&lt;&gt;"",资金台帐!K756=供应商对账单!$B$4,资金台帐!P756="应付",ISNUMBER(资金台帐!B756),资金台帐!B756&gt;=供应商对账单!$G$4,资金台帐!B756&lt;=供应商对账单!$I$4),资金台帐!B756+ROW()/100000,"")</f>
      </c>
      <c r="N2253">
        <f>IF(AND(ISNUMBER(出库明细!G2253),ISNUMBER(出库明细!E2253),ISNUMBER(出库明细!F2253)),IF(ABS(出库明细!G2253-出库明细!E2253*出库明细!F2253)&gt;0.005,1,0),0)</f>
        <v>0</v>
      </c>
    </row>
    <row r="2254">
      <c r="A2254">
        <f>IF(OR(出库明细!C1254="",出库明细!D1254=""),"",IF(OR(COUNTIFS(存条明细!$C$4:$C$1003,出库明细!C1254,存条明细!$D$4:$D$1003,出库明细!D1254)&gt;0,COUNTIFS(出库明细!$C$4:C1254,出库明细!C1254,出库明细!$D$4:D1254,出库明细!D1254)&gt;1),"",IFERROR(MATCH(出库明细!C1254,总览汇总!$B$5:$B$304,0),900)*10000000+IFERROR(MATCH(出库明细!D1254,基础资料!$E$5:$E$104,0),900)*10000+ROW()))</f>
      </c>
      <c r="F2254">
        <f>IF(AND(出库明细!C2254&lt;&gt;"",出库明细!C2254=客户对账单!$B$4,ISNUMBER(出库明细!B2254),出库明细!B2254&gt;=客户对账单!$G$4,出库明细!B2254&lt;=客户对账单!$I$4),出库明细!B2254+ROW()/100000,"")</f>
      </c>
      <c r="H2254">
        <f>IF(AND(资金台帐!K757&lt;&gt;"",资金台帐!K757=供应商对账单!$B$4,资金台帐!P757="应付",ISNUMBER(资金台帐!B757),资金台帐!B757&gt;=供应商对账单!$G$4,资金台帐!B757&lt;=供应商对账单!$I$4),资金台帐!B757+ROW()/100000,"")</f>
      </c>
      <c r="N2254">
        <f>IF(AND(ISNUMBER(出库明细!G2254),ISNUMBER(出库明细!E2254),ISNUMBER(出库明细!F2254)),IF(ABS(出库明细!G2254-出库明细!E2254*出库明细!F2254)&gt;0.005,1,0),0)</f>
        <v>0</v>
      </c>
    </row>
    <row r="2255">
      <c r="A2255">
        <f>IF(OR(出库明细!C1255="",出库明细!D1255=""),"",IF(OR(COUNTIFS(存条明细!$C$4:$C$1003,出库明细!C1255,存条明细!$D$4:$D$1003,出库明细!D1255)&gt;0,COUNTIFS(出库明细!$C$4:C1255,出库明细!C1255,出库明细!$D$4:D1255,出库明细!D1255)&gt;1),"",IFERROR(MATCH(出库明细!C1255,总览汇总!$B$5:$B$304,0),900)*10000000+IFERROR(MATCH(出库明细!D1255,基础资料!$E$5:$E$104,0),900)*10000+ROW()))</f>
      </c>
      <c r="F2255">
        <f>IF(AND(出库明细!C2255&lt;&gt;"",出库明细!C2255=客户对账单!$B$4,ISNUMBER(出库明细!B2255),出库明细!B2255&gt;=客户对账单!$G$4,出库明细!B2255&lt;=客户对账单!$I$4),出库明细!B2255+ROW()/100000,"")</f>
      </c>
      <c r="H2255">
        <f>IF(AND(资金台帐!K758&lt;&gt;"",资金台帐!K758=供应商对账单!$B$4,资金台帐!P758="应付",ISNUMBER(资金台帐!B758),资金台帐!B758&gt;=供应商对账单!$G$4,资金台帐!B758&lt;=供应商对账单!$I$4),资金台帐!B758+ROW()/100000,"")</f>
      </c>
      <c r="N2255">
        <f>IF(AND(ISNUMBER(出库明细!G2255),ISNUMBER(出库明细!E2255),ISNUMBER(出库明细!F2255)),IF(ABS(出库明细!G2255-出库明细!E2255*出库明细!F2255)&gt;0.005,1,0),0)</f>
        <v>0</v>
      </c>
    </row>
    <row r="2256">
      <c r="A2256">
        <f>IF(OR(出库明细!C1256="",出库明细!D1256=""),"",IF(OR(COUNTIFS(存条明细!$C$4:$C$1003,出库明细!C1256,存条明细!$D$4:$D$1003,出库明细!D1256)&gt;0,COUNTIFS(出库明细!$C$4:C1256,出库明细!C1256,出库明细!$D$4:D1256,出库明细!D1256)&gt;1),"",IFERROR(MATCH(出库明细!C1256,总览汇总!$B$5:$B$304,0),900)*10000000+IFERROR(MATCH(出库明细!D1256,基础资料!$E$5:$E$104,0),900)*10000+ROW()))</f>
      </c>
      <c r="F2256">
        <f>IF(AND(出库明细!C2256&lt;&gt;"",出库明细!C2256=客户对账单!$B$4,ISNUMBER(出库明细!B2256),出库明细!B2256&gt;=客户对账单!$G$4,出库明细!B2256&lt;=客户对账单!$I$4),出库明细!B2256+ROW()/100000,"")</f>
      </c>
      <c r="H2256">
        <f>IF(AND(资金台帐!K759&lt;&gt;"",资金台帐!K759=供应商对账单!$B$4,资金台帐!P759="应付",ISNUMBER(资金台帐!B759),资金台帐!B759&gt;=供应商对账单!$G$4,资金台帐!B759&lt;=供应商对账单!$I$4),资金台帐!B759+ROW()/100000,"")</f>
      </c>
      <c r="N2256">
        <f>IF(AND(ISNUMBER(出库明细!G2256),ISNUMBER(出库明细!E2256),ISNUMBER(出库明细!F2256)),IF(ABS(出库明细!G2256-出库明细!E2256*出库明细!F2256)&gt;0.005,1,0),0)</f>
        <v>0</v>
      </c>
    </row>
    <row r="2257">
      <c r="A2257">
        <f>IF(OR(出库明细!C1257="",出库明细!D1257=""),"",IF(OR(COUNTIFS(存条明细!$C$4:$C$1003,出库明细!C1257,存条明细!$D$4:$D$1003,出库明细!D1257)&gt;0,COUNTIFS(出库明细!$C$4:C1257,出库明细!C1257,出库明细!$D$4:D1257,出库明细!D1257)&gt;1),"",IFERROR(MATCH(出库明细!C1257,总览汇总!$B$5:$B$304,0),900)*10000000+IFERROR(MATCH(出库明细!D1257,基础资料!$E$5:$E$104,0),900)*10000+ROW()))</f>
      </c>
      <c r="F2257">
        <f>IF(AND(出库明细!C2257&lt;&gt;"",出库明细!C2257=客户对账单!$B$4,ISNUMBER(出库明细!B2257),出库明细!B2257&gt;=客户对账单!$G$4,出库明细!B2257&lt;=客户对账单!$I$4),出库明细!B2257+ROW()/100000,"")</f>
      </c>
      <c r="H2257">
        <f>IF(AND(资金台帐!K760&lt;&gt;"",资金台帐!K760=供应商对账单!$B$4,资金台帐!P760="应付",ISNUMBER(资金台帐!B760),资金台帐!B760&gt;=供应商对账单!$G$4,资金台帐!B760&lt;=供应商对账单!$I$4),资金台帐!B760+ROW()/100000,"")</f>
      </c>
      <c r="N2257">
        <f>IF(AND(ISNUMBER(出库明细!G2257),ISNUMBER(出库明细!E2257),ISNUMBER(出库明细!F2257)),IF(ABS(出库明细!G2257-出库明细!E2257*出库明细!F2257)&gt;0.005,1,0),0)</f>
        <v>0</v>
      </c>
    </row>
    <row r="2258">
      <c r="A2258">
        <f>IF(OR(出库明细!C1258="",出库明细!D1258=""),"",IF(OR(COUNTIFS(存条明细!$C$4:$C$1003,出库明细!C1258,存条明细!$D$4:$D$1003,出库明细!D1258)&gt;0,COUNTIFS(出库明细!$C$4:C1258,出库明细!C1258,出库明细!$D$4:D1258,出库明细!D1258)&gt;1),"",IFERROR(MATCH(出库明细!C1258,总览汇总!$B$5:$B$304,0),900)*10000000+IFERROR(MATCH(出库明细!D1258,基础资料!$E$5:$E$104,0),900)*10000+ROW()))</f>
      </c>
      <c r="F2258">
        <f>IF(AND(出库明细!C2258&lt;&gt;"",出库明细!C2258=客户对账单!$B$4,ISNUMBER(出库明细!B2258),出库明细!B2258&gt;=客户对账单!$G$4,出库明细!B2258&lt;=客户对账单!$I$4),出库明细!B2258+ROW()/100000,"")</f>
      </c>
      <c r="H2258">
        <f>IF(AND(资金台帐!K761&lt;&gt;"",资金台帐!K761=供应商对账单!$B$4,资金台帐!P761="应付",ISNUMBER(资金台帐!B761),资金台帐!B761&gt;=供应商对账单!$G$4,资金台帐!B761&lt;=供应商对账单!$I$4),资金台帐!B761+ROW()/100000,"")</f>
      </c>
      <c r="N2258">
        <f>IF(AND(ISNUMBER(出库明细!G2258),ISNUMBER(出库明细!E2258),ISNUMBER(出库明细!F2258)),IF(ABS(出库明细!G2258-出库明细!E2258*出库明细!F2258)&gt;0.005,1,0),0)</f>
        <v>0</v>
      </c>
    </row>
    <row r="2259">
      <c r="A2259">
        <f>IF(OR(出库明细!C1259="",出库明细!D1259=""),"",IF(OR(COUNTIFS(存条明细!$C$4:$C$1003,出库明细!C1259,存条明细!$D$4:$D$1003,出库明细!D1259)&gt;0,COUNTIFS(出库明细!$C$4:C1259,出库明细!C1259,出库明细!$D$4:D1259,出库明细!D1259)&gt;1),"",IFERROR(MATCH(出库明细!C1259,总览汇总!$B$5:$B$304,0),900)*10000000+IFERROR(MATCH(出库明细!D1259,基础资料!$E$5:$E$104,0),900)*10000+ROW()))</f>
      </c>
      <c r="F2259">
        <f>IF(AND(出库明细!C2259&lt;&gt;"",出库明细!C2259=客户对账单!$B$4,ISNUMBER(出库明细!B2259),出库明细!B2259&gt;=客户对账单!$G$4,出库明细!B2259&lt;=客户对账单!$I$4),出库明细!B2259+ROW()/100000,"")</f>
      </c>
      <c r="H2259">
        <f>IF(AND(资金台帐!K762&lt;&gt;"",资金台帐!K762=供应商对账单!$B$4,资金台帐!P762="应付",ISNUMBER(资金台帐!B762),资金台帐!B762&gt;=供应商对账单!$G$4,资金台帐!B762&lt;=供应商对账单!$I$4),资金台帐!B762+ROW()/100000,"")</f>
      </c>
      <c r="N2259">
        <f>IF(AND(ISNUMBER(出库明细!G2259),ISNUMBER(出库明细!E2259),ISNUMBER(出库明细!F2259)),IF(ABS(出库明细!G2259-出库明细!E2259*出库明细!F2259)&gt;0.005,1,0),0)</f>
        <v>0</v>
      </c>
    </row>
    <row r="2260">
      <c r="A2260">
        <f>IF(OR(出库明细!C1260="",出库明细!D1260=""),"",IF(OR(COUNTIFS(存条明细!$C$4:$C$1003,出库明细!C1260,存条明细!$D$4:$D$1003,出库明细!D1260)&gt;0,COUNTIFS(出库明细!$C$4:C1260,出库明细!C1260,出库明细!$D$4:D1260,出库明细!D1260)&gt;1),"",IFERROR(MATCH(出库明细!C1260,总览汇总!$B$5:$B$304,0),900)*10000000+IFERROR(MATCH(出库明细!D1260,基础资料!$E$5:$E$104,0),900)*10000+ROW()))</f>
      </c>
      <c r="F2260">
        <f>IF(AND(出库明细!C2260&lt;&gt;"",出库明细!C2260=客户对账单!$B$4,ISNUMBER(出库明细!B2260),出库明细!B2260&gt;=客户对账单!$G$4,出库明细!B2260&lt;=客户对账单!$I$4),出库明细!B2260+ROW()/100000,"")</f>
      </c>
      <c r="H2260">
        <f>IF(AND(资金台帐!K763&lt;&gt;"",资金台帐!K763=供应商对账单!$B$4,资金台帐!P763="应付",ISNUMBER(资金台帐!B763),资金台帐!B763&gt;=供应商对账单!$G$4,资金台帐!B763&lt;=供应商对账单!$I$4),资金台帐!B763+ROW()/100000,"")</f>
      </c>
      <c r="N2260">
        <f>IF(AND(ISNUMBER(出库明细!G2260),ISNUMBER(出库明细!E2260),ISNUMBER(出库明细!F2260)),IF(ABS(出库明细!G2260-出库明细!E2260*出库明细!F2260)&gt;0.005,1,0),0)</f>
        <v>0</v>
      </c>
    </row>
    <row r="2261">
      <c r="A2261">
        <f>IF(OR(出库明细!C1261="",出库明细!D1261=""),"",IF(OR(COUNTIFS(存条明细!$C$4:$C$1003,出库明细!C1261,存条明细!$D$4:$D$1003,出库明细!D1261)&gt;0,COUNTIFS(出库明细!$C$4:C1261,出库明细!C1261,出库明细!$D$4:D1261,出库明细!D1261)&gt;1),"",IFERROR(MATCH(出库明细!C1261,总览汇总!$B$5:$B$304,0),900)*10000000+IFERROR(MATCH(出库明细!D1261,基础资料!$E$5:$E$104,0),900)*10000+ROW()))</f>
      </c>
      <c r="F2261">
        <f>IF(AND(出库明细!C2261&lt;&gt;"",出库明细!C2261=客户对账单!$B$4,ISNUMBER(出库明细!B2261),出库明细!B2261&gt;=客户对账单!$G$4,出库明细!B2261&lt;=客户对账单!$I$4),出库明细!B2261+ROW()/100000,"")</f>
      </c>
      <c r="H2261">
        <f>IF(AND(资金台帐!K764&lt;&gt;"",资金台帐!K764=供应商对账单!$B$4,资金台帐!P764="应付",ISNUMBER(资金台帐!B764),资金台帐!B764&gt;=供应商对账单!$G$4,资金台帐!B764&lt;=供应商对账单!$I$4),资金台帐!B764+ROW()/100000,"")</f>
      </c>
      <c r="N2261">
        <f>IF(AND(ISNUMBER(出库明细!G2261),ISNUMBER(出库明细!E2261),ISNUMBER(出库明细!F2261)),IF(ABS(出库明细!G2261-出库明细!E2261*出库明细!F2261)&gt;0.005,1,0),0)</f>
        <v>0</v>
      </c>
    </row>
    <row r="2262">
      <c r="A2262">
        <f>IF(OR(出库明细!C1262="",出库明细!D1262=""),"",IF(OR(COUNTIFS(存条明细!$C$4:$C$1003,出库明细!C1262,存条明细!$D$4:$D$1003,出库明细!D1262)&gt;0,COUNTIFS(出库明细!$C$4:C1262,出库明细!C1262,出库明细!$D$4:D1262,出库明细!D1262)&gt;1),"",IFERROR(MATCH(出库明细!C1262,总览汇总!$B$5:$B$304,0),900)*10000000+IFERROR(MATCH(出库明细!D1262,基础资料!$E$5:$E$104,0),900)*10000+ROW()))</f>
      </c>
      <c r="F2262">
        <f>IF(AND(出库明细!C2262&lt;&gt;"",出库明细!C2262=客户对账单!$B$4,ISNUMBER(出库明细!B2262),出库明细!B2262&gt;=客户对账单!$G$4,出库明细!B2262&lt;=客户对账单!$I$4),出库明细!B2262+ROW()/100000,"")</f>
      </c>
      <c r="H2262">
        <f>IF(AND(资金台帐!K765&lt;&gt;"",资金台帐!K765=供应商对账单!$B$4,资金台帐!P765="应付",ISNUMBER(资金台帐!B765),资金台帐!B765&gt;=供应商对账单!$G$4,资金台帐!B765&lt;=供应商对账单!$I$4),资金台帐!B765+ROW()/100000,"")</f>
      </c>
      <c r="N2262">
        <f>IF(AND(ISNUMBER(出库明细!G2262),ISNUMBER(出库明细!E2262),ISNUMBER(出库明细!F2262)),IF(ABS(出库明细!G2262-出库明细!E2262*出库明细!F2262)&gt;0.005,1,0),0)</f>
        <v>0</v>
      </c>
    </row>
    <row r="2263">
      <c r="A2263">
        <f>IF(OR(出库明细!C1263="",出库明细!D1263=""),"",IF(OR(COUNTIFS(存条明细!$C$4:$C$1003,出库明细!C1263,存条明细!$D$4:$D$1003,出库明细!D1263)&gt;0,COUNTIFS(出库明细!$C$4:C1263,出库明细!C1263,出库明细!$D$4:D1263,出库明细!D1263)&gt;1),"",IFERROR(MATCH(出库明细!C1263,总览汇总!$B$5:$B$304,0),900)*10000000+IFERROR(MATCH(出库明细!D1263,基础资料!$E$5:$E$104,0),900)*10000+ROW()))</f>
      </c>
      <c r="F2263">
        <f>IF(AND(出库明细!C2263&lt;&gt;"",出库明细!C2263=客户对账单!$B$4,ISNUMBER(出库明细!B2263),出库明细!B2263&gt;=客户对账单!$G$4,出库明细!B2263&lt;=客户对账单!$I$4),出库明细!B2263+ROW()/100000,"")</f>
      </c>
      <c r="H2263">
        <f>IF(AND(资金台帐!K766&lt;&gt;"",资金台帐!K766=供应商对账单!$B$4,资金台帐!P766="应付",ISNUMBER(资金台帐!B766),资金台帐!B766&gt;=供应商对账单!$G$4,资金台帐!B766&lt;=供应商对账单!$I$4),资金台帐!B766+ROW()/100000,"")</f>
      </c>
      <c r="N2263">
        <f>IF(AND(ISNUMBER(出库明细!G2263),ISNUMBER(出库明细!E2263),ISNUMBER(出库明细!F2263)),IF(ABS(出库明细!G2263-出库明细!E2263*出库明细!F2263)&gt;0.005,1,0),0)</f>
        <v>0</v>
      </c>
    </row>
    <row r="2264">
      <c r="A2264">
        <f>IF(OR(出库明细!C1264="",出库明细!D1264=""),"",IF(OR(COUNTIFS(存条明细!$C$4:$C$1003,出库明细!C1264,存条明细!$D$4:$D$1003,出库明细!D1264)&gt;0,COUNTIFS(出库明细!$C$4:C1264,出库明细!C1264,出库明细!$D$4:D1264,出库明细!D1264)&gt;1),"",IFERROR(MATCH(出库明细!C1264,总览汇总!$B$5:$B$304,0),900)*10000000+IFERROR(MATCH(出库明细!D1264,基础资料!$E$5:$E$104,0),900)*10000+ROW()))</f>
      </c>
      <c r="F2264">
        <f>IF(AND(出库明细!C2264&lt;&gt;"",出库明细!C2264=客户对账单!$B$4,ISNUMBER(出库明细!B2264),出库明细!B2264&gt;=客户对账单!$G$4,出库明细!B2264&lt;=客户对账单!$I$4),出库明细!B2264+ROW()/100000,"")</f>
      </c>
      <c r="H2264">
        <f>IF(AND(资金台帐!K767&lt;&gt;"",资金台帐!K767=供应商对账单!$B$4,资金台帐!P767="应付",ISNUMBER(资金台帐!B767),资金台帐!B767&gt;=供应商对账单!$G$4,资金台帐!B767&lt;=供应商对账单!$I$4),资金台帐!B767+ROW()/100000,"")</f>
      </c>
      <c r="N2264">
        <f>IF(AND(ISNUMBER(出库明细!G2264),ISNUMBER(出库明细!E2264),ISNUMBER(出库明细!F2264)),IF(ABS(出库明细!G2264-出库明细!E2264*出库明细!F2264)&gt;0.005,1,0),0)</f>
        <v>0</v>
      </c>
    </row>
    <row r="2265">
      <c r="A2265">
        <f>IF(OR(出库明细!C1265="",出库明细!D1265=""),"",IF(OR(COUNTIFS(存条明细!$C$4:$C$1003,出库明细!C1265,存条明细!$D$4:$D$1003,出库明细!D1265)&gt;0,COUNTIFS(出库明细!$C$4:C1265,出库明细!C1265,出库明细!$D$4:D1265,出库明细!D1265)&gt;1),"",IFERROR(MATCH(出库明细!C1265,总览汇总!$B$5:$B$304,0),900)*10000000+IFERROR(MATCH(出库明细!D1265,基础资料!$E$5:$E$104,0),900)*10000+ROW()))</f>
      </c>
      <c r="F2265">
        <f>IF(AND(出库明细!C2265&lt;&gt;"",出库明细!C2265=客户对账单!$B$4,ISNUMBER(出库明细!B2265),出库明细!B2265&gt;=客户对账单!$G$4,出库明细!B2265&lt;=客户对账单!$I$4),出库明细!B2265+ROW()/100000,"")</f>
      </c>
      <c r="H2265">
        <f>IF(AND(资金台帐!K768&lt;&gt;"",资金台帐!K768=供应商对账单!$B$4,资金台帐!P768="应付",ISNUMBER(资金台帐!B768),资金台帐!B768&gt;=供应商对账单!$G$4,资金台帐!B768&lt;=供应商对账单!$I$4),资金台帐!B768+ROW()/100000,"")</f>
      </c>
      <c r="N2265">
        <f>IF(AND(ISNUMBER(出库明细!G2265),ISNUMBER(出库明细!E2265),ISNUMBER(出库明细!F2265)),IF(ABS(出库明细!G2265-出库明细!E2265*出库明细!F2265)&gt;0.005,1,0),0)</f>
        <v>0</v>
      </c>
    </row>
    <row r="2266">
      <c r="A2266">
        <f>IF(OR(出库明细!C1266="",出库明细!D1266=""),"",IF(OR(COUNTIFS(存条明细!$C$4:$C$1003,出库明细!C1266,存条明细!$D$4:$D$1003,出库明细!D1266)&gt;0,COUNTIFS(出库明细!$C$4:C1266,出库明细!C1266,出库明细!$D$4:D1266,出库明细!D1266)&gt;1),"",IFERROR(MATCH(出库明细!C1266,总览汇总!$B$5:$B$304,0),900)*10000000+IFERROR(MATCH(出库明细!D1266,基础资料!$E$5:$E$104,0),900)*10000+ROW()))</f>
      </c>
      <c r="F2266">
        <f>IF(AND(出库明细!C2266&lt;&gt;"",出库明细!C2266=客户对账单!$B$4,ISNUMBER(出库明细!B2266),出库明细!B2266&gt;=客户对账单!$G$4,出库明细!B2266&lt;=客户对账单!$I$4),出库明细!B2266+ROW()/100000,"")</f>
      </c>
      <c r="H2266">
        <f>IF(AND(资金台帐!K769&lt;&gt;"",资金台帐!K769=供应商对账单!$B$4,资金台帐!P769="应付",ISNUMBER(资金台帐!B769),资金台帐!B769&gt;=供应商对账单!$G$4,资金台帐!B769&lt;=供应商对账单!$I$4),资金台帐!B769+ROW()/100000,"")</f>
      </c>
      <c r="N2266">
        <f>IF(AND(ISNUMBER(出库明细!G2266),ISNUMBER(出库明细!E2266),ISNUMBER(出库明细!F2266)),IF(ABS(出库明细!G2266-出库明细!E2266*出库明细!F2266)&gt;0.005,1,0),0)</f>
        <v>0</v>
      </c>
    </row>
    <row r="2267">
      <c r="A2267">
        <f>IF(OR(出库明细!C1267="",出库明细!D1267=""),"",IF(OR(COUNTIFS(存条明细!$C$4:$C$1003,出库明细!C1267,存条明细!$D$4:$D$1003,出库明细!D1267)&gt;0,COUNTIFS(出库明细!$C$4:C1267,出库明细!C1267,出库明细!$D$4:D1267,出库明细!D1267)&gt;1),"",IFERROR(MATCH(出库明细!C1267,总览汇总!$B$5:$B$304,0),900)*10000000+IFERROR(MATCH(出库明细!D1267,基础资料!$E$5:$E$104,0),900)*10000+ROW()))</f>
      </c>
      <c r="F2267">
        <f>IF(AND(出库明细!C2267&lt;&gt;"",出库明细!C2267=客户对账单!$B$4,ISNUMBER(出库明细!B2267),出库明细!B2267&gt;=客户对账单!$G$4,出库明细!B2267&lt;=客户对账单!$I$4),出库明细!B2267+ROW()/100000,"")</f>
      </c>
      <c r="H2267">
        <f>IF(AND(资金台帐!K770&lt;&gt;"",资金台帐!K770=供应商对账单!$B$4,资金台帐!P770="应付",ISNUMBER(资金台帐!B770),资金台帐!B770&gt;=供应商对账单!$G$4,资金台帐!B770&lt;=供应商对账单!$I$4),资金台帐!B770+ROW()/100000,"")</f>
      </c>
      <c r="N2267">
        <f>IF(AND(ISNUMBER(出库明细!G2267),ISNUMBER(出库明细!E2267),ISNUMBER(出库明细!F2267)),IF(ABS(出库明细!G2267-出库明细!E2267*出库明细!F2267)&gt;0.005,1,0),0)</f>
        <v>0</v>
      </c>
    </row>
    <row r="2268">
      <c r="A2268">
        <f>IF(OR(出库明细!C1268="",出库明细!D1268=""),"",IF(OR(COUNTIFS(存条明细!$C$4:$C$1003,出库明细!C1268,存条明细!$D$4:$D$1003,出库明细!D1268)&gt;0,COUNTIFS(出库明细!$C$4:C1268,出库明细!C1268,出库明细!$D$4:D1268,出库明细!D1268)&gt;1),"",IFERROR(MATCH(出库明细!C1268,总览汇总!$B$5:$B$304,0),900)*10000000+IFERROR(MATCH(出库明细!D1268,基础资料!$E$5:$E$104,0),900)*10000+ROW()))</f>
      </c>
      <c r="F2268">
        <f>IF(AND(出库明细!C2268&lt;&gt;"",出库明细!C2268=客户对账单!$B$4,ISNUMBER(出库明细!B2268),出库明细!B2268&gt;=客户对账单!$G$4,出库明细!B2268&lt;=客户对账单!$I$4),出库明细!B2268+ROW()/100000,"")</f>
      </c>
      <c r="H2268">
        <f>IF(AND(资金台帐!K771&lt;&gt;"",资金台帐!K771=供应商对账单!$B$4,资金台帐!P771="应付",ISNUMBER(资金台帐!B771),资金台帐!B771&gt;=供应商对账单!$G$4,资金台帐!B771&lt;=供应商对账单!$I$4),资金台帐!B771+ROW()/100000,"")</f>
      </c>
      <c r="N2268">
        <f>IF(AND(ISNUMBER(出库明细!G2268),ISNUMBER(出库明细!E2268),ISNUMBER(出库明细!F2268)),IF(ABS(出库明细!G2268-出库明细!E2268*出库明细!F2268)&gt;0.005,1,0),0)</f>
        <v>0</v>
      </c>
    </row>
    <row r="2269">
      <c r="A2269">
        <f>IF(OR(出库明细!C1269="",出库明细!D1269=""),"",IF(OR(COUNTIFS(存条明细!$C$4:$C$1003,出库明细!C1269,存条明细!$D$4:$D$1003,出库明细!D1269)&gt;0,COUNTIFS(出库明细!$C$4:C1269,出库明细!C1269,出库明细!$D$4:D1269,出库明细!D1269)&gt;1),"",IFERROR(MATCH(出库明细!C1269,总览汇总!$B$5:$B$304,0),900)*10000000+IFERROR(MATCH(出库明细!D1269,基础资料!$E$5:$E$104,0),900)*10000+ROW()))</f>
      </c>
      <c r="F2269">
        <f>IF(AND(出库明细!C2269&lt;&gt;"",出库明细!C2269=客户对账单!$B$4,ISNUMBER(出库明细!B2269),出库明细!B2269&gt;=客户对账单!$G$4,出库明细!B2269&lt;=客户对账单!$I$4),出库明细!B2269+ROW()/100000,"")</f>
      </c>
      <c r="H2269">
        <f>IF(AND(资金台帐!K772&lt;&gt;"",资金台帐!K772=供应商对账单!$B$4,资金台帐!P772="应付",ISNUMBER(资金台帐!B772),资金台帐!B772&gt;=供应商对账单!$G$4,资金台帐!B772&lt;=供应商对账单!$I$4),资金台帐!B772+ROW()/100000,"")</f>
      </c>
      <c r="N2269">
        <f>IF(AND(ISNUMBER(出库明细!G2269),ISNUMBER(出库明细!E2269),ISNUMBER(出库明细!F2269)),IF(ABS(出库明细!G2269-出库明细!E2269*出库明细!F2269)&gt;0.005,1,0),0)</f>
        <v>0</v>
      </c>
    </row>
    <row r="2270">
      <c r="A2270">
        <f>IF(OR(出库明细!C1270="",出库明细!D1270=""),"",IF(OR(COUNTIFS(存条明细!$C$4:$C$1003,出库明细!C1270,存条明细!$D$4:$D$1003,出库明细!D1270)&gt;0,COUNTIFS(出库明细!$C$4:C1270,出库明细!C1270,出库明细!$D$4:D1270,出库明细!D1270)&gt;1),"",IFERROR(MATCH(出库明细!C1270,总览汇总!$B$5:$B$304,0),900)*10000000+IFERROR(MATCH(出库明细!D1270,基础资料!$E$5:$E$104,0),900)*10000+ROW()))</f>
      </c>
      <c r="F2270">
        <f>IF(AND(出库明细!C2270&lt;&gt;"",出库明细!C2270=客户对账单!$B$4,ISNUMBER(出库明细!B2270),出库明细!B2270&gt;=客户对账单!$G$4,出库明细!B2270&lt;=客户对账单!$I$4),出库明细!B2270+ROW()/100000,"")</f>
      </c>
      <c r="H2270">
        <f>IF(AND(资金台帐!K773&lt;&gt;"",资金台帐!K773=供应商对账单!$B$4,资金台帐!P773="应付",ISNUMBER(资金台帐!B773),资金台帐!B773&gt;=供应商对账单!$G$4,资金台帐!B773&lt;=供应商对账单!$I$4),资金台帐!B773+ROW()/100000,"")</f>
      </c>
      <c r="N2270">
        <f>IF(AND(ISNUMBER(出库明细!G2270),ISNUMBER(出库明细!E2270),ISNUMBER(出库明细!F2270)),IF(ABS(出库明细!G2270-出库明细!E2270*出库明细!F2270)&gt;0.005,1,0),0)</f>
        <v>0</v>
      </c>
    </row>
    <row r="2271">
      <c r="A2271">
        <f>IF(OR(出库明细!C1271="",出库明细!D1271=""),"",IF(OR(COUNTIFS(存条明细!$C$4:$C$1003,出库明细!C1271,存条明细!$D$4:$D$1003,出库明细!D1271)&gt;0,COUNTIFS(出库明细!$C$4:C1271,出库明细!C1271,出库明细!$D$4:D1271,出库明细!D1271)&gt;1),"",IFERROR(MATCH(出库明细!C1271,总览汇总!$B$5:$B$304,0),900)*10000000+IFERROR(MATCH(出库明细!D1271,基础资料!$E$5:$E$104,0),900)*10000+ROW()))</f>
      </c>
      <c r="F2271">
        <f>IF(AND(出库明细!C2271&lt;&gt;"",出库明细!C2271=客户对账单!$B$4,ISNUMBER(出库明细!B2271),出库明细!B2271&gt;=客户对账单!$G$4,出库明细!B2271&lt;=客户对账单!$I$4),出库明细!B2271+ROW()/100000,"")</f>
      </c>
      <c r="H2271">
        <f>IF(AND(资金台帐!K774&lt;&gt;"",资金台帐!K774=供应商对账单!$B$4,资金台帐!P774="应付",ISNUMBER(资金台帐!B774),资金台帐!B774&gt;=供应商对账单!$G$4,资金台帐!B774&lt;=供应商对账单!$I$4),资金台帐!B774+ROW()/100000,"")</f>
      </c>
      <c r="N2271">
        <f>IF(AND(ISNUMBER(出库明细!G2271),ISNUMBER(出库明细!E2271),ISNUMBER(出库明细!F2271)),IF(ABS(出库明细!G2271-出库明细!E2271*出库明细!F2271)&gt;0.005,1,0),0)</f>
        <v>0</v>
      </c>
    </row>
    <row r="2272">
      <c r="A2272">
        <f>IF(OR(出库明细!C1272="",出库明细!D1272=""),"",IF(OR(COUNTIFS(存条明细!$C$4:$C$1003,出库明细!C1272,存条明细!$D$4:$D$1003,出库明细!D1272)&gt;0,COUNTIFS(出库明细!$C$4:C1272,出库明细!C1272,出库明细!$D$4:D1272,出库明细!D1272)&gt;1),"",IFERROR(MATCH(出库明细!C1272,总览汇总!$B$5:$B$304,0),900)*10000000+IFERROR(MATCH(出库明细!D1272,基础资料!$E$5:$E$104,0),900)*10000+ROW()))</f>
      </c>
      <c r="F2272">
        <f>IF(AND(出库明细!C2272&lt;&gt;"",出库明细!C2272=客户对账单!$B$4,ISNUMBER(出库明细!B2272),出库明细!B2272&gt;=客户对账单!$G$4,出库明细!B2272&lt;=客户对账单!$I$4),出库明细!B2272+ROW()/100000,"")</f>
      </c>
      <c r="H2272">
        <f>IF(AND(资金台帐!K775&lt;&gt;"",资金台帐!K775=供应商对账单!$B$4,资金台帐!P775="应付",ISNUMBER(资金台帐!B775),资金台帐!B775&gt;=供应商对账单!$G$4,资金台帐!B775&lt;=供应商对账单!$I$4),资金台帐!B775+ROW()/100000,"")</f>
      </c>
      <c r="N2272">
        <f>IF(AND(ISNUMBER(出库明细!G2272),ISNUMBER(出库明细!E2272),ISNUMBER(出库明细!F2272)),IF(ABS(出库明细!G2272-出库明细!E2272*出库明细!F2272)&gt;0.005,1,0),0)</f>
        <v>0</v>
      </c>
    </row>
    <row r="2273">
      <c r="A2273">
        <f>IF(OR(出库明细!C1273="",出库明细!D1273=""),"",IF(OR(COUNTIFS(存条明细!$C$4:$C$1003,出库明细!C1273,存条明细!$D$4:$D$1003,出库明细!D1273)&gt;0,COUNTIFS(出库明细!$C$4:C1273,出库明细!C1273,出库明细!$D$4:D1273,出库明细!D1273)&gt;1),"",IFERROR(MATCH(出库明细!C1273,总览汇总!$B$5:$B$304,0),900)*10000000+IFERROR(MATCH(出库明细!D1273,基础资料!$E$5:$E$104,0),900)*10000+ROW()))</f>
      </c>
      <c r="F2273">
        <f>IF(AND(出库明细!C2273&lt;&gt;"",出库明细!C2273=客户对账单!$B$4,ISNUMBER(出库明细!B2273),出库明细!B2273&gt;=客户对账单!$G$4,出库明细!B2273&lt;=客户对账单!$I$4),出库明细!B2273+ROW()/100000,"")</f>
      </c>
      <c r="H2273">
        <f>IF(AND(资金台帐!K776&lt;&gt;"",资金台帐!K776=供应商对账单!$B$4,资金台帐!P776="应付",ISNUMBER(资金台帐!B776),资金台帐!B776&gt;=供应商对账单!$G$4,资金台帐!B776&lt;=供应商对账单!$I$4),资金台帐!B776+ROW()/100000,"")</f>
      </c>
      <c r="N2273">
        <f>IF(AND(ISNUMBER(出库明细!G2273),ISNUMBER(出库明细!E2273),ISNUMBER(出库明细!F2273)),IF(ABS(出库明细!G2273-出库明细!E2273*出库明细!F2273)&gt;0.005,1,0),0)</f>
        <v>0</v>
      </c>
    </row>
    <row r="2274">
      <c r="A2274">
        <f>IF(OR(出库明细!C1274="",出库明细!D1274=""),"",IF(OR(COUNTIFS(存条明细!$C$4:$C$1003,出库明细!C1274,存条明细!$D$4:$D$1003,出库明细!D1274)&gt;0,COUNTIFS(出库明细!$C$4:C1274,出库明细!C1274,出库明细!$D$4:D1274,出库明细!D1274)&gt;1),"",IFERROR(MATCH(出库明细!C1274,总览汇总!$B$5:$B$304,0),900)*10000000+IFERROR(MATCH(出库明细!D1274,基础资料!$E$5:$E$104,0),900)*10000+ROW()))</f>
      </c>
      <c r="F2274">
        <f>IF(AND(出库明细!C2274&lt;&gt;"",出库明细!C2274=客户对账单!$B$4,ISNUMBER(出库明细!B2274),出库明细!B2274&gt;=客户对账单!$G$4,出库明细!B2274&lt;=客户对账单!$I$4),出库明细!B2274+ROW()/100000,"")</f>
      </c>
      <c r="H2274">
        <f>IF(AND(资金台帐!K777&lt;&gt;"",资金台帐!K777=供应商对账单!$B$4,资金台帐!P777="应付",ISNUMBER(资金台帐!B777),资金台帐!B777&gt;=供应商对账单!$G$4,资金台帐!B777&lt;=供应商对账单!$I$4),资金台帐!B777+ROW()/100000,"")</f>
      </c>
      <c r="N2274">
        <f>IF(AND(ISNUMBER(出库明细!G2274),ISNUMBER(出库明细!E2274),ISNUMBER(出库明细!F2274)),IF(ABS(出库明细!G2274-出库明细!E2274*出库明细!F2274)&gt;0.005,1,0),0)</f>
        <v>0</v>
      </c>
    </row>
    <row r="2275">
      <c r="A2275">
        <f>IF(OR(出库明细!C1275="",出库明细!D1275=""),"",IF(OR(COUNTIFS(存条明细!$C$4:$C$1003,出库明细!C1275,存条明细!$D$4:$D$1003,出库明细!D1275)&gt;0,COUNTIFS(出库明细!$C$4:C1275,出库明细!C1275,出库明细!$D$4:D1275,出库明细!D1275)&gt;1),"",IFERROR(MATCH(出库明细!C1275,总览汇总!$B$5:$B$304,0),900)*10000000+IFERROR(MATCH(出库明细!D1275,基础资料!$E$5:$E$104,0),900)*10000+ROW()))</f>
      </c>
      <c r="F2275">
        <f>IF(AND(出库明细!C2275&lt;&gt;"",出库明细!C2275=客户对账单!$B$4,ISNUMBER(出库明细!B2275),出库明细!B2275&gt;=客户对账单!$G$4,出库明细!B2275&lt;=客户对账单!$I$4),出库明细!B2275+ROW()/100000,"")</f>
      </c>
      <c r="H2275">
        <f>IF(AND(资金台帐!K778&lt;&gt;"",资金台帐!K778=供应商对账单!$B$4,资金台帐!P778="应付",ISNUMBER(资金台帐!B778),资金台帐!B778&gt;=供应商对账单!$G$4,资金台帐!B778&lt;=供应商对账单!$I$4),资金台帐!B778+ROW()/100000,"")</f>
      </c>
      <c r="N2275">
        <f>IF(AND(ISNUMBER(出库明细!G2275),ISNUMBER(出库明细!E2275),ISNUMBER(出库明细!F2275)),IF(ABS(出库明细!G2275-出库明细!E2275*出库明细!F2275)&gt;0.005,1,0),0)</f>
        <v>0</v>
      </c>
    </row>
    <row r="2276">
      <c r="A2276">
        <f>IF(OR(出库明细!C1276="",出库明细!D1276=""),"",IF(OR(COUNTIFS(存条明细!$C$4:$C$1003,出库明细!C1276,存条明细!$D$4:$D$1003,出库明细!D1276)&gt;0,COUNTIFS(出库明细!$C$4:C1276,出库明细!C1276,出库明细!$D$4:D1276,出库明细!D1276)&gt;1),"",IFERROR(MATCH(出库明细!C1276,总览汇总!$B$5:$B$304,0),900)*10000000+IFERROR(MATCH(出库明细!D1276,基础资料!$E$5:$E$104,0),900)*10000+ROW()))</f>
      </c>
      <c r="F2276">
        <f>IF(AND(出库明细!C2276&lt;&gt;"",出库明细!C2276=客户对账单!$B$4,ISNUMBER(出库明细!B2276),出库明细!B2276&gt;=客户对账单!$G$4,出库明细!B2276&lt;=客户对账单!$I$4),出库明细!B2276+ROW()/100000,"")</f>
      </c>
      <c r="H2276">
        <f>IF(AND(资金台帐!K779&lt;&gt;"",资金台帐!K779=供应商对账单!$B$4,资金台帐!P779="应付",ISNUMBER(资金台帐!B779),资金台帐!B779&gt;=供应商对账单!$G$4,资金台帐!B779&lt;=供应商对账单!$I$4),资金台帐!B779+ROW()/100000,"")</f>
      </c>
      <c r="N2276">
        <f>IF(AND(ISNUMBER(出库明细!G2276),ISNUMBER(出库明细!E2276),ISNUMBER(出库明细!F2276)),IF(ABS(出库明细!G2276-出库明细!E2276*出库明细!F2276)&gt;0.005,1,0),0)</f>
        <v>0</v>
      </c>
    </row>
    <row r="2277">
      <c r="A2277">
        <f>IF(OR(出库明细!C1277="",出库明细!D1277=""),"",IF(OR(COUNTIFS(存条明细!$C$4:$C$1003,出库明细!C1277,存条明细!$D$4:$D$1003,出库明细!D1277)&gt;0,COUNTIFS(出库明细!$C$4:C1277,出库明细!C1277,出库明细!$D$4:D1277,出库明细!D1277)&gt;1),"",IFERROR(MATCH(出库明细!C1277,总览汇总!$B$5:$B$304,0),900)*10000000+IFERROR(MATCH(出库明细!D1277,基础资料!$E$5:$E$104,0),900)*10000+ROW()))</f>
      </c>
      <c r="F2277">
        <f>IF(AND(出库明细!C2277&lt;&gt;"",出库明细!C2277=客户对账单!$B$4,ISNUMBER(出库明细!B2277),出库明细!B2277&gt;=客户对账单!$G$4,出库明细!B2277&lt;=客户对账单!$I$4),出库明细!B2277+ROW()/100000,"")</f>
      </c>
      <c r="H2277">
        <f>IF(AND(资金台帐!K780&lt;&gt;"",资金台帐!K780=供应商对账单!$B$4,资金台帐!P780="应付",ISNUMBER(资金台帐!B780),资金台帐!B780&gt;=供应商对账单!$G$4,资金台帐!B780&lt;=供应商对账单!$I$4),资金台帐!B780+ROW()/100000,"")</f>
      </c>
      <c r="N2277">
        <f>IF(AND(ISNUMBER(出库明细!G2277),ISNUMBER(出库明细!E2277),ISNUMBER(出库明细!F2277)),IF(ABS(出库明细!G2277-出库明细!E2277*出库明细!F2277)&gt;0.005,1,0),0)</f>
        <v>0</v>
      </c>
    </row>
    <row r="2278">
      <c r="A2278">
        <f>IF(OR(出库明细!C1278="",出库明细!D1278=""),"",IF(OR(COUNTIFS(存条明细!$C$4:$C$1003,出库明细!C1278,存条明细!$D$4:$D$1003,出库明细!D1278)&gt;0,COUNTIFS(出库明细!$C$4:C1278,出库明细!C1278,出库明细!$D$4:D1278,出库明细!D1278)&gt;1),"",IFERROR(MATCH(出库明细!C1278,总览汇总!$B$5:$B$304,0),900)*10000000+IFERROR(MATCH(出库明细!D1278,基础资料!$E$5:$E$104,0),900)*10000+ROW()))</f>
      </c>
      <c r="F2278">
        <f>IF(AND(出库明细!C2278&lt;&gt;"",出库明细!C2278=客户对账单!$B$4,ISNUMBER(出库明细!B2278),出库明细!B2278&gt;=客户对账单!$G$4,出库明细!B2278&lt;=客户对账单!$I$4),出库明细!B2278+ROW()/100000,"")</f>
      </c>
      <c r="H2278">
        <f>IF(AND(资金台帐!K781&lt;&gt;"",资金台帐!K781=供应商对账单!$B$4,资金台帐!P781="应付",ISNUMBER(资金台帐!B781),资金台帐!B781&gt;=供应商对账单!$G$4,资金台帐!B781&lt;=供应商对账单!$I$4),资金台帐!B781+ROW()/100000,"")</f>
      </c>
      <c r="N2278">
        <f>IF(AND(ISNUMBER(出库明细!G2278),ISNUMBER(出库明细!E2278),ISNUMBER(出库明细!F2278)),IF(ABS(出库明细!G2278-出库明细!E2278*出库明细!F2278)&gt;0.005,1,0),0)</f>
        <v>0</v>
      </c>
    </row>
    <row r="2279">
      <c r="A2279">
        <f>IF(OR(出库明细!C1279="",出库明细!D1279=""),"",IF(OR(COUNTIFS(存条明细!$C$4:$C$1003,出库明细!C1279,存条明细!$D$4:$D$1003,出库明细!D1279)&gt;0,COUNTIFS(出库明细!$C$4:C1279,出库明细!C1279,出库明细!$D$4:D1279,出库明细!D1279)&gt;1),"",IFERROR(MATCH(出库明细!C1279,总览汇总!$B$5:$B$304,0),900)*10000000+IFERROR(MATCH(出库明细!D1279,基础资料!$E$5:$E$104,0),900)*10000+ROW()))</f>
      </c>
      <c r="F2279">
        <f>IF(AND(出库明细!C2279&lt;&gt;"",出库明细!C2279=客户对账单!$B$4,ISNUMBER(出库明细!B2279),出库明细!B2279&gt;=客户对账单!$G$4,出库明细!B2279&lt;=客户对账单!$I$4),出库明细!B2279+ROW()/100000,"")</f>
      </c>
      <c r="H2279">
        <f>IF(AND(资金台帐!K782&lt;&gt;"",资金台帐!K782=供应商对账单!$B$4,资金台帐!P782="应付",ISNUMBER(资金台帐!B782),资金台帐!B782&gt;=供应商对账单!$G$4,资金台帐!B782&lt;=供应商对账单!$I$4),资金台帐!B782+ROW()/100000,"")</f>
      </c>
      <c r="N2279">
        <f>IF(AND(ISNUMBER(出库明细!G2279),ISNUMBER(出库明细!E2279),ISNUMBER(出库明细!F2279)),IF(ABS(出库明细!G2279-出库明细!E2279*出库明细!F2279)&gt;0.005,1,0),0)</f>
        <v>0</v>
      </c>
    </row>
    <row r="2280">
      <c r="A2280">
        <f>IF(OR(出库明细!C1280="",出库明细!D1280=""),"",IF(OR(COUNTIFS(存条明细!$C$4:$C$1003,出库明细!C1280,存条明细!$D$4:$D$1003,出库明细!D1280)&gt;0,COUNTIFS(出库明细!$C$4:C1280,出库明细!C1280,出库明细!$D$4:D1280,出库明细!D1280)&gt;1),"",IFERROR(MATCH(出库明细!C1280,总览汇总!$B$5:$B$304,0),900)*10000000+IFERROR(MATCH(出库明细!D1280,基础资料!$E$5:$E$104,0),900)*10000+ROW()))</f>
      </c>
      <c r="F2280">
        <f>IF(AND(出库明细!C2280&lt;&gt;"",出库明细!C2280=客户对账单!$B$4,ISNUMBER(出库明细!B2280),出库明细!B2280&gt;=客户对账单!$G$4,出库明细!B2280&lt;=客户对账单!$I$4),出库明细!B2280+ROW()/100000,"")</f>
      </c>
      <c r="H2280">
        <f>IF(AND(资金台帐!K783&lt;&gt;"",资金台帐!K783=供应商对账单!$B$4,资金台帐!P783="应付",ISNUMBER(资金台帐!B783),资金台帐!B783&gt;=供应商对账单!$G$4,资金台帐!B783&lt;=供应商对账单!$I$4),资金台帐!B783+ROW()/100000,"")</f>
      </c>
      <c r="N2280">
        <f>IF(AND(ISNUMBER(出库明细!G2280),ISNUMBER(出库明细!E2280),ISNUMBER(出库明细!F2280)),IF(ABS(出库明细!G2280-出库明细!E2280*出库明细!F2280)&gt;0.005,1,0),0)</f>
        <v>0</v>
      </c>
    </row>
    <row r="2281">
      <c r="A2281">
        <f>IF(OR(出库明细!C1281="",出库明细!D1281=""),"",IF(OR(COUNTIFS(存条明细!$C$4:$C$1003,出库明细!C1281,存条明细!$D$4:$D$1003,出库明细!D1281)&gt;0,COUNTIFS(出库明细!$C$4:C1281,出库明细!C1281,出库明细!$D$4:D1281,出库明细!D1281)&gt;1),"",IFERROR(MATCH(出库明细!C1281,总览汇总!$B$5:$B$304,0),900)*10000000+IFERROR(MATCH(出库明细!D1281,基础资料!$E$5:$E$104,0),900)*10000+ROW()))</f>
      </c>
      <c r="F2281">
        <f>IF(AND(出库明细!C2281&lt;&gt;"",出库明细!C2281=客户对账单!$B$4,ISNUMBER(出库明细!B2281),出库明细!B2281&gt;=客户对账单!$G$4,出库明细!B2281&lt;=客户对账单!$I$4),出库明细!B2281+ROW()/100000,"")</f>
      </c>
      <c r="H2281">
        <f>IF(AND(资金台帐!K784&lt;&gt;"",资金台帐!K784=供应商对账单!$B$4,资金台帐!P784="应付",ISNUMBER(资金台帐!B784),资金台帐!B784&gt;=供应商对账单!$G$4,资金台帐!B784&lt;=供应商对账单!$I$4),资金台帐!B784+ROW()/100000,"")</f>
      </c>
      <c r="N2281">
        <f>IF(AND(ISNUMBER(出库明细!G2281),ISNUMBER(出库明细!E2281),ISNUMBER(出库明细!F2281)),IF(ABS(出库明细!G2281-出库明细!E2281*出库明细!F2281)&gt;0.005,1,0),0)</f>
        <v>0</v>
      </c>
    </row>
    <row r="2282">
      <c r="A2282">
        <f>IF(OR(出库明细!C1282="",出库明细!D1282=""),"",IF(OR(COUNTIFS(存条明细!$C$4:$C$1003,出库明细!C1282,存条明细!$D$4:$D$1003,出库明细!D1282)&gt;0,COUNTIFS(出库明细!$C$4:C1282,出库明细!C1282,出库明细!$D$4:D1282,出库明细!D1282)&gt;1),"",IFERROR(MATCH(出库明细!C1282,总览汇总!$B$5:$B$304,0),900)*10000000+IFERROR(MATCH(出库明细!D1282,基础资料!$E$5:$E$104,0),900)*10000+ROW()))</f>
      </c>
      <c r="F2282">
        <f>IF(AND(出库明细!C2282&lt;&gt;"",出库明细!C2282=客户对账单!$B$4,ISNUMBER(出库明细!B2282),出库明细!B2282&gt;=客户对账单!$G$4,出库明细!B2282&lt;=客户对账单!$I$4),出库明细!B2282+ROW()/100000,"")</f>
      </c>
      <c r="H2282">
        <f>IF(AND(资金台帐!K785&lt;&gt;"",资金台帐!K785=供应商对账单!$B$4,资金台帐!P785="应付",ISNUMBER(资金台帐!B785),资金台帐!B785&gt;=供应商对账单!$G$4,资金台帐!B785&lt;=供应商对账单!$I$4),资金台帐!B785+ROW()/100000,"")</f>
      </c>
      <c r="N2282">
        <f>IF(AND(ISNUMBER(出库明细!G2282),ISNUMBER(出库明细!E2282),ISNUMBER(出库明细!F2282)),IF(ABS(出库明细!G2282-出库明细!E2282*出库明细!F2282)&gt;0.005,1,0),0)</f>
        <v>0</v>
      </c>
    </row>
    <row r="2283">
      <c r="A2283">
        <f>IF(OR(出库明细!C1283="",出库明细!D1283=""),"",IF(OR(COUNTIFS(存条明细!$C$4:$C$1003,出库明细!C1283,存条明细!$D$4:$D$1003,出库明细!D1283)&gt;0,COUNTIFS(出库明细!$C$4:C1283,出库明细!C1283,出库明细!$D$4:D1283,出库明细!D1283)&gt;1),"",IFERROR(MATCH(出库明细!C1283,总览汇总!$B$5:$B$304,0),900)*10000000+IFERROR(MATCH(出库明细!D1283,基础资料!$E$5:$E$104,0),900)*10000+ROW()))</f>
      </c>
      <c r="F2283">
        <f>IF(AND(出库明细!C2283&lt;&gt;"",出库明细!C2283=客户对账单!$B$4,ISNUMBER(出库明细!B2283),出库明细!B2283&gt;=客户对账单!$G$4,出库明细!B2283&lt;=客户对账单!$I$4),出库明细!B2283+ROW()/100000,"")</f>
      </c>
      <c r="H2283">
        <f>IF(AND(资金台帐!K786&lt;&gt;"",资金台帐!K786=供应商对账单!$B$4,资金台帐!P786="应付",ISNUMBER(资金台帐!B786),资金台帐!B786&gt;=供应商对账单!$G$4,资金台帐!B786&lt;=供应商对账单!$I$4),资金台帐!B786+ROW()/100000,"")</f>
      </c>
      <c r="N2283">
        <f>IF(AND(ISNUMBER(出库明细!G2283),ISNUMBER(出库明细!E2283),ISNUMBER(出库明细!F2283)),IF(ABS(出库明细!G2283-出库明细!E2283*出库明细!F2283)&gt;0.005,1,0),0)</f>
        <v>0</v>
      </c>
    </row>
    <row r="2284">
      <c r="A2284">
        <f>IF(OR(出库明细!C1284="",出库明细!D1284=""),"",IF(OR(COUNTIFS(存条明细!$C$4:$C$1003,出库明细!C1284,存条明细!$D$4:$D$1003,出库明细!D1284)&gt;0,COUNTIFS(出库明细!$C$4:C1284,出库明细!C1284,出库明细!$D$4:D1284,出库明细!D1284)&gt;1),"",IFERROR(MATCH(出库明细!C1284,总览汇总!$B$5:$B$304,0),900)*10000000+IFERROR(MATCH(出库明细!D1284,基础资料!$E$5:$E$104,0),900)*10000+ROW()))</f>
      </c>
      <c r="F2284">
        <f>IF(AND(出库明细!C2284&lt;&gt;"",出库明细!C2284=客户对账单!$B$4,ISNUMBER(出库明细!B2284),出库明细!B2284&gt;=客户对账单!$G$4,出库明细!B2284&lt;=客户对账单!$I$4),出库明细!B2284+ROW()/100000,"")</f>
      </c>
      <c r="H2284">
        <f>IF(AND(资金台帐!K787&lt;&gt;"",资金台帐!K787=供应商对账单!$B$4,资金台帐!P787="应付",ISNUMBER(资金台帐!B787),资金台帐!B787&gt;=供应商对账单!$G$4,资金台帐!B787&lt;=供应商对账单!$I$4),资金台帐!B787+ROW()/100000,"")</f>
      </c>
      <c r="N2284">
        <f>IF(AND(ISNUMBER(出库明细!G2284),ISNUMBER(出库明细!E2284),ISNUMBER(出库明细!F2284)),IF(ABS(出库明细!G2284-出库明细!E2284*出库明细!F2284)&gt;0.005,1,0),0)</f>
        <v>0</v>
      </c>
    </row>
    <row r="2285">
      <c r="A2285">
        <f>IF(OR(出库明细!C1285="",出库明细!D1285=""),"",IF(OR(COUNTIFS(存条明细!$C$4:$C$1003,出库明细!C1285,存条明细!$D$4:$D$1003,出库明细!D1285)&gt;0,COUNTIFS(出库明细!$C$4:C1285,出库明细!C1285,出库明细!$D$4:D1285,出库明细!D1285)&gt;1),"",IFERROR(MATCH(出库明细!C1285,总览汇总!$B$5:$B$304,0),900)*10000000+IFERROR(MATCH(出库明细!D1285,基础资料!$E$5:$E$104,0),900)*10000+ROW()))</f>
      </c>
      <c r="F2285">
        <f>IF(AND(出库明细!C2285&lt;&gt;"",出库明细!C2285=客户对账单!$B$4,ISNUMBER(出库明细!B2285),出库明细!B2285&gt;=客户对账单!$G$4,出库明细!B2285&lt;=客户对账单!$I$4),出库明细!B2285+ROW()/100000,"")</f>
      </c>
      <c r="H2285">
        <f>IF(AND(资金台帐!K788&lt;&gt;"",资金台帐!K788=供应商对账单!$B$4,资金台帐!P788="应付",ISNUMBER(资金台帐!B788),资金台帐!B788&gt;=供应商对账单!$G$4,资金台帐!B788&lt;=供应商对账单!$I$4),资金台帐!B788+ROW()/100000,"")</f>
      </c>
      <c r="N2285">
        <f>IF(AND(ISNUMBER(出库明细!G2285),ISNUMBER(出库明细!E2285),ISNUMBER(出库明细!F2285)),IF(ABS(出库明细!G2285-出库明细!E2285*出库明细!F2285)&gt;0.005,1,0),0)</f>
        <v>0</v>
      </c>
    </row>
    <row r="2286">
      <c r="A2286">
        <f>IF(OR(出库明细!C1286="",出库明细!D1286=""),"",IF(OR(COUNTIFS(存条明细!$C$4:$C$1003,出库明细!C1286,存条明细!$D$4:$D$1003,出库明细!D1286)&gt;0,COUNTIFS(出库明细!$C$4:C1286,出库明细!C1286,出库明细!$D$4:D1286,出库明细!D1286)&gt;1),"",IFERROR(MATCH(出库明细!C1286,总览汇总!$B$5:$B$304,0),900)*10000000+IFERROR(MATCH(出库明细!D1286,基础资料!$E$5:$E$104,0),900)*10000+ROW()))</f>
      </c>
      <c r="F2286">
        <f>IF(AND(出库明细!C2286&lt;&gt;"",出库明细!C2286=客户对账单!$B$4,ISNUMBER(出库明细!B2286),出库明细!B2286&gt;=客户对账单!$G$4,出库明细!B2286&lt;=客户对账单!$I$4),出库明细!B2286+ROW()/100000,"")</f>
      </c>
      <c r="H2286">
        <f>IF(AND(资金台帐!K789&lt;&gt;"",资金台帐!K789=供应商对账单!$B$4,资金台帐!P789="应付",ISNUMBER(资金台帐!B789),资金台帐!B789&gt;=供应商对账单!$G$4,资金台帐!B789&lt;=供应商对账单!$I$4),资金台帐!B789+ROW()/100000,"")</f>
      </c>
      <c r="N2286">
        <f>IF(AND(ISNUMBER(出库明细!G2286),ISNUMBER(出库明细!E2286),ISNUMBER(出库明细!F2286)),IF(ABS(出库明细!G2286-出库明细!E2286*出库明细!F2286)&gt;0.005,1,0),0)</f>
        <v>0</v>
      </c>
    </row>
    <row r="2287">
      <c r="A2287">
        <f>IF(OR(出库明细!C1287="",出库明细!D1287=""),"",IF(OR(COUNTIFS(存条明细!$C$4:$C$1003,出库明细!C1287,存条明细!$D$4:$D$1003,出库明细!D1287)&gt;0,COUNTIFS(出库明细!$C$4:C1287,出库明细!C1287,出库明细!$D$4:D1287,出库明细!D1287)&gt;1),"",IFERROR(MATCH(出库明细!C1287,总览汇总!$B$5:$B$304,0),900)*10000000+IFERROR(MATCH(出库明细!D1287,基础资料!$E$5:$E$104,0),900)*10000+ROW()))</f>
      </c>
      <c r="F2287">
        <f>IF(AND(出库明细!C2287&lt;&gt;"",出库明细!C2287=客户对账单!$B$4,ISNUMBER(出库明细!B2287),出库明细!B2287&gt;=客户对账单!$G$4,出库明细!B2287&lt;=客户对账单!$I$4),出库明细!B2287+ROW()/100000,"")</f>
      </c>
      <c r="H2287">
        <f>IF(AND(资金台帐!K790&lt;&gt;"",资金台帐!K790=供应商对账单!$B$4,资金台帐!P790="应付",ISNUMBER(资金台帐!B790),资金台帐!B790&gt;=供应商对账单!$G$4,资金台帐!B790&lt;=供应商对账单!$I$4),资金台帐!B790+ROW()/100000,"")</f>
      </c>
      <c r="N2287">
        <f>IF(AND(ISNUMBER(出库明细!G2287),ISNUMBER(出库明细!E2287),ISNUMBER(出库明细!F2287)),IF(ABS(出库明细!G2287-出库明细!E2287*出库明细!F2287)&gt;0.005,1,0),0)</f>
        <v>0</v>
      </c>
    </row>
    <row r="2288">
      <c r="A2288">
        <f>IF(OR(出库明细!C1288="",出库明细!D1288=""),"",IF(OR(COUNTIFS(存条明细!$C$4:$C$1003,出库明细!C1288,存条明细!$D$4:$D$1003,出库明细!D1288)&gt;0,COUNTIFS(出库明细!$C$4:C1288,出库明细!C1288,出库明细!$D$4:D1288,出库明细!D1288)&gt;1),"",IFERROR(MATCH(出库明细!C1288,总览汇总!$B$5:$B$304,0),900)*10000000+IFERROR(MATCH(出库明细!D1288,基础资料!$E$5:$E$104,0),900)*10000+ROW()))</f>
      </c>
      <c r="F2288">
        <f>IF(AND(出库明细!C2288&lt;&gt;"",出库明细!C2288=客户对账单!$B$4,ISNUMBER(出库明细!B2288),出库明细!B2288&gt;=客户对账单!$G$4,出库明细!B2288&lt;=客户对账单!$I$4),出库明细!B2288+ROW()/100000,"")</f>
      </c>
      <c r="H2288">
        <f>IF(AND(资金台帐!K791&lt;&gt;"",资金台帐!K791=供应商对账单!$B$4,资金台帐!P791="应付",ISNUMBER(资金台帐!B791),资金台帐!B791&gt;=供应商对账单!$G$4,资金台帐!B791&lt;=供应商对账单!$I$4),资金台帐!B791+ROW()/100000,"")</f>
      </c>
      <c r="N2288">
        <f>IF(AND(ISNUMBER(出库明细!G2288),ISNUMBER(出库明细!E2288),ISNUMBER(出库明细!F2288)),IF(ABS(出库明细!G2288-出库明细!E2288*出库明细!F2288)&gt;0.005,1,0),0)</f>
        <v>0</v>
      </c>
    </row>
    <row r="2289">
      <c r="A2289">
        <f>IF(OR(出库明细!C1289="",出库明细!D1289=""),"",IF(OR(COUNTIFS(存条明细!$C$4:$C$1003,出库明细!C1289,存条明细!$D$4:$D$1003,出库明细!D1289)&gt;0,COUNTIFS(出库明细!$C$4:C1289,出库明细!C1289,出库明细!$D$4:D1289,出库明细!D1289)&gt;1),"",IFERROR(MATCH(出库明细!C1289,总览汇总!$B$5:$B$304,0),900)*10000000+IFERROR(MATCH(出库明细!D1289,基础资料!$E$5:$E$104,0),900)*10000+ROW()))</f>
      </c>
      <c r="F2289">
        <f>IF(AND(出库明细!C2289&lt;&gt;"",出库明细!C2289=客户对账单!$B$4,ISNUMBER(出库明细!B2289),出库明细!B2289&gt;=客户对账单!$G$4,出库明细!B2289&lt;=客户对账单!$I$4),出库明细!B2289+ROW()/100000,"")</f>
      </c>
      <c r="H2289">
        <f>IF(AND(资金台帐!K792&lt;&gt;"",资金台帐!K792=供应商对账单!$B$4,资金台帐!P792="应付",ISNUMBER(资金台帐!B792),资金台帐!B792&gt;=供应商对账单!$G$4,资金台帐!B792&lt;=供应商对账单!$I$4),资金台帐!B792+ROW()/100000,"")</f>
      </c>
      <c r="N2289">
        <f>IF(AND(ISNUMBER(出库明细!G2289),ISNUMBER(出库明细!E2289),ISNUMBER(出库明细!F2289)),IF(ABS(出库明细!G2289-出库明细!E2289*出库明细!F2289)&gt;0.005,1,0),0)</f>
        <v>0</v>
      </c>
    </row>
    <row r="2290">
      <c r="A2290">
        <f>IF(OR(出库明细!C1290="",出库明细!D1290=""),"",IF(OR(COUNTIFS(存条明细!$C$4:$C$1003,出库明细!C1290,存条明细!$D$4:$D$1003,出库明细!D1290)&gt;0,COUNTIFS(出库明细!$C$4:C1290,出库明细!C1290,出库明细!$D$4:D1290,出库明细!D1290)&gt;1),"",IFERROR(MATCH(出库明细!C1290,总览汇总!$B$5:$B$304,0),900)*10000000+IFERROR(MATCH(出库明细!D1290,基础资料!$E$5:$E$104,0),900)*10000+ROW()))</f>
      </c>
      <c r="F2290">
        <f>IF(AND(出库明细!C2290&lt;&gt;"",出库明细!C2290=客户对账单!$B$4,ISNUMBER(出库明细!B2290),出库明细!B2290&gt;=客户对账单!$G$4,出库明细!B2290&lt;=客户对账单!$I$4),出库明细!B2290+ROW()/100000,"")</f>
      </c>
      <c r="H2290">
        <f>IF(AND(资金台帐!K793&lt;&gt;"",资金台帐!K793=供应商对账单!$B$4,资金台帐!P793="应付",ISNUMBER(资金台帐!B793),资金台帐!B793&gt;=供应商对账单!$G$4,资金台帐!B793&lt;=供应商对账单!$I$4),资金台帐!B793+ROW()/100000,"")</f>
      </c>
      <c r="N2290">
        <f>IF(AND(ISNUMBER(出库明细!G2290),ISNUMBER(出库明细!E2290),ISNUMBER(出库明细!F2290)),IF(ABS(出库明细!G2290-出库明细!E2290*出库明细!F2290)&gt;0.005,1,0),0)</f>
        <v>0</v>
      </c>
    </row>
    <row r="2291">
      <c r="A2291">
        <f>IF(OR(出库明细!C1291="",出库明细!D1291=""),"",IF(OR(COUNTIFS(存条明细!$C$4:$C$1003,出库明细!C1291,存条明细!$D$4:$D$1003,出库明细!D1291)&gt;0,COUNTIFS(出库明细!$C$4:C1291,出库明细!C1291,出库明细!$D$4:D1291,出库明细!D1291)&gt;1),"",IFERROR(MATCH(出库明细!C1291,总览汇总!$B$5:$B$304,0),900)*10000000+IFERROR(MATCH(出库明细!D1291,基础资料!$E$5:$E$104,0),900)*10000+ROW()))</f>
      </c>
      <c r="F2291">
        <f>IF(AND(出库明细!C2291&lt;&gt;"",出库明细!C2291=客户对账单!$B$4,ISNUMBER(出库明细!B2291),出库明细!B2291&gt;=客户对账单!$G$4,出库明细!B2291&lt;=客户对账单!$I$4),出库明细!B2291+ROW()/100000,"")</f>
      </c>
      <c r="H2291">
        <f>IF(AND(资金台帐!K794&lt;&gt;"",资金台帐!K794=供应商对账单!$B$4,资金台帐!P794="应付",ISNUMBER(资金台帐!B794),资金台帐!B794&gt;=供应商对账单!$G$4,资金台帐!B794&lt;=供应商对账单!$I$4),资金台帐!B794+ROW()/100000,"")</f>
      </c>
      <c r="N2291">
        <f>IF(AND(ISNUMBER(出库明细!G2291),ISNUMBER(出库明细!E2291),ISNUMBER(出库明细!F2291)),IF(ABS(出库明细!G2291-出库明细!E2291*出库明细!F2291)&gt;0.005,1,0),0)</f>
        <v>0</v>
      </c>
    </row>
    <row r="2292">
      <c r="A2292">
        <f>IF(OR(出库明细!C1292="",出库明细!D1292=""),"",IF(OR(COUNTIFS(存条明细!$C$4:$C$1003,出库明细!C1292,存条明细!$D$4:$D$1003,出库明细!D1292)&gt;0,COUNTIFS(出库明细!$C$4:C1292,出库明细!C1292,出库明细!$D$4:D1292,出库明细!D1292)&gt;1),"",IFERROR(MATCH(出库明细!C1292,总览汇总!$B$5:$B$304,0),900)*10000000+IFERROR(MATCH(出库明细!D1292,基础资料!$E$5:$E$104,0),900)*10000+ROW()))</f>
      </c>
      <c r="F2292">
        <f>IF(AND(出库明细!C2292&lt;&gt;"",出库明细!C2292=客户对账单!$B$4,ISNUMBER(出库明细!B2292),出库明细!B2292&gt;=客户对账单!$G$4,出库明细!B2292&lt;=客户对账单!$I$4),出库明细!B2292+ROW()/100000,"")</f>
      </c>
      <c r="H2292">
        <f>IF(AND(资金台帐!K795&lt;&gt;"",资金台帐!K795=供应商对账单!$B$4,资金台帐!P795="应付",ISNUMBER(资金台帐!B795),资金台帐!B795&gt;=供应商对账单!$G$4,资金台帐!B795&lt;=供应商对账单!$I$4),资金台帐!B795+ROW()/100000,"")</f>
      </c>
      <c r="N2292">
        <f>IF(AND(ISNUMBER(出库明细!G2292),ISNUMBER(出库明细!E2292),ISNUMBER(出库明细!F2292)),IF(ABS(出库明细!G2292-出库明细!E2292*出库明细!F2292)&gt;0.005,1,0),0)</f>
        <v>0</v>
      </c>
    </row>
    <row r="2293">
      <c r="A2293">
        <f>IF(OR(出库明细!C1293="",出库明细!D1293=""),"",IF(OR(COUNTIFS(存条明细!$C$4:$C$1003,出库明细!C1293,存条明细!$D$4:$D$1003,出库明细!D1293)&gt;0,COUNTIFS(出库明细!$C$4:C1293,出库明细!C1293,出库明细!$D$4:D1293,出库明细!D1293)&gt;1),"",IFERROR(MATCH(出库明细!C1293,总览汇总!$B$5:$B$304,0),900)*10000000+IFERROR(MATCH(出库明细!D1293,基础资料!$E$5:$E$104,0),900)*10000+ROW()))</f>
      </c>
      <c r="F2293">
        <f>IF(AND(出库明细!C2293&lt;&gt;"",出库明细!C2293=客户对账单!$B$4,ISNUMBER(出库明细!B2293),出库明细!B2293&gt;=客户对账单!$G$4,出库明细!B2293&lt;=客户对账单!$I$4),出库明细!B2293+ROW()/100000,"")</f>
      </c>
      <c r="H2293">
        <f>IF(AND(资金台帐!K796&lt;&gt;"",资金台帐!K796=供应商对账单!$B$4,资金台帐!P796="应付",ISNUMBER(资金台帐!B796),资金台帐!B796&gt;=供应商对账单!$G$4,资金台帐!B796&lt;=供应商对账单!$I$4),资金台帐!B796+ROW()/100000,"")</f>
      </c>
      <c r="N2293">
        <f>IF(AND(ISNUMBER(出库明细!G2293),ISNUMBER(出库明细!E2293),ISNUMBER(出库明细!F2293)),IF(ABS(出库明细!G2293-出库明细!E2293*出库明细!F2293)&gt;0.005,1,0),0)</f>
        <v>0</v>
      </c>
    </row>
    <row r="2294">
      <c r="A2294">
        <f>IF(OR(出库明细!C1294="",出库明细!D1294=""),"",IF(OR(COUNTIFS(存条明细!$C$4:$C$1003,出库明细!C1294,存条明细!$D$4:$D$1003,出库明细!D1294)&gt;0,COUNTIFS(出库明细!$C$4:C1294,出库明细!C1294,出库明细!$D$4:D1294,出库明细!D1294)&gt;1),"",IFERROR(MATCH(出库明细!C1294,总览汇总!$B$5:$B$304,0),900)*10000000+IFERROR(MATCH(出库明细!D1294,基础资料!$E$5:$E$104,0),900)*10000+ROW()))</f>
      </c>
      <c r="F2294">
        <f>IF(AND(出库明细!C2294&lt;&gt;"",出库明细!C2294=客户对账单!$B$4,ISNUMBER(出库明细!B2294),出库明细!B2294&gt;=客户对账单!$G$4,出库明细!B2294&lt;=客户对账单!$I$4),出库明细!B2294+ROW()/100000,"")</f>
      </c>
      <c r="H2294">
        <f>IF(AND(资金台帐!K797&lt;&gt;"",资金台帐!K797=供应商对账单!$B$4,资金台帐!P797="应付",ISNUMBER(资金台帐!B797),资金台帐!B797&gt;=供应商对账单!$G$4,资金台帐!B797&lt;=供应商对账单!$I$4),资金台帐!B797+ROW()/100000,"")</f>
      </c>
      <c r="N2294">
        <f>IF(AND(ISNUMBER(出库明细!G2294),ISNUMBER(出库明细!E2294),ISNUMBER(出库明细!F2294)),IF(ABS(出库明细!G2294-出库明细!E2294*出库明细!F2294)&gt;0.005,1,0),0)</f>
        <v>0</v>
      </c>
    </row>
    <row r="2295">
      <c r="A2295">
        <f>IF(OR(出库明细!C1295="",出库明细!D1295=""),"",IF(OR(COUNTIFS(存条明细!$C$4:$C$1003,出库明细!C1295,存条明细!$D$4:$D$1003,出库明细!D1295)&gt;0,COUNTIFS(出库明细!$C$4:C1295,出库明细!C1295,出库明细!$D$4:D1295,出库明细!D1295)&gt;1),"",IFERROR(MATCH(出库明细!C1295,总览汇总!$B$5:$B$304,0),900)*10000000+IFERROR(MATCH(出库明细!D1295,基础资料!$E$5:$E$104,0),900)*10000+ROW()))</f>
      </c>
      <c r="F2295">
        <f>IF(AND(出库明细!C2295&lt;&gt;"",出库明细!C2295=客户对账单!$B$4,ISNUMBER(出库明细!B2295),出库明细!B2295&gt;=客户对账单!$G$4,出库明细!B2295&lt;=客户对账单!$I$4),出库明细!B2295+ROW()/100000,"")</f>
      </c>
      <c r="H2295">
        <f>IF(AND(资金台帐!K798&lt;&gt;"",资金台帐!K798=供应商对账单!$B$4,资金台帐!P798="应付",ISNUMBER(资金台帐!B798),资金台帐!B798&gt;=供应商对账单!$G$4,资金台帐!B798&lt;=供应商对账单!$I$4),资金台帐!B798+ROW()/100000,"")</f>
      </c>
      <c r="N2295">
        <f>IF(AND(ISNUMBER(出库明细!G2295),ISNUMBER(出库明细!E2295),ISNUMBER(出库明细!F2295)),IF(ABS(出库明细!G2295-出库明细!E2295*出库明细!F2295)&gt;0.005,1,0),0)</f>
        <v>0</v>
      </c>
    </row>
    <row r="2296">
      <c r="A2296">
        <f>IF(OR(出库明细!C1296="",出库明细!D1296=""),"",IF(OR(COUNTIFS(存条明细!$C$4:$C$1003,出库明细!C1296,存条明细!$D$4:$D$1003,出库明细!D1296)&gt;0,COUNTIFS(出库明细!$C$4:C1296,出库明细!C1296,出库明细!$D$4:D1296,出库明细!D1296)&gt;1),"",IFERROR(MATCH(出库明细!C1296,总览汇总!$B$5:$B$304,0),900)*10000000+IFERROR(MATCH(出库明细!D1296,基础资料!$E$5:$E$104,0),900)*10000+ROW()))</f>
      </c>
      <c r="F2296">
        <f>IF(AND(出库明细!C2296&lt;&gt;"",出库明细!C2296=客户对账单!$B$4,ISNUMBER(出库明细!B2296),出库明细!B2296&gt;=客户对账单!$G$4,出库明细!B2296&lt;=客户对账单!$I$4),出库明细!B2296+ROW()/100000,"")</f>
      </c>
      <c r="H2296">
        <f>IF(AND(资金台帐!K799&lt;&gt;"",资金台帐!K799=供应商对账单!$B$4,资金台帐!P799="应付",ISNUMBER(资金台帐!B799),资金台帐!B799&gt;=供应商对账单!$G$4,资金台帐!B799&lt;=供应商对账单!$I$4),资金台帐!B799+ROW()/100000,"")</f>
      </c>
      <c r="N2296">
        <f>IF(AND(ISNUMBER(出库明细!G2296),ISNUMBER(出库明细!E2296),ISNUMBER(出库明细!F2296)),IF(ABS(出库明细!G2296-出库明细!E2296*出库明细!F2296)&gt;0.005,1,0),0)</f>
        <v>0</v>
      </c>
    </row>
    <row r="2297">
      <c r="A2297">
        <f>IF(OR(出库明细!C1297="",出库明细!D1297=""),"",IF(OR(COUNTIFS(存条明细!$C$4:$C$1003,出库明细!C1297,存条明细!$D$4:$D$1003,出库明细!D1297)&gt;0,COUNTIFS(出库明细!$C$4:C1297,出库明细!C1297,出库明细!$D$4:D1297,出库明细!D1297)&gt;1),"",IFERROR(MATCH(出库明细!C1297,总览汇总!$B$5:$B$304,0),900)*10000000+IFERROR(MATCH(出库明细!D1297,基础资料!$E$5:$E$104,0),900)*10000+ROW()))</f>
      </c>
      <c r="F2297">
        <f>IF(AND(出库明细!C2297&lt;&gt;"",出库明细!C2297=客户对账单!$B$4,ISNUMBER(出库明细!B2297),出库明细!B2297&gt;=客户对账单!$G$4,出库明细!B2297&lt;=客户对账单!$I$4),出库明细!B2297+ROW()/100000,"")</f>
      </c>
      <c r="H2297">
        <f>IF(AND(资金台帐!K800&lt;&gt;"",资金台帐!K800=供应商对账单!$B$4,资金台帐!P800="应付",ISNUMBER(资金台帐!B800),资金台帐!B800&gt;=供应商对账单!$G$4,资金台帐!B800&lt;=供应商对账单!$I$4),资金台帐!B800+ROW()/100000,"")</f>
      </c>
      <c r="N2297">
        <f>IF(AND(ISNUMBER(出库明细!G2297),ISNUMBER(出库明细!E2297),ISNUMBER(出库明细!F2297)),IF(ABS(出库明细!G2297-出库明细!E2297*出库明细!F2297)&gt;0.005,1,0),0)</f>
        <v>0</v>
      </c>
    </row>
    <row r="2298">
      <c r="A2298">
        <f>IF(OR(出库明细!C1298="",出库明细!D1298=""),"",IF(OR(COUNTIFS(存条明细!$C$4:$C$1003,出库明细!C1298,存条明细!$D$4:$D$1003,出库明细!D1298)&gt;0,COUNTIFS(出库明细!$C$4:C1298,出库明细!C1298,出库明细!$D$4:D1298,出库明细!D1298)&gt;1),"",IFERROR(MATCH(出库明细!C1298,总览汇总!$B$5:$B$304,0),900)*10000000+IFERROR(MATCH(出库明细!D1298,基础资料!$E$5:$E$104,0),900)*10000+ROW()))</f>
      </c>
      <c r="F2298">
        <f>IF(AND(出库明细!C2298&lt;&gt;"",出库明细!C2298=客户对账单!$B$4,ISNUMBER(出库明细!B2298),出库明细!B2298&gt;=客户对账单!$G$4,出库明细!B2298&lt;=客户对账单!$I$4),出库明细!B2298+ROW()/100000,"")</f>
      </c>
      <c r="H2298">
        <f>IF(AND(资金台帐!K801&lt;&gt;"",资金台帐!K801=供应商对账单!$B$4,资金台帐!P801="应付",ISNUMBER(资金台帐!B801),资金台帐!B801&gt;=供应商对账单!$G$4,资金台帐!B801&lt;=供应商对账单!$I$4),资金台帐!B801+ROW()/100000,"")</f>
      </c>
      <c r="N2298">
        <f>IF(AND(ISNUMBER(出库明细!G2298),ISNUMBER(出库明细!E2298),ISNUMBER(出库明细!F2298)),IF(ABS(出库明细!G2298-出库明细!E2298*出库明细!F2298)&gt;0.005,1,0),0)</f>
        <v>0</v>
      </c>
    </row>
    <row r="2299">
      <c r="A2299">
        <f>IF(OR(出库明细!C1299="",出库明细!D1299=""),"",IF(OR(COUNTIFS(存条明细!$C$4:$C$1003,出库明细!C1299,存条明细!$D$4:$D$1003,出库明细!D1299)&gt;0,COUNTIFS(出库明细!$C$4:C1299,出库明细!C1299,出库明细!$D$4:D1299,出库明细!D1299)&gt;1),"",IFERROR(MATCH(出库明细!C1299,总览汇总!$B$5:$B$304,0),900)*10000000+IFERROR(MATCH(出库明细!D1299,基础资料!$E$5:$E$104,0),900)*10000+ROW()))</f>
      </c>
      <c r="F2299">
        <f>IF(AND(出库明细!C2299&lt;&gt;"",出库明细!C2299=客户对账单!$B$4,ISNUMBER(出库明细!B2299),出库明细!B2299&gt;=客户对账单!$G$4,出库明细!B2299&lt;=客户对账单!$I$4),出库明细!B2299+ROW()/100000,"")</f>
      </c>
      <c r="H2299">
        <f>IF(AND(资金台帐!K802&lt;&gt;"",资金台帐!K802=供应商对账单!$B$4,资金台帐!P802="应付",ISNUMBER(资金台帐!B802),资金台帐!B802&gt;=供应商对账单!$G$4,资金台帐!B802&lt;=供应商对账单!$I$4),资金台帐!B802+ROW()/100000,"")</f>
      </c>
      <c r="N2299">
        <f>IF(AND(ISNUMBER(出库明细!G2299),ISNUMBER(出库明细!E2299),ISNUMBER(出库明细!F2299)),IF(ABS(出库明细!G2299-出库明细!E2299*出库明细!F2299)&gt;0.005,1,0),0)</f>
        <v>0</v>
      </c>
    </row>
    <row r="2300">
      <c r="A2300">
        <f>IF(OR(出库明细!C1300="",出库明细!D1300=""),"",IF(OR(COUNTIFS(存条明细!$C$4:$C$1003,出库明细!C1300,存条明细!$D$4:$D$1003,出库明细!D1300)&gt;0,COUNTIFS(出库明细!$C$4:C1300,出库明细!C1300,出库明细!$D$4:D1300,出库明细!D1300)&gt;1),"",IFERROR(MATCH(出库明细!C1300,总览汇总!$B$5:$B$304,0),900)*10000000+IFERROR(MATCH(出库明细!D1300,基础资料!$E$5:$E$104,0),900)*10000+ROW()))</f>
      </c>
      <c r="F2300">
        <f>IF(AND(出库明细!C2300&lt;&gt;"",出库明细!C2300=客户对账单!$B$4,ISNUMBER(出库明细!B2300),出库明细!B2300&gt;=客户对账单!$G$4,出库明细!B2300&lt;=客户对账单!$I$4),出库明细!B2300+ROW()/100000,"")</f>
      </c>
      <c r="H2300">
        <f>IF(AND(资金台帐!K803&lt;&gt;"",资金台帐!K803=供应商对账单!$B$4,资金台帐!P803="应付",ISNUMBER(资金台帐!B803),资金台帐!B803&gt;=供应商对账单!$G$4,资金台帐!B803&lt;=供应商对账单!$I$4),资金台帐!B803+ROW()/100000,"")</f>
      </c>
      <c r="N2300">
        <f>IF(AND(ISNUMBER(出库明细!G2300),ISNUMBER(出库明细!E2300),ISNUMBER(出库明细!F2300)),IF(ABS(出库明细!G2300-出库明细!E2300*出库明细!F2300)&gt;0.005,1,0),0)</f>
        <v>0</v>
      </c>
    </row>
    <row r="2301">
      <c r="A2301">
        <f>IF(OR(出库明细!C1301="",出库明细!D1301=""),"",IF(OR(COUNTIFS(存条明细!$C$4:$C$1003,出库明细!C1301,存条明细!$D$4:$D$1003,出库明细!D1301)&gt;0,COUNTIFS(出库明细!$C$4:C1301,出库明细!C1301,出库明细!$D$4:D1301,出库明细!D1301)&gt;1),"",IFERROR(MATCH(出库明细!C1301,总览汇总!$B$5:$B$304,0),900)*10000000+IFERROR(MATCH(出库明细!D1301,基础资料!$E$5:$E$104,0),900)*10000+ROW()))</f>
      </c>
      <c r="F2301">
        <f>IF(AND(出库明细!C2301&lt;&gt;"",出库明细!C2301=客户对账单!$B$4,ISNUMBER(出库明细!B2301),出库明细!B2301&gt;=客户对账单!$G$4,出库明细!B2301&lt;=客户对账单!$I$4),出库明细!B2301+ROW()/100000,"")</f>
      </c>
      <c r="H2301">
        <f>IF(AND(资金台帐!K804&lt;&gt;"",资金台帐!K804=供应商对账单!$B$4,资金台帐!P804="应付",ISNUMBER(资金台帐!B804),资金台帐!B804&gt;=供应商对账单!$G$4,资金台帐!B804&lt;=供应商对账单!$I$4),资金台帐!B804+ROW()/100000,"")</f>
      </c>
      <c r="N2301">
        <f>IF(AND(ISNUMBER(出库明细!G2301),ISNUMBER(出库明细!E2301),ISNUMBER(出库明细!F2301)),IF(ABS(出库明细!G2301-出库明细!E2301*出库明细!F2301)&gt;0.005,1,0),0)</f>
        <v>0</v>
      </c>
    </row>
    <row r="2302">
      <c r="A2302">
        <f>IF(OR(出库明细!C1302="",出库明细!D1302=""),"",IF(OR(COUNTIFS(存条明细!$C$4:$C$1003,出库明细!C1302,存条明细!$D$4:$D$1003,出库明细!D1302)&gt;0,COUNTIFS(出库明细!$C$4:C1302,出库明细!C1302,出库明细!$D$4:D1302,出库明细!D1302)&gt;1),"",IFERROR(MATCH(出库明细!C1302,总览汇总!$B$5:$B$304,0),900)*10000000+IFERROR(MATCH(出库明细!D1302,基础资料!$E$5:$E$104,0),900)*10000+ROW()))</f>
      </c>
      <c r="F2302">
        <f>IF(AND(出库明细!C2302&lt;&gt;"",出库明细!C2302=客户对账单!$B$4,ISNUMBER(出库明细!B2302),出库明细!B2302&gt;=客户对账单!$G$4,出库明细!B2302&lt;=客户对账单!$I$4),出库明细!B2302+ROW()/100000,"")</f>
      </c>
      <c r="H2302">
        <f>IF(AND(资金台帐!K805&lt;&gt;"",资金台帐!K805=供应商对账单!$B$4,资金台帐!P805="应付",ISNUMBER(资金台帐!B805),资金台帐!B805&gt;=供应商对账单!$G$4,资金台帐!B805&lt;=供应商对账单!$I$4),资金台帐!B805+ROW()/100000,"")</f>
      </c>
      <c r="N2302">
        <f>IF(AND(ISNUMBER(出库明细!G2302),ISNUMBER(出库明细!E2302),ISNUMBER(出库明细!F2302)),IF(ABS(出库明细!G2302-出库明细!E2302*出库明细!F2302)&gt;0.005,1,0),0)</f>
        <v>0</v>
      </c>
    </row>
    <row r="2303">
      <c r="A2303">
        <f>IF(OR(出库明细!C1303="",出库明细!D1303=""),"",IF(OR(COUNTIFS(存条明细!$C$4:$C$1003,出库明细!C1303,存条明细!$D$4:$D$1003,出库明细!D1303)&gt;0,COUNTIFS(出库明细!$C$4:C1303,出库明细!C1303,出库明细!$D$4:D1303,出库明细!D1303)&gt;1),"",IFERROR(MATCH(出库明细!C1303,总览汇总!$B$5:$B$304,0),900)*10000000+IFERROR(MATCH(出库明细!D1303,基础资料!$E$5:$E$104,0),900)*10000+ROW()))</f>
      </c>
      <c r="F2303">
        <f>IF(AND(出库明细!C2303&lt;&gt;"",出库明细!C2303=客户对账单!$B$4,ISNUMBER(出库明细!B2303),出库明细!B2303&gt;=客户对账单!$G$4,出库明细!B2303&lt;=客户对账单!$I$4),出库明细!B2303+ROW()/100000,"")</f>
      </c>
      <c r="H2303">
        <f>IF(AND(资金台帐!K806&lt;&gt;"",资金台帐!K806=供应商对账单!$B$4,资金台帐!P806="应付",ISNUMBER(资金台帐!B806),资金台帐!B806&gt;=供应商对账单!$G$4,资金台帐!B806&lt;=供应商对账单!$I$4),资金台帐!B806+ROW()/100000,"")</f>
      </c>
      <c r="N2303">
        <f>IF(AND(ISNUMBER(出库明细!G2303),ISNUMBER(出库明细!E2303),ISNUMBER(出库明细!F2303)),IF(ABS(出库明细!G2303-出库明细!E2303*出库明细!F2303)&gt;0.005,1,0),0)</f>
        <v>0</v>
      </c>
    </row>
    <row r="2304">
      <c r="A2304">
        <f>IF(OR(出库明细!C1304="",出库明细!D1304=""),"",IF(OR(COUNTIFS(存条明细!$C$4:$C$1003,出库明细!C1304,存条明细!$D$4:$D$1003,出库明细!D1304)&gt;0,COUNTIFS(出库明细!$C$4:C1304,出库明细!C1304,出库明细!$D$4:D1304,出库明细!D1304)&gt;1),"",IFERROR(MATCH(出库明细!C1304,总览汇总!$B$5:$B$304,0),900)*10000000+IFERROR(MATCH(出库明细!D1304,基础资料!$E$5:$E$104,0),900)*10000+ROW()))</f>
      </c>
      <c r="F2304">
        <f>IF(AND(出库明细!C2304&lt;&gt;"",出库明细!C2304=客户对账单!$B$4,ISNUMBER(出库明细!B2304),出库明细!B2304&gt;=客户对账单!$G$4,出库明细!B2304&lt;=客户对账单!$I$4),出库明细!B2304+ROW()/100000,"")</f>
      </c>
      <c r="H2304">
        <f>IF(AND(资金台帐!K807&lt;&gt;"",资金台帐!K807=供应商对账单!$B$4,资金台帐!P807="应付",ISNUMBER(资金台帐!B807),资金台帐!B807&gt;=供应商对账单!$G$4,资金台帐!B807&lt;=供应商对账单!$I$4),资金台帐!B807+ROW()/100000,"")</f>
      </c>
      <c r="N2304">
        <f>IF(AND(ISNUMBER(出库明细!G2304),ISNUMBER(出库明细!E2304),ISNUMBER(出库明细!F2304)),IF(ABS(出库明细!G2304-出库明细!E2304*出库明细!F2304)&gt;0.005,1,0),0)</f>
        <v>0</v>
      </c>
    </row>
    <row r="2305">
      <c r="A2305">
        <f>IF(OR(出库明细!C1305="",出库明细!D1305=""),"",IF(OR(COUNTIFS(存条明细!$C$4:$C$1003,出库明细!C1305,存条明细!$D$4:$D$1003,出库明细!D1305)&gt;0,COUNTIFS(出库明细!$C$4:C1305,出库明细!C1305,出库明细!$D$4:D1305,出库明细!D1305)&gt;1),"",IFERROR(MATCH(出库明细!C1305,总览汇总!$B$5:$B$304,0),900)*10000000+IFERROR(MATCH(出库明细!D1305,基础资料!$E$5:$E$104,0),900)*10000+ROW()))</f>
      </c>
      <c r="F2305">
        <f>IF(AND(出库明细!C2305&lt;&gt;"",出库明细!C2305=客户对账单!$B$4,ISNUMBER(出库明细!B2305),出库明细!B2305&gt;=客户对账单!$G$4,出库明细!B2305&lt;=客户对账单!$I$4),出库明细!B2305+ROW()/100000,"")</f>
      </c>
      <c r="H2305">
        <f>IF(AND(资金台帐!K808&lt;&gt;"",资金台帐!K808=供应商对账单!$B$4,资金台帐!P808="应付",ISNUMBER(资金台帐!B808),资金台帐!B808&gt;=供应商对账单!$G$4,资金台帐!B808&lt;=供应商对账单!$I$4),资金台帐!B808+ROW()/100000,"")</f>
      </c>
      <c r="N2305">
        <f>IF(AND(ISNUMBER(出库明细!G2305),ISNUMBER(出库明细!E2305),ISNUMBER(出库明细!F2305)),IF(ABS(出库明细!G2305-出库明细!E2305*出库明细!F2305)&gt;0.005,1,0),0)</f>
        <v>0</v>
      </c>
    </row>
    <row r="2306">
      <c r="A2306">
        <f>IF(OR(出库明细!C1306="",出库明细!D1306=""),"",IF(OR(COUNTIFS(存条明细!$C$4:$C$1003,出库明细!C1306,存条明细!$D$4:$D$1003,出库明细!D1306)&gt;0,COUNTIFS(出库明细!$C$4:C1306,出库明细!C1306,出库明细!$D$4:D1306,出库明细!D1306)&gt;1),"",IFERROR(MATCH(出库明细!C1306,总览汇总!$B$5:$B$304,0),900)*10000000+IFERROR(MATCH(出库明细!D1306,基础资料!$E$5:$E$104,0),900)*10000+ROW()))</f>
      </c>
      <c r="F2306">
        <f>IF(AND(出库明细!C2306&lt;&gt;"",出库明细!C2306=客户对账单!$B$4,ISNUMBER(出库明细!B2306),出库明细!B2306&gt;=客户对账单!$G$4,出库明细!B2306&lt;=客户对账单!$I$4),出库明细!B2306+ROW()/100000,"")</f>
      </c>
      <c r="H2306">
        <f>IF(AND(资金台帐!K809&lt;&gt;"",资金台帐!K809=供应商对账单!$B$4,资金台帐!P809="应付",ISNUMBER(资金台帐!B809),资金台帐!B809&gt;=供应商对账单!$G$4,资金台帐!B809&lt;=供应商对账单!$I$4),资金台帐!B809+ROW()/100000,"")</f>
      </c>
      <c r="N2306">
        <f>IF(AND(ISNUMBER(出库明细!G2306),ISNUMBER(出库明细!E2306),ISNUMBER(出库明细!F2306)),IF(ABS(出库明细!G2306-出库明细!E2306*出库明细!F2306)&gt;0.005,1,0),0)</f>
        <v>0</v>
      </c>
    </row>
    <row r="2307">
      <c r="A2307">
        <f>IF(OR(出库明细!C1307="",出库明细!D1307=""),"",IF(OR(COUNTIFS(存条明细!$C$4:$C$1003,出库明细!C1307,存条明细!$D$4:$D$1003,出库明细!D1307)&gt;0,COUNTIFS(出库明细!$C$4:C1307,出库明细!C1307,出库明细!$D$4:D1307,出库明细!D1307)&gt;1),"",IFERROR(MATCH(出库明细!C1307,总览汇总!$B$5:$B$304,0),900)*10000000+IFERROR(MATCH(出库明细!D1307,基础资料!$E$5:$E$104,0),900)*10000+ROW()))</f>
      </c>
      <c r="F2307">
        <f>IF(AND(出库明细!C2307&lt;&gt;"",出库明细!C2307=客户对账单!$B$4,ISNUMBER(出库明细!B2307),出库明细!B2307&gt;=客户对账单!$G$4,出库明细!B2307&lt;=客户对账单!$I$4),出库明细!B2307+ROW()/100000,"")</f>
      </c>
      <c r="H2307">
        <f>IF(AND(资金台帐!K810&lt;&gt;"",资金台帐!K810=供应商对账单!$B$4,资金台帐!P810="应付",ISNUMBER(资金台帐!B810),资金台帐!B810&gt;=供应商对账单!$G$4,资金台帐!B810&lt;=供应商对账单!$I$4),资金台帐!B810+ROW()/100000,"")</f>
      </c>
      <c r="N2307">
        <f>IF(AND(ISNUMBER(出库明细!G2307),ISNUMBER(出库明细!E2307),ISNUMBER(出库明细!F2307)),IF(ABS(出库明细!G2307-出库明细!E2307*出库明细!F2307)&gt;0.005,1,0),0)</f>
        <v>0</v>
      </c>
    </row>
    <row r="2308">
      <c r="A2308">
        <f>IF(OR(出库明细!C1308="",出库明细!D1308=""),"",IF(OR(COUNTIFS(存条明细!$C$4:$C$1003,出库明细!C1308,存条明细!$D$4:$D$1003,出库明细!D1308)&gt;0,COUNTIFS(出库明细!$C$4:C1308,出库明细!C1308,出库明细!$D$4:D1308,出库明细!D1308)&gt;1),"",IFERROR(MATCH(出库明细!C1308,总览汇总!$B$5:$B$304,0),900)*10000000+IFERROR(MATCH(出库明细!D1308,基础资料!$E$5:$E$104,0),900)*10000+ROW()))</f>
      </c>
      <c r="F2308">
        <f>IF(AND(出库明细!C2308&lt;&gt;"",出库明细!C2308=客户对账单!$B$4,ISNUMBER(出库明细!B2308),出库明细!B2308&gt;=客户对账单!$G$4,出库明细!B2308&lt;=客户对账单!$I$4),出库明细!B2308+ROW()/100000,"")</f>
      </c>
      <c r="H2308">
        <f>IF(AND(资金台帐!K811&lt;&gt;"",资金台帐!K811=供应商对账单!$B$4,资金台帐!P811="应付",ISNUMBER(资金台帐!B811),资金台帐!B811&gt;=供应商对账单!$G$4,资金台帐!B811&lt;=供应商对账单!$I$4),资金台帐!B811+ROW()/100000,"")</f>
      </c>
      <c r="N2308">
        <f>IF(AND(ISNUMBER(出库明细!G2308),ISNUMBER(出库明细!E2308),ISNUMBER(出库明细!F2308)),IF(ABS(出库明细!G2308-出库明细!E2308*出库明细!F2308)&gt;0.005,1,0),0)</f>
        <v>0</v>
      </c>
    </row>
    <row r="2309">
      <c r="A2309">
        <f>IF(OR(出库明细!C1309="",出库明细!D1309=""),"",IF(OR(COUNTIFS(存条明细!$C$4:$C$1003,出库明细!C1309,存条明细!$D$4:$D$1003,出库明细!D1309)&gt;0,COUNTIFS(出库明细!$C$4:C1309,出库明细!C1309,出库明细!$D$4:D1309,出库明细!D1309)&gt;1),"",IFERROR(MATCH(出库明细!C1309,总览汇总!$B$5:$B$304,0),900)*10000000+IFERROR(MATCH(出库明细!D1309,基础资料!$E$5:$E$104,0),900)*10000+ROW()))</f>
      </c>
      <c r="F2309">
        <f>IF(AND(出库明细!C2309&lt;&gt;"",出库明细!C2309=客户对账单!$B$4,ISNUMBER(出库明细!B2309),出库明细!B2309&gt;=客户对账单!$G$4,出库明细!B2309&lt;=客户对账单!$I$4),出库明细!B2309+ROW()/100000,"")</f>
      </c>
      <c r="H2309">
        <f>IF(AND(资金台帐!K812&lt;&gt;"",资金台帐!K812=供应商对账单!$B$4,资金台帐!P812="应付",ISNUMBER(资金台帐!B812),资金台帐!B812&gt;=供应商对账单!$G$4,资金台帐!B812&lt;=供应商对账单!$I$4),资金台帐!B812+ROW()/100000,"")</f>
      </c>
      <c r="N2309">
        <f>IF(AND(ISNUMBER(出库明细!G2309),ISNUMBER(出库明细!E2309),ISNUMBER(出库明细!F2309)),IF(ABS(出库明细!G2309-出库明细!E2309*出库明细!F2309)&gt;0.005,1,0),0)</f>
        <v>0</v>
      </c>
    </row>
    <row r="2310">
      <c r="A2310">
        <f>IF(OR(出库明细!C1310="",出库明细!D1310=""),"",IF(OR(COUNTIFS(存条明细!$C$4:$C$1003,出库明细!C1310,存条明细!$D$4:$D$1003,出库明细!D1310)&gt;0,COUNTIFS(出库明细!$C$4:C1310,出库明细!C1310,出库明细!$D$4:D1310,出库明细!D1310)&gt;1),"",IFERROR(MATCH(出库明细!C1310,总览汇总!$B$5:$B$304,0),900)*10000000+IFERROR(MATCH(出库明细!D1310,基础资料!$E$5:$E$104,0),900)*10000+ROW()))</f>
      </c>
      <c r="F2310">
        <f>IF(AND(出库明细!C2310&lt;&gt;"",出库明细!C2310=客户对账单!$B$4,ISNUMBER(出库明细!B2310),出库明细!B2310&gt;=客户对账单!$G$4,出库明细!B2310&lt;=客户对账单!$I$4),出库明细!B2310+ROW()/100000,"")</f>
      </c>
      <c r="H2310">
        <f>IF(AND(资金台帐!K813&lt;&gt;"",资金台帐!K813=供应商对账单!$B$4,资金台帐!P813="应付",ISNUMBER(资金台帐!B813),资金台帐!B813&gt;=供应商对账单!$G$4,资金台帐!B813&lt;=供应商对账单!$I$4),资金台帐!B813+ROW()/100000,"")</f>
      </c>
      <c r="N2310">
        <f>IF(AND(ISNUMBER(出库明细!G2310),ISNUMBER(出库明细!E2310),ISNUMBER(出库明细!F2310)),IF(ABS(出库明细!G2310-出库明细!E2310*出库明细!F2310)&gt;0.005,1,0),0)</f>
        <v>0</v>
      </c>
    </row>
    <row r="2311">
      <c r="A2311">
        <f>IF(OR(出库明细!C1311="",出库明细!D1311=""),"",IF(OR(COUNTIFS(存条明细!$C$4:$C$1003,出库明细!C1311,存条明细!$D$4:$D$1003,出库明细!D1311)&gt;0,COUNTIFS(出库明细!$C$4:C1311,出库明细!C1311,出库明细!$D$4:D1311,出库明细!D1311)&gt;1),"",IFERROR(MATCH(出库明细!C1311,总览汇总!$B$5:$B$304,0),900)*10000000+IFERROR(MATCH(出库明细!D1311,基础资料!$E$5:$E$104,0),900)*10000+ROW()))</f>
      </c>
      <c r="F2311">
        <f>IF(AND(出库明细!C2311&lt;&gt;"",出库明细!C2311=客户对账单!$B$4,ISNUMBER(出库明细!B2311),出库明细!B2311&gt;=客户对账单!$G$4,出库明细!B2311&lt;=客户对账单!$I$4),出库明细!B2311+ROW()/100000,"")</f>
      </c>
      <c r="H2311">
        <f>IF(AND(资金台帐!K814&lt;&gt;"",资金台帐!K814=供应商对账单!$B$4,资金台帐!P814="应付",ISNUMBER(资金台帐!B814),资金台帐!B814&gt;=供应商对账单!$G$4,资金台帐!B814&lt;=供应商对账单!$I$4),资金台帐!B814+ROW()/100000,"")</f>
      </c>
      <c r="N2311">
        <f>IF(AND(ISNUMBER(出库明细!G2311),ISNUMBER(出库明细!E2311),ISNUMBER(出库明细!F2311)),IF(ABS(出库明细!G2311-出库明细!E2311*出库明细!F2311)&gt;0.005,1,0),0)</f>
        <v>0</v>
      </c>
    </row>
    <row r="2312">
      <c r="A2312">
        <f>IF(OR(出库明细!C1312="",出库明细!D1312=""),"",IF(OR(COUNTIFS(存条明细!$C$4:$C$1003,出库明细!C1312,存条明细!$D$4:$D$1003,出库明细!D1312)&gt;0,COUNTIFS(出库明细!$C$4:C1312,出库明细!C1312,出库明细!$D$4:D1312,出库明细!D1312)&gt;1),"",IFERROR(MATCH(出库明细!C1312,总览汇总!$B$5:$B$304,0),900)*10000000+IFERROR(MATCH(出库明细!D1312,基础资料!$E$5:$E$104,0),900)*10000+ROW()))</f>
      </c>
      <c r="F2312">
        <f>IF(AND(出库明细!C2312&lt;&gt;"",出库明细!C2312=客户对账单!$B$4,ISNUMBER(出库明细!B2312),出库明细!B2312&gt;=客户对账单!$G$4,出库明细!B2312&lt;=客户对账单!$I$4),出库明细!B2312+ROW()/100000,"")</f>
      </c>
      <c r="H2312">
        <f>IF(AND(资金台帐!K815&lt;&gt;"",资金台帐!K815=供应商对账单!$B$4,资金台帐!P815="应付",ISNUMBER(资金台帐!B815),资金台帐!B815&gt;=供应商对账单!$G$4,资金台帐!B815&lt;=供应商对账单!$I$4),资金台帐!B815+ROW()/100000,"")</f>
      </c>
      <c r="N2312">
        <f>IF(AND(ISNUMBER(出库明细!G2312),ISNUMBER(出库明细!E2312),ISNUMBER(出库明细!F2312)),IF(ABS(出库明细!G2312-出库明细!E2312*出库明细!F2312)&gt;0.005,1,0),0)</f>
        <v>0</v>
      </c>
    </row>
    <row r="2313">
      <c r="A2313">
        <f>IF(OR(出库明细!C1313="",出库明细!D1313=""),"",IF(OR(COUNTIFS(存条明细!$C$4:$C$1003,出库明细!C1313,存条明细!$D$4:$D$1003,出库明细!D1313)&gt;0,COUNTIFS(出库明细!$C$4:C1313,出库明细!C1313,出库明细!$D$4:D1313,出库明细!D1313)&gt;1),"",IFERROR(MATCH(出库明细!C1313,总览汇总!$B$5:$B$304,0),900)*10000000+IFERROR(MATCH(出库明细!D1313,基础资料!$E$5:$E$104,0),900)*10000+ROW()))</f>
      </c>
      <c r="F2313">
        <f>IF(AND(出库明细!C2313&lt;&gt;"",出库明细!C2313=客户对账单!$B$4,ISNUMBER(出库明细!B2313),出库明细!B2313&gt;=客户对账单!$G$4,出库明细!B2313&lt;=客户对账单!$I$4),出库明细!B2313+ROW()/100000,"")</f>
      </c>
      <c r="H2313">
        <f>IF(AND(资金台帐!K816&lt;&gt;"",资金台帐!K816=供应商对账单!$B$4,资金台帐!P816="应付",ISNUMBER(资金台帐!B816),资金台帐!B816&gt;=供应商对账单!$G$4,资金台帐!B816&lt;=供应商对账单!$I$4),资金台帐!B816+ROW()/100000,"")</f>
      </c>
      <c r="N2313">
        <f>IF(AND(ISNUMBER(出库明细!G2313),ISNUMBER(出库明细!E2313),ISNUMBER(出库明细!F2313)),IF(ABS(出库明细!G2313-出库明细!E2313*出库明细!F2313)&gt;0.005,1,0),0)</f>
        <v>0</v>
      </c>
    </row>
    <row r="2314">
      <c r="A2314">
        <f>IF(OR(出库明细!C1314="",出库明细!D1314=""),"",IF(OR(COUNTIFS(存条明细!$C$4:$C$1003,出库明细!C1314,存条明细!$D$4:$D$1003,出库明细!D1314)&gt;0,COUNTIFS(出库明细!$C$4:C1314,出库明细!C1314,出库明细!$D$4:D1314,出库明细!D1314)&gt;1),"",IFERROR(MATCH(出库明细!C1314,总览汇总!$B$5:$B$304,0),900)*10000000+IFERROR(MATCH(出库明细!D1314,基础资料!$E$5:$E$104,0),900)*10000+ROW()))</f>
      </c>
      <c r="F2314">
        <f>IF(AND(出库明细!C2314&lt;&gt;"",出库明细!C2314=客户对账单!$B$4,ISNUMBER(出库明细!B2314),出库明细!B2314&gt;=客户对账单!$G$4,出库明细!B2314&lt;=客户对账单!$I$4),出库明细!B2314+ROW()/100000,"")</f>
      </c>
      <c r="H2314">
        <f>IF(AND(资金台帐!K817&lt;&gt;"",资金台帐!K817=供应商对账单!$B$4,资金台帐!P817="应付",ISNUMBER(资金台帐!B817),资金台帐!B817&gt;=供应商对账单!$G$4,资金台帐!B817&lt;=供应商对账单!$I$4),资金台帐!B817+ROW()/100000,"")</f>
      </c>
      <c r="N2314">
        <f>IF(AND(ISNUMBER(出库明细!G2314),ISNUMBER(出库明细!E2314),ISNUMBER(出库明细!F2314)),IF(ABS(出库明细!G2314-出库明细!E2314*出库明细!F2314)&gt;0.005,1,0),0)</f>
        <v>0</v>
      </c>
    </row>
    <row r="2315">
      <c r="A2315">
        <f>IF(OR(出库明细!C1315="",出库明细!D1315=""),"",IF(OR(COUNTIFS(存条明细!$C$4:$C$1003,出库明细!C1315,存条明细!$D$4:$D$1003,出库明细!D1315)&gt;0,COUNTIFS(出库明细!$C$4:C1315,出库明细!C1315,出库明细!$D$4:D1315,出库明细!D1315)&gt;1),"",IFERROR(MATCH(出库明细!C1315,总览汇总!$B$5:$B$304,0),900)*10000000+IFERROR(MATCH(出库明细!D1315,基础资料!$E$5:$E$104,0),900)*10000+ROW()))</f>
      </c>
      <c r="F2315">
        <f>IF(AND(出库明细!C2315&lt;&gt;"",出库明细!C2315=客户对账单!$B$4,ISNUMBER(出库明细!B2315),出库明细!B2315&gt;=客户对账单!$G$4,出库明细!B2315&lt;=客户对账单!$I$4),出库明细!B2315+ROW()/100000,"")</f>
      </c>
      <c r="H2315">
        <f>IF(AND(资金台帐!K818&lt;&gt;"",资金台帐!K818=供应商对账单!$B$4,资金台帐!P818="应付",ISNUMBER(资金台帐!B818),资金台帐!B818&gt;=供应商对账单!$G$4,资金台帐!B818&lt;=供应商对账单!$I$4),资金台帐!B818+ROW()/100000,"")</f>
      </c>
      <c r="N2315">
        <f>IF(AND(ISNUMBER(出库明细!G2315),ISNUMBER(出库明细!E2315),ISNUMBER(出库明细!F2315)),IF(ABS(出库明细!G2315-出库明细!E2315*出库明细!F2315)&gt;0.005,1,0),0)</f>
        <v>0</v>
      </c>
    </row>
    <row r="2316">
      <c r="A2316">
        <f>IF(OR(出库明细!C1316="",出库明细!D1316=""),"",IF(OR(COUNTIFS(存条明细!$C$4:$C$1003,出库明细!C1316,存条明细!$D$4:$D$1003,出库明细!D1316)&gt;0,COUNTIFS(出库明细!$C$4:C1316,出库明细!C1316,出库明细!$D$4:D1316,出库明细!D1316)&gt;1),"",IFERROR(MATCH(出库明细!C1316,总览汇总!$B$5:$B$304,0),900)*10000000+IFERROR(MATCH(出库明细!D1316,基础资料!$E$5:$E$104,0),900)*10000+ROW()))</f>
      </c>
      <c r="F2316">
        <f>IF(AND(出库明细!C2316&lt;&gt;"",出库明细!C2316=客户对账单!$B$4,ISNUMBER(出库明细!B2316),出库明细!B2316&gt;=客户对账单!$G$4,出库明细!B2316&lt;=客户对账单!$I$4),出库明细!B2316+ROW()/100000,"")</f>
      </c>
      <c r="H2316">
        <f>IF(AND(资金台帐!K819&lt;&gt;"",资金台帐!K819=供应商对账单!$B$4,资金台帐!P819="应付",ISNUMBER(资金台帐!B819),资金台帐!B819&gt;=供应商对账单!$G$4,资金台帐!B819&lt;=供应商对账单!$I$4),资金台帐!B819+ROW()/100000,"")</f>
      </c>
      <c r="N2316">
        <f>IF(AND(ISNUMBER(出库明细!G2316),ISNUMBER(出库明细!E2316),ISNUMBER(出库明细!F2316)),IF(ABS(出库明细!G2316-出库明细!E2316*出库明细!F2316)&gt;0.005,1,0),0)</f>
        <v>0</v>
      </c>
    </row>
    <row r="2317">
      <c r="A2317">
        <f>IF(OR(出库明细!C1317="",出库明细!D1317=""),"",IF(OR(COUNTIFS(存条明细!$C$4:$C$1003,出库明细!C1317,存条明细!$D$4:$D$1003,出库明细!D1317)&gt;0,COUNTIFS(出库明细!$C$4:C1317,出库明细!C1317,出库明细!$D$4:D1317,出库明细!D1317)&gt;1),"",IFERROR(MATCH(出库明细!C1317,总览汇总!$B$5:$B$304,0),900)*10000000+IFERROR(MATCH(出库明细!D1317,基础资料!$E$5:$E$104,0),900)*10000+ROW()))</f>
      </c>
      <c r="F2317">
        <f>IF(AND(出库明细!C2317&lt;&gt;"",出库明细!C2317=客户对账单!$B$4,ISNUMBER(出库明细!B2317),出库明细!B2317&gt;=客户对账单!$G$4,出库明细!B2317&lt;=客户对账单!$I$4),出库明细!B2317+ROW()/100000,"")</f>
      </c>
      <c r="H2317">
        <f>IF(AND(资金台帐!K820&lt;&gt;"",资金台帐!K820=供应商对账单!$B$4,资金台帐!P820="应付",ISNUMBER(资金台帐!B820),资金台帐!B820&gt;=供应商对账单!$G$4,资金台帐!B820&lt;=供应商对账单!$I$4),资金台帐!B820+ROW()/100000,"")</f>
      </c>
      <c r="N2317">
        <f>IF(AND(ISNUMBER(出库明细!G2317),ISNUMBER(出库明细!E2317),ISNUMBER(出库明细!F2317)),IF(ABS(出库明细!G2317-出库明细!E2317*出库明细!F2317)&gt;0.005,1,0),0)</f>
        <v>0</v>
      </c>
    </row>
    <row r="2318">
      <c r="A2318">
        <f>IF(OR(出库明细!C1318="",出库明细!D1318=""),"",IF(OR(COUNTIFS(存条明细!$C$4:$C$1003,出库明细!C1318,存条明细!$D$4:$D$1003,出库明细!D1318)&gt;0,COUNTIFS(出库明细!$C$4:C1318,出库明细!C1318,出库明细!$D$4:D1318,出库明细!D1318)&gt;1),"",IFERROR(MATCH(出库明细!C1318,总览汇总!$B$5:$B$304,0),900)*10000000+IFERROR(MATCH(出库明细!D1318,基础资料!$E$5:$E$104,0),900)*10000+ROW()))</f>
      </c>
      <c r="F2318">
        <f>IF(AND(出库明细!C2318&lt;&gt;"",出库明细!C2318=客户对账单!$B$4,ISNUMBER(出库明细!B2318),出库明细!B2318&gt;=客户对账单!$G$4,出库明细!B2318&lt;=客户对账单!$I$4),出库明细!B2318+ROW()/100000,"")</f>
      </c>
      <c r="H2318">
        <f>IF(AND(资金台帐!K821&lt;&gt;"",资金台帐!K821=供应商对账单!$B$4,资金台帐!P821="应付",ISNUMBER(资金台帐!B821),资金台帐!B821&gt;=供应商对账单!$G$4,资金台帐!B821&lt;=供应商对账单!$I$4),资金台帐!B821+ROW()/100000,"")</f>
      </c>
      <c r="N2318">
        <f>IF(AND(ISNUMBER(出库明细!G2318),ISNUMBER(出库明细!E2318),ISNUMBER(出库明细!F2318)),IF(ABS(出库明细!G2318-出库明细!E2318*出库明细!F2318)&gt;0.005,1,0),0)</f>
        <v>0</v>
      </c>
    </row>
    <row r="2319">
      <c r="A2319">
        <f>IF(OR(出库明细!C1319="",出库明细!D1319=""),"",IF(OR(COUNTIFS(存条明细!$C$4:$C$1003,出库明细!C1319,存条明细!$D$4:$D$1003,出库明细!D1319)&gt;0,COUNTIFS(出库明细!$C$4:C1319,出库明细!C1319,出库明细!$D$4:D1319,出库明细!D1319)&gt;1),"",IFERROR(MATCH(出库明细!C1319,总览汇总!$B$5:$B$304,0),900)*10000000+IFERROR(MATCH(出库明细!D1319,基础资料!$E$5:$E$104,0),900)*10000+ROW()))</f>
      </c>
      <c r="F2319">
        <f>IF(AND(出库明细!C2319&lt;&gt;"",出库明细!C2319=客户对账单!$B$4,ISNUMBER(出库明细!B2319),出库明细!B2319&gt;=客户对账单!$G$4,出库明细!B2319&lt;=客户对账单!$I$4),出库明细!B2319+ROW()/100000,"")</f>
      </c>
      <c r="H2319">
        <f>IF(AND(资金台帐!K822&lt;&gt;"",资金台帐!K822=供应商对账单!$B$4,资金台帐!P822="应付",ISNUMBER(资金台帐!B822),资金台帐!B822&gt;=供应商对账单!$G$4,资金台帐!B822&lt;=供应商对账单!$I$4),资金台帐!B822+ROW()/100000,"")</f>
      </c>
      <c r="N2319">
        <f>IF(AND(ISNUMBER(出库明细!G2319),ISNUMBER(出库明细!E2319),ISNUMBER(出库明细!F2319)),IF(ABS(出库明细!G2319-出库明细!E2319*出库明细!F2319)&gt;0.005,1,0),0)</f>
        <v>0</v>
      </c>
    </row>
    <row r="2320">
      <c r="A2320">
        <f>IF(OR(出库明细!C1320="",出库明细!D1320=""),"",IF(OR(COUNTIFS(存条明细!$C$4:$C$1003,出库明细!C1320,存条明细!$D$4:$D$1003,出库明细!D1320)&gt;0,COUNTIFS(出库明细!$C$4:C1320,出库明细!C1320,出库明细!$D$4:D1320,出库明细!D1320)&gt;1),"",IFERROR(MATCH(出库明细!C1320,总览汇总!$B$5:$B$304,0),900)*10000000+IFERROR(MATCH(出库明细!D1320,基础资料!$E$5:$E$104,0),900)*10000+ROW()))</f>
      </c>
      <c r="F2320">
        <f>IF(AND(出库明细!C2320&lt;&gt;"",出库明细!C2320=客户对账单!$B$4,ISNUMBER(出库明细!B2320),出库明细!B2320&gt;=客户对账单!$G$4,出库明细!B2320&lt;=客户对账单!$I$4),出库明细!B2320+ROW()/100000,"")</f>
      </c>
      <c r="H2320">
        <f>IF(AND(资金台帐!K823&lt;&gt;"",资金台帐!K823=供应商对账单!$B$4,资金台帐!P823="应付",ISNUMBER(资金台帐!B823),资金台帐!B823&gt;=供应商对账单!$G$4,资金台帐!B823&lt;=供应商对账单!$I$4),资金台帐!B823+ROW()/100000,"")</f>
      </c>
      <c r="N2320">
        <f>IF(AND(ISNUMBER(出库明细!G2320),ISNUMBER(出库明细!E2320),ISNUMBER(出库明细!F2320)),IF(ABS(出库明细!G2320-出库明细!E2320*出库明细!F2320)&gt;0.005,1,0),0)</f>
        <v>0</v>
      </c>
    </row>
    <row r="2321">
      <c r="A2321">
        <f>IF(OR(出库明细!C1321="",出库明细!D1321=""),"",IF(OR(COUNTIFS(存条明细!$C$4:$C$1003,出库明细!C1321,存条明细!$D$4:$D$1003,出库明细!D1321)&gt;0,COUNTIFS(出库明细!$C$4:C1321,出库明细!C1321,出库明细!$D$4:D1321,出库明细!D1321)&gt;1),"",IFERROR(MATCH(出库明细!C1321,总览汇总!$B$5:$B$304,0),900)*10000000+IFERROR(MATCH(出库明细!D1321,基础资料!$E$5:$E$104,0),900)*10000+ROW()))</f>
      </c>
      <c r="F2321">
        <f>IF(AND(出库明细!C2321&lt;&gt;"",出库明细!C2321=客户对账单!$B$4,ISNUMBER(出库明细!B2321),出库明细!B2321&gt;=客户对账单!$G$4,出库明细!B2321&lt;=客户对账单!$I$4),出库明细!B2321+ROW()/100000,"")</f>
      </c>
      <c r="H2321">
        <f>IF(AND(资金台帐!K824&lt;&gt;"",资金台帐!K824=供应商对账单!$B$4,资金台帐!P824="应付",ISNUMBER(资金台帐!B824),资金台帐!B824&gt;=供应商对账单!$G$4,资金台帐!B824&lt;=供应商对账单!$I$4),资金台帐!B824+ROW()/100000,"")</f>
      </c>
      <c r="N2321">
        <f>IF(AND(ISNUMBER(出库明细!G2321),ISNUMBER(出库明细!E2321),ISNUMBER(出库明细!F2321)),IF(ABS(出库明细!G2321-出库明细!E2321*出库明细!F2321)&gt;0.005,1,0),0)</f>
        <v>0</v>
      </c>
    </row>
    <row r="2322">
      <c r="A2322">
        <f>IF(OR(出库明细!C1322="",出库明细!D1322=""),"",IF(OR(COUNTIFS(存条明细!$C$4:$C$1003,出库明细!C1322,存条明细!$D$4:$D$1003,出库明细!D1322)&gt;0,COUNTIFS(出库明细!$C$4:C1322,出库明细!C1322,出库明细!$D$4:D1322,出库明细!D1322)&gt;1),"",IFERROR(MATCH(出库明细!C1322,总览汇总!$B$5:$B$304,0),900)*10000000+IFERROR(MATCH(出库明细!D1322,基础资料!$E$5:$E$104,0),900)*10000+ROW()))</f>
      </c>
      <c r="F2322">
        <f>IF(AND(出库明细!C2322&lt;&gt;"",出库明细!C2322=客户对账单!$B$4,ISNUMBER(出库明细!B2322),出库明细!B2322&gt;=客户对账单!$G$4,出库明细!B2322&lt;=客户对账单!$I$4),出库明细!B2322+ROW()/100000,"")</f>
      </c>
      <c r="H2322">
        <f>IF(AND(资金台帐!K825&lt;&gt;"",资金台帐!K825=供应商对账单!$B$4,资金台帐!P825="应付",ISNUMBER(资金台帐!B825),资金台帐!B825&gt;=供应商对账单!$G$4,资金台帐!B825&lt;=供应商对账单!$I$4),资金台帐!B825+ROW()/100000,"")</f>
      </c>
      <c r="N2322">
        <f>IF(AND(ISNUMBER(出库明细!G2322),ISNUMBER(出库明细!E2322),ISNUMBER(出库明细!F2322)),IF(ABS(出库明细!G2322-出库明细!E2322*出库明细!F2322)&gt;0.005,1,0),0)</f>
        <v>0</v>
      </c>
    </row>
    <row r="2323">
      <c r="A2323">
        <f>IF(OR(出库明细!C1323="",出库明细!D1323=""),"",IF(OR(COUNTIFS(存条明细!$C$4:$C$1003,出库明细!C1323,存条明细!$D$4:$D$1003,出库明细!D1323)&gt;0,COUNTIFS(出库明细!$C$4:C1323,出库明细!C1323,出库明细!$D$4:D1323,出库明细!D1323)&gt;1),"",IFERROR(MATCH(出库明细!C1323,总览汇总!$B$5:$B$304,0),900)*10000000+IFERROR(MATCH(出库明细!D1323,基础资料!$E$5:$E$104,0),900)*10000+ROW()))</f>
      </c>
      <c r="F2323">
        <f>IF(AND(出库明细!C2323&lt;&gt;"",出库明细!C2323=客户对账单!$B$4,ISNUMBER(出库明细!B2323),出库明细!B2323&gt;=客户对账单!$G$4,出库明细!B2323&lt;=客户对账单!$I$4),出库明细!B2323+ROW()/100000,"")</f>
      </c>
      <c r="H2323">
        <f>IF(AND(资金台帐!K826&lt;&gt;"",资金台帐!K826=供应商对账单!$B$4,资金台帐!P826="应付",ISNUMBER(资金台帐!B826),资金台帐!B826&gt;=供应商对账单!$G$4,资金台帐!B826&lt;=供应商对账单!$I$4),资金台帐!B826+ROW()/100000,"")</f>
      </c>
      <c r="N2323">
        <f>IF(AND(ISNUMBER(出库明细!G2323),ISNUMBER(出库明细!E2323),ISNUMBER(出库明细!F2323)),IF(ABS(出库明细!G2323-出库明细!E2323*出库明细!F2323)&gt;0.005,1,0),0)</f>
        <v>0</v>
      </c>
    </row>
    <row r="2324">
      <c r="A2324">
        <f>IF(OR(出库明细!C1324="",出库明细!D1324=""),"",IF(OR(COUNTIFS(存条明细!$C$4:$C$1003,出库明细!C1324,存条明细!$D$4:$D$1003,出库明细!D1324)&gt;0,COUNTIFS(出库明细!$C$4:C1324,出库明细!C1324,出库明细!$D$4:D1324,出库明细!D1324)&gt;1),"",IFERROR(MATCH(出库明细!C1324,总览汇总!$B$5:$B$304,0),900)*10000000+IFERROR(MATCH(出库明细!D1324,基础资料!$E$5:$E$104,0),900)*10000+ROW()))</f>
      </c>
      <c r="F2324">
        <f>IF(AND(出库明细!C2324&lt;&gt;"",出库明细!C2324=客户对账单!$B$4,ISNUMBER(出库明细!B2324),出库明细!B2324&gt;=客户对账单!$G$4,出库明细!B2324&lt;=客户对账单!$I$4),出库明细!B2324+ROW()/100000,"")</f>
      </c>
      <c r="H2324">
        <f>IF(AND(资金台帐!K827&lt;&gt;"",资金台帐!K827=供应商对账单!$B$4,资金台帐!P827="应付",ISNUMBER(资金台帐!B827),资金台帐!B827&gt;=供应商对账单!$G$4,资金台帐!B827&lt;=供应商对账单!$I$4),资金台帐!B827+ROW()/100000,"")</f>
      </c>
      <c r="N2324">
        <f>IF(AND(ISNUMBER(出库明细!G2324),ISNUMBER(出库明细!E2324),ISNUMBER(出库明细!F2324)),IF(ABS(出库明细!G2324-出库明细!E2324*出库明细!F2324)&gt;0.005,1,0),0)</f>
        <v>0</v>
      </c>
    </row>
    <row r="2325">
      <c r="A2325">
        <f>IF(OR(出库明细!C1325="",出库明细!D1325=""),"",IF(OR(COUNTIFS(存条明细!$C$4:$C$1003,出库明细!C1325,存条明细!$D$4:$D$1003,出库明细!D1325)&gt;0,COUNTIFS(出库明细!$C$4:C1325,出库明细!C1325,出库明细!$D$4:D1325,出库明细!D1325)&gt;1),"",IFERROR(MATCH(出库明细!C1325,总览汇总!$B$5:$B$304,0),900)*10000000+IFERROR(MATCH(出库明细!D1325,基础资料!$E$5:$E$104,0),900)*10000+ROW()))</f>
      </c>
      <c r="F2325">
        <f>IF(AND(出库明细!C2325&lt;&gt;"",出库明细!C2325=客户对账单!$B$4,ISNUMBER(出库明细!B2325),出库明细!B2325&gt;=客户对账单!$G$4,出库明细!B2325&lt;=客户对账单!$I$4),出库明细!B2325+ROW()/100000,"")</f>
      </c>
      <c r="H2325">
        <f>IF(AND(资金台帐!K828&lt;&gt;"",资金台帐!K828=供应商对账单!$B$4,资金台帐!P828="应付",ISNUMBER(资金台帐!B828),资金台帐!B828&gt;=供应商对账单!$G$4,资金台帐!B828&lt;=供应商对账单!$I$4),资金台帐!B828+ROW()/100000,"")</f>
      </c>
      <c r="N2325">
        <f>IF(AND(ISNUMBER(出库明细!G2325),ISNUMBER(出库明细!E2325),ISNUMBER(出库明细!F2325)),IF(ABS(出库明细!G2325-出库明细!E2325*出库明细!F2325)&gt;0.005,1,0),0)</f>
        <v>0</v>
      </c>
    </row>
    <row r="2326">
      <c r="A2326">
        <f>IF(OR(出库明细!C1326="",出库明细!D1326=""),"",IF(OR(COUNTIFS(存条明细!$C$4:$C$1003,出库明细!C1326,存条明细!$D$4:$D$1003,出库明细!D1326)&gt;0,COUNTIFS(出库明细!$C$4:C1326,出库明细!C1326,出库明细!$D$4:D1326,出库明细!D1326)&gt;1),"",IFERROR(MATCH(出库明细!C1326,总览汇总!$B$5:$B$304,0),900)*10000000+IFERROR(MATCH(出库明细!D1326,基础资料!$E$5:$E$104,0),900)*10000+ROW()))</f>
      </c>
      <c r="F2326">
        <f>IF(AND(出库明细!C2326&lt;&gt;"",出库明细!C2326=客户对账单!$B$4,ISNUMBER(出库明细!B2326),出库明细!B2326&gt;=客户对账单!$G$4,出库明细!B2326&lt;=客户对账单!$I$4),出库明细!B2326+ROW()/100000,"")</f>
      </c>
      <c r="H2326">
        <f>IF(AND(资金台帐!K829&lt;&gt;"",资金台帐!K829=供应商对账单!$B$4,资金台帐!P829="应付",ISNUMBER(资金台帐!B829),资金台帐!B829&gt;=供应商对账单!$G$4,资金台帐!B829&lt;=供应商对账单!$I$4),资金台帐!B829+ROW()/100000,"")</f>
      </c>
      <c r="N2326">
        <f>IF(AND(ISNUMBER(出库明细!G2326),ISNUMBER(出库明细!E2326),ISNUMBER(出库明细!F2326)),IF(ABS(出库明细!G2326-出库明细!E2326*出库明细!F2326)&gt;0.005,1,0),0)</f>
        <v>0</v>
      </c>
    </row>
    <row r="2327">
      <c r="A2327">
        <f>IF(OR(出库明细!C1327="",出库明细!D1327=""),"",IF(OR(COUNTIFS(存条明细!$C$4:$C$1003,出库明细!C1327,存条明细!$D$4:$D$1003,出库明细!D1327)&gt;0,COUNTIFS(出库明细!$C$4:C1327,出库明细!C1327,出库明细!$D$4:D1327,出库明细!D1327)&gt;1),"",IFERROR(MATCH(出库明细!C1327,总览汇总!$B$5:$B$304,0),900)*10000000+IFERROR(MATCH(出库明细!D1327,基础资料!$E$5:$E$104,0),900)*10000+ROW()))</f>
      </c>
      <c r="F2327">
        <f>IF(AND(出库明细!C2327&lt;&gt;"",出库明细!C2327=客户对账单!$B$4,ISNUMBER(出库明细!B2327),出库明细!B2327&gt;=客户对账单!$G$4,出库明细!B2327&lt;=客户对账单!$I$4),出库明细!B2327+ROW()/100000,"")</f>
      </c>
      <c r="H2327">
        <f>IF(AND(资金台帐!K830&lt;&gt;"",资金台帐!K830=供应商对账单!$B$4,资金台帐!P830="应付",ISNUMBER(资金台帐!B830),资金台帐!B830&gt;=供应商对账单!$G$4,资金台帐!B830&lt;=供应商对账单!$I$4),资金台帐!B830+ROW()/100000,"")</f>
      </c>
      <c r="N2327">
        <f>IF(AND(ISNUMBER(出库明细!G2327),ISNUMBER(出库明细!E2327),ISNUMBER(出库明细!F2327)),IF(ABS(出库明细!G2327-出库明细!E2327*出库明细!F2327)&gt;0.005,1,0),0)</f>
        <v>0</v>
      </c>
    </row>
    <row r="2328">
      <c r="A2328">
        <f>IF(OR(出库明细!C1328="",出库明细!D1328=""),"",IF(OR(COUNTIFS(存条明细!$C$4:$C$1003,出库明细!C1328,存条明细!$D$4:$D$1003,出库明细!D1328)&gt;0,COUNTIFS(出库明细!$C$4:C1328,出库明细!C1328,出库明细!$D$4:D1328,出库明细!D1328)&gt;1),"",IFERROR(MATCH(出库明细!C1328,总览汇总!$B$5:$B$304,0),900)*10000000+IFERROR(MATCH(出库明细!D1328,基础资料!$E$5:$E$104,0),900)*10000+ROW()))</f>
      </c>
      <c r="F2328">
        <f>IF(AND(出库明细!C2328&lt;&gt;"",出库明细!C2328=客户对账单!$B$4,ISNUMBER(出库明细!B2328),出库明细!B2328&gt;=客户对账单!$G$4,出库明细!B2328&lt;=客户对账单!$I$4),出库明细!B2328+ROW()/100000,"")</f>
      </c>
      <c r="H2328">
        <f>IF(AND(资金台帐!K831&lt;&gt;"",资金台帐!K831=供应商对账单!$B$4,资金台帐!P831="应付",ISNUMBER(资金台帐!B831),资金台帐!B831&gt;=供应商对账单!$G$4,资金台帐!B831&lt;=供应商对账单!$I$4),资金台帐!B831+ROW()/100000,"")</f>
      </c>
      <c r="N2328">
        <f>IF(AND(ISNUMBER(出库明细!G2328),ISNUMBER(出库明细!E2328),ISNUMBER(出库明细!F2328)),IF(ABS(出库明细!G2328-出库明细!E2328*出库明细!F2328)&gt;0.005,1,0),0)</f>
        <v>0</v>
      </c>
    </row>
    <row r="2329">
      <c r="A2329">
        <f>IF(OR(出库明细!C1329="",出库明细!D1329=""),"",IF(OR(COUNTIFS(存条明细!$C$4:$C$1003,出库明细!C1329,存条明细!$D$4:$D$1003,出库明细!D1329)&gt;0,COUNTIFS(出库明细!$C$4:C1329,出库明细!C1329,出库明细!$D$4:D1329,出库明细!D1329)&gt;1),"",IFERROR(MATCH(出库明细!C1329,总览汇总!$B$5:$B$304,0),900)*10000000+IFERROR(MATCH(出库明细!D1329,基础资料!$E$5:$E$104,0),900)*10000+ROW()))</f>
      </c>
      <c r="F2329">
        <f>IF(AND(出库明细!C2329&lt;&gt;"",出库明细!C2329=客户对账单!$B$4,ISNUMBER(出库明细!B2329),出库明细!B2329&gt;=客户对账单!$G$4,出库明细!B2329&lt;=客户对账单!$I$4),出库明细!B2329+ROW()/100000,"")</f>
      </c>
      <c r="H2329">
        <f>IF(AND(资金台帐!K832&lt;&gt;"",资金台帐!K832=供应商对账单!$B$4,资金台帐!P832="应付",ISNUMBER(资金台帐!B832),资金台帐!B832&gt;=供应商对账单!$G$4,资金台帐!B832&lt;=供应商对账单!$I$4),资金台帐!B832+ROW()/100000,"")</f>
      </c>
      <c r="N2329">
        <f>IF(AND(ISNUMBER(出库明细!G2329),ISNUMBER(出库明细!E2329),ISNUMBER(出库明细!F2329)),IF(ABS(出库明细!G2329-出库明细!E2329*出库明细!F2329)&gt;0.005,1,0),0)</f>
        <v>0</v>
      </c>
    </row>
    <row r="2330">
      <c r="A2330">
        <f>IF(OR(出库明细!C1330="",出库明细!D1330=""),"",IF(OR(COUNTIFS(存条明细!$C$4:$C$1003,出库明细!C1330,存条明细!$D$4:$D$1003,出库明细!D1330)&gt;0,COUNTIFS(出库明细!$C$4:C1330,出库明细!C1330,出库明细!$D$4:D1330,出库明细!D1330)&gt;1),"",IFERROR(MATCH(出库明细!C1330,总览汇总!$B$5:$B$304,0),900)*10000000+IFERROR(MATCH(出库明细!D1330,基础资料!$E$5:$E$104,0),900)*10000+ROW()))</f>
      </c>
      <c r="F2330">
        <f>IF(AND(出库明细!C2330&lt;&gt;"",出库明细!C2330=客户对账单!$B$4,ISNUMBER(出库明细!B2330),出库明细!B2330&gt;=客户对账单!$G$4,出库明细!B2330&lt;=客户对账单!$I$4),出库明细!B2330+ROW()/100000,"")</f>
      </c>
      <c r="H2330">
        <f>IF(AND(资金台帐!K833&lt;&gt;"",资金台帐!K833=供应商对账单!$B$4,资金台帐!P833="应付",ISNUMBER(资金台帐!B833),资金台帐!B833&gt;=供应商对账单!$G$4,资金台帐!B833&lt;=供应商对账单!$I$4),资金台帐!B833+ROW()/100000,"")</f>
      </c>
      <c r="N2330">
        <f>IF(AND(ISNUMBER(出库明细!G2330),ISNUMBER(出库明细!E2330),ISNUMBER(出库明细!F2330)),IF(ABS(出库明细!G2330-出库明细!E2330*出库明细!F2330)&gt;0.005,1,0),0)</f>
        <v>0</v>
      </c>
    </row>
    <row r="2331">
      <c r="A2331">
        <f>IF(OR(出库明细!C1331="",出库明细!D1331=""),"",IF(OR(COUNTIFS(存条明细!$C$4:$C$1003,出库明细!C1331,存条明细!$D$4:$D$1003,出库明细!D1331)&gt;0,COUNTIFS(出库明细!$C$4:C1331,出库明细!C1331,出库明细!$D$4:D1331,出库明细!D1331)&gt;1),"",IFERROR(MATCH(出库明细!C1331,总览汇总!$B$5:$B$304,0),900)*10000000+IFERROR(MATCH(出库明细!D1331,基础资料!$E$5:$E$104,0),900)*10000+ROW()))</f>
      </c>
      <c r="F2331">
        <f>IF(AND(出库明细!C2331&lt;&gt;"",出库明细!C2331=客户对账单!$B$4,ISNUMBER(出库明细!B2331),出库明细!B2331&gt;=客户对账单!$G$4,出库明细!B2331&lt;=客户对账单!$I$4),出库明细!B2331+ROW()/100000,"")</f>
      </c>
      <c r="H2331">
        <f>IF(AND(资金台帐!K834&lt;&gt;"",资金台帐!K834=供应商对账单!$B$4,资金台帐!P834="应付",ISNUMBER(资金台帐!B834),资金台帐!B834&gt;=供应商对账单!$G$4,资金台帐!B834&lt;=供应商对账单!$I$4),资金台帐!B834+ROW()/100000,"")</f>
      </c>
      <c r="N2331">
        <f>IF(AND(ISNUMBER(出库明细!G2331),ISNUMBER(出库明细!E2331),ISNUMBER(出库明细!F2331)),IF(ABS(出库明细!G2331-出库明细!E2331*出库明细!F2331)&gt;0.005,1,0),0)</f>
        <v>0</v>
      </c>
    </row>
    <row r="2332">
      <c r="A2332">
        <f>IF(OR(出库明细!C1332="",出库明细!D1332=""),"",IF(OR(COUNTIFS(存条明细!$C$4:$C$1003,出库明细!C1332,存条明细!$D$4:$D$1003,出库明细!D1332)&gt;0,COUNTIFS(出库明细!$C$4:C1332,出库明细!C1332,出库明细!$D$4:D1332,出库明细!D1332)&gt;1),"",IFERROR(MATCH(出库明细!C1332,总览汇总!$B$5:$B$304,0),900)*10000000+IFERROR(MATCH(出库明细!D1332,基础资料!$E$5:$E$104,0),900)*10000+ROW()))</f>
      </c>
      <c r="F2332">
        <f>IF(AND(出库明细!C2332&lt;&gt;"",出库明细!C2332=客户对账单!$B$4,ISNUMBER(出库明细!B2332),出库明细!B2332&gt;=客户对账单!$G$4,出库明细!B2332&lt;=客户对账单!$I$4),出库明细!B2332+ROW()/100000,"")</f>
      </c>
      <c r="H2332">
        <f>IF(AND(资金台帐!K835&lt;&gt;"",资金台帐!K835=供应商对账单!$B$4,资金台帐!P835="应付",ISNUMBER(资金台帐!B835),资金台帐!B835&gt;=供应商对账单!$G$4,资金台帐!B835&lt;=供应商对账单!$I$4),资金台帐!B835+ROW()/100000,"")</f>
      </c>
      <c r="N2332">
        <f>IF(AND(ISNUMBER(出库明细!G2332),ISNUMBER(出库明细!E2332),ISNUMBER(出库明细!F2332)),IF(ABS(出库明细!G2332-出库明细!E2332*出库明细!F2332)&gt;0.005,1,0),0)</f>
        <v>0</v>
      </c>
    </row>
    <row r="2333">
      <c r="A2333">
        <f>IF(OR(出库明细!C1333="",出库明细!D1333=""),"",IF(OR(COUNTIFS(存条明细!$C$4:$C$1003,出库明细!C1333,存条明细!$D$4:$D$1003,出库明细!D1333)&gt;0,COUNTIFS(出库明细!$C$4:C1333,出库明细!C1333,出库明细!$D$4:D1333,出库明细!D1333)&gt;1),"",IFERROR(MATCH(出库明细!C1333,总览汇总!$B$5:$B$304,0),900)*10000000+IFERROR(MATCH(出库明细!D1333,基础资料!$E$5:$E$104,0),900)*10000+ROW()))</f>
      </c>
      <c r="F2333">
        <f>IF(AND(出库明细!C2333&lt;&gt;"",出库明细!C2333=客户对账单!$B$4,ISNUMBER(出库明细!B2333),出库明细!B2333&gt;=客户对账单!$G$4,出库明细!B2333&lt;=客户对账单!$I$4),出库明细!B2333+ROW()/100000,"")</f>
      </c>
      <c r="H2333">
        <f>IF(AND(资金台帐!K836&lt;&gt;"",资金台帐!K836=供应商对账单!$B$4,资金台帐!P836="应付",ISNUMBER(资金台帐!B836),资金台帐!B836&gt;=供应商对账单!$G$4,资金台帐!B836&lt;=供应商对账单!$I$4),资金台帐!B836+ROW()/100000,"")</f>
      </c>
      <c r="N2333">
        <f>IF(AND(ISNUMBER(出库明细!G2333),ISNUMBER(出库明细!E2333),ISNUMBER(出库明细!F2333)),IF(ABS(出库明细!G2333-出库明细!E2333*出库明细!F2333)&gt;0.005,1,0),0)</f>
        <v>0</v>
      </c>
    </row>
    <row r="2334">
      <c r="A2334">
        <f>IF(OR(出库明细!C1334="",出库明细!D1334=""),"",IF(OR(COUNTIFS(存条明细!$C$4:$C$1003,出库明细!C1334,存条明细!$D$4:$D$1003,出库明细!D1334)&gt;0,COUNTIFS(出库明细!$C$4:C1334,出库明细!C1334,出库明细!$D$4:D1334,出库明细!D1334)&gt;1),"",IFERROR(MATCH(出库明细!C1334,总览汇总!$B$5:$B$304,0),900)*10000000+IFERROR(MATCH(出库明细!D1334,基础资料!$E$5:$E$104,0),900)*10000+ROW()))</f>
      </c>
      <c r="F2334">
        <f>IF(AND(出库明细!C2334&lt;&gt;"",出库明细!C2334=客户对账单!$B$4,ISNUMBER(出库明细!B2334),出库明细!B2334&gt;=客户对账单!$G$4,出库明细!B2334&lt;=客户对账单!$I$4),出库明细!B2334+ROW()/100000,"")</f>
      </c>
      <c r="H2334">
        <f>IF(AND(资金台帐!K837&lt;&gt;"",资金台帐!K837=供应商对账单!$B$4,资金台帐!P837="应付",ISNUMBER(资金台帐!B837),资金台帐!B837&gt;=供应商对账单!$G$4,资金台帐!B837&lt;=供应商对账单!$I$4),资金台帐!B837+ROW()/100000,"")</f>
      </c>
      <c r="N2334">
        <f>IF(AND(ISNUMBER(出库明细!G2334),ISNUMBER(出库明细!E2334),ISNUMBER(出库明细!F2334)),IF(ABS(出库明细!G2334-出库明细!E2334*出库明细!F2334)&gt;0.005,1,0),0)</f>
        <v>0</v>
      </c>
    </row>
    <row r="2335">
      <c r="A2335">
        <f>IF(OR(出库明细!C1335="",出库明细!D1335=""),"",IF(OR(COUNTIFS(存条明细!$C$4:$C$1003,出库明细!C1335,存条明细!$D$4:$D$1003,出库明细!D1335)&gt;0,COUNTIFS(出库明细!$C$4:C1335,出库明细!C1335,出库明细!$D$4:D1335,出库明细!D1335)&gt;1),"",IFERROR(MATCH(出库明细!C1335,总览汇总!$B$5:$B$304,0),900)*10000000+IFERROR(MATCH(出库明细!D1335,基础资料!$E$5:$E$104,0),900)*10000+ROW()))</f>
      </c>
      <c r="F2335">
        <f>IF(AND(出库明细!C2335&lt;&gt;"",出库明细!C2335=客户对账单!$B$4,ISNUMBER(出库明细!B2335),出库明细!B2335&gt;=客户对账单!$G$4,出库明细!B2335&lt;=客户对账单!$I$4),出库明细!B2335+ROW()/100000,"")</f>
      </c>
      <c r="H2335">
        <f>IF(AND(资金台帐!K838&lt;&gt;"",资金台帐!K838=供应商对账单!$B$4,资金台帐!P838="应付",ISNUMBER(资金台帐!B838),资金台帐!B838&gt;=供应商对账单!$G$4,资金台帐!B838&lt;=供应商对账单!$I$4),资金台帐!B838+ROW()/100000,"")</f>
      </c>
      <c r="N2335">
        <f>IF(AND(ISNUMBER(出库明细!G2335),ISNUMBER(出库明细!E2335),ISNUMBER(出库明细!F2335)),IF(ABS(出库明细!G2335-出库明细!E2335*出库明细!F2335)&gt;0.005,1,0),0)</f>
        <v>0</v>
      </c>
    </row>
    <row r="2336">
      <c r="A2336">
        <f>IF(OR(出库明细!C1336="",出库明细!D1336=""),"",IF(OR(COUNTIFS(存条明细!$C$4:$C$1003,出库明细!C1336,存条明细!$D$4:$D$1003,出库明细!D1336)&gt;0,COUNTIFS(出库明细!$C$4:C1336,出库明细!C1336,出库明细!$D$4:D1336,出库明细!D1336)&gt;1),"",IFERROR(MATCH(出库明细!C1336,总览汇总!$B$5:$B$304,0),900)*10000000+IFERROR(MATCH(出库明细!D1336,基础资料!$E$5:$E$104,0),900)*10000+ROW()))</f>
      </c>
      <c r="F2336">
        <f>IF(AND(出库明细!C2336&lt;&gt;"",出库明细!C2336=客户对账单!$B$4,ISNUMBER(出库明细!B2336),出库明细!B2336&gt;=客户对账单!$G$4,出库明细!B2336&lt;=客户对账单!$I$4),出库明细!B2336+ROW()/100000,"")</f>
      </c>
      <c r="H2336">
        <f>IF(AND(资金台帐!K839&lt;&gt;"",资金台帐!K839=供应商对账单!$B$4,资金台帐!P839="应付",ISNUMBER(资金台帐!B839),资金台帐!B839&gt;=供应商对账单!$G$4,资金台帐!B839&lt;=供应商对账单!$I$4),资金台帐!B839+ROW()/100000,"")</f>
      </c>
      <c r="N2336">
        <f>IF(AND(ISNUMBER(出库明细!G2336),ISNUMBER(出库明细!E2336),ISNUMBER(出库明细!F2336)),IF(ABS(出库明细!G2336-出库明细!E2336*出库明细!F2336)&gt;0.005,1,0),0)</f>
        <v>0</v>
      </c>
    </row>
    <row r="2337">
      <c r="A2337">
        <f>IF(OR(出库明细!C1337="",出库明细!D1337=""),"",IF(OR(COUNTIFS(存条明细!$C$4:$C$1003,出库明细!C1337,存条明细!$D$4:$D$1003,出库明细!D1337)&gt;0,COUNTIFS(出库明细!$C$4:C1337,出库明细!C1337,出库明细!$D$4:D1337,出库明细!D1337)&gt;1),"",IFERROR(MATCH(出库明细!C1337,总览汇总!$B$5:$B$304,0),900)*10000000+IFERROR(MATCH(出库明细!D1337,基础资料!$E$5:$E$104,0),900)*10000+ROW()))</f>
      </c>
      <c r="F2337">
        <f>IF(AND(出库明细!C2337&lt;&gt;"",出库明细!C2337=客户对账单!$B$4,ISNUMBER(出库明细!B2337),出库明细!B2337&gt;=客户对账单!$G$4,出库明细!B2337&lt;=客户对账单!$I$4),出库明细!B2337+ROW()/100000,"")</f>
      </c>
      <c r="H2337">
        <f>IF(AND(资金台帐!K840&lt;&gt;"",资金台帐!K840=供应商对账单!$B$4,资金台帐!P840="应付",ISNUMBER(资金台帐!B840),资金台帐!B840&gt;=供应商对账单!$G$4,资金台帐!B840&lt;=供应商对账单!$I$4),资金台帐!B840+ROW()/100000,"")</f>
      </c>
      <c r="N2337">
        <f>IF(AND(ISNUMBER(出库明细!G2337),ISNUMBER(出库明细!E2337),ISNUMBER(出库明细!F2337)),IF(ABS(出库明细!G2337-出库明细!E2337*出库明细!F2337)&gt;0.005,1,0),0)</f>
        <v>0</v>
      </c>
    </row>
    <row r="2338">
      <c r="A2338">
        <f>IF(OR(出库明细!C1338="",出库明细!D1338=""),"",IF(OR(COUNTIFS(存条明细!$C$4:$C$1003,出库明细!C1338,存条明细!$D$4:$D$1003,出库明细!D1338)&gt;0,COUNTIFS(出库明细!$C$4:C1338,出库明细!C1338,出库明细!$D$4:D1338,出库明细!D1338)&gt;1),"",IFERROR(MATCH(出库明细!C1338,总览汇总!$B$5:$B$304,0),900)*10000000+IFERROR(MATCH(出库明细!D1338,基础资料!$E$5:$E$104,0),900)*10000+ROW()))</f>
      </c>
      <c r="F2338">
        <f>IF(AND(出库明细!C2338&lt;&gt;"",出库明细!C2338=客户对账单!$B$4,ISNUMBER(出库明细!B2338),出库明细!B2338&gt;=客户对账单!$G$4,出库明细!B2338&lt;=客户对账单!$I$4),出库明细!B2338+ROW()/100000,"")</f>
      </c>
      <c r="H2338">
        <f>IF(AND(资金台帐!K841&lt;&gt;"",资金台帐!K841=供应商对账单!$B$4,资金台帐!P841="应付",ISNUMBER(资金台帐!B841),资金台帐!B841&gt;=供应商对账单!$G$4,资金台帐!B841&lt;=供应商对账单!$I$4),资金台帐!B841+ROW()/100000,"")</f>
      </c>
      <c r="N2338">
        <f>IF(AND(ISNUMBER(出库明细!G2338),ISNUMBER(出库明细!E2338),ISNUMBER(出库明细!F2338)),IF(ABS(出库明细!G2338-出库明细!E2338*出库明细!F2338)&gt;0.005,1,0),0)</f>
        <v>0</v>
      </c>
    </row>
    <row r="2339">
      <c r="A2339">
        <f>IF(OR(出库明细!C1339="",出库明细!D1339=""),"",IF(OR(COUNTIFS(存条明细!$C$4:$C$1003,出库明细!C1339,存条明细!$D$4:$D$1003,出库明细!D1339)&gt;0,COUNTIFS(出库明细!$C$4:C1339,出库明细!C1339,出库明细!$D$4:D1339,出库明细!D1339)&gt;1),"",IFERROR(MATCH(出库明细!C1339,总览汇总!$B$5:$B$304,0),900)*10000000+IFERROR(MATCH(出库明细!D1339,基础资料!$E$5:$E$104,0),900)*10000+ROW()))</f>
      </c>
      <c r="F2339">
        <f>IF(AND(出库明细!C2339&lt;&gt;"",出库明细!C2339=客户对账单!$B$4,ISNUMBER(出库明细!B2339),出库明细!B2339&gt;=客户对账单!$G$4,出库明细!B2339&lt;=客户对账单!$I$4),出库明细!B2339+ROW()/100000,"")</f>
      </c>
      <c r="H2339">
        <f>IF(AND(资金台帐!K842&lt;&gt;"",资金台帐!K842=供应商对账单!$B$4,资金台帐!P842="应付",ISNUMBER(资金台帐!B842),资金台帐!B842&gt;=供应商对账单!$G$4,资金台帐!B842&lt;=供应商对账单!$I$4),资金台帐!B842+ROW()/100000,"")</f>
      </c>
      <c r="N2339">
        <f>IF(AND(ISNUMBER(出库明细!G2339),ISNUMBER(出库明细!E2339),ISNUMBER(出库明细!F2339)),IF(ABS(出库明细!G2339-出库明细!E2339*出库明细!F2339)&gt;0.005,1,0),0)</f>
        <v>0</v>
      </c>
    </row>
    <row r="2340">
      <c r="A2340">
        <f>IF(OR(出库明细!C1340="",出库明细!D1340=""),"",IF(OR(COUNTIFS(存条明细!$C$4:$C$1003,出库明细!C1340,存条明细!$D$4:$D$1003,出库明细!D1340)&gt;0,COUNTIFS(出库明细!$C$4:C1340,出库明细!C1340,出库明细!$D$4:D1340,出库明细!D1340)&gt;1),"",IFERROR(MATCH(出库明细!C1340,总览汇总!$B$5:$B$304,0),900)*10000000+IFERROR(MATCH(出库明细!D1340,基础资料!$E$5:$E$104,0),900)*10000+ROW()))</f>
      </c>
      <c r="F2340">
        <f>IF(AND(出库明细!C2340&lt;&gt;"",出库明细!C2340=客户对账单!$B$4,ISNUMBER(出库明细!B2340),出库明细!B2340&gt;=客户对账单!$G$4,出库明细!B2340&lt;=客户对账单!$I$4),出库明细!B2340+ROW()/100000,"")</f>
      </c>
      <c r="H2340">
        <f>IF(AND(资金台帐!K843&lt;&gt;"",资金台帐!K843=供应商对账单!$B$4,资金台帐!P843="应付",ISNUMBER(资金台帐!B843),资金台帐!B843&gt;=供应商对账单!$G$4,资金台帐!B843&lt;=供应商对账单!$I$4),资金台帐!B843+ROW()/100000,"")</f>
      </c>
      <c r="N2340">
        <f>IF(AND(ISNUMBER(出库明细!G2340),ISNUMBER(出库明细!E2340),ISNUMBER(出库明细!F2340)),IF(ABS(出库明细!G2340-出库明细!E2340*出库明细!F2340)&gt;0.005,1,0),0)</f>
        <v>0</v>
      </c>
    </row>
    <row r="2341">
      <c r="A2341">
        <f>IF(OR(出库明细!C1341="",出库明细!D1341=""),"",IF(OR(COUNTIFS(存条明细!$C$4:$C$1003,出库明细!C1341,存条明细!$D$4:$D$1003,出库明细!D1341)&gt;0,COUNTIFS(出库明细!$C$4:C1341,出库明细!C1341,出库明细!$D$4:D1341,出库明细!D1341)&gt;1),"",IFERROR(MATCH(出库明细!C1341,总览汇总!$B$5:$B$304,0),900)*10000000+IFERROR(MATCH(出库明细!D1341,基础资料!$E$5:$E$104,0),900)*10000+ROW()))</f>
      </c>
      <c r="F2341">
        <f>IF(AND(出库明细!C2341&lt;&gt;"",出库明细!C2341=客户对账单!$B$4,ISNUMBER(出库明细!B2341),出库明细!B2341&gt;=客户对账单!$G$4,出库明细!B2341&lt;=客户对账单!$I$4),出库明细!B2341+ROW()/100000,"")</f>
      </c>
      <c r="H2341">
        <f>IF(AND(资金台帐!K844&lt;&gt;"",资金台帐!K844=供应商对账单!$B$4,资金台帐!P844="应付",ISNUMBER(资金台帐!B844),资金台帐!B844&gt;=供应商对账单!$G$4,资金台帐!B844&lt;=供应商对账单!$I$4),资金台帐!B844+ROW()/100000,"")</f>
      </c>
      <c r="N2341">
        <f>IF(AND(ISNUMBER(出库明细!G2341),ISNUMBER(出库明细!E2341),ISNUMBER(出库明细!F2341)),IF(ABS(出库明细!G2341-出库明细!E2341*出库明细!F2341)&gt;0.005,1,0),0)</f>
        <v>0</v>
      </c>
    </row>
    <row r="2342">
      <c r="A2342">
        <f>IF(OR(出库明细!C1342="",出库明细!D1342=""),"",IF(OR(COUNTIFS(存条明细!$C$4:$C$1003,出库明细!C1342,存条明细!$D$4:$D$1003,出库明细!D1342)&gt;0,COUNTIFS(出库明细!$C$4:C1342,出库明细!C1342,出库明细!$D$4:D1342,出库明细!D1342)&gt;1),"",IFERROR(MATCH(出库明细!C1342,总览汇总!$B$5:$B$304,0),900)*10000000+IFERROR(MATCH(出库明细!D1342,基础资料!$E$5:$E$104,0),900)*10000+ROW()))</f>
      </c>
      <c r="F2342">
        <f>IF(AND(出库明细!C2342&lt;&gt;"",出库明细!C2342=客户对账单!$B$4,ISNUMBER(出库明细!B2342),出库明细!B2342&gt;=客户对账单!$G$4,出库明细!B2342&lt;=客户对账单!$I$4),出库明细!B2342+ROW()/100000,"")</f>
      </c>
      <c r="H2342">
        <f>IF(AND(资金台帐!K845&lt;&gt;"",资金台帐!K845=供应商对账单!$B$4,资金台帐!P845="应付",ISNUMBER(资金台帐!B845),资金台帐!B845&gt;=供应商对账单!$G$4,资金台帐!B845&lt;=供应商对账单!$I$4),资金台帐!B845+ROW()/100000,"")</f>
      </c>
      <c r="N2342">
        <f>IF(AND(ISNUMBER(出库明细!G2342),ISNUMBER(出库明细!E2342),ISNUMBER(出库明细!F2342)),IF(ABS(出库明细!G2342-出库明细!E2342*出库明细!F2342)&gt;0.005,1,0),0)</f>
        <v>0</v>
      </c>
    </row>
    <row r="2343">
      <c r="A2343">
        <f>IF(OR(出库明细!C1343="",出库明细!D1343=""),"",IF(OR(COUNTIFS(存条明细!$C$4:$C$1003,出库明细!C1343,存条明细!$D$4:$D$1003,出库明细!D1343)&gt;0,COUNTIFS(出库明细!$C$4:C1343,出库明细!C1343,出库明细!$D$4:D1343,出库明细!D1343)&gt;1),"",IFERROR(MATCH(出库明细!C1343,总览汇总!$B$5:$B$304,0),900)*10000000+IFERROR(MATCH(出库明细!D1343,基础资料!$E$5:$E$104,0),900)*10000+ROW()))</f>
      </c>
      <c r="F2343">
        <f>IF(AND(出库明细!C2343&lt;&gt;"",出库明细!C2343=客户对账单!$B$4,ISNUMBER(出库明细!B2343),出库明细!B2343&gt;=客户对账单!$G$4,出库明细!B2343&lt;=客户对账单!$I$4),出库明细!B2343+ROW()/100000,"")</f>
      </c>
      <c r="H2343">
        <f>IF(AND(资金台帐!K846&lt;&gt;"",资金台帐!K846=供应商对账单!$B$4,资金台帐!P846="应付",ISNUMBER(资金台帐!B846),资金台帐!B846&gt;=供应商对账单!$G$4,资金台帐!B846&lt;=供应商对账单!$I$4),资金台帐!B846+ROW()/100000,"")</f>
      </c>
      <c r="N2343">
        <f>IF(AND(ISNUMBER(出库明细!G2343),ISNUMBER(出库明细!E2343),ISNUMBER(出库明细!F2343)),IF(ABS(出库明细!G2343-出库明细!E2343*出库明细!F2343)&gt;0.005,1,0),0)</f>
        <v>0</v>
      </c>
    </row>
    <row r="2344">
      <c r="A2344">
        <f>IF(OR(出库明细!C1344="",出库明细!D1344=""),"",IF(OR(COUNTIFS(存条明细!$C$4:$C$1003,出库明细!C1344,存条明细!$D$4:$D$1003,出库明细!D1344)&gt;0,COUNTIFS(出库明细!$C$4:C1344,出库明细!C1344,出库明细!$D$4:D1344,出库明细!D1344)&gt;1),"",IFERROR(MATCH(出库明细!C1344,总览汇总!$B$5:$B$304,0),900)*10000000+IFERROR(MATCH(出库明细!D1344,基础资料!$E$5:$E$104,0),900)*10000+ROW()))</f>
      </c>
      <c r="F2344">
        <f>IF(AND(出库明细!C2344&lt;&gt;"",出库明细!C2344=客户对账单!$B$4,ISNUMBER(出库明细!B2344),出库明细!B2344&gt;=客户对账单!$G$4,出库明细!B2344&lt;=客户对账单!$I$4),出库明细!B2344+ROW()/100000,"")</f>
      </c>
      <c r="H2344">
        <f>IF(AND(资金台帐!K847&lt;&gt;"",资金台帐!K847=供应商对账单!$B$4,资金台帐!P847="应付",ISNUMBER(资金台帐!B847),资金台帐!B847&gt;=供应商对账单!$G$4,资金台帐!B847&lt;=供应商对账单!$I$4),资金台帐!B847+ROW()/100000,"")</f>
      </c>
      <c r="N2344">
        <f>IF(AND(ISNUMBER(出库明细!G2344),ISNUMBER(出库明细!E2344),ISNUMBER(出库明细!F2344)),IF(ABS(出库明细!G2344-出库明细!E2344*出库明细!F2344)&gt;0.005,1,0),0)</f>
        <v>0</v>
      </c>
    </row>
    <row r="2345">
      <c r="A2345">
        <f>IF(OR(出库明细!C1345="",出库明细!D1345=""),"",IF(OR(COUNTIFS(存条明细!$C$4:$C$1003,出库明细!C1345,存条明细!$D$4:$D$1003,出库明细!D1345)&gt;0,COUNTIFS(出库明细!$C$4:C1345,出库明细!C1345,出库明细!$D$4:D1345,出库明细!D1345)&gt;1),"",IFERROR(MATCH(出库明细!C1345,总览汇总!$B$5:$B$304,0),900)*10000000+IFERROR(MATCH(出库明细!D1345,基础资料!$E$5:$E$104,0),900)*10000+ROW()))</f>
      </c>
      <c r="F2345">
        <f>IF(AND(出库明细!C2345&lt;&gt;"",出库明细!C2345=客户对账单!$B$4,ISNUMBER(出库明细!B2345),出库明细!B2345&gt;=客户对账单!$G$4,出库明细!B2345&lt;=客户对账单!$I$4),出库明细!B2345+ROW()/100000,"")</f>
      </c>
      <c r="H2345">
        <f>IF(AND(资金台帐!K848&lt;&gt;"",资金台帐!K848=供应商对账单!$B$4,资金台帐!P848="应付",ISNUMBER(资金台帐!B848),资金台帐!B848&gt;=供应商对账单!$G$4,资金台帐!B848&lt;=供应商对账单!$I$4),资金台帐!B848+ROW()/100000,"")</f>
      </c>
      <c r="N2345">
        <f>IF(AND(ISNUMBER(出库明细!G2345),ISNUMBER(出库明细!E2345),ISNUMBER(出库明细!F2345)),IF(ABS(出库明细!G2345-出库明细!E2345*出库明细!F2345)&gt;0.005,1,0),0)</f>
        <v>0</v>
      </c>
    </row>
    <row r="2346">
      <c r="A2346">
        <f>IF(OR(出库明细!C1346="",出库明细!D1346=""),"",IF(OR(COUNTIFS(存条明细!$C$4:$C$1003,出库明细!C1346,存条明细!$D$4:$D$1003,出库明细!D1346)&gt;0,COUNTIFS(出库明细!$C$4:C1346,出库明细!C1346,出库明细!$D$4:D1346,出库明细!D1346)&gt;1),"",IFERROR(MATCH(出库明细!C1346,总览汇总!$B$5:$B$304,0),900)*10000000+IFERROR(MATCH(出库明细!D1346,基础资料!$E$5:$E$104,0),900)*10000+ROW()))</f>
      </c>
      <c r="F2346">
        <f>IF(AND(出库明细!C2346&lt;&gt;"",出库明细!C2346=客户对账单!$B$4,ISNUMBER(出库明细!B2346),出库明细!B2346&gt;=客户对账单!$G$4,出库明细!B2346&lt;=客户对账单!$I$4),出库明细!B2346+ROW()/100000,"")</f>
      </c>
      <c r="H2346">
        <f>IF(AND(资金台帐!K849&lt;&gt;"",资金台帐!K849=供应商对账单!$B$4,资金台帐!P849="应付",ISNUMBER(资金台帐!B849),资金台帐!B849&gt;=供应商对账单!$G$4,资金台帐!B849&lt;=供应商对账单!$I$4),资金台帐!B849+ROW()/100000,"")</f>
      </c>
      <c r="N2346">
        <f>IF(AND(ISNUMBER(出库明细!G2346),ISNUMBER(出库明细!E2346),ISNUMBER(出库明细!F2346)),IF(ABS(出库明细!G2346-出库明细!E2346*出库明细!F2346)&gt;0.005,1,0),0)</f>
        <v>0</v>
      </c>
    </row>
    <row r="2347">
      <c r="A2347">
        <f>IF(OR(出库明细!C1347="",出库明细!D1347=""),"",IF(OR(COUNTIFS(存条明细!$C$4:$C$1003,出库明细!C1347,存条明细!$D$4:$D$1003,出库明细!D1347)&gt;0,COUNTIFS(出库明细!$C$4:C1347,出库明细!C1347,出库明细!$D$4:D1347,出库明细!D1347)&gt;1),"",IFERROR(MATCH(出库明细!C1347,总览汇总!$B$5:$B$304,0),900)*10000000+IFERROR(MATCH(出库明细!D1347,基础资料!$E$5:$E$104,0),900)*10000+ROW()))</f>
      </c>
      <c r="F2347">
        <f>IF(AND(出库明细!C2347&lt;&gt;"",出库明细!C2347=客户对账单!$B$4,ISNUMBER(出库明细!B2347),出库明细!B2347&gt;=客户对账单!$G$4,出库明细!B2347&lt;=客户对账单!$I$4),出库明细!B2347+ROW()/100000,"")</f>
      </c>
      <c r="H2347">
        <f>IF(AND(资金台帐!K850&lt;&gt;"",资金台帐!K850=供应商对账单!$B$4,资金台帐!P850="应付",ISNUMBER(资金台帐!B850),资金台帐!B850&gt;=供应商对账单!$G$4,资金台帐!B850&lt;=供应商对账单!$I$4),资金台帐!B850+ROW()/100000,"")</f>
      </c>
      <c r="N2347">
        <f>IF(AND(ISNUMBER(出库明细!G2347),ISNUMBER(出库明细!E2347),ISNUMBER(出库明细!F2347)),IF(ABS(出库明细!G2347-出库明细!E2347*出库明细!F2347)&gt;0.005,1,0),0)</f>
        <v>0</v>
      </c>
    </row>
    <row r="2348">
      <c r="A2348">
        <f>IF(OR(出库明细!C1348="",出库明细!D1348=""),"",IF(OR(COUNTIFS(存条明细!$C$4:$C$1003,出库明细!C1348,存条明细!$D$4:$D$1003,出库明细!D1348)&gt;0,COUNTIFS(出库明细!$C$4:C1348,出库明细!C1348,出库明细!$D$4:D1348,出库明细!D1348)&gt;1),"",IFERROR(MATCH(出库明细!C1348,总览汇总!$B$5:$B$304,0),900)*10000000+IFERROR(MATCH(出库明细!D1348,基础资料!$E$5:$E$104,0),900)*10000+ROW()))</f>
      </c>
      <c r="F2348">
        <f>IF(AND(出库明细!C2348&lt;&gt;"",出库明细!C2348=客户对账单!$B$4,ISNUMBER(出库明细!B2348),出库明细!B2348&gt;=客户对账单!$G$4,出库明细!B2348&lt;=客户对账单!$I$4),出库明细!B2348+ROW()/100000,"")</f>
      </c>
      <c r="H2348">
        <f>IF(AND(资金台帐!K851&lt;&gt;"",资金台帐!K851=供应商对账单!$B$4,资金台帐!P851="应付",ISNUMBER(资金台帐!B851),资金台帐!B851&gt;=供应商对账单!$G$4,资金台帐!B851&lt;=供应商对账单!$I$4),资金台帐!B851+ROW()/100000,"")</f>
      </c>
      <c r="N2348">
        <f>IF(AND(ISNUMBER(出库明细!G2348),ISNUMBER(出库明细!E2348),ISNUMBER(出库明细!F2348)),IF(ABS(出库明细!G2348-出库明细!E2348*出库明细!F2348)&gt;0.005,1,0),0)</f>
        <v>0</v>
      </c>
    </row>
    <row r="2349">
      <c r="A2349">
        <f>IF(OR(出库明细!C1349="",出库明细!D1349=""),"",IF(OR(COUNTIFS(存条明细!$C$4:$C$1003,出库明细!C1349,存条明细!$D$4:$D$1003,出库明细!D1349)&gt;0,COUNTIFS(出库明细!$C$4:C1349,出库明细!C1349,出库明细!$D$4:D1349,出库明细!D1349)&gt;1),"",IFERROR(MATCH(出库明细!C1349,总览汇总!$B$5:$B$304,0),900)*10000000+IFERROR(MATCH(出库明细!D1349,基础资料!$E$5:$E$104,0),900)*10000+ROW()))</f>
      </c>
      <c r="F2349">
        <f>IF(AND(出库明细!C2349&lt;&gt;"",出库明细!C2349=客户对账单!$B$4,ISNUMBER(出库明细!B2349),出库明细!B2349&gt;=客户对账单!$G$4,出库明细!B2349&lt;=客户对账单!$I$4),出库明细!B2349+ROW()/100000,"")</f>
      </c>
      <c r="H2349">
        <f>IF(AND(资金台帐!K852&lt;&gt;"",资金台帐!K852=供应商对账单!$B$4,资金台帐!P852="应付",ISNUMBER(资金台帐!B852),资金台帐!B852&gt;=供应商对账单!$G$4,资金台帐!B852&lt;=供应商对账单!$I$4),资金台帐!B852+ROW()/100000,"")</f>
      </c>
      <c r="N2349">
        <f>IF(AND(ISNUMBER(出库明细!G2349),ISNUMBER(出库明细!E2349),ISNUMBER(出库明细!F2349)),IF(ABS(出库明细!G2349-出库明细!E2349*出库明细!F2349)&gt;0.005,1,0),0)</f>
        <v>0</v>
      </c>
    </row>
    <row r="2350">
      <c r="A2350">
        <f>IF(OR(出库明细!C1350="",出库明细!D1350=""),"",IF(OR(COUNTIFS(存条明细!$C$4:$C$1003,出库明细!C1350,存条明细!$D$4:$D$1003,出库明细!D1350)&gt;0,COUNTIFS(出库明细!$C$4:C1350,出库明细!C1350,出库明细!$D$4:D1350,出库明细!D1350)&gt;1),"",IFERROR(MATCH(出库明细!C1350,总览汇总!$B$5:$B$304,0),900)*10000000+IFERROR(MATCH(出库明细!D1350,基础资料!$E$5:$E$104,0),900)*10000+ROW()))</f>
      </c>
      <c r="F2350">
        <f>IF(AND(出库明细!C2350&lt;&gt;"",出库明细!C2350=客户对账单!$B$4,ISNUMBER(出库明细!B2350),出库明细!B2350&gt;=客户对账单!$G$4,出库明细!B2350&lt;=客户对账单!$I$4),出库明细!B2350+ROW()/100000,"")</f>
      </c>
      <c r="H2350">
        <f>IF(AND(资金台帐!K853&lt;&gt;"",资金台帐!K853=供应商对账单!$B$4,资金台帐!P853="应付",ISNUMBER(资金台帐!B853),资金台帐!B853&gt;=供应商对账单!$G$4,资金台帐!B853&lt;=供应商对账单!$I$4),资金台帐!B853+ROW()/100000,"")</f>
      </c>
      <c r="N2350">
        <f>IF(AND(ISNUMBER(出库明细!G2350),ISNUMBER(出库明细!E2350),ISNUMBER(出库明细!F2350)),IF(ABS(出库明细!G2350-出库明细!E2350*出库明细!F2350)&gt;0.005,1,0),0)</f>
        <v>0</v>
      </c>
    </row>
    <row r="2351">
      <c r="A2351">
        <f>IF(OR(出库明细!C1351="",出库明细!D1351=""),"",IF(OR(COUNTIFS(存条明细!$C$4:$C$1003,出库明细!C1351,存条明细!$D$4:$D$1003,出库明细!D1351)&gt;0,COUNTIFS(出库明细!$C$4:C1351,出库明细!C1351,出库明细!$D$4:D1351,出库明细!D1351)&gt;1),"",IFERROR(MATCH(出库明细!C1351,总览汇总!$B$5:$B$304,0),900)*10000000+IFERROR(MATCH(出库明细!D1351,基础资料!$E$5:$E$104,0),900)*10000+ROW()))</f>
      </c>
      <c r="F2351">
        <f>IF(AND(出库明细!C2351&lt;&gt;"",出库明细!C2351=客户对账单!$B$4,ISNUMBER(出库明细!B2351),出库明细!B2351&gt;=客户对账单!$G$4,出库明细!B2351&lt;=客户对账单!$I$4),出库明细!B2351+ROW()/100000,"")</f>
      </c>
      <c r="H2351">
        <f>IF(AND(资金台帐!K854&lt;&gt;"",资金台帐!K854=供应商对账单!$B$4,资金台帐!P854="应付",ISNUMBER(资金台帐!B854),资金台帐!B854&gt;=供应商对账单!$G$4,资金台帐!B854&lt;=供应商对账单!$I$4),资金台帐!B854+ROW()/100000,"")</f>
      </c>
      <c r="N2351">
        <f>IF(AND(ISNUMBER(出库明细!G2351),ISNUMBER(出库明细!E2351),ISNUMBER(出库明细!F2351)),IF(ABS(出库明细!G2351-出库明细!E2351*出库明细!F2351)&gt;0.005,1,0),0)</f>
        <v>0</v>
      </c>
    </row>
    <row r="2352">
      <c r="A2352">
        <f>IF(OR(出库明细!C1352="",出库明细!D1352=""),"",IF(OR(COUNTIFS(存条明细!$C$4:$C$1003,出库明细!C1352,存条明细!$D$4:$D$1003,出库明细!D1352)&gt;0,COUNTIFS(出库明细!$C$4:C1352,出库明细!C1352,出库明细!$D$4:D1352,出库明细!D1352)&gt;1),"",IFERROR(MATCH(出库明细!C1352,总览汇总!$B$5:$B$304,0),900)*10000000+IFERROR(MATCH(出库明细!D1352,基础资料!$E$5:$E$104,0),900)*10000+ROW()))</f>
      </c>
      <c r="F2352">
        <f>IF(AND(出库明细!C2352&lt;&gt;"",出库明细!C2352=客户对账单!$B$4,ISNUMBER(出库明细!B2352),出库明细!B2352&gt;=客户对账单!$G$4,出库明细!B2352&lt;=客户对账单!$I$4),出库明细!B2352+ROW()/100000,"")</f>
      </c>
      <c r="H2352">
        <f>IF(AND(资金台帐!K855&lt;&gt;"",资金台帐!K855=供应商对账单!$B$4,资金台帐!P855="应付",ISNUMBER(资金台帐!B855),资金台帐!B855&gt;=供应商对账单!$G$4,资金台帐!B855&lt;=供应商对账单!$I$4),资金台帐!B855+ROW()/100000,"")</f>
      </c>
      <c r="N2352">
        <f>IF(AND(ISNUMBER(出库明细!G2352),ISNUMBER(出库明细!E2352),ISNUMBER(出库明细!F2352)),IF(ABS(出库明细!G2352-出库明细!E2352*出库明细!F2352)&gt;0.005,1,0),0)</f>
        <v>0</v>
      </c>
    </row>
    <row r="2353">
      <c r="A2353">
        <f>IF(OR(出库明细!C1353="",出库明细!D1353=""),"",IF(OR(COUNTIFS(存条明细!$C$4:$C$1003,出库明细!C1353,存条明细!$D$4:$D$1003,出库明细!D1353)&gt;0,COUNTIFS(出库明细!$C$4:C1353,出库明细!C1353,出库明细!$D$4:D1353,出库明细!D1353)&gt;1),"",IFERROR(MATCH(出库明细!C1353,总览汇总!$B$5:$B$304,0),900)*10000000+IFERROR(MATCH(出库明细!D1353,基础资料!$E$5:$E$104,0),900)*10000+ROW()))</f>
      </c>
      <c r="F2353">
        <f>IF(AND(出库明细!C2353&lt;&gt;"",出库明细!C2353=客户对账单!$B$4,ISNUMBER(出库明细!B2353),出库明细!B2353&gt;=客户对账单!$G$4,出库明细!B2353&lt;=客户对账单!$I$4),出库明细!B2353+ROW()/100000,"")</f>
      </c>
      <c r="H2353">
        <f>IF(AND(资金台帐!K856&lt;&gt;"",资金台帐!K856=供应商对账单!$B$4,资金台帐!P856="应付",ISNUMBER(资金台帐!B856),资金台帐!B856&gt;=供应商对账单!$G$4,资金台帐!B856&lt;=供应商对账单!$I$4),资金台帐!B856+ROW()/100000,"")</f>
      </c>
      <c r="N2353">
        <f>IF(AND(ISNUMBER(出库明细!G2353),ISNUMBER(出库明细!E2353),ISNUMBER(出库明细!F2353)),IF(ABS(出库明细!G2353-出库明细!E2353*出库明细!F2353)&gt;0.005,1,0),0)</f>
        <v>0</v>
      </c>
    </row>
    <row r="2354">
      <c r="A2354">
        <f>IF(OR(出库明细!C1354="",出库明细!D1354=""),"",IF(OR(COUNTIFS(存条明细!$C$4:$C$1003,出库明细!C1354,存条明细!$D$4:$D$1003,出库明细!D1354)&gt;0,COUNTIFS(出库明细!$C$4:C1354,出库明细!C1354,出库明细!$D$4:D1354,出库明细!D1354)&gt;1),"",IFERROR(MATCH(出库明细!C1354,总览汇总!$B$5:$B$304,0),900)*10000000+IFERROR(MATCH(出库明细!D1354,基础资料!$E$5:$E$104,0),900)*10000+ROW()))</f>
      </c>
      <c r="F2354">
        <f>IF(AND(出库明细!C2354&lt;&gt;"",出库明细!C2354=客户对账单!$B$4,ISNUMBER(出库明细!B2354),出库明细!B2354&gt;=客户对账单!$G$4,出库明细!B2354&lt;=客户对账单!$I$4),出库明细!B2354+ROW()/100000,"")</f>
      </c>
      <c r="H2354">
        <f>IF(AND(资金台帐!K857&lt;&gt;"",资金台帐!K857=供应商对账单!$B$4,资金台帐!P857="应付",ISNUMBER(资金台帐!B857),资金台帐!B857&gt;=供应商对账单!$G$4,资金台帐!B857&lt;=供应商对账单!$I$4),资金台帐!B857+ROW()/100000,"")</f>
      </c>
      <c r="N2354">
        <f>IF(AND(ISNUMBER(出库明细!G2354),ISNUMBER(出库明细!E2354),ISNUMBER(出库明细!F2354)),IF(ABS(出库明细!G2354-出库明细!E2354*出库明细!F2354)&gt;0.005,1,0),0)</f>
        <v>0</v>
      </c>
    </row>
    <row r="2355">
      <c r="A2355">
        <f>IF(OR(出库明细!C1355="",出库明细!D1355=""),"",IF(OR(COUNTIFS(存条明细!$C$4:$C$1003,出库明细!C1355,存条明细!$D$4:$D$1003,出库明细!D1355)&gt;0,COUNTIFS(出库明细!$C$4:C1355,出库明细!C1355,出库明细!$D$4:D1355,出库明细!D1355)&gt;1),"",IFERROR(MATCH(出库明细!C1355,总览汇总!$B$5:$B$304,0),900)*10000000+IFERROR(MATCH(出库明细!D1355,基础资料!$E$5:$E$104,0),900)*10000+ROW()))</f>
      </c>
      <c r="F2355">
        <f>IF(AND(出库明细!C2355&lt;&gt;"",出库明细!C2355=客户对账单!$B$4,ISNUMBER(出库明细!B2355),出库明细!B2355&gt;=客户对账单!$G$4,出库明细!B2355&lt;=客户对账单!$I$4),出库明细!B2355+ROW()/100000,"")</f>
      </c>
      <c r="H2355">
        <f>IF(AND(资金台帐!K858&lt;&gt;"",资金台帐!K858=供应商对账单!$B$4,资金台帐!P858="应付",ISNUMBER(资金台帐!B858),资金台帐!B858&gt;=供应商对账单!$G$4,资金台帐!B858&lt;=供应商对账单!$I$4),资金台帐!B858+ROW()/100000,"")</f>
      </c>
      <c r="N2355">
        <f>IF(AND(ISNUMBER(出库明细!G2355),ISNUMBER(出库明细!E2355),ISNUMBER(出库明细!F2355)),IF(ABS(出库明细!G2355-出库明细!E2355*出库明细!F2355)&gt;0.005,1,0),0)</f>
        <v>0</v>
      </c>
    </row>
    <row r="2356">
      <c r="A2356">
        <f>IF(OR(出库明细!C1356="",出库明细!D1356=""),"",IF(OR(COUNTIFS(存条明细!$C$4:$C$1003,出库明细!C1356,存条明细!$D$4:$D$1003,出库明细!D1356)&gt;0,COUNTIFS(出库明细!$C$4:C1356,出库明细!C1356,出库明细!$D$4:D1356,出库明细!D1356)&gt;1),"",IFERROR(MATCH(出库明细!C1356,总览汇总!$B$5:$B$304,0),900)*10000000+IFERROR(MATCH(出库明细!D1356,基础资料!$E$5:$E$104,0),900)*10000+ROW()))</f>
      </c>
      <c r="F2356">
        <f>IF(AND(出库明细!C2356&lt;&gt;"",出库明细!C2356=客户对账单!$B$4,ISNUMBER(出库明细!B2356),出库明细!B2356&gt;=客户对账单!$G$4,出库明细!B2356&lt;=客户对账单!$I$4),出库明细!B2356+ROW()/100000,"")</f>
      </c>
      <c r="H2356">
        <f>IF(AND(资金台帐!K859&lt;&gt;"",资金台帐!K859=供应商对账单!$B$4,资金台帐!P859="应付",ISNUMBER(资金台帐!B859),资金台帐!B859&gt;=供应商对账单!$G$4,资金台帐!B859&lt;=供应商对账单!$I$4),资金台帐!B859+ROW()/100000,"")</f>
      </c>
      <c r="N2356">
        <f>IF(AND(ISNUMBER(出库明细!G2356),ISNUMBER(出库明细!E2356),ISNUMBER(出库明细!F2356)),IF(ABS(出库明细!G2356-出库明细!E2356*出库明细!F2356)&gt;0.005,1,0),0)</f>
        <v>0</v>
      </c>
    </row>
    <row r="2357">
      <c r="A2357">
        <f>IF(OR(出库明细!C1357="",出库明细!D1357=""),"",IF(OR(COUNTIFS(存条明细!$C$4:$C$1003,出库明细!C1357,存条明细!$D$4:$D$1003,出库明细!D1357)&gt;0,COUNTIFS(出库明细!$C$4:C1357,出库明细!C1357,出库明细!$D$4:D1357,出库明细!D1357)&gt;1),"",IFERROR(MATCH(出库明细!C1357,总览汇总!$B$5:$B$304,0),900)*10000000+IFERROR(MATCH(出库明细!D1357,基础资料!$E$5:$E$104,0),900)*10000+ROW()))</f>
      </c>
      <c r="F2357">
        <f>IF(AND(出库明细!C2357&lt;&gt;"",出库明细!C2357=客户对账单!$B$4,ISNUMBER(出库明细!B2357),出库明细!B2357&gt;=客户对账单!$G$4,出库明细!B2357&lt;=客户对账单!$I$4),出库明细!B2357+ROW()/100000,"")</f>
      </c>
      <c r="H2357">
        <f>IF(AND(资金台帐!K860&lt;&gt;"",资金台帐!K860=供应商对账单!$B$4,资金台帐!P860="应付",ISNUMBER(资金台帐!B860),资金台帐!B860&gt;=供应商对账单!$G$4,资金台帐!B860&lt;=供应商对账单!$I$4),资金台帐!B860+ROW()/100000,"")</f>
      </c>
      <c r="N2357">
        <f>IF(AND(ISNUMBER(出库明细!G2357),ISNUMBER(出库明细!E2357),ISNUMBER(出库明细!F2357)),IF(ABS(出库明细!G2357-出库明细!E2357*出库明细!F2357)&gt;0.005,1,0),0)</f>
        <v>0</v>
      </c>
    </row>
    <row r="2358">
      <c r="A2358">
        <f>IF(OR(出库明细!C1358="",出库明细!D1358=""),"",IF(OR(COUNTIFS(存条明细!$C$4:$C$1003,出库明细!C1358,存条明细!$D$4:$D$1003,出库明细!D1358)&gt;0,COUNTIFS(出库明细!$C$4:C1358,出库明细!C1358,出库明细!$D$4:D1358,出库明细!D1358)&gt;1),"",IFERROR(MATCH(出库明细!C1358,总览汇总!$B$5:$B$304,0),900)*10000000+IFERROR(MATCH(出库明细!D1358,基础资料!$E$5:$E$104,0),900)*10000+ROW()))</f>
      </c>
      <c r="F2358">
        <f>IF(AND(出库明细!C2358&lt;&gt;"",出库明细!C2358=客户对账单!$B$4,ISNUMBER(出库明细!B2358),出库明细!B2358&gt;=客户对账单!$G$4,出库明细!B2358&lt;=客户对账单!$I$4),出库明细!B2358+ROW()/100000,"")</f>
      </c>
      <c r="H2358">
        <f>IF(AND(资金台帐!K861&lt;&gt;"",资金台帐!K861=供应商对账单!$B$4,资金台帐!P861="应付",ISNUMBER(资金台帐!B861),资金台帐!B861&gt;=供应商对账单!$G$4,资金台帐!B861&lt;=供应商对账单!$I$4),资金台帐!B861+ROW()/100000,"")</f>
      </c>
      <c r="N2358">
        <f>IF(AND(ISNUMBER(出库明细!G2358),ISNUMBER(出库明细!E2358),ISNUMBER(出库明细!F2358)),IF(ABS(出库明细!G2358-出库明细!E2358*出库明细!F2358)&gt;0.005,1,0),0)</f>
        <v>0</v>
      </c>
    </row>
    <row r="2359">
      <c r="A2359">
        <f>IF(OR(出库明细!C1359="",出库明细!D1359=""),"",IF(OR(COUNTIFS(存条明细!$C$4:$C$1003,出库明细!C1359,存条明细!$D$4:$D$1003,出库明细!D1359)&gt;0,COUNTIFS(出库明细!$C$4:C1359,出库明细!C1359,出库明细!$D$4:D1359,出库明细!D1359)&gt;1),"",IFERROR(MATCH(出库明细!C1359,总览汇总!$B$5:$B$304,0),900)*10000000+IFERROR(MATCH(出库明细!D1359,基础资料!$E$5:$E$104,0),900)*10000+ROW()))</f>
      </c>
      <c r="F2359">
        <f>IF(AND(出库明细!C2359&lt;&gt;"",出库明细!C2359=客户对账单!$B$4,ISNUMBER(出库明细!B2359),出库明细!B2359&gt;=客户对账单!$G$4,出库明细!B2359&lt;=客户对账单!$I$4),出库明细!B2359+ROW()/100000,"")</f>
      </c>
      <c r="H2359">
        <f>IF(AND(资金台帐!K862&lt;&gt;"",资金台帐!K862=供应商对账单!$B$4,资金台帐!P862="应付",ISNUMBER(资金台帐!B862),资金台帐!B862&gt;=供应商对账单!$G$4,资金台帐!B862&lt;=供应商对账单!$I$4),资金台帐!B862+ROW()/100000,"")</f>
      </c>
      <c r="N2359">
        <f>IF(AND(ISNUMBER(出库明细!G2359),ISNUMBER(出库明细!E2359),ISNUMBER(出库明细!F2359)),IF(ABS(出库明细!G2359-出库明细!E2359*出库明细!F2359)&gt;0.005,1,0),0)</f>
        <v>0</v>
      </c>
    </row>
    <row r="2360">
      <c r="A2360">
        <f>IF(OR(出库明细!C1360="",出库明细!D1360=""),"",IF(OR(COUNTIFS(存条明细!$C$4:$C$1003,出库明细!C1360,存条明细!$D$4:$D$1003,出库明细!D1360)&gt;0,COUNTIFS(出库明细!$C$4:C1360,出库明细!C1360,出库明细!$D$4:D1360,出库明细!D1360)&gt;1),"",IFERROR(MATCH(出库明细!C1360,总览汇总!$B$5:$B$304,0),900)*10000000+IFERROR(MATCH(出库明细!D1360,基础资料!$E$5:$E$104,0),900)*10000+ROW()))</f>
      </c>
      <c r="F2360">
        <f>IF(AND(出库明细!C2360&lt;&gt;"",出库明细!C2360=客户对账单!$B$4,ISNUMBER(出库明细!B2360),出库明细!B2360&gt;=客户对账单!$G$4,出库明细!B2360&lt;=客户对账单!$I$4),出库明细!B2360+ROW()/100000,"")</f>
      </c>
      <c r="H2360">
        <f>IF(AND(资金台帐!K863&lt;&gt;"",资金台帐!K863=供应商对账单!$B$4,资金台帐!P863="应付",ISNUMBER(资金台帐!B863),资金台帐!B863&gt;=供应商对账单!$G$4,资金台帐!B863&lt;=供应商对账单!$I$4),资金台帐!B863+ROW()/100000,"")</f>
      </c>
      <c r="N2360">
        <f>IF(AND(ISNUMBER(出库明细!G2360),ISNUMBER(出库明细!E2360),ISNUMBER(出库明细!F2360)),IF(ABS(出库明细!G2360-出库明细!E2360*出库明细!F2360)&gt;0.005,1,0),0)</f>
        <v>0</v>
      </c>
    </row>
    <row r="2361">
      <c r="A2361">
        <f>IF(OR(出库明细!C1361="",出库明细!D1361=""),"",IF(OR(COUNTIFS(存条明细!$C$4:$C$1003,出库明细!C1361,存条明细!$D$4:$D$1003,出库明细!D1361)&gt;0,COUNTIFS(出库明细!$C$4:C1361,出库明细!C1361,出库明细!$D$4:D1361,出库明细!D1361)&gt;1),"",IFERROR(MATCH(出库明细!C1361,总览汇总!$B$5:$B$304,0),900)*10000000+IFERROR(MATCH(出库明细!D1361,基础资料!$E$5:$E$104,0),900)*10000+ROW()))</f>
      </c>
      <c r="F2361">
        <f>IF(AND(出库明细!C2361&lt;&gt;"",出库明细!C2361=客户对账单!$B$4,ISNUMBER(出库明细!B2361),出库明细!B2361&gt;=客户对账单!$G$4,出库明细!B2361&lt;=客户对账单!$I$4),出库明细!B2361+ROW()/100000,"")</f>
      </c>
      <c r="H2361">
        <f>IF(AND(资金台帐!K864&lt;&gt;"",资金台帐!K864=供应商对账单!$B$4,资金台帐!P864="应付",ISNUMBER(资金台帐!B864),资金台帐!B864&gt;=供应商对账单!$G$4,资金台帐!B864&lt;=供应商对账单!$I$4),资金台帐!B864+ROW()/100000,"")</f>
      </c>
      <c r="N2361">
        <f>IF(AND(ISNUMBER(出库明细!G2361),ISNUMBER(出库明细!E2361),ISNUMBER(出库明细!F2361)),IF(ABS(出库明细!G2361-出库明细!E2361*出库明细!F2361)&gt;0.005,1,0),0)</f>
        <v>0</v>
      </c>
    </row>
    <row r="2362">
      <c r="A2362">
        <f>IF(OR(出库明细!C1362="",出库明细!D1362=""),"",IF(OR(COUNTIFS(存条明细!$C$4:$C$1003,出库明细!C1362,存条明细!$D$4:$D$1003,出库明细!D1362)&gt;0,COUNTIFS(出库明细!$C$4:C1362,出库明细!C1362,出库明细!$D$4:D1362,出库明细!D1362)&gt;1),"",IFERROR(MATCH(出库明细!C1362,总览汇总!$B$5:$B$304,0),900)*10000000+IFERROR(MATCH(出库明细!D1362,基础资料!$E$5:$E$104,0),900)*10000+ROW()))</f>
      </c>
      <c r="F2362">
        <f>IF(AND(出库明细!C2362&lt;&gt;"",出库明细!C2362=客户对账单!$B$4,ISNUMBER(出库明细!B2362),出库明细!B2362&gt;=客户对账单!$G$4,出库明细!B2362&lt;=客户对账单!$I$4),出库明细!B2362+ROW()/100000,"")</f>
      </c>
      <c r="H2362">
        <f>IF(AND(资金台帐!K865&lt;&gt;"",资金台帐!K865=供应商对账单!$B$4,资金台帐!P865="应付",ISNUMBER(资金台帐!B865),资金台帐!B865&gt;=供应商对账单!$G$4,资金台帐!B865&lt;=供应商对账单!$I$4),资金台帐!B865+ROW()/100000,"")</f>
      </c>
      <c r="N2362">
        <f>IF(AND(ISNUMBER(出库明细!G2362),ISNUMBER(出库明细!E2362),ISNUMBER(出库明细!F2362)),IF(ABS(出库明细!G2362-出库明细!E2362*出库明细!F2362)&gt;0.005,1,0),0)</f>
        <v>0</v>
      </c>
    </row>
    <row r="2363">
      <c r="A2363">
        <f>IF(OR(出库明细!C1363="",出库明细!D1363=""),"",IF(OR(COUNTIFS(存条明细!$C$4:$C$1003,出库明细!C1363,存条明细!$D$4:$D$1003,出库明细!D1363)&gt;0,COUNTIFS(出库明细!$C$4:C1363,出库明细!C1363,出库明细!$D$4:D1363,出库明细!D1363)&gt;1),"",IFERROR(MATCH(出库明细!C1363,总览汇总!$B$5:$B$304,0),900)*10000000+IFERROR(MATCH(出库明细!D1363,基础资料!$E$5:$E$104,0),900)*10000+ROW()))</f>
      </c>
      <c r="F2363">
        <f>IF(AND(出库明细!C2363&lt;&gt;"",出库明细!C2363=客户对账单!$B$4,ISNUMBER(出库明细!B2363),出库明细!B2363&gt;=客户对账单!$G$4,出库明细!B2363&lt;=客户对账单!$I$4),出库明细!B2363+ROW()/100000,"")</f>
      </c>
      <c r="H2363">
        <f>IF(AND(资金台帐!K866&lt;&gt;"",资金台帐!K866=供应商对账单!$B$4,资金台帐!P866="应付",ISNUMBER(资金台帐!B866),资金台帐!B866&gt;=供应商对账单!$G$4,资金台帐!B866&lt;=供应商对账单!$I$4),资金台帐!B866+ROW()/100000,"")</f>
      </c>
      <c r="N2363">
        <f>IF(AND(ISNUMBER(出库明细!G2363),ISNUMBER(出库明细!E2363),ISNUMBER(出库明细!F2363)),IF(ABS(出库明细!G2363-出库明细!E2363*出库明细!F2363)&gt;0.005,1,0),0)</f>
        <v>0</v>
      </c>
    </row>
    <row r="2364">
      <c r="A2364">
        <f>IF(OR(出库明细!C1364="",出库明细!D1364=""),"",IF(OR(COUNTIFS(存条明细!$C$4:$C$1003,出库明细!C1364,存条明细!$D$4:$D$1003,出库明细!D1364)&gt;0,COUNTIFS(出库明细!$C$4:C1364,出库明细!C1364,出库明细!$D$4:D1364,出库明细!D1364)&gt;1),"",IFERROR(MATCH(出库明细!C1364,总览汇总!$B$5:$B$304,0),900)*10000000+IFERROR(MATCH(出库明细!D1364,基础资料!$E$5:$E$104,0),900)*10000+ROW()))</f>
      </c>
      <c r="F2364">
        <f>IF(AND(出库明细!C2364&lt;&gt;"",出库明细!C2364=客户对账单!$B$4,ISNUMBER(出库明细!B2364),出库明细!B2364&gt;=客户对账单!$G$4,出库明细!B2364&lt;=客户对账单!$I$4),出库明细!B2364+ROW()/100000,"")</f>
      </c>
      <c r="H2364">
        <f>IF(AND(资金台帐!K867&lt;&gt;"",资金台帐!K867=供应商对账单!$B$4,资金台帐!P867="应付",ISNUMBER(资金台帐!B867),资金台帐!B867&gt;=供应商对账单!$G$4,资金台帐!B867&lt;=供应商对账单!$I$4),资金台帐!B867+ROW()/100000,"")</f>
      </c>
      <c r="N2364">
        <f>IF(AND(ISNUMBER(出库明细!G2364),ISNUMBER(出库明细!E2364),ISNUMBER(出库明细!F2364)),IF(ABS(出库明细!G2364-出库明细!E2364*出库明细!F2364)&gt;0.005,1,0),0)</f>
        <v>0</v>
      </c>
    </row>
    <row r="2365">
      <c r="A2365">
        <f>IF(OR(出库明细!C1365="",出库明细!D1365=""),"",IF(OR(COUNTIFS(存条明细!$C$4:$C$1003,出库明细!C1365,存条明细!$D$4:$D$1003,出库明细!D1365)&gt;0,COUNTIFS(出库明细!$C$4:C1365,出库明细!C1365,出库明细!$D$4:D1365,出库明细!D1365)&gt;1),"",IFERROR(MATCH(出库明细!C1365,总览汇总!$B$5:$B$304,0),900)*10000000+IFERROR(MATCH(出库明细!D1365,基础资料!$E$5:$E$104,0),900)*10000+ROW()))</f>
      </c>
      <c r="F2365">
        <f>IF(AND(出库明细!C2365&lt;&gt;"",出库明细!C2365=客户对账单!$B$4,ISNUMBER(出库明细!B2365),出库明细!B2365&gt;=客户对账单!$G$4,出库明细!B2365&lt;=客户对账单!$I$4),出库明细!B2365+ROW()/100000,"")</f>
      </c>
      <c r="H2365">
        <f>IF(AND(资金台帐!K868&lt;&gt;"",资金台帐!K868=供应商对账单!$B$4,资金台帐!P868="应付",ISNUMBER(资金台帐!B868),资金台帐!B868&gt;=供应商对账单!$G$4,资金台帐!B868&lt;=供应商对账单!$I$4),资金台帐!B868+ROW()/100000,"")</f>
      </c>
      <c r="N2365">
        <f>IF(AND(ISNUMBER(出库明细!G2365),ISNUMBER(出库明细!E2365),ISNUMBER(出库明细!F2365)),IF(ABS(出库明细!G2365-出库明细!E2365*出库明细!F2365)&gt;0.005,1,0),0)</f>
        <v>0</v>
      </c>
    </row>
    <row r="2366">
      <c r="A2366">
        <f>IF(OR(出库明细!C1366="",出库明细!D1366=""),"",IF(OR(COUNTIFS(存条明细!$C$4:$C$1003,出库明细!C1366,存条明细!$D$4:$D$1003,出库明细!D1366)&gt;0,COUNTIFS(出库明细!$C$4:C1366,出库明细!C1366,出库明细!$D$4:D1366,出库明细!D1366)&gt;1),"",IFERROR(MATCH(出库明细!C1366,总览汇总!$B$5:$B$304,0),900)*10000000+IFERROR(MATCH(出库明细!D1366,基础资料!$E$5:$E$104,0),900)*10000+ROW()))</f>
      </c>
      <c r="F2366">
        <f>IF(AND(出库明细!C2366&lt;&gt;"",出库明细!C2366=客户对账单!$B$4,ISNUMBER(出库明细!B2366),出库明细!B2366&gt;=客户对账单!$G$4,出库明细!B2366&lt;=客户对账单!$I$4),出库明细!B2366+ROW()/100000,"")</f>
      </c>
      <c r="H2366">
        <f>IF(AND(资金台帐!K869&lt;&gt;"",资金台帐!K869=供应商对账单!$B$4,资金台帐!P869="应付",ISNUMBER(资金台帐!B869),资金台帐!B869&gt;=供应商对账单!$G$4,资金台帐!B869&lt;=供应商对账单!$I$4),资金台帐!B869+ROW()/100000,"")</f>
      </c>
      <c r="N2366">
        <f>IF(AND(ISNUMBER(出库明细!G2366),ISNUMBER(出库明细!E2366),ISNUMBER(出库明细!F2366)),IF(ABS(出库明细!G2366-出库明细!E2366*出库明细!F2366)&gt;0.005,1,0),0)</f>
        <v>0</v>
      </c>
    </row>
    <row r="2367">
      <c r="A2367">
        <f>IF(OR(出库明细!C1367="",出库明细!D1367=""),"",IF(OR(COUNTIFS(存条明细!$C$4:$C$1003,出库明细!C1367,存条明细!$D$4:$D$1003,出库明细!D1367)&gt;0,COUNTIFS(出库明细!$C$4:C1367,出库明细!C1367,出库明细!$D$4:D1367,出库明细!D1367)&gt;1),"",IFERROR(MATCH(出库明细!C1367,总览汇总!$B$5:$B$304,0),900)*10000000+IFERROR(MATCH(出库明细!D1367,基础资料!$E$5:$E$104,0),900)*10000+ROW()))</f>
      </c>
      <c r="F2367">
        <f>IF(AND(出库明细!C2367&lt;&gt;"",出库明细!C2367=客户对账单!$B$4,ISNUMBER(出库明细!B2367),出库明细!B2367&gt;=客户对账单!$G$4,出库明细!B2367&lt;=客户对账单!$I$4),出库明细!B2367+ROW()/100000,"")</f>
      </c>
      <c r="H2367">
        <f>IF(AND(资金台帐!K870&lt;&gt;"",资金台帐!K870=供应商对账单!$B$4,资金台帐!P870="应付",ISNUMBER(资金台帐!B870),资金台帐!B870&gt;=供应商对账单!$G$4,资金台帐!B870&lt;=供应商对账单!$I$4),资金台帐!B870+ROW()/100000,"")</f>
      </c>
      <c r="N2367">
        <f>IF(AND(ISNUMBER(出库明细!G2367),ISNUMBER(出库明细!E2367),ISNUMBER(出库明细!F2367)),IF(ABS(出库明细!G2367-出库明细!E2367*出库明细!F2367)&gt;0.005,1,0),0)</f>
        <v>0</v>
      </c>
    </row>
    <row r="2368">
      <c r="A2368">
        <f>IF(OR(出库明细!C1368="",出库明细!D1368=""),"",IF(OR(COUNTIFS(存条明细!$C$4:$C$1003,出库明细!C1368,存条明细!$D$4:$D$1003,出库明细!D1368)&gt;0,COUNTIFS(出库明细!$C$4:C1368,出库明细!C1368,出库明细!$D$4:D1368,出库明细!D1368)&gt;1),"",IFERROR(MATCH(出库明细!C1368,总览汇总!$B$5:$B$304,0),900)*10000000+IFERROR(MATCH(出库明细!D1368,基础资料!$E$5:$E$104,0),900)*10000+ROW()))</f>
      </c>
      <c r="F2368">
        <f>IF(AND(出库明细!C2368&lt;&gt;"",出库明细!C2368=客户对账单!$B$4,ISNUMBER(出库明细!B2368),出库明细!B2368&gt;=客户对账单!$G$4,出库明细!B2368&lt;=客户对账单!$I$4),出库明细!B2368+ROW()/100000,"")</f>
      </c>
      <c r="H2368">
        <f>IF(AND(资金台帐!K871&lt;&gt;"",资金台帐!K871=供应商对账单!$B$4,资金台帐!P871="应付",ISNUMBER(资金台帐!B871),资金台帐!B871&gt;=供应商对账单!$G$4,资金台帐!B871&lt;=供应商对账单!$I$4),资金台帐!B871+ROW()/100000,"")</f>
      </c>
      <c r="N2368">
        <f>IF(AND(ISNUMBER(出库明细!G2368),ISNUMBER(出库明细!E2368),ISNUMBER(出库明细!F2368)),IF(ABS(出库明细!G2368-出库明细!E2368*出库明细!F2368)&gt;0.005,1,0),0)</f>
        <v>0</v>
      </c>
    </row>
    <row r="2369">
      <c r="A2369">
        <f>IF(OR(出库明细!C1369="",出库明细!D1369=""),"",IF(OR(COUNTIFS(存条明细!$C$4:$C$1003,出库明细!C1369,存条明细!$D$4:$D$1003,出库明细!D1369)&gt;0,COUNTIFS(出库明细!$C$4:C1369,出库明细!C1369,出库明细!$D$4:D1369,出库明细!D1369)&gt;1),"",IFERROR(MATCH(出库明细!C1369,总览汇总!$B$5:$B$304,0),900)*10000000+IFERROR(MATCH(出库明细!D1369,基础资料!$E$5:$E$104,0),900)*10000+ROW()))</f>
      </c>
      <c r="F2369">
        <f>IF(AND(出库明细!C2369&lt;&gt;"",出库明细!C2369=客户对账单!$B$4,ISNUMBER(出库明细!B2369),出库明细!B2369&gt;=客户对账单!$G$4,出库明细!B2369&lt;=客户对账单!$I$4),出库明细!B2369+ROW()/100000,"")</f>
      </c>
      <c r="H2369">
        <f>IF(AND(资金台帐!K872&lt;&gt;"",资金台帐!K872=供应商对账单!$B$4,资金台帐!P872="应付",ISNUMBER(资金台帐!B872),资金台帐!B872&gt;=供应商对账单!$G$4,资金台帐!B872&lt;=供应商对账单!$I$4),资金台帐!B872+ROW()/100000,"")</f>
      </c>
      <c r="N2369">
        <f>IF(AND(ISNUMBER(出库明细!G2369),ISNUMBER(出库明细!E2369),ISNUMBER(出库明细!F2369)),IF(ABS(出库明细!G2369-出库明细!E2369*出库明细!F2369)&gt;0.005,1,0),0)</f>
        <v>0</v>
      </c>
    </row>
    <row r="2370">
      <c r="A2370">
        <f>IF(OR(出库明细!C1370="",出库明细!D1370=""),"",IF(OR(COUNTIFS(存条明细!$C$4:$C$1003,出库明细!C1370,存条明细!$D$4:$D$1003,出库明细!D1370)&gt;0,COUNTIFS(出库明细!$C$4:C1370,出库明细!C1370,出库明细!$D$4:D1370,出库明细!D1370)&gt;1),"",IFERROR(MATCH(出库明细!C1370,总览汇总!$B$5:$B$304,0),900)*10000000+IFERROR(MATCH(出库明细!D1370,基础资料!$E$5:$E$104,0),900)*10000+ROW()))</f>
      </c>
      <c r="F2370">
        <f>IF(AND(出库明细!C2370&lt;&gt;"",出库明细!C2370=客户对账单!$B$4,ISNUMBER(出库明细!B2370),出库明细!B2370&gt;=客户对账单!$G$4,出库明细!B2370&lt;=客户对账单!$I$4),出库明细!B2370+ROW()/100000,"")</f>
      </c>
      <c r="H2370">
        <f>IF(AND(资金台帐!K873&lt;&gt;"",资金台帐!K873=供应商对账单!$B$4,资金台帐!P873="应付",ISNUMBER(资金台帐!B873),资金台帐!B873&gt;=供应商对账单!$G$4,资金台帐!B873&lt;=供应商对账单!$I$4),资金台帐!B873+ROW()/100000,"")</f>
      </c>
      <c r="N2370">
        <f>IF(AND(ISNUMBER(出库明细!G2370),ISNUMBER(出库明细!E2370),ISNUMBER(出库明细!F2370)),IF(ABS(出库明细!G2370-出库明细!E2370*出库明细!F2370)&gt;0.005,1,0),0)</f>
        <v>0</v>
      </c>
    </row>
    <row r="2371">
      <c r="A2371">
        <f>IF(OR(出库明细!C1371="",出库明细!D1371=""),"",IF(OR(COUNTIFS(存条明细!$C$4:$C$1003,出库明细!C1371,存条明细!$D$4:$D$1003,出库明细!D1371)&gt;0,COUNTIFS(出库明细!$C$4:C1371,出库明细!C1371,出库明细!$D$4:D1371,出库明细!D1371)&gt;1),"",IFERROR(MATCH(出库明细!C1371,总览汇总!$B$5:$B$304,0),900)*10000000+IFERROR(MATCH(出库明细!D1371,基础资料!$E$5:$E$104,0),900)*10000+ROW()))</f>
      </c>
      <c r="F2371">
        <f>IF(AND(出库明细!C2371&lt;&gt;"",出库明细!C2371=客户对账单!$B$4,ISNUMBER(出库明细!B2371),出库明细!B2371&gt;=客户对账单!$G$4,出库明细!B2371&lt;=客户对账单!$I$4),出库明细!B2371+ROW()/100000,"")</f>
      </c>
      <c r="H2371">
        <f>IF(AND(资金台帐!K874&lt;&gt;"",资金台帐!K874=供应商对账单!$B$4,资金台帐!P874="应付",ISNUMBER(资金台帐!B874),资金台帐!B874&gt;=供应商对账单!$G$4,资金台帐!B874&lt;=供应商对账单!$I$4),资金台帐!B874+ROW()/100000,"")</f>
      </c>
      <c r="N2371">
        <f>IF(AND(ISNUMBER(出库明细!G2371),ISNUMBER(出库明细!E2371),ISNUMBER(出库明细!F2371)),IF(ABS(出库明细!G2371-出库明细!E2371*出库明细!F2371)&gt;0.005,1,0),0)</f>
        <v>0</v>
      </c>
    </row>
    <row r="2372">
      <c r="A2372">
        <f>IF(OR(出库明细!C1372="",出库明细!D1372=""),"",IF(OR(COUNTIFS(存条明细!$C$4:$C$1003,出库明细!C1372,存条明细!$D$4:$D$1003,出库明细!D1372)&gt;0,COUNTIFS(出库明细!$C$4:C1372,出库明细!C1372,出库明细!$D$4:D1372,出库明细!D1372)&gt;1),"",IFERROR(MATCH(出库明细!C1372,总览汇总!$B$5:$B$304,0),900)*10000000+IFERROR(MATCH(出库明细!D1372,基础资料!$E$5:$E$104,0),900)*10000+ROW()))</f>
      </c>
      <c r="F2372">
        <f>IF(AND(出库明细!C2372&lt;&gt;"",出库明细!C2372=客户对账单!$B$4,ISNUMBER(出库明细!B2372),出库明细!B2372&gt;=客户对账单!$G$4,出库明细!B2372&lt;=客户对账单!$I$4),出库明细!B2372+ROW()/100000,"")</f>
      </c>
      <c r="H2372">
        <f>IF(AND(资金台帐!K875&lt;&gt;"",资金台帐!K875=供应商对账单!$B$4,资金台帐!P875="应付",ISNUMBER(资金台帐!B875),资金台帐!B875&gt;=供应商对账单!$G$4,资金台帐!B875&lt;=供应商对账单!$I$4),资金台帐!B875+ROW()/100000,"")</f>
      </c>
      <c r="N2372">
        <f>IF(AND(ISNUMBER(出库明细!G2372),ISNUMBER(出库明细!E2372),ISNUMBER(出库明细!F2372)),IF(ABS(出库明细!G2372-出库明细!E2372*出库明细!F2372)&gt;0.005,1,0),0)</f>
        <v>0</v>
      </c>
    </row>
    <row r="2373">
      <c r="A2373">
        <f>IF(OR(出库明细!C1373="",出库明细!D1373=""),"",IF(OR(COUNTIFS(存条明细!$C$4:$C$1003,出库明细!C1373,存条明细!$D$4:$D$1003,出库明细!D1373)&gt;0,COUNTIFS(出库明细!$C$4:C1373,出库明细!C1373,出库明细!$D$4:D1373,出库明细!D1373)&gt;1),"",IFERROR(MATCH(出库明细!C1373,总览汇总!$B$5:$B$304,0),900)*10000000+IFERROR(MATCH(出库明细!D1373,基础资料!$E$5:$E$104,0),900)*10000+ROW()))</f>
      </c>
      <c r="F2373">
        <f>IF(AND(出库明细!C2373&lt;&gt;"",出库明细!C2373=客户对账单!$B$4,ISNUMBER(出库明细!B2373),出库明细!B2373&gt;=客户对账单!$G$4,出库明细!B2373&lt;=客户对账单!$I$4),出库明细!B2373+ROW()/100000,"")</f>
      </c>
      <c r="H2373">
        <f>IF(AND(资金台帐!K876&lt;&gt;"",资金台帐!K876=供应商对账单!$B$4,资金台帐!P876="应付",ISNUMBER(资金台帐!B876),资金台帐!B876&gt;=供应商对账单!$G$4,资金台帐!B876&lt;=供应商对账单!$I$4),资金台帐!B876+ROW()/100000,"")</f>
      </c>
      <c r="N2373">
        <f>IF(AND(ISNUMBER(出库明细!G2373),ISNUMBER(出库明细!E2373),ISNUMBER(出库明细!F2373)),IF(ABS(出库明细!G2373-出库明细!E2373*出库明细!F2373)&gt;0.005,1,0),0)</f>
        <v>0</v>
      </c>
    </row>
    <row r="2374">
      <c r="A2374">
        <f>IF(OR(出库明细!C1374="",出库明细!D1374=""),"",IF(OR(COUNTIFS(存条明细!$C$4:$C$1003,出库明细!C1374,存条明细!$D$4:$D$1003,出库明细!D1374)&gt;0,COUNTIFS(出库明细!$C$4:C1374,出库明细!C1374,出库明细!$D$4:D1374,出库明细!D1374)&gt;1),"",IFERROR(MATCH(出库明细!C1374,总览汇总!$B$5:$B$304,0),900)*10000000+IFERROR(MATCH(出库明细!D1374,基础资料!$E$5:$E$104,0),900)*10000+ROW()))</f>
      </c>
      <c r="F2374">
        <f>IF(AND(出库明细!C2374&lt;&gt;"",出库明细!C2374=客户对账单!$B$4,ISNUMBER(出库明细!B2374),出库明细!B2374&gt;=客户对账单!$G$4,出库明细!B2374&lt;=客户对账单!$I$4),出库明细!B2374+ROW()/100000,"")</f>
      </c>
      <c r="H2374">
        <f>IF(AND(资金台帐!K877&lt;&gt;"",资金台帐!K877=供应商对账单!$B$4,资金台帐!P877="应付",ISNUMBER(资金台帐!B877),资金台帐!B877&gt;=供应商对账单!$G$4,资金台帐!B877&lt;=供应商对账单!$I$4),资金台帐!B877+ROW()/100000,"")</f>
      </c>
      <c r="N2374">
        <f>IF(AND(ISNUMBER(出库明细!G2374),ISNUMBER(出库明细!E2374),ISNUMBER(出库明细!F2374)),IF(ABS(出库明细!G2374-出库明细!E2374*出库明细!F2374)&gt;0.005,1,0),0)</f>
        <v>0</v>
      </c>
    </row>
    <row r="2375">
      <c r="A2375">
        <f>IF(OR(出库明细!C1375="",出库明细!D1375=""),"",IF(OR(COUNTIFS(存条明细!$C$4:$C$1003,出库明细!C1375,存条明细!$D$4:$D$1003,出库明细!D1375)&gt;0,COUNTIFS(出库明细!$C$4:C1375,出库明细!C1375,出库明细!$D$4:D1375,出库明细!D1375)&gt;1),"",IFERROR(MATCH(出库明细!C1375,总览汇总!$B$5:$B$304,0),900)*10000000+IFERROR(MATCH(出库明细!D1375,基础资料!$E$5:$E$104,0),900)*10000+ROW()))</f>
      </c>
      <c r="F2375">
        <f>IF(AND(出库明细!C2375&lt;&gt;"",出库明细!C2375=客户对账单!$B$4,ISNUMBER(出库明细!B2375),出库明细!B2375&gt;=客户对账单!$G$4,出库明细!B2375&lt;=客户对账单!$I$4),出库明细!B2375+ROW()/100000,"")</f>
      </c>
      <c r="H2375">
        <f>IF(AND(资金台帐!K878&lt;&gt;"",资金台帐!K878=供应商对账单!$B$4,资金台帐!P878="应付",ISNUMBER(资金台帐!B878),资金台帐!B878&gt;=供应商对账单!$G$4,资金台帐!B878&lt;=供应商对账单!$I$4),资金台帐!B878+ROW()/100000,"")</f>
      </c>
      <c r="N2375">
        <f>IF(AND(ISNUMBER(出库明细!G2375),ISNUMBER(出库明细!E2375),ISNUMBER(出库明细!F2375)),IF(ABS(出库明细!G2375-出库明细!E2375*出库明细!F2375)&gt;0.005,1,0),0)</f>
        <v>0</v>
      </c>
    </row>
    <row r="2376">
      <c r="A2376">
        <f>IF(OR(出库明细!C1376="",出库明细!D1376=""),"",IF(OR(COUNTIFS(存条明细!$C$4:$C$1003,出库明细!C1376,存条明细!$D$4:$D$1003,出库明细!D1376)&gt;0,COUNTIFS(出库明细!$C$4:C1376,出库明细!C1376,出库明细!$D$4:D1376,出库明细!D1376)&gt;1),"",IFERROR(MATCH(出库明细!C1376,总览汇总!$B$5:$B$304,0),900)*10000000+IFERROR(MATCH(出库明细!D1376,基础资料!$E$5:$E$104,0),900)*10000+ROW()))</f>
      </c>
      <c r="F2376">
        <f>IF(AND(出库明细!C2376&lt;&gt;"",出库明细!C2376=客户对账单!$B$4,ISNUMBER(出库明细!B2376),出库明细!B2376&gt;=客户对账单!$G$4,出库明细!B2376&lt;=客户对账单!$I$4),出库明细!B2376+ROW()/100000,"")</f>
      </c>
      <c r="H2376">
        <f>IF(AND(资金台帐!K879&lt;&gt;"",资金台帐!K879=供应商对账单!$B$4,资金台帐!P879="应付",ISNUMBER(资金台帐!B879),资金台帐!B879&gt;=供应商对账单!$G$4,资金台帐!B879&lt;=供应商对账单!$I$4),资金台帐!B879+ROW()/100000,"")</f>
      </c>
      <c r="N2376">
        <f>IF(AND(ISNUMBER(出库明细!G2376),ISNUMBER(出库明细!E2376),ISNUMBER(出库明细!F2376)),IF(ABS(出库明细!G2376-出库明细!E2376*出库明细!F2376)&gt;0.005,1,0),0)</f>
        <v>0</v>
      </c>
    </row>
    <row r="2377">
      <c r="A2377">
        <f>IF(OR(出库明细!C1377="",出库明细!D1377=""),"",IF(OR(COUNTIFS(存条明细!$C$4:$C$1003,出库明细!C1377,存条明细!$D$4:$D$1003,出库明细!D1377)&gt;0,COUNTIFS(出库明细!$C$4:C1377,出库明细!C1377,出库明细!$D$4:D1377,出库明细!D1377)&gt;1),"",IFERROR(MATCH(出库明细!C1377,总览汇总!$B$5:$B$304,0),900)*10000000+IFERROR(MATCH(出库明细!D1377,基础资料!$E$5:$E$104,0),900)*10000+ROW()))</f>
      </c>
      <c r="F2377">
        <f>IF(AND(出库明细!C2377&lt;&gt;"",出库明细!C2377=客户对账单!$B$4,ISNUMBER(出库明细!B2377),出库明细!B2377&gt;=客户对账单!$G$4,出库明细!B2377&lt;=客户对账单!$I$4),出库明细!B2377+ROW()/100000,"")</f>
      </c>
      <c r="H2377">
        <f>IF(AND(资金台帐!K880&lt;&gt;"",资金台帐!K880=供应商对账单!$B$4,资金台帐!P880="应付",ISNUMBER(资金台帐!B880),资金台帐!B880&gt;=供应商对账单!$G$4,资金台帐!B880&lt;=供应商对账单!$I$4),资金台帐!B880+ROW()/100000,"")</f>
      </c>
      <c r="N2377">
        <f>IF(AND(ISNUMBER(出库明细!G2377),ISNUMBER(出库明细!E2377),ISNUMBER(出库明细!F2377)),IF(ABS(出库明细!G2377-出库明细!E2377*出库明细!F2377)&gt;0.005,1,0),0)</f>
        <v>0</v>
      </c>
    </row>
    <row r="2378">
      <c r="A2378">
        <f>IF(OR(出库明细!C1378="",出库明细!D1378=""),"",IF(OR(COUNTIFS(存条明细!$C$4:$C$1003,出库明细!C1378,存条明细!$D$4:$D$1003,出库明细!D1378)&gt;0,COUNTIFS(出库明细!$C$4:C1378,出库明细!C1378,出库明细!$D$4:D1378,出库明细!D1378)&gt;1),"",IFERROR(MATCH(出库明细!C1378,总览汇总!$B$5:$B$304,0),900)*10000000+IFERROR(MATCH(出库明细!D1378,基础资料!$E$5:$E$104,0),900)*10000+ROW()))</f>
      </c>
      <c r="F2378">
        <f>IF(AND(出库明细!C2378&lt;&gt;"",出库明细!C2378=客户对账单!$B$4,ISNUMBER(出库明细!B2378),出库明细!B2378&gt;=客户对账单!$G$4,出库明细!B2378&lt;=客户对账单!$I$4),出库明细!B2378+ROW()/100000,"")</f>
      </c>
      <c r="H2378">
        <f>IF(AND(资金台帐!K881&lt;&gt;"",资金台帐!K881=供应商对账单!$B$4,资金台帐!P881="应付",ISNUMBER(资金台帐!B881),资金台帐!B881&gt;=供应商对账单!$G$4,资金台帐!B881&lt;=供应商对账单!$I$4),资金台帐!B881+ROW()/100000,"")</f>
      </c>
      <c r="N2378">
        <f>IF(AND(ISNUMBER(出库明细!G2378),ISNUMBER(出库明细!E2378),ISNUMBER(出库明细!F2378)),IF(ABS(出库明细!G2378-出库明细!E2378*出库明细!F2378)&gt;0.005,1,0),0)</f>
        <v>0</v>
      </c>
    </row>
    <row r="2379">
      <c r="A2379">
        <f>IF(OR(出库明细!C1379="",出库明细!D1379=""),"",IF(OR(COUNTIFS(存条明细!$C$4:$C$1003,出库明细!C1379,存条明细!$D$4:$D$1003,出库明细!D1379)&gt;0,COUNTIFS(出库明细!$C$4:C1379,出库明细!C1379,出库明细!$D$4:D1379,出库明细!D1379)&gt;1),"",IFERROR(MATCH(出库明细!C1379,总览汇总!$B$5:$B$304,0),900)*10000000+IFERROR(MATCH(出库明细!D1379,基础资料!$E$5:$E$104,0),900)*10000+ROW()))</f>
      </c>
      <c r="F2379">
        <f>IF(AND(出库明细!C2379&lt;&gt;"",出库明细!C2379=客户对账单!$B$4,ISNUMBER(出库明细!B2379),出库明细!B2379&gt;=客户对账单!$G$4,出库明细!B2379&lt;=客户对账单!$I$4),出库明细!B2379+ROW()/100000,"")</f>
      </c>
      <c r="H2379">
        <f>IF(AND(资金台帐!K882&lt;&gt;"",资金台帐!K882=供应商对账单!$B$4,资金台帐!P882="应付",ISNUMBER(资金台帐!B882),资金台帐!B882&gt;=供应商对账单!$G$4,资金台帐!B882&lt;=供应商对账单!$I$4),资金台帐!B882+ROW()/100000,"")</f>
      </c>
      <c r="N2379">
        <f>IF(AND(ISNUMBER(出库明细!G2379),ISNUMBER(出库明细!E2379),ISNUMBER(出库明细!F2379)),IF(ABS(出库明细!G2379-出库明细!E2379*出库明细!F2379)&gt;0.005,1,0),0)</f>
        <v>0</v>
      </c>
    </row>
    <row r="2380">
      <c r="A2380">
        <f>IF(OR(出库明细!C1380="",出库明细!D1380=""),"",IF(OR(COUNTIFS(存条明细!$C$4:$C$1003,出库明细!C1380,存条明细!$D$4:$D$1003,出库明细!D1380)&gt;0,COUNTIFS(出库明细!$C$4:C1380,出库明细!C1380,出库明细!$D$4:D1380,出库明细!D1380)&gt;1),"",IFERROR(MATCH(出库明细!C1380,总览汇总!$B$5:$B$304,0),900)*10000000+IFERROR(MATCH(出库明细!D1380,基础资料!$E$5:$E$104,0),900)*10000+ROW()))</f>
      </c>
      <c r="F2380">
        <f>IF(AND(出库明细!C2380&lt;&gt;"",出库明细!C2380=客户对账单!$B$4,ISNUMBER(出库明细!B2380),出库明细!B2380&gt;=客户对账单!$G$4,出库明细!B2380&lt;=客户对账单!$I$4),出库明细!B2380+ROW()/100000,"")</f>
      </c>
      <c r="H2380">
        <f>IF(AND(资金台帐!K883&lt;&gt;"",资金台帐!K883=供应商对账单!$B$4,资金台帐!P883="应付",ISNUMBER(资金台帐!B883),资金台帐!B883&gt;=供应商对账单!$G$4,资金台帐!B883&lt;=供应商对账单!$I$4),资金台帐!B883+ROW()/100000,"")</f>
      </c>
      <c r="N2380">
        <f>IF(AND(ISNUMBER(出库明细!G2380),ISNUMBER(出库明细!E2380),ISNUMBER(出库明细!F2380)),IF(ABS(出库明细!G2380-出库明细!E2380*出库明细!F2380)&gt;0.005,1,0),0)</f>
        <v>0</v>
      </c>
    </row>
    <row r="2381">
      <c r="A2381">
        <f>IF(OR(出库明细!C1381="",出库明细!D1381=""),"",IF(OR(COUNTIFS(存条明细!$C$4:$C$1003,出库明细!C1381,存条明细!$D$4:$D$1003,出库明细!D1381)&gt;0,COUNTIFS(出库明细!$C$4:C1381,出库明细!C1381,出库明细!$D$4:D1381,出库明细!D1381)&gt;1),"",IFERROR(MATCH(出库明细!C1381,总览汇总!$B$5:$B$304,0),900)*10000000+IFERROR(MATCH(出库明细!D1381,基础资料!$E$5:$E$104,0),900)*10000+ROW()))</f>
      </c>
      <c r="F2381">
        <f>IF(AND(出库明细!C2381&lt;&gt;"",出库明细!C2381=客户对账单!$B$4,ISNUMBER(出库明细!B2381),出库明细!B2381&gt;=客户对账单!$G$4,出库明细!B2381&lt;=客户对账单!$I$4),出库明细!B2381+ROW()/100000,"")</f>
      </c>
      <c r="H2381">
        <f>IF(AND(资金台帐!K884&lt;&gt;"",资金台帐!K884=供应商对账单!$B$4,资金台帐!P884="应付",ISNUMBER(资金台帐!B884),资金台帐!B884&gt;=供应商对账单!$G$4,资金台帐!B884&lt;=供应商对账单!$I$4),资金台帐!B884+ROW()/100000,"")</f>
      </c>
      <c r="N2381">
        <f>IF(AND(ISNUMBER(出库明细!G2381),ISNUMBER(出库明细!E2381),ISNUMBER(出库明细!F2381)),IF(ABS(出库明细!G2381-出库明细!E2381*出库明细!F2381)&gt;0.005,1,0),0)</f>
        <v>0</v>
      </c>
    </row>
    <row r="2382">
      <c r="A2382">
        <f>IF(OR(出库明细!C1382="",出库明细!D1382=""),"",IF(OR(COUNTIFS(存条明细!$C$4:$C$1003,出库明细!C1382,存条明细!$D$4:$D$1003,出库明细!D1382)&gt;0,COUNTIFS(出库明细!$C$4:C1382,出库明细!C1382,出库明细!$D$4:D1382,出库明细!D1382)&gt;1),"",IFERROR(MATCH(出库明细!C1382,总览汇总!$B$5:$B$304,0),900)*10000000+IFERROR(MATCH(出库明细!D1382,基础资料!$E$5:$E$104,0),900)*10000+ROW()))</f>
      </c>
      <c r="F2382">
        <f>IF(AND(出库明细!C2382&lt;&gt;"",出库明细!C2382=客户对账单!$B$4,ISNUMBER(出库明细!B2382),出库明细!B2382&gt;=客户对账单!$G$4,出库明细!B2382&lt;=客户对账单!$I$4),出库明细!B2382+ROW()/100000,"")</f>
      </c>
      <c r="H2382">
        <f>IF(AND(资金台帐!K885&lt;&gt;"",资金台帐!K885=供应商对账单!$B$4,资金台帐!P885="应付",ISNUMBER(资金台帐!B885),资金台帐!B885&gt;=供应商对账单!$G$4,资金台帐!B885&lt;=供应商对账单!$I$4),资金台帐!B885+ROW()/100000,"")</f>
      </c>
      <c r="N2382">
        <f>IF(AND(ISNUMBER(出库明细!G2382),ISNUMBER(出库明细!E2382),ISNUMBER(出库明细!F2382)),IF(ABS(出库明细!G2382-出库明细!E2382*出库明细!F2382)&gt;0.005,1,0),0)</f>
        <v>0</v>
      </c>
    </row>
    <row r="2383">
      <c r="A2383">
        <f>IF(OR(出库明细!C1383="",出库明细!D1383=""),"",IF(OR(COUNTIFS(存条明细!$C$4:$C$1003,出库明细!C1383,存条明细!$D$4:$D$1003,出库明细!D1383)&gt;0,COUNTIFS(出库明细!$C$4:C1383,出库明细!C1383,出库明细!$D$4:D1383,出库明细!D1383)&gt;1),"",IFERROR(MATCH(出库明细!C1383,总览汇总!$B$5:$B$304,0),900)*10000000+IFERROR(MATCH(出库明细!D1383,基础资料!$E$5:$E$104,0),900)*10000+ROW()))</f>
      </c>
      <c r="F2383">
        <f>IF(AND(出库明细!C2383&lt;&gt;"",出库明细!C2383=客户对账单!$B$4,ISNUMBER(出库明细!B2383),出库明细!B2383&gt;=客户对账单!$G$4,出库明细!B2383&lt;=客户对账单!$I$4),出库明细!B2383+ROW()/100000,"")</f>
      </c>
      <c r="H2383">
        <f>IF(AND(资金台帐!K886&lt;&gt;"",资金台帐!K886=供应商对账单!$B$4,资金台帐!P886="应付",ISNUMBER(资金台帐!B886),资金台帐!B886&gt;=供应商对账单!$G$4,资金台帐!B886&lt;=供应商对账单!$I$4),资金台帐!B886+ROW()/100000,"")</f>
      </c>
      <c r="N2383">
        <f>IF(AND(ISNUMBER(出库明细!G2383),ISNUMBER(出库明细!E2383),ISNUMBER(出库明细!F2383)),IF(ABS(出库明细!G2383-出库明细!E2383*出库明细!F2383)&gt;0.005,1,0),0)</f>
        <v>0</v>
      </c>
    </row>
    <row r="2384">
      <c r="A2384">
        <f>IF(OR(出库明细!C1384="",出库明细!D1384=""),"",IF(OR(COUNTIFS(存条明细!$C$4:$C$1003,出库明细!C1384,存条明细!$D$4:$D$1003,出库明细!D1384)&gt;0,COUNTIFS(出库明细!$C$4:C1384,出库明细!C1384,出库明细!$D$4:D1384,出库明细!D1384)&gt;1),"",IFERROR(MATCH(出库明细!C1384,总览汇总!$B$5:$B$304,0),900)*10000000+IFERROR(MATCH(出库明细!D1384,基础资料!$E$5:$E$104,0),900)*10000+ROW()))</f>
      </c>
      <c r="F2384">
        <f>IF(AND(出库明细!C2384&lt;&gt;"",出库明细!C2384=客户对账单!$B$4,ISNUMBER(出库明细!B2384),出库明细!B2384&gt;=客户对账单!$G$4,出库明细!B2384&lt;=客户对账单!$I$4),出库明细!B2384+ROW()/100000,"")</f>
      </c>
      <c r="H2384">
        <f>IF(AND(资金台帐!K887&lt;&gt;"",资金台帐!K887=供应商对账单!$B$4,资金台帐!P887="应付",ISNUMBER(资金台帐!B887),资金台帐!B887&gt;=供应商对账单!$G$4,资金台帐!B887&lt;=供应商对账单!$I$4),资金台帐!B887+ROW()/100000,"")</f>
      </c>
      <c r="N2384">
        <f>IF(AND(ISNUMBER(出库明细!G2384),ISNUMBER(出库明细!E2384),ISNUMBER(出库明细!F2384)),IF(ABS(出库明细!G2384-出库明细!E2384*出库明细!F2384)&gt;0.005,1,0),0)</f>
        <v>0</v>
      </c>
    </row>
    <row r="2385">
      <c r="A2385">
        <f>IF(OR(出库明细!C1385="",出库明细!D1385=""),"",IF(OR(COUNTIFS(存条明细!$C$4:$C$1003,出库明细!C1385,存条明细!$D$4:$D$1003,出库明细!D1385)&gt;0,COUNTIFS(出库明细!$C$4:C1385,出库明细!C1385,出库明细!$D$4:D1385,出库明细!D1385)&gt;1),"",IFERROR(MATCH(出库明细!C1385,总览汇总!$B$5:$B$304,0),900)*10000000+IFERROR(MATCH(出库明细!D1385,基础资料!$E$5:$E$104,0),900)*10000+ROW()))</f>
      </c>
      <c r="F2385">
        <f>IF(AND(出库明细!C2385&lt;&gt;"",出库明细!C2385=客户对账单!$B$4,ISNUMBER(出库明细!B2385),出库明细!B2385&gt;=客户对账单!$G$4,出库明细!B2385&lt;=客户对账单!$I$4),出库明细!B2385+ROW()/100000,"")</f>
      </c>
      <c r="H2385">
        <f>IF(AND(资金台帐!K888&lt;&gt;"",资金台帐!K888=供应商对账单!$B$4,资金台帐!P888="应付",ISNUMBER(资金台帐!B888),资金台帐!B888&gt;=供应商对账单!$G$4,资金台帐!B888&lt;=供应商对账单!$I$4),资金台帐!B888+ROW()/100000,"")</f>
      </c>
      <c r="N2385">
        <f>IF(AND(ISNUMBER(出库明细!G2385),ISNUMBER(出库明细!E2385),ISNUMBER(出库明细!F2385)),IF(ABS(出库明细!G2385-出库明细!E2385*出库明细!F2385)&gt;0.005,1,0),0)</f>
        <v>0</v>
      </c>
    </row>
    <row r="2386">
      <c r="A2386">
        <f>IF(OR(出库明细!C1386="",出库明细!D1386=""),"",IF(OR(COUNTIFS(存条明细!$C$4:$C$1003,出库明细!C1386,存条明细!$D$4:$D$1003,出库明细!D1386)&gt;0,COUNTIFS(出库明细!$C$4:C1386,出库明细!C1386,出库明细!$D$4:D1386,出库明细!D1386)&gt;1),"",IFERROR(MATCH(出库明细!C1386,总览汇总!$B$5:$B$304,0),900)*10000000+IFERROR(MATCH(出库明细!D1386,基础资料!$E$5:$E$104,0),900)*10000+ROW()))</f>
      </c>
      <c r="F2386">
        <f>IF(AND(出库明细!C2386&lt;&gt;"",出库明细!C2386=客户对账单!$B$4,ISNUMBER(出库明细!B2386),出库明细!B2386&gt;=客户对账单!$G$4,出库明细!B2386&lt;=客户对账单!$I$4),出库明细!B2386+ROW()/100000,"")</f>
      </c>
      <c r="H2386">
        <f>IF(AND(资金台帐!K889&lt;&gt;"",资金台帐!K889=供应商对账单!$B$4,资金台帐!P889="应付",ISNUMBER(资金台帐!B889),资金台帐!B889&gt;=供应商对账单!$G$4,资金台帐!B889&lt;=供应商对账单!$I$4),资金台帐!B889+ROW()/100000,"")</f>
      </c>
      <c r="N2386">
        <f>IF(AND(ISNUMBER(出库明细!G2386),ISNUMBER(出库明细!E2386),ISNUMBER(出库明细!F2386)),IF(ABS(出库明细!G2386-出库明细!E2386*出库明细!F2386)&gt;0.005,1,0),0)</f>
        <v>0</v>
      </c>
    </row>
    <row r="2387">
      <c r="A2387">
        <f>IF(OR(出库明细!C1387="",出库明细!D1387=""),"",IF(OR(COUNTIFS(存条明细!$C$4:$C$1003,出库明细!C1387,存条明细!$D$4:$D$1003,出库明细!D1387)&gt;0,COUNTIFS(出库明细!$C$4:C1387,出库明细!C1387,出库明细!$D$4:D1387,出库明细!D1387)&gt;1),"",IFERROR(MATCH(出库明细!C1387,总览汇总!$B$5:$B$304,0),900)*10000000+IFERROR(MATCH(出库明细!D1387,基础资料!$E$5:$E$104,0),900)*10000+ROW()))</f>
      </c>
      <c r="F2387">
        <f>IF(AND(出库明细!C2387&lt;&gt;"",出库明细!C2387=客户对账单!$B$4,ISNUMBER(出库明细!B2387),出库明细!B2387&gt;=客户对账单!$G$4,出库明细!B2387&lt;=客户对账单!$I$4),出库明细!B2387+ROW()/100000,"")</f>
      </c>
      <c r="H2387">
        <f>IF(AND(资金台帐!K890&lt;&gt;"",资金台帐!K890=供应商对账单!$B$4,资金台帐!P890="应付",ISNUMBER(资金台帐!B890),资金台帐!B890&gt;=供应商对账单!$G$4,资金台帐!B890&lt;=供应商对账单!$I$4),资金台帐!B890+ROW()/100000,"")</f>
      </c>
      <c r="N2387">
        <f>IF(AND(ISNUMBER(出库明细!G2387),ISNUMBER(出库明细!E2387),ISNUMBER(出库明细!F2387)),IF(ABS(出库明细!G2387-出库明细!E2387*出库明细!F2387)&gt;0.005,1,0),0)</f>
        <v>0</v>
      </c>
    </row>
    <row r="2388">
      <c r="A2388">
        <f>IF(OR(出库明细!C1388="",出库明细!D1388=""),"",IF(OR(COUNTIFS(存条明细!$C$4:$C$1003,出库明细!C1388,存条明细!$D$4:$D$1003,出库明细!D1388)&gt;0,COUNTIFS(出库明细!$C$4:C1388,出库明细!C1388,出库明细!$D$4:D1388,出库明细!D1388)&gt;1),"",IFERROR(MATCH(出库明细!C1388,总览汇总!$B$5:$B$304,0),900)*10000000+IFERROR(MATCH(出库明细!D1388,基础资料!$E$5:$E$104,0),900)*10000+ROW()))</f>
      </c>
      <c r="F2388">
        <f>IF(AND(出库明细!C2388&lt;&gt;"",出库明细!C2388=客户对账单!$B$4,ISNUMBER(出库明细!B2388),出库明细!B2388&gt;=客户对账单!$G$4,出库明细!B2388&lt;=客户对账单!$I$4),出库明细!B2388+ROW()/100000,"")</f>
      </c>
      <c r="H2388">
        <f>IF(AND(资金台帐!K891&lt;&gt;"",资金台帐!K891=供应商对账单!$B$4,资金台帐!P891="应付",ISNUMBER(资金台帐!B891),资金台帐!B891&gt;=供应商对账单!$G$4,资金台帐!B891&lt;=供应商对账单!$I$4),资金台帐!B891+ROW()/100000,"")</f>
      </c>
      <c r="N2388">
        <f>IF(AND(ISNUMBER(出库明细!G2388),ISNUMBER(出库明细!E2388),ISNUMBER(出库明细!F2388)),IF(ABS(出库明细!G2388-出库明细!E2388*出库明细!F2388)&gt;0.005,1,0),0)</f>
        <v>0</v>
      </c>
    </row>
    <row r="2389">
      <c r="A2389">
        <f>IF(OR(出库明细!C1389="",出库明细!D1389=""),"",IF(OR(COUNTIFS(存条明细!$C$4:$C$1003,出库明细!C1389,存条明细!$D$4:$D$1003,出库明细!D1389)&gt;0,COUNTIFS(出库明细!$C$4:C1389,出库明细!C1389,出库明细!$D$4:D1389,出库明细!D1389)&gt;1),"",IFERROR(MATCH(出库明细!C1389,总览汇总!$B$5:$B$304,0),900)*10000000+IFERROR(MATCH(出库明细!D1389,基础资料!$E$5:$E$104,0),900)*10000+ROW()))</f>
      </c>
      <c r="F2389">
        <f>IF(AND(出库明细!C2389&lt;&gt;"",出库明细!C2389=客户对账单!$B$4,ISNUMBER(出库明细!B2389),出库明细!B2389&gt;=客户对账单!$G$4,出库明细!B2389&lt;=客户对账单!$I$4),出库明细!B2389+ROW()/100000,"")</f>
      </c>
      <c r="H2389">
        <f>IF(AND(资金台帐!K892&lt;&gt;"",资金台帐!K892=供应商对账单!$B$4,资金台帐!P892="应付",ISNUMBER(资金台帐!B892),资金台帐!B892&gt;=供应商对账单!$G$4,资金台帐!B892&lt;=供应商对账单!$I$4),资金台帐!B892+ROW()/100000,"")</f>
      </c>
      <c r="N2389">
        <f>IF(AND(ISNUMBER(出库明细!G2389),ISNUMBER(出库明细!E2389),ISNUMBER(出库明细!F2389)),IF(ABS(出库明细!G2389-出库明细!E2389*出库明细!F2389)&gt;0.005,1,0),0)</f>
        <v>0</v>
      </c>
    </row>
    <row r="2390">
      <c r="A2390">
        <f>IF(OR(出库明细!C1390="",出库明细!D1390=""),"",IF(OR(COUNTIFS(存条明细!$C$4:$C$1003,出库明细!C1390,存条明细!$D$4:$D$1003,出库明细!D1390)&gt;0,COUNTIFS(出库明细!$C$4:C1390,出库明细!C1390,出库明细!$D$4:D1390,出库明细!D1390)&gt;1),"",IFERROR(MATCH(出库明细!C1390,总览汇总!$B$5:$B$304,0),900)*10000000+IFERROR(MATCH(出库明细!D1390,基础资料!$E$5:$E$104,0),900)*10000+ROW()))</f>
      </c>
      <c r="F2390">
        <f>IF(AND(出库明细!C2390&lt;&gt;"",出库明细!C2390=客户对账单!$B$4,ISNUMBER(出库明细!B2390),出库明细!B2390&gt;=客户对账单!$G$4,出库明细!B2390&lt;=客户对账单!$I$4),出库明细!B2390+ROW()/100000,"")</f>
      </c>
      <c r="H2390">
        <f>IF(AND(资金台帐!K893&lt;&gt;"",资金台帐!K893=供应商对账单!$B$4,资金台帐!P893="应付",ISNUMBER(资金台帐!B893),资金台帐!B893&gt;=供应商对账单!$G$4,资金台帐!B893&lt;=供应商对账单!$I$4),资金台帐!B893+ROW()/100000,"")</f>
      </c>
      <c r="N2390">
        <f>IF(AND(ISNUMBER(出库明细!G2390),ISNUMBER(出库明细!E2390),ISNUMBER(出库明细!F2390)),IF(ABS(出库明细!G2390-出库明细!E2390*出库明细!F2390)&gt;0.005,1,0),0)</f>
        <v>0</v>
      </c>
    </row>
    <row r="2391">
      <c r="A2391">
        <f>IF(OR(出库明细!C1391="",出库明细!D1391=""),"",IF(OR(COUNTIFS(存条明细!$C$4:$C$1003,出库明细!C1391,存条明细!$D$4:$D$1003,出库明细!D1391)&gt;0,COUNTIFS(出库明细!$C$4:C1391,出库明细!C1391,出库明细!$D$4:D1391,出库明细!D1391)&gt;1),"",IFERROR(MATCH(出库明细!C1391,总览汇总!$B$5:$B$304,0),900)*10000000+IFERROR(MATCH(出库明细!D1391,基础资料!$E$5:$E$104,0),900)*10000+ROW()))</f>
      </c>
      <c r="F2391">
        <f>IF(AND(出库明细!C2391&lt;&gt;"",出库明细!C2391=客户对账单!$B$4,ISNUMBER(出库明细!B2391),出库明细!B2391&gt;=客户对账单!$G$4,出库明细!B2391&lt;=客户对账单!$I$4),出库明细!B2391+ROW()/100000,"")</f>
      </c>
      <c r="H2391">
        <f>IF(AND(资金台帐!K894&lt;&gt;"",资金台帐!K894=供应商对账单!$B$4,资金台帐!P894="应付",ISNUMBER(资金台帐!B894),资金台帐!B894&gt;=供应商对账单!$G$4,资金台帐!B894&lt;=供应商对账单!$I$4),资金台帐!B894+ROW()/100000,"")</f>
      </c>
      <c r="N2391">
        <f>IF(AND(ISNUMBER(出库明细!G2391),ISNUMBER(出库明细!E2391),ISNUMBER(出库明细!F2391)),IF(ABS(出库明细!G2391-出库明细!E2391*出库明细!F2391)&gt;0.005,1,0),0)</f>
        <v>0</v>
      </c>
    </row>
    <row r="2392">
      <c r="A2392">
        <f>IF(OR(出库明细!C1392="",出库明细!D1392=""),"",IF(OR(COUNTIFS(存条明细!$C$4:$C$1003,出库明细!C1392,存条明细!$D$4:$D$1003,出库明细!D1392)&gt;0,COUNTIFS(出库明细!$C$4:C1392,出库明细!C1392,出库明细!$D$4:D1392,出库明细!D1392)&gt;1),"",IFERROR(MATCH(出库明细!C1392,总览汇总!$B$5:$B$304,0),900)*10000000+IFERROR(MATCH(出库明细!D1392,基础资料!$E$5:$E$104,0),900)*10000+ROW()))</f>
      </c>
      <c r="F2392">
        <f>IF(AND(出库明细!C2392&lt;&gt;"",出库明细!C2392=客户对账单!$B$4,ISNUMBER(出库明细!B2392),出库明细!B2392&gt;=客户对账单!$G$4,出库明细!B2392&lt;=客户对账单!$I$4),出库明细!B2392+ROW()/100000,"")</f>
      </c>
      <c r="H2392">
        <f>IF(AND(资金台帐!K895&lt;&gt;"",资金台帐!K895=供应商对账单!$B$4,资金台帐!P895="应付",ISNUMBER(资金台帐!B895),资金台帐!B895&gt;=供应商对账单!$G$4,资金台帐!B895&lt;=供应商对账单!$I$4),资金台帐!B895+ROW()/100000,"")</f>
      </c>
      <c r="N2392">
        <f>IF(AND(ISNUMBER(出库明细!G2392),ISNUMBER(出库明细!E2392),ISNUMBER(出库明细!F2392)),IF(ABS(出库明细!G2392-出库明细!E2392*出库明细!F2392)&gt;0.005,1,0),0)</f>
        <v>0</v>
      </c>
    </row>
    <row r="2393">
      <c r="A2393">
        <f>IF(OR(出库明细!C1393="",出库明细!D1393=""),"",IF(OR(COUNTIFS(存条明细!$C$4:$C$1003,出库明细!C1393,存条明细!$D$4:$D$1003,出库明细!D1393)&gt;0,COUNTIFS(出库明细!$C$4:C1393,出库明细!C1393,出库明细!$D$4:D1393,出库明细!D1393)&gt;1),"",IFERROR(MATCH(出库明细!C1393,总览汇总!$B$5:$B$304,0),900)*10000000+IFERROR(MATCH(出库明细!D1393,基础资料!$E$5:$E$104,0),900)*10000+ROW()))</f>
      </c>
      <c r="F2393">
        <f>IF(AND(出库明细!C2393&lt;&gt;"",出库明细!C2393=客户对账单!$B$4,ISNUMBER(出库明细!B2393),出库明细!B2393&gt;=客户对账单!$G$4,出库明细!B2393&lt;=客户对账单!$I$4),出库明细!B2393+ROW()/100000,"")</f>
      </c>
      <c r="H2393">
        <f>IF(AND(资金台帐!K896&lt;&gt;"",资金台帐!K896=供应商对账单!$B$4,资金台帐!P896="应付",ISNUMBER(资金台帐!B896),资金台帐!B896&gt;=供应商对账单!$G$4,资金台帐!B896&lt;=供应商对账单!$I$4),资金台帐!B896+ROW()/100000,"")</f>
      </c>
      <c r="N2393">
        <f>IF(AND(ISNUMBER(出库明细!G2393),ISNUMBER(出库明细!E2393),ISNUMBER(出库明细!F2393)),IF(ABS(出库明细!G2393-出库明细!E2393*出库明细!F2393)&gt;0.005,1,0),0)</f>
        <v>0</v>
      </c>
    </row>
    <row r="2394">
      <c r="A2394">
        <f>IF(OR(出库明细!C1394="",出库明细!D1394=""),"",IF(OR(COUNTIFS(存条明细!$C$4:$C$1003,出库明细!C1394,存条明细!$D$4:$D$1003,出库明细!D1394)&gt;0,COUNTIFS(出库明细!$C$4:C1394,出库明细!C1394,出库明细!$D$4:D1394,出库明细!D1394)&gt;1),"",IFERROR(MATCH(出库明细!C1394,总览汇总!$B$5:$B$304,0),900)*10000000+IFERROR(MATCH(出库明细!D1394,基础资料!$E$5:$E$104,0),900)*10000+ROW()))</f>
      </c>
      <c r="F2394">
        <f>IF(AND(出库明细!C2394&lt;&gt;"",出库明细!C2394=客户对账单!$B$4,ISNUMBER(出库明细!B2394),出库明细!B2394&gt;=客户对账单!$G$4,出库明细!B2394&lt;=客户对账单!$I$4),出库明细!B2394+ROW()/100000,"")</f>
      </c>
      <c r="H2394">
        <f>IF(AND(资金台帐!K897&lt;&gt;"",资金台帐!K897=供应商对账单!$B$4,资金台帐!P897="应付",ISNUMBER(资金台帐!B897),资金台帐!B897&gt;=供应商对账单!$G$4,资金台帐!B897&lt;=供应商对账单!$I$4),资金台帐!B897+ROW()/100000,"")</f>
      </c>
      <c r="N2394">
        <f>IF(AND(ISNUMBER(出库明细!G2394),ISNUMBER(出库明细!E2394),ISNUMBER(出库明细!F2394)),IF(ABS(出库明细!G2394-出库明细!E2394*出库明细!F2394)&gt;0.005,1,0),0)</f>
        <v>0</v>
      </c>
    </row>
    <row r="2395">
      <c r="A2395">
        <f>IF(OR(出库明细!C1395="",出库明细!D1395=""),"",IF(OR(COUNTIFS(存条明细!$C$4:$C$1003,出库明细!C1395,存条明细!$D$4:$D$1003,出库明细!D1395)&gt;0,COUNTIFS(出库明细!$C$4:C1395,出库明细!C1395,出库明细!$D$4:D1395,出库明细!D1395)&gt;1),"",IFERROR(MATCH(出库明细!C1395,总览汇总!$B$5:$B$304,0),900)*10000000+IFERROR(MATCH(出库明细!D1395,基础资料!$E$5:$E$104,0),900)*10000+ROW()))</f>
      </c>
      <c r="F2395">
        <f>IF(AND(出库明细!C2395&lt;&gt;"",出库明细!C2395=客户对账单!$B$4,ISNUMBER(出库明细!B2395),出库明细!B2395&gt;=客户对账单!$G$4,出库明细!B2395&lt;=客户对账单!$I$4),出库明细!B2395+ROW()/100000,"")</f>
      </c>
      <c r="H2395">
        <f>IF(AND(资金台帐!K898&lt;&gt;"",资金台帐!K898=供应商对账单!$B$4,资金台帐!P898="应付",ISNUMBER(资金台帐!B898),资金台帐!B898&gt;=供应商对账单!$G$4,资金台帐!B898&lt;=供应商对账单!$I$4),资金台帐!B898+ROW()/100000,"")</f>
      </c>
      <c r="N2395">
        <f>IF(AND(ISNUMBER(出库明细!G2395),ISNUMBER(出库明细!E2395),ISNUMBER(出库明细!F2395)),IF(ABS(出库明细!G2395-出库明细!E2395*出库明细!F2395)&gt;0.005,1,0),0)</f>
        <v>0</v>
      </c>
    </row>
    <row r="2396">
      <c r="A2396">
        <f>IF(OR(出库明细!C1396="",出库明细!D1396=""),"",IF(OR(COUNTIFS(存条明细!$C$4:$C$1003,出库明细!C1396,存条明细!$D$4:$D$1003,出库明细!D1396)&gt;0,COUNTIFS(出库明细!$C$4:C1396,出库明细!C1396,出库明细!$D$4:D1396,出库明细!D1396)&gt;1),"",IFERROR(MATCH(出库明细!C1396,总览汇总!$B$5:$B$304,0),900)*10000000+IFERROR(MATCH(出库明细!D1396,基础资料!$E$5:$E$104,0),900)*10000+ROW()))</f>
      </c>
      <c r="F2396">
        <f>IF(AND(出库明细!C2396&lt;&gt;"",出库明细!C2396=客户对账单!$B$4,ISNUMBER(出库明细!B2396),出库明细!B2396&gt;=客户对账单!$G$4,出库明细!B2396&lt;=客户对账单!$I$4),出库明细!B2396+ROW()/100000,"")</f>
      </c>
      <c r="H2396">
        <f>IF(AND(资金台帐!K899&lt;&gt;"",资金台帐!K899=供应商对账单!$B$4,资金台帐!P899="应付",ISNUMBER(资金台帐!B899),资金台帐!B899&gt;=供应商对账单!$G$4,资金台帐!B899&lt;=供应商对账单!$I$4),资金台帐!B899+ROW()/100000,"")</f>
      </c>
      <c r="N2396">
        <f>IF(AND(ISNUMBER(出库明细!G2396),ISNUMBER(出库明细!E2396),ISNUMBER(出库明细!F2396)),IF(ABS(出库明细!G2396-出库明细!E2396*出库明细!F2396)&gt;0.005,1,0),0)</f>
        <v>0</v>
      </c>
    </row>
    <row r="2397">
      <c r="A2397">
        <f>IF(OR(出库明细!C1397="",出库明细!D1397=""),"",IF(OR(COUNTIFS(存条明细!$C$4:$C$1003,出库明细!C1397,存条明细!$D$4:$D$1003,出库明细!D1397)&gt;0,COUNTIFS(出库明细!$C$4:C1397,出库明细!C1397,出库明细!$D$4:D1397,出库明细!D1397)&gt;1),"",IFERROR(MATCH(出库明细!C1397,总览汇总!$B$5:$B$304,0),900)*10000000+IFERROR(MATCH(出库明细!D1397,基础资料!$E$5:$E$104,0),900)*10000+ROW()))</f>
      </c>
      <c r="F2397">
        <f>IF(AND(出库明细!C2397&lt;&gt;"",出库明细!C2397=客户对账单!$B$4,ISNUMBER(出库明细!B2397),出库明细!B2397&gt;=客户对账单!$G$4,出库明细!B2397&lt;=客户对账单!$I$4),出库明细!B2397+ROW()/100000,"")</f>
      </c>
      <c r="H2397">
        <f>IF(AND(资金台帐!K900&lt;&gt;"",资金台帐!K900=供应商对账单!$B$4,资金台帐!P900="应付",ISNUMBER(资金台帐!B900),资金台帐!B900&gt;=供应商对账单!$G$4,资金台帐!B900&lt;=供应商对账单!$I$4),资金台帐!B900+ROW()/100000,"")</f>
      </c>
      <c r="N2397">
        <f>IF(AND(ISNUMBER(出库明细!G2397),ISNUMBER(出库明细!E2397),ISNUMBER(出库明细!F2397)),IF(ABS(出库明细!G2397-出库明细!E2397*出库明细!F2397)&gt;0.005,1,0),0)</f>
        <v>0</v>
      </c>
    </row>
    <row r="2398">
      <c r="A2398">
        <f>IF(OR(出库明细!C1398="",出库明细!D1398=""),"",IF(OR(COUNTIFS(存条明细!$C$4:$C$1003,出库明细!C1398,存条明细!$D$4:$D$1003,出库明细!D1398)&gt;0,COUNTIFS(出库明细!$C$4:C1398,出库明细!C1398,出库明细!$D$4:D1398,出库明细!D1398)&gt;1),"",IFERROR(MATCH(出库明细!C1398,总览汇总!$B$5:$B$304,0),900)*10000000+IFERROR(MATCH(出库明细!D1398,基础资料!$E$5:$E$104,0),900)*10000+ROW()))</f>
      </c>
      <c r="F2398">
        <f>IF(AND(出库明细!C2398&lt;&gt;"",出库明细!C2398=客户对账单!$B$4,ISNUMBER(出库明细!B2398),出库明细!B2398&gt;=客户对账单!$G$4,出库明细!B2398&lt;=客户对账单!$I$4),出库明细!B2398+ROW()/100000,"")</f>
      </c>
      <c r="H2398">
        <f>IF(AND(资金台帐!K901&lt;&gt;"",资金台帐!K901=供应商对账单!$B$4,资金台帐!P901="应付",ISNUMBER(资金台帐!B901),资金台帐!B901&gt;=供应商对账单!$G$4,资金台帐!B901&lt;=供应商对账单!$I$4),资金台帐!B901+ROW()/100000,"")</f>
      </c>
      <c r="N2398">
        <f>IF(AND(ISNUMBER(出库明细!G2398),ISNUMBER(出库明细!E2398),ISNUMBER(出库明细!F2398)),IF(ABS(出库明细!G2398-出库明细!E2398*出库明细!F2398)&gt;0.005,1,0),0)</f>
        <v>0</v>
      </c>
    </row>
    <row r="2399">
      <c r="A2399">
        <f>IF(OR(出库明细!C1399="",出库明细!D1399=""),"",IF(OR(COUNTIFS(存条明细!$C$4:$C$1003,出库明细!C1399,存条明细!$D$4:$D$1003,出库明细!D1399)&gt;0,COUNTIFS(出库明细!$C$4:C1399,出库明细!C1399,出库明细!$D$4:D1399,出库明细!D1399)&gt;1),"",IFERROR(MATCH(出库明细!C1399,总览汇总!$B$5:$B$304,0),900)*10000000+IFERROR(MATCH(出库明细!D1399,基础资料!$E$5:$E$104,0),900)*10000+ROW()))</f>
      </c>
      <c r="F2399">
        <f>IF(AND(出库明细!C2399&lt;&gt;"",出库明细!C2399=客户对账单!$B$4,ISNUMBER(出库明细!B2399),出库明细!B2399&gt;=客户对账单!$G$4,出库明细!B2399&lt;=客户对账单!$I$4),出库明细!B2399+ROW()/100000,"")</f>
      </c>
      <c r="H2399">
        <f>IF(AND(资金台帐!K902&lt;&gt;"",资金台帐!K902=供应商对账单!$B$4,资金台帐!P902="应付",ISNUMBER(资金台帐!B902),资金台帐!B902&gt;=供应商对账单!$G$4,资金台帐!B902&lt;=供应商对账单!$I$4),资金台帐!B902+ROW()/100000,"")</f>
      </c>
      <c r="N2399">
        <f>IF(AND(ISNUMBER(出库明细!G2399),ISNUMBER(出库明细!E2399),ISNUMBER(出库明细!F2399)),IF(ABS(出库明细!G2399-出库明细!E2399*出库明细!F2399)&gt;0.005,1,0),0)</f>
        <v>0</v>
      </c>
    </row>
    <row r="2400">
      <c r="A2400">
        <f>IF(OR(出库明细!C1400="",出库明细!D1400=""),"",IF(OR(COUNTIFS(存条明细!$C$4:$C$1003,出库明细!C1400,存条明细!$D$4:$D$1003,出库明细!D1400)&gt;0,COUNTIFS(出库明细!$C$4:C1400,出库明细!C1400,出库明细!$D$4:D1400,出库明细!D1400)&gt;1),"",IFERROR(MATCH(出库明细!C1400,总览汇总!$B$5:$B$304,0),900)*10000000+IFERROR(MATCH(出库明细!D1400,基础资料!$E$5:$E$104,0),900)*10000+ROW()))</f>
      </c>
      <c r="F2400">
        <f>IF(AND(出库明细!C2400&lt;&gt;"",出库明细!C2400=客户对账单!$B$4,ISNUMBER(出库明细!B2400),出库明细!B2400&gt;=客户对账单!$G$4,出库明细!B2400&lt;=客户对账单!$I$4),出库明细!B2400+ROW()/100000,"")</f>
      </c>
      <c r="H2400">
        <f>IF(AND(资金台帐!K903&lt;&gt;"",资金台帐!K903=供应商对账单!$B$4,资金台帐!P903="应付",ISNUMBER(资金台帐!B903),资金台帐!B903&gt;=供应商对账单!$G$4,资金台帐!B903&lt;=供应商对账单!$I$4),资金台帐!B903+ROW()/100000,"")</f>
      </c>
      <c r="N2400">
        <f>IF(AND(ISNUMBER(出库明细!G2400),ISNUMBER(出库明细!E2400),ISNUMBER(出库明细!F2400)),IF(ABS(出库明细!G2400-出库明细!E2400*出库明细!F2400)&gt;0.005,1,0),0)</f>
        <v>0</v>
      </c>
    </row>
    <row r="2401">
      <c r="A2401">
        <f>IF(OR(出库明细!C1401="",出库明细!D1401=""),"",IF(OR(COUNTIFS(存条明细!$C$4:$C$1003,出库明细!C1401,存条明细!$D$4:$D$1003,出库明细!D1401)&gt;0,COUNTIFS(出库明细!$C$4:C1401,出库明细!C1401,出库明细!$D$4:D1401,出库明细!D1401)&gt;1),"",IFERROR(MATCH(出库明细!C1401,总览汇总!$B$5:$B$304,0),900)*10000000+IFERROR(MATCH(出库明细!D1401,基础资料!$E$5:$E$104,0),900)*10000+ROW()))</f>
      </c>
      <c r="F2401">
        <f>IF(AND(出库明细!C2401&lt;&gt;"",出库明细!C2401=客户对账单!$B$4,ISNUMBER(出库明细!B2401),出库明细!B2401&gt;=客户对账单!$G$4,出库明细!B2401&lt;=客户对账单!$I$4),出库明细!B2401+ROW()/100000,"")</f>
      </c>
      <c r="H2401">
        <f>IF(AND(资金台帐!K904&lt;&gt;"",资金台帐!K904=供应商对账单!$B$4,资金台帐!P904="应付",ISNUMBER(资金台帐!B904),资金台帐!B904&gt;=供应商对账单!$G$4,资金台帐!B904&lt;=供应商对账单!$I$4),资金台帐!B904+ROW()/100000,"")</f>
      </c>
      <c r="N2401">
        <f>IF(AND(ISNUMBER(出库明细!G2401),ISNUMBER(出库明细!E2401),ISNUMBER(出库明细!F2401)),IF(ABS(出库明细!G2401-出库明细!E2401*出库明细!F2401)&gt;0.005,1,0),0)</f>
        <v>0</v>
      </c>
    </row>
    <row r="2402">
      <c r="A2402">
        <f>IF(OR(出库明细!C1402="",出库明细!D1402=""),"",IF(OR(COUNTIFS(存条明细!$C$4:$C$1003,出库明细!C1402,存条明细!$D$4:$D$1003,出库明细!D1402)&gt;0,COUNTIFS(出库明细!$C$4:C1402,出库明细!C1402,出库明细!$D$4:D1402,出库明细!D1402)&gt;1),"",IFERROR(MATCH(出库明细!C1402,总览汇总!$B$5:$B$304,0),900)*10000000+IFERROR(MATCH(出库明细!D1402,基础资料!$E$5:$E$104,0),900)*10000+ROW()))</f>
      </c>
      <c r="F2402">
        <f>IF(AND(出库明细!C2402&lt;&gt;"",出库明细!C2402=客户对账单!$B$4,ISNUMBER(出库明细!B2402),出库明细!B2402&gt;=客户对账单!$G$4,出库明细!B2402&lt;=客户对账单!$I$4),出库明细!B2402+ROW()/100000,"")</f>
      </c>
      <c r="H2402">
        <f>IF(AND(资金台帐!K905&lt;&gt;"",资金台帐!K905=供应商对账单!$B$4,资金台帐!P905="应付",ISNUMBER(资金台帐!B905),资金台帐!B905&gt;=供应商对账单!$G$4,资金台帐!B905&lt;=供应商对账单!$I$4),资金台帐!B905+ROW()/100000,"")</f>
      </c>
      <c r="N2402">
        <f>IF(AND(ISNUMBER(出库明细!G2402),ISNUMBER(出库明细!E2402),ISNUMBER(出库明细!F2402)),IF(ABS(出库明细!G2402-出库明细!E2402*出库明细!F2402)&gt;0.005,1,0),0)</f>
        <v>0</v>
      </c>
    </row>
    <row r="2403">
      <c r="A2403">
        <f>IF(OR(出库明细!C1403="",出库明细!D1403=""),"",IF(OR(COUNTIFS(存条明细!$C$4:$C$1003,出库明细!C1403,存条明细!$D$4:$D$1003,出库明细!D1403)&gt;0,COUNTIFS(出库明细!$C$4:C1403,出库明细!C1403,出库明细!$D$4:D1403,出库明细!D1403)&gt;1),"",IFERROR(MATCH(出库明细!C1403,总览汇总!$B$5:$B$304,0),900)*10000000+IFERROR(MATCH(出库明细!D1403,基础资料!$E$5:$E$104,0),900)*10000+ROW()))</f>
      </c>
      <c r="F2403">
        <f>IF(AND(出库明细!C2403&lt;&gt;"",出库明细!C2403=客户对账单!$B$4,ISNUMBER(出库明细!B2403),出库明细!B2403&gt;=客户对账单!$G$4,出库明细!B2403&lt;=客户对账单!$I$4),出库明细!B2403+ROW()/100000,"")</f>
      </c>
      <c r="H2403">
        <f>IF(AND(资金台帐!K906&lt;&gt;"",资金台帐!K906=供应商对账单!$B$4,资金台帐!P906="应付",ISNUMBER(资金台帐!B906),资金台帐!B906&gt;=供应商对账单!$G$4,资金台帐!B906&lt;=供应商对账单!$I$4),资金台帐!B906+ROW()/100000,"")</f>
      </c>
      <c r="N2403">
        <f>IF(AND(ISNUMBER(出库明细!G2403),ISNUMBER(出库明细!E2403),ISNUMBER(出库明细!F2403)),IF(ABS(出库明细!G2403-出库明细!E2403*出库明细!F2403)&gt;0.005,1,0),0)</f>
        <v>0</v>
      </c>
    </row>
    <row r="2404">
      <c r="A2404">
        <f>IF(OR(出库明细!C1404="",出库明细!D1404=""),"",IF(OR(COUNTIFS(存条明细!$C$4:$C$1003,出库明细!C1404,存条明细!$D$4:$D$1003,出库明细!D1404)&gt;0,COUNTIFS(出库明细!$C$4:C1404,出库明细!C1404,出库明细!$D$4:D1404,出库明细!D1404)&gt;1),"",IFERROR(MATCH(出库明细!C1404,总览汇总!$B$5:$B$304,0),900)*10000000+IFERROR(MATCH(出库明细!D1404,基础资料!$E$5:$E$104,0),900)*10000+ROW()))</f>
      </c>
      <c r="F2404">
        <f>IF(AND(出库明细!C2404&lt;&gt;"",出库明细!C2404=客户对账单!$B$4,ISNUMBER(出库明细!B2404),出库明细!B2404&gt;=客户对账单!$G$4,出库明细!B2404&lt;=客户对账单!$I$4),出库明细!B2404+ROW()/100000,"")</f>
      </c>
      <c r="H2404">
        <f>IF(AND(资金台帐!K907&lt;&gt;"",资金台帐!K907=供应商对账单!$B$4,资金台帐!P907="应付",ISNUMBER(资金台帐!B907),资金台帐!B907&gt;=供应商对账单!$G$4,资金台帐!B907&lt;=供应商对账单!$I$4),资金台帐!B907+ROW()/100000,"")</f>
      </c>
      <c r="N2404">
        <f>IF(AND(ISNUMBER(出库明细!G2404),ISNUMBER(出库明细!E2404),ISNUMBER(出库明细!F2404)),IF(ABS(出库明细!G2404-出库明细!E2404*出库明细!F2404)&gt;0.005,1,0),0)</f>
        <v>0</v>
      </c>
    </row>
    <row r="2405">
      <c r="A2405">
        <f>IF(OR(出库明细!C1405="",出库明细!D1405=""),"",IF(OR(COUNTIFS(存条明细!$C$4:$C$1003,出库明细!C1405,存条明细!$D$4:$D$1003,出库明细!D1405)&gt;0,COUNTIFS(出库明细!$C$4:C1405,出库明细!C1405,出库明细!$D$4:D1405,出库明细!D1405)&gt;1),"",IFERROR(MATCH(出库明细!C1405,总览汇总!$B$5:$B$304,0),900)*10000000+IFERROR(MATCH(出库明细!D1405,基础资料!$E$5:$E$104,0),900)*10000+ROW()))</f>
      </c>
      <c r="F2405">
        <f>IF(AND(出库明细!C2405&lt;&gt;"",出库明细!C2405=客户对账单!$B$4,ISNUMBER(出库明细!B2405),出库明细!B2405&gt;=客户对账单!$G$4,出库明细!B2405&lt;=客户对账单!$I$4),出库明细!B2405+ROW()/100000,"")</f>
      </c>
      <c r="H2405">
        <f>IF(AND(资金台帐!K908&lt;&gt;"",资金台帐!K908=供应商对账单!$B$4,资金台帐!P908="应付",ISNUMBER(资金台帐!B908),资金台帐!B908&gt;=供应商对账单!$G$4,资金台帐!B908&lt;=供应商对账单!$I$4),资金台帐!B908+ROW()/100000,"")</f>
      </c>
      <c r="N2405">
        <f>IF(AND(ISNUMBER(出库明细!G2405),ISNUMBER(出库明细!E2405),ISNUMBER(出库明细!F2405)),IF(ABS(出库明细!G2405-出库明细!E2405*出库明细!F2405)&gt;0.005,1,0),0)</f>
        <v>0</v>
      </c>
    </row>
    <row r="2406">
      <c r="A2406">
        <f>IF(OR(出库明细!C1406="",出库明细!D1406=""),"",IF(OR(COUNTIFS(存条明细!$C$4:$C$1003,出库明细!C1406,存条明细!$D$4:$D$1003,出库明细!D1406)&gt;0,COUNTIFS(出库明细!$C$4:C1406,出库明细!C1406,出库明细!$D$4:D1406,出库明细!D1406)&gt;1),"",IFERROR(MATCH(出库明细!C1406,总览汇总!$B$5:$B$304,0),900)*10000000+IFERROR(MATCH(出库明细!D1406,基础资料!$E$5:$E$104,0),900)*10000+ROW()))</f>
      </c>
      <c r="F2406">
        <f>IF(AND(出库明细!C2406&lt;&gt;"",出库明细!C2406=客户对账单!$B$4,ISNUMBER(出库明细!B2406),出库明细!B2406&gt;=客户对账单!$G$4,出库明细!B2406&lt;=客户对账单!$I$4),出库明细!B2406+ROW()/100000,"")</f>
      </c>
      <c r="H2406">
        <f>IF(AND(资金台帐!K909&lt;&gt;"",资金台帐!K909=供应商对账单!$B$4,资金台帐!P909="应付",ISNUMBER(资金台帐!B909),资金台帐!B909&gt;=供应商对账单!$G$4,资金台帐!B909&lt;=供应商对账单!$I$4),资金台帐!B909+ROW()/100000,"")</f>
      </c>
      <c r="N2406">
        <f>IF(AND(ISNUMBER(出库明细!G2406),ISNUMBER(出库明细!E2406),ISNUMBER(出库明细!F2406)),IF(ABS(出库明细!G2406-出库明细!E2406*出库明细!F2406)&gt;0.005,1,0),0)</f>
        <v>0</v>
      </c>
    </row>
    <row r="2407">
      <c r="A2407">
        <f>IF(OR(出库明细!C1407="",出库明细!D1407=""),"",IF(OR(COUNTIFS(存条明细!$C$4:$C$1003,出库明细!C1407,存条明细!$D$4:$D$1003,出库明细!D1407)&gt;0,COUNTIFS(出库明细!$C$4:C1407,出库明细!C1407,出库明细!$D$4:D1407,出库明细!D1407)&gt;1),"",IFERROR(MATCH(出库明细!C1407,总览汇总!$B$5:$B$304,0),900)*10000000+IFERROR(MATCH(出库明细!D1407,基础资料!$E$5:$E$104,0),900)*10000+ROW()))</f>
      </c>
      <c r="F2407">
        <f>IF(AND(出库明细!C2407&lt;&gt;"",出库明细!C2407=客户对账单!$B$4,ISNUMBER(出库明细!B2407),出库明细!B2407&gt;=客户对账单!$G$4,出库明细!B2407&lt;=客户对账单!$I$4),出库明细!B2407+ROW()/100000,"")</f>
      </c>
      <c r="H2407">
        <f>IF(AND(资金台帐!K910&lt;&gt;"",资金台帐!K910=供应商对账单!$B$4,资金台帐!P910="应付",ISNUMBER(资金台帐!B910),资金台帐!B910&gt;=供应商对账单!$G$4,资金台帐!B910&lt;=供应商对账单!$I$4),资金台帐!B910+ROW()/100000,"")</f>
      </c>
      <c r="N2407">
        <f>IF(AND(ISNUMBER(出库明细!G2407),ISNUMBER(出库明细!E2407),ISNUMBER(出库明细!F2407)),IF(ABS(出库明细!G2407-出库明细!E2407*出库明细!F2407)&gt;0.005,1,0),0)</f>
        <v>0</v>
      </c>
    </row>
    <row r="2408">
      <c r="A2408">
        <f>IF(OR(出库明细!C1408="",出库明细!D1408=""),"",IF(OR(COUNTIFS(存条明细!$C$4:$C$1003,出库明细!C1408,存条明细!$D$4:$D$1003,出库明细!D1408)&gt;0,COUNTIFS(出库明细!$C$4:C1408,出库明细!C1408,出库明细!$D$4:D1408,出库明细!D1408)&gt;1),"",IFERROR(MATCH(出库明细!C1408,总览汇总!$B$5:$B$304,0),900)*10000000+IFERROR(MATCH(出库明细!D1408,基础资料!$E$5:$E$104,0),900)*10000+ROW()))</f>
      </c>
      <c r="F2408">
        <f>IF(AND(出库明细!C2408&lt;&gt;"",出库明细!C2408=客户对账单!$B$4,ISNUMBER(出库明细!B2408),出库明细!B2408&gt;=客户对账单!$G$4,出库明细!B2408&lt;=客户对账单!$I$4),出库明细!B2408+ROW()/100000,"")</f>
      </c>
      <c r="H2408">
        <f>IF(AND(资金台帐!K911&lt;&gt;"",资金台帐!K911=供应商对账单!$B$4,资金台帐!P911="应付",ISNUMBER(资金台帐!B911),资金台帐!B911&gt;=供应商对账单!$G$4,资金台帐!B911&lt;=供应商对账单!$I$4),资金台帐!B911+ROW()/100000,"")</f>
      </c>
      <c r="N2408">
        <f>IF(AND(ISNUMBER(出库明细!G2408),ISNUMBER(出库明细!E2408),ISNUMBER(出库明细!F2408)),IF(ABS(出库明细!G2408-出库明细!E2408*出库明细!F2408)&gt;0.005,1,0),0)</f>
        <v>0</v>
      </c>
    </row>
    <row r="2409">
      <c r="A2409">
        <f>IF(OR(出库明细!C1409="",出库明细!D1409=""),"",IF(OR(COUNTIFS(存条明细!$C$4:$C$1003,出库明细!C1409,存条明细!$D$4:$D$1003,出库明细!D1409)&gt;0,COUNTIFS(出库明细!$C$4:C1409,出库明细!C1409,出库明细!$D$4:D1409,出库明细!D1409)&gt;1),"",IFERROR(MATCH(出库明细!C1409,总览汇总!$B$5:$B$304,0),900)*10000000+IFERROR(MATCH(出库明细!D1409,基础资料!$E$5:$E$104,0),900)*10000+ROW()))</f>
      </c>
      <c r="F2409">
        <f>IF(AND(出库明细!C2409&lt;&gt;"",出库明细!C2409=客户对账单!$B$4,ISNUMBER(出库明细!B2409),出库明细!B2409&gt;=客户对账单!$G$4,出库明细!B2409&lt;=客户对账单!$I$4),出库明细!B2409+ROW()/100000,"")</f>
      </c>
      <c r="H2409">
        <f>IF(AND(资金台帐!K912&lt;&gt;"",资金台帐!K912=供应商对账单!$B$4,资金台帐!P912="应付",ISNUMBER(资金台帐!B912),资金台帐!B912&gt;=供应商对账单!$G$4,资金台帐!B912&lt;=供应商对账单!$I$4),资金台帐!B912+ROW()/100000,"")</f>
      </c>
      <c r="N2409">
        <f>IF(AND(ISNUMBER(出库明细!G2409),ISNUMBER(出库明细!E2409),ISNUMBER(出库明细!F2409)),IF(ABS(出库明细!G2409-出库明细!E2409*出库明细!F2409)&gt;0.005,1,0),0)</f>
        <v>0</v>
      </c>
    </row>
    <row r="2410">
      <c r="A2410">
        <f>IF(OR(出库明细!C1410="",出库明细!D1410=""),"",IF(OR(COUNTIFS(存条明细!$C$4:$C$1003,出库明细!C1410,存条明细!$D$4:$D$1003,出库明细!D1410)&gt;0,COUNTIFS(出库明细!$C$4:C1410,出库明细!C1410,出库明细!$D$4:D1410,出库明细!D1410)&gt;1),"",IFERROR(MATCH(出库明细!C1410,总览汇总!$B$5:$B$304,0),900)*10000000+IFERROR(MATCH(出库明细!D1410,基础资料!$E$5:$E$104,0),900)*10000+ROW()))</f>
      </c>
      <c r="F2410">
        <f>IF(AND(出库明细!C2410&lt;&gt;"",出库明细!C2410=客户对账单!$B$4,ISNUMBER(出库明细!B2410),出库明细!B2410&gt;=客户对账单!$G$4,出库明细!B2410&lt;=客户对账单!$I$4),出库明细!B2410+ROW()/100000,"")</f>
      </c>
      <c r="H2410">
        <f>IF(AND(资金台帐!K913&lt;&gt;"",资金台帐!K913=供应商对账单!$B$4,资金台帐!P913="应付",ISNUMBER(资金台帐!B913),资金台帐!B913&gt;=供应商对账单!$G$4,资金台帐!B913&lt;=供应商对账单!$I$4),资金台帐!B913+ROW()/100000,"")</f>
      </c>
      <c r="N2410">
        <f>IF(AND(ISNUMBER(出库明细!G2410),ISNUMBER(出库明细!E2410),ISNUMBER(出库明细!F2410)),IF(ABS(出库明细!G2410-出库明细!E2410*出库明细!F2410)&gt;0.005,1,0),0)</f>
        <v>0</v>
      </c>
    </row>
    <row r="2411">
      <c r="A2411">
        <f>IF(OR(出库明细!C1411="",出库明细!D1411=""),"",IF(OR(COUNTIFS(存条明细!$C$4:$C$1003,出库明细!C1411,存条明细!$D$4:$D$1003,出库明细!D1411)&gt;0,COUNTIFS(出库明细!$C$4:C1411,出库明细!C1411,出库明细!$D$4:D1411,出库明细!D1411)&gt;1),"",IFERROR(MATCH(出库明细!C1411,总览汇总!$B$5:$B$304,0),900)*10000000+IFERROR(MATCH(出库明细!D1411,基础资料!$E$5:$E$104,0),900)*10000+ROW()))</f>
      </c>
      <c r="F2411">
        <f>IF(AND(出库明细!C2411&lt;&gt;"",出库明细!C2411=客户对账单!$B$4,ISNUMBER(出库明细!B2411),出库明细!B2411&gt;=客户对账单!$G$4,出库明细!B2411&lt;=客户对账单!$I$4),出库明细!B2411+ROW()/100000,"")</f>
      </c>
      <c r="H2411">
        <f>IF(AND(资金台帐!K914&lt;&gt;"",资金台帐!K914=供应商对账单!$B$4,资金台帐!P914="应付",ISNUMBER(资金台帐!B914),资金台帐!B914&gt;=供应商对账单!$G$4,资金台帐!B914&lt;=供应商对账单!$I$4),资金台帐!B914+ROW()/100000,"")</f>
      </c>
      <c r="N2411">
        <f>IF(AND(ISNUMBER(出库明细!G2411),ISNUMBER(出库明细!E2411),ISNUMBER(出库明细!F2411)),IF(ABS(出库明细!G2411-出库明细!E2411*出库明细!F2411)&gt;0.005,1,0),0)</f>
        <v>0</v>
      </c>
    </row>
    <row r="2412">
      <c r="A2412">
        <f>IF(OR(出库明细!C1412="",出库明细!D1412=""),"",IF(OR(COUNTIFS(存条明细!$C$4:$C$1003,出库明细!C1412,存条明细!$D$4:$D$1003,出库明细!D1412)&gt;0,COUNTIFS(出库明细!$C$4:C1412,出库明细!C1412,出库明细!$D$4:D1412,出库明细!D1412)&gt;1),"",IFERROR(MATCH(出库明细!C1412,总览汇总!$B$5:$B$304,0),900)*10000000+IFERROR(MATCH(出库明细!D1412,基础资料!$E$5:$E$104,0),900)*10000+ROW()))</f>
      </c>
      <c r="F2412">
        <f>IF(AND(出库明细!C2412&lt;&gt;"",出库明细!C2412=客户对账单!$B$4,ISNUMBER(出库明细!B2412),出库明细!B2412&gt;=客户对账单!$G$4,出库明细!B2412&lt;=客户对账单!$I$4),出库明细!B2412+ROW()/100000,"")</f>
      </c>
      <c r="H2412">
        <f>IF(AND(资金台帐!K915&lt;&gt;"",资金台帐!K915=供应商对账单!$B$4,资金台帐!P915="应付",ISNUMBER(资金台帐!B915),资金台帐!B915&gt;=供应商对账单!$G$4,资金台帐!B915&lt;=供应商对账单!$I$4),资金台帐!B915+ROW()/100000,"")</f>
      </c>
      <c r="N2412">
        <f>IF(AND(ISNUMBER(出库明细!G2412),ISNUMBER(出库明细!E2412),ISNUMBER(出库明细!F2412)),IF(ABS(出库明细!G2412-出库明细!E2412*出库明细!F2412)&gt;0.005,1,0),0)</f>
        <v>0</v>
      </c>
    </row>
    <row r="2413">
      <c r="A2413">
        <f>IF(OR(出库明细!C1413="",出库明细!D1413=""),"",IF(OR(COUNTIFS(存条明细!$C$4:$C$1003,出库明细!C1413,存条明细!$D$4:$D$1003,出库明细!D1413)&gt;0,COUNTIFS(出库明细!$C$4:C1413,出库明细!C1413,出库明细!$D$4:D1413,出库明细!D1413)&gt;1),"",IFERROR(MATCH(出库明细!C1413,总览汇总!$B$5:$B$304,0),900)*10000000+IFERROR(MATCH(出库明细!D1413,基础资料!$E$5:$E$104,0),900)*10000+ROW()))</f>
      </c>
      <c r="F2413">
        <f>IF(AND(出库明细!C2413&lt;&gt;"",出库明细!C2413=客户对账单!$B$4,ISNUMBER(出库明细!B2413),出库明细!B2413&gt;=客户对账单!$G$4,出库明细!B2413&lt;=客户对账单!$I$4),出库明细!B2413+ROW()/100000,"")</f>
      </c>
      <c r="H2413">
        <f>IF(AND(资金台帐!K916&lt;&gt;"",资金台帐!K916=供应商对账单!$B$4,资金台帐!P916="应付",ISNUMBER(资金台帐!B916),资金台帐!B916&gt;=供应商对账单!$G$4,资金台帐!B916&lt;=供应商对账单!$I$4),资金台帐!B916+ROW()/100000,"")</f>
      </c>
      <c r="N2413">
        <f>IF(AND(ISNUMBER(出库明细!G2413),ISNUMBER(出库明细!E2413),ISNUMBER(出库明细!F2413)),IF(ABS(出库明细!G2413-出库明细!E2413*出库明细!F2413)&gt;0.005,1,0),0)</f>
        <v>0</v>
      </c>
    </row>
    <row r="2414">
      <c r="A2414">
        <f>IF(OR(出库明细!C1414="",出库明细!D1414=""),"",IF(OR(COUNTIFS(存条明细!$C$4:$C$1003,出库明细!C1414,存条明细!$D$4:$D$1003,出库明细!D1414)&gt;0,COUNTIFS(出库明细!$C$4:C1414,出库明细!C1414,出库明细!$D$4:D1414,出库明细!D1414)&gt;1),"",IFERROR(MATCH(出库明细!C1414,总览汇总!$B$5:$B$304,0),900)*10000000+IFERROR(MATCH(出库明细!D1414,基础资料!$E$5:$E$104,0),900)*10000+ROW()))</f>
      </c>
      <c r="F2414">
        <f>IF(AND(出库明细!C2414&lt;&gt;"",出库明细!C2414=客户对账单!$B$4,ISNUMBER(出库明细!B2414),出库明细!B2414&gt;=客户对账单!$G$4,出库明细!B2414&lt;=客户对账单!$I$4),出库明细!B2414+ROW()/100000,"")</f>
      </c>
      <c r="H2414">
        <f>IF(AND(资金台帐!K917&lt;&gt;"",资金台帐!K917=供应商对账单!$B$4,资金台帐!P917="应付",ISNUMBER(资金台帐!B917),资金台帐!B917&gt;=供应商对账单!$G$4,资金台帐!B917&lt;=供应商对账单!$I$4),资金台帐!B917+ROW()/100000,"")</f>
      </c>
      <c r="N2414">
        <f>IF(AND(ISNUMBER(出库明细!G2414),ISNUMBER(出库明细!E2414),ISNUMBER(出库明细!F2414)),IF(ABS(出库明细!G2414-出库明细!E2414*出库明细!F2414)&gt;0.005,1,0),0)</f>
        <v>0</v>
      </c>
    </row>
    <row r="2415">
      <c r="A2415">
        <f>IF(OR(出库明细!C1415="",出库明细!D1415=""),"",IF(OR(COUNTIFS(存条明细!$C$4:$C$1003,出库明细!C1415,存条明细!$D$4:$D$1003,出库明细!D1415)&gt;0,COUNTIFS(出库明细!$C$4:C1415,出库明细!C1415,出库明细!$D$4:D1415,出库明细!D1415)&gt;1),"",IFERROR(MATCH(出库明细!C1415,总览汇总!$B$5:$B$304,0),900)*10000000+IFERROR(MATCH(出库明细!D1415,基础资料!$E$5:$E$104,0),900)*10000+ROW()))</f>
      </c>
      <c r="F2415">
        <f>IF(AND(出库明细!C2415&lt;&gt;"",出库明细!C2415=客户对账单!$B$4,ISNUMBER(出库明细!B2415),出库明细!B2415&gt;=客户对账单!$G$4,出库明细!B2415&lt;=客户对账单!$I$4),出库明细!B2415+ROW()/100000,"")</f>
      </c>
      <c r="H2415">
        <f>IF(AND(资金台帐!K918&lt;&gt;"",资金台帐!K918=供应商对账单!$B$4,资金台帐!P918="应付",ISNUMBER(资金台帐!B918),资金台帐!B918&gt;=供应商对账单!$G$4,资金台帐!B918&lt;=供应商对账单!$I$4),资金台帐!B918+ROW()/100000,"")</f>
      </c>
      <c r="N2415">
        <f>IF(AND(ISNUMBER(出库明细!G2415),ISNUMBER(出库明细!E2415),ISNUMBER(出库明细!F2415)),IF(ABS(出库明细!G2415-出库明细!E2415*出库明细!F2415)&gt;0.005,1,0),0)</f>
        <v>0</v>
      </c>
    </row>
    <row r="2416">
      <c r="A2416">
        <f>IF(OR(出库明细!C1416="",出库明细!D1416=""),"",IF(OR(COUNTIFS(存条明细!$C$4:$C$1003,出库明细!C1416,存条明细!$D$4:$D$1003,出库明细!D1416)&gt;0,COUNTIFS(出库明细!$C$4:C1416,出库明细!C1416,出库明细!$D$4:D1416,出库明细!D1416)&gt;1),"",IFERROR(MATCH(出库明细!C1416,总览汇总!$B$5:$B$304,0),900)*10000000+IFERROR(MATCH(出库明细!D1416,基础资料!$E$5:$E$104,0),900)*10000+ROW()))</f>
      </c>
      <c r="F2416">
        <f>IF(AND(出库明细!C2416&lt;&gt;"",出库明细!C2416=客户对账单!$B$4,ISNUMBER(出库明细!B2416),出库明细!B2416&gt;=客户对账单!$G$4,出库明细!B2416&lt;=客户对账单!$I$4),出库明细!B2416+ROW()/100000,"")</f>
      </c>
      <c r="H2416">
        <f>IF(AND(资金台帐!K919&lt;&gt;"",资金台帐!K919=供应商对账单!$B$4,资金台帐!P919="应付",ISNUMBER(资金台帐!B919),资金台帐!B919&gt;=供应商对账单!$G$4,资金台帐!B919&lt;=供应商对账单!$I$4),资金台帐!B919+ROW()/100000,"")</f>
      </c>
      <c r="N2416">
        <f>IF(AND(ISNUMBER(出库明细!G2416),ISNUMBER(出库明细!E2416),ISNUMBER(出库明细!F2416)),IF(ABS(出库明细!G2416-出库明细!E2416*出库明细!F2416)&gt;0.005,1,0),0)</f>
        <v>0</v>
      </c>
    </row>
    <row r="2417">
      <c r="A2417">
        <f>IF(OR(出库明细!C1417="",出库明细!D1417=""),"",IF(OR(COUNTIFS(存条明细!$C$4:$C$1003,出库明细!C1417,存条明细!$D$4:$D$1003,出库明细!D1417)&gt;0,COUNTIFS(出库明细!$C$4:C1417,出库明细!C1417,出库明细!$D$4:D1417,出库明细!D1417)&gt;1),"",IFERROR(MATCH(出库明细!C1417,总览汇总!$B$5:$B$304,0),900)*10000000+IFERROR(MATCH(出库明细!D1417,基础资料!$E$5:$E$104,0),900)*10000+ROW()))</f>
      </c>
      <c r="F2417">
        <f>IF(AND(出库明细!C2417&lt;&gt;"",出库明细!C2417=客户对账单!$B$4,ISNUMBER(出库明细!B2417),出库明细!B2417&gt;=客户对账单!$G$4,出库明细!B2417&lt;=客户对账单!$I$4),出库明细!B2417+ROW()/100000,"")</f>
      </c>
      <c r="H2417">
        <f>IF(AND(资金台帐!K920&lt;&gt;"",资金台帐!K920=供应商对账单!$B$4,资金台帐!P920="应付",ISNUMBER(资金台帐!B920),资金台帐!B920&gt;=供应商对账单!$G$4,资金台帐!B920&lt;=供应商对账单!$I$4),资金台帐!B920+ROW()/100000,"")</f>
      </c>
      <c r="N2417">
        <f>IF(AND(ISNUMBER(出库明细!G2417),ISNUMBER(出库明细!E2417),ISNUMBER(出库明细!F2417)),IF(ABS(出库明细!G2417-出库明细!E2417*出库明细!F2417)&gt;0.005,1,0),0)</f>
        <v>0</v>
      </c>
    </row>
    <row r="2418">
      <c r="A2418">
        <f>IF(OR(出库明细!C1418="",出库明细!D1418=""),"",IF(OR(COUNTIFS(存条明细!$C$4:$C$1003,出库明细!C1418,存条明细!$D$4:$D$1003,出库明细!D1418)&gt;0,COUNTIFS(出库明细!$C$4:C1418,出库明细!C1418,出库明细!$D$4:D1418,出库明细!D1418)&gt;1),"",IFERROR(MATCH(出库明细!C1418,总览汇总!$B$5:$B$304,0),900)*10000000+IFERROR(MATCH(出库明细!D1418,基础资料!$E$5:$E$104,0),900)*10000+ROW()))</f>
      </c>
      <c r="F2418">
        <f>IF(AND(出库明细!C2418&lt;&gt;"",出库明细!C2418=客户对账单!$B$4,ISNUMBER(出库明细!B2418),出库明细!B2418&gt;=客户对账单!$G$4,出库明细!B2418&lt;=客户对账单!$I$4),出库明细!B2418+ROW()/100000,"")</f>
      </c>
      <c r="H2418">
        <f>IF(AND(资金台帐!K921&lt;&gt;"",资金台帐!K921=供应商对账单!$B$4,资金台帐!P921="应付",ISNUMBER(资金台帐!B921),资金台帐!B921&gt;=供应商对账单!$G$4,资金台帐!B921&lt;=供应商对账单!$I$4),资金台帐!B921+ROW()/100000,"")</f>
      </c>
      <c r="N2418">
        <f>IF(AND(ISNUMBER(出库明细!G2418),ISNUMBER(出库明细!E2418),ISNUMBER(出库明细!F2418)),IF(ABS(出库明细!G2418-出库明细!E2418*出库明细!F2418)&gt;0.005,1,0),0)</f>
        <v>0</v>
      </c>
    </row>
    <row r="2419">
      <c r="A2419">
        <f>IF(OR(出库明细!C1419="",出库明细!D1419=""),"",IF(OR(COUNTIFS(存条明细!$C$4:$C$1003,出库明细!C1419,存条明细!$D$4:$D$1003,出库明细!D1419)&gt;0,COUNTIFS(出库明细!$C$4:C1419,出库明细!C1419,出库明细!$D$4:D1419,出库明细!D1419)&gt;1),"",IFERROR(MATCH(出库明细!C1419,总览汇总!$B$5:$B$304,0),900)*10000000+IFERROR(MATCH(出库明细!D1419,基础资料!$E$5:$E$104,0),900)*10000+ROW()))</f>
      </c>
      <c r="F2419">
        <f>IF(AND(出库明细!C2419&lt;&gt;"",出库明细!C2419=客户对账单!$B$4,ISNUMBER(出库明细!B2419),出库明细!B2419&gt;=客户对账单!$G$4,出库明细!B2419&lt;=客户对账单!$I$4),出库明细!B2419+ROW()/100000,"")</f>
      </c>
      <c r="H2419">
        <f>IF(AND(资金台帐!K922&lt;&gt;"",资金台帐!K922=供应商对账单!$B$4,资金台帐!P922="应付",ISNUMBER(资金台帐!B922),资金台帐!B922&gt;=供应商对账单!$G$4,资金台帐!B922&lt;=供应商对账单!$I$4),资金台帐!B922+ROW()/100000,"")</f>
      </c>
      <c r="N2419">
        <f>IF(AND(ISNUMBER(出库明细!G2419),ISNUMBER(出库明细!E2419),ISNUMBER(出库明细!F2419)),IF(ABS(出库明细!G2419-出库明细!E2419*出库明细!F2419)&gt;0.005,1,0),0)</f>
        <v>0</v>
      </c>
    </row>
    <row r="2420">
      <c r="A2420">
        <f>IF(OR(出库明细!C1420="",出库明细!D1420=""),"",IF(OR(COUNTIFS(存条明细!$C$4:$C$1003,出库明细!C1420,存条明细!$D$4:$D$1003,出库明细!D1420)&gt;0,COUNTIFS(出库明细!$C$4:C1420,出库明细!C1420,出库明细!$D$4:D1420,出库明细!D1420)&gt;1),"",IFERROR(MATCH(出库明细!C1420,总览汇总!$B$5:$B$304,0),900)*10000000+IFERROR(MATCH(出库明细!D1420,基础资料!$E$5:$E$104,0),900)*10000+ROW()))</f>
      </c>
      <c r="F2420">
        <f>IF(AND(出库明细!C2420&lt;&gt;"",出库明细!C2420=客户对账单!$B$4,ISNUMBER(出库明细!B2420),出库明细!B2420&gt;=客户对账单!$G$4,出库明细!B2420&lt;=客户对账单!$I$4),出库明细!B2420+ROW()/100000,"")</f>
      </c>
      <c r="H2420">
        <f>IF(AND(资金台帐!K923&lt;&gt;"",资金台帐!K923=供应商对账单!$B$4,资金台帐!P923="应付",ISNUMBER(资金台帐!B923),资金台帐!B923&gt;=供应商对账单!$G$4,资金台帐!B923&lt;=供应商对账单!$I$4),资金台帐!B923+ROW()/100000,"")</f>
      </c>
      <c r="N2420">
        <f>IF(AND(ISNUMBER(出库明细!G2420),ISNUMBER(出库明细!E2420),ISNUMBER(出库明细!F2420)),IF(ABS(出库明细!G2420-出库明细!E2420*出库明细!F2420)&gt;0.005,1,0),0)</f>
        <v>0</v>
      </c>
    </row>
    <row r="2421">
      <c r="A2421">
        <f>IF(OR(出库明细!C1421="",出库明细!D1421=""),"",IF(OR(COUNTIFS(存条明细!$C$4:$C$1003,出库明细!C1421,存条明细!$D$4:$D$1003,出库明细!D1421)&gt;0,COUNTIFS(出库明细!$C$4:C1421,出库明细!C1421,出库明细!$D$4:D1421,出库明细!D1421)&gt;1),"",IFERROR(MATCH(出库明细!C1421,总览汇总!$B$5:$B$304,0),900)*10000000+IFERROR(MATCH(出库明细!D1421,基础资料!$E$5:$E$104,0),900)*10000+ROW()))</f>
      </c>
      <c r="F2421">
        <f>IF(AND(出库明细!C2421&lt;&gt;"",出库明细!C2421=客户对账单!$B$4,ISNUMBER(出库明细!B2421),出库明细!B2421&gt;=客户对账单!$G$4,出库明细!B2421&lt;=客户对账单!$I$4),出库明细!B2421+ROW()/100000,"")</f>
      </c>
      <c r="H2421">
        <f>IF(AND(资金台帐!K924&lt;&gt;"",资金台帐!K924=供应商对账单!$B$4,资金台帐!P924="应付",ISNUMBER(资金台帐!B924),资金台帐!B924&gt;=供应商对账单!$G$4,资金台帐!B924&lt;=供应商对账单!$I$4),资金台帐!B924+ROW()/100000,"")</f>
      </c>
      <c r="N2421">
        <f>IF(AND(ISNUMBER(出库明细!G2421),ISNUMBER(出库明细!E2421),ISNUMBER(出库明细!F2421)),IF(ABS(出库明细!G2421-出库明细!E2421*出库明细!F2421)&gt;0.005,1,0),0)</f>
        <v>0</v>
      </c>
    </row>
    <row r="2422">
      <c r="A2422">
        <f>IF(OR(出库明细!C1422="",出库明细!D1422=""),"",IF(OR(COUNTIFS(存条明细!$C$4:$C$1003,出库明细!C1422,存条明细!$D$4:$D$1003,出库明细!D1422)&gt;0,COUNTIFS(出库明细!$C$4:C1422,出库明细!C1422,出库明细!$D$4:D1422,出库明细!D1422)&gt;1),"",IFERROR(MATCH(出库明细!C1422,总览汇总!$B$5:$B$304,0),900)*10000000+IFERROR(MATCH(出库明细!D1422,基础资料!$E$5:$E$104,0),900)*10000+ROW()))</f>
      </c>
      <c r="F2422">
        <f>IF(AND(出库明细!C2422&lt;&gt;"",出库明细!C2422=客户对账单!$B$4,ISNUMBER(出库明细!B2422),出库明细!B2422&gt;=客户对账单!$G$4,出库明细!B2422&lt;=客户对账单!$I$4),出库明细!B2422+ROW()/100000,"")</f>
      </c>
      <c r="H2422">
        <f>IF(AND(资金台帐!K925&lt;&gt;"",资金台帐!K925=供应商对账单!$B$4,资金台帐!P925="应付",ISNUMBER(资金台帐!B925),资金台帐!B925&gt;=供应商对账单!$G$4,资金台帐!B925&lt;=供应商对账单!$I$4),资金台帐!B925+ROW()/100000,"")</f>
      </c>
      <c r="N2422">
        <f>IF(AND(ISNUMBER(出库明细!G2422),ISNUMBER(出库明细!E2422),ISNUMBER(出库明细!F2422)),IF(ABS(出库明细!G2422-出库明细!E2422*出库明细!F2422)&gt;0.005,1,0),0)</f>
        <v>0</v>
      </c>
    </row>
    <row r="2423">
      <c r="A2423">
        <f>IF(OR(出库明细!C1423="",出库明细!D1423=""),"",IF(OR(COUNTIFS(存条明细!$C$4:$C$1003,出库明细!C1423,存条明细!$D$4:$D$1003,出库明细!D1423)&gt;0,COUNTIFS(出库明细!$C$4:C1423,出库明细!C1423,出库明细!$D$4:D1423,出库明细!D1423)&gt;1),"",IFERROR(MATCH(出库明细!C1423,总览汇总!$B$5:$B$304,0),900)*10000000+IFERROR(MATCH(出库明细!D1423,基础资料!$E$5:$E$104,0),900)*10000+ROW()))</f>
      </c>
      <c r="F2423">
        <f>IF(AND(出库明细!C2423&lt;&gt;"",出库明细!C2423=客户对账单!$B$4,ISNUMBER(出库明细!B2423),出库明细!B2423&gt;=客户对账单!$G$4,出库明细!B2423&lt;=客户对账单!$I$4),出库明细!B2423+ROW()/100000,"")</f>
      </c>
      <c r="H2423">
        <f>IF(AND(资金台帐!K926&lt;&gt;"",资金台帐!K926=供应商对账单!$B$4,资金台帐!P926="应付",ISNUMBER(资金台帐!B926),资金台帐!B926&gt;=供应商对账单!$G$4,资金台帐!B926&lt;=供应商对账单!$I$4),资金台帐!B926+ROW()/100000,"")</f>
      </c>
      <c r="N2423">
        <f>IF(AND(ISNUMBER(出库明细!G2423),ISNUMBER(出库明细!E2423),ISNUMBER(出库明细!F2423)),IF(ABS(出库明细!G2423-出库明细!E2423*出库明细!F2423)&gt;0.005,1,0),0)</f>
        <v>0</v>
      </c>
    </row>
    <row r="2424">
      <c r="A2424">
        <f>IF(OR(出库明细!C1424="",出库明细!D1424=""),"",IF(OR(COUNTIFS(存条明细!$C$4:$C$1003,出库明细!C1424,存条明细!$D$4:$D$1003,出库明细!D1424)&gt;0,COUNTIFS(出库明细!$C$4:C1424,出库明细!C1424,出库明细!$D$4:D1424,出库明细!D1424)&gt;1),"",IFERROR(MATCH(出库明细!C1424,总览汇总!$B$5:$B$304,0),900)*10000000+IFERROR(MATCH(出库明细!D1424,基础资料!$E$5:$E$104,0),900)*10000+ROW()))</f>
      </c>
      <c r="F2424">
        <f>IF(AND(出库明细!C2424&lt;&gt;"",出库明细!C2424=客户对账单!$B$4,ISNUMBER(出库明细!B2424),出库明细!B2424&gt;=客户对账单!$G$4,出库明细!B2424&lt;=客户对账单!$I$4),出库明细!B2424+ROW()/100000,"")</f>
      </c>
      <c r="H2424">
        <f>IF(AND(资金台帐!K927&lt;&gt;"",资金台帐!K927=供应商对账单!$B$4,资金台帐!P927="应付",ISNUMBER(资金台帐!B927),资金台帐!B927&gt;=供应商对账单!$G$4,资金台帐!B927&lt;=供应商对账单!$I$4),资金台帐!B927+ROW()/100000,"")</f>
      </c>
      <c r="N2424">
        <f>IF(AND(ISNUMBER(出库明细!G2424),ISNUMBER(出库明细!E2424),ISNUMBER(出库明细!F2424)),IF(ABS(出库明细!G2424-出库明细!E2424*出库明细!F2424)&gt;0.005,1,0),0)</f>
        <v>0</v>
      </c>
    </row>
    <row r="2425">
      <c r="A2425">
        <f>IF(OR(出库明细!C1425="",出库明细!D1425=""),"",IF(OR(COUNTIFS(存条明细!$C$4:$C$1003,出库明细!C1425,存条明细!$D$4:$D$1003,出库明细!D1425)&gt;0,COUNTIFS(出库明细!$C$4:C1425,出库明细!C1425,出库明细!$D$4:D1425,出库明细!D1425)&gt;1),"",IFERROR(MATCH(出库明细!C1425,总览汇总!$B$5:$B$304,0),900)*10000000+IFERROR(MATCH(出库明细!D1425,基础资料!$E$5:$E$104,0),900)*10000+ROW()))</f>
      </c>
      <c r="F2425">
        <f>IF(AND(出库明细!C2425&lt;&gt;"",出库明细!C2425=客户对账单!$B$4,ISNUMBER(出库明细!B2425),出库明细!B2425&gt;=客户对账单!$G$4,出库明细!B2425&lt;=客户对账单!$I$4),出库明细!B2425+ROW()/100000,"")</f>
      </c>
      <c r="H2425">
        <f>IF(AND(资金台帐!K928&lt;&gt;"",资金台帐!K928=供应商对账单!$B$4,资金台帐!P928="应付",ISNUMBER(资金台帐!B928),资金台帐!B928&gt;=供应商对账单!$G$4,资金台帐!B928&lt;=供应商对账单!$I$4),资金台帐!B928+ROW()/100000,"")</f>
      </c>
      <c r="N2425">
        <f>IF(AND(ISNUMBER(出库明细!G2425),ISNUMBER(出库明细!E2425),ISNUMBER(出库明细!F2425)),IF(ABS(出库明细!G2425-出库明细!E2425*出库明细!F2425)&gt;0.005,1,0),0)</f>
        <v>0</v>
      </c>
    </row>
    <row r="2426">
      <c r="A2426">
        <f>IF(OR(出库明细!C1426="",出库明细!D1426=""),"",IF(OR(COUNTIFS(存条明细!$C$4:$C$1003,出库明细!C1426,存条明细!$D$4:$D$1003,出库明细!D1426)&gt;0,COUNTIFS(出库明细!$C$4:C1426,出库明细!C1426,出库明细!$D$4:D1426,出库明细!D1426)&gt;1),"",IFERROR(MATCH(出库明细!C1426,总览汇总!$B$5:$B$304,0),900)*10000000+IFERROR(MATCH(出库明细!D1426,基础资料!$E$5:$E$104,0),900)*10000+ROW()))</f>
      </c>
      <c r="F2426">
        <f>IF(AND(出库明细!C2426&lt;&gt;"",出库明细!C2426=客户对账单!$B$4,ISNUMBER(出库明细!B2426),出库明细!B2426&gt;=客户对账单!$G$4,出库明细!B2426&lt;=客户对账单!$I$4),出库明细!B2426+ROW()/100000,"")</f>
      </c>
      <c r="H2426">
        <f>IF(AND(资金台帐!K929&lt;&gt;"",资金台帐!K929=供应商对账单!$B$4,资金台帐!P929="应付",ISNUMBER(资金台帐!B929),资金台帐!B929&gt;=供应商对账单!$G$4,资金台帐!B929&lt;=供应商对账单!$I$4),资金台帐!B929+ROW()/100000,"")</f>
      </c>
      <c r="N2426">
        <f>IF(AND(ISNUMBER(出库明细!G2426),ISNUMBER(出库明细!E2426),ISNUMBER(出库明细!F2426)),IF(ABS(出库明细!G2426-出库明细!E2426*出库明细!F2426)&gt;0.005,1,0),0)</f>
        <v>0</v>
      </c>
    </row>
    <row r="2427">
      <c r="A2427">
        <f>IF(OR(出库明细!C1427="",出库明细!D1427=""),"",IF(OR(COUNTIFS(存条明细!$C$4:$C$1003,出库明细!C1427,存条明细!$D$4:$D$1003,出库明细!D1427)&gt;0,COUNTIFS(出库明细!$C$4:C1427,出库明细!C1427,出库明细!$D$4:D1427,出库明细!D1427)&gt;1),"",IFERROR(MATCH(出库明细!C1427,总览汇总!$B$5:$B$304,0),900)*10000000+IFERROR(MATCH(出库明细!D1427,基础资料!$E$5:$E$104,0),900)*10000+ROW()))</f>
      </c>
      <c r="F2427">
        <f>IF(AND(出库明细!C2427&lt;&gt;"",出库明细!C2427=客户对账单!$B$4,ISNUMBER(出库明细!B2427),出库明细!B2427&gt;=客户对账单!$G$4,出库明细!B2427&lt;=客户对账单!$I$4),出库明细!B2427+ROW()/100000,"")</f>
      </c>
      <c r="H2427">
        <f>IF(AND(资金台帐!K930&lt;&gt;"",资金台帐!K930=供应商对账单!$B$4,资金台帐!P930="应付",ISNUMBER(资金台帐!B930),资金台帐!B930&gt;=供应商对账单!$G$4,资金台帐!B930&lt;=供应商对账单!$I$4),资金台帐!B930+ROW()/100000,"")</f>
      </c>
      <c r="N2427">
        <f>IF(AND(ISNUMBER(出库明细!G2427),ISNUMBER(出库明细!E2427),ISNUMBER(出库明细!F2427)),IF(ABS(出库明细!G2427-出库明细!E2427*出库明细!F2427)&gt;0.005,1,0),0)</f>
        <v>0</v>
      </c>
    </row>
    <row r="2428">
      <c r="A2428">
        <f>IF(OR(出库明细!C1428="",出库明细!D1428=""),"",IF(OR(COUNTIFS(存条明细!$C$4:$C$1003,出库明细!C1428,存条明细!$D$4:$D$1003,出库明细!D1428)&gt;0,COUNTIFS(出库明细!$C$4:C1428,出库明细!C1428,出库明细!$D$4:D1428,出库明细!D1428)&gt;1),"",IFERROR(MATCH(出库明细!C1428,总览汇总!$B$5:$B$304,0),900)*10000000+IFERROR(MATCH(出库明细!D1428,基础资料!$E$5:$E$104,0),900)*10000+ROW()))</f>
      </c>
      <c r="F2428">
        <f>IF(AND(出库明细!C2428&lt;&gt;"",出库明细!C2428=客户对账单!$B$4,ISNUMBER(出库明细!B2428),出库明细!B2428&gt;=客户对账单!$G$4,出库明细!B2428&lt;=客户对账单!$I$4),出库明细!B2428+ROW()/100000,"")</f>
      </c>
      <c r="H2428">
        <f>IF(AND(资金台帐!K931&lt;&gt;"",资金台帐!K931=供应商对账单!$B$4,资金台帐!P931="应付",ISNUMBER(资金台帐!B931),资金台帐!B931&gt;=供应商对账单!$G$4,资金台帐!B931&lt;=供应商对账单!$I$4),资金台帐!B931+ROW()/100000,"")</f>
      </c>
      <c r="N2428">
        <f>IF(AND(ISNUMBER(出库明细!G2428),ISNUMBER(出库明细!E2428),ISNUMBER(出库明细!F2428)),IF(ABS(出库明细!G2428-出库明细!E2428*出库明细!F2428)&gt;0.005,1,0),0)</f>
        <v>0</v>
      </c>
    </row>
    <row r="2429">
      <c r="A2429">
        <f>IF(OR(出库明细!C1429="",出库明细!D1429=""),"",IF(OR(COUNTIFS(存条明细!$C$4:$C$1003,出库明细!C1429,存条明细!$D$4:$D$1003,出库明细!D1429)&gt;0,COUNTIFS(出库明细!$C$4:C1429,出库明细!C1429,出库明细!$D$4:D1429,出库明细!D1429)&gt;1),"",IFERROR(MATCH(出库明细!C1429,总览汇总!$B$5:$B$304,0),900)*10000000+IFERROR(MATCH(出库明细!D1429,基础资料!$E$5:$E$104,0),900)*10000+ROW()))</f>
      </c>
      <c r="F2429">
        <f>IF(AND(出库明细!C2429&lt;&gt;"",出库明细!C2429=客户对账单!$B$4,ISNUMBER(出库明细!B2429),出库明细!B2429&gt;=客户对账单!$G$4,出库明细!B2429&lt;=客户对账单!$I$4),出库明细!B2429+ROW()/100000,"")</f>
      </c>
      <c r="H2429">
        <f>IF(AND(资金台帐!K932&lt;&gt;"",资金台帐!K932=供应商对账单!$B$4,资金台帐!P932="应付",ISNUMBER(资金台帐!B932),资金台帐!B932&gt;=供应商对账单!$G$4,资金台帐!B932&lt;=供应商对账单!$I$4),资金台帐!B932+ROW()/100000,"")</f>
      </c>
      <c r="N2429">
        <f>IF(AND(ISNUMBER(出库明细!G2429),ISNUMBER(出库明细!E2429),ISNUMBER(出库明细!F2429)),IF(ABS(出库明细!G2429-出库明细!E2429*出库明细!F2429)&gt;0.005,1,0),0)</f>
        <v>0</v>
      </c>
    </row>
    <row r="2430">
      <c r="A2430">
        <f>IF(OR(出库明细!C1430="",出库明细!D1430=""),"",IF(OR(COUNTIFS(存条明细!$C$4:$C$1003,出库明细!C1430,存条明细!$D$4:$D$1003,出库明细!D1430)&gt;0,COUNTIFS(出库明细!$C$4:C1430,出库明细!C1430,出库明细!$D$4:D1430,出库明细!D1430)&gt;1),"",IFERROR(MATCH(出库明细!C1430,总览汇总!$B$5:$B$304,0),900)*10000000+IFERROR(MATCH(出库明细!D1430,基础资料!$E$5:$E$104,0),900)*10000+ROW()))</f>
      </c>
      <c r="F2430">
        <f>IF(AND(出库明细!C2430&lt;&gt;"",出库明细!C2430=客户对账单!$B$4,ISNUMBER(出库明细!B2430),出库明细!B2430&gt;=客户对账单!$G$4,出库明细!B2430&lt;=客户对账单!$I$4),出库明细!B2430+ROW()/100000,"")</f>
      </c>
      <c r="H2430">
        <f>IF(AND(资金台帐!K933&lt;&gt;"",资金台帐!K933=供应商对账单!$B$4,资金台帐!P933="应付",ISNUMBER(资金台帐!B933),资金台帐!B933&gt;=供应商对账单!$G$4,资金台帐!B933&lt;=供应商对账单!$I$4),资金台帐!B933+ROW()/100000,"")</f>
      </c>
      <c r="N2430">
        <f>IF(AND(ISNUMBER(出库明细!G2430),ISNUMBER(出库明细!E2430),ISNUMBER(出库明细!F2430)),IF(ABS(出库明细!G2430-出库明细!E2430*出库明细!F2430)&gt;0.005,1,0),0)</f>
        <v>0</v>
      </c>
    </row>
    <row r="2431">
      <c r="A2431">
        <f>IF(OR(出库明细!C1431="",出库明细!D1431=""),"",IF(OR(COUNTIFS(存条明细!$C$4:$C$1003,出库明细!C1431,存条明细!$D$4:$D$1003,出库明细!D1431)&gt;0,COUNTIFS(出库明细!$C$4:C1431,出库明细!C1431,出库明细!$D$4:D1431,出库明细!D1431)&gt;1),"",IFERROR(MATCH(出库明细!C1431,总览汇总!$B$5:$B$304,0),900)*10000000+IFERROR(MATCH(出库明细!D1431,基础资料!$E$5:$E$104,0),900)*10000+ROW()))</f>
      </c>
      <c r="F2431">
        <f>IF(AND(出库明细!C2431&lt;&gt;"",出库明细!C2431=客户对账单!$B$4,ISNUMBER(出库明细!B2431),出库明细!B2431&gt;=客户对账单!$G$4,出库明细!B2431&lt;=客户对账单!$I$4),出库明细!B2431+ROW()/100000,"")</f>
      </c>
      <c r="H2431">
        <f>IF(AND(资金台帐!K934&lt;&gt;"",资金台帐!K934=供应商对账单!$B$4,资金台帐!P934="应付",ISNUMBER(资金台帐!B934),资金台帐!B934&gt;=供应商对账单!$G$4,资金台帐!B934&lt;=供应商对账单!$I$4),资金台帐!B934+ROW()/100000,"")</f>
      </c>
      <c r="N2431">
        <f>IF(AND(ISNUMBER(出库明细!G2431),ISNUMBER(出库明细!E2431),ISNUMBER(出库明细!F2431)),IF(ABS(出库明细!G2431-出库明细!E2431*出库明细!F2431)&gt;0.005,1,0),0)</f>
        <v>0</v>
      </c>
    </row>
    <row r="2432">
      <c r="A2432">
        <f>IF(OR(出库明细!C1432="",出库明细!D1432=""),"",IF(OR(COUNTIFS(存条明细!$C$4:$C$1003,出库明细!C1432,存条明细!$D$4:$D$1003,出库明细!D1432)&gt;0,COUNTIFS(出库明细!$C$4:C1432,出库明细!C1432,出库明细!$D$4:D1432,出库明细!D1432)&gt;1),"",IFERROR(MATCH(出库明细!C1432,总览汇总!$B$5:$B$304,0),900)*10000000+IFERROR(MATCH(出库明细!D1432,基础资料!$E$5:$E$104,0),900)*10000+ROW()))</f>
      </c>
      <c r="F2432">
        <f>IF(AND(出库明细!C2432&lt;&gt;"",出库明细!C2432=客户对账单!$B$4,ISNUMBER(出库明细!B2432),出库明细!B2432&gt;=客户对账单!$G$4,出库明细!B2432&lt;=客户对账单!$I$4),出库明细!B2432+ROW()/100000,"")</f>
      </c>
      <c r="H2432">
        <f>IF(AND(资金台帐!K935&lt;&gt;"",资金台帐!K935=供应商对账单!$B$4,资金台帐!P935="应付",ISNUMBER(资金台帐!B935),资金台帐!B935&gt;=供应商对账单!$G$4,资金台帐!B935&lt;=供应商对账单!$I$4),资金台帐!B935+ROW()/100000,"")</f>
      </c>
      <c r="N2432">
        <f>IF(AND(ISNUMBER(出库明细!G2432),ISNUMBER(出库明细!E2432),ISNUMBER(出库明细!F2432)),IF(ABS(出库明细!G2432-出库明细!E2432*出库明细!F2432)&gt;0.005,1,0),0)</f>
        <v>0</v>
      </c>
    </row>
    <row r="2433">
      <c r="A2433">
        <f>IF(OR(出库明细!C1433="",出库明细!D1433=""),"",IF(OR(COUNTIFS(存条明细!$C$4:$C$1003,出库明细!C1433,存条明细!$D$4:$D$1003,出库明细!D1433)&gt;0,COUNTIFS(出库明细!$C$4:C1433,出库明细!C1433,出库明细!$D$4:D1433,出库明细!D1433)&gt;1),"",IFERROR(MATCH(出库明细!C1433,总览汇总!$B$5:$B$304,0),900)*10000000+IFERROR(MATCH(出库明细!D1433,基础资料!$E$5:$E$104,0),900)*10000+ROW()))</f>
      </c>
      <c r="F2433">
        <f>IF(AND(出库明细!C2433&lt;&gt;"",出库明细!C2433=客户对账单!$B$4,ISNUMBER(出库明细!B2433),出库明细!B2433&gt;=客户对账单!$G$4,出库明细!B2433&lt;=客户对账单!$I$4),出库明细!B2433+ROW()/100000,"")</f>
      </c>
      <c r="H2433">
        <f>IF(AND(资金台帐!K936&lt;&gt;"",资金台帐!K936=供应商对账单!$B$4,资金台帐!P936="应付",ISNUMBER(资金台帐!B936),资金台帐!B936&gt;=供应商对账单!$G$4,资金台帐!B936&lt;=供应商对账单!$I$4),资金台帐!B936+ROW()/100000,"")</f>
      </c>
      <c r="N2433">
        <f>IF(AND(ISNUMBER(出库明细!G2433),ISNUMBER(出库明细!E2433),ISNUMBER(出库明细!F2433)),IF(ABS(出库明细!G2433-出库明细!E2433*出库明细!F2433)&gt;0.005,1,0),0)</f>
        <v>0</v>
      </c>
    </row>
    <row r="2434">
      <c r="A2434">
        <f>IF(OR(出库明细!C1434="",出库明细!D1434=""),"",IF(OR(COUNTIFS(存条明细!$C$4:$C$1003,出库明细!C1434,存条明细!$D$4:$D$1003,出库明细!D1434)&gt;0,COUNTIFS(出库明细!$C$4:C1434,出库明细!C1434,出库明细!$D$4:D1434,出库明细!D1434)&gt;1),"",IFERROR(MATCH(出库明细!C1434,总览汇总!$B$5:$B$304,0),900)*10000000+IFERROR(MATCH(出库明细!D1434,基础资料!$E$5:$E$104,0),900)*10000+ROW()))</f>
      </c>
      <c r="F2434">
        <f>IF(AND(出库明细!C2434&lt;&gt;"",出库明细!C2434=客户对账单!$B$4,ISNUMBER(出库明细!B2434),出库明细!B2434&gt;=客户对账单!$G$4,出库明细!B2434&lt;=客户对账单!$I$4),出库明细!B2434+ROW()/100000,"")</f>
      </c>
      <c r="H2434">
        <f>IF(AND(资金台帐!K937&lt;&gt;"",资金台帐!K937=供应商对账单!$B$4,资金台帐!P937="应付",ISNUMBER(资金台帐!B937),资金台帐!B937&gt;=供应商对账单!$G$4,资金台帐!B937&lt;=供应商对账单!$I$4),资金台帐!B937+ROW()/100000,"")</f>
      </c>
      <c r="N2434">
        <f>IF(AND(ISNUMBER(出库明细!G2434),ISNUMBER(出库明细!E2434),ISNUMBER(出库明细!F2434)),IF(ABS(出库明细!G2434-出库明细!E2434*出库明细!F2434)&gt;0.005,1,0),0)</f>
        <v>0</v>
      </c>
    </row>
    <row r="2435">
      <c r="A2435">
        <f>IF(OR(出库明细!C1435="",出库明细!D1435=""),"",IF(OR(COUNTIFS(存条明细!$C$4:$C$1003,出库明细!C1435,存条明细!$D$4:$D$1003,出库明细!D1435)&gt;0,COUNTIFS(出库明细!$C$4:C1435,出库明细!C1435,出库明细!$D$4:D1435,出库明细!D1435)&gt;1),"",IFERROR(MATCH(出库明细!C1435,总览汇总!$B$5:$B$304,0),900)*10000000+IFERROR(MATCH(出库明细!D1435,基础资料!$E$5:$E$104,0),900)*10000+ROW()))</f>
      </c>
      <c r="F2435">
        <f>IF(AND(出库明细!C2435&lt;&gt;"",出库明细!C2435=客户对账单!$B$4,ISNUMBER(出库明细!B2435),出库明细!B2435&gt;=客户对账单!$G$4,出库明细!B2435&lt;=客户对账单!$I$4),出库明细!B2435+ROW()/100000,"")</f>
      </c>
      <c r="H2435">
        <f>IF(AND(资金台帐!K938&lt;&gt;"",资金台帐!K938=供应商对账单!$B$4,资金台帐!P938="应付",ISNUMBER(资金台帐!B938),资金台帐!B938&gt;=供应商对账单!$G$4,资金台帐!B938&lt;=供应商对账单!$I$4),资金台帐!B938+ROW()/100000,"")</f>
      </c>
      <c r="N2435">
        <f>IF(AND(ISNUMBER(出库明细!G2435),ISNUMBER(出库明细!E2435),ISNUMBER(出库明细!F2435)),IF(ABS(出库明细!G2435-出库明细!E2435*出库明细!F2435)&gt;0.005,1,0),0)</f>
        <v>0</v>
      </c>
    </row>
    <row r="2436">
      <c r="A2436">
        <f>IF(OR(出库明细!C1436="",出库明细!D1436=""),"",IF(OR(COUNTIFS(存条明细!$C$4:$C$1003,出库明细!C1436,存条明细!$D$4:$D$1003,出库明细!D1436)&gt;0,COUNTIFS(出库明细!$C$4:C1436,出库明细!C1436,出库明细!$D$4:D1436,出库明细!D1436)&gt;1),"",IFERROR(MATCH(出库明细!C1436,总览汇总!$B$5:$B$304,0),900)*10000000+IFERROR(MATCH(出库明细!D1436,基础资料!$E$5:$E$104,0),900)*10000+ROW()))</f>
      </c>
      <c r="F2436">
        <f>IF(AND(出库明细!C2436&lt;&gt;"",出库明细!C2436=客户对账单!$B$4,ISNUMBER(出库明细!B2436),出库明细!B2436&gt;=客户对账单!$G$4,出库明细!B2436&lt;=客户对账单!$I$4),出库明细!B2436+ROW()/100000,"")</f>
      </c>
      <c r="H2436">
        <f>IF(AND(资金台帐!K939&lt;&gt;"",资金台帐!K939=供应商对账单!$B$4,资金台帐!P939="应付",ISNUMBER(资金台帐!B939),资金台帐!B939&gt;=供应商对账单!$G$4,资金台帐!B939&lt;=供应商对账单!$I$4),资金台帐!B939+ROW()/100000,"")</f>
      </c>
      <c r="N2436">
        <f>IF(AND(ISNUMBER(出库明细!G2436),ISNUMBER(出库明细!E2436),ISNUMBER(出库明细!F2436)),IF(ABS(出库明细!G2436-出库明细!E2436*出库明细!F2436)&gt;0.005,1,0),0)</f>
        <v>0</v>
      </c>
    </row>
    <row r="2437">
      <c r="A2437">
        <f>IF(OR(出库明细!C1437="",出库明细!D1437=""),"",IF(OR(COUNTIFS(存条明细!$C$4:$C$1003,出库明细!C1437,存条明细!$D$4:$D$1003,出库明细!D1437)&gt;0,COUNTIFS(出库明细!$C$4:C1437,出库明细!C1437,出库明细!$D$4:D1437,出库明细!D1437)&gt;1),"",IFERROR(MATCH(出库明细!C1437,总览汇总!$B$5:$B$304,0),900)*10000000+IFERROR(MATCH(出库明细!D1437,基础资料!$E$5:$E$104,0),900)*10000+ROW()))</f>
      </c>
      <c r="F2437">
        <f>IF(AND(出库明细!C2437&lt;&gt;"",出库明细!C2437=客户对账单!$B$4,ISNUMBER(出库明细!B2437),出库明细!B2437&gt;=客户对账单!$G$4,出库明细!B2437&lt;=客户对账单!$I$4),出库明细!B2437+ROW()/100000,"")</f>
      </c>
      <c r="H2437">
        <f>IF(AND(资金台帐!K940&lt;&gt;"",资金台帐!K940=供应商对账单!$B$4,资金台帐!P940="应付",ISNUMBER(资金台帐!B940),资金台帐!B940&gt;=供应商对账单!$G$4,资金台帐!B940&lt;=供应商对账单!$I$4),资金台帐!B940+ROW()/100000,"")</f>
      </c>
      <c r="N2437">
        <f>IF(AND(ISNUMBER(出库明细!G2437),ISNUMBER(出库明细!E2437),ISNUMBER(出库明细!F2437)),IF(ABS(出库明细!G2437-出库明细!E2437*出库明细!F2437)&gt;0.005,1,0),0)</f>
        <v>0</v>
      </c>
    </row>
    <row r="2438">
      <c r="A2438">
        <f>IF(OR(出库明细!C1438="",出库明细!D1438=""),"",IF(OR(COUNTIFS(存条明细!$C$4:$C$1003,出库明细!C1438,存条明细!$D$4:$D$1003,出库明细!D1438)&gt;0,COUNTIFS(出库明细!$C$4:C1438,出库明细!C1438,出库明细!$D$4:D1438,出库明细!D1438)&gt;1),"",IFERROR(MATCH(出库明细!C1438,总览汇总!$B$5:$B$304,0),900)*10000000+IFERROR(MATCH(出库明细!D1438,基础资料!$E$5:$E$104,0),900)*10000+ROW()))</f>
      </c>
      <c r="F2438">
        <f>IF(AND(出库明细!C2438&lt;&gt;"",出库明细!C2438=客户对账单!$B$4,ISNUMBER(出库明细!B2438),出库明细!B2438&gt;=客户对账单!$G$4,出库明细!B2438&lt;=客户对账单!$I$4),出库明细!B2438+ROW()/100000,"")</f>
      </c>
      <c r="H2438">
        <f>IF(AND(资金台帐!K941&lt;&gt;"",资金台帐!K941=供应商对账单!$B$4,资金台帐!P941="应付",ISNUMBER(资金台帐!B941),资金台帐!B941&gt;=供应商对账单!$G$4,资金台帐!B941&lt;=供应商对账单!$I$4),资金台帐!B941+ROW()/100000,"")</f>
      </c>
      <c r="N2438">
        <f>IF(AND(ISNUMBER(出库明细!G2438),ISNUMBER(出库明细!E2438),ISNUMBER(出库明细!F2438)),IF(ABS(出库明细!G2438-出库明细!E2438*出库明细!F2438)&gt;0.005,1,0),0)</f>
        <v>0</v>
      </c>
    </row>
    <row r="2439">
      <c r="A2439">
        <f>IF(OR(出库明细!C1439="",出库明细!D1439=""),"",IF(OR(COUNTIFS(存条明细!$C$4:$C$1003,出库明细!C1439,存条明细!$D$4:$D$1003,出库明细!D1439)&gt;0,COUNTIFS(出库明细!$C$4:C1439,出库明细!C1439,出库明细!$D$4:D1439,出库明细!D1439)&gt;1),"",IFERROR(MATCH(出库明细!C1439,总览汇总!$B$5:$B$304,0),900)*10000000+IFERROR(MATCH(出库明细!D1439,基础资料!$E$5:$E$104,0),900)*10000+ROW()))</f>
      </c>
      <c r="F2439">
        <f>IF(AND(出库明细!C2439&lt;&gt;"",出库明细!C2439=客户对账单!$B$4,ISNUMBER(出库明细!B2439),出库明细!B2439&gt;=客户对账单!$G$4,出库明细!B2439&lt;=客户对账单!$I$4),出库明细!B2439+ROW()/100000,"")</f>
      </c>
      <c r="H2439">
        <f>IF(AND(资金台帐!K942&lt;&gt;"",资金台帐!K942=供应商对账单!$B$4,资金台帐!P942="应付",ISNUMBER(资金台帐!B942),资金台帐!B942&gt;=供应商对账单!$G$4,资金台帐!B942&lt;=供应商对账单!$I$4),资金台帐!B942+ROW()/100000,"")</f>
      </c>
      <c r="N2439">
        <f>IF(AND(ISNUMBER(出库明细!G2439),ISNUMBER(出库明细!E2439),ISNUMBER(出库明细!F2439)),IF(ABS(出库明细!G2439-出库明细!E2439*出库明细!F2439)&gt;0.005,1,0),0)</f>
        <v>0</v>
      </c>
    </row>
    <row r="2440">
      <c r="A2440">
        <f>IF(OR(出库明细!C1440="",出库明细!D1440=""),"",IF(OR(COUNTIFS(存条明细!$C$4:$C$1003,出库明细!C1440,存条明细!$D$4:$D$1003,出库明细!D1440)&gt;0,COUNTIFS(出库明细!$C$4:C1440,出库明细!C1440,出库明细!$D$4:D1440,出库明细!D1440)&gt;1),"",IFERROR(MATCH(出库明细!C1440,总览汇总!$B$5:$B$304,0),900)*10000000+IFERROR(MATCH(出库明细!D1440,基础资料!$E$5:$E$104,0),900)*10000+ROW()))</f>
      </c>
      <c r="F2440">
        <f>IF(AND(出库明细!C2440&lt;&gt;"",出库明细!C2440=客户对账单!$B$4,ISNUMBER(出库明细!B2440),出库明细!B2440&gt;=客户对账单!$G$4,出库明细!B2440&lt;=客户对账单!$I$4),出库明细!B2440+ROW()/100000,"")</f>
      </c>
      <c r="H2440">
        <f>IF(AND(资金台帐!K943&lt;&gt;"",资金台帐!K943=供应商对账单!$B$4,资金台帐!P943="应付",ISNUMBER(资金台帐!B943),资金台帐!B943&gt;=供应商对账单!$G$4,资金台帐!B943&lt;=供应商对账单!$I$4),资金台帐!B943+ROW()/100000,"")</f>
      </c>
      <c r="N2440">
        <f>IF(AND(ISNUMBER(出库明细!G2440),ISNUMBER(出库明细!E2440),ISNUMBER(出库明细!F2440)),IF(ABS(出库明细!G2440-出库明细!E2440*出库明细!F2440)&gt;0.005,1,0),0)</f>
        <v>0</v>
      </c>
    </row>
    <row r="2441">
      <c r="A2441">
        <f>IF(OR(出库明细!C1441="",出库明细!D1441=""),"",IF(OR(COUNTIFS(存条明细!$C$4:$C$1003,出库明细!C1441,存条明细!$D$4:$D$1003,出库明细!D1441)&gt;0,COUNTIFS(出库明细!$C$4:C1441,出库明细!C1441,出库明细!$D$4:D1441,出库明细!D1441)&gt;1),"",IFERROR(MATCH(出库明细!C1441,总览汇总!$B$5:$B$304,0),900)*10000000+IFERROR(MATCH(出库明细!D1441,基础资料!$E$5:$E$104,0),900)*10000+ROW()))</f>
      </c>
      <c r="F2441">
        <f>IF(AND(出库明细!C2441&lt;&gt;"",出库明细!C2441=客户对账单!$B$4,ISNUMBER(出库明细!B2441),出库明细!B2441&gt;=客户对账单!$G$4,出库明细!B2441&lt;=客户对账单!$I$4),出库明细!B2441+ROW()/100000,"")</f>
      </c>
      <c r="H2441">
        <f>IF(AND(资金台帐!K944&lt;&gt;"",资金台帐!K944=供应商对账单!$B$4,资金台帐!P944="应付",ISNUMBER(资金台帐!B944),资金台帐!B944&gt;=供应商对账单!$G$4,资金台帐!B944&lt;=供应商对账单!$I$4),资金台帐!B944+ROW()/100000,"")</f>
      </c>
      <c r="N2441">
        <f>IF(AND(ISNUMBER(出库明细!G2441),ISNUMBER(出库明细!E2441),ISNUMBER(出库明细!F2441)),IF(ABS(出库明细!G2441-出库明细!E2441*出库明细!F2441)&gt;0.005,1,0),0)</f>
        <v>0</v>
      </c>
    </row>
    <row r="2442">
      <c r="A2442">
        <f>IF(OR(出库明细!C1442="",出库明细!D1442=""),"",IF(OR(COUNTIFS(存条明细!$C$4:$C$1003,出库明细!C1442,存条明细!$D$4:$D$1003,出库明细!D1442)&gt;0,COUNTIFS(出库明细!$C$4:C1442,出库明细!C1442,出库明细!$D$4:D1442,出库明细!D1442)&gt;1),"",IFERROR(MATCH(出库明细!C1442,总览汇总!$B$5:$B$304,0),900)*10000000+IFERROR(MATCH(出库明细!D1442,基础资料!$E$5:$E$104,0),900)*10000+ROW()))</f>
      </c>
      <c r="F2442">
        <f>IF(AND(出库明细!C2442&lt;&gt;"",出库明细!C2442=客户对账单!$B$4,ISNUMBER(出库明细!B2442),出库明细!B2442&gt;=客户对账单!$G$4,出库明细!B2442&lt;=客户对账单!$I$4),出库明细!B2442+ROW()/100000,"")</f>
      </c>
      <c r="H2442">
        <f>IF(AND(资金台帐!K945&lt;&gt;"",资金台帐!K945=供应商对账单!$B$4,资金台帐!P945="应付",ISNUMBER(资金台帐!B945),资金台帐!B945&gt;=供应商对账单!$G$4,资金台帐!B945&lt;=供应商对账单!$I$4),资金台帐!B945+ROW()/100000,"")</f>
      </c>
      <c r="N2442">
        <f>IF(AND(ISNUMBER(出库明细!G2442),ISNUMBER(出库明细!E2442),ISNUMBER(出库明细!F2442)),IF(ABS(出库明细!G2442-出库明细!E2442*出库明细!F2442)&gt;0.005,1,0),0)</f>
        <v>0</v>
      </c>
    </row>
    <row r="2443">
      <c r="A2443">
        <f>IF(OR(出库明细!C1443="",出库明细!D1443=""),"",IF(OR(COUNTIFS(存条明细!$C$4:$C$1003,出库明细!C1443,存条明细!$D$4:$D$1003,出库明细!D1443)&gt;0,COUNTIFS(出库明细!$C$4:C1443,出库明细!C1443,出库明细!$D$4:D1443,出库明细!D1443)&gt;1),"",IFERROR(MATCH(出库明细!C1443,总览汇总!$B$5:$B$304,0),900)*10000000+IFERROR(MATCH(出库明细!D1443,基础资料!$E$5:$E$104,0),900)*10000+ROW()))</f>
      </c>
      <c r="F2443">
        <f>IF(AND(出库明细!C2443&lt;&gt;"",出库明细!C2443=客户对账单!$B$4,ISNUMBER(出库明细!B2443),出库明细!B2443&gt;=客户对账单!$G$4,出库明细!B2443&lt;=客户对账单!$I$4),出库明细!B2443+ROW()/100000,"")</f>
      </c>
      <c r="H2443">
        <f>IF(AND(资金台帐!K946&lt;&gt;"",资金台帐!K946=供应商对账单!$B$4,资金台帐!P946="应付",ISNUMBER(资金台帐!B946),资金台帐!B946&gt;=供应商对账单!$G$4,资金台帐!B946&lt;=供应商对账单!$I$4),资金台帐!B946+ROW()/100000,"")</f>
      </c>
      <c r="N2443">
        <f>IF(AND(ISNUMBER(出库明细!G2443),ISNUMBER(出库明细!E2443),ISNUMBER(出库明细!F2443)),IF(ABS(出库明细!G2443-出库明细!E2443*出库明细!F2443)&gt;0.005,1,0),0)</f>
        <v>0</v>
      </c>
    </row>
    <row r="2444">
      <c r="A2444">
        <f>IF(OR(出库明细!C1444="",出库明细!D1444=""),"",IF(OR(COUNTIFS(存条明细!$C$4:$C$1003,出库明细!C1444,存条明细!$D$4:$D$1003,出库明细!D1444)&gt;0,COUNTIFS(出库明细!$C$4:C1444,出库明细!C1444,出库明细!$D$4:D1444,出库明细!D1444)&gt;1),"",IFERROR(MATCH(出库明细!C1444,总览汇总!$B$5:$B$304,0),900)*10000000+IFERROR(MATCH(出库明细!D1444,基础资料!$E$5:$E$104,0),900)*10000+ROW()))</f>
      </c>
      <c r="F2444">
        <f>IF(AND(出库明细!C2444&lt;&gt;"",出库明细!C2444=客户对账单!$B$4,ISNUMBER(出库明细!B2444),出库明细!B2444&gt;=客户对账单!$G$4,出库明细!B2444&lt;=客户对账单!$I$4),出库明细!B2444+ROW()/100000,"")</f>
      </c>
      <c r="H2444">
        <f>IF(AND(资金台帐!K947&lt;&gt;"",资金台帐!K947=供应商对账单!$B$4,资金台帐!P947="应付",ISNUMBER(资金台帐!B947),资金台帐!B947&gt;=供应商对账单!$G$4,资金台帐!B947&lt;=供应商对账单!$I$4),资金台帐!B947+ROW()/100000,"")</f>
      </c>
      <c r="N2444">
        <f>IF(AND(ISNUMBER(出库明细!G2444),ISNUMBER(出库明细!E2444),ISNUMBER(出库明细!F2444)),IF(ABS(出库明细!G2444-出库明细!E2444*出库明细!F2444)&gt;0.005,1,0),0)</f>
        <v>0</v>
      </c>
    </row>
    <row r="2445">
      <c r="A2445">
        <f>IF(OR(出库明细!C1445="",出库明细!D1445=""),"",IF(OR(COUNTIFS(存条明细!$C$4:$C$1003,出库明细!C1445,存条明细!$D$4:$D$1003,出库明细!D1445)&gt;0,COUNTIFS(出库明细!$C$4:C1445,出库明细!C1445,出库明细!$D$4:D1445,出库明细!D1445)&gt;1),"",IFERROR(MATCH(出库明细!C1445,总览汇总!$B$5:$B$304,0),900)*10000000+IFERROR(MATCH(出库明细!D1445,基础资料!$E$5:$E$104,0),900)*10000+ROW()))</f>
      </c>
      <c r="F2445">
        <f>IF(AND(出库明细!C2445&lt;&gt;"",出库明细!C2445=客户对账单!$B$4,ISNUMBER(出库明细!B2445),出库明细!B2445&gt;=客户对账单!$G$4,出库明细!B2445&lt;=客户对账单!$I$4),出库明细!B2445+ROW()/100000,"")</f>
      </c>
      <c r="H2445">
        <f>IF(AND(资金台帐!K948&lt;&gt;"",资金台帐!K948=供应商对账单!$B$4,资金台帐!P948="应付",ISNUMBER(资金台帐!B948),资金台帐!B948&gt;=供应商对账单!$G$4,资金台帐!B948&lt;=供应商对账单!$I$4),资金台帐!B948+ROW()/100000,"")</f>
      </c>
      <c r="N2445">
        <f>IF(AND(ISNUMBER(出库明细!G2445),ISNUMBER(出库明细!E2445),ISNUMBER(出库明细!F2445)),IF(ABS(出库明细!G2445-出库明细!E2445*出库明细!F2445)&gt;0.005,1,0),0)</f>
        <v>0</v>
      </c>
    </row>
    <row r="2446">
      <c r="A2446">
        <f>IF(OR(出库明细!C1446="",出库明细!D1446=""),"",IF(OR(COUNTIFS(存条明细!$C$4:$C$1003,出库明细!C1446,存条明细!$D$4:$D$1003,出库明细!D1446)&gt;0,COUNTIFS(出库明细!$C$4:C1446,出库明细!C1446,出库明细!$D$4:D1446,出库明细!D1446)&gt;1),"",IFERROR(MATCH(出库明细!C1446,总览汇总!$B$5:$B$304,0),900)*10000000+IFERROR(MATCH(出库明细!D1446,基础资料!$E$5:$E$104,0),900)*10000+ROW()))</f>
      </c>
      <c r="F2446">
        <f>IF(AND(出库明细!C2446&lt;&gt;"",出库明细!C2446=客户对账单!$B$4,ISNUMBER(出库明细!B2446),出库明细!B2446&gt;=客户对账单!$G$4,出库明细!B2446&lt;=客户对账单!$I$4),出库明细!B2446+ROW()/100000,"")</f>
      </c>
      <c r="H2446">
        <f>IF(AND(资金台帐!K949&lt;&gt;"",资金台帐!K949=供应商对账单!$B$4,资金台帐!P949="应付",ISNUMBER(资金台帐!B949),资金台帐!B949&gt;=供应商对账单!$G$4,资金台帐!B949&lt;=供应商对账单!$I$4),资金台帐!B949+ROW()/100000,"")</f>
      </c>
      <c r="N2446">
        <f>IF(AND(ISNUMBER(出库明细!G2446),ISNUMBER(出库明细!E2446),ISNUMBER(出库明细!F2446)),IF(ABS(出库明细!G2446-出库明细!E2446*出库明细!F2446)&gt;0.005,1,0),0)</f>
        <v>0</v>
      </c>
    </row>
    <row r="2447">
      <c r="A2447">
        <f>IF(OR(出库明细!C1447="",出库明细!D1447=""),"",IF(OR(COUNTIFS(存条明细!$C$4:$C$1003,出库明细!C1447,存条明细!$D$4:$D$1003,出库明细!D1447)&gt;0,COUNTIFS(出库明细!$C$4:C1447,出库明细!C1447,出库明细!$D$4:D1447,出库明细!D1447)&gt;1),"",IFERROR(MATCH(出库明细!C1447,总览汇总!$B$5:$B$304,0),900)*10000000+IFERROR(MATCH(出库明细!D1447,基础资料!$E$5:$E$104,0),900)*10000+ROW()))</f>
      </c>
      <c r="F2447">
        <f>IF(AND(出库明细!C2447&lt;&gt;"",出库明细!C2447=客户对账单!$B$4,ISNUMBER(出库明细!B2447),出库明细!B2447&gt;=客户对账单!$G$4,出库明细!B2447&lt;=客户对账单!$I$4),出库明细!B2447+ROW()/100000,"")</f>
      </c>
      <c r="H2447">
        <f>IF(AND(资金台帐!K950&lt;&gt;"",资金台帐!K950=供应商对账单!$B$4,资金台帐!P950="应付",ISNUMBER(资金台帐!B950),资金台帐!B950&gt;=供应商对账单!$G$4,资金台帐!B950&lt;=供应商对账单!$I$4),资金台帐!B950+ROW()/100000,"")</f>
      </c>
      <c r="N2447">
        <f>IF(AND(ISNUMBER(出库明细!G2447),ISNUMBER(出库明细!E2447),ISNUMBER(出库明细!F2447)),IF(ABS(出库明细!G2447-出库明细!E2447*出库明细!F2447)&gt;0.005,1,0),0)</f>
        <v>0</v>
      </c>
    </row>
    <row r="2448">
      <c r="A2448">
        <f>IF(OR(出库明细!C1448="",出库明细!D1448=""),"",IF(OR(COUNTIFS(存条明细!$C$4:$C$1003,出库明细!C1448,存条明细!$D$4:$D$1003,出库明细!D1448)&gt;0,COUNTIFS(出库明细!$C$4:C1448,出库明细!C1448,出库明细!$D$4:D1448,出库明细!D1448)&gt;1),"",IFERROR(MATCH(出库明细!C1448,总览汇总!$B$5:$B$304,0),900)*10000000+IFERROR(MATCH(出库明细!D1448,基础资料!$E$5:$E$104,0),900)*10000+ROW()))</f>
      </c>
      <c r="F2448">
        <f>IF(AND(出库明细!C2448&lt;&gt;"",出库明细!C2448=客户对账单!$B$4,ISNUMBER(出库明细!B2448),出库明细!B2448&gt;=客户对账单!$G$4,出库明细!B2448&lt;=客户对账单!$I$4),出库明细!B2448+ROW()/100000,"")</f>
      </c>
      <c r="H2448">
        <f>IF(AND(资金台帐!K951&lt;&gt;"",资金台帐!K951=供应商对账单!$B$4,资金台帐!P951="应付",ISNUMBER(资金台帐!B951),资金台帐!B951&gt;=供应商对账单!$G$4,资金台帐!B951&lt;=供应商对账单!$I$4),资金台帐!B951+ROW()/100000,"")</f>
      </c>
      <c r="N2448">
        <f>IF(AND(ISNUMBER(出库明细!G2448),ISNUMBER(出库明细!E2448),ISNUMBER(出库明细!F2448)),IF(ABS(出库明细!G2448-出库明细!E2448*出库明细!F2448)&gt;0.005,1,0),0)</f>
        <v>0</v>
      </c>
    </row>
    <row r="2449">
      <c r="A2449">
        <f>IF(OR(出库明细!C1449="",出库明细!D1449=""),"",IF(OR(COUNTIFS(存条明细!$C$4:$C$1003,出库明细!C1449,存条明细!$D$4:$D$1003,出库明细!D1449)&gt;0,COUNTIFS(出库明细!$C$4:C1449,出库明细!C1449,出库明细!$D$4:D1449,出库明细!D1449)&gt;1),"",IFERROR(MATCH(出库明细!C1449,总览汇总!$B$5:$B$304,0),900)*10000000+IFERROR(MATCH(出库明细!D1449,基础资料!$E$5:$E$104,0),900)*10000+ROW()))</f>
      </c>
      <c r="F2449">
        <f>IF(AND(出库明细!C2449&lt;&gt;"",出库明细!C2449=客户对账单!$B$4,ISNUMBER(出库明细!B2449),出库明细!B2449&gt;=客户对账单!$G$4,出库明细!B2449&lt;=客户对账单!$I$4),出库明细!B2449+ROW()/100000,"")</f>
      </c>
      <c r="H2449">
        <f>IF(AND(资金台帐!K952&lt;&gt;"",资金台帐!K952=供应商对账单!$B$4,资金台帐!P952="应付",ISNUMBER(资金台帐!B952),资金台帐!B952&gt;=供应商对账单!$G$4,资金台帐!B952&lt;=供应商对账单!$I$4),资金台帐!B952+ROW()/100000,"")</f>
      </c>
      <c r="N2449">
        <f>IF(AND(ISNUMBER(出库明细!G2449),ISNUMBER(出库明细!E2449),ISNUMBER(出库明细!F2449)),IF(ABS(出库明细!G2449-出库明细!E2449*出库明细!F2449)&gt;0.005,1,0),0)</f>
        <v>0</v>
      </c>
    </row>
    <row r="2450">
      <c r="A2450">
        <f>IF(OR(出库明细!C1450="",出库明细!D1450=""),"",IF(OR(COUNTIFS(存条明细!$C$4:$C$1003,出库明细!C1450,存条明细!$D$4:$D$1003,出库明细!D1450)&gt;0,COUNTIFS(出库明细!$C$4:C1450,出库明细!C1450,出库明细!$D$4:D1450,出库明细!D1450)&gt;1),"",IFERROR(MATCH(出库明细!C1450,总览汇总!$B$5:$B$304,0),900)*10000000+IFERROR(MATCH(出库明细!D1450,基础资料!$E$5:$E$104,0),900)*10000+ROW()))</f>
      </c>
      <c r="F2450">
        <f>IF(AND(出库明细!C2450&lt;&gt;"",出库明细!C2450=客户对账单!$B$4,ISNUMBER(出库明细!B2450),出库明细!B2450&gt;=客户对账单!$G$4,出库明细!B2450&lt;=客户对账单!$I$4),出库明细!B2450+ROW()/100000,"")</f>
      </c>
      <c r="H2450">
        <f>IF(AND(资金台帐!K953&lt;&gt;"",资金台帐!K953=供应商对账单!$B$4,资金台帐!P953="应付",ISNUMBER(资金台帐!B953),资金台帐!B953&gt;=供应商对账单!$G$4,资金台帐!B953&lt;=供应商对账单!$I$4),资金台帐!B953+ROW()/100000,"")</f>
      </c>
      <c r="N2450">
        <f>IF(AND(ISNUMBER(出库明细!G2450),ISNUMBER(出库明细!E2450),ISNUMBER(出库明细!F2450)),IF(ABS(出库明细!G2450-出库明细!E2450*出库明细!F2450)&gt;0.005,1,0),0)</f>
        <v>0</v>
      </c>
    </row>
    <row r="2451">
      <c r="A2451">
        <f>IF(OR(出库明细!C1451="",出库明细!D1451=""),"",IF(OR(COUNTIFS(存条明细!$C$4:$C$1003,出库明细!C1451,存条明细!$D$4:$D$1003,出库明细!D1451)&gt;0,COUNTIFS(出库明细!$C$4:C1451,出库明细!C1451,出库明细!$D$4:D1451,出库明细!D1451)&gt;1),"",IFERROR(MATCH(出库明细!C1451,总览汇总!$B$5:$B$304,0),900)*10000000+IFERROR(MATCH(出库明细!D1451,基础资料!$E$5:$E$104,0),900)*10000+ROW()))</f>
      </c>
      <c r="F2451">
        <f>IF(AND(出库明细!C2451&lt;&gt;"",出库明细!C2451=客户对账单!$B$4,ISNUMBER(出库明细!B2451),出库明细!B2451&gt;=客户对账单!$G$4,出库明细!B2451&lt;=客户对账单!$I$4),出库明细!B2451+ROW()/100000,"")</f>
      </c>
      <c r="H2451">
        <f>IF(AND(资金台帐!K954&lt;&gt;"",资金台帐!K954=供应商对账单!$B$4,资金台帐!P954="应付",ISNUMBER(资金台帐!B954),资金台帐!B954&gt;=供应商对账单!$G$4,资金台帐!B954&lt;=供应商对账单!$I$4),资金台帐!B954+ROW()/100000,"")</f>
      </c>
      <c r="N2451">
        <f>IF(AND(ISNUMBER(出库明细!G2451),ISNUMBER(出库明细!E2451),ISNUMBER(出库明细!F2451)),IF(ABS(出库明细!G2451-出库明细!E2451*出库明细!F2451)&gt;0.005,1,0),0)</f>
        <v>0</v>
      </c>
    </row>
    <row r="2452">
      <c r="A2452">
        <f>IF(OR(出库明细!C1452="",出库明细!D1452=""),"",IF(OR(COUNTIFS(存条明细!$C$4:$C$1003,出库明细!C1452,存条明细!$D$4:$D$1003,出库明细!D1452)&gt;0,COUNTIFS(出库明细!$C$4:C1452,出库明细!C1452,出库明细!$D$4:D1452,出库明细!D1452)&gt;1),"",IFERROR(MATCH(出库明细!C1452,总览汇总!$B$5:$B$304,0),900)*10000000+IFERROR(MATCH(出库明细!D1452,基础资料!$E$5:$E$104,0),900)*10000+ROW()))</f>
      </c>
      <c r="F2452">
        <f>IF(AND(出库明细!C2452&lt;&gt;"",出库明细!C2452=客户对账单!$B$4,ISNUMBER(出库明细!B2452),出库明细!B2452&gt;=客户对账单!$G$4,出库明细!B2452&lt;=客户对账单!$I$4),出库明细!B2452+ROW()/100000,"")</f>
      </c>
      <c r="H2452">
        <f>IF(AND(资金台帐!K955&lt;&gt;"",资金台帐!K955=供应商对账单!$B$4,资金台帐!P955="应付",ISNUMBER(资金台帐!B955),资金台帐!B955&gt;=供应商对账单!$G$4,资金台帐!B955&lt;=供应商对账单!$I$4),资金台帐!B955+ROW()/100000,"")</f>
      </c>
      <c r="N2452">
        <f>IF(AND(ISNUMBER(出库明细!G2452),ISNUMBER(出库明细!E2452),ISNUMBER(出库明细!F2452)),IF(ABS(出库明细!G2452-出库明细!E2452*出库明细!F2452)&gt;0.005,1,0),0)</f>
        <v>0</v>
      </c>
    </row>
    <row r="2453">
      <c r="A2453">
        <f>IF(OR(出库明细!C1453="",出库明细!D1453=""),"",IF(OR(COUNTIFS(存条明细!$C$4:$C$1003,出库明细!C1453,存条明细!$D$4:$D$1003,出库明细!D1453)&gt;0,COUNTIFS(出库明细!$C$4:C1453,出库明细!C1453,出库明细!$D$4:D1453,出库明细!D1453)&gt;1),"",IFERROR(MATCH(出库明细!C1453,总览汇总!$B$5:$B$304,0),900)*10000000+IFERROR(MATCH(出库明细!D1453,基础资料!$E$5:$E$104,0),900)*10000+ROW()))</f>
      </c>
      <c r="F2453">
        <f>IF(AND(出库明细!C2453&lt;&gt;"",出库明细!C2453=客户对账单!$B$4,ISNUMBER(出库明细!B2453),出库明细!B2453&gt;=客户对账单!$G$4,出库明细!B2453&lt;=客户对账单!$I$4),出库明细!B2453+ROW()/100000,"")</f>
      </c>
      <c r="H2453">
        <f>IF(AND(资金台帐!K956&lt;&gt;"",资金台帐!K956=供应商对账单!$B$4,资金台帐!P956="应付",ISNUMBER(资金台帐!B956),资金台帐!B956&gt;=供应商对账单!$G$4,资金台帐!B956&lt;=供应商对账单!$I$4),资金台帐!B956+ROW()/100000,"")</f>
      </c>
      <c r="N2453">
        <f>IF(AND(ISNUMBER(出库明细!G2453),ISNUMBER(出库明细!E2453),ISNUMBER(出库明细!F2453)),IF(ABS(出库明细!G2453-出库明细!E2453*出库明细!F2453)&gt;0.005,1,0),0)</f>
        <v>0</v>
      </c>
    </row>
    <row r="2454">
      <c r="A2454">
        <f>IF(OR(出库明细!C1454="",出库明细!D1454=""),"",IF(OR(COUNTIFS(存条明细!$C$4:$C$1003,出库明细!C1454,存条明细!$D$4:$D$1003,出库明细!D1454)&gt;0,COUNTIFS(出库明细!$C$4:C1454,出库明细!C1454,出库明细!$D$4:D1454,出库明细!D1454)&gt;1),"",IFERROR(MATCH(出库明细!C1454,总览汇总!$B$5:$B$304,0),900)*10000000+IFERROR(MATCH(出库明细!D1454,基础资料!$E$5:$E$104,0),900)*10000+ROW()))</f>
      </c>
      <c r="F2454">
        <f>IF(AND(出库明细!C2454&lt;&gt;"",出库明细!C2454=客户对账单!$B$4,ISNUMBER(出库明细!B2454),出库明细!B2454&gt;=客户对账单!$G$4,出库明细!B2454&lt;=客户对账单!$I$4),出库明细!B2454+ROW()/100000,"")</f>
      </c>
      <c r="H2454">
        <f>IF(AND(资金台帐!K957&lt;&gt;"",资金台帐!K957=供应商对账单!$B$4,资金台帐!P957="应付",ISNUMBER(资金台帐!B957),资金台帐!B957&gt;=供应商对账单!$G$4,资金台帐!B957&lt;=供应商对账单!$I$4),资金台帐!B957+ROW()/100000,"")</f>
      </c>
      <c r="N2454">
        <f>IF(AND(ISNUMBER(出库明细!G2454),ISNUMBER(出库明细!E2454),ISNUMBER(出库明细!F2454)),IF(ABS(出库明细!G2454-出库明细!E2454*出库明细!F2454)&gt;0.005,1,0),0)</f>
        <v>0</v>
      </c>
    </row>
    <row r="2455">
      <c r="A2455">
        <f>IF(OR(出库明细!C1455="",出库明细!D1455=""),"",IF(OR(COUNTIFS(存条明细!$C$4:$C$1003,出库明细!C1455,存条明细!$D$4:$D$1003,出库明细!D1455)&gt;0,COUNTIFS(出库明细!$C$4:C1455,出库明细!C1455,出库明细!$D$4:D1455,出库明细!D1455)&gt;1),"",IFERROR(MATCH(出库明细!C1455,总览汇总!$B$5:$B$304,0),900)*10000000+IFERROR(MATCH(出库明细!D1455,基础资料!$E$5:$E$104,0),900)*10000+ROW()))</f>
      </c>
      <c r="F2455">
        <f>IF(AND(出库明细!C2455&lt;&gt;"",出库明细!C2455=客户对账单!$B$4,ISNUMBER(出库明细!B2455),出库明细!B2455&gt;=客户对账单!$G$4,出库明细!B2455&lt;=客户对账单!$I$4),出库明细!B2455+ROW()/100000,"")</f>
      </c>
      <c r="H2455">
        <f>IF(AND(资金台帐!K958&lt;&gt;"",资金台帐!K958=供应商对账单!$B$4,资金台帐!P958="应付",ISNUMBER(资金台帐!B958),资金台帐!B958&gt;=供应商对账单!$G$4,资金台帐!B958&lt;=供应商对账单!$I$4),资金台帐!B958+ROW()/100000,"")</f>
      </c>
      <c r="N2455">
        <f>IF(AND(ISNUMBER(出库明细!G2455),ISNUMBER(出库明细!E2455),ISNUMBER(出库明细!F2455)),IF(ABS(出库明细!G2455-出库明细!E2455*出库明细!F2455)&gt;0.005,1,0),0)</f>
        <v>0</v>
      </c>
    </row>
    <row r="2456">
      <c r="A2456">
        <f>IF(OR(出库明细!C1456="",出库明细!D1456=""),"",IF(OR(COUNTIFS(存条明细!$C$4:$C$1003,出库明细!C1456,存条明细!$D$4:$D$1003,出库明细!D1456)&gt;0,COUNTIFS(出库明细!$C$4:C1456,出库明细!C1456,出库明细!$D$4:D1456,出库明细!D1456)&gt;1),"",IFERROR(MATCH(出库明细!C1456,总览汇总!$B$5:$B$304,0),900)*10000000+IFERROR(MATCH(出库明细!D1456,基础资料!$E$5:$E$104,0),900)*10000+ROW()))</f>
      </c>
      <c r="F2456">
        <f>IF(AND(出库明细!C2456&lt;&gt;"",出库明细!C2456=客户对账单!$B$4,ISNUMBER(出库明细!B2456),出库明细!B2456&gt;=客户对账单!$G$4,出库明细!B2456&lt;=客户对账单!$I$4),出库明细!B2456+ROW()/100000,"")</f>
      </c>
      <c r="H2456">
        <f>IF(AND(资金台帐!K959&lt;&gt;"",资金台帐!K959=供应商对账单!$B$4,资金台帐!P959="应付",ISNUMBER(资金台帐!B959),资金台帐!B959&gt;=供应商对账单!$G$4,资金台帐!B959&lt;=供应商对账单!$I$4),资金台帐!B959+ROW()/100000,"")</f>
      </c>
      <c r="N2456">
        <f>IF(AND(ISNUMBER(出库明细!G2456),ISNUMBER(出库明细!E2456),ISNUMBER(出库明细!F2456)),IF(ABS(出库明细!G2456-出库明细!E2456*出库明细!F2456)&gt;0.005,1,0),0)</f>
        <v>0</v>
      </c>
    </row>
    <row r="2457">
      <c r="A2457">
        <f>IF(OR(出库明细!C1457="",出库明细!D1457=""),"",IF(OR(COUNTIFS(存条明细!$C$4:$C$1003,出库明细!C1457,存条明细!$D$4:$D$1003,出库明细!D1457)&gt;0,COUNTIFS(出库明细!$C$4:C1457,出库明细!C1457,出库明细!$D$4:D1457,出库明细!D1457)&gt;1),"",IFERROR(MATCH(出库明细!C1457,总览汇总!$B$5:$B$304,0),900)*10000000+IFERROR(MATCH(出库明细!D1457,基础资料!$E$5:$E$104,0),900)*10000+ROW()))</f>
      </c>
      <c r="F2457">
        <f>IF(AND(出库明细!C2457&lt;&gt;"",出库明细!C2457=客户对账单!$B$4,ISNUMBER(出库明细!B2457),出库明细!B2457&gt;=客户对账单!$G$4,出库明细!B2457&lt;=客户对账单!$I$4),出库明细!B2457+ROW()/100000,"")</f>
      </c>
      <c r="H2457">
        <f>IF(AND(资金台帐!K960&lt;&gt;"",资金台帐!K960=供应商对账单!$B$4,资金台帐!P960="应付",ISNUMBER(资金台帐!B960),资金台帐!B960&gt;=供应商对账单!$G$4,资金台帐!B960&lt;=供应商对账单!$I$4),资金台帐!B960+ROW()/100000,"")</f>
      </c>
      <c r="N2457">
        <f>IF(AND(ISNUMBER(出库明细!G2457),ISNUMBER(出库明细!E2457),ISNUMBER(出库明细!F2457)),IF(ABS(出库明细!G2457-出库明细!E2457*出库明细!F2457)&gt;0.005,1,0),0)</f>
        <v>0</v>
      </c>
    </row>
    <row r="2458">
      <c r="A2458">
        <f>IF(OR(出库明细!C1458="",出库明细!D1458=""),"",IF(OR(COUNTIFS(存条明细!$C$4:$C$1003,出库明细!C1458,存条明细!$D$4:$D$1003,出库明细!D1458)&gt;0,COUNTIFS(出库明细!$C$4:C1458,出库明细!C1458,出库明细!$D$4:D1458,出库明细!D1458)&gt;1),"",IFERROR(MATCH(出库明细!C1458,总览汇总!$B$5:$B$304,0),900)*10000000+IFERROR(MATCH(出库明细!D1458,基础资料!$E$5:$E$104,0),900)*10000+ROW()))</f>
      </c>
      <c r="F2458">
        <f>IF(AND(出库明细!C2458&lt;&gt;"",出库明细!C2458=客户对账单!$B$4,ISNUMBER(出库明细!B2458),出库明细!B2458&gt;=客户对账单!$G$4,出库明细!B2458&lt;=客户对账单!$I$4),出库明细!B2458+ROW()/100000,"")</f>
      </c>
      <c r="H2458">
        <f>IF(AND(资金台帐!K961&lt;&gt;"",资金台帐!K961=供应商对账单!$B$4,资金台帐!P961="应付",ISNUMBER(资金台帐!B961),资金台帐!B961&gt;=供应商对账单!$G$4,资金台帐!B961&lt;=供应商对账单!$I$4),资金台帐!B961+ROW()/100000,"")</f>
      </c>
      <c r="N2458">
        <f>IF(AND(ISNUMBER(出库明细!G2458),ISNUMBER(出库明细!E2458),ISNUMBER(出库明细!F2458)),IF(ABS(出库明细!G2458-出库明细!E2458*出库明细!F2458)&gt;0.005,1,0),0)</f>
        <v>0</v>
      </c>
    </row>
    <row r="2459">
      <c r="A2459">
        <f>IF(OR(出库明细!C1459="",出库明细!D1459=""),"",IF(OR(COUNTIFS(存条明细!$C$4:$C$1003,出库明细!C1459,存条明细!$D$4:$D$1003,出库明细!D1459)&gt;0,COUNTIFS(出库明细!$C$4:C1459,出库明细!C1459,出库明细!$D$4:D1459,出库明细!D1459)&gt;1),"",IFERROR(MATCH(出库明细!C1459,总览汇总!$B$5:$B$304,0),900)*10000000+IFERROR(MATCH(出库明细!D1459,基础资料!$E$5:$E$104,0),900)*10000+ROW()))</f>
      </c>
      <c r="F2459">
        <f>IF(AND(出库明细!C2459&lt;&gt;"",出库明细!C2459=客户对账单!$B$4,ISNUMBER(出库明细!B2459),出库明细!B2459&gt;=客户对账单!$G$4,出库明细!B2459&lt;=客户对账单!$I$4),出库明细!B2459+ROW()/100000,"")</f>
      </c>
      <c r="H2459">
        <f>IF(AND(资金台帐!K962&lt;&gt;"",资金台帐!K962=供应商对账单!$B$4,资金台帐!P962="应付",ISNUMBER(资金台帐!B962),资金台帐!B962&gt;=供应商对账单!$G$4,资金台帐!B962&lt;=供应商对账单!$I$4),资金台帐!B962+ROW()/100000,"")</f>
      </c>
      <c r="N2459">
        <f>IF(AND(ISNUMBER(出库明细!G2459),ISNUMBER(出库明细!E2459),ISNUMBER(出库明细!F2459)),IF(ABS(出库明细!G2459-出库明细!E2459*出库明细!F2459)&gt;0.005,1,0),0)</f>
        <v>0</v>
      </c>
    </row>
    <row r="2460">
      <c r="A2460">
        <f>IF(OR(出库明细!C1460="",出库明细!D1460=""),"",IF(OR(COUNTIFS(存条明细!$C$4:$C$1003,出库明细!C1460,存条明细!$D$4:$D$1003,出库明细!D1460)&gt;0,COUNTIFS(出库明细!$C$4:C1460,出库明细!C1460,出库明细!$D$4:D1460,出库明细!D1460)&gt;1),"",IFERROR(MATCH(出库明细!C1460,总览汇总!$B$5:$B$304,0),900)*10000000+IFERROR(MATCH(出库明细!D1460,基础资料!$E$5:$E$104,0),900)*10000+ROW()))</f>
      </c>
      <c r="F2460">
        <f>IF(AND(出库明细!C2460&lt;&gt;"",出库明细!C2460=客户对账单!$B$4,ISNUMBER(出库明细!B2460),出库明细!B2460&gt;=客户对账单!$G$4,出库明细!B2460&lt;=客户对账单!$I$4),出库明细!B2460+ROW()/100000,"")</f>
      </c>
      <c r="H2460">
        <f>IF(AND(资金台帐!K963&lt;&gt;"",资金台帐!K963=供应商对账单!$B$4,资金台帐!P963="应付",ISNUMBER(资金台帐!B963),资金台帐!B963&gt;=供应商对账单!$G$4,资金台帐!B963&lt;=供应商对账单!$I$4),资金台帐!B963+ROW()/100000,"")</f>
      </c>
      <c r="N2460">
        <f>IF(AND(ISNUMBER(出库明细!G2460),ISNUMBER(出库明细!E2460),ISNUMBER(出库明细!F2460)),IF(ABS(出库明细!G2460-出库明细!E2460*出库明细!F2460)&gt;0.005,1,0),0)</f>
        <v>0</v>
      </c>
    </row>
    <row r="2461">
      <c r="A2461">
        <f>IF(OR(出库明细!C1461="",出库明细!D1461=""),"",IF(OR(COUNTIFS(存条明细!$C$4:$C$1003,出库明细!C1461,存条明细!$D$4:$D$1003,出库明细!D1461)&gt;0,COUNTIFS(出库明细!$C$4:C1461,出库明细!C1461,出库明细!$D$4:D1461,出库明细!D1461)&gt;1),"",IFERROR(MATCH(出库明细!C1461,总览汇总!$B$5:$B$304,0),900)*10000000+IFERROR(MATCH(出库明细!D1461,基础资料!$E$5:$E$104,0),900)*10000+ROW()))</f>
      </c>
      <c r="F2461">
        <f>IF(AND(出库明细!C2461&lt;&gt;"",出库明细!C2461=客户对账单!$B$4,ISNUMBER(出库明细!B2461),出库明细!B2461&gt;=客户对账单!$G$4,出库明细!B2461&lt;=客户对账单!$I$4),出库明细!B2461+ROW()/100000,"")</f>
      </c>
      <c r="H2461">
        <f>IF(AND(资金台帐!K964&lt;&gt;"",资金台帐!K964=供应商对账单!$B$4,资金台帐!P964="应付",ISNUMBER(资金台帐!B964),资金台帐!B964&gt;=供应商对账单!$G$4,资金台帐!B964&lt;=供应商对账单!$I$4),资金台帐!B964+ROW()/100000,"")</f>
      </c>
      <c r="N2461">
        <f>IF(AND(ISNUMBER(出库明细!G2461),ISNUMBER(出库明细!E2461),ISNUMBER(出库明细!F2461)),IF(ABS(出库明细!G2461-出库明细!E2461*出库明细!F2461)&gt;0.005,1,0),0)</f>
        <v>0</v>
      </c>
    </row>
    <row r="2462">
      <c r="A2462">
        <f>IF(OR(出库明细!C1462="",出库明细!D1462=""),"",IF(OR(COUNTIFS(存条明细!$C$4:$C$1003,出库明细!C1462,存条明细!$D$4:$D$1003,出库明细!D1462)&gt;0,COUNTIFS(出库明细!$C$4:C1462,出库明细!C1462,出库明细!$D$4:D1462,出库明细!D1462)&gt;1),"",IFERROR(MATCH(出库明细!C1462,总览汇总!$B$5:$B$304,0),900)*10000000+IFERROR(MATCH(出库明细!D1462,基础资料!$E$5:$E$104,0),900)*10000+ROW()))</f>
      </c>
      <c r="F2462">
        <f>IF(AND(出库明细!C2462&lt;&gt;"",出库明细!C2462=客户对账单!$B$4,ISNUMBER(出库明细!B2462),出库明细!B2462&gt;=客户对账单!$G$4,出库明细!B2462&lt;=客户对账单!$I$4),出库明细!B2462+ROW()/100000,"")</f>
      </c>
      <c r="H2462">
        <f>IF(AND(资金台帐!K965&lt;&gt;"",资金台帐!K965=供应商对账单!$B$4,资金台帐!P965="应付",ISNUMBER(资金台帐!B965),资金台帐!B965&gt;=供应商对账单!$G$4,资金台帐!B965&lt;=供应商对账单!$I$4),资金台帐!B965+ROW()/100000,"")</f>
      </c>
      <c r="N2462">
        <f>IF(AND(ISNUMBER(出库明细!G2462),ISNUMBER(出库明细!E2462),ISNUMBER(出库明细!F2462)),IF(ABS(出库明细!G2462-出库明细!E2462*出库明细!F2462)&gt;0.005,1,0),0)</f>
        <v>0</v>
      </c>
    </row>
    <row r="2463">
      <c r="A2463">
        <f>IF(OR(出库明细!C1463="",出库明细!D1463=""),"",IF(OR(COUNTIFS(存条明细!$C$4:$C$1003,出库明细!C1463,存条明细!$D$4:$D$1003,出库明细!D1463)&gt;0,COUNTIFS(出库明细!$C$4:C1463,出库明细!C1463,出库明细!$D$4:D1463,出库明细!D1463)&gt;1),"",IFERROR(MATCH(出库明细!C1463,总览汇总!$B$5:$B$304,0),900)*10000000+IFERROR(MATCH(出库明细!D1463,基础资料!$E$5:$E$104,0),900)*10000+ROW()))</f>
      </c>
      <c r="F2463">
        <f>IF(AND(出库明细!C2463&lt;&gt;"",出库明细!C2463=客户对账单!$B$4,ISNUMBER(出库明细!B2463),出库明细!B2463&gt;=客户对账单!$G$4,出库明细!B2463&lt;=客户对账单!$I$4),出库明细!B2463+ROW()/100000,"")</f>
      </c>
      <c r="H2463">
        <f>IF(AND(资金台帐!K966&lt;&gt;"",资金台帐!K966=供应商对账单!$B$4,资金台帐!P966="应付",ISNUMBER(资金台帐!B966),资金台帐!B966&gt;=供应商对账单!$G$4,资金台帐!B966&lt;=供应商对账单!$I$4),资金台帐!B966+ROW()/100000,"")</f>
      </c>
      <c r="N2463">
        <f>IF(AND(ISNUMBER(出库明细!G2463),ISNUMBER(出库明细!E2463),ISNUMBER(出库明细!F2463)),IF(ABS(出库明细!G2463-出库明细!E2463*出库明细!F2463)&gt;0.005,1,0),0)</f>
        <v>0</v>
      </c>
    </row>
    <row r="2464">
      <c r="A2464">
        <f>IF(OR(出库明细!C1464="",出库明细!D1464=""),"",IF(OR(COUNTIFS(存条明细!$C$4:$C$1003,出库明细!C1464,存条明细!$D$4:$D$1003,出库明细!D1464)&gt;0,COUNTIFS(出库明细!$C$4:C1464,出库明细!C1464,出库明细!$D$4:D1464,出库明细!D1464)&gt;1),"",IFERROR(MATCH(出库明细!C1464,总览汇总!$B$5:$B$304,0),900)*10000000+IFERROR(MATCH(出库明细!D1464,基础资料!$E$5:$E$104,0),900)*10000+ROW()))</f>
      </c>
      <c r="F2464">
        <f>IF(AND(出库明细!C2464&lt;&gt;"",出库明细!C2464=客户对账单!$B$4,ISNUMBER(出库明细!B2464),出库明细!B2464&gt;=客户对账单!$G$4,出库明细!B2464&lt;=客户对账单!$I$4),出库明细!B2464+ROW()/100000,"")</f>
      </c>
      <c r="H2464">
        <f>IF(AND(资金台帐!K967&lt;&gt;"",资金台帐!K967=供应商对账单!$B$4,资金台帐!P967="应付",ISNUMBER(资金台帐!B967),资金台帐!B967&gt;=供应商对账单!$G$4,资金台帐!B967&lt;=供应商对账单!$I$4),资金台帐!B967+ROW()/100000,"")</f>
      </c>
      <c r="N2464">
        <f>IF(AND(ISNUMBER(出库明细!G2464),ISNUMBER(出库明细!E2464),ISNUMBER(出库明细!F2464)),IF(ABS(出库明细!G2464-出库明细!E2464*出库明细!F2464)&gt;0.005,1,0),0)</f>
        <v>0</v>
      </c>
    </row>
    <row r="2465">
      <c r="A2465">
        <f>IF(OR(出库明细!C1465="",出库明细!D1465=""),"",IF(OR(COUNTIFS(存条明细!$C$4:$C$1003,出库明细!C1465,存条明细!$D$4:$D$1003,出库明细!D1465)&gt;0,COUNTIFS(出库明细!$C$4:C1465,出库明细!C1465,出库明细!$D$4:D1465,出库明细!D1465)&gt;1),"",IFERROR(MATCH(出库明细!C1465,总览汇总!$B$5:$B$304,0),900)*10000000+IFERROR(MATCH(出库明细!D1465,基础资料!$E$5:$E$104,0),900)*10000+ROW()))</f>
      </c>
      <c r="F2465">
        <f>IF(AND(出库明细!C2465&lt;&gt;"",出库明细!C2465=客户对账单!$B$4,ISNUMBER(出库明细!B2465),出库明细!B2465&gt;=客户对账单!$G$4,出库明细!B2465&lt;=客户对账单!$I$4),出库明细!B2465+ROW()/100000,"")</f>
      </c>
      <c r="H2465">
        <f>IF(AND(资金台帐!K968&lt;&gt;"",资金台帐!K968=供应商对账单!$B$4,资金台帐!P968="应付",ISNUMBER(资金台帐!B968),资金台帐!B968&gt;=供应商对账单!$G$4,资金台帐!B968&lt;=供应商对账单!$I$4),资金台帐!B968+ROW()/100000,"")</f>
      </c>
      <c r="N2465">
        <f>IF(AND(ISNUMBER(出库明细!G2465),ISNUMBER(出库明细!E2465),ISNUMBER(出库明细!F2465)),IF(ABS(出库明细!G2465-出库明细!E2465*出库明细!F2465)&gt;0.005,1,0),0)</f>
        <v>0</v>
      </c>
    </row>
    <row r="2466">
      <c r="A2466">
        <f>IF(OR(出库明细!C1466="",出库明细!D1466=""),"",IF(OR(COUNTIFS(存条明细!$C$4:$C$1003,出库明细!C1466,存条明细!$D$4:$D$1003,出库明细!D1466)&gt;0,COUNTIFS(出库明细!$C$4:C1466,出库明细!C1466,出库明细!$D$4:D1466,出库明细!D1466)&gt;1),"",IFERROR(MATCH(出库明细!C1466,总览汇总!$B$5:$B$304,0),900)*10000000+IFERROR(MATCH(出库明细!D1466,基础资料!$E$5:$E$104,0),900)*10000+ROW()))</f>
      </c>
      <c r="F2466">
        <f>IF(AND(出库明细!C2466&lt;&gt;"",出库明细!C2466=客户对账单!$B$4,ISNUMBER(出库明细!B2466),出库明细!B2466&gt;=客户对账单!$G$4,出库明细!B2466&lt;=客户对账单!$I$4),出库明细!B2466+ROW()/100000,"")</f>
      </c>
      <c r="H2466">
        <f>IF(AND(资金台帐!K969&lt;&gt;"",资金台帐!K969=供应商对账单!$B$4,资金台帐!P969="应付",ISNUMBER(资金台帐!B969),资金台帐!B969&gt;=供应商对账单!$G$4,资金台帐!B969&lt;=供应商对账单!$I$4),资金台帐!B969+ROW()/100000,"")</f>
      </c>
      <c r="N2466">
        <f>IF(AND(ISNUMBER(出库明细!G2466),ISNUMBER(出库明细!E2466),ISNUMBER(出库明细!F2466)),IF(ABS(出库明细!G2466-出库明细!E2466*出库明细!F2466)&gt;0.005,1,0),0)</f>
        <v>0</v>
      </c>
    </row>
    <row r="2467">
      <c r="A2467">
        <f>IF(OR(出库明细!C1467="",出库明细!D1467=""),"",IF(OR(COUNTIFS(存条明细!$C$4:$C$1003,出库明细!C1467,存条明细!$D$4:$D$1003,出库明细!D1467)&gt;0,COUNTIFS(出库明细!$C$4:C1467,出库明细!C1467,出库明细!$D$4:D1467,出库明细!D1467)&gt;1),"",IFERROR(MATCH(出库明细!C1467,总览汇总!$B$5:$B$304,0),900)*10000000+IFERROR(MATCH(出库明细!D1467,基础资料!$E$5:$E$104,0),900)*10000+ROW()))</f>
      </c>
      <c r="F2467">
        <f>IF(AND(出库明细!C2467&lt;&gt;"",出库明细!C2467=客户对账单!$B$4,ISNUMBER(出库明细!B2467),出库明细!B2467&gt;=客户对账单!$G$4,出库明细!B2467&lt;=客户对账单!$I$4),出库明细!B2467+ROW()/100000,"")</f>
      </c>
      <c r="H2467">
        <f>IF(AND(资金台帐!K970&lt;&gt;"",资金台帐!K970=供应商对账单!$B$4,资金台帐!P970="应付",ISNUMBER(资金台帐!B970),资金台帐!B970&gt;=供应商对账单!$G$4,资金台帐!B970&lt;=供应商对账单!$I$4),资金台帐!B970+ROW()/100000,"")</f>
      </c>
      <c r="N2467">
        <f>IF(AND(ISNUMBER(出库明细!G2467),ISNUMBER(出库明细!E2467),ISNUMBER(出库明细!F2467)),IF(ABS(出库明细!G2467-出库明细!E2467*出库明细!F2467)&gt;0.005,1,0),0)</f>
        <v>0</v>
      </c>
    </row>
    <row r="2468">
      <c r="A2468">
        <f>IF(OR(出库明细!C1468="",出库明细!D1468=""),"",IF(OR(COUNTIFS(存条明细!$C$4:$C$1003,出库明细!C1468,存条明细!$D$4:$D$1003,出库明细!D1468)&gt;0,COUNTIFS(出库明细!$C$4:C1468,出库明细!C1468,出库明细!$D$4:D1468,出库明细!D1468)&gt;1),"",IFERROR(MATCH(出库明细!C1468,总览汇总!$B$5:$B$304,0),900)*10000000+IFERROR(MATCH(出库明细!D1468,基础资料!$E$5:$E$104,0),900)*10000+ROW()))</f>
      </c>
      <c r="F2468">
        <f>IF(AND(出库明细!C2468&lt;&gt;"",出库明细!C2468=客户对账单!$B$4,ISNUMBER(出库明细!B2468),出库明细!B2468&gt;=客户对账单!$G$4,出库明细!B2468&lt;=客户对账单!$I$4),出库明细!B2468+ROW()/100000,"")</f>
      </c>
      <c r="H2468">
        <f>IF(AND(资金台帐!K971&lt;&gt;"",资金台帐!K971=供应商对账单!$B$4,资金台帐!P971="应付",ISNUMBER(资金台帐!B971),资金台帐!B971&gt;=供应商对账单!$G$4,资金台帐!B971&lt;=供应商对账单!$I$4),资金台帐!B971+ROW()/100000,"")</f>
      </c>
      <c r="N2468">
        <f>IF(AND(ISNUMBER(出库明细!G2468),ISNUMBER(出库明细!E2468),ISNUMBER(出库明细!F2468)),IF(ABS(出库明细!G2468-出库明细!E2468*出库明细!F2468)&gt;0.005,1,0),0)</f>
        <v>0</v>
      </c>
    </row>
    <row r="2469">
      <c r="A2469">
        <f>IF(OR(出库明细!C1469="",出库明细!D1469=""),"",IF(OR(COUNTIFS(存条明细!$C$4:$C$1003,出库明细!C1469,存条明细!$D$4:$D$1003,出库明细!D1469)&gt;0,COUNTIFS(出库明细!$C$4:C1469,出库明细!C1469,出库明细!$D$4:D1469,出库明细!D1469)&gt;1),"",IFERROR(MATCH(出库明细!C1469,总览汇总!$B$5:$B$304,0),900)*10000000+IFERROR(MATCH(出库明细!D1469,基础资料!$E$5:$E$104,0),900)*10000+ROW()))</f>
      </c>
      <c r="F2469">
        <f>IF(AND(出库明细!C2469&lt;&gt;"",出库明细!C2469=客户对账单!$B$4,ISNUMBER(出库明细!B2469),出库明细!B2469&gt;=客户对账单!$G$4,出库明细!B2469&lt;=客户对账单!$I$4),出库明细!B2469+ROW()/100000,"")</f>
      </c>
      <c r="H2469">
        <f>IF(AND(资金台帐!K972&lt;&gt;"",资金台帐!K972=供应商对账单!$B$4,资金台帐!P972="应付",ISNUMBER(资金台帐!B972),资金台帐!B972&gt;=供应商对账单!$G$4,资金台帐!B972&lt;=供应商对账单!$I$4),资金台帐!B972+ROW()/100000,"")</f>
      </c>
      <c r="N2469">
        <f>IF(AND(ISNUMBER(出库明细!G2469),ISNUMBER(出库明细!E2469),ISNUMBER(出库明细!F2469)),IF(ABS(出库明细!G2469-出库明细!E2469*出库明细!F2469)&gt;0.005,1,0),0)</f>
        <v>0</v>
      </c>
    </row>
    <row r="2470">
      <c r="A2470">
        <f>IF(OR(出库明细!C1470="",出库明细!D1470=""),"",IF(OR(COUNTIFS(存条明细!$C$4:$C$1003,出库明细!C1470,存条明细!$D$4:$D$1003,出库明细!D1470)&gt;0,COUNTIFS(出库明细!$C$4:C1470,出库明细!C1470,出库明细!$D$4:D1470,出库明细!D1470)&gt;1),"",IFERROR(MATCH(出库明细!C1470,总览汇总!$B$5:$B$304,0),900)*10000000+IFERROR(MATCH(出库明细!D1470,基础资料!$E$5:$E$104,0),900)*10000+ROW()))</f>
      </c>
      <c r="F2470">
        <f>IF(AND(出库明细!C2470&lt;&gt;"",出库明细!C2470=客户对账单!$B$4,ISNUMBER(出库明细!B2470),出库明细!B2470&gt;=客户对账单!$G$4,出库明细!B2470&lt;=客户对账单!$I$4),出库明细!B2470+ROW()/100000,"")</f>
      </c>
      <c r="H2470">
        <f>IF(AND(资金台帐!K973&lt;&gt;"",资金台帐!K973=供应商对账单!$B$4,资金台帐!P973="应付",ISNUMBER(资金台帐!B973),资金台帐!B973&gt;=供应商对账单!$G$4,资金台帐!B973&lt;=供应商对账单!$I$4),资金台帐!B973+ROW()/100000,"")</f>
      </c>
      <c r="N2470">
        <f>IF(AND(ISNUMBER(出库明细!G2470),ISNUMBER(出库明细!E2470),ISNUMBER(出库明细!F2470)),IF(ABS(出库明细!G2470-出库明细!E2470*出库明细!F2470)&gt;0.005,1,0),0)</f>
        <v>0</v>
      </c>
    </row>
    <row r="2471">
      <c r="A2471">
        <f>IF(OR(出库明细!C1471="",出库明细!D1471=""),"",IF(OR(COUNTIFS(存条明细!$C$4:$C$1003,出库明细!C1471,存条明细!$D$4:$D$1003,出库明细!D1471)&gt;0,COUNTIFS(出库明细!$C$4:C1471,出库明细!C1471,出库明细!$D$4:D1471,出库明细!D1471)&gt;1),"",IFERROR(MATCH(出库明细!C1471,总览汇总!$B$5:$B$304,0),900)*10000000+IFERROR(MATCH(出库明细!D1471,基础资料!$E$5:$E$104,0),900)*10000+ROW()))</f>
      </c>
      <c r="F2471">
        <f>IF(AND(出库明细!C2471&lt;&gt;"",出库明细!C2471=客户对账单!$B$4,ISNUMBER(出库明细!B2471),出库明细!B2471&gt;=客户对账单!$G$4,出库明细!B2471&lt;=客户对账单!$I$4),出库明细!B2471+ROW()/100000,"")</f>
      </c>
      <c r="H2471">
        <f>IF(AND(资金台帐!K974&lt;&gt;"",资金台帐!K974=供应商对账单!$B$4,资金台帐!P974="应付",ISNUMBER(资金台帐!B974),资金台帐!B974&gt;=供应商对账单!$G$4,资金台帐!B974&lt;=供应商对账单!$I$4),资金台帐!B974+ROW()/100000,"")</f>
      </c>
      <c r="N2471">
        <f>IF(AND(ISNUMBER(出库明细!G2471),ISNUMBER(出库明细!E2471),ISNUMBER(出库明细!F2471)),IF(ABS(出库明细!G2471-出库明细!E2471*出库明细!F2471)&gt;0.005,1,0),0)</f>
        <v>0</v>
      </c>
    </row>
    <row r="2472">
      <c r="A2472">
        <f>IF(OR(出库明细!C1472="",出库明细!D1472=""),"",IF(OR(COUNTIFS(存条明细!$C$4:$C$1003,出库明细!C1472,存条明细!$D$4:$D$1003,出库明细!D1472)&gt;0,COUNTIFS(出库明细!$C$4:C1472,出库明细!C1472,出库明细!$D$4:D1472,出库明细!D1472)&gt;1),"",IFERROR(MATCH(出库明细!C1472,总览汇总!$B$5:$B$304,0),900)*10000000+IFERROR(MATCH(出库明细!D1472,基础资料!$E$5:$E$104,0),900)*10000+ROW()))</f>
      </c>
      <c r="F2472">
        <f>IF(AND(出库明细!C2472&lt;&gt;"",出库明细!C2472=客户对账单!$B$4,ISNUMBER(出库明细!B2472),出库明细!B2472&gt;=客户对账单!$G$4,出库明细!B2472&lt;=客户对账单!$I$4),出库明细!B2472+ROW()/100000,"")</f>
      </c>
      <c r="H2472">
        <f>IF(AND(资金台帐!K975&lt;&gt;"",资金台帐!K975=供应商对账单!$B$4,资金台帐!P975="应付",ISNUMBER(资金台帐!B975),资金台帐!B975&gt;=供应商对账单!$G$4,资金台帐!B975&lt;=供应商对账单!$I$4),资金台帐!B975+ROW()/100000,"")</f>
      </c>
      <c r="N2472">
        <f>IF(AND(ISNUMBER(出库明细!G2472),ISNUMBER(出库明细!E2472),ISNUMBER(出库明细!F2472)),IF(ABS(出库明细!G2472-出库明细!E2472*出库明细!F2472)&gt;0.005,1,0),0)</f>
        <v>0</v>
      </c>
    </row>
    <row r="2473">
      <c r="A2473">
        <f>IF(OR(出库明细!C1473="",出库明细!D1473=""),"",IF(OR(COUNTIFS(存条明细!$C$4:$C$1003,出库明细!C1473,存条明细!$D$4:$D$1003,出库明细!D1473)&gt;0,COUNTIFS(出库明细!$C$4:C1473,出库明细!C1473,出库明细!$D$4:D1473,出库明细!D1473)&gt;1),"",IFERROR(MATCH(出库明细!C1473,总览汇总!$B$5:$B$304,0),900)*10000000+IFERROR(MATCH(出库明细!D1473,基础资料!$E$5:$E$104,0),900)*10000+ROW()))</f>
      </c>
      <c r="F2473">
        <f>IF(AND(出库明细!C2473&lt;&gt;"",出库明细!C2473=客户对账单!$B$4,ISNUMBER(出库明细!B2473),出库明细!B2473&gt;=客户对账单!$G$4,出库明细!B2473&lt;=客户对账单!$I$4),出库明细!B2473+ROW()/100000,"")</f>
      </c>
      <c r="H2473">
        <f>IF(AND(资金台帐!K976&lt;&gt;"",资金台帐!K976=供应商对账单!$B$4,资金台帐!P976="应付",ISNUMBER(资金台帐!B976),资金台帐!B976&gt;=供应商对账单!$G$4,资金台帐!B976&lt;=供应商对账单!$I$4),资金台帐!B976+ROW()/100000,"")</f>
      </c>
      <c r="N2473">
        <f>IF(AND(ISNUMBER(出库明细!G2473),ISNUMBER(出库明细!E2473),ISNUMBER(出库明细!F2473)),IF(ABS(出库明细!G2473-出库明细!E2473*出库明细!F2473)&gt;0.005,1,0),0)</f>
        <v>0</v>
      </c>
    </row>
    <row r="2474">
      <c r="A2474">
        <f>IF(OR(出库明细!C1474="",出库明细!D1474=""),"",IF(OR(COUNTIFS(存条明细!$C$4:$C$1003,出库明细!C1474,存条明细!$D$4:$D$1003,出库明细!D1474)&gt;0,COUNTIFS(出库明细!$C$4:C1474,出库明细!C1474,出库明细!$D$4:D1474,出库明细!D1474)&gt;1),"",IFERROR(MATCH(出库明细!C1474,总览汇总!$B$5:$B$304,0),900)*10000000+IFERROR(MATCH(出库明细!D1474,基础资料!$E$5:$E$104,0),900)*10000+ROW()))</f>
      </c>
      <c r="F2474">
        <f>IF(AND(出库明细!C2474&lt;&gt;"",出库明细!C2474=客户对账单!$B$4,ISNUMBER(出库明细!B2474),出库明细!B2474&gt;=客户对账单!$G$4,出库明细!B2474&lt;=客户对账单!$I$4),出库明细!B2474+ROW()/100000,"")</f>
      </c>
      <c r="H2474">
        <f>IF(AND(资金台帐!K977&lt;&gt;"",资金台帐!K977=供应商对账单!$B$4,资金台帐!P977="应付",ISNUMBER(资金台帐!B977),资金台帐!B977&gt;=供应商对账单!$G$4,资金台帐!B977&lt;=供应商对账单!$I$4),资金台帐!B977+ROW()/100000,"")</f>
      </c>
      <c r="N2474">
        <f>IF(AND(ISNUMBER(出库明细!G2474),ISNUMBER(出库明细!E2474),ISNUMBER(出库明细!F2474)),IF(ABS(出库明细!G2474-出库明细!E2474*出库明细!F2474)&gt;0.005,1,0),0)</f>
        <v>0</v>
      </c>
    </row>
    <row r="2475">
      <c r="A2475">
        <f>IF(OR(出库明细!C1475="",出库明细!D1475=""),"",IF(OR(COUNTIFS(存条明细!$C$4:$C$1003,出库明细!C1475,存条明细!$D$4:$D$1003,出库明细!D1475)&gt;0,COUNTIFS(出库明细!$C$4:C1475,出库明细!C1475,出库明细!$D$4:D1475,出库明细!D1475)&gt;1),"",IFERROR(MATCH(出库明细!C1475,总览汇总!$B$5:$B$304,0),900)*10000000+IFERROR(MATCH(出库明细!D1475,基础资料!$E$5:$E$104,0),900)*10000+ROW()))</f>
      </c>
      <c r="F2475">
        <f>IF(AND(出库明细!C2475&lt;&gt;"",出库明细!C2475=客户对账单!$B$4,ISNUMBER(出库明细!B2475),出库明细!B2475&gt;=客户对账单!$G$4,出库明细!B2475&lt;=客户对账单!$I$4),出库明细!B2475+ROW()/100000,"")</f>
      </c>
      <c r="H2475">
        <f>IF(AND(资金台帐!K978&lt;&gt;"",资金台帐!K978=供应商对账单!$B$4,资金台帐!P978="应付",ISNUMBER(资金台帐!B978),资金台帐!B978&gt;=供应商对账单!$G$4,资金台帐!B978&lt;=供应商对账单!$I$4),资金台帐!B978+ROW()/100000,"")</f>
      </c>
      <c r="N2475">
        <f>IF(AND(ISNUMBER(出库明细!G2475),ISNUMBER(出库明细!E2475),ISNUMBER(出库明细!F2475)),IF(ABS(出库明细!G2475-出库明细!E2475*出库明细!F2475)&gt;0.005,1,0),0)</f>
        <v>0</v>
      </c>
    </row>
    <row r="2476">
      <c r="A2476">
        <f>IF(OR(出库明细!C1476="",出库明细!D1476=""),"",IF(OR(COUNTIFS(存条明细!$C$4:$C$1003,出库明细!C1476,存条明细!$D$4:$D$1003,出库明细!D1476)&gt;0,COUNTIFS(出库明细!$C$4:C1476,出库明细!C1476,出库明细!$D$4:D1476,出库明细!D1476)&gt;1),"",IFERROR(MATCH(出库明细!C1476,总览汇总!$B$5:$B$304,0),900)*10000000+IFERROR(MATCH(出库明细!D1476,基础资料!$E$5:$E$104,0),900)*10000+ROW()))</f>
      </c>
      <c r="F2476">
        <f>IF(AND(出库明细!C2476&lt;&gt;"",出库明细!C2476=客户对账单!$B$4,ISNUMBER(出库明细!B2476),出库明细!B2476&gt;=客户对账单!$G$4,出库明细!B2476&lt;=客户对账单!$I$4),出库明细!B2476+ROW()/100000,"")</f>
      </c>
      <c r="H2476">
        <f>IF(AND(资金台帐!K979&lt;&gt;"",资金台帐!K979=供应商对账单!$B$4,资金台帐!P979="应付",ISNUMBER(资金台帐!B979),资金台帐!B979&gt;=供应商对账单!$G$4,资金台帐!B979&lt;=供应商对账单!$I$4),资金台帐!B979+ROW()/100000,"")</f>
      </c>
      <c r="N2476">
        <f>IF(AND(ISNUMBER(出库明细!G2476),ISNUMBER(出库明细!E2476),ISNUMBER(出库明细!F2476)),IF(ABS(出库明细!G2476-出库明细!E2476*出库明细!F2476)&gt;0.005,1,0),0)</f>
        <v>0</v>
      </c>
    </row>
    <row r="2477">
      <c r="A2477">
        <f>IF(OR(出库明细!C1477="",出库明细!D1477=""),"",IF(OR(COUNTIFS(存条明细!$C$4:$C$1003,出库明细!C1477,存条明细!$D$4:$D$1003,出库明细!D1477)&gt;0,COUNTIFS(出库明细!$C$4:C1477,出库明细!C1477,出库明细!$D$4:D1477,出库明细!D1477)&gt;1),"",IFERROR(MATCH(出库明细!C1477,总览汇总!$B$5:$B$304,0),900)*10000000+IFERROR(MATCH(出库明细!D1477,基础资料!$E$5:$E$104,0),900)*10000+ROW()))</f>
      </c>
      <c r="F2477">
        <f>IF(AND(出库明细!C2477&lt;&gt;"",出库明细!C2477=客户对账单!$B$4,ISNUMBER(出库明细!B2477),出库明细!B2477&gt;=客户对账单!$G$4,出库明细!B2477&lt;=客户对账单!$I$4),出库明细!B2477+ROW()/100000,"")</f>
      </c>
      <c r="H2477">
        <f>IF(AND(资金台帐!K980&lt;&gt;"",资金台帐!K980=供应商对账单!$B$4,资金台帐!P980="应付",ISNUMBER(资金台帐!B980),资金台帐!B980&gt;=供应商对账单!$G$4,资金台帐!B980&lt;=供应商对账单!$I$4),资金台帐!B980+ROW()/100000,"")</f>
      </c>
      <c r="N2477">
        <f>IF(AND(ISNUMBER(出库明细!G2477),ISNUMBER(出库明细!E2477),ISNUMBER(出库明细!F2477)),IF(ABS(出库明细!G2477-出库明细!E2477*出库明细!F2477)&gt;0.005,1,0),0)</f>
        <v>0</v>
      </c>
    </row>
    <row r="2478">
      <c r="A2478">
        <f>IF(OR(出库明细!C1478="",出库明细!D1478=""),"",IF(OR(COUNTIFS(存条明细!$C$4:$C$1003,出库明细!C1478,存条明细!$D$4:$D$1003,出库明细!D1478)&gt;0,COUNTIFS(出库明细!$C$4:C1478,出库明细!C1478,出库明细!$D$4:D1478,出库明细!D1478)&gt;1),"",IFERROR(MATCH(出库明细!C1478,总览汇总!$B$5:$B$304,0),900)*10000000+IFERROR(MATCH(出库明细!D1478,基础资料!$E$5:$E$104,0),900)*10000+ROW()))</f>
      </c>
      <c r="F2478">
        <f>IF(AND(出库明细!C2478&lt;&gt;"",出库明细!C2478=客户对账单!$B$4,ISNUMBER(出库明细!B2478),出库明细!B2478&gt;=客户对账单!$G$4,出库明细!B2478&lt;=客户对账单!$I$4),出库明细!B2478+ROW()/100000,"")</f>
      </c>
      <c r="H2478">
        <f>IF(AND(资金台帐!K981&lt;&gt;"",资金台帐!K981=供应商对账单!$B$4,资金台帐!P981="应付",ISNUMBER(资金台帐!B981),资金台帐!B981&gt;=供应商对账单!$G$4,资金台帐!B981&lt;=供应商对账单!$I$4),资金台帐!B981+ROW()/100000,"")</f>
      </c>
      <c r="N2478">
        <f>IF(AND(ISNUMBER(出库明细!G2478),ISNUMBER(出库明细!E2478),ISNUMBER(出库明细!F2478)),IF(ABS(出库明细!G2478-出库明细!E2478*出库明细!F2478)&gt;0.005,1,0),0)</f>
        <v>0</v>
      </c>
    </row>
    <row r="2479">
      <c r="A2479">
        <f>IF(OR(出库明细!C1479="",出库明细!D1479=""),"",IF(OR(COUNTIFS(存条明细!$C$4:$C$1003,出库明细!C1479,存条明细!$D$4:$D$1003,出库明细!D1479)&gt;0,COUNTIFS(出库明细!$C$4:C1479,出库明细!C1479,出库明细!$D$4:D1479,出库明细!D1479)&gt;1),"",IFERROR(MATCH(出库明细!C1479,总览汇总!$B$5:$B$304,0),900)*10000000+IFERROR(MATCH(出库明细!D1479,基础资料!$E$5:$E$104,0),900)*10000+ROW()))</f>
      </c>
      <c r="F2479">
        <f>IF(AND(出库明细!C2479&lt;&gt;"",出库明细!C2479=客户对账单!$B$4,ISNUMBER(出库明细!B2479),出库明细!B2479&gt;=客户对账单!$G$4,出库明细!B2479&lt;=客户对账单!$I$4),出库明细!B2479+ROW()/100000,"")</f>
      </c>
      <c r="H2479">
        <f>IF(AND(资金台帐!K982&lt;&gt;"",资金台帐!K982=供应商对账单!$B$4,资金台帐!P982="应付",ISNUMBER(资金台帐!B982),资金台帐!B982&gt;=供应商对账单!$G$4,资金台帐!B982&lt;=供应商对账单!$I$4),资金台帐!B982+ROW()/100000,"")</f>
      </c>
      <c r="N2479">
        <f>IF(AND(ISNUMBER(出库明细!G2479),ISNUMBER(出库明细!E2479),ISNUMBER(出库明细!F2479)),IF(ABS(出库明细!G2479-出库明细!E2479*出库明细!F2479)&gt;0.005,1,0),0)</f>
        <v>0</v>
      </c>
    </row>
    <row r="2480">
      <c r="A2480">
        <f>IF(OR(出库明细!C1480="",出库明细!D1480=""),"",IF(OR(COUNTIFS(存条明细!$C$4:$C$1003,出库明细!C1480,存条明细!$D$4:$D$1003,出库明细!D1480)&gt;0,COUNTIFS(出库明细!$C$4:C1480,出库明细!C1480,出库明细!$D$4:D1480,出库明细!D1480)&gt;1),"",IFERROR(MATCH(出库明细!C1480,总览汇总!$B$5:$B$304,0),900)*10000000+IFERROR(MATCH(出库明细!D1480,基础资料!$E$5:$E$104,0),900)*10000+ROW()))</f>
      </c>
      <c r="F2480">
        <f>IF(AND(出库明细!C2480&lt;&gt;"",出库明细!C2480=客户对账单!$B$4,ISNUMBER(出库明细!B2480),出库明细!B2480&gt;=客户对账单!$G$4,出库明细!B2480&lt;=客户对账单!$I$4),出库明细!B2480+ROW()/100000,"")</f>
      </c>
      <c r="H2480">
        <f>IF(AND(资金台帐!K983&lt;&gt;"",资金台帐!K983=供应商对账单!$B$4,资金台帐!P983="应付",ISNUMBER(资金台帐!B983),资金台帐!B983&gt;=供应商对账单!$G$4,资金台帐!B983&lt;=供应商对账单!$I$4),资金台帐!B983+ROW()/100000,"")</f>
      </c>
      <c r="N2480">
        <f>IF(AND(ISNUMBER(出库明细!G2480),ISNUMBER(出库明细!E2480),ISNUMBER(出库明细!F2480)),IF(ABS(出库明细!G2480-出库明细!E2480*出库明细!F2480)&gt;0.005,1,0),0)</f>
        <v>0</v>
      </c>
    </row>
    <row r="2481">
      <c r="A2481">
        <f>IF(OR(出库明细!C1481="",出库明细!D1481=""),"",IF(OR(COUNTIFS(存条明细!$C$4:$C$1003,出库明细!C1481,存条明细!$D$4:$D$1003,出库明细!D1481)&gt;0,COUNTIFS(出库明细!$C$4:C1481,出库明细!C1481,出库明细!$D$4:D1481,出库明细!D1481)&gt;1),"",IFERROR(MATCH(出库明细!C1481,总览汇总!$B$5:$B$304,0),900)*10000000+IFERROR(MATCH(出库明细!D1481,基础资料!$E$5:$E$104,0),900)*10000+ROW()))</f>
      </c>
      <c r="F2481">
        <f>IF(AND(出库明细!C2481&lt;&gt;"",出库明细!C2481=客户对账单!$B$4,ISNUMBER(出库明细!B2481),出库明细!B2481&gt;=客户对账单!$G$4,出库明细!B2481&lt;=客户对账单!$I$4),出库明细!B2481+ROW()/100000,"")</f>
      </c>
      <c r="H2481">
        <f>IF(AND(资金台帐!K984&lt;&gt;"",资金台帐!K984=供应商对账单!$B$4,资金台帐!P984="应付",ISNUMBER(资金台帐!B984),资金台帐!B984&gt;=供应商对账单!$G$4,资金台帐!B984&lt;=供应商对账单!$I$4),资金台帐!B984+ROW()/100000,"")</f>
      </c>
      <c r="N2481">
        <f>IF(AND(ISNUMBER(出库明细!G2481),ISNUMBER(出库明细!E2481),ISNUMBER(出库明细!F2481)),IF(ABS(出库明细!G2481-出库明细!E2481*出库明细!F2481)&gt;0.005,1,0),0)</f>
        <v>0</v>
      </c>
    </row>
    <row r="2482">
      <c r="A2482">
        <f>IF(OR(出库明细!C1482="",出库明细!D1482=""),"",IF(OR(COUNTIFS(存条明细!$C$4:$C$1003,出库明细!C1482,存条明细!$D$4:$D$1003,出库明细!D1482)&gt;0,COUNTIFS(出库明细!$C$4:C1482,出库明细!C1482,出库明细!$D$4:D1482,出库明细!D1482)&gt;1),"",IFERROR(MATCH(出库明细!C1482,总览汇总!$B$5:$B$304,0),900)*10000000+IFERROR(MATCH(出库明细!D1482,基础资料!$E$5:$E$104,0),900)*10000+ROW()))</f>
      </c>
      <c r="F2482">
        <f>IF(AND(出库明细!C2482&lt;&gt;"",出库明细!C2482=客户对账单!$B$4,ISNUMBER(出库明细!B2482),出库明细!B2482&gt;=客户对账单!$G$4,出库明细!B2482&lt;=客户对账单!$I$4),出库明细!B2482+ROW()/100000,"")</f>
      </c>
      <c r="H2482">
        <f>IF(AND(资金台帐!K985&lt;&gt;"",资金台帐!K985=供应商对账单!$B$4,资金台帐!P985="应付",ISNUMBER(资金台帐!B985),资金台帐!B985&gt;=供应商对账单!$G$4,资金台帐!B985&lt;=供应商对账单!$I$4),资金台帐!B985+ROW()/100000,"")</f>
      </c>
      <c r="N2482">
        <f>IF(AND(ISNUMBER(出库明细!G2482),ISNUMBER(出库明细!E2482),ISNUMBER(出库明细!F2482)),IF(ABS(出库明细!G2482-出库明细!E2482*出库明细!F2482)&gt;0.005,1,0),0)</f>
        <v>0</v>
      </c>
    </row>
    <row r="2483">
      <c r="A2483">
        <f>IF(OR(出库明细!C1483="",出库明细!D1483=""),"",IF(OR(COUNTIFS(存条明细!$C$4:$C$1003,出库明细!C1483,存条明细!$D$4:$D$1003,出库明细!D1483)&gt;0,COUNTIFS(出库明细!$C$4:C1483,出库明细!C1483,出库明细!$D$4:D1483,出库明细!D1483)&gt;1),"",IFERROR(MATCH(出库明细!C1483,总览汇总!$B$5:$B$304,0),900)*10000000+IFERROR(MATCH(出库明细!D1483,基础资料!$E$5:$E$104,0),900)*10000+ROW()))</f>
      </c>
      <c r="F2483">
        <f>IF(AND(出库明细!C2483&lt;&gt;"",出库明细!C2483=客户对账单!$B$4,ISNUMBER(出库明细!B2483),出库明细!B2483&gt;=客户对账单!$G$4,出库明细!B2483&lt;=客户对账单!$I$4),出库明细!B2483+ROW()/100000,"")</f>
      </c>
      <c r="H2483">
        <f>IF(AND(资金台帐!K986&lt;&gt;"",资金台帐!K986=供应商对账单!$B$4,资金台帐!P986="应付",ISNUMBER(资金台帐!B986),资金台帐!B986&gt;=供应商对账单!$G$4,资金台帐!B986&lt;=供应商对账单!$I$4),资金台帐!B986+ROW()/100000,"")</f>
      </c>
      <c r="N2483">
        <f>IF(AND(ISNUMBER(出库明细!G2483),ISNUMBER(出库明细!E2483),ISNUMBER(出库明细!F2483)),IF(ABS(出库明细!G2483-出库明细!E2483*出库明细!F2483)&gt;0.005,1,0),0)</f>
        <v>0</v>
      </c>
    </row>
    <row r="2484">
      <c r="A2484">
        <f>IF(OR(出库明细!C1484="",出库明细!D1484=""),"",IF(OR(COUNTIFS(存条明细!$C$4:$C$1003,出库明细!C1484,存条明细!$D$4:$D$1003,出库明细!D1484)&gt;0,COUNTIFS(出库明细!$C$4:C1484,出库明细!C1484,出库明细!$D$4:D1484,出库明细!D1484)&gt;1),"",IFERROR(MATCH(出库明细!C1484,总览汇总!$B$5:$B$304,0),900)*10000000+IFERROR(MATCH(出库明细!D1484,基础资料!$E$5:$E$104,0),900)*10000+ROW()))</f>
      </c>
      <c r="F2484">
        <f>IF(AND(出库明细!C2484&lt;&gt;"",出库明细!C2484=客户对账单!$B$4,ISNUMBER(出库明细!B2484),出库明细!B2484&gt;=客户对账单!$G$4,出库明细!B2484&lt;=客户对账单!$I$4),出库明细!B2484+ROW()/100000,"")</f>
      </c>
      <c r="H2484">
        <f>IF(AND(资金台帐!K987&lt;&gt;"",资金台帐!K987=供应商对账单!$B$4,资金台帐!P987="应付",ISNUMBER(资金台帐!B987),资金台帐!B987&gt;=供应商对账单!$G$4,资金台帐!B987&lt;=供应商对账单!$I$4),资金台帐!B987+ROW()/100000,"")</f>
      </c>
      <c r="N2484">
        <f>IF(AND(ISNUMBER(出库明细!G2484),ISNUMBER(出库明细!E2484),ISNUMBER(出库明细!F2484)),IF(ABS(出库明细!G2484-出库明细!E2484*出库明细!F2484)&gt;0.005,1,0),0)</f>
        <v>0</v>
      </c>
    </row>
    <row r="2485">
      <c r="A2485">
        <f>IF(OR(出库明细!C1485="",出库明细!D1485=""),"",IF(OR(COUNTIFS(存条明细!$C$4:$C$1003,出库明细!C1485,存条明细!$D$4:$D$1003,出库明细!D1485)&gt;0,COUNTIFS(出库明细!$C$4:C1485,出库明细!C1485,出库明细!$D$4:D1485,出库明细!D1485)&gt;1),"",IFERROR(MATCH(出库明细!C1485,总览汇总!$B$5:$B$304,0),900)*10000000+IFERROR(MATCH(出库明细!D1485,基础资料!$E$5:$E$104,0),900)*10000+ROW()))</f>
      </c>
      <c r="F2485">
        <f>IF(AND(出库明细!C2485&lt;&gt;"",出库明细!C2485=客户对账单!$B$4,ISNUMBER(出库明细!B2485),出库明细!B2485&gt;=客户对账单!$G$4,出库明细!B2485&lt;=客户对账单!$I$4),出库明细!B2485+ROW()/100000,"")</f>
      </c>
      <c r="H2485">
        <f>IF(AND(资金台帐!K988&lt;&gt;"",资金台帐!K988=供应商对账单!$B$4,资金台帐!P988="应付",ISNUMBER(资金台帐!B988),资金台帐!B988&gt;=供应商对账单!$G$4,资金台帐!B988&lt;=供应商对账单!$I$4),资金台帐!B988+ROW()/100000,"")</f>
      </c>
      <c r="N2485">
        <f>IF(AND(ISNUMBER(出库明细!G2485),ISNUMBER(出库明细!E2485),ISNUMBER(出库明细!F2485)),IF(ABS(出库明细!G2485-出库明细!E2485*出库明细!F2485)&gt;0.005,1,0),0)</f>
        <v>0</v>
      </c>
    </row>
    <row r="2486">
      <c r="A2486">
        <f>IF(OR(出库明细!C1486="",出库明细!D1486=""),"",IF(OR(COUNTIFS(存条明细!$C$4:$C$1003,出库明细!C1486,存条明细!$D$4:$D$1003,出库明细!D1486)&gt;0,COUNTIFS(出库明细!$C$4:C1486,出库明细!C1486,出库明细!$D$4:D1486,出库明细!D1486)&gt;1),"",IFERROR(MATCH(出库明细!C1486,总览汇总!$B$5:$B$304,0),900)*10000000+IFERROR(MATCH(出库明细!D1486,基础资料!$E$5:$E$104,0),900)*10000+ROW()))</f>
      </c>
      <c r="F2486">
        <f>IF(AND(出库明细!C2486&lt;&gt;"",出库明细!C2486=客户对账单!$B$4,ISNUMBER(出库明细!B2486),出库明细!B2486&gt;=客户对账单!$G$4,出库明细!B2486&lt;=客户对账单!$I$4),出库明细!B2486+ROW()/100000,"")</f>
      </c>
      <c r="H2486">
        <f>IF(AND(资金台帐!K989&lt;&gt;"",资金台帐!K989=供应商对账单!$B$4,资金台帐!P989="应付",ISNUMBER(资金台帐!B989),资金台帐!B989&gt;=供应商对账单!$G$4,资金台帐!B989&lt;=供应商对账单!$I$4),资金台帐!B989+ROW()/100000,"")</f>
      </c>
      <c r="N2486">
        <f>IF(AND(ISNUMBER(出库明细!G2486),ISNUMBER(出库明细!E2486),ISNUMBER(出库明细!F2486)),IF(ABS(出库明细!G2486-出库明细!E2486*出库明细!F2486)&gt;0.005,1,0),0)</f>
        <v>0</v>
      </c>
    </row>
    <row r="2487">
      <c r="A2487">
        <f>IF(OR(出库明细!C1487="",出库明细!D1487=""),"",IF(OR(COUNTIFS(存条明细!$C$4:$C$1003,出库明细!C1487,存条明细!$D$4:$D$1003,出库明细!D1487)&gt;0,COUNTIFS(出库明细!$C$4:C1487,出库明细!C1487,出库明细!$D$4:D1487,出库明细!D1487)&gt;1),"",IFERROR(MATCH(出库明细!C1487,总览汇总!$B$5:$B$304,0),900)*10000000+IFERROR(MATCH(出库明细!D1487,基础资料!$E$5:$E$104,0),900)*10000+ROW()))</f>
      </c>
      <c r="F2487">
        <f>IF(AND(出库明细!C2487&lt;&gt;"",出库明细!C2487=客户对账单!$B$4,ISNUMBER(出库明细!B2487),出库明细!B2487&gt;=客户对账单!$G$4,出库明细!B2487&lt;=客户对账单!$I$4),出库明细!B2487+ROW()/100000,"")</f>
      </c>
      <c r="H2487">
        <f>IF(AND(资金台帐!K990&lt;&gt;"",资金台帐!K990=供应商对账单!$B$4,资金台帐!P990="应付",ISNUMBER(资金台帐!B990),资金台帐!B990&gt;=供应商对账单!$G$4,资金台帐!B990&lt;=供应商对账单!$I$4),资金台帐!B990+ROW()/100000,"")</f>
      </c>
      <c r="N2487">
        <f>IF(AND(ISNUMBER(出库明细!G2487),ISNUMBER(出库明细!E2487),ISNUMBER(出库明细!F2487)),IF(ABS(出库明细!G2487-出库明细!E2487*出库明细!F2487)&gt;0.005,1,0),0)</f>
        <v>0</v>
      </c>
    </row>
    <row r="2488">
      <c r="A2488">
        <f>IF(OR(出库明细!C1488="",出库明细!D1488=""),"",IF(OR(COUNTIFS(存条明细!$C$4:$C$1003,出库明细!C1488,存条明细!$D$4:$D$1003,出库明细!D1488)&gt;0,COUNTIFS(出库明细!$C$4:C1488,出库明细!C1488,出库明细!$D$4:D1488,出库明细!D1488)&gt;1),"",IFERROR(MATCH(出库明细!C1488,总览汇总!$B$5:$B$304,0),900)*10000000+IFERROR(MATCH(出库明细!D1488,基础资料!$E$5:$E$104,0),900)*10000+ROW()))</f>
      </c>
      <c r="F2488">
        <f>IF(AND(出库明细!C2488&lt;&gt;"",出库明细!C2488=客户对账单!$B$4,ISNUMBER(出库明细!B2488),出库明细!B2488&gt;=客户对账单!$G$4,出库明细!B2488&lt;=客户对账单!$I$4),出库明细!B2488+ROW()/100000,"")</f>
      </c>
      <c r="H2488">
        <f>IF(AND(资金台帐!K991&lt;&gt;"",资金台帐!K991=供应商对账单!$B$4,资金台帐!P991="应付",ISNUMBER(资金台帐!B991),资金台帐!B991&gt;=供应商对账单!$G$4,资金台帐!B991&lt;=供应商对账单!$I$4),资金台帐!B991+ROW()/100000,"")</f>
      </c>
      <c r="N2488">
        <f>IF(AND(ISNUMBER(出库明细!G2488),ISNUMBER(出库明细!E2488),ISNUMBER(出库明细!F2488)),IF(ABS(出库明细!G2488-出库明细!E2488*出库明细!F2488)&gt;0.005,1,0),0)</f>
        <v>0</v>
      </c>
    </row>
    <row r="2489">
      <c r="A2489">
        <f>IF(OR(出库明细!C1489="",出库明细!D1489=""),"",IF(OR(COUNTIFS(存条明细!$C$4:$C$1003,出库明细!C1489,存条明细!$D$4:$D$1003,出库明细!D1489)&gt;0,COUNTIFS(出库明细!$C$4:C1489,出库明细!C1489,出库明细!$D$4:D1489,出库明细!D1489)&gt;1),"",IFERROR(MATCH(出库明细!C1489,总览汇总!$B$5:$B$304,0),900)*10000000+IFERROR(MATCH(出库明细!D1489,基础资料!$E$5:$E$104,0),900)*10000+ROW()))</f>
      </c>
      <c r="F2489">
        <f>IF(AND(出库明细!C2489&lt;&gt;"",出库明细!C2489=客户对账单!$B$4,ISNUMBER(出库明细!B2489),出库明细!B2489&gt;=客户对账单!$G$4,出库明细!B2489&lt;=客户对账单!$I$4),出库明细!B2489+ROW()/100000,"")</f>
      </c>
      <c r="H2489">
        <f>IF(AND(资金台帐!K992&lt;&gt;"",资金台帐!K992=供应商对账单!$B$4,资金台帐!P992="应付",ISNUMBER(资金台帐!B992),资金台帐!B992&gt;=供应商对账单!$G$4,资金台帐!B992&lt;=供应商对账单!$I$4),资金台帐!B992+ROW()/100000,"")</f>
      </c>
      <c r="N2489">
        <f>IF(AND(ISNUMBER(出库明细!G2489),ISNUMBER(出库明细!E2489),ISNUMBER(出库明细!F2489)),IF(ABS(出库明细!G2489-出库明细!E2489*出库明细!F2489)&gt;0.005,1,0),0)</f>
        <v>0</v>
      </c>
    </row>
    <row r="2490">
      <c r="A2490">
        <f>IF(OR(出库明细!C1490="",出库明细!D1490=""),"",IF(OR(COUNTIFS(存条明细!$C$4:$C$1003,出库明细!C1490,存条明细!$D$4:$D$1003,出库明细!D1490)&gt;0,COUNTIFS(出库明细!$C$4:C1490,出库明细!C1490,出库明细!$D$4:D1490,出库明细!D1490)&gt;1),"",IFERROR(MATCH(出库明细!C1490,总览汇总!$B$5:$B$304,0),900)*10000000+IFERROR(MATCH(出库明细!D1490,基础资料!$E$5:$E$104,0),900)*10000+ROW()))</f>
      </c>
      <c r="F2490">
        <f>IF(AND(出库明细!C2490&lt;&gt;"",出库明细!C2490=客户对账单!$B$4,ISNUMBER(出库明细!B2490),出库明细!B2490&gt;=客户对账单!$G$4,出库明细!B2490&lt;=客户对账单!$I$4),出库明细!B2490+ROW()/100000,"")</f>
      </c>
      <c r="H2490">
        <f>IF(AND(资金台帐!K993&lt;&gt;"",资金台帐!K993=供应商对账单!$B$4,资金台帐!P993="应付",ISNUMBER(资金台帐!B993),资金台帐!B993&gt;=供应商对账单!$G$4,资金台帐!B993&lt;=供应商对账单!$I$4),资金台帐!B993+ROW()/100000,"")</f>
      </c>
      <c r="N2490">
        <f>IF(AND(ISNUMBER(出库明细!G2490),ISNUMBER(出库明细!E2490),ISNUMBER(出库明细!F2490)),IF(ABS(出库明细!G2490-出库明细!E2490*出库明细!F2490)&gt;0.005,1,0),0)</f>
        <v>0</v>
      </c>
    </row>
    <row r="2491">
      <c r="A2491">
        <f>IF(OR(出库明细!C1491="",出库明细!D1491=""),"",IF(OR(COUNTIFS(存条明细!$C$4:$C$1003,出库明细!C1491,存条明细!$D$4:$D$1003,出库明细!D1491)&gt;0,COUNTIFS(出库明细!$C$4:C1491,出库明细!C1491,出库明细!$D$4:D1491,出库明细!D1491)&gt;1),"",IFERROR(MATCH(出库明细!C1491,总览汇总!$B$5:$B$304,0),900)*10000000+IFERROR(MATCH(出库明细!D1491,基础资料!$E$5:$E$104,0),900)*10000+ROW()))</f>
      </c>
      <c r="F2491">
        <f>IF(AND(出库明细!C2491&lt;&gt;"",出库明细!C2491=客户对账单!$B$4,ISNUMBER(出库明细!B2491),出库明细!B2491&gt;=客户对账单!$G$4,出库明细!B2491&lt;=客户对账单!$I$4),出库明细!B2491+ROW()/100000,"")</f>
      </c>
      <c r="H2491">
        <f>IF(AND(资金台帐!K994&lt;&gt;"",资金台帐!K994=供应商对账单!$B$4,资金台帐!P994="应付",ISNUMBER(资金台帐!B994),资金台帐!B994&gt;=供应商对账单!$G$4,资金台帐!B994&lt;=供应商对账单!$I$4),资金台帐!B994+ROW()/100000,"")</f>
      </c>
      <c r="N2491">
        <f>IF(AND(ISNUMBER(出库明细!G2491),ISNUMBER(出库明细!E2491),ISNUMBER(出库明细!F2491)),IF(ABS(出库明细!G2491-出库明细!E2491*出库明细!F2491)&gt;0.005,1,0),0)</f>
        <v>0</v>
      </c>
    </row>
    <row r="2492">
      <c r="A2492">
        <f>IF(OR(出库明细!C1492="",出库明细!D1492=""),"",IF(OR(COUNTIFS(存条明细!$C$4:$C$1003,出库明细!C1492,存条明细!$D$4:$D$1003,出库明细!D1492)&gt;0,COUNTIFS(出库明细!$C$4:C1492,出库明细!C1492,出库明细!$D$4:D1492,出库明细!D1492)&gt;1),"",IFERROR(MATCH(出库明细!C1492,总览汇总!$B$5:$B$304,0),900)*10000000+IFERROR(MATCH(出库明细!D1492,基础资料!$E$5:$E$104,0),900)*10000+ROW()))</f>
      </c>
      <c r="F2492">
        <f>IF(AND(出库明细!C2492&lt;&gt;"",出库明细!C2492=客户对账单!$B$4,ISNUMBER(出库明细!B2492),出库明细!B2492&gt;=客户对账单!$G$4,出库明细!B2492&lt;=客户对账单!$I$4),出库明细!B2492+ROW()/100000,"")</f>
      </c>
      <c r="H2492">
        <f>IF(AND(资金台帐!K995&lt;&gt;"",资金台帐!K995=供应商对账单!$B$4,资金台帐!P995="应付",ISNUMBER(资金台帐!B995),资金台帐!B995&gt;=供应商对账单!$G$4,资金台帐!B995&lt;=供应商对账单!$I$4),资金台帐!B995+ROW()/100000,"")</f>
      </c>
      <c r="N2492">
        <f>IF(AND(ISNUMBER(出库明细!G2492),ISNUMBER(出库明细!E2492),ISNUMBER(出库明细!F2492)),IF(ABS(出库明细!G2492-出库明细!E2492*出库明细!F2492)&gt;0.005,1,0),0)</f>
        <v>0</v>
      </c>
    </row>
    <row r="2493">
      <c r="A2493">
        <f>IF(OR(出库明细!C1493="",出库明细!D1493=""),"",IF(OR(COUNTIFS(存条明细!$C$4:$C$1003,出库明细!C1493,存条明细!$D$4:$D$1003,出库明细!D1493)&gt;0,COUNTIFS(出库明细!$C$4:C1493,出库明细!C1493,出库明细!$D$4:D1493,出库明细!D1493)&gt;1),"",IFERROR(MATCH(出库明细!C1493,总览汇总!$B$5:$B$304,0),900)*10000000+IFERROR(MATCH(出库明细!D1493,基础资料!$E$5:$E$104,0),900)*10000+ROW()))</f>
      </c>
      <c r="F2493">
        <f>IF(AND(出库明细!C2493&lt;&gt;"",出库明细!C2493=客户对账单!$B$4,ISNUMBER(出库明细!B2493),出库明细!B2493&gt;=客户对账单!$G$4,出库明细!B2493&lt;=客户对账单!$I$4),出库明细!B2493+ROW()/100000,"")</f>
      </c>
      <c r="H2493">
        <f>IF(AND(资金台帐!K996&lt;&gt;"",资金台帐!K996=供应商对账单!$B$4,资金台帐!P996="应付",ISNUMBER(资金台帐!B996),资金台帐!B996&gt;=供应商对账单!$G$4,资金台帐!B996&lt;=供应商对账单!$I$4),资金台帐!B996+ROW()/100000,"")</f>
      </c>
      <c r="N2493">
        <f>IF(AND(ISNUMBER(出库明细!G2493),ISNUMBER(出库明细!E2493),ISNUMBER(出库明细!F2493)),IF(ABS(出库明细!G2493-出库明细!E2493*出库明细!F2493)&gt;0.005,1,0),0)</f>
        <v>0</v>
      </c>
    </row>
    <row r="2494">
      <c r="A2494">
        <f>IF(OR(出库明细!C1494="",出库明细!D1494=""),"",IF(OR(COUNTIFS(存条明细!$C$4:$C$1003,出库明细!C1494,存条明细!$D$4:$D$1003,出库明细!D1494)&gt;0,COUNTIFS(出库明细!$C$4:C1494,出库明细!C1494,出库明细!$D$4:D1494,出库明细!D1494)&gt;1),"",IFERROR(MATCH(出库明细!C1494,总览汇总!$B$5:$B$304,0),900)*10000000+IFERROR(MATCH(出库明细!D1494,基础资料!$E$5:$E$104,0),900)*10000+ROW()))</f>
      </c>
      <c r="F2494">
        <f>IF(AND(出库明细!C2494&lt;&gt;"",出库明细!C2494=客户对账单!$B$4,ISNUMBER(出库明细!B2494),出库明细!B2494&gt;=客户对账单!$G$4,出库明细!B2494&lt;=客户对账单!$I$4),出库明细!B2494+ROW()/100000,"")</f>
      </c>
      <c r="H2494">
        <f>IF(AND(资金台帐!K997&lt;&gt;"",资金台帐!K997=供应商对账单!$B$4,资金台帐!P997="应付",ISNUMBER(资金台帐!B997),资金台帐!B997&gt;=供应商对账单!$G$4,资金台帐!B997&lt;=供应商对账单!$I$4),资金台帐!B997+ROW()/100000,"")</f>
      </c>
      <c r="N2494">
        <f>IF(AND(ISNUMBER(出库明细!G2494),ISNUMBER(出库明细!E2494),ISNUMBER(出库明细!F2494)),IF(ABS(出库明细!G2494-出库明细!E2494*出库明细!F2494)&gt;0.005,1,0),0)</f>
        <v>0</v>
      </c>
    </row>
    <row r="2495">
      <c r="A2495">
        <f>IF(OR(出库明细!C1495="",出库明细!D1495=""),"",IF(OR(COUNTIFS(存条明细!$C$4:$C$1003,出库明细!C1495,存条明细!$D$4:$D$1003,出库明细!D1495)&gt;0,COUNTIFS(出库明细!$C$4:C1495,出库明细!C1495,出库明细!$D$4:D1495,出库明细!D1495)&gt;1),"",IFERROR(MATCH(出库明细!C1495,总览汇总!$B$5:$B$304,0),900)*10000000+IFERROR(MATCH(出库明细!D1495,基础资料!$E$5:$E$104,0),900)*10000+ROW()))</f>
      </c>
      <c r="F2495">
        <f>IF(AND(出库明细!C2495&lt;&gt;"",出库明细!C2495=客户对账单!$B$4,ISNUMBER(出库明细!B2495),出库明细!B2495&gt;=客户对账单!$G$4,出库明细!B2495&lt;=客户对账单!$I$4),出库明细!B2495+ROW()/100000,"")</f>
      </c>
      <c r="H2495">
        <f>IF(AND(资金台帐!K998&lt;&gt;"",资金台帐!K998=供应商对账单!$B$4,资金台帐!P998="应付",ISNUMBER(资金台帐!B998),资金台帐!B998&gt;=供应商对账单!$G$4,资金台帐!B998&lt;=供应商对账单!$I$4),资金台帐!B998+ROW()/100000,"")</f>
      </c>
      <c r="N2495">
        <f>IF(AND(ISNUMBER(出库明细!G2495),ISNUMBER(出库明细!E2495),ISNUMBER(出库明细!F2495)),IF(ABS(出库明细!G2495-出库明细!E2495*出库明细!F2495)&gt;0.005,1,0),0)</f>
        <v>0</v>
      </c>
    </row>
    <row r="2496">
      <c r="A2496">
        <f>IF(OR(出库明细!C1496="",出库明细!D1496=""),"",IF(OR(COUNTIFS(存条明细!$C$4:$C$1003,出库明细!C1496,存条明细!$D$4:$D$1003,出库明细!D1496)&gt;0,COUNTIFS(出库明细!$C$4:C1496,出库明细!C1496,出库明细!$D$4:D1496,出库明细!D1496)&gt;1),"",IFERROR(MATCH(出库明细!C1496,总览汇总!$B$5:$B$304,0),900)*10000000+IFERROR(MATCH(出库明细!D1496,基础资料!$E$5:$E$104,0),900)*10000+ROW()))</f>
      </c>
      <c r="F2496">
        <f>IF(AND(出库明细!C2496&lt;&gt;"",出库明细!C2496=客户对账单!$B$4,ISNUMBER(出库明细!B2496),出库明细!B2496&gt;=客户对账单!$G$4,出库明细!B2496&lt;=客户对账单!$I$4),出库明细!B2496+ROW()/100000,"")</f>
      </c>
      <c r="H2496">
        <f>IF(AND(资金台帐!K999&lt;&gt;"",资金台帐!K999=供应商对账单!$B$4,资金台帐!P999="应付",ISNUMBER(资金台帐!B999),资金台帐!B999&gt;=供应商对账单!$G$4,资金台帐!B999&lt;=供应商对账单!$I$4),资金台帐!B999+ROW()/100000,"")</f>
      </c>
      <c r="N2496">
        <f>IF(AND(ISNUMBER(出库明细!G2496),ISNUMBER(出库明细!E2496),ISNUMBER(出库明细!F2496)),IF(ABS(出库明细!G2496-出库明细!E2496*出库明细!F2496)&gt;0.005,1,0),0)</f>
        <v>0</v>
      </c>
    </row>
    <row r="2497">
      <c r="A2497">
        <f>IF(OR(出库明细!C1497="",出库明细!D1497=""),"",IF(OR(COUNTIFS(存条明细!$C$4:$C$1003,出库明细!C1497,存条明细!$D$4:$D$1003,出库明细!D1497)&gt;0,COUNTIFS(出库明细!$C$4:C1497,出库明细!C1497,出库明细!$D$4:D1497,出库明细!D1497)&gt;1),"",IFERROR(MATCH(出库明细!C1497,总览汇总!$B$5:$B$304,0),900)*10000000+IFERROR(MATCH(出库明细!D1497,基础资料!$E$5:$E$104,0),900)*10000+ROW()))</f>
      </c>
      <c r="F2497">
        <f>IF(AND(出库明细!C2497&lt;&gt;"",出库明细!C2497=客户对账单!$B$4,ISNUMBER(出库明细!B2497),出库明细!B2497&gt;=客户对账单!$G$4,出库明细!B2497&lt;=客户对账单!$I$4),出库明细!B2497+ROW()/100000,"")</f>
      </c>
      <c r="H2497">
        <f>IF(AND(资金台帐!K1000&lt;&gt;"",资金台帐!K1000=供应商对账单!$B$4,资金台帐!P1000="应付",ISNUMBER(资金台帐!B1000),资金台帐!B1000&gt;=供应商对账单!$G$4,资金台帐!B1000&lt;=供应商对账单!$I$4),资金台帐!B1000+ROW()/100000,"")</f>
      </c>
      <c r="N2497">
        <f>IF(AND(ISNUMBER(出库明细!G2497),ISNUMBER(出库明细!E2497),ISNUMBER(出库明细!F2497)),IF(ABS(出库明细!G2497-出库明细!E2497*出库明细!F2497)&gt;0.005,1,0),0)</f>
        <v>0</v>
      </c>
    </row>
    <row r="2498">
      <c r="A2498">
        <f>IF(OR(出库明细!C1498="",出库明细!D1498=""),"",IF(OR(COUNTIFS(存条明细!$C$4:$C$1003,出库明细!C1498,存条明细!$D$4:$D$1003,出库明细!D1498)&gt;0,COUNTIFS(出库明细!$C$4:C1498,出库明细!C1498,出库明细!$D$4:D1498,出库明细!D1498)&gt;1),"",IFERROR(MATCH(出库明细!C1498,总览汇总!$B$5:$B$304,0),900)*10000000+IFERROR(MATCH(出库明细!D1498,基础资料!$E$5:$E$104,0),900)*10000+ROW()))</f>
      </c>
      <c r="F2498">
        <f>IF(AND(出库明细!C2498&lt;&gt;"",出库明细!C2498=客户对账单!$B$4,ISNUMBER(出库明细!B2498),出库明细!B2498&gt;=客户对账单!$G$4,出库明细!B2498&lt;=客户对账单!$I$4),出库明细!B2498+ROW()/100000,"")</f>
      </c>
      <c r="H2498">
        <f>IF(AND(资金台帐!K1001&lt;&gt;"",资金台帐!K1001=供应商对账单!$B$4,资金台帐!P1001="应付",ISNUMBER(资金台帐!B1001),资金台帐!B1001&gt;=供应商对账单!$G$4,资金台帐!B1001&lt;=供应商对账单!$I$4),资金台帐!B1001+ROW()/100000,"")</f>
      </c>
      <c r="N2498">
        <f>IF(AND(ISNUMBER(出库明细!G2498),ISNUMBER(出库明细!E2498),ISNUMBER(出库明细!F2498)),IF(ABS(出库明细!G2498-出库明细!E2498*出库明细!F2498)&gt;0.005,1,0),0)</f>
        <v>0</v>
      </c>
    </row>
    <row r="2499">
      <c r="A2499">
        <f>IF(OR(出库明细!C1499="",出库明细!D1499=""),"",IF(OR(COUNTIFS(存条明细!$C$4:$C$1003,出库明细!C1499,存条明细!$D$4:$D$1003,出库明细!D1499)&gt;0,COUNTIFS(出库明细!$C$4:C1499,出库明细!C1499,出库明细!$D$4:D1499,出库明细!D1499)&gt;1),"",IFERROR(MATCH(出库明细!C1499,总览汇总!$B$5:$B$304,0),900)*10000000+IFERROR(MATCH(出库明细!D1499,基础资料!$E$5:$E$104,0),900)*10000+ROW()))</f>
      </c>
      <c r="F2499">
        <f>IF(AND(出库明细!C2499&lt;&gt;"",出库明细!C2499=客户对账单!$B$4,ISNUMBER(出库明细!B2499),出库明细!B2499&gt;=客户对账单!$G$4,出库明细!B2499&lt;=客户对账单!$I$4),出库明细!B2499+ROW()/100000,"")</f>
      </c>
      <c r="H2499">
        <f>IF(AND(资金台帐!K1002&lt;&gt;"",资金台帐!K1002=供应商对账单!$B$4,资金台帐!P1002="应付",ISNUMBER(资金台帐!B1002),资金台帐!B1002&gt;=供应商对账单!$G$4,资金台帐!B1002&lt;=供应商对账单!$I$4),资金台帐!B1002+ROW()/100000,"")</f>
      </c>
      <c r="N2499">
        <f>IF(AND(ISNUMBER(出库明细!G2499),ISNUMBER(出库明细!E2499),ISNUMBER(出库明细!F2499)),IF(ABS(出库明细!G2499-出库明细!E2499*出库明细!F2499)&gt;0.005,1,0),0)</f>
        <v>0</v>
      </c>
    </row>
    <row r="2500">
      <c r="A2500">
        <f>IF(OR(出库明细!C1500="",出库明细!D1500=""),"",IF(OR(COUNTIFS(存条明细!$C$4:$C$1003,出库明细!C1500,存条明细!$D$4:$D$1003,出库明细!D1500)&gt;0,COUNTIFS(出库明细!$C$4:C1500,出库明细!C1500,出库明细!$D$4:D1500,出库明细!D1500)&gt;1),"",IFERROR(MATCH(出库明细!C1500,总览汇总!$B$5:$B$304,0),900)*10000000+IFERROR(MATCH(出库明细!D1500,基础资料!$E$5:$E$104,0),900)*10000+ROW()))</f>
      </c>
      <c r="F2500">
        <f>IF(AND(出库明细!C2500&lt;&gt;"",出库明细!C2500=客户对账单!$B$4,ISNUMBER(出库明细!B2500),出库明细!B2500&gt;=客户对账单!$G$4,出库明细!B2500&lt;=客户对账单!$I$4),出库明细!B2500+ROW()/100000,"")</f>
      </c>
      <c r="H2500">
        <f>IF(AND(资金台帐!K1003&lt;&gt;"",资金台帐!K1003=供应商对账单!$B$4,资金台帐!P1003="应付",ISNUMBER(资金台帐!B1003),资金台帐!B1003&gt;=供应商对账单!$G$4,资金台帐!B1003&lt;=供应商对账单!$I$4),资金台帐!B1003+ROW()/100000,"")</f>
      </c>
      <c r="N2500">
        <f>IF(AND(ISNUMBER(出库明细!G2500),ISNUMBER(出库明细!E2500),ISNUMBER(出库明细!F2500)),IF(ABS(出库明细!G2500-出库明细!E2500*出库明细!F2500)&gt;0.005,1,0),0)</f>
        <v>0</v>
      </c>
    </row>
    <row r="2501">
      <c r="A2501">
        <f>IF(OR(出库明细!C1501="",出库明细!D1501=""),"",IF(OR(COUNTIFS(存条明细!$C$4:$C$1003,出库明细!C1501,存条明细!$D$4:$D$1003,出库明细!D1501)&gt;0,COUNTIFS(出库明细!$C$4:C1501,出库明细!C1501,出库明细!$D$4:D1501,出库明细!D1501)&gt;1),"",IFERROR(MATCH(出库明细!C1501,总览汇总!$B$5:$B$304,0),900)*10000000+IFERROR(MATCH(出库明细!D1501,基础资料!$E$5:$E$104,0),900)*10000+ROW()))</f>
      </c>
      <c r="F2501">
        <f>IF(AND(出库明细!C2501&lt;&gt;"",出库明细!C2501=客户对账单!$B$4,ISNUMBER(出库明细!B2501),出库明细!B2501&gt;=客户对账单!$G$4,出库明细!B2501&lt;=客户对账单!$I$4),出库明细!B2501+ROW()/100000,"")</f>
      </c>
      <c r="H2501">
        <f>IF(AND(资金台帐!K1004&lt;&gt;"",资金台帐!K1004=供应商对账单!$B$4,资金台帐!P1004="应付",ISNUMBER(资金台帐!B1004),资金台帐!B1004&gt;=供应商对账单!$G$4,资金台帐!B1004&lt;=供应商对账单!$I$4),资金台帐!B1004+ROW()/100000,"")</f>
      </c>
      <c r="N2501">
        <f>IF(AND(ISNUMBER(出库明细!G2501),ISNUMBER(出库明细!E2501),ISNUMBER(出库明细!F2501)),IF(ABS(出库明细!G2501-出库明细!E2501*出库明细!F2501)&gt;0.005,1,0),0)</f>
        <v>0</v>
      </c>
    </row>
    <row r="2502">
      <c r="A2502">
        <f>IF(OR(出库明细!C1502="",出库明细!D1502=""),"",IF(OR(COUNTIFS(存条明细!$C$4:$C$1003,出库明细!C1502,存条明细!$D$4:$D$1003,出库明细!D1502)&gt;0,COUNTIFS(出库明细!$C$4:C1502,出库明细!C1502,出库明细!$D$4:D1502,出库明细!D1502)&gt;1),"",IFERROR(MATCH(出库明细!C1502,总览汇总!$B$5:$B$304,0),900)*10000000+IFERROR(MATCH(出库明细!D1502,基础资料!$E$5:$E$104,0),900)*10000+ROW()))</f>
      </c>
      <c r="F2502">
        <f>IF(AND(出库明细!C2502&lt;&gt;"",出库明细!C2502=客户对账单!$B$4,ISNUMBER(出库明细!B2502),出库明细!B2502&gt;=客户对账单!$G$4,出库明细!B2502&lt;=客户对账单!$I$4),出库明细!B2502+ROW()/100000,"")</f>
      </c>
      <c r="H2502">
        <f>IF(AND(资金台帐!K1005&lt;&gt;"",资金台帐!K1005=供应商对账单!$B$4,资金台帐!P1005="应付",ISNUMBER(资金台帐!B1005),资金台帐!B1005&gt;=供应商对账单!$G$4,资金台帐!B1005&lt;=供应商对账单!$I$4),资金台帐!B1005+ROW()/100000,"")</f>
      </c>
      <c r="N2502">
        <f>IF(AND(ISNUMBER(出库明细!G2502),ISNUMBER(出库明细!E2502),ISNUMBER(出库明细!F2502)),IF(ABS(出库明细!G2502-出库明细!E2502*出库明细!F2502)&gt;0.005,1,0),0)</f>
        <v>0</v>
      </c>
    </row>
    <row r="2503">
      <c r="A2503">
        <f>IF(OR(出库明细!C1503="",出库明细!D1503=""),"",IF(OR(COUNTIFS(存条明细!$C$4:$C$1003,出库明细!C1503,存条明细!$D$4:$D$1003,出库明细!D1503)&gt;0,COUNTIFS(出库明细!$C$4:C1503,出库明细!C1503,出库明细!$D$4:D1503,出库明细!D1503)&gt;1),"",IFERROR(MATCH(出库明细!C1503,总览汇总!$B$5:$B$304,0),900)*10000000+IFERROR(MATCH(出库明细!D1503,基础资料!$E$5:$E$104,0),900)*10000+ROW()))</f>
      </c>
      <c r="F2503">
        <f>IF(AND(出库明细!C2503&lt;&gt;"",出库明细!C2503=客户对账单!$B$4,ISNUMBER(出库明细!B2503),出库明细!B2503&gt;=客户对账单!$G$4,出库明细!B2503&lt;=客户对账单!$I$4),出库明细!B2503+ROW()/100000,"")</f>
      </c>
      <c r="H2503">
        <f>IF(AND(资金台帐!K1006&lt;&gt;"",资金台帐!K1006=供应商对账单!$B$4,资金台帐!P1006="应付",ISNUMBER(资金台帐!B1006),资金台帐!B1006&gt;=供应商对账单!$G$4,资金台帐!B1006&lt;=供应商对账单!$I$4),资金台帐!B1006+ROW()/100000,"")</f>
      </c>
      <c r="N2503">
        <f>IF(AND(ISNUMBER(出库明细!G2503),ISNUMBER(出库明细!E2503),ISNUMBER(出库明细!F2503)),IF(ABS(出库明细!G2503-出库明细!E2503*出库明细!F2503)&gt;0.005,1,0),0)</f>
        <v>0</v>
      </c>
    </row>
    <row r="2504">
      <c r="A2504">
        <f>IF(OR(出库明细!C1504="",出库明细!D1504=""),"",IF(OR(COUNTIFS(存条明细!$C$4:$C$1003,出库明细!C1504,存条明细!$D$4:$D$1003,出库明细!D1504)&gt;0,COUNTIFS(出库明细!$C$4:C1504,出库明细!C1504,出库明细!$D$4:D1504,出库明细!D1504)&gt;1),"",IFERROR(MATCH(出库明细!C1504,总览汇总!$B$5:$B$304,0),900)*10000000+IFERROR(MATCH(出库明细!D1504,基础资料!$E$5:$E$104,0),900)*10000+ROW()))</f>
      </c>
      <c r="F2504">
        <f>IF(AND(出库明细!C2504&lt;&gt;"",出库明细!C2504=客户对账单!$B$4,ISNUMBER(出库明细!B2504),出库明细!B2504&gt;=客户对账单!$G$4,出库明细!B2504&lt;=客户对账单!$I$4),出库明细!B2504+ROW()/100000,"")</f>
      </c>
      <c r="H2504">
        <f>IF(AND(资金台帐!K1007&lt;&gt;"",资金台帐!K1007=供应商对账单!$B$4,资金台帐!P1007="应付",ISNUMBER(资金台帐!B1007),资金台帐!B1007&gt;=供应商对账单!$G$4,资金台帐!B1007&lt;=供应商对账单!$I$4),资金台帐!B1007+ROW()/100000,"")</f>
      </c>
      <c r="N2504">
        <f>IF(AND(ISNUMBER(出库明细!G2504),ISNUMBER(出库明细!E2504),ISNUMBER(出库明细!F2504)),IF(ABS(出库明细!G2504-出库明细!E2504*出库明细!F2504)&gt;0.005,1,0),0)</f>
        <v>0</v>
      </c>
    </row>
    <row r="2505">
      <c r="A2505">
        <f>IF(OR(出库明细!C1505="",出库明细!D1505=""),"",IF(OR(COUNTIFS(存条明细!$C$4:$C$1003,出库明细!C1505,存条明细!$D$4:$D$1003,出库明细!D1505)&gt;0,COUNTIFS(出库明细!$C$4:C1505,出库明细!C1505,出库明细!$D$4:D1505,出库明细!D1505)&gt;1),"",IFERROR(MATCH(出库明细!C1505,总览汇总!$B$5:$B$304,0),900)*10000000+IFERROR(MATCH(出库明细!D1505,基础资料!$E$5:$E$104,0),900)*10000+ROW()))</f>
      </c>
      <c r="F2505">
        <f>IF(AND(出库明细!C2505&lt;&gt;"",出库明细!C2505=客户对账单!$B$4,ISNUMBER(出库明细!B2505),出库明细!B2505&gt;=客户对账单!$G$4,出库明细!B2505&lt;=客户对账单!$I$4),出库明细!B2505+ROW()/100000,"")</f>
      </c>
      <c r="H2505">
        <f>IF(AND(资金台帐!K1008&lt;&gt;"",资金台帐!K1008=供应商对账单!$B$4,资金台帐!P1008="应付",ISNUMBER(资金台帐!B1008),资金台帐!B1008&gt;=供应商对账单!$G$4,资金台帐!B1008&lt;=供应商对账单!$I$4),资金台帐!B1008+ROW()/100000,"")</f>
      </c>
      <c r="N2505">
        <f>IF(AND(ISNUMBER(出库明细!G2505),ISNUMBER(出库明细!E2505),ISNUMBER(出库明细!F2505)),IF(ABS(出库明细!G2505-出库明细!E2505*出库明细!F2505)&gt;0.005,1,0),0)</f>
        <v>0</v>
      </c>
    </row>
    <row r="2506">
      <c r="A2506">
        <f>IF(OR(出库明细!C1506="",出库明细!D1506=""),"",IF(OR(COUNTIFS(存条明细!$C$4:$C$1003,出库明细!C1506,存条明细!$D$4:$D$1003,出库明细!D1506)&gt;0,COUNTIFS(出库明细!$C$4:C1506,出库明细!C1506,出库明细!$D$4:D1506,出库明细!D1506)&gt;1),"",IFERROR(MATCH(出库明细!C1506,总览汇总!$B$5:$B$304,0),900)*10000000+IFERROR(MATCH(出库明细!D1506,基础资料!$E$5:$E$104,0),900)*10000+ROW()))</f>
      </c>
      <c r="F2506">
        <f>IF(AND(出库明细!C2506&lt;&gt;"",出库明细!C2506=客户对账单!$B$4,ISNUMBER(出库明细!B2506),出库明细!B2506&gt;=客户对账单!$G$4,出库明细!B2506&lt;=客户对账单!$I$4),出库明细!B2506+ROW()/100000,"")</f>
      </c>
      <c r="H2506">
        <f>IF(AND(资金台帐!K1009&lt;&gt;"",资金台帐!K1009=供应商对账单!$B$4,资金台帐!P1009="应付",ISNUMBER(资金台帐!B1009),资金台帐!B1009&gt;=供应商对账单!$G$4,资金台帐!B1009&lt;=供应商对账单!$I$4),资金台帐!B1009+ROW()/100000,"")</f>
      </c>
      <c r="N2506">
        <f>IF(AND(ISNUMBER(出库明细!G2506),ISNUMBER(出库明细!E2506),ISNUMBER(出库明细!F2506)),IF(ABS(出库明细!G2506-出库明细!E2506*出库明细!F2506)&gt;0.005,1,0),0)</f>
        <v>0</v>
      </c>
    </row>
    <row r="2507">
      <c r="A2507">
        <f>IF(OR(出库明细!C1507="",出库明细!D1507=""),"",IF(OR(COUNTIFS(存条明细!$C$4:$C$1003,出库明细!C1507,存条明细!$D$4:$D$1003,出库明细!D1507)&gt;0,COUNTIFS(出库明细!$C$4:C1507,出库明细!C1507,出库明细!$D$4:D1507,出库明细!D1507)&gt;1),"",IFERROR(MATCH(出库明细!C1507,总览汇总!$B$5:$B$304,0),900)*10000000+IFERROR(MATCH(出库明细!D1507,基础资料!$E$5:$E$104,0),900)*10000+ROW()))</f>
      </c>
      <c r="F2507">
        <f>IF(AND(出库明细!C2507&lt;&gt;"",出库明细!C2507=客户对账单!$B$4,ISNUMBER(出库明细!B2507),出库明细!B2507&gt;=客户对账单!$G$4,出库明细!B2507&lt;=客户对账单!$I$4),出库明细!B2507+ROW()/100000,"")</f>
      </c>
      <c r="H2507">
        <f>IF(AND(资金台帐!K1010&lt;&gt;"",资金台帐!K1010=供应商对账单!$B$4,资金台帐!P1010="应付",ISNUMBER(资金台帐!B1010),资金台帐!B1010&gt;=供应商对账单!$G$4,资金台帐!B1010&lt;=供应商对账单!$I$4),资金台帐!B1010+ROW()/100000,"")</f>
      </c>
      <c r="N2507">
        <f>IF(AND(ISNUMBER(出库明细!G2507),ISNUMBER(出库明细!E2507),ISNUMBER(出库明细!F2507)),IF(ABS(出库明细!G2507-出库明细!E2507*出库明细!F2507)&gt;0.005,1,0),0)</f>
        <v>0</v>
      </c>
    </row>
    <row r="2508">
      <c r="A2508">
        <f>IF(OR(出库明细!C1508="",出库明细!D1508=""),"",IF(OR(COUNTIFS(存条明细!$C$4:$C$1003,出库明细!C1508,存条明细!$D$4:$D$1003,出库明细!D1508)&gt;0,COUNTIFS(出库明细!$C$4:C1508,出库明细!C1508,出库明细!$D$4:D1508,出库明细!D1508)&gt;1),"",IFERROR(MATCH(出库明细!C1508,总览汇总!$B$5:$B$304,0),900)*10000000+IFERROR(MATCH(出库明细!D1508,基础资料!$E$5:$E$104,0),900)*10000+ROW()))</f>
      </c>
      <c r="F2508">
        <f>IF(AND(出库明细!C2508&lt;&gt;"",出库明细!C2508=客户对账单!$B$4,ISNUMBER(出库明细!B2508),出库明细!B2508&gt;=客户对账单!$G$4,出库明细!B2508&lt;=客户对账单!$I$4),出库明细!B2508+ROW()/100000,"")</f>
      </c>
      <c r="H2508">
        <f>IF(AND(资金台帐!K1011&lt;&gt;"",资金台帐!K1011=供应商对账单!$B$4,资金台帐!P1011="应付",ISNUMBER(资金台帐!B1011),资金台帐!B1011&gt;=供应商对账单!$G$4,资金台帐!B1011&lt;=供应商对账单!$I$4),资金台帐!B1011+ROW()/100000,"")</f>
      </c>
      <c r="N2508">
        <f>IF(AND(ISNUMBER(出库明细!G2508),ISNUMBER(出库明细!E2508),ISNUMBER(出库明细!F2508)),IF(ABS(出库明细!G2508-出库明细!E2508*出库明细!F2508)&gt;0.005,1,0),0)</f>
        <v>0</v>
      </c>
    </row>
    <row r="2509">
      <c r="A2509">
        <f>IF(OR(出库明细!C1509="",出库明细!D1509=""),"",IF(OR(COUNTIFS(存条明细!$C$4:$C$1003,出库明细!C1509,存条明细!$D$4:$D$1003,出库明细!D1509)&gt;0,COUNTIFS(出库明细!$C$4:C1509,出库明细!C1509,出库明细!$D$4:D1509,出库明细!D1509)&gt;1),"",IFERROR(MATCH(出库明细!C1509,总览汇总!$B$5:$B$304,0),900)*10000000+IFERROR(MATCH(出库明细!D1509,基础资料!$E$5:$E$104,0),900)*10000+ROW()))</f>
      </c>
      <c r="F2509">
        <f>IF(AND(出库明细!C2509&lt;&gt;"",出库明细!C2509=客户对账单!$B$4,ISNUMBER(出库明细!B2509),出库明细!B2509&gt;=客户对账单!$G$4,出库明细!B2509&lt;=客户对账单!$I$4),出库明细!B2509+ROW()/100000,"")</f>
      </c>
      <c r="H2509">
        <f>IF(AND(资金台帐!K1012&lt;&gt;"",资金台帐!K1012=供应商对账单!$B$4,资金台帐!P1012="应付",ISNUMBER(资金台帐!B1012),资金台帐!B1012&gt;=供应商对账单!$G$4,资金台帐!B1012&lt;=供应商对账单!$I$4),资金台帐!B1012+ROW()/100000,"")</f>
      </c>
      <c r="N2509">
        <f>IF(AND(ISNUMBER(出库明细!G2509),ISNUMBER(出库明细!E2509),ISNUMBER(出库明细!F2509)),IF(ABS(出库明细!G2509-出库明细!E2509*出库明细!F2509)&gt;0.005,1,0),0)</f>
        <v>0</v>
      </c>
    </row>
    <row r="2510">
      <c r="A2510">
        <f>IF(OR(出库明细!C1510="",出库明细!D1510=""),"",IF(OR(COUNTIFS(存条明细!$C$4:$C$1003,出库明细!C1510,存条明细!$D$4:$D$1003,出库明细!D1510)&gt;0,COUNTIFS(出库明细!$C$4:C1510,出库明细!C1510,出库明细!$D$4:D1510,出库明细!D1510)&gt;1),"",IFERROR(MATCH(出库明细!C1510,总览汇总!$B$5:$B$304,0),900)*10000000+IFERROR(MATCH(出库明细!D1510,基础资料!$E$5:$E$104,0),900)*10000+ROW()))</f>
      </c>
      <c r="F2510">
        <f>IF(AND(出库明细!C2510&lt;&gt;"",出库明细!C2510=客户对账单!$B$4,ISNUMBER(出库明细!B2510),出库明细!B2510&gt;=客户对账单!$G$4,出库明细!B2510&lt;=客户对账单!$I$4),出库明细!B2510+ROW()/100000,"")</f>
      </c>
      <c r="H2510">
        <f>IF(AND(资金台帐!K1013&lt;&gt;"",资金台帐!K1013=供应商对账单!$B$4,资金台帐!P1013="应付",ISNUMBER(资金台帐!B1013),资金台帐!B1013&gt;=供应商对账单!$G$4,资金台帐!B1013&lt;=供应商对账单!$I$4),资金台帐!B1013+ROW()/100000,"")</f>
      </c>
      <c r="N2510">
        <f>IF(AND(ISNUMBER(出库明细!G2510),ISNUMBER(出库明细!E2510),ISNUMBER(出库明细!F2510)),IF(ABS(出库明细!G2510-出库明细!E2510*出库明细!F2510)&gt;0.005,1,0),0)</f>
        <v>0</v>
      </c>
    </row>
    <row r="2511">
      <c r="A2511">
        <f>IF(OR(出库明细!C1511="",出库明细!D1511=""),"",IF(OR(COUNTIFS(存条明细!$C$4:$C$1003,出库明细!C1511,存条明细!$D$4:$D$1003,出库明细!D1511)&gt;0,COUNTIFS(出库明细!$C$4:C1511,出库明细!C1511,出库明细!$D$4:D1511,出库明细!D1511)&gt;1),"",IFERROR(MATCH(出库明细!C1511,总览汇总!$B$5:$B$304,0),900)*10000000+IFERROR(MATCH(出库明细!D1511,基础资料!$E$5:$E$104,0),900)*10000+ROW()))</f>
      </c>
      <c r="F2511">
        <f>IF(AND(出库明细!C2511&lt;&gt;"",出库明细!C2511=客户对账单!$B$4,ISNUMBER(出库明细!B2511),出库明细!B2511&gt;=客户对账单!$G$4,出库明细!B2511&lt;=客户对账单!$I$4),出库明细!B2511+ROW()/100000,"")</f>
      </c>
      <c r="H2511">
        <f>IF(AND(资金台帐!K1014&lt;&gt;"",资金台帐!K1014=供应商对账单!$B$4,资金台帐!P1014="应付",ISNUMBER(资金台帐!B1014),资金台帐!B1014&gt;=供应商对账单!$G$4,资金台帐!B1014&lt;=供应商对账单!$I$4),资金台帐!B1014+ROW()/100000,"")</f>
      </c>
      <c r="N2511">
        <f>IF(AND(ISNUMBER(出库明细!G2511),ISNUMBER(出库明细!E2511),ISNUMBER(出库明细!F2511)),IF(ABS(出库明细!G2511-出库明细!E2511*出库明细!F2511)&gt;0.005,1,0),0)</f>
        <v>0</v>
      </c>
    </row>
    <row r="2512">
      <c r="A2512">
        <f>IF(OR(出库明细!C1512="",出库明细!D1512=""),"",IF(OR(COUNTIFS(存条明细!$C$4:$C$1003,出库明细!C1512,存条明细!$D$4:$D$1003,出库明细!D1512)&gt;0,COUNTIFS(出库明细!$C$4:C1512,出库明细!C1512,出库明细!$D$4:D1512,出库明细!D1512)&gt;1),"",IFERROR(MATCH(出库明细!C1512,总览汇总!$B$5:$B$304,0),900)*10000000+IFERROR(MATCH(出库明细!D1512,基础资料!$E$5:$E$104,0),900)*10000+ROW()))</f>
      </c>
      <c r="F2512">
        <f>IF(AND(出库明细!C2512&lt;&gt;"",出库明细!C2512=客户对账单!$B$4,ISNUMBER(出库明细!B2512),出库明细!B2512&gt;=客户对账单!$G$4,出库明细!B2512&lt;=客户对账单!$I$4),出库明细!B2512+ROW()/100000,"")</f>
      </c>
      <c r="H2512">
        <f>IF(AND(资金台帐!K1015&lt;&gt;"",资金台帐!K1015=供应商对账单!$B$4,资金台帐!P1015="应付",ISNUMBER(资金台帐!B1015),资金台帐!B1015&gt;=供应商对账单!$G$4,资金台帐!B1015&lt;=供应商对账单!$I$4),资金台帐!B1015+ROW()/100000,"")</f>
      </c>
      <c r="N2512">
        <f>IF(AND(ISNUMBER(出库明细!G2512),ISNUMBER(出库明细!E2512),ISNUMBER(出库明细!F2512)),IF(ABS(出库明细!G2512-出库明细!E2512*出库明细!F2512)&gt;0.005,1,0),0)</f>
        <v>0</v>
      </c>
    </row>
    <row r="2513">
      <c r="A2513">
        <f>IF(OR(出库明细!C1513="",出库明细!D1513=""),"",IF(OR(COUNTIFS(存条明细!$C$4:$C$1003,出库明细!C1513,存条明细!$D$4:$D$1003,出库明细!D1513)&gt;0,COUNTIFS(出库明细!$C$4:C1513,出库明细!C1513,出库明细!$D$4:D1513,出库明细!D1513)&gt;1),"",IFERROR(MATCH(出库明细!C1513,总览汇总!$B$5:$B$304,0),900)*10000000+IFERROR(MATCH(出库明细!D1513,基础资料!$E$5:$E$104,0),900)*10000+ROW()))</f>
      </c>
      <c r="F2513">
        <f>IF(AND(出库明细!C2513&lt;&gt;"",出库明细!C2513=客户对账单!$B$4,ISNUMBER(出库明细!B2513),出库明细!B2513&gt;=客户对账单!$G$4,出库明细!B2513&lt;=客户对账单!$I$4),出库明细!B2513+ROW()/100000,"")</f>
      </c>
      <c r="H2513">
        <f>IF(AND(资金台帐!K1016&lt;&gt;"",资金台帐!K1016=供应商对账单!$B$4,资金台帐!P1016="应付",ISNUMBER(资金台帐!B1016),资金台帐!B1016&gt;=供应商对账单!$G$4,资金台帐!B1016&lt;=供应商对账单!$I$4),资金台帐!B1016+ROW()/100000,"")</f>
      </c>
      <c r="N2513">
        <f>IF(AND(ISNUMBER(出库明细!G2513),ISNUMBER(出库明细!E2513),ISNUMBER(出库明细!F2513)),IF(ABS(出库明细!G2513-出库明细!E2513*出库明细!F2513)&gt;0.005,1,0),0)</f>
        <v>0</v>
      </c>
    </row>
    <row r="2514">
      <c r="A2514">
        <f>IF(OR(出库明细!C1514="",出库明细!D1514=""),"",IF(OR(COUNTIFS(存条明细!$C$4:$C$1003,出库明细!C1514,存条明细!$D$4:$D$1003,出库明细!D1514)&gt;0,COUNTIFS(出库明细!$C$4:C1514,出库明细!C1514,出库明细!$D$4:D1514,出库明细!D1514)&gt;1),"",IFERROR(MATCH(出库明细!C1514,总览汇总!$B$5:$B$304,0),900)*10000000+IFERROR(MATCH(出库明细!D1514,基础资料!$E$5:$E$104,0),900)*10000+ROW()))</f>
      </c>
      <c r="F2514">
        <f>IF(AND(出库明细!C2514&lt;&gt;"",出库明细!C2514=客户对账单!$B$4,ISNUMBER(出库明细!B2514),出库明细!B2514&gt;=客户对账单!$G$4,出库明细!B2514&lt;=客户对账单!$I$4),出库明细!B2514+ROW()/100000,"")</f>
      </c>
      <c r="H2514">
        <f>IF(AND(资金台帐!K1017&lt;&gt;"",资金台帐!K1017=供应商对账单!$B$4,资金台帐!P1017="应付",ISNUMBER(资金台帐!B1017),资金台帐!B1017&gt;=供应商对账单!$G$4,资金台帐!B1017&lt;=供应商对账单!$I$4),资金台帐!B1017+ROW()/100000,"")</f>
      </c>
      <c r="N2514">
        <f>IF(AND(ISNUMBER(出库明细!G2514),ISNUMBER(出库明细!E2514),ISNUMBER(出库明细!F2514)),IF(ABS(出库明细!G2514-出库明细!E2514*出库明细!F2514)&gt;0.005,1,0),0)</f>
        <v>0</v>
      </c>
    </row>
    <row r="2515">
      <c r="A2515">
        <f>IF(OR(出库明细!C1515="",出库明细!D1515=""),"",IF(OR(COUNTIFS(存条明细!$C$4:$C$1003,出库明细!C1515,存条明细!$D$4:$D$1003,出库明细!D1515)&gt;0,COUNTIFS(出库明细!$C$4:C1515,出库明细!C1515,出库明细!$D$4:D1515,出库明细!D1515)&gt;1),"",IFERROR(MATCH(出库明细!C1515,总览汇总!$B$5:$B$304,0),900)*10000000+IFERROR(MATCH(出库明细!D1515,基础资料!$E$5:$E$104,0),900)*10000+ROW()))</f>
      </c>
      <c r="F2515">
        <f>IF(AND(出库明细!C2515&lt;&gt;"",出库明细!C2515=客户对账单!$B$4,ISNUMBER(出库明细!B2515),出库明细!B2515&gt;=客户对账单!$G$4,出库明细!B2515&lt;=客户对账单!$I$4),出库明细!B2515+ROW()/100000,"")</f>
      </c>
      <c r="H2515">
        <f>IF(AND(资金台帐!K1018&lt;&gt;"",资金台帐!K1018=供应商对账单!$B$4,资金台帐!P1018="应付",ISNUMBER(资金台帐!B1018),资金台帐!B1018&gt;=供应商对账单!$G$4,资金台帐!B1018&lt;=供应商对账单!$I$4),资金台帐!B1018+ROW()/100000,"")</f>
      </c>
      <c r="N2515">
        <f>IF(AND(ISNUMBER(出库明细!G2515),ISNUMBER(出库明细!E2515),ISNUMBER(出库明细!F2515)),IF(ABS(出库明细!G2515-出库明细!E2515*出库明细!F2515)&gt;0.005,1,0),0)</f>
        <v>0</v>
      </c>
    </row>
    <row r="2516">
      <c r="A2516">
        <f>IF(OR(出库明细!C1516="",出库明细!D1516=""),"",IF(OR(COUNTIFS(存条明细!$C$4:$C$1003,出库明细!C1516,存条明细!$D$4:$D$1003,出库明细!D1516)&gt;0,COUNTIFS(出库明细!$C$4:C1516,出库明细!C1516,出库明细!$D$4:D1516,出库明细!D1516)&gt;1),"",IFERROR(MATCH(出库明细!C1516,总览汇总!$B$5:$B$304,0),900)*10000000+IFERROR(MATCH(出库明细!D1516,基础资料!$E$5:$E$104,0),900)*10000+ROW()))</f>
      </c>
      <c r="F2516">
        <f>IF(AND(出库明细!C2516&lt;&gt;"",出库明细!C2516=客户对账单!$B$4,ISNUMBER(出库明细!B2516),出库明细!B2516&gt;=客户对账单!$G$4,出库明细!B2516&lt;=客户对账单!$I$4),出库明细!B2516+ROW()/100000,"")</f>
      </c>
      <c r="H2516">
        <f>IF(AND(资金台帐!K1019&lt;&gt;"",资金台帐!K1019=供应商对账单!$B$4,资金台帐!P1019="应付",ISNUMBER(资金台帐!B1019),资金台帐!B1019&gt;=供应商对账单!$G$4,资金台帐!B1019&lt;=供应商对账单!$I$4),资金台帐!B1019+ROW()/100000,"")</f>
      </c>
      <c r="N2516">
        <f>IF(AND(ISNUMBER(出库明细!G2516),ISNUMBER(出库明细!E2516),ISNUMBER(出库明细!F2516)),IF(ABS(出库明细!G2516-出库明细!E2516*出库明细!F2516)&gt;0.005,1,0),0)</f>
        <v>0</v>
      </c>
    </row>
    <row r="2517">
      <c r="A2517">
        <f>IF(OR(出库明细!C1517="",出库明细!D1517=""),"",IF(OR(COUNTIFS(存条明细!$C$4:$C$1003,出库明细!C1517,存条明细!$D$4:$D$1003,出库明细!D1517)&gt;0,COUNTIFS(出库明细!$C$4:C1517,出库明细!C1517,出库明细!$D$4:D1517,出库明细!D1517)&gt;1),"",IFERROR(MATCH(出库明细!C1517,总览汇总!$B$5:$B$304,0),900)*10000000+IFERROR(MATCH(出库明细!D1517,基础资料!$E$5:$E$104,0),900)*10000+ROW()))</f>
      </c>
      <c r="F2517">
        <f>IF(AND(出库明细!C2517&lt;&gt;"",出库明细!C2517=客户对账单!$B$4,ISNUMBER(出库明细!B2517),出库明细!B2517&gt;=客户对账单!$G$4,出库明细!B2517&lt;=客户对账单!$I$4),出库明细!B2517+ROW()/100000,"")</f>
      </c>
      <c r="H2517">
        <f>IF(AND(资金台帐!K1020&lt;&gt;"",资金台帐!K1020=供应商对账单!$B$4,资金台帐!P1020="应付",ISNUMBER(资金台帐!B1020),资金台帐!B1020&gt;=供应商对账单!$G$4,资金台帐!B1020&lt;=供应商对账单!$I$4),资金台帐!B1020+ROW()/100000,"")</f>
      </c>
      <c r="N2517">
        <f>IF(AND(ISNUMBER(出库明细!G2517),ISNUMBER(出库明细!E2517),ISNUMBER(出库明细!F2517)),IF(ABS(出库明细!G2517-出库明细!E2517*出库明细!F2517)&gt;0.005,1,0),0)</f>
        <v>0</v>
      </c>
    </row>
    <row r="2518">
      <c r="A2518">
        <f>IF(OR(出库明细!C1518="",出库明细!D1518=""),"",IF(OR(COUNTIFS(存条明细!$C$4:$C$1003,出库明细!C1518,存条明细!$D$4:$D$1003,出库明细!D1518)&gt;0,COUNTIFS(出库明细!$C$4:C1518,出库明细!C1518,出库明细!$D$4:D1518,出库明细!D1518)&gt;1),"",IFERROR(MATCH(出库明细!C1518,总览汇总!$B$5:$B$304,0),900)*10000000+IFERROR(MATCH(出库明细!D1518,基础资料!$E$5:$E$104,0),900)*10000+ROW()))</f>
      </c>
      <c r="F2518">
        <f>IF(AND(出库明细!C2518&lt;&gt;"",出库明细!C2518=客户对账单!$B$4,ISNUMBER(出库明细!B2518),出库明细!B2518&gt;=客户对账单!$G$4,出库明细!B2518&lt;=客户对账单!$I$4),出库明细!B2518+ROW()/100000,"")</f>
      </c>
      <c r="H2518">
        <f>IF(AND(资金台帐!K1021&lt;&gt;"",资金台帐!K1021=供应商对账单!$B$4,资金台帐!P1021="应付",ISNUMBER(资金台帐!B1021),资金台帐!B1021&gt;=供应商对账单!$G$4,资金台帐!B1021&lt;=供应商对账单!$I$4),资金台帐!B1021+ROW()/100000,"")</f>
      </c>
      <c r="N2518">
        <f>IF(AND(ISNUMBER(出库明细!G2518),ISNUMBER(出库明细!E2518),ISNUMBER(出库明细!F2518)),IF(ABS(出库明细!G2518-出库明细!E2518*出库明细!F2518)&gt;0.005,1,0),0)</f>
        <v>0</v>
      </c>
    </row>
    <row r="2519">
      <c r="A2519">
        <f>IF(OR(出库明细!C1519="",出库明细!D1519=""),"",IF(OR(COUNTIFS(存条明细!$C$4:$C$1003,出库明细!C1519,存条明细!$D$4:$D$1003,出库明细!D1519)&gt;0,COUNTIFS(出库明细!$C$4:C1519,出库明细!C1519,出库明细!$D$4:D1519,出库明细!D1519)&gt;1),"",IFERROR(MATCH(出库明细!C1519,总览汇总!$B$5:$B$304,0),900)*10000000+IFERROR(MATCH(出库明细!D1519,基础资料!$E$5:$E$104,0),900)*10000+ROW()))</f>
      </c>
      <c r="F2519">
        <f>IF(AND(出库明细!C2519&lt;&gt;"",出库明细!C2519=客户对账单!$B$4,ISNUMBER(出库明细!B2519),出库明细!B2519&gt;=客户对账单!$G$4,出库明细!B2519&lt;=客户对账单!$I$4),出库明细!B2519+ROW()/100000,"")</f>
      </c>
      <c r="H2519">
        <f>IF(AND(资金台帐!K1022&lt;&gt;"",资金台帐!K1022=供应商对账单!$B$4,资金台帐!P1022="应付",ISNUMBER(资金台帐!B1022),资金台帐!B1022&gt;=供应商对账单!$G$4,资金台帐!B1022&lt;=供应商对账单!$I$4),资金台帐!B1022+ROW()/100000,"")</f>
      </c>
      <c r="N2519">
        <f>IF(AND(ISNUMBER(出库明细!G2519),ISNUMBER(出库明细!E2519),ISNUMBER(出库明细!F2519)),IF(ABS(出库明细!G2519-出库明细!E2519*出库明细!F2519)&gt;0.005,1,0),0)</f>
        <v>0</v>
      </c>
    </row>
    <row r="2520">
      <c r="A2520">
        <f>IF(OR(出库明细!C1520="",出库明细!D1520=""),"",IF(OR(COUNTIFS(存条明细!$C$4:$C$1003,出库明细!C1520,存条明细!$D$4:$D$1003,出库明细!D1520)&gt;0,COUNTIFS(出库明细!$C$4:C1520,出库明细!C1520,出库明细!$D$4:D1520,出库明细!D1520)&gt;1),"",IFERROR(MATCH(出库明细!C1520,总览汇总!$B$5:$B$304,0),900)*10000000+IFERROR(MATCH(出库明细!D1520,基础资料!$E$5:$E$104,0),900)*10000+ROW()))</f>
      </c>
      <c r="F2520">
        <f>IF(AND(出库明细!C2520&lt;&gt;"",出库明细!C2520=客户对账单!$B$4,ISNUMBER(出库明细!B2520),出库明细!B2520&gt;=客户对账单!$G$4,出库明细!B2520&lt;=客户对账单!$I$4),出库明细!B2520+ROW()/100000,"")</f>
      </c>
      <c r="H2520">
        <f>IF(AND(资金台帐!K1023&lt;&gt;"",资金台帐!K1023=供应商对账单!$B$4,资金台帐!P1023="应付",ISNUMBER(资金台帐!B1023),资金台帐!B1023&gt;=供应商对账单!$G$4,资金台帐!B1023&lt;=供应商对账单!$I$4),资金台帐!B1023+ROW()/100000,"")</f>
      </c>
      <c r="N2520">
        <f>IF(AND(ISNUMBER(出库明细!G2520),ISNUMBER(出库明细!E2520),ISNUMBER(出库明细!F2520)),IF(ABS(出库明细!G2520-出库明细!E2520*出库明细!F2520)&gt;0.005,1,0),0)</f>
        <v>0</v>
      </c>
    </row>
    <row r="2521">
      <c r="A2521">
        <f>IF(OR(出库明细!C1521="",出库明细!D1521=""),"",IF(OR(COUNTIFS(存条明细!$C$4:$C$1003,出库明细!C1521,存条明细!$D$4:$D$1003,出库明细!D1521)&gt;0,COUNTIFS(出库明细!$C$4:C1521,出库明细!C1521,出库明细!$D$4:D1521,出库明细!D1521)&gt;1),"",IFERROR(MATCH(出库明细!C1521,总览汇总!$B$5:$B$304,0),900)*10000000+IFERROR(MATCH(出库明细!D1521,基础资料!$E$5:$E$104,0),900)*10000+ROW()))</f>
      </c>
      <c r="F2521">
        <f>IF(AND(出库明细!C2521&lt;&gt;"",出库明细!C2521=客户对账单!$B$4,ISNUMBER(出库明细!B2521),出库明细!B2521&gt;=客户对账单!$G$4,出库明细!B2521&lt;=客户对账单!$I$4),出库明细!B2521+ROW()/100000,"")</f>
      </c>
      <c r="H2521">
        <f>IF(AND(资金台帐!K1024&lt;&gt;"",资金台帐!K1024=供应商对账单!$B$4,资金台帐!P1024="应付",ISNUMBER(资金台帐!B1024),资金台帐!B1024&gt;=供应商对账单!$G$4,资金台帐!B1024&lt;=供应商对账单!$I$4),资金台帐!B1024+ROW()/100000,"")</f>
      </c>
      <c r="N2521">
        <f>IF(AND(ISNUMBER(出库明细!G2521),ISNUMBER(出库明细!E2521),ISNUMBER(出库明细!F2521)),IF(ABS(出库明细!G2521-出库明细!E2521*出库明细!F2521)&gt;0.005,1,0),0)</f>
        <v>0</v>
      </c>
    </row>
    <row r="2522">
      <c r="A2522">
        <f>IF(OR(出库明细!C1522="",出库明细!D1522=""),"",IF(OR(COUNTIFS(存条明细!$C$4:$C$1003,出库明细!C1522,存条明细!$D$4:$D$1003,出库明细!D1522)&gt;0,COUNTIFS(出库明细!$C$4:C1522,出库明细!C1522,出库明细!$D$4:D1522,出库明细!D1522)&gt;1),"",IFERROR(MATCH(出库明细!C1522,总览汇总!$B$5:$B$304,0),900)*10000000+IFERROR(MATCH(出库明细!D1522,基础资料!$E$5:$E$104,0),900)*10000+ROW()))</f>
      </c>
      <c r="F2522">
        <f>IF(AND(出库明细!C2522&lt;&gt;"",出库明细!C2522=客户对账单!$B$4,ISNUMBER(出库明细!B2522),出库明细!B2522&gt;=客户对账单!$G$4,出库明细!B2522&lt;=客户对账单!$I$4),出库明细!B2522+ROW()/100000,"")</f>
      </c>
      <c r="H2522">
        <f>IF(AND(资金台帐!K1025&lt;&gt;"",资金台帐!K1025=供应商对账单!$B$4,资金台帐!P1025="应付",ISNUMBER(资金台帐!B1025),资金台帐!B1025&gt;=供应商对账单!$G$4,资金台帐!B1025&lt;=供应商对账单!$I$4),资金台帐!B1025+ROW()/100000,"")</f>
      </c>
      <c r="N2522">
        <f>IF(AND(ISNUMBER(出库明细!G2522),ISNUMBER(出库明细!E2522),ISNUMBER(出库明细!F2522)),IF(ABS(出库明细!G2522-出库明细!E2522*出库明细!F2522)&gt;0.005,1,0),0)</f>
        <v>0</v>
      </c>
    </row>
    <row r="2523">
      <c r="A2523">
        <f>IF(OR(出库明细!C1523="",出库明细!D1523=""),"",IF(OR(COUNTIFS(存条明细!$C$4:$C$1003,出库明细!C1523,存条明细!$D$4:$D$1003,出库明细!D1523)&gt;0,COUNTIFS(出库明细!$C$4:C1523,出库明细!C1523,出库明细!$D$4:D1523,出库明细!D1523)&gt;1),"",IFERROR(MATCH(出库明细!C1523,总览汇总!$B$5:$B$304,0),900)*10000000+IFERROR(MATCH(出库明细!D1523,基础资料!$E$5:$E$104,0),900)*10000+ROW()))</f>
      </c>
      <c r="F2523">
        <f>IF(AND(出库明细!C2523&lt;&gt;"",出库明细!C2523=客户对账单!$B$4,ISNUMBER(出库明细!B2523),出库明细!B2523&gt;=客户对账单!$G$4,出库明细!B2523&lt;=客户对账单!$I$4),出库明细!B2523+ROW()/100000,"")</f>
      </c>
      <c r="H2523">
        <f>IF(AND(资金台帐!K1026&lt;&gt;"",资金台帐!K1026=供应商对账单!$B$4,资金台帐!P1026="应付",ISNUMBER(资金台帐!B1026),资金台帐!B1026&gt;=供应商对账单!$G$4,资金台帐!B1026&lt;=供应商对账单!$I$4),资金台帐!B1026+ROW()/100000,"")</f>
      </c>
      <c r="N2523">
        <f>IF(AND(ISNUMBER(出库明细!G2523),ISNUMBER(出库明细!E2523),ISNUMBER(出库明细!F2523)),IF(ABS(出库明细!G2523-出库明细!E2523*出库明细!F2523)&gt;0.005,1,0),0)</f>
        <v>0</v>
      </c>
    </row>
    <row r="2524">
      <c r="A2524">
        <f>IF(OR(出库明细!C1524="",出库明细!D1524=""),"",IF(OR(COUNTIFS(存条明细!$C$4:$C$1003,出库明细!C1524,存条明细!$D$4:$D$1003,出库明细!D1524)&gt;0,COUNTIFS(出库明细!$C$4:C1524,出库明细!C1524,出库明细!$D$4:D1524,出库明细!D1524)&gt;1),"",IFERROR(MATCH(出库明细!C1524,总览汇总!$B$5:$B$304,0),900)*10000000+IFERROR(MATCH(出库明细!D1524,基础资料!$E$5:$E$104,0),900)*10000+ROW()))</f>
      </c>
      <c r="F2524">
        <f>IF(AND(出库明细!C2524&lt;&gt;"",出库明细!C2524=客户对账单!$B$4,ISNUMBER(出库明细!B2524),出库明细!B2524&gt;=客户对账单!$G$4,出库明细!B2524&lt;=客户对账单!$I$4),出库明细!B2524+ROW()/100000,"")</f>
      </c>
      <c r="H2524">
        <f>IF(AND(资金台帐!K1027&lt;&gt;"",资金台帐!K1027=供应商对账单!$B$4,资金台帐!P1027="应付",ISNUMBER(资金台帐!B1027),资金台帐!B1027&gt;=供应商对账单!$G$4,资金台帐!B1027&lt;=供应商对账单!$I$4),资金台帐!B1027+ROW()/100000,"")</f>
      </c>
      <c r="N2524">
        <f>IF(AND(ISNUMBER(出库明细!G2524),ISNUMBER(出库明细!E2524),ISNUMBER(出库明细!F2524)),IF(ABS(出库明细!G2524-出库明细!E2524*出库明细!F2524)&gt;0.005,1,0),0)</f>
        <v>0</v>
      </c>
    </row>
    <row r="2525">
      <c r="A2525">
        <f>IF(OR(出库明细!C1525="",出库明细!D1525=""),"",IF(OR(COUNTIFS(存条明细!$C$4:$C$1003,出库明细!C1525,存条明细!$D$4:$D$1003,出库明细!D1525)&gt;0,COUNTIFS(出库明细!$C$4:C1525,出库明细!C1525,出库明细!$D$4:D1525,出库明细!D1525)&gt;1),"",IFERROR(MATCH(出库明细!C1525,总览汇总!$B$5:$B$304,0),900)*10000000+IFERROR(MATCH(出库明细!D1525,基础资料!$E$5:$E$104,0),900)*10000+ROW()))</f>
      </c>
      <c r="F2525">
        <f>IF(AND(出库明细!C2525&lt;&gt;"",出库明细!C2525=客户对账单!$B$4,ISNUMBER(出库明细!B2525),出库明细!B2525&gt;=客户对账单!$G$4,出库明细!B2525&lt;=客户对账单!$I$4),出库明细!B2525+ROW()/100000,"")</f>
      </c>
      <c r="H2525">
        <f>IF(AND(资金台帐!K1028&lt;&gt;"",资金台帐!K1028=供应商对账单!$B$4,资金台帐!P1028="应付",ISNUMBER(资金台帐!B1028),资金台帐!B1028&gt;=供应商对账单!$G$4,资金台帐!B1028&lt;=供应商对账单!$I$4),资金台帐!B1028+ROW()/100000,"")</f>
      </c>
      <c r="N2525">
        <f>IF(AND(ISNUMBER(出库明细!G2525),ISNUMBER(出库明细!E2525),ISNUMBER(出库明细!F2525)),IF(ABS(出库明细!G2525-出库明细!E2525*出库明细!F2525)&gt;0.005,1,0),0)</f>
        <v>0</v>
      </c>
    </row>
    <row r="2526">
      <c r="A2526">
        <f>IF(OR(出库明细!C1526="",出库明细!D1526=""),"",IF(OR(COUNTIFS(存条明细!$C$4:$C$1003,出库明细!C1526,存条明细!$D$4:$D$1003,出库明细!D1526)&gt;0,COUNTIFS(出库明细!$C$4:C1526,出库明细!C1526,出库明细!$D$4:D1526,出库明细!D1526)&gt;1),"",IFERROR(MATCH(出库明细!C1526,总览汇总!$B$5:$B$304,0),900)*10000000+IFERROR(MATCH(出库明细!D1526,基础资料!$E$5:$E$104,0),900)*10000+ROW()))</f>
      </c>
      <c r="F2526">
        <f>IF(AND(出库明细!C2526&lt;&gt;"",出库明细!C2526=客户对账单!$B$4,ISNUMBER(出库明细!B2526),出库明细!B2526&gt;=客户对账单!$G$4,出库明细!B2526&lt;=客户对账单!$I$4),出库明细!B2526+ROW()/100000,"")</f>
      </c>
      <c r="H2526">
        <f>IF(AND(资金台帐!K1029&lt;&gt;"",资金台帐!K1029=供应商对账单!$B$4,资金台帐!P1029="应付",ISNUMBER(资金台帐!B1029),资金台帐!B1029&gt;=供应商对账单!$G$4,资金台帐!B1029&lt;=供应商对账单!$I$4),资金台帐!B1029+ROW()/100000,"")</f>
      </c>
      <c r="N2526">
        <f>IF(AND(ISNUMBER(出库明细!G2526),ISNUMBER(出库明细!E2526),ISNUMBER(出库明细!F2526)),IF(ABS(出库明细!G2526-出库明细!E2526*出库明细!F2526)&gt;0.005,1,0),0)</f>
        <v>0</v>
      </c>
    </row>
    <row r="2527">
      <c r="A2527">
        <f>IF(OR(出库明细!C1527="",出库明细!D1527=""),"",IF(OR(COUNTIFS(存条明细!$C$4:$C$1003,出库明细!C1527,存条明细!$D$4:$D$1003,出库明细!D1527)&gt;0,COUNTIFS(出库明细!$C$4:C1527,出库明细!C1527,出库明细!$D$4:D1527,出库明细!D1527)&gt;1),"",IFERROR(MATCH(出库明细!C1527,总览汇总!$B$5:$B$304,0),900)*10000000+IFERROR(MATCH(出库明细!D1527,基础资料!$E$5:$E$104,0),900)*10000+ROW()))</f>
      </c>
      <c r="F2527">
        <f>IF(AND(出库明细!C2527&lt;&gt;"",出库明细!C2527=客户对账单!$B$4,ISNUMBER(出库明细!B2527),出库明细!B2527&gt;=客户对账单!$G$4,出库明细!B2527&lt;=客户对账单!$I$4),出库明细!B2527+ROW()/100000,"")</f>
      </c>
      <c r="H2527">
        <f>IF(AND(资金台帐!K1030&lt;&gt;"",资金台帐!K1030=供应商对账单!$B$4,资金台帐!P1030="应付",ISNUMBER(资金台帐!B1030),资金台帐!B1030&gt;=供应商对账单!$G$4,资金台帐!B1030&lt;=供应商对账单!$I$4),资金台帐!B1030+ROW()/100000,"")</f>
      </c>
      <c r="N2527">
        <f>IF(AND(ISNUMBER(出库明细!G2527),ISNUMBER(出库明细!E2527),ISNUMBER(出库明细!F2527)),IF(ABS(出库明细!G2527-出库明细!E2527*出库明细!F2527)&gt;0.005,1,0),0)</f>
        <v>0</v>
      </c>
    </row>
    <row r="2528">
      <c r="A2528">
        <f>IF(OR(出库明细!C1528="",出库明细!D1528=""),"",IF(OR(COUNTIFS(存条明细!$C$4:$C$1003,出库明细!C1528,存条明细!$D$4:$D$1003,出库明细!D1528)&gt;0,COUNTIFS(出库明细!$C$4:C1528,出库明细!C1528,出库明细!$D$4:D1528,出库明细!D1528)&gt;1),"",IFERROR(MATCH(出库明细!C1528,总览汇总!$B$5:$B$304,0),900)*10000000+IFERROR(MATCH(出库明细!D1528,基础资料!$E$5:$E$104,0),900)*10000+ROW()))</f>
      </c>
      <c r="F2528">
        <f>IF(AND(出库明细!C2528&lt;&gt;"",出库明细!C2528=客户对账单!$B$4,ISNUMBER(出库明细!B2528),出库明细!B2528&gt;=客户对账单!$G$4,出库明细!B2528&lt;=客户对账单!$I$4),出库明细!B2528+ROW()/100000,"")</f>
      </c>
      <c r="H2528">
        <f>IF(AND(资金台帐!K1031&lt;&gt;"",资金台帐!K1031=供应商对账单!$B$4,资金台帐!P1031="应付",ISNUMBER(资金台帐!B1031),资金台帐!B1031&gt;=供应商对账单!$G$4,资金台帐!B1031&lt;=供应商对账单!$I$4),资金台帐!B1031+ROW()/100000,"")</f>
      </c>
      <c r="N2528">
        <f>IF(AND(ISNUMBER(出库明细!G2528),ISNUMBER(出库明细!E2528),ISNUMBER(出库明细!F2528)),IF(ABS(出库明细!G2528-出库明细!E2528*出库明细!F2528)&gt;0.005,1,0),0)</f>
        <v>0</v>
      </c>
    </row>
    <row r="2529">
      <c r="A2529">
        <f>IF(OR(出库明细!C1529="",出库明细!D1529=""),"",IF(OR(COUNTIFS(存条明细!$C$4:$C$1003,出库明细!C1529,存条明细!$D$4:$D$1003,出库明细!D1529)&gt;0,COUNTIFS(出库明细!$C$4:C1529,出库明细!C1529,出库明细!$D$4:D1529,出库明细!D1529)&gt;1),"",IFERROR(MATCH(出库明细!C1529,总览汇总!$B$5:$B$304,0),900)*10000000+IFERROR(MATCH(出库明细!D1529,基础资料!$E$5:$E$104,0),900)*10000+ROW()))</f>
      </c>
      <c r="F2529">
        <f>IF(AND(出库明细!C2529&lt;&gt;"",出库明细!C2529=客户对账单!$B$4,ISNUMBER(出库明细!B2529),出库明细!B2529&gt;=客户对账单!$G$4,出库明细!B2529&lt;=客户对账单!$I$4),出库明细!B2529+ROW()/100000,"")</f>
      </c>
      <c r="H2529">
        <f>IF(AND(资金台帐!K1032&lt;&gt;"",资金台帐!K1032=供应商对账单!$B$4,资金台帐!P1032="应付",ISNUMBER(资金台帐!B1032),资金台帐!B1032&gt;=供应商对账单!$G$4,资金台帐!B1032&lt;=供应商对账单!$I$4),资金台帐!B1032+ROW()/100000,"")</f>
      </c>
      <c r="N2529">
        <f>IF(AND(ISNUMBER(出库明细!G2529),ISNUMBER(出库明细!E2529),ISNUMBER(出库明细!F2529)),IF(ABS(出库明细!G2529-出库明细!E2529*出库明细!F2529)&gt;0.005,1,0),0)</f>
        <v>0</v>
      </c>
    </row>
    <row r="2530">
      <c r="A2530">
        <f>IF(OR(出库明细!C1530="",出库明细!D1530=""),"",IF(OR(COUNTIFS(存条明细!$C$4:$C$1003,出库明细!C1530,存条明细!$D$4:$D$1003,出库明细!D1530)&gt;0,COUNTIFS(出库明细!$C$4:C1530,出库明细!C1530,出库明细!$D$4:D1530,出库明细!D1530)&gt;1),"",IFERROR(MATCH(出库明细!C1530,总览汇总!$B$5:$B$304,0),900)*10000000+IFERROR(MATCH(出库明细!D1530,基础资料!$E$5:$E$104,0),900)*10000+ROW()))</f>
      </c>
      <c r="F2530">
        <f>IF(AND(出库明细!C2530&lt;&gt;"",出库明细!C2530=客户对账单!$B$4,ISNUMBER(出库明细!B2530),出库明细!B2530&gt;=客户对账单!$G$4,出库明细!B2530&lt;=客户对账单!$I$4),出库明细!B2530+ROW()/100000,"")</f>
      </c>
      <c r="H2530">
        <f>IF(AND(资金台帐!K1033&lt;&gt;"",资金台帐!K1033=供应商对账单!$B$4,资金台帐!P1033="应付",ISNUMBER(资金台帐!B1033),资金台帐!B1033&gt;=供应商对账单!$G$4,资金台帐!B1033&lt;=供应商对账单!$I$4),资金台帐!B1033+ROW()/100000,"")</f>
      </c>
      <c r="N2530">
        <f>IF(AND(ISNUMBER(出库明细!G2530),ISNUMBER(出库明细!E2530),ISNUMBER(出库明细!F2530)),IF(ABS(出库明细!G2530-出库明细!E2530*出库明细!F2530)&gt;0.005,1,0),0)</f>
        <v>0</v>
      </c>
    </row>
    <row r="2531">
      <c r="A2531">
        <f>IF(OR(出库明细!C1531="",出库明细!D1531=""),"",IF(OR(COUNTIFS(存条明细!$C$4:$C$1003,出库明细!C1531,存条明细!$D$4:$D$1003,出库明细!D1531)&gt;0,COUNTIFS(出库明细!$C$4:C1531,出库明细!C1531,出库明细!$D$4:D1531,出库明细!D1531)&gt;1),"",IFERROR(MATCH(出库明细!C1531,总览汇总!$B$5:$B$304,0),900)*10000000+IFERROR(MATCH(出库明细!D1531,基础资料!$E$5:$E$104,0),900)*10000+ROW()))</f>
      </c>
      <c r="F2531">
        <f>IF(AND(出库明细!C2531&lt;&gt;"",出库明细!C2531=客户对账单!$B$4,ISNUMBER(出库明细!B2531),出库明细!B2531&gt;=客户对账单!$G$4,出库明细!B2531&lt;=客户对账单!$I$4),出库明细!B2531+ROW()/100000,"")</f>
      </c>
      <c r="H2531">
        <f>IF(AND(资金台帐!K1034&lt;&gt;"",资金台帐!K1034=供应商对账单!$B$4,资金台帐!P1034="应付",ISNUMBER(资金台帐!B1034),资金台帐!B1034&gt;=供应商对账单!$G$4,资金台帐!B1034&lt;=供应商对账单!$I$4),资金台帐!B1034+ROW()/100000,"")</f>
      </c>
      <c r="N2531">
        <f>IF(AND(ISNUMBER(出库明细!G2531),ISNUMBER(出库明细!E2531),ISNUMBER(出库明细!F2531)),IF(ABS(出库明细!G2531-出库明细!E2531*出库明细!F2531)&gt;0.005,1,0),0)</f>
        <v>0</v>
      </c>
    </row>
    <row r="2532">
      <c r="A2532">
        <f>IF(OR(出库明细!C1532="",出库明细!D1532=""),"",IF(OR(COUNTIFS(存条明细!$C$4:$C$1003,出库明细!C1532,存条明细!$D$4:$D$1003,出库明细!D1532)&gt;0,COUNTIFS(出库明细!$C$4:C1532,出库明细!C1532,出库明细!$D$4:D1532,出库明细!D1532)&gt;1),"",IFERROR(MATCH(出库明细!C1532,总览汇总!$B$5:$B$304,0),900)*10000000+IFERROR(MATCH(出库明细!D1532,基础资料!$E$5:$E$104,0),900)*10000+ROW()))</f>
      </c>
      <c r="F2532">
        <f>IF(AND(出库明细!C2532&lt;&gt;"",出库明细!C2532=客户对账单!$B$4,ISNUMBER(出库明细!B2532),出库明细!B2532&gt;=客户对账单!$G$4,出库明细!B2532&lt;=客户对账单!$I$4),出库明细!B2532+ROW()/100000,"")</f>
      </c>
      <c r="H2532">
        <f>IF(AND(资金台帐!K1035&lt;&gt;"",资金台帐!K1035=供应商对账单!$B$4,资金台帐!P1035="应付",ISNUMBER(资金台帐!B1035),资金台帐!B1035&gt;=供应商对账单!$G$4,资金台帐!B1035&lt;=供应商对账单!$I$4),资金台帐!B1035+ROW()/100000,"")</f>
      </c>
      <c r="N2532">
        <f>IF(AND(ISNUMBER(出库明细!G2532),ISNUMBER(出库明细!E2532),ISNUMBER(出库明细!F2532)),IF(ABS(出库明细!G2532-出库明细!E2532*出库明细!F2532)&gt;0.005,1,0),0)</f>
        <v>0</v>
      </c>
    </row>
    <row r="2533">
      <c r="A2533">
        <f>IF(OR(出库明细!C1533="",出库明细!D1533=""),"",IF(OR(COUNTIFS(存条明细!$C$4:$C$1003,出库明细!C1533,存条明细!$D$4:$D$1003,出库明细!D1533)&gt;0,COUNTIFS(出库明细!$C$4:C1533,出库明细!C1533,出库明细!$D$4:D1533,出库明细!D1533)&gt;1),"",IFERROR(MATCH(出库明细!C1533,总览汇总!$B$5:$B$304,0),900)*10000000+IFERROR(MATCH(出库明细!D1533,基础资料!$E$5:$E$104,0),900)*10000+ROW()))</f>
      </c>
      <c r="F2533">
        <f>IF(AND(出库明细!C2533&lt;&gt;"",出库明细!C2533=客户对账单!$B$4,ISNUMBER(出库明细!B2533),出库明细!B2533&gt;=客户对账单!$G$4,出库明细!B2533&lt;=客户对账单!$I$4),出库明细!B2533+ROW()/100000,"")</f>
      </c>
      <c r="H2533">
        <f>IF(AND(资金台帐!K1036&lt;&gt;"",资金台帐!K1036=供应商对账单!$B$4,资金台帐!P1036="应付",ISNUMBER(资金台帐!B1036),资金台帐!B1036&gt;=供应商对账单!$G$4,资金台帐!B1036&lt;=供应商对账单!$I$4),资金台帐!B1036+ROW()/100000,"")</f>
      </c>
      <c r="N2533">
        <f>IF(AND(ISNUMBER(出库明细!G2533),ISNUMBER(出库明细!E2533),ISNUMBER(出库明细!F2533)),IF(ABS(出库明细!G2533-出库明细!E2533*出库明细!F2533)&gt;0.005,1,0),0)</f>
        <v>0</v>
      </c>
    </row>
    <row r="2534">
      <c r="A2534">
        <f>IF(OR(出库明细!C1534="",出库明细!D1534=""),"",IF(OR(COUNTIFS(存条明细!$C$4:$C$1003,出库明细!C1534,存条明细!$D$4:$D$1003,出库明细!D1534)&gt;0,COUNTIFS(出库明细!$C$4:C1534,出库明细!C1534,出库明细!$D$4:D1534,出库明细!D1534)&gt;1),"",IFERROR(MATCH(出库明细!C1534,总览汇总!$B$5:$B$304,0),900)*10000000+IFERROR(MATCH(出库明细!D1534,基础资料!$E$5:$E$104,0),900)*10000+ROW()))</f>
      </c>
      <c r="F2534">
        <f>IF(AND(出库明细!C2534&lt;&gt;"",出库明细!C2534=客户对账单!$B$4,ISNUMBER(出库明细!B2534),出库明细!B2534&gt;=客户对账单!$G$4,出库明细!B2534&lt;=客户对账单!$I$4),出库明细!B2534+ROW()/100000,"")</f>
      </c>
      <c r="H2534">
        <f>IF(AND(资金台帐!K1037&lt;&gt;"",资金台帐!K1037=供应商对账单!$B$4,资金台帐!P1037="应付",ISNUMBER(资金台帐!B1037),资金台帐!B1037&gt;=供应商对账单!$G$4,资金台帐!B1037&lt;=供应商对账单!$I$4),资金台帐!B1037+ROW()/100000,"")</f>
      </c>
      <c r="N2534">
        <f>IF(AND(ISNUMBER(出库明细!G2534),ISNUMBER(出库明细!E2534),ISNUMBER(出库明细!F2534)),IF(ABS(出库明细!G2534-出库明细!E2534*出库明细!F2534)&gt;0.005,1,0),0)</f>
        <v>0</v>
      </c>
    </row>
    <row r="2535">
      <c r="A2535">
        <f>IF(OR(出库明细!C1535="",出库明细!D1535=""),"",IF(OR(COUNTIFS(存条明细!$C$4:$C$1003,出库明细!C1535,存条明细!$D$4:$D$1003,出库明细!D1535)&gt;0,COUNTIFS(出库明细!$C$4:C1535,出库明细!C1535,出库明细!$D$4:D1535,出库明细!D1535)&gt;1),"",IFERROR(MATCH(出库明细!C1535,总览汇总!$B$5:$B$304,0),900)*10000000+IFERROR(MATCH(出库明细!D1535,基础资料!$E$5:$E$104,0),900)*10000+ROW()))</f>
      </c>
      <c r="F2535">
        <f>IF(AND(出库明细!C2535&lt;&gt;"",出库明细!C2535=客户对账单!$B$4,ISNUMBER(出库明细!B2535),出库明细!B2535&gt;=客户对账单!$G$4,出库明细!B2535&lt;=客户对账单!$I$4),出库明细!B2535+ROW()/100000,"")</f>
      </c>
      <c r="H2535">
        <f>IF(AND(资金台帐!K1038&lt;&gt;"",资金台帐!K1038=供应商对账单!$B$4,资金台帐!P1038="应付",ISNUMBER(资金台帐!B1038),资金台帐!B1038&gt;=供应商对账单!$G$4,资金台帐!B1038&lt;=供应商对账单!$I$4),资金台帐!B1038+ROW()/100000,"")</f>
      </c>
      <c r="N2535">
        <f>IF(AND(ISNUMBER(出库明细!G2535),ISNUMBER(出库明细!E2535),ISNUMBER(出库明细!F2535)),IF(ABS(出库明细!G2535-出库明细!E2535*出库明细!F2535)&gt;0.005,1,0),0)</f>
        <v>0</v>
      </c>
    </row>
    <row r="2536">
      <c r="A2536">
        <f>IF(OR(出库明细!C1536="",出库明细!D1536=""),"",IF(OR(COUNTIFS(存条明细!$C$4:$C$1003,出库明细!C1536,存条明细!$D$4:$D$1003,出库明细!D1536)&gt;0,COUNTIFS(出库明细!$C$4:C1536,出库明细!C1536,出库明细!$D$4:D1536,出库明细!D1536)&gt;1),"",IFERROR(MATCH(出库明细!C1536,总览汇总!$B$5:$B$304,0),900)*10000000+IFERROR(MATCH(出库明细!D1536,基础资料!$E$5:$E$104,0),900)*10000+ROW()))</f>
      </c>
      <c r="F2536">
        <f>IF(AND(出库明细!C2536&lt;&gt;"",出库明细!C2536=客户对账单!$B$4,ISNUMBER(出库明细!B2536),出库明细!B2536&gt;=客户对账单!$G$4,出库明细!B2536&lt;=客户对账单!$I$4),出库明细!B2536+ROW()/100000,"")</f>
      </c>
      <c r="H2536">
        <f>IF(AND(资金台帐!K1039&lt;&gt;"",资金台帐!K1039=供应商对账单!$B$4,资金台帐!P1039="应付",ISNUMBER(资金台帐!B1039),资金台帐!B1039&gt;=供应商对账单!$G$4,资金台帐!B1039&lt;=供应商对账单!$I$4),资金台帐!B1039+ROW()/100000,"")</f>
      </c>
      <c r="N2536">
        <f>IF(AND(ISNUMBER(出库明细!G2536),ISNUMBER(出库明细!E2536),ISNUMBER(出库明细!F2536)),IF(ABS(出库明细!G2536-出库明细!E2536*出库明细!F2536)&gt;0.005,1,0),0)</f>
        <v>0</v>
      </c>
    </row>
    <row r="2537">
      <c r="A2537">
        <f>IF(OR(出库明细!C1537="",出库明细!D1537=""),"",IF(OR(COUNTIFS(存条明细!$C$4:$C$1003,出库明细!C1537,存条明细!$D$4:$D$1003,出库明细!D1537)&gt;0,COUNTIFS(出库明细!$C$4:C1537,出库明细!C1537,出库明细!$D$4:D1537,出库明细!D1537)&gt;1),"",IFERROR(MATCH(出库明细!C1537,总览汇总!$B$5:$B$304,0),900)*10000000+IFERROR(MATCH(出库明细!D1537,基础资料!$E$5:$E$104,0),900)*10000+ROW()))</f>
      </c>
      <c r="F2537">
        <f>IF(AND(出库明细!C2537&lt;&gt;"",出库明细!C2537=客户对账单!$B$4,ISNUMBER(出库明细!B2537),出库明细!B2537&gt;=客户对账单!$G$4,出库明细!B2537&lt;=客户对账单!$I$4),出库明细!B2537+ROW()/100000,"")</f>
      </c>
      <c r="H2537">
        <f>IF(AND(资金台帐!K1040&lt;&gt;"",资金台帐!K1040=供应商对账单!$B$4,资金台帐!P1040="应付",ISNUMBER(资金台帐!B1040),资金台帐!B1040&gt;=供应商对账单!$G$4,资金台帐!B1040&lt;=供应商对账单!$I$4),资金台帐!B1040+ROW()/100000,"")</f>
      </c>
      <c r="N2537">
        <f>IF(AND(ISNUMBER(出库明细!G2537),ISNUMBER(出库明细!E2537),ISNUMBER(出库明细!F2537)),IF(ABS(出库明细!G2537-出库明细!E2537*出库明细!F2537)&gt;0.005,1,0),0)</f>
        <v>0</v>
      </c>
    </row>
    <row r="2538">
      <c r="A2538">
        <f>IF(OR(出库明细!C1538="",出库明细!D1538=""),"",IF(OR(COUNTIFS(存条明细!$C$4:$C$1003,出库明细!C1538,存条明细!$D$4:$D$1003,出库明细!D1538)&gt;0,COUNTIFS(出库明细!$C$4:C1538,出库明细!C1538,出库明细!$D$4:D1538,出库明细!D1538)&gt;1),"",IFERROR(MATCH(出库明细!C1538,总览汇总!$B$5:$B$304,0),900)*10000000+IFERROR(MATCH(出库明细!D1538,基础资料!$E$5:$E$104,0),900)*10000+ROW()))</f>
      </c>
      <c r="F2538">
        <f>IF(AND(出库明细!C2538&lt;&gt;"",出库明细!C2538=客户对账单!$B$4,ISNUMBER(出库明细!B2538),出库明细!B2538&gt;=客户对账单!$G$4,出库明细!B2538&lt;=客户对账单!$I$4),出库明细!B2538+ROW()/100000,"")</f>
      </c>
      <c r="H2538">
        <f>IF(AND(资金台帐!K1041&lt;&gt;"",资金台帐!K1041=供应商对账单!$B$4,资金台帐!P1041="应付",ISNUMBER(资金台帐!B1041),资金台帐!B1041&gt;=供应商对账单!$G$4,资金台帐!B1041&lt;=供应商对账单!$I$4),资金台帐!B1041+ROW()/100000,"")</f>
      </c>
      <c r="N2538">
        <f>IF(AND(ISNUMBER(出库明细!G2538),ISNUMBER(出库明细!E2538),ISNUMBER(出库明细!F2538)),IF(ABS(出库明细!G2538-出库明细!E2538*出库明细!F2538)&gt;0.005,1,0),0)</f>
        <v>0</v>
      </c>
    </row>
    <row r="2539">
      <c r="A2539">
        <f>IF(OR(出库明细!C1539="",出库明细!D1539=""),"",IF(OR(COUNTIFS(存条明细!$C$4:$C$1003,出库明细!C1539,存条明细!$D$4:$D$1003,出库明细!D1539)&gt;0,COUNTIFS(出库明细!$C$4:C1539,出库明细!C1539,出库明细!$D$4:D1539,出库明细!D1539)&gt;1),"",IFERROR(MATCH(出库明细!C1539,总览汇总!$B$5:$B$304,0),900)*10000000+IFERROR(MATCH(出库明细!D1539,基础资料!$E$5:$E$104,0),900)*10000+ROW()))</f>
      </c>
      <c r="F2539">
        <f>IF(AND(出库明细!C2539&lt;&gt;"",出库明细!C2539=客户对账单!$B$4,ISNUMBER(出库明细!B2539),出库明细!B2539&gt;=客户对账单!$G$4,出库明细!B2539&lt;=客户对账单!$I$4),出库明细!B2539+ROW()/100000,"")</f>
      </c>
      <c r="H2539">
        <f>IF(AND(资金台帐!K1042&lt;&gt;"",资金台帐!K1042=供应商对账单!$B$4,资金台帐!P1042="应付",ISNUMBER(资金台帐!B1042),资金台帐!B1042&gt;=供应商对账单!$G$4,资金台帐!B1042&lt;=供应商对账单!$I$4),资金台帐!B1042+ROW()/100000,"")</f>
      </c>
      <c r="N2539">
        <f>IF(AND(ISNUMBER(出库明细!G2539),ISNUMBER(出库明细!E2539),ISNUMBER(出库明细!F2539)),IF(ABS(出库明细!G2539-出库明细!E2539*出库明细!F2539)&gt;0.005,1,0),0)</f>
        <v>0</v>
      </c>
    </row>
    <row r="2540">
      <c r="A2540">
        <f>IF(OR(出库明细!C1540="",出库明细!D1540=""),"",IF(OR(COUNTIFS(存条明细!$C$4:$C$1003,出库明细!C1540,存条明细!$D$4:$D$1003,出库明细!D1540)&gt;0,COUNTIFS(出库明细!$C$4:C1540,出库明细!C1540,出库明细!$D$4:D1540,出库明细!D1540)&gt;1),"",IFERROR(MATCH(出库明细!C1540,总览汇总!$B$5:$B$304,0),900)*10000000+IFERROR(MATCH(出库明细!D1540,基础资料!$E$5:$E$104,0),900)*10000+ROW()))</f>
      </c>
      <c r="F2540">
        <f>IF(AND(出库明细!C2540&lt;&gt;"",出库明细!C2540=客户对账单!$B$4,ISNUMBER(出库明细!B2540),出库明细!B2540&gt;=客户对账单!$G$4,出库明细!B2540&lt;=客户对账单!$I$4),出库明细!B2540+ROW()/100000,"")</f>
      </c>
      <c r="H2540">
        <f>IF(AND(资金台帐!K1043&lt;&gt;"",资金台帐!K1043=供应商对账单!$B$4,资金台帐!P1043="应付",ISNUMBER(资金台帐!B1043),资金台帐!B1043&gt;=供应商对账单!$G$4,资金台帐!B1043&lt;=供应商对账单!$I$4),资金台帐!B1043+ROW()/100000,"")</f>
      </c>
      <c r="N2540">
        <f>IF(AND(ISNUMBER(出库明细!G2540),ISNUMBER(出库明细!E2540),ISNUMBER(出库明细!F2540)),IF(ABS(出库明细!G2540-出库明细!E2540*出库明细!F2540)&gt;0.005,1,0),0)</f>
        <v>0</v>
      </c>
    </row>
    <row r="2541">
      <c r="A2541">
        <f>IF(OR(出库明细!C1541="",出库明细!D1541=""),"",IF(OR(COUNTIFS(存条明细!$C$4:$C$1003,出库明细!C1541,存条明细!$D$4:$D$1003,出库明细!D1541)&gt;0,COUNTIFS(出库明细!$C$4:C1541,出库明细!C1541,出库明细!$D$4:D1541,出库明细!D1541)&gt;1),"",IFERROR(MATCH(出库明细!C1541,总览汇总!$B$5:$B$304,0),900)*10000000+IFERROR(MATCH(出库明细!D1541,基础资料!$E$5:$E$104,0),900)*10000+ROW()))</f>
      </c>
      <c r="F2541">
        <f>IF(AND(出库明细!C2541&lt;&gt;"",出库明细!C2541=客户对账单!$B$4,ISNUMBER(出库明细!B2541),出库明细!B2541&gt;=客户对账单!$G$4,出库明细!B2541&lt;=客户对账单!$I$4),出库明细!B2541+ROW()/100000,"")</f>
      </c>
      <c r="H2541">
        <f>IF(AND(资金台帐!K1044&lt;&gt;"",资金台帐!K1044=供应商对账单!$B$4,资金台帐!P1044="应付",ISNUMBER(资金台帐!B1044),资金台帐!B1044&gt;=供应商对账单!$G$4,资金台帐!B1044&lt;=供应商对账单!$I$4),资金台帐!B1044+ROW()/100000,"")</f>
      </c>
      <c r="N2541">
        <f>IF(AND(ISNUMBER(出库明细!G2541),ISNUMBER(出库明细!E2541),ISNUMBER(出库明细!F2541)),IF(ABS(出库明细!G2541-出库明细!E2541*出库明细!F2541)&gt;0.005,1,0),0)</f>
        <v>0</v>
      </c>
    </row>
    <row r="2542">
      <c r="A2542">
        <f>IF(OR(出库明细!C1542="",出库明细!D1542=""),"",IF(OR(COUNTIFS(存条明细!$C$4:$C$1003,出库明细!C1542,存条明细!$D$4:$D$1003,出库明细!D1542)&gt;0,COUNTIFS(出库明细!$C$4:C1542,出库明细!C1542,出库明细!$D$4:D1542,出库明细!D1542)&gt;1),"",IFERROR(MATCH(出库明细!C1542,总览汇总!$B$5:$B$304,0),900)*10000000+IFERROR(MATCH(出库明细!D1542,基础资料!$E$5:$E$104,0),900)*10000+ROW()))</f>
      </c>
      <c r="F2542">
        <f>IF(AND(出库明细!C2542&lt;&gt;"",出库明细!C2542=客户对账单!$B$4,ISNUMBER(出库明细!B2542),出库明细!B2542&gt;=客户对账单!$G$4,出库明细!B2542&lt;=客户对账单!$I$4),出库明细!B2542+ROW()/100000,"")</f>
      </c>
      <c r="H2542">
        <f>IF(AND(资金台帐!K1045&lt;&gt;"",资金台帐!K1045=供应商对账单!$B$4,资金台帐!P1045="应付",ISNUMBER(资金台帐!B1045),资金台帐!B1045&gt;=供应商对账单!$G$4,资金台帐!B1045&lt;=供应商对账单!$I$4),资金台帐!B1045+ROW()/100000,"")</f>
      </c>
      <c r="N2542">
        <f>IF(AND(ISNUMBER(出库明细!G2542),ISNUMBER(出库明细!E2542),ISNUMBER(出库明细!F2542)),IF(ABS(出库明细!G2542-出库明细!E2542*出库明细!F2542)&gt;0.005,1,0),0)</f>
        <v>0</v>
      </c>
    </row>
    <row r="2543">
      <c r="A2543">
        <f>IF(OR(出库明细!C1543="",出库明细!D1543=""),"",IF(OR(COUNTIFS(存条明细!$C$4:$C$1003,出库明细!C1543,存条明细!$D$4:$D$1003,出库明细!D1543)&gt;0,COUNTIFS(出库明细!$C$4:C1543,出库明细!C1543,出库明细!$D$4:D1543,出库明细!D1543)&gt;1),"",IFERROR(MATCH(出库明细!C1543,总览汇总!$B$5:$B$304,0),900)*10000000+IFERROR(MATCH(出库明细!D1543,基础资料!$E$5:$E$104,0),900)*10000+ROW()))</f>
      </c>
      <c r="F2543">
        <f>IF(AND(出库明细!C2543&lt;&gt;"",出库明细!C2543=客户对账单!$B$4,ISNUMBER(出库明细!B2543),出库明细!B2543&gt;=客户对账单!$G$4,出库明细!B2543&lt;=客户对账单!$I$4),出库明细!B2543+ROW()/100000,"")</f>
      </c>
      <c r="H2543">
        <f>IF(AND(资金台帐!K1046&lt;&gt;"",资金台帐!K1046=供应商对账单!$B$4,资金台帐!P1046="应付",ISNUMBER(资金台帐!B1046),资金台帐!B1046&gt;=供应商对账单!$G$4,资金台帐!B1046&lt;=供应商对账单!$I$4),资金台帐!B1046+ROW()/100000,"")</f>
      </c>
      <c r="N2543">
        <f>IF(AND(ISNUMBER(出库明细!G2543),ISNUMBER(出库明细!E2543),ISNUMBER(出库明细!F2543)),IF(ABS(出库明细!G2543-出库明细!E2543*出库明细!F2543)&gt;0.005,1,0),0)</f>
        <v>0</v>
      </c>
    </row>
    <row r="2544">
      <c r="A2544">
        <f>IF(OR(出库明细!C1544="",出库明细!D1544=""),"",IF(OR(COUNTIFS(存条明细!$C$4:$C$1003,出库明细!C1544,存条明细!$D$4:$D$1003,出库明细!D1544)&gt;0,COUNTIFS(出库明细!$C$4:C1544,出库明细!C1544,出库明细!$D$4:D1544,出库明细!D1544)&gt;1),"",IFERROR(MATCH(出库明细!C1544,总览汇总!$B$5:$B$304,0),900)*10000000+IFERROR(MATCH(出库明细!D1544,基础资料!$E$5:$E$104,0),900)*10000+ROW()))</f>
      </c>
      <c r="F2544">
        <f>IF(AND(出库明细!C2544&lt;&gt;"",出库明细!C2544=客户对账单!$B$4,ISNUMBER(出库明细!B2544),出库明细!B2544&gt;=客户对账单!$G$4,出库明细!B2544&lt;=客户对账单!$I$4),出库明细!B2544+ROW()/100000,"")</f>
      </c>
      <c r="H2544">
        <f>IF(AND(资金台帐!K1047&lt;&gt;"",资金台帐!K1047=供应商对账单!$B$4,资金台帐!P1047="应付",ISNUMBER(资金台帐!B1047),资金台帐!B1047&gt;=供应商对账单!$G$4,资金台帐!B1047&lt;=供应商对账单!$I$4),资金台帐!B1047+ROW()/100000,"")</f>
      </c>
      <c r="N2544">
        <f>IF(AND(ISNUMBER(出库明细!G2544),ISNUMBER(出库明细!E2544),ISNUMBER(出库明细!F2544)),IF(ABS(出库明细!G2544-出库明细!E2544*出库明细!F2544)&gt;0.005,1,0),0)</f>
        <v>0</v>
      </c>
    </row>
    <row r="2545">
      <c r="A2545">
        <f>IF(OR(出库明细!C1545="",出库明细!D1545=""),"",IF(OR(COUNTIFS(存条明细!$C$4:$C$1003,出库明细!C1545,存条明细!$D$4:$D$1003,出库明细!D1545)&gt;0,COUNTIFS(出库明细!$C$4:C1545,出库明细!C1545,出库明细!$D$4:D1545,出库明细!D1545)&gt;1),"",IFERROR(MATCH(出库明细!C1545,总览汇总!$B$5:$B$304,0),900)*10000000+IFERROR(MATCH(出库明细!D1545,基础资料!$E$5:$E$104,0),900)*10000+ROW()))</f>
      </c>
      <c r="F2545">
        <f>IF(AND(出库明细!C2545&lt;&gt;"",出库明细!C2545=客户对账单!$B$4,ISNUMBER(出库明细!B2545),出库明细!B2545&gt;=客户对账单!$G$4,出库明细!B2545&lt;=客户对账单!$I$4),出库明细!B2545+ROW()/100000,"")</f>
      </c>
      <c r="H2545">
        <f>IF(AND(资金台帐!K1048&lt;&gt;"",资金台帐!K1048=供应商对账单!$B$4,资金台帐!P1048="应付",ISNUMBER(资金台帐!B1048),资金台帐!B1048&gt;=供应商对账单!$G$4,资金台帐!B1048&lt;=供应商对账单!$I$4),资金台帐!B1048+ROW()/100000,"")</f>
      </c>
      <c r="N2545">
        <f>IF(AND(ISNUMBER(出库明细!G2545),ISNUMBER(出库明细!E2545),ISNUMBER(出库明细!F2545)),IF(ABS(出库明细!G2545-出库明细!E2545*出库明细!F2545)&gt;0.005,1,0),0)</f>
        <v>0</v>
      </c>
    </row>
    <row r="2546">
      <c r="A2546">
        <f>IF(OR(出库明细!C1546="",出库明细!D1546=""),"",IF(OR(COUNTIFS(存条明细!$C$4:$C$1003,出库明细!C1546,存条明细!$D$4:$D$1003,出库明细!D1546)&gt;0,COUNTIFS(出库明细!$C$4:C1546,出库明细!C1546,出库明细!$D$4:D1546,出库明细!D1546)&gt;1),"",IFERROR(MATCH(出库明细!C1546,总览汇总!$B$5:$B$304,0),900)*10000000+IFERROR(MATCH(出库明细!D1546,基础资料!$E$5:$E$104,0),900)*10000+ROW()))</f>
      </c>
      <c r="F2546">
        <f>IF(AND(出库明细!C2546&lt;&gt;"",出库明细!C2546=客户对账单!$B$4,ISNUMBER(出库明细!B2546),出库明细!B2546&gt;=客户对账单!$G$4,出库明细!B2546&lt;=客户对账单!$I$4),出库明细!B2546+ROW()/100000,"")</f>
      </c>
      <c r="H2546">
        <f>IF(AND(资金台帐!K1049&lt;&gt;"",资金台帐!K1049=供应商对账单!$B$4,资金台帐!P1049="应付",ISNUMBER(资金台帐!B1049),资金台帐!B1049&gt;=供应商对账单!$G$4,资金台帐!B1049&lt;=供应商对账单!$I$4),资金台帐!B1049+ROW()/100000,"")</f>
      </c>
      <c r="N2546">
        <f>IF(AND(ISNUMBER(出库明细!G2546),ISNUMBER(出库明细!E2546),ISNUMBER(出库明细!F2546)),IF(ABS(出库明细!G2546-出库明细!E2546*出库明细!F2546)&gt;0.005,1,0),0)</f>
        <v>0</v>
      </c>
    </row>
    <row r="2547">
      <c r="A2547">
        <f>IF(OR(出库明细!C1547="",出库明细!D1547=""),"",IF(OR(COUNTIFS(存条明细!$C$4:$C$1003,出库明细!C1547,存条明细!$D$4:$D$1003,出库明细!D1547)&gt;0,COUNTIFS(出库明细!$C$4:C1547,出库明细!C1547,出库明细!$D$4:D1547,出库明细!D1547)&gt;1),"",IFERROR(MATCH(出库明细!C1547,总览汇总!$B$5:$B$304,0),900)*10000000+IFERROR(MATCH(出库明细!D1547,基础资料!$E$5:$E$104,0),900)*10000+ROW()))</f>
      </c>
      <c r="F2547">
        <f>IF(AND(出库明细!C2547&lt;&gt;"",出库明细!C2547=客户对账单!$B$4,ISNUMBER(出库明细!B2547),出库明细!B2547&gt;=客户对账单!$G$4,出库明细!B2547&lt;=客户对账单!$I$4),出库明细!B2547+ROW()/100000,"")</f>
      </c>
      <c r="H2547">
        <f>IF(AND(资金台帐!K1050&lt;&gt;"",资金台帐!K1050=供应商对账单!$B$4,资金台帐!P1050="应付",ISNUMBER(资金台帐!B1050),资金台帐!B1050&gt;=供应商对账单!$G$4,资金台帐!B1050&lt;=供应商对账单!$I$4),资金台帐!B1050+ROW()/100000,"")</f>
      </c>
      <c r="N2547">
        <f>IF(AND(ISNUMBER(出库明细!G2547),ISNUMBER(出库明细!E2547),ISNUMBER(出库明细!F2547)),IF(ABS(出库明细!G2547-出库明细!E2547*出库明细!F2547)&gt;0.005,1,0),0)</f>
        <v>0</v>
      </c>
    </row>
    <row r="2548">
      <c r="A2548">
        <f>IF(OR(出库明细!C1548="",出库明细!D1548=""),"",IF(OR(COUNTIFS(存条明细!$C$4:$C$1003,出库明细!C1548,存条明细!$D$4:$D$1003,出库明细!D1548)&gt;0,COUNTIFS(出库明细!$C$4:C1548,出库明细!C1548,出库明细!$D$4:D1548,出库明细!D1548)&gt;1),"",IFERROR(MATCH(出库明细!C1548,总览汇总!$B$5:$B$304,0),900)*10000000+IFERROR(MATCH(出库明细!D1548,基础资料!$E$5:$E$104,0),900)*10000+ROW()))</f>
      </c>
      <c r="F2548">
        <f>IF(AND(出库明细!C2548&lt;&gt;"",出库明细!C2548=客户对账单!$B$4,ISNUMBER(出库明细!B2548),出库明细!B2548&gt;=客户对账单!$G$4,出库明细!B2548&lt;=客户对账单!$I$4),出库明细!B2548+ROW()/100000,"")</f>
      </c>
      <c r="H2548">
        <f>IF(AND(资金台帐!K1051&lt;&gt;"",资金台帐!K1051=供应商对账单!$B$4,资金台帐!P1051="应付",ISNUMBER(资金台帐!B1051),资金台帐!B1051&gt;=供应商对账单!$G$4,资金台帐!B1051&lt;=供应商对账单!$I$4),资金台帐!B1051+ROW()/100000,"")</f>
      </c>
      <c r="N2548">
        <f>IF(AND(ISNUMBER(出库明细!G2548),ISNUMBER(出库明细!E2548),ISNUMBER(出库明细!F2548)),IF(ABS(出库明细!G2548-出库明细!E2548*出库明细!F2548)&gt;0.005,1,0),0)</f>
        <v>0</v>
      </c>
    </row>
    <row r="2549">
      <c r="A2549">
        <f>IF(OR(出库明细!C1549="",出库明细!D1549=""),"",IF(OR(COUNTIFS(存条明细!$C$4:$C$1003,出库明细!C1549,存条明细!$D$4:$D$1003,出库明细!D1549)&gt;0,COUNTIFS(出库明细!$C$4:C1549,出库明细!C1549,出库明细!$D$4:D1549,出库明细!D1549)&gt;1),"",IFERROR(MATCH(出库明细!C1549,总览汇总!$B$5:$B$304,0),900)*10000000+IFERROR(MATCH(出库明细!D1549,基础资料!$E$5:$E$104,0),900)*10000+ROW()))</f>
      </c>
      <c r="F2549">
        <f>IF(AND(出库明细!C2549&lt;&gt;"",出库明细!C2549=客户对账单!$B$4,ISNUMBER(出库明细!B2549),出库明细!B2549&gt;=客户对账单!$G$4,出库明细!B2549&lt;=客户对账单!$I$4),出库明细!B2549+ROW()/100000,"")</f>
      </c>
      <c r="H2549">
        <f>IF(AND(资金台帐!K1052&lt;&gt;"",资金台帐!K1052=供应商对账单!$B$4,资金台帐!P1052="应付",ISNUMBER(资金台帐!B1052),资金台帐!B1052&gt;=供应商对账单!$G$4,资金台帐!B1052&lt;=供应商对账单!$I$4),资金台帐!B1052+ROW()/100000,"")</f>
      </c>
      <c r="N2549">
        <f>IF(AND(ISNUMBER(出库明细!G2549),ISNUMBER(出库明细!E2549),ISNUMBER(出库明细!F2549)),IF(ABS(出库明细!G2549-出库明细!E2549*出库明细!F2549)&gt;0.005,1,0),0)</f>
        <v>0</v>
      </c>
    </row>
    <row r="2550">
      <c r="A2550">
        <f>IF(OR(出库明细!C1550="",出库明细!D1550=""),"",IF(OR(COUNTIFS(存条明细!$C$4:$C$1003,出库明细!C1550,存条明细!$D$4:$D$1003,出库明细!D1550)&gt;0,COUNTIFS(出库明细!$C$4:C1550,出库明细!C1550,出库明细!$D$4:D1550,出库明细!D1550)&gt;1),"",IFERROR(MATCH(出库明细!C1550,总览汇总!$B$5:$B$304,0),900)*10000000+IFERROR(MATCH(出库明细!D1550,基础资料!$E$5:$E$104,0),900)*10000+ROW()))</f>
      </c>
      <c r="F2550">
        <f>IF(AND(出库明细!C2550&lt;&gt;"",出库明细!C2550=客户对账单!$B$4,ISNUMBER(出库明细!B2550),出库明细!B2550&gt;=客户对账单!$G$4,出库明细!B2550&lt;=客户对账单!$I$4),出库明细!B2550+ROW()/100000,"")</f>
      </c>
      <c r="H2550">
        <f>IF(AND(资金台帐!K1053&lt;&gt;"",资金台帐!K1053=供应商对账单!$B$4,资金台帐!P1053="应付",ISNUMBER(资金台帐!B1053),资金台帐!B1053&gt;=供应商对账单!$G$4,资金台帐!B1053&lt;=供应商对账单!$I$4),资金台帐!B1053+ROW()/100000,"")</f>
      </c>
      <c r="N2550">
        <f>IF(AND(ISNUMBER(出库明细!G2550),ISNUMBER(出库明细!E2550),ISNUMBER(出库明细!F2550)),IF(ABS(出库明细!G2550-出库明细!E2550*出库明细!F2550)&gt;0.005,1,0),0)</f>
        <v>0</v>
      </c>
    </row>
    <row r="2551">
      <c r="A2551">
        <f>IF(OR(出库明细!C1551="",出库明细!D1551=""),"",IF(OR(COUNTIFS(存条明细!$C$4:$C$1003,出库明细!C1551,存条明细!$D$4:$D$1003,出库明细!D1551)&gt;0,COUNTIFS(出库明细!$C$4:C1551,出库明细!C1551,出库明细!$D$4:D1551,出库明细!D1551)&gt;1),"",IFERROR(MATCH(出库明细!C1551,总览汇总!$B$5:$B$304,0),900)*10000000+IFERROR(MATCH(出库明细!D1551,基础资料!$E$5:$E$104,0),900)*10000+ROW()))</f>
      </c>
      <c r="F2551">
        <f>IF(AND(出库明细!C2551&lt;&gt;"",出库明细!C2551=客户对账单!$B$4,ISNUMBER(出库明细!B2551),出库明细!B2551&gt;=客户对账单!$G$4,出库明细!B2551&lt;=客户对账单!$I$4),出库明细!B2551+ROW()/100000,"")</f>
      </c>
      <c r="H2551">
        <f>IF(AND(资金台帐!K1054&lt;&gt;"",资金台帐!K1054=供应商对账单!$B$4,资金台帐!P1054="应付",ISNUMBER(资金台帐!B1054),资金台帐!B1054&gt;=供应商对账单!$G$4,资金台帐!B1054&lt;=供应商对账单!$I$4),资金台帐!B1054+ROW()/100000,"")</f>
      </c>
      <c r="N2551">
        <f>IF(AND(ISNUMBER(出库明细!G2551),ISNUMBER(出库明细!E2551),ISNUMBER(出库明细!F2551)),IF(ABS(出库明细!G2551-出库明细!E2551*出库明细!F2551)&gt;0.005,1,0),0)</f>
        <v>0</v>
      </c>
    </row>
    <row r="2552">
      <c r="A2552">
        <f>IF(OR(出库明细!C1552="",出库明细!D1552=""),"",IF(OR(COUNTIFS(存条明细!$C$4:$C$1003,出库明细!C1552,存条明细!$D$4:$D$1003,出库明细!D1552)&gt;0,COUNTIFS(出库明细!$C$4:C1552,出库明细!C1552,出库明细!$D$4:D1552,出库明细!D1552)&gt;1),"",IFERROR(MATCH(出库明细!C1552,总览汇总!$B$5:$B$304,0),900)*10000000+IFERROR(MATCH(出库明细!D1552,基础资料!$E$5:$E$104,0),900)*10000+ROW()))</f>
      </c>
      <c r="F2552">
        <f>IF(AND(出库明细!C2552&lt;&gt;"",出库明细!C2552=客户对账单!$B$4,ISNUMBER(出库明细!B2552),出库明细!B2552&gt;=客户对账单!$G$4,出库明细!B2552&lt;=客户对账单!$I$4),出库明细!B2552+ROW()/100000,"")</f>
      </c>
      <c r="H2552">
        <f>IF(AND(资金台帐!K1055&lt;&gt;"",资金台帐!K1055=供应商对账单!$B$4,资金台帐!P1055="应付",ISNUMBER(资金台帐!B1055),资金台帐!B1055&gt;=供应商对账单!$G$4,资金台帐!B1055&lt;=供应商对账单!$I$4),资金台帐!B1055+ROW()/100000,"")</f>
      </c>
      <c r="N2552">
        <f>IF(AND(ISNUMBER(出库明细!G2552),ISNUMBER(出库明细!E2552),ISNUMBER(出库明细!F2552)),IF(ABS(出库明细!G2552-出库明细!E2552*出库明细!F2552)&gt;0.005,1,0),0)</f>
        <v>0</v>
      </c>
    </row>
    <row r="2553">
      <c r="A2553">
        <f>IF(OR(出库明细!C1553="",出库明细!D1553=""),"",IF(OR(COUNTIFS(存条明细!$C$4:$C$1003,出库明细!C1553,存条明细!$D$4:$D$1003,出库明细!D1553)&gt;0,COUNTIFS(出库明细!$C$4:C1553,出库明细!C1553,出库明细!$D$4:D1553,出库明细!D1553)&gt;1),"",IFERROR(MATCH(出库明细!C1553,总览汇总!$B$5:$B$304,0),900)*10000000+IFERROR(MATCH(出库明细!D1553,基础资料!$E$5:$E$104,0),900)*10000+ROW()))</f>
      </c>
      <c r="F2553">
        <f>IF(AND(出库明细!C2553&lt;&gt;"",出库明细!C2553=客户对账单!$B$4,ISNUMBER(出库明细!B2553),出库明细!B2553&gt;=客户对账单!$G$4,出库明细!B2553&lt;=客户对账单!$I$4),出库明细!B2553+ROW()/100000,"")</f>
      </c>
      <c r="H2553">
        <f>IF(AND(资金台帐!K1056&lt;&gt;"",资金台帐!K1056=供应商对账单!$B$4,资金台帐!P1056="应付",ISNUMBER(资金台帐!B1056),资金台帐!B1056&gt;=供应商对账单!$G$4,资金台帐!B1056&lt;=供应商对账单!$I$4),资金台帐!B1056+ROW()/100000,"")</f>
      </c>
      <c r="N2553">
        <f>IF(AND(ISNUMBER(出库明细!G2553),ISNUMBER(出库明细!E2553),ISNUMBER(出库明细!F2553)),IF(ABS(出库明细!G2553-出库明细!E2553*出库明细!F2553)&gt;0.005,1,0),0)</f>
        <v>0</v>
      </c>
    </row>
    <row r="2554">
      <c r="A2554">
        <f>IF(OR(出库明细!C1554="",出库明细!D1554=""),"",IF(OR(COUNTIFS(存条明细!$C$4:$C$1003,出库明细!C1554,存条明细!$D$4:$D$1003,出库明细!D1554)&gt;0,COUNTIFS(出库明细!$C$4:C1554,出库明细!C1554,出库明细!$D$4:D1554,出库明细!D1554)&gt;1),"",IFERROR(MATCH(出库明细!C1554,总览汇总!$B$5:$B$304,0),900)*10000000+IFERROR(MATCH(出库明细!D1554,基础资料!$E$5:$E$104,0),900)*10000+ROW()))</f>
      </c>
      <c r="F2554">
        <f>IF(AND(出库明细!C2554&lt;&gt;"",出库明细!C2554=客户对账单!$B$4,ISNUMBER(出库明细!B2554),出库明细!B2554&gt;=客户对账单!$G$4,出库明细!B2554&lt;=客户对账单!$I$4),出库明细!B2554+ROW()/100000,"")</f>
      </c>
      <c r="H2554">
        <f>IF(AND(资金台帐!K1057&lt;&gt;"",资金台帐!K1057=供应商对账单!$B$4,资金台帐!P1057="应付",ISNUMBER(资金台帐!B1057),资金台帐!B1057&gt;=供应商对账单!$G$4,资金台帐!B1057&lt;=供应商对账单!$I$4),资金台帐!B1057+ROW()/100000,"")</f>
      </c>
      <c r="N2554">
        <f>IF(AND(ISNUMBER(出库明细!G2554),ISNUMBER(出库明细!E2554),ISNUMBER(出库明细!F2554)),IF(ABS(出库明细!G2554-出库明细!E2554*出库明细!F2554)&gt;0.005,1,0),0)</f>
        <v>0</v>
      </c>
    </row>
    <row r="2555">
      <c r="A2555">
        <f>IF(OR(出库明细!C1555="",出库明细!D1555=""),"",IF(OR(COUNTIFS(存条明细!$C$4:$C$1003,出库明细!C1555,存条明细!$D$4:$D$1003,出库明细!D1555)&gt;0,COUNTIFS(出库明细!$C$4:C1555,出库明细!C1555,出库明细!$D$4:D1555,出库明细!D1555)&gt;1),"",IFERROR(MATCH(出库明细!C1555,总览汇总!$B$5:$B$304,0),900)*10000000+IFERROR(MATCH(出库明细!D1555,基础资料!$E$5:$E$104,0),900)*10000+ROW()))</f>
      </c>
      <c r="F2555">
        <f>IF(AND(出库明细!C2555&lt;&gt;"",出库明细!C2555=客户对账单!$B$4,ISNUMBER(出库明细!B2555),出库明细!B2555&gt;=客户对账单!$G$4,出库明细!B2555&lt;=客户对账单!$I$4),出库明细!B2555+ROW()/100000,"")</f>
      </c>
      <c r="H2555">
        <f>IF(AND(资金台帐!K1058&lt;&gt;"",资金台帐!K1058=供应商对账单!$B$4,资金台帐!P1058="应付",ISNUMBER(资金台帐!B1058),资金台帐!B1058&gt;=供应商对账单!$G$4,资金台帐!B1058&lt;=供应商对账单!$I$4),资金台帐!B1058+ROW()/100000,"")</f>
      </c>
      <c r="N2555">
        <f>IF(AND(ISNUMBER(出库明细!G2555),ISNUMBER(出库明细!E2555),ISNUMBER(出库明细!F2555)),IF(ABS(出库明细!G2555-出库明细!E2555*出库明细!F2555)&gt;0.005,1,0),0)</f>
        <v>0</v>
      </c>
    </row>
    <row r="2556">
      <c r="A2556">
        <f>IF(OR(出库明细!C1556="",出库明细!D1556=""),"",IF(OR(COUNTIFS(存条明细!$C$4:$C$1003,出库明细!C1556,存条明细!$D$4:$D$1003,出库明细!D1556)&gt;0,COUNTIFS(出库明细!$C$4:C1556,出库明细!C1556,出库明细!$D$4:D1556,出库明细!D1556)&gt;1),"",IFERROR(MATCH(出库明细!C1556,总览汇总!$B$5:$B$304,0),900)*10000000+IFERROR(MATCH(出库明细!D1556,基础资料!$E$5:$E$104,0),900)*10000+ROW()))</f>
      </c>
      <c r="F2556">
        <f>IF(AND(出库明细!C2556&lt;&gt;"",出库明细!C2556=客户对账单!$B$4,ISNUMBER(出库明细!B2556),出库明细!B2556&gt;=客户对账单!$G$4,出库明细!B2556&lt;=客户对账单!$I$4),出库明细!B2556+ROW()/100000,"")</f>
      </c>
      <c r="H2556">
        <f>IF(AND(资金台帐!K1059&lt;&gt;"",资金台帐!K1059=供应商对账单!$B$4,资金台帐!P1059="应付",ISNUMBER(资金台帐!B1059),资金台帐!B1059&gt;=供应商对账单!$G$4,资金台帐!B1059&lt;=供应商对账单!$I$4),资金台帐!B1059+ROW()/100000,"")</f>
      </c>
      <c r="N2556">
        <f>IF(AND(ISNUMBER(出库明细!G2556),ISNUMBER(出库明细!E2556),ISNUMBER(出库明细!F2556)),IF(ABS(出库明细!G2556-出库明细!E2556*出库明细!F2556)&gt;0.005,1,0),0)</f>
        <v>0</v>
      </c>
    </row>
    <row r="2557">
      <c r="A2557">
        <f>IF(OR(出库明细!C1557="",出库明细!D1557=""),"",IF(OR(COUNTIFS(存条明细!$C$4:$C$1003,出库明细!C1557,存条明细!$D$4:$D$1003,出库明细!D1557)&gt;0,COUNTIFS(出库明细!$C$4:C1557,出库明细!C1557,出库明细!$D$4:D1557,出库明细!D1557)&gt;1),"",IFERROR(MATCH(出库明细!C1557,总览汇总!$B$5:$B$304,0),900)*10000000+IFERROR(MATCH(出库明细!D1557,基础资料!$E$5:$E$104,0),900)*10000+ROW()))</f>
      </c>
      <c r="F2557">
        <f>IF(AND(出库明细!C2557&lt;&gt;"",出库明细!C2557=客户对账单!$B$4,ISNUMBER(出库明细!B2557),出库明细!B2557&gt;=客户对账单!$G$4,出库明细!B2557&lt;=客户对账单!$I$4),出库明细!B2557+ROW()/100000,"")</f>
      </c>
      <c r="H2557">
        <f>IF(AND(资金台帐!K1060&lt;&gt;"",资金台帐!K1060=供应商对账单!$B$4,资金台帐!P1060="应付",ISNUMBER(资金台帐!B1060),资金台帐!B1060&gt;=供应商对账单!$G$4,资金台帐!B1060&lt;=供应商对账单!$I$4),资金台帐!B1060+ROW()/100000,"")</f>
      </c>
      <c r="N2557">
        <f>IF(AND(ISNUMBER(出库明细!G2557),ISNUMBER(出库明细!E2557),ISNUMBER(出库明细!F2557)),IF(ABS(出库明细!G2557-出库明细!E2557*出库明细!F2557)&gt;0.005,1,0),0)</f>
        <v>0</v>
      </c>
    </row>
    <row r="2558">
      <c r="A2558">
        <f>IF(OR(出库明细!C1558="",出库明细!D1558=""),"",IF(OR(COUNTIFS(存条明细!$C$4:$C$1003,出库明细!C1558,存条明细!$D$4:$D$1003,出库明细!D1558)&gt;0,COUNTIFS(出库明细!$C$4:C1558,出库明细!C1558,出库明细!$D$4:D1558,出库明细!D1558)&gt;1),"",IFERROR(MATCH(出库明细!C1558,总览汇总!$B$5:$B$304,0),900)*10000000+IFERROR(MATCH(出库明细!D1558,基础资料!$E$5:$E$104,0),900)*10000+ROW()))</f>
      </c>
      <c r="F2558">
        <f>IF(AND(出库明细!C2558&lt;&gt;"",出库明细!C2558=客户对账单!$B$4,ISNUMBER(出库明细!B2558),出库明细!B2558&gt;=客户对账单!$G$4,出库明细!B2558&lt;=客户对账单!$I$4),出库明细!B2558+ROW()/100000,"")</f>
      </c>
      <c r="H2558">
        <f>IF(AND(资金台帐!K1061&lt;&gt;"",资金台帐!K1061=供应商对账单!$B$4,资金台帐!P1061="应付",ISNUMBER(资金台帐!B1061),资金台帐!B1061&gt;=供应商对账单!$G$4,资金台帐!B1061&lt;=供应商对账单!$I$4),资金台帐!B1061+ROW()/100000,"")</f>
      </c>
      <c r="N2558">
        <f>IF(AND(ISNUMBER(出库明细!G2558),ISNUMBER(出库明细!E2558),ISNUMBER(出库明细!F2558)),IF(ABS(出库明细!G2558-出库明细!E2558*出库明细!F2558)&gt;0.005,1,0),0)</f>
        <v>0</v>
      </c>
    </row>
    <row r="2559">
      <c r="A2559">
        <f>IF(OR(出库明细!C1559="",出库明细!D1559=""),"",IF(OR(COUNTIFS(存条明细!$C$4:$C$1003,出库明细!C1559,存条明细!$D$4:$D$1003,出库明细!D1559)&gt;0,COUNTIFS(出库明细!$C$4:C1559,出库明细!C1559,出库明细!$D$4:D1559,出库明细!D1559)&gt;1),"",IFERROR(MATCH(出库明细!C1559,总览汇总!$B$5:$B$304,0),900)*10000000+IFERROR(MATCH(出库明细!D1559,基础资料!$E$5:$E$104,0),900)*10000+ROW()))</f>
      </c>
      <c r="F2559">
        <f>IF(AND(出库明细!C2559&lt;&gt;"",出库明细!C2559=客户对账单!$B$4,ISNUMBER(出库明细!B2559),出库明细!B2559&gt;=客户对账单!$G$4,出库明细!B2559&lt;=客户对账单!$I$4),出库明细!B2559+ROW()/100000,"")</f>
      </c>
      <c r="H2559">
        <f>IF(AND(资金台帐!K1062&lt;&gt;"",资金台帐!K1062=供应商对账单!$B$4,资金台帐!P1062="应付",ISNUMBER(资金台帐!B1062),资金台帐!B1062&gt;=供应商对账单!$G$4,资金台帐!B1062&lt;=供应商对账单!$I$4),资金台帐!B1062+ROW()/100000,"")</f>
      </c>
      <c r="N2559">
        <f>IF(AND(ISNUMBER(出库明细!G2559),ISNUMBER(出库明细!E2559),ISNUMBER(出库明细!F2559)),IF(ABS(出库明细!G2559-出库明细!E2559*出库明细!F2559)&gt;0.005,1,0),0)</f>
        <v>0</v>
      </c>
    </row>
    <row r="2560">
      <c r="A2560">
        <f>IF(OR(出库明细!C1560="",出库明细!D1560=""),"",IF(OR(COUNTIFS(存条明细!$C$4:$C$1003,出库明细!C1560,存条明细!$D$4:$D$1003,出库明细!D1560)&gt;0,COUNTIFS(出库明细!$C$4:C1560,出库明细!C1560,出库明细!$D$4:D1560,出库明细!D1560)&gt;1),"",IFERROR(MATCH(出库明细!C1560,总览汇总!$B$5:$B$304,0),900)*10000000+IFERROR(MATCH(出库明细!D1560,基础资料!$E$5:$E$104,0),900)*10000+ROW()))</f>
      </c>
      <c r="F2560">
        <f>IF(AND(出库明细!C2560&lt;&gt;"",出库明细!C2560=客户对账单!$B$4,ISNUMBER(出库明细!B2560),出库明细!B2560&gt;=客户对账单!$G$4,出库明细!B2560&lt;=客户对账单!$I$4),出库明细!B2560+ROW()/100000,"")</f>
      </c>
      <c r="H2560">
        <f>IF(AND(资金台帐!K1063&lt;&gt;"",资金台帐!K1063=供应商对账单!$B$4,资金台帐!P1063="应付",ISNUMBER(资金台帐!B1063),资金台帐!B1063&gt;=供应商对账单!$G$4,资金台帐!B1063&lt;=供应商对账单!$I$4),资金台帐!B1063+ROW()/100000,"")</f>
      </c>
      <c r="N2560">
        <f>IF(AND(ISNUMBER(出库明细!G2560),ISNUMBER(出库明细!E2560),ISNUMBER(出库明细!F2560)),IF(ABS(出库明细!G2560-出库明细!E2560*出库明细!F2560)&gt;0.005,1,0),0)</f>
        <v>0</v>
      </c>
    </row>
    <row r="2561">
      <c r="A2561">
        <f>IF(OR(出库明细!C1561="",出库明细!D1561=""),"",IF(OR(COUNTIFS(存条明细!$C$4:$C$1003,出库明细!C1561,存条明细!$D$4:$D$1003,出库明细!D1561)&gt;0,COUNTIFS(出库明细!$C$4:C1561,出库明细!C1561,出库明细!$D$4:D1561,出库明细!D1561)&gt;1),"",IFERROR(MATCH(出库明细!C1561,总览汇总!$B$5:$B$304,0),900)*10000000+IFERROR(MATCH(出库明细!D1561,基础资料!$E$5:$E$104,0),900)*10000+ROW()))</f>
      </c>
      <c r="F2561">
        <f>IF(AND(出库明细!C2561&lt;&gt;"",出库明细!C2561=客户对账单!$B$4,ISNUMBER(出库明细!B2561),出库明细!B2561&gt;=客户对账单!$G$4,出库明细!B2561&lt;=客户对账单!$I$4),出库明细!B2561+ROW()/100000,"")</f>
      </c>
      <c r="H2561">
        <f>IF(AND(资金台帐!K1064&lt;&gt;"",资金台帐!K1064=供应商对账单!$B$4,资金台帐!P1064="应付",ISNUMBER(资金台帐!B1064),资金台帐!B1064&gt;=供应商对账单!$G$4,资金台帐!B1064&lt;=供应商对账单!$I$4),资金台帐!B1064+ROW()/100000,"")</f>
      </c>
      <c r="N2561">
        <f>IF(AND(ISNUMBER(出库明细!G2561),ISNUMBER(出库明细!E2561),ISNUMBER(出库明细!F2561)),IF(ABS(出库明细!G2561-出库明细!E2561*出库明细!F2561)&gt;0.005,1,0),0)</f>
        <v>0</v>
      </c>
    </row>
    <row r="2562">
      <c r="A2562">
        <f>IF(OR(出库明细!C1562="",出库明细!D1562=""),"",IF(OR(COUNTIFS(存条明细!$C$4:$C$1003,出库明细!C1562,存条明细!$D$4:$D$1003,出库明细!D1562)&gt;0,COUNTIFS(出库明细!$C$4:C1562,出库明细!C1562,出库明细!$D$4:D1562,出库明细!D1562)&gt;1),"",IFERROR(MATCH(出库明细!C1562,总览汇总!$B$5:$B$304,0),900)*10000000+IFERROR(MATCH(出库明细!D1562,基础资料!$E$5:$E$104,0),900)*10000+ROW()))</f>
      </c>
      <c r="F2562">
        <f>IF(AND(出库明细!C2562&lt;&gt;"",出库明细!C2562=客户对账单!$B$4,ISNUMBER(出库明细!B2562),出库明细!B2562&gt;=客户对账单!$G$4,出库明细!B2562&lt;=客户对账单!$I$4),出库明细!B2562+ROW()/100000,"")</f>
      </c>
      <c r="H2562">
        <f>IF(AND(资金台帐!K1065&lt;&gt;"",资金台帐!K1065=供应商对账单!$B$4,资金台帐!P1065="应付",ISNUMBER(资金台帐!B1065),资金台帐!B1065&gt;=供应商对账单!$G$4,资金台帐!B1065&lt;=供应商对账单!$I$4),资金台帐!B1065+ROW()/100000,"")</f>
      </c>
      <c r="N2562">
        <f>IF(AND(ISNUMBER(出库明细!G2562),ISNUMBER(出库明细!E2562),ISNUMBER(出库明细!F2562)),IF(ABS(出库明细!G2562-出库明细!E2562*出库明细!F2562)&gt;0.005,1,0),0)</f>
        <v>0</v>
      </c>
    </row>
    <row r="2563">
      <c r="A2563">
        <f>IF(OR(出库明细!C1563="",出库明细!D1563=""),"",IF(OR(COUNTIFS(存条明细!$C$4:$C$1003,出库明细!C1563,存条明细!$D$4:$D$1003,出库明细!D1563)&gt;0,COUNTIFS(出库明细!$C$4:C1563,出库明细!C1563,出库明细!$D$4:D1563,出库明细!D1563)&gt;1),"",IFERROR(MATCH(出库明细!C1563,总览汇总!$B$5:$B$304,0),900)*10000000+IFERROR(MATCH(出库明细!D1563,基础资料!$E$5:$E$104,0),900)*10000+ROW()))</f>
      </c>
      <c r="F2563">
        <f>IF(AND(出库明细!C2563&lt;&gt;"",出库明细!C2563=客户对账单!$B$4,ISNUMBER(出库明细!B2563),出库明细!B2563&gt;=客户对账单!$G$4,出库明细!B2563&lt;=客户对账单!$I$4),出库明细!B2563+ROW()/100000,"")</f>
      </c>
      <c r="H2563">
        <f>IF(AND(资金台帐!K1066&lt;&gt;"",资金台帐!K1066=供应商对账单!$B$4,资金台帐!P1066="应付",ISNUMBER(资金台帐!B1066),资金台帐!B1066&gt;=供应商对账单!$G$4,资金台帐!B1066&lt;=供应商对账单!$I$4),资金台帐!B1066+ROW()/100000,"")</f>
      </c>
      <c r="N2563">
        <f>IF(AND(ISNUMBER(出库明细!G2563),ISNUMBER(出库明细!E2563),ISNUMBER(出库明细!F2563)),IF(ABS(出库明细!G2563-出库明细!E2563*出库明细!F2563)&gt;0.005,1,0),0)</f>
        <v>0</v>
      </c>
    </row>
    <row r="2564">
      <c r="A2564">
        <f>IF(OR(出库明细!C1564="",出库明细!D1564=""),"",IF(OR(COUNTIFS(存条明细!$C$4:$C$1003,出库明细!C1564,存条明细!$D$4:$D$1003,出库明细!D1564)&gt;0,COUNTIFS(出库明细!$C$4:C1564,出库明细!C1564,出库明细!$D$4:D1564,出库明细!D1564)&gt;1),"",IFERROR(MATCH(出库明细!C1564,总览汇总!$B$5:$B$304,0),900)*10000000+IFERROR(MATCH(出库明细!D1564,基础资料!$E$5:$E$104,0),900)*10000+ROW()))</f>
      </c>
      <c r="F2564">
        <f>IF(AND(出库明细!C2564&lt;&gt;"",出库明细!C2564=客户对账单!$B$4,ISNUMBER(出库明细!B2564),出库明细!B2564&gt;=客户对账单!$G$4,出库明细!B2564&lt;=客户对账单!$I$4),出库明细!B2564+ROW()/100000,"")</f>
      </c>
      <c r="H2564">
        <f>IF(AND(资金台帐!K1067&lt;&gt;"",资金台帐!K1067=供应商对账单!$B$4,资金台帐!P1067="应付",ISNUMBER(资金台帐!B1067),资金台帐!B1067&gt;=供应商对账单!$G$4,资金台帐!B1067&lt;=供应商对账单!$I$4),资金台帐!B1067+ROW()/100000,"")</f>
      </c>
      <c r="N2564">
        <f>IF(AND(ISNUMBER(出库明细!G2564),ISNUMBER(出库明细!E2564),ISNUMBER(出库明细!F2564)),IF(ABS(出库明细!G2564-出库明细!E2564*出库明细!F2564)&gt;0.005,1,0),0)</f>
        <v>0</v>
      </c>
    </row>
    <row r="2565">
      <c r="A2565">
        <f>IF(OR(出库明细!C1565="",出库明细!D1565=""),"",IF(OR(COUNTIFS(存条明细!$C$4:$C$1003,出库明细!C1565,存条明细!$D$4:$D$1003,出库明细!D1565)&gt;0,COUNTIFS(出库明细!$C$4:C1565,出库明细!C1565,出库明细!$D$4:D1565,出库明细!D1565)&gt;1),"",IFERROR(MATCH(出库明细!C1565,总览汇总!$B$5:$B$304,0),900)*10000000+IFERROR(MATCH(出库明细!D1565,基础资料!$E$5:$E$104,0),900)*10000+ROW()))</f>
      </c>
      <c r="F2565">
        <f>IF(AND(出库明细!C2565&lt;&gt;"",出库明细!C2565=客户对账单!$B$4,ISNUMBER(出库明细!B2565),出库明细!B2565&gt;=客户对账单!$G$4,出库明细!B2565&lt;=客户对账单!$I$4),出库明细!B2565+ROW()/100000,"")</f>
      </c>
      <c r="H2565">
        <f>IF(AND(资金台帐!K1068&lt;&gt;"",资金台帐!K1068=供应商对账单!$B$4,资金台帐!P1068="应付",ISNUMBER(资金台帐!B1068),资金台帐!B1068&gt;=供应商对账单!$G$4,资金台帐!B1068&lt;=供应商对账单!$I$4),资金台帐!B1068+ROW()/100000,"")</f>
      </c>
      <c r="N2565">
        <f>IF(AND(ISNUMBER(出库明细!G2565),ISNUMBER(出库明细!E2565),ISNUMBER(出库明细!F2565)),IF(ABS(出库明细!G2565-出库明细!E2565*出库明细!F2565)&gt;0.005,1,0),0)</f>
        <v>0</v>
      </c>
    </row>
    <row r="2566">
      <c r="A2566">
        <f>IF(OR(出库明细!C1566="",出库明细!D1566=""),"",IF(OR(COUNTIFS(存条明细!$C$4:$C$1003,出库明细!C1566,存条明细!$D$4:$D$1003,出库明细!D1566)&gt;0,COUNTIFS(出库明细!$C$4:C1566,出库明细!C1566,出库明细!$D$4:D1566,出库明细!D1566)&gt;1),"",IFERROR(MATCH(出库明细!C1566,总览汇总!$B$5:$B$304,0),900)*10000000+IFERROR(MATCH(出库明细!D1566,基础资料!$E$5:$E$104,0),900)*10000+ROW()))</f>
      </c>
      <c r="F2566">
        <f>IF(AND(出库明细!C2566&lt;&gt;"",出库明细!C2566=客户对账单!$B$4,ISNUMBER(出库明细!B2566),出库明细!B2566&gt;=客户对账单!$G$4,出库明细!B2566&lt;=客户对账单!$I$4),出库明细!B2566+ROW()/100000,"")</f>
      </c>
      <c r="H2566">
        <f>IF(AND(资金台帐!K1069&lt;&gt;"",资金台帐!K1069=供应商对账单!$B$4,资金台帐!P1069="应付",ISNUMBER(资金台帐!B1069),资金台帐!B1069&gt;=供应商对账单!$G$4,资金台帐!B1069&lt;=供应商对账单!$I$4),资金台帐!B1069+ROW()/100000,"")</f>
      </c>
      <c r="N2566">
        <f>IF(AND(ISNUMBER(出库明细!G2566),ISNUMBER(出库明细!E2566),ISNUMBER(出库明细!F2566)),IF(ABS(出库明细!G2566-出库明细!E2566*出库明细!F2566)&gt;0.005,1,0),0)</f>
        <v>0</v>
      </c>
    </row>
    <row r="2567">
      <c r="A2567">
        <f>IF(OR(出库明细!C1567="",出库明细!D1567=""),"",IF(OR(COUNTIFS(存条明细!$C$4:$C$1003,出库明细!C1567,存条明细!$D$4:$D$1003,出库明细!D1567)&gt;0,COUNTIFS(出库明细!$C$4:C1567,出库明细!C1567,出库明细!$D$4:D1567,出库明细!D1567)&gt;1),"",IFERROR(MATCH(出库明细!C1567,总览汇总!$B$5:$B$304,0),900)*10000000+IFERROR(MATCH(出库明细!D1567,基础资料!$E$5:$E$104,0),900)*10000+ROW()))</f>
      </c>
      <c r="F2567">
        <f>IF(AND(出库明细!C2567&lt;&gt;"",出库明细!C2567=客户对账单!$B$4,ISNUMBER(出库明细!B2567),出库明细!B2567&gt;=客户对账单!$G$4,出库明细!B2567&lt;=客户对账单!$I$4),出库明细!B2567+ROW()/100000,"")</f>
      </c>
      <c r="H2567">
        <f>IF(AND(资金台帐!K1070&lt;&gt;"",资金台帐!K1070=供应商对账单!$B$4,资金台帐!P1070="应付",ISNUMBER(资金台帐!B1070),资金台帐!B1070&gt;=供应商对账单!$G$4,资金台帐!B1070&lt;=供应商对账单!$I$4),资金台帐!B1070+ROW()/100000,"")</f>
      </c>
      <c r="N2567">
        <f>IF(AND(ISNUMBER(出库明细!G2567),ISNUMBER(出库明细!E2567),ISNUMBER(出库明细!F2567)),IF(ABS(出库明细!G2567-出库明细!E2567*出库明细!F2567)&gt;0.005,1,0),0)</f>
        <v>0</v>
      </c>
    </row>
    <row r="2568">
      <c r="A2568">
        <f>IF(OR(出库明细!C1568="",出库明细!D1568=""),"",IF(OR(COUNTIFS(存条明细!$C$4:$C$1003,出库明细!C1568,存条明细!$D$4:$D$1003,出库明细!D1568)&gt;0,COUNTIFS(出库明细!$C$4:C1568,出库明细!C1568,出库明细!$D$4:D1568,出库明细!D1568)&gt;1),"",IFERROR(MATCH(出库明细!C1568,总览汇总!$B$5:$B$304,0),900)*10000000+IFERROR(MATCH(出库明细!D1568,基础资料!$E$5:$E$104,0),900)*10000+ROW()))</f>
      </c>
      <c r="F2568">
        <f>IF(AND(出库明细!C2568&lt;&gt;"",出库明细!C2568=客户对账单!$B$4,ISNUMBER(出库明细!B2568),出库明细!B2568&gt;=客户对账单!$G$4,出库明细!B2568&lt;=客户对账单!$I$4),出库明细!B2568+ROW()/100000,"")</f>
      </c>
      <c r="H2568">
        <f>IF(AND(资金台帐!K1071&lt;&gt;"",资金台帐!K1071=供应商对账单!$B$4,资金台帐!P1071="应付",ISNUMBER(资金台帐!B1071),资金台帐!B1071&gt;=供应商对账单!$G$4,资金台帐!B1071&lt;=供应商对账单!$I$4),资金台帐!B1071+ROW()/100000,"")</f>
      </c>
      <c r="N2568">
        <f>IF(AND(ISNUMBER(出库明细!G2568),ISNUMBER(出库明细!E2568),ISNUMBER(出库明细!F2568)),IF(ABS(出库明细!G2568-出库明细!E2568*出库明细!F2568)&gt;0.005,1,0),0)</f>
        <v>0</v>
      </c>
    </row>
    <row r="2569">
      <c r="A2569">
        <f>IF(OR(出库明细!C1569="",出库明细!D1569=""),"",IF(OR(COUNTIFS(存条明细!$C$4:$C$1003,出库明细!C1569,存条明细!$D$4:$D$1003,出库明细!D1569)&gt;0,COUNTIFS(出库明细!$C$4:C1569,出库明细!C1569,出库明细!$D$4:D1569,出库明细!D1569)&gt;1),"",IFERROR(MATCH(出库明细!C1569,总览汇总!$B$5:$B$304,0),900)*10000000+IFERROR(MATCH(出库明细!D1569,基础资料!$E$5:$E$104,0),900)*10000+ROW()))</f>
      </c>
      <c r="F2569">
        <f>IF(AND(出库明细!C2569&lt;&gt;"",出库明细!C2569=客户对账单!$B$4,ISNUMBER(出库明细!B2569),出库明细!B2569&gt;=客户对账单!$G$4,出库明细!B2569&lt;=客户对账单!$I$4),出库明细!B2569+ROW()/100000,"")</f>
      </c>
      <c r="H2569">
        <f>IF(AND(资金台帐!K1072&lt;&gt;"",资金台帐!K1072=供应商对账单!$B$4,资金台帐!P1072="应付",ISNUMBER(资金台帐!B1072),资金台帐!B1072&gt;=供应商对账单!$G$4,资金台帐!B1072&lt;=供应商对账单!$I$4),资金台帐!B1072+ROW()/100000,"")</f>
      </c>
      <c r="N2569">
        <f>IF(AND(ISNUMBER(出库明细!G2569),ISNUMBER(出库明细!E2569),ISNUMBER(出库明细!F2569)),IF(ABS(出库明细!G2569-出库明细!E2569*出库明细!F2569)&gt;0.005,1,0),0)</f>
        <v>0</v>
      </c>
    </row>
    <row r="2570">
      <c r="A2570">
        <f>IF(OR(出库明细!C1570="",出库明细!D1570=""),"",IF(OR(COUNTIFS(存条明细!$C$4:$C$1003,出库明细!C1570,存条明细!$D$4:$D$1003,出库明细!D1570)&gt;0,COUNTIFS(出库明细!$C$4:C1570,出库明细!C1570,出库明细!$D$4:D1570,出库明细!D1570)&gt;1),"",IFERROR(MATCH(出库明细!C1570,总览汇总!$B$5:$B$304,0),900)*10000000+IFERROR(MATCH(出库明细!D1570,基础资料!$E$5:$E$104,0),900)*10000+ROW()))</f>
      </c>
      <c r="F2570">
        <f>IF(AND(出库明细!C2570&lt;&gt;"",出库明细!C2570=客户对账单!$B$4,ISNUMBER(出库明细!B2570),出库明细!B2570&gt;=客户对账单!$G$4,出库明细!B2570&lt;=客户对账单!$I$4),出库明细!B2570+ROW()/100000,"")</f>
      </c>
      <c r="H2570">
        <f>IF(AND(资金台帐!K1073&lt;&gt;"",资金台帐!K1073=供应商对账单!$B$4,资金台帐!P1073="应付",ISNUMBER(资金台帐!B1073),资金台帐!B1073&gt;=供应商对账单!$G$4,资金台帐!B1073&lt;=供应商对账单!$I$4),资金台帐!B1073+ROW()/100000,"")</f>
      </c>
      <c r="N2570">
        <f>IF(AND(ISNUMBER(出库明细!G2570),ISNUMBER(出库明细!E2570),ISNUMBER(出库明细!F2570)),IF(ABS(出库明细!G2570-出库明细!E2570*出库明细!F2570)&gt;0.005,1,0),0)</f>
        <v>0</v>
      </c>
    </row>
    <row r="2571">
      <c r="A2571">
        <f>IF(OR(出库明细!C1571="",出库明细!D1571=""),"",IF(OR(COUNTIFS(存条明细!$C$4:$C$1003,出库明细!C1571,存条明细!$D$4:$D$1003,出库明细!D1571)&gt;0,COUNTIFS(出库明细!$C$4:C1571,出库明细!C1571,出库明细!$D$4:D1571,出库明细!D1571)&gt;1),"",IFERROR(MATCH(出库明细!C1571,总览汇总!$B$5:$B$304,0),900)*10000000+IFERROR(MATCH(出库明细!D1571,基础资料!$E$5:$E$104,0),900)*10000+ROW()))</f>
      </c>
      <c r="F2571">
        <f>IF(AND(出库明细!C2571&lt;&gt;"",出库明细!C2571=客户对账单!$B$4,ISNUMBER(出库明细!B2571),出库明细!B2571&gt;=客户对账单!$G$4,出库明细!B2571&lt;=客户对账单!$I$4),出库明细!B2571+ROW()/100000,"")</f>
      </c>
      <c r="H2571">
        <f>IF(AND(资金台帐!K1074&lt;&gt;"",资金台帐!K1074=供应商对账单!$B$4,资金台帐!P1074="应付",ISNUMBER(资金台帐!B1074),资金台帐!B1074&gt;=供应商对账单!$G$4,资金台帐!B1074&lt;=供应商对账单!$I$4),资金台帐!B1074+ROW()/100000,"")</f>
      </c>
      <c r="N2571">
        <f>IF(AND(ISNUMBER(出库明细!G2571),ISNUMBER(出库明细!E2571),ISNUMBER(出库明细!F2571)),IF(ABS(出库明细!G2571-出库明细!E2571*出库明细!F2571)&gt;0.005,1,0),0)</f>
        <v>0</v>
      </c>
    </row>
    <row r="2572">
      <c r="A2572">
        <f>IF(OR(出库明细!C1572="",出库明细!D1572=""),"",IF(OR(COUNTIFS(存条明细!$C$4:$C$1003,出库明细!C1572,存条明细!$D$4:$D$1003,出库明细!D1572)&gt;0,COUNTIFS(出库明细!$C$4:C1572,出库明细!C1572,出库明细!$D$4:D1572,出库明细!D1572)&gt;1),"",IFERROR(MATCH(出库明细!C1572,总览汇总!$B$5:$B$304,0),900)*10000000+IFERROR(MATCH(出库明细!D1572,基础资料!$E$5:$E$104,0),900)*10000+ROW()))</f>
      </c>
      <c r="F2572">
        <f>IF(AND(出库明细!C2572&lt;&gt;"",出库明细!C2572=客户对账单!$B$4,ISNUMBER(出库明细!B2572),出库明细!B2572&gt;=客户对账单!$G$4,出库明细!B2572&lt;=客户对账单!$I$4),出库明细!B2572+ROW()/100000,"")</f>
      </c>
      <c r="H2572">
        <f>IF(AND(资金台帐!K1075&lt;&gt;"",资金台帐!K1075=供应商对账单!$B$4,资金台帐!P1075="应付",ISNUMBER(资金台帐!B1075),资金台帐!B1075&gt;=供应商对账单!$G$4,资金台帐!B1075&lt;=供应商对账单!$I$4),资金台帐!B1075+ROW()/100000,"")</f>
      </c>
      <c r="N2572">
        <f>IF(AND(ISNUMBER(出库明细!G2572),ISNUMBER(出库明细!E2572),ISNUMBER(出库明细!F2572)),IF(ABS(出库明细!G2572-出库明细!E2572*出库明细!F2572)&gt;0.005,1,0),0)</f>
        <v>0</v>
      </c>
    </row>
    <row r="2573">
      <c r="A2573">
        <f>IF(OR(出库明细!C1573="",出库明细!D1573=""),"",IF(OR(COUNTIFS(存条明细!$C$4:$C$1003,出库明细!C1573,存条明细!$D$4:$D$1003,出库明细!D1573)&gt;0,COUNTIFS(出库明细!$C$4:C1573,出库明细!C1573,出库明细!$D$4:D1573,出库明细!D1573)&gt;1),"",IFERROR(MATCH(出库明细!C1573,总览汇总!$B$5:$B$304,0),900)*10000000+IFERROR(MATCH(出库明细!D1573,基础资料!$E$5:$E$104,0),900)*10000+ROW()))</f>
      </c>
      <c r="F2573">
        <f>IF(AND(出库明细!C2573&lt;&gt;"",出库明细!C2573=客户对账单!$B$4,ISNUMBER(出库明细!B2573),出库明细!B2573&gt;=客户对账单!$G$4,出库明细!B2573&lt;=客户对账单!$I$4),出库明细!B2573+ROW()/100000,"")</f>
      </c>
      <c r="H2573">
        <f>IF(AND(资金台帐!K1076&lt;&gt;"",资金台帐!K1076=供应商对账单!$B$4,资金台帐!P1076="应付",ISNUMBER(资金台帐!B1076),资金台帐!B1076&gt;=供应商对账单!$G$4,资金台帐!B1076&lt;=供应商对账单!$I$4),资金台帐!B1076+ROW()/100000,"")</f>
      </c>
      <c r="N2573">
        <f>IF(AND(ISNUMBER(出库明细!G2573),ISNUMBER(出库明细!E2573),ISNUMBER(出库明细!F2573)),IF(ABS(出库明细!G2573-出库明细!E2573*出库明细!F2573)&gt;0.005,1,0),0)</f>
        <v>0</v>
      </c>
    </row>
    <row r="2574">
      <c r="A2574">
        <f>IF(OR(出库明细!C1574="",出库明细!D1574=""),"",IF(OR(COUNTIFS(存条明细!$C$4:$C$1003,出库明细!C1574,存条明细!$D$4:$D$1003,出库明细!D1574)&gt;0,COUNTIFS(出库明细!$C$4:C1574,出库明细!C1574,出库明细!$D$4:D1574,出库明细!D1574)&gt;1),"",IFERROR(MATCH(出库明细!C1574,总览汇总!$B$5:$B$304,0),900)*10000000+IFERROR(MATCH(出库明细!D1574,基础资料!$E$5:$E$104,0),900)*10000+ROW()))</f>
      </c>
      <c r="F2574">
        <f>IF(AND(出库明细!C2574&lt;&gt;"",出库明细!C2574=客户对账单!$B$4,ISNUMBER(出库明细!B2574),出库明细!B2574&gt;=客户对账单!$G$4,出库明细!B2574&lt;=客户对账单!$I$4),出库明细!B2574+ROW()/100000,"")</f>
      </c>
      <c r="H2574">
        <f>IF(AND(资金台帐!K1077&lt;&gt;"",资金台帐!K1077=供应商对账单!$B$4,资金台帐!P1077="应付",ISNUMBER(资金台帐!B1077),资金台帐!B1077&gt;=供应商对账单!$G$4,资金台帐!B1077&lt;=供应商对账单!$I$4),资金台帐!B1077+ROW()/100000,"")</f>
      </c>
      <c r="N2574">
        <f>IF(AND(ISNUMBER(出库明细!G2574),ISNUMBER(出库明细!E2574),ISNUMBER(出库明细!F2574)),IF(ABS(出库明细!G2574-出库明细!E2574*出库明细!F2574)&gt;0.005,1,0),0)</f>
        <v>0</v>
      </c>
    </row>
    <row r="2575">
      <c r="A2575">
        <f>IF(OR(出库明细!C1575="",出库明细!D1575=""),"",IF(OR(COUNTIFS(存条明细!$C$4:$C$1003,出库明细!C1575,存条明细!$D$4:$D$1003,出库明细!D1575)&gt;0,COUNTIFS(出库明细!$C$4:C1575,出库明细!C1575,出库明细!$D$4:D1575,出库明细!D1575)&gt;1),"",IFERROR(MATCH(出库明细!C1575,总览汇总!$B$5:$B$304,0),900)*10000000+IFERROR(MATCH(出库明细!D1575,基础资料!$E$5:$E$104,0),900)*10000+ROW()))</f>
      </c>
      <c r="F2575">
        <f>IF(AND(出库明细!C2575&lt;&gt;"",出库明细!C2575=客户对账单!$B$4,ISNUMBER(出库明细!B2575),出库明细!B2575&gt;=客户对账单!$G$4,出库明细!B2575&lt;=客户对账单!$I$4),出库明细!B2575+ROW()/100000,"")</f>
      </c>
      <c r="H2575">
        <f>IF(AND(资金台帐!K1078&lt;&gt;"",资金台帐!K1078=供应商对账单!$B$4,资金台帐!P1078="应付",ISNUMBER(资金台帐!B1078),资金台帐!B1078&gt;=供应商对账单!$G$4,资金台帐!B1078&lt;=供应商对账单!$I$4),资金台帐!B1078+ROW()/100000,"")</f>
      </c>
      <c r="N2575">
        <f>IF(AND(ISNUMBER(出库明细!G2575),ISNUMBER(出库明细!E2575),ISNUMBER(出库明细!F2575)),IF(ABS(出库明细!G2575-出库明细!E2575*出库明细!F2575)&gt;0.005,1,0),0)</f>
        <v>0</v>
      </c>
    </row>
    <row r="2576">
      <c r="A2576">
        <f>IF(OR(出库明细!C1576="",出库明细!D1576=""),"",IF(OR(COUNTIFS(存条明细!$C$4:$C$1003,出库明细!C1576,存条明细!$D$4:$D$1003,出库明细!D1576)&gt;0,COUNTIFS(出库明细!$C$4:C1576,出库明细!C1576,出库明细!$D$4:D1576,出库明细!D1576)&gt;1),"",IFERROR(MATCH(出库明细!C1576,总览汇总!$B$5:$B$304,0),900)*10000000+IFERROR(MATCH(出库明细!D1576,基础资料!$E$5:$E$104,0),900)*10000+ROW()))</f>
      </c>
      <c r="F2576">
        <f>IF(AND(出库明细!C2576&lt;&gt;"",出库明细!C2576=客户对账单!$B$4,ISNUMBER(出库明细!B2576),出库明细!B2576&gt;=客户对账单!$G$4,出库明细!B2576&lt;=客户对账单!$I$4),出库明细!B2576+ROW()/100000,"")</f>
      </c>
      <c r="H2576">
        <f>IF(AND(资金台帐!K1079&lt;&gt;"",资金台帐!K1079=供应商对账单!$B$4,资金台帐!P1079="应付",ISNUMBER(资金台帐!B1079),资金台帐!B1079&gt;=供应商对账单!$G$4,资金台帐!B1079&lt;=供应商对账单!$I$4),资金台帐!B1079+ROW()/100000,"")</f>
      </c>
      <c r="N2576">
        <f>IF(AND(ISNUMBER(出库明细!G2576),ISNUMBER(出库明细!E2576),ISNUMBER(出库明细!F2576)),IF(ABS(出库明细!G2576-出库明细!E2576*出库明细!F2576)&gt;0.005,1,0),0)</f>
        <v>0</v>
      </c>
    </row>
    <row r="2577">
      <c r="A2577">
        <f>IF(OR(出库明细!C1577="",出库明细!D1577=""),"",IF(OR(COUNTIFS(存条明细!$C$4:$C$1003,出库明细!C1577,存条明细!$D$4:$D$1003,出库明细!D1577)&gt;0,COUNTIFS(出库明细!$C$4:C1577,出库明细!C1577,出库明细!$D$4:D1577,出库明细!D1577)&gt;1),"",IFERROR(MATCH(出库明细!C1577,总览汇总!$B$5:$B$304,0),900)*10000000+IFERROR(MATCH(出库明细!D1577,基础资料!$E$5:$E$104,0),900)*10000+ROW()))</f>
      </c>
      <c r="F2577">
        <f>IF(AND(出库明细!C2577&lt;&gt;"",出库明细!C2577=客户对账单!$B$4,ISNUMBER(出库明细!B2577),出库明细!B2577&gt;=客户对账单!$G$4,出库明细!B2577&lt;=客户对账单!$I$4),出库明细!B2577+ROW()/100000,"")</f>
      </c>
      <c r="H2577">
        <f>IF(AND(资金台帐!K1080&lt;&gt;"",资金台帐!K1080=供应商对账单!$B$4,资金台帐!P1080="应付",ISNUMBER(资金台帐!B1080),资金台帐!B1080&gt;=供应商对账单!$G$4,资金台帐!B1080&lt;=供应商对账单!$I$4),资金台帐!B1080+ROW()/100000,"")</f>
      </c>
      <c r="N2577">
        <f>IF(AND(ISNUMBER(出库明细!G2577),ISNUMBER(出库明细!E2577),ISNUMBER(出库明细!F2577)),IF(ABS(出库明细!G2577-出库明细!E2577*出库明细!F2577)&gt;0.005,1,0),0)</f>
        <v>0</v>
      </c>
    </row>
    <row r="2578">
      <c r="A2578">
        <f>IF(OR(出库明细!C1578="",出库明细!D1578=""),"",IF(OR(COUNTIFS(存条明细!$C$4:$C$1003,出库明细!C1578,存条明细!$D$4:$D$1003,出库明细!D1578)&gt;0,COUNTIFS(出库明细!$C$4:C1578,出库明细!C1578,出库明细!$D$4:D1578,出库明细!D1578)&gt;1),"",IFERROR(MATCH(出库明细!C1578,总览汇总!$B$5:$B$304,0),900)*10000000+IFERROR(MATCH(出库明细!D1578,基础资料!$E$5:$E$104,0),900)*10000+ROW()))</f>
      </c>
      <c r="F2578">
        <f>IF(AND(出库明细!C2578&lt;&gt;"",出库明细!C2578=客户对账单!$B$4,ISNUMBER(出库明细!B2578),出库明细!B2578&gt;=客户对账单!$G$4,出库明细!B2578&lt;=客户对账单!$I$4),出库明细!B2578+ROW()/100000,"")</f>
      </c>
      <c r="H2578">
        <f>IF(AND(资金台帐!K1081&lt;&gt;"",资金台帐!K1081=供应商对账单!$B$4,资金台帐!P1081="应付",ISNUMBER(资金台帐!B1081),资金台帐!B1081&gt;=供应商对账单!$G$4,资金台帐!B1081&lt;=供应商对账单!$I$4),资金台帐!B1081+ROW()/100000,"")</f>
      </c>
      <c r="N2578">
        <f>IF(AND(ISNUMBER(出库明细!G2578),ISNUMBER(出库明细!E2578),ISNUMBER(出库明细!F2578)),IF(ABS(出库明细!G2578-出库明细!E2578*出库明细!F2578)&gt;0.005,1,0),0)</f>
        <v>0</v>
      </c>
    </row>
    <row r="2579">
      <c r="A2579">
        <f>IF(OR(出库明细!C1579="",出库明细!D1579=""),"",IF(OR(COUNTIFS(存条明细!$C$4:$C$1003,出库明细!C1579,存条明细!$D$4:$D$1003,出库明细!D1579)&gt;0,COUNTIFS(出库明细!$C$4:C1579,出库明细!C1579,出库明细!$D$4:D1579,出库明细!D1579)&gt;1),"",IFERROR(MATCH(出库明细!C1579,总览汇总!$B$5:$B$304,0),900)*10000000+IFERROR(MATCH(出库明细!D1579,基础资料!$E$5:$E$104,0),900)*10000+ROW()))</f>
      </c>
      <c r="F2579">
        <f>IF(AND(出库明细!C2579&lt;&gt;"",出库明细!C2579=客户对账单!$B$4,ISNUMBER(出库明细!B2579),出库明细!B2579&gt;=客户对账单!$G$4,出库明细!B2579&lt;=客户对账单!$I$4),出库明细!B2579+ROW()/100000,"")</f>
      </c>
      <c r="H2579">
        <f>IF(AND(资金台帐!K1082&lt;&gt;"",资金台帐!K1082=供应商对账单!$B$4,资金台帐!P1082="应付",ISNUMBER(资金台帐!B1082),资金台帐!B1082&gt;=供应商对账单!$G$4,资金台帐!B1082&lt;=供应商对账单!$I$4),资金台帐!B1082+ROW()/100000,"")</f>
      </c>
      <c r="N2579">
        <f>IF(AND(ISNUMBER(出库明细!G2579),ISNUMBER(出库明细!E2579),ISNUMBER(出库明细!F2579)),IF(ABS(出库明细!G2579-出库明细!E2579*出库明细!F2579)&gt;0.005,1,0),0)</f>
        <v>0</v>
      </c>
    </row>
    <row r="2580">
      <c r="A2580">
        <f>IF(OR(出库明细!C1580="",出库明细!D1580=""),"",IF(OR(COUNTIFS(存条明细!$C$4:$C$1003,出库明细!C1580,存条明细!$D$4:$D$1003,出库明细!D1580)&gt;0,COUNTIFS(出库明细!$C$4:C1580,出库明细!C1580,出库明细!$D$4:D1580,出库明细!D1580)&gt;1),"",IFERROR(MATCH(出库明细!C1580,总览汇总!$B$5:$B$304,0),900)*10000000+IFERROR(MATCH(出库明细!D1580,基础资料!$E$5:$E$104,0),900)*10000+ROW()))</f>
      </c>
      <c r="F2580">
        <f>IF(AND(出库明细!C2580&lt;&gt;"",出库明细!C2580=客户对账单!$B$4,ISNUMBER(出库明细!B2580),出库明细!B2580&gt;=客户对账单!$G$4,出库明细!B2580&lt;=客户对账单!$I$4),出库明细!B2580+ROW()/100000,"")</f>
      </c>
      <c r="H2580">
        <f>IF(AND(资金台帐!K1083&lt;&gt;"",资金台帐!K1083=供应商对账单!$B$4,资金台帐!P1083="应付",ISNUMBER(资金台帐!B1083),资金台帐!B1083&gt;=供应商对账单!$G$4,资金台帐!B1083&lt;=供应商对账单!$I$4),资金台帐!B1083+ROW()/100000,"")</f>
      </c>
      <c r="N2580">
        <f>IF(AND(ISNUMBER(出库明细!G2580),ISNUMBER(出库明细!E2580),ISNUMBER(出库明细!F2580)),IF(ABS(出库明细!G2580-出库明细!E2580*出库明细!F2580)&gt;0.005,1,0),0)</f>
        <v>0</v>
      </c>
    </row>
    <row r="2581">
      <c r="A2581">
        <f>IF(OR(出库明细!C1581="",出库明细!D1581=""),"",IF(OR(COUNTIFS(存条明细!$C$4:$C$1003,出库明细!C1581,存条明细!$D$4:$D$1003,出库明细!D1581)&gt;0,COUNTIFS(出库明细!$C$4:C1581,出库明细!C1581,出库明细!$D$4:D1581,出库明细!D1581)&gt;1),"",IFERROR(MATCH(出库明细!C1581,总览汇总!$B$5:$B$304,0),900)*10000000+IFERROR(MATCH(出库明细!D1581,基础资料!$E$5:$E$104,0),900)*10000+ROW()))</f>
      </c>
      <c r="F2581">
        <f>IF(AND(出库明细!C2581&lt;&gt;"",出库明细!C2581=客户对账单!$B$4,ISNUMBER(出库明细!B2581),出库明细!B2581&gt;=客户对账单!$G$4,出库明细!B2581&lt;=客户对账单!$I$4),出库明细!B2581+ROW()/100000,"")</f>
      </c>
      <c r="H2581">
        <f>IF(AND(资金台帐!K1084&lt;&gt;"",资金台帐!K1084=供应商对账单!$B$4,资金台帐!P1084="应付",ISNUMBER(资金台帐!B1084),资金台帐!B1084&gt;=供应商对账单!$G$4,资金台帐!B1084&lt;=供应商对账单!$I$4),资金台帐!B1084+ROW()/100000,"")</f>
      </c>
      <c r="N2581">
        <f>IF(AND(ISNUMBER(出库明细!G2581),ISNUMBER(出库明细!E2581),ISNUMBER(出库明细!F2581)),IF(ABS(出库明细!G2581-出库明细!E2581*出库明细!F2581)&gt;0.005,1,0),0)</f>
        <v>0</v>
      </c>
    </row>
    <row r="2582">
      <c r="A2582">
        <f>IF(OR(出库明细!C1582="",出库明细!D1582=""),"",IF(OR(COUNTIFS(存条明细!$C$4:$C$1003,出库明细!C1582,存条明细!$D$4:$D$1003,出库明细!D1582)&gt;0,COUNTIFS(出库明细!$C$4:C1582,出库明细!C1582,出库明细!$D$4:D1582,出库明细!D1582)&gt;1),"",IFERROR(MATCH(出库明细!C1582,总览汇总!$B$5:$B$304,0),900)*10000000+IFERROR(MATCH(出库明细!D1582,基础资料!$E$5:$E$104,0),900)*10000+ROW()))</f>
      </c>
      <c r="F2582">
        <f>IF(AND(出库明细!C2582&lt;&gt;"",出库明细!C2582=客户对账单!$B$4,ISNUMBER(出库明细!B2582),出库明细!B2582&gt;=客户对账单!$G$4,出库明细!B2582&lt;=客户对账单!$I$4),出库明细!B2582+ROW()/100000,"")</f>
      </c>
      <c r="H2582">
        <f>IF(AND(资金台帐!K1085&lt;&gt;"",资金台帐!K1085=供应商对账单!$B$4,资金台帐!P1085="应付",ISNUMBER(资金台帐!B1085),资金台帐!B1085&gt;=供应商对账单!$G$4,资金台帐!B1085&lt;=供应商对账单!$I$4),资金台帐!B1085+ROW()/100000,"")</f>
      </c>
      <c r="N2582">
        <f>IF(AND(ISNUMBER(出库明细!G2582),ISNUMBER(出库明细!E2582),ISNUMBER(出库明细!F2582)),IF(ABS(出库明细!G2582-出库明细!E2582*出库明细!F2582)&gt;0.005,1,0),0)</f>
        <v>0</v>
      </c>
    </row>
    <row r="2583">
      <c r="A2583">
        <f>IF(OR(出库明细!C1583="",出库明细!D1583=""),"",IF(OR(COUNTIFS(存条明细!$C$4:$C$1003,出库明细!C1583,存条明细!$D$4:$D$1003,出库明细!D1583)&gt;0,COUNTIFS(出库明细!$C$4:C1583,出库明细!C1583,出库明细!$D$4:D1583,出库明细!D1583)&gt;1),"",IFERROR(MATCH(出库明细!C1583,总览汇总!$B$5:$B$304,0),900)*10000000+IFERROR(MATCH(出库明细!D1583,基础资料!$E$5:$E$104,0),900)*10000+ROW()))</f>
      </c>
      <c r="F2583">
        <f>IF(AND(出库明细!C2583&lt;&gt;"",出库明细!C2583=客户对账单!$B$4,ISNUMBER(出库明细!B2583),出库明细!B2583&gt;=客户对账单!$G$4,出库明细!B2583&lt;=客户对账单!$I$4),出库明细!B2583+ROW()/100000,"")</f>
      </c>
      <c r="H2583">
        <f>IF(AND(资金台帐!K1086&lt;&gt;"",资金台帐!K1086=供应商对账单!$B$4,资金台帐!P1086="应付",ISNUMBER(资金台帐!B1086),资金台帐!B1086&gt;=供应商对账单!$G$4,资金台帐!B1086&lt;=供应商对账单!$I$4),资金台帐!B1086+ROW()/100000,"")</f>
      </c>
      <c r="N2583">
        <f>IF(AND(ISNUMBER(出库明细!G2583),ISNUMBER(出库明细!E2583),ISNUMBER(出库明细!F2583)),IF(ABS(出库明细!G2583-出库明细!E2583*出库明细!F2583)&gt;0.005,1,0),0)</f>
        <v>0</v>
      </c>
    </row>
    <row r="2584">
      <c r="A2584">
        <f>IF(OR(出库明细!C1584="",出库明细!D1584=""),"",IF(OR(COUNTIFS(存条明细!$C$4:$C$1003,出库明细!C1584,存条明细!$D$4:$D$1003,出库明细!D1584)&gt;0,COUNTIFS(出库明细!$C$4:C1584,出库明细!C1584,出库明细!$D$4:D1584,出库明细!D1584)&gt;1),"",IFERROR(MATCH(出库明细!C1584,总览汇总!$B$5:$B$304,0),900)*10000000+IFERROR(MATCH(出库明细!D1584,基础资料!$E$5:$E$104,0),900)*10000+ROW()))</f>
      </c>
      <c r="F2584">
        <f>IF(AND(出库明细!C2584&lt;&gt;"",出库明细!C2584=客户对账单!$B$4,ISNUMBER(出库明细!B2584),出库明细!B2584&gt;=客户对账单!$G$4,出库明细!B2584&lt;=客户对账单!$I$4),出库明细!B2584+ROW()/100000,"")</f>
      </c>
      <c r="H2584">
        <f>IF(AND(资金台帐!K1087&lt;&gt;"",资金台帐!K1087=供应商对账单!$B$4,资金台帐!P1087="应付",ISNUMBER(资金台帐!B1087),资金台帐!B1087&gt;=供应商对账单!$G$4,资金台帐!B1087&lt;=供应商对账单!$I$4),资金台帐!B1087+ROW()/100000,"")</f>
      </c>
      <c r="N2584">
        <f>IF(AND(ISNUMBER(出库明细!G2584),ISNUMBER(出库明细!E2584),ISNUMBER(出库明细!F2584)),IF(ABS(出库明细!G2584-出库明细!E2584*出库明细!F2584)&gt;0.005,1,0),0)</f>
        <v>0</v>
      </c>
    </row>
    <row r="2585">
      <c r="A2585">
        <f>IF(OR(出库明细!C1585="",出库明细!D1585=""),"",IF(OR(COUNTIFS(存条明细!$C$4:$C$1003,出库明细!C1585,存条明细!$D$4:$D$1003,出库明细!D1585)&gt;0,COUNTIFS(出库明细!$C$4:C1585,出库明细!C1585,出库明细!$D$4:D1585,出库明细!D1585)&gt;1),"",IFERROR(MATCH(出库明细!C1585,总览汇总!$B$5:$B$304,0),900)*10000000+IFERROR(MATCH(出库明细!D1585,基础资料!$E$5:$E$104,0),900)*10000+ROW()))</f>
      </c>
      <c r="F2585">
        <f>IF(AND(出库明细!C2585&lt;&gt;"",出库明细!C2585=客户对账单!$B$4,ISNUMBER(出库明细!B2585),出库明细!B2585&gt;=客户对账单!$G$4,出库明细!B2585&lt;=客户对账单!$I$4),出库明细!B2585+ROW()/100000,"")</f>
      </c>
      <c r="H2585">
        <f>IF(AND(资金台帐!K1088&lt;&gt;"",资金台帐!K1088=供应商对账单!$B$4,资金台帐!P1088="应付",ISNUMBER(资金台帐!B1088),资金台帐!B1088&gt;=供应商对账单!$G$4,资金台帐!B1088&lt;=供应商对账单!$I$4),资金台帐!B1088+ROW()/100000,"")</f>
      </c>
      <c r="N2585">
        <f>IF(AND(ISNUMBER(出库明细!G2585),ISNUMBER(出库明细!E2585),ISNUMBER(出库明细!F2585)),IF(ABS(出库明细!G2585-出库明细!E2585*出库明细!F2585)&gt;0.005,1,0),0)</f>
        <v>0</v>
      </c>
    </row>
    <row r="2586">
      <c r="A2586">
        <f>IF(OR(出库明细!C1586="",出库明细!D1586=""),"",IF(OR(COUNTIFS(存条明细!$C$4:$C$1003,出库明细!C1586,存条明细!$D$4:$D$1003,出库明细!D1586)&gt;0,COUNTIFS(出库明细!$C$4:C1586,出库明细!C1586,出库明细!$D$4:D1586,出库明细!D1586)&gt;1),"",IFERROR(MATCH(出库明细!C1586,总览汇总!$B$5:$B$304,0),900)*10000000+IFERROR(MATCH(出库明细!D1586,基础资料!$E$5:$E$104,0),900)*10000+ROW()))</f>
      </c>
      <c r="F2586">
        <f>IF(AND(出库明细!C2586&lt;&gt;"",出库明细!C2586=客户对账单!$B$4,ISNUMBER(出库明细!B2586),出库明细!B2586&gt;=客户对账单!$G$4,出库明细!B2586&lt;=客户对账单!$I$4),出库明细!B2586+ROW()/100000,"")</f>
      </c>
      <c r="H2586">
        <f>IF(AND(资金台帐!K1089&lt;&gt;"",资金台帐!K1089=供应商对账单!$B$4,资金台帐!P1089="应付",ISNUMBER(资金台帐!B1089),资金台帐!B1089&gt;=供应商对账单!$G$4,资金台帐!B1089&lt;=供应商对账单!$I$4),资金台帐!B1089+ROW()/100000,"")</f>
      </c>
      <c r="N2586">
        <f>IF(AND(ISNUMBER(出库明细!G2586),ISNUMBER(出库明细!E2586),ISNUMBER(出库明细!F2586)),IF(ABS(出库明细!G2586-出库明细!E2586*出库明细!F2586)&gt;0.005,1,0),0)</f>
        <v>0</v>
      </c>
    </row>
    <row r="2587">
      <c r="A2587">
        <f>IF(OR(出库明细!C1587="",出库明细!D1587=""),"",IF(OR(COUNTIFS(存条明细!$C$4:$C$1003,出库明细!C1587,存条明细!$D$4:$D$1003,出库明细!D1587)&gt;0,COUNTIFS(出库明细!$C$4:C1587,出库明细!C1587,出库明细!$D$4:D1587,出库明细!D1587)&gt;1),"",IFERROR(MATCH(出库明细!C1587,总览汇总!$B$5:$B$304,0),900)*10000000+IFERROR(MATCH(出库明细!D1587,基础资料!$E$5:$E$104,0),900)*10000+ROW()))</f>
      </c>
      <c r="F2587">
        <f>IF(AND(出库明细!C2587&lt;&gt;"",出库明细!C2587=客户对账单!$B$4,ISNUMBER(出库明细!B2587),出库明细!B2587&gt;=客户对账单!$G$4,出库明细!B2587&lt;=客户对账单!$I$4),出库明细!B2587+ROW()/100000,"")</f>
      </c>
      <c r="H2587">
        <f>IF(AND(资金台帐!K1090&lt;&gt;"",资金台帐!K1090=供应商对账单!$B$4,资金台帐!P1090="应付",ISNUMBER(资金台帐!B1090),资金台帐!B1090&gt;=供应商对账单!$G$4,资金台帐!B1090&lt;=供应商对账单!$I$4),资金台帐!B1090+ROW()/100000,"")</f>
      </c>
      <c r="N2587">
        <f>IF(AND(ISNUMBER(出库明细!G2587),ISNUMBER(出库明细!E2587),ISNUMBER(出库明细!F2587)),IF(ABS(出库明细!G2587-出库明细!E2587*出库明细!F2587)&gt;0.005,1,0),0)</f>
        <v>0</v>
      </c>
    </row>
    <row r="2588">
      <c r="A2588">
        <f>IF(OR(出库明细!C1588="",出库明细!D1588=""),"",IF(OR(COUNTIFS(存条明细!$C$4:$C$1003,出库明细!C1588,存条明细!$D$4:$D$1003,出库明细!D1588)&gt;0,COUNTIFS(出库明细!$C$4:C1588,出库明细!C1588,出库明细!$D$4:D1588,出库明细!D1588)&gt;1),"",IFERROR(MATCH(出库明细!C1588,总览汇总!$B$5:$B$304,0),900)*10000000+IFERROR(MATCH(出库明细!D1588,基础资料!$E$5:$E$104,0),900)*10000+ROW()))</f>
      </c>
      <c r="F2588">
        <f>IF(AND(出库明细!C2588&lt;&gt;"",出库明细!C2588=客户对账单!$B$4,ISNUMBER(出库明细!B2588),出库明细!B2588&gt;=客户对账单!$G$4,出库明细!B2588&lt;=客户对账单!$I$4),出库明细!B2588+ROW()/100000,"")</f>
      </c>
      <c r="H2588">
        <f>IF(AND(资金台帐!K1091&lt;&gt;"",资金台帐!K1091=供应商对账单!$B$4,资金台帐!P1091="应付",ISNUMBER(资金台帐!B1091),资金台帐!B1091&gt;=供应商对账单!$G$4,资金台帐!B1091&lt;=供应商对账单!$I$4),资金台帐!B1091+ROW()/100000,"")</f>
      </c>
      <c r="N2588">
        <f>IF(AND(ISNUMBER(出库明细!G2588),ISNUMBER(出库明细!E2588),ISNUMBER(出库明细!F2588)),IF(ABS(出库明细!G2588-出库明细!E2588*出库明细!F2588)&gt;0.005,1,0),0)</f>
        <v>0</v>
      </c>
    </row>
    <row r="2589">
      <c r="A2589">
        <f>IF(OR(出库明细!C1589="",出库明细!D1589=""),"",IF(OR(COUNTIFS(存条明细!$C$4:$C$1003,出库明细!C1589,存条明细!$D$4:$D$1003,出库明细!D1589)&gt;0,COUNTIFS(出库明细!$C$4:C1589,出库明细!C1589,出库明细!$D$4:D1589,出库明细!D1589)&gt;1),"",IFERROR(MATCH(出库明细!C1589,总览汇总!$B$5:$B$304,0),900)*10000000+IFERROR(MATCH(出库明细!D1589,基础资料!$E$5:$E$104,0),900)*10000+ROW()))</f>
      </c>
      <c r="F2589">
        <f>IF(AND(出库明细!C2589&lt;&gt;"",出库明细!C2589=客户对账单!$B$4,ISNUMBER(出库明细!B2589),出库明细!B2589&gt;=客户对账单!$G$4,出库明细!B2589&lt;=客户对账单!$I$4),出库明细!B2589+ROW()/100000,"")</f>
      </c>
      <c r="H2589">
        <f>IF(AND(资金台帐!K1092&lt;&gt;"",资金台帐!K1092=供应商对账单!$B$4,资金台帐!P1092="应付",ISNUMBER(资金台帐!B1092),资金台帐!B1092&gt;=供应商对账单!$G$4,资金台帐!B1092&lt;=供应商对账单!$I$4),资金台帐!B1092+ROW()/100000,"")</f>
      </c>
      <c r="N2589">
        <f>IF(AND(ISNUMBER(出库明细!G2589),ISNUMBER(出库明细!E2589),ISNUMBER(出库明细!F2589)),IF(ABS(出库明细!G2589-出库明细!E2589*出库明细!F2589)&gt;0.005,1,0),0)</f>
        <v>0</v>
      </c>
    </row>
    <row r="2590">
      <c r="A2590">
        <f>IF(OR(出库明细!C1590="",出库明细!D1590=""),"",IF(OR(COUNTIFS(存条明细!$C$4:$C$1003,出库明细!C1590,存条明细!$D$4:$D$1003,出库明细!D1590)&gt;0,COUNTIFS(出库明细!$C$4:C1590,出库明细!C1590,出库明细!$D$4:D1590,出库明细!D1590)&gt;1),"",IFERROR(MATCH(出库明细!C1590,总览汇总!$B$5:$B$304,0),900)*10000000+IFERROR(MATCH(出库明细!D1590,基础资料!$E$5:$E$104,0),900)*10000+ROW()))</f>
      </c>
      <c r="F2590">
        <f>IF(AND(出库明细!C2590&lt;&gt;"",出库明细!C2590=客户对账单!$B$4,ISNUMBER(出库明细!B2590),出库明细!B2590&gt;=客户对账单!$G$4,出库明细!B2590&lt;=客户对账单!$I$4),出库明细!B2590+ROW()/100000,"")</f>
      </c>
      <c r="H2590">
        <f>IF(AND(资金台帐!K1093&lt;&gt;"",资金台帐!K1093=供应商对账单!$B$4,资金台帐!P1093="应付",ISNUMBER(资金台帐!B1093),资金台帐!B1093&gt;=供应商对账单!$G$4,资金台帐!B1093&lt;=供应商对账单!$I$4),资金台帐!B1093+ROW()/100000,"")</f>
      </c>
      <c r="N2590">
        <f>IF(AND(ISNUMBER(出库明细!G2590),ISNUMBER(出库明细!E2590),ISNUMBER(出库明细!F2590)),IF(ABS(出库明细!G2590-出库明细!E2590*出库明细!F2590)&gt;0.005,1,0),0)</f>
        <v>0</v>
      </c>
    </row>
    <row r="2591">
      <c r="A2591">
        <f>IF(OR(出库明细!C1591="",出库明细!D1591=""),"",IF(OR(COUNTIFS(存条明细!$C$4:$C$1003,出库明细!C1591,存条明细!$D$4:$D$1003,出库明细!D1591)&gt;0,COUNTIFS(出库明细!$C$4:C1591,出库明细!C1591,出库明细!$D$4:D1591,出库明细!D1591)&gt;1),"",IFERROR(MATCH(出库明细!C1591,总览汇总!$B$5:$B$304,0),900)*10000000+IFERROR(MATCH(出库明细!D1591,基础资料!$E$5:$E$104,0),900)*10000+ROW()))</f>
      </c>
      <c r="F2591">
        <f>IF(AND(出库明细!C2591&lt;&gt;"",出库明细!C2591=客户对账单!$B$4,ISNUMBER(出库明细!B2591),出库明细!B2591&gt;=客户对账单!$G$4,出库明细!B2591&lt;=客户对账单!$I$4),出库明细!B2591+ROW()/100000,"")</f>
      </c>
      <c r="H2591">
        <f>IF(AND(资金台帐!K1094&lt;&gt;"",资金台帐!K1094=供应商对账单!$B$4,资金台帐!P1094="应付",ISNUMBER(资金台帐!B1094),资金台帐!B1094&gt;=供应商对账单!$G$4,资金台帐!B1094&lt;=供应商对账单!$I$4),资金台帐!B1094+ROW()/100000,"")</f>
      </c>
      <c r="N2591">
        <f>IF(AND(ISNUMBER(出库明细!G2591),ISNUMBER(出库明细!E2591),ISNUMBER(出库明细!F2591)),IF(ABS(出库明细!G2591-出库明细!E2591*出库明细!F2591)&gt;0.005,1,0),0)</f>
        <v>0</v>
      </c>
    </row>
    <row r="2592">
      <c r="A2592">
        <f>IF(OR(出库明细!C1592="",出库明细!D1592=""),"",IF(OR(COUNTIFS(存条明细!$C$4:$C$1003,出库明细!C1592,存条明细!$D$4:$D$1003,出库明细!D1592)&gt;0,COUNTIFS(出库明细!$C$4:C1592,出库明细!C1592,出库明细!$D$4:D1592,出库明细!D1592)&gt;1),"",IFERROR(MATCH(出库明细!C1592,总览汇总!$B$5:$B$304,0),900)*10000000+IFERROR(MATCH(出库明细!D1592,基础资料!$E$5:$E$104,0),900)*10000+ROW()))</f>
      </c>
      <c r="F2592">
        <f>IF(AND(出库明细!C2592&lt;&gt;"",出库明细!C2592=客户对账单!$B$4,ISNUMBER(出库明细!B2592),出库明细!B2592&gt;=客户对账单!$G$4,出库明细!B2592&lt;=客户对账单!$I$4),出库明细!B2592+ROW()/100000,"")</f>
      </c>
      <c r="H2592">
        <f>IF(AND(资金台帐!K1095&lt;&gt;"",资金台帐!K1095=供应商对账单!$B$4,资金台帐!P1095="应付",ISNUMBER(资金台帐!B1095),资金台帐!B1095&gt;=供应商对账单!$G$4,资金台帐!B1095&lt;=供应商对账单!$I$4),资金台帐!B1095+ROW()/100000,"")</f>
      </c>
      <c r="N2592">
        <f>IF(AND(ISNUMBER(出库明细!G2592),ISNUMBER(出库明细!E2592),ISNUMBER(出库明细!F2592)),IF(ABS(出库明细!G2592-出库明细!E2592*出库明细!F2592)&gt;0.005,1,0),0)</f>
        <v>0</v>
      </c>
    </row>
    <row r="2593">
      <c r="A2593">
        <f>IF(OR(出库明细!C1593="",出库明细!D1593=""),"",IF(OR(COUNTIFS(存条明细!$C$4:$C$1003,出库明细!C1593,存条明细!$D$4:$D$1003,出库明细!D1593)&gt;0,COUNTIFS(出库明细!$C$4:C1593,出库明细!C1593,出库明细!$D$4:D1593,出库明细!D1593)&gt;1),"",IFERROR(MATCH(出库明细!C1593,总览汇总!$B$5:$B$304,0),900)*10000000+IFERROR(MATCH(出库明细!D1593,基础资料!$E$5:$E$104,0),900)*10000+ROW()))</f>
      </c>
      <c r="F2593">
        <f>IF(AND(出库明细!C2593&lt;&gt;"",出库明细!C2593=客户对账单!$B$4,ISNUMBER(出库明细!B2593),出库明细!B2593&gt;=客户对账单!$G$4,出库明细!B2593&lt;=客户对账单!$I$4),出库明细!B2593+ROW()/100000,"")</f>
      </c>
      <c r="H2593">
        <f>IF(AND(资金台帐!K1096&lt;&gt;"",资金台帐!K1096=供应商对账单!$B$4,资金台帐!P1096="应付",ISNUMBER(资金台帐!B1096),资金台帐!B1096&gt;=供应商对账单!$G$4,资金台帐!B1096&lt;=供应商对账单!$I$4),资金台帐!B1096+ROW()/100000,"")</f>
      </c>
      <c r="N2593">
        <f>IF(AND(ISNUMBER(出库明细!G2593),ISNUMBER(出库明细!E2593),ISNUMBER(出库明细!F2593)),IF(ABS(出库明细!G2593-出库明细!E2593*出库明细!F2593)&gt;0.005,1,0),0)</f>
        <v>0</v>
      </c>
    </row>
    <row r="2594">
      <c r="A2594">
        <f>IF(OR(出库明细!C1594="",出库明细!D1594=""),"",IF(OR(COUNTIFS(存条明细!$C$4:$C$1003,出库明细!C1594,存条明细!$D$4:$D$1003,出库明细!D1594)&gt;0,COUNTIFS(出库明细!$C$4:C1594,出库明细!C1594,出库明细!$D$4:D1594,出库明细!D1594)&gt;1),"",IFERROR(MATCH(出库明细!C1594,总览汇总!$B$5:$B$304,0),900)*10000000+IFERROR(MATCH(出库明细!D1594,基础资料!$E$5:$E$104,0),900)*10000+ROW()))</f>
      </c>
      <c r="F2594">
        <f>IF(AND(出库明细!C2594&lt;&gt;"",出库明细!C2594=客户对账单!$B$4,ISNUMBER(出库明细!B2594),出库明细!B2594&gt;=客户对账单!$G$4,出库明细!B2594&lt;=客户对账单!$I$4),出库明细!B2594+ROW()/100000,"")</f>
      </c>
      <c r="H2594">
        <f>IF(AND(资金台帐!K1097&lt;&gt;"",资金台帐!K1097=供应商对账单!$B$4,资金台帐!P1097="应付",ISNUMBER(资金台帐!B1097),资金台帐!B1097&gt;=供应商对账单!$G$4,资金台帐!B1097&lt;=供应商对账单!$I$4),资金台帐!B1097+ROW()/100000,"")</f>
      </c>
      <c r="N2594">
        <f>IF(AND(ISNUMBER(出库明细!G2594),ISNUMBER(出库明细!E2594),ISNUMBER(出库明细!F2594)),IF(ABS(出库明细!G2594-出库明细!E2594*出库明细!F2594)&gt;0.005,1,0),0)</f>
        <v>0</v>
      </c>
    </row>
    <row r="2595">
      <c r="A2595">
        <f>IF(OR(出库明细!C1595="",出库明细!D1595=""),"",IF(OR(COUNTIFS(存条明细!$C$4:$C$1003,出库明细!C1595,存条明细!$D$4:$D$1003,出库明细!D1595)&gt;0,COUNTIFS(出库明细!$C$4:C1595,出库明细!C1595,出库明细!$D$4:D1595,出库明细!D1595)&gt;1),"",IFERROR(MATCH(出库明细!C1595,总览汇总!$B$5:$B$304,0),900)*10000000+IFERROR(MATCH(出库明细!D1595,基础资料!$E$5:$E$104,0),900)*10000+ROW()))</f>
      </c>
      <c r="F2595">
        <f>IF(AND(出库明细!C2595&lt;&gt;"",出库明细!C2595=客户对账单!$B$4,ISNUMBER(出库明细!B2595),出库明细!B2595&gt;=客户对账单!$G$4,出库明细!B2595&lt;=客户对账单!$I$4),出库明细!B2595+ROW()/100000,"")</f>
      </c>
      <c r="H2595">
        <f>IF(AND(资金台帐!K1098&lt;&gt;"",资金台帐!K1098=供应商对账单!$B$4,资金台帐!P1098="应付",ISNUMBER(资金台帐!B1098),资金台帐!B1098&gt;=供应商对账单!$G$4,资金台帐!B1098&lt;=供应商对账单!$I$4),资金台帐!B1098+ROW()/100000,"")</f>
      </c>
      <c r="N2595">
        <f>IF(AND(ISNUMBER(出库明细!G2595),ISNUMBER(出库明细!E2595),ISNUMBER(出库明细!F2595)),IF(ABS(出库明细!G2595-出库明细!E2595*出库明细!F2595)&gt;0.005,1,0),0)</f>
        <v>0</v>
      </c>
    </row>
    <row r="2596">
      <c r="A2596">
        <f>IF(OR(出库明细!C1596="",出库明细!D1596=""),"",IF(OR(COUNTIFS(存条明细!$C$4:$C$1003,出库明细!C1596,存条明细!$D$4:$D$1003,出库明细!D1596)&gt;0,COUNTIFS(出库明细!$C$4:C1596,出库明细!C1596,出库明细!$D$4:D1596,出库明细!D1596)&gt;1),"",IFERROR(MATCH(出库明细!C1596,总览汇总!$B$5:$B$304,0),900)*10000000+IFERROR(MATCH(出库明细!D1596,基础资料!$E$5:$E$104,0),900)*10000+ROW()))</f>
      </c>
      <c r="F2596">
        <f>IF(AND(出库明细!C2596&lt;&gt;"",出库明细!C2596=客户对账单!$B$4,ISNUMBER(出库明细!B2596),出库明细!B2596&gt;=客户对账单!$G$4,出库明细!B2596&lt;=客户对账单!$I$4),出库明细!B2596+ROW()/100000,"")</f>
      </c>
      <c r="H2596">
        <f>IF(AND(资金台帐!K1099&lt;&gt;"",资金台帐!K1099=供应商对账单!$B$4,资金台帐!P1099="应付",ISNUMBER(资金台帐!B1099),资金台帐!B1099&gt;=供应商对账单!$G$4,资金台帐!B1099&lt;=供应商对账单!$I$4),资金台帐!B1099+ROW()/100000,"")</f>
      </c>
      <c r="N2596">
        <f>IF(AND(ISNUMBER(出库明细!G2596),ISNUMBER(出库明细!E2596),ISNUMBER(出库明细!F2596)),IF(ABS(出库明细!G2596-出库明细!E2596*出库明细!F2596)&gt;0.005,1,0),0)</f>
        <v>0</v>
      </c>
    </row>
    <row r="2597">
      <c r="A2597">
        <f>IF(OR(出库明细!C1597="",出库明细!D1597=""),"",IF(OR(COUNTIFS(存条明细!$C$4:$C$1003,出库明细!C1597,存条明细!$D$4:$D$1003,出库明细!D1597)&gt;0,COUNTIFS(出库明细!$C$4:C1597,出库明细!C1597,出库明细!$D$4:D1597,出库明细!D1597)&gt;1),"",IFERROR(MATCH(出库明细!C1597,总览汇总!$B$5:$B$304,0),900)*10000000+IFERROR(MATCH(出库明细!D1597,基础资料!$E$5:$E$104,0),900)*10000+ROW()))</f>
      </c>
      <c r="F2597">
        <f>IF(AND(出库明细!C2597&lt;&gt;"",出库明细!C2597=客户对账单!$B$4,ISNUMBER(出库明细!B2597),出库明细!B2597&gt;=客户对账单!$G$4,出库明细!B2597&lt;=客户对账单!$I$4),出库明细!B2597+ROW()/100000,"")</f>
      </c>
      <c r="H2597">
        <f>IF(AND(资金台帐!K1100&lt;&gt;"",资金台帐!K1100=供应商对账单!$B$4,资金台帐!P1100="应付",ISNUMBER(资金台帐!B1100),资金台帐!B1100&gt;=供应商对账单!$G$4,资金台帐!B1100&lt;=供应商对账单!$I$4),资金台帐!B1100+ROW()/100000,"")</f>
      </c>
      <c r="N2597">
        <f>IF(AND(ISNUMBER(出库明细!G2597),ISNUMBER(出库明细!E2597),ISNUMBER(出库明细!F2597)),IF(ABS(出库明细!G2597-出库明细!E2597*出库明细!F2597)&gt;0.005,1,0),0)</f>
        <v>0</v>
      </c>
    </row>
    <row r="2598">
      <c r="A2598">
        <f>IF(OR(出库明细!C1598="",出库明细!D1598=""),"",IF(OR(COUNTIFS(存条明细!$C$4:$C$1003,出库明细!C1598,存条明细!$D$4:$D$1003,出库明细!D1598)&gt;0,COUNTIFS(出库明细!$C$4:C1598,出库明细!C1598,出库明细!$D$4:D1598,出库明细!D1598)&gt;1),"",IFERROR(MATCH(出库明细!C1598,总览汇总!$B$5:$B$304,0),900)*10000000+IFERROR(MATCH(出库明细!D1598,基础资料!$E$5:$E$104,0),900)*10000+ROW()))</f>
      </c>
      <c r="F2598">
        <f>IF(AND(出库明细!C2598&lt;&gt;"",出库明细!C2598=客户对账单!$B$4,ISNUMBER(出库明细!B2598),出库明细!B2598&gt;=客户对账单!$G$4,出库明细!B2598&lt;=客户对账单!$I$4),出库明细!B2598+ROW()/100000,"")</f>
      </c>
      <c r="H2598">
        <f>IF(AND(资金台帐!K1101&lt;&gt;"",资金台帐!K1101=供应商对账单!$B$4,资金台帐!P1101="应付",ISNUMBER(资金台帐!B1101),资金台帐!B1101&gt;=供应商对账单!$G$4,资金台帐!B1101&lt;=供应商对账单!$I$4),资金台帐!B1101+ROW()/100000,"")</f>
      </c>
      <c r="N2598">
        <f>IF(AND(ISNUMBER(出库明细!G2598),ISNUMBER(出库明细!E2598),ISNUMBER(出库明细!F2598)),IF(ABS(出库明细!G2598-出库明细!E2598*出库明细!F2598)&gt;0.005,1,0),0)</f>
        <v>0</v>
      </c>
    </row>
    <row r="2599">
      <c r="A2599">
        <f>IF(OR(出库明细!C1599="",出库明细!D1599=""),"",IF(OR(COUNTIFS(存条明细!$C$4:$C$1003,出库明细!C1599,存条明细!$D$4:$D$1003,出库明细!D1599)&gt;0,COUNTIFS(出库明细!$C$4:C1599,出库明细!C1599,出库明细!$D$4:D1599,出库明细!D1599)&gt;1),"",IFERROR(MATCH(出库明细!C1599,总览汇总!$B$5:$B$304,0),900)*10000000+IFERROR(MATCH(出库明细!D1599,基础资料!$E$5:$E$104,0),900)*10000+ROW()))</f>
      </c>
      <c r="F2599">
        <f>IF(AND(出库明细!C2599&lt;&gt;"",出库明细!C2599=客户对账单!$B$4,ISNUMBER(出库明细!B2599),出库明细!B2599&gt;=客户对账单!$G$4,出库明细!B2599&lt;=客户对账单!$I$4),出库明细!B2599+ROW()/100000,"")</f>
      </c>
      <c r="H2599">
        <f>IF(AND(资金台帐!K1102&lt;&gt;"",资金台帐!K1102=供应商对账单!$B$4,资金台帐!P1102="应付",ISNUMBER(资金台帐!B1102),资金台帐!B1102&gt;=供应商对账单!$G$4,资金台帐!B1102&lt;=供应商对账单!$I$4),资金台帐!B1102+ROW()/100000,"")</f>
      </c>
      <c r="N2599">
        <f>IF(AND(ISNUMBER(出库明细!G2599),ISNUMBER(出库明细!E2599),ISNUMBER(出库明细!F2599)),IF(ABS(出库明细!G2599-出库明细!E2599*出库明细!F2599)&gt;0.005,1,0),0)</f>
        <v>0</v>
      </c>
    </row>
    <row r="2600">
      <c r="A2600">
        <f>IF(OR(出库明细!C1600="",出库明细!D1600=""),"",IF(OR(COUNTIFS(存条明细!$C$4:$C$1003,出库明细!C1600,存条明细!$D$4:$D$1003,出库明细!D1600)&gt;0,COUNTIFS(出库明细!$C$4:C1600,出库明细!C1600,出库明细!$D$4:D1600,出库明细!D1600)&gt;1),"",IFERROR(MATCH(出库明细!C1600,总览汇总!$B$5:$B$304,0),900)*10000000+IFERROR(MATCH(出库明细!D1600,基础资料!$E$5:$E$104,0),900)*10000+ROW()))</f>
      </c>
      <c r="F2600">
        <f>IF(AND(出库明细!C2600&lt;&gt;"",出库明细!C2600=客户对账单!$B$4,ISNUMBER(出库明细!B2600),出库明细!B2600&gt;=客户对账单!$G$4,出库明细!B2600&lt;=客户对账单!$I$4),出库明细!B2600+ROW()/100000,"")</f>
      </c>
      <c r="H2600">
        <f>IF(AND(资金台帐!K1103&lt;&gt;"",资金台帐!K1103=供应商对账单!$B$4,资金台帐!P1103="应付",ISNUMBER(资金台帐!B1103),资金台帐!B1103&gt;=供应商对账单!$G$4,资金台帐!B1103&lt;=供应商对账单!$I$4),资金台帐!B1103+ROW()/100000,"")</f>
      </c>
      <c r="N2600">
        <f>IF(AND(ISNUMBER(出库明细!G2600),ISNUMBER(出库明细!E2600),ISNUMBER(出库明细!F2600)),IF(ABS(出库明细!G2600-出库明细!E2600*出库明细!F2600)&gt;0.005,1,0),0)</f>
        <v>0</v>
      </c>
    </row>
    <row r="2601">
      <c r="A2601">
        <f>IF(OR(出库明细!C1601="",出库明细!D1601=""),"",IF(OR(COUNTIFS(存条明细!$C$4:$C$1003,出库明细!C1601,存条明细!$D$4:$D$1003,出库明细!D1601)&gt;0,COUNTIFS(出库明细!$C$4:C1601,出库明细!C1601,出库明细!$D$4:D1601,出库明细!D1601)&gt;1),"",IFERROR(MATCH(出库明细!C1601,总览汇总!$B$5:$B$304,0),900)*10000000+IFERROR(MATCH(出库明细!D1601,基础资料!$E$5:$E$104,0),900)*10000+ROW()))</f>
      </c>
      <c r="F2601">
        <f>IF(AND(出库明细!C2601&lt;&gt;"",出库明细!C2601=客户对账单!$B$4,ISNUMBER(出库明细!B2601),出库明细!B2601&gt;=客户对账单!$G$4,出库明细!B2601&lt;=客户对账单!$I$4),出库明细!B2601+ROW()/100000,"")</f>
      </c>
      <c r="H2601">
        <f>IF(AND(资金台帐!K1104&lt;&gt;"",资金台帐!K1104=供应商对账单!$B$4,资金台帐!P1104="应付",ISNUMBER(资金台帐!B1104),资金台帐!B1104&gt;=供应商对账单!$G$4,资金台帐!B1104&lt;=供应商对账单!$I$4),资金台帐!B1104+ROW()/100000,"")</f>
      </c>
      <c r="N2601">
        <f>IF(AND(ISNUMBER(出库明细!G2601),ISNUMBER(出库明细!E2601),ISNUMBER(出库明细!F2601)),IF(ABS(出库明细!G2601-出库明细!E2601*出库明细!F2601)&gt;0.005,1,0),0)</f>
        <v>0</v>
      </c>
    </row>
    <row r="2602">
      <c r="A2602">
        <f>IF(OR(出库明细!C1602="",出库明细!D1602=""),"",IF(OR(COUNTIFS(存条明细!$C$4:$C$1003,出库明细!C1602,存条明细!$D$4:$D$1003,出库明细!D1602)&gt;0,COUNTIFS(出库明细!$C$4:C1602,出库明细!C1602,出库明细!$D$4:D1602,出库明细!D1602)&gt;1),"",IFERROR(MATCH(出库明细!C1602,总览汇总!$B$5:$B$304,0),900)*10000000+IFERROR(MATCH(出库明细!D1602,基础资料!$E$5:$E$104,0),900)*10000+ROW()))</f>
      </c>
      <c r="F2602">
        <f>IF(AND(出库明细!C2602&lt;&gt;"",出库明细!C2602=客户对账单!$B$4,ISNUMBER(出库明细!B2602),出库明细!B2602&gt;=客户对账单!$G$4,出库明细!B2602&lt;=客户对账单!$I$4),出库明细!B2602+ROW()/100000,"")</f>
      </c>
      <c r="H2602">
        <f>IF(AND(资金台帐!K1105&lt;&gt;"",资金台帐!K1105=供应商对账单!$B$4,资金台帐!P1105="应付",ISNUMBER(资金台帐!B1105),资金台帐!B1105&gt;=供应商对账单!$G$4,资金台帐!B1105&lt;=供应商对账单!$I$4),资金台帐!B1105+ROW()/100000,"")</f>
      </c>
      <c r="N2602">
        <f>IF(AND(ISNUMBER(出库明细!G2602),ISNUMBER(出库明细!E2602),ISNUMBER(出库明细!F2602)),IF(ABS(出库明细!G2602-出库明细!E2602*出库明细!F2602)&gt;0.005,1,0),0)</f>
        <v>0</v>
      </c>
    </row>
    <row r="2603">
      <c r="A2603">
        <f>IF(OR(出库明细!C1603="",出库明细!D1603=""),"",IF(OR(COUNTIFS(存条明细!$C$4:$C$1003,出库明细!C1603,存条明细!$D$4:$D$1003,出库明细!D1603)&gt;0,COUNTIFS(出库明细!$C$4:C1603,出库明细!C1603,出库明细!$D$4:D1603,出库明细!D1603)&gt;1),"",IFERROR(MATCH(出库明细!C1603,总览汇总!$B$5:$B$304,0),900)*10000000+IFERROR(MATCH(出库明细!D1603,基础资料!$E$5:$E$104,0),900)*10000+ROW()))</f>
      </c>
      <c r="F2603">
        <f>IF(AND(出库明细!C2603&lt;&gt;"",出库明细!C2603=客户对账单!$B$4,ISNUMBER(出库明细!B2603),出库明细!B2603&gt;=客户对账单!$G$4,出库明细!B2603&lt;=客户对账单!$I$4),出库明细!B2603+ROW()/100000,"")</f>
      </c>
      <c r="H2603">
        <f>IF(AND(资金台帐!K1106&lt;&gt;"",资金台帐!K1106=供应商对账单!$B$4,资金台帐!P1106="应付",ISNUMBER(资金台帐!B1106),资金台帐!B1106&gt;=供应商对账单!$G$4,资金台帐!B1106&lt;=供应商对账单!$I$4),资金台帐!B1106+ROW()/100000,"")</f>
      </c>
      <c r="N2603">
        <f>IF(AND(ISNUMBER(出库明细!G2603),ISNUMBER(出库明细!E2603),ISNUMBER(出库明细!F2603)),IF(ABS(出库明细!G2603-出库明细!E2603*出库明细!F2603)&gt;0.005,1,0),0)</f>
        <v>0</v>
      </c>
    </row>
    <row r="2604">
      <c r="A2604">
        <f>IF(OR(出库明细!C1604="",出库明细!D1604=""),"",IF(OR(COUNTIFS(存条明细!$C$4:$C$1003,出库明细!C1604,存条明细!$D$4:$D$1003,出库明细!D1604)&gt;0,COUNTIFS(出库明细!$C$4:C1604,出库明细!C1604,出库明细!$D$4:D1604,出库明细!D1604)&gt;1),"",IFERROR(MATCH(出库明细!C1604,总览汇总!$B$5:$B$304,0),900)*10000000+IFERROR(MATCH(出库明细!D1604,基础资料!$E$5:$E$104,0),900)*10000+ROW()))</f>
      </c>
      <c r="F2604">
        <f>IF(AND(出库明细!C2604&lt;&gt;"",出库明细!C2604=客户对账单!$B$4,ISNUMBER(出库明细!B2604),出库明细!B2604&gt;=客户对账单!$G$4,出库明细!B2604&lt;=客户对账单!$I$4),出库明细!B2604+ROW()/100000,"")</f>
      </c>
      <c r="H2604">
        <f>IF(AND(资金台帐!K1107&lt;&gt;"",资金台帐!K1107=供应商对账单!$B$4,资金台帐!P1107="应付",ISNUMBER(资金台帐!B1107),资金台帐!B1107&gt;=供应商对账单!$G$4,资金台帐!B1107&lt;=供应商对账单!$I$4),资金台帐!B1107+ROW()/100000,"")</f>
      </c>
      <c r="N2604">
        <f>IF(AND(ISNUMBER(出库明细!G2604),ISNUMBER(出库明细!E2604),ISNUMBER(出库明细!F2604)),IF(ABS(出库明细!G2604-出库明细!E2604*出库明细!F2604)&gt;0.005,1,0),0)</f>
        <v>0</v>
      </c>
    </row>
    <row r="2605">
      <c r="A2605">
        <f>IF(OR(出库明细!C1605="",出库明细!D1605=""),"",IF(OR(COUNTIFS(存条明细!$C$4:$C$1003,出库明细!C1605,存条明细!$D$4:$D$1003,出库明细!D1605)&gt;0,COUNTIFS(出库明细!$C$4:C1605,出库明细!C1605,出库明细!$D$4:D1605,出库明细!D1605)&gt;1),"",IFERROR(MATCH(出库明细!C1605,总览汇总!$B$5:$B$304,0),900)*10000000+IFERROR(MATCH(出库明细!D1605,基础资料!$E$5:$E$104,0),900)*10000+ROW()))</f>
      </c>
      <c r="F2605">
        <f>IF(AND(出库明细!C2605&lt;&gt;"",出库明细!C2605=客户对账单!$B$4,ISNUMBER(出库明细!B2605),出库明细!B2605&gt;=客户对账单!$G$4,出库明细!B2605&lt;=客户对账单!$I$4),出库明细!B2605+ROW()/100000,"")</f>
      </c>
      <c r="H2605">
        <f>IF(AND(资金台帐!K1108&lt;&gt;"",资金台帐!K1108=供应商对账单!$B$4,资金台帐!P1108="应付",ISNUMBER(资金台帐!B1108),资金台帐!B1108&gt;=供应商对账单!$G$4,资金台帐!B1108&lt;=供应商对账单!$I$4),资金台帐!B1108+ROW()/100000,"")</f>
      </c>
      <c r="N2605">
        <f>IF(AND(ISNUMBER(出库明细!G2605),ISNUMBER(出库明细!E2605),ISNUMBER(出库明细!F2605)),IF(ABS(出库明细!G2605-出库明细!E2605*出库明细!F2605)&gt;0.005,1,0),0)</f>
        <v>0</v>
      </c>
    </row>
    <row r="2606">
      <c r="A2606">
        <f>IF(OR(出库明细!C1606="",出库明细!D1606=""),"",IF(OR(COUNTIFS(存条明细!$C$4:$C$1003,出库明细!C1606,存条明细!$D$4:$D$1003,出库明细!D1606)&gt;0,COUNTIFS(出库明细!$C$4:C1606,出库明细!C1606,出库明细!$D$4:D1606,出库明细!D1606)&gt;1),"",IFERROR(MATCH(出库明细!C1606,总览汇总!$B$5:$B$304,0),900)*10000000+IFERROR(MATCH(出库明细!D1606,基础资料!$E$5:$E$104,0),900)*10000+ROW()))</f>
      </c>
      <c r="F2606">
        <f>IF(AND(出库明细!C2606&lt;&gt;"",出库明细!C2606=客户对账单!$B$4,ISNUMBER(出库明细!B2606),出库明细!B2606&gt;=客户对账单!$G$4,出库明细!B2606&lt;=客户对账单!$I$4),出库明细!B2606+ROW()/100000,"")</f>
      </c>
      <c r="H2606">
        <f>IF(AND(资金台帐!K1109&lt;&gt;"",资金台帐!K1109=供应商对账单!$B$4,资金台帐!P1109="应付",ISNUMBER(资金台帐!B1109),资金台帐!B1109&gt;=供应商对账单!$G$4,资金台帐!B1109&lt;=供应商对账单!$I$4),资金台帐!B1109+ROW()/100000,"")</f>
      </c>
      <c r="N2606">
        <f>IF(AND(ISNUMBER(出库明细!G2606),ISNUMBER(出库明细!E2606),ISNUMBER(出库明细!F2606)),IF(ABS(出库明细!G2606-出库明细!E2606*出库明细!F2606)&gt;0.005,1,0),0)</f>
        <v>0</v>
      </c>
    </row>
    <row r="2607">
      <c r="A2607">
        <f>IF(OR(出库明细!C1607="",出库明细!D1607=""),"",IF(OR(COUNTIFS(存条明细!$C$4:$C$1003,出库明细!C1607,存条明细!$D$4:$D$1003,出库明细!D1607)&gt;0,COUNTIFS(出库明细!$C$4:C1607,出库明细!C1607,出库明细!$D$4:D1607,出库明细!D1607)&gt;1),"",IFERROR(MATCH(出库明细!C1607,总览汇总!$B$5:$B$304,0),900)*10000000+IFERROR(MATCH(出库明细!D1607,基础资料!$E$5:$E$104,0),900)*10000+ROW()))</f>
      </c>
      <c r="F2607">
        <f>IF(AND(出库明细!C2607&lt;&gt;"",出库明细!C2607=客户对账单!$B$4,ISNUMBER(出库明细!B2607),出库明细!B2607&gt;=客户对账单!$G$4,出库明细!B2607&lt;=客户对账单!$I$4),出库明细!B2607+ROW()/100000,"")</f>
      </c>
      <c r="H2607">
        <f>IF(AND(资金台帐!K1110&lt;&gt;"",资金台帐!K1110=供应商对账单!$B$4,资金台帐!P1110="应付",ISNUMBER(资金台帐!B1110),资金台帐!B1110&gt;=供应商对账单!$G$4,资金台帐!B1110&lt;=供应商对账单!$I$4),资金台帐!B1110+ROW()/100000,"")</f>
      </c>
      <c r="N2607">
        <f>IF(AND(ISNUMBER(出库明细!G2607),ISNUMBER(出库明细!E2607),ISNUMBER(出库明细!F2607)),IF(ABS(出库明细!G2607-出库明细!E2607*出库明细!F2607)&gt;0.005,1,0),0)</f>
        <v>0</v>
      </c>
    </row>
    <row r="2608">
      <c r="A2608">
        <f>IF(OR(出库明细!C1608="",出库明细!D1608=""),"",IF(OR(COUNTIFS(存条明细!$C$4:$C$1003,出库明细!C1608,存条明细!$D$4:$D$1003,出库明细!D1608)&gt;0,COUNTIFS(出库明细!$C$4:C1608,出库明细!C1608,出库明细!$D$4:D1608,出库明细!D1608)&gt;1),"",IFERROR(MATCH(出库明细!C1608,总览汇总!$B$5:$B$304,0),900)*10000000+IFERROR(MATCH(出库明细!D1608,基础资料!$E$5:$E$104,0),900)*10000+ROW()))</f>
      </c>
      <c r="F2608">
        <f>IF(AND(出库明细!C2608&lt;&gt;"",出库明细!C2608=客户对账单!$B$4,ISNUMBER(出库明细!B2608),出库明细!B2608&gt;=客户对账单!$G$4,出库明细!B2608&lt;=客户对账单!$I$4),出库明细!B2608+ROW()/100000,"")</f>
      </c>
      <c r="H2608">
        <f>IF(AND(资金台帐!K1111&lt;&gt;"",资金台帐!K1111=供应商对账单!$B$4,资金台帐!P1111="应付",ISNUMBER(资金台帐!B1111),资金台帐!B1111&gt;=供应商对账单!$G$4,资金台帐!B1111&lt;=供应商对账单!$I$4),资金台帐!B1111+ROW()/100000,"")</f>
      </c>
      <c r="N2608">
        <f>IF(AND(ISNUMBER(出库明细!G2608),ISNUMBER(出库明细!E2608),ISNUMBER(出库明细!F2608)),IF(ABS(出库明细!G2608-出库明细!E2608*出库明细!F2608)&gt;0.005,1,0),0)</f>
        <v>0</v>
      </c>
    </row>
    <row r="2609">
      <c r="A2609">
        <f>IF(OR(出库明细!C1609="",出库明细!D1609=""),"",IF(OR(COUNTIFS(存条明细!$C$4:$C$1003,出库明细!C1609,存条明细!$D$4:$D$1003,出库明细!D1609)&gt;0,COUNTIFS(出库明细!$C$4:C1609,出库明细!C1609,出库明细!$D$4:D1609,出库明细!D1609)&gt;1),"",IFERROR(MATCH(出库明细!C1609,总览汇总!$B$5:$B$304,0),900)*10000000+IFERROR(MATCH(出库明细!D1609,基础资料!$E$5:$E$104,0),900)*10000+ROW()))</f>
      </c>
      <c r="F2609">
        <f>IF(AND(出库明细!C2609&lt;&gt;"",出库明细!C2609=客户对账单!$B$4,ISNUMBER(出库明细!B2609),出库明细!B2609&gt;=客户对账单!$G$4,出库明细!B2609&lt;=客户对账单!$I$4),出库明细!B2609+ROW()/100000,"")</f>
      </c>
      <c r="H2609">
        <f>IF(AND(资金台帐!K1112&lt;&gt;"",资金台帐!K1112=供应商对账单!$B$4,资金台帐!P1112="应付",ISNUMBER(资金台帐!B1112),资金台帐!B1112&gt;=供应商对账单!$G$4,资金台帐!B1112&lt;=供应商对账单!$I$4),资金台帐!B1112+ROW()/100000,"")</f>
      </c>
      <c r="N2609">
        <f>IF(AND(ISNUMBER(出库明细!G2609),ISNUMBER(出库明细!E2609),ISNUMBER(出库明细!F2609)),IF(ABS(出库明细!G2609-出库明细!E2609*出库明细!F2609)&gt;0.005,1,0),0)</f>
        <v>0</v>
      </c>
    </row>
    <row r="2610">
      <c r="A2610">
        <f>IF(OR(出库明细!C1610="",出库明细!D1610=""),"",IF(OR(COUNTIFS(存条明细!$C$4:$C$1003,出库明细!C1610,存条明细!$D$4:$D$1003,出库明细!D1610)&gt;0,COUNTIFS(出库明细!$C$4:C1610,出库明细!C1610,出库明细!$D$4:D1610,出库明细!D1610)&gt;1),"",IFERROR(MATCH(出库明细!C1610,总览汇总!$B$5:$B$304,0),900)*10000000+IFERROR(MATCH(出库明细!D1610,基础资料!$E$5:$E$104,0),900)*10000+ROW()))</f>
      </c>
      <c r="F2610">
        <f>IF(AND(出库明细!C2610&lt;&gt;"",出库明细!C2610=客户对账单!$B$4,ISNUMBER(出库明细!B2610),出库明细!B2610&gt;=客户对账单!$G$4,出库明细!B2610&lt;=客户对账单!$I$4),出库明细!B2610+ROW()/100000,"")</f>
      </c>
      <c r="H2610">
        <f>IF(AND(资金台帐!K1113&lt;&gt;"",资金台帐!K1113=供应商对账单!$B$4,资金台帐!P1113="应付",ISNUMBER(资金台帐!B1113),资金台帐!B1113&gt;=供应商对账单!$G$4,资金台帐!B1113&lt;=供应商对账单!$I$4),资金台帐!B1113+ROW()/100000,"")</f>
      </c>
      <c r="N2610">
        <f>IF(AND(ISNUMBER(出库明细!G2610),ISNUMBER(出库明细!E2610),ISNUMBER(出库明细!F2610)),IF(ABS(出库明细!G2610-出库明细!E2610*出库明细!F2610)&gt;0.005,1,0),0)</f>
        <v>0</v>
      </c>
    </row>
    <row r="2611">
      <c r="A2611">
        <f>IF(OR(出库明细!C1611="",出库明细!D1611=""),"",IF(OR(COUNTIFS(存条明细!$C$4:$C$1003,出库明细!C1611,存条明细!$D$4:$D$1003,出库明细!D1611)&gt;0,COUNTIFS(出库明细!$C$4:C1611,出库明细!C1611,出库明细!$D$4:D1611,出库明细!D1611)&gt;1),"",IFERROR(MATCH(出库明细!C1611,总览汇总!$B$5:$B$304,0),900)*10000000+IFERROR(MATCH(出库明细!D1611,基础资料!$E$5:$E$104,0),900)*10000+ROW()))</f>
      </c>
      <c r="F2611">
        <f>IF(AND(出库明细!C2611&lt;&gt;"",出库明细!C2611=客户对账单!$B$4,ISNUMBER(出库明细!B2611),出库明细!B2611&gt;=客户对账单!$G$4,出库明细!B2611&lt;=客户对账单!$I$4),出库明细!B2611+ROW()/100000,"")</f>
      </c>
      <c r="H2611">
        <f>IF(AND(资金台帐!K1114&lt;&gt;"",资金台帐!K1114=供应商对账单!$B$4,资金台帐!P1114="应付",ISNUMBER(资金台帐!B1114),资金台帐!B1114&gt;=供应商对账单!$G$4,资金台帐!B1114&lt;=供应商对账单!$I$4),资金台帐!B1114+ROW()/100000,"")</f>
      </c>
      <c r="N2611">
        <f>IF(AND(ISNUMBER(出库明细!G2611),ISNUMBER(出库明细!E2611),ISNUMBER(出库明细!F2611)),IF(ABS(出库明细!G2611-出库明细!E2611*出库明细!F2611)&gt;0.005,1,0),0)</f>
        <v>0</v>
      </c>
    </row>
    <row r="2612">
      <c r="A2612">
        <f>IF(OR(出库明细!C1612="",出库明细!D1612=""),"",IF(OR(COUNTIFS(存条明细!$C$4:$C$1003,出库明细!C1612,存条明细!$D$4:$D$1003,出库明细!D1612)&gt;0,COUNTIFS(出库明细!$C$4:C1612,出库明细!C1612,出库明细!$D$4:D1612,出库明细!D1612)&gt;1),"",IFERROR(MATCH(出库明细!C1612,总览汇总!$B$5:$B$304,0),900)*10000000+IFERROR(MATCH(出库明细!D1612,基础资料!$E$5:$E$104,0),900)*10000+ROW()))</f>
      </c>
      <c r="F2612">
        <f>IF(AND(出库明细!C2612&lt;&gt;"",出库明细!C2612=客户对账单!$B$4,ISNUMBER(出库明细!B2612),出库明细!B2612&gt;=客户对账单!$G$4,出库明细!B2612&lt;=客户对账单!$I$4),出库明细!B2612+ROW()/100000,"")</f>
      </c>
      <c r="H2612">
        <f>IF(AND(资金台帐!K1115&lt;&gt;"",资金台帐!K1115=供应商对账单!$B$4,资金台帐!P1115="应付",ISNUMBER(资金台帐!B1115),资金台帐!B1115&gt;=供应商对账单!$G$4,资金台帐!B1115&lt;=供应商对账单!$I$4),资金台帐!B1115+ROW()/100000,"")</f>
      </c>
      <c r="N2612">
        <f>IF(AND(ISNUMBER(出库明细!G2612),ISNUMBER(出库明细!E2612),ISNUMBER(出库明细!F2612)),IF(ABS(出库明细!G2612-出库明细!E2612*出库明细!F2612)&gt;0.005,1,0),0)</f>
        <v>0</v>
      </c>
    </row>
    <row r="2613">
      <c r="A2613">
        <f>IF(OR(出库明细!C1613="",出库明细!D1613=""),"",IF(OR(COUNTIFS(存条明细!$C$4:$C$1003,出库明细!C1613,存条明细!$D$4:$D$1003,出库明细!D1613)&gt;0,COUNTIFS(出库明细!$C$4:C1613,出库明细!C1613,出库明细!$D$4:D1613,出库明细!D1613)&gt;1),"",IFERROR(MATCH(出库明细!C1613,总览汇总!$B$5:$B$304,0),900)*10000000+IFERROR(MATCH(出库明细!D1613,基础资料!$E$5:$E$104,0),900)*10000+ROW()))</f>
      </c>
      <c r="F2613">
        <f>IF(AND(出库明细!C2613&lt;&gt;"",出库明细!C2613=客户对账单!$B$4,ISNUMBER(出库明细!B2613),出库明细!B2613&gt;=客户对账单!$G$4,出库明细!B2613&lt;=客户对账单!$I$4),出库明细!B2613+ROW()/100000,"")</f>
      </c>
      <c r="H2613">
        <f>IF(AND(资金台帐!K1116&lt;&gt;"",资金台帐!K1116=供应商对账单!$B$4,资金台帐!P1116="应付",ISNUMBER(资金台帐!B1116),资金台帐!B1116&gt;=供应商对账单!$G$4,资金台帐!B1116&lt;=供应商对账单!$I$4),资金台帐!B1116+ROW()/100000,"")</f>
      </c>
      <c r="N2613">
        <f>IF(AND(ISNUMBER(出库明细!G2613),ISNUMBER(出库明细!E2613),ISNUMBER(出库明细!F2613)),IF(ABS(出库明细!G2613-出库明细!E2613*出库明细!F2613)&gt;0.005,1,0),0)</f>
        <v>0</v>
      </c>
    </row>
    <row r="2614">
      <c r="A2614">
        <f>IF(OR(出库明细!C1614="",出库明细!D1614=""),"",IF(OR(COUNTIFS(存条明细!$C$4:$C$1003,出库明细!C1614,存条明细!$D$4:$D$1003,出库明细!D1614)&gt;0,COUNTIFS(出库明细!$C$4:C1614,出库明细!C1614,出库明细!$D$4:D1614,出库明细!D1614)&gt;1),"",IFERROR(MATCH(出库明细!C1614,总览汇总!$B$5:$B$304,0),900)*10000000+IFERROR(MATCH(出库明细!D1614,基础资料!$E$5:$E$104,0),900)*10000+ROW()))</f>
      </c>
      <c r="F2614">
        <f>IF(AND(出库明细!C2614&lt;&gt;"",出库明细!C2614=客户对账单!$B$4,ISNUMBER(出库明细!B2614),出库明细!B2614&gt;=客户对账单!$G$4,出库明细!B2614&lt;=客户对账单!$I$4),出库明细!B2614+ROW()/100000,"")</f>
      </c>
      <c r="H2614">
        <f>IF(AND(资金台帐!K1117&lt;&gt;"",资金台帐!K1117=供应商对账单!$B$4,资金台帐!P1117="应付",ISNUMBER(资金台帐!B1117),资金台帐!B1117&gt;=供应商对账单!$G$4,资金台帐!B1117&lt;=供应商对账单!$I$4),资金台帐!B1117+ROW()/100000,"")</f>
      </c>
      <c r="N2614">
        <f>IF(AND(ISNUMBER(出库明细!G2614),ISNUMBER(出库明细!E2614),ISNUMBER(出库明细!F2614)),IF(ABS(出库明细!G2614-出库明细!E2614*出库明细!F2614)&gt;0.005,1,0),0)</f>
        <v>0</v>
      </c>
    </row>
    <row r="2615">
      <c r="A2615">
        <f>IF(OR(出库明细!C1615="",出库明细!D1615=""),"",IF(OR(COUNTIFS(存条明细!$C$4:$C$1003,出库明细!C1615,存条明细!$D$4:$D$1003,出库明细!D1615)&gt;0,COUNTIFS(出库明细!$C$4:C1615,出库明细!C1615,出库明细!$D$4:D1615,出库明细!D1615)&gt;1),"",IFERROR(MATCH(出库明细!C1615,总览汇总!$B$5:$B$304,0),900)*10000000+IFERROR(MATCH(出库明细!D1615,基础资料!$E$5:$E$104,0),900)*10000+ROW()))</f>
      </c>
      <c r="F2615">
        <f>IF(AND(出库明细!C2615&lt;&gt;"",出库明细!C2615=客户对账单!$B$4,ISNUMBER(出库明细!B2615),出库明细!B2615&gt;=客户对账单!$G$4,出库明细!B2615&lt;=客户对账单!$I$4),出库明细!B2615+ROW()/100000,"")</f>
      </c>
      <c r="H2615">
        <f>IF(AND(资金台帐!K1118&lt;&gt;"",资金台帐!K1118=供应商对账单!$B$4,资金台帐!P1118="应付",ISNUMBER(资金台帐!B1118),资金台帐!B1118&gt;=供应商对账单!$G$4,资金台帐!B1118&lt;=供应商对账单!$I$4),资金台帐!B1118+ROW()/100000,"")</f>
      </c>
      <c r="N2615">
        <f>IF(AND(ISNUMBER(出库明细!G2615),ISNUMBER(出库明细!E2615),ISNUMBER(出库明细!F2615)),IF(ABS(出库明细!G2615-出库明细!E2615*出库明细!F2615)&gt;0.005,1,0),0)</f>
        <v>0</v>
      </c>
    </row>
    <row r="2616">
      <c r="A2616">
        <f>IF(OR(出库明细!C1616="",出库明细!D1616=""),"",IF(OR(COUNTIFS(存条明细!$C$4:$C$1003,出库明细!C1616,存条明细!$D$4:$D$1003,出库明细!D1616)&gt;0,COUNTIFS(出库明细!$C$4:C1616,出库明细!C1616,出库明细!$D$4:D1616,出库明细!D1616)&gt;1),"",IFERROR(MATCH(出库明细!C1616,总览汇总!$B$5:$B$304,0),900)*10000000+IFERROR(MATCH(出库明细!D1616,基础资料!$E$5:$E$104,0),900)*10000+ROW()))</f>
      </c>
      <c r="F2616">
        <f>IF(AND(出库明细!C2616&lt;&gt;"",出库明细!C2616=客户对账单!$B$4,ISNUMBER(出库明细!B2616),出库明细!B2616&gt;=客户对账单!$G$4,出库明细!B2616&lt;=客户对账单!$I$4),出库明细!B2616+ROW()/100000,"")</f>
      </c>
      <c r="H2616">
        <f>IF(AND(资金台帐!K1119&lt;&gt;"",资金台帐!K1119=供应商对账单!$B$4,资金台帐!P1119="应付",ISNUMBER(资金台帐!B1119),资金台帐!B1119&gt;=供应商对账单!$G$4,资金台帐!B1119&lt;=供应商对账单!$I$4),资金台帐!B1119+ROW()/100000,"")</f>
      </c>
      <c r="N2616">
        <f>IF(AND(ISNUMBER(出库明细!G2616),ISNUMBER(出库明细!E2616),ISNUMBER(出库明细!F2616)),IF(ABS(出库明细!G2616-出库明细!E2616*出库明细!F2616)&gt;0.005,1,0),0)</f>
        <v>0</v>
      </c>
    </row>
    <row r="2617">
      <c r="A2617">
        <f>IF(OR(出库明细!C1617="",出库明细!D1617=""),"",IF(OR(COUNTIFS(存条明细!$C$4:$C$1003,出库明细!C1617,存条明细!$D$4:$D$1003,出库明细!D1617)&gt;0,COUNTIFS(出库明细!$C$4:C1617,出库明细!C1617,出库明细!$D$4:D1617,出库明细!D1617)&gt;1),"",IFERROR(MATCH(出库明细!C1617,总览汇总!$B$5:$B$304,0),900)*10000000+IFERROR(MATCH(出库明细!D1617,基础资料!$E$5:$E$104,0),900)*10000+ROW()))</f>
      </c>
      <c r="F2617">
        <f>IF(AND(出库明细!C2617&lt;&gt;"",出库明细!C2617=客户对账单!$B$4,ISNUMBER(出库明细!B2617),出库明细!B2617&gt;=客户对账单!$G$4,出库明细!B2617&lt;=客户对账单!$I$4),出库明细!B2617+ROW()/100000,"")</f>
      </c>
      <c r="H2617">
        <f>IF(AND(资金台帐!K1120&lt;&gt;"",资金台帐!K1120=供应商对账单!$B$4,资金台帐!P1120="应付",ISNUMBER(资金台帐!B1120),资金台帐!B1120&gt;=供应商对账单!$G$4,资金台帐!B1120&lt;=供应商对账单!$I$4),资金台帐!B1120+ROW()/100000,"")</f>
      </c>
      <c r="N2617">
        <f>IF(AND(ISNUMBER(出库明细!G2617),ISNUMBER(出库明细!E2617),ISNUMBER(出库明细!F2617)),IF(ABS(出库明细!G2617-出库明细!E2617*出库明细!F2617)&gt;0.005,1,0),0)</f>
        <v>0</v>
      </c>
    </row>
    <row r="2618">
      <c r="A2618">
        <f>IF(OR(出库明细!C1618="",出库明细!D1618=""),"",IF(OR(COUNTIFS(存条明细!$C$4:$C$1003,出库明细!C1618,存条明细!$D$4:$D$1003,出库明细!D1618)&gt;0,COUNTIFS(出库明细!$C$4:C1618,出库明细!C1618,出库明细!$D$4:D1618,出库明细!D1618)&gt;1),"",IFERROR(MATCH(出库明细!C1618,总览汇总!$B$5:$B$304,0),900)*10000000+IFERROR(MATCH(出库明细!D1618,基础资料!$E$5:$E$104,0),900)*10000+ROW()))</f>
      </c>
      <c r="F2618">
        <f>IF(AND(出库明细!C2618&lt;&gt;"",出库明细!C2618=客户对账单!$B$4,ISNUMBER(出库明细!B2618),出库明细!B2618&gt;=客户对账单!$G$4,出库明细!B2618&lt;=客户对账单!$I$4),出库明细!B2618+ROW()/100000,"")</f>
      </c>
      <c r="H2618">
        <f>IF(AND(资金台帐!K1121&lt;&gt;"",资金台帐!K1121=供应商对账单!$B$4,资金台帐!P1121="应付",ISNUMBER(资金台帐!B1121),资金台帐!B1121&gt;=供应商对账单!$G$4,资金台帐!B1121&lt;=供应商对账单!$I$4),资金台帐!B1121+ROW()/100000,"")</f>
      </c>
      <c r="N2618">
        <f>IF(AND(ISNUMBER(出库明细!G2618),ISNUMBER(出库明细!E2618),ISNUMBER(出库明细!F2618)),IF(ABS(出库明细!G2618-出库明细!E2618*出库明细!F2618)&gt;0.005,1,0),0)</f>
        <v>0</v>
      </c>
    </row>
    <row r="2619">
      <c r="A2619">
        <f>IF(OR(出库明细!C1619="",出库明细!D1619=""),"",IF(OR(COUNTIFS(存条明细!$C$4:$C$1003,出库明细!C1619,存条明细!$D$4:$D$1003,出库明细!D1619)&gt;0,COUNTIFS(出库明细!$C$4:C1619,出库明细!C1619,出库明细!$D$4:D1619,出库明细!D1619)&gt;1),"",IFERROR(MATCH(出库明细!C1619,总览汇总!$B$5:$B$304,0),900)*10000000+IFERROR(MATCH(出库明细!D1619,基础资料!$E$5:$E$104,0),900)*10000+ROW()))</f>
      </c>
      <c r="F2619">
        <f>IF(AND(出库明细!C2619&lt;&gt;"",出库明细!C2619=客户对账单!$B$4,ISNUMBER(出库明细!B2619),出库明细!B2619&gt;=客户对账单!$G$4,出库明细!B2619&lt;=客户对账单!$I$4),出库明细!B2619+ROW()/100000,"")</f>
      </c>
      <c r="H2619">
        <f>IF(AND(资金台帐!K1122&lt;&gt;"",资金台帐!K1122=供应商对账单!$B$4,资金台帐!P1122="应付",ISNUMBER(资金台帐!B1122),资金台帐!B1122&gt;=供应商对账单!$G$4,资金台帐!B1122&lt;=供应商对账单!$I$4),资金台帐!B1122+ROW()/100000,"")</f>
      </c>
      <c r="N2619">
        <f>IF(AND(ISNUMBER(出库明细!G2619),ISNUMBER(出库明细!E2619),ISNUMBER(出库明细!F2619)),IF(ABS(出库明细!G2619-出库明细!E2619*出库明细!F2619)&gt;0.005,1,0),0)</f>
        <v>0</v>
      </c>
    </row>
    <row r="2620">
      <c r="A2620">
        <f>IF(OR(出库明细!C1620="",出库明细!D1620=""),"",IF(OR(COUNTIFS(存条明细!$C$4:$C$1003,出库明细!C1620,存条明细!$D$4:$D$1003,出库明细!D1620)&gt;0,COUNTIFS(出库明细!$C$4:C1620,出库明细!C1620,出库明细!$D$4:D1620,出库明细!D1620)&gt;1),"",IFERROR(MATCH(出库明细!C1620,总览汇总!$B$5:$B$304,0),900)*10000000+IFERROR(MATCH(出库明细!D1620,基础资料!$E$5:$E$104,0),900)*10000+ROW()))</f>
      </c>
      <c r="F2620">
        <f>IF(AND(出库明细!C2620&lt;&gt;"",出库明细!C2620=客户对账单!$B$4,ISNUMBER(出库明细!B2620),出库明细!B2620&gt;=客户对账单!$G$4,出库明细!B2620&lt;=客户对账单!$I$4),出库明细!B2620+ROW()/100000,"")</f>
      </c>
      <c r="H2620">
        <f>IF(AND(资金台帐!K1123&lt;&gt;"",资金台帐!K1123=供应商对账单!$B$4,资金台帐!P1123="应付",ISNUMBER(资金台帐!B1123),资金台帐!B1123&gt;=供应商对账单!$G$4,资金台帐!B1123&lt;=供应商对账单!$I$4),资金台帐!B1123+ROW()/100000,"")</f>
      </c>
      <c r="N2620">
        <f>IF(AND(ISNUMBER(出库明细!G2620),ISNUMBER(出库明细!E2620),ISNUMBER(出库明细!F2620)),IF(ABS(出库明细!G2620-出库明细!E2620*出库明细!F2620)&gt;0.005,1,0),0)</f>
        <v>0</v>
      </c>
    </row>
    <row r="2621">
      <c r="A2621">
        <f>IF(OR(出库明细!C1621="",出库明细!D1621=""),"",IF(OR(COUNTIFS(存条明细!$C$4:$C$1003,出库明细!C1621,存条明细!$D$4:$D$1003,出库明细!D1621)&gt;0,COUNTIFS(出库明细!$C$4:C1621,出库明细!C1621,出库明细!$D$4:D1621,出库明细!D1621)&gt;1),"",IFERROR(MATCH(出库明细!C1621,总览汇总!$B$5:$B$304,0),900)*10000000+IFERROR(MATCH(出库明细!D1621,基础资料!$E$5:$E$104,0),900)*10000+ROW()))</f>
      </c>
      <c r="F2621">
        <f>IF(AND(出库明细!C2621&lt;&gt;"",出库明细!C2621=客户对账单!$B$4,ISNUMBER(出库明细!B2621),出库明细!B2621&gt;=客户对账单!$G$4,出库明细!B2621&lt;=客户对账单!$I$4),出库明细!B2621+ROW()/100000,"")</f>
      </c>
      <c r="H2621">
        <f>IF(AND(资金台帐!K1124&lt;&gt;"",资金台帐!K1124=供应商对账单!$B$4,资金台帐!P1124="应付",ISNUMBER(资金台帐!B1124),资金台帐!B1124&gt;=供应商对账单!$G$4,资金台帐!B1124&lt;=供应商对账单!$I$4),资金台帐!B1124+ROW()/100000,"")</f>
      </c>
      <c r="N2621">
        <f>IF(AND(ISNUMBER(出库明细!G2621),ISNUMBER(出库明细!E2621),ISNUMBER(出库明细!F2621)),IF(ABS(出库明细!G2621-出库明细!E2621*出库明细!F2621)&gt;0.005,1,0),0)</f>
        <v>0</v>
      </c>
    </row>
    <row r="2622">
      <c r="A2622">
        <f>IF(OR(出库明细!C1622="",出库明细!D1622=""),"",IF(OR(COUNTIFS(存条明细!$C$4:$C$1003,出库明细!C1622,存条明细!$D$4:$D$1003,出库明细!D1622)&gt;0,COUNTIFS(出库明细!$C$4:C1622,出库明细!C1622,出库明细!$D$4:D1622,出库明细!D1622)&gt;1),"",IFERROR(MATCH(出库明细!C1622,总览汇总!$B$5:$B$304,0),900)*10000000+IFERROR(MATCH(出库明细!D1622,基础资料!$E$5:$E$104,0),900)*10000+ROW()))</f>
      </c>
      <c r="F2622">
        <f>IF(AND(出库明细!C2622&lt;&gt;"",出库明细!C2622=客户对账单!$B$4,ISNUMBER(出库明细!B2622),出库明细!B2622&gt;=客户对账单!$G$4,出库明细!B2622&lt;=客户对账单!$I$4),出库明细!B2622+ROW()/100000,"")</f>
      </c>
      <c r="H2622">
        <f>IF(AND(资金台帐!K1125&lt;&gt;"",资金台帐!K1125=供应商对账单!$B$4,资金台帐!P1125="应付",ISNUMBER(资金台帐!B1125),资金台帐!B1125&gt;=供应商对账单!$G$4,资金台帐!B1125&lt;=供应商对账单!$I$4),资金台帐!B1125+ROW()/100000,"")</f>
      </c>
      <c r="N2622">
        <f>IF(AND(ISNUMBER(出库明细!G2622),ISNUMBER(出库明细!E2622),ISNUMBER(出库明细!F2622)),IF(ABS(出库明细!G2622-出库明细!E2622*出库明细!F2622)&gt;0.005,1,0),0)</f>
        <v>0</v>
      </c>
    </row>
    <row r="2623">
      <c r="A2623">
        <f>IF(OR(出库明细!C1623="",出库明细!D1623=""),"",IF(OR(COUNTIFS(存条明细!$C$4:$C$1003,出库明细!C1623,存条明细!$D$4:$D$1003,出库明细!D1623)&gt;0,COUNTIFS(出库明细!$C$4:C1623,出库明细!C1623,出库明细!$D$4:D1623,出库明细!D1623)&gt;1),"",IFERROR(MATCH(出库明细!C1623,总览汇总!$B$5:$B$304,0),900)*10000000+IFERROR(MATCH(出库明细!D1623,基础资料!$E$5:$E$104,0),900)*10000+ROW()))</f>
      </c>
      <c r="F2623">
        <f>IF(AND(出库明细!C2623&lt;&gt;"",出库明细!C2623=客户对账单!$B$4,ISNUMBER(出库明细!B2623),出库明细!B2623&gt;=客户对账单!$G$4,出库明细!B2623&lt;=客户对账单!$I$4),出库明细!B2623+ROW()/100000,"")</f>
      </c>
      <c r="H2623">
        <f>IF(AND(资金台帐!K1126&lt;&gt;"",资金台帐!K1126=供应商对账单!$B$4,资金台帐!P1126="应付",ISNUMBER(资金台帐!B1126),资金台帐!B1126&gt;=供应商对账单!$G$4,资金台帐!B1126&lt;=供应商对账单!$I$4),资金台帐!B1126+ROW()/100000,"")</f>
      </c>
      <c r="N2623">
        <f>IF(AND(ISNUMBER(出库明细!G2623),ISNUMBER(出库明细!E2623),ISNUMBER(出库明细!F2623)),IF(ABS(出库明细!G2623-出库明细!E2623*出库明细!F2623)&gt;0.005,1,0),0)</f>
        <v>0</v>
      </c>
    </row>
    <row r="2624">
      <c r="A2624">
        <f>IF(OR(出库明细!C1624="",出库明细!D1624=""),"",IF(OR(COUNTIFS(存条明细!$C$4:$C$1003,出库明细!C1624,存条明细!$D$4:$D$1003,出库明细!D1624)&gt;0,COUNTIFS(出库明细!$C$4:C1624,出库明细!C1624,出库明细!$D$4:D1624,出库明细!D1624)&gt;1),"",IFERROR(MATCH(出库明细!C1624,总览汇总!$B$5:$B$304,0),900)*10000000+IFERROR(MATCH(出库明细!D1624,基础资料!$E$5:$E$104,0),900)*10000+ROW()))</f>
      </c>
      <c r="F2624">
        <f>IF(AND(出库明细!C2624&lt;&gt;"",出库明细!C2624=客户对账单!$B$4,ISNUMBER(出库明细!B2624),出库明细!B2624&gt;=客户对账单!$G$4,出库明细!B2624&lt;=客户对账单!$I$4),出库明细!B2624+ROW()/100000,"")</f>
      </c>
      <c r="H2624">
        <f>IF(AND(资金台帐!K1127&lt;&gt;"",资金台帐!K1127=供应商对账单!$B$4,资金台帐!P1127="应付",ISNUMBER(资金台帐!B1127),资金台帐!B1127&gt;=供应商对账单!$G$4,资金台帐!B1127&lt;=供应商对账单!$I$4),资金台帐!B1127+ROW()/100000,"")</f>
      </c>
      <c r="N2624">
        <f>IF(AND(ISNUMBER(出库明细!G2624),ISNUMBER(出库明细!E2624),ISNUMBER(出库明细!F2624)),IF(ABS(出库明细!G2624-出库明细!E2624*出库明细!F2624)&gt;0.005,1,0),0)</f>
        <v>0</v>
      </c>
    </row>
    <row r="2625">
      <c r="A2625">
        <f>IF(OR(出库明细!C1625="",出库明细!D1625=""),"",IF(OR(COUNTIFS(存条明细!$C$4:$C$1003,出库明细!C1625,存条明细!$D$4:$D$1003,出库明细!D1625)&gt;0,COUNTIFS(出库明细!$C$4:C1625,出库明细!C1625,出库明细!$D$4:D1625,出库明细!D1625)&gt;1),"",IFERROR(MATCH(出库明细!C1625,总览汇总!$B$5:$B$304,0),900)*10000000+IFERROR(MATCH(出库明细!D1625,基础资料!$E$5:$E$104,0),900)*10000+ROW()))</f>
      </c>
      <c r="F2625">
        <f>IF(AND(出库明细!C2625&lt;&gt;"",出库明细!C2625=客户对账单!$B$4,ISNUMBER(出库明细!B2625),出库明细!B2625&gt;=客户对账单!$G$4,出库明细!B2625&lt;=客户对账单!$I$4),出库明细!B2625+ROW()/100000,"")</f>
      </c>
      <c r="H2625">
        <f>IF(AND(资金台帐!K1128&lt;&gt;"",资金台帐!K1128=供应商对账单!$B$4,资金台帐!P1128="应付",ISNUMBER(资金台帐!B1128),资金台帐!B1128&gt;=供应商对账单!$G$4,资金台帐!B1128&lt;=供应商对账单!$I$4),资金台帐!B1128+ROW()/100000,"")</f>
      </c>
      <c r="N2625">
        <f>IF(AND(ISNUMBER(出库明细!G2625),ISNUMBER(出库明细!E2625),ISNUMBER(出库明细!F2625)),IF(ABS(出库明细!G2625-出库明细!E2625*出库明细!F2625)&gt;0.005,1,0),0)</f>
        <v>0</v>
      </c>
    </row>
    <row r="2626">
      <c r="A2626">
        <f>IF(OR(出库明细!C1626="",出库明细!D1626=""),"",IF(OR(COUNTIFS(存条明细!$C$4:$C$1003,出库明细!C1626,存条明细!$D$4:$D$1003,出库明细!D1626)&gt;0,COUNTIFS(出库明细!$C$4:C1626,出库明细!C1626,出库明细!$D$4:D1626,出库明细!D1626)&gt;1),"",IFERROR(MATCH(出库明细!C1626,总览汇总!$B$5:$B$304,0),900)*10000000+IFERROR(MATCH(出库明细!D1626,基础资料!$E$5:$E$104,0),900)*10000+ROW()))</f>
      </c>
      <c r="F2626">
        <f>IF(AND(出库明细!C2626&lt;&gt;"",出库明细!C2626=客户对账单!$B$4,ISNUMBER(出库明细!B2626),出库明细!B2626&gt;=客户对账单!$G$4,出库明细!B2626&lt;=客户对账单!$I$4),出库明细!B2626+ROW()/100000,"")</f>
      </c>
      <c r="H2626">
        <f>IF(AND(资金台帐!K1129&lt;&gt;"",资金台帐!K1129=供应商对账单!$B$4,资金台帐!P1129="应付",ISNUMBER(资金台帐!B1129),资金台帐!B1129&gt;=供应商对账单!$G$4,资金台帐!B1129&lt;=供应商对账单!$I$4),资金台帐!B1129+ROW()/100000,"")</f>
      </c>
      <c r="N2626">
        <f>IF(AND(ISNUMBER(出库明细!G2626),ISNUMBER(出库明细!E2626),ISNUMBER(出库明细!F2626)),IF(ABS(出库明细!G2626-出库明细!E2626*出库明细!F2626)&gt;0.005,1,0),0)</f>
        <v>0</v>
      </c>
    </row>
    <row r="2627">
      <c r="A2627">
        <f>IF(OR(出库明细!C1627="",出库明细!D1627=""),"",IF(OR(COUNTIFS(存条明细!$C$4:$C$1003,出库明细!C1627,存条明细!$D$4:$D$1003,出库明细!D1627)&gt;0,COUNTIFS(出库明细!$C$4:C1627,出库明细!C1627,出库明细!$D$4:D1627,出库明细!D1627)&gt;1),"",IFERROR(MATCH(出库明细!C1627,总览汇总!$B$5:$B$304,0),900)*10000000+IFERROR(MATCH(出库明细!D1627,基础资料!$E$5:$E$104,0),900)*10000+ROW()))</f>
      </c>
      <c r="F2627">
        <f>IF(AND(出库明细!C2627&lt;&gt;"",出库明细!C2627=客户对账单!$B$4,ISNUMBER(出库明细!B2627),出库明细!B2627&gt;=客户对账单!$G$4,出库明细!B2627&lt;=客户对账单!$I$4),出库明细!B2627+ROW()/100000,"")</f>
      </c>
      <c r="H2627">
        <f>IF(AND(资金台帐!K1130&lt;&gt;"",资金台帐!K1130=供应商对账单!$B$4,资金台帐!P1130="应付",ISNUMBER(资金台帐!B1130),资金台帐!B1130&gt;=供应商对账单!$G$4,资金台帐!B1130&lt;=供应商对账单!$I$4),资金台帐!B1130+ROW()/100000,"")</f>
      </c>
      <c r="N2627">
        <f>IF(AND(ISNUMBER(出库明细!G2627),ISNUMBER(出库明细!E2627),ISNUMBER(出库明细!F2627)),IF(ABS(出库明细!G2627-出库明细!E2627*出库明细!F2627)&gt;0.005,1,0),0)</f>
        <v>0</v>
      </c>
    </row>
    <row r="2628">
      <c r="A2628">
        <f>IF(OR(出库明细!C1628="",出库明细!D1628=""),"",IF(OR(COUNTIFS(存条明细!$C$4:$C$1003,出库明细!C1628,存条明细!$D$4:$D$1003,出库明细!D1628)&gt;0,COUNTIFS(出库明细!$C$4:C1628,出库明细!C1628,出库明细!$D$4:D1628,出库明细!D1628)&gt;1),"",IFERROR(MATCH(出库明细!C1628,总览汇总!$B$5:$B$304,0),900)*10000000+IFERROR(MATCH(出库明细!D1628,基础资料!$E$5:$E$104,0),900)*10000+ROW()))</f>
      </c>
      <c r="F2628">
        <f>IF(AND(出库明细!C2628&lt;&gt;"",出库明细!C2628=客户对账单!$B$4,ISNUMBER(出库明细!B2628),出库明细!B2628&gt;=客户对账单!$G$4,出库明细!B2628&lt;=客户对账单!$I$4),出库明细!B2628+ROW()/100000,"")</f>
      </c>
      <c r="H2628">
        <f>IF(AND(资金台帐!K1131&lt;&gt;"",资金台帐!K1131=供应商对账单!$B$4,资金台帐!P1131="应付",ISNUMBER(资金台帐!B1131),资金台帐!B1131&gt;=供应商对账单!$G$4,资金台帐!B1131&lt;=供应商对账单!$I$4),资金台帐!B1131+ROW()/100000,"")</f>
      </c>
      <c r="N2628">
        <f>IF(AND(ISNUMBER(出库明细!G2628),ISNUMBER(出库明细!E2628),ISNUMBER(出库明细!F2628)),IF(ABS(出库明细!G2628-出库明细!E2628*出库明细!F2628)&gt;0.005,1,0),0)</f>
        <v>0</v>
      </c>
    </row>
    <row r="2629">
      <c r="A2629">
        <f>IF(OR(出库明细!C1629="",出库明细!D1629=""),"",IF(OR(COUNTIFS(存条明细!$C$4:$C$1003,出库明细!C1629,存条明细!$D$4:$D$1003,出库明细!D1629)&gt;0,COUNTIFS(出库明细!$C$4:C1629,出库明细!C1629,出库明细!$D$4:D1629,出库明细!D1629)&gt;1),"",IFERROR(MATCH(出库明细!C1629,总览汇总!$B$5:$B$304,0),900)*10000000+IFERROR(MATCH(出库明细!D1629,基础资料!$E$5:$E$104,0),900)*10000+ROW()))</f>
      </c>
      <c r="F2629">
        <f>IF(AND(出库明细!C2629&lt;&gt;"",出库明细!C2629=客户对账单!$B$4,ISNUMBER(出库明细!B2629),出库明细!B2629&gt;=客户对账单!$G$4,出库明细!B2629&lt;=客户对账单!$I$4),出库明细!B2629+ROW()/100000,"")</f>
      </c>
      <c r="H2629">
        <f>IF(AND(资金台帐!K1132&lt;&gt;"",资金台帐!K1132=供应商对账单!$B$4,资金台帐!P1132="应付",ISNUMBER(资金台帐!B1132),资金台帐!B1132&gt;=供应商对账单!$G$4,资金台帐!B1132&lt;=供应商对账单!$I$4),资金台帐!B1132+ROW()/100000,"")</f>
      </c>
      <c r="N2629">
        <f>IF(AND(ISNUMBER(出库明细!G2629),ISNUMBER(出库明细!E2629),ISNUMBER(出库明细!F2629)),IF(ABS(出库明细!G2629-出库明细!E2629*出库明细!F2629)&gt;0.005,1,0),0)</f>
        <v>0</v>
      </c>
    </row>
    <row r="2630">
      <c r="A2630">
        <f>IF(OR(出库明细!C1630="",出库明细!D1630=""),"",IF(OR(COUNTIFS(存条明细!$C$4:$C$1003,出库明细!C1630,存条明细!$D$4:$D$1003,出库明细!D1630)&gt;0,COUNTIFS(出库明细!$C$4:C1630,出库明细!C1630,出库明细!$D$4:D1630,出库明细!D1630)&gt;1),"",IFERROR(MATCH(出库明细!C1630,总览汇总!$B$5:$B$304,0),900)*10000000+IFERROR(MATCH(出库明细!D1630,基础资料!$E$5:$E$104,0),900)*10000+ROW()))</f>
      </c>
      <c r="F2630">
        <f>IF(AND(出库明细!C2630&lt;&gt;"",出库明细!C2630=客户对账单!$B$4,ISNUMBER(出库明细!B2630),出库明细!B2630&gt;=客户对账单!$G$4,出库明细!B2630&lt;=客户对账单!$I$4),出库明细!B2630+ROW()/100000,"")</f>
      </c>
      <c r="H2630">
        <f>IF(AND(资金台帐!K1133&lt;&gt;"",资金台帐!K1133=供应商对账单!$B$4,资金台帐!P1133="应付",ISNUMBER(资金台帐!B1133),资金台帐!B1133&gt;=供应商对账单!$G$4,资金台帐!B1133&lt;=供应商对账单!$I$4),资金台帐!B1133+ROW()/100000,"")</f>
      </c>
      <c r="N2630">
        <f>IF(AND(ISNUMBER(出库明细!G2630),ISNUMBER(出库明细!E2630),ISNUMBER(出库明细!F2630)),IF(ABS(出库明细!G2630-出库明细!E2630*出库明细!F2630)&gt;0.005,1,0),0)</f>
        <v>0</v>
      </c>
    </row>
    <row r="2631">
      <c r="A2631">
        <f>IF(OR(出库明细!C1631="",出库明细!D1631=""),"",IF(OR(COUNTIFS(存条明细!$C$4:$C$1003,出库明细!C1631,存条明细!$D$4:$D$1003,出库明细!D1631)&gt;0,COUNTIFS(出库明细!$C$4:C1631,出库明细!C1631,出库明细!$D$4:D1631,出库明细!D1631)&gt;1),"",IFERROR(MATCH(出库明细!C1631,总览汇总!$B$5:$B$304,0),900)*10000000+IFERROR(MATCH(出库明细!D1631,基础资料!$E$5:$E$104,0),900)*10000+ROW()))</f>
      </c>
      <c r="F2631">
        <f>IF(AND(出库明细!C2631&lt;&gt;"",出库明细!C2631=客户对账单!$B$4,ISNUMBER(出库明细!B2631),出库明细!B2631&gt;=客户对账单!$G$4,出库明细!B2631&lt;=客户对账单!$I$4),出库明细!B2631+ROW()/100000,"")</f>
      </c>
      <c r="H2631">
        <f>IF(AND(资金台帐!K1134&lt;&gt;"",资金台帐!K1134=供应商对账单!$B$4,资金台帐!P1134="应付",ISNUMBER(资金台帐!B1134),资金台帐!B1134&gt;=供应商对账单!$G$4,资金台帐!B1134&lt;=供应商对账单!$I$4),资金台帐!B1134+ROW()/100000,"")</f>
      </c>
      <c r="N2631">
        <f>IF(AND(ISNUMBER(出库明细!G2631),ISNUMBER(出库明细!E2631),ISNUMBER(出库明细!F2631)),IF(ABS(出库明细!G2631-出库明细!E2631*出库明细!F2631)&gt;0.005,1,0),0)</f>
        <v>0</v>
      </c>
    </row>
    <row r="2632">
      <c r="A2632">
        <f>IF(OR(出库明细!C1632="",出库明细!D1632=""),"",IF(OR(COUNTIFS(存条明细!$C$4:$C$1003,出库明细!C1632,存条明细!$D$4:$D$1003,出库明细!D1632)&gt;0,COUNTIFS(出库明细!$C$4:C1632,出库明细!C1632,出库明细!$D$4:D1632,出库明细!D1632)&gt;1),"",IFERROR(MATCH(出库明细!C1632,总览汇总!$B$5:$B$304,0),900)*10000000+IFERROR(MATCH(出库明细!D1632,基础资料!$E$5:$E$104,0),900)*10000+ROW()))</f>
      </c>
      <c r="F2632">
        <f>IF(AND(出库明细!C2632&lt;&gt;"",出库明细!C2632=客户对账单!$B$4,ISNUMBER(出库明细!B2632),出库明细!B2632&gt;=客户对账单!$G$4,出库明细!B2632&lt;=客户对账单!$I$4),出库明细!B2632+ROW()/100000,"")</f>
      </c>
      <c r="H2632">
        <f>IF(AND(资金台帐!K1135&lt;&gt;"",资金台帐!K1135=供应商对账单!$B$4,资金台帐!P1135="应付",ISNUMBER(资金台帐!B1135),资金台帐!B1135&gt;=供应商对账单!$G$4,资金台帐!B1135&lt;=供应商对账单!$I$4),资金台帐!B1135+ROW()/100000,"")</f>
      </c>
      <c r="N2632">
        <f>IF(AND(ISNUMBER(出库明细!G2632),ISNUMBER(出库明细!E2632),ISNUMBER(出库明细!F2632)),IF(ABS(出库明细!G2632-出库明细!E2632*出库明细!F2632)&gt;0.005,1,0),0)</f>
        <v>0</v>
      </c>
    </row>
    <row r="2633">
      <c r="A2633">
        <f>IF(OR(出库明细!C1633="",出库明细!D1633=""),"",IF(OR(COUNTIFS(存条明细!$C$4:$C$1003,出库明细!C1633,存条明细!$D$4:$D$1003,出库明细!D1633)&gt;0,COUNTIFS(出库明细!$C$4:C1633,出库明细!C1633,出库明细!$D$4:D1633,出库明细!D1633)&gt;1),"",IFERROR(MATCH(出库明细!C1633,总览汇总!$B$5:$B$304,0),900)*10000000+IFERROR(MATCH(出库明细!D1633,基础资料!$E$5:$E$104,0),900)*10000+ROW()))</f>
      </c>
      <c r="F2633">
        <f>IF(AND(出库明细!C2633&lt;&gt;"",出库明细!C2633=客户对账单!$B$4,ISNUMBER(出库明细!B2633),出库明细!B2633&gt;=客户对账单!$G$4,出库明细!B2633&lt;=客户对账单!$I$4),出库明细!B2633+ROW()/100000,"")</f>
      </c>
      <c r="H2633">
        <f>IF(AND(资金台帐!K1136&lt;&gt;"",资金台帐!K1136=供应商对账单!$B$4,资金台帐!P1136="应付",ISNUMBER(资金台帐!B1136),资金台帐!B1136&gt;=供应商对账单!$G$4,资金台帐!B1136&lt;=供应商对账单!$I$4),资金台帐!B1136+ROW()/100000,"")</f>
      </c>
      <c r="N2633">
        <f>IF(AND(ISNUMBER(出库明细!G2633),ISNUMBER(出库明细!E2633),ISNUMBER(出库明细!F2633)),IF(ABS(出库明细!G2633-出库明细!E2633*出库明细!F2633)&gt;0.005,1,0),0)</f>
        <v>0</v>
      </c>
    </row>
    <row r="2634">
      <c r="A2634">
        <f>IF(OR(出库明细!C1634="",出库明细!D1634=""),"",IF(OR(COUNTIFS(存条明细!$C$4:$C$1003,出库明细!C1634,存条明细!$D$4:$D$1003,出库明细!D1634)&gt;0,COUNTIFS(出库明细!$C$4:C1634,出库明细!C1634,出库明细!$D$4:D1634,出库明细!D1634)&gt;1),"",IFERROR(MATCH(出库明细!C1634,总览汇总!$B$5:$B$304,0),900)*10000000+IFERROR(MATCH(出库明细!D1634,基础资料!$E$5:$E$104,0),900)*10000+ROW()))</f>
      </c>
      <c r="F2634">
        <f>IF(AND(出库明细!C2634&lt;&gt;"",出库明细!C2634=客户对账单!$B$4,ISNUMBER(出库明细!B2634),出库明细!B2634&gt;=客户对账单!$G$4,出库明细!B2634&lt;=客户对账单!$I$4),出库明细!B2634+ROW()/100000,"")</f>
      </c>
      <c r="H2634">
        <f>IF(AND(资金台帐!K1137&lt;&gt;"",资金台帐!K1137=供应商对账单!$B$4,资金台帐!P1137="应付",ISNUMBER(资金台帐!B1137),资金台帐!B1137&gt;=供应商对账单!$G$4,资金台帐!B1137&lt;=供应商对账单!$I$4),资金台帐!B1137+ROW()/100000,"")</f>
      </c>
      <c r="N2634">
        <f>IF(AND(ISNUMBER(出库明细!G2634),ISNUMBER(出库明细!E2634),ISNUMBER(出库明细!F2634)),IF(ABS(出库明细!G2634-出库明细!E2634*出库明细!F2634)&gt;0.005,1,0),0)</f>
        <v>0</v>
      </c>
    </row>
    <row r="2635">
      <c r="A2635">
        <f>IF(OR(出库明细!C1635="",出库明细!D1635=""),"",IF(OR(COUNTIFS(存条明细!$C$4:$C$1003,出库明细!C1635,存条明细!$D$4:$D$1003,出库明细!D1635)&gt;0,COUNTIFS(出库明细!$C$4:C1635,出库明细!C1635,出库明细!$D$4:D1635,出库明细!D1635)&gt;1),"",IFERROR(MATCH(出库明细!C1635,总览汇总!$B$5:$B$304,0),900)*10000000+IFERROR(MATCH(出库明细!D1635,基础资料!$E$5:$E$104,0),900)*10000+ROW()))</f>
      </c>
      <c r="F2635">
        <f>IF(AND(出库明细!C2635&lt;&gt;"",出库明细!C2635=客户对账单!$B$4,ISNUMBER(出库明细!B2635),出库明细!B2635&gt;=客户对账单!$G$4,出库明细!B2635&lt;=客户对账单!$I$4),出库明细!B2635+ROW()/100000,"")</f>
      </c>
      <c r="H2635">
        <f>IF(AND(资金台帐!K1138&lt;&gt;"",资金台帐!K1138=供应商对账单!$B$4,资金台帐!P1138="应付",ISNUMBER(资金台帐!B1138),资金台帐!B1138&gt;=供应商对账单!$G$4,资金台帐!B1138&lt;=供应商对账单!$I$4),资金台帐!B1138+ROW()/100000,"")</f>
      </c>
      <c r="N2635">
        <f>IF(AND(ISNUMBER(出库明细!G2635),ISNUMBER(出库明细!E2635),ISNUMBER(出库明细!F2635)),IF(ABS(出库明细!G2635-出库明细!E2635*出库明细!F2635)&gt;0.005,1,0),0)</f>
        <v>0</v>
      </c>
    </row>
    <row r="2636">
      <c r="A2636">
        <f>IF(OR(出库明细!C1636="",出库明细!D1636=""),"",IF(OR(COUNTIFS(存条明细!$C$4:$C$1003,出库明细!C1636,存条明细!$D$4:$D$1003,出库明细!D1636)&gt;0,COUNTIFS(出库明细!$C$4:C1636,出库明细!C1636,出库明细!$D$4:D1636,出库明细!D1636)&gt;1),"",IFERROR(MATCH(出库明细!C1636,总览汇总!$B$5:$B$304,0),900)*10000000+IFERROR(MATCH(出库明细!D1636,基础资料!$E$5:$E$104,0),900)*10000+ROW()))</f>
      </c>
      <c r="F2636">
        <f>IF(AND(出库明细!C2636&lt;&gt;"",出库明细!C2636=客户对账单!$B$4,ISNUMBER(出库明细!B2636),出库明细!B2636&gt;=客户对账单!$G$4,出库明细!B2636&lt;=客户对账单!$I$4),出库明细!B2636+ROW()/100000,"")</f>
      </c>
      <c r="H2636">
        <f>IF(AND(资金台帐!K1139&lt;&gt;"",资金台帐!K1139=供应商对账单!$B$4,资金台帐!P1139="应付",ISNUMBER(资金台帐!B1139),资金台帐!B1139&gt;=供应商对账单!$G$4,资金台帐!B1139&lt;=供应商对账单!$I$4),资金台帐!B1139+ROW()/100000,"")</f>
      </c>
      <c r="N2636">
        <f>IF(AND(ISNUMBER(出库明细!G2636),ISNUMBER(出库明细!E2636),ISNUMBER(出库明细!F2636)),IF(ABS(出库明细!G2636-出库明细!E2636*出库明细!F2636)&gt;0.005,1,0),0)</f>
        <v>0</v>
      </c>
    </row>
    <row r="2637">
      <c r="A2637">
        <f>IF(OR(出库明细!C1637="",出库明细!D1637=""),"",IF(OR(COUNTIFS(存条明细!$C$4:$C$1003,出库明细!C1637,存条明细!$D$4:$D$1003,出库明细!D1637)&gt;0,COUNTIFS(出库明细!$C$4:C1637,出库明细!C1637,出库明细!$D$4:D1637,出库明细!D1637)&gt;1),"",IFERROR(MATCH(出库明细!C1637,总览汇总!$B$5:$B$304,0),900)*10000000+IFERROR(MATCH(出库明细!D1637,基础资料!$E$5:$E$104,0),900)*10000+ROW()))</f>
      </c>
      <c r="F2637">
        <f>IF(AND(出库明细!C2637&lt;&gt;"",出库明细!C2637=客户对账单!$B$4,ISNUMBER(出库明细!B2637),出库明细!B2637&gt;=客户对账单!$G$4,出库明细!B2637&lt;=客户对账单!$I$4),出库明细!B2637+ROW()/100000,"")</f>
      </c>
      <c r="H2637">
        <f>IF(AND(资金台帐!K1140&lt;&gt;"",资金台帐!K1140=供应商对账单!$B$4,资金台帐!P1140="应付",ISNUMBER(资金台帐!B1140),资金台帐!B1140&gt;=供应商对账单!$G$4,资金台帐!B1140&lt;=供应商对账单!$I$4),资金台帐!B1140+ROW()/100000,"")</f>
      </c>
      <c r="N2637">
        <f>IF(AND(ISNUMBER(出库明细!G2637),ISNUMBER(出库明细!E2637),ISNUMBER(出库明细!F2637)),IF(ABS(出库明细!G2637-出库明细!E2637*出库明细!F2637)&gt;0.005,1,0),0)</f>
        <v>0</v>
      </c>
    </row>
    <row r="2638">
      <c r="A2638">
        <f>IF(OR(出库明细!C1638="",出库明细!D1638=""),"",IF(OR(COUNTIFS(存条明细!$C$4:$C$1003,出库明细!C1638,存条明细!$D$4:$D$1003,出库明细!D1638)&gt;0,COUNTIFS(出库明细!$C$4:C1638,出库明细!C1638,出库明细!$D$4:D1638,出库明细!D1638)&gt;1),"",IFERROR(MATCH(出库明细!C1638,总览汇总!$B$5:$B$304,0),900)*10000000+IFERROR(MATCH(出库明细!D1638,基础资料!$E$5:$E$104,0),900)*10000+ROW()))</f>
      </c>
      <c r="F2638">
        <f>IF(AND(出库明细!C2638&lt;&gt;"",出库明细!C2638=客户对账单!$B$4,ISNUMBER(出库明细!B2638),出库明细!B2638&gt;=客户对账单!$G$4,出库明细!B2638&lt;=客户对账单!$I$4),出库明细!B2638+ROW()/100000,"")</f>
      </c>
      <c r="H2638">
        <f>IF(AND(资金台帐!K1141&lt;&gt;"",资金台帐!K1141=供应商对账单!$B$4,资金台帐!P1141="应付",ISNUMBER(资金台帐!B1141),资金台帐!B1141&gt;=供应商对账单!$G$4,资金台帐!B1141&lt;=供应商对账单!$I$4),资金台帐!B1141+ROW()/100000,"")</f>
      </c>
      <c r="N2638">
        <f>IF(AND(ISNUMBER(出库明细!G2638),ISNUMBER(出库明细!E2638),ISNUMBER(出库明细!F2638)),IF(ABS(出库明细!G2638-出库明细!E2638*出库明细!F2638)&gt;0.005,1,0),0)</f>
        <v>0</v>
      </c>
    </row>
    <row r="2639">
      <c r="A2639">
        <f>IF(OR(出库明细!C1639="",出库明细!D1639=""),"",IF(OR(COUNTIFS(存条明细!$C$4:$C$1003,出库明细!C1639,存条明细!$D$4:$D$1003,出库明细!D1639)&gt;0,COUNTIFS(出库明细!$C$4:C1639,出库明细!C1639,出库明细!$D$4:D1639,出库明细!D1639)&gt;1),"",IFERROR(MATCH(出库明细!C1639,总览汇总!$B$5:$B$304,0),900)*10000000+IFERROR(MATCH(出库明细!D1639,基础资料!$E$5:$E$104,0),900)*10000+ROW()))</f>
      </c>
      <c r="F2639">
        <f>IF(AND(出库明细!C2639&lt;&gt;"",出库明细!C2639=客户对账单!$B$4,ISNUMBER(出库明细!B2639),出库明细!B2639&gt;=客户对账单!$G$4,出库明细!B2639&lt;=客户对账单!$I$4),出库明细!B2639+ROW()/100000,"")</f>
      </c>
      <c r="H2639">
        <f>IF(AND(资金台帐!K1142&lt;&gt;"",资金台帐!K1142=供应商对账单!$B$4,资金台帐!P1142="应付",ISNUMBER(资金台帐!B1142),资金台帐!B1142&gt;=供应商对账单!$G$4,资金台帐!B1142&lt;=供应商对账单!$I$4),资金台帐!B1142+ROW()/100000,"")</f>
      </c>
      <c r="N2639">
        <f>IF(AND(ISNUMBER(出库明细!G2639),ISNUMBER(出库明细!E2639),ISNUMBER(出库明细!F2639)),IF(ABS(出库明细!G2639-出库明细!E2639*出库明细!F2639)&gt;0.005,1,0),0)</f>
        <v>0</v>
      </c>
    </row>
    <row r="2640">
      <c r="A2640">
        <f>IF(OR(出库明细!C1640="",出库明细!D1640=""),"",IF(OR(COUNTIFS(存条明细!$C$4:$C$1003,出库明细!C1640,存条明细!$D$4:$D$1003,出库明细!D1640)&gt;0,COUNTIFS(出库明细!$C$4:C1640,出库明细!C1640,出库明细!$D$4:D1640,出库明细!D1640)&gt;1),"",IFERROR(MATCH(出库明细!C1640,总览汇总!$B$5:$B$304,0),900)*10000000+IFERROR(MATCH(出库明细!D1640,基础资料!$E$5:$E$104,0),900)*10000+ROW()))</f>
      </c>
      <c r="F2640">
        <f>IF(AND(出库明细!C2640&lt;&gt;"",出库明细!C2640=客户对账单!$B$4,ISNUMBER(出库明细!B2640),出库明细!B2640&gt;=客户对账单!$G$4,出库明细!B2640&lt;=客户对账单!$I$4),出库明细!B2640+ROW()/100000,"")</f>
      </c>
      <c r="H2640">
        <f>IF(AND(资金台帐!K1143&lt;&gt;"",资金台帐!K1143=供应商对账单!$B$4,资金台帐!P1143="应付",ISNUMBER(资金台帐!B1143),资金台帐!B1143&gt;=供应商对账单!$G$4,资金台帐!B1143&lt;=供应商对账单!$I$4),资金台帐!B1143+ROW()/100000,"")</f>
      </c>
      <c r="N2640">
        <f>IF(AND(ISNUMBER(出库明细!G2640),ISNUMBER(出库明细!E2640),ISNUMBER(出库明细!F2640)),IF(ABS(出库明细!G2640-出库明细!E2640*出库明细!F2640)&gt;0.005,1,0),0)</f>
        <v>0</v>
      </c>
    </row>
    <row r="2641">
      <c r="A2641">
        <f>IF(OR(出库明细!C1641="",出库明细!D1641=""),"",IF(OR(COUNTIFS(存条明细!$C$4:$C$1003,出库明细!C1641,存条明细!$D$4:$D$1003,出库明细!D1641)&gt;0,COUNTIFS(出库明细!$C$4:C1641,出库明细!C1641,出库明细!$D$4:D1641,出库明细!D1641)&gt;1),"",IFERROR(MATCH(出库明细!C1641,总览汇总!$B$5:$B$304,0),900)*10000000+IFERROR(MATCH(出库明细!D1641,基础资料!$E$5:$E$104,0),900)*10000+ROW()))</f>
      </c>
      <c r="F2641">
        <f>IF(AND(出库明细!C2641&lt;&gt;"",出库明细!C2641=客户对账单!$B$4,ISNUMBER(出库明细!B2641),出库明细!B2641&gt;=客户对账单!$G$4,出库明细!B2641&lt;=客户对账单!$I$4),出库明细!B2641+ROW()/100000,"")</f>
      </c>
      <c r="H2641">
        <f>IF(AND(资金台帐!K1144&lt;&gt;"",资金台帐!K1144=供应商对账单!$B$4,资金台帐!P1144="应付",ISNUMBER(资金台帐!B1144),资金台帐!B1144&gt;=供应商对账单!$G$4,资金台帐!B1144&lt;=供应商对账单!$I$4),资金台帐!B1144+ROW()/100000,"")</f>
      </c>
      <c r="N2641">
        <f>IF(AND(ISNUMBER(出库明细!G2641),ISNUMBER(出库明细!E2641),ISNUMBER(出库明细!F2641)),IF(ABS(出库明细!G2641-出库明细!E2641*出库明细!F2641)&gt;0.005,1,0),0)</f>
        <v>0</v>
      </c>
    </row>
    <row r="2642">
      <c r="A2642">
        <f>IF(OR(出库明细!C1642="",出库明细!D1642=""),"",IF(OR(COUNTIFS(存条明细!$C$4:$C$1003,出库明细!C1642,存条明细!$D$4:$D$1003,出库明细!D1642)&gt;0,COUNTIFS(出库明细!$C$4:C1642,出库明细!C1642,出库明细!$D$4:D1642,出库明细!D1642)&gt;1),"",IFERROR(MATCH(出库明细!C1642,总览汇总!$B$5:$B$304,0),900)*10000000+IFERROR(MATCH(出库明细!D1642,基础资料!$E$5:$E$104,0),900)*10000+ROW()))</f>
      </c>
      <c r="F2642">
        <f>IF(AND(出库明细!C2642&lt;&gt;"",出库明细!C2642=客户对账单!$B$4,ISNUMBER(出库明细!B2642),出库明细!B2642&gt;=客户对账单!$G$4,出库明细!B2642&lt;=客户对账单!$I$4),出库明细!B2642+ROW()/100000,"")</f>
      </c>
      <c r="H2642">
        <f>IF(AND(资金台帐!K1145&lt;&gt;"",资金台帐!K1145=供应商对账单!$B$4,资金台帐!P1145="应付",ISNUMBER(资金台帐!B1145),资金台帐!B1145&gt;=供应商对账单!$G$4,资金台帐!B1145&lt;=供应商对账单!$I$4),资金台帐!B1145+ROW()/100000,"")</f>
      </c>
      <c r="N2642">
        <f>IF(AND(ISNUMBER(出库明细!G2642),ISNUMBER(出库明细!E2642),ISNUMBER(出库明细!F2642)),IF(ABS(出库明细!G2642-出库明细!E2642*出库明细!F2642)&gt;0.005,1,0),0)</f>
        <v>0</v>
      </c>
    </row>
    <row r="2643">
      <c r="A2643">
        <f>IF(OR(出库明细!C1643="",出库明细!D1643=""),"",IF(OR(COUNTIFS(存条明细!$C$4:$C$1003,出库明细!C1643,存条明细!$D$4:$D$1003,出库明细!D1643)&gt;0,COUNTIFS(出库明细!$C$4:C1643,出库明细!C1643,出库明细!$D$4:D1643,出库明细!D1643)&gt;1),"",IFERROR(MATCH(出库明细!C1643,总览汇总!$B$5:$B$304,0),900)*10000000+IFERROR(MATCH(出库明细!D1643,基础资料!$E$5:$E$104,0),900)*10000+ROW()))</f>
      </c>
      <c r="F2643">
        <f>IF(AND(出库明细!C2643&lt;&gt;"",出库明细!C2643=客户对账单!$B$4,ISNUMBER(出库明细!B2643),出库明细!B2643&gt;=客户对账单!$G$4,出库明细!B2643&lt;=客户对账单!$I$4),出库明细!B2643+ROW()/100000,"")</f>
      </c>
      <c r="H2643">
        <f>IF(AND(资金台帐!K1146&lt;&gt;"",资金台帐!K1146=供应商对账单!$B$4,资金台帐!P1146="应付",ISNUMBER(资金台帐!B1146),资金台帐!B1146&gt;=供应商对账单!$G$4,资金台帐!B1146&lt;=供应商对账单!$I$4),资金台帐!B1146+ROW()/100000,"")</f>
      </c>
      <c r="N2643">
        <f>IF(AND(ISNUMBER(出库明细!G2643),ISNUMBER(出库明细!E2643),ISNUMBER(出库明细!F2643)),IF(ABS(出库明细!G2643-出库明细!E2643*出库明细!F2643)&gt;0.005,1,0),0)</f>
        <v>0</v>
      </c>
    </row>
    <row r="2644">
      <c r="A2644">
        <f>IF(OR(出库明细!C1644="",出库明细!D1644=""),"",IF(OR(COUNTIFS(存条明细!$C$4:$C$1003,出库明细!C1644,存条明细!$D$4:$D$1003,出库明细!D1644)&gt;0,COUNTIFS(出库明细!$C$4:C1644,出库明细!C1644,出库明细!$D$4:D1644,出库明细!D1644)&gt;1),"",IFERROR(MATCH(出库明细!C1644,总览汇总!$B$5:$B$304,0),900)*10000000+IFERROR(MATCH(出库明细!D1644,基础资料!$E$5:$E$104,0),900)*10000+ROW()))</f>
      </c>
      <c r="F2644">
        <f>IF(AND(出库明细!C2644&lt;&gt;"",出库明细!C2644=客户对账单!$B$4,ISNUMBER(出库明细!B2644),出库明细!B2644&gt;=客户对账单!$G$4,出库明细!B2644&lt;=客户对账单!$I$4),出库明细!B2644+ROW()/100000,"")</f>
      </c>
      <c r="H2644">
        <f>IF(AND(资金台帐!K1147&lt;&gt;"",资金台帐!K1147=供应商对账单!$B$4,资金台帐!P1147="应付",ISNUMBER(资金台帐!B1147),资金台帐!B1147&gt;=供应商对账单!$G$4,资金台帐!B1147&lt;=供应商对账单!$I$4),资金台帐!B1147+ROW()/100000,"")</f>
      </c>
      <c r="N2644">
        <f>IF(AND(ISNUMBER(出库明细!G2644),ISNUMBER(出库明细!E2644),ISNUMBER(出库明细!F2644)),IF(ABS(出库明细!G2644-出库明细!E2644*出库明细!F2644)&gt;0.005,1,0),0)</f>
        <v>0</v>
      </c>
    </row>
    <row r="2645">
      <c r="A2645">
        <f>IF(OR(出库明细!C1645="",出库明细!D1645=""),"",IF(OR(COUNTIFS(存条明细!$C$4:$C$1003,出库明细!C1645,存条明细!$D$4:$D$1003,出库明细!D1645)&gt;0,COUNTIFS(出库明细!$C$4:C1645,出库明细!C1645,出库明细!$D$4:D1645,出库明细!D1645)&gt;1),"",IFERROR(MATCH(出库明细!C1645,总览汇总!$B$5:$B$304,0),900)*10000000+IFERROR(MATCH(出库明细!D1645,基础资料!$E$5:$E$104,0),900)*10000+ROW()))</f>
      </c>
      <c r="F2645">
        <f>IF(AND(出库明细!C2645&lt;&gt;"",出库明细!C2645=客户对账单!$B$4,ISNUMBER(出库明细!B2645),出库明细!B2645&gt;=客户对账单!$G$4,出库明细!B2645&lt;=客户对账单!$I$4),出库明细!B2645+ROW()/100000,"")</f>
      </c>
      <c r="H2645">
        <f>IF(AND(资金台帐!K1148&lt;&gt;"",资金台帐!K1148=供应商对账单!$B$4,资金台帐!P1148="应付",ISNUMBER(资金台帐!B1148),资金台帐!B1148&gt;=供应商对账单!$G$4,资金台帐!B1148&lt;=供应商对账单!$I$4),资金台帐!B1148+ROW()/100000,"")</f>
      </c>
      <c r="N2645">
        <f>IF(AND(ISNUMBER(出库明细!G2645),ISNUMBER(出库明细!E2645),ISNUMBER(出库明细!F2645)),IF(ABS(出库明细!G2645-出库明细!E2645*出库明细!F2645)&gt;0.005,1,0),0)</f>
        <v>0</v>
      </c>
    </row>
    <row r="2646">
      <c r="A2646">
        <f>IF(OR(出库明细!C1646="",出库明细!D1646=""),"",IF(OR(COUNTIFS(存条明细!$C$4:$C$1003,出库明细!C1646,存条明细!$D$4:$D$1003,出库明细!D1646)&gt;0,COUNTIFS(出库明细!$C$4:C1646,出库明细!C1646,出库明细!$D$4:D1646,出库明细!D1646)&gt;1),"",IFERROR(MATCH(出库明细!C1646,总览汇总!$B$5:$B$304,0),900)*10000000+IFERROR(MATCH(出库明细!D1646,基础资料!$E$5:$E$104,0),900)*10000+ROW()))</f>
      </c>
      <c r="F2646">
        <f>IF(AND(出库明细!C2646&lt;&gt;"",出库明细!C2646=客户对账单!$B$4,ISNUMBER(出库明细!B2646),出库明细!B2646&gt;=客户对账单!$G$4,出库明细!B2646&lt;=客户对账单!$I$4),出库明细!B2646+ROW()/100000,"")</f>
      </c>
      <c r="H2646">
        <f>IF(AND(资金台帐!K1149&lt;&gt;"",资金台帐!K1149=供应商对账单!$B$4,资金台帐!P1149="应付",ISNUMBER(资金台帐!B1149),资金台帐!B1149&gt;=供应商对账单!$G$4,资金台帐!B1149&lt;=供应商对账单!$I$4),资金台帐!B1149+ROW()/100000,"")</f>
      </c>
      <c r="N2646">
        <f>IF(AND(ISNUMBER(出库明细!G2646),ISNUMBER(出库明细!E2646),ISNUMBER(出库明细!F2646)),IF(ABS(出库明细!G2646-出库明细!E2646*出库明细!F2646)&gt;0.005,1,0),0)</f>
        <v>0</v>
      </c>
    </row>
    <row r="2647">
      <c r="A2647">
        <f>IF(OR(出库明细!C1647="",出库明细!D1647=""),"",IF(OR(COUNTIFS(存条明细!$C$4:$C$1003,出库明细!C1647,存条明细!$D$4:$D$1003,出库明细!D1647)&gt;0,COUNTIFS(出库明细!$C$4:C1647,出库明细!C1647,出库明细!$D$4:D1647,出库明细!D1647)&gt;1),"",IFERROR(MATCH(出库明细!C1647,总览汇总!$B$5:$B$304,0),900)*10000000+IFERROR(MATCH(出库明细!D1647,基础资料!$E$5:$E$104,0),900)*10000+ROW()))</f>
      </c>
      <c r="F2647">
        <f>IF(AND(出库明细!C2647&lt;&gt;"",出库明细!C2647=客户对账单!$B$4,ISNUMBER(出库明细!B2647),出库明细!B2647&gt;=客户对账单!$G$4,出库明细!B2647&lt;=客户对账单!$I$4),出库明细!B2647+ROW()/100000,"")</f>
      </c>
      <c r="H2647">
        <f>IF(AND(资金台帐!K1150&lt;&gt;"",资金台帐!K1150=供应商对账单!$B$4,资金台帐!P1150="应付",ISNUMBER(资金台帐!B1150),资金台帐!B1150&gt;=供应商对账单!$G$4,资金台帐!B1150&lt;=供应商对账单!$I$4),资金台帐!B1150+ROW()/100000,"")</f>
      </c>
      <c r="N2647">
        <f>IF(AND(ISNUMBER(出库明细!G2647),ISNUMBER(出库明细!E2647),ISNUMBER(出库明细!F2647)),IF(ABS(出库明细!G2647-出库明细!E2647*出库明细!F2647)&gt;0.005,1,0),0)</f>
        <v>0</v>
      </c>
    </row>
    <row r="2648">
      <c r="A2648">
        <f>IF(OR(出库明细!C1648="",出库明细!D1648=""),"",IF(OR(COUNTIFS(存条明细!$C$4:$C$1003,出库明细!C1648,存条明细!$D$4:$D$1003,出库明细!D1648)&gt;0,COUNTIFS(出库明细!$C$4:C1648,出库明细!C1648,出库明细!$D$4:D1648,出库明细!D1648)&gt;1),"",IFERROR(MATCH(出库明细!C1648,总览汇总!$B$5:$B$304,0),900)*10000000+IFERROR(MATCH(出库明细!D1648,基础资料!$E$5:$E$104,0),900)*10000+ROW()))</f>
      </c>
      <c r="F2648">
        <f>IF(AND(出库明细!C2648&lt;&gt;"",出库明细!C2648=客户对账单!$B$4,ISNUMBER(出库明细!B2648),出库明细!B2648&gt;=客户对账单!$G$4,出库明细!B2648&lt;=客户对账单!$I$4),出库明细!B2648+ROW()/100000,"")</f>
      </c>
      <c r="H2648">
        <f>IF(AND(资金台帐!K1151&lt;&gt;"",资金台帐!K1151=供应商对账单!$B$4,资金台帐!P1151="应付",ISNUMBER(资金台帐!B1151),资金台帐!B1151&gt;=供应商对账单!$G$4,资金台帐!B1151&lt;=供应商对账单!$I$4),资金台帐!B1151+ROW()/100000,"")</f>
      </c>
      <c r="N2648">
        <f>IF(AND(ISNUMBER(出库明细!G2648),ISNUMBER(出库明细!E2648),ISNUMBER(出库明细!F2648)),IF(ABS(出库明细!G2648-出库明细!E2648*出库明细!F2648)&gt;0.005,1,0),0)</f>
        <v>0</v>
      </c>
    </row>
    <row r="2649">
      <c r="A2649">
        <f>IF(OR(出库明细!C1649="",出库明细!D1649=""),"",IF(OR(COUNTIFS(存条明细!$C$4:$C$1003,出库明细!C1649,存条明细!$D$4:$D$1003,出库明细!D1649)&gt;0,COUNTIFS(出库明细!$C$4:C1649,出库明细!C1649,出库明细!$D$4:D1649,出库明细!D1649)&gt;1),"",IFERROR(MATCH(出库明细!C1649,总览汇总!$B$5:$B$304,0),900)*10000000+IFERROR(MATCH(出库明细!D1649,基础资料!$E$5:$E$104,0),900)*10000+ROW()))</f>
      </c>
      <c r="F2649">
        <f>IF(AND(出库明细!C2649&lt;&gt;"",出库明细!C2649=客户对账单!$B$4,ISNUMBER(出库明细!B2649),出库明细!B2649&gt;=客户对账单!$G$4,出库明细!B2649&lt;=客户对账单!$I$4),出库明细!B2649+ROW()/100000,"")</f>
      </c>
      <c r="H2649">
        <f>IF(AND(资金台帐!K1152&lt;&gt;"",资金台帐!K1152=供应商对账单!$B$4,资金台帐!P1152="应付",ISNUMBER(资金台帐!B1152),资金台帐!B1152&gt;=供应商对账单!$G$4,资金台帐!B1152&lt;=供应商对账单!$I$4),资金台帐!B1152+ROW()/100000,"")</f>
      </c>
      <c r="N2649">
        <f>IF(AND(ISNUMBER(出库明细!G2649),ISNUMBER(出库明细!E2649),ISNUMBER(出库明细!F2649)),IF(ABS(出库明细!G2649-出库明细!E2649*出库明细!F2649)&gt;0.005,1,0),0)</f>
        <v>0</v>
      </c>
    </row>
    <row r="2650">
      <c r="A2650">
        <f>IF(OR(出库明细!C1650="",出库明细!D1650=""),"",IF(OR(COUNTIFS(存条明细!$C$4:$C$1003,出库明细!C1650,存条明细!$D$4:$D$1003,出库明细!D1650)&gt;0,COUNTIFS(出库明细!$C$4:C1650,出库明细!C1650,出库明细!$D$4:D1650,出库明细!D1650)&gt;1),"",IFERROR(MATCH(出库明细!C1650,总览汇总!$B$5:$B$304,0),900)*10000000+IFERROR(MATCH(出库明细!D1650,基础资料!$E$5:$E$104,0),900)*10000+ROW()))</f>
      </c>
      <c r="F2650">
        <f>IF(AND(出库明细!C2650&lt;&gt;"",出库明细!C2650=客户对账单!$B$4,ISNUMBER(出库明细!B2650),出库明细!B2650&gt;=客户对账单!$G$4,出库明细!B2650&lt;=客户对账单!$I$4),出库明细!B2650+ROW()/100000,"")</f>
      </c>
      <c r="H2650">
        <f>IF(AND(资金台帐!K1153&lt;&gt;"",资金台帐!K1153=供应商对账单!$B$4,资金台帐!P1153="应付",ISNUMBER(资金台帐!B1153),资金台帐!B1153&gt;=供应商对账单!$G$4,资金台帐!B1153&lt;=供应商对账单!$I$4),资金台帐!B1153+ROW()/100000,"")</f>
      </c>
      <c r="N2650">
        <f>IF(AND(ISNUMBER(出库明细!G2650),ISNUMBER(出库明细!E2650),ISNUMBER(出库明细!F2650)),IF(ABS(出库明细!G2650-出库明细!E2650*出库明细!F2650)&gt;0.005,1,0),0)</f>
        <v>0</v>
      </c>
    </row>
    <row r="2651">
      <c r="A2651">
        <f>IF(OR(出库明细!C1651="",出库明细!D1651=""),"",IF(OR(COUNTIFS(存条明细!$C$4:$C$1003,出库明细!C1651,存条明细!$D$4:$D$1003,出库明细!D1651)&gt;0,COUNTIFS(出库明细!$C$4:C1651,出库明细!C1651,出库明细!$D$4:D1651,出库明细!D1651)&gt;1),"",IFERROR(MATCH(出库明细!C1651,总览汇总!$B$5:$B$304,0),900)*10000000+IFERROR(MATCH(出库明细!D1651,基础资料!$E$5:$E$104,0),900)*10000+ROW()))</f>
      </c>
      <c r="F2651">
        <f>IF(AND(出库明细!C2651&lt;&gt;"",出库明细!C2651=客户对账单!$B$4,ISNUMBER(出库明细!B2651),出库明细!B2651&gt;=客户对账单!$G$4,出库明细!B2651&lt;=客户对账单!$I$4),出库明细!B2651+ROW()/100000,"")</f>
      </c>
      <c r="H2651">
        <f>IF(AND(资金台帐!K1154&lt;&gt;"",资金台帐!K1154=供应商对账单!$B$4,资金台帐!P1154="应付",ISNUMBER(资金台帐!B1154),资金台帐!B1154&gt;=供应商对账单!$G$4,资金台帐!B1154&lt;=供应商对账单!$I$4),资金台帐!B1154+ROW()/100000,"")</f>
      </c>
      <c r="N2651">
        <f>IF(AND(ISNUMBER(出库明细!G2651),ISNUMBER(出库明细!E2651),ISNUMBER(出库明细!F2651)),IF(ABS(出库明细!G2651-出库明细!E2651*出库明细!F2651)&gt;0.005,1,0),0)</f>
        <v>0</v>
      </c>
    </row>
    <row r="2652">
      <c r="A2652">
        <f>IF(OR(出库明细!C1652="",出库明细!D1652=""),"",IF(OR(COUNTIFS(存条明细!$C$4:$C$1003,出库明细!C1652,存条明细!$D$4:$D$1003,出库明细!D1652)&gt;0,COUNTIFS(出库明细!$C$4:C1652,出库明细!C1652,出库明细!$D$4:D1652,出库明细!D1652)&gt;1),"",IFERROR(MATCH(出库明细!C1652,总览汇总!$B$5:$B$304,0),900)*10000000+IFERROR(MATCH(出库明细!D1652,基础资料!$E$5:$E$104,0),900)*10000+ROW()))</f>
      </c>
      <c r="F2652">
        <f>IF(AND(出库明细!C2652&lt;&gt;"",出库明细!C2652=客户对账单!$B$4,ISNUMBER(出库明细!B2652),出库明细!B2652&gt;=客户对账单!$G$4,出库明细!B2652&lt;=客户对账单!$I$4),出库明细!B2652+ROW()/100000,"")</f>
      </c>
      <c r="H2652">
        <f>IF(AND(资金台帐!K1155&lt;&gt;"",资金台帐!K1155=供应商对账单!$B$4,资金台帐!P1155="应付",ISNUMBER(资金台帐!B1155),资金台帐!B1155&gt;=供应商对账单!$G$4,资金台帐!B1155&lt;=供应商对账单!$I$4),资金台帐!B1155+ROW()/100000,"")</f>
      </c>
      <c r="N2652">
        <f>IF(AND(ISNUMBER(出库明细!G2652),ISNUMBER(出库明细!E2652),ISNUMBER(出库明细!F2652)),IF(ABS(出库明细!G2652-出库明细!E2652*出库明细!F2652)&gt;0.005,1,0),0)</f>
        <v>0</v>
      </c>
    </row>
    <row r="2653">
      <c r="A2653">
        <f>IF(OR(出库明细!C1653="",出库明细!D1653=""),"",IF(OR(COUNTIFS(存条明细!$C$4:$C$1003,出库明细!C1653,存条明细!$D$4:$D$1003,出库明细!D1653)&gt;0,COUNTIFS(出库明细!$C$4:C1653,出库明细!C1653,出库明细!$D$4:D1653,出库明细!D1653)&gt;1),"",IFERROR(MATCH(出库明细!C1653,总览汇总!$B$5:$B$304,0),900)*10000000+IFERROR(MATCH(出库明细!D1653,基础资料!$E$5:$E$104,0),900)*10000+ROW()))</f>
      </c>
      <c r="F2653">
        <f>IF(AND(出库明细!C2653&lt;&gt;"",出库明细!C2653=客户对账单!$B$4,ISNUMBER(出库明细!B2653),出库明细!B2653&gt;=客户对账单!$G$4,出库明细!B2653&lt;=客户对账单!$I$4),出库明细!B2653+ROW()/100000,"")</f>
      </c>
      <c r="H2653">
        <f>IF(AND(资金台帐!K1156&lt;&gt;"",资金台帐!K1156=供应商对账单!$B$4,资金台帐!P1156="应付",ISNUMBER(资金台帐!B1156),资金台帐!B1156&gt;=供应商对账单!$G$4,资金台帐!B1156&lt;=供应商对账单!$I$4),资金台帐!B1156+ROW()/100000,"")</f>
      </c>
      <c r="N2653">
        <f>IF(AND(ISNUMBER(出库明细!G2653),ISNUMBER(出库明细!E2653),ISNUMBER(出库明细!F2653)),IF(ABS(出库明细!G2653-出库明细!E2653*出库明细!F2653)&gt;0.005,1,0),0)</f>
        <v>0</v>
      </c>
    </row>
    <row r="2654">
      <c r="A2654">
        <f>IF(OR(出库明细!C1654="",出库明细!D1654=""),"",IF(OR(COUNTIFS(存条明细!$C$4:$C$1003,出库明细!C1654,存条明细!$D$4:$D$1003,出库明细!D1654)&gt;0,COUNTIFS(出库明细!$C$4:C1654,出库明细!C1654,出库明细!$D$4:D1654,出库明细!D1654)&gt;1),"",IFERROR(MATCH(出库明细!C1654,总览汇总!$B$5:$B$304,0),900)*10000000+IFERROR(MATCH(出库明细!D1654,基础资料!$E$5:$E$104,0),900)*10000+ROW()))</f>
      </c>
      <c r="F2654">
        <f>IF(AND(出库明细!C2654&lt;&gt;"",出库明细!C2654=客户对账单!$B$4,ISNUMBER(出库明细!B2654),出库明细!B2654&gt;=客户对账单!$G$4,出库明细!B2654&lt;=客户对账单!$I$4),出库明细!B2654+ROW()/100000,"")</f>
      </c>
      <c r="H2654">
        <f>IF(AND(资金台帐!K1157&lt;&gt;"",资金台帐!K1157=供应商对账单!$B$4,资金台帐!P1157="应付",ISNUMBER(资金台帐!B1157),资金台帐!B1157&gt;=供应商对账单!$G$4,资金台帐!B1157&lt;=供应商对账单!$I$4),资金台帐!B1157+ROW()/100000,"")</f>
      </c>
      <c r="N2654">
        <f>IF(AND(ISNUMBER(出库明细!G2654),ISNUMBER(出库明细!E2654),ISNUMBER(出库明细!F2654)),IF(ABS(出库明细!G2654-出库明细!E2654*出库明细!F2654)&gt;0.005,1,0),0)</f>
        <v>0</v>
      </c>
    </row>
    <row r="2655">
      <c r="A2655">
        <f>IF(OR(出库明细!C1655="",出库明细!D1655=""),"",IF(OR(COUNTIFS(存条明细!$C$4:$C$1003,出库明细!C1655,存条明细!$D$4:$D$1003,出库明细!D1655)&gt;0,COUNTIFS(出库明细!$C$4:C1655,出库明细!C1655,出库明细!$D$4:D1655,出库明细!D1655)&gt;1),"",IFERROR(MATCH(出库明细!C1655,总览汇总!$B$5:$B$304,0),900)*10000000+IFERROR(MATCH(出库明细!D1655,基础资料!$E$5:$E$104,0),900)*10000+ROW()))</f>
      </c>
      <c r="F2655">
        <f>IF(AND(出库明细!C2655&lt;&gt;"",出库明细!C2655=客户对账单!$B$4,ISNUMBER(出库明细!B2655),出库明细!B2655&gt;=客户对账单!$G$4,出库明细!B2655&lt;=客户对账单!$I$4),出库明细!B2655+ROW()/100000,"")</f>
      </c>
      <c r="H2655">
        <f>IF(AND(资金台帐!K1158&lt;&gt;"",资金台帐!K1158=供应商对账单!$B$4,资金台帐!P1158="应付",ISNUMBER(资金台帐!B1158),资金台帐!B1158&gt;=供应商对账单!$G$4,资金台帐!B1158&lt;=供应商对账单!$I$4),资金台帐!B1158+ROW()/100000,"")</f>
      </c>
      <c r="N2655">
        <f>IF(AND(ISNUMBER(出库明细!G2655),ISNUMBER(出库明细!E2655),ISNUMBER(出库明细!F2655)),IF(ABS(出库明细!G2655-出库明细!E2655*出库明细!F2655)&gt;0.005,1,0),0)</f>
        <v>0</v>
      </c>
    </row>
    <row r="2656">
      <c r="A2656">
        <f>IF(OR(出库明细!C1656="",出库明细!D1656=""),"",IF(OR(COUNTIFS(存条明细!$C$4:$C$1003,出库明细!C1656,存条明细!$D$4:$D$1003,出库明细!D1656)&gt;0,COUNTIFS(出库明细!$C$4:C1656,出库明细!C1656,出库明细!$D$4:D1656,出库明细!D1656)&gt;1),"",IFERROR(MATCH(出库明细!C1656,总览汇总!$B$5:$B$304,0),900)*10000000+IFERROR(MATCH(出库明细!D1656,基础资料!$E$5:$E$104,0),900)*10000+ROW()))</f>
      </c>
      <c r="F2656">
        <f>IF(AND(出库明细!C2656&lt;&gt;"",出库明细!C2656=客户对账单!$B$4,ISNUMBER(出库明细!B2656),出库明细!B2656&gt;=客户对账单!$G$4,出库明细!B2656&lt;=客户对账单!$I$4),出库明细!B2656+ROW()/100000,"")</f>
      </c>
      <c r="H2656">
        <f>IF(AND(资金台帐!K1159&lt;&gt;"",资金台帐!K1159=供应商对账单!$B$4,资金台帐!P1159="应付",ISNUMBER(资金台帐!B1159),资金台帐!B1159&gt;=供应商对账单!$G$4,资金台帐!B1159&lt;=供应商对账单!$I$4),资金台帐!B1159+ROW()/100000,"")</f>
      </c>
      <c r="N2656">
        <f>IF(AND(ISNUMBER(出库明细!G2656),ISNUMBER(出库明细!E2656),ISNUMBER(出库明细!F2656)),IF(ABS(出库明细!G2656-出库明细!E2656*出库明细!F2656)&gt;0.005,1,0),0)</f>
        <v>0</v>
      </c>
    </row>
    <row r="2657">
      <c r="A2657">
        <f>IF(OR(出库明细!C1657="",出库明细!D1657=""),"",IF(OR(COUNTIFS(存条明细!$C$4:$C$1003,出库明细!C1657,存条明细!$D$4:$D$1003,出库明细!D1657)&gt;0,COUNTIFS(出库明细!$C$4:C1657,出库明细!C1657,出库明细!$D$4:D1657,出库明细!D1657)&gt;1),"",IFERROR(MATCH(出库明细!C1657,总览汇总!$B$5:$B$304,0),900)*10000000+IFERROR(MATCH(出库明细!D1657,基础资料!$E$5:$E$104,0),900)*10000+ROW()))</f>
      </c>
      <c r="F2657">
        <f>IF(AND(出库明细!C2657&lt;&gt;"",出库明细!C2657=客户对账单!$B$4,ISNUMBER(出库明细!B2657),出库明细!B2657&gt;=客户对账单!$G$4,出库明细!B2657&lt;=客户对账单!$I$4),出库明细!B2657+ROW()/100000,"")</f>
      </c>
      <c r="H2657">
        <f>IF(AND(资金台帐!K1160&lt;&gt;"",资金台帐!K1160=供应商对账单!$B$4,资金台帐!P1160="应付",ISNUMBER(资金台帐!B1160),资金台帐!B1160&gt;=供应商对账单!$G$4,资金台帐!B1160&lt;=供应商对账单!$I$4),资金台帐!B1160+ROW()/100000,"")</f>
      </c>
      <c r="N2657">
        <f>IF(AND(ISNUMBER(出库明细!G2657),ISNUMBER(出库明细!E2657),ISNUMBER(出库明细!F2657)),IF(ABS(出库明细!G2657-出库明细!E2657*出库明细!F2657)&gt;0.005,1,0),0)</f>
        <v>0</v>
      </c>
    </row>
    <row r="2658">
      <c r="A2658">
        <f>IF(OR(出库明细!C1658="",出库明细!D1658=""),"",IF(OR(COUNTIFS(存条明细!$C$4:$C$1003,出库明细!C1658,存条明细!$D$4:$D$1003,出库明细!D1658)&gt;0,COUNTIFS(出库明细!$C$4:C1658,出库明细!C1658,出库明细!$D$4:D1658,出库明细!D1658)&gt;1),"",IFERROR(MATCH(出库明细!C1658,总览汇总!$B$5:$B$304,0),900)*10000000+IFERROR(MATCH(出库明细!D1658,基础资料!$E$5:$E$104,0),900)*10000+ROW()))</f>
      </c>
      <c r="F2658">
        <f>IF(AND(出库明细!C2658&lt;&gt;"",出库明细!C2658=客户对账单!$B$4,ISNUMBER(出库明细!B2658),出库明细!B2658&gt;=客户对账单!$G$4,出库明细!B2658&lt;=客户对账单!$I$4),出库明细!B2658+ROW()/100000,"")</f>
      </c>
      <c r="H2658">
        <f>IF(AND(资金台帐!K1161&lt;&gt;"",资金台帐!K1161=供应商对账单!$B$4,资金台帐!P1161="应付",ISNUMBER(资金台帐!B1161),资金台帐!B1161&gt;=供应商对账单!$G$4,资金台帐!B1161&lt;=供应商对账单!$I$4),资金台帐!B1161+ROW()/100000,"")</f>
      </c>
      <c r="N2658">
        <f>IF(AND(ISNUMBER(出库明细!G2658),ISNUMBER(出库明细!E2658),ISNUMBER(出库明细!F2658)),IF(ABS(出库明细!G2658-出库明细!E2658*出库明细!F2658)&gt;0.005,1,0),0)</f>
        <v>0</v>
      </c>
    </row>
    <row r="2659">
      <c r="A2659">
        <f>IF(OR(出库明细!C1659="",出库明细!D1659=""),"",IF(OR(COUNTIFS(存条明细!$C$4:$C$1003,出库明细!C1659,存条明细!$D$4:$D$1003,出库明细!D1659)&gt;0,COUNTIFS(出库明细!$C$4:C1659,出库明细!C1659,出库明细!$D$4:D1659,出库明细!D1659)&gt;1),"",IFERROR(MATCH(出库明细!C1659,总览汇总!$B$5:$B$304,0),900)*10000000+IFERROR(MATCH(出库明细!D1659,基础资料!$E$5:$E$104,0),900)*10000+ROW()))</f>
      </c>
      <c r="F2659">
        <f>IF(AND(出库明细!C2659&lt;&gt;"",出库明细!C2659=客户对账单!$B$4,ISNUMBER(出库明细!B2659),出库明细!B2659&gt;=客户对账单!$G$4,出库明细!B2659&lt;=客户对账单!$I$4),出库明细!B2659+ROW()/100000,"")</f>
      </c>
      <c r="H2659">
        <f>IF(AND(资金台帐!K1162&lt;&gt;"",资金台帐!K1162=供应商对账单!$B$4,资金台帐!P1162="应付",ISNUMBER(资金台帐!B1162),资金台帐!B1162&gt;=供应商对账单!$G$4,资金台帐!B1162&lt;=供应商对账单!$I$4),资金台帐!B1162+ROW()/100000,"")</f>
      </c>
      <c r="N2659">
        <f>IF(AND(ISNUMBER(出库明细!G2659),ISNUMBER(出库明细!E2659),ISNUMBER(出库明细!F2659)),IF(ABS(出库明细!G2659-出库明细!E2659*出库明细!F2659)&gt;0.005,1,0),0)</f>
        <v>0</v>
      </c>
    </row>
    <row r="2660">
      <c r="A2660">
        <f>IF(OR(出库明细!C1660="",出库明细!D1660=""),"",IF(OR(COUNTIFS(存条明细!$C$4:$C$1003,出库明细!C1660,存条明细!$D$4:$D$1003,出库明细!D1660)&gt;0,COUNTIFS(出库明细!$C$4:C1660,出库明细!C1660,出库明细!$D$4:D1660,出库明细!D1660)&gt;1),"",IFERROR(MATCH(出库明细!C1660,总览汇总!$B$5:$B$304,0),900)*10000000+IFERROR(MATCH(出库明细!D1660,基础资料!$E$5:$E$104,0),900)*10000+ROW()))</f>
      </c>
      <c r="F2660">
        <f>IF(AND(出库明细!C2660&lt;&gt;"",出库明细!C2660=客户对账单!$B$4,ISNUMBER(出库明细!B2660),出库明细!B2660&gt;=客户对账单!$G$4,出库明细!B2660&lt;=客户对账单!$I$4),出库明细!B2660+ROW()/100000,"")</f>
      </c>
      <c r="H2660">
        <f>IF(AND(资金台帐!K1163&lt;&gt;"",资金台帐!K1163=供应商对账单!$B$4,资金台帐!P1163="应付",ISNUMBER(资金台帐!B1163),资金台帐!B1163&gt;=供应商对账单!$G$4,资金台帐!B1163&lt;=供应商对账单!$I$4),资金台帐!B1163+ROW()/100000,"")</f>
      </c>
      <c r="N2660">
        <f>IF(AND(ISNUMBER(出库明细!G2660),ISNUMBER(出库明细!E2660),ISNUMBER(出库明细!F2660)),IF(ABS(出库明细!G2660-出库明细!E2660*出库明细!F2660)&gt;0.005,1,0),0)</f>
        <v>0</v>
      </c>
    </row>
    <row r="2661">
      <c r="A2661">
        <f>IF(OR(出库明细!C1661="",出库明细!D1661=""),"",IF(OR(COUNTIFS(存条明细!$C$4:$C$1003,出库明细!C1661,存条明细!$D$4:$D$1003,出库明细!D1661)&gt;0,COUNTIFS(出库明细!$C$4:C1661,出库明细!C1661,出库明细!$D$4:D1661,出库明细!D1661)&gt;1),"",IFERROR(MATCH(出库明细!C1661,总览汇总!$B$5:$B$304,0),900)*10000000+IFERROR(MATCH(出库明细!D1661,基础资料!$E$5:$E$104,0),900)*10000+ROW()))</f>
      </c>
      <c r="F2661">
        <f>IF(AND(出库明细!C2661&lt;&gt;"",出库明细!C2661=客户对账单!$B$4,ISNUMBER(出库明细!B2661),出库明细!B2661&gt;=客户对账单!$G$4,出库明细!B2661&lt;=客户对账单!$I$4),出库明细!B2661+ROW()/100000,"")</f>
      </c>
      <c r="H2661">
        <f>IF(AND(资金台帐!K1164&lt;&gt;"",资金台帐!K1164=供应商对账单!$B$4,资金台帐!P1164="应付",ISNUMBER(资金台帐!B1164),资金台帐!B1164&gt;=供应商对账单!$G$4,资金台帐!B1164&lt;=供应商对账单!$I$4),资金台帐!B1164+ROW()/100000,"")</f>
      </c>
      <c r="N2661">
        <f>IF(AND(ISNUMBER(出库明细!G2661),ISNUMBER(出库明细!E2661),ISNUMBER(出库明细!F2661)),IF(ABS(出库明细!G2661-出库明细!E2661*出库明细!F2661)&gt;0.005,1,0),0)</f>
        <v>0</v>
      </c>
    </row>
    <row r="2662">
      <c r="A2662">
        <f>IF(OR(出库明细!C1662="",出库明细!D1662=""),"",IF(OR(COUNTIFS(存条明细!$C$4:$C$1003,出库明细!C1662,存条明细!$D$4:$D$1003,出库明细!D1662)&gt;0,COUNTIFS(出库明细!$C$4:C1662,出库明细!C1662,出库明细!$D$4:D1662,出库明细!D1662)&gt;1),"",IFERROR(MATCH(出库明细!C1662,总览汇总!$B$5:$B$304,0),900)*10000000+IFERROR(MATCH(出库明细!D1662,基础资料!$E$5:$E$104,0),900)*10000+ROW()))</f>
      </c>
      <c r="F2662">
        <f>IF(AND(出库明细!C2662&lt;&gt;"",出库明细!C2662=客户对账单!$B$4,ISNUMBER(出库明细!B2662),出库明细!B2662&gt;=客户对账单!$G$4,出库明细!B2662&lt;=客户对账单!$I$4),出库明细!B2662+ROW()/100000,"")</f>
      </c>
      <c r="H2662">
        <f>IF(AND(资金台帐!K1165&lt;&gt;"",资金台帐!K1165=供应商对账单!$B$4,资金台帐!P1165="应付",ISNUMBER(资金台帐!B1165),资金台帐!B1165&gt;=供应商对账单!$G$4,资金台帐!B1165&lt;=供应商对账单!$I$4),资金台帐!B1165+ROW()/100000,"")</f>
      </c>
      <c r="N2662">
        <f>IF(AND(ISNUMBER(出库明细!G2662),ISNUMBER(出库明细!E2662),ISNUMBER(出库明细!F2662)),IF(ABS(出库明细!G2662-出库明细!E2662*出库明细!F2662)&gt;0.005,1,0),0)</f>
        <v>0</v>
      </c>
    </row>
    <row r="2663">
      <c r="A2663">
        <f>IF(OR(出库明细!C1663="",出库明细!D1663=""),"",IF(OR(COUNTIFS(存条明细!$C$4:$C$1003,出库明细!C1663,存条明细!$D$4:$D$1003,出库明细!D1663)&gt;0,COUNTIFS(出库明细!$C$4:C1663,出库明细!C1663,出库明细!$D$4:D1663,出库明细!D1663)&gt;1),"",IFERROR(MATCH(出库明细!C1663,总览汇总!$B$5:$B$304,0),900)*10000000+IFERROR(MATCH(出库明细!D1663,基础资料!$E$5:$E$104,0),900)*10000+ROW()))</f>
      </c>
      <c r="F2663">
        <f>IF(AND(出库明细!C2663&lt;&gt;"",出库明细!C2663=客户对账单!$B$4,ISNUMBER(出库明细!B2663),出库明细!B2663&gt;=客户对账单!$G$4,出库明细!B2663&lt;=客户对账单!$I$4),出库明细!B2663+ROW()/100000,"")</f>
      </c>
      <c r="H2663">
        <f>IF(AND(资金台帐!K1166&lt;&gt;"",资金台帐!K1166=供应商对账单!$B$4,资金台帐!P1166="应付",ISNUMBER(资金台帐!B1166),资金台帐!B1166&gt;=供应商对账单!$G$4,资金台帐!B1166&lt;=供应商对账单!$I$4),资金台帐!B1166+ROW()/100000,"")</f>
      </c>
      <c r="N2663">
        <f>IF(AND(ISNUMBER(出库明细!G2663),ISNUMBER(出库明细!E2663),ISNUMBER(出库明细!F2663)),IF(ABS(出库明细!G2663-出库明细!E2663*出库明细!F2663)&gt;0.005,1,0),0)</f>
        <v>0</v>
      </c>
    </row>
    <row r="2664">
      <c r="A2664">
        <f>IF(OR(出库明细!C1664="",出库明细!D1664=""),"",IF(OR(COUNTIFS(存条明细!$C$4:$C$1003,出库明细!C1664,存条明细!$D$4:$D$1003,出库明细!D1664)&gt;0,COUNTIFS(出库明细!$C$4:C1664,出库明细!C1664,出库明细!$D$4:D1664,出库明细!D1664)&gt;1),"",IFERROR(MATCH(出库明细!C1664,总览汇总!$B$5:$B$304,0),900)*10000000+IFERROR(MATCH(出库明细!D1664,基础资料!$E$5:$E$104,0),900)*10000+ROW()))</f>
      </c>
      <c r="F2664">
        <f>IF(AND(出库明细!C2664&lt;&gt;"",出库明细!C2664=客户对账单!$B$4,ISNUMBER(出库明细!B2664),出库明细!B2664&gt;=客户对账单!$G$4,出库明细!B2664&lt;=客户对账单!$I$4),出库明细!B2664+ROW()/100000,"")</f>
      </c>
      <c r="H2664">
        <f>IF(AND(资金台帐!K1167&lt;&gt;"",资金台帐!K1167=供应商对账单!$B$4,资金台帐!P1167="应付",ISNUMBER(资金台帐!B1167),资金台帐!B1167&gt;=供应商对账单!$G$4,资金台帐!B1167&lt;=供应商对账单!$I$4),资金台帐!B1167+ROW()/100000,"")</f>
      </c>
      <c r="N2664">
        <f>IF(AND(ISNUMBER(出库明细!G2664),ISNUMBER(出库明细!E2664),ISNUMBER(出库明细!F2664)),IF(ABS(出库明细!G2664-出库明细!E2664*出库明细!F2664)&gt;0.005,1,0),0)</f>
        <v>0</v>
      </c>
    </row>
    <row r="2665">
      <c r="A2665">
        <f>IF(OR(出库明细!C1665="",出库明细!D1665=""),"",IF(OR(COUNTIFS(存条明细!$C$4:$C$1003,出库明细!C1665,存条明细!$D$4:$D$1003,出库明细!D1665)&gt;0,COUNTIFS(出库明细!$C$4:C1665,出库明细!C1665,出库明细!$D$4:D1665,出库明细!D1665)&gt;1),"",IFERROR(MATCH(出库明细!C1665,总览汇总!$B$5:$B$304,0),900)*10000000+IFERROR(MATCH(出库明细!D1665,基础资料!$E$5:$E$104,0),900)*10000+ROW()))</f>
      </c>
      <c r="F2665">
        <f>IF(AND(出库明细!C2665&lt;&gt;"",出库明细!C2665=客户对账单!$B$4,ISNUMBER(出库明细!B2665),出库明细!B2665&gt;=客户对账单!$G$4,出库明细!B2665&lt;=客户对账单!$I$4),出库明细!B2665+ROW()/100000,"")</f>
      </c>
      <c r="H2665">
        <f>IF(AND(资金台帐!K1168&lt;&gt;"",资金台帐!K1168=供应商对账单!$B$4,资金台帐!P1168="应付",ISNUMBER(资金台帐!B1168),资金台帐!B1168&gt;=供应商对账单!$G$4,资金台帐!B1168&lt;=供应商对账单!$I$4),资金台帐!B1168+ROW()/100000,"")</f>
      </c>
      <c r="N2665">
        <f>IF(AND(ISNUMBER(出库明细!G2665),ISNUMBER(出库明细!E2665),ISNUMBER(出库明细!F2665)),IF(ABS(出库明细!G2665-出库明细!E2665*出库明细!F2665)&gt;0.005,1,0),0)</f>
        <v>0</v>
      </c>
    </row>
    <row r="2666">
      <c r="A2666">
        <f>IF(OR(出库明细!C1666="",出库明细!D1666=""),"",IF(OR(COUNTIFS(存条明细!$C$4:$C$1003,出库明细!C1666,存条明细!$D$4:$D$1003,出库明细!D1666)&gt;0,COUNTIFS(出库明细!$C$4:C1666,出库明细!C1666,出库明细!$D$4:D1666,出库明细!D1666)&gt;1),"",IFERROR(MATCH(出库明细!C1666,总览汇总!$B$5:$B$304,0),900)*10000000+IFERROR(MATCH(出库明细!D1666,基础资料!$E$5:$E$104,0),900)*10000+ROW()))</f>
      </c>
      <c r="F2666">
        <f>IF(AND(出库明细!C2666&lt;&gt;"",出库明细!C2666=客户对账单!$B$4,ISNUMBER(出库明细!B2666),出库明细!B2666&gt;=客户对账单!$G$4,出库明细!B2666&lt;=客户对账单!$I$4),出库明细!B2666+ROW()/100000,"")</f>
      </c>
      <c r="H2666">
        <f>IF(AND(资金台帐!K1169&lt;&gt;"",资金台帐!K1169=供应商对账单!$B$4,资金台帐!P1169="应付",ISNUMBER(资金台帐!B1169),资金台帐!B1169&gt;=供应商对账单!$G$4,资金台帐!B1169&lt;=供应商对账单!$I$4),资金台帐!B1169+ROW()/100000,"")</f>
      </c>
      <c r="N2666">
        <f>IF(AND(ISNUMBER(出库明细!G2666),ISNUMBER(出库明细!E2666),ISNUMBER(出库明细!F2666)),IF(ABS(出库明细!G2666-出库明细!E2666*出库明细!F2666)&gt;0.005,1,0),0)</f>
        <v>0</v>
      </c>
    </row>
    <row r="2667">
      <c r="A2667">
        <f>IF(OR(出库明细!C1667="",出库明细!D1667=""),"",IF(OR(COUNTIFS(存条明细!$C$4:$C$1003,出库明细!C1667,存条明细!$D$4:$D$1003,出库明细!D1667)&gt;0,COUNTIFS(出库明细!$C$4:C1667,出库明细!C1667,出库明细!$D$4:D1667,出库明细!D1667)&gt;1),"",IFERROR(MATCH(出库明细!C1667,总览汇总!$B$5:$B$304,0),900)*10000000+IFERROR(MATCH(出库明细!D1667,基础资料!$E$5:$E$104,0),900)*10000+ROW()))</f>
      </c>
      <c r="F2667">
        <f>IF(AND(出库明细!C2667&lt;&gt;"",出库明细!C2667=客户对账单!$B$4,ISNUMBER(出库明细!B2667),出库明细!B2667&gt;=客户对账单!$G$4,出库明细!B2667&lt;=客户对账单!$I$4),出库明细!B2667+ROW()/100000,"")</f>
      </c>
      <c r="H2667">
        <f>IF(AND(资金台帐!K1170&lt;&gt;"",资金台帐!K1170=供应商对账单!$B$4,资金台帐!P1170="应付",ISNUMBER(资金台帐!B1170),资金台帐!B1170&gt;=供应商对账单!$G$4,资金台帐!B1170&lt;=供应商对账单!$I$4),资金台帐!B1170+ROW()/100000,"")</f>
      </c>
      <c r="N2667">
        <f>IF(AND(ISNUMBER(出库明细!G2667),ISNUMBER(出库明细!E2667),ISNUMBER(出库明细!F2667)),IF(ABS(出库明细!G2667-出库明细!E2667*出库明细!F2667)&gt;0.005,1,0),0)</f>
        <v>0</v>
      </c>
    </row>
    <row r="2668">
      <c r="A2668">
        <f>IF(OR(出库明细!C1668="",出库明细!D1668=""),"",IF(OR(COUNTIFS(存条明细!$C$4:$C$1003,出库明细!C1668,存条明细!$D$4:$D$1003,出库明细!D1668)&gt;0,COUNTIFS(出库明细!$C$4:C1668,出库明细!C1668,出库明细!$D$4:D1668,出库明细!D1668)&gt;1),"",IFERROR(MATCH(出库明细!C1668,总览汇总!$B$5:$B$304,0),900)*10000000+IFERROR(MATCH(出库明细!D1668,基础资料!$E$5:$E$104,0),900)*10000+ROW()))</f>
      </c>
      <c r="F2668">
        <f>IF(AND(出库明细!C2668&lt;&gt;"",出库明细!C2668=客户对账单!$B$4,ISNUMBER(出库明细!B2668),出库明细!B2668&gt;=客户对账单!$G$4,出库明细!B2668&lt;=客户对账单!$I$4),出库明细!B2668+ROW()/100000,"")</f>
      </c>
      <c r="H2668">
        <f>IF(AND(资金台帐!K1171&lt;&gt;"",资金台帐!K1171=供应商对账单!$B$4,资金台帐!P1171="应付",ISNUMBER(资金台帐!B1171),资金台帐!B1171&gt;=供应商对账单!$G$4,资金台帐!B1171&lt;=供应商对账单!$I$4),资金台帐!B1171+ROW()/100000,"")</f>
      </c>
      <c r="N2668">
        <f>IF(AND(ISNUMBER(出库明细!G2668),ISNUMBER(出库明细!E2668),ISNUMBER(出库明细!F2668)),IF(ABS(出库明细!G2668-出库明细!E2668*出库明细!F2668)&gt;0.005,1,0),0)</f>
        <v>0</v>
      </c>
    </row>
    <row r="2669">
      <c r="A2669">
        <f>IF(OR(出库明细!C1669="",出库明细!D1669=""),"",IF(OR(COUNTIFS(存条明细!$C$4:$C$1003,出库明细!C1669,存条明细!$D$4:$D$1003,出库明细!D1669)&gt;0,COUNTIFS(出库明细!$C$4:C1669,出库明细!C1669,出库明细!$D$4:D1669,出库明细!D1669)&gt;1),"",IFERROR(MATCH(出库明细!C1669,总览汇总!$B$5:$B$304,0),900)*10000000+IFERROR(MATCH(出库明细!D1669,基础资料!$E$5:$E$104,0),900)*10000+ROW()))</f>
      </c>
      <c r="F2669">
        <f>IF(AND(出库明细!C2669&lt;&gt;"",出库明细!C2669=客户对账单!$B$4,ISNUMBER(出库明细!B2669),出库明细!B2669&gt;=客户对账单!$G$4,出库明细!B2669&lt;=客户对账单!$I$4),出库明细!B2669+ROW()/100000,"")</f>
      </c>
      <c r="H2669">
        <f>IF(AND(资金台帐!K1172&lt;&gt;"",资金台帐!K1172=供应商对账单!$B$4,资金台帐!P1172="应付",ISNUMBER(资金台帐!B1172),资金台帐!B1172&gt;=供应商对账单!$G$4,资金台帐!B1172&lt;=供应商对账单!$I$4),资金台帐!B1172+ROW()/100000,"")</f>
      </c>
      <c r="N2669">
        <f>IF(AND(ISNUMBER(出库明细!G2669),ISNUMBER(出库明细!E2669),ISNUMBER(出库明细!F2669)),IF(ABS(出库明细!G2669-出库明细!E2669*出库明细!F2669)&gt;0.005,1,0),0)</f>
        <v>0</v>
      </c>
    </row>
    <row r="2670">
      <c r="A2670">
        <f>IF(OR(出库明细!C1670="",出库明细!D1670=""),"",IF(OR(COUNTIFS(存条明细!$C$4:$C$1003,出库明细!C1670,存条明细!$D$4:$D$1003,出库明细!D1670)&gt;0,COUNTIFS(出库明细!$C$4:C1670,出库明细!C1670,出库明细!$D$4:D1670,出库明细!D1670)&gt;1),"",IFERROR(MATCH(出库明细!C1670,总览汇总!$B$5:$B$304,0),900)*10000000+IFERROR(MATCH(出库明细!D1670,基础资料!$E$5:$E$104,0),900)*10000+ROW()))</f>
      </c>
      <c r="F2670">
        <f>IF(AND(出库明细!C2670&lt;&gt;"",出库明细!C2670=客户对账单!$B$4,ISNUMBER(出库明细!B2670),出库明细!B2670&gt;=客户对账单!$G$4,出库明细!B2670&lt;=客户对账单!$I$4),出库明细!B2670+ROW()/100000,"")</f>
      </c>
      <c r="H2670">
        <f>IF(AND(资金台帐!K1173&lt;&gt;"",资金台帐!K1173=供应商对账单!$B$4,资金台帐!P1173="应付",ISNUMBER(资金台帐!B1173),资金台帐!B1173&gt;=供应商对账单!$G$4,资金台帐!B1173&lt;=供应商对账单!$I$4),资金台帐!B1173+ROW()/100000,"")</f>
      </c>
      <c r="N2670">
        <f>IF(AND(ISNUMBER(出库明细!G2670),ISNUMBER(出库明细!E2670),ISNUMBER(出库明细!F2670)),IF(ABS(出库明细!G2670-出库明细!E2670*出库明细!F2670)&gt;0.005,1,0),0)</f>
        <v>0</v>
      </c>
    </row>
    <row r="2671">
      <c r="A2671">
        <f>IF(OR(出库明细!C1671="",出库明细!D1671=""),"",IF(OR(COUNTIFS(存条明细!$C$4:$C$1003,出库明细!C1671,存条明细!$D$4:$D$1003,出库明细!D1671)&gt;0,COUNTIFS(出库明细!$C$4:C1671,出库明细!C1671,出库明细!$D$4:D1671,出库明细!D1671)&gt;1),"",IFERROR(MATCH(出库明细!C1671,总览汇总!$B$5:$B$304,0),900)*10000000+IFERROR(MATCH(出库明细!D1671,基础资料!$E$5:$E$104,0),900)*10000+ROW()))</f>
      </c>
      <c r="F2671">
        <f>IF(AND(出库明细!C2671&lt;&gt;"",出库明细!C2671=客户对账单!$B$4,ISNUMBER(出库明细!B2671),出库明细!B2671&gt;=客户对账单!$G$4,出库明细!B2671&lt;=客户对账单!$I$4),出库明细!B2671+ROW()/100000,"")</f>
      </c>
      <c r="H2671">
        <f>IF(AND(资金台帐!K1174&lt;&gt;"",资金台帐!K1174=供应商对账单!$B$4,资金台帐!P1174="应付",ISNUMBER(资金台帐!B1174),资金台帐!B1174&gt;=供应商对账单!$G$4,资金台帐!B1174&lt;=供应商对账单!$I$4),资金台帐!B1174+ROW()/100000,"")</f>
      </c>
      <c r="N2671">
        <f>IF(AND(ISNUMBER(出库明细!G2671),ISNUMBER(出库明细!E2671),ISNUMBER(出库明细!F2671)),IF(ABS(出库明细!G2671-出库明细!E2671*出库明细!F2671)&gt;0.005,1,0),0)</f>
        <v>0</v>
      </c>
    </row>
    <row r="2672">
      <c r="A2672">
        <f>IF(OR(出库明细!C1672="",出库明细!D1672=""),"",IF(OR(COUNTIFS(存条明细!$C$4:$C$1003,出库明细!C1672,存条明细!$D$4:$D$1003,出库明细!D1672)&gt;0,COUNTIFS(出库明细!$C$4:C1672,出库明细!C1672,出库明细!$D$4:D1672,出库明细!D1672)&gt;1),"",IFERROR(MATCH(出库明细!C1672,总览汇总!$B$5:$B$304,0),900)*10000000+IFERROR(MATCH(出库明细!D1672,基础资料!$E$5:$E$104,0),900)*10000+ROW()))</f>
      </c>
      <c r="F2672">
        <f>IF(AND(出库明细!C2672&lt;&gt;"",出库明细!C2672=客户对账单!$B$4,ISNUMBER(出库明细!B2672),出库明细!B2672&gt;=客户对账单!$G$4,出库明细!B2672&lt;=客户对账单!$I$4),出库明细!B2672+ROW()/100000,"")</f>
      </c>
      <c r="H2672">
        <f>IF(AND(资金台帐!K1175&lt;&gt;"",资金台帐!K1175=供应商对账单!$B$4,资金台帐!P1175="应付",ISNUMBER(资金台帐!B1175),资金台帐!B1175&gt;=供应商对账单!$G$4,资金台帐!B1175&lt;=供应商对账单!$I$4),资金台帐!B1175+ROW()/100000,"")</f>
      </c>
      <c r="N2672">
        <f>IF(AND(ISNUMBER(出库明细!G2672),ISNUMBER(出库明细!E2672),ISNUMBER(出库明细!F2672)),IF(ABS(出库明细!G2672-出库明细!E2672*出库明细!F2672)&gt;0.005,1,0),0)</f>
        <v>0</v>
      </c>
    </row>
    <row r="2673">
      <c r="A2673">
        <f>IF(OR(出库明细!C1673="",出库明细!D1673=""),"",IF(OR(COUNTIFS(存条明细!$C$4:$C$1003,出库明细!C1673,存条明细!$D$4:$D$1003,出库明细!D1673)&gt;0,COUNTIFS(出库明细!$C$4:C1673,出库明细!C1673,出库明细!$D$4:D1673,出库明细!D1673)&gt;1),"",IFERROR(MATCH(出库明细!C1673,总览汇总!$B$5:$B$304,0),900)*10000000+IFERROR(MATCH(出库明细!D1673,基础资料!$E$5:$E$104,0),900)*10000+ROW()))</f>
      </c>
      <c r="F2673">
        <f>IF(AND(出库明细!C2673&lt;&gt;"",出库明细!C2673=客户对账单!$B$4,ISNUMBER(出库明细!B2673),出库明细!B2673&gt;=客户对账单!$G$4,出库明细!B2673&lt;=客户对账单!$I$4),出库明细!B2673+ROW()/100000,"")</f>
      </c>
      <c r="H2673">
        <f>IF(AND(资金台帐!K1176&lt;&gt;"",资金台帐!K1176=供应商对账单!$B$4,资金台帐!P1176="应付",ISNUMBER(资金台帐!B1176),资金台帐!B1176&gt;=供应商对账单!$G$4,资金台帐!B1176&lt;=供应商对账单!$I$4),资金台帐!B1176+ROW()/100000,"")</f>
      </c>
      <c r="N2673">
        <f>IF(AND(ISNUMBER(出库明细!G2673),ISNUMBER(出库明细!E2673),ISNUMBER(出库明细!F2673)),IF(ABS(出库明细!G2673-出库明细!E2673*出库明细!F2673)&gt;0.005,1,0),0)</f>
        <v>0</v>
      </c>
    </row>
    <row r="2674">
      <c r="A2674">
        <f>IF(OR(出库明细!C1674="",出库明细!D1674=""),"",IF(OR(COUNTIFS(存条明细!$C$4:$C$1003,出库明细!C1674,存条明细!$D$4:$D$1003,出库明细!D1674)&gt;0,COUNTIFS(出库明细!$C$4:C1674,出库明细!C1674,出库明细!$D$4:D1674,出库明细!D1674)&gt;1),"",IFERROR(MATCH(出库明细!C1674,总览汇总!$B$5:$B$304,0),900)*10000000+IFERROR(MATCH(出库明细!D1674,基础资料!$E$5:$E$104,0),900)*10000+ROW()))</f>
      </c>
      <c r="F2674">
        <f>IF(AND(出库明细!C2674&lt;&gt;"",出库明细!C2674=客户对账单!$B$4,ISNUMBER(出库明细!B2674),出库明细!B2674&gt;=客户对账单!$G$4,出库明细!B2674&lt;=客户对账单!$I$4),出库明细!B2674+ROW()/100000,"")</f>
      </c>
      <c r="H2674">
        <f>IF(AND(资金台帐!K1177&lt;&gt;"",资金台帐!K1177=供应商对账单!$B$4,资金台帐!P1177="应付",ISNUMBER(资金台帐!B1177),资金台帐!B1177&gt;=供应商对账单!$G$4,资金台帐!B1177&lt;=供应商对账单!$I$4),资金台帐!B1177+ROW()/100000,"")</f>
      </c>
      <c r="N2674">
        <f>IF(AND(ISNUMBER(出库明细!G2674),ISNUMBER(出库明细!E2674),ISNUMBER(出库明细!F2674)),IF(ABS(出库明细!G2674-出库明细!E2674*出库明细!F2674)&gt;0.005,1,0),0)</f>
        <v>0</v>
      </c>
    </row>
    <row r="2675">
      <c r="A2675">
        <f>IF(OR(出库明细!C1675="",出库明细!D1675=""),"",IF(OR(COUNTIFS(存条明细!$C$4:$C$1003,出库明细!C1675,存条明细!$D$4:$D$1003,出库明细!D1675)&gt;0,COUNTIFS(出库明细!$C$4:C1675,出库明细!C1675,出库明细!$D$4:D1675,出库明细!D1675)&gt;1),"",IFERROR(MATCH(出库明细!C1675,总览汇总!$B$5:$B$304,0),900)*10000000+IFERROR(MATCH(出库明细!D1675,基础资料!$E$5:$E$104,0),900)*10000+ROW()))</f>
      </c>
      <c r="F2675">
        <f>IF(AND(出库明细!C2675&lt;&gt;"",出库明细!C2675=客户对账单!$B$4,ISNUMBER(出库明细!B2675),出库明细!B2675&gt;=客户对账单!$G$4,出库明细!B2675&lt;=客户对账单!$I$4),出库明细!B2675+ROW()/100000,"")</f>
      </c>
      <c r="H2675">
        <f>IF(AND(资金台帐!K1178&lt;&gt;"",资金台帐!K1178=供应商对账单!$B$4,资金台帐!P1178="应付",ISNUMBER(资金台帐!B1178),资金台帐!B1178&gt;=供应商对账单!$G$4,资金台帐!B1178&lt;=供应商对账单!$I$4),资金台帐!B1178+ROW()/100000,"")</f>
      </c>
      <c r="N2675">
        <f>IF(AND(ISNUMBER(出库明细!G2675),ISNUMBER(出库明细!E2675),ISNUMBER(出库明细!F2675)),IF(ABS(出库明细!G2675-出库明细!E2675*出库明细!F2675)&gt;0.005,1,0),0)</f>
        <v>0</v>
      </c>
    </row>
    <row r="2676">
      <c r="A2676">
        <f>IF(OR(出库明细!C1676="",出库明细!D1676=""),"",IF(OR(COUNTIFS(存条明细!$C$4:$C$1003,出库明细!C1676,存条明细!$D$4:$D$1003,出库明细!D1676)&gt;0,COUNTIFS(出库明细!$C$4:C1676,出库明细!C1676,出库明细!$D$4:D1676,出库明细!D1676)&gt;1),"",IFERROR(MATCH(出库明细!C1676,总览汇总!$B$5:$B$304,0),900)*10000000+IFERROR(MATCH(出库明细!D1676,基础资料!$E$5:$E$104,0),900)*10000+ROW()))</f>
      </c>
      <c r="F2676">
        <f>IF(AND(出库明细!C2676&lt;&gt;"",出库明细!C2676=客户对账单!$B$4,ISNUMBER(出库明细!B2676),出库明细!B2676&gt;=客户对账单!$G$4,出库明细!B2676&lt;=客户对账单!$I$4),出库明细!B2676+ROW()/100000,"")</f>
      </c>
      <c r="H2676">
        <f>IF(AND(资金台帐!K1179&lt;&gt;"",资金台帐!K1179=供应商对账单!$B$4,资金台帐!P1179="应付",ISNUMBER(资金台帐!B1179),资金台帐!B1179&gt;=供应商对账单!$G$4,资金台帐!B1179&lt;=供应商对账单!$I$4),资金台帐!B1179+ROW()/100000,"")</f>
      </c>
      <c r="N2676">
        <f>IF(AND(ISNUMBER(出库明细!G2676),ISNUMBER(出库明细!E2676),ISNUMBER(出库明细!F2676)),IF(ABS(出库明细!G2676-出库明细!E2676*出库明细!F2676)&gt;0.005,1,0),0)</f>
        <v>0</v>
      </c>
    </row>
    <row r="2677">
      <c r="A2677">
        <f>IF(OR(出库明细!C1677="",出库明细!D1677=""),"",IF(OR(COUNTIFS(存条明细!$C$4:$C$1003,出库明细!C1677,存条明细!$D$4:$D$1003,出库明细!D1677)&gt;0,COUNTIFS(出库明细!$C$4:C1677,出库明细!C1677,出库明细!$D$4:D1677,出库明细!D1677)&gt;1),"",IFERROR(MATCH(出库明细!C1677,总览汇总!$B$5:$B$304,0),900)*10000000+IFERROR(MATCH(出库明细!D1677,基础资料!$E$5:$E$104,0),900)*10000+ROW()))</f>
      </c>
      <c r="F2677">
        <f>IF(AND(出库明细!C2677&lt;&gt;"",出库明细!C2677=客户对账单!$B$4,ISNUMBER(出库明细!B2677),出库明细!B2677&gt;=客户对账单!$G$4,出库明细!B2677&lt;=客户对账单!$I$4),出库明细!B2677+ROW()/100000,"")</f>
      </c>
      <c r="H2677">
        <f>IF(AND(资金台帐!K1180&lt;&gt;"",资金台帐!K1180=供应商对账单!$B$4,资金台帐!P1180="应付",ISNUMBER(资金台帐!B1180),资金台帐!B1180&gt;=供应商对账单!$G$4,资金台帐!B1180&lt;=供应商对账单!$I$4),资金台帐!B1180+ROW()/100000,"")</f>
      </c>
      <c r="N2677">
        <f>IF(AND(ISNUMBER(出库明细!G2677),ISNUMBER(出库明细!E2677),ISNUMBER(出库明细!F2677)),IF(ABS(出库明细!G2677-出库明细!E2677*出库明细!F2677)&gt;0.005,1,0),0)</f>
        <v>0</v>
      </c>
    </row>
    <row r="2678">
      <c r="A2678">
        <f>IF(OR(出库明细!C1678="",出库明细!D1678=""),"",IF(OR(COUNTIFS(存条明细!$C$4:$C$1003,出库明细!C1678,存条明细!$D$4:$D$1003,出库明细!D1678)&gt;0,COUNTIFS(出库明细!$C$4:C1678,出库明细!C1678,出库明细!$D$4:D1678,出库明细!D1678)&gt;1),"",IFERROR(MATCH(出库明细!C1678,总览汇总!$B$5:$B$304,0),900)*10000000+IFERROR(MATCH(出库明细!D1678,基础资料!$E$5:$E$104,0),900)*10000+ROW()))</f>
      </c>
      <c r="F2678">
        <f>IF(AND(出库明细!C2678&lt;&gt;"",出库明细!C2678=客户对账单!$B$4,ISNUMBER(出库明细!B2678),出库明细!B2678&gt;=客户对账单!$G$4,出库明细!B2678&lt;=客户对账单!$I$4),出库明细!B2678+ROW()/100000,"")</f>
      </c>
      <c r="H2678">
        <f>IF(AND(资金台帐!K1181&lt;&gt;"",资金台帐!K1181=供应商对账单!$B$4,资金台帐!P1181="应付",ISNUMBER(资金台帐!B1181),资金台帐!B1181&gt;=供应商对账单!$G$4,资金台帐!B1181&lt;=供应商对账单!$I$4),资金台帐!B1181+ROW()/100000,"")</f>
      </c>
      <c r="N2678">
        <f>IF(AND(ISNUMBER(出库明细!G2678),ISNUMBER(出库明细!E2678),ISNUMBER(出库明细!F2678)),IF(ABS(出库明细!G2678-出库明细!E2678*出库明细!F2678)&gt;0.005,1,0),0)</f>
        <v>0</v>
      </c>
    </row>
    <row r="2679">
      <c r="A2679">
        <f>IF(OR(出库明细!C1679="",出库明细!D1679=""),"",IF(OR(COUNTIFS(存条明细!$C$4:$C$1003,出库明细!C1679,存条明细!$D$4:$D$1003,出库明细!D1679)&gt;0,COUNTIFS(出库明细!$C$4:C1679,出库明细!C1679,出库明细!$D$4:D1679,出库明细!D1679)&gt;1),"",IFERROR(MATCH(出库明细!C1679,总览汇总!$B$5:$B$304,0),900)*10000000+IFERROR(MATCH(出库明细!D1679,基础资料!$E$5:$E$104,0),900)*10000+ROW()))</f>
      </c>
      <c r="F2679">
        <f>IF(AND(出库明细!C2679&lt;&gt;"",出库明细!C2679=客户对账单!$B$4,ISNUMBER(出库明细!B2679),出库明细!B2679&gt;=客户对账单!$G$4,出库明细!B2679&lt;=客户对账单!$I$4),出库明细!B2679+ROW()/100000,"")</f>
      </c>
      <c r="H2679">
        <f>IF(AND(资金台帐!K1182&lt;&gt;"",资金台帐!K1182=供应商对账单!$B$4,资金台帐!P1182="应付",ISNUMBER(资金台帐!B1182),资金台帐!B1182&gt;=供应商对账单!$G$4,资金台帐!B1182&lt;=供应商对账单!$I$4),资金台帐!B1182+ROW()/100000,"")</f>
      </c>
      <c r="N2679">
        <f>IF(AND(ISNUMBER(出库明细!G2679),ISNUMBER(出库明细!E2679),ISNUMBER(出库明细!F2679)),IF(ABS(出库明细!G2679-出库明细!E2679*出库明细!F2679)&gt;0.005,1,0),0)</f>
        <v>0</v>
      </c>
    </row>
    <row r="2680">
      <c r="A2680">
        <f>IF(OR(出库明细!C1680="",出库明细!D1680=""),"",IF(OR(COUNTIFS(存条明细!$C$4:$C$1003,出库明细!C1680,存条明细!$D$4:$D$1003,出库明细!D1680)&gt;0,COUNTIFS(出库明细!$C$4:C1680,出库明细!C1680,出库明细!$D$4:D1680,出库明细!D1680)&gt;1),"",IFERROR(MATCH(出库明细!C1680,总览汇总!$B$5:$B$304,0),900)*10000000+IFERROR(MATCH(出库明细!D1680,基础资料!$E$5:$E$104,0),900)*10000+ROW()))</f>
      </c>
      <c r="F2680">
        <f>IF(AND(出库明细!C2680&lt;&gt;"",出库明细!C2680=客户对账单!$B$4,ISNUMBER(出库明细!B2680),出库明细!B2680&gt;=客户对账单!$G$4,出库明细!B2680&lt;=客户对账单!$I$4),出库明细!B2680+ROW()/100000,"")</f>
      </c>
      <c r="H2680">
        <f>IF(AND(资金台帐!K1183&lt;&gt;"",资金台帐!K1183=供应商对账单!$B$4,资金台帐!P1183="应付",ISNUMBER(资金台帐!B1183),资金台帐!B1183&gt;=供应商对账单!$G$4,资金台帐!B1183&lt;=供应商对账单!$I$4),资金台帐!B1183+ROW()/100000,"")</f>
      </c>
      <c r="N2680">
        <f>IF(AND(ISNUMBER(出库明细!G2680),ISNUMBER(出库明细!E2680),ISNUMBER(出库明细!F2680)),IF(ABS(出库明细!G2680-出库明细!E2680*出库明细!F2680)&gt;0.005,1,0),0)</f>
        <v>0</v>
      </c>
    </row>
    <row r="2681">
      <c r="A2681">
        <f>IF(OR(出库明细!C1681="",出库明细!D1681=""),"",IF(OR(COUNTIFS(存条明细!$C$4:$C$1003,出库明细!C1681,存条明细!$D$4:$D$1003,出库明细!D1681)&gt;0,COUNTIFS(出库明细!$C$4:C1681,出库明细!C1681,出库明细!$D$4:D1681,出库明细!D1681)&gt;1),"",IFERROR(MATCH(出库明细!C1681,总览汇总!$B$5:$B$304,0),900)*10000000+IFERROR(MATCH(出库明细!D1681,基础资料!$E$5:$E$104,0),900)*10000+ROW()))</f>
      </c>
      <c r="F2681">
        <f>IF(AND(出库明细!C2681&lt;&gt;"",出库明细!C2681=客户对账单!$B$4,ISNUMBER(出库明细!B2681),出库明细!B2681&gt;=客户对账单!$G$4,出库明细!B2681&lt;=客户对账单!$I$4),出库明细!B2681+ROW()/100000,"")</f>
      </c>
      <c r="H2681">
        <f>IF(AND(资金台帐!K1184&lt;&gt;"",资金台帐!K1184=供应商对账单!$B$4,资金台帐!P1184="应付",ISNUMBER(资金台帐!B1184),资金台帐!B1184&gt;=供应商对账单!$G$4,资金台帐!B1184&lt;=供应商对账单!$I$4),资金台帐!B1184+ROW()/100000,"")</f>
      </c>
      <c r="N2681">
        <f>IF(AND(ISNUMBER(出库明细!G2681),ISNUMBER(出库明细!E2681),ISNUMBER(出库明细!F2681)),IF(ABS(出库明细!G2681-出库明细!E2681*出库明细!F2681)&gt;0.005,1,0),0)</f>
        <v>0</v>
      </c>
    </row>
    <row r="2682">
      <c r="A2682">
        <f>IF(OR(出库明细!C1682="",出库明细!D1682=""),"",IF(OR(COUNTIFS(存条明细!$C$4:$C$1003,出库明细!C1682,存条明细!$D$4:$D$1003,出库明细!D1682)&gt;0,COUNTIFS(出库明细!$C$4:C1682,出库明细!C1682,出库明细!$D$4:D1682,出库明细!D1682)&gt;1),"",IFERROR(MATCH(出库明细!C1682,总览汇总!$B$5:$B$304,0),900)*10000000+IFERROR(MATCH(出库明细!D1682,基础资料!$E$5:$E$104,0),900)*10000+ROW()))</f>
      </c>
      <c r="F2682">
        <f>IF(AND(出库明细!C2682&lt;&gt;"",出库明细!C2682=客户对账单!$B$4,ISNUMBER(出库明细!B2682),出库明细!B2682&gt;=客户对账单!$G$4,出库明细!B2682&lt;=客户对账单!$I$4),出库明细!B2682+ROW()/100000,"")</f>
      </c>
      <c r="H2682">
        <f>IF(AND(资金台帐!K1185&lt;&gt;"",资金台帐!K1185=供应商对账单!$B$4,资金台帐!P1185="应付",ISNUMBER(资金台帐!B1185),资金台帐!B1185&gt;=供应商对账单!$G$4,资金台帐!B1185&lt;=供应商对账单!$I$4),资金台帐!B1185+ROW()/100000,"")</f>
      </c>
      <c r="N2682">
        <f>IF(AND(ISNUMBER(出库明细!G2682),ISNUMBER(出库明细!E2682),ISNUMBER(出库明细!F2682)),IF(ABS(出库明细!G2682-出库明细!E2682*出库明细!F2682)&gt;0.005,1,0),0)</f>
        <v>0</v>
      </c>
    </row>
    <row r="2683">
      <c r="A2683">
        <f>IF(OR(出库明细!C1683="",出库明细!D1683=""),"",IF(OR(COUNTIFS(存条明细!$C$4:$C$1003,出库明细!C1683,存条明细!$D$4:$D$1003,出库明细!D1683)&gt;0,COUNTIFS(出库明细!$C$4:C1683,出库明细!C1683,出库明细!$D$4:D1683,出库明细!D1683)&gt;1),"",IFERROR(MATCH(出库明细!C1683,总览汇总!$B$5:$B$304,0),900)*10000000+IFERROR(MATCH(出库明细!D1683,基础资料!$E$5:$E$104,0),900)*10000+ROW()))</f>
      </c>
      <c r="F2683">
        <f>IF(AND(出库明细!C2683&lt;&gt;"",出库明细!C2683=客户对账单!$B$4,ISNUMBER(出库明细!B2683),出库明细!B2683&gt;=客户对账单!$G$4,出库明细!B2683&lt;=客户对账单!$I$4),出库明细!B2683+ROW()/100000,"")</f>
      </c>
      <c r="H2683">
        <f>IF(AND(资金台帐!K1186&lt;&gt;"",资金台帐!K1186=供应商对账单!$B$4,资金台帐!P1186="应付",ISNUMBER(资金台帐!B1186),资金台帐!B1186&gt;=供应商对账单!$G$4,资金台帐!B1186&lt;=供应商对账单!$I$4),资金台帐!B1186+ROW()/100000,"")</f>
      </c>
      <c r="N2683">
        <f>IF(AND(ISNUMBER(出库明细!G2683),ISNUMBER(出库明细!E2683),ISNUMBER(出库明细!F2683)),IF(ABS(出库明细!G2683-出库明细!E2683*出库明细!F2683)&gt;0.005,1,0),0)</f>
        <v>0</v>
      </c>
    </row>
    <row r="2684">
      <c r="A2684">
        <f>IF(OR(出库明细!C1684="",出库明细!D1684=""),"",IF(OR(COUNTIFS(存条明细!$C$4:$C$1003,出库明细!C1684,存条明细!$D$4:$D$1003,出库明细!D1684)&gt;0,COUNTIFS(出库明细!$C$4:C1684,出库明细!C1684,出库明细!$D$4:D1684,出库明细!D1684)&gt;1),"",IFERROR(MATCH(出库明细!C1684,总览汇总!$B$5:$B$304,0),900)*10000000+IFERROR(MATCH(出库明细!D1684,基础资料!$E$5:$E$104,0),900)*10000+ROW()))</f>
      </c>
      <c r="F2684">
        <f>IF(AND(出库明细!C2684&lt;&gt;"",出库明细!C2684=客户对账单!$B$4,ISNUMBER(出库明细!B2684),出库明细!B2684&gt;=客户对账单!$G$4,出库明细!B2684&lt;=客户对账单!$I$4),出库明细!B2684+ROW()/100000,"")</f>
      </c>
      <c r="H2684">
        <f>IF(AND(资金台帐!K1187&lt;&gt;"",资金台帐!K1187=供应商对账单!$B$4,资金台帐!P1187="应付",ISNUMBER(资金台帐!B1187),资金台帐!B1187&gt;=供应商对账单!$G$4,资金台帐!B1187&lt;=供应商对账单!$I$4),资金台帐!B1187+ROW()/100000,"")</f>
      </c>
      <c r="N2684">
        <f>IF(AND(ISNUMBER(出库明细!G2684),ISNUMBER(出库明细!E2684),ISNUMBER(出库明细!F2684)),IF(ABS(出库明细!G2684-出库明细!E2684*出库明细!F2684)&gt;0.005,1,0),0)</f>
        <v>0</v>
      </c>
    </row>
    <row r="2685">
      <c r="A2685">
        <f>IF(OR(出库明细!C1685="",出库明细!D1685=""),"",IF(OR(COUNTIFS(存条明细!$C$4:$C$1003,出库明细!C1685,存条明细!$D$4:$D$1003,出库明细!D1685)&gt;0,COUNTIFS(出库明细!$C$4:C1685,出库明细!C1685,出库明细!$D$4:D1685,出库明细!D1685)&gt;1),"",IFERROR(MATCH(出库明细!C1685,总览汇总!$B$5:$B$304,0),900)*10000000+IFERROR(MATCH(出库明细!D1685,基础资料!$E$5:$E$104,0),900)*10000+ROW()))</f>
      </c>
      <c r="F2685">
        <f>IF(AND(出库明细!C2685&lt;&gt;"",出库明细!C2685=客户对账单!$B$4,ISNUMBER(出库明细!B2685),出库明细!B2685&gt;=客户对账单!$G$4,出库明细!B2685&lt;=客户对账单!$I$4),出库明细!B2685+ROW()/100000,"")</f>
      </c>
      <c r="H2685">
        <f>IF(AND(资金台帐!K1188&lt;&gt;"",资金台帐!K1188=供应商对账单!$B$4,资金台帐!P1188="应付",ISNUMBER(资金台帐!B1188),资金台帐!B1188&gt;=供应商对账单!$G$4,资金台帐!B1188&lt;=供应商对账单!$I$4),资金台帐!B1188+ROW()/100000,"")</f>
      </c>
      <c r="N2685">
        <f>IF(AND(ISNUMBER(出库明细!G2685),ISNUMBER(出库明细!E2685),ISNUMBER(出库明细!F2685)),IF(ABS(出库明细!G2685-出库明细!E2685*出库明细!F2685)&gt;0.005,1,0),0)</f>
        <v>0</v>
      </c>
    </row>
    <row r="2686">
      <c r="A2686">
        <f>IF(OR(出库明细!C1686="",出库明细!D1686=""),"",IF(OR(COUNTIFS(存条明细!$C$4:$C$1003,出库明细!C1686,存条明细!$D$4:$D$1003,出库明细!D1686)&gt;0,COUNTIFS(出库明细!$C$4:C1686,出库明细!C1686,出库明细!$D$4:D1686,出库明细!D1686)&gt;1),"",IFERROR(MATCH(出库明细!C1686,总览汇总!$B$5:$B$304,0),900)*10000000+IFERROR(MATCH(出库明细!D1686,基础资料!$E$5:$E$104,0),900)*10000+ROW()))</f>
      </c>
      <c r="F2686">
        <f>IF(AND(出库明细!C2686&lt;&gt;"",出库明细!C2686=客户对账单!$B$4,ISNUMBER(出库明细!B2686),出库明细!B2686&gt;=客户对账单!$G$4,出库明细!B2686&lt;=客户对账单!$I$4),出库明细!B2686+ROW()/100000,"")</f>
      </c>
      <c r="H2686">
        <f>IF(AND(资金台帐!K1189&lt;&gt;"",资金台帐!K1189=供应商对账单!$B$4,资金台帐!P1189="应付",ISNUMBER(资金台帐!B1189),资金台帐!B1189&gt;=供应商对账单!$G$4,资金台帐!B1189&lt;=供应商对账单!$I$4),资金台帐!B1189+ROW()/100000,"")</f>
      </c>
      <c r="N2686">
        <f>IF(AND(ISNUMBER(出库明细!G2686),ISNUMBER(出库明细!E2686),ISNUMBER(出库明细!F2686)),IF(ABS(出库明细!G2686-出库明细!E2686*出库明细!F2686)&gt;0.005,1,0),0)</f>
        <v>0</v>
      </c>
    </row>
    <row r="2687">
      <c r="A2687">
        <f>IF(OR(出库明细!C1687="",出库明细!D1687=""),"",IF(OR(COUNTIFS(存条明细!$C$4:$C$1003,出库明细!C1687,存条明细!$D$4:$D$1003,出库明细!D1687)&gt;0,COUNTIFS(出库明细!$C$4:C1687,出库明细!C1687,出库明细!$D$4:D1687,出库明细!D1687)&gt;1),"",IFERROR(MATCH(出库明细!C1687,总览汇总!$B$5:$B$304,0),900)*10000000+IFERROR(MATCH(出库明细!D1687,基础资料!$E$5:$E$104,0),900)*10000+ROW()))</f>
      </c>
      <c r="F2687">
        <f>IF(AND(出库明细!C2687&lt;&gt;"",出库明细!C2687=客户对账单!$B$4,ISNUMBER(出库明细!B2687),出库明细!B2687&gt;=客户对账单!$G$4,出库明细!B2687&lt;=客户对账单!$I$4),出库明细!B2687+ROW()/100000,"")</f>
      </c>
      <c r="H2687">
        <f>IF(AND(资金台帐!K1190&lt;&gt;"",资金台帐!K1190=供应商对账单!$B$4,资金台帐!P1190="应付",ISNUMBER(资金台帐!B1190),资金台帐!B1190&gt;=供应商对账单!$G$4,资金台帐!B1190&lt;=供应商对账单!$I$4),资金台帐!B1190+ROW()/100000,"")</f>
      </c>
      <c r="N2687">
        <f>IF(AND(ISNUMBER(出库明细!G2687),ISNUMBER(出库明细!E2687),ISNUMBER(出库明细!F2687)),IF(ABS(出库明细!G2687-出库明细!E2687*出库明细!F2687)&gt;0.005,1,0),0)</f>
        <v>0</v>
      </c>
    </row>
    <row r="2688">
      <c r="A2688">
        <f>IF(OR(出库明细!C1688="",出库明细!D1688=""),"",IF(OR(COUNTIFS(存条明细!$C$4:$C$1003,出库明细!C1688,存条明细!$D$4:$D$1003,出库明细!D1688)&gt;0,COUNTIFS(出库明细!$C$4:C1688,出库明细!C1688,出库明细!$D$4:D1688,出库明细!D1688)&gt;1),"",IFERROR(MATCH(出库明细!C1688,总览汇总!$B$5:$B$304,0),900)*10000000+IFERROR(MATCH(出库明细!D1688,基础资料!$E$5:$E$104,0),900)*10000+ROW()))</f>
      </c>
      <c r="F2688">
        <f>IF(AND(出库明细!C2688&lt;&gt;"",出库明细!C2688=客户对账单!$B$4,ISNUMBER(出库明细!B2688),出库明细!B2688&gt;=客户对账单!$G$4,出库明细!B2688&lt;=客户对账单!$I$4),出库明细!B2688+ROW()/100000,"")</f>
      </c>
      <c r="H2688">
        <f>IF(AND(资金台帐!K1191&lt;&gt;"",资金台帐!K1191=供应商对账单!$B$4,资金台帐!P1191="应付",ISNUMBER(资金台帐!B1191),资金台帐!B1191&gt;=供应商对账单!$G$4,资金台帐!B1191&lt;=供应商对账单!$I$4),资金台帐!B1191+ROW()/100000,"")</f>
      </c>
      <c r="N2688">
        <f>IF(AND(ISNUMBER(出库明细!G2688),ISNUMBER(出库明细!E2688),ISNUMBER(出库明细!F2688)),IF(ABS(出库明细!G2688-出库明细!E2688*出库明细!F2688)&gt;0.005,1,0),0)</f>
        <v>0</v>
      </c>
    </row>
    <row r="2689">
      <c r="A2689">
        <f>IF(OR(出库明细!C1689="",出库明细!D1689=""),"",IF(OR(COUNTIFS(存条明细!$C$4:$C$1003,出库明细!C1689,存条明细!$D$4:$D$1003,出库明细!D1689)&gt;0,COUNTIFS(出库明细!$C$4:C1689,出库明细!C1689,出库明细!$D$4:D1689,出库明细!D1689)&gt;1),"",IFERROR(MATCH(出库明细!C1689,总览汇总!$B$5:$B$304,0),900)*10000000+IFERROR(MATCH(出库明细!D1689,基础资料!$E$5:$E$104,0),900)*10000+ROW()))</f>
      </c>
      <c r="F2689">
        <f>IF(AND(出库明细!C2689&lt;&gt;"",出库明细!C2689=客户对账单!$B$4,ISNUMBER(出库明细!B2689),出库明细!B2689&gt;=客户对账单!$G$4,出库明细!B2689&lt;=客户对账单!$I$4),出库明细!B2689+ROW()/100000,"")</f>
      </c>
      <c r="H2689">
        <f>IF(AND(资金台帐!K1192&lt;&gt;"",资金台帐!K1192=供应商对账单!$B$4,资金台帐!P1192="应付",ISNUMBER(资金台帐!B1192),资金台帐!B1192&gt;=供应商对账单!$G$4,资金台帐!B1192&lt;=供应商对账单!$I$4),资金台帐!B1192+ROW()/100000,"")</f>
      </c>
      <c r="N2689">
        <f>IF(AND(ISNUMBER(出库明细!G2689),ISNUMBER(出库明细!E2689),ISNUMBER(出库明细!F2689)),IF(ABS(出库明细!G2689-出库明细!E2689*出库明细!F2689)&gt;0.005,1,0),0)</f>
        <v>0</v>
      </c>
    </row>
    <row r="2690">
      <c r="A2690">
        <f>IF(OR(出库明细!C1690="",出库明细!D1690=""),"",IF(OR(COUNTIFS(存条明细!$C$4:$C$1003,出库明细!C1690,存条明细!$D$4:$D$1003,出库明细!D1690)&gt;0,COUNTIFS(出库明细!$C$4:C1690,出库明细!C1690,出库明细!$D$4:D1690,出库明细!D1690)&gt;1),"",IFERROR(MATCH(出库明细!C1690,总览汇总!$B$5:$B$304,0),900)*10000000+IFERROR(MATCH(出库明细!D1690,基础资料!$E$5:$E$104,0),900)*10000+ROW()))</f>
      </c>
      <c r="F2690">
        <f>IF(AND(出库明细!C2690&lt;&gt;"",出库明细!C2690=客户对账单!$B$4,ISNUMBER(出库明细!B2690),出库明细!B2690&gt;=客户对账单!$G$4,出库明细!B2690&lt;=客户对账单!$I$4),出库明细!B2690+ROW()/100000,"")</f>
      </c>
      <c r="H2690">
        <f>IF(AND(资金台帐!K1193&lt;&gt;"",资金台帐!K1193=供应商对账单!$B$4,资金台帐!P1193="应付",ISNUMBER(资金台帐!B1193),资金台帐!B1193&gt;=供应商对账单!$G$4,资金台帐!B1193&lt;=供应商对账单!$I$4),资金台帐!B1193+ROW()/100000,"")</f>
      </c>
      <c r="N2690">
        <f>IF(AND(ISNUMBER(出库明细!G2690),ISNUMBER(出库明细!E2690),ISNUMBER(出库明细!F2690)),IF(ABS(出库明细!G2690-出库明细!E2690*出库明细!F2690)&gt;0.005,1,0),0)</f>
        <v>0</v>
      </c>
    </row>
    <row r="2691">
      <c r="A2691">
        <f>IF(OR(出库明细!C1691="",出库明细!D1691=""),"",IF(OR(COUNTIFS(存条明细!$C$4:$C$1003,出库明细!C1691,存条明细!$D$4:$D$1003,出库明细!D1691)&gt;0,COUNTIFS(出库明细!$C$4:C1691,出库明细!C1691,出库明细!$D$4:D1691,出库明细!D1691)&gt;1),"",IFERROR(MATCH(出库明细!C1691,总览汇总!$B$5:$B$304,0),900)*10000000+IFERROR(MATCH(出库明细!D1691,基础资料!$E$5:$E$104,0),900)*10000+ROW()))</f>
      </c>
      <c r="F2691">
        <f>IF(AND(出库明细!C2691&lt;&gt;"",出库明细!C2691=客户对账单!$B$4,ISNUMBER(出库明细!B2691),出库明细!B2691&gt;=客户对账单!$G$4,出库明细!B2691&lt;=客户对账单!$I$4),出库明细!B2691+ROW()/100000,"")</f>
      </c>
      <c r="H2691">
        <f>IF(AND(资金台帐!K1194&lt;&gt;"",资金台帐!K1194=供应商对账单!$B$4,资金台帐!P1194="应付",ISNUMBER(资金台帐!B1194),资金台帐!B1194&gt;=供应商对账单!$G$4,资金台帐!B1194&lt;=供应商对账单!$I$4),资金台帐!B1194+ROW()/100000,"")</f>
      </c>
      <c r="N2691">
        <f>IF(AND(ISNUMBER(出库明细!G2691),ISNUMBER(出库明细!E2691),ISNUMBER(出库明细!F2691)),IF(ABS(出库明细!G2691-出库明细!E2691*出库明细!F2691)&gt;0.005,1,0),0)</f>
        <v>0</v>
      </c>
    </row>
    <row r="2692">
      <c r="A2692">
        <f>IF(OR(出库明细!C1692="",出库明细!D1692=""),"",IF(OR(COUNTIFS(存条明细!$C$4:$C$1003,出库明细!C1692,存条明细!$D$4:$D$1003,出库明细!D1692)&gt;0,COUNTIFS(出库明细!$C$4:C1692,出库明细!C1692,出库明细!$D$4:D1692,出库明细!D1692)&gt;1),"",IFERROR(MATCH(出库明细!C1692,总览汇总!$B$5:$B$304,0),900)*10000000+IFERROR(MATCH(出库明细!D1692,基础资料!$E$5:$E$104,0),900)*10000+ROW()))</f>
      </c>
      <c r="F2692">
        <f>IF(AND(出库明细!C2692&lt;&gt;"",出库明细!C2692=客户对账单!$B$4,ISNUMBER(出库明细!B2692),出库明细!B2692&gt;=客户对账单!$G$4,出库明细!B2692&lt;=客户对账单!$I$4),出库明细!B2692+ROW()/100000,"")</f>
      </c>
      <c r="H2692">
        <f>IF(AND(资金台帐!K1195&lt;&gt;"",资金台帐!K1195=供应商对账单!$B$4,资金台帐!P1195="应付",ISNUMBER(资金台帐!B1195),资金台帐!B1195&gt;=供应商对账单!$G$4,资金台帐!B1195&lt;=供应商对账单!$I$4),资金台帐!B1195+ROW()/100000,"")</f>
      </c>
      <c r="N2692">
        <f>IF(AND(ISNUMBER(出库明细!G2692),ISNUMBER(出库明细!E2692),ISNUMBER(出库明细!F2692)),IF(ABS(出库明细!G2692-出库明细!E2692*出库明细!F2692)&gt;0.005,1,0),0)</f>
        <v>0</v>
      </c>
    </row>
    <row r="2693">
      <c r="A2693">
        <f>IF(OR(出库明细!C1693="",出库明细!D1693=""),"",IF(OR(COUNTIFS(存条明细!$C$4:$C$1003,出库明细!C1693,存条明细!$D$4:$D$1003,出库明细!D1693)&gt;0,COUNTIFS(出库明细!$C$4:C1693,出库明细!C1693,出库明细!$D$4:D1693,出库明细!D1693)&gt;1),"",IFERROR(MATCH(出库明细!C1693,总览汇总!$B$5:$B$304,0),900)*10000000+IFERROR(MATCH(出库明细!D1693,基础资料!$E$5:$E$104,0),900)*10000+ROW()))</f>
      </c>
      <c r="F2693">
        <f>IF(AND(出库明细!C2693&lt;&gt;"",出库明细!C2693=客户对账单!$B$4,ISNUMBER(出库明细!B2693),出库明细!B2693&gt;=客户对账单!$G$4,出库明细!B2693&lt;=客户对账单!$I$4),出库明细!B2693+ROW()/100000,"")</f>
      </c>
      <c r="H2693">
        <f>IF(AND(资金台帐!K1196&lt;&gt;"",资金台帐!K1196=供应商对账单!$B$4,资金台帐!P1196="应付",ISNUMBER(资金台帐!B1196),资金台帐!B1196&gt;=供应商对账单!$G$4,资金台帐!B1196&lt;=供应商对账单!$I$4),资金台帐!B1196+ROW()/100000,"")</f>
      </c>
      <c r="N2693">
        <f>IF(AND(ISNUMBER(出库明细!G2693),ISNUMBER(出库明细!E2693),ISNUMBER(出库明细!F2693)),IF(ABS(出库明细!G2693-出库明细!E2693*出库明细!F2693)&gt;0.005,1,0),0)</f>
        <v>0</v>
      </c>
    </row>
    <row r="2694">
      <c r="A2694">
        <f>IF(OR(出库明细!C1694="",出库明细!D1694=""),"",IF(OR(COUNTIFS(存条明细!$C$4:$C$1003,出库明细!C1694,存条明细!$D$4:$D$1003,出库明细!D1694)&gt;0,COUNTIFS(出库明细!$C$4:C1694,出库明细!C1694,出库明细!$D$4:D1694,出库明细!D1694)&gt;1),"",IFERROR(MATCH(出库明细!C1694,总览汇总!$B$5:$B$304,0),900)*10000000+IFERROR(MATCH(出库明细!D1694,基础资料!$E$5:$E$104,0),900)*10000+ROW()))</f>
      </c>
      <c r="F2694">
        <f>IF(AND(出库明细!C2694&lt;&gt;"",出库明细!C2694=客户对账单!$B$4,ISNUMBER(出库明细!B2694),出库明细!B2694&gt;=客户对账单!$G$4,出库明细!B2694&lt;=客户对账单!$I$4),出库明细!B2694+ROW()/100000,"")</f>
      </c>
      <c r="H2694">
        <f>IF(AND(资金台帐!K1197&lt;&gt;"",资金台帐!K1197=供应商对账单!$B$4,资金台帐!P1197="应付",ISNUMBER(资金台帐!B1197),资金台帐!B1197&gt;=供应商对账单!$G$4,资金台帐!B1197&lt;=供应商对账单!$I$4),资金台帐!B1197+ROW()/100000,"")</f>
      </c>
      <c r="N2694">
        <f>IF(AND(ISNUMBER(出库明细!G2694),ISNUMBER(出库明细!E2694),ISNUMBER(出库明细!F2694)),IF(ABS(出库明细!G2694-出库明细!E2694*出库明细!F2694)&gt;0.005,1,0),0)</f>
        <v>0</v>
      </c>
    </row>
    <row r="2695">
      <c r="A2695">
        <f>IF(OR(出库明细!C1695="",出库明细!D1695=""),"",IF(OR(COUNTIFS(存条明细!$C$4:$C$1003,出库明细!C1695,存条明细!$D$4:$D$1003,出库明细!D1695)&gt;0,COUNTIFS(出库明细!$C$4:C1695,出库明细!C1695,出库明细!$D$4:D1695,出库明细!D1695)&gt;1),"",IFERROR(MATCH(出库明细!C1695,总览汇总!$B$5:$B$304,0),900)*10000000+IFERROR(MATCH(出库明细!D1695,基础资料!$E$5:$E$104,0),900)*10000+ROW()))</f>
      </c>
      <c r="F2695">
        <f>IF(AND(出库明细!C2695&lt;&gt;"",出库明细!C2695=客户对账单!$B$4,ISNUMBER(出库明细!B2695),出库明细!B2695&gt;=客户对账单!$G$4,出库明细!B2695&lt;=客户对账单!$I$4),出库明细!B2695+ROW()/100000,"")</f>
      </c>
      <c r="H2695">
        <f>IF(AND(资金台帐!K1198&lt;&gt;"",资金台帐!K1198=供应商对账单!$B$4,资金台帐!P1198="应付",ISNUMBER(资金台帐!B1198),资金台帐!B1198&gt;=供应商对账单!$G$4,资金台帐!B1198&lt;=供应商对账单!$I$4),资金台帐!B1198+ROW()/100000,"")</f>
      </c>
      <c r="N2695">
        <f>IF(AND(ISNUMBER(出库明细!G2695),ISNUMBER(出库明细!E2695),ISNUMBER(出库明细!F2695)),IF(ABS(出库明细!G2695-出库明细!E2695*出库明细!F2695)&gt;0.005,1,0),0)</f>
        <v>0</v>
      </c>
    </row>
    <row r="2696">
      <c r="A2696">
        <f>IF(OR(出库明细!C1696="",出库明细!D1696=""),"",IF(OR(COUNTIFS(存条明细!$C$4:$C$1003,出库明细!C1696,存条明细!$D$4:$D$1003,出库明细!D1696)&gt;0,COUNTIFS(出库明细!$C$4:C1696,出库明细!C1696,出库明细!$D$4:D1696,出库明细!D1696)&gt;1),"",IFERROR(MATCH(出库明细!C1696,总览汇总!$B$5:$B$304,0),900)*10000000+IFERROR(MATCH(出库明细!D1696,基础资料!$E$5:$E$104,0),900)*10000+ROW()))</f>
      </c>
      <c r="F2696">
        <f>IF(AND(出库明细!C2696&lt;&gt;"",出库明细!C2696=客户对账单!$B$4,ISNUMBER(出库明细!B2696),出库明细!B2696&gt;=客户对账单!$G$4,出库明细!B2696&lt;=客户对账单!$I$4),出库明细!B2696+ROW()/100000,"")</f>
      </c>
      <c r="H2696">
        <f>IF(AND(资金台帐!K1199&lt;&gt;"",资金台帐!K1199=供应商对账单!$B$4,资金台帐!P1199="应付",ISNUMBER(资金台帐!B1199),资金台帐!B1199&gt;=供应商对账单!$G$4,资金台帐!B1199&lt;=供应商对账单!$I$4),资金台帐!B1199+ROW()/100000,"")</f>
      </c>
      <c r="N2696">
        <f>IF(AND(ISNUMBER(出库明细!G2696),ISNUMBER(出库明细!E2696),ISNUMBER(出库明细!F2696)),IF(ABS(出库明细!G2696-出库明细!E2696*出库明细!F2696)&gt;0.005,1,0),0)</f>
        <v>0</v>
      </c>
    </row>
    <row r="2697">
      <c r="A2697">
        <f>IF(OR(出库明细!C1697="",出库明细!D1697=""),"",IF(OR(COUNTIFS(存条明细!$C$4:$C$1003,出库明细!C1697,存条明细!$D$4:$D$1003,出库明细!D1697)&gt;0,COUNTIFS(出库明细!$C$4:C1697,出库明细!C1697,出库明细!$D$4:D1697,出库明细!D1697)&gt;1),"",IFERROR(MATCH(出库明细!C1697,总览汇总!$B$5:$B$304,0),900)*10000000+IFERROR(MATCH(出库明细!D1697,基础资料!$E$5:$E$104,0),900)*10000+ROW()))</f>
      </c>
      <c r="F2697">
        <f>IF(AND(出库明细!C2697&lt;&gt;"",出库明细!C2697=客户对账单!$B$4,ISNUMBER(出库明细!B2697),出库明细!B2697&gt;=客户对账单!$G$4,出库明细!B2697&lt;=客户对账单!$I$4),出库明细!B2697+ROW()/100000,"")</f>
      </c>
      <c r="H2697">
        <f>IF(AND(资金台帐!K1200&lt;&gt;"",资金台帐!K1200=供应商对账单!$B$4,资金台帐!P1200="应付",ISNUMBER(资金台帐!B1200),资金台帐!B1200&gt;=供应商对账单!$G$4,资金台帐!B1200&lt;=供应商对账单!$I$4),资金台帐!B1200+ROW()/100000,"")</f>
      </c>
      <c r="N2697">
        <f>IF(AND(ISNUMBER(出库明细!G2697),ISNUMBER(出库明细!E2697),ISNUMBER(出库明细!F2697)),IF(ABS(出库明细!G2697-出库明细!E2697*出库明细!F2697)&gt;0.005,1,0),0)</f>
        <v>0</v>
      </c>
    </row>
    <row r="2698">
      <c r="A2698">
        <f>IF(OR(出库明细!C1698="",出库明细!D1698=""),"",IF(OR(COUNTIFS(存条明细!$C$4:$C$1003,出库明细!C1698,存条明细!$D$4:$D$1003,出库明细!D1698)&gt;0,COUNTIFS(出库明细!$C$4:C1698,出库明细!C1698,出库明细!$D$4:D1698,出库明细!D1698)&gt;1),"",IFERROR(MATCH(出库明细!C1698,总览汇总!$B$5:$B$304,0),900)*10000000+IFERROR(MATCH(出库明细!D1698,基础资料!$E$5:$E$104,0),900)*10000+ROW()))</f>
      </c>
      <c r="F2698">
        <f>IF(AND(出库明细!C2698&lt;&gt;"",出库明细!C2698=客户对账单!$B$4,ISNUMBER(出库明细!B2698),出库明细!B2698&gt;=客户对账单!$G$4,出库明细!B2698&lt;=客户对账单!$I$4),出库明细!B2698+ROW()/100000,"")</f>
      </c>
      <c r="H2698">
        <f>IF(AND(资金台帐!K1201&lt;&gt;"",资金台帐!K1201=供应商对账单!$B$4,资金台帐!P1201="应付",ISNUMBER(资金台帐!B1201),资金台帐!B1201&gt;=供应商对账单!$G$4,资金台帐!B1201&lt;=供应商对账单!$I$4),资金台帐!B1201+ROW()/100000,"")</f>
      </c>
      <c r="N2698">
        <f>IF(AND(ISNUMBER(出库明细!G2698),ISNUMBER(出库明细!E2698),ISNUMBER(出库明细!F2698)),IF(ABS(出库明细!G2698-出库明细!E2698*出库明细!F2698)&gt;0.005,1,0),0)</f>
        <v>0</v>
      </c>
    </row>
    <row r="2699">
      <c r="A2699">
        <f>IF(OR(出库明细!C1699="",出库明细!D1699=""),"",IF(OR(COUNTIFS(存条明细!$C$4:$C$1003,出库明细!C1699,存条明细!$D$4:$D$1003,出库明细!D1699)&gt;0,COUNTIFS(出库明细!$C$4:C1699,出库明细!C1699,出库明细!$D$4:D1699,出库明细!D1699)&gt;1),"",IFERROR(MATCH(出库明细!C1699,总览汇总!$B$5:$B$304,0),900)*10000000+IFERROR(MATCH(出库明细!D1699,基础资料!$E$5:$E$104,0),900)*10000+ROW()))</f>
      </c>
      <c r="F2699">
        <f>IF(AND(出库明细!C2699&lt;&gt;"",出库明细!C2699=客户对账单!$B$4,ISNUMBER(出库明细!B2699),出库明细!B2699&gt;=客户对账单!$G$4,出库明细!B2699&lt;=客户对账单!$I$4),出库明细!B2699+ROW()/100000,"")</f>
      </c>
      <c r="H2699">
        <f>IF(AND(资金台帐!K1202&lt;&gt;"",资金台帐!K1202=供应商对账单!$B$4,资金台帐!P1202="应付",ISNUMBER(资金台帐!B1202),资金台帐!B1202&gt;=供应商对账单!$G$4,资金台帐!B1202&lt;=供应商对账单!$I$4),资金台帐!B1202+ROW()/100000,"")</f>
      </c>
      <c r="N2699">
        <f>IF(AND(ISNUMBER(出库明细!G2699),ISNUMBER(出库明细!E2699),ISNUMBER(出库明细!F2699)),IF(ABS(出库明细!G2699-出库明细!E2699*出库明细!F2699)&gt;0.005,1,0),0)</f>
        <v>0</v>
      </c>
    </row>
    <row r="2700">
      <c r="A2700">
        <f>IF(OR(出库明细!C1700="",出库明细!D1700=""),"",IF(OR(COUNTIFS(存条明细!$C$4:$C$1003,出库明细!C1700,存条明细!$D$4:$D$1003,出库明细!D1700)&gt;0,COUNTIFS(出库明细!$C$4:C1700,出库明细!C1700,出库明细!$D$4:D1700,出库明细!D1700)&gt;1),"",IFERROR(MATCH(出库明细!C1700,总览汇总!$B$5:$B$304,0),900)*10000000+IFERROR(MATCH(出库明细!D1700,基础资料!$E$5:$E$104,0),900)*10000+ROW()))</f>
      </c>
      <c r="F2700">
        <f>IF(AND(出库明细!C2700&lt;&gt;"",出库明细!C2700=客户对账单!$B$4,ISNUMBER(出库明细!B2700),出库明细!B2700&gt;=客户对账单!$G$4,出库明细!B2700&lt;=客户对账单!$I$4),出库明细!B2700+ROW()/100000,"")</f>
      </c>
      <c r="H2700">
        <f>IF(AND(资金台帐!K1203&lt;&gt;"",资金台帐!K1203=供应商对账单!$B$4,资金台帐!P1203="应付",ISNUMBER(资金台帐!B1203),资金台帐!B1203&gt;=供应商对账单!$G$4,资金台帐!B1203&lt;=供应商对账单!$I$4),资金台帐!B1203+ROW()/100000,"")</f>
      </c>
      <c r="N2700">
        <f>IF(AND(ISNUMBER(出库明细!G2700),ISNUMBER(出库明细!E2700),ISNUMBER(出库明细!F2700)),IF(ABS(出库明细!G2700-出库明细!E2700*出库明细!F2700)&gt;0.005,1,0),0)</f>
        <v>0</v>
      </c>
    </row>
    <row r="2701">
      <c r="A2701">
        <f>IF(OR(出库明细!C1701="",出库明细!D1701=""),"",IF(OR(COUNTIFS(存条明细!$C$4:$C$1003,出库明细!C1701,存条明细!$D$4:$D$1003,出库明细!D1701)&gt;0,COUNTIFS(出库明细!$C$4:C1701,出库明细!C1701,出库明细!$D$4:D1701,出库明细!D1701)&gt;1),"",IFERROR(MATCH(出库明细!C1701,总览汇总!$B$5:$B$304,0),900)*10000000+IFERROR(MATCH(出库明细!D1701,基础资料!$E$5:$E$104,0),900)*10000+ROW()))</f>
      </c>
      <c r="F2701">
        <f>IF(AND(出库明细!C2701&lt;&gt;"",出库明细!C2701=客户对账单!$B$4,ISNUMBER(出库明细!B2701),出库明细!B2701&gt;=客户对账单!$G$4,出库明细!B2701&lt;=客户对账单!$I$4),出库明细!B2701+ROW()/100000,"")</f>
      </c>
      <c r="H2701">
        <f>IF(AND(资金台帐!K1204&lt;&gt;"",资金台帐!K1204=供应商对账单!$B$4,资金台帐!P1204="应付",ISNUMBER(资金台帐!B1204),资金台帐!B1204&gt;=供应商对账单!$G$4,资金台帐!B1204&lt;=供应商对账单!$I$4),资金台帐!B1204+ROW()/100000,"")</f>
      </c>
      <c r="N2701">
        <f>IF(AND(ISNUMBER(出库明细!G2701),ISNUMBER(出库明细!E2701),ISNUMBER(出库明细!F2701)),IF(ABS(出库明细!G2701-出库明细!E2701*出库明细!F2701)&gt;0.005,1,0),0)</f>
        <v>0</v>
      </c>
    </row>
    <row r="2702">
      <c r="A2702">
        <f>IF(OR(出库明细!C1702="",出库明细!D1702=""),"",IF(OR(COUNTIFS(存条明细!$C$4:$C$1003,出库明细!C1702,存条明细!$D$4:$D$1003,出库明细!D1702)&gt;0,COUNTIFS(出库明细!$C$4:C1702,出库明细!C1702,出库明细!$D$4:D1702,出库明细!D1702)&gt;1),"",IFERROR(MATCH(出库明细!C1702,总览汇总!$B$5:$B$304,0),900)*10000000+IFERROR(MATCH(出库明细!D1702,基础资料!$E$5:$E$104,0),900)*10000+ROW()))</f>
      </c>
      <c r="F2702">
        <f>IF(AND(出库明细!C2702&lt;&gt;"",出库明细!C2702=客户对账单!$B$4,ISNUMBER(出库明细!B2702),出库明细!B2702&gt;=客户对账单!$G$4,出库明细!B2702&lt;=客户对账单!$I$4),出库明细!B2702+ROW()/100000,"")</f>
      </c>
      <c r="H2702">
        <f>IF(AND(资金台帐!K1205&lt;&gt;"",资金台帐!K1205=供应商对账单!$B$4,资金台帐!P1205="应付",ISNUMBER(资金台帐!B1205),资金台帐!B1205&gt;=供应商对账单!$G$4,资金台帐!B1205&lt;=供应商对账单!$I$4),资金台帐!B1205+ROW()/100000,"")</f>
      </c>
      <c r="N2702">
        <f>IF(AND(ISNUMBER(出库明细!G2702),ISNUMBER(出库明细!E2702),ISNUMBER(出库明细!F2702)),IF(ABS(出库明细!G2702-出库明细!E2702*出库明细!F2702)&gt;0.005,1,0),0)</f>
        <v>0</v>
      </c>
    </row>
    <row r="2703">
      <c r="A2703">
        <f>IF(OR(出库明细!C1703="",出库明细!D1703=""),"",IF(OR(COUNTIFS(存条明细!$C$4:$C$1003,出库明细!C1703,存条明细!$D$4:$D$1003,出库明细!D1703)&gt;0,COUNTIFS(出库明细!$C$4:C1703,出库明细!C1703,出库明细!$D$4:D1703,出库明细!D1703)&gt;1),"",IFERROR(MATCH(出库明细!C1703,总览汇总!$B$5:$B$304,0),900)*10000000+IFERROR(MATCH(出库明细!D1703,基础资料!$E$5:$E$104,0),900)*10000+ROW()))</f>
      </c>
      <c r="F2703">
        <f>IF(AND(出库明细!C2703&lt;&gt;"",出库明细!C2703=客户对账单!$B$4,ISNUMBER(出库明细!B2703),出库明细!B2703&gt;=客户对账单!$G$4,出库明细!B2703&lt;=客户对账单!$I$4),出库明细!B2703+ROW()/100000,"")</f>
      </c>
      <c r="H2703">
        <f>IF(AND(资金台帐!K1206&lt;&gt;"",资金台帐!K1206=供应商对账单!$B$4,资金台帐!P1206="应付",ISNUMBER(资金台帐!B1206),资金台帐!B1206&gt;=供应商对账单!$G$4,资金台帐!B1206&lt;=供应商对账单!$I$4),资金台帐!B1206+ROW()/100000,"")</f>
      </c>
      <c r="N2703">
        <f>IF(AND(ISNUMBER(出库明细!G2703),ISNUMBER(出库明细!E2703),ISNUMBER(出库明细!F2703)),IF(ABS(出库明细!G2703-出库明细!E2703*出库明细!F2703)&gt;0.005,1,0),0)</f>
        <v>0</v>
      </c>
    </row>
    <row r="2704">
      <c r="A2704">
        <f>IF(OR(出库明细!C1704="",出库明细!D1704=""),"",IF(OR(COUNTIFS(存条明细!$C$4:$C$1003,出库明细!C1704,存条明细!$D$4:$D$1003,出库明细!D1704)&gt;0,COUNTIFS(出库明细!$C$4:C1704,出库明细!C1704,出库明细!$D$4:D1704,出库明细!D1704)&gt;1),"",IFERROR(MATCH(出库明细!C1704,总览汇总!$B$5:$B$304,0),900)*10000000+IFERROR(MATCH(出库明细!D1704,基础资料!$E$5:$E$104,0),900)*10000+ROW()))</f>
      </c>
      <c r="F2704">
        <f>IF(AND(出库明细!C2704&lt;&gt;"",出库明细!C2704=客户对账单!$B$4,ISNUMBER(出库明细!B2704),出库明细!B2704&gt;=客户对账单!$G$4,出库明细!B2704&lt;=客户对账单!$I$4),出库明细!B2704+ROW()/100000,"")</f>
      </c>
      <c r="H2704">
        <f>IF(AND(资金台帐!K1207&lt;&gt;"",资金台帐!K1207=供应商对账单!$B$4,资金台帐!P1207="应付",ISNUMBER(资金台帐!B1207),资金台帐!B1207&gt;=供应商对账单!$G$4,资金台帐!B1207&lt;=供应商对账单!$I$4),资金台帐!B1207+ROW()/100000,"")</f>
      </c>
      <c r="N2704">
        <f>IF(AND(ISNUMBER(出库明细!G2704),ISNUMBER(出库明细!E2704),ISNUMBER(出库明细!F2704)),IF(ABS(出库明细!G2704-出库明细!E2704*出库明细!F2704)&gt;0.005,1,0),0)</f>
        <v>0</v>
      </c>
    </row>
    <row r="2705">
      <c r="A2705">
        <f>IF(OR(出库明细!C1705="",出库明细!D1705=""),"",IF(OR(COUNTIFS(存条明细!$C$4:$C$1003,出库明细!C1705,存条明细!$D$4:$D$1003,出库明细!D1705)&gt;0,COUNTIFS(出库明细!$C$4:C1705,出库明细!C1705,出库明细!$D$4:D1705,出库明细!D1705)&gt;1),"",IFERROR(MATCH(出库明细!C1705,总览汇总!$B$5:$B$304,0),900)*10000000+IFERROR(MATCH(出库明细!D1705,基础资料!$E$5:$E$104,0),900)*10000+ROW()))</f>
      </c>
      <c r="F2705">
        <f>IF(AND(出库明细!C2705&lt;&gt;"",出库明细!C2705=客户对账单!$B$4,ISNUMBER(出库明细!B2705),出库明细!B2705&gt;=客户对账单!$G$4,出库明细!B2705&lt;=客户对账单!$I$4),出库明细!B2705+ROW()/100000,"")</f>
      </c>
      <c r="H2705">
        <f>IF(AND(资金台帐!K1208&lt;&gt;"",资金台帐!K1208=供应商对账单!$B$4,资金台帐!P1208="应付",ISNUMBER(资金台帐!B1208),资金台帐!B1208&gt;=供应商对账单!$G$4,资金台帐!B1208&lt;=供应商对账单!$I$4),资金台帐!B1208+ROW()/100000,"")</f>
      </c>
      <c r="N2705">
        <f>IF(AND(ISNUMBER(出库明细!G2705),ISNUMBER(出库明细!E2705),ISNUMBER(出库明细!F2705)),IF(ABS(出库明细!G2705-出库明细!E2705*出库明细!F2705)&gt;0.005,1,0),0)</f>
        <v>0</v>
      </c>
    </row>
    <row r="2706">
      <c r="A2706">
        <f>IF(OR(出库明细!C1706="",出库明细!D1706=""),"",IF(OR(COUNTIFS(存条明细!$C$4:$C$1003,出库明细!C1706,存条明细!$D$4:$D$1003,出库明细!D1706)&gt;0,COUNTIFS(出库明细!$C$4:C1706,出库明细!C1706,出库明细!$D$4:D1706,出库明细!D1706)&gt;1),"",IFERROR(MATCH(出库明细!C1706,总览汇总!$B$5:$B$304,0),900)*10000000+IFERROR(MATCH(出库明细!D1706,基础资料!$E$5:$E$104,0),900)*10000+ROW()))</f>
      </c>
      <c r="F2706">
        <f>IF(AND(出库明细!C2706&lt;&gt;"",出库明细!C2706=客户对账单!$B$4,ISNUMBER(出库明细!B2706),出库明细!B2706&gt;=客户对账单!$G$4,出库明细!B2706&lt;=客户对账单!$I$4),出库明细!B2706+ROW()/100000,"")</f>
      </c>
      <c r="H2706">
        <f>IF(AND(资金台帐!K1209&lt;&gt;"",资金台帐!K1209=供应商对账单!$B$4,资金台帐!P1209="应付",ISNUMBER(资金台帐!B1209),资金台帐!B1209&gt;=供应商对账单!$G$4,资金台帐!B1209&lt;=供应商对账单!$I$4),资金台帐!B1209+ROW()/100000,"")</f>
      </c>
      <c r="N2706">
        <f>IF(AND(ISNUMBER(出库明细!G2706),ISNUMBER(出库明细!E2706),ISNUMBER(出库明细!F2706)),IF(ABS(出库明细!G2706-出库明细!E2706*出库明细!F2706)&gt;0.005,1,0),0)</f>
        <v>0</v>
      </c>
    </row>
    <row r="2707">
      <c r="A2707">
        <f>IF(OR(出库明细!C1707="",出库明细!D1707=""),"",IF(OR(COUNTIFS(存条明细!$C$4:$C$1003,出库明细!C1707,存条明细!$D$4:$D$1003,出库明细!D1707)&gt;0,COUNTIFS(出库明细!$C$4:C1707,出库明细!C1707,出库明细!$D$4:D1707,出库明细!D1707)&gt;1),"",IFERROR(MATCH(出库明细!C1707,总览汇总!$B$5:$B$304,0),900)*10000000+IFERROR(MATCH(出库明细!D1707,基础资料!$E$5:$E$104,0),900)*10000+ROW()))</f>
      </c>
      <c r="F2707">
        <f>IF(AND(出库明细!C2707&lt;&gt;"",出库明细!C2707=客户对账单!$B$4,ISNUMBER(出库明细!B2707),出库明细!B2707&gt;=客户对账单!$G$4,出库明细!B2707&lt;=客户对账单!$I$4),出库明细!B2707+ROW()/100000,"")</f>
      </c>
      <c r="H2707">
        <f>IF(AND(资金台帐!K1210&lt;&gt;"",资金台帐!K1210=供应商对账单!$B$4,资金台帐!P1210="应付",ISNUMBER(资金台帐!B1210),资金台帐!B1210&gt;=供应商对账单!$G$4,资金台帐!B1210&lt;=供应商对账单!$I$4),资金台帐!B1210+ROW()/100000,"")</f>
      </c>
      <c r="N2707">
        <f>IF(AND(ISNUMBER(出库明细!G2707),ISNUMBER(出库明细!E2707),ISNUMBER(出库明细!F2707)),IF(ABS(出库明细!G2707-出库明细!E2707*出库明细!F2707)&gt;0.005,1,0),0)</f>
        <v>0</v>
      </c>
    </row>
    <row r="2708">
      <c r="A2708">
        <f>IF(OR(出库明细!C1708="",出库明细!D1708=""),"",IF(OR(COUNTIFS(存条明细!$C$4:$C$1003,出库明细!C1708,存条明细!$D$4:$D$1003,出库明细!D1708)&gt;0,COUNTIFS(出库明细!$C$4:C1708,出库明细!C1708,出库明细!$D$4:D1708,出库明细!D1708)&gt;1),"",IFERROR(MATCH(出库明细!C1708,总览汇总!$B$5:$B$304,0),900)*10000000+IFERROR(MATCH(出库明细!D1708,基础资料!$E$5:$E$104,0),900)*10000+ROW()))</f>
      </c>
      <c r="F2708">
        <f>IF(AND(出库明细!C2708&lt;&gt;"",出库明细!C2708=客户对账单!$B$4,ISNUMBER(出库明细!B2708),出库明细!B2708&gt;=客户对账单!$G$4,出库明细!B2708&lt;=客户对账单!$I$4),出库明细!B2708+ROW()/100000,"")</f>
      </c>
      <c r="H2708">
        <f>IF(AND(资金台帐!K1211&lt;&gt;"",资金台帐!K1211=供应商对账单!$B$4,资金台帐!P1211="应付",ISNUMBER(资金台帐!B1211),资金台帐!B1211&gt;=供应商对账单!$G$4,资金台帐!B1211&lt;=供应商对账单!$I$4),资金台帐!B1211+ROW()/100000,"")</f>
      </c>
      <c r="N2708">
        <f>IF(AND(ISNUMBER(出库明细!G2708),ISNUMBER(出库明细!E2708),ISNUMBER(出库明细!F2708)),IF(ABS(出库明细!G2708-出库明细!E2708*出库明细!F2708)&gt;0.005,1,0),0)</f>
        <v>0</v>
      </c>
    </row>
    <row r="2709">
      <c r="A2709">
        <f>IF(OR(出库明细!C1709="",出库明细!D1709=""),"",IF(OR(COUNTIFS(存条明细!$C$4:$C$1003,出库明细!C1709,存条明细!$D$4:$D$1003,出库明细!D1709)&gt;0,COUNTIFS(出库明细!$C$4:C1709,出库明细!C1709,出库明细!$D$4:D1709,出库明细!D1709)&gt;1),"",IFERROR(MATCH(出库明细!C1709,总览汇总!$B$5:$B$304,0),900)*10000000+IFERROR(MATCH(出库明细!D1709,基础资料!$E$5:$E$104,0),900)*10000+ROW()))</f>
      </c>
      <c r="F2709">
        <f>IF(AND(出库明细!C2709&lt;&gt;"",出库明细!C2709=客户对账单!$B$4,ISNUMBER(出库明细!B2709),出库明细!B2709&gt;=客户对账单!$G$4,出库明细!B2709&lt;=客户对账单!$I$4),出库明细!B2709+ROW()/100000,"")</f>
      </c>
      <c r="H2709">
        <f>IF(AND(资金台帐!K1212&lt;&gt;"",资金台帐!K1212=供应商对账单!$B$4,资金台帐!P1212="应付",ISNUMBER(资金台帐!B1212),资金台帐!B1212&gt;=供应商对账单!$G$4,资金台帐!B1212&lt;=供应商对账单!$I$4),资金台帐!B1212+ROW()/100000,"")</f>
      </c>
      <c r="N2709">
        <f>IF(AND(ISNUMBER(出库明细!G2709),ISNUMBER(出库明细!E2709),ISNUMBER(出库明细!F2709)),IF(ABS(出库明细!G2709-出库明细!E2709*出库明细!F2709)&gt;0.005,1,0),0)</f>
        <v>0</v>
      </c>
    </row>
    <row r="2710">
      <c r="A2710">
        <f>IF(OR(出库明细!C1710="",出库明细!D1710=""),"",IF(OR(COUNTIFS(存条明细!$C$4:$C$1003,出库明细!C1710,存条明细!$D$4:$D$1003,出库明细!D1710)&gt;0,COUNTIFS(出库明细!$C$4:C1710,出库明细!C1710,出库明细!$D$4:D1710,出库明细!D1710)&gt;1),"",IFERROR(MATCH(出库明细!C1710,总览汇总!$B$5:$B$304,0),900)*10000000+IFERROR(MATCH(出库明细!D1710,基础资料!$E$5:$E$104,0),900)*10000+ROW()))</f>
      </c>
      <c r="F2710">
        <f>IF(AND(出库明细!C2710&lt;&gt;"",出库明细!C2710=客户对账单!$B$4,ISNUMBER(出库明细!B2710),出库明细!B2710&gt;=客户对账单!$G$4,出库明细!B2710&lt;=客户对账单!$I$4),出库明细!B2710+ROW()/100000,"")</f>
      </c>
      <c r="H2710">
        <f>IF(AND(资金台帐!K1213&lt;&gt;"",资金台帐!K1213=供应商对账单!$B$4,资金台帐!P1213="应付",ISNUMBER(资金台帐!B1213),资金台帐!B1213&gt;=供应商对账单!$G$4,资金台帐!B1213&lt;=供应商对账单!$I$4),资金台帐!B1213+ROW()/100000,"")</f>
      </c>
      <c r="N2710">
        <f>IF(AND(ISNUMBER(出库明细!G2710),ISNUMBER(出库明细!E2710),ISNUMBER(出库明细!F2710)),IF(ABS(出库明细!G2710-出库明细!E2710*出库明细!F2710)&gt;0.005,1,0),0)</f>
        <v>0</v>
      </c>
    </row>
    <row r="2711">
      <c r="A2711">
        <f>IF(OR(出库明细!C1711="",出库明细!D1711=""),"",IF(OR(COUNTIFS(存条明细!$C$4:$C$1003,出库明细!C1711,存条明细!$D$4:$D$1003,出库明细!D1711)&gt;0,COUNTIFS(出库明细!$C$4:C1711,出库明细!C1711,出库明细!$D$4:D1711,出库明细!D1711)&gt;1),"",IFERROR(MATCH(出库明细!C1711,总览汇总!$B$5:$B$304,0),900)*10000000+IFERROR(MATCH(出库明细!D1711,基础资料!$E$5:$E$104,0),900)*10000+ROW()))</f>
      </c>
      <c r="F2711">
        <f>IF(AND(出库明细!C2711&lt;&gt;"",出库明细!C2711=客户对账单!$B$4,ISNUMBER(出库明细!B2711),出库明细!B2711&gt;=客户对账单!$G$4,出库明细!B2711&lt;=客户对账单!$I$4),出库明细!B2711+ROW()/100000,"")</f>
      </c>
      <c r="H2711">
        <f>IF(AND(资金台帐!K1214&lt;&gt;"",资金台帐!K1214=供应商对账单!$B$4,资金台帐!P1214="应付",ISNUMBER(资金台帐!B1214),资金台帐!B1214&gt;=供应商对账单!$G$4,资金台帐!B1214&lt;=供应商对账单!$I$4),资金台帐!B1214+ROW()/100000,"")</f>
      </c>
      <c r="N2711">
        <f>IF(AND(ISNUMBER(出库明细!G2711),ISNUMBER(出库明细!E2711),ISNUMBER(出库明细!F2711)),IF(ABS(出库明细!G2711-出库明细!E2711*出库明细!F2711)&gt;0.005,1,0),0)</f>
        <v>0</v>
      </c>
    </row>
    <row r="2712">
      <c r="A2712">
        <f>IF(OR(出库明细!C1712="",出库明细!D1712=""),"",IF(OR(COUNTIFS(存条明细!$C$4:$C$1003,出库明细!C1712,存条明细!$D$4:$D$1003,出库明细!D1712)&gt;0,COUNTIFS(出库明细!$C$4:C1712,出库明细!C1712,出库明细!$D$4:D1712,出库明细!D1712)&gt;1),"",IFERROR(MATCH(出库明细!C1712,总览汇总!$B$5:$B$304,0),900)*10000000+IFERROR(MATCH(出库明细!D1712,基础资料!$E$5:$E$104,0),900)*10000+ROW()))</f>
      </c>
      <c r="F2712">
        <f>IF(AND(出库明细!C2712&lt;&gt;"",出库明细!C2712=客户对账单!$B$4,ISNUMBER(出库明细!B2712),出库明细!B2712&gt;=客户对账单!$G$4,出库明细!B2712&lt;=客户对账单!$I$4),出库明细!B2712+ROW()/100000,"")</f>
      </c>
      <c r="H2712">
        <f>IF(AND(资金台帐!K1215&lt;&gt;"",资金台帐!K1215=供应商对账单!$B$4,资金台帐!P1215="应付",ISNUMBER(资金台帐!B1215),资金台帐!B1215&gt;=供应商对账单!$G$4,资金台帐!B1215&lt;=供应商对账单!$I$4),资金台帐!B1215+ROW()/100000,"")</f>
      </c>
      <c r="N2712">
        <f>IF(AND(ISNUMBER(出库明细!G2712),ISNUMBER(出库明细!E2712),ISNUMBER(出库明细!F2712)),IF(ABS(出库明细!G2712-出库明细!E2712*出库明细!F2712)&gt;0.005,1,0),0)</f>
        <v>0</v>
      </c>
    </row>
    <row r="2713">
      <c r="A2713">
        <f>IF(OR(出库明细!C1713="",出库明细!D1713=""),"",IF(OR(COUNTIFS(存条明细!$C$4:$C$1003,出库明细!C1713,存条明细!$D$4:$D$1003,出库明细!D1713)&gt;0,COUNTIFS(出库明细!$C$4:C1713,出库明细!C1713,出库明细!$D$4:D1713,出库明细!D1713)&gt;1),"",IFERROR(MATCH(出库明细!C1713,总览汇总!$B$5:$B$304,0),900)*10000000+IFERROR(MATCH(出库明细!D1713,基础资料!$E$5:$E$104,0),900)*10000+ROW()))</f>
      </c>
      <c r="F2713">
        <f>IF(AND(出库明细!C2713&lt;&gt;"",出库明细!C2713=客户对账单!$B$4,ISNUMBER(出库明细!B2713),出库明细!B2713&gt;=客户对账单!$G$4,出库明细!B2713&lt;=客户对账单!$I$4),出库明细!B2713+ROW()/100000,"")</f>
      </c>
      <c r="H2713">
        <f>IF(AND(资金台帐!K1216&lt;&gt;"",资金台帐!K1216=供应商对账单!$B$4,资金台帐!P1216="应付",ISNUMBER(资金台帐!B1216),资金台帐!B1216&gt;=供应商对账单!$G$4,资金台帐!B1216&lt;=供应商对账单!$I$4),资金台帐!B1216+ROW()/100000,"")</f>
      </c>
      <c r="N2713">
        <f>IF(AND(ISNUMBER(出库明细!G2713),ISNUMBER(出库明细!E2713),ISNUMBER(出库明细!F2713)),IF(ABS(出库明细!G2713-出库明细!E2713*出库明细!F2713)&gt;0.005,1,0),0)</f>
        <v>0</v>
      </c>
    </row>
    <row r="2714">
      <c r="A2714">
        <f>IF(OR(出库明细!C1714="",出库明细!D1714=""),"",IF(OR(COUNTIFS(存条明细!$C$4:$C$1003,出库明细!C1714,存条明细!$D$4:$D$1003,出库明细!D1714)&gt;0,COUNTIFS(出库明细!$C$4:C1714,出库明细!C1714,出库明细!$D$4:D1714,出库明细!D1714)&gt;1),"",IFERROR(MATCH(出库明细!C1714,总览汇总!$B$5:$B$304,0),900)*10000000+IFERROR(MATCH(出库明细!D1714,基础资料!$E$5:$E$104,0),900)*10000+ROW()))</f>
      </c>
      <c r="F2714">
        <f>IF(AND(出库明细!C2714&lt;&gt;"",出库明细!C2714=客户对账单!$B$4,ISNUMBER(出库明细!B2714),出库明细!B2714&gt;=客户对账单!$G$4,出库明细!B2714&lt;=客户对账单!$I$4),出库明细!B2714+ROW()/100000,"")</f>
      </c>
      <c r="H2714">
        <f>IF(AND(资金台帐!K1217&lt;&gt;"",资金台帐!K1217=供应商对账单!$B$4,资金台帐!P1217="应付",ISNUMBER(资金台帐!B1217),资金台帐!B1217&gt;=供应商对账单!$G$4,资金台帐!B1217&lt;=供应商对账单!$I$4),资金台帐!B1217+ROW()/100000,"")</f>
      </c>
      <c r="N2714">
        <f>IF(AND(ISNUMBER(出库明细!G2714),ISNUMBER(出库明细!E2714),ISNUMBER(出库明细!F2714)),IF(ABS(出库明细!G2714-出库明细!E2714*出库明细!F2714)&gt;0.005,1,0),0)</f>
        <v>0</v>
      </c>
    </row>
    <row r="2715">
      <c r="A2715">
        <f>IF(OR(出库明细!C1715="",出库明细!D1715=""),"",IF(OR(COUNTIFS(存条明细!$C$4:$C$1003,出库明细!C1715,存条明细!$D$4:$D$1003,出库明细!D1715)&gt;0,COUNTIFS(出库明细!$C$4:C1715,出库明细!C1715,出库明细!$D$4:D1715,出库明细!D1715)&gt;1),"",IFERROR(MATCH(出库明细!C1715,总览汇总!$B$5:$B$304,0),900)*10000000+IFERROR(MATCH(出库明细!D1715,基础资料!$E$5:$E$104,0),900)*10000+ROW()))</f>
      </c>
      <c r="F2715">
        <f>IF(AND(出库明细!C2715&lt;&gt;"",出库明细!C2715=客户对账单!$B$4,ISNUMBER(出库明细!B2715),出库明细!B2715&gt;=客户对账单!$G$4,出库明细!B2715&lt;=客户对账单!$I$4),出库明细!B2715+ROW()/100000,"")</f>
      </c>
      <c r="H2715">
        <f>IF(AND(资金台帐!K1218&lt;&gt;"",资金台帐!K1218=供应商对账单!$B$4,资金台帐!P1218="应付",ISNUMBER(资金台帐!B1218),资金台帐!B1218&gt;=供应商对账单!$G$4,资金台帐!B1218&lt;=供应商对账单!$I$4),资金台帐!B1218+ROW()/100000,"")</f>
      </c>
      <c r="N2715">
        <f>IF(AND(ISNUMBER(出库明细!G2715),ISNUMBER(出库明细!E2715),ISNUMBER(出库明细!F2715)),IF(ABS(出库明细!G2715-出库明细!E2715*出库明细!F2715)&gt;0.005,1,0),0)</f>
        <v>0</v>
      </c>
    </row>
    <row r="2716">
      <c r="A2716">
        <f>IF(OR(出库明细!C1716="",出库明细!D1716=""),"",IF(OR(COUNTIFS(存条明细!$C$4:$C$1003,出库明细!C1716,存条明细!$D$4:$D$1003,出库明细!D1716)&gt;0,COUNTIFS(出库明细!$C$4:C1716,出库明细!C1716,出库明细!$D$4:D1716,出库明细!D1716)&gt;1),"",IFERROR(MATCH(出库明细!C1716,总览汇总!$B$5:$B$304,0),900)*10000000+IFERROR(MATCH(出库明细!D1716,基础资料!$E$5:$E$104,0),900)*10000+ROW()))</f>
      </c>
      <c r="F2716">
        <f>IF(AND(出库明细!C2716&lt;&gt;"",出库明细!C2716=客户对账单!$B$4,ISNUMBER(出库明细!B2716),出库明细!B2716&gt;=客户对账单!$G$4,出库明细!B2716&lt;=客户对账单!$I$4),出库明细!B2716+ROW()/100000,"")</f>
      </c>
      <c r="H2716">
        <f>IF(AND(资金台帐!K1219&lt;&gt;"",资金台帐!K1219=供应商对账单!$B$4,资金台帐!P1219="应付",ISNUMBER(资金台帐!B1219),资金台帐!B1219&gt;=供应商对账单!$G$4,资金台帐!B1219&lt;=供应商对账单!$I$4),资金台帐!B1219+ROW()/100000,"")</f>
      </c>
      <c r="N2716">
        <f>IF(AND(ISNUMBER(出库明细!G2716),ISNUMBER(出库明细!E2716),ISNUMBER(出库明细!F2716)),IF(ABS(出库明细!G2716-出库明细!E2716*出库明细!F2716)&gt;0.005,1,0),0)</f>
        <v>0</v>
      </c>
    </row>
    <row r="2717">
      <c r="A2717">
        <f>IF(OR(出库明细!C1717="",出库明细!D1717=""),"",IF(OR(COUNTIFS(存条明细!$C$4:$C$1003,出库明细!C1717,存条明细!$D$4:$D$1003,出库明细!D1717)&gt;0,COUNTIFS(出库明细!$C$4:C1717,出库明细!C1717,出库明细!$D$4:D1717,出库明细!D1717)&gt;1),"",IFERROR(MATCH(出库明细!C1717,总览汇总!$B$5:$B$304,0),900)*10000000+IFERROR(MATCH(出库明细!D1717,基础资料!$E$5:$E$104,0),900)*10000+ROW()))</f>
      </c>
      <c r="F2717">
        <f>IF(AND(出库明细!C2717&lt;&gt;"",出库明细!C2717=客户对账单!$B$4,ISNUMBER(出库明细!B2717),出库明细!B2717&gt;=客户对账单!$G$4,出库明细!B2717&lt;=客户对账单!$I$4),出库明细!B2717+ROW()/100000,"")</f>
      </c>
      <c r="H2717">
        <f>IF(AND(资金台帐!K1220&lt;&gt;"",资金台帐!K1220=供应商对账单!$B$4,资金台帐!P1220="应付",ISNUMBER(资金台帐!B1220),资金台帐!B1220&gt;=供应商对账单!$G$4,资金台帐!B1220&lt;=供应商对账单!$I$4),资金台帐!B1220+ROW()/100000,"")</f>
      </c>
      <c r="N2717">
        <f>IF(AND(ISNUMBER(出库明细!G2717),ISNUMBER(出库明细!E2717),ISNUMBER(出库明细!F2717)),IF(ABS(出库明细!G2717-出库明细!E2717*出库明细!F2717)&gt;0.005,1,0),0)</f>
        <v>0</v>
      </c>
    </row>
    <row r="2718">
      <c r="A2718">
        <f>IF(OR(出库明细!C1718="",出库明细!D1718=""),"",IF(OR(COUNTIFS(存条明细!$C$4:$C$1003,出库明细!C1718,存条明细!$D$4:$D$1003,出库明细!D1718)&gt;0,COUNTIFS(出库明细!$C$4:C1718,出库明细!C1718,出库明细!$D$4:D1718,出库明细!D1718)&gt;1),"",IFERROR(MATCH(出库明细!C1718,总览汇总!$B$5:$B$304,0),900)*10000000+IFERROR(MATCH(出库明细!D1718,基础资料!$E$5:$E$104,0),900)*10000+ROW()))</f>
      </c>
      <c r="F2718">
        <f>IF(AND(出库明细!C2718&lt;&gt;"",出库明细!C2718=客户对账单!$B$4,ISNUMBER(出库明细!B2718),出库明细!B2718&gt;=客户对账单!$G$4,出库明细!B2718&lt;=客户对账单!$I$4),出库明细!B2718+ROW()/100000,"")</f>
      </c>
      <c r="H2718">
        <f>IF(AND(资金台帐!K1221&lt;&gt;"",资金台帐!K1221=供应商对账单!$B$4,资金台帐!P1221="应付",ISNUMBER(资金台帐!B1221),资金台帐!B1221&gt;=供应商对账单!$G$4,资金台帐!B1221&lt;=供应商对账单!$I$4),资金台帐!B1221+ROW()/100000,"")</f>
      </c>
      <c r="N2718">
        <f>IF(AND(ISNUMBER(出库明细!G2718),ISNUMBER(出库明细!E2718),ISNUMBER(出库明细!F2718)),IF(ABS(出库明细!G2718-出库明细!E2718*出库明细!F2718)&gt;0.005,1,0),0)</f>
        <v>0</v>
      </c>
    </row>
    <row r="2719">
      <c r="A2719">
        <f>IF(OR(出库明细!C1719="",出库明细!D1719=""),"",IF(OR(COUNTIFS(存条明细!$C$4:$C$1003,出库明细!C1719,存条明细!$D$4:$D$1003,出库明细!D1719)&gt;0,COUNTIFS(出库明细!$C$4:C1719,出库明细!C1719,出库明细!$D$4:D1719,出库明细!D1719)&gt;1),"",IFERROR(MATCH(出库明细!C1719,总览汇总!$B$5:$B$304,0),900)*10000000+IFERROR(MATCH(出库明细!D1719,基础资料!$E$5:$E$104,0),900)*10000+ROW()))</f>
      </c>
      <c r="F2719">
        <f>IF(AND(出库明细!C2719&lt;&gt;"",出库明细!C2719=客户对账单!$B$4,ISNUMBER(出库明细!B2719),出库明细!B2719&gt;=客户对账单!$G$4,出库明细!B2719&lt;=客户对账单!$I$4),出库明细!B2719+ROW()/100000,"")</f>
      </c>
      <c r="H2719">
        <f>IF(AND(资金台帐!K1222&lt;&gt;"",资金台帐!K1222=供应商对账单!$B$4,资金台帐!P1222="应付",ISNUMBER(资金台帐!B1222),资金台帐!B1222&gt;=供应商对账单!$G$4,资金台帐!B1222&lt;=供应商对账单!$I$4),资金台帐!B1222+ROW()/100000,"")</f>
      </c>
      <c r="N2719">
        <f>IF(AND(ISNUMBER(出库明细!G2719),ISNUMBER(出库明细!E2719),ISNUMBER(出库明细!F2719)),IF(ABS(出库明细!G2719-出库明细!E2719*出库明细!F2719)&gt;0.005,1,0),0)</f>
        <v>0</v>
      </c>
    </row>
    <row r="2720">
      <c r="A2720">
        <f>IF(OR(出库明细!C1720="",出库明细!D1720=""),"",IF(OR(COUNTIFS(存条明细!$C$4:$C$1003,出库明细!C1720,存条明细!$D$4:$D$1003,出库明细!D1720)&gt;0,COUNTIFS(出库明细!$C$4:C1720,出库明细!C1720,出库明细!$D$4:D1720,出库明细!D1720)&gt;1),"",IFERROR(MATCH(出库明细!C1720,总览汇总!$B$5:$B$304,0),900)*10000000+IFERROR(MATCH(出库明细!D1720,基础资料!$E$5:$E$104,0),900)*10000+ROW()))</f>
      </c>
      <c r="F2720">
        <f>IF(AND(出库明细!C2720&lt;&gt;"",出库明细!C2720=客户对账单!$B$4,ISNUMBER(出库明细!B2720),出库明细!B2720&gt;=客户对账单!$G$4,出库明细!B2720&lt;=客户对账单!$I$4),出库明细!B2720+ROW()/100000,"")</f>
      </c>
      <c r="H2720">
        <f>IF(AND(资金台帐!K1223&lt;&gt;"",资金台帐!K1223=供应商对账单!$B$4,资金台帐!P1223="应付",ISNUMBER(资金台帐!B1223),资金台帐!B1223&gt;=供应商对账单!$G$4,资金台帐!B1223&lt;=供应商对账单!$I$4),资金台帐!B1223+ROW()/100000,"")</f>
      </c>
      <c r="N2720">
        <f>IF(AND(ISNUMBER(出库明细!G2720),ISNUMBER(出库明细!E2720),ISNUMBER(出库明细!F2720)),IF(ABS(出库明细!G2720-出库明细!E2720*出库明细!F2720)&gt;0.005,1,0),0)</f>
        <v>0</v>
      </c>
    </row>
    <row r="2721">
      <c r="A2721">
        <f>IF(OR(出库明细!C1721="",出库明细!D1721=""),"",IF(OR(COUNTIFS(存条明细!$C$4:$C$1003,出库明细!C1721,存条明细!$D$4:$D$1003,出库明细!D1721)&gt;0,COUNTIFS(出库明细!$C$4:C1721,出库明细!C1721,出库明细!$D$4:D1721,出库明细!D1721)&gt;1),"",IFERROR(MATCH(出库明细!C1721,总览汇总!$B$5:$B$304,0),900)*10000000+IFERROR(MATCH(出库明细!D1721,基础资料!$E$5:$E$104,0),900)*10000+ROW()))</f>
      </c>
      <c r="F2721">
        <f>IF(AND(出库明细!C2721&lt;&gt;"",出库明细!C2721=客户对账单!$B$4,ISNUMBER(出库明细!B2721),出库明细!B2721&gt;=客户对账单!$G$4,出库明细!B2721&lt;=客户对账单!$I$4),出库明细!B2721+ROW()/100000,"")</f>
      </c>
      <c r="H2721">
        <f>IF(AND(资金台帐!K1224&lt;&gt;"",资金台帐!K1224=供应商对账单!$B$4,资金台帐!P1224="应付",ISNUMBER(资金台帐!B1224),资金台帐!B1224&gt;=供应商对账单!$G$4,资金台帐!B1224&lt;=供应商对账单!$I$4),资金台帐!B1224+ROW()/100000,"")</f>
      </c>
      <c r="N2721">
        <f>IF(AND(ISNUMBER(出库明细!G2721),ISNUMBER(出库明细!E2721),ISNUMBER(出库明细!F2721)),IF(ABS(出库明细!G2721-出库明细!E2721*出库明细!F2721)&gt;0.005,1,0),0)</f>
        <v>0</v>
      </c>
    </row>
    <row r="2722">
      <c r="A2722">
        <f>IF(OR(出库明细!C1722="",出库明细!D1722=""),"",IF(OR(COUNTIFS(存条明细!$C$4:$C$1003,出库明细!C1722,存条明细!$D$4:$D$1003,出库明细!D1722)&gt;0,COUNTIFS(出库明细!$C$4:C1722,出库明细!C1722,出库明细!$D$4:D1722,出库明细!D1722)&gt;1),"",IFERROR(MATCH(出库明细!C1722,总览汇总!$B$5:$B$304,0),900)*10000000+IFERROR(MATCH(出库明细!D1722,基础资料!$E$5:$E$104,0),900)*10000+ROW()))</f>
      </c>
      <c r="F2722">
        <f>IF(AND(出库明细!C2722&lt;&gt;"",出库明细!C2722=客户对账单!$B$4,ISNUMBER(出库明细!B2722),出库明细!B2722&gt;=客户对账单!$G$4,出库明细!B2722&lt;=客户对账单!$I$4),出库明细!B2722+ROW()/100000,"")</f>
      </c>
      <c r="H2722">
        <f>IF(AND(资金台帐!K1225&lt;&gt;"",资金台帐!K1225=供应商对账单!$B$4,资金台帐!P1225="应付",ISNUMBER(资金台帐!B1225),资金台帐!B1225&gt;=供应商对账单!$G$4,资金台帐!B1225&lt;=供应商对账单!$I$4),资金台帐!B1225+ROW()/100000,"")</f>
      </c>
      <c r="N2722">
        <f>IF(AND(ISNUMBER(出库明细!G2722),ISNUMBER(出库明细!E2722),ISNUMBER(出库明细!F2722)),IF(ABS(出库明细!G2722-出库明细!E2722*出库明细!F2722)&gt;0.005,1,0),0)</f>
        <v>0</v>
      </c>
    </row>
    <row r="2723">
      <c r="A2723">
        <f>IF(OR(出库明细!C1723="",出库明细!D1723=""),"",IF(OR(COUNTIFS(存条明细!$C$4:$C$1003,出库明细!C1723,存条明细!$D$4:$D$1003,出库明细!D1723)&gt;0,COUNTIFS(出库明细!$C$4:C1723,出库明细!C1723,出库明细!$D$4:D1723,出库明细!D1723)&gt;1),"",IFERROR(MATCH(出库明细!C1723,总览汇总!$B$5:$B$304,0),900)*10000000+IFERROR(MATCH(出库明细!D1723,基础资料!$E$5:$E$104,0),900)*10000+ROW()))</f>
      </c>
      <c r="F2723">
        <f>IF(AND(出库明细!C2723&lt;&gt;"",出库明细!C2723=客户对账单!$B$4,ISNUMBER(出库明细!B2723),出库明细!B2723&gt;=客户对账单!$G$4,出库明细!B2723&lt;=客户对账单!$I$4),出库明细!B2723+ROW()/100000,"")</f>
      </c>
      <c r="H2723">
        <f>IF(AND(资金台帐!K1226&lt;&gt;"",资金台帐!K1226=供应商对账单!$B$4,资金台帐!P1226="应付",ISNUMBER(资金台帐!B1226),资金台帐!B1226&gt;=供应商对账单!$G$4,资金台帐!B1226&lt;=供应商对账单!$I$4),资金台帐!B1226+ROW()/100000,"")</f>
      </c>
      <c r="N2723">
        <f>IF(AND(ISNUMBER(出库明细!G2723),ISNUMBER(出库明细!E2723),ISNUMBER(出库明细!F2723)),IF(ABS(出库明细!G2723-出库明细!E2723*出库明细!F2723)&gt;0.005,1,0),0)</f>
        <v>0</v>
      </c>
    </row>
    <row r="2724">
      <c r="A2724">
        <f>IF(OR(出库明细!C1724="",出库明细!D1724=""),"",IF(OR(COUNTIFS(存条明细!$C$4:$C$1003,出库明细!C1724,存条明细!$D$4:$D$1003,出库明细!D1724)&gt;0,COUNTIFS(出库明细!$C$4:C1724,出库明细!C1724,出库明细!$D$4:D1724,出库明细!D1724)&gt;1),"",IFERROR(MATCH(出库明细!C1724,总览汇总!$B$5:$B$304,0),900)*10000000+IFERROR(MATCH(出库明细!D1724,基础资料!$E$5:$E$104,0),900)*10000+ROW()))</f>
      </c>
      <c r="F2724">
        <f>IF(AND(出库明细!C2724&lt;&gt;"",出库明细!C2724=客户对账单!$B$4,ISNUMBER(出库明细!B2724),出库明细!B2724&gt;=客户对账单!$G$4,出库明细!B2724&lt;=客户对账单!$I$4),出库明细!B2724+ROW()/100000,"")</f>
      </c>
      <c r="H2724">
        <f>IF(AND(资金台帐!K1227&lt;&gt;"",资金台帐!K1227=供应商对账单!$B$4,资金台帐!P1227="应付",ISNUMBER(资金台帐!B1227),资金台帐!B1227&gt;=供应商对账单!$G$4,资金台帐!B1227&lt;=供应商对账单!$I$4),资金台帐!B1227+ROW()/100000,"")</f>
      </c>
      <c r="N2724">
        <f>IF(AND(ISNUMBER(出库明细!G2724),ISNUMBER(出库明细!E2724),ISNUMBER(出库明细!F2724)),IF(ABS(出库明细!G2724-出库明细!E2724*出库明细!F2724)&gt;0.005,1,0),0)</f>
        <v>0</v>
      </c>
    </row>
    <row r="2725">
      <c r="A2725">
        <f>IF(OR(出库明细!C1725="",出库明细!D1725=""),"",IF(OR(COUNTIFS(存条明细!$C$4:$C$1003,出库明细!C1725,存条明细!$D$4:$D$1003,出库明细!D1725)&gt;0,COUNTIFS(出库明细!$C$4:C1725,出库明细!C1725,出库明细!$D$4:D1725,出库明细!D1725)&gt;1),"",IFERROR(MATCH(出库明细!C1725,总览汇总!$B$5:$B$304,0),900)*10000000+IFERROR(MATCH(出库明细!D1725,基础资料!$E$5:$E$104,0),900)*10000+ROW()))</f>
      </c>
      <c r="F2725">
        <f>IF(AND(出库明细!C2725&lt;&gt;"",出库明细!C2725=客户对账单!$B$4,ISNUMBER(出库明细!B2725),出库明细!B2725&gt;=客户对账单!$G$4,出库明细!B2725&lt;=客户对账单!$I$4),出库明细!B2725+ROW()/100000,"")</f>
      </c>
      <c r="H2725">
        <f>IF(AND(资金台帐!K1228&lt;&gt;"",资金台帐!K1228=供应商对账单!$B$4,资金台帐!P1228="应付",ISNUMBER(资金台帐!B1228),资金台帐!B1228&gt;=供应商对账单!$G$4,资金台帐!B1228&lt;=供应商对账单!$I$4),资金台帐!B1228+ROW()/100000,"")</f>
      </c>
      <c r="N2725">
        <f>IF(AND(ISNUMBER(出库明细!G2725),ISNUMBER(出库明细!E2725),ISNUMBER(出库明细!F2725)),IF(ABS(出库明细!G2725-出库明细!E2725*出库明细!F2725)&gt;0.005,1,0),0)</f>
        <v>0</v>
      </c>
    </row>
    <row r="2726">
      <c r="A2726">
        <f>IF(OR(出库明细!C1726="",出库明细!D1726=""),"",IF(OR(COUNTIFS(存条明细!$C$4:$C$1003,出库明细!C1726,存条明细!$D$4:$D$1003,出库明细!D1726)&gt;0,COUNTIFS(出库明细!$C$4:C1726,出库明细!C1726,出库明细!$D$4:D1726,出库明细!D1726)&gt;1),"",IFERROR(MATCH(出库明细!C1726,总览汇总!$B$5:$B$304,0),900)*10000000+IFERROR(MATCH(出库明细!D1726,基础资料!$E$5:$E$104,0),900)*10000+ROW()))</f>
      </c>
      <c r="F2726">
        <f>IF(AND(出库明细!C2726&lt;&gt;"",出库明细!C2726=客户对账单!$B$4,ISNUMBER(出库明细!B2726),出库明细!B2726&gt;=客户对账单!$G$4,出库明细!B2726&lt;=客户对账单!$I$4),出库明细!B2726+ROW()/100000,"")</f>
      </c>
      <c r="H2726">
        <f>IF(AND(资金台帐!K1229&lt;&gt;"",资金台帐!K1229=供应商对账单!$B$4,资金台帐!P1229="应付",ISNUMBER(资金台帐!B1229),资金台帐!B1229&gt;=供应商对账单!$G$4,资金台帐!B1229&lt;=供应商对账单!$I$4),资金台帐!B1229+ROW()/100000,"")</f>
      </c>
      <c r="N2726">
        <f>IF(AND(ISNUMBER(出库明细!G2726),ISNUMBER(出库明细!E2726),ISNUMBER(出库明细!F2726)),IF(ABS(出库明细!G2726-出库明细!E2726*出库明细!F2726)&gt;0.005,1,0),0)</f>
        <v>0</v>
      </c>
    </row>
    <row r="2727">
      <c r="A2727">
        <f>IF(OR(出库明细!C1727="",出库明细!D1727=""),"",IF(OR(COUNTIFS(存条明细!$C$4:$C$1003,出库明细!C1727,存条明细!$D$4:$D$1003,出库明细!D1727)&gt;0,COUNTIFS(出库明细!$C$4:C1727,出库明细!C1727,出库明细!$D$4:D1727,出库明细!D1727)&gt;1),"",IFERROR(MATCH(出库明细!C1727,总览汇总!$B$5:$B$304,0),900)*10000000+IFERROR(MATCH(出库明细!D1727,基础资料!$E$5:$E$104,0),900)*10000+ROW()))</f>
      </c>
      <c r="F2727">
        <f>IF(AND(出库明细!C2727&lt;&gt;"",出库明细!C2727=客户对账单!$B$4,ISNUMBER(出库明细!B2727),出库明细!B2727&gt;=客户对账单!$G$4,出库明细!B2727&lt;=客户对账单!$I$4),出库明细!B2727+ROW()/100000,"")</f>
      </c>
      <c r="H2727">
        <f>IF(AND(资金台帐!K1230&lt;&gt;"",资金台帐!K1230=供应商对账单!$B$4,资金台帐!P1230="应付",ISNUMBER(资金台帐!B1230),资金台帐!B1230&gt;=供应商对账单!$G$4,资金台帐!B1230&lt;=供应商对账单!$I$4),资金台帐!B1230+ROW()/100000,"")</f>
      </c>
      <c r="N2727">
        <f>IF(AND(ISNUMBER(出库明细!G2727),ISNUMBER(出库明细!E2727),ISNUMBER(出库明细!F2727)),IF(ABS(出库明细!G2727-出库明细!E2727*出库明细!F2727)&gt;0.005,1,0),0)</f>
        <v>0</v>
      </c>
    </row>
    <row r="2728">
      <c r="A2728">
        <f>IF(OR(出库明细!C1728="",出库明细!D1728=""),"",IF(OR(COUNTIFS(存条明细!$C$4:$C$1003,出库明细!C1728,存条明细!$D$4:$D$1003,出库明细!D1728)&gt;0,COUNTIFS(出库明细!$C$4:C1728,出库明细!C1728,出库明细!$D$4:D1728,出库明细!D1728)&gt;1),"",IFERROR(MATCH(出库明细!C1728,总览汇总!$B$5:$B$304,0),900)*10000000+IFERROR(MATCH(出库明细!D1728,基础资料!$E$5:$E$104,0),900)*10000+ROW()))</f>
      </c>
      <c r="F2728">
        <f>IF(AND(出库明细!C2728&lt;&gt;"",出库明细!C2728=客户对账单!$B$4,ISNUMBER(出库明细!B2728),出库明细!B2728&gt;=客户对账单!$G$4,出库明细!B2728&lt;=客户对账单!$I$4),出库明细!B2728+ROW()/100000,"")</f>
      </c>
      <c r="H2728">
        <f>IF(AND(资金台帐!K1231&lt;&gt;"",资金台帐!K1231=供应商对账单!$B$4,资金台帐!P1231="应付",ISNUMBER(资金台帐!B1231),资金台帐!B1231&gt;=供应商对账单!$G$4,资金台帐!B1231&lt;=供应商对账单!$I$4),资金台帐!B1231+ROW()/100000,"")</f>
      </c>
      <c r="N2728">
        <f>IF(AND(ISNUMBER(出库明细!G2728),ISNUMBER(出库明细!E2728),ISNUMBER(出库明细!F2728)),IF(ABS(出库明细!G2728-出库明细!E2728*出库明细!F2728)&gt;0.005,1,0),0)</f>
        <v>0</v>
      </c>
    </row>
    <row r="2729">
      <c r="A2729">
        <f>IF(OR(出库明细!C1729="",出库明细!D1729=""),"",IF(OR(COUNTIFS(存条明细!$C$4:$C$1003,出库明细!C1729,存条明细!$D$4:$D$1003,出库明细!D1729)&gt;0,COUNTIFS(出库明细!$C$4:C1729,出库明细!C1729,出库明细!$D$4:D1729,出库明细!D1729)&gt;1),"",IFERROR(MATCH(出库明细!C1729,总览汇总!$B$5:$B$304,0),900)*10000000+IFERROR(MATCH(出库明细!D1729,基础资料!$E$5:$E$104,0),900)*10000+ROW()))</f>
      </c>
      <c r="F2729">
        <f>IF(AND(出库明细!C2729&lt;&gt;"",出库明细!C2729=客户对账单!$B$4,ISNUMBER(出库明细!B2729),出库明细!B2729&gt;=客户对账单!$G$4,出库明细!B2729&lt;=客户对账单!$I$4),出库明细!B2729+ROW()/100000,"")</f>
      </c>
      <c r="H2729">
        <f>IF(AND(资金台帐!K1232&lt;&gt;"",资金台帐!K1232=供应商对账单!$B$4,资金台帐!P1232="应付",ISNUMBER(资金台帐!B1232),资金台帐!B1232&gt;=供应商对账单!$G$4,资金台帐!B1232&lt;=供应商对账单!$I$4),资金台帐!B1232+ROW()/100000,"")</f>
      </c>
      <c r="N2729">
        <f>IF(AND(ISNUMBER(出库明细!G2729),ISNUMBER(出库明细!E2729),ISNUMBER(出库明细!F2729)),IF(ABS(出库明细!G2729-出库明细!E2729*出库明细!F2729)&gt;0.005,1,0),0)</f>
        <v>0</v>
      </c>
    </row>
    <row r="2730">
      <c r="A2730">
        <f>IF(OR(出库明细!C1730="",出库明细!D1730=""),"",IF(OR(COUNTIFS(存条明细!$C$4:$C$1003,出库明细!C1730,存条明细!$D$4:$D$1003,出库明细!D1730)&gt;0,COUNTIFS(出库明细!$C$4:C1730,出库明细!C1730,出库明细!$D$4:D1730,出库明细!D1730)&gt;1),"",IFERROR(MATCH(出库明细!C1730,总览汇总!$B$5:$B$304,0),900)*10000000+IFERROR(MATCH(出库明细!D1730,基础资料!$E$5:$E$104,0),900)*10000+ROW()))</f>
      </c>
      <c r="F2730">
        <f>IF(AND(出库明细!C2730&lt;&gt;"",出库明细!C2730=客户对账单!$B$4,ISNUMBER(出库明细!B2730),出库明细!B2730&gt;=客户对账单!$G$4,出库明细!B2730&lt;=客户对账单!$I$4),出库明细!B2730+ROW()/100000,"")</f>
      </c>
      <c r="H2730">
        <f>IF(AND(资金台帐!K1233&lt;&gt;"",资金台帐!K1233=供应商对账单!$B$4,资金台帐!P1233="应付",ISNUMBER(资金台帐!B1233),资金台帐!B1233&gt;=供应商对账单!$G$4,资金台帐!B1233&lt;=供应商对账单!$I$4),资金台帐!B1233+ROW()/100000,"")</f>
      </c>
      <c r="N2730">
        <f>IF(AND(ISNUMBER(出库明细!G2730),ISNUMBER(出库明细!E2730),ISNUMBER(出库明细!F2730)),IF(ABS(出库明细!G2730-出库明细!E2730*出库明细!F2730)&gt;0.005,1,0),0)</f>
        <v>0</v>
      </c>
    </row>
    <row r="2731">
      <c r="A2731">
        <f>IF(OR(出库明细!C1731="",出库明细!D1731=""),"",IF(OR(COUNTIFS(存条明细!$C$4:$C$1003,出库明细!C1731,存条明细!$D$4:$D$1003,出库明细!D1731)&gt;0,COUNTIFS(出库明细!$C$4:C1731,出库明细!C1731,出库明细!$D$4:D1731,出库明细!D1731)&gt;1),"",IFERROR(MATCH(出库明细!C1731,总览汇总!$B$5:$B$304,0),900)*10000000+IFERROR(MATCH(出库明细!D1731,基础资料!$E$5:$E$104,0),900)*10000+ROW()))</f>
      </c>
      <c r="F2731">
        <f>IF(AND(出库明细!C2731&lt;&gt;"",出库明细!C2731=客户对账单!$B$4,ISNUMBER(出库明细!B2731),出库明细!B2731&gt;=客户对账单!$G$4,出库明细!B2731&lt;=客户对账单!$I$4),出库明细!B2731+ROW()/100000,"")</f>
      </c>
      <c r="H2731">
        <f>IF(AND(资金台帐!K1234&lt;&gt;"",资金台帐!K1234=供应商对账单!$B$4,资金台帐!P1234="应付",ISNUMBER(资金台帐!B1234),资金台帐!B1234&gt;=供应商对账单!$G$4,资金台帐!B1234&lt;=供应商对账单!$I$4),资金台帐!B1234+ROW()/100000,"")</f>
      </c>
      <c r="N2731">
        <f>IF(AND(ISNUMBER(出库明细!G2731),ISNUMBER(出库明细!E2731),ISNUMBER(出库明细!F2731)),IF(ABS(出库明细!G2731-出库明细!E2731*出库明细!F2731)&gt;0.005,1,0),0)</f>
        <v>0</v>
      </c>
    </row>
    <row r="2732">
      <c r="A2732">
        <f>IF(OR(出库明细!C1732="",出库明细!D1732=""),"",IF(OR(COUNTIFS(存条明细!$C$4:$C$1003,出库明细!C1732,存条明细!$D$4:$D$1003,出库明细!D1732)&gt;0,COUNTIFS(出库明细!$C$4:C1732,出库明细!C1732,出库明细!$D$4:D1732,出库明细!D1732)&gt;1),"",IFERROR(MATCH(出库明细!C1732,总览汇总!$B$5:$B$304,0),900)*10000000+IFERROR(MATCH(出库明细!D1732,基础资料!$E$5:$E$104,0),900)*10000+ROW()))</f>
      </c>
      <c r="F2732">
        <f>IF(AND(出库明细!C2732&lt;&gt;"",出库明细!C2732=客户对账单!$B$4,ISNUMBER(出库明细!B2732),出库明细!B2732&gt;=客户对账单!$G$4,出库明细!B2732&lt;=客户对账单!$I$4),出库明细!B2732+ROW()/100000,"")</f>
      </c>
      <c r="H2732">
        <f>IF(AND(资金台帐!K1235&lt;&gt;"",资金台帐!K1235=供应商对账单!$B$4,资金台帐!P1235="应付",ISNUMBER(资金台帐!B1235),资金台帐!B1235&gt;=供应商对账单!$G$4,资金台帐!B1235&lt;=供应商对账单!$I$4),资金台帐!B1235+ROW()/100000,"")</f>
      </c>
      <c r="N2732">
        <f>IF(AND(ISNUMBER(出库明细!G2732),ISNUMBER(出库明细!E2732),ISNUMBER(出库明细!F2732)),IF(ABS(出库明细!G2732-出库明细!E2732*出库明细!F2732)&gt;0.005,1,0),0)</f>
        <v>0</v>
      </c>
    </row>
    <row r="2733">
      <c r="A2733">
        <f>IF(OR(出库明细!C1733="",出库明细!D1733=""),"",IF(OR(COUNTIFS(存条明细!$C$4:$C$1003,出库明细!C1733,存条明细!$D$4:$D$1003,出库明细!D1733)&gt;0,COUNTIFS(出库明细!$C$4:C1733,出库明细!C1733,出库明细!$D$4:D1733,出库明细!D1733)&gt;1),"",IFERROR(MATCH(出库明细!C1733,总览汇总!$B$5:$B$304,0),900)*10000000+IFERROR(MATCH(出库明细!D1733,基础资料!$E$5:$E$104,0),900)*10000+ROW()))</f>
      </c>
      <c r="F2733">
        <f>IF(AND(出库明细!C2733&lt;&gt;"",出库明细!C2733=客户对账单!$B$4,ISNUMBER(出库明细!B2733),出库明细!B2733&gt;=客户对账单!$G$4,出库明细!B2733&lt;=客户对账单!$I$4),出库明细!B2733+ROW()/100000,"")</f>
      </c>
      <c r="H2733">
        <f>IF(AND(资金台帐!K1236&lt;&gt;"",资金台帐!K1236=供应商对账单!$B$4,资金台帐!P1236="应付",ISNUMBER(资金台帐!B1236),资金台帐!B1236&gt;=供应商对账单!$G$4,资金台帐!B1236&lt;=供应商对账单!$I$4),资金台帐!B1236+ROW()/100000,"")</f>
      </c>
      <c r="N2733">
        <f>IF(AND(ISNUMBER(出库明细!G2733),ISNUMBER(出库明细!E2733),ISNUMBER(出库明细!F2733)),IF(ABS(出库明细!G2733-出库明细!E2733*出库明细!F2733)&gt;0.005,1,0),0)</f>
        <v>0</v>
      </c>
    </row>
    <row r="2734">
      <c r="A2734">
        <f>IF(OR(出库明细!C1734="",出库明细!D1734=""),"",IF(OR(COUNTIFS(存条明细!$C$4:$C$1003,出库明细!C1734,存条明细!$D$4:$D$1003,出库明细!D1734)&gt;0,COUNTIFS(出库明细!$C$4:C1734,出库明细!C1734,出库明细!$D$4:D1734,出库明细!D1734)&gt;1),"",IFERROR(MATCH(出库明细!C1734,总览汇总!$B$5:$B$304,0),900)*10000000+IFERROR(MATCH(出库明细!D1734,基础资料!$E$5:$E$104,0),900)*10000+ROW()))</f>
      </c>
      <c r="F2734">
        <f>IF(AND(出库明细!C2734&lt;&gt;"",出库明细!C2734=客户对账单!$B$4,ISNUMBER(出库明细!B2734),出库明细!B2734&gt;=客户对账单!$G$4,出库明细!B2734&lt;=客户对账单!$I$4),出库明细!B2734+ROW()/100000,"")</f>
      </c>
      <c r="H2734">
        <f>IF(AND(资金台帐!K1237&lt;&gt;"",资金台帐!K1237=供应商对账单!$B$4,资金台帐!P1237="应付",ISNUMBER(资金台帐!B1237),资金台帐!B1237&gt;=供应商对账单!$G$4,资金台帐!B1237&lt;=供应商对账单!$I$4),资金台帐!B1237+ROW()/100000,"")</f>
      </c>
      <c r="N2734">
        <f>IF(AND(ISNUMBER(出库明细!G2734),ISNUMBER(出库明细!E2734),ISNUMBER(出库明细!F2734)),IF(ABS(出库明细!G2734-出库明细!E2734*出库明细!F2734)&gt;0.005,1,0),0)</f>
        <v>0</v>
      </c>
    </row>
    <row r="2735">
      <c r="A2735">
        <f>IF(OR(出库明细!C1735="",出库明细!D1735=""),"",IF(OR(COUNTIFS(存条明细!$C$4:$C$1003,出库明细!C1735,存条明细!$D$4:$D$1003,出库明细!D1735)&gt;0,COUNTIFS(出库明细!$C$4:C1735,出库明细!C1735,出库明细!$D$4:D1735,出库明细!D1735)&gt;1),"",IFERROR(MATCH(出库明细!C1735,总览汇总!$B$5:$B$304,0),900)*10000000+IFERROR(MATCH(出库明细!D1735,基础资料!$E$5:$E$104,0),900)*10000+ROW()))</f>
      </c>
      <c r="F2735">
        <f>IF(AND(出库明细!C2735&lt;&gt;"",出库明细!C2735=客户对账单!$B$4,ISNUMBER(出库明细!B2735),出库明细!B2735&gt;=客户对账单!$G$4,出库明细!B2735&lt;=客户对账单!$I$4),出库明细!B2735+ROW()/100000,"")</f>
      </c>
      <c r="H2735">
        <f>IF(AND(资金台帐!K1238&lt;&gt;"",资金台帐!K1238=供应商对账单!$B$4,资金台帐!P1238="应付",ISNUMBER(资金台帐!B1238),资金台帐!B1238&gt;=供应商对账单!$G$4,资金台帐!B1238&lt;=供应商对账单!$I$4),资金台帐!B1238+ROW()/100000,"")</f>
      </c>
      <c r="N2735">
        <f>IF(AND(ISNUMBER(出库明细!G2735),ISNUMBER(出库明细!E2735),ISNUMBER(出库明细!F2735)),IF(ABS(出库明细!G2735-出库明细!E2735*出库明细!F2735)&gt;0.005,1,0),0)</f>
        <v>0</v>
      </c>
    </row>
    <row r="2736">
      <c r="A2736">
        <f>IF(OR(出库明细!C1736="",出库明细!D1736=""),"",IF(OR(COUNTIFS(存条明细!$C$4:$C$1003,出库明细!C1736,存条明细!$D$4:$D$1003,出库明细!D1736)&gt;0,COUNTIFS(出库明细!$C$4:C1736,出库明细!C1736,出库明细!$D$4:D1736,出库明细!D1736)&gt;1),"",IFERROR(MATCH(出库明细!C1736,总览汇总!$B$5:$B$304,0),900)*10000000+IFERROR(MATCH(出库明细!D1736,基础资料!$E$5:$E$104,0),900)*10000+ROW()))</f>
      </c>
      <c r="F2736">
        <f>IF(AND(出库明细!C2736&lt;&gt;"",出库明细!C2736=客户对账单!$B$4,ISNUMBER(出库明细!B2736),出库明细!B2736&gt;=客户对账单!$G$4,出库明细!B2736&lt;=客户对账单!$I$4),出库明细!B2736+ROW()/100000,"")</f>
      </c>
      <c r="H2736">
        <f>IF(AND(资金台帐!K1239&lt;&gt;"",资金台帐!K1239=供应商对账单!$B$4,资金台帐!P1239="应付",ISNUMBER(资金台帐!B1239),资金台帐!B1239&gt;=供应商对账单!$G$4,资金台帐!B1239&lt;=供应商对账单!$I$4),资金台帐!B1239+ROW()/100000,"")</f>
      </c>
      <c r="N2736">
        <f>IF(AND(ISNUMBER(出库明细!G2736),ISNUMBER(出库明细!E2736),ISNUMBER(出库明细!F2736)),IF(ABS(出库明细!G2736-出库明细!E2736*出库明细!F2736)&gt;0.005,1,0),0)</f>
        <v>0</v>
      </c>
    </row>
    <row r="2737">
      <c r="A2737">
        <f>IF(OR(出库明细!C1737="",出库明细!D1737=""),"",IF(OR(COUNTIFS(存条明细!$C$4:$C$1003,出库明细!C1737,存条明细!$D$4:$D$1003,出库明细!D1737)&gt;0,COUNTIFS(出库明细!$C$4:C1737,出库明细!C1737,出库明细!$D$4:D1737,出库明细!D1737)&gt;1),"",IFERROR(MATCH(出库明细!C1737,总览汇总!$B$5:$B$304,0),900)*10000000+IFERROR(MATCH(出库明细!D1737,基础资料!$E$5:$E$104,0),900)*10000+ROW()))</f>
      </c>
      <c r="F2737">
        <f>IF(AND(出库明细!C2737&lt;&gt;"",出库明细!C2737=客户对账单!$B$4,ISNUMBER(出库明细!B2737),出库明细!B2737&gt;=客户对账单!$G$4,出库明细!B2737&lt;=客户对账单!$I$4),出库明细!B2737+ROW()/100000,"")</f>
      </c>
      <c r="H2737">
        <f>IF(AND(资金台帐!K1240&lt;&gt;"",资金台帐!K1240=供应商对账单!$B$4,资金台帐!P1240="应付",ISNUMBER(资金台帐!B1240),资金台帐!B1240&gt;=供应商对账单!$G$4,资金台帐!B1240&lt;=供应商对账单!$I$4),资金台帐!B1240+ROW()/100000,"")</f>
      </c>
      <c r="N2737">
        <f>IF(AND(ISNUMBER(出库明细!G2737),ISNUMBER(出库明细!E2737),ISNUMBER(出库明细!F2737)),IF(ABS(出库明细!G2737-出库明细!E2737*出库明细!F2737)&gt;0.005,1,0),0)</f>
        <v>0</v>
      </c>
    </row>
    <row r="2738">
      <c r="A2738">
        <f>IF(OR(出库明细!C1738="",出库明细!D1738=""),"",IF(OR(COUNTIFS(存条明细!$C$4:$C$1003,出库明细!C1738,存条明细!$D$4:$D$1003,出库明细!D1738)&gt;0,COUNTIFS(出库明细!$C$4:C1738,出库明细!C1738,出库明细!$D$4:D1738,出库明细!D1738)&gt;1),"",IFERROR(MATCH(出库明细!C1738,总览汇总!$B$5:$B$304,0),900)*10000000+IFERROR(MATCH(出库明细!D1738,基础资料!$E$5:$E$104,0),900)*10000+ROW()))</f>
      </c>
      <c r="F2738">
        <f>IF(AND(出库明细!C2738&lt;&gt;"",出库明细!C2738=客户对账单!$B$4,ISNUMBER(出库明细!B2738),出库明细!B2738&gt;=客户对账单!$G$4,出库明细!B2738&lt;=客户对账单!$I$4),出库明细!B2738+ROW()/100000,"")</f>
      </c>
      <c r="H2738">
        <f>IF(AND(资金台帐!K1241&lt;&gt;"",资金台帐!K1241=供应商对账单!$B$4,资金台帐!P1241="应付",ISNUMBER(资金台帐!B1241),资金台帐!B1241&gt;=供应商对账单!$G$4,资金台帐!B1241&lt;=供应商对账单!$I$4),资金台帐!B1241+ROW()/100000,"")</f>
      </c>
      <c r="N2738">
        <f>IF(AND(ISNUMBER(出库明细!G2738),ISNUMBER(出库明细!E2738),ISNUMBER(出库明细!F2738)),IF(ABS(出库明细!G2738-出库明细!E2738*出库明细!F2738)&gt;0.005,1,0),0)</f>
        <v>0</v>
      </c>
    </row>
    <row r="2739">
      <c r="A2739">
        <f>IF(OR(出库明细!C1739="",出库明细!D1739=""),"",IF(OR(COUNTIFS(存条明细!$C$4:$C$1003,出库明细!C1739,存条明细!$D$4:$D$1003,出库明细!D1739)&gt;0,COUNTIFS(出库明细!$C$4:C1739,出库明细!C1739,出库明细!$D$4:D1739,出库明细!D1739)&gt;1),"",IFERROR(MATCH(出库明细!C1739,总览汇总!$B$5:$B$304,0),900)*10000000+IFERROR(MATCH(出库明细!D1739,基础资料!$E$5:$E$104,0),900)*10000+ROW()))</f>
      </c>
      <c r="F2739">
        <f>IF(AND(出库明细!C2739&lt;&gt;"",出库明细!C2739=客户对账单!$B$4,ISNUMBER(出库明细!B2739),出库明细!B2739&gt;=客户对账单!$G$4,出库明细!B2739&lt;=客户对账单!$I$4),出库明细!B2739+ROW()/100000,"")</f>
      </c>
      <c r="H2739">
        <f>IF(AND(资金台帐!K1242&lt;&gt;"",资金台帐!K1242=供应商对账单!$B$4,资金台帐!P1242="应付",ISNUMBER(资金台帐!B1242),资金台帐!B1242&gt;=供应商对账单!$G$4,资金台帐!B1242&lt;=供应商对账单!$I$4),资金台帐!B1242+ROW()/100000,"")</f>
      </c>
      <c r="N2739">
        <f>IF(AND(ISNUMBER(出库明细!G2739),ISNUMBER(出库明细!E2739),ISNUMBER(出库明细!F2739)),IF(ABS(出库明细!G2739-出库明细!E2739*出库明细!F2739)&gt;0.005,1,0),0)</f>
        <v>0</v>
      </c>
    </row>
    <row r="2740">
      <c r="A2740">
        <f>IF(OR(出库明细!C1740="",出库明细!D1740=""),"",IF(OR(COUNTIFS(存条明细!$C$4:$C$1003,出库明细!C1740,存条明细!$D$4:$D$1003,出库明细!D1740)&gt;0,COUNTIFS(出库明细!$C$4:C1740,出库明细!C1740,出库明细!$D$4:D1740,出库明细!D1740)&gt;1),"",IFERROR(MATCH(出库明细!C1740,总览汇总!$B$5:$B$304,0),900)*10000000+IFERROR(MATCH(出库明细!D1740,基础资料!$E$5:$E$104,0),900)*10000+ROW()))</f>
      </c>
      <c r="F2740">
        <f>IF(AND(出库明细!C2740&lt;&gt;"",出库明细!C2740=客户对账单!$B$4,ISNUMBER(出库明细!B2740),出库明细!B2740&gt;=客户对账单!$G$4,出库明细!B2740&lt;=客户对账单!$I$4),出库明细!B2740+ROW()/100000,"")</f>
      </c>
      <c r="H2740">
        <f>IF(AND(资金台帐!K1243&lt;&gt;"",资金台帐!K1243=供应商对账单!$B$4,资金台帐!P1243="应付",ISNUMBER(资金台帐!B1243),资金台帐!B1243&gt;=供应商对账单!$G$4,资金台帐!B1243&lt;=供应商对账单!$I$4),资金台帐!B1243+ROW()/100000,"")</f>
      </c>
      <c r="N2740">
        <f>IF(AND(ISNUMBER(出库明细!G2740),ISNUMBER(出库明细!E2740),ISNUMBER(出库明细!F2740)),IF(ABS(出库明细!G2740-出库明细!E2740*出库明细!F2740)&gt;0.005,1,0),0)</f>
        <v>0</v>
      </c>
    </row>
    <row r="2741">
      <c r="A2741">
        <f>IF(OR(出库明细!C1741="",出库明细!D1741=""),"",IF(OR(COUNTIFS(存条明细!$C$4:$C$1003,出库明细!C1741,存条明细!$D$4:$D$1003,出库明细!D1741)&gt;0,COUNTIFS(出库明细!$C$4:C1741,出库明细!C1741,出库明细!$D$4:D1741,出库明细!D1741)&gt;1),"",IFERROR(MATCH(出库明细!C1741,总览汇总!$B$5:$B$304,0),900)*10000000+IFERROR(MATCH(出库明细!D1741,基础资料!$E$5:$E$104,0),900)*10000+ROW()))</f>
      </c>
      <c r="F2741">
        <f>IF(AND(出库明细!C2741&lt;&gt;"",出库明细!C2741=客户对账单!$B$4,ISNUMBER(出库明细!B2741),出库明细!B2741&gt;=客户对账单!$G$4,出库明细!B2741&lt;=客户对账单!$I$4),出库明细!B2741+ROW()/100000,"")</f>
      </c>
      <c r="H2741">
        <f>IF(AND(资金台帐!K1244&lt;&gt;"",资金台帐!K1244=供应商对账单!$B$4,资金台帐!P1244="应付",ISNUMBER(资金台帐!B1244),资金台帐!B1244&gt;=供应商对账单!$G$4,资金台帐!B1244&lt;=供应商对账单!$I$4),资金台帐!B1244+ROW()/100000,"")</f>
      </c>
      <c r="N2741">
        <f>IF(AND(ISNUMBER(出库明细!G2741),ISNUMBER(出库明细!E2741),ISNUMBER(出库明细!F2741)),IF(ABS(出库明细!G2741-出库明细!E2741*出库明细!F2741)&gt;0.005,1,0),0)</f>
        <v>0</v>
      </c>
    </row>
    <row r="2742">
      <c r="A2742">
        <f>IF(OR(出库明细!C1742="",出库明细!D1742=""),"",IF(OR(COUNTIFS(存条明细!$C$4:$C$1003,出库明细!C1742,存条明细!$D$4:$D$1003,出库明细!D1742)&gt;0,COUNTIFS(出库明细!$C$4:C1742,出库明细!C1742,出库明细!$D$4:D1742,出库明细!D1742)&gt;1),"",IFERROR(MATCH(出库明细!C1742,总览汇总!$B$5:$B$304,0),900)*10000000+IFERROR(MATCH(出库明细!D1742,基础资料!$E$5:$E$104,0),900)*10000+ROW()))</f>
      </c>
      <c r="F2742">
        <f>IF(AND(出库明细!C2742&lt;&gt;"",出库明细!C2742=客户对账单!$B$4,ISNUMBER(出库明细!B2742),出库明细!B2742&gt;=客户对账单!$G$4,出库明细!B2742&lt;=客户对账单!$I$4),出库明细!B2742+ROW()/100000,"")</f>
      </c>
      <c r="H2742">
        <f>IF(AND(资金台帐!K1245&lt;&gt;"",资金台帐!K1245=供应商对账单!$B$4,资金台帐!P1245="应付",ISNUMBER(资金台帐!B1245),资金台帐!B1245&gt;=供应商对账单!$G$4,资金台帐!B1245&lt;=供应商对账单!$I$4),资金台帐!B1245+ROW()/100000,"")</f>
      </c>
      <c r="N2742">
        <f>IF(AND(ISNUMBER(出库明细!G2742),ISNUMBER(出库明细!E2742),ISNUMBER(出库明细!F2742)),IF(ABS(出库明细!G2742-出库明细!E2742*出库明细!F2742)&gt;0.005,1,0),0)</f>
        <v>0</v>
      </c>
    </row>
    <row r="2743">
      <c r="A2743">
        <f>IF(OR(出库明细!C1743="",出库明细!D1743=""),"",IF(OR(COUNTIFS(存条明细!$C$4:$C$1003,出库明细!C1743,存条明细!$D$4:$D$1003,出库明细!D1743)&gt;0,COUNTIFS(出库明细!$C$4:C1743,出库明细!C1743,出库明细!$D$4:D1743,出库明细!D1743)&gt;1),"",IFERROR(MATCH(出库明细!C1743,总览汇总!$B$5:$B$304,0),900)*10000000+IFERROR(MATCH(出库明细!D1743,基础资料!$E$5:$E$104,0),900)*10000+ROW()))</f>
      </c>
      <c r="F2743">
        <f>IF(AND(出库明细!C2743&lt;&gt;"",出库明细!C2743=客户对账单!$B$4,ISNUMBER(出库明细!B2743),出库明细!B2743&gt;=客户对账单!$G$4,出库明细!B2743&lt;=客户对账单!$I$4),出库明细!B2743+ROW()/100000,"")</f>
      </c>
      <c r="H2743">
        <f>IF(AND(资金台帐!K1246&lt;&gt;"",资金台帐!K1246=供应商对账单!$B$4,资金台帐!P1246="应付",ISNUMBER(资金台帐!B1246),资金台帐!B1246&gt;=供应商对账单!$G$4,资金台帐!B1246&lt;=供应商对账单!$I$4),资金台帐!B1246+ROW()/100000,"")</f>
      </c>
      <c r="N2743">
        <f>IF(AND(ISNUMBER(出库明细!G2743),ISNUMBER(出库明细!E2743),ISNUMBER(出库明细!F2743)),IF(ABS(出库明细!G2743-出库明细!E2743*出库明细!F2743)&gt;0.005,1,0),0)</f>
        <v>0</v>
      </c>
    </row>
    <row r="2744">
      <c r="A2744">
        <f>IF(OR(出库明细!C1744="",出库明细!D1744=""),"",IF(OR(COUNTIFS(存条明细!$C$4:$C$1003,出库明细!C1744,存条明细!$D$4:$D$1003,出库明细!D1744)&gt;0,COUNTIFS(出库明细!$C$4:C1744,出库明细!C1744,出库明细!$D$4:D1744,出库明细!D1744)&gt;1),"",IFERROR(MATCH(出库明细!C1744,总览汇总!$B$5:$B$304,0),900)*10000000+IFERROR(MATCH(出库明细!D1744,基础资料!$E$5:$E$104,0),900)*10000+ROW()))</f>
      </c>
      <c r="F2744">
        <f>IF(AND(出库明细!C2744&lt;&gt;"",出库明细!C2744=客户对账单!$B$4,ISNUMBER(出库明细!B2744),出库明细!B2744&gt;=客户对账单!$G$4,出库明细!B2744&lt;=客户对账单!$I$4),出库明细!B2744+ROW()/100000,"")</f>
      </c>
      <c r="H2744">
        <f>IF(AND(资金台帐!K1247&lt;&gt;"",资金台帐!K1247=供应商对账单!$B$4,资金台帐!P1247="应付",ISNUMBER(资金台帐!B1247),资金台帐!B1247&gt;=供应商对账单!$G$4,资金台帐!B1247&lt;=供应商对账单!$I$4),资金台帐!B1247+ROW()/100000,"")</f>
      </c>
      <c r="N2744">
        <f>IF(AND(ISNUMBER(出库明细!G2744),ISNUMBER(出库明细!E2744),ISNUMBER(出库明细!F2744)),IF(ABS(出库明细!G2744-出库明细!E2744*出库明细!F2744)&gt;0.005,1,0),0)</f>
        <v>0</v>
      </c>
    </row>
    <row r="2745">
      <c r="A2745">
        <f>IF(OR(出库明细!C1745="",出库明细!D1745=""),"",IF(OR(COUNTIFS(存条明细!$C$4:$C$1003,出库明细!C1745,存条明细!$D$4:$D$1003,出库明细!D1745)&gt;0,COUNTIFS(出库明细!$C$4:C1745,出库明细!C1745,出库明细!$D$4:D1745,出库明细!D1745)&gt;1),"",IFERROR(MATCH(出库明细!C1745,总览汇总!$B$5:$B$304,0),900)*10000000+IFERROR(MATCH(出库明细!D1745,基础资料!$E$5:$E$104,0),900)*10000+ROW()))</f>
      </c>
      <c r="F2745">
        <f>IF(AND(出库明细!C2745&lt;&gt;"",出库明细!C2745=客户对账单!$B$4,ISNUMBER(出库明细!B2745),出库明细!B2745&gt;=客户对账单!$G$4,出库明细!B2745&lt;=客户对账单!$I$4),出库明细!B2745+ROW()/100000,"")</f>
      </c>
      <c r="H2745">
        <f>IF(AND(资金台帐!K1248&lt;&gt;"",资金台帐!K1248=供应商对账单!$B$4,资金台帐!P1248="应付",ISNUMBER(资金台帐!B1248),资金台帐!B1248&gt;=供应商对账单!$G$4,资金台帐!B1248&lt;=供应商对账单!$I$4),资金台帐!B1248+ROW()/100000,"")</f>
      </c>
      <c r="N2745">
        <f>IF(AND(ISNUMBER(出库明细!G2745),ISNUMBER(出库明细!E2745),ISNUMBER(出库明细!F2745)),IF(ABS(出库明细!G2745-出库明细!E2745*出库明细!F2745)&gt;0.005,1,0),0)</f>
        <v>0</v>
      </c>
    </row>
    <row r="2746">
      <c r="A2746">
        <f>IF(OR(出库明细!C1746="",出库明细!D1746=""),"",IF(OR(COUNTIFS(存条明细!$C$4:$C$1003,出库明细!C1746,存条明细!$D$4:$D$1003,出库明细!D1746)&gt;0,COUNTIFS(出库明细!$C$4:C1746,出库明细!C1746,出库明细!$D$4:D1746,出库明细!D1746)&gt;1),"",IFERROR(MATCH(出库明细!C1746,总览汇总!$B$5:$B$304,0),900)*10000000+IFERROR(MATCH(出库明细!D1746,基础资料!$E$5:$E$104,0),900)*10000+ROW()))</f>
      </c>
      <c r="F2746">
        <f>IF(AND(出库明细!C2746&lt;&gt;"",出库明细!C2746=客户对账单!$B$4,ISNUMBER(出库明细!B2746),出库明细!B2746&gt;=客户对账单!$G$4,出库明细!B2746&lt;=客户对账单!$I$4),出库明细!B2746+ROW()/100000,"")</f>
      </c>
      <c r="H2746">
        <f>IF(AND(资金台帐!K1249&lt;&gt;"",资金台帐!K1249=供应商对账单!$B$4,资金台帐!P1249="应付",ISNUMBER(资金台帐!B1249),资金台帐!B1249&gt;=供应商对账单!$G$4,资金台帐!B1249&lt;=供应商对账单!$I$4),资金台帐!B1249+ROW()/100000,"")</f>
      </c>
      <c r="N2746">
        <f>IF(AND(ISNUMBER(出库明细!G2746),ISNUMBER(出库明细!E2746),ISNUMBER(出库明细!F2746)),IF(ABS(出库明细!G2746-出库明细!E2746*出库明细!F2746)&gt;0.005,1,0),0)</f>
        <v>0</v>
      </c>
    </row>
    <row r="2747">
      <c r="A2747">
        <f>IF(OR(出库明细!C1747="",出库明细!D1747=""),"",IF(OR(COUNTIFS(存条明细!$C$4:$C$1003,出库明细!C1747,存条明细!$D$4:$D$1003,出库明细!D1747)&gt;0,COUNTIFS(出库明细!$C$4:C1747,出库明细!C1747,出库明细!$D$4:D1747,出库明细!D1747)&gt;1),"",IFERROR(MATCH(出库明细!C1747,总览汇总!$B$5:$B$304,0),900)*10000000+IFERROR(MATCH(出库明细!D1747,基础资料!$E$5:$E$104,0),900)*10000+ROW()))</f>
      </c>
      <c r="F2747">
        <f>IF(AND(出库明细!C2747&lt;&gt;"",出库明细!C2747=客户对账单!$B$4,ISNUMBER(出库明细!B2747),出库明细!B2747&gt;=客户对账单!$G$4,出库明细!B2747&lt;=客户对账单!$I$4),出库明细!B2747+ROW()/100000,"")</f>
      </c>
      <c r="H2747">
        <f>IF(AND(资金台帐!K1250&lt;&gt;"",资金台帐!K1250=供应商对账单!$B$4,资金台帐!P1250="应付",ISNUMBER(资金台帐!B1250),资金台帐!B1250&gt;=供应商对账单!$G$4,资金台帐!B1250&lt;=供应商对账单!$I$4),资金台帐!B1250+ROW()/100000,"")</f>
      </c>
      <c r="N2747">
        <f>IF(AND(ISNUMBER(出库明细!G2747),ISNUMBER(出库明细!E2747),ISNUMBER(出库明细!F2747)),IF(ABS(出库明细!G2747-出库明细!E2747*出库明细!F2747)&gt;0.005,1,0),0)</f>
        <v>0</v>
      </c>
    </row>
    <row r="2748">
      <c r="A2748">
        <f>IF(OR(出库明细!C1748="",出库明细!D1748=""),"",IF(OR(COUNTIFS(存条明细!$C$4:$C$1003,出库明细!C1748,存条明细!$D$4:$D$1003,出库明细!D1748)&gt;0,COUNTIFS(出库明细!$C$4:C1748,出库明细!C1748,出库明细!$D$4:D1748,出库明细!D1748)&gt;1),"",IFERROR(MATCH(出库明细!C1748,总览汇总!$B$5:$B$304,0),900)*10000000+IFERROR(MATCH(出库明细!D1748,基础资料!$E$5:$E$104,0),900)*10000+ROW()))</f>
      </c>
      <c r="F2748">
        <f>IF(AND(出库明细!C2748&lt;&gt;"",出库明细!C2748=客户对账单!$B$4,ISNUMBER(出库明细!B2748),出库明细!B2748&gt;=客户对账单!$G$4,出库明细!B2748&lt;=客户对账单!$I$4),出库明细!B2748+ROW()/100000,"")</f>
      </c>
      <c r="H2748">
        <f>IF(AND(资金台帐!K1251&lt;&gt;"",资金台帐!K1251=供应商对账单!$B$4,资金台帐!P1251="应付",ISNUMBER(资金台帐!B1251),资金台帐!B1251&gt;=供应商对账单!$G$4,资金台帐!B1251&lt;=供应商对账单!$I$4),资金台帐!B1251+ROW()/100000,"")</f>
      </c>
      <c r="N2748">
        <f>IF(AND(ISNUMBER(出库明细!G2748),ISNUMBER(出库明细!E2748),ISNUMBER(出库明细!F2748)),IF(ABS(出库明细!G2748-出库明细!E2748*出库明细!F2748)&gt;0.005,1,0),0)</f>
        <v>0</v>
      </c>
    </row>
    <row r="2749">
      <c r="A2749">
        <f>IF(OR(出库明细!C1749="",出库明细!D1749=""),"",IF(OR(COUNTIFS(存条明细!$C$4:$C$1003,出库明细!C1749,存条明细!$D$4:$D$1003,出库明细!D1749)&gt;0,COUNTIFS(出库明细!$C$4:C1749,出库明细!C1749,出库明细!$D$4:D1749,出库明细!D1749)&gt;1),"",IFERROR(MATCH(出库明细!C1749,总览汇总!$B$5:$B$304,0),900)*10000000+IFERROR(MATCH(出库明细!D1749,基础资料!$E$5:$E$104,0),900)*10000+ROW()))</f>
      </c>
      <c r="F2749">
        <f>IF(AND(出库明细!C2749&lt;&gt;"",出库明细!C2749=客户对账单!$B$4,ISNUMBER(出库明细!B2749),出库明细!B2749&gt;=客户对账单!$G$4,出库明细!B2749&lt;=客户对账单!$I$4),出库明细!B2749+ROW()/100000,"")</f>
      </c>
      <c r="H2749">
        <f>IF(AND(资金台帐!K1252&lt;&gt;"",资金台帐!K1252=供应商对账单!$B$4,资金台帐!P1252="应付",ISNUMBER(资金台帐!B1252),资金台帐!B1252&gt;=供应商对账单!$G$4,资金台帐!B1252&lt;=供应商对账单!$I$4),资金台帐!B1252+ROW()/100000,"")</f>
      </c>
      <c r="N2749">
        <f>IF(AND(ISNUMBER(出库明细!G2749),ISNUMBER(出库明细!E2749),ISNUMBER(出库明细!F2749)),IF(ABS(出库明细!G2749-出库明细!E2749*出库明细!F2749)&gt;0.005,1,0),0)</f>
        <v>0</v>
      </c>
    </row>
    <row r="2750">
      <c r="A2750">
        <f>IF(OR(出库明细!C1750="",出库明细!D1750=""),"",IF(OR(COUNTIFS(存条明细!$C$4:$C$1003,出库明细!C1750,存条明细!$D$4:$D$1003,出库明细!D1750)&gt;0,COUNTIFS(出库明细!$C$4:C1750,出库明细!C1750,出库明细!$D$4:D1750,出库明细!D1750)&gt;1),"",IFERROR(MATCH(出库明细!C1750,总览汇总!$B$5:$B$304,0),900)*10000000+IFERROR(MATCH(出库明细!D1750,基础资料!$E$5:$E$104,0),900)*10000+ROW()))</f>
      </c>
      <c r="F2750">
        <f>IF(AND(出库明细!C2750&lt;&gt;"",出库明细!C2750=客户对账单!$B$4,ISNUMBER(出库明细!B2750),出库明细!B2750&gt;=客户对账单!$G$4,出库明细!B2750&lt;=客户对账单!$I$4),出库明细!B2750+ROW()/100000,"")</f>
      </c>
      <c r="H2750">
        <f>IF(AND(资金台帐!K1253&lt;&gt;"",资金台帐!K1253=供应商对账单!$B$4,资金台帐!P1253="应付",ISNUMBER(资金台帐!B1253),资金台帐!B1253&gt;=供应商对账单!$G$4,资金台帐!B1253&lt;=供应商对账单!$I$4),资金台帐!B1253+ROW()/100000,"")</f>
      </c>
      <c r="N2750">
        <f>IF(AND(ISNUMBER(出库明细!G2750),ISNUMBER(出库明细!E2750),ISNUMBER(出库明细!F2750)),IF(ABS(出库明细!G2750-出库明细!E2750*出库明细!F2750)&gt;0.005,1,0),0)</f>
        <v>0</v>
      </c>
    </row>
    <row r="2751">
      <c r="A2751">
        <f>IF(OR(出库明细!C1751="",出库明细!D1751=""),"",IF(OR(COUNTIFS(存条明细!$C$4:$C$1003,出库明细!C1751,存条明细!$D$4:$D$1003,出库明细!D1751)&gt;0,COUNTIFS(出库明细!$C$4:C1751,出库明细!C1751,出库明细!$D$4:D1751,出库明细!D1751)&gt;1),"",IFERROR(MATCH(出库明细!C1751,总览汇总!$B$5:$B$304,0),900)*10000000+IFERROR(MATCH(出库明细!D1751,基础资料!$E$5:$E$104,0),900)*10000+ROW()))</f>
      </c>
      <c r="F2751">
        <f>IF(AND(出库明细!C2751&lt;&gt;"",出库明细!C2751=客户对账单!$B$4,ISNUMBER(出库明细!B2751),出库明细!B2751&gt;=客户对账单!$G$4,出库明细!B2751&lt;=客户对账单!$I$4),出库明细!B2751+ROW()/100000,"")</f>
      </c>
      <c r="H2751">
        <f>IF(AND(资金台帐!K1254&lt;&gt;"",资金台帐!K1254=供应商对账单!$B$4,资金台帐!P1254="应付",ISNUMBER(资金台帐!B1254),资金台帐!B1254&gt;=供应商对账单!$G$4,资金台帐!B1254&lt;=供应商对账单!$I$4),资金台帐!B1254+ROW()/100000,"")</f>
      </c>
      <c r="N2751">
        <f>IF(AND(ISNUMBER(出库明细!G2751),ISNUMBER(出库明细!E2751),ISNUMBER(出库明细!F2751)),IF(ABS(出库明细!G2751-出库明细!E2751*出库明细!F2751)&gt;0.005,1,0),0)</f>
        <v>0</v>
      </c>
    </row>
    <row r="2752">
      <c r="A2752">
        <f>IF(OR(出库明细!C1752="",出库明细!D1752=""),"",IF(OR(COUNTIFS(存条明细!$C$4:$C$1003,出库明细!C1752,存条明细!$D$4:$D$1003,出库明细!D1752)&gt;0,COUNTIFS(出库明细!$C$4:C1752,出库明细!C1752,出库明细!$D$4:D1752,出库明细!D1752)&gt;1),"",IFERROR(MATCH(出库明细!C1752,总览汇总!$B$5:$B$304,0),900)*10000000+IFERROR(MATCH(出库明细!D1752,基础资料!$E$5:$E$104,0),900)*10000+ROW()))</f>
      </c>
      <c r="F2752">
        <f>IF(AND(出库明细!C2752&lt;&gt;"",出库明细!C2752=客户对账单!$B$4,ISNUMBER(出库明细!B2752),出库明细!B2752&gt;=客户对账单!$G$4,出库明细!B2752&lt;=客户对账单!$I$4),出库明细!B2752+ROW()/100000,"")</f>
      </c>
      <c r="H2752">
        <f>IF(AND(资金台帐!K1255&lt;&gt;"",资金台帐!K1255=供应商对账单!$B$4,资金台帐!P1255="应付",ISNUMBER(资金台帐!B1255),资金台帐!B1255&gt;=供应商对账单!$G$4,资金台帐!B1255&lt;=供应商对账单!$I$4),资金台帐!B1255+ROW()/100000,"")</f>
      </c>
      <c r="N2752">
        <f>IF(AND(ISNUMBER(出库明细!G2752),ISNUMBER(出库明细!E2752),ISNUMBER(出库明细!F2752)),IF(ABS(出库明细!G2752-出库明细!E2752*出库明细!F2752)&gt;0.005,1,0),0)</f>
        <v>0</v>
      </c>
    </row>
    <row r="2753">
      <c r="A2753">
        <f>IF(OR(出库明细!C1753="",出库明细!D1753=""),"",IF(OR(COUNTIFS(存条明细!$C$4:$C$1003,出库明细!C1753,存条明细!$D$4:$D$1003,出库明细!D1753)&gt;0,COUNTIFS(出库明细!$C$4:C1753,出库明细!C1753,出库明细!$D$4:D1753,出库明细!D1753)&gt;1),"",IFERROR(MATCH(出库明细!C1753,总览汇总!$B$5:$B$304,0),900)*10000000+IFERROR(MATCH(出库明细!D1753,基础资料!$E$5:$E$104,0),900)*10000+ROW()))</f>
      </c>
      <c r="F2753">
        <f>IF(AND(出库明细!C2753&lt;&gt;"",出库明细!C2753=客户对账单!$B$4,ISNUMBER(出库明细!B2753),出库明细!B2753&gt;=客户对账单!$G$4,出库明细!B2753&lt;=客户对账单!$I$4),出库明细!B2753+ROW()/100000,"")</f>
      </c>
      <c r="H2753">
        <f>IF(AND(资金台帐!K1256&lt;&gt;"",资金台帐!K1256=供应商对账单!$B$4,资金台帐!P1256="应付",ISNUMBER(资金台帐!B1256),资金台帐!B1256&gt;=供应商对账单!$G$4,资金台帐!B1256&lt;=供应商对账单!$I$4),资金台帐!B1256+ROW()/100000,"")</f>
      </c>
      <c r="N2753">
        <f>IF(AND(ISNUMBER(出库明细!G2753),ISNUMBER(出库明细!E2753),ISNUMBER(出库明细!F2753)),IF(ABS(出库明细!G2753-出库明细!E2753*出库明细!F2753)&gt;0.005,1,0),0)</f>
        <v>0</v>
      </c>
    </row>
    <row r="2754">
      <c r="A2754">
        <f>IF(OR(出库明细!C1754="",出库明细!D1754=""),"",IF(OR(COUNTIFS(存条明细!$C$4:$C$1003,出库明细!C1754,存条明细!$D$4:$D$1003,出库明细!D1754)&gt;0,COUNTIFS(出库明细!$C$4:C1754,出库明细!C1754,出库明细!$D$4:D1754,出库明细!D1754)&gt;1),"",IFERROR(MATCH(出库明细!C1754,总览汇总!$B$5:$B$304,0),900)*10000000+IFERROR(MATCH(出库明细!D1754,基础资料!$E$5:$E$104,0),900)*10000+ROW()))</f>
      </c>
      <c r="F2754">
        <f>IF(AND(出库明细!C2754&lt;&gt;"",出库明细!C2754=客户对账单!$B$4,ISNUMBER(出库明细!B2754),出库明细!B2754&gt;=客户对账单!$G$4,出库明细!B2754&lt;=客户对账单!$I$4),出库明细!B2754+ROW()/100000,"")</f>
      </c>
      <c r="H2754">
        <f>IF(AND(资金台帐!K1257&lt;&gt;"",资金台帐!K1257=供应商对账单!$B$4,资金台帐!P1257="应付",ISNUMBER(资金台帐!B1257),资金台帐!B1257&gt;=供应商对账单!$G$4,资金台帐!B1257&lt;=供应商对账单!$I$4),资金台帐!B1257+ROW()/100000,"")</f>
      </c>
      <c r="N2754">
        <f>IF(AND(ISNUMBER(出库明细!G2754),ISNUMBER(出库明细!E2754),ISNUMBER(出库明细!F2754)),IF(ABS(出库明细!G2754-出库明细!E2754*出库明细!F2754)&gt;0.005,1,0),0)</f>
        <v>0</v>
      </c>
    </row>
    <row r="2755">
      <c r="A2755">
        <f>IF(OR(出库明细!C1755="",出库明细!D1755=""),"",IF(OR(COUNTIFS(存条明细!$C$4:$C$1003,出库明细!C1755,存条明细!$D$4:$D$1003,出库明细!D1755)&gt;0,COUNTIFS(出库明细!$C$4:C1755,出库明细!C1755,出库明细!$D$4:D1755,出库明细!D1755)&gt;1),"",IFERROR(MATCH(出库明细!C1755,总览汇总!$B$5:$B$304,0),900)*10000000+IFERROR(MATCH(出库明细!D1755,基础资料!$E$5:$E$104,0),900)*10000+ROW()))</f>
      </c>
      <c r="F2755">
        <f>IF(AND(出库明细!C2755&lt;&gt;"",出库明细!C2755=客户对账单!$B$4,ISNUMBER(出库明细!B2755),出库明细!B2755&gt;=客户对账单!$G$4,出库明细!B2755&lt;=客户对账单!$I$4),出库明细!B2755+ROW()/100000,"")</f>
      </c>
      <c r="H2755">
        <f>IF(AND(资金台帐!K1258&lt;&gt;"",资金台帐!K1258=供应商对账单!$B$4,资金台帐!P1258="应付",ISNUMBER(资金台帐!B1258),资金台帐!B1258&gt;=供应商对账单!$G$4,资金台帐!B1258&lt;=供应商对账单!$I$4),资金台帐!B1258+ROW()/100000,"")</f>
      </c>
      <c r="N2755">
        <f>IF(AND(ISNUMBER(出库明细!G2755),ISNUMBER(出库明细!E2755),ISNUMBER(出库明细!F2755)),IF(ABS(出库明细!G2755-出库明细!E2755*出库明细!F2755)&gt;0.005,1,0),0)</f>
        <v>0</v>
      </c>
    </row>
    <row r="2756">
      <c r="A2756">
        <f>IF(OR(出库明细!C1756="",出库明细!D1756=""),"",IF(OR(COUNTIFS(存条明细!$C$4:$C$1003,出库明细!C1756,存条明细!$D$4:$D$1003,出库明细!D1756)&gt;0,COUNTIFS(出库明细!$C$4:C1756,出库明细!C1756,出库明细!$D$4:D1756,出库明细!D1756)&gt;1),"",IFERROR(MATCH(出库明细!C1756,总览汇总!$B$5:$B$304,0),900)*10000000+IFERROR(MATCH(出库明细!D1756,基础资料!$E$5:$E$104,0),900)*10000+ROW()))</f>
      </c>
      <c r="F2756">
        <f>IF(AND(出库明细!C2756&lt;&gt;"",出库明细!C2756=客户对账单!$B$4,ISNUMBER(出库明细!B2756),出库明细!B2756&gt;=客户对账单!$G$4,出库明细!B2756&lt;=客户对账单!$I$4),出库明细!B2756+ROW()/100000,"")</f>
      </c>
      <c r="H2756">
        <f>IF(AND(资金台帐!K1259&lt;&gt;"",资金台帐!K1259=供应商对账单!$B$4,资金台帐!P1259="应付",ISNUMBER(资金台帐!B1259),资金台帐!B1259&gt;=供应商对账单!$G$4,资金台帐!B1259&lt;=供应商对账单!$I$4),资金台帐!B1259+ROW()/100000,"")</f>
      </c>
      <c r="N2756">
        <f>IF(AND(ISNUMBER(出库明细!G2756),ISNUMBER(出库明细!E2756),ISNUMBER(出库明细!F2756)),IF(ABS(出库明细!G2756-出库明细!E2756*出库明细!F2756)&gt;0.005,1,0),0)</f>
        <v>0</v>
      </c>
    </row>
    <row r="2757">
      <c r="A2757">
        <f>IF(OR(出库明细!C1757="",出库明细!D1757=""),"",IF(OR(COUNTIFS(存条明细!$C$4:$C$1003,出库明细!C1757,存条明细!$D$4:$D$1003,出库明细!D1757)&gt;0,COUNTIFS(出库明细!$C$4:C1757,出库明细!C1757,出库明细!$D$4:D1757,出库明细!D1757)&gt;1),"",IFERROR(MATCH(出库明细!C1757,总览汇总!$B$5:$B$304,0),900)*10000000+IFERROR(MATCH(出库明细!D1757,基础资料!$E$5:$E$104,0),900)*10000+ROW()))</f>
      </c>
      <c r="F2757">
        <f>IF(AND(出库明细!C2757&lt;&gt;"",出库明细!C2757=客户对账单!$B$4,ISNUMBER(出库明细!B2757),出库明细!B2757&gt;=客户对账单!$G$4,出库明细!B2757&lt;=客户对账单!$I$4),出库明细!B2757+ROW()/100000,"")</f>
      </c>
      <c r="H2757">
        <f>IF(AND(资金台帐!K1260&lt;&gt;"",资金台帐!K1260=供应商对账单!$B$4,资金台帐!P1260="应付",ISNUMBER(资金台帐!B1260),资金台帐!B1260&gt;=供应商对账单!$G$4,资金台帐!B1260&lt;=供应商对账单!$I$4),资金台帐!B1260+ROW()/100000,"")</f>
      </c>
      <c r="N2757">
        <f>IF(AND(ISNUMBER(出库明细!G2757),ISNUMBER(出库明细!E2757),ISNUMBER(出库明细!F2757)),IF(ABS(出库明细!G2757-出库明细!E2757*出库明细!F2757)&gt;0.005,1,0),0)</f>
        <v>0</v>
      </c>
    </row>
    <row r="2758">
      <c r="A2758">
        <f>IF(OR(出库明细!C1758="",出库明细!D1758=""),"",IF(OR(COUNTIFS(存条明细!$C$4:$C$1003,出库明细!C1758,存条明细!$D$4:$D$1003,出库明细!D1758)&gt;0,COUNTIFS(出库明细!$C$4:C1758,出库明细!C1758,出库明细!$D$4:D1758,出库明细!D1758)&gt;1),"",IFERROR(MATCH(出库明细!C1758,总览汇总!$B$5:$B$304,0),900)*10000000+IFERROR(MATCH(出库明细!D1758,基础资料!$E$5:$E$104,0),900)*10000+ROW()))</f>
      </c>
      <c r="F2758">
        <f>IF(AND(出库明细!C2758&lt;&gt;"",出库明细!C2758=客户对账单!$B$4,ISNUMBER(出库明细!B2758),出库明细!B2758&gt;=客户对账单!$G$4,出库明细!B2758&lt;=客户对账单!$I$4),出库明细!B2758+ROW()/100000,"")</f>
      </c>
      <c r="H2758">
        <f>IF(AND(资金台帐!K1261&lt;&gt;"",资金台帐!K1261=供应商对账单!$B$4,资金台帐!P1261="应付",ISNUMBER(资金台帐!B1261),资金台帐!B1261&gt;=供应商对账单!$G$4,资金台帐!B1261&lt;=供应商对账单!$I$4),资金台帐!B1261+ROW()/100000,"")</f>
      </c>
      <c r="N2758">
        <f>IF(AND(ISNUMBER(出库明细!G2758),ISNUMBER(出库明细!E2758),ISNUMBER(出库明细!F2758)),IF(ABS(出库明细!G2758-出库明细!E2758*出库明细!F2758)&gt;0.005,1,0),0)</f>
        <v>0</v>
      </c>
    </row>
    <row r="2759">
      <c r="A2759">
        <f>IF(OR(出库明细!C1759="",出库明细!D1759=""),"",IF(OR(COUNTIFS(存条明细!$C$4:$C$1003,出库明细!C1759,存条明细!$D$4:$D$1003,出库明细!D1759)&gt;0,COUNTIFS(出库明细!$C$4:C1759,出库明细!C1759,出库明细!$D$4:D1759,出库明细!D1759)&gt;1),"",IFERROR(MATCH(出库明细!C1759,总览汇总!$B$5:$B$304,0),900)*10000000+IFERROR(MATCH(出库明细!D1759,基础资料!$E$5:$E$104,0),900)*10000+ROW()))</f>
      </c>
      <c r="F2759">
        <f>IF(AND(出库明细!C2759&lt;&gt;"",出库明细!C2759=客户对账单!$B$4,ISNUMBER(出库明细!B2759),出库明细!B2759&gt;=客户对账单!$G$4,出库明细!B2759&lt;=客户对账单!$I$4),出库明细!B2759+ROW()/100000,"")</f>
      </c>
      <c r="H2759">
        <f>IF(AND(资金台帐!K1262&lt;&gt;"",资金台帐!K1262=供应商对账单!$B$4,资金台帐!P1262="应付",ISNUMBER(资金台帐!B1262),资金台帐!B1262&gt;=供应商对账单!$G$4,资金台帐!B1262&lt;=供应商对账单!$I$4),资金台帐!B1262+ROW()/100000,"")</f>
      </c>
      <c r="N2759">
        <f>IF(AND(ISNUMBER(出库明细!G2759),ISNUMBER(出库明细!E2759),ISNUMBER(出库明细!F2759)),IF(ABS(出库明细!G2759-出库明细!E2759*出库明细!F2759)&gt;0.005,1,0),0)</f>
        <v>0</v>
      </c>
    </row>
    <row r="2760">
      <c r="A2760">
        <f>IF(OR(出库明细!C1760="",出库明细!D1760=""),"",IF(OR(COUNTIFS(存条明细!$C$4:$C$1003,出库明细!C1760,存条明细!$D$4:$D$1003,出库明细!D1760)&gt;0,COUNTIFS(出库明细!$C$4:C1760,出库明细!C1760,出库明细!$D$4:D1760,出库明细!D1760)&gt;1),"",IFERROR(MATCH(出库明细!C1760,总览汇总!$B$5:$B$304,0),900)*10000000+IFERROR(MATCH(出库明细!D1760,基础资料!$E$5:$E$104,0),900)*10000+ROW()))</f>
      </c>
      <c r="F2760">
        <f>IF(AND(出库明细!C2760&lt;&gt;"",出库明细!C2760=客户对账单!$B$4,ISNUMBER(出库明细!B2760),出库明细!B2760&gt;=客户对账单!$G$4,出库明细!B2760&lt;=客户对账单!$I$4),出库明细!B2760+ROW()/100000,"")</f>
      </c>
      <c r="H2760">
        <f>IF(AND(资金台帐!K1263&lt;&gt;"",资金台帐!K1263=供应商对账单!$B$4,资金台帐!P1263="应付",ISNUMBER(资金台帐!B1263),资金台帐!B1263&gt;=供应商对账单!$G$4,资金台帐!B1263&lt;=供应商对账单!$I$4),资金台帐!B1263+ROW()/100000,"")</f>
      </c>
      <c r="N2760">
        <f>IF(AND(ISNUMBER(出库明细!G2760),ISNUMBER(出库明细!E2760),ISNUMBER(出库明细!F2760)),IF(ABS(出库明细!G2760-出库明细!E2760*出库明细!F2760)&gt;0.005,1,0),0)</f>
        <v>0</v>
      </c>
    </row>
    <row r="2761">
      <c r="A2761">
        <f>IF(OR(出库明细!C1761="",出库明细!D1761=""),"",IF(OR(COUNTIFS(存条明细!$C$4:$C$1003,出库明细!C1761,存条明细!$D$4:$D$1003,出库明细!D1761)&gt;0,COUNTIFS(出库明细!$C$4:C1761,出库明细!C1761,出库明细!$D$4:D1761,出库明细!D1761)&gt;1),"",IFERROR(MATCH(出库明细!C1761,总览汇总!$B$5:$B$304,0),900)*10000000+IFERROR(MATCH(出库明细!D1761,基础资料!$E$5:$E$104,0),900)*10000+ROW()))</f>
      </c>
      <c r="F2761">
        <f>IF(AND(出库明细!C2761&lt;&gt;"",出库明细!C2761=客户对账单!$B$4,ISNUMBER(出库明细!B2761),出库明细!B2761&gt;=客户对账单!$G$4,出库明细!B2761&lt;=客户对账单!$I$4),出库明细!B2761+ROW()/100000,"")</f>
      </c>
      <c r="H2761">
        <f>IF(AND(资金台帐!K1264&lt;&gt;"",资金台帐!K1264=供应商对账单!$B$4,资金台帐!P1264="应付",ISNUMBER(资金台帐!B1264),资金台帐!B1264&gt;=供应商对账单!$G$4,资金台帐!B1264&lt;=供应商对账单!$I$4),资金台帐!B1264+ROW()/100000,"")</f>
      </c>
      <c r="N2761">
        <f>IF(AND(ISNUMBER(出库明细!G2761),ISNUMBER(出库明细!E2761),ISNUMBER(出库明细!F2761)),IF(ABS(出库明细!G2761-出库明细!E2761*出库明细!F2761)&gt;0.005,1,0),0)</f>
        <v>0</v>
      </c>
    </row>
    <row r="2762">
      <c r="A2762">
        <f>IF(OR(出库明细!C1762="",出库明细!D1762=""),"",IF(OR(COUNTIFS(存条明细!$C$4:$C$1003,出库明细!C1762,存条明细!$D$4:$D$1003,出库明细!D1762)&gt;0,COUNTIFS(出库明细!$C$4:C1762,出库明细!C1762,出库明细!$D$4:D1762,出库明细!D1762)&gt;1),"",IFERROR(MATCH(出库明细!C1762,总览汇总!$B$5:$B$304,0),900)*10000000+IFERROR(MATCH(出库明细!D1762,基础资料!$E$5:$E$104,0),900)*10000+ROW()))</f>
      </c>
      <c r="F2762">
        <f>IF(AND(出库明细!C2762&lt;&gt;"",出库明细!C2762=客户对账单!$B$4,ISNUMBER(出库明细!B2762),出库明细!B2762&gt;=客户对账单!$G$4,出库明细!B2762&lt;=客户对账单!$I$4),出库明细!B2762+ROW()/100000,"")</f>
      </c>
      <c r="H2762">
        <f>IF(AND(资金台帐!K1265&lt;&gt;"",资金台帐!K1265=供应商对账单!$B$4,资金台帐!P1265="应付",ISNUMBER(资金台帐!B1265),资金台帐!B1265&gt;=供应商对账单!$G$4,资金台帐!B1265&lt;=供应商对账单!$I$4),资金台帐!B1265+ROW()/100000,"")</f>
      </c>
      <c r="N2762">
        <f>IF(AND(ISNUMBER(出库明细!G2762),ISNUMBER(出库明细!E2762),ISNUMBER(出库明细!F2762)),IF(ABS(出库明细!G2762-出库明细!E2762*出库明细!F2762)&gt;0.005,1,0),0)</f>
        <v>0</v>
      </c>
    </row>
    <row r="2763">
      <c r="A2763">
        <f>IF(OR(出库明细!C1763="",出库明细!D1763=""),"",IF(OR(COUNTIFS(存条明细!$C$4:$C$1003,出库明细!C1763,存条明细!$D$4:$D$1003,出库明细!D1763)&gt;0,COUNTIFS(出库明细!$C$4:C1763,出库明细!C1763,出库明细!$D$4:D1763,出库明细!D1763)&gt;1),"",IFERROR(MATCH(出库明细!C1763,总览汇总!$B$5:$B$304,0),900)*10000000+IFERROR(MATCH(出库明细!D1763,基础资料!$E$5:$E$104,0),900)*10000+ROW()))</f>
      </c>
      <c r="F2763">
        <f>IF(AND(出库明细!C2763&lt;&gt;"",出库明细!C2763=客户对账单!$B$4,ISNUMBER(出库明细!B2763),出库明细!B2763&gt;=客户对账单!$G$4,出库明细!B2763&lt;=客户对账单!$I$4),出库明细!B2763+ROW()/100000,"")</f>
      </c>
      <c r="H2763">
        <f>IF(AND(资金台帐!K1266&lt;&gt;"",资金台帐!K1266=供应商对账单!$B$4,资金台帐!P1266="应付",ISNUMBER(资金台帐!B1266),资金台帐!B1266&gt;=供应商对账单!$G$4,资金台帐!B1266&lt;=供应商对账单!$I$4),资金台帐!B1266+ROW()/100000,"")</f>
      </c>
      <c r="N2763">
        <f>IF(AND(ISNUMBER(出库明细!G2763),ISNUMBER(出库明细!E2763),ISNUMBER(出库明细!F2763)),IF(ABS(出库明细!G2763-出库明细!E2763*出库明细!F2763)&gt;0.005,1,0),0)</f>
        <v>0</v>
      </c>
    </row>
    <row r="2764">
      <c r="A2764">
        <f>IF(OR(出库明细!C1764="",出库明细!D1764=""),"",IF(OR(COUNTIFS(存条明细!$C$4:$C$1003,出库明细!C1764,存条明细!$D$4:$D$1003,出库明细!D1764)&gt;0,COUNTIFS(出库明细!$C$4:C1764,出库明细!C1764,出库明细!$D$4:D1764,出库明细!D1764)&gt;1),"",IFERROR(MATCH(出库明细!C1764,总览汇总!$B$5:$B$304,0),900)*10000000+IFERROR(MATCH(出库明细!D1764,基础资料!$E$5:$E$104,0),900)*10000+ROW()))</f>
      </c>
      <c r="F2764">
        <f>IF(AND(出库明细!C2764&lt;&gt;"",出库明细!C2764=客户对账单!$B$4,ISNUMBER(出库明细!B2764),出库明细!B2764&gt;=客户对账单!$G$4,出库明细!B2764&lt;=客户对账单!$I$4),出库明细!B2764+ROW()/100000,"")</f>
      </c>
      <c r="H2764">
        <f>IF(AND(资金台帐!K1267&lt;&gt;"",资金台帐!K1267=供应商对账单!$B$4,资金台帐!P1267="应付",ISNUMBER(资金台帐!B1267),资金台帐!B1267&gt;=供应商对账单!$G$4,资金台帐!B1267&lt;=供应商对账单!$I$4),资金台帐!B1267+ROW()/100000,"")</f>
      </c>
      <c r="N2764">
        <f>IF(AND(ISNUMBER(出库明细!G2764),ISNUMBER(出库明细!E2764),ISNUMBER(出库明细!F2764)),IF(ABS(出库明细!G2764-出库明细!E2764*出库明细!F2764)&gt;0.005,1,0),0)</f>
        <v>0</v>
      </c>
    </row>
    <row r="2765">
      <c r="A2765">
        <f>IF(OR(出库明细!C1765="",出库明细!D1765=""),"",IF(OR(COUNTIFS(存条明细!$C$4:$C$1003,出库明细!C1765,存条明细!$D$4:$D$1003,出库明细!D1765)&gt;0,COUNTIFS(出库明细!$C$4:C1765,出库明细!C1765,出库明细!$D$4:D1765,出库明细!D1765)&gt;1),"",IFERROR(MATCH(出库明细!C1765,总览汇总!$B$5:$B$304,0),900)*10000000+IFERROR(MATCH(出库明细!D1765,基础资料!$E$5:$E$104,0),900)*10000+ROW()))</f>
      </c>
      <c r="F2765">
        <f>IF(AND(出库明细!C2765&lt;&gt;"",出库明细!C2765=客户对账单!$B$4,ISNUMBER(出库明细!B2765),出库明细!B2765&gt;=客户对账单!$G$4,出库明细!B2765&lt;=客户对账单!$I$4),出库明细!B2765+ROW()/100000,"")</f>
      </c>
      <c r="H2765">
        <f>IF(AND(资金台帐!K1268&lt;&gt;"",资金台帐!K1268=供应商对账单!$B$4,资金台帐!P1268="应付",ISNUMBER(资金台帐!B1268),资金台帐!B1268&gt;=供应商对账单!$G$4,资金台帐!B1268&lt;=供应商对账单!$I$4),资金台帐!B1268+ROW()/100000,"")</f>
      </c>
      <c r="N2765">
        <f>IF(AND(ISNUMBER(出库明细!G2765),ISNUMBER(出库明细!E2765),ISNUMBER(出库明细!F2765)),IF(ABS(出库明细!G2765-出库明细!E2765*出库明细!F2765)&gt;0.005,1,0),0)</f>
        <v>0</v>
      </c>
    </row>
    <row r="2766">
      <c r="A2766">
        <f>IF(OR(出库明细!C1766="",出库明细!D1766=""),"",IF(OR(COUNTIFS(存条明细!$C$4:$C$1003,出库明细!C1766,存条明细!$D$4:$D$1003,出库明细!D1766)&gt;0,COUNTIFS(出库明细!$C$4:C1766,出库明细!C1766,出库明细!$D$4:D1766,出库明细!D1766)&gt;1),"",IFERROR(MATCH(出库明细!C1766,总览汇总!$B$5:$B$304,0),900)*10000000+IFERROR(MATCH(出库明细!D1766,基础资料!$E$5:$E$104,0),900)*10000+ROW()))</f>
      </c>
      <c r="F2766">
        <f>IF(AND(出库明细!C2766&lt;&gt;"",出库明细!C2766=客户对账单!$B$4,ISNUMBER(出库明细!B2766),出库明细!B2766&gt;=客户对账单!$G$4,出库明细!B2766&lt;=客户对账单!$I$4),出库明细!B2766+ROW()/100000,"")</f>
      </c>
      <c r="H2766">
        <f>IF(AND(资金台帐!K1269&lt;&gt;"",资金台帐!K1269=供应商对账单!$B$4,资金台帐!P1269="应付",ISNUMBER(资金台帐!B1269),资金台帐!B1269&gt;=供应商对账单!$G$4,资金台帐!B1269&lt;=供应商对账单!$I$4),资金台帐!B1269+ROW()/100000,"")</f>
      </c>
      <c r="N2766">
        <f>IF(AND(ISNUMBER(出库明细!G2766),ISNUMBER(出库明细!E2766),ISNUMBER(出库明细!F2766)),IF(ABS(出库明细!G2766-出库明细!E2766*出库明细!F2766)&gt;0.005,1,0),0)</f>
        <v>0</v>
      </c>
    </row>
    <row r="2767">
      <c r="A2767">
        <f>IF(OR(出库明细!C1767="",出库明细!D1767=""),"",IF(OR(COUNTIFS(存条明细!$C$4:$C$1003,出库明细!C1767,存条明细!$D$4:$D$1003,出库明细!D1767)&gt;0,COUNTIFS(出库明细!$C$4:C1767,出库明细!C1767,出库明细!$D$4:D1767,出库明细!D1767)&gt;1),"",IFERROR(MATCH(出库明细!C1767,总览汇总!$B$5:$B$304,0),900)*10000000+IFERROR(MATCH(出库明细!D1767,基础资料!$E$5:$E$104,0),900)*10000+ROW()))</f>
      </c>
      <c r="F2767">
        <f>IF(AND(出库明细!C2767&lt;&gt;"",出库明细!C2767=客户对账单!$B$4,ISNUMBER(出库明细!B2767),出库明细!B2767&gt;=客户对账单!$G$4,出库明细!B2767&lt;=客户对账单!$I$4),出库明细!B2767+ROW()/100000,"")</f>
      </c>
      <c r="H2767">
        <f>IF(AND(资金台帐!K1270&lt;&gt;"",资金台帐!K1270=供应商对账单!$B$4,资金台帐!P1270="应付",ISNUMBER(资金台帐!B1270),资金台帐!B1270&gt;=供应商对账单!$G$4,资金台帐!B1270&lt;=供应商对账单!$I$4),资金台帐!B1270+ROW()/100000,"")</f>
      </c>
      <c r="N2767">
        <f>IF(AND(ISNUMBER(出库明细!G2767),ISNUMBER(出库明细!E2767),ISNUMBER(出库明细!F2767)),IF(ABS(出库明细!G2767-出库明细!E2767*出库明细!F2767)&gt;0.005,1,0),0)</f>
        <v>0</v>
      </c>
    </row>
    <row r="2768">
      <c r="A2768">
        <f>IF(OR(出库明细!C1768="",出库明细!D1768=""),"",IF(OR(COUNTIFS(存条明细!$C$4:$C$1003,出库明细!C1768,存条明细!$D$4:$D$1003,出库明细!D1768)&gt;0,COUNTIFS(出库明细!$C$4:C1768,出库明细!C1768,出库明细!$D$4:D1768,出库明细!D1768)&gt;1),"",IFERROR(MATCH(出库明细!C1768,总览汇总!$B$5:$B$304,0),900)*10000000+IFERROR(MATCH(出库明细!D1768,基础资料!$E$5:$E$104,0),900)*10000+ROW()))</f>
      </c>
      <c r="F2768">
        <f>IF(AND(出库明细!C2768&lt;&gt;"",出库明细!C2768=客户对账单!$B$4,ISNUMBER(出库明细!B2768),出库明细!B2768&gt;=客户对账单!$G$4,出库明细!B2768&lt;=客户对账单!$I$4),出库明细!B2768+ROW()/100000,"")</f>
      </c>
      <c r="H2768">
        <f>IF(AND(资金台帐!K1271&lt;&gt;"",资金台帐!K1271=供应商对账单!$B$4,资金台帐!P1271="应付",ISNUMBER(资金台帐!B1271),资金台帐!B1271&gt;=供应商对账单!$G$4,资金台帐!B1271&lt;=供应商对账单!$I$4),资金台帐!B1271+ROW()/100000,"")</f>
      </c>
      <c r="N2768">
        <f>IF(AND(ISNUMBER(出库明细!G2768),ISNUMBER(出库明细!E2768),ISNUMBER(出库明细!F2768)),IF(ABS(出库明细!G2768-出库明细!E2768*出库明细!F2768)&gt;0.005,1,0),0)</f>
        <v>0</v>
      </c>
    </row>
    <row r="2769">
      <c r="A2769">
        <f>IF(OR(出库明细!C1769="",出库明细!D1769=""),"",IF(OR(COUNTIFS(存条明细!$C$4:$C$1003,出库明细!C1769,存条明细!$D$4:$D$1003,出库明细!D1769)&gt;0,COUNTIFS(出库明细!$C$4:C1769,出库明细!C1769,出库明细!$D$4:D1769,出库明细!D1769)&gt;1),"",IFERROR(MATCH(出库明细!C1769,总览汇总!$B$5:$B$304,0),900)*10000000+IFERROR(MATCH(出库明细!D1769,基础资料!$E$5:$E$104,0),900)*10000+ROW()))</f>
      </c>
      <c r="F2769">
        <f>IF(AND(出库明细!C2769&lt;&gt;"",出库明细!C2769=客户对账单!$B$4,ISNUMBER(出库明细!B2769),出库明细!B2769&gt;=客户对账单!$G$4,出库明细!B2769&lt;=客户对账单!$I$4),出库明细!B2769+ROW()/100000,"")</f>
      </c>
      <c r="H2769">
        <f>IF(AND(资金台帐!K1272&lt;&gt;"",资金台帐!K1272=供应商对账单!$B$4,资金台帐!P1272="应付",ISNUMBER(资金台帐!B1272),资金台帐!B1272&gt;=供应商对账单!$G$4,资金台帐!B1272&lt;=供应商对账单!$I$4),资金台帐!B1272+ROW()/100000,"")</f>
      </c>
      <c r="N2769">
        <f>IF(AND(ISNUMBER(出库明细!G2769),ISNUMBER(出库明细!E2769),ISNUMBER(出库明细!F2769)),IF(ABS(出库明细!G2769-出库明细!E2769*出库明细!F2769)&gt;0.005,1,0),0)</f>
        <v>0</v>
      </c>
    </row>
    <row r="2770">
      <c r="A2770">
        <f>IF(OR(出库明细!C1770="",出库明细!D1770=""),"",IF(OR(COUNTIFS(存条明细!$C$4:$C$1003,出库明细!C1770,存条明细!$D$4:$D$1003,出库明细!D1770)&gt;0,COUNTIFS(出库明细!$C$4:C1770,出库明细!C1770,出库明细!$D$4:D1770,出库明细!D1770)&gt;1),"",IFERROR(MATCH(出库明细!C1770,总览汇总!$B$5:$B$304,0),900)*10000000+IFERROR(MATCH(出库明细!D1770,基础资料!$E$5:$E$104,0),900)*10000+ROW()))</f>
      </c>
      <c r="F2770">
        <f>IF(AND(出库明细!C2770&lt;&gt;"",出库明细!C2770=客户对账单!$B$4,ISNUMBER(出库明细!B2770),出库明细!B2770&gt;=客户对账单!$G$4,出库明细!B2770&lt;=客户对账单!$I$4),出库明细!B2770+ROW()/100000,"")</f>
      </c>
      <c r="H2770">
        <f>IF(AND(资金台帐!K1273&lt;&gt;"",资金台帐!K1273=供应商对账单!$B$4,资金台帐!P1273="应付",ISNUMBER(资金台帐!B1273),资金台帐!B1273&gt;=供应商对账单!$G$4,资金台帐!B1273&lt;=供应商对账单!$I$4),资金台帐!B1273+ROW()/100000,"")</f>
      </c>
      <c r="N2770">
        <f>IF(AND(ISNUMBER(出库明细!G2770),ISNUMBER(出库明细!E2770),ISNUMBER(出库明细!F2770)),IF(ABS(出库明细!G2770-出库明细!E2770*出库明细!F2770)&gt;0.005,1,0),0)</f>
        <v>0</v>
      </c>
    </row>
    <row r="2771">
      <c r="A2771">
        <f>IF(OR(出库明细!C1771="",出库明细!D1771=""),"",IF(OR(COUNTIFS(存条明细!$C$4:$C$1003,出库明细!C1771,存条明细!$D$4:$D$1003,出库明细!D1771)&gt;0,COUNTIFS(出库明细!$C$4:C1771,出库明细!C1771,出库明细!$D$4:D1771,出库明细!D1771)&gt;1),"",IFERROR(MATCH(出库明细!C1771,总览汇总!$B$5:$B$304,0),900)*10000000+IFERROR(MATCH(出库明细!D1771,基础资料!$E$5:$E$104,0),900)*10000+ROW()))</f>
      </c>
      <c r="F2771">
        <f>IF(AND(出库明细!C2771&lt;&gt;"",出库明细!C2771=客户对账单!$B$4,ISNUMBER(出库明细!B2771),出库明细!B2771&gt;=客户对账单!$G$4,出库明细!B2771&lt;=客户对账单!$I$4),出库明细!B2771+ROW()/100000,"")</f>
      </c>
      <c r="H2771">
        <f>IF(AND(资金台帐!K1274&lt;&gt;"",资金台帐!K1274=供应商对账单!$B$4,资金台帐!P1274="应付",ISNUMBER(资金台帐!B1274),资金台帐!B1274&gt;=供应商对账单!$G$4,资金台帐!B1274&lt;=供应商对账单!$I$4),资金台帐!B1274+ROW()/100000,"")</f>
      </c>
      <c r="N2771">
        <f>IF(AND(ISNUMBER(出库明细!G2771),ISNUMBER(出库明细!E2771),ISNUMBER(出库明细!F2771)),IF(ABS(出库明细!G2771-出库明细!E2771*出库明细!F2771)&gt;0.005,1,0),0)</f>
        <v>0</v>
      </c>
    </row>
    <row r="2772">
      <c r="A2772">
        <f>IF(OR(出库明细!C1772="",出库明细!D1772=""),"",IF(OR(COUNTIFS(存条明细!$C$4:$C$1003,出库明细!C1772,存条明细!$D$4:$D$1003,出库明细!D1772)&gt;0,COUNTIFS(出库明细!$C$4:C1772,出库明细!C1772,出库明细!$D$4:D1772,出库明细!D1772)&gt;1),"",IFERROR(MATCH(出库明细!C1772,总览汇总!$B$5:$B$304,0),900)*10000000+IFERROR(MATCH(出库明细!D1772,基础资料!$E$5:$E$104,0),900)*10000+ROW()))</f>
      </c>
      <c r="F2772">
        <f>IF(AND(出库明细!C2772&lt;&gt;"",出库明细!C2772=客户对账单!$B$4,ISNUMBER(出库明细!B2772),出库明细!B2772&gt;=客户对账单!$G$4,出库明细!B2772&lt;=客户对账单!$I$4),出库明细!B2772+ROW()/100000,"")</f>
      </c>
      <c r="H2772">
        <f>IF(AND(资金台帐!K1275&lt;&gt;"",资金台帐!K1275=供应商对账单!$B$4,资金台帐!P1275="应付",ISNUMBER(资金台帐!B1275),资金台帐!B1275&gt;=供应商对账单!$G$4,资金台帐!B1275&lt;=供应商对账单!$I$4),资金台帐!B1275+ROW()/100000,"")</f>
      </c>
      <c r="N2772">
        <f>IF(AND(ISNUMBER(出库明细!G2772),ISNUMBER(出库明细!E2772),ISNUMBER(出库明细!F2772)),IF(ABS(出库明细!G2772-出库明细!E2772*出库明细!F2772)&gt;0.005,1,0),0)</f>
        <v>0</v>
      </c>
    </row>
    <row r="2773">
      <c r="A2773">
        <f>IF(OR(出库明细!C1773="",出库明细!D1773=""),"",IF(OR(COUNTIFS(存条明细!$C$4:$C$1003,出库明细!C1773,存条明细!$D$4:$D$1003,出库明细!D1773)&gt;0,COUNTIFS(出库明细!$C$4:C1773,出库明细!C1773,出库明细!$D$4:D1773,出库明细!D1773)&gt;1),"",IFERROR(MATCH(出库明细!C1773,总览汇总!$B$5:$B$304,0),900)*10000000+IFERROR(MATCH(出库明细!D1773,基础资料!$E$5:$E$104,0),900)*10000+ROW()))</f>
      </c>
      <c r="F2773">
        <f>IF(AND(出库明细!C2773&lt;&gt;"",出库明细!C2773=客户对账单!$B$4,ISNUMBER(出库明细!B2773),出库明细!B2773&gt;=客户对账单!$G$4,出库明细!B2773&lt;=客户对账单!$I$4),出库明细!B2773+ROW()/100000,"")</f>
      </c>
      <c r="H2773">
        <f>IF(AND(资金台帐!K1276&lt;&gt;"",资金台帐!K1276=供应商对账单!$B$4,资金台帐!P1276="应付",ISNUMBER(资金台帐!B1276),资金台帐!B1276&gt;=供应商对账单!$G$4,资金台帐!B1276&lt;=供应商对账单!$I$4),资金台帐!B1276+ROW()/100000,"")</f>
      </c>
      <c r="N2773">
        <f>IF(AND(ISNUMBER(出库明细!G2773),ISNUMBER(出库明细!E2773),ISNUMBER(出库明细!F2773)),IF(ABS(出库明细!G2773-出库明细!E2773*出库明细!F2773)&gt;0.005,1,0),0)</f>
        <v>0</v>
      </c>
    </row>
    <row r="2774">
      <c r="A2774">
        <f>IF(OR(出库明细!C1774="",出库明细!D1774=""),"",IF(OR(COUNTIFS(存条明细!$C$4:$C$1003,出库明细!C1774,存条明细!$D$4:$D$1003,出库明细!D1774)&gt;0,COUNTIFS(出库明细!$C$4:C1774,出库明细!C1774,出库明细!$D$4:D1774,出库明细!D1774)&gt;1),"",IFERROR(MATCH(出库明细!C1774,总览汇总!$B$5:$B$304,0),900)*10000000+IFERROR(MATCH(出库明细!D1774,基础资料!$E$5:$E$104,0),900)*10000+ROW()))</f>
      </c>
      <c r="F2774">
        <f>IF(AND(出库明细!C2774&lt;&gt;"",出库明细!C2774=客户对账单!$B$4,ISNUMBER(出库明细!B2774),出库明细!B2774&gt;=客户对账单!$G$4,出库明细!B2774&lt;=客户对账单!$I$4),出库明细!B2774+ROW()/100000,"")</f>
      </c>
      <c r="H2774">
        <f>IF(AND(资金台帐!K1277&lt;&gt;"",资金台帐!K1277=供应商对账单!$B$4,资金台帐!P1277="应付",ISNUMBER(资金台帐!B1277),资金台帐!B1277&gt;=供应商对账单!$G$4,资金台帐!B1277&lt;=供应商对账单!$I$4),资金台帐!B1277+ROW()/100000,"")</f>
      </c>
      <c r="N2774">
        <f>IF(AND(ISNUMBER(出库明细!G2774),ISNUMBER(出库明细!E2774),ISNUMBER(出库明细!F2774)),IF(ABS(出库明细!G2774-出库明细!E2774*出库明细!F2774)&gt;0.005,1,0),0)</f>
        <v>0</v>
      </c>
    </row>
    <row r="2775">
      <c r="A2775">
        <f>IF(OR(出库明细!C1775="",出库明细!D1775=""),"",IF(OR(COUNTIFS(存条明细!$C$4:$C$1003,出库明细!C1775,存条明细!$D$4:$D$1003,出库明细!D1775)&gt;0,COUNTIFS(出库明细!$C$4:C1775,出库明细!C1775,出库明细!$D$4:D1775,出库明细!D1775)&gt;1),"",IFERROR(MATCH(出库明细!C1775,总览汇总!$B$5:$B$304,0),900)*10000000+IFERROR(MATCH(出库明细!D1775,基础资料!$E$5:$E$104,0),900)*10000+ROW()))</f>
      </c>
      <c r="F2775">
        <f>IF(AND(出库明细!C2775&lt;&gt;"",出库明细!C2775=客户对账单!$B$4,ISNUMBER(出库明细!B2775),出库明细!B2775&gt;=客户对账单!$G$4,出库明细!B2775&lt;=客户对账单!$I$4),出库明细!B2775+ROW()/100000,"")</f>
      </c>
      <c r="H2775">
        <f>IF(AND(资金台帐!K1278&lt;&gt;"",资金台帐!K1278=供应商对账单!$B$4,资金台帐!P1278="应付",ISNUMBER(资金台帐!B1278),资金台帐!B1278&gt;=供应商对账单!$G$4,资金台帐!B1278&lt;=供应商对账单!$I$4),资金台帐!B1278+ROW()/100000,"")</f>
      </c>
      <c r="N2775">
        <f>IF(AND(ISNUMBER(出库明细!G2775),ISNUMBER(出库明细!E2775),ISNUMBER(出库明细!F2775)),IF(ABS(出库明细!G2775-出库明细!E2775*出库明细!F2775)&gt;0.005,1,0),0)</f>
        <v>0</v>
      </c>
    </row>
    <row r="2776">
      <c r="A2776">
        <f>IF(OR(出库明细!C1776="",出库明细!D1776=""),"",IF(OR(COUNTIFS(存条明细!$C$4:$C$1003,出库明细!C1776,存条明细!$D$4:$D$1003,出库明细!D1776)&gt;0,COUNTIFS(出库明细!$C$4:C1776,出库明细!C1776,出库明细!$D$4:D1776,出库明细!D1776)&gt;1),"",IFERROR(MATCH(出库明细!C1776,总览汇总!$B$5:$B$304,0),900)*10000000+IFERROR(MATCH(出库明细!D1776,基础资料!$E$5:$E$104,0),900)*10000+ROW()))</f>
      </c>
      <c r="F2776">
        <f>IF(AND(出库明细!C2776&lt;&gt;"",出库明细!C2776=客户对账单!$B$4,ISNUMBER(出库明细!B2776),出库明细!B2776&gt;=客户对账单!$G$4,出库明细!B2776&lt;=客户对账单!$I$4),出库明细!B2776+ROW()/100000,"")</f>
      </c>
      <c r="H2776">
        <f>IF(AND(资金台帐!K1279&lt;&gt;"",资金台帐!K1279=供应商对账单!$B$4,资金台帐!P1279="应付",ISNUMBER(资金台帐!B1279),资金台帐!B1279&gt;=供应商对账单!$G$4,资金台帐!B1279&lt;=供应商对账单!$I$4),资金台帐!B1279+ROW()/100000,"")</f>
      </c>
      <c r="N2776">
        <f>IF(AND(ISNUMBER(出库明细!G2776),ISNUMBER(出库明细!E2776),ISNUMBER(出库明细!F2776)),IF(ABS(出库明细!G2776-出库明细!E2776*出库明细!F2776)&gt;0.005,1,0),0)</f>
        <v>0</v>
      </c>
    </row>
    <row r="2777">
      <c r="A2777">
        <f>IF(OR(出库明细!C1777="",出库明细!D1777=""),"",IF(OR(COUNTIFS(存条明细!$C$4:$C$1003,出库明细!C1777,存条明细!$D$4:$D$1003,出库明细!D1777)&gt;0,COUNTIFS(出库明细!$C$4:C1777,出库明细!C1777,出库明细!$D$4:D1777,出库明细!D1777)&gt;1),"",IFERROR(MATCH(出库明细!C1777,总览汇总!$B$5:$B$304,0),900)*10000000+IFERROR(MATCH(出库明细!D1777,基础资料!$E$5:$E$104,0),900)*10000+ROW()))</f>
      </c>
      <c r="F2777">
        <f>IF(AND(出库明细!C2777&lt;&gt;"",出库明细!C2777=客户对账单!$B$4,ISNUMBER(出库明细!B2777),出库明细!B2777&gt;=客户对账单!$G$4,出库明细!B2777&lt;=客户对账单!$I$4),出库明细!B2777+ROW()/100000,"")</f>
      </c>
      <c r="H2777">
        <f>IF(AND(资金台帐!K1280&lt;&gt;"",资金台帐!K1280=供应商对账单!$B$4,资金台帐!P1280="应付",ISNUMBER(资金台帐!B1280),资金台帐!B1280&gt;=供应商对账单!$G$4,资金台帐!B1280&lt;=供应商对账单!$I$4),资金台帐!B1280+ROW()/100000,"")</f>
      </c>
      <c r="N2777">
        <f>IF(AND(ISNUMBER(出库明细!G2777),ISNUMBER(出库明细!E2777),ISNUMBER(出库明细!F2777)),IF(ABS(出库明细!G2777-出库明细!E2777*出库明细!F2777)&gt;0.005,1,0),0)</f>
        <v>0</v>
      </c>
    </row>
    <row r="2778">
      <c r="A2778">
        <f>IF(OR(出库明细!C1778="",出库明细!D1778=""),"",IF(OR(COUNTIFS(存条明细!$C$4:$C$1003,出库明细!C1778,存条明细!$D$4:$D$1003,出库明细!D1778)&gt;0,COUNTIFS(出库明细!$C$4:C1778,出库明细!C1778,出库明细!$D$4:D1778,出库明细!D1778)&gt;1),"",IFERROR(MATCH(出库明细!C1778,总览汇总!$B$5:$B$304,0),900)*10000000+IFERROR(MATCH(出库明细!D1778,基础资料!$E$5:$E$104,0),900)*10000+ROW()))</f>
      </c>
      <c r="F2778">
        <f>IF(AND(出库明细!C2778&lt;&gt;"",出库明细!C2778=客户对账单!$B$4,ISNUMBER(出库明细!B2778),出库明细!B2778&gt;=客户对账单!$G$4,出库明细!B2778&lt;=客户对账单!$I$4),出库明细!B2778+ROW()/100000,"")</f>
      </c>
      <c r="H2778">
        <f>IF(AND(资金台帐!K1281&lt;&gt;"",资金台帐!K1281=供应商对账单!$B$4,资金台帐!P1281="应付",ISNUMBER(资金台帐!B1281),资金台帐!B1281&gt;=供应商对账单!$G$4,资金台帐!B1281&lt;=供应商对账单!$I$4),资金台帐!B1281+ROW()/100000,"")</f>
      </c>
      <c r="N2778">
        <f>IF(AND(ISNUMBER(出库明细!G2778),ISNUMBER(出库明细!E2778),ISNUMBER(出库明细!F2778)),IF(ABS(出库明细!G2778-出库明细!E2778*出库明细!F2778)&gt;0.005,1,0),0)</f>
        <v>0</v>
      </c>
    </row>
    <row r="2779">
      <c r="A2779">
        <f>IF(OR(出库明细!C1779="",出库明细!D1779=""),"",IF(OR(COUNTIFS(存条明细!$C$4:$C$1003,出库明细!C1779,存条明细!$D$4:$D$1003,出库明细!D1779)&gt;0,COUNTIFS(出库明细!$C$4:C1779,出库明细!C1779,出库明细!$D$4:D1779,出库明细!D1779)&gt;1),"",IFERROR(MATCH(出库明细!C1779,总览汇总!$B$5:$B$304,0),900)*10000000+IFERROR(MATCH(出库明细!D1779,基础资料!$E$5:$E$104,0),900)*10000+ROW()))</f>
      </c>
      <c r="F2779">
        <f>IF(AND(出库明细!C2779&lt;&gt;"",出库明细!C2779=客户对账单!$B$4,ISNUMBER(出库明细!B2779),出库明细!B2779&gt;=客户对账单!$G$4,出库明细!B2779&lt;=客户对账单!$I$4),出库明细!B2779+ROW()/100000,"")</f>
      </c>
      <c r="H2779">
        <f>IF(AND(资金台帐!K1282&lt;&gt;"",资金台帐!K1282=供应商对账单!$B$4,资金台帐!P1282="应付",ISNUMBER(资金台帐!B1282),资金台帐!B1282&gt;=供应商对账单!$G$4,资金台帐!B1282&lt;=供应商对账单!$I$4),资金台帐!B1282+ROW()/100000,"")</f>
      </c>
      <c r="N2779">
        <f>IF(AND(ISNUMBER(出库明细!G2779),ISNUMBER(出库明细!E2779),ISNUMBER(出库明细!F2779)),IF(ABS(出库明细!G2779-出库明细!E2779*出库明细!F2779)&gt;0.005,1,0),0)</f>
        <v>0</v>
      </c>
    </row>
    <row r="2780">
      <c r="A2780">
        <f>IF(OR(出库明细!C1780="",出库明细!D1780=""),"",IF(OR(COUNTIFS(存条明细!$C$4:$C$1003,出库明细!C1780,存条明细!$D$4:$D$1003,出库明细!D1780)&gt;0,COUNTIFS(出库明细!$C$4:C1780,出库明细!C1780,出库明细!$D$4:D1780,出库明细!D1780)&gt;1),"",IFERROR(MATCH(出库明细!C1780,总览汇总!$B$5:$B$304,0),900)*10000000+IFERROR(MATCH(出库明细!D1780,基础资料!$E$5:$E$104,0),900)*10000+ROW()))</f>
      </c>
      <c r="F2780">
        <f>IF(AND(出库明细!C2780&lt;&gt;"",出库明细!C2780=客户对账单!$B$4,ISNUMBER(出库明细!B2780),出库明细!B2780&gt;=客户对账单!$G$4,出库明细!B2780&lt;=客户对账单!$I$4),出库明细!B2780+ROW()/100000,"")</f>
      </c>
      <c r="H2780">
        <f>IF(AND(资金台帐!K1283&lt;&gt;"",资金台帐!K1283=供应商对账单!$B$4,资金台帐!P1283="应付",ISNUMBER(资金台帐!B1283),资金台帐!B1283&gt;=供应商对账单!$G$4,资金台帐!B1283&lt;=供应商对账单!$I$4),资金台帐!B1283+ROW()/100000,"")</f>
      </c>
      <c r="N2780">
        <f>IF(AND(ISNUMBER(出库明细!G2780),ISNUMBER(出库明细!E2780),ISNUMBER(出库明细!F2780)),IF(ABS(出库明细!G2780-出库明细!E2780*出库明细!F2780)&gt;0.005,1,0),0)</f>
        <v>0</v>
      </c>
    </row>
    <row r="2781">
      <c r="A2781">
        <f>IF(OR(出库明细!C1781="",出库明细!D1781=""),"",IF(OR(COUNTIFS(存条明细!$C$4:$C$1003,出库明细!C1781,存条明细!$D$4:$D$1003,出库明细!D1781)&gt;0,COUNTIFS(出库明细!$C$4:C1781,出库明细!C1781,出库明细!$D$4:D1781,出库明细!D1781)&gt;1),"",IFERROR(MATCH(出库明细!C1781,总览汇总!$B$5:$B$304,0),900)*10000000+IFERROR(MATCH(出库明细!D1781,基础资料!$E$5:$E$104,0),900)*10000+ROW()))</f>
      </c>
      <c r="F2781">
        <f>IF(AND(出库明细!C2781&lt;&gt;"",出库明细!C2781=客户对账单!$B$4,ISNUMBER(出库明细!B2781),出库明细!B2781&gt;=客户对账单!$G$4,出库明细!B2781&lt;=客户对账单!$I$4),出库明细!B2781+ROW()/100000,"")</f>
      </c>
      <c r="H2781">
        <f>IF(AND(资金台帐!K1284&lt;&gt;"",资金台帐!K1284=供应商对账单!$B$4,资金台帐!P1284="应付",ISNUMBER(资金台帐!B1284),资金台帐!B1284&gt;=供应商对账单!$G$4,资金台帐!B1284&lt;=供应商对账单!$I$4),资金台帐!B1284+ROW()/100000,"")</f>
      </c>
      <c r="N2781">
        <f>IF(AND(ISNUMBER(出库明细!G2781),ISNUMBER(出库明细!E2781),ISNUMBER(出库明细!F2781)),IF(ABS(出库明细!G2781-出库明细!E2781*出库明细!F2781)&gt;0.005,1,0),0)</f>
        <v>0</v>
      </c>
    </row>
    <row r="2782">
      <c r="A2782">
        <f>IF(OR(出库明细!C1782="",出库明细!D1782=""),"",IF(OR(COUNTIFS(存条明细!$C$4:$C$1003,出库明细!C1782,存条明细!$D$4:$D$1003,出库明细!D1782)&gt;0,COUNTIFS(出库明细!$C$4:C1782,出库明细!C1782,出库明细!$D$4:D1782,出库明细!D1782)&gt;1),"",IFERROR(MATCH(出库明细!C1782,总览汇总!$B$5:$B$304,0),900)*10000000+IFERROR(MATCH(出库明细!D1782,基础资料!$E$5:$E$104,0),900)*10000+ROW()))</f>
      </c>
      <c r="F2782">
        <f>IF(AND(出库明细!C2782&lt;&gt;"",出库明细!C2782=客户对账单!$B$4,ISNUMBER(出库明细!B2782),出库明细!B2782&gt;=客户对账单!$G$4,出库明细!B2782&lt;=客户对账单!$I$4),出库明细!B2782+ROW()/100000,"")</f>
      </c>
      <c r="H2782">
        <f>IF(AND(资金台帐!K1285&lt;&gt;"",资金台帐!K1285=供应商对账单!$B$4,资金台帐!P1285="应付",ISNUMBER(资金台帐!B1285),资金台帐!B1285&gt;=供应商对账单!$G$4,资金台帐!B1285&lt;=供应商对账单!$I$4),资金台帐!B1285+ROW()/100000,"")</f>
      </c>
      <c r="N2782">
        <f>IF(AND(ISNUMBER(出库明细!G2782),ISNUMBER(出库明细!E2782),ISNUMBER(出库明细!F2782)),IF(ABS(出库明细!G2782-出库明细!E2782*出库明细!F2782)&gt;0.005,1,0),0)</f>
        <v>0</v>
      </c>
    </row>
    <row r="2783">
      <c r="A2783">
        <f>IF(OR(出库明细!C1783="",出库明细!D1783=""),"",IF(OR(COUNTIFS(存条明细!$C$4:$C$1003,出库明细!C1783,存条明细!$D$4:$D$1003,出库明细!D1783)&gt;0,COUNTIFS(出库明细!$C$4:C1783,出库明细!C1783,出库明细!$D$4:D1783,出库明细!D1783)&gt;1),"",IFERROR(MATCH(出库明细!C1783,总览汇总!$B$5:$B$304,0),900)*10000000+IFERROR(MATCH(出库明细!D1783,基础资料!$E$5:$E$104,0),900)*10000+ROW()))</f>
      </c>
      <c r="F2783">
        <f>IF(AND(出库明细!C2783&lt;&gt;"",出库明细!C2783=客户对账单!$B$4,ISNUMBER(出库明细!B2783),出库明细!B2783&gt;=客户对账单!$G$4,出库明细!B2783&lt;=客户对账单!$I$4),出库明细!B2783+ROW()/100000,"")</f>
      </c>
      <c r="H2783">
        <f>IF(AND(资金台帐!K1286&lt;&gt;"",资金台帐!K1286=供应商对账单!$B$4,资金台帐!P1286="应付",ISNUMBER(资金台帐!B1286),资金台帐!B1286&gt;=供应商对账单!$G$4,资金台帐!B1286&lt;=供应商对账单!$I$4),资金台帐!B1286+ROW()/100000,"")</f>
      </c>
      <c r="N2783">
        <f>IF(AND(ISNUMBER(出库明细!G2783),ISNUMBER(出库明细!E2783),ISNUMBER(出库明细!F2783)),IF(ABS(出库明细!G2783-出库明细!E2783*出库明细!F2783)&gt;0.005,1,0),0)</f>
        <v>0</v>
      </c>
    </row>
    <row r="2784">
      <c r="A2784">
        <f>IF(OR(出库明细!C1784="",出库明细!D1784=""),"",IF(OR(COUNTIFS(存条明细!$C$4:$C$1003,出库明细!C1784,存条明细!$D$4:$D$1003,出库明细!D1784)&gt;0,COUNTIFS(出库明细!$C$4:C1784,出库明细!C1784,出库明细!$D$4:D1784,出库明细!D1784)&gt;1),"",IFERROR(MATCH(出库明细!C1784,总览汇总!$B$5:$B$304,0),900)*10000000+IFERROR(MATCH(出库明细!D1784,基础资料!$E$5:$E$104,0),900)*10000+ROW()))</f>
      </c>
      <c r="F2784">
        <f>IF(AND(出库明细!C2784&lt;&gt;"",出库明细!C2784=客户对账单!$B$4,ISNUMBER(出库明细!B2784),出库明细!B2784&gt;=客户对账单!$G$4,出库明细!B2784&lt;=客户对账单!$I$4),出库明细!B2784+ROW()/100000,"")</f>
      </c>
      <c r="H2784">
        <f>IF(AND(资金台帐!K1287&lt;&gt;"",资金台帐!K1287=供应商对账单!$B$4,资金台帐!P1287="应付",ISNUMBER(资金台帐!B1287),资金台帐!B1287&gt;=供应商对账单!$G$4,资金台帐!B1287&lt;=供应商对账单!$I$4),资金台帐!B1287+ROW()/100000,"")</f>
      </c>
      <c r="N2784">
        <f>IF(AND(ISNUMBER(出库明细!G2784),ISNUMBER(出库明细!E2784),ISNUMBER(出库明细!F2784)),IF(ABS(出库明细!G2784-出库明细!E2784*出库明细!F2784)&gt;0.005,1,0),0)</f>
        <v>0</v>
      </c>
    </row>
    <row r="2785">
      <c r="A2785">
        <f>IF(OR(出库明细!C1785="",出库明细!D1785=""),"",IF(OR(COUNTIFS(存条明细!$C$4:$C$1003,出库明细!C1785,存条明细!$D$4:$D$1003,出库明细!D1785)&gt;0,COUNTIFS(出库明细!$C$4:C1785,出库明细!C1785,出库明细!$D$4:D1785,出库明细!D1785)&gt;1),"",IFERROR(MATCH(出库明细!C1785,总览汇总!$B$5:$B$304,0),900)*10000000+IFERROR(MATCH(出库明细!D1785,基础资料!$E$5:$E$104,0),900)*10000+ROW()))</f>
      </c>
      <c r="F2785">
        <f>IF(AND(出库明细!C2785&lt;&gt;"",出库明细!C2785=客户对账单!$B$4,ISNUMBER(出库明细!B2785),出库明细!B2785&gt;=客户对账单!$G$4,出库明细!B2785&lt;=客户对账单!$I$4),出库明细!B2785+ROW()/100000,"")</f>
      </c>
      <c r="H2785">
        <f>IF(AND(资金台帐!K1288&lt;&gt;"",资金台帐!K1288=供应商对账单!$B$4,资金台帐!P1288="应付",ISNUMBER(资金台帐!B1288),资金台帐!B1288&gt;=供应商对账单!$G$4,资金台帐!B1288&lt;=供应商对账单!$I$4),资金台帐!B1288+ROW()/100000,"")</f>
      </c>
      <c r="N2785">
        <f>IF(AND(ISNUMBER(出库明细!G2785),ISNUMBER(出库明细!E2785),ISNUMBER(出库明细!F2785)),IF(ABS(出库明细!G2785-出库明细!E2785*出库明细!F2785)&gt;0.005,1,0),0)</f>
        <v>0</v>
      </c>
    </row>
    <row r="2786">
      <c r="A2786">
        <f>IF(OR(出库明细!C1786="",出库明细!D1786=""),"",IF(OR(COUNTIFS(存条明细!$C$4:$C$1003,出库明细!C1786,存条明细!$D$4:$D$1003,出库明细!D1786)&gt;0,COUNTIFS(出库明细!$C$4:C1786,出库明细!C1786,出库明细!$D$4:D1786,出库明细!D1786)&gt;1),"",IFERROR(MATCH(出库明细!C1786,总览汇总!$B$5:$B$304,0),900)*10000000+IFERROR(MATCH(出库明细!D1786,基础资料!$E$5:$E$104,0),900)*10000+ROW()))</f>
      </c>
      <c r="F2786">
        <f>IF(AND(出库明细!C2786&lt;&gt;"",出库明细!C2786=客户对账单!$B$4,ISNUMBER(出库明细!B2786),出库明细!B2786&gt;=客户对账单!$G$4,出库明细!B2786&lt;=客户对账单!$I$4),出库明细!B2786+ROW()/100000,"")</f>
      </c>
      <c r="H2786">
        <f>IF(AND(资金台帐!K1289&lt;&gt;"",资金台帐!K1289=供应商对账单!$B$4,资金台帐!P1289="应付",ISNUMBER(资金台帐!B1289),资金台帐!B1289&gt;=供应商对账单!$G$4,资金台帐!B1289&lt;=供应商对账单!$I$4),资金台帐!B1289+ROW()/100000,"")</f>
      </c>
      <c r="N2786">
        <f>IF(AND(ISNUMBER(出库明细!G2786),ISNUMBER(出库明细!E2786),ISNUMBER(出库明细!F2786)),IF(ABS(出库明细!G2786-出库明细!E2786*出库明细!F2786)&gt;0.005,1,0),0)</f>
        <v>0</v>
      </c>
    </row>
    <row r="2787">
      <c r="A2787">
        <f>IF(OR(出库明细!C1787="",出库明细!D1787=""),"",IF(OR(COUNTIFS(存条明细!$C$4:$C$1003,出库明细!C1787,存条明细!$D$4:$D$1003,出库明细!D1787)&gt;0,COUNTIFS(出库明细!$C$4:C1787,出库明细!C1787,出库明细!$D$4:D1787,出库明细!D1787)&gt;1),"",IFERROR(MATCH(出库明细!C1787,总览汇总!$B$5:$B$304,0),900)*10000000+IFERROR(MATCH(出库明细!D1787,基础资料!$E$5:$E$104,0),900)*10000+ROW()))</f>
      </c>
      <c r="F2787">
        <f>IF(AND(出库明细!C2787&lt;&gt;"",出库明细!C2787=客户对账单!$B$4,ISNUMBER(出库明细!B2787),出库明细!B2787&gt;=客户对账单!$G$4,出库明细!B2787&lt;=客户对账单!$I$4),出库明细!B2787+ROW()/100000,"")</f>
      </c>
      <c r="H2787">
        <f>IF(AND(资金台帐!K1290&lt;&gt;"",资金台帐!K1290=供应商对账单!$B$4,资金台帐!P1290="应付",ISNUMBER(资金台帐!B1290),资金台帐!B1290&gt;=供应商对账单!$G$4,资金台帐!B1290&lt;=供应商对账单!$I$4),资金台帐!B1290+ROW()/100000,"")</f>
      </c>
      <c r="N2787">
        <f>IF(AND(ISNUMBER(出库明细!G2787),ISNUMBER(出库明细!E2787),ISNUMBER(出库明细!F2787)),IF(ABS(出库明细!G2787-出库明细!E2787*出库明细!F2787)&gt;0.005,1,0),0)</f>
        <v>0</v>
      </c>
    </row>
    <row r="2788">
      <c r="A2788">
        <f>IF(OR(出库明细!C1788="",出库明细!D1788=""),"",IF(OR(COUNTIFS(存条明细!$C$4:$C$1003,出库明细!C1788,存条明细!$D$4:$D$1003,出库明细!D1788)&gt;0,COUNTIFS(出库明细!$C$4:C1788,出库明细!C1788,出库明细!$D$4:D1788,出库明细!D1788)&gt;1),"",IFERROR(MATCH(出库明细!C1788,总览汇总!$B$5:$B$304,0),900)*10000000+IFERROR(MATCH(出库明细!D1788,基础资料!$E$5:$E$104,0),900)*10000+ROW()))</f>
      </c>
      <c r="F2788">
        <f>IF(AND(出库明细!C2788&lt;&gt;"",出库明细!C2788=客户对账单!$B$4,ISNUMBER(出库明细!B2788),出库明细!B2788&gt;=客户对账单!$G$4,出库明细!B2788&lt;=客户对账单!$I$4),出库明细!B2788+ROW()/100000,"")</f>
      </c>
      <c r="H2788">
        <f>IF(AND(资金台帐!K1291&lt;&gt;"",资金台帐!K1291=供应商对账单!$B$4,资金台帐!P1291="应付",ISNUMBER(资金台帐!B1291),资金台帐!B1291&gt;=供应商对账单!$G$4,资金台帐!B1291&lt;=供应商对账单!$I$4),资金台帐!B1291+ROW()/100000,"")</f>
      </c>
      <c r="N2788">
        <f>IF(AND(ISNUMBER(出库明细!G2788),ISNUMBER(出库明细!E2788),ISNUMBER(出库明细!F2788)),IF(ABS(出库明细!G2788-出库明细!E2788*出库明细!F2788)&gt;0.005,1,0),0)</f>
        <v>0</v>
      </c>
    </row>
    <row r="2789">
      <c r="A2789">
        <f>IF(OR(出库明细!C1789="",出库明细!D1789=""),"",IF(OR(COUNTIFS(存条明细!$C$4:$C$1003,出库明细!C1789,存条明细!$D$4:$D$1003,出库明细!D1789)&gt;0,COUNTIFS(出库明细!$C$4:C1789,出库明细!C1789,出库明细!$D$4:D1789,出库明细!D1789)&gt;1),"",IFERROR(MATCH(出库明细!C1789,总览汇总!$B$5:$B$304,0),900)*10000000+IFERROR(MATCH(出库明细!D1789,基础资料!$E$5:$E$104,0),900)*10000+ROW()))</f>
      </c>
      <c r="F2789">
        <f>IF(AND(出库明细!C2789&lt;&gt;"",出库明细!C2789=客户对账单!$B$4,ISNUMBER(出库明细!B2789),出库明细!B2789&gt;=客户对账单!$G$4,出库明细!B2789&lt;=客户对账单!$I$4),出库明细!B2789+ROW()/100000,"")</f>
      </c>
      <c r="H2789">
        <f>IF(AND(资金台帐!K1292&lt;&gt;"",资金台帐!K1292=供应商对账单!$B$4,资金台帐!P1292="应付",ISNUMBER(资金台帐!B1292),资金台帐!B1292&gt;=供应商对账单!$G$4,资金台帐!B1292&lt;=供应商对账单!$I$4),资金台帐!B1292+ROW()/100000,"")</f>
      </c>
      <c r="N2789">
        <f>IF(AND(ISNUMBER(出库明细!G2789),ISNUMBER(出库明细!E2789),ISNUMBER(出库明细!F2789)),IF(ABS(出库明细!G2789-出库明细!E2789*出库明细!F2789)&gt;0.005,1,0),0)</f>
        <v>0</v>
      </c>
    </row>
    <row r="2790">
      <c r="A2790">
        <f>IF(OR(出库明细!C1790="",出库明细!D1790=""),"",IF(OR(COUNTIFS(存条明细!$C$4:$C$1003,出库明细!C1790,存条明细!$D$4:$D$1003,出库明细!D1790)&gt;0,COUNTIFS(出库明细!$C$4:C1790,出库明细!C1790,出库明细!$D$4:D1790,出库明细!D1790)&gt;1),"",IFERROR(MATCH(出库明细!C1790,总览汇总!$B$5:$B$304,0),900)*10000000+IFERROR(MATCH(出库明细!D1790,基础资料!$E$5:$E$104,0),900)*10000+ROW()))</f>
      </c>
      <c r="F2790">
        <f>IF(AND(出库明细!C2790&lt;&gt;"",出库明细!C2790=客户对账单!$B$4,ISNUMBER(出库明细!B2790),出库明细!B2790&gt;=客户对账单!$G$4,出库明细!B2790&lt;=客户对账单!$I$4),出库明细!B2790+ROW()/100000,"")</f>
      </c>
      <c r="H2790">
        <f>IF(AND(资金台帐!K1293&lt;&gt;"",资金台帐!K1293=供应商对账单!$B$4,资金台帐!P1293="应付",ISNUMBER(资金台帐!B1293),资金台帐!B1293&gt;=供应商对账单!$G$4,资金台帐!B1293&lt;=供应商对账单!$I$4),资金台帐!B1293+ROW()/100000,"")</f>
      </c>
      <c r="N2790">
        <f>IF(AND(ISNUMBER(出库明细!G2790),ISNUMBER(出库明细!E2790),ISNUMBER(出库明细!F2790)),IF(ABS(出库明细!G2790-出库明细!E2790*出库明细!F2790)&gt;0.005,1,0),0)</f>
        <v>0</v>
      </c>
    </row>
    <row r="2791">
      <c r="A2791">
        <f>IF(OR(出库明细!C1791="",出库明细!D1791=""),"",IF(OR(COUNTIFS(存条明细!$C$4:$C$1003,出库明细!C1791,存条明细!$D$4:$D$1003,出库明细!D1791)&gt;0,COUNTIFS(出库明细!$C$4:C1791,出库明细!C1791,出库明细!$D$4:D1791,出库明细!D1791)&gt;1),"",IFERROR(MATCH(出库明细!C1791,总览汇总!$B$5:$B$304,0),900)*10000000+IFERROR(MATCH(出库明细!D1791,基础资料!$E$5:$E$104,0),900)*10000+ROW()))</f>
      </c>
      <c r="F2791">
        <f>IF(AND(出库明细!C2791&lt;&gt;"",出库明细!C2791=客户对账单!$B$4,ISNUMBER(出库明细!B2791),出库明细!B2791&gt;=客户对账单!$G$4,出库明细!B2791&lt;=客户对账单!$I$4),出库明细!B2791+ROW()/100000,"")</f>
      </c>
      <c r="H2791">
        <f>IF(AND(资金台帐!K1294&lt;&gt;"",资金台帐!K1294=供应商对账单!$B$4,资金台帐!P1294="应付",ISNUMBER(资金台帐!B1294),资金台帐!B1294&gt;=供应商对账单!$G$4,资金台帐!B1294&lt;=供应商对账单!$I$4),资金台帐!B1294+ROW()/100000,"")</f>
      </c>
      <c r="N2791">
        <f>IF(AND(ISNUMBER(出库明细!G2791),ISNUMBER(出库明细!E2791),ISNUMBER(出库明细!F2791)),IF(ABS(出库明细!G2791-出库明细!E2791*出库明细!F2791)&gt;0.005,1,0),0)</f>
        <v>0</v>
      </c>
    </row>
    <row r="2792">
      <c r="A2792">
        <f>IF(OR(出库明细!C1792="",出库明细!D1792=""),"",IF(OR(COUNTIFS(存条明细!$C$4:$C$1003,出库明细!C1792,存条明细!$D$4:$D$1003,出库明细!D1792)&gt;0,COUNTIFS(出库明细!$C$4:C1792,出库明细!C1792,出库明细!$D$4:D1792,出库明细!D1792)&gt;1),"",IFERROR(MATCH(出库明细!C1792,总览汇总!$B$5:$B$304,0),900)*10000000+IFERROR(MATCH(出库明细!D1792,基础资料!$E$5:$E$104,0),900)*10000+ROW()))</f>
      </c>
      <c r="F2792">
        <f>IF(AND(出库明细!C2792&lt;&gt;"",出库明细!C2792=客户对账单!$B$4,ISNUMBER(出库明细!B2792),出库明细!B2792&gt;=客户对账单!$G$4,出库明细!B2792&lt;=客户对账单!$I$4),出库明细!B2792+ROW()/100000,"")</f>
      </c>
      <c r="H2792">
        <f>IF(AND(资金台帐!K1295&lt;&gt;"",资金台帐!K1295=供应商对账单!$B$4,资金台帐!P1295="应付",ISNUMBER(资金台帐!B1295),资金台帐!B1295&gt;=供应商对账单!$G$4,资金台帐!B1295&lt;=供应商对账单!$I$4),资金台帐!B1295+ROW()/100000,"")</f>
      </c>
      <c r="N2792">
        <f>IF(AND(ISNUMBER(出库明细!G2792),ISNUMBER(出库明细!E2792),ISNUMBER(出库明细!F2792)),IF(ABS(出库明细!G2792-出库明细!E2792*出库明细!F2792)&gt;0.005,1,0),0)</f>
        <v>0</v>
      </c>
    </row>
    <row r="2793">
      <c r="A2793">
        <f>IF(OR(出库明细!C1793="",出库明细!D1793=""),"",IF(OR(COUNTIFS(存条明细!$C$4:$C$1003,出库明细!C1793,存条明细!$D$4:$D$1003,出库明细!D1793)&gt;0,COUNTIFS(出库明细!$C$4:C1793,出库明细!C1793,出库明细!$D$4:D1793,出库明细!D1793)&gt;1),"",IFERROR(MATCH(出库明细!C1793,总览汇总!$B$5:$B$304,0),900)*10000000+IFERROR(MATCH(出库明细!D1793,基础资料!$E$5:$E$104,0),900)*10000+ROW()))</f>
      </c>
      <c r="F2793">
        <f>IF(AND(出库明细!C2793&lt;&gt;"",出库明细!C2793=客户对账单!$B$4,ISNUMBER(出库明细!B2793),出库明细!B2793&gt;=客户对账单!$G$4,出库明细!B2793&lt;=客户对账单!$I$4),出库明细!B2793+ROW()/100000,"")</f>
      </c>
      <c r="H2793">
        <f>IF(AND(资金台帐!K1296&lt;&gt;"",资金台帐!K1296=供应商对账单!$B$4,资金台帐!P1296="应付",ISNUMBER(资金台帐!B1296),资金台帐!B1296&gt;=供应商对账单!$G$4,资金台帐!B1296&lt;=供应商对账单!$I$4),资金台帐!B1296+ROW()/100000,"")</f>
      </c>
      <c r="N2793">
        <f>IF(AND(ISNUMBER(出库明细!G2793),ISNUMBER(出库明细!E2793),ISNUMBER(出库明细!F2793)),IF(ABS(出库明细!G2793-出库明细!E2793*出库明细!F2793)&gt;0.005,1,0),0)</f>
        <v>0</v>
      </c>
    </row>
    <row r="2794">
      <c r="A2794">
        <f>IF(OR(出库明细!C1794="",出库明细!D1794=""),"",IF(OR(COUNTIFS(存条明细!$C$4:$C$1003,出库明细!C1794,存条明细!$D$4:$D$1003,出库明细!D1794)&gt;0,COUNTIFS(出库明细!$C$4:C1794,出库明细!C1794,出库明细!$D$4:D1794,出库明细!D1794)&gt;1),"",IFERROR(MATCH(出库明细!C1794,总览汇总!$B$5:$B$304,0),900)*10000000+IFERROR(MATCH(出库明细!D1794,基础资料!$E$5:$E$104,0),900)*10000+ROW()))</f>
      </c>
      <c r="F2794">
        <f>IF(AND(出库明细!C2794&lt;&gt;"",出库明细!C2794=客户对账单!$B$4,ISNUMBER(出库明细!B2794),出库明细!B2794&gt;=客户对账单!$G$4,出库明细!B2794&lt;=客户对账单!$I$4),出库明细!B2794+ROW()/100000,"")</f>
      </c>
      <c r="H2794">
        <f>IF(AND(资金台帐!K1297&lt;&gt;"",资金台帐!K1297=供应商对账单!$B$4,资金台帐!P1297="应付",ISNUMBER(资金台帐!B1297),资金台帐!B1297&gt;=供应商对账单!$G$4,资金台帐!B1297&lt;=供应商对账单!$I$4),资金台帐!B1297+ROW()/100000,"")</f>
      </c>
      <c r="N2794">
        <f>IF(AND(ISNUMBER(出库明细!G2794),ISNUMBER(出库明细!E2794),ISNUMBER(出库明细!F2794)),IF(ABS(出库明细!G2794-出库明细!E2794*出库明细!F2794)&gt;0.005,1,0),0)</f>
        <v>0</v>
      </c>
    </row>
    <row r="2795">
      <c r="A2795">
        <f>IF(OR(出库明细!C1795="",出库明细!D1795=""),"",IF(OR(COUNTIFS(存条明细!$C$4:$C$1003,出库明细!C1795,存条明细!$D$4:$D$1003,出库明细!D1795)&gt;0,COUNTIFS(出库明细!$C$4:C1795,出库明细!C1795,出库明细!$D$4:D1795,出库明细!D1795)&gt;1),"",IFERROR(MATCH(出库明细!C1795,总览汇总!$B$5:$B$304,0),900)*10000000+IFERROR(MATCH(出库明细!D1795,基础资料!$E$5:$E$104,0),900)*10000+ROW()))</f>
      </c>
      <c r="F2795">
        <f>IF(AND(出库明细!C2795&lt;&gt;"",出库明细!C2795=客户对账单!$B$4,ISNUMBER(出库明细!B2795),出库明细!B2795&gt;=客户对账单!$G$4,出库明细!B2795&lt;=客户对账单!$I$4),出库明细!B2795+ROW()/100000,"")</f>
      </c>
      <c r="H2795">
        <f>IF(AND(资金台帐!K1298&lt;&gt;"",资金台帐!K1298=供应商对账单!$B$4,资金台帐!P1298="应付",ISNUMBER(资金台帐!B1298),资金台帐!B1298&gt;=供应商对账单!$G$4,资金台帐!B1298&lt;=供应商对账单!$I$4),资金台帐!B1298+ROW()/100000,"")</f>
      </c>
      <c r="N2795">
        <f>IF(AND(ISNUMBER(出库明细!G2795),ISNUMBER(出库明细!E2795),ISNUMBER(出库明细!F2795)),IF(ABS(出库明细!G2795-出库明细!E2795*出库明细!F2795)&gt;0.005,1,0),0)</f>
        <v>0</v>
      </c>
    </row>
    <row r="2796">
      <c r="A2796">
        <f>IF(OR(出库明细!C1796="",出库明细!D1796=""),"",IF(OR(COUNTIFS(存条明细!$C$4:$C$1003,出库明细!C1796,存条明细!$D$4:$D$1003,出库明细!D1796)&gt;0,COUNTIFS(出库明细!$C$4:C1796,出库明细!C1796,出库明细!$D$4:D1796,出库明细!D1796)&gt;1),"",IFERROR(MATCH(出库明细!C1796,总览汇总!$B$5:$B$304,0),900)*10000000+IFERROR(MATCH(出库明细!D1796,基础资料!$E$5:$E$104,0),900)*10000+ROW()))</f>
      </c>
      <c r="F2796">
        <f>IF(AND(出库明细!C2796&lt;&gt;"",出库明细!C2796=客户对账单!$B$4,ISNUMBER(出库明细!B2796),出库明细!B2796&gt;=客户对账单!$G$4,出库明细!B2796&lt;=客户对账单!$I$4),出库明细!B2796+ROW()/100000,"")</f>
      </c>
      <c r="H2796">
        <f>IF(AND(资金台帐!K1299&lt;&gt;"",资金台帐!K1299=供应商对账单!$B$4,资金台帐!P1299="应付",ISNUMBER(资金台帐!B1299),资金台帐!B1299&gt;=供应商对账单!$G$4,资金台帐!B1299&lt;=供应商对账单!$I$4),资金台帐!B1299+ROW()/100000,"")</f>
      </c>
      <c r="N2796">
        <f>IF(AND(ISNUMBER(出库明细!G2796),ISNUMBER(出库明细!E2796),ISNUMBER(出库明细!F2796)),IF(ABS(出库明细!G2796-出库明细!E2796*出库明细!F2796)&gt;0.005,1,0),0)</f>
        <v>0</v>
      </c>
    </row>
    <row r="2797">
      <c r="A2797">
        <f>IF(OR(出库明细!C1797="",出库明细!D1797=""),"",IF(OR(COUNTIFS(存条明细!$C$4:$C$1003,出库明细!C1797,存条明细!$D$4:$D$1003,出库明细!D1797)&gt;0,COUNTIFS(出库明细!$C$4:C1797,出库明细!C1797,出库明细!$D$4:D1797,出库明细!D1797)&gt;1),"",IFERROR(MATCH(出库明细!C1797,总览汇总!$B$5:$B$304,0),900)*10000000+IFERROR(MATCH(出库明细!D1797,基础资料!$E$5:$E$104,0),900)*10000+ROW()))</f>
      </c>
      <c r="F2797">
        <f>IF(AND(出库明细!C2797&lt;&gt;"",出库明细!C2797=客户对账单!$B$4,ISNUMBER(出库明细!B2797),出库明细!B2797&gt;=客户对账单!$G$4,出库明细!B2797&lt;=客户对账单!$I$4),出库明细!B2797+ROW()/100000,"")</f>
      </c>
      <c r="H2797">
        <f>IF(AND(资金台帐!K1300&lt;&gt;"",资金台帐!K1300=供应商对账单!$B$4,资金台帐!P1300="应付",ISNUMBER(资金台帐!B1300),资金台帐!B1300&gt;=供应商对账单!$G$4,资金台帐!B1300&lt;=供应商对账单!$I$4),资金台帐!B1300+ROW()/100000,"")</f>
      </c>
      <c r="N2797">
        <f>IF(AND(ISNUMBER(出库明细!G2797),ISNUMBER(出库明细!E2797),ISNUMBER(出库明细!F2797)),IF(ABS(出库明细!G2797-出库明细!E2797*出库明细!F2797)&gt;0.005,1,0),0)</f>
        <v>0</v>
      </c>
    </row>
    <row r="2798">
      <c r="A2798">
        <f>IF(OR(出库明细!C1798="",出库明细!D1798=""),"",IF(OR(COUNTIFS(存条明细!$C$4:$C$1003,出库明细!C1798,存条明细!$D$4:$D$1003,出库明细!D1798)&gt;0,COUNTIFS(出库明细!$C$4:C1798,出库明细!C1798,出库明细!$D$4:D1798,出库明细!D1798)&gt;1),"",IFERROR(MATCH(出库明细!C1798,总览汇总!$B$5:$B$304,0),900)*10000000+IFERROR(MATCH(出库明细!D1798,基础资料!$E$5:$E$104,0),900)*10000+ROW()))</f>
      </c>
      <c r="F2798">
        <f>IF(AND(出库明细!C2798&lt;&gt;"",出库明细!C2798=客户对账单!$B$4,ISNUMBER(出库明细!B2798),出库明细!B2798&gt;=客户对账单!$G$4,出库明细!B2798&lt;=客户对账单!$I$4),出库明细!B2798+ROW()/100000,"")</f>
      </c>
      <c r="H2798">
        <f>IF(AND(资金台帐!K1301&lt;&gt;"",资金台帐!K1301=供应商对账单!$B$4,资金台帐!P1301="应付",ISNUMBER(资金台帐!B1301),资金台帐!B1301&gt;=供应商对账单!$G$4,资金台帐!B1301&lt;=供应商对账单!$I$4),资金台帐!B1301+ROW()/100000,"")</f>
      </c>
      <c r="N2798">
        <f>IF(AND(ISNUMBER(出库明细!G2798),ISNUMBER(出库明细!E2798),ISNUMBER(出库明细!F2798)),IF(ABS(出库明细!G2798-出库明细!E2798*出库明细!F2798)&gt;0.005,1,0),0)</f>
        <v>0</v>
      </c>
    </row>
    <row r="2799">
      <c r="A2799">
        <f>IF(OR(出库明细!C1799="",出库明细!D1799=""),"",IF(OR(COUNTIFS(存条明细!$C$4:$C$1003,出库明细!C1799,存条明细!$D$4:$D$1003,出库明细!D1799)&gt;0,COUNTIFS(出库明细!$C$4:C1799,出库明细!C1799,出库明细!$D$4:D1799,出库明细!D1799)&gt;1),"",IFERROR(MATCH(出库明细!C1799,总览汇总!$B$5:$B$304,0),900)*10000000+IFERROR(MATCH(出库明细!D1799,基础资料!$E$5:$E$104,0),900)*10000+ROW()))</f>
      </c>
      <c r="F2799">
        <f>IF(AND(出库明细!C2799&lt;&gt;"",出库明细!C2799=客户对账单!$B$4,ISNUMBER(出库明细!B2799),出库明细!B2799&gt;=客户对账单!$G$4,出库明细!B2799&lt;=客户对账单!$I$4),出库明细!B2799+ROW()/100000,"")</f>
      </c>
      <c r="H2799">
        <f>IF(AND(资金台帐!K1302&lt;&gt;"",资金台帐!K1302=供应商对账单!$B$4,资金台帐!P1302="应付",ISNUMBER(资金台帐!B1302),资金台帐!B1302&gt;=供应商对账单!$G$4,资金台帐!B1302&lt;=供应商对账单!$I$4),资金台帐!B1302+ROW()/100000,"")</f>
      </c>
      <c r="N2799">
        <f>IF(AND(ISNUMBER(出库明细!G2799),ISNUMBER(出库明细!E2799),ISNUMBER(出库明细!F2799)),IF(ABS(出库明细!G2799-出库明细!E2799*出库明细!F2799)&gt;0.005,1,0),0)</f>
        <v>0</v>
      </c>
    </row>
    <row r="2800">
      <c r="A2800">
        <f>IF(OR(出库明细!C1800="",出库明细!D1800=""),"",IF(OR(COUNTIFS(存条明细!$C$4:$C$1003,出库明细!C1800,存条明细!$D$4:$D$1003,出库明细!D1800)&gt;0,COUNTIFS(出库明细!$C$4:C1800,出库明细!C1800,出库明细!$D$4:D1800,出库明细!D1800)&gt;1),"",IFERROR(MATCH(出库明细!C1800,总览汇总!$B$5:$B$304,0),900)*10000000+IFERROR(MATCH(出库明细!D1800,基础资料!$E$5:$E$104,0),900)*10000+ROW()))</f>
      </c>
      <c r="F2800">
        <f>IF(AND(出库明细!C2800&lt;&gt;"",出库明细!C2800=客户对账单!$B$4,ISNUMBER(出库明细!B2800),出库明细!B2800&gt;=客户对账单!$G$4,出库明细!B2800&lt;=客户对账单!$I$4),出库明细!B2800+ROW()/100000,"")</f>
      </c>
      <c r="H2800">
        <f>IF(AND(资金台帐!K1303&lt;&gt;"",资金台帐!K1303=供应商对账单!$B$4,资金台帐!P1303="应付",ISNUMBER(资金台帐!B1303),资金台帐!B1303&gt;=供应商对账单!$G$4,资金台帐!B1303&lt;=供应商对账单!$I$4),资金台帐!B1303+ROW()/100000,"")</f>
      </c>
      <c r="N2800">
        <f>IF(AND(ISNUMBER(出库明细!G2800),ISNUMBER(出库明细!E2800),ISNUMBER(出库明细!F2800)),IF(ABS(出库明细!G2800-出库明细!E2800*出库明细!F2800)&gt;0.005,1,0),0)</f>
        <v>0</v>
      </c>
    </row>
    <row r="2801">
      <c r="A2801">
        <f>IF(OR(出库明细!C1801="",出库明细!D1801=""),"",IF(OR(COUNTIFS(存条明细!$C$4:$C$1003,出库明细!C1801,存条明细!$D$4:$D$1003,出库明细!D1801)&gt;0,COUNTIFS(出库明细!$C$4:C1801,出库明细!C1801,出库明细!$D$4:D1801,出库明细!D1801)&gt;1),"",IFERROR(MATCH(出库明细!C1801,总览汇总!$B$5:$B$304,0),900)*10000000+IFERROR(MATCH(出库明细!D1801,基础资料!$E$5:$E$104,0),900)*10000+ROW()))</f>
      </c>
      <c r="F2801">
        <f>IF(AND(出库明细!C2801&lt;&gt;"",出库明细!C2801=客户对账单!$B$4,ISNUMBER(出库明细!B2801),出库明细!B2801&gt;=客户对账单!$G$4,出库明细!B2801&lt;=客户对账单!$I$4),出库明细!B2801+ROW()/100000,"")</f>
      </c>
      <c r="H2801">
        <f>IF(AND(资金台帐!K1304&lt;&gt;"",资金台帐!K1304=供应商对账单!$B$4,资金台帐!P1304="应付",ISNUMBER(资金台帐!B1304),资金台帐!B1304&gt;=供应商对账单!$G$4,资金台帐!B1304&lt;=供应商对账单!$I$4),资金台帐!B1304+ROW()/100000,"")</f>
      </c>
      <c r="N2801">
        <f>IF(AND(ISNUMBER(出库明细!G2801),ISNUMBER(出库明细!E2801),ISNUMBER(出库明细!F2801)),IF(ABS(出库明细!G2801-出库明细!E2801*出库明细!F2801)&gt;0.005,1,0),0)</f>
        <v>0</v>
      </c>
    </row>
    <row r="2802">
      <c r="A2802">
        <f>IF(OR(出库明细!C1802="",出库明细!D1802=""),"",IF(OR(COUNTIFS(存条明细!$C$4:$C$1003,出库明细!C1802,存条明细!$D$4:$D$1003,出库明细!D1802)&gt;0,COUNTIFS(出库明细!$C$4:C1802,出库明细!C1802,出库明细!$D$4:D1802,出库明细!D1802)&gt;1),"",IFERROR(MATCH(出库明细!C1802,总览汇总!$B$5:$B$304,0),900)*10000000+IFERROR(MATCH(出库明细!D1802,基础资料!$E$5:$E$104,0),900)*10000+ROW()))</f>
      </c>
      <c r="F2802">
        <f>IF(AND(出库明细!C2802&lt;&gt;"",出库明细!C2802=客户对账单!$B$4,ISNUMBER(出库明细!B2802),出库明细!B2802&gt;=客户对账单!$G$4,出库明细!B2802&lt;=客户对账单!$I$4),出库明细!B2802+ROW()/100000,"")</f>
      </c>
      <c r="H2802">
        <f>IF(AND(资金台帐!K1305&lt;&gt;"",资金台帐!K1305=供应商对账单!$B$4,资金台帐!P1305="应付",ISNUMBER(资金台帐!B1305),资金台帐!B1305&gt;=供应商对账单!$G$4,资金台帐!B1305&lt;=供应商对账单!$I$4),资金台帐!B1305+ROW()/100000,"")</f>
      </c>
      <c r="N2802">
        <f>IF(AND(ISNUMBER(出库明细!G2802),ISNUMBER(出库明细!E2802),ISNUMBER(出库明细!F2802)),IF(ABS(出库明细!G2802-出库明细!E2802*出库明细!F2802)&gt;0.005,1,0),0)</f>
        <v>0</v>
      </c>
    </row>
    <row r="2803">
      <c r="A2803">
        <f>IF(OR(出库明细!C1803="",出库明细!D1803=""),"",IF(OR(COUNTIFS(存条明细!$C$4:$C$1003,出库明细!C1803,存条明细!$D$4:$D$1003,出库明细!D1803)&gt;0,COUNTIFS(出库明细!$C$4:C1803,出库明细!C1803,出库明细!$D$4:D1803,出库明细!D1803)&gt;1),"",IFERROR(MATCH(出库明细!C1803,总览汇总!$B$5:$B$304,0),900)*10000000+IFERROR(MATCH(出库明细!D1803,基础资料!$E$5:$E$104,0),900)*10000+ROW()))</f>
      </c>
      <c r="F2803">
        <f>IF(AND(出库明细!C2803&lt;&gt;"",出库明细!C2803=客户对账单!$B$4,ISNUMBER(出库明细!B2803),出库明细!B2803&gt;=客户对账单!$G$4,出库明细!B2803&lt;=客户对账单!$I$4),出库明细!B2803+ROW()/100000,"")</f>
      </c>
      <c r="H2803">
        <f>IF(AND(资金台帐!K1306&lt;&gt;"",资金台帐!K1306=供应商对账单!$B$4,资金台帐!P1306="应付",ISNUMBER(资金台帐!B1306),资金台帐!B1306&gt;=供应商对账单!$G$4,资金台帐!B1306&lt;=供应商对账单!$I$4),资金台帐!B1306+ROW()/100000,"")</f>
      </c>
      <c r="N2803">
        <f>IF(AND(ISNUMBER(出库明细!G2803),ISNUMBER(出库明细!E2803),ISNUMBER(出库明细!F2803)),IF(ABS(出库明细!G2803-出库明细!E2803*出库明细!F2803)&gt;0.005,1,0),0)</f>
        <v>0</v>
      </c>
    </row>
    <row r="2804">
      <c r="A2804">
        <f>IF(OR(出库明细!C1804="",出库明细!D1804=""),"",IF(OR(COUNTIFS(存条明细!$C$4:$C$1003,出库明细!C1804,存条明细!$D$4:$D$1003,出库明细!D1804)&gt;0,COUNTIFS(出库明细!$C$4:C1804,出库明细!C1804,出库明细!$D$4:D1804,出库明细!D1804)&gt;1),"",IFERROR(MATCH(出库明细!C1804,总览汇总!$B$5:$B$304,0),900)*10000000+IFERROR(MATCH(出库明细!D1804,基础资料!$E$5:$E$104,0),900)*10000+ROW()))</f>
      </c>
      <c r="F2804">
        <f>IF(AND(出库明细!C2804&lt;&gt;"",出库明细!C2804=客户对账单!$B$4,ISNUMBER(出库明细!B2804),出库明细!B2804&gt;=客户对账单!$G$4,出库明细!B2804&lt;=客户对账单!$I$4),出库明细!B2804+ROW()/100000,"")</f>
      </c>
      <c r="H2804">
        <f>IF(AND(资金台帐!K1307&lt;&gt;"",资金台帐!K1307=供应商对账单!$B$4,资金台帐!P1307="应付",ISNUMBER(资金台帐!B1307),资金台帐!B1307&gt;=供应商对账单!$G$4,资金台帐!B1307&lt;=供应商对账单!$I$4),资金台帐!B1307+ROW()/100000,"")</f>
      </c>
      <c r="N2804">
        <f>IF(AND(ISNUMBER(出库明细!G2804),ISNUMBER(出库明细!E2804),ISNUMBER(出库明细!F2804)),IF(ABS(出库明细!G2804-出库明细!E2804*出库明细!F2804)&gt;0.005,1,0),0)</f>
        <v>0</v>
      </c>
    </row>
    <row r="2805">
      <c r="A2805">
        <f>IF(OR(出库明细!C1805="",出库明细!D1805=""),"",IF(OR(COUNTIFS(存条明细!$C$4:$C$1003,出库明细!C1805,存条明细!$D$4:$D$1003,出库明细!D1805)&gt;0,COUNTIFS(出库明细!$C$4:C1805,出库明细!C1805,出库明细!$D$4:D1805,出库明细!D1805)&gt;1),"",IFERROR(MATCH(出库明细!C1805,总览汇总!$B$5:$B$304,0),900)*10000000+IFERROR(MATCH(出库明细!D1805,基础资料!$E$5:$E$104,0),900)*10000+ROW()))</f>
      </c>
      <c r="F2805">
        <f>IF(AND(出库明细!C2805&lt;&gt;"",出库明细!C2805=客户对账单!$B$4,ISNUMBER(出库明细!B2805),出库明细!B2805&gt;=客户对账单!$G$4,出库明细!B2805&lt;=客户对账单!$I$4),出库明细!B2805+ROW()/100000,"")</f>
      </c>
      <c r="H2805">
        <f>IF(AND(资金台帐!K1308&lt;&gt;"",资金台帐!K1308=供应商对账单!$B$4,资金台帐!P1308="应付",ISNUMBER(资金台帐!B1308),资金台帐!B1308&gt;=供应商对账单!$G$4,资金台帐!B1308&lt;=供应商对账单!$I$4),资金台帐!B1308+ROW()/100000,"")</f>
      </c>
      <c r="N2805">
        <f>IF(AND(ISNUMBER(出库明细!G2805),ISNUMBER(出库明细!E2805),ISNUMBER(出库明细!F2805)),IF(ABS(出库明细!G2805-出库明细!E2805*出库明细!F2805)&gt;0.005,1,0),0)</f>
        <v>0</v>
      </c>
    </row>
    <row r="2806">
      <c r="A2806">
        <f>IF(OR(出库明细!C1806="",出库明细!D1806=""),"",IF(OR(COUNTIFS(存条明细!$C$4:$C$1003,出库明细!C1806,存条明细!$D$4:$D$1003,出库明细!D1806)&gt;0,COUNTIFS(出库明细!$C$4:C1806,出库明细!C1806,出库明细!$D$4:D1806,出库明细!D1806)&gt;1),"",IFERROR(MATCH(出库明细!C1806,总览汇总!$B$5:$B$304,0),900)*10000000+IFERROR(MATCH(出库明细!D1806,基础资料!$E$5:$E$104,0),900)*10000+ROW()))</f>
      </c>
      <c r="F2806">
        <f>IF(AND(出库明细!C2806&lt;&gt;"",出库明细!C2806=客户对账单!$B$4,ISNUMBER(出库明细!B2806),出库明细!B2806&gt;=客户对账单!$G$4,出库明细!B2806&lt;=客户对账单!$I$4),出库明细!B2806+ROW()/100000,"")</f>
      </c>
      <c r="H2806">
        <f>IF(AND(资金台帐!K1309&lt;&gt;"",资金台帐!K1309=供应商对账单!$B$4,资金台帐!P1309="应付",ISNUMBER(资金台帐!B1309),资金台帐!B1309&gt;=供应商对账单!$G$4,资金台帐!B1309&lt;=供应商对账单!$I$4),资金台帐!B1309+ROW()/100000,"")</f>
      </c>
      <c r="N2806">
        <f>IF(AND(ISNUMBER(出库明细!G2806),ISNUMBER(出库明细!E2806),ISNUMBER(出库明细!F2806)),IF(ABS(出库明细!G2806-出库明细!E2806*出库明细!F2806)&gt;0.005,1,0),0)</f>
        <v>0</v>
      </c>
    </row>
    <row r="2807">
      <c r="A2807">
        <f>IF(OR(出库明细!C1807="",出库明细!D1807=""),"",IF(OR(COUNTIFS(存条明细!$C$4:$C$1003,出库明细!C1807,存条明细!$D$4:$D$1003,出库明细!D1807)&gt;0,COUNTIFS(出库明细!$C$4:C1807,出库明细!C1807,出库明细!$D$4:D1807,出库明细!D1807)&gt;1),"",IFERROR(MATCH(出库明细!C1807,总览汇总!$B$5:$B$304,0),900)*10000000+IFERROR(MATCH(出库明细!D1807,基础资料!$E$5:$E$104,0),900)*10000+ROW()))</f>
      </c>
      <c r="F2807">
        <f>IF(AND(出库明细!C2807&lt;&gt;"",出库明细!C2807=客户对账单!$B$4,ISNUMBER(出库明细!B2807),出库明细!B2807&gt;=客户对账单!$G$4,出库明细!B2807&lt;=客户对账单!$I$4),出库明细!B2807+ROW()/100000,"")</f>
      </c>
      <c r="H2807">
        <f>IF(AND(资金台帐!K1310&lt;&gt;"",资金台帐!K1310=供应商对账单!$B$4,资金台帐!P1310="应付",ISNUMBER(资金台帐!B1310),资金台帐!B1310&gt;=供应商对账单!$G$4,资金台帐!B1310&lt;=供应商对账单!$I$4),资金台帐!B1310+ROW()/100000,"")</f>
      </c>
      <c r="N2807">
        <f>IF(AND(ISNUMBER(出库明细!G2807),ISNUMBER(出库明细!E2807),ISNUMBER(出库明细!F2807)),IF(ABS(出库明细!G2807-出库明细!E2807*出库明细!F2807)&gt;0.005,1,0),0)</f>
        <v>0</v>
      </c>
    </row>
    <row r="2808">
      <c r="A2808">
        <f>IF(OR(出库明细!C1808="",出库明细!D1808=""),"",IF(OR(COUNTIFS(存条明细!$C$4:$C$1003,出库明细!C1808,存条明细!$D$4:$D$1003,出库明细!D1808)&gt;0,COUNTIFS(出库明细!$C$4:C1808,出库明细!C1808,出库明细!$D$4:D1808,出库明细!D1808)&gt;1),"",IFERROR(MATCH(出库明细!C1808,总览汇总!$B$5:$B$304,0),900)*10000000+IFERROR(MATCH(出库明细!D1808,基础资料!$E$5:$E$104,0),900)*10000+ROW()))</f>
      </c>
      <c r="F2808">
        <f>IF(AND(出库明细!C2808&lt;&gt;"",出库明细!C2808=客户对账单!$B$4,ISNUMBER(出库明细!B2808),出库明细!B2808&gt;=客户对账单!$G$4,出库明细!B2808&lt;=客户对账单!$I$4),出库明细!B2808+ROW()/100000,"")</f>
      </c>
      <c r="H2808">
        <f>IF(AND(资金台帐!K1311&lt;&gt;"",资金台帐!K1311=供应商对账单!$B$4,资金台帐!P1311="应付",ISNUMBER(资金台帐!B1311),资金台帐!B1311&gt;=供应商对账单!$G$4,资金台帐!B1311&lt;=供应商对账单!$I$4),资金台帐!B1311+ROW()/100000,"")</f>
      </c>
      <c r="N2808">
        <f>IF(AND(ISNUMBER(出库明细!G2808),ISNUMBER(出库明细!E2808),ISNUMBER(出库明细!F2808)),IF(ABS(出库明细!G2808-出库明细!E2808*出库明细!F2808)&gt;0.005,1,0),0)</f>
        <v>0</v>
      </c>
    </row>
    <row r="2809">
      <c r="A2809">
        <f>IF(OR(出库明细!C1809="",出库明细!D1809=""),"",IF(OR(COUNTIFS(存条明细!$C$4:$C$1003,出库明细!C1809,存条明细!$D$4:$D$1003,出库明细!D1809)&gt;0,COUNTIFS(出库明细!$C$4:C1809,出库明细!C1809,出库明细!$D$4:D1809,出库明细!D1809)&gt;1),"",IFERROR(MATCH(出库明细!C1809,总览汇总!$B$5:$B$304,0),900)*10000000+IFERROR(MATCH(出库明细!D1809,基础资料!$E$5:$E$104,0),900)*10000+ROW()))</f>
      </c>
      <c r="F2809">
        <f>IF(AND(出库明细!C2809&lt;&gt;"",出库明细!C2809=客户对账单!$B$4,ISNUMBER(出库明细!B2809),出库明细!B2809&gt;=客户对账单!$G$4,出库明细!B2809&lt;=客户对账单!$I$4),出库明细!B2809+ROW()/100000,"")</f>
      </c>
      <c r="H2809">
        <f>IF(AND(资金台帐!K1312&lt;&gt;"",资金台帐!K1312=供应商对账单!$B$4,资金台帐!P1312="应付",ISNUMBER(资金台帐!B1312),资金台帐!B1312&gt;=供应商对账单!$G$4,资金台帐!B1312&lt;=供应商对账单!$I$4),资金台帐!B1312+ROW()/100000,"")</f>
      </c>
      <c r="N2809">
        <f>IF(AND(ISNUMBER(出库明细!G2809),ISNUMBER(出库明细!E2809),ISNUMBER(出库明细!F2809)),IF(ABS(出库明细!G2809-出库明细!E2809*出库明细!F2809)&gt;0.005,1,0),0)</f>
        <v>0</v>
      </c>
    </row>
    <row r="2810">
      <c r="A2810">
        <f>IF(OR(出库明细!C1810="",出库明细!D1810=""),"",IF(OR(COUNTIFS(存条明细!$C$4:$C$1003,出库明细!C1810,存条明细!$D$4:$D$1003,出库明细!D1810)&gt;0,COUNTIFS(出库明细!$C$4:C1810,出库明细!C1810,出库明细!$D$4:D1810,出库明细!D1810)&gt;1),"",IFERROR(MATCH(出库明细!C1810,总览汇总!$B$5:$B$304,0),900)*10000000+IFERROR(MATCH(出库明细!D1810,基础资料!$E$5:$E$104,0),900)*10000+ROW()))</f>
      </c>
      <c r="F2810">
        <f>IF(AND(出库明细!C2810&lt;&gt;"",出库明细!C2810=客户对账单!$B$4,ISNUMBER(出库明细!B2810),出库明细!B2810&gt;=客户对账单!$G$4,出库明细!B2810&lt;=客户对账单!$I$4),出库明细!B2810+ROW()/100000,"")</f>
      </c>
      <c r="H2810">
        <f>IF(AND(资金台帐!K1313&lt;&gt;"",资金台帐!K1313=供应商对账单!$B$4,资金台帐!P1313="应付",ISNUMBER(资金台帐!B1313),资金台帐!B1313&gt;=供应商对账单!$G$4,资金台帐!B1313&lt;=供应商对账单!$I$4),资金台帐!B1313+ROW()/100000,"")</f>
      </c>
      <c r="N2810">
        <f>IF(AND(ISNUMBER(出库明细!G2810),ISNUMBER(出库明细!E2810),ISNUMBER(出库明细!F2810)),IF(ABS(出库明细!G2810-出库明细!E2810*出库明细!F2810)&gt;0.005,1,0),0)</f>
        <v>0</v>
      </c>
    </row>
    <row r="2811">
      <c r="A2811">
        <f>IF(OR(出库明细!C1811="",出库明细!D1811=""),"",IF(OR(COUNTIFS(存条明细!$C$4:$C$1003,出库明细!C1811,存条明细!$D$4:$D$1003,出库明细!D1811)&gt;0,COUNTIFS(出库明细!$C$4:C1811,出库明细!C1811,出库明细!$D$4:D1811,出库明细!D1811)&gt;1),"",IFERROR(MATCH(出库明细!C1811,总览汇总!$B$5:$B$304,0),900)*10000000+IFERROR(MATCH(出库明细!D1811,基础资料!$E$5:$E$104,0),900)*10000+ROW()))</f>
      </c>
      <c r="F2811">
        <f>IF(AND(出库明细!C2811&lt;&gt;"",出库明细!C2811=客户对账单!$B$4,ISNUMBER(出库明细!B2811),出库明细!B2811&gt;=客户对账单!$G$4,出库明细!B2811&lt;=客户对账单!$I$4),出库明细!B2811+ROW()/100000,"")</f>
      </c>
      <c r="H2811">
        <f>IF(AND(资金台帐!K1314&lt;&gt;"",资金台帐!K1314=供应商对账单!$B$4,资金台帐!P1314="应付",ISNUMBER(资金台帐!B1314),资金台帐!B1314&gt;=供应商对账单!$G$4,资金台帐!B1314&lt;=供应商对账单!$I$4),资金台帐!B1314+ROW()/100000,"")</f>
      </c>
      <c r="N2811">
        <f>IF(AND(ISNUMBER(出库明细!G2811),ISNUMBER(出库明细!E2811),ISNUMBER(出库明细!F2811)),IF(ABS(出库明细!G2811-出库明细!E2811*出库明细!F2811)&gt;0.005,1,0),0)</f>
        <v>0</v>
      </c>
    </row>
    <row r="2812">
      <c r="A2812">
        <f>IF(OR(出库明细!C1812="",出库明细!D1812=""),"",IF(OR(COUNTIFS(存条明细!$C$4:$C$1003,出库明细!C1812,存条明细!$D$4:$D$1003,出库明细!D1812)&gt;0,COUNTIFS(出库明细!$C$4:C1812,出库明细!C1812,出库明细!$D$4:D1812,出库明细!D1812)&gt;1),"",IFERROR(MATCH(出库明细!C1812,总览汇总!$B$5:$B$304,0),900)*10000000+IFERROR(MATCH(出库明细!D1812,基础资料!$E$5:$E$104,0),900)*10000+ROW()))</f>
      </c>
      <c r="F2812">
        <f>IF(AND(出库明细!C2812&lt;&gt;"",出库明细!C2812=客户对账单!$B$4,ISNUMBER(出库明细!B2812),出库明细!B2812&gt;=客户对账单!$G$4,出库明细!B2812&lt;=客户对账单!$I$4),出库明细!B2812+ROW()/100000,"")</f>
      </c>
      <c r="H2812">
        <f>IF(AND(资金台帐!K1315&lt;&gt;"",资金台帐!K1315=供应商对账单!$B$4,资金台帐!P1315="应付",ISNUMBER(资金台帐!B1315),资金台帐!B1315&gt;=供应商对账单!$G$4,资金台帐!B1315&lt;=供应商对账单!$I$4),资金台帐!B1315+ROW()/100000,"")</f>
      </c>
      <c r="N2812">
        <f>IF(AND(ISNUMBER(出库明细!G2812),ISNUMBER(出库明细!E2812),ISNUMBER(出库明细!F2812)),IF(ABS(出库明细!G2812-出库明细!E2812*出库明细!F2812)&gt;0.005,1,0),0)</f>
        <v>0</v>
      </c>
    </row>
    <row r="2813">
      <c r="A2813">
        <f>IF(OR(出库明细!C1813="",出库明细!D1813=""),"",IF(OR(COUNTIFS(存条明细!$C$4:$C$1003,出库明细!C1813,存条明细!$D$4:$D$1003,出库明细!D1813)&gt;0,COUNTIFS(出库明细!$C$4:C1813,出库明细!C1813,出库明细!$D$4:D1813,出库明细!D1813)&gt;1),"",IFERROR(MATCH(出库明细!C1813,总览汇总!$B$5:$B$304,0),900)*10000000+IFERROR(MATCH(出库明细!D1813,基础资料!$E$5:$E$104,0),900)*10000+ROW()))</f>
      </c>
      <c r="F2813">
        <f>IF(AND(出库明细!C2813&lt;&gt;"",出库明细!C2813=客户对账单!$B$4,ISNUMBER(出库明细!B2813),出库明细!B2813&gt;=客户对账单!$G$4,出库明细!B2813&lt;=客户对账单!$I$4),出库明细!B2813+ROW()/100000,"")</f>
      </c>
      <c r="H2813">
        <f>IF(AND(资金台帐!K1316&lt;&gt;"",资金台帐!K1316=供应商对账单!$B$4,资金台帐!P1316="应付",ISNUMBER(资金台帐!B1316),资金台帐!B1316&gt;=供应商对账单!$G$4,资金台帐!B1316&lt;=供应商对账单!$I$4),资金台帐!B1316+ROW()/100000,"")</f>
      </c>
      <c r="N2813">
        <f>IF(AND(ISNUMBER(出库明细!G2813),ISNUMBER(出库明细!E2813),ISNUMBER(出库明细!F2813)),IF(ABS(出库明细!G2813-出库明细!E2813*出库明细!F2813)&gt;0.005,1,0),0)</f>
        <v>0</v>
      </c>
    </row>
    <row r="2814">
      <c r="A2814">
        <f>IF(OR(出库明细!C1814="",出库明细!D1814=""),"",IF(OR(COUNTIFS(存条明细!$C$4:$C$1003,出库明细!C1814,存条明细!$D$4:$D$1003,出库明细!D1814)&gt;0,COUNTIFS(出库明细!$C$4:C1814,出库明细!C1814,出库明细!$D$4:D1814,出库明细!D1814)&gt;1),"",IFERROR(MATCH(出库明细!C1814,总览汇总!$B$5:$B$304,0),900)*10000000+IFERROR(MATCH(出库明细!D1814,基础资料!$E$5:$E$104,0),900)*10000+ROW()))</f>
      </c>
      <c r="F2814">
        <f>IF(AND(出库明细!C2814&lt;&gt;"",出库明细!C2814=客户对账单!$B$4,ISNUMBER(出库明细!B2814),出库明细!B2814&gt;=客户对账单!$G$4,出库明细!B2814&lt;=客户对账单!$I$4),出库明细!B2814+ROW()/100000,"")</f>
      </c>
      <c r="H2814">
        <f>IF(AND(资金台帐!K1317&lt;&gt;"",资金台帐!K1317=供应商对账单!$B$4,资金台帐!P1317="应付",ISNUMBER(资金台帐!B1317),资金台帐!B1317&gt;=供应商对账单!$G$4,资金台帐!B1317&lt;=供应商对账单!$I$4),资金台帐!B1317+ROW()/100000,"")</f>
      </c>
      <c r="N2814">
        <f>IF(AND(ISNUMBER(出库明细!G2814),ISNUMBER(出库明细!E2814),ISNUMBER(出库明细!F2814)),IF(ABS(出库明细!G2814-出库明细!E2814*出库明细!F2814)&gt;0.005,1,0),0)</f>
        <v>0</v>
      </c>
    </row>
    <row r="2815">
      <c r="A2815">
        <f>IF(OR(出库明细!C1815="",出库明细!D1815=""),"",IF(OR(COUNTIFS(存条明细!$C$4:$C$1003,出库明细!C1815,存条明细!$D$4:$D$1003,出库明细!D1815)&gt;0,COUNTIFS(出库明细!$C$4:C1815,出库明细!C1815,出库明细!$D$4:D1815,出库明细!D1815)&gt;1),"",IFERROR(MATCH(出库明细!C1815,总览汇总!$B$5:$B$304,0),900)*10000000+IFERROR(MATCH(出库明细!D1815,基础资料!$E$5:$E$104,0),900)*10000+ROW()))</f>
      </c>
      <c r="F2815">
        <f>IF(AND(出库明细!C2815&lt;&gt;"",出库明细!C2815=客户对账单!$B$4,ISNUMBER(出库明细!B2815),出库明细!B2815&gt;=客户对账单!$G$4,出库明细!B2815&lt;=客户对账单!$I$4),出库明细!B2815+ROW()/100000,"")</f>
      </c>
      <c r="H2815">
        <f>IF(AND(资金台帐!K1318&lt;&gt;"",资金台帐!K1318=供应商对账单!$B$4,资金台帐!P1318="应付",ISNUMBER(资金台帐!B1318),资金台帐!B1318&gt;=供应商对账单!$G$4,资金台帐!B1318&lt;=供应商对账单!$I$4),资金台帐!B1318+ROW()/100000,"")</f>
      </c>
      <c r="N2815">
        <f>IF(AND(ISNUMBER(出库明细!G2815),ISNUMBER(出库明细!E2815),ISNUMBER(出库明细!F2815)),IF(ABS(出库明细!G2815-出库明细!E2815*出库明细!F2815)&gt;0.005,1,0),0)</f>
        <v>0</v>
      </c>
    </row>
    <row r="2816">
      <c r="A2816">
        <f>IF(OR(出库明细!C1816="",出库明细!D1816=""),"",IF(OR(COUNTIFS(存条明细!$C$4:$C$1003,出库明细!C1816,存条明细!$D$4:$D$1003,出库明细!D1816)&gt;0,COUNTIFS(出库明细!$C$4:C1816,出库明细!C1816,出库明细!$D$4:D1816,出库明细!D1816)&gt;1),"",IFERROR(MATCH(出库明细!C1816,总览汇总!$B$5:$B$304,0),900)*10000000+IFERROR(MATCH(出库明细!D1816,基础资料!$E$5:$E$104,0),900)*10000+ROW()))</f>
      </c>
      <c r="F2816">
        <f>IF(AND(出库明细!C2816&lt;&gt;"",出库明细!C2816=客户对账单!$B$4,ISNUMBER(出库明细!B2816),出库明细!B2816&gt;=客户对账单!$G$4,出库明细!B2816&lt;=客户对账单!$I$4),出库明细!B2816+ROW()/100000,"")</f>
      </c>
      <c r="H2816">
        <f>IF(AND(资金台帐!K1319&lt;&gt;"",资金台帐!K1319=供应商对账单!$B$4,资金台帐!P1319="应付",ISNUMBER(资金台帐!B1319),资金台帐!B1319&gt;=供应商对账单!$G$4,资金台帐!B1319&lt;=供应商对账单!$I$4),资金台帐!B1319+ROW()/100000,"")</f>
      </c>
      <c r="N2816">
        <f>IF(AND(ISNUMBER(出库明细!G2816),ISNUMBER(出库明细!E2816),ISNUMBER(出库明细!F2816)),IF(ABS(出库明细!G2816-出库明细!E2816*出库明细!F2816)&gt;0.005,1,0),0)</f>
        <v>0</v>
      </c>
    </row>
    <row r="2817">
      <c r="A2817">
        <f>IF(OR(出库明细!C1817="",出库明细!D1817=""),"",IF(OR(COUNTIFS(存条明细!$C$4:$C$1003,出库明细!C1817,存条明细!$D$4:$D$1003,出库明细!D1817)&gt;0,COUNTIFS(出库明细!$C$4:C1817,出库明细!C1817,出库明细!$D$4:D1817,出库明细!D1817)&gt;1),"",IFERROR(MATCH(出库明细!C1817,总览汇总!$B$5:$B$304,0),900)*10000000+IFERROR(MATCH(出库明细!D1817,基础资料!$E$5:$E$104,0),900)*10000+ROW()))</f>
      </c>
      <c r="F2817">
        <f>IF(AND(出库明细!C2817&lt;&gt;"",出库明细!C2817=客户对账单!$B$4,ISNUMBER(出库明细!B2817),出库明细!B2817&gt;=客户对账单!$G$4,出库明细!B2817&lt;=客户对账单!$I$4),出库明细!B2817+ROW()/100000,"")</f>
      </c>
      <c r="H2817">
        <f>IF(AND(资金台帐!K1320&lt;&gt;"",资金台帐!K1320=供应商对账单!$B$4,资金台帐!P1320="应付",ISNUMBER(资金台帐!B1320),资金台帐!B1320&gt;=供应商对账单!$G$4,资金台帐!B1320&lt;=供应商对账单!$I$4),资金台帐!B1320+ROW()/100000,"")</f>
      </c>
      <c r="N2817">
        <f>IF(AND(ISNUMBER(出库明细!G2817),ISNUMBER(出库明细!E2817),ISNUMBER(出库明细!F2817)),IF(ABS(出库明细!G2817-出库明细!E2817*出库明细!F2817)&gt;0.005,1,0),0)</f>
        <v>0</v>
      </c>
    </row>
    <row r="2818">
      <c r="A2818">
        <f>IF(OR(出库明细!C1818="",出库明细!D1818=""),"",IF(OR(COUNTIFS(存条明细!$C$4:$C$1003,出库明细!C1818,存条明细!$D$4:$D$1003,出库明细!D1818)&gt;0,COUNTIFS(出库明细!$C$4:C1818,出库明细!C1818,出库明细!$D$4:D1818,出库明细!D1818)&gt;1),"",IFERROR(MATCH(出库明细!C1818,总览汇总!$B$5:$B$304,0),900)*10000000+IFERROR(MATCH(出库明细!D1818,基础资料!$E$5:$E$104,0),900)*10000+ROW()))</f>
      </c>
      <c r="F2818">
        <f>IF(AND(出库明细!C2818&lt;&gt;"",出库明细!C2818=客户对账单!$B$4,ISNUMBER(出库明细!B2818),出库明细!B2818&gt;=客户对账单!$G$4,出库明细!B2818&lt;=客户对账单!$I$4),出库明细!B2818+ROW()/100000,"")</f>
      </c>
      <c r="H2818">
        <f>IF(AND(资金台帐!K1321&lt;&gt;"",资金台帐!K1321=供应商对账单!$B$4,资金台帐!P1321="应付",ISNUMBER(资金台帐!B1321),资金台帐!B1321&gt;=供应商对账单!$G$4,资金台帐!B1321&lt;=供应商对账单!$I$4),资金台帐!B1321+ROW()/100000,"")</f>
      </c>
      <c r="N2818">
        <f>IF(AND(ISNUMBER(出库明细!G2818),ISNUMBER(出库明细!E2818),ISNUMBER(出库明细!F2818)),IF(ABS(出库明细!G2818-出库明细!E2818*出库明细!F2818)&gt;0.005,1,0),0)</f>
        <v>0</v>
      </c>
    </row>
    <row r="2819">
      <c r="A2819">
        <f>IF(OR(出库明细!C1819="",出库明细!D1819=""),"",IF(OR(COUNTIFS(存条明细!$C$4:$C$1003,出库明细!C1819,存条明细!$D$4:$D$1003,出库明细!D1819)&gt;0,COUNTIFS(出库明细!$C$4:C1819,出库明细!C1819,出库明细!$D$4:D1819,出库明细!D1819)&gt;1),"",IFERROR(MATCH(出库明细!C1819,总览汇总!$B$5:$B$304,0),900)*10000000+IFERROR(MATCH(出库明细!D1819,基础资料!$E$5:$E$104,0),900)*10000+ROW()))</f>
      </c>
      <c r="F2819">
        <f>IF(AND(出库明细!C2819&lt;&gt;"",出库明细!C2819=客户对账单!$B$4,ISNUMBER(出库明细!B2819),出库明细!B2819&gt;=客户对账单!$G$4,出库明细!B2819&lt;=客户对账单!$I$4),出库明细!B2819+ROW()/100000,"")</f>
      </c>
      <c r="H2819">
        <f>IF(AND(资金台帐!K1322&lt;&gt;"",资金台帐!K1322=供应商对账单!$B$4,资金台帐!P1322="应付",ISNUMBER(资金台帐!B1322),资金台帐!B1322&gt;=供应商对账单!$G$4,资金台帐!B1322&lt;=供应商对账单!$I$4),资金台帐!B1322+ROW()/100000,"")</f>
      </c>
      <c r="N2819">
        <f>IF(AND(ISNUMBER(出库明细!G2819),ISNUMBER(出库明细!E2819),ISNUMBER(出库明细!F2819)),IF(ABS(出库明细!G2819-出库明细!E2819*出库明细!F2819)&gt;0.005,1,0),0)</f>
        <v>0</v>
      </c>
    </row>
    <row r="2820">
      <c r="A2820">
        <f>IF(OR(出库明细!C1820="",出库明细!D1820=""),"",IF(OR(COUNTIFS(存条明细!$C$4:$C$1003,出库明细!C1820,存条明细!$D$4:$D$1003,出库明细!D1820)&gt;0,COUNTIFS(出库明细!$C$4:C1820,出库明细!C1820,出库明细!$D$4:D1820,出库明细!D1820)&gt;1),"",IFERROR(MATCH(出库明细!C1820,总览汇总!$B$5:$B$304,0),900)*10000000+IFERROR(MATCH(出库明细!D1820,基础资料!$E$5:$E$104,0),900)*10000+ROW()))</f>
      </c>
      <c r="F2820">
        <f>IF(AND(出库明细!C2820&lt;&gt;"",出库明细!C2820=客户对账单!$B$4,ISNUMBER(出库明细!B2820),出库明细!B2820&gt;=客户对账单!$G$4,出库明细!B2820&lt;=客户对账单!$I$4),出库明细!B2820+ROW()/100000,"")</f>
      </c>
      <c r="H2820">
        <f>IF(AND(资金台帐!K1323&lt;&gt;"",资金台帐!K1323=供应商对账单!$B$4,资金台帐!P1323="应付",ISNUMBER(资金台帐!B1323),资金台帐!B1323&gt;=供应商对账单!$G$4,资金台帐!B1323&lt;=供应商对账单!$I$4),资金台帐!B1323+ROW()/100000,"")</f>
      </c>
      <c r="N2820">
        <f>IF(AND(ISNUMBER(出库明细!G2820),ISNUMBER(出库明细!E2820),ISNUMBER(出库明细!F2820)),IF(ABS(出库明细!G2820-出库明细!E2820*出库明细!F2820)&gt;0.005,1,0),0)</f>
        <v>0</v>
      </c>
    </row>
    <row r="2821">
      <c r="A2821">
        <f>IF(OR(出库明细!C1821="",出库明细!D1821=""),"",IF(OR(COUNTIFS(存条明细!$C$4:$C$1003,出库明细!C1821,存条明细!$D$4:$D$1003,出库明细!D1821)&gt;0,COUNTIFS(出库明细!$C$4:C1821,出库明细!C1821,出库明细!$D$4:D1821,出库明细!D1821)&gt;1),"",IFERROR(MATCH(出库明细!C1821,总览汇总!$B$5:$B$304,0),900)*10000000+IFERROR(MATCH(出库明细!D1821,基础资料!$E$5:$E$104,0),900)*10000+ROW()))</f>
      </c>
      <c r="F2821">
        <f>IF(AND(出库明细!C2821&lt;&gt;"",出库明细!C2821=客户对账单!$B$4,ISNUMBER(出库明细!B2821),出库明细!B2821&gt;=客户对账单!$G$4,出库明细!B2821&lt;=客户对账单!$I$4),出库明细!B2821+ROW()/100000,"")</f>
      </c>
      <c r="H2821">
        <f>IF(AND(资金台帐!K1324&lt;&gt;"",资金台帐!K1324=供应商对账单!$B$4,资金台帐!P1324="应付",ISNUMBER(资金台帐!B1324),资金台帐!B1324&gt;=供应商对账单!$G$4,资金台帐!B1324&lt;=供应商对账单!$I$4),资金台帐!B1324+ROW()/100000,"")</f>
      </c>
      <c r="N2821">
        <f>IF(AND(ISNUMBER(出库明细!G2821),ISNUMBER(出库明细!E2821),ISNUMBER(出库明细!F2821)),IF(ABS(出库明细!G2821-出库明细!E2821*出库明细!F2821)&gt;0.005,1,0),0)</f>
        <v>0</v>
      </c>
    </row>
    <row r="2822">
      <c r="A2822">
        <f>IF(OR(出库明细!C1822="",出库明细!D1822=""),"",IF(OR(COUNTIFS(存条明细!$C$4:$C$1003,出库明细!C1822,存条明细!$D$4:$D$1003,出库明细!D1822)&gt;0,COUNTIFS(出库明细!$C$4:C1822,出库明细!C1822,出库明细!$D$4:D1822,出库明细!D1822)&gt;1),"",IFERROR(MATCH(出库明细!C1822,总览汇总!$B$5:$B$304,0),900)*10000000+IFERROR(MATCH(出库明细!D1822,基础资料!$E$5:$E$104,0),900)*10000+ROW()))</f>
      </c>
      <c r="F2822">
        <f>IF(AND(出库明细!C2822&lt;&gt;"",出库明细!C2822=客户对账单!$B$4,ISNUMBER(出库明细!B2822),出库明细!B2822&gt;=客户对账单!$G$4,出库明细!B2822&lt;=客户对账单!$I$4),出库明细!B2822+ROW()/100000,"")</f>
      </c>
      <c r="H2822">
        <f>IF(AND(资金台帐!K1325&lt;&gt;"",资金台帐!K1325=供应商对账单!$B$4,资金台帐!P1325="应付",ISNUMBER(资金台帐!B1325),资金台帐!B1325&gt;=供应商对账单!$G$4,资金台帐!B1325&lt;=供应商对账单!$I$4),资金台帐!B1325+ROW()/100000,"")</f>
      </c>
      <c r="N2822">
        <f>IF(AND(ISNUMBER(出库明细!G2822),ISNUMBER(出库明细!E2822),ISNUMBER(出库明细!F2822)),IF(ABS(出库明细!G2822-出库明细!E2822*出库明细!F2822)&gt;0.005,1,0),0)</f>
        <v>0</v>
      </c>
    </row>
    <row r="2823">
      <c r="A2823">
        <f>IF(OR(出库明细!C1823="",出库明细!D1823=""),"",IF(OR(COUNTIFS(存条明细!$C$4:$C$1003,出库明细!C1823,存条明细!$D$4:$D$1003,出库明细!D1823)&gt;0,COUNTIFS(出库明细!$C$4:C1823,出库明细!C1823,出库明细!$D$4:D1823,出库明细!D1823)&gt;1),"",IFERROR(MATCH(出库明细!C1823,总览汇总!$B$5:$B$304,0),900)*10000000+IFERROR(MATCH(出库明细!D1823,基础资料!$E$5:$E$104,0),900)*10000+ROW()))</f>
      </c>
      <c r="F2823">
        <f>IF(AND(出库明细!C2823&lt;&gt;"",出库明细!C2823=客户对账单!$B$4,ISNUMBER(出库明细!B2823),出库明细!B2823&gt;=客户对账单!$G$4,出库明细!B2823&lt;=客户对账单!$I$4),出库明细!B2823+ROW()/100000,"")</f>
      </c>
      <c r="H2823">
        <f>IF(AND(资金台帐!K1326&lt;&gt;"",资金台帐!K1326=供应商对账单!$B$4,资金台帐!P1326="应付",ISNUMBER(资金台帐!B1326),资金台帐!B1326&gt;=供应商对账单!$G$4,资金台帐!B1326&lt;=供应商对账单!$I$4),资金台帐!B1326+ROW()/100000,"")</f>
      </c>
      <c r="N2823">
        <f>IF(AND(ISNUMBER(出库明细!G2823),ISNUMBER(出库明细!E2823),ISNUMBER(出库明细!F2823)),IF(ABS(出库明细!G2823-出库明细!E2823*出库明细!F2823)&gt;0.005,1,0),0)</f>
        <v>0</v>
      </c>
    </row>
    <row r="2824">
      <c r="A2824">
        <f>IF(OR(出库明细!C1824="",出库明细!D1824=""),"",IF(OR(COUNTIFS(存条明细!$C$4:$C$1003,出库明细!C1824,存条明细!$D$4:$D$1003,出库明细!D1824)&gt;0,COUNTIFS(出库明细!$C$4:C1824,出库明细!C1824,出库明细!$D$4:D1824,出库明细!D1824)&gt;1),"",IFERROR(MATCH(出库明细!C1824,总览汇总!$B$5:$B$304,0),900)*10000000+IFERROR(MATCH(出库明细!D1824,基础资料!$E$5:$E$104,0),900)*10000+ROW()))</f>
      </c>
      <c r="F2824">
        <f>IF(AND(出库明细!C2824&lt;&gt;"",出库明细!C2824=客户对账单!$B$4,ISNUMBER(出库明细!B2824),出库明细!B2824&gt;=客户对账单!$G$4,出库明细!B2824&lt;=客户对账单!$I$4),出库明细!B2824+ROW()/100000,"")</f>
      </c>
      <c r="H2824">
        <f>IF(AND(资金台帐!K1327&lt;&gt;"",资金台帐!K1327=供应商对账单!$B$4,资金台帐!P1327="应付",ISNUMBER(资金台帐!B1327),资金台帐!B1327&gt;=供应商对账单!$G$4,资金台帐!B1327&lt;=供应商对账单!$I$4),资金台帐!B1327+ROW()/100000,"")</f>
      </c>
      <c r="N2824">
        <f>IF(AND(ISNUMBER(出库明细!G2824),ISNUMBER(出库明细!E2824),ISNUMBER(出库明细!F2824)),IF(ABS(出库明细!G2824-出库明细!E2824*出库明细!F2824)&gt;0.005,1,0),0)</f>
        <v>0</v>
      </c>
    </row>
    <row r="2825">
      <c r="A2825">
        <f>IF(OR(出库明细!C1825="",出库明细!D1825=""),"",IF(OR(COUNTIFS(存条明细!$C$4:$C$1003,出库明细!C1825,存条明细!$D$4:$D$1003,出库明细!D1825)&gt;0,COUNTIFS(出库明细!$C$4:C1825,出库明细!C1825,出库明细!$D$4:D1825,出库明细!D1825)&gt;1),"",IFERROR(MATCH(出库明细!C1825,总览汇总!$B$5:$B$304,0),900)*10000000+IFERROR(MATCH(出库明细!D1825,基础资料!$E$5:$E$104,0),900)*10000+ROW()))</f>
      </c>
      <c r="F2825">
        <f>IF(AND(出库明细!C2825&lt;&gt;"",出库明细!C2825=客户对账单!$B$4,ISNUMBER(出库明细!B2825),出库明细!B2825&gt;=客户对账单!$G$4,出库明细!B2825&lt;=客户对账单!$I$4),出库明细!B2825+ROW()/100000,"")</f>
      </c>
      <c r="H2825">
        <f>IF(AND(资金台帐!K1328&lt;&gt;"",资金台帐!K1328=供应商对账单!$B$4,资金台帐!P1328="应付",ISNUMBER(资金台帐!B1328),资金台帐!B1328&gt;=供应商对账单!$G$4,资金台帐!B1328&lt;=供应商对账单!$I$4),资金台帐!B1328+ROW()/100000,"")</f>
      </c>
      <c r="N2825">
        <f>IF(AND(ISNUMBER(出库明细!G2825),ISNUMBER(出库明细!E2825),ISNUMBER(出库明细!F2825)),IF(ABS(出库明细!G2825-出库明细!E2825*出库明细!F2825)&gt;0.005,1,0),0)</f>
        <v>0</v>
      </c>
    </row>
    <row r="2826">
      <c r="A2826">
        <f>IF(OR(出库明细!C1826="",出库明细!D1826=""),"",IF(OR(COUNTIFS(存条明细!$C$4:$C$1003,出库明细!C1826,存条明细!$D$4:$D$1003,出库明细!D1826)&gt;0,COUNTIFS(出库明细!$C$4:C1826,出库明细!C1826,出库明细!$D$4:D1826,出库明细!D1826)&gt;1),"",IFERROR(MATCH(出库明细!C1826,总览汇总!$B$5:$B$304,0),900)*10000000+IFERROR(MATCH(出库明细!D1826,基础资料!$E$5:$E$104,0),900)*10000+ROW()))</f>
      </c>
      <c r="F2826">
        <f>IF(AND(出库明细!C2826&lt;&gt;"",出库明细!C2826=客户对账单!$B$4,ISNUMBER(出库明细!B2826),出库明细!B2826&gt;=客户对账单!$G$4,出库明细!B2826&lt;=客户对账单!$I$4),出库明细!B2826+ROW()/100000,"")</f>
      </c>
      <c r="H2826">
        <f>IF(AND(资金台帐!K1329&lt;&gt;"",资金台帐!K1329=供应商对账单!$B$4,资金台帐!P1329="应付",ISNUMBER(资金台帐!B1329),资金台帐!B1329&gt;=供应商对账单!$G$4,资金台帐!B1329&lt;=供应商对账单!$I$4),资金台帐!B1329+ROW()/100000,"")</f>
      </c>
      <c r="N2826">
        <f>IF(AND(ISNUMBER(出库明细!G2826),ISNUMBER(出库明细!E2826),ISNUMBER(出库明细!F2826)),IF(ABS(出库明细!G2826-出库明细!E2826*出库明细!F2826)&gt;0.005,1,0),0)</f>
        <v>0</v>
      </c>
    </row>
    <row r="2827">
      <c r="A2827">
        <f>IF(OR(出库明细!C1827="",出库明细!D1827=""),"",IF(OR(COUNTIFS(存条明细!$C$4:$C$1003,出库明细!C1827,存条明细!$D$4:$D$1003,出库明细!D1827)&gt;0,COUNTIFS(出库明细!$C$4:C1827,出库明细!C1827,出库明细!$D$4:D1827,出库明细!D1827)&gt;1),"",IFERROR(MATCH(出库明细!C1827,总览汇总!$B$5:$B$304,0),900)*10000000+IFERROR(MATCH(出库明细!D1827,基础资料!$E$5:$E$104,0),900)*10000+ROW()))</f>
      </c>
      <c r="F2827">
        <f>IF(AND(出库明细!C2827&lt;&gt;"",出库明细!C2827=客户对账单!$B$4,ISNUMBER(出库明细!B2827),出库明细!B2827&gt;=客户对账单!$G$4,出库明细!B2827&lt;=客户对账单!$I$4),出库明细!B2827+ROW()/100000,"")</f>
      </c>
      <c r="H2827">
        <f>IF(AND(资金台帐!K1330&lt;&gt;"",资金台帐!K1330=供应商对账单!$B$4,资金台帐!P1330="应付",ISNUMBER(资金台帐!B1330),资金台帐!B1330&gt;=供应商对账单!$G$4,资金台帐!B1330&lt;=供应商对账单!$I$4),资金台帐!B1330+ROW()/100000,"")</f>
      </c>
      <c r="N2827">
        <f>IF(AND(ISNUMBER(出库明细!G2827),ISNUMBER(出库明细!E2827),ISNUMBER(出库明细!F2827)),IF(ABS(出库明细!G2827-出库明细!E2827*出库明细!F2827)&gt;0.005,1,0),0)</f>
        <v>0</v>
      </c>
    </row>
    <row r="2828">
      <c r="A2828">
        <f>IF(OR(出库明细!C1828="",出库明细!D1828=""),"",IF(OR(COUNTIFS(存条明细!$C$4:$C$1003,出库明细!C1828,存条明细!$D$4:$D$1003,出库明细!D1828)&gt;0,COUNTIFS(出库明细!$C$4:C1828,出库明细!C1828,出库明细!$D$4:D1828,出库明细!D1828)&gt;1),"",IFERROR(MATCH(出库明细!C1828,总览汇总!$B$5:$B$304,0),900)*10000000+IFERROR(MATCH(出库明细!D1828,基础资料!$E$5:$E$104,0),900)*10000+ROW()))</f>
      </c>
      <c r="F2828">
        <f>IF(AND(出库明细!C2828&lt;&gt;"",出库明细!C2828=客户对账单!$B$4,ISNUMBER(出库明细!B2828),出库明细!B2828&gt;=客户对账单!$G$4,出库明细!B2828&lt;=客户对账单!$I$4),出库明细!B2828+ROW()/100000,"")</f>
      </c>
      <c r="H2828">
        <f>IF(AND(资金台帐!K1331&lt;&gt;"",资金台帐!K1331=供应商对账单!$B$4,资金台帐!P1331="应付",ISNUMBER(资金台帐!B1331),资金台帐!B1331&gt;=供应商对账单!$G$4,资金台帐!B1331&lt;=供应商对账单!$I$4),资金台帐!B1331+ROW()/100000,"")</f>
      </c>
      <c r="N2828">
        <f>IF(AND(ISNUMBER(出库明细!G2828),ISNUMBER(出库明细!E2828),ISNUMBER(出库明细!F2828)),IF(ABS(出库明细!G2828-出库明细!E2828*出库明细!F2828)&gt;0.005,1,0),0)</f>
        <v>0</v>
      </c>
    </row>
    <row r="2829">
      <c r="A2829">
        <f>IF(OR(出库明细!C1829="",出库明细!D1829=""),"",IF(OR(COUNTIFS(存条明细!$C$4:$C$1003,出库明细!C1829,存条明细!$D$4:$D$1003,出库明细!D1829)&gt;0,COUNTIFS(出库明细!$C$4:C1829,出库明细!C1829,出库明细!$D$4:D1829,出库明细!D1829)&gt;1),"",IFERROR(MATCH(出库明细!C1829,总览汇总!$B$5:$B$304,0),900)*10000000+IFERROR(MATCH(出库明细!D1829,基础资料!$E$5:$E$104,0),900)*10000+ROW()))</f>
      </c>
      <c r="F2829">
        <f>IF(AND(出库明细!C2829&lt;&gt;"",出库明细!C2829=客户对账单!$B$4,ISNUMBER(出库明细!B2829),出库明细!B2829&gt;=客户对账单!$G$4,出库明细!B2829&lt;=客户对账单!$I$4),出库明细!B2829+ROW()/100000,"")</f>
      </c>
      <c r="H2829">
        <f>IF(AND(资金台帐!K1332&lt;&gt;"",资金台帐!K1332=供应商对账单!$B$4,资金台帐!P1332="应付",ISNUMBER(资金台帐!B1332),资金台帐!B1332&gt;=供应商对账单!$G$4,资金台帐!B1332&lt;=供应商对账单!$I$4),资金台帐!B1332+ROW()/100000,"")</f>
      </c>
      <c r="N2829">
        <f>IF(AND(ISNUMBER(出库明细!G2829),ISNUMBER(出库明细!E2829),ISNUMBER(出库明细!F2829)),IF(ABS(出库明细!G2829-出库明细!E2829*出库明细!F2829)&gt;0.005,1,0),0)</f>
        <v>0</v>
      </c>
    </row>
    <row r="2830">
      <c r="A2830">
        <f>IF(OR(出库明细!C1830="",出库明细!D1830=""),"",IF(OR(COUNTIFS(存条明细!$C$4:$C$1003,出库明细!C1830,存条明细!$D$4:$D$1003,出库明细!D1830)&gt;0,COUNTIFS(出库明细!$C$4:C1830,出库明细!C1830,出库明细!$D$4:D1830,出库明细!D1830)&gt;1),"",IFERROR(MATCH(出库明细!C1830,总览汇总!$B$5:$B$304,0),900)*10000000+IFERROR(MATCH(出库明细!D1830,基础资料!$E$5:$E$104,0),900)*10000+ROW()))</f>
      </c>
      <c r="F2830">
        <f>IF(AND(出库明细!C2830&lt;&gt;"",出库明细!C2830=客户对账单!$B$4,ISNUMBER(出库明细!B2830),出库明细!B2830&gt;=客户对账单!$G$4,出库明细!B2830&lt;=客户对账单!$I$4),出库明细!B2830+ROW()/100000,"")</f>
      </c>
      <c r="H2830">
        <f>IF(AND(资金台帐!K1333&lt;&gt;"",资金台帐!K1333=供应商对账单!$B$4,资金台帐!P1333="应付",ISNUMBER(资金台帐!B1333),资金台帐!B1333&gt;=供应商对账单!$G$4,资金台帐!B1333&lt;=供应商对账单!$I$4),资金台帐!B1333+ROW()/100000,"")</f>
      </c>
      <c r="N2830">
        <f>IF(AND(ISNUMBER(出库明细!G2830),ISNUMBER(出库明细!E2830),ISNUMBER(出库明细!F2830)),IF(ABS(出库明细!G2830-出库明细!E2830*出库明细!F2830)&gt;0.005,1,0),0)</f>
        <v>0</v>
      </c>
    </row>
    <row r="2831">
      <c r="A2831">
        <f>IF(OR(出库明细!C1831="",出库明细!D1831=""),"",IF(OR(COUNTIFS(存条明细!$C$4:$C$1003,出库明细!C1831,存条明细!$D$4:$D$1003,出库明细!D1831)&gt;0,COUNTIFS(出库明细!$C$4:C1831,出库明细!C1831,出库明细!$D$4:D1831,出库明细!D1831)&gt;1),"",IFERROR(MATCH(出库明细!C1831,总览汇总!$B$5:$B$304,0),900)*10000000+IFERROR(MATCH(出库明细!D1831,基础资料!$E$5:$E$104,0),900)*10000+ROW()))</f>
      </c>
      <c r="F2831">
        <f>IF(AND(出库明细!C2831&lt;&gt;"",出库明细!C2831=客户对账单!$B$4,ISNUMBER(出库明细!B2831),出库明细!B2831&gt;=客户对账单!$G$4,出库明细!B2831&lt;=客户对账单!$I$4),出库明细!B2831+ROW()/100000,"")</f>
      </c>
      <c r="H2831">
        <f>IF(AND(资金台帐!K1334&lt;&gt;"",资金台帐!K1334=供应商对账单!$B$4,资金台帐!P1334="应付",ISNUMBER(资金台帐!B1334),资金台帐!B1334&gt;=供应商对账单!$G$4,资金台帐!B1334&lt;=供应商对账单!$I$4),资金台帐!B1334+ROW()/100000,"")</f>
      </c>
      <c r="N2831">
        <f>IF(AND(ISNUMBER(出库明细!G2831),ISNUMBER(出库明细!E2831),ISNUMBER(出库明细!F2831)),IF(ABS(出库明细!G2831-出库明细!E2831*出库明细!F2831)&gt;0.005,1,0),0)</f>
        <v>0</v>
      </c>
    </row>
    <row r="2832">
      <c r="A2832">
        <f>IF(OR(出库明细!C1832="",出库明细!D1832=""),"",IF(OR(COUNTIFS(存条明细!$C$4:$C$1003,出库明细!C1832,存条明细!$D$4:$D$1003,出库明细!D1832)&gt;0,COUNTIFS(出库明细!$C$4:C1832,出库明细!C1832,出库明细!$D$4:D1832,出库明细!D1832)&gt;1),"",IFERROR(MATCH(出库明细!C1832,总览汇总!$B$5:$B$304,0),900)*10000000+IFERROR(MATCH(出库明细!D1832,基础资料!$E$5:$E$104,0),900)*10000+ROW()))</f>
      </c>
      <c r="F2832">
        <f>IF(AND(出库明细!C2832&lt;&gt;"",出库明细!C2832=客户对账单!$B$4,ISNUMBER(出库明细!B2832),出库明细!B2832&gt;=客户对账单!$G$4,出库明细!B2832&lt;=客户对账单!$I$4),出库明细!B2832+ROW()/100000,"")</f>
      </c>
      <c r="H2832">
        <f>IF(AND(资金台帐!K1335&lt;&gt;"",资金台帐!K1335=供应商对账单!$B$4,资金台帐!P1335="应付",ISNUMBER(资金台帐!B1335),资金台帐!B1335&gt;=供应商对账单!$G$4,资金台帐!B1335&lt;=供应商对账单!$I$4),资金台帐!B1335+ROW()/100000,"")</f>
      </c>
      <c r="N2832">
        <f>IF(AND(ISNUMBER(出库明细!G2832),ISNUMBER(出库明细!E2832),ISNUMBER(出库明细!F2832)),IF(ABS(出库明细!G2832-出库明细!E2832*出库明细!F2832)&gt;0.005,1,0),0)</f>
        <v>0</v>
      </c>
    </row>
    <row r="2833">
      <c r="A2833">
        <f>IF(OR(出库明细!C1833="",出库明细!D1833=""),"",IF(OR(COUNTIFS(存条明细!$C$4:$C$1003,出库明细!C1833,存条明细!$D$4:$D$1003,出库明细!D1833)&gt;0,COUNTIFS(出库明细!$C$4:C1833,出库明细!C1833,出库明细!$D$4:D1833,出库明细!D1833)&gt;1),"",IFERROR(MATCH(出库明细!C1833,总览汇总!$B$5:$B$304,0),900)*10000000+IFERROR(MATCH(出库明细!D1833,基础资料!$E$5:$E$104,0),900)*10000+ROW()))</f>
      </c>
      <c r="F2833">
        <f>IF(AND(出库明细!C2833&lt;&gt;"",出库明细!C2833=客户对账单!$B$4,ISNUMBER(出库明细!B2833),出库明细!B2833&gt;=客户对账单!$G$4,出库明细!B2833&lt;=客户对账单!$I$4),出库明细!B2833+ROW()/100000,"")</f>
      </c>
      <c r="H2833">
        <f>IF(AND(资金台帐!K1336&lt;&gt;"",资金台帐!K1336=供应商对账单!$B$4,资金台帐!P1336="应付",ISNUMBER(资金台帐!B1336),资金台帐!B1336&gt;=供应商对账单!$G$4,资金台帐!B1336&lt;=供应商对账单!$I$4),资金台帐!B1336+ROW()/100000,"")</f>
      </c>
      <c r="N2833">
        <f>IF(AND(ISNUMBER(出库明细!G2833),ISNUMBER(出库明细!E2833),ISNUMBER(出库明细!F2833)),IF(ABS(出库明细!G2833-出库明细!E2833*出库明细!F2833)&gt;0.005,1,0),0)</f>
        <v>0</v>
      </c>
    </row>
    <row r="2834">
      <c r="A2834">
        <f>IF(OR(出库明细!C1834="",出库明细!D1834=""),"",IF(OR(COUNTIFS(存条明细!$C$4:$C$1003,出库明细!C1834,存条明细!$D$4:$D$1003,出库明细!D1834)&gt;0,COUNTIFS(出库明细!$C$4:C1834,出库明细!C1834,出库明细!$D$4:D1834,出库明细!D1834)&gt;1),"",IFERROR(MATCH(出库明细!C1834,总览汇总!$B$5:$B$304,0),900)*10000000+IFERROR(MATCH(出库明细!D1834,基础资料!$E$5:$E$104,0),900)*10000+ROW()))</f>
      </c>
      <c r="F2834">
        <f>IF(AND(出库明细!C2834&lt;&gt;"",出库明细!C2834=客户对账单!$B$4,ISNUMBER(出库明细!B2834),出库明细!B2834&gt;=客户对账单!$G$4,出库明细!B2834&lt;=客户对账单!$I$4),出库明细!B2834+ROW()/100000,"")</f>
      </c>
      <c r="H2834">
        <f>IF(AND(资金台帐!K1337&lt;&gt;"",资金台帐!K1337=供应商对账单!$B$4,资金台帐!P1337="应付",ISNUMBER(资金台帐!B1337),资金台帐!B1337&gt;=供应商对账单!$G$4,资金台帐!B1337&lt;=供应商对账单!$I$4),资金台帐!B1337+ROW()/100000,"")</f>
      </c>
      <c r="N2834">
        <f>IF(AND(ISNUMBER(出库明细!G2834),ISNUMBER(出库明细!E2834),ISNUMBER(出库明细!F2834)),IF(ABS(出库明细!G2834-出库明细!E2834*出库明细!F2834)&gt;0.005,1,0),0)</f>
        <v>0</v>
      </c>
    </row>
    <row r="2835">
      <c r="A2835">
        <f>IF(OR(出库明细!C1835="",出库明细!D1835=""),"",IF(OR(COUNTIFS(存条明细!$C$4:$C$1003,出库明细!C1835,存条明细!$D$4:$D$1003,出库明细!D1835)&gt;0,COUNTIFS(出库明细!$C$4:C1835,出库明细!C1835,出库明细!$D$4:D1835,出库明细!D1835)&gt;1),"",IFERROR(MATCH(出库明细!C1835,总览汇总!$B$5:$B$304,0),900)*10000000+IFERROR(MATCH(出库明细!D1835,基础资料!$E$5:$E$104,0),900)*10000+ROW()))</f>
      </c>
      <c r="F2835">
        <f>IF(AND(出库明细!C2835&lt;&gt;"",出库明细!C2835=客户对账单!$B$4,ISNUMBER(出库明细!B2835),出库明细!B2835&gt;=客户对账单!$G$4,出库明细!B2835&lt;=客户对账单!$I$4),出库明细!B2835+ROW()/100000,"")</f>
      </c>
      <c r="H2835">
        <f>IF(AND(资金台帐!K1338&lt;&gt;"",资金台帐!K1338=供应商对账单!$B$4,资金台帐!P1338="应付",ISNUMBER(资金台帐!B1338),资金台帐!B1338&gt;=供应商对账单!$G$4,资金台帐!B1338&lt;=供应商对账单!$I$4),资金台帐!B1338+ROW()/100000,"")</f>
      </c>
      <c r="N2835">
        <f>IF(AND(ISNUMBER(出库明细!G2835),ISNUMBER(出库明细!E2835),ISNUMBER(出库明细!F2835)),IF(ABS(出库明细!G2835-出库明细!E2835*出库明细!F2835)&gt;0.005,1,0),0)</f>
        <v>0</v>
      </c>
    </row>
    <row r="2836">
      <c r="A2836">
        <f>IF(OR(出库明细!C1836="",出库明细!D1836=""),"",IF(OR(COUNTIFS(存条明细!$C$4:$C$1003,出库明细!C1836,存条明细!$D$4:$D$1003,出库明细!D1836)&gt;0,COUNTIFS(出库明细!$C$4:C1836,出库明细!C1836,出库明细!$D$4:D1836,出库明细!D1836)&gt;1),"",IFERROR(MATCH(出库明细!C1836,总览汇总!$B$5:$B$304,0),900)*10000000+IFERROR(MATCH(出库明细!D1836,基础资料!$E$5:$E$104,0),900)*10000+ROW()))</f>
      </c>
      <c r="F2836">
        <f>IF(AND(出库明细!C2836&lt;&gt;"",出库明细!C2836=客户对账单!$B$4,ISNUMBER(出库明细!B2836),出库明细!B2836&gt;=客户对账单!$G$4,出库明细!B2836&lt;=客户对账单!$I$4),出库明细!B2836+ROW()/100000,"")</f>
      </c>
      <c r="H2836">
        <f>IF(AND(资金台帐!K1339&lt;&gt;"",资金台帐!K1339=供应商对账单!$B$4,资金台帐!P1339="应付",ISNUMBER(资金台帐!B1339),资金台帐!B1339&gt;=供应商对账单!$G$4,资金台帐!B1339&lt;=供应商对账单!$I$4),资金台帐!B1339+ROW()/100000,"")</f>
      </c>
      <c r="N2836">
        <f>IF(AND(ISNUMBER(出库明细!G2836),ISNUMBER(出库明细!E2836),ISNUMBER(出库明细!F2836)),IF(ABS(出库明细!G2836-出库明细!E2836*出库明细!F2836)&gt;0.005,1,0),0)</f>
        <v>0</v>
      </c>
    </row>
    <row r="2837">
      <c r="A2837">
        <f>IF(OR(出库明细!C1837="",出库明细!D1837=""),"",IF(OR(COUNTIFS(存条明细!$C$4:$C$1003,出库明细!C1837,存条明细!$D$4:$D$1003,出库明细!D1837)&gt;0,COUNTIFS(出库明细!$C$4:C1837,出库明细!C1837,出库明细!$D$4:D1837,出库明细!D1837)&gt;1),"",IFERROR(MATCH(出库明细!C1837,总览汇总!$B$5:$B$304,0),900)*10000000+IFERROR(MATCH(出库明细!D1837,基础资料!$E$5:$E$104,0),900)*10000+ROW()))</f>
      </c>
      <c r="F2837">
        <f>IF(AND(出库明细!C2837&lt;&gt;"",出库明细!C2837=客户对账单!$B$4,ISNUMBER(出库明细!B2837),出库明细!B2837&gt;=客户对账单!$G$4,出库明细!B2837&lt;=客户对账单!$I$4),出库明细!B2837+ROW()/100000,"")</f>
      </c>
      <c r="H2837">
        <f>IF(AND(资金台帐!K1340&lt;&gt;"",资金台帐!K1340=供应商对账单!$B$4,资金台帐!P1340="应付",ISNUMBER(资金台帐!B1340),资金台帐!B1340&gt;=供应商对账单!$G$4,资金台帐!B1340&lt;=供应商对账单!$I$4),资金台帐!B1340+ROW()/100000,"")</f>
      </c>
      <c r="N2837">
        <f>IF(AND(ISNUMBER(出库明细!G2837),ISNUMBER(出库明细!E2837),ISNUMBER(出库明细!F2837)),IF(ABS(出库明细!G2837-出库明细!E2837*出库明细!F2837)&gt;0.005,1,0),0)</f>
        <v>0</v>
      </c>
    </row>
    <row r="2838">
      <c r="A2838">
        <f>IF(OR(出库明细!C1838="",出库明细!D1838=""),"",IF(OR(COUNTIFS(存条明细!$C$4:$C$1003,出库明细!C1838,存条明细!$D$4:$D$1003,出库明细!D1838)&gt;0,COUNTIFS(出库明细!$C$4:C1838,出库明细!C1838,出库明细!$D$4:D1838,出库明细!D1838)&gt;1),"",IFERROR(MATCH(出库明细!C1838,总览汇总!$B$5:$B$304,0),900)*10000000+IFERROR(MATCH(出库明细!D1838,基础资料!$E$5:$E$104,0),900)*10000+ROW()))</f>
      </c>
      <c r="F2838">
        <f>IF(AND(出库明细!C2838&lt;&gt;"",出库明细!C2838=客户对账单!$B$4,ISNUMBER(出库明细!B2838),出库明细!B2838&gt;=客户对账单!$G$4,出库明细!B2838&lt;=客户对账单!$I$4),出库明细!B2838+ROW()/100000,"")</f>
      </c>
      <c r="H2838">
        <f>IF(AND(资金台帐!K1341&lt;&gt;"",资金台帐!K1341=供应商对账单!$B$4,资金台帐!P1341="应付",ISNUMBER(资金台帐!B1341),资金台帐!B1341&gt;=供应商对账单!$G$4,资金台帐!B1341&lt;=供应商对账单!$I$4),资金台帐!B1341+ROW()/100000,"")</f>
      </c>
      <c r="N2838">
        <f>IF(AND(ISNUMBER(出库明细!G2838),ISNUMBER(出库明细!E2838),ISNUMBER(出库明细!F2838)),IF(ABS(出库明细!G2838-出库明细!E2838*出库明细!F2838)&gt;0.005,1,0),0)</f>
        <v>0</v>
      </c>
    </row>
    <row r="2839">
      <c r="A2839">
        <f>IF(OR(出库明细!C1839="",出库明细!D1839=""),"",IF(OR(COUNTIFS(存条明细!$C$4:$C$1003,出库明细!C1839,存条明细!$D$4:$D$1003,出库明细!D1839)&gt;0,COUNTIFS(出库明细!$C$4:C1839,出库明细!C1839,出库明细!$D$4:D1839,出库明细!D1839)&gt;1),"",IFERROR(MATCH(出库明细!C1839,总览汇总!$B$5:$B$304,0),900)*10000000+IFERROR(MATCH(出库明细!D1839,基础资料!$E$5:$E$104,0),900)*10000+ROW()))</f>
      </c>
      <c r="F2839">
        <f>IF(AND(出库明细!C2839&lt;&gt;"",出库明细!C2839=客户对账单!$B$4,ISNUMBER(出库明细!B2839),出库明细!B2839&gt;=客户对账单!$G$4,出库明细!B2839&lt;=客户对账单!$I$4),出库明细!B2839+ROW()/100000,"")</f>
      </c>
      <c r="H2839">
        <f>IF(AND(资金台帐!K1342&lt;&gt;"",资金台帐!K1342=供应商对账单!$B$4,资金台帐!P1342="应付",ISNUMBER(资金台帐!B1342),资金台帐!B1342&gt;=供应商对账单!$G$4,资金台帐!B1342&lt;=供应商对账单!$I$4),资金台帐!B1342+ROW()/100000,"")</f>
      </c>
      <c r="N2839">
        <f>IF(AND(ISNUMBER(出库明细!G2839),ISNUMBER(出库明细!E2839),ISNUMBER(出库明细!F2839)),IF(ABS(出库明细!G2839-出库明细!E2839*出库明细!F2839)&gt;0.005,1,0),0)</f>
        <v>0</v>
      </c>
    </row>
    <row r="2840">
      <c r="A2840">
        <f>IF(OR(出库明细!C1840="",出库明细!D1840=""),"",IF(OR(COUNTIFS(存条明细!$C$4:$C$1003,出库明细!C1840,存条明细!$D$4:$D$1003,出库明细!D1840)&gt;0,COUNTIFS(出库明细!$C$4:C1840,出库明细!C1840,出库明细!$D$4:D1840,出库明细!D1840)&gt;1),"",IFERROR(MATCH(出库明细!C1840,总览汇总!$B$5:$B$304,0),900)*10000000+IFERROR(MATCH(出库明细!D1840,基础资料!$E$5:$E$104,0),900)*10000+ROW()))</f>
      </c>
      <c r="F2840">
        <f>IF(AND(出库明细!C2840&lt;&gt;"",出库明细!C2840=客户对账单!$B$4,ISNUMBER(出库明细!B2840),出库明细!B2840&gt;=客户对账单!$G$4,出库明细!B2840&lt;=客户对账单!$I$4),出库明细!B2840+ROW()/100000,"")</f>
      </c>
      <c r="H2840">
        <f>IF(AND(资金台帐!K1343&lt;&gt;"",资金台帐!K1343=供应商对账单!$B$4,资金台帐!P1343="应付",ISNUMBER(资金台帐!B1343),资金台帐!B1343&gt;=供应商对账单!$G$4,资金台帐!B1343&lt;=供应商对账单!$I$4),资金台帐!B1343+ROW()/100000,"")</f>
      </c>
      <c r="N2840">
        <f>IF(AND(ISNUMBER(出库明细!G2840),ISNUMBER(出库明细!E2840),ISNUMBER(出库明细!F2840)),IF(ABS(出库明细!G2840-出库明细!E2840*出库明细!F2840)&gt;0.005,1,0),0)</f>
        <v>0</v>
      </c>
    </row>
    <row r="2841">
      <c r="A2841">
        <f>IF(OR(出库明细!C1841="",出库明细!D1841=""),"",IF(OR(COUNTIFS(存条明细!$C$4:$C$1003,出库明细!C1841,存条明细!$D$4:$D$1003,出库明细!D1841)&gt;0,COUNTIFS(出库明细!$C$4:C1841,出库明细!C1841,出库明细!$D$4:D1841,出库明细!D1841)&gt;1),"",IFERROR(MATCH(出库明细!C1841,总览汇总!$B$5:$B$304,0),900)*10000000+IFERROR(MATCH(出库明细!D1841,基础资料!$E$5:$E$104,0),900)*10000+ROW()))</f>
      </c>
      <c r="F2841">
        <f>IF(AND(出库明细!C2841&lt;&gt;"",出库明细!C2841=客户对账单!$B$4,ISNUMBER(出库明细!B2841),出库明细!B2841&gt;=客户对账单!$G$4,出库明细!B2841&lt;=客户对账单!$I$4),出库明细!B2841+ROW()/100000,"")</f>
      </c>
      <c r="H2841">
        <f>IF(AND(资金台帐!K1344&lt;&gt;"",资金台帐!K1344=供应商对账单!$B$4,资金台帐!P1344="应付",ISNUMBER(资金台帐!B1344),资金台帐!B1344&gt;=供应商对账单!$G$4,资金台帐!B1344&lt;=供应商对账单!$I$4),资金台帐!B1344+ROW()/100000,"")</f>
      </c>
      <c r="N2841">
        <f>IF(AND(ISNUMBER(出库明细!G2841),ISNUMBER(出库明细!E2841),ISNUMBER(出库明细!F2841)),IF(ABS(出库明细!G2841-出库明细!E2841*出库明细!F2841)&gt;0.005,1,0),0)</f>
        <v>0</v>
      </c>
    </row>
    <row r="2842">
      <c r="A2842">
        <f>IF(OR(出库明细!C1842="",出库明细!D1842=""),"",IF(OR(COUNTIFS(存条明细!$C$4:$C$1003,出库明细!C1842,存条明细!$D$4:$D$1003,出库明细!D1842)&gt;0,COUNTIFS(出库明细!$C$4:C1842,出库明细!C1842,出库明细!$D$4:D1842,出库明细!D1842)&gt;1),"",IFERROR(MATCH(出库明细!C1842,总览汇总!$B$5:$B$304,0),900)*10000000+IFERROR(MATCH(出库明细!D1842,基础资料!$E$5:$E$104,0),900)*10000+ROW()))</f>
      </c>
      <c r="F2842">
        <f>IF(AND(出库明细!C2842&lt;&gt;"",出库明细!C2842=客户对账单!$B$4,ISNUMBER(出库明细!B2842),出库明细!B2842&gt;=客户对账单!$G$4,出库明细!B2842&lt;=客户对账单!$I$4),出库明细!B2842+ROW()/100000,"")</f>
      </c>
      <c r="H2842">
        <f>IF(AND(资金台帐!K1345&lt;&gt;"",资金台帐!K1345=供应商对账单!$B$4,资金台帐!P1345="应付",ISNUMBER(资金台帐!B1345),资金台帐!B1345&gt;=供应商对账单!$G$4,资金台帐!B1345&lt;=供应商对账单!$I$4),资金台帐!B1345+ROW()/100000,"")</f>
      </c>
      <c r="N2842">
        <f>IF(AND(ISNUMBER(出库明细!G2842),ISNUMBER(出库明细!E2842),ISNUMBER(出库明细!F2842)),IF(ABS(出库明细!G2842-出库明细!E2842*出库明细!F2842)&gt;0.005,1,0),0)</f>
        <v>0</v>
      </c>
    </row>
    <row r="2843">
      <c r="A2843">
        <f>IF(OR(出库明细!C1843="",出库明细!D1843=""),"",IF(OR(COUNTIFS(存条明细!$C$4:$C$1003,出库明细!C1843,存条明细!$D$4:$D$1003,出库明细!D1843)&gt;0,COUNTIFS(出库明细!$C$4:C1843,出库明细!C1843,出库明细!$D$4:D1843,出库明细!D1843)&gt;1),"",IFERROR(MATCH(出库明细!C1843,总览汇总!$B$5:$B$304,0),900)*10000000+IFERROR(MATCH(出库明细!D1843,基础资料!$E$5:$E$104,0),900)*10000+ROW()))</f>
      </c>
      <c r="F2843">
        <f>IF(AND(出库明细!C2843&lt;&gt;"",出库明细!C2843=客户对账单!$B$4,ISNUMBER(出库明细!B2843),出库明细!B2843&gt;=客户对账单!$G$4,出库明细!B2843&lt;=客户对账单!$I$4),出库明细!B2843+ROW()/100000,"")</f>
      </c>
      <c r="H2843">
        <f>IF(AND(资金台帐!K1346&lt;&gt;"",资金台帐!K1346=供应商对账单!$B$4,资金台帐!P1346="应付",ISNUMBER(资金台帐!B1346),资金台帐!B1346&gt;=供应商对账单!$G$4,资金台帐!B1346&lt;=供应商对账单!$I$4),资金台帐!B1346+ROW()/100000,"")</f>
      </c>
      <c r="N2843">
        <f>IF(AND(ISNUMBER(出库明细!G2843),ISNUMBER(出库明细!E2843),ISNUMBER(出库明细!F2843)),IF(ABS(出库明细!G2843-出库明细!E2843*出库明细!F2843)&gt;0.005,1,0),0)</f>
        <v>0</v>
      </c>
    </row>
    <row r="2844">
      <c r="A2844">
        <f>IF(OR(出库明细!C1844="",出库明细!D1844=""),"",IF(OR(COUNTIFS(存条明细!$C$4:$C$1003,出库明细!C1844,存条明细!$D$4:$D$1003,出库明细!D1844)&gt;0,COUNTIFS(出库明细!$C$4:C1844,出库明细!C1844,出库明细!$D$4:D1844,出库明细!D1844)&gt;1),"",IFERROR(MATCH(出库明细!C1844,总览汇总!$B$5:$B$304,0),900)*10000000+IFERROR(MATCH(出库明细!D1844,基础资料!$E$5:$E$104,0),900)*10000+ROW()))</f>
      </c>
      <c r="F2844">
        <f>IF(AND(出库明细!C2844&lt;&gt;"",出库明细!C2844=客户对账单!$B$4,ISNUMBER(出库明细!B2844),出库明细!B2844&gt;=客户对账单!$G$4,出库明细!B2844&lt;=客户对账单!$I$4),出库明细!B2844+ROW()/100000,"")</f>
      </c>
      <c r="H2844">
        <f>IF(AND(资金台帐!K1347&lt;&gt;"",资金台帐!K1347=供应商对账单!$B$4,资金台帐!P1347="应付",ISNUMBER(资金台帐!B1347),资金台帐!B1347&gt;=供应商对账单!$G$4,资金台帐!B1347&lt;=供应商对账单!$I$4),资金台帐!B1347+ROW()/100000,"")</f>
      </c>
      <c r="N2844">
        <f>IF(AND(ISNUMBER(出库明细!G2844),ISNUMBER(出库明细!E2844),ISNUMBER(出库明细!F2844)),IF(ABS(出库明细!G2844-出库明细!E2844*出库明细!F2844)&gt;0.005,1,0),0)</f>
        <v>0</v>
      </c>
    </row>
    <row r="2845">
      <c r="A2845">
        <f>IF(OR(出库明细!C1845="",出库明细!D1845=""),"",IF(OR(COUNTIFS(存条明细!$C$4:$C$1003,出库明细!C1845,存条明细!$D$4:$D$1003,出库明细!D1845)&gt;0,COUNTIFS(出库明细!$C$4:C1845,出库明细!C1845,出库明细!$D$4:D1845,出库明细!D1845)&gt;1),"",IFERROR(MATCH(出库明细!C1845,总览汇总!$B$5:$B$304,0),900)*10000000+IFERROR(MATCH(出库明细!D1845,基础资料!$E$5:$E$104,0),900)*10000+ROW()))</f>
      </c>
      <c r="F2845">
        <f>IF(AND(出库明细!C2845&lt;&gt;"",出库明细!C2845=客户对账单!$B$4,ISNUMBER(出库明细!B2845),出库明细!B2845&gt;=客户对账单!$G$4,出库明细!B2845&lt;=客户对账单!$I$4),出库明细!B2845+ROW()/100000,"")</f>
      </c>
      <c r="H2845">
        <f>IF(AND(资金台帐!K1348&lt;&gt;"",资金台帐!K1348=供应商对账单!$B$4,资金台帐!P1348="应付",ISNUMBER(资金台帐!B1348),资金台帐!B1348&gt;=供应商对账单!$G$4,资金台帐!B1348&lt;=供应商对账单!$I$4),资金台帐!B1348+ROW()/100000,"")</f>
      </c>
      <c r="N2845">
        <f>IF(AND(ISNUMBER(出库明细!G2845),ISNUMBER(出库明细!E2845),ISNUMBER(出库明细!F2845)),IF(ABS(出库明细!G2845-出库明细!E2845*出库明细!F2845)&gt;0.005,1,0),0)</f>
        <v>0</v>
      </c>
    </row>
    <row r="2846">
      <c r="A2846">
        <f>IF(OR(出库明细!C1846="",出库明细!D1846=""),"",IF(OR(COUNTIFS(存条明细!$C$4:$C$1003,出库明细!C1846,存条明细!$D$4:$D$1003,出库明细!D1846)&gt;0,COUNTIFS(出库明细!$C$4:C1846,出库明细!C1846,出库明细!$D$4:D1846,出库明细!D1846)&gt;1),"",IFERROR(MATCH(出库明细!C1846,总览汇总!$B$5:$B$304,0),900)*10000000+IFERROR(MATCH(出库明细!D1846,基础资料!$E$5:$E$104,0),900)*10000+ROW()))</f>
      </c>
      <c r="F2846">
        <f>IF(AND(出库明细!C2846&lt;&gt;"",出库明细!C2846=客户对账单!$B$4,ISNUMBER(出库明细!B2846),出库明细!B2846&gt;=客户对账单!$G$4,出库明细!B2846&lt;=客户对账单!$I$4),出库明细!B2846+ROW()/100000,"")</f>
      </c>
      <c r="H2846">
        <f>IF(AND(资金台帐!K1349&lt;&gt;"",资金台帐!K1349=供应商对账单!$B$4,资金台帐!P1349="应付",ISNUMBER(资金台帐!B1349),资金台帐!B1349&gt;=供应商对账单!$G$4,资金台帐!B1349&lt;=供应商对账单!$I$4),资金台帐!B1349+ROW()/100000,"")</f>
      </c>
      <c r="N2846">
        <f>IF(AND(ISNUMBER(出库明细!G2846),ISNUMBER(出库明细!E2846),ISNUMBER(出库明细!F2846)),IF(ABS(出库明细!G2846-出库明细!E2846*出库明细!F2846)&gt;0.005,1,0),0)</f>
        <v>0</v>
      </c>
    </row>
    <row r="2847">
      <c r="A2847">
        <f>IF(OR(出库明细!C1847="",出库明细!D1847=""),"",IF(OR(COUNTIFS(存条明细!$C$4:$C$1003,出库明细!C1847,存条明细!$D$4:$D$1003,出库明细!D1847)&gt;0,COUNTIFS(出库明细!$C$4:C1847,出库明细!C1847,出库明细!$D$4:D1847,出库明细!D1847)&gt;1),"",IFERROR(MATCH(出库明细!C1847,总览汇总!$B$5:$B$304,0),900)*10000000+IFERROR(MATCH(出库明细!D1847,基础资料!$E$5:$E$104,0),900)*10000+ROW()))</f>
      </c>
      <c r="F2847">
        <f>IF(AND(出库明细!C2847&lt;&gt;"",出库明细!C2847=客户对账单!$B$4,ISNUMBER(出库明细!B2847),出库明细!B2847&gt;=客户对账单!$G$4,出库明细!B2847&lt;=客户对账单!$I$4),出库明细!B2847+ROW()/100000,"")</f>
      </c>
      <c r="H2847">
        <f>IF(AND(资金台帐!K1350&lt;&gt;"",资金台帐!K1350=供应商对账单!$B$4,资金台帐!P1350="应付",ISNUMBER(资金台帐!B1350),资金台帐!B1350&gt;=供应商对账单!$G$4,资金台帐!B1350&lt;=供应商对账单!$I$4),资金台帐!B1350+ROW()/100000,"")</f>
      </c>
      <c r="N2847">
        <f>IF(AND(ISNUMBER(出库明细!G2847),ISNUMBER(出库明细!E2847),ISNUMBER(出库明细!F2847)),IF(ABS(出库明细!G2847-出库明细!E2847*出库明细!F2847)&gt;0.005,1,0),0)</f>
        <v>0</v>
      </c>
    </row>
    <row r="2848">
      <c r="A2848">
        <f>IF(OR(出库明细!C1848="",出库明细!D1848=""),"",IF(OR(COUNTIFS(存条明细!$C$4:$C$1003,出库明细!C1848,存条明细!$D$4:$D$1003,出库明细!D1848)&gt;0,COUNTIFS(出库明细!$C$4:C1848,出库明细!C1848,出库明细!$D$4:D1848,出库明细!D1848)&gt;1),"",IFERROR(MATCH(出库明细!C1848,总览汇总!$B$5:$B$304,0),900)*10000000+IFERROR(MATCH(出库明细!D1848,基础资料!$E$5:$E$104,0),900)*10000+ROW()))</f>
      </c>
      <c r="F2848">
        <f>IF(AND(出库明细!C2848&lt;&gt;"",出库明细!C2848=客户对账单!$B$4,ISNUMBER(出库明细!B2848),出库明细!B2848&gt;=客户对账单!$G$4,出库明细!B2848&lt;=客户对账单!$I$4),出库明细!B2848+ROW()/100000,"")</f>
      </c>
      <c r="H2848">
        <f>IF(AND(资金台帐!K1351&lt;&gt;"",资金台帐!K1351=供应商对账单!$B$4,资金台帐!P1351="应付",ISNUMBER(资金台帐!B1351),资金台帐!B1351&gt;=供应商对账单!$G$4,资金台帐!B1351&lt;=供应商对账单!$I$4),资金台帐!B1351+ROW()/100000,"")</f>
      </c>
      <c r="N2848">
        <f>IF(AND(ISNUMBER(出库明细!G2848),ISNUMBER(出库明细!E2848),ISNUMBER(出库明细!F2848)),IF(ABS(出库明细!G2848-出库明细!E2848*出库明细!F2848)&gt;0.005,1,0),0)</f>
        <v>0</v>
      </c>
    </row>
    <row r="2849">
      <c r="A2849">
        <f>IF(OR(出库明细!C1849="",出库明细!D1849=""),"",IF(OR(COUNTIFS(存条明细!$C$4:$C$1003,出库明细!C1849,存条明细!$D$4:$D$1003,出库明细!D1849)&gt;0,COUNTIFS(出库明细!$C$4:C1849,出库明细!C1849,出库明细!$D$4:D1849,出库明细!D1849)&gt;1),"",IFERROR(MATCH(出库明细!C1849,总览汇总!$B$5:$B$304,0),900)*10000000+IFERROR(MATCH(出库明细!D1849,基础资料!$E$5:$E$104,0),900)*10000+ROW()))</f>
      </c>
      <c r="F2849">
        <f>IF(AND(出库明细!C2849&lt;&gt;"",出库明细!C2849=客户对账单!$B$4,ISNUMBER(出库明细!B2849),出库明细!B2849&gt;=客户对账单!$G$4,出库明细!B2849&lt;=客户对账单!$I$4),出库明细!B2849+ROW()/100000,"")</f>
      </c>
      <c r="H2849">
        <f>IF(AND(资金台帐!K1352&lt;&gt;"",资金台帐!K1352=供应商对账单!$B$4,资金台帐!P1352="应付",ISNUMBER(资金台帐!B1352),资金台帐!B1352&gt;=供应商对账单!$G$4,资金台帐!B1352&lt;=供应商对账单!$I$4),资金台帐!B1352+ROW()/100000,"")</f>
      </c>
      <c r="N2849">
        <f>IF(AND(ISNUMBER(出库明细!G2849),ISNUMBER(出库明细!E2849),ISNUMBER(出库明细!F2849)),IF(ABS(出库明细!G2849-出库明细!E2849*出库明细!F2849)&gt;0.005,1,0),0)</f>
        <v>0</v>
      </c>
    </row>
    <row r="2850">
      <c r="A2850">
        <f>IF(OR(出库明细!C1850="",出库明细!D1850=""),"",IF(OR(COUNTIFS(存条明细!$C$4:$C$1003,出库明细!C1850,存条明细!$D$4:$D$1003,出库明细!D1850)&gt;0,COUNTIFS(出库明细!$C$4:C1850,出库明细!C1850,出库明细!$D$4:D1850,出库明细!D1850)&gt;1),"",IFERROR(MATCH(出库明细!C1850,总览汇总!$B$5:$B$304,0),900)*10000000+IFERROR(MATCH(出库明细!D1850,基础资料!$E$5:$E$104,0),900)*10000+ROW()))</f>
      </c>
      <c r="F2850">
        <f>IF(AND(出库明细!C2850&lt;&gt;"",出库明细!C2850=客户对账单!$B$4,ISNUMBER(出库明细!B2850),出库明细!B2850&gt;=客户对账单!$G$4,出库明细!B2850&lt;=客户对账单!$I$4),出库明细!B2850+ROW()/100000,"")</f>
      </c>
      <c r="H2850">
        <f>IF(AND(资金台帐!K1353&lt;&gt;"",资金台帐!K1353=供应商对账单!$B$4,资金台帐!P1353="应付",ISNUMBER(资金台帐!B1353),资金台帐!B1353&gt;=供应商对账单!$G$4,资金台帐!B1353&lt;=供应商对账单!$I$4),资金台帐!B1353+ROW()/100000,"")</f>
      </c>
      <c r="N2850">
        <f>IF(AND(ISNUMBER(出库明细!G2850),ISNUMBER(出库明细!E2850),ISNUMBER(出库明细!F2850)),IF(ABS(出库明细!G2850-出库明细!E2850*出库明细!F2850)&gt;0.005,1,0),0)</f>
        <v>0</v>
      </c>
    </row>
    <row r="2851">
      <c r="A2851">
        <f>IF(OR(出库明细!C1851="",出库明细!D1851=""),"",IF(OR(COUNTIFS(存条明细!$C$4:$C$1003,出库明细!C1851,存条明细!$D$4:$D$1003,出库明细!D1851)&gt;0,COUNTIFS(出库明细!$C$4:C1851,出库明细!C1851,出库明细!$D$4:D1851,出库明细!D1851)&gt;1),"",IFERROR(MATCH(出库明细!C1851,总览汇总!$B$5:$B$304,0),900)*10000000+IFERROR(MATCH(出库明细!D1851,基础资料!$E$5:$E$104,0),900)*10000+ROW()))</f>
      </c>
      <c r="F2851">
        <f>IF(AND(出库明细!C2851&lt;&gt;"",出库明细!C2851=客户对账单!$B$4,ISNUMBER(出库明细!B2851),出库明细!B2851&gt;=客户对账单!$G$4,出库明细!B2851&lt;=客户对账单!$I$4),出库明细!B2851+ROW()/100000,"")</f>
      </c>
      <c r="H2851">
        <f>IF(AND(资金台帐!K1354&lt;&gt;"",资金台帐!K1354=供应商对账单!$B$4,资金台帐!P1354="应付",ISNUMBER(资金台帐!B1354),资金台帐!B1354&gt;=供应商对账单!$G$4,资金台帐!B1354&lt;=供应商对账单!$I$4),资金台帐!B1354+ROW()/100000,"")</f>
      </c>
      <c r="N2851">
        <f>IF(AND(ISNUMBER(出库明细!G2851),ISNUMBER(出库明细!E2851),ISNUMBER(出库明细!F2851)),IF(ABS(出库明细!G2851-出库明细!E2851*出库明细!F2851)&gt;0.005,1,0),0)</f>
        <v>0</v>
      </c>
    </row>
    <row r="2852">
      <c r="A2852">
        <f>IF(OR(出库明细!C1852="",出库明细!D1852=""),"",IF(OR(COUNTIFS(存条明细!$C$4:$C$1003,出库明细!C1852,存条明细!$D$4:$D$1003,出库明细!D1852)&gt;0,COUNTIFS(出库明细!$C$4:C1852,出库明细!C1852,出库明细!$D$4:D1852,出库明细!D1852)&gt;1),"",IFERROR(MATCH(出库明细!C1852,总览汇总!$B$5:$B$304,0),900)*10000000+IFERROR(MATCH(出库明细!D1852,基础资料!$E$5:$E$104,0),900)*10000+ROW()))</f>
      </c>
      <c r="F2852">
        <f>IF(AND(出库明细!C2852&lt;&gt;"",出库明细!C2852=客户对账单!$B$4,ISNUMBER(出库明细!B2852),出库明细!B2852&gt;=客户对账单!$G$4,出库明细!B2852&lt;=客户对账单!$I$4),出库明细!B2852+ROW()/100000,"")</f>
      </c>
      <c r="H2852">
        <f>IF(AND(资金台帐!K1355&lt;&gt;"",资金台帐!K1355=供应商对账单!$B$4,资金台帐!P1355="应付",ISNUMBER(资金台帐!B1355),资金台帐!B1355&gt;=供应商对账单!$G$4,资金台帐!B1355&lt;=供应商对账单!$I$4),资金台帐!B1355+ROW()/100000,"")</f>
      </c>
      <c r="N2852">
        <f>IF(AND(ISNUMBER(出库明细!G2852),ISNUMBER(出库明细!E2852),ISNUMBER(出库明细!F2852)),IF(ABS(出库明细!G2852-出库明细!E2852*出库明细!F2852)&gt;0.005,1,0),0)</f>
        <v>0</v>
      </c>
    </row>
    <row r="2853">
      <c r="A2853">
        <f>IF(OR(出库明细!C1853="",出库明细!D1853=""),"",IF(OR(COUNTIFS(存条明细!$C$4:$C$1003,出库明细!C1853,存条明细!$D$4:$D$1003,出库明细!D1853)&gt;0,COUNTIFS(出库明细!$C$4:C1853,出库明细!C1853,出库明细!$D$4:D1853,出库明细!D1853)&gt;1),"",IFERROR(MATCH(出库明细!C1853,总览汇总!$B$5:$B$304,0),900)*10000000+IFERROR(MATCH(出库明细!D1853,基础资料!$E$5:$E$104,0),900)*10000+ROW()))</f>
      </c>
      <c r="F2853">
        <f>IF(AND(出库明细!C2853&lt;&gt;"",出库明细!C2853=客户对账单!$B$4,ISNUMBER(出库明细!B2853),出库明细!B2853&gt;=客户对账单!$G$4,出库明细!B2853&lt;=客户对账单!$I$4),出库明细!B2853+ROW()/100000,"")</f>
      </c>
      <c r="H2853">
        <f>IF(AND(资金台帐!K1356&lt;&gt;"",资金台帐!K1356=供应商对账单!$B$4,资金台帐!P1356="应付",ISNUMBER(资金台帐!B1356),资金台帐!B1356&gt;=供应商对账单!$G$4,资金台帐!B1356&lt;=供应商对账单!$I$4),资金台帐!B1356+ROW()/100000,"")</f>
      </c>
      <c r="N2853">
        <f>IF(AND(ISNUMBER(出库明细!G2853),ISNUMBER(出库明细!E2853),ISNUMBER(出库明细!F2853)),IF(ABS(出库明细!G2853-出库明细!E2853*出库明细!F2853)&gt;0.005,1,0),0)</f>
        <v>0</v>
      </c>
    </row>
    <row r="2854">
      <c r="A2854">
        <f>IF(OR(出库明细!C1854="",出库明细!D1854=""),"",IF(OR(COUNTIFS(存条明细!$C$4:$C$1003,出库明细!C1854,存条明细!$D$4:$D$1003,出库明细!D1854)&gt;0,COUNTIFS(出库明细!$C$4:C1854,出库明细!C1854,出库明细!$D$4:D1854,出库明细!D1854)&gt;1),"",IFERROR(MATCH(出库明细!C1854,总览汇总!$B$5:$B$304,0),900)*10000000+IFERROR(MATCH(出库明细!D1854,基础资料!$E$5:$E$104,0),900)*10000+ROW()))</f>
      </c>
      <c r="F2854">
        <f>IF(AND(出库明细!C2854&lt;&gt;"",出库明细!C2854=客户对账单!$B$4,ISNUMBER(出库明细!B2854),出库明细!B2854&gt;=客户对账单!$G$4,出库明细!B2854&lt;=客户对账单!$I$4),出库明细!B2854+ROW()/100000,"")</f>
      </c>
      <c r="H2854">
        <f>IF(AND(资金台帐!K1357&lt;&gt;"",资金台帐!K1357=供应商对账单!$B$4,资金台帐!P1357="应付",ISNUMBER(资金台帐!B1357),资金台帐!B1357&gt;=供应商对账单!$G$4,资金台帐!B1357&lt;=供应商对账单!$I$4),资金台帐!B1357+ROW()/100000,"")</f>
      </c>
      <c r="N2854">
        <f>IF(AND(ISNUMBER(出库明细!G2854),ISNUMBER(出库明细!E2854),ISNUMBER(出库明细!F2854)),IF(ABS(出库明细!G2854-出库明细!E2854*出库明细!F2854)&gt;0.005,1,0),0)</f>
        <v>0</v>
      </c>
    </row>
    <row r="2855">
      <c r="A2855">
        <f>IF(OR(出库明细!C1855="",出库明细!D1855=""),"",IF(OR(COUNTIFS(存条明细!$C$4:$C$1003,出库明细!C1855,存条明细!$D$4:$D$1003,出库明细!D1855)&gt;0,COUNTIFS(出库明细!$C$4:C1855,出库明细!C1855,出库明细!$D$4:D1855,出库明细!D1855)&gt;1),"",IFERROR(MATCH(出库明细!C1855,总览汇总!$B$5:$B$304,0),900)*10000000+IFERROR(MATCH(出库明细!D1855,基础资料!$E$5:$E$104,0),900)*10000+ROW()))</f>
      </c>
      <c r="F2855">
        <f>IF(AND(出库明细!C2855&lt;&gt;"",出库明细!C2855=客户对账单!$B$4,ISNUMBER(出库明细!B2855),出库明细!B2855&gt;=客户对账单!$G$4,出库明细!B2855&lt;=客户对账单!$I$4),出库明细!B2855+ROW()/100000,"")</f>
      </c>
      <c r="H2855">
        <f>IF(AND(资金台帐!K1358&lt;&gt;"",资金台帐!K1358=供应商对账单!$B$4,资金台帐!P1358="应付",ISNUMBER(资金台帐!B1358),资金台帐!B1358&gt;=供应商对账单!$G$4,资金台帐!B1358&lt;=供应商对账单!$I$4),资金台帐!B1358+ROW()/100000,"")</f>
      </c>
      <c r="N2855">
        <f>IF(AND(ISNUMBER(出库明细!G2855),ISNUMBER(出库明细!E2855),ISNUMBER(出库明细!F2855)),IF(ABS(出库明细!G2855-出库明细!E2855*出库明细!F2855)&gt;0.005,1,0),0)</f>
        <v>0</v>
      </c>
    </row>
    <row r="2856">
      <c r="A2856">
        <f>IF(OR(出库明细!C1856="",出库明细!D1856=""),"",IF(OR(COUNTIFS(存条明细!$C$4:$C$1003,出库明细!C1856,存条明细!$D$4:$D$1003,出库明细!D1856)&gt;0,COUNTIFS(出库明细!$C$4:C1856,出库明细!C1856,出库明细!$D$4:D1856,出库明细!D1856)&gt;1),"",IFERROR(MATCH(出库明细!C1856,总览汇总!$B$5:$B$304,0),900)*10000000+IFERROR(MATCH(出库明细!D1856,基础资料!$E$5:$E$104,0),900)*10000+ROW()))</f>
      </c>
      <c r="F2856">
        <f>IF(AND(出库明细!C2856&lt;&gt;"",出库明细!C2856=客户对账单!$B$4,ISNUMBER(出库明细!B2856),出库明细!B2856&gt;=客户对账单!$G$4,出库明细!B2856&lt;=客户对账单!$I$4),出库明细!B2856+ROW()/100000,"")</f>
      </c>
      <c r="H2856">
        <f>IF(AND(资金台帐!K1359&lt;&gt;"",资金台帐!K1359=供应商对账单!$B$4,资金台帐!P1359="应付",ISNUMBER(资金台帐!B1359),资金台帐!B1359&gt;=供应商对账单!$G$4,资金台帐!B1359&lt;=供应商对账单!$I$4),资金台帐!B1359+ROW()/100000,"")</f>
      </c>
      <c r="N2856">
        <f>IF(AND(ISNUMBER(出库明细!G2856),ISNUMBER(出库明细!E2856),ISNUMBER(出库明细!F2856)),IF(ABS(出库明细!G2856-出库明细!E2856*出库明细!F2856)&gt;0.005,1,0),0)</f>
        <v>0</v>
      </c>
    </row>
    <row r="2857">
      <c r="A2857">
        <f>IF(OR(出库明细!C1857="",出库明细!D1857=""),"",IF(OR(COUNTIFS(存条明细!$C$4:$C$1003,出库明细!C1857,存条明细!$D$4:$D$1003,出库明细!D1857)&gt;0,COUNTIFS(出库明细!$C$4:C1857,出库明细!C1857,出库明细!$D$4:D1857,出库明细!D1857)&gt;1),"",IFERROR(MATCH(出库明细!C1857,总览汇总!$B$5:$B$304,0),900)*10000000+IFERROR(MATCH(出库明细!D1857,基础资料!$E$5:$E$104,0),900)*10000+ROW()))</f>
      </c>
      <c r="F2857">
        <f>IF(AND(出库明细!C2857&lt;&gt;"",出库明细!C2857=客户对账单!$B$4,ISNUMBER(出库明细!B2857),出库明细!B2857&gt;=客户对账单!$G$4,出库明细!B2857&lt;=客户对账单!$I$4),出库明细!B2857+ROW()/100000,"")</f>
      </c>
      <c r="H2857">
        <f>IF(AND(资金台帐!K1360&lt;&gt;"",资金台帐!K1360=供应商对账单!$B$4,资金台帐!P1360="应付",ISNUMBER(资金台帐!B1360),资金台帐!B1360&gt;=供应商对账单!$G$4,资金台帐!B1360&lt;=供应商对账单!$I$4),资金台帐!B1360+ROW()/100000,"")</f>
      </c>
      <c r="N2857">
        <f>IF(AND(ISNUMBER(出库明细!G2857),ISNUMBER(出库明细!E2857),ISNUMBER(出库明细!F2857)),IF(ABS(出库明细!G2857-出库明细!E2857*出库明细!F2857)&gt;0.005,1,0),0)</f>
        <v>0</v>
      </c>
    </row>
    <row r="2858">
      <c r="A2858">
        <f>IF(OR(出库明细!C1858="",出库明细!D1858=""),"",IF(OR(COUNTIFS(存条明细!$C$4:$C$1003,出库明细!C1858,存条明细!$D$4:$D$1003,出库明细!D1858)&gt;0,COUNTIFS(出库明细!$C$4:C1858,出库明细!C1858,出库明细!$D$4:D1858,出库明细!D1858)&gt;1),"",IFERROR(MATCH(出库明细!C1858,总览汇总!$B$5:$B$304,0),900)*10000000+IFERROR(MATCH(出库明细!D1858,基础资料!$E$5:$E$104,0),900)*10000+ROW()))</f>
      </c>
      <c r="F2858">
        <f>IF(AND(出库明细!C2858&lt;&gt;"",出库明细!C2858=客户对账单!$B$4,ISNUMBER(出库明细!B2858),出库明细!B2858&gt;=客户对账单!$G$4,出库明细!B2858&lt;=客户对账单!$I$4),出库明细!B2858+ROW()/100000,"")</f>
      </c>
      <c r="H2858">
        <f>IF(AND(资金台帐!K1361&lt;&gt;"",资金台帐!K1361=供应商对账单!$B$4,资金台帐!P1361="应付",ISNUMBER(资金台帐!B1361),资金台帐!B1361&gt;=供应商对账单!$G$4,资金台帐!B1361&lt;=供应商对账单!$I$4),资金台帐!B1361+ROW()/100000,"")</f>
      </c>
      <c r="N2858">
        <f>IF(AND(ISNUMBER(出库明细!G2858),ISNUMBER(出库明细!E2858),ISNUMBER(出库明细!F2858)),IF(ABS(出库明细!G2858-出库明细!E2858*出库明细!F2858)&gt;0.005,1,0),0)</f>
        <v>0</v>
      </c>
    </row>
    <row r="2859">
      <c r="A2859">
        <f>IF(OR(出库明细!C1859="",出库明细!D1859=""),"",IF(OR(COUNTIFS(存条明细!$C$4:$C$1003,出库明细!C1859,存条明细!$D$4:$D$1003,出库明细!D1859)&gt;0,COUNTIFS(出库明细!$C$4:C1859,出库明细!C1859,出库明细!$D$4:D1859,出库明细!D1859)&gt;1),"",IFERROR(MATCH(出库明细!C1859,总览汇总!$B$5:$B$304,0),900)*10000000+IFERROR(MATCH(出库明细!D1859,基础资料!$E$5:$E$104,0),900)*10000+ROW()))</f>
      </c>
      <c r="F2859">
        <f>IF(AND(出库明细!C2859&lt;&gt;"",出库明细!C2859=客户对账单!$B$4,ISNUMBER(出库明细!B2859),出库明细!B2859&gt;=客户对账单!$G$4,出库明细!B2859&lt;=客户对账单!$I$4),出库明细!B2859+ROW()/100000,"")</f>
      </c>
      <c r="H2859">
        <f>IF(AND(资金台帐!K1362&lt;&gt;"",资金台帐!K1362=供应商对账单!$B$4,资金台帐!P1362="应付",ISNUMBER(资金台帐!B1362),资金台帐!B1362&gt;=供应商对账单!$G$4,资金台帐!B1362&lt;=供应商对账单!$I$4),资金台帐!B1362+ROW()/100000,"")</f>
      </c>
      <c r="N2859">
        <f>IF(AND(ISNUMBER(出库明细!G2859),ISNUMBER(出库明细!E2859),ISNUMBER(出库明细!F2859)),IF(ABS(出库明细!G2859-出库明细!E2859*出库明细!F2859)&gt;0.005,1,0),0)</f>
        <v>0</v>
      </c>
    </row>
    <row r="2860">
      <c r="A2860">
        <f>IF(OR(出库明细!C1860="",出库明细!D1860=""),"",IF(OR(COUNTIFS(存条明细!$C$4:$C$1003,出库明细!C1860,存条明细!$D$4:$D$1003,出库明细!D1860)&gt;0,COUNTIFS(出库明细!$C$4:C1860,出库明细!C1860,出库明细!$D$4:D1860,出库明细!D1860)&gt;1),"",IFERROR(MATCH(出库明细!C1860,总览汇总!$B$5:$B$304,0),900)*10000000+IFERROR(MATCH(出库明细!D1860,基础资料!$E$5:$E$104,0),900)*10000+ROW()))</f>
      </c>
      <c r="F2860">
        <f>IF(AND(出库明细!C2860&lt;&gt;"",出库明细!C2860=客户对账单!$B$4,ISNUMBER(出库明细!B2860),出库明细!B2860&gt;=客户对账单!$G$4,出库明细!B2860&lt;=客户对账单!$I$4),出库明细!B2860+ROW()/100000,"")</f>
      </c>
      <c r="H2860">
        <f>IF(AND(资金台帐!K1363&lt;&gt;"",资金台帐!K1363=供应商对账单!$B$4,资金台帐!P1363="应付",ISNUMBER(资金台帐!B1363),资金台帐!B1363&gt;=供应商对账单!$G$4,资金台帐!B1363&lt;=供应商对账单!$I$4),资金台帐!B1363+ROW()/100000,"")</f>
      </c>
      <c r="N2860">
        <f>IF(AND(ISNUMBER(出库明细!G2860),ISNUMBER(出库明细!E2860),ISNUMBER(出库明细!F2860)),IF(ABS(出库明细!G2860-出库明细!E2860*出库明细!F2860)&gt;0.005,1,0),0)</f>
        <v>0</v>
      </c>
    </row>
    <row r="2861">
      <c r="A2861">
        <f>IF(OR(出库明细!C1861="",出库明细!D1861=""),"",IF(OR(COUNTIFS(存条明细!$C$4:$C$1003,出库明细!C1861,存条明细!$D$4:$D$1003,出库明细!D1861)&gt;0,COUNTIFS(出库明细!$C$4:C1861,出库明细!C1861,出库明细!$D$4:D1861,出库明细!D1861)&gt;1),"",IFERROR(MATCH(出库明细!C1861,总览汇总!$B$5:$B$304,0),900)*10000000+IFERROR(MATCH(出库明细!D1861,基础资料!$E$5:$E$104,0),900)*10000+ROW()))</f>
      </c>
      <c r="F2861">
        <f>IF(AND(出库明细!C2861&lt;&gt;"",出库明细!C2861=客户对账单!$B$4,ISNUMBER(出库明细!B2861),出库明细!B2861&gt;=客户对账单!$G$4,出库明细!B2861&lt;=客户对账单!$I$4),出库明细!B2861+ROW()/100000,"")</f>
      </c>
      <c r="H2861">
        <f>IF(AND(资金台帐!K1364&lt;&gt;"",资金台帐!K1364=供应商对账单!$B$4,资金台帐!P1364="应付",ISNUMBER(资金台帐!B1364),资金台帐!B1364&gt;=供应商对账单!$G$4,资金台帐!B1364&lt;=供应商对账单!$I$4),资金台帐!B1364+ROW()/100000,"")</f>
      </c>
      <c r="N2861">
        <f>IF(AND(ISNUMBER(出库明细!G2861),ISNUMBER(出库明细!E2861),ISNUMBER(出库明细!F2861)),IF(ABS(出库明细!G2861-出库明细!E2861*出库明细!F2861)&gt;0.005,1,0),0)</f>
        <v>0</v>
      </c>
    </row>
    <row r="2862">
      <c r="A2862">
        <f>IF(OR(出库明细!C1862="",出库明细!D1862=""),"",IF(OR(COUNTIFS(存条明细!$C$4:$C$1003,出库明细!C1862,存条明细!$D$4:$D$1003,出库明细!D1862)&gt;0,COUNTIFS(出库明细!$C$4:C1862,出库明细!C1862,出库明细!$D$4:D1862,出库明细!D1862)&gt;1),"",IFERROR(MATCH(出库明细!C1862,总览汇总!$B$5:$B$304,0),900)*10000000+IFERROR(MATCH(出库明细!D1862,基础资料!$E$5:$E$104,0),900)*10000+ROW()))</f>
      </c>
      <c r="F2862">
        <f>IF(AND(出库明细!C2862&lt;&gt;"",出库明细!C2862=客户对账单!$B$4,ISNUMBER(出库明细!B2862),出库明细!B2862&gt;=客户对账单!$G$4,出库明细!B2862&lt;=客户对账单!$I$4),出库明细!B2862+ROW()/100000,"")</f>
      </c>
      <c r="H2862">
        <f>IF(AND(资金台帐!K1365&lt;&gt;"",资金台帐!K1365=供应商对账单!$B$4,资金台帐!P1365="应付",ISNUMBER(资金台帐!B1365),资金台帐!B1365&gt;=供应商对账单!$G$4,资金台帐!B1365&lt;=供应商对账单!$I$4),资金台帐!B1365+ROW()/100000,"")</f>
      </c>
      <c r="N2862">
        <f>IF(AND(ISNUMBER(出库明细!G2862),ISNUMBER(出库明细!E2862),ISNUMBER(出库明细!F2862)),IF(ABS(出库明细!G2862-出库明细!E2862*出库明细!F2862)&gt;0.005,1,0),0)</f>
        <v>0</v>
      </c>
    </row>
    <row r="2863">
      <c r="A2863">
        <f>IF(OR(出库明细!C1863="",出库明细!D1863=""),"",IF(OR(COUNTIFS(存条明细!$C$4:$C$1003,出库明细!C1863,存条明细!$D$4:$D$1003,出库明细!D1863)&gt;0,COUNTIFS(出库明细!$C$4:C1863,出库明细!C1863,出库明细!$D$4:D1863,出库明细!D1863)&gt;1),"",IFERROR(MATCH(出库明细!C1863,总览汇总!$B$5:$B$304,0),900)*10000000+IFERROR(MATCH(出库明细!D1863,基础资料!$E$5:$E$104,0),900)*10000+ROW()))</f>
      </c>
      <c r="F2863">
        <f>IF(AND(出库明细!C2863&lt;&gt;"",出库明细!C2863=客户对账单!$B$4,ISNUMBER(出库明细!B2863),出库明细!B2863&gt;=客户对账单!$G$4,出库明细!B2863&lt;=客户对账单!$I$4),出库明细!B2863+ROW()/100000,"")</f>
      </c>
      <c r="H2863">
        <f>IF(AND(资金台帐!K1366&lt;&gt;"",资金台帐!K1366=供应商对账单!$B$4,资金台帐!P1366="应付",ISNUMBER(资金台帐!B1366),资金台帐!B1366&gt;=供应商对账单!$G$4,资金台帐!B1366&lt;=供应商对账单!$I$4),资金台帐!B1366+ROW()/100000,"")</f>
      </c>
      <c r="N2863">
        <f>IF(AND(ISNUMBER(出库明细!G2863),ISNUMBER(出库明细!E2863),ISNUMBER(出库明细!F2863)),IF(ABS(出库明细!G2863-出库明细!E2863*出库明细!F2863)&gt;0.005,1,0),0)</f>
        <v>0</v>
      </c>
    </row>
    <row r="2864">
      <c r="A2864">
        <f>IF(OR(出库明细!C1864="",出库明细!D1864=""),"",IF(OR(COUNTIFS(存条明细!$C$4:$C$1003,出库明细!C1864,存条明细!$D$4:$D$1003,出库明细!D1864)&gt;0,COUNTIFS(出库明细!$C$4:C1864,出库明细!C1864,出库明细!$D$4:D1864,出库明细!D1864)&gt;1),"",IFERROR(MATCH(出库明细!C1864,总览汇总!$B$5:$B$304,0),900)*10000000+IFERROR(MATCH(出库明细!D1864,基础资料!$E$5:$E$104,0),900)*10000+ROW()))</f>
      </c>
      <c r="F2864">
        <f>IF(AND(出库明细!C2864&lt;&gt;"",出库明细!C2864=客户对账单!$B$4,ISNUMBER(出库明细!B2864),出库明细!B2864&gt;=客户对账单!$G$4,出库明细!B2864&lt;=客户对账单!$I$4),出库明细!B2864+ROW()/100000,"")</f>
      </c>
      <c r="H2864">
        <f>IF(AND(资金台帐!K1367&lt;&gt;"",资金台帐!K1367=供应商对账单!$B$4,资金台帐!P1367="应付",ISNUMBER(资金台帐!B1367),资金台帐!B1367&gt;=供应商对账单!$G$4,资金台帐!B1367&lt;=供应商对账单!$I$4),资金台帐!B1367+ROW()/100000,"")</f>
      </c>
      <c r="N2864">
        <f>IF(AND(ISNUMBER(出库明细!G2864),ISNUMBER(出库明细!E2864),ISNUMBER(出库明细!F2864)),IF(ABS(出库明细!G2864-出库明细!E2864*出库明细!F2864)&gt;0.005,1,0),0)</f>
        <v>0</v>
      </c>
    </row>
    <row r="2865">
      <c r="A2865">
        <f>IF(OR(出库明细!C1865="",出库明细!D1865=""),"",IF(OR(COUNTIFS(存条明细!$C$4:$C$1003,出库明细!C1865,存条明细!$D$4:$D$1003,出库明细!D1865)&gt;0,COUNTIFS(出库明细!$C$4:C1865,出库明细!C1865,出库明细!$D$4:D1865,出库明细!D1865)&gt;1),"",IFERROR(MATCH(出库明细!C1865,总览汇总!$B$5:$B$304,0),900)*10000000+IFERROR(MATCH(出库明细!D1865,基础资料!$E$5:$E$104,0),900)*10000+ROW()))</f>
      </c>
      <c r="F2865">
        <f>IF(AND(出库明细!C2865&lt;&gt;"",出库明细!C2865=客户对账单!$B$4,ISNUMBER(出库明细!B2865),出库明细!B2865&gt;=客户对账单!$G$4,出库明细!B2865&lt;=客户对账单!$I$4),出库明细!B2865+ROW()/100000,"")</f>
      </c>
      <c r="H2865">
        <f>IF(AND(资金台帐!K1368&lt;&gt;"",资金台帐!K1368=供应商对账单!$B$4,资金台帐!P1368="应付",ISNUMBER(资金台帐!B1368),资金台帐!B1368&gt;=供应商对账单!$G$4,资金台帐!B1368&lt;=供应商对账单!$I$4),资金台帐!B1368+ROW()/100000,"")</f>
      </c>
      <c r="N2865">
        <f>IF(AND(ISNUMBER(出库明细!G2865),ISNUMBER(出库明细!E2865),ISNUMBER(出库明细!F2865)),IF(ABS(出库明细!G2865-出库明细!E2865*出库明细!F2865)&gt;0.005,1,0),0)</f>
        <v>0</v>
      </c>
    </row>
    <row r="2866">
      <c r="A2866">
        <f>IF(OR(出库明细!C1866="",出库明细!D1866=""),"",IF(OR(COUNTIFS(存条明细!$C$4:$C$1003,出库明细!C1866,存条明细!$D$4:$D$1003,出库明细!D1866)&gt;0,COUNTIFS(出库明细!$C$4:C1866,出库明细!C1866,出库明细!$D$4:D1866,出库明细!D1866)&gt;1),"",IFERROR(MATCH(出库明细!C1866,总览汇总!$B$5:$B$304,0),900)*10000000+IFERROR(MATCH(出库明细!D1866,基础资料!$E$5:$E$104,0),900)*10000+ROW()))</f>
      </c>
      <c r="F2866">
        <f>IF(AND(出库明细!C2866&lt;&gt;"",出库明细!C2866=客户对账单!$B$4,ISNUMBER(出库明细!B2866),出库明细!B2866&gt;=客户对账单!$G$4,出库明细!B2866&lt;=客户对账单!$I$4),出库明细!B2866+ROW()/100000,"")</f>
      </c>
      <c r="H2866">
        <f>IF(AND(资金台帐!K1369&lt;&gt;"",资金台帐!K1369=供应商对账单!$B$4,资金台帐!P1369="应付",ISNUMBER(资金台帐!B1369),资金台帐!B1369&gt;=供应商对账单!$G$4,资金台帐!B1369&lt;=供应商对账单!$I$4),资金台帐!B1369+ROW()/100000,"")</f>
      </c>
      <c r="N2866">
        <f>IF(AND(ISNUMBER(出库明细!G2866),ISNUMBER(出库明细!E2866),ISNUMBER(出库明细!F2866)),IF(ABS(出库明细!G2866-出库明细!E2866*出库明细!F2866)&gt;0.005,1,0),0)</f>
        <v>0</v>
      </c>
    </row>
    <row r="2867">
      <c r="A2867">
        <f>IF(OR(出库明细!C1867="",出库明细!D1867=""),"",IF(OR(COUNTIFS(存条明细!$C$4:$C$1003,出库明细!C1867,存条明细!$D$4:$D$1003,出库明细!D1867)&gt;0,COUNTIFS(出库明细!$C$4:C1867,出库明细!C1867,出库明细!$D$4:D1867,出库明细!D1867)&gt;1),"",IFERROR(MATCH(出库明细!C1867,总览汇总!$B$5:$B$304,0),900)*10000000+IFERROR(MATCH(出库明细!D1867,基础资料!$E$5:$E$104,0),900)*10000+ROW()))</f>
      </c>
      <c r="F2867">
        <f>IF(AND(出库明细!C2867&lt;&gt;"",出库明细!C2867=客户对账单!$B$4,ISNUMBER(出库明细!B2867),出库明细!B2867&gt;=客户对账单!$G$4,出库明细!B2867&lt;=客户对账单!$I$4),出库明细!B2867+ROW()/100000,"")</f>
      </c>
      <c r="H2867">
        <f>IF(AND(资金台帐!K1370&lt;&gt;"",资金台帐!K1370=供应商对账单!$B$4,资金台帐!P1370="应付",ISNUMBER(资金台帐!B1370),资金台帐!B1370&gt;=供应商对账单!$G$4,资金台帐!B1370&lt;=供应商对账单!$I$4),资金台帐!B1370+ROW()/100000,"")</f>
      </c>
      <c r="N2867">
        <f>IF(AND(ISNUMBER(出库明细!G2867),ISNUMBER(出库明细!E2867),ISNUMBER(出库明细!F2867)),IF(ABS(出库明细!G2867-出库明细!E2867*出库明细!F2867)&gt;0.005,1,0),0)</f>
        <v>0</v>
      </c>
    </row>
    <row r="2868">
      <c r="A2868">
        <f>IF(OR(出库明细!C1868="",出库明细!D1868=""),"",IF(OR(COUNTIFS(存条明细!$C$4:$C$1003,出库明细!C1868,存条明细!$D$4:$D$1003,出库明细!D1868)&gt;0,COUNTIFS(出库明细!$C$4:C1868,出库明细!C1868,出库明细!$D$4:D1868,出库明细!D1868)&gt;1),"",IFERROR(MATCH(出库明细!C1868,总览汇总!$B$5:$B$304,0),900)*10000000+IFERROR(MATCH(出库明细!D1868,基础资料!$E$5:$E$104,0),900)*10000+ROW()))</f>
      </c>
      <c r="F2868">
        <f>IF(AND(出库明细!C2868&lt;&gt;"",出库明细!C2868=客户对账单!$B$4,ISNUMBER(出库明细!B2868),出库明细!B2868&gt;=客户对账单!$G$4,出库明细!B2868&lt;=客户对账单!$I$4),出库明细!B2868+ROW()/100000,"")</f>
      </c>
      <c r="H2868">
        <f>IF(AND(资金台帐!K1371&lt;&gt;"",资金台帐!K1371=供应商对账单!$B$4,资金台帐!P1371="应付",ISNUMBER(资金台帐!B1371),资金台帐!B1371&gt;=供应商对账单!$G$4,资金台帐!B1371&lt;=供应商对账单!$I$4),资金台帐!B1371+ROW()/100000,"")</f>
      </c>
      <c r="N2868">
        <f>IF(AND(ISNUMBER(出库明细!G2868),ISNUMBER(出库明细!E2868),ISNUMBER(出库明细!F2868)),IF(ABS(出库明细!G2868-出库明细!E2868*出库明细!F2868)&gt;0.005,1,0),0)</f>
        <v>0</v>
      </c>
    </row>
    <row r="2869">
      <c r="A2869">
        <f>IF(OR(出库明细!C1869="",出库明细!D1869=""),"",IF(OR(COUNTIFS(存条明细!$C$4:$C$1003,出库明细!C1869,存条明细!$D$4:$D$1003,出库明细!D1869)&gt;0,COUNTIFS(出库明细!$C$4:C1869,出库明细!C1869,出库明细!$D$4:D1869,出库明细!D1869)&gt;1),"",IFERROR(MATCH(出库明细!C1869,总览汇总!$B$5:$B$304,0),900)*10000000+IFERROR(MATCH(出库明细!D1869,基础资料!$E$5:$E$104,0),900)*10000+ROW()))</f>
      </c>
      <c r="F2869">
        <f>IF(AND(出库明细!C2869&lt;&gt;"",出库明细!C2869=客户对账单!$B$4,ISNUMBER(出库明细!B2869),出库明细!B2869&gt;=客户对账单!$G$4,出库明细!B2869&lt;=客户对账单!$I$4),出库明细!B2869+ROW()/100000,"")</f>
      </c>
      <c r="H2869">
        <f>IF(AND(资金台帐!K1372&lt;&gt;"",资金台帐!K1372=供应商对账单!$B$4,资金台帐!P1372="应付",ISNUMBER(资金台帐!B1372),资金台帐!B1372&gt;=供应商对账单!$G$4,资金台帐!B1372&lt;=供应商对账单!$I$4),资金台帐!B1372+ROW()/100000,"")</f>
      </c>
      <c r="N2869">
        <f>IF(AND(ISNUMBER(出库明细!G2869),ISNUMBER(出库明细!E2869),ISNUMBER(出库明细!F2869)),IF(ABS(出库明细!G2869-出库明细!E2869*出库明细!F2869)&gt;0.005,1,0),0)</f>
        <v>0</v>
      </c>
    </row>
    <row r="2870">
      <c r="A2870">
        <f>IF(OR(出库明细!C1870="",出库明细!D1870=""),"",IF(OR(COUNTIFS(存条明细!$C$4:$C$1003,出库明细!C1870,存条明细!$D$4:$D$1003,出库明细!D1870)&gt;0,COUNTIFS(出库明细!$C$4:C1870,出库明细!C1870,出库明细!$D$4:D1870,出库明细!D1870)&gt;1),"",IFERROR(MATCH(出库明细!C1870,总览汇总!$B$5:$B$304,0),900)*10000000+IFERROR(MATCH(出库明细!D1870,基础资料!$E$5:$E$104,0),900)*10000+ROW()))</f>
      </c>
      <c r="F2870">
        <f>IF(AND(出库明细!C2870&lt;&gt;"",出库明细!C2870=客户对账单!$B$4,ISNUMBER(出库明细!B2870),出库明细!B2870&gt;=客户对账单!$G$4,出库明细!B2870&lt;=客户对账单!$I$4),出库明细!B2870+ROW()/100000,"")</f>
      </c>
      <c r="H2870">
        <f>IF(AND(资金台帐!K1373&lt;&gt;"",资金台帐!K1373=供应商对账单!$B$4,资金台帐!P1373="应付",ISNUMBER(资金台帐!B1373),资金台帐!B1373&gt;=供应商对账单!$G$4,资金台帐!B1373&lt;=供应商对账单!$I$4),资金台帐!B1373+ROW()/100000,"")</f>
      </c>
      <c r="N2870">
        <f>IF(AND(ISNUMBER(出库明细!G2870),ISNUMBER(出库明细!E2870),ISNUMBER(出库明细!F2870)),IF(ABS(出库明细!G2870-出库明细!E2870*出库明细!F2870)&gt;0.005,1,0),0)</f>
        <v>0</v>
      </c>
    </row>
    <row r="2871">
      <c r="A2871">
        <f>IF(OR(出库明细!C1871="",出库明细!D1871=""),"",IF(OR(COUNTIFS(存条明细!$C$4:$C$1003,出库明细!C1871,存条明细!$D$4:$D$1003,出库明细!D1871)&gt;0,COUNTIFS(出库明细!$C$4:C1871,出库明细!C1871,出库明细!$D$4:D1871,出库明细!D1871)&gt;1),"",IFERROR(MATCH(出库明细!C1871,总览汇总!$B$5:$B$304,0),900)*10000000+IFERROR(MATCH(出库明细!D1871,基础资料!$E$5:$E$104,0),900)*10000+ROW()))</f>
      </c>
      <c r="F2871">
        <f>IF(AND(出库明细!C2871&lt;&gt;"",出库明细!C2871=客户对账单!$B$4,ISNUMBER(出库明细!B2871),出库明细!B2871&gt;=客户对账单!$G$4,出库明细!B2871&lt;=客户对账单!$I$4),出库明细!B2871+ROW()/100000,"")</f>
      </c>
      <c r="H2871">
        <f>IF(AND(资金台帐!K1374&lt;&gt;"",资金台帐!K1374=供应商对账单!$B$4,资金台帐!P1374="应付",ISNUMBER(资金台帐!B1374),资金台帐!B1374&gt;=供应商对账单!$G$4,资金台帐!B1374&lt;=供应商对账单!$I$4),资金台帐!B1374+ROW()/100000,"")</f>
      </c>
      <c r="N2871">
        <f>IF(AND(ISNUMBER(出库明细!G2871),ISNUMBER(出库明细!E2871),ISNUMBER(出库明细!F2871)),IF(ABS(出库明细!G2871-出库明细!E2871*出库明细!F2871)&gt;0.005,1,0),0)</f>
        <v>0</v>
      </c>
    </row>
    <row r="2872">
      <c r="A2872">
        <f>IF(OR(出库明细!C1872="",出库明细!D1872=""),"",IF(OR(COUNTIFS(存条明细!$C$4:$C$1003,出库明细!C1872,存条明细!$D$4:$D$1003,出库明细!D1872)&gt;0,COUNTIFS(出库明细!$C$4:C1872,出库明细!C1872,出库明细!$D$4:D1872,出库明细!D1872)&gt;1),"",IFERROR(MATCH(出库明细!C1872,总览汇总!$B$5:$B$304,0),900)*10000000+IFERROR(MATCH(出库明细!D1872,基础资料!$E$5:$E$104,0),900)*10000+ROW()))</f>
      </c>
      <c r="F2872">
        <f>IF(AND(出库明细!C2872&lt;&gt;"",出库明细!C2872=客户对账单!$B$4,ISNUMBER(出库明细!B2872),出库明细!B2872&gt;=客户对账单!$G$4,出库明细!B2872&lt;=客户对账单!$I$4),出库明细!B2872+ROW()/100000,"")</f>
      </c>
      <c r="H2872">
        <f>IF(AND(资金台帐!K1375&lt;&gt;"",资金台帐!K1375=供应商对账单!$B$4,资金台帐!P1375="应付",ISNUMBER(资金台帐!B1375),资金台帐!B1375&gt;=供应商对账单!$G$4,资金台帐!B1375&lt;=供应商对账单!$I$4),资金台帐!B1375+ROW()/100000,"")</f>
      </c>
      <c r="N2872">
        <f>IF(AND(ISNUMBER(出库明细!G2872),ISNUMBER(出库明细!E2872),ISNUMBER(出库明细!F2872)),IF(ABS(出库明细!G2872-出库明细!E2872*出库明细!F2872)&gt;0.005,1,0),0)</f>
        <v>0</v>
      </c>
    </row>
    <row r="2873">
      <c r="A2873">
        <f>IF(OR(出库明细!C1873="",出库明细!D1873=""),"",IF(OR(COUNTIFS(存条明细!$C$4:$C$1003,出库明细!C1873,存条明细!$D$4:$D$1003,出库明细!D1873)&gt;0,COUNTIFS(出库明细!$C$4:C1873,出库明细!C1873,出库明细!$D$4:D1873,出库明细!D1873)&gt;1),"",IFERROR(MATCH(出库明细!C1873,总览汇总!$B$5:$B$304,0),900)*10000000+IFERROR(MATCH(出库明细!D1873,基础资料!$E$5:$E$104,0),900)*10000+ROW()))</f>
      </c>
      <c r="F2873">
        <f>IF(AND(出库明细!C2873&lt;&gt;"",出库明细!C2873=客户对账单!$B$4,ISNUMBER(出库明细!B2873),出库明细!B2873&gt;=客户对账单!$G$4,出库明细!B2873&lt;=客户对账单!$I$4),出库明细!B2873+ROW()/100000,"")</f>
      </c>
      <c r="H2873">
        <f>IF(AND(资金台帐!K1376&lt;&gt;"",资金台帐!K1376=供应商对账单!$B$4,资金台帐!P1376="应付",ISNUMBER(资金台帐!B1376),资金台帐!B1376&gt;=供应商对账单!$G$4,资金台帐!B1376&lt;=供应商对账单!$I$4),资金台帐!B1376+ROW()/100000,"")</f>
      </c>
      <c r="N2873">
        <f>IF(AND(ISNUMBER(出库明细!G2873),ISNUMBER(出库明细!E2873),ISNUMBER(出库明细!F2873)),IF(ABS(出库明细!G2873-出库明细!E2873*出库明细!F2873)&gt;0.005,1,0),0)</f>
        <v>0</v>
      </c>
    </row>
    <row r="2874">
      <c r="A2874">
        <f>IF(OR(出库明细!C1874="",出库明细!D1874=""),"",IF(OR(COUNTIFS(存条明细!$C$4:$C$1003,出库明细!C1874,存条明细!$D$4:$D$1003,出库明细!D1874)&gt;0,COUNTIFS(出库明细!$C$4:C1874,出库明细!C1874,出库明细!$D$4:D1874,出库明细!D1874)&gt;1),"",IFERROR(MATCH(出库明细!C1874,总览汇总!$B$5:$B$304,0),900)*10000000+IFERROR(MATCH(出库明细!D1874,基础资料!$E$5:$E$104,0),900)*10000+ROW()))</f>
      </c>
      <c r="F2874">
        <f>IF(AND(出库明细!C2874&lt;&gt;"",出库明细!C2874=客户对账单!$B$4,ISNUMBER(出库明细!B2874),出库明细!B2874&gt;=客户对账单!$G$4,出库明细!B2874&lt;=客户对账单!$I$4),出库明细!B2874+ROW()/100000,"")</f>
      </c>
      <c r="H2874">
        <f>IF(AND(资金台帐!K1377&lt;&gt;"",资金台帐!K1377=供应商对账单!$B$4,资金台帐!P1377="应付",ISNUMBER(资金台帐!B1377),资金台帐!B1377&gt;=供应商对账单!$G$4,资金台帐!B1377&lt;=供应商对账单!$I$4),资金台帐!B1377+ROW()/100000,"")</f>
      </c>
      <c r="N2874">
        <f>IF(AND(ISNUMBER(出库明细!G2874),ISNUMBER(出库明细!E2874),ISNUMBER(出库明细!F2874)),IF(ABS(出库明细!G2874-出库明细!E2874*出库明细!F2874)&gt;0.005,1,0),0)</f>
        <v>0</v>
      </c>
    </row>
    <row r="2875">
      <c r="A2875">
        <f>IF(OR(出库明细!C1875="",出库明细!D1875=""),"",IF(OR(COUNTIFS(存条明细!$C$4:$C$1003,出库明细!C1875,存条明细!$D$4:$D$1003,出库明细!D1875)&gt;0,COUNTIFS(出库明细!$C$4:C1875,出库明细!C1875,出库明细!$D$4:D1875,出库明细!D1875)&gt;1),"",IFERROR(MATCH(出库明细!C1875,总览汇总!$B$5:$B$304,0),900)*10000000+IFERROR(MATCH(出库明细!D1875,基础资料!$E$5:$E$104,0),900)*10000+ROW()))</f>
      </c>
      <c r="F2875">
        <f>IF(AND(出库明细!C2875&lt;&gt;"",出库明细!C2875=客户对账单!$B$4,ISNUMBER(出库明细!B2875),出库明细!B2875&gt;=客户对账单!$G$4,出库明细!B2875&lt;=客户对账单!$I$4),出库明细!B2875+ROW()/100000,"")</f>
      </c>
      <c r="H2875">
        <f>IF(AND(资金台帐!K1378&lt;&gt;"",资金台帐!K1378=供应商对账单!$B$4,资金台帐!P1378="应付",ISNUMBER(资金台帐!B1378),资金台帐!B1378&gt;=供应商对账单!$G$4,资金台帐!B1378&lt;=供应商对账单!$I$4),资金台帐!B1378+ROW()/100000,"")</f>
      </c>
      <c r="N2875">
        <f>IF(AND(ISNUMBER(出库明细!G2875),ISNUMBER(出库明细!E2875),ISNUMBER(出库明细!F2875)),IF(ABS(出库明细!G2875-出库明细!E2875*出库明细!F2875)&gt;0.005,1,0),0)</f>
        <v>0</v>
      </c>
    </row>
    <row r="2876">
      <c r="A2876">
        <f>IF(OR(出库明细!C1876="",出库明细!D1876=""),"",IF(OR(COUNTIFS(存条明细!$C$4:$C$1003,出库明细!C1876,存条明细!$D$4:$D$1003,出库明细!D1876)&gt;0,COUNTIFS(出库明细!$C$4:C1876,出库明细!C1876,出库明细!$D$4:D1876,出库明细!D1876)&gt;1),"",IFERROR(MATCH(出库明细!C1876,总览汇总!$B$5:$B$304,0),900)*10000000+IFERROR(MATCH(出库明细!D1876,基础资料!$E$5:$E$104,0),900)*10000+ROW()))</f>
      </c>
      <c r="F2876">
        <f>IF(AND(出库明细!C2876&lt;&gt;"",出库明细!C2876=客户对账单!$B$4,ISNUMBER(出库明细!B2876),出库明细!B2876&gt;=客户对账单!$G$4,出库明细!B2876&lt;=客户对账单!$I$4),出库明细!B2876+ROW()/100000,"")</f>
      </c>
      <c r="H2876">
        <f>IF(AND(资金台帐!K1379&lt;&gt;"",资金台帐!K1379=供应商对账单!$B$4,资金台帐!P1379="应付",ISNUMBER(资金台帐!B1379),资金台帐!B1379&gt;=供应商对账单!$G$4,资金台帐!B1379&lt;=供应商对账单!$I$4),资金台帐!B1379+ROW()/100000,"")</f>
      </c>
      <c r="N2876">
        <f>IF(AND(ISNUMBER(出库明细!G2876),ISNUMBER(出库明细!E2876),ISNUMBER(出库明细!F2876)),IF(ABS(出库明细!G2876-出库明细!E2876*出库明细!F2876)&gt;0.005,1,0),0)</f>
        <v>0</v>
      </c>
    </row>
    <row r="2877">
      <c r="A2877">
        <f>IF(OR(出库明细!C1877="",出库明细!D1877=""),"",IF(OR(COUNTIFS(存条明细!$C$4:$C$1003,出库明细!C1877,存条明细!$D$4:$D$1003,出库明细!D1877)&gt;0,COUNTIFS(出库明细!$C$4:C1877,出库明细!C1877,出库明细!$D$4:D1877,出库明细!D1877)&gt;1),"",IFERROR(MATCH(出库明细!C1877,总览汇总!$B$5:$B$304,0),900)*10000000+IFERROR(MATCH(出库明细!D1877,基础资料!$E$5:$E$104,0),900)*10000+ROW()))</f>
      </c>
      <c r="F2877">
        <f>IF(AND(出库明细!C2877&lt;&gt;"",出库明细!C2877=客户对账单!$B$4,ISNUMBER(出库明细!B2877),出库明细!B2877&gt;=客户对账单!$G$4,出库明细!B2877&lt;=客户对账单!$I$4),出库明细!B2877+ROW()/100000,"")</f>
      </c>
      <c r="H2877">
        <f>IF(AND(资金台帐!K1380&lt;&gt;"",资金台帐!K1380=供应商对账单!$B$4,资金台帐!P1380="应付",ISNUMBER(资金台帐!B1380),资金台帐!B1380&gt;=供应商对账单!$G$4,资金台帐!B1380&lt;=供应商对账单!$I$4),资金台帐!B1380+ROW()/100000,"")</f>
      </c>
      <c r="N2877">
        <f>IF(AND(ISNUMBER(出库明细!G2877),ISNUMBER(出库明细!E2877),ISNUMBER(出库明细!F2877)),IF(ABS(出库明细!G2877-出库明细!E2877*出库明细!F2877)&gt;0.005,1,0),0)</f>
        <v>0</v>
      </c>
    </row>
    <row r="2878">
      <c r="A2878">
        <f>IF(OR(出库明细!C1878="",出库明细!D1878=""),"",IF(OR(COUNTIFS(存条明细!$C$4:$C$1003,出库明细!C1878,存条明细!$D$4:$D$1003,出库明细!D1878)&gt;0,COUNTIFS(出库明细!$C$4:C1878,出库明细!C1878,出库明细!$D$4:D1878,出库明细!D1878)&gt;1),"",IFERROR(MATCH(出库明细!C1878,总览汇总!$B$5:$B$304,0),900)*10000000+IFERROR(MATCH(出库明细!D1878,基础资料!$E$5:$E$104,0),900)*10000+ROW()))</f>
      </c>
      <c r="F2878">
        <f>IF(AND(出库明细!C2878&lt;&gt;"",出库明细!C2878=客户对账单!$B$4,ISNUMBER(出库明细!B2878),出库明细!B2878&gt;=客户对账单!$G$4,出库明细!B2878&lt;=客户对账单!$I$4),出库明细!B2878+ROW()/100000,"")</f>
      </c>
      <c r="H2878">
        <f>IF(AND(资金台帐!K1381&lt;&gt;"",资金台帐!K1381=供应商对账单!$B$4,资金台帐!P1381="应付",ISNUMBER(资金台帐!B1381),资金台帐!B1381&gt;=供应商对账单!$G$4,资金台帐!B1381&lt;=供应商对账单!$I$4),资金台帐!B1381+ROW()/100000,"")</f>
      </c>
      <c r="N2878">
        <f>IF(AND(ISNUMBER(出库明细!G2878),ISNUMBER(出库明细!E2878),ISNUMBER(出库明细!F2878)),IF(ABS(出库明细!G2878-出库明细!E2878*出库明细!F2878)&gt;0.005,1,0),0)</f>
        <v>0</v>
      </c>
    </row>
    <row r="2879">
      <c r="A2879">
        <f>IF(OR(出库明细!C1879="",出库明细!D1879=""),"",IF(OR(COUNTIFS(存条明细!$C$4:$C$1003,出库明细!C1879,存条明细!$D$4:$D$1003,出库明细!D1879)&gt;0,COUNTIFS(出库明细!$C$4:C1879,出库明细!C1879,出库明细!$D$4:D1879,出库明细!D1879)&gt;1),"",IFERROR(MATCH(出库明细!C1879,总览汇总!$B$5:$B$304,0),900)*10000000+IFERROR(MATCH(出库明细!D1879,基础资料!$E$5:$E$104,0),900)*10000+ROW()))</f>
      </c>
      <c r="F2879">
        <f>IF(AND(出库明细!C2879&lt;&gt;"",出库明细!C2879=客户对账单!$B$4,ISNUMBER(出库明细!B2879),出库明细!B2879&gt;=客户对账单!$G$4,出库明细!B2879&lt;=客户对账单!$I$4),出库明细!B2879+ROW()/100000,"")</f>
      </c>
      <c r="H2879">
        <f>IF(AND(资金台帐!K1382&lt;&gt;"",资金台帐!K1382=供应商对账单!$B$4,资金台帐!P1382="应付",ISNUMBER(资金台帐!B1382),资金台帐!B1382&gt;=供应商对账单!$G$4,资金台帐!B1382&lt;=供应商对账单!$I$4),资金台帐!B1382+ROW()/100000,"")</f>
      </c>
      <c r="N2879">
        <f>IF(AND(ISNUMBER(出库明细!G2879),ISNUMBER(出库明细!E2879),ISNUMBER(出库明细!F2879)),IF(ABS(出库明细!G2879-出库明细!E2879*出库明细!F2879)&gt;0.005,1,0),0)</f>
        <v>0</v>
      </c>
    </row>
    <row r="2880">
      <c r="A2880">
        <f>IF(OR(出库明细!C1880="",出库明细!D1880=""),"",IF(OR(COUNTIFS(存条明细!$C$4:$C$1003,出库明细!C1880,存条明细!$D$4:$D$1003,出库明细!D1880)&gt;0,COUNTIFS(出库明细!$C$4:C1880,出库明细!C1880,出库明细!$D$4:D1880,出库明细!D1880)&gt;1),"",IFERROR(MATCH(出库明细!C1880,总览汇总!$B$5:$B$304,0),900)*10000000+IFERROR(MATCH(出库明细!D1880,基础资料!$E$5:$E$104,0),900)*10000+ROW()))</f>
      </c>
      <c r="F2880">
        <f>IF(AND(出库明细!C2880&lt;&gt;"",出库明细!C2880=客户对账单!$B$4,ISNUMBER(出库明细!B2880),出库明细!B2880&gt;=客户对账单!$G$4,出库明细!B2880&lt;=客户对账单!$I$4),出库明细!B2880+ROW()/100000,"")</f>
      </c>
      <c r="H2880">
        <f>IF(AND(资金台帐!K1383&lt;&gt;"",资金台帐!K1383=供应商对账单!$B$4,资金台帐!P1383="应付",ISNUMBER(资金台帐!B1383),资金台帐!B1383&gt;=供应商对账单!$G$4,资金台帐!B1383&lt;=供应商对账单!$I$4),资金台帐!B1383+ROW()/100000,"")</f>
      </c>
      <c r="N2880">
        <f>IF(AND(ISNUMBER(出库明细!G2880),ISNUMBER(出库明细!E2880),ISNUMBER(出库明细!F2880)),IF(ABS(出库明细!G2880-出库明细!E2880*出库明细!F2880)&gt;0.005,1,0),0)</f>
        <v>0</v>
      </c>
    </row>
    <row r="2881">
      <c r="A2881">
        <f>IF(OR(出库明细!C1881="",出库明细!D1881=""),"",IF(OR(COUNTIFS(存条明细!$C$4:$C$1003,出库明细!C1881,存条明细!$D$4:$D$1003,出库明细!D1881)&gt;0,COUNTIFS(出库明细!$C$4:C1881,出库明细!C1881,出库明细!$D$4:D1881,出库明细!D1881)&gt;1),"",IFERROR(MATCH(出库明细!C1881,总览汇总!$B$5:$B$304,0),900)*10000000+IFERROR(MATCH(出库明细!D1881,基础资料!$E$5:$E$104,0),900)*10000+ROW()))</f>
      </c>
      <c r="F2881">
        <f>IF(AND(出库明细!C2881&lt;&gt;"",出库明细!C2881=客户对账单!$B$4,ISNUMBER(出库明细!B2881),出库明细!B2881&gt;=客户对账单!$G$4,出库明细!B2881&lt;=客户对账单!$I$4),出库明细!B2881+ROW()/100000,"")</f>
      </c>
      <c r="H2881">
        <f>IF(AND(资金台帐!K1384&lt;&gt;"",资金台帐!K1384=供应商对账单!$B$4,资金台帐!P1384="应付",ISNUMBER(资金台帐!B1384),资金台帐!B1384&gt;=供应商对账单!$G$4,资金台帐!B1384&lt;=供应商对账单!$I$4),资金台帐!B1384+ROW()/100000,"")</f>
      </c>
      <c r="N2881">
        <f>IF(AND(ISNUMBER(出库明细!G2881),ISNUMBER(出库明细!E2881),ISNUMBER(出库明细!F2881)),IF(ABS(出库明细!G2881-出库明细!E2881*出库明细!F2881)&gt;0.005,1,0),0)</f>
        <v>0</v>
      </c>
    </row>
    <row r="2882">
      <c r="A2882">
        <f>IF(OR(出库明细!C1882="",出库明细!D1882=""),"",IF(OR(COUNTIFS(存条明细!$C$4:$C$1003,出库明细!C1882,存条明细!$D$4:$D$1003,出库明细!D1882)&gt;0,COUNTIFS(出库明细!$C$4:C1882,出库明细!C1882,出库明细!$D$4:D1882,出库明细!D1882)&gt;1),"",IFERROR(MATCH(出库明细!C1882,总览汇总!$B$5:$B$304,0),900)*10000000+IFERROR(MATCH(出库明细!D1882,基础资料!$E$5:$E$104,0),900)*10000+ROW()))</f>
      </c>
      <c r="F2882">
        <f>IF(AND(出库明细!C2882&lt;&gt;"",出库明细!C2882=客户对账单!$B$4,ISNUMBER(出库明细!B2882),出库明细!B2882&gt;=客户对账单!$G$4,出库明细!B2882&lt;=客户对账单!$I$4),出库明细!B2882+ROW()/100000,"")</f>
      </c>
      <c r="H2882">
        <f>IF(AND(资金台帐!K1385&lt;&gt;"",资金台帐!K1385=供应商对账单!$B$4,资金台帐!P1385="应付",ISNUMBER(资金台帐!B1385),资金台帐!B1385&gt;=供应商对账单!$G$4,资金台帐!B1385&lt;=供应商对账单!$I$4),资金台帐!B1385+ROW()/100000,"")</f>
      </c>
      <c r="N2882">
        <f>IF(AND(ISNUMBER(出库明细!G2882),ISNUMBER(出库明细!E2882),ISNUMBER(出库明细!F2882)),IF(ABS(出库明细!G2882-出库明细!E2882*出库明细!F2882)&gt;0.005,1,0),0)</f>
        <v>0</v>
      </c>
    </row>
    <row r="2883">
      <c r="A2883">
        <f>IF(OR(出库明细!C1883="",出库明细!D1883=""),"",IF(OR(COUNTIFS(存条明细!$C$4:$C$1003,出库明细!C1883,存条明细!$D$4:$D$1003,出库明细!D1883)&gt;0,COUNTIFS(出库明细!$C$4:C1883,出库明细!C1883,出库明细!$D$4:D1883,出库明细!D1883)&gt;1),"",IFERROR(MATCH(出库明细!C1883,总览汇总!$B$5:$B$304,0),900)*10000000+IFERROR(MATCH(出库明细!D1883,基础资料!$E$5:$E$104,0),900)*10000+ROW()))</f>
      </c>
      <c r="F2883">
        <f>IF(AND(出库明细!C2883&lt;&gt;"",出库明细!C2883=客户对账单!$B$4,ISNUMBER(出库明细!B2883),出库明细!B2883&gt;=客户对账单!$G$4,出库明细!B2883&lt;=客户对账单!$I$4),出库明细!B2883+ROW()/100000,"")</f>
      </c>
      <c r="H2883">
        <f>IF(AND(资金台帐!K1386&lt;&gt;"",资金台帐!K1386=供应商对账单!$B$4,资金台帐!P1386="应付",ISNUMBER(资金台帐!B1386),资金台帐!B1386&gt;=供应商对账单!$G$4,资金台帐!B1386&lt;=供应商对账单!$I$4),资金台帐!B1386+ROW()/100000,"")</f>
      </c>
      <c r="N2883">
        <f>IF(AND(ISNUMBER(出库明细!G2883),ISNUMBER(出库明细!E2883),ISNUMBER(出库明细!F2883)),IF(ABS(出库明细!G2883-出库明细!E2883*出库明细!F2883)&gt;0.005,1,0),0)</f>
        <v>0</v>
      </c>
    </row>
    <row r="2884">
      <c r="A2884">
        <f>IF(OR(出库明细!C1884="",出库明细!D1884=""),"",IF(OR(COUNTIFS(存条明细!$C$4:$C$1003,出库明细!C1884,存条明细!$D$4:$D$1003,出库明细!D1884)&gt;0,COUNTIFS(出库明细!$C$4:C1884,出库明细!C1884,出库明细!$D$4:D1884,出库明细!D1884)&gt;1),"",IFERROR(MATCH(出库明细!C1884,总览汇总!$B$5:$B$304,0),900)*10000000+IFERROR(MATCH(出库明细!D1884,基础资料!$E$5:$E$104,0),900)*10000+ROW()))</f>
      </c>
      <c r="F2884">
        <f>IF(AND(出库明细!C2884&lt;&gt;"",出库明细!C2884=客户对账单!$B$4,ISNUMBER(出库明细!B2884),出库明细!B2884&gt;=客户对账单!$G$4,出库明细!B2884&lt;=客户对账单!$I$4),出库明细!B2884+ROW()/100000,"")</f>
      </c>
      <c r="H2884">
        <f>IF(AND(资金台帐!K1387&lt;&gt;"",资金台帐!K1387=供应商对账单!$B$4,资金台帐!P1387="应付",ISNUMBER(资金台帐!B1387),资金台帐!B1387&gt;=供应商对账单!$G$4,资金台帐!B1387&lt;=供应商对账单!$I$4),资金台帐!B1387+ROW()/100000,"")</f>
      </c>
      <c r="N2884">
        <f>IF(AND(ISNUMBER(出库明细!G2884),ISNUMBER(出库明细!E2884),ISNUMBER(出库明细!F2884)),IF(ABS(出库明细!G2884-出库明细!E2884*出库明细!F2884)&gt;0.005,1,0),0)</f>
        <v>0</v>
      </c>
    </row>
    <row r="2885">
      <c r="A2885">
        <f>IF(OR(出库明细!C1885="",出库明细!D1885=""),"",IF(OR(COUNTIFS(存条明细!$C$4:$C$1003,出库明细!C1885,存条明细!$D$4:$D$1003,出库明细!D1885)&gt;0,COUNTIFS(出库明细!$C$4:C1885,出库明细!C1885,出库明细!$D$4:D1885,出库明细!D1885)&gt;1),"",IFERROR(MATCH(出库明细!C1885,总览汇总!$B$5:$B$304,0),900)*10000000+IFERROR(MATCH(出库明细!D1885,基础资料!$E$5:$E$104,0),900)*10000+ROW()))</f>
      </c>
      <c r="F2885">
        <f>IF(AND(出库明细!C2885&lt;&gt;"",出库明细!C2885=客户对账单!$B$4,ISNUMBER(出库明细!B2885),出库明细!B2885&gt;=客户对账单!$G$4,出库明细!B2885&lt;=客户对账单!$I$4),出库明细!B2885+ROW()/100000,"")</f>
      </c>
      <c r="H2885">
        <f>IF(AND(资金台帐!K1388&lt;&gt;"",资金台帐!K1388=供应商对账单!$B$4,资金台帐!P1388="应付",ISNUMBER(资金台帐!B1388),资金台帐!B1388&gt;=供应商对账单!$G$4,资金台帐!B1388&lt;=供应商对账单!$I$4),资金台帐!B1388+ROW()/100000,"")</f>
      </c>
      <c r="N2885">
        <f>IF(AND(ISNUMBER(出库明细!G2885),ISNUMBER(出库明细!E2885),ISNUMBER(出库明细!F2885)),IF(ABS(出库明细!G2885-出库明细!E2885*出库明细!F2885)&gt;0.005,1,0),0)</f>
        <v>0</v>
      </c>
    </row>
    <row r="2886">
      <c r="A2886">
        <f>IF(OR(出库明细!C1886="",出库明细!D1886=""),"",IF(OR(COUNTIFS(存条明细!$C$4:$C$1003,出库明细!C1886,存条明细!$D$4:$D$1003,出库明细!D1886)&gt;0,COUNTIFS(出库明细!$C$4:C1886,出库明细!C1886,出库明细!$D$4:D1886,出库明细!D1886)&gt;1),"",IFERROR(MATCH(出库明细!C1886,总览汇总!$B$5:$B$304,0),900)*10000000+IFERROR(MATCH(出库明细!D1886,基础资料!$E$5:$E$104,0),900)*10000+ROW()))</f>
      </c>
      <c r="F2886">
        <f>IF(AND(出库明细!C2886&lt;&gt;"",出库明细!C2886=客户对账单!$B$4,ISNUMBER(出库明细!B2886),出库明细!B2886&gt;=客户对账单!$G$4,出库明细!B2886&lt;=客户对账单!$I$4),出库明细!B2886+ROW()/100000,"")</f>
      </c>
      <c r="H2886">
        <f>IF(AND(资金台帐!K1389&lt;&gt;"",资金台帐!K1389=供应商对账单!$B$4,资金台帐!P1389="应付",ISNUMBER(资金台帐!B1389),资金台帐!B1389&gt;=供应商对账单!$G$4,资金台帐!B1389&lt;=供应商对账单!$I$4),资金台帐!B1389+ROW()/100000,"")</f>
      </c>
      <c r="N2886">
        <f>IF(AND(ISNUMBER(出库明细!G2886),ISNUMBER(出库明细!E2886),ISNUMBER(出库明细!F2886)),IF(ABS(出库明细!G2886-出库明细!E2886*出库明细!F2886)&gt;0.005,1,0),0)</f>
        <v>0</v>
      </c>
    </row>
    <row r="2887">
      <c r="A2887">
        <f>IF(OR(出库明细!C1887="",出库明细!D1887=""),"",IF(OR(COUNTIFS(存条明细!$C$4:$C$1003,出库明细!C1887,存条明细!$D$4:$D$1003,出库明细!D1887)&gt;0,COUNTIFS(出库明细!$C$4:C1887,出库明细!C1887,出库明细!$D$4:D1887,出库明细!D1887)&gt;1),"",IFERROR(MATCH(出库明细!C1887,总览汇总!$B$5:$B$304,0),900)*10000000+IFERROR(MATCH(出库明细!D1887,基础资料!$E$5:$E$104,0),900)*10000+ROW()))</f>
      </c>
      <c r="F2887">
        <f>IF(AND(出库明细!C2887&lt;&gt;"",出库明细!C2887=客户对账单!$B$4,ISNUMBER(出库明细!B2887),出库明细!B2887&gt;=客户对账单!$G$4,出库明细!B2887&lt;=客户对账单!$I$4),出库明细!B2887+ROW()/100000,"")</f>
      </c>
      <c r="H2887">
        <f>IF(AND(资金台帐!K1390&lt;&gt;"",资金台帐!K1390=供应商对账单!$B$4,资金台帐!P1390="应付",ISNUMBER(资金台帐!B1390),资金台帐!B1390&gt;=供应商对账单!$G$4,资金台帐!B1390&lt;=供应商对账单!$I$4),资金台帐!B1390+ROW()/100000,"")</f>
      </c>
      <c r="N2887">
        <f>IF(AND(ISNUMBER(出库明细!G2887),ISNUMBER(出库明细!E2887),ISNUMBER(出库明细!F2887)),IF(ABS(出库明细!G2887-出库明细!E2887*出库明细!F2887)&gt;0.005,1,0),0)</f>
        <v>0</v>
      </c>
    </row>
    <row r="2888">
      <c r="A2888">
        <f>IF(OR(出库明细!C1888="",出库明细!D1888=""),"",IF(OR(COUNTIFS(存条明细!$C$4:$C$1003,出库明细!C1888,存条明细!$D$4:$D$1003,出库明细!D1888)&gt;0,COUNTIFS(出库明细!$C$4:C1888,出库明细!C1888,出库明细!$D$4:D1888,出库明细!D1888)&gt;1),"",IFERROR(MATCH(出库明细!C1888,总览汇总!$B$5:$B$304,0),900)*10000000+IFERROR(MATCH(出库明细!D1888,基础资料!$E$5:$E$104,0),900)*10000+ROW()))</f>
      </c>
      <c r="F2888">
        <f>IF(AND(出库明细!C2888&lt;&gt;"",出库明细!C2888=客户对账单!$B$4,ISNUMBER(出库明细!B2888),出库明细!B2888&gt;=客户对账单!$G$4,出库明细!B2888&lt;=客户对账单!$I$4),出库明细!B2888+ROW()/100000,"")</f>
      </c>
      <c r="H2888">
        <f>IF(AND(资金台帐!K1391&lt;&gt;"",资金台帐!K1391=供应商对账单!$B$4,资金台帐!P1391="应付",ISNUMBER(资金台帐!B1391),资金台帐!B1391&gt;=供应商对账单!$G$4,资金台帐!B1391&lt;=供应商对账单!$I$4),资金台帐!B1391+ROW()/100000,"")</f>
      </c>
      <c r="N2888">
        <f>IF(AND(ISNUMBER(出库明细!G2888),ISNUMBER(出库明细!E2888),ISNUMBER(出库明细!F2888)),IF(ABS(出库明细!G2888-出库明细!E2888*出库明细!F2888)&gt;0.005,1,0),0)</f>
        <v>0</v>
      </c>
    </row>
    <row r="2889">
      <c r="A2889">
        <f>IF(OR(出库明细!C1889="",出库明细!D1889=""),"",IF(OR(COUNTIFS(存条明细!$C$4:$C$1003,出库明细!C1889,存条明细!$D$4:$D$1003,出库明细!D1889)&gt;0,COUNTIFS(出库明细!$C$4:C1889,出库明细!C1889,出库明细!$D$4:D1889,出库明细!D1889)&gt;1),"",IFERROR(MATCH(出库明细!C1889,总览汇总!$B$5:$B$304,0),900)*10000000+IFERROR(MATCH(出库明细!D1889,基础资料!$E$5:$E$104,0),900)*10000+ROW()))</f>
      </c>
      <c r="F2889">
        <f>IF(AND(出库明细!C2889&lt;&gt;"",出库明细!C2889=客户对账单!$B$4,ISNUMBER(出库明细!B2889),出库明细!B2889&gt;=客户对账单!$G$4,出库明细!B2889&lt;=客户对账单!$I$4),出库明细!B2889+ROW()/100000,"")</f>
      </c>
      <c r="H2889">
        <f>IF(AND(资金台帐!K1392&lt;&gt;"",资金台帐!K1392=供应商对账单!$B$4,资金台帐!P1392="应付",ISNUMBER(资金台帐!B1392),资金台帐!B1392&gt;=供应商对账单!$G$4,资金台帐!B1392&lt;=供应商对账单!$I$4),资金台帐!B1392+ROW()/100000,"")</f>
      </c>
      <c r="N2889">
        <f>IF(AND(ISNUMBER(出库明细!G2889),ISNUMBER(出库明细!E2889),ISNUMBER(出库明细!F2889)),IF(ABS(出库明细!G2889-出库明细!E2889*出库明细!F2889)&gt;0.005,1,0),0)</f>
        <v>0</v>
      </c>
    </row>
    <row r="2890">
      <c r="A2890">
        <f>IF(OR(出库明细!C1890="",出库明细!D1890=""),"",IF(OR(COUNTIFS(存条明细!$C$4:$C$1003,出库明细!C1890,存条明细!$D$4:$D$1003,出库明细!D1890)&gt;0,COUNTIFS(出库明细!$C$4:C1890,出库明细!C1890,出库明细!$D$4:D1890,出库明细!D1890)&gt;1),"",IFERROR(MATCH(出库明细!C1890,总览汇总!$B$5:$B$304,0),900)*10000000+IFERROR(MATCH(出库明细!D1890,基础资料!$E$5:$E$104,0),900)*10000+ROW()))</f>
      </c>
      <c r="F2890">
        <f>IF(AND(出库明细!C2890&lt;&gt;"",出库明细!C2890=客户对账单!$B$4,ISNUMBER(出库明细!B2890),出库明细!B2890&gt;=客户对账单!$G$4,出库明细!B2890&lt;=客户对账单!$I$4),出库明细!B2890+ROW()/100000,"")</f>
      </c>
      <c r="H2890">
        <f>IF(AND(资金台帐!K1393&lt;&gt;"",资金台帐!K1393=供应商对账单!$B$4,资金台帐!P1393="应付",ISNUMBER(资金台帐!B1393),资金台帐!B1393&gt;=供应商对账单!$G$4,资金台帐!B1393&lt;=供应商对账单!$I$4),资金台帐!B1393+ROW()/100000,"")</f>
      </c>
      <c r="N2890">
        <f>IF(AND(ISNUMBER(出库明细!G2890),ISNUMBER(出库明细!E2890),ISNUMBER(出库明细!F2890)),IF(ABS(出库明细!G2890-出库明细!E2890*出库明细!F2890)&gt;0.005,1,0),0)</f>
        <v>0</v>
      </c>
    </row>
    <row r="2891">
      <c r="A2891">
        <f>IF(OR(出库明细!C1891="",出库明细!D1891=""),"",IF(OR(COUNTIFS(存条明细!$C$4:$C$1003,出库明细!C1891,存条明细!$D$4:$D$1003,出库明细!D1891)&gt;0,COUNTIFS(出库明细!$C$4:C1891,出库明细!C1891,出库明细!$D$4:D1891,出库明细!D1891)&gt;1),"",IFERROR(MATCH(出库明细!C1891,总览汇总!$B$5:$B$304,0),900)*10000000+IFERROR(MATCH(出库明细!D1891,基础资料!$E$5:$E$104,0),900)*10000+ROW()))</f>
      </c>
      <c r="F2891">
        <f>IF(AND(出库明细!C2891&lt;&gt;"",出库明细!C2891=客户对账单!$B$4,ISNUMBER(出库明细!B2891),出库明细!B2891&gt;=客户对账单!$G$4,出库明细!B2891&lt;=客户对账单!$I$4),出库明细!B2891+ROW()/100000,"")</f>
      </c>
      <c r="H2891">
        <f>IF(AND(资金台帐!K1394&lt;&gt;"",资金台帐!K1394=供应商对账单!$B$4,资金台帐!P1394="应付",ISNUMBER(资金台帐!B1394),资金台帐!B1394&gt;=供应商对账单!$G$4,资金台帐!B1394&lt;=供应商对账单!$I$4),资金台帐!B1394+ROW()/100000,"")</f>
      </c>
      <c r="N2891">
        <f>IF(AND(ISNUMBER(出库明细!G2891),ISNUMBER(出库明细!E2891),ISNUMBER(出库明细!F2891)),IF(ABS(出库明细!G2891-出库明细!E2891*出库明细!F2891)&gt;0.005,1,0),0)</f>
        <v>0</v>
      </c>
    </row>
    <row r="2892">
      <c r="A2892">
        <f>IF(OR(出库明细!C1892="",出库明细!D1892=""),"",IF(OR(COUNTIFS(存条明细!$C$4:$C$1003,出库明细!C1892,存条明细!$D$4:$D$1003,出库明细!D1892)&gt;0,COUNTIFS(出库明细!$C$4:C1892,出库明细!C1892,出库明细!$D$4:D1892,出库明细!D1892)&gt;1),"",IFERROR(MATCH(出库明细!C1892,总览汇总!$B$5:$B$304,0),900)*10000000+IFERROR(MATCH(出库明细!D1892,基础资料!$E$5:$E$104,0),900)*10000+ROW()))</f>
      </c>
      <c r="F2892">
        <f>IF(AND(出库明细!C2892&lt;&gt;"",出库明细!C2892=客户对账单!$B$4,ISNUMBER(出库明细!B2892),出库明细!B2892&gt;=客户对账单!$G$4,出库明细!B2892&lt;=客户对账单!$I$4),出库明细!B2892+ROW()/100000,"")</f>
      </c>
      <c r="H2892">
        <f>IF(AND(资金台帐!K1395&lt;&gt;"",资金台帐!K1395=供应商对账单!$B$4,资金台帐!P1395="应付",ISNUMBER(资金台帐!B1395),资金台帐!B1395&gt;=供应商对账单!$G$4,资金台帐!B1395&lt;=供应商对账单!$I$4),资金台帐!B1395+ROW()/100000,"")</f>
      </c>
      <c r="N2892">
        <f>IF(AND(ISNUMBER(出库明细!G2892),ISNUMBER(出库明细!E2892),ISNUMBER(出库明细!F2892)),IF(ABS(出库明细!G2892-出库明细!E2892*出库明细!F2892)&gt;0.005,1,0),0)</f>
        <v>0</v>
      </c>
    </row>
    <row r="2893">
      <c r="A2893">
        <f>IF(OR(出库明细!C1893="",出库明细!D1893=""),"",IF(OR(COUNTIFS(存条明细!$C$4:$C$1003,出库明细!C1893,存条明细!$D$4:$D$1003,出库明细!D1893)&gt;0,COUNTIFS(出库明细!$C$4:C1893,出库明细!C1893,出库明细!$D$4:D1893,出库明细!D1893)&gt;1),"",IFERROR(MATCH(出库明细!C1893,总览汇总!$B$5:$B$304,0),900)*10000000+IFERROR(MATCH(出库明细!D1893,基础资料!$E$5:$E$104,0),900)*10000+ROW()))</f>
      </c>
      <c r="F2893">
        <f>IF(AND(出库明细!C2893&lt;&gt;"",出库明细!C2893=客户对账单!$B$4,ISNUMBER(出库明细!B2893),出库明细!B2893&gt;=客户对账单!$G$4,出库明细!B2893&lt;=客户对账单!$I$4),出库明细!B2893+ROW()/100000,"")</f>
      </c>
      <c r="H2893">
        <f>IF(AND(资金台帐!K1396&lt;&gt;"",资金台帐!K1396=供应商对账单!$B$4,资金台帐!P1396="应付",ISNUMBER(资金台帐!B1396),资金台帐!B1396&gt;=供应商对账单!$G$4,资金台帐!B1396&lt;=供应商对账单!$I$4),资金台帐!B1396+ROW()/100000,"")</f>
      </c>
      <c r="N2893">
        <f>IF(AND(ISNUMBER(出库明细!G2893),ISNUMBER(出库明细!E2893),ISNUMBER(出库明细!F2893)),IF(ABS(出库明细!G2893-出库明细!E2893*出库明细!F2893)&gt;0.005,1,0),0)</f>
        <v>0</v>
      </c>
    </row>
    <row r="2894">
      <c r="A2894">
        <f>IF(OR(出库明细!C1894="",出库明细!D1894=""),"",IF(OR(COUNTIFS(存条明细!$C$4:$C$1003,出库明细!C1894,存条明细!$D$4:$D$1003,出库明细!D1894)&gt;0,COUNTIFS(出库明细!$C$4:C1894,出库明细!C1894,出库明细!$D$4:D1894,出库明细!D1894)&gt;1),"",IFERROR(MATCH(出库明细!C1894,总览汇总!$B$5:$B$304,0),900)*10000000+IFERROR(MATCH(出库明细!D1894,基础资料!$E$5:$E$104,0),900)*10000+ROW()))</f>
      </c>
      <c r="F2894">
        <f>IF(AND(出库明细!C2894&lt;&gt;"",出库明细!C2894=客户对账单!$B$4,ISNUMBER(出库明细!B2894),出库明细!B2894&gt;=客户对账单!$G$4,出库明细!B2894&lt;=客户对账单!$I$4),出库明细!B2894+ROW()/100000,"")</f>
      </c>
      <c r="H2894">
        <f>IF(AND(资金台帐!K1397&lt;&gt;"",资金台帐!K1397=供应商对账单!$B$4,资金台帐!P1397="应付",ISNUMBER(资金台帐!B1397),资金台帐!B1397&gt;=供应商对账单!$G$4,资金台帐!B1397&lt;=供应商对账单!$I$4),资金台帐!B1397+ROW()/100000,"")</f>
      </c>
      <c r="N2894">
        <f>IF(AND(ISNUMBER(出库明细!G2894),ISNUMBER(出库明细!E2894),ISNUMBER(出库明细!F2894)),IF(ABS(出库明细!G2894-出库明细!E2894*出库明细!F2894)&gt;0.005,1,0),0)</f>
        <v>0</v>
      </c>
    </row>
    <row r="2895">
      <c r="A2895">
        <f>IF(OR(出库明细!C1895="",出库明细!D1895=""),"",IF(OR(COUNTIFS(存条明细!$C$4:$C$1003,出库明细!C1895,存条明细!$D$4:$D$1003,出库明细!D1895)&gt;0,COUNTIFS(出库明细!$C$4:C1895,出库明细!C1895,出库明细!$D$4:D1895,出库明细!D1895)&gt;1),"",IFERROR(MATCH(出库明细!C1895,总览汇总!$B$5:$B$304,0),900)*10000000+IFERROR(MATCH(出库明细!D1895,基础资料!$E$5:$E$104,0),900)*10000+ROW()))</f>
      </c>
      <c r="F2895">
        <f>IF(AND(出库明细!C2895&lt;&gt;"",出库明细!C2895=客户对账单!$B$4,ISNUMBER(出库明细!B2895),出库明细!B2895&gt;=客户对账单!$G$4,出库明细!B2895&lt;=客户对账单!$I$4),出库明细!B2895+ROW()/100000,"")</f>
      </c>
      <c r="H2895">
        <f>IF(AND(资金台帐!K1398&lt;&gt;"",资金台帐!K1398=供应商对账单!$B$4,资金台帐!P1398="应付",ISNUMBER(资金台帐!B1398),资金台帐!B1398&gt;=供应商对账单!$G$4,资金台帐!B1398&lt;=供应商对账单!$I$4),资金台帐!B1398+ROW()/100000,"")</f>
      </c>
      <c r="N2895">
        <f>IF(AND(ISNUMBER(出库明细!G2895),ISNUMBER(出库明细!E2895),ISNUMBER(出库明细!F2895)),IF(ABS(出库明细!G2895-出库明细!E2895*出库明细!F2895)&gt;0.005,1,0),0)</f>
        <v>0</v>
      </c>
    </row>
    <row r="2896">
      <c r="A2896">
        <f>IF(OR(出库明细!C1896="",出库明细!D1896=""),"",IF(OR(COUNTIFS(存条明细!$C$4:$C$1003,出库明细!C1896,存条明细!$D$4:$D$1003,出库明细!D1896)&gt;0,COUNTIFS(出库明细!$C$4:C1896,出库明细!C1896,出库明细!$D$4:D1896,出库明细!D1896)&gt;1),"",IFERROR(MATCH(出库明细!C1896,总览汇总!$B$5:$B$304,0),900)*10000000+IFERROR(MATCH(出库明细!D1896,基础资料!$E$5:$E$104,0),900)*10000+ROW()))</f>
      </c>
      <c r="F2896">
        <f>IF(AND(出库明细!C2896&lt;&gt;"",出库明细!C2896=客户对账单!$B$4,ISNUMBER(出库明细!B2896),出库明细!B2896&gt;=客户对账单!$G$4,出库明细!B2896&lt;=客户对账单!$I$4),出库明细!B2896+ROW()/100000,"")</f>
      </c>
      <c r="H2896">
        <f>IF(AND(资金台帐!K1399&lt;&gt;"",资金台帐!K1399=供应商对账单!$B$4,资金台帐!P1399="应付",ISNUMBER(资金台帐!B1399),资金台帐!B1399&gt;=供应商对账单!$G$4,资金台帐!B1399&lt;=供应商对账单!$I$4),资金台帐!B1399+ROW()/100000,"")</f>
      </c>
      <c r="N2896">
        <f>IF(AND(ISNUMBER(出库明细!G2896),ISNUMBER(出库明细!E2896),ISNUMBER(出库明细!F2896)),IF(ABS(出库明细!G2896-出库明细!E2896*出库明细!F2896)&gt;0.005,1,0),0)</f>
        <v>0</v>
      </c>
    </row>
    <row r="2897">
      <c r="A2897">
        <f>IF(OR(出库明细!C1897="",出库明细!D1897=""),"",IF(OR(COUNTIFS(存条明细!$C$4:$C$1003,出库明细!C1897,存条明细!$D$4:$D$1003,出库明细!D1897)&gt;0,COUNTIFS(出库明细!$C$4:C1897,出库明细!C1897,出库明细!$D$4:D1897,出库明细!D1897)&gt;1),"",IFERROR(MATCH(出库明细!C1897,总览汇总!$B$5:$B$304,0),900)*10000000+IFERROR(MATCH(出库明细!D1897,基础资料!$E$5:$E$104,0),900)*10000+ROW()))</f>
      </c>
      <c r="F2897">
        <f>IF(AND(出库明细!C2897&lt;&gt;"",出库明细!C2897=客户对账单!$B$4,ISNUMBER(出库明细!B2897),出库明细!B2897&gt;=客户对账单!$G$4,出库明细!B2897&lt;=客户对账单!$I$4),出库明细!B2897+ROW()/100000,"")</f>
      </c>
      <c r="H2897">
        <f>IF(AND(资金台帐!K1400&lt;&gt;"",资金台帐!K1400=供应商对账单!$B$4,资金台帐!P1400="应付",ISNUMBER(资金台帐!B1400),资金台帐!B1400&gt;=供应商对账单!$G$4,资金台帐!B1400&lt;=供应商对账单!$I$4),资金台帐!B1400+ROW()/100000,"")</f>
      </c>
      <c r="N2897">
        <f>IF(AND(ISNUMBER(出库明细!G2897),ISNUMBER(出库明细!E2897),ISNUMBER(出库明细!F2897)),IF(ABS(出库明细!G2897-出库明细!E2897*出库明细!F2897)&gt;0.005,1,0),0)</f>
        <v>0</v>
      </c>
    </row>
    <row r="2898">
      <c r="A2898">
        <f>IF(OR(出库明细!C1898="",出库明细!D1898=""),"",IF(OR(COUNTIFS(存条明细!$C$4:$C$1003,出库明细!C1898,存条明细!$D$4:$D$1003,出库明细!D1898)&gt;0,COUNTIFS(出库明细!$C$4:C1898,出库明细!C1898,出库明细!$D$4:D1898,出库明细!D1898)&gt;1),"",IFERROR(MATCH(出库明细!C1898,总览汇总!$B$5:$B$304,0),900)*10000000+IFERROR(MATCH(出库明细!D1898,基础资料!$E$5:$E$104,0),900)*10000+ROW()))</f>
      </c>
      <c r="F2898">
        <f>IF(AND(出库明细!C2898&lt;&gt;"",出库明细!C2898=客户对账单!$B$4,ISNUMBER(出库明细!B2898),出库明细!B2898&gt;=客户对账单!$G$4,出库明细!B2898&lt;=客户对账单!$I$4),出库明细!B2898+ROW()/100000,"")</f>
      </c>
      <c r="H2898">
        <f>IF(AND(资金台帐!K1401&lt;&gt;"",资金台帐!K1401=供应商对账单!$B$4,资金台帐!P1401="应付",ISNUMBER(资金台帐!B1401),资金台帐!B1401&gt;=供应商对账单!$G$4,资金台帐!B1401&lt;=供应商对账单!$I$4),资金台帐!B1401+ROW()/100000,"")</f>
      </c>
      <c r="N2898">
        <f>IF(AND(ISNUMBER(出库明细!G2898),ISNUMBER(出库明细!E2898),ISNUMBER(出库明细!F2898)),IF(ABS(出库明细!G2898-出库明细!E2898*出库明细!F2898)&gt;0.005,1,0),0)</f>
        <v>0</v>
      </c>
    </row>
    <row r="2899">
      <c r="A2899">
        <f>IF(OR(出库明细!C1899="",出库明细!D1899=""),"",IF(OR(COUNTIFS(存条明细!$C$4:$C$1003,出库明细!C1899,存条明细!$D$4:$D$1003,出库明细!D1899)&gt;0,COUNTIFS(出库明细!$C$4:C1899,出库明细!C1899,出库明细!$D$4:D1899,出库明细!D1899)&gt;1),"",IFERROR(MATCH(出库明细!C1899,总览汇总!$B$5:$B$304,0),900)*10000000+IFERROR(MATCH(出库明细!D1899,基础资料!$E$5:$E$104,0),900)*10000+ROW()))</f>
      </c>
      <c r="F2899">
        <f>IF(AND(出库明细!C2899&lt;&gt;"",出库明细!C2899=客户对账单!$B$4,ISNUMBER(出库明细!B2899),出库明细!B2899&gt;=客户对账单!$G$4,出库明细!B2899&lt;=客户对账单!$I$4),出库明细!B2899+ROW()/100000,"")</f>
      </c>
      <c r="H2899">
        <f>IF(AND(资金台帐!K1402&lt;&gt;"",资金台帐!K1402=供应商对账单!$B$4,资金台帐!P1402="应付",ISNUMBER(资金台帐!B1402),资金台帐!B1402&gt;=供应商对账单!$G$4,资金台帐!B1402&lt;=供应商对账单!$I$4),资金台帐!B1402+ROW()/100000,"")</f>
      </c>
      <c r="N2899">
        <f>IF(AND(ISNUMBER(出库明细!G2899),ISNUMBER(出库明细!E2899),ISNUMBER(出库明细!F2899)),IF(ABS(出库明细!G2899-出库明细!E2899*出库明细!F2899)&gt;0.005,1,0),0)</f>
        <v>0</v>
      </c>
    </row>
    <row r="2900">
      <c r="A2900">
        <f>IF(OR(出库明细!C1900="",出库明细!D1900=""),"",IF(OR(COUNTIFS(存条明细!$C$4:$C$1003,出库明细!C1900,存条明细!$D$4:$D$1003,出库明细!D1900)&gt;0,COUNTIFS(出库明细!$C$4:C1900,出库明细!C1900,出库明细!$D$4:D1900,出库明细!D1900)&gt;1),"",IFERROR(MATCH(出库明细!C1900,总览汇总!$B$5:$B$304,0),900)*10000000+IFERROR(MATCH(出库明细!D1900,基础资料!$E$5:$E$104,0),900)*10000+ROW()))</f>
      </c>
      <c r="F2900">
        <f>IF(AND(出库明细!C2900&lt;&gt;"",出库明细!C2900=客户对账单!$B$4,ISNUMBER(出库明细!B2900),出库明细!B2900&gt;=客户对账单!$G$4,出库明细!B2900&lt;=客户对账单!$I$4),出库明细!B2900+ROW()/100000,"")</f>
      </c>
      <c r="H2900">
        <f>IF(AND(资金台帐!K1403&lt;&gt;"",资金台帐!K1403=供应商对账单!$B$4,资金台帐!P1403="应付",ISNUMBER(资金台帐!B1403),资金台帐!B1403&gt;=供应商对账单!$G$4,资金台帐!B1403&lt;=供应商对账单!$I$4),资金台帐!B1403+ROW()/100000,"")</f>
      </c>
      <c r="N2900">
        <f>IF(AND(ISNUMBER(出库明细!G2900),ISNUMBER(出库明细!E2900),ISNUMBER(出库明细!F2900)),IF(ABS(出库明细!G2900-出库明细!E2900*出库明细!F2900)&gt;0.005,1,0),0)</f>
        <v>0</v>
      </c>
    </row>
    <row r="2901">
      <c r="A2901">
        <f>IF(OR(出库明细!C1901="",出库明细!D1901=""),"",IF(OR(COUNTIFS(存条明细!$C$4:$C$1003,出库明细!C1901,存条明细!$D$4:$D$1003,出库明细!D1901)&gt;0,COUNTIFS(出库明细!$C$4:C1901,出库明细!C1901,出库明细!$D$4:D1901,出库明细!D1901)&gt;1),"",IFERROR(MATCH(出库明细!C1901,总览汇总!$B$5:$B$304,0),900)*10000000+IFERROR(MATCH(出库明细!D1901,基础资料!$E$5:$E$104,0),900)*10000+ROW()))</f>
      </c>
      <c r="F2901">
        <f>IF(AND(出库明细!C2901&lt;&gt;"",出库明细!C2901=客户对账单!$B$4,ISNUMBER(出库明细!B2901),出库明细!B2901&gt;=客户对账单!$G$4,出库明细!B2901&lt;=客户对账单!$I$4),出库明细!B2901+ROW()/100000,"")</f>
      </c>
      <c r="H2901">
        <f>IF(AND(资金台帐!K1404&lt;&gt;"",资金台帐!K1404=供应商对账单!$B$4,资金台帐!P1404="应付",ISNUMBER(资金台帐!B1404),资金台帐!B1404&gt;=供应商对账单!$G$4,资金台帐!B1404&lt;=供应商对账单!$I$4),资金台帐!B1404+ROW()/100000,"")</f>
      </c>
      <c r="N2901">
        <f>IF(AND(ISNUMBER(出库明细!G2901),ISNUMBER(出库明细!E2901),ISNUMBER(出库明细!F2901)),IF(ABS(出库明细!G2901-出库明细!E2901*出库明细!F2901)&gt;0.005,1,0),0)</f>
        <v>0</v>
      </c>
    </row>
    <row r="2902">
      <c r="A2902">
        <f>IF(OR(出库明细!C1902="",出库明细!D1902=""),"",IF(OR(COUNTIFS(存条明细!$C$4:$C$1003,出库明细!C1902,存条明细!$D$4:$D$1003,出库明细!D1902)&gt;0,COUNTIFS(出库明细!$C$4:C1902,出库明细!C1902,出库明细!$D$4:D1902,出库明细!D1902)&gt;1),"",IFERROR(MATCH(出库明细!C1902,总览汇总!$B$5:$B$304,0),900)*10000000+IFERROR(MATCH(出库明细!D1902,基础资料!$E$5:$E$104,0),900)*10000+ROW()))</f>
      </c>
      <c r="F2902">
        <f>IF(AND(出库明细!C2902&lt;&gt;"",出库明细!C2902=客户对账单!$B$4,ISNUMBER(出库明细!B2902),出库明细!B2902&gt;=客户对账单!$G$4,出库明细!B2902&lt;=客户对账单!$I$4),出库明细!B2902+ROW()/100000,"")</f>
      </c>
      <c r="H2902">
        <f>IF(AND(资金台帐!K1405&lt;&gt;"",资金台帐!K1405=供应商对账单!$B$4,资金台帐!P1405="应付",ISNUMBER(资金台帐!B1405),资金台帐!B1405&gt;=供应商对账单!$G$4,资金台帐!B1405&lt;=供应商对账单!$I$4),资金台帐!B1405+ROW()/100000,"")</f>
      </c>
      <c r="N2902">
        <f>IF(AND(ISNUMBER(出库明细!G2902),ISNUMBER(出库明细!E2902),ISNUMBER(出库明细!F2902)),IF(ABS(出库明细!G2902-出库明细!E2902*出库明细!F2902)&gt;0.005,1,0),0)</f>
        <v>0</v>
      </c>
    </row>
    <row r="2903">
      <c r="A2903">
        <f>IF(OR(出库明细!C1903="",出库明细!D1903=""),"",IF(OR(COUNTIFS(存条明细!$C$4:$C$1003,出库明细!C1903,存条明细!$D$4:$D$1003,出库明细!D1903)&gt;0,COUNTIFS(出库明细!$C$4:C1903,出库明细!C1903,出库明细!$D$4:D1903,出库明细!D1903)&gt;1),"",IFERROR(MATCH(出库明细!C1903,总览汇总!$B$5:$B$304,0),900)*10000000+IFERROR(MATCH(出库明细!D1903,基础资料!$E$5:$E$104,0),900)*10000+ROW()))</f>
      </c>
      <c r="F2903">
        <f>IF(AND(出库明细!C2903&lt;&gt;"",出库明细!C2903=客户对账单!$B$4,ISNUMBER(出库明细!B2903),出库明细!B2903&gt;=客户对账单!$G$4,出库明细!B2903&lt;=客户对账单!$I$4),出库明细!B2903+ROW()/100000,"")</f>
      </c>
      <c r="H2903">
        <f>IF(AND(资金台帐!K1406&lt;&gt;"",资金台帐!K1406=供应商对账单!$B$4,资金台帐!P1406="应付",ISNUMBER(资金台帐!B1406),资金台帐!B1406&gt;=供应商对账单!$G$4,资金台帐!B1406&lt;=供应商对账单!$I$4),资金台帐!B1406+ROW()/100000,"")</f>
      </c>
      <c r="N2903">
        <f>IF(AND(ISNUMBER(出库明细!G2903),ISNUMBER(出库明细!E2903),ISNUMBER(出库明细!F2903)),IF(ABS(出库明细!G2903-出库明细!E2903*出库明细!F2903)&gt;0.005,1,0),0)</f>
        <v>0</v>
      </c>
    </row>
    <row r="2904">
      <c r="A2904">
        <f>IF(OR(出库明细!C1904="",出库明细!D1904=""),"",IF(OR(COUNTIFS(存条明细!$C$4:$C$1003,出库明细!C1904,存条明细!$D$4:$D$1003,出库明细!D1904)&gt;0,COUNTIFS(出库明细!$C$4:C1904,出库明细!C1904,出库明细!$D$4:D1904,出库明细!D1904)&gt;1),"",IFERROR(MATCH(出库明细!C1904,总览汇总!$B$5:$B$304,0),900)*10000000+IFERROR(MATCH(出库明细!D1904,基础资料!$E$5:$E$104,0),900)*10000+ROW()))</f>
      </c>
      <c r="F2904">
        <f>IF(AND(出库明细!C2904&lt;&gt;"",出库明细!C2904=客户对账单!$B$4,ISNUMBER(出库明细!B2904),出库明细!B2904&gt;=客户对账单!$G$4,出库明细!B2904&lt;=客户对账单!$I$4),出库明细!B2904+ROW()/100000,"")</f>
      </c>
      <c r="H2904">
        <f>IF(AND(资金台帐!K1407&lt;&gt;"",资金台帐!K1407=供应商对账单!$B$4,资金台帐!P1407="应付",ISNUMBER(资金台帐!B1407),资金台帐!B1407&gt;=供应商对账单!$G$4,资金台帐!B1407&lt;=供应商对账单!$I$4),资金台帐!B1407+ROW()/100000,"")</f>
      </c>
      <c r="N2904">
        <f>IF(AND(ISNUMBER(出库明细!G2904),ISNUMBER(出库明细!E2904),ISNUMBER(出库明细!F2904)),IF(ABS(出库明细!G2904-出库明细!E2904*出库明细!F2904)&gt;0.005,1,0),0)</f>
        <v>0</v>
      </c>
    </row>
    <row r="2905">
      <c r="A2905">
        <f>IF(OR(出库明细!C1905="",出库明细!D1905=""),"",IF(OR(COUNTIFS(存条明细!$C$4:$C$1003,出库明细!C1905,存条明细!$D$4:$D$1003,出库明细!D1905)&gt;0,COUNTIFS(出库明细!$C$4:C1905,出库明细!C1905,出库明细!$D$4:D1905,出库明细!D1905)&gt;1),"",IFERROR(MATCH(出库明细!C1905,总览汇总!$B$5:$B$304,0),900)*10000000+IFERROR(MATCH(出库明细!D1905,基础资料!$E$5:$E$104,0),900)*10000+ROW()))</f>
      </c>
      <c r="F2905">
        <f>IF(AND(出库明细!C2905&lt;&gt;"",出库明细!C2905=客户对账单!$B$4,ISNUMBER(出库明细!B2905),出库明细!B2905&gt;=客户对账单!$G$4,出库明细!B2905&lt;=客户对账单!$I$4),出库明细!B2905+ROW()/100000,"")</f>
      </c>
      <c r="H2905">
        <f>IF(AND(资金台帐!K1408&lt;&gt;"",资金台帐!K1408=供应商对账单!$B$4,资金台帐!P1408="应付",ISNUMBER(资金台帐!B1408),资金台帐!B1408&gt;=供应商对账单!$G$4,资金台帐!B1408&lt;=供应商对账单!$I$4),资金台帐!B1408+ROW()/100000,"")</f>
      </c>
      <c r="N2905">
        <f>IF(AND(ISNUMBER(出库明细!G2905),ISNUMBER(出库明细!E2905),ISNUMBER(出库明细!F2905)),IF(ABS(出库明细!G2905-出库明细!E2905*出库明细!F2905)&gt;0.005,1,0),0)</f>
        <v>0</v>
      </c>
    </row>
    <row r="2906">
      <c r="A2906">
        <f>IF(OR(出库明细!C1906="",出库明细!D1906=""),"",IF(OR(COUNTIFS(存条明细!$C$4:$C$1003,出库明细!C1906,存条明细!$D$4:$D$1003,出库明细!D1906)&gt;0,COUNTIFS(出库明细!$C$4:C1906,出库明细!C1906,出库明细!$D$4:D1906,出库明细!D1906)&gt;1),"",IFERROR(MATCH(出库明细!C1906,总览汇总!$B$5:$B$304,0),900)*10000000+IFERROR(MATCH(出库明细!D1906,基础资料!$E$5:$E$104,0),900)*10000+ROW()))</f>
      </c>
      <c r="F2906">
        <f>IF(AND(出库明细!C2906&lt;&gt;"",出库明细!C2906=客户对账单!$B$4,ISNUMBER(出库明细!B2906),出库明细!B2906&gt;=客户对账单!$G$4,出库明细!B2906&lt;=客户对账单!$I$4),出库明细!B2906+ROW()/100000,"")</f>
      </c>
      <c r="H2906">
        <f>IF(AND(资金台帐!K1409&lt;&gt;"",资金台帐!K1409=供应商对账单!$B$4,资金台帐!P1409="应付",ISNUMBER(资金台帐!B1409),资金台帐!B1409&gt;=供应商对账单!$G$4,资金台帐!B1409&lt;=供应商对账单!$I$4),资金台帐!B1409+ROW()/100000,"")</f>
      </c>
      <c r="N2906">
        <f>IF(AND(ISNUMBER(出库明细!G2906),ISNUMBER(出库明细!E2906),ISNUMBER(出库明细!F2906)),IF(ABS(出库明细!G2906-出库明细!E2906*出库明细!F2906)&gt;0.005,1,0),0)</f>
        <v>0</v>
      </c>
    </row>
    <row r="2907">
      <c r="A2907">
        <f>IF(OR(出库明细!C1907="",出库明细!D1907=""),"",IF(OR(COUNTIFS(存条明细!$C$4:$C$1003,出库明细!C1907,存条明细!$D$4:$D$1003,出库明细!D1907)&gt;0,COUNTIFS(出库明细!$C$4:C1907,出库明细!C1907,出库明细!$D$4:D1907,出库明细!D1907)&gt;1),"",IFERROR(MATCH(出库明细!C1907,总览汇总!$B$5:$B$304,0),900)*10000000+IFERROR(MATCH(出库明细!D1907,基础资料!$E$5:$E$104,0),900)*10000+ROW()))</f>
      </c>
      <c r="F2907">
        <f>IF(AND(出库明细!C2907&lt;&gt;"",出库明细!C2907=客户对账单!$B$4,ISNUMBER(出库明细!B2907),出库明细!B2907&gt;=客户对账单!$G$4,出库明细!B2907&lt;=客户对账单!$I$4),出库明细!B2907+ROW()/100000,"")</f>
      </c>
      <c r="H2907">
        <f>IF(AND(资金台帐!K1410&lt;&gt;"",资金台帐!K1410=供应商对账单!$B$4,资金台帐!P1410="应付",ISNUMBER(资金台帐!B1410),资金台帐!B1410&gt;=供应商对账单!$G$4,资金台帐!B1410&lt;=供应商对账单!$I$4),资金台帐!B1410+ROW()/100000,"")</f>
      </c>
      <c r="N2907">
        <f>IF(AND(ISNUMBER(出库明细!G2907),ISNUMBER(出库明细!E2907),ISNUMBER(出库明细!F2907)),IF(ABS(出库明细!G2907-出库明细!E2907*出库明细!F2907)&gt;0.005,1,0),0)</f>
        <v>0</v>
      </c>
    </row>
    <row r="2908">
      <c r="A2908">
        <f>IF(OR(出库明细!C1908="",出库明细!D1908=""),"",IF(OR(COUNTIFS(存条明细!$C$4:$C$1003,出库明细!C1908,存条明细!$D$4:$D$1003,出库明细!D1908)&gt;0,COUNTIFS(出库明细!$C$4:C1908,出库明细!C1908,出库明细!$D$4:D1908,出库明细!D1908)&gt;1),"",IFERROR(MATCH(出库明细!C1908,总览汇总!$B$5:$B$304,0),900)*10000000+IFERROR(MATCH(出库明细!D1908,基础资料!$E$5:$E$104,0),900)*10000+ROW()))</f>
      </c>
      <c r="F2908">
        <f>IF(AND(出库明细!C2908&lt;&gt;"",出库明细!C2908=客户对账单!$B$4,ISNUMBER(出库明细!B2908),出库明细!B2908&gt;=客户对账单!$G$4,出库明细!B2908&lt;=客户对账单!$I$4),出库明细!B2908+ROW()/100000,"")</f>
      </c>
      <c r="H2908">
        <f>IF(AND(资金台帐!K1411&lt;&gt;"",资金台帐!K1411=供应商对账单!$B$4,资金台帐!P1411="应付",ISNUMBER(资金台帐!B1411),资金台帐!B1411&gt;=供应商对账单!$G$4,资金台帐!B1411&lt;=供应商对账单!$I$4),资金台帐!B1411+ROW()/100000,"")</f>
      </c>
      <c r="N2908">
        <f>IF(AND(ISNUMBER(出库明细!G2908),ISNUMBER(出库明细!E2908),ISNUMBER(出库明细!F2908)),IF(ABS(出库明细!G2908-出库明细!E2908*出库明细!F2908)&gt;0.005,1,0),0)</f>
        <v>0</v>
      </c>
    </row>
    <row r="2909">
      <c r="A2909">
        <f>IF(OR(出库明细!C1909="",出库明细!D1909=""),"",IF(OR(COUNTIFS(存条明细!$C$4:$C$1003,出库明细!C1909,存条明细!$D$4:$D$1003,出库明细!D1909)&gt;0,COUNTIFS(出库明细!$C$4:C1909,出库明细!C1909,出库明细!$D$4:D1909,出库明细!D1909)&gt;1),"",IFERROR(MATCH(出库明细!C1909,总览汇总!$B$5:$B$304,0),900)*10000000+IFERROR(MATCH(出库明细!D1909,基础资料!$E$5:$E$104,0),900)*10000+ROW()))</f>
      </c>
      <c r="F2909">
        <f>IF(AND(出库明细!C2909&lt;&gt;"",出库明细!C2909=客户对账单!$B$4,ISNUMBER(出库明细!B2909),出库明细!B2909&gt;=客户对账单!$G$4,出库明细!B2909&lt;=客户对账单!$I$4),出库明细!B2909+ROW()/100000,"")</f>
      </c>
      <c r="H2909">
        <f>IF(AND(资金台帐!K1412&lt;&gt;"",资金台帐!K1412=供应商对账单!$B$4,资金台帐!P1412="应付",ISNUMBER(资金台帐!B1412),资金台帐!B1412&gt;=供应商对账单!$G$4,资金台帐!B1412&lt;=供应商对账单!$I$4),资金台帐!B1412+ROW()/100000,"")</f>
      </c>
      <c r="N2909">
        <f>IF(AND(ISNUMBER(出库明细!G2909),ISNUMBER(出库明细!E2909),ISNUMBER(出库明细!F2909)),IF(ABS(出库明细!G2909-出库明细!E2909*出库明细!F2909)&gt;0.005,1,0),0)</f>
        <v>0</v>
      </c>
    </row>
    <row r="2910">
      <c r="A2910">
        <f>IF(OR(出库明细!C1910="",出库明细!D1910=""),"",IF(OR(COUNTIFS(存条明细!$C$4:$C$1003,出库明细!C1910,存条明细!$D$4:$D$1003,出库明细!D1910)&gt;0,COUNTIFS(出库明细!$C$4:C1910,出库明细!C1910,出库明细!$D$4:D1910,出库明细!D1910)&gt;1),"",IFERROR(MATCH(出库明细!C1910,总览汇总!$B$5:$B$304,0),900)*10000000+IFERROR(MATCH(出库明细!D1910,基础资料!$E$5:$E$104,0),900)*10000+ROW()))</f>
      </c>
      <c r="F2910">
        <f>IF(AND(出库明细!C2910&lt;&gt;"",出库明细!C2910=客户对账单!$B$4,ISNUMBER(出库明细!B2910),出库明细!B2910&gt;=客户对账单!$G$4,出库明细!B2910&lt;=客户对账单!$I$4),出库明细!B2910+ROW()/100000,"")</f>
      </c>
      <c r="H2910">
        <f>IF(AND(资金台帐!K1413&lt;&gt;"",资金台帐!K1413=供应商对账单!$B$4,资金台帐!P1413="应付",ISNUMBER(资金台帐!B1413),资金台帐!B1413&gt;=供应商对账单!$G$4,资金台帐!B1413&lt;=供应商对账单!$I$4),资金台帐!B1413+ROW()/100000,"")</f>
      </c>
      <c r="N2910">
        <f>IF(AND(ISNUMBER(出库明细!G2910),ISNUMBER(出库明细!E2910),ISNUMBER(出库明细!F2910)),IF(ABS(出库明细!G2910-出库明细!E2910*出库明细!F2910)&gt;0.005,1,0),0)</f>
        <v>0</v>
      </c>
    </row>
    <row r="2911">
      <c r="A2911">
        <f>IF(OR(出库明细!C1911="",出库明细!D1911=""),"",IF(OR(COUNTIFS(存条明细!$C$4:$C$1003,出库明细!C1911,存条明细!$D$4:$D$1003,出库明细!D1911)&gt;0,COUNTIFS(出库明细!$C$4:C1911,出库明细!C1911,出库明细!$D$4:D1911,出库明细!D1911)&gt;1),"",IFERROR(MATCH(出库明细!C1911,总览汇总!$B$5:$B$304,0),900)*10000000+IFERROR(MATCH(出库明细!D1911,基础资料!$E$5:$E$104,0),900)*10000+ROW()))</f>
      </c>
      <c r="F2911">
        <f>IF(AND(出库明细!C2911&lt;&gt;"",出库明细!C2911=客户对账单!$B$4,ISNUMBER(出库明细!B2911),出库明细!B2911&gt;=客户对账单!$G$4,出库明细!B2911&lt;=客户对账单!$I$4),出库明细!B2911+ROW()/100000,"")</f>
      </c>
      <c r="H2911">
        <f>IF(AND(资金台帐!K1414&lt;&gt;"",资金台帐!K1414=供应商对账单!$B$4,资金台帐!P1414="应付",ISNUMBER(资金台帐!B1414),资金台帐!B1414&gt;=供应商对账单!$G$4,资金台帐!B1414&lt;=供应商对账单!$I$4),资金台帐!B1414+ROW()/100000,"")</f>
      </c>
      <c r="N2911">
        <f>IF(AND(ISNUMBER(出库明细!G2911),ISNUMBER(出库明细!E2911),ISNUMBER(出库明细!F2911)),IF(ABS(出库明细!G2911-出库明细!E2911*出库明细!F2911)&gt;0.005,1,0),0)</f>
        <v>0</v>
      </c>
    </row>
    <row r="2912">
      <c r="A2912">
        <f>IF(OR(出库明细!C1912="",出库明细!D1912=""),"",IF(OR(COUNTIFS(存条明细!$C$4:$C$1003,出库明细!C1912,存条明细!$D$4:$D$1003,出库明细!D1912)&gt;0,COUNTIFS(出库明细!$C$4:C1912,出库明细!C1912,出库明细!$D$4:D1912,出库明细!D1912)&gt;1),"",IFERROR(MATCH(出库明细!C1912,总览汇总!$B$5:$B$304,0),900)*10000000+IFERROR(MATCH(出库明细!D1912,基础资料!$E$5:$E$104,0),900)*10000+ROW()))</f>
      </c>
      <c r="F2912">
        <f>IF(AND(出库明细!C2912&lt;&gt;"",出库明细!C2912=客户对账单!$B$4,ISNUMBER(出库明细!B2912),出库明细!B2912&gt;=客户对账单!$G$4,出库明细!B2912&lt;=客户对账单!$I$4),出库明细!B2912+ROW()/100000,"")</f>
      </c>
      <c r="H2912">
        <f>IF(AND(资金台帐!K1415&lt;&gt;"",资金台帐!K1415=供应商对账单!$B$4,资金台帐!P1415="应付",ISNUMBER(资金台帐!B1415),资金台帐!B1415&gt;=供应商对账单!$G$4,资金台帐!B1415&lt;=供应商对账单!$I$4),资金台帐!B1415+ROW()/100000,"")</f>
      </c>
      <c r="N2912">
        <f>IF(AND(ISNUMBER(出库明细!G2912),ISNUMBER(出库明细!E2912),ISNUMBER(出库明细!F2912)),IF(ABS(出库明细!G2912-出库明细!E2912*出库明细!F2912)&gt;0.005,1,0),0)</f>
        <v>0</v>
      </c>
    </row>
    <row r="2913">
      <c r="A2913">
        <f>IF(OR(出库明细!C1913="",出库明细!D1913=""),"",IF(OR(COUNTIFS(存条明细!$C$4:$C$1003,出库明细!C1913,存条明细!$D$4:$D$1003,出库明细!D1913)&gt;0,COUNTIFS(出库明细!$C$4:C1913,出库明细!C1913,出库明细!$D$4:D1913,出库明细!D1913)&gt;1),"",IFERROR(MATCH(出库明细!C1913,总览汇总!$B$5:$B$304,0),900)*10000000+IFERROR(MATCH(出库明细!D1913,基础资料!$E$5:$E$104,0),900)*10000+ROW()))</f>
      </c>
      <c r="F2913">
        <f>IF(AND(出库明细!C2913&lt;&gt;"",出库明细!C2913=客户对账单!$B$4,ISNUMBER(出库明细!B2913),出库明细!B2913&gt;=客户对账单!$G$4,出库明细!B2913&lt;=客户对账单!$I$4),出库明细!B2913+ROW()/100000,"")</f>
      </c>
      <c r="H2913">
        <f>IF(AND(资金台帐!K1416&lt;&gt;"",资金台帐!K1416=供应商对账单!$B$4,资金台帐!P1416="应付",ISNUMBER(资金台帐!B1416),资金台帐!B1416&gt;=供应商对账单!$G$4,资金台帐!B1416&lt;=供应商对账单!$I$4),资金台帐!B1416+ROW()/100000,"")</f>
      </c>
      <c r="N2913">
        <f>IF(AND(ISNUMBER(出库明细!G2913),ISNUMBER(出库明细!E2913),ISNUMBER(出库明细!F2913)),IF(ABS(出库明细!G2913-出库明细!E2913*出库明细!F2913)&gt;0.005,1,0),0)</f>
        <v>0</v>
      </c>
    </row>
    <row r="2914">
      <c r="A2914">
        <f>IF(OR(出库明细!C1914="",出库明细!D1914=""),"",IF(OR(COUNTIFS(存条明细!$C$4:$C$1003,出库明细!C1914,存条明细!$D$4:$D$1003,出库明细!D1914)&gt;0,COUNTIFS(出库明细!$C$4:C1914,出库明细!C1914,出库明细!$D$4:D1914,出库明细!D1914)&gt;1),"",IFERROR(MATCH(出库明细!C1914,总览汇总!$B$5:$B$304,0),900)*10000000+IFERROR(MATCH(出库明细!D1914,基础资料!$E$5:$E$104,0),900)*10000+ROW()))</f>
      </c>
      <c r="F2914">
        <f>IF(AND(出库明细!C2914&lt;&gt;"",出库明细!C2914=客户对账单!$B$4,ISNUMBER(出库明细!B2914),出库明细!B2914&gt;=客户对账单!$G$4,出库明细!B2914&lt;=客户对账单!$I$4),出库明细!B2914+ROW()/100000,"")</f>
      </c>
      <c r="H2914">
        <f>IF(AND(资金台帐!K1417&lt;&gt;"",资金台帐!K1417=供应商对账单!$B$4,资金台帐!P1417="应付",ISNUMBER(资金台帐!B1417),资金台帐!B1417&gt;=供应商对账单!$G$4,资金台帐!B1417&lt;=供应商对账单!$I$4),资金台帐!B1417+ROW()/100000,"")</f>
      </c>
      <c r="N2914">
        <f>IF(AND(ISNUMBER(出库明细!G2914),ISNUMBER(出库明细!E2914),ISNUMBER(出库明细!F2914)),IF(ABS(出库明细!G2914-出库明细!E2914*出库明细!F2914)&gt;0.005,1,0),0)</f>
        <v>0</v>
      </c>
    </row>
    <row r="2915">
      <c r="A2915">
        <f>IF(OR(出库明细!C1915="",出库明细!D1915=""),"",IF(OR(COUNTIFS(存条明细!$C$4:$C$1003,出库明细!C1915,存条明细!$D$4:$D$1003,出库明细!D1915)&gt;0,COUNTIFS(出库明细!$C$4:C1915,出库明细!C1915,出库明细!$D$4:D1915,出库明细!D1915)&gt;1),"",IFERROR(MATCH(出库明细!C1915,总览汇总!$B$5:$B$304,0),900)*10000000+IFERROR(MATCH(出库明细!D1915,基础资料!$E$5:$E$104,0),900)*10000+ROW()))</f>
      </c>
      <c r="F2915">
        <f>IF(AND(出库明细!C2915&lt;&gt;"",出库明细!C2915=客户对账单!$B$4,ISNUMBER(出库明细!B2915),出库明细!B2915&gt;=客户对账单!$G$4,出库明细!B2915&lt;=客户对账单!$I$4),出库明细!B2915+ROW()/100000,"")</f>
      </c>
      <c r="H2915">
        <f>IF(AND(资金台帐!K1418&lt;&gt;"",资金台帐!K1418=供应商对账单!$B$4,资金台帐!P1418="应付",ISNUMBER(资金台帐!B1418),资金台帐!B1418&gt;=供应商对账单!$G$4,资金台帐!B1418&lt;=供应商对账单!$I$4),资金台帐!B1418+ROW()/100000,"")</f>
      </c>
      <c r="N2915">
        <f>IF(AND(ISNUMBER(出库明细!G2915),ISNUMBER(出库明细!E2915),ISNUMBER(出库明细!F2915)),IF(ABS(出库明细!G2915-出库明细!E2915*出库明细!F2915)&gt;0.005,1,0),0)</f>
        <v>0</v>
      </c>
    </row>
    <row r="2916">
      <c r="A2916">
        <f>IF(OR(出库明细!C1916="",出库明细!D1916=""),"",IF(OR(COUNTIFS(存条明细!$C$4:$C$1003,出库明细!C1916,存条明细!$D$4:$D$1003,出库明细!D1916)&gt;0,COUNTIFS(出库明细!$C$4:C1916,出库明细!C1916,出库明细!$D$4:D1916,出库明细!D1916)&gt;1),"",IFERROR(MATCH(出库明细!C1916,总览汇总!$B$5:$B$304,0),900)*10000000+IFERROR(MATCH(出库明细!D1916,基础资料!$E$5:$E$104,0),900)*10000+ROW()))</f>
      </c>
      <c r="F2916">
        <f>IF(AND(出库明细!C2916&lt;&gt;"",出库明细!C2916=客户对账单!$B$4,ISNUMBER(出库明细!B2916),出库明细!B2916&gt;=客户对账单!$G$4,出库明细!B2916&lt;=客户对账单!$I$4),出库明细!B2916+ROW()/100000,"")</f>
      </c>
      <c r="H2916">
        <f>IF(AND(资金台帐!K1419&lt;&gt;"",资金台帐!K1419=供应商对账单!$B$4,资金台帐!P1419="应付",ISNUMBER(资金台帐!B1419),资金台帐!B1419&gt;=供应商对账单!$G$4,资金台帐!B1419&lt;=供应商对账单!$I$4),资金台帐!B1419+ROW()/100000,"")</f>
      </c>
      <c r="N2916">
        <f>IF(AND(ISNUMBER(出库明细!G2916),ISNUMBER(出库明细!E2916),ISNUMBER(出库明细!F2916)),IF(ABS(出库明细!G2916-出库明细!E2916*出库明细!F2916)&gt;0.005,1,0),0)</f>
        <v>0</v>
      </c>
    </row>
    <row r="2917">
      <c r="A2917">
        <f>IF(OR(出库明细!C1917="",出库明细!D1917=""),"",IF(OR(COUNTIFS(存条明细!$C$4:$C$1003,出库明细!C1917,存条明细!$D$4:$D$1003,出库明细!D1917)&gt;0,COUNTIFS(出库明细!$C$4:C1917,出库明细!C1917,出库明细!$D$4:D1917,出库明细!D1917)&gt;1),"",IFERROR(MATCH(出库明细!C1917,总览汇总!$B$5:$B$304,0),900)*10000000+IFERROR(MATCH(出库明细!D1917,基础资料!$E$5:$E$104,0),900)*10000+ROW()))</f>
      </c>
      <c r="F2917">
        <f>IF(AND(出库明细!C2917&lt;&gt;"",出库明细!C2917=客户对账单!$B$4,ISNUMBER(出库明细!B2917),出库明细!B2917&gt;=客户对账单!$G$4,出库明细!B2917&lt;=客户对账单!$I$4),出库明细!B2917+ROW()/100000,"")</f>
      </c>
      <c r="H2917">
        <f>IF(AND(资金台帐!K1420&lt;&gt;"",资金台帐!K1420=供应商对账单!$B$4,资金台帐!P1420="应付",ISNUMBER(资金台帐!B1420),资金台帐!B1420&gt;=供应商对账单!$G$4,资金台帐!B1420&lt;=供应商对账单!$I$4),资金台帐!B1420+ROW()/100000,"")</f>
      </c>
      <c r="N2917">
        <f>IF(AND(ISNUMBER(出库明细!G2917),ISNUMBER(出库明细!E2917),ISNUMBER(出库明细!F2917)),IF(ABS(出库明细!G2917-出库明细!E2917*出库明细!F2917)&gt;0.005,1,0),0)</f>
        <v>0</v>
      </c>
    </row>
    <row r="2918">
      <c r="A2918">
        <f>IF(OR(出库明细!C1918="",出库明细!D1918=""),"",IF(OR(COUNTIFS(存条明细!$C$4:$C$1003,出库明细!C1918,存条明细!$D$4:$D$1003,出库明细!D1918)&gt;0,COUNTIFS(出库明细!$C$4:C1918,出库明细!C1918,出库明细!$D$4:D1918,出库明细!D1918)&gt;1),"",IFERROR(MATCH(出库明细!C1918,总览汇总!$B$5:$B$304,0),900)*10000000+IFERROR(MATCH(出库明细!D1918,基础资料!$E$5:$E$104,0),900)*10000+ROW()))</f>
      </c>
      <c r="F2918">
        <f>IF(AND(出库明细!C2918&lt;&gt;"",出库明细!C2918=客户对账单!$B$4,ISNUMBER(出库明细!B2918),出库明细!B2918&gt;=客户对账单!$G$4,出库明细!B2918&lt;=客户对账单!$I$4),出库明细!B2918+ROW()/100000,"")</f>
      </c>
      <c r="H2918">
        <f>IF(AND(资金台帐!K1421&lt;&gt;"",资金台帐!K1421=供应商对账单!$B$4,资金台帐!P1421="应付",ISNUMBER(资金台帐!B1421),资金台帐!B1421&gt;=供应商对账单!$G$4,资金台帐!B1421&lt;=供应商对账单!$I$4),资金台帐!B1421+ROW()/100000,"")</f>
      </c>
      <c r="N2918">
        <f>IF(AND(ISNUMBER(出库明细!G2918),ISNUMBER(出库明细!E2918),ISNUMBER(出库明细!F2918)),IF(ABS(出库明细!G2918-出库明细!E2918*出库明细!F2918)&gt;0.005,1,0),0)</f>
        <v>0</v>
      </c>
    </row>
    <row r="2919">
      <c r="A2919">
        <f>IF(OR(出库明细!C1919="",出库明细!D1919=""),"",IF(OR(COUNTIFS(存条明细!$C$4:$C$1003,出库明细!C1919,存条明细!$D$4:$D$1003,出库明细!D1919)&gt;0,COUNTIFS(出库明细!$C$4:C1919,出库明细!C1919,出库明细!$D$4:D1919,出库明细!D1919)&gt;1),"",IFERROR(MATCH(出库明细!C1919,总览汇总!$B$5:$B$304,0),900)*10000000+IFERROR(MATCH(出库明细!D1919,基础资料!$E$5:$E$104,0),900)*10000+ROW()))</f>
      </c>
      <c r="F2919">
        <f>IF(AND(出库明细!C2919&lt;&gt;"",出库明细!C2919=客户对账单!$B$4,ISNUMBER(出库明细!B2919),出库明细!B2919&gt;=客户对账单!$G$4,出库明细!B2919&lt;=客户对账单!$I$4),出库明细!B2919+ROW()/100000,"")</f>
      </c>
      <c r="H2919">
        <f>IF(AND(资金台帐!K1422&lt;&gt;"",资金台帐!K1422=供应商对账单!$B$4,资金台帐!P1422="应付",ISNUMBER(资金台帐!B1422),资金台帐!B1422&gt;=供应商对账单!$G$4,资金台帐!B1422&lt;=供应商对账单!$I$4),资金台帐!B1422+ROW()/100000,"")</f>
      </c>
      <c r="N2919">
        <f>IF(AND(ISNUMBER(出库明细!G2919),ISNUMBER(出库明细!E2919),ISNUMBER(出库明细!F2919)),IF(ABS(出库明细!G2919-出库明细!E2919*出库明细!F2919)&gt;0.005,1,0),0)</f>
        <v>0</v>
      </c>
    </row>
    <row r="2920">
      <c r="A2920">
        <f>IF(OR(出库明细!C1920="",出库明细!D1920=""),"",IF(OR(COUNTIFS(存条明细!$C$4:$C$1003,出库明细!C1920,存条明细!$D$4:$D$1003,出库明细!D1920)&gt;0,COUNTIFS(出库明细!$C$4:C1920,出库明细!C1920,出库明细!$D$4:D1920,出库明细!D1920)&gt;1),"",IFERROR(MATCH(出库明细!C1920,总览汇总!$B$5:$B$304,0),900)*10000000+IFERROR(MATCH(出库明细!D1920,基础资料!$E$5:$E$104,0),900)*10000+ROW()))</f>
      </c>
      <c r="F2920">
        <f>IF(AND(出库明细!C2920&lt;&gt;"",出库明细!C2920=客户对账单!$B$4,ISNUMBER(出库明细!B2920),出库明细!B2920&gt;=客户对账单!$G$4,出库明细!B2920&lt;=客户对账单!$I$4),出库明细!B2920+ROW()/100000,"")</f>
      </c>
      <c r="H2920">
        <f>IF(AND(资金台帐!K1423&lt;&gt;"",资金台帐!K1423=供应商对账单!$B$4,资金台帐!P1423="应付",ISNUMBER(资金台帐!B1423),资金台帐!B1423&gt;=供应商对账单!$G$4,资金台帐!B1423&lt;=供应商对账单!$I$4),资金台帐!B1423+ROW()/100000,"")</f>
      </c>
      <c r="N2920">
        <f>IF(AND(ISNUMBER(出库明细!G2920),ISNUMBER(出库明细!E2920),ISNUMBER(出库明细!F2920)),IF(ABS(出库明细!G2920-出库明细!E2920*出库明细!F2920)&gt;0.005,1,0),0)</f>
        <v>0</v>
      </c>
    </row>
    <row r="2921">
      <c r="A2921">
        <f>IF(OR(出库明细!C1921="",出库明细!D1921=""),"",IF(OR(COUNTIFS(存条明细!$C$4:$C$1003,出库明细!C1921,存条明细!$D$4:$D$1003,出库明细!D1921)&gt;0,COUNTIFS(出库明细!$C$4:C1921,出库明细!C1921,出库明细!$D$4:D1921,出库明细!D1921)&gt;1),"",IFERROR(MATCH(出库明细!C1921,总览汇总!$B$5:$B$304,0),900)*10000000+IFERROR(MATCH(出库明细!D1921,基础资料!$E$5:$E$104,0),900)*10000+ROW()))</f>
      </c>
      <c r="F2921">
        <f>IF(AND(出库明细!C2921&lt;&gt;"",出库明细!C2921=客户对账单!$B$4,ISNUMBER(出库明细!B2921),出库明细!B2921&gt;=客户对账单!$G$4,出库明细!B2921&lt;=客户对账单!$I$4),出库明细!B2921+ROW()/100000,"")</f>
      </c>
      <c r="H2921">
        <f>IF(AND(资金台帐!K1424&lt;&gt;"",资金台帐!K1424=供应商对账单!$B$4,资金台帐!P1424="应付",ISNUMBER(资金台帐!B1424),资金台帐!B1424&gt;=供应商对账单!$G$4,资金台帐!B1424&lt;=供应商对账单!$I$4),资金台帐!B1424+ROW()/100000,"")</f>
      </c>
      <c r="N2921">
        <f>IF(AND(ISNUMBER(出库明细!G2921),ISNUMBER(出库明细!E2921),ISNUMBER(出库明细!F2921)),IF(ABS(出库明细!G2921-出库明细!E2921*出库明细!F2921)&gt;0.005,1,0),0)</f>
        <v>0</v>
      </c>
    </row>
    <row r="2922">
      <c r="A2922">
        <f>IF(OR(出库明细!C1922="",出库明细!D1922=""),"",IF(OR(COUNTIFS(存条明细!$C$4:$C$1003,出库明细!C1922,存条明细!$D$4:$D$1003,出库明细!D1922)&gt;0,COUNTIFS(出库明细!$C$4:C1922,出库明细!C1922,出库明细!$D$4:D1922,出库明细!D1922)&gt;1),"",IFERROR(MATCH(出库明细!C1922,总览汇总!$B$5:$B$304,0),900)*10000000+IFERROR(MATCH(出库明细!D1922,基础资料!$E$5:$E$104,0),900)*10000+ROW()))</f>
      </c>
      <c r="F2922">
        <f>IF(AND(出库明细!C2922&lt;&gt;"",出库明细!C2922=客户对账单!$B$4,ISNUMBER(出库明细!B2922),出库明细!B2922&gt;=客户对账单!$G$4,出库明细!B2922&lt;=客户对账单!$I$4),出库明细!B2922+ROW()/100000,"")</f>
      </c>
      <c r="H2922">
        <f>IF(AND(资金台帐!K1425&lt;&gt;"",资金台帐!K1425=供应商对账单!$B$4,资金台帐!P1425="应付",ISNUMBER(资金台帐!B1425),资金台帐!B1425&gt;=供应商对账单!$G$4,资金台帐!B1425&lt;=供应商对账单!$I$4),资金台帐!B1425+ROW()/100000,"")</f>
      </c>
      <c r="N2922">
        <f>IF(AND(ISNUMBER(出库明细!G2922),ISNUMBER(出库明细!E2922),ISNUMBER(出库明细!F2922)),IF(ABS(出库明细!G2922-出库明细!E2922*出库明细!F2922)&gt;0.005,1,0),0)</f>
        <v>0</v>
      </c>
    </row>
    <row r="2923">
      <c r="A2923">
        <f>IF(OR(出库明细!C1923="",出库明细!D1923=""),"",IF(OR(COUNTIFS(存条明细!$C$4:$C$1003,出库明细!C1923,存条明细!$D$4:$D$1003,出库明细!D1923)&gt;0,COUNTIFS(出库明细!$C$4:C1923,出库明细!C1923,出库明细!$D$4:D1923,出库明细!D1923)&gt;1),"",IFERROR(MATCH(出库明细!C1923,总览汇总!$B$5:$B$304,0),900)*10000000+IFERROR(MATCH(出库明细!D1923,基础资料!$E$5:$E$104,0),900)*10000+ROW()))</f>
      </c>
      <c r="F2923">
        <f>IF(AND(出库明细!C2923&lt;&gt;"",出库明细!C2923=客户对账单!$B$4,ISNUMBER(出库明细!B2923),出库明细!B2923&gt;=客户对账单!$G$4,出库明细!B2923&lt;=客户对账单!$I$4),出库明细!B2923+ROW()/100000,"")</f>
      </c>
      <c r="H2923">
        <f>IF(AND(资金台帐!K1426&lt;&gt;"",资金台帐!K1426=供应商对账单!$B$4,资金台帐!P1426="应付",ISNUMBER(资金台帐!B1426),资金台帐!B1426&gt;=供应商对账单!$G$4,资金台帐!B1426&lt;=供应商对账单!$I$4),资金台帐!B1426+ROW()/100000,"")</f>
      </c>
      <c r="N2923">
        <f>IF(AND(ISNUMBER(出库明细!G2923),ISNUMBER(出库明细!E2923),ISNUMBER(出库明细!F2923)),IF(ABS(出库明细!G2923-出库明细!E2923*出库明细!F2923)&gt;0.005,1,0),0)</f>
        <v>0</v>
      </c>
    </row>
    <row r="2924">
      <c r="A2924">
        <f>IF(OR(出库明细!C1924="",出库明细!D1924=""),"",IF(OR(COUNTIFS(存条明细!$C$4:$C$1003,出库明细!C1924,存条明细!$D$4:$D$1003,出库明细!D1924)&gt;0,COUNTIFS(出库明细!$C$4:C1924,出库明细!C1924,出库明细!$D$4:D1924,出库明细!D1924)&gt;1),"",IFERROR(MATCH(出库明细!C1924,总览汇总!$B$5:$B$304,0),900)*10000000+IFERROR(MATCH(出库明细!D1924,基础资料!$E$5:$E$104,0),900)*10000+ROW()))</f>
      </c>
      <c r="F2924">
        <f>IF(AND(出库明细!C2924&lt;&gt;"",出库明细!C2924=客户对账单!$B$4,ISNUMBER(出库明细!B2924),出库明细!B2924&gt;=客户对账单!$G$4,出库明细!B2924&lt;=客户对账单!$I$4),出库明细!B2924+ROW()/100000,"")</f>
      </c>
      <c r="H2924">
        <f>IF(AND(资金台帐!K1427&lt;&gt;"",资金台帐!K1427=供应商对账单!$B$4,资金台帐!P1427="应付",ISNUMBER(资金台帐!B1427),资金台帐!B1427&gt;=供应商对账单!$G$4,资金台帐!B1427&lt;=供应商对账单!$I$4),资金台帐!B1427+ROW()/100000,"")</f>
      </c>
      <c r="N2924">
        <f>IF(AND(ISNUMBER(出库明细!G2924),ISNUMBER(出库明细!E2924),ISNUMBER(出库明细!F2924)),IF(ABS(出库明细!G2924-出库明细!E2924*出库明细!F2924)&gt;0.005,1,0),0)</f>
        <v>0</v>
      </c>
    </row>
    <row r="2925">
      <c r="A2925">
        <f>IF(OR(出库明细!C1925="",出库明细!D1925=""),"",IF(OR(COUNTIFS(存条明细!$C$4:$C$1003,出库明细!C1925,存条明细!$D$4:$D$1003,出库明细!D1925)&gt;0,COUNTIFS(出库明细!$C$4:C1925,出库明细!C1925,出库明细!$D$4:D1925,出库明细!D1925)&gt;1),"",IFERROR(MATCH(出库明细!C1925,总览汇总!$B$5:$B$304,0),900)*10000000+IFERROR(MATCH(出库明细!D1925,基础资料!$E$5:$E$104,0),900)*10000+ROW()))</f>
      </c>
      <c r="F2925">
        <f>IF(AND(出库明细!C2925&lt;&gt;"",出库明细!C2925=客户对账单!$B$4,ISNUMBER(出库明细!B2925),出库明细!B2925&gt;=客户对账单!$G$4,出库明细!B2925&lt;=客户对账单!$I$4),出库明细!B2925+ROW()/100000,"")</f>
      </c>
      <c r="H2925">
        <f>IF(AND(资金台帐!K1428&lt;&gt;"",资金台帐!K1428=供应商对账单!$B$4,资金台帐!P1428="应付",ISNUMBER(资金台帐!B1428),资金台帐!B1428&gt;=供应商对账单!$G$4,资金台帐!B1428&lt;=供应商对账单!$I$4),资金台帐!B1428+ROW()/100000,"")</f>
      </c>
      <c r="N2925">
        <f>IF(AND(ISNUMBER(出库明细!G2925),ISNUMBER(出库明细!E2925),ISNUMBER(出库明细!F2925)),IF(ABS(出库明细!G2925-出库明细!E2925*出库明细!F2925)&gt;0.005,1,0),0)</f>
        <v>0</v>
      </c>
    </row>
    <row r="2926">
      <c r="A2926">
        <f>IF(OR(出库明细!C1926="",出库明细!D1926=""),"",IF(OR(COUNTIFS(存条明细!$C$4:$C$1003,出库明细!C1926,存条明细!$D$4:$D$1003,出库明细!D1926)&gt;0,COUNTIFS(出库明细!$C$4:C1926,出库明细!C1926,出库明细!$D$4:D1926,出库明细!D1926)&gt;1),"",IFERROR(MATCH(出库明细!C1926,总览汇总!$B$5:$B$304,0),900)*10000000+IFERROR(MATCH(出库明细!D1926,基础资料!$E$5:$E$104,0),900)*10000+ROW()))</f>
      </c>
      <c r="F2926">
        <f>IF(AND(出库明细!C2926&lt;&gt;"",出库明细!C2926=客户对账单!$B$4,ISNUMBER(出库明细!B2926),出库明细!B2926&gt;=客户对账单!$G$4,出库明细!B2926&lt;=客户对账单!$I$4),出库明细!B2926+ROW()/100000,"")</f>
      </c>
      <c r="H2926">
        <f>IF(AND(资金台帐!K1429&lt;&gt;"",资金台帐!K1429=供应商对账单!$B$4,资金台帐!P1429="应付",ISNUMBER(资金台帐!B1429),资金台帐!B1429&gt;=供应商对账单!$G$4,资金台帐!B1429&lt;=供应商对账单!$I$4),资金台帐!B1429+ROW()/100000,"")</f>
      </c>
      <c r="N2926">
        <f>IF(AND(ISNUMBER(出库明细!G2926),ISNUMBER(出库明细!E2926),ISNUMBER(出库明细!F2926)),IF(ABS(出库明细!G2926-出库明细!E2926*出库明细!F2926)&gt;0.005,1,0),0)</f>
        <v>0</v>
      </c>
    </row>
    <row r="2927">
      <c r="A2927">
        <f>IF(OR(出库明细!C1927="",出库明细!D1927=""),"",IF(OR(COUNTIFS(存条明细!$C$4:$C$1003,出库明细!C1927,存条明细!$D$4:$D$1003,出库明细!D1927)&gt;0,COUNTIFS(出库明细!$C$4:C1927,出库明细!C1927,出库明细!$D$4:D1927,出库明细!D1927)&gt;1),"",IFERROR(MATCH(出库明细!C1927,总览汇总!$B$5:$B$304,0),900)*10000000+IFERROR(MATCH(出库明细!D1927,基础资料!$E$5:$E$104,0),900)*10000+ROW()))</f>
      </c>
      <c r="F2927">
        <f>IF(AND(出库明细!C2927&lt;&gt;"",出库明细!C2927=客户对账单!$B$4,ISNUMBER(出库明细!B2927),出库明细!B2927&gt;=客户对账单!$G$4,出库明细!B2927&lt;=客户对账单!$I$4),出库明细!B2927+ROW()/100000,"")</f>
      </c>
      <c r="H2927">
        <f>IF(AND(资金台帐!K1430&lt;&gt;"",资金台帐!K1430=供应商对账单!$B$4,资金台帐!P1430="应付",ISNUMBER(资金台帐!B1430),资金台帐!B1430&gt;=供应商对账单!$G$4,资金台帐!B1430&lt;=供应商对账单!$I$4),资金台帐!B1430+ROW()/100000,"")</f>
      </c>
      <c r="N2927">
        <f>IF(AND(ISNUMBER(出库明细!G2927),ISNUMBER(出库明细!E2927),ISNUMBER(出库明细!F2927)),IF(ABS(出库明细!G2927-出库明细!E2927*出库明细!F2927)&gt;0.005,1,0),0)</f>
        <v>0</v>
      </c>
    </row>
    <row r="2928">
      <c r="A2928">
        <f>IF(OR(出库明细!C1928="",出库明细!D1928=""),"",IF(OR(COUNTIFS(存条明细!$C$4:$C$1003,出库明细!C1928,存条明细!$D$4:$D$1003,出库明细!D1928)&gt;0,COUNTIFS(出库明细!$C$4:C1928,出库明细!C1928,出库明细!$D$4:D1928,出库明细!D1928)&gt;1),"",IFERROR(MATCH(出库明细!C1928,总览汇总!$B$5:$B$304,0),900)*10000000+IFERROR(MATCH(出库明细!D1928,基础资料!$E$5:$E$104,0),900)*10000+ROW()))</f>
      </c>
      <c r="F2928">
        <f>IF(AND(出库明细!C2928&lt;&gt;"",出库明细!C2928=客户对账单!$B$4,ISNUMBER(出库明细!B2928),出库明细!B2928&gt;=客户对账单!$G$4,出库明细!B2928&lt;=客户对账单!$I$4),出库明细!B2928+ROW()/100000,"")</f>
      </c>
      <c r="H2928">
        <f>IF(AND(资金台帐!K1431&lt;&gt;"",资金台帐!K1431=供应商对账单!$B$4,资金台帐!P1431="应付",ISNUMBER(资金台帐!B1431),资金台帐!B1431&gt;=供应商对账单!$G$4,资金台帐!B1431&lt;=供应商对账单!$I$4),资金台帐!B1431+ROW()/100000,"")</f>
      </c>
      <c r="N2928">
        <f>IF(AND(ISNUMBER(出库明细!G2928),ISNUMBER(出库明细!E2928),ISNUMBER(出库明细!F2928)),IF(ABS(出库明细!G2928-出库明细!E2928*出库明细!F2928)&gt;0.005,1,0),0)</f>
        <v>0</v>
      </c>
    </row>
    <row r="2929">
      <c r="A2929">
        <f>IF(OR(出库明细!C1929="",出库明细!D1929=""),"",IF(OR(COUNTIFS(存条明细!$C$4:$C$1003,出库明细!C1929,存条明细!$D$4:$D$1003,出库明细!D1929)&gt;0,COUNTIFS(出库明细!$C$4:C1929,出库明细!C1929,出库明细!$D$4:D1929,出库明细!D1929)&gt;1),"",IFERROR(MATCH(出库明细!C1929,总览汇总!$B$5:$B$304,0),900)*10000000+IFERROR(MATCH(出库明细!D1929,基础资料!$E$5:$E$104,0),900)*10000+ROW()))</f>
      </c>
      <c r="F2929">
        <f>IF(AND(出库明细!C2929&lt;&gt;"",出库明细!C2929=客户对账单!$B$4,ISNUMBER(出库明细!B2929),出库明细!B2929&gt;=客户对账单!$G$4,出库明细!B2929&lt;=客户对账单!$I$4),出库明细!B2929+ROW()/100000,"")</f>
      </c>
      <c r="H2929">
        <f>IF(AND(资金台帐!K1432&lt;&gt;"",资金台帐!K1432=供应商对账单!$B$4,资金台帐!P1432="应付",ISNUMBER(资金台帐!B1432),资金台帐!B1432&gt;=供应商对账单!$G$4,资金台帐!B1432&lt;=供应商对账单!$I$4),资金台帐!B1432+ROW()/100000,"")</f>
      </c>
      <c r="N2929">
        <f>IF(AND(ISNUMBER(出库明细!G2929),ISNUMBER(出库明细!E2929),ISNUMBER(出库明细!F2929)),IF(ABS(出库明细!G2929-出库明细!E2929*出库明细!F2929)&gt;0.005,1,0),0)</f>
        <v>0</v>
      </c>
    </row>
    <row r="2930">
      <c r="A2930">
        <f>IF(OR(出库明细!C1930="",出库明细!D1930=""),"",IF(OR(COUNTIFS(存条明细!$C$4:$C$1003,出库明细!C1930,存条明细!$D$4:$D$1003,出库明细!D1930)&gt;0,COUNTIFS(出库明细!$C$4:C1930,出库明细!C1930,出库明细!$D$4:D1930,出库明细!D1930)&gt;1),"",IFERROR(MATCH(出库明细!C1930,总览汇总!$B$5:$B$304,0),900)*10000000+IFERROR(MATCH(出库明细!D1930,基础资料!$E$5:$E$104,0),900)*10000+ROW()))</f>
      </c>
      <c r="F2930">
        <f>IF(AND(出库明细!C2930&lt;&gt;"",出库明细!C2930=客户对账单!$B$4,ISNUMBER(出库明细!B2930),出库明细!B2930&gt;=客户对账单!$G$4,出库明细!B2930&lt;=客户对账单!$I$4),出库明细!B2930+ROW()/100000,"")</f>
      </c>
      <c r="H2930">
        <f>IF(AND(资金台帐!K1433&lt;&gt;"",资金台帐!K1433=供应商对账单!$B$4,资金台帐!P1433="应付",ISNUMBER(资金台帐!B1433),资金台帐!B1433&gt;=供应商对账单!$G$4,资金台帐!B1433&lt;=供应商对账单!$I$4),资金台帐!B1433+ROW()/100000,"")</f>
      </c>
      <c r="N2930">
        <f>IF(AND(ISNUMBER(出库明细!G2930),ISNUMBER(出库明细!E2930),ISNUMBER(出库明细!F2930)),IF(ABS(出库明细!G2930-出库明细!E2930*出库明细!F2930)&gt;0.005,1,0),0)</f>
        <v>0</v>
      </c>
    </row>
    <row r="2931">
      <c r="A2931">
        <f>IF(OR(出库明细!C1931="",出库明细!D1931=""),"",IF(OR(COUNTIFS(存条明细!$C$4:$C$1003,出库明细!C1931,存条明细!$D$4:$D$1003,出库明细!D1931)&gt;0,COUNTIFS(出库明细!$C$4:C1931,出库明细!C1931,出库明细!$D$4:D1931,出库明细!D1931)&gt;1),"",IFERROR(MATCH(出库明细!C1931,总览汇总!$B$5:$B$304,0),900)*10000000+IFERROR(MATCH(出库明细!D1931,基础资料!$E$5:$E$104,0),900)*10000+ROW()))</f>
      </c>
      <c r="F2931">
        <f>IF(AND(出库明细!C2931&lt;&gt;"",出库明细!C2931=客户对账单!$B$4,ISNUMBER(出库明细!B2931),出库明细!B2931&gt;=客户对账单!$G$4,出库明细!B2931&lt;=客户对账单!$I$4),出库明细!B2931+ROW()/100000,"")</f>
      </c>
      <c r="H2931">
        <f>IF(AND(资金台帐!K1434&lt;&gt;"",资金台帐!K1434=供应商对账单!$B$4,资金台帐!P1434="应付",ISNUMBER(资金台帐!B1434),资金台帐!B1434&gt;=供应商对账单!$G$4,资金台帐!B1434&lt;=供应商对账单!$I$4),资金台帐!B1434+ROW()/100000,"")</f>
      </c>
      <c r="N2931">
        <f>IF(AND(ISNUMBER(出库明细!G2931),ISNUMBER(出库明细!E2931),ISNUMBER(出库明细!F2931)),IF(ABS(出库明细!G2931-出库明细!E2931*出库明细!F2931)&gt;0.005,1,0),0)</f>
        <v>0</v>
      </c>
    </row>
    <row r="2932">
      <c r="A2932">
        <f>IF(OR(出库明细!C1932="",出库明细!D1932=""),"",IF(OR(COUNTIFS(存条明细!$C$4:$C$1003,出库明细!C1932,存条明细!$D$4:$D$1003,出库明细!D1932)&gt;0,COUNTIFS(出库明细!$C$4:C1932,出库明细!C1932,出库明细!$D$4:D1932,出库明细!D1932)&gt;1),"",IFERROR(MATCH(出库明细!C1932,总览汇总!$B$5:$B$304,0),900)*10000000+IFERROR(MATCH(出库明细!D1932,基础资料!$E$5:$E$104,0),900)*10000+ROW()))</f>
      </c>
      <c r="F2932">
        <f>IF(AND(出库明细!C2932&lt;&gt;"",出库明细!C2932=客户对账单!$B$4,ISNUMBER(出库明细!B2932),出库明细!B2932&gt;=客户对账单!$G$4,出库明细!B2932&lt;=客户对账单!$I$4),出库明细!B2932+ROW()/100000,"")</f>
      </c>
      <c r="H2932">
        <f>IF(AND(资金台帐!K1435&lt;&gt;"",资金台帐!K1435=供应商对账单!$B$4,资金台帐!P1435="应付",ISNUMBER(资金台帐!B1435),资金台帐!B1435&gt;=供应商对账单!$G$4,资金台帐!B1435&lt;=供应商对账单!$I$4),资金台帐!B1435+ROW()/100000,"")</f>
      </c>
      <c r="N2932">
        <f>IF(AND(ISNUMBER(出库明细!G2932),ISNUMBER(出库明细!E2932),ISNUMBER(出库明细!F2932)),IF(ABS(出库明细!G2932-出库明细!E2932*出库明细!F2932)&gt;0.005,1,0),0)</f>
        <v>0</v>
      </c>
    </row>
    <row r="2933">
      <c r="A2933">
        <f>IF(OR(出库明细!C1933="",出库明细!D1933=""),"",IF(OR(COUNTIFS(存条明细!$C$4:$C$1003,出库明细!C1933,存条明细!$D$4:$D$1003,出库明细!D1933)&gt;0,COUNTIFS(出库明细!$C$4:C1933,出库明细!C1933,出库明细!$D$4:D1933,出库明细!D1933)&gt;1),"",IFERROR(MATCH(出库明细!C1933,总览汇总!$B$5:$B$304,0),900)*10000000+IFERROR(MATCH(出库明细!D1933,基础资料!$E$5:$E$104,0),900)*10000+ROW()))</f>
      </c>
      <c r="F2933">
        <f>IF(AND(出库明细!C2933&lt;&gt;"",出库明细!C2933=客户对账单!$B$4,ISNUMBER(出库明细!B2933),出库明细!B2933&gt;=客户对账单!$G$4,出库明细!B2933&lt;=客户对账单!$I$4),出库明细!B2933+ROW()/100000,"")</f>
      </c>
      <c r="H2933">
        <f>IF(AND(资金台帐!K1436&lt;&gt;"",资金台帐!K1436=供应商对账单!$B$4,资金台帐!P1436="应付",ISNUMBER(资金台帐!B1436),资金台帐!B1436&gt;=供应商对账单!$G$4,资金台帐!B1436&lt;=供应商对账单!$I$4),资金台帐!B1436+ROW()/100000,"")</f>
      </c>
      <c r="N2933">
        <f>IF(AND(ISNUMBER(出库明细!G2933),ISNUMBER(出库明细!E2933),ISNUMBER(出库明细!F2933)),IF(ABS(出库明细!G2933-出库明细!E2933*出库明细!F2933)&gt;0.005,1,0),0)</f>
        <v>0</v>
      </c>
    </row>
    <row r="2934">
      <c r="A2934">
        <f>IF(OR(出库明细!C1934="",出库明细!D1934=""),"",IF(OR(COUNTIFS(存条明细!$C$4:$C$1003,出库明细!C1934,存条明细!$D$4:$D$1003,出库明细!D1934)&gt;0,COUNTIFS(出库明细!$C$4:C1934,出库明细!C1934,出库明细!$D$4:D1934,出库明细!D1934)&gt;1),"",IFERROR(MATCH(出库明细!C1934,总览汇总!$B$5:$B$304,0),900)*10000000+IFERROR(MATCH(出库明细!D1934,基础资料!$E$5:$E$104,0),900)*10000+ROW()))</f>
      </c>
      <c r="F2934">
        <f>IF(AND(出库明细!C2934&lt;&gt;"",出库明细!C2934=客户对账单!$B$4,ISNUMBER(出库明细!B2934),出库明细!B2934&gt;=客户对账单!$G$4,出库明细!B2934&lt;=客户对账单!$I$4),出库明细!B2934+ROW()/100000,"")</f>
      </c>
      <c r="H2934">
        <f>IF(AND(资金台帐!K1437&lt;&gt;"",资金台帐!K1437=供应商对账单!$B$4,资金台帐!P1437="应付",ISNUMBER(资金台帐!B1437),资金台帐!B1437&gt;=供应商对账单!$G$4,资金台帐!B1437&lt;=供应商对账单!$I$4),资金台帐!B1437+ROW()/100000,"")</f>
      </c>
      <c r="N2934">
        <f>IF(AND(ISNUMBER(出库明细!G2934),ISNUMBER(出库明细!E2934),ISNUMBER(出库明细!F2934)),IF(ABS(出库明细!G2934-出库明细!E2934*出库明细!F2934)&gt;0.005,1,0),0)</f>
        <v>0</v>
      </c>
    </row>
    <row r="2935">
      <c r="A2935">
        <f>IF(OR(出库明细!C1935="",出库明细!D1935=""),"",IF(OR(COUNTIFS(存条明细!$C$4:$C$1003,出库明细!C1935,存条明细!$D$4:$D$1003,出库明细!D1935)&gt;0,COUNTIFS(出库明细!$C$4:C1935,出库明细!C1935,出库明细!$D$4:D1935,出库明细!D1935)&gt;1),"",IFERROR(MATCH(出库明细!C1935,总览汇总!$B$5:$B$304,0),900)*10000000+IFERROR(MATCH(出库明细!D1935,基础资料!$E$5:$E$104,0),900)*10000+ROW()))</f>
      </c>
      <c r="F2935">
        <f>IF(AND(出库明细!C2935&lt;&gt;"",出库明细!C2935=客户对账单!$B$4,ISNUMBER(出库明细!B2935),出库明细!B2935&gt;=客户对账单!$G$4,出库明细!B2935&lt;=客户对账单!$I$4),出库明细!B2935+ROW()/100000,"")</f>
      </c>
      <c r="H2935">
        <f>IF(AND(资金台帐!K1438&lt;&gt;"",资金台帐!K1438=供应商对账单!$B$4,资金台帐!P1438="应付",ISNUMBER(资金台帐!B1438),资金台帐!B1438&gt;=供应商对账单!$G$4,资金台帐!B1438&lt;=供应商对账单!$I$4),资金台帐!B1438+ROW()/100000,"")</f>
      </c>
      <c r="N2935">
        <f>IF(AND(ISNUMBER(出库明细!G2935),ISNUMBER(出库明细!E2935),ISNUMBER(出库明细!F2935)),IF(ABS(出库明细!G2935-出库明细!E2935*出库明细!F2935)&gt;0.005,1,0),0)</f>
        <v>0</v>
      </c>
    </row>
    <row r="2936">
      <c r="A2936">
        <f>IF(OR(出库明细!C1936="",出库明细!D1936=""),"",IF(OR(COUNTIFS(存条明细!$C$4:$C$1003,出库明细!C1936,存条明细!$D$4:$D$1003,出库明细!D1936)&gt;0,COUNTIFS(出库明细!$C$4:C1936,出库明细!C1936,出库明细!$D$4:D1936,出库明细!D1936)&gt;1),"",IFERROR(MATCH(出库明细!C1936,总览汇总!$B$5:$B$304,0),900)*10000000+IFERROR(MATCH(出库明细!D1936,基础资料!$E$5:$E$104,0),900)*10000+ROW()))</f>
      </c>
      <c r="F2936">
        <f>IF(AND(出库明细!C2936&lt;&gt;"",出库明细!C2936=客户对账单!$B$4,ISNUMBER(出库明细!B2936),出库明细!B2936&gt;=客户对账单!$G$4,出库明细!B2936&lt;=客户对账单!$I$4),出库明细!B2936+ROW()/100000,"")</f>
      </c>
      <c r="H2936">
        <f>IF(AND(资金台帐!K1439&lt;&gt;"",资金台帐!K1439=供应商对账单!$B$4,资金台帐!P1439="应付",ISNUMBER(资金台帐!B1439),资金台帐!B1439&gt;=供应商对账单!$G$4,资金台帐!B1439&lt;=供应商对账单!$I$4),资金台帐!B1439+ROW()/100000,"")</f>
      </c>
      <c r="N2936">
        <f>IF(AND(ISNUMBER(出库明细!G2936),ISNUMBER(出库明细!E2936),ISNUMBER(出库明细!F2936)),IF(ABS(出库明细!G2936-出库明细!E2936*出库明细!F2936)&gt;0.005,1,0),0)</f>
        <v>0</v>
      </c>
    </row>
    <row r="2937">
      <c r="A2937">
        <f>IF(OR(出库明细!C1937="",出库明细!D1937=""),"",IF(OR(COUNTIFS(存条明细!$C$4:$C$1003,出库明细!C1937,存条明细!$D$4:$D$1003,出库明细!D1937)&gt;0,COUNTIFS(出库明细!$C$4:C1937,出库明细!C1937,出库明细!$D$4:D1937,出库明细!D1937)&gt;1),"",IFERROR(MATCH(出库明细!C1937,总览汇总!$B$5:$B$304,0),900)*10000000+IFERROR(MATCH(出库明细!D1937,基础资料!$E$5:$E$104,0),900)*10000+ROW()))</f>
      </c>
      <c r="F2937">
        <f>IF(AND(出库明细!C2937&lt;&gt;"",出库明细!C2937=客户对账单!$B$4,ISNUMBER(出库明细!B2937),出库明细!B2937&gt;=客户对账单!$G$4,出库明细!B2937&lt;=客户对账单!$I$4),出库明细!B2937+ROW()/100000,"")</f>
      </c>
      <c r="H2937">
        <f>IF(AND(资金台帐!K1440&lt;&gt;"",资金台帐!K1440=供应商对账单!$B$4,资金台帐!P1440="应付",ISNUMBER(资金台帐!B1440),资金台帐!B1440&gt;=供应商对账单!$G$4,资金台帐!B1440&lt;=供应商对账单!$I$4),资金台帐!B1440+ROW()/100000,"")</f>
      </c>
      <c r="N2937">
        <f>IF(AND(ISNUMBER(出库明细!G2937),ISNUMBER(出库明细!E2937),ISNUMBER(出库明细!F2937)),IF(ABS(出库明细!G2937-出库明细!E2937*出库明细!F2937)&gt;0.005,1,0),0)</f>
        <v>0</v>
      </c>
    </row>
    <row r="2938">
      <c r="A2938">
        <f>IF(OR(出库明细!C1938="",出库明细!D1938=""),"",IF(OR(COUNTIFS(存条明细!$C$4:$C$1003,出库明细!C1938,存条明细!$D$4:$D$1003,出库明细!D1938)&gt;0,COUNTIFS(出库明细!$C$4:C1938,出库明细!C1938,出库明细!$D$4:D1938,出库明细!D1938)&gt;1),"",IFERROR(MATCH(出库明细!C1938,总览汇总!$B$5:$B$304,0),900)*10000000+IFERROR(MATCH(出库明细!D1938,基础资料!$E$5:$E$104,0),900)*10000+ROW()))</f>
      </c>
      <c r="F2938">
        <f>IF(AND(出库明细!C2938&lt;&gt;"",出库明细!C2938=客户对账单!$B$4,ISNUMBER(出库明细!B2938),出库明细!B2938&gt;=客户对账单!$G$4,出库明细!B2938&lt;=客户对账单!$I$4),出库明细!B2938+ROW()/100000,"")</f>
      </c>
      <c r="H2938">
        <f>IF(AND(资金台帐!K1441&lt;&gt;"",资金台帐!K1441=供应商对账单!$B$4,资金台帐!P1441="应付",ISNUMBER(资金台帐!B1441),资金台帐!B1441&gt;=供应商对账单!$G$4,资金台帐!B1441&lt;=供应商对账单!$I$4),资金台帐!B1441+ROW()/100000,"")</f>
      </c>
      <c r="N2938">
        <f>IF(AND(ISNUMBER(出库明细!G2938),ISNUMBER(出库明细!E2938),ISNUMBER(出库明细!F2938)),IF(ABS(出库明细!G2938-出库明细!E2938*出库明细!F2938)&gt;0.005,1,0),0)</f>
        <v>0</v>
      </c>
    </row>
    <row r="2939">
      <c r="A2939">
        <f>IF(OR(出库明细!C1939="",出库明细!D1939=""),"",IF(OR(COUNTIFS(存条明细!$C$4:$C$1003,出库明细!C1939,存条明细!$D$4:$D$1003,出库明细!D1939)&gt;0,COUNTIFS(出库明细!$C$4:C1939,出库明细!C1939,出库明细!$D$4:D1939,出库明细!D1939)&gt;1),"",IFERROR(MATCH(出库明细!C1939,总览汇总!$B$5:$B$304,0),900)*10000000+IFERROR(MATCH(出库明细!D1939,基础资料!$E$5:$E$104,0),900)*10000+ROW()))</f>
      </c>
      <c r="F2939">
        <f>IF(AND(出库明细!C2939&lt;&gt;"",出库明细!C2939=客户对账单!$B$4,ISNUMBER(出库明细!B2939),出库明细!B2939&gt;=客户对账单!$G$4,出库明细!B2939&lt;=客户对账单!$I$4),出库明细!B2939+ROW()/100000,"")</f>
      </c>
      <c r="H2939">
        <f>IF(AND(资金台帐!K1442&lt;&gt;"",资金台帐!K1442=供应商对账单!$B$4,资金台帐!P1442="应付",ISNUMBER(资金台帐!B1442),资金台帐!B1442&gt;=供应商对账单!$G$4,资金台帐!B1442&lt;=供应商对账单!$I$4),资金台帐!B1442+ROW()/100000,"")</f>
      </c>
      <c r="N2939">
        <f>IF(AND(ISNUMBER(出库明细!G2939),ISNUMBER(出库明细!E2939),ISNUMBER(出库明细!F2939)),IF(ABS(出库明细!G2939-出库明细!E2939*出库明细!F2939)&gt;0.005,1,0),0)</f>
        <v>0</v>
      </c>
    </row>
    <row r="2940">
      <c r="A2940">
        <f>IF(OR(出库明细!C1940="",出库明细!D1940=""),"",IF(OR(COUNTIFS(存条明细!$C$4:$C$1003,出库明细!C1940,存条明细!$D$4:$D$1003,出库明细!D1940)&gt;0,COUNTIFS(出库明细!$C$4:C1940,出库明细!C1940,出库明细!$D$4:D1940,出库明细!D1940)&gt;1),"",IFERROR(MATCH(出库明细!C1940,总览汇总!$B$5:$B$304,0),900)*10000000+IFERROR(MATCH(出库明细!D1940,基础资料!$E$5:$E$104,0),900)*10000+ROW()))</f>
      </c>
      <c r="F2940">
        <f>IF(AND(出库明细!C2940&lt;&gt;"",出库明细!C2940=客户对账单!$B$4,ISNUMBER(出库明细!B2940),出库明细!B2940&gt;=客户对账单!$G$4,出库明细!B2940&lt;=客户对账单!$I$4),出库明细!B2940+ROW()/100000,"")</f>
      </c>
      <c r="H2940">
        <f>IF(AND(资金台帐!K1443&lt;&gt;"",资金台帐!K1443=供应商对账单!$B$4,资金台帐!P1443="应付",ISNUMBER(资金台帐!B1443),资金台帐!B1443&gt;=供应商对账单!$G$4,资金台帐!B1443&lt;=供应商对账单!$I$4),资金台帐!B1443+ROW()/100000,"")</f>
      </c>
      <c r="N2940">
        <f>IF(AND(ISNUMBER(出库明细!G2940),ISNUMBER(出库明细!E2940),ISNUMBER(出库明细!F2940)),IF(ABS(出库明细!G2940-出库明细!E2940*出库明细!F2940)&gt;0.005,1,0),0)</f>
        <v>0</v>
      </c>
    </row>
    <row r="2941">
      <c r="A2941">
        <f>IF(OR(出库明细!C1941="",出库明细!D1941=""),"",IF(OR(COUNTIFS(存条明细!$C$4:$C$1003,出库明细!C1941,存条明细!$D$4:$D$1003,出库明细!D1941)&gt;0,COUNTIFS(出库明细!$C$4:C1941,出库明细!C1941,出库明细!$D$4:D1941,出库明细!D1941)&gt;1),"",IFERROR(MATCH(出库明细!C1941,总览汇总!$B$5:$B$304,0),900)*10000000+IFERROR(MATCH(出库明细!D1941,基础资料!$E$5:$E$104,0),900)*10000+ROW()))</f>
      </c>
      <c r="F2941">
        <f>IF(AND(出库明细!C2941&lt;&gt;"",出库明细!C2941=客户对账单!$B$4,ISNUMBER(出库明细!B2941),出库明细!B2941&gt;=客户对账单!$G$4,出库明细!B2941&lt;=客户对账单!$I$4),出库明细!B2941+ROW()/100000,"")</f>
      </c>
      <c r="H2941">
        <f>IF(AND(资金台帐!K1444&lt;&gt;"",资金台帐!K1444=供应商对账单!$B$4,资金台帐!P1444="应付",ISNUMBER(资金台帐!B1444),资金台帐!B1444&gt;=供应商对账单!$G$4,资金台帐!B1444&lt;=供应商对账单!$I$4),资金台帐!B1444+ROW()/100000,"")</f>
      </c>
      <c r="N2941">
        <f>IF(AND(ISNUMBER(出库明细!G2941),ISNUMBER(出库明细!E2941),ISNUMBER(出库明细!F2941)),IF(ABS(出库明细!G2941-出库明细!E2941*出库明细!F2941)&gt;0.005,1,0),0)</f>
        <v>0</v>
      </c>
    </row>
    <row r="2942">
      <c r="A2942">
        <f>IF(OR(出库明细!C1942="",出库明细!D1942=""),"",IF(OR(COUNTIFS(存条明细!$C$4:$C$1003,出库明细!C1942,存条明细!$D$4:$D$1003,出库明细!D1942)&gt;0,COUNTIFS(出库明细!$C$4:C1942,出库明细!C1942,出库明细!$D$4:D1942,出库明细!D1942)&gt;1),"",IFERROR(MATCH(出库明细!C1942,总览汇总!$B$5:$B$304,0),900)*10000000+IFERROR(MATCH(出库明细!D1942,基础资料!$E$5:$E$104,0),900)*10000+ROW()))</f>
      </c>
      <c r="F2942">
        <f>IF(AND(出库明细!C2942&lt;&gt;"",出库明细!C2942=客户对账单!$B$4,ISNUMBER(出库明细!B2942),出库明细!B2942&gt;=客户对账单!$G$4,出库明细!B2942&lt;=客户对账单!$I$4),出库明细!B2942+ROW()/100000,"")</f>
      </c>
      <c r="H2942">
        <f>IF(AND(资金台帐!K1445&lt;&gt;"",资金台帐!K1445=供应商对账单!$B$4,资金台帐!P1445="应付",ISNUMBER(资金台帐!B1445),资金台帐!B1445&gt;=供应商对账单!$G$4,资金台帐!B1445&lt;=供应商对账单!$I$4),资金台帐!B1445+ROW()/100000,"")</f>
      </c>
      <c r="N2942">
        <f>IF(AND(ISNUMBER(出库明细!G2942),ISNUMBER(出库明细!E2942),ISNUMBER(出库明细!F2942)),IF(ABS(出库明细!G2942-出库明细!E2942*出库明细!F2942)&gt;0.005,1,0),0)</f>
        <v>0</v>
      </c>
    </row>
    <row r="2943">
      <c r="A2943">
        <f>IF(OR(出库明细!C1943="",出库明细!D1943=""),"",IF(OR(COUNTIFS(存条明细!$C$4:$C$1003,出库明细!C1943,存条明细!$D$4:$D$1003,出库明细!D1943)&gt;0,COUNTIFS(出库明细!$C$4:C1943,出库明细!C1943,出库明细!$D$4:D1943,出库明细!D1943)&gt;1),"",IFERROR(MATCH(出库明细!C1943,总览汇总!$B$5:$B$304,0),900)*10000000+IFERROR(MATCH(出库明细!D1943,基础资料!$E$5:$E$104,0),900)*10000+ROW()))</f>
      </c>
      <c r="F2943">
        <f>IF(AND(出库明细!C2943&lt;&gt;"",出库明细!C2943=客户对账单!$B$4,ISNUMBER(出库明细!B2943),出库明细!B2943&gt;=客户对账单!$G$4,出库明细!B2943&lt;=客户对账单!$I$4),出库明细!B2943+ROW()/100000,"")</f>
      </c>
      <c r="H2943">
        <f>IF(AND(资金台帐!K1446&lt;&gt;"",资金台帐!K1446=供应商对账单!$B$4,资金台帐!P1446="应付",ISNUMBER(资金台帐!B1446),资金台帐!B1446&gt;=供应商对账单!$G$4,资金台帐!B1446&lt;=供应商对账单!$I$4),资金台帐!B1446+ROW()/100000,"")</f>
      </c>
      <c r="N2943">
        <f>IF(AND(ISNUMBER(出库明细!G2943),ISNUMBER(出库明细!E2943),ISNUMBER(出库明细!F2943)),IF(ABS(出库明细!G2943-出库明细!E2943*出库明细!F2943)&gt;0.005,1,0),0)</f>
        <v>0</v>
      </c>
    </row>
    <row r="2944">
      <c r="A2944">
        <f>IF(OR(出库明细!C1944="",出库明细!D1944=""),"",IF(OR(COUNTIFS(存条明细!$C$4:$C$1003,出库明细!C1944,存条明细!$D$4:$D$1003,出库明细!D1944)&gt;0,COUNTIFS(出库明细!$C$4:C1944,出库明细!C1944,出库明细!$D$4:D1944,出库明细!D1944)&gt;1),"",IFERROR(MATCH(出库明细!C1944,总览汇总!$B$5:$B$304,0),900)*10000000+IFERROR(MATCH(出库明细!D1944,基础资料!$E$5:$E$104,0),900)*10000+ROW()))</f>
      </c>
      <c r="F2944">
        <f>IF(AND(出库明细!C2944&lt;&gt;"",出库明细!C2944=客户对账单!$B$4,ISNUMBER(出库明细!B2944),出库明细!B2944&gt;=客户对账单!$G$4,出库明细!B2944&lt;=客户对账单!$I$4),出库明细!B2944+ROW()/100000,"")</f>
      </c>
      <c r="H2944">
        <f>IF(AND(资金台帐!K1447&lt;&gt;"",资金台帐!K1447=供应商对账单!$B$4,资金台帐!P1447="应付",ISNUMBER(资金台帐!B1447),资金台帐!B1447&gt;=供应商对账单!$G$4,资金台帐!B1447&lt;=供应商对账单!$I$4),资金台帐!B1447+ROW()/100000,"")</f>
      </c>
      <c r="N2944">
        <f>IF(AND(ISNUMBER(出库明细!G2944),ISNUMBER(出库明细!E2944),ISNUMBER(出库明细!F2944)),IF(ABS(出库明细!G2944-出库明细!E2944*出库明细!F2944)&gt;0.005,1,0),0)</f>
        <v>0</v>
      </c>
    </row>
    <row r="2945">
      <c r="A2945">
        <f>IF(OR(出库明细!C1945="",出库明细!D1945=""),"",IF(OR(COUNTIFS(存条明细!$C$4:$C$1003,出库明细!C1945,存条明细!$D$4:$D$1003,出库明细!D1945)&gt;0,COUNTIFS(出库明细!$C$4:C1945,出库明细!C1945,出库明细!$D$4:D1945,出库明细!D1945)&gt;1),"",IFERROR(MATCH(出库明细!C1945,总览汇总!$B$5:$B$304,0),900)*10000000+IFERROR(MATCH(出库明细!D1945,基础资料!$E$5:$E$104,0),900)*10000+ROW()))</f>
      </c>
      <c r="F2945">
        <f>IF(AND(出库明细!C2945&lt;&gt;"",出库明细!C2945=客户对账单!$B$4,ISNUMBER(出库明细!B2945),出库明细!B2945&gt;=客户对账单!$G$4,出库明细!B2945&lt;=客户对账单!$I$4),出库明细!B2945+ROW()/100000,"")</f>
      </c>
      <c r="H2945">
        <f>IF(AND(资金台帐!K1448&lt;&gt;"",资金台帐!K1448=供应商对账单!$B$4,资金台帐!P1448="应付",ISNUMBER(资金台帐!B1448),资金台帐!B1448&gt;=供应商对账单!$G$4,资金台帐!B1448&lt;=供应商对账单!$I$4),资金台帐!B1448+ROW()/100000,"")</f>
      </c>
      <c r="N2945">
        <f>IF(AND(ISNUMBER(出库明细!G2945),ISNUMBER(出库明细!E2945),ISNUMBER(出库明细!F2945)),IF(ABS(出库明细!G2945-出库明细!E2945*出库明细!F2945)&gt;0.005,1,0),0)</f>
        <v>0</v>
      </c>
    </row>
    <row r="2946">
      <c r="A2946">
        <f>IF(OR(出库明细!C1946="",出库明细!D1946=""),"",IF(OR(COUNTIFS(存条明细!$C$4:$C$1003,出库明细!C1946,存条明细!$D$4:$D$1003,出库明细!D1946)&gt;0,COUNTIFS(出库明细!$C$4:C1946,出库明细!C1946,出库明细!$D$4:D1946,出库明细!D1946)&gt;1),"",IFERROR(MATCH(出库明细!C1946,总览汇总!$B$5:$B$304,0),900)*10000000+IFERROR(MATCH(出库明细!D1946,基础资料!$E$5:$E$104,0),900)*10000+ROW()))</f>
      </c>
      <c r="F2946">
        <f>IF(AND(出库明细!C2946&lt;&gt;"",出库明细!C2946=客户对账单!$B$4,ISNUMBER(出库明细!B2946),出库明细!B2946&gt;=客户对账单!$G$4,出库明细!B2946&lt;=客户对账单!$I$4),出库明细!B2946+ROW()/100000,"")</f>
      </c>
      <c r="H2946">
        <f>IF(AND(资金台帐!K1449&lt;&gt;"",资金台帐!K1449=供应商对账单!$B$4,资金台帐!P1449="应付",ISNUMBER(资金台帐!B1449),资金台帐!B1449&gt;=供应商对账单!$G$4,资金台帐!B1449&lt;=供应商对账单!$I$4),资金台帐!B1449+ROW()/100000,"")</f>
      </c>
      <c r="N2946">
        <f>IF(AND(ISNUMBER(出库明细!G2946),ISNUMBER(出库明细!E2946),ISNUMBER(出库明细!F2946)),IF(ABS(出库明细!G2946-出库明细!E2946*出库明细!F2946)&gt;0.005,1,0),0)</f>
        <v>0</v>
      </c>
    </row>
    <row r="2947">
      <c r="A2947">
        <f>IF(OR(出库明细!C1947="",出库明细!D1947=""),"",IF(OR(COUNTIFS(存条明细!$C$4:$C$1003,出库明细!C1947,存条明细!$D$4:$D$1003,出库明细!D1947)&gt;0,COUNTIFS(出库明细!$C$4:C1947,出库明细!C1947,出库明细!$D$4:D1947,出库明细!D1947)&gt;1),"",IFERROR(MATCH(出库明细!C1947,总览汇总!$B$5:$B$304,0),900)*10000000+IFERROR(MATCH(出库明细!D1947,基础资料!$E$5:$E$104,0),900)*10000+ROW()))</f>
      </c>
      <c r="F2947">
        <f>IF(AND(出库明细!C2947&lt;&gt;"",出库明细!C2947=客户对账单!$B$4,ISNUMBER(出库明细!B2947),出库明细!B2947&gt;=客户对账单!$G$4,出库明细!B2947&lt;=客户对账单!$I$4),出库明细!B2947+ROW()/100000,"")</f>
      </c>
      <c r="H2947">
        <f>IF(AND(资金台帐!K1450&lt;&gt;"",资金台帐!K1450=供应商对账单!$B$4,资金台帐!P1450="应付",ISNUMBER(资金台帐!B1450),资金台帐!B1450&gt;=供应商对账单!$G$4,资金台帐!B1450&lt;=供应商对账单!$I$4),资金台帐!B1450+ROW()/100000,"")</f>
      </c>
      <c r="N2947">
        <f>IF(AND(ISNUMBER(出库明细!G2947),ISNUMBER(出库明细!E2947),ISNUMBER(出库明细!F2947)),IF(ABS(出库明细!G2947-出库明细!E2947*出库明细!F2947)&gt;0.005,1,0),0)</f>
        <v>0</v>
      </c>
    </row>
    <row r="2948">
      <c r="A2948">
        <f>IF(OR(出库明细!C1948="",出库明细!D1948=""),"",IF(OR(COUNTIFS(存条明细!$C$4:$C$1003,出库明细!C1948,存条明细!$D$4:$D$1003,出库明细!D1948)&gt;0,COUNTIFS(出库明细!$C$4:C1948,出库明细!C1948,出库明细!$D$4:D1948,出库明细!D1948)&gt;1),"",IFERROR(MATCH(出库明细!C1948,总览汇总!$B$5:$B$304,0),900)*10000000+IFERROR(MATCH(出库明细!D1948,基础资料!$E$5:$E$104,0),900)*10000+ROW()))</f>
      </c>
      <c r="F2948">
        <f>IF(AND(出库明细!C2948&lt;&gt;"",出库明细!C2948=客户对账单!$B$4,ISNUMBER(出库明细!B2948),出库明细!B2948&gt;=客户对账单!$G$4,出库明细!B2948&lt;=客户对账单!$I$4),出库明细!B2948+ROW()/100000,"")</f>
      </c>
      <c r="H2948">
        <f>IF(AND(资金台帐!K1451&lt;&gt;"",资金台帐!K1451=供应商对账单!$B$4,资金台帐!P1451="应付",ISNUMBER(资金台帐!B1451),资金台帐!B1451&gt;=供应商对账单!$G$4,资金台帐!B1451&lt;=供应商对账单!$I$4),资金台帐!B1451+ROW()/100000,"")</f>
      </c>
      <c r="N2948">
        <f>IF(AND(ISNUMBER(出库明细!G2948),ISNUMBER(出库明细!E2948),ISNUMBER(出库明细!F2948)),IF(ABS(出库明细!G2948-出库明细!E2948*出库明细!F2948)&gt;0.005,1,0),0)</f>
        <v>0</v>
      </c>
    </row>
    <row r="2949">
      <c r="A2949">
        <f>IF(OR(出库明细!C1949="",出库明细!D1949=""),"",IF(OR(COUNTIFS(存条明细!$C$4:$C$1003,出库明细!C1949,存条明细!$D$4:$D$1003,出库明细!D1949)&gt;0,COUNTIFS(出库明细!$C$4:C1949,出库明细!C1949,出库明细!$D$4:D1949,出库明细!D1949)&gt;1),"",IFERROR(MATCH(出库明细!C1949,总览汇总!$B$5:$B$304,0),900)*10000000+IFERROR(MATCH(出库明细!D1949,基础资料!$E$5:$E$104,0),900)*10000+ROW()))</f>
      </c>
      <c r="F2949">
        <f>IF(AND(出库明细!C2949&lt;&gt;"",出库明细!C2949=客户对账单!$B$4,ISNUMBER(出库明细!B2949),出库明细!B2949&gt;=客户对账单!$G$4,出库明细!B2949&lt;=客户对账单!$I$4),出库明细!B2949+ROW()/100000,"")</f>
      </c>
      <c r="H2949">
        <f>IF(AND(资金台帐!K1452&lt;&gt;"",资金台帐!K1452=供应商对账单!$B$4,资金台帐!P1452="应付",ISNUMBER(资金台帐!B1452),资金台帐!B1452&gt;=供应商对账单!$G$4,资金台帐!B1452&lt;=供应商对账单!$I$4),资金台帐!B1452+ROW()/100000,"")</f>
      </c>
      <c r="N2949">
        <f>IF(AND(ISNUMBER(出库明细!G2949),ISNUMBER(出库明细!E2949),ISNUMBER(出库明细!F2949)),IF(ABS(出库明细!G2949-出库明细!E2949*出库明细!F2949)&gt;0.005,1,0),0)</f>
        <v>0</v>
      </c>
    </row>
    <row r="2950">
      <c r="A2950">
        <f>IF(OR(出库明细!C1950="",出库明细!D1950=""),"",IF(OR(COUNTIFS(存条明细!$C$4:$C$1003,出库明细!C1950,存条明细!$D$4:$D$1003,出库明细!D1950)&gt;0,COUNTIFS(出库明细!$C$4:C1950,出库明细!C1950,出库明细!$D$4:D1950,出库明细!D1950)&gt;1),"",IFERROR(MATCH(出库明细!C1950,总览汇总!$B$5:$B$304,0),900)*10000000+IFERROR(MATCH(出库明细!D1950,基础资料!$E$5:$E$104,0),900)*10000+ROW()))</f>
      </c>
      <c r="F2950">
        <f>IF(AND(出库明细!C2950&lt;&gt;"",出库明细!C2950=客户对账单!$B$4,ISNUMBER(出库明细!B2950),出库明细!B2950&gt;=客户对账单!$G$4,出库明细!B2950&lt;=客户对账单!$I$4),出库明细!B2950+ROW()/100000,"")</f>
      </c>
      <c r="H2950">
        <f>IF(AND(资金台帐!K1453&lt;&gt;"",资金台帐!K1453=供应商对账单!$B$4,资金台帐!P1453="应付",ISNUMBER(资金台帐!B1453),资金台帐!B1453&gt;=供应商对账单!$G$4,资金台帐!B1453&lt;=供应商对账单!$I$4),资金台帐!B1453+ROW()/100000,"")</f>
      </c>
      <c r="N2950">
        <f>IF(AND(ISNUMBER(出库明细!G2950),ISNUMBER(出库明细!E2950),ISNUMBER(出库明细!F2950)),IF(ABS(出库明细!G2950-出库明细!E2950*出库明细!F2950)&gt;0.005,1,0),0)</f>
        <v>0</v>
      </c>
    </row>
    <row r="2951">
      <c r="A2951">
        <f>IF(OR(出库明细!C1951="",出库明细!D1951=""),"",IF(OR(COUNTIFS(存条明细!$C$4:$C$1003,出库明细!C1951,存条明细!$D$4:$D$1003,出库明细!D1951)&gt;0,COUNTIFS(出库明细!$C$4:C1951,出库明细!C1951,出库明细!$D$4:D1951,出库明细!D1951)&gt;1),"",IFERROR(MATCH(出库明细!C1951,总览汇总!$B$5:$B$304,0),900)*10000000+IFERROR(MATCH(出库明细!D1951,基础资料!$E$5:$E$104,0),900)*10000+ROW()))</f>
      </c>
      <c r="F2951">
        <f>IF(AND(出库明细!C2951&lt;&gt;"",出库明细!C2951=客户对账单!$B$4,ISNUMBER(出库明细!B2951),出库明细!B2951&gt;=客户对账单!$G$4,出库明细!B2951&lt;=客户对账单!$I$4),出库明细!B2951+ROW()/100000,"")</f>
      </c>
      <c r="H2951">
        <f>IF(AND(资金台帐!K1454&lt;&gt;"",资金台帐!K1454=供应商对账单!$B$4,资金台帐!P1454="应付",ISNUMBER(资金台帐!B1454),资金台帐!B1454&gt;=供应商对账单!$G$4,资金台帐!B1454&lt;=供应商对账单!$I$4),资金台帐!B1454+ROW()/100000,"")</f>
      </c>
      <c r="N2951">
        <f>IF(AND(ISNUMBER(出库明细!G2951),ISNUMBER(出库明细!E2951),ISNUMBER(出库明细!F2951)),IF(ABS(出库明细!G2951-出库明细!E2951*出库明细!F2951)&gt;0.005,1,0),0)</f>
        <v>0</v>
      </c>
    </row>
    <row r="2952">
      <c r="A2952">
        <f>IF(OR(出库明细!C1952="",出库明细!D1952=""),"",IF(OR(COUNTIFS(存条明细!$C$4:$C$1003,出库明细!C1952,存条明细!$D$4:$D$1003,出库明细!D1952)&gt;0,COUNTIFS(出库明细!$C$4:C1952,出库明细!C1952,出库明细!$D$4:D1952,出库明细!D1952)&gt;1),"",IFERROR(MATCH(出库明细!C1952,总览汇总!$B$5:$B$304,0),900)*10000000+IFERROR(MATCH(出库明细!D1952,基础资料!$E$5:$E$104,0),900)*10000+ROW()))</f>
      </c>
      <c r="F2952">
        <f>IF(AND(出库明细!C2952&lt;&gt;"",出库明细!C2952=客户对账单!$B$4,ISNUMBER(出库明细!B2952),出库明细!B2952&gt;=客户对账单!$G$4,出库明细!B2952&lt;=客户对账单!$I$4),出库明细!B2952+ROW()/100000,"")</f>
      </c>
      <c r="H2952">
        <f>IF(AND(资金台帐!K1455&lt;&gt;"",资金台帐!K1455=供应商对账单!$B$4,资金台帐!P1455="应付",ISNUMBER(资金台帐!B1455),资金台帐!B1455&gt;=供应商对账单!$G$4,资金台帐!B1455&lt;=供应商对账单!$I$4),资金台帐!B1455+ROW()/100000,"")</f>
      </c>
      <c r="N2952">
        <f>IF(AND(ISNUMBER(出库明细!G2952),ISNUMBER(出库明细!E2952),ISNUMBER(出库明细!F2952)),IF(ABS(出库明细!G2952-出库明细!E2952*出库明细!F2952)&gt;0.005,1,0),0)</f>
        <v>0</v>
      </c>
    </row>
    <row r="2953">
      <c r="A2953">
        <f>IF(OR(出库明细!C1953="",出库明细!D1953=""),"",IF(OR(COUNTIFS(存条明细!$C$4:$C$1003,出库明细!C1953,存条明细!$D$4:$D$1003,出库明细!D1953)&gt;0,COUNTIFS(出库明细!$C$4:C1953,出库明细!C1953,出库明细!$D$4:D1953,出库明细!D1953)&gt;1),"",IFERROR(MATCH(出库明细!C1953,总览汇总!$B$5:$B$304,0),900)*10000000+IFERROR(MATCH(出库明细!D1953,基础资料!$E$5:$E$104,0),900)*10000+ROW()))</f>
      </c>
      <c r="F2953">
        <f>IF(AND(出库明细!C2953&lt;&gt;"",出库明细!C2953=客户对账单!$B$4,ISNUMBER(出库明细!B2953),出库明细!B2953&gt;=客户对账单!$G$4,出库明细!B2953&lt;=客户对账单!$I$4),出库明细!B2953+ROW()/100000,"")</f>
      </c>
      <c r="H2953">
        <f>IF(AND(资金台帐!K1456&lt;&gt;"",资金台帐!K1456=供应商对账单!$B$4,资金台帐!P1456="应付",ISNUMBER(资金台帐!B1456),资金台帐!B1456&gt;=供应商对账单!$G$4,资金台帐!B1456&lt;=供应商对账单!$I$4),资金台帐!B1456+ROW()/100000,"")</f>
      </c>
      <c r="N2953">
        <f>IF(AND(ISNUMBER(出库明细!G2953),ISNUMBER(出库明细!E2953),ISNUMBER(出库明细!F2953)),IF(ABS(出库明细!G2953-出库明细!E2953*出库明细!F2953)&gt;0.005,1,0),0)</f>
        <v>0</v>
      </c>
    </row>
    <row r="2954">
      <c r="A2954">
        <f>IF(OR(出库明细!C1954="",出库明细!D1954=""),"",IF(OR(COUNTIFS(存条明细!$C$4:$C$1003,出库明细!C1954,存条明细!$D$4:$D$1003,出库明细!D1954)&gt;0,COUNTIFS(出库明细!$C$4:C1954,出库明细!C1954,出库明细!$D$4:D1954,出库明细!D1954)&gt;1),"",IFERROR(MATCH(出库明细!C1954,总览汇总!$B$5:$B$304,0),900)*10000000+IFERROR(MATCH(出库明细!D1954,基础资料!$E$5:$E$104,0),900)*10000+ROW()))</f>
      </c>
      <c r="F2954">
        <f>IF(AND(出库明细!C2954&lt;&gt;"",出库明细!C2954=客户对账单!$B$4,ISNUMBER(出库明细!B2954),出库明细!B2954&gt;=客户对账单!$G$4,出库明细!B2954&lt;=客户对账单!$I$4),出库明细!B2954+ROW()/100000,"")</f>
      </c>
      <c r="H2954">
        <f>IF(AND(资金台帐!K1457&lt;&gt;"",资金台帐!K1457=供应商对账单!$B$4,资金台帐!P1457="应付",ISNUMBER(资金台帐!B1457),资金台帐!B1457&gt;=供应商对账单!$G$4,资金台帐!B1457&lt;=供应商对账单!$I$4),资金台帐!B1457+ROW()/100000,"")</f>
      </c>
      <c r="N2954">
        <f>IF(AND(ISNUMBER(出库明细!G2954),ISNUMBER(出库明细!E2954),ISNUMBER(出库明细!F2954)),IF(ABS(出库明细!G2954-出库明细!E2954*出库明细!F2954)&gt;0.005,1,0),0)</f>
        <v>0</v>
      </c>
    </row>
    <row r="2955">
      <c r="A2955">
        <f>IF(OR(出库明细!C1955="",出库明细!D1955=""),"",IF(OR(COUNTIFS(存条明细!$C$4:$C$1003,出库明细!C1955,存条明细!$D$4:$D$1003,出库明细!D1955)&gt;0,COUNTIFS(出库明细!$C$4:C1955,出库明细!C1955,出库明细!$D$4:D1955,出库明细!D1955)&gt;1),"",IFERROR(MATCH(出库明细!C1955,总览汇总!$B$5:$B$304,0),900)*10000000+IFERROR(MATCH(出库明细!D1955,基础资料!$E$5:$E$104,0),900)*10000+ROW()))</f>
      </c>
      <c r="F2955">
        <f>IF(AND(出库明细!C2955&lt;&gt;"",出库明细!C2955=客户对账单!$B$4,ISNUMBER(出库明细!B2955),出库明细!B2955&gt;=客户对账单!$G$4,出库明细!B2955&lt;=客户对账单!$I$4),出库明细!B2955+ROW()/100000,"")</f>
      </c>
      <c r="H2955">
        <f>IF(AND(资金台帐!K1458&lt;&gt;"",资金台帐!K1458=供应商对账单!$B$4,资金台帐!P1458="应付",ISNUMBER(资金台帐!B1458),资金台帐!B1458&gt;=供应商对账单!$G$4,资金台帐!B1458&lt;=供应商对账单!$I$4),资金台帐!B1458+ROW()/100000,"")</f>
      </c>
      <c r="N2955">
        <f>IF(AND(ISNUMBER(出库明细!G2955),ISNUMBER(出库明细!E2955),ISNUMBER(出库明细!F2955)),IF(ABS(出库明细!G2955-出库明细!E2955*出库明细!F2955)&gt;0.005,1,0),0)</f>
        <v>0</v>
      </c>
    </row>
    <row r="2956">
      <c r="A2956">
        <f>IF(OR(出库明细!C1956="",出库明细!D1956=""),"",IF(OR(COUNTIFS(存条明细!$C$4:$C$1003,出库明细!C1956,存条明细!$D$4:$D$1003,出库明细!D1956)&gt;0,COUNTIFS(出库明细!$C$4:C1956,出库明细!C1956,出库明细!$D$4:D1956,出库明细!D1956)&gt;1),"",IFERROR(MATCH(出库明细!C1956,总览汇总!$B$5:$B$304,0),900)*10000000+IFERROR(MATCH(出库明细!D1956,基础资料!$E$5:$E$104,0),900)*10000+ROW()))</f>
      </c>
      <c r="F2956">
        <f>IF(AND(出库明细!C2956&lt;&gt;"",出库明细!C2956=客户对账单!$B$4,ISNUMBER(出库明细!B2956),出库明细!B2956&gt;=客户对账单!$G$4,出库明细!B2956&lt;=客户对账单!$I$4),出库明细!B2956+ROW()/100000,"")</f>
      </c>
      <c r="H2956">
        <f>IF(AND(资金台帐!K1459&lt;&gt;"",资金台帐!K1459=供应商对账单!$B$4,资金台帐!P1459="应付",ISNUMBER(资金台帐!B1459),资金台帐!B1459&gt;=供应商对账单!$G$4,资金台帐!B1459&lt;=供应商对账单!$I$4),资金台帐!B1459+ROW()/100000,"")</f>
      </c>
      <c r="N2956">
        <f>IF(AND(ISNUMBER(出库明细!G2956),ISNUMBER(出库明细!E2956),ISNUMBER(出库明细!F2956)),IF(ABS(出库明细!G2956-出库明细!E2956*出库明细!F2956)&gt;0.005,1,0),0)</f>
        <v>0</v>
      </c>
    </row>
    <row r="2957">
      <c r="A2957">
        <f>IF(OR(出库明细!C1957="",出库明细!D1957=""),"",IF(OR(COUNTIFS(存条明细!$C$4:$C$1003,出库明细!C1957,存条明细!$D$4:$D$1003,出库明细!D1957)&gt;0,COUNTIFS(出库明细!$C$4:C1957,出库明细!C1957,出库明细!$D$4:D1957,出库明细!D1957)&gt;1),"",IFERROR(MATCH(出库明细!C1957,总览汇总!$B$5:$B$304,0),900)*10000000+IFERROR(MATCH(出库明细!D1957,基础资料!$E$5:$E$104,0),900)*10000+ROW()))</f>
      </c>
      <c r="F2957">
        <f>IF(AND(出库明细!C2957&lt;&gt;"",出库明细!C2957=客户对账单!$B$4,ISNUMBER(出库明细!B2957),出库明细!B2957&gt;=客户对账单!$G$4,出库明细!B2957&lt;=客户对账单!$I$4),出库明细!B2957+ROW()/100000,"")</f>
      </c>
      <c r="H2957">
        <f>IF(AND(资金台帐!K1460&lt;&gt;"",资金台帐!K1460=供应商对账单!$B$4,资金台帐!P1460="应付",ISNUMBER(资金台帐!B1460),资金台帐!B1460&gt;=供应商对账单!$G$4,资金台帐!B1460&lt;=供应商对账单!$I$4),资金台帐!B1460+ROW()/100000,"")</f>
      </c>
      <c r="N2957">
        <f>IF(AND(ISNUMBER(出库明细!G2957),ISNUMBER(出库明细!E2957),ISNUMBER(出库明细!F2957)),IF(ABS(出库明细!G2957-出库明细!E2957*出库明细!F2957)&gt;0.005,1,0),0)</f>
        <v>0</v>
      </c>
    </row>
    <row r="2958">
      <c r="A2958">
        <f>IF(OR(出库明细!C1958="",出库明细!D1958=""),"",IF(OR(COUNTIFS(存条明细!$C$4:$C$1003,出库明细!C1958,存条明细!$D$4:$D$1003,出库明细!D1958)&gt;0,COUNTIFS(出库明细!$C$4:C1958,出库明细!C1958,出库明细!$D$4:D1958,出库明细!D1958)&gt;1),"",IFERROR(MATCH(出库明细!C1958,总览汇总!$B$5:$B$304,0),900)*10000000+IFERROR(MATCH(出库明细!D1958,基础资料!$E$5:$E$104,0),900)*10000+ROW()))</f>
      </c>
      <c r="F2958">
        <f>IF(AND(出库明细!C2958&lt;&gt;"",出库明细!C2958=客户对账单!$B$4,ISNUMBER(出库明细!B2958),出库明细!B2958&gt;=客户对账单!$G$4,出库明细!B2958&lt;=客户对账单!$I$4),出库明细!B2958+ROW()/100000,"")</f>
      </c>
      <c r="H2958">
        <f>IF(AND(资金台帐!K1461&lt;&gt;"",资金台帐!K1461=供应商对账单!$B$4,资金台帐!P1461="应付",ISNUMBER(资金台帐!B1461),资金台帐!B1461&gt;=供应商对账单!$G$4,资金台帐!B1461&lt;=供应商对账单!$I$4),资金台帐!B1461+ROW()/100000,"")</f>
      </c>
      <c r="N2958">
        <f>IF(AND(ISNUMBER(出库明细!G2958),ISNUMBER(出库明细!E2958),ISNUMBER(出库明细!F2958)),IF(ABS(出库明细!G2958-出库明细!E2958*出库明细!F2958)&gt;0.005,1,0),0)</f>
        <v>0</v>
      </c>
    </row>
    <row r="2959">
      <c r="A2959">
        <f>IF(OR(出库明细!C1959="",出库明细!D1959=""),"",IF(OR(COUNTIFS(存条明细!$C$4:$C$1003,出库明细!C1959,存条明细!$D$4:$D$1003,出库明细!D1959)&gt;0,COUNTIFS(出库明细!$C$4:C1959,出库明细!C1959,出库明细!$D$4:D1959,出库明细!D1959)&gt;1),"",IFERROR(MATCH(出库明细!C1959,总览汇总!$B$5:$B$304,0),900)*10000000+IFERROR(MATCH(出库明细!D1959,基础资料!$E$5:$E$104,0),900)*10000+ROW()))</f>
      </c>
      <c r="F2959">
        <f>IF(AND(出库明细!C2959&lt;&gt;"",出库明细!C2959=客户对账单!$B$4,ISNUMBER(出库明细!B2959),出库明细!B2959&gt;=客户对账单!$G$4,出库明细!B2959&lt;=客户对账单!$I$4),出库明细!B2959+ROW()/100000,"")</f>
      </c>
      <c r="H2959">
        <f>IF(AND(资金台帐!K1462&lt;&gt;"",资金台帐!K1462=供应商对账单!$B$4,资金台帐!P1462="应付",ISNUMBER(资金台帐!B1462),资金台帐!B1462&gt;=供应商对账单!$G$4,资金台帐!B1462&lt;=供应商对账单!$I$4),资金台帐!B1462+ROW()/100000,"")</f>
      </c>
      <c r="N2959">
        <f>IF(AND(ISNUMBER(出库明细!G2959),ISNUMBER(出库明细!E2959),ISNUMBER(出库明细!F2959)),IF(ABS(出库明细!G2959-出库明细!E2959*出库明细!F2959)&gt;0.005,1,0),0)</f>
        <v>0</v>
      </c>
    </row>
    <row r="2960">
      <c r="A2960">
        <f>IF(OR(出库明细!C1960="",出库明细!D1960=""),"",IF(OR(COUNTIFS(存条明细!$C$4:$C$1003,出库明细!C1960,存条明细!$D$4:$D$1003,出库明细!D1960)&gt;0,COUNTIFS(出库明细!$C$4:C1960,出库明细!C1960,出库明细!$D$4:D1960,出库明细!D1960)&gt;1),"",IFERROR(MATCH(出库明细!C1960,总览汇总!$B$5:$B$304,0),900)*10000000+IFERROR(MATCH(出库明细!D1960,基础资料!$E$5:$E$104,0),900)*10000+ROW()))</f>
      </c>
      <c r="F2960">
        <f>IF(AND(出库明细!C2960&lt;&gt;"",出库明细!C2960=客户对账单!$B$4,ISNUMBER(出库明细!B2960),出库明细!B2960&gt;=客户对账单!$G$4,出库明细!B2960&lt;=客户对账单!$I$4),出库明细!B2960+ROW()/100000,"")</f>
      </c>
      <c r="H2960">
        <f>IF(AND(资金台帐!K1463&lt;&gt;"",资金台帐!K1463=供应商对账单!$B$4,资金台帐!P1463="应付",ISNUMBER(资金台帐!B1463),资金台帐!B1463&gt;=供应商对账单!$G$4,资金台帐!B1463&lt;=供应商对账单!$I$4),资金台帐!B1463+ROW()/100000,"")</f>
      </c>
      <c r="N2960">
        <f>IF(AND(ISNUMBER(出库明细!G2960),ISNUMBER(出库明细!E2960),ISNUMBER(出库明细!F2960)),IF(ABS(出库明细!G2960-出库明细!E2960*出库明细!F2960)&gt;0.005,1,0),0)</f>
        <v>0</v>
      </c>
    </row>
    <row r="2961">
      <c r="A2961">
        <f>IF(OR(出库明细!C1961="",出库明细!D1961=""),"",IF(OR(COUNTIFS(存条明细!$C$4:$C$1003,出库明细!C1961,存条明细!$D$4:$D$1003,出库明细!D1961)&gt;0,COUNTIFS(出库明细!$C$4:C1961,出库明细!C1961,出库明细!$D$4:D1961,出库明细!D1961)&gt;1),"",IFERROR(MATCH(出库明细!C1961,总览汇总!$B$5:$B$304,0),900)*10000000+IFERROR(MATCH(出库明细!D1961,基础资料!$E$5:$E$104,0),900)*10000+ROW()))</f>
      </c>
      <c r="F2961">
        <f>IF(AND(出库明细!C2961&lt;&gt;"",出库明细!C2961=客户对账单!$B$4,ISNUMBER(出库明细!B2961),出库明细!B2961&gt;=客户对账单!$G$4,出库明细!B2961&lt;=客户对账单!$I$4),出库明细!B2961+ROW()/100000,"")</f>
      </c>
      <c r="H2961">
        <f>IF(AND(资金台帐!K1464&lt;&gt;"",资金台帐!K1464=供应商对账单!$B$4,资金台帐!P1464="应付",ISNUMBER(资金台帐!B1464),资金台帐!B1464&gt;=供应商对账单!$G$4,资金台帐!B1464&lt;=供应商对账单!$I$4),资金台帐!B1464+ROW()/100000,"")</f>
      </c>
      <c r="N2961">
        <f>IF(AND(ISNUMBER(出库明细!G2961),ISNUMBER(出库明细!E2961),ISNUMBER(出库明细!F2961)),IF(ABS(出库明细!G2961-出库明细!E2961*出库明细!F2961)&gt;0.005,1,0),0)</f>
        <v>0</v>
      </c>
    </row>
    <row r="2962">
      <c r="A2962">
        <f>IF(OR(出库明细!C1962="",出库明细!D1962=""),"",IF(OR(COUNTIFS(存条明细!$C$4:$C$1003,出库明细!C1962,存条明细!$D$4:$D$1003,出库明细!D1962)&gt;0,COUNTIFS(出库明细!$C$4:C1962,出库明细!C1962,出库明细!$D$4:D1962,出库明细!D1962)&gt;1),"",IFERROR(MATCH(出库明细!C1962,总览汇总!$B$5:$B$304,0),900)*10000000+IFERROR(MATCH(出库明细!D1962,基础资料!$E$5:$E$104,0),900)*10000+ROW()))</f>
      </c>
      <c r="F2962">
        <f>IF(AND(出库明细!C2962&lt;&gt;"",出库明细!C2962=客户对账单!$B$4,ISNUMBER(出库明细!B2962),出库明细!B2962&gt;=客户对账单!$G$4,出库明细!B2962&lt;=客户对账单!$I$4),出库明细!B2962+ROW()/100000,"")</f>
      </c>
      <c r="H2962">
        <f>IF(AND(资金台帐!K1465&lt;&gt;"",资金台帐!K1465=供应商对账单!$B$4,资金台帐!P1465="应付",ISNUMBER(资金台帐!B1465),资金台帐!B1465&gt;=供应商对账单!$G$4,资金台帐!B1465&lt;=供应商对账单!$I$4),资金台帐!B1465+ROW()/100000,"")</f>
      </c>
      <c r="N2962">
        <f>IF(AND(ISNUMBER(出库明细!G2962),ISNUMBER(出库明细!E2962),ISNUMBER(出库明细!F2962)),IF(ABS(出库明细!G2962-出库明细!E2962*出库明细!F2962)&gt;0.005,1,0),0)</f>
        <v>0</v>
      </c>
    </row>
    <row r="2963">
      <c r="A2963">
        <f>IF(OR(出库明细!C1963="",出库明细!D1963=""),"",IF(OR(COUNTIFS(存条明细!$C$4:$C$1003,出库明细!C1963,存条明细!$D$4:$D$1003,出库明细!D1963)&gt;0,COUNTIFS(出库明细!$C$4:C1963,出库明细!C1963,出库明细!$D$4:D1963,出库明细!D1963)&gt;1),"",IFERROR(MATCH(出库明细!C1963,总览汇总!$B$5:$B$304,0),900)*10000000+IFERROR(MATCH(出库明细!D1963,基础资料!$E$5:$E$104,0),900)*10000+ROW()))</f>
      </c>
      <c r="F2963">
        <f>IF(AND(出库明细!C2963&lt;&gt;"",出库明细!C2963=客户对账单!$B$4,ISNUMBER(出库明细!B2963),出库明细!B2963&gt;=客户对账单!$G$4,出库明细!B2963&lt;=客户对账单!$I$4),出库明细!B2963+ROW()/100000,"")</f>
      </c>
      <c r="H2963">
        <f>IF(AND(资金台帐!K1466&lt;&gt;"",资金台帐!K1466=供应商对账单!$B$4,资金台帐!P1466="应付",ISNUMBER(资金台帐!B1466),资金台帐!B1466&gt;=供应商对账单!$G$4,资金台帐!B1466&lt;=供应商对账单!$I$4),资金台帐!B1466+ROW()/100000,"")</f>
      </c>
      <c r="N2963">
        <f>IF(AND(ISNUMBER(出库明细!G2963),ISNUMBER(出库明细!E2963),ISNUMBER(出库明细!F2963)),IF(ABS(出库明细!G2963-出库明细!E2963*出库明细!F2963)&gt;0.005,1,0),0)</f>
        <v>0</v>
      </c>
    </row>
    <row r="2964">
      <c r="A2964">
        <f>IF(OR(出库明细!C1964="",出库明细!D1964=""),"",IF(OR(COUNTIFS(存条明细!$C$4:$C$1003,出库明细!C1964,存条明细!$D$4:$D$1003,出库明细!D1964)&gt;0,COUNTIFS(出库明细!$C$4:C1964,出库明细!C1964,出库明细!$D$4:D1964,出库明细!D1964)&gt;1),"",IFERROR(MATCH(出库明细!C1964,总览汇总!$B$5:$B$304,0),900)*10000000+IFERROR(MATCH(出库明细!D1964,基础资料!$E$5:$E$104,0),900)*10000+ROW()))</f>
      </c>
      <c r="F2964">
        <f>IF(AND(出库明细!C2964&lt;&gt;"",出库明细!C2964=客户对账单!$B$4,ISNUMBER(出库明细!B2964),出库明细!B2964&gt;=客户对账单!$G$4,出库明细!B2964&lt;=客户对账单!$I$4),出库明细!B2964+ROW()/100000,"")</f>
      </c>
      <c r="H2964">
        <f>IF(AND(资金台帐!K1467&lt;&gt;"",资金台帐!K1467=供应商对账单!$B$4,资金台帐!P1467="应付",ISNUMBER(资金台帐!B1467),资金台帐!B1467&gt;=供应商对账单!$G$4,资金台帐!B1467&lt;=供应商对账单!$I$4),资金台帐!B1467+ROW()/100000,"")</f>
      </c>
      <c r="N2964">
        <f>IF(AND(ISNUMBER(出库明细!G2964),ISNUMBER(出库明细!E2964),ISNUMBER(出库明细!F2964)),IF(ABS(出库明细!G2964-出库明细!E2964*出库明细!F2964)&gt;0.005,1,0),0)</f>
        <v>0</v>
      </c>
    </row>
    <row r="2965">
      <c r="A2965">
        <f>IF(OR(出库明细!C1965="",出库明细!D1965=""),"",IF(OR(COUNTIFS(存条明细!$C$4:$C$1003,出库明细!C1965,存条明细!$D$4:$D$1003,出库明细!D1965)&gt;0,COUNTIFS(出库明细!$C$4:C1965,出库明细!C1965,出库明细!$D$4:D1965,出库明细!D1965)&gt;1),"",IFERROR(MATCH(出库明细!C1965,总览汇总!$B$5:$B$304,0),900)*10000000+IFERROR(MATCH(出库明细!D1965,基础资料!$E$5:$E$104,0),900)*10000+ROW()))</f>
      </c>
      <c r="F2965">
        <f>IF(AND(出库明细!C2965&lt;&gt;"",出库明细!C2965=客户对账单!$B$4,ISNUMBER(出库明细!B2965),出库明细!B2965&gt;=客户对账单!$G$4,出库明细!B2965&lt;=客户对账单!$I$4),出库明细!B2965+ROW()/100000,"")</f>
      </c>
      <c r="H2965">
        <f>IF(AND(资金台帐!K1468&lt;&gt;"",资金台帐!K1468=供应商对账单!$B$4,资金台帐!P1468="应付",ISNUMBER(资金台帐!B1468),资金台帐!B1468&gt;=供应商对账单!$G$4,资金台帐!B1468&lt;=供应商对账单!$I$4),资金台帐!B1468+ROW()/100000,"")</f>
      </c>
      <c r="N2965">
        <f>IF(AND(ISNUMBER(出库明细!G2965),ISNUMBER(出库明细!E2965),ISNUMBER(出库明细!F2965)),IF(ABS(出库明细!G2965-出库明细!E2965*出库明细!F2965)&gt;0.005,1,0),0)</f>
        <v>0</v>
      </c>
    </row>
    <row r="2966">
      <c r="A2966">
        <f>IF(OR(出库明细!C1966="",出库明细!D1966=""),"",IF(OR(COUNTIFS(存条明细!$C$4:$C$1003,出库明细!C1966,存条明细!$D$4:$D$1003,出库明细!D1966)&gt;0,COUNTIFS(出库明细!$C$4:C1966,出库明细!C1966,出库明细!$D$4:D1966,出库明细!D1966)&gt;1),"",IFERROR(MATCH(出库明细!C1966,总览汇总!$B$5:$B$304,0),900)*10000000+IFERROR(MATCH(出库明细!D1966,基础资料!$E$5:$E$104,0),900)*10000+ROW()))</f>
      </c>
      <c r="F2966">
        <f>IF(AND(出库明细!C2966&lt;&gt;"",出库明细!C2966=客户对账单!$B$4,ISNUMBER(出库明细!B2966),出库明细!B2966&gt;=客户对账单!$G$4,出库明细!B2966&lt;=客户对账单!$I$4),出库明细!B2966+ROW()/100000,"")</f>
      </c>
      <c r="H2966">
        <f>IF(AND(资金台帐!K1469&lt;&gt;"",资金台帐!K1469=供应商对账单!$B$4,资金台帐!P1469="应付",ISNUMBER(资金台帐!B1469),资金台帐!B1469&gt;=供应商对账单!$G$4,资金台帐!B1469&lt;=供应商对账单!$I$4),资金台帐!B1469+ROW()/100000,"")</f>
      </c>
      <c r="N2966">
        <f>IF(AND(ISNUMBER(出库明细!G2966),ISNUMBER(出库明细!E2966),ISNUMBER(出库明细!F2966)),IF(ABS(出库明细!G2966-出库明细!E2966*出库明细!F2966)&gt;0.005,1,0),0)</f>
        <v>0</v>
      </c>
    </row>
    <row r="2967">
      <c r="A2967">
        <f>IF(OR(出库明细!C1967="",出库明细!D1967=""),"",IF(OR(COUNTIFS(存条明细!$C$4:$C$1003,出库明细!C1967,存条明细!$D$4:$D$1003,出库明细!D1967)&gt;0,COUNTIFS(出库明细!$C$4:C1967,出库明细!C1967,出库明细!$D$4:D1967,出库明细!D1967)&gt;1),"",IFERROR(MATCH(出库明细!C1967,总览汇总!$B$5:$B$304,0),900)*10000000+IFERROR(MATCH(出库明细!D1967,基础资料!$E$5:$E$104,0),900)*10000+ROW()))</f>
      </c>
      <c r="F2967">
        <f>IF(AND(出库明细!C2967&lt;&gt;"",出库明细!C2967=客户对账单!$B$4,ISNUMBER(出库明细!B2967),出库明细!B2967&gt;=客户对账单!$G$4,出库明细!B2967&lt;=客户对账单!$I$4),出库明细!B2967+ROW()/100000,"")</f>
      </c>
      <c r="H2967">
        <f>IF(AND(资金台帐!K1470&lt;&gt;"",资金台帐!K1470=供应商对账单!$B$4,资金台帐!P1470="应付",ISNUMBER(资金台帐!B1470),资金台帐!B1470&gt;=供应商对账单!$G$4,资金台帐!B1470&lt;=供应商对账单!$I$4),资金台帐!B1470+ROW()/100000,"")</f>
      </c>
      <c r="N2967">
        <f>IF(AND(ISNUMBER(出库明细!G2967),ISNUMBER(出库明细!E2967),ISNUMBER(出库明细!F2967)),IF(ABS(出库明细!G2967-出库明细!E2967*出库明细!F2967)&gt;0.005,1,0),0)</f>
        <v>0</v>
      </c>
    </row>
    <row r="2968">
      <c r="A2968">
        <f>IF(OR(出库明细!C1968="",出库明细!D1968=""),"",IF(OR(COUNTIFS(存条明细!$C$4:$C$1003,出库明细!C1968,存条明细!$D$4:$D$1003,出库明细!D1968)&gt;0,COUNTIFS(出库明细!$C$4:C1968,出库明细!C1968,出库明细!$D$4:D1968,出库明细!D1968)&gt;1),"",IFERROR(MATCH(出库明细!C1968,总览汇总!$B$5:$B$304,0),900)*10000000+IFERROR(MATCH(出库明细!D1968,基础资料!$E$5:$E$104,0),900)*10000+ROW()))</f>
      </c>
      <c r="F2968">
        <f>IF(AND(出库明细!C2968&lt;&gt;"",出库明细!C2968=客户对账单!$B$4,ISNUMBER(出库明细!B2968),出库明细!B2968&gt;=客户对账单!$G$4,出库明细!B2968&lt;=客户对账单!$I$4),出库明细!B2968+ROW()/100000,"")</f>
      </c>
      <c r="H2968">
        <f>IF(AND(资金台帐!K1471&lt;&gt;"",资金台帐!K1471=供应商对账单!$B$4,资金台帐!P1471="应付",ISNUMBER(资金台帐!B1471),资金台帐!B1471&gt;=供应商对账单!$G$4,资金台帐!B1471&lt;=供应商对账单!$I$4),资金台帐!B1471+ROW()/100000,"")</f>
      </c>
      <c r="N2968">
        <f>IF(AND(ISNUMBER(出库明细!G2968),ISNUMBER(出库明细!E2968),ISNUMBER(出库明细!F2968)),IF(ABS(出库明细!G2968-出库明细!E2968*出库明细!F2968)&gt;0.005,1,0),0)</f>
        <v>0</v>
      </c>
    </row>
    <row r="2969">
      <c r="A2969">
        <f>IF(OR(出库明细!C1969="",出库明细!D1969=""),"",IF(OR(COUNTIFS(存条明细!$C$4:$C$1003,出库明细!C1969,存条明细!$D$4:$D$1003,出库明细!D1969)&gt;0,COUNTIFS(出库明细!$C$4:C1969,出库明细!C1969,出库明细!$D$4:D1969,出库明细!D1969)&gt;1),"",IFERROR(MATCH(出库明细!C1969,总览汇总!$B$5:$B$304,0),900)*10000000+IFERROR(MATCH(出库明细!D1969,基础资料!$E$5:$E$104,0),900)*10000+ROW()))</f>
      </c>
      <c r="F2969">
        <f>IF(AND(出库明细!C2969&lt;&gt;"",出库明细!C2969=客户对账单!$B$4,ISNUMBER(出库明细!B2969),出库明细!B2969&gt;=客户对账单!$G$4,出库明细!B2969&lt;=客户对账单!$I$4),出库明细!B2969+ROW()/100000,"")</f>
      </c>
      <c r="H2969">
        <f>IF(AND(资金台帐!K1472&lt;&gt;"",资金台帐!K1472=供应商对账单!$B$4,资金台帐!P1472="应付",ISNUMBER(资金台帐!B1472),资金台帐!B1472&gt;=供应商对账单!$G$4,资金台帐!B1472&lt;=供应商对账单!$I$4),资金台帐!B1472+ROW()/100000,"")</f>
      </c>
      <c r="N2969">
        <f>IF(AND(ISNUMBER(出库明细!G2969),ISNUMBER(出库明细!E2969),ISNUMBER(出库明细!F2969)),IF(ABS(出库明细!G2969-出库明细!E2969*出库明细!F2969)&gt;0.005,1,0),0)</f>
        <v>0</v>
      </c>
    </row>
    <row r="2970">
      <c r="A2970">
        <f>IF(OR(出库明细!C1970="",出库明细!D1970=""),"",IF(OR(COUNTIFS(存条明细!$C$4:$C$1003,出库明细!C1970,存条明细!$D$4:$D$1003,出库明细!D1970)&gt;0,COUNTIFS(出库明细!$C$4:C1970,出库明细!C1970,出库明细!$D$4:D1970,出库明细!D1970)&gt;1),"",IFERROR(MATCH(出库明细!C1970,总览汇总!$B$5:$B$304,0),900)*10000000+IFERROR(MATCH(出库明细!D1970,基础资料!$E$5:$E$104,0),900)*10000+ROW()))</f>
      </c>
      <c r="F2970">
        <f>IF(AND(出库明细!C2970&lt;&gt;"",出库明细!C2970=客户对账单!$B$4,ISNUMBER(出库明细!B2970),出库明细!B2970&gt;=客户对账单!$G$4,出库明细!B2970&lt;=客户对账单!$I$4),出库明细!B2970+ROW()/100000,"")</f>
      </c>
      <c r="H2970">
        <f>IF(AND(资金台帐!K1473&lt;&gt;"",资金台帐!K1473=供应商对账单!$B$4,资金台帐!P1473="应付",ISNUMBER(资金台帐!B1473),资金台帐!B1473&gt;=供应商对账单!$G$4,资金台帐!B1473&lt;=供应商对账单!$I$4),资金台帐!B1473+ROW()/100000,"")</f>
      </c>
      <c r="N2970">
        <f>IF(AND(ISNUMBER(出库明细!G2970),ISNUMBER(出库明细!E2970),ISNUMBER(出库明细!F2970)),IF(ABS(出库明细!G2970-出库明细!E2970*出库明细!F2970)&gt;0.005,1,0),0)</f>
        <v>0</v>
      </c>
    </row>
    <row r="2971">
      <c r="A2971">
        <f>IF(OR(出库明细!C1971="",出库明细!D1971=""),"",IF(OR(COUNTIFS(存条明细!$C$4:$C$1003,出库明细!C1971,存条明细!$D$4:$D$1003,出库明细!D1971)&gt;0,COUNTIFS(出库明细!$C$4:C1971,出库明细!C1971,出库明细!$D$4:D1971,出库明细!D1971)&gt;1),"",IFERROR(MATCH(出库明细!C1971,总览汇总!$B$5:$B$304,0),900)*10000000+IFERROR(MATCH(出库明细!D1971,基础资料!$E$5:$E$104,0),900)*10000+ROW()))</f>
      </c>
      <c r="F2971">
        <f>IF(AND(出库明细!C2971&lt;&gt;"",出库明细!C2971=客户对账单!$B$4,ISNUMBER(出库明细!B2971),出库明细!B2971&gt;=客户对账单!$G$4,出库明细!B2971&lt;=客户对账单!$I$4),出库明细!B2971+ROW()/100000,"")</f>
      </c>
      <c r="H2971">
        <f>IF(AND(资金台帐!K1474&lt;&gt;"",资金台帐!K1474=供应商对账单!$B$4,资金台帐!P1474="应付",ISNUMBER(资金台帐!B1474),资金台帐!B1474&gt;=供应商对账单!$G$4,资金台帐!B1474&lt;=供应商对账单!$I$4),资金台帐!B1474+ROW()/100000,"")</f>
      </c>
      <c r="N2971">
        <f>IF(AND(ISNUMBER(出库明细!G2971),ISNUMBER(出库明细!E2971),ISNUMBER(出库明细!F2971)),IF(ABS(出库明细!G2971-出库明细!E2971*出库明细!F2971)&gt;0.005,1,0),0)</f>
        <v>0</v>
      </c>
    </row>
    <row r="2972">
      <c r="A2972">
        <f>IF(OR(出库明细!C1972="",出库明细!D1972=""),"",IF(OR(COUNTIFS(存条明细!$C$4:$C$1003,出库明细!C1972,存条明细!$D$4:$D$1003,出库明细!D1972)&gt;0,COUNTIFS(出库明细!$C$4:C1972,出库明细!C1972,出库明细!$D$4:D1972,出库明细!D1972)&gt;1),"",IFERROR(MATCH(出库明细!C1972,总览汇总!$B$5:$B$304,0),900)*10000000+IFERROR(MATCH(出库明细!D1972,基础资料!$E$5:$E$104,0),900)*10000+ROW()))</f>
      </c>
      <c r="F2972">
        <f>IF(AND(出库明细!C2972&lt;&gt;"",出库明细!C2972=客户对账单!$B$4,ISNUMBER(出库明细!B2972),出库明细!B2972&gt;=客户对账单!$G$4,出库明细!B2972&lt;=客户对账单!$I$4),出库明细!B2972+ROW()/100000,"")</f>
      </c>
      <c r="H2972">
        <f>IF(AND(资金台帐!K1475&lt;&gt;"",资金台帐!K1475=供应商对账单!$B$4,资金台帐!P1475="应付",ISNUMBER(资金台帐!B1475),资金台帐!B1475&gt;=供应商对账单!$G$4,资金台帐!B1475&lt;=供应商对账单!$I$4),资金台帐!B1475+ROW()/100000,"")</f>
      </c>
      <c r="N2972">
        <f>IF(AND(ISNUMBER(出库明细!G2972),ISNUMBER(出库明细!E2972),ISNUMBER(出库明细!F2972)),IF(ABS(出库明细!G2972-出库明细!E2972*出库明细!F2972)&gt;0.005,1,0),0)</f>
        <v>0</v>
      </c>
    </row>
    <row r="2973">
      <c r="A2973">
        <f>IF(OR(出库明细!C1973="",出库明细!D1973=""),"",IF(OR(COUNTIFS(存条明细!$C$4:$C$1003,出库明细!C1973,存条明细!$D$4:$D$1003,出库明细!D1973)&gt;0,COUNTIFS(出库明细!$C$4:C1973,出库明细!C1973,出库明细!$D$4:D1973,出库明细!D1973)&gt;1),"",IFERROR(MATCH(出库明细!C1973,总览汇总!$B$5:$B$304,0),900)*10000000+IFERROR(MATCH(出库明细!D1973,基础资料!$E$5:$E$104,0),900)*10000+ROW()))</f>
      </c>
      <c r="F2973">
        <f>IF(AND(出库明细!C2973&lt;&gt;"",出库明细!C2973=客户对账单!$B$4,ISNUMBER(出库明细!B2973),出库明细!B2973&gt;=客户对账单!$G$4,出库明细!B2973&lt;=客户对账单!$I$4),出库明细!B2973+ROW()/100000,"")</f>
      </c>
      <c r="H2973">
        <f>IF(AND(资金台帐!K1476&lt;&gt;"",资金台帐!K1476=供应商对账单!$B$4,资金台帐!P1476="应付",ISNUMBER(资金台帐!B1476),资金台帐!B1476&gt;=供应商对账单!$G$4,资金台帐!B1476&lt;=供应商对账单!$I$4),资金台帐!B1476+ROW()/100000,"")</f>
      </c>
      <c r="N2973">
        <f>IF(AND(ISNUMBER(出库明细!G2973),ISNUMBER(出库明细!E2973),ISNUMBER(出库明细!F2973)),IF(ABS(出库明细!G2973-出库明细!E2973*出库明细!F2973)&gt;0.005,1,0),0)</f>
        <v>0</v>
      </c>
    </row>
    <row r="2974">
      <c r="A2974">
        <f>IF(OR(出库明细!C1974="",出库明细!D1974=""),"",IF(OR(COUNTIFS(存条明细!$C$4:$C$1003,出库明细!C1974,存条明细!$D$4:$D$1003,出库明细!D1974)&gt;0,COUNTIFS(出库明细!$C$4:C1974,出库明细!C1974,出库明细!$D$4:D1974,出库明细!D1974)&gt;1),"",IFERROR(MATCH(出库明细!C1974,总览汇总!$B$5:$B$304,0),900)*10000000+IFERROR(MATCH(出库明细!D1974,基础资料!$E$5:$E$104,0),900)*10000+ROW()))</f>
      </c>
      <c r="F2974">
        <f>IF(AND(出库明细!C2974&lt;&gt;"",出库明细!C2974=客户对账单!$B$4,ISNUMBER(出库明细!B2974),出库明细!B2974&gt;=客户对账单!$G$4,出库明细!B2974&lt;=客户对账单!$I$4),出库明细!B2974+ROW()/100000,"")</f>
      </c>
      <c r="H2974">
        <f>IF(AND(资金台帐!K1477&lt;&gt;"",资金台帐!K1477=供应商对账单!$B$4,资金台帐!P1477="应付",ISNUMBER(资金台帐!B1477),资金台帐!B1477&gt;=供应商对账单!$G$4,资金台帐!B1477&lt;=供应商对账单!$I$4),资金台帐!B1477+ROW()/100000,"")</f>
      </c>
      <c r="N2974">
        <f>IF(AND(ISNUMBER(出库明细!G2974),ISNUMBER(出库明细!E2974),ISNUMBER(出库明细!F2974)),IF(ABS(出库明细!G2974-出库明细!E2974*出库明细!F2974)&gt;0.005,1,0),0)</f>
        <v>0</v>
      </c>
    </row>
    <row r="2975">
      <c r="A2975">
        <f>IF(OR(出库明细!C1975="",出库明细!D1975=""),"",IF(OR(COUNTIFS(存条明细!$C$4:$C$1003,出库明细!C1975,存条明细!$D$4:$D$1003,出库明细!D1975)&gt;0,COUNTIFS(出库明细!$C$4:C1975,出库明细!C1975,出库明细!$D$4:D1975,出库明细!D1975)&gt;1),"",IFERROR(MATCH(出库明细!C1975,总览汇总!$B$5:$B$304,0),900)*10000000+IFERROR(MATCH(出库明细!D1975,基础资料!$E$5:$E$104,0),900)*10000+ROW()))</f>
      </c>
      <c r="F2975">
        <f>IF(AND(出库明细!C2975&lt;&gt;"",出库明细!C2975=客户对账单!$B$4,ISNUMBER(出库明细!B2975),出库明细!B2975&gt;=客户对账单!$G$4,出库明细!B2975&lt;=客户对账单!$I$4),出库明细!B2975+ROW()/100000,"")</f>
      </c>
      <c r="H2975">
        <f>IF(AND(资金台帐!K1478&lt;&gt;"",资金台帐!K1478=供应商对账单!$B$4,资金台帐!P1478="应付",ISNUMBER(资金台帐!B1478),资金台帐!B1478&gt;=供应商对账单!$G$4,资金台帐!B1478&lt;=供应商对账单!$I$4),资金台帐!B1478+ROW()/100000,"")</f>
      </c>
      <c r="N2975">
        <f>IF(AND(ISNUMBER(出库明细!G2975),ISNUMBER(出库明细!E2975),ISNUMBER(出库明细!F2975)),IF(ABS(出库明细!G2975-出库明细!E2975*出库明细!F2975)&gt;0.005,1,0),0)</f>
        <v>0</v>
      </c>
    </row>
    <row r="2976">
      <c r="A2976">
        <f>IF(OR(出库明细!C1976="",出库明细!D1976=""),"",IF(OR(COUNTIFS(存条明细!$C$4:$C$1003,出库明细!C1976,存条明细!$D$4:$D$1003,出库明细!D1976)&gt;0,COUNTIFS(出库明细!$C$4:C1976,出库明细!C1976,出库明细!$D$4:D1976,出库明细!D1976)&gt;1),"",IFERROR(MATCH(出库明细!C1976,总览汇总!$B$5:$B$304,0),900)*10000000+IFERROR(MATCH(出库明细!D1976,基础资料!$E$5:$E$104,0),900)*10000+ROW()))</f>
      </c>
      <c r="F2976">
        <f>IF(AND(出库明细!C2976&lt;&gt;"",出库明细!C2976=客户对账单!$B$4,ISNUMBER(出库明细!B2976),出库明细!B2976&gt;=客户对账单!$G$4,出库明细!B2976&lt;=客户对账单!$I$4),出库明细!B2976+ROW()/100000,"")</f>
      </c>
      <c r="H2976">
        <f>IF(AND(资金台帐!K1479&lt;&gt;"",资金台帐!K1479=供应商对账单!$B$4,资金台帐!P1479="应付",ISNUMBER(资金台帐!B1479),资金台帐!B1479&gt;=供应商对账单!$G$4,资金台帐!B1479&lt;=供应商对账单!$I$4),资金台帐!B1479+ROW()/100000,"")</f>
      </c>
      <c r="N2976">
        <f>IF(AND(ISNUMBER(出库明细!G2976),ISNUMBER(出库明细!E2976),ISNUMBER(出库明细!F2976)),IF(ABS(出库明细!G2976-出库明细!E2976*出库明细!F2976)&gt;0.005,1,0),0)</f>
        <v>0</v>
      </c>
    </row>
    <row r="2977">
      <c r="A2977">
        <f>IF(OR(出库明细!C1977="",出库明细!D1977=""),"",IF(OR(COUNTIFS(存条明细!$C$4:$C$1003,出库明细!C1977,存条明细!$D$4:$D$1003,出库明细!D1977)&gt;0,COUNTIFS(出库明细!$C$4:C1977,出库明细!C1977,出库明细!$D$4:D1977,出库明细!D1977)&gt;1),"",IFERROR(MATCH(出库明细!C1977,总览汇总!$B$5:$B$304,0),900)*10000000+IFERROR(MATCH(出库明细!D1977,基础资料!$E$5:$E$104,0),900)*10000+ROW()))</f>
      </c>
      <c r="F2977">
        <f>IF(AND(出库明细!C2977&lt;&gt;"",出库明细!C2977=客户对账单!$B$4,ISNUMBER(出库明细!B2977),出库明细!B2977&gt;=客户对账单!$G$4,出库明细!B2977&lt;=客户对账单!$I$4),出库明细!B2977+ROW()/100000,"")</f>
      </c>
      <c r="H2977">
        <f>IF(AND(资金台帐!K1480&lt;&gt;"",资金台帐!K1480=供应商对账单!$B$4,资金台帐!P1480="应付",ISNUMBER(资金台帐!B1480),资金台帐!B1480&gt;=供应商对账单!$G$4,资金台帐!B1480&lt;=供应商对账单!$I$4),资金台帐!B1480+ROW()/100000,"")</f>
      </c>
      <c r="N2977">
        <f>IF(AND(ISNUMBER(出库明细!G2977),ISNUMBER(出库明细!E2977),ISNUMBER(出库明细!F2977)),IF(ABS(出库明细!G2977-出库明细!E2977*出库明细!F2977)&gt;0.005,1,0),0)</f>
        <v>0</v>
      </c>
    </row>
    <row r="2978">
      <c r="A2978">
        <f>IF(OR(出库明细!C1978="",出库明细!D1978=""),"",IF(OR(COUNTIFS(存条明细!$C$4:$C$1003,出库明细!C1978,存条明细!$D$4:$D$1003,出库明细!D1978)&gt;0,COUNTIFS(出库明细!$C$4:C1978,出库明细!C1978,出库明细!$D$4:D1978,出库明细!D1978)&gt;1),"",IFERROR(MATCH(出库明细!C1978,总览汇总!$B$5:$B$304,0),900)*10000000+IFERROR(MATCH(出库明细!D1978,基础资料!$E$5:$E$104,0),900)*10000+ROW()))</f>
      </c>
      <c r="F2978">
        <f>IF(AND(出库明细!C2978&lt;&gt;"",出库明细!C2978=客户对账单!$B$4,ISNUMBER(出库明细!B2978),出库明细!B2978&gt;=客户对账单!$G$4,出库明细!B2978&lt;=客户对账单!$I$4),出库明细!B2978+ROW()/100000,"")</f>
      </c>
      <c r="H2978">
        <f>IF(AND(资金台帐!K1481&lt;&gt;"",资金台帐!K1481=供应商对账单!$B$4,资金台帐!P1481="应付",ISNUMBER(资金台帐!B1481),资金台帐!B1481&gt;=供应商对账单!$G$4,资金台帐!B1481&lt;=供应商对账单!$I$4),资金台帐!B1481+ROW()/100000,"")</f>
      </c>
      <c r="N2978">
        <f>IF(AND(ISNUMBER(出库明细!G2978),ISNUMBER(出库明细!E2978),ISNUMBER(出库明细!F2978)),IF(ABS(出库明细!G2978-出库明细!E2978*出库明细!F2978)&gt;0.005,1,0),0)</f>
        <v>0</v>
      </c>
    </row>
    <row r="2979">
      <c r="A2979">
        <f>IF(OR(出库明细!C1979="",出库明细!D1979=""),"",IF(OR(COUNTIFS(存条明细!$C$4:$C$1003,出库明细!C1979,存条明细!$D$4:$D$1003,出库明细!D1979)&gt;0,COUNTIFS(出库明细!$C$4:C1979,出库明细!C1979,出库明细!$D$4:D1979,出库明细!D1979)&gt;1),"",IFERROR(MATCH(出库明细!C1979,总览汇总!$B$5:$B$304,0),900)*10000000+IFERROR(MATCH(出库明细!D1979,基础资料!$E$5:$E$104,0),900)*10000+ROW()))</f>
      </c>
      <c r="F2979">
        <f>IF(AND(出库明细!C2979&lt;&gt;"",出库明细!C2979=客户对账单!$B$4,ISNUMBER(出库明细!B2979),出库明细!B2979&gt;=客户对账单!$G$4,出库明细!B2979&lt;=客户对账单!$I$4),出库明细!B2979+ROW()/100000,"")</f>
      </c>
      <c r="H2979">
        <f>IF(AND(资金台帐!K1482&lt;&gt;"",资金台帐!K1482=供应商对账单!$B$4,资金台帐!P1482="应付",ISNUMBER(资金台帐!B1482),资金台帐!B1482&gt;=供应商对账单!$G$4,资金台帐!B1482&lt;=供应商对账单!$I$4),资金台帐!B1482+ROW()/100000,"")</f>
      </c>
      <c r="N2979">
        <f>IF(AND(ISNUMBER(出库明细!G2979),ISNUMBER(出库明细!E2979),ISNUMBER(出库明细!F2979)),IF(ABS(出库明细!G2979-出库明细!E2979*出库明细!F2979)&gt;0.005,1,0),0)</f>
        <v>0</v>
      </c>
    </row>
    <row r="2980">
      <c r="A2980">
        <f>IF(OR(出库明细!C1980="",出库明细!D1980=""),"",IF(OR(COUNTIFS(存条明细!$C$4:$C$1003,出库明细!C1980,存条明细!$D$4:$D$1003,出库明细!D1980)&gt;0,COUNTIFS(出库明细!$C$4:C1980,出库明细!C1980,出库明细!$D$4:D1980,出库明细!D1980)&gt;1),"",IFERROR(MATCH(出库明细!C1980,总览汇总!$B$5:$B$304,0),900)*10000000+IFERROR(MATCH(出库明细!D1980,基础资料!$E$5:$E$104,0),900)*10000+ROW()))</f>
      </c>
      <c r="F2980">
        <f>IF(AND(出库明细!C2980&lt;&gt;"",出库明细!C2980=客户对账单!$B$4,ISNUMBER(出库明细!B2980),出库明细!B2980&gt;=客户对账单!$G$4,出库明细!B2980&lt;=客户对账单!$I$4),出库明细!B2980+ROW()/100000,"")</f>
      </c>
      <c r="H2980">
        <f>IF(AND(资金台帐!K1483&lt;&gt;"",资金台帐!K1483=供应商对账单!$B$4,资金台帐!P1483="应付",ISNUMBER(资金台帐!B1483),资金台帐!B1483&gt;=供应商对账单!$G$4,资金台帐!B1483&lt;=供应商对账单!$I$4),资金台帐!B1483+ROW()/100000,"")</f>
      </c>
      <c r="N2980">
        <f>IF(AND(ISNUMBER(出库明细!G2980),ISNUMBER(出库明细!E2980),ISNUMBER(出库明细!F2980)),IF(ABS(出库明细!G2980-出库明细!E2980*出库明细!F2980)&gt;0.005,1,0),0)</f>
        <v>0</v>
      </c>
    </row>
    <row r="2981">
      <c r="A2981">
        <f>IF(OR(出库明细!C1981="",出库明细!D1981=""),"",IF(OR(COUNTIFS(存条明细!$C$4:$C$1003,出库明细!C1981,存条明细!$D$4:$D$1003,出库明细!D1981)&gt;0,COUNTIFS(出库明细!$C$4:C1981,出库明细!C1981,出库明细!$D$4:D1981,出库明细!D1981)&gt;1),"",IFERROR(MATCH(出库明细!C1981,总览汇总!$B$5:$B$304,0),900)*10000000+IFERROR(MATCH(出库明细!D1981,基础资料!$E$5:$E$104,0),900)*10000+ROW()))</f>
      </c>
      <c r="F2981">
        <f>IF(AND(出库明细!C2981&lt;&gt;"",出库明细!C2981=客户对账单!$B$4,ISNUMBER(出库明细!B2981),出库明细!B2981&gt;=客户对账单!$G$4,出库明细!B2981&lt;=客户对账单!$I$4),出库明细!B2981+ROW()/100000,"")</f>
      </c>
      <c r="H2981">
        <f>IF(AND(资金台帐!K1484&lt;&gt;"",资金台帐!K1484=供应商对账单!$B$4,资金台帐!P1484="应付",ISNUMBER(资金台帐!B1484),资金台帐!B1484&gt;=供应商对账单!$G$4,资金台帐!B1484&lt;=供应商对账单!$I$4),资金台帐!B1484+ROW()/100000,"")</f>
      </c>
      <c r="N2981">
        <f>IF(AND(ISNUMBER(出库明细!G2981),ISNUMBER(出库明细!E2981),ISNUMBER(出库明细!F2981)),IF(ABS(出库明细!G2981-出库明细!E2981*出库明细!F2981)&gt;0.005,1,0),0)</f>
        <v>0</v>
      </c>
    </row>
    <row r="2982">
      <c r="A2982">
        <f>IF(OR(出库明细!C1982="",出库明细!D1982=""),"",IF(OR(COUNTIFS(存条明细!$C$4:$C$1003,出库明细!C1982,存条明细!$D$4:$D$1003,出库明细!D1982)&gt;0,COUNTIFS(出库明细!$C$4:C1982,出库明细!C1982,出库明细!$D$4:D1982,出库明细!D1982)&gt;1),"",IFERROR(MATCH(出库明细!C1982,总览汇总!$B$5:$B$304,0),900)*10000000+IFERROR(MATCH(出库明细!D1982,基础资料!$E$5:$E$104,0),900)*10000+ROW()))</f>
      </c>
      <c r="F2982">
        <f>IF(AND(出库明细!C2982&lt;&gt;"",出库明细!C2982=客户对账单!$B$4,ISNUMBER(出库明细!B2982),出库明细!B2982&gt;=客户对账单!$G$4,出库明细!B2982&lt;=客户对账单!$I$4),出库明细!B2982+ROW()/100000,"")</f>
      </c>
      <c r="H2982">
        <f>IF(AND(资金台帐!K1485&lt;&gt;"",资金台帐!K1485=供应商对账单!$B$4,资金台帐!P1485="应付",ISNUMBER(资金台帐!B1485),资金台帐!B1485&gt;=供应商对账单!$G$4,资金台帐!B1485&lt;=供应商对账单!$I$4),资金台帐!B1485+ROW()/100000,"")</f>
      </c>
      <c r="N2982">
        <f>IF(AND(ISNUMBER(出库明细!G2982),ISNUMBER(出库明细!E2982),ISNUMBER(出库明细!F2982)),IF(ABS(出库明细!G2982-出库明细!E2982*出库明细!F2982)&gt;0.005,1,0),0)</f>
        <v>0</v>
      </c>
    </row>
    <row r="2983">
      <c r="A2983">
        <f>IF(OR(出库明细!C1983="",出库明细!D1983=""),"",IF(OR(COUNTIFS(存条明细!$C$4:$C$1003,出库明细!C1983,存条明细!$D$4:$D$1003,出库明细!D1983)&gt;0,COUNTIFS(出库明细!$C$4:C1983,出库明细!C1983,出库明细!$D$4:D1983,出库明细!D1983)&gt;1),"",IFERROR(MATCH(出库明细!C1983,总览汇总!$B$5:$B$304,0),900)*10000000+IFERROR(MATCH(出库明细!D1983,基础资料!$E$5:$E$104,0),900)*10000+ROW()))</f>
      </c>
      <c r="F2983">
        <f>IF(AND(出库明细!C2983&lt;&gt;"",出库明细!C2983=客户对账单!$B$4,ISNUMBER(出库明细!B2983),出库明细!B2983&gt;=客户对账单!$G$4,出库明细!B2983&lt;=客户对账单!$I$4),出库明细!B2983+ROW()/100000,"")</f>
      </c>
      <c r="H2983">
        <f>IF(AND(资金台帐!K1486&lt;&gt;"",资金台帐!K1486=供应商对账单!$B$4,资金台帐!P1486="应付",ISNUMBER(资金台帐!B1486),资金台帐!B1486&gt;=供应商对账单!$G$4,资金台帐!B1486&lt;=供应商对账单!$I$4),资金台帐!B1486+ROW()/100000,"")</f>
      </c>
      <c r="N2983">
        <f>IF(AND(ISNUMBER(出库明细!G2983),ISNUMBER(出库明细!E2983),ISNUMBER(出库明细!F2983)),IF(ABS(出库明细!G2983-出库明细!E2983*出库明细!F2983)&gt;0.005,1,0),0)</f>
        <v>0</v>
      </c>
    </row>
    <row r="2984">
      <c r="A2984">
        <f>IF(OR(出库明细!C1984="",出库明细!D1984=""),"",IF(OR(COUNTIFS(存条明细!$C$4:$C$1003,出库明细!C1984,存条明细!$D$4:$D$1003,出库明细!D1984)&gt;0,COUNTIFS(出库明细!$C$4:C1984,出库明细!C1984,出库明细!$D$4:D1984,出库明细!D1984)&gt;1),"",IFERROR(MATCH(出库明细!C1984,总览汇总!$B$5:$B$304,0),900)*10000000+IFERROR(MATCH(出库明细!D1984,基础资料!$E$5:$E$104,0),900)*10000+ROW()))</f>
      </c>
      <c r="F2984">
        <f>IF(AND(出库明细!C2984&lt;&gt;"",出库明细!C2984=客户对账单!$B$4,ISNUMBER(出库明细!B2984),出库明细!B2984&gt;=客户对账单!$G$4,出库明细!B2984&lt;=客户对账单!$I$4),出库明细!B2984+ROW()/100000,"")</f>
      </c>
      <c r="H2984">
        <f>IF(AND(资金台帐!K1487&lt;&gt;"",资金台帐!K1487=供应商对账单!$B$4,资金台帐!P1487="应付",ISNUMBER(资金台帐!B1487),资金台帐!B1487&gt;=供应商对账单!$G$4,资金台帐!B1487&lt;=供应商对账单!$I$4),资金台帐!B1487+ROW()/100000,"")</f>
      </c>
      <c r="N2984">
        <f>IF(AND(ISNUMBER(出库明细!G2984),ISNUMBER(出库明细!E2984),ISNUMBER(出库明细!F2984)),IF(ABS(出库明细!G2984-出库明细!E2984*出库明细!F2984)&gt;0.005,1,0),0)</f>
        <v>0</v>
      </c>
    </row>
    <row r="2985">
      <c r="A2985">
        <f>IF(OR(出库明细!C1985="",出库明细!D1985=""),"",IF(OR(COUNTIFS(存条明细!$C$4:$C$1003,出库明细!C1985,存条明细!$D$4:$D$1003,出库明细!D1985)&gt;0,COUNTIFS(出库明细!$C$4:C1985,出库明细!C1985,出库明细!$D$4:D1985,出库明细!D1985)&gt;1),"",IFERROR(MATCH(出库明细!C1985,总览汇总!$B$5:$B$304,0),900)*10000000+IFERROR(MATCH(出库明细!D1985,基础资料!$E$5:$E$104,0),900)*10000+ROW()))</f>
      </c>
      <c r="F2985">
        <f>IF(AND(出库明细!C2985&lt;&gt;"",出库明细!C2985=客户对账单!$B$4,ISNUMBER(出库明细!B2985),出库明细!B2985&gt;=客户对账单!$G$4,出库明细!B2985&lt;=客户对账单!$I$4),出库明细!B2985+ROW()/100000,"")</f>
      </c>
      <c r="H2985">
        <f>IF(AND(资金台帐!K1488&lt;&gt;"",资金台帐!K1488=供应商对账单!$B$4,资金台帐!P1488="应付",ISNUMBER(资金台帐!B1488),资金台帐!B1488&gt;=供应商对账单!$G$4,资金台帐!B1488&lt;=供应商对账单!$I$4),资金台帐!B1488+ROW()/100000,"")</f>
      </c>
      <c r="N2985">
        <f>IF(AND(ISNUMBER(出库明细!G2985),ISNUMBER(出库明细!E2985),ISNUMBER(出库明细!F2985)),IF(ABS(出库明细!G2985-出库明细!E2985*出库明细!F2985)&gt;0.005,1,0),0)</f>
        <v>0</v>
      </c>
    </row>
    <row r="2986">
      <c r="A2986">
        <f>IF(OR(出库明细!C1986="",出库明细!D1986=""),"",IF(OR(COUNTIFS(存条明细!$C$4:$C$1003,出库明细!C1986,存条明细!$D$4:$D$1003,出库明细!D1986)&gt;0,COUNTIFS(出库明细!$C$4:C1986,出库明细!C1986,出库明细!$D$4:D1986,出库明细!D1986)&gt;1),"",IFERROR(MATCH(出库明细!C1986,总览汇总!$B$5:$B$304,0),900)*10000000+IFERROR(MATCH(出库明细!D1986,基础资料!$E$5:$E$104,0),900)*10000+ROW()))</f>
      </c>
      <c r="F2986">
        <f>IF(AND(出库明细!C2986&lt;&gt;"",出库明细!C2986=客户对账单!$B$4,ISNUMBER(出库明细!B2986),出库明细!B2986&gt;=客户对账单!$G$4,出库明细!B2986&lt;=客户对账单!$I$4),出库明细!B2986+ROW()/100000,"")</f>
      </c>
      <c r="H2986">
        <f>IF(AND(资金台帐!K1489&lt;&gt;"",资金台帐!K1489=供应商对账单!$B$4,资金台帐!P1489="应付",ISNUMBER(资金台帐!B1489),资金台帐!B1489&gt;=供应商对账单!$G$4,资金台帐!B1489&lt;=供应商对账单!$I$4),资金台帐!B1489+ROW()/100000,"")</f>
      </c>
      <c r="N2986">
        <f>IF(AND(ISNUMBER(出库明细!G2986),ISNUMBER(出库明细!E2986),ISNUMBER(出库明细!F2986)),IF(ABS(出库明细!G2986-出库明细!E2986*出库明细!F2986)&gt;0.005,1,0),0)</f>
        <v>0</v>
      </c>
    </row>
    <row r="2987">
      <c r="A2987">
        <f>IF(OR(出库明细!C1987="",出库明细!D1987=""),"",IF(OR(COUNTIFS(存条明细!$C$4:$C$1003,出库明细!C1987,存条明细!$D$4:$D$1003,出库明细!D1987)&gt;0,COUNTIFS(出库明细!$C$4:C1987,出库明细!C1987,出库明细!$D$4:D1987,出库明细!D1987)&gt;1),"",IFERROR(MATCH(出库明细!C1987,总览汇总!$B$5:$B$304,0),900)*10000000+IFERROR(MATCH(出库明细!D1987,基础资料!$E$5:$E$104,0),900)*10000+ROW()))</f>
      </c>
      <c r="F2987">
        <f>IF(AND(出库明细!C2987&lt;&gt;"",出库明细!C2987=客户对账单!$B$4,ISNUMBER(出库明细!B2987),出库明细!B2987&gt;=客户对账单!$G$4,出库明细!B2987&lt;=客户对账单!$I$4),出库明细!B2987+ROW()/100000,"")</f>
      </c>
      <c r="H2987">
        <f>IF(AND(资金台帐!K1490&lt;&gt;"",资金台帐!K1490=供应商对账单!$B$4,资金台帐!P1490="应付",ISNUMBER(资金台帐!B1490),资金台帐!B1490&gt;=供应商对账单!$G$4,资金台帐!B1490&lt;=供应商对账单!$I$4),资金台帐!B1490+ROW()/100000,"")</f>
      </c>
      <c r="N2987">
        <f>IF(AND(ISNUMBER(出库明细!G2987),ISNUMBER(出库明细!E2987),ISNUMBER(出库明细!F2987)),IF(ABS(出库明细!G2987-出库明细!E2987*出库明细!F2987)&gt;0.005,1,0),0)</f>
        <v>0</v>
      </c>
    </row>
    <row r="2988">
      <c r="A2988">
        <f>IF(OR(出库明细!C1988="",出库明细!D1988=""),"",IF(OR(COUNTIFS(存条明细!$C$4:$C$1003,出库明细!C1988,存条明细!$D$4:$D$1003,出库明细!D1988)&gt;0,COUNTIFS(出库明细!$C$4:C1988,出库明细!C1988,出库明细!$D$4:D1988,出库明细!D1988)&gt;1),"",IFERROR(MATCH(出库明细!C1988,总览汇总!$B$5:$B$304,0),900)*10000000+IFERROR(MATCH(出库明细!D1988,基础资料!$E$5:$E$104,0),900)*10000+ROW()))</f>
      </c>
      <c r="F2988">
        <f>IF(AND(出库明细!C2988&lt;&gt;"",出库明细!C2988=客户对账单!$B$4,ISNUMBER(出库明细!B2988),出库明细!B2988&gt;=客户对账单!$G$4,出库明细!B2988&lt;=客户对账单!$I$4),出库明细!B2988+ROW()/100000,"")</f>
      </c>
      <c r="H2988">
        <f>IF(AND(资金台帐!K1491&lt;&gt;"",资金台帐!K1491=供应商对账单!$B$4,资金台帐!P1491="应付",ISNUMBER(资金台帐!B1491),资金台帐!B1491&gt;=供应商对账单!$G$4,资金台帐!B1491&lt;=供应商对账单!$I$4),资金台帐!B1491+ROW()/100000,"")</f>
      </c>
      <c r="N2988">
        <f>IF(AND(ISNUMBER(出库明细!G2988),ISNUMBER(出库明细!E2988),ISNUMBER(出库明细!F2988)),IF(ABS(出库明细!G2988-出库明细!E2988*出库明细!F2988)&gt;0.005,1,0),0)</f>
        <v>0</v>
      </c>
    </row>
    <row r="2989">
      <c r="A2989">
        <f>IF(OR(出库明细!C1989="",出库明细!D1989=""),"",IF(OR(COUNTIFS(存条明细!$C$4:$C$1003,出库明细!C1989,存条明细!$D$4:$D$1003,出库明细!D1989)&gt;0,COUNTIFS(出库明细!$C$4:C1989,出库明细!C1989,出库明细!$D$4:D1989,出库明细!D1989)&gt;1),"",IFERROR(MATCH(出库明细!C1989,总览汇总!$B$5:$B$304,0),900)*10000000+IFERROR(MATCH(出库明细!D1989,基础资料!$E$5:$E$104,0),900)*10000+ROW()))</f>
      </c>
      <c r="F2989">
        <f>IF(AND(出库明细!C2989&lt;&gt;"",出库明细!C2989=客户对账单!$B$4,ISNUMBER(出库明细!B2989),出库明细!B2989&gt;=客户对账单!$G$4,出库明细!B2989&lt;=客户对账单!$I$4),出库明细!B2989+ROW()/100000,"")</f>
      </c>
      <c r="H2989">
        <f>IF(AND(资金台帐!K1492&lt;&gt;"",资金台帐!K1492=供应商对账单!$B$4,资金台帐!P1492="应付",ISNUMBER(资金台帐!B1492),资金台帐!B1492&gt;=供应商对账单!$G$4,资金台帐!B1492&lt;=供应商对账单!$I$4),资金台帐!B1492+ROW()/100000,"")</f>
      </c>
      <c r="N2989">
        <f>IF(AND(ISNUMBER(出库明细!G2989),ISNUMBER(出库明细!E2989),ISNUMBER(出库明细!F2989)),IF(ABS(出库明细!G2989-出库明细!E2989*出库明细!F2989)&gt;0.005,1,0),0)</f>
        <v>0</v>
      </c>
    </row>
    <row r="2990">
      <c r="A2990">
        <f>IF(OR(出库明细!C1990="",出库明细!D1990=""),"",IF(OR(COUNTIFS(存条明细!$C$4:$C$1003,出库明细!C1990,存条明细!$D$4:$D$1003,出库明细!D1990)&gt;0,COUNTIFS(出库明细!$C$4:C1990,出库明细!C1990,出库明细!$D$4:D1990,出库明细!D1990)&gt;1),"",IFERROR(MATCH(出库明细!C1990,总览汇总!$B$5:$B$304,0),900)*10000000+IFERROR(MATCH(出库明细!D1990,基础资料!$E$5:$E$104,0),900)*10000+ROW()))</f>
      </c>
      <c r="F2990">
        <f>IF(AND(出库明细!C2990&lt;&gt;"",出库明细!C2990=客户对账单!$B$4,ISNUMBER(出库明细!B2990),出库明细!B2990&gt;=客户对账单!$G$4,出库明细!B2990&lt;=客户对账单!$I$4),出库明细!B2990+ROW()/100000,"")</f>
      </c>
      <c r="H2990">
        <f>IF(AND(资金台帐!K1493&lt;&gt;"",资金台帐!K1493=供应商对账单!$B$4,资金台帐!P1493="应付",ISNUMBER(资金台帐!B1493),资金台帐!B1493&gt;=供应商对账单!$G$4,资金台帐!B1493&lt;=供应商对账单!$I$4),资金台帐!B1493+ROW()/100000,"")</f>
      </c>
      <c r="N2990">
        <f>IF(AND(ISNUMBER(出库明细!G2990),ISNUMBER(出库明细!E2990),ISNUMBER(出库明细!F2990)),IF(ABS(出库明细!G2990-出库明细!E2990*出库明细!F2990)&gt;0.005,1,0),0)</f>
        <v>0</v>
      </c>
    </row>
    <row r="2991">
      <c r="A2991">
        <f>IF(OR(出库明细!C1991="",出库明细!D1991=""),"",IF(OR(COUNTIFS(存条明细!$C$4:$C$1003,出库明细!C1991,存条明细!$D$4:$D$1003,出库明细!D1991)&gt;0,COUNTIFS(出库明细!$C$4:C1991,出库明细!C1991,出库明细!$D$4:D1991,出库明细!D1991)&gt;1),"",IFERROR(MATCH(出库明细!C1991,总览汇总!$B$5:$B$304,0),900)*10000000+IFERROR(MATCH(出库明细!D1991,基础资料!$E$5:$E$104,0),900)*10000+ROW()))</f>
      </c>
      <c r="F2991">
        <f>IF(AND(出库明细!C2991&lt;&gt;"",出库明细!C2991=客户对账单!$B$4,ISNUMBER(出库明细!B2991),出库明细!B2991&gt;=客户对账单!$G$4,出库明细!B2991&lt;=客户对账单!$I$4),出库明细!B2991+ROW()/100000,"")</f>
      </c>
      <c r="H2991">
        <f>IF(AND(资金台帐!K1494&lt;&gt;"",资金台帐!K1494=供应商对账单!$B$4,资金台帐!P1494="应付",ISNUMBER(资金台帐!B1494),资金台帐!B1494&gt;=供应商对账单!$G$4,资金台帐!B1494&lt;=供应商对账单!$I$4),资金台帐!B1494+ROW()/100000,"")</f>
      </c>
      <c r="N2991">
        <f>IF(AND(ISNUMBER(出库明细!G2991),ISNUMBER(出库明细!E2991),ISNUMBER(出库明细!F2991)),IF(ABS(出库明细!G2991-出库明细!E2991*出库明细!F2991)&gt;0.005,1,0),0)</f>
        <v>0</v>
      </c>
    </row>
    <row r="2992">
      <c r="A2992">
        <f>IF(OR(出库明细!C1992="",出库明细!D1992=""),"",IF(OR(COUNTIFS(存条明细!$C$4:$C$1003,出库明细!C1992,存条明细!$D$4:$D$1003,出库明细!D1992)&gt;0,COUNTIFS(出库明细!$C$4:C1992,出库明细!C1992,出库明细!$D$4:D1992,出库明细!D1992)&gt;1),"",IFERROR(MATCH(出库明细!C1992,总览汇总!$B$5:$B$304,0),900)*10000000+IFERROR(MATCH(出库明细!D1992,基础资料!$E$5:$E$104,0),900)*10000+ROW()))</f>
      </c>
      <c r="F2992">
        <f>IF(AND(出库明细!C2992&lt;&gt;"",出库明细!C2992=客户对账单!$B$4,ISNUMBER(出库明细!B2992),出库明细!B2992&gt;=客户对账单!$G$4,出库明细!B2992&lt;=客户对账单!$I$4),出库明细!B2992+ROW()/100000,"")</f>
      </c>
      <c r="H2992">
        <f>IF(AND(资金台帐!K1495&lt;&gt;"",资金台帐!K1495=供应商对账单!$B$4,资金台帐!P1495="应付",ISNUMBER(资金台帐!B1495),资金台帐!B1495&gt;=供应商对账单!$G$4,资金台帐!B1495&lt;=供应商对账单!$I$4),资金台帐!B1495+ROW()/100000,"")</f>
      </c>
      <c r="N2992">
        <f>IF(AND(ISNUMBER(出库明细!G2992),ISNUMBER(出库明细!E2992),ISNUMBER(出库明细!F2992)),IF(ABS(出库明细!G2992-出库明细!E2992*出库明细!F2992)&gt;0.005,1,0),0)</f>
        <v>0</v>
      </c>
    </row>
    <row r="2993">
      <c r="A2993">
        <f>IF(OR(出库明细!C1993="",出库明细!D1993=""),"",IF(OR(COUNTIFS(存条明细!$C$4:$C$1003,出库明细!C1993,存条明细!$D$4:$D$1003,出库明细!D1993)&gt;0,COUNTIFS(出库明细!$C$4:C1993,出库明细!C1993,出库明细!$D$4:D1993,出库明细!D1993)&gt;1),"",IFERROR(MATCH(出库明细!C1993,总览汇总!$B$5:$B$304,0),900)*10000000+IFERROR(MATCH(出库明细!D1993,基础资料!$E$5:$E$104,0),900)*10000+ROW()))</f>
      </c>
      <c r="F2993">
        <f>IF(AND(出库明细!C2993&lt;&gt;"",出库明细!C2993=客户对账单!$B$4,ISNUMBER(出库明细!B2993),出库明细!B2993&gt;=客户对账单!$G$4,出库明细!B2993&lt;=客户对账单!$I$4),出库明细!B2993+ROW()/100000,"")</f>
      </c>
      <c r="H2993">
        <f>IF(AND(资金台帐!K1496&lt;&gt;"",资金台帐!K1496=供应商对账单!$B$4,资金台帐!P1496="应付",ISNUMBER(资金台帐!B1496),资金台帐!B1496&gt;=供应商对账单!$G$4,资金台帐!B1496&lt;=供应商对账单!$I$4),资金台帐!B1496+ROW()/100000,"")</f>
      </c>
      <c r="N2993">
        <f>IF(AND(ISNUMBER(出库明细!G2993),ISNUMBER(出库明细!E2993),ISNUMBER(出库明细!F2993)),IF(ABS(出库明细!G2993-出库明细!E2993*出库明细!F2993)&gt;0.005,1,0),0)</f>
        <v>0</v>
      </c>
    </row>
    <row r="2994">
      <c r="A2994">
        <f>IF(OR(出库明细!C1994="",出库明细!D1994=""),"",IF(OR(COUNTIFS(存条明细!$C$4:$C$1003,出库明细!C1994,存条明细!$D$4:$D$1003,出库明细!D1994)&gt;0,COUNTIFS(出库明细!$C$4:C1994,出库明细!C1994,出库明细!$D$4:D1994,出库明细!D1994)&gt;1),"",IFERROR(MATCH(出库明细!C1994,总览汇总!$B$5:$B$304,0),900)*10000000+IFERROR(MATCH(出库明细!D1994,基础资料!$E$5:$E$104,0),900)*10000+ROW()))</f>
      </c>
      <c r="F2994">
        <f>IF(AND(出库明细!C2994&lt;&gt;"",出库明细!C2994=客户对账单!$B$4,ISNUMBER(出库明细!B2994),出库明细!B2994&gt;=客户对账单!$G$4,出库明细!B2994&lt;=客户对账单!$I$4),出库明细!B2994+ROW()/100000,"")</f>
      </c>
      <c r="H2994">
        <f>IF(AND(资金台帐!K1497&lt;&gt;"",资金台帐!K1497=供应商对账单!$B$4,资金台帐!P1497="应付",ISNUMBER(资金台帐!B1497),资金台帐!B1497&gt;=供应商对账单!$G$4,资金台帐!B1497&lt;=供应商对账单!$I$4),资金台帐!B1497+ROW()/100000,"")</f>
      </c>
      <c r="N2994">
        <f>IF(AND(ISNUMBER(出库明细!G2994),ISNUMBER(出库明细!E2994),ISNUMBER(出库明细!F2994)),IF(ABS(出库明细!G2994-出库明细!E2994*出库明细!F2994)&gt;0.005,1,0),0)</f>
        <v>0</v>
      </c>
    </row>
    <row r="2995">
      <c r="A2995">
        <f>IF(OR(出库明细!C1995="",出库明细!D1995=""),"",IF(OR(COUNTIFS(存条明细!$C$4:$C$1003,出库明细!C1995,存条明细!$D$4:$D$1003,出库明细!D1995)&gt;0,COUNTIFS(出库明细!$C$4:C1995,出库明细!C1995,出库明细!$D$4:D1995,出库明细!D1995)&gt;1),"",IFERROR(MATCH(出库明细!C1995,总览汇总!$B$5:$B$304,0),900)*10000000+IFERROR(MATCH(出库明细!D1995,基础资料!$E$5:$E$104,0),900)*10000+ROW()))</f>
      </c>
      <c r="F2995">
        <f>IF(AND(出库明细!C2995&lt;&gt;"",出库明细!C2995=客户对账单!$B$4,ISNUMBER(出库明细!B2995),出库明细!B2995&gt;=客户对账单!$G$4,出库明细!B2995&lt;=客户对账单!$I$4),出库明细!B2995+ROW()/100000,"")</f>
      </c>
      <c r="H2995">
        <f>IF(AND(资金台帐!K1498&lt;&gt;"",资金台帐!K1498=供应商对账单!$B$4,资金台帐!P1498="应付",ISNUMBER(资金台帐!B1498),资金台帐!B1498&gt;=供应商对账单!$G$4,资金台帐!B1498&lt;=供应商对账单!$I$4),资金台帐!B1498+ROW()/100000,"")</f>
      </c>
      <c r="N2995">
        <f>IF(AND(ISNUMBER(出库明细!G2995),ISNUMBER(出库明细!E2995),ISNUMBER(出库明细!F2995)),IF(ABS(出库明细!G2995-出库明细!E2995*出库明细!F2995)&gt;0.005,1,0),0)</f>
        <v>0</v>
      </c>
    </row>
    <row r="2996">
      <c r="A2996">
        <f>IF(OR(出库明细!C1996="",出库明细!D1996=""),"",IF(OR(COUNTIFS(存条明细!$C$4:$C$1003,出库明细!C1996,存条明细!$D$4:$D$1003,出库明细!D1996)&gt;0,COUNTIFS(出库明细!$C$4:C1996,出库明细!C1996,出库明细!$D$4:D1996,出库明细!D1996)&gt;1),"",IFERROR(MATCH(出库明细!C1996,总览汇总!$B$5:$B$304,0),900)*10000000+IFERROR(MATCH(出库明细!D1996,基础资料!$E$5:$E$104,0),900)*10000+ROW()))</f>
      </c>
      <c r="F2996">
        <f>IF(AND(出库明细!C2996&lt;&gt;"",出库明细!C2996=客户对账单!$B$4,ISNUMBER(出库明细!B2996),出库明细!B2996&gt;=客户对账单!$G$4,出库明细!B2996&lt;=客户对账单!$I$4),出库明细!B2996+ROW()/100000,"")</f>
      </c>
      <c r="H2996">
        <f>IF(AND(资金台帐!K1499&lt;&gt;"",资金台帐!K1499=供应商对账单!$B$4,资金台帐!P1499="应付",ISNUMBER(资金台帐!B1499),资金台帐!B1499&gt;=供应商对账单!$G$4,资金台帐!B1499&lt;=供应商对账单!$I$4),资金台帐!B1499+ROW()/100000,"")</f>
      </c>
      <c r="N2996">
        <f>IF(AND(ISNUMBER(出库明细!G2996),ISNUMBER(出库明细!E2996),ISNUMBER(出库明细!F2996)),IF(ABS(出库明细!G2996-出库明细!E2996*出库明细!F2996)&gt;0.005,1,0),0)</f>
        <v>0</v>
      </c>
    </row>
    <row r="2997">
      <c r="A2997">
        <f>IF(OR(出库明细!C1997="",出库明细!D1997=""),"",IF(OR(COUNTIFS(存条明细!$C$4:$C$1003,出库明细!C1997,存条明细!$D$4:$D$1003,出库明细!D1997)&gt;0,COUNTIFS(出库明细!$C$4:C1997,出库明细!C1997,出库明细!$D$4:D1997,出库明细!D1997)&gt;1),"",IFERROR(MATCH(出库明细!C1997,总览汇总!$B$5:$B$304,0),900)*10000000+IFERROR(MATCH(出库明细!D1997,基础资料!$E$5:$E$104,0),900)*10000+ROW()))</f>
      </c>
      <c r="F2997">
        <f>IF(AND(出库明细!C2997&lt;&gt;"",出库明细!C2997=客户对账单!$B$4,ISNUMBER(出库明细!B2997),出库明细!B2997&gt;=客户对账单!$G$4,出库明细!B2997&lt;=客户对账单!$I$4),出库明细!B2997+ROW()/100000,"")</f>
      </c>
      <c r="H2997">
        <f>IF(AND(资金台帐!K1500&lt;&gt;"",资金台帐!K1500=供应商对账单!$B$4,资金台帐!P1500="应付",ISNUMBER(资金台帐!B1500),资金台帐!B1500&gt;=供应商对账单!$G$4,资金台帐!B1500&lt;=供应商对账单!$I$4),资金台帐!B1500+ROW()/100000,"")</f>
      </c>
      <c r="N2997">
        <f>IF(AND(ISNUMBER(出库明细!G2997),ISNUMBER(出库明细!E2997),ISNUMBER(出库明细!F2997)),IF(ABS(出库明细!G2997-出库明细!E2997*出库明细!F2997)&gt;0.005,1,0),0)</f>
        <v>0</v>
      </c>
    </row>
    <row r="2998">
      <c r="A2998">
        <f>IF(OR(出库明细!C1998="",出库明细!D1998=""),"",IF(OR(COUNTIFS(存条明细!$C$4:$C$1003,出库明细!C1998,存条明细!$D$4:$D$1003,出库明细!D1998)&gt;0,COUNTIFS(出库明细!$C$4:C1998,出库明细!C1998,出库明细!$D$4:D1998,出库明细!D1998)&gt;1),"",IFERROR(MATCH(出库明细!C1998,总览汇总!$B$5:$B$304,0),900)*10000000+IFERROR(MATCH(出库明细!D1998,基础资料!$E$5:$E$104,0),900)*10000+ROW()))</f>
      </c>
      <c r="F2998">
        <f>IF(AND(出库明细!C2998&lt;&gt;"",出库明细!C2998=客户对账单!$B$4,ISNUMBER(出库明细!B2998),出库明细!B2998&gt;=客户对账单!$G$4,出库明细!B2998&lt;=客户对账单!$I$4),出库明细!B2998+ROW()/100000,"")</f>
      </c>
      <c r="H2998">
        <f>IF(AND(资金台帐!K1501&lt;&gt;"",资金台帐!K1501=供应商对账单!$B$4,资金台帐!P1501="应付",ISNUMBER(资金台帐!B1501),资金台帐!B1501&gt;=供应商对账单!$G$4,资金台帐!B1501&lt;=供应商对账单!$I$4),资金台帐!B1501+ROW()/100000,"")</f>
      </c>
      <c r="N2998">
        <f>IF(AND(ISNUMBER(出库明细!G2998),ISNUMBER(出库明细!E2998),ISNUMBER(出库明细!F2998)),IF(ABS(出库明细!G2998-出库明细!E2998*出库明细!F2998)&gt;0.005,1,0),0)</f>
        <v>0</v>
      </c>
    </row>
    <row r="2999">
      <c r="A2999">
        <f>IF(OR(出库明细!C1999="",出库明细!D1999=""),"",IF(OR(COUNTIFS(存条明细!$C$4:$C$1003,出库明细!C1999,存条明细!$D$4:$D$1003,出库明细!D1999)&gt;0,COUNTIFS(出库明细!$C$4:C1999,出库明细!C1999,出库明细!$D$4:D1999,出库明细!D1999)&gt;1),"",IFERROR(MATCH(出库明细!C1999,总览汇总!$B$5:$B$304,0),900)*10000000+IFERROR(MATCH(出库明细!D1999,基础资料!$E$5:$E$104,0),900)*10000+ROW()))</f>
      </c>
      <c r="F2999">
        <f>IF(AND(出库明细!C2999&lt;&gt;"",出库明细!C2999=客户对账单!$B$4,ISNUMBER(出库明细!B2999),出库明细!B2999&gt;=客户对账单!$G$4,出库明细!B2999&lt;=客户对账单!$I$4),出库明细!B2999+ROW()/100000,"")</f>
      </c>
      <c r="H2999">
        <f>IF(AND(资金台帐!K1502&lt;&gt;"",资金台帐!K1502=供应商对账单!$B$4,资金台帐!P1502="应付",ISNUMBER(资金台帐!B1502),资金台帐!B1502&gt;=供应商对账单!$G$4,资金台帐!B1502&lt;=供应商对账单!$I$4),资金台帐!B1502+ROW()/100000,"")</f>
      </c>
      <c r="N2999">
        <f>IF(AND(ISNUMBER(出库明细!G2999),ISNUMBER(出库明细!E2999),ISNUMBER(出库明细!F2999)),IF(ABS(出库明细!G2999-出库明细!E2999*出库明细!F2999)&gt;0.005,1,0),0)</f>
        <v>0</v>
      </c>
    </row>
    <row r="3000">
      <c r="A3000">
        <f>IF(OR(出库明细!C2000="",出库明细!D2000=""),"",IF(OR(COUNTIFS(存条明细!$C$4:$C$1003,出库明细!C2000,存条明细!$D$4:$D$1003,出库明细!D2000)&gt;0,COUNTIFS(出库明细!$C$4:C2000,出库明细!C2000,出库明细!$D$4:D2000,出库明细!D2000)&gt;1),"",IFERROR(MATCH(出库明细!C2000,总览汇总!$B$5:$B$304,0),900)*10000000+IFERROR(MATCH(出库明细!D2000,基础资料!$E$5:$E$104,0),900)*10000+ROW()))</f>
      </c>
      <c r="F3000">
        <f>IF(AND(出库明细!C3000&lt;&gt;"",出库明细!C3000=客户对账单!$B$4,ISNUMBER(出库明细!B3000),出库明细!B3000&gt;=客户对账单!$G$4,出库明细!B3000&lt;=客户对账单!$I$4),出库明细!B3000+ROW()/100000,"")</f>
      </c>
      <c r="H3000">
        <f>IF(AND(资金台帐!K1503&lt;&gt;"",资金台帐!K1503=供应商对账单!$B$4,资金台帐!P1503="应付",ISNUMBER(资金台帐!B1503),资金台帐!B1503&gt;=供应商对账单!$G$4,资金台帐!B1503&lt;=供应商对账单!$I$4),资金台帐!B1503+ROW()/100000,"")</f>
      </c>
      <c r="N3000">
        <f>IF(AND(ISNUMBER(出库明细!G3000),ISNUMBER(出库明细!E3000),ISNUMBER(出库明细!F3000)),IF(ABS(出库明细!G3000-出库明细!E3000*出库明细!F3000)&gt;0.005,1,0),0)</f>
        <v>0</v>
      </c>
    </row>
    <row r="3001">
      <c r="A3001">
        <f>IF(OR(出库明细!C2001="",出库明细!D2001=""),"",IF(OR(COUNTIFS(存条明细!$C$4:$C$1003,出库明细!C2001,存条明细!$D$4:$D$1003,出库明细!D2001)&gt;0,COUNTIFS(出库明细!$C$4:C2001,出库明细!C2001,出库明细!$D$4:D2001,出库明细!D2001)&gt;1),"",IFERROR(MATCH(出库明细!C2001,总览汇总!$B$5:$B$304,0),900)*10000000+IFERROR(MATCH(出库明细!D2001,基础资料!$E$5:$E$104,0),900)*10000+ROW()))</f>
      </c>
      <c r="F3001">
        <f>IF(AND(出库明细!C3001&lt;&gt;"",出库明细!C3001=客户对账单!$B$4,ISNUMBER(出库明细!B3001),出库明细!B3001&gt;=客户对账单!$G$4,出库明细!B3001&lt;=客户对账单!$I$4),出库明细!B3001+ROW()/100000,"")</f>
      </c>
      <c r="H3001">
        <f>IF(AND(资金台帐!K1504&lt;&gt;"",资金台帐!K1504=供应商对账单!$B$4,资金台帐!P1504="应付",ISNUMBER(资金台帐!B1504),资金台帐!B1504&gt;=供应商对账单!$G$4,资金台帐!B1504&lt;=供应商对账单!$I$4),资金台帐!B1504+ROW()/100000,"")</f>
      </c>
      <c r="N3001">
        <f>IF(AND(ISNUMBER(出库明细!G3001),ISNUMBER(出库明细!E3001),ISNUMBER(出库明细!F3001)),IF(ABS(出库明细!G3001-出库明细!E3001*出库明细!F3001)&gt;0.005,1,0),0)</f>
        <v>0</v>
      </c>
    </row>
    <row r="3002">
      <c r="A3002">
        <f>IF(OR(出库明细!C2002="",出库明细!D2002=""),"",IF(OR(COUNTIFS(存条明细!$C$4:$C$1003,出库明细!C2002,存条明细!$D$4:$D$1003,出库明细!D2002)&gt;0,COUNTIFS(出库明细!$C$4:C2002,出库明细!C2002,出库明细!$D$4:D2002,出库明细!D2002)&gt;1),"",IFERROR(MATCH(出库明细!C2002,总览汇总!$B$5:$B$304,0),900)*10000000+IFERROR(MATCH(出库明细!D2002,基础资料!$E$5:$E$104,0),900)*10000+ROW()))</f>
      </c>
      <c r="F3002">
        <f>IF(AND(出库明细!C3002&lt;&gt;"",出库明细!C3002=客户对账单!$B$4,ISNUMBER(出库明细!B3002),出库明细!B3002&gt;=客户对账单!$G$4,出库明细!B3002&lt;=客户对账单!$I$4),出库明细!B3002+ROW()/100000,"")</f>
      </c>
      <c r="H3002">
        <f>IF(AND(资金台帐!K1505&lt;&gt;"",资金台帐!K1505=供应商对账单!$B$4,资金台帐!P1505="应付",ISNUMBER(资金台帐!B1505),资金台帐!B1505&gt;=供应商对账单!$G$4,资金台帐!B1505&lt;=供应商对账单!$I$4),资金台帐!B1505+ROW()/100000,"")</f>
      </c>
      <c r="N3002">
        <f>IF(AND(ISNUMBER(出库明细!G3002),ISNUMBER(出库明细!E3002),ISNUMBER(出库明细!F3002)),IF(ABS(出库明细!G3002-出库明细!E3002*出库明细!F3002)&gt;0.005,1,0),0)</f>
        <v>0</v>
      </c>
    </row>
    <row r="3003">
      <c r="A3003">
        <f>IF(OR(出库明细!C2003="",出库明细!D2003=""),"",IF(OR(COUNTIFS(存条明细!$C$4:$C$1003,出库明细!C2003,存条明细!$D$4:$D$1003,出库明细!D2003)&gt;0,COUNTIFS(出库明细!$C$4:C2003,出库明细!C2003,出库明细!$D$4:D2003,出库明细!D2003)&gt;1),"",IFERROR(MATCH(出库明细!C2003,总览汇总!$B$5:$B$304,0),900)*10000000+IFERROR(MATCH(出库明细!D2003,基础资料!$E$5:$E$104,0),900)*10000+ROW()))</f>
      </c>
      <c r="F3003">
        <f>IF(AND(出库明细!C3003&lt;&gt;"",出库明细!C3003=客户对账单!$B$4,ISNUMBER(出库明细!B3003),出库明细!B3003&gt;=客户对账单!$G$4,出库明细!B3003&lt;=客户对账单!$I$4),出库明细!B3003+ROW()/100000,"")</f>
      </c>
      <c r="H3003">
        <f>IF(AND(资金台帐!K1506&lt;&gt;"",资金台帐!K1506=供应商对账单!$B$4,资金台帐!P1506="应付",ISNUMBER(资金台帐!B1506),资金台帐!B1506&gt;=供应商对账单!$G$4,资金台帐!B1506&lt;=供应商对账单!$I$4),资金台帐!B1506+ROW()/100000,"")</f>
      </c>
      <c r="N3003">
        <f>IF(AND(ISNUMBER(出库明细!G3003),ISNUMBER(出库明细!E3003),ISNUMBER(出库明细!F3003)),IF(ABS(出库明细!G3003-出库明细!E3003*出库明细!F3003)&gt;0.005,1,0),0)</f>
        <v>0</v>
      </c>
    </row>
    <row r="3004">
      <c r="A3004">
        <f>IF(OR(出库明细!C2004="",出库明细!D2004=""),"",IF(OR(COUNTIFS(存条明细!$C$4:$C$1003,出库明细!C2004,存条明细!$D$4:$D$1003,出库明细!D2004)&gt;0,COUNTIFS(出库明细!$C$4:C2004,出库明细!C2004,出库明细!$D$4:D2004,出库明细!D2004)&gt;1),"",IFERROR(MATCH(出库明细!C2004,总览汇总!$B$5:$B$304,0),900)*10000000+IFERROR(MATCH(出库明细!D2004,基础资料!$E$5:$E$104,0),900)*10000+ROW()))</f>
      </c>
      <c r="F3004">
        <f>IF(AND(资金台帐!J7&lt;&gt;"",资金台帐!J7=客户对账单!$B$4,资金台帐!P7="应收",ISNUMBER(资金台帐!B7),资金台帐!B7&gt;=客户对账单!$G$4,资金台帐!B7&lt;=客户对账单!$I$4),资金台帐!B7+ROW()/100000,"")</f>
      </c>
      <c r="H3004">
        <f>IF(AND(资金台帐!K1507&lt;&gt;"",资金台帐!K1507=供应商对账单!$B$4,资金台帐!P1507="应付",ISNUMBER(资金台帐!B1507),资金台帐!B1507&gt;=供应商对账单!$G$4,资金台帐!B1507&lt;=供应商对账单!$I$4),资金台帐!B1507+ROW()/100000,"")</f>
      </c>
    </row>
    <row r="3005">
      <c r="A3005">
        <f>IF(OR(出库明细!C2005="",出库明细!D2005=""),"",IF(OR(COUNTIFS(存条明细!$C$4:$C$1003,出库明细!C2005,存条明细!$D$4:$D$1003,出库明细!D2005)&gt;0,COUNTIFS(出库明细!$C$4:C2005,出库明细!C2005,出库明细!$D$4:D2005,出库明细!D2005)&gt;1),"",IFERROR(MATCH(出库明细!C2005,总览汇总!$B$5:$B$304,0),900)*10000000+IFERROR(MATCH(出库明细!D2005,基础资料!$E$5:$E$104,0),900)*10000+ROW()))</f>
      </c>
      <c r="F3005">
        <f>IF(AND(资金台帐!J8&lt;&gt;"",资金台帐!J8=客户对账单!$B$4,资金台帐!P8="应收",ISNUMBER(资金台帐!B8),资金台帐!B8&gt;=客户对账单!$G$4,资金台帐!B8&lt;=客户对账单!$I$4),资金台帐!B8+ROW()/100000,"")</f>
        <v>46198.03005</v>
      </c>
      <c r="H3005">
        <f>IF(AND(资金台帐!K1508&lt;&gt;"",资金台帐!K1508=供应商对账单!$B$4,资金台帐!P1508="应付",ISNUMBER(资金台帐!B1508),资金台帐!B1508&gt;=供应商对账单!$G$4,资金台帐!B1508&lt;=供应商对账单!$I$4),资金台帐!B1508+ROW()/100000,"")</f>
      </c>
    </row>
    <row r="3006">
      <c r="A3006">
        <f>IF(OR(出库明细!C2006="",出库明细!D2006=""),"",IF(OR(COUNTIFS(存条明细!$C$4:$C$1003,出库明细!C2006,存条明细!$D$4:$D$1003,出库明细!D2006)&gt;0,COUNTIFS(出库明细!$C$4:C2006,出库明细!C2006,出库明细!$D$4:D2006,出库明细!D2006)&gt;1),"",IFERROR(MATCH(出库明细!C2006,总览汇总!$B$5:$B$304,0),900)*10000000+IFERROR(MATCH(出库明细!D2006,基础资料!$E$5:$E$104,0),900)*10000+ROW()))</f>
      </c>
      <c r="F3006">
        <f>IF(AND(资金台帐!J9&lt;&gt;"",资金台帐!J9=客户对账单!$B$4,资金台帐!P9="应收",ISNUMBER(资金台帐!B9),资金台帐!B9&gt;=客户对账单!$G$4,资金台帐!B9&lt;=客户对账单!$I$4),资金台帐!B9+ROW()/100000,"")</f>
      </c>
      <c r="H3006">
        <f>IF(AND(资金台帐!K1509&lt;&gt;"",资金台帐!K1509=供应商对账单!$B$4,资金台帐!P1509="应付",ISNUMBER(资金台帐!B1509),资金台帐!B1509&gt;=供应商对账单!$G$4,资金台帐!B1509&lt;=供应商对账单!$I$4),资金台帐!B1509+ROW()/100000,"")</f>
      </c>
    </row>
    <row r="3007">
      <c r="A3007">
        <f>IF(OR(出库明细!C2007="",出库明细!D2007=""),"",IF(OR(COUNTIFS(存条明细!$C$4:$C$1003,出库明细!C2007,存条明细!$D$4:$D$1003,出库明细!D2007)&gt;0,COUNTIFS(出库明细!$C$4:C2007,出库明细!C2007,出库明细!$D$4:D2007,出库明细!D2007)&gt;1),"",IFERROR(MATCH(出库明细!C2007,总览汇总!$B$5:$B$304,0),900)*10000000+IFERROR(MATCH(出库明细!D2007,基础资料!$E$5:$E$104,0),900)*10000+ROW()))</f>
      </c>
      <c r="F3007">
        <f>IF(AND(资金台帐!J10&lt;&gt;"",资金台帐!J10=客户对账单!$B$4,资金台帐!P10="应收",ISNUMBER(资金台帐!B10),资金台帐!B10&gt;=客户对账单!$G$4,资金台帐!B10&lt;=客户对账单!$I$4),资金台帐!B10+ROW()/100000,"")</f>
      </c>
      <c r="H3007">
        <f>IF(AND(资金台帐!K1510&lt;&gt;"",资金台帐!K1510=供应商对账单!$B$4,资金台帐!P1510="应付",ISNUMBER(资金台帐!B1510),资金台帐!B1510&gt;=供应商对账单!$G$4,资金台帐!B1510&lt;=供应商对账单!$I$4),资金台帐!B1510+ROW()/100000,"")</f>
      </c>
    </row>
    <row r="3008">
      <c r="A3008">
        <f>IF(OR(出库明细!C2008="",出库明细!D2008=""),"",IF(OR(COUNTIFS(存条明细!$C$4:$C$1003,出库明细!C2008,存条明细!$D$4:$D$1003,出库明细!D2008)&gt;0,COUNTIFS(出库明细!$C$4:C2008,出库明细!C2008,出库明细!$D$4:D2008,出库明细!D2008)&gt;1),"",IFERROR(MATCH(出库明细!C2008,总览汇总!$B$5:$B$304,0),900)*10000000+IFERROR(MATCH(出库明细!D2008,基础资料!$E$5:$E$104,0),900)*10000+ROW()))</f>
      </c>
      <c r="F3008">
        <f>IF(AND(资金台帐!J11&lt;&gt;"",资金台帐!J11=客户对账单!$B$4,资金台帐!P11="应收",ISNUMBER(资金台帐!B11),资金台帐!B11&gt;=客户对账单!$G$4,资金台帐!B11&lt;=客户对账单!$I$4),资金台帐!B11+ROW()/100000,"")</f>
      </c>
      <c r="H3008">
        <f>IF(AND(资金台帐!K1511&lt;&gt;"",资金台帐!K1511=供应商对账单!$B$4,资金台帐!P1511="应付",ISNUMBER(资金台帐!B1511),资金台帐!B1511&gt;=供应商对账单!$G$4,资金台帐!B1511&lt;=供应商对账单!$I$4),资金台帐!B1511+ROW()/100000,"")</f>
      </c>
    </row>
    <row r="3009">
      <c r="A3009">
        <f>IF(OR(出库明细!C2009="",出库明细!D2009=""),"",IF(OR(COUNTIFS(存条明细!$C$4:$C$1003,出库明细!C2009,存条明细!$D$4:$D$1003,出库明细!D2009)&gt;0,COUNTIFS(出库明细!$C$4:C2009,出库明细!C2009,出库明细!$D$4:D2009,出库明细!D2009)&gt;1),"",IFERROR(MATCH(出库明细!C2009,总览汇总!$B$5:$B$304,0),900)*10000000+IFERROR(MATCH(出库明细!D2009,基础资料!$E$5:$E$104,0),900)*10000+ROW()))</f>
      </c>
      <c r="F3009">
        <f>IF(AND(资金台帐!J12&lt;&gt;"",资金台帐!J12=客户对账单!$B$4,资金台帐!P12="应收",ISNUMBER(资金台帐!B12),资金台帐!B12&gt;=客户对账单!$G$4,资金台帐!B12&lt;=客户对账单!$I$4),资金台帐!B12+ROW()/100000,"")</f>
      </c>
      <c r="H3009">
        <f>IF(AND(资金台帐!K1512&lt;&gt;"",资金台帐!K1512=供应商对账单!$B$4,资金台帐!P1512="应付",ISNUMBER(资金台帐!B1512),资金台帐!B1512&gt;=供应商对账单!$G$4,资金台帐!B1512&lt;=供应商对账单!$I$4),资金台帐!B1512+ROW()/100000,"")</f>
      </c>
    </row>
    <row r="3010">
      <c r="A3010">
        <f>IF(OR(出库明细!C2010="",出库明细!D2010=""),"",IF(OR(COUNTIFS(存条明细!$C$4:$C$1003,出库明细!C2010,存条明细!$D$4:$D$1003,出库明细!D2010)&gt;0,COUNTIFS(出库明细!$C$4:C2010,出库明细!C2010,出库明细!$D$4:D2010,出库明细!D2010)&gt;1),"",IFERROR(MATCH(出库明细!C2010,总览汇总!$B$5:$B$304,0),900)*10000000+IFERROR(MATCH(出库明细!D2010,基础资料!$E$5:$E$104,0),900)*10000+ROW()))</f>
      </c>
      <c r="F3010">
        <f>IF(AND(资金台帐!J13&lt;&gt;"",资金台帐!J13=客户对账单!$B$4,资金台帐!P13="应收",ISNUMBER(资金台帐!B13),资金台帐!B13&gt;=客户对账单!$G$4,资金台帐!B13&lt;=客户对账单!$I$4),资金台帐!B13+ROW()/100000,"")</f>
      </c>
      <c r="H3010">
        <f>IF(AND(资金台帐!K1513&lt;&gt;"",资金台帐!K1513=供应商对账单!$B$4,资金台帐!P1513="应付",ISNUMBER(资金台帐!B1513),资金台帐!B1513&gt;=供应商对账单!$G$4,资金台帐!B1513&lt;=供应商对账单!$I$4),资金台帐!B1513+ROW()/100000,"")</f>
      </c>
    </row>
    <row r="3011">
      <c r="A3011">
        <f>IF(OR(出库明细!C2011="",出库明细!D2011=""),"",IF(OR(COUNTIFS(存条明细!$C$4:$C$1003,出库明细!C2011,存条明细!$D$4:$D$1003,出库明细!D2011)&gt;0,COUNTIFS(出库明细!$C$4:C2011,出库明细!C2011,出库明细!$D$4:D2011,出库明细!D2011)&gt;1),"",IFERROR(MATCH(出库明细!C2011,总览汇总!$B$5:$B$304,0),900)*10000000+IFERROR(MATCH(出库明细!D2011,基础资料!$E$5:$E$104,0),900)*10000+ROW()))</f>
      </c>
      <c r="F3011">
        <f>IF(AND(资金台帐!J14&lt;&gt;"",资金台帐!J14=客户对账单!$B$4,资金台帐!P14="应收",ISNUMBER(资金台帐!B14),资金台帐!B14&gt;=客户对账单!$G$4,资金台帐!B14&lt;=客户对账单!$I$4),资金台帐!B14+ROW()/100000,"")</f>
      </c>
      <c r="H3011">
        <f>IF(AND(资金台帐!K1514&lt;&gt;"",资金台帐!K1514=供应商对账单!$B$4,资金台帐!P1514="应付",ISNUMBER(资金台帐!B1514),资金台帐!B1514&gt;=供应商对账单!$G$4,资金台帐!B1514&lt;=供应商对账单!$I$4),资金台帐!B1514+ROW()/100000,"")</f>
      </c>
    </row>
    <row r="3012">
      <c r="A3012">
        <f>IF(OR(出库明细!C2012="",出库明细!D2012=""),"",IF(OR(COUNTIFS(存条明细!$C$4:$C$1003,出库明细!C2012,存条明细!$D$4:$D$1003,出库明细!D2012)&gt;0,COUNTIFS(出库明细!$C$4:C2012,出库明细!C2012,出库明细!$D$4:D2012,出库明细!D2012)&gt;1),"",IFERROR(MATCH(出库明细!C2012,总览汇总!$B$5:$B$304,0),900)*10000000+IFERROR(MATCH(出库明细!D2012,基础资料!$E$5:$E$104,0),900)*10000+ROW()))</f>
      </c>
      <c r="F3012">
        <f>IF(AND(资金台帐!J15&lt;&gt;"",资金台帐!J15=客户对账单!$B$4,资金台帐!P15="应收",ISNUMBER(资金台帐!B15),资金台帐!B15&gt;=客户对账单!$G$4,资金台帐!B15&lt;=客户对账单!$I$4),资金台帐!B15+ROW()/100000,"")</f>
      </c>
      <c r="H3012">
        <f>IF(AND(资金台帐!K1515&lt;&gt;"",资金台帐!K1515=供应商对账单!$B$4,资金台帐!P1515="应付",ISNUMBER(资金台帐!B1515),资金台帐!B1515&gt;=供应商对账单!$G$4,资金台帐!B1515&lt;=供应商对账单!$I$4),资金台帐!B1515+ROW()/100000,"")</f>
      </c>
    </row>
    <row r="3013">
      <c r="A3013">
        <f>IF(OR(出库明细!C2013="",出库明细!D2013=""),"",IF(OR(COUNTIFS(存条明细!$C$4:$C$1003,出库明细!C2013,存条明细!$D$4:$D$1003,出库明细!D2013)&gt;0,COUNTIFS(出库明细!$C$4:C2013,出库明细!C2013,出库明细!$D$4:D2013,出库明细!D2013)&gt;1),"",IFERROR(MATCH(出库明细!C2013,总览汇总!$B$5:$B$304,0),900)*10000000+IFERROR(MATCH(出库明细!D2013,基础资料!$E$5:$E$104,0),900)*10000+ROW()))</f>
      </c>
      <c r="F3013">
        <f>IF(AND(资金台帐!J16&lt;&gt;"",资金台帐!J16=客户对账单!$B$4,资金台帐!P16="应收",ISNUMBER(资金台帐!B16),资金台帐!B16&gt;=客户对账单!$G$4,资金台帐!B16&lt;=客户对账单!$I$4),资金台帐!B16+ROW()/100000,"")</f>
      </c>
      <c r="H3013">
        <f>IF(AND(资金台帐!K1516&lt;&gt;"",资金台帐!K1516=供应商对账单!$B$4,资金台帐!P1516="应付",ISNUMBER(资金台帐!B1516),资金台帐!B1516&gt;=供应商对账单!$G$4,资金台帐!B1516&lt;=供应商对账单!$I$4),资金台帐!B1516+ROW()/100000,"")</f>
      </c>
    </row>
    <row r="3014">
      <c r="A3014">
        <f>IF(OR(出库明细!C2014="",出库明细!D2014=""),"",IF(OR(COUNTIFS(存条明细!$C$4:$C$1003,出库明细!C2014,存条明细!$D$4:$D$1003,出库明细!D2014)&gt;0,COUNTIFS(出库明细!$C$4:C2014,出库明细!C2014,出库明细!$D$4:D2014,出库明细!D2014)&gt;1),"",IFERROR(MATCH(出库明细!C2014,总览汇总!$B$5:$B$304,0),900)*10000000+IFERROR(MATCH(出库明细!D2014,基础资料!$E$5:$E$104,0),900)*10000+ROW()))</f>
      </c>
      <c r="F3014">
        <f>IF(AND(资金台帐!J17&lt;&gt;"",资金台帐!J17=客户对账单!$B$4,资金台帐!P17="应收",ISNUMBER(资金台帐!B17),资金台帐!B17&gt;=客户对账单!$G$4,资金台帐!B17&lt;=客户对账单!$I$4),资金台帐!B17+ROW()/100000,"")</f>
      </c>
      <c r="H3014">
        <f>IF(AND(资金台帐!K1517&lt;&gt;"",资金台帐!K1517=供应商对账单!$B$4,资金台帐!P1517="应付",ISNUMBER(资金台帐!B1517),资金台帐!B1517&gt;=供应商对账单!$G$4,资金台帐!B1517&lt;=供应商对账单!$I$4),资金台帐!B1517+ROW()/100000,"")</f>
      </c>
    </row>
    <row r="3015">
      <c r="A3015">
        <f>IF(OR(出库明细!C2015="",出库明细!D2015=""),"",IF(OR(COUNTIFS(存条明细!$C$4:$C$1003,出库明细!C2015,存条明细!$D$4:$D$1003,出库明细!D2015)&gt;0,COUNTIFS(出库明细!$C$4:C2015,出库明细!C2015,出库明细!$D$4:D2015,出库明细!D2015)&gt;1),"",IFERROR(MATCH(出库明细!C2015,总览汇总!$B$5:$B$304,0),900)*10000000+IFERROR(MATCH(出库明细!D2015,基础资料!$E$5:$E$104,0),900)*10000+ROW()))</f>
      </c>
      <c r="F3015">
        <f>IF(AND(资金台帐!J18&lt;&gt;"",资金台帐!J18=客户对账单!$B$4,资金台帐!P18="应收",ISNUMBER(资金台帐!B18),资金台帐!B18&gt;=客户对账单!$G$4,资金台帐!B18&lt;=客户对账单!$I$4),资金台帐!B18+ROW()/100000,"")</f>
      </c>
      <c r="H3015">
        <f>IF(AND(资金台帐!K1518&lt;&gt;"",资金台帐!K1518=供应商对账单!$B$4,资金台帐!P1518="应付",ISNUMBER(资金台帐!B1518),资金台帐!B1518&gt;=供应商对账单!$G$4,资金台帐!B1518&lt;=供应商对账单!$I$4),资金台帐!B1518+ROW()/100000,"")</f>
      </c>
    </row>
    <row r="3016">
      <c r="A3016">
        <f>IF(OR(出库明细!C2016="",出库明细!D2016=""),"",IF(OR(COUNTIFS(存条明细!$C$4:$C$1003,出库明细!C2016,存条明细!$D$4:$D$1003,出库明细!D2016)&gt;0,COUNTIFS(出库明细!$C$4:C2016,出库明细!C2016,出库明细!$D$4:D2016,出库明细!D2016)&gt;1),"",IFERROR(MATCH(出库明细!C2016,总览汇总!$B$5:$B$304,0),900)*10000000+IFERROR(MATCH(出库明细!D2016,基础资料!$E$5:$E$104,0),900)*10000+ROW()))</f>
      </c>
      <c r="F3016">
        <f>IF(AND(资金台帐!J19&lt;&gt;"",资金台帐!J19=客户对账单!$B$4,资金台帐!P19="应收",ISNUMBER(资金台帐!B19),资金台帐!B19&gt;=客户对账单!$G$4,资金台帐!B19&lt;=客户对账单!$I$4),资金台帐!B19+ROW()/100000,"")</f>
      </c>
      <c r="H3016">
        <f>IF(AND(资金台帐!K1519&lt;&gt;"",资金台帐!K1519=供应商对账单!$B$4,资金台帐!P1519="应付",ISNUMBER(资金台帐!B1519),资金台帐!B1519&gt;=供应商对账单!$G$4,资金台帐!B1519&lt;=供应商对账单!$I$4),资金台帐!B1519+ROW()/100000,"")</f>
      </c>
    </row>
    <row r="3017">
      <c r="A3017">
        <f>IF(OR(出库明细!C2017="",出库明细!D2017=""),"",IF(OR(COUNTIFS(存条明细!$C$4:$C$1003,出库明细!C2017,存条明细!$D$4:$D$1003,出库明细!D2017)&gt;0,COUNTIFS(出库明细!$C$4:C2017,出库明细!C2017,出库明细!$D$4:D2017,出库明细!D2017)&gt;1),"",IFERROR(MATCH(出库明细!C2017,总览汇总!$B$5:$B$304,0),900)*10000000+IFERROR(MATCH(出库明细!D2017,基础资料!$E$5:$E$104,0),900)*10000+ROW()))</f>
      </c>
      <c r="F3017">
        <f>IF(AND(资金台帐!J20&lt;&gt;"",资金台帐!J20=客户对账单!$B$4,资金台帐!P20="应收",ISNUMBER(资金台帐!B20),资金台帐!B20&gt;=客户对账单!$G$4,资金台帐!B20&lt;=客户对账单!$I$4),资金台帐!B20+ROW()/100000,"")</f>
      </c>
      <c r="H3017">
        <f>IF(AND(资金台帐!K1520&lt;&gt;"",资金台帐!K1520=供应商对账单!$B$4,资金台帐!P1520="应付",ISNUMBER(资金台帐!B1520),资金台帐!B1520&gt;=供应商对账单!$G$4,资金台帐!B1520&lt;=供应商对账单!$I$4),资金台帐!B1520+ROW()/100000,"")</f>
      </c>
    </row>
    <row r="3018">
      <c r="A3018">
        <f>IF(OR(出库明细!C2018="",出库明细!D2018=""),"",IF(OR(COUNTIFS(存条明细!$C$4:$C$1003,出库明细!C2018,存条明细!$D$4:$D$1003,出库明细!D2018)&gt;0,COUNTIFS(出库明细!$C$4:C2018,出库明细!C2018,出库明细!$D$4:D2018,出库明细!D2018)&gt;1),"",IFERROR(MATCH(出库明细!C2018,总览汇总!$B$5:$B$304,0),900)*10000000+IFERROR(MATCH(出库明细!D2018,基础资料!$E$5:$E$104,0),900)*10000+ROW()))</f>
      </c>
      <c r="F3018">
        <f>IF(AND(资金台帐!J21&lt;&gt;"",资金台帐!J21=客户对账单!$B$4,资金台帐!P21="应收",ISNUMBER(资金台帐!B21),资金台帐!B21&gt;=客户对账单!$G$4,资金台帐!B21&lt;=客户对账单!$I$4),资金台帐!B21+ROW()/100000,"")</f>
      </c>
      <c r="H3018">
        <f>IF(AND(资金台帐!K1521&lt;&gt;"",资金台帐!K1521=供应商对账单!$B$4,资金台帐!P1521="应付",ISNUMBER(资金台帐!B1521),资金台帐!B1521&gt;=供应商对账单!$G$4,资金台帐!B1521&lt;=供应商对账单!$I$4),资金台帐!B1521+ROW()/100000,"")</f>
      </c>
    </row>
    <row r="3019">
      <c r="A3019">
        <f>IF(OR(出库明细!C2019="",出库明细!D2019=""),"",IF(OR(COUNTIFS(存条明细!$C$4:$C$1003,出库明细!C2019,存条明细!$D$4:$D$1003,出库明细!D2019)&gt;0,COUNTIFS(出库明细!$C$4:C2019,出库明细!C2019,出库明细!$D$4:D2019,出库明细!D2019)&gt;1),"",IFERROR(MATCH(出库明细!C2019,总览汇总!$B$5:$B$304,0),900)*10000000+IFERROR(MATCH(出库明细!D2019,基础资料!$E$5:$E$104,0),900)*10000+ROW()))</f>
      </c>
      <c r="F3019">
        <f>IF(AND(资金台帐!J22&lt;&gt;"",资金台帐!J22=客户对账单!$B$4,资金台帐!P22="应收",ISNUMBER(资金台帐!B22),资金台帐!B22&gt;=客户对账单!$G$4,资金台帐!B22&lt;=客户对账单!$I$4),资金台帐!B22+ROW()/100000,"")</f>
      </c>
      <c r="H3019">
        <f>IF(AND(资金台帐!K1522&lt;&gt;"",资金台帐!K1522=供应商对账单!$B$4,资金台帐!P1522="应付",ISNUMBER(资金台帐!B1522),资金台帐!B1522&gt;=供应商对账单!$G$4,资金台帐!B1522&lt;=供应商对账单!$I$4),资金台帐!B1522+ROW()/100000,"")</f>
      </c>
    </row>
    <row r="3020">
      <c r="A3020">
        <f>IF(OR(出库明细!C2020="",出库明细!D2020=""),"",IF(OR(COUNTIFS(存条明细!$C$4:$C$1003,出库明细!C2020,存条明细!$D$4:$D$1003,出库明细!D2020)&gt;0,COUNTIFS(出库明细!$C$4:C2020,出库明细!C2020,出库明细!$D$4:D2020,出库明细!D2020)&gt;1),"",IFERROR(MATCH(出库明细!C2020,总览汇总!$B$5:$B$304,0),900)*10000000+IFERROR(MATCH(出库明细!D2020,基础资料!$E$5:$E$104,0),900)*10000+ROW()))</f>
      </c>
      <c r="F3020">
        <f>IF(AND(资金台帐!J23&lt;&gt;"",资金台帐!J23=客户对账单!$B$4,资金台帐!P23="应收",ISNUMBER(资金台帐!B23),资金台帐!B23&gt;=客户对账单!$G$4,资金台帐!B23&lt;=客户对账单!$I$4),资金台帐!B23+ROW()/100000,"")</f>
      </c>
      <c r="H3020">
        <f>IF(AND(资金台帐!K1523&lt;&gt;"",资金台帐!K1523=供应商对账单!$B$4,资金台帐!P1523="应付",ISNUMBER(资金台帐!B1523),资金台帐!B1523&gt;=供应商对账单!$G$4,资金台帐!B1523&lt;=供应商对账单!$I$4),资金台帐!B1523+ROW()/100000,"")</f>
      </c>
    </row>
    <row r="3021">
      <c r="A3021">
        <f>IF(OR(出库明细!C2021="",出库明细!D2021=""),"",IF(OR(COUNTIFS(存条明细!$C$4:$C$1003,出库明细!C2021,存条明细!$D$4:$D$1003,出库明细!D2021)&gt;0,COUNTIFS(出库明细!$C$4:C2021,出库明细!C2021,出库明细!$D$4:D2021,出库明细!D2021)&gt;1),"",IFERROR(MATCH(出库明细!C2021,总览汇总!$B$5:$B$304,0),900)*10000000+IFERROR(MATCH(出库明细!D2021,基础资料!$E$5:$E$104,0),900)*10000+ROW()))</f>
      </c>
      <c r="F3021">
        <f>IF(AND(资金台帐!J24&lt;&gt;"",资金台帐!J24=客户对账单!$B$4,资金台帐!P24="应收",ISNUMBER(资金台帐!B24),资金台帐!B24&gt;=客户对账单!$G$4,资金台帐!B24&lt;=客户对账单!$I$4),资金台帐!B24+ROW()/100000,"")</f>
      </c>
      <c r="H3021">
        <f>IF(AND(资金台帐!K1524&lt;&gt;"",资金台帐!K1524=供应商对账单!$B$4,资金台帐!P1524="应付",ISNUMBER(资金台帐!B1524),资金台帐!B1524&gt;=供应商对账单!$G$4,资金台帐!B1524&lt;=供应商对账单!$I$4),资金台帐!B1524+ROW()/100000,"")</f>
      </c>
    </row>
    <row r="3022">
      <c r="A3022">
        <f>IF(OR(出库明细!C2022="",出库明细!D2022=""),"",IF(OR(COUNTIFS(存条明细!$C$4:$C$1003,出库明细!C2022,存条明细!$D$4:$D$1003,出库明细!D2022)&gt;0,COUNTIFS(出库明细!$C$4:C2022,出库明细!C2022,出库明细!$D$4:D2022,出库明细!D2022)&gt;1),"",IFERROR(MATCH(出库明细!C2022,总览汇总!$B$5:$B$304,0),900)*10000000+IFERROR(MATCH(出库明细!D2022,基础资料!$E$5:$E$104,0),900)*10000+ROW()))</f>
      </c>
      <c r="F3022">
        <f>IF(AND(资金台帐!J25&lt;&gt;"",资金台帐!J25=客户对账单!$B$4,资金台帐!P25="应收",ISNUMBER(资金台帐!B25),资金台帐!B25&gt;=客户对账单!$G$4,资金台帐!B25&lt;=客户对账单!$I$4),资金台帐!B25+ROW()/100000,"")</f>
      </c>
      <c r="H3022">
        <f>IF(AND(资金台帐!K1525&lt;&gt;"",资金台帐!K1525=供应商对账单!$B$4,资金台帐!P1525="应付",ISNUMBER(资金台帐!B1525),资金台帐!B1525&gt;=供应商对账单!$G$4,资金台帐!B1525&lt;=供应商对账单!$I$4),资金台帐!B1525+ROW()/100000,"")</f>
      </c>
    </row>
    <row r="3023">
      <c r="A3023">
        <f>IF(OR(出库明细!C2023="",出库明细!D2023=""),"",IF(OR(COUNTIFS(存条明细!$C$4:$C$1003,出库明细!C2023,存条明细!$D$4:$D$1003,出库明细!D2023)&gt;0,COUNTIFS(出库明细!$C$4:C2023,出库明细!C2023,出库明细!$D$4:D2023,出库明细!D2023)&gt;1),"",IFERROR(MATCH(出库明细!C2023,总览汇总!$B$5:$B$304,0),900)*10000000+IFERROR(MATCH(出库明细!D2023,基础资料!$E$5:$E$104,0),900)*10000+ROW()))</f>
      </c>
      <c r="F3023">
        <f>IF(AND(资金台帐!J26&lt;&gt;"",资金台帐!J26=客户对账单!$B$4,资金台帐!P26="应收",ISNUMBER(资金台帐!B26),资金台帐!B26&gt;=客户对账单!$G$4,资金台帐!B26&lt;=客户对账单!$I$4),资金台帐!B26+ROW()/100000,"")</f>
      </c>
      <c r="H3023">
        <f>IF(AND(资金台帐!K1526&lt;&gt;"",资金台帐!K1526=供应商对账单!$B$4,资金台帐!P1526="应付",ISNUMBER(资金台帐!B1526),资金台帐!B1526&gt;=供应商对账单!$G$4,资金台帐!B1526&lt;=供应商对账单!$I$4),资金台帐!B1526+ROW()/100000,"")</f>
      </c>
    </row>
    <row r="3024">
      <c r="A3024">
        <f>IF(OR(出库明细!C2024="",出库明细!D2024=""),"",IF(OR(COUNTIFS(存条明细!$C$4:$C$1003,出库明细!C2024,存条明细!$D$4:$D$1003,出库明细!D2024)&gt;0,COUNTIFS(出库明细!$C$4:C2024,出库明细!C2024,出库明细!$D$4:D2024,出库明细!D2024)&gt;1),"",IFERROR(MATCH(出库明细!C2024,总览汇总!$B$5:$B$304,0),900)*10000000+IFERROR(MATCH(出库明细!D2024,基础资料!$E$5:$E$104,0),900)*10000+ROW()))</f>
      </c>
      <c r="F3024">
        <f>IF(AND(资金台帐!J27&lt;&gt;"",资金台帐!J27=客户对账单!$B$4,资金台帐!P27="应收",ISNUMBER(资金台帐!B27),资金台帐!B27&gt;=客户对账单!$G$4,资金台帐!B27&lt;=客户对账单!$I$4),资金台帐!B27+ROW()/100000,"")</f>
      </c>
      <c r="H3024">
        <f>IF(AND(资金台帐!K1527&lt;&gt;"",资金台帐!K1527=供应商对账单!$B$4,资金台帐!P1527="应付",ISNUMBER(资金台帐!B1527),资金台帐!B1527&gt;=供应商对账单!$G$4,资金台帐!B1527&lt;=供应商对账单!$I$4),资金台帐!B1527+ROW()/100000,"")</f>
      </c>
    </row>
    <row r="3025">
      <c r="A3025">
        <f>IF(OR(出库明细!C2025="",出库明细!D2025=""),"",IF(OR(COUNTIFS(存条明细!$C$4:$C$1003,出库明细!C2025,存条明细!$D$4:$D$1003,出库明细!D2025)&gt;0,COUNTIFS(出库明细!$C$4:C2025,出库明细!C2025,出库明细!$D$4:D2025,出库明细!D2025)&gt;1),"",IFERROR(MATCH(出库明细!C2025,总览汇总!$B$5:$B$304,0),900)*10000000+IFERROR(MATCH(出库明细!D2025,基础资料!$E$5:$E$104,0),900)*10000+ROW()))</f>
      </c>
      <c r="F3025">
        <f>IF(AND(资金台帐!J28&lt;&gt;"",资金台帐!J28=客户对账单!$B$4,资金台帐!P28="应收",ISNUMBER(资金台帐!B28),资金台帐!B28&gt;=客户对账单!$G$4,资金台帐!B28&lt;=客户对账单!$I$4),资金台帐!B28+ROW()/100000,"")</f>
      </c>
      <c r="H3025">
        <f>IF(AND(资金台帐!K1528&lt;&gt;"",资金台帐!K1528=供应商对账单!$B$4,资金台帐!P1528="应付",ISNUMBER(资金台帐!B1528),资金台帐!B1528&gt;=供应商对账单!$G$4,资金台帐!B1528&lt;=供应商对账单!$I$4),资金台帐!B1528+ROW()/100000,"")</f>
      </c>
    </row>
    <row r="3026">
      <c r="A3026">
        <f>IF(OR(出库明细!C2026="",出库明细!D2026=""),"",IF(OR(COUNTIFS(存条明细!$C$4:$C$1003,出库明细!C2026,存条明细!$D$4:$D$1003,出库明细!D2026)&gt;0,COUNTIFS(出库明细!$C$4:C2026,出库明细!C2026,出库明细!$D$4:D2026,出库明细!D2026)&gt;1),"",IFERROR(MATCH(出库明细!C2026,总览汇总!$B$5:$B$304,0),900)*10000000+IFERROR(MATCH(出库明细!D2026,基础资料!$E$5:$E$104,0),900)*10000+ROW()))</f>
      </c>
      <c r="F3026">
        <f>IF(AND(资金台帐!J29&lt;&gt;"",资金台帐!J29=客户对账单!$B$4,资金台帐!P29="应收",ISNUMBER(资金台帐!B29),资金台帐!B29&gt;=客户对账单!$G$4,资金台帐!B29&lt;=客户对账单!$I$4),资金台帐!B29+ROW()/100000,"")</f>
      </c>
      <c r="H3026">
        <f>IF(AND(资金台帐!K1529&lt;&gt;"",资金台帐!K1529=供应商对账单!$B$4,资金台帐!P1529="应付",ISNUMBER(资金台帐!B1529),资金台帐!B1529&gt;=供应商对账单!$G$4,资金台帐!B1529&lt;=供应商对账单!$I$4),资金台帐!B1529+ROW()/100000,"")</f>
      </c>
    </row>
    <row r="3027">
      <c r="A3027">
        <f>IF(OR(出库明细!C2027="",出库明细!D2027=""),"",IF(OR(COUNTIFS(存条明细!$C$4:$C$1003,出库明细!C2027,存条明细!$D$4:$D$1003,出库明细!D2027)&gt;0,COUNTIFS(出库明细!$C$4:C2027,出库明细!C2027,出库明细!$D$4:D2027,出库明细!D2027)&gt;1),"",IFERROR(MATCH(出库明细!C2027,总览汇总!$B$5:$B$304,0),900)*10000000+IFERROR(MATCH(出库明细!D2027,基础资料!$E$5:$E$104,0),900)*10000+ROW()))</f>
      </c>
      <c r="F3027">
        <f>IF(AND(资金台帐!J30&lt;&gt;"",资金台帐!J30=客户对账单!$B$4,资金台帐!P30="应收",ISNUMBER(资金台帐!B30),资金台帐!B30&gt;=客户对账单!$G$4,资金台帐!B30&lt;=客户对账单!$I$4),资金台帐!B30+ROW()/100000,"")</f>
      </c>
      <c r="H3027">
        <f>IF(AND(资金台帐!K1530&lt;&gt;"",资金台帐!K1530=供应商对账单!$B$4,资金台帐!P1530="应付",ISNUMBER(资金台帐!B1530),资金台帐!B1530&gt;=供应商对账单!$G$4,资金台帐!B1530&lt;=供应商对账单!$I$4),资金台帐!B1530+ROW()/100000,"")</f>
      </c>
    </row>
    <row r="3028">
      <c r="A3028">
        <f>IF(OR(出库明细!C2028="",出库明细!D2028=""),"",IF(OR(COUNTIFS(存条明细!$C$4:$C$1003,出库明细!C2028,存条明细!$D$4:$D$1003,出库明细!D2028)&gt;0,COUNTIFS(出库明细!$C$4:C2028,出库明细!C2028,出库明细!$D$4:D2028,出库明细!D2028)&gt;1),"",IFERROR(MATCH(出库明细!C2028,总览汇总!$B$5:$B$304,0),900)*10000000+IFERROR(MATCH(出库明细!D2028,基础资料!$E$5:$E$104,0),900)*10000+ROW()))</f>
      </c>
      <c r="F3028">
        <f>IF(AND(资金台帐!J31&lt;&gt;"",资金台帐!J31=客户对账单!$B$4,资金台帐!P31="应收",ISNUMBER(资金台帐!B31),资金台帐!B31&gt;=客户对账单!$G$4,资金台帐!B31&lt;=客户对账单!$I$4),资金台帐!B31+ROW()/100000,"")</f>
      </c>
      <c r="H3028">
        <f>IF(AND(资金台帐!K1531&lt;&gt;"",资金台帐!K1531=供应商对账单!$B$4,资金台帐!P1531="应付",ISNUMBER(资金台帐!B1531),资金台帐!B1531&gt;=供应商对账单!$G$4,资金台帐!B1531&lt;=供应商对账单!$I$4),资金台帐!B1531+ROW()/100000,"")</f>
      </c>
    </row>
    <row r="3029">
      <c r="A3029">
        <f>IF(OR(出库明细!C2029="",出库明细!D2029=""),"",IF(OR(COUNTIFS(存条明细!$C$4:$C$1003,出库明细!C2029,存条明细!$D$4:$D$1003,出库明细!D2029)&gt;0,COUNTIFS(出库明细!$C$4:C2029,出库明细!C2029,出库明细!$D$4:D2029,出库明细!D2029)&gt;1),"",IFERROR(MATCH(出库明细!C2029,总览汇总!$B$5:$B$304,0),900)*10000000+IFERROR(MATCH(出库明细!D2029,基础资料!$E$5:$E$104,0),900)*10000+ROW()))</f>
      </c>
      <c r="F3029">
        <f>IF(AND(资金台帐!J32&lt;&gt;"",资金台帐!J32=客户对账单!$B$4,资金台帐!P32="应收",ISNUMBER(资金台帐!B32),资金台帐!B32&gt;=客户对账单!$G$4,资金台帐!B32&lt;=客户对账单!$I$4),资金台帐!B32+ROW()/100000,"")</f>
      </c>
      <c r="H3029">
        <f>IF(AND(资金台帐!K1532&lt;&gt;"",资金台帐!K1532=供应商对账单!$B$4,资金台帐!P1532="应付",ISNUMBER(资金台帐!B1532),资金台帐!B1532&gt;=供应商对账单!$G$4,资金台帐!B1532&lt;=供应商对账单!$I$4),资金台帐!B1532+ROW()/100000,"")</f>
      </c>
    </row>
    <row r="3030">
      <c r="A3030">
        <f>IF(OR(出库明细!C2030="",出库明细!D2030=""),"",IF(OR(COUNTIFS(存条明细!$C$4:$C$1003,出库明细!C2030,存条明细!$D$4:$D$1003,出库明细!D2030)&gt;0,COUNTIFS(出库明细!$C$4:C2030,出库明细!C2030,出库明细!$D$4:D2030,出库明细!D2030)&gt;1),"",IFERROR(MATCH(出库明细!C2030,总览汇总!$B$5:$B$304,0),900)*10000000+IFERROR(MATCH(出库明细!D2030,基础资料!$E$5:$E$104,0),900)*10000+ROW()))</f>
      </c>
      <c r="F3030">
        <f>IF(AND(资金台帐!J33&lt;&gt;"",资金台帐!J33=客户对账单!$B$4,资金台帐!P33="应收",ISNUMBER(资金台帐!B33),资金台帐!B33&gt;=客户对账单!$G$4,资金台帐!B33&lt;=客户对账单!$I$4),资金台帐!B33+ROW()/100000,"")</f>
      </c>
      <c r="H3030">
        <f>IF(AND(资金台帐!K1533&lt;&gt;"",资金台帐!K1533=供应商对账单!$B$4,资金台帐!P1533="应付",ISNUMBER(资金台帐!B1533),资金台帐!B1533&gt;=供应商对账单!$G$4,资金台帐!B1533&lt;=供应商对账单!$I$4),资金台帐!B1533+ROW()/100000,"")</f>
      </c>
    </row>
    <row r="3031">
      <c r="A3031">
        <f>IF(OR(出库明细!C2031="",出库明细!D2031=""),"",IF(OR(COUNTIFS(存条明细!$C$4:$C$1003,出库明细!C2031,存条明细!$D$4:$D$1003,出库明细!D2031)&gt;0,COUNTIFS(出库明细!$C$4:C2031,出库明细!C2031,出库明细!$D$4:D2031,出库明细!D2031)&gt;1),"",IFERROR(MATCH(出库明细!C2031,总览汇总!$B$5:$B$304,0),900)*10000000+IFERROR(MATCH(出库明细!D2031,基础资料!$E$5:$E$104,0),900)*10000+ROW()))</f>
      </c>
      <c r="F3031">
        <f>IF(AND(资金台帐!J34&lt;&gt;"",资金台帐!J34=客户对账单!$B$4,资金台帐!P34="应收",ISNUMBER(资金台帐!B34),资金台帐!B34&gt;=客户对账单!$G$4,资金台帐!B34&lt;=客户对账单!$I$4),资金台帐!B34+ROW()/100000,"")</f>
      </c>
      <c r="H3031">
        <f>IF(AND(资金台帐!K1534&lt;&gt;"",资金台帐!K1534=供应商对账单!$B$4,资金台帐!P1534="应付",ISNUMBER(资金台帐!B1534),资金台帐!B1534&gt;=供应商对账单!$G$4,资金台帐!B1534&lt;=供应商对账单!$I$4),资金台帐!B1534+ROW()/100000,"")</f>
      </c>
    </row>
    <row r="3032">
      <c r="A3032">
        <f>IF(OR(出库明细!C2032="",出库明细!D2032=""),"",IF(OR(COUNTIFS(存条明细!$C$4:$C$1003,出库明细!C2032,存条明细!$D$4:$D$1003,出库明细!D2032)&gt;0,COUNTIFS(出库明细!$C$4:C2032,出库明细!C2032,出库明细!$D$4:D2032,出库明细!D2032)&gt;1),"",IFERROR(MATCH(出库明细!C2032,总览汇总!$B$5:$B$304,0),900)*10000000+IFERROR(MATCH(出库明细!D2032,基础资料!$E$5:$E$104,0),900)*10000+ROW()))</f>
      </c>
      <c r="F3032">
        <f>IF(AND(资金台帐!J35&lt;&gt;"",资金台帐!J35=客户对账单!$B$4,资金台帐!P35="应收",ISNUMBER(资金台帐!B35),资金台帐!B35&gt;=客户对账单!$G$4,资金台帐!B35&lt;=客户对账单!$I$4),资金台帐!B35+ROW()/100000,"")</f>
      </c>
      <c r="H3032">
        <f>IF(AND(资金台帐!K1535&lt;&gt;"",资金台帐!K1535=供应商对账单!$B$4,资金台帐!P1535="应付",ISNUMBER(资金台帐!B1535),资金台帐!B1535&gt;=供应商对账单!$G$4,资金台帐!B1535&lt;=供应商对账单!$I$4),资金台帐!B1535+ROW()/100000,"")</f>
      </c>
    </row>
    <row r="3033">
      <c r="A3033">
        <f>IF(OR(出库明细!C2033="",出库明细!D2033=""),"",IF(OR(COUNTIFS(存条明细!$C$4:$C$1003,出库明细!C2033,存条明细!$D$4:$D$1003,出库明细!D2033)&gt;0,COUNTIFS(出库明细!$C$4:C2033,出库明细!C2033,出库明细!$D$4:D2033,出库明细!D2033)&gt;1),"",IFERROR(MATCH(出库明细!C2033,总览汇总!$B$5:$B$304,0),900)*10000000+IFERROR(MATCH(出库明细!D2033,基础资料!$E$5:$E$104,0),900)*10000+ROW()))</f>
      </c>
      <c r="F3033">
        <f>IF(AND(资金台帐!J36&lt;&gt;"",资金台帐!J36=客户对账单!$B$4,资金台帐!P36="应收",ISNUMBER(资金台帐!B36),资金台帐!B36&gt;=客户对账单!$G$4,资金台帐!B36&lt;=客户对账单!$I$4),资金台帐!B36+ROW()/100000,"")</f>
      </c>
      <c r="H3033">
        <f>IF(AND(资金台帐!K1536&lt;&gt;"",资金台帐!K1536=供应商对账单!$B$4,资金台帐!P1536="应付",ISNUMBER(资金台帐!B1536),资金台帐!B1536&gt;=供应商对账单!$G$4,资金台帐!B1536&lt;=供应商对账单!$I$4),资金台帐!B1536+ROW()/100000,"")</f>
      </c>
    </row>
    <row r="3034">
      <c r="A3034">
        <f>IF(OR(出库明细!C2034="",出库明细!D2034=""),"",IF(OR(COUNTIFS(存条明细!$C$4:$C$1003,出库明细!C2034,存条明细!$D$4:$D$1003,出库明细!D2034)&gt;0,COUNTIFS(出库明细!$C$4:C2034,出库明细!C2034,出库明细!$D$4:D2034,出库明细!D2034)&gt;1),"",IFERROR(MATCH(出库明细!C2034,总览汇总!$B$5:$B$304,0),900)*10000000+IFERROR(MATCH(出库明细!D2034,基础资料!$E$5:$E$104,0),900)*10000+ROW()))</f>
      </c>
      <c r="F3034">
        <f>IF(AND(资金台帐!J37&lt;&gt;"",资金台帐!J37=客户对账单!$B$4,资金台帐!P37="应收",ISNUMBER(资金台帐!B37),资金台帐!B37&gt;=客户对账单!$G$4,资金台帐!B37&lt;=客户对账单!$I$4),资金台帐!B37+ROW()/100000,"")</f>
      </c>
      <c r="H3034">
        <f>IF(AND(资金台帐!K1537&lt;&gt;"",资金台帐!K1537=供应商对账单!$B$4,资金台帐!P1537="应付",ISNUMBER(资金台帐!B1537),资金台帐!B1537&gt;=供应商对账单!$G$4,资金台帐!B1537&lt;=供应商对账单!$I$4),资金台帐!B1537+ROW()/100000,"")</f>
      </c>
    </row>
    <row r="3035">
      <c r="A3035">
        <f>IF(OR(出库明细!C2035="",出库明细!D2035=""),"",IF(OR(COUNTIFS(存条明细!$C$4:$C$1003,出库明细!C2035,存条明细!$D$4:$D$1003,出库明细!D2035)&gt;0,COUNTIFS(出库明细!$C$4:C2035,出库明细!C2035,出库明细!$D$4:D2035,出库明细!D2035)&gt;1),"",IFERROR(MATCH(出库明细!C2035,总览汇总!$B$5:$B$304,0),900)*10000000+IFERROR(MATCH(出库明细!D2035,基础资料!$E$5:$E$104,0),900)*10000+ROW()))</f>
      </c>
      <c r="F3035">
        <f>IF(AND(资金台帐!J38&lt;&gt;"",资金台帐!J38=客户对账单!$B$4,资金台帐!P38="应收",ISNUMBER(资金台帐!B38),资金台帐!B38&gt;=客户对账单!$G$4,资金台帐!B38&lt;=客户对账单!$I$4),资金台帐!B38+ROW()/100000,"")</f>
      </c>
      <c r="H3035">
        <f>IF(AND(资金台帐!K1538&lt;&gt;"",资金台帐!K1538=供应商对账单!$B$4,资金台帐!P1538="应付",ISNUMBER(资金台帐!B1538),资金台帐!B1538&gt;=供应商对账单!$G$4,资金台帐!B1538&lt;=供应商对账单!$I$4),资金台帐!B1538+ROW()/100000,"")</f>
      </c>
    </row>
    <row r="3036">
      <c r="A3036">
        <f>IF(OR(出库明细!C2036="",出库明细!D2036=""),"",IF(OR(COUNTIFS(存条明细!$C$4:$C$1003,出库明细!C2036,存条明细!$D$4:$D$1003,出库明细!D2036)&gt;0,COUNTIFS(出库明细!$C$4:C2036,出库明细!C2036,出库明细!$D$4:D2036,出库明细!D2036)&gt;1),"",IFERROR(MATCH(出库明细!C2036,总览汇总!$B$5:$B$304,0),900)*10000000+IFERROR(MATCH(出库明细!D2036,基础资料!$E$5:$E$104,0),900)*10000+ROW()))</f>
      </c>
      <c r="F3036">
        <f>IF(AND(资金台帐!J39&lt;&gt;"",资金台帐!J39=客户对账单!$B$4,资金台帐!P39="应收",ISNUMBER(资金台帐!B39),资金台帐!B39&gt;=客户对账单!$G$4,资金台帐!B39&lt;=客户对账单!$I$4),资金台帐!B39+ROW()/100000,"")</f>
      </c>
      <c r="H3036">
        <f>IF(AND(资金台帐!K1539&lt;&gt;"",资金台帐!K1539=供应商对账单!$B$4,资金台帐!P1539="应付",ISNUMBER(资金台帐!B1539),资金台帐!B1539&gt;=供应商对账单!$G$4,资金台帐!B1539&lt;=供应商对账单!$I$4),资金台帐!B1539+ROW()/100000,"")</f>
      </c>
    </row>
    <row r="3037">
      <c r="A3037">
        <f>IF(OR(出库明细!C2037="",出库明细!D2037=""),"",IF(OR(COUNTIFS(存条明细!$C$4:$C$1003,出库明细!C2037,存条明细!$D$4:$D$1003,出库明细!D2037)&gt;0,COUNTIFS(出库明细!$C$4:C2037,出库明细!C2037,出库明细!$D$4:D2037,出库明细!D2037)&gt;1),"",IFERROR(MATCH(出库明细!C2037,总览汇总!$B$5:$B$304,0),900)*10000000+IFERROR(MATCH(出库明细!D2037,基础资料!$E$5:$E$104,0),900)*10000+ROW()))</f>
      </c>
      <c r="F3037">
        <f>IF(AND(资金台帐!J40&lt;&gt;"",资金台帐!J40=客户对账单!$B$4,资金台帐!P40="应收",ISNUMBER(资金台帐!B40),资金台帐!B40&gt;=客户对账单!$G$4,资金台帐!B40&lt;=客户对账单!$I$4),资金台帐!B40+ROW()/100000,"")</f>
      </c>
      <c r="H3037">
        <f>IF(AND(资金台帐!K1540&lt;&gt;"",资金台帐!K1540=供应商对账单!$B$4,资金台帐!P1540="应付",ISNUMBER(资金台帐!B1540),资金台帐!B1540&gt;=供应商对账单!$G$4,资金台帐!B1540&lt;=供应商对账单!$I$4),资金台帐!B1540+ROW()/100000,"")</f>
      </c>
    </row>
    <row r="3038">
      <c r="A3038">
        <f>IF(OR(出库明细!C2038="",出库明细!D2038=""),"",IF(OR(COUNTIFS(存条明细!$C$4:$C$1003,出库明细!C2038,存条明细!$D$4:$D$1003,出库明细!D2038)&gt;0,COUNTIFS(出库明细!$C$4:C2038,出库明细!C2038,出库明细!$D$4:D2038,出库明细!D2038)&gt;1),"",IFERROR(MATCH(出库明细!C2038,总览汇总!$B$5:$B$304,0),900)*10000000+IFERROR(MATCH(出库明细!D2038,基础资料!$E$5:$E$104,0),900)*10000+ROW()))</f>
      </c>
      <c r="F3038">
        <f>IF(AND(资金台帐!J41&lt;&gt;"",资金台帐!J41=客户对账单!$B$4,资金台帐!P41="应收",ISNUMBER(资金台帐!B41),资金台帐!B41&gt;=客户对账单!$G$4,资金台帐!B41&lt;=客户对账单!$I$4),资金台帐!B41+ROW()/100000,"")</f>
      </c>
      <c r="H3038">
        <f>IF(AND(资金台帐!K1541&lt;&gt;"",资金台帐!K1541=供应商对账单!$B$4,资金台帐!P1541="应付",ISNUMBER(资金台帐!B1541),资金台帐!B1541&gt;=供应商对账单!$G$4,资金台帐!B1541&lt;=供应商对账单!$I$4),资金台帐!B1541+ROW()/100000,"")</f>
      </c>
    </row>
    <row r="3039">
      <c r="A3039">
        <f>IF(OR(出库明细!C2039="",出库明细!D2039=""),"",IF(OR(COUNTIFS(存条明细!$C$4:$C$1003,出库明细!C2039,存条明细!$D$4:$D$1003,出库明细!D2039)&gt;0,COUNTIFS(出库明细!$C$4:C2039,出库明细!C2039,出库明细!$D$4:D2039,出库明细!D2039)&gt;1),"",IFERROR(MATCH(出库明细!C2039,总览汇总!$B$5:$B$304,0),900)*10000000+IFERROR(MATCH(出库明细!D2039,基础资料!$E$5:$E$104,0),900)*10000+ROW()))</f>
      </c>
      <c r="F3039">
        <f>IF(AND(资金台帐!J42&lt;&gt;"",资金台帐!J42=客户对账单!$B$4,资金台帐!P42="应收",ISNUMBER(资金台帐!B42),资金台帐!B42&gt;=客户对账单!$G$4,资金台帐!B42&lt;=客户对账单!$I$4),资金台帐!B42+ROW()/100000,"")</f>
      </c>
      <c r="H3039">
        <f>IF(AND(资金台帐!K1542&lt;&gt;"",资金台帐!K1542=供应商对账单!$B$4,资金台帐!P1542="应付",ISNUMBER(资金台帐!B1542),资金台帐!B1542&gt;=供应商对账单!$G$4,资金台帐!B1542&lt;=供应商对账单!$I$4),资金台帐!B1542+ROW()/100000,"")</f>
      </c>
    </row>
    <row r="3040">
      <c r="A3040">
        <f>IF(OR(出库明细!C2040="",出库明细!D2040=""),"",IF(OR(COUNTIFS(存条明细!$C$4:$C$1003,出库明细!C2040,存条明细!$D$4:$D$1003,出库明细!D2040)&gt;0,COUNTIFS(出库明细!$C$4:C2040,出库明细!C2040,出库明细!$D$4:D2040,出库明细!D2040)&gt;1),"",IFERROR(MATCH(出库明细!C2040,总览汇总!$B$5:$B$304,0),900)*10000000+IFERROR(MATCH(出库明细!D2040,基础资料!$E$5:$E$104,0),900)*10000+ROW()))</f>
      </c>
      <c r="F3040">
        <f>IF(AND(资金台帐!J43&lt;&gt;"",资金台帐!J43=客户对账单!$B$4,资金台帐!P43="应收",ISNUMBER(资金台帐!B43),资金台帐!B43&gt;=客户对账单!$G$4,资金台帐!B43&lt;=客户对账单!$I$4),资金台帐!B43+ROW()/100000,"")</f>
      </c>
      <c r="H3040">
        <f>IF(AND(资金台帐!K1543&lt;&gt;"",资金台帐!K1543=供应商对账单!$B$4,资金台帐!P1543="应付",ISNUMBER(资金台帐!B1543),资金台帐!B1543&gt;=供应商对账单!$G$4,资金台帐!B1543&lt;=供应商对账单!$I$4),资金台帐!B1543+ROW()/100000,"")</f>
      </c>
    </row>
    <row r="3041">
      <c r="A3041">
        <f>IF(OR(出库明细!C2041="",出库明细!D2041=""),"",IF(OR(COUNTIFS(存条明细!$C$4:$C$1003,出库明细!C2041,存条明细!$D$4:$D$1003,出库明细!D2041)&gt;0,COUNTIFS(出库明细!$C$4:C2041,出库明细!C2041,出库明细!$D$4:D2041,出库明细!D2041)&gt;1),"",IFERROR(MATCH(出库明细!C2041,总览汇总!$B$5:$B$304,0),900)*10000000+IFERROR(MATCH(出库明细!D2041,基础资料!$E$5:$E$104,0),900)*10000+ROW()))</f>
      </c>
      <c r="F3041">
        <f>IF(AND(资金台帐!J44&lt;&gt;"",资金台帐!J44=客户对账单!$B$4,资金台帐!P44="应收",ISNUMBER(资金台帐!B44),资金台帐!B44&gt;=客户对账单!$G$4,资金台帐!B44&lt;=客户对账单!$I$4),资金台帐!B44+ROW()/100000,"")</f>
      </c>
      <c r="H3041">
        <f>IF(AND(资金台帐!K1544&lt;&gt;"",资金台帐!K1544=供应商对账单!$B$4,资金台帐!P1544="应付",ISNUMBER(资金台帐!B1544),资金台帐!B1544&gt;=供应商对账单!$G$4,资金台帐!B1544&lt;=供应商对账单!$I$4),资金台帐!B1544+ROW()/100000,"")</f>
      </c>
    </row>
    <row r="3042">
      <c r="A3042">
        <f>IF(OR(出库明细!C2042="",出库明细!D2042=""),"",IF(OR(COUNTIFS(存条明细!$C$4:$C$1003,出库明细!C2042,存条明细!$D$4:$D$1003,出库明细!D2042)&gt;0,COUNTIFS(出库明细!$C$4:C2042,出库明细!C2042,出库明细!$D$4:D2042,出库明细!D2042)&gt;1),"",IFERROR(MATCH(出库明细!C2042,总览汇总!$B$5:$B$304,0),900)*10000000+IFERROR(MATCH(出库明细!D2042,基础资料!$E$5:$E$104,0),900)*10000+ROW()))</f>
      </c>
      <c r="F3042">
        <f>IF(AND(资金台帐!J45&lt;&gt;"",资金台帐!J45=客户对账单!$B$4,资金台帐!P45="应收",ISNUMBER(资金台帐!B45),资金台帐!B45&gt;=客户对账单!$G$4,资金台帐!B45&lt;=客户对账单!$I$4),资金台帐!B45+ROW()/100000,"")</f>
      </c>
      <c r="H3042">
        <f>IF(AND(资金台帐!K1545&lt;&gt;"",资金台帐!K1545=供应商对账单!$B$4,资金台帐!P1545="应付",ISNUMBER(资金台帐!B1545),资金台帐!B1545&gt;=供应商对账单!$G$4,资金台帐!B1545&lt;=供应商对账单!$I$4),资金台帐!B1545+ROW()/100000,"")</f>
      </c>
    </row>
    <row r="3043">
      <c r="A3043">
        <f>IF(OR(出库明细!C2043="",出库明细!D2043=""),"",IF(OR(COUNTIFS(存条明细!$C$4:$C$1003,出库明细!C2043,存条明细!$D$4:$D$1003,出库明细!D2043)&gt;0,COUNTIFS(出库明细!$C$4:C2043,出库明细!C2043,出库明细!$D$4:D2043,出库明细!D2043)&gt;1),"",IFERROR(MATCH(出库明细!C2043,总览汇总!$B$5:$B$304,0),900)*10000000+IFERROR(MATCH(出库明细!D2043,基础资料!$E$5:$E$104,0),900)*10000+ROW()))</f>
      </c>
      <c r="F3043">
        <f>IF(AND(资金台帐!J46&lt;&gt;"",资金台帐!J46=客户对账单!$B$4,资金台帐!P46="应收",ISNUMBER(资金台帐!B46),资金台帐!B46&gt;=客户对账单!$G$4,资金台帐!B46&lt;=客户对账单!$I$4),资金台帐!B46+ROW()/100000,"")</f>
      </c>
      <c r="H3043">
        <f>IF(AND(资金台帐!K1546&lt;&gt;"",资金台帐!K1546=供应商对账单!$B$4,资金台帐!P1546="应付",ISNUMBER(资金台帐!B1546),资金台帐!B1546&gt;=供应商对账单!$G$4,资金台帐!B1546&lt;=供应商对账单!$I$4),资金台帐!B1546+ROW()/100000,"")</f>
      </c>
    </row>
    <row r="3044">
      <c r="A3044">
        <f>IF(OR(出库明细!C2044="",出库明细!D2044=""),"",IF(OR(COUNTIFS(存条明细!$C$4:$C$1003,出库明细!C2044,存条明细!$D$4:$D$1003,出库明细!D2044)&gt;0,COUNTIFS(出库明细!$C$4:C2044,出库明细!C2044,出库明细!$D$4:D2044,出库明细!D2044)&gt;1),"",IFERROR(MATCH(出库明细!C2044,总览汇总!$B$5:$B$304,0),900)*10000000+IFERROR(MATCH(出库明细!D2044,基础资料!$E$5:$E$104,0),900)*10000+ROW()))</f>
      </c>
      <c r="F3044">
        <f>IF(AND(资金台帐!J47&lt;&gt;"",资金台帐!J47=客户对账单!$B$4,资金台帐!P47="应收",ISNUMBER(资金台帐!B47),资金台帐!B47&gt;=客户对账单!$G$4,资金台帐!B47&lt;=客户对账单!$I$4),资金台帐!B47+ROW()/100000,"")</f>
      </c>
      <c r="H3044">
        <f>IF(AND(资金台帐!K1547&lt;&gt;"",资金台帐!K1547=供应商对账单!$B$4,资金台帐!P1547="应付",ISNUMBER(资金台帐!B1547),资金台帐!B1547&gt;=供应商对账单!$G$4,资金台帐!B1547&lt;=供应商对账单!$I$4),资金台帐!B1547+ROW()/100000,"")</f>
      </c>
    </row>
    <row r="3045">
      <c r="A3045">
        <f>IF(OR(出库明细!C2045="",出库明细!D2045=""),"",IF(OR(COUNTIFS(存条明细!$C$4:$C$1003,出库明细!C2045,存条明细!$D$4:$D$1003,出库明细!D2045)&gt;0,COUNTIFS(出库明细!$C$4:C2045,出库明细!C2045,出库明细!$D$4:D2045,出库明细!D2045)&gt;1),"",IFERROR(MATCH(出库明细!C2045,总览汇总!$B$5:$B$304,0),900)*10000000+IFERROR(MATCH(出库明细!D2045,基础资料!$E$5:$E$104,0),900)*10000+ROW()))</f>
      </c>
      <c r="F3045">
        <f>IF(AND(资金台帐!J48&lt;&gt;"",资金台帐!J48=客户对账单!$B$4,资金台帐!P48="应收",ISNUMBER(资金台帐!B48),资金台帐!B48&gt;=客户对账单!$G$4,资金台帐!B48&lt;=客户对账单!$I$4),资金台帐!B48+ROW()/100000,"")</f>
      </c>
      <c r="H3045">
        <f>IF(AND(资金台帐!K1548&lt;&gt;"",资金台帐!K1548=供应商对账单!$B$4,资金台帐!P1548="应付",ISNUMBER(资金台帐!B1548),资金台帐!B1548&gt;=供应商对账单!$G$4,资金台帐!B1548&lt;=供应商对账单!$I$4),资金台帐!B1548+ROW()/100000,"")</f>
      </c>
    </row>
    <row r="3046">
      <c r="A3046">
        <f>IF(OR(出库明细!C2046="",出库明细!D2046=""),"",IF(OR(COUNTIFS(存条明细!$C$4:$C$1003,出库明细!C2046,存条明细!$D$4:$D$1003,出库明细!D2046)&gt;0,COUNTIFS(出库明细!$C$4:C2046,出库明细!C2046,出库明细!$D$4:D2046,出库明细!D2046)&gt;1),"",IFERROR(MATCH(出库明细!C2046,总览汇总!$B$5:$B$304,0),900)*10000000+IFERROR(MATCH(出库明细!D2046,基础资料!$E$5:$E$104,0),900)*10000+ROW()))</f>
      </c>
      <c r="F3046">
        <f>IF(AND(资金台帐!J49&lt;&gt;"",资金台帐!J49=客户对账单!$B$4,资金台帐!P49="应收",ISNUMBER(资金台帐!B49),资金台帐!B49&gt;=客户对账单!$G$4,资金台帐!B49&lt;=客户对账单!$I$4),资金台帐!B49+ROW()/100000,"")</f>
      </c>
      <c r="H3046">
        <f>IF(AND(资金台帐!K1549&lt;&gt;"",资金台帐!K1549=供应商对账单!$B$4,资金台帐!P1549="应付",ISNUMBER(资金台帐!B1549),资金台帐!B1549&gt;=供应商对账单!$G$4,资金台帐!B1549&lt;=供应商对账单!$I$4),资金台帐!B1549+ROW()/100000,"")</f>
      </c>
    </row>
    <row r="3047">
      <c r="A3047">
        <f>IF(OR(出库明细!C2047="",出库明细!D2047=""),"",IF(OR(COUNTIFS(存条明细!$C$4:$C$1003,出库明细!C2047,存条明细!$D$4:$D$1003,出库明细!D2047)&gt;0,COUNTIFS(出库明细!$C$4:C2047,出库明细!C2047,出库明细!$D$4:D2047,出库明细!D2047)&gt;1),"",IFERROR(MATCH(出库明细!C2047,总览汇总!$B$5:$B$304,0),900)*10000000+IFERROR(MATCH(出库明细!D2047,基础资料!$E$5:$E$104,0),900)*10000+ROW()))</f>
      </c>
      <c r="F3047">
        <f>IF(AND(资金台帐!J50&lt;&gt;"",资金台帐!J50=客户对账单!$B$4,资金台帐!P50="应收",ISNUMBER(资金台帐!B50),资金台帐!B50&gt;=客户对账单!$G$4,资金台帐!B50&lt;=客户对账单!$I$4),资金台帐!B50+ROW()/100000,"")</f>
      </c>
      <c r="H3047">
        <f>IF(AND(资金台帐!K1550&lt;&gt;"",资金台帐!K1550=供应商对账单!$B$4,资金台帐!P1550="应付",ISNUMBER(资金台帐!B1550),资金台帐!B1550&gt;=供应商对账单!$G$4,资金台帐!B1550&lt;=供应商对账单!$I$4),资金台帐!B1550+ROW()/100000,"")</f>
      </c>
    </row>
    <row r="3048">
      <c r="A3048">
        <f>IF(OR(出库明细!C2048="",出库明细!D2048=""),"",IF(OR(COUNTIFS(存条明细!$C$4:$C$1003,出库明细!C2048,存条明细!$D$4:$D$1003,出库明细!D2048)&gt;0,COUNTIFS(出库明细!$C$4:C2048,出库明细!C2048,出库明细!$D$4:D2048,出库明细!D2048)&gt;1),"",IFERROR(MATCH(出库明细!C2048,总览汇总!$B$5:$B$304,0),900)*10000000+IFERROR(MATCH(出库明细!D2048,基础资料!$E$5:$E$104,0),900)*10000+ROW()))</f>
      </c>
      <c r="F3048">
        <f>IF(AND(资金台帐!J51&lt;&gt;"",资金台帐!J51=客户对账单!$B$4,资金台帐!P51="应收",ISNUMBER(资金台帐!B51),资金台帐!B51&gt;=客户对账单!$G$4,资金台帐!B51&lt;=客户对账单!$I$4),资金台帐!B51+ROW()/100000,"")</f>
      </c>
      <c r="H3048">
        <f>IF(AND(资金台帐!K1551&lt;&gt;"",资金台帐!K1551=供应商对账单!$B$4,资金台帐!P1551="应付",ISNUMBER(资金台帐!B1551),资金台帐!B1551&gt;=供应商对账单!$G$4,资金台帐!B1551&lt;=供应商对账单!$I$4),资金台帐!B1551+ROW()/100000,"")</f>
      </c>
    </row>
    <row r="3049">
      <c r="A3049">
        <f>IF(OR(出库明细!C2049="",出库明细!D2049=""),"",IF(OR(COUNTIFS(存条明细!$C$4:$C$1003,出库明细!C2049,存条明细!$D$4:$D$1003,出库明细!D2049)&gt;0,COUNTIFS(出库明细!$C$4:C2049,出库明细!C2049,出库明细!$D$4:D2049,出库明细!D2049)&gt;1),"",IFERROR(MATCH(出库明细!C2049,总览汇总!$B$5:$B$304,0),900)*10000000+IFERROR(MATCH(出库明细!D2049,基础资料!$E$5:$E$104,0),900)*10000+ROW()))</f>
      </c>
      <c r="F3049">
        <f>IF(AND(资金台帐!J52&lt;&gt;"",资金台帐!J52=客户对账单!$B$4,资金台帐!P52="应收",ISNUMBER(资金台帐!B52),资金台帐!B52&gt;=客户对账单!$G$4,资金台帐!B52&lt;=客户对账单!$I$4),资金台帐!B52+ROW()/100000,"")</f>
      </c>
      <c r="H3049">
        <f>IF(AND(资金台帐!K1552&lt;&gt;"",资金台帐!K1552=供应商对账单!$B$4,资金台帐!P1552="应付",ISNUMBER(资金台帐!B1552),资金台帐!B1552&gt;=供应商对账单!$G$4,资金台帐!B1552&lt;=供应商对账单!$I$4),资金台帐!B1552+ROW()/100000,"")</f>
      </c>
    </row>
    <row r="3050">
      <c r="A3050">
        <f>IF(OR(出库明细!C2050="",出库明细!D2050=""),"",IF(OR(COUNTIFS(存条明细!$C$4:$C$1003,出库明细!C2050,存条明细!$D$4:$D$1003,出库明细!D2050)&gt;0,COUNTIFS(出库明细!$C$4:C2050,出库明细!C2050,出库明细!$D$4:D2050,出库明细!D2050)&gt;1),"",IFERROR(MATCH(出库明细!C2050,总览汇总!$B$5:$B$304,0),900)*10000000+IFERROR(MATCH(出库明细!D2050,基础资料!$E$5:$E$104,0),900)*10000+ROW()))</f>
      </c>
      <c r="F3050">
        <f>IF(AND(资金台帐!J53&lt;&gt;"",资金台帐!J53=客户对账单!$B$4,资金台帐!P53="应收",ISNUMBER(资金台帐!B53),资金台帐!B53&gt;=客户对账单!$G$4,资金台帐!B53&lt;=客户对账单!$I$4),资金台帐!B53+ROW()/100000,"")</f>
      </c>
      <c r="H3050">
        <f>IF(AND(资金台帐!K1553&lt;&gt;"",资金台帐!K1553=供应商对账单!$B$4,资金台帐!P1553="应付",ISNUMBER(资金台帐!B1553),资金台帐!B1553&gt;=供应商对账单!$G$4,资金台帐!B1553&lt;=供应商对账单!$I$4),资金台帐!B1553+ROW()/100000,"")</f>
      </c>
    </row>
    <row r="3051">
      <c r="A3051">
        <f>IF(OR(出库明细!C2051="",出库明细!D2051=""),"",IF(OR(COUNTIFS(存条明细!$C$4:$C$1003,出库明细!C2051,存条明细!$D$4:$D$1003,出库明细!D2051)&gt;0,COUNTIFS(出库明细!$C$4:C2051,出库明细!C2051,出库明细!$D$4:D2051,出库明细!D2051)&gt;1),"",IFERROR(MATCH(出库明细!C2051,总览汇总!$B$5:$B$304,0),900)*10000000+IFERROR(MATCH(出库明细!D2051,基础资料!$E$5:$E$104,0),900)*10000+ROW()))</f>
      </c>
      <c r="F3051">
        <f>IF(AND(资金台帐!J54&lt;&gt;"",资金台帐!J54=客户对账单!$B$4,资金台帐!P54="应收",ISNUMBER(资金台帐!B54),资金台帐!B54&gt;=客户对账单!$G$4,资金台帐!B54&lt;=客户对账单!$I$4),资金台帐!B54+ROW()/100000,"")</f>
      </c>
      <c r="H3051">
        <f>IF(AND(资金台帐!K1554&lt;&gt;"",资金台帐!K1554=供应商对账单!$B$4,资金台帐!P1554="应付",ISNUMBER(资金台帐!B1554),资金台帐!B1554&gt;=供应商对账单!$G$4,资金台帐!B1554&lt;=供应商对账单!$I$4),资金台帐!B1554+ROW()/100000,"")</f>
      </c>
    </row>
    <row r="3052">
      <c r="A3052">
        <f>IF(OR(出库明细!C2052="",出库明细!D2052=""),"",IF(OR(COUNTIFS(存条明细!$C$4:$C$1003,出库明细!C2052,存条明细!$D$4:$D$1003,出库明细!D2052)&gt;0,COUNTIFS(出库明细!$C$4:C2052,出库明细!C2052,出库明细!$D$4:D2052,出库明细!D2052)&gt;1),"",IFERROR(MATCH(出库明细!C2052,总览汇总!$B$5:$B$304,0),900)*10000000+IFERROR(MATCH(出库明细!D2052,基础资料!$E$5:$E$104,0),900)*10000+ROW()))</f>
      </c>
      <c r="F3052">
        <f>IF(AND(资金台帐!J55&lt;&gt;"",资金台帐!J55=客户对账单!$B$4,资金台帐!P55="应收",ISNUMBER(资金台帐!B55),资金台帐!B55&gt;=客户对账单!$G$4,资金台帐!B55&lt;=客户对账单!$I$4),资金台帐!B55+ROW()/100000,"")</f>
      </c>
      <c r="H3052">
        <f>IF(AND(资金台帐!K1555&lt;&gt;"",资金台帐!K1555=供应商对账单!$B$4,资金台帐!P1555="应付",ISNUMBER(资金台帐!B1555),资金台帐!B1555&gt;=供应商对账单!$G$4,资金台帐!B1555&lt;=供应商对账单!$I$4),资金台帐!B1555+ROW()/100000,"")</f>
      </c>
    </row>
    <row r="3053">
      <c r="A3053">
        <f>IF(OR(出库明细!C2053="",出库明细!D2053=""),"",IF(OR(COUNTIFS(存条明细!$C$4:$C$1003,出库明细!C2053,存条明细!$D$4:$D$1003,出库明细!D2053)&gt;0,COUNTIFS(出库明细!$C$4:C2053,出库明细!C2053,出库明细!$D$4:D2053,出库明细!D2053)&gt;1),"",IFERROR(MATCH(出库明细!C2053,总览汇总!$B$5:$B$304,0),900)*10000000+IFERROR(MATCH(出库明细!D2053,基础资料!$E$5:$E$104,0),900)*10000+ROW()))</f>
      </c>
      <c r="F3053">
        <f>IF(AND(资金台帐!J56&lt;&gt;"",资金台帐!J56=客户对账单!$B$4,资金台帐!P56="应收",ISNUMBER(资金台帐!B56),资金台帐!B56&gt;=客户对账单!$G$4,资金台帐!B56&lt;=客户对账单!$I$4),资金台帐!B56+ROW()/100000,"")</f>
      </c>
      <c r="H3053">
        <f>IF(AND(资金台帐!K1556&lt;&gt;"",资金台帐!K1556=供应商对账单!$B$4,资金台帐!P1556="应付",ISNUMBER(资金台帐!B1556),资金台帐!B1556&gt;=供应商对账单!$G$4,资金台帐!B1556&lt;=供应商对账单!$I$4),资金台帐!B1556+ROW()/100000,"")</f>
      </c>
    </row>
    <row r="3054">
      <c r="A3054">
        <f>IF(OR(出库明细!C2054="",出库明细!D2054=""),"",IF(OR(COUNTIFS(存条明细!$C$4:$C$1003,出库明细!C2054,存条明细!$D$4:$D$1003,出库明细!D2054)&gt;0,COUNTIFS(出库明细!$C$4:C2054,出库明细!C2054,出库明细!$D$4:D2054,出库明细!D2054)&gt;1),"",IFERROR(MATCH(出库明细!C2054,总览汇总!$B$5:$B$304,0),900)*10000000+IFERROR(MATCH(出库明细!D2054,基础资料!$E$5:$E$104,0),900)*10000+ROW()))</f>
      </c>
      <c r="F3054">
        <f>IF(AND(资金台帐!J57&lt;&gt;"",资金台帐!J57=客户对账单!$B$4,资金台帐!P57="应收",ISNUMBER(资金台帐!B57),资金台帐!B57&gt;=客户对账单!$G$4,资金台帐!B57&lt;=客户对账单!$I$4),资金台帐!B57+ROW()/100000,"")</f>
      </c>
      <c r="H3054">
        <f>IF(AND(资金台帐!K1557&lt;&gt;"",资金台帐!K1557=供应商对账单!$B$4,资金台帐!P1557="应付",ISNUMBER(资金台帐!B1557),资金台帐!B1557&gt;=供应商对账单!$G$4,资金台帐!B1557&lt;=供应商对账单!$I$4),资金台帐!B1557+ROW()/100000,"")</f>
      </c>
    </row>
    <row r="3055">
      <c r="A3055">
        <f>IF(OR(出库明细!C2055="",出库明细!D2055=""),"",IF(OR(COUNTIFS(存条明细!$C$4:$C$1003,出库明细!C2055,存条明细!$D$4:$D$1003,出库明细!D2055)&gt;0,COUNTIFS(出库明细!$C$4:C2055,出库明细!C2055,出库明细!$D$4:D2055,出库明细!D2055)&gt;1),"",IFERROR(MATCH(出库明细!C2055,总览汇总!$B$5:$B$304,0),900)*10000000+IFERROR(MATCH(出库明细!D2055,基础资料!$E$5:$E$104,0),900)*10000+ROW()))</f>
      </c>
      <c r="F3055">
        <f>IF(AND(资金台帐!J58&lt;&gt;"",资金台帐!J58=客户对账单!$B$4,资金台帐!P58="应收",ISNUMBER(资金台帐!B58),资金台帐!B58&gt;=客户对账单!$G$4,资金台帐!B58&lt;=客户对账单!$I$4),资金台帐!B58+ROW()/100000,"")</f>
      </c>
      <c r="H3055">
        <f>IF(AND(资金台帐!K1558&lt;&gt;"",资金台帐!K1558=供应商对账单!$B$4,资金台帐!P1558="应付",ISNUMBER(资金台帐!B1558),资金台帐!B1558&gt;=供应商对账单!$G$4,资金台帐!B1558&lt;=供应商对账单!$I$4),资金台帐!B1558+ROW()/100000,"")</f>
      </c>
    </row>
    <row r="3056">
      <c r="A3056">
        <f>IF(OR(出库明细!C2056="",出库明细!D2056=""),"",IF(OR(COUNTIFS(存条明细!$C$4:$C$1003,出库明细!C2056,存条明细!$D$4:$D$1003,出库明细!D2056)&gt;0,COUNTIFS(出库明细!$C$4:C2056,出库明细!C2056,出库明细!$D$4:D2056,出库明细!D2056)&gt;1),"",IFERROR(MATCH(出库明细!C2056,总览汇总!$B$5:$B$304,0),900)*10000000+IFERROR(MATCH(出库明细!D2056,基础资料!$E$5:$E$104,0),900)*10000+ROW()))</f>
      </c>
      <c r="F3056">
        <f>IF(AND(资金台帐!J59&lt;&gt;"",资金台帐!J59=客户对账单!$B$4,资金台帐!P59="应收",ISNUMBER(资金台帐!B59),资金台帐!B59&gt;=客户对账单!$G$4,资金台帐!B59&lt;=客户对账单!$I$4),资金台帐!B59+ROW()/100000,"")</f>
      </c>
      <c r="H3056">
        <f>IF(AND(资金台帐!K1559&lt;&gt;"",资金台帐!K1559=供应商对账单!$B$4,资金台帐!P1559="应付",ISNUMBER(资金台帐!B1559),资金台帐!B1559&gt;=供应商对账单!$G$4,资金台帐!B1559&lt;=供应商对账单!$I$4),资金台帐!B1559+ROW()/100000,"")</f>
      </c>
    </row>
    <row r="3057">
      <c r="A3057">
        <f>IF(OR(出库明细!C2057="",出库明细!D2057=""),"",IF(OR(COUNTIFS(存条明细!$C$4:$C$1003,出库明细!C2057,存条明细!$D$4:$D$1003,出库明细!D2057)&gt;0,COUNTIFS(出库明细!$C$4:C2057,出库明细!C2057,出库明细!$D$4:D2057,出库明细!D2057)&gt;1),"",IFERROR(MATCH(出库明细!C2057,总览汇总!$B$5:$B$304,0),900)*10000000+IFERROR(MATCH(出库明细!D2057,基础资料!$E$5:$E$104,0),900)*10000+ROW()))</f>
      </c>
      <c r="F3057">
        <f>IF(AND(资金台帐!J60&lt;&gt;"",资金台帐!J60=客户对账单!$B$4,资金台帐!P60="应收",ISNUMBER(资金台帐!B60),资金台帐!B60&gt;=客户对账单!$G$4,资金台帐!B60&lt;=客户对账单!$I$4),资金台帐!B60+ROW()/100000,"")</f>
      </c>
      <c r="H3057">
        <f>IF(AND(资金台帐!K1560&lt;&gt;"",资金台帐!K1560=供应商对账单!$B$4,资金台帐!P1560="应付",ISNUMBER(资金台帐!B1560),资金台帐!B1560&gt;=供应商对账单!$G$4,资金台帐!B1560&lt;=供应商对账单!$I$4),资金台帐!B1560+ROW()/100000,"")</f>
      </c>
    </row>
    <row r="3058">
      <c r="A3058">
        <f>IF(OR(出库明细!C2058="",出库明细!D2058=""),"",IF(OR(COUNTIFS(存条明细!$C$4:$C$1003,出库明细!C2058,存条明细!$D$4:$D$1003,出库明细!D2058)&gt;0,COUNTIFS(出库明细!$C$4:C2058,出库明细!C2058,出库明细!$D$4:D2058,出库明细!D2058)&gt;1),"",IFERROR(MATCH(出库明细!C2058,总览汇总!$B$5:$B$304,0),900)*10000000+IFERROR(MATCH(出库明细!D2058,基础资料!$E$5:$E$104,0),900)*10000+ROW()))</f>
      </c>
      <c r="F3058">
        <f>IF(AND(资金台帐!J61&lt;&gt;"",资金台帐!J61=客户对账单!$B$4,资金台帐!P61="应收",ISNUMBER(资金台帐!B61),资金台帐!B61&gt;=客户对账单!$G$4,资金台帐!B61&lt;=客户对账单!$I$4),资金台帐!B61+ROW()/100000,"")</f>
      </c>
      <c r="H3058">
        <f>IF(AND(资金台帐!K1561&lt;&gt;"",资金台帐!K1561=供应商对账单!$B$4,资金台帐!P1561="应付",ISNUMBER(资金台帐!B1561),资金台帐!B1561&gt;=供应商对账单!$G$4,资金台帐!B1561&lt;=供应商对账单!$I$4),资金台帐!B1561+ROW()/100000,"")</f>
      </c>
    </row>
    <row r="3059">
      <c r="A3059">
        <f>IF(OR(出库明细!C2059="",出库明细!D2059=""),"",IF(OR(COUNTIFS(存条明细!$C$4:$C$1003,出库明细!C2059,存条明细!$D$4:$D$1003,出库明细!D2059)&gt;0,COUNTIFS(出库明细!$C$4:C2059,出库明细!C2059,出库明细!$D$4:D2059,出库明细!D2059)&gt;1),"",IFERROR(MATCH(出库明细!C2059,总览汇总!$B$5:$B$304,0),900)*10000000+IFERROR(MATCH(出库明细!D2059,基础资料!$E$5:$E$104,0),900)*10000+ROW()))</f>
      </c>
      <c r="F3059">
        <f>IF(AND(资金台帐!J62&lt;&gt;"",资金台帐!J62=客户对账单!$B$4,资金台帐!P62="应收",ISNUMBER(资金台帐!B62),资金台帐!B62&gt;=客户对账单!$G$4,资金台帐!B62&lt;=客户对账单!$I$4),资金台帐!B62+ROW()/100000,"")</f>
      </c>
      <c r="H3059">
        <f>IF(AND(资金台帐!K1562&lt;&gt;"",资金台帐!K1562=供应商对账单!$B$4,资金台帐!P1562="应付",ISNUMBER(资金台帐!B1562),资金台帐!B1562&gt;=供应商对账单!$G$4,资金台帐!B1562&lt;=供应商对账单!$I$4),资金台帐!B1562+ROW()/100000,"")</f>
      </c>
    </row>
    <row r="3060">
      <c r="A3060">
        <f>IF(OR(出库明细!C2060="",出库明细!D2060=""),"",IF(OR(COUNTIFS(存条明细!$C$4:$C$1003,出库明细!C2060,存条明细!$D$4:$D$1003,出库明细!D2060)&gt;0,COUNTIFS(出库明细!$C$4:C2060,出库明细!C2060,出库明细!$D$4:D2060,出库明细!D2060)&gt;1),"",IFERROR(MATCH(出库明细!C2060,总览汇总!$B$5:$B$304,0),900)*10000000+IFERROR(MATCH(出库明细!D2060,基础资料!$E$5:$E$104,0),900)*10000+ROW()))</f>
      </c>
      <c r="F3060">
        <f>IF(AND(资金台帐!J63&lt;&gt;"",资金台帐!J63=客户对账单!$B$4,资金台帐!P63="应收",ISNUMBER(资金台帐!B63),资金台帐!B63&gt;=客户对账单!$G$4,资金台帐!B63&lt;=客户对账单!$I$4),资金台帐!B63+ROW()/100000,"")</f>
      </c>
      <c r="H3060">
        <f>IF(AND(资金台帐!K1563&lt;&gt;"",资金台帐!K1563=供应商对账单!$B$4,资金台帐!P1563="应付",ISNUMBER(资金台帐!B1563),资金台帐!B1563&gt;=供应商对账单!$G$4,资金台帐!B1563&lt;=供应商对账单!$I$4),资金台帐!B1563+ROW()/100000,"")</f>
      </c>
    </row>
    <row r="3061">
      <c r="A3061">
        <f>IF(OR(出库明细!C2061="",出库明细!D2061=""),"",IF(OR(COUNTIFS(存条明细!$C$4:$C$1003,出库明细!C2061,存条明细!$D$4:$D$1003,出库明细!D2061)&gt;0,COUNTIFS(出库明细!$C$4:C2061,出库明细!C2061,出库明细!$D$4:D2061,出库明细!D2061)&gt;1),"",IFERROR(MATCH(出库明细!C2061,总览汇总!$B$5:$B$304,0),900)*10000000+IFERROR(MATCH(出库明细!D2061,基础资料!$E$5:$E$104,0),900)*10000+ROW()))</f>
      </c>
      <c r="F3061">
        <f>IF(AND(资金台帐!J64&lt;&gt;"",资金台帐!J64=客户对账单!$B$4,资金台帐!P64="应收",ISNUMBER(资金台帐!B64),资金台帐!B64&gt;=客户对账单!$G$4,资金台帐!B64&lt;=客户对账单!$I$4),资金台帐!B64+ROW()/100000,"")</f>
      </c>
      <c r="H3061">
        <f>IF(AND(资金台帐!K1564&lt;&gt;"",资金台帐!K1564=供应商对账单!$B$4,资金台帐!P1564="应付",ISNUMBER(资金台帐!B1564),资金台帐!B1564&gt;=供应商对账单!$G$4,资金台帐!B1564&lt;=供应商对账单!$I$4),资金台帐!B1564+ROW()/100000,"")</f>
      </c>
    </row>
    <row r="3062">
      <c r="A3062">
        <f>IF(OR(出库明细!C2062="",出库明细!D2062=""),"",IF(OR(COUNTIFS(存条明细!$C$4:$C$1003,出库明细!C2062,存条明细!$D$4:$D$1003,出库明细!D2062)&gt;0,COUNTIFS(出库明细!$C$4:C2062,出库明细!C2062,出库明细!$D$4:D2062,出库明细!D2062)&gt;1),"",IFERROR(MATCH(出库明细!C2062,总览汇总!$B$5:$B$304,0),900)*10000000+IFERROR(MATCH(出库明细!D2062,基础资料!$E$5:$E$104,0),900)*10000+ROW()))</f>
      </c>
      <c r="F3062">
        <f>IF(AND(资金台帐!J65&lt;&gt;"",资金台帐!J65=客户对账单!$B$4,资金台帐!P65="应收",ISNUMBER(资金台帐!B65),资金台帐!B65&gt;=客户对账单!$G$4,资金台帐!B65&lt;=客户对账单!$I$4),资金台帐!B65+ROW()/100000,"")</f>
      </c>
      <c r="H3062">
        <f>IF(AND(资金台帐!K1565&lt;&gt;"",资金台帐!K1565=供应商对账单!$B$4,资金台帐!P1565="应付",ISNUMBER(资金台帐!B1565),资金台帐!B1565&gt;=供应商对账单!$G$4,资金台帐!B1565&lt;=供应商对账单!$I$4),资金台帐!B1565+ROW()/100000,"")</f>
      </c>
    </row>
    <row r="3063">
      <c r="A3063">
        <f>IF(OR(出库明细!C2063="",出库明细!D2063=""),"",IF(OR(COUNTIFS(存条明细!$C$4:$C$1003,出库明细!C2063,存条明细!$D$4:$D$1003,出库明细!D2063)&gt;0,COUNTIFS(出库明细!$C$4:C2063,出库明细!C2063,出库明细!$D$4:D2063,出库明细!D2063)&gt;1),"",IFERROR(MATCH(出库明细!C2063,总览汇总!$B$5:$B$304,0),900)*10000000+IFERROR(MATCH(出库明细!D2063,基础资料!$E$5:$E$104,0),900)*10000+ROW()))</f>
      </c>
      <c r="F3063">
        <f>IF(AND(资金台帐!J66&lt;&gt;"",资金台帐!J66=客户对账单!$B$4,资金台帐!P66="应收",ISNUMBER(资金台帐!B66),资金台帐!B66&gt;=客户对账单!$G$4,资金台帐!B66&lt;=客户对账单!$I$4),资金台帐!B66+ROW()/100000,"")</f>
      </c>
      <c r="H3063">
        <f>IF(AND(资金台帐!K1566&lt;&gt;"",资金台帐!K1566=供应商对账单!$B$4,资金台帐!P1566="应付",ISNUMBER(资金台帐!B1566),资金台帐!B1566&gt;=供应商对账单!$G$4,资金台帐!B1566&lt;=供应商对账单!$I$4),资金台帐!B1566+ROW()/100000,"")</f>
      </c>
    </row>
    <row r="3064">
      <c r="A3064">
        <f>IF(OR(出库明细!C2064="",出库明细!D2064=""),"",IF(OR(COUNTIFS(存条明细!$C$4:$C$1003,出库明细!C2064,存条明细!$D$4:$D$1003,出库明细!D2064)&gt;0,COUNTIFS(出库明细!$C$4:C2064,出库明细!C2064,出库明细!$D$4:D2064,出库明细!D2064)&gt;1),"",IFERROR(MATCH(出库明细!C2064,总览汇总!$B$5:$B$304,0),900)*10000000+IFERROR(MATCH(出库明细!D2064,基础资料!$E$5:$E$104,0),900)*10000+ROW()))</f>
      </c>
      <c r="F3064">
        <f>IF(AND(资金台帐!J67&lt;&gt;"",资金台帐!J67=客户对账单!$B$4,资金台帐!P67="应收",ISNUMBER(资金台帐!B67),资金台帐!B67&gt;=客户对账单!$G$4,资金台帐!B67&lt;=客户对账单!$I$4),资金台帐!B67+ROW()/100000,"")</f>
      </c>
      <c r="H3064">
        <f>IF(AND(资金台帐!K1567&lt;&gt;"",资金台帐!K1567=供应商对账单!$B$4,资金台帐!P1567="应付",ISNUMBER(资金台帐!B1567),资金台帐!B1567&gt;=供应商对账单!$G$4,资金台帐!B1567&lt;=供应商对账单!$I$4),资金台帐!B1567+ROW()/100000,"")</f>
      </c>
    </row>
    <row r="3065">
      <c r="A3065">
        <f>IF(OR(出库明细!C2065="",出库明细!D2065=""),"",IF(OR(COUNTIFS(存条明细!$C$4:$C$1003,出库明细!C2065,存条明细!$D$4:$D$1003,出库明细!D2065)&gt;0,COUNTIFS(出库明细!$C$4:C2065,出库明细!C2065,出库明细!$D$4:D2065,出库明细!D2065)&gt;1),"",IFERROR(MATCH(出库明细!C2065,总览汇总!$B$5:$B$304,0),900)*10000000+IFERROR(MATCH(出库明细!D2065,基础资料!$E$5:$E$104,0),900)*10000+ROW()))</f>
      </c>
      <c r="F3065">
        <f>IF(AND(资金台帐!J68&lt;&gt;"",资金台帐!J68=客户对账单!$B$4,资金台帐!P68="应收",ISNUMBER(资金台帐!B68),资金台帐!B68&gt;=客户对账单!$G$4,资金台帐!B68&lt;=客户对账单!$I$4),资金台帐!B68+ROW()/100000,"")</f>
      </c>
      <c r="H3065">
        <f>IF(AND(资金台帐!K1568&lt;&gt;"",资金台帐!K1568=供应商对账单!$B$4,资金台帐!P1568="应付",ISNUMBER(资金台帐!B1568),资金台帐!B1568&gt;=供应商对账单!$G$4,资金台帐!B1568&lt;=供应商对账单!$I$4),资金台帐!B1568+ROW()/100000,"")</f>
      </c>
    </row>
    <row r="3066">
      <c r="A3066">
        <f>IF(OR(出库明细!C2066="",出库明细!D2066=""),"",IF(OR(COUNTIFS(存条明细!$C$4:$C$1003,出库明细!C2066,存条明细!$D$4:$D$1003,出库明细!D2066)&gt;0,COUNTIFS(出库明细!$C$4:C2066,出库明细!C2066,出库明细!$D$4:D2066,出库明细!D2066)&gt;1),"",IFERROR(MATCH(出库明细!C2066,总览汇总!$B$5:$B$304,0),900)*10000000+IFERROR(MATCH(出库明细!D2066,基础资料!$E$5:$E$104,0),900)*10000+ROW()))</f>
      </c>
      <c r="F3066">
        <f>IF(AND(资金台帐!J69&lt;&gt;"",资金台帐!J69=客户对账单!$B$4,资金台帐!P69="应收",ISNUMBER(资金台帐!B69),资金台帐!B69&gt;=客户对账单!$G$4,资金台帐!B69&lt;=客户对账单!$I$4),资金台帐!B69+ROW()/100000,"")</f>
      </c>
      <c r="H3066">
        <f>IF(AND(资金台帐!K1569&lt;&gt;"",资金台帐!K1569=供应商对账单!$B$4,资金台帐!P1569="应付",ISNUMBER(资金台帐!B1569),资金台帐!B1569&gt;=供应商对账单!$G$4,资金台帐!B1569&lt;=供应商对账单!$I$4),资金台帐!B1569+ROW()/100000,"")</f>
      </c>
    </row>
    <row r="3067">
      <c r="A3067">
        <f>IF(OR(出库明细!C2067="",出库明细!D2067=""),"",IF(OR(COUNTIFS(存条明细!$C$4:$C$1003,出库明细!C2067,存条明细!$D$4:$D$1003,出库明细!D2067)&gt;0,COUNTIFS(出库明细!$C$4:C2067,出库明细!C2067,出库明细!$D$4:D2067,出库明细!D2067)&gt;1),"",IFERROR(MATCH(出库明细!C2067,总览汇总!$B$5:$B$304,0),900)*10000000+IFERROR(MATCH(出库明细!D2067,基础资料!$E$5:$E$104,0),900)*10000+ROW()))</f>
      </c>
      <c r="F3067">
        <f>IF(AND(资金台帐!J70&lt;&gt;"",资金台帐!J70=客户对账单!$B$4,资金台帐!P70="应收",ISNUMBER(资金台帐!B70),资金台帐!B70&gt;=客户对账单!$G$4,资金台帐!B70&lt;=客户对账单!$I$4),资金台帐!B70+ROW()/100000,"")</f>
      </c>
      <c r="H3067">
        <f>IF(AND(资金台帐!K1570&lt;&gt;"",资金台帐!K1570=供应商对账单!$B$4,资金台帐!P1570="应付",ISNUMBER(资金台帐!B1570),资金台帐!B1570&gt;=供应商对账单!$G$4,资金台帐!B1570&lt;=供应商对账单!$I$4),资金台帐!B1570+ROW()/100000,"")</f>
      </c>
    </row>
    <row r="3068">
      <c r="A3068">
        <f>IF(OR(出库明细!C2068="",出库明细!D2068=""),"",IF(OR(COUNTIFS(存条明细!$C$4:$C$1003,出库明细!C2068,存条明细!$D$4:$D$1003,出库明细!D2068)&gt;0,COUNTIFS(出库明细!$C$4:C2068,出库明细!C2068,出库明细!$D$4:D2068,出库明细!D2068)&gt;1),"",IFERROR(MATCH(出库明细!C2068,总览汇总!$B$5:$B$304,0),900)*10000000+IFERROR(MATCH(出库明细!D2068,基础资料!$E$5:$E$104,0),900)*10000+ROW()))</f>
      </c>
      <c r="F3068">
        <f>IF(AND(资金台帐!J71&lt;&gt;"",资金台帐!J71=客户对账单!$B$4,资金台帐!P71="应收",ISNUMBER(资金台帐!B71),资金台帐!B71&gt;=客户对账单!$G$4,资金台帐!B71&lt;=客户对账单!$I$4),资金台帐!B71+ROW()/100000,"")</f>
      </c>
      <c r="H3068">
        <f>IF(AND(资金台帐!K1571&lt;&gt;"",资金台帐!K1571=供应商对账单!$B$4,资金台帐!P1571="应付",ISNUMBER(资金台帐!B1571),资金台帐!B1571&gt;=供应商对账单!$G$4,资金台帐!B1571&lt;=供应商对账单!$I$4),资金台帐!B1571+ROW()/100000,"")</f>
      </c>
    </row>
    <row r="3069">
      <c r="A3069">
        <f>IF(OR(出库明细!C2069="",出库明细!D2069=""),"",IF(OR(COUNTIFS(存条明细!$C$4:$C$1003,出库明细!C2069,存条明细!$D$4:$D$1003,出库明细!D2069)&gt;0,COUNTIFS(出库明细!$C$4:C2069,出库明细!C2069,出库明细!$D$4:D2069,出库明细!D2069)&gt;1),"",IFERROR(MATCH(出库明细!C2069,总览汇总!$B$5:$B$304,0),900)*10000000+IFERROR(MATCH(出库明细!D2069,基础资料!$E$5:$E$104,0),900)*10000+ROW()))</f>
      </c>
      <c r="F3069">
        <f>IF(AND(资金台帐!J72&lt;&gt;"",资金台帐!J72=客户对账单!$B$4,资金台帐!P72="应收",ISNUMBER(资金台帐!B72),资金台帐!B72&gt;=客户对账单!$G$4,资金台帐!B72&lt;=客户对账单!$I$4),资金台帐!B72+ROW()/100000,"")</f>
      </c>
      <c r="H3069">
        <f>IF(AND(资金台帐!K1572&lt;&gt;"",资金台帐!K1572=供应商对账单!$B$4,资金台帐!P1572="应付",ISNUMBER(资金台帐!B1572),资金台帐!B1572&gt;=供应商对账单!$G$4,资金台帐!B1572&lt;=供应商对账单!$I$4),资金台帐!B1572+ROW()/100000,"")</f>
      </c>
    </row>
    <row r="3070">
      <c r="A3070">
        <f>IF(OR(出库明细!C2070="",出库明细!D2070=""),"",IF(OR(COUNTIFS(存条明细!$C$4:$C$1003,出库明细!C2070,存条明细!$D$4:$D$1003,出库明细!D2070)&gt;0,COUNTIFS(出库明细!$C$4:C2070,出库明细!C2070,出库明细!$D$4:D2070,出库明细!D2070)&gt;1),"",IFERROR(MATCH(出库明细!C2070,总览汇总!$B$5:$B$304,0),900)*10000000+IFERROR(MATCH(出库明细!D2070,基础资料!$E$5:$E$104,0),900)*10000+ROW()))</f>
      </c>
      <c r="F3070">
        <f>IF(AND(资金台帐!J73&lt;&gt;"",资金台帐!J73=客户对账单!$B$4,资金台帐!P73="应收",ISNUMBER(资金台帐!B73),资金台帐!B73&gt;=客户对账单!$G$4,资金台帐!B73&lt;=客户对账单!$I$4),资金台帐!B73+ROW()/100000,"")</f>
      </c>
      <c r="H3070">
        <f>IF(AND(资金台帐!K1573&lt;&gt;"",资金台帐!K1573=供应商对账单!$B$4,资金台帐!P1573="应付",ISNUMBER(资金台帐!B1573),资金台帐!B1573&gt;=供应商对账单!$G$4,资金台帐!B1573&lt;=供应商对账单!$I$4),资金台帐!B1573+ROW()/100000,"")</f>
      </c>
    </row>
    <row r="3071">
      <c r="A3071">
        <f>IF(OR(出库明细!C2071="",出库明细!D2071=""),"",IF(OR(COUNTIFS(存条明细!$C$4:$C$1003,出库明细!C2071,存条明细!$D$4:$D$1003,出库明细!D2071)&gt;0,COUNTIFS(出库明细!$C$4:C2071,出库明细!C2071,出库明细!$D$4:D2071,出库明细!D2071)&gt;1),"",IFERROR(MATCH(出库明细!C2071,总览汇总!$B$5:$B$304,0),900)*10000000+IFERROR(MATCH(出库明细!D2071,基础资料!$E$5:$E$104,0),900)*10000+ROW()))</f>
      </c>
      <c r="F3071">
        <f>IF(AND(资金台帐!J74&lt;&gt;"",资金台帐!J74=客户对账单!$B$4,资金台帐!P74="应收",ISNUMBER(资金台帐!B74),资金台帐!B74&gt;=客户对账单!$G$4,资金台帐!B74&lt;=客户对账单!$I$4),资金台帐!B74+ROW()/100000,"")</f>
      </c>
      <c r="H3071">
        <f>IF(AND(资金台帐!K1574&lt;&gt;"",资金台帐!K1574=供应商对账单!$B$4,资金台帐!P1574="应付",ISNUMBER(资金台帐!B1574),资金台帐!B1574&gt;=供应商对账单!$G$4,资金台帐!B1574&lt;=供应商对账单!$I$4),资金台帐!B1574+ROW()/100000,"")</f>
      </c>
    </row>
    <row r="3072">
      <c r="A3072">
        <f>IF(OR(出库明细!C2072="",出库明细!D2072=""),"",IF(OR(COUNTIFS(存条明细!$C$4:$C$1003,出库明细!C2072,存条明细!$D$4:$D$1003,出库明细!D2072)&gt;0,COUNTIFS(出库明细!$C$4:C2072,出库明细!C2072,出库明细!$D$4:D2072,出库明细!D2072)&gt;1),"",IFERROR(MATCH(出库明细!C2072,总览汇总!$B$5:$B$304,0),900)*10000000+IFERROR(MATCH(出库明细!D2072,基础资料!$E$5:$E$104,0),900)*10000+ROW()))</f>
      </c>
      <c r="F3072">
        <f>IF(AND(资金台帐!J75&lt;&gt;"",资金台帐!J75=客户对账单!$B$4,资金台帐!P75="应收",ISNUMBER(资金台帐!B75),资金台帐!B75&gt;=客户对账单!$G$4,资金台帐!B75&lt;=客户对账单!$I$4),资金台帐!B75+ROW()/100000,"")</f>
      </c>
      <c r="H3072">
        <f>IF(AND(资金台帐!K1575&lt;&gt;"",资金台帐!K1575=供应商对账单!$B$4,资金台帐!P1575="应付",ISNUMBER(资金台帐!B1575),资金台帐!B1575&gt;=供应商对账单!$G$4,资金台帐!B1575&lt;=供应商对账单!$I$4),资金台帐!B1575+ROW()/100000,"")</f>
      </c>
    </row>
    <row r="3073">
      <c r="A3073">
        <f>IF(OR(出库明细!C2073="",出库明细!D2073=""),"",IF(OR(COUNTIFS(存条明细!$C$4:$C$1003,出库明细!C2073,存条明细!$D$4:$D$1003,出库明细!D2073)&gt;0,COUNTIFS(出库明细!$C$4:C2073,出库明细!C2073,出库明细!$D$4:D2073,出库明细!D2073)&gt;1),"",IFERROR(MATCH(出库明细!C2073,总览汇总!$B$5:$B$304,0),900)*10000000+IFERROR(MATCH(出库明细!D2073,基础资料!$E$5:$E$104,0),900)*10000+ROW()))</f>
      </c>
      <c r="F3073">
        <f>IF(AND(资金台帐!J76&lt;&gt;"",资金台帐!J76=客户对账单!$B$4,资金台帐!P76="应收",ISNUMBER(资金台帐!B76),资金台帐!B76&gt;=客户对账单!$G$4,资金台帐!B76&lt;=客户对账单!$I$4),资金台帐!B76+ROW()/100000,"")</f>
      </c>
      <c r="H3073">
        <f>IF(AND(资金台帐!K1576&lt;&gt;"",资金台帐!K1576=供应商对账单!$B$4,资金台帐!P1576="应付",ISNUMBER(资金台帐!B1576),资金台帐!B1576&gt;=供应商对账单!$G$4,资金台帐!B1576&lt;=供应商对账单!$I$4),资金台帐!B1576+ROW()/100000,"")</f>
      </c>
    </row>
    <row r="3074">
      <c r="A3074">
        <f>IF(OR(出库明细!C2074="",出库明细!D2074=""),"",IF(OR(COUNTIFS(存条明细!$C$4:$C$1003,出库明细!C2074,存条明细!$D$4:$D$1003,出库明细!D2074)&gt;0,COUNTIFS(出库明细!$C$4:C2074,出库明细!C2074,出库明细!$D$4:D2074,出库明细!D2074)&gt;1),"",IFERROR(MATCH(出库明细!C2074,总览汇总!$B$5:$B$304,0),900)*10000000+IFERROR(MATCH(出库明细!D2074,基础资料!$E$5:$E$104,0),900)*10000+ROW()))</f>
      </c>
      <c r="F3074">
        <f>IF(AND(资金台帐!J77&lt;&gt;"",资金台帐!J77=客户对账单!$B$4,资金台帐!P77="应收",ISNUMBER(资金台帐!B77),资金台帐!B77&gt;=客户对账单!$G$4,资金台帐!B77&lt;=客户对账单!$I$4),资金台帐!B77+ROW()/100000,"")</f>
        <v>46221.03074</v>
      </c>
      <c r="H3074">
        <f>IF(AND(资金台帐!K1577&lt;&gt;"",资金台帐!K1577=供应商对账单!$B$4,资金台帐!P1577="应付",ISNUMBER(资金台帐!B1577),资金台帐!B1577&gt;=供应商对账单!$G$4,资金台帐!B1577&lt;=供应商对账单!$I$4),资金台帐!B1577+ROW()/100000,"")</f>
      </c>
    </row>
    <row r="3075">
      <c r="A3075">
        <f>IF(OR(出库明细!C2075="",出库明细!D2075=""),"",IF(OR(COUNTIFS(存条明细!$C$4:$C$1003,出库明细!C2075,存条明细!$D$4:$D$1003,出库明细!D2075)&gt;0,COUNTIFS(出库明细!$C$4:C2075,出库明细!C2075,出库明细!$D$4:D2075,出库明细!D2075)&gt;1),"",IFERROR(MATCH(出库明细!C2075,总览汇总!$B$5:$B$304,0),900)*10000000+IFERROR(MATCH(出库明细!D2075,基础资料!$E$5:$E$104,0),900)*10000+ROW()))</f>
      </c>
      <c r="F3075">
        <f>IF(AND(资金台帐!J78&lt;&gt;"",资金台帐!J78=客户对账单!$B$4,资金台帐!P78="应收",ISNUMBER(资金台帐!B78),资金台帐!B78&gt;=客户对账单!$G$4,资金台帐!B78&lt;=客户对账单!$I$4),资金台帐!B78+ROW()/100000,"")</f>
      </c>
      <c r="H3075">
        <f>IF(AND(资金台帐!K1578&lt;&gt;"",资金台帐!K1578=供应商对账单!$B$4,资金台帐!P1578="应付",ISNUMBER(资金台帐!B1578),资金台帐!B1578&gt;=供应商对账单!$G$4,资金台帐!B1578&lt;=供应商对账单!$I$4),资金台帐!B1578+ROW()/100000,"")</f>
      </c>
    </row>
    <row r="3076">
      <c r="A3076">
        <f>IF(OR(出库明细!C2076="",出库明细!D2076=""),"",IF(OR(COUNTIFS(存条明细!$C$4:$C$1003,出库明细!C2076,存条明细!$D$4:$D$1003,出库明细!D2076)&gt;0,COUNTIFS(出库明细!$C$4:C2076,出库明细!C2076,出库明细!$D$4:D2076,出库明细!D2076)&gt;1),"",IFERROR(MATCH(出库明细!C2076,总览汇总!$B$5:$B$304,0),900)*10000000+IFERROR(MATCH(出库明细!D2076,基础资料!$E$5:$E$104,0),900)*10000+ROW()))</f>
      </c>
      <c r="F3076">
        <f>IF(AND(资金台帐!J79&lt;&gt;"",资金台帐!J79=客户对账单!$B$4,资金台帐!P79="应收",ISNUMBER(资金台帐!B79),资金台帐!B79&gt;=客户对账单!$G$4,资金台帐!B79&lt;=客户对账单!$I$4),资金台帐!B79+ROW()/100000,"")</f>
      </c>
      <c r="H3076">
        <f>IF(AND(资金台帐!K1579&lt;&gt;"",资金台帐!K1579=供应商对账单!$B$4,资金台帐!P1579="应付",ISNUMBER(资金台帐!B1579),资金台帐!B1579&gt;=供应商对账单!$G$4,资金台帐!B1579&lt;=供应商对账单!$I$4),资金台帐!B1579+ROW()/100000,"")</f>
      </c>
    </row>
    <row r="3077">
      <c r="A3077">
        <f>IF(OR(出库明细!C2077="",出库明细!D2077=""),"",IF(OR(COUNTIFS(存条明细!$C$4:$C$1003,出库明细!C2077,存条明细!$D$4:$D$1003,出库明细!D2077)&gt;0,COUNTIFS(出库明细!$C$4:C2077,出库明细!C2077,出库明细!$D$4:D2077,出库明细!D2077)&gt;1),"",IFERROR(MATCH(出库明细!C2077,总览汇总!$B$5:$B$304,0),900)*10000000+IFERROR(MATCH(出库明细!D2077,基础资料!$E$5:$E$104,0),900)*10000+ROW()))</f>
      </c>
      <c r="F3077">
        <f>IF(AND(资金台帐!J80&lt;&gt;"",资金台帐!J80=客户对账单!$B$4,资金台帐!P80="应收",ISNUMBER(资金台帐!B80),资金台帐!B80&gt;=客户对账单!$G$4,资金台帐!B80&lt;=客户对账单!$I$4),资金台帐!B80+ROW()/100000,"")</f>
      </c>
      <c r="H3077">
        <f>IF(AND(资金台帐!K1580&lt;&gt;"",资金台帐!K1580=供应商对账单!$B$4,资金台帐!P1580="应付",ISNUMBER(资金台帐!B1580),资金台帐!B1580&gt;=供应商对账单!$G$4,资金台帐!B1580&lt;=供应商对账单!$I$4),资金台帐!B1580+ROW()/100000,"")</f>
      </c>
    </row>
    <row r="3078">
      <c r="A3078">
        <f>IF(OR(出库明细!C2078="",出库明细!D2078=""),"",IF(OR(COUNTIFS(存条明细!$C$4:$C$1003,出库明细!C2078,存条明细!$D$4:$D$1003,出库明细!D2078)&gt;0,COUNTIFS(出库明细!$C$4:C2078,出库明细!C2078,出库明细!$D$4:D2078,出库明细!D2078)&gt;1),"",IFERROR(MATCH(出库明细!C2078,总览汇总!$B$5:$B$304,0),900)*10000000+IFERROR(MATCH(出库明细!D2078,基础资料!$E$5:$E$104,0),900)*10000+ROW()))</f>
      </c>
      <c r="F3078">
        <f>IF(AND(资金台帐!J81&lt;&gt;"",资金台帐!J81=客户对账单!$B$4,资金台帐!P81="应收",ISNUMBER(资金台帐!B81),资金台帐!B81&gt;=客户对账单!$G$4,资金台帐!B81&lt;=客户对账单!$I$4),资金台帐!B81+ROW()/100000,"")</f>
      </c>
      <c r="H3078">
        <f>IF(AND(资金台帐!K1581&lt;&gt;"",资金台帐!K1581=供应商对账单!$B$4,资金台帐!P1581="应付",ISNUMBER(资金台帐!B1581),资金台帐!B1581&gt;=供应商对账单!$G$4,资金台帐!B1581&lt;=供应商对账单!$I$4),资金台帐!B1581+ROW()/100000,"")</f>
      </c>
    </row>
    <row r="3079">
      <c r="A3079">
        <f>IF(OR(出库明细!C2079="",出库明细!D2079=""),"",IF(OR(COUNTIFS(存条明细!$C$4:$C$1003,出库明细!C2079,存条明细!$D$4:$D$1003,出库明细!D2079)&gt;0,COUNTIFS(出库明细!$C$4:C2079,出库明细!C2079,出库明细!$D$4:D2079,出库明细!D2079)&gt;1),"",IFERROR(MATCH(出库明细!C2079,总览汇总!$B$5:$B$304,0),900)*10000000+IFERROR(MATCH(出库明细!D2079,基础资料!$E$5:$E$104,0),900)*10000+ROW()))</f>
      </c>
      <c r="F3079">
        <f>IF(AND(资金台帐!J82&lt;&gt;"",资金台帐!J82=客户对账单!$B$4,资金台帐!P82="应收",ISNUMBER(资金台帐!B82),资金台帐!B82&gt;=客户对账单!$G$4,资金台帐!B82&lt;=客户对账单!$I$4),资金台帐!B82+ROW()/100000,"")</f>
      </c>
      <c r="H3079">
        <f>IF(AND(资金台帐!K1582&lt;&gt;"",资金台帐!K1582=供应商对账单!$B$4,资金台帐!P1582="应付",ISNUMBER(资金台帐!B1582),资金台帐!B1582&gt;=供应商对账单!$G$4,资金台帐!B1582&lt;=供应商对账单!$I$4),资金台帐!B1582+ROW()/100000,"")</f>
      </c>
    </row>
    <row r="3080">
      <c r="A3080">
        <f>IF(OR(出库明细!C2080="",出库明细!D2080=""),"",IF(OR(COUNTIFS(存条明细!$C$4:$C$1003,出库明细!C2080,存条明细!$D$4:$D$1003,出库明细!D2080)&gt;0,COUNTIFS(出库明细!$C$4:C2080,出库明细!C2080,出库明细!$D$4:D2080,出库明细!D2080)&gt;1),"",IFERROR(MATCH(出库明细!C2080,总览汇总!$B$5:$B$304,0),900)*10000000+IFERROR(MATCH(出库明细!D2080,基础资料!$E$5:$E$104,0),900)*10000+ROW()))</f>
      </c>
      <c r="F3080">
        <f>IF(AND(资金台帐!J83&lt;&gt;"",资金台帐!J83=客户对账单!$B$4,资金台帐!P83="应收",ISNUMBER(资金台帐!B83),资金台帐!B83&gt;=客户对账单!$G$4,资金台帐!B83&lt;=客户对账单!$I$4),资金台帐!B83+ROW()/100000,"")</f>
      </c>
      <c r="H3080">
        <f>IF(AND(资金台帐!K1583&lt;&gt;"",资金台帐!K1583=供应商对账单!$B$4,资金台帐!P1583="应付",ISNUMBER(资金台帐!B1583),资金台帐!B1583&gt;=供应商对账单!$G$4,资金台帐!B1583&lt;=供应商对账单!$I$4),资金台帐!B1583+ROW()/100000,"")</f>
      </c>
    </row>
    <row r="3081">
      <c r="A3081">
        <f>IF(OR(出库明细!C2081="",出库明细!D2081=""),"",IF(OR(COUNTIFS(存条明细!$C$4:$C$1003,出库明细!C2081,存条明细!$D$4:$D$1003,出库明细!D2081)&gt;0,COUNTIFS(出库明细!$C$4:C2081,出库明细!C2081,出库明细!$D$4:D2081,出库明细!D2081)&gt;1),"",IFERROR(MATCH(出库明细!C2081,总览汇总!$B$5:$B$304,0),900)*10000000+IFERROR(MATCH(出库明细!D2081,基础资料!$E$5:$E$104,0),900)*10000+ROW()))</f>
      </c>
      <c r="F3081">
        <f>IF(AND(资金台帐!J84&lt;&gt;"",资金台帐!J84=客户对账单!$B$4,资金台帐!P84="应收",ISNUMBER(资金台帐!B84),资金台帐!B84&gt;=客户对账单!$G$4,资金台帐!B84&lt;=客户对账单!$I$4),资金台帐!B84+ROW()/100000,"")</f>
      </c>
      <c r="H3081">
        <f>IF(AND(资金台帐!K1584&lt;&gt;"",资金台帐!K1584=供应商对账单!$B$4,资金台帐!P1584="应付",ISNUMBER(资金台帐!B1584),资金台帐!B1584&gt;=供应商对账单!$G$4,资金台帐!B1584&lt;=供应商对账单!$I$4),资金台帐!B1584+ROW()/100000,"")</f>
      </c>
    </row>
    <row r="3082">
      <c r="A3082">
        <f>IF(OR(出库明细!C2082="",出库明细!D2082=""),"",IF(OR(COUNTIFS(存条明细!$C$4:$C$1003,出库明细!C2082,存条明细!$D$4:$D$1003,出库明细!D2082)&gt;0,COUNTIFS(出库明细!$C$4:C2082,出库明细!C2082,出库明细!$D$4:D2082,出库明细!D2082)&gt;1),"",IFERROR(MATCH(出库明细!C2082,总览汇总!$B$5:$B$304,0),900)*10000000+IFERROR(MATCH(出库明细!D2082,基础资料!$E$5:$E$104,0),900)*10000+ROW()))</f>
      </c>
      <c r="F3082">
        <f>IF(AND(资金台帐!J85&lt;&gt;"",资金台帐!J85=客户对账单!$B$4,资金台帐!P85="应收",ISNUMBER(资金台帐!B85),资金台帐!B85&gt;=客户对账单!$G$4,资金台帐!B85&lt;=客户对账单!$I$4),资金台帐!B85+ROW()/100000,"")</f>
      </c>
      <c r="H3082">
        <f>IF(AND(资金台帐!K1585&lt;&gt;"",资金台帐!K1585=供应商对账单!$B$4,资金台帐!P1585="应付",ISNUMBER(资金台帐!B1585),资金台帐!B1585&gt;=供应商对账单!$G$4,资金台帐!B1585&lt;=供应商对账单!$I$4),资金台帐!B1585+ROW()/100000,"")</f>
      </c>
    </row>
    <row r="3083">
      <c r="A3083">
        <f>IF(OR(出库明细!C2083="",出库明细!D2083=""),"",IF(OR(COUNTIFS(存条明细!$C$4:$C$1003,出库明细!C2083,存条明细!$D$4:$D$1003,出库明细!D2083)&gt;0,COUNTIFS(出库明细!$C$4:C2083,出库明细!C2083,出库明细!$D$4:D2083,出库明细!D2083)&gt;1),"",IFERROR(MATCH(出库明细!C2083,总览汇总!$B$5:$B$304,0),900)*10000000+IFERROR(MATCH(出库明细!D2083,基础资料!$E$5:$E$104,0),900)*10000+ROW()))</f>
      </c>
      <c r="F3083">
        <f>IF(AND(资金台帐!J86&lt;&gt;"",资金台帐!J86=客户对账单!$B$4,资金台帐!P86="应收",ISNUMBER(资金台帐!B86),资金台帐!B86&gt;=客户对账单!$G$4,资金台帐!B86&lt;=客户对账单!$I$4),资金台帐!B86+ROW()/100000,"")</f>
      </c>
      <c r="H3083">
        <f>IF(AND(资金台帐!K1586&lt;&gt;"",资金台帐!K1586=供应商对账单!$B$4,资金台帐!P1586="应付",ISNUMBER(资金台帐!B1586),资金台帐!B1586&gt;=供应商对账单!$G$4,资金台帐!B1586&lt;=供应商对账单!$I$4),资金台帐!B1586+ROW()/100000,"")</f>
      </c>
    </row>
    <row r="3084">
      <c r="A3084">
        <f>IF(OR(出库明细!C2084="",出库明细!D2084=""),"",IF(OR(COUNTIFS(存条明细!$C$4:$C$1003,出库明细!C2084,存条明细!$D$4:$D$1003,出库明细!D2084)&gt;0,COUNTIFS(出库明细!$C$4:C2084,出库明细!C2084,出库明细!$D$4:D2084,出库明细!D2084)&gt;1),"",IFERROR(MATCH(出库明细!C2084,总览汇总!$B$5:$B$304,0),900)*10000000+IFERROR(MATCH(出库明细!D2084,基础资料!$E$5:$E$104,0),900)*10000+ROW()))</f>
      </c>
      <c r="F3084">
        <f>IF(AND(资金台帐!J87&lt;&gt;"",资金台帐!J87=客户对账单!$B$4,资金台帐!P87="应收",ISNUMBER(资金台帐!B87),资金台帐!B87&gt;=客户对账单!$G$4,资金台帐!B87&lt;=客户对账单!$I$4),资金台帐!B87+ROW()/100000,"")</f>
      </c>
      <c r="H3084">
        <f>IF(AND(资金台帐!K1587&lt;&gt;"",资金台帐!K1587=供应商对账单!$B$4,资金台帐!P1587="应付",ISNUMBER(资金台帐!B1587),资金台帐!B1587&gt;=供应商对账单!$G$4,资金台帐!B1587&lt;=供应商对账单!$I$4),资金台帐!B1587+ROW()/100000,"")</f>
      </c>
    </row>
    <row r="3085">
      <c r="A3085">
        <f>IF(OR(出库明细!C2085="",出库明细!D2085=""),"",IF(OR(COUNTIFS(存条明细!$C$4:$C$1003,出库明细!C2085,存条明细!$D$4:$D$1003,出库明细!D2085)&gt;0,COUNTIFS(出库明细!$C$4:C2085,出库明细!C2085,出库明细!$D$4:D2085,出库明细!D2085)&gt;1),"",IFERROR(MATCH(出库明细!C2085,总览汇总!$B$5:$B$304,0),900)*10000000+IFERROR(MATCH(出库明细!D2085,基础资料!$E$5:$E$104,0),900)*10000+ROW()))</f>
      </c>
      <c r="F3085">
        <f>IF(AND(资金台帐!J88&lt;&gt;"",资金台帐!J88=客户对账单!$B$4,资金台帐!P88="应收",ISNUMBER(资金台帐!B88),资金台帐!B88&gt;=客户对账单!$G$4,资金台帐!B88&lt;=客户对账单!$I$4),资金台帐!B88+ROW()/100000,"")</f>
      </c>
      <c r="H3085">
        <f>IF(AND(资金台帐!K1588&lt;&gt;"",资金台帐!K1588=供应商对账单!$B$4,资金台帐!P1588="应付",ISNUMBER(资金台帐!B1588),资金台帐!B1588&gt;=供应商对账单!$G$4,资金台帐!B1588&lt;=供应商对账单!$I$4),资金台帐!B1588+ROW()/100000,"")</f>
      </c>
    </row>
    <row r="3086">
      <c r="A3086">
        <f>IF(OR(出库明细!C2086="",出库明细!D2086=""),"",IF(OR(COUNTIFS(存条明细!$C$4:$C$1003,出库明细!C2086,存条明细!$D$4:$D$1003,出库明细!D2086)&gt;0,COUNTIFS(出库明细!$C$4:C2086,出库明细!C2086,出库明细!$D$4:D2086,出库明细!D2086)&gt;1),"",IFERROR(MATCH(出库明细!C2086,总览汇总!$B$5:$B$304,0),900)*10000000+IFERROR(MATCH(出库明细!D2086,基础资料!$E$5:$E$104,0),900)*10000+ROW()))</f>
      </c>
      <c r="F3086">
        <f>IF(AND(资金台帐!J89&lt;&gt;"",资金台帐!J89=客户对账单!$B$4,资金台帐!P89="应收",ISNUMBER(资金台帐!B89),资金台帐!B89&gt;=客户对账单!$G$4,资金台帐!B89&lt;=客户对账单!$I$4),资金台帐!B89+ROW()/100000,"")</f>
      </c>
      <c r="H3086">
        <f>IF(AND(资金台帐!K1589&lt;&gt;"",资金台帐!K1589=供应商对账单!$B$4,资金台帐!P1589="应付",ISNUMBER(资金台帐!B1589),资金台帐!B1589&gt;=供应商对账单!$G$4,资金台帐!B1589&lt;=供应商对账单!$I$4),资金台帐!B1589+ROW()/100000,"")</f>
      </c>
    </row>
    <row r="3087">
      <c r="A3087">
        <f>IF(OR(出库明细!C2087="",出库明细!D2087=""),"",IF(OR(COUNTIFS(存条明细!$C$4:$C$1003,出库明细!C2087,存条明细!$D$4:$D$1003,出库明细!D2087)&gt;0,COUNTIFS(出库明细!$C$4:C2087,出库明细!C2087,出库明细!$D$4:D2087,出库明细!D2087)&gt;1),"",IFERROR(MATCH(出库明细!C2087,总览汇总!$B$5:$B$304,0),900)*10000000+IFERROR(MATCH(出库明细!D2087,基础资料!$E$5:$E$104,0),900)*10000+ROW()))</f>
      </c>
      <c r="F3087">
        <f>IF(AND(资金台帐!J90&lt;&gt;"",资金台帐!J90=客户对账单!$B$4,资金台帐!P90="应收",ISNUMBER(资金台帐!B90),资金台帐!B90&gt;=客户对账单!$G$4,资金台帐!B90&lt;=客户对账单!$I$4),资金台帐!B90+ROW()/100000,"")</f>
      </c>
      <c r="H3087">
        <f>IF(AND(资金台帐!K1590&lt;&gt;"",资金台帐!K1590=供应商对账单!$B$4,资金台帐!P1590="应付",ISNUMBER(资金台帐!B1590),资金台帐!B1590&gt;=供应商对账单!$G$4,资金台帐!B1590&lt;=供应商对账单!$I$4),资金台帐!B1590+ROW()/100000,"")</f>
      </c>
    </row>
    <row r="3088">
      <c r="A3088">
        <f>IF(OR(出库明细!C2088="",出库明细!D2088=""),"",IF(OR(COUNTIFS(存条明细!$C$4:$C$1003,出库明细!C2088,存条明细!$D$4:$D$1003,出库明细!D2088)&gt;0,COUNTIFS(出库明细!$C$4:C2088,出库明细!C2088,出库明细!$D$4:D2088,出库明细!D2088)&gt;1),"",IFERROR(MATCH(出库明细!C2088,总览汇总!$B$5:$B$304,0),900)*10000000+IFERROR(MATCH(出库明细!D2088,基础资料!$E$5:$E$104,0),900)*10000+ROW()))</f>
      </c>
      <c r="F3088">
        <f>IF(AND(资金台帐!J91&lt;&gt;"",资金台帐!J91=客户对账单!$B$4,资金台帐!P91="应收",ISNUMBER(资金台帐!B91),资金台帐!B91&gt;=客户对账单!$G$4,资金台帐!B91&lt;=客户对账单!$I$4),资金台帐!B91+ROW()/100000,"")</f>
        <v>46229.03088</v>
      </c>
      <c r="H3088">
        <f>IF(AND(资金台帐!K1591&lt;&gt;"",资金台帐!K1591=供应商对账单!$B$4,资金台帐!P1591="应付",ISNUMBER(资金台帐!B1591),资金台帐!B1591&gt;=供应商对账单!$G$4,资金台帐!B1591&lt;=供应商对账单!$I$4),资金台帐!B1591+ROW()/100000,"")</f>
      </c>
    </row>
    <row r="3089">
      <c r="A3089">
        <f>IF(OR(出库明细!C2089="",出库明细!D2089=""),"",IF(OR(COUNTIFS(存条明细!$C$4:$C$1003,出库明细!C2089,存条明细!$D$4:$D$1003,出库明细!D2089)&gt;0,COUNTIFS(出库明细!$C$4:C2089,出库明细!C2089,出库明细!$D$4:D2089,出库明细!D2089)&gt;1),"",IFERROR(MATCH(出库明细!C2089,总览汇总!$B$5:$B$304,0),900)*10000000+IFERROR(MATCH(出库明细!D2089,基础资料!$E$5:$E$104,0),900)*10000+ROW()))</f>
      </c>
      <c r="F3089">
        <f>IF(AND(资金台帐!J92&lt;&gt;"",资金台帐!J92=客户对账单!$B$4,资金台帐!P92="应收",ISNUMBER(资金台帐!B92),资金台帐!B92&gt;=客户对账单!$G$4,资金台帐!B92&lt;=客户对账单!$I$4),资金台帐!B92+ROW()/100000,"")</f>
      </c>
      <c r="H3089">
        <f>IF(AND(资金台帐!K1592&lt;&gt;"",资金台帐!K1592=供应商对账单!$B$4,资金台帐!P1592="应付",ISNUMBER(资金台帐!B1592),资金台帐!B1592&gt;=供应商对账单!$G$4,资金台帐!B1592&lt;=供应商对账单!$I$4),资金台帐!B1592+ROW()/100000,"")</f>
      </c>
    </row>
    <row r="3090">
      <c r="A3090">
        <f>IF(OR(出库明细!C2090="",出库明细!D2090=""),"",IF(OR(COUNTIFS(存条明细!$C$4:$C$1003,出库明细!C2090,存条明细!$D$4:$D$1003,出库明细!D2090)&gt;0,COUNTIFS(出库明细!$C$4:C2090,出库明细!C2090,出库明细!$D$4:D2090,出库明细!D2090)&gt;1),"",IFERROR(MATCH(出库明细!C2090,总览汇总!$B$5:$B$304,0),900)*10000000+IFERROR(MATCH(出库明细!D2090,基础资料!$E$5:$E$104,0),900)*10000+ROW()))</f>
      </c>
      <c r="F3090">
        <f>IF(AND(资金台帐!J93&lt;&gt;"",资金台帐!J93=客户对账单!$B$4,资金台帐!P93="应收",ISNUMBER(资金台帐!B93),资金台帐!B93&gt;=客户对账单!$G$4,资金台帐!B93&lt;=客户对账单!$I$4),资金台帐!B93+ROW()/100000,"")</f>
      </c>
      <c r="H3090">
        <f>IF(AND(资金台帐!K1593&lt;&gt;"",资金台帐!K1593=供应商对账单!$B$4,资金台帐!P1593="应付",ISNUMBER(资金台帐!B1593),资金台帐!B1593&gt;=供应商对账单!$G$4,资金台帐!B1593&lt;=供应商对账单!$I$4),资金台帐!B1593+ROW()/100000,"")</f>
      </c>
    </row>
    <row r="3091">
      <c r="A3091">
        <f>IF(OR(出库明细!C2091="",出库明细!D2091=""),"",IF(OR(COUNTIFS(存条明细!$C$4:$C$1003,出库明细!C2091,存条明细!$D$4:$D$1003,出库明细!D2091)&gt;0,COUNTIFS(出库明细!$C$4:C2091,出库明细!C2091,出库明细!$D$4:D2091,出库明细!D2091)&gt;1),"",IFERROR(MATCH(出库明细!C2091,总览汇总!$B$5:$B$304,0),900)*10000000+IFERROR(MATCH(出库明细!D2091,基础资料!$E$5:$E$104,0),900)*10000+ROW()))</f>
      </c>
      <c r="F3091">
        <f>IF(AND(资金台帐!J94&lt;&gt;"",资金台帐!J94=客户对账单!$B$4,资金台帐!P94="应收",ISNUMBER(资金台帐!B94),资金台帐!B94&gt;=客户对账单!$G$4,资金台帐!B94&lt;=客户对账单!$I$4),资金台帐!B94+ROW()/100000,"")</f>
      </c>
      <c r="H3091">
        <f>IF(AND(资金台帐!K1594&lt;&gt;"",资金台帐!K1594=供应商对账单!$B$4,资金台帐!P1594="应付",ISNUMBER(资金台帐!B1594),资金台帐!B1594&gt;=供应商对账单!$G$4,资金台帐!B1594&lt;=供应商对账单!$I$4),资金台帐!B1594+ROW()/100000,"")</f>
      </c>
    </row>
    <row r="3092">
      <c r="A3092">
        <f>IF(OR(出库明细!C2092="",出库明细!D2092=""),"",IF(OR(COUNTIFS(存条明细!$C$4:$C$1003,出库明细!C2092,存条明细!$D$4:$D$1003,出库明细!D2092)&gt;0,COUNTIFS(出库明细!$C$4:C2092,出库明细!C2092,出库明细!$D$4:D2092,出库明细!D2092)&gt;1),"",IFERROR(MATCH(出库明细!C2092,总览汇总!$B$5:$B$304,0),900)*10000000+IFERROR(MATCH(出库明细!D2092,基础资料!$E$5:$E$104,0),900)*10000+ROW()))</f>
      </c>
      <c r="F3092">
        <f>IF(AND(资金台帐!J95&lt;&gt;"",资金台帐!J95=客户对账单!$B$4,资金台帐!P95="应收",ISNUMBER(资金台帐!B95),资金台帐!B95&gt;=客户对账单!$G$4,资金台帐!B95&lt;=客户对账单!$I$4),资金台帐!B95+ROW()/100000,"")</f>
      </c>
      <c r="H3092">
        <f>IF(AND(资金台帐!K1595&lt;&gt;"",资金台帐!K1595=供应商对账单!$B$4,资金台帐!P1595="应付",ISNUMBER(资金台帐!B1595),资金台帐!B1595&gt;=供应商对账单!$G$4,资金台帐!B1595&lt;=供应商对账单!$I$4),资金台帐!B1595+ROW()/100000,"")</f>
      </c>
    </row>
    <row r="3093">
      <c r="A3093">
        <f>IF(OR(出库明细!C2093="",出库明细!D2093=""),"",IF(OR(COUNTIFS(存条明细!$C$4:$C$1003,出库明细!C2093,存条明细!$D$4:$D$1003,出库明细!D2093)&gt;0,COUNTIFS(出库明细!$C$4:C2093,出库明细!C2093,出库明细!$D$4:D2093,出库明细!D2093)&gt;1),"",IFERROR(MATCH(出库明细!C2093,总览汇总!$B$5:$B$304,0),900)*10000000+IFERROR(MATCH(出库明细!D2093,基础资料!$E$5:$E$104,0),900)*10000+ROW()))</f>
      </c>
      <c r="F3093">
        <f>IF(AND(资金台帐!J96&lt;&gt;"",资金台帐!J96=客户对账单!$B$4,资金台帐!P96="应收",ISNUMBER(资金台帐!B96),资金台帐!B96&gt;=客户对账单!$G$4,资金台帐!B96&lt;=客户对账单!$I$4),资金台帐!B96+ROW()/100000,"")</f>
      </c>
      <c r="H3093">
        <f>IF(AND(资金台帐!K1596&lt;&gt;"",资金台帐!K1596=供应商对账单!$B$4,资金台帐!P1596="应付",ISNUMBER(资金台帐!B1596),资金台帐!B1596&gt;=供应商对账单!$G$4,资金台帐!B1596&lt;=供应商对账单!$I$4),资金台帐!B1596+ROW()/100000,"")</f>
      </c>
    </row>
    <row r="3094">
      <c r="A3094">
        <f>IF(OR(出库明细!C2094="",出库明细!D2094=""),"",IF(OR(COUNTIFS(存条明细!$C$4:$C$1003,出库明细!C2094,存条明细!$D$4:$D$1003,出库明细!D2094)&gt;0,COUNTIFS(出库明细!$C$4:C2094,出库明细!C2094,出库明细!$D$4:D2094,出库明细!D2094)&gt;1),"",IFERROR(MATCH(出库明细!C2094,总览汇总!$B$5:$B$304,0),900)*10000000+IFERROR(MATCH(出库明细!D2094,基础资料!$E$5:$E$104,0),900)*10000+ROW()))</f>
      </c>
      <c r="F3094">
        <f>IF(AND(资金台帐!J97&lt;&gt;"",资金台帐!J97=客户对账单!$B$4,资金台帐!P97="应收",ISNUMBER(资金台帐!B97),资金台帐!B97&gt;=客户对账单!$G$4,资金台帐!B97&lt;=客户对账单!$I$4),资金台帐!B97+ROW()/100000,"")</f>
        <v>46232.03094</v>
      </c>
      <c r="H3094">
        <f>IF(AND(资金台帐!K1597&lt;&gt;"",资金台帐!K1597=供应商对账单!$B$4,资金台帐!P1597="应付",ISNUMBER(资金台帐!B1597),资金台帐!B1597&gt;=供应商对账单!$G$4,资金台帐!B1597&lt;=供应商对账单!$I$4),资金台帐!B1597+ROW()/100000,"")</f>
      </c>
    </row>
    <row r="3095">
      <c r="A3095">
        <f>IF(OR(出库明细!C2095="",出库明细!D2095=""),"",IF(OR(COUNTIFS(存条明细!$C$4:$C$1003,出库明细!C2095,存条明细!$D$4:$D$1003,出库明细!D2095)&gt;0,COUNTIFS(出库明细!$C$4:C2095,出库明细!C2095,出库明细!$D$4:D2095,出库明细!D2095)&gt;1),"",IFERROR(MATCH(出库明细!C2095,总览汇总!$B$5:$B$304,0),900)*10000000+IFERROR(MATCH(出库明细!D2095,基础资料!$E$5:$E$104,0),900)*10000+ROW()))</f>
      </c>
      <c r="F3095">
        <f>IF(AND(资金台帐!J98&lt;&gt;"",资金台帐!J98=客户对账单!$B$4,资金台帐!P98="应收",ISNUMBER(资金台帐!B98),资金台帐!B98&gt;=客户对账单!$G$4,资金台帐!B98&lt;=客户对账单!$I$4),资金台帐!B98+ROW()/100000,"")</f>
      </c>
      <c r="H3095">
        <f>IF(AND(资金台帐!K1598&lt;&gt;"",资金台帐!K1598=供应商对账单!$B$4,资金台帐!P1598="应付",ISNUMBER(资金台帐!B1598),资金台帐!B1598&gt;=供应商对账单!$G$4,资金台帐!B1598&lt;=供应商对账单!$I$4),资金台帐!B1598+ROW()/100000,"")</f>
      </c>
    </row>
    <row r="3096">
      <c r="A3096">
        <f>IF(OR(出库明细!C2096="",出库明细!D2096=""),"",IF(OR(COUNTIFS(存条明细!$C$4:$C$1003,出库明细!C2096,存条明细!$D$4:$D$1003,出库明细!D2096)&gt;0,COUNTIFS(出库明细!$C$4:C2096,出库明细!C2096,出库明细!$D$4:D2096,出库明细!D2096)&gt;1),"",IFERROR(MATCH(出库明细!C2096,总览汇总!$B$5:$B$304,0),900)*10000000+IFERROR(MATCH(出库明细!D2096,基础资料!$E$5:$E$104,0),900)*10000+ROW()))</f>
      </c>
      <c r="F3096">
        <f>IF(AND(资金台帐!J99&lt;&gt;"",资金台帐!J99=客户对账单!$B$4,资金台帐!P99="应收",ISNUMBER(资金台帐!B99),资金台帐!B99&gt;=客户对账单!$G$4,资金台帐!B99&lt;=客户对账单!$I$4),资金台帐!B99+ROW()/100000,"")</f>
        <v>46234.03096</v>
      </c>
      <c r="H3096">
        <f>IF(AND(资金台帐!K1599&lt;&gt;"",资金台帐!K1599=供应商对账单!$B$4,资金台帐!P1599="应付",ISNUMBER(资金台帐!B1599),资金台帐!B1599&gt;=供应商对账单!$G$4,资金台帐!B1599&lt;=供应商对账单!$I$4),资金台帐!B1599+ROW()/100000,"")</f>
      </c>
    </row>
    <row r="3097">
      <c r="A3097">
        <f>IF(OR(出库明细!C2097="",出库明细!D2097=""),"",IF(OR(COUNTIFS(存条明细!$C$4:$C$1003,出库明细!C2097,存条明细!$D$4:$D$1003,出库明细!D2097)&gt;0,COUNTIFS(出库明细!$C$4:C2097,出库明细!C2097,出库明细!$D$4:D2097,出库明细!D2097)&gt;1),"",IFERROR(MATCH(出库明细!C2097,总览汇总!$B$5:$B$304,0),900)*10000000+IFERROR(MATCH(出库明细!D2097,基础资料!$E$5:$E$104,0),900)*10000+ROW()))</f>
      </c>
      <c r="F3097">
        <f>IF(AND(资金台帐!J100&lt;&gt;"",资金台帐!J100=客户对账单!$B$4,资金台帐!P100="应收",ISNUMBER(资金台帐!B100),资金台帐!B100&gt;=客户对账单!$G$4,资金台帐!B100&lt;=客户对账单!$I$4),资金台帐!B100+ROW()/100000,"")</f>
      </c>
      <c r="H3097">
        <f>IF(AND(资金台帐!K1600&lt;&gt;"",资金台帐!K1600=供应商对账单!$B$4,资金台帐!P1600="应付",ISNUMBER(资金台帐!B1600),资金台帐!B1600&gt;=供应商对账单!$G$4,资金台帐!B1600&lt;=供应商对账单!$I$4),资金台帐!B1600+ROW()/100000,"")</f>
      </c>
    </row>
    <row r="3098">
      <c r="A3098">
        <f>IF(OR(出库明细!C2098="",出库明细!D2098=""),"",IF(OR(COUNTIFS(存条明细!$C$4:$C$1003,出库明细!C2098,存条明细!$D$4:$D$1003,出库明细!D2098)&gt;0,COUNTIFS(出库明细!$C$4:C2098,出库明细!C2098,出库明细!$D$4:D2098,出库明细!D2098)&gt;1),"",IFERROR(MATCH(出库明细!C2098,总览汇总!$B$5:$B$304,0),900)*10000000+IFERROR(MATCH(出库明细!D2098,基础资料!$E$5:$E$104,0),900)*10000+ROW()))</f>
      </c>
      <c r="F3098">
        <f>IF(AND(资金台帐!J101&lt;&gt;"",资金台帐!J101=客户对账单!$B$4,资金台帐!P101="应收",ISNUMBER(资金台帐!B101),资金台帐!B101&gt;=客户对账单!$G$4,资金台帐!B101&lt;=客户对账单!$I$4),资金台帐!B101+ROW()/100000,"")</f>
      </c>
      <c r="H3098">
        <f>IF(AND(资金台帐!K1601&lt;&gt;"",资金台帐!K1601=供应商对账单!$B$4,资金台帐!P1601="应付",ISNUMBER(资金台帐!B1601),资金台帐!B1601&gt;=供应商对账单!$G$4,资金台帐!B1601&lt;=供应商对账单!$I$4),资金台帐!B1601+ROW()/100000,"")</f>
      </c>
    </row>
    <row r="3099">
      <c r="A3099">
        <f>IF(OR(出库明细!C2099="",出库明细!D2099=""),"",IF(OR(COUNTIFS(存条明细!$C$4:$C$1003,出库明细!C2099,存条明细!$D$4:$D$1003,出库明细!D2099)&gt;0,COUNTIFS(出库明细!$C$4:C2099,出库明细!C2099,出库明细!$D$4:D2099,出库明细!D2099)&gt;1),"",IFERROR(MATCH(出库明细!C2099,总览汇总!$B$5:$B$304,0),900)*10000000+IFERROR(MATCH(出库明细!D2099,基础资料!$E$5:$E$104,0),900)*10000+ROW()))</f>
      </c>
      <c r="F3099">
        <f>IF(AND(资金台帐!J102&lt;&gt;"",资金台帐!J102=客户对账单!$B$4,资金台帐!P102="应收",ISNUMBER(资金台帐!B102),资金台帐!B102&gt;=客户对账单!$G$4,资金台帐!B102&lt;=客户对账单!$I$4),资金台帐!B102+ROW()/100000,"")</f>
      </c>
      <c r="H3099">
        <f>IF(AND(资金台帐!K1602&lt;&gt;"",资金台帐!K1602=供应商对账单!$B$4,资金台帐!P1602="应付",ISNUMBER(资金台帐!B1602),资金台帐!B1602&gt;=供应商对账单!$G$4,资金台帐!B1602&lt;=供应商对账单!$I$4),资金台帐!B1602+ROW()/100000,"")</f>
      </c>
    </row>
    <row r="3100">
      <c r="A3100">
        <f>IF(OR(出库明细!C2100="",出库明细!D2100=""),"",IF(OR(COUNTIFS(存条明细!$C$4:$C$1003,出库明细!C2100,存条明细!$D$4:$D$1003,出库明细!D2100)&gt;0,COUNTIFS(出库明细!$C$4:C2100,出库明细!C2100,出库明细!$D$4:D2100,出库明细!D2100)&gt;1),"",IFERROR(MATCH(出库明细!C2100,总览汇总!$B$5:$B$304,0),900)*10000000+IFERROR(MATCH(出库明细!D2100,基础资料!$E$5:$E$104,0),900)*10000+ROW()))</f>
      </c>
      <c r="F3100">
        <f>IF(AND(资金台帐!J103&lt;&gt;"",资金台帐!J103=客户对账单!$B$4,资金台帐!P103="应收",ISNUMBER(资金台帐!B103),资金台帐!B103&gt;=客户对账单!$G$4,资金台帐!B103&lt;=客户对账单!$I$4),资金台帐!B103+ROW()/100000,"")</f>
      </c>
      <c r="H3100">
        <f>IF(AND(资金台帐!K1603&lt;&gt;"",资金台帐!K1603=供应商对账单!$B$4,资金台帐!P1603="应付",ISNUMBER(资金台帐!B1603),资金台帐!B1603&gt;=供应商对账单!$G$4,资金台帐!B1603&lt;=供应商对账单!$I$4),资金台帐!B1603+ROW()/100000,"")</f>
      </c>
    </row>
    <row r="3101">
      <c r="A3101">
        <f>IF(OR(出库明细!C2101="",出库明细!D2101=""),"",IF(OR(COUNTIFS(存条明细!$C$4:$C$1003,出库明细!C2101,存条明细!$D$4:$D$1003,出库明细!D2101)&gt;0,COUNTIFS(出库明细!$C$4:C2101,出库明细!C2101,出库明细!$D$4:D2101,出库明细!D2101)&gt;1),"",IFERROR(MATCH(出库明细!C2101,总览汇总!$B$5:$B$304,0),900)*10000000+IFERROR(MATCH(出库明细!D2101,基础资料!$E$5:$E$104,0),900)*10000+ROW()))</f>
      </c>
      <c r="F3101">
        <f>IF(AND(资金台帐!J104&lt;&gt;"",资金台帐!J104=客户对账单!$B$4,资金台帐!P104="应收",ISNUMBER(资金台帐!B104),资金台帐!B104&gt;=客户对账单!$G$4,资金台帐!B104&lt;=客户对账单!$I$4),资金台帐!B104+ROW()/100000,"")</f>
      </c>
      <c r="H3101">
        <f>IF(AND(资金台帐!K1604&lt;&gt;"",资金台帐!K1604=供应商对账单!$B$4,资金台帐!P1604="应付",ISNUMBER(资金台帐!B1604),资金台帐!B1604&gt;=供应商对账单!$G$4,资金台帐!B1604&lt;=供应商对账单!$I$4),资金台帐!B1604+ROW()/100000,"")</f>
      </c>
    </row>
    <row r="3102">
      <c r="A3102">
        <f>IF(OR(出库明细!C2102="",出库明细!D2102=""),"",IF(OR(COUNTIFS(存条明细!$C$4:$C$1003,出库明细!C2102,存条明细!$D$4:$D$1003,出库明细!D2102)&gt;0,COUNTIFS(出库明细!$C$4:C2102,出库明细!C2102,出库明细!$D$4:D2102,出库明细!D2102)&gt;1),"",IFERROR(MATCH(出库明细!C2102,总览汇总!$B$5:$B$304,0),900)*10000000+IFERROR(MATCH(出库明细!D2102,基础资料!$E$5:$E$104,0),900)*10000+ROW()))</f>
      </c>
      <c r="F3102">
        <f>IF(AND(资金台帐!J105&lt;&gt;"",资金台帐!J105=客户对账单!$B$4,资金台帐!P105="应收",ISNUMBER(资金台帐!B105),资金台帐!B105&gt;=客户对账单!$G$4,资金台帐!B105&lt;=客户对账单!$I$4),资金台帐!B105+ROW()/100000,"")</f>
      </c>
      <c r="H3102">
        <f>IF(AND(资金台帐!K1605&lt;&gt;"",资金台帐!K1605=供应商对账单!$B$4,资金台帐!P1605="应付",ISNUMBER(资金台帐!B1605),资金台帐!B1605&gt;=供应商对账单!$G$4,资金台帐!B1605&lt;=供应商对账单!$I$4),资金台帐!B1605+ROW()/100000,"")</f>
      </c>
    </row>
    <row r="3103">
      <c r="A3103">
        <f>IF(OR(出库明细!C2103="",出库明细!D2103=""),"",IF(OR(COUNTIFS(存条明细!$C$4:$C$1003,出库明细!C2103,存条明细!$D$4:$D$1003,出库明细!D2103)&gt;0,COUNTIFS(出库明细!$C$4:C2103,出库明细!C2103,出库明细!$D$4:D2103,出库明细!D2103)&gt;1),"",IFERROR(MATCH(出库明细!C2103,总览汇总!$B$5:$B$304,0),900)*10000000+IFERROR(MATCH(出库明细!D2103,基础资料!$E$5:$E$104,0),900)*10000+ROW()))</f>
      </c>
      <c r="F3103">
        <f>IF(AND(资金台帐!J106&lt;&gt;"",资金台帐!J106=客户对账单!$B$4,资金台帐!P106="应收",ISNUMBER(资金台帐!B106),资金台帐!B106&gt;=客户对账单!$G$4,资金台帐!B106&lt;=客户对账单!$I$4),资金台帐!B106+ROW()/100000,"")</f>
      </c>
      <c r="H3103">
        <f>IF(AND(资金台帐!K1606&lt;&gt;"",资金台帐!K1606=供应商对账单!$B$4,资金台帐!P1606="应付",ISNUMBER(资金台帐!B1606),资金台帐!B1606&gt;=供应商对账单!$G$4,资金台帐!B1606&lt;=供应商对账单!$I$4),资金台帐!B1606+ROW()/100000,"")</f>
      </c>
    </row>
    <row r="3104">
      <c r="A3104">
        <f>IF(OR(出库明细!C2104="",出库明细!D2104=""),"",IF(OR(COUNTIFS(存条明细!$C$4:$C$1003,出库明细!C2104,存条明细!$D$4:$D$1003,出库明细!D2104)&gt;0,COUNTIFS(出库明细!$C$4:C2104,出库明细!C2104,出库明细!$D$4:D2104,出库明细!D2104)&gt;1),"",IFERROR(MATCH(出库明细!C2104,总览汇总!$B$5:$B$304,0),900)*10000000+IFERROR(MATCH(出库明细!D2104,基础资料!$E$5:$E$104,0),900)*10000+ROW()))</f>
      </c>
      <c r="F3104">
        <f>IF(AND(资金台帐!J107&lt;&gt;"",资金台帐!J107=客户对账单!$B$4,资金台帐!P107="应收",ISNUMBER(资金台帐!B107),资金台帐!B107&gt;=客户对账单!$G$4,资金台帐!B107&lt;=客户对账单!$I$4),资金台帐!B107+ROW()/100000,"")</f>
      </c>
      <c r="H3104">
        <f>IF(AND(资金台帐!K1607&lt;&gt;"",资金台帐!K1607=供应商对账单!$B$4,资金台帐!P1607="应付",ISNUMBER(资金台帐!B1607),资金台帐!B1607&gt;=供应商对账单!$G$4,资金台帐!B1607&lt;=供应商对账单!$I$4),资金台帐!B1607+ROW()/100000,"")</f>
      </c>
    </row>
    <row r="3105">
      <c r="A3105">
        <f>IF(OR(出库明细!C2105="",出库明细!D2105=""),"",IF(OR(COUNTIFS(存条明细!$C$4:$C$1003,出库明细!C2105,存条明细!$D$4:$D$1003,出库明细!D2105)&gt;0,COUNTIFS(出库明细!$C$4:C2105,出库明细!C2105,出库明细!$D$4:D2105,出库明细!D2105)&gt;1),"",IFERROR(MATCH(出库明细!C2105,总览汇总!$B$5:$B$304,0),900)*10000000+IFERROR(MATCH(出库明细!D2105,基础资料!$E$5:$E$104,0),900)*10000+ROW()))</f>
      </c>
      <c r="F3105">
        <f>IF(AND(资金台帐!J108&lt;&gt;"",资金台帐!J108=客户对账单!$B$4,资金台帐!P108="应收",ISNUMBER(资金台帐!B108),资金台帐!B108&gt;=客户对账单!$G$4,资金台帐!B108&lt;=客户对账单!$I$4),资金台帐!B108+ROW()/100000,"")</f>
      </c>
      <c r="H3105">
        <f>IF(AND(资金台帐!K1608&lt;&gt;"",资金台帐!K1608=供应商对账单!$B$4,资金台帐!P1608="应付",ISNUMBER(资金台帐!B1608),资金台帐!B1608&gt;=供应商对账单!$G$4,资金台帐!B1608&lt;=供应商对账单!$I$4),资金台帐!B1608+ROW()/100000,"")</f>
      </c>
    </row>
    <row r="3106">
      <c r="A3106">
        <f>IF(OR(出库明细!C2106="",出库明细!D2106=""),"",IF(OR(COUNTIFS(存条明细!$C$4:$C$1003,出库明细!C2106,存条明细!$D$4:$D$1003,出库明细!D2106)&gt;0,COUNTIFS(出库明细!$C$4:C2106,出库明细!C2106,出库明细!$D$4:D2106,出库明细!D2106)&gt;1),"",IFERROR(MATCH(出库明细!C2106,总览汇总!$B$5:$B$304,0),900)*10000000+IFERROR(MATCH(出库明细!D2106,基础资料!$E$5:$E$104,0),900)*10000+ROW()))</f>
      </c>
      <c r="F3106">
        <f>IF(AND(资金台帐!J109&lt;&gt;"",资金台帐!J109=客户对账单!$B$4,资金台帐!P109="应收",ISNUMBER(资金台帐!B109),资金台帐!B109&gt;=客户对账单!$G$4,资金台帐!B109&lt;=客户对账单!$I$4),资金台帐!B109+ROW()/100000,"")</f>
      </c>
      <c r="H3106">
        <f>IF(AND(资金台帐!K1609&lt;&gt;"",资金台帐!K1609=供应商对账单!$B$4,资金台帐!P1609="应付",ISNUMBER(资金台帐!B1609),资金台帐!B1609&gt;=供应商对账单!$G$4,资金台帐!B1609&lt;=供应商对账单!$I$4),资金台帐!B1609+ROW()/100000,"")</f>
      </c>
    </row>
    <row r="3107">
      <c r="A3107">
        <f>IF(OR(出库明细!C2107="",出库明细!D2107=""),"",IF(OR(COUNTIFS(存条明细!$C$4:$C$1003,出库明细!C2107,存条明细!$D$4:$D$1003,出库明细!D2107)&gt;0,COUNTIFS(出库明细!$C$4:C2107,出库明细!C2107,出库明细!$D$4:D2107,出库明细!D2107)&gt;1),"",IFERROR(MATCH(出库明细!C2107,总览汇总!$B$5:$B$304,0),900)*10000000+IFERROR(MATCH(出库明细!D2107,基础资料!$E$5:$E$104,0),900)*10000+ROW()))</f>
      </c>
      <c r="F3107">
        <f>IF(AND(资金台帐!J110&lt;&gt;"",资金台帐!J110=客户对账单!$B$4,资金台帐!P110="应收",ISNUMBER(资金台帐!B110),资金台帐!B110&gt;=客户对账单!$G$4,资金台帐!B110&lt;=客户对账单!$I$4),资金台帐!B110+ROW()/100000,"")</f>
      </c>
      <c r="H3107">
        <f>IF(AND(资金台帐!K1610&lt;&gt;"",资金台帐!K1610=供应商对账单!$B$4,资金台帐!P1610="应付",ISNUMBER(资金台帐!B1610),资金台帐!B1610&gt;=供应商对账单!$G$4,资金台帐!B1610&lt;=供应商对账单!$I$4),资金台帐!B1610+ROW()/100000,"")</f>
      </c>
    </row>
    <row r="3108">
      <c r="A3108">
        <f>IF(OR(出库明细!C2108="",出库明细!D2108=""),"",IF(OR(COUNTIFS(存条明细!$C$4:$C$1003,出库明细!C2108,存条明细!$D$4:$D$1003,出库明细!D2108)&gt;0,COUNTIFS(出库明细!$C$4:C2108,出库明细!C2108,出库明细!$D$4:D2108,出库明细!D2108)&gt;1),"",IFERROR(MATCH(出库明细!C2108,总览汇总!$B$5:$B$304,0),900)*10000000+IFERROR(MATCH(出库明细!D2108,基础资料!$E$5:$E$104,0),900)*10000+ROW()))</f>
      </c>
      <c r="F3108">
        <f>IF(AND(资金台帐!J111&lt;&gt;"",资金台帐!J111=客户对账单!$B$4,资金台帐!P111="应收",ISNUMBER(资金台帐!B111),资金台帐!B111&gt;=客户对账单!$G$4,资金台帐!B111&lt;=客户对账单!$I$4),资金台帐!B111+ROW()/100000,"")</f>
      </c>
      <c r="H3108">
        <f>IF(AND(资金台帐!K1611&lt;&gt;"",资金台帐!K1611=供应商对账单!$B$4,资金台帐!P1611="应付",ISNUMBER(资金台帐!B1611),资金台帐!B1611&gt;=供应商对账单!$G$4,资金台帐!B1611&lt;=供应商对账单!$I$4),资金台帐!B1611+ROW()/100000,"")</f>
      </c>
    </row>
    <row r="3109">
      <c r="A3109">
        <f>IF(OR(出库明细!C2109="",出库明细!D2109=""),"",IF(OR(COUNTIFS(存条明细!$C$4:$C$1003,出库明细!C2109,存条明细!$D$4:$D$1003,出库明细!D2109)&gt;0,COUNTIFS(出库明细!$C$4:C2109,出库明细!C2109,出库明细!$D$4:D2109,出库明细!D2109)&gt;1),"",IFERROR(MATCH(出库明细!C2109,总览汇总!$B$5:$B$304,0),900)*10000000+IFERROR(MATCH(出库明细!D2109,基础资料!$E$5:$E$104,0),900)*10000+ROW()))</f>
      </c>
      <c r="F3109">
        <f>IF(AND(资金台帐!J112&lt;&gt;"",资金台帐!J112=客户对账单!$B$4,资金台帐!P112="应收",ISNUMBER(资金台帐!B112),资金台帐!B112&gt;=客户对账单!$G$4,资金台帐!B112&lt;=客户对账单!$I$4),资金台帐!B112+ROW()/100000,"")</f>
      </c>
      <c r="H3109">
        <f>IF(AND(资金台帐!K1612&lt;&gt;"",资金台帐!K1612=供应商对账单!$B$4,资金台帐!P1612="应付",ISNUMBER(资金台帐!B1612),资金台帐!B1612&gt;=供应商对账单!$G$4,资金台帐!B1612&lt;=供应商对账单!$I$4),资金台帐!B1612+ROW()/100000,"")</f>
      </c>
    </row>
    <row r="3110">
      <c r="A3110">
        <f>IF(OR(出库明细!C2110="",出库明细!D2110=""),"",IF(OR(COUNTIFS(存条明细!$C$4:$C$1003,出库明细!C2110,存条明细!$D$4:$D$1003,出库明细!D2110)&gt;0,COUNTIFS(出库明细!$C$4:C2110,出库明细!C2110,出库明细!$D$4:D2110,出库明细!D2110)&gt;1),"",IFERROR(MATCH(出库明细!C2110,总览汇总!$B$5:$B$304,0),900)*10000000+IFERROR(MATCH(出库明细!D2110,基础资料!$E$5:$E$104,0),900)*10000+ROW()))</f>
      </c>
      <c r="F3110">
        <f>IF(AND(资金台帐!J113&lt;&gt;"",资金台帐!J113=客户对账单!$B$4,资金台帐!P113="应收",ISNUMBER(资金台帐!B113),资金台帐!B113&gt;=客户对账单!$G$4,资金台帐!B113&lt;=客户对账单!$I$4),资金台帐!B113+ROW()/100000,"")</f>
      </c>
      <c r="H3110">
        <f>IF(AND(资金台帐!K1613&lt;&gt;"",资金台帐!K1613=供应商对账单!$B$4,资金台帐!P1613="应付",ISNUMBER(资金台帐!B1613),资金台帐!B1613&gt;=供应商对账单!$G$4,资金台帐!B1613&lt;=供应商对账单!$I$4),资金台帐!B1613+ROW()/100000,"")</f>
      </c>
    </row>
    <row r="3111">
      <c r="A3111">
        <f>IF(OR(出库明细!C2111="",出库明细!D2111=""),"",IF(OR(COUNTIFS(存条明细!$C$4:$C$1003,出库明细!C2111,存条明细!$D$4:$D$1003,出库明细!D2111)&gt;0,COUNTIFS(出库明细!$C$4:C2111,出库明细!C2111,出库明细!$D$4:D2111,出库明细!D2111)&gt;1),"",IFERROR(MATCH(出库明细!C2111,总览汇总!$B$5:$B$304,0),900)*10000000+IFERROR(MATCH(出库明细!D2111,基础资料!$E$5:$E$104,0),900)*10000+ROW()))</f>
      </c>
      <c r="F3111">
        <f>IF(AND(资金台帐!J114&lt;&gt;"",资金台帐!J114=客户对账单!$B$4,资金台帐!P114="应收",ISNUMBER(资金台帐!B114),资金台帐!B114&gt;=客户对账单!$G$4,资金台帐!B114&lt;=客户对账单!$I$4),资金台帐!B114+ROW()/100000,"")</f>
      </c>
      <c r="H3111">
        <f>IF(AND(资金台帐!K1614&lt;&gt;"",资金台帐!K1614=供应商对账单!$B$4,资金台帐!P1614="应付",ISNUMBER(资金台帐!B1614),资金台帐!B1614&gt;=供应商对账单!$G$4,资金台帐!B1614&lt;=供应商对账单!$I$4),资金台帐!B1614+ROW()/100000,"")</f>
      </c>
    </row>
    <row r="3112">
      <c r="A3112">
        <f>IF(OR(出库明细!C2112="",出库明细!D2112=""),"",IF(OR(COUNTIFS(存条明细!$C$4:$C$1003,出库明细!C2112,存条明细!$D$4:$D$1003,出库明细!D2112)&gt;0,COUNTIFS(出库明细!$C$4:C2112,出库明细!C2112,出库明细!$D$4:D2112,出库明细!D2112)&gt;1),"",IFERROR(MATCH(出库明细!C2112,总览汇总!$B$5:$B$304,0),900)*10000000+IFERROR(MATCH(出库明细!D2112,基础资料!$E$5:$E$104,0),900)*10000+ROW()))</f>
      </c>
      <c r="F3112">
        <f>IF(AND(资金台帐!J115&lt;&gt;"",资金台帐!J115=客户对账单!$B$4,资金台帐!P115="应收",ISNUMBER(资金台帐!B115),资金台帐!B115&gt;=客户对账单!$G$4,资金台帐!B115&lt;=客户对账单!$I$4),资金台帐!B115+ROW()/100000,"")</f>
      </c>
      <c r="H3112">
        <f>IF(AND(资金台帐!K1615&lt;&gt;"",资金台帐!K1615=供应商对账单!$B$4,资金台帐!P1615="应付",ISNUMBER(资金台帐!B1615),资金台帐!B1615&gt;=供应商对账单!$G$4,资金台帐!B1615&lt;=供应商对账单!$I$4),资金台帐!B1615+ROW()/100000,"")</f>
      </c>
    </row>
    <row r="3113">
      <c r="A3113">
        <f>IF(OR(出库明细!C2113="",出库明细!D2113=""),"",IF(OR(COUNTIFS(存条明细!$C$4:$C$1003,出库明细!C2113,存条明细!$D$4:$D$1003,出库明细!D2113)&gt;0,COUNTIFS(出库明细!$C$4:C2113,出库明细!C2113,出库明细!$D$4:D2113,出库明细!D2113)&gt;1),"",IFERROR(MATCH(出库明细!C2113,总览汇总!$B$5:$B$304,0),900)*10000000+IFERROR(MATCH(出库明细!D2113,基础资料!$E$5:$E$104,0),900)*10000+ROW()))</f>
      </c>
      <c r="F3113">
        <f>IF(AND(资金台帐!J116&lt;&gt;"",资金台帐!J116=客户对账单!$B$4,资金台帐!P116="应收",ISNUMBER(资金台帐!B116),资金台帐!B116&gt;=客户对账单!$G$4,资金台帐!B116&lt;=客户对账单!$I$4),资金台帐!B116+ROW()/100000,"")</f>
      </c>
      <c r="H3113">
        <f>IF(AND(资金台帐!K1616&lt;&gt;"",资金台帐!K1616=供应商对账单!$B$4,资金台帐!P1616="应付",ISNUMBER(资金台帐!B1616),资金台帐!B1616&gt;=供应商对账单!$G$4,资金台帐!B1616&lt;=供应商对账单!$I$4),资金台帐!B1616+ROW()/100000,"")</f>
      </c>
    </row>
    <row r="3114">
      <c r="A3114">
        <f>IF(OR(出库明细!C2114="",出库明细!D2114=""),"",IF(OR(COUNTIFS(存条明细!$C$4:$C$1003,出库明细!C2114,存条明细!$D$4:$D$1003,出库明细!D2114)&gt;0,COUNTIFS(出库明细!$C$4:C2114,出库明细!C2114,出库明细!$D$4:D2114,出库明细!D2114)&gt;1),"",IFERROR(MATCH(出库明细!C2114,总览汇总!$B$5:$B$304,0),900)*10000000+IFERROR(MATCH(出库明细!D2114,基础资料!$E$5:$E$104,0),900)*10000+ROW()))</f>
      </c>
      <c r="F3114">
        <f>IF(AND(资金台帐!J117&lt;&gt;"",资金台帐!J117=客户对账单!$B$4,资金台帐!P117="应收",ISNUMBER(资金台帐!B117),资金台帐!B117&gt;=客户对账单!$G$4,资金台帐!B117&lt;=客户对账单!$I$4),资金台帐!B117+ROW()/100000,"")</f>
      </c>
      <c r="H3114">
        <f>IF(AND(资金台帐!K1617&lt;&gt;"",资金台帐!K1617=供应商对账单!$B$4,资金台帐!P1617="应付",ISNUMBER(资金台帐!B1617),资金台帐!B1617&gt;=供应商对账单!$G$4,资金台帐!B1617&lt;=供应商对账单!$I$4),资金台帐!B1617+ROW()/100000,"")</f>
      </c>
    </row>
    <row r="3115">
      <c r="A3115">
        <f>IF(OR(出库明细!C2115="",出库明细!D2115=""),"",IF(OR(COUNTIFS(存条明细!$C$4:$C$1003,出库明细!C2115,存条明细!$D$4:$D$1003,出库明细!D2115)&gt;0,COUNTIFS(出库明细!$C$4:C2115,出库明细!C2115,出库明细!$D$4:D2115,出库明细!D2115)&gt;1),"",IFERROR(MATCH(出库明细!C2115,总览汇总!$B$5:$B$304,0),900)*10000000+IFERROR(MATCH(出库明细!D2115,基础资料!$E$5:$E$104,0),900)*10000+ROW()))</f>
      </c>
      <c r="F3115">
        <f>IF(AND(资金台帐!J118&lt;&gt;"",资金台帐!J118=客户对账单!$B$4,资金台帐!P118="应收",ISNUMBER(资金台帐!B118),资金台帐!B118&gt;=客户对账单!$G$4,资金台帐!B118&lt;=客户对账单!$I$4),资金台帐!B118+ROW()/100000,"")</f>
      </c>
      <c r="H3115">
        <f>IF(AND(资金台帐!K1618&lt;&gt;"",资金台帐!K1618=供应商对账单!$B$4,资金台帐!P1618="应付",ISNUMBER(资金台帐!B1618),资金台帐!B1618&gt;=供应商对账单!$G$4,资金台帐!B1618&lt;=供应商对账单!$I$4),资金台帐!B1618+ROW()/100000,"")</f>
      </c>
    </row>
    <row r="3116">
      <c r="A3116">
        <f>IF(OR(出库明细!C2116="",出库明细!D2116=""),"",IF(OR(COUNTIFS(存条明细!$C$4:$C$1003,出库明细!C2116,存条明细!$D$4:$D$1003,出库明细!D2116)&gt;0,COUNTIFS(出库明细!$C$4:C2116,出库明细!C2116,出库明细!$D$4:D2116,出库明细!D2116)&gt;1),"",IFERROR(MATCH(出库明细!C2116,总览汇总!$B$5:$B$304,0),900)*10000000+IFERROR(MATCH(出库明细!D2116,基础资料!$E$5:$E$104,0),900)*10000+ROW()))</f>
      </c>
      <c r="F3116">
        <f>IF(AND(资金台帐!J119&lt;&gt;"",资金台帐!J119=客户对账单!$B$4,资金台帐!P119="应收",ISNUMBER(资金台帐!B119),资金台帐!B119&gt;=客户对账单!$G$4,资金台帐!B119&lt;=客户对账单!$I$4),资金台帐!B119+ROW()/100000,"")</f>
      </c>
      <c r="H3116">
        <f>IF(AND(资金台帐!K1619&lt;&gt;"",资金台帐!K1619=供应商对账单!$B$4,资金台帐!P1619="应付",ISNUMBER(资金台帐!B1619),资金台帐!B1619&gt;=供应商对账单!$G$4,资金台帐!B1619&lt;=供应商对账单!$I$4),资金台帐!B1619+ROW()/100000,"")</f>
      </c>
    </row>
    <row r="3117">
      <c r="A3117">
        <f>IF(OR(出库明细!C2117="",出库明细!D2117=""),"",IF(OR(COUNTIFS(存条明细!$C$4:$C$1003,出库明细!C2117,存条明细!$D$4:$D$1003,出库明细!D2117)&gt;0,COUNTIFS(出库明细!$C$4:C2117,出库明细!C2117,出库明细!$D$4:D2117,出库明细!D2117)&gt;1),"",IFERROR(MATCH(出库明细!C2117,总览汇总!$B$5:$B$304,0),900)*10000000+IFERROR(MATCH(出库明细!D2117,基础资料!$E$5:$E$104,0),900)*10000+ROW()))</f>
      </c>
      <c r="F3117">
        <f>IF(AND(资金台帐!J120&lt;&gt;"",资金台帐!J120=客户对账单!$B$4,资金台帐!P120="应收",ISNUMBER(资金台帐!B120),资金台帐!B120&gt;=客户对账单!$G$4,资金台帐!B120&lt;=客户对账单!$I$4),资金台帐!B120+ROW()/100000,"")</f>
      </c>
      <c r="H3117">
        <f>IF(AND(资金台帐!K1620&lt;&gt;"",资金台帐!K1620=供应商对账单!$B$4,资金台帐!P1620="应付",ISNUMBER(资金台帐!B1620),资金台帐!B1620&gt;=供应商对账单!$G$4,资金台帐!B1620&lt;=供应商对账单!$I$4),资金台帐!B1620+ROW()/100000,"")</f>
      </c>
    </row>
    <row r="3118">
      <c r="A3118">
        <f>IF(OR(出库明细!C2118="",出库明细!D2118=""),"",IF(OR(COUNTIFS(存条明细!$C$4:$C$1003,出库明细!C2118,存条明细!$D$4:$D$1003,出库明细!D2118)&gt;0,COUNTIFS(出库明细!$C$4:C2118,出库明细!C2118,出库明细!$D$4:D2118,出库明细!D2118)&gt;1),"",IFERROR(MATCH(出库明细!C2118,总览汇总!$B$5:$B$304,0),900)*10000000+IFERROR(MATCH(出库明细!D2118,基础资料!$E$5:$E$104,0),900)*10000+ROW()))</f>
      </c>
      <c r="F3118">
        <f>IF(AND(资金台帐!J121&lt;&gt;"",资金台帐!J121=客户对账单!$B$4,资金台帐!P121="应收",ISNUMBER(资金台帐!B121),资金台帐!B121&gt;=客户对账单!$G$4,资金台帐!B121&lt;=客户对账单!$I$4),资金台帐!B121+ROW()/100000,"")</f>
      </c>
      <c r="H3118">
        <f>IF(AND(资金台帐!K1621&lt;&gt;"",资金台帐!K1621=供应商对账单!$B$4,资金台帐!P1621="应付",ISNUMBER(资金台帐!B1621),资金台帐!B1621&gt;=供应商对账单!$G$4,资金台帐!B1621&lt;=供应商对账单!$I$4),资金台帐!B1621+ROW()/100000,"")</f>
      </c>
    </row>
    <row r="3119">
      <c r="A3119">
        <f>IF(OR(出库明细!C2119="",出库明细!D2119=""),"",IF(OR(COUNTIFS(存条明细!$C$4:$C$1003,出库明细!C2119,存条明细!$D$4:$D$1003,出库明细!D2119)&gt;0,COUNTIFS(出库明细!$C$4:C2119,出库明细!C2119,出库明细!$D$4:D2119,出库明细!D2119)&gt;1),"",IFERROR(MATCH(出库明细!C2119,总览汇总!$B$5:$B$304,0),900)*10000000+IFERROR(MATCH(出库明细!D2119,基础资料!$E$5:$E$104,0),900)*10000+ROW()))</f>
      </c>
      <c r="F3119">
        <f>IF(AND(资金台帐!J122&lt;&gt;"",资金台帐!J122=客户对账单!$B$4,资金台帐!P122="应收",ISNUMBER(资金台帐!B122),资金台帐!B122&gt;=客户对账单!$G$4,资金台帐!B122&lt;=客户对账单!$I$4),资金台帐!B122+ROW()/100000,"")</f>
      </c>
      <c r="H3119">
        <f>IF(AND(资金台帐!K1622&lt;&gt;"",资金台帐!K1622=供应商对账单!$B$4,资金台帐!P1622="应付",ISNUMBER(资金台帐!B1622),资金台帐!B1622&gt;=供应商对账单!$G$4,资金台帐!B1622&lt;=供应商对账单!$I$4),资金台帐!B1622+ROW()/100000,"")</f>
      </c>
    </row>
    <row r="3120">
      <c r="A3120">
        <f>IF(OR(出库明细!C2120="",出库明细!D2120=""),"",IF(OR(COUNTIFS(存条明细!$C$4:$C$1003,出库明细!C2120,存条明细!$D$4:$D$1003,出库明细!D2120)&gt;0,COUNTIFS(出库明细!$C$4:C2120,出库明细!C2120,出库明细!$D$4:D2120,出库明细!D2120)&gt;1),"",IFERROR(MATCH(出库明细!C2120,总览汇总!$B$5:$B$304,0),900)*10000000+IFERROR(MATCH(出库明细!D2120,基础资料!$E$5:$E$104,0),900)*10000+ROW()))</f>
      </c>
      <c r="F3120">
        <f>IF(AND(资金台帐!J123&lt;&gt;"",资金台帐!J123=客户对账单!$B$4,资金台帐!P123="应收",ISNUMBER(资金台帐!B123),资金台帐!B123&gt;=客户对账单!$G$4,资金台帐!B123&lt;=客户对账单!$I$4),资金台帐!B123+ROW()/100000,"")</f>
      </c>
      <c r="H3120">
        <f>IF(AND(资金台帐!K1623&lt;&gt;"",资金台帐!K1623=供应商对账单!$B$4,资金台帐!P1623="应付",ISNUMBER(资金台帐!B1623),资金台帐!B1623&gt;=供应商对账单!$G$4,资金台帐!B1623&lt;=供应商对账单!$I$4),资金台帐!B1623+ROW()/100000,"")</f>
      </c>
    </row>
    <row r="3121">
      <c r="A3121">
        <f>IF(OR(出库明细!C2121="",出库明细!D2121=""),"",IF(OR(COUNTIFS(存条明细!$C$4:$C$1003,出库明细!C2121,存条明细!$D$4:$D$1003,出库明细!D2121)&gt;0,COUNTIFS(出库明细!$C$4:C2121,出库明细!C2121,出库明细!$D$4:D2121,出库明细!D2121)&gt;1),"",IFERROR(MATCH(出库明细!C2121,总览汇总!$B$5:$B$304,0),900)*10000000+IFERROR(MATCH(出库明细!D2121,基础资料!$E$5:$E$104,0),900)*10000+ROW()))</f>
      </c>
      <c r="F3121">
        <f>IF(AND(资金台帐!J124&lt;&gt;"",资金台帐!J124=客户对账单!$B$4,资金台帐!P124="应收",ISNUMBER(资金台帐!B124),资金台帐!B124&gt;=客户对账单!$G$4,资金台帐!B124&lt;=客户对账单!$I$4),资金台帐!B124+ROW()/100000,"")</f>
      </c>
      <c r="H3121">
        <f>IF(AND(资金台帐!K1624&lt;&gt;"",资金台帐!K1624=供应商对账单!$B$4,资金台帐!P1624="应付",ISNUMBER(资金台帐!B1624),资金台帐!B1624&gt;=供应商对账单!$G$4,资金台帐!B1624&lt;=供应商对账单!$I$4),资金台帐!B1624+ROW()/100000,"")</f>
      </c>
    </row>
    <row r="3122">
      <c r="A3122">
        <f>IF(OR(出库明细!C2122="",出库明细!D2122=""),"",IF(OR(COUNTIFS(存条明细!$C$4:$C$1003,出库明细!C2122,存条明细!$D$4:$D$1003,出库明细!D2122)&gt;0,COUNTIFS(出库明细!$C$4:C2122,出库明细!C2122,出库明细!$D$4:D2122,出库明细!D2122)&gt;1),"",IFERROR(MATCH(出库明细!C2122,总览汇总!$B$5:$B$304,0),900)*10000000+IFERROR(MATCH(出库明细!D2122,基础资料!$E$5:$E$104,0),900)*10000+ROW()))</f>
      </c>
      <c r="F3122">
        <f>IF(AND(资金台帐!J125&lt;&gt;"",资金台帐!J125=客户对账单!$B$4,资金台帐!P125="应收",ISNUMBER(资金台帐!B125),资金台帐!B125&gt;=客户对账单!$G$4,资金台帐!B125&lt;=客户对账单!$I$4),资金台帐!B125+ROW()/100000,"")</f>
      </c>
      <c r="H3122">
        <f>IF(AND(资金台帐!K1625&lt;&gt;"",资金台帐!K1625=供应商对账单!$B$4,资金台帐!P1625="应付",ISNUMBER(资金台帐!B1625),资金台帐!B1625&gt;=供应商对账单!$G$4,资金台帐!B1625&lt;=供应商对账单!$I$4),资金台帐!B1625+ROW()/100000,"")</f>
      </c>
    </row>
    <row r="3123">
      <c r="A3123">
        <f>IF(OR(出库明细!C2123="",出库明细!D2123=""),"",IF(OR(COUNTIFS(存条明细!$C$4:$C$1003,出库明细!C2123,存条明细!$D$4:$D$1003,出库明细!D2123)&gt;0,COUNTIFS(出库明细!$C$4:C2123,出库明细!C2123,出库明细!$D$4:D2123,出库明细!D2123)&gt;1),"",IFERROR(MATCH(出库明细!C2123,总览汇总!$B$5:$B$304,0),900)*10000000+IFERROR(MATCH(出库明细!D2123,基础资料!$E$5:$E$104,0),900)*10000+ROW()))</f>
      </c>
      <c r="F3123">
        <f>IF(AND(资金台帐!J126&lt;&gt;"",资金台帐!J126=客户对账单!$B$4,资金台帐!P126="应收",ISNUMBER(资金台帐!B126),资金台帐!B126&gt;=客户对账单!$G$4,资金台帐!B126&lt;=客户对账单!$I$4),资金台帐!B126+ROW()/100000,"")</f>
      </c>
      <c r="H3123">
        <f>IF(AND(资金台帐!K1626&lt;&gt;"",资金台帐!K1626=供应商对账单!$B$4,资金台帐!P1626="应付",ISNUMBER(资金台帐!B1626),资金台帐!B1626&gt;=供应商对账单!$G$4,资金台帐!B1626&lt;=供应商对账单!$I$4),资金台帐!B1626+ROW()/100000,"")</f>
      </c>
    </row>
    <row r="3124">
      <c r="A3124">
        <f>IF(OR(出库明细!C2124="",出库明细!D2124=""),"",IF(OR(COUNTIFS(存条明细!$C$4:$C$1003,出库明细!C2124,存条明细!$D$4:$D$1003,出库明细!D2124)&gt;0,COUNTIFS(出库明细!$C$4:C2124,出库明细!C2124,出库明细!$D$4:D2124,出库明细!D2124)&gt;1),"",IFERROR(MATCH(出库明细!C2124,总览汇总!$B$5:$B$304,0),900)*10000000+IFERROR(MATCH(出库明细!D2124,基础资料!$E$5:$E$104,0),900)*10000+ROW()))</f>
      </c>
      <c r="F3124">
        <f>IF(AND(资金台帐!J127&lt;&gt;"",资金台帐!J127=客户对账单!$B$4,资金台帐!P127="应收",ISNUMBER(资金台帐!B127),资金台帐!B127&gt;=客户对账单!$G$4,资金台帐!B127&lt;=客户对账单!$I$4),资金台帐!B127+ROW()/100000,"")</f>
      </c>
      <c r="H3124">
        <f>IF(AND(资金台帐!K1627&lt;&gt;"",资金台帐!K1627=供应商对账单!$B$4,资金台帐!P1627="应付",ISNUMBER(资金台帐!B1627),资金台帐!B1627&gt;=供应商对账单!$G$4,资金台帐!B1627&lt;=供应商对账单!$I$4),资金台帐!B1627+ROW()/100000,"")</f>
      </c>
    </row>
    <row r="3125">
      <c r="A3125">
        <f>IF(OR(出库明细!C2125="",出库明细!D2125=""),"",IF(OR(COUNTIFS(存条明细!$C$4:$C$1003,出库明细!C2125,存条明细!$D$4:$D$1003,出库明细!D2125)&gt;0,COUNTIFS(出库明细!$C$4:C2125,出库明细!C2125,出库明细!$D$4:D2125,出库明细!D2125)&gt;1),"",IFERROR(MATCH(出库明细!C2125,总览汇总!$B$5:$B$304,0),900)*10000000+IFERROR(MATCH(出库明细!D2125,基础资料!$E$5:$E$104,0),900)*10000+ROW()))</f>
      </c>
      <c r="F3125">
        <f>IF(AND(资金台帐!J128&lt;&gt;"",资金台帐!J128=客户对账单!$B$4,资金台帐!P128="应收",ISNUMBER(资金台帐!B128),资金台帐!B128&gt;=客户对账单!$G$4,资金台帐!B128&lt;=客户对账单!$I$4),资金台帐!B128+ROW()/100000,"")</f>
      </c>
      <c r="H3125">
        <f>IF(AND(资金台帐!K1628&lt;&gt;"",资金台帐!K1628=供应商对账单!$B$4,资金台帐!P1628="应付",ISNUMBER(资金台帐!B1628),资金台帐!B1628&gt;=供应商对账单!$G$4,资金台帐!B1628&lt;=供应商对账单!$I$4),资金台帐!B1628+ROW()/100000,"")</f>
      </c>
    </row>
    <row r="3126">
      <c r="A3126">
        <f>IF(OR(出库明细!C2126="",出库明细!D2126=""),"",IF(OR(COUNTIFS(存条明细!$C$4:$C$1003,出库明细!C2126,存条明细!$D$4:$D$1003,出库明细!D2126)&gt;0,COUNTIFS(出库明细!$C$4:C2126,出库明细!C2126,出库明细!$D$4:D2126,出库明细!D2126)&gt;1),"",IFERROR(MATCH(出库明细!C2126,总览汇总!$B$5:$B$304,0),900)*10000000+IFERROR(MATCH(出库明细!D2126,基础资料!$E$5:$E$104,0),900)*10000+ROW()))</f>
      </c>
      <c r="F3126">
        <f>IF(AND(资金台帐!J129&lt;&gt;"",资金台帐!J129=客户对账单!$B$4,资金台帐!P129="应收",ISNUMBER(资金台帐!B129),资金台帐!B129&gt;=客户对账单!$G$4,资金台帐!B129&lt;=客户对账单!$I$4),资金台帐!B129+ROW()/100000,"")</f>
      </c>
      <c r="H3126">
        <f>IF(AND(资金台帐!K1629&lt;&gt;"",资金台帐!K1629=供应商对账单!$B$4,资金台帐!P1629="应付",ISNUMBER(资金台帐!B1629),资金台帐!B1629&gt;=供应商对账单!$G$4,资金台帐!B1629&lt;=供应商对账单!$I$4),资金台帐!B1629+ROW()/100000,"")</f>
      </c>
    </row>
    <row r="3127">
      <c r="A3127">
        <f>IF(OR(出库明细!C2127="",出库明细!D2127=""),"",IF(OR(COUNTIFS(存条明细!$C$4:$C$1003,出库明细!C2127,存条明细!$D$4:$D$1003,出库明细!D2127)&gt;0,COUNTIFS(出库明细!$C$4:C2127,出库明细!C2127,出库明细!$D$4:D2127,出库明细!D2127)&gt;1),"",IFERROR(MATCH(出库明细!C2127,总览汇总!$B$5:$B$304,0),900)*10000000+IFERROR(MATCH(出库明细!D2127,基础资料!$E$5:$E$104,0),900)*10000+ROW()))</f>
      </c>
      <c r="F3127">
        <f>IF(AND(资金台帐!J130&lt;&gt;"",资金台帐!J130=客户对账单!$B$4,资金台帐!P130="应收",ISNUMBER(资金台帐!B130),资金台帐!B130&gt;=客户对账单!$G$4,资金台帐!B130&lt;=客户对账单!$I$4),资金台帐!B130+ROW()/100000,"")</f>
      </c>
      <c r="H3127">
        <f>IF(AND(资金台帐!K1630&lt;&gt;"",资金台帐!K1630=供应商对账单!$B$4,资金台帐!P1630="应付",ISNUMBER(资金台帐!B1630),资金台帐!B1630&gt;=供应商对账单!$G$4,资金台帐!B1630&lt;=供应商对账单!$I$4),资金台帐!B1630+ROW()/100000,"")</f>
      </c>
    </row>
    <row r="3128">
      <c r="A3128">
        <f>IF(OR(出库明细!C2128="",出库明细!D2128=""),"",IF(OR(COUNTIFS(存条明细!$C$4:$C$1003,出库明细!C2128,存条明细!$D$4:$D$1003,出库明细!D2128)&gt;0,COUNTIFS(出库明细!$C$4:C2128,出库明细!C2128,出库明细!$D$4:D2128,出库明细!D2128)&gt;1),"",IFERROR(MATCH(出库明细!C2128,总览汇总!$B$5:$B$304,0),900)*10000000+IFERROR(MATCH(出库明细!D2128,基础资料!$E$5:$E$104,0),900)*10000+ROW()))</f>
      </c>
      <c r="F3128">
        <f>IF(AND(资金台帐!J131&lt;&gt;"",资金台帐!J131=客户对账单!$B$4,资金台帐!P131="应收",ISNUMBER(资金台帐!B131),资金台帐!B131&gt;=客户对账单!$G$4,资金台帐!B131&lt;=客户对账单!$I$4),资金台帐!B131+ROW()/100000,"")</f>
      </c>
      <c r="H3128">
        <f>IF(AND(资金台帐!K1631&lt;&gt;"",资金台帐!K1631=供应商对账单!$B$4,资金台帐!P1631="应付",ISNUMBER(资金台帐!B1631),资金台帐!B1631&gt;=供应商对账单!$G$4,资金台帐!B1631&lt;=供应商对账单!$I$4),资金台帐!B1631+ROW()/100000,"")</f>
      </c>
    </row>
    <row r="3129">
      <c r="A3129">
        <f>IF(OR(出库明细!C2129="",出库明细!D2129=""),"",IF(OR(COUNTIFS(存条明细!$C$4:$C$1003,出库明细!C2129,存条明细!$D$4:$D$1003,出库明细!D2129)&gt;0,COUNTIFS(出库明细!$C$4:C2129,出库明细!C2129,出库明细!$D$4:D2129,出库明细!D2129)&gt;1),"",IFERROR(MATCH(出库明细!C2129,总览汇总!$B$5:$B$304,0),900)*10000000+IFERROR(MATCH(出库明细!D2129,基础资料!$E$5:$E$104,0),900)*10000+ROW()))</f>
      </c>
      <c r="F3129">
        <f>IF(AND(资金台帐!J132&lt;&gt;"",资金台帐!J132=客户对账单!$B$4,资金台帐!P132="应收",ISNUMBER(资金台帐!B132),资金台帐!B132&gt;=客户对账单!$G$4,资金台帐!B132&lt;=客户对账单!$I$4),资金台帐!B132+ROW()/100000,"")</f>
      </c>
      <c r="H3129">
        <f>IF(AND(资金台帐!K1632&lt;&gt;"",资金台帐!K1632=供应商对账单!$B$4,资金台帐!P1632="应付",ISNUMBER(资金台帐!B1632),资金台帐!B1632&gt;=供应商对账单!$G$4,资金台帐!B1632&lt;=供应商对账单!$I$4),资金台帐!B1632+ROW()/100000,"")</f>
      </c>
    </row>
    <row r="3130">
      <c r="A3130">
        <f>IF(OR(出库明细!C2130="",出库明细!D2130=""),"",IF(OR(COUNTIFS(存条明细!$C$4:$C$1003,出库明细!C2130,存条明细!$D$4:$D$1003,出库明细!D2130)&gt;0,COUNTIFS(出库明细!$C$4:C2130,出库明细!C2130,出库明细!$D$4:D2130,出库明细!D2130)&gt;1),"",IFERROR(MATCH(出库明细!C2130,总览汇总!$B$5:$B$304,0),900)*10000000+IFERROR(MATCH(出库明细!D2130,基础资料!$E$5:$E$104,0),900)*10000+ROW()))</f>
      </c>
      <c r="F3130">
        <f>IF(AND(资金台帐!J133&lt;&gt;"",资金台帐!J133=客户对账单!$B$4,资金台帐!P133="应收",ISNUMBER(资金台帐!B133),资金台帐!B133&gt;=客户对账单!$G$4,资金台帐!B133&lt;=客户对账单!$I$4),资金台帐!B133+ROW()/100000,"")</f>
      </c>
      <c r="H3130">
        <f>IF(AND(资金台帐!K1633&lt;&gt;"",资金台帐!K1633=供应商对账单!$B$4,资金台帐!P1633="应付",ISNUMBER(资金台帐!B1633),资金台帐!B1633&gt;=供应商对账单!$G$4,资金台帐!B1633&lt;=供应商对账单!$I$4),资金台帐!B1633+ROW()/100000,"")</f>
      </c>
    </row>
    <row r="3131">
      <c r="A3131">
        <f>IF(OR(出库明细!C2131="",出库明细!D2131=""),"",IF(OR(COUNTIFS(存条明细!$C$4:$C$1003,出库明细!C2131,存条明细!$D$4:$D$1003,出库明细!D2131)&gt;0,COUNTIFS(出库明细!$C$4:C2131,出库明细!C2131,出库明细!$D$4:D2131,出库明细!D2131)&gt;1),"",IFERROR(MATCH(出库明细!C2131,总览汇总!$B$5:$B$304,0),900)*10000000+IFERROR(MATCH(出库明细!D2131,基础资料!$E$5:$E$104,0),900)*10000+ROW()))</f>
      </c>
      <c r="F3131">
        <f>IF(AND(资金台帐!J134&lt;&gt;"",资金台帐!J134=客户对账单!$B$4,资金台帐!P134="应收",ISNUMBER(资金台帐!B134),资金台帐!B134&gt;=客户对账单!$G$4,资金台帐!B134&lt;=客户对账单!$I$4),资金台帐!B134+ROW()/100000,"")</f>
      </c>
      <c r="H3131">
        <f>IF(AND(资金台帐!K1634&lt;&gt;"",资金台帐!K1634=供应商对账单!$B$4,资金台帐!P1634="应付",ISNUMBER(资金台帐!B1634),资金台帐!B1634&gt;=供应商对账单!$G$4,资金台帐!B1634&lt;=供应商对账单!$I$4),资金台帐!B1634+ROW()/100000,"")</f>
      </c>
    </row>
    <row r="3132">
      <c r="A3132">
        <f>IF(OR(出库明细!C2132="",出库明细!D2132=""),"",IF(OR(COUNTIFS(存条明细!$C$4:$C$1003,出库明细!C2132,存条明细!$D$4:$D$1003,出库明细!D2132)&gt;0,COUNTIFS(出库明细!$C$4:C2132,出库明细!C2132,出库明细!$D$4:D2132,出库明细!D2132)&gt;1),"",IFERROR(MATCH(出库明细!C2132,总览汇总!$B$5:$B$304,0),900)*10000000+IFERROR(MATCH(出库明细!D2132,基础资料!$E$5:$E$104,0),900)*10000+ROW()))</f>
      </c>
      <c r="F3132">
        <f>IF(AND(资金台帐!J135&lt;&gt;"",资金台帐!J135=客户对账单!$B$4,资金台帐!P135="应收",ISNUMBER(资金台帐!B135),资金台帐!B135&gt;=客户对账单!$G$4,资金台帐!B135&lt;=客户对账单!$I$4),资金台帐!B135+ROW()/100000,"")</f>
      </c>
      <c r="H3132">
        <f>IF(AND(资金台帐!K1635&lt;&gt;"",资金台帐!K1635=供应商对账单!$B$4,资金台帐!P1635="应付",ISNUMBER(资金台帐!B1635),资金台帐!B1635&gt;=供应商对账单!$G$4,资金台帐!B1635&lt;=供应商对账单!$I$4),资金台帐!B1635+ROW()/100000,"")</f>
      </c>
    </row>
    <row r="3133">
      <c r="A3133">
        <f>IF(OR(出库明细!C2133="",出库明细!D2133=""),"",IF(OR(COUNTIFS(存条明细!$C$4:$C$1003,出库明细!C2133,存条明细!$D$4:$D$1003,出库明细!D2133)&gt;0,COUNTIFS(出库明细!$C$4:C2133,出库明细!C2133,出库明细!$D$4:D2133,出库明细!D2133)&gt;1),"",IFERROR(MATCH(出库明细!C2133,总览汇总!$B$5:$B$304,0),900)*10000000+IFERROR(MATCH(出库明细!D2133,基础资料!$E$5:$E$104,0),900)*10000+ROW()))</f>
      </c>
      <c r="F3133">
        <f>IF(AND(资金台帐!J136&lt;&gt;"",资金台帐!J136=客户对账单!$B$4,资金台帐!P136="应收",ISNUMBER(资金台帐!B136),资金台帐!B136&gt;=客户对账单!$G$4,资金台帐!B136&lt;=客户对账单!$I$4),资金台帐!B136+ROW()/100000,"")</f>
      </c>
      <c r="H3133">
        <f>IF(AND(资金台帐!K1636&lt;&gt;"",资金台帐!K1636=供应商对账单!$B$4,资金台帐!P1636="应付",ISNUMBER(资金台帐!B1636),资金台帐!B1636&gt;=供应商对账单!$G$4,资金台帐!B1636&lt;=供应商对账单!$I$4),资金台帐!B1636+ROW()/100000,"")</f>
      </c>
    </row>
    <row r="3134">
      <c r="A3134">
        <f>IF(OR(出库明细!C2134="",出库明细!D2134=""),"",IF(OR(COUNTIFS(存条明细!$C$4:$C$1003,出库明细!C2134,存条明细!$D$4:$D$1003,出库明细!D2134)&gt;0,COUNTIFS(出库明细!$C$4:C2134,出库明细!C2134,出库明细!$D$4:D2134,出库明细!D2134)&gt;1),"",IFERROR(MATCH(出库明细!C2134,总览汇总!$B$5:$B$304,0),900)*10000000+IFERROR(MATCH(出库明细!D2134,基础资料!$E$5:$E$104,0),900)*10000+ROW()))</f>
      </c>
      <c r="F3134">
        <f>IF(AND(资金台帐!J137&lt;&gt;"",资金台帐!J137=客户对账单!$B$4,资金台帐!P137="应收",ISNUMBER(资金台帐!B137),资金台帐!B137&gt;=客户对账单!$G$4,资金台帐!B137&lt;=客户对账单!$I$4),资金台帐!B137+ROW()/100000,"")</f>
      </c>
      <c r="H3134">
        <f>IF(AND(资金台帐!K1637&lt;&gt;"",资金台帐!K1637=供应商对账单!$B$4,资金台帐!P1637="应付",ISNUMBER(资金台帐!B1637),资金台帐!B1637&gt;=供应商对账单!$G$4,资金台帐!B1637&lt;=供应商对账单!$I$4),资金台帐!B1637+ROW()/100000,"")</f>
      </c>
    </row>
    <row r="3135">
      <c r="A3135">
        <f>IF(OR(出库明细!C2135="",出库明细!D2135=""),"",IF(OR(COUNTIFS(存条明细!$C$4:$C$1003,出库明细!C2135,存条明细!$D$4:$D$1003,出库明细!D2135)&gt;0,COUNTIFS(出库明细!$C$4:C2135,出库明细!C2135,出库明细!$D$4:D2135,出库明细!D2135)&gt;1),"",IFERROR(MATCH(出库明细!C2135,总览汇总!$B$5:$B$304,0),900)*10000000+IFERROR(MATCH(出库明细!D2135,基础资料!$E$5:$E$104,0),900)*10000+ROW()))</f>
      </c>
      <c r="F3135">
        <f>IF(AND(资金台帐!J138&lt;&gt;"",资金台帐!J138=客户对账单!$B$4,资金台帐!P138="应收",ISNUMBER(资金台帐!B138),资金台帐!B138&gt;=客户对账单!$G$4,资金台帐!B138&lt;=客户对账单!$I$4),资金台帐!B138+ROW()/100000,"")</f>
      </c>
      <c r="H3135">
        <f>IF(AND(资金台帐!K1638&lt;&gt;"",资金台帐!K1638=供应商对账单!$B$4,资金台帐!P1638="应付",ISNUMBER(资金台帐!B1638),资金台帐!B1638&gt;=供应商对账单!$G$4,资金台帐!B1638&lt;=供应商对账单!$I$4),资金台帐!B1638+ROW()/100000,"")</f>
      </c>
    </row>
    <row r="3136">
      <c r="A3136">
        <f>IF(OR(出库明细!C2136="",出库明细!D2136=""),"",IF(OR(COUNTIFS(存条明细!$C$4:$C$1003,出库明细!C2136,存条明细!$D$4:$D$1003,出库明细!D2136)&gt;0,COUNTIFS(出库明细!$C$4:C2136,出库明细!C2136,出库明细!$D$4:D2136,出库明细!D2136)&gt;1),"",IFERROR(MATCH(出库明细!C2136,总览汇总!$B$5:$B$304,0),900)*10000000+IFERROR(MATCH(出库明细!D2136,基础资料!$E$5:$E$104,0),900)*10000+ROW()))</f>
      </c>
      <c r="F3136">
        <f>IF(AND(资金台帐!J139&lt;&gt;"",资金台帐!J139=客户对账单!$B$4,资金台帐!P139="应收",ISNUMBER(资金台帐!B139),资金台帐!B139&gt;=客户对账单!$G$4,资金台帐!B139&lt;=客户对账单!$I$4),资金台帐!B139+ROW()/100000,"")</f>
      </c>
      <c r="H3136">
        <f>IF(AND(资金台帐!K1639&lt;&gt;"",资金台帐!K1639=供应商对账单!$B$4,资金台帐!P1639="应付",ISNUMBER(资金台帐!B1639),资金台帐!B1639&gt;=供应商对账单!$G$4,资金台帐!B1639&lt;=供应商对账单!$I$4),资金台帐!B1639+ROW()/100000,"")</f>
      </c>
    </row>
    <row r="3137">
      <c r="A3137">
        <f>IF(OR(出库明细!C2137="",出库明细!D2137=""),"",IF(OR(COUNTIFS(存条明细!$C$4:$C$1003,出库明细!C2137,存条明细!$D$4:$D$1003,出库明细!D2137)&gt;0,COUNTIFS(出库明细!$C$4:C2137,出库明细!C2137,出库明细!$D$4:D2137,出库明细!D2137)&gt;1),"",IFERROR(MATCH(出库明细!C2137,总览汇总!$B$5:$B$304,0),900)*10000000+IFERROR(MATCH(出库明细!D2137,基础资料!$E$5:$E$104,0),900)*10000+ROW()))</f>
      </c>
      <c r="F3137">
        <f>IF(AND(资金台帐!J140&lt;&gt;"",资金台帐!J140=客户对账单!$B$4,资金台帐!P140="应收",ISNUMBER(资金台帐!B140),资金台帐!B140&gt;=客户对账单!$G$4,资金台帐!B140&lt;=客户对账单!$I$4),资金台帐!B140+ROW()/100000,"")</f>
      </c>
      <c r="H3137">
        <f>IF(AND(资金台帐!K1640&lt;&gt;"",资金台帐!K1640=供应商对账单!$B$4,资金台帐!P1640="应付",ISNUMBER(资金台帐!B1640),资金台帐!B1640&gt;=供应商对账单!$G$4,资金台帐!B1640&lt;=供应商对账单!$I$4),资金台帐!B1640+ROW()/100000,"")</f>
      </c>
    </row>
    <row r="3138">
      <c r="A3138">
        <f>IF(OR(出库明细!C2138="",出库明细!D2138=""),"",IF(OR(COUNTIFS(存条明细!$C$4:$C$1003,出库明细!C2138,存条明细!$D$4:$D$1003,出库明细!D2138)&gt;0,COUNTIFS(出库明细!$C$4:C2138,出库明细!C2138,出库明细!$D$4:D2138,出库明细!D2138)&gt;1),"",IFERROR(MATCH(出库明细!C2138,总览汇总!$B$5:$B$304,0),900)*10000000+IFERROR(MATCH(出库明细!D2138,基础资料!$E$5:$E$104,0),900)*10000+ROW()))</f>
      </c>
      <c r="F3138">
        <f>IF(AND(资金台帐!J141&lt;&gt;"",资金台帐!J141=客户对账单!$B$4,资金台帐!P141="应收",ISNUMBER(资金台帐!B141),资金台帐!B141&gt;=客户对账单!$G$4,资金台帐!B141&lt;=客户对账单!$I$4),资金台帐!B141+ROW()/100000,"")</f>
      </c>
      <c r="H3138">
        <f>IF(AND(资金台帐!K1641&lt;&gt;"",资金台帐!K1641=供应商对账单!$B$4,资金台帐!P1641="应付",ISNUMBER(资金台帐!B1641),资金台帐!B1641&gt;=供应商对账单!$G$4,资金台帐!B1641&lt;=供应商对账单!$I$4),资金台帐!B1641+ROW()/100000,"")</f>
      </c>
    </row>
    <row r="3139">
      <c r="A3139">
        <f>IF(OR(出库明细!C2139="",出库明细!D2139=""),"",IF(OR(COUNTIFS(存条明细!$C$4:$C$1003,出库明细!C2139,存条明细!$D$4:$D$1003,出库明细!D2139)&gt;0,COUNTIFS(出库明细!$C$4:C2139,出库明细!C2139,出库明细!$D$4:D2139,出库明细!D2139)&gt;1),"",IFERROR(MATCH(出库明细!C2139,总览汇总!$B$5:$B$304,0),900)*10000000+IFERROR(MATCH(出库明细!D2139,基础资料!$E$5:$E$104,0),900)*10000+ROW()))</f>
      </c>
      <c r="F3139">
        <f>IF(AND(资金台帐!J142&lt;&gt;"",资金台帐!J142=客户对账单!$B$4,资金台帐!P142="应收",ISNUMBER(资金台帐!B142),资金台帐!B142&gt;=客户对账单!$G$4,资金台帐!B142&lt;=客户对账单!$I$4),资金台帐!B142+ROW()/100000,"")</f>
      </c>
      <c r="H3139">
        <f>IF(AND(资金台帐!K1642&lt;&gt;"",资金台帐!K1642=供应商对账单!$B$4,资金台帐!P1642="应付",ISNUMBER(资金台帐!B1642),资金台帐!B1642&gt;=供应商对账单!$G$4,资金台帐!B1642&lt;=供应商对账单!$I$4),资金台帐!B1642+ROW()/100000,"")</f>
      </c>
    </row>
    <row r="3140">
      <c r="A3140">
        <f>IF(OR(出库明细!C2140="",出库明细!D2140=""),"",IF(OR(COUNTIFS(存条明细!$C$4:$C$1003,出库明细!C2140,存条明细!$D$4:$D$1003,出库明细!D2140)&gt;0,COUNTIFS(出库明细!$C$4:C2140,出库明细!C2140,出库明细!$D$4:D2140,出库明细!D2140)&gt;1),"",IFERROR(MATCH(出库明细!C2140,总览汇总!$B$5:$B$304,0),900)*10000000+IFERROR(MATCH(出库明细!D2140,基础资料!$E$5:$E$104,0),900)*10000+ROW()))</f>
      </c>
      <c r="F3140">
        <f>IF(AND(资金台帐!J143&lt;&gt;"",资金台帐!J143=客户对账单!$B$4,资金台帐!P143="应收",ISNUMBER(资金台帐!B143),资金台帐!B143&gt;=客户对账单!$G$4,资金台帐!B143&lt;=客户对账单!$I$4),资金台帐!B143+ROW()/100000,"")</f>
      </c>
      <c r="H3140">
        <f>IF(AND(资金台帐!K1643&lt;&gt;"",资金台帐!K1643=供应商对账单!$B$4,资金台帐!P1643="应付",ISNUMBER(资金台帐!B1643),资金台帐!B1643&gt;=供应商对账单!$G$4,资金台帐!B1643&lt;=供应商对账单!$I$4),资金台帐!B1643+ROW()/100000,"")</f>
      </c>
    </row>
    <row r="3141">
      <c r="A3141">
        <f>IF(OR(出库明细!C2141="",出库明细!D2141=""),"",IF(OR(COUNTIFS(存条明细!$C$4:$C$1003,出库明细!C2141,存条明细!$D$4:$D$1003,出库明细!D2141)&gt;0,COUNTIFS(出库明细!$C$4:C2141,出库明细!C2141,出库明细!$D$4:D2141,出库明细!D2141)&gt;1),"",IFERROR(MATCH(出库明细!C2141,总览汇总!$B$5:$B$304,0),900)*10000000+IFERROR(MATCH(出库明细!D2141,基础资料!$E$5:$E$104,0),900)*10000+ROW()))</f>
      </c>
      <c r="F3141">
        <f>IF(AND(资金台帐!J144&lt;&gt;"",资金台帐!J144=客户对账单!$B$4,资金台帐!P144="应收",ISNUMBER(资金台帐!B144),资金台帐!B144&gt;=客户对账单!$G$4,资金台帐!B144&lt;=客户对账单!$I$4),资金台帐!B144+ROW()/100000,"")</f>
      </c>
      <c r="H3141">
        <f>IF(AND(资金台帐!K1644&lt;&gt;"",资金台帐!K1644=供应商对账单!$B$4,资金台帐!P1644="应付",ISNUMBER(资金台帐!B1644),资金台帐!B1644&gt;=供应商对账单!$G$4,资金台帐!B1644&lt;=供应商对账单!$I$4),资金台帐!B1644+ROW()/100000,"")</f>
      </c>
    </row>
    <row r="3142">
      <c r="A3142">
        <f>IF(OR(出库明细!C2142="",出库明细!D2142=""),"",IF(OR(COUNTIFS(存条明细!$C$4:$C$1003,出库明细!C2142,存条明细!$D$4:$D$1003,出库明细!D2142)&gt;0,COUNTIFS(出库明细!$C$4:C2142,出库明细!C2142,出库明细!$D$4:D2142,出库明细!D2142)&gt;1),"",IFERROR(MATCH(出库明细!C2142,总览汇总!$B$5:$B$304,0),900)*10000000+IFERROR(MATCH(出库明细!D2142,基础资料!$E$5:$E$104,0),900)*10000+ROW()))</f>
      </c>
      <c r="F3142">
        <f>IF(AND(资金台帐!J145&lt;&gt;"",资金台帐!J145=客户对账单!$B$4,资金台帐!P145="应收",ISNUMBER(资金台帐!B145),资金台帐!B145&gt;=客户对账单!$G$4,资金台帐!B145&lt;=客户对账单!$I$4),资金台帐!B145+ROW()/100000,"")</f>
      </c>
      <c r="H3142">
        <f>IF(AND(资金台帐!K1645&lt;&gt;"",资金台帐!K1645=供应商对账单!$B$4,资金台帐!P1645="应付",ISNUMBER(资金台帐!B1645),资金台帐!B1645&gt;=供应商对账单!$G$4,资金台帐!B1645&lt;=供应商对账单!$I$4),资金台帐!B1645+ROW()/100000,"")</f>
      </c>
    </row>
    <row r="3143">
      <c r="A3143">
        <f>IF(OR(出库明细!C2143="",出库明细!D2143=""),"",IF(OR(COUNTIFS(存条明细!$C$4:$C$1003,出库明细!C2143,存条明细!$D$4:$D$1003,出库明细!D2143)&gt;0,COUNTIFS(出库明细!$C$4:C2143,出库明细!C2143,出库明细!$D$4:D2143,出库明细!D2143)&gt;1),"",IFERROR(MATCH(出库明细!C2143,总览汇总!$B$5:$B$304,0),900)*10000000+IFERROR(MATCH(出库明细!D2143,基础资料!$E$5:$E$104,0),900)*10000+ROW()))</f>
      </c>
      <c r="F3143">
        <f>IF(AND(资金台帐!J146&lt;&gt;"",资金台帐!J146=客户对账单!$B$4,资金台帐!P146="应收",ISNUMBER(资金台帐!B146),资金台帐!B146&gt;=客户对账单!$G$4,资金台帐!B146&lt;=客户对账单!$I$4),资金台帐!B146+ROW()/100000,"")</f>
      </c>
      <c r="H3143">
        <f>IF(AND(资金台帐!K1646&lt;&gt;"",资金台帐!K1646=供应商对账单!$B$4,资金台帐!P1646="应付",ISNUMBER(资金台帐!B1646),资金台帐!B1646&gt;=供应商对账单!$G$4,资金台帐!B1646&lt;=供应商对账单!$I$4),资金台帐!B1646+ROW()/100000,"")</f>
      </c>
    </row>
    <row r="3144">
      <c r="A3144">
        <f>IF(OR(出库明细!C2144="",出库明细!D2144=""),"",IF(OR(COUNTIFS(存条明细!$C$4:$C$1003,出库明细!C2144,存条明细!$D$4:$D$1003,出库明细!D2144)&gt;0,COUNTIFS(出库明细!$C$4:C2144,出库明细!C2144,出库明细!$D$4:D2144,出库明细!D2144)&gt;1),"",IFERROR(MATCH(出库明细!C2144,总览汇总!$B$5:$B$304,0),900)*10000000+IFERROR(MATCH(出库明细!D2144,基础资料!$E$5:$E$104,0),900)*10000+ROW()))</f>
      </c>
      <c r="F3144">
        <f>IF(AND(资金台帐!J147&lt;&gt;"",资金台帐!J147=客户对账单!$B$4,资金台帐!P147="应收",ISNUMBER(资金台帐!B147),资金台帐!B147&gt;=客户对账单!$G$4,资金台帐!B147&lt;=客户对账单!$I$4),资金台帐!B147+ROW()/100000,"")</f>
      </c>
      <c r="H3144">
        <f>IF(AND(资金台帐!K1647&lt;&gt;"",资金台帐!K1647=供应商对账单!$B$4,资金台帐!P1647="应付",ISNUMBER(资金台帐!B1647),资金台帐!B1647&gt;=供应商对账单!$G$4,资金台帐!B1647&lt;=供应商对账单!$I$4),资金台帐!B1647+ROW()/100000,"")</f>
      </c>
    </row>
    <row r="3145">
      <c r="A3145">
        <f>IF(OR(出库明细!C2145="",出库明细!D2145=""),"",IF(OR(COUNTIFS(存条明细!$C$4:$C$1003,出库明细!C2145,存条明细!$D$4:$D$1003,出库明细!D2145)&gt;0,COUNTIFS(出库明细!$C$4:C2145,出库明细!C2145,出库明细!$D$4:D2145,出库明细!D2145)&gt;1),"",IFERROR(MATCH(出库明细!C2145,总览汇总!$B$5:$B$304,0),900)*10000000+IFERROR(MATCH(出库明细!D2145,基础资料!$E$5:$E$104,0),900)*10000+ROW()))</f>
      </c>
      <c r="F3145">
        <f>IF(AND(资金台帐!J148&lt;&gt;"",资金台帐!J148=客户对账单!$B$4,资金台帐!P148="应收",ISNUMBER(资金台帐!B148),资金台帐!B148&gt;=客户对账单!$G$4,资金台帐!B148&lt;=客户对账单!$I$4),资金台帐!B148+ROW()/100000,"")</f>
      </c>
      <c r="H3145">
        <f>IF(AND(资金台帐!K1648&lt;&gt;"",资金台帐!K1648=供应商对账单!$B$4,资金台帐!P1648="应付",ISNUMBER(资金台帐!B1648),资金台帐!B1648&gt;=供应商对账单!$G$4,资金台帐!B1648&lt;=供应商对账单!$I$4),资金台帐!B1648+ROW()/100000,"")</f>
      </c>
    </row>
    <row r="3146">
      <c r="A3146">
        <f>IF(OR(出库明细!C2146="",出库明细!D2146=""),"",IF(OR(COUNTIFS(存条明细!$C$4:$C$1003,出库明细!C2146,存条明细!$D$4:$D$1003,出库明细!D2146)&gt;0,COUNTIFS(出库明细!$C$4:C2146,出库明细!C2146,出库明细!$D$4:D2146,出库明细!D2146)&gt;1),"",IFERROR(MATCH(出库明细!C2146,总览汇总!$B$5:$B$304,0),900)*10000000+IFERROR(MATCH(出库明细!D2146,基础资料!$E$5:$E$104,0),900)*10000+ROW()))</f>
      </c>
      <c r="F3146">
        <f>IF(AND(资金台帐!J149&lt;&gt;"",资金台帐!J149=客户对账单!$B$4,资金台帐!P149="应收",ISNUMBER(资金台帐!B149),资金台帐!B149&gt;=客户对账单!$G$4,资金台帐!B149&lt;=客户对账单!$I$4),资金台帐!B149+ROW()/100000,"")</f>
      </c>
      <c r="H3146">
        <f>IF(AND(资金台帐!K1649&lt;&gt;"",资金台帐!K1649=供应商对账单!$B$4,资金台帐!P1649="应付",ISNUMBER(资金台帐!B1649),资金台帐!B1649&gt;=供应商对账单!$G$4,资金台帐!B1649&lt;=供应商对账单!$I$4),资金台帐!B1649+ROW()/100000,"")</f>
      </c>
    </row>
    <row r="3147">
      <c r="A3147">
        <f>IF(OR(出库明细!C2147="",出库明细!D2147=""),"",IF(OR(COUNTIFS(存条明细!$C$4:$C$1003,出库明细!C2147,存条明细!$D$4:$D$1003,出库明细!D2147)&gt;0,COUNTIFS(出库明细!$C$4:C2147,出库明细!C2147,出库明细!$D$4:D2147,出库明细!D2147)&gt;1),"",IFERROR(MATCH(出库明细!C2147,总览汇总!$B$5:$B$304,0),900)*10000000+IFERROR(MATCH(出库明细!D2147,基础资料!$E$5:$E$104,0),900)*10000+ROW()))</f>
      </c>
      <c r="F3147">
        <f>IF(AND(资金台帐!J150&lt;&gt;"",资金台帐!J150=客户对账单!$B$4,资金台帐!P150="应收",ISNUMBER(资金台帐!B150),资金台帐!B150&gt;=客户对账单!$G$4,资金台帐!B150&lt;=客户对账单!$I$4),资金台帐!B150+ROW()/100000,"")</f>
      </c>
      <c r="H3147">
        <f>IF(AND(资金台帐!K1650&lt;&gt;"",资金台帐!K1650=供应商对账单!$B$4,资金台帐!P1650="应付",ISNUMBER(资金台帐!B1650),资金台帐!B1650&gt;=供应商对账单!$G$4,资金台帐!B1650&lt;=供应商对账单!$I$4),资金台帐!B1650+ROW()/100000,"")</f>
      </c>
    </row>
    <row r="3148">
      <c r="A3148">
        <f>IF(OR(出库明细!C2148="",出库明细!D2148=""),"",IF(OR(COUNTIFS(存条明细!$C$4:$C$1003,出库明细!C2148,存条明细!$D$4:$D$1003,出库明细!D2148)&gt;0,COUNTIFS(出库明细!$C$4:C2148,出库明细!C2148,出库明细!$D$4:D2148,出库明细!D2148)&gt;1),"",IFERROR(MATCH(出库明细!C2148,总览汇总!$B$5:$B$304,0),900)*10000000+IFERROR(MATCH(出库明细!D2148,基础资料!$E$5:$E$104,0),900)*10000+ROW()))</f>
      </c>
      <c r="F3148">
        <f>IF(AND(资金台帐!J151&lt;&gt;"",资金台帐!J151=客户对账单!$B$4,资金台帐!P151="应收",ISNUMBER(资金台帐!B151),资金台帐!B151&gt;=客户对账单!$G$4,资金台帐!B151&lt;=客户对账单!$I$4),资金台帐!B151+ROW()/100000,"")</f>
      </c>
      <c r="H3148">
        <f>IF(AND(资金台帐!K1651&lt;&gt;"",资金台帐!K1651=供应商对账单!$B$4,资金台帐!P1651="应付",ISNUMBER(资金台帐!B1651),资金台帐!B1651&gt;=供应商对账单!$G$4,资金台帐!B1651&lt;=供应商对账单!$I$4),资金台帐!B1651+ROW()/100000,"")</f>
      </c>
    </row>
    <row r="3149">
      <c r="A3149">
        <f>IF(OR(出库明细!C2149="",出库明细!D2149=""),"",IF(OR(COUNTIFS(存条明细!$C$4:$C$1003,出库明细!C2149,存条明细!$D$4:$D$1003,出库明细!D2149)&gt;0,COUNTIFS(出库明细!$C$4:C2149,出库明细!C2149,出库明细!$D$4:D2149,出库明细!D2149)&gt;1),"",IFERROR(MATCH(出库明细!C2149,总览汇总!$B$5:$B$304,0),900)*10000000+IFERROR(MATCH(出库明细!D2149,基础资料!$E$5:$E$104,0),900)*10000+ROW()))</f>
      </c>
      <c r="F3149">
        <f>IF(AND(资金台帐!J152&lt;&gt;"",资金台帐!J152=客户对账单!$B$4,资金台帐!P152="应收",ISNUMBER(资金台帐!B152),资金台帐!B152&gt;=客户对账单!$G$4,资金台帐!B152&lt;=客户对账单!$I$4),资金台帐!B152+ROW()/100000,"")</f>
      </c>
      <c r="H3149">
        <f>IF(AND(资金台帐!K1652&lt;&gt;"",资金台帐!K1652=供应商对账单!$B$4,资金台帐!P1652="应付",ISNUMBER(资金台帐!B1652),资金台帐!B1652&gt;=供应商对账单!$G$4,资金台帐!B1652&lt;=供应商对账单!$I$4),资金台帐!B1652+ROW()/100000,"")</f>
      </c>
    </row>
    <row r="3150">
      <c r="A3150">
        <f>IF(OR(出库明细!C2150="",出库明细!D2150=""),"",IF(OR(COUNTIFS(存条明细!$C$4:$C$1003,出库明细!C2150,存条明细!$D$4:$D$1003,出库明细!D2150)&gt;0,COUNTIFS(出库明细!$C$4:C2150,出库明细!C2150,出库明细!$D$4:D2150,出库明细!D2150)&gt;1),"",IFERROR(MATCH(出库明细!C2150,总览汇总!$B$5:$B$304,0),900)*10000000+IFERROR(MATCH(出库明细!D2150,基础资料!$E$5:$E$104,0),900)*10000+ROW()))</f>
      </c>
      <c r="F3150">
        <f>IF(AND(资金台帐!J153&lt;&gt;"",资金台帐!J153=客户对账单!$B$4,资金台帐!P153="应收",ISNUMBER(资金台帐!B153),资金台帐!B153&gt;=客户对账单!$G$4,资金台帐!B153&lt;=客户对账单!$I$4),资金台帐!B153+ROW()/100000,"")</f>
      </c>
      <c r="H3150">
        <f>IF(AND(资金台帐!K1653&lt;&gt;"",资金台帐!K1653=供应商对账单!$B$4,资金台帐!P1653="应付",ISNUMBER(资金台帐!B1653),资金台帐!B1653&gt;=供应商对账单!$G$4,资金台帐!B1653&lt;=供应商对账单!$I$4),资金台帐!B1653+ROW()/100000,"")</f>
      </c>
    </row>
    <row r="3151">
      <c r="A3151">
        <f>IF(OR(出库明细!C2151="",出库明细!D2151=""),"",IF(OR(COUNTIFS(存条明细!$C$4:$C$1003,出库明细!C2151,存条明细!$D$4:$D$1003,出库明细!D2151)&gt;0,COUNTIFS(出库明细!$C$4:C2151,出库明细!C2151,出库明细!$D$4:D2151,出库明细!D2151)&gt;1),"",IFERROR(MATCH(出库明细!C2151,总览汇总!$B$5:$B$304,0),900)*10000000+IFERROR(MATCH(出库明细!D2151,基础资料!$E$5:$E$104,0),900)*10000+ROW()))</f>
      </c>
      <c r="F3151">
        <f>IF(AND(资金台帐!J154&lt;&gt;"",资金台帐!J154=客户对账单!$B$4,资金台帐!P154="应收",ISNUMBER(资金台帐!B154),资金台帐!B154&gt;=客户对账单!$G$4,资金台帐!B154&lt;=客户对账单!$I$4),资金台帐!B154+ROW()/100000,"")</f>
      </c>
      <c r="H3151">
        <f>IF(AND(资金台帐!K1654&lt;&gt;"",资金台帐!K1654=供应商对账单!$B$4,资金台帐!P1654="应付",ISNUMBER(资金台帐!B1654),资金台帐!B1654&gt;=供应商对账单!$G$4,资金台帐!B1654&lt;=供应商对账单!$I$4),资金台帐!B1654+ROW()/100000,"")</f>
      </c>
    </row>
    <row r="3152">
      <c r="A3152">
        <f>IF(OR(出库明细!C2152="",出库明细!D2152=""),"",IF(OR(COUNTIFS(存条明细!$C$4:$C$1003,出库明细!C2152,存条明细!$D$4:$D$1003,出库明细!D2152)&gt;0,COUNTIFS(出库明细!$C$4:C2152,出库明细!C2152,出库明细!$D$4:D2152,出库明细!D2152)&gt;1),"",IFERROR(MATCH(出库明细!C2152,总览汇总!$B$5:$B$304,0),900)*10000000+IFERROR(MATCH(出库明细!D2152,基础资料!$E$5:$E$104,0),900)*10000+ROW()))</f>
      </c>
      <c r="F3152">
        <f>IF(AND(资金台帐!J155&lt;&gt;"",资金台帐!J155=客户对账单!$B$4,资金台帐!P155="应收",ISNUMBER(资金台帐!B155),资金台帐!B155&gt;=客户对账单!$G$4,资金台帐!B155&lt;=客户对账单!$I$4),资金台帐!B155+ROW()/100000,"")</f>
      </c>
      <c r="H3152">
        <f>IF(AND(资金台帐!K1655&lt;&gt;"",资金台帐!K1655=供应商对账单!$B$4,资金台帐!P1655="应付",ISNUMBER(资金台帐!B1655),资金台帐!B1655&gt;=供应商对账单!$G$4,资金台帐!B1655&lt;=供应商对账单!$I$4),资金台帐!B1655+ROW()/100000,"")</f>
      </c>
    </row>
    <row r="3153">
      <c r="A3153">
        <f>IF(OR(出库明细!C2153="",出库明细!D2153=""),"",IF(OR(COUNTIFS(存条明细!$C$4:$C$1003,出库明细!C2153,存条明细!$D$4:$D$1003,出库明细!D2153)&gt;0,COUNTIFS(出库明细!$C$4:C2153,出库明细!C2153,出库明细!$D$4:D2153,出库明细!D2153)&gt;1),"",IFERROR(MATCH(出库明细!C2153,总览汇总!$B$5:$B$304,0),900)*10000000+IFERROR(MATCH(出库明细!D2153,基础资料!$E$5:$E$104,0),900)*10000+ROW()))</f>
      </c>
      <c r="F3153">
        <f>IF(AND(资金台帐!J156&lt;&gt;"",资金台帐!J156=客户对账单!$B$4,资金台帐!P156="应收",ISNUMBER(资金台帐!B156),资金台帐!B156&gt;=客户对账单!$G$4,资金台帐!B156&lt;=客户对账单!$I$4),资金台帐!B156+ROW()/100000,"")</f>
      </c>
      <c r="H3153">
        <f>IF(AND(资金台帐!K1656&lt;&gt;"",资金台帐!K1656=供应商对账单!$B$4,资金台帐!P1656="应付",ISNUMBER(资金台帐!B1656),资金台帐!B1656&gt;=供应商对账单!$G$4,资金台帐!B1656&lt;=供应商对账单!$I$4),资金台帐!B1656+ROW()/100000,"")</f>
      </c>
    </row>
    <row r="3154">
      <c r="A3154">
        <f>IF(OR(出库明细!C2154="",出库明细!D2154=""),"",IF(OR(COUNTIFS(存条明细!$C$4:$C$1003,出库明细!C2154,存条明细!$D$4:$D$1003,出库明细!D2154)&gt;0,COUNTIFS(出库明细!$C$4:C2154,出库明细!C2154,出库明细!$D$4:D2154,出库明细!D2154)&gt;1),"",IFERROR(MATCH(出库明细!C2154,总览汇总!$B$5:$B$304,0),900)*10000000+IFERROR(MATCH(出库明细!D2154,基础资料!$E$5:$E$104,0),900)*10000+ROW()))</f>
      </c>
      <c r="F3154">
        <f>IF(AND(资金台帐!J157&lt;&gt;"",资金台帐!J157=客户对账单!$B$4,资金台帐!P157="应收",ISNUMBER(资金台帐!B157),资金台帐!B157&gt;=客户对账单!$G$4,资金台帐!B157&lt;=客户对账单!$I$4),资金台帐!B157+ROW()/100000,"")</f>
      </c>
      <c r="H3154">
        <f>IF(AND(资金台帐!K1657&lt;&gt;"",资金台帐!K1657=供应商对账单!$B$4,资金台帐!P1657="应付",ISNUMBER(资金台帐!B1657),资金台帐!B1657&gt;=供应商对账单!$G$4,资金台帐!B1657&lt;=供应商对账单!$I$4),资金台帐!B1657+ROW()/100000,"")</f>
      </c>
    </row>
    <row r="3155">
      <c r="A3155">
        <f>IF(OR(出库明细!C2155="",出库明细!D2155=""),"",IF(OR(COUNTIFS(存条明细!$C$4:$C$1003,出库明细!C2155,存条明细!$D$4:$D$1003,出库明细!D2155)&gt;0,COUNTIFS(出库明细!$C$4:C2155,出库明细!C2155,出库明细!$D$4:D2155,出库明细!D2155)&gt;1),"",IFERROR(MATCH(出库明细!C2155,总览汇总!$B$5:$B$304,0),900)*10000000+IFERROR(MATCH(出库明细!D2155,基础资料!$E$5:$E$104,0),900)*10000+ROW()))</f>
      </c>
      <c r="F3155">
        <f>IF(AND(资金台帐!J158&lt;&gt;"",资金台帐!J158=客户对账单!$B$4,资金台帐!P158="应收",ISNUMBER(资金台帐!B158),资金台帐!B158&gt;=客户对账单!$G$4,资金台帐!B158&lt;=客户对账单!$I$4),资金台帐!B158+ROW()/100000,"")</f>
      </c>
      <c r="H3155">
        <f>IF(AND(资金台帐!K1658&lt;&gt;"",资金台帐!K1658=供应商对账单!$B$4,资金台帐!P1658="应付",ISNUMBER(资金台帐!B1658),资金台帐!B1658&gt;=供应商对账单!$G$4,资金台帐!B1658&lt;=供应商对账单!$I$4),资金台帐!B1658+ROW()/100000,"")</f>
      </c>
    </row>
    <row r="3156">
      <c r="A3156">
        <f>IF(OR(出库明细!C2156="",出库明细!D2156=""),"",IF(OR(COUNTIFS(存条明细!$C$4:$C$1003,出库明细!C2156,存条明细!$D$4:$D$1003,出库明细!D2156)&gt;0,COUNTIFS(出库明细!$C$4:C2156,出库明细!C2156,出库明细!$D$4:D2156,出库明细!D2156)&gt;1),"",IFERROR(MATCH(出库明细!C2156,总览汇总!$B$5:$B$304,0),900)*10000000+IFERROR(MATCH(出库明细!D2156,基础资料!$E$5:$E$104,0),900)*10000+ROW()))</f>
      </c>
      <c r="F3156">
        <f>IF(AND(资金台帐!J159&lt;&gt;"",资金台帐!J159=客户对账单!$B$4,资金台帐!P159="应收",ISNUMBER(资金台帐!B159),资金台帐!B159&gt;=客户对账单!$G$4,资金台帐!B159&lt;=客户对账单!$I$4),资金台帐!B159+ROW()/100000,"")</f>
      </c>
      <c r="H3156">
        <f>IF(AND(资金台帐!K1659&lt;&gt;"",资金台帐!K1659=供应商对账单!$B$4,资金台帐!P1659="应付",ISNUMBER(资金台帐!B1659),资金台帐!B1659&gt;=供应商对账单!$G$4,资金台帐!B1659&lt;=供应商对账单!$I$4),资金台帐!B1659+ROW()/100000,"")</f>
      </c>
    </row>
    <row r="3157">
      <c r="A3157">
        <f>IF(OR(出库明细!C2157="",出库明细!D2157=""),"",IF(OR(COUNTIFS(存条明细!$C$4:$C$1003,出库明细!C2157,存条明细!$D$4:$D$1003,出库明细!D2157)&gt;0,COUNTIFS(出库明细!$C$4:C2157,出库明细!C2157,出库明细!$D$4:D2157,出库明细!D2157)&gt;1),"",IFERROR(MATCH(出库明细!C2157,总览汇总!$B$5:$B$304,0),900)*10000000+IFERROR(MATCH(出库明细!D2157,基础资料!$E$5:$E$104,0),900)*10000+ROW()))</f>
      </c>
      <c r="F3157">
        <f>IF(AND(资金台帐!J160&lt;&gt;"",资金台帐!J160=客户对账单!$B$4,资金台帐!P160="应收",ISNUMBER(资金台帐!B160),资金台帐!B160&gt;=客户对账单!$G$4,资金台帐!B160&lt;=客户对账单!$I$4),资金台帐!B160+ROW()/100000,"")</f>
      </c>
      <c r="H3157">
        <f>IF(AND(资金台帐!K1660&lt;&gt;"",资金台帐!K1660=供应商对账单!$B$4,资金台帐!P1660="应付",ISNUMBER(资金台帐!B1660),资金台帐!B1660&gt;=供应商对账单!$G$4,资金台帐!B1660&lt;=供应商对账单!$I$4),资金台帐!B1660+ROW()/100000,"")</f>
      </c>
    </row>
    <row r="3158">
      <c r="A3158">
        <f>IF(OR(出库明细!C2158="",出库明细!D2158=""),"",IF(OR(COUNTIFS(存条明细!$C$4:$C$1003,出库明细!C2158,存条明细!$D$4:$D$1003,出库明细!D2158)&gt;0,COUNTIFS(出库明细!$C$4:C2158,出库明细!C2158,出库明细!$D$4:D2158,出库明细!D2158)&gt;1),"",IFERROR(MATCH(出库明细!C2158,总览汇总!$B$5:$B$304,0),900)*10000000+IFERROR(MATCH(出库明细!D2158,基础资料!$E$5:$E$104,0),900)*10000+ROW()))</f>
      </c>
      <c r="F3158">
        <f>IF(AND(资金台帐!J161&lt;&gt;"",资金台帐!J161=客户对账单!$B$4,资金台帐!P161="应收",ISNUMBER(资金台帐!B161),资金台帐!B161&gt;=客户对账单!$G$4,资金台帐!B161&lt;=客户对账单!$I$4),资金台帐!B161+ROW()/100000,"")</f>
      </c>
      <c r="H3158">
        <f>IF(AND(资金台帐!K1661&lt;&gt;"",资金台帐!K1661=供应商对账单!$B$4,资金台帐!P1661="应付",ISNUMBER(资金台帐!B1661),资金台帐!B1661&gt;=供应商对账单!$G$4,资金台帐!B1661&lt;=供应商对账单!$I$4),资金台帐!B1661+ROW()/100000,"")</f>
      </c>
    </row>
    <row r="3159">
      <c r="A3159">
        <f>IF(OR(出库明细!C2159="",出库明细!D2159=""),"",IF(OR(COUNTIFS(存条明细!$C$4:$C$1003,出库明细!C2159,存条明细!$D$4:$D$1003,出库明细!D2159)&gt;0,COUNTIFS(出库明细!$C$4:C2159,出库明细!C2159,出库明细!$D$4:D2159,出库明细!D2159)&gt;1),"",IFERROR(MATCH(出库明细!C2159,总览汇总!$B$5:$B$304,0),900)*10000000+IFERROR(MATCH(出库明细!D2159,基础资料!$E$5:$E$104,0),900)*10000+ROW()))</f>
      </c>
      <c r="F3159">
        <f>IF(AND(资金台帐!J162&lt;&gt;"",资金台帐!J162=客户对账单!$B$4,资金台帐!P162="应收",ISNUMBER(资金台帐!B162),资金台帐!B162&gt;=客户对账单!$G$4,资金台帐!B162&lt;=客户对账单!$I$4),资金台帐!B162+ROW()/100000,"")</f>
      </c>
      <c r="H3159">
        <f>IF(AND(资金台帐!K1662&lt;&gt;"",资金台帐!K1662=供应商对账单!$B$4,资金台帐!P1662="应付",ISNUMBER(资金台帐!B1662),资金台帐!B1662&gt;=供应商对账单!$G$4,资金台帐!B1662&lt;=供应商对账单!$I$4),资金台帐!B1662+ROW()/100000,"")</f>
      </c>
    </row>
    <row r="3160">
      <c r="A3160">
        <f>IF(OR(出库明细!C2160="",出库明细!D2160=""),"",IF(OR(COUNTIFS(存条明细!$C$4:$C$1003,出库明细!C2160,存条明细!$D$4:$D$1003,出库明细!D2160)&gt;0,COUNTIFS(出库明细!$C$4:C2160,出库明细!C2160,出库明细!$D$4:D2160,出库明细!D2160)&gt;1),"",IFERROR(MATCH(出库明细!C2160,总览汇总!$B$5:$B$304,0),900)*10000000+IFERROR(MATCH(出库明细!D2160,基础资料!$E$5:$E$104,0),900)*10000+ROW()))</f>
      </c>
      <c r="F3160">
        <f>IF(AND(资金台帐!J163&lt;&gt;"",资金台帐!J163=客户对账单!$B$4,资金台帐!P163="应收",ISNUMBER(资金台帐!B163),资金台帐!B163&gt;=客户对账单!$G$4,资金台帐!B163&lt;=客户对账单!$I$4),资金台帐!B163+ROW()/100000,"")</f>
      </c>
      <c r="H3160">
        <f>IF(AND(资金台帐!K1663&lt;&gt;"",资金台帐!K1663=供应商对账单!$B$4,资金台帐!P1663="应付",ISNUMBER(资金台帐!B1663),资金台帐!B1663&gt;=供应商对账单!$G$4,资金台帐!B1663&lt;=供应商对账单!$I$4),资金台帐!B1663+ROW()/100000,"")</f>
      </c>
    </row>
    <row r="3161">
      <c r="A3161">
        <f>IF(OR(出库明细!C2161="",出库明细!D2161=""),"",IF(OR(COUNTIFS(存条明细!$C$4:$C$1003,出库明细!C2161,存条明细!$D$4:$D$1003,出库明细!D2161)&gt;0,COUNTIFS(出库明细!$C$4:C2161,出库明细!C2161,出库明细!$D$4:D2161,出库明细!D2161)&gt;1),"",IFERROR(MATCH(出库明细!C2161,总览汇总!$B$5:$B$304,0),900)*10000000+IFERROR(MATCH(出库明细!D2161,基础资料!$E$5:$E$104,0),900)*10000+ROW()))</f>
      </c>
      <c r="F3161">
        <f>IF(AND(资金台帐!J164&lt;&gt;"",资金台帐!J164=客户对账单!$B$4,资金台帐!P164="应收",ISNUMBER(资金台帐!B164),资金台帐!B164&gt;=客户对账单!$G$4,资金台帐!B164&lt;=客户对账单!$I$4),资金台帐!B164+ROW()/100000,"")</f>
      </c>
      <c r="H3161">
        <f>IF(AND(资金台帐!K1664&lt;&gt;"",资金台帐!K1664=供应商对账单!$B$4,资金台帐!P1664="应付",ISNUMBER(资金台帐!B1664),资金台帐!B1664&gt;=供应商对账单!$G$4,资金台帐!B1664&lt;=供应商对账单!$I$4),资金台帐!B1664+ROW()/100000,"")</f>
      </c>
    </row>
    <row r="3162">
      <c r="A3162">
        <f>IF(OR(出库明细!C2162="",出库明细!D2162=""),"",IF(OR(COUNTIFS(存条明细!$C$4:$C$1003,出库明细!C2162,存条明细!$D$4:$D$1003,出库明细!D2162)&gt;0,COUNTIFS(出库明细!$C$4:C2162,出库明细!C2162,出库明细!$D$4:D2162,出库明细!D2162)&gt;1),"",IFERROR(MATCH(出库明细!C2162,总览汇总!$B$5:$B$304,0),900)*10000000+IFERROR(MATCH(出库明细!D2162,基础资料!$E$5:$E$104,0),900)*10000+ROW()))</f>
      </c>
      <c r="F3162">
        <f>IF(AND(资金台帐!J165&lt;&gt;"",资金台帐!J165=客户对账单!$B$4,资金台帐!P165="应收",ISNUMBER(资金台帐!B165),资金台帐!B165&gt;=客户对账单!$G$4,资金台帐!B165&lt;=客户对账单!$I$4),资金台帐!B165+ROW()/100000,"")</f>
      </c>
      <c r="H3162">
        <f>IF(AND(资金台帐!K1665&lt;&gt;"",资金台帐!K1665=供应商对账单!$B$4,资金台帐!P1665="应付",ISNUMBER(资金台帐!B1665),资金台帐!B1665&gt;=供应商对账单!$G$4,资金台帐!B1665&lt;=供应商对账单!$I$4),资金台帐!B1665+ROW()/100000,"")</f>
      </c>
    </row>
    <row r="3163">
      <c r="A3163">
        <f>IF(OR(出库明细!C2163="",出库明细!D2163=""),"",IF(OR(COUNTIFS(存条明细!$C$4:$C$1003,出库明细!C2163,存条明细!$D$4:$D$1003,出库明细!D2163)&gt;0,COUNTIFS(出库明细!$C$4:C2163,出库明细!C2163,出库明细!$D$4:D2163,出库明细!D2163)&gt;1),"",IFERROR(MATCH(出库明细!C2163,总览汇总!$B$5:$B$304,0),900)*10000000+IFERROR(MATCH(出库明细!D2163,基础资料!$E$5:$E$104,0),900)*10000+ROW()))</f>
      </c>
      <c r="F3163">
        <f>IF(AND(资金台帐!J166&lt;&gt;"",资金台帐!J166=客户对账单!$B$4,资金台帐!P166="应收",ISNUMBER(资金台帐!B166),资金台帐!B166&gt;=客户对账单!$G$4,资金台帐!B166&lt;=客户对账单!$I$4),资金台帐!B166+ROW()/100000,"")</f>
      </c>
      <c r="H3163">
        <f>IF(AND(资金台帐!K1666&lt;&gt;"",资金台帐!K1666=供应商对账单!$B$4,资金台帐!P1666="应付",ISNUMBER(资金台帐!B1666),资金台帐!B1666&gt;=供应商对账单!$G$4,资金台帐!B1666&lt;=供应商对账单!$I$4),资金台帐!B1666+ROW()/100000,"")</f>
      </c>
    </row>
    <row r="3164">
      <c r="A3164">
        <f>IF(OR(出库明细!C2164="",出库明细!D2164=""),"",IF(OR(COUNTIFS(存条明细!$C$4:$C$1003,出库明细!C2164,存条明细!$D$4:$D$1003,出库明细!D2164)&gt;0,COUNTIFS(出库明细!$C$4:C2164,出库明细!C2164,出库明细!$D$4:D2164,出库明细!D2164)&gt;1),"",IFERROR(MATCH(出库明细!C2164,总览汇总!$B$5:$B$304,0),900)*10000000+IFERROR(MATCH(出库明细!D2164,基础资料!$E$5:$E$104,0),900)*10000+ROW()))</f>
      </c>
      <c r="F3164">
        <f>IF(AND(资金台帐!J167&lt;&gt;"",资金台帐!J167=客户对账单!$B$4,资金台帐!P167="应收",ISNUMBER(资金台帐!B167),资金台帐!B167&gt;=客户对账单!$G$4,资金台帐!B167&lt;=客户对账单!$I$4),资金台帐!B167+ROW()/100000,"")</f>
      </c>
      <c r="H3164">
        <f>IF(AND(资金台帐!K1667&lt;&gt;"",资金台帐!K1667=供应商对账单!$B$4,资金台帐!P1667="应付",ISNUMBER(资金台帐!B1667),资金台帐!B1667&gt;=供应商对账单!$G$4,资金台帐!B1667&lt;=供应商对账单!$I$4),资金台帐!B1667+ROW()/100000,"")</f>
      </c>
    </row>
    <row r="3165">
      <c r="A3165">
        <f>IF(OR(出库明细!C2165="",出库明细!D2165=""),"",IF(OR(COUNTIFS(存条明细!$C$4:$C$1003,出库明细!C2165,存条明细!$D$4:$D$1003,出库明细!D2165)&gt;0,COUNTIFS(出库明细!$C$4:C2165,出库明细!C2165,出库明细!$D$4:D2165,出库明细!D2165)&gt;1),"",IFERROR(MATCH(出库明细!C2165,总览汇总!$B$5:$B$304,0),900)*10000000+IFERROR(MATCH(出库明细!D2165,基础资料!$E$5:$E$104,0),900)*10000+ROW()))</f>
      </c>
      <c r="F3165">
        <f>IF(AND(资金台帐!J168&lt;&gt;"",资金台帐!J168=客户对账单!$B$4,资金台帐!P168="应收",ISNUMBER(资金台帐!B168),资金台帐!B168&gt;=客户对账单!$G$4,资金台帐!B168&lt;=客户对账单!$I$4),资金台帐!B168+ROW()/100000,"")</f>
      </c>
      <c r="H3165">
        <f>IF(AND(资金台帐!K1668&lt;&gt;"",资金台帐!K1668=供应商对账单!$B$4,资金台帐!P1668="应付",ISNUMBER(资金台帐!B1668),资金台帐!B1668&gt;=供应商对账单!$G$4,资金台帐!B1668&lt;=供应商对账单!$I$4),资金台帐!B1668+ROW()/100000,"")</f>
      </c>
    </row>
    <row r="3166">
      <c r="A3166">
        <f>IF(OR(出库明细!C2166="",出库明细!D2166=""),"",IF(OR(COUNTIFS(存条明细!$C$4:$C$1003,出库明细!C2166,存条明细!$D$4:$D$1003,出库明细!D2166)&gt;0,COUNTIFS(出库明细!$C$4:C2166,出库明细!C2166,出库明细!$D$4:D2166,出库明细!D2166)&gt;1),"",IFERROR(MATCH(出库明细!C2166,总览汇总!$B$5:$B$304,0),900)*10000000+IFERROR(MATCH(出库明细!D2166,基础资料!$E$5:$E$104,0),900)*10000+ROW()))</f>
      </c>
      <c r="F3166">
        <f>IF(AND(资金台帐!J169&lt;&gt;"",资金台帐!J169=客户对账单!$B$4,资金台帐!P169="应收",ISNUMBER(资金台帐!B169),资金台帐!B169&gt;=客户对账单!$G$4,资金台帐!B169&lt;=客户对账单!$I$4),资金台帐!B169+ROW()/100000,"")</f>
      </c>
      <c r="H3166">
        <f>IF(AND(资金台帐!K1669&lt;&gt;"",资金台帐!K1669=供应商对账单!$B$4,资金台帐!P1669="应付",ISNUMBER(资金台帐!B1669),资金台帐!B1669&gt;=供应商对账单!$G$4,资金台帐!B1669&lt;=供应商对账单!$I$4),资金台帐!B1669+ROW()/100000,"")</f>
      </c>
    </row>
    <row r="3167">
      <c r="A3167">
        <f>IF(OR(出库明细!C2167="",出库明细!D2167=""),"",IF(OR(COUNTIFS(存条明细!$C$4:$C$1003,出库明细!C2167,存条明细!$D$4:$D$1003,出库明细!D2167)&gt;0,COUNTIFS(出库明细!$C$4:C2167,出库明细!C2167,出库明细!$D$4:D2167,出库明细!D2167)&gt;1),"",IFERROR(MATCH(出库明细!C2167,总览汇总!$B$5:$B$304,0),900)*10000000+IFERROR(MATCH(出库明细!D2167,基础资料!$E$5:$E$104,0),900)*10000+ROW()))</f>
      </c>
      <c r="F3167">
        <f>IF(AND(资金台帐!J170&lt;&gt;"",资金台帐!J170=客户对账单!$B$4,资金台帐!P170="应收",ISNUMBER(资金台帐!B170),资金台帐!B170&gt;=客户对账单!$G$4,资金台帐!B170&lt;=客户对账单!$I$4),资金台帐!B170+ROW()/100000,"")</f>
      </c>
      <c r="H3167">
        <f>IF(AND(资金台帐!K1670&lt;&gt;"",资金台帐!K1670=供应商对账单!$B$4,资金台帐!P1670="应付",ISNUMBER(资金台帐!B1670),资金台帐!B1670&gt;=供应商对账单!$G$4,资金台帐!B1670&lt;=供应商对账单!$I$4),资金台帐!B1670+ROW()/100000,"")</f>
      </c>
    </row>
    <row r="3168">
      <c r="A3168">
        <f>IF(OR(出库明细!C2168="",出库明细!D2168=""),"",IF(OR(COUNTIFS(存条明细!$C$4:$C$1003,出库明细!C2168,存条明细!$D$4:$D$1003,出库明细!D2168)&gt;0,COUNTIFS(出库明细!$C$4:C2168,出库明细!C2168,出库明细!$D$4:D2168,出库明细!D2168)&gt;1),"",IFERROR(MATCH(出库明细!C2168,总览汇总!$B$5:$B$304,0),900)*10000000+IFERROR(MATCH(出库明细!D2168,基础资料!$E$5:$E$104,0),900)*10000+ROW()))</f>
      </c>
      <c r="F3168">
        <f>IF(AND(资金台帐!J171&lt;&gt;"",资金台帐!J171=客户对账单!$B$4,资金台帐!P171="应收",ISNUMBER(资金台帐!B171),资金台帐!B171&gt;=客户对账单!$G$4,资金台帐!B171&lt;=客户对账单!$I$4),资金台帐!B171+ROW()/100000,"")</f>
      </c>
      <c r="H3168">
        <f>IF(AND(资金台帐!K1671&lt;&gt;"",资金台帐!K1671=供应商对账单!$B$4,资金台帐!P1671="应付",ISNUMBER(资金台帐!B1671),资金台帐!B1671&gt;=供应商对账单!$G$4,资金台帐!B1671&lt;=供应商对账单!$I$4),资金台帐!B1671+ROW()/100000,"")</f>
      </c>
    </row>
    <row r="3169">
      <c r="A3169">
        <f>IF(OR(出库明细!C2169="",出库明细!D2169=""),"",IF(OR(COUNTIFS(存条明细!$C$4:$C$1003,出库明细!C2169,存条明细!$D$4:$D$1003,出库明细!D2169)&gt;0,COUNTIFS(出库明细!$C$4:C2169,出库明细!C2169,出库明细!$D$4:D2169,出库明细!D2169)&gt;1),"",IFERROR(MATCH(出库明细!C2169,总览汇总!$B$5:$B$304,0),900)*10000000+IFERROR(MATCH(出库明细!D2169,基础资料!$E$5:$E$104,0),900)*10000+ROW()))</f>
      </c>
      <c r="F3169">
        <f>IF(AND(资金台帐!J172&lt;&gt;"",资金台帐!J172=客户对账单!$B$4,资金台帐!P172="应收",ISNUMBER(资金台帐!B172),资金台帐!B172&gt;=客户对账单!$G$4,资金台帐!B172&lt;=客户对账单!$I$4),资金台帐!B172+ROW()/100000,"")</f>
      </c>
      <c r="H3169">
        <f>IF(AND(资金台帐!K1672&lt;&gt;"",资金台帐!K1672=供应商对账单!$B$4,资金台帐!P1672="应付",ISNUMBER(资金台帐!B1672),资金台帐!B1672&gt;=供应商对账单!$G$4,资金台帐!B1672&lt;=供应商对账单!$I$4),资金台帐!B1672+ROW()/100000,"")</f>
      </c>
    </row>
    <row r="3170">
      <c r="A3170">
        <f>IF(OR(出库明细!C2170="",出库明细!D2170=""),"",IF(OR(COUNTIFS(存条明细!$C$4:$C$1003,出库明细!C2170,存条明细!$D$4:$D$1003,出库明细!D2170)&gt;0,COUNTIFS(出库明细!$C$4:C2170,出库明细!C2170,出库明细!$D$4:D2170,出库明细!D2170)&gt;1),"",IFERROR(MATCH(出库明细!C2170,总览汇总!$B$5:$B$304,0),900)*10000000+IFERROR(MATCH(出库明细!D2170,基础资料!$E$5:$E$104,0),900)*10000+ROW()))</f>
      </c>
      <c r="F3170">
        <f>IF(AND(资金台帐!J173&lt;&gt;"",资金台帐!J173=客户对账单!$B$4,资金台帐!P173="应收",ISNUMBER(资金台帐!B173),资金台帐!B173&gt;=客户对账单!$G$4,资金台帐!B173&lt;=客户对账单!$I$4),资金台帐!B173+ROW()/100000,"")</f>
      </c>
      <c r="H3170">
        <f>IF(AND(资金台帐!K1673&lt;&gt;"",资金台帐!K1673=供应商对账单!$B$4,资金台帐!P1673="应付",ISNUMBER(资金台帐!B1673),资金台帐!B1673&gt;=供应商对账单!$G$4,资金台帐!B1673&lt;=供应商对账单!$I$4),资金台帐!B1673+ROW()/100000,"")</f>
      </c>
    </row>
    <row r="3171">
      <c r="A3171">
        <f>IF(OR(出库明细!C2171="",出库明细!D2171=""),"",IF(OR(COUNTIFS(存条明细!$C$4:$C$1003,出库明细!C2171,存条明细!$D$4:$D$1003,出库明细!D2171)&gt;0,COUNTIFS(出库明细!$C$4:C2171,出库明细!C2171,出库明细!$D$4:D2171,出库明细!D2171)&gt;1),"",IFERROR(MATCH(出库明细!C2171,总览汇总!$B$5:$B$304,0),900)*10000000+IFERROR(MATCH(出库明细!D2171,基础资料!$E$5:$E$104,0),900)*10000+ROW()))</f>
      </c>
      <c r="F3171">
        <f>IF(AND(资金台帐!J174&lt;&gt;"",资金台帐!J174=客户对账单!$B$4,资金台帐!P174="应收",ISNUMBER(资金台帐!B174),资金台帐!B174&gt;=客户对账单!$G$4,资金台帐!B174&lt;=客户对账单!$I$4),资金台帐!B174+ROW()/100000,"")</f>
      </c>
      <c r="H3171">
        <f>IF(AND(资金台帐!K1674&lt;&gt;"",资金台帐!K1674=供应商对账单!$B$4,资金台帐!P1674="应付",ISNUMBER(资金台帐!B1674),资金台帐!B1674&gt;=供应商对账单!$G$4,资金台帐!B1674&lt;=供应商对账单!$I$4),资金台帐!B1674+ROW()/100000,"")</f>
      </c>
    </row>
    <row r="3172">
      <c r="A3172">
        <f>IF(OR(出库明细!C2172="",出库明细!D2172=""),"",IF(OR(COUNTIFS(存条明细!$C$4:$C$1003,出库明细!C2172,存条明细!$D$4:$D$1003,出库明细!D2172)&gt;0,COUNTIFS(出库明细!$C$4:C2172,出库明细!C2172,出库明细!$D$4:D2172,出库明细!D2172)&gt;1),"",IFERROR(MATCH(出库明细!C2172,总览汇总!$B$5:$B$304,0),900)*10000000+IFERROR(MATCH(出库明细!D2172,基础资料!$E$5:$E$104,0),900)*10000+ROW()))</f>
      </c>
      <c r="F3172">
        <f>IF(AND(资金台帐!J175&lt;&gt;"",资金台帐!J175=客户对账单!$B$4,资金台帐!P175="应收",ISNUMBER(资金台帐!B175),资金台帐!B175&gt;=客户对账单!$G$4,资金台帐!B175&lt;=客户对账单!$I$4),资金台帐!B175+ROW()/100000,"")</f>
      </c>
      <c r="H3172">
        <f>IF(AND(资金台帐!K1675&lt;&gt;"",资金台帐!K1675=供应商对账单!$B$4,资金台帐!P1675="应付",ISNUMBER(资金台帐!B1675),资金台帐!B1675&gt;=供应商对账单!$G$4,资金台帐!B1675&lt;=供应商对账单!$I$4),资金台帐!B1675+ROW()/100000,"")</f>
      </c>
    </row>
    <row r="3173">
      <c r="A3173">
        <f>IF(OR(出库明细!C2173="",出库明细!D2173=""),"",IF(OR(COUNTIFS(存条明细!$C$4:$C$1003,出库明细!C2173,存条明细!$D$4:$D$1003,出库明细!D2173)&gt;0,COUNTIFS(出库明细!$C$4:C2173,出库明细!C2173,出库明细!$D$4:D2173,出库明细!D2173)&gt;1),"",IFERROR(MATCH(出库明细!C2173,总览汇总!$B$5:$B$304,0),900)*10000000+IFERROR(MATCH(出库明细!D2173,基础资料!$E$5:$E$104,0),900)*10000+ROW()))</f>
      </c>
      <c r="F3173">
        <f>IF(AND(资金台帐!J176&lt;&gt;"",资金台帐!J176=客户对账单!$B$4,资金台帐!P176="应收",ISNUMBER(资金台帐!B176),资金台帐!B176&gt;=客户对账单!$G$4,资金台帐!B176&lt;=客户对账单!$I$4),资金台帐!B176+ROW()/100000,"")</f>
      </c>
      <c r="H3173">
        <f>IF(AND(资金台帐!K1676&lt;&gt;"",资金台帐!K1676=供应商对账单!$B$4,资金台帐!P1676="应付",ISNUMBER(资金台帐!B1676),资金台帐!B1676&gt;=供应商对账单!$G$4,资金台帐!B1676&lt;=供应商对账单!$I$4),资金台帐!B1676+ROW()/100000,"")</f>
      </c>
    </row>
    <row r="3174">
      <c r="A3174">
        <f>IF(OR(出库明细!C2174="",出库明细!D2174=""),"",IF(OR(COUNTIFS(存条明细!$C$4:$C$1003,出库明细!C2174,存条明细!$D$4:$D$1003,出库明细!D2174)&gt;0,COUNTIFS(出库明细!$C$4:C2174,出库明细!C2174,出库明细!$D$4:D2174,出库明细!D2174)&gt;1),"",IFERROR(MATCH(出库明细!C2174,总览汇总!$B$5:$B$304,0),900)*10000000+IFERROR(MATCH(出库明细!D2174,基础资料!$E$5:$E$104,0),900)*10000+ROW()))</f>
      </c>
      <c r="F3174">
        <f>IF(AND(资金台帐!J177&lt;&gt;"",资金台帐!J177=客户对账单!$B$4,资金台帐!P177="应收",ISNUMBER(资金台帐!B177),资金台帐!B177&gt;=客户对账单!$G$4,资金台帐!B177&lt;=客户对账单!$I$4),资金台帐!B177+ROW()/100000,"")</f>
      </c>
      <c r="H3174">
        <f>IF(AND(资金台帐!K1677&lt;&gt;"",资金台帐!K1677=供应商对账单!$B$4,资金台帐!P1677="应付",ISNUMBER(资金台帐!B1677),资金台帐!B1677&gt;=供应商对账单!$G$4,资金台帐!B1677&lt;=供应商对账单!$I$4),资金台帐!B1677+ROW()/100000,"")</f>
      </c>
    </row>
    <row r="3175">
      <c r="A3175">
        <f>IF(OR(出库明细!C2175="",出库明细!D2175=""),"",IF(OR(COUNTIFS(存条明细!$C$4:$C$1003,出库明细!C2175,存条明细!$D$4:$D$1003,出库明细!D2175)&gt;0,COUNTIFS(出库明细!$C$4:C2175,出库明细!C2175,出库明细!$D$4:D2175,出库明细!D2175)&gt;1),"",IFERROR(MATCH(出库明细!C2175,总览汇总!$B$5:$B$304,0),900)*10000000+IFERROR(MATCH(出库明细!D2175,基础资料!$E$5:$E$104,0),900)*10000+ROW()))</f>
      </c>
      <c r="F3175">
        <f>IF(AND(资金台帐!J178&lt;&gt;"",资金台帐!J178=客户对账单!$B$4,资金台帐!P178="应收",ISNUMBER(资金台帐!B178),资金台帐!B178&gt;=客户对账单!$G$4,资金台帐!B178&lt;=客户对账单!$I$4),资金台帐!B178+ROW()/100000,"")</f>
      </c>
      <c r="H3175">
        <f>IF(AND(资金台帐!K1678&lt;&gt;"",资金台帐!K1678=供应商对账单!$B$4,资金台帐!P1678="应付",ISNUMBER(资金台帐!B1678),资金台帐!B1678&gt;=供应商对账单!$G$4,资金台帐!B1678&lt;=供应商对账单!$I$4),资金台帐!B1678+ROW()/100000,"")</f>
      </c>
    </row>
    <row r="3176">
      <c r="A3176">
        <f>IF(OR(出库明细!C2176="",出库明细!D2176=""),"",IF(OR(COUNTIFS(存条明细!$C$4:$C$1003,出库明细!C2176,存条明细!$D$4:$D$1003,出库明细!D2176)&gt;0,COUNTIFS(出库明细!$C$4:C2176,出库明细!C2176,出库明细!$D$4:D2176,出库明细!D2176)&gt;1),"",IFERROR(MATCH(出库明细!C2176,总览汇总!$B$5:$B$304,0),900)*10000000+IFERROR(MATCH(出库明细!D2176,基础资料!$E$5:$E$104,0),900)*10000+ROW()))</f>
      </c>
      <c r="F3176">
        <f>IF(AND(资金台帐!J179&lt;&gt;"",资金台帐!J179=客户对账单!$B$4,资金台帐!P179="应收",ISNUMBER(资金台帐!B179),资金台帐!B179&gt;=客户对账单!$G$4,资金台帐!B179&lt;=客户对账单!$I$4),资金台帐!B179+ROW()/100000,"")</f>
      </c>
      <c r="H3176">
        <f>IF(AND(资金台帐!K1679&lt;&gt;"",资金台帐!K1679=供应商对账单!$B$4,资金台帐!P1679="应付",ISNUMBER(资金台帐!B1679),资金台帐!B1679&gt;=供应商对账单!$G$4,资金台帐!B1679&lt;=供应商对账单!$I$4),资金台帐!B1679+ROW()/100000,"")</f>
      </c>
    </row>
    <row r="3177">
      <c r="A3177">
        <f>IF(OR(出库明细!C2177="",出库明细!D2177=""),"",IF(OR(COUNTIFS(存条明细!$C$4:$C$1003,出库明细!C2177,存条明细!$D$4:$D$1003,出库明细!D2177)&gt;0,COUNTIFS(出库明细!$C$4:C2177,出库明细!C2177,出库明细!$D$4:D2177,出库明细!D2177)&gt;1),"",IFERROR(MATCH(出库明细!C2177,总览汇总!$B$5:$B$304,0),900)*10000000+IFERROR(MATCH(出库明细!D2177,基础资料!$E$5:$E$104,0),900)*10000+ROW()))</f>
      </c>
      <c r="F3177">
        <f>IF(AND(资金台帐!J180&lt;&gt;"",资金台帐!J180=客户对账单!$B$4,资金台帐!P180="应收",ISNUMBER(资金台帐!B180),资金台帐!B180&gt;=客户对账单!$G$4,资金台帐!B180&lt;=客户对账单!$I$4),资金台帐!B180+ROW()/100000,"")</f>
      </c>
      <c r="H3177">
        <f>IF(AND(资金台帐!K1680&lt;&gt;"",资金台帐!K1680=供应商对账单!$B$4,资金台帐!P1680="应付",ISNUMBER(资金台帐!B1680),资金台帐!B1680&gt;=供应商对账单!$G$4,资金台帐!B1680&lt;=供应商对账单!$I$4),资金台帐!B1680+ROW()/100000,"")</f>
      </c>
    </row>
    <row r="3178">
      <c r="A3178">
        <f>IF(OR(出库明细!C2178="",出库明细!D2178=""),"",IF(OR(COUNTIFS(存条明细!$C$4:$C$1003,出库明细!C2178,存条明细!$D$4:$D$1003,出库明细!D2178)&gt;0,COUNTIFS(出库明细!$C$4:C2178,出库明细!C2178,出库明细!$D$4:D2178,出库明细!D2178)&gt;1),"",IFERROR(MATCH(出库明细!C2178,总览汇总!$B$5:$B$304,0),900)*10000000+IFERROR(MATCH(出库明细!D2178,基础资料!$E$5:$E$104,0),900)*10000+ROW()))</f>
      </c>
      <c r="F3178">
        <f>IF(AND(资金台帐!J181&lt;&gt;"",资金台帐!J181=客户对账单!$B$4,资金台帐!P181="应收",ISNUMBER(资金台帐!B181),资金台帐!B181&gt;=客户对账单!$G$4,资金台帐!B181&lt;=客户对账单!$I$4),资金台帐!B181+ROW()/100000,"")</f>
      </c>
      <c r="H3178">
        <f>IF(AND(资金台帐!K1681&lt;&gt;"",资金台帐!K1681=供应商对账单!$B$4,资金台帐!P1681="应付",ISNUMBER(资金台帐!B1681),资金台帐!B1681&gt;=供应商对账单!$G$4,资金台帐!B1681&lt;=供应商对账单!$I$4),资金台帐!B1681+ROW()/100000,"")</f>
      </c>
    </row>
    <row r="3179">
      <c r="A3179">
        <f>IF(OR(出库明细!C2179="",出库明细!D2179=""),"",IF(OR(COUNTIFS(存条明细!$C$4:$C$1003,出库明细!C2179,存条明细!$D$4:$D$1003,出库明细!D2179)&gt;0,COUNTIFS(出库明细!$C$4:C2179,出库明细!C2179,出库明细!$D$4:D2179,出库明细!D2179)&gt;1),"",IFERROR(MATCH(出库明细!C2179,总览汇总!$B$5:$B$304,0),900)*10000000+IFERROR(MATCH(出库明细!D2179,基础资料!$E$5:$E$104,0),900)*10000+ROW()))</f>
      </c>
      <c r="F3179">
        <f>IF(AND(资金台帐!J182&lt;&gt;"",资金台帐!J182=客户对账单!$B$4,资金台帐!P182="应收",ISNUMBER(资金台帐!B182),资金台帐!B182&gt;=客户对账单!$G$4,资金台帐!B182&lt;=客户对账单!$I$4),资金台帐!B182+ROW()/100000,"")</f>
      </c>
      <c r="H3179">
        <f>IF(AND(资金台帐!K1682&lt;&gt;"",资金台帐!K1682=供应商对账单!$B$4,资金台帐!P1682="应付",ISNUMBER(资金台帐!B1682),资金台帐!B1682&gt;=供应商对账单!$G$4,资金台帐!B1682&lt;=供应商对账单!$I$4),资金台帐!B1682+ROW()/100000,"")</f>
      </c>
    </row>
    <row r="3180">
      <c r="A3180">
        <f>IF(OR(出库明细!C2180="",出库明细!D2180=""),"",IF(OR(COUNTIFS(存条明细!$C$4:$C$1003,出库明细!C2180,存条明细!$D$4:$D$1003,出库明细!D2180)&gt;0,COUNTIFS(出库明细!$C$4:C2180,出库明细!C2180,出库明细!$D$4:D2180,出库明细!D2180)&gt;1),"",IFERROR(MATCH(出库明细!C2180,总览汇总!$B$5:$B$304,0),900)*10000000+IFERROR(MATCH(出库明细!D2180,基础资料!$E$5:$E$104,0),900)*10000+ROW()))</f>
      </c>
      <c r="F3180">
        <f>IF(AND(资金台帐!J183&lt;&gt;"",资金台帐!J183=客户对账单!$B$4,资金台帐!P183="应收",ISNUMBER(资金台帐!B183),资金台帐!B183&gt;=客户对账单!$G$4,资金台帐!B183&lt;=客户对账单!$I$4),资金台帐!B183+ROW()/100000,"")</f>
      </c>
      <c r="H3180">
        <f>IF(AND(资金台帐!K1683&lt;&gt;"",资金台帐!K1683=供应商对账单!$B$4,资金台帐!P1683="应付",ISNUMBER(资金台帐!B1683),资金台帐!B1683&gt;=供应商对账单!$G$4,资金台帐!B1683&lt;=供应商对账单!$I$4),资金台帐!B1683+ROW()/100000,"")</f>
      </c>
    </row>
    <row r="3181">
      <c r="A3181">
        <f>IF(OR(出库明细!C2181="",出库明细!D2181=""),"",IF(OR(COUNTIFS(存条明细!$C$4:$C$1003,出库明细!C2181,存条明细!$D$4:$D$1003,出库明细!D2181)&gt;0,COUNTIFS(出库明细!$C$4:C2181,出库明细!C2181,出库明细!$D$4:D2181,出库明细!D2181)&gt;1),"",IFERROR(MATCH(出库明细!C2181,总览汇总!$B$5:$B$304,0),900)*10000000+IFERROR(MATCH(出库明细!D2181,基础资料!$E$5:$E$104,0),900)*10000+ROW()))</f>
      </c>
      <c r="F3181">
        <f>IF(AND(资金台帐!J184&lt;&gt;"",资金台帐!J184=客户对账单!$B$4,资金台帐!P184="应收",ISNUMBER(资金台帐!B184),资金台帐!B184&gt;=客户对账单!$G$4,资金台帐!B184&lt;=客户对账单!$I$4),资金台帐!B184+ROW()/100000,"")</f>
      </c>
      <c r="H3181">
        <f>IF(AND(资金台帐!K1684&lt;&gt;"",资金台帐!K1684=供应商对账单!$B$4,资金台帐!P1684="应付",ISNUMBER(资金台帐!B1684),资金台帐!B1684&gt;=供应商对账单!$G$4,资金台帐!B1684&lt;=供应商对账单!$I$4),资金台帐!B1684+ROW()/100000,"")</f>
      </c>
    </row>
    <row r="3182">
      <c r="A3182">
        <f>IF(OR(出库明细!C2182="",出库明细!D2182=""),"",IF(OR(COUNTIFS(存条明细!$C$4:$C$1003,出库明细!C2182,存条明细!$D$4:$D$1003,出库明细!D2182)&gt;0,COUNTIFS(出库明细!$C$4:C2182,出库明细!C2182,出库明细!$D$4:D2182,出库明细!D2182)&gt;1),"",IFERROR(MATCH(出库明细!C2182,总览汇总!$B$5:$B$304,0),900)*10000000+IFERROR(MATCH(出库明细!D2182,基础资料!$E$5:$E$104,0),900)*10000+ROW()))</f>
      </c>
      <c r="F3182">
        <f>IF(AND(资金台帐!J185&lt;&gt;"",资金台帐!J185=客户对账单!$B$4,资金台帐!P185="应收",ISNUMBER(资金台帐!B185),资金台帐!B185&gt;=客户对账单!$G$4,资金台帐!B185&lt;=客户对账单!$I$4),资金台帐!B185+ROW()/100000,"")</f>
      </c>
      <c r="H3182">
        <f>IF(AND(资金台帐!K1685&lt;&gt;"",资金台帐!K1685=供应商对账单!$B$4,资金台帐!P1685="应付",ISNUMBER(资金台帐!B1685),资金台帐!B1685&gt;=供应商对账单!$G$4,资金台帐!B1685&lt;=供应商对账单!$I$4),资金台帐!B1685+ROW()/100000,"")</f>
      </c>
    </row>
    <row r="3183">
      <c r="A3183">
        <f>IF(OR(出库明细!C2183="",出库明细!D2183=""),"",IF(OR(COUNTIFS(存条明细!$C$4:$C$1003,出库明细!C2183,存条明细!$D$4:$D$1003,出库明细!D2183)&gt;0,COUNTIFS(出库明细!$C$4:C2183,出库明细!C2183,出库明细!$D$4:D2183,出库明细!D2183)&gt;1),"",IFERROR(MATCH(出库明细!C2183,总览汇总!$B$5:$B$304,0),900)*10000000+IFERROR(MATCH(出库明细!D2183,基础资料!$E$5:$E$104,0),900)*10000+ROW()))</f>
      </c>
      <c r="F3183">
        <f>IF(AND(资金台帐!J186&lt;&gt;"",资金台帐!J186=客户对账单!$B$4,资金台帐!P186="应收",ISNUMBER(资金台帐!B186),资金台帐!B186&gt;=客户对账单!$G$4,资金台帐!B186&lt;=客户对账单!$I$4),资金台帐!B186+ROW()/100000,"")</f>
      </c>
      <c r="H3183">
        <f>IF(AND(资金台帐!K1686&lt;&gt;"",资金台帐!K1686=供应商对账单!$B$4,资金台帐!P1686="应付",ISNUMBER(资金台帐!B1686),资金台帐!B1686&gt;=供应商对账单!$G$4,资金台帐!B1686&lt;=供应商对账单!$I$4),资金台帐!B1686+ROW()/100000,"")</f>
      </c>
    </row>
    <row r="3184">
      <c r="A3184">
        <f>IF(OR(出库明细!C2184="",出库明细!D2184=""),"",IF(OR(COUNTIFS(存条明细!$C$4:$C$1003,出库明细!C2184,存条明细!$D$4:$D$1003,出库明细!D2184)&gt;0,COUNTIFS(出库明细!$C$4:C2184,出库明细!C2184,出库明细!$D$4:D2184,出库明细!D2184)&gt;1),"",IFERROR(MATCH(出库明细!C2184,总览汇总!$B$5:$B$304,0),900)*10000000+IFERROR(MATCH(出库明细!D2184,基础资料!$E$5:$E$104,0),900)*10000+ROW()))</f>
      </c>
      <c r="F3184">
        <f>IF(AND(资金台帐!J187&lt;&gt;"",资金台帐!J187=客户对账单!$B$4,资金台帐!P187="应收",ISNUMBER(资金台帐!B187),资金台帐!B187&gt;=客户对账单!$G$4,资金台帐!B187&lt;=客户对账单!$I$4),资金台帐!B187+ROW()/100000,"")</f>
      </c>
      <c r="H3184">
        <f>IF(AND(资金台帐!K1687&lt;&gt;"",资金台帐!K1687=供应商对账单!$B$4,资金台帐!P1687="应付",ISNUMBER(资金台帐!B1687),资金台帐!B1687&gt;=供应商对账单!$G$4,资金台帐!B1687&lt;=供应商对账单!$I$4),资金台帐!B1687+ROW()/100000,"")</f>
      </c>
    </row>
    <row r="3185">
      <c r="A3185">
        <f>IF(OR(出库明细!C2185="",出库明细!D2185=""),"",IF(OR(COUNTIFS(存条明细!$C$4:$C$1003,出库明细!C2185,存条明细!$D$4:$D$1003,出库明细!D2185)&gt;0,COUNTIFS(出库明细!$C$4:C2185,出库明细!C2185,出库明细!$D$4:D2185,出库明细!D2185)&gt;1),"",IFERROR(MATCH(出库明细!C2185,总览汇总!$B$5:$B$304,0),900)*10000000+IFERROR(MATCH(出库明细!D2185,基础资料!$E$5:$E$104,0),900)*10000+ROW()))</f>
      </c>
      <c r="F3185">
        <f>IF(AND(资金台帐!J188&lt;&gt;"",资金台帐!J188=客户对账单!$B$4,资金台帐!P188="应收",ISNUMBER(资金台帐!B188),资金台帐!B188&gt;=客户对账单!$G$4,资金台帐!B188&lt;=客户对账单!$I$4),资金台帐!B188+ROW()/100000,"")</f>
      </c>
      <c r="H3185">
        <f>IF(AND(资金台帐!K1688&lt;&gt;"",资金台帐!K1688=供应商对账单!$B$4,资金台帐!P1688="应付",ISNUMBER(资金台帐!B1688),资金台帐!B1688&gt;=供应商对账单!$G$4,资金台帐!B1688&lt;=供应商对账单!$I$4),资金台帐!B1688+ROW()/100000,"")</f>
      </c>
    </row>
    <row r="3186">
      <c r="A3186">
        <f>IF(OR(出库明细!C2186="",出库明细!D2186=""),"",IF(OR(COUNTIFS(存条明细!$C$4:$C$1003,出库明细!C2186,存条明细!$D$4:$D$1003,出库明细!D2186)&gt;0,COUNTIFS(出库明细!$C$4:C2186,出库明细!C2186,出库明细!$D$4:D2186,出库明细!D2186)&gt;1),"",IFERROR(MATCH(出库明细!C2186,总览汇总!$B$5:$B$304,0),900)*10000000+IFERROR(MATCH(出库明细!D2186,基础资料!$E$5:$E$104,0),900)*10000+ROW()))</f>
      </c>
      <c r="F3186">
        <f>IF(AND(资金台帐!J189&lt;&gt;"",资金台帐!J189=客户对账单!$B$4,资金台帐!P189="应收",ISNUMBER(资金台帐!B189),资金台帐!B189&gt;=客户对账单!$G$4,资金台帐!B189&lt;=客户对账单!$I$4),资金台帐!B189+ROW()/100000,"")</f>
      </c>
      <c r="H3186">
        <f>IF(AND(资金台帐!K1689&lt;&gt;"",资金台帐!K1689=供应商对账单!$B$4,资金台帐!P1689="应付",ISNUMBER(资金台帐!B1689),资金台帐!B1689&gt;=供应商对账单!$G$4,资金台帐!B1689&lt;=供应商对账单!$I$4),资金台帐!B1689+ROW()/100000,"")</f>
      </c>
    </row>
    <row r="3187">
      <c r="A3187">
        <f>IF(OR(出库明细!C2187="",出库明细!D2187=""),"",IF(OR(COUNTIFS(存条明细!$C$4:$C$1003,出库明细!C2187,存条明细!$D$4:$D$1003,出库明细!D2187)&gt;0,COUNTIFS(出库明细!$C$4:C2187,出库明细!C2187,出库明细!$D$4:D2187,出库明细!D2187)&gt;1),"",IFERROR(MATCH(出库明细!C2187,总览汇总!$B$5:$B$304,0),900)*10000000+IFERROR(MATCH(出库明细!D2187,基础资料!$E$5:$E$104,0),900)*10000+ROW()))</f>
      </c>
      <c r="F3187">
        <f>IF(AND(资金台帐!J190&lt;&gt;"",资金台帐!J190=客户对账单!$B$4,资金台帐!P190="应收",ISNUMBER(资金台帐!B190),资金台帐!B190&gt;=客户对账单!$G$4,资金台帐!B190&lt;=客户对账单!$I$4),资金台帐!B190+ROW()/100000,"")</f>
      </c>
      <c r="H3187">
        <f>IF(AND(资金台帐!K1690&lt;&gt;"",资金台帐!K1690=供应商对账单!$B$4,资金台帐!P1690="应付",ISNUMBER(资金台帐!B1690),资金台帐!B1690&gt;=供应商对账单!$G$4,资金台帐!B1690&lt;=供应商对账单!$I$4),资金台帐!B1690+ROW()/100000,"")</f>
      </c>
    </row>
    <row r="3188">
      <c r="A3188">
        <f>IF(OR(出库明细!C2188="",出库明细!D2188=""),"",IF(OR(COUNTIFS(存条明细!$C$4:$C$1003,出库明细!C2188,存条明细!$D$4:$D$1003,出库明细!D2188)&gt;0,COUNTIFS(出库明细!$C$4:C2188,出库明细!C2188,出库明细!$D$4:D2188,出库明细!D2188)&gt;1),"",IFERROR(MATCH(出库明细!C2188,总览汇总!$B$5:$B$304,0),900)*10000000+IFERROR(MATCH(出库明细!D2188,基础资料!$E$5:$E$104,0),900)*10000+ROW()))</f>
      </c>
      <c r="F3188">
        <f>IF(AND(资金台帐!J191&lt;&gt;"",资金台帐!J191=客户对账单!$B$4,资金台帐!P191="应收",ISNUMBER(资金台帐!B191),资金台帐!B191&gt;=客户对账单!$G$4,资金台帐!B191&lt;=客户对账单!$I$4),资金台帐!B191+ROW()/100000,"")</f>
      </c>
      <c r="H3188">
        <f>IF(AND(资金台帐!K1691&lt;&gt;"",资金台帐!K1691=供应商对账单!$B$4,资金台帐!P1691="应付",ISNUMBER(资金台帐!B1691),资金台帐!B1691&gt;=供应商对账单!$G$4,资金台帐!B1691&lt;=供应商对账单!$I$4),资金台帐!B1691+ROW()/100000,"")</f>
      </c>
    </row>
    <row r="3189">
      <c r="A3189">
        <f>IF(OR(出库明细!C2189="",出库明细!D2189=""),"",IF(OR(COUNTIFS(存条明细!$C$4:$C$1003,出库明细!C2189,存条明细!$D$4:$D$1003,出库明细!D2189)&gt;0,COUNTIFS(出库明细!$C$4:C2189,出库明细!C2189,出库明细!$D$4:D2189,出库明细!D2189)&gt;1),"",IFERROR(MATCH(出库明细!C2189,总览汇总!$B$5:$B$304,0),900)*10000000+IFERROR(MATCH(出库明细!D2189,基础资料!$E$5:$E$104,0),900)*10000+ROW()))</f>
      </c>
      <c r="F3189">
        <f>IF(AND(资金台帐!J192&lt;&gt;"",资金台帐!J192=客户对账单!$B$4,资金台帐!P192="应收",ISNUMBER(资金台帐!B192),资金台帐!B192&gt;=客户对账单!$G$4,资金台帐!B192&lt;=客户对账单!$I$4),资金台帐!B192+ROW()/100000,"")</f>
      </c>
      <c r="H3189">
        <f>IF(AND(资金台帐!K1692&lt;&gt;"",资金台帐!K1692=供应商对账单!$B$4,资金台帐!P1692="应付",ISNUMBER(资金台帐!B1692),资金台帐!B1692&gt;=供应商对账单!$G$4,资金台帐!B1692&lt;=供应商对账单!$I$4),资金台帐!B1692+ROW()/100000,"")</f>
      </c>
    </row>
    <row r="3190">
      <c r="A3190">
        <f>IF(OR(出库明细!C2190="",出库明细!D2190=""),"",IF(OR(COUNTIFS(存条明细!$C$4:$C$1003,出库明细!C2190,存条明细!$D$4:$D$1003,出库明细!D2190)&gt;0,COUNTIFS(出库明细!$C$4:C2190,出库明细!C2190,出库明细!$D$4:D2190,出库明细!D2190)&gt;1),"",IFERROR(MATCH(出库明细!C2190,总览汇总!$B$5:$B$304,0),900)*10000000+IFERROR(MATCH(出库明细!D2190,基础资料!$E$5:$E$104,0),900)*10000+ROW()))</f>
      </c>
      <c r="F3190">
        <f>IF(AND(资金台帐!J193&lt;&gt;"",资金台帐!J193=客户对账单!$B$4,资金台帐!P193="应收",ISNUMBER(资金台帐!B193),资金台帐!B193&gt;=客户对账单!$G$4,资金台帐!B193&lt;=客户对账单!$I$4),资金台帐!B193+ROW()/100000,"")</f>
      </c>
      <c r="H3190">
        <f>IF(AND(资金台帐!K1693&lt;&gt;"",资金台帐!K1693=供应商对账单!$B$4,资金台帐!P1693="应付",ISNUMBER(资金台帐!B1693),资金台帐!B1693&gt;=供应商对账单!$G$4,资金台帐!B1693&lt;=供应商对账单!$I$4),资金台帐!B1693+ROW()/100000,"")</f>
      </c>
    </row>
    <row r="3191">
      <c r="A3191">
        <f>IF(OR(出库明细!C2191="",出库明细!D2191=""),"",IF(OR(COUNTIFS(存条明细!$C$4:$C$1003,出库明细!C2191,存条明细!$D$4:$D$1003,出库明细!D2191)&gt;0,COUNTIFS(出库明细!$C$4:C2191,出库明细!C2191,出库明细!$D$4:D2191,出库明细!D2191)&gt;1),"",IFERROR(MATCH(出库明细!C2191,总览汇总!$B$5:$B$304,0),900)*10000000+IFERROR(MATCH(出库明细!D2191,基础资料!$E$5:$E$104,0),900)*10000+ROW()))</f>
      </c>
      <c r="F3191">
        <f>IF(AND(资金台帐!J194&lt;&gt;"",资金台帐!J194=客户对账单!$B$4,资金台帐!P194="应收",ISNUMBER(资金台帐!B194),资金台帐!B194&gt;=客户对账单!$G$4,资金台帐!B194&lt;=客户对账单!$I$4),资金台帐!B194+ROW()/100000,"")</f>
      </c>
      <c r="H3191">
        <f>IF(AND(资金台帐!K1694&lt;&gt;"",资金台帐!K1694=供应商对账单!$B$4,资金台帐!P1694="应付",ISNUMBER(资金台帐!B1694),资金台帐!B1694&gt;=供应商对账单!$G$4,资金台帐!B1694&lt;=供应商对账单!$I$4),资金台帐!B1694+ROW()/100000,"")</f>
      </c>
    </row>
    <row r="3192">
      <c r="A3192">
        <f>IF(OR(出库明细!C2192="",出库明细!D2192=""),"",IF(OR(COUNTIFS(存条明细!$C$4:$C$1003,出库明细!C2192,存条明细!$D$4:$D$1003,出库明细!D2192)&gt;0,COUNTIFS(出库明细!$C$4:C2192,出库明细!C2192,出库明细!$D$4:D2192,出库明细!D2192)&gt;1),"",IFERROR(MATCH(出库明细!C2192,总览汇总!$B$5:$B$304,0),900)*10000000+IFERROR(MATCH(出库明细!D2192,基础资料!$E$5:$E$104,0),900)*10000+ROW()))</f>
      </c>
      <c r="F3192">
        <f>IF(AND(资金台帐!J195&lt;&gt;"",资金台帐!J195=客户对账单!$B$4,资金台帐!P195="应收",ISNUMBER(资金台帐!B195),资金台帐!B195&gt;=客户对账单!$G$4,资金台帐!B195&lt;=客户对账单!$I$4),资金台帐!B195+ROW()/100000,"")</f>
      </c>
      <c r="H3192">
        <f>IF(AND(资金台帐!K1695&lt;&gt;"",资金台帐!K1695=供应商对账单!$B$4,资金台帐!P1695="应付",ISNUMBER(资金台帐!B1695),资金台帐!B1695&gt;=供应商对账单!$G$4,资金台帐!B1695&lt;=供应商对账单!$I$4),资金台帐!B1695+ROW()/100000,"")</f>
      </c>
    </row>
    <row r="3193">
      <c r="A3193">
        <f>IF(OR(出库明细!C2193="",出库明细!D2193=""),"",IF(OR(COUNTIFS(存条明细!$C$4:$C$1003,出库明细!C2193,存条明细!$D$4:$D$1003,出库明细!D2193)&gt;0,COUNTIFS(出库明细!$C$4:C2193,出库明细!C2193,出库明细!$D$4:D2193,出库明细!D2193)&gt;1),"",IFERROR(MATCH(出库明细!C2193,总览汇总!$B$5:$B$304,0),900)*10000000+IFERROR(MATCH(出库明细!D2193,基础资料!$E$5:$E$104,0),900)*10000+ROW()))</f>
      </c>
      <c r="F3193">
        <f>IF(AND(资金台帐!J196&lt;&gt;"",资金台帐!J196=客户对账单!$B$4,资金台帐!P196="应收",ISNUMBER(资金台帐!B196),资金台帐!B196&gt;=客户对账单!$G$4,资金台帐!B196&lt;=客户对账单!$I$4),资金台帐!B196+ROW()/100000,"")</f>
      </c>
      <c r="H3193">
        <f>IF(AND(资金台帐!K1696&lt;&gt;"",资金台帐!K1696=供应商对账单!$B$4,资金台帐!P1696="应付",ISNUMBER(资金台帐!B1696),资金台帐!B1696&gt;=供应商对账单!$G$4,资金台帐!B1696&lt;=供应商对账单!$I$4),资金台帐!B1696+ROW()/100000,"")</f>
      </c>
    </row>
    <row r="3194">
      <c r="A3194">
        <f>IF(OR(出库明细!C2194="",出库明细!D2194=""),"",IF(OR(COUNTIFS(存条明细!$C$4:$C$1003,出库明细!C2194,存条明细!$D$4:$D$1003,出库明细!D2194)&gt;0,COUNTIFS(出库明细!$C$4:C2194,出库明细!C2194,出库明细!$D$4:D2194,出库明细!D2194)&gt;1),"",IFERROR(MATCH(出库明细!C2194,总览汇总!$B$5:$B$304,0),900)*10000000+IFERROR(MATCH(出库明细!D2194,基础资料!$E$5:$E$104,0),900)*10000+ROW()))</f>
      </c>
      <c r="F3194">
        <f>IF(AND(资金台帐!J197&lt;&gt;"",资金台帐!J197=客户对账单!$B$4,资金台帐!P197="应收",ISNUMBER(资金台帐!B197),资金台帐!B197&gt;=客户对账单!$G$4,资金台帐!B197&lt;=客户对账单!$I$4),资金台帐!B197+ROW()/100000,"")</f>
      </c>
      <c r="H3194">
        <f>IF(AND(资金台帐!K1697&lt;&gt;"",资金台帐!K1697=供应商对账单!$B$4,资金台帐!P1697="应付",ISNUMBER(资金台帐!B1697),资金台帐!B1697&gt;=供应商对账单!$G$4,资金台帐!B1697&lt;=供应商对账单!$I$4),资金台帐!B1697+ROW()/100000,"")</f>
      </c>
    </row>
    <row r="3195">
      <c r="A3195">
        <f>IF(OR(出库明细!C2195="",出库明细!D2195=""),"",IF(OR(COUNTIFS(存条明细!$C$4:$C$1003,出库明细!C2195,存条明细!$D$4:$D$1003,出库明细!D2195)&gt;0,COUNTIFS(出库明细!$C$4:C2195,出库明细!C2195,出库明细!$D$4:D2195,出库明细!D2195)&gt;1),"",IFERROR(MATCH(出库明细!C2195,总览汇总!$B$5:$B$304,0),900)*10000000+IFERROR(MATCH(出库明细!D2195,基础资料!$E$5:$E$104,0),900)*10000+ROW()))</f>
      </c>
      <c r="F3195">
        <f>IF(AND(资金台帐!J198&lt;&gt;"",资金台帐!J198=客户对账单!$B$4,资金台帐!P198="应收",ISNUMBER(资金台帐!B198),资金台帐!B198&gt;=客户对账单!$G$4,资金台帐!B198&lt;=客户对账单!$I$4),资金台帐!B198+ROW()/100000,"")</f>
      </c>
      <c r="H3195">
        <f>IF(AND(资金台帐!K1698&lt;&gt;"",资金台帐!K1698=供应商对账单!$B$4,资金台帐!P1698="应付",ISNUMBER(资金台帐!B1698),资金台帐!B1698&gt;=供应商对账单!$G$4,资金台帐!B1698&lt;=供应商对账单!$I$4),资金台帐!B1698+ROW()/100000,"")</f>
      </c>
    </row>
    <row r="3196">
      <c r="A3196">
        <f>IF(OR(出库明细!C2196="",出库明细!D2196=""),"",IF(OR(COUNTIFS(存条明细!$C$4:$C$1003,出库明细!C2196,存条明细!$D$4:$D$1003,出库明细!D2196)&gt;0,COUNTIFS(出库明细!$C$4:C2196,出库明细!C2196,出库明细!$D$4:D2196,出库明细!D2196)&gt;1),"",IFERROR(MATCH(出库明细!C2196,总览汇总!$B$5:$B$304,0),900)*10000000+IFERROR(MATCH(出库明细!D2196,基础资料!$E$5:$E$104,0),900)*10000+ROW()))</f>
      </c>
      <c r="F3196">
        <f>IF(AND(资金台帐!J199&lt;&gt;"",资金台帐!J199=客户对账单!$B$4,资金台帐!P199="应收",ISNUMBER(资金台帐!B199),资金台帐!B199&gt;=客户对账单!$G$4,资金台帐!B199&lt;=客户对账单!$I$4),资金台帐!B199+ROW()/100000,"")</f>
      </c>
      <c r="H3196">
        <f>IF(AND(资金台帐!K1699&lt;&gt;"",资金台帐!K1699=供应商对账单!$B$4,资金台帐!P1699="应付",ISNUMBER(资金台帐!B1699),资金台帐!B1699&gt;=供应商对账单!$G$4,资金台帐!B1699&lt;=供应商对账单!$I$4),资金台帐!B1699+ROW()/100000,"")</f>
      </c>
    </row>
    <row r="3197">
      <c r="A3197">
        <f>IF(OR(出库明细!C2197="",出库明细!D2197=""),"",IF(OR(COUNTIFS(存条明细!$C$4:$C$1003,出库明细!C2197,存条明细!$D$4:$D$1003,出库明细!D2197)&gt;0,COUNTIFS(出库明细!$C$4:C2197,出库明细!C2197,出库明细!$D$4:D2197,出库明细!D2197)&gt;1),"",IFERROR(MATCH(出库明细!C2197,总览汇总!$B$5:$B$304,0),900)*10000000+IFERROR(MATCH(出库明细!D2197,基础资料!$E$5:$E$104,0),900)*10000+ROW()))</f>
      </c>
      <c r="F3197">
        <f>IF(AND(资金台帐!J200&lt;&gt;"",资金台帐!J200=客户对账单!$B$4,资金台帐!P200="应收",ISNUMBER(资金台帐!B200),资金台帐!B200&gt;=客户对账单!$G$4,资金台帐!B200&lt;=客户对账单!$I$4),资金台帐!B200+ROW()/100000,"")</f>
      </c>
      <c r="H3197">
        <f>IF(AND(资金台帐!K1700&lt;&gt;"",资金台帐!K1700=供应商对账单!$B$4,资金台帐!P1700="应付",ISNUMBER(资金台帐!B1700),资金台帐!B1700&gt;=供应商对账单!$G$4,资金台帐!B1700&lt;=供应商对账单!$I$4),资金台帐!B1700+ROW()/100000,"")</f>
      </c>
    </row>
    <row r="3198">
      <c r="A3198">
        <f>IF(OR(出库明细!C2198="",出库明细!D2198=""),"",IF(OR(COUNTIFS(存条明细!$C$4:$C$1003,出库明细!C2198,存条明细!$D$4:$D$1003,出库明细!D2198)&gt;0,COUNTIFS(出库明细!$C$4:C2198,出库明细!C2198,出库明细!$D$4:D2198,出库明细!D2198)&gt;1),"",IFERROR(MATCH(出库明细!C2198,总览汇总!$B$5:$B$304,0),900)*10000000+IFERROR(MATCH(出库明细!D2198,基础资料!$E$5:$E$104,0),900)*10000+ROW()))</f>
      </c>
      <c r="F3198">
        <f>IF(AND(资金台帐!J201&lt;&gt;"",资金台帐!J201=客户对账单!$B$4,资金台帐!P201="应收",ISNUMBER(资金台帐!B201),资金台帐!B201&gt;=客户对账单!$G$4,资金台帐!B201&lt;=客户对账单!$I$4),资金台帐!B201+ROW()/100000,"")</f>
      </c>
      <c r="H3198">
        <f>IF(AND(资金台帐!K1701&lt;&gt;"",资金台帐!K1701=供应商对账单!$B$4,资金台帐!P1701="应付",ISNUMBER(资金台帐!B1701),资金台帐!B1701&gt;=供应商对账单!$G$4,资金台帐!B1701&lt;=供应商对账单!$I$4),资金台帐!B1701+ROW()/100000,"")</f>
      </c>
    </row>
    <row r="3199">
      <c r="A3199">
        <f>IF(OR(出库明细!C2199="",出库明细!D2199=""),"",IF(OR(COUNTIFS(存条明细!$C$4:$C$1003,出库明细!C2199,存条明细!$D$4:$D$1003,出库明细!D2199)&gt;0,COUNTIFS(出库明细!$C$4:C2199,出库明细!C2199,出库明细!$D$4:D2199,出库明细!D2199)&gt;1),"",IFERROR(MATCH(出库明细!C2199,总览汇总!$B$5:$B$304,0),900)*10000000+IFERROR(MATCH(出库明细!D2199,基础资料!$E$5:$E$104,0),900)*10000+ROW()))</f>
      </c>
      <c r="F3199">
        <f>IF(AND(资金台帐!J202&lt;&gt;"",资金台帐!J202=客户对账单!$B$4,资金台帐!P202="应收",ISNUMBER(资金台帐!B202),资金台帐!B202&gt;=客户对账单!$G$4,资金台帐!B202&lt;=客户对账单!$I$4),资金台帐!B202+ROW()/100000,"")</f>
      </c>
      <c r="H3199">
        <f>IF(AND(资金台帐!K1702&lt;&gt;"",资金台帐!K1702=供应商对账单!$B$4,资金台帐!P1702="应付",ISNUMBER(资金台帐!B1702),资金台帐!B1702&gt;=供应商对账单!$G$4,资金台帐!B1702&lt;=供应商对账单!$I$4),资金台帐!B1702+ROW()/100000,"")</f>
      </c>
    </row>
    <row r="3200">
      <c r="A3200">
        <f>IF(OR(出库明细!C2200="",出库明细!D2200=""),"",IF(OR(COUNTIFS(存条明细!$C$4:$C$1003,出库明细!C2200,存条明细!$D$4:$D$1003,出库明细!D2200)&gt;0,COUNTIFS(出库明细!$C$4:C2200,出库明细!C2200,出库明细!$D$4:D2200,出库明细!D2200)&gt;1),"",IFERROR(MATCH(出库明细!C2200,总览汇总!$B$5:$B$304,0),900)*10000000+IFERROR(MATCH(出库明细!D2200,基础资料!$E$5:$E$104,0),900)*10000+ROW()))</f>
      </c>
      <c r="F3200">
        <f>IF(AND(资金台帐!J203&lt;&gt;"",资金台帐!J203=客户对账单!$B$4,资金台帐!P203="应收",ISNUMBER(资金台帐!B203),资金台帐!B203&gt;=客户对账单!$G$4,资金台帐!B203&lt;=客户对账单!$I$4),资金台帐!B203+ROW()/100000,"")</f>
      </c>
      <c r="H3200">
        <f>IF(AND(资金台帐!K1703&lt;&gt;"",资金台帐!K1703=供应商对账单!$B$4,资金台帐!P1703="应付",ISNUMBER(资金台帐!B1703),资金台帐!B1703&gt;=供应商对账单!$G$4,资金台帐!B1703&lt;=供应商对账单!$I$4),资金台帐!B1703+ROW()/100000,"")</f>
      </c>
    </row>
    <row r="3201">
      <c r="A3201">
        <f>IF(OR(出库明细!C2201="",出库明细!D2201=""),"",IF(OR(COUNTIFS(存条明细!$C$4:$C$1003,出库明细!C2201,存条明细!$D$4:$D$1003,出库明细!D2201)&gt;0,COUNTIFS(出库明细!$C$4:C2201,出库明细!C2201,出库明细!$D$4:D2201,出库明细!D2201)&gt;1),"",IFERROR(MATCH(出库明细!C2201,总览汇总!$B$5:$B$304,0),900)*10000000+IFERROR(MATCH(出库明细!D2201,基础资料!$E$5:$E$104,0),900)*10000+ROW()))</f>
      </c>
      <c r="F3201">
        <f>IF(AND(资金台帐!J204&lt;&gt;"",资金台帐!J204=客户对账单!$B$4,资金台帐!P204="应收",ISNUMBER(资金台帐!B204),资金台帐!B204&gt;=客户对账单!$G$4,资金台帐!B204&lt;=客户对账单!$I$4),资金台帐!B204+ROW()/100000,"")</f>
      </c>
      <c r="H3201">
        <f>IF(AND(资金台帐!K1704&lt;&gt;"",资金台帐!K1704=供应商对账单!$B$4,资金台帐!P1704="应付",ISNUMBER(资金台帐!B1704),资金台帐!B1704&gt;=供应商对账单!$G$4,资金台帐!B1704&lt;=供应商对账单!$I$4),资金台帐!B1704+ROW()/100000,"")</f>
      </c>
    </row>
    <row r="3202">
      <c r="A3202">
        <f>IF(OR(出库明细!C2202="",出库明细!D2202=""),"",IF(OR(COUNTIFS(存条明细!$C$4:$C$1003,出库明细!C2202,存条明细!$D$4:$D$1003,出库明细!D2202)&gt;0,COUNTIFS(出库明细!$C$4:C2202,出库明细!C2202,出库明细!$D$4:D2202,出库明细!D2202)&gt;1),"",IFERROR(MATCH(出库明细!C2202,总览汇总!$B$5:$B$304,0),900)*10000000+IFERROR(MATCH(出库明细!D2202,基础资料!$E$5:$E$104,0),900)*10000+ROW()))</f>
      </c>
      <c r="F3202">
        <f>IF(AND(资金台帐!J205&lt;&gt;"",资金台帐!J205=客户对账单!$B$4,资金台帐!P205="应收",ISNUMBER(资金台帐!B205),资金台帐!B205&gt;=客户对账单!$G$4,资金台帐!B205&lt;=客户对账单!$I$4),资金台帐!B205+ROW()/100000,"")</f>
      </c>
      <c r="H3202">
        <f>IF(AND(资金台帐!K1705&lt;&gt;"",资金台帐!K1705=供应商对账单!$B$4,资金台帐!P1705="应付",ISNUMBER(资金台帐!B1705),资金台帐!B1705&gt;=供应商对账单!$G$4,资金台帐!B1705&lt;=供应商对账单!$I$4),资金台帐!B1705+ROW()/100000,"")</f>
      </c>
    </row>
    <row r="3203">
      <c r="A3203">
        <f>IF(OR(出库明细!C2203="",出库明细!D2203=""),"",IF(OR(COUNTIFS(存条明细!$C$4:$C$1003,出库明细!C2203,存条明细!$D$4:$D$1003,出库明细!D2203)&gt;0,COUNTIFS(出库明细!$C$4:C2203,出库明细!C2203,出库明细!$D$4:D2203,出库明细!D2203)&gt;1),"",IFERROR(MATCH(出库明细!C2203,总览汇总!$B$5:$B$304,0),900)*10000000+IFERROR(MATCH(出库明细!D2203,基础资料!$E$5:$E$104,0),900)*10000+ROW()))</f>
      </c>
      <c r="F3203">
        <f>IF(AND(资金台帐!J206&lt;&gt;"",资金台帐!J206=客户对账单!$B$4,资金台帐!P206="应收",ISNUMBER(资金台帐!B206),资金台帐!B206&gt;=客户对账单!$G$4,资金台帐!B206&lt;=客户对账单!$I$4),资金台帐!B206+ROW()/100000,"")</f>
      </c>
      <c r="H3203">
        <f>IF(AND(资金台帐!K1706&lt;&gt;"",资金台帐!K1706=供应商对账单!$B$4,资金台帐!P1706="应付",ISNUMBER(资金台帐!B1706),资金台帐!B1706&gt;=供应商对账单!$G$4,资金台帐!B1706&lt;=供应商对账单!$I$4),资金台帐!B1706+ROW()/100000,"")</f>
      </c>
    </row>
    <row r="3204">
      <c r="A3204">
        <f>IF(OR(出库明细!C2204="",出库明细!D2204=""),"",IF(OR(COUNTIFS(存条明细!$C$4:$C$1003,出库明细!C2204,存条明细!$D$4:$D$1003,出库明细!D2204)&gt;0,COUNTIFS(出库明细!$C$4:C2204,出库明细!C2204,出库明细!$D$4:D2204,出库明细!D2204)&gt;1),"",IFERROR(MATCH(出库明细!C2204,总览汇总!$B$5:$B$304,0),900)*10000000+IFERROR(MATCH(出库明细!D2204,基础资料!$E$5:$E$104,0),900)*10000+ROW()))</f>
      </c>
      <c r="F3204">
        <f>IF(AND(资金台帐!J207&lt;&gt;"",资金台帐!J207=客户对账单!$B$4,资金台帐!P207="应收",ISNUMBER(资金台帐!B207),资金台帐!B207&gt;=客户对账单!$G$4,资金台帐!B207&lt;=客户对账单!$I$4),资金台帐!B207+ROW()/100000,"")</f>
      </c>
      <c r="H3204">
        <f>IF(AND(资金台帐!K1707&lt;&gt;"",资金台帐!K1707=供应商对账单!$B$4,资金台帐!P1707="应付",ISNUMBER(资金台帐!B1707),资金台帐!B1707&gt;=供应商对账单!$G$4,资金台帐!B1707&lt;=供应商对账单!$I$4),资金台帐!B1707+ROW()/100000,"")</f>
      </c>
    </row>
    <row r="3205">
      <c r="A3205">
        <f>IF(OR(出库明细!C2205="",出库明细!D2205=""),"",IF(OR(COUNTIFS(存条明细!$C$4:$C$1003,出库明细!C2205,存条明细!$D$4:$D$1003,出库明细!D2205)&gt;0,COUNTIFS(出库明细!$C$4:C2205,出库明细!C2205,出库明细!$D$4:D2205,出库明细!D2205)&gt;1),"",IFERROR(MATCH(出库明细!C2205,总览汇总!$B$5:$B$304,0),900)*10000000+IFERROR(MATCH(出库明细!D2205,基础资料!$E$5:$E$104,0),900)*10000+ROW()))</f>
      </c>
      <c r="F3205">
        <f>IF(AND(资金台帐!J208&lt;&gt;"",资金台帐!J208=客户对账单!$B$4,资金台帐!P208="应收",ISNUMBER(资金台帐!B208),资金台帐!B208&gt;=客户对账单!$G$4,资金台帐!B208&lt;=客户对账单!$I$4),资金台帐!B208+ROW()/100000,"")</f>
      </c>
      <c r="H3205">
        <f>IF(AND(资金台帐!K1708&lt;&gt;"",资金台帐!K1708=供应商对账单!$B$4,资金台帐!P1708="应付",ISNUMBER(资金台帐!B1708),资金台帐!B1708&gt;=供应商对账单!$G$4,资金台帐!B1708&lt;=供应商对账单!$I$4),资金台帐!B1708+ROW()/100000,"")</f>
      </c>
    </row>
    <row r="3206">
      <c r="A3206">
        <f>IF(OR(出库明细!C2206="",出库明细!D2206=""),"",IF(OR(COUNTIFS(存条明细!$C$4:$C$1003,出库明细!C2206,存条明细!$D$4:$D$1003,出库明细!D2206)&gt;0,COUNTIFS(出库明细!$C$4:C2206,出库明细!C2206,出库明细!$D$4:D2206,出库明细!D2206)&gt;1),"",IFERROR(MATCH(出库明细!C2206,总览汇总!$B$5:$B$304,0),900)*10000000+IFERROR(MATCH(出库明细!D2206,基础资料!$E$5:$E$104,0),900)*10000+ROW()))</f>
      </c>
      <c r="F3206">
        <f>IF(AND(资金台帐!J209&lt;&gt;"",资金台帐!J209=客户对账单!$B$4,资金台帐!P209="应收",ISNUMBER(资金台帐!B209),资金台帐!B209&gt;=客户对账单!$G$4,资金台帐!B209&lt;=客户对账单!$I$4),资金台帐!B209+ROW()/100000,"")</f>
      </c>
      <c r="H3206">
        <f>IF(AND(资金台帐!K1709&lt;&gt;"",资金台帐!K1709=供应商对账单!$B$4,资金台帐!P1709="应付",ISNUMBER(资金台帐!B1709),资金台帐!B1709&gt;=供应商对账单!$G$4,资金台帐!B1709&lt;=供应商对账单!$I$4),资金台帐!B1709+ROW()/100000,"")</f>
      </c>
    </row>
    <row r="3207">
      <c r="A3207">
        <f>IF(OR(出库明细!C2207="",出库明细!D2207=""),"",IF(OR(COUNTIFS(存条明细!$C$4:$C$1003,出库明细!C2207,存条明细!$D$4:$D$1003,出库明细!D2207)&gt;0,COUNTIFS(出库明细!$C$4:C2207,出库明细!C2207,出库明细!$D$4:D2207,出库明细!D2207)&gt;1),"",IFERROR(MATCH(出库明细!C2207,总览汇总!$B$5:$B$304,0),900)*10000000+IFERROR(MATCH(出库明细!D2207,基础资料!$E$5:$E$104,0),900)*10000+ROW()))</f>
      </c>
      <c r="F3207">
        <f>IF(AND(资金台帐!J210&lt;&gt;"",资金台帐!J210=客户对账单!$B$4,资金台帐!P210="应收",ISNUMBER(资金台帐!B210),资金台帐!B210&gt;=客户对账单!$G$4,资金台帐!B210&lt;=客户对账单!$I$4),资金台帐!B210+ROW()/100000,"")</f>
      </c>
      <c r="H3207">
        <f>IF(AND(资金台帐!K1710&lt;&gt;"",资金台帐!K1710=供应商对账单!$B$4,资金台帐!P1710="应付",ISNUMBER(资金台帐!B1710),资金台帐!B1710&gt;=供应商对账单!$G$4,资金台帐!B1710&lt;=供应商对账单!$I$4),资金台帐!B1710+ROW()/100000,"")</f>
      </c>
    </row>
    <row r="3208">
      <c r="A3208">
        <f>IF(OR(出库明细!C2208="",出库明细!D2208=""),"",IF(OR(COUNTIFS(存条明细!$C$4:$C$1003,出库明细!C2208,存条明细!$D$4:$D$1003,出库明细!D2208)&gt;0,COUNTIFS(出库明细!$C$4:C2208,出库明细!C2208,出库明细!$D$4:D2208,出库明细!D2208)&gt;1),"",IFERROR(MATCH(出库明细!C2208,总览汇总!$B$5:$B$304,0),900)*10000000+IFERROR(MATCH(出库明细!D2208,基础资料!$E$5:$E$104,0),900)*10000+ROW()))</f>
      </c>
      <c r="F3208">
        <f>IF(AND(资金台帐!J211&lt;&gt;"",资金台帐!J211=客户对账单!$B$4,资金台帐!P211="应收",ISNUMBER(资金台帐!B211),资金台帐!B211&gt;=客户对账单!$G$4,资金台帐!B211&lt;=客户对账单!$I$4),资金台帐!B211+ROW()/100000,"")</f>
      </c>
      <c r="H3208">
        <f>IF(AND(资金台帐!K1711&lt;&gt;"",资金台帐!K1711=供应商对账单!$B$4,资金台帐!P1711="应付",ISNUMBER(资金台帐!B1711),资金台帐!B1711&gt;=供应商对账单!$G$4,资金台帐!B1711&lt;=供应商对账单!$I$4),资金台帐!B1711+ROW()/100000,"")</f>
      </c>
    </row>
    <row r="3209">
      <c r="A3209">
        <f>IF(OR(出库明细!C2209="",出库明细!D2209=""),"",IF(OR(COUNTIFS(存条明细!$C$4:$C$1003,出库明细!C2209,存条明细!$D$4:$D$1003,出库明细!D2209)&gt;0,COUNTIFS(出库明细!$C$4:C2209,出库明细!C2209,出库明细!$D$4:D2209,出库明细!D2209)&gt;1),"",IFERROR(MATCH(出库明细!C2209,总览汇总!$B$5:$B$304,0),900)*10000000+IFERROR(MATCH(出库明细!D2209,基础资料!$E$5:$E$104,0),900)*10000+ROW()))</f>
      </c>
      <c r="F3209">
        <f>IF(AND(资金台帐!J212&lt;&gt;"",资金台帐!J212=客户对账单!$B$4,资金台帐!P212="应收",ISNUMBER(资金台帐!B212),资金台帐!B212&gt;=客户对账单!$G$4,资金台帐!B212&lt;=客户对账单!$I$4),资金台帐!B212+ROW()/100000,"")</f>
      </c>
      <c r="H3209">
        <f>IF(AND(资金台帐!K1712&lt;&gt;"",资金台帐!K1712=供应商对账单!$B$4,资金台帐!P1712="应付",ISNUMBER(资金台帐!B1712),资金台帐!B1712&gt;=供应商对账单!$G$4,资金台帐!B1712&lt;=供应商对账单!$I$4),资金台帐!B1712+ROW()/100000,"")</f>
      </c>
    </row>
    <row r="3210">
      <c r="A3210">
        <f>IF(OR(出库明细!C2210="",出库明细!D2210=""),"",IF(OR(COUNTIFS(存条明细!$C$4:$C$1003,出库明细!C2210,存条明细!$D$4:$D$1003,出库明细!D2210)&gt;0,COUNTIFS(出库明细!$C$4:C2210,出库明细!C2210,出库明细!$D$4:D2210,出库明细!D2210)&gt;1),"",IFERROR(MATCH(出库明细!C2210,总览汇总!$B$5:$B$304,0),900)*10000000+IFERROR(MATCH(出库明细!D2210,基础资料!$E$5:$E$104,0),900)*10000+ROW()))</f>
      </c>
      <c r="F3210">
        <f>IF(AND(资金台帐!J213&lt;&gt;"",资金台帐!J213=客户对账单!$B$4,资金台帐!P213="应收",ISNUMBER(资金台帐!B213),资金台帐!B213&gt;=客户对账单!$G$4,资金台帐!B213&lt;=客户对账单!$I$4),资金台帐!B213+ROW()/100000,"")</f>
      </c>
      <c r="H3210">
        <f>IF(AND(资金台帐!K1713&lt;&gt;"",资金台帐!K1713=供应商对账单!$B$4,资金台帐!P1713="应付",ISNUMBER(资金台帐!B1713),资金台帐!B1713&gt;=供应商对账单!$G$4,资金台帐!B1713&lt;=供应商对账单!$I$4),资金台帐!B1713+ROW()/100000,"")</f>
      </c>
    </row>
    <row r="3211">
      <c r="A3211">
        <f>IF(OR(出库明细!C2211="",出库明细!D2211=""),"",IF(OR(COUNTIFS(存条明细!$C$4:$C$1003,出库明细!C2211,存条明细!$D$4:$D$1003,出库明细!D2211)&gt;0,COUNTIFS(出库明细!$C$4:C2211,出库明细!C2211,出库明细!$D$4:D2211,出库明细!D2211)&gt;1),"",IFERROR(MATCH(出库明细!C2211,总览汇总!$B$5:$B$304,0),900)*10000000+IFERROR(MATCH(出库明细!D2211,基础资料!$E$5:$E$104,0),900)*10000+ROW()))</f>
      </c>
      <c r="F3211">
        <f>IF(AND(资金台帐!J214&lt;&gt;"",资金台帐!J214=客户对账单!$B$4,资金台帐!P214="应收",ISNUMBER(资金台帐!B214),资金台帐!B214&gt;=客户对账单!$G$4,资金台帐!B214&lt;=客户对账单!$I$4),资金台帐!B214+ROW()/100000,"")</f>
      </c>
      <c r="H3211">
        <f>IF(AND(资金台帐!K1714&lt;&gt;"",资金台帐!K1714=供应商对账单!$B$4,资金台帐!P1714="应付",ISNUMBER(资金台帐!B1714),资金台帐!B1714&gt;=供应商对账单!$G$4,资金台帐!B1714&lt;=供应商对账单!$I$4),资金台帐!B1714+ROW()/100000,"")</f>
      </c>
    </row>
    <row r="3212">
      <c r="A3212">
        <f>IF(OR(出库明细!C2212="",出库明细!D2212=""),"",IF(OR(COUNTIFS(存条明细!$C$4:$C$1003,出库明细!C2212,存条明细!$D$4:$D$1003,出库明细!D2212)&gt;0,COUNTIFS(出库明细!$C$4:C2212,出库明细!C2212,出库明细!$D$4:D2212,出库明细!D2212)&gt;1),"",IFERROR(MATCH(出库明细!C2212,总览汇总!$B$5:$B$304,0),900)*10000000+IFERROR(MATCH(出库明细!D2212,基础资料!$E$5:$E$104,0),900)*10000+ROW()))</f>
      </c>
      <c r="F3212">
        <f>IF(AND(资金台帐!J215&lt;&gt;"",资金台帐!J215=客户对账单!$B$4,资金台帐!P215="应收",ISNUMBER(资金台帐!B215),资金台帐!B215&gt;=客户对账单!$G$4,资金台帐!B215&lt;=客户对账单!$I$4),资金台帐!B215+ROW()/100000,"")</f>
      </c>
      <c r="H3212">
        <f>IF(AND(资金台帐!K1715&lt;&gt;"",资金台帐!K1715=供应商对账单!$B$4,资金台帐!P1715="应付",ISNUMBER(资金台帐!B1715),资金台帐!B1715&gt;=供应商对账单!$G$4,资金台帐!B1715&lt;=供应商对账单!$I$4),资金台帐!B1715+ROW()/100000,"")</f>
      </c>
    </row>
    <row r="3213">
      <c r="A3213">
        <f>IF(OR(出库明细!C2213="",出库明细!D2213=""),"",IF(OR(COUNTIFS(存条明细!$C$4:$C$1003,出库明细!C2213,存条明细!$D$4:$D$1003,出库明细!D2213)&gt;0,COUNTIFS(出库明细!$C$4:C2213,出库明细!C2213,出库明细!$D$4:D2213,出库明细!D2213)&gt;1),"",IFERROR(MATCH(出库明细!C2213,总览汇总!$B$5:$B$304,0),900)*10000000+IFERROR(MATCH(出库明细!D2213,基础资料!$E$5:$E$104,0),900)*10000+ROW()))</f>
      </c>
      <c r="F3213">
        <f>IF(AND(资金台帐!J216&lt;&gt;"",资金台帐!J216=客户对账单!$B$4,资金台帐!P216="应收",ISNUMBER(资金台帐!B216),资金台帐!B216&gt;=客户对账单!$G$4,资金台帐!B216&lt;=客户对账单!$I$4),资金台帐!B216+ROW()/100000,"")</f>
      </c>
      <c r="H3213">
        <f>IF(AND(资金台帐!K1716&lt;&gt;"",资金台帐!K1716=供应商对账单!$B$4,资金台帐!P1716="应付",ISNUMBER(资金台帐!B1716),资金台帐!B1716&gt;=供应商对账单!$G$4,资金台帐!B1716&lt;=供应商对账单!$I$4),资金台帐!B1716+ROW()/100000,"")</f>
      </c>
    </row>
    <row r="3214">
      <c r="A3214">
        <f>IF(OR(出库明细!C2214="",出库明细!D2214=""),"",IF(OR(COUNTIFS(存条明细!$C$4:$C$1003,出库明细!C2214,存条明细!$D$4:$D$1003,出库明细!D2214)&gt;0,COUNTIFS(出库明细!$C$4:C2214,出库明细!C2214,出库明细!$D$4:D2214,出库明细!D2214)&gt;1),"",IFERROR(MATCH(出库明细!C2214,总览汇总!$B$5:$B$304,0),900)*10000000+IFERROR(MATCH(出库明细!D2214,基础资料!$E$5:$E$104,0),900)*10000+ROW()))</f>
      </c>
      <c r="F3214">
        <f>IF(AND(资金台帐!J217&lt;&gt;"",资金台帐!J217=客户对账单!$B$4,资金台帐!P217="应收",ISNUMBER(资金台帐!B217),资金台帐!B217&gt;=客户对账单!$G$4,资金台帐!B217&lt;=客户对账单!$I$4),资金台帐!B217+ROW()/100000,"")</f>
      </c>
      <c r="H3214">
        <f>IF(AND(资金台帐!K1717&lt;&gt;"",资金台帐!K1717=供应商对账单!$B$4,资金台帐!P1717="应付",ISNUMBER(资金台帐!B1717),资金台帐!B1717&gt;=供应商对账单!$G$4,资金台帐!B1717&lt;=供应商对账单!$I$4),资金台帐!B1717+ROW()/100000,"")</f>
      </c>
    </row>
    <row r="3215">
      <c r="A3215">
        <f>IF(OR(出库明细!C2215="",出库明细!D2215=""),"",IF(OR(COUNTIFS(存条明细!$C$4:$C$1003,出库明细!C2215,存条明细!$D$4:$D$1003,出库明细!D2215)&gt;0,COUNTIFS(出库明细!$C$4:C2215,出库明细!C2215,出库明细!$D$4:D2215,出库明细!D2215)&gt;1),"",IFERROR(MATCH(出库明细!C2215,总览汇总!$B$5:$B$304,0),900)*10000000+IFERROR(MATCH(出库明细!D2215,基础资料!$E$5:$E$104,0),900)*10000+ROW()))</f>
      </c>
      <c r="F3215">
        <f>IF(AND(资金台帐!J218&lt;&gt;"",资金台帐!J218=客户对账单!$B$4,资金台帐!P218="应收",ISNUMBER(资金台帐!B218),资金台帐!B218&gt;=客户对账单!$G$4,资金台帐!B218&lt;=客户对账单!$I$4),资金台帐!B218+ROW()/100000,"")</f>
      </c>
      <c r="H3215">
        <f>IF(AND(资金台帐!K1718&lt;&gt;"",资金台帐!K1718=供应商对账单!$B$4,资金台帐!P1718="应付",ISNUMBER(资金台帐!B1718),资金台帐!B1718&gt;=供应商对账单!$G$4,资金台帐!B1718&lt;=供应商对账单!$I$4),资金台帐!B1718+ROW()/100000,"")</f>
      </c>
    </row>
    <row r="3216">
      <c r="A3216">
        <f>IF(OR(出库明细!C2216="",出库明细!D2216=""),"",IF(OR(COUNTIFS(存条明细!$C$4:$C$1003,出库明细!C2216,存条明细!$D$4:$D$1003,出库明细!D2216)&gt;0,COUNTIFS(出库明细!$C$4:C2216,出库明细!C2216,出库明细!$D$4:D2216,出库明细!D2216)&gt;1),"",IFERROR(MATCH(出库明细!C2216,总览汇总!$B$5:$B$304,0),900)*10000000+IFERROR(MATCH(出库明细!D2216,基础资料!$E$5:$E$104,0),900)*10000+ROW()))</f>
      </c>
      <c r="F3216">
        <f>IF(AND(资金台帐!J219&lt;&gt;"",资金台帐!J219=客户对账单!$B$4,资金台帐!P219="应收",ISNUMBER(资金台帐!B219),资金台帐!B219&gt;=客户对账单!$G$4,资金台帐!B219&lt;=客户对账单!$I$4),资金台帐!B219+ROW()/100000,"")</f>
      </c>
      <c r="H3216">
        <f>IF(AND(资金台帐!K1719&lt;&gt;"",资金台帐!K1719=供应商对账单!$B$4,资金台帐!P1719="应付",ISNUMBER(资金台帐!B1719),资金台帐!B1719&gt;=供应商对账单!$G$4,资金台帐!B1719&lt;=供应商对账单!$I$4),资金台帐!B1719+ROW()/100000,"")</f>
      </c>
    </row>
    <row r="3217">
      <c r="A3217">
        <f>IF(OR(出库明细!C2217="",出库明细!D2217=""),"",IF(OR(COUNTIFS(存条明细!$C$4:$C$1003,出库明细!C2217,存条明细!$D$4:$D$1003,出库明细!D2217)&gt;0,COUNTIFS(出库明细!$C$4:C2217,出库明细!C2217,出库明细!$D$4:D2217,出库明细!D2217)&gt;1),"",IFERROR(MATCH(出库明细!C2217,总览汇总!$B$5:$B$304,0),900)*10000000+IFERROR(MATCH(出库明细!D2217,基础资料!$E$5:$E$104,0),900)*10000+ROW()))</f>
      </c>
      <c r="F3217">
        <f>IF(AND(资金台帐!J220&lt;&gt;"",资金台帐!J220=客户对账单!$B$4,资金台帐!P220="应收",ISNUMBER(资金台帐!B220),资金台帐!B220&gt;=客户对账单!$G$4,资金台帐!B220&lt;=客户对账单!$I$4),资金台帐!B220+ROW()/100000,"")</f>
      </c>
      <c r="H3217">
        <f>IF(AND(资金台帐!K1720&lt;&gt;"",资金台帐!K1720=供应商对账单!$B$4,资金台帐!P1720="应付",ISNUMBER(资金台帐!B1720),资金台帐!B1720&gt;=供应商对账单!$G$4,资金台帐!B1720&lt;=供应商对账单!$I$4),资金台帐!B1720+ROW()/100000,"")</f>
      </c>
    </row>
    <row r="3218">
      <c r="A3218">
        <f>IF(OR(出库明细!C2218="",出库明细!D2218=""),"",IF(OR(COUNTIFS(存条明细!$C$4:$C$1003,出库明细!C2218,存条明细!$D$4:$D$1003,出库明细!D2218)&gt;0,COUNTIFS(出库明细!$C$4:C2218,出库明细!C2218,出库明细!$D$4:D2218,出库明细!D2218)&gt;1),"",IFERROR(MATCH(出库明细!C2218,总览汇总!$B$5:$B$304,0),900)*10000000+IFERROR(MATCH(出库明细!D2218,基础资料!$E$5:$E$104,0),900)*10000+ROW()))</f>
      </c>
      <c r="F3218">
        <f>IF(AND(资金台帐!J221&lt;&gt;"",资金台帐!J221=客户对账单!$B$4,资金台帐!P221="应收",ISNUMBER(资金台帐!B221),资金台帐!B221&gt;=客户对账单!$G$4,资金台帐!B221&lt;=客户对账单!$I$4),资金台帐!B221+ROW()/100000,"")</f>
      </c>
      <c r="H3218">
        <f>IF(AND(资金台帐!K1721&lt;&gt;"",资金台帐!K1721=供应商对账单!$B$4,资金台帐!P1721="应付",ISNUMBER(资金台帐!B1721),资金台帐!B1721&gt;=供应商对账单!$G$4,资金台帐!B1721&lt;=供应商对账单!$I$4),资金台帐!B1721+ROW()/100000,"")</f>
      </c>
    </row>
    <row r="3219">
      <c r="A3219">
        <f>IF(OR(出库明细!C2219="",出库明细!D2219=""),"",IF(OR(COUNTIFS(存条明细!$C$4:$C$1003,出库明细!C2219,存条明细!$D$4:$D$1003,出库明细!D2219)&gt;0,COUNTIFS(出库明细!$C$4:C2219,出库明细!C2219,出库明细!$D$4:D2219,出库明细!D2219)&gt;1),"",IFERROR(MATCH(出库明细!C2219,总览汇总!$B$5:$B$304,0),900)*10000000+IFERROR(MATCH(出库明细!D2219,基础资料!$E$5:$E$104,0),900)*10000+ROW()))</f>
      </c>
      <c r="F3219">
        <f>IF(AND(资金台帐!J222&lt;&gt;"",资金台帐!J222=客户对账单!$B$4,资金台帐!P222="应收",ISNUMBER(资金台帐!B222),资金台帐!B222&gt;=客户对账单!$G$4,资金台帐!B222&lt;=客户对账单!$I$4),资金台帐!B222+ROW()/100000,"")</f>
      </c>
      <c r="H3219">
        <f>IF(AND(资金台帐!K1722&lt;&gt;"",资金台帐!K1722=供应商对账单!$B$4,资金台帐!P1722="应付",ISNUMBER(资金台帐!B1722),资金台帐!B1722&gt;=供应商对账单!$G$4,资金台帐!B1722&lt;=供应商对账单!$I$4),资金台帐!B1722+ROW()/100000,"")</f>
      </c>
    </row>
    <row r="3220">
      <c r="A3220">
        <f>IF(OR(出库明细!C2220="",出库明细!D2220=""),"",IF(OR(COUNTIFS(存条明细!$C$4:$C$1003,出库明细!C2220,存条明细!$D$4:$D$1003,出库明细!D2220)&gt;0,COUNTIFS(出库明细!$C$4:C2220,出库明细!C2220,出库明细!$D$4:D2220,出库明细!D2220)&gt;1),"",IFERROR(MATCH(出库明细!C2220,总览汇总!$B$5:$B$304,0),900)*10000000+IFERROR(MATCH(出库明细!D2220,基础资料!$E$5:$E$104,0),900)*10000+ROW()))</f>
      </c>
      <c r="F3220">
        <f>IF(AND(资金台帐!J223&lt;&gt;"",资金台帐!J223=客户对账单!$B$4,资金台帐!P223="应收",ISNUMBER(资金台帐!B223),资金台帐!B223&gt;=客户对账单!$G$4,资金台帐!B223&lt;=客户对账单!$I$4),资金台帐!B223+ROW()/100000,"")</f>
      </c>
      <c r="H3220">
        <f>IF(AND(资金台帐!K1723&lt;&gt;"",资金台帐!K1723=供应商对账单!$B$4,资金台帐!P1723="应付",ISNUMBER(资金台帐!B1723),资金台帐!B1723&gt;=供应商对账单!$G$4,资金台帐!B1723&lt;=供应商对账单!$I$4),资金台帐!B1723+ROW()/100000,"")</f>
      </c>
    </row>
    <row r="3221">
      <c r="A3221">
        <f>IF(OR(出库明细!C2221="",出库明细!D2221=""),"",IF(OR(COUNTIFS(存条明细!$C$4:$C$1003,出库明细!C2221,存条明细!$D$4:$D$1003,出库明细!D2221)&gt;0,COUNTIFS(出库明细!$C$4:C2221,出库明细!C2221,出库明细!$D$4:D2221,出库明细!D2221)&gt;1),"",IFERROR(MATCH(出库明细!C2221,总览汇总!$B$5:$B$304,0),900)*10000000+IFERROR(MATCH(出库明细!D2221,基础资料!$E$5:$E$104,0),900)*10000+ROW()))</f>
      </c>
      <c r="F3221">
        <f>IF(AND(资金台帐!J224&lt;&gt;"",资金台帐!J224=客户对账单!$B$4,资金台帐!P224="应收",ISNUMBER(资金台帐!B224),资金台帐!B224&gt;=客户对账单!$G$4,资金台帐!B224&lt;=客户对账单!$I$4),资金台帐!B224+ROW()/100000,"")</f>
      </c>
      <c r="H3221">
        <f>IF(AND(资金台帐!K1724&lt;&gt;"",资金台帐!K1724=供应商对账单!$B$4,资金台帐!P1724="应付",ISNUMBER(资金台帐!B1724),资金台帐!B1724&gt;=供应商对账单!$G$4,资金台帐!B1724&lt;=供应商对账单!$I$4),资金台帐!B1724+ROW()/100000,"")</f>
      </c>
    </row>
    <row r="3222">
      <c r="A3222">
        <f>IF(OR(出库明细!C2222="",出库明细!D2222=""),"",IF(OR(COUNTIFS(存条明细!$C$4:$C$1003,出库明细!C2222,存条明细!$D$4:$D$1003,出库明细!D2222)&gt;0,COUNTIFS(出库明细!$C$4:C2222,出库明细!C2222,出库明细!$D$4:D2222,出库明细!D2222)&gt;1),"",IFERROR(MATCH(出库明细!C2222,总览汇总!$B$5:$B$304,0),900)*10000000+IFERROR(MATCH(出库明细!D2222,基础资料!$E$5:$E$104,0),900)*10000+ROW()))</f>
      </c>
      <c r="F3222">
        <f>IF(AND(资金台帐!J225&lt;&gt;"",资金台帐!J225=客户对账单!$B$4,资金台帐!P225="应收",ISNUMBER(资金台帐!B225),资金台帐!B225&gt;=客户对账单!$G$4,资金台帐!B225&lt;=客户对账单!$I$4),资金台帐!B225+ROW()/100000,"")</f>
      </c>
      <c r="H3222">
        <f>IF(AND(资金台帐!K1725&lt;&gt;"",资金台帐!K1725=供应商对账单!$B$4,资金台帐!P1725="应付",ISNUMBER(资金台帐!B1725),资金台帐!B1725&gt;=供应商对账单!$G$4,资金台帐!B1725&lt;=供应商对账单!$I$4),资金台帐!B1725+ROW()/100000,"")</f>
      </c>
    </row>
    <row r="3223">
      <c r="A3223">
        <f>IF(OR(出库明细!C2223="",出库明细!D2223=""),"",IF(OR(COUNTIFS(存条明细!$C$4:$C$1003,出库明细!C2223,存条明细!$D$4:$D$1003,出库明细!D2223)&gt;0,COUNTIFS(出库明细!$C$4:C2223,出库明细!C2223,出库明细!$D$4:D2223,出库明细!D2223)&gt;1),"",IFERROR(MATCH(出库明细!C2223,总览汇总!$B$5:$B$304,0),900)*10000000+IFERROR(MATCH(出库明细!D2223,基础资料!$E$5:$E$104,0),900)*10000+ROW()))</f>
      </c>
      <c r="F3223">
        <f>IF(AND(资金台帐!J226&lt;&gt;"",资金台帐!J226=客户对账单!$B$4,资金台帐!P226="应收",ISNUMBER(资金台帐!B226),资金台帐!B226&gt;=客户对账单!$G$4,资金台帐!B226&lt;=客户对账单!$I$4),资金台帐!B226+ROW()/100000,"")</f>
      </c>
      <c r="H3223">
        <f>IF(AND(资金台帐!K1726&lt;&gt;"",资金台帐!K1726=供应商对账单!$B$4,资金台帐!P1726="应付",ISNUMBER(资金台帐!B1726),资金台帐!B1726&gt;=供应商对账单!$G$4,资金台帐!B1726&lt;=供应商对账单!$I$4),资金台帐!B1726+ROW()/100000,"")</f>
      </c>
    </row>
    <row r="3224">
      <c r="A3224">
        <f>IF(OR(出库明细!C2224="",出库明细!D2224=""),"",IF(OR(COUNTIFS(存条明细!$C$4:$C$1003,出库明细!C2224,存条明细!$D$4:$D$1003,出库明细!D2224)&gt;0,COUNTIFS(出库明细!$C$4:C2224,出库明细!C2224,出库明细!$D$4:D2224,出库明细!D2224)&gt;1),"",IFERROR(MATCH(出库明细!C2224,总览汇总!$B$5:$B$304,0),900)*10000000+IFERROR(MATCH(出库明细!D2224,基础资料!$E$5:$E$104,0),900)*10000+ROW()))</f>
      </c>
      <c r="F3224">
        <f>IF(AND(资金台帐!J227&lt;&gt;"",资金台帐!J227=客户对账单!$B$4,资金台帐!P227="应收",ISNUMBER(资金台帐!B227),资金台帐!B227&gt;=客户对账单!$G$4,资金台帐!B227&lt;=客户对账单!$I$4),资金台帐!B227+ROW()/100000,"")</f>
      </c>
      <c r="H3224">
        <f>IF(AND(资金台帐!K1727&lt;&gt;"",资金台帐!K1727=供应商对账单!$B$4,资金台帐!P1727="应付",ISNUMBER(资金台帐!B1727),资金台帐!B1727&gt;=供应商对账单!$G$4,资金台帐!B1727&lt;=供应商对账单!$I$4),资金台帐!B1727+ROW()/100000,"")</f>
      </c>
    </row>
    <row r="3225">
      <c r="A3225">
        <f>IF(OR(出库明细!C2225="",出库明细!D2225=""),"",IF(OR(COUNTIFS(存条明细!$C$4:$C$1003,出库明细!C2225,存条明细!$D$4:$D$1003,出库明细!D2225)&gt;0,COUNTIFS(出库明细!$C$4:C2225,出库明细!C2225,出库明细!$D$4:D2225,出库明细!D2225)&gt;1),"",IFERROR(MATCH(出库明细!C2225,总览汇总!$B$5:$B$304,0),900)*10000000+IFERROR(MATCH(出库明细!D2225,基础资料!$E$5:$E$104,0),900)*10000+ROW()))</f>
      </c>
      <c r="F3225">
        <f>IF(AND(资金台帐!J228&lt;&gt;"",资金台帐!J228=客户对账单!$B$4,资金台帐!P228="应收",ISNUMBER(资金台帐!B228),资金台帐!B228&gt;=客户对账单!$G$4,资金台帐!B228&lt;=客户对账单!$I$4),资金台帐!B228+ROW()/100000,"")</f>
      </c>
      <c r="H3225">
        <f>IF(AND(资金台帐!K1728&lt;&gt;"",资金台帐!K1728=供应商对账单!$B$4,资金台帐!P1728="应付",ISNUMBER(资金台帐!B1728),资金台帐!B1728&gt;=供应商对账单!$G$4,资金台帐!B1728&lt;=供应商对账单!$I$4),资金台帐!B1728+ROW()/100000,"")</f>
      </c>
    </row>
    <row r="3226">
      <c r="A3226">
        <f>IF(OR(出库明细!C2226="",出库明细!D2226=""),"",IF(OR(COUNTIFS(存条明细!$C$4:$C$1003,出库明细!C2226,存条明细!$D$4:$D$1003,出库明细!D2226)&gt;0,COUNTIFS(出库明细!$C$4:C2226,出库明细!C2226,出库明细!$D$4:D2226,出库明细!D2226)&gt;1),"",IFERROR(MATCH(出库明细!C2226,总览汇总!$B$5:$B$304,0),900)*10000000+IFERROR(MATCH(出库明细!D2226,基础资料!$E$5:$E$104,0),900)*10000+ROW()))</f>
      </c>
      <c r="F3226">
        <f>IF(AND(资金台帐!J229&lt;&gt;"",资金台帐!J229=客户对账单!$B$4,资金台帐!P229="应收",ISNUMBER(资金台帐!B229),资金台帐!B229&gt;=客户对账单!$G$4,资金台帐!B229&lt;=客户对账单!$I$4),资金台帐!B229+ROW()/100000,"")</f>
      </c>
      <c r="H3226">
        <f>IF(AND(资金台帐!K1729&lt;&gt;"",资金台帐!K1729=供应商对账单!$B$4,资金台帐!P1729="应付",ISNUMBER(资金台帐!B1729),资金台帐!B1729&gt;=供应商对账单!$G$4,资金台帐!B1729&lt;=供应商对账单!$I$4),资金台帐!B1729+ROW()/100000,"")</f>
      </c>
    </row>
    <row r="3227">
      <c r="A3227">
        <f>IF(OR(出库明细!C2227="",出库明细!D2227=""),"",IF(OR(COUNTIFS(存条明细!$C$4:$C$1003,出库明细!C2227,存条明细!$D$4:$D$1003,出库明细!D2227)&gt;0,COUNTIFS(出库明细!$C$4:C2227,出库明细!C2227,出库明细!$D$4:D2227,出库明细!D2227)&gt;1),"",IFERROR(MATCH(出库明细!C2227,总览汇总!$B$5:$B$304,0),900)*10000000+IFERROR(MATCH(出库明细!D2227,基础资料!$E$5:$E$104,0),900)*10000+ROW()))</f>
      </c>
      <c r="F3227">
        <f>IF(AND(资金台帐!J230&lt;&gt;"",资金台帐!J230=客户对账单!$B$4,资金台帐!P230="应收",ISNUMBER(资金台帐!B230),资金台帐!B230&gt;=客户对账单!$G$4,资金台帐!B230&lt;=客户对账单!$I$4),资金台帐!B230+ROW()/100000,"")</f>
      </c>
      <c r="H3227">
        <f>IF(AND(资金台帐!K1730&lt;&gt;"",资金台帐!K1730=供应商对账单!$B$4,资金台帐!P1730="应付",ISNUMBER(资金台帐!B1730),资金台帐!B1730&gt;=供应商对账单!$G$4,资金台帐!B1730&lt;=供应商对账单!$I$4),资金台帐!B1730+ROW()/100000,"")</f>
      </c>
    </row>
    <row r="3228">
      <c r="A3228">
        <f>IF(OR(出库明细!C2228="",出库明细!D2228=""),"",IF(OR(COUNTIFS(存条明细!$C$4:$C$1003,出库明细!C2228,存条明细!$D$4:$D$1003,出库明细!D2228)&gt;0,COUNTIFS(出库明细!$C$4:C2228,出库明细!C2228,出库明细!$D$4:D2228,出库明细!D2228)&gt;1),"",IFERROR(MATCH(出库明细!C2228,总览汇总!$B$5:$B$304,0),900)*10000000+IFERROR(MATCH(出库明细!D2228,基础资料!$E$5:$E$104,0),900)*10000+ROW()))</f>
      </c>
      <c r="F3228">
        <f>IF(AND(资金台帐!J231&lt;&gt;"",资金台帐!J231=客户对账单!$B$4,资金台帐!P231="应收",ISNUMBER(资金台帐!B231),资金台帐!B231&gt;=客户对账单!$G$4,资金台帐!B231&lt;=客户对账单!$I$4),资金台帐!B231+ROW()/100000,"")</f>
      </c>
      <c r="H3228">
        <f>IF(AND(资金台帐!K1731&lt;&gt;"",资金台帐!K1731=供应商对账单!$B$4,资金台帐!P1731="应付",ISNUMBER(资金台帐!B1731),资金台帐!B1731&gt;=供应商对账单!$G$4,资金台帐!B1731&lt;=供应商对账单!$I$4),资金台帐!B1731+ROW()/100000,"")</f>
      </c>
    </row>
    <row r="3229">
      <c r="A3229">
        <f>IF(OR(出库明细!C2229="",出库明细!D2229=""),"",IF(OR(COUNTIFS(存条明细!$C$4:$C$1003,出库明细!C2229,存条明细!$D$4:$D$1003,出库明细!D2229)&gt;0,COUNTIFS(出库明细!$C$4:C2229,出库明细!C2229,出库明细!$D$4:D2229,出库明细!D2229)&gt;1),"",IFERROR(MATCH(出库明细!C2229,总览汇总!$B$5:$B$304,0),900)*10000000+IFERROR(MATCH(出库明细!D2229,基础资料!$E$5:$E$104,0),900)*10000+ROW()))</f>
      </c>
      <c r="F3229">
        <f>IF(AND(资金台帐!J232&lt;&gt;"",资金台帐!J232=客户对账单!$B$4,资金台帐!P232="应收",ISNUMBER(资金台帐!B232),资金台帐!B232&gt;=客户对账单!$G$4,资金台帐!B232&lt;=客户对账单!$I$4),资金台帐!B232+ROW()/100000,"")</f>
      </c>
      <c r="H3229">
        <f>IF(AND(资金台帐!K1732&lt;&gt;"",资金台帐!K1732=供应商对账单!$B$4,资金台帐!P1732="应付",ISNUMBER(资金台帐!B1732),资金台帐!B1732&gt;=供应商对账单!$G$4,资金台帐!B1732&lt;=供应商对账单!$I$4),资金台帐!B1732+ROW()/100000,"")</f>
      </c>
    </row>
    <row r="3230">
      <c r="A3230">
        <f>IF(OR(出库明细!C2230="",出库明细!D2230=""),"",IF(OR(COUNTIFS(存条明细!$C$4:$C$1003,出库明细!C2230,存条明细!$D$4:$D$1003,出库明细!D2230)&gt;0,COUNTIFS(出库明细!$C$4:C2230,出库明细!C2230,出库明细!$D$4:D2230,出库明细!D2230)&gt;1),"",IFERROR(MATCH(出库明细!C2230,总览汇总!$B$5:$B$304,0),900)*10000000+IFERROR(MATCH(出库明细!D2230,基础资料!$E$5:$E$104,0),900)*10000+ROW()))</f>
      </c>
      <c r="F3230">
        <f>IF(AND(资金台帐!J233&lt;&gt;"",资金台帐!J233=客户对账单!$B$4,资金台帐!P233="应收",ISNUMBER(资金台帐!B233),资金台帐!B233&gt;=客户对账单!$G$4,资金台帐!B233&lt;=客户对账单!$I$4),资金台帐!B233+ROW()/100000,"")</f>
      </c>
      <c r="H3230">
        <f>IF(AND(资金台帐!K1733&lt;&gt;"",资金台帐!K1733=供应商对账单!$B$4,资金台帐!P1733="应付",ISNUMBER(资金台帐!B1733),资金台帐!B1733&gt;=供应商对账单!$G$4,资金台帐!B1733&lt;=供应商对账单!$I$4),资金台帐!B1733+ROW()/100000,"")</f>
      </c>
    </row>
    <row r="3231">
      <c r="A3231">
        <f>IF(OR(出库明细!C2231="",出库明细!D2231=""),"",IF(OR(COUNTIFS(存条明细!$C$4:$C$1003,出库明细!C2231,存条明细!$D$4:$D$1003,出库明细!D2231)&gt;0,COUNTIFS(出库明细!$C$4:C2231,出库明细!C2231,出库明细!$D$4:D2231,出库明细!D2231)&gt;1),"",IFERROR(MATCH(出库明细!C2231,总览汇总!$B$5:$B$304,0),900)*10000000+IFERROR(MATCH(出库明细!D2231,基础资料!$E$5:$E$104,0),900)*10000+ROW()))</f>
      </c>
      <c r="F3231">
        <f>IF(AND(资金台帐!J234&lt;&gt;"",资金台帐!J234=客户对账单!$B$4,资金台帐!P234="应收",ISNUMBER(资金台帐!B234),资金台帐!B234&gt;=客户对账单!$G$4,资金台帐!B234&lt;=客户对账单!$I$4),资金台帐!B234+ROW()/100000,"")</f>
      </c>
      <c r="H3231">
        <f>IF(AND(资金台帐!K1734&lt;&gt;"",资金台帐!K1734=供应商对账单!$B$4,资金台帐!P1734="应付",ISNUMBER(资金台帐!B1734),资金台帐!B1734&gt;=供应商对账单!$G$4,资金台帐!B1734&lt;=供应商对账单!$I$4),资金台帐!B1734+ROW()/100000,"")</f>
      </c>
    </row>
    <row r="3232">
      <c r="A3232">
        <f>IF(OR(出库明细!C2232="",出库明细!D2232=""),"",IF(OR(COUNTIFS(存条明细!$C$4:$C$1003,出库明细!C2232,存条明细!$D$4:$D$1003,出库明细!D2232)&gt;0,COUNTIFS(出库明细!$C$4:C2232,出库明细!C2232,出库明细!$D$4:D2232,出库明细!D2232)&gt;1),"",IFERROR(MATCH(出库明细!C2232,总览汇总!$B$5:$B$304,0),900)*10000000+IFERROR(MATCH(出库明细!D2232,基础资料!$E$5:$E$104,0),900)*10000+ROW()))</f>
      </c>
      <c r="F3232">
        <f>IF(AND(资金台帐!J235&lt;&gt;"",资金台帐!J235=客户对账单!$B$4,资金台帐!P235="应收",ISNUMBER(资金台帐!B235),资金台帐!B235&gt;=客户对账单!$G$4,资金台帐!B235&lt;=客户对账单!$I$4),资金台帐!B235+ROW()/100000,"")</f>
      </c>
      <c r="H3232">
        <f>IF(AND(资金台帐!K1735&lt;&gt;"",资金台帐!K1735=供应商对账单!$B$4,资金台帐!P1735="应付",ISNUMBER(资金台帐!B1735),资金台帐!B1735&gt;=供应商对账单!$G$4,资金台帐!B1735&lt;=供应商对账单!$I$4),资金台帐!B1735+ROW()/100000,"")</f>
      </c>
    </row>
    <row r="3233">
      <c r="A3233">
        <f>IF(OR(出库明细!C2233="",出库明细!D2233=""),"",IF(OR(COUNTIFS(存条明细!$C$4:$C$1003,出库明细!C2233,存条明细!$D$4:$D$1003,出库明细!D2233)&gt;0,COUNTIFS(出库明细!$C$4:C2233,出库明细!C2233,出库明细!$D$4:D2233,出库明细!D2233)&gt;1),"",IFERROR(MATCH(出库明细!C2233,总览汇总!$B$5:$B$304,0),900)*10000000+IFERROR(MATCH(出库明细!D2233,基础资料!$E$5:$E$104,0),900)*10000+ROW()))</f>
      </c>
      <c r="F3233">
        <f>IF(AND(资金台帐!J236&lt;&gt;"",资金台帐!J236=客户对账单!$B$4,资金台帐!P236="应收",ISNUMBER(资金台帐!B236),资金台帐!B236&gt;=客户对账单!$G$4,资金台帐!B236&lt;=客户对账单!$I$4),资金台帐!B236+ROW()/100000,"")</f>
      </c>
      <c r="H3233">
        <f>IF(AND(资金台帐!K1736&lt;&gt;"",资金台帐!K1736=供应商对账单!$B$4,资金台帐!P1736="应付",ISNUMBER(资金台帐!B1736),资金台帐!B1736&gt;=供应商对账单!$G$4,资金台帐!B1736&lt;=供应商对账单!$I$4),资金台帐!B1736+ROW()/100000,"")</f>
      </c>
    </row>
    <row r="3234">
      <c r="A3234">
        <f>IF(OR(出库明细!C2234="",出库明细!D2234=""),"",IF(OR(COUNTIFS(存条明细!$C$4:$C$1003,出库明细!C2234,存条明细!$D$4:$D$1003,出库明细!D2234)&gt;0,COUNTIFS(出库明细!$C$4:C2234,出库明细!C2234,出库明细!$D$4:D2234,出库明细!D2234)&gt;1),"",IFERROR(MATCH(出库明细!C2234,总览汇总!$B$5:$B$304,0),900)*10000000+IFERROR(MATCH(出库明细!D2234,基础资料!$E$5:$E$104,0),900)*10000+ROW()))</f>
      </c>
      <c r="F3234">
        <f>IF(AND(资金台帐!J237&lt;&gt;"",资金台帐!J237=客户对账单!$B$4,资金台帐!P237="应收",ISNUMBER(资金台帐!B237),资金台帐!B237&gt;=客户对账单!$G$4,资金台帐!B237&lt;=客户对账单!$I$4),资金台帐!B237+ROW()/100000,"")</f>
      </c>
      <c r="H3234">
        <f>IF(AND(资金台帐!K1737&lt;&gt;"",资金台帐!K1737=供应商对账单!$B$4,资金台帐!P1737="应付",ISNUMBER(资金台帐!B1737),资金台帐!B1737&gt;=供应商对账单!$G$4,资金台帐!B1737&lt;=供应商对账单!$I$4),资金台帐!B1737+ROW()/100000,"")</f>
      </c>
    </row>
    <row r="3235">
      <c r="A3235">
        <f>IF(OR(出库明细!C2235="",出库明细!D2235=""),"",IF(OR(COUNTIFS(存条明细!$C$4:$C$1003,出库明细!C2235,存条明细!$D$4:$D$1003,出库明细!D2235)&gt;0,COUNTIFS(出库明细!$C$4:C2235,出库明细!C2235,出库明细!$D$4:D2235,出库明细!D2235)&gt;1),"",IFERROR(MATCH(出库明细!C2235,总览汇总!$B$5:$B$304,0),900)*10000000+IFERROR(MATCH(出库明细!D2235,基础资料!$E$5:$E$104,0),900)*10000+ROW()))</f>
      </c>
      <c r="F3235">
        <f>IF(AND(资金台帐!J238&lt;&gt;"",资金台帐!J238=客户对账单!$B$4,资金台帐!P238="应收",ISNUMBER(资金台帐!B238),资金台帐!B238&gt;=客户对账单!$G$4,资金台帐!B238&lt;=客户对账单!$I$4),资金台帐!B238+ROW()/100000,"")</f>
      </c>
      <c r="H3235">
        <f>IF(AND(资金台帐!K1738&lt;&gt;"",资金台帐!K1738=供应商对账单!$B$4,资金台帐!P1738="应付",ISNUMBER(资金台帐!B1738),资金台帐!B1738&gt;=供应商对账单!$G$4,资金台帐!B1738&lt;=供应商对账单!$I$4),资金台帐!B1738+ROW()/100000,"")</f>
      </c>
    </row>
    <row r="3236">
      <c r="A3236">
        <f>IF(OR(出库明细!C2236="",出库明细!D2236=""),"",IF(OR(COUNTIFS(存条明细!$C$4:$C$1003,出库明细!C2236,存条明细!$D$4:$D$1003,出库明细!D2236)&gt;0,COUNTIFS(出库明细!$C$4:C2236,出库明细!C2236,出库明细!$D$4:D2236,出库明细!D2236)&gt;1),"",IFERROR(MATCH(出库明细!C2236,总览汇总!$B$5:$B$304,0),900)*10000000+IFERROR(MATCH(出库明细!D2236,基础资料!$E$5:$E$104,0),900)*10000+ROW()))</f>
      </c>
      <c r="F3236">
        <f>IF(AND(资金台帐!J239&lt;&gt;"",资金台帐!J239=客户对账单!$B$4,资金台帐!P239="应收",ISNUMBER(资金台帐!B239),资金台帐!B239&gt;=客户对账单!$G$4,资金台帐!B239&lt;=客户对账单!$I$4),资金台帐!B239+ROW()/100000,"")</f>
      </c>
      <c r="H3236">
        <f>IF(AND(资金台帐!K1739&lt;&gt;"",资金台帐!K1739=供应商对账单!$B$4,资金台帐!P1739="应付",ISNUMBER(资金台帐!B1739),资金台帐!B1739&gt;=供应商对账单!$G$4,资金台帐!B1739&lt;=供应商对账单!$I$4),资金台帐!B1739+ROW()/100000,"")</f>
      </c>
    </row>
    <row r="3237">
      <c r="A3237">
        <f>IF(OR(出库明细!C2237="",出库明细!D2237=""),"",IF(OR(COUNTIFS(存条明细!$C$4:$C$1003,出库明细!C2237,存条明细!$D$4:$D$1003,出库明细!D2237)&gt;0,COUNTIFS(出库明细!$C$4:C2237,出库明细!C2237,出库明细!$D$4:D2237,出库明细!D2237)&gt;1),"",IFERROR(MATCH(出库明细!C2237,总览汇总!$B$5:$B$304,0),900)*10000000+IFERROR(MATCH(出库明细!D2237,基础资料!$E$5:$E$104,0),900)*10000+ROW()))</f>
      </c>
      <c r="F3237">
        <f>IF(AND(资金台帐!J240&lt;&gt;"",资金台帐!J240=客户对账单!$B$4,资金台帐!P240="应收",ISNUMBER(资金台帐!B240),资金台帐!B240&gt;=客户对账单!$G$4,资金台帐!B240&lt;=客户对账单!$I$4),资金台帐!B240+ROW()/100000,"")</f>
      </c>
      <c r="H3237">
        <f>IF(AND(资金台帐!K1740&lt;&gt;"",资金台帐!K1740=供应商对账单!$B$4,资金台帐!P1740="应付",ISNUMBER(资金台帐!B1740),资金台帐!B1740&gt;=供应商对账单!$G$4,资金台帐!B1740&lt;=供应商对账单!$I$4),资金台帐!B1740+ROW()/100000,"")</f>
      </c>
    </row>
    <row r="3238">
      <c r="A3238">
        <f>IF(OR(出库明细!C2238="",出库明细!D2238=""),"",IF(OR(COUNTIFS(存条明细!$C$4:$C$1003,出库明细!C2238,存条明细!$D$4:$D$1003,出库明细!D2238)&gt;0,COUNTIFS(出库明细!$C$4:C2238,出库明细!C2238,出库明细!$D$4:D2238,出库明细!D2238)&gt;1),"",IFERROR(MATCH(出库明细!C2238,总览汇总!$B$5:$B$304,0),900)*10000000+IFERROR(MATCH(出库明细!D2238,基础资料!$E$5:$E$104,0),900)*10000+ROW()))</f>
      </c>
      <c r="F3238">
        <f>IF(AND(资金台帐!J241&lt;&gt;"",资金台帐!J241=客户对账单!$B$4,资金台帐!P241="应收",ISNUMBER(资金台帐!B241),资金台帐!B241&gt;=客户对账单!$G$4,资金台帐!B241&lt;=客户对账单!$I$4),资金台帐!B241+ROW()/100000,"")</f>
      </c>
      <c r="H3238">
        <f>IF(AND(资金台帐!K1741&lt;&gt;"",资金台帐!K1741=供应商对账单!$B$4,资金台帐!P1741="应付",ISNUMBER(资金台帐!B1741),资金台帐!B1741&gt;=供应商对账单!$G$4,资金台帐!B1741&lt;=供应商对账单!$I$4),资金台帐!B1741+ROW()/100000,"")</f>
      </c>
    </row>
    <row r="3239">
      <c r="A3239">
        <f>IF(OR(出库明细!C2239="",出库明细!D2239=""),"",IF(OR(COUNTIFS(存条明细!$C$4:$C$1003,出库明细!C2239,存条明细!$D$4:$D$1003,出库明细!D2239)&gt;0,COUNTIFS(出库明细!$C$4:C2239,出库明细!C2239,出库明细!$D$4:D2239,出库明细!D2239)&gt;1),"",IFERROR(MATCH(出库明细!C2239,总览汇总!$B$5:$B$304,0),900)*10000000+IFERROR(MATCH(出库明细!D2239,基础资料!$E$5:$E$104,0),900)*10000+ROW()))</f>
      </c>
      <c r="F3239">
        <f>IF(AND(资金台帐!J242&lt;&gt;"",资金台帐!J242=客户对账单!$B$4,资金台帐!P242="应收",ISNUMBER(资金台帐!B242),资金台帐!B242&gt;=客户对账单!$G$4,资金台帐!B242&lt;=客户对账单!$I$4),资金台帐!B242+ROW()/100000,"")</f>
      </c>
      <c r="H3239">
        <f>IF(AND(资金台帐!K1742&lt;&gt;"",资金台帐!K1742=供应商对账单!$B$4,资金台帐!P1742="应付",ISNUMBER(资金台帐!B1742),资金台帐!B1742&gt;=供应商对账单!$G$4,资金台帐!B1742&lt;=供应商对账单!$I$4),资金台帐!B1742+ROW()/100000,"")</f>
      </c>
    </row>
    <row r="3240">
      <c r="A3240">
        <f>IF(OR(出库明细!C2240="",出库明细!D2240=""),"",IF(OR(COUNTIFS(存条明细!$C$4:$C$1003,出库明细!C2240,存条明细!$D$4:$D$1003,出库明细!D2240)&gt;0,COUNTIFS(出库明细!$C$4:C2240,出库明细!C2240,出库明细!$D$4:D2240,出库明细!D2240)&gt;1),"",IFERROR(MATCH(出库明细!C2240,总览汇总!$B$5:$B$304,0),900)*10000000+IFERROR(MATCH(出库明细!D2240,基础资料!$E$5:$E$104,0),900)*10000+ROW()))</f>
      </c>
      <c r="F3240">
        <f>IF(AND(资金台帐!J243&lt;&gt;"",资金台帐!J243=客户对账单!$B$4,资金台帐!P243="应收",ISNUMBER(资金台帐!B243),资金台帐!B243&gt;=客户对账单!$G$4,资金台帐!B243&lt;=客户对账单!$I$4),资金台帐!B243+ROW()/100000,"")</f>
      </c>
      <c r="H3240">
        <f>IF(AND(资金台帐!K1743&lt;&gt;"",资金台帐!K1743=供应商对账单!$B$4,资金台帐!P1743="应付",ISNUMBER(资金台帐!B1743),资金台帐!B1743&gt;=供应商对账单!$G$4,资金台帐!B1743&lt;=供应商对账单!$I$4),资金台帐!B1743+ROW()/100000,"")</f>
      </c>
    </row>
    <row r="3241">
      <c r="A3241">
        <f>IF(OR(出库明细!C2241="",出库明细!D2241=""),"",IF(OR(COUNTIFS(存条明细!$C$4:$C$1003,出库明细!C2241,存条明细!$D$4:$D$1003,出库明细!D2241)&gt;0,COUNTIFS(出库明细!$C$4:C2241,出库明细!C2241,出库明细!$D$4:D2241,出库明细!D2241)&gt;1),"",IFERROR(MATCH(出库明细!C2241,总览汇总!$B$5:$B$304,0),900)*10000000+IFERROR(MATCH(出库明细!D2241,基础资料!$E$5:$E$104,0),900)*10000+ROW()))</f>
      </c>
      <c r="F3241">
        <f>IF(AND(资金台帐!J244&lt;&gt;"",资金台帐!J244=客户对账单!$B$4,资金台帐!P244="应收",ISNUMBER(资金台帐!B244),资金台帐!B244&gt;=客户对账单!$G$4,资金台帐!B244&lt;=客户对账单!$I$4),资金台帐!B244+ROW()/100000,"")</f>
      </c>
      <c r="H3241">
        <f>IF(AND(资金台帐!K1744&lt;&gt;"",资金台帐!K1744=供应商对账单!$B$4,资金台帐!P1744="应付",ISNUMBER(资金台帐!B1744),资金台帐!B1744&gt;=供应商对账单!$G$4,资金台帐!B1744&lt;=供应商对账单!$I$4),资金台帐!B1744+ROW()/100000,"")</f>
      </c>
    </row>
    <row r="3242">
      <c r="A3242">
        <f>IF(OR(出库明细!C2242="",出库明细!D2242=""),"",IF(OR(COUNTIFS(存条明细!$C$4:$C$1003,出库明细!C2242,存条明细!$D$4:$D$1003,出库明细!D2242)&gt;0,COUNTIFS(出库明细!$C$4:C2242,出库明细!C2242,出库明细!$D$4:D2242,出库明细!D2242)&gt;1),"",IFERROR(MATCH(出库明细!C2242,总览汇总!$B$5:$B$304,0),900)*10000000+IFERROR(MATCH(出库明细!D2242,基础资料!$E$5:$E$104,0),900)*10000+ROW()))</f>
      </c>
      <c r="F3242">
        <f>IF(AND(资金台帐!J245&lt;&gt;"",资金台帐!J245=客户对账单!$B$4,资金台帐!P245="应收",ISNUMBER(资金台帐!B245),资金台帐!B245&gt;=客户对账单!$G$4,资金台帐!B245&lt;=客户对账单!$I$4),资金台帐!B245+ROW()/100000,"")</f>
      </c>
      <c r="H3242">
        <f>IF(AND(资金台帐!K1745&lt;&gt;"",资金台帐!K1745=供应商对账单!$B$4,资金台帐!P1745="应付",ISNUMBER(资金台帐!B1745),资金台帐!B1745&gt;=供应商对账单!$G$4,资金台帐!B1745&lt;=供应商对账单!$I$4),资金台帐!B1745+ROW()/100000,"")</f>
      </c>
    </row>
    <row r="3243">
      <c r="A3243">
        <f>IF(OR(出库明细!C2243="",出库明细!D2243=""),"",IF(OR(COUNTIFS(存条明细!$C$4:$C$1003,出库明细!C2243,存条明细!$D$4:$D$1003,出库明细!D2243)&gt;0,COUNTIFS(出库明细!$C$4:C2243,出库明细!C2243,出库明细!$D$4:D2243,出库明细!D2243)&gt;1),"",IFERROR(MATCH(出库明细!C2243,总览汇总!$B$5:$B$304,0),900)*10000000+IFERROR(MATCH(出库明细!D2243,基础资料!$E$5:$E$104,0),900)*10000+ROW()))</f>
      </c>
      <c r="F3243">
        <f>IF(AND(资金台帐!J246&lt;&gt;"",资金台帐!J246=客户对账单!$B$4,资金台帐!P246="应收",ISNUMBER(资金台帐!B246),资金台帐!B246&gt;=客户对账单!$G$4,资金台帐!B246&lt;=客户对账单!$I$4),资金台帐!B246+ROW()/100000,"")</f>
      </c>
      <c r="H3243">
        <f>IF(AND(资金台帐!K1746&lt;&gt;"",资金台帐!K1746=供应商对账单!$B$4,资金台帐!P1746="应付",ISNUMBER(资金台帐!B1746),资金台帐!B1746&gt;=供应商对账单!$G$4,资金台帐!B1746&lt;=供应商对账单!$I$4),资金台帐!B1746+ROW()/100000,"")</f>
      </c>
    </row>
    <row r="3244">
      <c r="A3244">
        <f>IF(OR(出库明细!C2244="",出库明细!D2244=""),"",IF(OR(COUNTIFS(存条明细!$C$4:$C$1003,出库明细!C2244,存条明细!$D$4:$D$1003,出库明细!D2244)&gt;0,COUNTIFS(出库明细!$C$4:C2244,出库明细!C2244,出库明细!$D$4:D2244,出库明细!D2244)&gt;1),"",IFERROR(MATCH(出库明细!C2244,总览汇总!$B$5:$B$304,0),900)*10000000+IFERROR(MATCH(出库明细!D2244,基础资料!$E$5:$E$104,0),900)*10000+ROW()))</f>
      </c>
      <c r="F3244">
        <f>IF(AND(资金台帐!J247&lt;&gt;"",资金台帐!J247=客户对账单!$B$4,资金台帐!P247="应收",ISNUMBER(资金台帐!B247),资金台帐!B247&gt;=客户对账单!$G$4,资金台帐!B247&lt;=客户对账单!$I$4),资金台帐!B247+ROW()/100000,"")</f>
      </c>
      <c r="H3244">
        <f>IF(AND(资金台帐!K1747&lt;&gt;"",资金台帐!K1747=供应商对账单!$B$4,资金台帐!P1747="应付",ISNUMBER(资金台帐!B1747),资金台帐!B1747&gt;=供应商对账单!$G$4,资金台帐!B1747&lt;=供应商对账单!$I$4),资金台帐!B1747+ROW()/100000,"")</f>
      </c>
    </row>
    <row r="3245">
      <c r="A3245">
        <f>IF(OR(出库明细!C2245="",出库明细!D2245=""),"",IF(OR(COUNTIFS(存条明细!$C$4:$C$1003,出库明细!C2245,存条明细!$D$4:$D$1003,出库明细!D2245)&gt;0,COUNTIFS(出库明细!$C$4:C2245,出库明细!C2245,出库明细!$D$4:D2245,出库明细!D2245)&gt;1),"",IFERROR(MATCH(出库明细!C2245,总览汇总!$B$5:$B$304,0),900)*10000000+IFERROR(MATCH(出库明细!D2245,基础资料!$E$5:$E$104,0),900)*10000+ROW()))</f>
      </c>
      <c r="F3245">
        <f>IF(AND(资金台帐!J248&lt;&gt;"",资金台帐!J248=客户对账单!$B$4,资金台帐!P248="应收",ISNUMBER(资金台帐!B248),资金台帐!B248&gt;=客户对账单!$G$4,资金台帐!B248&lt;=客户对账单!$I$4),资金台帐!B248+ROW()/100000,"")</f>
      </c>
      <c r="H3245">
        <f>IF(AND(资金台帐!K1748&lt;&gt;"",资金台帐!K1748=供应商对账单!$B$4,资金台帐!P1748="应付",ISNUMBER(资金台帐!B1748),资金台帐!B1748&gt;=供应商对账单!$G$4,资金台帐!B1748&lt;=供应商对账单!$I$4),资金台帐!B1748+ROW()/100000,"")</f>
      </c>
    </row>
    <row r="3246">
      <c r="A3246">
        <f>IF(OR(出库明细!C2246="",出库明细!D2246=""),"",IF(OR(COUNTIFS(存条明细!$C$4:$C$1003,出库明细!C2246,存条明细!$D$4:$D$1003,出库明细!D2246)&gt;0,COUNTIFS(出库明细!$C$4:C2246,出库明细!C2246,出库明细!$D$4:D2246,出库明细!D2246)&gt;1),"",IFERROR(MATCH(出库明细!C2246,总览汇总!$B$5:$B$304,0),900)*10000000+IFERROR(MATCH(出库明细!D2246,基础资料!$E$5:$E$104,0),900)*10000+ROW()))</f>
      </c>
      <c r="F3246">
        <f>IF(AND(资金台帐!J249&lt;&gt;"",资金台帐!J249=客户对账单!$B$4,资金台帐!P249="应收",ISNUMBER(资金台帐!B249),资金台帐!B249&gt;=客户对账单!$G$4,资金台帐!B249&lt;=客户对账单!$I$4),资金台帐!B249+ROW()/100000,"")</f>
      </c>
      <c r="H3246">
        <f>IF(AND(资金台帐!K1749&lt;&gt;"",资金台帐!K1749=供应商对账单!$B$4,资金台帐!P1749="应付",ISNUMBER(资金台帐!B1749),资金台帐!B1749&gt;=供应商对账单!$G$4,资金台帐!B1749&lt;=供应商对账单!$I$4),资金台帐!B1749+ROW()/100000,"")</f>
      </c>
    </row>
    <row r="3247">
      <c r="A3247">
        <f>IF(OR(出库明细!C2247="",出库明细!D2247=""),"",IF(OR(COUNTIFS(存条明细!$C$4:$C$1003,出库明细!C2247,存条明细!$D$4:$D$1003,出库明细!D2247)&gt;0,COUNTIFS(出库明细!$C$4:C2247,出库明细!C2247,出库明细!$D$4:D2247,出库明细!D2247)&gt;1),"",IFERROR(MATCH(出库明细!C2247,总览汇总!$B$5:$B$304,0),900)*10000000+IFERROR(MATCH(出库明细!D2247,基础资料!$E$5:$E$104,0),900)*10000+ROW()))</f>
      </c>
      <c r="F3247">
        <f>IF(AND(资金台帐!J250&lt;&gt;"",资金台帐!J250=客户对账单!$B$4,资金台帐!P250="应收",ISNUMBER(资金台帐!B250),资金台帐!B250&gt;=客户对账单!$G$4,资金台帐!B250&lt;=客户对账单!$I$4),资金台帐!B250+ROW()/100000,"")</f>
      </c>
      <c r="H3247">
        <f>IF(AND(资金台帐!K1750&lt;&gt;"",资金台帐!K1750=供应商对账单!$B$4,资金台帐!P1750="应付",ISNUMBER(资金台帐!B1750),资金台帐!B1750&gt;=供应商对账单!$G$4,资金台帐!B1750&lt;=供应商对账单!$I$4),资金台帐!B1750+ROW()/100000,"")</f>
      </c>
    </row>
    <row r="3248">
      <c r="A3248">
        <f>IF(OR(出库明细!C2248="",出库明细!D2248=""),"",IF(OR(COUNTIFS(存条明细!$C$4:$C$1003,出库明细!C2248,存条明细!$D$4:$D$1003,出库明细!D2248)&gt;0,COUNTIFS(出库明细!$C$4:C2248,出库明细!C2248,出库明细!$D$4:D2248,出库明细!D2248)&gt;1),"",IFERROR(MATCH(出库明细!C2248,总览汇总!$B$5:$B$304,0),900)*10000000+IFERROR(MATCH(出库明细!D2248,基础资料!$E$5:$E$104,0),900)*10000+ROW()))</f>
      </c>
      <c r="F3248">
        <f>IF(AND(资金台帐!J251&lt;&gt;"",资金台帐!J251=客户对账单!$B$4,资金台帐!P251="应收",ISNUMBER(资金台帐!B251),资金台帐!B251&gt;=客户对账单!$G$4,资金台帐!B251&lt;=客户对账单!$I$4),资金台帐!B251+ROW()/100000,"")</f>
      </c>
      <c r="H3248">
        <f>IF(AND(资金台帐!K1751&lt;&gt;"",资金台帐!K1751=供应商对账单!$B$4,资金台帐!P1751="应付",ISNUMBER(资金台帐!B1751),资金台帐!B1751&gt;=供应商对账单!$G$4,资金台帐!B1751&lt;=供应商对账单!$I$4),资金台帐!B1751+ROW()/100000,"")</f>
      </c>
    </row>
    <row r="3249">
      <c r="A3249">
        <f>IF(OR(出库明细!C2249="",出库明细!D2249=""),"",IF(OR(COUNTIFS(存条明细!$C$4:$C$1003,出库明细!C2249,存条明细!$D$4:$D$1003,出库明细!D2249)&gt;0,COUNTIFS(出库明细!$C$4:C2249,出库明细!C2249,出库明细!$D$4:D2249,出库明细!D2249)&gt;1),"",IFERROR(MATCH(出库明细!C2249,总览汇总!$B$5:$B$304,0),900)*10000000+IFERROR(MATCH(出库明细!D2249,基础资料!$E$5:$E$104,0),900)*10000+ROW()))</f>
      </c>
      <c r="F3249">
        <f>IF(AND(资金台帐!J252&lt;&gt;"",资金台帐!J252=客户对账单!$B$4,资金台帐!P252="应收",ISNUMBER(资金台帐!B252),资金台帐!B252&gt;=客户对账单!$G$4,资金台帐!B252&lt;=客户对账单!$I$4),资金台帐!B252+ROW()/100000,"")</f>
      </c>
      <c r="H3249">
        <f>IF(AND(资金台帐!K1752&lt;&gt;"",资金台帐!K1752=供应商对账单!$B$4,资金台帐!P1752="应付",ISNUMBER(资金台帐!B1752),资金台帐!B1752&gt;=供应商对账单!$G$4,资金台帐!B1752&lt;=供应商对账单!$I$4),资金台帐!B1752+ROW()/100000,"")</f>
      </c>
    </row>
    <row r="3250">
      <c r="A3250">
        <f>IF(OR(出库明细!C2250="",出库明细!D2250=""),"",IF(OR(COUNTIFS(存条明细!$C$4:$C$1003,出库明细!C2250,存条明细!$D$4:$D$1003,出库明细!D2250)&gt;0,COUNTIFS(出库明细!$C$4:C2250,出库明细!C2250,出库明细!$D$4:D2250,出库明细!D2250)&gt;1),"",IFERROR(MATCH(出库明细!C2250,总览汇总!$B$5:$B$304,0),900)*10000000+IFERROR(MATCH(出库明细!D2250,基础资料!$E$5:$E$104,0),900)*10000+ROW()))</f>
      </c>
      <c r="F3250">
        <f>IF(AND(资金台帐!J253&lt;&gt;"",资金台帐!J253=客户对账单!$B$4,资金台帐!P253="应收",ISNUMBER(资金台帐!B253),资金台帐!B253&gt;=客户对账单!$G$4,资金台帐!B253&lt;=客户对账单!$I$4),资金台帐!B253+ROW()/100000,"")</f>
      </c>
      <c r="H3250">
        <f>IF(AND(资金台帐!K1753&lt;&gt;"",资金台帐!K1753=供应商对账单!$B$4,资金台帐!P1753="应付",ISNUMBER(资金台帐!B1753),资金台帐!B1753&gt;=供应商对账单!$G$4,资金台帐!B1753&lt;=供应商对账单!$I$4),资金台帐!B1753+ROW()/100000,"")</f>
      </c>
    </row>
    <row r="3251">
      <c r="A3251">
        <f>IF(OR(出库明细!C2251="",出库明细!D2251=""),"",IF(OR(COUNTIFS(存条明细!$C$4:$C$1003,出库明细!C2251,存条明细!$D$4:$D$1003,出库明细!D2251)&gt;0,COUNTIFS(出库明细!$C$4:C2251,出库明细!C2251,出库明细!$D$4:D2251,出库明细!D2251)&gt;1),"",IFERROR(MATCH(出库明细!C2251,总览汇总!$B$5:$B$304,0),900)*10000000+IFERROR(MATCH(出库明细!D2251,基础资料!$E$5:$E$104,0),900)*10000+ROW()))</f>
      </c>
      <c r="F3251">
        <f>IF(AND(资金台帐!J254&lt;&gt;"",资金台帐!J254=客户对账单!$B$4,资金台帐!P254="应收",ISNUMBER(资金台帐!B254),资金台帐!B254&gt;=客户对账单!$G$4,资金台帐!B254&lt;=客户对账单!$I$4),资金台帐!B254+ROW()/100000,"")</f>
      </c>
      <c r="H3251">
        <f>IF(AND(资金台帐!K1754&lt;&gt;"",资金台帐!K1754=供应商对账单!$B$4,资金台帐!P1754="应付",ISNUMBER(资金台帐!B1754),资金台帐!B1754&gt;=供应商对账单!$G$4,资金台帐!B1754&lt;=供应商对账单!$I$4),资金台帐!B1754+ROW()/100000,"")</f>
      </c>
    </row>
    <row r="3252">
      <c r="A3252">
        <f>IF(OR(出库明细!C2252="",出库明细!D2252=""),"",IF(OR(COUNTIFS(存条明细!$C$4:$C$1003,出库明细!C2252,存条明细!$D$4:$D$1003,出库明细!D2252)&gt;0,COUNTIFS(出库明细!$C$4:C2252,出库明细!C2252,出库明细!$D$4:D2252,出库明细!D2252)&gt;1),"",IFERROR(MATCH(出库明细!C2252,总览汇总!$B$5:$B$304,0),900)*10000000+IFERROR(MATCH(出库明细!D2252,基础资料!$E$5:$E$104,0),900)*10000+ROW()))</f>
      </c>
      <c r="F3252">
        <f>IF(AND(资金台帐!J255&lt;&gt;"",资金台帐!J255=客户对账单!$B$4,资金台帐!P255="应收",ISNUMBER(资金台帐!B255),资金台帐!B255&gt;=客户对账单!$G$4,资金台帐!B255&lt;=客户对账单!$I$4),资金台帐!B255+ROW()/100000,"")</f>
      </c>
      <c r="H3252">
        <f>IF(AND(资金台帐!K1755&lt;&gt;"",资金台帐!K1755=供应商对账单!$B$4,资金台帐!P1755="应付",ISNUMBER(资金台帐!B1755),资金台帐!B1755&gt;=供应商对账单!$G$4,资金台帐!B1755&lt;=供应商对账单!$I$4),资金台帐!B1755+ROW()/100000,"")</f>
      </c>
    </row>
    <row r="3253">
      <c r="A3253">
        <f>IF(OR(出库明细!C2253="",出库明细!D2253=""),"",IF(OR(COUNTIFS(存条明细!$C$4:$C$1003,出库明细!C2253,存条明细!$D$4:$D$1003,出库明细!D2253)&gt;0,COUNTIFS(出库明细!$C$4:C2253,出库明细!C2253,出库明细!$D$4:D2253,出库明细!D2253)&gt;1),"",IFERROR(MATCH(出库明细!C2253,总览汇总!$B$5:$B$304,0),900)*10000000+IFERROR(MATCH(出库明细!D2253,基础资料!$E$5:$E$104,0),900)*10000+ROW()))</f>
      </c>
      <c r="F3253">
        <f>IF(AND(资金台帐!J256&lt;&gt;"",资金台帐!J256=客户对账单!$B$4,资金台帐!P256="应收",ISNUMBER(资金台帐!B256),资金台帐!B256&gt;=客户对账单!$G$4,资金台帐!B256&lt;=客户对账单!$I$4),资金台帐!B256+ROW()/100000,"")</f>
      </c>
      <c r="H3253">
        <f>IF(AND(资金台帐!K1756&lt;&gt;"",资金台帐!K1756=供应商对账单!$B$4,资金台帐!P1756="应付",ISNUMBER(资金台帐!B1756),资金台帐!B1756&gt;=供应商对账单!$G$4,资金台帐!B1756&lt;=供应商对账单!$I$4),资金台帐!B1756+ROW()/100000,"")</f>
      </c>
    </row>
    <row r="3254">
      <c r="A3254">
        <f>IF(OR(出库明细!C2254="",出库明细!D2254=""),"",IF(OR(COUNTIFS(存条明细!$C$4:$C$1003,出库明细!C2254,存条明细!$D$4:$D$1003,出库明细!D2254)&gt;0,COUNTIFS(出库明细!$C$4:C2254,出库明细!C2254,出库明细!$D$4:D2254,出库明细!D2254)&gt;1),"",IFERROR(MATCH(出库明细!C2254,总览汇总!$B$5:$B$304,0),900)*10000000+IFERROR(MATCH(出库明细!D2254,基础资料!$E$5:$E$104,0),900)*10000+ROW()))</f>
      </c>
      <c r="F3254">
        <f>IF(AND(资金台帐!J257&lt;&gt;"",资金台帐!J257=客户对账单!$B$4,资金台帐!P257="应收",ISNUMBER(资金台帐!B257),资金台帐!B257&gt;=客户对账单!$G$4,资金台帐!B257&lt;=客户对账单!$I$4),资金台帐!B257+ROW()/100000,"")</f>
      </c>
      <c r="H3254">
        <f>IF(AND(资金台帐!K1757&lt;&gt;"",资金台帐!K1757=供应商对账单!$B$4,资金台帐!P1757="应付",ISNUMBER(资金台帐!B1757),资金台帐!B1757&gt;=供应商对账单!$G$4,资金台帐!B1757&lt;=供应商对账单!$I$4),资金台帐!B1757+ROW()/100000,"")</f>
      </c>
    </row>
    <row r="3255">
      <c r="A3255">
        <f>IF(OR(出库明细!C2255="",出库明细!D2255=""),"",IF(OR(COUNTIFS(存条明细!$C$4:$C$1003,出库明细!C2255,存条明细!$D$4:$D$1003,出库明细!D2255)&gt;0,COUNTIFS(出库明细!$C$4:C2255,出库明细!C2255,出库明细!$D$4:D2255,出库明细!D2255)&gt;1),"",IFERROR(MATCH(出库明细!C2255,总览汇总!$B$5:$B$304,0),900)*10000000+IFERROR(MATCH(出库明细!D2255,基础资料!$E$5:$E$104,0),900)*10000+ROW()))</f>
      </c>
      <c r="F3255">
        <f>IF(AND(资金台帐!J258&lt;&gt;"",资金台帐!J258=客户对账单!$B$4,资金台帐!P258="应收",ISNUMBER(资金台帐!B258),资金台帐!B258&gt;=客户对账单!$G$4,资金台帐!B258&lt;=客户对账单!$I$4),资金台帐!B258+ROW()/100000,"")</f>
      </c>
      <c r="H3255">
        <f>IF(AND(资金台帐!K1758&lt;&gt;"",资金台帐!K1758=供应商对账单!$B$4,资金台帐!P1758="应付",ISNUMBER(资金台帐!B1758),资金台帐!B1758&gt;=供应商对账单!$G$4,资金台帐!B1758&lt;=供应商对账单!$I$4),资金台帐!B1758+ROW()/100000,"")</f>
      </c>
    </row>
    <row r="3256">
      <c r="A3256">
        <f>IF(OR(出库明细!C2256="",出库明细!D2256=""),"",IF(OR(COUNTIFS(存条明细!$C$4:$C$1003,出库明细!C2256,存条明细!$D$4:$D$1003,出库明细!D2256)&gt;0,COUNTIFS(出库明细!$C$4:C2256,出库明细!C2256,出库明细!$D$4:D2256,出库明细!D2256)&gt;1),"",IFERROR(MATCH(出库明细!C2256,总览汇总!$B$5:$B$304,0),900)*10000000+IFERROR(MATCH(出库明细!D2256,基础资料!$E$5:$E$104,0),900)*10000+ROW()))</f>
      </c>
      <c r="F3256">
        <f>IF(AND(资金台帐!J259&lt;&gt;"",资金台帐!J259=客户对账单!$B$4,资金台帐!P259="应收",ISNUMBER(资金台帐!B259),资金台帐!B259&gt;=客户对账单!$G$4,资金台帐!B259&lt;=客户对账单!$I$4),资金台帐!B259+ROW()/100000,"")</f>
      </c>
      <c r="H3256">
        <f>IF(AND(资金台帐!K1759&lt;&gt;"",资金台帐!K1759=供应商对账单!$B$4,资金台帐!P1759="应付",ISNUMBER(资金台帐!B1759),资金台帐!B1759&gt;=供应商对账单!$G$4,资金台帐!B1759&lt;=供应商对账单!$I$4),资金台帐!B1759+ROW()/100000,"")</f>
      </c>
    </row>
    <row r="3257">
      <c r="A3257">
        <f>IF(OR(出库明细!C2257="",出库明细!D2257=""),"",IF(OR(COUNTIFS(存条明细!$C$4:$C$1003,出库明细!C2257,存条明细!$D$4:$D$1003,出库明细!D2257)&gt;0,COUNTIFS(出库明细!$C$4:C2257,出库明细!C2257,出库明细!$D$4:D2257,出库明细!D2257)&gt;1),"",IFERROR(MATCH(出库明细!C2257,总览汇总!$B$5:$B$304,0),900)*10000000+IFERROR(MATCH(出库明细!D2257,基础资料!$E$5:$E$104,0),900)*10000+ROW()))</f>
      </c>
      <c r="F3257">
        <f>IF(AND(资金台帐!J260&lt;&gt;"",资金台帐!J260=客户对账单!$B$4,资金台帐!P260="应收",ISNUMBER(资金台帐!B260),资金台帐!B260&gt;=客户对账单!$G$4,资金台帐!B260&lt;=客户对账单!$I$4),资金台帐!B260+ROW()/100000,"")</f>
      </c>
      <c r="H3257">
        <f>IF(AND(资金台帐!K1760&lt;&gt;"",资金台帐!K1760=供应商对账单!$B$4,资金台帐!P1760="应付",ISNUMBER(资金台帐!B1760),资金台帐!B1760&gt;=供应商对账单!$G$4,资金台帐!B1760&lt;=供应商对账单!$I$4),资金台帐!B1760+ROW()/100000,"")</f>
      </c>
    </row>
    <row r="3258">
      <c r="A3258">
        <f>IF(OR(出库明细!C2258="",出库明细!D2258=""),"",IF(OR(COUNTIFS(存条明细!$C$4:$C$1003,出库明细!C2258,存条明细!$D$4:$D$1003,出库明细!D2258)&gt;0,COUNTIFS(出库明细!$C$4:C2258,出库明细!C2258,出库明细!$D$4:D2258,出库明细!D2258)&gt;1),"",IFERROR(MATCH(出库明细!C2258,总览汇总!$B$5:$B$304,0),900)*10000000+IFERROR(MATCH(出库明细!D2258,基础资料!$E$5:$E$104,0),900)*10000+ROW()))</f>
      </c>
      <c r="F3258">
        <f>IF(AND(资金台帐!J261&lt;&gt;"",资金台帐!J261=客户对账单!$B$4,资金台帐!P261="应收",ISNUMBER(资金台帐!B261),资金台帐!B261&gt;=客户对账单!$G$4,资金台帐!B261&lt;=客户对账单!$I$4),资金台帐!B261+ROW()/100000,"")</f>
      </c>
      <c r="H3258">
        <f>IF(AND(资金台帐!K1761&lt;&gt;"",资金台帐!K1761=供应商对账单!$B$4,资金台帐!P1761="应付",ISNUMBER(资金台帐!B1761),资金台帐!B1761&gt;=供应商对账单!$G$4,资金台帐!B1761&lt;=供应商对账单!$I$4),资金台帐!B1761+ROW()/100000,"")</f>
      </c>
    </row>
    <row r="3259">
      <c r="A3259">
        <f>IF(OR(出库明细!C2259="",出库明细!D2259=""),"",IF(OR(COUNTIFS(存条明细!$C$4:$C$1003,出库明细!C2259,存条明细!$D$4:$D$1003,出库明细!D2259)&gt;0,COUNTIFS(出库明细!$C$4:C2259,出库明细!C2259,出库明细!$D$4:D2259,出库明细!D2259)&gt;1),"",IFERROR(MATCH(出库明细!C2259,总览汇总!$B$5:$B$304,0),900)*10000000+IFERROR(MATCH(出库明细!D2259,基础资料!$E$5:$E$104,0),900)*10000+ROW()))</f>
      </c>
      <c r="F3259">
        <f>IF(AND(资金台帐!J262&lt;&gt;"",资金台帐!J262=客户对账单!$B$4,资金台帐!P262="应收",ISNUMBER(资金台帐!B262),资金台帐!B262&gt;=客户对账单!$G$4,资金台帐!B262&lt;=客户对账单!$I$4),资金台帐!B262+ROW()/100000,"")</f>
      </c>
      <c r="H3259">
        <f>IF(AND(资金台帐!K1762&lt;&gt;"",资金台帐!K1762=供应商对账单!$B$4,资金台帐!P1762="应付",ISNUMBER(资金台帐!B1762),资金台帐!B1762&gt;=供应商对账单!$G$4,资金台帐!B1762&lt;=供应商对账单!$I$4),资金台帐!B1762+ROW()/100000,"")</f>
      </c>
    </row>
    <row r="3260">
      <c r="A3260">
        <f>IF(OR(出库明细!C2260="",出库明细!D2260=""),"",IF(OR(COUNTIFS(存条明细!$C$4:$C$1003,出库明细!C2260,存条明细!$D$4:$D$1003,出库明细!D2260)&gt;0,COUNTIFS(出库明细!$C$4:C2260,出库明细!C2260,出库明细!$D$4:D2260,出库明细!D2260)&gt;1),"",IFERROR(MATCH(出库明细!C2260,总览汇总!$B$5:$B$304,0),900)*10000000+IFERROR(MATCH(出库明细!D2260,基础资料!$E$5:$E$104,0),900)*10000+ROW()))</f>
      </c>
      <c r="F3260">
        <f>IF(AND(资金台帐!J263&lt;&gt;"",资金台帐!J263=客户对账单!$B$4,资金台帐!P263="应收",ISNUMBER(资金台帐!B263),资金台帐!B263&gt;=客户对账单!$G$4,资金台帐!B263&lt;=客户对账单!$I$4),资金台帐!B263+ROW()/100000,"")</f>
      </c>
      <c r="H3260">
        <f>IF(AND(资金台帐!K1763&lt;&gt;"",资金台帐!K1763=供应商对账单!$B$4,资金台帐!P1763="应付",ISNUMBER(资金台帐!B1763),资金台帐!B1763&gt;=供应商对账单!$G$4,资金台帐!B1763&lt;=供应商对账单!$I$4),资金台帐!B1763+ROW()/100000,"")</f>
      </c>
    </row>
    <row r="3261">
      <c r="A3261">
        <f>IF(OR(出库明细!C2261="",出库明细!D2261=""),"",IF(OR(COUNTIFS(存条明细!$C$4:$C$1003,出库明细!C2261,存条明细!$D$4:$D$1003,出库明细!D2261)&gt;0,COUNTIFS(出库明细!$C$4:C2261,出库明细!C2261,出库明细!$D$4:D2261,出库明细!D2261)&gt;1),"",IFERROR(MATCH(出库明细!C2261,总览汇总!$B$5:$B$304,0),900)*10000000+IFERROR(MATCH(出库明细!D2261,基础资料!$E$5:$E$104,0),900)*10000+ROW()))</f>
      </c>
      <c r="F3261">
        <f>IF(AND(资金台帐!J264&lt;&gt;"",资金台帐!J264=客户对账单!$B$4,资金台帐!P264="应收",ISNUMBER(资金台帐!B264),资金台帐!B264&gt;=客户对账单!$G$4,资金台帐!B264&lt;=客户对账单!$I$4),资金台帐!B264+ROW()/100000,"")</f>
      </c>
      <c r="H3261">
        <f>IF(AND(资金台帐!K1764&lt;&gt;"",资金台帐!K1764=供应商对账单!$B$4,资金台帐!P1764="应付",ISNUMBER(资金台帐!B1764),资金台帐!B1764&gt;=供应商对账单!$G$4,资金台帐!B1764&lt;=供应商对账单!$I$4),资金台帐!B1764+ROW()/100000,"")</f>
      </c>
    </row>
    <row r="3262">
      <c r="A3262">
        <f>IF(OR(出库明细!C2262="",出库明细!D2262=""),"",IF(OR(COUNTIFS(存条明细!$C$4:$C$1003,出库明细!C2262,存条明细!$D$4:$D$1003,出库明细!D2262)&gt;0,COUNTIFS(出库明细!$C$4:C2262,出库明细!C2262,出库明细!$D$4:D2262,出库明细!D2262)&gt;1),"",IFERROR(MATCH(出库明细!C2262,总览汇总!$B$5:$B$304,0),900)*10000000+IFERROR(MATCH(出库明细!D2262,基础资料!$E$5:$E$104,0),900)*10000+ROW()))</f>
      </c>
      <c r="F3262">
        <f>IF(AND(资金台帐!J265&lt;&gt;"",资金台帐!J265=客户对账单!$B$4,资金台帐!P265="应收",ISNUMBER(资金台帐!B265),资金台帐!B265&gt;=客户对账单!$G$4,资金台帐!B265&lt;=客户对账单!$I$4),资金台帐!B265+ROW()/100000,"")</f>
      </c>
      <c r="H3262">
        <f>IF(AND(资金台帐!K1765&lt;&gt;"",资金台帐!K1765=供应商对账单!$B$4,资金台帐!P1765="应付",ISNUMBER(资金台帐!B1765),资金台帐!B1765&gt;=供应商对账单!$G$4,资金台帐!B1765&lt;=供应商对账单!$I$4),资金台帐!B1765+ROW()/100000,"")</f>
      </c>
    </row>
    <row r="3263">
      <c r="A3263">
        <f>IF(OR(出库明细!C2263="",出库明细!D2263=""),"",IF(OR(COUNTIFS(存条明细!$C$4:$C$1003,出库明细!C2263,存条明细!$D$4:$D$1003,出库明细!D2263)&gt;0,COUNTIFS(出库明细!$C$4:C2263,出库明细!C2263,出库明细!$D$4:D2263,出库明细!D2263)&gt;1),"",IFERROR(MATCH(出库明细!C2263,总览汇总!$B$5:$B$304,0),900)*10000000+IFERROR(MATCH(出库明细!D2263,基础资料!$E$5:$E$104,0),900)*10000+ROW()))</f>
      </c>
      <c r="F3263">
        <f>IF(AND(资金台帐!J266&lt;&gt;"",资金台帐!J266=客户对账单!$B$4,资金台帐!P266="应收",ISNUMBER(资金台帐!B266),资金台帐!B266&gt;=客户对账单!$G$4,资金台帐!B266&lt;=客户对账单!$I$4),资金台帐!B266+ROW()/100000,"")</f>
      </c>
      <c r="H3263">
        <f>IF(AND(资金台帐!K1766&lt;&gt;"",资金台帐!K1766=供应商对账单!$B$4,资金台帐!P1766="应付",ISNUMBER(资金台帐!B1766),资金台帐!B1766&gt;=供应商对账单!$G$4,资金台帐!B1766&lt;=供应商对账单!$I$4),资金台帐!B1766+ROW()/100000,"")</f>
      </c>
    </row>
    <row r="3264">
      <c r="A3264">
        <f>IF(OR(出库明细!C2264="",出库明细!D2264=""),"",IF(OR(COUNTIFS(存条明细!$C$4:$C$1003,出库明细!C2264,存条明细!$D$4:$D$1003,出库明细!D2264)&gt;0,COUNTIFS(出库明细!$C$4:C2264,出库明细!C2264,出库明细!$D$4:D2264,出库明细!D2264)&gt;1),"",IFERROR(MATCH(出库明细!C2264,总览汇总!$B$5:$B$304,0),900)*10000000+IFERROR(MATCH(出库明细!D2264,基础资料!$E$5:$E$104,0),900)*10000+ROW()))</f>
      </c>
      <c r="F3264">
        <f>IF(AND(资金台帐!J267&lt;&gt;"",资金台帐!J267=客户对账单!$B$4,资金台帐!P267="应收",ISNUMBER(资金台帐!B267),资金台帐!B267&gt;=客户对账单!$G$4,资金台帐!B267&lt;=客户对账单!$I$4),资金台帐!B267+ROW()/100000,"")</f>
      </c>
      <c r="H3264">
        <f>IF(AND(资金台帐!K1767&lt;&gt;"",资金台帐!K1767=供应商对账单!$B$4,资金台帐!P1767="应付",ISNUMBER(资金台帐!B1767),资金台帐!B1767&gt;=供应商对账单!$G$4,资金台帐!B1767&lt;=供应商对账单!$I$4),资金台帐!B1767+ROW()/100000,"")</f>
      </c>
    </row>
    <row r="3265">
      <c r="A3265">
        <f>IF(OR(出库明细!C2265="",出库明细!D2265=""),"",IF(OR(COUNTIFS(存条明细!$C$4:$C$1003,出库明细!C2265,存条明细!$D$4:$D$1003,出库明细!D2265)&gt;0,COUNTIFS(出库明细!$C$4:C2265,出库明细!C2265,出库明细!$D$4:D2265,出库明细!D2265)&gt;1),"",IFERROR(MATCH(出库明细!C2265,总览汇总!$B$5:$B$304,0),900)*10000000+IFERROR(MATCH(出库明细!D2265,基础资料!$E$5:$E$104,0),900)*10000+ROW()))</f>
      </c>
      <c r="F3265">
        <f>IF(AND(资金台帐!J268&lt;&gt;"",资金台帐!J268=客户对账单!$B$4,资金台帐!P268="应收",ISNUMBER(资金台帐!B268),资金台帐!B268&gt;=客户对账单!$G$4,资金台帐!B268&lt;=客户对账单!$I$4),资金台帐!B268+ROW()/100000,"")</f>
      </c>
      <c r="H3265">
        <f>IF(AND(资金台帐!K1768&lt;&gt;"",资金台帐!K1768=供应商对账单!$B$4,资金台帐!P1768="应付",ISNUMBER(资金台帐!B1768),资金台帐!B1768&gt;=供应商对账单!$G$4,资金台帐!B1768&lt;=供应商对账单!$I$4),资金台帐!B1768+ROW()/100000,"")</f>
      </c>
    </row>
    <row r="3266">
      <c r="A3266">
        <f>IF(OR(出库明细!C2266="",出库明细!D2266=""),"",IF(OR(COUNTIFS(存条明细!$C$4:$C$1003,出库明细!C2266,存条明细!$D$4:$D$1003,出库明细!D2266)&gt;0,COUNTIFS(出库明细!$C$4:C2266,出库明细!C2266,出库明细!$D$4:D2266,出库明细!D2266)&gt;1),"",IFERROR(MATCH(出库明细!C2266,总览汇总!$B$5:$B$304,0),900)*10000000+IFERROR(MATCH(出库明细!D2266,基础资料!$E$5:$E$104,0),900)*10000+ROW()))</f>
      </c>
      <c r="F3266">
        <f>IF(AND(资金台帐!J269&lt;&gt;"",资金台帐!J269=客户对账单!$B$4,资金台帐!P269="应收",ISNUMBER(资金台帐!B269),资金台帐!B269&gt;=客户对账单!$G$4,资金台帐!B269&lt;=客户对账单!$I$4),资金台帐!B269+ROW()/100000,"")</f>
      </c>
      <c r="H3266">
        <f>IF(AND(资金台帐!K1769&lt;&gt;"",资金台帐!K1769=供应商对账单!$B$4,资金台帐!P1769="应付",ISNUMBER(资金台帐!B1769),资金台帐!B1769&gt;=供应商对账单!$G$4,资金台帐!B1769&lt;=供应商对账单!$I$4),资金台帐!B1769+ROW()/100000,"")</f>
      </c>
    </row>
    <row r="3267">
      <c r="A3267">
        <f>IF(OR(出库明细!C2267="",出库明细!D2267=""),"",IF(OR(COUNTIFS(存条明细!$C$4:$C$1003,出库明细!C2267,存条明细!$D$4:$D$1003,出库明细!D2267)&gt;0,COUNTIFS(出库明细!$C$4:C2267,出库明细!C2267,出库明细!$D$4:D2267,出库明细!D2267)&gt;1),"",IFERROR(MATCH(出库明细!C2267,总览汇总!$B$5:$B$304,0),900)*10000000+IFERROR(MATCH(出库明细!D2267,基础资料!$E$5:$E$104,0),900)*10000+ROW()))</f>
      </c>
      <c r="F3267">
        <f>IF(AND(资金台帐!J270&lt;&gt;"",资金台帐!J270=客户对账单!$B$4,资金台帐!P270="应收",ISNUMBER(资金台帐!B270),资金台帐!B270&gt;=客户对账单!$G$4,资金台帐!B270&lt;=客户对账单!$I$4),资金台帐!B270+ROW()/100000,"")</f>
      </c>
      <c r="H3267">
        <f>IF(AND(资金台帐!K1770&lt;&gt;"",资金台帐!K1770=供应商对账单!$B$4,资金台帐!P1770="应付",ISNUMBER(资金台帐!B1770),资金台帐!B1770&gt;=供应商对账单!$G$4,资金台帐!B1770&lt;=供应商对账单!$I$4),资金台帐!B1770+ROW()/100000,"")</f>
      </c>
    </row>
    <row r="3268">
      <c r="A3268">
        <f>IF(OR(出库明细!C2268="",出库明细!D2268=""),"",IF(OR(COUNTIFS(存条明细!$C$4:$C$1003,出库明细!C2268,存条明细!$D$4:$D$1003,出库明细!D2268)&gt;0,COUNTIFS(出库明细!$C$4:C2268,出库明细!C2268,出库明细!$D$4:D2268,出库明细!D2268)&gt;1),"",IFERROR(MATCH(出库明细!C2268,总览汇总!$B$5:$B$304,0),900)*10000000+IFERROR(MATCH(出库明细!D2268,基础资料!$E$5:$E$104,0),900)*10000+ROW()))</f>
      </c>
      <c r="F3268">
        <f>IF(AND(资金台帐!J271&lt;&gt;"",资金台帐!J271=客户对账单!$B$4,资金台帐!P271="应收",ISNUMBER(资金台帐!B271),资金台帐!B271&gt;=客户对账单!$G$4,资金台帐!B271&lt;=客户对账单!$I$4),资金台帐!B271+ROW()/100000,"")</f>
      </c>
      <c r="H3268">
        <f>IF(AND(资金台帐!K1771&lt;&gt;"",资金台帐!K1771=供应商对账单!$B$4,资金台帐!P1771="应付",ISNUMBER(资金台帐!B1771),资金台帐!B1771&gt;=供应商对账单!$G$4,资金台帐!B1771&lt;=供应商对账单!$I$4),资金台帐!B1771+ROW()/100000,"")</f>
      </c>
    </row>
    <row r="3269">
      <c r="A3269">
        <f>IF(OR(出库明细!C2269="",出库明细!D2269=""),"",IF(OR(COUNTIFS(存条明细!$C$4:$C$1003,出库明细!C2269,存条明细!$D$4:$D$1003,出库明细!D2269)&gt;0,COUNTIFS(出库明细!$C$4:C2269,出库明细!C2269,出库明细!$D$4:D2269,出库明细!D2269)&gt;1),"",IFERROR(MATCH(出库明细!C2269,总览汇总!$B$5:$B$304,0),900)*10000000+IFERROR(MATCH(出库明细!D2269,基础资料!$E$5:$E$104,0),900)*10000+ROW()))</f>
      </c>
      <c r="F3269">
        <f>IF(AND(资金台帐!J272&lt;&gt;"",资金台帐!J272=客户对账单!$B$4,资金台帐!P272="应收",ISNUMBER(资金台帐!B272),资金台帐!B272&gt;=客户对账单!$G$4,资金台帐!B272&lt;=客户对账单!$I$4),资金台帐!B272+ROW()/100000,"")</f>
      </c>
      <c r="H3269">
        <f>IF(AND(资金台帐!K1772&lt;&gt;"",资金台帐!K1772=供应商对账单!$B$4,资金台帐!P1772="应付",ISNUMBER(资金台帐!B1772),资金台帐!B1772&gt;=供应商对账单!$G$4,资金台帐!B1772&lt;=供应商对账单!$I$4),资金台帐!B1772+ROW()/100000,"")</f>
      </c>
    </row>
    <row r="3270">
      <c r="A3270">
        <f>IF(OR(出库明细!C2270="",出库明细!D2270=""),"",IF(OR(COUNTIFS(存条明细!$C$4:$C$1003,出库明细!C2270,存条明细!$D$4:$D$1003,出库明细!D2270)&gt;0,COUNTIFS(出库明细!$C$4:C2270,出库明细!C2270,出库明细!$D$4:D2270,出库明细!D2270)&gt;1),"",IFERROR(MATCH(出库明细!C2270,总览汇总!$B$5:$B$304,0),900)*10000000+IFERROR(MATCH(出库明细!D2270,基础资料!$E$5:$E$104,0),900)*10000+ROW()))</f>
      </c>
      <c r="F3270">
        <f>IF(AND(资金台帐!J273&lt;&gt;"",资金台帐!J273=客户对账单!$B$4,资金台帐!P273="应收",ISNUMBER(资金台帐!B273),资金台帐!B273&gt;=客户对账单!$G$4,资金台帐!B273&lt;=客户对账单!$I$4),资金台帐!B273+ROW()/100000,"")</f>
      </c>
      <c r="H3270">
        <f>IF(AND(资金台帐!K1773&lt;&gt;"",资金台帐!K1773=供应商对账单!$B$4,资金台帐!P1773="应付",ISNUMBER(资金台帐!B1773),资金台帐!B1773&gt;=供应商对账单!$G$4,资金台帐!B1773&lt;=供应商对账单!$I$4),资金台帐!B1773+ROW()/100000,"")</f>
      </c>
    </row>
    <row r="3271">
      <c r="A3271">
        <f>IF(OR(出库明细!C2271="",出库明细!D2271=""),"",IF(OR(COUNTIFS(存条明细!$C$4:$C$1003,出库明细!C2271,存条明细!$D$4:$D$1003,出库明细!D2271)&gt;0,COUNTIFS(出库明细!$C$4:C2271,出库明细!C2271,出库明细!$D$4:D2271,出库明细!D2271)&gt;1),"",IFERROR(MATCH(出库明细!C2271,总览汇总!$B$5:$B$304,0),900)*10000000+IFERROR(MATCH(出库明细!D2271,基础资料!$E$5:$E$104,0),900)*10000+ROW()))</f>
      </c>
      <c r="F3271">
        <f>IF(AND(资金台帐!J274&lt;&gt;"",资金台帐!J274=客户对账单!$B$4,资金台帐!P274="应收",ISNUMBER(资金台帐!B274),资金台帐!B274&gt;=客户对账单!$G$4,资金台帐!B274&lt;=客户对账单!$I$4),资金台帐!B274+ROW()/100000,"")</f>
      </c>
      <c r="H3271">
        <f>IF(AND(资金台帐!K1774&lt;&gt;"",资金台帐!K1774=供应商对账单!$B$4,资金台帐!P1774="应付",ISNUMBER(资金台帐!B1774),资金台帐!B1774&gt;=供应商对账单!$G$4,资金台帐!B1774&lt;=供应商对账单!$I$4),资金台帐!B1774+ROW()/100000,"")</f>
      </c>
    </row>
    <row r="3272">
      <c r="A3272">
        <f>IF(OR(出库明细!C2272="",出库明细!D2272=""),"",IF(OR(COUNTIFS(存条明细!$C$4:$C$1003,出库明细!C2272,存条明细!$D$4:$D$1003,出库明细!D2272)&gt;0,COUNTIFS(出库明细!$C$4:C2272,出库明细!C2272,出库明细!$D$4:D2272,出库明细!D2272)&gt;1),"",IFERROR(MATCH(出库明细!C2272,总览汇总!$B$5:$B$304,0),900)*10000000+IFERROR(MATCH(出库明细!D2272,基础资料!$E$5:$E$104,0),900)*10000+ROW()))</f>
      </c>
      <c r="F3272">
        <f>IF(AND(资金台帐!J275&lt;&gt;"",资金台帐!J275=客户对账单!$B$4,资金台帐!P275="应收",ISNUMBER(资金台帐!B275),资金台帐!B275&gt;=客户对账单!$G$4,资金台帐!B275&lt;=客户对账单!$I$4),资金台帐!B275+ROW()/100000,"")</f>
      </c>
      <c r="H3272">
        <f>IF(AND(资金台帐!K1775&lt;&gt;"",资金台帐!K1775=供应商对账单!$B$4,资金台帐!P1775="应付",ISNUMBER(资金台帐!B1775),资金台帐!B1775&gt;=供应商对账单!$G$4,资金台帐!B1775&lt;=供应商对账单!$I$4),资金台帐!B1775+ROW()/100000,"")</f>
      </c>
    </row>
    <row r="3273">
      <c r="A3273">
        <f>IF(OR(出库明细!C2273="",出库明细!D2273=""),"",IF(OR(COUNTIFS(存条明细!$C$4:$C$1003,出库明细!C2273,存条明细!$D$4:$D$1003,出库明细!D2273)&gt;0,COUNTIFS(出库明细!$C$4:C2273,出库明细!C2273,出库明细!$D$4:D2273,出库明细!D2273)&gt;1),"",IFERROR(MATCH(出库明细!C2273,总览汇总!$B$5:$B$304,0),900)*10000000+IFERROR(MATCH(出库明细!D2273,基础资料!$E$5:$E$104,0),900)*10000+ROW()))</f>
      </c>
      <c r="F3273">
        <f>IF(AND(资金台帐!J276&lt;&gt;"",资金台帐!J276=客户对账单!$B$4,资金台帐!P276="应收",ISNUMBER(资金台帐!B276),资金台帐!B276&gt;=客户对账单!$G$4,资金台帐!B276&lt;=客户对账单!$I$4),资金台帐!B276+ROW()/100000,"")</f>
      </c>
      <c r="H3273">
        <f>IF(AND(资金台帐!K1776&lt;&gt;"",资金台帐!K1776=供应商对账单!$B$4,资金台帐!P1776="应付",ISNUMBER(资金台帐!B1776),资金台帐!B1776&gt;=供应商对账单!$G$4,资金台帐!B1776&lt;=供应商对账单!$I$4),资金台帐!B1776+ROW()/100000,"")</f>
      </c>
    </row>
    <row r="3274">
      <c r="A3274">
        <f>IF(OR(出库明细!C2274="",出库明细!D2274=""),"",IF(OR(COUNTIFS(存条明细!$C$4:$C$1003,出库明细!C2274,存条明细!$D$4:$D$1003,出库明细!D2274)&gt;0,COUNTIFS(出库明细!$C$4:C2274,出库明细!C2274,出库明细!$D$4:D2274,出库明细!D2274)&gt;1),"",IFERROR(MATCH(出库明细!C2274,总览汇总!$B$5:$B$304,0),900)*10000000+IFERROR(MATCH(出库明细!D2274,基础资料!$E$5:$E$104,0),900)*10000+ROW()))</f>
      </c>
      <c r="F3274">
        <f>IF(AND(资金台帐!J277&lt;&gt;"",资金台帐!J277=客户对账单!$B$4,资金台帐!P277="应收",ISNUMBER(资金台帐!B277),资金台帐!B277&gt;=客户对账单!$G$4,资金台帐!B277&lt;=客户对账单!$I$4),资金台帐!B277+ROW()/100000,"")</f>
      </c>
      <c r="H3274">
        <f>IF(AND(资金台帐!K1777&lt;&gt;"",资金台帐!K1777=供应商对账单!$B$4,资金台帐!P1777="应付",ISNUMBER(资金台帐!B1777),资金台帐!B1777&gt;=供应商对账单!$G$4,资金台帐!B1777&lt;=供应商对账单!$I$4),资金台帐!B1777+ROW()/100000,"")</f>
      </c>
    </row>
    <row r="3275">
      <c r="A3275">
        <f>IF(OR(出库明细!C2275="",出库明细!D2275=""),"",IF(OR(COUNTIFS(存条明细!$C$4:$C$1003,出库明细!C2275,存条明细!$D$4:$D$1003,出库明细!D2275)&gt;0,COUNTIFS(出库明细!$C$4:C2275,出库明细!C2275,出库明细!$D$4:D2275,出库明细!D2275)&gt;1),"",IFERROR(MATCH(出库明细!C2275,总览汇总!$B$5:$B$304,0),900)*10000000+IFERROR(MATCH(出库明细!D2275,基础资料!$E$5:$E$104,0),900)*10000+ROW()))</f>
      </c>
      <c r="F3275">
        <f>IF(AND(资金台帐!J278&lt;&gt;"",资金台帐!J278=客户对账单!$B$4,资金台帐!P278="应收",ISNUMBER(资金台帐!B278),资金台帐!B278&gt;=客户对账单!$G$4,资金台帐!B278&lt;=客户对账单!$I$4),资金台帐!B278+ROW()/100000,"")</f>
      </c>
      <c r="H3275">
        <f>IF(AND(资金台帐!K1778&lt;&gt;"",资金台帐!K1778=供应商对账单!$B$4,资金台帐!P1778="应付",ISNUMBER(资金台帐!B1778),资金台帐!B1778&gt;=供应商对账单!$G$4,资金台帐!B1778&lt;=供应商对账单!$I$4),资金台帐!B1778+ROW()/100000,"")</f>
      </c>
    </row>
    <row r="3276">
      <c r="A3276">
        <f>IF(OR(出库明细!C2276="",出库明细!D2276=""),"",IF(OR(COUNTIFS(存条明细!$C$4:$C$1003,出库明细!C2276,存条明细!$D$4:$D$1003,出库明细!D2276)&gt;0,COUNTIFS(出库明细!$C$4:C2276,出库明细!C2276,出库明细!$D$4:D2276,出库明细!D2276)&gt;1),"",IFERROR(MATCH(出库明细!C2276,总览汇总!$B$5:$B$304,0),900)*10000000+IFERROR(MATCH(出库明细!D2276,基础资料!$E$5:$E$104,0),900)*10000+ROW()))</f>
      </c>
      <c r="F3276">
        <f>IF(AND(资金台帐!J279&lt;&gt;"",资金台帐!J279=客户对账单!$B$4,资金台帐!P279="应收",ISNUMBER(资金台帐!B279),资金台帐!B279&gt;=客户对账单!$G$4,资金台帐!B279&lt;=客户对账单!$I$4),资金台帐!B279+ROW()/100000,"")</f>
      </c>
      <c r="H3276">
        <f>IF(AND(资金台帐!K1779&lt;&gt;"",资金台帐!K1779=供应商对账单!$B$4,资金台帐!P1779="应付",ISNUMBER(资金台帐!B1779),资金台帐!B1779&gt;=供应商对账单!$G$4,资金台帐!B1779&lt;=供应商对账单!$I$4),资金台帐!B1779+ROW()/100000,"")</f>
      </c>
    </row>
    <row r="3277">
      <c r="A3277">
        <f>IF(OR(出库明细!C2277="",出库明细!D2277=""),"",IF(OR(COUNTIFS(存条明细!$C$4:$C$1003,出库明细!C2277,存条明细!$D$4:$D$1003,出库明细!D2277)&gt;0,COUNTIFS(出库明细!$C$4:C2277,出库明细!C2277,出库明细!$D$4:D2277,出库明细!D2277)&gt;1),"",IFERROR(MATCH(出库明细!C2277,总览汇总!$B$5:$B$304,0),900)*10000000+IFERROR(MATCH(出库明细!D2277,基础资料!$E$5:$E$104,0),900)*10000+ROW()))</f>
      </c>
      <c r="F3277">
        <f>IF(AND(资金台帐!J280&lt;&gt;"",资金台帐!J280=客户对账单!$B$4,资金台帐!P280="应收",ISNUMBER(资金台帐!B280),资金台帐!B280&gt;=客户对账单!$G$4,资金台帐!B280&lt;=客户对账单!$I$4),资金台帐!B280+ROW()/100000,"")</f>
      </c>
      <c r="H3277">
        <f>IF(AND(资金台帐!K1780&lt;&gt;"",资金台帐!K1780=供应商对账单!$B$4,资金台帐!P1780="应付",ISNUMBER(资金台帐!B1780),资金台帐!B1780&gt;=供应商对账单!$G$4,资金台帐!B1780&lt;=供应商对账单!$I$4),资金台帐!B1780+ROW()/100000,"")</f>
      </c>
    </row>
    <row r="3278">
      <c r="A3278">
        <f>IF(OR(出库明细!C2278="",出库明细!D2278=""),"",IF(OR(COUNTIFS(存条明细!$C$4:$C$1003,出库明细!C2278,存条明细!$D$4:$D$1003,出库明细!D2278)&gt;0,COUNTIFS(出库明细!$C$4:C2278,出库明细!C2278,出库明细!$D$4:D2278,出库明细!D2278)&gt;1),"",IFERROR(MATCH(出库明细!C2278,总览汇总!$B$5:$B$304,0),900)*10000000+IFERROR(MATCH(出库明细!D2278,基础资料!$E$5:$E$104,0),900)*10000+ROW()))</f>
      </c>
      <c r="F3278">
        <f>IF(AND(资金台帐!J281&lt;&gt;"",资金台帐!J281=客户对账单!$B$4,资金台帐!P281="应收",ISNUMBER(资金台帐!B281),资金台帐!B281&gt;=客户对账单!$G$4,资金台帐!B281&lt;=客户对账单!$I$4),资金台帐!B281+ROW()/100000,"")</f>
      </c>
      <c r="H3278">
        <f>IF(AND(资金台帐!K1781&lt;&gt;"",资金台帐!K1781=供应商对账单!$B$4,资金台帐!P1781="应付",ISNUMBER(资金台帐!B1781),资金台帐!B1781&gt;=供应商对账单!$G$4,资金台帐!B1781&lt;=供应商对账单!$I$4),资金台帐!B1781+ROW()/100000,"")</f>
      </c>
    </row>
    <row r="3279">
      <c r="A3279">
        <f>IF(OR(出库明细!C2279="",出库明细!D2279=""),"",IF(OR(COUNTIFS(存条明细!$C$4:$C$1003,出库明细!C2279,存条明细!$D$4:$D$1003,出库明细!D2279)&gt;0,COUNTIFS(出库明细!$C$4:C2279,出库明细!C2279,出库明细!$D$4:D2279,出库明细!D2279)&gt;1),"",IFERROR(MATCH(出库明细!C2279,总览汇总!$B$5:$B$304,0),900)*10000000+IFERROR(MATCH(出库明细!D2279,基础资料!$E$5:$E$104,0),900)*10000+ROW()))</f>
      </c>
      <c r="F3279">
        <f>IF(AND(资金台帐!J282&lt;&gt;"",资金台帐!J282=客户对账单!$B$4,资金台帐!P282="应收",ISNUMBER(资金台帐!B282),资金台帐!B282&gt;=客户对账单!$G$4,资金台帐!B282&lt;=客户对账单!$I$4),资金台帐!B282+ROW()/100000,"")</f>
      </c>
      <c r="H3279">
        <f>IF(AND(资金台帐!K1782&lt;&gt;"",资金台帐!K1782=供应商对账单!$B$4,资金台帐!P1782="应付",ISNUMBER(资金台帐!B1782),资金台帐!B1782&gt;=供应商对账单!$G$4,资金台帐!B1782&lt;=供应商对账单!$I$4),资金台帐!B1782+ROW()/100000,"")</f>
      </c>
    </row>
    <row r="3280">
      <c r="A3280">
        <f>IF(OR(出库明细!C2280="",出库明细!D2280=""),"",IF(OR(COUNTIFS(存条明细!$C$4:$C$1003,出库明细!C2280,存条明细!$D$4:$D$1003,出库明细!D2280)&gt;0,COUNTIFS(出库明细!$C$4:C2280,出库明细!C2280,出库明细!$D$4:D2280,出库明细!D2280)&gt;1),"",IFERROR(MATCH(出库明细!C2280,总览汇总!$B$5:$B$304,0),900)*10000000+IFERROR(MATCH(出库明细!D2280,基础资料!$E$5:$E$104,0),900)*10000+ROW()))</f>
      </c>
      <c r="F3280">
        <f>IF(AND(资金台帐!J283&lt;&gt;"",资金台帐!J283=客户对账单!$B$4,资金台帐!P283="应收",ISNUMBER(资金台帐!B283),资金台帐!B283&gt;=客户对账单!$G$4,资金台帐!B283&lt;=客户对账单!$I$4),资金台帐!B283+ROW()/100000,"")</f>
      </c>
      <c r="H3280">
        <f>IF(AND(资金台帐!K1783&lt;&gt;"",资金台帐!K1783=供应商对账单!$B$4,资金台帐!P1783="应付",ISNUMBER(资金台帐!B1783),资金台帐!B1783&gt;=供应商对账单!$G$4,资金台帐!B1783&lt;=供应商对账单!$I$4),资金台帐!B1783+ROW()/100000,"")</f>
      </c>
    </row>
    <row r="3281">
      <c r="A3281">
        <f>IF(OR(出库明细!C2281="",出库明细!D2281=""),"",IF(OR(COUNTIFS(存条明细!$C$4:$C$1003,出库明细!C2281,存条明细!$D$4:$D$1003,出库明细!D2281)&gt;0,COUNTIFS(出库明细!$C$4:C2281,出库明细!C2281,出库明细!$D$4:D2281,出库明细!D2281)&gt;1),"",IFERROR(MATCH(出库明细!C2281,总览汇总!$B$5:$B$304,0),900)*10000000+IFERROR(MATCH(出库明细!D2281,基础资料!$E$5:$E$104,0),900)*10000+ROW()))</f>
      </c>
      <c r="F3281">
        <f>IF(AND(资金台帐!J284&lt;&gt;"",资金台帐!J284=客户对账单!$B$4,资金台帐!P284="应收",ISNUMBER(资金台帐!B284),资金台帐!B284&gt;=客户对账单!$G$4,资金台帐!B284&lt;=客户对账单!$I$4),资金台帐!B284+ROW()/100000,"")</f>
      </c>
      <c r="H3281">
        <f>IF(AND(资金台帐!K1784&lt;&gt;"",资金台帐!K1784=供应商对账单!$B$4,资金台帐!P1784="应付",ISNUMBER(资金台帐!B1784),资金台帐!B1784&gt;=供应商对账单!$G$4,资金台帐!B1784&lt;=供应商对账单!$I$4),资金台帐!B1784+ROW()/100000,"")</f>
      </c>
    </row>
    <row r="3282">
      <c r="A3282">
        <f>IF(OR(出库明细!C2282="",出库明细!D2282=""),"",IF(OR(COUNTIFS(存条明细!$C$4:$C$1003,出库明细!C2282,存条明细!$D$4:$D$1003,出库明细!D2282)&gt;0,COUNTIFS(出库明细!$C$4:C2282,出库明细!C2282,出库明细!$D$4:D2282,出库明细!D2282)&gt;1),"",IFERROR(MATCH(出库明细!C2282,总览汇总!$B$5:$B$304,0),900)*10000000+IFERROR(MATCH(出库明细!D2282,基础资料!$E$5:$E$104,0),900)*10000+ROW()))</f>
      </c>
      <c r="F3282">
        <f>IF(AND(资金台帐!J285&lt;&gt;"",资金台帐!J285=客户对账单!$B$4,资金台帐!P285="应收",ISNUMBER(资金台帐!B285),资金台帐!B285&gt;=客户对账单!$G$4,资金台帐!B285&lt;=客户对账单!$I$4),资金台帐!B285+ROW()/100000,"")</f>
      </c>
      <c r="H3282">
        <f>IF(AND(资金台帐!K1785&lt;&gt;"",资金台帐!K1785=供应商对账单!$B$4,资金台帐!P1785="应付",ISNUMBER(资金台帐!B1785),资金台帐!B1785&gt;=供应商对账单!$G$4,资金台帐!B1785&lt;=供应商对账单!$I$4),资金台帐!B1785+ROW()/100000,"")</f>
      </c>
    </row>
    <row r="3283">
      <c r="A3283">
        <f>IF(OR(出库明细!C2283="",出库明细!D2283=""),"",IF(OR(COUNTIFS(存条明细!$C$4:$C$1003,出库明细!C2283,存条明细!$D$4:$D$1003,出库明细!D2283)&gt;0,COUNTIFS(出库明细!$C$4:C2283,出库明细!C2283,出库明细!$D$4:D2283,出库明细!D2283)&gt;1),"",IFERROR(MATCH(出库明细!C2283,总览汇总!$B$5:$B$304,0),900)*10000000+IFERROR(MATCH(出库明细!D2283,基础资料!$E$5:$E$104,0),900)*10000+ROW()))</f>
      </c>
      <c r="F3283">
        <f>IF(AND(资金台帐!J286&lt;&gt;"",资金台帐!J286=客户对账单!$B$4,资金台帐!P286="应收",ISNUMBER(资金台帐!B286),资金台帐!B286&gt;=客户对账单!$G$4,资金台帐!B286&lt;=客户对账单!$I$4),资金台帐!B286+ROW()/100000,"")</f>
      </c>
      <c r="H3283">
        <f>IF(AND(资金台帐!K1786&lt;&gt;"",资金台帐!K1786=供应商对账单!$B$4,资金台帐!P1786="应付",ISNUMBER(资金台帐!B1786),资金台帐!B1786&gt;=供应商对账单!$G$4,资金台帐!B1786&lt;=供应商对账单!$I$4),资金台帐!B1786+ROW()/100000,"")</f>
      </c>
    </row>
    <row r="3284">
      <c r="A3284">
        <f>IF(OR(出库明细!C2284="",出库明细!D2284=""),"",IF(OR(COUNTIFS(存条明细!$C$4:$C$1003,出库明细!C2284,存条明细!$D$4:$D$1003,出库明细!D2284)&gt;0,COUNTIFS(出库明细!$C$4:C2284,出库明细!C2284,出库明细!$D$4:D2284,出库明细!D2284)&gt;1),"",IFERROR(MATCH(出库明细!C2284,总览汇总!$B$5:$B$304,0),900)*10000000+IFERROR(MATCH(出库明细!D2284,基础资料!$E$5:$E$104,0),900)*10000+ROW()))</f>
      </c>
      <c r="F3284">
        <f>IF(AND(资金台帐!J287&lt;&gt;"",资金台帐!J287=客户对账单!$B$4,资金台帐!P287="应收",ISNUMBER(资金台帐!B287),资金台帐!B287&gt;=客户对账单!$G$4,资金台帐!B287&lt;=客户对账单!$I$4),资金台帐!B287+ROW()/100000,"")</f>
      </c>
      <c r="H3284">
        <f>IF(AND(资金台帐!K1787&lt;&gt;"",资金台帐!K1787=供应商对账单!$B$4,资金台帐!P1787="应付",ISNUMBER(资金台帐!B1787),资金台帐!B1787&gt;=供应商对账单!$G$4,资金台帐!B1787&lt;=供应商对账单!$I$4),资金台帐!B1787+ROW()/100000,"")</f>
      </c>
    </row>
    <row r="3285">
      <c r="A3285">
        <f>IF(OR(出库明细!C2285="",出库明细!D2285=""),"",IF(OR(COUNTIFS(存条明细!$C$4:$C$1003,出库明细!C2285,存条明细!$D$4:$D$1003,出库明细!D2285)&gt;0,COUNTIFS(出库明细!$C$4:C2285,出库明细!C2285,出库明细!$D$4:D2285,出库明细!D2285)&gt;1),"",IFERROR(MATCH(出库明细!C2285,总览汇总!$B$5:$B$304,0),900)*10000000+IFERROR(MATCH(出库明细!D2285,基础资料!$E$5:$E$104,0),900)*10000+ROW()))</f>
      </c>
      <c r="F3285">
        <f>IF(AND(资金台帐!J288&lt;&gt;"",资金台帐!J288=客户对账单!$B$4,资金台帐!P288="应收",ISNUMBER(资金台帐!B288),资金台帐!B288&gt;=客户对账单!$G$4,资金台帐!B288&lt;=客户对账单!$I$4),资金台帐!B288+ROW()/100000,"")</f>
      </c>
      <c r="H3285">
        <f>IF(AND(资金台帐!K1788&lt;&gt;"",资金台帐!K1788=供应商对账单!$B$4,资金台帐!P1788="应付",ISNUMBER(资金台帐!B1788),资金台帐!B1788&gt;=供应商对账单!$G$4,资金台帐!B1788&lt;=供应商对账单!$I$4),资金台帐!B1788+ROW()/100000,"")</f>
      </c>
    </row>
    <row r="3286">
      <c r="A3286">
        <f>IF(OR(出库明细!C2286="",出库明细!D2286=""),"",IF(OR(COUNTIFS(存条明细!$C$4:$C$1003,出库明细!C2286,存条明细!$D$4:$D$1003,出库明细!D2286)&gt;0,COUNTIFS(出库明细!$C$4:C2286,出库明细!C2286,出库明细!$D$4:D2286,出库明细!D2286)&gt;1),"",IFERROR(MATCH(出库明细!C2286,总览汇总!$B$5:$B$304,0),900)*10000000+IFERROR(MATCH(出库明细!D2286,基础资料!$E$5:$E$104,0),900)*10000+ROW()))</f>
      </c>
      <c r="F3286">
        <f>IF(AND(资金台帐!J289&lt;&gt;"",资金台帐!J289=客户对账单!$B$4,资金台帐!P289="应收",ISNUMBER(资金台帐!B289),资金台帐!B289&gt;=客户对账单!$G$4,资金台帐!B289&lt;=客户对账单!$I$4),资金台帐!B289+ROW()/100000,"")</f>
      </c>
      <c r="H3286">
        <f>IF(AND(资金台帐!K1789&lt;&gt;"",资金台帐!K1789=供应商对账单!$B$4,资金台帐!P1789="应付",ISNUMBER(资金台帐!B1789),资金台帐!B1789&gt;=供应商对账单!$G$4,资金台帐!B1789&lt;=供应商对账单!$I$4),资金台帐!B1789+ROW()/100000,"")</f>
      </c>
    </row>
    <row r="3287">
      <c r="A3287">
        <f>IF(OR(出库明细!C2287="",出库明细!D2287=""),"",IF(OR(COUNTIFS(存条明细!$C$4:$C$1003,出库明细!C2287,存条明细!$D$4:$D$1003,出库明细!D2287)&gt;0,COUNTIFS(出库明细!$C$4:C2287,出库明细!C2287,出库明细!$D$4:D2287,出库明细!D2287)&gt;1),"",IFERROR(MATCH(出库明细!C2287,总览汇总!$B$5:$B$304,0),900)*10000000+IFERROR(MATCH(出库明细!D2287,基础资料!$E$5:$E$104,0),900)*10000+ROW()))</f>
      </c>
      <c r="F3287">
        <f>IF(AND(资金台帐!J290&lt;&gt;"",资金台帐!J290=客户对账单!$B$4,资金台帐!P290="应收",ISNUMBER(资金台帐!B290),资金台帐!B290&gt;=客户对账单!$G$4,资金台帐!B290&lt;=客户对账单!$I$4),资金台帐!B290+ROW()/100000,"")</f>
      </c>
      <c r="H3287">
        <f>IF(AND(资金台帐!K1790&lt;&gt;"",资金台帐!K1790=供应商对账单!$B$4,资金台帐!P1790="应付",ISNUMBER(资金台帐!B1790),资金台帐!B1790&gt;=供应商对账单!$G$4,资金台帐!B1790&lt;=供应商对账单!$I$4),资金台帐!B1790+ROW()/100000,"")</f>
      </c>
    </row>
    <row r="3288">
      <c r="A3288">
        <f>IF(OR(出库明细!C2288="",出库明细!D2288=""),"",IF(OR(COUNTIFS(存条明细!$C$4:$C$1003,出库明细!C2288,存条明细!$D$4:$D$1003,出库明细!D2288)&gt;0,COUNTIFS(出库明细!$C$4:C2288,出库明细!C2288,出库明细!$D$4:D2288,出库明细!D2288)&gt;1),"",IFERROR(MATCH(出库明细!C2288,总览汇总!$B$5:$B$304,0),900)*10000000+IFERROR(MATCH(出库明细!D2288,基础资料!$E$5:$E$104,0),900)*10000+ROW()))</f>
      </c>
      <c r="F3288">
        <f>IF(AND(资金台帐!J291&lt;&gt;"",资金台帐!J291=客户对账单!$B$4,资金台帐!P291="应收",ISNUMBER(资金台帐!B291),资金台帐!B291&gt;=客户对账单!$G$4,资金台帐!B291&lt;=客户对账单!$I$4),资金台帐!B291+ROW()/100000,"")</f>
      </c>
      <c r="H3288">
        <f>IF(AND(资金台帐!K1791&lt;&gt;"",资金台帐!K1791=供应商对账单!$B$4,资金台帐!P1791="应付",ISNUMBER(资金台帐!B1791),资金台帐!B1791&gt;=供应商对账单!$G$4,资金台帐!B1791&lt;=供应商对账单!$I$4),资金台帐!B1791+ROW()/100000,"")</f>
      </c>
    </row>
    <row r="3289">
      <c r="A3289">
        <f>IF(OR(出库明细!C2289="",出库明细!D2289=""),"",IF(OR(COUNTIFS(存条明细!$C$4:$C$1003,出库明细!C2289,存条明细!$D$4:$D$1003,出库明细!D2289)&gt;0,COUNTIFS(出库明细!$C$4:C2289,出库明细!C2289,出库明细!$D$4:D2289,出库明细!D2289)&gt;1),"",IFERROR(MATCH(出库明细!C2289,总览汇总!$B$5:$B$304,0),900)*10000000+IFERROR(MATCH(出库明细!D2289,基础资料!$E$5:$E$104,0),900)*10000+ROW()))</f>
      </c>
      <c r="F3289">
        <f>IF(AND(资金台帐!J292&lt;&gt;"",资金台帐!J292=客户对账单!$B$4,资金台帐!P292="应收",ISNUMBER(资金台帐!B292),资金台帐!B292&gt;=客户对账单!$G$4,资金台帐!B292&lt;=客户对账单!$I$4),资金台帐!B292+ROW()/100000,"")</f>
      </c>
      <c r="H3289">
        <f>IF(AND(资金台帐!K1792&lt;&gt;"",资金台帐!K1792=供应商对账单!$B$4,资金台帐!P1792="应付",ISNUMBER(资金台帐!B1792),资金台帐!B1792&gt;=供应商对账单!$G$4,资金台帐!B1792&lt;=供应商对账单!$I$4),资金台帐!B1792+ROW()/100000,"")</f>
      </c>
    </row>
    <row r="3290">
      <c r="A3290">
        <f>IF(OR(出库明细!C2290="",出库明细!D2290=""),"",IF(OR(COUNTIFS(存条明细!$C$4:$C$1003,出库明细!C2290,存条明细!$D$4:$D$1003,出库明细!D2290)&gt;0,COUNTIFS(出库明细!$C$4:C2290,出库明细!C2290,出库明细!$D$4:D2290,出库明细!D2290)&gt;1),"",IFERROR(MATCH(出库明细!C2290,总览汇总!$B$5:$B$304,0),900)*10000000+IFERROR(MATCH(出库明细!D2290,基础资料!$E$5:$E$104,0),900)*10000+ROW()))</f>
      </c>
      <c r="F3290">
        <f>IF(AND(资金台帐!J293&lt;&gt;"",资金台帐!J293=客户对账单!$B$4,资金台帐!P293="应收",ISNUMBER(资金台帐!B293),资金台帐!B293&gt;=客户对账单!$G$4,资金台帐!B293&lt;=客户对账单!$I$4),资金台帐!B293+ROW()/100000,"")</f>
      </c>
      <c r="H3290">
        <f>IF(AND(资金台帐!K1793&lt;&gt;"",资金台帐!K1793=供应商对账单!$B$4,资金台帐!P1793="应付",ISNUMBER(资金台帐!B1793),资金台帐!B1793&gt;=供应商对账单!$G$4,资金台帐!B1793&lt;=供应商对账单!$I$4),资金台帐!B1793+ROW()/100000,"")</f>
      </c>
    </row>
    <row r="3291">
      <c r="A3291">
        <f>IF(OR(出库明细!C2291="",出库明细!D2291=""),"",IF(OR(COUNTIFS(存条明细!$C$4:$C$1003,出库明细!C2291,存条明细!$D$4:$D$1003,出库明细!D2291)&gt;0,COUNTIFS(出库明细!$C$4:C2291,出库明细!C2291,出库明细!$D$4:D2291,出库明细!D2291)&gt;1),"",IFERROR(MATCH(出库明细!C2291,总览汇总!$B$5:$B$304,0),900)*10000000+IFERROR(MATCH(出库明细!D2291,基础资料!$E$5:$E$104,0),900)*10000+ROW()))</f>
      </c>
      <c r="F3291">
        <f>IF(AND(资金台帐!J294&lt;&gt;"",资金台帐!J294=客户对账单!$B$4,资金台帐!P294="应收",ISNUMBER(资金台帐!B294),资金台帐!B294&gt;=客户对账单!$G$4,资金台帐!B294&lt;=客户对账单!$I$4),资金台帐!B294+ROW()/100000,"")</f>
      </c>
      <c r="H3291">
        <f>IF(AND(资金台帐!K1794&lt;&gt;"",资金台帐!K1794=供应商对账单!$B$4,资金台帐!P1794="应付",ISNUMBER(资金台帐!B1794),资金台帐!B1794&gt;=供应商对账单!$G$4,资金台帐!B1794&lt;=供应商对账单!$I$4),资金台帐!B1794+ROW()/100000,"")</f>
      </c>
    </row>
    <row r="3292">
      <c r="A3292">
        <f>IF(OR(出库明细!C2292="",出库明细!D2292=""),"",IF(OR(COUNTIFS(存条明细!$C$4:$C$1003,出库明细!C2292,存条明细!$D$4:$D$1003,出库明细!D2292)&gt;0,COUNTIFS(出库明细!$C$4:C2292,出库明细!C2292,出库明细!$D$4:D2292,出库明细!D2292)&gt;1),"",IFERROR(MATCH(出库明细!C2292,总览汇总!$B$5:$B$304,0),900)*10000000+IFERROR(MATCH(出库明细!D2292,基础资料!$E$5:$E$104,0),900)*10000+ROW()))</f>
      </c>
      <c r="F3292">
        <f>IF(AND(资金台帐!J295&lt;&gt;"",资金台帐!J295=客户对账单!$B$4,资金台帐!P295="应收",ISNUMBER(资金台帐!B295),资金台帐!B295&gt;=客户对账单!$G$4,资金台帐!B295&lt;=客户对账单!$I$4),资金台帐!B295+ROW()/100000,"")</f>
      </c>
      <c r="H3292">
        <f>IF(AND(资金台帐!K1795&lt;&gt;"",资金台帐!K1795=供应商对账单!$B$4,资金台帐!P1795="应付",ISNUMBER(资金台帐!B1795),资金台帐!B1795&gt;=供应商对账单!$G$4,资金台帐!B1795&lt;=供应商对账单!$I$4),资金台帐!B1795+ROW()/100000,"")</f>
      </c>
    </row>
    <row r="3293">
      <c r="A3293">
        <f>IF(OR(出库明细!C2293="",出库明细!D2293=""),"",IF(OR(COUNTIFS(存条明细!$C$4:$C$1003,出库明细!C2293,存条明细!$D$4:$D$1003,出库明细!D2293)&gt;0,COUNTIFS(出库明细!$C$4:C2293,出库明细!C2293,出库明细!$D$4:D2293,出库明细!D2293)&gt;1),"",IFERROR(MATCH(出库明细!C2293,总览汇总!$B$5:$B$304,0),900)*10000000+IFERROR(MATCH(出库明细!D2293,基础资料!$E$5:$E$104,0),900)*10000+ROW()))</f>
      </c>
      <c r="F3293">
        <f>IF(AND(资金台帐!J296&lt;&gt;"",资金台帐!J296=客户对账单!$B$4,资金台帐!P296="应收",ISNUMBER(资金台帐!B296),资金台帐!B296&gt;=客户对账单!$G$4,资金台帐!B296&lt;=客户对账单!$I$4),资金台帐!B296+ROW()/100000,"")</f>
      </c>
      <c r="H3293">
        <f>IF(AND(资金台帐!K1796&lt;&gt;"",资金台帐!K1796=供应商对账单!$B$4,资金台帐!P1796="应付",ISNUMBER(资金台帐!B1796),资金台帐!B1796&gt;=供应商对账单!$G$4,资金台帐!B1796&lt;=供应商对账单!$I$4),资金台帐!B1796+ROW()/100000,"")</f>
      </c>
    </row>
    <row r="3294">
      <c r="A3294">
        <f>IF(OR(出库明细!C2294="",出库明细!D2294=""),"",IF(OR(COUNTIFS(存条明细!$C$4:$C$1003,出库明细!C2294,存条明细!$D$4:$D$1003,出库明细!D2294)&gt;0,COUNTIFS(出库明细!$C$4:C2294,出库明细!C2294,出库明细!$D$4:D2294,出库明细!D2294)&gt;1),"",IFERROR(MATCH(出库明细!C2294,总览汇总!$B$5:$B$304,0),900)*10000000+IFERROR(MATCH(出库明细!D2294,基础资料!$E$5:$E$104,0),900)*10000+ROW()))</f>
      </c>
      <c r="F3294">
        <f>IF(AND(资金台帐!J297&lt;&gt;"",资金台帐!J297=客户对账单!$B$4,资金台帐!P297="应收",ISNUMBER(资金台帐!B297),资金台帐!B297&gt;=客户对账单!$G$4,资金台帐!B297&lt;=客户对账单!$I$4),资金台帐!B297+ROW()/100000,"")</f>
      </c>
      <c r="H3294">
        <f>IF(AND(资金台帐!K1797&lt;&gt;"",资金台帐!K1797=供应商对账单!$B$4,资金台帐!P1797="应付",ISNUMBER(资金台帐!B1797),资金台帐!B1797&gt;=供应商对账单!$G$4,资金台帐!B1797&lt;=供应商对账单!$I$4),资金台帐!B1797+ROW()/100000,"")</f>
      </c>
    </row>
    <row r="3295">
      <c r="A3295">
        <f>IF(OR(出库明细!C2295="",出库明细!D2295=""),"",IF(OR(COUNTIFS(存条明细!$C$4:$C$1003,出库明细!C2295,存条明细!$D$4:$D$1003,出库明细!D2295)&gt;0,COUNTIFS(出库明细!$C$4:C2295,出库明细!C2295,出库明细!$D$4:D2295,出库明细!D2295)&gt;1),"",IFERROR(MATCH(出库明细!C2295,总览汇总!$B$5:$B$304,0),900)*10000000+IFERROR(MATCH(出库明细!D2295,基础资料!$E$5:$E$104,0),900)*10000+ROW()))</f>
      </c>
      <c r="F3295">
        <f>IF(AND(资金台帐!J298&lt;&gt;"",资金台帐!J298=客户对账单!$B$4,资金台帐!P298="应收",ISNUMBER(资金台帐!B298),资金台帐!B298&gt;=客户对账单!$G$4,资金台帐!B298&lt;=客户对账单!$I$4),资金台帐!B298+ROW()/100000,"")</f>
      </c>
      <c r="H3295">
        <f>IF(AND(资金台帐!K1798&lt;&gt;"",资金台帐!K1798=供应商对账单!$B$4,资金台帐!P1798="应付",ISNUMBER(资金台帐!B1798),资金台帐!B1798&gt;=供应商对账单!$G$4,资金台帐!B1798&lt;=供应商对账单!$I$4),资金台帐!B1798+ROW()/100000,"")</f>
      </c>
    </row>
    <row r="3296">
      <c r="A3296">
        <f>IF(OR(出库明细!C2296="",出库明细!D2296=""),"",IF(OR(COUNTIFS(存条明细!$C$4:$C$1003,出库明细!C2296,存条明细!$D$4:$D$1003,出库明细!D2296)&gt;0,COUNTIFS(出库明细!$C$4:C2296,出库明细!C2296,出库明细!$D$4:D2296,出库明细!D2296)&gt;1),"",IFERROR(MATCH(出库明细!C2296,总览汇总!$B$5:$B$304,0),900)*10000000+IFERROR(MATCH(出库明细!D2296,基础资料!$E$5:$E$104,0),900)*10000+ROW()))</f>
      </c>
      <c r="F3296">
        <f>IF(AND(资金台帐!J299&lt;&gt;"",资金台帐!J299=客户对账单!$B$4,资金台帐!P299="应收",ISNUMBER(资金台帐!B299),资金台帐!B299&gt;=客户对账单!$G$4,资金台帐!B299&lt;=客户对账单!$I$4),资金台帐!B299+ROW()/100000,"")</f>
      </c>
      <c r="H3296">
        <f>IF(AND(资金台帐!K1799&lt;&gt;"",资金台帐!K1799=供应商对账单!$B$4,资金台帐!P1799="应付",ISNUMBER(资金台帐!B1799),资金台帐!B1799&gt;=供应商对账单!$G$4,资金台帐!B1799&lt;=供应商对账单!$I$4),资金台帐!B1799+ROW()/100000,"")</f>
      </c>
    </row>
    <row r="3297">
      <c r="A3297">
        <f>IF(OR(出库明细!C2297="",出库明细!D2297=""),"",IF(OR(COUNTIFS(存条明细!$C$4:$C$1003,出库明细!C2297,存条明细!$D$4:$D$1003,出库明细!D2297)&gt;0,COUNTIFS(出库明细!$C$4:C2297,出库明细!C2297,出库明细!$D$4:D2297,出库明细!D2297)&gt;1),"",IFERROR(MATCH(出库明细!C2297,总览汇总!$B$5:$B$304,0),900)*10000000+IFERROR(MATCH(出库明细!D2297,基础资料!$E$5:$E$104,0),900)*10000+ROW()))</f>
      </c>
      <c r="F3297">
        <f>IF(AND(资金台帐!J300&lt;&gt;"",资金台帐!J300=客户对账单!$B$4,资金台帐!P300="应收",ISNUMBER(资金台帐!B300),资金台帐!B300&gt;=客户对账单!$G$4,资金台帐!B300&lt;=客户对账单!$I$4),资金台帐!B300+ROW()/100000,"")</f>
      </c>
      <c r="H3297">
        <f>IF(AND(资金台帐!K1800&lt;&gt;"",资金台帐!K1800=供应商对账单!$B$4,资金台帐!P1800="应付",ISNUMBER(资金台帐!B1800),资金台帐!B1800&gt;=供应商对账单!$G$4,资金台帐!B1800&lt;=供应商对账单!$I$4),资金台帐!B1800+ROW()/100000,"")</f>
      </c>
    </row>
    <row r="3298">
      <c r="A3298">
        <f>IF(OR(出库明细!C2298="",出库明细!D2298=""),"",IF(OR(COUNTIFS(存条明细!$C$4:$C$1003,出库明细!C2298,存条明细!$D$4:$D$1003,出库明细!D2298)&gt;0,COUNTIFS(出库明细!$C$4:C2298,出库明细!C2298,出库明细!$D$4:D2298,出库明细!D2298)&gt;1),"",IFERROR(MATCH(出库明细!C2298,总览汇总!$B$5:$B$304,0),900)*10000000+IFERROR(MATCH(出库明细!D2298,基础资料!$E$5:$E$104,0),900)*10000+ROW()))</f>
      </c>
      <c r="F3298">
        <f>IF(AND(资金台帐!J301&lt;&gt;"",资金台帐!J301=客户对账单!$B$4,资金台帐!P301="应收",ISNUMBER(资金台帐!B301),资金台帐!B301&gt;=客户对账单!$G$4,资金台帐!B301&lt;=客户对账单!$I$4),资金台帐!B301+ROW()/100000,"")</f>
      </c>
      <c r="H3298">
        <f>IF(AND(资金台帐!K1801&lt;&gt;"",资金台帐!K1801=供应商对账单!$B$4,资金台帐!P1801="应付",ISNUMBER(资金台帐!B1801),资金台帐!B1801&gt;=供应商对账单!$G$4,资金台帐!B1801&lt;=供应商对账单!$I$4),资金台帐!B1801+ROW()/100000,"")</f>
      </c>
    </row>
    <row r="3299">
      <c r="A3299">
        <f>IF(OR(出库明细!C2299="",出库明细!D2299=""),"",IF(OR(COUNTIFS(存条明细!$C$4:$C$1003,出库明细!C2299,存条明细!$D$4:$D$1003,出库明细!D2299)&gt;0,COUNTIFS(出库明细!$C$4:C2299,出库明细!C2299,出库明细!$D$4:D2299,出库明细!D2299)&gt;1),"",IFERROR(MATCH(出库明细!C2299,总览汇总!$B$5:$B$304,0),900)*10000000+IFERROR(MATCH(出库明细!D2299,基础资料!$E$5:$E$104,0),900)*10000+ROW()))</f>
      </c>
      <c r="F3299">
        <f>IF(AND(资金台帐!J302&lt;&gt;"",资金台帐!J302=客户对账单!$B$4,资金台帐!P302="应收",ISNUMBER(资金台帐!B302),资金台帐!B302&gt;=客户对账单!$G$4,资金台帐!B302&lt;=客户对账单!$I$4),资金台帐!B302+ROW()/100000,"")</f>
      </c>
      <c r="H3299">
        <f>IF(AND(资金台帐!K1802&lt;&gt;"",资金台帐!K1802=供应商对账单!$B$4,资金台帐!P1802="应付",ISNUMBER(资金台帐!B1802),资金台帐!B1802&gt;=供应商对账单!$G$4,资金台帐!B1802&lt;=供应商对账单!$I$4),资金台帐!B1802+ROW()/100000,"")</f>
      </c>
    </row>
    <row r="3300">
      <c r="A3300">
        <f>IF(OR(出库明细!C2300="",出库明细!D2300=""),"",IF(OR(COUNTIFS(存条明细!$C$4:$C$1003,出库明细!C2300,存条明细!$D$4:$D$1003,出库明细!D2300)&gt;0,COUNTIFS(出库明细!$C$4:C2300,出库明细!C2300,出库明细!$D$4:D2300,出库明细!D2300)&gt;1),"",IFERROR(MATCH(出库明细!C2300,总览汇总!$B$5:$B$304,0),900)*10000000+IFERROR(MATCH(出库明细!D2300,基础资料!$E$5:$E$104,0),900)*10000+ROW()))</f>
      </c>
      <c r="F3300">
        <f>IF(AND(资金台帐!J303&lt;&gt;"",资金台帐!J303=客户对账单!$B$4,资金台帐!P303="应收",ISNUMBER(资金台帐!B303),资金台帐!B303&gt;=客户对账单!$G$4,资金台帐!B303&lt;=客户对账单!$I$4),资金台帐!B303+ROW()/100000,"")</f>
      </c>
      <c r="H3300">
        <f>IF(AND(资金台帐!K1803&lt;&gt;"",资金台帐!K1803=供应商对账单!$B$4,资金台帐!P1803="应付",ISNUMBER(资金台帐!B1803),资金台帐!B1803&gt;=供应商对账单!$G$4,资金台帐!B1803&lt;=供应商对账单!$I$4),资金台帐!B1803+ROW()/100000,"")</f>
      </c>
    </row>
    <row r="3301">
      <c r="A3301">
        <f>IF(OR(出库明细!C2301="",出库明细!D2301=""),"",IF(OR(COUNTIFS(存条明细!$C$4:$C$1003,出库明细!C2301,存条明细!$D$4:$D$1003,出库明细!D2301)&gt;0,COUNTIFS(出库明细!$C$4:C2301,出库明细!C2301,出库明细!$D$4:D2301,出库明细!D2301)&gt;1),"",IFERROR(MATCH(出库明细!C2301,总览汇总!$B$5:$B$304,0),900)*10000000+IFERROR(MATCH(出库明细!D2301,基础资料!$E$5:$E$104,0),900)*10000+ROW()))</f>
      </c>
      <c r="F3301">
        <f>IF(AND(资金台帐!J304&lt;&gt;"",资金台帐!J304=客户对账单!$B$4,资金台帐!P304="应收",ISNUMBER(资金台帐!B304),资金台帐!B304&gt;=客户对账单!$G$4,资金台帐!B304&lt;=客户对账单!$I$4),资金台帐!B304+ROW()/100000,"")</f>
      </c>
      <c r="H3301">
        <f>IF(AND(资金台帐!K1804&lt;&gt;"",资金台帐!K1804=供应商对账单!$B$4,资金台帐!P1804="应付",ISNUMBER(资金台帐!B1804),资金台帐!B1804&gt;=供应商对账单!$G$4,资金台帐!B1804&lt;=供应商对账单!$I$4),资金台帐!B1804+ROW()/100000,"")</f>
      </c>
    </row>
    <row r="3302">
      <c r="A3302">
        <f>IF(OR(出库明细!C2302="",出库明细!D2302=""),"",IF(OR(COUNTIFS(存条明细!$C$4:$C$1003,出库明细!C2302,存条明细!$D$4:$D$1003,出库明细!D2302)&gt;0,COUNTIFS(出库明细!$C$4:C2302,出库明细!C2302,出库明细!$D$4:D2302,出库明细!D2302)&gt;1),"",IFERROR(MATCH(出库明细!C2302,总览汇总!$B$5:$B$304,0),900)*10000000+IFERROR(MATCH(出库明细!D2302,基础资料!$E$5:$E$104,0),900)*10000+ROW()))</f>
      </c>
      <c r="F3302">
        <f>IF(AND(资金台帐!J305&lt;&gt;"",资金台帐!J305=客户对账单!$B$4,资金台帐!P305="应收",ISNUMBER(资金台帐!B305),资金台帐!B305&gt;=客户对账单!$G$4,资金台帐!B305&lt;=客户对账单!$I$4),资金台帐!B305+ROW()/100000,"")</f>
      </c>
      <c r="H3302">
        <f>IF(AND(资金台帐!K1805&lt;&gt;"",资金台帐!K1805=供应商对账单!$B$4,资金台帐!P1805="应付",ISNUMBER(资金台帐!B1805),资金台帐!B1805&gt;=供应商对账单!$G$4,资金台帐!B1805&lt;=供应商对账单!$I$4),资金台帐!B1805+ROW()/100000,"")</f>
      </c>
    </row>
    <row r="3303">
      <c r="A3303">
        <f>IF(OR(出库明细!C2303="",出库明细!D2303=""),"",IF(OR(COUNTIFS(存条明细!$C$4:$C$1003,出库明细!C2303,存条明细!$D$4:$D$1003,出库明细!D2303)&gt;0,COUNTIFS(出库明细!$C$4:C2303,出库明细!C2303,出库明细!$D$4:D2303,出库明细!D2303)&gt;1),"",IFERROR(MATCH(出库明细!C2303,总览汇总!$B$5:$B$304,0),900)*10000000+IFERROR(MATCH(出库明细!D2303,基础资料!$E$5:$E$104,0),900)*10000+ROW()))</f>
      </c>
      <c r="F3303">
        <f>IF(AND(资金台帐!J306&lt;&gt;"",资金台帐!J306=客户对账单!$B$4,资金台帐!P306="应收",ISNUMBER(资金台帐!B306),资金台帐!B306&gt;=客户对账单!$G$4,资金台帐!B306&lt;=客户对账单!$I$4),资金台帐!B306+ROW()/100000,"")</f>
      </c>
      <c r="H3303">
        <f>IF(AND(资金台帐!K1806&lt;&gt;"",资金台帐!K1806=供应商对账单!$B$4,资金台帐!P1806="应付",ISNUMBER(资金台帐!B1806),资金台帐!B1806&gt;=供应商对账单!$G$4,资金台帐!B1806&lt;=供应商对账单!$I$4),资金台帐!B1806+ROW()/100000,"")</f>
      </c>
    </row>
    <row r="3304">
      <c r="A3304">
        <f>IF(OR(出库明细!C2304="",出库明细!D2304=""),"",IF(OR(COUNTIFS(存条明细!$C$4:$C$1003,出库明细!C2304,存条明细!$D$4:$D$1003,出库明细!D2304)&gt;0,COUNTIFS(出库明细!$C$4:C2304,出库明细!C2304,出库明细!$D$4:D2304,出库明细!D2304)&gt;1),"",IFERROR(MATCH(出库明细!C2304,总览汇总!$B$5:$B$304,0),900)*10000000+IFERROR(MATCH(出库明细!D2304,基础资料!$E$5:$E$104,0),900)*10000+ROW()))</f>
      </c>
      <c r="F3304">
        <f>IF(AND(资金台帐!J307&lt;&gt;"",资金台帐!J307=客户对账单!$B$4,资金台帐!P307="应收",ISNUMBER(资金台帐!B307),资金台帐!B307&gt;=客户对账单!$G$4,资金台帐!B307&lt;=客户对账单!$I$4),资金台帐!B307+ROW()/100000,"")</f>
      </c>
      <c r="H3304">
        <f>IF(AND(资金台帐!K1807&lt;&gt;"",资金台帐!K1807=供应商对账单!$B$4,资金台帐!P1807="应付",ISNUMBER(资金台帐!B1807),资金台帐!B1807&gt;=供应商对账单!$G$4,资金台帐!B1807&lt;=供应商对账单!$I$4),资金台帐!B1807+ROW()/100000,"")</f>
      </c>
    </row>
    <row r="3305">
      <c r="A3305">
        <f>IF(OR(出库明细!C2305="",出库明细!D2305=""),"",IF(OR(COUNTIFS(存条明细!$C$4:$C$1003,出库明细!C2305,存条明细!$D$4:$D$1003,出库明细!D2305)&gt;0,COUNTIFS(出库明细!$C$4:C2305,出库明细!C2305,出库明细!$D$4:D2305,出库明细!D2305)&gt;1),"",IFERROR(MATCH(出库明细!C2305,总览汇总!$B$5:$B$304,0),900)*10000000+IFERROR(MATCH(出库明细!D2305,基础资料!$E$5:$E$104,0),900)*10000+ROW()))</f>
      </c>
      <c r="F3305">
        <f>IF(AND(资金台帐!J308&lt;&gt;"",资金台帐!J308=客户对账单!$B$4,资金台帐!P308="应收",ISNUMBER(资金台帐!B308),资金台帐!B308&gt;=客户对账单!$G$4,资金台帐!B308&lt;=客户对账单!$I$4),资金台帐!B308+ROW()/100000,"")</f>
      </c>
      <c r="H3305">
        <f>IF(AND(资金台帐!K1808&lt;&gt;"",资金台帐!K1808=供应商对账单!$B$4,资金台帐!P1808="应付",ISNUMBER(资金台帐!B1808),资金台帐!B1808&gt;=供应商对账单!$G$4,资金台帐!B1808&lt;=供应商对账单!$I$4),资金台帐!B1808+ROW()/100000,"")</f>
      </c>
    </row>
    <row r="3306">
      <c r="A3306">
        <f>IF(OR(出库明细!C2306="",出库明细!D2306=""),"",IF(OR(COUNTIFS(存条明细!$C$4:$C$1003,出库明细!C2306,存条明细!$D$4:$D$1003,出库明细!D2306)&gt;0,COUNTIFS(出库明细!$C$4:C2306,出库明细!C2306,出库明细!$D$4:D2306,出库明细!D2306)&gt;1),"",IFERROR(MATCH(出库明细!C2306,总览汇总!$B$5:$B$304,0),900)*10000000+IFERROR(MATCH(出库明细!D2306,基础资料!$E$5:$E$104,0),900)*10000+ROW()))</f>
      </c>
      <c r="F3306">
        <f>IF(AND(资金台帐!J309&lt;&gt;"",资金台帐!J309=客户对账单!$B$4,资金台帐!P309="应收",ISNUMBER(资金台帐!B309),资金台帐!B309&gt;=客户对账单!$G$4,资金台帐!B309&lt;=客户对账单!$I$4),资金台帐!B309+ROW()/100000,"")</f>
      </c>
      <c r="H3306">
        <f>IF(AND(资金台帐!K1809&lt;&gt;"",资金台帐!K1809=供应商对账单!$B$4,资金台帐!P1809="应付",ISNUMBER(资金台帐!B1809),资金台帐!B1809&gt;=供应商对账单!$G$4,资金台帐!B1809&lt;=供应商对账单!$I$4),资金台帐!B1809+ROW()/100000,"")</f>
      </c>
    </row>
    <row r="3307">
      <c r="A3307">
        <f>IF(OR(出库明细!C2307="",出库明细!D2307=""),"",IF(OR(COUNTIFS(存条明细!$C$4:$C$1003,出库明细!C2307,存条明细!$D$4:$D$1003,出库明细!D2307)&gt;0,COUNTIFS(出库明细!$C$4:C2307,出库明细!C2307,出库明细!$D$4:D2307,出库明细!D2307)&gt;1),"",IFERROR(MATCH(出库明细!C2307,总览汇总!$B$5:$B$304,0),900)*10000000+IFERROR(MATCH(出库明细!D2307,基础资料!$E$5:$E$104,0),900)*10000+ROW()))</f>
      </c>
      <c r="F3307">
        <f>IF(AND(资金台帐!J310&lt;&gt;"",资金台帐!J310=客户对账单!$B$4,资金台帐!P310="应收",ISNUMBER(资金台帐!B310),资金台帐!B310&gt;=客户对账单!$G$4,资金台帐!B310&lt;=客户对账单!$I$4),资金台帐!B310+ROW()/100000,"")</f>
      </c>
      <c r="H3307">
        <f>IF(AND(资金台帐!K1810&lt;&gt;"",资金台帐!K1810=供应商对账单!$B$4,资金台帐!P1810="应付",ISNUMBER(资金台帐!B1810),资金台帐!B1810&gt;=供应商对账单!$G$4,资金台帐!B1810&lt;=供应商对账单!$I$4),资金台帐!B1810+ROW()/100000,"")</f>
      </c>
    </row>
    <row r="3308">
      <c r="A3308">
        <f>IF(OR(出库明细!C2308="",出库明细!D2308=""),"",IF(OR(COUNTIFS(存条明细!$C$4:$C$1003,出库明细!C2308,存条明细!$D$4:$D$1003,出库明细!D2308)&gt;0,COUNTIFS(出库明细!$C$4:C2308,出库明细!C2308,出库明细!$D$4:D2308,出库明细!D2308)&gt;1),"",IFERROR(MATCH(出库明细!C2308,总览汇总!$B$5:$B$304,0),900)*10000000+IFERROR(MATCH(出库明细!D2308,基础资料!$E$5:$E$104,0),900)*10000+ROW()))</f>
      </c>
      <c r="F3308">
        <f>IF(AND(资金台帐!J311&lt;&gt;"",资金台帐!J311=客户对账单!$B$4,资金台帐!P311="应收",ISNUMBER(资金台帐!B311),资金台帐!B311&gt;=客户对账单!$G$4,资金台帐!B311&lt;=客户对账单!$I$4),资金台帐!B311+ROW()/100000,"")</f>
      </c>
      <c r="H3308">
        <f>IF(AND(资金台帐!K1811&lt;&gt;"",资金台帐!K1811=供应商对账单!$B$4,资金台帐!P1811="应付",ISNUMBER(资金台帐!B1811),资金台帐!B1811&gt;=供应商对账单!$G$4,资金台帐!B1811&lt;=供应商对账单!$I$4),资金台帐!B1811+ROW()/100000,"")</f>
      </c>
    </row>
    <row r="3309">
      <c r="A3309">
        <f>IF(OR(出库明细!C2309="",出库明细!D2309=""),"",IF(OR(COUNTIFS(存条明细!$C$4:$C$1003,出库明细!C2309,存条明细!$D$4:$D$1003,出库明细!D2309)&gt;0,COUNTIFS(出库明细!$C$4:C2309,出库明细!C2309,出库明细!$D$4:D2309,出库明细!D2309)&gt;1),"",IFERROR(MATCH(出库明细!C2309,总览汇总!$B$5:$B$304,0),900)*10000000+IFERROR(MATCH(出库明细!D2309,基础资料!$E$5:$E$104,0),900)*10000+ROW()))</f>
      </c>
      <c r="F3309">
        <f>IF(AND(资金台帐!J312&lt;&gt;"",资金台帐!J312=客户对账单!$B$4,资金台帐!P312="应收",ISNUMBER(资金台帐!B312),资金台帐!B312&gt;=客户对账单!$G$4,资金台帐!B312&lt;=客户对账单!$I$4),资金台帐!B312+ROW()/100000,"")</f>
      </c>
      <c r="H3309">
        <f>IF(AND(资金台帐!K1812&lt;&gt;"",资金台帐!K1812=供应商对账单!$B$4,资金台帐!P1812="应付",ISNUMBER(资金台帐!B1812),资金台帐!B1812&gt;=供应商对账单!$G$4,资金台帐!B1812&lt;=供应商对账单!$I$4),资金台帐!B1812+ROW()/100000,"")</f>
      </c>
    </row>
    <row r="3310">
      <c r="A3310">
        <f>IF(OR(出库明细!C2310="",出库明细!D2310=""),"",IF(OR(COUNTIFS(存条明细!$C$4:$C$1003,出库明细!C2310,存条明细!$D$4:$D$1003,出库明细!D2310)&gt;0,COUNTIFS(出库明细!$C$4:C2310,出库明细!C2310,出库明细!$D$4:D2310,出库明细!D2310)&gt;1),"",IFERROR(MATCH(出库明细!C2310,总览汇总!$B$5:$B$304,0),900)*10000000+IFERROR(MATCH(出库明细!D2310,基础资料!$E$5:$E$104,0),900)*10000+ROW()))</f>
      </c>
      <c r="F3310">
        <f>IF(AND(资金台帐!J313&lt;&gt;"",资金台帐!J313=客户对账单!$B$4,资金台帐!P313="应收",ISNUMBER(资金台帐!B313),资金台帐!B313&gt;=客户对账单!$G$4,资金台帐!B313&lt;=客户对账单!$I$4),资金台帐!B313+ROW()/100000,"")</f>
      </c>
      <c r="H3310">
        <f>IF(AND(资金台帐!K1813&lt;&gt;"",资金台帐!K1813=供应商对账单!$B$4,资金台帐!P1813="应付",ISNUMBER(资金台帐!B1813),资金台帐!B1813&gt;=供应商对账单!$G$4,资金台帐!B1813&lt;=供应商对账单!$I$4),资金台帐!B1813+ROW()/100000,"")</f>
      </c>
    </row>
    <row r="3311">
      <c r="A3311">
        <f>IF(OR(出库明细!C2311="",出库明细!D2311=""),"",IF(OR(COUNTIFS(存条明细!$C$4:$C$1003,出库明细!C2311,存条明细!$D$4:$D$1003,出库明细!D2311)&gt;0,COUNTIFS(出库明细!$C$4:C2311,出库明细!C2311,出库明细!$D$4:D2311,出库明细!D2311)&gt;1),"",IFERROR(MATCH(出库明细!C2311,总览汇总!$B$5:$B$304,0),900)*10000000+IFERROR(MATCH(出库明细!D2311,基础资料!$E$5:$E$104,0),900)*10000+ROW()))</f>
      </c>
      <c r="F3311">
        <f>IF(AND(资金台帐!J314&lt;&gt;"",资金台帐!J314=客户对账单!$B$4,资金台帐!P314="应收",ISNUMBER(资金台帐!B314),资金台帐!B314&gt;=客户对账单!$G$4,资金台帐!B314&lt;=客户对账单!$I$4),资金台帐!B314+ROW()/100000,"")</f>
      </c>
      <c r="H3311">
        <f>IF(AND(资金台帐!K1814&lt;&gt;"",资金台帐!K1814=供应商对账单!$B$4,资金台帐!P1814="应付",ISNUMBER(资金台帐!B1814),资金台帐!B1814&gt;=供应商对账单!$G$4,资金台帐!B1814&lt;=供应商对账单!$I$4),资金台帐!B1814+ROW()/100000,"")</f>
      </c>
    </row>
    <row r="3312">
      <c r="A3312">
        <f>IF(OR(出库明细!C2312="",出库明细!D2312=""),"",IF(OR(COUNTIFS(存条明细!$C$4:$C$1003,出库明细!C2312,存条明细!$D$4:$D$1003,出库明细!D2312)&gt;0,COUNTIFS(出库明细!$C$4:C2312,出库明细!C2312,出库明细!$D$4:D2312,出库明细!D2312)&gt;1),"",IFERROR(MATCH(出库明细!C2312,总览汇总!$B$5:$B$304,0),900)*10000000+IFERROR(MATCH(出库明细!D2312,基础资料!$E$5:$E$104,0),900)*10000+ROW()))</f>
      </c>
      <c r="F3312">
        <f>IF(AND(资金台帐!J315&lt;&gt;"",资金台帐!J315=客户对账单!$B$4,资金台帐!P315="应收",ISNUMBER(资金台帐!B315),资金台帐!B315&gt;=客户对账单!$G$4,资金台帐!B315&lt;=客户对账单!$I$4),资金台帐!B315+ROW()/100000,"")</f>
      </c>
      <c r="H3312">
        <f>IF(AND(资金台帐!K1815&lt;&gt;"",资金台帐!K1815=供应商对账单!$B$4,资金台帐!P1815="应付",ISNUMBER(资金台帐!B1815),资金台帐!B1815&gt;=供应商对账单!$G$4,资金台帐!B1815&lt;=供应商对账单!$I$4),资金台帐!B1815+ROW()/100000,"")</f>
      </c>
    </row>
    <row r="3313">
      <c r="A3313">
        <f>IF(OR(出库明细!C2313="",出库明细!D2313=""),"",IF(OR(COUNTIFS(存条明细!$C$4:$C$1003,出库明细!C2313,存条明细!$D$4:$D$1003,出库明细!D2313)&gt;0,COUNTIFS(出库明细!$C$4:C2313,出库明细!C2313,出库明细!$D$4:D2313,出库明细!D2313)&gt;1),"",IFERROR(MATCH(出库明细!C2313,总览汇总!$B$5:$B$304,0),900)*10000000+IFERROR(MATCH(出库明细!D2313,基础资料!$E$5:$E$104,0),900)*10000+ROW()))</f>
      </c>
      <c r="F3313">
        <f>IF(AND(资金台帐!J316&lt;&gt;"",资金台帐!J316=客户对账单!$B$4,资金台帐!P316="应收",ISNUMBER(资金台帐!B316),资金台帐!B316&gt;=客户对账单!$G$4,资金台帐!B316&lt;=客户对账单!$I$4),资金台帐!B316+ROW()/100000,"")</f>
      </c>
      <c r="H3313">
        <f>IF(AND(资金台帐!K1816&lt;&gt;"",资金台帐!K1816=供应商对账单!$B$4,资金台帐!P1816="应付",ISNUMBER(资金台帐!B1816),资金台帐!B1816&gt;=供应商对账单!$G$4,资金台帐!B1816&lt;=供应商对账单!$I$4),资金台帐!B1816+ROW()/100000,"")</f>
      </c>
    </row>
    <row r="3314">
      <c r="A3314">
        <f>IF(OR(出库明细!C2314="",出库明细!D2314=""),"",IF(OR(COUNTIFS(存条明细!$C$4:$C$1003,出库明细!C2314,存条明细!$D$4:$D$1003,出库明细!D2314)&gt;0,COUNTIFS(出库明细!$C$4:C2314,出库明细!C2314,出库明细!$D$4:D2314,出库明细!D2314)&gt;1),"",IFERROR(MATCH(出库明细!C2314,总览汇总!$B$5:$B$304,0),900)*10000000+IFERROR(MATCH(出库明细!D2314,基础资料!$E$5:$E$104,0),900)*10000+ROW()))</f>
      </c>
      <c r="F3314">
        <f>IF(AND(资金台帐!J317&lt;&gt;"",资金台帐!J317=客户对账单!$B$4,资金台帐!P317="应收",ISNUMBER(资金台帐!B317),资金台帐!B317&gt;=客户对账单!$G$4,资金台帐!B317&lt;=客户对账单!$I$4),资金台帐!B317+ROW()/100000,"")</f>
      </c>
      <c r="H3314">
        <f>IF(AND(资金台帐!K1817&lt;&gt;"",资金台帐!K1817=供应商对账单!$B$4,资金台帐!P1817="应付",ISNUMBER(资金台帐!B1817),资金台帐!B1817&gt;=供应商对账单!$G$4,资金台帐!B1817&lt;=供应商对账单!$I$4),资金台帐!B1817+ROW()/100000,"")</f>
      </c>
    </row>
    <row r="3315">
      <c r="A3315">
        <f>IF(OR(出库明细!C2315="",出库明细!D2315=""),"",IF(OR(COUNTIFS(存条明细!$C$4:$C$1003,出库明细!C2315,存条明细!$D$4:$D$1003,出库明细!D2315)&gt;0,COUNTIFS(出库明细!$C$4:C2315,出库明细!C2315,出库明细!$D$4:D2315,出库明细!D2315)&gt;1),"",IFERROR(MATCH(出库明细!C2315,总览汇总!$B$5:$B$304,0),900)*10000000+IFERROR(MATCH(出库明细!D2315,基础资料!$E$5:$E$104,0),900)*10000+ROW()))</f>
      </c>
      <c r="F3315">
        <f>IF(AND(资金台帐!J318&lt;&gt;"",资金台帐!J318=客户对账单!$B$4,资金台帐!P318="应收",ISNUMBER(资金台帐!B318),资金台帐!B318&gt;=客户对账单!$G$4,资金台帐!B318&lt;=客户对账单!$I$4),资金台帐!B318+ROW()/100000,"")</f>
      </c>
      <c r="H3315">
        <f>IF(AND(资金台帐!K1818&lt;&gt;"",资金台帐!K1818=供应商对账单!$B$4,资金台帐!P1818="应付",ISNUMBER(资金台帐!B1818),资金台帐!B1818&gt;=供应商对账单!$G$4,资金台帐!B1818&lt;=供应商对账单!$I$4),资金台帐!B1818+ROW()/100000,"")</f>
      </c>
    </row>
    <row r="3316">
      <c r="A3316">
        <f>IF(OR(出库明细!C2316="",出库明细!D2316=""),"",IF(OR(COUNTIFS(存条明细!$C$4:$C$1003,出库明细!C2316,存条明细!$D$4:$D$1003,出库明细!D2316)&gt;0,COUNTIFS(出库明细!$C$4:C2316,出库明细!C2316,出库明细!$D$4:D2316,出库明细!D2316)&gt;1),"",IFERROR(MATCH(出库明细!C2316,总览汇总!$B$5:$B$304,0),900)*10000000+IFERROR(MATCH(出库明细!D2316,基础资料!$E$5:$E$104,0),900)*10000+ROW()))</f>
      </c>
      <c r="F3316">
        <f>IF(AND(资金台帐!J319&lt;&gt;"",资金台帐!J319=客户对账单!$B$4,资金台帐!P319="应收",ISNUMBER(资金台帐!B319),资金台帐!B319&gt;=客户对账单!$G$4,资金台帐!B319&lt;=客户对账单!$I$4),资金台帐!B319+ROW()/100000,"")</f>
      </c>
      <c r="H3316">
        <f>IF(AND(资金台帐!K1819&lt;&gt;"",资金台帐!K1819=供应商对账单!$B$4,资金台帐!P1819="应付",ISNUMBER(资金台帐!B1819),资金台帐!B1819&gt;=供应商对账单!$G$4,资金台帐!B1819&lt;=供应商对账单!$I$4),资金台帐!B1819+ROW()/100000,"")</f>
      </c>
    </row>
    <row r="3317">
      <c r="A3317">
        <f>IF(OR(出库明细!C2317="",出库明细!D2317=""),"",IF(OR(COUNTIFS(存条明细!$C$4:$C$1003,出库明细!C2317,存条明细!$D$4:$D$1003,出库明细!D2317)&gt;0,COUNTIFS(出库明细!$C$4:C2317,出库明细!C2317,出库明细!$D$4:D2317,出库明细!D2317)&gt;1),"",IFERROR(MATCH(出库明细!C2317,总览汇总!$B$5:$B$304,0),900)*10000000+IFERROR(MATCH(出库明细!D2317,基础资料!$E$5:$E$104,0),900)*10000+ROW()))</f>
      </c>
      <c r="F3317">
        <f>IF(AND(资金台帐!J320&lt;&gt;"",资金台帐!J320=客户对账单!$B$4,资金台帐!P320="应收",ISNUMBER(资金台帐!B320),资金台帐!B320&gt;=客户对账单!$G$4,资金台帐!B320&lt;=客户对账单!$I$4),资金台帐!B320+ROW()/100000,"")</f>
      </c>
      <c r="H3317">
        <f>IF(AND(资金台帐!K1820&lt;&gt;"",资金台帐!K1820=供应商对账单!$B$4,资金台帐!P1820="应付",ISNUMBER(资金台帐!B1820),资金台帐!B1820&gt;=供应商对账单!$G$4,资金台帐!B1820&lt;=供应商对账单!$I$4),资金台帐!B1820+ROW()/100000,"")</f>
      </c>
    </row>
    <row r="3318">
      <c r="A3318">
        <f>IF(OR(出库明细!C2318="",出库明细!D2318=""),"",IF(OR(COUNTIFS(存条明细!$C$4:$C$1003,出库明细!C2318,存条明细!$D$4:$D$1003,出库明细!D2318)&gt;0,COUNTIFS(出库明细!$C$4:C2318,出库明细!C2318,出库明细!$D$4:D2318,出库明细!D2318)&gt;1),"",IFERROR(MATCH(出库明细!C2318,总览汇总!$B$5:$B$304,0),900)*10000000+IFERROR(MATCH(出库明细!D2318,基础资料!$E$5:$E$104,0),900)*10000+ROW()))</f>
      </c>
      <c r="F3318">
        <f>IF(AND(资金台帐!J321&lt;&gt;"",资金台帐!J321=客户对账单!$B$4,资金台帐!P321="应收",ISNUMBER(资金台帐!B321),资金台帐!B321&gt;=客户对账单!$G$4,资金台帐!B321&lt;=客户对账单!$I$4),资金台帐!B321+ROW()/100000,"")</f>
      </c>
      <c r="H3318">
        <f>IF(AND(资金台帐!K1821&lt;&gt;"",资金台帐!K1821=供应商对账单!$B$4,资金台帐!P1821="应付",ISNUMBER(资金台帐!B1821),资金台帐!B1821&gt;=供应商对账单!$G$4,资金台帐!B1821&lt;=供应商对账单!$I$4),资金台帐!B1821+ROW()/100000,"")</f>
      </c>
    </row>
    <row r="3319">
      <c r="A3319">
        <f>IF(OR(出库明细!C2319="",出库明细!D2319=""),"",IF(OR(COUNTIFS(存条明细!$C$4:$C$1003,出库明细!C2319,存条明细!$D$4:$D$1003,出库明细!D2319)&gt;0,COUNTIFS(出库明细!$C$4:C2319,出库明细!C2319,出库明细!$D$4:D2319,出库明细!D2319)&gt;1),"",IFERROR(MATCH(出库明细!C2319,总览汇总!$B$5:$B$304,0),900)*10000000+IFERROR(MATCH(出库明细!D2319,基础资料!$E$5:$E$104,0),900)*10000+ROW()))</f>
      </c>
      <c r="F3319">
        <f>IF(AND(资金台帐!J322&lt;&gt;"",资金台帐!J322=客户对账单!$B$4,资金台帐!P322="应收",ISNUMBER(资金台帐!B322),资金台帐!B322&gt;=客户对账单!$G$4,资金台帐!B322&lt;=客户对账单!$I$4),资金台帐!B322+ROW()/100000,"")</f>
      </c>
      <c r="H3319">
        <f>IF(AND(资金台帐!K1822&lt;&gt;"",资金台帐!K1822=供应商对账单!$B$4,资金台帐!P1822="应付",ISNUMBER(资金台帐!B1822),资金台帐!B1822&gt;=供应商对账单!$G$4,资金台帐!B1822&lt;=供应商对账单!$I$4),资金台帐!B1822+ROW()/100000,"")</f>
      </c>
    </row>
    <row r="3320">
      <c r="A3320">
        <f>IF(OR(出库明细!C2320="",出库明细!D2320=""),"",IF(OR(COUNTIFS(存条明细!$C$4:$C$1003,出库明细!C2320,存条明细!$D$4:$D$1003,出库明细!D2320)&gt;0,COUNTIFS(出库明细!$C$4:C2320,出库明细!C2320,出库明细!$D$4:D2320,出库明细!D2320)&gt;1),"",IFERROR(MATCH(出库明细!C2320,总览汇总!$B$5:$B$304,0),900)*10000000+IFERROR(MATCH(出库明细!D2320,基础资料!$E$5:$E$104,0),900)*10000+ROW()))</f>
      </c>
      <c r="F3320">
        <f>IF(AND(资金台帐!J323&lt;&gt;"",资金台帐!J323=客户对账单!$B$4,资金台帐!P323="应收",ISNUMBER(资金台帐!B323),资金台帐!B323&gt;=客户对账单!$G$4,资金台帐!B323&lt;=客户对账单!$I$4),资金台帐!B323+ROW()/100000,"")</f>
      </c>
      <c r="H3320">
        <f>IF(AND(资金台帐!K1823&lt;&gt;"",资金台帐!K1823=供应商对账单!$B$4,资金台帐!P1823="应付",ISNUMBER(资金台帐!B1823),资金台帐!B1823&gt;=供应商对账单!$G$4,资金台帐!B1823&lt;=供应商对账单!$I$4),资金台帐!B1823+ROW()/100000,"")</f>
      </c>
    </row>
    <row r="3321">
      <c r="A3321">
        <f>IF(OR(出库明细!C2321="",出库明细!D2321=""),"",IF(OR(COUNTIFS(存条明细!$C$4:$C$1003,出库明细!C2321,存条明细!$D$4:$D$1003,出库明细!D2321)&gt;0,COUNTIFS(出库明细!$C$4:C2321,出库明细!C2321,出库明细!$D$4:D2321,出库明细!D2321)&gt;1),"",IFERROR(MATCH(出库明细!C2321,总览汇总!$B$5:$B$304,0),900)*10000000+IFERROR(MATCH(出库明细!D2321,基础资料!$E$5:$E$104,0),900)*10000+ROW()))</f>
      </c>
      <c r="F3321">
        <f>IF(AND(资金台帐!J324&lt;&gt;"",资金台帐!J324=客户对账单!$B$4,资金台帐!P324="应收",ISNUMBER(资金台帐!B324),资金台帐!B324&gt;=客户对账单!$G$4,资金台帐!B324&lt;=客户对账单!$I$4),资金台帐!B324+ROW()/100000,"")</f>
      </c>
      <c r="H3321">
        <f>IF(AND(资金台帐!K1824&lt;&gt;"",资金台帐!K1824=供应商对账单!$B$4,资金台帐!P1824="应付",ISNUMBER(资金台帐!B1824),资金台帐!B1824&gt;=供应商对账单!$G$4,资金台帐!B1824&lt;=供应商对账单!$I$4),资金台帐!B1824+ROW()/100000,"")</f>
      </c>
    </row>
    <row r="3322">
      <c r="A3322">
        <f>IF(OR(出库明细!C2322="",出库明细!D2322=""),"",IF(OR(COUNTIFS(存条明细!$C$4:$C$1003,出库明细!C2322,存条明细!$D$4:$D$1003,出库明细!D2322)&gt;0,COUNTIFS(出库明细!$C$4:C2322,出库明细!C2322,出库明细!$D$4:D2322,出库明细!D2322)&gt;1),"",IFERROR(MATCH(出库明细!C2322,总览汇总!$B$5:$B$304,0),900)*10000000+IFERROR(MATCH(出库明细!D2322,基础资料!$E$5:$E$104,0),900)*10000+ROW()))</f>
      </c>
      <c r="F3322">
        <f>IF(AND(资金台帐!J325&lt;&gt;"",资金台帐!J325=客户对账单!$B$4,资金台帐!P325="应收",ISNUMBER(资金台帐!B325),资金台帐!B325&gt;=客户对账单!$G$4,资金台帐!B325&lt;=客户对账单!$I$4),资金台帐!B325+ROW()/100000,"")</f>
      </c>
      <c r="H3322">
        <f>IF(AND(资金台帐!K1825&lt;&gt;"",资金台帐!K1825=供应商对账单!$B$4,资金台帐!P1825="应付",ISNUMBER(资金台帐!B1825),资金台帐!B1825&gt;=供应商对账单!$G$4,资金台帐!B1825&lt;=供应商对账单!$I$4),资金台帐!B1825+ROW()/100000,"")</f>
      </c>
    </row>
    <row r="3323">
      <c r="A3323">
        <f>IF(OR(出库明细!C2323="",出库明细!D2323=""),"",IF(OR(COUNTIFS(存条明细!$C$4:$C$1003,出库明细!C2323,存条明细!$D$4:$D$1003,出库明细!D2323)&gt;0,COUNTIFS(出库明细!$C$4:C2323,出库明细!C2323,出库明细!$D$4:D2323,出库明细!D2323)&gt;1),"",IFERROR(MATCH(出库明细!C2323,总览汇总!$B$5:$B$304,0),900)*10000000+IFERROR(MATCH(出库明细!D2323,基础资料!$E$5:$E$104,0),900)*10000+ROW()))</f>
      </c>
      <c r="F3323">
        <f>IF(AND(资金台帐!J326&lt;&gt;"",资金台帐!J326=客户对账单!$B$4,资金台帐!P326="应收",ISNUMBER(资金台帐!B326),资金台帐!B326&gt;=客户对账单!$G$4,资金台帐!B326&lt;=客户对账单!$I$4),资金台帐!B326+ROW()/100000,"")</f>
      </c>
      <c r="H3323">
        <f>IF(AND(资金台帐!K1826&lt;&gt;"",资金台帐!K1826=供应商对账单!$B$4,资金台帐!P1826="应付",ISNUMBER(资金台帐!B1826),资金台帐!B1826&gt;=供应商对账单!$G$4,资金台帐!B1826&lt;=供应商对账单!$I$4),资金台帐!B1826+ROW()/100000,"")</f>
      </c>
    </row>
    <row r="3324">
      <c r="A3324">
        <f>IF(OR(出库明细!C2324="",出库明细!D2324=""),"",IF(OR(COUNTIFS(存条明细!$C$4:$C$1003,出库明细!C2324,存条明细!$D$4:$D$1003,出库明细!D2324)&gt;0,COUNTIFS(出库明细!$C$4:C2324,出库明细!C2324,出库明细!$D$4:D2324,出库明细!D2324)&gt;1),"",IFERROR(MATCH(出库明细!C2324,总览汇总!$B$5:$B$304,0),900)*10000000+IFERROR(MATCH(出库明细!D2324,基础资料!$E$5:$E$104,0),900)*10000+ROW()))</f>
      </c>
      <c r="F3324">
        <f>IF(AND(资金台帐!J327&lt;&gt;"",资金台帐!J327=客户对账单!$B$4,资金台帐!P327="应收",ISNUMBER(资金台帐!B327),资金台帐!B327&gt;=客户对账单!$G$4,资金台帐!B327&lt;=客户对账单!$I$4),资金台帐!B327+ROW()/100000,"")</f>
      </c>
      <c r="H3324">
        <f>IF(AND(资金台帐!K1827&lt;&gt;"",资金台帐!K1827=供应商对账单!$B$4,资金台帐!P1827="应付",ISNUMBER(资金台帐!B1827),资金台帐!B1827&gt;=供应商对账单!$G$4,资金台帐!B1827&lt;=供应商对账单!$I$4),资金台帐!B1827+ROW()/100000,"")</f>
      </c>
    </row>
    <row r="3325">
      <c r="A3325">
        <f>IF(OR(出库明细!C2325="",出库明细!D2325=""),"",IF(OR(COUNTIFS(存条明细!$C$4:$C$1003,出库明细!C2325,存条明细!$D$4:$D$1003,出库明细!D2325)&gt;0,COUNTIFS(出库明细!$C$4:C2325,出库明细!C2325,出库明细!$D$4:D2325,出库明细!D2325)&gt;1),"",IFERROR(MATCH(出库明细!C2325,总览汇总!$B$5:$B$304,0),900)*10000000+IFERROR(MATCH(出库明细!D2325,基础资料!$E$5:$E$104,0),900)*10000+ROW()))</f>
      </c>
      <c r="F3325">
        <f>IF(AND(资金台帐!J328&lt;&gt;"",资金台帐!J328=客户对账单!$B$4,资金台帐!P328="应收",ISNUMBER(资金台帐!B328),资金台帐!B328&gt;=客户对账单!$G$4,资金台帐!B328&lt;=客户对账单!$I$4),资金台帐!B328+ROW()/100000,"")</f>
      </c>
      <c r="H3325">
        <f>IF(AND(资金台帐!K1828&lt;&gt;"",资金台帐!K1828=供应商对账单!$B$4,资金台帐!P1828="应付",ISNUMBER(资金台帐!B1828),资金台帐!B1828&gt;=供应商对账单!$G$4,资金台帐!B1828&lt;=供应商对账单!$I$4),资金台帐!B1828+ROW()/100000,"")</f>
      </c>
    </row>
    <row r="3326">
      <c r="A3326">
        <f>IF(OR(出库明细!C2326="",出库明细!D2326=""),"",IF(OR(COUNTIFS(存条明细!$C$4:$C$1003,出库明细!C2326,存条明细!$D$4:$D$1003,出库明细!D2326)&gt;0,COUNTIFS(出库明细!$C$4:C2326,出库明细!C2326,出库明细!$D$4:D2326,出库明细!D2326)&gt;1),"",IFERROR(MATCH(出库明细!C2326,总览汇总!$B$5:$B$304,0),900)*10000000+IFERROR(MATCH(出库明细!D2326,基础资料!$E$5:$E$104,0),900)*10000+ROW()))</f>
      </c>
      <c r="F3326">
        <f>IF(AND(资金台帐!J329&lt;&gt;"",资金台帐!J329=客户对账单!$B$4,资金台帐!P329="应收",ISNUMBER(资金台帐!B329),资金台帐!B329&gt;=客户对账单!$G$4,资金台帐!B329&lt;=客户对账单!$I$4),资金台帐!B329+ROW()/100000,"")</f>
      </c>
      <c r="H3326">
        <f>IF(AND(资金台帐!K1829&lt;&gt;"",资金台帐!K1829=供应商对账单!$B$4,资金台帐!P1829="应付",ISNUMBER(资金台帐!B1829),资金台帐!B1829&gt;=供应商对账单!$G$4,资金台帐!B1829&lt;=供应商对账单!$I$4),资金台帐!B1829+ROW()/100000,"")</f>
      </c>
    </row>
    <row r="3327">
      <c r="A3327">
        <f>IF(OR(出库明细!C2327="",出库明细!D2327=""),"",IF(OR(COUNTIFS(存条明细!$C$4:$C$1003,出库明细!C2327,存条明细!$D$4:$D$1003,出库明细!D2327)&gt;0,COUNTIFS(出库明细!$C$4:C2327,出库明细!C2327,出库明细!$D$4:D2327,出库明细!D2327)&gt;1),"",IFERROR(MATCH(出库明细!C2327,总览汇总!$B$5:$B$304,0),900)*10000000+IFERROR(MATCH(出库明细!D2327,基础资料!$E$5:$E$104,0),900)*10000+ROW()))</f>
      </c>
      <c r="F3327">
        <f>IF(AND(资金台帐!J330&lt;&gt;"",资金台帐!J330=客户对账单!$B$4,资金台帐!P330="应收",ISNUMBER(资金台帐!B330),资金台帐!B330&gt;=客户对账单!$G$4,资金台帐!B330&lt;=客户对账单!$I$4),资金台帐!B330+ROW()/100000,"")</f>
      </c>
      <c r="H3327">
        <f>IF(AND(资金台帐!K1830&lt;&gt;"",资金台帐!K1830=供应商对账单!$B$4,资金台帐!P1830="应付",ISNUMBER(资金台帐!B1830),资金台帐!B1830&gt;=供应商对账单!$G$4,资金台帐!B1830&lt;=供应商对账单!$I$4),资金台帐!B1830+ROW()/100000,"")</f>
      </c>
    </row>
    <row r="3328">
      <c r="A3328">
        <f>IF(OR(出库明细!C2328="",出库明细!D2328=""),"",IF(OR(COUNTIFS(存条明细!$C$4:$C$1003,出库明细!C2328,存条明细!$D$4:$D$1003,出库明细!D2328)&gt;0,COUNTIFS(出库明细!$C$4:C2328,出库明细!C2328,出库明细!$D$4:D2328,出库明细!D2328)&gt;1),"",IFERROR(MATCH(出库明细!C2328,总览汇总!$B$5:$B$304,0),900)*10000000+IFERROR(MATCH(出库明细!D2328,基础资料!$E$5:$E$104,0),900)*10000+ROW()))</f>
      </c>
      <c r="F3328">
        <f>IF(AND(资金台帐!J331&lt;&gt;"",资金台帐!J331=客户对账单!$B$4,资金台帐!P331="应收",ISNUMBER(资金台帐!B331),资金台帐!B331&gt;=客户对账单!$G$4,资金台帐!B331&lt;=客户对账单!$I$4),资金台帐!B331+ROW()/100000,"")</f>
      </c>
      <c r="H3328">
        <f>IF(AND(资金台帐!K1831&lt;&gt;"",资金台帐!K1831=供应商对账单!$B$4,资金台帐!P1831="应付",ISNUMBER(资金台帐!B1831),资金台帐!B1831&gt;=供应商对账单!$G$4,资金台帐!B1831&lt;=供应商对账单!$I$4),资金台帐!B1831+ROW()/100000,"")</f>
      </c>
    </row>
    <row r="3329">
      <c r="A3329">
        <f>IF(OR(出库明细!C2329="",出库明细!D2329=""),"",IF(OR(COUNTIFS(存条明细!$C$4:$C$1003,出库明细!C2329,存条明细!$D$4:$D$1003,出库明细!D2329)&gt;0,COUNTIFS(出库明细!$C$4:C2329,出库明细!C2329,出库明细!$D$4:D2329,出库明细!D2329)&gt;1),"",IFERROR(MATCH(出库明细!C2329,总览汇总!$B$5:$B$304,0),900)*10000000+IFERROR(MATCH(出库明细!D2329,基础资料!$E$5:$E$104,0),900)*10000+ROW()))</f>
      </c>
      <c r="F3329">
        <f>IF(AND(资金台帐!J332&lt;&gt;"",资金台帐!J332=客户对账单!$B$4,资金台帐!P332="应收",ISNUMBER(资金台帐!B332),资金台帐!B332&gt;=客户对账单!$G$4,资金台帐!B332&lt;=客户对账单!$I$4),资金台帐!B332+ROW()/100000,"")</f>
      </c>
      <c r="H3329">
        <f>IF(AND(资金台帐!K1832&lt;&gt;"",资金台帐!K1832=供应商对账单!$B$4,资金台帐!P1832="应付",ISNUMBER(资金台帐!B1832),资金台帐!B1832&gt;=供应商对账单!$G$4,资金台帐!B1832&lt;=供应商对账单!$I$4),资金台帐!B1832+ROW()/100000,"")</f>
      </c>
    </row>
    <row r="3330">
      <c r="A3330">
        <f>IF(OR(出库明细!C2330="",出库明细!D2330=""),"",IF(OR(COUNTIFS(存条明细!$C$4:$C$1003,出库明细!C2330,存条明细!$D$4:$D$1003,出库明细!D2330)&gt;0,COUNTIFS(出库明细!$C$4:C2330,出库明细!C2330,出库明细!$D$4:D2330,出库明细!D2330)&gt;1),"",IFERROR(MATCH(出库明细!C2330,总览汇总!$B$5:$B$304,0),900)*10000000+IFERROR(MATCH(出库明细!D2330,基础资料!$E$5:$E$104,0),900)*10000+ROW()))</f>
      </c>
      <c r="F3330">
        <f>IF(AND(资金台帐!J333&lt;&gt;"",资金台帐!J333=客户对账单!$B$4,资金台帐!P333="应收",ISNUMBER(资金台帐!B333),资金台帐!B333&gt;=客户对账单!$G$4,资金台帐!B333&lt;=客户对账单!$I$4),资金台帐!B333+ROW()/100000,"")</f>
      </c>
      <c r="H3330">
        <f>IF(AND(资金台帐!K1833&lt;&gt;"",资金台帐!K1833=供应商对账单!$B$4,资金台帐!P1833="应付",ISNUMBER(资金台帐!B1833),资金台帐!B1833&gt;=供应商对账单!$G$4,资金台帐!B1833&lt;=供应商对账单!$I$4),资金台帐!B1833+ROW()/100000,"")</f>
      </c>
    </row>
    <row r="3331">
      <c r="A3331">
        <f>IF(OR(出库明细!C2331="",出库明细!D2331=""),"",IF(OR(COUNTIFS(存条明细!$C$4:$C$1003,出库明细!C2331,存条明细!$D$4:$D$1003,出库明细!D2331)&gt;0,COUNTIFS(出库明细!$C$4:C2331,出库明细!C2331,出库明细!$D$4:D2331,出库明细!D2331)&gt;1),"",IFERROR(MATCH(出库明细!C2331,总览汇总!$B$5:$B$304,0),900)*10000000+IFERROR(MATCH(出库明细!D2331,基础资料!$E$5:$E$104,0),900)*10000+ROW()))</f>
      </c>
      <c r="F3331">
        <f>IF(AND(资金台帐!J334&lt;&gt;"",资金台帐!J334=客户对账单!$B$4,资金台帐!P334="应收",ISNUMBER(资金台帐!B334),资金台帐!B334&gt;=客户对账单!$G$4,资金台帐!B334&lt;=客户对账单!$I$4),资金台帐!B334+ROW()/100000,"")</f>
      </c>
      <c r="H3331">
        <f>IF(AND(资金台帐!K1834&lt;&gt;"",资金台帐!K1834=供应商对账单!$B$4,资金台帐!P1834="应付",ISNUMBER(资金台帐!B1834),资金台帐!B1834&gt;=供应商对账单!$G$4,资金台帐!B1834&lt;=供应商对账单!$I$4),资金台帐!B1834+ROW()/100000,"")</f>
      </c>
    </row>
    <row r="3332">
      <c r="A3332">
        <f>IF(OR(出库明细!C2332="",出库明细!D2332=""),"",IF(OR(COUNTIFS(存条明细!$C$4:$C$1003,出库明细!C2332,存条明细!$D$4:$D$1003,出库明细!D2332)&gt;0,COUNTIFS(出库明细!$C$4:C2332,出库明细!C2332,出库明细!$D$4:D2332,出库明细!D2332)&gt;1),"",IFERROR(MATCH(出库明细!C2332,总览汇总!$B$5:$B$304,0),900)*10000000+IFERROR(MATCH(出库明细!D2332,基础资料!$E$5:$E$104,0),900)*10000+ROW()))</f>
      </c>
      <c r="F3332">
        <f>IF(AND(资金台帐!J335&lt;&gt;"",资金台帐!J335=客户对账单!$B$4,资金台帐!P335="应收",ISNUMBER(资金台帐!B335),资金台帐!B335&gt;=客户对账单!$G$4,资金台帐!B335&lt;=客户对账单!$I$4),资金台帐!B335+ROW()/100000,"")</f>
      </c>
      <c r="H3332">
        <f>IF(AND(资金台帐!K1835&lt;&gt;"",资金台帐!K1835=供应商对账单!$B$4,资金台帐!P1835="应付",ISNUMBER(资金台帐!B1835),资金台帐!B1835&gt;=供应商对账单!$G$4,资金台帐!B1835&lt;=供应商对账单!$I$4),资金台帐!B1835+ROW()/100000,"")</f>
      </c>
    </row>
    <row r="3333">
      <c r="A3333">
        <f>IF(OR(出库明细!C2333="",出库明细!D2333=""),"",IF(OR(COUNTIFS(存条明细!$C$4:$C$1003,出库明细!C2333,存条明细!$D$4:$D$1003,出库明细!D2333)&gt;0,COUNTIFS(出库明细!$C$4:C2333,出库明细!C2333,出库明细!$D$4:D2333,出库明细!D2333)&gt;1),"",IFERROR(MATCH(出库明细!C2333,总览汇总!$B$5:$B$304,0),900)*10000000+IFERROR(MATCH(出库明细!D2333,基础资料!$E$5:$E$104,0),900)*10000+ROW()))</f>
      </c>
      <c r="F3333">
        <f>IF(AND(资金台帐!J336&lt;&gt;"",资金台帐!J336=客户对账单!$B$4,资金台帐!P336="应收",ISNUMBER(资金台帐!B336),资金台帐!B336&gt;=客户对账单!$G$4,资金台帐!B336&lt;=客户对账单!$I$4),资金台帐!B336+ROW()/100000,"")</f>
      </c>
      <c r="H3333">
        <f>IF(AND(资金台帐!K1836&lt;&gt;"",资金台帐!K1836=供应商对账单!$B$4,资金台帐!P1836="应付",ISNUMBER(资金台帐!B1836),资金台帐!B1836&gt;=供应商对账单!$G$4,资金台帐!B1836&lt;=供应商对账单!$I$4),资金台帐!B1836+ROW()/100000,"")</f>
      </c>
    </row>
    <row r="3334">
      <c r="A3334">
        <f>IF(OR(出库明细!C2334="",出库明细!D2334=""),"",IF(OR(COUNTIFS(存条明细!$C$4:$C$1003,出库明细!C2334,存条明细!$D$4:$D$1003,出库明细!D2334)&gt;0,COUNTIFS(出库明细!$C$4:C2334,出库明细!C2334,出库明细!$D$4:D2334,出库明细!D2334)&gt;1),"",IFERROR(MATCH(出库明细!C2334,总览汇总!$B$5:$B$304,0),900)*10000000+IFERROR(MATCH(出库明细!D2334,基础资料!$E$5:$E$104,0),900)*10000+ROW()))</f>
      </c>
      <c r="F3334">
        <f>IF(AND(资金台帐!J337&lt;&gt;"",资金台帐!J337=客户对账单!$B$4,资金台帐!P337="应收",ISNUMBER(资金台帐!B337),资金台帐!B337&gt;=客户对账单!$G$4,资金台帐!B337&lt;=客户对账单!$I$4),资金台帐!B337+ROW()/100000,"")</f>
      </c>
      <c r="H3334">
        <f>IF(AND(资金台帐!K1837&lt;&gt;"",资金台帐!K1837=供应商对账单!$B$4,资金台帐!P1837="应付",ISNUMBER(资金台帐!B1837),资金台帐!B1837&gt;=供应商对账单!$G$4,资金台帐!B1837&lt;=供应商对账单!$I$4),资金台帐!B1837+ROW()/100000,"")</f>
      </c>
    </row>
    <row r="3335">
      <c r="A3335">
        <f>IF(OR(出库明细!C2335="",出库明细!D2335=""),"",IF(OR(COUNTIFS(存条明细!$C$4:$C$1003,出库明细!C2335,存条明细!$D$4:$D$1003,出库明细!D2335)&gt;0,COUNTIFS(出库明细!$C$4:C2335,出库明细!C2335,出库明细!$D$4:D2335,出库明细!D2335)&gt;1),"",IFERROR(MATCH(出库明细!C2335,总览汇总!$B$5:$B$304,0),900)*10000000+IFERROR(MATCH(出库明细!D2335,基础资料!$E$5:$E$104,0),900)*10000+ROW()))</f>
      </c>
      <c r="F3335">
        <f>IF(AND(资金台帐!J338&lt;&gt;"",资金台帐!J338=客户对账单!$B$4,资金台帐!P338="应收",ISNUMBER(资金台帐!B338),资金台帐!B338&gt;=客户对账单!$G$4,资金台帐!B338&lt;=客户对账单!$I$4),资金台帐!B338+ROW()/100000,"")</f>
      </c>
      <c r="H3335">
        <f>IF(AND(资金台帐!K1838&lt;&gt;"",资金台帐!K1838=供应商对账单!$B$4,资金台帐!P1838="应付",ISNUMBER(资金台帐!B1838),资金台帐!B1838&gt;=供应商对账单!$G$4,资金台帐!B1838&lt;=供应商对账单!$I$4),资金台帐!B1838+ROW()/100000,"")</f>
      </c>
    </row>
    <row r="3336">
      <c r="A3336">
        <f>IF(OR(出库明细!C2336="",出库明细!D2336=""),"",IF(OR(COUNTIFS(存条明细!$C$4:$C$1003,出库明细!C2336,存条明细!$D$4:$D$1003,出库明细!D2336)&gt;0,COUNTIFS(出库明细!$C$4:C2336,出库明细!C2336,出库明细!$D$4:D2336,出库明细!D2336)&gt;1),"",IFERROR(MATCH(出库明细!C2336,总览汇总!$B$5:$B$304,0),900)*10000000+IFERROR(MATCH(出库明细!D2336,基础资料!$E$5:$E$104,0),900)*10000+ROW()))</f>
      </c>
      <c r="F3336">
        <f>IF(AND(资金台帐!J339&lt;&gt;"",资金台帐!J339=客户对账单!$B$4,资金台帐!P339="应收",ISNUMBER(资金台帐!B339),资金台帐!B339&gt;=客户对账单!$G$4,资金台帐!B339&lt;=客户对账单!$I$4),资金台帐!B339+ROW()/100000,"")</f>
      </c>
      <c r="H3336">
        <f>IF(AND(资金台帐!K1839&lt;&gt;"",资金台帐!K1839=供应商对账单!$B$4,资金台帐!P1839="应付",ISNUMBER(资金台帐!B1839),资金台帐!B1839&gt;=供应商对账单!$G$4,资金台帐!B1839&lt;=供应商对账单!$I$4),资金台帐!B1839+ROW()/100000,"")</f>
      </c>
    </row>
    <row r="3337">
      <c r="A3337">
        <f>IF(OR(出库明细!C2337="",出库明细!D2337=""),"",IF(OR(COUNTIFS(存条明细!$C$4:$C$1003,出库明细!C2337,存条明细!$D$4:$D$1003,出库明细!D2337)&gt;0,COUNTIFS(出库明细!$C$4:C2337,出库明细!C2337,出库明细!$D$4:D2337,出库明细!D2337)&gt;1),"",IFERROR(MATCH(出库明细!C2337,总览汇总!$B$5:$B$304,0),900)*10000000+IFERROR(MATCH(出库明细!D2337,基础资料!$E$5:$E$104,0),900)*10000+ROW()))</f>
      </c>
      <c r="F3337">
        <f>IF(AND(资金台帐!J340&lt;&gt;"",资金台帐!J340=客户对账单!$B$4,资金台帐!P340="应收",ISNUMBER(资金台帐!B340),资金台帐!B340&gt;=客户对账单!$G$4,资金台帐!B340&lt;=客户对账单!$I$4),资金台帐!B340+ROW()/100000,"")</f>
      </c>
      <c r="H3337">
        <f>IF(AND(资金台帐!K1840&lt;&gt;"",资金台帐!K1840=供应商对账单!$B$4,资金台帐!P1840="应付",ISNUMBER(资金台帐!B1840),资金台帐!B1840&gt;=供应商对账单!$G$4,资金台帐!B1840&lt;=供应商对账单!$I$4),资金台帐!B1840+ROW()/100000,"")</f>
      </c>
    </row>
    <row r="3338">
      <c r="A3338">
        <f>IF(OR(出库明细!C2338="",出库明细!D2338=""),"",IF(OR(COUNTIFS(存条明细!$C$4:$C$1003,出库明细!C2338,存条明细!$D$4:$D$1003,出库明细!D2338)&gt;0,COUNTIFS(出库明细!$C$4:C2338,出库明细!C2338,出库明细!$D$4:D2338,出库明细!D2338)&gt;1),"",IFERROR(MATCH(出库明细!C2338,总览汇总!$B$5:$B$304,0),900)*10000000+IFERROR(MATCH(出库明细!D2338,基础资料!$E$5:$E$104,0),900)*10000+ROW()))</f>
      </c>
      <c r="F3338">
        <f>IF(AND(资金台帐!J341&lt;&gt;"",资金台帐!J341=客户对账单!$B$4,资金台帐!P341="应收",ISNUMBER(资金台帐!B341),资金台帐!B341&gt;=客户对账单!$G$4,资金台帐!B341&lt;=客户对账单!$I$4),资金台帐!B341+ROW()/100000,"")</f>
      </c>
      <c r="H3338">
        <f>IF(AND(资金台帐!K1841&lt;&gt;"",资金台帐!K1841=供应商对账单!$B$4,资金台帐!P1841="应付",ISNUMBER(资金台帐!B1841),资金台帐!B1841&gt;=供应商对账单!$G$4,资金台帐!B1841&lt;=供应商对账单!$I$4),资金台帐!B1841+ROW()/100000,"")</f>
      </c>
    </row>
    <row r="3339">
      <c r="A3339">
        <f>IF(OR(出库明细!C2339="",出库明细!D2339=""),"",IF(OR(COUNTIFS(存条明细!$C$4:$C$1003,出库明细!C2339,存条明细!$D$4:$D$1003,出库明细!D2339)&gt;0,COUNTIFS(出库明细!$C$4:C2339,出库明细!C2339,出库明细!$D$4:D2339,出库明细!D2339)&gt;1),"",IFERROR(MATCH(出库明细!C2339,总览汇总!$B$5:$B$304,0),900)*10000000+IFERROR(MATCH(出库明细!D2339,基础资料!$E$5:$E$104,0),900)*10000+ROW()))</f>
      </c>
      <c r="F3339">
        <f>IF(AND(资金台帐!J342&lt;&gt;"",资金台帐!J342=客户对账单!$B$4,资金台帐!P342="应收",ISNUMBER(资金台帐!B342),资金台帐!B342&gt;=客户对账单!$G$4,资金台帐!B342&lt;=客户对账单!$I$4),资金台帐!B342+ROW()/100000,"")</f>
      </c>
      <c r="H3339">
        <f>IF(AND(资金台帐!K1842&lt;&gt;"",资金台帐!K1842=供应商对账单!$B$4,资金台帐!P1842="应付",ISNUMBER(资金台帐!B1842),资金台帐!B1842&gt;=供应商对账单!$G$4,资金台帐!B1842&lt;=供应商对账单!$I$4),资金台帐!B1842+ROW()/100000,"")</f>
      </c>
    </row>
    <row r="3340">
      <c r="A3340">
        <f>IF(OR(出库明细!C2340="",出库明细!D2340=""),"",IF(OR(COUNTIFS(存条明细!$C$4:$C$1003,出库明细!C2340,存条明细!$D$4:$D$1003,出库明细!D2340)&gt;0,COUNTIFS(出库明细!$C$4:C2340,出库明细!C2340,出库明细!$D$4:D2340,出库明细!D2340)&gt;1),"",IFERROR(MATCH(出库明细!C2340,总览汇总!$B$5:$B$304,0),900)*10000000+IFERROR(MATCH(出库明细!D2340,基础资料!$E$5:$E$104,0),900)*10000+ROW()))</f>
      </c>
      <c r="F3340">
        <f>IF(AND(资金台帐!J343&lt;&gt;"",资金台帐!J343=客户对账单!$B$4,资金台帐!P343="应收",ISNUMBER(资金台帐!B343),资金台帐!B343&gt;=客户对账单!$G$4,资金台帐!B343&lt;=客户对账单!$I$4),资金台帐!B343+ROW()/100000,"")</f>
      </c>
      <c r="H3340">
        <f>IF(AND(资金台帐!K1843&lt;&gt;"",资金台帐!K1843=供应商对账单!$B$4,资金台帐!P1843="应付",ISNUMBER(资金台帐!B1843),资金台帐!B1843&gt;=供应商对账单!$G$4,资金台帐!B1843&lt;=供应商对账单!$I$4),资金台帐!B1843+ROW()/100000,"")</f>
      </c>
    </row>
    <row r="3341">
      <c r="A3341">
        <f>IF(OR(出库明细!C2341="",出库明细!D2341=""),"",IF(OR(COUNTIFS(存条明细!$C$4:$C$1003,出库明细!C2341,存条明细!$D$4:$D$1003,出库明细!D2341)&gt;0,COUNTIFS(出库明细!$C$4:C2341,出库明细!C2341,出库明细!$D$4:D2341,出库明细!D2341)&gt;1),"",IFERROR(MATCH(出库明细!C2341,总览汇总!$B$5:$B$304,0),900)*10000000+IFERROR(MATCH(出库明细!D2341,基础资料!$E$5:$E$104,0),900)*10000+ROW()))</f>
      </c>
      <c r="F3341">
        <f>IF(AND(资金台帐!J344&lt;&gt;"",资金台帐!J344=客户对账单!$B$4,资金台帐!P344="应收",ISNUMBER(资金台帐!B344),资金台帐!B344&gt;=客户对账单!$G$4,资金台帐!B344&lt;=客户对账单!$I$4),资金台帐!B344+ROW()/100000,"")</f>
      </c>
      <c r="H3341">
        <f>IF(AND(资金台帐!K1844&lt;&gt;"",资金台帐!K1844=供应商对账单!$B$4,资金台帐!P1844="应付",ISNUMBER(资金台帐!B1844),资金台帐!B1844&gt;=供应商对账单!$G$4,资金台帐!B1844&lt;=供应商对账单!$I$4),资金台帐!B1844+ROW()/100000,"")</f>
      </c>
    </row>
    <row r="3342">
      <c r="A3342">
        <f>IF(OR(出库明细!C2342="",出库明细!D2342=""),"",IF(OR(COUNTIFS(存条明细!$C$4:$C$1003,出库明细!C2342,存条明细!$D$4:$D$1003,出库明细!D2342)&gt;0,COUNTIFS(出库明细!$C$4:C2342,出库明细!C2342,出库明细!$D$4:D2342,出库明细!D2342)&gt;1),"",IFERROR(MATCH(出库明细!C2342,总览汇总!$B$5:$B$304,0),900)*10000000+IFERROR(MATCH(出库明细!D2342,基础资料!$E$5:$E$104,0),900)*10000+ROW()))</f>
      </c>
      <c r="F3342">
        <f>IF(AND(资金台帐!J345&lt;&gt;"",资金台帐!J345=客户对账单!$B$4,资金台帐!P345="应收",ISNUMBER(资金台帐!B345),资金台帐!B345&gt;=客户对账单!$G$4,资金台帐!B345&lt;=客户对账单!$I$4),资金台帐!B345+ROW()/100000,"")</f>
      </c>
      <c r="H3342">
        <f>IF(AND(资金台帐!K1845&lt;&gt;"",资金台帐!K1845=供应商对账单!$B$4,资金台帐!P1845="应付",ISNUMBER(资金台帐!B1845),资金台帐!B1845&gt;=供应商对账单!$G$4,资金台帐!B1845&lt;=供应商对账单!$I$4),资金台帐!B1845+ROW()/100000,"")</f>
      </c>
    </row>
    <row r="3343">
      <c r="A3343">
        <f>IF(OR(出库明细!C2343="",出库明细!D2343=""),"",IF(OR(COUNTIFS(存条明细!$C$4:$C$1003,出库明细!C2343,存条明细!$D$4:$D$1003,出库明细!D2343)&gt;0,COUNTIFS(出库明细!$C$4:C2343,出库明细!C2343,出库明细!$D$4:D2343,出库明细!D2343)&gt;1),"",IFERROR(MATCH(出库明细!C2343,总览汇总!$B$5:$B$304,0),900)*10000000+IFERROR(MATCH(出库明细!D2343,基础资料!$E$5:$E$104,0),900)*10000+ROW()))</f>
      </c>
      <c r="F3343">
        <f>IF(AND(资金台帐!J346&lt;&gt;"",资金台帐!J346=客户对账单!$B$4,资金台帐!P346="应收",ISNUMBER(资金台帐!B346),资金台帐!B346&gt;=客户对账单!$G$4,资金台帐!B346&lt;=客户对账单!$I$4),资金台帐!B346+ROW()/100000,"")</f>
      </c>
      <c r="H3343">
        <f>IF(AND(资金台帐!K1846&lt;&gt;"",资金台帐!K1846=供应商对账单!$B$4,资金台帐!P1846="应付",ISNUMBER(资金台帐!B1846),资金台帐!B1846&gt;=供应商对账单!$G$4,资金台帐!B1846&lt;=供应商对账单!$I$4),资金台帐!B1846+ROW()/100000,"")</f>
      </c>
    </row>
    <row r="3344">
      <c r="A3344">
        <f>IF(OR(出库明细!C2344="",出库明细!D2344=""),"",IF(OR(COUNTIFS(存条明细!$C$4:$C$1003,出库明细!C2344,存条明细!$D$4:$D$1003,出库明细!D2344)&gt;0,COUNTIFS(出库明细!$C$4:C2344,出库明细!C2344,出库明细!$D$4:D2344,出库明细!D2344)&gt;1),"",IFERROR(MATCH(出库明细!C2344,总览汇总!$B$5:$B$304,0),900)*10000000+IFERROR(MATCH(出库明细!D2344,基础资料!$E$5:$E$104,0),900)*10000+ROW()))</f>
      </c>
      <c r="F3344">
        <f>IF(AND(资金台帐!J347&lt;&gt;"",资金台帐!J347=客户对账单!$B$4,资金台帐!P347="应收",ISNUMBER(资金台帐!B347),资金台帐!B347&gt;=客户对账单!$G$4,资金台帐!B347&lt;=客户对账单!$I$4),资金台帐!B347+ROW()/100000,"")</f>
      </c>
      <c r="H3344">
        <f>IF(AND(资金台帐!K1847&lt;&gt;"",资金台帐!K1847=供应商对账单!$B$4,资金台帐!P1847="应付",ISNUMBER(资金台帐!B1847),资金台帐!B1847&gt;=供应商对账单!$G$4,资金台帐!B1847&lt;=供应商对账单!$I$4),资金台帐!B1847+ROW()/100000,"")</f>
      </c>
    </row>
    <row r="3345">
      <c r="A3345">
        <f>IF(OR(出库明细!C2345="",出库明细!D2345=""),"",IF(OR(COUNTIFS(存条明细!$C$4:$C$1003,出库明细!C2345,存条明细!$D$4:$D$1003,出库明细!D2345)&gt;0,COUNTIFS(出库明细!$C$4:C2345,出库明细!C2345,出库明细!$D$4:D2345,出库明细!D2345)&gt;1),"",IFERROR(MATCH(出库明细!C2345,总览汇总!$B$5:$B$304,0),900)*10000000+IFERROR(MATCH(出库明细!D2345,基础资料!$E$5:$E$104,0),900)*10000+ROW()))</f>
      </c>
      <c r="F3345">
        <f>IF(AND(资金台帐!J348&lt;&gt;"",资金台帐!J348=客户对账单!$B$4,资金台帐!P348="应收",ISNUMBER(资金台帐!B348),资金台帐!B348&gt;=客户对账单!$G$4,资金台帐!B348&lt;=客户对账单!$I$4),资金台帐!B348+ROW()/100000,"")</f>
      </c>
      <c r="H3345">
        <f>IF(AND(资金台帐!K1848&lt;&gt;"",资金台帐!K1848=供应商对账单!$B$4,资金台帐!P1848="应付",ISNUMBER(资金台帐!B1848),资金台帐!B1848&gt;=供应商对账单!$G$4,资金台帐!B1848&lt;=供应商对账单!$I$4),资金台帐!B1848+ROW()/100000,"")</f>
      </c>
    </row>
    <row r="3346">
      <c r="A3346">
        <f>IF(OR(出库明细!C2346="",出库明细!D2346=""),"",IF(OR(COUNTIFS(存条明细!$C$4:$C$1003,出库明细!C2346,存条明细!$D$4:$D$1003,出库明细!D2346)&gt;0,COUNTIFS(出库明细!$C$4:C2346,出库明细!C2346,出库明细!$D$4:D2346,出库明细!D2346)&gt;1),"",IFERROR(MATCH(出库明细!C2346,总览汇总!$B$5:$B$304,0),900)*10000000+IFERROR(MATCH(出库明细!D2346,基础资料!$E$5:$E$104,0),900)*10000+ROW()))</f>
      </c>
      <c r="F3346">
        <f>IF(AND(资金台帐!J349&lt;&gt;"",资金台帐!J349=客户对账单!$B$4,资金台帐!P349="应收",ISNUMBER(资金台帐!B349),资金台帐!B349&gt;=客户对账单!$G$4,资金台帐!B349&lt;=客户对账单!$I$4),资金台帐!B349+ROW()/100000,"")</f>
      </c>
      <c r="H3346">
        <f>IF(AND(资金台帐!K1849&lt;&gt;"",资金台帐!K1849=供应商对账单!$B$4,资金台帐!P1849="应付",ISNUMBER(资金台帐!B1849),资金台帐!B1849&gt;=供应商对账单!$G$4,资金台帐!B1849&lt;=供应商对账单!$I$4),资金台帐!B1849+ROW()/100000,"")</f>
      </c>
    </row>
    <row r="3347">
      <c r="A3347">
        <f>IF(OR(出库明细!C2347="",出库明细!D2347=""),"",IF(OR(COUNTIFS(存条明细!$C$4:$C$1003,出库明细!C2347,存条明细!$D$4:$D$1003,出库明细!D2347)&gt;0,COUNTIFS(出库明细!$C$4:C2347,出库明细!C2347,出库明细!$D$4:D2347,出库明细!D2347)&gt;1),"",IFERROR(MATCH(出库明细!C2347,总览汇总!$B$5:$B$304,0),900)*10000000+IFERROR(MATCH(出库明细!D2347,基础资料!$E$5:$E$104,0),900)*10000+ROW()))</f>
      </c>
      <c r="F3347">
        <f>IF(AND(资金台帐!J350&lt;&gt;"",资金台帐!J350=客户对账单!$B$4,资金台帐!P350="应收",ISNUMBER(资金台帐!B350),资金台帐!B350&gt;=客户对账单!$G$4,资金台帐!B350&lt;=客户对账单!$I$4),资金台帐!B350+ROW()/100000,"")</f>
      </c>
      <c r="H3347">
        <f>IF(AND(资金台帐!K1850&lt;&gt;"",资金台帐!K1850=供应商对账单!$B$4,资金台帐!P1850="应付",ISNUMBER(资金台帐!B1850),资金台帐!B1850&gt;=供应商对账单!$G$4,资金台帐!B1850&lt;=供应商对账单!$I$4),资金台帐!B1850+ROW()/100000,"")</f>
      </c>
    </row>
    <row r="3348">
      <c r="A3348">
        <f>IF(OR(出库明细!C2348="",出库明细!D2348=""),"",IF(OR(COUNTIFS(存条明细!$C$4:$C$1003,出库明细!C2348,存条明细!$D$4:$D$1003,出库明细!D2348)&gt;0,COUNTIFS(出库明细!$C$4:C2348,出库明细!C2348,出库明细!$D$4:D2348,出库明细!D2348)&gt;1),"",IFERROR(MATCH(出库明细!C2348,总览汇总!$B$5:$B$304,0),900)*10000000+IFERROR(MATCH(出库明细!D2348,基础资料!$E$5:$E$104,0),900)*10000+ROW()))</f>
      </c>
      <c r="F3348">
        <f>IF(AND(资金台帐!J351&lt;&gt;"",资金台帐!J351=客户对账单!$B$4,资金台帐!P351="应收",ISNUMBER(资金台帐!B351),资金台帐!B351&gt;=客户对账单!$G$4,资金台帐!B351&lt;=客户对账单!$I$4),资金台帐!B351+ROW()/100000,"")</f>
      </c>
      <c r="H3348">
        <f>IF(AND(资金台帐!K1851&lt;&gt;"",资金台帐!K1851=供应商对账单!$B$4,资金台帐!P1851="应付",ISNUMBER(资金台帐!B1851),资金台帐!B1851&gt;=供应商对账单!$G$4,资金台帐!B1851&lt;=供应商对账单!$I$4),资金台帐!B1851+ROW()/100000,"")</f>
      </c>
    </row>
    <row r="3349">
      <c r="A3349">
        <f>IF(OR(出库明细!C2349="",出库明细!D2349=""),"",IF(OR(COUNTIFS(存条明细!$C$4:$C$1003,出库明细!C2349,存条明细!$D$4:$D$1003,出库明细!D2349)&gt;0,COUNTIFS(出库明细!$C$4:C2349,出库明细!C2349,出库明细!$D$4:D2349,出库明细!D2349)&gt;1),"",IFERROR(MATCH(出库明细!C2349,总览汇总!$B$5:$B$304,0),900)*10000000+IFERROR(MATCH(出库明细!D2349,基础资料!$E$5:$E$104,0),900)*10000+ROW()))</f>
      </c>
      <c r="F3349">
        <f>IF(AND(资金台帐!J352&lt;&gt;"",资金台帐!J352=客户对账单!$B$4,资金台帐!P352="应收",ISNUMBER(资金台帐!B352),资金台帐!B352&gt;=客户对账单!$G$4,资金台帐!B352&lt;=客户对账单!$I$4),资金台帐!B352+ROW()/100000,"")</f>
      </c>
      <c r="H3349">
        <f>IF(AND(资金台帐!K1852&lt;&gt;"",资金台帐!K1852=供应商对账单!$B$4,资金台帐!P1852="应付",ISNUMBER(资金台帐!B1852),资金台帐!B1852&gt;=供应商对账单!$G$4,资金台帐!B1852&lt;=供应商对账单!$I$4),资金台帐!B1852+ROW()/100000,"")</f>
      </c>
    </row>
    <row r="3350">
      <c r="A3350">
        <f>IF(OR(出库明细!C2350="",出库明细!D2350=""),"",IF(OR(COUNTIFS(存条明细!$C$4:$C$1003,出库明细!C2350,存条明细!$D$4:$D$1003,出库明细!D2350)&gt;0,COUNTIFS(出库明细!$C$4:C2350,出库明细!C2350,出库明细!$D$4:D2350,出库明细!D2350)&gt;1),"",IFERROR(MATCH(出库明细!C2350,总览汇总!$B$5:$B$304,0),900)*10000000+IFERROR(MATCH(出库明细!D2350,基础资料!$E$5:$E$104,0),900)*10000+ROW()))</f>
      </c>
      <c r="F3350">
        <f>IF(AND(资金台帐!J353&lt;&gt;"",资金台帐!J353=客户对账单!$B$4,资金台帐!P353="应收",ISNUMBER(资金台帐!B353),资金台帐!B353&gt;=客户对账单!$G$4,资金台帐!B353&lt;=客户对账单!$I$4),资金台帐!B353+ROW()/100000,"")</f>
      </c>
      <c r="H3350">
        <f>IF(AND(资金台帐!K1853&lt;&gt;"",资金台帐!K1853=供应商对账单!$B$4,资金台帐!P1853="应付",ISNUMBER(资金台帐!B1853),资金台帐!B1853&gt;=供应商对账单!$G$4,资金台帐!B1853&lt;=供应商对账单!$I$4),资金台帐!B1853+ROW()/100000,"")</f>
      </c>
    </row>
    <row r="3351">
      <c r="A3351">
        <f>IF(OR(出库明细!C2351="",出库明细!D2351=""),"",IF(OR(COUNTIFS(存条明细!$C$4:$C$1003,出库明细!C2351,存条明细!$D$4:$D$1003,出库明细!D2351)&gt;0,COUNTIFS(出库明细!$C$4:C2351,出库明细!C2351,出库明细!$D$4:D2351,出库明细!D2351)&gt;1),"",IFERROR(MATCH(出库明细!C2351,总览汇总!$B$5:$B$304,0),900)*10000000+IFERROR(MATCH(出库明细!D2351,基础资料!$E$5:$E$104,0),900)*10000+ROW()))</f>
      </c>
      <c r="F3351">
        <f>IF(AND(资金台帐!J354&lt;&gt;"",资金台帐!J354=客户对账单!$B$4,资金台帐!P354="应收",ISNUMBER(资金台帐!B354),资金台帐!B354&gt;=客户对账单!$G$4,资金台帐!B354&lt;=客户对账单!$I$4),资金台帐!B354+ROW()/100000,"")</f>
      </c>
      <c r="H3351">
        <f>IF(AND(资金台帐!K1854&lt;&gt;"",资金台帐!K1854=供应商对账单!$B$4,资金台帐!P1854="应付",ISNUMBER(资金台帐!B1854),资金台帐!B1854&gt;=供应商对账单!$G$4,资金台帐!B1854&lt;=供应商对账单!$I$4),资金台帐!B1854+ROW()/100000,"")</f>
      </c>
    </row>
    <row r="3352">
      <c r="A3352">
        <f>IF(OR(出库明细!C2352="",出库明细!D2352=""),"",IF(OR(COUNTIFS(存条明细!$C$4:$C$1003,出库明细!C2352,存条明细!$D$4:$D$1003,出库明细!D2352)&gt;0,COUNTIFS(出库明细!$C$4:C2352,出库明细!C2352,出库明细!$D$4:D2352,出库明细!D2352)&gt;1),"",IFERROR(MATCH(出库明细!C2352,总览汇总!$B$5:$B$304,0),900)*10000000+IFERROR(MATCH(出库明细!D2352,基础资料!$E$5:$E$104,0),900)*10000+ROW()))</f>
      </c>
      <c r="F3352">
        <f>IF(AND(资金台帐!J355&lt;&gt;"",资金台帐!J355=客户对账单!$B$4,资金台帐!P355="应收",ISNUMBER(资金台帐!B355),资金台帐!B355&gt;=客户对账单!$G$4,资金台帐!B355&lt;=客户对账单!$I$4),资金台帐!B355+ROW()/100000,"")</f>
      </c>
      <c r="H3352">
        <f>IF(AND(资金台帐!K1855&lt;&gt;"",资金台帐!K1855=供应商对账单!$B$4,资金台帐!P1855="应付",ISNUMBER(资金台帐!B1855),资金台帐!B1855&gt;=供应商对账单!$G$4,资金台帐!B1855&lt;=供应商对账单!$I$4),资金台帐!B1855+ROW()/100000,"")</f>
      </c>
    </row>
    <row r="3353">
      <c r="A3353">
        <f>IF(OR(出库明细!C2353="",出库明细!D2353=""),"",IF(OR(COUNTIFS(存条明细!$C$4:$C$1003,出库明细!C2353,存条明细!$D$4:$D$1003,出库明细!D2353)&gt;0,COUNTIFS(出库明细!$C$4:C2353,出库明细!C2353,出库明细!$D$4:D2353,出库明细!D2353)&gt;1),"",IFERROR(MATCH(出库明细!C2353,总览汇总!$B$5:$B$304,0),900)*10000000+IFERROR(MATCH(出库明细!D2353,基础资料!$E$5:$E$104,0),900)*10000+ROW()))</f>
      </c>
      <c r="F3353">
        <f>IF(AND(资金台帐!J356&lt;&gt;"",资金台帐!J356=客户对账单!$B$4,资金台帐!P356="应收",ISNUMBER(资金台帐!B356),资金台帐!B356&gt;=客户对账单!$G$4,资金台帐!B356&lt;=客户对账单!$I$4),资金台帐!B356+ROW()/100000,"")</f>
      </c>
      <c r="H3353">
        <f>IF(AND(资金台帐!K1856&lt;&gt;"",资金台帐!K1856=供应商对账单!$B$4,资金台帐!P1856="应付",ISNUMBER(资金台帐!B1856),资金台帐!B1856&gt;=供应商对账单!$G$4,资金台帐!B1856&lt;=供应商对账单!$I$4),资金台帐!B1856+ROW()/100000,"")</f>
      </c>
    </row>
    <row r="3354">
      <c r="A3354">
        <f>IF(OR(出库明细!C2354="",出库明细!D2354=""),"",IF(OR(COUNTIFS(存条明细!$C$4:$C$1003,出库明细!C2354,存条明细!$D$4:$D$1003,出库明细!D2354)&gt;0,COUNTIFS(出库明细!$C$4:C2354,出库明细!C2354,出库明细!$D$4:D2354,出库明细!D2354)&gt;1),"",IFERROR(MATCH(出库明细!C2354,总览汇总!$B$5:$B$304,0),900)*10000000+IFERROR(MATCH(出库明细!D2354,基础资料!$E$5:$E$104,0),900)*10000+ROW()))</f>
      </c>
      <c r="F3354">
        <f>IF(AND(资金台帐!J357&lt;&gt;"",资金台帐!J357=客户对账单!$B$4,资金台帐!P357="应收",ISNUMBER(资金台帐!B357),资金台帐!B357&gt;=客户对账单!$G$4,资金台帐!B357&lt;=客户对账单!$I$4),资金台帐!B357+ROW()/100000,"")</f>
      </c>
      <c r="H3354">
        <f>IF(AND(资金台帐!K1857&lt;&gt;"",资金台帐!K1857=供应商对账单!$B$4,资金台帐!P1857="应付",ISNUMBER(资金台帐!B1857),资金台帐!B1857&gt;=供应商对账单!$G$4,资金台帐!B1857&lt;=供应商对账单!$I$4),资金台帐!B1857+ROW()/100000,"")</f>
      </c>
    </row>
    <row r="3355">
      <c r="A3355">
        <f>IF(OR(出库明细!C2355="",出库明细!D2355=""),"",IF(OR(COUNTIFS(存条明细!$C$4:$C$1003,出库明细!C2355,存条明细!$D$4:$D$1003,出库明细!D2355)&gt;0,COUNTIFS(出库明细!$C$4:C2355,出库明细!C2355,出库明细!$D$4:D2355,出库明细!D2355)&gt;1),"",IFERROR(MATCH(出库明细!C2355,总览汇总!$B$5:$B$304,0),900)*10000000+IFERROR(MATCH(出库明细!D2355,基础资料!$E$5:$E$104,0),900)*10000+ROW()))</f>
      </c>
      <c r="F3355">
        <f>IF(AND(资金台帐!J358&lt;&gt;"",资金台帐!J358=客户对账单!$B$4,资金台帐!P358="应收",ISNUMBER(资金台帐!B358),资金台帐!B358&gt;=客户对账单!$G$4,资金台帐!B358&lt;=客户对账单!$I$4),资金台帐!B358+ROW()/100000,"")</f>
      </c>
      <c r="H3355">
        <f>IF(AND(资金台帐!K1858&lt;&gt;"",资金台帐!K1858=供应商对账单!$B$4,资金台帐!P1858="应付",ISNUMBER(资金台帐!B1858),资金台帐!B1858&gt;=供应商对账单!$G$4,资金台帐!B1858&lt;=供应商对账单!$I$4),资金台帐!B1858+ROW()/100000,"")</f>
      </c>
    </row>
    <row r="3356">
      <c r="A3356">
        <f>IF(OR(出库明细!C2356="",出库明细!D2356=""),"",IF(OR(COUNTIFS(存条明细!$C$4:$C$1003,出库明细!C2356,存条明细!$D$4:$D$1003,出库明细!D2356)&gt;0,COUNTIFS(出库明细!$C$4:C2356,出库明细!C2356,出库明细!$D$4:D2356,出库明细!D2356)&gt;1),"",IFERROR(MATCH(出库明细!C2356,总览汇总!$B$5:$B$304,0),900)*10000000+IFERROR(MATCH(出库明细!D2356,基础资料!$E$5:$E$104,0),900)*10000+ROW()))</f>
      </c>
      <c r="F3356">
        <f>IF(AND(资金台帐!J359&lt;&gt;"",资金台帐!J359=客户对账单!$B$4,资金台帐!P359="应收",ISNUMBER(资金台帐!B359),资金台帐!B359&gt;=客户对账单!$G$4,资金台帐!B359&lt;=客户对账单!$I$4),资金台帐!B359+ROW()/100000,"")</f>
      </c>
      <c r="H3356">
        <f>IF(AND(资金台帐!K1859&lt;&gt;"",资金台帐!K1859=供应商对账单!$B$4,资金台帐!P1859="应付",ISNUMBER(资金台帐!B1859),资金台帐!B1859&gt;=供应商对账单!$G$4,资金台帐!B1859&lt;=供应商对账单!$I$4),资金台帐!B1859+ROW()/100000,"")</f>
      </c>
    </row>
    <row r="3357">
      <c r="A3357">
        <f>IF(OR(出库明细!C2357="",出库明细!D2357=""),"",IF(OR(COUNTIFS(存条明细!$C$4:$C$1003,出库明细!C2357,存条明细!$D$4:$D$1003,出库明细!D2357)&gt;0,COUNTIFS(出库明细!$C$4:C2357,出库明细!C2357,出库明细!$D$4:D2357,出库明细!D2357)&gt;1),"",IFERROR(MATCH(出库明细!C2357,总览汇总!$B$5:$B$304,0),900)*10000000+IFERROR(MATCH(出库明细!D2357,基础资料!$E$5:$E$104,0),900)*10000+ROW()))</f>
      </c>
      <c r="F3357">
        <f>IF(AND(资金台帐!J360&lt;&gt;"",资金台帐!J360=客户对账单!$B$4,资金台帐!P360="应收",ISNUMBER(资金台帐!B360),资金台帐!B360&gt;=客户对账单!$G$4,资金台帐!B360&lt;=客户对账单!$I$4),资金台帐!B360+ROW()/100000,"")</f>
      </c>
      <c r="H3357">
        <f>IF(AND(资金台帐!K1860&lt;&gt;"",资金台帐!K1860=供应商对账单!$B$4,资金台帐!P1860="应付",ISNUMBER(资金台帐!B1860),资金台帐!B1860&gt;=供应商对账单!$G$4,资金台帐!B1860&lt;=供应商对账单!$I$4),资金台帐!B1860+ROW()/100000,"")</f>
      </c>
    </row>
    <row r="3358">
      <c r="A3358">
        <f>IF(OR(出库明细!C2358="",出库明细!D2358=""),"",IF(OR(COUNTIFS(存条明细!$C$4:$C$1003,出库明细!C2358,存条明细!$D$4:$D$1003,出库明细!D2358)&gt;0,COUNTIFS(出库明细!$C$4:C2358,出库明细!C2358,出库明细!$D$4:D2358,出库明细!D2358)&gt;1),"",IFERROR(MATCH(出库明细!C2358,总览汇总!$B$5:$B$304,0),900)*10000000+IFERROR(MATCH(出库明细!D2358,基础资料!$E$5:$E$104,0),900)*10000+ROW()))</f>
      </c>
      <c r="F3358">
        <f>IF(AND(资金台帐!J361&lt;&gt;"",资金台帐!J361=客户对账单!$B$4,资金台帐!P361="应收",ISNUMBER(资金台帐!B361),资金台帐!B361&gt;=客户对账单!$G$4,资金台帐!B361&lt;=客户对账单!$I$4),资金台帐!B361+ROW()/100000,"")</f>
      </c>
      <c r="H3358">
        <f>IF(AND(资金台帐!K1861&lt;&gt;"",资金台帐!K1861=供应商对账单!$B$4,资金台帐!P1861="应付",ISNUMBER(资金台帐!B1861),资金台帐!B1861&gt;=供应商对账单!$G$4,资金台帐!B1861&lt;=供应商对账单!$I$4),资金台帐!B1861+ROW()/100000,"")</f>
      </c>
    </row>
    <row r="3359">
      <c r="A3359">
        <f>IF(OR(出库明细!C2359="",出库明细!D2359=""),"",IF(OR(COUNTIFS(存条明细!$C$4:$C$1003,出库明细!C2359,存条明细!$D$4:$D$1003,出库明细!D2359)&gt;0,COUNTIFS(出库明细!$C$4:C2359,出库明细!C2359,出库明细!$D$4:D2359,出库明细!D2359)&gt;1),"",IFERROR(MATCH(出库明细!C2359,总览汇总!$B$5:$B$304,0),900)*10000000+IFERROR(MATCH(出库明细!D2359,基础资料!$E$5:$E$104,0),900)*10000+ROW()))</f>
      </c>
      <c r="F3359">
        <f>IF(AND(资金台帐!J362&lt;&gt;"",资金台帐!J362=客户对账单!$B$4,资金台帐!P362="应收",ISNUMBER(资金台帐!B362),资金台帐!B362&gt;=客户对账单!$G$4,资金台帐!B362&lt;=客户对账单!$I$4),资金台帐!B362+ROW()/100000,"")</f>
      </c>
      <c r="H3359">
        <f>IF(AND(资金台帐!K1862&lt;&gt;"",资金台帐!K1862=供应商对账单!$B$4,资金台帐!P1862="应付",ISNUMBER(资金台帐!B1862),资金台帐!B1862&gt;=供应商对账单!$G$4,资金台帐!B1862&lt;=供应商对账单!$I$4),资金台帐!B1862+ROW()/100000,"")</f>
      </c>
    </row>
    <row r="3360">
      <c r="A3360">
        <f>IF(OR(出库明细!C2360="",出库明细!D2360=""),"",IF(OR(COUNTIFS(存条明细!$C$4:$C$1003,出库明细!C2360,存条明细!$D$4:$D$1003,出库明细!D2360)&gt;0,COUNTIFS(出库明细!$C$4:C2360,出库明细!C2360,出库明细!$D$4:D2360,出库明细!D2360)&gt;1),"",IFERROR(MATCH(出库明细!C2360,总览汇总!$B$5:$B$304,0),900)*10000000+IFERROR(MATCH(出库明细!D2360,基础资料!$E$5:$E$104,0),900)*10000+ROW()))</f>
      </c>
      <c r="F3360">
        <f>IF(AND(资金台帐!J363&lt;&gt;"",资金台帐!J363=客户对账单!$B$4,资金台帐!P363="应收",ISNUMBER(资金台帐!B363),资金台帐!B363&gt;=客户对账单!$G$4,资金台帐!B363&lt;=客户对账单!$I$4),资金台帐!B363+ROW()/100000,"")</f>
      </c>
      <c r="H3360">
        <f>IF(AND(资金台帐!K1863&lt;&gt;"",资金台帐!K1863=供应商对账单!$B$4,资金台帐!P1863="应付",ISNUMBER(资金台帐!B1863),资金台帐!B1863&gt;=供应商对账单!$G$4,资金台帐!B1863&lt;=供应商对账单!$I$4),资金台帐!B1863+ROW()/100000,"")</f>
      </c>
    </row>
    <row r="3361">
      <c r="A3361">
        <f>IF(OR(出库明细!C2361="",出库明细!D2361=""),"",IF(OR(COUNTIFS(存条明细!$C$4:$C$1003,出库明细!C2361,存条明细!$D$4:$D$1003,出库明细!D2361)&gt;0,COUNTIFS(出库明细!$C$4:C2361,出库明细!C2361,出库明细!$D$4:D2361,出库明细!D2361)&gt;1),"",IFERROR(MATCH(出库明细!C2361,总览汇总!$B$5:$B$304,0),900)*10000000+IFERROR(MATCH(出库明细!D2361,基础资料!$E$5:$E$104,0),900)*10000+ROW()))</f>
      </c>
      <c r="F3361">
        <f>IF(AND(资金台帐!J364&lt;&gt;"",资金台帐!J364=客户对账单!$B$4,资金台帐!P364="应收",ISNUMBER(资金台帐!B364),资金台帐!B364&gt;=客户对账单!$G$4,资金台帐!B364&lt;=客户对账单!$I$4),资金台帐!B364+ROW()/100000,"")</f>
      </c>
      <c r="H3361">
        <f>IF(AND(资金台帐!K1864&lt;&gt;"",资金台帐!K1864=供应商对账单!$B$4,资金台帐!P1864="应付",ISNUMBER(资金台帐!B1864),资金台帐!B1864&gt;=供应商对账单!$G$4,资金台帐!B1864&lt;=供应商对账单!$I$4),资金台帐!B1864+ROW()/100000,"")</f>
      </c>
    </row>
    <row r="3362">
      <c r="A3362">
        <f>IF(OR(出库明细!C2362="",出库明细!D2362=""),"",IF(OR(COUNTIFS(存条明细!$C$4:$C$1003,出库明细!C2362,存条明细!$D$4:$D$1003,出库明细!D2362)&gt;0,COUNTIFS(出库明细!$C$4:C2362,出库明细!C2362,出库明细!$D$4:D2362,出库明细!D2362)&gt;1),"",IFERROR(MATCH(出库明细!C2362,总览汇总!$B$5:$B$304,0),900)*10000000+IFERROR(MATCH(出库明细!D2362,基础资料!$E$5:$E$104,0),900)*10000+ROW()))</f>
      </c>
      <c r="F3362">
        <f>IF(AND(资金台帐!J365&lt;&gt;"",资金台帐!J365=客户对账单!$B$4,资金台帐!P365="应收",ISNUMBER(资金台帐!B365),资金台帐!B365&gt;=客户对账单!$G$4,资金台帐!B365&lt;=客户对账单!$I$4),资金台帐!B365+ROW()/100000,"")</f>
      </c>
      <c r="H3362">
        <f>IF(AND(资金台帐!K1865&lt;&gt;"",资金台帐!K1865=供应商对账单!$B$4,资金台帐!P1865="应付",ISNUMBER(资金台帐!B1865),资金台帐!B1865&gt;=供应商对账单!$G$4,资金台帐!B1865&lt;=供应商对账单!$I$4),资金台帐!B1865+ROW()/100000,"")</f>
      </c>
    </row>
    <row r="3363">
      <c r="A3363">
        <f>IF(OR(出库明细!C2363="",出库明细!D2363=""),"",IF(OR(COUNTIFS(存条明细!$C$4:$C$1003,出库明细!C2363,存条明细!$D$4:$D$1003,出库明细!D2363)&gt;0,COUNTIFS(出库明细!$C$4:C2363,出库明细!C2363,出库明细!$D$4:D2363,出库明细!D2363)&gt;1),"",IFERROR(MATCH(出库明细!C2363,总览汇总!$B$5:$B$304,0),900)*10000000+IFERROR(MATCH(出库明细!D2363,基础资料!$E$5:$E$104,0),900)*10000+ROW()))</f>
      </c>
      <c r="F3363">
        <f>IF(AND(资金台帐!J366&lt;&gt;"",资金台帐!J366=客户对账单!$B$4,资金台帐!P366="应收",ISNUMBER(资金台帐!B366),资金台帐!B366&gt;=客户对账单!$G$4,资金台帐!B366&lt;=客户对账单!$I$4),资金台帐!B366+ROW()/100000,"")</f>
      </c>
      <c r="H3363">
        <f>IF(AND(资金台帐!K1866&lt;&gt;"",资金台帐!K1866=供应商对账单!$B$4,资金台帐!P1866="应付",ISNUMBER(资金台帐!B1866),资金台帐!B1866&gt;=供应商对账单!$G$4,资金台帐!B1866&lt;=供应商对账单!$I$4),资金台帐!B1866+ROW()/100000,"")</f>
      </c>
    </row>
    <row r="3364">
      <c r="A3364">
        <f>IF(OR(出库明细!C2364="",出库明细!D2364=""),"",IF(OR(COUNTIFS(存条明细!$C$4:$C$1003,出库明细!C2364,存条明细!$D$4:$D$1003,出库明细!D2364)&gt;0,COUNTIFS(出库明细!$C$4:C2364,出库明细!C2364,出库明细!$D$4:D2364,出库明细!D2364)&gt;1),"",IFERROR(MATCH(出库明细!C2364,总览汇总!$B$5:$B$304,0),900)*10000000+IFERROR(MATCH(出库明细!D2364,基础资料!$E$5:$E$104,0),900)*10000+ROW()))</f>
      </c>
      <c r="F3364">
        <f>IF(AND(资金台帐!J367&lt;&gt;"",资金台帐!J367=客户对账单!$B$4,资金台帐!P367="应收",ISNUMBER(资金台帐!B367),资金台帐!B367&gt;=客户对账单!$G$4,资金台帐!B367&lt;=客户对账单!$I$4),资金台帐!B367+ROW()/100000,"")</f>
      </c>
      <c r="H3364">
        <f>IF(AND(资金台帐!K1867&lt;&gt;"",资金台帐!K1867=供应商对账单!$B$4,资金台帐!P1867="应付",ISNUMBER(资金台帐!B1867),资金台帐!B1867&gt;=供应商对账单!$G$4,资金台帐!B1867&lt;=供应商对账单!$I$4),资金台帐!B1867+ROW()/100000,"")</f>
      </c>
    </row>
    <row r="3365">
      <c r="A3365">
        <f>IF(OR(出库明细!C2365="",出库明细!D2365=""),"",IF(OR(COUNTIFS(存条明细!$C$4:$C$1003,出库明细!C2365,存条明细!$D$4:$D$1003,出库明细!D2365)&gt;0,COUNTIFS(出库明细!$C$4:C2365,出库明细!C2365,出库明细!$D$4:D2365,出库明细!D2365)&gt;1),"",IFERROR(MATCH(出库明细!C2365,总览汇总!$B$5:$B$304,0),900)*10000000+IFERROR(MATCH(出库明细!D2365,基础资料!$E$5:$E$104,0),900)*10000+ROW()))</f>
      </c>
      <c r="F3365">
        <f>IF(AND(资金台帐!J368&lt;&gt;"",资金台帐!J368=客户对账单!$B$4,资金台帐!P368="应收",ISNUMBER(资金台帐!B368),资金台帐!B368&gt;=客户对账单!$G$4,资金台帐!B368&lt;=客户对账单!$I$4),资金台帐!B368+ROW()/100000,"")</f>
      </c>
      <c r="H3365">
        <f>IF(AND(资金台帐!K1868&lt;&gt;"",资金台帐!K1868=供应商对账单!$B$4,资金台帐!P1868="应付",ISNUMBER(资金台帐!B1868),资金台帐!B1868&gt;=供应商对账单!$G$4,资金台帐!B1868&lt;=供应商对账单!$I$4),资金台帐!B1868+ROW()/100000,"")</f>
      </c>
    </row>
    <row r="3366">
      <c r="A3366">
        <f>IF(OR(出库明细!C2366="",出库明细!D2366=""),"",IF(OR(COUNTIFS(存条明细!$C$4:$C$1003,出库明细!C2366,存条明细!$D$4:$D$1003,出库明细!D2366)&gt;0,COUNTIFS(出库明细!$C$4:C2366,出库明细!C2366,出库明细!$D$4:D2366,出库明细!D2366)&gt;1),"",IFERROR(MATCH(出库明细!C2366,总览汇总!$B$5:$B$304,0),900)*10000000+IFERROR(MATCH(出库明细!D2366,基础资料!$E$5:$E$104,0),900)*10000+ROW()))</f>
      </c>
      <c r="F3366">
        <f>IF(AND(资金台帐!J369&lt;&gt;"",资金台帐!J369=客户对账单!$B$4,资金台帐!P369="应收",ISNUMBER(资金台帐!B369),资金台帐!B369&gt;=客户对账单!$G$4,资金台帐!B369&lt;=客户对账单!$I$4),资金台帐!B369+ROW()/100000,"")</f>
      </c>
      <c r="H3366">
        <f>IF(AND(资金台帐!K1869&lt;&gt;"",资金台帐!K1869=供应商对账单!$B$4,资金台帐!P1869="应付",ISNUMBER(资金台帐!B1869),资金台帐!B1869&gt;=供应商对账单!$G$4,资金台帐!B1869&lt;=供应商对账单!$I$4),资金台帐!B1869+ROW()/100000,"")</f>
      </c>
    </row>
    <row r="3367">
      <c r="A3367">
        <f>IF(OR(出库明细!C2367="",出库明细!D2367=""),"",IF(OR(COUNTIFS(存条明细!$C$4:$C$1003,出库明细!C2367,存条明细!$D$4:$D$1003,出库明细!D2367)&gt;0,COUNTIFS(出库明细!$C$4:C2367,出库明细!C2367,出库明细!$D$4:D2367,出库明细!D2367)&gt;1),"",IFERROR(MATCH(出库明细!C2367,总览汇总!$B$5:$B$304,0),900)*10000000+IFERROR(MATCH(出库明细!D2367,基础资料!$E$5:$E$104,0),900)*10000+ROW()))</f>
      </c>
      <c r="F3367">
        <f>IF(AND(资金台帐!J370&lt;&gt;"",资金台帐!J370=客户对账单!$B$4,资金台帐!P370="应收",ISNUMBER(资金台帐!B370),资金台帐!B370&gt;=客户对账单!$G$4,资金台帐!B370&lt;=客户对账单!$I$4),资金台帐!B370+ROW()/100000,"")</f>
      </c>
      <c r="H3367">
        <f>IF(AND(资金台帐!K1870&lt;&gt;"",资金台帐!K1870=供应商对账单!$B$4,资金台帐!P1870="应付",ISNUMBER(资金台帐!B1870),资金台帐!B1870&gt;=供应商对账单!$G$4,资金台帐!B1870&lt;=供应商对账单!$I$4),资金台帐!B1870+ROW()/100000,"")</f>
      </c>
    </row>
    <row r="3368">
      <c r="A3368">
        <f>IF(OR(出库明细!C2368="",出库明细!D2368=""),"",IF(OR(COUNTIFS(存条明细!$C$4:$C$1003,出库明细!C2368,存条明细!$D$4:$D$1003,出库明细!D2368)&gt;0,COUNTIFS(出库明细!$C$4:C2368,出库明细!C2368,出库明细!$D$4:D2368,出库明细!D2368)&gt;1),"",IFERROR(MATCH(出库明细!C2368,总览汇总!$B$5:$B$304,0),900)*10000000+IFERROR(MATCH(出库明细!D2368,基础资料!$E$5:$E$104,0),900)*10000+ROW()))</f>
      </c>
      <c r="F3368">
        <f>IF(AND(资金台帐!J371&lt;&gt;"",资金台帐!J371=客户对账单!$B$4,资金台帐!P371="应收",ISNUMBER(资金台帐!B371),资金台帐!B371&gt;=客户对账单!$G$4,资金台帐!B371&lt;=客户对账单!$I$4),资金台帐!B371+ROW()/100000,"")</f>
      </c>
      <c r="H3368">
        <f>IF(AND(资金台帐!K1871&lt;&gt;"",资金台帐!K1871=供应商对账单!$B$4,资金台帐!P1871="应付",ISNUMBER(资金台帐!B1871),资金台帐!B1871&gt;=供应商对账单!$G$4,资金台帐!B1871&lt;=供应商对账单!$I$4),资金台帐!B1871+ROW()/100000,"")</f>
      </c>
    </row>
    <row r="3369">
      <c r="A3369">
        <f>IF(OR(出库明细!C2369="",出库明细!D2369=""),"",IF(OR(COUNTIFS(存条明细!$C$4:$C$1003,出库明细!C2369,存条明细!$D$4:$D$1003,出库明细!D2369)&gt;0,COUNTIFS(出库明细!$C$4:C2369,出库明细!C2369,出库明细!$D$4:D2369,出库明细!D2369)&gt;1),"",IFERROR(MATCH(出库明细!C2369,总览汇总!$B$5:$B$304,0),900)*10000000+IFERROR(MATCH(出库明细!D2369,基础资料!$E$5:$E$104,0),900)*10000+ROW()))</f>
      </c>
      <c r="F3369">
        <f>IF(AND(资金台帐!J372&lt;&gt;"",资金台帐!J372=客户对账单!$B$4,资金台帐!P372="应收",ISNUMBER(资金台帐!B372),资金台帐!B372&gt;=客户对账单!$G$4,资金台帐!B372&lt;=客户对账单!$I$4),资金台帐!B372+ROW()/100000,"")</f>
      </c>
      <c r="H3369">
        <f>IF(AND(资金台帐!K1872&lt;&gt;"",资金台帐!K1872=供应商对账单!$B$4,资金台帐!P1872="应付",ISNUMBER(资金台帐!B1872),资金台帐!B1872&gt;=供应商对账单!$G$4,资金台帐!B1872&lt;=供应商对账单!$I$4),资金台帐!B1872+ROW()/100000,"")</f>
      </c>
    </row>
    <row r="3370">
      <c r="A3370">
        <f>IF(OR(出库明细!C2370="",出库明细!D2370=""),"",IF(OR(COUNTIFS(存条明细!$C$4:$C$1003,出库明细!C2370,存条明细!$D$4:$D$1003,出库明细!D2370)&gt;0,COUNTIFS(出库明细!$C$4:C2370,出库明细!C2370,出库明细!$D$4:D2370,出库明细!D2370)&gt;1),"",IFERROR(MATCH(出库明细!C2370,总览汇总!$B$5:$B$304,0),900)*10000000+IFERROR(MATCH(出库明细!D2370,基础资料!$E$5:$E$104,0),900)*10000+ROW()))</f>
      </c>
      <c r="F3370">
        <f>IF(AND(资金台帐!J373&lt;&gt;"",资金台帐!J373=客户对账单!$B$4,资金台帐!P373="应收",ISNUMBER(资金台帐!B373),资金台帐!B373&gt;=客户对账单!$G$4,资金台帐!B373&lt;=客户对账单!$I$4),资金台帐!B373+ROW()/100000,"")</f>
      </c>
      <c r="H3370">
        <f>IF(AND(资金台帐!K1873&lt;&gt;"",资金台帐!K1873=供应商对账单!$B$4,资金台帐!P1873="应付",ISNUMBER(资金台帐!B1873),资金台帐!B1873&gt;=供应商对账单!$G$4,资金台帐!B1873&lt;=供应商对账单!$I$4),资金台帐!B1873+ROW()/100000,"")</f>
      </c>
    </row>
    <row r="3371">
      <c r="A3371">
        <f>IF(OR(出库明细!C2371="",出库明细!D2371=""),"",IF(OR(COUNTIFS(存条明细!$C$4:$C$1003,出库明细!C2371,存条明细!$D$4:$D$1003,出库明细!D2371)&gt;0,COUNTIFS(出库明细!$C$4:C2371,出库明细!C2371,出库明细!$D$4:D2371,出库明细!D2371)&gt;1),"",IFERROR(MATCH(出库明细!C2371,总览汇总!$B$5:$B$304,0),900)*10000000+IFERROR(MATCH(出库明细!D2371,基础资料!$E$5:$E$104,0),900)*10000+ROW()))</f>
      </c>
      <c r="F3371">
        <f>IF(AND(资金台帐!J374&lt;&gt;"",资金台帐!J374=客户对账单!$B$4,资金台帐!P374="应收",ISNUMBER(资金台帐!B374),资金台帐!B374&gt;=客户对账单!$G$4,资金台帐!B374&lt;=客户对账单!$I$4),资金台帐!B374+ROW()/100000,"")</f>
      </c>
      <c r="H3371">
        <f>IF(AND(资金台帐!K1874&lt;&gt;"",资金台帐!K1874=供应商对账单!$B$4,资金台帐!P1874="应付",ISNUMBER(资金台帐!B1874),资金台帐!B1874&gt;=供应商对账单!$G$4,资金台帐!B1874&lt;=供应商对账单!$I$4),资金台帐!B1874+ROW()/100000,"")</f>
      </c>
    </row>
    <row r="3372">
      <c r="A3372">
        <f>IF(OR(出库明细!C2372="",出库明细!D2372=""),"",IF(OR(COUNTIFS(存条明细!$C$4:$C$1003,出库明细!C2372,存条明细!$D$4:$D$1003,出库明细!D2372)&gt;0,COUNTIFS(出库明细!$C$4:C2372,出库明细!C2372,出库明细!$D$4:D2372,出库明细!D2372)&gt;1),"",IFERROR(MATCH(出库明细!C2372,总览汇总!$B$5:$B$304,0),900)*10000000+IFERROR(MATCH(出库明细!D2372,基础资料!$E$5:$E$104,0),900)*10000+ROW()))</f>
      </c>
      <c r="F3372">
        <f>IF(AND(资金台帐!J375&lt;&gt;"",资金台帐!J375=客户对账单!$B$4,资金台帐!P375="应收",ISNUMBER(资金台帐!B375),资金台帐!B375&gt;=客户对账单!$G$4,资金台帐!B375&lt;=客户对账单!$I$4),资金台帐!B375+ROW()/100000,"")</f>
      </c>
      <c r="H3372">
        <f>IF(AND(资金台帐!K1875&lt;&gt;"",资金台帐!K1875=供应商对账单!$B$4,资金台帐!P1875="应付",ISNUMBER(资金台帐!B1875),资金台帐!B1875&gt;=供应商对账单!$G$4,资金台帐!B1875&lt;=供应商对账单!$I$4),资金台帐!B1875+ROW()/100000,"")</f>
      </c>
    </row>
    <row r="3373">
      <c r="A3373">
        <f>IF(OR(出库明细!C2373="",出库明细!D2373=""),"",IF(OR(COUNTIFS(存条明细!$C$4:$C$1003,出库明细!C2373,存条明细!$D$4:$D$1003,出库明细!D2373)&gt;0,COUNTIFS(出库明细!$C$4:C2373,出库明细!C2373,出库明细!$D$4:D2373,出库明细!D2373)&gt;1),"",IFERROR(MATCH(出库明细!C2373,总览汇总!$B$5:$B$304,0),900)*10000000+IFERROR(MATCH(出库明细!D2373,基础资料!$E$5:$E$104,0),900)*10000+ROW()))</f>
      </c>
      <c r="F3373">
        <f>IF(AND(资金台帐!J376&lt;&gt;"",资金台帐!J376=客户对账单!$B$4,资金台帐!P376="应收",ISNUMBER(资金台帐!B376),资金台帐!B376&gt;=客户对账单!$G$4,资金台帐!B376&lt;=客户对账单!$I$4),资金台帐!B376+ROW()/100000,"")</f>
      </c>
      <c r="H3373">
        <f>IF(AND(资金台帐!K1876&lt;&gt;"",资金台帐!K1876=供应商对账单!$B$4,资金台帐!P1876="应付",ISNUMBER(资金台帐!B1876),资金台帐!B1876&gt;=供应商对账单!$G$4,资金台帐!B1876&lt;=供应商对账单!$I$4),资金台帐!B1876+ROW()/100000,"")</f>
      </c>
    </row>
    <row r="3374">
      <c r="A3374">
        <f>IF(OR(出库明细!C2374="",出库明细!D2374=""),"",IF(OR(COUNTIFS(存条明细!$C$4:$C$1003,出库明细!C2374,存条明细!$D$4:$D$1003,出库明细!D2374)&gt;0,COUNTIFS(出库明细!$C$4:C2374,出库明细!C2374,出库明细!$D$4:D2374,出库明细!D2374)&gt;1),"",IFERROR(MATCH(出库明细!C2374,总览汇总!$B$5:$B$304,0),900)*10000000+IFERROR(MATCH(出库明细!D2374,基础资料!$E$5:$E$104,0),900)*10000+ROW()))</f>
      </c>
      <c r="F3374">
        <f>IF(AND(资金台帐!J377&lt;&gt;"",资金台帐!J377=客户对账单!$B$4,资金台帐!P377="应收",ISNUMBER(资金台帐!B377),资金台帐!B377&gt;=客户对账单!$G$4,资金台帐!B377&lt;=客户对账单!$I$4),资金台帐!B377+ROW()/100000,"")</f>
      </c>
      <c r="H3374">
        <f>IF(AND(资金台帐!K1877&lt;&gt;"",资金台帐!K1877=供应商对账单!$B$4,资金台帐!P1877="应付",ISNUMBER(资金台帐!B1877),资金台帐!B1877&gt;=供应商对账单!$G$4,资金台帐!B1877&lt;=供应商对账单!$I$4),资金台帐!B1877+ROW()/100000,"")</f>
      </c>
    </row>
    <row r="3375">
      <c r="A3375">
        <f>IF(OR(出库明细!C2375="",出库明细!D2375=""),"",IF(OR(COUNTIFS(存条明细!$C$4:$C$1003,出库明细!C2375,存条明细!$D$4:$D$1003,出库明细!D2375)&gt;0,COUNTIFS(出库明细!$C$4:C2375,出库明细!C2375,出库明细!$D$4:D2375,出库明细!D2375)&gt;1),"",IFERROR(MATCH(出库明细!C2375,总览汇总!$B$5:$B$304,0),900)*10000000+IFERROR(MATCH(出库明细!D2375,基础资料!$E$5:$E$104,0),900)*10000+ROW()))</f>
      </c>
      <c r="F3375">
        <f>IF(AND(资金台帐!J378&lt;&gt;"",资金台帐!J378=客户对账单!$B$4,资金台帐!P378="应收",ISNUMBER(资金台帐!B378),资金台帐!B378&gt;=客户对账单!$G$4,资金台帐!B378&lt;=客户对账单!$I$4),资金台帐!B378+ROW()/100000,"")</f>
      </c>
      <c r="H3375">
        <f>IF(AND(资金台帐!K1878&lt;&gt;"",资金台帐!K1878=供应商对账单!$B$4,资金台帐!P1878="应付",ISNUMBER(资金台帐!B1878),资金台帐!B1878&gt;=供应商对账单!$G$4,资金台帐!B1878&lt;=供应商对账单!$I$4),资金台帐!B1878+ROW()/100000,"")</f>
      </c>
    </row>
    <row r="3376">
      <c r="A3376">
        <f>IF(OR(出库明细!C2376="",出库明细!D2376=""),"",IF(OR(COUNTIFS(存条明细!$C$4:$C$1003,出库明细!C2376,存条明细!$D$4:$D$1003,出库明细!D2376)&gt;0,COUNTIFS(出库明细!$C$4:C2376,出库明细!C2376,出库明细!$D$4:D2376,出库明细!D2376)&gt;1),"",IFERROR(MATCH(出库明细!C2376,总览汇总!$B$5:$B$304,0),900)*10000000+IFERROR(MATCH(出库明细!D2376,基础资料!$E$5:$E$104,0),900)*10000+ROW()))</f>
      </c>
      <c r="F3376">
        <f>IF(AND(资金台帐!J379&lt;&gt;"",资金台帐!J379=客户对账单!$B$4,资金台帐!P379="应收",ISNUMBER(资金台帐!B379),资金台帐!B379&gt;=客户对账单!$G$4,资金台帐!B379&lt;=客户对账单!$I$4),资金台帐!B379+ROW()/100000,"")</f>
      </c>
      <c r="H3376">
        <f>IF(AND(资金台帐!K1879&lt;&gt;"",资金台帐!K1879=供应商对账单!$B$4,资金台帐!P1879="应付",ISNUMBER(资金台帐!B1879),资金台帐!B1879&gt;=供应商对账单!$G$4,资金台帐!B1879&lt;=供应商对账单!$I$4),资金台帐!B1879+ROW()/100000,"")</f>
      </c>
    </row>
    <row r="3377">
      <c r="A3377">
        <f>IF(OR(出库明细!C2377="",出库明细!D2377=""),"",IF(OR(COUNTIFS(存条明细!$C$4:$C$1003,出库明细!C2377,存条明细!$D$4:$D$1003,出库明细!D2377)&gt;0,COUNTIFS(出库明细!$C$4:C2377,出库明细!C2377,出库明细!$D$4:D2377,出库明细!D2377)&gt;1),"",IFERROR(MATCH(出库明细!C2377,总览汇总!$B$5:$B$304,0),900)*10000000+IFERROR(MATCH(出库明细!D2377,基础资料!$E$5:$E$104,0),900)*10000+ROW()))</f>
      </c>
      <c r="F3377">
        <f>IF(AND(资金台帐!J380&lt;&gt;"",资金台帐!J380=客户对账单!$B$4,资金台帐!P380="应收",ISNUMBER(资金台帐!B380),资金台帐!B380&gt;=客户对账单!$G$4,资金台帐!B380&lt;=客户对账单!$I$4),资金台帐!B380+ROW()/100000,"")</f>
      </c>
      <c r="H3377">
        <f>IF(AND(资金台帐!K1880&lt;&gt;"",资金台帐!K1880=供应商对账单!$B$4,资金台帐!P1880="应付",ISNUMBER(资金台帐!B1880),资金台帐!B1880&gt;=供应商对账单!$G$4,资金台帐!B1880&lt;=供应商对账单!$I$4),资金台帐!B1880+ROW()/100000,"")</f>
      </c>
    </row>
    <row r="3378">
      <c r="A3378">
        <f>IF(OR(出库明细!C2378="",出库明细!D2378=""),"",IF(OR(COUNTIFS(存条明细!$C$4:$C$1003,出库明细!C2378,存条明细!$D$4:$D$1003,出库明细!D2378)&gt;0,COUNTIFS(出库明细!$C$4:C2378,出库明细!C2378,出库明细!$D$4:D2378,出库明细!D2378)&gt;1),"",IFERROR(MATCH(出库明细!C2378,总览汇总!$B$5:$B$304,0),900)*10000000+IFERROR(MATCH(出库明细!D2378,基础资料!$E$5:$E$104,0),900)*10000+ROW()))</f>
      </c>
      <c r="F3378">
        <f>IF(AND(资金台帐!J381&lt;&gt;"",资金台帐!J381=客户对账单!$B$4,资金台帐!P381="应收",ISNUMBER(资金台帐!B381),资金台帐!B381&gt;=客户对账单!$G$4,资金台帐!B381&lt;=客户对账单!$I$4),资金台帐!B381+ROW()/100000,"")</f>
      </c>
      <c r="H3378">
        <f>IF(AND(资金台帐!K1881&lt;&gt;"",资金台帐!K1881=供应商对账单!$B$4,资金台帐!P1881="应付",ISNUMBER(资金台帐!B1881),资金台帐!B1881&gt;=供应商对账单!$G$4,资金台帐!B1881&lt;=供应商对账单!$I$4),资金台帐!B1881+ROW()/100000,"")</f>
      </c>
    </row>
    <row r="3379">
      <c r="A3379">
        <f>IF(OR(出库明细!C2379="",出库明细!D2379=""),"",IF(OR(COUNTIFS(存条明细!$C$4:$C$1003,出库明细!C2379,存条明细!$D$4:$D$1003,出库明细!D2379)&gt;0,COUNTIFS(出库明细!$C$4:C2379,出库明细!C2379,出库明细!$D$4:D2379,出库明细!D2379)&gt;1),"",IFERROR(MATCH(出库明细!C2379,总览汇总!$B$5:$B$304,0),900)*10000000+IFERROR(MATCH(出库明细!D2379,基础资料!$E$5:$E$104,0),900)*10000+ROW()))</f>
      </c>
      <c r="F3379">
        <f>IF(AND(资金台帐!J382&lt;&gt;"",资金台帐!J382=客户对账单!$B$4,资金台帐!P382="应收",ISNUMBER(资金台帐!B382),资金台帐!B382&gt;=客户对账单!$G$4,资金台帐!B382&lt;=客户对账单!$I$4),资金台帐!B382+ROW()/100000,"")</f>
      </c>
      <c r="H3379">
        <f>IF(AND(资金台帐!K1882&lt;&gt;"",资金台帐!K1882=供应商对账单!$B$4,资金台帐!P1882="应付",ISNUMBER(资金台帐!B1882),资金台帐!B1882&gt;=供应商对账单!$G$4,资金台帐!B1882&lt;=供应商对账单!$I$4),资金台帐!B1882+ROW()/100000,"")</f>
      </c>
    </row>
    <row r="3380">
      <c r="A3380">
        <f>IF(OR(出库明细!C2380="",出库明细!D2380=""),"",IF(OR(COUNTIFS(存条明细!$C$4:$C$1003,出库明细!C2380,存条明细!$D$4:$D$1003,出库明细!D2380)&gt;0,COUNTIFS(出库明细!$C$4:C2380,出库明细!C2380,出库明细!$D$4:D2380,出库明细!D2380)&gt;1),"",IFERROR(MATCH(出库明细!C2380,总览汇总!$B$5:$B$304,0),900)*10000000+IFERROR(MATCH(出库明细!D2380,基础资料!$E$5:$E$104,0),900)*10000+ROW()))</f>
      </c>
      <c r="F3380">
        <f>IF(AND(资金台帐!J383&lt;&gt;"",资金台帐!J383=客户对账单!$B$4,资金台帐!P383="应收",ISNUMBER(资金台帐!B383),资金台帐!B383&gt;=客户对账单!$G$4,资金台帐!B383&lt;=客户对账单!$I$4),资金台帐!B383+ROW()/100000,"")</f>
      </c>
      <c r="H3380">
        <f>IF(AND(资金台帐!K1883&lt;&gt;"",资金台帐!K1883=供应商对账单!$B$4,资金台帐!P1883="应付",ISNUMBER(资金台帐!B1883),资金台帐!B1883&gt;=供应商对账单!$G$4,资金台帐!B1883&lt;=供应商对账单!$I$4),资金台帐!B1883+ROW()/100000,"")</f>
      </c>
    </row>
    <row r="3381">
      <c r="A3381">
        <f>IF(OR(出库明细!C2381="",出库明细!D2381=""),"",IF(OR(COUNTIFS(存条明细!$C$4:$C$1003,出库明细!C2381,存条明细!$D$4:$D$1003,出库明细!D2381)&gt;0,COUNTIFS(出库明细!$C$4:C2381,出库明细!C2381,出库明细!$D$4:D2381,出库明细!D2381)&gt;1),"",IFERROR(MATCH(出库明细!C2381,总览汇总!$B$5:$B$304,0),900)*10000000+IFERROR(MATCH(出库明细!D2381,基础资料!$E$5:$E$104,0),900)*10000+ROW()))</f>
      </c>
      <c r="F3381">
        <f>IF(AND(资金台帐!J384&lt;&gt;"",资金台帐!J384=客户对账单!$B$4,资金台帐!P384="应收",ISNUMBER(资金台帐!B384),资金台帐!B384&gt;=客户对账单!$G$4,资金台帐!B384&lt;=客户对账单!$I$4),资金台帐!B384+ROW()/100000,"")</f>
      </c>
      <c r="H3381">
        <f>IF(AND(资金台帐!K1884&lt;&gt;"",资金台帐!K1884=供应商对账单!$B$4,资金台帐!P1884="应付",ISNUMBER(资金台帐!B1884),资金台帐!B1884&gt;=供应商对账单!$G$4,资金台帐!B1884&lt;=供应商对账单!$I$4),资金台帐!B1884+ROW()/100000,"")</f>
      </c>
    </row>
    <row r="3382">
      <c r="A3382">
        <f>IF(OR(出库明细!C2382="",出库明细!D2382=""),"",IF(OR(COUNTIFS(存条明细!$C$4:$C$1003,出库明细!C2382,存条明细!$D$4:$D$1003,出库明细!D2382)&gt;0,COUNTIFS(出库明细!$C$4:C2382,出库明细!C2382,出库明细!$D$4:D2382,出库明细!D2382)&gt;1),"",IFERROR(MATCH(出库明细!C2382,总览汇总!$B$5:$B$304,0),900)*10000000+IFERROR(MATCH(出库明细!D2382,基础资料!$E$5:$E$104,0),900)*10000+ROW()))</f>
      </c>
      <c r="F3382">
        <f>IF(AND(资金台帐!J385&lt;&gt;"",资金台帐!J385=客户对账单!$B$4,资金台帐!P385="应收",ISNUMBER(资金台帐!B385),资金台帐!B385&gt;=客户对账单!$G$4,资金台帐!B385&lt;=客户对账单!$I$4),资金台帐!B385+ROW()/100000,"")</f>
      </c>
      <c r="H3382">
        <f>IF(AND(资金台帐!K1885&lt;&gt;"",资金台帐!K1885=供应商对账单!$B$4,资金台帐!P1885="应付",ISNUMBER(资金台帐!B1885),资金台帐!B1885&gt;=供应商对账单!$G$4,资金台帐!B1885&lt;=供应商对账单!$I$4),资金台帐!B1885+ROW()/100000,"")</f>
      </c>
    </row>
    <row r="3383">
      <c r="A3383">
        <f>IF(OR(出库明细!C2383="",出库明细!D2383=""),"",IF(OR(COUNTIFS(存条明细!$C$4:$C$1003,出库明细!C2383,存条明细!$D$4:$D$1003,出库明细!D2383)&gt;0,COUNTIFS(出库明细!$C$4:C2383,出库明细!C2383,出库明细!$D$4:D2383,出库明细!D2383)&gt;1),"",IFERROR(MATCH(出库明细!C2383,总览汇总!$B$5:$B$304,0),900)*10000000+IFERROR(MATCH(出库明细!D2383,基础资料!$E$5:$E$104,0),900)*10000+ROW()))</f>
      </c>
      <c r="F3383">
        <f>IF(AND(资金台帐!J386&lt;&gt;"",资金台帐!J386=客户对账单!$B$4,资金台帐!P386="应收",ISNUMBER(资金台帐!B386),资金台帐!B386&gt;=客户对账单!$G$4,资金台帐!B386&lt;=客户对账单!$I$4),资金台帐!B386+ROW()/100000,"")</f>
      </c>
      <c r="H3383">
        <f>IF(AND(资金台帐!K1886&lt;&gt;"",资金台帐!K1886=供应商对账单!$B$4,资金台帐!P1886="应付",ISNUMBER(资金台帐!B1886),资金台帐!B1886&gt;=供应商对账单!$G$4,资金台帐!B1886&lt;=供应商对账单!$I$4),资金台帐!B1886+ROW()/100000,"")</f>
      </c>
    </row>
    <row r="3384">
      <c r="A3384">
        <f>IF(OR(出库明细!C2384="",出库明细!D2384=""),"",IF(OR(COUNTIFS(存条明细!$C$4:$C$1003,出库明细!C2384,存条明细!$D$4:$D$1003,出库明细!D2384)&gt;0,COUNTIFS(出库明细!$C$4:C2384,出库明细!C2384,出库明细!$D$4:D2384,出库明细!D2384)&gt;1),"",IFERROR(MATCH(出库明细!C2384,总览汇总!$B$5:$B$304,0),900)*10000000+IFERROR(MATCH(出库明细!D2384,基础资料!$E$5:$E$104,0),900)*10000+ROW()))</f>
      </c>
      <c r="F3384">
        <f>IF(AND(资金台帐!J387&lt;&gt;"",资金台帐!J387=客户对账单!$B$4,资金台帐!P387="应收",ISNUMBER(资金台帐!B387),资金台帐!B387&gt;=客户对账单!$G$4,资金台帐!B387&lt;=客户对账单!$I$4),资金台帐!B387+ROW()/100000,"")</f>
      </c>
      <c r="H3384">
        <f>IF(AND(资金台帐!K1887&lt;&gt;"",资金台帐!K1887=供应商对账单!$B$4,资金台帐!P1887="应付",ISNUMBER(资金台帐!B1887),资金台帐!B1887&gt;=供应商对账单!$G$4,资金台帐!B1887&lt;=供应商对账单!$I$4),资金台帐!B1887+ROW()/100000,"")</f>
      </c>
    </row>
    <row r="3385">
      <c r="A3385">
        <f>IF(OR(出库明细!C2385="",出库明细!D2385=""),"",IF(OR(COUNTIFS(存条明细!$C$4:$C$1003,出库明细!C2385,存条明细!$D$4:$D$1003,出库明细!D2385)&gt;0,COUNTIFS(出库明细!$C$4:C2385,出库明细!C2385,出库明细!$D$4:D2385,出库明细!D2385)&gt;1),"",IFERROR(MATCH(出库明细!C2385,总览汇总!$B$5:$B$304,0),900)*10000000+IFERROR(MATCH(出库明细!D2385,基础资料!$E$5:$E$104,0),900)*10000+ROW()))</f>
      </c>
      <c r="F3385">
        <f>IF(AND(资金台帐!J388&lt;&gt;"",资金台帐!J388=客户对账单!$B$4,资金台帐!P388="应收",ISNUMBER(资金台帐!B388),资金台帐!B388&gt;=客户对账单!$G$4,资金台帐!B388&lt;=客户对账单!$I$4),资金台帐!B388+ROW()/100000,"")</f>
      </c>
      <c r="H3385">
        <f>IF(AND(资金台帐!K1888&lt;&gt;"",资金台帐!K1888=供应商对账单!$B$4,资金台帐!P1888="应付",ISNUMBER(资金台帐!B1888),资金台帐!B1888&gt;=供应商对账单!$G$4,资金台帐!B1888&lt;=供应商对账单!$I$4),资金台帐!B1888+ROW()/100000,"")</f>
      </c>
    </row>
    <row r="3386">
      <c r="A3386">
        <f>IF(OR(出库明细!C2386="",出库明细!D2386=""),"",IF(OR(COUNTIFS(存条明细!$C$4:$C$1003,出库明细!C2386,存条明细!$D$4:$D$1003,出库明细!D2386)&gt;0,COUNTIFS(出库明细!$C$4:C2386,出库明细!C2386,出库明细!$D$4:D2386,出库明细!D2386)&gt;1),"",IFERROR(MATCH(出库明细!C2386,总览汇总!$B$5:$B$304,0),900)*10000000+IFERROR(MATCH(出库明细!D2386,基础资料!$E$5:$E$104,0),900)*10000+ROW()))</f>
      </c>
      <c r="F3386">
        <f>IF(AND(资金台帐!J389&lt;&gt;"",资金台帐!J389=客户对账单!$B$4,资金台帐!P389="应收",ISNUMBER(资金台帐!B389),资金台帐!B389&gt;=客户对账单!$G$4,资金台帐!B389&lt;=客户对账单!$I$4),资金台帐!B389+ROW()/100000,"")</f>
      </c>
      <c r="H3386">
        <f>IF(AND(资金台帐!K1889&lt;&gt;"",资金台帐!K1889=供应商对账单!$B$4,资金台帐!P1889="应付",ISNUMBER(资金台帐!B1889),资金台帐!B1889&gt;=供应商对账单!$G$4,资金台帐!B1889&lt;=供应商对账单!$I$4),资金台帐!B1889+ROW()/100000,"")</f>
      </c>
    </row>
    <row r="3387">
      <c r="A3387">
        <f>IF(OR(出库明细!C2387="",出库明细!D2387=""),"",IF(OR(COUNTIFS(存条明细!$C$4:$C$1003,出库明细!C2387,存条明细!$D$4:$D$1003,出库明细!D2387)&gt;0,COUNTIFS(出库明细!$C$4:C2387,出库明细!C2387,出库明细!$D$4:D2387,出库明细!D2387)&gt;1),"",IFERROR(MATCH(出库明细!C2387,总览汇总!$B$5:$B$304,0),900)*10000000+IFERROR(MATCH(出库明细!D2387,基础资料!$E$5:$E$104,0),900)*10000+ROW()))</f>
      </c>
      <c r="F3387">
        <f>IF(AND(资金台帐!J390&lt;&gt;"",资金台帐!J390=客户对账单!$B$4,资金台帐!P390="应收",ISNUMBER(资金台帐!B390),资金台帐!B390&gt;=客户对账单!$G$4,资金台帐!B390&lt;=客户对账单!$I$4),资金台帐!B390+ROW()/100000,"")</f>
      </c>
      <c r="H3387">
        <f>IF(AND(资金台帐!K1890&lt;&gt;"",资金台帐!K1890=供应商对账单!$B$4,资金台帐!P1890="应付",ISNUMBER(资金台帐!B1890),资金台帐!B1890&gt;=供应商对账单!$G$4,资金台帐!B1890&lt;=供应商对账单!$I$4),资金台帐!B1890+ROW()/100000,"")</f>
      </c>
    </row>
    <row r="3388">
      <c r="A3388">
        <f>IF(OR(出库明细!C2388="",出库明细!D2388=""),"",IF(OR(COUNTIFS(存条明细!$C$4:$C$1003,出库明细!C2388,存条明细!$D$4:$D$1003,出库明细!D2388)&gt;0,COUNTIFS(出库明细!$C$4:C2388,出库明细!C2388,出库明细!$D$4:D2388,出库明细!D2388)&gt;1),"",IFERROR(MATCH(出库明细!C2388,总览汇总!$B$5:$B$304,0),900)*10000000+IFERROR(MATCH(出库明细!D2388,基础资料!$E$5:$E$104,0),900)*10000+ROW()))</f>
      </c>
      <c r="F3388">
        <f>IF(AND(资金台帐!J391&lt;&gt;"",资金台帐!J391=客户对账单!$B$4,资金台帐!P391="应收",ISNUMBER(资金台帐!B391),资金台帐!B391&gt;=客户对账单!$G$4,资金台帐!B391&lt;=客户对账单!$I$4),资金台帐!B391+ROW()/100000,"")</f>
      </c>
      <c r="H3388">
        <f>IF(AND(资金台帐!K1891&lt;&gt;"",资金台帐!K1891=供应商对账单!$B$4,资金台帐!P1891="应付",ISNUMBER(资金台帐!B1891),资金台帐!B1891&gt;=供应商对账单!$G$4,资金台帐!B1891&lt;=供应商对账单!$I$4),资金台帐!B1891+ROW()/100000,"")</f>
      </c>
    </row>
    <row r="3389">
      <c r="A3389">
        <f>IF(OR(出库明细!C2389="",出库明细!D2389=""),"",IF(OR(COUNTIFS(存条明细!$C$4:$C$1003,出库明细!C2389,存条明细!$D$4:$D$1003,出库明细!D2389)&gt;0,COUNTIFS(出库明细!$C$4:C2389,出库明细!C2389,出库明细!$D$4:D2389,出库明细!D2389)&gt;1),"",IFERROR(MATCH(出库明细!C2389,总览汇总!$B$5:$B$304,0),900)*10000000+IFERROR(MATCH(出库明细!D2389,基础资料!$E$5:$E$104,0),900)*10000+ROW()))</f>
      </c>
      <c r="F3389">
        <f>IF(AND(资金台帐!J392&lt;&gt;"",资金台帐!J392=客户对账单!$B$4,资金台帐!P392="应收",ISNUMBER(资金台帐!B392),资金台帐!B392&gt;=客户对账单!$G$4,资金台帐!B392&lt;=客户对账单!$I$4),资金台帐!B392+ROW()/100000,"")</f>
      </c>
      <c r="H3389">
        <f>IF(AND(资金台帐!K1892&lt;&gt;"",资金台帐!K1892=供应商对账单!$B$4,资金台帐!P1892="应付",ISNUMBER(资金台帐!B1892),资金台帐!B1892&gt;=供应商对账单!$G$4,资金台帐!B1892&lt;=供应商对账单!$I$4),资金台帐!B1892+ROW()/100000,"")</f>
      </c>
    </row>
    <row r="3390">
      <c r="A3390">
        <f>IF(OR(出库明细!C2390="",出库明细!D2390=""),"",IF(OR(COUNTIFS(存条明细!$C$4:$C$1003,出库明细!C2390,存条明细!$D$4:$D$1003,出库明细!D2390)&gt;0,COUNTIFS(出库明细!$C$4:C2390,出库明细!C2390,出库明细!$D$4:D2390,出库明细!D2390)&gt;1),"",IFERROR(MATCH(出库明细!C2390,总览汇总!$B$5:$B$304,0),900)*10000000+IFERROR(MATCH(出库明细!D2390,基础资料!$E$5:$E$104,0),900)*10000+ROW()))</f>
      </c>
      <c r="F3390">
        <f>IF(AND(资金台帐!J393&lt;&gt;"",资金台帐!J393=客户对账单!$B$4,资金台帐!P393="应收",ISNUMBER(资金台帐!B393),资金台帐!B393&gt;=客户对账单!$G$4,资金台帐!B393&lt;=客户对账单!$I$4),资金台帐!B393+ROW()/100000,"")</f>
      </c>
      <c r="H3390">
        <f>IF(AND(资金台帐!K1893&lt;&gt;"",资金台帐!K1893=供应商对账单!$B$4,资金台帐!P1893="应付",ISNUMBER(资金台帐!B1893),资金台帐!B1893&gt;=供应商对账单!$G$4,资金台帐!B1893&lt;=供应商对账单!$I$4),资金台帐!B1893+ROW()/100000,"")</f>
      </c>
    </row>
    <row r="3391">
      <c r="A3391">
        <f>IF(OR(出库明细!C2391="",出库明细!D2391=""),"",IF(OR(COUNTIFS(存条明细!$C$4:$C$1003,出库明细!C2391,存条明细!$D$4:$D$1003,出库明细!D2391)&gt;0,COUNTIFS(出库明细!$C$4:C2391,出库明细!C2391,出库明细!$D$4:D2391,出库明细!D2391)&gt;1),"",IFERROR(MATCH(出库明细!C2391,总览汇总!$B$5:$B$304,0),900)*10000000+IFERROR(MATCH(出库明细!D2391,基础资料!$E$5:$E$104,0),900)*10000+ROW()))</f>
      </c>
      <c r="F3391">
        <f>IF(AND(资金台帐!J394&lt;&gt;"",资金台帐!J394=客户对账单!$B$4,资金台帐!P394="应收",ISNUMBER(资金台帐!B394),资金台帐!B394&gt;=客户对账单!$G$4,资金台帐!B394&lt;=客户对账单!$I$4),资金台帐!B394+ROW()/100000,"")</f>
      </c>
      <c r="H3391">
        <f>IF(AND(资金台帐!K1894&lt;&gt;"",资金台帐!K1894=供应商对账单!$B$4,资金台帐!P1894="应付",ISNUMBER(资金台帐!B1894),资金台帐!B1894&gt;=供应商对账单!$G$4,资金台帐!B1894&lt;=供应商对账单!$I$4),资金台帐!B1894+ROW()/100000,"")</f>
      </c>
    </row>
    <row r="3392">
      <c r="A3392">
        <f>IF(OR(出库明细!C2392="",出库明细!D2392=""),"",IF(OR(COUNTIFS(存条明细!$C$4:$C$1003,出库明细!C2392,存条明细!$D$4:$D$1003,出库明细!D2392)&gt;0,COUNTIFS(出库明细!$C$4:C2392,出库明细!C2392,出库明细!$D$4:D2392,出库明细!D2392)&gt;1),"",IFERROR(MATCH(出库明细!C2392,总览汇总!$B$5:$B$304,0),900)*10000000+IFERROR(MATCH(出库明细!D2392,基础资料!$E$5:$E$104,0),900)*10000+ROW()))</f>
      </c>
      <c r="F3392">
        <f>IF(AND(资金台帐!J395&lt;&gt;"",资金台帐!J395=客户对账单!$B$4,资金台帐!P395="应收",ISNUMBER(资金台帐!B395),资金台帐!B395&gt;=客户对账单!$G$4,资金台帐!B395&lt;=客户对账单!$I$4),资金台帐!B395+ROW()/100000,"")</f>
      </c>
      <c r="H3392">
        <f>IF(AND(资金台帐!K1895&lt;&gt;"",资金台帐!K1895=供应商对账单!$B$4,资金台帐!P1895="应付",ISNUMBER(资金台帐!B1895),资金台帐!B1895&gt;=供应商对账单!$G$4,资金台帐!B1895&lt;=供应商对账单!$I$4),资金台帐!B1895+ROW()/100000,"")</f>
      </c>
    </row>
    <row r="3393">
      <c r="A3393">
        <f>IF(OR(出库明细!C2393="",出库明细!D2393=""),"",IF(OR(COUNTIFS(存条明细!$C$4:$C$1003,出库明细!C2393,存条明细!$D$4:$D$1003,出库明细!D2393)&gt;0,COUNTIFS(出库明细!$C$4:C2393,出库明细!C2393,出库明细!$D$4:D2393,出库明细!D2393)&gt;1),"",IFERROR(MATCH(出库明细!C2393,总览汇总!$B$5:$B$304,0),900)*10000000+IFERROR(MATCH(出库明细!D2393,基础资料!$E$5:$E$104,0),900)*10000+ROW()))</f>
      </c>
      <c r="F3393">
        <f>IF(AND(资金台帐!J396&lt;&gt;"",资金台帐!J396=客户对账单!$B$4,资金台帐!P396="应收",ISNUMBER(资金台帐!B396),资金台帐!B396&gt;=客户对账单!$G$4,资金台帐!B396&lt;=客户对账单!$I$4),资金台帐!B396+ROW()/100000,"")</f>
      </c>
      <c r="H3393">
        <f>IF(AND(资金台帐!K1896&lt;&gt;"",资金台帐!K1896=供应商对账单!$B$4,资金台帐!P1896="应付",ISNUMBER(资金台帐!B1896),资金台帐!B1896&gt;=供应商对账单!$G$4,资金台帐!B1896&lt;=供应商对账单!$I$4),资金台帐!B1896+ROW()/100000,"")</f>
      </c>
    </row>
    <row r="3394">
      <c r="A3394">
        <f>IF(OR(出库明细!C2394="",出库明细!D2394=""),"",IF(OR(COUNTIFS(存条明细!$C$4:$C$1003,出库明细!C2394,存条明细!$D$4:$D$1003,出库明细!D2394)&gt;0,COUNTIFS(出库明细!$C$4:C2394,出库明细!C2394,出库明细!$D$4:D2394,出库明细!D2394)&gt;1),"",IFERROR(MATCH(出库明细!C2394,总览汇总!$B$5:$B$304,0),900)*10000000+IFERROR(MATCH(出库明细!D2394,基础资料!$E$5:$E$104,0),900)*10000+ROW()))</f>
      </c>
      <c r="F3394">
        <f>IF(AND(资金台帐!J397&lt;&gt;"",资金台帐!J397=客户对账单!$B$4,资金台帐!P397="应收",ISNUMBER(资金台帐!B397),资金台帐!B397&gt;=客户对账单!$G$4,资金台帐!B397&lt;=客户对账单!$I$4),资金台帐!B397+ROW()/100000,"")</f>
      </c>
      <c r="H3394">
        <f>IF(AND(资金台帐!K1897&lt;&gt;"",资金台帐!K1897=供应商对账单!$B$4,资金台帐!P1897="应付",ISNUMBER(资金台帐!B1897),资金台帐!B1897&gt;=供应商对账单!$G$4,资金台帐!B1897&lt;=供应商对账单!$I$4),资金台帐!B1897+ROW()/100000,"")</f>
      </c>
    </row>
    <row r="3395">
      <c r="A3395">
        <f>IF(OR(出库明细!C2395="",出库明细!D2395=""),"",IF(OR(COUNTIFS(存条明细!$C$4:$C$1003,出库明细!C2395,存条明细!$D$4:$D$1003,出库明细!D2395)&gt;0,COUNTIFS(出库明细!$C$4:C2395,出库明细!C2395,出库明细!$D$4:D2395,出库明细!D2395)&gt;1),"",IFERROR(MATCH(出库明细!C2395,总览汇总!$B$5:$B$304,0),900)*10000000+IFERROR(MATCH(出库明细!D2395,基础资料!$E$5:$E$104,0),900)*10000+ROW()))</f>
      </c>
      <c r="F3395">
        <f>IF(AND(资金台帐!J398&lt;&gt;"",资金台帐!J398=客户对账单!$B$4,资金台帐!P398="应收",ISNUMBER(资金台帐!B398),资金台帐!B398&gt;=客户对账单!$G$4,资金台帐!B398&lt;=客户对账单!$I$4),资金台帐!B398+ROW()/100000,"")</f>
      </c>
      <c r="H3395">
        <f>IF(AND(资金台帐!K1898&lt;&gt;"",资金台帐!K1898=供应商对账单!$B$4,资金台帐!P1898="应付",ISNUMBER(资金台帐!B1898),资金台帐!B1898&gt;=供应商对账单!$G$4,资金台帐!B1898&lt;=供应商对账单!$I$4),资金台帐!B1898+ROW()/100000,"")</f>
      </c>
    </row>
    <row r="3396">
      <c r="A3396">
        <f>IF(OR(出库明细!C2396="",出库明细!D2396=""),"",IF(OR(COUNTIFS(存条明细!$C$4:$C$1003,出库明细!C2396,存条明细!$D$4:$D$1003,出库明细!D2396)&gt;0,COUNTIFS(出库明细!$C$4:C2396,出库明细!C2396,出库明细!$D$4:D2396,出库明细!D2396)&gt;1),"",IFERROR(MATCH(出库明细!C2396,总览汇总!$B$5:$B$304,0),900)*10000000+IFERROR(MATCH(出库明细!D2396,基础资料!$E$5:$E$104,0),900)*10000+ROW()))</f>
      </c>
      <c r="F3396">
        <f>IF(AND(资金台帐!J399&lt;&gt;"",资金台帐!J399=客户对账单!$B$4,资金台帐!P399="应收",ISNUMBER(资金台帐!B399),资金台帐!B399&gt;=客户对账单!$G$4,资金台帐!B399&lt;=客户对账单!$I$4),资金台帐!B399+ROW()/100000,"")</f>
      </c>
      <c r="H3396">
        <f>IF(AND(资金台帐!K1899&lt;&gt;"",资金台帐!K1899=供应商对账单!$B$4,资金台帐!P1899="应付",ISNUMBER(资金台帐!B1899),资金台帐!B1899&gt;=供应商对账单!$G$4,资金台帐!B1899&lt;=供应商对账单!$I$4),资金台帐!B1899+ROW()/100000,"")</f>
      </c>
    </row>
    <row r="3397">
      <c r="A3397">
        <f>IF(OR(出库明细!C2397="",出库明细!D2397=""),"",IF(OR(COUNTIFS(存条明细!$C$4:$C$1003,出库明细!C2397,存条明细!$D$4:$D$1003,出库明细!D2397)&gt;0,COUNTIFS(出库明细!$C$4:C2397,出库明细!C2397,出库明细!$D$4:D2397,出库明细!D2397)&gt;1),"",IFERROR(MATCH(出库明细!C2397,总览汇总!$B$5:$B$304,0),900)*10000000+IFERROR(MATCH(出库明细!D2397,基础资料!$E$5:$E$104,0),900)*10000+ROW()))</f>
      </c>
      <c r="F3397">
        <f>IF(AND(资金台帐!J400&lt;&gt;"",资金台帐!J400=客户对账单!$B$4,资金台帐!P400="应收",ISNUMBER(资金台帐!B400),资金台帐!B400&gt;=客户对账单!$G$4,资金台帐!B400&lt;=客户对账单!$I$4),资金台帐!B400+ROW()/100000,"")</f>
      </c>
      <c r="H3397">
        <f>IF(AND(资金台帐!K1900&lt;&gt;"",资金台帐!K1900=供应商对账单!$B$4,资金台帐!P1900="应付",ISNUMBER(资金台帐!B1900),资金台帐!B1900&gt;=供应商对账单!$G$4,资金台帐!B1900&lt;=供应商对账单!$I$4),资金台帐!B1900+ROW()/100000,"")</f>
      </c>
    </row>
    <row r="3398">
      <c r="A3398">
        <f>IF(OR(出库明细!C2398="",出库明细!D2398=""),"",IF(OR(COUNTIFS(存条明细!$C$4:$C$1003,出库明细!C2398,存条明细!$D$4:$D$1003,出库明细!D2398)&gt;0,COUNTIFS(出库明细!$C$4:C2398,出库明细!C2398,出库明细!$D$4:D2398,出库明细!D2398)&gt;1),"",IFERROR(MATCH(出库明细!C2398,总览汇总!$B$5:$B$304,0),900)*10000000+IFERROR(MATCH(出库明细!D2398,基础资料!$E$5:$E$104,0),900)*10000+ROW()))</f>
      </c>
      <c r="F3398">
        <f>IF(AND(资金台帐!J401&lt;&gt;"",资金台帐!J401=客户对账单!$B$4,资金台帐!P401="应收",ISNUMBER(资金台帐!B401),资金台帐!B401&gt;=客户对账单!$G$4,资金台帐!B401&lt;=客户对账单!$I$4),资金台帐!B401+ROW()/100000,"")</f>
      </c>
      <c r="H3398">
        <f>IF(AND(资金台帐!K1901&lt;&gt;"",资金台帐!K1901=供应商对账单!$B$4,资金台帐!P1901="应付",ISNUMBER(资金台帐!B1901),资金台帐!B1901&gt;=供应商对账单!$G$4,资金台帐!B1901&lt;=供应商对账单!$I$4),资金台帐!B1901+ROW()/100000,"")</f>
      </c>
    </row>
    <row r="3399">
      <c r="A3399">
        <f>IF(OR(出库明细!C2399="",出库明细!D2399=""),"",IF(OR(COUNTIFS(存条明细!$C$4:$C$1003,出库明细!C2399,存条明细!$D$4:$D$1003,出库明细!D2399)&gt;0,COUNTIFS(出库明细!$C$4:C2399,出库明细!C2399,出库明细!$D$4:D2399,出库明细!D2399)&gt;1),"",IFERROR(MATCH(出库明细!C2399,总览汇总!$B$5:$B$304,0),900)*10000000+IFERROR(MATCH(出库明细!D2399,基础资料!$E$5:$E$104,0),900)*10000+ROW()))</f>
      </c>
      <c r="F3399">
        <f>IF(AND(资金台帐!J402&lt;&gt;"",资金台帐!J402=客户对账单!$B$4,资金台帐!P402="应收",ISNUMBER(资金台帐!B402),资金台帐!B402&gt;=客户对账单!$G$4,资金台帐!B402&lt;=客户对账单!$I$4),资金台帐!B402+ROW()/100000,"")</f>
      </c>
      <c r="H3399">
        <f>IF(AND(资金台帐!K1902&lt;&gt;"",资金台帐!K1902=供应商对账单!$B$4,资金台帐!P1902="应付",ISNUMBER(资金台帐!B1902),资金台帐!B1902&gt;=供应商对账单!$G$4,资金台帐!B1902&lt;=供应商对账单!$I$4),资金台帐!B1902+ROW()/100000,"")</f>
      </c>
    </row>
    <row r="3400">
      <c r="A3400">
        <f>IF(OR(出库明细!C2400="",出库明细!D2400=""),"",IF(OR(COUNTIFS(存条明细!$C$4:$C$1003,出库明细!C2400,存条明细!$D$4:$D$1003,出库明细!D2400)&gt;0,COUNTIFS(出库明细!$C$4:C2400,出库明细!C2400,出库明细!$D$4:D2400,出库明细!D2400)&gt;1),"",IFERROR(MATCH(出库明细!C2400,总览汇总!$B$5:$B$304,0),900)*10000000+IFERROR(MATCH(出库明细!D2400,基础资料!$E$5:$E$104,0),900)*10000+ROW()))</f>
      </c>
      <c r="F3400">
        <f>IF(AND(资金台帐!J403&lt;&gt;"",资金台帐!J403=客户对账单!$B$4,资金台帐!P403="应收",ISNUMBER(资金台帐!B403),资金台帐!B403&gt;=客户对账单!$G$4,资金台帐!B403&lt;=客户对账单!$I$4),资金台帐!B403+ROW()/100000,"")</f>
      </c>
      <c r="H3400">
        <f>IF(AND(资金台帐!K1903&lt;&gt;"",资金台帐!K1903=供应商对账单!$B$4,资金台帐!P1903="应付",ISNUMBER(资金台帐!B1903),资金台帐!B1903&gt;=供应商对账单!$G$4,资金台帐!B1903&lt;=供应商对账单!$I$4),资金台帐!B1903+ROW()/100000,"")</f>
      </c>
    </row>
    <row r="3401">
      <c r="A3401">
        <f>IF(OR(出库明细!C2401="",出库明细!D2401=""),"",IF(OR(COUNTIFS(存条明细!$C$4:$C$1003,出库明细!C2401,存条明细!$D$4:$D$1003,出库明细!D2401)&gt;0,COUNTIFS(出库明细!$C$4:C2401,出库明细!C2401,出库明细!$D$4:D2401,出库明细!D2401)&gt;1),"",IFERROR(MATCH(出库明细!C2401,总览汇总!$B$5:$B$304,0),900)*10000000+IFERROR(MATCH(出库明细!D2401,基础资料!$E$5:$E$104,0),900)*10000+ROW()))</f>
      </c>
      <c r="F3401">
        <f>IF(AND(资金台帐!J404&lt;&gt;"",资金台帐!J404=客户对账单!$B$4,资金台帐!P404="应收",ISNUMBER(资金台帐!B404),资金台帐!B404&gt;=客户对账单!$G$4,资金台帐!B404&lt;=客户对账单!$I$4),资金台帐!B404+ROW()/100000,"")</f>
      </c>
      <c r="H3401">
        <f>IF(AND(资金台帐!K1904&lt;&gt;"",资金台帐!K1904=供应商对账单!$B$4,资金台帐!P1904="应付",ISNUMBER(资金台帐!B1904),资金台帐!B1904&gt;=供应商对账单!$G$4,资金台帐!B1904&lt;=供应商对账单!$I$4),资金台帐!B1904+ROW()/100000,"")</f>
      </c>
    </row>
    <row r="3402">
      <c r="A3402">
        <f>IF(OR(出库明细!C2402="",出库明细!D2402=""),"",IF(OR(COUNTIFS(存条明细!$C$4:$C$1003,出库明细!C2402,存条明细!$D$4:$D$1003,出库明细!D2402)&gt;0,COUNTIFS(出库明细!$C$4:C2402,出库明细!C2402,出库明细!$D$4:D2402,出库明细!D2402)&gt;1),"",IFERROR(MATCH(出库明细!C2402,总览汇总!$B$5:$B$304,0),900)*10000000+IFERROR(MATCH(出库明细!D2402,基础资料!$E$5:$E$104,0),900)*10000+ROW()))</f>
      </c>
      <c r="F3402">
        <f>IF(AND(资金台帐!J405&lt;&gt;"",资金台帐!J405=客户对账单!$B$4,资金台帐!P405="应收",ISNUMBER(资金台帐!B405),资金台帐!B405&gt;=客户对账单!$G$4,资金台帐!B405&lt;=客户对账单!$I$4),资金台帐!B405+ROW()/100000,"")</f>
      </c>
      <c r="H3402">
        <f>IF(AND(资金台帐!K1905&lt;&gt;"",资金台帐!K1905=供应商对账单!$B$4,资金台帐!P1905="应付",ISNUMBER(资金台帐!B1905),资金台帐!B1905&gt;=供应商对账单!$G$4,资金台帐!B1905&lt;=供应商对账单!$I$4),资金台帐!B1905+ROW()/100000,"")</f>
      </c>
    </row>
    <row r="3403">
      <c r="A3403">
        <f>IF(OR(出库明细!C2403="",出库明细!D2403=""),"",IF(OR(COUNTIFS(存条明细!$C$4:$C$1003,出库明细!C2403,存条明细!$D$4:$D$1003,出库明细!D2403)&gt;0,COUNTIFS(出库明细!$C$4:C2403,出库明细!C2403,出库明细!$D$4:D2403,出库明细!D2403)&gt;1),"",IFERROR(MATCH(出库明细!C2403,总览汇总!$B$5:$B$304,0),900)*10000000+IFERROR(MATCH(出库明细!D2403,基础资料!$E$5:$E$104,0),900)*10000+ROW()))</f>
      </c>
      <c r="F3403">
        <f>IF(AND(资金台帐!J406&lt;&gt;"",资金台帐!J406=客户对账单!$B$4,资金台帐!P406="应收",ISNUMBER(资金台帐!B406),资金台帐!B406&gt;=客户对账单!$G$4,资金台帐!B406&lt;=客户对账单!$I$4),资金台帐!B406+ROW()/100000,"")</f>
      </c>
      <c r="H3403">
        <f>IF(AND(资金台帐!K1906&lt;&gt;"",资金台帐!K1906=供应商对账单!$B$4,资金台帐!P1906="应付",ISNUMBER(资金台帐!B1906),资金台帐!B1906&gt;=供应商对账单!$G$4,资金台帐!B1906&lt;=供应商对账单!$I$4),资金台帐!B1906+ROW()/100000,"")</f>
      </c>
    </row>
    <row r="3404">
      <c r="A3404">
        <f>IF(OR(出库明细!C2404="",出库明细!D2404=""),"",IF(OR(COUNTIFS(存条明细!$C$4:$C$1003,出库明细!C2404,存条明细!$D$4:$D$1003,出库明细!D2404)&gt;0,COUNTIFS(出库明细!$C$4:C2404,出库明细!C2404,出库明细!$D$4:D2404,出库明细!D2404)&gt;1),"",IFERROR(MATCH(出库明细!C2404,总览汇总!$B$5:$B$304,0),900)*10000000+IFERROR(MATCH(出库明细!D2404,基础资料!$E$5:$E$104,0),900)*10000+ROW()))</f>
      </c>
      <c r="F3404">
        <f>IF(AND(资金台帐!J407&lt;&gt;"",资金台帐!J407=客户对账单!$B$4,资金台帐!P407="应收",ISNUMBER(资金台帐!B407),资金台帐!B407&gt;=客户对账单!$G$4,资金台帐!B407&lt;=客户对账单!$I$4),资金台帐!B407+ROW()/100000,"")</f>
      </c>
      <c r="H3404">
        <f>IF(AND(资金台帐!K1907&lt;&gt;"",资金台帐!K1907=供应商对账单!$B$4,资金台帐!P1907="应付",ISNUMBER(资金台帐!B1907),资金台帐!B1907&gt;=供应商对账单!$G$4,资金台帐!B1907&lt;=供应商对账单!$I$4),资金台帐!B1907+ROW()/100000,"")</f>
      </c>
    </row>
    <row r="3405">
      <c r="A3405">
        <f>IF(OR(出库明细!C2405="",出库明细!D2405=""),"",IF(OR(COUNTIFS(存条明细!$C$4:$C$1003,出库明细!C2405,存条明细!$D$4:$D$1003,出库明细!D2405)&gt;0,COUNTIFS(出库明细!$C$4:C2405,出库明细!C2405,出库明细!$D$4:D2405,出库明细!D2405)&gt;1),"",IFERROR(MATCH(出库明细!C2405,总览汇总!$B$5:$B$304,0),900)*10000000+IFERROR(MATCH(出库明细!D2405,基础资料!$E$5:$E$104,0),900)*10000+ROW()))</f>
      </c>
      <c r="F3405">
        <f>IF(AND(资金台帐!J408&lt;&gt;"",资金台帐!J408=客户对账单!$B$4,资金台帐!P408="应收",ISNUMBER(资金台帐!B408),资金台帐!B408&gt;=客户对账单!$G$4,资金台帐!B408&lt;=客户对账单!$I$4),资金台帐!B408+ROW()/100000,"")</f>
      </c>
      <c r="H3405">
        <f>IF(AND(资金台帐!K1908&lt;&gt;"",资金台帐!K1908=供应商对账单!$B$4,资金台帐!P1908="应付",ISNUMBER(资金台帐!B1908),资金台帐!B1908&gt;=供应商对账单!$G$4,资金台帐!B1908&lt;=供应商对账单!$I$4),资金台帐!B1908+ROW()/100000,"")</f>
      </c>
    </row>
    <row r="3406">
      <c r="A3406">
        <f>IF(OR(出库明细!C2406="",出库明细!D2406=""),"",IF(OR(COUNTIFS(存条明细!$C$4:$C$1003,出库明细!C2406,存条明细!$D$4:$D$1003,出库明细!D2406)&gt;0,COUNTIFS(出库明细!$C$4:C2406,出库明细!C2406,出库明细!$D$4:D2406,出库明细!D2406)&gt;1),"",IFERROR(MATCH(出库明细!C2406,总览汇总!$B$5:$B$304,0),900)*10000000+IFERROR(MATCH(出库明细!D2406,基础资料!$E$5:$E$104,0),900)*10000+ROW()))</f>
      </c>
      <c r="F3406">
        <f>IF(AND(资金台帐!J409&lt;&gt;"",资金台帐!J409=客户对账单!$B$4,资金台帐!P409="应收",ISNUMBER(资金台帐!B409),资金台帐!B409&gt;=客户对账单!$G$4,资金台帐!B409&lt;=客户对账单!$I$4),资金台帐!B409+ROW()/100000,"")</f>
      </c>
      <c r="H3406">
        <f>IF(AND(资金台帐!K1909&lt;&gt;"",资金台帐!K1909=供应商对账单!$B$4,资金台帐!P1909="应付",ISNUMBER(资金台帐!B1909),资金台帐!B1909&gt;=供应商对账单!$G$4,资金台帐!B1909&lt;=供应商对账单!$I$4),资金台帐!B1909+ROW()/100000,"")</f>
      </c>
    </row>
    <row r="3407">
      <c r="A3407">
        <f>IF(OR(出库明细!C2407="",出库明细!D2407=""),"",IF(OR(COUNTIFS(存条明细!$C$4:$C$1003,出库明细!C2407,存条明细!$D$4:$D$1003,出库明细!D2407)&gt;0,COUNTIFS(出库明细!$C$4:C2407,出库明细!C2407,出库明细!$D$4:D2407,出库明细!D2407)&gt;1),"",IFERROR(MATCH(出库明细!C2407,总览汇总!$B$5:$B$304,0),900)*10000000+IFERROR(MATCH(出库明细!D2407,基础资料!$E$5:$E$104,0),900)*10000+ROW()))</f>
      </c>
      <c r="F3407">
        <f>IF(AND(资金台帐!J410&lt;&gt;"",资金台帐!J410=客户对账单!$B$4,资金台帐!P410="应收",ISNUMBER(资金台帐!B410),资金台帐!B410&gt;=客户对账单!$G$4,资金台帐!B410&lt;=客户对账单!$I$4),资金台帐!B410+ROW()/100000,"")</f>
      </c>
      <c r="H3407">
        <f>IF(AND(资金台帐!K1910&lt;&gt;"",资金台帐!K1910=供应商对账单!$B$4,资金台帐!P1910="应付",ISNUMBER(资金台帐!B1910),资金台帐!B1910&gt;=供应商对账单!$G$4,资金台帐!B1910&lt;=供应商对账单!$I$4),资金台帐!B1910+ROW()/100000,"")</f>
      </c>
    </row>
    <row r="3408">
      <c r="A3408">
        <f>IF(OR(出库明细!C2408="",出库明细!D2408=""),"",IF(OR(COUNTIFS(存条明细!$C$4:$C$1003,出库明细!C2408,存条明细!$D$4:$D$1003,出库明细!D2408)&gt;0,COUNTIFS(出库明细!$C$4:C2408,出库明细!C2408,出库明细!$D$4:D2408,出库明细!D2408)&gt;1),"",IFERROR(MATCH(出库明细!C2408,总览汇总!$B$5:$B$304,0),900)*10000000+IFERROR(MATCH(出库明细!D2408,基础资料!$E$5:$E$104,0),900)*10000+ROW()))</f>
      </c>
      <c r="F3408">
        <f>IF(AND(资金台帐!J411&lt;&gt;"",资金台帐!J411=客户对账单!$B$4,资金台帐!P411="应收",ISNUMBER(资金台帐!B411),资金台帐!B411&gt;=客户对账单!$G$4,资金台帐!B411&lt;=客户对账单!$I$4),资金台帐!B411+ROW()/100000,"")</f>
      </c>
      <c r="H3408">
        <f>IF(AND(资金台帐!K1911&lt;&gt;"",资金台帐!K1911=供应商对账单!$B$4,资金台帐!P1911="应付",ISNUMBER(资金台帐!B1911),资金台帐!B1911&gt;=供应商对账单!$G$4,资金台帐!B1911&lt;=供应商对账单!$I$4),资金台帐!B1911+ROW()/100000,"")</f>
      </c>
    </row>
    <row r="3409">
      <c r="A3409">
        <f>IF(OR(出库明细!C2409="",出库明细!D2409=""),"",IF(OR(COUNTIFS(存条明细!$C$4:$C$1003,出库明细!C2409,存条明细!$D$4:$D$1003,出库明细!D2409)&gt;0,COUNTIFS(出库明细!$C$4:C2409,出库明细!C2409,出库明细!$D$4:D2409,出库明细!D2409)&gt;1),"",IFERROR(MATCH(出库明细!C2409,总览汇总!$B$5:$B$304,0),900)*10000000+IFERROR(MATCH(出库明细!D2409,基础资料!$E$5:$E$104,0),900)*10000+ROW()))</f>
      </c>
      <c r="F3409">
        <f>IF(AND(资金台帐!J412&lt;&gt;"",资金台帐!J412=客户对账单!$B$4,资金台帐!P412="应收",ISNUMBER(资金台帐!B412),资金台帐!B412&gt;=客户对账单!$G$4,资金台帐!B412&lt;=客户对账单!$I$4),资金台帐!B412+ROW()/100000,"")</f>
      </c>
      <c r="H3409">
        <f>IF(AND(资金台帐!K1912&lt;&gt;"",资金台帐!K1912=供应商对账单!$B$4,资金台帐!P1912="应付",ISNUMBER(资金台帐!B1912),资金台帐!B1912&gt;=供应商对账单!$G$4,资金台帐!B1912&lt;=供应商对账单!$I$4),资金台帐!B1912+ROW()/100000,"")</f>
      </c>
    </row>
    <row r="3410">
      <c r="A3410">
        <f>IF(OR(出库明细!C2410="",出库明细!D2410=""),"",IF(OR(COUNTIFS(存条明细!$C$4:$C$1003,出库明细!C2410,存条明细!$D$4:$D$1003,出库明细!D2410)&gt;0,COUNTIFS(出库明细!$C$4:C2410,出库明细!C2410,出库明细!$D$4:D2410,出库明细!D2410)&gt;1),"",IFERROR(MATCH(出库明细!C2410,总览汇总!$B$5:$B$304,0),900)*10000000+IFERROR(MATCH(出库明细!D2410,基础资料!$E$5:$E$104,0),900)*10000+ROW()))</f>
      </c>
      <c r="F3410">
        <f>IF(AND(资金台帐!J413&lt;&gt;"",资金台帐!J413=客户对账单!$B$4,资金台帐!P413="应收",ISNUMBER(资金台帐!B413),资金台帐!B413&gt;=客户对账单!$G$4,资金台帐!B413&lt;=客户对账单!$I$4),资金台帐!B413+ROW()/100000,"")</f>
      </c>
      <c r="H3410">
        <f>IF(AND(资金台帐!K1913&lt;&gt;"",资金台帐!K1913=供应商对账单!$B$4,资金台帐!P1913="应付",ISNUMBER(资金台帐!B1913),资金台帐!B1913&gt;=供应商对账单!$G$4,资金台帐!B1913&lt;=供应商对账单!$I$4),资金台帐!B1913+ROW()/100000,"")</f>
      </c>
    </row>
    <row r="3411">
      <c r="A3411">
        <f>IF(OR(出库明细!C2411="",出库明细!D2411=""),"",IF(OR(COUNTIFS(存条明细!$C$4:$C$1003,出库明细!C2411,存条明细!$D$4:$D$1003,出库明细!D2411)&gt;0,COUNTIFS(出库明细!$C$4:C2411,出库明细!C2411,出库明细!$D$4:D2411,出库明细!D2411)&gt;1),"",IFERROR(MATCH(出库明细!C2411,总览汇总!$B$5:$B$304,0),900)*10000000+IFERROR(MATCH(出库明细!D2411,基础资料!$E$5:$E$104,0),900)*10000+ROW()))</f>
      </c>
      <c r="F3411">
        <f>IF(AND(资金台帐!J414&lt;&gt;"",资金台帐!J414=客户对账单!$B$4,资金台帐!P414="应收",ISNUMBER(资金台帐!B414),资金台帐!B414&gt;=客户对账单!$G$4,资金台帐!B414&lt;=客户对账单!$I$4),资金台帐!B414+ROW()/100000,"")</f>
      </c>
      <c r="H3411">
        <f>IF(AND(资金台帐!K1914&lt;&gt;"",资金台帐!K1914=供应商对账单!$B$4,资金台帐!P1914="应付",ISNUMBER(资金台帐!B1914),资金台帐!B1914&gt;=供应商对账单!$G$4,资金台帐!B1914&lt;=供应商对账单!$I$4),资金台帐!B1914+ROW()/100000,"")</f>
      </c>
    </row>
    <row r="3412">
      <c r="A3412">
        <f>IF(OR(出库明细!C2412="",出库明细!D2412=""),"",IF(OR(COUNTIFS(存条明细!$C$4:$C$1003,出库明细!C2412,存条明细!$D$4:$D$1003,出库明细!D2412)&gt;0,COUNTIFS(出库明细!$C$4:C2412,出库明细!C2412,出库明细!$D$4:D2412,出库明细!D2412)&gt;1),"",IFERROR(MATCH(出库明细!C2412,总览汇总!$B$5:$B$304,0),900)*10000000+IFERROR(MATCH(出库明细!D2412,基础资料!$E$5:$E$104,0),900)*10000+ROW()))</f>
      </c>
      <c r="F3412">
        <f>IF(AND(资金台帐!J415&lt;&gt;"",资金台帐!J415=客户对账单!$B$4,资金台帐!P415="应收",ISNUMBER(资金台帐!B415),资金台帐!B415&gt;=客户对账单!$G$4,资金台帐!B415&lt;=客户对账单!$I$4),资金台帐!B415+ROW()/100000,"")</f>
      </c>
      <c r="H3412">
        <f>IF(AND(资金台帐!K1915&lt;&gt;"",资金台帐!K1915=供应商对账单!$B$4,资金台帐!P1915="应付",ISNUMBER(资金台帐!B1915),资金台帐!B1915&gt;=供应商对账单!$G$4,资金台帐!B1915&lt;=供应商对账单!$I$4),资金台帐!B1915+ROW()/100000,"")</f>
      </c>
    </row>
    <row r="3413">
      <c r="A3413">
        <f>IF(OR(出库明细!C2413="",出库明细!D2413=""),"",IF(OR(COUNTIFS(存条明细!$C$4:$C$1003,出库明细!C2413,存条明细!$D$4:$D$1003,出库明细!D2413)&gt;0,COUNTIFS(出库明细!$C$4:C2413,出库明细!C2413,出库明细!$D$4:D2413,出库明细!D2413)&gt;1),"",IFERROR(MATCH(出库明细!C2413,总览汇总!$B$5:$B$304,0),900)*10000000+IFERROR(MATCH(出库明细!D2413,基础资料!$E$5:$E$104,0),900)*10000+ROW()))</f>
      </c>
      <c r="F3413">
        <f>IF(AND(资金台帐!J416&lt;&gt;"",资金台帐!J416=客户对账单!$B$4,资金台帐!P416="应收",ISNUMBER(资金台帐!B416),资金台帐!B416&gt;=客户对账单!$G$4,资金台帐!B416&lt;=客户对账单!$I$4),资金台帐!B416+ROW()/100000,"")</f>
      </c>
      <c r="H3413">
        <f>IF(AND(资金台帐!K1916&lt;&gt;"",资金台帐!K1916=供应商对账单!$B$4,资金台帐!P1916="应付",ISNUMBER(资金台帐!B1916),资金台帐!B1916&gt;=供应商对账单!$G$4,资金台帐!B1916&lt;=供应商对账单!$I$4),资金台帐!B1916+ROW()/100000,"")</f>
      </c>
    </row>
    <row r="3414">
      <c r="A3414">
        <f>IF(OR(出库明细!C2414="",出库明细!D2414=""),"",IF(OR(COUNTIFS(存条明细!$C$4:$C$1003,出库明细!C2414,存条明细!$D$4:$D$1003,出库明细!D2414)&gt;0,COUNTIFS(出库明细!$C$4:C2414,出库明细!C2414,出库明细!$D$4:D2414,出库明细!D2414)&gt;1),"",IFERROR(MATCH(出库明细!C2414,总览汇总!$B$5:$B$304,0),900)*10000000+IFERROR(MATCH(出库明细!D2414,基础资料!$E$5:$E$104,0),900)*10000+ROW()))</f>
      </c>
      <c r="F3414">
        <f>IF(AND(资金台帐!J417&lt;&gt;"",资金台帐!J417=客户对账单!$B$4,资金台帐!P417="应收",ISNUMBER(资金台帐!B417),资金台帐!B417&gt;=客户对账单!$G$4,资金台帐!B417&lt;=客户对账单!$I$4),资金台帐!B417+ROW()/100000,"")</f>
      </c>
      <c r="H3414">
        <f>IF(AND(资金台帐!K1917&lt;&gt;"",资金台帐!K1917=供应商对账单!$B$4,资金台帐!P1917="应付",ISNUMBER(资金台帐!B1917),资金台帐!B1917&gt;=供应商对账单!$G$4,资金台帐!B1917&lt;=供应商对账单!$I$4),资金台帐!B1917+ROW()/100000,"")</f>
      </c>
    </row>
    <row r="3415">
      <c r="A3415">
        <f>IF(OR(出库明细!C2415="",出库明细!D2415=""),"",IF(OR(COUNTIFS(存条明细!$C$4:$C$1003,出库明细!C2415,存条明细!$D$4:$D$1003,出库明细!D2415)&gt;0,COUNTIFS(出库明细!$C$4:C2415,出库明细!C2415,出库明细!$D$4:D2415,出库明细!D2415)&gt;1),"",IFERROR(MATCH(出库明细!C2415,总览汇总!$B$5:$B$304,0),900)*10000000+IFERROR(MATCH(出库明细!D2415,基础资料!$E$5:$E$104,0),900)*10000+ROW()))</f>
      </c>
      <c r="F3415">
        <f>IF(AND(资金台帐!J418&lt;&gt;"",资金台帐!J418=客户对账单!$B$4,资金台帐!P418="应收",ISNUMBER(资金台帐!B418),资金台帐!B418&gt;=客户对账单!$G$4,资金台帐!B418&lt;=客户对账单!$I$4),资金台帐!B418+ROW()/100000,"")</f>
      </c>
      <c r="H3415">
        <f>IF(AND(资金台帐!K1918&lt;&gt;"",资金台帐!K1918=供应商对账单!$B$4,资金台帐!P1918="应付",ISNUMBER(资金台帐!B1918),资金台帐!B1918&gt;=供应商对账单!$G$4,资金台帐!B1918&lt;=供应商对账单!$I$4),资金台帐!B1918+ROW()/100000,"")</f>
      </c>
    </row>
    <row r="3416">
      <c r="A3416">
        <f>IF(OR(出库明细!C2416="",出库明细!D2416=""),"",IF(OR(COUNTIFS(存条明细!$C$4:$C$1003,出库明细!C2416,存条明细!$D$4:$D$1003,出库明细!D2416)&gt;0,COUNTIFS(出库明细!$C$4:C2416,出库明细!C2416,出库明细!$D$4:D2416,出库明细!D2416)&gt;1),"",IFERROR(MATCH(出库明细!C2416,总览汇总!$B$5:$B$304,0),900)*10000000+IFERROR(MATCH(出库明细!D2416,基础资料!$E$5:$E$104,0),900)*10000+ROW()))</f>
      </c>
      <c r="F3416">
        <f>IF(AND(资金台帐!J419&lt;&gt;"",资金台帐!J419=客户对账单!$B$4,资金台帐!P419="应收",ISNUMBER(资金台帐!B419),资金台帐!B419&gt;=客户对账单!$G$4,资金台帐!B419&lt;=客户对账单!$I$4),资金台帐!B419+ROW()/100000,"")</f>
      </c>
      <c r="H3416">
        <f>IF(AND(资金台帐!K1919&lt;&gt;"",资金台帐!K1919=供应商对账单!$B$4,资金台帐!P1919="应付",ISNUMBER(资金台帐!B1919),资金台帐!B1919&gt;=供应商对账单!$G$4,资金台帐!B1919&lt;=供应商对账单!$I$4),资金台帐!B1919+ROW()/100000,"")</f>
      </c>
    </row>
    <row r="3417">
      <c r="A3417">
        <f>IF(OR(出库明细!C2417="",出库明细!D2417=""),"",IF(OR(COUNTIFS(存条明细!$C$4:$C$1003,出库明细!C2417,存条明细!$D$4:$D$1003,出库明细!D2417)&gt;0,COUNTIFS(出库明细!$C$4:C2417,出库明细!C2417,出库明细!$D$4:D2417,出库明细!D2417)&gt;1),"",IFERROR(MATCH(出库明细!C2417,总览汇总!$B$5:$B$304,0),900)*10000000+IFERROR(MATCH(出库明细!D2417,基础资料!$E$5:$E$104,0),900)*10000+ROW()))</f>
      </c>
      <c r="F3417">
        <f>IF(AND(资金台帐!J420&lt;&gt;"",资金台帐!J420=客户对账单!$B$4,资金台帐!P420="应收",ISNUMBER(资金台帐!B420),资金台帐!B420&gt;=客户对账单!$G$4,资金台帐!B420&lt;=客户对账单!$I$4),资金台帐!B420+ROW()/100000,"")</f>
      </c>
      <c r="H3417">
        <f>IF(AND(资金台帐!K1920&lt;&gt;"",资金台帐!K1920=供应商对账单!$B$4,资金台帐!P1920="应付",ISNUMBER(资金台帐!B1920),资金台帐!B1920&gt;=供应商对账单!$G$4,资金台帐!B1920&lt;=供应商对账单!$I$4),资金台帐!B1920+ROW()/100000,"")</f>
      </c>
    </row>
    <row r="3418">
      <c r="A3418">
        <f>IF(OR(出库明细!C2418="",出库明细!D2418=""),"",IF(OR(COUNTIFS(存条明细!$C$4:$C$1003,出库明细!C2418,存条明细!$D$4:$D$1003,出库明细!D2418)&gt;0,COUNTIFS(出库明细!$C$4:C2418,出库明细!C2418,出库明细!$D$4:D2418,出库明细!D2418)&gt;1),"",IFERROR(MATCH(出库明细!C2418,总览汇总!$B$5:$B$304,0),900)*10000000+IFERROR(MATCH(出库明细!D2418,基础资料!$E$5:$E$104,0),900)*10000+ROW()))</f>
      </c>
      <c r="F3418">
        <f>IF(AND(资金台帐!J421&lt;&gt;"",资金台帐!J421=客户对账单!$B$4,资金台帐!P421="应收",ISNUMBER(资金台帐!B421),资金台帐!B421&gt;=客户对账单!$G$4,资金台帐!B421&lt;=客户对账单!$I$4),资金台帐!B421+ROW()/100000,"")</f>
      </c>
      <c r="H3418">
        <f>IF(AND(资金台帐!K1921&lt;&gt;"",资金台帐!K1921=供应商对账单!$B$4,资金台帐!P1921="应付",ISNUMBER(资金台帐!B1921),资金台帐!B1921&gt;=供应商对账单!$G$4,资金台帐!B1921&lt;=供应商对账单!$I$4),资金台帐!B1921+ROW()/100000,"")</f>
      </c>
    </row>
    <row r="3419">
      <c r="A3419">
        <f>IF(OR(出库明细!C2419="",出库明细!D2419=""),"",IF(OR(COUNTIFS(存条明细!$C$4:$C$1003,出库明细!C2419,存条明细!$D$4:$D$1003,出库明细!D2419)&gt;0,COUNTIFS(出库明细!$C$4:C2419,出库明细!C2419,出库明细!$D$4:D2419,出库明细!D2419)&gt;1),"",IFERROR(MATCH(出库明细!C2419,总览汇总!$B$5:$B$304,0),900)*10000000+IFERROR(MATCH(出库明细!D2419,基础资料!$E$5:$E$104,0),900)*10000+ROW()))</f>
      </c>
      <c r="F3419">
        <f>IF(AND(资金台帐!J422&lt;&gt;"",资金台帐!J422=客户对账单!$B$4,资金台帐!P422="应收",ISNUMBER(资金台帐!B422),资金台帐!B422&gt;=客户对账单!$G$4,资金台帐!B422&lt;=客户对账单!$I$4),资金台帐!B422+ROW()/100000,"")</f>
      </c>
      <c r="H3419">
        <f>IF(AND(资金台帐!K1922&lt;&gt;"",资金台帐!K1922=供应商对账单!$B$4,资金台帐!P1922="应付",ISNUMBER(资金台帐!B1922),资金台帐!B1922&gt;=供应商对账单!$G$4,资金台帐!B1922&lt;=供应商对账单!$I$4),资金台帐!B1922+ROW()/100000,"")</f>
      </c>
    </row>
    <row r="3420">
      <c r="A3420">
        <f>IF(OR(出库明细!C2420="",出库明细!D2420=""),"",IF(OR(COUNTIFS(存条明细!$C$4:$C$1003,出库明细!C2420,存条明细!$D$4:$D$1003,出库明细!D2420)&gt;0,COUNTIFS(出库明细!$C$4:C2420,出库明细!C2420,出库明细!$D$4:D2420,出库明细!D2420)&gt;1),"",IFERROR(MATCH(出库明细!C2420,总览汇总!$B$5:$B$304,0),900)*10000000+IFERROR(MATCH(出库明细!D2420,基础资料!$E$5:$E$104,0),900)*10000+ROW()))</f>
      </c>
      <c r="F3420">
        <f>IF(AND(资金台帐!J423&lt;&gt;"",资金台帐!J423=客户对账单!$B$4,资金台帐!P423="应收",ISNUMBER(资金台帐!B423),资金台帐!B423&gt;=客户对账单!$G$4,资金台帐!B423&lt;=客户对账单!$I$4),资金台帐!B423+ROW()/100000,"")</f>
      </c>
      <c r="H3420">
        <f>IF(AND(资金台帐!K1923&lt;&gt;"",资金台帐!K1923=供应商对账单!$B$4,资金台帐!P1923="应付",ISNUMBER(资金台帐!B1923),资金台帐!B1923&gt;=供应商对账单!$G$4,资金台帐!B1923&lt;=供应商对账单!$I$4),资金台帐!B1923+ROW()/100000,"")</f>
      </c>
    </row>
    <row r="3421">
      <c r="A3421">
        <f>IF(OR(出库明细!C2421="",出库明细!D2421=""),"",IF(OR(COUNTIFS(存条明细!$C$4:$C$1003,出库明细!C2421,存条明细!$D$4:$D$1003,出库明细!D2421)&gt;0,COUNTIFS(出库明细!$C$4:C2421,出库明细!C2421,出库明细!$D$4:D2421,出库明细!D2421)&gt;1),"",IFERROR(MATCH(出库明细!C2421,总览汇总!$B$5:$B$304,0),900)*10000000+IFERROR(MATCH(出库明细!D2421,基础资料!$E$5:$E$104,0),900)*10000+ROW()))</f>
      </c>
      <c r="F3421">
        <f>IF(AND(资金台帐!J424&lt;&gt;"",资金台帐!J424=客户对账单!$B$4,资金台帐!P424="应收",ISNUMBER(资金台帐!B424),资金台帐!B424&gt;=客户对账单!$G$4,资金台帐!B424&lt;=客户对账单!$I$4),资金台帐!B424+ROW()/100000,"")</f>
      </c>
      <c r="H3421">
        <f>IF(AND(资金台帐!K1924&lt;&gt;"",资金台帐!K1924=供应商对账单!$B$4,资金台帐!P1924="应付",ISNUMBER(资金台帐!B1924),资金台帐!B1924&gt;=供应商对账单!$G$4,资金台帐!B1924&lt;=供应商对账单!$I$4),资金台帐!B1924+ROW()/100000,"")</f>
      </c>
    </row>
    <row r="3422">
      <c r="A3422">
        <f>IF(OR(出库明细!C2422="",出库明细!D2422=""),"",IF(OR(COUNTIFS(存条明细!$C$4:$C$1003,出库明细!C2422,存条明细!$D$4:$D$1003,出库明细!D2422)&gt;0,COUNTIFS(出库明细!$C$4:C2422,出库明细!C2422,出库明细!$D$4:D2422,出库明细!D2422)&gt;1),"",IFERROR(MATCH(出库明细!C2422,总览汇总!$B$5:$B$304,0),900)*10000000+IFERROR(MATCH(出库明细!D2422,基础资料!$E$5:$E$104,0),900)*10000+ROW()))</f>
      </c>
      <c r="F3422">
        <f>IF(AND(资金台帐!J425&lt;&gt;"",资金台帐!J425=客户对账单!$B$4,资金台帐!P425="应收",ISNUMBER(资金台帐!B425),资金台帐!B425&gt;=客户对账单!$G$4,资金台帐!B425&lt;=客户对账单!$I$4),资金台帐!B425+ROW()/100000,"")</f>
      </c>
      <c r="H3422">
        <f>IF(AND(资金台帐!K1925&lt;&gt;"",资金台帐!K1925=供应商对账单!$B$4,资金台帐!P1925="应付",ISNUMBER(资金台帐!B1925),资金台帐!B1925&gt;=供应商对账单!$G$4,资金台帐!B1925&lt;=供应商对账单!$I$4),资金台帐!B1925+ROW()/100000,"")</f>
      </c>
    </row>
    <row r="3423">
      <c r="A3423">
        <f>IF(OR(出库明细!C2423="",出库明细!D2423=""),"",IF(OR(COUNTIFS(存条明细!$C$4:$C$1003,出库明细!C2423,存条明细!$D$4:$D$1003,出库明细!D2423)&gt;0,COUNTIFS(出库明细!$C$4:C2423,出库明细!C2423,出库明细!$D$4:D2423,出库明细!D2423)&gt;1),"",IFERROR(MATCH(出库明细!C2423,总览汇总!$B$5:$B$304,0),900)*10000000+IFERROR(MATCH(出库明细!D2423,基础资料!$E$5:$E$104,0),900)*10000+ROW()))</f>
      </c>
      <c r="F3423">
        <f>IF(AND(资金台帐!J426&lt;&gt;"",资金台帐!J426=客户对账单!$B$4,资金台帐!P426="应收",ISNUMBER(资金台帐!B426),资金台帐!B426&gt;=客户对账单!$G$4,资金台帐!B426&lt;=客户对账单!$I$4),资金台帐!B426+ROW()/100000,"")</f>
      </c>
      <c r="H3423">
        <f>IF(AND(资金台帐!K1926&lt;&gt;"",资金台帐!K1926=供应商对账单!$B$4,资金台帐!P1926="应付",ISNUMBER(资金台帐!B1926),资金台帐!B1926&gt;=供应商对账单!$G$4,资金台帐!B1926&lt;=供应商对账单!$I$4),资金台帐!B1926+ROW()/100000,"")</f>
      </c>
    </row>
    <row r="3424">
      <c r="A3424">
        <f>IF(OR(出库明细!C2424="",出库明细!D2424=""),"",IF(OR(COUNTIFS(存条明细!$C$4:$C$1003,出库明细!C2424,存条明细!$D$4:$D$1003,出库明细!D2424)&gt;0,COUNTIFS(出库明细!$C$4:C2424,出库明细!C2424,出库明细!$D$4:D2424,出库明细!D2424)&gt;1),"",IFERROR(MATCH(出库明细!C2424,总览汇总!$B$5:$B$304,0),900)*10000000+IFERROR(MATCH(出库明细!D2424,基础资料!$E$5:$E$104,0),900)*10000+ROW()))</f>
      </c>
      <c r="F3424">
        <f>IF(AND(资金台帐!J427&lt;&gt;"",资金台帐!J427=客户对账单!$B$4,资金台帐!P427="应收",ISNUMBER(资金台帐!B427),资金台帐!B427&gt;=客户对账单!$G$4,资金台帐!B427&lt;=客户对账单!$I$4),资金台帐!B427+ROW()/100000,"")</f>
      </c>
      <c r="H3424">
        <f>IF(AND(资金台帐!K1927&lt;&gt;"",资金台帐!K1927=供应商对账单!$B$4,资金台帐!P1927="应付",ISNUMBER(资金台帐!B1927),资金台帐!B1927&gt;=供应商对账单!$G$4,资金台帐!B1927&lt;=供应商对账单!$I$4),资金台帐!B1927+ROW()/100000,"")</f>
      </c>
    </row>
    <row r="3425">
      <c r="A3425">
        <f>IF(OR(出库明细!C2425="",出库明细!D2425=""),"",IF(OR(COUNTIFS(存条明细!$C$4:$C$1003,出库明细!C2425,存条明细!$D$4:$D$1003,出库明细!D2425)&gt;0,COUNTIFS(出库明细!$C$4:C2425,出库明细!C2425,出库明细!$D$4:D2425,出库明细!D2425)&gt;1),"",IFERROR(MATCH(出库明细!C2425,总览汇总!$B$5:$B$304,0),900)*10000000+IFERROR(MATCH(出库明细!D2425,基础资料!$E$5:$E$104,0),900)*10000+ROW()))</f>
      </c>
      <c r="F3425">
        <f>IF(AND(资金台帐!J428&lt;&gt;"",资金台帐!J428=客户对账单!$B$4,资金台帐!P428="应收",ISNUMBER(资金台帐!B428),资金台帐!B428&gt;=客户对账单!$G$4,资金台帐!B428&lt;=客户对账单!$I$4),资金台帐!B428+ROW()/100000,"")</f>
      </c>
      <c r="H3425">
        <f>IF(AND(资金台帐!K1928&lt;&gt;"",资金台帐!K1928=供应商对账单!$B$4,资金台帐!P1928="应付",ISNUMBER(资金台帐!B1928),资金台帐!B1928&gt;=供应商对账单!$G$4,资金台帐!B1928&lt;=供应商对账单!$I$4),资金台帐!B1928+ROW()/100000,"")</f>
      </c>
    </row>
    <row r="3426">
      <c r="A3426">
        <f>IF(OR(出库明细!C2426="",出库明细!D2426=""),"",IF(OR(COUNTIFS(存条明细!$C$4:$C$1003,出库明细!C2426,存条明细!$D$4:$D$1003,出库明细!D2426)&gt;0,COUNTIFS(出库明细!$C$4:C2426,出库明细!C2426,出库明细!$D$4:D2426,出库明细!D2426)&gt;1),"",IFERROR(MATCH(出库明细!C2426,总览汇总!$B$5:$B$304,0),900)*10000000+IFERROR(MATCH(出库明细!D2426,基础资料!$E$5:$E$104,0),900)*10000+ROW()))</f>
      </c>
      <c r="F3426">
        <f>IF(AND(资金台帐!J429&lt;&gt;"",资金台帐!J429=客户对账单!$B$4,资金台帐!P429="应收",ISNUMBER(资金台帐!B429),资金台帐!B429&gt;=客户对账单!$G$4,资金台帐!B429&lt;=客户对账单!$I$4),资金台帐!B429+ROW()/100000,"")</f>
      </c>
      <c r="H3426">
        <f>IF(AND(资金台帐!K1929&lt;&gt;"",资金台帐!K1929=供应商对账单!$B$4,资金台帐!P1929="应付",ISNUMBER(资金台帐!B1929),资金台帐!B1929&gt;=供应商对账单!$G$4,资金台帐!B1929&lt;=供应商对账单!$I$4),资金台帐!B1929+ROW()/100000,"")</f>
      </c>
    </row>
    <row r="3427">
      <c r="A3427">
        <f>IF(OR(出库明细!C2427="",出库明细!D2427=""),"",IF(OR(COUNTIFS(存条明细!$C$4:$C$1003,出库明细!C2427,存条明细!$D$4:$D$1003,出库明细!D2427)&gt;0,COUNTIFS(出库明细!$C$4:C2427,出库明细!C2427,出库明细!$D$4:D2427,出库明细!D2427)&gt;1),"",IFERROR(MATCH(出库明细!C2427,总览汇总!$B$5:$B$304,0),900)*10000000+IFERROR(MATCH(出库明细!D2427,基础资料!$E$5:$E$104,0),900)*10000+ROW()))</f>
      </c>
      <c r="F3427">
        <f>IF(AND(资金台帐!J430&lt;&gt;"",资金台帐!J430=客户对账单!$B$4,资金台帐!P430="应收",ISNUMBER(资金台帐!B430),资金台帐!B430&gt;=客户对账单!$G$4,资金台帐!B430&lt;=客户对账单!$I$4),资金台帐!B430+ROW()/100000,"")</f>
      </c>
      <c r="H3427">
        <f>IF(AND(资金台帐!K1930&lt;&gt;"",资金台帐!K1930=供应商对账单!$B$4,资金台帐!P1930="应付",ISNUMBER(资金台帐!B1930),资金台帐!B1930&gt;=供应商对账单!$G$4,资金台帐!B1930&lt;=供应商对账单!$I$4),资金台帐!B1930+ROW()/100000,"")</f>
      </c>
    </row>
    <row r="3428">
      <c r="A3428">
        <f>IF(OR(出库明细!C2428="",出库明细!D2428=""),"",IF(OR(COUNTIFS(存条明细!$C$4:$C$1003,出库明细!C2428,存条明细!$D$4:$D$1003,出库明细!D2428)&gt;0,COUNTIFS(出库明细!$C$4:C2428,出库明细!C2428,出库明细!$D$4:D2428,出库明细!D2428)&gt;1),"",IFERROR(MATCH(出库明细!C2428,总览汇总!$B$5:$B$304,0),900)*10000000+IFERROR(MATCH(出库明细!D2428,基础资料!$E$5:$E$104,0),900)*10000+ROW()))</f>
      </c>
      <c r="F3428">
        <f>IF(AND(资金台帐!J431&lt;&gt;"",资金台帐!J431=客户对账单!$B$4,资金台帐!P431="应收",ISNUMBER(资金台帐!B431),资金台帐!B431&gt;=客户对账单!$G$4,资金台帐!B431&lt;=客户对账单!$I$4),资金台帐!B431+ROW()/100000,"")</f>
      </c>
      <c r="H3428">
        <f>IF(AND(资金台帐!K1931&lt;&gt;"",资金台帐!K1931=供应商对账单!$B$4,资金台帐!P1931="应付",ISNUMBER(资金台帐!B1931),资金台帐!B1931&gt;=供应商对账单!$G$4,资金台帐!B1931&lt;=供应商对账单!$I$4),资金台帐!B1931+ROW()/100000,"")</f>
      </c>
    </row>
    <row r="3429">
      <c r="A3429">
        <f>IF(OR(出库明细!C2429="",出库明细!D2429=""),"",IF(OR(COUNTIFS(存条明细!$C$4:$C$1003,出库明细!C2429,存条明细!$D$4:$D$1003,出库明细!D2429)&gt;0,COUNTIFS(出库明细!$C$4:C2429,出库明细!C2429,出库明细!$D$4:D2429,出库明细!D2429)&gt;1),"",IFERROR(MATCH(出库明细!C2429,总览汇总!$B$5:$B$304,0),900)*10000000+IFERROR(MATCH(出库明细!D2429,基础资料!$E$5:$E$104,0),900)*10000+ROW()))</f>
      </c>
      <c r="F3429">
        <f>IF(AND(资金台帐!J432&lt;&gt;"",资金台帐!J432=客户对账单!$B$4,资金台帐!P432="应收",ISNUMBER(资金台帐!B432),资金台帐!B432&gt;=客户对账单!$G$4,资金台帐!B432&lt;=客户对账单!$I$4),资金台帐!B432+ROW()/100000,"")</f>
      </c>
      <c r="H3429">
        <f>IF(AND(资金台帐!K1932&lt;&gt;"",资金台帐!K1932=供应商对账单!$B$4,资金台帐!P1932="应付",ISNUMBER(资金台帐!B1932),资金台帐!B1932&gt;=供应商对账单!$G$4,资金台帐!B1932&lt;=供应商对账单!$I$4),资金台帐!B1932+ROW()/100000,"")</f>
      </c>
    </row>
    <row r="3430">
      <c r="A3430">
        <f>IF(OR(出库明细!C2430="",出库明细!D2430=""),"",IF(OR(COUNTIFS(存条明细!$C$4:$C$1003,出库明细!C2430,存条明细!$D$4:$D$1003,出库明细!D2430)&gt;0,COUNTIFS(出库明细!$C$4:C2430,出库明细!C2430,出库明细!$D$4:D2430,出库明细!D2430)&gt;1),"",IFERROR(MATCH(出库明细!C2430,总览汇总!$B$5:$B$304,0),900)*10000000+IFERROR(MATCH(出库明细!D2430,基础资料!$E$5:$E$104,0),900)*10000+ROW()))</f>
      </c>
      <c r="F3430">
        <f>IF(AND(资金台帐!J433&lt;&gt;"",资金台帐!J433=客户对账单!$B$4,资金台帐!P433="应收",ISNUMBER(资金台帐!B433),资金台帐!B433&gt;=客户对账单!$G$4,资金台帐!B433&lt;=客户对账单!$I$4),资金台帐!B433+ROW()/100000,"")</f>
      </c>
      <c r="H3430">
        <f>IF(AND(资金台帐!K1933&lt;&gt;"",资金台帐!K1933=供应商对账单!$B$4,资金台帐!P1933="应付",ISNUMBER(资金台帐!B1933),资金台帐!B1933&gt;=供应商对账单!$G$4,资金台帐!B1933&lt;=供应商对账单!$I$4),资金台帐!B1933+ROW()/100000,"")</f>
      </c>
    </row>
    <row r="3431">
      <c r="A3431">
        <f>IF(OR(出库明细!C2431="",出库明细!D2431=""),"",IF(OR(COUNTIFS(存条明细!$C$4:$C$1003,出库明细!C2431,存条明细!$D$4:$D$1003,出库明细!D2431)&gt;0,COUNTIFS(出库明细!$C$4:C2431,出库明细!C2431,出库明细!$D$4:D2431,出库明细!D2431)&gt;1),"",IFERROR(MATCH(出库明细!C2431,总览汇总!$B$5:$B$304,0),900)*10000000+IFERROR(MATCH(出库明细!D2431,基础资料!$E$5:$E$104,0),900)*10000+ROW()))</f>
      </c>
      <c r="F3431">
        <f>IF(AND(资金台帐!J434&lt;&gt;"",资金台帐!J434=客户对账单!$B$4,资金台帐!P434="应收",ISNUMBER(资金台帐!B434),资金台帐!B434&gt;=客户对账单!$G$4,资金台帐!B434&lt;=客户对账单!$I$4),资金台帐!B434+ROW()/100000,"")</f>
      </c>
      <c r="H3431">
        <f>IF(AND(资金台帐!K1934&lt;&gt;"",资金台帐!K1934=供应商对账单!$B$4,资金台帐!P1934="应付",ISNUMBER(资金台帐!B1934),资金台帐!B1934&gt;=供应商对账单!$G$4,资金台帐!B1934&lt;=供应商对账单!$I$4),资金台帐!B1934+ROW()/100000,"")</f>
      </c>
    </row>
    <row r="3432">
      <c r="A3432">
        <f>IF(OR(出库明细!C2432="",出库明细!D2432=""),"",IF(OR(COUNTIFS(存条明细!$C$4:$C$1003,出库明细!C2432,存条明细!$D$4:$D$1003,出库明细!D2432)&gt;0,COUNTIFS(出库明细!$C$4:C2432,出库明细!C2432,出库明细!$D$4:D2432,出库明细!D2432)&gt;1),"",IFERROR(MATCH(出库明细!C2432,总览汇总!$B$5:$B$304,0),900)*10000000+IFERROR(MATCH(出库明细!D2432,基础资料!$E$5:$E$104,0),900)*10000+ROW()))</f>
      </c>
      <c r="F3432">
        <f>IF(AND(资金台帐!J435&lt;&gt;"",资金台帐!J435=客户对账单!$B$4,资金台帐!P435="应收",ISNUMBER(资金台帐!B435),资金台帐!B435&gt;=客户对账单!$G$4,资金台帐!B435&lt;=客户对账单!$I$4),资金台帐!B435+ROW()/100000,"")</f>
      </c>
      <c r="H3432">
        <f>IF(AND(资金台帐!K1935&lt;&gt;"",资金台帐!K1935=供应商对账单!$B$4,资金台帐!P1935="应付",ISNUMBER(资金台帐!B1935),资金台帐!B1935&gt;=供应商对账单!$G$4,资金台帐!B1935&lt;=供应商对账单!$I$4),资金台帐!B1935+ROW()/100000,"")</f>
      </c>
    </row>
    <row r="3433">
      <c r="A3433">
        <f>IF(OR(出库明细!C2433="",出库明细!D2433=""),"",IF(OR(COUNTIFS(存条明细!$C$4:$C$1003,出库明细!C2433,存条明细!$D$4:$D$1003,出库明细!D2433)&gt;0,COUNTIFS(出库明细!$C$4:C2433,出库明细!C2433,出库明细!$D$4:D2433,出库明细!D2433)&gt;1),"",IFERROR(MATCH(出库明细!C2433,总览汇总!$B$5:$B$304,0),900)*10000000+IFERROR(MATCH(出库明细!D2433,基础资料!$E$5:$E$104,0),900)*10000+ROW()))</f>
      </c>
      <c r="F3433">
        <f>IF(AND(资金台帐!J436&lt;&gt;"",资金台帐!J436=客户对账单!$B$4,资金台帐!P436="应收",ISNUMBER(资金台帐!B436),资金台帐!B436&gt;=客户对账单!$G$4,资金台帐!B436&lt;=客户对账单!$I$4),资金台帐!B436+ROW()/100000,"")</f>
      </c>
      <c r="H3433">
        <f>IF(AND(资金台帐!K1936&lt;&gt;"",资金台帐!K1936=供应商对账单!$B$4,资金台帐!P1936="应付",ISNUMBER(资金台帐!B1936),资金台帐!B1936&gt;=供应商对账单!$G$4,资金台帐!B1936&lt;=供应商对账单!$I$4),资金台帐!B1936+ROW()/100000,"")</f>
      </c>
    </row>
    <row r="3434">
      <c r="A3434">
        <f>IF(OR(出库明细!C2434="",出库明细!D2434=""),"",IF(OR(COUNTIFS(存条明细!$C$4:$C$1003,出库明细!C2434,存条明细!$D$4:$D$1003,出库明细!D2434)&gt;0,COUNTIFS(出库明细!$C$4:C2434,出库明细!C2434,出库明细!$D$4:D2434,出库明细!D2434)&gt;1),"",IFERROR(MATCH(出库明细!C2434,总览汇总!$B$5:$B$304,0),900)*10000000+IFERROR(MATCH(出库明细!D2434,基础资料!$E$5:$E$104,0),900)*10000+ROW()))</f>
      </c>
      <c r="F3434">
        <f>IF(AND(资金台帐!J437&lt;&gt;"",资金台帐!J437=客户对账单!$B$4,资金台帐!P437="应收",ISNUMBER(资金台帐!B437),资金台帐!B437&gt;=客户对账单!$G$4,资金台帐!B437&lt;=客户对账单!$I$4),资金台帐!B437+ROW()/100000,"")</f>
      </c>
      <c r="H3434">
        <f>IF(AND(资金台帐!K1937&lt;&gt;"",资金台帐!K1937=供应商对账单!$B$4,资金台帐!P1937="应付",ISNUMBER(资金台帐!B1937),资金台帐!B1937&gt;=供应商对账单!$G$4,资金台帐!B1937&lt;=供应商对账单!$I$4),资金台帐!B1937+ROW()/100000,"")</f>
      </c>
    </row>
    <row r="3435">
      <c r="A3435">
        <f>IF(OR(出库明细!C2435="",出库明细!D2435=""),"",IF(OR(COUNTIFS(存条明细!$C$4:$C$1003,出库明细!C2435,存条明细!$D$4:$D$1003,出库明细!D2435)&gt;0,COUNTIFS(出库明细!$C$4:C2435,出库明细!C2435,出库明细!$D$4:D2435,出库明细!D2435)&gt;1),"",IFERROR(MATCH(出库明细!C2435,总览汇总!$B$5:$B$304,0),900)*10000000+IFERROR(MATCH(出库明细!D2435,基础资料!$E$5:$E$104,0),900)*10000+ROW()))</f>
      </c>
      <c r="F3435">
        <f>IF(AND(资金台帐!J438&lt;&gt;"",资金台帐!J438=客户对账单!$B$4,资金台帐!P438="应收",ISNUMBER(资金台帐!B438),资金台帐!B438&gt;=客户对账单!$G$4,资金台帐!B438&lt;=客户对账单!$I$4),资金台帐!B438+ROW()/100000,"")</f>
      </c>
      <c r="H3435">
        <f>IF(AND(资金台帐!K1938&lt;&gt;"",资金台帐!K1938=供应商对账单!$B$4,资金台帐!P1938="应付",ISNUMBER(资金台帐!B1938),资金台帐!B1938&gt;=供应商对账单!$G$4,资金台帐!B1938&lt;=供应商对账单!$I$4),资金台帐!B1938+ROW()/100000,"")</f>
      </c>
    </row>
    <row r="3436">
      <c r="A3436">
        <f>IF(OR(出库明细!C2436="",出库明细!D2436=""),"",IF(OR(COUNTIFS(存条明细!$C$4:$C$1003,出库明细!C2436,存条明细!$D$4:$D$1003,出库明细!D2436)&gt;0,COUNTIFS(出库明细!$C$4:C2436,出库明细!C2436,出库明细!$D$4:D2436,出库明细!D2436)&gt;1),"",IFERROR(MATCH(出库明细!C2436,总览汇总!$B$5:$B$304,0),900)*10000000+IFERROR(MATCH(出库明细!D2436,基础资料!$E$5:$E$104,0),900)*10000+ROW()))</f>
      </c>
      <c r="F3436">
        <f>IF(AND(资金台帐!J439&lt;&gt;"",资金台帐!J439=客户对账单!$B$4,资金台帐!P439="应收",ISNUMBER(资金台帐!B439),资金台帐!B439&gt;=客户对账单!$G$4,资金台帐!B439&lt;=客户对账单!$I$4),资金台帐!B439+ROW()/100000,"")</f>
      </c>
      <c r="H3436">
        <f>IF(AND(资金台帐!K1939&lt;&gt;"",资金台帐!K1939=供应商对账单!$B$4,资金台帐!P1939="应付",ISNUMBER(资金台帐!B1939),资金台帐!B1939&gt;=供应商对账单!$G$4,资金台帐!B1939&lt;=供应商对账单!$I$4),资金台帐!B1939+ROW()/100000,"")</f>
      </c>
    </row>
    <row r="3437">
      <c r="A3437">
        <f>IF(OR(出库明细!C2437="",出库明细!D2437=""),"",IF(OR(COUNTIFS(存条明细!$C$4:$C$1003,出库明细!C2437,存条明细!$D$4:$D$1003,出库明细!D2437)&gt;0,COUNTIFS(出库明细!$C$4:C2437,出库明细!C2437,出库明细!$D$4:D2437,出库明细!D2437)&gt;1),"",IFERROR(MATCH(出库明细!C2437,总览汇总!$B$5:$B$304,0),900)*10000000+IFERROR(MATCH(出库明细!D2437,基础资料!$E$5:$E$104,0),900)*10000+ROW()))</f>
      </c>
      <c r="F3437">
        <f>IF(AND(资金台帐!J440&lt;&gt;"",资金台帐!J440=客户对账单!$B$4,资金台帐!P440="应收",ISNUMBER(资金台帐!B440),资金台帐!B440&gt;=客户对账单!$G$4,资金台帐!B440&lt;=客户对账单!$I$4),资金台帐!B440+ROW()/100000,"")</f>
      </c>
      <c r="H3437">
        <f>IF(AND(资金台帐!K1940&lt;&gt;"",资金台帐!K1940=供应商对账单!$B$4,资金台帐!P1940="应付",ISNUMBER(资金台帐!B1940),资金台帐!B1940&gt;=供应商对账单!$G$4,资金台帐!B1940&lt;=供应商对账单!$I$4),资金台帐!B1940+ROW()/100000,"")</f>
      </c>
    </row>
    <row r="3438">
      <c r="A3438">
        <f>IF(OR(出库明细!C2438="",出库明细!D2438=""),"",IF(OR(COUNTIFS(存条明细!$C$4:$C$1003,出库明细!C2438,存条明细!$D$4:$D$1003,出库明细!D2438)&gt;0,COUNTIFS(出库明细!$C$4:C2438,出库明细!C2438,出库明细!$D$4:D2438,出库明细!D2438)&gt;1),"",IFERROR(MATCH(出库明细!C2438,总览汇总!$B$5:$B$304,0),900)*10000000+IFERROR(MATCH(出库明细!D2438,基础资料!$E$5:$E$104,0),900)*10000+ROW()))</f>
      </c>
      <c r="F3438">
        <f>IF(AND(资金台帐!J441&lt;&gt;"",资金台帐!J441=客户对账单!$B$4,资金台帐!P441="应收",ISNUMBER(资金台帐!B441),资金台帐!B441&gt;=客户对账单!$G$4,资金台帐!B441&lt;=客户对账单!$I$4),资金台帐!B441+ROW()/100000,"")</f>
      </c>
      <c r="H3438">
        <f>IF(AND(资金台帐!K1941&lt;&gt;"",资金台帐!K1941=供应商对账单!$B$4,资金台帐!P1941="应付",ISNUMBER(资金台帐!B1941),资金台帐!B1941&gt;=供应商对账单!$G$4,资金台帐!B1941&lt;=供应商对账单!$I$4),资金台帐!B1941+ROW()/100000,"")</f>
      </c>
    </row>
    <row r="3439">
      <c r="A3439">
        <f>IF(OR(出库明细!C2439="",出库明细!D2439=""),"",IF(OR(COUNTIFS(存条明细!$C$4:$C$1003,出库明细!C2439,存条明细!$D$4:$D$1003,出库明细!D2439)&gt;0,COUNTIFS(出库明细!$C$4:C2439,出库明细!C2439,出库明细!$D$4:D2439,出库明细!D2439)&gt;1),"",IFERROR(MATCH(出库明细!C2439,总览汇总!$B$5:$B$304,0),900)*10000000+IFERROR(MATCH(出库明细!D2439,基础资料!$E$5:$E$104,0),900)*10000+ROW()))</f>
      </c>
      <c r="F3439">
        <f>IF(AND(资金台帐!J442&lt;&gt;"",资金台帐!J442=客户对账单!$B$4,资金台帐!P442="应收",ISNUMBER(资金台帐!B442),资金台帐!B442&gt;=客户对账单!$G$4,资金台帐!B442&lt;=客户对账单!$I$4),资金台帐!B442+ROW()/100000,"")</f>
      </c>
      <c r="H3439">
        <f>IF(AND(资金台帐!K1942&lt;&gt;"",资金台帐!K1942=供应商对账单!$B$4,资金台帐!P1942="应付",ISNUMBER(资金台帐!B1942),资金台帐!B1942&gt;=供应商对账单!$G$4,资金台帐!B1942&lt;=供应商对账单!$I$4),资金台帐!B1942+ROW()/100000,"")</f>
      </c>
    </row>
    <row r="3440">
      <c r="A3440">
        <f>IF(OR(出库明细!C2440="",出库明细!D2440=""),"",IF(OR(COUNTIFS(存条明细!$C$4:$C$1003,出库明细!C2440,存条明细!$D$4:$D$1003,出库明细!D2440)&gt;0,COUNTIFS(出库明细!$C$4:C2440,出库明细!C2440,出库明细!$D$4:D2440,出库明细!D2440)&gt;1),"",IFERROR(MATCH(出库明细!C2440,总览汇总!$B$5:$B$304,0),900)*10000000+IFERROR(MATCH(出库明细!D2440,基础资料!$E$5:$E$104,0),900)*10000+ROW()))</f>
      </c>
      <c r="F3440">
        <f>IF(AND(资金台帐!J443&lt;&gt;"",资金台帐!J443=客户对账单!$B$4,资金台帐!P443="应收",ISNUMBER(资金台帐!B443),资金台帐!B443&gt;=客户对账单!$G$4,资金台帐!B443&lt;=客户对账单!$I$4),资金台帐!B443+ROW()/100000,"")</f>
      </c>
      <c r="H3440">
        <f>IF(AND(资金台帐!K1943&lt;&gt;"",资金台帐!K1943=供应商对账单!$B$4,资金台帐!P1943="应付",ISNUMBER(资金台帐!B1943),资金台帐!B1943&gt;=供应商对账单!$G$4,资金台帐!B1943&lt;=供应商对账单!$I$4),资金台帐!B1943+ROW()/100000,"")</f>
      </c>
    </row>
    <row r="3441">
      <c r="A3441">
        <f>IF(OR(出库明细!C2441="",出库明细!D2441=""),"",IF(OR(COUNTIFS(存条明细!$C$4:$C$1003,出库明细!C2441,存条明细!$D$4:$D$1003,出库明细!D2441)&gt;0,COUNTIFS(出库明细!$C$4:C2441,出库明细!C2441,出库明细!$D$4:D2441,出库明细!D2441)&gt;1),"",IFERROR(MATCH(出库明细!C2441,总览汇总!$B$5:$B$304,0),900)*10000000+IFERROR(MATCH(出库明细!D2441,基础资料!$E$5:$E$104,0),900)*10000+ROW()))</f>
      </c>
      <c r="F3441">
        <f>IF(AND(资金台帐!J444&lt;&gt;"",资金台帐!J444=客户对账单!$B$4,资金台帐!P444="应收",ISNUMBER(资金台帐!B444),资金台帐!B444&gt;=客户对账单!$G$4,资金台帐!B444&lt;=客户对账单!$I$4),资金台帐!B444+ROW()/100000,"")</f>
      </c>
      <c r="H3441">
        <f>IF(AND(资金台帐!K1944&lt;&gt;"",资金台帐!K1944=供应商对账单!$B$4,资金台帐!P1944="应付",ISNUMBER(资金台帐!B1944),资金台帐!B1944&gt;=供应商对账单!$G$4,资金台帐!B1944&lt;=供应商对账单!$I$4),资金台帐!B1944+ROW()/100000,"")</f>
      </c>
    </row>
    <row r="3442">
      <c r="A3442">
        <f>IF(OR(出库明细!C2442="",出库明细!D2442=""),"",IF(OR(COUNTIFS(存条明细!$C$4:$C$1003,出库明细!C2442,存条明细!$D$4:$D$1003,出库明细!D2442)&gt;0,COUNTIFS(出库明细!$C$4:C2442,出库明细!C2442,出库明细!$D$4:D2442,出库明细!D2442)&gt;1),"",IFERROR(MATCH(出库明细!C2442,总览汇总!$B$5:$B$304,0),900)*10000000+IFERROR(MATCH(出库明细!D2442,基础资料!$E$5:$E$104,0),900)*10000+ROW()))</f>
      </c>
      <c r="F3442">
        <f>IF(AND(资金台帐!J445&lt;&gt;"",资金台帐!J445=客户对账单!$B$4,资金台帐!P445="应收",ISNUMBER(资金台帐!B445),资金台帐!B445&gt;=客户对账单!$G$4,资金台帐!B445&lt;=客户对账单!$I$4),资金台帐!B445+ROW()/100000,"")</f>
      </c>
      <c r="H3442">
        <f>IF(AND(资金台帐!K1945&lt;&gt;"",资金台帐!K1945=供应商对账单!$B$4,资金台帐!P1945="应付",ISNUMBER(资金台帐!B1945),资金台帐!B1945&gt;=供应商对账单!$G$4,资金台帐!B1945&lt;=供应商对账单!$I$4),资金台帐!B1945+ROW()/100000,"")</f>
      </c>
    </row>
    <row r="3443">
      <c r="A3443">
        <f>IF(OR(出库明细!C2443="",出库明细!D2443=""),"",IF(OR(COUNTIFS(存条明细!$C$4:$C$1003,出库明细!C2443,存条明细!$D$4:$D$1003,出库明细!D2443)&gt;0,COUNTIFS(出库明细!$C$4:C2443,出库明细!C2443,出库明细!$D$4:D2443,出库明细!D2443)&gt;1),"",IFERROR(MATCH(出库明细!C2443,总览汇总!$B$5:$B$304,0),900)*10000000+IFERROR(MATCH(出库明细!D2443,基础资料!$E$5:$E$104,0),900)*10000+ROW()))</f>
      </c>
      <c r="F3443">
        <f>IF(AND(资金台帐!J446&lt;&gt;"",资金台帐!J446=客户对账单!$B$4,资金台帐!P446="应收",ISNUMBER(资金台帐!B446),资金台帐!B446&gt;=客户对账单!$G$4,资金台帐!B446&lt;=客户对账单!$I$4),资金台帐!B446+ROW()/100000,"")</f>
      </c>
      <c r="H3443">
        <f>IF(AND(资金台帐!K1946&lt;&gt;"",资金台帐!K1946=供应商对账单!$B$4,资金台帐!P1946="应付",ISNUMBER(资金台帐!B1946),资金台帐!B1946&gt;=供应商对账单!$G$4,资金台帐!B1946&lt;=供应商对账单!$I$4),资金台帐!B1946+ROW()/100000,"")</f>
      </c>
    </row>
    <row r="3444">
      <c r="A3444">
        <f>IF(OR(出库明细!C2444="",出库明细!D2444=""),"",IF(OR(COUNTIFS(存条明细!$C$4:$C$1003,出库明细!C2444,存条明细!$D$4:$D$1003,出库明细!D2444)&gt;0,COUNTIFS(出库明细!$C$4:C2444,出库明细!C2444,出库明细!$D$4:D2444,出库明细!D2444)&gt;1),"",IFERROR(MATCH(出库明细!C2444,总览汇总!$B$5:$B$304,0),900)*10000000+IFERROR(MATCH(出库明细!D2444,基础资料!$E$5:$E$104,0),900)*10000+ROW()))</f>
      </c>
      <c r="F3444">
        <f>IF(AND(资金台帐!J447&lt;&gt;"",资金台帐!J447=客户对账单!$B$4,资金台帐!P447="应收",ISNUMBER(资金台帐!B447),资金台帐!B447&gt;=客户对账单!$G$4,资金台帐!B447&lt;=客户对账单!$I$4),资金台帐!B447+ROW()/100000,"")</f>
      </c>
      <c r="H3444">
        <f>IF(AND(资金台帐!K1947&lt;&gt;"",资金台帐!K1947=供应商对账单!$B$4,资金台帐!P1947="应付",ISNUMBER(资金台帐!B1947),资金台帐!B1947&gt;=供应商对账单!$G$4,资金台帐!B1947&lt;=供应商对账单!$I$4),资金台帐!B1947+ROW()/100000,"")</f>
      </c>
    </row>
    <row r="3445">
      <c r="A3445">
        <f>IF(OR(出库明细!C2445="",出库明细!D2445=""),"",IF(OR(COUNTIFS(存条明细!$C$4:$C$1003,出库明细!C2445,存条明细!$D$4:$D$1003,出库明细!D2445)&gt;0,COUNTIFS(出库明细!$C$4:C2445,出库明细!C2445,出库明细!$D$4:D2445,出库明细!D2445)&gt;1),"",IFERROR(MATCH(出库明细!C2445,总览汇总!$B$5:$B$304,0),900)*10000000+IFERROR(MATCH(出库明细!D2445,基础资料!$E$5:$E$104,0),900)*10000+ROW()))</f>
      </c>
      <c r="F3445">
        <f>IF(AND(资金台帐!J448&lt;&gt;"",资金台帐!J448=客户对账单!$B$4,资金台帐!P448="应收",ISNUMBER(资金台帐!B448),资金台帐!B448&gt;=客户对账单!$G$4,资金台帐!B448&lt;=客户对账单!$I$4),资金台帐!B448+ROW()/100000,"")</f>
      </c>
      <c r="H3445">
        <f>IF(AND(资金台帐!K1948&lt;&gt;"",资金台帐!K1948=供应商对账单!$B$4,资金台帐!P1948="应付",ISNUMBER(资金台帐!B1948),资金台帐!B1948&gt;=供应商对账单!$G$4,资金台帐!B1948&lt;=供应商对账单!$I$4),资金台帐!B1948+ROW()/100000,"")</f>
      </c>
    </row>
    <row r="3446">
      <c r="A3446">
        <f>IF(OR(出库明细!C2446="",出库明细!D2446=""),"",IF(OR(COUNTIFS(存条明细!$C$4:$C$1003,出库明细!C2446,存条明细!$D$4:$D$1003,出库明细!D2446)&gt;0,COUNTIFS(出库明细!$C$4:C2446,出库明细!C2446,出库明细!$D$4:D2446,出库明细!D2446)&gt;1),"",IFERROR(MATCH(出库明细!C2446,总览汇总!$B$5:$B$304,0),900)*10000000+IFERROR(MATCH(出库明细!D2446,基础资料!$E$5:$E$104,0),900)*10000+ROW()))</f>
      </c>
      <c r="F3446">
        <f>IF(AND(资金台帐!J449&lt;&gt;"",资金台帐!J449=客户对账单!$B$4,资金台帐!P449="应收",ISNUMBER(资金台帐!B449),资金台帐!B449&gt;=客户对账单!$G$4,资金台帐!B449&lt;=客户对账单!$I$4),资金台帐!B449+ROW()/100000,"")</f>
      </c>
      <c r="H3446">
        <f>IF(AND(资金台帐!K1949&lt;&gt;"",资金台帐!K1949=供应商对账单!$B$4,资金台帐!P1949="应付",ISNUMBER(资金台帐!B1949),资金台帐!B1949&gt;=供应商对账单!$G$4,资金台帐!B1949&lt;=供应商对账单!$I$4),资金台帐!B1949+ROW()/100000,"")</f>
      </c>
    </row>
    <row r="3447">
      <c r="A3447">
        <f>IF(OR(出库明细!C2447="",出库明细!D2447=""),"",IF(OR(COUNTIFS(存条明细!$C$4:$C$1003,出库明细!C2447,存条明细!$D$4:$D$1003,出库明细!D2447)&gt;0,COUNTIFS(出库明细!$C$4:C2447,出库明细!C2447,出库明细!$D$4:D2447,出库明细!D2447)&gt;1),"",IFERROR(MATCH(出库明细!C2447,总览汇总!$B$5:$B$304,0),900)*10000000+IFERROR(MATCH(出库明细!D2447,基础资料!$E$5:$E$104,0),900)*10000+ROW()))</f>
      </c>
      <c r="F3447">
        <f>IF(AND(资金台帐!J450&lt;&gt;"",资金台帐!J450=客户对账单!$B$4,资金台帐!P450="应收",ISNUMBER(资金台帐!B450),资金台帐!B450&gt;=客户对账单!$G$4,资金台帐!B450&lt;=客户对账单!$I$4),资金台帐!B450+ROW()/100000,"")</f>
      </c>
      <c r="H3447">
        <f>IF(AND(资金台帐!K1950&lt;&gt;"",资金台帐!K1950=供应商对账单!$B$4,资金台帐!P1950="应付",ISNUMBER(资金台帐!B1950),资金台帐!B1950&gt;=供应商对账单!$G$4,资金台帐!B1950&lt;=供应商对账单!$I$4),资金台帐!B1950+ROW()/100000,"")</f>
      </c>
    </row>
    <row r="3448">
      <c r="A3448">
        <f>IF(OR(出库明细!C2448="",出库明细!D2448=""),"",IF(OR(COUNTIFS(存条明细!$C$4:$C$1003,出库明细!C2448,存条明细!$D$4:$D$1003,出库明细!D2448)&gt;0,COUNTIFS(出库明细!$C$4:C2448,出库明细!C2448,出库明细!$D$4:D2448,出库明细!D2448)&gt;1),"",IFERROR(MATCH(出库明细!C2448,总览汇总!$B$5:$B$304,0),900)*10000000+IFERROR(MATCH(出库明细!D2448,基础资料!$E$5:$E$104,0),900)*10000+ROW()))</f>
      </c>
      <c r="F3448">
        <f>IF(AND(资金台帐!J451&lt;&gt;"",资金台帐!J451=客户对账单!$B$4,资金台帐!P451="应收",ISNUMBER(资金台帐!B451),资金台帐!B451&gt;=客户对账单!$G$4,资金台帐!B451&lt;=客户对账单!$I$4),资金台帐!B451+ROW()/100000,"")</f>
      </c>
      <c r="H3448">
        <f>IF(AND(资金台帐!K1951&lt;&gt;"",资金台帐!K1951=供应商对账单!$B$4,资金台帐!P1951="应付",ISNUMBER(资金台帐!B1951),资金台帐!B1951&gt;=供应商对账单!$G$4,资金台帐!B1951&lt;=供应商对账单!$I$4),资金台帐!B1951+ROW()/100000,"")</f>
      </c>
    </row>
    <row r="3449">
      <c r="A3449">
        <f>IF(OR(出库明细!C2449="",出库明细!D2449=""),"",IF(OR(COUNTIFS(存条明细!$C$4:$C$1003,出库明细!C2449,存条明细!$D$4:$D$1003,出库明细!D2449)&gt;0,COUNTIFS(出库明细!$C$4:C2449,出库明细!C2449,出库明细!$D$4:D2449,出库明细!D2449)&gt;1),"",IFERROR(MATCH(出库明细!C2449,总览汇总!$B$5:$B$304,0),900)*10000000+IFERROR(MATCH(出库明细!D2449,基础资料!$E$5:$E$104,0),900)*10000+ROW()))</f>
      </c>
      <c r="F3449">
        <f>IF(AND(资金台帐!J452&lt;&gt;"",资金台帐!J452=客户对账单!$B$4,资金台帐!P452="应收",ISNUMBER(资金台帐!B452),资金台帐!B452&gt;=客户对账单!$G$4,资金台帐!B452&lt;=客户对账单!$I$4),资金台帐!B452+ROW()/100000,"")</f>
      </c>
      <c r="H3449">
        <f>IF(AND(资金台帐!K1952&lt;&gt;"",资金台帐!K1952=供应商对账单!$B$4,资金台帐!P1952="应付",ISNUMBER(资金台帐!B1952),资金台帐!B1952&gt;=供应商对账单!$G$4,资金台帐!B1952&lt;=供应商对账单!$I$4),资金台帐!B1952+ROW()/100000,"")</f>
      </c>
    </row>
    <row r="3450">
      <c r="A3450">
        <f>IF(OR(出库明细!C2450="",出库明细!D2450=""),"",IF(OR(COUNTIFS(存条明细!$C$4:$C$1003,出库明细!C2450,存条明细!$D$4:$D$1003,出库明细!D2450)&gt;0,COUNTIFS(出库明细!$C$4:C2450,出库明细!C2450,出库明细!$D$4:D2450,出库明细!D2450)&gt;1),"",IFERROR(MATCH(出库明细!C2450,总览汇总!$B$5:$B$304,0),900)*10000000+IFERROR(MATCH(出库明细!D2450,基础资料!$E$5:$E$104,0),900)*10000+ROW()))</f>
      </c>
      <c r="F3450">
        <f>IF(AND(资金台帐!J453&lt;&gt;"",资金台帐!J453=客户对账单!$B$4,资金台帐!P453="应收",ISNUMBER(资金台帐!B453),资金台帐!B453&gt;=客户对账单!$G$4,资金台帐!B453&lt;=客户对账单!$I$4),资金台帐!B453+ROW()/100000,"")</f>
      </c>
      <c r="H3450">
        <f>IF(AND(资金台帐!K1953&lt;&gt;"",资金台帐!K1953=供应商对账单!$B$4,资金台帐!P1953="应付",ISNUMBER(资金台帐!B1953),资金台帐!B1953&gt;=供应商对账单!$G$4,资金台帐!B1953&lt;=供应商对账单!$I$4),资金台帐!B1953+ROW()/100000,"")</f>
      </c>
    </row>
    <row r="3451">
      <c r="A3451">
        <f>IF(OR(出库明细!C2451="",出库明细!D2451=""),"",IF(OR(COUNTIFS(存条明细!$C$4:$C$1003,出库明细!C2451,存条明细!$D$4:$D$1003,出库明细!D2451)&gt;0,COUNTIFS(出库明细!$C$4:C2451,出库明细!C2451,出库明细!$D$4:D2451,出库明细!D2451)&gt;1),"",IFERROR(MATCH(出库明细!C2451,总览汇总!$B$5:$B$304,0),900)*10000000+IFERROR(MATCH(出库明细!D2451,基础资料!$E$5:$E$104,0),900)*10000+ROW()))</f>
      </c>
      <c r="F3451">
        <f>IF(AND(资金台帐!J454&lt;&gt;"",资金台帐!J454=客户对账单!$B$4,资金台帐!P454="应收",ISNUMBER(资金台帐!B454),资金台帐!B454&gt;=客户对账单!$G$4,资金台帐!B454&lt;=客户对账单!$I$4),资金台帐!B454+ROW()/100000,"")</f>
      </c>
      <c r="H3451">
        <f>IF(AND(资金台帐!K1954&lt;&gt;"",资金台帐!K1954=供应商对账单!$B$4,资金台帐!P1954="应付",ISNUMBER(资金台帐!B1954),资金台帐!B1954&gt;=供应商对账单!$G$4,资金台帐!B1954&lt;=供应商对账单!$I$4),资金台帐!B1954+ROW()/100000,"")</f>
      </c>
    </row>
    <row r="3452">
      <c r="A3452">
        <f>IF(OR(出库明细!C2452="",出库明细!D2452=""),"",IF(OR(COUNTIFS(存条明细!$C$4:$C$1003,出库明细!C2452,存条明细!$D$4:$D$1003,出库明细!D2452)&gt;0,COUNTIFS(出库明细!$C$4:C2452,出库明细!C2452,出库明细!$D$4:D2452,出库明细!D2452)&gt;1),"",IFERROR(MATCH(出库明细!C2452,总览汇总!$B$5:$B$304,0),900)*10000000+IFERROR(MATCH(出库明细!D2452,基础资料!$E$5:$E$104,0),900)*10000+ROW()))</f>
      </c>
      <c r="F3452">
        <f>IF(AND(资金台帐!J455&lt;&gt;"",资金台帐!J455=客户对账单!$B$4,资金台帐!P455="应收",ISNUMBER(资金台帐!B455),资金台帐!B455&gt;=客户对账单!$G$4,资金台帐!B455&lt;=客户对账单!$I$4),资金台帐!B455+ROW()/100000,"")</f>
      </c>
      <c r="H3452">
        <f>IF(AND(资金台帐!K1955&lt;&gt;"",资金台帐!K1955=供应商对账单!$B$4,资金台帐!P1955="应付",ISNUMBER(资金台帐!B1955),资金台帐!B1955&gt;=供应商对账单!$G$4,资金台帐!B1955&lt;=供应商对账单!$I$4),资金台帐!B1955+ROW()/100000,"")</f>
      </c>
    </row>
    <row r="3453">
      <c r="A3453">
        <f>IF(OR(出库明细!C2453="",出库明细!D2453=""),"",IF(OR(COUNTIFS(存条明细!$C$4:$C$1003,出库明细!C2453,存条明细!$D$4:$D$1003,出库明细!D2453)&gt;0,COUNTIFS(出库明细!$C$4:C2453,出库明细!C2453,出库明细!$D$4:D2453,出库明细!D2453)&gt;1),"",IFERROR(MATCH(出库明细!C2453,总览汇总!$B$5:$B$304,0),900)*10000000+IFERROR(MATCH(出库明细!D2453,基础资料!$E$5:$E$104,0),900)*10000+ROW()))</f>
      </c>
      <c r="F3453">
        <f>IF(AND(资金台帐!J456&lt;&gt;"",资金台帐!J456=客户对账单!$B$4,资金台帐!P456="应收",ISNUMBER(资金台帐!B456),资金台帐!B456&gt;=客户对账单!$G$4,资金台帐!B456&lt;=客户对账单!$I$4),资金台帐!B456+ROW()/100000,"")</f>
      </c>
      <c r="H3453">
        <f>IF(AND(资金台帐!K1956&lt;&gt;"",资金台帐!K1956=供应商对账单!$B$4,资金台帐!P1956="应付",ISNUMBER(资金台帐!B1956),资金台帐!B1956&gt;=供应商对账单!$G$4,资金台帐!B1956&lt;=供应商对账单!$I$4),资金台帐!B1956+ROW()/100000,"")</f>
      </c>
    </row>
    <row r="3454">
      <c r="A3454">
        <f>IF(OR(出库明细!C2454="",出库明细!D2454=""),"",IF(OR(COUNTIFS(存条明细!$C$4:$C$1003,出库明细!C2454,存条明细!$D$4:$D$1003,出库明细!D2454)&gt;0,COUNTIFS(出库明细!$C$4:C2454,出库明细!C2454,出库明细!$D$4:D2454,出库明细!D2454)&gt;1),"",IFERROR(MATCH(出库明细!C2454,总览汇总!$B$5:$B$304,0),900)*10000000+IFERROR(MATCH(出库明细!D2454,基础资料!$E$5:$E$104,0),900)*10000+ROW()))</f>
      </c>
      <c r="F3454">
        <f>IF(AND(资金台帐!J457&lt;&gt;"",资金台帐!J457=客户对账单!$B$4,资金台帐!P457="应收",ISNUMBER(资金台帐!B457),资金台帐!B457&gt;=客户对账单!$G$4,资金台帐!B457&lt;=客户对账单!$I$4),资金台帐!B457+ROW()/100000,"")</f>
      </c>
      <c r="H3454">
        <f>IF(AND(资金台帐!K1957&lt;&gt;"",资金台帐!K1957=供应商对账单!$B$4,资金台帐!P1957="应付",ISNUMBER(资金台帐!B1957),资金台帐!B1957&gt;=供应商对账单!$G$4,资金台帐!B1957&lt;=供应商对账单!$I$4),资金台帐!B1957+ROW()/100000,"")</f>
      </c>
    </row>
    <row r="3455">
      <c r="A3455">
        <f>IF(OR(出库明细!C2455="",出库明细!D2455=""),"",IF(OR(COUNTIFS(存条明细!$C$4:$C$1003,出库明细!C2455,存条明细!$D$4:$D$1003,出库明细!D2455)&gt;0,COUNTIFS(出库明细!$C$4:C2455,出库明细!C2455,出库明细!$D$4:D2455,出库明细!D2455)&gt;1),"",IFERROR(MATCH(出库明细!C2455,总览汇总!$B$5:$B$304,0),900)*10000000+IFERROR(MATCH(出库明细!D2455,基础资料!$E$5:$E$104,0),900)*10000+ROW()))</f>
      </c>
      <c r="F3455">
        <f>IF(AND(资金台帐!J458&lt;&gt;"",资金台帐!J458=客户对账单!$B$4,资金台帐!P458="应收",ISNUMBER(资金台帐!B458),资金台帐!B458&gt;=客户对账单!$G$4,资金台帐!B458&lt;=客户对账单!$I$4),资金台帐!B458+ROW()/100000,"")</f>
      </c>
      <c r="H3455">
        <f>IF(AND(资金台帐!K1958&lt;&gt;"",资金台帐!K1958=供应商对账单!$B$4,资金台帐!P1958="应付",ISNUMBER(资金台帐!B1958),资金台帐!B1958&gt;=供应商对账单!$G$4,资金台帐!B1958&lt;=供应商对账单!$I$4),资金台帐!B1958+ROW()/100000,"")</f>
      </c>
    </row>
    <row r="3456">
      <c r="A3456">
        <f>IF(OR(出库明细!C2456="",出库明细!D2456=""),"",IF(OR(COUNTIFS(存条明细!$C$4:$C$1003,出库明细!C2456,存条明细!$D$4:$D$1003,出库明细!D2456)&gt;0,COUNTIFS(出库明细!$C$4:C2456,出库明细!C2456,出库明细!$D$4:D2456,出库明细!D2456)&gt;1),"",IFERROR(MATCH(出库明细!C2456,总览汇总!$B$5:$B$304,0),900)*10000000+IFERROR(MATCH(出库明细!D2456,基础资料!$E$5:$E$104,0),900)*10000+ROW()))</f>
      </c>
      <c r="F3456">
        <f>IF(AND(资金台帐!J459&lt;&gt;"",资金台帐!J459=客户对账单!$B$4,资金台帐!P459="应收",ISNUMBER(资金台帐!B459),资金台帐!B459&gt;=客户对账单!$G$4,资金台帐!B459&lt;=客户对账单!$I$4),资金台帐!B459+ROW()/100000,"")</f>
      </c>
      <c r="H3456">
        <f>IF(AND(资金台帐!K1959&lt;&gt;"",资金台帐!K1959=供应商对账单!$B$4,资金台帐!P1959="应付",ISNUMBER(资金台帐!B1959),资金台帐!B1959&gt;=供应商对账单!$G$4,资金台帐!B1959&lt;=供应商对账单!$I$4),资金台帐!B1959+ROW()/100000,"")</f>
      </c>
    </row>
    <row r="3457">
      <c r="A3457">
        <f>IF(OR(出库明细!C2457="",出库明细!D2457=""),"",IF(OR(COUNTIFS(存条明细!$C$4:$C$1003,出库明细!C2457,存条明细!$D$4:$D$1003,出库明细!D2457)&gt;0,COUNTIFS(出库明细!$C$4:C2457,出库明细!C2457,出库明细!$D$4:D2457,出库明细!D2457)&gt;1),"",IFERROR(MATCH(出库明细!C2457,总览汇总!$B$5:$B$304,0),900)*10000000+IFERROR(MATCH(出库明细!D2457,基础资料!$E$5:$E$104,0),900)*10000+ROW()))</f>
      </c>
      <c r="F3457">
        <f>IF(AND(资金台帐!J460&lt;&gt;"",资金台帐!J460=客户对账单!$B$4,资金台帐!P460="应收",ISNUMBER(资金台帐!B460),资金台帐!B460&gt;=客户对账单!$G$4,资金台帐!B460&lt;=客户对账单!$I$4),资金台帐!B460+ROW()/100000,"")</f>
      </c>
      <c r="H3457">
        <f>IF(AND(资金台帐!K1960&lt;&gt;"",资金台帐!K1960=供应商对账单!$B$4,资金台帐!P1960="应付",ISNUMBER(资金台帐!B1960),资金台帐!B1960&gt;=供应商对账单!$G$4,资金台帐!B1960&lt;=供应商对账单!$I$4),资金台帐!B1960+ROW()/100000,"")</f>
      </c>
    </row>
    <row r="3458">
      <c r="A3458">
        <f>IF(OR(出库明细!C2458="",出库明细!D2458=""),"",IF(OR(COUNTIFS(存条明细!$C$4:$C$1003,出库明细!C2458,存条明细!$D$4:$D$1003,出库明细!D2458)&gt;0,COUNTIFS(出库明细!$C$4:C2458,出库明细!C2458,出库明细!$D$4:D2458,出库明细!D2458)&gt;1),"",IFERROR(MATCH(出库明细!C2458,总览汇总!$B$5:$B$304,0),900)*10000000+IFERROR(MATCH(出库明细!D2458,基础资料!$E$5:$E$104,0),900)*10000+ROW()))</f>
      </c>
      <c r="F3458">
        <f>IF(AND(资金台帐!J461&lt;&gt;"",资金台帐!J461=客户对账单!$B$4,资金台帐!P461="应收",ISNUMBER(资金台帐!B461),资金台帐!B461&gt;=客户对账单!$G$4,资金台帐!B461&lt;=客户对账单!$I$4),资金台帐!B461+ROW()/100000,"")</f>
      </c>
      <c r="H3458">
        <f>IF(AND(资金台帐!K1961&lt;&gt;"",资金台帐!K1961=供应商对账单!$B$4,资金台帐!P1961="应付",ISNUMBER(资金台帐!B1961),资金台帐!B1961&gt;=供应商对账单!$G$4,资金台帐!B1961&lt;=供应商对账单!$I$4),资金台帐!B1961+ROW()/100000,"")</f>
      </c>
    </row>
    <row r="3459">
      <c r="A3459">
        <f>IF(OR(出库明细!C2459="",出库明细!D2459=""),"",IF(OR(COUNTIFS(存条明细!$C$4:$C$1003,出库明细!C2459,存条明细!$D$4:$D$1003,出库明细!D2459)&gt;0,COUNTIFS(出库明细!$C$4:C2459,出库明细!C2459,出库明细!$D$4:D2459,出库明细!D2459)&gt;1),"",IFERROR(MATCH(出库明细!C2459,总览汇总!$B$5:$B$304,0),900)*10000000+IFERROR(MATCH(出库明细!D2459,基础资料!$E$5:$E$104,0),900)*10000+ROW()))</f>
      </c>
      <c r="F3459">
        <f>IF(AND(资金台帐!J462&lt;&gt;"",资金台帐!J462=客户对账单!$B$4,资金台帐!P462="应收",ISNUMBER(资金台帐!B462),资金台帐!B462&gt;=客户对账单!$G$4,资金台帐!B462&lt;=客户对账单!$I$4),资金台帐!B462+ROW()/100000,"")</f>
      </c>
      <c r="H3459">
        <f>IF(AND(资金台帐!K1962&lt;&gt;"",资金台帐!K1962=供应商对账单!$B$4,资金台帐!P1962="应付",ISNUMBER(资金台帐!B1962),资金台帐!B1962&gt;=供应商对账单!$G$4,资金台帐!B1962&lt;=供应商对账单!$I$4),资金台帐!B1962+ROW()/100000,"")</f>
      </c>
    </row>
    <row r="3460">
      <c r="A3460">
        <f>IF(OR(出库明细!C2460="",出库明细!D2460=""),"",IF(OR(COUNTIFS(存条明细!$C$4:$C$1003,出库明细!C2460,存条明细!$D$4:$D$1003,出库明细!D2460)&gt;0,COUNTIFS(出库明细!$C$4:C2460,出库明细!C2460,出库明细!$D$4:D2460,出库明细!D2460)&gt;1),"",IFERROR(MATCH(出库明细!C2460,总览汇总!$B$5:$B$304,0),900)*10000000+IFERROR(MATCH(出库明细!D2460,基础资料!$E$5:$E$104,0),900)*10000+ROW()))</f>
      </c>
      <c r="F3460">
        <f>IF(AND(资金台帐!J463&lt;&gt;"",资金台帐!J463=客户对账单!$B$4,资金台帐!P463="应收",ISNUMBER(资金台帐!B463),资金台帐!B463&gt;=客户对账单!$G$4,资金台帐!B463&lt;=客户对账单!$I$4),资金台帐!B463+ROW()/100000,"")</f>
      </c>
      <c r="H3460">
        <f>IF(AND(资金台帐!K1963&lt;&gt;"",资金台帐!K1963=供应商对账单!$B$4,资金台帐!P1963="应付",ISNUMBER(资金台帐!B1963),资金台帐!B1963&gt;=供应商对账单!$G$4,资金台帐!B1963&lt;=供应商对账单!$I$4),资金台帐!B1963+ROW()/100000,"")</f>
      </c>
    </row>
    <row r="3461">
      <c r="A3461">
        <f>IF(OR(出库明细!C2461="",出库明细!D2461=""),"",IF(OR(COUNTIFS(存条明细!$C$4:$C$1003,出库明细!C2461,存条明细!$D$4:$D$1003,出库明细!D2461)&gt;0,COUNTIFS(出库明细!$C$4:C2461,出库明细!C2461,出库明细!$D$4:D2461,出库明细!D2461)&gt;1),"",IFERROR(MATCH(出库明细!C2461,总览汇总!$B$5:$B$304,0),900)*10000000+IFERROR(MATCH(出库明细!D2461,基础资料!$E$5:$E$104,0),900)*10000+ROW()))</f>
      </c>
      <c r="F3461">
        <f>IF(AND(资金台帐!J464&lt;&gt;"",资金台帐!J464=客户对账单!$B$4,资金台帐!P464="应收",ISNUMBER(资金台帐!B464),资金台帐!B464&gt;=客户对账单!$G$4,资金台帐!B464&lt;=客户对账单!$I$4),资金台帐!B464+ROW()/100000,"")</f>
      </c>
      <c r="H3461">
        <f>IF(AND(资金台帐!K1964&lt;&gt;"",资金台帐!K1964=供应商对账单!$B$4,资金台帐!P1964="应付",ISNUMBER(资金台帐!B1964),资金台帐!B1964&gt;=供应商对账单!$G$4,资金台帐!B1964&lt;=供应商对账单!$I$4),资金台帐!B1964+ROW()/100000,"")</f>
      </c>
    </row>
    <row r="3462">
      <c r="A3462">
        <f>IF(OR(出库明细!C2462="",出库明细!D2462=""),"",IF(OR(COUNTIFS(存条明细!$C$4:$C$1003,出库明细!C2462,存条明细!$D$4:$D$1003,出库明细!D2462)&gt;0,COUNTIFS(出库明细!$C$4:C2462,出库明细!C2462,出库明细!$D$4:D2462,出库明细!D2462)&gt;1),"",IFERROR(MATCH(出库明细!C2462,总览汇总!$B$5:$B$304,0),900)*10000000+IFERROR(MATCH(出库明细!D2462,基础资料!$E$5:$E$104,0),900)*10000+ROW()))</f>
      </c>
      <c r="F3462">
        <f>IF(AND(资金台帐!J465&lt;&gt;"",资金台帐!J465=客户对账单!$B$4,资金台帐!P465="应收",ISNUMBER(资金台帐!B465),资金台帐!B465&gt;=客户对账单!$G$4,资金台帐!B465&lt;=客户对账单!$I$4),资金台帐!B465+ROW()/100000,"")</f>
      </c>
      <c r="H3462">
        <f>IF(AND(资金台帐!K1965&lt;&gt;"",资金台帐!K1965=供应商对账单!$B$4,资金台帐!P1965="应付",ISNUMBER(资金台帐!B1965),资金台帐!B1965&gt;=供应商对账单!$G$4,资金台帐!B1965&lt;=供应商对账单!$I$4),资金台帐!B1965+ROW()/100000,"")</f>
      </c>
    </row>
    <row r="3463">
      <c r="A3463">
        <f>IF(OR(出库明细!C2463="",出库明细!D2463=""),"",IF(OR(COUNTIFS(存条明细!$C$4:$C$1003,出库明细!C2463,存条明细!$D$4:$D$1003,出库明细!D2463)&gt;0,COUNTIFS(出库明细!$C$4:C2463,出库明细!C2463,出库明细!$D$4:D2463,出库明细!D2463)&gt;1),"",IFERROR(MATCH(出库明细!C2463,总览汇总!$B$5:$B$304,0),900)*10000000+IFERROR(MATCH(出库明细!D2463,基础资料!$E$5:$E$104,0),900)*10000+ROW()))</f>
      </c>
      <c r="F3463">
        <f>IF(AND(资金台帐!J466&lt;&gt;"",资金台帐!J466=客户对账单!$B$4,资金台帐!P466="应收",ISNUMBER(资金台帐!B466),资金台帐!B466&gt;=客户对账单!$G$4,资金台帐!B466&lt;=客户对账单!$I$4),资金台帐!B466+ROW()/100000,"")</f>
      </c>
      <c r="H3463">
        <f>IF(AND(资金台帐!K1966&lt;&gt;"",资金台帐!K1966=供应商对账单!$B$4,资金台帐!P1966="应付",ISNUMBER(资金台帐!B1966),资金台帐!B1966&gt;=供应商对账单!$G$4,资金台帐!B1966&lt;=供应商对账单!$I$4),资金台帐!B1966+ROW()/100000,"")</f>
      </c>
    </row>
    <row r="3464">
      <c r="A3464">
        <f>IF(OR(出库明细!C2464="",出库明细!D2464=""),"",IF(OR(COUNTIFS(存条明细!$C$4:$C$1003,出库明细!C2464,存条明细!$D$4:$D$1003,出库明细!D2464)&gt;0,COUNTIFS(出库明细!$C$4:C2464,出库明细!C2464,出库明细!$D$4:D2464,出库明细!D2464)&gt;1),"",IFERROR(MATCH(出库明细!C2464,总览汇总!$B$5:$B$304,0),900)*10000000+IFERROR(MATCH(出库明细!D2464,基础资料!$E$5:$E$104,0),900)*10000+ROW()))</f>
      </c>
      <c r="F3464">
        <f>IF(AND(资金台帐!J467&lt;&gt;"",资金台帐!J467=客户对账单!$B$4,资金台帐!P467="应收",ISNUMBER(资金台帐!B467),资金台帐!B467&gt;=客户对账单!$G$4,资金台帐!B467&lt;=客户对账单!$I$4),资金台帐!B467+ROW()/100000,"")</f>
      </c>
      <c r="H3464">
        <f>IF(AND(资金台帐!K1967&lt;&gt;"",资金台帐!K1967=供应商对账单!$B$4,资金台帐!P1967="应付",ISNUMBER(资金台帐!B1967),资金台帐!B1967&gt;=供应商对账单!$G$4,资金台帐!B1967&lt;=供应商对账单!$I$4),资金台帐!B1967+ROW()/100000,"")</f>
      </c>
    </row>
    <row r="3465">
      <c r="A3465">
        <f>IF(OR(出库明细!C2465="",出库明细!D2465=""),"",IF(OR(COUNTIFS(存条明细!$C$4:$C$1003,出库明细!C2465,存条明细!$D$4:$D$1003,出库明细!D2465)&gt;0,COUNTIFS(出库明细!$C$4:C2465,出库明细!C2465,出库明细!$D$4:D2465,出库明细!D2465)&gt;1),"",IFERROR(MATCH(出库明细!C2465,总览汇总!$B$5:$B$304,0),900)*10000000+IFERROR(MATCH(出库明细!D2465,基础资料!$E$5:$E$104,0),900)*10000+ROW()))</f>
      </c>
      <c r="F3465">
        <f>IF(AND(资金台帐!J468&lt;&gt;"",资金台帐!J468=客户对账单!$B$4,资金台帐!P468="应收",ISNUMBER(资金台帐!B468),资金台帐!B468&gt;=客户对账单!$G$4,资金台帐!B468&lt;=客户对账单!$I$4),资金台帐!B468+ROW()/100000,"")</f>
      </c>
      <c r="H3465">
        <f>IF(AND(资金台帐!K1968&lt;&gt;"",资金台帐!K1968=供应商对账单!$B$4,资金台帐!P1968="应付",ISNUMBER(资金台帐!B1968),资金台帐!B1968&gt;=供应商对账单!$G$4,资金台帐!B1968&lt;=供应商对账单!$I$4),资金台帐!B1968+ROW()/100000,"")</f>
      </c>
    </row>
    <row r="3466">
      <c r="A3466">
        <f>IF(OR(出库明细!C2466="",出库明细!D2466=""),"",IF(OR(COUNTIFS(存条明细!$C$4:$C$1003,出库明细!C2466,存条明细!$D$4:$D$1003,出库明细!D2466)&gt;0,COUNTIFS(出库明细!$C$4:C2466,出库明细!C2466,出库明细!$D$4:D2466,出库明细!D2466)&gt;1),"",IFERROR(MATCH(出库明细!C2466,总览汇总!$B$5:$B$304,0),900)*10000000+IFERROR(MATCH(出库明细!D2466,基础资料!$E$5:$E$104,0),900)*10000+ROW()))</f>
      </c>
      <c r="F3466">
        <f>IF(AND(资金台帐!J469&lt;&gt;"",资金台帐!J469=客户对账单!$B$4,资金台帐!P469="应收",ISNUMBER(资金台帐!B469),资金台帐!B469&gt;=客户对账单!$G$4,资金台帐!B469&lt;=客户对账单!$I$4),资金台帐!B469+ROW()/100000,"")</f>
      </c>
      <c r="H3466">
        <f>IF(AND(资金台帐!K1969&lt;&gt;"",资金台帐!K1969=供应商对账单!$B$4,资金台帐!P1969="应付",ISNUMBER(资金台帐!B1969),资金台帐!B1969&gt;=供应商对账单!$G$4,资金台帐!B1969&lt;=供应商对账单!$I$4),资金台帐!B1969+ROW()/100000,"")</f>
      </c>
    </row>
    <row r="3467">
      <c r="A3467">
        <f>IF(OR(出库明细!C2467="",出库明细!D2467=""),"",IF(OR(COUNTIFS(存条明细!$C$4:$C$1003,出库明细!C2467,存条明细!$D$4:$D$1003,出库明细!D2467)&gt;0,COUNTIFS(出库明细!$C$4:C2467,出库明细!C2467,出库明细!$D$4:D2467,出库明细!D2467)&gt;1),"",IFERROR(MATCH(出库明细!C2467,总览汇总!$B$5:$B$304,0),900)*10000000+IFERROR(MATCH(出库明细!D2467,基础资料!$E$5:$E$104,0),900)*10000+ROW()))</f>
      </c>
      <c r="F3467">
        <f>IF(AND(资金台帐!J470&lt;&gt;"",资金台帐!J470=客户对账单!$B$4,资金台帐!P470="应收",ISNUMBER(资金台帐!B470),资金台帐!B470&gt;=客户对账单!$G$4,资金台帐!B470&lt;=客户对账单!$I$4),资金台帐!B470+ROW()/100000,"")</f>
      </c>
      <c r="H3467">
        <f>IF(AND(资金台帐!K1970&lt;&gt;"",资金台帐!K1970=供应商对账单!$B$4,资金台帐!P1970="应付",ISNUMBER(资金台帐!B1970),资金台帐!B1970&gt;=供应商对账单!$G$4,资金台帐!B1970&lt;=供应商对账单!$I$4),资金台帐!B1970+ROW()/100000,"")</f>
      </c>
    </row>
    <row r="3468">
      <c r="A3468">
        <f>IF(OR(出库明细!C2468="",出库明细!D2468=""),"",IF(OR(COUNTIFS(存条明细!$C$4:$C$1003,出库明细!C2468,存条明细!$D$4:$D$1003,出库明细!D2468)&gt;0,COUNTIFS(出库明细!$C$4:C2468,出库明细!C2468,出库明细!$D$4:D2468,出库明细!D2468)&gt;1),"",IFERROR(MATCH(出库明细!C2468,总览汇总!$B$5:$B$304,0),900)*10000000+IFERROR(MATCH(出库明细!D2468,基础资料!$E$5:$E$104,0),900)*10000+ROW()))</f>
      </c>
      <c r="F3468">
        <f>IF(AND(资金台帐!J471&lt;&gt;"",资金台帐!J471=客户对账单!$B$4,资金台帐!P471="应收",ISNUMBER(资金台帐!B471),资金台帐!B471&gt;=客户对账单!$G$4,资金台帐!B471&lt;=客户对账单!$I$4),资金台帐!B471+ROW()/100000,"")</f>
      </c>
      <c r="H3468">
        <f>IF(AND(资金台帐!K1971&lt;&gt;"",资金台帐!K1971=供应商对账单!$B$4,资金台帐!P1971="应付",ISNUMBER(资金台帐!B1971),资金台帐!B1971&gt;=供应商对账单!$G$4,资金台帐!B1971&lt;=供应商对账单!$I$4),资金台帐!B1971+ROW()/100000,"")</f>
      </c>
    </row>
    <row r="3469">
      <c r="A3469">
        <f>IF(OR(出库明细!C2469="",出库明细!D2469=""),"",IF(OR(COUNTIFS(存条明细!$C$4:$C$1003,出库明细!C2469,存条明细!$D$4:$D$1003,出库明细!D2469)&gt;0,COUNTIFS(出库明细!$C$4:C2469,出库明细!C2469,出库明细!$D$4:D2469,出库明细!D2469)&gt;1),"",IFERROR(MATCH(出库明细!C2469,总览汇总!$B$5:$B$304,0),900)*10000000+IFERROR(MATCH(出库明细!D2469,基础资料!$E$5:$E$104,0),900)*10000+ROW()))</f>
      </c>
      <c r="F3469">
        <f>IF(AND(资金台帐!J472&lt;&gt;"",资金台帐!J472=客户对账单!$B$4,资金台帐!P472="应收",ISNUMBER(资金台帐!B472),资金台帐!B472&gt;=客户对账单!$G$4,资金台帐!B472&lt;=客户对账单!$I$4),资金台帐!B472+ROW()/100000,"")</f>
      </c>
      <c r="H3469">
        <f>IF(AND(资金台帐!K1972&lt;&gt;"",资金台帐!K1972=供应商对账单!$B$4,资金台帐!P1972="应付",ISNUMBER(资金台帐!B1972),资金台帐!B1972&gt;=供应商对账单!$G$4,资金台帐!B1972&lt;=供应商对账单!$I$4),资金台帐!B1972+ROW()/100000,"")</f>
      </c>
    </row>
    <row r="3470">
      <c r="A3470">
        <f>IF(OR(出库明细!C2470="",出库明细!D2470=""),"",IF(OR(COUNTIFS(存条明细!$C$4:$C$1003,出库明细!C2470,存条明细!$D$4:$D$1003,出库明细!D2470)&gt;0,COUNTIFS(出库明细!$C$4:C2470,出库明细!C2470,出库明细!$D$4:D2470,出库明细!D2470)&gt;1),"",IFERROR(MATCH(出库明细!C2470,总览汇总!$B$5:$B$304,0),900)*10000000+IFERROR(MATCH(出库明细!D2470,基础资料!$E$5:$E$104,0),900)*10000+ROW()))</f>
      </c>
      <c r="F3470">
        <f>IF(AND(资金台帐!J473&lt;&gt;"",资金台帐!J473=客户对账单!$B$4,资金台帐!P473="应收",ISNUMBER(资金台帐!B473),资金台帐!B473&gt;=客户对账单!$G$4,资金台帐!B473&lt;=客户对账单!$I$4),资金台帐!B473+ROW()/100000,"")</f>
      </c>
      <c r="H3470">
        <f>IF(AND(资金台帐!K1973&lt;&gt;"",资金台帐!K1973=供应商对账单!$B$4,资金台帐!P1973="应付",ISNUMBER(资金台帐!B1973),资金台帐!B1973&gt;=供应商对账单!$G$4,资金台帐!B1973&lt;=供应商对账单!$I$4),资金台帐!B1973+ROW()/100000,"")</f>
      </c>
    </row>
    <row r="3471">
      <c r="A3471">
        <f>IF(OR(出库明细!C2471="",出库明细!D2471=""),"",IF(OR(COUNTIFS(存条明细!$C$4:$C$1003,出库明细!C2471,存条明细!$D$4:$D$1003,出库明细!D2471)&gt;0,COUNTIFS(出库明细!$C$4:C2471,出库明细!C2471,出库明细!$D$4:D2471,出库明细!D2471)&gt;1),"",IFERROR(MATCH(出库明细!C2471,总览汇总!$B$5:$B$304,0),900)*10000000+IFERROR(MATCH(出库明细!D2471,基础资料!$E$5:$E$104,0),900)*10000+ROW()))</f>
      </c>
      <c r="F3471">
        <f>IF(AND(资金台帐!J474&lt;&gt;"",资金台帐!J474=客户对账单!$B$4,资金台帐!P474="应收",ISNUMBER(资金台帐!B474),资金台帐!B474&gt;=客户对账单!$G$4,资金台帐!B474&lt;=客户对账单!$I$4),资金台帐!B474+ROW()/100000,"")</f>
      </c>
      <c r="H3471">
        <f>IF(AND(资金台帐!K1974&lt;&gt;"",资金台帐!K1974=供应商对账单!$B$4,资金台帐!P1974="应付",ISNUMBER(资金台帐!B1974),资金台帐!B1974&gt;=供应商对账单!$G$4,资金台帐!B1974&lt;=供应商对账单!$I$4),资金台帐!B1974+ROW()/100000,"")</f>
      </c>
    </row>
    <row r="3472">
      <c r="A3472">
        <f>IF(OR(出库明细!C2472="",出库明细!D2472=""),"",IF(OR(COUNTIFS(存条明细!$C$4:$C$1003,出库明细!C2472,存条明细!$D$4:$D$1003,出库明细!D2472)&gt;0,COUNTIFS(出库明细!$C$4:C2472,出库明细!C2472,出库明细!$D$4:D2472,出库明细!D2472)&gt;1),"",IFERROR(MATCH(出库明细!C2472,总览汇总!$B$5:$B$304,0),900)*10000000+IFERROR(MATCH(出库明细!D2472,基础资料!$E$5:$E$104,0),900)*10000+ROW()))</f>
      </c>
      <c r="F3472">
        <f>IF(AND(资金台帐!J475&lt;&gt;"",资金台帐!J475=客户对账单!$B$4,资金台帐!P475="应收",ISNUMBER(资金台帐!B475),资金台帐!B475&gt;=客户对账单!$G$4,资金台帐!B475&lt;=客户对账单!$I$4),资金台帐!B475+ROW()/100000,"")</f>
      </c>
      <c r="H3472">
        <f>IF(AND(资金台帐!K1975&lt;&gt;"",资金台帐!K1975=供应商对账单!$B$4,资金台帐!P1975="应付",ISNUMBER(资金台帐!B1975),资金台帐!B1975&gt;=供应商对账单!$G$4,资金台帐!B1975&lt;=供应商对账单!$I$4),资金台帐!B1975+ROW()/100000,"")</f>
      </c>
    </row>
    <row r="3473">
      <c r="A3473">
        <f>IF(OR(出库明细!C2473="",出库明细!D2473=""),"",IF(OR(COUNTIFS(存条明细!$C$4:$C$1003,出库明细!C2473,存条明细!$D$4:$D$1003,出库明细!D2473)&gt;0,COUNTIFS(出库明细!$C$4:C2473,出库明细!C2473,出库明细!$D$4:D2473,出库明细!D2473)&gt;1),"",IFERROR(MATCH(出库明细!C2473,总览汇总!$B$5:$B$304,0),900)*10000000+IFERROR(MATCH(出库明细!D2473,基础资料!$E$5:$E$104,0),900)*10000+ROW()))</f>
      </c>
      <c r="F3473">
        <f>IF(AND(资金台帐!J476&lt;&gt;"",资金台帐!J476=客户对账单!$B$4,资金台帐!P476="应收",ISNUMBER(资金台帐!B476),资金台帐!B476&gt;=客户对账单!$G$4,资金台帐!B476&lt;=客户对账单!$I$4),资金台帐!B476+ROW()/100000,"")</f>
      </c>
      <c r="H3473">
        <f>IF(AND(资金台帐!K1976&lt;&gt;"",资金台帐!K1976=供应商对账单!$B$4,资金台帐!P1976="应付",ISNUMBER(资金台帐!B1976),资金台帐!B1976&gt;=供应商对账单!$G$4,资金台帐!B1976&lt;=供应商对账单!$I$4),资金台帐!B1976+ROW()/100000,"")</f>
      </c>
    </row>
    <row r="3474">
      <c r="A3474">
        <f>IF(OR(出库明细!C2474="",出库明细!D2474=""),"",IF(OR(COUNTIFS(存条明细!$C$4:$C$1003,出库明细!C2474,存条明细!$D$4:$D$1003,出库明细!D2474)&gt;0,COUNTIFS(出库明细!$C$4:C2474,出库明细!C2474,出库明细!$D$4:D2474,出库明细!D2474)&gt;1),"",IFERROR(MATCH(出库明细!C2474,总览汇总!$B$5:$B$304,0),900)*10000000+IFERROR(MATCH(出库明细!D2474,基础资料!$E$5:$E$104,0),900)*10000+ROW()))</f>
      </c>
      <c r="F3474">
        <f>IF(AND(资金台帐!J477&lt;&gt;"",资金台帐!J477=客户对账单!$B$4,资金台帐!P477="应收",ISNUMBER(资金台帐!B477),资金台帐!B477&gt;=客户对账单!$G$4,资金台帐!B477&lt;=客户对账单!$I$4),资金台帐!B477+ROW()/100000,"")</f>
      </c>
      <c r="H3474">
        <f>IF(AND(资金台帐!K1977&lt;&gt;"",资金台帐!K1977=供应商对账单!$B$4,资金台帐!P1977="应付",ISNUMBER(资金台帐!B1977),资金台帐!B1977&gt;=供应商对账单!$G$4,资金台帐!B1977&lt;=供应商对账单!$I$4),资金台帐!B1977+ROW()/100000,"")</f>
      </c>
    </row>
    <row r="3475">
      <c r="A3475">
        <f>IF(OR(出库明细!C2475="",出库明细!D2475=""),"",IF(OR(COUNTIFS(存条明细!$C$4:$C$1003,出库明细!C2475,存条明细!$D$4:$D$1003,出库明细!D2475)&gt;0,COUNTIFS(出库明细!$C$4:C2475,出库明细!C2475,出库明细!$D$4:D2475,出库明细!D2475)&gt;1),"",IFERROR(MATCH(出库明细!C2475,总览汇总!$B$5:$B$304,0),900)*10000000+IFERROR(MATCH(出库明细!D2475,基础资料!$E$5:$E$104,0),900)*10000+ROW()))</f>
      </c>
      <c r="F3475">
        <f>IF(AND(资金台帐!J478&lt;&gt;"",资金台帐!J478=客户对账单!$B$4,资金台帐!P478="应收",ISNUMBER(资金台帐!B478),资金台帐!B478&gt;=客户对账单!$G$4,资金台帐!B478&lt;=客户对账单!$I$4),资金台帐!B478+ROW()/100000,"")</f>
      </c>
      <c r="H3475">
        <f>IF(AND(资金台帐!K1978&lt;&gt;"",资金台帐!K1978=供应商对账单!$B$4,资金台帐!P1978="应付",ISNUMBER(资金台帐!B1978),资金台帐!B1978&gt;=供应商对账单!$G$4,资金台帐!B1978&lt;=供应商对账单!$I$4),资金台帐!B1978+ROW()/100000,"")</f>
      </c>
    </row>
    <row r="3476">
      <c r="A3476">
        <f>IF(OR(出库明细!C2476="",出库明细!D2476=""),"",IF(OR(COUNTIFS(存条明细!$C$4:$C$1003,出库明细!C2476,存条明细!$D$4:$D$1003,出库明细!D2476)&gt;0,COUNTIFS(出库明细!$C$4:C2476,出库明细!C2476,出库明细!$D$4:D2476,出库明细!D2476)&gt;1),"",IFERROR(MATCH(出库明细!C2476,总览汇总!$B$5:$B$304,0),900)*10000000+IFERROR(MATCH(出库明细!D2476,基础资料!$E$5:$E$104,0),900)*10000+ROW()))</f>
      </c>
      <c r="F3476">
        <f>IF(AND(资金台帐!J479&lt;&gt;"",资金台帐!J479=客户对账单!$B$4,资金台帐!P479="应收",ISNUMBER(资金台帐!B479),资金台帐!B479&gt;=客户对账单!$G$4,资金台帐!B479&lt;=客户对账单!$I$4),资金台帐!B479+ROW()/100000,"")</f>
      </c>
      <c r="H3476">
        <f>IF(AND(资金台帐!K1979&lt;&gt;"",资金台帐!K1979=供应商对账单!$B$4,资金台帐!P1979="应付",ISNUMBER(资金台帐!B1979),资金台帐!B1979&gt;=供应商对账单!$G$4,资金台帐!B1979&lt;=供应商对账单!$I$4),资金台帐!B1979+ROW()/100000,"")</f>
      </c>
    </row>
    <row r="3477">
      <c r="A3477">
        <f>IF(OR(出库明细!C2477="",出库明细!D2477=""),"",IF(OR(COUNTIFS(存条明细!$C$4:$C$1003,出库明细!C2477,存条明细!$D$4:$D$1003,出库明细!D2477)&gt;0,COUNTIFS(出库明细!$C$4:C2477,出库明细!C2477,出库明细!$D$4:D2477,出库明细!D2477)&gt;1),"",IFERROR(MATCH(出库明细!C2477,总览汇总!$B$5:$B$304,0),900)*10000000+IFERROR(MATCH(出库明细!D2477,基础资料!$E$5:$E$104,0),900)*10000+ROW()))</f>
      </c>
      <c r="F3477">
        <f>IF(AND(资金台帐!J480&lt;&gt;"",资金台帐!J480=客户对账单!$B$4,资金台帐!P480="应收",ISNUMBER(资金台帐!B480),资金台帐!B480&gt;=客户对账单!$G$4,资金台帐!B480&lt;=客户对账单!$I$4),资金台帐!B480+ROW()/100000,"")</f>
      </c>
      <c r="H3477">
        <f>IF(AND(资金台帐!K1980&lt;&gt;"",资金台帐!K1980=供应商对账单!$B$4,资金台帐!P1980="应付",ISNUMBER(资金台帐!B1980),资金台帐!B1980&gt;=供应商对账单!$G$4,资金台帐!B1980&lt;=供应商对账单!$I$4),资金台帐!B1980+ROW()/100000,"")</f>
      </c>
    </row>
    <row r="3478">
      <c r="A3478">
        <f>IF(OR(出库明细!C2478="",出库明细!D2478=""),"",IF(OR(COUNTIFS(存条明细!$C$4:$C$1003,出库明细!C2478,存条明细!$D$4:$D$1003,出库明细!D2478)&gt;0,COUNTIFS(出库明细!$C$4:C2478,出库明细!C2478,出库明细!$D$4:D2478,出库明细!D2478)&gt;1),"",IFERROR(MATCH(出库明细!C2478,总览汇总!$B$5:$B$304,0),900)*10000000+IFERROR(MATCH(出库明细!D2478,基础资料!$E$5:$E$104,0),900)*10000+ROW()))</f>
      </c>
      <c r="F3478">
        <f>IF(AND(资金台帐!J481&lt;&gt;"",资金台帐!J481=客户对账单!$B$4,资金台帐!P481="应收",ISNUMBER(资金台帐!B481),资金台帐!B481&gt;=客户对账单!$G$4,资金台帐!B481&lt;=客户对账单!$I$4),资金台帐!B481+ROW()/100000,"")</f>
      </c>
      <c r="H3478">
        <f>IF(AND(资金台帐!K1981&lt;&gt;"",资金台帐!K1981=供应商对账单!$B$4,资金台帐!P1981="应付",ISNUMBER(资金台帐!B1981),资金台帐!B1981&gt;=供应商对账单!$G$4,资金台帐!B1981&lt;=供应商对账单!$I$4),资金台帐!B1981+ROW()/100000,"")</f>
      </c>
    </row>
    <row r="3479">
      <c r="A3479">
        <f>IF(OR(出库明细!C2479="",出库明细!D2479=""),"",IF(OR(COUNTIFS(存条明细!$C$4:$C$1003,出库明细!C2479,存条明细!$D$4:$D$1003,出库明细!D2479)&gt;0,COUNTIFS(出库明细!$C$4:C2479,出库明细!C2479,出库明细!$D$4:D2479,出库明细!D2479)&gt;1),"",IFERROR(MATCH(出库明细!C2479,总览汇总!$B$5:$B$304,0),900)*10000000+IFERROR(MATCH(出库明细!D2479,基础资料!$E$5:$E$104,0),900)*10000+ROW()))</f>
      </c>
      <c r="F3479">
        <f>IF(AND(资金台帐!J482&lt;&gt;"",资金台帐!J482=客户对账单!$B$4,资金台帐!P482="应收",ISNUMBER(资金台帐!B482),资金台帐!B482&gt;=客户对账单!$G$4,资金台帐!B482&lt;=客户对账单!$I$4),资金台帐!B482+ROW()/100000,"")</f>
      </c>
      <c r="H3479">
        <f>IF(AND(资金台帐!K1982&lt;&gt;"",资金台帐!K1982=供应商对账单!$B$4,资金台帐!P1982="应付",ISNUMBER(资金台帐!B1982),资金台帐!B1982&gt;=供应商对账单!$G$4,资金台帐!B1982&lt;=供应商对账单!$I$4),资金台帐!B1982+ROW()/100000,"")</f>
      </c>
    </row>
    <row r="3480">
      <c r="A3480">
        <f>IF(OR(出库明细!C2480="",出库明细!D2480=""),"",IF(OR(COUNTIFS(存条明细!$C$4:$C$1003,出库明细!C2480,存条明细!$D$4:$D$1003,出库明细!D2480)&gt;0,COUNTIFS(出库明细!$C$4:C2480,出库明细!C2480,出库明细!$D$4:D2480,出库明细!D2480)&gt;1),"",IFERROR(MATCH(出库明细!C2480,总览汇总!$B$5:$B$304,0),900)*10000000+IFERROR(MATCH(出库明细!D2480,基础资料!$E$5:$E$104,0),900)*10000+ROW()))</f>
      </c>
      <c r="F3480">
        <f>IF(AND(资金台帐!J483&lt;&gt;"",资金台帐!J483=客户对账单!$B$4,资金台帐!P483="应收",ISNUMBER(资金台帐!B483),资金台帐!B483&gt;=客户对账单!$G$4,资金台帐!B483&lt;=客户对账单!$I$4),资金台帐!B483+ROW()/100000,"")</f>
      </c>
      <c r="H3480">
        <f>IF(AND(资金台帐!K1983&lt;&gt;"",资金台帐!K1983=供应商对账单!$B$4,资金台帐!P1983="应付",ISNUMBER(资金台帐!B1983),资金台帐!B1983&gt;=供应商对账单!$G$4,资金台帐!B1983&lt;=供应商对账单!$I$4),资金台帐!B1983+ROW()/100000,"")</f>
      </c>
    </row>
    <row r="3481">
      <c r="A3481">
        <f>IF(OR(出库明细!C2481="",出库明细!D2481=""),"",IF(OR(COUNTIFS(存条明细!$C$4:$C$1003,出库明细!C2481,存条明细!$D$4:$D$1003,出库明细!D2481)&gt;0,COUNTIFS(出库明细!$C$4:C2481,出库明细!C2481,出库明细!$D$4:D2481,出库明细!D2481)&gt;1),"",IFERROR(MATCH(出库明细!C2481,总览汇总!$B$5:$B$304,0),900)*10000000+IFERROR(MATCH(出库明细!D2481,基础资料!$E$5:$E$104,0),900)*10000+ROW()))</f>
      </c>
      <c r="F3481">
        <f>IF(AND(资金台帐!J484&lt;&gt;"",资金台帐!J484=客户对账单!$B$4,资金台帐!P484="应收",ISNUMBER(资金台帐!B484),资金台帐!B484&gt;=客户对账单!$G$4,资金台帐!B484&lt;=客户对账单!$I$4),资金台帐!B484+ROW()/100000,"")</f>
      </c>
      <c r="H3481">
        <f>IF(AND(资金台帐!K1984&lt;&gt;"",资金台帐!K1984=供应商对账单!$B$4,资金台帐!P1984="应付",ISNUMBER(资金台帐!B1984),资金台帐!B1984&gt;=供应商对账单!$G$4,资金台帐!B1984&lt;=供应商对账单!$I$4),资金台帐!B1984+ROW()/100000,"")</f>
      </c>
    </row>
    <row r="3482">
      <c r="A3482">
        <f>IF(OR(出库明细!C2482="",出库明细!D2482=""),"",IF(OR(COUNTIFS(存条明细!$C$4:$C$1003,出库明细!C2482,存条明细!$D$4:$D$1003,出库明细!D2482)&gt;0,COUNTIFS(出库明细!$C$4:C2482,出库明细!C2482,出库明细!$D$4:D2482,出库明细!D2482)&gt;1),"",IFERROR(MATCH(出库明细!C2482,总览汇总!$B$5:$B$304,0),900)*10000000+IFERROR(MATCH(出库明细!D2482,基础资料!$E$5:$E$104,0),900)*10000+ROW()))</f>
      </c>
      <c r="F3482">
        <f>IF(AND(资金台帐!J485&lt;&gt;"",资金台帐!J485=客户对账单!$B$4,资金台帐!P485="应收",ISNUMBER(资金台帐!B485),资金台帐!B485&gt;=客户对账单!$G$4,资金台帐!B485&lt;=客户对账单!$I$4),资金台帐!B485+ROW()/100000,"")</f>
      </c>
      <c r="H3482">
        <f>IF(AND(资金台帐!K1985&lt;&gt;"",资金台帐!K1985=供应商对账单!$B$4,资金台帐!P1985="应付",ISNUMBER(资金台帐!B1985),资金台帐!B1985&gt;=供应商对账单!$G$4,资金台帐!B1985&lt;=供应商对账单!$I$4),资金台帐!B1985+ROW()/100000,"")</f>
      </c>
    </row>
    <row r="3483">
      <c r="A3483">
        <f>IF(OR(出库明细!C2483="",出库明细!D2483=""),"",IF(OR(COUNTIFS(存条明细!$C$4:$C$1003,出库明细!C2483,存条明细!$D$4:$D$1003,出库明细!D2483)&gt;0,COUNTIFS(出库明细!$C$4:C2483,出库明细!C2483,出库明细!$D$4:D2483,出库明细!D2483)&gt;1),"",IFERROR(MATCH(出库明细!C2483,总览汇总!$B$5:$B$304,0),900)*10000000+IFERROR(MATCH(出库明细!D2483,基础资料!$E$5:$E$104,0),900)*10000+ROW()))</f>
      </c>
      <c r="F3483">
        <f>IF(AND(资金台帐!J486&lt;&gt;"",资金台帐!J486=客户对账单!$B$4,资金台帐!P486="应收",ISNUMBER(资金台帐!B486),资金台帐!B486&gt;=客户对账单!$G$4,资金台帐!B486&lt;=客户对账单!$I$4),资金台帐!B486+ROW()/100000,"")</f>
      </c>
      <c r="H3483">
        <f>IF(AND(资金台帐!K1986&lt;&gt;"",资金台帐!K1986=供应商对账单!$B$4,资金台帐!P1986="应付",ISNUMBER(资金台帐!B1986),资金台帐!B1986&gt;=供应商对账单!$G$4,资金台帐!B1986&lt;=供应商对账单!$I$4),资金台帐!B1986+ROW()/100000,"")</f>
      </c>
    </row>
    <row r="3484">
      <c r="A3484">
        <f>IF(OR(出库明细!C2484="",出库明细!D2484=""),"",IF(OR(COUNTIFS(存条明细!$C$4:$C$1003,出库明细!C2484,存条明细!$D$4:$D$1003,出库明细!D2484)&gt;0,COUNTIFS(出库明细!$C$4:C2484,出库明细!C2484,出库明细!$D$4:D2484,出库明细!D2484)&gt;1),"",IFERROR(MATCH(出库明细!C2484,总览汇总!$B$5:$B$304,0),900)*10000000+IFERROR(MATCH(出库明细!D2484,基础资料!$E$5:$E$104,0),900)*10000+ROW()))</f>
      </c>
      <c r="F3484">
        <f>IF(AND(资金台帐!J487&lt;&gt;"",资金台帐!J487=客户对账单!$B$4,资金台帐!P487="应收",ISNUMBER(资金台帐!B487),资金台帐!B487&gt;=客户对账单!$G$4,资金台帐!B487&lt;=客户对账单!$I$4),资金台帐!B487+ROW()/100000,"")</f>
      </c>
      <c r="H3484">
        <f>IF(AND(资金台帐!K1987&lt;&gt;"",资金台帐!K1987=供应商对账单!$B$4,资金台帐!P1987="应付",ISNUMBER(资金台帐!B1987),资金台帐!B1987&gt;=供应商对账单!$G$4,资金台帐!B1987&lt;=供应商对账单!$I$4),资金台帐!B1987+ROW()/100000,"")</f>
      </c>
    </row>
    <row r="3485">
      <c r="A3485">
        <f>IF(OR(出库明细!C2485="",出库明细!D2485=""),"",IF(OR(COUNTIFS(存条明细!$C$4:$C$1003,出库明细!C2485,存条明细!$D$4:$D$1003,出库明细!D2485)&gt;0,COUNTIFS(出库明细!$C$4:C2485,出库明细!C2485,出库明细!$D$4:D2485,出库明细!D2485)&gt;1),"",IFERROR(MATCH(出库明细!C2485,总览汇总!$B$5:$B$304,0),900)*10000000+IFERROR(MATCH(出库明细!D2485,基础资料!$E$5:$E$104,0),900)*10000+ROW()))</f>
      </c>
      <c r="F3485">
        <f>IF(AND(资金台帐!J488&lt;&gt;"",资金台帐!J488=客户对账单!$B$4,资金台帐!P488="应收",ISNUMBER(资金台帐!B488),资金台帐!B488&gt;=客户对账单!$G$4,资金台帐!B488&lt;=客户对账单!$I$4),资金台帐!B488+ROW()/100000,"")</f>
      </c>
      <c r="H3485">
        <f>IF(AND(资金台帐!K1988&lt;&gt;"",资金台帐!K1988=供应商对账单!$B$4,资金台帐!P1988="应付",ISNUMBER(资金台帐!B1988),资金台帐!B1988&gt;=供应商对账单!$G$4,资金台帐!B1988&lt;=供应商对账单!$I$4),资金台帐!B1988+ROW()/100000,"")</f>
      </c>
    </row>
    <row r="3486">
      <c r="A3486">
        <f>IF(OR(出库明细!C2486="",出库明细!D2486=""),"",IF(OR(COUNTIFS(存条明细!$C$4:$C$1003,出库明细!C2486,存条明细!$D$4:$D$1003,出库明细!D2486)&gt;0,COUNTIFS(出库明细!$C$4:C2486,出库明细!C2486,出库明细!$D$4:D2486,出库明细!D2486)&gt;1),"",IFERROR(MATCH(出库明细!C2486,总览汇总!$B$5:$B$304,0),900)*10000000+IFERROR(MATCH(出库明细!D2486,基础资料!$E$5:$E$104,0),900)*10000+ROW()))</f>
      </c>
      <c r="F3486">
        <f>IF(AND(资金台帐!J489&lt;&gt;"",资金台帐!J489=客户对账单!$B$4,资金台帐!P489="应收",ISNUMBER(资金台帐!B489),资金台帐!B489&gt;=客户对账单!$G$4,资金台帐!B489&lt;=客户对账单!$I$4),资金台帐!B489+ROW()/100000,"")</f>
      </c>
      <c r="H3486">
        <f>IF(AND(资金台帐!K1989&lt;&gt;"",资金台帐!K1989=供应商对账单!$B$4,资金台帐!P1989="应付",ISNUMBER(资金台帐!B1989),资金台帐!B1989&gt;=供应商对账单!$G$4,资金台帐!B1989&lt;=供应商对账单!$I$4),资金台帐!B1989+ROW()/100000,"")</f>
      </c>
    </row>
    <row r="3487">
      <c r="A3487">
        <f>IF(OR(出库明细!C2487="",出库明细!D2487=""),"",IF(OR(COUNTIFS(存条明细!$C$4:$C$1003,出库明细!C2487,存条明细!$D$4:$D$1003,出库明细!D2487)&gt;0,COUNTIFS(出库明细!$C$4:C2487,出库明细!C2487,出库明细!$D$4:D2487,出库明细!D2487)&gt;1),"",IFERROR(MATCH(出库明细!C2487,总览汇总!$B$5:$B$304,0),900)*10000000+IFERROR(MATCH(出库明细!D2487,基础资料!$E$5:$E$104,0),900)*10000+ROW()))</f>
      </c>
      <c r="F3487">
        <f>IF(AND(资金台帐!J490&lt;&gt;"",资金台帐!J490=客户对账单!$B$4,资金台帐!P490="应收",ISNUMBER(资金台帐!B490),资金台帐!B490&gt;=客户对账单!$G$4,资金台帐!B490&lt;=客户对账单!$I$4),资金台帐!B490+ROW()/100000,"")</f>
      </c>
      <c r="H3487">
        <f>IF(AND(资金台帐!K1990&lt;&gt;"",资金台帐!K1990=供应商对账单!$B$4,资金台帐!P1990="应付",ISNUMBER(资金台帐!B1990),资金台帐!B1990&gt;=供应商对账单!$G$4,资金台帐!B1990&lt;=供应商对账单!$I$4),资金台帐!B1990+ROW()/100000,"")</f>
      </c>
    </row>
    <row r="3488">
      <c r="A3488">
        <f>IF(OR(出库明细!C2488="",出库明细!D2488=""),"",IF(OR(COUNTIFS(存条明细!$C$4:$C$1003,出库明细!C2488,存条明细!$D$4:$D$1003,出库明细!D2488)&gt;0,COUNTIFS(出库明细!$C$4:C2488,出库明细!C2488,出库明细!$D$4:D2488,出库明细!D2488)&gt;1),"",IFERROR(MATCH(出库明细!C2488,总览汇总!$B$5:$B$304,0),900)*10000000+IFERROR(MATCH(出库明细!D2488,基础资料!$E$5:$E$104,0),900)*10000+ROW()))</f>
      </c>
      <c r="F3488">
        <f>IF(AND(资金台帐!J491&lt;&gt;"",资金台帐!J491=客户对账单!$B$4,资金台帐!P491="应收",ISNUMBER(资金台帐!B491),资金台帐!B491&gt;=客户对账单!$G$4,资金台帐!B491&lt;=客户对账单!$I$4),资金台帐!B491+ROW()/100000,"")</f>
      </c>
      <c r="H3488">
        <f>IF(AND(资金台帐!K1991&lt;&gt;"",资金台帐!K1991=供应商对账单!$B$4,资金台帐!P1991="应付",ISNUMBER(资金台帐!B1991),资金台帐!B1991&gt;=供应商对账单!$G$4,资金台帐!B1991&lt;=供应商对账单!$I$4),资金台帐!B1991+ROW()/100000,"")</f>
      </c>
    </row>
    <row r="3489">
      <c r="A3489">
        <f>IF(OR(出库明细!C2489="",出库明细!D2489=""),"",IF(OR(COUNTIFS(存条明细!$C$4:$C$1003,出库明细!C2489,存条明细!$D$4:$D$1003,出库明细!D2489)&gt;0,COUNTIFS(出库明细!$C$4:C2489,出库明细!C2489,出库明细!$D$4:D2489,出库明细!D2489)&gt;1),"",IFERROR(MATCH(出库明细!C2489,总览汇总!$B$5:$B$304,0),900)*10000000+IFERROR(MATCH(出库明细!D2489,基础资料!$E$5:$E$104,0),900)*10000+ROW()))</f>
      </c>
      <c r="F3489">
        <f>IF(AND(资金台帐!J492&lt;&gt;"",资金台帐!J492=客户对账单!$B$4,资金台帐!P492="应收",ISNUMBER(资金台帐!B492),资金台帐!B492&gt;=客户对账单!$G$4,资金台帐!B492&lt;=客户对账单!$I$4),资金台帐!B492+ROW()/100000,"")</f>
      </c>
      <c r="H3489">
        <f>IF(AND(资金台帐!K1992&lt;&gt;"",资金台帐!K1992=供应商对账单!$B$4,资金台帐!P1992="应付",ISNUMBER(资金台帐!B1992),资金台帐!B1992&gt;=供应商对账单!$G$4,资金台帐!B1992&lt;=供应商对账单!$I$4),资金台帐!B1992+ROW()/100000,"")</f>
      </c>
    </row>
    <row r="3490">
      <c r="A3490">
        <f>IF(OR(出库明细!C2490="",出库明细!D2490=""),"",IF(OR(COUNTIFS(存条明细!$C$4:$C$1003,出库明细!C2490,存条明细!$D$4:$D$1003,出库明细!D2490)&gt;0,COUNTIFS(出库明细!$C$4:C2490,出库明细!C2490,出库明细!$D$4:D2490,出库明细!D2490)&gt;1),"",IFERROR(MATCH(出库明细!C2490,总览汇总!$B$5:$B$304,0),900)*10000000+IFERROR(MATCH(出库明细!D2490,基础资料!$E$5:$E$104,0),900)*10000+ROW()))</f>
      </c>
      <c r="F3490">
        <f>IF(AND(资金台帐!J493&lt;&gt;"",资金台帐!J493=客户对账单!$B$4,资金台帐!P493="应收",ISNUMBER(资金台帐!B493),资金台帐!B493&gt;=客户对账单!$G$4,资金台帐!B493&lt;=客户对账单!$I$4),资金台帐!B493+ROW()/100000,"")</f>
      </c>
      <c r="H3490">
        <f>IF(AND(资金台帐!K1993&lt;&gt;"",资金台帐!K1993=供应商对账单!$B$4,资金台帐!P1993="应付",ISNUMBER(资金台帐!B1993),资金台帐!B1993&gt;=供应商对账单!$G$4,资金台帐!B1993&lt;=供应商对账单!$I$4),资金台帐!B1993+ROW()/100000,"")</f>
      </c>
    </row>
    <row r="3491">
      <c r="A3491">
        <f>IF(OR(出库明细!C2491="",出库明细!D2491=""),"",IF(OR(COUNTIFS(存条明细!$C$4:$C$1003,出库明细!C2491,存条明细!$D$4:$D$1003,出库明细!D2491)&gt;0,COUNTIFS(出库明细!$C$4:C2491,出库明细!C2491,出库明细!$D$4:D2491,出库明细!D2491)&gt;1),"",IFERROR(MATCH(出库明细!C2491,总览汇总!$B$5:$B$304,0),900)*10000000+IFERROR(MATCH(出库明细!D2491,基础资料!$E$5:$E$104,0),900)*10000+ROW()))</f>
      </c>
      <c r="F3491">
        <f>IF(AND(资金台帐!J494&lt;&gt;"",资金台帐!J494=客户对账单!$B$4,资金台帐!P494="应收",ISNUMBER(资金台帐!B494),资金台帐!B494&gt;=客户对账单!$G$4,资金台帐!B494&lt;=客户对账单!$I$4),资金台帐!B494+ROW()/100000,"")</f>
      </c>
      <c r="H3491">
        <f>IF(AND(资金台帐!K1994&lt;&gt;"",资金台帐!K1994=供应商对账单!$B$4,资金台帐!P1994="应付",ISNUMBER(资金台帐!B1994),资金台帐!B1994&gt;=供应商对账单!$G$4,资金台帐!B1994&lt;=供应商对账单!$I$4),资金台帐!B1994+ROW()/100000,"")</f>
      </c>
    </row>
    <row r="3492">
      <c r="A3492">
        <f>IF(OR(出库明细!C2492="",出库明细!D2492=""),"",IF(OR(COUNTIFS(存条明细!$C$4:$C$1003,出库明细!C2492,存条明细!$D$4:$D$1003,出库明细!D2492)&gt;0,COUNTIFS(出库明细!$C$4:C2492,出库明细!C2492,出库明细!$D$4:D2492,出库明细!D2492)&gt;1),"",IFERROR(MATCH(出库明细!C2492,总览汇总!$B$5:$B$304,0),900)*10000000+IFERROR(MATCH(出库明细!D2492,基础资料!$E$5:$E$104,0),900)*10000+ROW()))</f>
      </c>
      <c r="F3492">
        <f>IF(AND(资金台帐!J495&lt;&gt;"",资金台帐!J495=客户对账单!$B$4,资金台帐!P495="应收",ISNUMBER(资金台帐!B495),资金台帐!B495&gt;=客户对账单!$G$4,资金台帐!B495&lt;=客户对账单!$I$4),资金台帐!B495+ROW()/100000,"")</f>
      </c>
      <c r="H3492">
        <f>IF(AND(资金台帐!K1995&lt;&gt;"",资金台帐!K1995=供应商对账单!$B$4,资金台帐!P1995="应付",ISNUMBER(资金台帐!B1995),资金台帐!B1995&gt;=供应商对账单!$G$4,资金台帐!B1995&lt;=供应商对账单!$I$4),资金台帐!B1995+ROW()/100000,"")</f>
      </c>
    </row>
    <row r="3493">
      <c r="A3493">
        <f>IF(OR(出库明细!C2493="",出库明细!D2493=""),"",IF(OR(COUNTIFS(存条明细!$C$4:$C$1003,出库明细!C2493,存条明细!$D$4:$D$1003,出库明细!D2493)&gt;0,COUNTIFS(出库明细!$C$4:C2493,出库明细!C2493,出库明细!$D$4:D2493,出库明细!D2493)&gt;1),"",IFERROR(MATCH(出库明细!C2493,总览汇总!$B$5:$B$304,0),900)*10000000+IFERROR(MATCH(出库明细!D2493,基础资料!$E$5:$E$104,0),900)*10000+ROW()))</f>
      </c>
      <c r="F3493">
        <f>IF(AND(资金台帐!J496&lt;&gt;"",资金台帐!J496=客户对账单!$B$4,资金台帐!P496="应收",ISNUMBER(资金台帐!B496),资金台帐!B496&gt;=客户对账单!$G$4,资金台帐!B496&lt;=客户对账单!$I$4),资金台帐!B496+ROW()/100000,"")</f>
      </c>
      <c r="H3493">
        <f>IF(AND(资金台帐!K1996&lt;&gt;"",资金台帐!K1996=供应商对账单!$B$4,资金台帐!P1996="应付",ISNUMBER(资金台帐!B1996),资金台帐!B1996&gt;=供应商对账单!$G$4,资金台帐!B1996&lt;=供应商对账单!$I$4),资金台帐!B1996+ROW()/100000,"")</f>
      </c>
    </row>
    <row r="3494">
      <c r="A3494">
        <f>IF(OR(出库明细!C2494="",出库明细!D2494=""),"",IF(OR(COUNTIFS(存条明细!$C$4:$C$1003,出库明细!C2494,存条明细!$D$4:$D$1003,出库明细!D2494)&gt;0,COUNTIFS(出库明细!$C$4:C2494,出库明细!C2494,出库明细!$D$4:D2494,出库明细!D2494)&gt;1),"",IFERROR(MATCH(出库明细!C2494,总览汇总!$B$5:$B$304,0),900)*10000000+IFERROR(MATCH(出库明细!D2494,基础资料!$E$5:$E$104,0),900)*10000+ROW()))</f>
      </c>
      <c r="F3494">
        <f>IF(AND(资金台帐!J497&lt;&gt;"",资金台帐!J497=客户对账单!$B$4,资金台帐!P497="应收",ISNUMBER(资金台帐!B497),资金台帐!B497&gt;=客户对账单!$G$4,资金台帐!B497&lt;=客户对账单!$I$4),资金台帐!B497+ROW()/100000,"")</f>
      </c>
      <c r="H3494">
        <f>IF(AND(资金台帐!K1997&lt;&gt;"",资金台帐!K1997=供应商对账单!$B$4,资金台帐!P1997="应付",ISNUMBER(资金台帐!B1997),资金台帐!B1997&gt;=供应商对账单!$G$4,资金台帐!B1997&lt;=供应商对账单!$I$4),资金台帐!B1997+ROW()/100000,"")</f>
      </c>
    </row>
    <row r="3495">
      <c r="A3495">
        <f>IF(OR(出库明细!C2495="",出库明细!D2495=""),"",IF(OR(COUNTIFS(存条明细!$C$4:$C$1003,出库明细!C2495,存条明细!$D$4:$D$1003,出库明细!D2495)&gt;0,COUNTIFS(出库明细!$C$4:C2495,出库明细!C2495,出库明细!$D$4:D2495,出库明细!D2495)&gt;1),"",IFERROR(MATCH(出库明细!C2495,总览汇总!$B$5:$B$304,0),900)*10000000+IFERROR(MATCH(出库明细!D2495,基础资料!$E$5:$E$104,0),900)*10000+ROW()))</f>
      </c>
      <c r="F3495">
        <f>IF(AND(资金台帐!J498&lt;&gt;"",资金台帐!J498=客户对账单!$B$4,资金台帐!P498="应收",ISNUMBER(资金台帐!B498),资金台帐!B498&gt;=客户对账单!$G$4,资金台帐!B498&lt;=客户对账单!$I$4),资金台帐!B498+ROW()/100000,"")</f>
      </c>
      <c r="H3495">
        <f>IF(AND(资金台帐!K1998&lt;&gt;"",资金台帐!K1998=供应商对账单!$B$4,资金台帐!P1998="应付",ISNUMBER(资金台帐!B1998),资金台帐!B1998&gt;=供应商对账单!$G$4,资金台帐!B1998&lt;=供应商对账单!$I$4),资金台帐!B1998+ROW()/100000,"")</f>
      </c>
    </row>
    <row r="3496">
      <c r="A3496">
        <f>IF(OR(出库明细!C2496="",出库明细!D2496=""),"",IF(OR(COUNTIFS(存条明细!$C$4:$C$1003,出库明细!C2496,存条明细!$D$4:$D$1003,出库明细!D2496)&gt;0,COUNTIFS(出库明细!$C$4:C2496,出库明细!C2496,出库明细!$D$4:D2496,出库明细!D2496)&gt;1),"",IFERROR(MATCH(出库明细!C2496,总览汇总!$B$5:$B$304,0),900)*10000000+IFERROR(MATCH(出库明细!D2496,基础资料!$E$5:$E$104,0),900)*10000+ROW()))</f>
      </c>
      <c r="F3496">
        <f>IF(AND(资金台帐!J499&lt;&gt;"",资金台帐!J499=客户对账单!$B$4,资金台帐!P499="应收",ISNUMBER(资金台帐!B499),资金台帐!B499&gt;=客户对账单!$G$4,资金台帐!B499&lt;=客户对账单!$I$4),资金台帐!B499+ROW()/100000,"")</f>
      </c>
      <c r="H3496">
        <f>IF(AND(资金台帐!K1999&lt;&gt;"",资金台帐!K1999=供应商对账单!$B$4,资金台帐!P1999="应付",ISNUMBER(资金台帐!B1999),资金台帐!B1999&gt;=供应商对账单!$G$4,资金台帐!B1999&lt;=供应商对账单!$I$4),资金台帐!B1999+ROW()/100000,"")</f>
      </c>
    </row>
    <row r="3497">
      <c r="A3497">
        <f>IF(OR(出库明细!C2497="",出库明细!D2497=""),"",IF(OR(COUNTIFS(存条明细!$C$4:$C$1003,出库明细!C2497,存条明细!$D$4:$D$1003,出库明细!D2497)&gt;0,COUNTIFS(出库明细!$C$4:C2497,出库明细!C2497,出库明细!$D$4:D2497,出库明细!D2497)&gt;1),"",IFERROR(MATCH(出库明细!C2497,总览汇总!$B$5:$B$304,0),900)*10000000+IFERROR(MATCH(出库明细!D2497,基础资料!$E$5:$E$104,0),900)*10000+ROW()))</f>
      </c>
      <c r="F3497">
        <f>IF(AND(资金台帐!J500&lt;&gt;"",资金台帐!J500=客户对账单!$B$4,资金台帐!P500="应收",ISNUMBER(资金台帐!B500),资金台帐!B500&gt;=客户对账单!$G$4,资金台帐!B500&lt;=客户对账单!$I$4),资金台帐!B500+ROW()/100000,"")</f>
      </c>
      <c r="H3497">
        <f>IF(AND(资金台帐!K2000&lt;&gt;"",资金台帐!K2000=供应商对账单!$B$4,资金台帐!P2000="应付",ISNUMBER(资金台帐!B2000),资金台帐!B2000&gt;=供应商对账单!$G$4,资金台帐!B2000&lt;=供应商对账单!$I$4),资金台帐!B2000+ROW()/100000,"")</f>
      </c>
    </row>
    <row r="3498">
      <c r="A3498">
        <f>IF(OR(出库明细!C2498="",出库明细!D2498=""),"",IF(OR(COUNTIFS(存条明细!$C$4:$C$1003,出库明细!C2498,存条明细!$D$4:$D$1003,出库明细!D2498)&gt;0,COUNTIFS(出库明细!$C$4:C2498,出库明细!C2498,出库明细!$D$4:D2498,出库明细!D2498)&gt;1),"",IFERROR(MATCH(出库明细!C2498,总览汇总!$B$5:$B$304,0),900)*10000000+IFERROR(MATCH(出库明细!D2498,基础资料!$E$5:$E$104,0),900)*10000+ROW()))</f>
      </c>
      <c r="F3498">
        <f>IF(AND(资金台帐!J501&lt;&gt;"",资金台帐!J501=客户对账单!$B$4,资金台帐!P501="应收",ISNUMBER(资金台帐!B501),资金台帐!B501&gt;=客户对账单!$G$4,资金台帐!B501&lt;=客户对账单!$I$4),资金台帐!B501+ROW()/100000,"")</f>
      </c>
      <c r="H3498">
        <f>IF(AND(资金台帐!K2001&lt;&gt;"",资金台帐!K2001=供应商对账单!$B$4,资金台帐!P2001="应付",ISNUMBER(资金台帐!B2001),资金台帐!B2001&gt;=供应商对账单!$G$4,资金台帐!B2001&lt;=供应商对账单!$I$4),资金台帐!B2001+ROW()/100000,"")</f>
      </c>
    </row>
    <row r="3499">
      <c r="A3499">
        <f>IF(OR(出库明细!C2499="",出库明细!D2499=""),"",IF(OR(COUNTIFS(存条明细!$C$4:$C$1003,出库明细!C2499,存条明细!$D$4:$D$1003,出库明细!D2499)&gt;0,COUNTIFS(出库明细!$C$4:C2499,出库明细!C2499,出库明细!$D$4:D2499,出库明细!D2499)&gt;1),"",IFERROR(MATCH(出库明细!C2499,总览汇总!$B$5:$B$304,0),900)*10000000+IFERROR(MATCH(出库明细!D2499,基础资料!$E$5:$E$104,0),900)*10000+ROW()))</f>
      </c>
      <c r="F3499">
        <f>IF(AND(资金台帐!J502&lt;&gt;"",资金台帐!J502=客户对账单!$B$4,资金台帐!P502="应收",ISNUMBER(资金台帐!B502),资金台帐!B502&gt;=客户对账单!$G$4,资金台帐!B502&lt;=客户对账单!$I$4),资金台帐!B502+ROW()/100000,"")</f>
      </c>
      <c r="H3499">
        <f>IF(AND(资金台帐!K2002&lt;&gt;"",资金台帐!K2002=供应商对账单!$B$4,资金台帐!P2002="应付",ISNUMBER(资金台帐!B2002),资金台帐!B2002&gt;=供应商对账单!$G$4,资金台帐!B2002&lt;=供应商对账单!$I$4),资金台帐!B2002+ROW()/100000,"")</f>
      </c>
    </row>
    <row r="3500">
      <c r="A3500">
        <f>IF(OR(出库明细!C2500="",出库明细!D2500=""),"",IF(OR(COUNTIFS(存条明细!$C$4:$C$1003,出库明细!C2500,存条明细!$D$4:$D$1003,出库明细!D2500)&gt;0,COUNTIFS(出库明细!$C$4:C2500,出库明细!C2500,出库明细!$D$4:D2500,出库明细!D2500)&gt;1),"",IFERROR(MATCH(出库明细!C2500,总览汇总!$B$5:$B$304,0),900)*10000000+IFERROR(MATCH(出库明细!D2500,基础资料!$E$5:$E$104,0),900)*10000+ROW()))</f>
      </c>
      <c r="F3500">
        <f>IF(AND(资金台帐!J503&lt;&gt;"",资金台帐!J503=客户对账单!$B$4,资金台帐!P503="应收",ISNUMBER(资金台帐!B503),资金台帐!B503&gt;=客户对账单!$G$4,资金台帐!B503&lt;=客户对账单!$I$4),资金台帐!B503+ROW()/100000,"")</f>
      </c>
      <c r="H3500">
        <f>IF(AND(资金台帐!K2003&lt;&gt;"",资金台帐!K2003=供应商对账单!$B$4,资金台帐!P2003="应付",ISNUMBER(资金台帐!B2003),资金台帐!B2003&gt;=供应商对账单!$G$4,资金台帐!B2003&lt;=供应商对账单!$I$4),资金台帐!B2003+ROW()/100000,"")</f>
      </c>
    </row>
    <row r="3501">
      <c r="A3501">
        <f>IF(OR(出库明细!C2501="",出库明细!D2501=""),"",IF(OR(COUNTIFS(存条明细!$C$4:$C$1003,出库明细!C2501,存条明细!$D$4:$D$1003,出库明细!D2501)&gt;0,COUNTIFS(出库明细!$C$4:C2501,出库明细!C2501,出库明细!$D$4:D2501,出库明细!D2501)&gt;1),"",IFERROR(MATCH(出库明细!C2501,总览汇总!$B$5:$B$304,0),900)*10000000+IFERROR(MATCH(出库明细!D2501,基础资料!$E$5:$E$104,0),900)*10000+ROW()))</f>
      </c>
      <c r="F3501">
        <f>IF(AND(资金台帐!J504&lt;&gt;"",资金台帐!J504=客户对账单!$B$4,资金台帐!P504="应收",ISNUMBER(资金台帐!B504),资金台帐!B504&gt;=客户对账单!$G$4,资金台帐!B504&lt;=客户对账单!$I$4),资金台帐!B504+ROW()/100000,"")</f>
      </c>
      <c r="H3501">
        <f>IF(AND(资金台帐!K2004&lt;&gt;"",资金台帐!K2004=供应商对账单!$B$4,资金台帐!P2004="应付",ISNUMBER(资金台帐!B2004),资金台帐!B2004&gt;=供应商对账单!$G$4,资金台帐!B2004&lt;=供应商对账单!$I$4),资金台帐!B2004+ROW()/100000,"")</f>
      </c>
    </row>
    <row r="3502">
      <c r="A3502">
        <f>IF(OR(出库明细!C2502="",出库明细!D2502=""),"",IF(OR(COUNTIFS(存条明细!$C$4:$C$1003,出库明细!C2502,存条明细!$D$4:$D$1003,出库明细!D2502)&gt;0,COUNTIFS(出库明细!$C$4:C2502,出库明细!C2502,出库明细!$D$4:D2502,出库明细!D2502)&gt;1),"",IFERROR(MATCH(出库明细!C2502,总览汇总!$B$5:$B$304,0),900)*10000000+IFERROR(MATCH(出库明细!D2502,基础资料!$E$5:$E$104,0),900)*10000+ROW()))</f>
      </c>
      <c r="F3502">
        <f>IF(AND(资金台帐!J505&lt;&gt;"",资金台帐!J505=客户对账单!$B$4,资金台帐!P505="应收",ISNUMBER(资金台帐!B505),资金台帐!B505&gt;=客户对账单!$G$4,资金台帐!B505&lt;=客户对账单!$I$4),资金台帐!B505+ROW()/100000,"")</f>
      </c>
      <c r="H3502">
        <f>IF(AND(资金台帐!K2005&lt;&gt;"",资金台帐!K2005=供应商对账单!$B$4,资金台帐!P2005="应付",ISNUMBER(资金台帐!B2005),资金台帐!B2005&gt;=供应商对账单!$G$4,资金台帐!B2005&lt;=供应商对账单!$I$4),资金台帐!B2005+ROW()/100000,"")</f>
      </c>
    </row>
    <row r="3503">
      <c r="A3503">
        <f>IF(OR(出库明细!C2503="",出库明细!D2503=""),"",IF(OR(COUNTIFS(存条明细!$C$4:$C$1003,出库明细!C2503,存条明细!$D$4:$D$1003,出库明细!D2503)&gt;0,COUNTIFS(出库明细!$C$4:C2503,出库明细!C2503,出库明细!$D$4:D2503,出库明细!D2503)&gt;1),"",IFERROR(MATCH(出库明细!C2503,总览汇总!$B$5:$B$304,0),900)*10000000+IFERROR(MATCH(出库明细!D2503,基础资料!$E$5:$E$104,0),900)*10000+ROW()))</f>
      </c>
      <c r="F3503">
        <f>IF(AND(资金台帐!J506&lt;&gt;"",资金台帐!J506=客户对账单!$B$4,资金台帐!P506="应收",ISNUMBER(资金台帐!B506),资金台帐!B506&gt;=客户对账单!$G$4,资金台帐!B506&lt;=客户对账单!$I$4),资金台帐!B506+ROW()/100000,"")</f>
      </c>
      <c r="H3503">
        <f>IF(AND(资金台帐!K2006&lt;&gt;"",资金台帐!K2006=供应商对账单!$B$4,资金台帐!P2006="应付",ISNUMBER(资金台帐!B2006),资金台帐!B2006&gt;=供应商对账单!$G$4,资金台帐!B2006&lt;=供应商对账单!$I$4),资金台帐!B2006+ROW()/100000,"")</f>
      </c>
    </row>
    <row r="3504">
      <c r="A3504">
        <f>IF(OR(出库明细!C2504="",出库明细!D2504=""),"",IF(OR(COUNTIFS(存条明细!$C$4:$C$1003,出库明细!C2504,存条明细!$D$4:$D$1003,出库明细!D2504)&gt;0,COUNTIFS(出库明细!$C$4:C2504,出库明细!C2504,出库明细!$D$4:D2504,出库明细!D2504)&gt;1),"",IFERROR(MATCH(出库明细!C2504,总览汇总!$B$5:$B$304,0),900)*10000000+IFERROR(MATCH(出库明细!D2504,基础资料!$E$5:$E$104,0),900)*10000+ROW()))</f>
      </c>
      <c r="F3504">
        <f>IF(AND(资金台帐!J507&lt;&gt;"",资金台帐!J507=客户对账单!$B$4,资金台帐!P507="应收",ISNUMBER(资金台帐!B507),资金台帐!B507&gt;=客户对账单!$G$4,资金台帐!B507&lt;=客户对账单!$I$4),资金台帐!B507+ROW()/100000,"")</f>
      </c>
      <c r="H3504">
        <f>IF(AND(资金台帐!K2007&lt;&gt;"",资金台帐!K2007=供应商对账单!$B$4,资金台帐!P2007="应付",ISNUMBER(资金台帐!B2007),资金台帐!B2007&gt;=供应商对账单!$G$4,资金台帐!B2007&lt;=供应商对账单!$I$4),资金台帐!B2007+ROW()/100000,"")</f>
      </c>
    </row>
    <row r="3505">
      <c r="A3505">
        <f>IF(OR(出库明细!C2505="",出库明细!D2505=""),"",IF(OR(COUNTIFS(存条明细!$C$4:$C$1003,出库明细!C2505,存条明细!$D$4:$D$1003,出库明细!D2505)&gt;0,COUNTIFS(出库明细!$C$4:C2505,出库明细!C2505,出库明细!$D$4:D2505,出库明细!D2505)&gt;1),"",IFERROR(MATCH(出库明细!C2505,总览汇总!$B$5:$B$304,0),900)*10000000+IFERROR(MATCH(出库明细!D2505,基础资料!$E$5:$E$104,0),900)*10000+ROW()))</f>
      </c>
      <c r="F3505">
        <f>IF(AND(资金台帐!J508&lt;&gt;"",资金台帐!J508=客户对账单!$B$4,资金台帐!P508="应收",ISNUMBER(资金台帐!B508),资金台帐!B508&gt;=客户对账单!$G$4,资金台帐!B508&lt;=客户对账单!$I$4),资金台帐!B508+ROW()/100000,"")</f>
      </c>
      <c r="H3505">
        <f>IF(AND(资金台帐!K2008&lt;&gt;"",资金台帐!K2008=供应商对账单!$B$4,资金台帐!P2008="应付",ISNUMBER(资金台帐!B2008),资金台帐!B2008&gt;=供应商对账单!$G$4,资金台帐!B2008&lt;=供应商对账单!$I$4),资金台帐!B2008+ROW()/100000,"")</f>
      </c>
    </row>
    <row r="3506">
      <c r="A3506">
        <f>IF(OR(出库明细!C2506="",出库明细!D2506=""),"",IF(OR(COUNTIFS(存条明细!$C$4:$C$1003,出库明细!C2506,存条明细!$D$4:$D$1003,出库明细!D2506)&gt;0,COUNTIFS(出库明细!$C$4:C2506,出库明细!C2506,出库明细!$D$4:D2506,出库明细!D2506)&gt;1),"",IFERROR(MATCH(出库明细!C2506,总览汇总!$B$5:$B$304,0),900)*10000000+IFERROR(MATCH(出库明细!D2506,基础资料!$E$5:$E$104,0),900)*10000+ROW()))</f>
      </c>
      <c r="F3506">
        <f>IF(AND(资金台帐!J509&lt;&gt;"",资金台帐!J509=客户对账单!$B$4,资金台帐!P509="应收",ISNUMBER(资金台帐!B509),资金台帐!B509&gt;=客户对账单!$G$4,资金台帐!B509&lt;=客户对账单!$I$4),资金台帐!B509+ROW()/100000,"")</f>
      </c>
      <c r="H3506">
        <f>IF(AND(资金台帐!K2009&lt;&gt;"",资金台帐!K2009=供应商对账单!$B$4,资金台帐!P2009="应付",ISNUMBER(资金台帐!B2009),资金台帐!B2009&gt;=供应商对账单!$G$4,资金台帐!B2009&lt;=供应商对账单!$I$4),资金台帐!B2009+ROW()/100000,"")</f>
      </c>
    </row>
    <row r="3507">
      <c r="A3507">
        <f>IF(OR(出库明细!C2507="",出库明细!D2507=""),"",IF(OR(COUNTIFS(存条明细!$C$4:$C$1003,出库明细!C2507,存条明细!$D$4:$D$1003,出库明细!D2507)&gt;0,COUNTIFS(出库明细!$C$4:C2507,出库明细!C2507,出库明细!$D$4:D2507,出库明细!D2507)&gt;1),"",IFERROR(MATCH(出库明细!C2507,总览汇总!$B$5:$B$304,0),900)*10000000+IFERROR(MATCH(出库明细!D2507,基础资料!$E$5:$E$104,0),900)*10000+ROW()))</f>
      </c>
      <c r="F3507">
        <f>IF(AND(资金台帐!J510&lt;&gt;"",资金台帐!J510=客户对账单!$B$4,资金台帐!P510="应收",ISNUMBER(资金台帐!B510),资金台帐!B510&gt;=客户对账单!$G$4,资金台帐!B510&lt;=客户对账单!$I$4),资金台帐!B510+ROW()/100000,"")</f>
      </c>
      <c r="H3507">
        <f>IF(AND(资金台帐!K2010&lt;&gt;"",资金台帐!K2010=供应商对账单!$B$4,资金台帐!P2010="应付",ISNUMBER(资金台帐!B2010),资金台帐!B2010&gt;=供应商对账单!$G$4,资金台帐!B2010&lt;=供应商对账单!$I$4),资金台帐!B2010+ROW()/100000,"")</f>
      </c>
    </row>
    <row r="3508">
      <c r="A3508">
        <f>IF(OR(出库明细!C2508="",出库明细!D2508=""),"",IF(OR(COUNTIFS(存条明细!$C$4:$C$1003,出库明细!C2508,存条明细!$D$4:$D$1003,出库明细!D2508)&gt;0,COUNTIFS(出库明细!$C$4:C2508,出库明细!C2508,出库明细!$D$4:D2508,出库明细!D2508)&gt;1),"",IFERROR(MATCH(出库明细!C2508,总览汇总!$B$5:$B$304,0),900)*10000000+IFERROR(MATCH(出库明细!D2508,基础资料!$E$5:$E$104,0),900)*10000+ROW()))</f>
      </c>
      <c r="F3508">
        <f>IF(AND(资金台帐!J511&lt;&gt;"",资金台帐!J511=客户对账单!$B$4,资金台帐!P511="应收",ISNUMBER(资金台帐!B511),资金台帐!B511&gt;=客户对账单!$G$4,资金台帐!B511&lt;=客户对账单!$I$4),资金台帐!B511+ROW()/100000,"")</f>
      </c>
      <c r="H3508">
        <f>IF(AND(资金台帐!K2011&lt;&gt;"",资金台帐!K2011=供应商对账单!$B$4,资金台帐!P2011="应付",ISNUMBER(资金台帐!B2011),资金台帐!B2011&gt;=供应商对账单!$G$4,资金台帐!B2011&lt;=供应商对账单!$I$4),资金台帐!B2011+ROW()/100000,"")</f>
      </c>
    </row>
    <row r="3509">
      <c r="A3509">
        <f>IF(OR(出库明细!C2509="",出库明细!D2509=""),"",IF(OR(COUNTIFS(存条明细!$C$4:$C$1003,出库明细!C2509,存条明细!$D$4:$D$1003,出库明细!D2509)&gt;0,COUNTIFS(出库明细!$C$4:C2509,出库明细!C2509,出库明细!$D$4:D2509,出库明细!D2509)&gt;1),"",IFERROR(MATCH(出库明细!C2509,总览汇总!$B$5:$B$304,0),900)*10000000+IFERROR(MATCH(出库明细!D2509,基础资料!$E$5:$E$104,0),900)*10000+ROW()))</f>
      </c>
      <c r="F3509">
        <f>IF(AND(资金台帐!J512&lt;&gt;"",资金台帐!J512=客户对账单!$B$4,资金台帐!P512="应收",ISNUMBER(资金台帐!B512),资金台帐!B512&gt;=客户对账单!$G$4,资金台帐!B512&lt;=客户对账单!$I$4),资金台帐!B512+ROW()/100000,"")</f>
      </c>
      <c r="H3509">
        <f>IF(AND(资金台帐!K2012&lt;&gt;"",资金台帐!K2012=供应商对账单!$B$4,资金台帐!P2012="应付",ISNUMBER(资金台帐!B2012),资金台帐!B2012&gt;=供应商对账单!$G$4,资金台帐!B2012&lt;=供应商对账单!$I$4),资金台帐!B2012+ROW()/100000,"")</f>
      </c>
    </row>
    <row r="3510">
      <c r="A3510">
        <f>IF(OR(出库明细!C2510="",出库明细!D2510=""),"",IF(OR(COUNTIFS(存条明细!$C$4:$C$1003,出库明细!C2510,存条明细!$D$4:$D$1003,出库明细!D2510)&gt;0,COUNTIFS(出库明细!$C$4:C2510,出库明细!C2510,出库明细!$D$4:D2510,出库明细!D2510)&gt;1),"",IFERROR(MATCH(出库明细!C2510,总览汇总!$B$5:$B$304,0),900)*10000000+IFERROR(MATCH(出库明细!D2510,基础资料!$E$5:$E$104,0),900)*10000+ROW()))</f>
      </c>
      <c r="F3510">
        <f>IF(AND(资金台帐!J513&lt;&gt;"",资金台帐!J513=客户对账单!$B$4,资金台帐!P513="应收",ISNUMBER(资金台帐!B513),资金台帐!B513&gt;=客户对账单!$G$4,资金台帐!B513&lt;=客户对账单!$I$4),资金台帐!B513+ROW()/100000,"")</f>
      </c>
      <c r="H3510">
        <f>IF(AND(资金台帐!K2013&lt;&gt;"",资金台帐!K2013=供应商对账单!$B$4,资金台帐!P2013="应付",ISNUMBER(资金台帐!B2013),资金台帐!B2013&gt;=供应商对账单!$G$4,资金台帐!B2013&lt;=供应商对账单!$I$4),资金台帐!B2013+ROW()/100000,"")</f>
      </c>
    </row>
    <row r="3511">
      <c r="A3511">
        <f>IF(OR(出库明细!C2511="",出库明细!D2511=""),"",IF(OR(COUNTIFS(存条明细!$C$4:$C$1003,出库明细!C2511,存条明细!$D$4:$D$1003,出库明细!D2511)&gt;0,COUNTIFS(出库明细!$C$4:C2511,出库明细!C2511,出库明细!$D$4:D2511,出库明细!D2511)&gt;1),"",IFERROR(MATCH(出库明细!C2511,总览汇总!$B$5:$B$304,0),900)*10000000+IFERROR(MATCH(出库明细!D2511,基础资料!$E$5:$E$104,0),900)*10000+ROW()))</f>
      </c>
      <c r="F3511">
        <f>IF(AND(资金台帐!J514&lt;&gt;"",资金台帐!J514=客户对账单!$B$4,资金台帐!P514="应收",ISNUMBER(资金台帐!B514),资金台帐!B514&gt;=客户对账单!$G$4,资金台帐!B514&lt;=客户对账单!$I$4),资金台帐!B514+ROW()/100000,"")</f>
      </c>
      <c r="H3511">
        <f>IF(AND(资金台帐!K2014&lt;&gt;"",资金台帐!K2014=供应商对账单!$B$4,资金台帐!P2014="应付",ISNUMBER(资金台帐!B2014),资金台帐!B2014&gt;=供应商对账单!$G$4,资金台帐!B2014&lt;=供应商对账单!$I$4),资金台帐!B2014+ROW()/100000,"")</f>
      </c>
    </row>
    <row r="3512">
      <c r="A3512">
        <f>IF(OR(出库明细!C2512="",出库明细!D2512=""),"",IF(OR(COUNTIFS(存条明细!$C$4:$C$1003,出库明细!C2512,存条明细!$D$4:$D$1003,出库明细!D2512)&gt;0,COUNTIFS(出库明细!$C$4:C2512,出库明细!C2512,出库明细!$D$4:D2512,出库明细!D2512)&gt;1),"",IFERROR(MATCH(出库明细!C2512,总览汇总!$B$5:$B$304,0),900)*10000000+IFERROR(MATCH(出库明细!D2512,基础资料!$E$5:$E$104,0),900)*10000+ROW()))</f>
      </c>
      <c r="F3512">
        <f>IF(AND(资金台帐!J515&lt;&gt;"",资金台帐!J515=客户对账单!$B$4,资金台帐!P515="应收",ISNUMBER(资金台帐!B515),资金台帐!B515&gt;=客户对账单!$G$4,资金台帐!B515&lt;=客户对账单!$I$4),资金台帐!B515+ROW()/100000,"")</f>
      </c>
      <c r="H3512">
        <f>IF(AND(资金台帐!K2015&lt;&gt;"",资金台帐!K2015=供应商对账单!$B$4,资金台帐!P2015="应付",ISNUMBER(资金台帐!B2015),资金台帐!B2015&gt;=供应商对账单!$G$4,资金台帐!B2015&lt;=供应商对账单!$I$4),资金台帐!B2015+ROW()/100000,"")</f>
      </c>
    </row>
    <row r="3513">
      <c r="A3513">
        <f>IF(OR(出库明细!C2513="",出库明细!D2513=""),"",IF(OR(COUNTIFS(存条明细!$C$4:$C$1003,出库明细!C2513,存条明细!$D$4:$D$1003,出库明细!D2513)&gt;0,COUNTIFS(出库明细!$C$4:C2513,出库明细!C2513,出库明细!$D$4:D2513,出库明细!D2513)&gt;1),"",IFERROR(MATCH(出库明细!C2513,总览汇总!$B$5:$B$304,0),900)*10000000+IFERROR(MATCH(出库明细!D2513,基础资料!$E$5:$E$104,0),900)*10000+ROW()))</f>
      </c>
      <c r="F3513">
        <f>IF(AND(资金台帐!J516&lt;&gt;"",资金台帐!J516=客户对账单!$B$4,资金台帐!P516="应收",ISNUMBER(资金台帐!B516),资金台帐!B516&gt;=客户对账单!$G$4,资金台帐!B516&lt;=客户对账单!$I$4),资金台帐!B516+ROW()/100000,"")</f>
      </c>
      <c r="H3513">
        <f>IF(AND(资金台帐!K2016&lt;&gt;"",资金台帐!K2016=供应商对账单!$B$4,资金台帐!P2016="应付",ISNUMBER(资金台帐!B2016),资金台帐!B2016&gt;=供应商对账单!$G$4,资金台帐!B2016&lt;=供应商对账单!$I$4),资金台帐!B2016+ROW()/100000,"")</f>
      </c>
    </row>
    <row r="3514">
      <c r="A3514">
        <f>IF(OR(出库明细!C2514="",出库明细!D2514=""),"",IF(OR(COUNTIFS(存条明细!$C$4:$C$1003,出库明细!C2514,存条明细!$D$4:$D$1003,出库明细!D2514)&gt;0,COUNTIFS(出库明细!$C$4:C2514,出库明细!C2514,出库明细!$D$4:D2514,出库明细!D2514)&gt;1),"",IFERROR(MATCH(出库明细!C2514,总览汇总!$B$5:$B$304,0),900)*10000000+IFERROR(MATCH(出库明细!D2514,基础资料!$E$5:$E$104,0),900)*10000+ROW()))</f>
      </c>
      <c r="F3514">
        <f>IF(AND(资金台帐!J517&lt;&gt;"",资金台帐!J517=客户对账单!$B$4,资金台帐!P517="应收",ISNUMBER(资金台帐!B517),资金台帐!B517&gt;=客户对账单!$G$4,资金台帐!B517&lt;=客户对账单!$I$4),资金台帐!B517+ROW()/100000,"")</f>
      </c>
      <c r="H3514">
        <f>IF(AND(资金台帐!K2017&lt;&gt;"",资金台帐!K2017=供应商对账单!$B$4,资金台帐!P2017="应付",ISNUMBER(资金台帐!B2017),资金台帐!B2017&gt;=供应商对账单!$G$4,资金台帐!B2017&lt;=供应商对账单!$I$4),资金台帐!B2017+ROW()/100000,"")</f>
      </c>
    </row>
    <row r="3515">
      <c r="A3515">
        <f>IF(OR(出库明细!C2515="",出库明细!D2515=""),"",IF(OR(COUNTIFS(存条明细!$C$4:$C$1003,出库明细!C2515,存条明细!$D$4:$D$1003,出库明细!D2515)&gt;0,COUNTIFS(出库明细!$C$4:C2515,出库明细!C2515,出库明细!$D$4:D2515,出库明细!D2515)&gt;1),"",IFERROR(MATCH(出库明细!C2515,总览汇总!$B$5:$B$304,0),900)*10000000+IFERROR(MATCH(出库明细!D2515,基础资料!$E$5:$E$104,0),900)*10000+ROW()))</f>
      </c>
      <c r="F3515">
        <f>IF(AND(资金台帐!J518&lt;&gt;"",资金台帐!J518=客户对账单!$B$4,资金台帐!P518="应收",ISNUMBER(资金台帐!B518),资金台帐!B518&gt;=客户对账单!$G$4,资金台帐!B518&lt;=客户对账单!$I$4),资金台帐!B518+ROW()/100000,"")</f>
      </c>
      <c r="H3515">
        <f>IF(AND(资金台帐!K2018&lt;&gt;"",资金台帐!K2018=供应商对账单!$B$4,资金台帐!P2018="应付",ISNUMBER(资金台帐!B2018),资金台帐!B2018&gt;=供应商对账单!$G$4,资金台帐!B2018&lt;=供应商对账单!$I$4),资金台帐!B2018+ROW()/100000,"")</f>
      </c>
    </row>
    <row r="3516">
      <c r="A3516">
        <f>IF(OR(出库明细!C2516="",出库明细!D2516=""),"",IF(OR(COUNTIFS(存条明细!$C$4:$C$1003,出库明细!C2516,存条明细!$D$4:$D$1003,出库明细!D2516)&gt;0,COUNTIFS(出库明细!$C$4:C2516,出库明细!C2516,出库明细!$D$4:D2516,出库明细!D2516)&gt;1),"",IFERROR(MATCH(出库明细!C2516,总览汇总!$B$5:$B$304,0),900)*10000000+IFERROR(MATCH(出库明细!D2516,基础资料!$E$5:$E$104,0),900)*10000+ROW()))</f>
      </c>
      <c r="F3516">
        <f>IF(AND(资金台帐!J519&lt;&gt;"",资金台帐!J519=客户对账单!$B$4,资金台帐!P519="应收",ISNUMBER(资金台帐!B519),资金台帐!B519&gt;=客户对账单!$G$4,资金台帐!B519&lt;=客户对账单!$I$4),资金台帐!B519+ROW()/100000,"")</f>
      </c>
      <c r="H3516">
        <f>IF(AND(资金台帐!K2019&lt;&gt;"",资金台帐!K2019=供应商对账单!$B$4,资金台帐!P2019="应付",ISNUMBER(资金台帐!B2019),资金台帐!B2019&gt;=供应商对账单!$G$4,资金台帐!B2019&lt;=供应商对账单!$I$4),资金台帐!B2019+ROW()/100000,"")</f>
      </c>
    </row>
    <row r="3517">
      <c r="A3517">
        <f>IF(OR(出库明细!C2517="",出库明细!D2517=""),"",IF(OR(COUNTIFS(存条明细!$C$4:$C$1003,出库明细!C2517,存条明细!$D$4:$D$1003,出库明细!D2517)&gt;0,COUNTIFS(出库明细!$C$4:C2517,出库明细!C2517,出库明细!$D$4:D2517,出库明细!D2517)&gt;1),"",IFERROR(MATCH(出库明细!C2517,总览汇总!$B$5:$B$304,0),900)*10000000+IFERROR(MATCH(出库明细!D2517,基础资料!$E$5:$E$104,0),900)*10000+ROW()))</f>
      </c>
      <c r="F3517">
        <f>IF(AND(资金台帐!J520&lt;&gt;"",资金台帐!J520=客户对账单!$B$4,资金台帐!P520="应收",ISNUMBER(资金台帐!B520),资金台帐!B520&gt;=客户对账单!$G$4,资金台帐!B520&lt;=客户对账单!$I$4),资金台帐!B520+ROW()/100000,"")</f>
      </c>
      <c r="H3517">
        <f>IF(AND(资金台帐!K2020&lt;&gt;"",资金台帐!K2020=供应商对账单!$B$4,资金台帐!P2020="应付",ISNUMBER(资金台帐!B2020),资金台帐!B2020&gt;=供应商对账单!$G$4,资金台帐!B2020&lt;=供应商对账单!$I$4),资金台帐!B2020+ROW()/100000,"")</f>
      </c>
    </row>
    <row r="3518">
      <c r="A3518">
        <f>IF(OR(出库明细!C2518="",出库明细!D2518=""),"",IF(OR(COUNTIFS(存条明细!$C$4:$C$1003,出库明细!C2518,存条明细!$D$4:$D$1003,出库明细!D2518)&gt;0,COUNTIFS(出库明细!$C$4:C2518,出库明细!C2518,出库明细!$D$4:D2518,出库明细!D2518)&gt;1),"",IFERROR(MATCH(出库明细!C2518,总览汇总!$B$5:$B$304,0),900)*10000000+IFERROR(MATCH(出库明细!D2518,基础资料!$E$5:$E$104,0),900)*10000+ROW()))</f>
      </c>
      <c r="F3518">
        <f>IF(AND(资金台帐!J521&lt;&gt;"",资金台帐!J521=客户对账单!$B$4,资金台帐!P521="应收",ISNUMBER(资金台帐!B521),资金台帐!B521&gt;=客户对账单!$G$4,资金台帐!B521&lt;=客户对账单!$I$4),资金台帐!B521+ROW()/100000,"")</f>
      </c>
      <c r="H3518">
        <f>IF(AND(资金台帐!K2021&lt;&gt;"",资金台帐!K2021=供应商对账单!$B$4,资金台帐!P2021="应付",ISNUMBER(资金台帐!B2021),资金台帐!B2021&gt;=供应商对账单!$G$4,资金台帐!B2021&lt;=供应商对账单!$I$4),资金台帐!B2021+ROW()/100000,"")</f>
      </c>
    </row>
    <row r="3519">
      <c r="A3519">
        <f>IF(OR(出库明细!C2519="",出库明细!D2519=""),"",IF(OR(COUNTIFS(存条明细!$C$4:$C$1003,出库明细!C2519,存条明细!$D$4:$D$1003,出库明细!D2519)&gt;0,COUNTIFS(出库明细!$C$4:C2519,出库明细!C2519,出库明细!$D$4:D2519,出库明细!D2519)&gt;1),"",IFERROR(MATCH(出库明细!C2519,总览汇总!$B$5:$B$304,0),900)*10000000+IFERROR(MATCH(出库明细!D2519,基础资料!$E$5:$E$104,0),900)*10000+ROW()))</f>
      </c>
      <c r="F3519">
        <f>IF(AND(资金台帐!J522&lt;&gt;"",资金台帐!J522=客户对账单!$B$4,资金台帐!P522="应收",ISNUMBER(资金台帐!B522),资金台帐!B522&gt;=客户对账单!$G$4,资金台帐!B522&lt;=客户对账单!$I$4),资金台帐!B522+ROW()/100000,"")</f>
      </c>
      <c r="H3519">
        <f>IF(AND(资金台帐!K2022&lt;&gt;"",资金台帐!K2022=供应商对账单!$B$4,资金台帐!P2022="应付",ISNUMBER(资金台帐!B2022),资金台帐!B2022&gt;=供应商对账单!$G$4,资金台帐!B2022&lt;=供应商对账单!$I$4),资金台帐!B2022+ROW()/100000,"")</f>
      </c>
    </row>
    <row r="3520">
      <c r="A3520">
        <f>IF(OR(出库明细!C2520="",出库明细!D2520=""),"",IF(OR(COUNTIFS(存条明细!$C$4:$C$1003,出库明细!C2520,存条明细!$D$4:$D$1003,出库明细!D2520)&gt;0,COUNTIFS(出库明细!$C$4:C2520,出库明细!C2520,出库明细!$D$4:D2520,出库明细!D2520)&gt;1),"",IFERROR(MATCH(出库明细!C2520,总览汇总!$B$5:$B$304,0),900)*10000000+IFERROR(MATCH(出库明细!D2520,基础资料!$E$5:$E$104,0),900)*10000+ROW()))</f>
      </c>
      <c r="F3520">
        <f>IF(AND(资金台帐!J523&lt;&gt;"",资金台帐!J523=客户对账单!$B$4,资金台帐!P523="应收",ISNUMBER(资金台帐!B523),资金台帐!B523&gt;=客户对账单!$G$4,资金台帐!B523&lt;=客户对账单!$I$4),资金台帐!B523+ROW()/100000,"")</f>
      </c>
      <c r="H3520">
        <f>IF(AND(资金台帐!K2023&lt;&gt;"",资金台帐!K2023=供应商对账单!$B$4,资金台帐!P2023="应付",ISNUMBER(资金台帐!B2023),资金台帐!B2023&gt;=供应商对账单!$G$4,资金台帐!B2023&lt;=供应商对账单!$I$4),资金台帐!B2023+ROW()/100000,"")</f>
      </c>
    </row>
    <row r="3521">
      <c r="A3521">
        <f>IF(OR(出库明细!C2521="",出库明细!D2521=""),"",IF(OR(COUNTIFS(存条明细!$C$4:$C$1003,出库明细!C2521,存条明细!$D$4:$D$1003,出库明细!D2521)&gt;0,COUNTIFS(出库明细!$C$4:C2521,出库明细!C2521,出库明细!$D$4:D2521,出库明细!D2521)&gt;1),"",IFERROR(MATCH(出库明细!C2521,总览汇总!$B$5:$B$304,0),900)*10000000+IFERROR(MATCH(出库明细!D2521,基础资料!$E$5:$E$104,0),900)*10000+ROW()))</f>
      </c>
      <c r="F3521">
        <f>IF(AND(资金台帐!J524&lt;&gt;"",资金台帐!J524=客户对账单!$B$4,资金台帐!P524="应收",ISNUMBER(资金台帐!B524),资金台帐!B524&gt;=客户对账单!$G$4,资金台帐!B524&lt;=客户对账单!$I$4),资金台帐!B524+ROW()/100000,"")</f>
      </c>
      <c r="H3521">
        <f>IF(AND(资金台帐!K2024&lt;&gt;"",资金台帐!K2024=供应商对账单!$B$4,资金台帐!P2024="应付",ISNUMBER(资金台帐!B2024),资金台帐!B2024&gt;=供应商对账单!$G$4,资金台帐!B2024&lt;=供应商对账单!$I$4),资金台帐!B2024+ROW()/100000,"")</f>
      </c>
    </row>
    <row r="3522">
      <c r="A3522">
        <f>IF(OR(出库明细!C2522="",出库明细!D2522=""),"",IF(OR(COUNTIFS(存条明细!$C$4:$C$1003,出库明细!C2522,存条明细!$D$4:$D$1003,出库明细!D2522)&gt;0,COUNTIFS(出库明细!$C$4:C2522,出库明细!C2522,出库明细!$D$4:D2522,出库明细!D2522)&gt;1),"",IFERROR(MATCH(出库明细!C2522,总览汇总!$B$5:$B$304,0),900)*10000000+IFERROR(MATCH(出库明细!D2522,基础资料!$E$5:$E$104,0),900)*10000+ROW()))</f>
      </c>
      <c r="F3522">
        <f>IF(AND(资金台帐!J525&lt;&gt;"",资金台帐!J525=客户对账单!$B$4,资金台帐!P525="应收",ISNUMBER(资金台帐!B525),资金台帐!B525&gt;=客户对账单!$G$4,资金台帐!B525&lt;=客户对账单!$I$4),资金台帐!B525+ROW()/100000,"")</f>
      </c>
      <c r="H3522">
        <f>IF(AND(资金台帐!K2025&lt;&gt;"",资金台帐!K2025=供应商对账单!$B$4,资金台帐!P2025="应付",ISNUMBER(资金台帐!B2025),资金台帐!B2025&gt;=供应商对账单!$G$4,资金台帐!B2025&lt;=供应商对账单!$I$4),资金台帐!B2025+ROW()/100000,"")</f>
      </c>
    </row>
    <row r="3523">
      <c r="A3523">
        <f>IF(OR(出库明细!C2523="",出库明细!D2523=""),"",IF(OR(COUNTIFS(存条明细!$C$4:$C$1003,出库明细!C2523,存条明细!$D$4:$D$1003,出库明细!D2523)&gt;0,COUNTIFS(出库明细!$C$4:C2523,出库明细!C2523,出库明细!$D$4:D2523,出库明细!D2523)&gt;1),"",IFERROR(MATCH(出库明细!C2523,总览汇总!$B$5:$B$304,0),900)*10000000+IFERROR(MATCH(出库明细!D2523,基础资料!$E$5:$E$104,0),900)*10000+ROW()))</f>
      </c>
      <c r="F3523">
        <f>IF(AND(资金台帐!J526&lt;&gt;"",资金台帐!J526=客户对账单!$B$4,资金台帐!P526="应收",ISNUMBER(资金台帐!B526),资金台帐!B526&gt;=客户对账单!$G$4,资金台帐!B526&lt;=客户对账单!$I$4),资金台帐!B526+ROW()/100000,"")</f>
      </c>
      <c r="H3523">
        <f>IF(AND(资金台帐!K2026&lt;&gt;"",资金台帐!K2026=供应商对账单!$B$4,资金台帐!P2026="应付",ISNUMBER(资金台帐!B2026),资金台帐!B2026&gt;=供应商对账单!$G$4,资金台帐!B2026&lt;=供应商对账单!$I$4),资金台帐!B2026+ROW()/100000,"")</f>
      </c>
    </row>
    <row r="3524">
      <c r="A3524">
        <f>IF(OR(出库明细!C2524="",出库明细!D2524=""),"",IF(OR(COUNTIFS(存条明细!$C$4:$C$1003,出库明细!C2524,存条明细!$D$4:$D$1003,出库明细!D2524)&gt;0,COUNTIFS(出库明细!$C$4:C2524,出库明细!C2524,出库明细!$D$4:D2524,出库明细!D2524)&gt;1),"",IFERROR(MATCH(出库明细!C2524,总览汇总!$B$5:$B$304,0),900)*10000000+IFERROR(MATCH(出库明细!D2524,基础资料!$E$5:$E$104,0),900)*10000+ROW()))</f>
      </c>
      <c r="F3524">
        <f>IF(AND(资金台帐!J527&lt;&gt;"",资金台帐!J527=客户对账单!$B$4,资金台帐!P527="应收",ISNUMBER(资金台帐!B527),资金台帐!B527&gt;=客户对账单!$G$4,资金台帐!B527&lt;=客户对账单!$I$4),资金台帐!B527+ROW()/100000,"")</f>
      </c>
      <c r="H3524">
        <f>IF(AND(资金台帐!K2027&lt;&gt;"",资金台帐!K2027=供应商对账单!$B$4,资金台帐!P2027="应付",ISNUMBER(资金台帐!B2027),资金台帐!B2027&gt;=供应商对账单!$G$4,资金台帐!B2027&lt;=供应商对账单!$I$4),资金台帐!B2027+ROW()/100000,"")</f>
      </c>
    </row>
    <row r="3525">
      <c r="A3525">
        <f>IF(OR(出库明细!C2525="",出库明细!D2525=""),"",IF(OR(COUNTIFS(存条明细!$C$4:$C$1003,出库明细!C2525,存条明细!$D$4:$D$1003,出库明细!D2525)&gt;0,COUNTIFS(出库明细!$C$4:C2525,出库明细!C2525,出库明细!$D$4:D2525,出库明细!D2525)&gt;1),"",IFERROR(MATCH(出库明细!C2525,总览汇总!$B$5:$B$304,0),900)*10000000+IFERROR(MATCH(出库明细!D2525,基础资料!$E$5:$E$104,0),900)*10000+ROW()))</f>
      </c>
      <c r="F3525">
        <f>IF(AND(资金台帐!J528&lt;&gt;"",资金台帐!J528=客户对账单!$B$4,资金台帐!P528="应收",ISNUMBER(资金台帐!B528),资金台帐!B528&gt;=客户对账单!$G$4,资金台帐!B528&lt;=客户对账单!$I$4),资金台帐!B528+ROW()/100000,"")</f>
      </c>
      <c r="H3525">
        <f>IF(AND(资金台帐!K2028&lt;&gt;"",资金台帐!K2028=供应商对账单!$B$4,资金台帐!P2028="应付",ISNUMBER(资金台帐!B2028),资金台帐!B2028&gt;=供应商对账单!$G$4,资金台帐!B2028&lt;=供应商对账单!$I$4),资金台帐!B2028+ROW()/100000,"")</f>
      </c>
    </row>
    <row r="3526">
      <c r="A3526">
        <f>IF(OR(出库明细!C2526="",出库明细!D2526=""),"",IF(OR(COUNTIFS(存条明细!$C$4:$C$1003,出库明细!C2526,存条明细!$D$4:$D$1003,出库明细!D2526)&gt;0,COUNTIFS(出库明细!$C$4:C2526,出库明细!C2526,出库明细!$D$4:D2526,出库明细!D2526)&gt;1),"",IFERROR(MATCH(出库明细!C2526,总览汇总!$B$5:$B$304,0),900)*10000000+IFERROR(MATCH(出库明细!D2526,基础资料!$E$5:$E$104,0),900)*10000+ROW()))</f>
      </c>
      <c r="F3526">
        <f>IF(AND(资金台帐!J529&lt;&gt;"",资金台帐!J529=客户对账单!$B$4,资金台帐!P529="应收",ISNUMBER(资金台帐!B529),资金台帐!B529&gt;=客户对账单!$G$4,资金台帐!B529&lt;=客户对账单!$I$4),资金台帐!B529+ROW()/100000,"")</f>
      </c>
      <c r="H3526">
        <f>IF(AND(资金台帐!K2029&lt;&gt;"",资金台帐!K2029=供应商对账单!$B$4,资金台帐!P2029="应付",ISNUMBER(资金台帐!B2029),资金台帐!B2029&gt;=供应商对账单!$G$4,资金台帐!B2029&lt;=供应商对账单!$I$4),资金台帐!B2029+ROW()/100000,"")</f>
      </c>
    </row>
    <row r="3527">
      <c r="A3527">
        <f>IF(OR(出库明细!C2527="",出库明细!D2527=""),"",IF(OR(COUNTIFS(存条明细!$C$4:$C$1003,出库明细!C2527,存条明细!$D$4:$D$1003,出库明细!D2527)&gt;0,COUNTIFS(出库明细!$C$4:C2527,出库明细!C2527,出库明细!$D$4:D2527,出库明细!D2527)&gt;1),"",IFERROR(MATCH(出库明细!C2527,总览汇总!$B$5:$B$304,0),900)*10000000+IFERROR(MATCH(出库明细!D2527,基础资料!$E$5:$E$104,0),900)*10000+ROW()))</f>
      </c>
      <c r="F3527">
        <f>IF(AND(资金台帐!J530&lt;&gt;"",资金台帐!J530=客户对账单!$B$4,资金台帐!P530="应收",ISNUMBER(资金台帐!B530),资金台帐!B530&gt;=客户对账单!$G$4,资金台帐!B530&lt;=客户对账单!$I$4),资金台帐!B530+ROW()/100000,"")</f>
      </c>
      <c r="H3527">
        <f>IF(AND(资金台帐!K2030&lt;&gt;"",资金台帐!K2030=供应商对账单!$B$4,资金台帐!P2030="应付",ISNUMBER(资金台帐!B2030),资金台帐!B2030&gt;=供应商对账单!$G$4,资金台帐!B2030&lt;=供应商对账单!$I$4),资金台帐!B2030+ROW()/100000,"")</f>
      </c>
    </row>
    <row r="3528">
      <c r="A3528">
        <f>IF(OR(出库明细!C2528="",出库明细!D2528=""),"",IF(OR(COUNTIFS(存条明细!$C$4:$C$1003,出库明细!C2528,存条明细!$D$4:$D$1003,出库明细!D2528)&gt;0,COUNTIFS(出库明细!$C$4:C2528,出库明细!C2528,出库明细!$D$4:D2528,出库明细!D2528)&gt;1),"",IFERROR(MATCH(出库明细!C2528,总览汇总!$B$5:$B$304,0),900)*10000000+IFERROR(MATCH(出库明细!D2528,基础资料!$E$5:$E$104,0),900)*10000+ROW()))</f>
      </c>
      <c r="F3528">
        <f>IF(AND(资金台帐!J531&lt;&gt;"",资金台帐!J531=客户对账单!$B$4,资金台帐!P531="应收",ISNUMBER(资金台帐!B531),资金台帐!B531&gt;=客户对账单!$G$4,资金台帐!B531&lt;=客户对账单!$I$4),资金台帐!B531+ROW()/100000,"")</f>
      </c>
      <c r="H3528">
        <f>IF(AND(资金台帐!K2031&lt;&gt;"",资金台帐!K2031=供应商对账单!$B$4,资金台帐!P2031="应付",ISNUMBER(资金台帐!B2031),资金台帐!B2031&gt;=供应商对账单!$G$4,资金台帐!B2031&lt;=供应商对账单!$I$4),资金台帐!B2031+ROW()/100000,"")</f>
      </c>
    </row>
    <row r="3529">
      <c r="A3529">
        <f>IF(OR(出库明细!C2529="",出库明细!D2529=""),"",IF(OR(COUNTIFS(存条明细!$C$4:$C$1003,出库明细!C2529,存条明细!$D$4:$D$1003,出库明细!D2529)&gt;0,COUNTIFS(出库明细!$C$4:C2529,出库明细!C2529,出库明细!$D$4:D2529,出库明细!D2529)&gt;1),"",IFERROR(MATCH(出库明细!C2529,总览汇总!$B$5:$B$304,0),900)*10000000+IFERROR(MATCH(出库明细!D2529,基础资料!$E$5:$E$104,0),900)*10000+ROW()))</f>
      </c>
      <c r="F3529">
        <f>IF(AND(资金台帐!J532&lt;&gt;"",资金台帐!J532=客户对账单!$B$4,资金台帐!P532="应收",ISNUMBER(资金台帐!B532),资金台帐!B532&gt;=客户对账单!$G$4,资金台帐!B532&lt;=客户对账单!$I$4),资金台帐!B532+ROW()/100000,"")</f>
      </c>
      <c r="H3529">
        <f>IF(AND(资金台帐!K2032&lt;&gt;"",资金台帐!K2032=供应商对账单!$B$4,资金台帐!P2032="应付",ISNUMBER(资金台帐!B2032),资金台帐!B2032&gt;=供应商对账单!$G$4,资金台帐!B2032&lt;=供应商对账单!$I$4),资金台帐!B2032+ROW()/100000,"")</f>
      </c>
    </row>
    <row r="3530">
      <c r="A3530">
        <f>IF(OR(出库明细!C2530="",出库明细!D2530=""),"",IF(OR(COUNTIFS(存条明细!$C$4:$C$1003,出库明细!C2530,存条明细!$D$4:$D$1003,出库明细!D2530)&gt;0,COUNTIFS(出库明细!$C$4:C2530,出库明细!C2530,出库明细!$D$4:D2530,出库明细!D2530)&gt;1),"",IFERROR(MATCH(出库明细!C2530,总览汇总!$B$5:$B$304,0),900)*10000000+IFERROR(MATCH(出库明细!D2530,基础资料!$E$5:$E$104,0),900)*10000+ROW()))</f>
      </c>
      <c r="F3530">
        <f>IF(AND(资金台帐!J533&lt;&gt;"",资金台帐!J533=客户对账单!$B$4,资金台帐!P533="应收",ISNUMBER(资金台帐!B533),资金台帐!B533&gt;=客户对账单!$G$4,资金台帐!B533&lt;=客户对账单!$I$4),资金台帐!B533+ROW()/100000,"")</f>
      </c>
      <c r="H3530">
        <f>IF(AND(资金台帐!K2033&lt;&gt;"",资金台帐!K2033=供应商对账单!$B$4,资金台帐!P2033="应付",ISNUMBER(资金台帐!B2033),资金台帐!B2033&gt;=供应商对账单!$G$4,资金台帐!B2033&lt;=供应商对账单!$I$4),资金台帐!B2033+ROW()/100000,"")</f>
      </c>
    </row>
    <row r="3531">
      <c r="A3531">
        <f>IF(OR(出库明细!C2531="",出库明细!D2531=""),"",IF(OR(COUNTIFS(存条明细!$C$4:$C$1003,出库明细!C2531,存条明细!$D$4:$D$1003,出库明细!D2531)&gt;0,COUNTIFS(出库明细!$C$4:C2531,出库明细!C2531,出库明细!$D$4:D2531,出库明细!D2531)&gt;1),"",IFERROR(MATCH(出库明细!C2531,总览汇总!$B$5:$B$304,0),900)*10000000+IFERROR(MATCH(出库明细!D2531,基础资料!$E$5:$E$104,0),900)*10000+ROW()))</f>
      </c>
      <c r="F3531">
        <f>IF(AND(资金台帐!J534&lt;&gt;"",资金台帐!J534=客户对账单!$B$4,资金台帐!P534="应收",ISNUMBER(资金台帐!B534),资金台帐!B534&gt;=客户对账单!$G$4,资金台帐!B534&lt;=客户对账单!$I$4),资金台帐!B534+ROW()/100000,"")</f>
      </c>
      <c r="H3531">
        <f>IF(AND(资金台帐!K2034&lt;&gt;"",资金台帐!K2034=供应商对账单!$B$4,资金台帐!P2034="应付",ISNUMBER(资金台帐!B2034),资金台帐!B2034&gt;=供应商对账单!$G$4,资金台帐!B2034&lt;=供应商对账单!$I$4),资金台帐!B2034+ROW()/100000,"")</f>
      </c>
    </row>
    <row r="3532">
      <c r="A3532">
        <f>IF(OR(出库明细!C2532="",出库明细!D2532=""),"",IF(OR(COUNTIFS(存条明细!$C$4:$C$1003,出库明细!C2532,存条明细!$D$4:$D$1003,出库明细!D2532)&gt;0,COUNTIFS(出库明细!$C$4:C2532,出库明细!C2532,出库明细!$D$4:D2532,出库明细!D2532)&gt;1),"",IFERROR(MATCH(出库明细!C2532,总览汇总!$B$5:$B$304,0),900)*10000000+IFERROR(MATCH(出库明细!D2532,基础资料!$E$5:$E$104,0),900)*10000+ROW()))</f>
      </c>
      <c r="F3532">
        <f>IF(AND(资金台帐!J535&lt;&gt;"",资金台帐!J535=客户对账单!$B$4,资金台帐!P535="应收",ISNUMBER(资金台帐!B535),资金台帐!B535&gt;=客户对账单!$G$4,资金台帐!B535&lt;=客户对账单!$I$4),资金台帐!B535+ROW()/100000,"")</f>
      </c>
      <c r="H3532">
        <f>IF(AND(资金台帐!K2035&lt;&gt;"",资金台帐!K2035=供应商对账单!$B$4,资金台帐!P2035="应付",ISNUMBER(资金台帐!B2035),资金台帐!B2035&gt;=供应商对账单!$G$4,资金台帐!B2035&lt;=供应商对账单!$I$4),资金台帐!B2035+ROW()/100000,"")</f>
      </c>
    </row>
    <row r="3533">
      <c r="A3533">
        <f>IF(OR(出库明细!C2533="",出库明细!D2533=""),"",IF(OR(COUNTIFS(存条明细!$C$4:$C$1003,出库明细!C2533,存条明细!$D$4:$D$1003,出库明细!D2533)&gt;0,COUNTIFS(出库明细!$C$4:C2533,出库明细!C2533,出库明细!$D$4:D2533,出库明细!D2533)&gt;1),"",IFERROR(MATCH(出库明细!C2533,总览汇总!$B$5:$B$304,0),900)*10000000+IFERROR(MATCH(出库明细!D2533,基础资料!$E$5:$E$104,0),900)*10000+ROW()))</f>
      </c>
      <c r="F3533">
        <f>IF(AND(资金台帐!J536&lt;&gt;"",资金台帐!J536=客户对账单!$B$4,资金台帐!P536="应收",ISNUMBER(资金台帐!B536),资金台帐!B536&gt;=客户对账单!$G$4,资金台帐!B536&lt;=客户对账单!$I$4),资金台帐!B536+ROW()/100000,"")</f>
      </c>
      <c r="H3533">
        <f>IF(AND(资金台帐!K2036&lt;&gt;"",资金台帐!K2036=供应商对账单!$B$4,资金台帐!P2036="应付",ISNUMBER(资金台帐!B2036),资金台帐!B2036&gt;=供应商对账单!$G$4,资金台帐!B2036&lt;=供应商对账单!$I$4),资金台帐!B2036+ROW()/100000,"")</f>
      </c>
    </row>
    <row r="3534">
      <c r="A3534">
        <f>IF(OR(出库明细!C2534="",出库明细!D2534=""),"",IF(OR(COUNTIFS(存条明细!$C$4:$C$1003,出库明细!C2534,存条明细!$D$4:$D$1003,出库明细!D2534)&gt;0,COUNTIFS(出库明细!$C$4:C2534,出库明细!C2534,出库明细!$D$4:D2534,出库明细!D2534)&gt;1),"",IFERROR(MATCH(出库明细!C2534,总览汇总!$B$5:$B$304,0),900)*10000000+IFERROR(MATCH(出库明细!D2534,基础资料!$E$5:$E$104,0),900)*10000+ROW()))</f>
      </c>
      <c r="F3534">
        <f>IF(AND(资金台帐!J537&lt;&gt;"",资金台帐!J537=客户对账单!$B$4,资金台帐!P537="应收",ISNUMBER(资金台帐!B537),资金台帐!B537&gt;=客户对账单!$G$4,资金台帐!B537&lt;=客户对账单!$I$4),资金台帐!B537+ROW()/100000,"")</f>
      </c>
      <c r="H3534">
        <f>IF(AND(资金台帐!K2037&lt;&gt;"",资金台帐!K2037=供应商对账单!$B$4,资金台帐!P2037="应付",ISNUMBER(资金台帐!B2037),资金台帐!B2037&gt;=供应商对账单!$G$4,资金台帐!B2037&lt;=供应商对账单!$I$4),资金台帐!B2037+ROW()/100000,"")</f>
      </c>
    </row>
    <row r="3535">
      <c r="A3535">
        <f>IF(OR(出库明细!C2535="",出库明细!D2535=""),"",IF(OR(COUNTIFS(存条明细!$C$4:$C$1003,出库明细!C2535,存条明细!$D$4:$D$1003,出库明细!D2535)&gt;0,COUNTIFS(出库明细!$C$4:C2535,出库明细!C2535,出库明细!$D$4:D2535,出库明细!D2535)&gt;1),"",IFERROR(MATCH(出库明细!C2535,总览汇总!$B$5:$B$304,0),900)*10000000+IFERROR(MATCH(出库明细!D2535,基础资料!$E$5:$E$104,0),900)*10000+ROW()))</f>
      </c>
      <c r="F3535">
        <f>IF(AND(资金台帐!J538&lt;&gt;"",资金台帐!J538=客户对账单!$B$4,资金台帐!P538="应收",ISNUMBER(资金台帐!B538),资金台帐!B538&gt;=客户对账单!$G$4,资金台帐!B538&lt;=客户对账单!$I$4),资金台帐!B538+ROW()/100000,"")</f>
      </c>
      <c r="H3535">
        <f>IF(AND(资金台帐!K2038&lt;&gt;"",资金台帐!K2038=供应商对账单!$B$4,资金台帐!P2038="应付",ISNUMBER(资金台帐!B2038),资金台帐!B2038&gt;=供应商对账单!$G$4,资金台帐!B2038&lt;=供应商对账单!$I$4),资金台帐!B2038+ROW()/100000,"")</f>
      </c>
    </row>
    <row r="3536">
      <c r="A3536">
        <f>IF(OR(出库明细!C2536="",出库明细!D2536=""),"",IF(OR(COUNTIFS(存条明细!$C$4:$C$1003,出库明细!C2536,存条明细!$D$4:$D$1003,出库明细!D2536)&gt;0,COUNTIFS(出库明细!$C$4:C2536,出库明细!C2536,出库明细!$D$4:D2536,出库明细!D2536)&gt;1),"",IFERROR(MATCH(出库明细!C2536,总览汇总!$B$5:$B$304,0),900)*10000000+IFERROR(MATCH(出库明细!D2536,基础资料!$E$5:$E$104,0),900)*10000+ROW()))</f>
      </c>
      <c r="F3536">
        <f>IF(AND(资金台帐!J539&lt;&gt;"",资金台帐!J539=客户对账单!$B$4,资金台帐!P539="应收",ISNUMBER(资金台帐!B539),资金台帐!B539&gt;=客户对账单!$G$4,资金台帐!B539&lt;=客户对账单!$I$4),资金台帐!B539+ROW()/100000,"")</f>
      </c>
      <c r="H3536">
        <f>IF(AND(资金台帐!K2039&lt;&gt;"",资金台帐!K2039=供应商对账单!$B$4,资金台帐!P2039="应付",ISNUMBER(资金台帐!B2039),资金台帐!B2039&gt;=供应商对账单!$G$4,资金台帐!B2039&lt;=供应商对账单!$I$4),资金台帐!B2039+ROW()/100000,"")</f>
      </c>
    </row>
    <row r="3537">
      <c r="A3537">
        <f>IF(OR(出库明细!C2537="",出库明细!D2537=""),"",IF(OR(COUNTIFS(存条明细!$C$4:$C$1003,出库明细!C2537,存条明细!$D$4:$D$1003,出库明细!D2537)&gt;0,COUNTIFS(出库明细!$C$4:C2537,出库明细!C2537,出库明细!$D$4:D2537,出库明细!D2537)&gt;1),"",IFERROR(MATCH(出库明细!C2537,总览汇总!$B$5:$B$304,0),900)*10000000+IFERROR(MATCH(出库明细!D2537,基础资料!$E$5:$E$104,0),900)*10000+ROW()))</f>
      </c>
      <c r="F3537">
        <f>IF(AND(资金台帐!J540&lt;&gt;"",资金台帐!J540=客户对账单!$B$4,资金台帐!P540="应收",ISNUMBER(资金台帐!B540),资金台帐!B540&gt;=客户对账单!$G$4,资金台帐!B540&lt;=客户对账单!$I$4),资金台帐!B540+ROW()/100000,"")</f>
      </c>
      <c r="H3537">
        <f>IF(AND(资金台帐!K2040&lt;&gt;"",资金台帐!K2040=供应商对账单!$B$4,资金台帐!P2040="应付",ISNUMBER(资金台帐!B2040),资金台帐!B2040&gt;=供应商对账单!$G$4,资金台帐!B2040&lt;=供应商对账单!$I$4),资金台帐!B2040+ROW()/100000,"")</f>
      </c>
    </row>
    <row r="3538">
      <c r="A3538">
        <f>IF(OR(出库明细!C2538="",出库明细!D2538=""),"",IF(OR(COUNTIFS(存条明细!$C$4:$C$1003,出库明细!C2538,存条明细!$D$4:$D$1003,出库明细!D2538)&gt;0,COUNTIFS(出库明细!$C$4:C2538,出库明细!C2538,出库明细!$D$4:D2538,出库明细!D2538)&gt;1),"",IFERROR(MATCH(出库明细!C2538,总览汇总!$B$5:$B$304,0),900)*10000000+IFERROR(MATCH(出库明细!D2538,基础资料!$E$5:$E$104,0),900)*10000+ROW()))</f>
      </c>
      <c r="F3538">
        <f>IF(AND(资金台帐!J541&lt;&gt;"",资金台帐!J541=客户对账单!$B$4,资金台帐!P541="应收",ISNUMBER(资金台帐!B541),资金台帐!B541&gt;=客户对账单!$G$4,资金台帐!B541&lt;=客户对账单!$I$4),资金台帐!B541+ROW()/100000,"")</f>
      </c>
      <c r="H3538">
        <f>IF(AND(资金台帐!K2041&lt;&gt;"",资金台帐!K2041=供应商对账单!$B$4,资金台帐!P2041="应付",ISNUMBER(资金台帐!B2041),资金台帐!B2041&gt;=供应商对账单!$G$4,资金台帐!B2041&lt;=供应商对账单!$I$4),资金台帐!B2041+ROW()/100000,"")</f>
      </c>
    </row>
    <row r="3539">
      <c r="A3539">
        <f>IF(OR(出库明细!C2539="",出库明细!D2539=""),"",IF(OR(COUNTIFS(存条明细!$C$4:$C$1003,出库明细!C2539,存条明细!$D$4:$D$1003,出库明细!D2539)&gt;0,COUNTIFS(出库明细!$C$4:C2539,出库明细!C2539,出库明细!$D$4:D2539,出库明细!D2539)&gt;1),"",IFERROR(MATCH(出库明细!C2539,总览汇总!$B$5:$B$304,0),900)*10000000+IFERROR(MATCH(出库明细!D2539,基础资料!$E$5:$E$104,0),900)*10000+ROW()))</f>
      </c>
      <c r="F3539">
        <f>IF(AND(资金台帐!J542&lt;&gt;"",资金台帐!J542=客户对账单!$B$4,资金台帐!P542="应收",ISNUMBER(资金台帐!B542),资金台帐!B542&gt;=客户对账单!$G$4,资金台帐!B542&lt;=客户对账单!$I$4),资金台帐!B542+ROW()/100000,"")</f>
      </c>
      <c r="H3539">
        <f>IF(AND(资金台帐!K2042&lt;&gt;"",资金台帐!K2042=供应商对账单!$B$4,资金台帐!P2042="应付",ISNUMBER(资金台帐!B2042),资金台帐!B2042&gt;=供应商对账单!$G$4,资金台帐!B2042&lt;=供应商对账单!$I$4),资金台帐!B2042+ROW()/100000,"")</f>
      </c>
    </row>
    <row r="3540">
      <c r="A3540">
        <f>IF(OR(出库明细!C2540="",出库明细!D2540=""),"",IF(OR(COUNTIFS(存条明细!$C$4:$C$1003,出库明细!C2540,存条明细!$D$4:$D$1003,出库明细!D2540)&gt;0,COUNTIFS(出库明细!$C$4:C2540,出库明细!C2540,出库明细!$D$4:D2540,出库明细!D2540)&gt;1),"",IFERROR(MATCH(出库明细!C2540,总览汇总!$B$5:$B$304,0),900)*10000000+IFERROR(MATCH(出库明细!D2540,基础资料!$E$5:$E$104,0),900)*10000+ROW()))</f>
      </c>
      <c r="F3540">
        <f>IF(AND(资金台帐!J543&lt;&gt;"",资金台帐!J543=客户对账单!$B$4,资金台帐!P543="应收",ISNUMBER(资金台帐!B543),资金台帐!B543&gt;=客户对账单!$G$4,资金台帐!B543&lt;=客户对账单!$I$4),资金台帐!B543+ROW()/100000,"")</f>
      </c>
      <c r="H3540">
        <f>IF(AND(资金台帐!K2043&lt;&gt;"",资金台帐!K2043=供应商对账单!$B$4,资金台帐!P2043="应付",ISNUMBER(资金台帐!B2043),资金台帐!B2043&gt;=供应商对账单!$G$4,资金台帐!B2043&lt;=供应商对账单!$I$4),资金台帐!B2043+ROW()/100000,"")</f>
      </c>
    </row>
    <row r="3541">
      <c r="A3541">
        <f>IF(OR(出库明细!C2541="",出库明细!D2541=""),"",IF(OR(COUNTIFS(存条明细!$C$4:$C$1003,出库明细!C2541,存条明细!$D$4:$D$1003,出库明细!D2541)&gt;0,COUNTIFS(出库明细!$C$4:C2541,出库明细!C2541,出库明细!$D$4:D2541,出库明细!D2541)&gt;1),"",IFERROR(MATCH(出库明细!C2541,总览汇总!$B$5:$B$304,0),900)*10000000+IFERROR(MATCH(出库明细!D2541,基础资料!$E$5:$E$104,0),900)*10000+ROW()))</f>
      </c>
      <c r="F3541">
        <f>IF(AND(资金台帐!J544&lt;&gt;"",资金台帐!J544=客户对账单!$B$4,资金台帐!P544="应收",ISNUMBER(资金台帐!B544),资金台帐!B544&gt;=客户对账单!$G$4,资金台帐!B544&lt;=客户对账单!$I$4),资金台帐!B544+ROW()/100000,"")</f>
      </c>
      <c r="H3541">
        <f>IF(AND(资金台帐!K2044&lt;&gt;"",资金台帐!K2044=供应商对账单!$B$4,资金台帐!P2044="应付",ISNUMBER(资金台帐!B2044),资金台帐!B2044&gt;=供应商对账单!$G$4,资金台帐!B2044&lt;=供应商对账单!$I$4),资金台帐!B2044+ROW()/100000,"")</f>
      </c>
    </row>
    <row r="3542">
      <c r="A3542">
        <f>IF(OR(出库明细!C2542="",出库明细!D2542=""),"",IF(OR(COUNTIFS(存条明细!$C$4:$C$1003,出库明细!C2542,存条明细!$D$4:$D$1003,出库明细!D2542)&gt;0,COUNTIFS(出库明细!$C$4:C2542,出库明细!C2542,出库明细!$D$4:D2542,出库明细!D2542)&gt;1),"",IFERROR(MATCH(出库明细!C2542,总览汇总!$B$5:$B$304,0),900)*10000000+IFERROR(MATCH(出库明细!D2542,基础资料!$E$5:$E$104,0),900)*10000+ROW()))</f>
      </c>
      <c r="F3542">
        <f>IF(AND(资金台帐!J545&lt;&gt;"",资金台帐!J545=客户对账单!$B$4,资金台帐!P545="应收",ISNUMBER(资金台帐!B545),资金台帐!B545&gt;=客户对账单!$G$4,资金台帐!B545&lt;=客户对账单!$I$4),资金台帐!B545+ROW()/100000,"")</f>
      </c>
      <c r="H3542">
        <f>IF(AND(资金台帐!K2045&lt;&gt;"",资金台帐!K2045=供应商对账单!$B$4,资金台帐!P2045="应付",ISNUMBER(资金台帐!B2045),资金台帐!B2045&gt;=供应商对账单!$G$4,资金台帐!B2045&lt;=供应商对账单!$I$4),资金台帐!B2045+ROW()/100000,"")</f>
      </c>
    </row>
    <row r="3543">
      <c r="A3543">
        <f>IF(OR(出库明细!C2543="",出库明细!D2543=""),"",IF(OR(COUNTIFS(存条明细!$C$4:$C$1003,出库明细!C2543,存条明细!$D$4:$D$1003,出库明细!D2543)&gt;0,COUNTIFS(出库明细!$C$4:C2543,出库明细!C2543,出库明细!$D$4:D2543,出库明细!D2543)&gt;1),"",IFERROR(MATCH(出库明细!C2543,总览汇总!$B$5:$B$304,0),900)*10000000+IFERROR(MATCH(出库明细!D2543,基础资料!$E$5:$E$104,0),900)*10000+ROW()))</f>
      </c>
      <c r="F3543">
        <f>IF(AND(资金台帐!J546&lt;&gt;"",资金台帐!J546=客户对账单!$B$4,资金台帐!P546="应收",ISNUMBER(资金台帐!B546),资金台帐!B546&gt;=客户对账单!$G$4,资金台帐!B546&lt;=客户对账单!$I$4),资金台帐!B546+ROW()/100000,"")</f>
      </c>
      <c r="H3543">
        <f>IF(AND(资金台帐!K2046&lt;&gt;"",资金台帐!K2046=供应商对账单!$B$4,资金台帐!P2046="应付",ISNUMBER(资金台帐!B2046),资金台帐!B2046&gt;=供应商对账单!$G$4,资金台帐!B2046&lt;=供应商对账单!$I$4),资金台帐!B2046+ROW()/100000,"")</f>
      </c>
    </row>
    <row r="3544">
      <c r="A3544">
        <f>IF(OR(出库明细!C2544="",出库明细!D2544=""),"",IF(OR(COUNTIFS(存条明细!$C$4:$C$1003,出库明细!C2544,存条明细!$D$4:$D$1003,出库明细!D2544)&gt;0,COUNTIFS(出库明细!$C$4:C2544,出库明细!C2544,出库明细!$D$4:D2544,出库明细!D2544)&gt;1),"",IFERROR(MATCH(出库明细!C2544,总览汇总!$B$5:$B$304,0),900)*10000000+IFERROR(MATCH(出库明细!D2544,基础资料!$E$5:$E$104,0),900)*10000+ROW()))</f>
      </c>
      <c r="F3544">
        <f>IF(AND(资金台帐!J547&lt;&gt;"",资金台帐!J547=客户对账单!$B$4,资金台帐!P547="应收",ISNUMBER(资金台帐!B547),资金台帐!B547&gt;=客户对账单!$G$4,资金台帐!B547&lt;=客户对账单!$I$4),资金台帐!B547+ROW()/100000,"")</f>
      </c>
      <c r="H3544">
        <f>IF(AND(资金台帐!K2047&lt;&gt;"",资金台帐!K2047=供应商对账单!$B$4,资金台帐!P2047="应付",ISNUMBER(资金台帐!B2047),资金台帐!B2047&gt;=供应商对账单!$G$4,资金台帐!B2047&lt;=供应商对账单!$I$4),资金台帐!B2047+ROW()/100000,"")</f>
      </c>
    </row>
    <row r="3545">
      <c r="A3545">
        <f>IF(OR(出库明细!C2545="",出库明细!D2545=""),"",IF(OR(COUNTIFS(存条明细!$C$4:$C$1003,出库明细!C2545,存条明细!$D$4:$D$1003,出库明细!D2545)&gt;0,COUNTIFS(出库明细!$C$4:C2545,出库明细!C2545,出库明细!$D$4:D2545,出库明细!D2545)&gt;1),"",IFERROR(MATCH(出库明细!C2545,总览汇总!$B$5:$B$304,0),900)*10000000+IFERROR(MATCH(出库明细!D2545,基础资料!$E$5:$E$104,0),900)*10000+ROW()))</f>
      </c>
      <c r="F3545">
        <f>IF(AND(资金台帐!J548&lt;&gt;"",资金台帐!J548=客户对账单!$B$4,资金台帐!P548="应收",ISNUMBER(资金台帐!B548),资金台帐!B548&gt;=客户对账单!$G$4,资金台帐!B548&lt;=客户对账单!$I$4),资金台帐!B548+ROW()/100000,"")</f>
      </c>
      <c r="H3545">
        <f>IF(AND(资金台帐!K2048&lt;&gt;"",资金台帐!K2048=供应商对账单!$B$4,资金台帐!P2048="应付",ISNUMBER(资金台帐!B2048),资金台帐!B2048&gt;=供应商对账单!$G$4,资金台帐!B2048&lt;=供应商对账单!$I$4),资金台帐!B2048+ROW()/100000,"")</f>
      </c>
    </row>
    <row r="3546">
      <c r="A3546">
        <f>IF(OR(出库明细!C2546="",出库明细!D2546=""),"",IF(OR(COUNTIFS(存条明细!$C$4:$C$1003,出库明细!C2546,存条明细!$D$4:$D$1003,出库明细!D2546)&gt;0,COUNTIFS(出库明细!$C$4:C2546,出库明细!C2546,出库明细!$D$4:D2546,出库明细!D2546)&gt;1),"",IFERROR(MATCH(出库明细!C2546,总览汇总!$B$5:$B$304,0),900)*10000000+IFERROR(MATCH(出库明细!D2546,基础资料!$E$5:$E$104,0),900)*10000+ROW()))</f>
      </c>
      <c r="F3546">
        <f>IF(AND(资金台帐!J549&lt;&gt;"",资金台帐!J549=客户对账单!$B$4,资金台帐!P549="应收",ISNUMBER(资金台帐!B549),资金台帐!B549&gt;=客户对账单!$G$4,资金台帐!B549&lt;=客户对账单!$I$4),资金台帐!B549+ROW()/100000,"")</f>
      </c>
      <c r="H3546">
        <f>IF(AND(资金台帐!K2049&lt;&gt;"",资金台帐!K2049=供应商对账单!$B$4,资金台帐!P2049="应付",ISNUMBER(资金台帐!B2049),资金台帐!B2049&gt;=供应商对账单!$G$4,资金台帐!B2049&lt;=供应商对账单!$I$4),资金台帐!B2049+ROW()/100000,"")</f>
      </c>
    </row>
    <row r="3547">
      <c r="A3547">
        <f>IF(OR(出库明细!C2547="",出库明细!D2547=""),"",IF(OR(COUNTIFS(存条明细!$C$4:$C$1003,出库明细!C2547,存条明细!$D$4:$D$1003,出库明细!D2547)&gt;0,COUNTIFS(出库明细!$C$4:C2547,出库明细!C2547,出库明细!$D$4:D2547,出库明细!D2547)&gt;1),"",IFERROR(MATCH(出库明细!C2547,总览汇总!$B$5:$B$304,0),900)*10000000+IFERROR(MATCH(出库明细!D2547,基础资料!$E$5:$E$104,0),900)*10000+ROW()))</f>
      </c>
      <c r="F3547">
        <f>IF(AND(资金台帐!J550&lt;&gt;"",资金台帐!J550=客户对账单!$B$4,资金台帐!P550="应收",ISNUMBER(资金台帐!B550),资金台帐!B550&gt;=客户对账单!$G$4,资金台帐!B550&lt;=客户对账单!$I$4),资金台帐!B550+ROW()/100000,"")</f>
      </c>
      <c r="H3547">
        <f>IF(AND(资金台帐!K2050&lt;&gt;"",资金台帐!K2050=供应商对账单!$B$4,资金台帐!P2050="应付",ISNUMBER(资金台帐!B2050),资金台帐!B2050&gt;=供应商对账单!$G$4,资金台帐!B2050&lt;=供应商对账单!$I$4),资金台帐!B2050+ROW()/100000,"")</f>
      </c>
    </row>
    <row r="3548">
      <c r="A3548">
        <f>IF(OR(出库明细!C2548="",出库明细!D2548=""),"",IF(OR(COUNTIFS(存条明细!$C$4:$C$1003,出库明细!C2548,存条明细!$D$4:$D$1003,出库明细!D2548)&gt;0,COUNTIFS(出库明细!$C$4:C2548,出库明细!C2548,出库明细!$D$4:D2548,出库明细!D2548)&gt;1),"",IFERROR(MATCH(出库明细!C2548,总览汇总!$B$5:$B$304,0),900)*10000000+IFERROR(MATCH(出库明细!D2548,基础资料!$E$5:$E$104,0),900)*10000+ROW()))</f>
      </c>
      <c r="F3548">
        <f>IF(AND(资金台帐!J551&lt;&gt;"",资金台帐!J551=客户对账单!$B$4,资金台帐!P551="应收",ISNUMBER(资金台帐!B551),资金台帐!B551&gt;=客户对账单!$G$4,资金台帐!B551&lt;=客户对账单!$I$4),资金台帐!B551+ROW()/100000,"")</f>
      </c>
      <c r="H3548">
        <f>IF(AND(资金台帐!K2051&lt;&gt;"",资金台帐!K2051=供应商对账单!$B$4,资金台帐!P2051="应付",ISNUMBER(资金台帐!B2051),资金台帐!B2051&gt;=供应商对账单!$G$4,资金台帐!B2051&lt;=供应商对账单!$I$4),资金台帐!B2051+ROW()/100000,"")</f>
      </c>
    </row>
    <row r="3549">
      <c r="A3549">
        <f>IF(OR(出库明细!C2549="",出库明细!D2549=""),"",IF(OR(COUNTIFS(存条明细!$C$4:$C$1003,出库明细!C2549,存条明细!$D$4:$D$1003,出库明细!D2549)&gt;0,COUNTIFS(出库明细!$C$4:C2549,出库明细!C2549,出库明细!$D$4:D2549,出库明细!D2549)&gt;1),"",IFERROR(MATCH(出库明细!C2549,总览汇总!$B$5:$B$304,0),900)*10000000+IFERROR(MATCH(出库明细!D2549,基础资料!$E$5:$E$104,0),900)*10000+ROW()))</f>
      </c>
      <c r="F3549">
        <f>IF(AND(资金台帐!J552&lt;&gt;"",资金台帐!J552=客户对账单!$B$4,资金台帐!P552="应收",ISNUMBER(资金台帐!B552),资金台帐!B552&gt;=客户对账单!$G$4,资金台帐!B552&lt;=客户对账单!$I$4),资金台帐!B552+ROW()/100000,"")</f>
      </c>
      <c r="H3549">
        <f>IF(AND(资金台帐!K2052&lt;&gt;"",资金台帐!K2052=供应商对账单!$B$4,资金台帐!P2052="应付",ISNUMBER(资金台帐!B2052),资金台帐!B2052&gt;=供应商对账单!$G$4,资金台帐!B2052&lt;=供应商对账单!$I$4),资金台帐!B2052+ROW()/100000,"")</f>
      </c>
    </row>
    <row r="3550">
      <c r="A3550">
        <f>IF(OR(出库明细!C2550="",出库明细!D2550=""),"",IF(OR(COUNTIFS(存条明细!$C$4:$C$1003,出库明细!C2550,存条明细!$D$4:$D$1003,出库明细!D2550)&gt;0,COUNTIFS(出库明细!$C$4:C2550,出库明细!C2550,出库明细!$D$4:D2550,出库明细!D2550)&gt;1),"",IFERROR(MATCH(出库明细!C2550,总览汇总!$B$5:$B$304,0),900)*10000000+IFERROR(MATCH(出库明细!D2550,基础资料!$E$5:$E$104,0),900)*10000+ROW()))</f>
      </c>
      <c r="F3550">
        <f>IF(AND(资金台帐!J553&lt;&gt;"",资金台帐!J553=客户对账单!$B$4,资金台帐!P553="应收",ISNUMBER(资金台帐!B553),资金台帐!B553&gt;=客户对账单!$G$4,资金台帐!B553&lt;=客户对账单!$I$4),资金台帐!B553+ROW()/100000,"")</f>
      </c>
      <c r="H3550">
        <f>IF(AND(资金台帐!K2053&lt;&gt;"",资金台帐!K2053=供应商对账单!$B$4,资金台帐!P2053="应付",ISNUMBER(资金台帐!B2053),资金台帐!B2053&gt;=供应商对账单!$G$4,资金台帐!B2053&lt;=供应商对账单!$I$4),资金台帐!B2053+ROW()/100000,"")</f>
      </c>
    </row>
    <row r="3551">
      <c r="A3551">
        <f>IF(OR(出库明细!C2551="",出库明细!D2551=""),"",IF(OR(COUNTIFS(存条明细!$C$4:$C$1003,出库明细!C2551,存条明细!$D$4:$D$1003,出库明细!D2551)&gt;0,COUNTIFS(出库明细!$C$4:C2551,出库明细!C2551,出库明细!$D$4:D2551,出库明细!D2551)&gt;1),"",IFERROR(MATCH(出库明细!C2551,总览汇总!$B$5:$B$304,0),900)*10000000+IFERROR(MATCH(出库明细!D2551,基础资料!$E$5:$E$104,0),900)*10000+ROW()))</f>
      </c>
      <c r="F3551">
        <f>IF(AND(资金台帐!J554&lt;&gt;"",资金台帐!J554=客户对账单!$B$4,资金台帐!P554="应收",ISNUMBER(资金台帐!B554),资金台帐!B554&gt;=客户对账单!$G$4,资金台帐!B554&lt;=客户对账单!$I$4),资金台帐!B554+ROW()/100000,"")</f>
      </c>
      <c r="H3551">
        <f>IF(AND(资金台帐!K2054&lt;&gt;"",资金台帐!K2054=供应商对账单!$B$4,资金台帐!P2054="应付",ISNUMBER(资金台帐!B2054),资金台帐!B2054&gt;=供应商对账单!$G$4,资金台帐!B2054&lt;=供应商对账单!$I$4),资金台帐!B2054+ROW()/100000,"")</f>
      </c>
    </row>
    <row r="3552">
      <c r="A3552">
        <f>IF(OR(出库明细!C2552="",出库明细!D2552=""),"",IF(OR(COUNTIFS(存条明细!$C$4:$C$1003,出库明细!C2552,存条明细!$D$4:$D$1003,出库明细!D2552)&gt;0,COUNTIFS(出库明细!$C$4:C2552,出库明细!C2552,出库明细!$D$4:D2552,出库明细!D2552)&gt;1),"",IFERROR(MATCH(出库明细!C2552,总览汇总!$B$5:$B$304,0),900)*10000000+IFERROR(MATCH(出库明细!D2552,基础资料!$E$5:$E$104,0),900)*10000+ROW()))</f>
      </c>
      <c r="F3552">
        <f>IF(AND(资金台帐!J555&lt;&gt;"",资金台帐!J555=客户对账单!$B$4,资金台帐!P555="应收",ISNUMBER(资金台帐!B555),资金台帐!B555&gt;=客户对账单!$G$4,资金台帐!B555&lt;=客户对账单!$I$4),资金台帐!B555+ROW()/100000,"")</f>
      </c>
      <c r="H3552">
        <f>IF(AND(资金台帐!K2055&lt;&gt;"",资金台帐!K2055=供应商对账单!$B$4,资金台帐!P2055="应付",ISNUMBER(资金台帐!B2055),资金台帐!B2055&gt;=供应商对账单!$G$4,资金台帐!B2055&lt;=供应商对账单!$I$4),资金台帐!B2055+ROW()/100000,"")</f>
      </c>
    </row>
    <row r="3553">
      <c r="A3553">
        <f>IF(OR(出库明细!C2553="",出库明细!D2553=""),"",IF(OR(COUNTIFS(存条明细!$C$4:$C$1003,出库明细!C2553,存条明细!$D$4:$D$1003,出库明细!D2553)&gt;0,COUNTIFS(出库明细!$C$4:C2553,出库明细!C2553,出库明细!$D$4:D2553,出库明细!D2553)&gt;1),"",IFERROR(MATCH(出库明细!C2553,总览汇总!$B$5:$B$304,0),900)*10000000+IFERROR(MATCH(出库明细!D2553,基础资料!$E$5:$E$104,0),900)*10000+ROW()))</f>
      </c>
      <c r="F3553">
        <f>IF(AND(资金台帐!J556&lt;&gt;"",资金台帐!J556=客户对账单!$B$4,资金台帐!P556="应收",ISNUMBER(资金台帐!B556),资金台帐!B556&gt;=客户对账单!$G$4,资金台帐!B556&lt;=客户对账单!$I$4),资金台帐!B556+ROW()/100000,"")</f>
      </c>
      <c r="H3553">
        <f>IF(AND(资金台帐!K2056&lt;&gt;"",资金台帐!K2056=供应商对账单!$B$4,资金台帐!P2056="应付",ISNUMBER(资金台帐!B2056),资金台帐!B2056&gt;=供应商对账单!$G$4,资金台帐!B2056&lt;=供应商对账单!$I$4),资金台帐!B2056+ROW()/100000,"")</f>
      </c>
    </row>
    <row r="3554">
      <c r="A3554">
        <f>IF(OR(出库明细!C2554="",出库明细!D2554=""),"",IF(OR(COUNTIFS(存条明细!$C$4:$C$1003,出库明细!C2554,存条明细!$D$4:$D$1003,出库明细!D2554)&gt;0,COUNTIFS(出库明细!$C$4:C2554,出库明细!C2554,出库明细!$D$4:D2554,出库明细!D2554)&gt;1),"",IFERROR(MATCH(出库明细!C2554,总览汇总!$B$5:$B$304,0),900)*10000000+IFERROR(MATCH(出库明细!D2554,基础资料!$E$5:$E$104,0),900)*10000+ROW()))</f>
      </c>
      <c r="F3554">
        <f>IF(AND(资金台帐!J557&lt;&gt;"",资金台帐!J557=客户对账单!$B$4,资金台帐!P557="应收",ISNUMBER(资金台帐!B557),资金台帐!B557&gt;=客户对账单!$G$4,资金台帐!B557&lt;=客户对账单!$I$4),资金台帐!B557+ROW()/100000,"")</f>
      </c>
      <c r="H3554">
        <f>IF(AND(资金台帐!K2057&lt;&gt;"",资金台帐!K2057=供应商对账单!$B$4,资金台帐!P2057="应付",ISNUMBER(资金台帐!B2057),资金台帐!B2057&gt;=供应商对账单!$G$4,资金台帐!B2057&lt;=供应商对账单!$I$4),资金台帐!B2057+ROW()/100000,"")</f>
      </c>
    </row>
    <row r="3555">
      <c r="A3555">
        <f>IF(OR(出库明细!C2555="",出库明细!D2555=""),"",IF(OR(COUNTIFS(存条明细!$C$4:$C$1003,出库明细!C2555,存条明细!$D$4:$D$1003,出库明细!D2555)&gt;0,COUNTIFS(出库明细!$C$4:C2555,出库明细!C2555,出库明细!$D$4:D2555,出库明细!D2555)&gt;1),"",IFERROR(MATCH(出库明细!C2555,总览汇总!$B$5:$B$304,0),900)*10000000+IFERROR(MATCH(出库明细!D2555,基础资料!$E$5:$E$104,0),900)*10000+ROW()))</f>
      </c>
      <c r="F3555">
        <f>IF(AND(资金台帐!J558&lt;&gt;"",资金台帐!J558=客户对账单!$B$4,资金台帐!P558="应收",ISNUMBER(资金台帐!B558),资金台帐!B558&gt;=客户对账单!$G$4,资金台帐!B558&lt;=客户对账单!$I$4),资金台帐!B558+ROW()/100000,"")</f>
      </c>
      <c r="H3555">
        <f>IF(AND(资金台帐!K2058&lt;&gt;"",资金台帐!K2058=供应商对账单!$B$4,资金台帐!P2058="应付",ISNUMBER(资金台帐!B2058),资金台帐!B2058&gt;=供应商对账单!$G$4,资金台帐!B2058&lt;=供应商对账单!$I$4),资金台帐!B2058+ROW()/100000,"")</f>
      </c>
    </row>
    <row r="3556">
      <c r="A3556">
        <f>IF(OR(出库明细!C2556="",出库明细!D2556=""),"",IF(OR(COUNTIFS(存条明细!$C$4:$C$1003,出库明细!C2556,存条明细!$D$4:$D$1003,出库明细!D2556)&gt;0,COUNTIFS(出库明细!$C$4:C2556,出库明细!C2556,出库明细!$D$4:D2556,出库明细!D2556)&gt;1),"",IFERROR(MATCH(出库明细!C2556,总览汇总!$B$5:$B$304,0),900)*10000000+IFERROR(MATCH(出库明细!D2556,基础资料!$E$5:$E$104,0),900)*10000+ROW()))</f>
      </c>
      <c r="F3556">
        <f>IF(AND(资金台帐!J559&lt;&gt;"",资金台帐!J559=客户对账单!$B$4,资金台帐!P559="应收",ISNUMBER(资金台帐!B559),资金台帐!B559&gt;=客户对账单!$G$4,资金台帐!B559&lt;=客户对账单!$I$4),资金台帐!B559+ROW()/100000,"")</f>
      </c>
      <c r="H3556">
        <f>IF(AND(资金台帐!K2059&lt;&gt;"",资金台帐!K2059=供应商对账单!$B$4,资金台帐!P2059="应付",ISNUMBER(资金台帐!B2059),资金台帐!B2059&gt;=供应商对账单!$G$4,资金台帐!B2059&lt;=供应商对账单!$I$4),资金台帐!B2059+ROW()/100000,"")</f>
      </c>
    </row>
    <row r="3557">
      <c r="A3557">
        <f>IF(OR(出库明细!C2557="",出库明细!D2557=""),"",IF(OR(COUNTIFS(存条明细!$C$4:$C$1003,出库明细!C2557,存条明细!$D$4:$D$1003,出库明细!D2557)&gt;0,COUNTIFS(出库明细!$C$4:C2557,出库明细!C2557,出库明细!$D$4:D2557,出库明细!D2557)&gt;1),"",IFERROR(MATCH(出库明细!C2557,总览汇总!$B$5:$B$304,0),900)*10000000+IFERROR(MATCH(出库明细!D2557,基础资料!$E$5:$E$104,0),900)*10000+ROW()))</f>
      </c>
      <c r="F3557">
        <f>IF(AND(资金台帐!J560&lt;&gt;"",资金台帐!J560=客户对账单!$B$4,资金台帐!P560="应收",ISNUMBER(资金台帐!B560),资金台帐!B560&gt;=客户对账单!$G$4,资金台帐!B560&lt;=客户对账单!$I$4),资金台帐!B560+ROW()/100000,"")</f>
      </c>
      <c r="H3557">
        <f>IF(AND(资金台帐!K2060&lt;&gt;"",资金台帐!K2060=供应商对账单!$B$4,资金台帐!P2060="应付",ISNUMBER(资金台帐!B2060),资金台帐!B2060&gt;=供应商对账单!$G$4,资金台帐!B2060&lt;=供应商对账单!$I$4),资金台帐!B2060+ROW()/100000,"")</f>
      </c>
    </row>
    <row r="3558">
      <c r="A3558">
        <f>IF(OR(出库明细!C2558="",出库明细!D2558=""),"",IF(OR(COUNTIFS(存条明细!$C$4:$C$1003,出库明细!C2558,存条明细!$D$4:$D$1003,出库明细!D2558)&gt;0,COUNTIFS(出库明细!$C$4:C2558,出库明细!C2558,出库明细!$D$4:D2558,出库明细!D2558)&gt;1),"",IFERROR(MATCH(出库明细!C2558,总览汇总!$B$5:$B$304,0),900)*10000000+IFERROR(MATCH(出库明细!D2558,基础资料!$E$5:$E$104,0),900)*10000+ROW()))</f>
      </c>
      <c r="F3558">
        <f>IF(AND(资金台帐!J561&lt;&gt;"",资金台帐!J561=客户对账单!$B$4,资金台帐!P561="应收",ISNUMBER(资金台帐!B561),资金台帐!B561&gt;=客户对账单!$G$4,资金台帐!B561&lt;=客户对账单!$I$4),资金台帐!B561+ROW()/100000,"")</f>
      </c>
      <c r="H3558">
        <f>IF(AND(资金台帐!K2061&lt;&gt;"",资金台帐!K2061=供应商对账单!$B$4,资金台帐!P2061="应付",ISNUMBER(资金台帐!B2061),资金台帐!B2061&gt;=供应商对账单!$G$4,资金台帐!B2061&lt;=供应商对账单!$I$4),资金台帐!B2061+ROW()/100000,"")</f>
      </c>
    </row>
    <row r="3559">
      <c r="A3559">
        <f>IF(OR(出库明细!C2559="",出库明细!D2559=""),"",IF(OR(COUNTIFS(存条明细!$C$4:$C$1003,出库明细!C2559,存条明细!$D$4:$D$1003,出库明细!D2559)&gt;0,COUNTIFS(出库明细!$C$4:C2559,出库明细!C2559,出库明细!$D$4:D2559,出库明细!D2559)&gt;1),"",IFERROR(MATCH(出库明细!C2559,总览汇总!$B$5:$B$304,0),900)*10000000+IFERROR(MATCH(出库明细!D2559,基础资料!$E$5:$E$104,0),900)*10000+ROW()))</f>
      </c>
      <c r="F3559">
        <f>IF(AND(资金台帐!J562&lt;&gt;"",资金台帐!J562=客户对账单!$B$4,资金台帐!P562="应收",ISNUMBER(资金台帐!B562),资金台帐!B562&gt;=客户对账单!$G$4,资金台帐!B562&lt;=客户对账单!$I$4),资金台帐!B562+ROW()/100000,"")</f>
      </c>
      <c r="H3559">
        <f>IF(AND(资金台帐!K2062&lt;&gt;"",资金台帐!K2062=供应商对账单!$B$4,资金台帐!P2062="应付",ISNUMBER(资金台帐!B2062),资金台帐!B2062&gt;=供应商对账单!$G$4,资金台帐!B2062&lt;=供应商对账单!$I$4),资金台帐!B2062+ROW()/100000,"")</f>
      </c>
    </row>
    <row r="3560">
      <c r="A3560">
        <f>IF(OR(出库明细!C2560="",出库明细!D2560=""),"",IF(OR(COUNTIFS(存条明细!$C$4:$C$1003,出库明细!C2560,存条明细!$D$4:$D$1003,出库明细!D2560)&gt;0,COUNTIFS(出库明细!$C$4:C2560,出库明细!C2560,出库明细!$D$4:D2560,出库明细!D2560)&gt;1),"",IFERROR(MATCH(出库明细!C2560,总览汇总!$B$5:$B$304,0),900)*10000000+IFERROR(MATCH(出库明细!D2560,基础资料!$E$5:$E$104,0),900)*10000+ROW()))</f>
      </c>
      <c r="F3560">
        <f>IF(AND(资金台帐!J563&lt;&gt;"",资金台帐!J563=客户对账单!$B$4,资金台帐!P563="应收",ISNUMBER(资金台帐!B563),资金台帐!B563&gt;=客户对账单!$G$4,资金台帐!B563&lt;=客户对账单!$I$4),资金台帐!B563+ROW()/100000,"")</f>
      </c>
      <c r="H3560">
        <f>IF(AND(资金台帐!K2063&lt;&gt;"",资金台帐!K2063=供应商对账单!$B$4,资金台帐!P2063="应付",ISNUMBER(资金台帐!B2063),资金台帐!B2063&gt;=供应商对账单!$G$4,资金台帐!B2063&lt;=供应商对账单!$I$4),资金台帐!B2063+ROW()/100000,"")</f>
      </c>
    </row>
    <row r="3561">
      <c r="A3561">
        <f>IF(OR(出库明细!C2561="",出库明细!D2561=""),"",IF(OR(COUNTIFS(存条明细!$C$4:$C$1003,出库明细!C2561,存条明细!$D$4:$D$1003,出库明细!D2561)&gt;0,COUNTIFS(出库明细!$C$4:C2561,出库明细!C2561,出库明细!$D$4:D2561,出库明细!D2561)&gt;1),"",IFERROR(MATCH(出库明细!C2561,总览汇总!$B$5:$B$304,0),900)*10000000+IFERROR(MATCH(出库明细!D2561,基础资料!$E$5:$E$104,0),900)*10000+ROW()))</f>
      </c>
      <c r="F3561">
        <f>IF(AND(资金台帐!J564&lt;&gt;"",资金台帐!J564=客户对账单!$B$4,资金台帐!P564="应收",ISNUMBER(资金台帐!B564),资金台帐!B564&gt;=客户对账单!$G$4,资金台帐!B564&lt;=客户对账单!$I$4),资金台帐!B564+ROW()/100000,"")</f>
      </c>
      <c r="H3561">
        <f>IF(AND(资金台帐!K2064&lt;&gt;"",资金台帐!K2064=供应商对账单!$B$4,资金台帐!P2064="应付",ISNUMBER(资金台帐!B2064),资金台帐!B2064&gt;=供应商对账单!$G$4,资金台帐!B2064&lt;=供应商对账单!$I$4),资金台帐!B2064+ROW()/100000,"")</f>
      </c>
    </row>
    <row r="3562">
      <c r="A3562">
        <f>IF(OR(出库明细!C2562="",出库明细!D2562=""),"",IF(OR(COUNTIFS(存条明细!$C$4:$C$1003,出库明细!C2562,存条明细!$D$4:$D$1003,出库明细!D2562)&gt;0,COUNTIFS(出库明细!$C$4:C2562,出库明细!C2562,出库明细!$D$4:D2562,出库明细!D2562)&gt;1),"",IFERROR(MATCH(出库明细!C2562,总览汇总!$B$5:$B$304,0),900)*10000000+IFERROR(MATCH(出库明细!D2562,基础资料!$E$5:$E$104,0),900)*10000+ROW()))</f>
      </c>
      <c r="F3562">
        <f>IF(AND(资金台帐!J565&lt;&gt;"",资金台帐!J565=客户对账单!$B$4,资金台帐!P565="应收",ISNUMBER(资金台帐!B565),资金台帐!B565&gt;=客户对账单!$G$4,资金台帐!B565&lt;=客户对账单!$I$4),资金台帐!B565+ROW()/100000,"")</f>
      </c>
      <c r="H3562">
        <f>IF(AND(资金台帐!K2065&lt;&gt;"",资金台帐!K2065=供应商对账单!$B$4,资金台帐!P2065="应付",ISNUMBER(资金台帐!B2065),资金台帐!B2065&gt;=供应商对账单!$G$4,资金台帐!B2065&lt;=供应商对账单!$I$4),资金台帐!B2065+ROW()/100000,"")</f>
      </c>
    </row>
    <row r="3563">
      <c r="A3563">
        <f>IF(OR(出库明细!C2563="",出库明细!D2563=""),"",IF(OR(COUNTIFS(存条明细!$C$4:$C$1003,出库明细!C2563,存条明细!$D$4:$D$1003,出库明细!D2563)&gt;0,COUNTIFS(出库明细!$C$4:C2563,出库明细!C2563,出库明细!$D$4:D2563,出库明细!D2563)&gt;1),"",IFERROR(MATCH(出库明细!C2563,总览汇总!$B$5:$B$304,0),900)*10000000+IFERROR(MATCH(出库明细!D2563,基础资料!$E$5:$E$104,0),900)*10000+ROW()))</f>
      </c>
      <c r="F3563">
        <f>IF(AND(资金台帐!J566&lt;&gt;"",资金台帐!J566=客户对账单!$B$4,资金台帐!P566="应收",ISNUMBER(资金台帐!B566),资金台帐!B566&gt;=客户对账单!$G$4,资金台帐!B566&lt;=客户对账单!$I$4),资金台帐!B566+ROW()/100000,"")</f>
      </c>
      <c r="H3563">
        <f>IF(AND(资金台帐!K2066&lt;&gt;"",资金台帐!K2066=供应商对账单!$B$4,资金台帐!P2066="应付",ISNUMBER(资金台帐!B2066),资金台帐!B2066&gt;=供应商对账单!$G$4,资金台帐!B2066&lt;=供应商对账单!$I$4),资金台帐!B2066+ROW()/100000,"")</f>
      </c>
    </row>
    <row r="3564">
      <c r="A3564">
        <f>IF(OR(出库明细!C2564="",出库明细!D2564=""),"",IF(OR(COUNTIFS(存条明细!$C$4:$C$1003,出库明细!C2564,存条明细!$D$4:$D$1003,出库明细!D2564)&gt;0,COUNTIFS(出库明细!$C$4:C2564,出库明细!C2564,出库明细!$D$4:D2564,出库明细!D2564)&gt;1),"",IFERROR(MATCH(出库明细!C2564,总览汇总!$B$5:$B$304,0),900)*10000000+IFERROR(MATCH(出库明细!D2564,基础资料!$E$5:$E$104,0),900)*10000+ROW()))</f>
      </c>
      <c r="F3564">
        <f>IF(AND(资金台帐!J567&lt;&gt;"",资金台帐!J567=客户对账单!$B$4,资金台帐!P567="应收",ISNUMBER(资金台帐!B567),资金台帐!B567&gt;=客户对账单!$G$4,资金台帐!B567&lt;=客户对账单!$I$4),资金台帐!B567+ROW()/100000,"")</f>
      </c>
      <c r="H3564">
        <f>IF(AND(资金台帐!K2067&lt;&gt;"",资金台帐!K2067=供应商对账单!$B$4,资金台帐!P2067="应付",ISNUMBER(资金台帐!B2067),资金台帐!B2067&gt;=供应商对账单!$G$4,资金台帐!B2067&lt;=供应商对账单!$I$4),资金台帐!B2067+ROW()/100000,"")</f>
      </c>
    </row>
    <row r="3565">
      <c r="A3565">
        <f>IF(OR(出库明细!C2565="",出库明细!D2565=""),"",IF(OR(COUNTIFS(存条明细!$C$4:$C$1003,出库明细!C2565,存条明细!$D$4:$D$1003,出库明细!D2565)&gt;0,COUNTIFS(出库明细!$C$4:C2565,出库明细!C2565,出库明细!$D$4:D2565,出库明细!D2565)&gt;1),"",IFERROR(MATCH(出库明细!C2565,总览汇总!$B$5:$B$304,0),900)*10000000+IFERROR(MATCH(出库明细!D2565,基础资料!$E$5:$E$104,0),900)*10000+ROW()))</f>
      </c>
      <c r="F3565">
        <f>IF(AND(资金台帐!J568&lt;&gt;"",资金台帐!J568=客户对账单!$B$4,资金台帐!P568="应收",ISNUMBER(资金台帐!B568),资金台帐!B568&gt;=客户对账单!$G$4,资金台帐!B568&lt;=客户对账单!$I$4),资金台帐!B568+ROW()/100000,"")</f>
      </c>
      <c r="H3565">
        <f>IF(AND(资金台帐!K2068&lt;&gt;"",资金台帐!K2068=供应商对账单!$B$4,资金台帐!P2068="应付",ISNUMBER(资金台帐!B2068),资金台帐!B2068&gt;=供应商对账单!$G$4,资金台帐!B2068&lt;=供应商对账单!$I$4),资金台帐!B2068+ROW()/100000,"")</f>
      </c>
    </row>
    <row r="3566">
      <c r="A3566">
        <f>IF(OR(出库明细!C2566="",出库明细!D2566=""),"",IF(OR(COUNTIFS(存条明细!$C$4:$C$1003,出库明细!C2566,存条明细!$D$4:$D$1003,出库明细!D2566)&gt;0,COUNTIFS(出库明细!$C$4:C2566,出库明细!C2566,出库明细!$D$4:D2566,出库明细!D2566)&gt;1),"",IFERROR(MATCH(出库明细!C2566,总览汇总!$B$5:$B$304,0),900)*10000000+IFERROR(MATCH(出库明细!D2566,基础资料!$E$5:$E$104,0),900)*10000+ROW()))</f>
      </c>
      <c r="F3566">
        <f>IF(AND(资金台帐!J569&lt;&gt;"",资金台帐!J569=客户对账单!$B$4,资金台帐!P569="应收",ISNUMBER(资金台帐!B569),资金台帐!B569&gt;=客户对账单!$G$4,资金台帐!B569&lt;=客户对账单!$I$4),资金台帐!B569+ROW()/100000,"")</f>
      </c>
      <c r="H3566">
        <f>IF(AND(资金台帐!K2069&lt;&gt;"",资金台帐!K2069=供应商对账单!$B$4,资金台帐!P2069="应付",ISNUMBER(资金台帐!B2069),资金台帐!B2069&gt;=供应商对账单!$G$4,资金台帐!B2069&lt;=供应商对账单!$I$4),资金台帐!B2069+ROW()/100000,"")</f>
      </c>
    </row>
    <row r="3567">
      <c r="A3567">
        <f>IF(OR(出库明细!C2567="",出库明细!D2567=""),"",IF(OR(COUNTIFS(存条明细!$C$4:$C$1003,出库明细!C2567,存条明细!$D$4:$D$1003,出库明细!D2567)&gt;0,COUNTIFS(出库明细!$C$4:C2567,出库明细!C2567,出库明细!$D$4:D2567,出库明细!D2567)&gt;1),"",IFERROR(MATCH(出库明细!C2567,总览汇总!$B$5:$B$304,0),900)*10000000+IFERROR(MATCH(出库明细!D2567,基础资料!$E$5:$E$104,0),900)*10000+ROW()))</f>
      </c>
      <c r="F3567">
        <f>IF(AND(资金台帐!J570&lt;&gt;"",资金台帐!J570=客户对账单!$B$4,资金台帐!P570="应收",ISNUMBER(资金台帐!B570),资金台帐!B570&gt;=客户对账单!$G$4,资金台帐!B570&lt;=客户对账单!$I$4),资金台帐!B570+ROW()/100000,"")</f>
      </c>
      <c r="H3567">
        <f>IF(AND(资金台帐!K2070&lt;&gt;"",资金台帐!K2070=供应商对账单!$B$4,资金台帐!P2070="应付",ISNUMBER(资金台帐!B2070),资金台帐!B2070&gt;=供应商对账单!$G$4,资金台帐!B2070&lt;=供应商对账单!$I$4),资金台帐!B2070+ROW()/100000,"")</f>
      </c>
    </row>
    <row r="3568">
      <c r="A3568">
        <f>IF(OR(出库明细!C2568="",出库明细!D2568=""),"",IF(OR(COUNTIFS(存条明细!$C$4:$C$1003,出库明细!C2568,存条明细!$D$4:$D$1003,出库明细!D2568)&gt;0,COUNTIFS(出库明细!$C$4:C2568,出库明细!C2568,出库明细!$D$4:D2568,出库明细!D2568)&gt;1),"",IFERROR(MATCH(出库明细!C2568,总览汇总!$B$5:$B$304,0),900)*10000000+IFERROR(MATCH(出库明细!D2568,基础资料!$E$5:$E$104,0),900)*10000+ROW()))</f>
      </c>
      <c r="F3568">
        <f>IF(AND(资金台帐!J571&lt;&gt;"",资金台帐!J571=客户对账单!$B$4,资金台帐!P571="应收",ISNUMBER(资金台帐!B571),资金台帐!B571&gt;=客户对账单!$G$4,资金台帐!B571&lt;=客户对账单!$I$4),资金台帐!B571+ROW()/100000,"")</f>
      </c>
      <c r="H3568">
        <f>IF(AND(资金台帐!K2071&lt;&gt;"",资金台帐!K2071=供应商对账单!$B$4,资金台帐!P2071="应付",ISNUMBER(资金台帐!B2071),资金台帐!B2071&gt;=供应商对账单!$G$4,资金台帐!B2071&lt;=供应商对账单!$I$4),资金台帐!B2071+ROW()/100000,"")</f>
      </c>
    </row>
    <row r="3569">
      <c r="A3569">
        <f>IF(OR(出库明细!C2569="",出库明细!D2569=""),"",IF(OR(COUNTIFS(存条明细!$C$4:$C$1003,出库明细!C2569,存条明细!$D$4:$D$1003,出库明细!D2569)&gt;0,COUNTIFS(出库明细!$C$4:C2569,出库明细!C2569,出库明细!$D$4:D2569,出库明细!D2569)&gt;1),"",IFERROR(MATCH(出库明细!C2569,总览汇总!$B$5:$B$304,0),900)*10000000+IFERROR(MATCH(出库明细!D2569,基础资料!$E$5:$E$104,0),900)*10000+ROW()))</f>
      </c>
      <c r="F3569">
        <f>IF(AND(资金台帐!J572&lt;&gt;"",资金台帐!J572=客户对账单!$B$4,资金台帐!P572="应收",ISNUMBER(资金台帐!B572),资金台帐!B572&gt;=客户对账单!$G$4,资金台帐!B572&lt;=客户对账单!$I$4),资金台帐!B572+ROW()/100000,"")</f>
      </c>
      <c r="H3569">
        <f>IF(AND(资金台帐!K2072&lt;&gt;"",资金台帐!K2072=供应商对账单!$B$4,资金台帐!P2072="应付",ISNUMBER(资金台帐!B2072),资金台帐!B2072&gt;=供应商对账单!$G$4,资金台帐!B2072&lt;=供应商对账单!$I$4),资金台帐!B2072+ROW()/100000,"")</f>
      </c>
    </row>
    <row r="3570">
      <c r="A3570">
        <f>IF(OR(出库明细!C2570="",出库明细!D2570=""),"",IF(OR(COUNTIFS(存条明细!$C$4:$C$1003,出库明细!C2570,存条明细!$D$4:$D$1003,出库明细!D2570)&gt;0,COUNTIFS(出库明细!$C$4:C2570,出库明细!C2570,出库明细!$D$4:D2570,出库明细!D2570)&gt;1),"",IFERROR(MATCH(出库明细!C2570,总览汇总!$B$5:$B$304,0),900)*10000000+IFERROR(MATCH(出库明细!D2570,基础资料!$E$5:$E$104,0),900)*10000+ROW()))</f>
      </c>
      <c r="F3570">
        <f>IF(AND(资金台帐!J573&lt;&gt;"",资金台帐!J573=客户对账单!$B$4,资金台帐!P573="应收",ISNUMBER(资金台帐!B573),资金台帐!B573&gt;=客户对账单!$G$4,资金台帐!B573&lt;=客户对账单!$I$4),资金台帐!B573+ROW()/100000,"")</f>
      </c>
      <c r="H3570">
        <f>IF(AND(资金台帐!K2073&lt;&gt;"",资金台帐!K2073=供应商对账单!$B$4,资金台帐!P2073="应付",ISNUMBER(资金台帐!B2073),资金台帐!B2073&gt;=供应商对账单!$G$4,资金台帐!B2073&lt;=供应商对账单!$I$4),资金台帐!B2073+ROW()/100000,"")</f>
      </c>
    </row>
    <row r="3571">
      <c r="A3571">
        <f>IF(OR(出库明细!C2571="",出库明细!D2571=""),"",IF(OR(COUNTIFS(存条明细!$C$4:$C$1003,出库明细!C2571,存条明细!$D$4:$D$1003,出库明细!D2571)&gt;0,COUNTIFS(出库明细!$C$4:C2571,出库明细!C2571,出库明细!$D$4:D2571,出库明细!D2571)&gt;1),"",IFERROR(MATCH(出库明细!C2571,总览汇总!$B$5:$B$304,0),900)*10000000+IFERROR(MATCH(出库明细!D2571,基础资料!$E$5:$E$104,0),900)*10000+ROW()))</f>
      </c>
      <c r="F3571">
        <f>IF(AND(资金台帐!J574&lt;&gt;"",资金台帐!J574=客户对账单!$B$4,资金台帐!P574="应收",ISNUMBER(资金台帐!B574),资金台帐!B574&gt;=客户对账单!$G$4,资金台帐!B574&lt;=客户对账单!$I$4),资金台帐!B574+ROW()/100000,"")</f>
      </c>
      <c r="H3571">
        <f>IF(AND(资金台帐!K2074&lt;&gt;"",资金台帐!K2074=供应商对账单!$B$4,资金台帐!P2074="应付",ISNUMBER(资金台帐!B2074),资金台帐!B2074&gt;=供应商对账单!$G$4,资金台帐!B2074&lt;=供应商对账单!$I$4),资金台帐!B2074+ROW()/100000,"")</f>
      </c>
    </row>
    <row r="3572">
      <c r="A3572">
        <f>IF(OR(出库明细!C2572="",出库明细!D2572=""),"",IF(OR(COUNTIFS(存条明细!$C$4:$C$1003,出库明细!C2572,存条明细!$D$4:$D$1003,出库明细!D2572)&gt;0,COUNTIFS(出库明细!$C$4:C2572,出库明细!C2572,出库明细!$D$4:D2572,出库明细!D2572)&gt;1),"",IFERROR(MATCH(出库明细!C2572,总览汇总!$B$5:$B$304,0),900)*10000000+IFERROR(MATCH(出库明细!D2572,基础资料!$E$5:$E$104,0),900)*10000+ROW()))</f>
      </c>
      <c r="F3572">
        <f>IF(AND(资金台帐!J575&lt;&gt;"",资金台帐!J575=客户对账单!$B$4,资金台帐!P575="应收",ISNUMBER(资金台帐!B575),资金台帐!B575&gt;=客户对账单!$G$4,资金台帐!B575&lt;=客户对账单!$I$4),资金台帐!B575+ROW()/100000,"")</f>
      </c>
      <c r="H3572">
        <f>IF(AND(资金台帐!K2075&lt;&gt;"",资金台帐!K2075=供应商对账单!$B$4,资金台帐!P2075="应付",ISNUMBER(资金台帐!B2075),资金台帐!B2075&gt;=供应商对账单!$G$4,资金台帐!B2075&lt;=供应商对账单!$I$4),资金台帐!B2075+ROW()/100000,"")</f>
      </c>
    </row>
    <row r="3573">
      <c r="A3573">
        <f>IF(OR(出库明细!C2573="",出库明细!D2573=""),"",IF(OR(COUNTIFS(存条明细!$C$4:$C$1003,出库明细!C2573,存条明细!$D$4:$D$1003,出库明细!D2573)&gt;0,COUNTIFS(出库明细!$C$4:C2573,出库明细!C2573,出库明细!$D$4:D2573,出库明细!D2573)&gt;1),"",IFERROR(MATCH(出库明细!C2573,总览汇总!$B$5:$B$304,0),900)*10000000+IFERROR(MATCH(出库明细!D2573,基础资料!$E$5:$E$104,0),900)*10000+ROW()))</f>
      </c>
      <c r="F3573">
        <f>IF(AND(资金台帐!J576&lt;&gt;"",资金台帐!J576=客户对账单!$B$4,资金台帐!P576="应收",ISNUMBER(资金台帐!B576),资金台帐!B576&gt;=客户对账单!$G$4,资金台帐!B576&lt;=客户对账单!$I$4),资金台帐!B576+ROW()/100000,"")</f>
      </c>
      <c r="H3573">
        <f>IF(AND(资金台帐!K2076&lt;&gt;"",资金台帐!K2076=供应商对账单!$B$4,资金台帐!P2076="应付",ISNUMBER(资金台帐!B2076),资金台帐!B2076&gt;=供应商对账单!$G$4,资金台帐!B2076&lt;=供应商对账单!$I$4),资金台帐!B2076+ROW()/100000,"")</f>
      </c>
    </row>
    <row r="3574">
      <c r="A3574">
        <f>IF(OR(出库明细!C2574="",出库明细!D2574=""),"",IF(OR(COUNTIFS(存条明细!$C$4:$C$1003,出库明细!C2574,存条明细!$D$4:$D$1003,出库明细!D2574)&gt;0,COUNTIFS(出库明细!$C$4:C2574,出库明细!C2574,出库明细!$D$4:D2574,出库明细!D2574)&gt;1),"",IFERROR(MATCH(出库明细!C2574,总览汇总!$B$5:$B$304,0),900)*10000000+IFERROR(MATCH(出库明细!D2574,基础资料!$E$5:$E$104,0),900)*10000+ROW()))</f>
      </c>
      <c r="F3574">
        <f>IF(AND(资金台帐!J577&lt;&gt;"",资金台帐!J577=客户对账单!$B$4,资金台帐!P577="应收",ISNUMBER(资金台帐!B577),资金台帐!B577&gt;=客户对账单!$G$4,资金台帐!B577&lt;=客户对账单!$I$4),资金台帐!B577+ROW()/100000,"")</f>
      </c>
      <c r="H3574">
        <f>IF(AND(资金台帐!K2077&lt;&gt;"",资金台帐!K2077=供应商对账单!$B$4,资金台帐!P2077="应付",ISNUMBER(资金台帐!B2077),资金台帐!B2077&gt;=供应商对账单!$G$4,资金台帐!B2077&lt;=供应商对账单!$I$4),资金台帐!B2077+ROW()/100000,"")</f>
      </c>
    </row>
    <row r="3575">
      <c r="A3575">
        <f>IF(OR(出库明细!C2575="",出库明细!D2575=""),"",IF(OR(COUNTIFS(存条明细!$C$4:$C$1003,出库明细!C2575,存条明细!$D$4:$D$1003,出库明细!D2575)&gt;0,COUNTIFS(出库明细!$C$4:C2575,出库明细!C2575,出库明细!$D$4:D2575,出库明细!D2575)&gt;1),"",IFERROR(MATCH(出库明细!C2575,总览汇总!$B$5:$B$304,0),900)*10000000+IFERROR(MATCH(出库明细!D2575,基础资料!$E$5:$E$104,0),900)*10000+ROW()))</f>
      </c>
      <c r="F3575">
        <f>IF(AND(资金台帐!J578&lt;&gt;"",资金台帐!J578=客户对账单!$B$4,资金台帐!P578="应收",ISNUMBER(资金台帐!B578),资金台帐!B578&gt;=客户对账单!$G$4,资金台帐!B578&lt;=客户对账单!$I$4),资金台帐!B578+ROW()/100000,"")</f>
      </c>
      <c r="H3575">
        <f>IF(AND(资金台帐!K2078&lt;&gt;"",资金台帐!K2078=供应商对账单!$B$4,资金台帐!P2078="应付",ISNUMBER(资金台帐!B2078),资金台帐!B2078&gt;=供应商对账单!$G$4,资金台帐!B2078&lt;=供应商对账单!$I$4),资金台帐!B2078+ROW()/100000,"")</f>
      </c>
    </row>
    <row r="3576">
      <c r="A3576">
        <f>IF(OR(出库明细!C2576="",出库明细!D2576=""),"",IF(OR(COUNTIFS(存条明细!$C$4:$C$1003,出库明细!C2576,存条明细!$D$4:$D$1003,出库明细!D2576)&gt;0,COUNTIFS(出库明细!$C$4:C2576,出库明细!C2576,出库明细!$D$4:D2576,出库明细!D2576)&gt;1),"",IFERROR(MATCH(出库明细!C2576,总览汇总!$B$5:$B$304,0),900)*10000000+IFERROR(MATCH(出库明细!D2576,基础资料!$E$5:$E$104,0),900)*10000+ROW()))</f>
      </c>
      <c r="F3576">
        <f>IF(AND(资金台帐!J579&lt;&gt;"",资金台帐!J579=客户对账单!$B$4,资金台帐!P579="应收",ISNUMBER(资金台帐!B579),资金台帐!B579&gt;=客户对账单!$G$4,资金台帐!B579&lt;=客户对账单!$I$4),资金台帐!B579+ROW()/100000,"")</f>
      </c>
      <c r="H3576">
        <f>IF(AND(资金台帐!K2079&lt;&gt;"",资金台帐!K2079=供应商对账单!$B$4,资金台帐!P2079="应付",ISNUMBER(资金台帐!B2079),资金台帐!B2079&gt;=供应商对账单!$G$4,资金台帐!B2079&lt;=供应商对账单!$I$4),资金台帐!B2079+ROW()/100000,"")</f>
      </c>
    </row>
    <row r="3577">
      <c r="A3577">
        <f>IF(OR(出库明细!C2577="",出库明细!D2577=""),"",IF(OR(COUNTIFS(存条明细!$C$4:$C$1003,出库明细!C2577,存条明细!$D$4:$D$1003,出库明细!D2577)&gt;0,COUNTIFS(出库明细!$C$4:C2577,出库明细!C2577,出库明细!$D$4:D2577,出库明细!D2577)&gt;1),"",IFERROR(MATCH(出库明细!C2577,总览汇总!$B$5:$B$304,0),900)*10000000+IFERROR(MATCH(出库明细!D2577,基础资料!$E$5:$E$104,0),900)*10000+ROW()))</f>
      </c>
      <c r="F3577">
        <f>IF(AND(资金台帐!J580&lt;&gt;"",资金台帐!J580=客户对账单!$B$4,资金台帐!P580="应收",ISNUMBER(资金台帐!B580),资金台帐!B580&gt;=客户对账单!$G$4,资金台帐!B580&lt;=客户对账单!$I$4),资金台帐!B580+ROW()/100000,"")</f>
      </c>
      <c r="H3577">
        <f>IF(AND(资金台帐!K2080&lt;&gt;"",资金台帐!K2080=供应商对账单!$B$4,资金台帐!P2080="应付",ISNUMBER(资金台帐!B2080),资金台帐!B2080&gt;=供应商对账单!$G$4,资金台帐!B2080&lt;=供应商对账单!$I$4),资金台帐!B2080+ROW()/100000,"")</f>
      </c>
    </row>
    <row r="3578">
      <c r="A3578">
        <f>IF(OR(出库明细!C2578="",出库明细!D2578=""),"",IF(OR(COUNTIFS(存条明细!$C$4:$C$1003,出库明细!C2578,存条明细!$D$4:$D$1003,出库明细!D2578)&gt;0,COUNTIFS(出库明细!$C$4:C2578,出库明细!C2578,出库明细!$D$4:D2578,出库明细!D2578)&gt;1),"",IFERROR(MATCH(出库明细!C2578,总览汇总!$B$5:$B$304,0),900)*10000000+IFERROR(MATCH(出库明细!D2578,基础资料!$E$5:$E$104,0),900)*10000+ROW()))</f>
      </c>
      <c r="F3578">
        <f>IF(AND(资金台帐!J581&lt;&gt;"",资金台帐!J581=客户对账单!$B$4,资金台帐!P581="应收",ISNUMBER(资金台帐!B581),资金台帐!B581&gt;=客户对账单!$G$4,资金台帐!B581&lt;=客户对账单!$I$4),资金台帐!B581+ROW()/100000,"")</f>
      </c>
      <c r="H3578">
        <f>IF(AND(资金台帐!K2081&lt;&gt;"",资金台帐!K2081=供应商对账单!$B$4,资金台帐!P2081="应付",ISNUMBER(资金台帐!B2081),资金台帐!B2081&gt;=供应商对账单!$G$4,资金台帐!B2081&lt;=供应商对账单!$I$4),资金台帐!B2081+ROW()/100000,"")</f>
      </c>
    </row>
    <row r="3579">
      <c r="A3579">
        <f>IF(OR(出库明细!C2579="",出库明细!D2579=""),"",IF(OR(COUNTIFS(存条明细!$C$4:$C$1003,出库明细!C2579,存条明细!$D$4:$D$1003,出库明细!D2579)&gt;0,COUNTIFS(出库明细!$C$4:C2579,出库明细!C2579,出库明细!$D$4:D2579,出库明细!D2579)&gt;1),"",IFERROR(MATCH(出库明细!C2579,总览汇总!$B$5:$B$304,0),900)*10000000+IFERROR(MATCH(出库明细!D2579,基础资料!$E$5:$E$104,0),900)*10000+ROW()))</f>
      </c>
      <c r="F3579">
        <f>IF(AND(资金台帐!J582&lt;&gt;"",资金台帐!J582=客户对账单!$B$4,资金台帐!P582="应收",ISNUMBER(资金台帐!B582),资金台帐!B582&gt;=客户对账单!$G$4,资金台帐!B582&lt;=客户对账单!$I$4),资金台帐!B582+ROW()/100000,"")</f>
      </c>
      <c r="H3579">
        <f>IF(AND(资金台帐!K2082&lt;&gt;"",资金台帐!K2082=供应商对账单!$B$4,资金台帐!P2082="应付",ISNUMBER(资金台帐!B2082),资金台帐!B2082&gt;=供应商对账单!$G$4,资金台帐!B2082&lt;=供应商对账单!$I$4),资金台帐!B2082+ROW()/100000,"")</f>
      </c>
    </row>
    <row r="3580">
      <c r="A3580">
        <f>IF(OR(出库明细!C2580="",出库明细!D2580=""),"",IF(OR(COUNTIFS(存条明细!$C$4:$C$1003,出库明细!C2580,存条明细!$D$4:$D$1003,出库明细!D2580)&gt;0,COUNTIFS(出库明细!$C$4:C2580,出库明细!C2580,出库明细!$D$4:D2580,出库明细!D2580)&gt;1),"",IFERROR(MATCH(出库明细!C2580,总览汇总!$B$5:$B$304,0),900)*10000000+IFERROR(MATCH(出库明细!D2580,基础资料!$E$5:$E$104,0),900)*10000+ROW()))</f>
      </c>
      <c r="F3580">
        <f>IF(AND(资金台帐!J583&lt;&gt;"",资金台帐!J583=客户对账单!$B$4,资金台帐!P583="应收",ISNUMBER(资金台帐!B583),资金台帐!B583&gt;=客户对账单!$G$4,资金台帐!B583&lt;=客户对账单!$I$4),资金台帐!B583+ROW()/100000,"")</f>
      </c>
      <c r="H3580">
        <f>IF(AND(资金台帐!K2083&lt;&gt;"",资金台帐!K2083=供应商对账单!$B$4,资金台帐!P2083="应付",ISNUMBER(资金台帐!B2083),资金台帐!B2083&gt;=供应商对账单!$G$4,资金台帐!B2083&lt;=供应商对账单!$I$4),资金台帐!B2083+ROW()/100000,"")</f>
      </c>
    </row>
    <row r="3581">
      <c r="A3581">
        <f>IF(OR(出库明细!C2581="",出库明细!D2581=""),"",IF(OR(COUNTIFS(存条明细!$C$4:$C$1003,出库明细!C2581,存条明细!$D$4:$D$1003,出库明细!D2581)&gt;0,COUNTIFS(出库明细!$C$4:C2581,出库明细!C2581,出库明细!$D$4:D2581,出库明细!D2581)&gt;1),"",IFERROR(MATCH(出库明细!C2581,总览汇总!$B$5:$B$304,0),900)*10000000+IFERROR(MATCH(出库明细!D2581,基础资料!$E$5:$E$104,0),900)*10000+ROW()))</f>
      </c>
      <c r="F3581">
        <f>IF(AND(资金台帐!J584&lt;&gt;"",资金台帐!J584=客户对账单!$B$4,资金台帐!P584="应收",ISNUMBER(资金台帐!B584),资金台帐!B584&gt;=客户对账单!$G$4,资金台帐!B584&lt;=客户对账单!$I$4),资金台帐!B584+ROW()/100000,"")</f>
      </c>
      <c r="H3581">
        <f>IF(AND(资金台帐!K2084&lt;&gt;"",资金台帐!K2084=供应商对账单!$B$4,资金台帐!P2084="应付",ISNUMBER(资金台帐!B2084),资金台帐!B2084&gt;=供应商对账单!$G$4,资金台帐!B2084&lt;=供应商对账单!$I$4),资金台帐!B2084+ROW()/100000,"")</f>
      </c>
    </row>
    <row r="3582">
      <c r="A3582">
        <f>IF(OR(出库明细!C2582="",出库明细!D2582=""),"",IF(OR(COUNTIFS(存条明细!$C$4:$C$1003,出库明细!C2582,存条明细!$D$4:$D$1003,出库明细!D2582)&gt;0,COUNTIFS(出库明细!$C$4:C2582,出库明细!C2582,出库明细!$D$4:D2582,出库明细!D2582)&gt;1),"",IFERROR(MATCH(出库明细!C2582,总览汇总!$B$5:$B$304,0),900)*10000000+IFERROR(MATCH(出库明细!D2582,基础资料!$E$5:$E$104,0),900)*10000+ROW()))</f>
      </c>
      <c r="F3582">
        <f>IF(AND(资金台帐!J585&lt;&gt;"",资金台帐!J585=客户对账单!$B$4,资金台帐!P585="应收",ISNUMBER(资金台帐!B585),资金台帐!B585&gt;=客户对账单!$G$4,资金台帐!B585&lt;=客户对账单!$I$4),资金台帐!B585+ROW()/100000,"")</f>
      </c>
      <c r="H3582">
        <f>IF(AND(资金台帐!K2085&lt;&gt;"",资金台帐!K2085=供应商对账单!$B$4,资金台帐!P2085="应付",ISNUMBER(资金台帐!B2085),资金台帐!B2085&gt;=供应商对账单!$G$4,资金台帐!B2085&lt;=供应商对账单!$I$4),资金台帐!B2085+ROW()/100000,"")</f>
      </c>
    </row>
    <row r="3583">
      <c r="A3583">
        <f>IF(OR(出库明细!C2583="",出库明细!D2583=""),"",IF(OR(COUNTIFS(存条明细!$C$4:$C$1003,出库明细!C2583,存条明细!$D$4:$D$1003,出库明细!D2583)&gt;0,COUNTIFS(出库明细!$C$4:C2583,出库明细!C2583,出库明细!$D$4:D2583,出库明细!D2583)&gt;1),"",IFERROR(MATCH(出库明细!C2583,总览汇总!$B$5:$B$304,0),900)*10000000+IFERROR(MATCH(出库明细!D2583,基础资料!$E$5:$E$104,0),900)*10000+ROW()))</f>
      </c>
      <c r="F3583">
        <f>IF(AND(资金台帐!J586&lt;&gt;"",资金台帐!J586=客户对账单!$B$4,资金台帐!P586="应收",ISNUMBER(资金台帐!B586),资金台帐!B586&gt;=客户对账单!$G$4,资金台帐!B586&lt;=客户对账单!$I$4),资金台帐!B586+ROW()/100000,"")</f>
      </c>
      <c r="H3583">
        <f>IF(AND(资金台帐!K2086&lt;&gt;"",资金台帐!K2086=供应商对账单!$B$4,资金台帐!P2086="应付",ISNUMBER(资金台帐!B2086),资金台帐!B2086&gt;=供应商对账单!$G$4,资金台帐!B2086&lt;=供应商对账单!$I$4),资金台帐!B2086+ROW()/100000,"")</f>
      </c>
    </row>
    <row r="3584">
      <c r="A3584">
        <f>IF(OR(出库明细!C2584="",出库明细!D2584=""),"",IF(OR(COUNTIFS(存条明细!$C$4:$C$1003,出库明细!C2584,存条明细!$D$4:$D$1003,出库明细!D2584)&gt;0,COUNTIFS(出库明细!$C$4:C2584,出库明细!C2584,出库明细!$D$4:D2584,出库明细!D2584)&gt;1),"",IFERROR(MATCH(出库明细!C2584,总览汇总!$B$5:$B$304,0),900)*10000000+IFERROR(MATCH(出库明细!D2584,基础资料!$E$5:$E$104,0),900)*10000+ROW()))</f>
      </c>
      <c r="F3584">
        <f>IF(AND(资金台帐!J587&lt;&gt;"",资金台帐!J587=客户对账单!$B$4,资金台帐!P587="应收",ISNUMBER(资金台帐!B587),资金台帐!B587&gt;=客户对账单!$G$4,资金台帐!B587&lt;=客户对账单!$I$4),资金台帐!B587+ROW()/100000,"")</f>
      </c>
      <c r="H3584">
        <f>IF(AND(资金台帐!K2087&lt;&gt;"",资金台帐!K2087=供应商对账单!$B$4,资金台帐!P2087="应付",ISNUMBER(资金台帐!B2087),资金台帐!B2087&gt;=供应商对账单!$G$4,资金台帐!B2087&lt;=供应商对账单!$I$4),资金台帐!B2087+ROW()/100000,"")</f>
      </c>
    </row>
    <row r="3585">
      <c r="A3585">
        <f>IF(OR(出库明细!C2585="",出库明细!D2585=""),"",IF(OR(COUNTIFS(存条明细!$C$4:$C$1003,出库明细!C2585,存条明细!$D$4:$D$1003,出库明细!D2585)&gt;0,COUNTIFS(出库明细!$C$4:C2585,出库明细!C2585,出库明细!$D$4:D2585,出库明细!D2585)&gt;1),"",IFERROR(MATCH(出库明细!C2585,总览汇总!$B$5:$B$304,0),900)*10000000+IFERROR(MATCH(出库明细!D2585,基础资料!$E$5:$E$104,0),900)*10000+ROW()))</f>
      </c>
      <c r="F3585">
        <f>IF(AND(资金台帐!J588&lt;&gt;"",资金台帐!J588=客户对账单!$B$4,资金台帐!P588="应收",ISNUMBER(资金台帐!B588),资金台帐!B588&gt;=客户对账单!$G$4,资金台帐!B588&lt;=客户对账单!$I$4),资金台帐!B588+ROW()/100000,"")</f>
      </c>
      <c r="H3585">
        <f>IF(AND(资金台帐!K2088&lt;&gt;"",资金台帐!K2088=供应商对账单!$B$4,资金台帐!P2088="应付",ISNUMBER(资金台帐!B2088),资金台帐!B2088&gt;=供应商对账单!$G$4,资金台帐!B2088&lt;=供应商对账单!$I$4),资金台帐!B2088+ROW()/100000,"")</f>
      </c>
    </row>
    <row r="3586">
      <c r="A3586">
        <f>IF(OR(出库明细!C2586="",出库明细!D2586=""),"",IF(OR(COUNTIFS(存条明细!$C$4:$C$1003,出库明细!C2586,存条明细!$D$4:$D$1003,出库明细!D2586)&gt;0,COUNTIFS(出库明细!$C$4:C2586,出库明细!C2586,出库明细!$D$4:D2586,出库明细!D2586)&gt;1),"",IFERROR(MATCH(出库明细!C2586,总览汇总!$B$5:$B$304,0),900)*10000000+IFERROR(MATCH(出库明细!D2586,基础资料!$E$5:$E$104,0),900)*10000+ROW()))</f>
      </c>
      <c r="F3586">
        <f>IF(AND(资金台帐!J589&lt;&gt;"",资金台帐!J589=客户对账单!$B$4,资金台帐!P589="应收",ISNUMBER(资金台帐!B589),资金台帐!B589&gt;=客户对账单!$G$4,资金台帐!B589&lt;=客户对账单!$I$4),资金台帐!B589+ROW()/100000,"")</f>
      </c>
      <c r="H3586">
        <f>IF(AND(资金台帐!K2089&lt;&gt;"",资金台帐!K2089=供应商对账单!$B$4,资金台帐!P2089="应付",ISNUMBER(资金台帐!B2089),资金台帐!B2089&gt;=供应商对账单!$G$4,资金台帐!B2089&lt;=供应商对账单!$I$4),资金台帐!B2089+ROW()/100000,"")</f>
      </c>
    </row>
    <row r="3587">
      <c r="A3587">
        <f>IF(OR(出库明细!C2587="",出库明细!D2587=""),"",IF(OR(COUNTIFS(存条明细!$C$4:$C$1003,出库明细!C2587,存条明细!$D$4:$D$1003,出库明细!D2587)&gt;0,COUNTIFS(出库明细!$C$4:C2587,出库明细!C2587,出库明细!$D$4:D2587,出库明细!D2587)&gt;1),"",IFERROR(MATCH(出库明细!C2587,总览汇总!$B$5:$B$304,0),900)*10000000+IFERROR(MATCH(出库明细!D2587,基础资料!$E$5:$E$104,0),900)*10000+ROW()))</f>
      </c>
      <c r="F3587">
        <f>IF(AND(资金台帐!J590&lt;&gt;"",资金台帐!J590=客户对账单!$B$4,资金台帐!P590="应收",ISNUMBER(资金台帐!B590),资金台帐!B590&gt;=客户对账单!$G$4,资金台帐!B590&lt;=客户对账单!$I$4),资金台帐!B590+ROW()/100000,"")</f>
      </c>
      <c r="H3587">
        <f>IF(AND(资金台帐!K2090&lt;&gt;"",资金台帐!K2090=供应商对账单!$B$4,资金台帐!P2090="应付",ISNUMBER(资金台帐!B2090),资金台帐!B2090&gt;=供应商对账单!$G$4,资金台帐!B2090&lt;=供应商对账单!$I$4),资金台帐!B2090+ROW()/100000,"")</f>
      </c>
    </row>
    <row r="3588">
      <c r="A3588">
        <f>IF(OR(出库明细!C2588="",出库明细!D2588=""),"",IF(OR(COUNTIFS(存条明细!$C$4:$C$1003,出库明细!C2588,存条明细!$D$4:$D$1003,出库明细!D2588)&gt;0,COUNTIFS(出库明细!$C$4:C2588,出库明细!C2588,出库明细!$D$4:D2588,出库明细!D2588)&gt;1),"",IFERROR(MATCH(出库明细!C2588,总览汇总!$B$5:$B$304,0),900)*10000000+IFERROR(MATCH(出库明细!D2588,基础资料!$E$5:$E$104,0),900)*10000+ROW()))</f>
      </c>
      <c r="F3588">
        <f>IF(AND(资金台帐!J591&lt;&gt;"",资金台帐!J591=客户对账单!$B$4,资金台帐!P591="应收",ISNUMBER(资金台帐!B591),资金台帐!B591&gt;=客户对账单!$G$4,资金台帐!B591&lt;=客户对账单!$I$4),资金台帐!B591+ROW()/100000,"")</f>
      </c>
      <c r="H3588">
        <f>IF(AND(资金台帐!K2091&lt;&gt;"",资金台帐!K2091=供应商对账单!$B$4,资金台帐!P2091="应付",ISNUMBER(资金台帐!B2091),资金台帐!B2091&gt;=供应商对账单!$G$4,资金台帐!B2091&lt;=供应商对账单!$I$4),资金台帐!B2091+ROW()/100000,"")</f>
      </c>
    </row>
    <row r="3589">
      <c r="A3589">
        <f>IF(OR(出库明细!C2589="",出库明细!D2589=""),"",IF(OR(COUNTIFS(存条明细!$C$4:$C$1003,出库明细!C2589,存条明细!$D$4:$D$1003,出库明细!D2589)&gt;0,COUNTIFS(出库明细!$C$4:C2589,出库明细!C2589,出库明细!$D$4:D2589,出库明细!D2589)&gt;1),"",IFERROR(MATCH(出库明细!C2589,总览汇总!$B$5:$B$304,0),900)*10000000+IFERROR(MATCH(出库明细!D2589,基础资料!$E$5:$E$104,0),900)*10000+ROW()))</f>
      </c>
      <c r="F3589">
        <f>IF(AND(资金台帐!J592&lt;&gt;"",资金台帐!J592=客户对账单!$B$4,资金台帐!P592="应收",ISNUMBER(资金台帐!B592),资金台帐!B592&gt;=客户对账单!$G$4,资金台帐!B592&lt;=客户对账单!$I$4),资金台帐!B592+ROW()/100000,"")</f>
      </c>
      <c r="H3589">
        <f>IF(AND(资金台帐!K2092&lt;&gt;"",资金台帐!K2092=供应商对账单!$B$4,资金台帐!P2092="应付",ISNUMBER(资金台帐!B2092),资金台帐!B2092&gt;=供应商对账单!$G$4,资金台帐!B2092&lt;=供应商对账单!$I$4),资金台帐!B2092+ROW()/100000,"")</f>
      </c>
    </row>
    <row r="3590">
      <c r="A3590">
        <f>IF(OR(出库明细!C2590="",出库明细!D2590=""),"",IF(OR(COUNTIFS(存条明细!$C$4:$C$1003,出库明细!C2590,存条明细!$D$4:$D$1003,出库明细!D2590)&gt;0,COUNTIFS(出库明细!$C$4:C2590,出库明细!C2590,出库明细!$D$4:D2590,出库明细!D2590)&gt;1),"",IFERROR(MATCH(出库明细!C2590,总览汇总!$B$5:$B$304,0),900)*10000000+IFERROR(MATCH(出库明细!D2590,基础资料!$E$5:$E$104,0),900)*10000+ROW()))</f>
      </c>
      <c r="F3590">
        <f>IF(AND(资金台帐!J593&lt;&gt;"",资金台帐!J593=客户对账单!$B$4,资金台帐!P593="应收",ISNUMBER(资金台帐!B593),资金台帐!B593&gt;=客户对账单!$G$4,资金台帐!B593&lt;=客户对账单!$I$4),资金台帐!B593+ROW()/100000,"")</f>
      </c>
      <c r="H3590">
        <f>IF(AND(资金台帐!K2093&lt;&gt;"",资金台帐!K2093=供应商对账单!$B$4,资金台帐!P2093="应付",ISNUMBER(资金台帐!B2093),资金台帐!B2093&gt;=供应商对账单!$G$4,资金台帐!B2093&lt;=供应商对账单!$I$4),资金台帐!B2093+ROW()/100000,"")</f>
      </c>
    </row>
    <row r="3591">
      <c r="A3591">
        <f>IF(OR(出库明细!C2591="",出库明细!D2591=""),"",IF(OR(COUNTIFS(存条明细!$C$4:$C$1003,出库明细!C2591,存条明细!$D$4:$D$1003,出库明细!D2591)&gt;0,COUNTIFS(出库明细!$C$4:C2591,出库明细!C2591,出库明细!$D$4:D2591,出库明细!D2591)&gt;1),"",IFERROR(MATCH(出库明细!C2591,总览汇总!$B$5:$B$304,0),900)*10000000+IFERROR(MATCH(出库明细!D2591,基础资料!$E$5:$E$104,0),900)*10000+ROW()))</f>
      </c>
      <c r="F3591">
        <f>IF(AND(资金台帐!J594&lt;&gt;"",资金台帐!J594=客户对账单!$B$4,资金台帐!P594="应收",ISNUMBER(资金台帐!B594),资金台帐!B594&gt;=客户对账单!$G$4,资金台帐!B594&lt;=客户对账单!$I$4),资金台帐!B594+ROW()/100000,"")</f>
      </c>
      <c r="H3591">
        <f>IF(AND(资金台帐!K2094&lt;&gt;"",资金台帐!K2094=供应商对账单!$B$4,资金台帐!P2094="应付",ISNUMBER(资金台帐!B2094),资金台帐!B2094&gt;=供应商对账单!$G$4,资金台帐!B2094&lt;=供应商对账单!$I$4),资金台帐!B2094+ROW()/100000,"")</f>
      </c>
    </row>
    <row r="3592">
      <c r="A3592">
        <f>IF(OR(出库明细!C2592="",出库明细!D2592=""),"",IF(OR(COUNTIFS(存条明细!$C$4:$C$1003,出库明细!C2592,存条明细!$D$4:$D$1003,出库明细!D2592)&gt;0,COUNTIFS(出库明细!$C$4:C2592,出库明细!C2592,出库明细!$D$4:D2592,出库明细!D2592)&gt;1),"",IFERROR(MATCH(出库明细!C2592,总览汇总!$B$5:$B$304,0),900)*10000000+IFERROR(MATCH(出库明细!D2592,基础资料!$E$5:$E$104,0),900)*10000+ROW()))</f>
      </c>
      <c r="F3592">
        <f>IF(AND(资金台帐!J595&lt;&gt;"",资金台帐!J595=客户对账单!$B$4,资金台帐!P595="应收",ISNUMBER(资金台帐!B595),资金台帐!B595&gt;=客户对账单!$G$4,资金台帐!B595&lt;=客户对账单!$I$4),资金台帐!B595+ROW()/100000,"")</f>
      </c>
      <c r="H3592">
        <f>IF(AND(资金台帐!K2095&lt;&gt;"",资金台帐!K2095=供应商对账单!$B$4,资金台帐!P2095="应付",ISNUMBER(资金台帐!B2095),资金台帐!B2095&gt;=供应商对账单!$G$4,资金台帐!B2095&lt;=供应商对账单!$I$4),资金台帐!B2095+ROW()/100000,"")</f>
      </c>
    </row>
    <row r="3593">
      <c r="A3593">
        <f>IF(OR(出库明细!C2593="",出库明细!D2593=""),"",IF(OR(COUNTIFS(存条明细!$C$4:$C$1003,出库明细!C2593,存条明细!$D$4:$D$1003,出库明细!D2593)&gt;0,COUNTIFS(出库明细!$C$4:C2593,出库明细!C2593,出库明细!$D$4:D2593,出库明细!D2593)&gt;1),"",IFERROR(MATCH(出库明细!C2593,总览汇总!$B$5:$B$304,0),900)*10000000+IFERROR(MATCH(出库明细!D2593,基础资料!$E$5:$E$104,0),900)*10000+ROW()))</f>
      </c>
      <c r="F3593">
        <f>IF(AND(资金台帐!J596&lt;&gt;"",资金台帐!J596=客户对账单!$B$4,资金台帐!P596="应收",ISNUMBER(资金台帐!B596),资金台帐!B596&gt;=客户对账单!$G$4,资金台帐!B596&lt;=客户对账单!$I$4),资金台帐!B596+ROW()/100000,"")</f>
      </c>
      <c r="H3593">
        <f>IF(AND(资金台帐!K2096&lt;&gt;"",资金台帐!K2096=供应商对账单!$B$4,资金台帐!P2096="应付",ISNUMBER(资金台帐!B2096),资金台帐!B2096&gt;=供应商对账单!$G$4,资金台帐!B2096&lt;=供应商对账单!$I$4),资金台帐!B2096+ROW()/100000,"")</f>
      </c>
    </row>
    <row r="3594">
      <c r="A3594">
        <f>IF(OR(出库明细!C2594="",出库明细!D2594=""),"",IF(OR(COUNTIFS(存条明细!$C$4:$C$1003,出库明细!C2594,存条明细!$D$4:$D$1003,出库明细!D2594)&gt;0,COUNTIFS(出库明细!$C$4:C2594,出库明细!C2594,出库明细!$D$4:D2594,出库明细!D2594)&gt;1),"",IFERROR(MATCH(出库明细!C2594,总览汇总!$B$5:$B$304,0),900)*10000000+IFERROR(MATCH(出库明细!D2594,基础资料!$E$5:$E$104,0),900)*10000+ROW()))</f>
      </c>
      <c r="F3594">
        <f>IF(AND(资金台帐!J597&lt;&gt;"",资金台帐!J597=客户对账单!$B$4,资金台帐!P597="应收",ISNUMBER(资金台帐!B597),资金台帐!B597&gt;=客户对账单!$G$4,资金台帐!B597&lt;=客户对账单!$I$4),资金台帐!B597+ROW()/100000,"")</f>
      </c>
      <c r="H3594">
        <f>IF(AND(资金台帐!K2097&lt;&gt;"",资金台帐!K2097=供应商对账单!$B$4,资金台帐!P2097="应付",ISNUMBER(资金台帐!B2097),资金台帐!B2097&gt;=供应商对账单!$G$4,资金台帐!B2097&lt;=供应商对账单!$I$4),资金台帐!B2097+ROW()/100000,"")</f>
      </c>
    </row>
    <row r="3595">
      <c r="A3595">
        <f>IF(OR(出库明细!C2595="",出库明细!D2595=""),"",IF(OR(COUNTIFS(存条明细!$C$4:$C$1003,出库明细!C2595,存条明细!$D$4:$D$1003,出库明细!D2595)&gt;0,COUNTIFS(出库明细!$C$4:C2595,出库明细!C2595,出库明细!$D$4:D2595,出库明细!D2595)&gt;1),"",IFERROR(MATCH(出库明细!C2595,总览汇总!$B$5:$B$304,0),900)*10000000+IFERROR(MATCH(出库明细!D2595,基础资料!$E$5:$E$104,0),900)*10000+ROW()))</f>
      </c>
      <c r="F3595">
        <f>IF(AND(资金台帐!J598&lt;&gt;"",资金台帐!J598=客户对账单!$B$4,资金台帐!P598="应收",ISNUMBER(资金台帐!B598),资金台帐!B598&gt;=客户对账单!$G$4,资金台帐!B598&lt;=客户对账单!$I$4),资金台帐!B598+ROW()/100000,"")</f>
      </c>
      <c r="H3595">
        <f>IF(AND(资金台帐!K2098&lt;&gt;"",资金台帐!K2098=供应商对账单!$B$4,资金台帐!P2098="应付",ISNUMBER(资金台帐!B2098),资金台帐!B2098&gt;=供应商对账单!$G$4,资金台帐!B2098&lt;=供应商对账单!$I$4),资金台帐!B2098+ROW()/100000,"")</f>
      </c>
    </row>
    <row r="3596">
      <c r="A3596">
        <f>IF(OR(出库明细!C2596="",出库明细!D2596=""),"",IF(OR(COUNTIFS(存条明细!$C$4:$C$1003,出库明细!C2596,存条明细!$D$4:$D$1003,出库明细!D2596)&gt;0,COUNTIFS(出库明细!$C$4:C2596,出库明细!C2596,出库明细!$D$4:D2596,出库明细!D2596)&gt;1),"",IFERROR(MATCH(出库明细!C2596,总览汇总!$B$5:$B$304,0),900)*10000000+IFERROR(MATCH(出库明细!D2596,基础资料!$E$5:$E$104,0),900)*10000+ROW()))</f>
      </c>
      <c r="F3596">
        <f>IF(AND(资金台帐!J599&lt;&gt;"",资金台帐!J599=客户对账单!$B$4,资金台帐!P599="应收",ISNUMBER(资金台帐!B599),资金台帐!B599&gt;=客户对账单!$G$4,资金台帐!B599&lt;=客户对账单!$I$4),资金台帐!B599+ROW()/100000,"")</f>
      </c>
      <c r="H3596">
        <f>IF(AND(资金台帐!K2099&lt;&gt;"",资金台帐!K2099=供应商对账单!$B$4,资金台帐!P2099="应付",ISNUMBER(资金台帐!B2099),资金台帐!B2099&gt;=供应商对账单!$G$4,资金台帐!B2099&lt;=供应商对账单!$I$4),资金台帐!B2099+ROW()/100000,"")</f>
      </c>
    </row>
    <row r="3597">
      <c r="A3597">
        <f>IF(OR(出库明细!C2597="",出库明细!D2597=""),"",IF(OR(COUNTIFS(存条明细!$C$4:$C$1003,出库明细!C2597,存条明细!$D$4:$D$1003,出库明细!D2597)&gt;0,COUNTIFS(出库明细!$C$4:C2597,出库明细!C2597,出库明细!$D$4:D2597,出库明细!D2597)&gt;1),"",IFERROR(MATCH(出库明细!C2597,总览汇总!$B$5:$B$304,0),900)*10000000+IFERROR(MATCH(出库明细!D2597,基础资料!$E$5:$E$104,0),900)*10000+ROW()))</f>
      </c>
      <c r="F3597">
        <f>IF(AND(资金台帐!J600&lt;&gt;"",资金台帐!J600=客户对账单!$B$4,资金台帐!P600="应收",ISNUMBER(资金台帐!B600),资金台帐!B600&gt;=客户对账单!$G$4,资金台帐!B600&lt;=客户对账单!$I$4),资金台帐!B600+ROW()/100000,"")</f>
      </c>
      <c r="H3597">
        <f>IF(AND(资金台帐!K2100&lt;&gt;"",资金台帐!K2100=供应商对账单!$B$4,资金台帐!P2100="应付",ISNUMBER(资金台帐!B2100),资金台帐!B2100&gt;=供应商对账单!$G$4,资金台帐!B2100&lt;=供应商对账单!$I$4),资金台帐!B2100+ROW()/100000,"")</f>
      </c>
    </row>
    <row r="3598">
      <c r="A3598">
        <f>IF(OR(出库明细!C2598="",出库明细!D2598=""),"",IF(OR(COUNTIFS(存条明细!$C$4:$C$1003,出库明细!C2598,存条明细!$D$4:$D$1003,出库明细!D2598)&gt;0,COUNTIFS(出库明细!$C$4:C2598,出库明细!C2598,出库明细!$D$4:D2598,出库明细!D2598)&gt;1),"",IFERROR(MATCH(出库明细!C2598,总览汇总!$B$5:$B$304,0),900)*10000000+IFERROR(MATCH(出库明细!D2598,基础资料!$E$5:$E$104,0),900)*10000+ROW()))</f>
      </c>
      <c r="F3598">
        <f>IF(AND(资金台帐!J601&lt;&gt;"",资金台帐!J601=客户对账单!$B$4,资金台帐!P601="应收",ISNUMBER(资金台帐!B601),资金台帐!B601&gt;=客户对账单!$G$4,资金台帐!B601&lt;=客户对账单!$I$4),资金台帐!B601+ROW()/100000,"")</f>
      </c>
      <c r="H3598">
        <f>IF(AND(资金台帐!K2101&lt;&gt;"",资金台帐!K2101=供应商对账单!$B$4,资金台帐!P2101="应付",ISNUMBER(资金台帐!B2101),资金台帐!B2101&gt;=供应商对账单!$G$4,资金台帐!B2101&lt;=供应商对账单!$I$4),资金台帐!B2101+ROW()/100000,"")</f>
      </c>
    </row>
    <row r="3599">
      <c r="A3599">
        <f>IF(OR(出库明细!C2599="",出库明细!D2599=""),"",IF(OR(COUNTIFS(存条明细!$C$4:$C$1003,出库明细!C2599,存条明细!$D$4:$D$1003,出库明细!D2599)&gt;0,COUNTIFS(出库明细!$C$4:C2599,出库明细!C2599,出库明细!$D$4:D2599,出库明细!D2599)&gt;1),"",IFERROR(MATCH(出库明细!C2599,总览汇总!$B$5:$B$304,0),900)*10000000+IFERROR(MATCH(出库明细!D2599,基础资料!$E$5:$E$104,0),900)*10000+ROW()))</f>
      </c>
      <c r="F3599">
        <f>IF(AND(资金台帐!J602&lt;&gt;"",资金台帐!J602=客户对账单!$B$4,资金台帐!P602="应收",ISNUMBER(资金台帐!B602),资金台帐!B602&gt;=客户对账单!$G$4,资金台帐!B602&lt;=客户对账单!$I$4),资金台帐!B602+ROW()/100000,"")</f>
      </c>
      <c r="H3599">
        <f>IF(AND(资金台帐!K2102&lt;&gt;"",资金台帐!K2102=供应商对账单!$B$4,资金台帐!P2102="应付",ISNUMBER(资金台帐!B2102),资金台帐!B2102&gt;=供应商对账单!$G$4,资金台帐!B2102&lt;=供应商对账单!$I$4),资金台帐!B2102+ROW()/100000,"")</f>
      </c>
    </row>
    <row r="3600">
      <c r="A3600">
        <f>IF(OR(出库明细!C2600="",出库明细!D2600=""),"",IF(OR(COUNTIFS(存条明细!$C$4:$C$1003,出库明细!C2600,存条明细!$D$4:$D$1003,出库明细!D2600)&gt;0,COUNTIFS(出库明细!$C$4:C2600,出库明细!C2600,出库明细!$D$4:D2600,出库明细!D2600)&gt;1),"",IFERROR(MATCH(出库明细!C2600,总览汇总!$B$5:$B$304,0),900)*10000000+IFERROR(MATCH(出库明细!D2600,基础资料!$E$5:$E$104,0),900)*10000+ROW()))</f>
      </c>
      <c r="F3600">
        <f>IF(AND(资金台帐!J603&lt;&gt;"",资金台帐!J603=客户对账单!$B$4,资金台帐!P603="应收",ISNUMBER(资金台帐!B603),资金台帐!B603&gt;=客户对账单!$G$4,资金台帐!B603&lt;=客户对账单!$I$4),资金台帐!B603+ROW()/100000,"")</f>
      </c>
      <c r="H3600">
        <f>IF(AND(资金台帐!K2103&lt;&gt;"",资金台帐!K2103=供应商对账单!$B$4,资金台帐!P2103="应付",ISNUMBER(资金台帐!B2103),资金台帐!B2103&gt;=供应商对账单!$G$4,资金台帐!B2103&lt;=供应商对账单!$I$4),资金台帐!B2103+ROW()/100000,"")</f>
      </c>
    </row>
    <row r="3601">
      <c r="A3601">
        <f>IF(OR(出库明细!C2601="",出库明细!D2601=""),"",IF(OR(COUNTIFS(存条明细!$C$4:$C$1003,出库明细!C2601,存条明细!$D$4:$D$1003,出库明细!D2601)&gt;0,COUNTIFS(出库明细!$C$4:C2601,出库明细!C2601,出库明细!$D$4:D2601,出库明细!D2601)&gt;1),"",IFERROR(MATCH(出库明细!C2601,总览汇总!$B$5:$B$304,0),900)*10000000+IFERROR(MATCH(出库明细!D2601,基础资料!$E$5:$E$104,0),900)*10000+ROW()))</f>
      </c>
      <c r="F3601">
        <f>IF(AND(资金台帐!J604&lt;&gt;"",资金台帐!J604=客户对账单!$B$4,资金台帐!P604="应收",ISNUMBER(资金台帐!B604),资金台帐!B604&gt;=客户对账单!$G$4,资金台帐!B604&lt;=客户对账单!$I$4),资金台帐!B604+ROW()/100000,"")</f>
      </c>
      <c r="H3601">
        <f>IF(AND(资金台帐!K2104&lt;&gt;"",资金台帐!K2104=供应商对账单!$B$4,资金台帐!P2104="应付",ISNUMBER(资金台帐!B2104),资金台帐!B2104&gt;=供应商对账单!$G$4,资金台帐!B2104&lt;=供应商对账单!$I$4),资金台帐!B2104+ROW()/100000,"")</f>
      </c>
    </row>
    <row r="3602">
      <c r="A3602">
        <f>IF(OR(出库明细!C2602="",出库明细!D2602=""),"",IF(OR(COUNTIFS(存条明细!$C$4:$C$1003,出库明细!C2602,存条明细!$D$4:$D$1003,出库明细!D2602)&gt;0,COUNTIFS(出库明细!$C$4:C2602,出库明细!C2602,出库明细!$D$4:D2602,出库明细!D2602)&gt;1),"",IFERROR(MATCH(出库明细!C2602,总览汇总!$B$5:$B$304,0),900)*10000000+IFERROR(MATCH(出库明细!D2602,基础资料!$E$5:$E$104,0),900)*10000+ROW()))</f>
      </c>
      <c r="F3602">
        <f>IF(AND(资金台帐!J605&lt;&gt;"",资金台帐!J605=客户对账单!$B$4,资金台帐!P605="应收",ISNUMBER(资金台帐!B605),资金台帐!B605&gt;=客户对账单!$G$4,资金台帐!B605&lt;=客户对账单!$I$4),资金台帐!B605+ROW()/100000,"")</f>
      </c>
      <c r="H3602">
        <f>IF(AND(资金台帐!K2105&lt;&gt;"",资金台帐!K2105=供应商对账单!$B$4,资金台帐!P2105="应付",ISNUMBER(资金台帐!B2105),资金台帐!B2105&gt;=供应商对账单!$G$4,资金台帐!B2105&lt;=供应商对账单!$I$4),资金台帐!B2105+ROW()/100000,"")</f>
      </c>
    </row>
    <row r="3603">
      <c r="A3603">
        <f>IF(OR(出库明细!C2603="",出库明细!D2603=""),"",IF(OR(COUNTIFS(存条明细!$C$4:$C$1003,出库明细!C2603,存条明细!$D$4:$D$1003,出库明细!D2603)&gt;0,COUNTIFS(出库明细!$C$4:C2603,出库明细!C2603,出库明细!$D$4:D2603,出库明细!D2603)&gt;1),"",IFERROR(MATCH(出库明细!C2603,总览汇总!$B$5:$B$304,0),900)*10000000+IFERROR(MATCH(出库明细!D2603,基础资料!$E$5:$E$104,0),900)*10000+ROW()))</f>
      </c>
      <c r="F3603">
        <f>IF(AND(资金台帐!J606&lt;&gt;"",资金台帐!J606=客户对账单!$B$4,资金台帐!P606="应收",ISNUMBER(资金台帐!B606),资金台帐!B606&gt;=客户对账单!$G$4,资金台帐!B606&lt;=客户对账单!$I$4),资金台帐!B606+ROW()/100000,"")</f>
      </c>
      <c r="H3603">
        <f>IF(AND(资金台帐!K2106&lt;&gt;"",资金台帐!K2106=供应商对账单!$B$4,资金台帐!P2106="应付",ISNUMBER(资金台帐!B2106),资金台帐!B2106&gt;=供应商对账单!$G$4,资金台帐!B2106&lt;=供应商对账单!$I$4),资金台帐!B2106+ROW()/100000,"")</f>
      </c>
    </row>
    <row r="3604">
      <c r="A3604">
        <f>IF(OR(出库明细!C2604="",出库明细!D2604=""),"",IF(OR(COUNTIFS(存条明细!$C$4:$C$1003,出库明细!C2604,存条明细!$D$4:$D$1003,出库明细!D2604)&gt;0,COUNTIFS(出库明细!$C$4:C2604,出库明细!C2604,出库明细!$D$4:D2604,出库明细!D2604)&gt;1),"",IFERROR(MATCH(出库明细!C2604,总览汇总!$B$5:$B$304,0),900)*10000000+IFERROR(MATCH(出库明细!D2604,基础资料!$E$5:$E$104,0),900)*10000+ROW()))</f>
      </c>
      <c r="F3604">
        <f>IF(AND(资金台帐!J607&lt;&gt;"",资金台帐!J607=客户对账单!$B$4,资金台帐!P607="应收",ISNUMBER(资金台帐!B607),资金台帐!B607&gt;=客户对账单!$G$4,资金台帐!B607&lt;=客户对账单!$I$4),资金台帐!B607+ROW()/100000,"")</f>
      </c>
      <c r="H3604">
        <f>IF(AND(资金台帐!K2107&lt;&gt;"",资金台帐!K2107=供应商对账单!$B$4,资金台帐!P2107="应付",ISNUMBER(资金台帐!B2107),资金台帐!B2107&gt;=供应商对账单!$G$4,资金台帐!B2107&lt;=供应商对账单!$I$4),资金台帐!B2107+ROW()/100000,"")</f>
      </c>
    </row>
    <row r="3605">
      <c r="A3605">
        <f>IF(OR(出库明细!C2605="",出库明细!D2605=""),"",IF(OR(COUNTIFS(存条明细!$C$4:$C$1003,出库明细!C2605,存条明细!$D$4:$D$1003,出库明细!D2605)&gt;0,COUNTIFS(出库明细!$C$4:C2605,出库明细!C2605,出库明细!$D$4:D2605,出库明细!D2605)&gt;1),"",IFERROR(MATCH(出库明细!C2605,总览汇总!$B$5:$B$304,0),900)*10000000+IFERROR(MATCH(出库明细!D2605,基础资料!$E$5:$E$104,0),900)*10000+ROW()))</f>
      </c>
      <c r="F3605">
        <f>IF(AND(资金台帐!J608&lt;&gt;"",资金台帐!J608=客户对账单!$B$4,资金台帐!P608="应收",ISNUMBER(资金台帐!B608),资金台帐!B608&gt;=客户对账单!$G$4,资金台帐!B608&lt;=客户对账单!$I$4),资金台帐!B608+ROW()/100000,"")</f>
      </c>
      <c r="H3605">
        <f>IF(AND(资金台帐!K2108&lt;&gt;"",资金台帐!K2108=供应商对账单!$B$4,资金台帐!P2108="应付",ISNUMBER(资金台帐!B2108),资金台帐!B2108&gt;=供应商对账单!$G$4,资金台帐!B2108&lt;=供应商对账单!$I$4),资金台帐!B2108+ROW()/100000,"")</f>
      </c>
    </row>
    <row r="3606">
      <c r="A3606">
        <f>IF(OR(出库明细!C2606="",出库明细!D2606=""),"",IF(OR(COUNTIFS(存条明细!$C$4:$C$1003,出库明细!C2606,存条明细!$D$4:$D$1003,出库明细!D2606)&gt;0,COUNTIFS(出库明细!$C$4:C2606,出库明细!C2606,出库明细!$D$4:D2606,出库明细!D2606)&gt;1),"",IFERROR(MATCH(出库明细!C2606,总览汇总!$B$5:$B$304,0),900)*10000000+IFERROR(MATCH(出库明细!D2606,基础资料!$E$5:$E$104,0),900)*10000+ROW()))</f>
      </c>
      <c r="F3606">
        <f>IF(AND(资金台帐!J609&lt;&gt;"",资金台帐!J609=客户对账单!$B$4,资金台帐!P609="应收",ISNUMBER(资金台帐!B609),资金台帐!B609&gt;=客户对账单!$G$4,资金台帐!B609&lt;=客户对账单!$I$4),资金台帐!B609+ROW()/100000,"")</f>
      </c>
      <c r="H3606">
        <f>IF(AND(资金台帐!K2109&lt;&gt;"",资金台帐!K2109=供应商对账单!$B$4,资金台帐!P2109="应付",ISNUMBER(资金台帐!B2109),资金台帐!B2109&gt;=供应商对账单!$G$4,资金台帐!B2109&lt;=供应商对账单!$I$4),资金台帐!B2109+ROW()/100000,"")</f>
      </c>
    </row>
    <row r="3607">
      <c r="A3607">
        <f>IF(OR(出库明细!C2607="",出库明细!D2607=""),"",IF(OR(COUNTIFS(存条明细!$C$4:$C$1003,出库明细!C2607,存条明细!$D$4:$D$1003,出库明细!D2607)&gt;0,COUNTIFS(出库明细!$C$4:C2607,出库明细!C2607,出库明细!$D$4:D2607,出库明细!D2607)&gt;1),"",IFERROR(MATCH(出库明细!C2607,总览汇总!$B$5:$B$304,0),900)*10000000+IFERROR(MATCH(出库明细!D2607,基础资料!$E$5:$E$104,0),900)*10000+ROW()))</f>
      </c>
      <c r="F3607">
        <f>IF(AND(资金台帐!J610&lt;&gt;"",资金台帐!J610=客户对账单!$B$4,资金台帐!P610="应收",ISNUMBER(资金台帐!B610),资金台帐!B610&gt;=客户对账单!$G$4,资金台帐!B610&lt;=客户对账单!$I$4),资金台帐!B610+ROW()/100000,"")</f>
      </c>
      <c r="H3607">
        <f>IF(AND(资金台帐!K2110&lt;&gt;"",资金台帐!K2110=供应商对账单!$B$4,资金台帐!P2110="应付",ISNUMBER(资金台帐!B2110),资金台帐!B2110&gt;=供应商对账单!$G$4,资金台帐!B2110&lt;=供应商对账单!$I$4),资金台帐!B2110+ROW()/100000,"")</f>
      </c>
    </row>
    <row r="3608">
      <c r="A3608">
        <f>IF(OR(出库明细!C2608="",出库明细!D2608=""),"",IF(OR(COUNTIFS(存条明细!$C$4:$C$1003,出库明细!C2608,存条明细!$D$4:$D$1003,出库明细!D2608)&gt;0,COUNTIFS(出库明细!$C$4:C2608,出库明细!C2608,出库明细!$D$4:D2608,出库明细!D2608)&gt;1),"",IFERROR(MATCH(出库明细!C2608,总览汇总!$B$5:$B$304,0),900)*10000000+IFERROR(MATCH(出库明细!D2608,基础资料!$E$5:$E$104,0),900)*10000+ROW()))</f>
      </c>
      <c r="F3608">
        <f>IF(AND(资金台帐!J611&lt;&gt;"",资金台帐!J611=客户对账单!$B$4,资金台帐!P611="应收",ISNUMBER(资金台帐!B611),资金台帐!B611&gt;=客户对账单!$G$4,资金台帐!B611&lt;=客户对账单!$I$4),资金台帐!B611+ROW()/100000,"")</f>
      </c>
      <c r="H3608">
        <f>IF(AND(资金台帐!K2111&lt;&gt;"",资金台帐!K2111=供应商对账单!$B$4,资金台帐!P2111="应付",ISNUMBER(资金台帐!B2111),资金台帐!B2111&gt;=供应商对账单!$G$4,资金台帐!B2111&lt;=供应商对账单!$I$4),资金台帐!B2111+ROW()/100000,"")</f>
      </c>
    </row>
    <row r="3609">
      <c r="A3609">
        <f>IF(OR(出库明细!C2609="",出库明细!D2609=""),"",IF(OR(COUNTIFS(存条明细!$C$4:$C$1003,出库明细!C2609,存条明细!$D$4:$D$1003,出库明细!D2609)&gt;0,COUNTIFS(出库明细!$C$4:C2609,出库明细!C2609,出库明细!$D$4:D2609,出库明细!D2609)&gt;1),"",IFERROR(MATCH(出库明细!C2609,总览汇总!$B$5:$B$304,0),900)*10000000+IFERROR(MATCH(出库明细!D2609,基础资料!$E$5:$E$104,0),900)*10000+ROW()))</f>
      </c>
      <c r="F3609">
        <f>IF(AND(资金台帐!J612&lt;&gt;"",资金台帐!J612=客户对账单!$B$4,资金台帐!P612="应收",ISNUMBER(资金台帐!B612),资金台帐!B612&gt;=客户对账单!$G$4,资金台帐!B612&lt;=客户对账单!$I$4),资金台帐!B612+ROW()/100000,"")</f>
      </c>
      <c r="H3609">
        <f>IF(AND(资金台帐!K2112&lt;&gt;"",资金台帐!K2112=供应商对账单!$B$4,资金台帐!P2112="应付",ISNUMBER(资金台帐!B2112),资金台帐!B2112&gt;=供应商对账单!$G$4,资金台帐!B2112&lt;=供应商对账单!$I$4),资金台帐!B2112+ROW()/100000,"")</f>
      </c>
    </row>
    <row r="3610">
      <c r="A3610">
        <f>IF(OR(出库明细!C2610="",出库明细!D2610=""),"",IF(OR(COUNTIFS(存条明细!$C$4:$C$1003,出库明细!C2610,存条明细!$D$4:$D$1003,出库明细!D2610)&gt;0,COUNTIFS(出库明细!$C$4:C2610,出库明细!C2610,出库明细!$D$4:D2610,出库明细!D2610)&gt;1),"",IFERROR(MATCH(出库明细!C2610,总览汇总!$B$5:$B$304,0),900)*10000000+IFERROR(MATCH(出库明细!D2610,基础资料!$E$5:$E$104,0),900)*10000+ROW()))</f>
      </c>
      <c r="F3610">
        <f>IF(AND(资金台帐!J613&lt;&gt;"",资金台帐!J613=客户对账单!$B$4,资金台帐!P613="应收",ISNUMBER(资金台帐!B613),资金台帐!B613&gt;=客户对账单!$G$4,资金台帐!B613&lt;=客户对账单!$I$4),资金台帐!B613+ROW()/100000,"")</f>
      </c>
      <c r="H3610">
        <f>IF(AND(资金台帐!K2113&lt;&gt;"",资金台帐!K2113=供应商对账单!$B$4,资金台帐!P2113="应付",ISNUMBER(资金台帐!B2113),资金台帐!B2113&gt;=供应商对账单!$G$4,资金台帐!B2113&lt;=供应商对账单!$I$4),资金台帐!B2113+ROW()/100000,"")</f>
      </c>
    </row>
    <row r="3611">
      <c r="A3611">
        <f>IF(OR(出库明细!C2611="",出库明细!D2611=""),"",IF(OR(COUNTIFS(存条明细!$C$4:$C$1003,出库明细!C2611,存条明细!$D$4:$D$1003,出库明细!D2611)&gt;0,COUNTIFS(出库明细!$C$4:C2611,出库明细!C2611,出库明细!$D$4:D2611,出库明细!D2611)&gt;1),"",IFERROR(MATCH(出库明细!C2611,总览汇总!$B$5:$B$304,0),900)*10000000+IFERROR(MATCH(出库明细!D2611,基础资料!$E$5:$E$104,0),900)*10000+ROW()))</f>
      </c>
      <c r="F3611">
        <f>IF(AND(资金台帐!J614&lt;&gt;"",资金台帐!J614=客户对账单!$B$4,资金台帐!P614="应收",ISNUMBER(资金台帐!B614),资金台帐!B614&gt;=客户对账单!$G$4,资金台帐!B614&lt;=客户对账单!$I$4),资金台帐!B614+ROW()/100000,"")</f>
      </c>
      <c r="H3611">
        <f>IF(AND(资金台帐!K2114&lt;&gt;"",资金台帐!K2114=供应商对账单!$B$4,资金台帐!P2114="应付",ISNUMBER(资金台帐!B2114),资金台帐!B2114&gt;=供应商对账单!$G$4,资金台帐!B2114&lt;=供应商对账单!$I$4),资金台帐!B2114+ROW()/100000,"")</f>
      </c>
    </row>
    <row r="3612">
      <c r="A3612">
        <f>IF(OR(出库明细!C2612="",出库明细!D2612=""),"",IF(OR(COUNTIFS(存条明细!$C$4:$C$1003,出库明细!C2612,存条明细!$D$4:$D$1003,出库明细!D2612)&gt;0,COUNTIFS(出库明细!$C$4:C2612,出库明细!C2612,出库明细!$D$4:D2612,出库明细!D2612)&gt;1),"",IFERROR(MATCH(出库明细!C2612,总览汇总!$B$5:$B$304,0),900)*10000000+IFERROR(MATCH(出库明细!D2612,基础资料!$E$5:$E$104,0),900)*10000+ROW()))</f>
      </c>
      <c r="F3612">
        <f>IF(AND(资金台帐!J615&lt;&gt;"",资金台帐!J615=客户对账单!$B$4,资金台帐!P615="应收",ISNUMBER(资金台帐!B615),资金台帐!B615&gt;=客户对账单!$G$4,资金台帐!B615&lt;=客户对账单!$I$4),资金台帐!B615+ROW()/100000,"")</f>
      </c>
      <c r="H3612">
        <f>IF(AND(资金台帐!K2115&lt;&gt;"",资金台帐!K2115=供应商对账单!$B$4,资金台帐!P2115="应付",ISNUMBER(资金台帐!B2115),资金台帐!B2115&gt;=供应商对账单!$G$4,资金台帐!B2115&lt;=供应商对账单!$I$4),资金台帐!B2115+ROW()/100000,"")</f>
      </c>
    </row>
    <row r="3613">
      <c r="A3613">
        <f>IF(OR(出库明细!C2613="",出库明细!D2613=""),"",IF(OR(COUNTIFS(存条明细!$C$4:$C$1003,出库明细!C2613,存条明细!$D$4:$D$1003,出库明细!D2613)&gt;0,COUNTIFS(出库明细!$C$4:C2613,出库明细!C2613,出库明细!$D$4:D2613,出库明细!D2613)&gt;1),"",IFERROR(MATCH(出库明细!C2613,总览汇总!$B$5:$B$304,0),900)*10000000+IFERROR(MATCH(出库明细!D2613,基础资料!$E$5:$E$104,0),900)*10000+ROW()))</f>
      </c>
      <c r="F3613">
        <f>IF(AND(资金台帐!J616&lt;&gt;"",资金台帐!J616=客户对账单!$B$4,资金台帐!P616="应收",ISNUMBER(资金台帐!B616),资金台帐!B616&gt;=客户对账单!$G$4,资金台帐!B616&lt;=客户对账单!$I$4),资金台帐!B616+ROW()/100000,"")</f>
      </c>
      <c r="H3613">
        <f>IF(AND(资金台帐!K2116&lt;&gt;"",资金台帐!K2116=供应商对账单!$B$4,资金台帐!P2116="应付",ISNUMBER(资金台帐!B2116),资金台帐!B2116&gt;=供应商对账单!$G$4,资金台帐!B2116&lt;=供应商对账单!$I$4),资金台帐!B2116+ROW()/100000,"")</f>
      </c>
    </row>
    <row r="3614">
      <c r="A3614">
        <f>IF(OR(出库明细!C2614="",出库明细!D2614=""),"",IF(OR(COUNTIFS(存条明细!$C$4:$C$1003,出库明细!C2614,存条明细!$D$4:$D$1003,出库明细!D2614)&gt;0,COUNTIFS(出库明细!$C$4:C2614,出库明细!C2614,出库明细!$D$4:D2614,出库明细!D2614)&gt;1),"",IFERROR(MATCH(出库明细!C2614,总览汇总!$B$5:$B$304,0),900)*10000000+IFERROR(MATCH(出库明细!D2614,基础资料!$E$5:$E$104,0),900)*10000+ROW()))</f>
      </c>
      <c r="F3614">
        <f>IF(AND(资金台帐!J617&lt;&gt;"",资金台帐!J617=客户对账单!$B$4,资金台帐!P617="应收",ISNUMBER(资金台帐!B617),资金台帐!B617&gt;=客户对账单!$G$4,资金台帐!B617&lt;=客户对账单!$I$4),资金台帐!B617+ROW()/100000,"")</f>
      </c>
      <c r="H3614">
        <f>IF(AND(资金台帐!K2117&lt;&gt;"",资金台帐!K2117=供应商对账单!$B$4,资金台帐!P2117="应付",ISNUMBER(资金台帐!B2117),资金台帐!B2117&gt;=供应商对账单!$G$4,资金台帐!B2117&lt;=供应商对账单!$I$4),资金台帐!B2117+ROW()/100000,"")</f>
      </c>
    </row>
    <row r="3615">
      <c r="A3615">
        <f>IF(OR(出库明细!C2615="",出库明细!D2615=""),"",IF(OR(COUNTIFS(存条明细!$C$4:$C$1003,出库明细!C2615,存条明细!$D$4:$D$1003,出库明细!D2615)&gt;0,COUNTIFS(出库明细!$C$4:C2615,出库明细!C2615,出库明细!$D$4:D2615,出库明细!D2615)&gt;1),"",IFERROR(MATCH(出库明细!C2615,总览汇总!$B$5:$B$304,0),900)*10000000+IFERROR(MATCH(出库明细!D2615,基础资料!$E$5:$E$104,0),900)*10000+ROW()))</f>
      </c>
      <c r="F3615">
        <f>IF(AND(资金台帐!J618&lt;&gt;"",资金台帐!J618=客户对账单!$B$4,资金台帐!P618="应收",ISNUMBER(资金台帐!B618),资金台帐!B618&gt;=客户对账单!$G$4,资金台帐!B618&lt;=客户对账单!$I$4),资金台帐!B618+ROW()/100000,"")</f>
      </c>
      <c r="H3615">
        <f>IF(AND(资金台帐!K2118&lt;&gt;"",资金台帐!K2118=供应商对账单!$B$4,资金台帐!P2118="应付",ISNUMBER(资金台帐!B2118),资金台帐!B2118&gt;=供应商对账单!$G$4,资金台帐!B2118&lt;=供应商对账单!$I$4),资金台帐!B2118+ROW()/100000,"")</f>
      </c>
    </row>
    <row r="3616">
      <c r="A3616">
        <f>IF(OR(出库明细!C2616="",出库明细!D2616=""),"",IF(OR(COUNTIFS(存条明细!$C$4:$C$1003,出库明细!C2616,存条明细!$D$4:$D$1003,出库明细!D2616)&gt;0,COUNTIFS(出库明细!$C$4:C2616,出库明细!C2616,出库明细!$D$4:D2616,出库明细!D2616)&gt;1),"",IFERROR(MATCH(出库明细!C2616,总览汇总!$B$5:$B$304,0),900)*10000000+IFERROR(MATCH(出库明细!D2616,基础资料!$E$5:$E$104,0),900)*10000+ROW()))</f>
      </c>
      <c r="F3616">
        <f>IF(AND(资金台帐!J619&lt;&gt;"",资金台帐!J619=客户对账单!$B$4,资金台帐!P619="应收",ISNUMBER(资金台帐!B619),资金台帐!B619&gt;=客户对账单!$G$4,资金台帐!B619&lt;=客户对账单!$I$4),资金台帐!B619+ROW()/100000,"")</f>
      </c>
      <c r="H3616">
        <f>IF(AND(资金台帐!K2119&lt;&gt;"",资金台帐!K2119=供应商对账单!$B$4,资金台帐!P2119="应付",ISNUMBER(资金台帐!B2119),资金台帐!B2119&gt;=供应商对账单!$G$4,资金台帐!B2119&lt;=供应商对账单!$I$4),资金台帐!B2119+ROW()/100000,"")</f>
      </c>
    </row>
    <row r="3617">
      <c r="A3617">
        <f>IF(OR(出库明细!C2617="",出库明细!D2617=""),"",IF(OR(COUNTIFS(存条明细!$C$4:$C$1003,出库明细!C2617,存条明细!$D$4:$D$1003,出库明细!D2617)&gt;0,COUNTIFS(出库明细!$C$4:C2617,出库明细!C2617,出库明细!$D$4:D2617,出库明细!D2617)&gt;1),"",IFERROR(MATCH(出库明细!C2617,总览汇总!$B$5:$B$304,0),900)*10000000+IFERROR(MATCH(出库明细!D2617,基础资料!$E$5:$E$104,0),900)*10000+ROW()))</f>
      </c>
      <c r="F3617">
        <f>IF(AND(资金台帐!J620&lt;&gt;"",资金台帐!J620=客户对账单!$B$4,资金台帐!P620="应收",ISNUMBER(资金台帐!B620),资金台帐!B620&gt;=客户对账单!$G$4,资金台帐!B620&lt;=客户对账单!$I$4),资金台帐!B620+ROW()/100000,"")</f>
      </c>
      <c r="H3617">
        <f>IF(AND(资金台帐!K2120&lt;&gt;"",资金台帐!K2120=供应商对账单!$B$4,资金台帐!P2120="应付",ISNUMBER(资金台帐!B2120),资金台帐!B2120&gt;=供应商对账单!$G$4,资金台帐!B2120&lt;=供应商对账单!$I$4),资金台帐!B2120+ROW()/100000,"")</f>
      </c>
    </row>
    <row r="3618">
      <c r="A3618">
        <f>IF(OR(出库明细!C2618="",出库明细!D2618=""),"",IF(OR(COUNTIFS(存条明细!$C$4:$C$1003,出库明细!C2618,存条明细!$D$4:$D$1003,出库明细!D2618)&gt;0,COUNTIFS(出库明细!$C$4:C2618,出库明细!C2618,出库明细!$D$4:D2618,出库明细!D2618)&gt;1),"",IFERROR(MATCH(出库明细!C2618,总览汇总!$B$5:$B$304,0),900)*10000000+IFERROR(MATCH(出库明细!D2618,基础资料!$E$5:$E$104,0),900)*10000+ROW()))</f>
      </c>
      <c r="F3618">
        <f>IF(AND(资金台帐!J621&lt;&gt;"",资金台帐!J621=客户对账单!$B$4,资金台帐!P621="应收",ISNUMBER(资金台帐!B621),资金台帐!B621&gt;=客户对账单!$G$4,资金台帐!B621&lt;=客户对账单!$I$4),资金台帐!B621+ROW()/100000,"")</f>
      </c>
      <c r="H3618">
        <f>IF(AND(资金台帐!K2121&lt;&gt;"",资金台帐!K2121=供应商对账单!$B$4,资金台帐!P2121="应付",ISNUMBER(资金台帐!B2121),资金台帐!B2121&gt;=供应商对账单!$G$4,资金台帐!B2121&lt;=供应商对账单!$I$4),资金台帐!B2121+ROW()/100000,"")</f>
      </c>
    </row>
    <row r="3619">
      <c r="A3619">
        <f>IF(OR(出库明细!C2619="",出库明细!D2619=""),"",IF(OR(COUNTIFS(存条明细!$C$4:$C$1003,出库明细!C2619,存条明细!$D$4:$D$1003,出库明细!D2619)&gt;0,COUNTIFS(出库明细!$C$4:C2619,出库明细!C2619,出库明细!$D$4:D2619,出库明细!D2619)&gt;1),"",IFERROR(MATCH(出库明细!C2619,总览汇总!$B$5:$B$304,0),900)*10000000+IFERROR(MATCH(出库明细!D2619,基础资料!$E$5:$E$104,0),900)*10000+ROW()))</f>
      </c>
      <c r="F3619">
        <f>IF(AND(资金台帐!J622&lt;&gt;"",资金台帐!J622=客户对账单!$B$4,资金台帐!P622="应收",ISNUMBER(资金台帐!B622),资金台帐!B622&gt;=客户对账单!$G$4,资金台帐!B622&lt;=客户对账单!$I$4),资金台帐!B622+ROW()/100000,"")</f>
      </c>
      <c r="H3619">
        <f>IF(AND(资金台帐!K2122&lt;&gt;"",资金台帐!K2122=供应商对账单!$B$4,资金台帐!P2122="应付",ISNUMBER(资金台帐!B2122),资金台帐!B2122&gt;=供应商对账单!$G$4,资金台帐!B2122&lt;=供应商对账单!$I$4),资金台帐!B2122+ROW()/100000,"")</f>
      </c>
    </row>
    <row r="3620">
      <c r="A3620">
        <f>IF(OR(出库明细!C2620="",出库明细!D2620=""),"",IF(OR(COUNTIFS(存条明细!$C$4:$C$1003,出库明细!C2620,存条明细!$D$4:$D$1003,出库明细!D2620)&gt;0,COUNTIFS(出库明细!$C$4:C2620,出库明细!C2620,出库明细!$D$4:D2620,出库明细!D2620)&gt;1),"",IFERROR(MATCH(出库明细!C2620,总览汇总!$B$5:$B$304,0),900)*10000000+IFERROR(MATCH(出库明细!D2620,基础资料!$E$5:$E$104,0),900)*10000+ROW()))</f>
      </c>
      <c r="F3620">
        <f>IF(AND(资金台帐!J623&lt;&gt;"",资金台帐!J623=客户对账单!$B$4,资金台帐!P623="应收",ISNUMBER(资金台帐!B623),资金台帐!B623&gt;=客户对账单!$G$4,资金台帐!B623&lt;=客户对账单!$I$4),资金台帐!B623+ROW()/100000,"")</f>
      </c>
      <c r="H3620">
        <f>IF(AND(资金台帐!K2123&lt;&gt;"",资金台帐!K2123=供应商对账单!$B$4,资金台帐!P2123="应付",ISNUMBER(资金台帐!B2123),资金台帐!B2123&gt;=供应商对账单!$G$4,资金台帐!B2123&lt;=供应商对账单!$I$4),资金台帐!B2123+ROW()/100000,"")</f>
      </c>
    </row>
    <row r="3621">
      <c r="A3621">
        <f>IF(OR(出库明细!C2621="",出库明细!D2621=""),"",IF(OR(COUNTIFS(存条明细!$C$4:$C$1003,出库明细!C2621,存条明细!$D$4:$D$1003,出库明细!D2621)&gt;0,COUNTIFS(出库明细!$C$4:C2621,出库明细!C2621,出库明细!$D$4:D2621,出库明细!D2621)&gt;1),"",IFERROR(MATCH(出库明细!C2621,总览汇总!$B$5:$B$304,0),900)*10000000+IFERROR(MATCH(出库明细!D2621,基础资料!$E$5:$E$104,0),900)*10000+ROW()))</f>
      </c>
      <c r="F3621">
        <f>IF(AND(资金台帐!J624&lt;&gt;"",资金台帐!J624=客户对账单!$B$4,资金台帐!P624="应收",ISNUMBER(资金台帐!B624),资金台帐!B624&gt;=客户对账单!$G$4,资金台帐!B624&lt;=客户对账单!$I$4),资金台帐!B624+ROW()/100000,"")</f>
      </c>
      <c r="H3621">
        <f>IF(AND(资金台帐!K2124&lt;&gt;"",资金台帐!K2124=供应商对账单!$B$4,资金台帐!P2124="应付",ISNUMBER(资金台帐!B2124),资金台帐!B2124&gt;=供应商对账单!$G$4,资金台帐!B2124&lt;=供应商对账单!$I$4),资金台帐!B2124+ROW()/100000,"")</f>
      </c>
    </row>
    <row r="3622">
      <c r="A3622">
        <f>IF(OR(出库明细!C2622="",出库明细!D2622=""),"",IF(OR(COUNTIFS(存条明细!$C$4:$C$1003,出库明细!C2622,存条明细!$D$4:$D$1003,出库明细!D2622)&gt;0,COUNTIFS(出库明细!$C$4:C2622,出库明细!C2622,出库明细!$D$4:D2622,出库明细!D2622)&gt;1),"",IFERROR(MATCH(出库明细!C2622,总览汇总!$B$5:$B$304,0),900)*10000000+IFERROR(MATCH(出库明细!D2622,基础资料!$E$5:$E$104,0),900)*10000+ROW()))</f>
      </c>
      <c r="F3622">
        <f>IF(AND(资金台帐!J625&lt;&gt;"",资金台帐!J625=客户对账单!$B$4,资金台帐!P625="应收",ISNUMBER(资金台帐!B625),资金台帐!B625&gt;=客户对账单!$G$4,资金台帐!B625&lt;=客户对账单!$I$4),资金台帐!B625+ROW()/100000,"")</f>
      </c>
      <c r="H3622">
        <f>IF(AND(资金台帐!K2125&lt;&gt;"",资金台帐!K2125=供应商对账单!$B$4,资金台帐!P2125="应付",ISNUMBER(资金台帐!B2125),资金台帐!B2125&gt;=供应商对账单!$G$4,资金台帐!B2125&lt;=供应商对账单!$I$4),资金台帐!B2125+ROW()/100000,"")</f>
      </c>
    </row>
    <row r="3623">
      <c r="A3623">
        <f>IF(OR(出库明细!C2623="",出库明细!D2623=""),"",IF(OR(COUNTIFS(存条明细!$C$4:$C$1003,出库明细!C2623,存条明细!$D$4:$D$1003,出库明细!D2623)&gt;0,COUNTIFS(出库明细!$C$4:C2623,出库明细!C2623,出库明细!$D$4:D2623,出库明细!D2623)&gt;1),"",IFERROR(MATCH(出库明细!C2623,总览汇总!$B$5:$B$304,0),900)*10000000+IFERROR(MATCH(出库明细!D2623,基础资料!$E$5:$E$104,0),900)*10000+ROW()))</f>
      </c>
      <c r="F3623">
        <f>IF(AND(资金台帐!J626&lt;&gt;"",资金台帐!J626=客户对账单!$B$4,资金台帐!P626="应收",ISNUMBER(资金台帐!B626),资金台帐!B626&gt;=客户对账单!$G$4,资金台帐!B626&lt;=客户对账单!$I$4),资金台帐!B626+ROW()/100000,"")</f>
      </c>
      <c r="H3623">
        <f>IF(AND(资金台帐!K2126&lt;&gt;"",资金台帐!K2126=供应商对账单!$B$4,资金台帐!P2126="应付",ISNUMBER(资金台帐!B2126),资金台帐!B2126&gt;=供应商对账单!$G$4,资金台帐!B2126&lt;=供应商对账单!$I$4),资金台帐!B2126+ROW()/100000,"")</f>
      </c>
    </row>
    <row r="3624">
      <c r="A3624">
        <f>IF(OR(出库明细!C2624="",出库明细!D2624=""),"",IF(OR(COUNTIFS(存条明细!$C$4:$C$1003,出库明细!C2624,存条明细!$D$4:$D$1003,出库明细!D2624)&gt;0,COUNTIFS(出库明细!$C$4:C2624,出库明细!C2624,出库明细!$D$4:D2624,出库明细!D2624)&gt;1),"",IFERROR(MATCH(出库明细!C2624,总览汇总!$B$5:$B$304,0),900)*10000000+IFERROR(MATCH(出库明细!D2624,基础资料!$E$5:$E$104,0),900)*10000+ROW()))</f>
      </c>
      <c r="F3624">
        <f>IF(AND(资金台帐!J627&lt;&gt;"",资金台帐!J627=客户对账单!$B$4,资金台帐!P627="应收",ISNUMBER(资金台帐!B627),资金台帐!B627&gt;=客户对账单!$G$4,资金台帐!B627&lt;=客户对账单!$I$4),资金台帐!B627+ROW()/100000,"")</f>
      </c>
      <c r="H3624">
        <f>IF(AND(资金台帐!K2127&lt;&gt;"",资金台帐!K2127=供应商对账单!$B$4,资金台帐!P2127="应付",ISNUMBER(资金台帐!B2127),资金台帐!B2127&gt;=供应商对账单!$G$4,资金台帐!B2127&lt;=供应商对账单!$I$4),资金台帐!B2127+ROW()/100000,"")</f>
      </c>
    </row>
    <row r="3625">
      <c r="A3625">
        <f>IF(OR(出库明细!C2625="",出库明细!D2625=""),"",IF(OR(COUNTIFS(存条明细!$C$4:$C$1003,出库明细!C2625,存条明细!$D$4:$D$1003,出库明细!D2625)&gt;0,COUNTIFS(出库明细!$C$4:C2625,出库明细!C2625,出库明细!$D$4:D2625,出库明细!D2625)&gt;1),"",IFERROR(MATCH(出库明细!C2625,总览汇总!$B$5:$B$304,0),900)*10000000+IFERROR(MATCH(出库明细!D2625,基础资料!$E$5:$E$104,0),900)*10000+ROW()))</f>
      </c>
      <c r="F3625">
        <f>IF(AND(资金台帐!J628&lt;&gt;"",资金台帐!J628=客户对账单!$B$4,资金台帐!P628="应收",ISNUMBER(资金台帐!B628),资金台帐!B628&gt;=客户对账单!$G$4,资金台帐!B628&lt;=客户对账单!$I$4),资金台帐!B628+ROW()/100000,"")</f>
      </c>
      <c r="H3625">
        <f>IF(AND(资金台帐!K2128&lt;&gt;"",资金台帐!K2128=供应商对账单!$B$4,资金台帐!P2128="应付",ISNUMBER(资金台帐!B2128),资金台帐!B2128&gt;=供应商对账单!$G$4,资金台帐!B2128&lt;=供应商对账单!$I$4),资金台帐!B2128+ROW()/100000,"")</f>
      </c>
    </row>
    <row r="3626">
      <c r="A3626">
        <f>IF(OR(出库明细!C2626="",出库明细!D2626=""),"",IF(OR(COUNTIFS(存条明细!$C$4:$C$1003,出库明细!C2626,存条明细!$D$4:$D$1003,出库明细!D2626)&gt;0,COUNTIFS(出库明细!$C$4:C2626,出库明细!C2626,出库明细!$D$4:D2626,出库明细!D2626)&gt;1),"",IFERROR(MATCH(出库明细!C2626,总览汇总!$B$5:$B$304,0),900)*10000000+IFERROR(MATCH(出库明细!D2626,基础资料!$E$5:$E$104,0),900)*10000+ROW()))</f>
      </c>
      <c r="F3626">
        <f>IF(AND(资金台帐!J629&lt;&gt;"",资金台帐!J629=客户对账单!$B$4,资金台帐!P629="应收",ISNUMBER(资金台帐!B629),资金台帐!B629&gt;=客户对账单!$G$4,资金台帐!B629&lt;=客户对账单!$I$4),资金台帐!B629+ROW()/100000,"")</f>
      </c>
      <c r="H3626">
        <f>IF(AND(资金台帐!K2129&lt;&gt;"",资金台帐!K2129=供应商对账单!$B$4,资金台帐!P2129="应付",ISNUMBER(资金台帐!B2129),资金台帐!B2129&gt;=供应商对账单!$G$4,资金台帐!B2129&lt;=供应商对账单!$I$4),资金台帐!B2129+ROW()/100000,"")</f>
      </c>
    </row>
    <row r="3627">
      <c r="A3627">
        <f>IF(OR(出库明细!C2627="",出库明细!D2627=""),"",IF(OR(COUNTIFS(存条明细!$C$4:$C$1003,出库明细!C2627,存条明细!$D$4:$D$1003,出库明细!D2627)&gt;0,COUNTIFS(出库明细!$C$4:C2627,出库明细!C2627,出库明细!$D$4:D2627,出库明细!D2627)&gt;1),"",IFERROR(MATCH(出库明细!C2627,总览汇总!$B$5:$B$304,0),900)*10000000+IFERROR(MATCH(出库明细!D2627,基础资料!$E$5:$E$104,0),900)*10000+ROW()))</f>
      </c>
      <c r="F3627">
        <f>IF(AND(资金台帐!J630&lt;&gt;"",资金台帐!J630=客户对账单!$B$4,资金台帐!P630="应收",ISNUMBER(资金台帐!B630),资金台帐!B630&gt;=客户对账单!$G$4,资金台帐!B630&lt;=客户对账单!$I$4),资金台帐!B630+ROW()/100000,"")</f>
      </c>
      <c r="H3627">
        <f>IF(AND(资金台帐!K2130&lt;&gt;"",资金台帐!K2130=供应商对账单!$B$4,资金台帐!P2130="应付",ISNUMBER(资金台帐!B2130),资金台帐!B2130&gt;=供应商对账单!$G$4,资金台帐!B2130&lt;=供应商对账单!$I$4),资金台帐!B2130+ROW()/100000,"")</f>
      </c>
    </row>
    <row r="3628">
      <c r="A3628">
        <f>IF(OR(出库明细!C2628="",出库明细!D2628=""),"",IF(OR(COUNTIFS(存条明细!$C$4:$C$1003,出库明细!C2628,存条明细!$D$4:$D$1003,出库明细!D2628)&gt;0,COUNTIFS(出库明细!$C$4:C2628,出库明细!C2628,出库明细!$D$4:D2628,出库明细!D2628)&gt;1),"",IFERROR(MATCH(出库明细!C2628,总览汇总!$B$5:$B$304,0),900)*10000000+IFERROR(MATCH(出库明细!D2628,基础资料!$E$5:$E$104,0),900)*10000+ROW()))</f>
      </c>
      <c r="F3628">
        <f>IF(AND(资金台帐!J631&lt;&gt;"",资金台帐!J631=客户对账单!$B$4,资金台帐!P631="应收",ISNUMBER(资金台帐!B631),资金台帐!B631&gt;=客户对账单!$G$4,资金台帐!B631&lt;=客户对账单!$I$4),资金台帐!B631+ROW()/100000,"")</f>
      </c>
      <c r="H3628">
        <f>IF(AND(资金台帐!K2131&lt;&gt;"",资金台帐!K2131=供应商对账单!$B$4,资金台帐!P2131="应付",ISNUMBER(资金台帐!B2131),资金台帐!B2131&gt;=供应商对账单!$G$4,资金台帐!B2131&lt;=供应商对账单!$I$4),资金台帐!B2131+ROW()/100000,"")</f>
      </c>
    </row>
    <row r="3629">
      <c r="A3629">
        <f>IF(OR(出库明细!C2629="",出库明细!D2629=""),"",IF(OR(COUNTIFS(存条明细!$C$4:$C$1003,出库明细!C2629,存条明细!$D$4:$D$1003,出库明细!D2629)&gt;0,COUNTIFS(出库明细!$C$4:C2629,出库明细!C2629,出库明细!$D$4:D2629,出库明细!D2629)&gt;1),"",IFERROR(MATCH(出库明细!C2629,总览汇总!$B$5:$B$304,0),900)*10000000+IFERROR(MATCH(出库明细!D2629,基础资料!$E$5:$E$104,0),900)*10000+ROW()))</f>
      </c>
      <c r="F3629">
        <f>IF(AND(资金台帐!J632&lt;&gt;"",资金台帐!J632=客户对账单!$B$4,资金台帐!P632="应收",ISNUMBER(资金台帐!B632),资金台帐!B632&gt;=客户对账单!$G$4,资金台帐!B632&lt;=客户对账单!$I$4),资金台帐!B632+ROW()/100000,"")</f>
      </c>
      <c r="H3629">
        <f>IF(AND(资金台帐!K2132&lt;&gt;"",资金台帐!K2132=供应商对账单!$B$4,资金台帐!P2132="应付",ISNUMBER(资金台帐!B2132),资金台帐!B2132&gt;=供应商对账单!$G$4,资金台帐!B2132&lt;=供应商对账单!$I$4),资金台帐!B2132+ROW()/100000,"")</f>
      </c>
    </row>
    <row r="3630">
      <c r="A3630">
        <f>IF(OR(出库明细!C2630="",出库明细!D2630=""),"",IF(OR(COUNTIFS(存条明细!$C$4:$C$1003,出库明细!C2630,存条明细!$D$4:$D$1003,出库明细!D2630)&gt;0,COUNTIFS(出库明细!$C$4:C2630,出库明细!C2630,出库明细!$D$4:D2630,出库明细!D2630)&gt;1),"",IFERROR(MATCH(出库明细!C2630,总览汇总!$B$5:$B$304,0),900)*10000000+IFERROR(MATCH(出库明细!D2630,基础资料!$E$5:$E$104,0),900)*10000+ROW()))</f>
      </c>
      <c r="F3630">
        <f>IF(AND(资金台帐!J633&lt;&gt;"",资金台帐!J633=客户对账单!$B$4,资金台帐!P633="应收",ISNUMBER(资金台帐!B633),资金台帐!B633&gt;=客户对账单!$G$4,资金台帐!B633&lt;=客户对账单!$I$4),资金台帐!B633+ROW()/100000,"")</f>
      </c>
      <c r="H3630">
        <f>IF(AND(资金台帐!K2133&lt;&gt;"",资金台帐!K2133=供应商对账单!$B$4,资金台帐!P2133="应付",ISNUMBER(资金台帐!B2133),资金台帐!B2133&gt;=供应商对账单!$G$4,资金台帐!B2133&lt;=供应商对账单!$I$4),资金台帐!B2133+ROW()/100000,"")</f>
      </c>
    </row>
    <row r="3631">
      <c r="A3631">
        <f>IF(OR(出库明细!C2631="",出库明细!D2631=""),"",IF(OR(COUNTIFS(存条明细!$C$4:$C$1003,出库明细!C2631,存条明细!$D$4:$D$1003,出库明细!D2631)&gt;0,COUNTIFS(出库明细!$C$4:C2631,出库明细!C2631,出库明细!$D$4:D2631,出库明细!D2631)&gt;1),"",IFERROR(MATCH(出库明细!C2631,总览汇总!$B$5:$B$304,0),900)*10000000+IFERROR(MATCH(出库明细!D2631,基础资料!$E$5:$E$104,0),900)*10000+ROW()))</f>
      </c>
      <c r="F3631">
        <f>IF(AND(资金台帐!J634&lt;&gt;"",资金台帐!J634=客户对账单!$B$4,资金台帐!P634="应收",ISNUMBER(资金台帐!B634),资金台帐!B634&gt;=客户对账单!$G$4,资金台帐!B634&lt;=客户对账单!$I$4),资金台帐!B634+ROW()/100000,"")</f>
      </c>
      <c r="H3631">
        <f>IF(AND(资金台帐!K2134&lt;&gt;"",资金台帐!K2134=供应商对账单!$B$4,资金台帐!P2134="应付",ISNUMBER(资金台帐!B2134),资金台帐!B2134&gt;=供应商对账单!$G$4,资金台帐!B2134&lt;=供应商对账单!$I$4),资金台帐!B2134+ROW()/100000,"")</f>
      </c>
    </row>
    <row r="3632">
      <c r="A3632">
        <f>IF(OR(出库明细!C2632="",出库明细!D2632=""),"",IF(OR(COUNTIFS(存条明细!$C$4:$C$1003,出库明细!C2632,存条明细!$D$4:$D$1003,出库明细!D2632)&gt;0,COUNTIFS(出库明细!$C$4:C2632,出库明细!C2632,出库明细!$D$4:D2632,出库明细!D2632)&gt;1),"",IFERROR(MATCH(出库明细!C2632,总览汇总!$B$5:$B$304,0),900)*10000000+IFERROR(MATCH(出库明细!D2632,基础资料!$E$5:$E$104,0),900)*10000+ROW()))</f>
      </c>
      <c r="F3632">
        <f>IF(AND(资金台帐!J635&lt;&gt;"",资金台帐!J635=客户对账单!$B$4,资金台帐!P635="应收",ISNUMBER(资金台帐!B635),资金台帐!B635&gt;=客户对账单!$G$4,资金台帐!B635&lt;=客户对账单!$I$4),资金台帐!B635+ROW()/100000,"")</f>
      </c>
      <c r="H3632">
        <f>IF(AND(资金台帐!K2135&lt;&gt;"",资金台帐!K2135=供应商对账单!$B$4,资金台帐!P2135="应付",ISNUMBER(资金台帐!B2135),资金台帐!B2135&gt;=供应商对账单!$G$4,资金台帐!B2135&lt;=供应商对账单!$I$4),资金台帐!B2135+ROW()/100000,"")</f>
      </c>
    </row>
    <row r="3633">
      <c r="A3633">
        <f>IF(OR(出库明细!C2633="",出库明细!D2633=""),"",IF(OR(COUNTIFS(存条明细!$C$4:$C$1003,出库明细!C2633,存条明细!$D$4:$D$1003,出库明细!D2633)&gt;0,COUNTIFS(出库明细!$C$4:C2633,出库明细!C2633,出库明细!$D$4:D2633,出库明细!D2633)&gt;1),"",IFERROR(MATCH(出库明细!C2633,总览汇总!$B$5:$B$304,0),900)*10000000+IFERROR(MATCH(出库明细!D2633,基础资料!$E$5:$E$104,0),900)*10000+ROW()))</f>
      </c>
      <c r="F3633">
        <f>IF(AND(资金台帐!J636&lt;&gt;"",资金台帐!J636=客户对账单!$B$4,资金台帐!P636="应收",ISNUMBER(资金台帐!B636),资金台帐!B636&gt;=客户对账单!$G$4,资金台帐!B636&lt;=客户对账单!$I$4),资金台帐!B636+ROW()/100000,"")</f>
      </c>
      <c r="H3633">
        <f>IF(AND(资金台帐!K2136&lt;&gt;"",资金台帐!K2136=供应商对账单!$B$4,资金台帐!P2136="应付",ISNUMBER(资金台帐!B2136),资金台帐!B2136&gt;=供应商对账单!$G$4,资金台帐!B2136&lt;=供应商对账单!$I$4),资金台帐!B2136+ROW()/100000,"")</f>
      </c>
    </row>
    <row r="3634">
      <c r="A3634">
        <f>IF(OR(出库明细!C2634="",出库明细!D2634=""),"",IF(OR(COUNTIFS(存条明细!$C$4:$C$1003,出库明细!C2634,存条明细!$D$4:$D$1003,出库明细!D2634)&gt;0,COUNTIFS(出库明细!$C$4:C2634,出库明细!C2634,出库明细!$D$4:D2634,出库明细!D2634)&gt;1),"",IFERROR(MATCH(出库明细!C2634,总览汇总!$B$5:$B$304,0),900)*10000000+IFERROR(MATCH(出库明细!D2634,基础资料!$E$5:$E$104,0),900)*10000+ROW()))</f>
      </c>
      <c r="F3634">
        <f>IF(AND(资金台帐!J637&lt;&gt;"",资金台帐!J637=客户对账单!$B$4,资金台帐!P637="应收",ISNUMBER(资金台帐!B637),资金台帐!B637&gt;=客户对账单!$G$4,资金台帐!B637&lt;=客户对账单!$I$4),资金台帐!B637+ROW()/100000,"")</f>
      </c>
      <c r="H3634">
        <f>IF(AND(资金台帐!K2137&lt;&gt;"",资金台帐!K2137=供应商对账单!$B$4,资金台帐!P2137="应付",ISNUMBER(资金台帐!B2137),资金台帐!B2137&gt;=供应商对账单!$G$4,资金台帐!B2137&lt;=供应商对账单!$I$4),资金台帐!B2137+ROW()/100000,"")</f>
      </c>
    </row>
    <row r="3635">
      <c r="A3635">
        <f>IF(OR(出库明细!C2635="",出库明细!D2635=""),"",IF(OR(COUNTIFS(存条明细!$C$4:$C$1003,出库明细!C2635,存条明细!$D$4:$D$1003,出库明细!D2635)&gt;0,COUNTIFS(出库明细!$C$4:C2635,出库明细!C2635,出库明细!$D$4:D2635,出库明细!D2635)&gt;1),"",IFERROR(MATCH(出库明细!C2635,总览汇总!$B$5:$B$304,0),900)*10000000+IFERROR(MATCH(出库明细!D2635,基础资料!$E$5:$E$104,0),900)*10000+ROW()))</f>
      </c>
      <c r="F3635">
        <f>IF(AND(资金台帐!J638&lt;&gt;"",资金台帐!J638=客户对账单!$B$4,资金台帐!P638="应收",ISNUMBER(资金台帐!B638),资金台帐!B638&gt;=客户对账单!$G$4,资金台帐!B638&lt;=客户对账单!$I$4),资金台帐!B638+ROW()/100000,"")</f>
      </c>
      <c r="H3635">
        <f>IF(AND(资金台帐!K2138&lt;&gt;"",资金台帐!K2138=供应商对账单!$B$4,资金台帐!P2138="应付",ISNUMBER(资金台帐!B2138),资金台帐!B2138&gt;=供应商对账单!$G$4,资金台帐!B2138&lt;=供应商对账单!$I$4),资金台帐!B2138+ROW()/100000,"")</f>
      </c>
    </row>
    <row r="3636">
      <c r="A3636">
        <f>IF(OR(出库明细!C2636="",出库明细!D2636=""),"",IF(OR(COUNTIFS(存条明细!$C$4:$C$1003,出库明细!C2636,存条明细!$D$4:$D$1003,出库明细!D2636)&gt;0,COUNTIFS(出库明细!$C$4:C2636,出库明细!C2636,出库明细!$D$4:D2636,出库明细!D2636)&gt;1),"",IFERROR(MATCH(出库明细!C2636,总览汇总!$B$5:$B$304,0),900)*10000000+IFERROR(MATCH(出库明细!D2636,基础资料!$E$5:$E$104,0),900)*10000+ROW()))</f>
      </c>
      <c r="F3636">
        <f>IF(AND(资金台帐!J639&lt;&gt;"",资金台帐!J639=客户对账单!$B$4,资金台帐!P639="应收",ISNUMBER(资金台帐!B639),资金台帐!B639&gt;=客户对账单!$G$4,资金台帐!B639&lt;=客户对账单!$I$4),资金台帐!B639+ROW()/100000,"")</f>
      </c>
      <c r="H3636">
        <f>IF(AND(资金台帐!K2139&lt;&gt;"",资金台帐!K2139=供应商对账单!$B$4,资金台帐!P2139="应付",ISNUMBER(资金台帐!B2139),资金台帐!B2139&gt;=供应商对账单!$G$4,资金台帐!B2139&lt;=供应商对账单!$I$4),资金台帐!B2139+ROW()/100000,"")</f>
      </c>
    </row>
    <row r="3637">
      <c r="A3637">
        <f>IF(OR(出库明细!C2637="",出库明细!D2637=""),"",IF(OR(COUNTIFS(存条明细!$C$4:$C$1003,出库明细!C2637,存条明细!$D$4:$D$1003,出库明细!D2637)&gt;0,COUNTIFS(出库明细!$C$4:C2637,出库明细!C2637,出库明细!$D$4:D2637,出库明细!D2637)&gt;1),"",IFERROR(MATCH(出库明细!C2637,总览汇总!$B$5:$B$304,0),900)*10000000+IFERROR(MATCH(出库明细!D2637,基础资料!$E$5:$E$104,0),900)*10000+ROW()))</f>
      </c>
      <c r="F3637">
        <f>IF(AND(资金台帐!J640&lt;&gt;"",资金台帐!J640=客户对账单!$B$4,资金台帐!P640="应收",ISNUMBER(资金台帐!B640),资金台帐!B640&gt;=客户对账单!$G$4,资金台帐!B640&lt;=客户对账单!$I$4),资金台帐!B640+ROW()/100000,"")</f>
      </c>
      <c r="H3637">
        <f>IF(AND(资金台帐!K2140&lt;&gt;"",资金台帐!K2140=供应商对账单!$B$4,资金台帐!P2140="应付",ISNUMBER(资金台帐!B2140),资金台帐!B2140&gt;=供应商对账单!$G$4,资金台帐!B2140&lt;=供应商对账单!$I$4),资金台帐!B2140+ROW()/100000,"")</f>
      </c>
    </row>
    <row r="3638">
      <c r="A3638">
        <f>IF(OR(出库明细!C2638="",出库明细!D2638=""),"",IF(OR(COUNTIFS(存条明细!$C$4:$C$1003,出库明细!C2638,存条明细!$D$4:$D$1003,出库明细!D2638)&gt;0,COUNTIFS(出库明细!$C$4:C2638,出库明细!C2638,出库明细!$D$4:D2638,出库明细!D2638)&gt;1),"",IFERROR(MATCH(出库明细!C2638,总览汇总!$B$5:$B$304,0),900)*10000000+IFERROR(MATCH(出库明细!D2638,基础资料!$E$5:$E$104,0),900)*10000+ROW()))</f>
      </c>
      <c r="F3638">
        <f>IF(AND(资金台帐!J641&lt;&gt;"",资金台帐!J641=客户对账单!$B$4,资金台帐!P641="应收",ISNUMBER(资金台帐!B641),资金台帐!B641&gt;=客户对账单!$G$4,资金台帐!B641&lt;=客户对账单!$I$4),资金台帐!B641+ROW()/100000,"")</f>
      </c>
      <c r="H3638">
        <f>IF(AND(资金台帐!K2141&lt;&gt;"",资金台帐!K2141=供应商对账单!$B$4,资金台帐!P2141="应付",ISNUMBER(资金台帐!B2141),资金台帐!B2141&gt;=供应商对账单!$G$4,资金台帐!B2141&lt;=供应商对账单!$I$4),资金台帐!B2141+ROW()/100000,"")</f>
      </c>
    </row>
    <row r="3639">
      <c r="A3639">
        <f>IF(OR(出库明细!C2639="",出库明细!D2639=""),"",IF(OR(COUNTIFS(存条明细!$C$4:$C$1003,出库明细!C2639,存条明细!$D$4:$D$1003,出库明细!D2639)&gt;0,COUNTIFS(出库明细!$C$4:C2639,出库明细!C2639,出库明细!$D$4:D2639,出库明细!D2639)&gt;1),"",IFERROR(MATCH(出库明细!C2639,总览汇总!$B$5:$B$304,0),900)*10000000+IFERROR(MATCH(出库明细!D2639,基础资料!$E$5:$E$104,0),900)*10000+ROW()))</f>
      </c>
      <c r="F3639">
        <f>IF(AND(资金台帐!J642&lt;&gt;"",资金台帐!J642=客户对账单!$B$4,资金台帐!P642="应收",ISNUMBER(资金台帐!B642),资金台帐!B642&gt;=客户对账单!$G$4,资金台帐!B642&lt;=客户对账单!$I$4),资金台帐!B642+ROW()/100000,"")</f>
      </c>
      <c r="H3639">
        <f>IF(AND(资金台帐!K2142&lt;&gt;"",资金台帐!K2142=供应商对账单!$B$4,资金台帐!P2142="应付",ISNUMBER(资金台帐!B2142),资金台帐!B2142&gt;=供应商对账单!$G$4,资金台帐!B2142&lt;=供应商对账单!$I$4),资金台帐!B2142+ROW()/100000,"")</f>
      </c>
    </row>
    <row r="3640">
      <c r="A3640">
        <f>IF(OR(出库明细!C2640="",出库明细!D2640=""),"",IF(OR(COUNTIFS(存条明细!$C$4:$C$1003,出库明细!C2640,存条明细!$D$4:$D$1003,出库明细!D2640)&gt;0,COUNTIFS(出库明细!$C$4:C2640,出库明细!C2640,出库明细!$D$4:D2640,出库明细!D2640)&gt;1),"",IFERROR(MATCH(出库明细!C2640,总览汇总!$B$5:$B$304,0),900)*10000000+IFERROR(MATCH(出库明细!D2640,基础资料!$E$5:$E$104,0),900)*10000+ROW()))</f>
      </c>
      <c r="F3640">
        <f>IF(AND(资金台帐!J643&lt;&gt;"",资金台帐!J643=客户对账单!$B$4,资金台帐!P643="应收",ISNUMBER(资金台帐!B643),资金台帐!B643&gt;=客户对账单!$G$4,资金台帐!B643&lt;=客户对账单!$I$4),资金台帐!B643+ROW()/100000,"")</f>
      </c>
      <c r="H3640">
        <f>IF(AND(资金台帐!K2143&lt;&gt;"",资金台帐!K2143=供应商对账单!$B$4,资金台帐!P2143="应付",ISNUMBER(资金台帐!B2143),资金台帐!B2143&gt;=供应商对账单!$G$4,资金台帐!B2143&lt;=供应商对账单!$I$4),资金台帐!B2143+ROW()/100000,"")</f>
      </c>
    </row>
    <row r="3641">
      <c r="A3641">
        <f>IF(OR(出库明细!C2641="",出库明细!D2641=""),"",IF(OR(COUNTIFS(存条明细!$C$4:$C$1003,出库明细!C2641,存条明细!$D$4:$D$1003,出库明细!D2641)&gt;0,COUNTIFS(出库明细!$C$4:C2641,出库明细!C2641,出库明细!$D$4:D2641,出库明细!D2641)&gt;1),"",IFERROR(MATCH(出库明细!C2641,总览汇总!$B$5:$B$304,0),900)*10000000+IFERROR(MATCH(出库明细!D2641,基础资料!$E$5:$E$104,0),900)*10000+ROW()))</f>
      </c>
      <c r="F3641">
        <f>IF(AND(资金台帐!J644&lt;&gt;"",资金台帐!J644=客户对账单!$B$4,资金台帐!P644="应收",ISNUMBER(资金台帐!B644),资金台帐!B644&gt;=客户对账单!$G$4,资金台帐!B644&lt;=客户对账单!$I$4),资金台帐!B644+ROW()/100000,"")</f>
      </c>
      <c r="H3641">
        <f>IF(AND(资金台帐!K2144&lt;&gt;"",资金台帐!K2144=供应商对账单!$B$4,资金台帐!P2144="应付",ISNUMBER(资金台帐!B2144),资金台帐!B2144&gt;=供应商对账单!$G$4,资金台帐!B2144&lt;=供应商对账单!$I$4),资金台帐!B2144+ROW()/100000,"")</f>
      </c>
    </row>
    <row r="3642">
      <c r="A3642">
        <f>IF(OR(出库明细!C2642="",出库明细!D2642=""),"",IF(OR(COUNTIFS(存条明细!$C$4:$C$1003,出库明细!C2642,存条明细!$D$4:$D$1003,出库明细!D2642)&gt;0,COUNTIFS(出库明细!$C$4:C2642,出库明细!C2642,出库明细!$D$4:D2642,出库明细!D2642)&gt;1),"",IFERROR(MATCH(出库明细!C2642,总览汇总!$B$5:$B$304,0),900)*10000000+IFERROR(MATCH(出库明细!D2642,基础资料!$E$5:$E$104,0),900)*10000+ROW()))</f>
      </c>
      <c r="F3642">
        <f>IF(AND(资金台帐!J645&lt;&gt;"",资金台帐!J645=客户对账单!$B$4,资金台帐!P645="应收",ISNUMBER(资金台帐!B645),资金台帐!B645&gt;=客户对账单!$G$4,资金台帐!B645&lt;=客户对账单!$I$4),资金台帐!B645+ROW()/100000,"")</f>
      </c>
      <c r="H3642">
        <f>IF(AND(资金台帐!K2145&lt;&gt;"",资金台帐!K2145=供应商对账单!$B$4,资金台帐!P2145="应付",ISNUMBER(资金台帐!B2145),资金台帐!B2145&gt;=供应商对账单!$G$4,资金台帐!B2145&lt;=供应商对账单!$I$4),资金台帐!B2145+ROW()/100000,"")</f>
      </c>
    </row>
    <row r="3643">
      <c r="A3643">
        <f>IF(OR(出库明细!C2643="",出库明细!D2643=""),"",IF(OR(COUNTIFS(存条明细!$C$4:$C$1003,出库明细!C2643,存条明细!$D$4:$D$1003,出库明细!D2643)&gt;0,COUNTIFS(出库明细!$C$4:C2643,出库明细!C2643,出库明细!$D$4:D2643,出库明细!D2643)&gt;1),"",IFERROR(MATCH(出库明细!C2643,总览汇总!$B$5:$B$304,0),900)*10000000+IFERROR(MATCH(出库明细!D2643,基础资料!$E$5:$E$104,0),900)*10000+ROW()))</f>
      </c>
      <c r="F3643">
        <f>IF(AND(资金台帐!J646&lt;&gt;"",资金台帐!J646=客户对账单!$B$4,资金台帐!P646="应收",ISNUMBER(资金台帐!B646),资金台帐!B646&gt;=客户对账单!$G$4,资金台帐!B646&lt;=客户对账单!$I$4),资金台帐!B646+ROW()/100000,"")</f>
      </c>
      <c r="H3643">
        <f>IF(AND(资金台帐!K2146&lt;&gt;"",资金台帐!K2146=供应商对账单!$B$4,资金台帐!P2146="应付",ISNUMBER(资金台帐!B2146),资金台帐!B2146&gt;=供应商对账单!$G$4,资金台帐!B2146&lt;=供应商对账单!$I$4),资金台帐!B2146+ROW()/100000,"")</f>
      </c>
    </row>
    <row r="3644">
      <c r="A3644">
        <f>IF(OR(出库明细!C2644="",出库明细!D2644=""),"",IF(OR(COUNTIFS(存条明细!$C$4:$C$1003,出库明细!C2644,存条明细!$D$4:$D$1003,出库明细!D2644)&gt;0,COUNTIFS(出库明细!$C$4:C2644,出库明细!C2644,出库明细!$D$4:D2644,出库明细!D2644)&gt;1),"",IFERROR(MATCH(出库明细!C2644,总览汇总!$B$5:$B$304,0),900)*10000000+IFERROR(MATCH(出库明细!D2644,基础资料!$E$5:$E$104,0),900)*10000+ROW()))</f>
      </c>
      <c r="F3644">
        <f>IF(AND(资金台帐!J647&lt;&gt;"",资金台帐!J647=客户对账单!$B$4,资金台帐!P647="应收",ISNUMBER(资金台帐!B647),资金台帐!B647&gt;=客户对账单!$G$4,资金台帐!B647&lt;=客户对账单!$I$4),资金台帐!B647+ROW()/100000,"")</f>
      </c>
      <c r="H3644">
        <f>IF(AND(资金台帐!K2147&lt;&gt;"",资金台帐!K2147=供应商对账单!$B$4,资金台帐!P2147="应付",ISNUMBER(资金台帐!B2147),资金台帐!B2147&gt;=供应商对账单!$G$4,资金台帐!B2147&lt;=供应商对账单!$I$4),资金台帐!B2147+ROW()/100000,"")</f>
      </c>
    </row>
    <row r="3645">
      <c r="A3645">
        <f>IF(OR(出库明细!C2645="",出库明细!D2645=""),"",IF(OR(COUNTIFS(存条明细!$C$4:$C$1003,出库明细!C2645,存条明细!$D$4:$D$1003,出库明细!D2645)&gt;0,COUNTIFS(出库明细!$C$4:C2645,出库明细!C2645,出库明细!$D$4:D2645,出库明细!D2645)&gt;1),"",IFERROR(MATCH(出库明细!C2645,总览汇总!$B$5:$B$304,0),900)*10000000+IFERROR(MATCH(出库明细!D2645,基础资料!$E$5:$E$104,0),900)*10000+ROW()))</f>
      </c>
      <c r="F3645">
        <f>IF(AND(资金台帐!J648&lt;&gt;"",资金台帐!J648=客户对账单!$B$4,资金台帐!P648="应收",ISNUMBER(资金台帐!B648),资金台帐!B648&gt;=客户对账单!$G$4,资金台帐!B648&lt;=客户对账单!$I$4),资金台帐!B648+ROW()/100000,"")</f>
      </c>
      <c r="H3645">
        <f>IF(AND(资金台帐!K2148&lt;&gt;"",资金台帐!K2148=供应商对账单!$B$4,资金台帐!P2148="应付",ISNUMBER(资金台帐!B2148),资金台帐!B2148&gt;=供应商对账单!$G$4,资金台帐!B2148&lt;=供应商对账单!$I$4),资金台帐!B2148+ROW()/100000,"")</f>
      </c>
    </row>
    <row r="3646">
      <c r="A3646">
        <f>IF(OR(出库明细!C2646="",出库明细!D2646=""),"",IF(OR(COUNTIFS(存条明细!$C$4:$C$1003,出库明细!C2646,存条明细!$D$4:$D$1003,出库明细!D2646)&gt;0,COUNTIFS(出库明细!$C$4:C2646,出库明细!C2646,出库明细!$D$4:D2646,出库明细!D2646)&gt;1),"",IFERROR(MATCH(出库明细!C2646,总览汇总!$B$5:$B$304,0),900)*10000000+IFERROR(MATCH(出库明细!D2646,基础资料!$E$5:$E$104,0),900)*10000+ROW()))</f>
      </c>
      <c r="F3646">
        <f>IF(AND(资金台帐!J649&lt;&gt;"",资金台帐!J649=客户对账单!$B$4,资金台帐!P649="应收",ISNUMBER(资金台帐!B649),资金台帐!B649&gt;=客户对账单!$G$4,资金台帐!B649&lt;=客户对账单!$I$4),资金台帐!B649+ROW()/100000,"")</f>
      </c>
      <c r="H3646">
        <f>IF(AND(资金台帐!K2149&lt;&gt;"",资金台帐!K2149=供应商对账单!$B$4,资金台帐!P2149="应付",ISNUMBER(资金台帐!B2149),资金台帐!B2149&gt;=供应商对账单!$G$4,资金台帐!B2149&lt;=供应商对账单!$I$4),资金台帐!B2149+ROW()/100000,"")</f>
      </c>
    </row>
    <row r="3647">
      <c r="A3647">
        <f>IF(OR(出库明细!C2647="",出库明细!D2647=""),"",IF(OR(COUNTIFS(存条明细!$C$4:$C$1003,出库明细!C2647,存条明细!$D$4:$D$1003,出库明细!D2647)&gt;0,COUNTIFS(出库明细!$C$4:C2647,出库明细!C2647,出库明细!$D$4:D2647,出库明细!D2647)&gt;1),"",IFERROR(MATCH(出库明细!C2647,总览汇总!$B$5:$B$304,0),900)*10000000+IFERROR(MATCH(出库明细!D2647,基础资料!$E$5:$E$104,0),900)*10000+ROW()))</f>
      </c>
      <c r="F3647">
        <f>IF(AND(资金台帐!J650&lt;&gt;"",资金台帐!J650=客户对账单!$B$4,资金台帐!P650="应收",ISNUMBER(资金台帐!B650),资金台帐!B650&gt;=客户对账单!$G$4,资金台帐!B650&lt;=客户对账单!$I$4),资金台帐!B650+ROW()/100000,"")</f>
      </c>
      <c r="H3647">
        <f>IF(AND(资金台帐!K2150&lt;&gt;"",资金台帐!K2150=供应商对账单!$B$4,资金台帐!P2150="应付",ISNUMBER(资金台帐!B2150),资金台帐!B2150&gt;=供应商对账单!$G$4,资金台帐!B2150&lt;=供应商对账单!$I$4),资金台帐!B2150+ROW()/100000,"")</f>
      </c>
    </row>
    <row r="3648">
      <c r="A3648">
        <f>IF(OR(出库明细!C2648="",出库明细!D2648=""),"",IF(OR(COUNTIFS(存条明细!$C$4:$C$1003,出库明细!C2648,存条明细!$D$4:$D$1003,出库明细!D2648)&gt;0,COUNTIFS(出库明细!$C$4:C2648,出库明细!C2648,出库明细!$D$4:D2648,出库明细!D2648)&gt;1),"",IFERROR(MATCH(出库明细!C2648,总览汇总!$B$5:$B$304,0),900)*10000000+IFERROR(MATCH(出库明细!D2648,基础资料!$E$5:$E$104,0),900)*10000+ROW()))</f>
      </c>
      <c r="F3648">
        <f>IF(AND(资金台帐!J651&lt;&gt;"",资金台帐!J651=客户对账单!$B$4,资金台帐!P651="应收",ISNUMBER(资金台帐!B651),资金台帐!B651&gt;=客户对账单!$G$4,资金台帐!B651&lt;=客户对账单!$I$4),资金台帐!B651+ROW()/100000,"")</f>
      </c>
      <c r="H3648">
        <f>IF(AND(资金台帐!K2151&lt;&gt;"",资金台帐!K2151=供应商对账单!$B$4,资金台帐!P2151="应付",ISNUMBER(资金台帐!B2151),资金台帐!B2151&gt;=供应商对账单!$G$4,资金台帐!B2151&lt;=供应商对账单!$I$4),资金台帐!B2151+ROW()/100000,"")</f>
      </c>
    </row>
    <row r="3649">
      <c r="A3649">
        <f>IF(OR(出库明细!C2649="",出库明细!D2649=""),"",IF(OR(COUNTIFS(存条明细!$C$4:$C$1003,出库明细!C2649,存条明细!$D$4:$D$1003,出库明细!D2649)&gt;0,COUNTIFS(出库明细!$C$4:C2649,出库明细!C2649,出库明细!$D$4:D2649,出库明细!D2649)&gt;1),"",IFERROR(MATCH(出库明细!C2649,总览汇总!$B$5:$B$304,0),900)*10000000+IFERROR(MATCH(出库明细!D2649,基础资料!$E$5:$E$104,0),900)*10000+ROW()))</f>
      </c>
      <c r="F3649">
        <f>IF(AND(资金台帐!J652&lt;&gt;"",资金台帐!J652=客户对账单!$B$4,资金台帐!P652="应收",ISNUMBER(资金台帐!B652),资金台帐!B652&gt;=客户对账单!$G$4,资金台帐!B652&lt;=客户对账单!$I$4),资金台帐!B652+ROW()/100000,"")</f>
      </c>
      <c r="H3649">
        <f>IF(AND(资金台帐!K2152&lt;&gt;"",资金台帐!K2152=供应商对账单!$B$4,资金台帐!P2152="应付",ISNUMBER(资金台帐!B2152),资金台帐!B2152&gt;=供应商对账单!$G$4,资金台帐!B2152&lt;=供应商对账单!$I$4),资金台帐!B2152+ROW()/100000,"")</f>
      </c>
    </row>
    <row r="3650">
      <c r="A3650">
        <f>IF(OR(出库明细!C2650="",出库明细!D2650=""),"",IF(OR(COUNTIFS(存条明细!$C$4:$C$1003,出库明细!C2650,存条明细!$D$4:$D$1003,出库明细!D2650)&gt;0,COUNTIFS(出库明细!$C$4:C2650,出库明细!C2650,出库明细!$D$4:D2650,出库明细!D2650)&gt;1),"",IFERROR(MATCH(出库明细!C2650,总览汇总!$B$5:$B$304,0),900)*10000000+IFERROR(MATCH(出库明细!D2650,基础资料!$E$5:$E$104,0),900)*10000+ROW()))</f>
      </c>
      <c r="F3650">
        <f>IF(AND(资金台帐!J653&lt;&gt;"",资金台帐!J653=客户对账单!$B$4,资金台帐!P653="应收",ISNUMBER(资金台帐!B653),资金台帐!B653&gt;=客户对账单!$G$4,资金台帐!B653&lt;=客户对账单!$I$4),资金台帐!B653+ROW()/100000,"")</f>
      </c>
      <c r="H3650">
        <f>IF(AND(资金台帐!K2153&lt;&gt;"",资金台帐!K2153=供应商对账单!$B$4,资金台帐!P2153="应付",ISNUMBER(资金台帐!B2153),资金台帐!B2153&gt;=供应商对账单!$G$4,资金台帐!B2153&lt;=供应商对账单!$I$4),资金台帐!B2153+ROW()/100000,"")</f>
      </c>
    </row>
    <row r="3651">
      <c r="A3651">
        <f>IF(OR(出库明细!C2651="",出库明细!D2651=""),"",IF(OR(COUNTIFS(存条明细!$C$4:$C$1003,出库明细!C2651,存条明细!$D$4:$D$1003,出库明细!D2651)&gt;0,COUNTIFS(出库明细!$C$4:C2651,出库明细!C2651,出库明细!$D$4:D2651,出库明细!D2651)&gt;1),"",IFERROR(MATCH(出库明细!C2651,总览汇总!$B$5:$B$304,0),900)*10000000+IFERROR(MATCH(出库明细!D2651,基础资料!$E$5:$E$104,0),900)*10000+ROW()))</f>
      </c>
      <c r="F3651">
        <f>IF(AND(资金台帐!J654&lt;&gt;"",资金台帐!J654=客户对账单!$B$4,资金台帐!P654="应收",ISNUMBER(资金台帐!B654),资金台帐!B654&gt;=客户对账单!$G$4,资金台帐!B654&lt;=客户对账单!$I$4),资金台帐!B654+ROW()/100000,"")</f>
      </c>
      <c r="H3651">
        <f>IF(AND(资金台帐!K2154&lt;&gt;"",资金台帐!K2154=供应商对账单!$B$4,资金台帐!P2154="应付",ISNUMBER(资金台帐!B2154),资金台帐!B2154&gt;=供应商对账单!$G$4,资金台帐!B2154&lt;=供应商对账单!$I$4),资金台帐!B2154+ROW()/100000,"")</f>
      </c>
    </row>
    <row r="3652">
      <c r="A3652">
        <f>IF(OR(出库明细!C2652="",出库明细!D2652=""),"",IF(OR(COUNTIFS(存条明细!$C$4:$C$1003,出库明细!C2652,存条明细!$D$4:$D$1003,出库明细!D2652)&gt;0,COUNTIFS(出库明细!$C$4:C2652,出库明细!C2652,出库明细!$D$4:D2652,出库明细!D2652)&gt;1),"",IFERROR(MATCH(出库明细!C2652,总览汇总!$B$5:$B$304,0),900)*10000000+IFERROR(MATCH(出库明细!D2652,基础资料!$E$5:$E$104,0),900)*10000+ROW()))</f>
      </c>
      <c r="F3652">
        <f>IF(AND(资金台帐!J655&lt;&gt;"",资金台帐!J655=客户对账单!$B$4,资金台帐!P655="应收",ISNUMBER(资金台帐!B655),资金台帐!B655&gt;=客户对账单!$G$4,资金台帐!B655&lt;=客户对账单!$I$4),资金台帐!B655+ROW()/100000,"")</f>
      </c>
      <c r="H3652">
        <f>IF(AND(资金台帐!K2155&lt;&gt;"",资金台帐!K2155=供应商对账单!$B$4,资金台帐!P2155="应付",ISNUMBER(资金台帐!B2155),资金台帐!B2155&gt;=供应商对账单!$G$4,资金台帐!B2155&lt;=供应商对账单!$I$4),资金台帐!B2155+ROW()/100000,"")</f>
      </c>
    </row>
    <row r="3653">
      <c r="A3653">
        <f>IF(OR(出库明细!C2653="",出库明细!D2653=""),"",IF(OR(COUNTIFS(存条明细!$C$4:$C$1003,出库明细!C2653,存条明细!$D$4:$D$1003,出库明细!D2653)&gt;0,COUNTIFS(出库明细!$C$4:C2653,出库明细!C2653,出库明细!$D$4:D2653,出库明细!D2653)&gt;1),"",IFERROR(MATCH(出库明细!C2653,总览汇总!$B$5:$B$304,0),900)*10000000+IFERROR(MATCH(出库明细!D2653,基础资料!$E$5:$E$104,0),900)*10000+ROW()))</f>
      </c>
      <c r="F3653">
        <f>IF(AND(资金台帐!J656&lt;&gt;"",资金台帐!J656=客户对账单!$B$4,资金台帐!P656="应收",ISNUMBER(资金台帐!B656),资金台帐!B656&gt;=客户对账单!$G$4,资金台帐!B656&lt;=客户对账单!$I$4),资金台帐!B656+ROW()/100000,"")</f>
      </c>
      <c r="H3653">
        <f>IF(AND(资金台帐!K2156&lt;&gt;"",资金台帐!K2156=供应商对账单!$B$4,资金台帐!P2156="应付",ISNUMBER(资金台帐!B2156),资金台帐!B2156&gt;=供应商对账单!$G$4,资金台帐!B2156&lt;=供应商对账单!$I$4),资金台帐!B2156+ROW()/100000,"")</f>
      </c>
    </row>
    <row r="3654">
      <c r="A3654">
        <f>IF(OR(出库明细!C2654="",出库明细!D2654=""),"",IF(OR(COUNTIFS(存条明细!$C$4:$C$1003,出库明细!C2654,存条明细!$D$4:$D$1003,出库明细!D2654)&gt;0,COUNTIFS(出库明细!$C$4:C2654,出库明细!C2654,出库明细!$D$4:D2654,出库明细!D2654)&gt;1),"",IFERROR(MATCH(出库明细!C2654,总览汇总!$B$5:$B$304,0),900)*10000000+IFERROR(MATCH(出库明细!D2654,基础资料!$E$5:$E$104,0),900)*10000+ROW()))</f>
      </c>
      <c r="F3654">
        <f>IF(AND(资金台帐!J657&lt;&gt;"",资金台帐!J657=客户对账单!$B$4,资金台帐!P657="应收",ISNUMBER(资金台帐!B657),资金台帐!B657&gt;=客户对账单!$G$4,资金台帐!B657&lt;=客户对账单!$I$4),资金台帐!B657+ROW()/100000,"")</f>
      </c>
      <c r="H3654">
        <f>IF(AND(资金台帐!K2157&lt;&gt;"",资金台帐!K2157=供应商对账单!$B$4,资金台帐!P2157="应付",ISNUMBER(资金台帐!B2157),资金台帐!B2157&gt;=供应商对账单!$G$4,资金台帐!B2157&lt;=供应商对账单!$I$4),资金台帐!B2157+ROW()/100000,"")</f>
      </c>
    </row>
    <row r="3655">
      <c r="A3655">
        <f>IF(OR(出库明细!C2655="",出库明细!D2655=""),"",IF(OR(COUNTIFS(存条明细!$C$4:$C$1003,出库明细!C2655,存条明细!$D$4:$D$1003,出库明细!D2655)&gt;0,COUNTIFS(出库明细!$C$4:C2655,出库明细!C2655,出库明细!$D$4:D2655,出库明细!D2655)&gt;1),"",IFERROR(MATCH(出库明细!C2655,总览汇总!$B$5:$B$304,0),900)*10000000+IFERROR(MATCH(出库明细!D2655,基础资料!$E$5:$E$104,0),900)*10000+ROW()))</f>
      </c>
      <c r="F3655">
        <f>IF(AND(资金台帐!J658&lt;&gt;"",资金台帐!J658=客户对账单!$B$4,资金台帐!P658="应收",ISNUMBER(资金台帐!B658),资金台帐!B658&gt;=客户对账单!$G$4,资金台帐!B658&lt;=客户对账单!$I$4),资金台帐!B658+ROW()/100000,"")</f>
      </c>
      <c r="H3655">
        <f>IF(AND(资金台帐!K2158&lt;&gt;"",资金台帐!K2158=供应商对账单!$B$4,资金台帐!P2158="应付",ISNUMBER(资金台帐!B2158),资金台帐!B2158&gt;=供应商对账单!$G$4,资金台帐!B2158&lt;=供应商对账单!$I$4),资金台帐!B2158+ROW()/100000,"")</f>
      </c>
    </row>
    <row r="3656">
      <c r="A3656">
        <f>IF(OR(出库明细!C2656="",出库明细!D2656=""),"",IF(OR(COUNTIFS(存条明细!$C$4:$C$1003,出库明细!C2656,存条明细!$D$4:$D$1003,出库明细!D2656)&gt;0,COUNTIFS(出库明细!$C$4:C2656,出库明细!C2656,出库明细!$D$4:D2656,出库明细!D2656)&gt;1),"",IFERROR(MATCH(出库明细!C2656,总览汇总!$B$5:$B$304,0),900)*10000000+IFERROR(MATCH(出库明细!D2656,基础资料!$E$5:$E$104,0),900)*10000+ROW()))</f>
      </c>
      <c r="F3656">
        <f>IF(AND(资金台帐!J659&lt;&gt;"",资金台帐!J659=客户对账单!$B$4,资金台帐!P659="应收",ISNUMBER(资金台帐!B659),资金台帐!B659&gt;=客户对账单!$G$4,资金台帐!B659&lt;=客户对账单!$I$4),资金台帐!B659+ROW()/100000,"")</f>
      </c>
      <c r="H3656">
        <f>IF(AND(资金台帐!K2159&lt;&gt;"",资金台帐!K2159=供应商对账单!$B$4,资金台帐!P2159="应付",ISNUMBER(资金台帐!B2159),资金台帐!B2159&gt;=供应商对账单!$G$4,资金台帐!B2159&lt;=供应商对账单!$I$4),资金台帐!B2159+ROW()/100000,"")</f>
      </c>
    </row>
    <row r="3657">
      <c r="A3657">
        <f>IF(OR(出库明细!C2657="",出库明细!D2657=""),"",IF(OR(COUNTIFS(存条明细!$C$4:$C$1003,出库明细!C2657,存条明细!$D$4:$D$1003,出库明细!D2657)&gt;0,COUNTIFS(出库明细!$C$4:C2657,出库明细!C2657,出库明细!$D$4:D2657,出库明细!D2657)&gt;1),"",IFERROR(MATCH(出库明细!C2657,总览汇总!$B$5:$B$304,0),900)*10000000+IFERROR(MATCH(出库明细!D2657,基础资料!$E$5:$E$104,0),900)*10000+ROW()))</f>
      </c>
      <c r="F3657">
        <f>IF(AND(资金台帐!J660&lt;&gt;"",资金台帐!J660=客户对账单!$B$4,资金台帐!P660="应收",ISNUMBER(资金台帐!B660),资金台帐!B660&gt;=客户对账单!$G$4,资金台帐!B660&lt;=客户对账单!$I$4),资金台帐!B660+ROW()/100000,"")</f>
      </c>
      <c r="H3657">
        <f>IF(AND(资金台帐!K2160&lt;&gt;"",资金台帐!K2160=供应商对账单!$B$4,资金台帐!P2160="应付",ISNUMBER(资金台帐!B2160),资金台帐!B2160&gt;=供应商对账单!$G$4,资金台帐!B2160&lt;=供应商对账单!$I$4),资金台帐!B2160+ROW()/100000,"")</f>
      </c>
    </row>
    <row r="3658">
      <c r="A3658">
        <f>IF(OR(出库明细!C2658="",出库明细!D2658=""),"",IF(OR(COUNTIFS(存条明细!$C$4:$C$1003,出库明细!C2658,存条明细!$D$4:$D$1003,出库明细!D2658)&gt;0,COUNTIFS(出库明细!$C$4:C2658,出库明细!C2658,出库明细!$D$4:D2658,出库明细!D2658)&gt;1),"",IFERROR(MATCH(出库明细!C2658,总览汇总!$B$5:$B$304,0),900)*10000000+IFERROR(MATCH(出库明细!D2658,基础资料!$E$5:$E$104,0),900)*10000+ROW()))</f>
      </c>
      <c r="F3658">
        <f>IF(AND(资金台帐!J661&lt;&gt;"",资金台帐!J661=客户对账单!$B$4,资金台帐!P661="应收",ISNUMBER(资金台帐!B661),资金台帐!B661&gt;=客户对账单!$G$4,资金台帐!B661&lt;=客户对账单!$I$4),资金台帐!B661+ROW()/100000,"")</f>
      </c>
      <c r="H3658">
        <f>IF(AND(资金台帐!K2161&lt;&gt;"",资金台帐!K2161=供应商对账单!$B$4,资金台帐!P2161="应付",ISNUMBER(资金台帐!B2161),资金台帐!B2161&gt;=供应商对账单!$G$4,资金台帐!B2161&lt;=供应商对账单!$I$4),资金台帐!B2161+ROW()/100000,"")</f>
      </c>
    </row>
    <row r="3659">
      <c r="A3659">
        <f>IF(OR(出库明细!C2659="",出库明细!D2659=""),"",IF(OR(COUNTIFS(存条明细!$C$4:$C$1003,出库明细!C2659,存条明细!$D$4:$D$1003,出库明细!D2659)&gt;0,COUNTIFS(出库明细!$C$4:C2659,出库明细!C2659,出库明细!$D$4:D2659,出库明细!D2659)&gt;1),"",IFERROR(MATCH(出库明细!C2659,总览汇总!$B$5:$B$304,0),900)*10000000+IFERROR(MATCH(出库明细!D2659,基础资料!$E$5:$E$104,0),900)*10000+ROW()))</f>
      </c>
      <c r="F3659">
        <f>IF(AND(资金台帐!J662&lt;&gt;"",资金台帐!J662=客户对账单!$B$4,资金台帐!P662="应收",ISNUMBER(资金台帐!B662),资金台帐!B662&gt;=客户对账单!$G$4,资金台帐!B662&lt;=客户对账单!$I$4),资金台帐!B662+ROW()/100000,"")</f>
      </c>
      <c r="H3659">
        <f>IF(AND(资金台帐!K2162&lt;&gt;"",资金台帐!K2162=供应商对账单!$B$4,资金台帐!P2162="应付",ISNUMBER(资金台帐!B2162),资金台帐!B2162&gt;=供应商对账单!$G$4,资金台帐!B2162&lt;=供应商对账单!$I$4),资金台帐!B2162+ROW()/100000,"")</f>
      </c>
    </row>
    <row r="3660">
      <c r="A3660">
        <f>IF(OR(出库明细!C2660="",出库明细!D2660=""),"",IF(OR(COUNTIFS(存条明细!$C$4:$C$1003,出库明细!C2660,存条明细!$D$4:$D$1003,出库明细!D2660)&gt;0,COUNTIFS(出库明细!$C$4:C2660,出库明细!C2660,出库明细!$D$4:D2660,出库明细!D2660)&gt;1),"",IFERROR(MATCH(出库明细!C2660,总览汇总!$B$5:$B$304,0),900)*10000000+IFERROR(MATCH(出库明细!D2660,基础资料!$E$5:$E$104,0),900)*10000+ROW()))</f>
      </c>
      <c r="F3660">
        <f>IF(AND(资金台帐!J663&lt;&gt;"",资金台帐!J663=客户对账单!$B$4,资金台帐!P663="应收",ISNUMBER(资金台帐!B663),资金台帐!B663&gt;=客户对账单!$G$4,资金台帐!B663&lt;=客户对账单!$I$4),资金台帐!B663+ROW()/100000,"")</f>
      </c>
      <c r="H3660">
        <f>IF(AND(资金台帐!K2163&lt;&gt;"",资金台帐!K2163=供应商对账单!$B$4,资金台帐!P2163="应付",ISNUMBER(资金台帐!B2163),资金台帐!B2163&gt;=供应商对账单!$G$4,资金台帐!B2163&lt;=供应商对账单!$I$4),资金台帐!B2163+ROW()/100000,"")</f>
      </c>
    </row>
    <row r="3661">
      <c r="A3661">
        <f>IF(OR(出库明细!C2661="",出库明细!D2661=""),"",IF(OR(COUNTIFS(存条明细!$C$4:$C$1003,出库明细!C2661,存条明细!$D$4:$D$1003,出库明细!D2661)&gt;0,COUNTIFS(出库明细!$C$4:C2661,出库明细!C2661,出库明细!$D$4:D2661,出库明细!D2661)&gt;1),"",IFERROR(MATCH(出库明细!C2661,总览汇总!$B$5:$B$304,0),900)*10000000+IFERROR(MATCH(出库明细!D2661,基础资料!$E$5:$E$104,0),900)*10000+ROW()))</f>
      </c>
      <c r="F3661">
        <f>IF(AND(资金台帐!J664&lt;&gt;"",资金台帐!J664=客户对账单!$B$4,资金台帐!P664="应收",ISNUMBER(资金台帐!B664),资金台帐!B664&gt;=客户对账单!$G$4,资金台帐!B664&lt;=客户对账单!$I$4),资金台帐!B664+ROW()/100000,"")</f>
      </c>
      <c r="H3661">
        <f>IF(AND(资金台帐!K2164&lt;&gt;"",资金台帐!K2164=供应商对账单!$B$4,资金台帐!P2164="应付",ISNUMBER(资金台帐!B2164),资金台帐!B2164&gt;=供应商对账单!$G$4,资金台帐!B2164&lt;=供应商对账单!$I$4),资金台帐!B2164+ROW()/100000,"")</f>
      </c>
    </row>
    <row r="3662">
      <c r="A3662">
        <f>IF(OR(出库明细!C2662="",出库明细!D2662=""),"",IF(OR(COUNTIFS(存条明细!$C$4:$C$1003,出库明细!C2662,存条明细!$D$4:$D$1003,出库明细!D2662)&gt;0,COUNTIFS(出库明细!$C$4:C2662,出库明细!C2662,出库明细!$D$4:D2662,出库明细!D2662)&gt;1),"",IFERROR(MATCH(出库明细!C2662,总览汇总!$B$5:$B$304,0),900)*10000000+IFERROR(MATCH(出库明细!D2662,基础资料!$E$5:$E$104,0),900)*10000+ROW()))</f>
      </c>
      <c r="F3662">
        <f>IF(AND(资金台帐!J665&lt;&gt;"",资金台帐!J665=客户对账单!$B$4,资金台帐!P665="应收",ISNUMBER(资金台帐!B665),资金台帐!B665&gt;=客户对账单!$G$4,资金台帐!B665&lt;=客户对账单!$I$4),资金台帐!B665+ROW()/100000,"")</f>
      </c>
      <c r="H3662">
        <f>IF(AND(资金台帐!K2165&lt;&gt;"",资金台帐!K2165=供应商对账单!$B$4,资金台帐!P2165="应付",ISNUMBER(资金台帐!B2165),资金台帐!B2165&gt;=供应商对账单!$G$4,资金台帐!B2165&lt;=供应商对账单!$I$4),资金台帐!B2165+ROW()/100000,"")</f>
      </c>
    </row>
    <row r="3663">
      <c r="A3663">
        <f>IF(OR(出库明细!C2663="",出库明细!D2663=""),"",IF(OR(COUNTIFS(存条明细!$C$4:$C$1003,出库明细!C2663,存条明细!$D$4:$D$1003,出库明细!D2663)&gt;0,COUNTIFS(出库明细!$C$4:C2663,出库明细!C2663,出库明细!$D$4:D2663,出库明细!D2663)&gt;1),"",IFERROR(MATCH(出库明细!C2663,总览汇总!$B$5:$B$304,0),900)*10000000+IFERROR(MATCH(出库明细!D2663,基础资料!$E$5:$E$104,0),900)*10000+ROW()))</f>
      </c>
      <c r="F3663">
        <f>IF(AND(资金台帐!J666&lt;&gt;"",资金台帐!J666=客户对账单!$B$4,资金台帐!P666="应收",ISNUMBER(资金台帐!B666),资金台帐!B666&gt;=客户对账单!$G$4,资金台帐!B666&lt;=客户对账单!$I$4),资金台帐!B666+ROW()/100000,"")</f>
      </c>
      <c r="H3663">
        <f>IF(AND(资金台帐!K2166&lt;&gt;"",资金台帐!K2166=供应商对账单!$B$4,资金台帐!P2166="应付",ISNUMBER(资金台帐!B2166),资金台帐!B2166&gt;=供应商对账单!$G$4,资金台帐!B2166&lt;=供应商对账单!$I$4),资金台帐!B2166+ROW()/100000,"")</f>
      </c>
    </row>
    <row r="3664">
      <c r="A3664">
        <f>IF(OR(出库明细!C2664="",出库明细!D2664=""),"",IF(OR(COUNTIFS(存条明细!$C$4:$C$1003,出库明细!C2664,存条明细!$D$4:$D$1003,出库明细!D2664)&gt;0,COUNTIFS(出库明细!$C$4:C2664,出库明细!C2664,出库明细!$D$4:D2664,出库明细!D2664)&gt;1),"",IFERROR(MATCH(出库明细!C2664,总览汇总!$B$5:$B$304,0),900)*10000000+IFERROR(MATCH(出库明细!D2664,基础资料!$E$5:$E$104,0),900)*10000+ROW()))</f>
      </c>
      <c r="F3664">
        <f>IF(AND(资金台帐!J667&lt;&gt;"",资金台帐!J667=客户对账单!$B$4,资金台帐!P667="应收",ISNUMBER(资金台帐!B667),资金台帐!B667&gt;=客户对账单!$G$4,资金台帐!B667&lt;=客户对账单!$I$4),资金台帐!B667+ROW()/100000,"")</f>
      </c>
      <c r="H3664">
        <f>IF(AND(资金台帐!K2167&lt;&gt;"",资金台帐!K2167=供应商对账单!$B$4,资金台帐!P2167="应付",ISNUMBER(资金台帐!B2167),资金台帐!B2167&gt;=供应商对账单!$G$4,资金台帐!B2167&lt;=供应商对账单!$I$4),资金台帐!B2167+ROW()/100000,"")</f>
      </c>
    </row>
    <row r="3665">
      <c r="A3665">
        <f>IF(OR(出库明细!C2665="",出库明细!D2665=""),"",IF(OR(COUNTIFS(存条明细!$C$4:$C$1003,出库明细!C2665,存条明细!$D$4:$D$1003,出库明细!D2665)&gt;0,COUNTIFS(出库明细!$C$4:C2665,出库明细!C2665,出库明细!$D$4:D2665,出库明细!D2665)&gt;1),"",IFERROR(MATCH(出库明细!C2665,总览汇总!$B$5:$B$304,0),900)*10000000+IFERROR(MATCH(出库明细!D2665,基础资料!$E$5:$E$104,0),900)*10000+ROW()))</f>
      </c>
      <c r="F3665">
        <f>IF(AND(资金台帐!J668&lt;&gt;"",资金台帐!J668=客户对账单!$B$4,资金台帐!P668="应收",ISNUMBER(资金台帐!B668),资金台帐!B668&gt;=客户对账单!$G$4,资金台帐!B668&lt;=客户对账单!$I$4),资金台帐!B668+ROW()/100000,"")</f>
      </c>
      <c r="H3665">
        <f>IF(AND(资金台帐!K2168&lt;&gt;"",资金台帐!K2168=供应商对账单!$B$4,资金台帐!P2168="应付",ISNUMBER(资金台帐!B2168),资金台帐!B2168&gt;=供应商对账单!$G$4,资金台帐!B2168&lt;=供应商对账单!$I$4),资金台帐!B2168+ROW()/100000,"")</f>
      </c>
    </row>
    <row r="3666">
      <c r="A3666">
        <f>IF(OR(出库明细!C2666="",出库明细!D2666=""),"",IF(OR(COUNTIFS(存条明细!$C$4:$C$1003,出库明细!C2666,存条明细!$D$4:$D$1003,出库明细!D2666)&gt;0,COUNTIFS(出库明细!$C$4:C2666,出库明细!C2666,出库明细!$D$4:D2666,出库明细!D2666)&gt;1),"",IFERROR(MATCH(出库明细!C2666,总览汇总!$B$5:$B$304,0),900)*10000000+IFERROR(MATCH(出库明细!D2666,基础资料!$E$5:$E$104,0),900)*10000+ROW()))</f>
      </c>
      <c r="F3666">
        <f>IF(AND(资金台帐!J669&lt;&gt;"",资金台帐!J669=客户对账单!$B$4,资金台帐!P669="应收",ISNUMBER(资金台帐!B669),资金台帐!B669&gt;=客户对账单!$G$4,资金台帐!B669&lt;=客户对账单!$I$4),资金台帐!B669+ROW()/100000,"")</f>
      </c>
      <c r="H3666">
        <f>IF(AND(资金台帐!K2169&lt;&gt;"",资金台帐!K2169=供应商对账单!$B$4,资金台帐!P2169="应付",ISNUMBER(资金台帐!B2169),资金台帐!B2169&gt;=供应商对账单!$G$4,资金台帐!B2169&lt;=供应商对账单!$I$4),资金台帐!B2169+ROW()/100000,"")</f>
      </c>
    </row>
    <row r="3667">
      <c r="A3667">
        <f>IF(OR(出库明细!C2667="",出库明细!D2667=""),"",IF(OR(COUNTIFS(存条明细!$C$4:$C$1003,出库明细!C2667,存条明细!$D$4:$D$1003,出库明细!D2667)&gt;0,COUNTIFS(出库明细!$C$4:C2667,出库明细!C2667,出库明细!$D$4:D2667,出库明细!D2667)&gt;1),"",IFERROR(MATCH(出库明细!C2667,总览汇总!$B$5:$B$304,0),900)*10000000+IFERROR(MATCH(出库明细!D2667,基础资料!$E$5:$E$104,0),900)*10000+ROW()))</f>
      </c>
      <c r="F3667">
        <f>IF(AND(资金台帐!J670&lt;&gt;"",资金台帐!J670=客户对账单!$B$4,资金台帐!P670="应收",ISNUMBER(资金台帐!B670),资金台帐!B670&gt;=客户对账单!$G$4,资金台帐!B670&lt;=客户对账单!$I$4),资金台帐!B670+ROW()/100000,"")</f>
      </c>
      <c r="H3667">
        <f>IF(AND(资金台帐!K2170&lt;&gt;"",资金台帐!K2170=供应商对账单!$B$4,资金台帐!P2170="应付",ISNUMBER(资金台帐!B2170),资金台帐!B2170&gt;=供应商对账单!$G$4,资金台帐!B2170&lt;=供应商对账单!$I$4),资金台帐!B2170+ROW()/100000,"")</f>
      </c>
    </row>
    <row r="3668">
      <c r="A3668">
        <f>IF(OR(出库明细!C2668="",出库明细!D2668=""),"",IF(OR(COUNTIFS(存条明细!$C$4:$C$1003,出库明细!C2668,存条明细!$D$4:$D$1003,出库明细!D2668)&gt;0,COUNTIFS(出库明细!$C$4:C2668,出库明细!C2668,出库明细!$D$4:D2668,出库明细!D2668)&gt;1),"",IFERROR(MATCH(出库明细!C2668,总览汇总!$B$5:$B$304,0),900)*10000000+IFERROR(MATCH(出库明细!D2668,基础资料!$E$5:$E$104,0),900)*10000+ROW()))</f>
      </c>
      <c r="F3668">
        <f>IF(AND(资金台帐!J671&lt;&gt;"",资金台帐!J671=客户对账单!$B$4,资金台帐!P671="应收",ISNUMBER(资金台帐!B671),资金台帐!B671&gt;=客户对账单!$G$4,资金台帐!B671&lt;=客户对账单!$I$4),资金台帐!B671+ROW()/100000,"")</f>
      </c>
      <c r="H3668">
        <f>IF(AND(资金台帐!K2171&lt;&gt;"",资金台帐!K2171=供应商对账单!$B$4,资金台帐!P2171="应付",ISNUMBER(资金台帐!B2171),资金台帐!B2171&gt;=供应商对账单!$G$4,资金台帐!B2171&lt;=供应商对账单!$I$4),资金台帐!B2171+ROW()/100000,"")</f>
      </c>
    </row>
    <row r="3669">
      <c r="A3669">
        <f>IF(OR(出库明细!C2669="",出库明细!D2669=""),"",IF(OR(COUNTIFS(存条明细!$C$4:$C$1003,出库明细!C2669,存条明细!$D$4:$D$1003,出库明细!D2669)&gt;0,COUNTIFS(出库明细!$C$4:C2669,出库明细!C2669,出库明细!$D$4:D2669,出库明细!D2669)&gt;1),"",IFERROR(MATCH(出库明细!C2669,总览汇总!$B$5:$B$304,0),900)*10000000+IFERROR(MATCH(出库明细!D2669,基础资料!$E$5:$E$104,0),900)*10000+ROW()))</f>
      </c>
      <c r="F3669">
        <f>IF(AND(资金台帐!J672&lt;&gt;"",资金台帐!J672=客户对账单!$B$4,资金台帐!P672="应收",ISNUMBER(资金台帐!B672),资金台帐!B672&gt;=客户对账单!$G$4,资金台帐!B672&lt;=客户对账单!$I$4),资金台帐!B672+ROW()/100000,"")</f>
      </c>
      <c r="H3669">
        <f>IF(AND(资金台帐!K2172&lt;&gt;"",资金台帐!K2172=供应商对账单!$B$4,资金台帐!P2172="应付",ISNUMBER(资金台帐!B2172),资金台帐!B2172&gt;=供应商对账单!$G$4,资金台帐!B2172&lt;=供应商对账单!$I$4),资金台帐!B2172+ROW()/100000,"")</f>
      </c>
    </row>
    <row r="3670">
      <c r="A3670">
        <f>IF(OR(出库明细!C2670="",出库明细!D2670=""),"",IF(OR(COUNTIFS(存条明细!$C$4:$C$1003,出库明细!C2670,存条明细!$D$4:$D$1003,出库明细!D2670)&gt;0,COUNTIFS(出库明细!$C$4:C2670,出库明细!C2670,出库明细!$D$4:D2670,出库明细!D2670)&gt;1),"",IFERROR(MATCH(出库明细!C2670,总览汇总!$B$5:$B$304,0),900)*10000000+IFERROR(MATCH(出库明细!D2670,基础资料!$E$5:$E$104,0),900)*10000+ROW()))</f>
      </c>
      <c r="F3670">
        <f>IF(AND(资金台帐!J673&lt;&gt;"",资金台帐!J673=客户对账单!$B$4,资金台帐!P673="应收",ISNUMBER(资金台帐!B673),资金台帐!B673&gt;=客户对账单!$G$4,资金台帐!B673&lt;=客户对账单!$I$4),资金台帐!B673+ROW()/100000,"")</f>
      </c>
      <c r="H3670">
        <f>IF(AND(资金台帐!K2173&lt;&gt;"",资金台帐!K2173=供应商对账单!$B$4,资金台帐!P2173="应付",ISNUMBER(资金台帐!B2173),资金台帐!B2173&gt;=供应商对账单!$G$4,资金台帐!B2173&lt;=供应商对账单!$I$4),资金台帐!B2173+ROW()/100000,"")</f>
      </c>
    </row>
    <row r="3671">
      <c r="A3671">
        <f>IF(OR(出库明细!C2671="",出库明细!D2671=""),"",IF(OR(COUNTIFS(存条明细!$C$4:$C$1003,出库明细!C2671,存条明细!$D$4:$D$1003,出库明细!D2671)&gt;0,COUNTIFS(出库明细!$C$4:C2671,出库明细!C2671,出库明细!$D$4:D2671,出库明细!D2671)&gt;1),"",IFERROR(MATCH(出库明细!C2671,总览汇总!$B$5:$B$304,0),900)*10000000+IFERROR(MATCH(出库明细!D2671,基础资料!$E$5:$E$104,0),900)*10000+ROW()))</f>
      </c>
      <c r="F3671">
        <f>IF(AND(资金台帐!J674&lt;&gt;"",资金台帐!J674=客户对账单!$B$4,资金台帐!P674="应收",ISNUMBER(资金台帐!B674),资金台帐!B674&gt;=客户对账单!$G$4,资金台帐!B674&lt;=客户对账单!$I$4),资金台帐!B674+ROW()/100000,"")</f>
      </c>
      <c r="H3671">
        <f>IF(AND(资金台帐!K2174&lt;&gt;"",资金台帐!K2174=供应商对账单!$B$4,资金台帐!P2174="应付",ISNUMBER(资金台帐!B2174),资金台帐!B2174&gt;=供应商对账单!$G$4,资金台帐!B2174&lt;=供应商对账单!$I$4),资金台帐!B2174+ROW()/100000,"")</f>
      </c>
    </row>
    <row r="3672">
      <c r="A3672">
        <f>IF(OR(出库明细!C2672="",出库明细!D2672=""),"",IF(OR(COUNTIFS(存条明细!$C$4:$C$1003,出库明细!C2672,存条明细!$D$4:$D$1003,出库明细!D2672)&gt;0,COUNTIFS(出库明细!$C$4:C2672,出库明细!C2672,出库明细!$D$4:D2672,出库明细!D2672)&gt;1),"",IFERROR(MATCH(出库明细!C2672,总览汇总!$B$5:$B$304,0),900)*10000000+IFERROR(MATCH(出库明细!D2672,基础资料!$E$5:$E$104,0),900)*10000+ROW()))</f>
      </c>
      <c r="F3672">
        <f>IF(AND(资金台帐!J675&lt;&gt;"",资金台帐!J675=客户对账单!$B$4,资金台帐!P675="应收",ISNUMBER(资金台帐!B675),资金台帐!B675&gt;=客户对账单!$G$4,资金台帐!B675&lt;=客户对账单!$I$4),资金台帐!B675+ROW()/100000,"")</f>
      </c>
      <c r="H3672">
        <f>IF(AND(资金台帐!K2175&lt;&gt;"",资金台帐!K2175=供应商对账单!$B$4,资金台帐!P2175="应付",ISNUMBER(资金台帐!B2175),资金台帐!B2175&gt;=供应商对账单!$G$4,资金台帐!B2175&lt;=供应商对账单!$I$4),资金台帐!B2175+ROW()/100000,"")</f>
      </c>
    </row>
    <row r="3673">
      <c r="A3673">
        <f>IF(OR(出库明细!C2673="",出库明细!D2673=""),"",IF(OR(COUNTIFS(存条明细!$C$4:$C$1003,出库明细!C2673,存条明细!$D$4:$D$1003,出库明细!D2673)&gt;0,COUNTIFS(出库明细!$C$4:C2673,出库明细!C2673,出库明细!$D$4:D2673,出库明细!D2673)&gt;1),"",IFERROR(MATCH(出库明细!C2673,总览汇总!$B$5:$B$304,0),900)*10000000+IFERROR(MATCH(出库明细!D2673,基础资料!$E$5:$E$104,0),900)*10000+ROW()))</f>
      </c>
      <c r="F3673">
        <f>IF(AND(资金台帐!J676&lt;&gt;"",资金台帐!J676=客户对账单!$B$4,资金台帐!P676="应收",ISNUMBER(资金台帐!B676),资金台帐!B676&gt;=客户对账单!$G$4,资金台帐!B676&lt;=客户对账单!$I$4),资金台帐!B676+ROW()/100000,"")</f>
      </c>
      <c r="H3673">
        <f>IF(AND(资金台帐!K2176&lt;&gt;"",资金台帐!K2176=供应商对账单!$B$4,资金台帐!P2176="应付",ISNUMBER(资金台帐!B2176),资金台帐!B2176&gt;=供应商对账单!$G$4,资金台帐!B2176&lt;=供应商对账单!$I$4),资金台帐!B2176+ROW()/100000,"")</f>
      </c>
    </row>
    <row r="3674">
      <c r="A3674">
        <f>IF(OR(出库明细!C2674="",出库明细!D2674=""),"",IF(OR(COUNTIFS(存条明细!$C$4:$C$1003,出库明细!C2674,存条明细!$D$4:$D$1003,出库明细!D2674)&gt;0,COUNTIFS(出库明细!$C$4:C2674,出库明细!C2674,出库明细!$D$4:D2674,出库明细!D2674)&gt;1),"",IFERROR(MATCH(出库明细!C2674,总览汇总!$B$5:$B$304,0),900)*10000000+IFERROR(MATCH(出库明细!D2674,基础资料!$E$5:$E$104,0),900)*10000+ROW()))</f>
      </c>
      <c r="F3674">
        <f>IF(AND(资金台帐!J677&lt;&gt;"",资金台帐!J677=客户对账单!$B$4,资金台帐!P677="应收",ISNUMBER(资金台帐!B677),资金台帐!B677&gt;=客户对账单!$G$4,资金台帐!B677&lt;=客户对账单!$I$4),资金台帐!B677+ROW()/100000,"")</f>
      </c>
      <c r="H3674">
        <f>IF(AND(资金台帐!K2177&lt;&gt;"",资金台帐!K2177=供应商对账单!$B$4,资金台帐!P2177="应付",ISNUMBER(资金台帐!B2177),资金台帐!B2177&gt;=供应商对账单!$G$4,资金台帐!B2177&lt;=供应商对账单!$I$4),资金台帐!B2177+ROW()/100000,"")</f>
      </c>
    </row>
    <row r="3675">
      <c r="A3675">
        <f>IF(OR(出库明细!C2675="",出库明细!D2675=""),"",IF(OR(COUNTIFS(存条明细!$C$4:$C$1003,出库明细!C2675,存条明细!$D$4:$D$1003,出库明细!D2675)&gt;0,COUNTIFS(出库明细!$C$4:C2675,出库明细!C2675,出库明细!$D$4:D2675,出库明细!D2675)&gt;1),"",IFERROR(MATCH(出库明细!C2675,总览汇总!$B$5:$B$304,0),900)*10000000+IFERROR(MATCH(出库明细!D2675,基础资料!$E$5:$E$104,0),900)*10000+ROW()))</f>
      </c>
      <c r="F3675">
        <f>IF(AND(资金台帐!J678&lt;&gt;"",资金台帐!J678=客户对账单!$B$4,资金台帐!P678="应收",ISNUMBER(资金台帐!B678),资金台帐!B678&gt;=客户对账单!$G$4,资金台帐!B678&lt;=客户对账单!$I$4),资金台帐!B678+ROW()/100000,"")</f>
      </c>
      <c r="H3675">
        <f>IF(AND(资金台帐!K2178&lt;&gt;"",资金台帐!K2178=供应商对账单!$B$4,资金台帐!P2178="应付",ISNUMBER(资金台帐!B2178),资金台帐!B2178&gt;=供应商对账单!$G$4,资金台帐!B2178&lt;=供应商对账单!$I$4),资金台帐!B2178+ROW()/100000,"")</f>
      </c>
    </row>
    <row r="3676">
      <c r="A3676">
        <f>IF(OR(出库明细!C2676="",出库明细!D2676=""),"",IF(OR(COUNTIFS(存条明细!$C$4:$C$1003,出库明细!C2676,存条明细!$D$4:$D$1003,出库明细!D2676)&gt;0,COUNTIFS(出库明细!$C$4:C2676,出库明细!C2676,出库明细!$D$4:D2676,出库明细!D2676)&gt;1),"",IFERROR(MATCH(出库明细!C2676,总览汇总!$B$5:$B$304,0),900)*10000000+IFERROR(MATCH(出库明细!D2676,基础资料!$E$5:$E$104,0),900)*10000+ROW()))</f>
      </c>
      <c r="F3676">
        <f>IF(AND(资金台帐!J679&lt;&gt;"",资金台帐!J679=客户对账单!$B$4,资金台帐!P679="应收",ISNUMBER(资金台帐!B679),资金台帐!B679&gt;=客户对账单!$G$4,资金台帐!B679&lt;=客户对账单!$I$4),资金台帐!B679+ROW()/100000,"")</f>
      </c>
      <c r="H3676">
        <f>IF(AND(资金台帐!K2179&lt;&gt;"",资金台帐!K2179=供应商对账单!$B$4,资金台帐!P2179="应付",ISNUMBER(资金台帐!B2179),资金台帐!B2179&gt;=供应商对账单!$G$4,资金台帐!B2179&lt;=供应商对账单!$I$4),资金台帐!B2179+ROW()/100000,"")</f>
      </c>
    </row>
    <row r="3677">
      <c r="A3677">
        <f>IF(OR(出库明细!C2677="",出库明细!D2677=""),"",IF(OR(COUNTIFS(存条明细!$C$4:$C$1003,出库明细!C2677,存条明细!$D$4:$D$1003,出库明细!D2677)&gt;0,COUNTIFS(出库明细!$C$4:C2677,出库明细!C2677,出库明细!$D$4:D2677,出库明细!D2677)&gt;1),"",IFERROR(MATCH(出库明细!C2677,总览汇总!$B$5:$B$304,0),900)*10000000+IFERROR(MATCH(出库明细!D2677,基础资料!$E$5:$E$104,0),900)*10000+ROW()))</f>
      </c>
      <c r="F3677">
        <f>IF(AND(资金台帐!J680&lt;&gt;"",资金台帐!J680=客户对账单!$B$4,资金台帐!P680="应收",ISNUMBER(资金台帐!B680),资金台帐!B680&gt;=客户对账单!$G$4,资金台帐!B680&lt;=客户对账单!$I$4),资金台帐!B680+ROW()/100000,"")</f>
      </c>
      <c r="H3677">
        <f>IF(AND(资金台帐!K2180&lt;&gt;"",资金台帐!K2180=供应商对账单!$B$4,资金台帐!P2180="应付",ISNUMBER(资金台帐!B2180),资金台帐!B2180&gt;=供应商对账单!$G$4,资金台帐!B2180&lt;=供应商对账单!$I$4),资金台帐!B2180+ROW()/100000,"")</f>
      </c>
    </row>
    <row r="3678">
      <c r="A3678">
        <f>IF(OR(出库明细!C2678="",出库明细!D2678=""),"",IF(OR(COUNTIFS(存条明细!$C$4:$C$1003,出库明细!C2678,存条明细!$D$4:$D$1003,出库明细!D2678)&gt;0,COUNTIFS(出库明细!$C$4:C2678,出库明细!C2678,出库明细!$D$4:D2678,出库明细!D2678)&gt;1),"",IFERROR(MATCH(出库明细!C2678,总览汇总!$B$5:$B$304,0),900)*10000000+IFERROR(MATCH(出库明细!D2678,基础资料!$E$5:$E$104,0),900)*10000+ROW()))</f>
      </c>
      <c r="F3678">
        <f>IF(AND(资金台帐!J681&lt;&gt;"",资金台帐!J681=客户对账单!$B$4,资金台帐!P681="应收",ISNUMBER(资金台帐!B681),资金台帐!B681&gt;=客户对账单!$G$4,资金台帐!B681&lt;=客户对账单!$I$4),资金台帐!B681+ROW()/100000,"")</f>
      </c>
      <c r="H3678">
        <f>IF(AND(资金台帐!K2181&lt;&gt;"",资金台帐!K2181=供应商对账单!$B$4,资金台帐!P2181="应付",ISNUMBER(资金台帐!B2181),资金台帐!B2181&gt;=供应商对账单!$G$4,资金台帐!B2181&lt;=供应商对账单!$I$4),资金台帐!B2181+ROW()/100000,"")</f>
      </c>
    </row>
    <row r="3679">
      <c r="A3679">
        <f>IF(OR(出库明细!C2679="",出库明细!D2679=""),"",IF(OR(COUNTIFS(存条明细!$C$4:$C$1003,出库明细!C2679,存条明细!$D$4:$D$1003,出库明细!D2679)&gt;0,COUNTIFS(出库明细!$C$4:C2679,出库明细!C2679,出库明细!$D$4:D2679,出库明细!D2679)&gt;1),"",IFERROR(MATCH(出库明细!C2679,总览汇总!$B$5:$B$304,0),900)*10000000+IFERROR(MATCH(出库明细!D2679,基础资料!$E$5:$E$104,0),900)*10000+ROW()))</f>
      </c>
      <c r="F3679">
        <f>IF(AND(资金台帐!J682&lt;&gt;"",资金台帐!J682=客户对账单!$B$4,资金台帐!P682="应收",ISNUMBER(资金台帐!B682),资金台帐!B682&gt;=客户对账单!$G$4,资金台帐!B682&lt;=客户对账单!$I$4),资金台帐!B682+ROW()/100000,"")</f>
      </c>
      <c r="H3679">
        <f>IF(AND(资金台帐!K2182&lt;&gt;"",资金台帐!K2182=供应商对账单!$B$4,资金台帐!P2182="应付",ISNUMBER(资金台帐!B2182),资金台帐!B2182&gt;=供应商对账单!$G$4,资金台帐!B2182&lt;=供应商对账单!$I$4),资金台帐!B2182+ROW()/100000,"")</f>
      </c>
    </row>
    <row r="3680">
      <c r="A3680">
        <f>IF(OR(出库明细!C2680="",出库明细!D2680=""),"",IF(OR(COUNTIFS(存条明细!$C$4:$C$1003,出库明细!C2680,存条明细!$D$4:$D$1003,出库明细!D2680)&gt;0,COUNTIFS(出库明细!$C$4:C2680,出库明细!C2680,出库明细!$D$4:D2680,出库明细!D2680)&gt;1),"",IFERROR(MATCH(出库明细!C2680,总览汇总!$B$5:$B$304,0),900)*10000000+IFERROR(MATCH(出库明细!D2680,基础资料!$E$5:$E$104,0),900)*10000+ROW()))</f>
      </c>
      <c r="F3680">
        <f>IF(AND(资金台帐!J683&lt;&gt;"",资金台帐!J683=客户对账单!$B$4,资金台帐!P683="应收",ISNUMBER(资金台帐!B683),资金台帐!B683&gt;=客户对账单!$G$4,资金台帐!B683&lt;=客户对账单!$I$4),资金台帐!B683+ROW()/100000,"")</f>
      </c>
      <c r="H3680">
        <f>IF(AND(资金台帐!K2183&lt;&gt;"",资金台帐!K2183=供应商对账单!$B$4,资金台帐!P2183="应付",ISNUMBER(资金台帐!B2183),资金台帐!B2183&gt;=供应商对账单!$G$4,资金台帐!B2183&lt;=供应商对账单!$I$4),资金台帐!B2183+ROW()/100000,"")</f>
      </c>
    </row>
    <row r="3681">
      <c r="A3681">
        <f>IF(OR(出库明细!C2681="",出库明细!D2681=""),"",IF(OR(COUNTIFS(存条明细!$C$4:$C$1003,出库明细!C2681,存条明细!$D$4:$D$1003,出库明细!D2681)&gt;0,COUNTIFS(出库明细!$C$4:C2681,出库明细!C2681,出库明细!$D$4:D2681,出库明细!D2681)&gt;1),"",IFERROR(MATCH(出库明细!C2681,总览汇总!$B$5:$B$304,0),900)*10000000+IFERROR(MATCH(出库明细!D2681,基础资料!$E$5:$E$104,0),900)*10000+ROW()))</f>
      </c>
      <c r="F3681">
        <f>IF(AND(资金台帐!J684&lt;&gt;"",资金台帐!J684=客户对账单!$B$4,资金台帐!P684="应收",ISNUMBER(资金台帐!B684),资金台帐!B684&gt;=客户对账单!$G$4,资金台帐!B684&lt;=客户对账单!$I$4),资金台帐!B684+ROW()/100000,"")</f>
      </c>
      <c r="H3681">
        <f>IF(AND(资金台帐!K2184&lt;&gt;"",资金台帐!K2184=供应商对账单!$B$4,资金台帐!P2184="应付",ISNUMBER(资金台帐!B2184),资金台帐!B2184&gt;=供应商对账单!$G$4,资金台帐!B2184&lt;=供应商对账单!$I$4),资金台帐!B2184+ROW()/100000,"")</f>
      </c>
    </row>
    <row r="3682">
      <c r="A3682">
        <f>IF(OR(出库明细!C2682="",出库明细!D2682=""),"",IF(OR(COUNTIFS(存条明细!$C$4:$C$1003,出库明细!C2682,存条明细!$D$4:$D$1003,出库明细!D2682)&gt;0,COUNTIFS(出库明细!$C$4:C2682,出库明细!C2682,出库明细!$D$4:D2682,出库明细!D2682)&gt;1),"",IFERROR(MATCH(出库明细!C2682,总览汇总!$B$5:$B$304,0),900)*10000000+IFERROR(MATCH(出库明细!D2682,基础资料!$E$5:$E$104,0),900)*10000+ROW()))</f>
      </c>
      <c r="F3682">
        <f>IF(AND(资金台帐!J685&lt;&gt;"",资金台帐!J685=客户对账单!$B$4,资金台帐!P685="应收",ISNUMBER(资金台帐!B685),资金台帐!B685&gt;=客户对账单!$G$4,资金台帐!B685&lt;=客户对账单!$I$4),资金台帐!B685+ROW()/100000,"")</f>
      </c>
      <c r="H3682">
        <f>IF(AND(资金台帐!K2185&lt;&gt;"",资金台帐!K2185=供应商对账单!$B$4,资金台帐!P2185="应付",ISNUMBER(资金台帐!B2185),资金台帐!B2185&gt;=供应商对账单!$G$4,资金台帐!B2185&lt;=供应商对账单!$I$4),资金台帐!B2185+ROW()/100000,"")</f>
      </c>
    </row>
    <row r="3683">
      <c r="A3683">
        <f>IF(OR(出库明细!C2683="",出库明细!D2683=""),"",IF(OR(COUNTIFS(存条明细!$C$4:$C$1003,出库明细!C2683,存条明细!$D$4:$D$1003,出库明细!D2683)&gt;0,COUNTIFS(出库明细!$C$4:C2683,出库明细!C2683,出库明细!$D$4:D2683,出库明细!D2683)&gt;1),"",IFERROR(MATCH(出库明细!C2683,总览汇总!$B$5:$B$304,0),900)*10000000+IFERROR(MATCH(出库明细!D2683,基础资料!$E$5:$E$104,0),900)*10000+ROW()))</f>
      </c>
      <c r="F3683">
        <f>IF(AND(资金台帐!J686&lt;&gt;"",资金台帐!J686=客户对账单!$B$4,资金台帐!P686="应收",ISNUMBER(资金台帐!B686),资金台帐!B686&gt;=客户对账单!$G$4,资金台帐!B686&lt;=客户对账单!$I$4),资金台帐!B686+ROW()/100000,"")</f>
      </c>
      <c r="H3683">
        <f>IF(AND(资金台帐!K2186&lt;&gt;"",资金台帐!K2186=供应商对账单!$B$4,资金台帐!P2186="应付",ISNUMBER(资金台帐!B2186),资金台帐!B2186&gt;=供应商对账单!$G$4,资金台帐!B2186&lt;=供应商对账单!$I$4),资金台帐!B2186+ROW()/100000,"")</f>
      </c>
    </row>
    <row r="3684">
      <c r="A3684">
        <f>IF(OR(出库明细!C2684="",出库明细!D2684=""),"",IF(OR(COUNTIFS(存条明细!$C$4:$C$1003,出库明细!C2684,存条明细!$D$4:$D$1003,出库明细!D2684)&gt;0,COUNTIFS(出库明细!$C$4:C2684,出库明细!C2684,出库明细!$D$4:D2684,出库明细!D2684)&gt;1),"",IFERROR(MATCH(出库明细!C2684,总览汇总!$B$5:$B$304,0),900)*10000000+IFERROR(MATCH(出库明细!D2684,基础资料!$E$5:$E$104,0),900)*10000+ROW()))</f>
      </c>
      <c r="F3684">
        <f>IF(AND(资金台帐!J687&lt;&gt;"",资金台帐!J687=客户对账单!$B$4,资金台帐!P687="应收",ISNUMBER(资金台帐!B687),资金台帐!B687&gt;=客户对账单!$G$4,资金台帐!B687&lt;=客户对账单!$I$4),资金台帐!B687+ROW()/100000,"")</f>
      </c>
      <c r="H3684">
        <f>IF(AND(资金台帐!K2187&lt;&gt;"",资金台帐!K2187=供应商对账单!$B$4,资金台帐!P2187="应付",ISNUMBER(资金台帐!B2187),资金台帐!B2187&gt;=供应商对账单!$G$4,资金台帐!B2187&lt;=供应商对账单!$I$4),资金台帐!B2187+ROW()/100000,"")</f>
      </c>
    </row>
    <row r="3685">
      <c r="A3685">
        <f>IF(OR(出库明细!C2685="",出库明细!D2685=""),"",IF(OR(COUNTIFS(存条明细!$C$4:$C$1003,出库明细!C2685,存条明细!$D$4:$D$1003,出库明细!D2685)&gt;0,COUNTIFS(出库明细!$C$4:C2685,出库明细!C2685,出库明细!$D$4:D2685,出库明细!D2685)&gt;1),"",IFERROR(MATCH(出库明细!C2685,总览汇总!$B$5:$B$304,0),900)*10000000+IFERROR(MATCH(出库明细!D2685,基础资料!$E$5:$E$104,0),900)*10000+ROW()))</f>
      </c>
      <c r="F3685">
        <f>IF(AND(资金台帐!J688&lt;&gt;"",资金台帐!J688=客户对账单!$B$4,资金台帐!P688="应收",ISNUMBER(资金台帐!B688),资金台帐!B688&gt;=客户对账单!$G$4,资金台帐!B688&lt;=客户对账单!$I$4),资金台帐!B688+ROW()/100000,"")</f>
      </c>
      <c r="H3685">
        <f>IF(AND(资金台帐!K2188&lt;&gt;"",资金台帐!K2188=供应商对账单!$B$4,资金台帐!P2188="应付",ISNUMBER(资金台帐!B2188),资金台帐!B2188&gt;=供应商对账单!$G$4,资金台帐!B2188&lt;=供应商对账单!$I$4),资金台帐!B2188+ROW()/100000,"")</f>
      </c>
    </row>
    <row r="3686">
      <c r="A3686">
        <f>IF(OR(出库明细!C2686="",出库明细!D2686=""),"",IF(OR(COUNTIFS(存条明细!$C$4:$C$1003,出库明细!C2686,存条明细!$D$4:$D$1003,出库明细!D2686)&gt;0,COUNTIFS(出库明细!$C$4:C2686,出库明细!C2686,出库明细!$D$4:D2686,出库明细!D2686)&gt;1),"",IFERROR(MATCH(出库明细!C2686,总览汇总!$B$5:$B$304,0),900)*10000000+IFERROR(MATCH(出库明细!D2686,基础资料!$E$5:$E$104,0),900)*10000+ROW()))</f>
      </c>
      <c r="F3686">
        <f>IF(AND(资金台帐!J689&lt;&gt;"",资金台帐!J689=客户对账单!$B$4,资金台帐!P689="应收",ISNUMBER(资金台帐!B689),资金台帐!B689&gt;=客户对账单!$G$4,资金台帐!B689&lt;=客户对账单!$I$4),资金台帐!B689+ROW()/100000,"")</f>
      </c>
      <c r="H3686">
        <f>IF(AND(资金台帐!K2189&lt;&gt;"",资金台帐!K2189=供应商对账单!$B$4,资金台帐!P2189="应付",ISNUMBER(资金台帐!B2189),资金台帐!B2189&gt;=供应商对账单!$G$4,资金台帐!B2189&lt;=供应商对账单!$I$4),资金台帐!B2189+ROW()/100000,"")</f>
      </c>
    </row>
    <row r="3687">
      <c r="A3687">
        <f>IF(OR(出库明细!C2687="",出库明细!D2687=""),"",IF(OR(COUNTIFS(存条明细!$C$4:$C$1003,出库明细!C2687,存条明细!$D$4:$D$1003,出库明细!D2687)&gt;0,COUNTIFS(出库明细!$C$4:C2687,出库明细!C2687,出库明细!$D$4:D2687,出库明细!D2687)&gt;1),"",IFERROR(MATCH(出库明细!C2687,总览汇总!$B$5:$B$304,0),900)*10000000+IFERROR(MATCH(出库明细!D2687,基础资料!$E$5:$E$104,0),900)*10000+ROW()))</f>
      </c>
      <c r="F3687">
        <f>IF(AND(资金台帐!J690&lt;&gt;"",资金台帐!J690=客户对账单!$B$4,资金台帐!P690="应收",ISNUMBER(资金台帐!B690),资金台帐!B690&gt;=客户对账单!$G$4,资金台帐!B690&lt;=客户对账单!$I$4),资金台帐!B690+ROW()/100000,"")</f>
      </c>
      <c r="H3687">
        <f>IF(AND(资金台帐!K2190&lt;&gt;"",资金台帐!K2190=供应商对账单!$B$4,资金台帐!P2190="应付",ISNUMBER(资金台帐!B2190),资金台帐!B2190&gt;=供应商对账单!$G$4,资金台帐!B2190&lt;=供应商对账单!$I$4),资金台帐!B2190+ROW()/100000,"")</f>
      </c>
    </row>
    <row r="3688">
      <c r="A3688">
        <f>IF(OR(出库明细!C2688="",出库明细!D2688=""),"",IF(OR(COUNTIFS(存条明细!$C$4:$C$1003,出库明细!C2688,存条明细!$D$4:$D$1003,出库明细!D2688)&gt;0,COUNTIFS(出库明细!$C$4:C2688,出库明细!C2688,出库明细!$D$4:D2688,出库明细!D2688)&gt;1),"",IFERROR(MATCH(出库明细!C2688,总览汇总!$B$5:$B$304,0),900)*10000000+IFERROR(MATCH(出库明细!D2688,基础资料!$E$5:$E$104,0),900)*10000+ROW()))</f>
      </c>
      <c r="F3688">
        <f>IF(AND(资金台帐!J691&lt;&gt;"",资金台帐!J691=客户对账单!$B$4,资金台帐!P691="应收",ISNUMBER(资金台帐!B691),资金台帐!B691&gt;=客户对账单!$G$4,资金台帐!B691&lt;=客户对账单!$I$4),资金台帐!B691+ROW()/100000,"")</f>
      </c>
      <c r="H3688">
        <f>IF(AND(资金台帐!K2191&lt;&gt;"",资金台帐!K2191=供应商对账单!$B$4,资金台帐!P2191="应付",ISNUMBER(资金台帐!B2191),资金台帐!B2191&gt;=供应商对账单!$G$4,资金台帐!B2191&lt;=供应商对账单!$I$4),资金台帐!B2191+ROW()/100000,"")</f>
      </c>
    </row>
    <row r="3689">
      <c r="A3689">
        <f>IF(OR(出库明细!C2689="",出库明细!D2689=""),"",IF(OR(COUNTIFS(存条明细!$C$4:$C$1003,出库明细!C2689,存条明细!$D$4:$D$1003,出库明细!D2689)&gt;0,COUNTIFS(出库明细!$C$4:C2689,出库明细!C2689,出库明细!$D$4:D2689,出库明细!D2689)&gt;1),"",IFERROR(MATCH(出库明细!C2689,总览汇总!$B$5:$B$304,0),900)*10000000+IFERROR(MATCH(出库明细!D2689,基础资料!$E$5:$E$104,0),900)*10000+ROW()))</f>
      </c>
      <c r="F3689">
        <f>IF(AND(资金台帐!J692&lt;&gt;"",资金台帐!J692=客户对账单!$B$4,资金台帐!P692="应收",ISNUMBER(资金台帐!B692),资金台帐!B692&gt;=客户对账单!$G$4,资金台帐!B692&lt;=客户对账单!$I$4),资金台帐!B692+ROW()/100000,"")</f>
      </c>
      <c r="H3689">
        <f>IF(AND(资金台帐!K2192&lt;&gt;"",资金台帐!K2192=供应商对账单!$B$4,资金台帐!P2192="应付",ISNUMBER(资金台帐!B2192),资金台帐!B2192&gt;=供应商对账单!$G$4,资金台帐!B2192&lt;=供应商对账单!$I$4),资金台帐!B2192+ROW()/100000,"")</f>
      </c>
    </row>
    <row r="3690">
      <c r="A3690">
        <f>IF(OR(出库明细!C2690="",出库明细!D2690=""),"",IF(OR(COUNTIFS(存条明细!$C$4:$C$1003,出库明细!C2690,存条明细!$D$4:$D$1003,出库明细!D2690)&gt;0,COUNTIFS(出库明细!$C$4:C2690,出库明细!C2690,出库明细!$D$4:D2690,出库明细!D2690)&gt;1),"",IFERROR(MATCH(出库明细!C2690,总览汇总!$B$5:$B$304,0),900)*10000000+IFERROR(MATCH(出库明细!D2690,基础资料!$E$5:$E$104,0),900)*10000+ROW()))</f>
      </c>
      <c r="F3690">
        <f>IF(AND(资金台帐!J693&lt;&gt;"",资金台帐!J693=客户对账单!$B$4,资金台帐!P693="应收",ISNUMBER(资金台帐!B693),资金台帐!B693&gt;=客户对账单!$G$4,资金台帐!B693&lt;=客户对账单!$I$4),资金台帐!B693+ROW()/100000,"")</f>
      </c>
      <c r="H3690">
        <f>IF(AND(资金台帐!K2193&lt;&gt;"",资金台帐!K2193=供应商对账单!$B$4,资金台帐!P2193="应付",ISNUMBER(资金台帐!B2193),资金台帐!B2193&gt;=供应商对账单!$G$4,资金台帐!B2193&lt;=供应商对账单!$I$4),资金台帐!B2193+ROW()/100000,"")</f>
      </c>
    </row>
    <row r="3691">
      <c r="A3691">
        <f>IF(OR(出库明细!C2691="",出库明细!D2691=""),"",IF(OR(COUNTIFS(存条明细!$C$4:$C$1003,出库明细!C2691,存条明细!$D$4:$D$1003,出库明细!D2691)&gt;0,COUNTIFS(出库明细!$C$4:C2691,出库明细!C2691,出库明细!$D$4:D2691,出库明细!D2691)&gt;1),"",IFERROR(MATCH(出库明细!C2691,总览汇总!$B$5:$B$304,0),900)*10000000+IFERROR(MATCH(出库明细!D2691,基础资料!$E$5:$E$104,0),900)*10000+ROW()))</f>
      </c>
      <c r="F3691">
        <f>IF(AND(资金台帐!J694&lt;&gt;"",资金台帐!J694=客户对账单!$B$4,资金台帐!P694="应收",ISNUMBER(资金台帐!B694),资金台帐!B694&gt;=客户对账单!$G$4,资金台帐!B694&lt;=客户对账单!$I$4),资金台帐!B694+ROW()/100000,"")</f>
      </c>
      <c r="H3691">
        <f>IF(AND(资金台帐!K2194&lt;&gt;"",资金台帐!K2194=供应商对账单!$B$4,资金台帐!P2194="应付",ISNUMBER(资金台帐!B2194),资金台帐!B2194&gt;=供应商对账单!$G$4,资金台帐!B2194&lt;=供应商对账单!$I$4),资金台帐!B2194+ROW()/100000,"")</f>
      </c>
    </row>
    <row r="3692">
      <c r="A3692">
        <f>IF(OR(出库明细!C2692="",出库明细!D2692=""),"",IF(OR(COUNTIFS(存条明细!$C$4:$C$1003,出库明细!C2692,存条明细!$D$4:$D$1003,出库明细!D2692)&gt;0,COUNTIFS(出库明细!$C$4:C2692,出库明细!C2692,出库明细!$D$4:D2692,出库明细!D2692)&gt;1),"",IFERROR(MATCH(出库明细!C2692,总览汇总!$B$5:$B$304,0),900)*10000000+IFERROR(MATCH(出库明细!D2692,基础资料!$E$5:$E$104,0),900)*10000+ROW()))</f>
      </c>
      <c r="F3692">
        <f>IF(AND(资金台帐!J695&lt;&gt;"",资金台帐!J695=客户对账单!$B$4,资金台帐!P695="应收",ISNUMBER(资金台帐!B695),资金台帐!B695&gt;=客户对账单!$G$4,资金台帐!B695&lt;=客户对账单!$I$4),资金台帐!B695+ROW()/100000,"")</f>
      </c>
      <c r="H3692">
        <f>IF(AND(资金台帐!K2195&lt;&gt;"",资金台帐!K2195=供应商对账单!$B$4,资金台帐!P2195="应付",ISNUMBER(资金台帐!B2195),资金台帐!B2195&gt;=供应商对账单!$G$4,资金台帐!B2195&lt;=供应商对账单!$I$4),资金台帐!B2195+ROW()/100000,"")</f>
      </c>
    </row>
    <row r="3693">
      <c r="A3693">
        <f>IF(OR(出库明细!C2693="",出库明细!D2693=""),"",IF(OR(COUNTIFS(存条明细!$C$4:$C$1003,出库明细!C2693,存条明细!$D$4:$D$1003,出库明细!D2693)&gt;0,COUNTIFS(出库明细!$C$4:C2693,出库明细!C2693,出库明细!$D$4:D2693,出库明细!D2693)&gt;1),"",IFERROR(MATCH(出库明细!C2693,总览汇总!$B$5:$B$304,0),900)*10000000+IFERROR(MATCH(出库明细!D2693,基础资料!$E$5:$E$104,0),900)*10000+ROW()))</f>
      </c>
      <c r="F3693">
        <f>IF(AND(资金台帐!J696&lt;&gt;"",资金台帐!J696=客户对账单!$B$4,资金台帐!P696="应收",ISNUMBER(资金台帐!B696),资金台帐!B696&gt;=客户对账单!$G$4,资金台帐!B696&lt;=客户对账单!$I$4),资金台帐!B696+ROW()/100000,"")</f>
      </c>
      <c r="H3693">
        <f>IF(AND(资金台帐!K2196&lt;&gt;"",资金台帐!K2196=供应商对账单!$B$4,资金台帐!P2196="应付",ISNUMBER(资金台帐!B2196),资金台帐!B2196&gt;=供应商对账单!$G$4,资金台帐!B2196&lt;=供应商对账单!$I$4),资金台帐!B2196+ROW()/100000,"")</f>
      </c>
    </row>
    <row r="3694">
      <c r="A3694">
        <f>IF(OR(出库明细!C2694="",出库明细!D2694=""),"",IF(OR(COUNTIFS(存条明细!$C$4:$C$1003,出库明细!C2694,存条明细!$D$4:$D$1003,出库明细!D2694)&gt;0,COUNTIFS(出库明细!$C$4:C2694,出库明细!C2694,出库明细!$D$4:D2694,出库明细!D2694)&gt;1),"",IFERROR(MATCH(出库明细!C2694,总览汇总!$B$5:$B$304,0),900)*10000000+IFERROR(MATCH(出库明细!D2694,基础资料!$E$5:$E$104,0),900)*10000+ROW()))</f>
      </c>
      <c r="F3694">
        <f>IF(AND(资金台帐!J697&lt;&gt;"",资金台帐!J697=客户对账单!$B$4,资金台帐!P697="应收",ISNUMBER(资金台帐!B697),资金台帐!B697&gt;=客户对账单!$G$4,资金台帐!B697&lt;=客户对账单!$I$4),资金台帐!B697+ROW()/100000,"")</f>
      </c>
      <c r="H3694">
        <f>IF(AND(资金台帐!K2197&lt;&gt;"",资金台帐!K2197=供应商对账单!$B$4,资金台帐!P2197="应付",ISNUMBER(资金台帐!B2197),资金台帐!B2197&gt;=供应商对账单!$G$4,资金台帐!B2197&lt;=供应商对账单!$I$4),资金台帐!B2197+ROW()/100000,"")</f>
      </c>
    </row>
    <row r="3695">
      <c r="A3695">
        <f>IF(OR(出库明细!C2695="",出库明细!D2695=""),"",IF(OR(COUNTIFS(存条明细!$C$4:$C$1003,出库明细!C2695,存条明细!$D$4:$D$1003,出库明细!D2695)&gt;0,COUNTIFS(出库明细!$C$4:C2695,出库明细!C2695,出库明细!$D$4:D2695,出库明细!D2695)&gt;1),"",IFERROR(MATCH(出库明细!C2695,总览汇总!$B$5:$B$304,0),900)*10000000+IFERROR(MATCH(出库明细!D2695,基础资料!$E$5:$E$104,0),900)*10000+ROW()))</f>
      </c>
      <c r="F3695">
        <f>IF(AND(资金台帐!J698&lt;&gt;"",资金台帐!J698=客户对账单!$B$4,资金台帐!P698="应收",ISNUMBER(资金台帐!B698),资金台帐!B698&gt;=客户对账单!$G$4,资金台帐!B698&lt;=客户对账单!$I$4),资金台帐!B698+ROW()/100000,"")</f>
      </c>
      <c r="H3695">
        <f>IF(AND(资金台帐!K2198&lt;&gt;"",资金台帐!K2198=供应商对账单!$B$4,资金台帐!P2198="应付",ISNUMBER(资金台帐!B2198),资金台帐!B2198&gt;=供应商对账单!$G$4,资金台帐!B2198&lt;=供应商对账单!$I$4),资金台帐!B2198+ROW()/100000,"")</f>
      </c>
    </row>
    <row r="3696">
      <c r="A3696">
        <f>IF(OR(出库明细!C2696="",出库明细!D2696=""),"",IF(OR(COUNTIFS(存条明细!$C$4:$C$1003,出库明细!C2696,存条明细!$D$4:$D$1003,出库明细!D2696)&gt;0,COUNTIFS(出库明细!$C$4:C2696,出库明细!C2696,出库明细!$D$4:D2696,出库明细!D2696)&gt;1),"",IFERROR(MATCH(出库明细!C2696,总览汇总!$B$5:$B$304,0),900)*10000000+IFERROR(MATCH(出库明细!D2696,基础资料!$E$5:$E$104,0),900)*10000+ROW()))</f>
      </c>
      <c r="F3696">
        <f>IF(AND(资金台帐!J699&lt;&gt;"",资金台帐!J699=客户对账单!$B$4,资金台帐!P699="应收",ISNUMBER(资金台帐!B699),资金台帐!B699&gt;=客户对账单!$G$4,资金台帐!B699&lt;=客户对账单!$I$4),资金台帐!B699+ROW()/100000,"")</f>
      </c>
      <c r="H3696">
        <f>IF(AND(资金台帐!K2199&lt;&gt;"",资金台帐!K2199=供应商对账单!$B$4,资金台帐!P2199="应付",ISNUMBER(资金台帐!B2199),资金台帐!B2199&gt;=供应商对账单!$G$4,资金台帐!B2199&lt;=供应商对账单!$I$4),资金台帐!B2199+ROW()/100000,"")</f>
      </c>
    </row>
    <row r="3697">
      <c r="A3697">
        <f>IF(OR(出库明细!C2697="",出库明细!D2697=""),"",IF(OR(COUNTIFS(存条明细!$C$4:$C$1003,出库明细!C2697,存条明细!$D$4:$D$1003,出库明细!D2697)&gt;0,COUNTIFS(出库明细!$C$4:C2697,出库明细!C2697,出库明细!$D$4:D2697,出库明细!D2697)&gt;1),"",IFERROR(MATCH(出库明细!C2697,总览汇总!$B$5:$B$304,0),900)*10000000+IFERROR(MATCH(出库明细!D2697,基础资料!$E$5:$E$104,0),900)*10000+ROW()))</f>
      </c>
      <c r="F3697">
        <f>IF(AND(资金台帐!J700&lt;&gt;"",资金台帐!J700=客户对账单!$B$4,资金台帐!P700="应收",ISNUMBER(资金台帐!B700),资金台帐!B700&gt;=客户对账单!$G$4,资金台帐!B700&lt;=客户对账单!$I$4),资金台帐!B700+ROW()/100000,"")</f>
      </c>
      <c r="H3697">
        <f>IF(AND(资金台帐!K2200&lt;&gt;"",资金台帐!K2200=供应商对账单!$B$4,资金台帐!P2200="应付",ISNUMBER(资金台帐!B2200),资金台帐!B2200&gt;=供应商对账单!$G$4,资金台帐!B2200&lt;=供应商对账单!$I$4),资金台帐!B2200+ROW()/100000,"")</f>
      </c>
    </row>
    <row r="3698">
      <c r="A3698">
        <f>IF(OR(出库明细!C2698="",出库明细!D2698=""),"",IF(OR(COUNTIFS(存条明细!$C$4:$C$1003,出库明细!C2698,存条明细!$D$4:$D$1003,出库明细!D2698)&gt;0,COUNTIFS(出库明细!$C$4:C2698,出库明细!C2698,出库明细!$D$4:D2698,出库明细!D2698)&gt;1),"",IFERROR(MATCH(出库明细!C2698,总览汇总!$B$5:$B$304,0),900)*10000000+IFERROR(MATCH(出库明细!D2698,基础资料!$E$5:$E$104,0),900)*10000+ROW()))</f>
      </c>
      <c r="F3698">
        <f>IF(AND(资金台帐!J701&lt;&gt;"",资金台帐!J701=客户对账单!$B$4,资金台帐!P701="应收",ISNUMBER(资金台帐!B701),资金台帐!B701&gt;=客户对账单!$G$4,资金台帐!B701&lt;=客户对账单!$I$4),资金台帐!B701+ROW()/100000,"")</f>
      </c>
      <c r="H3698">
        <f>IF(AND(资金台帐!K2201&lt;&gt;"",资金台帐!K2201=供应商对账单!$B$4,资金台帐!P2201="应付",ISNUMBER(资金台帐!B2201),资金台帐!B2201&gt;=供应商对账单!$G$4,资金台帐!B2201&lt;=供应商对账单!$I$4),资金台帐!B2201+ROW()/100000,"")</f>
      </c>
    </row>
    <row r="3699">
      <c r="A3699">
        <f>IF(OR(出库明细!C2699="",出库明细!D2699=""),"",IF(OR(COUNTIFS(存条明细!$C$4:$C$1003,出库明细!C2699,存条明细!$D$4:$D$1003,出库明细!D2699)&gt;0,COUNTIFS(出库明细!$C$4:C2699,出库明细!C2699,出库明细!$D$4:D2699,出库明细!D2699)&gt;1),"",IFERROR(MATCH(出库明细!C2699,总览汇总!$B$5:$B$304,0),900)*10000000+IFERROR(MATCH(出库明细!D2699,基础资料!$E$5:$E$104,0),900)*10000+ROW()))</f>
      </c>
      <c r="F3699">
        <f>IF(AND(资金台帐!J702&lt;&gt;"",资金台帐!J702=客户对账单!$B$4,资金台帐!P702="应收",ISNUMBER(资金台帐!B702),资金台帐!B702&gt;=客户对账单!$G$4,资金台帐!B702&lt;=客户对账单!$I$4),资金台帐!B702+ROW()/100000,"")</f>
      </c>
      <c r="H3699">
        <f>IF(AND(资金台帐!K2202&lt;&gt;"",资金台帐!K2202=供应商对账单!$B$4,资金台帐!P2202="应付",ISNUMBER(资金台帐!B2202),资金台帐!B2202&gt;=供应商对账单!$G$4,资金台帐!B2202&lt;=供应商对账单!$I$4),资金台帐!B2202+ROW()/100000,"")</f>
      </c>
    </row>
    <row r="3700">
      <c r="A3700">
        <f>IF(OR(出库明细!C2700="",出库明细!D2700=""),"",IF(OR(COUNTIFS(存条明细!$C$4:$C$1003,出库明细!C2700,存条明细!$D$4:$D$1003,出库明细!D2700)&gt;0,COUNTIFS(出库明细!$C$4:C2700,出库明细!C2700,出库明细!$D$4:D2700,出库明细!D2700)&gt;1),"",IFERROR(MATCH(出库明细!C2700,总览汇总!$B$5:$B$304,0),900)*10000000+IFERROR(MATCH(出库明细!D2700,基础资料!$E$5:$E$104,0),900)*10000+ROW()))</f>
      </c>
      <c r="F3700">
        <f>IF(AND(资金台帐!J703&lt;&gt;"",资金台帐!J703=客户对账单!$B$4,资金台帐!P703="应收",ISNUMBER(资金台帐!B703),资金台帐!B703&gt;=客户对账单!$G$4,资金台帐!B703&lt;=客户对账单!$I$4),资金台帐!B703+ROW()/100000,"")</f>
      </c>
      <c r="H3700">
        <f>IF(AND(资金台帐!K2203&lt;&gt;"",资金台帐!K2203=供应商对账单!$B$4,资金台帐!P2203="应付",ISNUMBER(资金台帐!B2203),资金台帐!B2203&gt;=供应商对账单!$G$4,资金台帐!B2203&lt;=供应商对账单!$I$4),资金台帐!B2203+ROW()/100000,"")</f>
      </c>
    </row>
    <row r="3701">
      <c r="A3701">
        <f>IF(OR(出库明细!C2701="",出库明细!D2701=""),"",IF(OR(COUNTIFS(存条明细!$C$4:$C$1003,出库明细!C2701,存条明细!$D$4:$D$1003,出库明细!D2701)&gt;0,COUNTIFS(出库明细!$C$4:C2701,出库明细!C2701,出库明细!$D$4:D2701,出库明细!D2701)&gt;1),"",IFERROR(MATCH(出库明细!C2701,总览汇总!$B$5:$B$304,0),900)*10000000+IFERROR(MATCH(出库明细!D2701,基础资料!$E$5:$E$104,0),900)*10000+ROW()))</f>
      </c>
      <c r="F3701">
        <f>IF(AND(资金台帐!J704&lt;&gt;"",资金台帐!J704=客户对账单!$B$4,资金台帐!P704="应收",ISNUMBER(资金台帐!B704),资金台帐!B704&gt;=客户对账单!$G$4,资金台帐!B704&lt;=客户对账单!$I$4),资金台帐!B704+ROW()/100000,"")</f>
      </c>
      <c r="H3701">
        <f>IF(AND(资金台帐!K2204&lt;&gt;"",资金台帐!K2204=供应商对账单!$B$4,资金台帐!P2204="应付",ISNUMBER(资金台帐!B2204),资金台帐!B2204&gt;=供应商对账单!$G$4,资金台帐!B2204&lt;=供应商对账单!$I$4),资金台帐!B2204+ROW()/100000,"")</f>
      </c>
    </row>
    <row r="3702">
      <c r="A3702">
        <f>IF(OR(出库明细!C2702="",出库明细!D2702=""),"",IF(OR(COUNTIFS(存条明细!$C$4:$C$1003,出库明细!C2702,存条明细!$D$4:$D$1003,出库明细!D2702)&gt;0,COUNTIFS(出库明细!$C$4:C2702,出库明细!C2702,出库明细!$D$4:D2702,出库明细!D2702)&gt;1),"",IFERROR(MATCH(出库明细!C2702,总览汇总!$B$5:$B$304,0),900)*10000000+IFERROR(MATCH(出库明细!D2702,基础资料!$E$5:$E$104,0),900)*10000+ROW()))</f>
      </c>
      <c r="F3702">
        <f>IF(AND(资金台帐!J705&lt;&gt;"",资金台帐!J705=客户对账单!$B$4,资金台帐!P705="应收",ISNUMBER(资金台帐!B705),资金台帐!B705&gt;=客户对账单!$G$4,资金台帐!B705&lt;=客户对账单!$I$4),资金台帐!B705+ROW()/100000,"")</f>
      </c>
      <c r="H3702">
        <f>IF(AND(资金台帐!K2205&lt;&gt;"",资金台帐!K2205=供应商对账单!$B$4,资金台帐!P2205="应付",ISNUMBER(资金台帐!B2205),资金台帐!B2205&gt;=供应商对账单!$G$4,资金台帐!B2205&lt;=供应商对账单!$I$4),资金台帐!B2205+ROW()/100000,"")</f>
      </c>
    </row>
    <row r="3703">
      <c r="A3703">
        <f>IF(OR(出库明细!C2703="",出库明细!D2703=""),"",IF(OR(COUNTIFS(存条明细!$C$4:$C$1003,出库明细!C2703,存条明细!$D$4:$D$1003,出库明细!D2703)&gt;0,COUNTIFS(出库明细!$C$4:C2703,出库明细!C2703,出库明细!$D$4:D2703,出库明细!D2703)&gt;1),"",IFERROR(MATCH(出库明细!C2703,总览汇总!$B$5:$B$304,0),900)*10000000+IFERROR(MATCH(出库明细!D2703,基础资料!$E$5:$E$104,0),900)*10000+ROW()))</f>
      </c>
      <c r="F3703">
        <f>IF(AND(资金台帐!J706&lt;&gt;"",资金台帐!J706=客户对账单!$B$4,资金台帐!P706="应收",ISNUMBER(资金台帐!B706),资金台帐!B706&gt;=客户对账单!$G$4,资金台帐!B706&lt;=客户对账单!$I$4),资金台帐!B706+ROW()/100000,"")</f>
      </c>
      <c r="H3703">
        <f>IF(AND(资金台帐!K2206&lt;&gt;"",资金台帐!K2206=供应商对账单!$B$4,资金台帐!P2206="应付",ISNUMBER(资金台帐!B2206),资金台帐!B2206&gt;=供应商对账单!$G$4,资金台帐!B2206&lt;=供应商对账单!$I$4),资金台帐!B2206+ROW()/100000,"")</f>
      </c>
    </row>
    <row r="3704">
      <c r="A3704">
        <f>IF(OR(出库明细!C2704="",出库明细!D2704=""),"",IF(OR(COUNTIFS(存条明细!$C$4:$C$1003,出库明细!C2704,存条明细!$D$4:$D$1003,出库明细!D2704)&gt;0,COUNTIFS(出库明细!$C$4:C2704,出库明细!C2704,出库明细!$D$4:D2704,出库明细!D2704)&gt;1),"",IFERROR(MATCH(出库明细!C2704,总览汇总!$B$5:$B$304,0),900)*10000000+IFERROR(MATCH(出库明细!D2704,基础资料!$E$5:$E$104,0),900)*10000+ROW()))</f>
      </c>
      <c r="F3704">
        <f>IF(AND(资金台帐!J707&lt;&gt;"",资金台帐!J707=客户对账单!$B$4,资金台帐!P707="应收",ISNUMBER(资金台帐!B707),资金台帐!B707&gt;=客户对账单!$G$4,资金台帐!B707&lt;=客户对账单!$I$4),资金台帐!B707+ROW()/100000,"")</f>
      </c>
      <c r="H3704">
        <f>IF(AND(资金台帐!K2207&lt;&gt;"",资金台帐!K2207=供应商对账单!$B$4,资金台帐!P2207="应付",ISNUMBER(资金台帐!B2207),资金台帐!B2207&gt;=供应商对账单!$G$4,资金台帐!B2207&lt;=供应商对账单!$I$4),资金台帐!B2207+ROW()/100000,"")</f>
      </c>
    </row>
    <row r="3705">
      <c r="A3705">
        <f>IF(OR(出库明细!C2705="",出库明细!D2705=""),"",IF(OR(COUNTIFS(存条明细!$C$4:$C$1003,出库明细!C2705,存条明细!$D$4:$D$1003,出库明细!D2705)&gt;0,COUNTIFS(出库明细!$C$4:C2705,出库明细!C2705,出库明细!$D$4:D2705,出库明细!D2705)&gt;1),"",IFERROR(MATCH(出库明细!C2705,总览汇总!$B$5:$B$304,0),900)*10000000+IFERROR(MATCH(出库明细!D2705,基础资料!$E$5:$E$104,0),900)*10000+ROW()))</f>
      </c>
      <c r="F3705">
        <f>IF(AND(资金台帐!J708&lt;&gt;"",资金台帐!J708=客户对账单!$B$4,资金台帐!P708="应收",ISNUMBER(资金台帐!B708),资金台帐!B708&gt;=客户对账单!$G$4,资金台帐!B708&lt;=客户对账单!$I$4),资金台帐!B708+ROW()/100000,"")</f>
      </c>
      <c r="H3705">
        <f>IF(AND(资金台帐!K2208&lt;&gt;"",资金台帐!K2208=供应商对账单!$B$4,资金台帐!P2208="应付",ISNUMBER(资金台帐!B2208),资金台帐!B2208&gt;=供应商对账单!$G$4,资金台帐!B2208&lt;=供应商对账单!$I$4),资金台帐!B2208+ROW()/100000,"")</f>
      </c>
    </row>
    <row r="3706">
      <c r="A3706">
        <f>IF(OR(出库明细!C2706="",出库明细!D2706=""),"",IF(OR(COUNTIFS(存条明细!$C$4:$C$1003,出库明细!C2706,存条明细!$D$4:$D$1003,出库明细!D2706)&gt;0,COUNTIFS(出库明细!$C$4:C2706,出库明细!C2706,出库明细!$D$4:D2706,出库明细!D2706)&gt;1),"",IFERROR(MATCH(出库明细!C2706,总览汇总!$B$5:$B$304,0),900)*10000000+IFERROR(MATCH(出库明细!D2706,基础资料!$E$5:$E$104,0),900)*10000+ROW()))</f>
      </c>
      <c r="F3706">
        <f>IF(AND(资金台帐!J709&lt;&gt;"",资金台帐!J709=客户对账单!$B$4,资金台帐!P709="应收",ISNUMBER(资金台帐!B709),资金台帐!B709&gt;=客户对账单!$G$4,资金台帐!B709&lt;=客户对账单!$I$4),资金台帐!B709+ROW()/100000,"")</f>
      </c>
      <c r="H3706">
        <f>IF(AND(资金台帐!K2209&lt;&gt;"",资金台帐!K2209=供应商对账单!$B$4,资金台帐!P2209="应付",ISNUMBER(资金台帐!B2209),资金台帐!B2209&gt;=供应商对账单!$G$4,资金台帐!B2209&lt;=供应商对账单!$I$4),资金台帐!B2209+ROW()/100000,"")</f>
      </c>
    </row>
    <row r="3707">
      <c r="A3707">
        <f>IF(OR(出库明细!C2707="",出库明细!D2707=""),"",IF(OR(COUNTIFS(存条明细!$C$4:$C$1003,出库明细!C2707,存条明细!$D$4:$D$1003,出库明细!D2707)&gt;0,COUNTIFS(出库明细!$C$4:C2707,出库明细!C2707,出库明细!$D$4:D2707,出库明细!D2707)&gt;1),"",IFERROR(MATCH(出库明细!C2707,总览汇总!$B$5:$B$304,0),900)*10000000+IFERROR(MATCH(出库明细!D2707,基础资料!$E$5:$E$104,0),900)*10000+ROW()))</f>
      </c>
      <c r="F3707">
        <f>IF(AND(资金台帐!J710&lt;&gt;"",资金台帐!J710=客户对账单!$B$4,资金台帐!P710="应收",ISNUMBER(资金台帐!B710),资金台帐!B710&gt;=客户对账单!$G$4,资金台帐!B710&lt;=客户对账单!$I$4),资金台帐!B710+ROW()/100000,"")</f>
      </c>
      <c r="H3707">
        <f>IF(AND(资金台帐!K2210&lt;&gt;"",资金台帐!K2210=供应商对账单!$B$4,资金台帐!P2210="应付",ISNUMBER(资金台帐!B2210),资金台帐!B2210&gt;=供应商对账单!$G$4,资金台帐!B2210&lt;=供应商对账单!$I$4),资金台帐!B2210+ROW()/100000,"")</f>
      </c>
    </row>
    <row r="3708">
      <c r="A3708">
        <f>IF(OR(出库明细!C2708="",出库明细!D2708=""),"",IF(OR(COUNTIFS(存条明细!$C$4:$C$1003,出库明细!C2708,存条明细!$D$4:$D$1003,出库明细!D2708)&gt;0,COUNTIFS(出库明细!$C$4:C2708,出库明细!C2708,出库明细!$D$4:D2708,出库明细!D2708)&gt;1),"",IFERROR(MATCH(出库明细!C2708,总览汇总!$B$5:$B$304,0),900)*10000000+IFERROR(MATCH(出库明细!D2708,基础资料!$E$5:$E$104,0),900)*10000+ROW()))</f>
      </c>
      <c r="F3708">
        <f>IF(AND(资金台帐!J711&lt;&gt;"",资金台帐!J711=客户对账单!$B$4,资金台帐!P711="应收",ISNUMBER(资金台帐!B711),资金台帐!B711&gt;=客户对账单!$G$4,资金台帐!B711&lt;=客户对账单!$I$4),资金台帐!B711+ROW()/100000,"")</f>
      </c>
      <c r="H3708">
        <f>IF(AND(资金台帐!K2211&lt;&gt;"",资金台帐!K2211=供应商对账单!$B$4,资金台帐!P2211="应付",ISNUMBER(资金台帐!B2211),资金台帐!B2211&gt;=供应商对账单!$G$4,资金台帐!B2211&lt;=供应商对账单!$I$4),资金台帐!B2211+ROW()/100000,"")</f>
      </c>
    </row>
    <row r="3709">
      <c r="A3709">
        <f>IF(OR(出库明细!C2709="",出库明细!D2709=""),"",IF(OR(COUNTIFS(存条明细!$C$4:$C$1003,出库明细!C2709,存条明细!$D$4:$D$1003,出库明细!D2709)&gt;0,COUNTIFS(出库明细!$C$4:C2709,出库明细!C2709,出库明细!$D$4:D2709,出库明细!D2709)&gt;1),"",IFERROR(MATCH(出库明细!C2709,总览汇总!$B$5:$B$304,0),900)*10000000+IFERROR(MATCH(出库明细!D2709,基础资料!$E$5:$E$104,0),900)*10000+ROW()))</f>
      </c>
      <c r="F3709">
        <f>IF(AND(资金台帐!J712&lt;&gt;"",资金台帐!J712=客户对账单!$B$4,资金台帐!P712="应收",ISNUMBER(资金台帐!B712),资金台帐!B712&gt;=客户对账单!$G$4,资金台帐!B712&lt;=客户对账单!$I$4),资金台帐!B712+ROW()/100000,"")</f>
      </c>
      <c r="H3709">
        <f>IF(AND(资金台帐!K2212&lt;&gt;"",资金台帐!K2212=供应商对账单!$B$4,资金台帐!P2212="应付",ISNUMBER(资金台帐!B2212),资金台帐!B2212&gt;=供应商对账单!$G$4,资金台帐!B2212&lt;=供应商对账单!$I$4),资金台帐!B2212+ROW()/100000,"")</f>
      </c>
    </row>
    <row r="3710">
      <c r="A3710">
        <f>IF(OR(出库明细!C2710="",出库明细!D2710=""),"",IF(OR(COUNTIFS(存条明细!$C$4:$C$1003,出库明细!C2710,存条明细!$D$4:$D$1003,出库明细!D2710)&gt;0,COUNTIFS(出库明细!$C$4:C2710,出库明细!C2710,出库明细!$D$4:D2710,出库明细!D2710)&gt;1),"",IFERROR(MATCH(出库明细!C2710,总览汇总!$B$5:$B$304,0),900)*10000000+IFERROR(MATCH(出库明细!D2710,基础资料!$E$5:$E$104,0),900)*10000+ROW()))</f>
      </c>
      <c r="F3710">
        <f>IF(AND(资金台帐!J713&lt;&gt;"",资金台帐!J713=客户对账单!$B$4,资金台帐!P713="应收",ISNUMBER(资金台帐!B713),资金台帐!B713&gt;=客户对账单!$G$4,资金台帐!B713&lt;=客户对账单!$I$4),资金台帐!B713+ROW()/100000,"")</f>
      </c>
      <c r="H3710">
        <f>IF(AND(资金台帐!K2213&lt;&gt;"",资金台帐!K2213=供应商对账单!$B$4,资金台帐!P2213="应付",ISNUMBER(资金台帐!B2213),资金台帐!B2213&gt;=供应商对账单!$G$4,资金台帐!B2213&lt;=供应商对账单!$I$4),资金台帐!B2213+ROW()/100000,"")</f>
      </c>
    </row>
    <row r="3711">
      <c r="A3711">
        <f>IF(OR(出库明细!C2711="",出库明细!D2711=""),"",IF(OR(COUNTIFS(存条明细!$C$4:$C$1003,出库明细!C2711,存条明细!$D$4:$D$1003,出库明细!D2711)&gt;0,COUNTIFS(出库明细!$C$4:C2711,出库明细!C2711,出库明细!$D$4:D2711,出库明细!D2711)&gt;1),"",IFERROR(MATCH(出库明细!C2711,总览汇总!$B$5:$B$304,0),900)*10000000+IFERROR(MATCH(出库明细!D2711,基础资料!$E$5:$E$104,0),900)*10000+ROW()))</f>
      </c>
      <c r="F3711">
        <f>IF(AND(资金台帐!J714&lt;&gt;"",资金台帐!J714=客户对账单!$B$4,资金台帐!P714="应收",ISNUMBER(资金台帐!B714),资金台帐!B714&gt;=客户对账单!$G$4,资金台帐!B714&lt;=客户对账单!$I$4),资金台帐!B714+ROW()/100000,"")</f>
      </c>
      <c r="H3711">
        <f>IF(AND(资金台帐!K2214&lt;&gt;"",资金台帐!K2214=供应商对账单!$B$4,资金台帐!P2214="应付",ISNUMBER(资金台帐!B2214),资金台帐!B2214&gt;=供应商对账单!$G$4,资金台帐!B2214&lt;=供应商对账单!$I$4),资金台帐!B2214+ROW()/100000,"")</f>
      </c>
    </row>
    <row r="3712">
      <c r="A3712">
        <f>IF(OR(出库明细!C2712="",出库明细!D2712=""),"",IF(OR(COUNTIFS(存条明细!$C$4:$C$1003,出库明细!C2712,存条明细!$D$4:$D$1003,出库明细!D2712)&gt;0,COUNTIFS(出库明细!$C$4:C2712,出库明细!C2712,出库明细!$D$4:D2712,出库明细!D2712)&gt;1),"",IFERROR(MATCH(出库明细!C2712,总览汇总!$B$5:$B$304,0),900)*10000000+IFERROR(MATCH(出库明细!D2712,基础资料!$E$5:$E$104,0),900)*10000+ROW()))</f>
      </c>
      <c r="F3712">
        <f>IF(AND(资金台帐!J715&lt;&gt;"",资金台帐!J715=客户对账单!$B$4,资金台帐!P715="应收",ISNUMBER(资金台帐!B715),资金台帐!B715&gt;=客户对账单!$G$4,资金台帐!B715&lt;=客户对账单!$I$4),资金台帐!B715+ROW()/100000,"")</f>
      </c>
      <c r="H3712">
        <f>IF(AND(资金台帐!K2215&lt;&gt;"",资金台帐!K2215=供应商对账单!$B$4,资金台帐!P2215="应付",ISNUMBER(资金台帐!B2215),资金台帐!B2215&gt;=供应商对账单!$G$4,资金台帐!B2215&lt;=供应商对账单!$I$4),资金台帐!B2215+ROW()/100000,"")</f>
      </c>
    </row>
    <row r="3713">
      <c r="A3713">
        <f>IF(OR(出库明细!C2713="",出库明细!D2713=""),"",IF(OR(COUNTIFS(存条明细!$C$4:$C$1003,出库明细!C2713,存条明细!$D$4:$D$1003,出库明细!D2713)&gt;0,COUNTIFS(出库明细!$C$4:C2713,出库明细!C2713,出库明细!$D$4:D2713,出库明细!D2713)&gt;1),"",IFERROR(MATCH(出库明细!C2713,总览汇总!$B$5:$B$304,0),900)*10000000+IFERROR(MATCH(出库明细!D2713,基础资料!$E$5:$E$104,0),900)*10000+ROW()))</f>
      </c>
      <c r="F3713">
        <f>IF(AND(资金台帐!J716&lt;&gt;"",资金台帐!J716=客户对账单!$B$4,资金台帐!P716="应收",ISNUMBER(资金台帐!B716),资金台帐!B716&gt;=客户对账单!$G$4,资金台帐!B716&lt;=客户对账单!$I$4),资金台帐!B716+ROW()/100000,"")</f>
      </c>
      <c r="H3713">
        <f>IF(AND(资金台帐!K2216&lt;&gt;"",资金台帐!K2216=供应商对账单!$B$4,资金台帐!P2216="应付",ISNUMBER(资金台帐!B2216),资金台帐!B2216&gt;=供应商对账单!$G$4,资金台帐!B2216&lt;=供应商对账单!$I$4),资金台帐!B2216+ROW()/100000,"")</f>
      </c>
    </row>
    <row r="3714">
      <c r="A3714">
        <f>IF(OR(出库明细!C2714="",出库明细!D2714=""),"",IF(OR(COUNTIFS(存条明细!$C$4:$C$1003,出库明细!C2714,存条明细!$D$4:$D$1003,出库明细!D2714)&gt;0,COUNTIFS(出库明细!$C$4:C2714,出库明细!C2714,出库明细!$D$4:D2714,出库明细!D2714)&gt;1),"",IFERROR(MATCH(出库明细!C2714,总览汇总!$B$5:$B$304,0),900)*10000000+IFERROR(MATCH(出库明细!D2714,基础资料!$E$5:$E$104,0),900)*10000+ROW()))</f>
      </c>
      <c r="F3714">
        <f>IF(AND(资金台帐!J717&lt;&gt;"",资金台帐!J717=客户对账单!$B$4,资金台帐!P717="应收",ISNUMBER(资金台帐!B717),资金台帐!B717&gt;=客户对账单!$G$4,资金台帐!B717&lt;=客户对账单!$I$4),资金台帐!B717+ROW()/100000,"")</f>
      </c>
      <c r="H3714">
        <f>IF(AND(资金台帐!K2217&lt;&gt;"",资金台帐!K2217=供应商对账单!$B$4,资金台帐!P2217="应付",ISNUMBER(资金台帐!B2217),资金台帐!B2217&gt;=供应商对账单!$G$4,资金台帐!B2217&lt;=供应商对账单!$I$4),资金台帐!B2217+ROW()/100000,"")</f>
      </c>
    </row>
    <row r="3715">
      <c r="A3715">
        <f>IF(OR(出库明细!C2715="",出库明细!D2715=""),"",IF(OR(COUNTIFS(存条明细!$C$4:$C$1003,出库明细!C2715,存条明细!$D$4:$D$1003,出库明细!D2715)&gt;0,COUNTIFS(出库明细!$C$4:C2715,出库明细!C2715,出库明细!$D$4:D2715,出库明细!D2715)&gt;1),"",IFERROR(MATCH(出库明细!C2715,总览汇总!$B$5:$B$304,0),900)*10000000+IFERROR(MATCH(出库明细!D2715,基础资料!$E$5:$E$104,0),900)*10000+ROW()))</f>
      </c>
      <c r="F3715">
        <f>IF(AND(资金台帐!J718&lt;&gt;"",资金台帐!J718=客户对账单!$B$4,资金台帐!P718="应收",ISNUMBER(资金台帐!B718),资金台帐!B718&gt;=客户对账单!$G$4,资金台帐!B718&lt;=客户对账单!$I$4),资金台帐!B718+ROW()/100000,"")</f>
      </c>
      <c r="H3715">
        <f>IF(AND(资金台帐!K2218&lt;&gt;"",资金台帐!K2218=供应商对账单!$B$4,资金台帐!P2218="应付",ISNUMBER(资金台帐!B2218),资金台帐!B2218&gt;=供应商对账单!$G$4,资金台帐!B2218&lt;=供应商对账单!$I$4),资金台帐!B2218+ROW()/100000,"")</f>
      </c>
    </row>
    <row r="3716">
      <c r="A3716">
        <f>IF(OR(出库明细!C2716="",出库明细!D2716=""),"",IF(OR(COUNTIFS(存条明细!$C$4:$C$1003,出库明细!C2716,存条明细!$D$4:$D$1003,出库明细!D2716)&gt;0,COUNTIFS(出库明细!$C$4:C2716,出库明细!C2716,出库明细!$D$4:D2716,出库明细!D2716)&gt;1),"",IFERROR(MATCH(出库明细!C2716,总览汇总!$B$5:$B$304,0),900)*10000000+IFERROR(MATCH(出库明细!D2716,基础资料!$E$5:$E$104,0),900)*10000+ROW()))</f>
      </c>
      <c r="F3716">
        <f>IF(AND(资金台帐!J719&lt;&gt;"",资金台帐!J719=客户对账单!$B$4,资金台帐!P719="应收",ISNUMBER(资金台帐!B719),资金台帐!B719&gt;=客户对账单!$G$4,资金台帐!B719&lt;=客户对账单!$I$4),资金台帐!B719+ROW()/100000,"")</f>
      </c>
      <c r="H3716">
        <f>IF(AND(资金台帐!K2219&lt;&gt;"",资金台帐!K2219=供应商对账单!$B$4,资金台帐!P2219="应付",ISNUMBER(资金台帐!B2219),资金台帐!B2219&gt;=供应商对账单!$G$4,资金台帐!B2219&lt;=供应商对账单!$I$4),资金台帐!B2219+ROW()/100000,"")</f>
      </c>
    </row>
    <row r="3717">
      <c r="A3717">
        <f>IF(OR(出库明细!C2717="",出库明细!D2717=""),"",IF(OR(COUNTIFS(存条明细!$C$4:$C$1003,出库明细!C2717,存条明细!$D$4:$D$1003,出库明细!D2717)&gt;0,COUNTIFS(出库明细!$C$4:C2717,出库明细!C2717,出库明细!$D$4:D2717,出库明细!D2717)&gt;1),"",IFERROR(MATCH(出库明细!C2717,总览汇总!$B$5:$B$304,0),900)*10000000+IFERROR(MATCH(出库明细!D2717,基础资料!$E$5:$E$104,0),900)*10000+ROW()))</f>
      </c>
      <c r="F3717">
        <f>IF(AND(资金台帐!J720&lt;&gt;"",资金台帐!J720=客户对账单!$B$4,资金台帐!P720="应收",ISNUMBER(资金台帐!B720),资金台帐!B720&gt;=客户对账单!$G$4,资金台帐!B720&lt;=客户对账单!$I$4),资金台帐!B720+ROW()/100000,"")</f>
      </c>
      <c r="H3717">
        <f>IF(AND(资金台帐!K2220&lt;&gt;"",资金台帐!K2220=供应商对账单!$B$4,资金台帐!P2220="应付",ISNUMBER(资金台帐!B2220),资金台帐!B2220&gt;=供应商对账单!$G$4,资金台帐!B2220&lt;=供应商对账单!$I$4),资金台帐!B2220+ROW()/100000,"")</f>
      </c>
    </row>
    <row r="3718">
      <c r="A3718">
        <f>IF(OR(出库明细!C2718="",出库明细!D2718=""),"",IF(OR(COUNTIFS(存条明细!$C$4:$C$1003,出库明细!C2718,存条明细!$D$4:$D$1003,出库明细!D2718)&gt;0,COUNTIFS(出库明细!$C$4:C2718,出库明细!C2718,出库明细!$D$4:D2718,出库明细!D2718)&gt;1),"",IFERROR(MATCH(出库明细!C2718,总览汇总!$B$5:$B$304,0),900)*10000000+IFERROR(MATCH(出库明细!D2718,基础资料!$E$5:$E$104,0),900)*10000+ROW()))</f>
      </c>
      <c r="F3718">
        <f>IF(AND(资金台帐!J721&lt;&gt;"",资金台帐!J721=客户对账单!$B$4,资金台帐!P721="应收",ISNUMBER(资金台帐!B721),资金台帐!B721&gt;=客户对账单!$G$4,资金台帐!B721&lt;=客户对账单!$I$4),资金台帐!B721+ROW()/100000,"")</f>
      </c>
      <c r="H3718">
        <f>IF(AND(资金台帐!K2221&lt;&gt;"",资金台帐!K2221=供应商对账单!$B$4,资金台帐!P2221="应付",ISNUMBER(资金台帐!B2221),资金台帐!B2221&gt;=供应商对账单!$G$4,资金台帐!B2221&lt;=供应商对账单!$I$4),资金台帐!B2221+ROW()/100000,"")</f>
      </c>
    </row>
    <row r="3719">
      <c r="A3719">
        <f>IF(OR(出库明细!C2719="",出库明细!D2719=""),"",IF(OR(COUNTIFS(存条明细!$C$4:$C$1003,出库明细!C2719,存条明细!$D$4:$D$1003,出库明细!D2719)&gt;0,COUNTIFS(出库明细!$C$4:C2719,出库明细!C2719,出库明细!$D$4:D2719,出库明细!D2719)&gt;1),"",IFERROR(MATCH(出库明细!C2719,总览汇总!$B$5:$B$304,0),900)*10000000+IFERROR(MATCH(出库明细!D2719,基础资料!$E$5:$E$104,0),900)*10000+ROW()))</f>
      </c>
      <c r="F3719">
        <f>IF(AND(资金台帐!J722&lt;&gt;"",资金台帐!J722=客户对账单!$B$4,资金台帐!P722="应收",ISNUMBER(资金台帐!B722),资金台帐!B722&gt;=客户对账单!$G$4,资金台帐!B722&lt;=客户对账单!$I$4),资金台帐!B722+ROW()/100000,"")</f>
      </c>
      <c r="H3719">
        <f>IF(AND(资金台帐!K2222&lt;&gt;"",资金台帐!K2222=供应商对账单!$B$4,资金台帐!P2222="应付",ISNUMBER(资金台帐!B2222),资金台帐!B2222&gt;=供应商对账单!$G$4,资金台帐!B2222&lt;=供应商对账单!$I$4),资金台帐!B2222+ROW()/100000,"")</f>
      </c>
    </row>
    <row r="3720">
      <c r="A3720">
        <f>IF(OR(出库明细!C2720="",出库明细!D2720=""),"",IF(OR(COUNTIFS(存条明细!$C$4:$C$1003,出库明细!C2720,存条明细!$D$4:$D$1003,出库明细!D2720)&gt;0,COUNTIFS(出库明细!$C$4:C2720,出库明细!C2720,出库明细!$D$4:D2720,出库明细!D2720)&gt;1),"",IFERROR(MATCH(出库明细!C2720,总览汇总!$B$5:$B$304,0),900)*10000000+IFERROR(MATCH(出库明细!D2720,基础资料!$E$5:$E$104,0),900)*10000+ROW()))</f>
      </c>
      <c r="F3720">
        <f>IF(AND(资金台帐!J723&lt;&gt;"",资金台帐!J723=客户对账单!$B$4,资金台帐!P723="应收",ISNUMBER(资金台帐!B723),资金台帐!B723&gt;=客户对账单!$G$4,资金台帐!B723&lt;=客户对账单!$I$4),资金台帐!B723+ROW()/100000,"")</f>
      </c>
      <c r="H3720">
        <f>IF(AND(资金台帐!K2223&lt;&gt;"",资金台帐!K2223=供应商对账单!$B$4,资金台帐!P2223="应付",ISNUMBER(资金台帐!B2223),资金台帐!B2223&gt;=供应商对账单!$G$4,资金台帐!B2223&lt;=供应商对账单!$I$4),资金台帐!B2223+ROW()/100000,"")</f>
      </c>
    </row>
    <row r="3721">
      <c r="A3721">
        <f>IF(OR(出库明细!C2721="",出库明细!D2721=""),"",IF(OR(COUNTIFS(存条明细!$C$4:$C$1003,出库明细!C2721,存条明细!$D$4:$D$1003,出库明细!D2721)&gt;0,COUNTIFS(出库明细!$C$4:C2721,出库明细!C2721,出库明细!$D$4:D2721,出库明细!D2721)&gt;1),"",IFERROR(MATCH(出库明细!C2721,总览汇总!$B$5:$B$304,0),900)*10000000+IFERROR(MATCH(出库明细!D2721,基础资料!$E$5:$E$104,0),900)*10000+ROW()))</f>
      </c>
      <c r="F3721">
        <f>IF(AND(资金台帐!J724&lt;&gt;"",资金台帐!J724=客户对账单!$B$4,资金台帐!P724="应收",ISNUMBER(资金台帐!B724),资金台帐!B724&gt;=客户对账单!$G$4,资金台帐!B724&lt;=客户对账单!$I$4),资金台帐!B724+ROW()/100000,"")</f>
      </c>
      <c r="H3721">
        <f>IF(AND(资金台帐!K2224&lt;&gt;"",资金台帐!K2224=供应商对账单!$B$4,资金台帐!P2224="应付",ISNUMBER(资金台帐!B2224),资金台帐!B2224&gt;=供应商对账单!$G$4,资金台帐!B2224&lt;=供应商对账单!$I$4),资金台帐!B2224+ROW()/100000,"")</f>
      </c>
    </row>
    <row r="3722">
      <c r="A3722">
        <f>IF(OR(出库明细!C2722="",出库明细!D2722=""),"",IF(OR(COUNTIFS(存条明细!$C$4:$C$1003,出库明细!C2722,存条明细!$D$4:$D$1003,出库明细!D2722)&gt;0,COUNTIFS(出库明细!$C$4:C2722,出库明细!C2722,出库明细!$D$4:D2722,出库明细!D2722)&gt;1),"",IFERROR(MATCH(出库明细!C2722,总览汇总!$B$5:$B$304,0),900)*10000000+IFERROR(MATCH(出库明细!D2722,基础资料!$E$5:$E$104,0),900)*10000+ROW()))</f>
      </c>
      <c r="F3722">
        <f>IF(AND(资金台帐!J725&lt;&gt;"",资金台帐!J725=客户对账单!$B$4,资金台帐!P725="应收",ISNUMBER(资金台帐!B725),资金台帐!B725&gt;=客户对账单!$G$4,资金台帐!B725&lt;=客户对账单!$I$4),资金台帐!B725+ROW()/100000,"")</f>
      </c>
      <c r="H3722">
        <f>IF(AND(资金台帐!K2225&lt;&gt;"",资金台帐!K2225=供应商对账单!$B$4,资金台帐!P2225="应付",ISNUMBER(资金台帐!B2225),资金台帐!B2225&gt;=供应商对账单!$G$4,资金台帐!B2225&lt;=供应商对账单!$I$4),资金台帐!B2225+ROW()/100000,"")</f>
      </c>
    </row>
    <row r="3723">
      <c r="A3723">
        <f>IF(OR(出库明细!C2723="",出库明细!D2723=""),"",IF(OR(COUNTIFS(存条明细!$C$4:$C$1003,出库明细!C2723,存条明细!$D$4:$D$1003,出库明细!D2723)&gt;0,COUNTIFS(出库明细!$C$4:C2723,出库明细!C2723,出库明细!$D$4:D2723,出库明细!D2723)&gt;1),"",IFERROR(MATCH(出库明细!C2723,总览汇总!$B$5:$B$304,0),900)*10000000+IFERROR(MATCH(出库明细!D2723,基础资料!$E$5:$E$104,0),900)*10000+ROW()))</f>
      </c>
      <c r="F3723">
        <f>IF(AND(资金台帐!J726&lt;&gt;"",资金台帐!J726=客户对账单!$B$4,资金台帐!P726="应收",ISNUMBER(资金台帐!B726),资金台帐!B726&gt;=客户对账单!$G$4,资金台帐!B726&lt;=客户对账单!$I$4),资金台帐!B726+ROW()/100000,"")</f>
      </c>
      <c r="H3723">
        <f>IF(AND(资金台帐!K2226&lt;&gt;"",资金台帐!K2226=供应商对账单!$B$4,资金台帐!P2226="应付",ISNUMBER(资金台帐!B2226),资金台帐!B2226&gt;=供应商对账单!$G$4,资金台帐!B2226&lt;=供应商对账单!$I$4),资金台帐!B2226+ROW()/100000,"")</f>
      </c>
    </row>
    <row r="3724">
      <c r="A3724">
        <f>IF(OR(出库明细!C2724="",出库明细!D2724=""),"",IF(OR(COUNTIFS(存条明细!$C$4:$C$1003,出库明细!C2724,存条明细!$D$4:$D$1003,出库明细!D2724)&gt;0,COUNTIFS(出库明细!$C$4:C2724,出库明细!C2724,出库明细!$D$4:D2724,出库明细!D2724)&gt;1),"",IFERROR(MATCH(出库明细!C2724,总览汇总!$B$5:$B$304,0),900)*10000000+IFERROR(MATCH(出库明细!D2724,基础资料!$E$5:$E$104,0),900)*10000+ROW()))</f>
      </c>
      <c r="F3724">
        <f>IF(AND(资金台帐!J727&lt;&gt;"",资金台帐!J727=客户对账单!$B$4,资金台帐!P727="应收",ISNUMBER(资金台帐!B727),资金台帐!B727&gt;=客户对账单!$G$4,资金台帐!B727&lt;=客户对账单!$I$4),资金台帐!B727+ROW()/100000,"")</f>
      </c>
      <c r="H3724">
        <f>IF(AND(资金台帐!K2227&lt;&gt;"",资金台帐!K2227=供应商对账单!$B$4,资金台帐!P2227="应付",ISNUMBER(资金台帐!B2227),资金台帐!B2227&gt;=供应商对账单!$G$4,资金台帐!B2227&lt;=供应商对账单!$I$4),资金台帐!B2227+ROW()/100000,"")</f>
      </c>
    </row>
    <row r="3725">
      <c r="A3725">
        <f>IF(OR(出库明细!C2725="",出库明细!D2725=""),"",IF(OR(COUNTIFS(存条明细!$C$4:$C$1003,出库明细!C2725,存条明细!$D$4:$D$1003,出库明细!D2725)&gt;0,COUNTIFS(出库明细!$C$4:C2725,出库明细!C2725,出库明细!$D$4:D2725,出库明细!D2725)&gt;1),"",IFERROR(MATCH(出库明细!C2725,总览汇总!$B$5:$B$304,0),900)*10000000+IFERROR(MATCH(出库明细!D2725,基础资料!$E$5:$E$104,0),900)*10000+ROW()))</f>
      </c>
      <c r="F3725">
        <f>IF(AND(资金台帐!J728&lt;&gt;"",资金台帐!J728=客户对账单!$B$4,资金台帐!P728="应收",ISNUMBER(资金台帐!B728),资金台帐!B728&gt;=客户对账单!$G$4,资金台帐!B728&lt;=客户对账单!$I$4),资金台帐!B728+ROW()/100000,"")</f>
      </c>
      <c r="H3725">
        <f>IF(AND(资金台帐!K2228&lt;&gt;"",资金台帐!K2228=供应商对账单!$B$4,资金台帐!P2228="应付",ISNUMBER(资金台帐!B2228),资金台帐!B2228&gt;=供应商对账单!$G$4,资金台帐!B2228&lt;=供应商对账单!$I$4),资金台帐!B2228+ROW()/100000,"")</f>
      </c>
    </row>
    <row r="3726">
      <c r="A3726">
        <f>IF(OR(出库明细!C2726="",出库明细!D2726=""),"",IF(OR(COUNTIFS(存条明细!$C$4:$C$1003,出库明细!C2726,存条明细!$D$4:$D$1003,出库明细!D2726)&gt;0,COUNTIFS(出库明细!$C$4:C2726,出库明细!C2726,出库明细!$D$4:D2726,出库明细!D2726)&gt;1),"",IFERROR(MATCH(出库明细!C2726,总览汇总!$B$5:$B$304,0),900)*10000000+IFERROR(MATCH(出库明细!D2726,基础资料!$E$5:$E$104,0),900)*10000+ROW()))</f>
      </c>
      <c r="F3726">
        <f>IF(AND(资金台帐!J729&lt;&gt;"",资金台帐!J729=客户对账单!$B$4,资金台帐!P729="应收",ISNUMBER(资金台帐!B729),资金台帐!B729&gt;=客户对账单!$G$4,资金台帐!B729&lt;=客户对账单!$I$4),资金台帐!B729+ROW()/100000,"")</f>
      </c>
      <c r="H3726">
        <f>IF(AND(资金台帐!K2229&lt;&gt;"",资金台帐!K2229=供应商对账单!$B$4,资金台帐!P2229="应付",ISNUMBER(资金台帐!B2229),资金台帐!B2229&gt;=供应商对账单!$G$4,资金台帐!B2229&lt;=供应商对账单!$I$4),资金台帐!B2229+ROW()/100000,"")</f>
      </c>
    </row>
    <row r="3727">
      <c r="A3727">
        <f>IF(OR(出库明细!C2727="",出库明细!D2727=""),"",IF(OR(COUNTIFS(存条明细!$C$4:$C$1003,出库明细!C2727,存条明细!$D$4:$D$1003,出库明细!D2727)&gt;0,COUNTIFS(出库明细!$C$4:C2727,出库明细!C2727,出库明细!$D$4:D2727,出库明细!D2727)&gt;1),"",IFERROR(MATCH(出库明细!C2727,总览汇总!$B$5:$B$304,0),900)*10000000+IFERROR(MATCH(出库明细!D2727,基础资料!$E$5:$E$104,0),900)*10000+ROW()))</f>
      </c>
      <c r="F3727">
        <f>IF(AND(资金台帐!J730&lt;&gt;"",资金台帐!J730=客户对账单!$B$4,资金台帐!P730="应收",ISNUMBER(资金台帐!B730),资金台帐!B730&gt;=客户对账单!$G$4,资金台帐!B730&lt;=客户对账单!$I$4),资金台帐!B730+ROW()/100000,"")</f>
      </c>
      <c r="H3727">
        <f>IF(AND(资金台帐!K2230&lt;&gt;"",资金台帐!K2230=供应商对账单!$B$4,资金台帐!P2230="应付",ISNUMBER(资金台帐!B2230),资金台帐!B2230&gt;=供应商对账单!$G$4,资金台帐!B2230&lt;=供应商对账单!$I$4),资金台帐!B2230+ROW()/100000,"")</f>
      </c>
    </row>
    <row r="3728">
      <c r="A3728">
        <f>IF(OR(出库明细!C2728="",出库明细!D2728=""),"",IF(OR(COUNTIFS(存条明细!$C$4:$C$1003,出库明细!C2728,存条明细!$D$4:$D$1003,出库明细!D2728)&gt;0,COUNTIFS(出库明细!$C$4:C2728,出库明细!C2728,出库明细!$D$4:D2728,出库明细!D2728)&gt;1),"",IFERROR(MATCH(出库明细!C2728,总览汇总!$B$5:$B$304,0),900)*10000000+IFERROR(MATCH(出库明细!D2728,基础资料!$E$5:$E$104,0),900)*10000+ROW()))</f>
      </c>
      <c r="F3728">
        <f>IF(AND(资金台帐!J731&lt;&gt;"",资金台帐!J731=客户对账单!$B$4,资金台帐!P731="应收",ISNUMBER(资金台帐!B731),资金台帐!B731&gt;=客户对账单!$G$4,资金台帐!B731&lt;=客户对账单!$I$4),资金台帐!B731+ROW()/100000,"")</f>
      </c>
      <c r="H3728">
        <f>IF(AND(资金台帐!K2231&lt;&gt;"",资金台帐!K2231=供应商对账单!$B$4,资金台帐!P2231="应付",ISNUMBER(资金台帐!B2231),资金台帐!B2231&gt;=供应商对账单!$G$4,资金台帐!B2231&lt;=供应商对账单!$I$4),资金台帐!B2231+ROW()/100000,"")</f>
      </c>
    </row>
    <row r="3729">
      <c r="A3729">
        <f>IF(OR(出库明细!C2729="",出库明细!D2729=""),"",IF(OR(COUNTIFS(存条明细!$C$4:$C$1003,出库明细!C2729,存条明细!$D$4:$D$1003,出库明细!D2729)&gt;0,COUNTIFS(出库明细!$C$4:C2729,出库明细!C2729,出库明细!$D$4:D2729,出库明细!D2729)&gt;1),"",IFERROR(MATCH(出库明细!C2729,总览汇总!$B$5:$B$304,0),900)*10000000+IFERROR(MATCH(出库明细!D2729,基础资料!$E$5:$E$104,0),900)*10000+ROW()))</f>
      </c>
      <c r="F3729">
        <f>IF(AND(资金台帐!J732&lt;&gt;"",资金台帐!J732=客户对账单!$B$4,资金台帐!P732="应收",ISNUMBER(资金台帐!B732),资金台帐!B732&gt;=客户对账单!$G$4,资金台帐!B732&lt;=客户对账单!$I$4),资金台帐!B732+ROW()/100000,"")</f>
      </c>
      <c r="H3729">
        <f>IF(AND(资金台帐!K2232&lt;&gt;"",资金台帐!K2232=供应商对账单!$B$4,资金台帐!P2232="应付",ISNUMBER(资金台帐!B2232),资金台帐!B2232&gt;=供应商对账单!$G$4,资金台帐!B2232&lt;=供应商对账单!$I$4),资金台帐!B2232+ROW()/100000,"")</f>
      </c>
    </row>
    <row r="3730">
      <c r="A3730">
        <f>IF(OR(出库明细!C2730="",出库明细!D2730=""),"",IF(OR(COUNTIFS(存条明细!$C$4:$C$1003,出库明细!C2730,存条明细!$D$4:$D$1003,出库明细!D2730)&gt;0,COUNTIFS(出库明细!$C$4:C2730,出库明细!C2730,出库明细!$D$4:D2730,出库明细!D2730)&gt;1),"",IFERROR(MATCH(出库明细!C2730,总览汇总!$B$5:$B$304,0),900)*10000000+IFERROR(MATCH(出库明细!D2730,基础资料!$E$5:$E$104,0),900)*10000+ROW()))</f>
      </c>
      <c r="F3730">
        <f>IF(AND(资金台帐!J733&lt;&gt;"",资金台帐!J733=客户对账单!$B$4,资金台帐!P733="应收",ISNUMBER(资金台帐!B733),资金台帐!B733&gt;=客户对账单!$G$4,资金台帐!B733&lt;=客户对账单!$I$4),资金台帐!B733+ROW()/100000,"")</f>
      </c>
      <c r="H3730">
        <f>IF(AND(资金台帐!K2233&lt;&gt;"",资金台帐!K2233=供应商对账单!$B$4,资金台帐!P2233="应付",ISNUMBER(资金台帐!B2233),资金台帐!B2233&gt;=供应商对账单!$G$4,资金台帐!B2233&lt;=供应商对账单!$I$4),资金台帐!B2233+ROW()/100000,"")</f>
      </c>
    </row>
    <row r="3731">
      <c r="A3731">
        <f>IF(OR(出库明细!C2731="",出库明细!D2731=""),"",IF(OR(COUNTIFS(存条明细!$C$4:$C$1003,出库明细!C2731,存条明细!$D$4:$D$1003,出库明细!D2731)&gt;0,COUNTIFS(出库明细!$C$4:C2731,出库明细!C2731,出库明细!$D$4:D2731,出库明细!D2731)&gt;1),"",IFERROR(MATCH(出库明细!C2731,总览汇总!$B$5:$B$304,0),900)*10000000+IFERROR(MATCH(出库明细!D2731,基础资料!$E$5:$E$104,0),900)*10000+ROW()))</f>
      </c>
      <c r="F3731">
        <f>IF(AND(资金台帐!J734&lt;&gt;"",资金台帐!J734=客户对账单!$B$4,资金台帐!P734="应收",ISNUMBER(资金台帐!B734),资金台帐!B734&gt;=客户对账单!$G$4,资金台帐!B734&lt;=客户对账单!$I$4),资金台帐!B734+ROW()/100000,"")</f>
      </c>
      <c r="H3731">
        <f>IF(AND(资金台帐!K2234&lt;&gt;"",资金台帐!K2234=供应商对账单!$B$4,资金台帐!P2234="应付",ISNUMBER(资金台帐!B2234),资金台帐!B2234&gt;=供应商对账单!$G$4,资金台帐!B2234&lt;=供应商对账单!$I$4),资金台帐!B2234+ROW()/100000,"")</f>
      </c>
    </row>
    <row r="3732">
      <c r="A3732">
        <f>IF(OR(出库明细!C2732="",出库明细!D2732=""),"",IF(OR(COUNTIFS(存条明细!$C$4:$C$1003,出库明细!C2732,存条明细!$D$4:$D$1003,出库明细!D2732)&gt;0,COUNTIFS(出库明细!$C$4:C2732,出库明细!C2732,出库明细!$D$4:D2732,出库明细!D2732)&gt;1),"",IFERROR(MATCH(出库明细!C2732,总览汇总!$B$5:$B$304,0),900)*10000000+IFERROR(MATCH(出库明细!D2732,基础资料!$E$5:$E$104,0),900)*10000+ROW()))</f>
      </c>
      <c r="F3732">
        <f>IF(AND(资金台帐!J735&lt;&gt;"",资金台帐!J735=客户对账单!$B$4,资金台帐!P735="应收",ISNUMBER(资金台帐!B735),资金台帐!B735&gt;=客户对账单!$G$4,资金台帐!B735&lt;=客户对账单!$I$4),资金台帐!B735+ROW()/100000,"")</f>
      </c>
      <c r="H3732">
        <f>IF(AND(资金台帐!K2235&lt;&gt;"",资金台帐!K2235=供应商对账单!$B$4,资金台帐!P2235="应付",ISNUMBER(资金台帐!B2235),资金台帐!B2235&gt;=供应商对账单!$G$4,资金台帐!B2235&lt;=供应商对账单!$I$4),资金台帐!B2235+ROW()/100000,"")</f>
      </c>
    </row>
    <row r="3733">
      <c r="A3733">
        <f>IF(OR(出库明细!C2733="",出库明细!D2733=""),"",IF(OR(COUNTIFS(存条明细!$C$4:$C$1003,出库明细!C2733,存条明细!$D$4:$D$1003,出库明细!D2733)&gt;0,COUNTIFS(出库明细!$C$4:C2733,出库明细!C2733,出库明细!$D$4:D2733,出库明细!D2733)&gt;1),"",IFERROR(MATCH(出库明细!C2733,总览汇总!$B$5:$B$304,0),900)*10000000+IFERROR(MATCH(出库明细!D2733,基础资料!$E$5:$E$104,0),900)*10000+ROW()))</f>
      </c>
      <c r="F3733">
        <f>IF(AND(资金台帐!J736&lt;&gt;"",资金台帐!J736=客户对账单!$B$4,资金台帐!P736="应收",ISNUMBER(资金台帐!B736),资金台帐!B736&gt;=客户对账单!$G$4,资金台帐!B736&lt;=客户对账单!$I$4),资金台帐!B736+ROW()/100000,"")</f>
      </c>
      <c r="H3733">
        <f>IF(AND(资金台帐!K2236&lt;&gt;"",资金台帐!K2236=供应商对账单!$B$4,资金台帐!P2236="应付",ISNUMBER(资金台帐!B2236),资金台帐!B2236&gt;=供应商对账单!$G$4,资金台帐!B2236&lt;=供应商对账单!$I$4),资金台帐!B2236+ROW()/100000,"")</f>
      </c>
    </row>
    <row r="3734">
      <c r="A3734">
        <f>IF(OR(出库明细!C2734="",出库明细!D2734=""),"",IF(OR(COUNTIFS(存条明细!$C$4:$C$1003,出库明细!C2734,存条明细!$D$4:$D$1003,出库明细!D2734)&gt;0,COUNTIFS(出库明细!$C$4:C2734,出库明细!C2734,出库明细!$D$4:D2734,出库明细!D2734)&gt;1),"",IFERROR(MATCH(出库明细!C2734,总览汇总!$B$5:$B$304,0),900)*10000000+IFERROR(MATCH(出库明细!D2734,基础资料!$E$5:$E$104,0),900)*10000+ROW()))</f>
      </c>
      <c r="F3734">
        <f>IF(AND(资金台帐!J737&lt;&gt;"",资金台帐!J737=客户对账单!$B$4,资金台帐!P737="应收",ISNUMBER(资金台帐!B737),资金台帐!B737&gt;=客户对账单!$G$4,资金台帐!B737&lt;=客户对账单!$I$4),资金台帐!B737+ROW()/100000,"")</f>
      </c>
      <c r="H3734">
        <f>IF(AND(资金台帐!K2237&lt;&gt;"",资金台帐!K2237=供应商对账单!$B$4,资金台帐!P2237="应付",ISNUMBER(资金台帐!B2237),资金台帐!B2237&gt;=供应商对账单!$G$4,资金台帐!B2237&lt;=供应商对账单!$I$4),资金台帐!B2237+ROW()/100000,"")</f>
      </c>
    </row>
    <row r="3735">
      <c r="A3735">
        <f>IF(OR(出库明细!C2735="",出库明细!D2735=""),"",IF(OR(COUNTIFS(存条明细!$C$4:$C$1003,出库明细!C2735,存条明细!$D$4:$D$1003,出库明细!D2735)&gt;0,COUNTIFS(出库明细!$C$4:C2735,出库明细!C2735,出库明细!$D$4:D2735,出库明细!D2735)&gt;1),"",IFERROR(MATCH(出库明细!C2735,总览汇总!$B$5:$B$304,0),900)*10000000+IFERROR(MATCH(出库明细!D2735,基础资料!$E$5:$E$104,0),900)*10000+ROW()))</f>
      </c>
      <c r="F3735">
        <f>IF(AND(资金台帐!J738&lt;&gt;"",资金台帐!J738=客户对账单!$B$4,资金台帐!P738="应收",ISNUMBER(资金台帐!B738),资金台帐!B738&gt;=客户对账单!$G$4,资金台帐!B738&lt;=客户对账单!$I$4),资金台帐!B738+ROW()/100000,"")</f>
      </c>
      <c r="H3735">
        <f>IF(AND(资金台帐!K2238&lt;&gt;"",资金台帐!K2238=供应商对账单!$B$4,资金台帐!P2238="应付",ISNUMBER(资金台帐!B2238),资金台帐!B2238&gt;=供应商对账单!$G$4,资金台帐!B2238&lt;=供应商对账单!$I$4),资金台帐!B2238+ROW()/100000,"")</f>
      </c>
    </row>
    <row r="3736">
      <c r="A3736">
        <f>IF(OR(出库明细!C2736="",出库明细!D2736=""),"",IF(OR(COUNTIFS(存条明细!$C$4:$C$1003,出库明细!C2736,存条明细!$D$4:$D$1003,出库明细!D2736)&gt;0,COUNTIFS(出库明细!$C$4:C2736,出库明细!C2736,出库明细!$D$4:D2736,出库明细!D2736)&gt;1),"",IFERROR(MATCH(出库明细!C2736,总览汇总!$B$5:$B$304,0),900)*10000000+IFERROR(MATCH(出库明细!D2736,基础资料!$E$5:$E$104,0),900)*10000+ROW()))</f>
      </c>
      <c r="F3736">
        <f>IF(AND(资金台帐!J739&lt;&gt;"",资金台帐!J739=客户对账单!$B$4,资金台帐!P739="应收",ISNUMBER(资金台帐!B739),资金台帐!B739&gt;=客户对账单!$G$4,资金台帐!B739&lt;=客户对账单!$I$4),资金台帐!B739+ROW()/100000,"")</f>
      </c>
      <c r="H3736">
        <f>IF(AND(资金台帐!K2239&lt;&gt;"",资金台帐!K2239=供应商对账单!$B$4,资金台帐!P2239="应付",ISNUMBER(资金台帐!B2239),资金台帐!B2239&gt;=供应商对账单!$G$4,资金台帐!B2239&lt;=供应商对账单!$I$4),资金台帐!B2239+ROW()/100000,"")</f>
      </c>
    </row>
    <row r="3737">
      <c r="A3737">
        <f>IF(OR(出库明细!C2737="",出库明细!D2737=""),"",IF(OR(COUNTIFS(存条明细!$C$4:$C$1003,出库明细!C2737,存条明细!$D$4:$D$1003,出库明细!D2737)&gt;0,COUNTIFS(出库明细!$C$4:C2737,出库明细!C2737,出库明细!$D$4:D2737,出库明细!D2737)&gt;1),"",IFERROR(MATCH(出库明细!C2737,总览汇总!$B$5:$B$304,0),900)*10000000+IFERROR(MATCH(出库明细!D2737,基础资料!$E$5:$E$104,0),900)*10000+ROW()))</f>
      </c>
      <c r="F3737">
        <f>IF(AND(资金台帐!J740&lt;&gt;"",资金台帐!J740=客户对账单!$B$4,资金台帐!P740="应收",ISNUMBER(资金台帐!B740),资金台帐!B740&gt;=客户对账单!$G$4,资金台帐!B740&lt;=客户对账单!$I$4),资金台帐!B740+ROW()/100000,"")</f>
      </c>
      <c r="H3737">
        <f>IF(AND(资金台帐!K2240&lt;&gt;"",资金台帐!K2240=供应商对账单!$B$4,资金台帐!P2240="应付",ISNUMBER(资金台帐!B2240),资金台帐!B2240&gt;=供应商对账单!$G$4,资金台帐!B2240&lt;=供应商对账单!$I$4),资金台帐!B2240+ROW()/100000,"")</f>
      </c>
    </row>
    <row r="3738">
      <c r="A3738">
        <f>IF(OR(出库明细!C2738="",出库明细!D2738=""),"",IF(OR(COUNTIFS(存条明细!$C$4:$C$1003,出库明细!C2738,存条明细!$D$4:$D$1003,出库明细!D2738)&gt;0,COUNTIFS(出库明细!$C$4:C2738,出库明细!C2738,出库明细!$D$4:D2738,出库明细!D2738)&gt;1),"",IFERROR(MATCH(出库明细!C2738,总览汇总!$B$5:$B$304,0),900)*10000000+IFERROR(MATCH(出库明细!D2738,基础资料!$E$5:$E$104,0),900)*10000+ROW()))</f>
      </c>
      <c r="F3738">
        <f>IF(AND(资金台帐!J741&lt;&gt;"",资金台帐!J741=客户对账单!$B$4,资金台帐!P741="应收",ISNUMBER(资金台帐!B741),资金台帐!B741&gt;=客户对账单!$G$4,资金台帐!B741&lt;=客户对账单!$I$4),资金台帐!B741+ROW()/100000,"")</f>
      </c>
      <c r="H3738">
        <f>IF(AND(资金台帐!K2241&lt;&gt;"",资金台帐!K2241=供应商对账单!$B$4,资金台帐!P2241="应付",ISNUMBER(资金台帐!B2241),资金台帐!B2241&gt;=供应商对账单!$G$4,资金台帐!B2241&lt;=供应商对账单!$I$4),资金台帐!B2241+ROW()/100000,"")</f>
      </c>
    </row>
    <row r="3739">
      <c r="A3739">
        <f>IF(OR(出库明细!C2739="",出库明细!D2739=""),"",IF(OR(COUNTIFS(存条明细!$C$4:$C$1003,出库明细!C2739,存条明细!$D$4:$D$1003,出库明细!D2739)&gt;0,COUNTIFS(出库明细!$C$4:C2739,出库明细!C2739,出库明细!$D$4:D2739,出库明细!D2739)&gt;1),"",IFERROR(MATCH(出库明细!C2739,总览汇总!$B$5:$B$304,0),900)*10000000+IFERROR(MATCH(出库明细!D2739,基础资料!$E$5:$E$104,0),900)*10000+ROW()))</f>
      </c>
      <c r="F3739">
        <f>IF(AND(资金台帐!J742&lt;&gt;"",资金台帐!J742=客户对账单!$B$4,资金台帐!P742="应收",ISNUMBER(资金台帐!B742),资金台帐!B742&gt;=客户对账单!$G$4,资金台帐!B742&lt;=客户对账单!$I$4),资金台帐!B742+ROW()/100000,"")</f>
      </c>
      <c r="H3739">
        <f>IF(AND(资金台帐!K2242&lt;&gt;"",资金台帐!K2242=供应商对账单!$B$4,资金台帐!P2242="应付",ISNUMBER(资金台帐!B2242),资金台帐!B2242&gt;=供应商对账单!$G$4,资金台帐!B2242&lt;=供应商对账单!$I$4),资金台帐!B2242+ROW()/100000,"")</f>
      </c>
    </row>
    <row r="3740">
      <c r="A3740">
        <f>IF(OR(出库明细!C2740="",出库明细!D2740=""),"",IF(OR(COUNTIFS(存条明细!$C$4:$C$1003,出库明细!C2740,存条明细!$D$4:$D$1003,出库明细!D2740)&gt;0,COUNTIFS(出库明细!$C$4:C2740,出库明细!C2740,出库明细!$D$4:D2740,出库明细!D2740)&gt;1),"",IFERROR(MATCH(出库明细!C2740,总览汇总!$B$5:$B$304,0),900)*10000000+IFERROR(MATCH(出库明细!D2740,基础资料!$E$5:$E$104,0),900)*10000+ROW()))</f>
      </c>
      <c r="F3740">
        <f>IF(AND(资金台帐!J743&lt;&gt;"",资金台帐!J743=客户对账单!$B$4,资金台帐!P743="应收",ISNUMBER(资金台帐!B743),资金台帐!B743&gt;=客户对账单!$G$4,资金台帐!B743&lt;=客户对账单!$I$4),资金台帐!B743+ROW()/100000,"")</f>
      </c>
      <c r="H3740">
        <f>IF(AND(资金台帐!K2243&lt;&gt;"",资金台帐!K2243=供应商对账单!$B$4,资金台帐!P2243="应付",ISNUMBER(资金台帐!B2243),资金台帐!B2243&gt;=供应商对账单!$G$4,资金台帐!B2243&lt;=供应商对账单!$I$4),资金台帐!B2243+ROW()/100000,"")</f>
      </c>
    </row>
    <row r="3741">
      <c r="A3741">
        <f>IF(OR(出库明细!C2741="",出库明细!D2741=""),"",IF(OR(COUNTIFS(存条明细!$C$4:$C$1003,出库明细!C2741,存条明细!$D$4:$D$1003,出库明细!D2741)&gt;0,COUNTIFS(出库明细!$C$4:C2741,出库明细!C2741,出库明细!$D$4:D2741,出库明细!D2741)&gt;1),"",IFERROR(MATCH(出库明细!C2741,总览汇总!$B$5:$B$304,0),900)*10000000+IFERROR(MATCH(出库明细!D2741,基础资料!$E$5:$E$104,0),900)*10000+ROW()))</f>
      </c>
      <c r="F3741">
        <f>IF(AND(资金台帐!J744&lt;&gt;"",资金台帐!J744=客户对账单!$B$4,资金台帐!P744="应收",ISNUMBER(资金台帐!B744),资金台帐!B744&gt;=客户对账单!$G$4,资金台帐!B744&lt;=客户对账单!$I$4),资金台帐!B744+ROW()/100000,"")</f>
      </c>
      <c r="H3741">
        <f>IF(AND(资金台帐!K2244&lt;&gt;"",资金台帐!K2244=供应商对账单!$B$4,资金台帐!P2244="应付",ISNUMBER(资金台帐!B2244),资金台帐!B2244&gt;=供应商对账单!$G$4,资金台帐!B2244&lt;=供应商对账单!$I$4),资金台帐!B2244+ROW()/100000,"")</f>
      </c>
    </row>
    <row r="3742">
      <c r="A3742">
        <f>IF(OR(出库明细!C2742="",出库明细!D2742=""),"",IF(OR(COUNTIFS(存条明细!$C$4:$C$1003,出库明细!C2742,存条明细!$D$4:$D$1003,出库明细!D2742)&gt;0,COUNTIFS(出库明细!$C$4:C2742,出库明细!C2742,出库明细!$D$4:D2742,出库明细!D2742)&gt;1),"",IFERROR(MATCH(出库明细!C2742,总览汇总!$B$5:$B$304,0),900)*10000000+IFERROR(MATCH(出库明细!D2742,基础资料!$E$5:$E$104,0),900)*10000+ROW()))</f>
      </c>
      <c r="F3742">
        <f>IF(AND(资金台帐!J745&lt;&gt;"",资金台帐!J745=客户对账单!$B$4,资金台帐!P745="应收",ISNUMBER(资金台帐!B745),资金台帐!B745&gt;=客户对账单!$G$4,资金台帐!B745&lt;=客户对账单!$I$4),资金台帐!B745+ROW()/100000,"")</f>
      </c>
      <c r="H3742">
        <f>IF(AND(资金台帐!K2245&lt;&gt;"",资金台帐!K2245=供应商对账单!$B$4,资金台帐!P2245="应付",ISNUMBER(资金台帐!B2245),资金台帐!B2245&gt;=供应商对账单!$G$4,资金台帐!B2245&lt;=供应商对账单!$I$4),资金台帐!B2245+ROW()/100000,"")</f>
      </c>
    </row>
    <row r="3743">
      <c r="A3743">
        <f>IF(OR(出库明细!C2743="",出库明细!D2743=""),"",IF(OR(COUNTIFS(存条明细!$C$4:$C$1003,出库明细!C2743,存条明细!$D$4:$D$1003,出库明细!D2743)&gt;0,COUNTIFS(出库明细!$C$4:C2743,出库明细!C2743,出库明细!$D$4:D2743,出库明细!D2743)&gt;1),"",IFERROR(MATCH(出库明细!C2743,总览汇总!$B$5:$B$304,0),900)*10000000+IFERROR(MATCH(出库明细!D2743,基础资料!$E$5:$E$104,0),900)*10000+ROW()))</f>
      </c>
      <c r="F3743">
        <f>IF(AND(资金台帐!J746&lt;&gt;"",资金台帐!J746=客户对账单!$B$4,资金台帐!P746="应收",ISNUMBER(资金台帐!B746),资金台帐!B746&gt;=客户对账单!$G$4,资金台帐!B746&lt;=客户对账单!$I$4),资金台帐!B746+ROW()/100000,"")</f>
      </c>
      <c r="H3743">
        <f>IF(AND(资金台帐!K2246&lt;&gt;"",资金台帐!K2246=供应商对账单!$B$4,资金台帐!P2246="应付",ISNUMBER(资金台帐!B2246),资金台帐!B2246&gt;=供应商对账单!$G$4,资金台帐!B2246&lt;=供应商对账单!$I$4),资金台帐!B2246+ROW()/100000,"")</f>
      </c>
    </row>
    <row r="3744">
      <c r="A3744">
        <f>IF(OR(出库明细!C2744="",出库明细!D2744=""),"",IF(OR(COUNTIFS(存条明细!$C$4:$C$1003,出库明细!C2744,存条明细!$D$4:$D$1003,出库明细!D2744)&gt;0,COUNTIFS(出库明细!$C$4:C2744,出库明细!C2744,出库明细!$D$4:D2744,出库明细!D2744)&gt;1),"",IFERROR(MATCH(出库明细!C2744,总览汇总!$B$5:$B$304,0),900)*10000000+IFERROR(MATCH(出库明细!D2744,基础资料!$E$5:$E$104,0),900)*10000+ROW()))</f>
      </c>
      <c r="F3744">
        <f>IF(AND(资金台帐!J747&lt;&gt;"",资金台帐!J747=客户对账单!$B$4,资金台帐!P747="应收",ISNUMBER(资金台帐!B747),资金台帐!B747&gt;=客户对账单!$G$4,资金台帐!B747&lt;=客户对账单!$I$4),资金台帐!B747+ROW()/100000,"")</f>
      </c>
      <c r="H3744">
        <f>IF(AND(资金台帐!K2247&lt;&gt;"",资金台帐!K2247=供应商对账单!$B$4,资金台帐!P2247="应付",ISNUMBER(资金台帐!B2247),资金台帐!B2247&gt;=供应商对账单!$G$4,资金台帐!B2247&lt;=供应商对账单!$I$4),资金台帐!B2247+ROW()/100000,"")</f>
      </c>
    </row>
    <row r="3745">
      <c r="A3745">
        <f>IF(OR(出库明细!C2745="",出库明细!D2745=""),"",IF(OR(COUNTIFS(存条明细!$C$4:$C$1003,出库明细!C2745,存条明细!$D$4:$D$1003,出库明细!D2745)&gt;0,COUNTIFS(出库明细!$C$4:C2745,出库明细!C2745,出库明细!$D$4:D2745,出库明细!D2745)&gt;1),"",IFERROR(MATCH(出库明细!C2745,总览汇总!$B$5:$B$304,0),900)*10000000+IFERROR(MATCH(出库明细!D2745,基础资料!$E$5:$E$104,0),900)*10000+ROW()))</f>
      </c>
      <c r="F3745">
        <f>IF(AND(资金台帐!J748&lt;&gt;"",资金台帐!J748=客户对账单!$B$4,资金台帐!P748="应收",ISNUMBER(资金台帐!B748),资金台帐!B748&gt;=客户对账单!$G$4,资金台帐!B748&lt;=客户对账单!$I$4),资金台帐!B748+ROW()/100000,"")</f>
      </c>
      <c r="H3745">
        <f>IF(AND(资金台帐!K2248&lt;&gt;"",资金台帐!K2248=供应商对账单!$B$4,资金台帐!P2248="应付",ISNUMBER(资金台帐!B2248),资金台帐!B2248&gt;=供应商对账单!$G$4,资金台帐!B2248&lt;=供应商对账单!$I$4),资金台帐!B2248+ROW()/100000,"")</f>
      </c>
    </row>
    <row r="3746">
      <c r="A3746">
        <f>IF(OR(出库明细!C2746="",出库明细!D2746=""),"",IF(OR(COUNTIFS(存条明细!$C$4:$C$1003,出库明细!C2746,存条明细!$D$4:$D$1003,出库明细!D2746)&gt;0,COUNTIFS(出库明细!$C$4:C2746,出库明细!C2746,出库明细!$D$4:D2746,出库明细!D2746)&gt;1),"",IFERROR(MATCH(出库明细!C2746,总览汇总!$B$5:$B$304,0),900)*10000000+IFERROR(MATCH(出库明细!D2746,基础资料!$E$5:$E$104,0),900)*10000+ROW()))</f>
      </c>
      <c r="F3746">
        <f>IF(AND(资金台帐!J749&lt;&gt;"",资金台帐!J749=客户对账单!$B$4,资金台帐!P749="应收",ISNUMBER(资金台帐!B749),资金台帐!B749&gt;=客户对账单!$G$4,资金台帐!B749&lt;=客户对账单!$I$4),资金台帐!B749+ROW()/100000,"")</f>
      </c>
      <c r="H3746">
        <f>IF(AND(资金台帐!K2249&lt;&gt;"",资金台帐!K2249=供应商对账单!$B$4,资金台帐!P2249="应付",ISNUMBER(资金台帐!B2249),资金台帐!B2249&gt;=供应商对账单!$G$4,资金台帐!B2249&lt;=供应商对账单!$I$4),资金台帐!B2249+ROW()/100000,"")</f>
      </c>
    </row>
    <row r="3747">
      <c r="A3747">
        <f>IF(OR(出库明细!C2747="",出库明细!D2747=""),"",IF(OR(COUNTIFS(存条明细!$C$4:$C$1003,出库明细!C2747,存条明细!$D$4:$D$1003,出库明细!D2747)&gt;0,COUNTIFS(出库明细!$C$4:C2747,出库明细!C2747,出库明细!$D$4:D2747,出库明细!D2747)&gt;1),"",IFERROR(MATCH(出库明细!C2747,总览汇总!$B$5:$B$304,0),900)*10000000+IFERROR(MATCH(出库明细!D2747,基础资料!$E$5:$E$104,0),900)*10000+ROW()))</f>
      </c>
      <c r="F3747">
        <f>IF(AND(资金台帐!J750&lt;&gt;"",资金台帐!J750=客户对账单!$B$4,资金台帐!P750="应收",ISNUMBER(资金台帐!B750),资金台帐!B750&gt;=客户对账单!$G$4,资金台帐!B750&lt;=客户对账单!$I$4),资金台帐!B750+ROW()/100000,"")</f>
      </c>
      <c r="H3747">
        <f>IF(AND(资金台帐!K2250&lt;&gt;"",资金台帐!K2250=供应商对账单!$B$4,资金台帐!P2250="应付",ISNUMBER(资金台帐!B2250),资金台帐!B2250&gt;=供应商对账单!$G$4,资金台帐!B2250&lt;=供应商对账单!$I$4),资金台帐!B2250+ROW()/100000,"")</f>
      </c>
    </row>
    <row r="3748">
      <c r="A3748">
        <f>IF(OR(出库明细!C2748="",出库明细!D2748=""),"",IF(OR(COUNTIFS(存条明细!$C$4:$C$1003,出库明细!C2748,存条明细!$D$4:$D$1003,出库明细!D2748)&gt;0,COUNTIFS(出库明细!$C$4:C2748,出库明细!C2748,出库明细!$D$4:D2748,出库明细!D2748)&gt;1),"",IFERROR(MATCH(出库明细!C2748,总览汇总!$B$5:$B$304,0),900)*10000000+IFERROR(MATCH(出库明细!D2748,基础资料!$E$5:$E$104,0),900)*10000+ROW()))</f>
      </c>
      <c r="F3748">
        <f>IF(AND(资金台帐!J751&lt;&gt;"",资金台帐!J751=客户对账单!$B$4,资金台帐!P751="应收",ISNUMBER(资金台帐!B751),资金台帐!B751&gt;=客户对账单!$G$4,资金台帐!B751&lt;=客户对账单!$I$4),资金台帐!B751+ROW()/100000,"")</f>
      </c>
      <c r="H3748">
        <f>IF(AND(资金台帐!K2251&lt;&gt;"",资金台帐!K2251=供应商对账单!$B$4,资金台帐!P2251="应付",ISNUMBER(资金台帐!B2251),资金台帐!B2251&gt;=供应商对账单!$G$4,资金台帐!B2251&lt;=供应商对账单!$I$4),资金台帐!B2251+ROW()/100000,"")</f>
      </c>
    </row>
    <row r="3749">
      <c r="A3749">
        <f>IF(OR(出库明细!C2749="",出库明细!D2749=""),"",IF(OR(COUNTIFS(存条明细!$C$4:$C$1003,出库明细!C2749,存条明细!$D$4:$D$1003,出库明细!D2749)&gt;0,COUNTIFS(出库明细!$C$4:C2749,出库明细!C2749,出库明细!$D$4:D2749,出库明细!D2749)&gt;1),"",IFERROR(MATCH(出库明细!C2749,总览汇总!$B$5:$B$304,0),900)*10000000+IFERROR(MATCH(出库明细!D2749,基础资料!$E$5:$E$104,0),900)*10000+ROW()))</f>
      </c>
      <c r="F3749">
        <f>IF(AND(资金台帐!J752&lt;&gt;"",资金台帐!J752=客户对账单!$B$4,资金台帐!P752="应收",ISNUMBER(资金台帐!B752),资金台帐!B752&gt;=客户对账单!$G$4,资金台帐!B752&lt;=客户对账单!$I$4),资金台帐!B752+ROW()/100000,"")</f>
      </c>
      <c r="H3749">
        <f>IF(AND(资金台帐!K2252&lt;&gt;"",资金台帐!K2252=供应商对账单!$B$4,资金台帐!P2252="应付",ISNUMBER(资金台帐!B2252),资金台帐!B2252&gt;=供应商对账单!$G$4,资金台帐!B2252&lt;=供应商对账单!$I$4),资金台帐!B2252+ROW()/100000,"")</f>
      </c>
    </row>
    <row r="3750">
      <c r="A3750">
        <f>IF(OR(出库明细!C2750="",出库明细!D2750=""),"",IF(OR(COUNTIFS(存条明细!$C$4:$C$1003,出库明细!C2750,存条明细!$D$4:$D$1003,出库明细!D2750)&gt;0,COUNTIFS(出库明细!$C$4:C2750,出库明细!C2750,出库明细!$D$4:D2750,出库明细!D2750)&gt;1),"",IFERROR(MATCH(出库明细!C2750,总览汇总!$B$5:$B$304,0),900)*10000000+IFERROR(MATCH(出库明细!D2750,基础资料!$E$5:$E$104,0),900)*10000+ROW()))</f>
      </c>
      <c r="F3750">
        <f>IF(AND(资金台帐!J753&lt;&gt;"",资金台帐!J753=客户对账单!$B$4,资金台帐!P753="应收",ISNUMBER(资金台帐!B753),资金台帐!B753&gt;=客户对账单!$G$4,资金台帐!B753&lt;=客户对账单!$I$4),资金台帐!B753+ROW()/100000,"")</f>
      </c>
      <c r="H3750">
        <f>IF(AND(资金台帐!K2253&lt;&gt;"",资金台帐!K2253=供应商对账单!$B$4,资金台帐!P2253="应付",ISNUMBER(资金台帐!B2253),资金台帐!B2253&gt;=供应商对账单!$G$4,资金台帐!B2253&lt;=供应商对账单!$I$4),资金台帐!B2253+ROW()/100000,"")</f>
      </c>
    </row>
    <row r="3751">
      <c r="A3751">
        <f>IF(OR(出库明细!C2751="",出库明细!D2751=""),"",IF(OR(COUNTIFS(存条明细!$C$4:$C$1003,出库明细!C2751,存条明细!$D$4:$D$1003,出库明细!D2751)&gt;0,COUNTIFS(出库明细!$C$4:C2751,出库明细!C2751,出库明细!$D$4:D2751,出库明细!D2751)&gt;1),"",IFERROR(MATCH(出库明细!C2751,总览汇总!$B$5:$B$304,0),900)*10000000+IFERROR(MATCH(出库明细!D2751,基础资料!$E$5:$E$104,0),900)*10000+ROW()))</f>
      </c>
      <c r="F3751">
        <f>IF(AND(资金台帐!J754&lt;&gt;"",资金台帐!J754=客户对账单!$B$4,资金台帐!P754="应收",ISNUMBER(资金台帐!B754),资金台帐!B754&gt;=客户对账单!$G$4,资金台帐!B754&lt;=客户对账单!$I$4),资金台帐!B754+ROW()/100000,"")</f>
      </c>
      <c r="H3751">
        <f>IF(AND(资金台帐!K2254&lt;&gt;"",资金台帐!K2254=供应商对账单!$B$4,资金台帐!P2254="应付",ISNUMBER(资金台帐!B2254),资金台帐!B2254&gt;=供应商对账单!$G$4,资金台帐!B2254&lt;=供应商对账单!$I$4),资金台帐!B2254+ROW()/100000,"")</f>
      </c>
    </row>
    <row r="3752">
      <c r="A3752">
        <f>IF(OR(出库明细!C2752="",出库明细!D2752=""),"",IF(OR(COUNTIFS(存条明细!$C$4:$C$1003,出库明细!C2752,存条明细!$D$4:$D$1003,出库明细!D2752)&gt;0,COUNTIFS(出库明细!$C$4:C2752,出库明细!C2752,出库明细!$D$4:D2752,出库明细!D2752)&gt;1),"",IFERROR(MATCH(出库明细!C2752,总览汇总!$B$5:$B$304,0),900)*10000000+IFERROR(MATCH(出库明细!D2752,基础资料!$E$5:$E$104,0),900)*10000+ROW()))</f>
      </c>
      <c r="F3752">
        <f>IF(AND(资金台帐!J755&lt;&gt;"",资金台帐!J755=客户对账单!$B$4,资金台帐!P755="应收",ISNUMBER(资金台帐!B755),资金台帐!B755&gt;=客户对账单!$G$4,资金台帐!B755&lt;=客户对账单!$I$4),资金台帐!B755+ROW()/100000,"")</f>
      </c>
      <c r="H3752">
        <f>IF(AND(资金台帐!K2255&lt;&gt;"",资金台帐!K2255=供应商对账单!$B$4,资金台帐!P2255="应付",ISNUMBER(资金台帐!B2255),资金台帐!B2255&gt;=供应商对账单!$G$4,资金台帐!B2255&lt;=供应商对账单!$I$4),资金台帐!B2255+ROW()/100000,"")</f>
      </c>
    </row>
    <row r="3753">
      <c r="A3753">
        <f>IF(OR(出库明细!C2753="",出库明细!D2753=""),"",IF(OR(COUNTIFS(存条明细!$C$4:$C$1003,出库明细!C2753,存条明细!$D$4:$D$1003,出库明细!D2753)&gt;0,COUNTIFS(出库明细!$C$4:C2753,出库明细!C2753,出库明细!$D$4:D2753,出库明细!D2753)&gt;1),"",IFERROR(MATCH(出库明细!C2753,总览汇总!$B$5:$B$304,0),900)*10000000+IFERROR(MATCH(出库明细!D2753,基础资料!$E$5:$E$104,0),900)*10000+ROW()))</f>
      </c>
      <c r="F3753">
        <f>IF(AND(资金台帐!J756&lt;&gt;"",资金台帐!J756=客户对账单!$B$4,资金台帐!P756="应收",ISNUMBER(资金台帐!B756),资金台帐!B756&gt;=客户对账单!$G$4,资金台帐!B756&lt;=客户对账单!$I$4),资金台帐!B756+ROW()/100000,"")</f>
      </c>
      <c r="H3753">
        <f>IF(AND(资金台帐!K2256&lt;&gt;"",资金台帐!K2256=供应商对账单!$B$4,资金台帐!P2256="应付",ISNUMBER(资金台帐!B2256),资金台帐!B2256&gt;=供应商对账单!$G$4,资金台帐!B2256&lt;=供应商对账单!$I$4),资金台帐!B2256+ROW()/100000,"")</f>
      </c>
    </row>
    <row r="3754">
      <c r="A3754">
        <f>IF(OR(出库明细!C2754="",出库明细!D2754=""),"",IF(OR(COUNTIFS(存条明细!$C$4:$C$1003,出库明细!C2754,存条明细!$D$4:$D$1003,出库明细!D2754)&gt;0,COUNTIFS(出库明细!$C$4:C2754,出库明细!C2754,出库明细!$D$4:D2754,出库明细!D2754)&gt;1),"",IFERROR(MATCH(出库明细!C2754,总览汇总!$B$5:$B$304,0),900)*10000000+IFERROR(MATCH(出库明细!D2754,基础资料!$E$5:$E$104,0),900)*10000+ROW()))</f>
      </c>
      <c r="F3754">
        <f>IF(AND(资金台帐!J757&lt;&gt;"",资金台帐!J757=客户对账单!$B$4,资金台帐!P757="应收",ISNUMBER(资金台帐!B757),资金台帐!B757&gt;=客户对账单!$G$4,资金台帐!B757&lt;=客户对账单!$I$4),资金台帐!B757+ROW()/100000,"")</f>
      </c>
      <c r="H3754">
        <f>IF(AND(资金台帐!K2257&lt;&gt;"",资金台帐!K2257=供应商对账单!$B$4,资金台帐!P2257="应付",ISNUMBER(资金台帐!B2257),资金台帐!B2257&gt;=供应商对账单!$G$4,资金台帐!B2257&lt;=供应商对账单!$I$4),资金台帐!B2257+ROW()/100000,"")</f>
      </c>
    </row>
    <row r="3755">
      <c r="A3755">
        <f>IF(OR(出库明细!C2755="",出库明细!D2755=""),"",IF(OR(COUNTIFS(存条明细!$C$4:$C$1003,出库明细!C2755,存条明细!$D$4:$D$1003,出库明细!D2755)&gt;0,COUNTIFS(出库明细!$C$4:C2755,出库明细!C2755,出库明细!$D$4:D2755,出库明细!D2755)&gt;1),"",IFERROR(MATCH(出库明细!C2755,总览汇总!$B$5:$B$304,0),900)*10000000+IFERROR(MATCH(出库明细!D2755,基础资料!$E$5:$E$104,0),900)*10000+ROW()))</f>
      </c>
      <c r="F3755">
        <f>IF(AND(资金台帐!J758&lt;&gt;"",资金台帐!J758=客户对账单!$B$4,资金台帐!P758="应收",ISNUMBER(资金台帐!B758),资金台帐!B758&gt;=客户对账单!$G$4,资金台帐!B758&lt;=客户对账单!$I$4),资金台帐!B758+ROW()/100000,"")</f>
      </c>
      <c r="H3755">
        <f>IF(AND(资金台帐!K2258&lt;&gt;"",资金台帐!K2258=供应商对账单!$B$4,资金台帐!P2258="应付",ISNUMBER(资金台帐!B2258),资金台帐!B2258&gt;=供应商对账单!$G$4,资金台帐!B2258&lt;=供应商对账单!$I$4),资金台帐!B2258+ROW()/100000,"")</f>
      </c>
    </row>
    <row r="3756">
      <c r="A3756">
        <f>IF(OR(出库明细!C2756="",出库明细!D2756=""),"",IF(OR(COUNTIFS(存条明细!$C$4:$C$1003,出库明细!C2756,存条明细!$D$4:$D$1003,出库明细!D2756)&gt;0,COUNTIFS(出库明细!$C$4:C2756,出库明细!C2756,出库明细!$D$4:D2756,出库明细!D2756)&gt;1),"",IFERROR(MATCH(出库明细!C2756,总览汇总!$B$5:$B$304,0),900)*10000000+IFERROR(MATCH(出库明细!D2756,基础资料!$E$5:$E$104,0),900)*10000+ROW()))</f>
      </c>
      <c r="F3756">
        <f>IF(AND(资金台帐!J759&lt;&gt;"",资金台帐!J759=客户对账单!$B$4,资金台帐!P759="应收",ISNUMBER(资金台帐!B759),资金台帐!B759&gt;=客户对账单!$G$4,资金台帐!B759&lt;=客户对账单!$I$4),资金台帐!B759+ROW()/100000,"")</f>
      </c>
      <c r="H3756">
        <f>IF(AND(资金台帐!K2259&lt;&gt;"",资金台帐!K2259=供应商对账单!$B$4,资金台帐!P2259="应付",ISNUMBER(资金台帐!B2259),资金台帐!B2259&gt;=供应商对账单!$G$4,资金台帐!B2259&lt;=供应商对账单!$I$4),资金台帐!B2259+ROW()/100000,"")</f>
      </c>
    </row>
    <row r="3757">
      <c r="A3757">
        <f>IF(OR(出库明细!C2757="",出库明细!D2757=""),"",IF(OR(COUNTIFS(存条明细!$C$4:$C$1003,出库明细!C2757,存条明细!$D$4:$D$1003,出库明细!D2757)&gt;0,COUNTIFS(出库明细!$C$4:C2757,出库明细!C2757,出库明细!$D$4:D2757,出库明细!D2757)&gt;1),"",IFERROR(MATCH(出库明细!C2757,总览汇总!$B$5:$B$304,0),900)*10000000+IFERROR(MATCH(出库明细!D2757,基础资料!$E$5:$E$104,0),900)*10000+ROW()))</f>
      </c>
      <c r="F3757">
        <f>IF(AND(资金台帐!J760&lt;&gt;"",资金台帐!J760=客户对账单!$B$4,资金台帐!P760="应收",ISNUMBER(资金台帐!B760),资金台帐!B760&gt;=客户对账单!$G$4,资金台帐!B760&lt;=客户对账单!$I$4),资金台帐!B760+ROW()/100000,"")</f>
      </c>
      <c r="H3757">
        <f>IF(AND(资金台帐!K2260&lt;&gt;"",资金台帐!K2260=供应商对账单!$B$4,资金台帐!P2260="应付",ISNUMBER(资金台帐!B2260),资金台帐!B2260&gt;=供应商对账单!$G$4,资金台帐!B2260&lt;=供应商对账单!$I$4),资金台帐!B2260+ROW()/100000,"")</f>
      </c>
    </row>
    <row r="3758">
      <c r="A3758">
        <f>IF(OR(出库明细!C2758="",出库明细!D2758=""),"",IF(OR(COUNTIFS(存条明细!$C$4:$C$1003,出库明细!C2758,存条明细!$D$4:$D$1003,出库明细!D2758)&gt;0,COUNTIFS(出库明细!$C$4:C2758,出库明细!C2758,出库明细!$D$4:D2758,出库明细!D2758)&gt;1),"",IFERROR(MATCH(出库明细!C2758,总览汇总!$B$5:$B$304,0),900)*10000000+IFERROR(MATCH(出库明细!D2758,基础资料!$E$5:$E$104,0),900)*10000+ROW()))</f>
      </c>
      <c r="F3758">
        <f>IF(AND(资金台帐!J761&lt;&gt;"",资金台帐!J761=客户对账单!$B$4,资金台帐!P761="应收",ISNUMBER(资金台帐!B761),资金台帐!B761&gt;=客户对账单!$G$4,资金台帐!B761&lt;=客户对账单!$I$4),资金台帐!B761+ROW()/100000,"")</f>
      </c>
      <c r="H3758">
        <f>IF(AND(资金台帐!K2261&lt;&gt;"",资金台帐!K2261=供应商对账单!$B$4,资金台帐!P2261="应付",ISNUMBER(资金台帐!B2261),资金台帐!B2261&gt;=供应商对账单!$G$4,资金台帐!B2261&lt;=供应商对账单!$I$4),资金台帐!B2261+ROW()/100000,"")</f>
      </c>
    </row>
    <row r="3759">
      <c r="A3759">
        <f>IF(OR(出库明细!C2759="",出库明细!D2759=""),"",IF(OR(COUNTIFS(存条明细!$C$4:$C$1003,出库明细!C2759,存条明细!$D$4:$D$1003,出库明细!D2759)&gt;0,COUNTIFS(出库明细!$C$4:C2759,出库明细!C2759,出库明细!$D$4:D2759,出库明细!D2759)&gt;1),"",IFERROR(MATCH(出库明细!C2759,总览汇总!$B$5:$B$304,0),900)*10000000+IFERROR(MATCH(出库明细!D2759,基础资料!$E$5:$E$104,0),900)*10000+ROW()))</f>
      </c>
      <c r="F3759">
        <f>IF(AND(资金台帐!J762&lt;&gt;"",资金台帐!J762=客户对账单!$B$4,资金台帐!P762="应收",ISNUMBER(资金台帐!B762),资金台帐!B762&gt;=客户对账单!$G$4,资金台帐!B762&lt;=客户对账单!$I$4),资金台帐!B762+ROW()/100000,"")</f>
      </c>
      <c r="H3759">
        <f>IF(AND(资金台帐!K2262&lt;&gt;"",资金台帐!K2262=供应商对账单!$B$4,资金台帐!P2262="应付",ISNUMBER(资金台帐!B2262),资金台帐!B2262&gt;=供应商对账单!$G$4,资金台帐!B2262&lt;=供应商对账单!$I$4),资金台帐!B2262+ROW()/100000,"")</f>
      </c>
    </row>
    <row r="3760">
      <c r="A3760">
        <f>IF(OR(出库明细!C2760="",出库明细!D2760=""),"",IF(OR(COUNTIFS(存条明细!$C$4:$C$1003,出库明细!C2760,存条明细!$D$4:$D$1003,出库明细!D2760)&gt;0,COUNTIFS(出库明细!$C$4:C2760,出库明细!C2760,出库明细!$D$4:D2760,出库明细!D2760)&gt;1),"",IFERROR(MATCH(出库明细!C2760,总览汇总!$B$5:$B$304,0),900)*10000000+IFERROR(MATCH(出库明细!D2760,基础资料!$E$5:$E$104,0),900)*10000+ROW()))</f>
      </c>
      <c r="F3760">
        <f>IF(AND(资金台帐!J763&lt;&gt;"",资金台帐!J763=客户对账单!$B$4,资金台帐!P763="应收",ISNUMBER(资金台帐!B763),资金台帐!B763&gt;=客户对账单!$G$4,资金台帐!B763&lt;=客户对账单!$I$4),资金台帐!B763+ROW()/100000,"")</f>
      </c>
      <c r="H3760">
        <f>IF(AND(资金台帐!K2263&lt;&gt;"",资金台帐!K2263=供应商对账单!$B$4,资金台帐!P2263="应付",ISNUMBER(资金台帐!B2263),资金台帐!B2263&gt;=供应商对账单!$G$4,资金台帐!B2263&lt;=供应商对账单!$I$4),资金台帐!B2263+ROW()/100000,"")</f>
      </c>
    </row>
    <row r="3761">
      <c r="A3761">
        <f>IF(OR(出库明细!C2761="",出库明细!D2761=""),"",IF(OR(COUNTIFS(存条明细!$C$4:$C$1003,出库明细!C2761,存条明细!$D$4:$D$1003,出库明细!D2761)&gt;0,COUNTIFS(出库明细!$C$4:C2761,出库明细!C2761,出库明细!$D$4:D2761,出库明细!D2761)&gt;1),"",IFERROR(MATCH(出库明细!C2761,总览汇总!$B$5:$B$304,0),900)*10000000+IFERROR(MATCH(出库明细!D2761,基础资料!$E$5:$E$104,0),900)*10000+ROW()))</f>
      </c>
      <c r="F3761">
        <f>IF(AND(资金台帐!J764&lt;&gt;"",资金台帐!J764=客户对账单!$B$4,资金台帐!P764="应收",ISNUMBER(资金台帐!B764),资金台帐!B764&gt;=客户对账单!$G$4,资金台帐!B764&lt;=客户对账单!$I$4),资金台帐!B764+ROW()/100000,"")</f>
      </c>
      <c r="H3761">
        <f>IF(AND(资金台帐!K2264&lt;&gt;"",资金台帐!K2264=供应商对账单!$B$4,资金台帐!P2264="应付",ISNUMBER(资金台帐!B2264),资金台帐!B2264&gt;=供应商对账单!$G$4,资金台帐!B2264&lt;=供应商对账单!$I$4),资金台帐!B2264+ROW()/100000,"")</f>
      </c>
    </row>
    <row r="3762">
      <c r="A3762">
        <f>IF(OR(出库明细!C2762="",出库明细!D2762=""),"",IF(OR(COUNTIFS(存条明细!$C$4:$C$1003,出库明细!C2762,存条明细!$D$4:$D$1003,出库明细!D2762)&gt;0,COUNTIFS(出库明细!$C$4:C2762,出库明细!C2762,出库明细!$D$4:D2762,出库明细!D2762)&gt;1),"",IFERROR(MATCH(出库明细!C2762,总览汇总!$B$5:$B$304,0),900)*10000000+IFERROR(MATCH(出库明细!D2762,基础资料!$E$5:$E$104,0),900)*10000+ROW()))</f>
      </c>
      <c r="F3762">
        <f>IF(AND(资金台帐!J765&lt;&gt;"",资金台帐!J765=客户对账单!$B$4,资金台帐!P765="应收",ISNUMBER(资金台帐!B765),资金台帐!B765&gt;=客户对账单!$G$4,资金台帐!B765&lt;=客户对账单!$I$4),资金台帐!B765+ROW()/100000,"")</f>
      </c>
      <c r="H3762">
        <f>IF(AND(资金台帐!K2265&lt;&gt;"",资金台帐!K2265=供应商对账单!$B$4,资金台帐!P2265="应付",ISNUMBER(资金台帐!B2265),资金台帐!B2265&gt;=供应商对账单!$G$4,资金台帐!B2265&lt;=供应商对账单!$I$4),资金台帐!B2265+ROW()/100000,"")</f>
      </c>
    </row>
    <row r="3763">
      <c r="A3763">
        <f>IF(OR(出库明细!C2763="",出库明细!D2763=""),"",IF(OR(COUNTIFS(存条明细!$C$4:$C$1003,出库明细!C2763,存条明细!$D$4:$D$1003,出库明细!D2763)&gt;0,COUNTIFS(出库明细!$C$4:C2763,出库明细!C2763,出库明细!$D$4:D2763,出库明细!D2763)&gt;1),"",IFERROR(MATCH(出库明细!C2763,总览汇总!$B$5:$B$304,0),900)*10000000+IFERROR(MATCH(出库明细!D2763,基础资料!$E$5:$E$104,0),900)*10000+ROW()))</f>
      </c>
      <c r="F3763">
        <f>IF(AND(资金台帐!J766&lt;&gt;"",资金台帐!J766=客户对账单!$B$4,资金台帐!P766="应收",ISNUMBER(资金台帐!B766),资金台帐!B766&gt;=客户对账单!$G$4,资金台帐!B766&lt;=客户对账单!$I$4),资金台帐!B766+ROW()/100000,"")</f>
      </c>
      <c r="H3763">
        <f>IF(AND(资金台帐!K2266&lt;&gt;"",资金台帐!K2266=供应商对账单!$B$4,资金台帐!P2266="应付",ISNUMBER(资金台帐!B2266),资金台帐!B2266&gt;=供应商对账单!$G$4,资金台帐!B2266&lt;=供应商对账单!$I$4),资金台帐!B2266+ROW()/100000,"")</f>
      </c>
    </row>
    <row r="3764">
      <c r="A3764">
        <f>IF(OR(出库明细!C2764="",出库明细!D2764=""),"",IF(OR(COUNTIFS(存条明细!$C$4:$C$1003,出库明细!C2764,存条明细!$D$4:$D$1003,出库明细!D2764)&gt;0,COUNTIFS(出库明细!$C$4:C2764,出库明细!C2764,出库明细!$D$4:D2764,出库明细!D2764)&gt;1),"",IFERROR(MATCH(出库明细!C2764,总览汇总!$B$5:$B$304,0),900)*10000000+IFERROR(MATCH(出库明细!D2764,基础资料!$E$5:$E$104,0),900)*10000+ROW()))</f>
      </c>
      <c r="F3764">
        <f>IF(AND(资金台帐!J767&lt;&gt;"",资金台帐!J767=客户对账单!$B$4,资金台帐!P767="应收",ISNUMBER(资金台帐!B767),资金台帐!B767&gt;=客户对账单!$G$4,资金台帐!B767&lt;=客户对账单!$I$4),资金台帐!B767+ROW()/100000,"")</f>
      </c>
      <c r="H3764">
        <f>IF(AND(资金台帐!K2267&lt;&gt;"",资金台帐!K2267=供应商对账单!$B$4,资金台帐!P2267="应付",ISNUMBER(资金台帐!B2267),资金台帐!B2267&gt;=供应商对账单!$G$4,资金台帐!B2267&lt;=供应商对账单!$I$4),资金台帐!B2267+ROW()/100000,"")</f>
      </c>
    </row>
    <row r="3765">
      <c r="A3765">
        <f>IF(OR(出库明细!C2765="",出库明细!D2765=""),"",IF(OR(COUNTIFS(存条明细!$C$4:$C$1003,出库明细!C2765,存条明细!$D$4:$D$1003,出库明细!D2765)&gt;0,COUNTIFS(出库明细!$C$4:C2765,出库明细!C2765,出库明细!$D$4:D2765,出库明细!D2765)&gt;1),"",IFERROR(MATCH(出库明细!C2765,总览汇总!$B$5:$B$304,0),900)*10000000+IFERROR(MATCH(出库明细!D2765,基础资料!$E$5:$E$104,0),900)*10000+ROW()))</f>
      </c>
      <c r="F3765">
        <f>IF(AND(资金台帐!J768&lt;&gt;"",资金台帐!J768=客户对账单!$B$4,资金台帐!P768="应收",ISNUMBER(资金台帐!B768),资金台帐!B768&gt;=客户对账单!$G$4,资金台帐!B768&lt;=客户对账单!$I$4),资金台帐!B768+ROW()/100000,"")</f>
      </c>
      <c r="H3765">
        <f>IF(AND(资金台帐!K2268&lt;&gt;"",资金台帐!K2268=供应商对账单!$B$4,资金台帐!P2268="应付",ISNUMBER(资金台帐!B2268),资金台帐!B2268&gt;=供应商对账单!$G$4,资金台帐!B2268&lt;=供应商对账单!$I$4),资金台帐!B2268+ROW()/100000,"")</f>
      </c>
    </row>
    <row r="3766">
      <c r="A3766">
        <f>IF(OR(出库明细!C2766="",出库明细!D2766=""),"",IF(OR(COUNTIFS(存条明细!$C$4:$C$1003,出库明细!C2766,存条明细!$D$4:$D$1003,出库明细!D2766)&gt;0,COUNTIFS(出库明细!$C$4:C2766,出库明细!C2766,出库明细!$D$4:D2766,出库明细!D2766)&gt;1),"",IFERROR(MATCH(出库明细!C2766,总览汇总!$B$5:$B$304,0),900)*10000000+IFERROR(MATCH(出库明细!D2766,基础资料!$E$5:$E$104,0),900)*10000+ROW()))</f>
      </c>
      <c r="F3766">
        <f>IF(AND(资金台帐!J769&lt;&gt;"",资金台帐!J769=客户对账单!$B$4,资金台帐!P769="应收",ISNUMBER(资金台帐!B769),资金台帐!B769&gt;=客户对账单!$G$4,资金台帐!B769&lt;=客户对账单!$I$4),资金台帐!B769+ROW()/100000,"")</f>
      </c>
      <c r="H3766">
        <f>IF(AND(资金台帐!K2269&lt;&gt;"",资金台帐!K2269=供应商对账单!$B$4,资金台帐!P2269="应付",ISNUMBER(资金台帐!B2269),资金台帐!B2269&gt;=供应商对账单!$G$4,资金台帐!B2269&lt;=供应商对账单!$I$4),资金台帐!B2269+ROW()/100000,"")</f>
      </c>
    </row>
    <row r="3767">
      <c r="A3767">
        <f>IF(OR(出库明细!C2767="",出库明细!D2767=""),"",IF(OR(COUNTIFS(存条明细!$C$4:$C$1003,出库明细!C2767,存条明细!$D$4:$D$1003,出库明细!D2767)&gt;0,COUNTIFS(出库明细!$C$4:C2767,出库明细!C2767,出库明细!$D$4:D2767,出库明细!D2767)&gt;1),"",IFERROR(MATCH(出库明细!C2767,总览汇总!$B$5:$B$304,0),900)*10000000+IFERROR(MATCH(出库明细!D2767,基础资料!$E$5:$E$104,0),900)*10000+ROW()))</f>
      </c>
      <c r="F3767">
        <f>IF(AND(资金台帐!J770&lt;&gt;"",资金台帐!J770=客户对账单!$B$4,资金台帐!P770="应收",ISNUMBER(资金台帐!B770),资金台帐!B770&gt;=客户对账单!$G$4,资金台帐!B770&lt;=客户对账单!$I$4),资金台帐!B770+ROW()/100000,"")</f>
      </c>
      <c r="H3767">
        <f>IF(AND(资金台帐!K2270&lt;&gt;"",资金台帐!K2270=供应商对账单!$B$4,资金台帐!P2270="应付",ISNUMBER(资金台帐!B2270),资金台帐!B2270&gt;=供应商对账单!$G$4,资金台帐!B2270&lt;=供应商对账单!$I$4),资金台帐!B2270+ROW()/100000,"")</f>
      </c>
    </row>
    <row r="3768">
      <c r="A3768">
        <f>IF(OR(出库明细!C2768="",出库明细!D2768=""),"",IF(OR(COUNTIFS(存条明细!$C$4:$C$1003,出库明细!C2768,存条明细!$D$4:$D$1003,出库明细!D2768)&gt;0,COUNTIFS(出库明细!$C$4:C2768,出库明细!C2768,出库明细!$D$4:D2768,出库明细!D2768)&gt;1),"",IFERROR(MATCH(出库明细!C2768,总览汇总!$B$5:$B$304,0),900)*10000000+IFERROR(MATCH(出库明细!D2768,基础资料!$E$5:$E$104,0),900)*10000+ROW()))</f>
      </c>
      <c r="F3768">
        <f>IF(AND(资金台帐!J771&lt;&gt;"",资金台帐!J771=客户对账单!$B$4,资金台帐!P771="应收",ISNUMBER(资金台帐!B771),资金台帐!B771&gt;=客户对账单!$G$4,资金台帐!B771&lt;=客户对账单!$I$4),资金台帐!B771+ROW()/100000,"")</f>
      </c>
      <c r="H3768">
        <f>IF(AND(资金台帐!K2271&lt;&gt;"",资金台帐!K2271=供应商对账单!$B$4,资金台帐!P2271="应付",ISNUMBER(资金台帐!B2271),资金台帐!B2271&gt;=供应商对账单!$G$4,资金台帐!B2271&lt;=供应商对账单!$I$4),资金台帐!B2271+ROW()/100000,"")</f>
      </c>
    </row>
    <row r="3769">
      <c r="A3769">
        <f>IF(OR(出库明细!C2769="",出库明细!D2769=""),"",IF(OR(COUNTIFS(存条明细!$C$4:$C$1003,出库明细!C2769,存条明细!$D$4:$D$1003,出库明细!D2769)&gt;0,COUNTIFS(出库明细!$C$4:C2769,出库明细!C2769,出库明细!$D$4:D2769,出库明细!D2769)&gt;1),"",IFERROR(MATCH(出库明细!C2769,总览汇总!$B$5:$B$304,0),900)*10000000+IFERROR(MATCH(出库明细!D2769,基础资料!$E$5:$E$104,0),900)*10000+ROW()))</f>
      </c>
      <c r="F3769">
        <f>IF(AND(资金台帐!J772&lt;&gt;"",资金台帐!J772=客户对账单!$B$4,资金台帐!P772="应收",ISNUMBER(资金台帐!B772),资金台帐!B772&gt;=客户对账单!$G$4,资金台帐!B772&lt;=客户对账单!$I$4),资金台帐!B772+ROW()/100000,"")</f>
      </c>
      <c r="H3769">
        <f>IF(AND(资金台帐!K2272&lt;&gt;"",资金台帐!K2272=供应商对账单!$B$4,资金台帐!P2272="应付",ISNUMBER(资金台帐!B2272),资金台帐!B2272&gt;=供应商对账单!$G$4,资金台帐!B2272&lt;=供应商对账单!$I$4),资金台帐!B2272+ROW()/100000,"")</f>
      </c>
    </row>
    <row r="3770">
      <c r="A3770">
        <f>IF(OR(出库明细!C2770="",出库明细!D2770=""),"",IF(OR(COUNTIFS(存条明细!$C$4:$C$1003,出库明细!C2770,存条明细!$D$4:$D$1003,出库明细!D2770)&gt;0,COUNTIFS(出库明细!$C$4:C2770,出库明细!C2770,出库明细!$D$4:D2770,出库明细!D2770)&gt;1),"",IFERROR(MATCH(出库明细!C2770,总览汇总!$B$5:$B$304,0),900)*10000000+IFERROR(MATCH(出库明细!D2770,基础资料!$E$5:$E$104,0),900)*10000+ROW()))</f>
      </c>
      <c r="F3770">
        <f>IF(AND(资金台帐!J773&lt;&gt;"",资金台帐!J773=客户对账单!$B$4,资金台帐!P773="应收",ISNUMBER(资金台帐!B773),资金台帐!B773&gt;=客户对账单!$G$4,资金台帐!B773&lt;=客户对账单!$I$4),资金台帐!B773+ROW()/100000,"")</f>
      </c>
      <c r="H3770">
        <f>IF(AND(资金台帐!K2273&lt;&gt;"",资金台帐!K2273=供应商对账单!$B$4,资金台帐!P2273="应付",ISNUMBER(资金台帐!B2273),资金台帐!B2273&gt;=供应商对账单!$G$4,资金台帐!B2273&lt;=供应商对账单!$I$4),资金台帐!B2273+ROW()/100000,"")</f>
      </c>
    </row>
    <row r="3771">
      <c r="A3771">
        <f>IF(OR(出库明细!C2771="",出库明细!D2771=""),"",IF(OR(COUNTIFS(存条明细!$C$4:$C$1003,出库明细!C2771,存条明细!$D$4:$D$1003,出库明细!D2771)&gt;0,COUNTIFS(出库明细!$C$4:C2771,出库明细!C2771,出库明细!$D$4:D2771,出库明细!D2771)&gt;1),"",IFERROR(MATCH(出库明细!C2771,总览汇总!$B$5:$B$304,0),900)*10000000+IFERROR(MATCH(出库明细!D2771,基础资料!$E$5:$E$104,0),900)*10000+ROW()))</f>
      </c>
      <c r="F3771">
        <f>IF(AND(资金台帐!J774&lt;&gt;"",资金台帐!J774=客户对账单!$B$4,资金台帐!P774="应收",ISNUMBER(资金台帐!B774),资金台帐!B774&gt;=客户对账单!$G$4,资金台帐!B774&lt;=客户对账单!$I$4),资金台帐!B774+ROW()/100000,"")</f>
      </c>
      <c r="H3771">
        <f>IF(AND(资金台帐!K2274&lt;&gt;"",资金台帐!K2274=供应商对账单!$B$4,资金台帐!P2274="应付",ISNUMBER(资金台帐!B2274),资金台帐!B2274&gt;=供应商对账单!$G$4,资金台帐!B2274&lt;=供应商对账单!$I$4),资金台帐!B2274+ROW()/100000,"")</f>
      </c>
    </row>
    <row r="3772">
      <c r="A3772">
        <f>IF(OR(出库明细!C2772="",出库明细!D2772=""),"",IF(OR(COUNTIFS(存条明细!$C$4:$C$1003,出库明细!C2772,存条明细!$D$4:$D$1003,出库明细!D2772)&gt;0,COUNTIFS(出库明细!$C$4:C2772,出库明细!C2772,出库明细!$D$4:D2772,出库明细!D2772)&gt;1),"",IFERROR(MATCH(出库明细!C2772,总览汇总!$B$5:$B$304,0),900)*10000000+IFERROR(MATCH(出库明细!D2772,基础资料!$E$5:$E$104,0),900)*10000+ROW()))</f>
      </c>
      <c r="F3772">
        <f>IF(AND(资金台帐!J775&lt;&gt;"",资金台帐!J775=客户对账单!$B$4,资金台帐!P775="应收",ISNUMBER(资金台帐!B775),资金台帐!B775&gt;=客户对账单!$G$4,资金台帐!B775&lt;=客户对账单!$I$4),资金台帐!B775+ROW()/100000,"")</f>
      </c>
      <c r="H3772">
        <f>IF(AND(资金台帐!K2275&lt;&gt;"",资金台帐!K2275=供应商对账单!$B$4,资金台帐!P2275="应付",ISNUMBER(资金台帐!B2275),资金台帐!B2275&gt;=供应商对账单!$G$4,资金台帐!B2275&lt;=供应商对账单!$I$4),资金台帐!B2275+ROW()/100000,"")</f>
      </c>
    </row>
    <row r="3773">
      <c r="A3773">
        <f>IF(OR(出库明细!C2773="",出库明细!D2773=""),"",IF(OR(COUNTIFS(存条明细!$C$4:$C$1003,出库明细!C2773,存条明细!$D$4:$D$1003,出库明细!D2773)&gt;0,COUNTIFS(出库明细!$C$4:C2773,出库明细!C2773,出库明细!$D$4:D2773,出库明细!D2773)&gt;1),"",IFERROR(MATCH(出库明细!C2773,总览汇总!$B$5:$B$304,0),900)*10000000+IFERROR(MATCH(出库明细!D2773,基础资料!$E$5:$E$104,0),900)*10000+ROW()))</f>
      </c>
      <c r="F3773">
        <f>IF(AND(资金台帐!J776&lt;&gt;"",资金台帐!J776=客户对账单!$B$4,资金台帐!P776="应收",ISNUMBER(资金台帐!B776),资金台帐!B776&gt;=客户对账单!$G$4,资金台帐!B776&lt;=客户对账单!$I$4),资金台帐!B776+ROW()/100000,"")</f>
      </c>
      <c r="H3773">
        <f>IF(AND(资金台帐!K2276&lt;&gt;"",资金台帐!K2276=供应商对账单!$B$4,资金台帐!P2276="应付",ISNUMBER(资金台帐!B2276),资金台帐!B2276&gt;=供应商对账单!$G$4,资金台帐!B2276&lt;=供应商对账单!$I$4),资金台帐!B2276+ROW()/100000,"")</f>
      </c>
    </row>
    <row r="3774">
      <c r="A3774">
        <f>IF(OR(出库明细!C2774="",出库明细!D2774=""),"",IF(OR(COUNTIFS(存条明细!$C$4:$C$1003,出库明细!C2774,存条明细!$D$4:$D$1003,出库明细!D2774)&gt;0,COUNTIFS(出库明细!$C$4:C2774,出库明细!C2774,出库明细!$D$4:D2774,出库明细!D2774)&gt;1),"",IFERROR(MATCH(出库明细!C2774,总览汇总!$B$5:$B$304,0),900)*10000000+IFERROR(MATCH(出库明细!D2774,基础资料!$E$5:$E$104,0),900)*10000+ROW()))</f>
      </c>
      <c r="F3774">
        <f>IF(AND(资金台帐!J777&lt;&gt;"",资金台帐!J777=客户对账单!$B$4,资金台帐!P777="应收",ISNUMBER(资金台帐!B777),资金台帐!B777&gt;=客户对账单!$G$4,资金台帐!B777&lt;=客户对账单!$I$4),资金台帐!B777+ROW()/100000,"")</f>
      </c>
      <c r="H3774">
        <f>IF(AND(资金台帐!K2277&lt;&gt;"",资金台帐!K2277=供应商对账单!$B$4,资金台帐!P2277="应付",ISNUMBER(资金台帐!B2277),资金台帐!B2277&gt;=供应商对账单!$G$4,资金台帐!B2277&lt;=供应商对账单!$I$4),资金台帐!B2277+ROW()/100000,"")</f>
      </c>
    </row>
    <row r="3775">
      <c r="A3775">
        <f>IF(OR(出库明细!C2775="",出库明细!D2775=""),"",IF(OR(COUNTIFS(存条明细!$C$4:$C$1003,出库明细!C2775,存条明细!$D$4:$D$1003,出库明细!D2775)&gt;0,COUNTIFS(出库明细!$C$4:C2775,出库明细!C2775,出库明细!$D$4:D2775,出库明细!D2775)&gt;1),"",IFERROR(MATCH(出库明细!C2775,总览汇总!$B$5:$B$304,0),900)*10000000+IFERROR(MATCH(出库明细!D2775,基础资料!$E$5:$E$104,0),900)*10000+ROW()))</f>
      </c>
      <c r="F3775">
        <f>IF(AND(资金台帐!J778&lt;&gt;"",资金台帐!J778=客户对账单!$B$4,资金台帐!P778="应收",ISNUMBER(资金台帐!B778),资金台帐!B778&gt;=客户对账单!$G$4,资金台帐!B778&lt;=客户对账单!$I$4),资金台帐!B778+ROW()/100000,"")</f>
      </c>
      <c r="H3775">
        <f>IF(AND(资金台帐!K2278&lt;&gt;"",资金台帐!K2278=供应商对账单!$B$4,资金台帐!P2278="应付",ISNUMBER(资金台帐!B2278),资金台帐!B2278&gt;=供应商对账单!$G$4,资金台帐!B2278&lt;=供应商对账单!$I$4),资金台帐!B2278+ROW()/100000,"")</f>
      </c>
    </row>
    <row r="3776">
      <c r="A3776">
        <f>IF(OR(出库明细!C2776="",出库明细!D2776=""),"",IF(OR(COUNTIFS(存条明细!$C$4:$C$1003,出库明细!C2776,存条明细!$D$4:$D$1003,出库明细!D2776)&gt;0,COUNTIFS(出库明细!$C$4:C2776,出库明细!C2776,出库明细!$D$4:D2776,出库明细!D2776)&gt;1),"",IFERROR(MATCH(出库明细!C2776,总览汇总!$B$5:$B$304,0),900)*10000000+IFERROR(MATCH(出库明细!D2776,基础资料!$E$5:$E$104,0),900)*10000+ROW()))</f>
      </c>
      <c r="F3776">
        <f>IF(AND(资金台帐!J779&lt;&gt;"",资金台帐!J779=客户对账单!$B$4,资金台帐!P779="应收",ISNUMBER(资金台帐!B779),资金台帐!B779&gt;=客户对账单!$G$4,资金台帐!B779&lt;=客户对账单!$I$4),资金台帐!B779+ROW()/100000,"")</f>
      </c>
      <c r="H3776">
        <f>IF(AND(资金台帐!K2279&lt;&gt;"",资金台帐!K2279=供应商对账单!$B$4,资金台帐!P2279="应付",ISNUMBER(资金台帐!B2279),资金台帐!B2279&gt;=供应商对账单!$G$4,资金台帐!B2279&lt;=供应商对账单!$I$4),资金台帐!B2279+ROW()/100000,"")</f>
      </c>
    </row>
    <row r="3777">
      <c r="A3777">
        <f>IF(OR(出库明细!C2777="",出库明细!D2777=""),"",IF(OR(COUNTIFS(存条明细!$C$4:$C$1003,出库明细!C2777,存条明细!$D$4:$D$1003,出库明细!D2777)&gt;0,COUNTIFS(出库明细!$C$4:C2777,出库明细!C2777,出库明细!$D$4:D2777,出库明细!D2777)&gt;1),"",IFERROR(MATCH(出库明细!C2777,总览汇总!$B$5:$B$304,0),900)*10000000+IFERROR(MATCH(出库明细!D2777,基础资料!$E$5:$E$104,0),900)*10000+ROW()))</f>
      </c>
      <c r="F3777">
        <f>IF(AND(资金台帐!J780&lt;&gt;"",资金台帐!J780=客户对账单!$B$4,资金台帐!P780="应收",ISNUMBER(资金台帐!B780),资金台帐!B780&gt;=客户对账单!$G$4,资金台帐!B780&lt;=客户对账单!$I$4),资金台帐!B780+ROW()/100000,"")</f>
      </c>
      <c r="H3777">
        <f>IF(AND(资金台帐!K2280&lt;&gt;"",资金台帐!K2280=供应商对账单!$B$4,资金台帐!P2280="应付",ISNUMBER(资金台帐!B2280),资金台帐!B2280&gt;=供应商对账单!$G$4,资金台帐!B2280&lt;=供应商对账单!$I$4),资金台帐!B2280+ROW()/100000,"")</f>
      </c>
    </row>
    <row r="3778">
      <c r="A3778">
        <f>IF(OR(出库明细!C2778="",出库明细!D2778=""),"",IF(OR(COUNTIFS(存条明细!$C$4:$C$1003,出库明细!C2778,存条明细!$D$4:$D$1003,出库明细!D2778)&gt;0,COUNTIFS(出库明细!$C$4:C2778,出库明细!C2778,出库明细!$D$4:D2778,出库明细!D2778)&gt;1),"",IFERROR(MATCH(出库明细!C2778,总览汇总!$B$5:$B$304,0),900)*10000000+IFERROR(MATCH(出库明细!D2778,基础资料!$E$5:$E$104,0),900)*10000+ROW()))</f>
      </c>
      <c r="F3778">
        <f>IF(AND(资金台帐!J781&lt;&gt;"",资金台帐!J781=客户对账单!$B$4,资金台帐!P781="应收",ISNUMBER(资金台帐!B781),资金台帐!B781&gt;=客户对账单!$G$4,资金台帐!B781&lt;=客户对账单!$I$4),资金台帐!B781+ROW()/100000,"")</f>
      </c>
      <c r="H3778">
        <f>IF(AND(资金台帐!K2281&lt;&gt;"",资金台帐!K2281=供应商对账单!$B$4,资金台帐!P2281="应付",ISNUMBER(资金台帐!B2281),资金台帐!B2281&gt;=供应商对账单!$G$4,资金台帐!B2281&lt;=供应商对账单!$I$4),资金台帐!B2281+ROW()/100000,"")</f>
      </c>
    </row>
    <row r="3779">
      <c r="A3779">
        <f>IF(OR(出库明细!C2779="",出库明细!D2779=""),"",IF(OR(COUNTIFS(存条明细!$C$4:$C$1003,出库明细!C2779,存条明细!$D$4:$D$1003,出库明细!D2779)&gt;0,COUNTIFS(出库明细!$C$4:C2779,出库明细!C2779,出库明细!$D$4:D2779,出库明细!D2779)&gt;1),"",IFERROR(MATCH(出库明细!C2779,总览汇总!$B$5:$B$304,0),900)*10000000+IFERROR(MATCH(出库明细!D2779,基础资料!$E$5:$E$104,0),900)*10000+ROW()))</f>
      </c>
      <c r="F3779">
        <f>IF(AND(资金台帐!J782&lt;&gt;"",资金台帐!J782=客户对账单!$B$4,资金台帐!P782="应收",ISNUMBER(资金台帐!B782),资金台帐!B782&gt;=客户对账单!$G$4,资金台帐!B782&lt;=客户对账单!$I$4),资金台帐!B782+ROW()/100000,"")</f>
      </c>
      <c r="H3779">
        <f>IF(AND(资金台帐!K2282&lt;&gt;"",资金台帐!K2282=供应商对账单!$B$4,资金台帐!P2282="应付",ISNUMBER(资金台帐!B2282),资金台帐!B2282&gt;=供应商对账单!$G$4,资金台帐!B2282&lt;=供应商对账单!$I$4),资金台帐!B2282+ROW()/100000,"")</f>
      </c>
    </row>
    <row r="3780">
      <c r="A3780">
        <f>IF(OR(出库明细!C2780="",出库明细!D2780=""),"",IF(OR(COUNTIFS(存条明细!$C$4:$C$1003,出库明细!C2780,存条明细!$D$4:$D$1003,出库明细!D2780)&gt;0,COUNTIFS(出库明细!$C$4:C2780,出库明细!C2780,出库明细!$D$4:D2780,出库明细!D2780)&gt;1),"",IFERROR(MATCH(出库明细!C2780,总览汇总!$B$5:$B$304,0),900)*10000000+IFERROR(MATCH(出库明细!D2780,基础资料!$E$5:$E$104,0),900)*10000+ROW()))</f>
      </c>
      <c r="F3780">
        <f>IF(AND(资金台帐!J783&lt;&gt;"",资金台帐!J783=客户对账单!$B$4,资金台帐!P783="应收",ISNUMBER(资金台帐!B783),资金台帐!B783&gt;=客户对账单!$G$4,资金台帐!B783&lt;=客户对账单!$I$4),资金台帐!B783+ROW()/100000,"")</f>
      </c>
      <c r="H3780">
        <f>IF(AND(资金台帐!K2283&lt;&gt;"",资金台帐!K2283=供应商对账单!$B$4,资金台帐!P2283="应付",ISNUMBER(资金台帐!B2283),资金台帐!B2283&gt;=供应商对账单!$G$4,资金台帐!B2283&lt;=供应商对账单!$I$4),资金台帐!B2283+ROW()/100000,"")</f>
      </c>
    </row>
    <row r="3781">
      <c r="A3781">
        <f>IF(OR(出库明细!C2781="",出库明细!D2781=""),"",IF(OR(COUNTIFS(存条明细!$C$4:$C$1003,出库明细!C2781,存条明细!$D$4:$D$1003,出库明细!D2781)&gt;0,COUNTIFS(出库明细!$C$4:C2781,出库明细!C2781,出库明细!$D$4:D2781,出库明细!D2781)&gt;1),"",IFERROR(MATCH(出库明细!C2781,总览汇总!$B$5:$B$304,0),900)*10000000+IFERROR(MATCH(出库明细!D2781,基础资料!$E$5:$E$104,0),900)*10000+ROW()))</f>
      </c>
      <c r="F3781">
        <f>IF(AND(资金台帐!J784&lt;&gt;"",资金台帐!J784=客户对账单!$B$4,资金台帐!P784="应收",ISNUMBER(资金台帐!B784),资金台帐!B784&gt;=客户对账单!$G$4,资金台帐!B784&lt;=客户对账单!$I$4),资金台帐!B784+ROW()/100000,"")</f>
      </c>
      <c r="H3781">
        <f>IF(AND(资金台帐!K2284&lt;&gt;"",资金台帐!K2284=供应商对账单!$B$4,资金台帐!P2284="应付",ISNUMBER(资金台帐!B2284),资金台帐!B2284&gt;=供应商对账单!$G$4,资金台帐!B2284&lt;=供应商对账单!$I$4),资金台帐!B2284+ROW()/100000,"")</f>
      </c>
    </row>
    <row r="3782">
      <c r="A3782">
        <f>IF(OR(出库明细!C2782="",出库明细!D2782=""),"",IF(OR(COUNTIFS(存条明细!$C$4:$C$1003,出库明细!C2782,存条明细!$D$4:$D$1003,出库明细!D2782)&gt;0,COUNTIFS(出库明细!$C$4:C2782,出库明细!C2782,出库明细!$D$4:D2782,出库明细!D2782)&gt;1),"",IFERROR(MATCH(出库明细!C2782,总览汇总!$B$5:$B$304,0),900)*10000000+IFERROR(MATCH(出库明细!D2782,基础资料!$E$5:$E$104,0),900)*10000+ROW()))</f>
      </c>
      <c r="F3782">
        <f>IF(AND(资金台帐!J785&lt;&gt;"",资金台帐!J785=客户对账单!$B$4,资金台帐!P785="应收",ISNUMBER(资金台帐!B785),资金台帐!B785&gt;=客户对账单!$G$4,资金台帐!B785&lt;=客户对账单!$I$4),资金台帐!B785+ROW()/100000,"")</f>
      </c>
      <c r="H3782">
        <f>IF(AND(资金台帐!K2285&lt;&gt;"",资金台帐!K2285=供应商对账单!$B$4,资金台帐!P2285="应付",ISNUMBER(资金台帐!B2285),资金台帐!B2285&gt;=供应商对账单!$G$4,资金台帐!B2285&lt;=供应商对账单!$I$4),资金台帐!B2285+ROW()/100000,"")</f>
      </c>
    </row>
    <row r="3783">
      <c r="A3783">
        <f>IF(OR(出库明细!C2783="",出库明细!D2783=""),"",IF(OR(COUNTIFS(存条明细!$C$4:$C$1003,出库明细!C2783,存条明细!$D$4:$D$1003,出库明细!D2783)&gt;0,COUNTIFS(出库明细!$C$4:C2783,出库明细!C2783,出库明细!$D$4:D2783,出库明细!D2783)&gt;1),"",IFERROR(MATCH(出库明细!C2783,总览汇总!$B$5:$B$304,0),900)*10000000+IFERROR(MATCH(出库明细!D2783,基础资料!$E$5:$E$104,0),900)*10000+ROW()))</f>
      </c>
      <c r="F3783">
        <f>IF(AND(资金台帐!J786&lt;&gt;"",资金台帐!J786=客户对账单!$B$4,资金台帐!P786="应收",ISNUMBER(资金台帐!B786),资金台帐!B786&gt;=客户对账单!$G$4,资金台帐!B786&lt;=客户对账单!$I$4),资金台帐!B786+ROW()/100000,"")</f>
      </c>
      <c r="H3783">
        <f>IF(AND(资金台帐!K2286&lt;&gt;"",资金台帐!K2286=供应商对账单!$B$4,资金台帐!P2286="应付",ISNUMBER(资金台帐!B2286),资金台帐!B2286&gt;=供应商对账单!$G$4,资金台帐!B2286&lt;=供应商对账单!$I$4),资金台帐!B2286+ROW()/100000,"")</f>
      </c>
    </row>
    <row r="3784">
      <c r="A3784">
        <f>IF(OR(出库明细!C2784="",出库明细!D2784=""),"",IF(OR(COUNTIFS(存条明细!$C$4:$C$1003,出库明细!C2784,存条明细!$D$4:$D$1003,出库明细!D2784)&gt;0,COUNTIFS(出库明细!$C$4:C2784,出库明细!C2784,出库明细!$D$4:D2784,出库明细!D2784)&gt;1),"",IFERROR(MATCH(出库明细!C2784,总览汇总!$B$5:$B$304,0),900)*10000000+IFERROR(MATCH(出库明细!D2784,基础资料!$E$5:$E$104,0),900)*10000+ROW()))</f>
      </c>
      <c r="F3784">
        <f>IF(AND(资金台帐!J787&lt;&gt;"",资金台帐!J787=客户对账单!$B$4,资金台帐!P787="应收",ISNUMBER(资金台帐!B787),资金台帐!B787&gt;=客户对账单!$G$4,资金台帐!B787&lt;=客户对账单!$I$4),资金台帐!B787+ROW()/100000,"")</f>
      </c>
      <c r="H3784">
        <f>IF(AND(资金台帐!K2287&lt;&gt;"",资金台帐!K2287=供应商对账单!$B$4,资金台帐!P2287="应付",ISNUMBER(资金台帐!B2287),资金台帐!B2287&gt;=供应商对账单!$G$4,资金台帐!B2287&lt;=供应商对账单!$I$4),资金台帐!B2287+ROW()/100000,"")</f>
      </c>
    </row>
    <row r="3785">
      <c r="A3785">
        <f>IF(OR(出库明细!C2785="",出库明细!D2785=""),"",IF(OR(COUNTIFS(存条明细!$C$4:$C$1003,出库明细!C2785,存条明细!$D$4:$D$1003,出库明细!D2785)&gt;0,COUNTIFS(出库明细!$C$4:C2785,出库明细!C2785,出库明细!$D$4:D2785,出库明细!D2785)&gt;1),"",IFERROR(MATCH(出库明细!C2785,总览汇总!$B$5:$B$304,0),900)*10000000+IFERROR(MATCH(出库明细!D2785,基础资料!$E$5:$E$104,0),900)*10000+ROW()))</f>
      </c>
      <c r="F3785">
        <f>IF(AND(资金台帐!J788&lt;&gt;"",资金台帐!J788=客户对账单!$B$4,资金台帐!P788="应收",ISNUMBER(资金台帐!B788),资金台帐!B788&gt;=客户对账单!$G$4,资金台帐!B788&lt;=客户对账单!$I$4),资金台帐!B788+ROW()/100000,"")</f>
      </c>
      <c r="H3785">
        <f>IF(AND(资金台帐!K2288&lt;&gt;"",资金台帐!K2288=供应商对账单!$B$4,资金台帐!P2288="应付",ISNUMBER(资金台帐!B2288),资金台帐!B2288&gt;=供应商对账单!$G$4,资金台帐!B2288&lt;=供应商对账单!$I$4),资金台帐!B2288+ROW()/100000,"")</f>
      </c>
    </row>
    <row r="3786">
      <c r="A3786">
        <f>IF(OR(出库明细!C2786="",出库明细!D2786=""),"",IF(OR(COUNTIFS(存条明细!$C$4:$C$1003,出库明细!C2786,存条明细!$D$4:$D$1003,出库明细!D2786)&gt;0,COUNTIFS(出库明细!$C$4:C2786,出库明细!C2786,出库明细!$D$4:D2786,出库明细!D2786)&gt;1),"",IFERROR(MATCH(出库明细!C2786,总览汇总!$B$5:$B$304,0),900)*10000000+IFERROR(MATCH(出库明细!D2786,基础资料!$E$5:$E$104,0),900)*10000+ROW()))</f>
      </c>
      <c r="F3786">
        <f>IF(AND(资金台帐!J789&lt;&gt;"",资金台帐!J789=客户对账单!$B$4,资金台帐!P789="应收",ISNUMBER(资金台帐!B789),资金台帐!B789&gt;=客户对账单!$G$4,资金台帐!B789&lt;=客户对账单!$I$4),资金台帐!B789+ROW()/100000,"")</f>
      </c>
      <c r="H3786">
        <f>IF(AND(资金台帐!K2289&lt;&gt;"",资金台帐!K2289=供应商对账单!$B$4,资金台帐!P2289="应付",ISNUMBER(资金台帐!B2289),资金台帐!B2289&gt;=供应商对账单!$G$4,资金台帐!B2289&lt;=供应商对账单!$I$4),资金台帐!B2289+ROW()/100000,"")</f>
      </c>
    </row>
    <row r="3787">
      <c r="A3787">
        <f>IF(OR(出库明细!C2787="",出库明细!D2787=""),"",IF(OR(COUNTIFS(存条明细!$C$4:$C$1003,出库明细!C2787,存条明细!$D$4:$D$1003,出库明细!D2787)&gt;0,COUNTIFS(出库明细!$C$4:C2787,出库明细!C2787,出库明细!$D$4:D2787,出库明细!D2787)&gt;1),"",IFERROR(MATCH(出库明细!C2787,总览汇总!$B$5:$B$304,0),900)*10000000+IFERROR(MATCH(出库明细!D2787,基础资料!$E$5:$E$104,0),900)*10000+ROW()))</f>
      </c>
      <c r="F3787">
        <f>IF(AND(资金台帐!J790&lt;&gt;"",资金台帐!J790=客户对账单!$B$4,资金台帐!P790="应收",ISNUMBER(资金台帐!B790),资金台帐!B790&gt;=客户对账单!$G$4,资金台帐!B790&lt;=客户对账单!$I$4),资金台帐!B790+ROW()/100000,"")</f>
      </c>
      <c r="H3787">
        <f>IF(AND(资金台帐!K2290&lt;&gt;"",资金台帐!K2290=供应商对账单!$B$4,资金台帐!P2290="应付",ISNUMBER(资金台帐!B2290),资金台帐!B2290&gt;=供应商对账单!$G$4,资金台帐!B2290&lt;=供应商对账单!$I$4),资金台帐!B2290+ROW()/100000,"")</f>
      </c>
    </row>
    <row r="3788">
      <c r="A3788">
        <f>IF(OR(出库明细!C2788="",出库明细!D2788=""),"",IF(OR(COUNTIFS(存条明细!$C$4:$C$1003,出库明细!C2788,存条明细!$D$4:$D$1003,出库明细!D2788)&gt;0,COUNTIFS(出库明细!$C$4:C2788,出库明细!C2788,出库明细!$D$4:D2788,出库明细!D2788)&gt;1),"",IFERROR(MATCH(出库明细!C2788,总览汇总!$B$5:$B$304,0),900)*10000000+IFERROR(MATCH(出库明细!D2788,基础资料!$E$5:$E$104,0),900)*10000+ROW()))</f>
      </c>
      <c r="F3788">
        <f>IF(AND(资金台帐!J791&lt;&gt;"",资金台帐!J791=客户对账单!$B$4,资金台帐!P791="应收",ISNUMBER(资金台帐!B791),资金台帐!B791&gt;=客户对账单!$G$4,资金台帐!B791&lt;=客户对账单!$I$4),资金台帐!B791+ROW()/100000,"")</f>
      </c>
      <c r="H3788">
        <f>IF(AND(资金台帐!K2291&lt;&gt;"",资金台帐!K2291=供应商对账单!$B$4,资金台帐!P2291="应付",ISNUMBER(资金台帐!B2291),资金台帐!B2291&gt;=供应商对账单!$G$4,资金台帐!B2291&lt;=供应商对账单!$I$4),资金台帐!B2291+ROW()/100000,"")</f>
      </c>
    </row>
    <row r="3789">
      <c r="A3789">
        <f>IF(OR(出库明细!C2789="",出库明细!D2789=""),"",IF(OR(COUNTIFS(存条明细!$C$4:$C$1003,出库明细!C2789,存条明细!$D$4:$D$1003,出库明细!D2789)&gt;0,COUNTIFS(出库明细!$C$4:C2789,出库明细!C2789,出库明细!$D$4:D2789,出库明细!D2789)&gt;1),"",IFERROR(MATCH(出库明细!C2789,总览汇总!$B$5:$B$304,0),900)*10000000+IFERROR(MATCH(出库明细!D2789,基础资料!$E$5:$E$104,0),900)*10000+ROW()))</f>
      </c>
      <c r="F3789">
        <f>IF(AND(资金台帐!J792&lt;&gt;"",资金台帐!J792=客户对账单!$B$4,资金台帐!P792="应收",ISNUMBER(资金台帐!B792),资金台帐!B792&gt;=客户对账单!$G$4,资金台帐!B792&lt;=客户对账单!$I$4),资金台帐!B792+ROW()/100000,"")</f>
      </c>
      <c r="H3789">
        <f>IF(AND(资金台帐!K2292&lt;&gt;"",资金台帐!K2292=供应商对账单!$B$4,资金台帐!P2292="应付",ISNUMBER(资金台帐!B2292),资金台帐!B2292&gt;=供应商对账单!$G$4,资金台帐!B2292&lt;=供应商对账单!$I$4),资金台帐!B2292+ROW()/100000,"")</f>
      </c>
    </row>
    <row r="3790">
      <c r="A3790">
        <f>IF(OR(出库明细!C2790="",出库明细!D2790=""),"",IF(OR(COUNTIFS(存条明细!$C$4:$C$1003,出库明细!C2790,存条明细!$D$4:$D$1003,出库明细!D2790)&gt;0,COUNTIFS(出库明细!$C$4:C2790,出库明细!C2790,出库明细!$D$4:D2790,出库明细!D2790)&gt;1),"",IFERROR(MATCH(出库明细!C2790,总览汇总!$B$5:$B$304,0),900)*10000000+IFERROR(MATCH(出库明细!D2790,基础资料!$E$5:$E$104,0),900)*10000+ROW()))</f>
      </c>
      <c r="F3790">
        <f>IF(AND(资金台帐!J793&lt;&gt;"",资金台帐!J793=客户对账单!$B$4,资金台帐!P793="应收",ISNUMBER(资金台帐!B793),资金台帐!B793&gt;=客户对账单!$G$4,资金台帐!B793&lt;=客户对账单!$I$4),资金台帐!B793+ROW()/100000,"")</f>
      </c>
      <c r="H3790">
        <f>IF(AND(资金台帐!K2293&lt;&gt;"",资金台帐!K2293=供应商对账单!$B$4,资金台帐!P2293="应付",ISNUMBER(资金台帐!B2293),资金台帐!B2293&gt;=供应商对账单!$G$4,资金台帐!B2293&lt;=供应商对账单!$I$4),资金台帐!B2293+ROW()/100000,"")</f>
      </c>
    </row>
    <row r="3791">
      <c r="A3791">
        <f>IF(OR(出库明细!C2791="",出库明细!D2791=""),"",IF(OR(COUNTIFS(存条明细!$C$4:$C$1003,出库明细!C2791,存条明细!$D$4:$D$1003,出库明细!D2791)&gt;0,COUNTIFS(出库明细!$C$4:C2791,出库明细!C2791,出库明细!$D$4:D2791,出库明细!D2791)&gt;1),"",IFERROR(MATCH(出库明细!C2791,总览汇总!$B$5:$B$304,0),900)*10000000+IFERROR(MATCH(出库明细!D2791,基础资料!$E$5:$E$104,0),900)*10000+ROW()))</f>
      </c>
      <c r="F3791">
        <f>IF(AND(资金台帐!J794&lt;&gt;"",资金台帐!J794=客户对账单!$B$4,资金台帐!P794="应收",ISNUMBER(资金台帐!B794),资金台帐!B794&gt;=客户对账单!$G$4,资金台帐!B794&lt;=客户对账单!$I$4),资金台帐!B794+ROW()/100000,"")</f>
      </c>
      <c r="H3791">
        <f>IF(AND(资金台帐!K2294&lt;&gt;"",资金台帐!K2294=供应商对账单!$B$4,资金台帐!P2294="应付",ISNUMBER(资金台帐!B2294),资金台帐!B2294&gt;=供应商对账单!$G$4,资金台帐!B2294&lt;=供应商对账单!$I$4),资金台帐!B2294+ROW()/100000,"")</f>
      </c>
    </row>
    <row r="3792">
      <c r="A3792">
        <f>IF(OR(出库明细!C2792="",出库明细!D2792=""),"",IF(OR(COUNTIFS(存条明细!$C$4:$C$1003,出库明细!C2792,存条明细!$D$4:$D$1003,出库明细!D2792)&gt;0,COUNTIFS(出库明细!$C$4:C2792,出库明细!C2792,出库明细!$D$4:D2792,出库明细!D2792)&gt;1),"",IFERROR(MATCH(出库明细!C2792,总览汇总!$B$5:$B$304,0),900)*10000000+IFERROR(MATCH(出库明细!D2792,基础资料!$E$5:$E$104,0),900)*10000+ROW()))</f>
      </c>
      <c r="F3792">
        <f>IF(AND(资金台帐!J795&lt;&gt;"",资金台帐!J795=客户对账单!$B$4,资金台帐!P795="应收",ISNUMBER(资金台帐!B795),资金台帐!B795&gt;=客户对账单!$G$4,资金台帐!B795&lt;=客户对账单!$I$4),资金台帐!B795+ROW()/100000,"")</f>
      </c>
      <c r="H3792">
        <f>IF(AND(资金台帐!K2295&lt;&gt;"",资金台帐!K2295=供应商对账单!$B$4,资金台帐!P2295="应付",ISNUMBER(资金台帐!B2295),资金台帐!B2295&gt;=供应商对账单!$G$4,资金台帐!B2295&lt;=供应商对账单!$I$4),资金台帐!B2295+ROW()/100000,"")</f>
      </c>
    </row>
    <row r="3793">
      <c r="A3793">
        <f>IF(OR(出库明细!C2793="",出库明细!D2793=""),"",IF(OR(COUNTIFS(存条明细!$C$4:$C$1003,出库明细!C2793,存条明细!$D$4:$D$1003,出库明细!D2793)&gt;0,COUNTIFS(出库明细!$C$4:C2793,出库明细!C2793,出库明细!$D$4:D2793,出库明细!D2793)&gt;1),"",IFERROR(MATCH(出库明细!C2793,总览汇总!$B$5:$B$304,0),900)*10000000+IFERROR(MATCH(出库明细!D2793,基础资料!$E$5:$E$104,0),900)*10000+ROW()))</f>
      </c>
      <c r="F3793">
        <f>IF(AND(资金台帐!J796&lt;&gt;"",资金台帐!J796=客户对账单!$B$4,资金台帐!P796="应收",ISNUMBER(资金台帐!B796),资金台帐!B796&gt;=客户对账单!$G$4,资金台帐!B796&lt;=客户对账单!$I$4),资金台帐!B796+ROW()/100000,"")</f>
      </c>
      <c r="H3793">
        <f>IF(AND(资金台帐!K2296&lt;&gt;"",资金台帐!K2296=供应商对账单!$B$4,资金台帐!P2296="应付",ISNUMBER(资金台帐!B2296),资金台帐!B2296&gt;=供应商对账单!$G$4,资金台帐!B2296&lt;=供应商对账单!$I$4),资金台帐!B2296+ROW()/100000,"")</f>
      </c>
    </row>
    <row r="3794">
      <c r="A3794">
        <f>IF(OR(出库明细!C2794="",出库明细!D2794=""),"",IF(OR(COUNTIFS(存条明细!$C$4:$C$1003,出库明细!C2794,存条明细!$D$4:$D$1003,出库明细!D2794)&gt;0,COUNTIFS(出库明细!$C$4:C2794,出库明细!C2794,出库明细!$D$4:D2794,出库明细!D2794)&gt;1),"",IFERROR(MATCH(出库明细!C2794,总览汇总!$B$5:$B$304,0),900)*10000000+IFERROR(MATCH(出库明细!D2794,基础资料!$E$5:$E$104,0),900)*10000+ROW()))</f>
      </c>
      <c r="F3794">
        <f>IF(AND(资金台帐!J797&lt;&gt;"",资金台帐!J797=客户对账单!$B$4,资金台帐!P797="应收",ISNUMBER(资金台帐!B797),资金台帐!B797&gt;=客户对账单!$G$4,资金台帐!B797&lt;=客户对账单!$I$4),资金台帐!B797+ROW()/100000,"")</f>
      </c>
      <c r="H3794">
        <f>IF(AND(资金台帐!K2297&lt;&gt;"",资金台帐!K2297=供应商对账单!$B$4,资金台帐!P2297="应付",ISNUMBER(资金台帐!B2297),资金台帐!B2297&gt;=供应商对账单!$G$4,资金台帐!B2297&lt;=供应商对账单!$I$4),资金台帐!B2297+ROW()/100000,"")</f>
      </c>
    </row>
    <row r="3795">
      <c r="A3795">
        <f>IF(OR(出库明细!C2795="",出库明细!D2795=""),"",IF(OR(COUNTIFS(存条明细!$C$4:$C$1003,出库明细!C2795,存条明细!$D$4:$D$1003,出库明细!D2795)&gt;0,COUNTIFS(出库明细!$C$4:C2795,出库明细!C2795,出库明细!$D$4:D2795,出库明细!D2795)&gt;1),"",IFERROR(MATCH(出库明细!C2795,总览汇总!$B$5:$B$304,0),900)*10000000+IFERROR(MATCH(出库明细!D2795,基础资料!$E$5:$E$104,0),900)*10000+ROW()))</f>
      </c>
      <c r="F3795">
        <f>IF(AND(资金台帐!J798&lt;&gt;"",资金台帐!J798=客户对账单!$B$4,资金台帐!P798="应收",ISNUMBER(资金台帐!B798),资金台帐!B798&gt;=客户对账单!$G$4,资金台帐!B798&lt;=客户对账单!$I$4),资金台帐!B798+ROW()/100000,"")</f>
      </c>
      <c r="H3795">
        <f>IF(AND(资金台帐!K2298&lt;&gt;"",资金台帐!K2298=供应商对账单!$B$4,资金台帐!P2298="应付",ISNUMBER(资金台帐!B2298),资金台帐!B2298&gt;=供应商对账单!$G$4,资金台帐!B2298&lt;=供应商对账单!$I$4),资金台帐!B2298+ROW()/100000,"")</f>
      </c>
    </row>
    <row r="3796">
      <c r="A3796">
        <f>IF(OR(出库明细!C2796="",出库明细!D2796=""),"",IF(OR(COUNTIFS(存条明细!$C$4:$C$1003,出库明细!C2796,存条明细!$D$4:$D$1003,出库明细!D2796)&gt;0,COUNTIFS(出库明细!$C$4:C2796,出库明细!C2796,出库明细!$D$4:D2796,出库明细!D2796)&gt;1),"",IFERROR(MATCH(出库明细!C2796,总览汇总!$B$5:$B$304,0),900)*10000000+IFERROR(MATCH(出库明细!D2796,基础资料!$E$5:$E$104,0),900)*10000+ROW()))</f>
      </c>
      <c r="F3796">
        <f>IF(AND(资金台帐!J799&lt;&gt;"",资金台帐!J799=客户对账单!$B$4,资金台帐!P799="应收",ISNUMBER(资金台帐!B799),资金台帐!B799&gt;=客户对账单!$G$4,资金台帐!B799&lt;=客户对账单!$I$4),资金台帐!B799+ROW()/100000,"")</f>
      </c>
      <c r="H3796">
        <f>IF(AND(资金台帐!K2299&lt;&gt;"",资金台帐!K2299=供应商对账单!$B$4,资金台帐!P2299="应付",ISNUMBER(资金台帐!B2299),资金台帐!B2299&gt;=供应商对账单!$G$4,资金台帐!B2299&lt;=供应商对账单!$I$4),资金台帐!B2299+ROW()/100000,"")</f>
      </c>
    </row>
    <row r="3797">
      <c r="A3797">
        <f>IF(OR(出库明细!C2797="",出库明细!D2797=""),"",IF(OR(COUNTIFS(存条明细!$C$4:$C$1003,出库明细!C2797,存条明细!$D$4:$D$1003,出库明细!D2797)&gt;0,COUNTIFS(出库明细!$C$4:C2797,出库明细!C2797,出库明细!$D$4:D2797,出库明细!D2797)&gt;1),"",IFERROR(MATCH(出库明细!C2797,总览汇总!$B$5:$B$304,0),900)*10000000+IFERROR(MATCH(出库明细!D2797,基础资料!$E$5:$E$104,0),900)*10000+ROW()))</f>
      </c>
      <c r="F3797">
        <f>IF(AND(资金台帐!J800&lt;&gt;"",资金台帐!J800=客户对账单!$B$4,资金台帐!P800="应收",ISNUMBER(资金台帐!B800),资金台帐!B800&gt;=客户对账单!$G$4,资金台帐!B800&lt;=客户对账单!$I$4),资金台帐!B800+ROW()/100000,"")</f>
      </c>
      <c r="H3797">
        <f>IF(AND(资金台帐!K2300&lt;&gt;"",资金台帐!K2300=供应商对账单!$B$4,资金台帐!P2300="应付",ISNUMBER(资金台帐!B2300),资金台帐!B2300&gt;=供应商对账单!$G$4,资金台帐!B2300&lt;=供应商对账单!$I$4),资金台帐!B2300+ROW()/100000,"")</f>
      </c>
    </row>
    <row r="3798">
      <c r="A3798">
        <f>IF(OR(出库明细!C2798="",出库明细!D2798=""),"",IF(OR(COUNTIFS(存条明细!$C$4:$C$1003,出库明细!C2798,存条明细!$D$4:$D$1003,出库明细!D2798)&gt;0,COUNTIFS(出库明细!$C$4:C2798,出库明细!C2798,出库明细!$D$4:D2798,出库明细!D2798)&gt;1),"",IFERROR(MATCH(出库明细!C2798,总览汇总!$B$5:$B$304,0),900)*10000000+IFERROR(MATCH(出库明细!D2798,基础资料!$E$5:$E$104,0),900)*10000+ROW()))</f>
      </c>
      <c r="F3798">
        <f>IF(AND(资金台帐!J801&lt;&gt;"",资金台帐!J801=客户对账单!$B$4,资金台帐!P801="应收",ISNUMBER(资金台帐!B801),资金台帐!B801&gt;=客户对账单!$G$4,资金台帐!B801&lt;=客户对账单!$I$4),资金台帐!B801+ROW()/100000,"")</f>
      </c>
      <c r="H3798">
        <f>IF(AND(资金台帐!K2301&lt;&gt;"",资金台帐!K2301=供应商对账单!$B$4,资金台帐!P2301="应付",ISNUMBER(资金台帐!B2301),资金台帐!B2301&gt;=供应商对账单!$G$4,资金台帐!B2301&lt;=供应商对账单!$I$4),资金台帐!B2301+ROW()/100000,"")</f>
      </c>
    </row>
    <row r="3799">
      <c r="A3799">
        <f>IF(OR(出库明细!C2799="",出库明细!D2799=""),"",IF(OR(COUNTIFS(存条明细!$C$4:$C$1003,出库明细!C2799,存条明细!$D$4:$D$1003,出库明细!D2799)&gt;0,COUNTIFS(出库明细!$C$4:C2799,出库明细!C2799,出库明细!$D$4:D2799,出库明细!D2799)&gt;1),"",IFERROR(MATCH(出库明细!C2799,总览汇总!$B$5:$B$304,0),900)*10000000+IFERROR(MATCH(出库明细!D2799,基础资料!$E$5:$E$104,0),900)*10000+ROW()))</f>
      </c>
      <c r="F3799">
        <f>IF(AND(资金台帐!J802&lt;&gt;"",资金台帐!J802=客户对账单!$B$4,资金台帐!P802="应收",ISNUMBER(资金台帐!B802),资金台帐!B802&gt;=客户对账单!$G$4,资金台帐!B802&lt;=客户对账单!$I$4),资金台帐!B802+ROW()/100000,"")</f>
      </c>
      <c r="H3799">
        <f>IF(AND(资金台帐!K2302&lt;&gt;"",资金台帐!K2302=供应商对账单!$B$4,资金台帐!P2302="应付",ISNUMBER(资金台帐!B2302),资金台帐!B2302&gt;=供应商对账单!$G$4,资金台帐!B2302&lt;=供应商对账单!$I$4),资金台帐!B2302+ROW()/100000,"")</f>
      </c>
    </row>
    <row r="3800">
      <c r="A3800">
        <f>IF(OR(出库明细!C2800="",出库明细!D2800=""),"",IF(OR(COUNTIFS(存条明细!$C$4:$C$1003,出库明细!C2800,存条明细!$D$4:$D$1003,出库明细!D2800)&gt;0,COUNTIFS(出库明细!$C$4:C2800,出库明细!C2800,出库明细!$D$4:D2800,出库明细!D2800)&gt;1),"",IFERROR(MATCH(出库明细!C2800,总览汇总!$B$5:$B$304,0),900)*10000000+IFERROR(MATCH(出库明细!D2800,基础资料!$E$5:$E$104,0),900)*10000+ROW()))</f>
      </c>
      <c r="F3800">
        <f>IF(AND(资金台帐!J803&lt;&gt;"",资金台帐!J803=客户对账单!$B$4,资金台帐!P803="应收",ISNUMBER(资金台帐!B803),资金台帐!B803&gt;=客户对账单!$G$4,资金台帐!B803&lt;=客户对账单!$I$4),资金台帐!B803+ROW()/100000,"")</f>
      </c>
      <c r="H3800">
        <f>IF(AND(资金台帐!K2303&lt;&gt;"",资金台帐!K2303=供应商对账单!$B$4,资金台帐!P2303="应付",ISNUMBER(资金台帐!B2303),资金台帐!B2303&gt;=供应商对账单!$G$4,资金台帐!B2303&lt;=供应商对账单!$I$4),资金台帐!B2303+ROW()/100000,"")</f>
      </c>
    </row>
    <row r="3801">
      <c r="A3801">
        <f>IF(OR(出库明细!C2801="",出库明细!D2801=""),"",IF(OR(COUNTIFS(存条明细!$C$4:$C$1003,出库明细!C2801,存条明细!$D$4:$D$1003,出库明细!D2801)&gt;0,COUNTIFS(出库明细!$C$4:C2801,出库明细!C2801,出库明细!$D$4:D2801,出库明细!D2801)&gt;1),"",IFERROR(MATCH(出库明细!C2801,总览汇总!$B$5:$B$304,0),900)*10000000+IFERROR(MATCH(出库明细!D2801,基础资料!$E$5:$E$104,0),900)*10000+ROW()))</f>
      </c>
      <c r="F3801">
        <f>IF(AND(资金台帐!J804&lt;&gt;"",资金台帐!J804=客户对账单!$B$4,资金台帐!P804="应收",ISNUMBER(资金台帐!B804),资金台帐!B804&gt;=客户对账单!$G$4,资金台帐!B804&lt;=客户对账单!$I$4),资金台帐!B804+ROW()/100000,"")</f>
      </c>
      <c r="H3801">
        <f>IF(AND(资金台帐!K2304&lt;&gt;"",资金台帐!K2304=供应商对账单!$B$4,资金台帐!P2304="应付",ISNUMBER(资金台帐!B2304),资金台帐!B2304&gt;=供应商对账单!$G$4,资金台帐!B2304&lt;=供应商对账单!$I$4),资金台帐!B2304+ROW()/100000,"")</f>
      </c>
    </row>
    <row r="3802">
      <c r="A3802">
        <f>IF(OR(出库明细!C2802="",出库明细!D2802=""),"",IF(OR(COUNTIFS(存条明细!$C$4:$C$1003,出库明细!C2802,存条明细!$D$4:$D$1003,出库明细!D2802)&gt;0,COUNTIFS(出库明细!$C$4:C2802,出库明细!C2802,出库明细!$D$4:D2802,出库明细!D2802)&gt;1),"",IFERROR(MATCH(出库明细!C2802,总览汇总!$B$5:$B$304,0),900)*10000000+IFERROR(MATCH(出库明细!D2802,基础资料!$E$5:$E$104,0),900)*10000+ROW()))</f>
      </c>
      <c r="F3802">
        <f>IF(AND(资金台帐!J805&lt;&gt;"",资金台帐!J805=客户对账单!$B$4,资金台帐!P805="应收",ISNUMBER(资金台帐!B805),资金台帐!B805&gt;=客户对账单!$G$4,资金台帐!B805&lt;=客户对账单!$I$4),资金台帐!B805+ROW()/100000,"")</f>
      </c>
      <c r="H3802">
        <f>IF(AND(资金台帐!K2305&lt;&gt;"",资金台帐!K2305=供应商对账单!$B$4,资金台帐!P2305="应付",ISNUMBER(资金台帐!B2305),资金台帐!B2305&gt;=供应商对账单!$G$4,资金台帐!B2305&lt;=供应商对账单!$I$4),资金台帐!B2305+ROW()/100000,"")</f>
      </c>
    </row>
    <row r="3803">
      <c r="A3803">
        <f>IF(OR(出库明细!C2803="",出库明细!D2803=""),"",IF(OR(COUNTIFS(存条明细!$C$4:$C$1003,出库明细!C2803,存条明细!$D$4:$D$1003,出库明细!D2803)&gt;0,COUNTIFS(出库明细!$C$4:C2803,出库明细!C2803,出库明细!$D$4:D2803,出库明细!D2803)&gt;1),"",IFERROR(MATCH(出库明细!C2803,总览汇总!$B$5:$B$304,0),900)*10000000+IFERROR(MATCH(出库明细!D2803,基础资料!$E$5:$E$104,0),900)*10000+ROW()))</f>
      </c>
      <c r="F3803">
        <f>IF(AND(资金台帐!J806&lt;&gt;"",资金台帐!J806=客户对账单!$B$4,资金台帐!P806="应收",ISNUMBER(资金台帐!B806),资金台帐!B806&gt;=客户对账单!$G$4,资金台帐!B806&lt;=客户对账单!$I$4),资金台帐!B806+ROW()/100000,"")</f>
      </c>
      <c r="H3803">
        <f>IF(AND(资金台帐!K2306&lt;&gt;"",资金台帐!K2306=供应商对账单!$B$4,资金台帐!P2306="应付",ISNUMBER(资金台帐!B2306),资金台帐!B2306&gt;=供应商对账单!$G$4,资金台帐!B2306&lt;=供应商对账单!$I$4),资金台帐!B2306+ROW()/100000,"")</f>
      </c>
    </row>
    <row r="3804">
      <c r="A3804">
        <f>IF(OR(出库明细!C2804="",出库明细!D2804=""),"",IF(OR(COUNTIFS(存条明细!$C$4:$C$1003,出库明细!C2804,存条明细!$D$4:$D$1003,出库明细!D2804)&gt;0,COUNTIFS(出库明细!$C$4:C2804,出库明细!C2804,出库明细!$D$4:D2804,出库明细!D2804)&gt;1),"",IFERROR(MATCH(出库明细!C2804,总览汇总!$B$5:$B$304,0),900)*10000000+IFERROR(MATCH(出库明细!D2804,基础资料!$E$5:$E$104,0),900)*10000+ROW()))</f>
      </c>
      <c r="F3804">
        <f>IF(AND(资金台帐!J807&lt;&gt;"",资金台帐!J807=客户对账单!$B$4,资金台帐!P807="应收",ISNUMBER(资金台帐!B807),资金台帐!B807&gt;=客户对账单!$G$4,资金台帐!B807&lt;=客户对账单!$I$4),资金台帐!B807+ROW()/100000,"")</f>
      </c>
      <c r="H3804">
        <f>IF(AND(资金台帐!K2307&lt;&gt;"",资金台帐!K2307=供应商对账单!$B$4,资金台帐!P2307="应付",ISNUMBER(资金台帐!B2307),资金台帐!B2307&gt;=供应商对账单!$G$4,资金台帐!B2307&lt;=供应商对账单!$I$4),资金台帐!B2307+ROW()/100000,"")</f>
      </c>
    </row>
    <row r="3805">
      <c r="A3805">
        <f>IF(OR(出库明细!C2805="",出库明细!D2805=""),"",IF(OR(COUNTIFS(存条明细!$C$4:$C$1003,出库明细!C2805,存条明细!$D$4:$D$1003,出库明细!D2805)&gt;0,COUNTIFS(出库明细!$C$4:C2805,出库明细!C2805,出库明细!$D$4:D2805,出库明细!D2805)&gt;1),"",IFERROR(MATCH(出库明细!C2805,总览汇总!$B$5:$B$304,0),900)*10000000+IFERROR(MATCH(出库明细!D2805,基础资料!$E$5:$E$104,0),900)*10000+ROW()))</f>
      </c>
      <c r="F3805">
        <f>IF(AND(资金台帐!J808&lt;&gt;"",资金台帐!J808=客户对账单!$B$4,资金台帐!P808="应收",ISNUMBER(资金台帐!B808),资金台帐!B808&gt;=客户对账单!$G$4,资金台帐!B808&lt;=客户对账单!$I$4),资金台帐!B808+ROW()/100000,"")</f>
      </c>
      <c r="H3805">
        <f>IF(AND(资金台帐!K2308&lt;&gt;"",资金台帐!K2308=供应商对账单!$B$4,资金台帐!P2308="应付",ISNUMBER(资金台帐!B2308),资金台帐!B2308&gt;=供应商对账单!$G$4,资金台帐!B2308&lt;=供应商对账单!$I$4),资金台帐!B2308+ROW()/100000,"")</f>
      </c>
    </row>
    <row r="3806">
      <c r="A3806">
        <f>IF(OR(出库明细!C2806="",出库明细!D2806=""),"",IF(OR(COUNTIFS(存条明细!$C$4:$C$1003,出库明细!C2806,存条明细!$D$4:$D$1003,出库明细!D2806)&gt;0,COUNTIFS(出库明细!$C$4:C2806,出库明细!C2806,出库明细!$D$4:D2806,出库明细!D2806)&gt;1),"",IFERROR(MATCH(出库明细!C2806,总览汇总!$B$5:$B$304,0),900)*10000000+IFERROR(MATCH(出库明细!D2806,基础资料!$E$5:$E$104,0),900)*10000+ROW()))</f>
      </c>
      <c r="F3806">
        <f>IF(AND(资金台帐!J809&lt;&gt;"",资金台帐!J809=客户对账单!$B$4,资金台帐!P809="应收",ISNUMBER(资金台帐!B809),资金台帐!B809&gt;=客户对账单!$G$4,资金台帐!B809&lt;=客户对账单!$I$4),资金台帐!B809+ROW()/100000,"")</f>
      </c>
      <c r="H3806">
        <f>IF(AND(资金台帐!K2309&lt;&gt;"",资金台帐!K2309=供应商对账单!$B$4,资金台帐!P2309="应付",ISNUMBER(资金台帐!B2309),资金台帐!B2309&gt;=供应商对账单!$G$4,资金台帐!B2309&lt;=供应商对账单!$I$4),资金台帐!B2309+ROW()/100000,"")</f>
      </c>
    </row>
    <row r="3807">
      <c r="A3807">
        <f>IF(OR(出库明细!C2807="",出库明细!D2807=""),"",IF(OR(COUNTIFS(存条明细!$C$4:$C$1003,出库明细!C2807,存条明细!$D$4:$D$1003,出库明细!D2807)&gt;0,COUNTIFS(出库明细!$C$4:C2807,出库明细!C2807,出库明细!$D$4:D2807,出库明细!D2807)&gt;1),"",IFERROR(MATCH(出库明细!C2807,总览汇总!$B$5:$B$304,0),900)*10000000+IFERROR(MATCH(出库明细!D2807,基础资料!$E$5:$E$104,0),900)*10000+ROW()))</f>
      </c>
      <c r="F3807">
        <f>IF(AND(资金台帐!J810&lt;&gt;"",资金台帐!J810=客户对账单!$B$4,资金台帐!P810="应收",ISNUMBER(资金台帐!B810),资金台帐!B810&gt;=客户对账单!$G$4,资金台帐!B810&lt;=客户对账单!$I$4),资金台帐!B810+ROW()/100000,"")</f>
      </c>
      <c r="H3807">
        <f>IF(AND(资金台帐!K2310&lt;&gt;"",资金台帐!K2310=供应商对账单!$B$4,资金台帐!P2310="应付",ISNUMBER(资金台帐!B2310),资金台帐!B2310&gt;=供应商对账单!$G$4,资金台帐!B2310&lt;=供应商对账单!$I$4),资金台帐!B2310+ROW()/100000,"")</f>
      </c>
    </row>
    <row r="3808">
      <c r="A3808">
        <f>IF(OR(出库明细!C2808="",出库明细!D2808=""),"",IF(OR(COUNTIFS(存条明细!$C$4:$C$1003,出库明细!C2808,存条明细!$D$4:$D$1003,出库明细!D2808)&gt;0,COUNTIFS(出库明细!$C$4:C2808,出库明细!C2808,出库明细!$D$4:D2808,出库明细!D2808)&gt;1),"",IFERROR(MATCH(出库明细!C2808,总览汇总!$B$5:$B$304,0),900)*10000000+IFERROR(MATCH(出库明细!D2808,基础资料!$E$5:$E$104,0),900)*10000+ROW()))</f>
      </c>
      <c r="F3808">
        <f>IF(AND(资金台帐!J811&lt;&gt;"",资金台帐!J811=客户对账单!$B$4,资金台帐!P811="应收",ISNUMBER(资金台帐!B811),资金台帐!B811&gt;=客户对账单!$G$4,资金台帐!B811&lt;=客户对账单!$I$4),资金台帐!B811+ROW()/100000,"")</f>
      </c>
      <c r="H3808">
        <f>IF(AND(资金台帐!K2311&lt;&gt;"",资金台帐!K2311=供应商对账单!$B$4,资金台帐!P2311="应付",ISNUMBER(资金台帐!B2311),资金台帐!B2311&gt;=供应商对账单!$G$4,资金台帐!B2311&lt;=供应商对账单!$I$4),资金台帐!B2311+ROW()/100000,"")</f>
      </c>
    </row>
    <row r="3809">
      <c r="A3809">
        <f>IF(OR(出库明细!C2809="",出库明细!D2809=""),"",IF(OR(COUNTIFS(存条明细!$C$4:$C$1003,出库明细!C2809,存条明细!$D$4:$D$1003,出库明细!D2809)&gt;0,COUNTIFS(出库明细!$C$4:C2809,出库明细!C2809,出库明细!$D$4:D2809,出库明细!D2809)&gt;1),"",IFERROR(MATCH(出库明细!C2809,总览汇总!$B$5:$B$304,0),900)*10000000+IFERROR(MATCH(出库明细!D2809,基础资料!$E$5:$E$104,0),900)*10000+ROW()))</f>
      </c>
      <c r="F3809">
        <f>IF(AND(资金台帐!J812&lt;&gt;"",资金台帐!J812=客户对账单!$B$4,资金台帐!P812="应收",ISNUMBER(资金台帐!B812),资金台帐!B812&gt;=客户对账单!$G$4,资金台帐!B812&lt;=客户对账单!$I$4),资金台帐!B812+ROW()/100000,"")</f>
      </c>
      <c r="H3809">
        <f>IF(AND(资金台帐!K2312&lt;&gt;"",资金台帐!K2312=供应商对账单!$B$4,资金台帐!P2312="应付",ISNUMBER(资金台帐!B2312),资金台帐!B2312&gt;=供应商对账单!$G$4,资金台帐!B2312&lt;=供应商对账单!$I$4),资金台帐!B2312+ROW()/100000,"")</f>
      </c>
    </row>
    <row r="3810">
      <c r="A3810">
        <f>IF(OR(出库明细!C2810="",出库明细!D2810=""),"",IF(OR(COUNTIFS(存条明细!$C$4:$C$1003,出库明细!C2810,存条明细!$D$4:$D$1003,出库明细!D2810)&gt;0,COUNTIFS(出库明细!$C$4:C2810,出库明细!C2810,出库明细!$D$4:D2810,出库明细!D2810)&gt;1),"",IFERROR(MATCH(出库明细!C2810,总览汇总!$B$5:$B$304,0),900)*10000000+IFERROR(MATCH(出库明细!D2810,基础资料!$E$5:$E$104,0),900)*10000+ROW()))</f>
      </c>
      <c r="F3810">
        <f>IF(AND(资金台帐!J813&lt;&gt;"",资金台帐!J813=客户对账单!$B$4,资金台帐!P813="应收",ISNUMBER(资金台帐!B813),资金台帐!B813&gt;=客户对账单!$G$4,资金台帐!B813&lt;=客户对账单!$I$4),资金台帐!B813+ROW()/100000,"")</f>
      </c>
      <c r="H3810">
        <f>IF(AND(资金台帐!K2313&lt;&gt;"",资金台帐!K2313=供应商对账单!$B$4,资金台帐!P2313="应付",ISNUMBER(资金台帐!B2313),资金台帐!B2313&gt;=供应商对账单!$G$4,资金台帐!B2313&lt;=供应商对账单!$I$4),资金台帐!B2313+ROW()/100000,"")</f>
      </c>
    </row>
    <row r="3811">
      <c r="A3811">
        <f>IF(OR(出库明细!C2811="",出库明细!D2811=""),"",IF(OR(COUNTIFS(存条明细!$C$4:$C$1003,出库明细!C2811,存条明细!$D$4:$D$1003,出库明细!D2811)&gt;0,COUNTIFS(出库明细!$C$4:C2811,出库明细!C2811,出库明细!$D$4:D2811,出库明细!D2811)&gt;1),"",IFERROR(MATCH(出库明细!C2811,总览汇总!$B$5:$B$304,0),900)*10000000+IFERROR(MATCH(出库明细!D2811,基础资料!$E$5:$E$104,0),900)*10000+ROW()))</f>
      </c>
      <c r="F3811">
        <f>IF(AND(资金台帐!J814&lt;&gt;"",资金台帐!J814=客户对账单!$B$4,资金台帐!P814="应收",ISNUMBER(资金台帐!B814),资金台帐!B814&gt;=客户对账单!$G$4,资金台帐!B814&lt;=客户对账单!$I$4),资金台帐!B814+ROW()/100000,"")</f>
      </c>
      <c r="H3811">
        <f>IF(AND(资金台帐!K2314&lt;&gt;"",资金台帐!K2314=供应商对账单!$B$4,资金台帐!P2314="应付",ISNUMBER(资金台帐!B2314),资金台帐!B2314&gt;=供应商对账单!$G$4,资金台帐!B2314&lt;=供应商对账单!$I$4),资金台帐!B2314+ROW()/100000,"")</f>
      </c>
    </row>
    <row r="3812">
      <c r="A3812">
        <f>IF(OR(出库明细!C2812="",出库明细!D2812=""),"",IF(OR(COUNTIFS(存条明细!$C$4:$C$1003,出库明细!C2812,存条明细!$D$4:$D$1003,出库明细!D2812)&gt;0,COUNTIFS(出库明细!$C$4:C2812,出库明细!C2812,出库明细!$D$4:D2812,出库明细!D2812)&gt;1),"",IFERROR(MATCH(出库明细!C2812,总览汇总!$B$5:$B$304,0),900)*10000000+IFERROR(MATCH(出库明细!D2812,基础资料!$E$5:$E$104,0),900)*10000+ROW()))</f>
      </c>
      <c r="F3812">
        <f>IF(AND(资金台帐!J815&lt;&gt;"",资金台帐!J815=客户对账单!$B$4,资金台帐!P815="应收",ISNUMBER(资金台帐!B815),资金台帐!B815&gt;=客户对账单!$G$4,资金台帐!B815&lt;=客户对账单!$I$4),资金台帐!B815+ROW()/100000,"")</f>
      </c>
      <c r="H3812">
        <f>IF(AND(资金台帐!K2315&lt;&gt;"",资金台帐!K2315=供应商对账单!$B$4,资金台帐!P2315="应付",ISNUMBER(资金台帐!B2315),资金台帐!B2315&gt;=供应商对账单!$G$4,资金台帐!B2315&lt;=供应商对账单!$I$4),资金台帐!B2315+ROW()/100000,"")</f>
      </c>
    </row>
    <row r="3813">
      <c r="A3813">
        <f>IF(OR(出库明细!C2813="",出库明细!D2813=""),"",IF(OR(COUNTIFS(存条明细!$C$4:$C$1003,出库明细!C2813,存条明细!$D$4:$D$1003,出库明细!D2813)&gt;0,COUNTIFS(出库明细!$C$4:C2813,出库明细!C2813,出库明细!$D$4:D2813,出库明细!D2813)&gt;1),"",IFERROR(MATCH(出库明细!C2813,总览汇总!$B$5:$B$304,0),900)*10000000+IFERROR(MATCH(出库明细!D2813,基础资料!$E$5:$E$104,0),900)*10000+ROW()))</f>
      </c>
      <c r="F3813">
        <f>IF(AND(资金台帐!J816&lt;&gt;"",资金台帐!J816=客户对账单!$B$4,资金台帐!P816="应收",ISNUMBER(资金台帐!B816),资金台帐!B816&gt;=客户对账单!$G$4,资金台帐!B816&lt;=客户对账单!$I$4),资金台帐!B816+ROW()/100000,"")</f>
      </c>
      <c r="H3813">
        <f>IF(AND(资金台帐!K2316&lt;&gt;"",资金台帐!K2316=供应商对账单!$B$4,资金台帐!P2316="应付",ISNUMBER(资金台帐!B2316),资金台帐!B2316&gt;=供应商对账单!$G$4,资金台帐!B2316&lt;=供应商对账单!$I$4),资金台帐!B2316+ROW()/100000,"")</f>
      </c>
    </row>
    <row r="3814">
      <c r="A3814">
        <f>IF(OR(出库明细!C2814="",出库明细!D2814=""),"",IF(OR(COUNTIFS(存条明细!$C$4:$C$1003,出库明细!C2814,存条明细!$D$4:$D$1003,出库明细!D2814)&gt;0,COUNTIFS(出库明细!$C$4:C2814,出库明细!C2814,出库明细!$D$4:D2814,出库明细!D2814)&gt;1),"",IFERROR(MATCH(出库明细!C2814,总览汇总!$B$5:$B$304,0),900)*10000000+IFERROR(MATCH(出库明细!D2814,基础资料!$E$5:$E$104,0),900)*10000+ROW()))</f>
      </c>
      <c r="F3814">
        <f>IF(AND(资金台帐!J817&lt;&gt;"",资金台帐!J817=客户对账单!$B$4,资金台帐!P817="应收",ISNUMBER(资金台帐!B817),资金台帐!B817&gt;=客户对账单!$G$4,资金台帐!B817&lt;=客户对账单!$I$4),资金台帐!B817+ROW()/100000,"")</f>
      </c>
      <c r="H3814">
        <f>IF(AND(资金台帐!K2317&lt;&gt;"",资金台帐!K2317=供应商对账单!$B$4,资金台帐!P2317="应付",ISNUMBER(资金台帐!B2317),资金台帐!B2317&gt;=供应商对账单!$G$4,资金台帐!B2317&lt;=供应商对账单!$I$4),资金台帐!B2317+ROW()/100000,"")</f>
      </c>
    </row>
    <row r="3815">
      <c r="A3815">
        <f>IF(OR(出库明细!C2815="",出库明细!D2815=""),"",IF(OR(COUNTIFS(存条明细!$C$4:$C$1003,出库明细!C2815,存条明细!$D$4:$D$1003,出库明细!D2815)&gt;0,COUNTIFS(出库明细!$C$4:C2815,出库明细!C2815,出库明细!$D$4:D2815,出库明细!D2815)&gt;1),"",IFERROR(MATCH(出库明细!C2815,总览汇总!$B$5:$B$304,0),900)*10000000+IFERROR(MATCH(出库明细!D2815,基础资料!$E$5:$E$104,0),900)*10000+ROW()))</f>
      </c>
      <c r="F3815">
        <f>IF(AND(资金台帐!J818&lt;&gt;"",资金台帐!J818=客户对账单!$B$4,资金台帐!P818="应收",ISNUMBER(资金台帐!B818),资金台帐!B818&gt;=客户对账单!$G$4,资金台帐!B818&lt;=客户对账单!$I$4),资金台帐!B818+ROW()/100000,"")</f>
      </c>
      <c r="H3815">
        <f>IF(AND(资金台帐!K2318&lt;&gt;"",资金台帐!K2318=供应商对账单!$B$4,资金台帐!P2318="应付",ISNUMBER(资金台帐!B2318),资金台帐!B2318&gt;=供应商对账单!$G$4,资金台帐!B2318&lt;=供应商对账单!$I$4),资金台帐!B2318+ROW()/100000,"")</f>
      </c>
    </row>
    <row r="3816">
      <c r="A3816">
        <f>IF(OR(出库明细!C2816="",出库明细!D2816=""),"",IF(OR(COUNTIFS(存条明细!$C$4:$C$1003,出库明细!C2816,存条明细!$D$4:$D$1003,出库明细!D2816)&gt;0,COUNTIFS(出库明细!$C$4:C2816,出库明细!C2816,出库明细!$D$4:D2816,出库明细!D2816)&gt;1),"",IFERROR(MATCH(出库明细!C2816,总览汇总!$B$5:$B$304,0),900)*10000000+IFERROR(MATCH(出库明细!D2816,基础资料!$E$5:$E$104,0),900)*10000+ROW()))</f>
      </c>
      <c r="F3816">
        <f>IF(AND(资金台帐!J819&lt;&gt;"",资金台帐!J819=客户对账单!$B$4,资金台帐!P819="应收",ISNUMBER(资金台帐!B819),资金台帐!B819&gt;=客户对账单!$G$4,资金台帐!B819&lt;=客户对账单!$I$4),资金台帐!B819+ROW()/100000,"")</f>
      </c>
      <c r="H3816">
        <f>IF(AND(资金台帐!K2319&lt;&gt;"",资金台帐!K2319=供应商对账单!$B$4,资金台帐!P2319="应付",ISNUMBER(资金台帐!B2319),资金台帐!B2319&gt;=供应商对账单!$G$4,资金台帐!B2319&lt;=供应商对账单!$I$4),资金台帐!B2319+ROW()/100000,"")</f>
      </c>
    </row>
    <row r="3817">
      <c r="A3817">
        <f>IF(OR(出库明细!C2817="",出库明细!D2817=""),"",IF(OR(COUNTIFS(存条明细!$C$4:$C$1003,出库明细!C2817,存条明细!$D$4:$D$1003,出库明细!D2817)&gt;0,COUNTIFS(出库明细!$C$4:C2817,出库明细!C2817,出库明细!$D$4:D2817,出库明细!D2817)&gt;1),"",IFERROR(MATCH(出库明细!C2817,总览汇总!$B$5:$B$304,0),900)*10000000+IFERROR(MATCH(出库明细!D2817,基础资料!$E$5:$E$104,0),900)*10000+ROW()))</f>
      </c>
      <c r="F3817">
        <f>IF(AND(资金台帐!J820&lt;&gt;"",资金台帐!J820=客户对账单!$B$4,资金台帐!P820="应收",ISNUMBER(资金台帐!B820),资金台帐!B820&gt;=客户对账单!$G$4,资金台帐!B820&lt;=客户对账单!$I$4),资金台帐!B820+ROW()/100000,"")</f>
      </c>
      <c r="H3817">
        <f>IF(AND(资金台帐!K2320&lt;&gt;"",资金台帐!K2320=供应商对账单!$B$4,资金台帐!P2320="应付",ISNUMBER(资金台帐!B2320),资金台帐!B2320&gt;=供应商对账单!$G$4,资金台帐!B2320&lt;=供应商对账单!$I$4),资金台帐!B2320+ROW()/100000,"")</f>
      </c>
    </row>
    <row r="3818">
      <c r="A3818">
        <f>IF(OR(出库明细!C2818="",出库明细!D2818=""),"",IF(OR(COUNTIFS(存条明细!$C$4:$C$1003,出库明细!C2818,存条明细!$D$4:$D$1003,出库明细!D2818)&gt;0,COUNTIFS(出库明细!$C$4:C2818,出库明细!C2818,出库明细!$D$4:D2818,出库明细!D2818)&gt;1),"",IFERROR(MATCH(出库明细!C2818,总览汇总!$B$5:$B$304,0),900)*10000000+IFERROR(MATCH(出库明细!D2818,基础资料!$E$5:$E$104,0),900)*10000+ROW()))</f>
      </c>
      <c r="F3818">
        <f>IF(AND(资金台帐!J821&lt;&gt;"",资金台帐!J821=客户对账单!$B$4,资金台帐!P821="应收",ISNUMBER(资金台帐!B821),资金台帐!B821&gt;=客户对账单!$G$4,资金台帐!B821&lt;=客户对账单!$I$4),资金台帐!B821+ROW()/100000,"")</f>
      </c>
      <c r="H3818">
        <f>IF(AND(资金台帐!K2321&lt;&gt;"",资金台帐!K2321=供应商对账单!$B$4,资金台帐!P2321="应付",ISNUMBER(资金台帐!B2321),资金台帐!B2321&gt;=供应商对账单!$G$4,资金台帐!B2321&lt;=供应商对账单!$I$4),资金台帐!B2321+ROW()/100000,"")</f>
      </c>
    </row>
    <row r="3819">
      <c r="A3819">
        <f>IF(OR(出库明细!C2819="",出库明细!D2819=""),"",IF(OR(COUNTIFS(存条明细!$C$4:$C$1003,出库明细!C2819,存条明细!$D$4:$D$1003,出库明细!D2819)&gt;0,COUNTIFS(出库明细!$C$4:C2819,出库明细!C2819,出库明细!$D$4:D2819,出库明细!D2819)&gt;1),"",IFERROR(MATCH(出库明细!C2819,总览汇总!$B$5:$B$304,0),900)*10000000+IFERROR(MATCH(出库明细!D2819,基础资料!$E$5:$E$104,0),900)*10000+ROW()))</f>
      </c>
      <c r="F3819">
        <f>IF(AND(资金台帐!J822&lt;&gt;"",资金台帐!J822=客户对账单!$B$4,资金台帐!P822="应收",ISNUMBER(资金台帐!B822),资金台帐!B822&gt;=客户对账单!$G$4,资金台帐!B822&lt;=客户对账单!$I$4),资金台帐!B822+ROW()/100000,"")</f>
      </c>
      <c r="H3819">
        <f>IF(AND(资金台帐!K2322&lt;&gt;"",资金台帐!K2322=供应商对账单!$B$4,资金台帐!P2322="应付",ISNUMBER(资金台帐!B2322),资金台帐!B2322&gt;=供应商对账单!$G$4,资金台帐!B2322&lt;=供应商对账单!$I$4),资金台帐!B2322+ROW()/100000,"")</f>
      </c>
    </row>
    <row r="3820">
      <c r="A3820">
        <f>IF(OR(出库明细!C2820="",出库明细!D2820=""),"",IF(OR(COUNTIFS(存条明细!$C$4:$C$1003,出库明细!C2820,存条明细!$D$4:$D$1003,出库明细!D2820)&gt;0,COUNTIFS(出库明细!$C$4:C2820,出库明细!C2820,出库明细!$D$4:D2820,出库明细!D2820)&gt;1),"",IFERROR(MATCH(出库明细!C2820,总览汇总!$B$5:$B$304,0),900)*10000000+IFERROR(MATCH(出库明细!D2820,基础资料!$E$5:$E$104,0),900)*10000+ROW()))</f>
      </c>
      <c r="F3820">
        <f>IF(AND(资金台帐!J823&lt;&gt;"",资金台帐!J823=客户对账单!$B$4,资金台帐!P823="应收",ISNUMBER(资金台帐!B823),资金台帐!B823&gt;=客户对账单!$G$4,资金台帐!B823&lt;=客户对账单!$I$4),资金台帐!B823+ROW()/100000,"")</f>
      </c>
      <c r="H3820">
        <f>IF(AND(资金台帐!K2323&lt;&gt;"",资金台帐!K2323=供应商对账单!$B$4,资金台帐!P2323="应付",ISNUMBER(资金台帐!B2323),资金台帐!B2323&gt;=供应商对账单!$G$4,资金台帐!B2323&lt;=供应商对账单!$I$4),资金台帐!B2323+ROW()/100000,"")</f>
      </c>
    </row>
    <row r="3821">
      <c r="A3821">
        <f>IF(OR(出库明细!C2821="",出库明细!D2821=""),"",IF(OR(COUNTIFS(存条明细!$C$4:$C$1003,出库明细!C2821,存条明细!$D$4:$D$1003,出库明细!D2821)&gt;0,COUNTIFS(出库明细!$C$4:C2821,出库明细!C2821,出库明细!$D$4:D2821,出库明细!D2821)&gt;1),"",IFERROR(MATCH(出库明细!C2821,总览汇总!$B$5:$B$304,0),900)*10000000+IFERROR(MATCH(出库明细!D2821,基础资料!$E$5:$E$104,0),900)*10000+ROW()))</f>
      </c>
      <c r="F3821">
        <f>IF(AND(资金台帐!J824&lt;&gt;"",资金台帐!J824=客户对账单!$B$4,资金台帐!P824="应收",ISNUMBER(资金台帐!B824),资金台帐!B824&gt;=客户对账单!$G$4,资金台帐!B824&lt;=客户对账单!$I$4),资金台帐!B824+ROW()/100000,"")</f>
      </c>
      <c r="H3821">
        <f>IF(AND(资金台帐!K2324&lt;&gt;"",资金台帐!K2324=供应商对账单!$B$4,资金台帐!P2324="应付",ISNUMBER(资金台帐!B2324),资金台帐!B2324&gt;=供应商对账单!$G$4,资金台帐!B2324&lt;=供应商对账单!$I$4),资金台帐!B2324+ROW()/100000,"")</f>
      </c>
    </row>
    <row r="3822">
      <c r="A3822">
        <f>IF(OR(出库明细!C2822="",出库明细!D2822=""),"",IF(OR(COUNTIFS(存条明细!$C$4:$C$1003,出库明细!C2822,存条明细!$D$4:$D$1003,出库明细!D2822)&gt;0,COUNTIFS(出库明细!$C$4:C2822,出库明细!C2822,出库明细!$D$4:D2822,出库明细!D2822)&gt;1),"",IFERROR(MATCH(出库明细!C2822,总览汇总!$B$5:$B$304,0),900)*10000000+IFERROR(MATCH(出库明细!D2822,基础资料!$E$5:$E$104,0),900)*10000+ROW()))</f>
      </c>
      <c r="F3822">
        <f>IF(AND(资金台帐!J825&lt;&gt;"",资金台帐!J825=客户对账单!$B$4,资金台帐!P825="应收",ISNUMBER(资金台帐!B825),资金台帐!B825&gt;=客户对账单!$G$4,资金台帐!B825&lt;=客户对账单!$I$4),资金台帐!B825+ROW()/100000,"")</f>
      </c>
      <c r="H3822">
        <f>IF(AND(资金台帐!K2325&lt;&gt;"",资金台帐!K2325=供应商对账单!$B$4,资金台帐!P2325="应付",ISNUMBER(资金台帐!B2325),资金台帐!B2325&gt;=供应商对账单!$G$4,资金台帐!B2325&lt;=供应商对账单!$I$4),资金台帐!B2325+ROW()/100000,"")</f>
      </c>
    </row>
    <row r="3823">
      <c r="A3823">
        <f>IF(OR(出库明细!C2823="",出库明细!D2823=""),"",IF(OR(COUNTIFS(存条明细!$C$4:$C$1003,出库明细!C2823,存条明细!$D$4:$D$1003,出库明细!D2823)&gt;0,COUNTIFS(出库明细!$C$4:C2823,出库明细!C2823,出库明细!$D$4:D2823,出库明细!D2823)&gt;1),"",IFERROR(MATCH(出库明细!C2823,总览汇总!$B$5:$B$304,0),900)*10000000+IFERROR(MATCH(出库明细!D2823,基础资料!$E$5:$E$104,0),900)*10000+ROW()))</f>
      </c>
      <c r="F3823">
        <f>IF(AND(资金台帐!J826&lt;&gt;"",资金台帐!J826=客户对账单!$B$4,资金台帐!P826="应收",ISNUMBER(资金台帐!B826),资金台帐!B826&gt;=客户对账单!$G$4,资金台帐!B826&lt;=客户对账单!$I$4),资金台帐!B826+ROW()/100000,"")</f>
      </c>
      <c r="H3823">
        <f>IF(AND(资金台帐!K2326&lt;&gt;"",资金台帐!K2326=供应商对账单!$B$4,资金台帐!P2326="应付",ISNUMBER(资金台帐!B2326),资金台帐!B2326&gt;=供应商对账单!$G$4,资金台帐!B2326&lt;=供应商对账单!$I$4),资金台帐!B2326+ROW()/100000,"")</f>
      </c>
    </row>
    <row r="3824">
      <c r="A3824">
        <f>IF(OR(出库明细!C2824="",出库明细!D2824=""),"",IF(OR(COUNTIFS(存条明细!$C$4:$C$1003,出库明细!C2824,存条明细!$D$4:$D$1003,出库明细!D2824)&gt;0,COUNTIFS(出库明细!$C$4:C2824,出库明细!C2824,出库明细!$D$4:D2824,出库明细!D2824)&gt;1),"",IFERROR(MATCH(出库明细!C2824,总览汇总!$B$5:$B$304,0),900)*10000000+IFERROR(MATCH(出库明细!D2824,基础资料!$E$5:$E$104,0),900)*10000+ROW()))</f>
      </c>
      <c r="F3824">
        <f>IF(AND(资金台帐!J827&lt;&gt;"",资金台帐!J827=客户对账单!$B$4,资金台帐!P827="应收",ISNUMBER(资金台帐!B827),资金台帐!B827&gt;=客户对账单!$G$4,资金台帐!B827&lt;=客户对账单!$I$4),资金台帐!B827+ROW()/100000,"")</f>
      </c>
      <c r="H3824">
        <f>IF(AND(资金台帐!K2327&lt;&gt;"",资金台帐!K2327=供应商对账单!$B$4,资金台帐!P2327="应付",ISNUMBER(资金台帐!B2327),资金台帐!B2327&gt;=供应商对账单!$G$4,资金台帐!B2327&lt;=供应商对账单!$I$4),资金台帐!B2327+ROW()/100000,"")</f>
      </c>
    </row>
    <row r="3825">
      <c r="A3825">
        <f>IF(OR(出库明细!C2825="",出库明细!D2825=""),"",IF(OR(COUNTIFS(存条明细!$C$4:$C$1003,出库明细!C2825,存条明细!$D$4:$D$1003,出库明细!D2825)&gt;0,COUNTIFS(出库明细!$C$4:C2825,出库明细!C2825,出库明细!$D$4:D2825,出库明细!D2825)&gt;1),"",IFERROR(MATCH(出库明细!C2825,总览汇总!$B$5:$B$304,0),900)*10000000+IFERROR(MATCH(出库明细!D2825,基础资料!$E$5:$E$104,0),900)*10000+ROW()))</f>
      </c>
      <c r="F3825">
        <f>IF(AND(资金台帐!J828&lt;&gt;"",资金台帐!J828=客户对账单!$B$4,资金台帐!P828="应收",ISNUMBER(资金台帐!B828),资金台帐!B828&gt;=客户对账单!$G$4,资金台帐!B828&lt;=客户对账单!$I$4),资金台帐!B828+ROW()/100000,"")</f>
      </c>
      <c r="H3825">
        <f>IF(AND(资金台帐!K2328&lt;&gt;"",资金台帐!K2328=供应商对账单!$B$4,资金台帐!P2328="应付",ISNUMBER(资金台帐!B2328),资金台帐!B2328&gt;=供应商对账单!$G$4,资金台帐!B2328&lt;=供应商对账单!$I$4),资金台帐!B2328+ROW()/100000,"")</f>
      </c>
    </row>
    <row r="3826">
      <c r="A3826">
        <f>IF(OR(出库明细!C2826="",出库明细!D2826=""),"",IF(OR(COUNTIFS(存条明细!$C$4:$C$1003,出库明细!C2826,存条明细!$D$4:$D$1003,出库明细!D2826)&gt;0,COUNTIFS(出库明细!$C$4:C2826,出库明细!C2826,出库明细!$D$4:D2826,出库明细!D2826)&gt;1),"",IFERROR(MATCH(出库明细!C2826,总览汇总!$B$5:$B$304,0),900)*10000000+IFERROR(MATCH(出库明细!D2826,基础资料!$E$5:$E$104,0),900)*10000+ROW()))</f>
      </c>
      <c r="F3826">
        <f>IF(AND(资金台帐!J829&lt;&gt;"",资金台帐!J829=客户对账单!$B$4,资金台帐!P829="应收",ISNUMBER(资金台帐!B829),资金台帐!B829&gt;=客户对账单!$G$4,资金台帐!B829&lt;=客户对账单!$I$4),资金台帐!B829+ROW()/100000,"")</f>
      </c>
      <c r="H3826">
        <f>IF(AND(资金台帐!K2329&lt;&gt;"",资金台帐!K2329=供应商对账单!$B$4,资金台帐!P2329="应付",ISNUMBER(资金台帐!B2329),资金台帐!B2329&gt;=供应商对账单!$G$4,资金台帐!B2329&lt;=供应商对账单!$I$4),资金台帐!B2329+ROW()/100000,"")</f>
      </c>
    </row>
    <row r="3827">
      <c r="A3827">
        <f>IF(OR(出库明细!C2827="",出库明细!D2827=""),"",IF(OR(COUNTIFS(存条明细!$C$4:$C$1003,出库明细!C2827,存条明细!$D$4:$D$1003,出库明细!D2827)&gt;0,COUNTIFS(出库明细!$C$4:C2827,出库明细!C2827,出库明细!$D$4:D2827,出库明细!D2827)&gt;1),"",IFERROR(MATCH(出库明细!C2827,总览汇总!$B$5:$B$304,0),900)*10000000+IFERROR(MATCH(出库明细!D2827,基础资料!$E$5:$E$104,0),900)*10000+ROW()))</f>
      </c>
      <c r="F3827">
        <f>IF(AND(资金台帐!J830&lt;&gt;"",资金台帐!J830=客户对账单!$B$4,资金台帐!P830="应收",ISNUMBER(资金台帐!B830),资金台帐!B830&gt;=客户对账单!$G$4,资金台帐!B830&lt;=客户对账单!$I$4),资金台帐!B830+ROW()/100000,"")</f>
      </c>
      <c r="H3827">
        <f>IF(AND(资金台帐!K2330&lt;&gt;"",资金台帐!K2330=供应商对账单!$B$4,资金台帐!P2330="应付",ISNUMBER(资金台帐!B2330),资金台帐!B2330&gt;=供应商对账单!$G$4,资金台帐!B2330&lt;=供应商对账单!$I$4),资金台帐!B2330+ROW()/100000,"")</f>
      </c>
    </row>
    <row r="3828">
      <c r="A3828">
        <f>IF(OR(出库明细!C2828="",出库明细!D2828=""),"",IF(OR(COUNTIFS(存条明细!$C$4:$C$1003,出库明细!C2828,存条明细!$D$4:$D$1003,出库明细!D2828)&gt;0,COUNTIFS(出库明细!$C$4:C2828,出库明细!C2828,出库明细!$D$4:D2828,出库明细!D2828)&gt;1),"",IFERROR(MATCH(出库明细!C2828,总览汇总!$B$5:$B$304,0),900)*10000000+IFERROR(MATCH(出库明细!D2828,基础资料!$E$5:$E$104,0),900)*10000+ROW()))</f>
      </c>
      <c r="F3828">
        <f>IF(AND(资金台帐!J831&lt;&gt;"",资金台帐!J831=客户对账单!$B$4,资金台帐!P831="应收",ISNUMBER(资金台帐!B831),资金台帐!B831&gt;=客户对账单!$G$4,资金台帐!B831&lt;=客户对账单!$I$4),资金台帐!B831+ROW()/100000,"")</f>
      </c>
      <c r="H3828">
        <f>IF(AND(资金台帐!K2331&lt;&gt;"",资金台帐!K2331=供应商对账单!$B$4,资金台帐!P2331="应付",ISNUMBER(资金台帐!B2331),资金台帐!B2331&gt;=供应商对账单!$G$4,资金台帐!B2331&lt;=供应商对账单!$I$4),资金台帐!B2331+ROW()/100000,"")</f>
      </c>
    </row>
    <row r="3829">
      <c r="A3829">
        <f>IF(OR(出库明细!C2829="",出库明细!D2829=""),"",IF(OR(COUNTIFS(存条明细!$C$4:$C$1003,出库明细!C2829,存条明细!$D$4:$D$1003,出库明细!D2829)&gt;0,COUNTIFS(出库明细!$C$4:C2829,出库明细!C2829,出库明细!$D$4:D2829,出库明细!D2829)&gt;1),"",IFERROR(MATCH(出库明细!C2829,总览汇总!$B$5:$B$304,0),900)*10000000+IFERROR(MATCH(出库明细!D2829,基础资料!$E$5:$E$104,0),900)*10000+ROW()))</f>
      </c>
      <c r="F3829">
        <f>IF(AND(资金台帐!J832&lt;&gt;"",资金台帐!J832=客户对账单!$B$4,资金台帐!P832="应收",ISNUMBER(资金台帐!B832),资金台帐!B832&gt;=客户对账单!$G$4,资金台帐!B832&lt;=客户对账单!$I$4),资金台帐!B832+ROW()/100000,"")</f>
      </c>
      <c r="H3829">
        <f>IF(AND(资金台帐!K2332&lt;&gt;"",资金台帐!K2332=供应商对账单!$B$4,资金台帐!P2332="应付",ISNUMBER(资金台帐!B2332),资金台帐!B2332&gt;=供应商对账单!$G$4,资金台帐!B2332&lt;=供应商对账单!$I$4),资金台帐!B2332+ROW()/100000,"")</f>
      </c>
    </row>
    <row r="3830">
      <c r="A3830">
        <f>IF(OR(出库明细!C2830="",出库明细!D2830=""),"",IF(OR(COUNTIFS(存条明细!$C$4:$C$1003,出库明细!C2830,存条明细!$D$4:$D$1003,出库明细!D2830)&gt;0,COUNTIFS(出库明细!$C$4:C2830,出库明细!C2830,出库明细!$D$4:D2830,出库明细!D2830)&gt;1),"",IFERROR(MATCH(出库明细!C2830,总览汇总!$B$5:$B$304,0),900)*10000000+IFERROR(MATCH(出库明细!D2830,基础资料!$E$5:$E$104,0),900)*10000+ROW()))</f>
      </c>
      <c r="F3830">
        <f>IF(AND(资金台帐!J833&lt;&gt;"",资金台帐!J833=客户对账单!$B$4,资金台帐!P833="应收",ISNUMBER(资金台帐!B833),资金台帐!B833&gt;=客户对账单!$G$4,资金台帐!B833&lt;=客户对账单!$I$4),资金台帐!B833+ROW()/100000,"")</f>
      </c>
      <c r="H3830">
        <f>IF(AND(资金台帐!K2333&lt;&gt;"",资金台帐!K2333=供应商对账单!$B$4,资金台帐!P2333="应付",ISNUMBER(资金台帐!B2333),资金台帐!B2333&gt;=供应商对账单!$G$4,资金台帐!B2333&lt;=供应商对账单!$I$4),资金台帐!B2333+ROW()/100000,"")</f>
      </c>
    </row>
    <row r="3831">
      <c r="A3831">
        <f>IF(OR(出库明细!C2831="",出库明细!D2831=""),"",IF(OR(COUNTIFS(存条明细!$C$4:$C$1003,出库明细!C2831,存条明细!$D$4:$D$1003,出库明细!D2831)&gt;0,COUNTIFS(出库明细!$C$4:C2831,出库明细!C2831,出库明细!$D$4:D2831,出库明细!D2831)&gt;1),"",IFERROR(MATCH(出库明细!C2831,总览汇总!$B$5:$B$304,0),900)*10000000+IFERROR(MATCH(出库明细!D2831,基础资料!$E$5:$E$104,0),900)*10000+ROW()))</f>
      </c>
      <c r="F3831">
        <f>IF(AND(资金台帐!J834&lt;&gt;"",资金台帐!J834=客户对账单!$B$4,资金台帐!P834="应收",ISNUMBER(资金台帐!B834),资金台帐!B834&gt;=客户对账单!$G$4,资金台帐!B834&lt;=客户对账单!$I$4),资金台帐!B834+ROW()/100000,"")</f>
      </c>
      <c r="H3831">
        <f>IF(AND(资金台帐!K2334&lt;&gt;"",资金台帐!K2334=供应商对账单!$B$4,资金台帐!P2334="应付",ISNUMBER(资金台帐!B2334),资金台帐!B2334&gt;=供应商对账单!$G$4,资金台帐!B2334&lt;=供应商对账单!$I$4),资金台帐!B2334+ROW()/100000,"")</f>
      </c>
    </row>
    <row r="3832">
      <c r="A3832">
        <f>IF(OR(出库明细!C2832="",出库明细!D2832=""),"",IF(OR(COUNTIFS(存条明细!$C$4:$C$1003,出库明细!C2832,存条明细!$D$4:$D$1003,出库明细!D2832)&gt;0,COUNTIFS(出库明细!$C$4:C2832,出库明细!C2832,出库明细!$D$4:D2832,出库明细!D2832)&gt;1),"",IFERROR(MATCH(出库明细!C2832,总览汇总!$B$5:$B$304,0),900)*10000000+IFERROR(MATCH(出库明细!D2832,基础资料!$E$5:$E$104,0),900)*10000+ROW()))</f>
      </c>
      <c r="F3832">
        <f>IF(AND(资金台帐!J835&lt;&gt;"",资金台帐!J835=客户对账单!$B$4,资金台帐!P835="应收",ISNUMBER(资金台帐!B835),资金台帐!B835&gt;=客户对账单!$G$4,资金台帐!B835&lt;=客户对账单!$I$4),资金台帐!B835+ROW()/100000,"")</f>
      </c>
      <c r="H3832">
        <f>IF(AND(资金台帐!K2335&lt;&gt;"",资金台帐!K2335=供应商对账单!$B$4,资金台帐!P2335="应付",ISNUMBER(资金台帐!B2335),资金台帐!B2335&gt;=供应商对账单!$G$4,资金台帐!B2335&lt;=供应商对账单!$I$4),资金台帐!B2335+ROW()/100000,"")</f>
      </c>
    </row>
    <row r="3833">
      <c r="A3833">
        <f>IF(OR(出库明细!C2833="",出库明细!D2833=""),"",IF(OR(COUNTIFS(存条明细!$C$4:$C$1003,出库明细!C2833,存条明细!$D$4:$D$1003,出库明细!D2833)&gt;0,COUNTIFS(出库明细!$C$4:C2833,出库明细!C2833,出库明细!$D$4:D2833,出库明细!D2833)&gt;1),"",IFERROR(MATCH(出库明细!C2833,总览汇总!$B$5:$B$304,0),900)*10000000+IFERROR(MATCH(出库明细!D2833,基础资料!$E$5:$E$104,0),900)*10000+ROW()))</f>
      </c>
      <c r="F3833">
        <f>IF(AND(资金台帐!J836&lt;&gt;"",资金台帐!J836=客户对账单!$B$4,资金台帐!P836="应收",ISNUMBER(资金台帐!B836),资金台帐!B836&gt;=客户对账单!$G$4,资金台帐!B836&lt;=客户对账单!$I$4),资金台帐!B836+ROW()/100000,"")</f>
      </c>
      <c r="H3833">
        <f>IF(AND(资金台帐!K2336&lt;&gt;"",资金台帐!K2336=供应商对账单!$B$4,资金台帐!P2336="应付",ISNUMBER(资金台帐!B2336),资金台帐!B2336&gt;=供应商对账单!$G$4,资金台帐!B2336&lt;=供应商对账单!$I$4),资金台帐!B2336+ROW()/100000,"")</f>
      </c>
    </row>
    <row r="3834">
      <c r="A3834">
        <f>IF(OR(出库明细!C2834="",出库明细!D2834=""),"",IF(OR(COUNTIFS(存条明细!$C$4:$C$1003,出库明细!C2834,存条明细!$D$4:$D$1003,出库明细!D2834)&gt;0,COUNTIFS(出库明细!$C$4:C2834,出库明细!C2834,出库明细!$D$4:D2834,出库明细!D2834)&gt;1),"",IFERROR(MATCH(出库明细!C2834,总览汇总!$B$5:$B$304,0),900)*10000000+IFERROR(MATCH(出库明细!D2834,基础资料!$E$5:$E$104,0),900)*10000+ROW()))</f>
      </c>
      <c r="F3834">
        <f>IF(AND(资金台帐!J837&lt;&gt;"",资金台帐!J837=客户对账单!$B$4,资金台帐!P837="应收",ISNUMBER(资金台帐!B837),资金台帐!B837&gt;=客户对账单!$G$4,资金台帐!B837&lt;=客户对账单!$I$4),资金台帐!B837+ROW()/100000,"")</f>
      </c>
      <c r="H3834">
        <f>IF(AND(资金台帐!K2337&lt;&gt;"",资金台帐!K2337=供应商对账单!$B$4,资金台帐!P2337="应付",ISNUMBER(资金台帐!B2337),资金台帐!B2337&gt;=供应商对账单!$G$4,资金台帐!B2337&lt;=供应商对账单!$I$4),资金台帐!B2337+ROW()/100000,"")</f>
      </c>
    </row>
    <row r="3835">
      <c r="A3835">
        <f>IF(OR(出库明细!C2835="",出库明细!D2835=""),"",IF(OR(COUNTIFS(存条明细!$C$4:$C$1003,出库明细!C2835,存条明细!$D$4:$D$1003,出库明细!D2835)&gt;0,COUNTIFS(出库明细!$C$4:C2835,出库明细!C2835,出库明细!$D$4:D2835,出库明细!D2835)&gt;1),"",IFERROR(MATCH(出库明细!C2835,总览汇总!$B$5:$B$304,0),900)*10000000+IFERROR(MATCH(出库明细!D2835,基础资料!$E$5:$E$104,0),900)*10000+ROW()))</f>
      </c>
      <c r="F3835">
        <f>IF(AND(资金台帐!J838&lt;&gt;"",资金台帐!J838=客户对账单!$B$4,资金台帐!P838="应收",ISNUMBER(资金台帐!B838),资金台帐!B838&gt;=客户对账单!$G$4,资金台帐!B838&lt;=客户对账单!$I$4),资金台帐!B838+ROW()/100000,"")</f>
      </c>
      <c r="H3835">
        <f>IF(AND(资金台帐!K2338&lt;&gt;"",资金台帐!K2338=供应商对账单!$B$4,资金台帐!P2338="应付",ISNUMBER(资金台帐!B2338),资金台帐!B2338&gt;=供应商对账单!$G$4,资金台帐!B2338&lt;=供应商对账单!$I$4),资金台帐!B2338+ROW()/100000,"")</f>
      </c>
    </row>
    <row r="3836">
      <c r="A3836">
        <f>IF(OR(出库明细!C2836="",出库明细!D2836=""),"",IF(OR(COUNTIFS(存条明细!$C$4:$C$1003,出库明细!C2836,存条明细!$D$4:$D$1003,出库明细!D2836)&gt;0,COUNTIFS(出库明细!$C$4:C2836,出库明细!C2836,出库明细!$D$4:D2836,出库明细!D2836)&gt;1),"",IFERROR(MATCH(出库明细!C2836,总览汇总!$B$5:$B$304,0),900)*10000000+IFERROR(MATCH(出库明细!D2836,基础资料!$E$5:$E$104,0),900)*10000+ROW()))</f>
      </c>
      <c r="F3836">
        <f>IF(AND(资金台帐!J839&lt;&gt;"",资金台帐!J839=客户对账单!$B$4,资金台帐!P839="应收",ISNUMBER(资金台帐!B839),资金台帐!B839&gt;=客户对账单!$G$4,资金台帐!B839&lt;=客户对账单!$I$4),资金台帐!B839+ROW()/100000,"")</f>
      </c>
      <c r="H3836">
        <f>IF(AND(资金台帐!K2339&lt;&gt;"",资金台帐!K2339=供应商对账单!$B$4,资金台帐!P2339="应付",ISNUMBER(资金台帐!B2339),资金台帐!B2339&gt;=供应商对账单!$G$4,资金台帐!B2339&lt;=供应商对账单!$I$4),资金台帐!B2339+ROW()/100000,"")</f>
      </c>
    </row>
    <row r="3837">
      <c r="A3837">
        <f>IF(OR(出库明细!C2837="",出库明细!D2837=""),"",IF(OR(COUNTIFS(存条明细!$C$4:$C$1003,出库明细!C2837,存条明细!$D$4:$D$1003,出库明细!D2837)&gt;0,COUNTIFS(出库明细!$C$4:C2837,出库明细!C2837,出库明细!$D$4:D2837,出库明细!D2837)&gt;1),"",IFERROR(MATCH(出库明细!C2837,总览汇总!$B$5:$B$304,0),900)*10000000+IFERROR(MATCH(出库明细!D2837,基础资料!$E$5:$E$104,0),900)*10000+ROW()))</f>
      </c>
      <c r="F3837">
        <f>IF(AND(资金台帐!J840&lt;&gt;"",资金台帐!J840=客户对账单!$B$4,资金台帐!P840="应收",ISNUMBER(资金台帐!B840),资金台帐!B840&gt;=客户对账单!$G$4,资金台帐!B840&lt;=客户对账单!$I$4),资金台帐!B840+ROW()/100000,"")</f>
      </c>
      <c r="H3837">
        <f>IF(AND(资金台帐!K2340&lt;&gt;"",资金台帐!K2340=供应商对账单!$B$4,资金台帐!P2340="应付",ISNUMBER(资金台帐!B2340),资金台帐!B2340&gt;=供应商对账单!$G$4,资金台帐!B2340&lt;=供应商对账单!$I$4),资金台帐!B2340+ROW()/100000,"")</f>
      </c>
    </row>
    <row r="3838">
      <c r="A3838">
        <f>IF(OR(出库明细!C2838="",出库明细!D2838=""),"",IF(OR(COUNTIFS(存条明细!$C$4:$C$1003,出库明细!C2838,存条明细!$D$4:$D$1003,出库明细!D2838)&gt;0,COUNTIFS(出库明细!$C$4:C2838,出库明细!C2838,出库明细!$D$4:D2838,出库明细!D2838)&gt;1),"",IFERROR(MATCH(出库明细!C2838,总览汇总!$B$5:$B$304,0),900)*10000000+IFERROR(MATCH(出库明细!D2838,基础资料!$E$5:$E$104,0),900)*10000+ROW()))</f>
      </c>
      <c r="F3838">
        <f>IF(AND(资金台帐!J841&lt;&gt;"",资金台帐!J841=客户对账单!$B$4,资金台帐!P841="应收",ISNUMBER(资金台帐!B841),资金台帐!B841&gt;=客户对账单!$G$4,资金台帐!B841&lt;=客户对账单!$I$4),资金台帐!B841+ROW()/100000,"")</f>
      </c>
      <c r="H3838">
        <f>IF(AND(资金台帐!K2341&lt;&gt;"",资金台帐!K2341=供应商对账单!$B$4,资金台帐!P2341="应付",ISNUMBER(资金台帐!B2341),资金台帐!B2341&gt;=供应商对账单!$G$4,资金台帐!B2341&lt;=供应商对账单!$I$4),资金台帐!B2341+ROW()/100000,"")</f>
      </c>
    </row>
    <row r="3839">
      <c r="A3839">
        <f>IF(OR(出库明细!C2839="",出库明细!D2839=""),"",IF(OR(COUNTIFS(存条明细!$C$4:$C$1003,出库明细!C2839,存条明细!$D$4:$D$1003,出库明细!D2839)&gt;0,COUNTIFS(出库明细!$C$4:C2839,出库明细!C2839,出库明细!$D$4:D2839,出库明细!D2839)&gt;1),"",IFERROR(MATCH(出库明细!C2839,总览汇总!$B$5:$B$304,0),900)*10000000+IFERROR(MATCH(出库明细!D2839,基础资料!$E$5:$E$104,0),900)*10000+ROW()))</f>
      </c>
      <c r="F3839">
        <f>IF(AND(资金台帐!J842&lt;&gt;"",资金台帐!J842=客户对账单!$B$4,资金台帐!P842="应收",ISNUMBER(资金台帐!B842),资金台帐!B842&gt;=客户对账单!$G$4,资金台帐!B842&lt;=客户对账单!$I$4),资金台帐!B842+ROW()/100000,"")</f>
      </c>
      <c r="H3839">
        <f>IF(AND(资金台帐!K2342&lt;&gt;"",资金台帐!K2342=供应商对账单!$B$4,资金台帐!P2342="应付",ISNUMBER(资金台帐!B2342),资金台帐!B2342&gt;=供应商对账单!$G$4,资金台帐!B2342&lt;=供应商对账单!$I$4),资金台帐!B2342+ROW()/100000,"")</f>
      </c>
    </row>
    <row r="3840">
      <c r="A3840">
        <f>IF(OR(出库明细!C2840="",出库明细!D2840=""),"",IF(OR(COUNTIFS(存条明细!$C$4:$C$1003,出库明细!C2840,存条明细!$D$4:$D$1003,出库明细!D2840)&gt;0,COUNTIFS(出库明细!$C$4:C2840,出库明细!C2840,出库明细!$D$4:D2840,出库明细!D2840)&gt;1),"",IFERROR(MATCH(出库明细!C2840,总览汇总!$B$5:$B$304,0),900)*10000000+IFERROR(MATCH(出库明细!D2840,基础资料!$E$5:$E$104,0),900)*10000+ROW()))</f>
      </c>
      <c r="F3840">
        <f>IF(AND(资金台帐!J843&lt;&gt;"",资金台帐!J843=客户对账单!$B$4,资金台帐!P843="应收",ISNUMBER(资金台帐!B843),资金台帐!B843&gt;=客户对账单!$G$4,资金台帐!B843&lt;=客户对账单!$I$4),资金台帐!B843+ROW()/100000,"")</f>
      </c>
      <c r="H3840">
        <f>IF(AND(资金台帐!K2343&lt;&gt;"",资金台帐!K2343=供应商对账单!$B$4,资金台帐!P2343="应付",ISNUMBER(资金台帐!B2343),资金台帐!B2343&gt;=供应商对账单!$G$4,资金台帐!B2343&lt;=供应商对账单!$I$4),资金台帐!B2343+ROW()/100000,"")</f>
      </c>
    </row>
    <row r="3841">
      <c r="A3841">
        <f>IF(OR(出库明细!C2841="",出库明细!D2841=""),"",IF(OR(COUNTIFS(存条明细!$C$4:$C$1003,出库明细!C2841,存条明细!$D$4:$D$1003,出库明细!D2841)&gt;0,COUNTIFS(出库明细!$C$4:C2841,出库明细!C2841,出库明细!$D$4:D2841,出库明细!D2841)&gt;1),"",IFERROR(MATCH(出库明细!C2841,总览汇总!$B$5:$B$304,0),900)*10000000+IFERROR(MATCH(出库明细!D2841,基础资料!$E$5:$E$104,0),900)*10000+ROW()))</f>
      </c>
      <c r="F3841">
        <f>IF(AND(资金台帐!J844&lt;&gt;"",资金台帐!J844=客户对账单!$B$4,资金台帐!P844="应收",ISNUMBER(资金台帐!B844),资金台帐!B844&gt;=客户对账单!$G$4,资金台帐!B844&lt;=客户对账单!$I$4),资金台帐!B844+ROW()/100000,"")</f>
      </c>
      <c r="H3841">
        <f>IF(AND(资金台帐!K2344&lt;&gt;"",资金台帐!K2344=供应商对账单!$B$4,资金台帐!P2344="应付",ISNUMBER(资金台帐!B2344),资金台帐!B2344&gt;=供应商对账单!$G$4,资金台帐!B2344&lt;=供应商对账单!$I$4),资金台帐!B2344+ROW()/100000,"")</f>
      </c>
    </row>
    <row r="3842">
      <c r="A3842">
        <f>IF(OR(出库明细!C2842="",出库明细!D2842=""),"",IF(OR(COUNTIFS(存条明细!$C$4:$C$1003,出库明细!C2842,存条明细!$D$4:$D$1003,出库明细!D2842)&gt;0,COUNTIFS(出库明细!$C$4:C2842,出库明细!C2842,出库明细!$D$4:D2842,出库明细!D2842)&gt;1),"",IFERROR(MATCH(出库明细!C2842,总览汇总!$B$5:$B$304,0),900)*10000000+IFERROR(MATCH(出库明细!D2842,基础资料!$E$5:$E$104,0),900)*10000+ROW()))</f>
      </c>
      <c r="F3842">
        <f>IF(AND(资金台帐!J845&lt;&gt;"",资金台帐!J845=客户对账单!$B$4,资金台帐!P845="应收",ISNUMBER(资金台帐!B845),资金台帐!B845&gt;=客户对账单!$G$4,资金台帐!B845&lt;=客户对账单!$I$4),资金台帐!B845+ROW()/100000,"")</f>
      </c>
      <c r="H3842">
        <f>IF(AND(资金台帐!K2345&lt;&gt;"",资金台帐!K2345=供应商对账单!$B$4,资金台帐!P2345="应付",ISNUMBER(资金台帐!B2345),资金台帐!B2345&gt;=供应商对账单!$G$4,资金台帐!B2345&lt;=供应商对账单!$I$4),资金台帐!B2345+ROW()/100000,"")</f>
      </c>
    </row>
    <row r="3843">
      <c r="A3843">
        <f>IF(OR(出库明细!C2843="",出库明细!D2843=""),"",IF(OR(COUNTIFS(存条明细!$C$4:$C$1003,出库明细!C2843,存条明细!$D$4:$D$1003,出库明细!D2843)&gt;0,COUNTIFS(出库明细!$C$4:C2843,出库明细!C2843,出库明细!$D$4:D2843,出库明细!D2843)&gt;1),"",IFERROR(MATCH(出库明细!C2843,总览汇总!$B$5:$B$304,0),900)*10000000+IFERROR(MATCH(出库明细!D2843,基础资料!$E$5:$E$104,0),900)*10000+ROW()))</f>
      </c>
      <c r="F3843">
        <f>IF(AND(资金台帐!J846&lt;&gt;"",资金台帐!J846=客户对账单!$B$4,资金台帐!P846="应收",ISNUMBER(资金台帐!B846),资金台帐!B846&gt;=客户对账单!$G$4,资金台帐!B846&lt;=客户对账单!$I$4),资金台帐!B846+ROW()/100000,"")</f>
      </c>
      <c r="H3843">
        <f>IF(AND(资金台帐!K2346&lt;&gt;"",资金台帐!K2346=供应商对账单!$B$4,资金台帐!P2346="应付",ISNUMBER(资金台帐!B2346),资金台帐!B2346&gt;=供应商对账单!$G$4,资金台帐!B2346&lt;=供应商对账单!$I$4),资金台帐!B2346+ROW()/100000,"")</f>
      </c>
    </row>
    <row r="3844">
      <c r="A3844">
        <f>IF(OR(出库明细!C2844="",出库明细!D2844=""),"",IF(OR(COUNTIFS(存条明细!$C$4:$C$1003,出库明细!C2844,存条明细!$D$4:$D$1003,出库明细!D2844)&gt;0,COUNTIFS(出库明细!$C$4:C2844,出库明细!C2844,出库明细!$D$4:D2844,出库明细!D2844)&gt;1),"",IFERROR(MATCH(出库明细!C2844,总览汇总!$B$5:$B$304,0),900)*10000000+IFERROR(MATCH(出库明细!D2844,基础资料!$E$5:$E$104,0),900)*10000+ROW()))</f>
      </c>
      <c r="F3844">
        <f>IF(AND(资金台帐!J847&lt;&gt;"",资金台帐!J847=客户对账单!$B$4,资金台帐!P847="应收",ISNUMBER(资金台帐!B847),资金台帐!B847&gt;=客户对账单!$G$4,资金台帐!B847&lt;=客户对账单!$I$4),资金台帐!B847+ROW()/100000,"")</f>
      </c>
      <c r="H3844">
        <f>IF(AND(资金台帐!K2347&lt;&gt;"",资金台帐!K2347=供应商对账单!$B$4,资金台帐!P2347="应付",ISNUMBER(资金台帐!B2347),资金台帐!B2347&gt;=供应商对账单!$G$4,资金台帐!B2347&lt;=供应商对账单!$I$4),资金台帐!B2347+ROW()/100000,"")</f>
      </c>
    </row>
    <row r="3845">
      <c r="A3845">
        <f>IF(OR(出库明细!C2845="",出库明细!D2845=""),"",IF(OR(COUNTIFS(存条明细!$C$4:$C$1003,出库明细!C2845,存条明细!$D$4:$D$1003,出库明细!D2845)&gt;0,COUNTIFS(出库明细!$C$4:C2845,出库明细!C2845,出库明细!$D$4:D2845,出库明细!D2845)&gt;1),"",IFERROR(MATCH(出库明细!C2845,总览汇总!$B$5:$B$304,0),900)*10000000+IFERROR(MATCH(出库明细!D2845,基础资料!$E$5:$E$104,0),900)*10000+ROW()))</f>
      </c>
      <c r="F3845">
        <f>IF(AND(资金台帐!J848&lt;&gt;"",资金台帐!J848=客户对账单!$B$4,资金台帐!P848="应收",ISNUMBER(资金台帐!B848),资金台帐!B848&gt;=客户对账单!$G$4,资金台帐!B848&lt;=客户对账单!$I$4),资金台帐!B848+ROW()/100000,"")</f>
      </c>
      <c r="H3845">
        <f>IF(AND(资金台帐!K2348&lt;&gt;"",资金台帐!K2348=供应商对账单!$B$4,资金台帐!P2348="应付",ISNUMBER(资金台帐!B2348),资金台帐!B2348&gt;=供应商对账单!$G$4,资金台帐!B2348&lt;=供应商对账单!$I$4),资金台帐!B2348+ROW()/100000,"")</f>
      </c>
    </row>
    <row r="3846">
      <c r="A3846">
        <f>IF(OR(出库明细!C2846="",出库明细!D2846=""),"",IF(OR(COUNTIFS(存条明细!$C$4:$C$1003,出库明细!C2846,存条明细!$D$4:$D$1003,出库明细!D2846)&gt;0,COUNTIFS(出库明细!$C$4:C2846,出库明细!C2846,出库明细!$D$4:D2846,出库明细!D2846)&gt;1),"",IFERROR(MATCH(出库明细!C2846,总览汇总!$B$5:$B$304,0),900)*10000000+IFERROR(MATCH(出库明细!D2846,基础资料!$E$5:$E$104,0),900)*10000+ROW()))</f>
      </c>
      <c r="F3846">
        <f>IF(AND(资金台帐!J849&lt;&gt;"",资金台帐!J849=客户对账单!$B$4,资金台帐!P849="应收",ISNUMBER(资金台帐!B849),资金台帐!B849&gt;=客户对账单!$G$4,资金台帐!B849&lt;=客户对账单!$I$4),资金台帐!B849+ROW()/100000,"")</f>
      </c>
      <c r="H3846">
        <f>IF(AND(资金台帐!K2349&lt;&gt;"",资金台帐!K2349=供应商对账单!$B$4,资金台帐!P2349="应付",ISNUMBER(资金台帐!B2349),资金台帐!B2349&gt;=供应商对账单!$G$4,资金台帐!B2349&lt;=供应商对账单!$I$4),资金台帐!B2349+ROW()/100000,"")</f>
      </c>
    </row>
    <row r="3847">
      <c r="A3847">
        <f>IF(OR(出库明细!C2847="",出库明细!D2847=""),"",IF(OR(COUNTIFS(存条明细!$C$4:$C$1003,出库明细!C2847,存条明细!$D$4:$D$1003,出库明细!D2847)&gt;0,COUNTIFS(出库明细!$C$4:C2847,出库明细!C2847,出库明细!$D$4:D2847,出库明细!D2847)&gt;1),"",IFERROR(MATCH(出库明细!C2847,总览汇总!$B$5:$B$304,0),900)*10000000+IFERROR(MATCH(出库明细!D2847,基础资料!$E$5:$E$104,0),900)*10000+ROW()))</f>
      </c>
      <c r="F3847">
        <f>IF(AND(资金台帐!J850&lt;&gt;"",资金台帐!J850=客户对账单!$B$4,资金台帐!P850="应收",ISNUMBER(资金台帐!B850),资金台帐!B850&gt;=客户对账单!$G$4,资金台帐!B850&lt;=客户对账单!$I$4),资金台帐!B850+ROW()/100000,"")</f>
      </c>
      <c r="H3847">
        <f>IF(AND(资金台帐!K2350&lt;&gt;"",资金台帐!K2350=供应商对账单!$B$4,资金台帐!P2350="应付",ISNUMBER(资金台帐!B2350),资金台帐!B2350&gt;=供应商对账单!$G$4,资金台帐!B2350&lt;=供应商对账单!$I$4),资金台帐!B2350+ROW()/100000,"")</f>
      </c>
    </row>
    <row r="3848">
      <c r="A3848">
        <f>IF(OR(出库明细!C2848="",出库明细!D2848=""),"",IF(OR(COUNTIFS(存条明细!$C$4:$C$1003,出库明细!C2848,存条明细!$D$4:$D$1003,出库明细!D2848)&gt;0,COUNTIFS(出库明细!$C$4:C2848,出库明细!C2848,出库明细!$D$4:D2848,出库明细!D2848)&gt;1),"",IFERROR(MATCH(出库明细!C2848,总览汇总!$B$5:$B$304,0),900)*10000000+IFERROR(MATCH(出库明细!D2848,基础资料!$E$5:$E$104,0),900)*10000+ROW()))</f>
      </c>
      <c r="F3848">
        <f>IF(AND(资金台帐!J851&lt;&gt;"",资金台帐!J851=客户对账单!$B$4,资金台帐!P851="应收",ISNUMBER(资金台帐!B851),资金台帐!B851&gt;=客户对账单!$G$4,资金台帐!B851&lt;=客户对账单!$I$4),资金台帐!B851+ROW()/100000,"")</f>
      </c>
      <c r="H3848">
        <f>IF(AND(资金台帐!K2351&lt;&gt;"",资金台帐!K2351=供应商对账单!$B$4,资金台帐!P2351="应付",ISNUMBER(资金台帐!B2351),资金台帐!B2351&gt;=供应商对账单!$G$4,资金台帐!B2351&lt;=供应商对账单!$I$4),资金台帐!B2351+ROW()/100000,"")</f>
      </c>
    </row>
    <row r="3849">
      <c r="A3849">
        <f>IF(OR(出库明细!C2849="",出库明细!D2849=""),"",IF(OR(COUNTIFS(存条明细!$C$4:$C$1003,出库明细!C2849,存条明细!$D$4:$D$1003,出库明细!D2849)&gt;0,COUNTIFS(出库明细!$C$4:C2849,出库明细!C2849,出库明细!$D$4:D2849,出库明细!D2849)&gt;1),"",IFERROR(MATCH(出库明细!C2849,总览汇总!$B$5:$B$304,0),900)*10000000+IFERROR(MATCH(出库明细!D2849,基础资料!$E$5:$E$104,0),900)*10000+ROW()))</f>
      </c>
      <c r="F3849">
        <f>IF(AND(资金台帐!J852&lt;&gt;"",资金台帐!J852=客户对账单!$B$4,资金台帐!P852="应收",ISNUMBER(资金台帐!B852),资金台帐!B852&gt;=客户对账单!$G$4,资金台帐!B852&lt;=客户对账单!$I$4),资金台帐!B852+ROW()/100000,"")</f>
      </c>
      <c r="H3849">
        <f>IF(AND(资金台帐!K2352&lt;&gt;"",资金台帐!K2352=供应商对账单!$B$4,资金台帐!P2352="应付",ISNUMBER(资金台帐!B2352),资金台帐!B2352&gt;=供应商对账单!$G$4,资金台帐!B2352&lt;=供应商对账单!$I$4),资金台帐!B2352+ROW()/100000,"")</f>
      </c>
    </row>
    <row r="3850">
      <c r="A3850">
        <f>IF(OR(出库明细!C2850="",出库明细!D2850=""),"",IF(OR(COUNTIFS(存条明细!$C$4:$C$1003,出库明细!C2850,存条明细!$D$4:$D$1003,出库明细!D2850)&gt;0,COUNTIFS(出库明细!$C$4:C2850,出库明细!C2850,出库明细!$D$4:D2850,出库明细!D2850)&gt;1),"",IFERROR(MATCH(出库明细!C2850,总览汇总!$B$5:$B$304,0),900)*10000000+IFERROR(MATCH(出库明细!D2850,基础资料!$E$5:$E$104,0),900)*10000+ROW()))</f>
      </c>
      <c r="F3850">
        <f>IF(AND(资金台帐!J853&lt;&gt;"",资金台帐!J853=客户对账单!$B$4,资金台帐!P853="应收",ISNUMBER(资金台帐!B853),资金台帐!B853&gt;=客户对账单!$G$4,资金台帐!B853&lt;=客户对账单!$I$4),资金台帐!B853+ROW()/100000,"")</f>
      </c>
      <c r="H3850">
        <f>IF(AND(资金台帐!K2353&lt;&gt;"",资金台帐!K2353=供应商对账单!$B$4,资金台帐!P2353="应付",ISNUMBER(资金台帐!B2353),资金台帐!B2353&gt;=供应商对账单!$G$4,资金台帐!B2353&lt;=供应商对账单!$I$4),资金台帐!B2353+ROW()/100000,"")</f>
      </c>
    </row>
    <row r="3851">
      <c r="A3851">
        <f>IF(OR(出库明细!C2851="",出库明细!D2851=""),"",IF(OR(COUNTIFS(存条明细!$C$4:$C$1003,出库明细!C2851,存条明细!$D$4:$D$1003,出库明细!D2851)&gt;0,COUNTIFS(出库明细!$C$4:C2851,出库明细!C2851,出库明细!$D$4:D2851,出库明细!D2851)&gt;1),"",IFERROR(MATCH(出库明细!C2851,总览汇总!$B$5:$B$304,0),900)*10000000+IFERROR(MATCH(出库明细!D2851,基础资料!$E$5:$E$104,0),900)*10000+ROW()))</f>
      </c>
      <c r="F3851">
        <f>IF(AND(资金台帐!J854&lt;&gt;"",资金台帐!J854=客户对账单!$B$4,资金台帐!P854="应收",ISNUMBER(资金台帐!B854),资金台帐!B854&gt;=客户对账单!$G$4,资金台帐!B854&lt;=客户对账单!$I$4),资金台帐!B854+ROW()/100000,"")</f>
      </c>
      <c r="H3851">
        <f>IF(AND(资金台帐!K2354&lt;&gt;"",资金台帐!K2354=供应商对账单!$B$4,资金台帐!P2354="应付",ISNUMBER(资金台帐!B2354),资金台帐!B2354&gt;=供应商对账单!$G$4,资金台帐!B2354&lt;=供应商对账单!$I$4),资金台帐!B2354+ROW()/100000,"")</f>
      </c>
    </row>
    <row r="3852">
      <c r="A3852">
        <f>IF(OR(出库明细!C2852="",出库明细!D2852=""),"",IF(OR(COUNTIFS(存条明细!$C$4:$C$1003,出库明细!C2852,存条明细!$D$4:$D$1003,出库明细!D2852)&gt;0,COUNTIFS(出库明细!$C$4:C2852,出库明细!C2852,出库明细!$D$4:D2852,出库明细!D2852)&gt;1),"",IFERROR(MATCH(出库明细!C2852,总览汇总!$B$5:$B$304,0),900)*10000000+IFERROR(MATCH(出库明细!D2852,基础资料!$E$5:$E$104,0),900)*10000+ROW()))</f>
      </c>
      <c r="F3852">
        <f>IF(AND(资金台帐!J855&lt;&gt;"",资金台帐!J855=客户对账单!$B$4,资金台帐!P855="应收",ISNUMBER(资金台帐!B855),资金台帐!B855&gt;=客户对账单!$G$4,资金台帐!B855&lt;=客户对账单!$I$4),资金台帐!B855+ROW()/100000,"")</f>
      </c>
      <c r="H3852">
        <f>IF(AND(资金台帐!K2355&lt;&gt;"",资金台帐!K2355=供应商对账单!$B$4,资金台帐!P2355="应付",ISNUMBER(资金台帐!B2355),资金台帐!B2355&gt;=供应商对账单!$G$4,资金台帐!B2355&lt;=供应商对账单!$I$4),资金台帐!B2355+ROW()/100000,"")</f>
      </c>
    </row>
    <row r="3853">
      <c r="A3853">
        <f>IF(OR(出库明细!C2853="",出库明细!D2853=""),"",IF(OR(COUNTIFS(存条明细!$C$4:$C$1003,出库明细!C2853,存条明细!$D$4:$D$1003,出库明细!D2853)&gt;0,COUNTIFS(出库明细!$C$4:C2853,出库明细!C2853,出库明细!$D$4:D2853,出库明细!D2853)&gt;1),"",IFERROR(MATCH(出库明细!C2853,总览汇总!$B$5:$B$304,0),900)*10000000+IFERROR(MATCH(出库明细!D2853,基础资料!$E$5:$E$104,0),900)*10000+ROW()))</f>
      </c>
      <c r="F3853">
        <f>IF(AND(资金台帐!J856&lt;&gt;"",资金台帐!J856=客户对账单!$B$4,资金台帐!P856="应收",ISNUMBER(资金台帐!B856),资金台帐!B856&gt;=客户对账单!$G$4,资金台帐!B856&lt;=客户对账单!$I$4),资金台帐!B856+ROW()/100000,"")</f>
      </c>
      <c r="H3853">
        <f>IF(AND(资金台帐!K2356&lt;&gt;"",资金台帐!K2356=供应商对账单!$B$4,资金台帐!P2356="应付",ISNUMBER(资金台帐!B2356),资金台帐!B2356&gt;=供应商对账单!$G$4,资金台帐!B2356&lt;=供应商对账单!$I$4),资金台帐!B2356+ROW()/100000,"")</f>
      </c>
    </row>
    <row r="3854">
      <c r="A3854">
        <f>IF(OR(出库明细!C2854="",出库明细!D2854=""),"",IF(OR(COUNTIFS(存条明细!$C$4:$C$1003,出库明细!C2854,存条明细!$D$4:$D$1003,出库明细!D2854)&gt;0,COUNTIFS(出库明细!$C$4:C2854,出库明细!C2854,出库明细!$D$4:D2854,出库明细!D2854)&gt;1),"",IFERROR(MATCH(出库明细!C2854,总览汇总!$B$5:$B$304,0),900)*10000000+IFERROR(MATCH(出库明细!D2854,基础资料!$E$5:$E$104,0),900)*10000+ROW()))</f>
      </c>
      <c r="F3854">
        <f>IF(AND(资金台帐!J857&lt;&gt;"",资金台帐!J857=客户对账单!$B$4,资金台帐!P857="应收",ISNUMBER(资金台帐!B857),资金台帐!B857&gt;=客户对账单!$G$4,资金台帐!B857&lt;=客户对账单!$I$4),资金台帐!B857+ROW()/100000,"")</f>
      </c>
      <c r="H3854">
        <f>IF(AND(资金台帐!K2357&lt;&gt;"",资金台帐!K2357=供应商对账单!$B$4,资金台帐!P2357="应付",ISNUMBER(资金台帐!B2357),资金台帐!B2357&gt;=供应商对账单!$G$4,资金台帐!B2357&lt;=供应商对账单!$I$4),资金台帐!B2357+ROW()/100000,"")</f>
      </c>
    </row>
    <row r="3855">
      <c r="A3855">
        <f>IF(OR(出库明细!C2855="",出库明细!D2855=""),"",IF(OR(COUNTIFS(存条明细!$C$4:$C$1003,出库明细!C2855,存条明细!$D$4:$D$1003,出库明细!D2855)&gt;0,COUNTIFS(出库明细!$C$4:C2855,出库明细!C2855,出库明细!$D$4:D2855,出库明细!D2855)&gt;1),"",IFERROR(MATCH(出库明细!C2855,总览汇总!$B$5:$B$304,0),900)*10000000+IFERROR(MATCH(出库明细!D2855,基础资料!$E$5:$E$104,0),900)*10000+ROW()))</f>
      </c>
      <c r="F3855">
        <f>IF(AND(资金台帐!J858&lt;&gt;"",资金台帐!J858=客户对账单!$B$4,资金台帐!P858="应收",ISNUMBER(资金台帐!B858),资金台帐!B858&gt;=客户对账单!$G$4,资金台帐!B858&lt;=客户对账单!$I$4),资金台帐!B858+ROW()/100000,"")</f>
      </c>
      <c r="H3855">
        <f>IF(AND(资金台帐!K2358&lt;&gt;"",资金台帐!K2358=供应商对账单!$B$4,资金台帐!P2358="应付",ISNUMBER(资金台帐!B2358),资金台帐!B2358&gt;=供应商对账单!$G$4,资金台帐!B2358&lt;=供应商对账单!$I$4),资金台帐!B2358+ROW()/100000,"")</f>
      </c>
    </row>
    <row r="3856">
      <c r="A3856">
        <f>IF(OR(出库明细!C2856="",出库明细!D2856=""),"",IF(OR(COUNTIFS(存条明细!$C$4:$C$1003,出库明细!C2856,存条明细!$D$4:$D$1003,出库明细!D2856)&gt;0,COUNTIFS(出库明细!$C$4:C2856,出库明细!C2856,出库明细!$D$4:D2856,出库明细!D2856)&gt;1),"",IFERROR(MATCH(出库明细!C2856,总览汇总!$B$5:$B$304,0),900)*10000000+IFERROR(MATCH(出库明细!D2856,基础资料!$E$5:$E$104,0),900)*10000+ROW()))</f>
      </c>
      <c r="F3856">
        <f>IF(AND(资金台帐!J859&lt;&gt;"",资金台帐!J859=客户对账单!$B$4,资金台帐!P859="应收",ISNUMBER(资金台帐!B859),资金台帐!B859&gt;=客户对账单!$G$4,资金台帐!B859&lt;=客户对账单!$I$4),资金台帐!B859+ROW()/100000,"")</f>
      </c>
      <c r="H3856">
        <f>IF(AND(资金台帐!K2359&lt;&gt;"",资金台帐!K2359=供应商对账单!$B$4,资金台帐!P2359="应付",ISNUMBER(资金台帐!B2359),资金台帐!B2359&gt;=供应商对账单!$G$4,资金台帐!B2359&lt;=供应商对账单!$I$4),资金台帐!B2359+ROW()/100000,"")</f>
      </c>
    </row>
    <row r="3857">
      <c r="A3857">
        <f>IF(OR(出库明细!C2857="",出库明细!D2857=""),"",IF(OR(COUNTIFS(存条明细!$C$4:$C$1003,出库明细!C2857,存条明细!$D$4:$D$1003,出库明细!D2857)&gt;0,COUNTIFS(出库明细!$C$4:C2857,出库明细!C2857,出库明细!$D$4:D2857,出库明细!D2857)&gt;1),"",IFERROR(MATCH(出库明细!C2857,总览汇总!$B$5:$B$304,0),900)*10000000+IFERROR(MATCH(出库明细!D2857,基础资料!$E$5:$E$104,0),900)*10000+ROW()))</f>
      </c>
      <c r="F3857">
        <f>IF(AND(资金台帐!J860&lt;&gt;"",资金台帐!J860=客户对账单!$B$4,资金台帐!P860="应收",ISNUMBER(资金台帐!B860),资金台帐!B860&gt;=客户对账单!$G$4,资金台帐!B860&lt;=客户对账单!$I$4),资金台帐!B860+ROW()/100000,"")</f>
      </c>
      <c r="H3857">
        <f>IF(AND(资金台帐!K2360&lt;&gt;"",资金台帐!K2360=供应商对账单!$B$4,资金台帐!P2360="应付",ISNUMBER(资金台帐!B2360),资金台帐!B2360&gt;=供应商对账单!$G$4,资金台帐!B2360&lt;=供应商对账单!$I$4),资金台帐!B2360+ROW()/100000,"")</f>
      </c>
    </row>
    <row r="3858">
      <c r="A3858">
        <f>IF(OR(出库明细!C2858="",出库明细!D2858=""),"",IF(OR(COUNTIFS(存条明细!$C$4:$C$1003,出库明细!C2858,存条明细!$D$4:$D$1003,出库明细!D2858)&gt;0,COUNTIFS(出库明细!$C$4:C2858,出库明细!C2858,出库明细!$D$4:D2858,出库明细!D2858)&gt;1),"",IFERROR(MATCH(出库明细!C2858,总览汇总!$B$5:$B$304,0),900)*10000000+IFERROR(MATCH(出库明细!D2858,基础资料!$E$5:$E$104,0),900)*10000+ROW()))</f>
      </c>
      <c r="F3858">
        <f>IF(AND(资金台帐!J861&lt;&gt;"",资金台帐!J861=客户对账单!$B$4,资金台帐!P861="应收",ISNUMBER(资金台帐!B861),资金台帐!B861&gt;=客户对账单!$G$4,资金台帐!B861&lt;=客户对账单!$I$4),资金台帐!B861+ROW()/100000,"")</f>
      </c>
      <c r="H3858">
        <f>IF(AND(资金台帐!K2361&lt;&gt;"",资金台帐!K2361=供应商对账单!$B$4,资金台帐!P2361="应付",ISNUMBER(资金台帐!B2361),资金台帐!B2361&gt;=供应商对账单!$G$4,资金台帐!B2361&lt;=供应商对账单!$I$4),资金台帐!B2361+ROW()/100000,"")</f>
      </c>
    </row>
    <row r="3859">
      <c r="A3859">
        <f>IF(OR(出库明细!C2859="",出库明细!D2859=""),"",IF(OR(COUNTIFS(存条明细!$C$4:$C$1003,出库明细!C2859,存条明细!$D$4:$D$1003,出库明细!D2859)&gt;0,COUNTIFS(出库明细!$C$4:C2859,出库明细!C2859,出库明细!$D$4:D2859,出库明细!D2859)&gt;1),"",IFERROR(MATCH(出库明细!C2859,总览汇总!$B$5:$B$304,0),900)*10000000+IFERROR(MATCH(出库明细!D2859,基础资料!$E$5:$E$104,0),900)*10000+ROW()))</f>
      </c>
      <c r="F3859">
        <f>IF(AND(资金台帐!J862&lt;&gt;"",资金台帐!J862=客户对账单!$B$4,资金台帐!P862="应收",ISNUMBER(资金台帐!B862),资金台帐!B862&gt;=客户对账单!$G$4,资金台帐!B862&lt;=客户对账单!$I$4),资金台帐!B862+ROW()/100000,"")</f>
      </c>
      <c r="H3859">
        <f>IF(AND(资金台帐!K2362&lt;&gt;"",资金台帐!K2362=供应商对账单!$B$4,资金台帐!P2362="应付",ISNUMBER(资金台帐!B2362),资金台帐!B2362&gt;=供应商对账单!$G$4,资金台帐!B2362&lt;=供应商对账单!$I$4),资金台帐!B2362+ROW()/100000,"")</f>
      </c>
    </row>
    <row r="3860">
      <c r="A3860">
        <f>IF(OR(出库明细!C2860="",出库明细!D2860=""),"",IF(OR(COUNTIFS(存条明细!$C$4:$C$1003,出库明细!C2860,存条明细!$D$4:$D$1003,出库明细!D2860)&gt;0,COUNTIFS(出库明细!$C$4:C2860,出库明细!C2860,出库明细!$D$4:D2860,出库明细!D2860)&gt;1),"",IFERROR(MATCH(出库明细!C2860,总览汇总!$B$5:$B$304,0),900)*10000000+IFERROR(MATCH(出库明细!D2860,基础资料!$E$5:$E$104,0),900)*10000+ROW()))</f>
      </c>
      <c r="F3860">
        <f>IF(AND(资金台帐!J863&lt;&gt;"",资金台帐!J863=客户对账单!$B$4,资金台帐!P863="应收",ISNUMBER(资金台帐!B863),资金台帐!B863&gt;=客户对账单!$G$4,资金台帐!B863&lt;=客户对账单!$I$4),资金台帐!B863+ROW()/100000,"")</f>
      </c>
      <c r="H3860">
        <f>IF(AND(资金台帐!K2363&lt;&gt;"",资金台帐!K2363=供应商对账单!$B$4,资金台帐!P2363="应付",ISNUMBER(资金台帐!B2363),资金台帐!B2363&gt;=供应商对账单!$G$4,资金台帐!B2363&lt;=供应商对账单!$I$4),资金台帐!B2363+ROW()/100000,"")</f>
      </c>
    </row>
    <row r="3861">
      <c r="A3861">
        <f>IF(OR(出库明细!C2861="",出库明细!D2861=""),"",IF(OR(COUNTIFS(存条明细!$C$4:$C$1003,出库明细!C2861,存条明细!$D$4:$D$1003,出库明细!D2861)&gt;0,COUNTIFS(出库明细!$C$4:C2861,出库明细!C2861,出库明细!$D$4:D2861,出库明细!D2861)&gt;1),"",IFERROR(MATCH(出库明细!C2861,总览汇总!$B$5:$B$304,0),900)*10000000+IFERROR(MATCH(出库明细!D2861,基础资料!$E$5:$E$104,0),900)*10000+ROW()))</f>
      </c>
      <c r="F3861">
        <f>IF(AND(资金台帐!J864&lt;&gt;"",资金台帐!J864=客户对账单!$B$4,资金台帐!P864="应收",ISNUMBER(资金台帐!B864),资金台帐!B864&gt;=客户对账单!$G$4,资金台帐!B864&lt;=客户对账单!$I$4),资金台帐!B864+ROW()/100000,"")</f>
      </c>
      <c r="H3861">
        <f>IF(AND(资金台帐!K2364&lt;&gt;"",资金台帐!K2364=供应商对账单!$B$4,资金台帐!P2364="应付",ISNUMBER(资金台帐!B2364),资金台帐!B2364&gt;=供应商对账单!$G$4,资金台帐!B2364&lt;=供应商对账单!$I$4),资金台帐!B2364+ROW()/100000,"")</f>
      </c>
    </row>
    <row r="3862">
      <c r="A3862">
        <f>IF(OR(出库明细!C2862="",出库明细!D2862=""),"",IF(OR(COUNTIFS(存条明细!$C$4:$C$1003,出库明细!C2862,存条明细!$D$4:$D$1003,出库明细!D2862)&gt;0,COUNTIFS(出库明细!$C$4:C2862,出库明细!C2862,出库明细!$D$4:D2862,出库明细!D2862)&gt;1),"",IFERROR(MATCH(出库明细!C2862,总览汇总!$B$5:$B$304,0),900)*10000000+IFERROR(MATCH(出库明细!D2862,基础资料!$E$5:$E$104,0),900)*10000+ROW()))</f>
      </c>
      <c r="F3862">
        <f>IF(AND(资金台帐!J865&lt;&gt;"",资金台帐!J865=客户对账单!$B$4,资金台帐!P865="应收",ISNUMBER(资金台帐!B865),资金台帐!B865&gt;=客户对账单!$G$4,资金台帐!B865&lt;=客户对账单!$I$4),资金台帐!B865+ROW()/100000,"")</f>
      </c>
      <c r="H3862">
        <f>IF(AND(资金台帐!K2365&lt;&gt;"",资金台帐!K2365=供应商对账单!$B$4,资金台帐!P2365="应付",ISNUMBER(资金台帐!B2365),资金台帐!B2365&gt;=供应商对账单!$G$4,资金台帐!B2365&lt;=供应商对账单!$I$4),资金台帐!B2365+ROW()/100000,"")</f>
      </c>
    </row>
    <row r="3863">
      <c r="A3863">
        <f>IF(OR(出库明细!C2863="",出库明细!D2863=""),"",IF(OR(COUNTIFS(存条明细!$C$4:$C$1003,出库明细!C2863,存条明细!$D$4:$D$1003,出库明细!D2863)&gt;0,COUNTIFS(出库明细!$C$4:C2863,出库明细!C2863,出库明细!$D$4:D2863,出库明细!D2863)&gt;1),"",IFERROR(MATCH(出库明细!C2863,总览汇总!$B$5:$B$304,0),900)*10000000+IFERROR(MATCH(出库明细!D2863,基础资料!$E$5:$E$104,0),900)*10000+ROW()))</f>
      </c>
      <c r="F3863">
        <f>IF(AND(资金台帐!J866&lt;&gt;"",资金台帐!J866=客户对账单!$B$4,资金台帐!P866="应收",ISNUMBER(资金台帐!B866),资金台帐!B866&gt;=客户对账单!$G$4,资金台帐!B866&lt;=客户对账单!$I$4),资金台帐!B866+ROW()/100000,"")</f>
      </c>
      <c r="H3863">
        <f>IF(AND(资金台帐!K2366&lt;&gt;"",资金台帐!K2366=供应商对账单!$B$4,资金台帐!P2366="应付",ISNUMBER(资金台帐!B2366),资金台帐!B2366&gt;=供应商对账单!$G$4,资金台帐!B2366&lt;=供应商对账单!$I$4),资金台帐!B2366+ROW()/100000,"")</f>
      </c>
    </row>
    <row r="3864">
      <c r="A3864">
        <f>IF(OR(出库明细!C2864="",出库明细!D2864=""),"",IF(OR(COUNTIFS(存条明细!$C$4:$C$1003,出库明细!C2864,存条明细!$D$4:$D$1003,出库明细!D2864)&gt;0,COUNTIFS(出库明细!$C$4:C2864,出库明细!C2864,出库明细!$D$4:D2864,出库明细!D2864)&gt;1),"",IFERROR(MATCH(出库明细!C2864,总览汇总!$B$5:$B$304,0),900)*10000000+IFERROR(MATCH(出库明细!D2864,基础资料!$E$5:$E$104,0),900)*10000+ROW()))</f>
      </c>
      <c r="F3864">
        <f>IF(AND(资金台帐!J867&lt;&gt;"",资金台帐!J867=客户对账单!$B$4,资金台帐!P867="应收",ISNUMBER(资金台帐!B867),资金台帐!B867&gt;=客户对账单!$G$4,资金台帐!B867&lt;=客户对账单!$I$4),资金台帐!B867+ROW()/100000,"")</f>
      </c>
      <c r="H3864">
        <f>IF(AND(资金台帐!K2367&lt;&gt;"",资金台帐!K2367=供应商对账单!$B$4,资金台帐!P2367="应付",ISNUMBER(资金台帐!B2367),资金台帐!B2367&gt;=供应商对账单!$G$4,资金台帐!B2367&lt;=供应商对账单!$I$4),资金台帐!B2367+ROW()/100000,"")</f>
      </c>
    </row>
    <row r="3865">
      <c r="A3865">
        <f>IF(OR(出库明细!C2865="",出库明细!D2865=""),"",IF(OR(COUNTIFS(存条明细!$C$4:$C$1003,出库明细!C2865,存条明细!$D$4:$D$1003,出库明细!D2865)&gt;0,COUNTIFS(出库明细!$C$4:C2865,出库明细!C2865,出库明细!$D$4:D2865,出库明细!D2865)&gt;1),"",IFERROR(MATCH(出库明细!C2865,总览汇总!$B$5:$B$304,0),900)*10000000+IFERROR(MATCH(出库明细!D2865,基础资料!$E$5:$E$104,0),900)*10000+ROW()))</f>
      </c>
      <c r="F3865">
        <f>IF(AND(资金台帐!J868&lt;&gt;"",资金台帐!J868=客户对账单!$B$4,资金台帐!P868="应收",ISNUMBER(资金台帐!B868),资金台帐!B868&gt;=客户对账单!$G$4,资金台帐!B868&lt;=客户对账单!$I$4),资金台帐!B868+ROW()/100000,"")</f>
      </c>
      <c r="H3865">
        <f>IF(AND(资金台帐!K2368&lt;&gt;"",资金台帐!K2368=供应商对账单!$B$4,资金台帐!P2368="应付",ISNUMBER(资金台帐!B2368),资金台帐!B2368&gt;=供应商对账单!$G$4,资金台帐!B2368&lt;=供应商对账单!$I$4),资金台帐!B2368+ROW()/100000,"")</f>
      </c>
    </row>
    <row r="3866">
      <c r="A3866">
        <f>IF(OR(出库明细!C2866="",出库明细!D2866=""),"",IF(OR(COUNTIFS(存条明细!$C$4:$C$1003,出库明细!C2866,存条明细!$D$4:$D$1003,出库明细!D2866)&gt;0,COUNTIFS(出库明细!$C$4:C2866,出库明细!C2866,出库明细!$D$4:D2866,出库明细!D2866)&gt;1),"",IFERROR(MATCH(出库明细!C2866,总览汇总!$B$5:$B$304,0),900)*10000000+IFERROR(MATCH(出库明细!D2866,基础资料!$E$5:$E$104,0),900)*10000+ROW()))</f>
      </c>
      <c r="F3866">
        <f>IF(AND(资金台帐!J869&lt;&gt;"",资金台帐!J869=客户对账单!$B$4,资金台帐!P869="应收",ISNUMBER(资金台帐!B869),资金台帐!B869&gt;=客户对账单!$G$4,资金台帐!B869&lt;=客户对账单!$I$4),资金台帐!B869+ROW()/100000,"")</f>
      </c>
      <c r="H3866">
        <f>IF(AND(资金台帐!K2369&lt;&gt;"",资金台帐!K2369=供应商对账单!$B$4,资金台帐!P2369="应付",ISNUMBER(资金台帐!B2369),资金台帐!B2369&gt;=供应商对账单!$G$4,资金台帐!B2369&lt;=供应商对账单!$I$4),资金台帐!B2369+ROW()/100000,"")</f>
      </c>
    </row>
    <row r="3867">
      <c r="A3867">
        <f>IF(OR(出库明细!C2867="",出库明细!D2867=""),"",IF(OR(COUNTIFS(存条明细!$C$4:$C$1003,出库明细!C2867,存条明细!$D$4:$D$1003,出库明细!D2867)&gt;0,COUNTIFS(出库明细!$C$4:C2867,出库明细!C2867,出库明细!$D$4:D2867,出库明细!D2867)&gt;1),"",IFERROR(MATCH(出库明细!C2867,总览汇总!$B$5:$B$304,0),900)*10000000+IFERROR(MATCH(出库明细!D2867,基础资料!$E$5:$E$104,0),900)*10000+ROW()))</f>
      </c>
      <c r="F3867">
        <f>IF(AND(资金台帐!J870&lt;&gt;"",资金台帐!J870=客户对账单!$B$4,资金台帐!P870="应收",ISNUMBER(资金台帐!B870),资金台帐!B870&gt;=客户对账单!$G$4,资金台帐!B870&lt;=客户对账单!$I$4),资金台帐!B870+ROW()/100000,"")</f>
      </c>
      <c r="H3867">
        <f>IF(AND(资金台帐!K2370&lt;&gt;"",资金台帐!K2370=供应商对账单!$B$4,资金台帐!P2370="应付",ISNUMBER(资金台帐!B2370),资金台帐!B2370&gt;=供应商对账单!$G$4,资金台帐!B2370&lt;=供应商对账单!$I$4),资金台帐!B2370+ROW()/100000,"")</f>
      </c>
    </row>
    <row r="3868">
      <c r="A3868">
        <f>IF(OR(出库明细!C2868="",出库明细!D2868=""),"",IF(OR(COUNTIFS(存条明细!$C$4:$C$1003,出库明细!C2868,存条明细!$D$4:$D$1003,出库明细!D2868)&gt;0,COUNTIFS(出库明细!$C$4:C2868,出库明细!C2868,出库明细!$D$4:D2868,出库明细!D2868)&gt;1),"",IFERROR(MATCH(出库明细!C2868,总览汇总!$B$5:$B$304,0),900)*10000000+IFERROR(MATCH(出库明细!D2868,基础资料!$E$5:$E$104,0),900)*10000+ROW()))</f>
      </c>
      <c r="F3868">
        <f>IF(AND(资金台帐!J871&lt;&gt;"",资金台帐!J871=客户对账单!$B$4,资金台帐!P871="应收",ISNUMBER(资金台帐!B871),资金台帐!B871&gt;=客户对账单!$G$4,资金台帐!B871&lt;=客户对账单!$I$4),资金台帐!B871+ROW()/100000,"")</f>
      </c>
      <c r="H3868">
        <f>IF(AND(资金台帐!K2371&lt;&gt;"",资金台帐!K2371=供应商对账单!$B$4,资金台帐!P2371="应付",ISNUMBER(资金台帐!B2371),资金台帐!B2371&gt;=供应商对账单!$G$4,资金台帐!B2371&lt;=供应商对账单!$I$4),资金台帐!B2371+ROW()/100000,"")</f>
      </c>
    </row>
    <row r="3869">
      <c r="A3869">
        <f>IF(OR(出库明细!C2869="",出库明细!D2869=""),"",IF(OR(COUNTIFS(存条明细!$C$4:$C$1003,出库明细!C2869,存条明细!$D$4:$D$1003,出库明细!D2869)&gt;0,COUNTIFS(出库明细!$C$4:C2869,出库明细!C2869,出库明细!$D$4:D2869,出库明细!D2869)&gt;1),"",IFERROR(MATCH(出库明细!C2869,总览汇总!$B$5:$B$304,0),900)*10000000+IFERROR(MATCH(出库明细!D2869,基础资料!$E$5:$E$104,0),900)*10000+ROW()))</f>
      </c>
      <c r="F3869">
        <f>IF(AND(资金台帐!J872&lt;&gt;"",资金台帐!J872=客户对账单!$B$4,资金台帐!P872="应收",ISNUMBER(资金台帐!B872),资金台帐!B872&gt;=客户对账单!$G$4,资金台帐!B872&lt;=客户对账单!$I$4),资金台帐!B872+ROW()/100000,"")</f>
      </c>
      <c r="H3869">
        <f>IF(AND(资金台帐!K2372&lt;&gt;"",资金台帐!K2372=供应商对账单!$B$4,资金台帐!P2372="应付",ISNUMBER(资金台帐!B2372),资金台帐!B2372&gt;=供应商对账单!$G$4,资金台帐!B2372&lt;=供应商对账单!$I$4),资金台帐!B2372+ROW()/100000,"")</f>
      </c>
    </row>
    <row r="3870">
      <c r="A3870">
        <f>IF(OR(出库明细!C2870="",出库明细!D2870=""),"",IF(OR(COUNTIFS(存条明细!$C$4:$C$1003,出库明细!C2870,存条明细!$D$4:$D$1003,出库明细!D2870)&gt;0,COUNTIFS(出库明细!$C$4:C2870,出库明细!C2870,出库明细!$D$4:D2870,出库明细!D2870)&gt;1),"",IFERROR(MATCH(出库明细!C2870,总览汇总!$B$5:$B$304,0),900)*10000000+IFERROR(MATCH(出库明细!D2870,基础资料!$E$5:$E$104,0),900)*10000+ROW()))</f>
      </c>
      <c r="F3870">
        <f>IF(AND(资金台帐!J873&lt;&gt;"",资金台帐!J873=客户对账单!$B$4,资金台帐!P873="应收",ISNUMBER(资金台帐!B873),资金台帐!B873&gt;=客户对账单!$G$4,资金台帐!B873&lt;=客户对账单!$I$4),资金台帐!B873+ROW()/100000,"")</f>
      </c>
      <c r="H3870">
        <f>IF(AND(资金台帐!K2373&lt;&gt;"",资金台帐!K2373=供应商对账单!$B$4,资金台帐!P2373="应付",ISNUMBER(资金台帐!B2373),资金台帐!B2373&gt;=供应商对账单!$G$4,资金台帐!B2373&lt;=供应商对账单!$I$4),资金台帐!B2373+ROW()/100000,"")</f>
      </c>
    </row>
    <row r="3871">
      <c r="A3871">
        <f>IF(OR(出库明细!C2871="",出库明细!D2871=""),"",IF(OR(COUNTIFS(存条明细!$C$4:$C$1003,出库明细!C2871,存条明细!$D$4:$D$1003,出库明细!D2871)&gt;0,COUNTIFS(出库明细!$C$4:C2871,出库明细!C2871,出库明细!$D$4:D2871,出库明细!D2871)&gt;1),"",IFERROR(MATCH(出库明细!C2871,总览汇总!$B$5:$B$304,0),900)*10000000+IFERROR(MATCH(出库明细!D2871,基础资料!$E$5:$E$104,0),900)*10000+ROW()))</f>
      </c>
      <c r="F3871">
        <f>IF(AND(资金台帐!J874&lt;&gt;"",资金台帐!J874=客户对账单!$B$4,资金台帐!P874="应收",ISNUMBER(资金台帐!B874),资金台帐!B874&gt;=客户对账单!$G$4,资金台帐!B874&lt;=客户对账单!$I$4),资金台帐!B874+ROW()/100000,"")</f>
      </c>
      <c r="H3871">
        <f>IF(AND(资金台帐!K2374&lt;&gt;"",资金台帐!K2374=供应商对账单!$B$4,资金台帐!P2374="应付",ISNUMBER(资金台帐!B2374),资金台帐!B2374&gt;=供应商对账单!$G$4,资金台帐!B2374&lt;=供应商对账单!$I$4),资金台帐!B2374+ROW()/100000,"")</f>
      </c>
    </row>
    <row r="3872">
      <c r="A3872">
        <f>IF(OR(出库明细!C2872="",出库明细!D2872=""),"",IF(OR(COUNTIFS(存条明细!$C$4:$C$1003,出库明细!C2872,存条明细!$D$4:$D$1003,出库明细!D2872)&gt;0,COUNTIFS(出库明细!$C$4:C2872,出库明细!C2872,出库明细!$D$4:D2872,出库明细!D2872)&gt;1),"",IFERROR(MATCH(出库明细!C2872,总览汇总!$B$5:$B$304,0),900)*10000000+IFERROR(MATCH(出库明细!D2872,基础资料!$E$5:$E$104,0),900)*10000+ROW()))</f>
      </c>
      <c r="F3872">
        <f>IF(AND(资金台帐!J875&lt;&gt;"",资金台帐!J875=客户对账单!$B$4,资金台帐!P875="应收",ISNUMBER(资金台帐!B875),资金台帐!B875&gt;=客户对账单!$G$4,资金台帐!B875&lt;=客户对账单!$I$4),资金台帐!B875+ROW()/100000,"")</f>
      </c>
      <c r="H3872">
        <f>IF(AND(资金台帐!K2375&lt;&gt;"",资金台帐!K2375=供应商对账单!$B$4,资金台帐!P2375="应付",ISNUMBER(资金台帐!B2375),资金台帐!B2375&gt;=供应商对账单!$G$4,资金台帐!B2375&lt;=供应商对账单!$I$4),资金台帐!B2375+ROW()/100000,"")</f>
      </c>
    </row>
    <row r="3873">
      <c r="A3873">
        <f>IF(OR(出库明细!C2873="",出库明细!D2873=""),"",IF(OR(COUNTIFS(存条明细!$C$4:$C$1003,出库明细!C2873,存条明细!$D$4:$D$1003,出库明细!D2873)&gt;0,COUNTIFS(出库明细!$C$4:C2873,出库明细!C2873,出库明细!$D$4:D2873,出库明细!D2873)&gt;1),"",IFERROR(MATCH(出库明细!C2873,总览汇总!$B$5:$B$304,0),900)*10000000+IFERROR(MATCH(出库明细!D2873,基础资料!$E$5:$E$104,0),900)*10000+ROW()))</f>
      </c>
      <c r="F3873">
        <f>IF(AND(资金台帐!J876&lt;&gt;"",资金台帐!J876=客户对账单!$B$4,资金台帐!P876="应收",ISNUMBER(资金台帐!B876),资金台帐!B876&gt;=客户对账单!$G$4,资金台帐!B876&lt;=客户对账单!$I$4),资金台帐!B876+ROW()/100000,"")</f>
      </c>
      <c r="H3873">
        <f>IF(AND(资金台帐!K2376&lt;&gt;"",资金台帐!K2376=供应商对账单!$B$4,资金台帐!P2376="应付",ISNUMBER(资金台帐!B2376),资金台帐!B2376&gt;=供应商对账单!$G$4,资金台帐!B2376&lt;=供应商对账单!$I$4),资金台帐!B2376+ROW()/100000,"")</f>
      </c>
    </row>
    <row r="3874">
      <c r="A3874">
        <f>IF(OR(出库明细!C2874="",出库明细!D2874=""),"",IF(OR(COUNTIFS(存条明细!$C$4:$C$1003,出库明细!C2874,存条明细!$D$4:$D$1003,出库明细!D2874)&gt;0,COUNTIFS(出库明细!$C$4:C2874,出库明细!C2874,出库明细!$D$4:D2874,出库明细!D2874)&gt;1),"",IFERROR(MATCH(出库明细!C2874,总览汇总!$B$5:$B$304,0),900)*10000000+IFERROR(MATCH(出库明细!D2874,基础资料!$E$5:$E$104,0),900)*10000+ROW()))</f>
      </c>
      <c r="F3874">
        <f>IF(AND(资金台帐!J877&lt;&gt;"",资金台帐!J877=客户对账单!$B$4,资金台帐!P877="应收",ISNUMBER(资金台帐!B877),资金台帐!B877&gt;=客户对账单!$G$4,资金台帐!B877&lt;=客户对账单!$I$4),资金台帐!B877+ROW()/100000,"")</f>
      </c>
      <c r="H3874">
        <f>IF(AND(资金台帐!K2377&lt;&gt;"",资金台帐!K2377=供应商对账单!$B$4,资金台帐!P2377="应付",ISNUMBER(资金台帐!B2377),资金台帐!B2377&gt;=供应商对账单!$G$4,资金台帐!B2377&lt;=供应商对账单!$I$4),资金台帐!B2377+ROW()/100000,"")</f>
      </c>
    </row>
    <row r="3875">
      <c r="A3875">
        <f>IF(OR(出库明细!C2875="",出库明细!D2875=""),"",IF(OR(COUNTIFS(存条明细!$C$4:$C$1003,出库明细!C2875,存条明细!$D$4:$D$1003,出库明细!D2875)&gt;0,COUNTIFS(出库明细!$C$4:C2875,出库明细!C2875,出库明细!$D$4:D2875,出库明细!D2875)&gt;1),"",IFERROR(MATCH(出库明细!C2875,总览汇总!$B$5:$B$304,0),900)*10000000+IFERROR(MATCH(出库明细!D2875,基础资料!$E$5:$E$104,0),900)*10000+ROW()))</f>
      </c>
      <c r="F3875">
        <f>IF(AND(资金台帐!J878&lt;&gt;"",资金台帐!J878=客户对账单!$B$4,资金台帐!P878="应收",ISNUMBER(资金台帐!B878),资金台帐!B878&gt;=客户对账单!$G$4,资金台帐!B878&lt;=客户对账单!$I$4),资金台帐!B878+ROW()/100000,"")</f>
      </c>
      <c r="H3875">
        <f>IF(AND(资金台帐!K2378&lt;&gt;"",资金台帐!K2378=供应商对账单!$B$4,资金台帐!P2378="应付",ISNUMBER(资金台帐!B2378),资金台帐!B2378&gt;=供应商对账单!$G$4,资金台帐!B2378&lt;=供应商对账单!$I$4),资金台帐!B2378+ROW()/100000,"")</f>
      </c>
    </row>
    <row r="3876">
      <c r="A3876">
        <f>IF(OR(出库明细!C2876="",出库明细!D2876=""),"",IF(OR(COUNTIFS(存条明细!$C$4:$C$1003,出库明细!C2876,存条明细!$D$4:$D$1003,出库明细!D2876)&gt;0,COUNTIFS(出库明细!$C$4:C2876,出库明细!C2876,出库明细!$D$4:D2876,出库明细!D2876)&gt;1),"",IFERROR(MATCH(出库明细!C2876,总览汇总!$B$5:$B$304,0),900)*10000000+IFERROR(MATCH(出库明细!D2876,基础资料!$E$5:$E$104,0),900)*10000+ROW()))</f>
      </c>
      <c r="F3876">
        <f>IF(AND(资金台帐!J879&lt;&gt;"",资金台帐!J879=客户对账单!$B$4,资金台帐!P879="应收",ISNUMBER(资金台帐!B879),资金台帐!B879&gt;=客户对账单!$G$4,资金台帐!B879&lt;=客户对账单!$I$4),资金台帐!B879+ROW()/100000,"")</f>
      </c>
      <c r="H3876">
        <f>IF(AND(资金台帐!K2379&lt;&gt;"",资金台帐!K2379=供应商对账单!$B$4,资金台帐!P2379="应付",ISNUMBER(资金台帐!B2379),资金台帐!B2379&gt;=供应商对账单!$G$4,资金台帐!B2379&lt;=供应商对账单!$I$4),资金台帐!B2379+ROW()/100000,"")</f>
      </c>
    </row>
    <row r="3877">
      <c r="A3877">
        <f>IF(OR(出库明细!C2877="",出库明细!D2877=""),"",IF(OR(COUNTIFS(存条明细!$C$4:$C$1003,出库明细!C2877,存条明细!$D$4:$D$1003,出库明细!D2877)&gt;0,COUNTIFS(出库明细!$C$4:C2877,出库明细!C2877,出库明细!$D$4:D2877,出库明细!D2877)&gt;1),"",IFERROR(MATCH(出库明细!C2877,总览汇总!$B$5:$B$304,0),900)*10000000+IFERROR(MATCH(出库明细!D2877,基础资料!$E$5:$E$104,0),900)*10000+ROW()))</f>
      </c>
      <c r="F3877">
        <f>IF(AND(资金台帐!J880&lt;&gt;"",资金台帐!J880=客户对账单!$B$4,资金台帐!P880="应收",ISNUMBER(资金台帐!B880),资金台帐!B880&gt;=客户对账单!$G$4,资金台帐!B880&lt;=客户对账单!$I$4),资金台帐!B880+ROW()/100000,"")</f>
      </c>
      <c r="H3877">
        <f>IF(AND(资金台帐!K2380&lt;&gt;"",资金台帐!K2380=供应商对账单!$B$4,资金台帐!P2380="应付",ISNUMBER(资金台帐!B2380),资金台帐!B2380&gt;=供应商对账单!$G$4,资金台帐!B2380&lt;=供应商对账单!$I$4),资金台帐!B2380+ROW()/100000,"")</f>
      </c>
    </row>
    <row r="3878">
      <c r="A3878">
        <f>IF(OR(出库明细!C2878="",出库明细!D2878=""),"",IF(OR(COUNTIFS(存条明细!$C$4:$C$1003,出库明细!C2878,存条明细!$D$4:$D$1003,出库明细!D2878)&gt;0,COUNTIFS(出库明细!$C$4:C2878,出库明细!C2878,出库明细!$D$4:D2878,出库明细!D2878)&gt;1),"",IFERROR(MATCH(出库明细!C2878,总览汇总!$B$5:$B$304,0),900)*10000000+IFERROR(MATCH(出库明细!D2878,基础资料!$E$5:$E$104,0),900)*10000+ROW()))</f>
      </c>
      <c r="F3878">
        <f>IF(AND(资金台帐!J881&lt;&gt;"",资金台帐!J881=客户对账单!$B$4,资金台帐!P881="应收",ISNUMBER(资金台帐!B881),资金台帐!B881&gt;=客户对账单!$G$4,资金台帐!B881&lt;=客户对账单!$I$4),资金台帐!B881+ROW()/100000,"")</f>
      </c>
      <c r="H3878">
        <f>IF(AND(资金台帐!K2381&lt;&gt;"",资金台帐!K2381=供应商对账单!$B$4,资金台帐!P2381="应付",ISNUMBER(资金台帐!B2381),资金台帐!B2381&gt;=供应商对账单!$G$4,资金台帐!B2381&lt;=供应商对账单!$I$4),资金台帐!B2381+ROW()/100000,"")</f>
      </c>
    </row>
    <row r="3879">
      <c r="A3879">
        <f>IF(OR(出库明细!C2879="",出库明细!D2879=""),"",IF(OR(COUNTIFS(存条明细!$C$4:$C$1003,出库明细!C2879,存条明细!$D$4:$D$1003,出库明细!D2879)&gt;0,COUNTIFS(出库明细!$C$4:C2879,出库明细!C2879,出库明细!$D$4:D2879,出库明细!D2879)&gt;1),"",IFERROR(MATCH(出库明细!C2879,总览汇总!$B$5:$B$304,0),900)*10000000+IFERROR(MATCH(出库明细!D2879,基础资料!$E$5:$E$104,0),900)*10000+ROW()))</f>
      </c>
      <c r="F3879">
        <f>IF(AND(资金台帐!J882&lt;&gt;"",资金台帐!J882=客户对账单!$B$4,资金台帐!P882="应收",ISNUMBER(资金台帐!B882),资金台帐!B882&gt;=客户对账单!$G$4,资金台帐!B882&lt;=客户对账单!$I$4),资金台帐!B882+ROW()/100000,"")</f>
      </c>
      <c r="H3879">
        <f>IF(AND(资金台帐!K2382&lt;&gt;"",资金台帐!K2382=供应商对账单!$B$4,资金台帐!P2382="应付",ISNUMBER(资金台帐!B2382),资金台帐!B2382&gt;=供应商对账单!$G$4,资金台帐!B2382&lt;=供应商对账单!$I$4),资金台帐!B2382+ROW()/100000,"")</f>
      </c>
    </row>
    <row r="3880">
      <c r="A3880">
        <f>IF(OR(出库明细!C2880="",出库明细!D2880=""),"",IF(OR(COUNTIFS(存条明细!$C$4:$C$1003,出库明细!C2880,存条明细!$D$4:$D$1003,出库明细!D2880)&gt;0,COUNTIFS(出库明细!$C$4:C2880,出库明细!C2880,出库明细!$D$4:D2880,出库明细!D2880)&gt;1),"",IFERROR(MATCH(出库明细!C2880,总览汇总!$B$5:$B$304,0),900)*10000000+IFERROR(MATCH(出库明细!D2880,基础资料!$E$5:$E$104,0),900)*10000+ROW()))</f>
      </c>
      <c r="F3880">
        <f>IF(AND(资金台帐!J883&lt;&gt;"",资金台帐!J883=客户对账单!$B$4,资金台帐!P883="应收",ISNUMBER(资金台帐!B883),资金台帐!B883&gt;=客户对账单!$G$4,资金台帐!B883&lt;=客户对账单!$I$4),资金台帐!B883+ROW()/100000,"")</f>
      </c>
      <c r="H3880">
        <f>IF(AND(资金台帐!K2383&lt;&gt;"",资金台帐!K2383=供应商对账单!$B$4,资金台帐!P2383="应付",ISNUMBER(资金台帐!B2383),资金台帐!B2383&gt;=供应商对账单!$G$4,资金台帐!B2383&lt;=供应商对账单!$I$4),资金台帐!B2383+ROW()/100000,"")</f>
      </c>
    </row>
    <row r="3881">
      <c r="A3881">
        <f>IF(OR(出库明细!C2881="",出库明细!D2881=""),"",IF(OR(COUNTIFS(存条明细!$C$4:$C$1003,出库明细!C2881,存条明细!$D$4:$D$1003,出库明细!D2881)&gt;0,COUNTIFS(出库明细!$C$4:C2881,出库明细!C2881,出库明细!$D$4:D2881,出库明细!D2881)&gt;1),"",IFERROR(MATCH(出库明细!C2881,总览汇总!$B$5:$B$304,0),900)*10000000+IFERROR(MATCH(出库明细!D2881,基础资料!$E$5:$E$104,0),900)*10000+ROW()))</f>
      </c>
      <c r="F3881">
        <f>IF(AND(资金台帐!J884&lt;&gt;"",资金台帐!J884=客户对账单!$B$4,资金台帐!P884="应收",ISNUMBER(资金台帐!B884),资金台帐!B884&gt;=客户对账单!$G$4,资金台帐!B884&lt;=客户对账单!$I$4),资金台帐!B884+ROW()/100000,"")</f>
      </c>
      <c r="H3881">
        <f>IF(AND(资金台帐!K2384&lt;&gt;"",资金台帐!K2384=供应商对账单!$B$4,资金台帐!P2384="应付",ISNUMBER(资金台帐!B2384),资金台帐!B2384&gt;=供应商对账单!$G$4,资金台帐!B2384&lt;=供应商对账单!$I$4),资金台帐!B2384+ROW()/100000,"")</f>
      </c>
    </row>
    <row r="3882">
      <c r="A3882">
        <f>IF(OR(出库明细!C2882="",出库明细!D2882=""),"",IF(OR(COUNTIFS(存条明细!$C$4:$C$1003,出库明细!C2882,存条明细!$D$4:$D$1003,出库明细!D2882)&gt;0,COUNTIFS(出库明细!$C$4:C2882,出库明细!C2882,出库明细!$D$4:D2882,出库明细!D2882)&gt;1),"",IFERROR(MATCH(出库明细!C2882,总览汇总!$B$5:$B$304,0),900)*10000000+IFERROR(MATCH(出库明细!D2882,基础资料!$E$5:$E$104,0),900)*10000+ROW()))</f>
      </c>
      <c r="F3882">
        <f>IF(AND(资金台帐!J885&lt;&gt;"",资金台帐!J885=客户对账单!$B$4,资金台帐!P885="应收",ISNUMBER(资金台帐!B885),资金台帐!B885&gt;=客户对账单!$G$4,资金台帐!B885&lt;=客户对账单!$I$4),资金台帐!B885+ROW()/100000,"")</f>
      </c>
      <c r="H3882">
        <f>IF(AND(资金台帐!K2385&lt;&gt;"",资金台帐!K2385=供应商对账单!$B$4,资金台帐!P2385="应付",ISNUMBER(资金台帐!B2385),资金台帐!B2385&gt;=供应商对账单!$G$4,资金台帐!B2385&lt;=供应商对账单!$I$4),资金台帐!B2385+ROW()/100000,"")</f>
      </c>
    </row>
    <row r="3883">
      <c r="A3883">
        <f>IF(OR(出库明细!C2883="",出库明细!D2883=""),"",IF(OR(COUNTIFS(存条明细!$C$4:$C$1003,出库明细!C2883,存条明细!$D$4:$D$1003,出库明细!D2883)&gt;0,COUNTIFS(出库明细!$C$4:C2883,出库明细!C2883,出库明细!$D$4:D2883,出库明细!D2883)&gt;1),"",IFERROR(MATCH(出库明细!C2883,总览汇总!$B$5:$B$304,0),900)*10000000+IFERROR(MATCH(出库明细!D2883,基础资料!$E$5:$E$104,0),900)*10000+ROW()))</f>
      </c>
      <c r="F3883">
        <f>IF(AND(资金台帐!J886&lt;&gt;"",资金台帐!J886=客户对账单!$B$4,资金台帐!P886="应收",ISNUMBER(资金台帐!B886),资金台帐!B886&gt;=客户对账单!$G$4,资金台帐!B886&lt;=客户对账单!$I$4),资金台帐!B886+ROW()/100000,"")</f>
      </c>
      <c r="H3883">
        <f>IF(AND(资金台帐!K2386&lt;&gt;"",资金台帐!K2386=供应商对账单!$B$4,资金台帐!P2386="应付",ISNUMBER(资金台帐!B2386),资金台帐!B2386&gt;=供应商对账单!$G$4,资金台帐!B2386&lt;=供应商对账单!$I$4),资金台帐!B2386+ROW()/100000,"")</f>
      </c>
    </row>
    <row r="3884">
      <c r="A3884">
        <f>IF(OR(出库明细!C2884="",出库明细!D2884=""),"",IF(OR(COUNTIFS(存条明细!$C$4:$C$1003,出库明细!C2884,存条明细!$D$4:$D$1003,出库明细!D2884)&gt;0,COUNTIFS(出库明细!$C$4:C2884,出库明细!C2884,出库明细!$D$4:D2884,出库明细!D2884)&gt;1),"",IFERROR(MATCH(出库明细!C2884,总览汇总!$B$5:$B$304,0),900)*10000000+IFERROR(MATCH(出库明细!D2884,基础资料!$E$5:$E$104,0),900)*10000+ROW()))</f>
      </c>
      <c r="F3884">
        <f>IF(AND(资金台帐!J887&lt;&gt;"",资金台帐!J887=客户对账单!$B$4,资金台帐!P887="应收",ISNUMBER(资金台帐!B887),资金台帐!B887&gt;=客户对账单!$G$4,资金台帐!B887&lt;=客户对账单!$I$4),资金台帐!B887+ROW()/100000,"")</f>
      </c>
      <c r="H3884">
        <f>IF(AND(资金台帐!K2387&lt;&gt;"",资金台帐!K2387=供应商对账单!$B$4,资金台帐!P2387="应付",ISNUMBER(资金台帐!B2387),资金台帐!B2387&gt;=供应商对账单!$G$4,资金台帐!B2387&lt;=供应商对账单!$I$4),资金台帐!B2387+ROW()/100000,"")</f>
      </c>
    </row>
    <row r="3885">
      <c r="A3885">
        <f>IF(OR(出库明细!C2885="",出库明细!D2885=""),"",IF(OR(COUNTIFS(存条明细!$C$4:$C$1003,出库明细!C2885,存条明细!$D$4:$D$1003,出库明细!D2885)&gt;0,COUNTIFS(出库明细!$C$4:C2885,出库明细!C2885,出库明细!$D$4:D2885,出库明细!D2885)&gt;1),"",IFERROR(MATCH(出库明细!C2885,总览汇总!$B$5:$B$304,0),900)*10000000+IFERROR(MATCH(出库明细!D2885,基础资料!$E$5:$E$104,0),900)*10000+ROW()))</f>
      </c>
      <c r="F3885">
        <f>IF(AND(资金台帐!J888&lt;&gt;"",资金台帐!J888=客户对账单!$B$4,资金台帐!P888="应收",ISNUMBER(资金台帐!B888),资金台帐!B888&gt;=客户对账单!$G$4,资金台帐!B888&lt;=客户对账单!$I$4),资金台帐!B888+ROW()/100000,"")</f>
      </c>
      <c r="H3885">
        <f>IF(AND(资金台帐!K2388&lt;&gt;"",资金台帐!K2388=供应商对账单!$B$4,资金台帐!P2388="应付",ISNUMBER(资金台帐!B2388),资金台帐!B2388&gt;=供应商对账单!$G$4,资金台帐!B2388&lt;=供应商对账单!$I$4),资金台帐!B2388+ROW()/100000,"")</f>
      </c>
    </row>
    <row r="3886">
      <c r="A3886">
        <f>IF(OR(出库明细!C2886="",出库明细!D2886=""),"",IF(OR(COUNTIFS(存条明细!$C$4:$C$1003,出库明细!C2886,存条明细!$D$4:$D$1003,出库明细!D2886)&gt;0,COUNTIFS(出库明细!$C$4:C2886,出库明细!C2886,出库明细!$D$4:D2886,出库明细!D2886)&gt;1),"",IFERROR(MATCH(出库明细!C2886,总览汇总!$B$5:$B$304,0),900)*10000000+IFERROR(MATCH(出库明细!D2886,基础资料!$E$5:$E$104,0),900)*10000+ROW()))</f>
      </c>
      <c r="F3886">
        <f>IF(AND(资金台帐!J889&lt;&gt;"",资金台帐!J889=客户对账单!$B$4,资金台帐!P889="应收",ISNUMBER(资金台帐!B889),资金台帐!B889&gt;=客户对账单!$G$4,资金台帐!B889&lt;=客户对账单!$I$4),资金台帐!B889+ROW()/100000,"")</f>
      </c>
      <c r="H3886">
        <f>IF(AND(资金台帐!K2389&lt;&gt;"",资金台帐!K2389=供应商对账单!$B$4,资金台帐!P2389="应付",ISNUMBER(资金台帐!B2389),资金台帐!B2389&gt;=供应商对账单!$G$4,资金台帐!B2389&lt;=供应商对账单!$I$4),资金台帐!B2389+ROW()/100000,"")</f>
      </c>
    </row>
    <row r="3887">
      <c r="A3887">
        <f>IF(OR(出库明细!C2887="",出库明细!D2887=""),"",IF(OR(COUNTIFS(存条明细!$C$4:$C$1003,出库明细!C2887,存条明细!$D$4:$D$1003,出库明细!D2887)&gt;0,COUNTIFS(出库明细!$C$4:C2887,出库明细!C2887,出库明细!$D$4:D2887,出库明细!D2887)&gt;1),"",IFERROR(MATCH(出库明细!C2887,总览汇总!$B$5:$B$304,0),900)*10000000+IFERROR(MATCH(出库明细!D2887,基础资料!$E$5:$E$104,0),900)*10000+ROW()))</f>
      </c>
      <c r="F3887">
        <f>IF(AND(资金台帐!J890&lt;&gt;"",资金台帐!J890=客户对账单!$B$4,资金台帐!P890="应收",ISNUMBER(资金台帐!B890),资金台帐!B890&gt;=客户对账单!$G$4,资金台帐!B890&lt;=客户对账单!$I$4),资金台帐!B890+ROW()/100000,"")</f>
      </c>
      <c r="H3887">
        <f>IF(AND(资金台帐!K2390&lt;&gt;"",资金台帐!K2390=供应商对账单!$B$4,资金台帐!P2390="应付",ISNUMBER(资金台帐!B2390),资金台帐!B2390&gt;=供应商对账单!$G$4,资金台帐!B2390&lt;=供应商对账单!$I$4),资金台帐!B2390+ROW()/100000,"")</f>
      </c>
    </row>
    <row r="3888">
      <c r="A3888">
        <f>IF(OR(出库明细!C2888="",出库明细!D2888=""),"",IF(OR(COUNTIFS(存条明细!$C$4:$C$1003,出库明细!C2888,存条明细!$D$4:$D$1003,出库明细!D2888)&gt;0,COUNTIFS(出库明细!$C$4:C2888,出库明细!C2888,出库明细!$D$4:D2888,出库明细!D2888)&gt;1),"",IFERROR(MATCH(出库明细!C2888,总览汇总!$B$5:$B$304,0),900)*10000000+IFERROR(MATCH(出库明细!D2888,基础资料!$E$5:$E$104,0),900)*10000+ROW()))</f>
      </c>
      <c r="F3888">
        <f>IF(AND(资金台帐!J891&lt;&gt;"",资金台帐!J891=客户对账单!$B$4,资金台帐!P891="应收",ISNUMBER(资金台帐!B891),资金台帐!B891&gt;=客户对账单!$G$4,资金台帐!B891&lt;=客户对账单!$I$4),资金台帐!B891+ROW()/100000,"")</f>
      </c>
      <c r="H3888">
        <f>IF(AND(资金台帐!K2391&lt;&gt;"",资金台帐!K2391=供应商对账单!$B$4,资金台帐!P2391="应付",ISNUMBER(资金台帐!B2391),资金台帐!B2391&gt;=供应商对账单!$G$4,资金台帐!B2391&lt;=供应商对账单!$I$4),资金台帐!B2391+ROW()/100000,"")</f>
      </c>
    </row>
    <row r="3889">
      <c r="A3889">
        <f>IF(OR(出库明细!C2889="",出库明细!D2889=""),"",IF(OR(COUNTIFS(存条明细!$C$4:$C$1003,出库明细!C2889,存条明细!$D$4:$D$1003,出库明细!D2889)&gt;0,COUNTIFS(出库明细!$C$4:C2889,出库明细!C2889,出库明细!$D$4:D2889,出库明细!D2889)&gt;1),"",IFERROR(MATCH(出库明细!C2889,总览汇总!$B$5:$B$304,0),900)*10000000+IFERROR(MATCH(出库明细!D2889,基础资料!$E$5:$E$104,0),900)*10000+ROW()))</f>
      </c>
      <c r="F3889">
        <f>IF(AND(资金台帐!J892&lt;&gt;"",资金台帐!J892=客户对账单!$B$4,资金台帐!P892="应收",ISNUMBER(资金台帐!B892),资金台帐!B892&gt;=客户对账单!$G$4,资金台帐!B892&lt;=客户对账单!$I$4),资金台帐!B892+ROW()/100000,"")</f>
      </c>
      <c r="H3889">
        <f>IF(AND(资金台帐!K2392&lt;&gt;"",资金台帐!K2392=供应商对账单!$B$4,资金台帐!P2392="应付",ISNUMBER(资金台帐!B2392),资金台帐!B2392&gt;=供应商对账单!$G$4,资金台帐!B2392&lt;=供应商对账单!$I$4),资金台帐!B2392+ROW()/100000,"")</f>
      </c>
    </row>
    <row r="3890">
      <c r="A3890">
        <f>IF(OR(出库明细!C2890="",出库明细!D2890=""),"",IF(OR(COUNTIFS(存条明细!$C$4:$C$1003,出库明细!C2890,存条明细!$D$4:$D$1003,出库明细!D2890)&gt;0,COUNTIFS(出库明细!$C$4:C2890,出库明细!C2890,出库明细!$D$4:D2890,出库明细!D2890)&gt;1),"",IFERROR(MATCH(出库明细!C2890,总览汇总!$B$5:$B$304,0),900)*10000000+IFERROR(MATCH(出库明细!D2890,基础资料!$E$5:$E$104,0),900)*10000+ROW()))</f>
      </c>
      <c r="F3890">
        <f>IF(AND(资金台帐!J893&lt;&gt;"",资金台帐!J893=客户对账单!$B$4,资金台帐!P893="应收",ISNUMBER(资金台帐!B893),资金台帐!B893&gt;=客户对账单!$G$4,资金台帐!B893&lt;=客户对账单!$I$4),资金台帐!B893+ROW()/100000,"")</f>
      </c>
      <c r="H3890">
        <f>IF(AND(资金台帐!K2393&lt;&gt;"",资金台帐!K2393=供应商对账单!$B$4,资金台帐!P2393="应付",ISNUMBER(资金台帐!B2393),资金台帐!B2393&gt;=供应商对账单!$G$4,资金台帐!B2393&lt;=供应商对账单!$I$4),资金台帐!B2393+ROW()/100000,"")</f>
      </c>
    </row>
    <row r="3891">
      <c r="A3891">
        <f>IF(OR(出库明细!C2891="",出库明细!D2891=""),"",IF(OR(COUNTIFS(存条明细!$C$4:$C$1003,出库明细!C2891,存条明细!$D$4:$D$1003,出库明细!D2891)&gt;0,COUNTIFS(出库明细!$C$4:C2891,出库明细!C2891,出库明细!$D$4:D2891,出库明细!D2891)&gt;1),"",IFERROR(MATCH(出库明细!C2891,总览汇总!$B$5:$B$304,0),900)*10000000+IFERROR(MATCH(出库明细!D2891,基础资料!$E$5:$E$104,0),900)*10000+ROW()))</f>
      </c>
      <c r="F3891">
        <f>IF(AND(资金台帐!J894&lt;&gt;"",资金台帐!J894=客户对账单!$B$4,资金台帐!P894="应收",ISNUMBER(资金台帐!B894),资金台帐!B894&gt;=客户对账单!$G$4,资金台帐!B894&lt;=客户对账单!$I$4),资金台帐!B894+ROW()/100000,"")</f>
      </c>
      <c r="H3891">
        <f>IF(AND(资金台帐!K2394&lt;&gt;"",资金台帐!K2394=供应商对账单!$B$4,资金台帐!P2394="应付",ISNUMBER(资金台帐!B2394),资金台帐!B2394&gt;=供应商对账单!$G$4,资金台帐!B2394&lt;=供应商对账单!$I$4),资金台帐!B2394+ROW()/100000,"")</f>
      </c>
    </row>
    <row r="3892">
      <c r="A3892">
        <f>IF(OR(出库明细!C2892="",出库明细!D2892=""),"",IF(OR(COUNTIFS(存条明细!$C$4:$C$1003,出库明细!C2892,存条明细!$D$4:$D$1003,出库明细!D2892)&gt;0,COUNTIFS(出库明细!$C$4:C2892,出库明细!C2892,出库明细!$D$4:D2892,出库明细!D2892)&gt;1),"",IFERROR(MATCH(出库明细!C2892,总览汇总!$B$5:$B$304,0),900)*10000000+IFERROR(MATCH(出库明细!D2892,基础资料!$E$5:$E$104,0),900)*10000+ROW()))</f>
      </c>
      <c r="F3892">
        <f>IF(AND(资金台帐!J895&lt;&gt;"",资金台帐!J895=客户对账单!$B$4,资金台帐!P895="应收",ISNUMBER(资金台帐!B895),资金台帐!B895&gt;=客户对账单!$G$4,资金台帐!B895&lt;=客户对账单!$I$4),资金台帐!B895+ROW()/100000,"")</f>
      </c>
      <c r="H3892">
        <f>IF(AND(资金台帐!K2395&lt;&gt;"",资金台帐!K2395=供应商对账单!$B$4,资金台帐!P2395="应付",ISNUMBER(资金台帐!B2395),资金台帐!B2395&gt;=供应商对账单!$G$4,资金台帐!B2395&lt;=供应商对账单!$I$4),资金台帐!B2395+ROW()/100000,"")</f>
      </c>
    </row>
    <row r="3893">
      <c r="A3893">
        <f>IF(OR(出库明细!C2893="",出库明细!D2893=""),"",IF(OR(COUNTIFS(存条明细!$C$4:$C$1003,出库明细!C2893,存条明细!$D$4:$D$1003,出库明细!D2893)&gt;0,COUNTIFS(出库明细!$C$4:C2893,出库明细!C2893,出库明细!$D$4:D2893,出库明细!D2893)&gt;1),"",IFERROR(MATCH(出库明细!C2893,总览汇总!$B$5:$B$304,0),900)*10000000+IFERROR(MATCH(出库明细!D2893,基础资料!$E$5:$E$104,0),900)*10000+ROW()))</f>
      </c>
      <c r="F3893">
        <f>IF(AND(资金台帐!J896&lt;&gt;"",资金台帐!J896=客户对账单!$B$4,资金台帐!P896="应收",ISNUMBER(资金台帐!B896),资金台帐!B896&gt;=客户对账单!$G$4,资金台帐!B896&lt;=客户对账单!$I$4),资金台帐!B896+ROW()/100000,"")</f>
      </c>
      <c r="H3893">
        <f>IF(AND(资金台帐!K2396&lt;&gt;"",资金台帐!K2396=供应商对账单!$B$4,资金台帐!P2396="应付",ISNUMBER(资金台帐!B2396),资金台帐!B2396&gt;=供应商对账单!$G$4,资金台帐!B2396&lt;=供应商对账单!$I$4),资金台帐!B2396+ROW()/100000,"")</f>
      </c>
    </row>
    <row r="3894">
      <c r="A3894">
        <f>IF(OR(出库明细!C2894="",出库明细!D2894=""),"",IF(OR(COUNTIFS(存条明细!$C$4:$C$1003,出库明细!C2894,存条明细!$D$4:$D$1003,出库明细!D2894)&gt;0,COUNTIFS(出库明细!$C$4:C2894,出库明细!C2894,出库明细!$D$4:D2894,出库明细!D2894)&gt;1),"",IFERROR(MATCH(出库明细!C2894,总览汇总!$B$5:$B$304,0),900)*10000000+IFERROR(MATCH(出库明细!D2894,基础资料!$E$5:$E$104,0),900)*10000+ROW()))</f>
      </c>
      <c r="F3894">
        <f>IF(AND(资金台帐!J897&lt;&gt;"",资金台帐!J897=客户对账单!$B$4,资金台帐!P897="应收",ISNUMBER(资金台帐!B897),资金台帐!B897&gt;=客户对账单!$G$4,资金台帐!B897&lt;=客户对账单!$I$4),资金台帐!B897+ROW()/100000,"")</f>
      </c>
      <c r="H3894">
        <f>IF(AND(资金台帐!K2397&lt;&gt;"",资金台帐!K2397=供应商对账单!$B$4,资金台帐!P2397="应付",ISNUMBER(资金台帐!B2397),资金台帐!B2397&gt;=供应商对账单!$G$4,资金台帐!B2397&lt;=供应商对账单!$I$4),资金台帐!B2397+ROW()/100000,"")</f>
      </c>
    </row>
    <row r="3895">
      <c r="A3895">
        <f>IF(OR(出库明细!C2895="",出库明细!D2895=""),"",IF(OR(COUNTIFS(存条明细!$C$4:$C$1003,出库明细!C2895,存条明细!$D$4:$D$1003,出库明细!D2895)&gt;0,COUNTIFS(出库明细!$C$4:C2895,出库明细!C2895,出库明细!$D$4:D2895,出库明细!D2895)&gt;1),"",IFERROR(MATCH(出库明细!C2895,总览汇总!$B$5:$B$304,0),900)*10000000+IFERROR(MATCH(出库明细!D2895,基础资料!$E$5:$E$104,0),900)*10000+ROW()))</f>
      </c>
      <c r="F3895">
        <f>IF(AND(资金台帐!J898&lt;&gt;"",资金台帐!J898=客户对账单!$B$4,资金台帐!P898="应收",ISNUMBER(资金台帐!B898),资金台帐!B898&gt;=客户对账单!$G$4,资金台帐!B898&lt;=客户对账单!$I$4),资金台帐!B898+ROW()/100000,"")</f>
      </c>
      <c r="H3895">
        <f>IF(AND(资金台帐!K2398&lt;&gt;"",资金台帐!K2398=供应商对账单!$B$4,资金台帐!P2398="应付",ISNUMBER(资金台帐!B2398),资金台帐!B2398&gt;=供应商对账单!$G$4,资金台帐!B2398&lt;=供应商对账单!$I$4),资金台帐!B2398+ROW()/100000,"")</f>
      </c>
    </row>
    <row r="3896">
      <c r="A3896">
        <f>IF(OR(出库明细!C2896="",出库明细!D2896=""),"",IF(OR(COUNTIFS(存条明细!$C$4:$C$1003,出库明细!C2896,存条明细!$D$4:$D$1003,出库明细!D2896)&gt;0,COUNTIFS(出库明细!$C$4:C2896,出库明细!C2896,出库明细!$D$4:D2896,出库明细!D2896)&gt;1),"",IFERROR(MATCH(出库明细!C2896,总览汇总!$B$5:$B$304,0),900)*10000000+IFERROR(MATCH(出库明细!D2896,基础资料!$E$5:$E$104,0),900)*10000+ROW()))</f>
      </c>
      <c r="F3896">
        <f>IF(AND(资金台帐!J899&lt;&gt;"",资金台帐!J899=客户对账单!$B$4,资金台帐!P899="应收",ISNUMBER(资金台帐!B899),资金台帐!B899&gt;=客户对账单!$G$4,资金台帐!B899&lt;=客户对账单!$I$4),资金台帐!B899+ROW()/100000,"")</f>
      </c>
      <c r="H3896">
        <f>IF(AND(资金台帐!K2399&lt;&gt;"",资金台帐!K2399=供应商对账单!$B$4,资金台帐!P2399="应付",ISNUMBER(资金台帐!B2399),资金台帐!B2399&gt;=供应商对账单!$G$4,资金台帐!B2399&lt;=供应商对账单!$I$4),资金台帐!B2399+ROW()/100000,"")</f>
      </c>
    </row>
    <row r="3897">
      <c r="A3897">
        <f>IF(OR(出库明细!C2897="",出库明细!D2897=""),"",IF(OR(COUNTIFS(存条明细!$C$4:$C$1003,出库明细!C2897,存条明细!$D$4:$D$1003,出库明细!D2897)&gt;0,COUNTIFS(出库明细!$C$4:C2897,出库明细!C2897,出库明细!$D$4:D2897,出库明细!D2897)&gt;1),"",IFERROR(MATCH(出库明细!C2897,总览汇总!$B$5:$B$304,0),900)*10000000+IFERROR(MATCH(出库明细!D2897,基础资料!$E$5:$E$104,0),900)*10000+ROW()))</f>
      </c>
      <c r="F3897">
        <f>IF(AND(资金台帐!J900&lt;&gt;"",资金台帐!J900=客户对账单!$B$4,资金台帐!P900="应收",ISNUMBER(资金台帐!B900),资金台帐!B900&gt;=客户对账单!$G$4,资金台帐!B900&lt;=客户对账单!$I$4),资金台帐!B900+ROW()/100000,"")</f>
      </c>
      <c r="H3897">
        <f>IF(AND(资金台帐!K2400&lt;&gt;"",资金台帐!K2400=供应商对账单!$B$4,资金台帐!P2400="应付",ISNUMBER(资金台帐!B2400),资金台帐!B2400&gt;=供应商对账单!$G$4,资金台帐!B2400&lt;=供应商对账单!$I$4),资金台帐!B2400+ROW()/100000,"")</f>
      </c>
    </row>
    <row r="3898">
      <c r="A3898">
        <f>IF(OR(出库明细!C2898="",出库明细!D2898=""),"",IF(OR(COUNTIFS(存条明细!$C$4:$C$1003,出库明细!C2898,存条明细!$D$4:$D$1003,出库明细!D2898)&gt;0,COUNTIFS(出库明细!$C$4:C2898,出库明细!C2898,出库明细!$D$4:D2898,出库明细!D2898)&gt;1),"",IFERROR(MATCH(出库明细!C2898,总览汇总!$B$5:$B$304,0),900)*10000000+IFERROR(MATCH(出库明细!D2898,基础资料!$E$5:$E$104,0),900)*10000+ROW()))</f>
      </c>
      <c r="F3898">
        <f>IF(AND(资金台帐!J901&lt;&gt;"",资金台帐!J901=客户对账单!$B$4,资金台帐!P901="应收",ISNUMBER(资金台帐!B901),资金台帐!B901&gt;=客户对账单!$G$4,资金台帐!B901&lt;=客户对账单!$I$4),资金台帐!B901+ROW()/100000,"")</f>
      </c>
      <c r="H3898">
        <f>IF(AND(资金台帐!K2401&lt;&gt;"",资金台帐!K2401=供应商对账单!$B$4,资金台帐!P2401="应付",ISNUMBER(资金台帐!B2401),资金台帐!B2401&gt;=供应商对账单!$G$4,资金台帐!B2401&lt;=供应商对账单!$I$4),资金台帐!B2401+ROW()/100000,"")</f>
      </c>
    </row>
    <row r="3899">
      <c r="A3899">
        <f>IF(OR(出库明细!C2899="",出库明细!D2899=""),"",IF(OR(COUNTIFS(存条明细!$C$4:$C$1003,出库明细!C2899,存条明细!$D$4:$D$1003,出库明细!D2899)&gt;0,COUNTIFS(出库明细!$C$4:C2899,出库明细!C2899,出库明细!$D$4:D2899,出库明细!D2899)&gt;1),"",IFERROR(MATCH(出库明细!C2899,总览汇总!$B$5:$B$304,0),900)*10000000+IFERROR(MATCH(出库明细!D2899,基础资料!$E$5:$E$104,0),900)*10000+ROW()))</f>
      </c>
      <c r="F3899">
        <f>IF(AND(资金台帐!J902&lt;&gt;"",资金台帐!J902=客户对账单!$B$4,资金台帐!P902="应收",ISNUMBER(资金台帐!B902),资金台帐!B902&gt;=客户对账单!$G$4,资金台帐!B902&lt;=客户对账单!$I$4),资金台帐!B902+ROW()/100000,"")</f>
      </c>
      <c r="H3899">
        <f>IF(AND(资金台帐!K2402&lt;&gt;"",资金台帐!K2402=供应商对账单!$B$4,资金台帐!P2402="应付",ISNUMBER(资金台帐!B2402),资金台帐!B2402&gt;=供应商对账单!$G$4,资金台帐!B2402&lt;=供应商对账单!$I$4),资金台帐!B2402+ROW()/100000,"")</f>
      </c>
    </row>
    <row r="3900">
      <c r="A3900">
        <f>IF(OR(出库明细!C2900="",出库明细!D2900=""),"",IF(OR(COUNTIFS(存条明细!$C$4:$C$1003,出库明细!C2900,存条明细!$D$4:$D$1003,出库明细!D2900)&gt;0,COUNTIFS(出库明细!$C$4:C2900,出库明细!C2900,出库明细!$D$4:D2900,出库明细!D2900)&gt;1),"",IFERROR(MATCH(出库明细!C2900,总览汇总!$B$5:$B$304,0),900)*10000000+IFERROR(MATCH(出库明细!D2900,基础资料!$E$5:$E$104,0),900)*10000+ROW()))</f>
      </c>
      <c r="F3900">
        <f>IF(AND(资金台帐!J903&lt;&gt;"",资金台帐!J903=客户对账单!$B$4,资金台帐!P903="应收",ISNUMBER(资金台帐!B903),资金台帐!B903&gt;=客户对账单!$G$4,资金台帐!B903&lt;=客户对账单!$I$4),资金台帐!B903+ROW()/100000,"")</f>
      </c>
      <c r="H3900">
        <f>IF(AND(资金台帐!K2403&lt;&gt;"",资金台帐!K2403=供应商对账单!$B$4,资金台帐!P2403="应付",ISNUMBER(资金台帐!B2403),资金台帐!B2403&gt;=供应商对账单!$G$4,资金台帐!B2403&lt;=供应商对账单!$I$4),资金台帐!B2403+ROW()/100000,"")</f>
      </c>
    </row>
    <row r="3901">
      <c r="A3901">
        <f>IF(OR(出库明细!C2901="",出库明细!D2901=""),"",IF(OR(COUNTIFS(存条明细!$C$4:$C$1003,出库明细!C2901,存条明细!$D$4:$D$1003,出库明细!D2901)&gt;0,COUNTIFS(出库明细!$C$4:C2901,出库明细!C2901,出库明细!$D$4:D2901,出库明细!D2901)&gt;1),"",IFERROR(MATCH(出库明细!C2901,总览汇总!$B$5:$B$304,0),900)*10000000+IFERROR(MATCH(出库明细!D2901,基础资料!$E$5:$E$104,0),900)*10000+ROW()))</f>
      </c>
      <c r="F3901">
        <f>IF(AND(资金台帐!J904&lt;&gt;"",资金台帐!J904=客户对账单!$B$4,资金台帐!P904="应收",ISNUMBER(资金台帐!B904),资金台帐!B904&gt;=客户对账单!$G$4,资金台帐!B904&lt;=客户对账单!$I$4),资金台帐!B904+ROW()/100000,"")</f>
      </c>
      <c r="H3901">
        <f>IF(AND(资金台帐!K2404&lt;&gt;"",资金台帐!K2404=供应商对账单!$B$4,资金台帐!P2404="应付",ISNUMBER(资金台帐!B2404),资金台帐!B2404&gt;=供应商对账单!$G$4,资金台帐!B2404&lt;=供应商对账单!$I$4),资金台帐!B2404+ROW()/100000,"")</f>
      </c>
    </row>
    <row r="3902">
      <c r="A3902">
        <f>IF(OR(出库明细!C2902="",出库明细!D2902=""),"",IF(OR(COUNTIFS(存条明细!$C$4:$C$1003,出库明细!C2902,存条明细!$D$4:$D$1003,出库明细!D2902)&gt;0,COUNTIFS(出库明细!$C$4:C2902,出库明细!C2902,出库明细!$D$4:D2902,出库明细!D2902)&gt;1),"",IFERROR(MATCH(出库明细!C2902,总览汇总!$B$5:$B$304,0),900)*10000000+IFERROR(MATCH(出库明细!D2902,基础资料!$E$5:$E$104,0),900)*10000+ROW()))</f>
      </c>
      <c r="F3902">
        <f>IF(AND(资金台帐!J905&lt;&gt;"",资金台帐!J905=客户对账单!$B$4,资金台帐!P905="应收",ISNUMBER(资金台帐!B905),资金台帐!B905&gt;=客户对账单!$G$4,资金台帐!B905&lt;=客户对账单!$I$4),资金台帐!B905+ROW()/100000,"")</f>
      </c>
      <c r="H3902">
        <f>IF(AND(资金台帐!K2405&lt;&gt;"",资金台帐!K2405=供应商对账单!$B$4,资金台帐!P2405="应付",ISNUMBER(资金台帐!B2405),资金台帐!B2405&gt;=供应商对账单!$G$4,资金台帐!B2405&lt;=供应商对账单!$I$4),资金台帐!B2405+ROW()/100000,"")</f>
      </c>
    </row>
    <row r="3903">
      <c r="A3903">
        <f>IF(OR(出库明细!C2903="",出库明细!D2903=""),"",IF(OR(COUNTIFS(存条明细!$C$4:$C$1003,出库明细!C2903,存条明细!$D$4:$D$1003,出库明细!D2903)&gt;0,COUNTIFS(出库明细!$C$4:C2903,出库明细!C2903,出库明细!$D$4:D2903,出库明细!D2903)&gt;1),"",IFERROR(MATCH(出库明细!C2903,总览汇总!$B$5:$B$304,0),900)*10000000+IFERROR(MATCH(出库明细!D2903,基础资料!$E$5:$E$104,0),900)*10000+ROW()))</f>
      </c>
      <c r="F3903">
        <f>IF(AND(资金台帐!J906&lt;&gt;"",资金台帐!J906=客户对账单!$B$4,资金台帐!P906="应收",ISNUMBER(资金台帐!B906),资金台帐!B906&gt;=客户对账单!$G$4,资金台帐!B906&lt;=客户对账单!$I$4),资金台帐!B906+ROW()/100000,"")</f>
      </c>
      <c r="H3903">
        <f>IF(AND(资金台帐!K2406&lt;&gt;"",资金台帐!K2406=供应商对账单!$B$4,资金台帐!P2406="应付",ISNUMBER(资金台帐!B2406),资金台帐!B2406&gt;=供应商对账单!$G$4,资金台帐!B2406&lt;=供应商对账单!$I$4),资金台帐!B2406+ROW()/100000,"")</f>
      </c>
    </row>
    <row r="3904">
      <c r="A3904">
        <f>IF(OR(出库明细!C2904="",出库明细!D2904=""),"",IF(OR(COUNTIFS(存条明细!$C$4:$C$1003,出库明细!C2904,存条明细!$D$4:$D$1003,出库明细!D2904)&gt;0,COUNTIFS(出库明细!$C$4:C2904,出库明细!C2904,出库明细!$D$4:D2904,出库明细!D2904)&gt;1),"",IFERROR(MATCH(出库明细!C2904,总览汇总!$B$5:$B$304,0),900)*10000000+IFERROR(MATCH(出库明细!D2904,基础资料!$E$5:$E$104,0),900)*10000+ROW()))</f>
      </c>
      <c r="F3904">
        <f>IF(AND(资金台帐!J907&lt;&gt;"",资金台帐!J907=客户对账单!$B$4,资金台帐!P907="应收",ISNUMBER(资金台帐!B907),资金台帐!B907&gt;=客户对账单!$G$4,资金台帐!B907&lt;=客户对账单!$I$4),资金台帐!B907+ROW()/100000,"")</f>
      </c>
      <c r="H3904">
        <f>IF(AND(资金台帐!K2407&lt;&gt;"",资金台帐!K2407=供应商对账单!$B$4,资金台帐!P2407="应付",ISNUMBER(资金台帐!B2407),资金台帐!B2407&gt;=供应商对账单!$G$4,资金台帐!B2407&lt;=供应商对账单!$I$4),资金台帐!B2407+ROW()/100000,"")</f>
      </c>
    </row>
    <row r="3905">
      <c r="A3905">
        <f>IF(OR(出库明细!C2905="",出库明细!D2905=""),"",IF(OR(COUNTIFS(存条明细!$C$4:$C$1003,出库明细!C2905,存条明细!$D$4:$D$1003,出库明细!D2905)&gt;0,COUNTIFS(出库明细!$C$4:C2905,出库明细!C2905,出库明细!$D$4:D2905,出库明细!D2905)&gt;1),"",IFERROR(MATCH(出库明细!C2905,总览汇总!$B$5:$B$304,0),900)*10000000+IFERROR(MATCH(出库明细!D2905,基础资料!$E$5:$E$104,0),900)*10000+ROW()))</f>
      </c>
      <c r="F3905">
        <f>IF(AND(资金台帐!J908&lt;&gt;"",资金台帐!J908=客户对账单!$B$4,资金台帐!P908="应收",ISNUMBER(资金台帐!B908),资金台帐!B908&gt;=客户对账单!$G$4,资金台帐!B908&lt;=客户对账单!$I$4),资金台帐!B908+ROW()/100000,"")</f>
      </c>
      <c r="H3905">
        <f>IF(AND(资金台帐!K2408&lt;&gt;"",资金台帐!K2408=供应商对账单!$B$4,资金台帐!P2408="应付",ISNUMBER(资金台帐!B2408),资金台帐!B2408&gt;=供应商对账单!$G$4,资金台帐!B2408&lt;=供应商对账单!$I$4),资金台帐!B2408+ROW()/100000,"")</f>
      </c>
    </row>
    <row r="3906">
      <c r="A3906">
        <f>IF(OR(出库明细!C2906="",出库明细!D2906=""),"",IF(OR(COUNTIFS(存条明细!$C$4:$C$1003,出库明细!C2906,存条明细!$D$4:$D$1003,出库明细!D2906)&gt;0,COUNTIFS(出库明细!$C$4:C2906,出库明细!C2906,出库明细!$D$4:D2906,出库明细!D2906)&gt;1),"",IFERROR(MATCH(出库明细!C2906,总览汇总!$B$5:$B$304,0),900)*10000000+IFERROR(MATCH(出库明细!D2906,基础资料!$E$5:$E$104,0),900)*10000+ROW()))</f>
      </c>
      <c r="F3906">
        <f>IF(AND(资金台帐!J909&lt;&gt;"",资金台帐!J909=客户对账单!$B$4,资金台帐!P909="应收",ISNUMBER(资金台帐!B909),资金台帐!B909&gt;=客户对账单!$G$4,资金台帐!B909&lt;=客户对账单!$I$4),资金台帐!B909+ROW()/100000,"")</f>
      </c>
      <c r="H3906">
        <f>IF(AND(资金台帐!K2409&lt;&gt;"",资金台帐!K2409=供应商对账单!$B$4,资金台帐!P2409="应付",ISNUMBER(资金台帐!B2409),资金台帐!B2409&gt;=供应商对账单!$G$4,资金台帐!B2409&lt;=供应商对账单!$I$4),资金台帐!B2409+ROW()/100000,"")</f>
      </c>
    </row>
    <row r="3907">
      <c r="A3907">
        <f>IF(OR(出库明细!C2907="",出库明细!D2907=""),"",IF(OR(COUNTIFS(存条明细!$C$4:$C$1003,出库明细!C2907,存条明细!$D$4:$D$1003,出库明细!D2907)&gt;0,COUNTIFS(出库明细!$C$4:C2907,出库明细!C2907,出库明细!$D$4:D2907,出库明细!D2907)&gt;1),"",IFERROR(MATCH(出库明细!C2907,总览汇总!$B$5:$B$304,0),900)*10000000+IFERROR(MATCH(出库明细!D2907,基础资料!$E$5:$E$104,0),900)*10000+ROW()))</f>
      </c>
      <c r="F3907">
        <f>IF(AND(资金台帐!J910&lt;&gt;"",资金台帐!J910=客户对账单!$B$4,资金台帐!P910="应收",ISNUMBER(资金台帐!B910),资金台帐!B910&gt;=客户对账单!$G$4,资金台帐!B910&lt;=客户对账单!$I$4),资金台帐!B910+ROW()/100000,"")</f>
      </c>
      <c r="H3907">
        <f>IF(AND(资金台帐!K2410&lt;&gt;"",资金台帐!K2410=供应商对账单!$B$4,资金台帐!P2410="应付",ISNUMBER(资金台帐!B2410),资金台帐!B2410&gt;=供应商对账单!$G$4,资金台帐!B2410&lt;=供应商对账单!$I$4),资金台帐!B2410+ROW()/100000,"")</f>
      </c>
    </row>
    <row r="3908">
      <c r="A3908">
        <f>IF(OR(出库明细!C2908="",出库明细!D2908=""),"",IF(OR(COUNTIFS(存条明细!$C$4:$C$1003,出库明细!C2908,存条明细!$D$4:$D$1003,出库明细!D2908)&gt;0,COUNTIFS(出库明细!$C$4:C2908,出库明细!C2908,出库明细!$D$4:D2908,出库明细!D2908)&gt;1),"",IFERROR(MATCH(出库明细!C2908,总览汇总!$B$5:$B$304,0),900)*10000000+IFERROR(MATCH(出库明细!D2908,基础资料!$E$5:$E$104,0),900)*10000+ROW()))</f>
      </c>
      <c r="F3908">
        <f>IF(AND(资金台帐!J911&lt;&gt;"",资金台帐!J911=客户对账单!$B$4,资金台帐!P911="应收",ISNUMBER(资金台帐!B911),资金台帐!B911&gt;=客户对账单!$G$4,资金台帐!B911&lt;=客户对账单!$I$4),资金台帐!B911+ROW()/100000,"")</f>
      </c>
      <c r="H3908">
        <f>IF(AND(资金台帐!K2411&lt;&gt;"",资金台帐!K2411=供应商对账单!$B$4,资金台帐!P2411="应付",ISNUMBER(资金台帐!B2411),资金台帐!B2411&gt;=供应商对账单!$G$4,资金台帐!B2411&lt;=供应商对账单!$I$4),资金台帐!B2411+ROW()/100000,"")</f>
      </c>
    </row>
    <row r="3909">
      <c r="A3909">
        <f>IF(OR(出库明细!C2909="",出库明细!D2909=""),"",IF(OR(COUNTIFS(存条明细!$C$4:$C$1003,出库明细!C2909,存条明细!$D$4:$D$1003,出库明细!D2909)&gt;0,COUNTIFS(出库明细!$C$4:C2909,出库明细!C2909,出库明细!$D$4:D2909,出库明细!D2909)&gt;1),"",IFERROR(MATCH(出库明细!C2909,总览汇总!$B$5:$B$304,0),900)*10000000+IFERROR(MATCH(出库明细!D2909,基础资料!$E$5:$E$104,0),900)*10000+ROW()))</f>
      </c>
      <c r="F3909">
        <f>IF(AND(资金台帐!J912&lt;&gt;"",资金台帐!J912=客户对账单!$B$4,资金台帐!P912="应收",ISNUMBER(资金台帐!B912),资金台帐!B912&gt;=客户对账单!$G$4,资金台帐!B912&lt;=客户对账单!$I$4),资金台帐!B912+ROW()/100000,"")</f>
      </c>
      <c r="H3909">
        <f>IF(AND(资金台帐!K2412&lt;&gt;"",资金台帐!K2412=供应商对账单!$B$4,资金台帐!P2412="应付",ISNUMBER(资金台帐!B2412),资金台帐!B2412&gt;=供应商对账单!$G$4,资金台帐!B2412&lt;=供应商对账单!$I$4),资金台帐!B2412+ROW()/100000,"")</f>
      </c>
    </row>
    <row r="3910">
      <c r="A3910">
        <f>IF(OR(出库明细!C2910="",出库明细!D2910=""),"",IF(OR(COUNTIFS(存条明细!$C$4:$C$1003,出库明细!C2910,存条明细!$D$4:$D$1003,出库明细!D2910)&gt;0,COUNTIFS(出库明细!$C$4:C2910,出库明细!C2910,出库明细!$D$4:D2910,出库明细!D2910)&gt;1),"",IFERROR(MATCH(出库明细!C2910,总览汇总!$B$5:$B$304,0),900)*10000000+IFERROR(MATCH(出库明细!D2910,基础资料!$E$5:$E$104,0),900)*10000+ROW()))</f>
      </c>
      <c r="F3910">
        <f>IF(AND(资金台帐!J913&lt;&gt;"",资金台帐!J913=客户对账单!$B$4,资金台帐!P913="应收",ISNUMBER(资金台帐!B913),资金台帐!B913&gt;=客户对账单!$G$4,资金台帐!B913&lt;=客户对账单!$I$4),资金台帐!B913+ROW()/100000,"")</f>
      </c>
      <c r="H3910">
        <f>IF(AND(资金台帐!K2413&lt;&gt;"",资金台帐!K2413=供应商对账单!$B$4,资金台帐!P2413="应付",ISNUMBER(资金台帐!B2413),资金台帐!B2413&gt;=供应商对账单!$G$4,资金台帐!B2413&lt;=供应商对账单!$I$4),资金台帐!B2413+ROW()/100000,"")</f>
      </c>
    </row>
    <row r="3911">
      <c r="A3911">
        <f>IF(OR(出库明细!C2911="",出库明细!D2911=""),"",IF(OR(COUNTIFS(存条明细!$C$4:$C$1003,出库明细!C2911,存条明细!$D$4:$D$1003,出库明细!D2911)&gt;0,COUNTIFS(出库明细!$C$4:C2911,出库明细!C2911,出库明细!$D$4:D2911,出库明细!D2911)&gt;1),"",IFERROR(MATCH(出库明细!C2911,总览汇总!$B$5:$B$304,0),900)*10000000+IFERROR(MATCH(出库明细!D2911,基础资料!$E$5:$E$104,0),900)*10000+ROW()))</f>
      </c>
      <c r="F3911">
        <f>IF(AND(资金台帐!J914&lt;&gt;"",资金台帐!J914=客户对账单!$B$4,资金台帐!P914="应收",ISNUMBER(资金台帐!B914),资金台帐!B914&gt;=客户对账单!$G$4,资金台帐!B914&lt;=客户对账单!$I$4),资金台帐!B914+ROW()/100000,"")</f>
      </c>
      <c r="H3911">
        <f>IF(AND(资金台帐!K2414&lt;&gt;"",资金台帐!K2414=供应商对账单!$B$4,资金台帐!P2414="应付",ISNUMBER(资金台帐!B2414),资金台帐!B2414&gt;=供应商对账单!$G$4,资金台帐!B2414&lt;=供应商对账单!$I$4),资金台帐!B2414+ROW()/100000,"")</f>
      </c>
    </row>
    <row r="3912">
      <c r="A3912">
        <f>IF(OR(出库明细!C2912="",出库明细!D2912=""),"",IF(OR(COUNTIFS(存条明细!$C$4:$C$1003,出库明细!C2912,存条明细!$D$4:$D$1003,出库明细!D2912)&gt;0,COUNTIFS(出库明细!$C$4:C2912,出库明细!C2912,出库明细!$D$4:D2912,出库明细!D2912)&gt;1),"",IFERROR(MATCH(出库明细!C2912,总览汇总!$B$5:$B$304,0),900)*10000000+IFERROR(MATCH(出库明细!D2912,基础资料!$E$5:$E$104,0),900)*10000+ROW()))</f>
      </c>
      <c r="F3912">
        <f>IF(AND(资金台帐!J915&lt;&gt;"",资金台帐!J915=客户对账单!$B$4,资金台帐!P915="应收",ISNUMBER(资金台帐!B915),资金台帐!B915&gt;=客户对账单!$G$4,资金台帐!B915&lt;=客户对账单!$I$4),资金台帐!B915+ROW()/100000,"")</f>
      </c>
      <c r="H3912">
        <f>IF(AND(资金台帐!K2415&lt;&gt;"",资金台帐!K2415=供应商对账单!$B$4,资金台帐!P2415="应付",ISNUMBER(资金台帐!B2415),资金台帐!B2415&gt;=供应商对账单!$G$4,资金台帐!B2415&lt;=供应商对账单!$I$4),资金台帐!B2415+ROW()/100000,"")</f>
      </c>
    </row>
    <row r="3913">
      <c r="A3913">
        <f>IF(OR(出库明细!C2913="",出库明细!D2913=""),"",IF(OR(COUNTIFS(存条明细!$C$4:$C$1003,出库明细!C2913,存条明细!$D$4:$D$1003,出库明细!D2913)&gt;0,COUNTIFS(出库明细!$C$4:C2913,出库明细!C2913,出库明细!$D$4:D2913,出库明细!D2913)&gt;1),"",IFERROR(MATCH(出库明细!C2913,总览汇总!$B$5:$B$304,0),900)*10000000+IFERROR(MATCH(出库明细!D2913,基础资料!$E$5:$E$104,0),900)*10000+ROW()))</f>
      </c>
      <c r="F3913">
        <f>IF(AND(资金台帐!J916&lt;&gt;"",资金台帐!J916=客户对账单!$B$4,资金台帐!P916="应收",ISNUMBER(资金台帐!B916),资金台帐!B916&gt;=客户对账单!$G$4,资金台帐!B916&lt;=客户对账单!$I$4),资金台帐!B916+ROW()/100000,"")</f>
      </c>
      <c r="H3913">
        <f>IF(AND(资金台帐!K2416&lt;&gt;"",资金台帐!K2416=供应商对账单!$B$4,资金台帐!P2416="应付",ISNUMBER(资金台帐!B2416),资金台帐!B2416&gt;=供应商对账单!$G$4,资金台帐!B2416&lt;=供应商对账单!$I$4),资金台帐!B2416+ROW()/100000,"")</f>
      </c>
    </row>
    <row r="3914">
      <c r="A3914">
        <f>IF(OR(出库明细!C2914="",出库明细!D2914=""),"",IF(OR(COUNTIFS(存条明细!$C$4:$C$1003,出库明细!C2914,存条明细!$D$4:$D$1003,出库明细!D2914)&gt;0,COUNTIFS(出库明细!$C$4:C2914,出库明细!C2914,出库明细!$D$4:D2914,出库明细!D2914)&gt;1),"",IFERROR(MATCH(出库明细!C2914,总览汇总!$B$5:$B$304,0),900)*10000000+IFERROR(MATCH(出库明细!D2914,基础资料!$E$5:$E$104,0),900)*10000+ROW()))</f>
      </c>
      <c r="F3914">
        <f>IF(AND(资金台帐!J917&lt;&gt;"",资金台帐!J917=客户对账单!$B$4,资金台帐!P917="应收",ISNUMBER(资金台帐!B917),资金台帐!B917&gt;=客户对账单!$G$4,资金台帐!B917&lt;=客户对账单!$I$4),资金台帐!B917+ROW()/100000,"")</f>
      </c>
      <c r="H3914">
        <f>IF(AND(资金台帐!K2417&lt;&gt;"",资金台帐!K2417=供应商对账单!$B$4,资金台帐!P2417="应付",ISNUMBER(资金台帐!B2417),资金台帐!B2417&gt;=供应商对账单!$G$4,资金台帐!B2417&lt;=供应商对账单!$I$4),资金台帐!B2417+ROW()/100000,"")</f>
      </c>
    </row>
    <row r="3915">
      <c r="A3915">
        <f>IF(OR(出库明细!C2915="",出库明细!D2915=""),"",IF(OR(COUNTIFS(存条明细!$C$4:$C$1003,出库明细!C2915,存条明细!$D$4:$D$1003,出库明细!D2915)&gt;0,COUNTIFS(出库明细!$C$4:C2915,出库明细!C2915,出库明细!$D$4:D2915,出库明细!D2915)&gt;1),"",IFERROR(MATCH(出库明细!C2915,总览汇总!$B$5:$B$304,0),900)*10000000+IFERROR(MATCH(出库明细!D2915,基础资料!$E$5:$E$104,0),900)*10000+ROW()))</f>
      </c>
      <c r="F3915">
        <f>IF(AND(资金台帐!J918&lt;&gt;"",资金台帐!J918=客户对账单!$B$4,资金台帐!P918="应收",ISNUMBER(资金台帐!B918),资金台帐!B918&gt;=客户对账单!$G$4,资金台帐!B918&lt;=客户对账单!$I$4),资金台帐!B918+ROW()/100000,"")</f>
      </c>
      <c r="H3915">
        <f>IF(AND(资金台帐!K2418&lt;&gt;"",资金台帐!K2418=供应商对账单!$B$4,资金台帐!P2418="应付",ISNUMBER(资金台帐!B2418),资金台帐!B2418&gt;=供应商对账单!$G$4,资金台帐!B2418&lt;=供应商对账单!$I$4),资金台帐!B2418+ROW()/100000,"")</f>
      </c>
    </row>
    <row r="3916">
      <c r="A3916">
        <f>IF(OR(出库明细!C2916="",出库明细!D2916=""),"",IF(OR(COUNTIFS(存条明细!$C$4:$C$1003,出库明细!C2916,存条明细!$D$4:$D$1003,出库明细!D2916)&gt;0,COUNTIFS(出库明细!$C$4:C2916,出库明细!C2916,出库明细!$D$4:D2916,出库明细!D2916)&gt;1),"",IFERROR(MATCH(出库明细!C2916,总览汇总!$B$5:$B$304,0),900)*10000000+IFERROR(MATCH(出库明细!D2916,基础资料!$E$5:$E$104,0),900)*10000+ROW()))</f>
      </c>
      <c r="F3916">
        <f>IF(AND(资金台帐!J919&lt;&gt;"",资金台帐!J919=客户对账单!$B$4,资金台帐!P919="应收",ISNUMBER(资金台帐!B919),资金台帐!B919&gt;=客户对账单!$G$4,资金台帐!B919&lt;=客户对账单!$I$4),资金台帐!B919+ROW()/100000,"")</f>
      </c>
      <c r="H3916">
        <f>IF(AND(资金台帐!K2419&lt;&gt;"",资金台帐!K2419=供应商对账单!$B$4,资金台帐!P2419="应付",ISNUMBER(资金台帐!B2419),资金台帐!B2419&gt;=供应商对账单!$G$4,资金台帐!B2419&lt;=供应商对账单!$I$4),资金台帐!B2419+ROW()/100000,"")</f>
      </c>
    </row>
    <row r="3917">
      <c r="A3917">
        <f>IF(OR(出库明细!C2917="",出库明细!D2917=""),"",IF(OR(COUNTIFS(存条明细!$C$4:$C$1003,出库明细!C2917,存条明细!$D$4:$D$1003,出库明细!D2917)&gt;0,COUNTIFS(出库明细!$C$4:C2917,出库明细!C2917,出库明细!$D$4:D2917,出库明细!D2917)&gt;1),"",IFERROR(MATCH(出库明细!C2917,总览汇总!$B$5:$B$304,0),900)*10000000+IFERROR(MATCH(出库明细!D2917,基础资料!$E$5:$E$104,0),900)*10000+ROW()))</f>
      </c>
      <c r="F3917">
        <f>IF(AND(资金台帐!J920&lt;&gt;"",资金台帐!J920=客户对账单!$B$4,资金台帐!P920="应收",ISNUMBER(资金台帐!B920),资金台帐!B920&gt;=客户对账单!$G$4,资金台帐!B920&lt;=客户对账单!$I$4),资金台帐!B920+ROW()/100000,"")</f>
      </c>
      <c r="H3917">
        <f>IF(AND(资金台帐!K2420&lt;&gt;"",资金台帐!K2420=供应商对账单!$B$4,资金台帐!P2420="应付",ISNUMBER(资金台帐!B2420),资金台帐!B2420&gt;=供应商对账单!$G$4,资金台帐!B2420&lt;=供应商对账单!$I$4),资金台帐!B2420+ROW()/100000,"")</f>
      </c>
    </row>
    <row r="3918">
      <c r="A3918">
        <f>IF(OR(出库明细!C2918="",出库明细!D2918=""),"",IF(OR(COUNTIFS(存条明细!$C$4:$C$1003,出库明细!C2918,存条明细!$D$4:$D$1003,出库明细!D2918)&gt;0,COUNTIFS(出库明细!$C$4:C2918,出库明细!C2918,出库明细!$D$4:D2918,出库明细!D2918)&gt;1),"",IFERROR(MATCH(出库明细!C2918,总览汇总!$B$5:$B$304,0),900)*10000000+IFERROR(MATCH(出库明细!D2918,基础资料!$E$5:$E$104,0),900)*10000+ROW()))</f>
      </c>
      <c r="F3918">
        <f>IF(AND(资金台帐!J921&lt;&gt;"",资金台帐!J921=客户对账单!$B$4,资金台帐!P921="应收",ISNUMBER(资金台帐!B921),资金台帐!B921&gt;=客户对账单!$G$4,资金台帐!B921&lt;=客户对账单!$I$4),资金台帐!B921+ROW()/100000,"")</f>
      </c>
      <c r="H3918">
        <f>IF(AND(资金台帐!K2421&lt;&gt;"",资金台帐!K2421=供应商对账单!$B$4,资金台帐!P2421="应付",ISNUMBER(资金台帐!B2421),资金台帐!B2421&gt;=供应商对账单!$G$4,资金台帐!B2421&lt;=供应商对账单!$I$4),资金台帐!B2421+ROW()/100000,"")</f>
      </c>
    </row>
    <row r="3919">
      <c r="A3919">
        <f>IF(OR(出库明细!C2919="",出库明细!D2919=""),"",IF(OR(COUNTIFS(存条明细!$C$4:$C$1003,出库明细!C2919,存条明细!$D$4:$D$1003,出库明细!D2919)&gt;0,COUNTIFS(出库明细!$C$4:C2919,出库明细!C2919,出库明细!$D$4:D2919,出库明细!D2919)&gt;1),"",IFERROR(MATCH(出库明细!C2919,总览汇总!$B$5:$B$304,0),900)*10000000+IFERROR(MATCH(出库明细!D2919,基础资料!$E$5:$E$104,0),900)*10000+ROW()))</f>
      </c>
      <c r="F3919">
        <f>IF(AND(资金台帐!J922&lt;&gt;"",资金台帐!J922=客户对账单!$B$4,资金台帐!P922="应收",ISNUMBER(资金台帐!B922),资金台帐!B922&gt;=客户对账单!$G$4,资金台帐!B922&lt;=客户对账单!$I$4),资金台帐!B922+ROW()/100000,"")</f>
      </c>
      <c r="H3919">
        <f>IF(AND(资金台帐!K2422&lt;&gt;"",资金台帐!K2422=供应商对账单!$B$4,资金台帐!P2422="应付",ISNUMBER(资金台帐!B2422),资金台帐!B2422&gt;=供应商对账单!$G$4,资金台帐!B2422&lt;=供应商对账单!$I$4),资金台帐!B2422+ROW()/100000,"")</f>
      </c>
    </row>
    <row r="3920">
      <c r="A3920">
        <f>IF(OR(出库明细!C2920="",出库明细!D2920=""),"",IF(OR(COUNTIFS(存条明细!$C$4:$C$1003,出库明细!C2920,存条明细!$D$4:$D$1003,出库明细!D2920)&gt;0,COUNTIFS(出库明细!$C$4:C2920,出库明细!C2920,出库明细!$D$4:D2920,出库明细!D2920)&gt;1),"",IFERROR(MATCH(出库明细!C2920,总览汇总!$B$5:$B$304,0),900)*10000000+IFERROR(MATCH(出库明细!D2920,基础资料!$E$5:$E$104,0),900)*10000+ROW()))</f>
      </c>
      <c r="F3920">
        <f>IF(AND(资金台帐!J923&lt;&gt;"",资金台帐!J923=客户对账单!$B$4,资金台帐!P923="应收",ISNUMBER(资金台帐!B923),资金台帐!B923&gt;=客户对账单!$G$4,资金台帐!B923&lt;=客户对账单!$I$4),资金台帐!B923+ROW()/100000,"")</f>
      </c>
      <c r="H3920">
        <f>IF(AND(资金台帐!K2423&lt;&gt;"",资金台帐!K2423=供应商对账单!$B$4,资金台帐!P2423="应付",ISNUMBER(资金台帐!B2423),资金台帐!B2423&gt;=供应商对账单!$G$4,资金台帐!B2423&lt;=供应商对账单!$I$4),资金台帐!B2423+ROW()/100000,"")</f>
      </c>
    </row>
    <row r="3921">
      <c r="A3921">
        <f>IF(OR(出库明细!C2921="",出库明细!D2921=""),"",IF(OR(COUNTIFS(存条明细!$C$4:$C$1003,出库明细!C2921,存条明细!$D$4:$D$1003,出库明细!D2921)&gt;0,COUNTIFS(出库明细!$C$4:C2921,出库明细!C2921,出库明细!$D$4:D2921,出库明细!D2921)&gt;1),"",IFERROR(MATCH(出库明细!C2921,总览汇总!$B$5:$B$304,0),900)*10000000+IFERROR(MATCH(出库明细!D2921,基础资料!$E$5:$E$104,0),900)*10000+ROW()))</f>
      </c>
      <c r="F3921">
        <f>IF(AND(资金台帐!J924&lt;&gt;"",资金台帐!J924=客户对账单!$B$4,资金台帐!P924="应收",ISNUMBER(资金台帐!B924),资金台帐!B924&gt;=客户对账单!$G$4,资金台帐!B924&lt;=客户对账单!$I$4),资金台帐!B924+ROW()/100000,"")</f>
      </c>
      <c r="H3921">
        <f>IF(AND(资金台帐!K2424&lt;&gt;"",资金台帐!K2424=供应商对账单!$B$4,资金台帐!P2424="应付",ISNUMBER(资金台帐!B2424),资金台帐!B2424&gt;=供应商对账单!$G$4,资金台帐!B2424&lt;=供应商对账单!$I$4),资金台帐!B2424+ROW()/100000,"")</f>
      </c>
    </row>
    <row r="3922">
      <c r="A3922">
        <f>IF(OR(出库明细!C2922="",出库明细!D2922=""),"",IF(OR(COUNTIFS(存条明细!$C$4:$C$1003,出库明细!C2922,存条明细!$D$4:$D$1003,出库明细!D2922)&gt;0,COUNTIFS(出库明细!$C$4:C2922,出库明细!C2922,出库明细!$D$4:D2922,出库明细!D2922)&gt;1),"",IFERROR(MATCH(出库明细!C2922,总览汇总!$B$5:$B$304,0),900)*10000000+IFERROR(MATCH(出库明细!D2922,基础资料!$E$5:$E$104,0),900)*10000+ROW()))</f>
      </c>
      <c r="F3922">
        <f>IF(AND(资金台帐!J925&lt;&gt;"",资金台帐!J925=客户对账单!$B$4,资金台帐!P925="应收",ISNUMBER(资金台帐!B925),资金台帐!B925&gt;=客户对账单!$G$4,资金台帐!B925&lt;=客户对账单!$I$4),资金台帐!B925+ROW()/100000,"")</f>
      </c>
      <c r="H3922">
        <f>IF(AND(资金台帐!K2425&lt;&gt;"",资金台帐!K2425=供应商对账单!$B$4,资金台帐!P2425="应付",ISNUMBER(资金台帐!B2425),资金台帐!B2425&gt;=供应商对账单!$G$4,资金台帐!B2425&lt;=供应商对账单!$I$4),资金台帐!B2425+ROW()/100000,"")</f>
      </c>
    </row>
    <row r="3923">
      <c r="A3923">
        <f>IF(OR(出库明细!C2923="",出库明细!D2923=""),"",IF(OR(COUNTIFS(存条明细!$C$4:$C$1003,出库明细!C2923,存条明细!$D$4:$D$1003,出库明细!D2923)&gt;0,COUNTIFS(出库明细!$C$4:C2923,出库明细!C2923,出库明细!$D$4:D2923,出库明细!D2923)&gt;1),"",IFERROR(MATCH(出库明细!C2923,总览汇总!$B$5:$B$304,0),900)*10000000+IFERROR(MATCH(出库明细!D2923,基础资料!$E$5:$E$104,0),900)*10000+ROW()))</f>
      </c>
      <c r="F3923">
        <f>IF(AND(资金台帐!J926&lt;&gt;"",资金台帐!J926=客户对账单!$B$4,资金台帐!P926="应收",ISNUMBER(资金台帐!B926),资金台帐!B926&gt;=客户对账单!$G$4,资金台帐!B926&lt;=客户对账单!$I$4),资金台帐!B926+ROW()/100000,"")</f>
      </c>
      <c r="H3923">
        <f>IF(AND(资金台帐!K2426&lt;&gt;"",资金台帐!K2426=供应商对账单!$B$4,资金台帐!P2426="应付",ISNUMBER(资金台帐!B2426),资金台帐!B2426&gt;=供应商对账单!$G$4,资金台帐!B2426&lt;=供应商对账单!$I$4),资金台帐!B2426+ROW()/100000,"")</f>
      </c>
    </row>
    <row r="3924">
      <c r="A3924">
        <f>IF(OR(出库明细!C2924="",出库明细!D2924=""),"",IF(OR(COUNTIFS(存条明细!$C$4:$C$1003,出库明细!C2924,存条明细!$D$4:$D$1003,出库明细!D2924)&gt;0,COUNTIFS(出库明细!$C$4:C2924,出库明细!C2924,出库明细!$D$4:D2924,出库明细!D2924)&gt;1),"",IFERROR(MATCH(出库明细!C2924,总览汇总!$B$5:$B$304,0),900)*10000000+IFERROR(MATCH(出库明细!D2924,基础资料!$E$5:$E$104,0),900)*10000+ROW()))</f>
      </c>
      <c r="F3924">
        <f>IF(AND(资金台帐!J927&lt;&gt;"",资金台帐!J927=客户对账单!$B$4,资金台帐!P927="应收",ISNUMBER(资金台帐!B927),资金台帐!B927&gt;=客户对账单!$G$4,资金台帐!B927&lt;=客户对账单!$I$4),资金台帐!B927+ROW()/100000,"")</f>
      </c>
      <c r="H3924">
        <f>IF(AND(资金台帐!K2427&lt;&gt;"",资金台帐!K2427=供应商对账单!$B$4,资金台帐!P2427="应付",ISNUMBER(资金台帐!B2427),资金台帐!B2427&gt;=供应商对账单!$G$4,资金台帐!B2427&lt;=供应商对账单!$I$4),资金台帐!B2427+ROW()/100000,"")</f>
      </c>
    </row>
    <row r="3925">
      <c r="A3925">
        <f>IF(OR(出库明细!C2925="",出库明细!D2925=""),"",IF(OR(COUNTIFS(存条明细!$C$4:$C$1003,出库明细!C2925,存条明细!$D$4:$D$1003,出库明细!D2925)&gt;0,COUNTIFS(出库明细!$C$4:C2925,出库明细!C2925,出库明细!$D$4:D2925,出库明细!D2925)&gt;1),"",IFERROR(MATCH(出库明细!C2925,总览汇总!$B$5:$B$304,0),900)*10000000+IFERROR(MATCH(出库明细!D2925,基础资料!$E$5:$E$104,0),900)*10000+ROW()))</f>
      </c>
      <c r="F3925">
        <f>IF(AND(资金台帐!J928&lt;&gt;"",资金台帐!J928=客户对账单!$B$4,资金台帐!P928="应收",ISNUMBER(资金台帐!B928),资金台帐!B928&gt;=客户对账单!$G$4,资金台帐!B928&lt;=客户对账单!$I$4),资金台帐!B928+ROW()/100000,"")</f>
      </c>
      <c r="H3925">
        <f>IF(AND(资金台帐!K2428&lt;&gt;"",资金台帐!K2428=供应商对账单!$B$4,资金台帐!P2428="应付",ISNUMBER(资金台帐!B2428),资金台帐!B2428&gt;=供应商对账单!$G$4,资金台帐!B2428&lt;=供应商对账单!$I$4),资金台帐!B2428+ROW()/100000,"")</f>
      </c>
    </row>
    <row r="3926">
      <c r="A3926">
        <f>IF(OR(出库明细!C2926="",出库明细!D2926=""),"",IF(OR(COUNTIFS(存条明细!$C$4:$C$1003,出库明细!C2926,存条明细!$D$4:$D$1003,出库明细!D2926)&gt;0,COUNTIFS(出库明细!$C$4:C2926,出库明细!C2926,出库明细!$D$4:D2926,出库明细!D2926)&gt;1),"",IFERROR(MATCH(出库明细!C2926,总览汇总!$B$5:$B$304,0),900)*10000000+IFERROR(MATCH(出库明细!D2926,基础资料!$E$5:$E$104,0),900)*10000+ROW()))</f>
      </c>
      <c r="F3926">
        <f>IF(AND(资金台帐!J929&lt;&gt;"",资金台帐!J929=客户对账单!$B$4,资金台帐!P929="应收",ISNUMBER(资金台帐!B929),资金台帐!B929&gt;=客户对账单!$G$4,资金台帐!B929&lt;=客户对账单!$I$4),资金台帐!B929+ROW()/100000,"")</f>
      </c>
      <c r="H3926">
        <f>IF(AND(资金台帐!K2429&lt;&gt;"",资金台帐!K2429=供应商对账单!$B$4,资金台帐!P2429="应付",ISNUMBER(资金台帐!B2429),资金台帐!B2429&gt;=供应商对账单!$G$4,资金台帐!B2429&lt;=供应商对账单!$I$4),资金台帐!B2429+ROW()/100000,"")</f>
      </c>
    </row>
    <row r="3927">
      <c r="A3927">
        <f>IF(OR(出库明细!C2927="",出库明细!D2927=""),"",IF(OR(COUNTIFS(存条明细!$C$4:$C$1003,出库明细!C2927,存条明细!$D$4:$D$1003,出库明细!D2927)&gt;0,COUNTIFS(出库明细!$C$4:C2927,出库明细!C2927,出库明细!$D$4:D2927,出库明细!D2927)&gt;1),"",IFERROR(MATCH(出库明细!C2927,总览汇总!$B$5:$B$304,0),900)*10000000+IFERROR(MATCH(出库明细!D2927,基础资料!$E$5:$E$104,0),900)*10000+ROW()))</f>
      </c>
      <c r="F3927">
        <f>IF(AND(资金台帐!J930&lt;&gt;"",资金台帐!J930=客户对账单!$B$4,资金台帐!P930="应收",ISNUMBER(资金台帐!B930),资金台帐!B930&gt;=客户对账单!$G$4,资金台帐!B930&lt;=客户对账单!$I$4),资金台帐!B930+ROW()/100000,"")</f>
      </c>
      <c r="H3927">
        <f>IF(AND(资金台帐!K2430&lt;&gt;"",资金台帐!K2430=供应商对账单!$B$4,资金台帐!P2430="应付",ISNUMBER(资金台帐!B2430),资金台帐!B2430&gt;=供应商对账单!$G$4,资金台帐!B2430&lt;=供应商对账单!$I$4),资金台帐!B2430+ROW()/100000,"")</f>
      </c>
    </row>
    <row r="3928">
      <c r="A3928">
        <f>IF(OR(出库明细!C2928="",出库明细!D2928=""),"",IF(OR(COUNTIFS(存条明细!$C$4:$C$1003,出库明细!C2928,存条明细!$D$4:$D$1003,出库明细!D2928)&gt;0,COUNTIFS(出库明细!$C$4:C2928,出库明细!C2928,出库明细!$D$4:D2928,出库明细!D2928)&gt;1),"",IFERROR(MATCH(出库明细!C2928,总览汇总!$B$5:$B$304,0),900)*10000000+IFERROR(MATCH(出库明细!D2928,基础资料!$E$5:$E$104,0),900)*10000+ROW()))</f>
      </c>
      <c r="F3928">
        <f>IF(AND(资金台帐!J931&lt;&gt;"",资金台帐!J931=客户对账单!$B$4,资金台帐!P931="应收",ISNUMBER(资金台帐!B931),资金台帐!B931&gt;=客户对账单!$G$4,资金台帐!B931&lt;=客户对账单!$I$4),资金台帐!B931+ROW()/100000,"")</f>
      </c>
      <c r="H3928">
        <f>IF(AND(资金台帐!K2431&lt;&gt;"",资金台帐!K2431=供应商对账单!$B$4,资金台帐!P2431="应付",ISNUMBER(资金台帐!B2431),资金台帐!B2431&gt;=供应商对账单!$G$4,资金台帐!B2431&lt;=供应商对账单!$I$4),资金台帐!B2431+ROW()/100000,"")</f>
      </c>
    </row>
    <row r="3929">
      <c r="A3929">
        <f>IF(OR(出库明细!C2929="",出库明细!D2929=""),"",IF(OR(COUNTIFS(存条明细!$C$4:$C$1003,出库明细!C2929,存条明细!$D$4:$D$1003,出库明细!D2929)&gt;0,COUNTIFS(出库明细!$C$4:C2929,出库明细!C2929,出库明细!$D$4:D2929,出库明细!D2929)&gt;1),"",IFERROR(MATCH(出库明细!C2929,总览汇总!$B$5:$B$304,0),900)*10000000+IFERROR(MATCH(出库明细!D2929,基础资料!$E$5:$E$104,0),900)*10000+ROW()))</f>
      </c>
      <c r="F3929">
        <f>IF(AND(资金台帐!J932&lt;&gt;"",资金台帐!J932=客户对账单!$B$4,资金台帐!P932="应收",ISNUMBER(资金台帐!B932),资金台帐!B932&gt;=客户对账单!$G$4,资金台帐!B932&lt;=客户对账单!$I$4),资金台帐!B932+ROW()/100000,"")</f>
      </c>
      <c r="H3929">
        <f>IF(AND(资金台帐!K2432&lt;&gt;"",资金台帐!K2432=供应商对账单!$B$4,资金台帐!P2432="应付",ISNUMBER(资金台帐!B2432),资金台帐!B2432&gt;=供应商对账单!$G$4,资金台帐!B2432&lt;=供应商对账单!$I$4),资金台帐!B2432+ROW()/100000,"")</f>
      </c>
    </row>
    <row r="3930">
      <c r="A3930">
        <f>IF(OR(出库明细!C2930="",出库明细!D2930=""),"",IF(OR(COUNTIFS(存条明细!$C$4:$C$1003,出库明细!C2930,存条明细!$D$4:$D$1003,出库明细!D2930)&gt;0,COUNTIFS(出库明细!$C$4:C2930,出库明细!C2930,出库明细!$D$4:D2930,出库明细!D2930)&gt;1),"",IFERROR(MATCH(出库明细!C2930,总览汇总!$B$5:$B$304,0),900)*10000000+IFERROR(MATCH(出库明细!D2930,基础资料!$E$5:$E$104,0),900)*10000+ROW()))</f>
      </c>
      <c r="F3930">
        <f>IF(AND(资金台帐!J933&lt;&gt;"",资金台帐!J933=客户对账单!$B$4,资金台帐!P933="应收",ISNUMBER(资金台帐!B933),资金台帐!B933&gt;=客户对账单!$G$4,资金台帐!B933&lt;=客户对账单!$I$4),资金台帐!B933+ROW()/100000,"")</f>
      </c>
      <c r="H3930">
        <f>IF(AND(资金台帐!K2433&lt;&gt;"",资金台帐!K2433=供应商对账单!$B$4,资金台帐!P2433="应付",ISNUMBER(资金台帐!B2433),资金台帐!B2433&gt;=供应商对账单!$G$4,资金台帐!B2433&lt;=供应商对账单!$I$4),资金台帐!B2433+ROW()/100000,"")</f>
      </c>
    </row>
    <row r="3931">
      <c r="A3931">
        <f>IF(OR(出库明细!C2931="",出库明细!D2931=""),"",IF(OR(COUNTIFS(存条明细!$C$4:$C$1003,出库明细!C2931,存条明细!$D$4:$D$1003,出库明细!D2931)&gt;0,COUNTIFS(出库明细!$C$4:C2931,出库明细!C2931,出库明细!$D$4:D2931,出库明细!D2931)&gt;1),"",IFERROR(MATCH(出库明细!C2931,总览汇总!$B$5:$B$304,0),900)*10000000+IFERROR(MATCH(出库明细!D2931,基础资料!$E$5:$E$104,0),900)*10000+ROW()))</f>
      </c>
      <c r="F3931">
        <f>IF(AND(资金台帐!J934&lt;&gt;"",资金台帐!J934=客户对账单!$B$4,资金台帐!P934="应收",ISNUMBER(资金台帐!B934),资金台帐!B934&gt;=客户对账单!$G$4,资金台帐!B934&lt;=客户对账单!$I$4),资金台帐!B934+ROW()/100000,"")</f>
      </c>
      <c r="H3931">
        <f>IF(AND(资金台帐!K2434&lt;&gt;"",资金台帐!K2434=供应商对账单!$B$4,资金台帐!P2434="应付",ISNUMBER(资金台帐!B2434),资金台帐!B2434&gt;=供应商对账单!$G$4,资金台帐!B2434&lt;=供应商对账单!$I$4),资金台帐!B2434+ROW()/100000,"")</f>
      </c>
    </row>
    <row r="3932">
      <c r="A3932">
        <f>IF(OR(出库明细!C2932="",出库明细!D2932=""),"",IF(OR(COUNTIFS(存条明细!$C$4:$C$1003,出库明细!C2932,存条明细!$D$4:$D$1003,出库明细!D2932)&gt;0,COUNTIFS(出库明细!$C$4:C2932,出库明细!C2932,出库明细!$D$4:D2932,出库明细!D2932)&gt;1),"",IFERROR(MATCH(出库明细!C2932,总览汇总!$B$5:$B$304,0),900)*10000000+IFERROR(MATCH(出库明细!D2932,基础资料!$E$5:$E$104,0),900)*10000+ROW()))</f>
      </c>
      <c r="F3932">
        <f>IF(AND(资金台帐!J935&lt;&gt;"",资金台帐!J935=客户对账单!$B$4,资金台帐!P935="应收",ISNUMBER(资金台帐!B935),资金台帐!B935&gt;=客户对账单!$G$4,资金台帐!B935&lt;=客户对账单!$I$4),资金台帐!B935+ROW()/100000,"")</f>
      </c>
      <c r="H3932">
        <f>IF(AND(资金台帐!K2435&lt;&gt;"",资金台帐!K2435=供应商对账单!$B$4,资金台帐!P2435="应付",ISNUMBER(资金台帐!B2435),资金台帐!B2435&gt;=供应商对账单!$G$4,资金台帐!B2435&lt;=供应商对账单!$I$4),资金台帐!B2435+ROW()/100000,"")</f>
      </c>
    </row>
    <row r="3933">
      <c r="A3933">
        <f>IF(OR(出库明细!C2933="",出库明细!D2933=""),"",IF(OR(COUNTIFS(存条明细!$C$4:$C$1003,出库明细!C2933,存条明细!$D$4:$D$1003,出库明细!D2933)&gt;0,COUNTIFS(出库明细!$C$4:C2933,出库明细!C2933,出库明细!$D$4:D2933,出库明细!D2933)&gt;1),"",IFERROR(MATCH(出库明细!C2933,总览汇总!$B$5:$B$304,0),900)*10000000+IFERROR(MATCH(出库明细!D2933,基础资料!$E$5:$E$104,0),900)*10000+ROW()))</f>
      </c>
      <c r="F3933">
        <f>IF(AND(资金台帐!J936&lt;&gt;"",资金台帐!J936=客户对账单!$B$4,资金台帐!P936="应收",ISNUMBER(资金台帐!B936),资金台帐!B936&gt;=客户对账单!$G$4,资金台帐!B936&lt;=客户对账单!$I$4),资金台帐!B936+ROW()/100000,"")</f>
      </c>
      <c r="H3933">
        <f>IF(AND(资金台帐!K2436&lt;&gt;"",资金台帐!K2436=供应商对账单!$B$4,资金台帐!P2436="应付",ISNUMBER(资金台帐!B2436),资金台帐!B2436&gt;=供应商对账单!$G$4,资金台帐!B2436&lt;=供应商对账单!$I$4),资金台帐!B2436+ROW()/100000,"")</f>
      </c>
    </row>
    <row r="3934">
      <c r="A3934">
        <f>IF(OR(出库明细!C2934="",出库明细!D2934=""),"",IF(OR(COUNTIFS(存条明细!$C$4:$C$1003,出库明细!C2934,存条明细!$D$4:$D$1003,出库明细!D2934)&gt;0,COUNTIFS(出库明细!$C$4:C2934,出库明细!C2934,出库明细!$D$4:D2934,出库明细!D2934)&gt;1),"",IFERROR(MATCH(出库明细!C2934,总览汇总!$B$5:$B$304,0),900)*10000000+IFERROR(MATCH(出库明细!D2934,基础资料!$E$5:$E$104,0),900)*10000+ROW()))</f>
      </c>
      <c r="F3934">
        <f>IF(AND(资金台帐!J937&lt;&gt;"",资金台帐!J937=客户对账单!$B$4,资金台帐!P937="应收",ISNUMBER(资金台帐!B937),资金台帐!B937&gt;=客户对账单!$G$4,资金台帐!B937&lt;=客户对账单!$I$4),资金台帐!B937+ROW()/100000,"")</f>
      </c>
      <c r="H3934">
        <f>IF(AND(资金台帐!K2437&lt;&gt;"",资金台帐!K2437=供应商对账单!$B$4,资金台帐!P2437="应付",ISNUMBER(资金台帐!B2437),资金台帐!B2437&gt;=供应商对账单!$G$4,资金台帐!B2437&lt;=供应商对账单!$I$4),资金台帐!B2437+ROW()/100000,"")</f>
      </c>
    </row>
    <row r="3935">
      <c r="A3935">
        <f>IF(OR(出库明细!C2935="",出库明细!D2935=""),"",IF(OR(COUNTIFS(存条明细!$C$4:$C$1003,出库明细!C2935,存条明细!$D$4:$D$1003,出库明细!D2935)&gt;0,COUNTIFS(出库明细!$C$4:C2935,出库明细!C2935,出库明细!$D$4:D2935,出库明细!D2935)&gt;1),"",IFERROR(MATCH(出库明细!C2935,总览汇总!$B$5:$B$304,0),900)*10000000+IFERROR(MATCH(出库明细!D2935,基础资料!$E$5:$E$104,0),900)*10000+ROW()))</f>
      </c>
      <c r="F3935">
        <f>IF(AND(资金台帐!J938&lt;&gt;"",资金台帐!J938=客户对账单!$B$4,资金台帐!P938="应收",ISNUMBER(资金台帐!B938),资金台帐!B938&gt;=客户对账单!$G$4,资金台帐!B938&lt;=客户对账单!$I$4),资金台帐!B938+ROW()/100000,"")</f>
      </c>
      <c r="H3935">
        <f>IF(AND(资金台帐!K2438&lt;&gt;"",资金台帐!K2438=供应商对账单!$B$4,资金台帐!P2438="应付",ISNUMBER(资金台帐!B2438),资金台帐!B2438&gt;=供应商对账单!$G$4,资金台帐!B2438&lt;=供应商对账单!$I$4),资金台帐!B2438+ROW()/100000,"")</f>
      </c>
    </row>
    <row r="3936">
      <c r="A3936">
        <f>IF(OR(出库明细!C2936="",出库明细!D2936=""),"",IF(OR(COUNTIFS(存条明细!$C$4:$C$1003,出库明细!C2936,存条明细!$D$4:$D$1003,出库明细!D2936)&gt;0,COUNTIFS(出库明细!$C$4:C2936,出库明细!C2936,出库明细!$D$4:D2936,出库明细!D2936)&gt;1),"",IFERROR(MATCH(出库明细!C2936,总览汇总!$B$5:$B$304,0),900)*10000000+IFERROR(MATCH(出库明细!D2936,基础资料!$E$5:$E$104,0),900)*10000+ROW()))</f>
      </c>
      <c r="F3936">
        <f>IF(AND(资金台帐!J939&lt;&gt;"",资金台帐!J939=客户对账单!$B$4,资金台帐!P939="应收",ISNUMBER(资金台帐!B939),资金台帐!B939&gt;=客户对账单!$G$4,资金台帐!B939&lt;=客户对账单!$I$4),资金台帐!B939+ROW()/100000,"")</f>
      </c>
      <c r="H3936">
        <f>IF(AND(资金台帐!K2439&lt;&gt;"",资金台帐!K2439=供应商对账单!$B$4,资金台帐!P2439="应付",ISNUMBER(资金台帐!B2439),资金台帐!B2439&gt;=供应商对账单!$G$4,资金台帐!B2439&lt;=供应商对账单!$I$4),资金台帐!B2439+ROW()/100000,"")</f>
      </c>
    </row>
    <row r="3937">
      <c r="A3937">
        <f>IF(OR(出库明细!C2937="",出库明细!D2937=""),"",IF(OR(COUNTIFS(存条明细!$C$4:$C$1003,出库明细!C2937,存条明细!$D$4:$D$1003,出库明细!D2937)&gt;0,COUNTIFS(出库明细!$C$4:C2937,出库明细!C2937,出库明细!$D$4:D2937,出库明细!D2937)&gt;1),"",IFERROR(MATCH(出库明细!C2937,总览汇总!$B$5:$B$304,0),900)*10000000+IFERROR(MATCH(出库明细!D2937,基础资料!$E$5:$E$104,0),900)*10000+ROW()))</f>
      </c>
      <c r="F3937">
        <f>IF(AND(资金台帐!J940&lt;&gt;"",资金台帐!J940=客户对账单!$B$4,资金台帐!P940="应收",ISNUMBER(资金台帐!B940),资金台帐!B940&gt;=客户对账单!$G$4,资金台帐!B940&lt;=客户对账单!$I$4),资金台帐!B940+ROW()/100000,"")</f>
      </c>
      <c r="H3937">
        <f>IF(AND(资金台帐!K2440&lt;&gt;"",资金台帐!K2440=供应商对账单!$B$4,资金台帐!P2440="应付",ISNUMBER(资金台帐!B2440),资金台帐!B2440&gt;=供应商对账单!$G$4,资金台帐!B2440&lt;=供应商对账单!$I$4),资金台帐!B2440+ROW()/100000,"")</f>
      </c>
    </row>
    <row r="3938">
      <c r="A3938">
        <f>IF(OR(出库明细!C2938="",出库明细!D2938=""),"",IF(OR(COUNTIFS(存条明细!$C$4:$C$1003,出库明细!C2938,存条明细!$D$4:$D$1003,出库明细!D2938)&gt;0,COUNTIFS(出库明细!$C$4:C2938,出库明细!C2938,出库明细!$D$4:D2938,出库明细!D2938)&gt;1),"",IFERROR(MATCH(出库明细!C2938,总览汇总!$B$5:$B$304,0),900)*10000000+IFERROR(MATCH(出库明细!D2938,基础资料!$E$5:$E$104,0),900)*10000+ROW()))</f>
      </c>
      <c r="F3938">
        <f>IF(AND(资金台帐!J941&lt;&gt;"",资金台帐!J941=客户对账单!$B$4,资金台帐!P941="应收",ISNUMBER(资金台帐!B941),资金台帐!B941&gt;=客户对账单!$G$4,资金台帐!B941&lt;=客户对账单!$I$4),资金台帐!B941+ROW()/100000,"")</f>
      </c>
      <c r="H3938">
        <f>IF(AND(资金台帐!K2441&lt;&gt;"",资金台帐!K2441=供应商对账单!$B$4,资金台帐!P2441="应付",ISNUMBER(资金台帐!B2441),资金台帐!B2441&gt;=供应商对账单!$G$4,资金台帐!B2441&lt;=供应商对账单!$I$4),资金台帐!B2441+ROW()/100000,"")</f>
      </c>
    </row>
    <row r="3939">
      <c r="A3939">
        <f>IF(OR(出库明细!C2939="",出库明细!D2939=""),"",IF(OR(COUNTIFS(存条明细!$C$4:$C$1003,出库明细!C2939,存条明细!$D$4:$D$1003,出库明细!D2939)&gt;0,COUNTIFS(出库明细!$C$4:C2939,出库明细!C2939,出库明细!$D$4:D2939,出库明细!D2939)&gt;1),"",IFERROR(MATCH(出库明细!C2939,总览汇总!$B$5:$B$304,0),900)*10000000+IFERROR(MATCH(出库明细!D2939,基础资料!$E$5:$E$104,0),900)*10000+ROW()))</f>
      </c>
      <c r="F3939">
        <f>IF(AND(资金台帐!J942&lt;&gt;"",资金台帐!J942=客户对账单!$B$4,资金台帐!P942="应收",ISNUMBER(资金台帐!B942),资金台帐!B942&gt;=客户对账单!$G$4,资金台帐!B942&lt;=客户对账单!$I$4),资金台帐!B942+ROW()/100000,"")</f>
      </c>
      <c r="H3939">
        <f>IF(AND(资金台帐!K2442&lt;&gt;"",资金台帐!K2442=供应商对账单!$B$4,资金台帐!P2442="应付",ISNUMBER(资金台帐!B2442),资金台帐!B2442&gt;=供应商对账单!$G$4,资金台帐!B2442&lt;=供应商对账单!$I$4),资金台帐!B2442+ROW()/100000,"")</f>
      </c>
    </row>
    <row r="3940">
      <c r="A3940">
        <f>IF(OR(出库明细!C2940="",出库明细!D2940=""),"",IF(OR(COUNTIFS(存条明细!$C$4:$C$1003,出库明细!C2940,存条明细!$D$4:$D$1003,出库明细!D2940)&gt;0,COUNTIFS(出库明细!$C$4:C2940,出库明细!C2940,出库明细!$D$4:D2940,出库明细!D2940)&gt;1),"",IFERROR(MATCH(出库明细!C2940,总览汇总!$B$5:$B$304,0),900)*10000000+IFERROR(MATCH(出库明细!D2940,基础资料!$E$5:$E$104,0),900)*10000+ROW()))</f>
      </c>
      <c r="F3940">
        <f>IF(AND(资金台帐!J943&lt;&gt;"",资金台帐!J943=客户对账单!$B$4,资金台帐!P943="应收",ISNUMBER(资金台帐!B943),资金台帐!B943&gt;=客户对账单!$G$4,资金台帐!B943&lt;=客户对账单!$I$4),资金台帐!B943+ROW()/100000,"")</f>
      </c>
      <c r="H3940">
        <f>IF(AND(资金台帐!K2443&lt;&gt;"",资金台帐!K2443=供应商对账单!$B$4,资金台帐!P2443="应付",ISNUMBER(资金台帐!B2443),资金台帐!B2443&gt;=供应商对账单!$G$4,资金台帐!B2443&lt;=供应商对账单!$I$4),资金台帐!B2443+ROW()/100000,"")</f>
      </c>
    </row>
    <row r="3941">
      <c r="A3941">
        <f>IF(OR(出库明细!C2941="",出库明细!D2941=""),"",IF(OR(COUNTIFS(存条明细!$C$4:$C$1003,出库明细!C2941,存条明细!$D$4:$D$1003,出库明细!D2941)&gt;0,COUNTIFS(出库明细!$C$4:C2941,出库明细!C2941,出库明细!$D$4:D2941,出库明细!D2941)&gt;1),"",IFERROR(MATCH(出库明细!C2941,总览汇总!$B$5:$B$304,0),900)*10000000+IFERROR(MATCH(出库明细!D2941,基础资料!$E$5:$E$104,0),900)*10000+ROW()))</f>
      </c>
      <c r="F3941">
        <f>IF(AND(资金台帐!J944&lt;&gt;"",资金台帐!J944=客户对账单!$B$4,资金台帐!P944="应收",ISNUMBER(资金台帐!B944),资金台帐!B944&gt;=客户对账单!$G$4,资金台帐!B944&lt;=客户对账单!$I$4),资金台帐!B944+ROW()/100000,"")</f>
      </c>
      <c r="H3941">
        <f>IF(AND(资金台帐!K2444&lt;&gt;"",资金台帐!K2444=供应商对账单!$B$4,资金台帐!P2444="应付",ISNUMBER(资金台帐!B2444),资金台帐!B2444&gt;=供应商对账单!$G$4,资金台帐!B2444&lt;=供应商对账单!$I$4),资金台帐!B2444+ROW()/100000,"")</f>
      </c>
    </row>
    <row r="3942">
      <c r="A3942">
        <f>IF(OR(出库明细!C2942="",出库明细!D2942=""),"",IF(OR(COUNTIFS(存条明细!$C$4:$C$1003,出库明细!C2942,存条明细!$D$4:$D$1003,出库明细!D2942)&gt;0,COUNTIFS(出库明细!$C$4:C2942,出库明细!C2942,出库明细!$D$4:D2942,出库明细!D2942)&gt;1),"",IFERROR(MATCH(出库明细!C2942,总览汇总!$B$5:$B$304,0),900)*10000000+IFERROR(MATCH(出库明细!D2942,基础资料!$E$5:$E$104,0),900)*10000+ROW()))</f>
      </c>
      <c r="F3942">
        <f>IF(AND(资金台帐!J945&lt;&gt;"",资金台帐!J945=客户对账单!$B$4,资金台帐!P945="应收",ISNUMBER(资金台帐!B945),资金台帐!B945&gt;=客户对账单!$G$4,资金台帐!B945&lt;=客户对账单!$I$4),资金台帐!B945+ROW()/100000,"")</f>
      </c>
      <c r="H3942">
        <f>IF(AND(资金台帐!K2445&lt;&gt;"",资金台帐!K2445=供应商对账单!$B$4,资金台帐!P2445="应付",ISNUMBER(资金台帐!B2445),资金台帐!B2445&gt;=供应商对账单!$G$4,资金台帐!B2445&lt;=供应商对账单!$I$4),资金台帐!B2445+ROW()/100000,"")</f>
      </c>
    </row>
    <row r="3943">
      <c r="A3943">
        <f>IF(OR(出库明细!C2943="",出库明细!D2943=""),"",IF(OR(COUNTIFS(存条明细!$C$4:$C$1003,出库明细!C2943,存条明细!$D$4:$D$1003,出库明细!D2943)&gt;0,COUNTIFS(出库明细!$C$4:C2943,出库明细!C2943,出库明细!$D$4:D2943,出库明细!D2943)&gt;1),"",IFERROR(MATCH(出库明细!C2943,总览汇总!$B$5:$B$304,0),900)*10000000+IFERROR(MATCH(出库明细!D2943,基础资料!$E$5:$E$104,0),900)*10000+ROW()))</f>
      </c>
      <c r="F3943">
        <f>IF(AND(资金台帐!J946&lt;&gt;"",资金台帐!J946=客户对账单!$B$4,资金台帐!P946="应收",ISNUMBER(资金台帐!B946),资金台帐!B946&gt;=客户对账单!$G$4,资金台帐!B946&lt;=客户对账单!$I$4),资金台帐!B946+ROW()/100000,"")</f>
      </c>
      <c r="H3943">
        <f>IF(AND(资金台帐!K2446&lt;&gt;"",资金台帐!K2446=供应商对账单!$B$4,资金台帐!P2446="应付",ISNUMBER(资金台帐!B2446),资金台帐!B2446&gt;=供应商对账单!$G$4,资金台帐!B2446&lt;=供应商对账单!$I$4),资金台帐!B2446+ROW()/100000,"")</f>
      </c>
    </row>
    <row r="3944">
      <c r="A3944">
        <f>IF(OR(出库明细!C2944="",出库明细!D2944=""),"",IF(OR(COUNTIFS(存条明细!$C$4:$C$1003,出库明细!C2944,存条明细!$D$4:$D$1003,出库明细!D2944)&gt;0,COUNTIFS(出库明细!$C$4:C2944,出库明细!C2944,出库明细!$D$4:D2944,出库明细!D2944)&gt;1),"",IFERROR(MATCH(出库明细!C2944,总览汇总!$B$5:$B$304,0),900)*10000000+IFERROR(MATCH(出库明细!D2944,基础资料!$E$5:$E$104,0),900)*10000+ROW()))</f>
      </c>
      <c r="F3944">
        <f>IF(AND(资金台帐!J947&lt;&gt;"",资金台帐!J947=客户对账单!$B$4,资金台帐!P947="应收",ISNUMBER(资金台帐!B947),资金台帐!B947&gt;=客户对账单!$G$4,资金台帐!B947&lt;=客户对账单!$I$4),资金台帐!B947+ROW()/100000,"")</f>
      </c>
      <c r="H3944">
        <f>IF(AND(资金台帐!K2447&lt;&gt;"",资金台帐!K2447=供应商对账单!$B$4,资金台帐!P2447="应付",ISNUMBER(资金台帐!B2447),资金台帐!B2447&gt;=供应商对账单!$G$4,资金台帐!B2447&lt;=供应商对账单!$I$4),资金台帐!B2447+ROW()/100000,"")</f>
      </c>
    </row>
    <row r="3945">
      <c r="A3945">
        <f>IF(OR(出库明细!C2945="",出库明细!D2945=""),"",IF(OR(COUNTIFS(存条明细!$C$4:$C$1003,出库明细!C2945,存条明细!$D$4:$D$1003,出库明细!D2945)&gt;0,COUNTIFS(出库明细!$C$4:C2945,出库明细!C2945,出库明细!$D$4:D2945,出库明细!D2945)&gt;1),"",IFERROR(MATCH(出库明细!C2945,总览汇总!$B$5:$B$304,0),900)*10000000+IFERROR(MATCH(出库明细!D2945,基础资料!$E$5:$E$104,0),900)*10000+ROW()))</f>
      </c>
      <c r="F3945">
        <f>IF(AND(资金台帐!J948&lt;&gt;"",资金台帐!J948=客户对账单!$B$4,资金台帐!P948="应收",ISNUMBER(资金台帐!B948),资金台帐!B948&gt;=客户对账单!$G$4,资金台帐!B948&lt;=客户对账单!$I$4),资金台帐!B948+ROW()/100000,"")</f>
      </c>
      <c r="H3945">
        <f>IF(AND(资金台帐!K2448&lt;&gt;"",资金台帐!K2448=供应商对账单!$B$4,资金台帐!P2448="应付",ISNUMBER(资金台帐!B2448),资金台帐!B2448&gt;=供应商对账单!$G$4,资金台帐!B2448&lt;=供应商对账单!$I$4),资金台帐!B2448+ROW()/100000,"")</f>
      </c>
    </row>
    <row r="3946">
      <c r="A3946">
        <f>IF(OR(出库明细!C2946="",出库明细!D2946=""),"",IF(OR(COUNTIFS(存条明细!$C$4:$C$1003,出库明细!C2946,存条明细!$D$4:$D$1003,出库明细!D2946)&gt;0,COUNTIFS(出库明细!$C$4:C2946,出库明细!C2946,出库明细!$D$4:D2946,出库明细!D2946)&gt;1),"",IFERROR(MATCH(出库明细!C2946,总览汇总!$B$5:$B$304,0),900)*10000000+IFERROR(MATCH(出库明细!D2946,基础资料!$E$5:$E$104,0),900)*10000+ROW()))</f>
      </c>
      <c r="F3946">
        <f>IF(AND(资金台帐!J949&lt;&gt;"",资金台帐!J949=客户对账单!$B$4,资金台帐!P949="应收",ISNUMBER(资金台帐!B949),资金台帐!B949&gt;=客户对账单!$G$4,资金台帐!B949&lt;=客户对账单!$I$4),资金台帐!B949+ROW()/100000,"")</f>
      </c>
      <c r="H3946">
        <f>IF(AND(资金台帐!K2449&lt;&gt;"",资金台帐!K2449=供应商对账单!$B$4,资金台帐!P2449="应付",ISNUMBER(资金台帐!B2449),资金台帐!B2449&gt;=供应商对账单!$G$4,资金台帐!B2449&lt;=供应商对账单!$I$4),资金台帐!B2449+ROW()/100000,"")</f>
      </c>
    </row>
    <row r="3947">
      <c r="A3947">
        <f>IF(OR(出库明细!C2947="",出库明细!D2947=""),"",IF(OR(COUNTIFS(存条明细!$C$4:$C$1003,出库明细!C2947,存条明细!$D$4:$D$1003,出库明细!D2947)&gt;0,COUNTIFS(出库明细!$C$4:C2947,出库明细!C2947,出库明细!$D$4:D2947,出库明细!D2947)&gt;1),"",IFERROR(MATCH(出库明细!C2947,总览汇总!$B$5:$B$304,0),900)*10000000+IFERROR(MATCH(出库明细!D2947,基础资料!$E$5:$E$104,0),900)*10000+ROW()))</f>
      </c>
      <c r="F3947">
        <f>IF(AND(资金台帐!J950&lt;&gt;"",资金台帐!J950=客户对账单!$B$4,资金台帐!P950="应收",ISNUMBER(资金台帐!B950),资金台帐!B950&gt;=客户对账单!$G$4,资金台帐!B950&lt;=客户对账单!$I$4),资金台帐!B950+ROW()/100000,"")</f>
      </c>
      <c r="H3947">
        <f>IF(AND(资金台帐!K2450&lt;&gt;"",资金台帐!K2450=供应商对账单!$B$4,资金台帐!P2450="应付",ISNUMBER(资金台帐!B2450),资金台帐!B2450&gt;=供应商对账单!$G$4,资金台帐!B2450&lt;=供应商对账单!$I$4),资金台帐!B2450+ROW()/100000,"")</f>
      </c>
    </row>
    <row r="3948">
      <c r="A3948">
        <f>IF(OR(出库明细!C2948="",出库明细!D2948=""),"",IF(OR(COUNTIFS(存条明细!$C$4:$C$1003,出库明细!C2948,存条明细!$D$4:$D$1003,出库明细!D2948)&gt;0,COUNTIFS(出库明细!$C$4:C2948,出库明细!C2948,出库明细!$D$4:D2948,出库明细!D2948)&gt;1),"",IFERROR(MATCH(出库明细!C2948,总览汇总!$B$5:$B$304,0),900)*10000000+IFERROR(MATCH(出库明细!D2948,基础资料!$E$5:$E$104,0),900)*10000+ROW()))</f>
      </c>
      <c r="F3948">
        <f>IF(AND(资金台帐!J951&lt;&gt;"",资金台帐!J951=客户对账单!$B$4,资金台帐!P951="应收",ISNUMBER(资金台帐!B951),资金台帐!B951&gt;=客户对账单!$G$4,资金台帐!B951&lt;=客户对账单!$I$4),资金台帐!B951+ROW()/100000,"")</f>
      </c>
      <c r="H3948">
        <f>IF(AND(资金台帐!K2451&lt;&gt;"",资金台帐!K2451=供应商对账单!$B$4,资金台帐!P2451="应付",ISNUMBER(资金台帐!B2451),资金台帐!B2451&gt;=供应商对账单!$G$4,资金台帐!B2451&lt;=供应商对账单!$I$4),资金台帐!B2451+ROW()/100000,"")</f>
      </c>
    </row>
    <row r="3949">
      <c r="A3949">
        <f>IF(OR(出库明细!C2949="",出库明细!D2949=""),"",IF(OR(COUNTIFS(存条明细!$C$4:$C$1003,出库明细!C2949,存条明细!$D$4:$D$1003,出库明细!D2949)&gt;0,COUNTIFS(出库明细!$C$4:C2949,出库明细!C2949,出库明细!$D$4:D2949,出库明细!D2949)&gt;1),"",IFERROR(MATCH(出库明细!C2949,总览汇总!$B$5:$B$304,0),900)*10000000+IFERROR(MATCH(出库明细!D2949,基础资料!$E$5:$E$104,0),900)*10000+ROW()))</f>
      </c>
      <c r="F3949">
        <f>IF(AND(资金台帐!J952&lt;&gt;"",资金台帐!J952=客户对账单!$B$4,资金台帐!P952="应收",ISNUMBER(资金台帐!B952),资金台帐!B952&gt;=客户对账单!$G$4,资金台帐!B952&lt;=客户对账单!$I$4),资金台帐!B952+ROW()/100000,"")</f>
      </c>
      <c r="H3949">
        <f>IF(AND(资金台帐!K2452&lt;&gt;"",资金台帐!K2452=供应商对账单!$B$4,资金台帐!P2452="应付",ISNUMBER(资金台帐!B2452),资金台帐!B2452&gt;=供应商对账单!$G$4,资金台帐!B2452&lt;=供应商对账单!$I$4),资金台帐!B2452+ROW()/100000,"")</f>
      </c>
    </row>
    <row r="3950">
      <c r="A3950">
        <f>IF(OR(出库明细!C2950="",出库明细!D2950=""),"",IF(OR(COUNTIFS(存条明细!$C$4:$C$1003,出库明细!C2950,存条明细!$D$4:$D$1003,出库明细!D2950)&gt;0,COUNTIFS(出库明细!$C$4:C2950,出库明细!C2950,出库明细!$D$4:D2950,出库明细!D2950)&gt;1),"",IFERROR(MATCH(出库明细!C2950,总览汇总!$B$5:$B$304,0),900)*10000000+IFERROR(MATCH(出库明细!D2950,基础资料!$E$5:$E$104,0),900)*10000+ROW()))</f>
      </c>
      <c r="F3950">
        <f>IF(AND(资金台帐!J953&lt;&gt;"",资金台帐!J953=客户对账单!$B$4,资金台帐!P953="应收",ISNUMBER(资金台帐!B953),资金台帐!B953&gt;=客户对账单!$G$4,资金台帐!B953&lt;=客户对账单!$I$4),资金台帐!B953+ROW()/100000,"")</f>
      </c>
      <c r="H3950">
        <f>IF(AND(资金台帐!K2453&lt;&gt;"",资金台帐!K2453=供应商对账单!$B$4,资金台帐!P2453="应付",ISNUMBER(资金台帐!B2453),资金台帐!B2453&gt;=供应商对账单!$G$4,资金台帐!B2453&lt;=供应商对账单!$I$4),资金台帐!B2453+ROW()/100000,"")</f>
      </c>
    </row>
    <row r="3951">
      <c r="A3951">
        <f>IF(OR(出库明细!C2951="",出库明细!D2951=""),"",IF(OR(COUNTIFS(存条明细!$C$4:$C$1003,出库明细!C2951,存条明细!$D$4:$D$1003,出库明细!D2951)&gt;0,COUNTIFS(出库明细!$C$4:C2951,出库明细!C2951,出库明细!$D$4:D2951,出库明细!D2951)&gt;1),"",IFERROR(MATCH(出库明细!C2951,总览汇总!$B$5:$B$304,0),900)*10000000+IFERROR(MATCH(出库明细!D2951,基础资料!$E$5:$E$104,0),900)*10000+ROW()))</f>
      </c>
      <c r="F3951">
        <f>IF(AND(资金台帐!J954&lt;&gt;"",资金台帐!J954=客户对账单!$B$4,资金台帐!P954="应收",ISNUMBER(资金台帐!B954),资金台帐!B954&gt;=客户对账单!$G$4,资金台帐!B954&lt;=客户对账单!$I$4),资金台帐!B954+ROW()/100000,"")</f>
      </c>
      <c r="H3951">
        <f>IF(AND(资金台帐!K2454&lt;&gt;"",资金台帐!K2454=供应商对账单!$B$4,资金台帐!P2454="应付",ISNUMBER(资金台帐!B2454),资金台帐!B2454&gt;=供应商对账单!$G$4,资金台帐!B2454&lt;=供应商对账单!$I$4),资金台帐!B2454+ROW()/100000,"")</f>
      </c>
    </row>
    <row r="3952">
      <c r="A3952">
        <f>IF(OR(出库明细!C2952="",出库明细!D2952=""),"",IF(OR(COUNTIFS(存条明细!$C$4:$C$1003,出库明细!C2952,存条明细!$D$4:$D$1003,出库明细!D2952)&gt;0,COUNTIFS(出库明细!$C$4:C2952,出库明细!C2952,出库明细!$D$4:D2952,出库明细!D2952)&gt;1),"",IFERROR(MATCH(出库明细!C2952,总览汇总!$B$5:$B$304,0),900)*10000000+IFERROR(MATCH(出库明细!D2952,基础资料!$E$5:$E$104,0),900)*10000+ROW()))</f>
      </c>
      <c r="F3952">
        <f>IF(AND(资金台帐!J955&lt;&gt;"",资金台帐!J955=客户对账单!$B$4,资金台帐!P955="应收",ISNUMBER(资金台帐!B955),资金台帐!B955&gt;=客户对账单!$G$4,资金台帐!B955&lt;=客户对账单!$I$4),资金台帐!B955+ROW()/100000,"")</f>
      </c>
      <c r="H3952">
        <f>IF(AND(资金台帐!K2455&lt;&gt;"",资金台帐!K2455=供应商对账单!$B$4,资金台帐!P2455="应付",ISNUMBER(资金台帐!B2455),资金台帐!B2455&gt;=供应商对账单!$G$4,资金台帐!B2455&lt;=供应商对账单!$I$4),资金台帐!B2455+ROW()/100000,"")</f>
      </c>
    </row>
    <row r="3953">
      <c r="A3953">
        <f>IF(OR(出库明细!C2953="",出库明细!D2953=""),"",IF(OR(COUNTIFS(存条明细!$C$4:$C$1003,出库明细!C2953,存条明细!$D$4:$D$1003,出库明细!D2953)&gt;0,COUNTIFS(出库明细!$C$4:C2953,出库明细!C2953,出库明细!$D$4:D2953,出库明细!D2953)&gt;1),"",IFERROR(MATCH(出库明细!C2953,总览汇总!$B$5:$B$304,0),900)*10000000+IFERROR(MATCH(出库明细!D2953,基础资料!$E$5:$E$104,0),900)*10000+ROW()))</f>
      </c>
      <c r="F3953">
        <f>IF(AND(资金台帐!J956&lt;&gt;"",资金台帐!J956=客户对账单!$B$4,资金台帐!P956="应收",ISNUMBER(资金台帐!B956),资金台帐!B956&gt;=客户对账单!$G$4,资金台帐!B956&lt;=客户对账单!$I$4),资金台帐!B956+ROW()/100000,"")</f>
      </c>
      <c r="H3953">
        <f>IF(AND(资金台帐!K2456&lt;&gt;"",资金台帐!K2456=供应商对账单!$B$4,资金台帐!P2456="应付",ISNUMBER(资金台帐!B2456),资金台帐!B2456&gt;=供应商对账单!$G$4,资金台帐!B2456&lt;=供应商对账单!$I$4),资金台帐!B2456+ROW()/100000,"")</f>
      </c>
    </row>
    <row r="3954">
      <c r="A3954">
        <f>IF(OR(出库明细!C2954="",出库明细!D2954=""),"",IF(OR(COUNTIFS(存条明细!$C$4:$C$1003,出库明细!C2954,存条明细!$D$4:$D$1003,出库明细!D2954)&gt;0,COUNTIFS(出库明细!$C$4:C2954,出库明细!C2954,出库明细!$D$4:D2954,出库明细!D2954)&gt;1),"",IFERROR(MATCH(出库明细!C2954,总览汇总!$B$5:$B$304,0),900)*10000000+IFERROR(MATCH(出库明细!D2954,基础资料!$E$5:$E$104,0),900)*10000+ROW()))</f>
      </c>
      <c r="F3954">
        <f>IF(AND(资金台帐!J957&lt;&gt;"",资金台帐!J957=客户对账单!$B$4,资金台帐!P957="应收",ISNUMBER(资金台帐!B957),资金台帐!B957&gt;=客户对账单!$G$4,资金台帐!B957&lt;=客户对账单!$I$4),资金台帐!B957+ROW()/100000,"")</f>
      </c>
      <c r="H3954">
        <f>IF(AND(资金台帐!K2457&lt;&gt;"",资金台帐!K2457=供应商对账单!$B$4,资金台帐!P2457="应付",ISNUMBER(资金台帐!B2457),资金台帐!B2457&gt;=供应商对账单!$G$4,资金台帐!B2457&lt;=供应商对账单!$I$4),资金台帐!B2457+ROW()/100000,"")</f>
      </c>
    </row>
    <row r="3955">
      <c r="A3955">
        <f>IF(OR(出库明细!C2955="",出库明细!D2955=""),"",IF(OR(COUNTIFS(存条明细!$C$4:$C$1003,出库明细!C2955,存条明细!$D$4:$D$1003,出库明细!D2955)&gt;0,COUNTIFS(出库明细!$C$4:C2955,出库明细!C2955,出库明细!$D$4:D2955,出库明细!D2955)&gt;1),"",IFERROR(MATCH(出库明细!C2955,总览汇总!$B$5:$B$304,0),900)*10000000+IFERROR(MATCH(出库明细!D2955,基础资料!$E$5:$E$104,0),900)*10000+ROW()))</f>
      </c>
      <c r="F3955">
        <f>IF(AND(资金台帐!J958&lt;&gt;"",资金台帐!J958=客户对账单!$B$4,资金台帐!P958="应收",ISNUMBER(资金台帐!B958),资金台帐!B958&gt;=客户对账单!$G$4,资金台帐!B958&lt;=客户对账单!$I$4),资金台帐!B958+ROW()/100000,"")</f>
      </c>
      <c r="H3955">
        <f>IF(AND(资金台帐!K2458&lt;&gt;"",资金台帐!K2458=供应商对账单!$B$4,资金台帐!P2458="应付",ISNUMBER(资金台帐!B2458),资金台帐!B2458&gt;=供应商对账单!$G$4,资金台帐!B2458&lt;=供应商对账单!$I$4),资金台帐!B2458+ROW()/100000,"")</f>
      </c>
    </row>
    <row r="3956">
      <c r="A3956">
        <f>IF(OR(出库明细!C2956="",出库明细!D2956=""),"",IF(OR(COUNTIFS(存条明细!$C$4:$C$1003,出库明细!C2956,存条明细!$D$4:$D$1003,出库明细!D2956)&gt;0,COUNTIFS(出库明细!$C$4:C2956,出库明细!C2956,出库明细!$D$4:D2956,出库明细!D2956)&gt;1),"",IFERROR(MATCH(出库明细!C2956,总览汇总!$B$5:$B$304,0),900)*10000000+IFERROR(MATCH(出库明细!D2956,基础资料!$E$5:$E$104,0),900)*10000+ROW()))</f>
      </c>
      <c r="F3956">
        <f>IF(AND(资金台帐!J959&lt;&gt;"",资金台帐!J959=客户对账单!$B$4,资金台帐!P959="应收",ISNUMBER(资金台帐!B959),资金台帐!B959&gt;=客户对账单!$G$4,资金台帐!B959&lt;=客户对账单!$I$4),资金台帐!B959+ROW()/100000,"")</f>
      </c>
      <c r="H3956">
        <f>IF(AND(资金台帐!K2459&lt;&gt;"",资金台帐!K2459=供应商对账单!$B$4,资金台帐!P2459="应付",ISNUMBER(资金台帐!B2459),资金台帐!B2459&gt;=供应商对账单!$G$4,资金台帐!B2459&lt;=供应商对账单!$I$4),资金台帐!B2459+ROW()/100000,"")</f>
      </c>
    </row>
    <row r="3957">
      <c r="A3957">
        <f>IF(OR(出库明细!C2957="",出库明细!D2957=""),"",IF(OR(COUNTIFS(存条明细!$C$4:$C$1003,出库明细!C2957,存条明细!$D$4:$D$1003,出库明细!D2957)&gt;0,COUNTIFS(出库明细!$C$4:C2957,出库明细!C2957,出库明细!$D$4:D2957,出库明细!D2957)&gt;1),"",IFERROR(MATCH(出库明细!C2957,总览汇总!$B$5:$B$304,0),900)*10000000+IFERROR(MATCH(出库明细!D2957,基础资料!$E$5:$E$104,0),900)*10000+ROW()))</f>
      </c>
      <c r="F3957">
        <f>IF(AND(资金台帐!J960&lt;&gt;"",资金台帐!J960=客户对账单!$B$4,资金台帐!P960="应收",ISNUMBER(资金台帐!B960),资金台帐!B960&gt;=客户对账单!$G$4,资金台帐!B960&lt;=客户对账单!$I$4),资金台帐!B960+ROW()/100000,"")</f>
      </c>
      <c r="H3957">
        <f>IF(AND(资金台帐!K2460&lt;&gt;"",资金台帐!K2460=供应商对账单!$B$4,资金台帐!P2460="应付",ISNUMBER(资金台帐!B2460),资金台帐!B2460&gt;=供应商对账单!$G$4,资金台帐!B2460&lt;=供应商对账单!$I$4),资金台帐!B2460+ROW()/100000,"")</f>
      </c>
    </row>
    <row r="3958">
      <c r="A3958">
        <f>IF(OR(出库明细!C2958="",出库明细!D2958=""),"",IF(OR(COUNTIFS(存条明细!$C$4:$C$1003,出库明细!C2958,存条明细!$D$4:$D$1003,出库明细!D2958)&gt;0,COUNTIFS(出库明细!$C$4:C2958,出库明细!C2958,出库明细!$D$4:D2958,出库明细!D2958)&gt;1),"",IFERROR(MATCH(出库明细!C2958,总览汇总!$B$5:$B$304,0),900)*10000000+IFERROR(MATCH(出库明细!D2958,基础资料!$E$5:$E$104,0),900)*10000+ROW()))</f>
      </c>
      <c r="F3958">
        <f>IF(AND(资金台帐!J961&lt;&gt;"",资金台帐!J961=客户对账单!$B$4,资金台帐!P961="应收",ISNUMBER(资金台帐!B961),资金台帐!B961&gt;=客户对账单!$G$4,资金台帐!B961&lt;=客户对账单!$I$4),资金台帐!B961+ROW()/100000,"")</f>
      </c>
      <c r="H3958">
        <f>IF(AND(资金台帐!K2461&lt;&gt;"",资金台帐!K2461=供应商对账单!$B$4,资金台帐!P2461="应付",ISNUMBER(资金台帐!B2461),资金台帐!B2461&gt;=供应商对账单!$G$4,资金台帐!B2461&lt;=供应商对账单!$I$4),资金台帐!B2461+ROW()/100000,"")</f>
      </c>
    </row>
    <row r="3959">
      <c r="A3959">
        <f>IF(OR(出库明细!C2959="",出库明细!D2959=""),"",IF(OR(COUNTIFS(存条明细!$C$4:$C$1003,出库明细!C2959,存条明细!$D$4:$D$1003,出库明细!D2959)&gt;0,COUNTIFS(出库明细!$C$4:C2959,出库明细!C2959,出库明细!$D$4:D2959,出库明细!D2959)&gt;1),"",IFERROR(MATCH(出库明细!C2959,总览汇总!$B$5:$B$304,0),900)*10000000+IFERROR(MATCH(出库明细!D2959,基础资料!$E$5:$E$104,0),900)*10000+ROW()))</f>
      </c>
      <c r="F3959">
        <f>IF(AND(资金台帐!J962&lt;&gt;"",资金台帐!J962=客户对账单!$B$4,资金台帐!P962="应收",ISNUMBER(资金台帐!B962),资金台帐!B962&gt;=客户对账单!$G$4,资金台帐!B962&lt;=客户对账单!$I$4),资金台帐!B962+ROW()/100000,"")</f>
      </c>
      <c r="H3959">
        <f>IF(AND(资金台帐!K2462&lt;&gt;"",资金台帐!K2462=供应商对账单!$B$4,资金台帐!P2462="应付",ISNUMBER(资金台帐!B2462),资金台帐!B2462&gt;=供应商对账单!$G$4,资金台帐!B2462&lt;=供应商对账单!$I$4),资金台帐!B2462+ROW()/100000,"")</f>
      </c>
    </row>
    <row r="3960">
      <c r="A3960">
        <f>IF(OR(出库明细!C2960="",出库明细!D2960=""),"",IF(OR(COUNTIFS(存条明细!$C$4:$C$1003,出库明细!C2960,存条明细!$D$4:$D$1003,出库明细!D2960)&gt;0,COUNTIFS(出库明细!$C$4:C2960,出库明细!C2960,出库明细!$D$4:D2960,出库明细!D2960)&gt;1),"",IFERROR(MATCH(出库明细!C2960,总览汇总!$B$5:$B$304,0),900)*10000000+IFERROR(MATCH(出库明细!D2960,基础资料!$E$5:$E$104,0),900)*10000+ROW()))</f>
      </c>
      <c r="F3960">
        <f>IF(AND(资金台帐!J963&lt;&gt;"",资金台帐!J963=客户对账单!$B$4,资金台帐!P963="应收",ISNUMBER(资金台帐!B963),资金台帐!B963&gt;=客户对账单!$G$4,资金台帐!B963&lt;=客户对账单!$I$4),资金台帐!B963+ROW()/100000,"")</f>
      </c>
      <c r="H3960">
        <f>IF(AND(资金台帐!K2463&lt;&gt;"",资金台帐!K2463=供应商对账单!$B$4,资金台帐!P2463="应付",ISNUMBER(资金台帐!B2463),资金台帐!B2463&gt;=供应商对账单!$G$4,资金台帐!B2463&lt;=供应商对账单!$I$4),资金台帐!B2463+ROW()/100000,"")</f>
      </c>
    </row>
    <row r="3961">
      <c r="A3961">
        <f>IF(OR(出库明细!C2961="",出库明细!D2961=""),"",IF(OR(COUNTIFS(存条明细!$C$4:$C$1003,出库明细!C2961,存条明细!$D$4:$D$1003,出库明细!D2961)&gt;0,COUNTIFS(出库明细!$C$4:C2961,出库明细!C2961,出库明细!$D$4:D2961,出库明细!D2961)&gt;1),"",IFERROR(MATCH(出库明细!C2961,总览汇总!$B$5:$B$304,0),900)*10000000+IFERROR(MATCH(出库明细!D2961,基础资料!$E$5:$E$104,0),900)*10000+ROW()))</f>
      </c>
      <c r="F3961">
        <f>IF(AND(资金台帐!J964&lt;&gt;"",资金台帐!J964=客户对账单!$B$4,资金台帐!P964="应收",ISNUMBER(资金台帐!B964),资金台帐!B964&gt;=客户对账单!$G$4,资金台帐!B964&lt;=客户对账单!$I$4),资金台帐!B964+ROW()/100000,"")</f>
      </c>
      <c r="H3961">
        <f>IF(AND(资金台帐!K2464&lt;&gt;"",资金台帐!K2464=供应商对账单!$B$4,资金台帐!P2464="应付",ISNUMBER(资金台帐!B2464),资金台帐!B2464&gt;=供应商对账单!$G$4,资金台帐!B2464&lt;=供应商对账单!$I$4),资金台帐!B2464+ROW()/100000,"")</f>
      </c>
    </row>
    <row r="3962">
      <c r="A3962">
        <f>IF(OR(出库明细!C2962="",出库明细!D2962=""),"",IF(OR(COUNTIFS(存条明细!$C$4:$C$1003,出库明细!C2962,存条明细!$D$4:$D$1003,出库明细!D2962)&gt;0,COUNTIFS(出库明细!$C$4:C2962,出库明细!C2962,出库明细!$D$4:D2962,出库明细!D2962)&gt;1),"",IFERROR(MATCH(出库明细!C2962,总览汇总!$B$5:$B$304,0),900)*10000000+IFERROR(MATCH(出库明细!D2962,基础资料!$E$5:$E$104,0),900)*10000+ROW()))</f>
      </c>
      <c r="F3962">
        <f>IF(AND(资金台帐!J965&lt;&gt;"",资金台帐!J965=客户对账单!$B$4,资金台帐!P965="应收",ISNUMBER(资金台帐!B965),资金台帐!B965&gt;=客户对账单!$G$4,资金台帐!B965&lt;=客户对账单!$I$4),资金台帐!B965+ROW()/100000,"")</f>
      </c>
      <c r="H3962">
        <f>IF(AND(资金台帐!K2465&lt;&gt;"",资金台帐!K2465=供应商对账单!$B$4,资金台帐!P2465="应付",ISNUMBER(资金台帐!B2465),资金台帐!B2465&gt;=供应商对账单!$G$4,资金台帐!B2465&lt;=供应商对账单!$I$4),资金台帐!B2465+ROW()/100000,"")</f>
      </c>
    </row>
    <row r="3963">
      <c r="A3963">
        <f>IF(OR(出库明细!C2963="",出库明细!D2963=""),"",IF(OR(COUNTIFS(存条明细!$C$4:$C$1003,出库明细!C2963,存条明细!$D$4:$D$1003,出库明细!D2963)&gt;0,COUNTIFS(出库明细!$C$4:C2963,出库明细!C2963,出库明细!$D$4:D2963,出库明细!D2963)&gt;1),"",IFERROR(MATCH(出库明细!C2963,总览汇总!$B$5:$B$304,0),900)*10000000+IFERROR(MATCH(出库明细!D2963,基础资料!$E$5:$E$104,0),900)*10000+ROW()))</f>
      </c>
      <c r="F3963">
        <f>IF(AND(资金台帐!J966&lt;&gt;"",资金台帐!J966=客户对账单!$B$4,资金台帐!P966="应收",ISNUMBER(资金台帐!B966),资金台帐!B966&gt;=客户对账单!$G$4,资金台帐!B966&lt;=客户对账单!$I$4),资金台帐!B966+ROW()/100000,"")</f>
      </c>
      <c r="H3963">
        <f>IF(AND(资金台帐!K2466&lt;&gt;"",资金台帐!K2466=供应商对账单!$B$4,资金台帐!P2466="应付",ISNUMBER(资金台帐!B2466),资金台帐!B2466&gt;=供应商对账单!$G$4,资金台帐!B2466&lt;=供应商对账单!$I$4),资金台帐!B2466+ROW()/100000,"")</f>
      </c>
    </row>
    <row r="3964">
      <c r="A3964">
        <f>IF(OR(出库明细!C2964="",出库明细!D2964=""),"",IF(OR(COUNTIFS(存条明细!$C$4:$C$1003,出库明细!C2964,存条明细!$D$4:$D$1003,出库明细!D2964)&gt;0,COUNTIFS(出库明细!$C$4:C2964,出库明细!C2964,出库明细!$D$4:D2964,出库明细!D2964)&gt;1),"",IFERROR(MATCH(出库明细!C2964,总览汇总!$B$5:$B$304,0),900)*10000000+IFERROR(MATCH(出库明细!D2964,基础资料!$E$5:$E$104,0),900)*10000+ROW()))</f>
      </c>
      <c r="F3964">
        <f>IF(AND(资金台帐!J967&lt;&gt;"",资金台帐!J967=客户对账单!$B$4,资金台帐!P967="应收",ISNUMBER(资金台帐!B967),资金台帐!B967&gt;=客户对账单!$G$4,资金台帐!B967&lt;=客户对账单!$I$4),资金台帐!B967+ROW()/100000,"")</f>
      </c>
      <c r="H3964">
        <f>IF(AND(资金台帐!K2467&lt;&gt;"",资金台帐!K2467=供应商对账单!$B$4,资金台帐!P2467="应付",ISNUMBER(资金台帐!B2467),资金台帐!B2467&gt;=供应商对账单!$G$4,资金台帐!B2467&lt;=供应商对账单!$I$4),资金台帐!B2467+ROW()/100000,"")</f>
      </c>
    </row>
    <row r="3965">
      <c r="A3965">
        <f>IF(OR(出库明细!C2965="",出库明细!D2965=""),"",IF(OR(COUNTIFS(存条明细!$C$4:$C$1003,出库明细!C2965,存条明细!$D$4:$D$1003,出库明细!D2965)&gt;0,COUNTIFS(出库明细!$C$4:C2965,出库明细!C2965,出库明细!$D$4:D2965,出库明细!D2965)&gt;1),"",IFERROR(MATCH(出库明细!C2965,总览汇总!$B$5:$B$304,0),900)*10000000+IFERROR(MATCH(出库明细!D2965,基础资料!$E$5:$E$104,0),900)*10000+ROW()))</f>
      </c>
      <c r="F3965">
        <f>IF(AND(资金台帐!J968&lt;&gt;"",资金台帐!J968=客户对账单!$B$4,资金台帐!P968="应收",ISNUMBER(资金台帐!B968),资金台帐!B968&gt;=客户对账单!$G$4,资金台帐!B968&lt;=客户对账单!$I$4),资金台帐!B968+ROW()/100000,"")</f>
      </c>
      <c r="H3965">
        <f>IF(AND(资金台帐!K2468&lt;&gt;"",资金台帐!K2468=供应商对账单!$B$4,资金台帐!P2468="应付",ISNUMBER(资金台帐!B2468),资金台帐!B2468&gt;=供应商对账单!$G$4,资金台帐!B2468&lt;=供应商对账单!$I$4),资金台帐!B2468+ROW()/100000,"")</f>
      </c>
    </row>
    <row r="3966">
      <c r="A3966">
        <f>IF(OR(出库明细!C2966="",出库明细!D2966=""),"",IF(OR(COUNTIFS(存条明细!$C$4:$C$1003,出库明细!C2966,存条明细!$D$4:$D$1003,出库明细!D2966)&gt;0,COUNTIFS(出库明细!$C$4:C2966,出库明细!C2966,出库明细!$D$4:D2966,出库明细!D2966)&gt;1),"",IFERROR(MATCH(出库明细!C2966,总览汇总!$B$5:$B$304,0),900)*10000000+IFERROR(MATCH(出库明细!D2966,基础资料!$E$5:$E$104,0),900)*10000+ROW()))</f>
      </c>
      <c r="F3966">
        <f>IF(AND(资金台帐!J969&lt;&gt;"",资金台帐!J969=客户对账单!$B$4,资金台帐!P969="应收",ISNUMBER(资金台帐!B969),资金台帐!B969&gt;=客户对账单!$G$4,资金台帐!B969&lt;=客户对账单!$I$4),资金台帐!B969+ROW()/100000,"")</f>
      </c>
      <c r="H3966">
        <f>IF(AND(资金台帐!K2469&lt;&gt;"",资金台帐!K2469=供应商对账单!$B$4,资金台帐!P2469="应付",ISNUMBER(资金台帐!B2469),资金台帐!B2469&gt;=供应商对账单!$G$4,资金台帐!B2469&lt;=供应商对账单!$I$4),资金台帐!B2469+ROW()/100000,"")</f>
      </c>
    </row>
    <row r="3967">
      <c r="A3967">
        <f>IF(OR(出库明细!C2967="",出库明细!D2967=""),"",IF(OR(COUNTIFS(存条明细!$C$4:$C$1003,出库明细!C2967,存条明细!$D$4:$D$1003,出库明细!D2967)&gt;0,COUNTIFS(出库明细!$C$4:C2967,出库明细!C2967,出库明细!$D$4:D2967,出库明细!D2967)&gt;1),"",IFERROR(MATCH(出库明细!C2967,总览汇总!$B$5:$B$304,0),900)*10000000+IFERROR(MATCH(出库明细!D2967,基础资料!$E$5:$E$104,0),900)*10000+ROW()))</f>
      </c>
      <c r="F3967">
        <f>IF(AND(资金台帐!J970&lt;&gt;"",资金台帐!J970=客户对账单!$B$4,资金台帐!P970="应收",ISNUMBER(资金台帐!B970),资金台帐!B970&gt;=客户对账单!$G$4,资金台帐!B970&lt;=客户对账单!$I$4),资金台帐!B970+ROW()/100000,"")</f>
      </c>
      <c r="H3967">
        <f>IF(AND(资金台帐!K2470&lt;&gt;"",资金台帐!K2470=供应商对账单!$B$4,资金台帐!P2470="应付",ISNUMBER(资金台帐!B2470),资金台帐!B2470&gt;=供应商对账单!$G$4,资金台帐!B2470&lt;=供应商对账单!$I$4),资金台帐!B2470+ROW()/100000,"")</f>
      </c>
    </row>
    <row r="3968">
      <c r="A3968">
        <f>IF(OR(出库明细!C2968="",出库明细!D2968=""),"",IF(OR(COUNTIFS(存条明细!$C$4:$C$1003,出库明细!C2968,存条明细!$D$4:$D$1003,出库明细!D2968)&gt;0,COUNTIFS(出库明细!$C$4:C2968,出库明细!C2968,出库明细!$D$4:D2968,出库明细!D2968)&gt;1),"",IFERROR(MATCH(出库明细!C2968,总览汇总!$B$5:$B$304,0),900)*10000000+IFERROR(MATCH(出库明细!D2968,基础资料!$E$5:$E$104,0),900)*10000+ROW()))</f>
      </c>
      <c r="F3968">
        <f>IF(AND(资金台帐!J971&lt;&gt;"",资金台帐!J971=客户对账单!$B$4,资金台帐!P971="应收",ISNUMBER(资金台帐!B971),资金台帐!B971&gt;=客户对账单!$G$4,资金台帐!B971&lt;=客户对账单!$I$4),资金台帐!B971+ROW()/100000,"")</f>
      </c>
      <c r="H3968">
        <f>IF(AND(资金台帐!K2471&lt;&gt;"",资金台帐!K2471=供应商对账单!$B$4,资金台帐!P2471="应付",ISNUMBER(资金台帐!B2471),资金台帐!B2471&gt;=供应商对账单!$G$4,资金台帐!B2471&lt;=供应商对账单!$I$4),资金台帐!B2471+ROW()/100000,"")</f>
      </c>
    </row>
    <row r="3969">
      <c r="A3969">
        <f>IF(OR(出库明细!C2969="",出库明细!D2969=""),"",IF(OR(COUNTIFS(存条明细!$C$4:$C$1003,出库明细!C2969,存条明细!$D$4:$D$1003,出库明细!D2969)&gt;0,COUNTIFS(出库明细!$C$4:C2969,出库明细!C2969,出库明细!$D$4:D2969,出库明细!D2969)&gt;1),"",IFERROR(MATCH(出库明细!C2969,总览汇总!$B$5:$B$304,0),900)*10000000+IFERROR(MATCH(出库明细!D2969,基础资料!$E$5:$E$104,0),900)*10000+ROW()))</f>
      </c>
      <c r="F3969">
        <f>IF(AND(资金台帐!J972&lt;&gt;"",资金台帐!J972=客户对账单!$B$4,资金台帐!P972="应收",ISNUMBER(资金台帐!B972),资金台帐!B972&gt;=客户对账单!$G$4,资金台帐!B972&lt;=客户对账单!$I$4),资金台帐!B972+ROW()/100000,"")</f>
      </c>
      <c r="H3969">
        <f>IF(AND(资金台帐!K2472&lt;&gt;"",资金台帐!K2472=供应商对账单!$B$4,资金台帐!P2472="应付",ISNUMBER(资金台帐!B2472),资金台帐!B2472&gt;=供应商对账单!$G$4,资金台帐!B2472&lt;=供应商对账单!$I$4),资金台帐!B2472+ROW()/100000,"")</f>
      </c>
    </row>
    <row r="3970">
      <c r="A3970">
        <f>IF(OR(出库明细!C2970="",出库明细!D2970=""),"",IF(OR(COUNTIFS(存条明细!$C$4:$C$1003,出库明细!C2970,存条明细!$D$4:$D$1003,出库明细!D2970)&gt;0,COUNTIFS(出库明细!$C$4:C2970,出库明细!C2970,出库明细!$D$4:D2970,出库明细!D2970)&gt;1),"",IFERROR(MATCH(出库明细!C2970,总览汇总!$B$5:$B$304,0),900)*10000000+IFERROR(MATCH(出库明细!D2970,基础资料!$E$5:$E$104,0),900)*10000+ROW()))</f>
      </c>
      <c r="F3970">
        <f>IF(AND(资金台帐!J973&lt;&gt;"",资金台帐!J973=客户对账单!$B$4,资金台帐!P973="应收",ISNUMBER(资金台帐!B973),资金台帐!B973&gt;=客户对账单!$G$4,资金台帐!B973&lt;=客户对账单!$I$4),资金台帐!B973+ROW()/100000,"")</f>
      </c>
      <c r="H3970">
        <f>IF(AND(资金台帐!K2473&lt;&gt;"",资金台帐!K2473=供应商对账单!$B$4,资金台帐!P2473="应付",ISNUMBER(资金台帐!B2473),资金台帐!B2473&gt;=供应商对账单!$G$4,资金台帐!B2473&lt;=供应商对账单!$I$4),资金台帐!B2473+ROW()/100000,"")</f>
      </c>
    </row>
    <row r="3971">
      <c r="A3971">
        <f>IF(OR(出库明细!C2971="",出库明细!D2971=""),"",IF(OR(COUNTIFS(存条明细!$C$4:$C$1003,出库明细!C2971,存条明细!$D$4:$D$1003,出库明细!D2971)&gt;0,COUNTIFS(出库明细!$C$4:C2971,出库明细!C2971,出库明细!$D$4:D2971,出库明细!D2971)&gt;1),"",IFERROR(MATCH(出库明细!C2971,总览汇总!$B$5:$B$304,0),900)*10000000+IFERROR(MATCH(出库明细!D2971,基础资料!$E$5:$E$104,0),900)*10000+ROW()))</f>
      </c>
      <c r="F3971">
        <f>IF(AND(资金台帐!J974&lt;&gt;"",资金台帐!J974=客户对账单!$B$4,资金台帐!P974="应收",ISNUMBER(资金台帐!B974),资金台帐!B974&gt;=客户对账单!$G$4,资金台帐!B974&lt;=客户对账单!$I$4),资金台帐!B974+ROW()/100000,"")</f>
      </c>
      <c r="H3971">
        <f>IF(AND(资金台帐!K2474&lt;&gt;"",资金台帐!K2474=供应商对账单!$B$4,资金台帐!P2474="应付",ISNUMBER(资金台帐!B2474),资金台帐!B2474&gt;=供应商对账单!$G$4,资金台帐!B2474&lt;=供应商对账单!$I$4),资金台帐!B2474+ROW()/100000,"")</f>
      </c>
    </row>
    <row r="3972">
      <c r="A3972">
        <f>IF(OR(出库明细!C2972="",出库明细!D2972=""),"",IF(OR(COUNTIFS(存条明细!$C$4:$C$1003,出库明细!C2972,存条明细!$D$4:$D$1003,出库明细!D2972)&gt;0,COUNTIFS(出库明细!$C$4:C2972,出库明细!C2972,出库明细!$D$4:D2972,出库明细!D2972)&gt;1),"",IFERROR(MATCH(出库明细!C2972,总览汇总!$B$5:$B$304,0),900)*10000000+IFERROR(MATCH(出库明细!D2972,基础资料!$E$5:$E$104,0),900)*10000+ROW()))</f>
      </c>
      <c r="F3972">
        <f>IF(AND(资金台帐!J975&lt;&gt;"",资金台帐!J975=客户对账单!$B$4,资金台帐!P975="应收",ISNUMBER(资金台帐!B975),资金台帐!B975&gt;=客户对账单!$G$4,资金台帐!B975&lt;=客户对账单!$I$4),资金台帐!B975+ROW()/100000,"")</f>
      </c>
      <c r="H3972">
        <f>IF(AND(资金台帐!K2475&lt;&gt;"",资金台帐!K2475=供应商对账单!$B$4,资金台帐!P2475="应付",ISNUMBER(资金台帐!B2475),资金台帐!B2475&gt;=供应商对账单!$G$4,资金台帐!B2475&lt;=供应商对账单!$I$4),资金台帐!B2475+ROW()/100000,"")</f>
      </c>
    </row>
    <row r="3973">
      <c r="A3973">
        <f>IF(OR(出库明细!C2973="",出库明细!D2973=""),"",IF(OR(COUNTIFS(存条明细!$C$4:$C$1003,出库明细!C2973,存条明细!$D$4:$D$1003,出库明细!D2973)&gt;0,COUNTIFS(出库明细!$C$4:C2973,出库明细!C2973,出库明细!$D$4:D2973,出库明细!D2973)&gt;1),"",IFERROR(MATCH(出库明细!C2973,总览汇总!$B$5:$B$304,0),900)*10000000+IFERROR(MATCH(出库明细!D2973,基础资料!$E$5:$E$104,0),900)*10000+ROW()))</f>
      </c>
      <c r="F3973">
        <f>IF(AND(资金台帐!J976&lt;&gt;"",资金台帐!J976=客户对账单!$B$4,资金台帐!P976="应收",ISNUMBER(资金台帐!B976),资金台帐!B976&gt;=客户对账单!$G$4,资金台帐!B976&lt;=客户对账单!$I$4),资金台帐!B976+ROW()/100000,"")</f>
      </c>
      <c r="H3973">
        <f>IF(AND(资金台帐!K2476&lt;&gt;"",资金台帐!K2476=供应商对账单!$B$4,资金台帐!P2476="应付",ISNUMBER(资金台帐!B2476),资金台帐!B2476&gt;=供应商对账单!$G$4,资金台帐!B2476&lt;=供应商对账单!$I$4),资金台帐!B2476+ROW()/100000,"")</f>
      </c>
    </row>
    <row r="3974">
      <c r="A3974">
        <f>IF(OR(出库明细!C2974="",出库明细!D2974=""),"",IF(OR(COUNTIFS(存条明细!$C$4:$C$1003,出库明细!C2974,存条明细!$D$4:$D$1003,出库明细!D2974)&gt;0,COUNTIFS(出库明细!$C$4:C2974,出库明细!C2974,出库明细!$D$4:D2974,出库明细!D2974)&gt;1),"",IFERROR(MATCH(出库明细!C2974,总览汇总!$B$5:$B$304,0),900)*10000000+IFERROR(MATCH(出库明细!D2974,基础资料!$E$5:$E$104,0),900)*10000+ROW()))</f>
      </c>
      <c r="F3974">
        <f>IF(AND(资金台帐!J977&lt;&gt;"",资金台帐!J977=客户对账单!$B$4,资金台帐!P977="应收",ISNUMBER(资金台帐!B977),资金台帐!B977&gt;=客户对账单!$G$4,资金台帐!B977&lt;=客户对账单!$I$4),资金台帐!B977+ROW()/100000,"")</f>
      </c>
      <c r="H3974">
        <f>IF(AND(资金台帐!K2477&lt;&gt;"",资金台帐!K2477=供应商对账单!$B$4,资金台帐!P2477="应付",ISNUMBER(资金台帐!B2477),资金台帐!B2477&gt;=供应商对账单!$G$4,资金台帐!B2477&lt;=供应商对账单!$I$4),资金台帐!B2477+ROW()/100000,"")</f>
      </c>
    </row>
    <row r="3975">
      <c r="A3975">
        <f>IF(OR(出库明细!C2975="",出库明细!D2975=""),"",IF(OR(COUNTIFS(存条明细!$C$4:$C$1003,出库明细!C2975,存条明细!$D$4:$D$1003,出库明细!D2975)&gt;0,COUNTIFS(出库明细!$C$4:C2975,出库明细!C2975,出库明细!$D$4:D2975,出库明细!D2975)&gt;1),"",IFERROR(MATCH(出库明细!C2975,总览汇总!$B$5:$B$304,0),900)*10000000+IFERROR(MATCH(出库明细!D2975,基础资料!$E$5:$E$104,0),900)*10000+ROW()))</f>
      </c>
      <c r="F3975">
        <f>IF(AND(资金台帐!J978&lt;&gt;"",资金台帐!J978=客户对账单!$B$4,资金台帐!P978="应收",ISNUMBER(资金台帐!B978),资金台帐!B978&gt;=客户对账单!$G$4,资金台帐!B978&lt;=客户对账单!$I$4),资金台帐!B978+ROW()/100000,"")</f>
      </c>
      <c r="H3975">
        <f>IF(AND(资金台帐!K2478&lt;&gt;"",资金台帐!K2478=供应商对账单!$B$4,资金台帐!P2478="应付",ISNUMBER(资金台帐!B2478),资金台帐!B2478&gt;=供应商对账单!$G$4,资金台帐!B2478&lt;=供应商对账单!$I$4),资金台帐!B2478+ROW()/100000,"")</f>
      </c>
    </row>
    <row r="3976">
      <c r="A3976">
        <f>IF(OR(出库明细!C2976="",出库明细!D2976=""),"",IF(OR(COUNTIFS(存条明细!$C$4:$C$1003,出库明细!C2976,存条明细!$D$4:$D$1003,出库明细!D2976)&gt;0,COUNTIFS(出库明细!$C$4:C2976,出库明细!C2976,出库明细!$D$4:D2976,出库明细!D2976)&gt;1),"",IFERROR(MATCH(出库明细!C2976,总览汇总!$B$5:$B$304,0),900)*10000000+IFERROR(MATCH(出库明细!D2976,基础资料!$E$5:$E$104,0),900)*10000+ROW()))</f>
      </c>
      <c r="F3976">
        <f>IF(AND(资金台帐!J979&lt;&gt;"",资金台帐!J979=客户对账单!$B$4,资金台帐!P979="应收",ISNUMBER(资金台帐!B979),资金台帐!B979&gt;=客户对账单!$G$4,资金台帐!B979&lt;=客户对账单!$I$4),资金台帐!B979+ROW()/100000,"")</f>
      </c>
      <c r="H3976">
        <f>IF(AND(资金台帐!K2479&lt;&gt;"",资金台帐!K2479=供应商对账单!$B$4,资金台帐!P2479="应付",ISNUMBER(资金台帐!B2479),资金台帐!B2479&gt;=供应商对账单!$G$4,资金台帐!B2479&lt;=供应商对账单!$I$4),资金台帐!B2479+ROW()/100000,"")</f>
      </c>
    </row>
    <row r="3977">
      <c r="A3977">
        <f>IF(OR(出库明细!C2977="",出库明细!D2977=""),"",IF(OR(COUNTIFS(存条明细!$C$4:$C$1003,出库明细!C2977,存条明细!$D$4:$D$1003,出库明细!D2977)&gt;0,COUNTIFS(出库明细!$C$4:C2977,出库明细!C2977,出库明细!$D$4:D2977,出库明细!D2977)&gt;1),"",IFERROR(MATCH(出库明细!C2977,总览汇总!$B$5:$B$304,0),900)*10000000+IFERROR(MATCH(出库明细!D2977,基础资料!$E$5:$E$104,0),900)*10000+ROW()))</f>
      </c>
      <c r="F3977">
        <f>IF(AND(资金台帐!J980&lt;&gt;"",资金台帐!J980=客户对账单!$B$4,资金台帐!P980="应收",ISNUMBER(资金台帐!B980),资金台帐!B980&gt;=客户对账单!$G$4,资金台帐!B980&lt;=客户对账单!$I$4),资金台帐!B980+ROW()/100000,"")</f>
      </c>
      <c r="H3977">
        <f>IF(AND(资金台帐!K2480&lt;&gt;"",资金台帐!K2480=供应商对账单!$B$4,资金台帐!P2480="应付",ISNUMBER(资金台帐!B2480),资金台帐!B2480&gt;=供应商对账单!$G$4,资金台帐!B2480&lt;=供应商对账单!$I$4),资金台帐!B2480+ROW()/100000,"")</f>
      </c>
    </row>
    <row r="3978">
      <c r="A3978">
        <f>IF(OR(出库明细!C2978="",出库明细!D2978=""),"",IF(OR(COUNTIFS(存条明细!$C$4:$C$1003,出库明细!C2978,存条明细!$D$4:$D$1003,出库明细!D2978)&gt;0,COUNTIFS(出库明细!$C$4:C2978,出库明细!C2978,出库明细!$D$4:D2978,出库明细!D2978)&gt;1),"",IFERROR(MATCH(出库明细!C2978,总览汇总!$B$5:$B$304,0),900)*10000000+IFERROR(MATCH(出库明细!D2978,基础资料!$E$5:$E$104,0),900)*10000+ROW()))</f>
      </c>
      <c r="F3978">
        <f>IF(AND(资金台帐!J981&lt;&gt;"",资金台帐!J981=客户对账单!$B$4,资金台帐!P981="应收",ISNUMBER(资金台帐!B981),资金台帐!B981&gt;=客户对账单!$G$4,资金台帐!B981&lt;=客户对账单!$I$4),资金台帐!B981+ROW()/100000,"")</f>
      </c>
      <c r="H3978">
        <f>IF(AND(资金台帐!K2481&lt;&gt;"",资金台帐!K2481=供应商对账单!$B$4,资金台帐!P2481="应付",ISNUMBER(资金台帐!B2481),资金台帐!B2481&gt;=供应商对账单!$G$4,资金台帐!B2481&lt;=供应商对账单!$I$4),资金台帐!B2481+ROW()/100000,"")</f>
      </c>
    </row>
    <row r="3979">
      <c r="A3979">
        <f>IF(OR(出库明细!C2979="",出库明细!D2979=""),"",IF(OR(COUNTIFS(存条明细!$C$4:$C$1003,出库明细!C2979,存条明细!$D$4:$D$1003,出库明细!D2979)&gt;0,COUNTIFS(出库明细!$C$4:C2979,出库明细!C2979,出库明细!$D$4:D2979,出库明细!D2979)&gt;1),"",IFERROR(MATCH(出库明细!C2979,总览汇总!$B$5:$B$304,0),900)*10000000+IFERROR(MATCH(出库明细!D2979,基础资料!$E$5:$E$104,0),900)*10000+ROW()))</f>
      </c>
      <c r="F3979">
        <f>IF(AND(资金台帐!J982&lt;&gt;"",资金台帐!J982=客户对账单!$B$4,资金台帐!P982="应收",ISNUMBER(资金台帐!B982),资金台帐!B982&gt;=客户对账单!$G$4,资金台帐!B982&lt;=客户对账单!$I$4),资金台帐!B982+ROW()/100000,"")</f>
      </c>
      <c r="H3979">
        <f>IF(AND(资金台帐!K2482&lt;&gt;"",资金台帐!K2482=供应商对账单!$B$4,资金台帐!P2482="应付",ISNUMBER(资金台帐!B2482),资金台帐!B2482&gt;=供应商对账单!$G$4,资金台帐!B2482&lt;=供应商对账单!$I$4),资金台帐!B2482+ROW()/100000,"")</f>
      </c>
    </row>
    <row r="3980">
      <c r="A3980">
        <f>IF(OR(出库明细!C2980="",出库明细!D2980=""),"",IF(OR(COUNTIFS(存条明细!$C$4:$C$1003,出库明细!C2980,存条明细!$D$4:$D$1003,出库明细!D2980)&gt;0,COUNTIFS(出库明细!$C$4:C2980,出库明细!C2980,出库明细!$D$4:D2980,出库明细!D2980)&gt;1),"",IFERROR(MATCH(出库明细!C2980,总览汇总!$B$5:$B$304,0),900)*10000000+IFERROR(MATCH(出库明细!D2980,基础资料!$E$5:$E$104,0),900)*10000+ROW()))</f>
      </c>
      <c r="F3980">
        <f>IF(AND(资金台帐!J983&lt;&gt;"",资金台帐!J983=客户对账单!$B$4,资金台帐!P983="应收",ISNUMBER(资金台帐!B983),资金台帐!B983&gt;=客户对账单!$G$4,资金台帐!B983&lt;=客户对账单!$I$4),资金台帐!B983+ROW()/100000,"")</f>
      </c>
      <c r="H3980">
        <f>IF(AND(资金台帐!K2483&lt;&gt;"",资金台帐!K2483=供应商对账单!$B$4,资金台帐!P2483="应付",ISNUMBER(资金台帐!B2483),资金台帐!B2483&gt;=供应商对账单!$G$4,资金台帐!B2483&lt;=供应商对账单!$I$4),资金台帐!B2483+ROW()/100000,"")</f>
      </c>
    </row>
    <row r="3981">
      <c r="A3981">
        <f>IF(OR(出库明细!C2981="",出库明细!D2981=""),"",IF(OR(COUNTIFS(存条明细!$C$4:$C$1003,出库明细!C2981,存条明细!$D$4:$D$1003,出库明细!D2981)&gt;0,COUNTIFS(出库明细!$C$4:C2981,出库明细!C2981,出库明细!$D$4:D2981,出库明细!D2981)&gt;1),"",IFERROR(MATCH(出库明细!C2981,总览汇总!$B$5:$B$304,0),900)*10000000+IFERROR(MATCH(出库明细!D2981,基础资料!$E$5:$E$104,0),900)*10000+ROW()))</f>
      </c>
      <c r="F3981">
        <f>IF(AND(资金台帐!J984&lt;&gt;"",资金台帐!J984=客户对账单!$B$4,资金台帐!P984="应收",ISNUMBER(资金台帐!B984),资金台帐!B984&gt;=客户对账单!$G$4,资金台帐!B984&lt;=客户对账单!$I$4),资金台帐!B984+ROW()/100000,"")</f>
      </c>
      <c r="H3981">
        <f>IF(AND(资金台帐!K2484&lt;&gt;"",资金台帐!K2484=供应商对账单!$B$4,资金台帐!P2484="应付",ISNUMBER(资金台帐!B2484),资金台帐!B2484&gt;=供应商对账单!$G$4,资金台帐!B2484&lt;=供应商对账单!$I$4),资金台帐!B2484+ROW()/100000,"")</f>
      </c>
    </row>
    <row r="3982">
      <c r="A3982">
        <f>IF(OR(出库明细!C2982="",出库明细!D2982=""),"",IF(OR(COUNTIFS(存条明细!$C$4:$C$1003,出库明细!C2982,存条明细!$D$4:$D$1003,出库明细!D2982)&gt;0,COUNTIFS(出库明细!$C$4:C2982,出库明细!C2982,出库明细!$D$4:D2982,出库明细!D2982)&gt;1),"",IFERROR(MATCH(出库明细!C2982,总览汇总!$B$5:$B$304,0),900)*10000000+IFERROR(MATCH(出库明细!D2982,基础资料!$E$5:$E$104,0),900)*10000+ROW()))</f>
      </c>
      <c r="F3982">
        <f>IF(AND(资金台帐!J985&lt;&gt;"",资金台帐!J985=客户对账单!$B$4,资金台帐!P985="应收",ISNUMBER(资金台帐!B985),资金台帐!B985&gt;=客户对账单!$G$4,资金台帐!B985&lt;=客户对账单!$I$4),资金台帐!B985+ROW()/100000,"")</f>
      </c>
      <c r="H3982">
        <f>IF(AND(资金台帐!K2485&lt;&gt;"",资金台帐!K2485=供应商对账单!$B$4,资金台帐!P2485="应付",ISNUMBER(资金台帐!B2485),资金台帐!B2485&gt;=供应商对账单!$G$4,资金台帐!B2485&lt;=供应商对账单!$I$4),资金台帐!B2485+ROW()/100000,"")</f>
      </c>
    </row>
    <row r="3983">
      <c r="A3983">
        <f>IF(OR(出库明细!C2983="",出库明细!D2983=""),"",IF(OR(COUNTIFS(存条明细!$C$4:$C$1003,出库明细!C2983,存条明细!$D$4:$D$1003,出库明细!D2983)&gt;0,COUNTIFS(出库明细!$C$4:C2983,出库明细!C2983,出库明细!$D$4:D2983,出库明细!D2983)&gt;1),"",IFERROR(MATCH(出库明细!C2983,总览汇总!$B$5:$B$304,0),900)*10000000+IFERROR(MATCH(出库明细!D2983,基础资料!$E$5:$E$104,0),900)*10000+ROW()))</f>
      </c>
      <c r="F3983">
        <f>IF(AND(资金台帐!J986&lt;&gt;"",资金台帐!J986=客户对账单!$B$4,资金台帐!P986="应收",ISNUMBER(资金台帐!B986),资金台帐!B986&gt;=客户对账单!$G$4,资金台帐!B986&lt;=客户对账单!$I$4),资金台帐!B986+ROW()/100000,"")</f>
      </c>
      <c r="H3983">
        <f>IF(AND(资金台帐!K2486&lt;&gt;"",资金台帐!K2486=供应商对账单!$B$4,资金台帐!P2486="应付",ISNUMBER(资金台帐!B2486),资金台帐!B2486&gt;=供应商对账单!$G$4,资金台帐!B2486&lt;=供应商对账单!$I$4),资金台帐!B2486+ROW()/100000,"")</f>
      </c>
    </row>
    <row r="3984">
      <c r="A3984">
        <f>IF(OR(出库明细!C2984="",出库明细!D2984=""),"",IF(OR(COUNTIFS(存条明细!$C$4:$C$1003,出库明细!C2984,存条明细!$D$4:$D$1003,出库明细!D2984)&gt;0,COUNTIFS(出库明细!$C$4:C2984,出库明细!C2984,出库明细!$D$4:D2984,出库明细!D2984)&gt;1),"",IFERROR(MATCH(出库明细!C2984,总览汇总!$B$5:$B$304,0),900)*10000000+IFERROR(MATCH(出库明细!D2984,基础资料!$E$5:$E$104,0),900)*10000+ROW()))</f>
      </c>
      <c r="F3984">
        <f>IF(AND(资金台帐!J987&lt;&gt;"",资金台帐!J987=客户对账单!$B$4,资金台帐!P987="应收",ISNUMBER(资金台帐!B987),资金台帐!B987&gt;=客户对账单!$G$4,资金台帐!B987&lt;=客户对账单!$I$4),资金台帐!B987+ROW()/100000,"")</f>
      </c>
      <c r="H3984">
        <f>IF(AND(资金台帐!K2487&lt;&gt;"",资金台帐!K2487=供应商对账单!$B$4,资金台帐!P2487="应付",ISNUMBER(资金台帐!B2487),资金台帐!B2487&gt;=供应商对账单!$G$4,资金台帐!B2487&lt;=供应商对账单!$I$4),资金台帐!B2487+ROW()/100000,"")</f>
      </c>
    </row>
    <row r="3985">
      <c r="A3985">
        <f>IF(OR(出库明细!C2985="",出库明细!D2985=""),"",IF(OR(COUNTIFS(存条明细!$C$4:$C$1003,出库明细!C2985,存条明细!$D$4:$D$1003,出库明细!D2985)&gt;0,COUNTIFS(出库明细!$C$4:C2985,出库明细!C2985,出库明细!$D$4:D2985,出库明细!D2985)&gt;1),"",IFERROR(MATCH(出库明细!C2985,总览汇总!$B$5:$B$304,0),900)*10000000+IFERROR(MATCH(出库明细!D2985,基础资料!$E$5:$E$104,0),900)*10000+ROW()))</f>
      </c>
      <c r="F3985">
        <f>IF(AND(资金台帐!J988&lt;&gt;"",资金台帐!J988=客户对账单!$B$4,资金台帐!P988="应收",ISNUMBER(资金台帐!B988),资金台帐!B988&gt;=客户对账单!$G$4,资金台帐!B988&lt;=客户对账单!$I$4),资金台帐!B988+ROW()/100000,"")</f>
      </c>
      <c r="H3985">
        <f>IF(AND(资金台帐!K2488&lt;&gt;"",资金台帐!K2488=供应商对账单!$B$4,资金台帐!P2488="应付",ISNUMBER(资金台帐!B2488),资金台帐!B2488&gt;=供应商对账单!$G$4,资金台帐!B2488&lt;=供应商对账单!$I$4),资金台帐!B2488+ROW()/100000,"")</f>
      </c>
    </row>
    <row r="3986">
      <c r="A3986">
        <f>IF(OR(出库明细!C2986="",出库明细!D2986=""),"",IF(OR(COUNTIFS(存条明细!$C$4:$C$1003,出库明细!C2986,存条明细!$D$4:$D$1003,出库明细!D2986)&gt;0,COUNTIFS(出库明细!$C$4:C2986,出库明细!C2986,出库明细!$D$4:D2986,出库明细!D2986)&gt;1),"",IFERROR(MATCH(出库明细!C2986,总览汇总!$B$5:$B$304,0),900)*10000000+IFERROR(MATCH(出库明细!D2986,基础资料!$E$5:$E$104,0),900)*10000+ROW()))</f>
      </c>
      <c r="F3986">
        <f>IF(AND(资金台帐!J989&lt;&gt;"",资金台帐!J989=客户对账单!$B$4,资金台帐!P989="应收",ISNUMBER(资金台帐!B989),资金台帐!B989&gt;=客户对账单!$G$4,资金台帐!B989&lt;=客户对账单!$I$4),资金台帐!B989+ROW()/100000,"")</f>
      </c>
      <c r="H3986">
        <f>IF(AND(资金台帐!K2489&lt;&gt;"",资金台帐!K2489=供应商对账单!$B$4,资金台帐!P2489="应付",ISNUMBER(资金台帐!B2489),资金台帐!B2489&gt;=供应商对账单!$G$4,资金台帐!B2489&lt;=供应商对账单!$I$4),资金台帐!B2489+ROW()/100000,"")</f>
      </c>
    </row>
    <row r="3987">
      <c r="A3987">
        <f>IF(OR(出库明细!C2987="",出库明细!D2987=""),"",IF(OR(COUNTIFS(存条明细!$C$4:$C$1003,出库明细!C2987,存条明细!$D$4:$D$1003,出库明细!D2987)&gt;0,COUNTIFS(出库明细!$C$4:C2987,出库明细!C2987,出库明细!$D$4:D2987,出库明细!D2987)&gt;1),"",IFERROR(MATCH(出库明细!C2987,总览汇总!$B$5:$B$304,0),900)*10000000+IFERROR(MATCH(出库明细!D2987,基础资料!$E$5:$E$104,0),900)*10000+ROW()))</f>
      </c>
      <c r="F3987">
        <f>IF(AND(资金台帐!J990&lt;&gt;"",资金台帐!J990=客户对账单!$B$4,资金台帐!P990="应收",ISNUMBER(资金台帐!B990),资金台帐!B990&gt;=客户对账单!$G$4,资金台帐!B990&lt;=客户对账单!$I$4),资金台帐!B990+ROW()/100000,"")</f>
      </c>
      <c r="H3987">
        <f>IF(AND(资金台帐!K2490&lt;&gt;"",资金台帐!K2490=供应商对账单!$B$4,资金台帐!P2490="应付",ISNUMBER(资金台帐!B2490),资金台帐!B2490&gt;=供应商对账单!$G$4,资金台帐!B2490&lt;=供应商对账单!$I$4),资金台帐!B2490+ROW()/100000,"")</f>
      </c>
    </row>
    <row r="3988">
      <c r="A3988">
        <f>IF(OR(出库明细!C2988="",出库明细!D2988=""),"",IF(OR(COUNTIFS(存条明细!$C$4:$C$1003,出库明细!C2988,存条明细!$D$4:$D$1003,出库明细!D2988)&gt;0,COUNTIFS(出库明细!$C$4:C2988,出库明细!C2988,出库明细!$D$4:D2988,出库明细!D2988)&gt;1),"",IFERROR(MATCH(出库明细!C2988,总览汇总!$B$5:$B$304,0),900)*10000000+IFERROR(MATCH(出库明细!D2988,基础资料!$E$5:$E$104,0),900)*10000+ROW()))</f>
      </c>
      <c r="F3988">
        <f>IF(AND(资金台帐!J991&lt;&gt;"",资金台帐!J991=客户对账单!$B$4,资金台帐!P991="应收",ISNUMBER(资金台帐!B991),资金台帐!B991&gt;=客户对账单!$G$4,资金台帐!B991&lt;=客户对账单!$I$4),资金台帐!B991+ROW()/100000,"")</f>
      </c>
      <c r="H3988">
        <f>IF(AND(资金台帐!K2491&lt;&gt;"",资金台帐!K2491=供应商对账单!$B$4,资金台帐!P2491="应付",ISNUMBER(资金台帐!B2491),资金台帐!B2491&gt;=供应商对账单!$G$4,资金台帐!B2491&lt;=供应商对账单!$I$4),资金台帐!B2491+ROW()/100000,"")</f>
      </c>
    </row>
    <row r="3989">
      <c r="A3989">
        <f>IF(OR(出库明细!C2989="",出库明细!D2989=""),"",IF(OR(COUNTIFS(存条明细!$C$4:$C$1003,出库明细!C2989,存条明细!$D$4:$D$1003,出库明细!D2989)&gt;0,COUNTIFS(出库明细!$C$4:C2989,出库明细!C2989,出库明细!$D$4:D2989,出库明细!D2989)&gt;1),"",IFERROR(MATCH(出库明细!C2989,总览汇总!$B$5:$B$304,0),900)*10000000+IFERROR(MATCH(出库明细!D2989,基础资料!$E$5:$E$104,0),900)*10000+ROW()))</f>
      </c>
      <c r="F3989">
        <f>IF(AND(资金台帐!J992&lt;&gt;"",资金台帐!J992=客户对账单!$B$4,资金台帐!P992="应收",ISNUMBER(资金台帐!B992),资金台帐!B992&gt;=客户对账单!$G$4,资金台帐!B992&lt;=客户对账单!$I$4),资金台帐!B992+ROW()/100000,"")</f>
      </c>
      <c r="H3989">
        <f>IF(AND(资金台帐!K2492&lt;&gt;"",资金台帐!K2492=供应商对账单!$B$4,资金台帐!P2492="应付",ISNUMBER(资金台帐!B2492),资金台帐!B2492&gt;=供应商对账单!$G$4,资金台帐!B2492&lt;=供应商对账单!$I$4),资金台帐!B2492+ROW()/100000,"")</f>
      </c>
    </row>
    <row r="3990">
      <c r="A3990">
        <f>IF(OR(出库明细!C2990="",出库明细!D2990=""),"",IF(OR(COUNTIFS(存条明细!$C$4:$C$1003,出库明细!C2990,存条明细!$D$4:$D$1003,出库明细!D2990)&gt;0,COUNTIFS(出库明细!$C$4:C2990,出库明细!C2990,出库明细!$D$4:D2990,出库明细!D2990)&gt;1),"",IFERROR(MATCH(出库明细!C2990,总览汇总!$B$5:$B$304,0),900)*10000000+IFERROR(MATCH(出库明细!D2990,基础资料!$E$5:$E$104,0),900)*10000+ROW()))</f>
      </c>
      <c r="F3990">
        <f>IF(AND(资金台帐!J993&lt;&gt;"",资金台帐!J993=客户对账单!$B$4,资金台帐!P993="应收",ISNUMBER(资金台帐!B993),资金台帐!B993&gt;=客户对账单!$G$4,资金台帐!B993&lt;=客户对账单!$I$4),资金台帐!B993+ROW()/100000,"")</f>
      </c>
      <c r="H3990">
        <f>IF(AND(资金台帐!K2493&lt;&gt;"",资金台帐!K2493=供应商对账单!$B$4,资金台帐!P2493="应付",ISNUMBER(资金台帐!B2493),资金台帐!B2493&gt;=供应商对账单!$G$4,资金台帐!B2493&lt;=供应商对账单!$I$4),资金台帐!B2493+ROW()/100000,"")</f>
      </c>
    </row>
    <row r="3991">
      <c r="A3991">
        <f>IF(OR(出库明细!C2991="",出库明细!D2991=""),"",IF(OR(COUNTIFS(存条明细!$C$4:$C$1003,出库明细!C2991,存条明细!$D$4:$D$1003,出库明细!D2991)&gt;0,COUNTIFS(出库明细!$C$4:C2991,出库明细!C2991,出库明细!$D$4:D2991,出库明细!D2991)&gt;1),"",IFERROR(MATCH(出库明细!C2991,总览汇总!$B$5:$B$304,0),900)*10000000+IFERROR(MATCH(出库明细!D2991,基础资料!$E$5:$E$104,0),900)*10000+ROW()))</f>
      </c>
      <c r="F3991">
        <f>IF(AND(资金台帐!J994&lt;&gt;"",资金台帐!J994=客户对账单!$B$4,资金台帐!P994="应收",ISNUMBER(资金台帐!B994),资金台帐!B994&gt;=客户对账单!$G$4,资金台帐!B994&lt;=客户对账单!$I$4),资金台帐!B994+ROW()/100000,"")</f>
      </c>
      <c r="H3991">
        <f>IF(AND(资金台帐!K2494&lt;&gt;"",资金台帐!K2494=供应商对账单!$B$4,资金台帐!P2494="应付",ISNUMBER(资金台帐!B2494),资金台帐!B2494&gt;=供应商对账单!$G$4,资金台帐!B2494&lt;=供应商对账单!$I$4),资金台帐!B2494+ROW()/100000,"")</f>
      </c>
    </row>
    <row r="3992">
      <c r="A3992">
        <f>IF(OR(出库明细!C2992="",出库明细!D2992=""),"",IF(OR(COUNTIFS(存条明细!$C$4:$C$1003,出库明细!C2992,存条明细!$D$4:$D$1003,出库明细!D2992)&gt;0,COUNTIFS(出库明细!$C$4:C2992,出库明细!C2992,出库明细!$D$4:D2992,出库明细!D2992)&gt;1),"",IFERROR(MATCH(出库明细!C2992,总览汇总!$B$5:$B$304,0),900)*10000000+IFERROR(MATCH(出库明细!D2992,基础资料!$E$5:$E$104,0),900)*10000+ROW()))</f>
      </c>
      <c r="F3992">
        <f>IF(AND(资金台帐!J995&lt;&gt;"",资金台帐!J995=客户对账单!$B$4,资金台帐!P995="应收",ISNUMBER(资金台帐!B995),资金台帐!B995&gt;=客户对账单!$G$4,资金台帐!B995&lt;=客户对账单!$I$4),资金台帐!B995+ROW()/100000,"")</f>
      </c>
      <c r="H3992">
        <f>IF(AND(资金台帐!K2495&lt;&gt;"",资金台帐!K2495=供应商对账单!$B$4,资金台帐!P2495="应付",ISNUMBER(资金台帐!B2495),资金台帐!B2495&gt;=供应商对账单!$G$4,资金台帐!B2495&lt;=供应商对账单!$I$4),资金台帐!B2495+ROW()/100000,"")</f>
      </c>
    </row>
    <row r="3993">
      <c r="A3993">
        <f>IF(OR(出库明细!C2993="",出库明细!D2993=""),"",IF(OR(COUNTIFS(存条明细!$C$4:$C$1003,出库明细!C2993,存条明细!$D$4:$D$1003,出库明细!D2993)&gt;0,COUNTIFS(出库明细!$C$4:C2993,出库明细!C2993,出库明细!$D$4:D2993,出库明细!D2993)&gt;1),"",IFERROR(MATCH(出库明细!C2993,总览汇总!$B$5:$B$304,0),900)*10000000+IFERROR(MATCH(出库明细!D2993,基础资料!$E$5:$E$104,0),900)*10000+ROW()))</f>
      </c>
      <c r="F3993">
        <f>IF(AND(资金台帐!J996&lt;&gt;"",资金台帐!J996=客户对账单!$B$4,资金台帐!P996="应收",ISNUMBER(资金台帐!B996),资金台帐!B996&gt;=客户对账单!$G$4,资金台帐!B996&lt;=客户对账单!$I$4),资金台帐!B996+ROW()/100000,"")</f>
      </c>
      <c r="H3993">
        <f>IF(AND(资金台帐!K2496&lt;&gt;"",资金台帐!K2496=供应商对账单!$B$4,资金台帐!P2496="应付",ISNUMBER(资金台帐!B2496),资金台帐!B2496&gt;=供应商对账单!$G$4,资金台帐!B2496&lt;=供应商对账单!$I$4),资金台帐!B2496+ROW()/100000,"")</f>
      </c>
    </row>
    <row r="3994">
      <c r="A3994">
        <f>IF(OR(出库明细!C2994="",出库明细!D2994=""),"",IF(OR(COUNTIFS(存条明细!$C$4:$C$1003,出库明细!C2994,存条明细!$D$4:$D$1003,出库明细!D2994)&gt;0,COUNTIFS(出库明细!$C$4:C2994,出库明细!C2994,出库明细!$D$4:D2994,出库明细!D2994)&gt;1),"",IFERROR(MATCH(出库明细!C2994,总览汇总!$B$5:$B$304,0),900)*10000000+IFERROR(MATCH(出库明细!D2994,基础资料!$E$5:$E$104,0),900)*10000+ROW()))</f>
      </c>
      <c r="F3994">
        <f>IF(AND(资金台帐!J997&lt;&gt;"",资金台帐!J997=客户对账单!$B$4,资金台帐!P997="应收",ISNUMBER(资金台帐!B997),资金台帐!B997&gt;=客户对账单!$G$4,资金台帐!B997&lt;=客户对账单!$I$4),资金台帐!B997+ROW()/100000,"")</f>
      </c>
      <c r="H3994">
        <f>IF(AND(资金台帐!K2497&lt;&gt;"",资金台帐!K2497=供应商对账单!$B$4,资金台帐!P2497="应付",ISNUMBER(资金台帐!B2497),资金台帐!B2497&gt;=供应商对账单!$G$4,资金台帐!B2497&lt;=供应商对账单!$I$4),资金台帐!B2497+ROW()/100000,"")</f>
      </c>
    </row>
    <row r="3995">
      <c r="A3995">
        <f>IF(OR(出库明细!C2995="",出库明细!D2995=""),"",IF(OR(COUNTIFS(存条明细!$C$4:$C$1003,出库明细!C2995,存条明细!$D$4:$D$1003,出库明细!D2995)&gt;0,COUNTIFS(出库明细!$C$4:C2995,出库明细!C2995,出库明细!$D$4:D2995,出库明细!D2995)&gt;1),"",IFERROR(MATCH(出库明细!C2995,总览汇总!$B$5:$B$304,0),900)*10000000+IFERROR(MATCH(出库明细!D2995,基础资料!$E$5:$E$104,0),900)*10000+ROW()))</f>
      </c>
      <c r="F3995">
        <f>IF(AND(资金台帐!J998&lt;&gt;"",资金台帐!J998=客户对账单!$B$4,资金台帐!P998="应收",ISNUMBER(资金台帐!B998),资金台帐!B998&gt;=客户对账单!$G$4,资金台帐!B998&lt;=客户对账单!$I$4),资金台帐!B998+ROW()/100000,"")</f>
      </c>
      <c r="H3995">
        <f>IF(AND(资金台帐!K2498&lt;&gt;"",资金台帐!K2498=供应商对账单!$B$4,资金台帐!P2498="应付",ISNUMBER(资金台帐!B2498),资金台帐!B2498&gt;=供应商对账单!$G$4,资金台帐!B2498&lt;=供应商对账单!$I$4),资金台帐!B2498+ROW()/100000,"")</f>
      </c>
    </row>
    <row r="3996">
      <c r="A3996">
        <f>IF(OR(出库明细!C2996="",出库明细!D2996=""),"",IF(OR(COUNTIFS(存条明细!$C$4:$C$1003,出库明细!C2996,存条明细!$D$4:$D$1003,出库明细!D2996)&gt;0,COUNTIFS(出库明细!$C$4:C2996,出库明细!C2996,出库明细!$D$4:D2996,出库明细!D2996)&gt;1),"",IFERROR(MATCH(出库明细!C2996,总览汇总!$B$5:$B$304,0),900)*10000000+IFERROR(MATCH(出库明细!D2996,基础资料!$E$5:$E$104,0),900)*10000+ROW()))</f>
      </c>
      <c r="F3996">
        <f>IF(AND(资金台帐!J999&lt;&gt;"",资金台帐!J999=客户对账单!$B$4,资金台帐!P999="应收",ISNUMBER(资金台帐!B999),资金台帐!B999&gt;=客户对账单!$G$4,资金台帐!B999&lt;=客户对账单!$I$4),资金台帐!B999+ROW()/100000,"")</f>
      </c>
      <c r="H3996">
        <f>IF(AND(资金台帐!K2499&lt;&gt;"",资金台帐!K2499=供应商对账单!$B$4,资金台帐!P2499="应付",ISNUMBER(资金台帐!B2499),资金台帐!B2499&gt;=供应商对账单!$G$4,资金台帐!B2499&lt;=供应商对账单!$I$4),资金台帐!B2499+ROW()/100000,"")</f>
      </c>
    </row>
    <row r="3997">
      <c r="A3997">
        <f>IF(OR(出库明细!C2997="",出库明细!D2997=""),"",IF(OR(COUNTIFS(存条明细!$C$4:$C$1003,出库明细!C2997,存条明细!$D$4:$D$1003,出库明细!D2997)&gt;0,COUNTIFS(出库明细!$C$4:C2997,出库明细!C2997,出库明细!$D$4:D2997,出库明细!D2997)&gt;1),"",IFERROR(MATCH(出库明细!C2997,总览汇总!$B$5:$B$304,0),900)*10000000+IFERROR(MATCH(出库明细!D2997,基础资料!$E$5:$E$104,0),900)*10000+ROW()))</f>
      </c>
      <c r="F3997">
        <f>IF(AND(资金台帐!J1000&lt;&gt;"",资金台帐!J1000=客户对账单!$B$4,资金台帐!P1000="应收",ISNUMBER(资金台帐!B1000),资金台帐!B1000&gt;=客户对账单!$G$4,资金台帐!B1000&lt;=客户对账单!$I$4),资金台帐!B1000+ROW()/100000,"")</f>
      </c>
      <c r="H3997">
        <f>IF(AND(资金台帐!K2500&lt;&gt;"",资金台帐!K2500=供应商对账单!$B$4,资金台帐!P2500="应付",ISNUMBER(资金台帐!B2500),资金台帐!B2500&gt;=供应商对账单!$G$4,资金台帐!B2500&lt;=供应商对账单!$I$4),资金台帐!B2500+ROW()/100000,"")</f>
      </c>
    </row>
    <row r="3998">
      <c r="A3998">
        <f>IF(OR(出库明细!C2998="",出库明细!D2998=""),"",IF(OR(COUNTIFS(存条明细!$C$4:$C$1003,出库明细!C2998,存条明细!$D$4:$D$1003,出库明细!D2998)&gt;0,COUNTIFS(出库明细!$C$4:C2998,出库明细!C2998,出库明细!$D$4:D2998,出库明细!D2998)&gt;1),"",IFERROR(MATCH(出库明细!C2998,总览汇总!$B$5:$B$304,0),900)*10000000+IFERROR(MATCH(出库明细!D2998,基础资料!$E$5:$E$104,0),900)*10000+ROW()))</f>
      </c>
      <c r="F3998">
        <f>IF(AND(资金台帐!J1001&lt;&gt;"",资金台帐!J1001=客户对账单!$B$4,资金台帐!P1001="应收",ISNUMBER(资金台帐!B1001),资金台帐!B1001&gt;=客户对账单!$G$4,资金台帐!B1001&lt;=客户对账单!$I$4),资金台帐!B1001+ROW()/100000,"")</f>
      </c>
      <c r="H3998">
        <f>IF(AND(资金台帐!K2501&lt;&gt;"",资金台帐!K2501=供应商对账单!$B$4,资金台帐!P2501="应付",ISNUMBER(资金台帐!B2501),资金台帐!B2501&gt;=供应商对账单!$G$4,资金台帐!B2501&lt;=供应商对账单!$I$4),资金台帐!B2501+ROW()/100000,"")</f>
      </c>
    </row>
    <row r="3999">
      <c r="A3999">
        <f>IF(OR(出库明细!C2999="",出库明细!D2999=""),"",IF(OR(COUNTIFS(存条明细!$C$4:$C$1003,出库明细!C2999,存条明细!$D$4:$D$1003,出库明细!D2999)&gt;0,COUNTIFS(出库明细!$C$4:C2999,出库明细!C2999,出库明细!$D$4:D2999,出库明细!D2999)&gt;1),"",IFERROR(MATCH(出库明细!C2999,总览汇总!$B$5:$B$304,0),900)*10000000+IFERROR(MATCH(出库明细!D2999,基础资料!$E$5:$E$104,0),900)*10000+ROW()))</f>
      </c>
      <c r="F3999">
        <f>IF(AND(资金台帐!J1002&lt;&gt;"",资金台帐!J1002=客户对账单!$B$4,资金台帐!P1002="应收",ISNUMBER(资金台帐!B1002),资金台帐!B1002&gt;=客户对账单!$G$4,资金台帐!B1002&lt;=客户对账单!$I$4),资金台帐!B1002+ROW()/100000,"")</f>
      </c>
      <c r="H3999">
        <f>IF(AND(资金台帐!K2502&lt;&gt;"",资金台帐!K2502=供应商对账单!$B$4,资金台帐!P2502="应付",ISNUMBER(资金台帐!B2502),资金台帐!B2502&gt;=供应商对账单!$G$4,资金台帐!B2502&lt;=供应商对账单!$I$4),资金台帐!B2502+ROW()/100000,"")</f>
      </c>
    </row>
    <row r="4000">
      <c r="A4000">
        <f>IF(OR(出库明细!C3000="",出库明细!D3000=""),"",IF(OR(COUNTIFS(存条明细!$C$4:$C$1003,出库明细!C3000,存条明细!$D$4:$D$1003,出库明细!D3000)&gt;0,COUNTIFS(出库明细!$C$4:C3000,出库明细!C3000,出库明细!$D$4:D3000,出库明细!D3000)&gt;1),"",IFERROR(MATCH(出库明细!C3000,总览汇总!$B$5:$B$304,0),900)*10000000+IFERROR(MATCH(出库明细!D3000,基础资料!$E$5:$E$104,0),900)*10000+ROW()))</f>
      </c>
      <c r="F4000">
        <f>IF(AND(资金台帐!J1003&lt;&gt;"",资金台帐!J1003=客户对账单!$B$4,资金台帐!P1003="应收",ISNUMBER(资金台帐!B1003),资金台帐!B1003&gt;=客户对账单!$G$4,资金台帐!B1003&lt;=客户对账单!$I$4),资金台帐!B1003+ROW()/100000,"")</f>
      </c>
      <c r="H4000">
        <f>IF(AND(资金台帐!K2503&lt;&gt;"",资金台帐!K2503=供应商对账单!$B$4,资金台帐!P2503="应付",ISNUMBER(资金台帐!B2503),资金台帐!B2503&gt;=供应商对账单!$G$4,资金台帐!B2503&lt;=供应商对账单!$I$4),资金台帐!B2503+ROW()/100000,"")</f>
      </c>
    </row>
    <row r="4001">
      <c r="A4001">
        <f>IF(OR(出库明细!C3001="",出库明细!D3001=""),"",IF(OR(COUNTIFS(存条明细!$C$4:$C$1003,出库明细!C3001,存条明细!$D$4:$D$1003,出库明细!D3001)&gt;0,COUNTIFS(出库明细!$C$4:C3001,出库明细!C3001,出库明细!$D$4:D3001,出库明细!D3001)&gt;1),"",IFERROR(MATCH(出库明细!C3001,总览汇总!$B$5:$B$304,0),900)*10000000+IFERROR(MATCH(出库明细!D3001,基础资料!$E$5:$E$104,0),900)*10000+ROW()))</f>
      </c>
      <c r="F4001">
        <f>IF(AND(资金台帐!J1004&lt;&gt;"",资金台帐!J1004=客户对账单!$B$4,资金台帐!P1004="应收",ISNUMBER(资金台帐!B1004),资金台帐!B1004&gt;=客户对账单!$G$4,资金台帐!B1004&lt;=客户对账单!$I$4),资金台帐!B1004+ROW()/100000,"")</f>
      </c>
      <c r="H4001">
        <f>IF(AND(资金台帐!K2504&lt;&gt;"",资金台帐!K2504=供应商对账单!$B$4,资金台帐!P2504="应付",ISNUMBER(资金台帐!B2504),资金台帐!B2504&gt;=供应商对账单!$G$4,资金台帐!B2504&lt;=供应商对账单!$I$4),资金台帐!B2504+ROW()/100000,"")</f>
      </c>
    </row>
    <row r="4002">
      <c r="A4002">
        <f>IF(OR(出库明细!C3002="",出库明细!D3002=""),"",IF(OR(COUNTIFS(存条明细!$C$4:$C$1003,出库明细!C3002,存条明细!$D$4:$D$1003,出库明细!D3002)&gt;0,COUNTIFS(出库明细!$C$4:C3002,出库明细!C3002,出库明细!$D$4:D3002,出库明细!D3002)&gt;1),"",IFERROR(MATCH(出库明细!C3002,总览汇总!$B$5:$B$304,0),900)*10000000+IFERROR(MATCH(出库明细!D3002,基础资料!$E$5:$E$104,0),900)*10000+ROW()))</f>
      </c>
      <c r="F4002">
        <f>IF(AND(资金台帐!J1005&lt;&gt;"",资金台帐!J1005=客户对账单!$B$4,资金台帐!P1005="应收",ISNUMBER(资金台帐!B1005),资金台帐!B1005&gt;=客户对账单!$G$4,资金台帐!B1005&lt;=客户对账单!$I$4),资金台帐!B1005+ROW()/100000,"")</f>
      </c>
      <c r="H4002">
        <f>IF(AND(资金台帐!K2505&lt;&gt;"",资金台帐!K2505=供应商对账单!$B$4,资金台帐!P2505="应付",ISNUMBER(资金台帐!B2505),资金台帐!B2505&gt;=供应商对账单!$G$4,资金台帐!B2505&lt;=供应商对账单!$I$4),资金台帐!B2505+ROW()/100000,"")</f>
      </c>
    </row>
    <row r="4003">
      <c r="A4003">
        <f>IF(OR(出库明细!C3003="",出库明细!D3003=""),"",IF(OR(COUNTIFS(存条明细!$C$4:$C$1003,出库明细!C3003,存条明细!$D$4:$D$1003,出库明细!D3003)&gt;0,COUNTIFS(出库明细!$C$4:C3003,出库明细!C3003,出库明细!$D$4:D3003,出库明细!D3003)&gt;1),"",IFERROR(MATCH(出库明细!C3003,总览汇总!$B$5:$B$304,0),900)*10000000+IFERROR(MATCH(出库明细!D3003,基础资料!$E$5:$E$104,0),900)*10000+ROW()))</f>
      </c>
      <c r="F4003">
        <f>IF(AND(资金台帐!J1006&lt;&gt;"",资金台帐!J1006=客户对账单!$B$4,资金台帐!P1006="应收",ISNUMBER(资金台帐!B1006),资金台帐!B1006&gt;=客户对账单!$G$4,资金台帐!B1006&lt;=客户对账单!$I$4),资金台帐!B1006+ROW()/100000,"")</f>
      </c>
      <c r="H4003">
        <f>IF(AND(资金台帐!K2506&lt;&gt;"",资金台帐!K2506=供应商对账单!$B$4,资金台帐!P2506="应付",ISNUMBER(资金台帐!B2506),资金台帐!B2506&gt;=供应商对账单!$G$4,资金台帐!B2506&lt;=供应商对账单!$I$4),资金台帐!B2506+ROW()/100000,"")</f>
      </c>
    </row>
    <row r="4004">
      <c r="F4004">
        <f>IF(AND(资金台帐!J1007&lt;&gt;"",资金台帐!J1007=客户对账单!$B$4,资金台帐!P1007="应收",ISNUMBER(资金台帐!B1007),资金台帐!B1007&gt;=客户对账单!$G$4,资金台帐!B1007&lt;=客户对账单!$I$4),资金台帐!B1007+ROW()/100000,"")</f>
      </c>
      <c r="H4004">
        <f>IF(AND(资金台帐!K2507&lt;&gt;"",资金台帐!K2507=供应商对账单!$B$4,资金台帐!P2507="应付",ISNUMBER(资金台帐!B2507),资金台帐!B2507&gt;=供应商对账单!$G$4,资金台帐!B2507&lt;=供应商对账单!$I$4),资金台帐!B2507+ROW()/100000,"")</f>
      </c>
    </row>
    <row r="4005">
      <c r="F4005">
        <f>IF(AND(资金台帐!J1008&lt;&gt;"",资金台帐!J1008=客户对账单!$B$4,资金台帐!P1008="应收",ISNUMBER(资金台帐!B1008),资金台帐!B1008&gt;=客户对账单!$G$4,资金台帐!B1008&lt;=客户对账单!$I$4),资金台帐!B1008+ROW()/100000,"")</f>
      </c>
      <c r="H4005">
        <f>IF(AND(资金台帐!K2508&lt;&gt;"",资金台帐!K2508=供应商对账单!$B$4,资金台帐!P2508="应付",ISNUMBER(资金台帐!B2508),资金台帐!B2508&gt;=供应商对账单!$G$4,资金台帐!B2508&lt;=供应商对账单!$I$4),资金台帐!B2508+ROW()/100000,"")</f>
      </c>
    </row>
    <row r="4006">
      <c r="F4006">
        <f>IF(AND(资金台帐!J1009&lt;&gt;"",资金台帐!J1009=客户对账单!$B$4,资金台帐!P1009="应收",ISNUMBER(资金台帐!B1009),资金台帐!B1009&gt;=客户对账单!$G$4,资金台帐!B1009&lt;=客户对账单!$I$4),资金台帐!B1009+ROW()/100000,"")</f>
      </c>
      <c r="H4006">
        <f>IF(AND(资金台帐!K2509&lt;&gt;"",资金台帐!K2509=供应商对账单!$B$4,资金台帐!P2509="应付",ISNUMBER(资金台帐!B2509),资金台帐!B2509&gt;=供应商对账单!$G$4,资金台帐!B2509&lt;=供应商对账单!$I$4),资金台帐!B2509+ROW()/100000,"")</f>
      </c>
    </row>
    <row r="4007">
      <c r="F4007">
        <f>IF(AND(资金台帐!J1010&lt;&gt;"",资金台帐!J1010=客户对账单!$B$4,资金台帐!P1010="应收",ISNUMBER(资金台帐!B1010),资金台帐!B1010&gt;=客户对账单!$G$4,资金台帐!B1010&lt;=客户对账单!$I$4),资金台帐!B1010+ROW()/100000,"")</f>
      </c>
      <c r="H4007">
        <f>IF(AND(资金台帐!K2510&lt;&gt;"",资金台帐!K2510=供应商对账单!$B$4,资金台帐!P2510="应付",ISNUMBER(资金台帐!B2510),资金台帐!B2510&gt;=供应商对账单!$G$4,资金台帐!B2510&lt;=供应商对账单!$I$4),资金台帐!B2510+ROW()/100000,"")</f>
      </c>
    </row>
    <row r="4008">
      <c r="F4008">
        <f>IF(AND(资金台帐!J1011&lt;&gt;"",资金台帐!J1011=客户对账单!$B$4,资金台帐!P1011="应收",ISNUMBER(资金台帐!B1011),资金台帐!B1011&gt;=客户对账单!$G$4,资金台帐!B1011&lt;=客户对账单!$I$4),资金台帐!B1011+ROW()/100000,"")</f>
      </c>
      <c r="H4008">
        <f>IF(AND(资金台帐!K2511&lt;&gt;"",资金台帐!K2511=供应商对账单!$B$4,资金台帐!P2511="应付",ISNUMBER(资金台帐!B2511),资金台帐!B2511&gt;=供应商对账单!$G$4,资金台帐!B2511&lt;=供应商对账单!$I$4),资金台帐!B2511+ROW()/100000,"")</f>
      </c>
    </row>
    <row r="4009">
      <c r="F4009">
        <f>IF(AND(资金台帐!J1012&lt;&gt;"",资金台帐!J1012=客户对账单!$B$4,资金台帐!P1012="应收",ISNUMBER(资金台帐!B1012),资金台帐!B1012&gt;=客户对账单!$G$4,资金台帐!B1012&lt;=客户对账单!$I$4),资金台帐!B1012+ROW()/100000,"")</f>
      </c>
      <c r="H4009">
        <f>IF(AND(资金台帐!K2512&lt;&gt;"",资金台帐!K2512=供应商对账单!$B$4,资金台帐!P2512="应付",ISNUMBER(资金台帐!B2512),资金台帐!B2512&gt;=供应商对账单!$G$4,资金台帐!B2512&lt;=供应商对账单!$I$4),资金台帐!B2512+ROW()/100000,"")</f>
      </c>
    </row>
    <row r="4010">
      <c r="F4010">
        <f>IF(AND(资金台帐!J1013&lt;&gt;"",资金台帐!J1013=客户对账单!$B$4,资金台帐!P1013="应收",ISNUMBER(资金台帐!B1013),资金台帐!B1013&gt;=客户对账单!$G$4,资金台帐!B1013&lt;=客户对账单!$I$4),资金台帐!B1013+ROW()/100000,"")</f>
      </c>
      <c r="H4010">
        <f>IF(AND(资金台帐!K2513&lt;&gt;"",资金台帐!K2513=供应商对账单!$B$4,资金台帐!P2513="应付",ISNUMBER(资金台帐!B2513),资金台帐!B2513&gt;=供应商对账单!$G$4,资金台帐!B2513&lt;=供应商对账单!$I$4),资金台帐!B2513+ROW()/100000,"")</f>
      </c>
    </row>
    <row r="4011">
      <c r="F4011">
        <f>IF(AND(资金台帐!J1014&lt;&gt;"",资金台帐!J1014=客户对账单!$B$4,资金台帐!P1014="应收",ISNUMBER(资金台帐!B1014),资金台帐!B1014&gt;=客户对账单!$G$4,资金台帐!B1014&lt;=客户对账单!$I$4),资金台帐!B1014+ROW()/100000,"")</f>
      </c>
      <c r="H4011">
        <f>IF(AND(资金台帐!K2514&lt;&gt;"",资金台帐!K2514=供应商对账单!$B$4,资金台帐!P2514="应付",ISNUMBER(资金台帐!B2514),资金台帐!B2514&gt;=供应商对账单!$G$4,资金台帐!B2514&lt;=供应商对账单!$I$4),资金台帐!B2514+ROW()/100000,"")</f>
      </c>
    </row>
    <row r="4012">
      <c r="F4012">
        <f>IF(AND(资金台帐!J1015&lt;&gt;"",资金台帐!J1015=客户对账单!$B$4,资金台帐!P1015="应收",ISNUMBER(资金台帐!B1015),资金台帐!B1015&gt;=客户对账单!$G$4,资金台帐!B1015&lt;=客户对账单!$I$4),资金台帐!B1015+ROW()/100000,"")</f>
      </c>
      <c r="H4012">
        <f>IF(AND(资金台帐!K2515&lt;&gt;"",资金台帐!K2515=供应商对账单!$B$4,资金台帐!P2515="应付",ISNUMBER(资金台帐!B2515),资金台帐!B2515&gt;=供应商对账单!$G$4,资金台帐!B2515&lt;=供应商对账单!$I$4),资金台帐!B2515+ROW()/100000,"")</f>
      </c>
    </row>
    <row r="4013">
      <c r="F4013">
        <f>IF(AND(资金台帐!J1016&lt;&gt;"",资金台帐!J1016=客户对账单!$B$4,资金台帐!P1016="应收",ISNUMBER(资金台帐!B1016),资金台帐!B1016&gt;=客户对账单!$G$4,资金台帐!B1016&lt;=客户对账单!$I$4),资金台帐!B1016+ROW()/100000,"")</f>
      </c>
      <c r="H4013">
        <f>IF(AND(资金台帐!K2516&lt;&gt;"",资金台帐!K2516=供应商对账单!$B$4,资金台帐!P2516="应付",ISNUMBER(资金台帐!B2516),资金台帐!B2516&gt;=供应商对账单!$G$4,资金台帐!B2516&lt;=供应商对账单!$I$4),资金台帐!B2516+ROW()/100000,"")</f>
      </c>
    </row>
    <row r="4014">
      <c r="F4014">
        <f>IF(AND(资金台帐!J1017&lt;&gt;"",资金台帐!J1017=客户对账单!$B$4,资金台帐!P1017="应收",ISNUMBER(资金台帐!B1017),资金台帐!B1017&gt;=客户对账单!$G$4,资金台帐!B1017&lt;=客户对账单!$I$4),资金台帐!B1017+ROW()/100000,"")</f>
      </c>
      <c r="H4014">
        <f>IF(AND(资金台帐!K2517&lt;&gt;"",资金台帐!K2517=供应商对账单!$B$4,资金台帐!P2517="应付",ISNUMBER(资金台帐!B2517),资金台帐!B2517&gt;=供应商对账单!$G$4,资金台帐!B2517&lt;=供应商对账单!$I$4),资金台帐!B2517+ROW()/100000,"")</f>
      </c>
    </row>
    <row r="4015">
      <c r="F4015">
        <f>IF(AND(资金台帐!J1018&lt;&gt;"",资金台帐!J1018=客户对账单!$B$4,资金台帐!P1018="应收",ISNUMBER(资金台帐!B1018),资金台帐!B1018&gt;=客户对账单!$G$4,资金台帐!B1018&lt;=客户对账单!$I$4),资金台帐!B1018+ROW()/100000,"")</f>
      </c>
      <c r="H4015">
        <f>IF(AND(资金台帐!K2518&lt;&gt;"",资金台帐!K2518=供应商对账单!$B$4,资金台帐!P2518="应付",ISNUMBER(资金台帐!B2518),资金台帐!B2518&gt;=供应商对账单!$G$4,资金台帐!B2518&lt;=供应商对账单!$I$4),资金台帐!B2518+ROW()/100000,"")</f>
      </c>
    </row>
    <row r="4016">
      <c r="F4016">
        <f>IF(AND(资金台帐!J1019&lt;&gt;"",资金台帐!J1019=客户对账单!$B$4,资金台帐!P1019="应收",ISNUMBER(资金台帐!B1019),资金台帐!B1019&gt;=客户对账单!$G$4,资金台帐!B1019&lt;=客户对账单!$I$4),资金台帐!B1019+ROW()/100000,"")</f>
      </c>
      <c r="H4016">
        <f>IF(AND(资金台帐!K2519&lt;&gt;"",资金台帐!K2519=供应商对账单!$B$4,资金台帐!P2519="应付",ISNUMBER(资金台帐!B2519),资金台帐!B2519&gt;=供应商对账单!$G$4,资金台帐!B2519&lt;=供应商对账单!$I$4),资金台帐!B2519+ROW()/100000,"")</f>
      </c>
    </row>
    <row r="4017">
      <c r="F4017">
        <f>IF(AND(资金台帐!J1020&lt;&gt;"",资金台帐!J1020=客户对账单!$B$4,资金台帐!P1020="应收",ISNUMBER(资金台帐!B1020),资金台帐!B1020&gt;=客户对账单!$G$4,资金台帐!B1020&lt;=客户对账单!$I$4),资金台帐!B1020+ROW()/100000,"")</f>
      </c>
      <c r="H4017">
        <f>IF(AND(资金台帐!K2520&lt;&gt;"",资金台帐!K2520=供应商对账单!$B$4,资金台帐!P2520="应付",ISNUMBER(资金台帐!B2520),资金台帐!B2520&gt;=供应商对账单!$G$4,资金台帐!B2520&lt;=供应商对账单!$I$4),资金台帐!B2520+ROW()/100000,"")</f>
      </c>
    </row>
    <row r="4018">
      <c r="F4018">
        <f>IF(AND(资金台帐!J1021&lt;&gt;"",资金台帐!J1021=客户对账单!$B$4,资金台帐!P1021="应收",ISNUMBER(资金台帐!B1021),资金台帐!B1021&gt;=客户对账单!$G$4,资金台帐!B1021&lt;=客户对账单!$I$4),资金台帐!B1021+ROW()/100000,"")</f>
      </c>
      <c r="H4018">
        <f>IF(AND(资金台帐!K2521&lt;&gt;"",资金台帐!K2521=供应商对账单!$B$4,资金台帐!P2521="应付",ISNUMBER(资金台帐!B2521),资金台帐!B2521&gt;=供应商对账单!$G$4,资金台帐!B2521&lt;=供应商对账单!$I$4),资金台帐!B2521+ROW()/100000,"")</f>
      </c>
    </row>
    <row r="4019">
      <c r="F4019">
        <f>IF(AND(资金台帐!J1022&lt;&gt;"",资金台帐!J1022=客户对账单!$B$4,资金台帐!P1022="应收",ISNUMBER(资金台帐!B1022),资金台帐!B1022&gt;=客户对账单!$G$4,资金台帐!B1022&lt;=客户对账单!$I$4),资金台帐!B1022+ROW()/100000,"")</f>
      </c>
      <c r="H4019">
        <f>IF(AND(资金台帐!K2522&lt;&gt;"",资金台帐!K2522=供应商对账单!$B$4,资金台帐!P2522="应付",ISNUMBER(资金台帐!B2522),资金台帐!B2522&gt;=供应商对账单!$G$4,资金台帐!B2522&lt;=供应商对账单!$I$4),资金台帐!B2522+ROW()/100000,"")</f>
      </c>
    </row>
    <row r="4020">
      <c r="F4020">
        <f>IF(AND(资金台帐!J1023&lt;&gt;"",资金台帐!J1023=客户对账单!$B$4,资金台帐!P1023="应收",ISNUMBER(资金台帐!B1023),资金台帐!B1023&gt;=客户对账单!$G$4,资金台帐!B1023&lt;=客户对账单!$I$4),资金台帐!B1023+ROW()/100000,"")</f>
      </c>
      <c r="H4020">
        <f>IF(AND(资金台帐!K2523&lt;&gt;"",资金台帐!K2523=供应商对账单!$B$4,资金台帐!P2523="应付",ISNUMBER(资金台帐!B2523),资金台帐!B2523&gt;=供应商对账单!$G$4,资金台帐!B2523&lt;=供应商对账单!$I$4),资金台帐!B2523+ROW()/100000,"")</f>
      </c>
    </row>
    <row r="4021">
      <c r="F4021">
        <f>IF(AND(资金台帐!J1024&lt;&gt;"",资金台帐!J1024=客户对账单!$B$4,资金台帐!P1024="应收",ISNUMBER(资金台帐!B1024),资金台帐!B1024&gt;=客户对账单!$G$4,资金台帐!B1024&lt;=客户对账单!$I$4),资金台帐!B1024+ROW()/100000,"")</f>
      </c>
      <c r="H4021">
        <f>IF(AND(资金台帐!K2524&lt;&gt;"",资金台帐!K2524=供应商对账单!$B$4,资金台帐!P2524="应付",ISNUMBER(资金台帐!B2524),资金台帐!B2524&gt;=供应商对账单!$G$4,资金台帐!B2524&lt;=供应商对账单!$I$4),资金台帐!B2524+ROW()/100000,"")</f>
      </c>
    </row>
    <row r="4022">
      <c r="F4022">
        <f>IF(AND(资金台帐!J1025&lt;&gt;"",资金台帐!J1025=客户对账单!$B$4,资金台帐!P1025="应收",ISNUMBER(资金台帐!B1025),资金台帐!B1025&gt;=客户对账单!$G$4,资金台帐!B1025&lt;=客户对账单!$I$4),资金台帐!B1025+ROW()/100000,"")</f>
      </c>
      <c r="H4022">
        <f>IF(AND(资金台帐!K2525&lt;&gt;"",资金台帐!K2525=供应商对账单!$B$4,资金台帐!P2525="应付",ISNUMBER(资金台帐!B2525),资金台帐!B2525&gt;=供应商对账单!$G$4,资金台帐!B2525&lt;=供应商对账单!$I$4),资金台帐!B2525+ROW()/100000,"")</f>
      </c>
    </row>
    <row r="4023">
      <c r="F4023">
        <f>IF(AND(资金台帐!J1026&lt;&gt;"",资金台帐!J1026=客户对账单!$B$4,资金台帐!P1026="应收",ISNUMBER(资金台帐!B1026),资金台帐!B1026&gt;=客户对账单!$G$4,资金台帐!B1026&lt;=客户对账单!$I$4),资金台帐!B1026+ROW()/100000,"")</f>
      </c>
      <c r="H4023">
        <f>IF(AND(资金台帐!K2526&lt;&gt;"",资金台帐!K2526=供应商对账单!$B$4,资金台帐!P2526="应付",ISNUMBER(资金台帐!B2526),资金台帐!B2526&gt;=供应商对账单!$G$4,资金台帐!B2526&lt;=供应商对账单!$I$4),资金台帐!B2526+ROW()/100000,"")</f>
      </c>
    </row>
    <row r="4024">
      <c r="F4024">
        <f>IF(AND(资金台帐!J1027&lt;&gt;"",资金台帐!J1027=客户对账单!$B$4,资金台帐!P1027="应收",ISNUMBER(资金台帐!B1027),资金台帐!B1027&gt;=客户对账单!$G$4,资金台帐!B1027&lt;=客户对账单!$I$4),资金台帐!B1027+ROW()/100000,"")</f>
      </c>
      <c r="H4024">
        <f>IF(AND(资金台帐!K2527&lt;&gt;"",资金台帐!K2527=供应商对账单!$B$4,资金台帐!P2527="应付",ISNUMBER(资金台帐!B2527),资金台帐!B2527&gt;=供应商对账单!$G$4,资金台帐!B2527&lt;=供应商对账单!$I$4),资金台帐!B2527+ROW()/100000,"")</f>
      </c>
    </row>
    <row r="4025">
      <c r="F4025">
        <f>IF(AND(资金台帐!J1028&lt;&gt;"",资金台帐!J1028=客户对账单!$B$4,资金台帐!P1028="应收",ISNUMBER(资金台帐!B1028),资金台帐!B1028&gt;=客户对账单!$G$4,资金台帐!B1028&lt;=客户对账单!$I$4),资金台帐!B1028+ROW()/100000,"")</f>
      </c>
      <c r="H4025">
        <f>IF(AND(资金台帐!K2528&lt;&gt;"",资金台帐!K2528=供应商对账单!$B$4,资金台帐!P2528="应付",ISNUMBER(资金台帐!B2528),资金台帐!B2528&gt;=供应商对账单!$G$4,资金台帐!B2528&lt;=供应商对账单!$I$4),资金台帐!B2528+ROW()/100000,"")</f>
      </c>
    </row>
    <row r="4026">
      <c r="F4026">
        <f>IF(AND(资金台帐!J1029&lt;&gt;"",资金台帐!J1029=客户对账单!$B$4,资金台帐!P1029="应收",ISNUMBER(资金台帐!B1029),资金台帐!B1029&gt;=客户对账单!$G$4,资金台帐!B1029&lt;=客户对账单!$I$4),资金台帐!B1029+ROW()/100000,"")</f>
      </c>
      <c r="H4026">
        <f>IF(AND(资金台帐!K2529&lt;&gt;"",资金台帐!K2529=供应商对账单!$B$4,资金台帐!P2529="应付",ISNUMBER(资金台帐!B2529),资金台帐!B2529&gt;=供应商对账单!$G$4,资金台帐!B2529&lt;=供应商对账单!$I$4),资金台帐!B2529+ROW()/100000,"")</f>
      </c>
    </row>
    <row r="4027">
      <c r="F4027">
        <f>IF(AND(资金台帐!J1030&lt;&gt;"",资金台帐!J1030=客户对账单!$B$4,资金台帐!P1030="应收",ISNUMBER(资金台帐!B1030),资金台帐!B1030&gt;=客户对账单!$G$4,资金台帐!B1030&lt;=客户对账单!$I$4),资金台帐!B1030+ROW()/100000,"")</f>
      </c>
      <c r="H4027">
        <f>IF(AND(资金台帐!K2530&lt;&gt;"",资金台帐!K2530=供应商对账单!$B$4,资金台帐!P2530="应付",ISNUMBER(资金台帐!B2530),资金台帐!B2530&gt;=供应商对账单!$G$4,资金台帐!B2530&lt;=供应商对账单!$I$4),资金台帐!B2530+ROW()/100000,"")</f>
      </c>
    </row>
    <row r="4028">
      <c r="F4028">
        <f>IF(AND(资金台帐!J1031&lt;&gt;"",资金台帐!J1031=客户对账单!$B$4,资金台帐!P1031="应收",ISNUMBER(资金台帐!B1031),资金台帐!B1031&gt;=客户对账单!$G$4,资金台帐!B1031&lt;=客户对账单!$I$4),资金台帐!B1031+ROW()/100000,"")</f>
      </c>
      <c r="H4028">
        <f>IF(AND(资金台帐!K2531&lt;&gt;"",资金台帐!K2531=供应商对账单!$B$4,资金台帐!P2531="应付",ISNUMBER(资金台帐!B2531),资金台帐!B2531&gt;=供应商对账单!$G$4,资金台帐!B2531&lt;=供应商对账单!$I$4),资金台帐!B2531+ROW()/100000,"")</f>
      </c>
    </row>
    <row r="4029">
      <c r="F4029">
        <f>IF(AND(资金台帐!J1032&lt;&gt;"",资金台帐!J1032=客户对账单!$B$4,资金台帐!P1032="应收",ISNUMBER(资金台帐!B1032),资金台帐!B1032&gt;=客户对账单!$G$4,资金台帐!B1032&lt;=客户对账单!$I$4),资金台帐!B1032+ROW()/100000,"")</f>
      </c>
      <c r="H4029">
        <f>IF(AND(资金台帐!K2532&lt;&gt;"",资金台帐!K2532=供应商对账单!$B$4,资金台帐!P2532="应付",ISNUMBER(资金台帐!B2532),资金台帐!B2532&gt;=供应商对账单!$G$4,资金台帐!B2532&lt;=供应商对账单!$I$4),资金台帐!B2532+ROW()/100000,"")</f>
      </c>
    </row>
    <row r="4030">
      <c r="F4030">
        <f>IF(AND(资金台帐!J1033&lt;&gt;"",资金台帐!J1033=客户对账单!$B$4,资金台帐!P1033="应收",ISNUMBER(资金台帐!B1033),资金台帐!B1033&gt;=客户对账单!$G$4,资金台帐!B1033&lt;=客户对账单!$I$4),资金台帐!B1033+ROW()/100000,"")</f>
      </c>
      <c r="H4030">
        <f>IF(AND(资金台帐!K2533&lt;&gt;"",资金台帐!K2533=供应商对账单!$B$4,资金台帐!P2533="应付",ISNUMBER(资金台帐!B2533),资金台帐!B2533&gt;=供应商对账单!$G$4,资金台帐!B2533&lt;=供应商对账单!$I$4),资金台帐!B2533+ROW()/100000,"")</f>
      </c>
    </row>
    <row r="4031">
      <c r="F4031">
        <f>IF(AND(资金台帐!J1034&lt;&gt;"",资金台帐!J1034=客户对账单!$B$4,资金台帐!P1034="应收",ISNUMBER(资金台帐!B1034),资金台帐!B1034&gt;=客户对账单!$G$4,资金台帐!B1034&lt;=客户对账单!$I$4),资金台帐!B1034+ROW()/100000,"")</f>
      </c>
      <c r="H4031">
        <f>IF(AND(资金台帐!K2534&lt;&gt;"",资金台帐!K2534=供应商对账单!$B$4,资金台帐!P2534="应付",ISNUMBER(资金台帐!B2534),资金台帐!B2534&gt;=供应商对账单!$G$4,资金台帐!B2534&lt;=供应商对账单!$I$4),资金台帐!B2534+ROW()/100000,"")</f>
      </c>
    </row>
    <row r="4032">
      <c r="F4032">
        <f>IF(AND(资金台帐!J1035&lt;&gt;"",资金台帐!J1035=客户对账单!$B$4,资金台帐!P1035="应收",ISNUMBER(资金台帐!B1035),资金台帐!B1035&gt;=客户对账单!$G$4,资金台帐!B1035&lt;=客户对账单!$I$4),资金台帐!B1035+ROW()/100000,"")</f>
      </c>
      <c r="H4032">
        <f>IF(AND(资金台帐!K2535&lt;&gt;"",资金台帐!K2535=供应商对账单!$B$4,资金台帐!P2535="应付",ISNUMBER(资金台帐!B2535),资金台帐!B2535&gt;=供应商对账单!$G$4,资金台帐!B2535&lt;=供应商对账单!$I$4),资金台帐!B2535+ROW()/100000,"")</f>
      </c>
    </row>
    <row r="4033">
      <c r="F4033">
        <f>IF(AND(资金台帐!J1036&lt;&gt;"",资金台帐!J1036=客户对账单!$B$4,资金台帐!P1036="应收",ISNUMBER(资金台帐!B1036),资金台帐!B1036&gt;=客户对账单!$G$4,资金台帐!B1036&lt;=客户对账单!$I$4),资金台帐!B1036+ROW()/100000,"")</f>
      </c>
      <c r="H4033">
        <f>IF(AND(资金台帐!K2536&lt;&gt;"",资金台帐!K2536=供应商对账单!$B$4,资金台帐!P2536="应付",ISNUMBER(资金台帐!B2536),资金台帐!B2536&gt;=供应商对账单!$G$4,资金台帐!B2536&lt;=供应商对账单!$I$4),资金台帐!B2536+ROW()/100000,"")</f>
      </c>
    </row>
    <row r="4034">
      <c r="F4034">
        <f>IF(AND(资金台帐!J1037&lt;&gt;"",资金台帐!J1037=客户对账单!$B$4,资金台帐!P1037="应收",ISNUMBER(资金台帐!B1037),资金台帐!B1037&gt;=客户对账单!$G$4,资金台帐!B1037&lt;=客户对账单!$I$4),资金台帐!B1037+ROW()/100000,"")</f>
      </c>
      <c r="H4034">
        <f>IF(AND(资金台帐!K2537&lt;&gt;"",资金台帐!K2537=供应商对账单!$B$4,资金台帐!P2537="应付",ISNUMBER(资金台帐!B2537),资金台帐!B2537&gt;=供应商对账单!$G$4,资金台帐!B2537&lt;=供应商对账单!$I$4),资金台帐!B2537+ROW()/100000,"")</f>
      </c>
    </row>
    <row r="4035">
      <c r="F4035">
        <f>IF(AND(资金台帐!J1038&lt;&gt;"",资金台帐!J1038=客户对账单!$B$4,资金台帐!P1038="应收",ISNUMBER(资金台帐!B1038),资金台帐!B1038&gt;=客户对账单!$G$4,资金台帐!B1038&lt;=客户对账单!$I$4),资金台帐!B1038+ROW()/100000,"")</f>
      </c>
      <c r="H4035">
        <f>IF(AND(资金台帐!K2538&lt;&gt;"",资金台帐!K2538=供应商对账单!$B$4,资金台帐!P2538="应付",ISNUMBER(资金台帐!B2538),资金台帐!B2538&gt;=供应商对账单!$G$4,资金台帐!B2538&lt;=供应商对账单!$I$4),资金台帐!B2538+ROW()/100000,"")</f>
      </c>
    </row>
    <row r="4036">
      <c r="F4036">
        <f>IF(AND(资金台帐!J1039&lt;&gt;"",资金台帐!J1039=客户对账单!$B$4,资金台帐!P1039="应收",ISNUMBER(资金台帐!B1039),资金台帐!B1039&gt;=客户对账单!$G$4,资金台帐!B1039&lt;=客户对账单!$I$4),资金台帐!B1039+ROW()/100000,"")</f>
      </c>
      <c r="H4036">
        <f>IF(AND(资金台帐!K2539&lt;&gt;"",资金台帐!K2539=供应商对账单!$B$4,资金台帐!P2539="应付",ISNUMBER(资金台帐!B2539),资金台帐!B2539&gt;=供应商对账单!$G$4,资金台帐!B2539&lt;=供应商对账单!$I$4),资金台帐!B2539+ROW()/100000,"")</f>
      </c>
    </row>
    <row r="4037">
      <c r="F4037">
        <f>IF(AND(资金台帐!J1040&lt;&gt;"",资金台帐!J1040=客户对账单!$B$4,资金台帐!P1040="应收",ISNUMBER(资金台帐!B1040),资金台帐!B1040&gt;=客户对账单!$G$4,资金台帐!B1040&lt;=客户对账单!$I$4),资金台帐!B1040+ROW()/100000,"")</f>
      </c>
      <c r="H4037">
        <f>IF(AND(资金台帐!K2540&lt;&gt;"",资金台帐!K2540=供应商对账单!$B$4,资金台帐!P2540="应付",ISNUMBER(资金台帐!B2540),资金台帐!B2540&gt;=供应商对账单!$G$4,资金台帐!B2540&lt;=供应商对账单!$I$4),资金台帐!B2540+ROW()/100000,"")</f>
      </c>
    </row>
    <row r="4038">
      <c r="F4038">
        <f>IF(AND(资金台帐!J1041&lt;&gt;"",资金台帐!J1041=客户对账单!$B$4,资金台帐!P1041="应收",ISNUMBER(资金台帐!B1041),资金台帐!B1041&gt;=客户对账单!$G$4,资金台帐!B1041&lt;=客户对账单!$I$4),资金台帐!B1041+ROW()/100000,"")</f>
      </c>
      <c r="H4038">
        <f>IF(AND(资金台帐!K2541&lt;&gt;"",资金台帐!K2541=供应商对账单!$B$4,资金台帐!P2541="应付",ISNUMBER(资金台帐!B2541),资金台帐!B2541&gt;=供应商对账单!$G$4,资金台帐!B2541&lt;=供应商对账单!$I$4),资金台帐!B2541+ROW()/100000,"")</f>
      </c>
    </row>
    <row r="4039">
      <c r="F4039">
        <f>IF(AND(资金台帐!J1042&lt;&gt;"",资金台帐!J1042=客户对账单!$B$4,资金台帐!P1042="应收",ISNUMBER(资金台帐!B1042),资金台帐!B1042&gt;=客户对账单!$G$4,资金台帐!B1042&lt;=客户对账单!$I$4),资金台帐!B1042+ROW()/100000,"")</f>
      </c>
      <c r="H4039">
        <f>IF(AND(资金台帐!K2542&lt;&gt;"",资金台帐!K2542=供应商对账单!$B$4,资金台帐!P2542="应付",ISNUMBER(资金台帐!B2542),资金台帐!B2542&gt;=供应商对账单!$G$4,资金台帐!B2542&lt;=供应商对账单!$I$4),资金台帐!B2542+ROW()/100000,"")</f>
      </c>
    </row>
    <row r="4040">
      <c r="F4040">
        <f>IF(AND(资金台帐!J1043&lt;&gt;"",资金台帐!J1043=客户对账单!$B$4,资金台帐!P1043="应收",ISNUMBER(资金台帐!B1043),资金台帐!B1043&gt;=客户对账单!$G$4,资金台帐!B1043&lt;=客户对账单!$I$4),资金台帐!B1043+ROW()/100000,"")</f>
      </c>
      <c r="H4040">
        <f>IF(AND(资金台帐!K2543&lt;&gt;"",资金台帐!K2543=供应商对账单!$B$4,资金台帐!P2543="应付",ISNUMBER(资金台帐!B2543),资金台帐!B2543&gt;=供应商对账单!$G$4,资金台帐!B2543&lt;=供应商对账单!$I$4),资金台帐!B2543+ROW()/100000,"")</f>
      </c>
    </row>
    <row r="4041">
      <c r="F4041">
        <f>IF(AND(资金台帐!J1044&lt;&gt;"",资金台帐!J1044=客户对账单!$B$4,资金台帐!P1044="应收",ISNUMBER(资金台帐!B1044),资金台帐!B1044&gt;=客户对账单!$G$4,资金台帐!B1044&lt;=客户对账单!$I$4),资金台帐!B1044+ROW()/100000,"")</f>
      </c>
      <c r="H4041">
        <f>IF(AND(资金台帐!K2544&lt;&gt;"",资金台帐!K2544=供应商对账单!$B$4,资金台帐!P2544="应付",ISNUMBER(资金台帐!B2544),资金台帐!B2544&gt;=供应商对账单!$G$4,资金台帐!B2544&lt;=供应商对账单!$I$4),资金台帐!B2544+ROW()/100000,"")</f>
      </c>
    </row>
    <row r="4042">
      <c r="F4042">
        <f>IF(AND(资金台帐!J1045&lt;&gt;"",资金台帐!J1045=客户对账单!$B$4,资金台帐!P1045="应收",ISNUMBER(资金台帐!B1045),资金台帐!B1045&gt;=客户对账单!$G$4,资金台帐!B1045&lt;=客户对账单!$I$4),资金台帐!B1045+ROW()/100000,"")</f>
      </c>
      <c r="H4042">
        <f>IF(AND(资金台帐!K2545&lt;&gt;"",资金台帐!K2545=供应商对账单!$B$4,资金台帐!P2545="应付",ISNUMBER(资金台帐!B2545),资金台帐!B2545&gt;=供应商对账单!$G$4,资金台帐!B2545&lt;=供应商对账单!$I$4),资金台帐!B2545+ROW()/100000,"")</f>
      </c>
    </row>
    <row r="4043">
      <c r="F4043">
        <f>IF(AND(资金台帐!J1046&lt;&gt;"",资金台帐!J1046=客户对账单!$B$4,资金台帐!P1046="应收",ISNUMBER(资金台帐!B1046),资金台帐!B1046&gt;=客户对账单!$G$4,资金台帐!B1046&lt;=客户对账单!$I$4),资金台帐!B1046+ROW()/100000,"")</f>
      </c>
      <c r="H4043">
        <f>IF(AND(资金台帐!K2546&lt;&gt;"",资金台帐!K2546=供应商对账单!$B$4,资金台帐!P2546="应付",ISNUMBER(资金台帐!B2546),资金台帐!B2546&gt;=供应商对账单!$G$4,资金台帐!B2546&lt;=供应商对账单!$I$4),资金台帐!B2546+ROW()/100000,"")</f>
      </c>
    </row>
    <row r="4044">
      <c r="F4044">
        <f>IF(AND(资金台帐!J1047&lt;&gt;"",资金台帐!J1047=客户对账单!$B$4,资金台帐!P1047="应收",ISNUMBER(资金台帐!B1047),资金台帐!B1047&gt;=客户对账单!$G$4,资金台帐!B1047&lt;=客户对账单!$I$4),资金台帐!B1047+ROW()/100000,"")</f>
      </c>
      <c r="H4044">
        <f>IF(AND(资金台帐!K2547&lt;&gt;"",资金台帐!K2547=供应商对账单!$B$4,资金台帐!P2547="应付",ISNUMBER(资金台帐!B2547),资金台帐!B2547&gt;=供应商对账单!$G$4,资金台帐!B2547&lt;=供应商对账单!$I$4),资金台帐!B2547+ROW()/100000,"")</f>
      </c>
    </row>
    <row r="4045">
      <c r="F4045">
        <f>IF(AND(资金台帐!J1048&lt;&gt;"",资金台帐!J1048=客户对账单!$B$4,资金台帐!P1048="应收",ISNUMBER(资金台帐!B1048),资金台帐!B1048&gt;=客户对账单!$G$4,资金台帐!B1048&lt;=客户对账单!$I$4),资金台帐!B1048+ROW()/100000,"")</f>
      </c>
      <c r="H4045">
        <f>IF(AND(资金台帐!K2548&lt;&gt;"",资金台帐!K2548=供应商对账单!$B$4,资金台帐!P2548="应付",ISNUMBER(资金台帐!B2548),资金台帐!B2548&gt;=供应商对账单!$G$4,资金台帐!B2548&lt;=供应商对账单!$I$4),资金台帐!B2548+ROW()/100000,"")</f>
      </c>
    </row>
    <row r="4046">
      <c r="F4046">
        <f>IF(AND(资金台帐!J1049&lt;&gt;"",资金台帐!J1049=客户对账单!$B$4,资金台帐!P1049="应收",ISNUMBER(资金台帐!B1049),资金台帐!B1049&gt;=客户对账单!$G$4,资金台帐!B1049&lt;=客户对账单!$I$4),资金台帐!B1049+ROW()/100000,"")</f>
      </c>
      <c r="H4046">
        <f>IF(AND(资金台帐!K2549&lt;&gt;"",资金台帐!K2549=供应商对账单!$B$4,资金台帐!P2549="应付",ISNUMBER(资金台帐!B2549),资金台帐!B2549&gt;=供应商对账单!$G$4,资金台帐!B2549&lt;=供应商对账单!$I$4),资金台帐!B2549+ROW()/100000,"")</f>
      </c>
    </row>
    <row r="4047">
      <c r="F4047">
        <f>IF(AND(资金台帐!J1050&lt;&gt;"",资金台帐!J1050=客户对账单!$B$4,资金台帐!P1050="应收",ISNUMBER(资金台帐!B1050),资金台帐!B1050&gt;=客户对账单!$G$4,资金台帐!B1050&lt;=客户对账单!$I$4),资金台帐!B1050+ROW()/100000,"")</f>
      </c>
      <c r="H4047">
        <f>IF(AND(资金台帐!K2550&lt;&gt;"",资金台帐!K2550=供应商对账单!$B$4,资金台帐!P2550="应付",ISNUMBER(资金台帐!B2550),资金台帐!B2550&gt;=供应商对账单!$G$4,资金台帐!B2550&lt;=供应商对账单!$I$4),资金台帐!B2550+ROW()/100000,"")</f>
      </c>
    </row>
    <row r="4048">
      <c r="F4048">
        <f>IF(AND(资金台帐!J1051&lt;&gt;"",资金台帐!J1051=客户对账单!$B$4,资金台帐!P1051="应收",ISNUMBER(资金台帐!B1051),资金台帐!B1051&gt;=客户对账单!$G$4,资金台帐!B1051&lt;=客户对账单!$I$4),资金台帐!B1051+ROW()/100000,"")</f>
      </c>
      <c r="H4048">
        <f>IF(AND(资金台帐!K2551&lt;&gt;"",资金台帐!K2551=供应商对账单!$B$4,资金台帐!P2551="应付",ISNUMBER(资金台帐!B2551),资金台帐!B2551&gt;=供应商对账单!$G$4,资金台帐!B2551&lt;=供应商对账单!$I$4),资金台帐!B2551+ROW()/100000,"")</f>
      </c>
    </row>
    <row r="4049">
      <c r="F4049">
        <f>IF(AND(资金台帐!J1052&lt;&gt;"",资金台帐!J1052=客户对账单!$B$4,资金台帐!P1052="应收",ISNUMBER(资金台帐!B1052),资金台帐!B1052&gt;=客户对账单!$G$4,资金台帐!B1052&lt;=客户对账单!$I$4),资金台帐!B1052+ROW()/100000,"")</f>
      </c>
      <c r="H4049">
        <f>IF(AND(资金台帐!K2552&lt;&gt;"",资金台帐!K2552=供应商对账单!$B$4,资金台帐!P2552="应付",ISNUMBER(资金台帐!B2552),资金台帐!B2552&gt;=供应商对账单!$G$4,资金台帐!B2552&lt;=供应商对账单!$I$4),资金台帐!B2552+ROW()/100000,"")</f>
      </c>
    </row>
    <row r="4050">
      <c r="F4050">
        <f>IF(AND(资金台帐!J1053&lt;&gt;"",资金台帐!J1053=客户对账单!$B$4,资金台帐!P1053="应收",ISNUMBER(资金台帐!B1053),资金台帐!B1053&gt;=客户对账单!$G$4,资金台帐!B1053&lt;=客户对账单!$I$4),资金台帐!B1053+ROW()/100000,"")</f>
      </c>
      <c r="H4050">
        <f>IF(AND(资金台帐!K2553&lt;&gt;"",资金台帐!K2553=供应商对账单!$B$4,资金台帐!P2553="应付",ISNUMBER(资金台帐!B2553),资金台帐!B2553&gt;=供应商对账单!$G$4,资金台帐!B2553&lt;=供应商对账单!$I$4),资金台帐!B2553+ROW()/100000,"")</f>
      </c>
    </row>
    <row r="4051">
      <c r="F4051">
        <f>IF(AND(资金台帐!J1054&lt;&gt;"",资金台帐!J1054=客户对账单!$B$4,资金台帐!P1054="应收",ISNUMBER(资金台帐!B1054),资金台帐!B1054&gt;=客户对账单!$G$4,资金台帐!B1054&lt;=客户对账单!$I$4),资金台帐!B1054+ROW()/100000,"")</f>
      </c>
      <c r="H4051">
        <f>IF(AND(资金台帐!K2554&lt;&gt;"",资金台帐!K2554=供应商对账单!$B$4,资金台帐!P2554="应付",ISNUMBER(资金台帐!B2554),资金台帐!B2554&gt;=供应商对账单!$G$4,资金台帐!B2554&lt;=供应商对账单!$I$4),资金台帐!B2554+ROW()/100000,"")</f>
      </c>
    </row>
    <row r="4052">
      <c r="F4052">
        <f>IF(AND(资金台帐!J1055&lt;&gt;"",资金台帐!J1055=客户对账单!$B$4,资金台帐!P1055="应收",ISNUMBER(资金台帐!B1055),资金台帐!B1055&gt;=客户对账单!$G$4,资金台帐!B1055&lt;=客户对账单!$I$4),资金台帐!B1055+ROW()/100000,"")</f>
      </c>
      <c r="H4052">
        <f>IF(AND(资金台帐!K2555&lt;&gt;"",资金台帐!K2555=供应商对账单!$B$4,资金台帐!P2555="应付",ISNUMBER(资金台帐!B2555),资金台帐!B2555&gt;=供应商对账单!$G$4,资金台帐!B2555&lt;=供应商对账单!$I$4),资金台帐!B2555+ROW()/100000,"")</f>
      </c>
    </row>
    <row r="4053">
      <c r="F4053">
        <f>IF(AND(资金台帐!J1056&lt;&gt;"",资金台帐!J1056=客户对账单!$B$4,资金台帐!P1056="应收",ISNUMBER(资金台帐!B1056),资金台帐!B1056&gt;=客户对账单!$G$4,资金台帐!B1056&lt;=客户对账单!$I$4),资金台帐!B1056+ROW()/100000,"")</f>
      </c>
      <c r="H4053">
        <f>IF(AND(资金台帐!K2556&lt;&gt;"",资金台帐!K2556=供应商对账单!$B$4,资金台帐!P2556="应付",ISNUMBER(资金台帐!B2556),资金台帐!B2556&gt;=供应商对账单!$G$4,资金台帐!B2556&lt;=供应商对账单!$I$4),资金台帐!B2556+ROW()/100000,"")</f>
      </c>
    </row>
    <row r="4054">
      <c r="F4054">
        <f>IF(AND(资金台帐!J1057&lt;&gt;"",资金台帐!J1057=客户对账单!$B$4,资金台帐!P1057="应收",ISNUMBER(资金台帐!B1057),资金台帐!B1057&gt;=客户对账单!$G$4,资金台帐!B1057&lt;=客户对账单!$I$4),资金台帐!B1057+ROW()/100000,"")</f>
      </c>
      <c r="H4054">
        <f>IF(AND(资金台帐!K2557&lt;&gt;"",资金台帐!K2557=供应商对账单!$B$4,资金台帐!P2557="应付",ISNUMBER(资金台帐!B2557),资金台帐!B2557&gt;=供应商对账单!$G$4,资金台帐!B2557&lt;=供应商对账单!$I$4),资金台帐!B2557+ROW()/100000,"")</f>
      </c>
    </row>
    <row r="4055">
      <c r="F4055">
        <f>IF(AND(资金台帐!J1058&lt;&gt;"",资金台帐!J1058=客户对账单!$B$4,资金台帐!P1058="应收",ISNUMBER(资金台帐!B1058),资金台帐!B1058&gt;=客户对账单!$G$4,资金台帐!B1058&lt;=客户对账单!$I$4),资金台帐!B1058+ROW()/100000,"")</f>
      </c>
      <c r="H4055">
        <f>IF(AND(资金台帐!K2558&lt;&gt;"",资金台帐!K2558=供应商对账单!$B$4,资金台帐!P2558="应付",ISNUMBER(资金台帐!B2558),资金台帐!B2558&gt;=供应商对账单!$G$4,资金台帐!B2558&lt;=供应商对账单!$I$4),资金台帐!B2558+ROW()/100000,"")</f>
      </c>
    </row>
    <row r="4056">
      <c r="F4056">
        <f>IF(AND(资金台帐!J1059&lt;&gt;"",资金台帐!J1059=客户对账单!$B$4,资金台帐!P1059="应收",ISNUMBER(资金台帐!B1059),资金台帐!B1059&gt;=客户对账单!$G$4,资金台帐!B1059&lt;=客户对账单!$I$4),资金台帐!B1059+ROW()/100000,"")</f>
      </c>
      <c r="H4056">
        <f>IF(AND(资金台帐!K2559&lt;&gt;"",资金台帐!K2559=供应商对账单!$B$4,资金台帐!P2559="应付",ISNUMBER(资金台帐!B2559),资金台帐!B2559&gt;=供应商对账单!$G$4,资金台帐!B2559&lt;=供应商对账单!$I$4),资金台帐!B2559+ROW()/100000,"")</f>
      </c>
    </row>
    <row r="4057">
      <c r="F4057">
        <f>IF(AND(资金台帐!J1060&lt;&gt;"",资金台帐!J1060=客户对账单!$B$4,资金台帐!P1060="应收",ISNUMBER(资金台帐!B1060),资金台帐!B1060&gt;=客户对账单!$G$4,资金台帐!B1060&lt;=客户对账单!$I$4),资金台帐!B1060+ROW()/100000,"")</f>
      </c>
      <c r="H4057">
        <f>IF(AND(资金台帐!K2560&lt;&gt;"",资金台帐!K2560=供应商对账单!$B$4,资金台帐!P2560="应付",ISNUMBER(资金台帐!B2560),资金台帐!B2560&gt;=供应商对账单!$G$4,资金台帐!B2560&lt;=供应商对账单!$I$4),资金台帐!B2560+ROW()/100000,"")</f>
      </c>
    </row>
    <row r="4058">
      <c r="F4058">
        <f>IF(AND(资金台帐!J1061&lt;&gt;"",资金台帐!J1061=客户对账单!$B$4,资金台帐!P1061="应收",ISNUMBER(资金台帐!B1061),资金台帐!B1061&gt;=客户对账单!$G$4,资金台帐!B1061&lt;=客户对账单!$I$4),资金台帐!B1061+ROW()/100000,"")</f>
      </c>
      <c r="H4058">
        <f>IF(AND(资金台帐!K2561&lt;&gt;"",资金台帐!K2561=供应商对账单!$B$4,资金台帐!P2561="应付",ISNUMBER(资金台帐!B2561),资金台帐!B2561&gt;=供应商对账单!$G$4,资金台帐!B2561&lt;=供应商对账单!$I$4),资金台帐!B2561+ROW()/100000,"")</f>
      </c>
    </row>
    <row r="4059">
      <c r="F4059">
        <f>IF(AND(资金台帐!J1062&lt;&gt;"",资金台帐!J1062=客户对账单!$B$4,资金台帐!P1062="应收",ISNUMBER(资金台帐!B1062),资金台帐!B1062&gt;=客户对账单!$G$4,资金台帐!B1062&lt;=客户对账单!$I$4),资金台帐!B1062+ROW()/100000,"")</f>
      </c>
      <c r="H4059">
        <f>IF(AND(资金台帐!K2562&lt;&gt;"",资金台帐!K2562=供应商对账单!$B$4,资金台帐!P2562="应付",ISNUMBER(资金台帐!B2562),资金台帐!B2562&gt;=供应商对账单!$G$4,资金台帐!B2562&lt;=供应商对账单!$I$4),资金台帐!B2562+ROW()/100000,"")</f>
      </c>
    </row>
    <row r="4060">
      <c r="F4060">
        <f>IF(AND(资金台帐!J1063&lt;&gt;"",资金台帐!J1063=客户对账单!$B$4,资金台帐!P1063="应收",ISNUMBER(资金台帐!B1063),资金台帐!B1063&gt;=客户对账单!$G$4,资金台帐!B1063&lt;=客户对账单!$I$4),资金台帐!B1063+ROW()/100000,"")</f>
      </c>
      <c r="H4060">
        <f>IF(AND(资金台帐!K2563&lt;&gt;"",资金台帐!K2563=供应商对账单!$B$4,资金台帐!P2563="应付",ISNUMBER(资金台帐!B2563),资金台帐!B2563&gt;=供应商对账单!$G$4,资金台帐!B2563&lt;=供应商对账单!$I$4),资金台帐!B2563+ROW()/100000,"")</f>
      </c>
    </row>
    <row r="4061">
      <c r="F4061">
        <f>IF(AND(资金台帐!J1064&lt;&gt;"",资金台帐!J1064=客户对账单!$B$4,资金台帐!P1064="应收",ISNUMBER(资金台帐!B1064),资金台帐!B1064&gt;=客户对账单!$G$4,资金台帐!B1064&lt;=客户对账单!$I$4),资金台帐!B1064+ROW()/100000,"")</f>
      </c>
      <c r="H4061">
        <f>IF(AND(资金台帐!K2564&lt;&gt;"",资金台帐!K2564=供应商对账单!$B$4,资金台帐!P2564="应付",ISNUMBER(资金台帐!B2564),资金台帐!B2564&gt;=供应商对账单!$G$4,资金台帐!B2564&lt;=供应商对账单!$I$4),资金台帐!B2564+ROW()/100000,"")</f>
      </c>
    </row>
    <row r="4062">
      <c r="F4062">
        <f>IF(AND(资金台帐!J1065&lt;&gt;"",资金台帐!J1065=客户对账单!$B$4,资金台帐!P1065="应收",ISNUMBER(资金台帐!B1065),资金台帐!B1065&gt;=客户对账单!$G$4,资金台帐!B1065&lt;=客户对账单!$I$4),资金台帐!B1065+ROW()/100000,"")</f>
      </c>
      <c r="H4062">
        <f>IF(AND(资金台帐!K2565&lt;&gt;"",资金台帐!K2565=供应商对账单!$B$4,资金台帐!P2565="应付",ISNUMBER(资金台帐!B2565),资金台帐!B2565&gt;=供应商对账单!$G$4,资金台帐!B2565&lt;=供应商对账单!$I$4),资金台帐!B2565+ROW()/100000,"")</f>
      </c>
    </row>
    <row r="4063">
      <c r="F4063">
        <f>IF(AND(资金台帐!J1066&lt;&gt;"",资金台帐!J1066=客户对账单!$B$4,资金台帐!P1066="应收",ISNUMBER(资金台帐!B1066),资金台帐!B1066&gt;=客户对账单!$G$4,资金台帐!B1066&lt;=客户对账单!$I$4),资金台帐!B1066+ROW()/100000,"")</f>
      </c>
      <c r="H4063">
        <f>IF(AND(资金台帐!K2566&lt;&gt;"",资金台帐!K2566=供应商对账单!$B$4,资金台帐!P2566="应付",ISNUMBER(资金台帐!B2566),资金台帐!B2566&gt;=供应商对账单!$G$4,资金台帐!B2566&lt;=供应商对账单!$I$4),资金台帐!B2566+ROW()/100000,"")</f>
      </c>
    </row>
    <row r="4064">
      <c r="F4064">
        <f>IF(AND(资金台帐!J1067&lt;&gt;"",资金台帐!J1067=客户对账单!$B$4,资金台帐!P1067="应收",ISNUMBER(资金台帐!B1067),资金台帐!B1067&gt;=客户对账单!$G$4,资金台帐!B1067&lt;=客户对账单!$I$4),资金台帐!B1067+ROW()/100000,"")</f>
      </c>
      <c r="H4064">
        <f>IF(AND(资金台帐!K2567&lt;&gt;"",资金台帐!K2567=供应商对账单!$B$4,资金台帐!P2567="应付",ISNUMBER(资金台帐!B2567),资金台帐!B2567&gt;=供应商对账单!$G$4,资金台帐!B2567&lt;=供应商对账单!$I$4),资金台帐!B2567+ROW()/100000,"")</f>
      </c>
    </row>
    <row r="4065">
      <c r="F4065">
        <f>IF(AND(资金台帐!J1068&lt;&gt;"",资金台帐!J1068=客户对账单!$B$4,资金台帐!P1068="应收",ISNUMBER(资金台帐!B1068),资金台帐!B1068&gt;=客户对账单!$G$4,资金台帐!B1068&lt;=客户对账单!$I$4),资金台帐!B1068+ROW()/100000,"")</f>
      </c>
      <c r="H4065">
        <f>IF(AND(资金台帐!K2568&lt;&gt;"",资金台帐!K2568=供应商对账单!$B$4,资金台帐!P2568="应付",ISNUMBER(资金台帐!B2568),资金台帐!B2568&gt;=供应商对账单!$G$4,资金台帐!B2568&lt;=供应商对账单!$I$4),资金台帐!B2568+ROW()/100000,"")</f>
      </c>
    </row>
    <row r="4066">
      <c r="F4066">
        <f>IF(AND(资金台帐!J1069&lt;&gt;"",资金台帐!J1069=客户对账单!$B$4,资金台帐!P1069="应收",ISNUMBER(资金台帐!B1069),资金台帐!B1069&gt;=客户对账单!$G$4,资金台帐!B1069&lt;=客户对账单!$I$4),资金台帐!B1069+ROW()/100000,"")</f>
      </c>
      <c r="H4066">
        <f>IF(AND(资金台帐!K2569&lt;&gt;"",资金台帐!K2569=供应商对账单!$B$4,资金台帐!P2569="应付",ISNUMBER(资金台帐!B2569),资金台帐!B2569&gt;=供应商对账单!$G$4,资金台帐!B2569&lt;=供应商对账单!$I$4),资金台帐!B2569+ROW()/100000,"")</f>
      </c>
    </row>
    <row r="4067">
      <c r="F4067">
        <f>IF(AND(资金台帐!J1070&lt;&gt;"",资金台帐!J1070=客户对账单!$B$4,资金台帐!P1070="应收",ISNUMBER(资金台帐!B1070),资金台帐!B1070&gt;=客户对账单!$G$4,资金台帐!B1070&lt;=客户对账单!$I$4),资金台帐!B1070+ROW()/100000,"")</f>
      </c>
      <c r="H4067">
        <f>IF(AND(资金台帐!K2570&lt;&gt;"",资金台帐!K2570=供应商对账单!$B$4,资金台帐!P2570="应付",ISNUMBER(资金台帐!B2570),资金台帐!B2570&gt;=供应商对账单!$G$4,资金台帐!B2570&lt;=供应商对账单!$I$4),资金台帐!B2570+ROW()/100000,"")</f>
      </c>
    </row>
    <row r="4068">
      <c r="F4068">
        <f>IF(AND(资金台帐!J1071&lt;&gt;"",资金台帐!J1071=客户对账单!$B$4,资金台帐!P1071="应收",ISNUMBER(资金台帐!B1071),资金台帐!B1071&gt;=客户对账单!$G$4,资金台帐!B1071&lt;=客户对账单!$I$4),资金台帐!B1071+ROW()/100000,"")</f>
      </c>
      <c r="H4068">
        <f>IF(AND(资金台帐!K2571&lt;&gt;"",资金台帐!K2571=供应商对账单!$B$4,资金台帐!P2571="应付",ISNUMBER(资金台帐!B2571),资金台帐!B2571&gt;=供应商对账单!$G$4,资金台帐!B2571&lt;=供应商对账单!$I$4),资金台帐!B2571+ROW()/100000,"")</f>
      </c>
    </row>
    <row r="4069">
      <c r="F4069">
        <f>IF(AND(资金台帐!J1072&lt;&gt;"",资金台帐!J1072=客户对账单!$B$4,资金台帐!P1072="应收",ISNUMBER(资金台帐!B1072),资金台帐!B1072&gt;=客户对账单!$G$4,资金台帐!B1072&lt;=客户对账单!$I$4),资金台帐!B1072+ROW()/100000,"")</f>
      </c>
      <c r="H4069">
        <f>IF(AND(资金台帐!K2572&lt;&gt;"",资金台帐!K2572=供应商对账单!$B$4,资金台帐!P2572="应付",ISNUMBER(资金台帐!B2572),资金台帐!B2572&gt;=供应商对账单!$G$4,资金台帐!B2572&lt;=供应商对账单!$I$4),资金台帐!B2572+ROW()/100000,"")</f>
      </c>
    </row>
    <row r="4070">
      <c r="F4070">
        <f>IF(AND(资金台帐!J1073&lt;&gt;"",资金台帐!J1073=客户对账单!$B$4,资金台帐!P1073="应收",ISNUMBER(资金台帐!B1073),资金台帐!B1073&gt;=客户对账单!$G$4,资金台帐!B1073&lt;=客户对账单!$I$4),资金台帐!B1073+ROW()/100000,"")</f>
      </c>
      <c r="H4070">
        <f>IF(AND(资金台帐!K2573&lt;&gt;"",资金台帐!K2573=供应商对账单!$B$4,资金台帐!P2573="应付",ISNUMBER(资金台帐!B2573),资金台帐!B2573&gt;=供应商对账单!$G$4,资金台帐!B2573&lt;=供应商对账单!$I$4),资金台帐!B2573+ROW()/100000,"")</f>
      </c>
    </row>
    <row r="4071">
      <c r="F4071">
        <f>IF(AND(资金台帐!J1074&lt;&gt;"",资金台帐!J1074=客户对账单!$B$4,资金台帐!P1074="应收",ISNUMBER(资金台帐!B1074),资金台帐!B1074&gt;=客户对账单!$G$4,资金台帐!B1074&lt;=客户对账单!$I$4),资金台帐!B1074+ROW()/100000,"")</f>
      </c>
      <c r="H4071">
        <f>IF(AND(资金台帐!K2574&lt;&gt;"",资金台帐!K2574=供应商对账单!$B$4,资金台帐!P2574="应付",ISNUMBER(资金台帐!B2574),资金台帐!B2574&gt;=供应商对账单!$G$4,资金台帐!B2574&lt;=供应商对账单!$I$4),资金台帐!B2574+ROW()/100000,"")</f>
      </c>
    </row>
    <row r="4072">
      <c r="F4072">
        <f>IF(AND(资金台帐!J1075&lt;&gt;"",资金台帐!J1075=客户对账单!$B$4,资金台帐!P1075="应收",ISNUMBER(资金台帐!B1075),资金台帐!B1075&gt;=客户对账单!$G$4,资金台帐!B1075&lt;=客户对账单!$I$4),资金台帐!B1075+ROW()/100000,"")</f>
      </c>
      <c r="H4072">
        <f>IF(AND(资金台帐!K2575&lt;&gt;"",资金台帐!K2575=供应商对账单!$B$4,资金台帐!P2575="应付",ISNUMBER(资金台帐!B2575),资金台帐!B2575&gt;=供应商对账单!$G$4,资金台帐!B2575&lt;=供应商对账单!$I$4),资金台帐!B2575+ROW()/100000,"")</f>
      </c>
    </row>
    <row r="4073">
      <c r="F4073">
        <f>IF(AND(资金台帐!J1076&lt;&gt;"",资金台帐!J1076=客户对账单!$B$4,资金台帐!P1076="应收",ISNUMBER(资金台帐!B1076),资金台帐!B1076&gt;=客户对账单!$G$4,资金台帐!B1076&lt;=客户对账单!$I$4),资金台帐!B1076+ROW()/100000,"")</f>
      </c>
      <c r="H4073">
        <f>IF(AND(资金台帐!K2576&lt;&gt;"",资金台帐!K2576=供应商对账单!$B$4,资金台帐!P2576="应付",ISNUMBER(资金台帐!B2576),资金台帐!B2576&gt;=供应商对账单!$G$4,资金台帐!B2576&lt;=供应商对账单!$I$4),资金台帐!B2576+ROW()/100000,"")</f>
      </c>
    </row>
    <row r="4074">
      <c r="F4074">
        <f>IF(AND(资金台帐!J1077&lt;&gt;"",资金台帐!J1077=客户对账单!$B$4,资金台帐!P1077="应收",ISNUMBER(资金台帐!B1077),资金台帐!B1077&gt;=客户对账单!$G$4,资金台帐!B1077&lt;=客户对账单!$I$4),资金台帐!B1077+ROW()/100000,"")</f>
      </c>
      <c r="H4074">
        <f>IF(AND(资金台帐!K2577&lt;&gt;"",资金台帐!K2577=供应商对账单!$B$4,资金台帐!P2577="应付",ISNUMBER(资金台帐!B2577),资金台帐!B2577&gt;=供应商对账单!$G$4,资金台帐!B2577&lt;=供应商对账单!$I$4),资金台帐!B2577+ROW()/100000,"")</f>
      </c>
    </row>
    <row r="4075">
      <c r="F4075">
        <f>IF(AND(资金台帐!J1078&lt;&gt;"",资金台帐!J1078=客户对账单!$B$4,资金台帐!P1078="应收",ISNUMBER(资金台帐!B1078),资金台帐!B1078&gt;=客户对账单!$G$4,资金台帐!B1078&lt;=客户对账单!$I$4),资金台帐!B1078+ROW()/100000,"")</f>
      </c>
      <c r="H4075">
        <f>IF(AND(资金台帐!K2578&lt;&gt;"",资金台帐!K2578=供应商对账单!$B$4,资金台帐!P2578="应付",ISNUMBER(资金台帐!B2578),资金台帐!B2578&gt;=供应商对账单!$G$4,资金台帐!B2578&lt;=供应商对账单!$I$4),资金台帐!B2578+ROW()/100000,"")</f>
      </c>
    </row>
    <row r="4076">
      <c r="F4076">
        <f>IF(AND(资金台帐!J1079&lt;&gt;"",资金台帐!J1079=客户对账单!$B$4,资金台帐!P1079="应收",ISNUMBER(资金台帐!B1079),资金台帐!B1079&gt;=客户对账单!$G$4,资金台帐!B1079&lt;=客户对账单!$I$4),资金台帐!B1079+ROW()/100000,"")</f>
      </c>
      <c r="H4076">
        <f>IF(AND(资金台帐!K2579&lt;&gt;"",资金台帐!K2579=供应商对账单!$B$4,资金台帐!P2579="应付",ISNUMBER(资金台帐!B2579),资金台帐!B2579&gt;=供应商对账单!$G$4,资金台帐!B2579&lt;=供应商对账单!$I$4),资金台帐!B2579+ROW()/100000,"")</f>
      </c>
    </row>
    <row r="4077">
      <c r="F4077">
        <f>IF(AND(资金台帐!J1080&lt;&gt;"",资金台帐!J1080=客户对账单!$B$4,资金台帐!P1080="应收",ISNUMBER(资金台帐!B1080),资金台帐!B1080&gt;=客户对账单!$G$4,资金台帐!B1080&lt;=客户对账单!$I$4),资金台帐!B1080+ROW()/100000,"")</f>
      </c>
      <c r="H4077">
        <f>IF(AND(资金台帐!K2580&lt;&gt;"",资金台帐!K2580=供应商对账单!$B$4,资金台帐!P2580="应付",ISNUMBER(资金台帐!B2580),资金台帐!B2580&gt;=供应商对账单!$G$4,资金台帐!B2580&lt;=供应商对账单!$I$4),资金台帐!B2580+ROW()/100000,"")</f>
      </c>
    </row>
    <row r="4078">
      <c r="F4078">
        <f>IF(AND(资金台帐!J1081&lt;&gt;"",资金台帐!J1081=客户对账单!$B$4,资金台帐!P1081="应收",ISNUMBER(资金台帐!B1081),资金台帐!B1081&gt;=客户对账单!$G$4,资金台帐!B1081&lt;=客户对账单!$I$4),资金台帐!B1081+ROW()/100000,"")</f>
      </c>
      <c r="H4078">
        <f>IF(AND(资金台帐!K2581&lt;&gt;"",资金台帐!K2581=供应商对账单!$B$4,资金台帐!P2581="应付",ISNUMBER(资金台帐!B2581),资金台帐!B2581&gt;=供应商对账单!$G$4,资金台帐!B2581&lt;=供应商对账单!$I$4),资金台帐!B2581+ROW()/100000,"")</f>
      </c>
    </row>
    <row r="4079">
      <c r="F4079">
        <f>IF(AND(资金台帐!J1082&lt;&gt;"",资金台帐!J1082=客户对账单!$B$4,资金台帐!P1082="应收",ISNUMBER(资金台帐!B1082),资金台帐!B1082&gt;=客户对账单!$G$4,资金台帐!B1082&lt;=客户对账单!$I$4),资金台帐!B1082+ROW()/100000,"")</f>
      </c>
      <c r="H4079">
        <f>IF(AND(资金台帐!K2582&lt;&gt;"",资金台帐!K2582=供应商对账单!$B$4,资金台帐!P2582="应付",ISNUMBER(资金台帐!B2582),资金台帐!B2582&gt;=供应商对账单!$G$4,资金台帐!B2582&lt;=供应商对账单!$I$4),资金台帐!B2582+ROW()/100000,"")</f>
      </c>
    </row>
    <row r="4080">
      <c r="F4080">
        <f>IF(AND(资金台帐!J1083&lt;&gt;"",资金台帐!J1083=客户对账单!$B$4,资金台帐!P1083="应收",ISNUMBER(资金台帐!B1083),资金台帐!B1083&gt;=客户对账单!$G$4,资金台帐!B1083&lt;=客户对账单!$I$4),资金台帐!B1083+ROW()/100000,"")</f>
      </c>
      <c r="H4080">
        <f>IF(AND(资金台帐!K2583&lt;&gt;"",资金台帐!K2583=供应商对账单!$B$4,资金台帐!P2583="应付",ISNUMBER(资金台帐!B2583),资金台帐!B2583&gt;=供应商对账单!$G$4,资金台帐!B2583&lt;=供应商对账单!$I$4),资金台帐!B2583+ROW()/100000,"")</f>
      </c>
    </row>
    <row r="4081">
      <c r="F4081">
        <f>IF(AND(资金台帐!J1084&lt;&gt;"",资金台帐!J1084=客户对账单!$B$4,资金台帐!P1084="应收",ISNUMBER(资金台帐!B1084),资金台帐!B1084&gt;=客户对账单!$G$4,资金台帐!B1084&lt;=客户对账单!$I$4),资金台帐!B1084+ROW()/100000,"")</f>
      </c>
      <c r="H4081">
        <f>IF(AND(资金台帐!K2584&lt;&gt;"",资金台帐!K2584=供应商对账单!$B$4,资金台帐!P2584="应付",ISNUMBER(资金台帐!B2584),资金台帐!B2584&gt;=供应商对账单!$G$4,资金台帐!B2584&lt;=供应商对账单!$I$4),资金台帐!B2584+ROW()/100000,"")</f>
      </c>
    </row>
    <row r="4082">
      <c r="F4082">
        <f>IF(AND(资金台帐!J1085&lt;&gt;"",资金台帐!J1085=客户对账单!$B$4,资金台帐!P1085="应收",ISNUMBER(资金台帐!B1085),资金台帐!B1085&gt;=客户对账单!$G$4,资金台帐!B1085&lt;=客户对账单!$I$4),资金台帐!B1085+ROW()/100000,"")</f>
      </c>
      <c r="H4082">
        <f>IF(AND(资金台帐!K2585&lt;&gt;"",资金台帐!K2585=供应商对账单!$B$4,资金台帐!P2585="应付",ISNUMBER(资金台帐!B2585),资金台帐!B2585&gt;=供应商对账单!$G$4,资金台帐!B2585&lt;=供应商对账单!$I$4),资金台帐!B2585+ROW()/100000,"")</f>
      </c>
    </row>
    <row r="4083">
      <c r="F4083">
        <f>IF(AND(资金台帐!J1086&lt;&gt;"",资金台帐!J1086=客户对账单!$B$4,资金台帐!P1086="应收",ISNUMBER(资金台帐!B1086),资金台帐!B1086&gt;=客户对账单!$G$4,资金台帐!B1086&lt;=客户对账单!$I$4),资金台帐!B1086+ROW()/100000,"")</f>
      </c>
      <c r="H4083">
        <f>IF(AND(资金台帐!K2586&lt;&gt;"",资金台帐!K2586=供应商对账单!$B$4,资金台帐!P2586="应付",ISNUMBER(资金台帐!B2586),资金台帐!B2586&gt;=供应商对账单!$G$4,资金台帐!B2586&lt;=供应商对账单!$I$4),资金台帐!B2586+ROW()/100000,"")</f>
      </c>
    </row>
    <row r="4084">
      <c r="F4084">
        <f>IF(AND(资金台帐!J1087&lt;&gt;"",资金台帐!J1087=客户对账单!$B$4,资金台帐!P1087="应收",ISNUMBER(资金台帐!B1087),资金台帐!B1087&gt;=客户对账单!$G$4,资金台帐!B1087&lt;=客户对账单!$I$4),资金台帐!B1087+ROW()/100000,"")</f>
      </c>
      <c r="H4084">
        <f>IF(AND(资金台帐!K2587&lt;&gt;"",资金台帐!K2587=供应商对账单!$B$4,资金台帐!P2587="应付",ISNUMBER(资金台帐!B2587),资金台帐!B2587&gt;=供应商对账单!$G$4,资金台帐!B2587&lt;=供应商对账单!$I$4),资金台帐!B2587+ROW()/100000,"")</f>
      </c>
    </row>
    <row r="4085">
      <c r="F4085">
        <f>IF(AND(资金台帐!J1088&lt;&gt;"",资金台帐!J1088=客户对账单!$B$4,资金台帐!P1088="应收",ISNUMBER(资金台帐!B1088),资金台帐!B1088&gt;=客户对账单!$G$4,资金台帐!B1088&lt;=客户对账单!$I$4),资金台帐!B1088+ROW()/100000,"")</f>
      </c>
      <c r="H4085">
        <f>IF(AND(资金台帐!K2588&lt;&gt;"",资金台帐!K2588=供应商对账单!$B$4,资金台帐!P2588="应付",ISNUMBER(资金台帐!B2588),资金台帐!B2588&gt;=供应商对账单!$G$4,资金台帐!B2588&lt;=供应商对账单!$I$4),资金台帐!B2588+ROW()/100000,"")</f>
      </c>
    </row>
    <row r="4086">
      <c r="F4086">
        <f>IF(AND(资金台帐!J1089&lt;&gt;"",资金台帐!J1089=客户对账单!$B$4,资金台帐!P1089="应收",ISNUMBER(资金台帐!B1089),资金台帐!B1089&gt;=客户对账单!$G$4,资金台帐!B1089&lt;=客户对账单!$I$4),资金台帐!B1089+ROW()/100000,"")</f>
      </c>
      <c r="H4086">
        <f>IF(AND(资金台帐!K2589&lt;&gt;"",资金台帐!K2589=供应商对账单!$B$4,资金台帐!P2589="应付",ISNUMBER(资金台帐!B2589),资金台帐!B2589&gt;=供应商对账单!$G$4,资金台帐!B2589&lt;=供应商对账单!$I$4),资金台帐!B2589+ROW()/100000,"")</f>
      </c>
    </row>
    <row r="4087">
      <c r="F4087">
        <f>IF(AND(资金台帐!J1090&lt;&gt;"",资金台帐!J1090=客户对账单!$B$4,资金台帐!P1090="应收",ISNUMBER(资金台帐!B1090),资金台帐!B1090&gt;=客户对账单!$G$4,资金台帐!B1090&lt;=客户对账单!$I$4),资金台帐!B1090+ROW()/100000,"")</f>
      </c>
      <c r="H4087">
        <f>IF(AND(资金台帐!K2590&lt;&gt;"",资金台帐!K2590=供应商对账单!$B$4,资金台帐!P2590="应付",ISNUMBER(资金台帐!B2590),资金台帐!B2590&gt;=供应商对账单!$G$4,资金台帐!B2590&lt;=供应商对账单!$I$4),资金台帐!B2590+ROW()/100000,"")</f>
      </c>
    </row>
    <row r="4088">
      <c r="F4088">
        <f>IF(AND(资金台帐!J1091&lt;&gt;"",资金台帐!J1091=客户对账单!$B$4,资金台帐!P1091="应收",ISNUMBER(资金台帐!B1091),资金台帐!B1091&gt;=客户对账单!$G$4,资金台帐!B1091&lt;=客户对账单!$I$4),资金台帐!B1091+ROW()/100000,"")</f>
      </c>
      <c r="H4088">
        <f>IF(AND(资金台帐!K2591&lt;&gt;"",资金台帐!K2591=供应商对账单!$B$4,资金台帐!P2591="应付",ISNUMBER(资金台帐!B2591),资金台帐!B2591&gt;=供应商对账单!$G$4,资金台帐!B2591&lt;=供应商对账单!$I$4),资金台帐!B2591+ROW()/100000,"")</f>
      </c>
    </row>
    <row r="4089">
      <c r="F4089">
        <f>IF(AND(资金台帐!J1092&lt;&gt;"",资金台帐!J1092=客户对账单!$B$4,资金台帐!P1092="应收",ISNUMBER(资金台帐!B1092),资金台帐!B1092&gt;=客户对账单!$G$4,资金台帐!B1092&lt;=客户对账单!$I$4),资金台帐!B1092+ROW()/100000,"")</f>
      </c>
      <c r="H4089">
        <f>IF(AND(资金台帐!K2592&lt;&gt;"",资金台帐!K2592=供应商对账单!$B$4,资金台帐!P2592="应付",ISNUMBER(资金台帐!B2592),资金台帐!B2592&gt;=供应商对账单!$G$4,资金台帐!B2592&lt;=供应商对账单!$I$4),资金台帐!B2592+ROW()/100000,"")</f>
      </c>
    </row>
    <row r="4090">
      <c r="F4090">
        <f>IF(AND(资金台帐!J1093&lt;&gt;"",资金台帐!J1093=客户对账单!$B$4,资金台帐!P1093="应收",ISNUMBER(资金台帐!B1093),资金台帐!B1093&gt;=客户对账单!$G$4,资金台帐!B1093&lt;=客户对账单!$I$4),资金台帐!B1093+ROW()/100000,"")</f>
      </c>
      <c r="H4090">
        <f>IF(AND(资金台帐!K2593&lt;&gt;"",资金台帐!K2593=供应商对账单!$B$4,资金台帐!P2593="应付",ISNUMBER(资金台帐!B2593),资金台帐!B2593&gt;=供应商对账单!$G$4,资金台帐!B2593&lt;=供应商对账单!$I$4),资金台帐!B2593+ROW()/100000,"")</f>
      </c>
    </row>
    <row r="4091">
      <c r="F4091">
        <f>IF(AND(资金台帐!J1094&lt;&gt;"",资金台帐!J1094=客户对账单!$B$4,资金台帐!P1094="应收",ISNUMBER(资金台帐!B1094),资金台帐!B1094&gt;=客户对账单!$G$4,资金台帐!B1094&lt;=客户对账单!$I$4),资金台帐!B1094+ROW()/100000,"")</f>
      </c>
      <c r="H4091">
        <f>IF(AND(资金台帐!K2594&lt;&gt;"",资金台帐!K2594=供应商对账单!$B$4,资金台帐!P2594="应付",ISNUMBER(资金台帐!B2594),资金台帐!B2594&gt;=供应商对账单!$G$4,资金台帐!B2594&lt;=供应商对账单!$I$4),资金台帐!B2594+ROW()/100000,"")</f>
      </c>
    </row>
    <row r="4092">
      <c r="F4092">
        <f>IF(AND(资金台帐!J1095&lt;&gt;"",资金台帐!J1095=客户对账单!$B$4,资金台帐!P1095="应收",ISNUMBER(资金台帐!B1095),资金台帐!B1095&gt;=客户对账单!$G$4,资金台帐!B1095&lt;=客户对账单!$I$4),资金台帐!B1095+ROW()/100000,"")</f>
      </c>
      <c r="H4092">
        <f>IF(AND(资金台帐!K2595&lt;&gt;"",资金台帐!K2595=供应商对账单!$B$4,资金台帐!P2595="应付",ISNUMBER(资金台帐!B2595),资金台帐!B2595&gt;=供应商对账单!$G$4,资金台帐!B2595&lt;=供应商对账单!$I$4),资金台帐!B2595+ROW()/100000,"")</f>
      </c>
    </row>
    <row r="4093">
      <c r="F4093">
        <f>IF(AND(资金台帐!J1096&lt;&gt;"",资金台帐!J1096=客户对账单!$B$4,资金台帐!P1096="应收",ISNUMBER(资金台帐!B1096),资金台帐!B1096&gt;=客户对账单!$G$4,资金台帐!B1096&lt;=客户对账单!$I$4),资金台帐!B1096+ROW()/100000,"")</f>
      </c>
      <c r="H4093">
        <f>IF(AND(资金台帐!K2596&lt;&gt;"",资金台帐!K2596=供应商对账单!$B$4,资金台帐!P2596="应付",ISNUMBER(资金台帐!B2596),资金台帐!B2596&gt;=供应商对账单!$G$4,资金台帐!B2596&lt;=供应商对账单!$I$4),资金台帐!B2596+ROW()/100000,"")</f>
      </c>
    </row>
    <row r="4094">
      <c r="F4094">
        <f>IF(AND(资金台帐!J1097&lt;&gt;"",资金台帐!J1097=客户对账单!$B$4,资金台帐!P1097="应收",ISNUMBER(资金台帐!B1097),资金台帐!B1097&gt;=客户对账单!$G$4,资金台帐!B1097&lt;=客户对账单!$I$4),资金台帐!B1097+ROW()/100000,"")</f>
      </c>
      <c r="H4094">
        <f>IF(AND(资金台帐!K2597&lt;&gt;"",资金台帐!K2597=供应商对账单!$B$4,资金台帐!P2597="应付",ISNUMBER(资金台帐!B2597),资金台帐!B2597&gt;=供应商对账单!$G$4,资金台帐!B2597&lt;=供应商对账单!$I$4),资金台帐!B2597+ROW()/100000,"")</f>
      </c>
    </row>
    <row r="4095">
      <c r="F4095">
        <f>IF(AND(资金台帐!J1098&lt;&gt;"",资金台帐!J1098=客户对账单!$B$4,资金台帐!P1098="应收",ISNUMBER(资金台帐!B1098),资金台帐!B1098&gt;=客户对账单!$G$4,资金台帐!B1098&lt;=客户对账单!$I$4),资金台帐!B1098+ROW()/100000,"")</f>
      </c>
      <c r="H4095">
        <f>IF(AND(资金台帐!K2598&lt;&gt;"",资金台帐!K2598=供应商对账单!$B$4,资金台帐!P2598="应付",ISNUMBER(资金台帐!B2598),资金台帐!B2598&gt;=供应商对账单!$G$4,资金台帐!B2598&lt;=供应商对账单!$I$4),资金台帐!B2598+ROW()/100000,"")</f>
      </c>
    </row>
    <row r="4096">
      <c r="F4096">
        <f>IF(AND(资金台帐!J1099&lt;&gt;"",资金台帐!J1099=客户对账单!$B$4,资金台帐!P1099="应收",ISNUMBER(资金台帐!B1099),资金台帐!B1099&gt;=客户对账单!$G$4,资金台帐!B1099&lt;=客户对账单!$I$4),资金台帐!B1099+ROW()/100000,"")</f>
      </c>
      <c r="H4096">
        <f>IF(AND(资金台帐!K2599&lt;&gt;"",资金台帐!K2599=供应商对账单!$B$4,资金台帐!P2599="应付",ISNUMBER(资金台帐!B2599),资金台帐!B2599&gt;=供应商对账单!$G$4,资金台帐!B2599&lt;=供应商对账单!$I$4),资金台帐!B2599+ROW()/100000,"")</f>
      </c>
    </row>
    <row r="4097">
      <c r="F4097">
        <f>IF(AND(资金台帐!J1100&lt;&gt;"",资金台帐!J1100=客户对账单!$B$4,资金台帐!P1100="应收",ISNUMBER(资金台帐!B1100),资金台帐!B1100&gt;=客户对账单!$G$4,资金台帐!B1100&lt;=客户对账单!$I$4),资金台帐!B1100+ROW()/100000,"")</f>
      </c>
      <c r="H4097">
        <f>IF(AND(资金台帐!K2600&lt;&gt;"",资金台帐!K2600=供应商对账单!$B$4,资金台帐!P2600="应付",ISNUMBER(资金台帐!B2600),资金台帐!B2600&gt;=供应商对账单!$G$4,资金台帐!B2600&lt;=供应商对账单!$I$4),资金台帐!B2600+ROW()/100000,"")</f>
      </c>
    </row>
    <row r="4098">
      <c r="F4098">
        <f>IF(AND(资金台帐!J1101&lt;&gt;"",资金台帐!J1101=客户对账单!$B$4,资金台帐!P1101="应收",ISNUMBER(资金台帐!B1101),资金台帐!B1101&gt;=客户对账单!$G$4,资金台帐!B1101&lt;=客户对账单!$I$4),资金台帐!B1101+ROW()/100000,"")</f>
      </c>
      <c r="H4098">
        <f>IF(AND(资金台帐!K2601&lt;&gt;"",资金台帐!K2601=供应商对账单!$B$4,资金台帐!P2601="应付",ISNUMBER(资金台帐!B2601),资金台帐!B2601&gt;=供应商对账单!$G$4,资金台帐!B2601&lt;=供应商对账单!$I$4),资金台帐!B2601+ROW()/100000,"")</f>
      </c>
    </row>
    <row r="4099">
      <c r="F4099">
        <f>IF(AND(资金台帐!J1102&lt;&gt;"",资金台帐!J1102=客户对账单!$B$4,资金台帐!P1102="应收",ISNUMBER(资金台帐!B1102),资金台帐!B1102&gt;=客户对账单!$G$4,资金台帐!B1102&lt;=客户对账单!$I$4),资金台帐!B1102+ROW()/100000,"")</f>
      </c>
      <c r="H4099">
        <f>IF(AND(资金台帐!K2602&lt;&gt;"",资金台帐!K2602=供应商对账单!$B$4,资金台帐!P2602="应付",ISNUMBER(资金台帐!B2602),资金台帐!B2602&gt;=供应商对账单!$G$4,资金台帐!B2602&lt;=供应商对账单!$I$4),资金台帐!B2602+ROW()/100000,"")</f>
      </c>
    </row>
    <row r="4100">
      <c r="F4100">
        <f>IF(AND(资金台帐!J1103&lt;&gt;"",资金台帐!J1103=客户对账单!$B$4,资金台帐!P1103="应收",ISNUMBER(资金台帐!B1103),资金台帐!B1103&gt;=客户对账单!$G$4,资金台帐!B1103&lt;=客户对账单!$I$4),资金台帐!B1103+ROW()/100000,"")</f>
      </c>
      <c r="H4100">
        <f>IF(AND(资金台帐!K2603&lt;&gt;"",资金台帐!K2603=供应商对账单!$B$4,资金台帐!P2603="应付",ISNUMBER(资金台帐!B2603),资金台帐!B2603&gt;=供应商对账单!$G$4,资金台帐!B2603&lt;=供应商对账单!$I$4),资金台帐!B2603+ROW()/100000,"")</f>
      </c>
    </row>
    <row r="4101">
      <c r="F4101">
        <f>IF(AND(资金台帐!J1104&lt;&gt;"",资金台帐!J1104=客户对账单!$B$4,资金台帐!P1104="应收",ISNUMBER(资金台帐!B1104),资金台帐!B1104&gt;=客户对账单!$G$4,资金台帐!B1104&lt;=客户对账单!$I$4),资金台帐!B1104+ROW()/100000,"")</f>
      </c>
      <c r="H4101">
        <f>IF(AND(资金台帐!K2604&lt;&gt;"",资金台帐!K2604=供应商对账单!$B$4,资金台帐!P2604="应付",ISNUMBER(资金台帐!B2604),资金台帐!B2604&gt;=供应商对账单!$G$4,资金台帐!B2604&lt;=供应商对账单!$I$4),资金台帐!B2604+ROW()/100000,"")</f>
      </c>
    </row>
    <row r="4102">
      <c r="F4102">
        <f>IF(AND(资金台帐!J1105&lt;&gt;"",资金台帐!J1105=客户对账单!$B$4,资金台帐!P1105="应收",ISNUMBER(资金台帐!B1105),资金台帐!B1105&gt;=客户对账单!$G$4,资金台帐!B1105&lt;=客户对账单!$I$4),资金台帐!B1105+ROW()/100000,"")</f>
      </c>
      <c r="H4102">
        <f>IF(AND(资金台帐!K2605&lt;&gt;"",资金台帐!K2605=供应商对账单!$B$4,资金台帐!P2605="应付",ISNUMBER(资金台帐!B2605),资金台帐!B2605&gt;=供应商对账单!$G$4,资金台帐!B2605&lt;=供应商对账单!$I$4),资金台帐!B2605+ROW()/100000,"")</f>
      </c>
    </row>
    <row r="4103">
      <c r="F4103">
        <f>IF(AND(资金台帐!J1106&lt;&gt;"",资金台帐!J1106=客户对账单!$B$4,资金台帐!P1106="应收",ISNUMBER(资金台帐!B1106),资金台帐!B1106&gt;=客户对账单!$G$4,资金台帐!B1106&lt;=客户对账单!$I$4),资金台帐!B1106+ROW()/100000,"")</f>
      </c>
      <c r="H4103">
        <f>IF(AND(资金台帐!K2606&lt;&gt;"",资金台帐!K2606=供应商对账单!$B$4,资金台帐!P2606="应付",ISNUMBER(资金台帐!B2606),资金台帐!B2606&gt;=供应商对账单!$G$4,资金台帐!B2606&lt;=供应商对账单!$I$4),资金台帐!B2606+ROW()/100000,"")</f>
      </c>
    </row>
    <row r="4104">
      <c r="F4104">
        <f>IF(AND(资金台帐!J1107&lt;&gt;"",资金台帐!J1107=客户对账单!$B$4,资金台帐!P1107="应收",ISNUMBER(资金台帐!B1107),资金台帐!B1107&gt;=客户对账单!$G$4,资金台帐!B1107&lt;=客户对账单!$I$4),资金台帐!B1107+ROW()/100000,"")</f>
      </c>
      <c r="H4104">
        <f>IF(AND(资金台帐!K2607&lt;&gt;"",资金台帐!K2607=供应商对账单!$B$4,资金台帐!P2607="应付",ISNUMBER(资金台帐!B2607),资金台帐!B2607&gt;=供应商对账单!$G$4,资金台帐!B2607&lt;=供应商对账单!$I$4),资金台帐!B2607+ROW()/100000,"")</f>
      </c>
    </row>
    <row r="4105">
      <c r="F4105">
        <f>IF(AND(资金台帐!J1108&lt;&gt;"",资金台帐!J1108=客户对账单!$B$4,资金台帐!P1108="应收",ISNUMBER(资金台帐!B1108),资金台帐!B1108&gt;=客户对账单!$G$4,资金台帐!B1108&lt;=客户对账单!$I$4),资金台帐!B1108+ROW()/100000,"")</f>
      </c>
      <c r="H4105">
        <f>IF(AND(资金台帐!K2608&lt;&gt;"",资金台帐!K2608=供应商对账单!$B$4,资金台帐!P2608="应付",ISNUMBER(资金台帐!B2608),资金台帐!B2608&gt;=供应商对账单!$G$4,资金台帐!B2608&lt;=供应商对账单!$I$4),资金台帐!B2608+ROW()/100000,"")</f>
      </c>
    </row>
    <row r="4106">
      <c r="F4106">
        <f>IF(AND(资金台帐!J1109&lt;&gt;"",资金台帐!J1109=客户对账单!$B$4,资金台帐!P1109="应收",ISNUMBER(资金台帐!B1109),资金台帐!B1109&gt;=客户对账单!$G$4,资金台帐!B1109&lt;=客户对账单!$I$4),资金台帐!B1109+ROW()/100000,"")</f>
      </c>
      <c r="H4106">
        <f>IF(AND(资金台帐!K2609&lt;&gt;"",资金台帐!K2609=供应商对账单!$B$4,资金台帐!P2609="应付",ISNUMBER(资金台帐!B2609),资金台帐!B2609&gt;=供应商对账单!$G$4,资金台帐!B2609&lt;=供应商对账单!$I$4),资金台帐!B2609+ROW()/100000,"")</f>
      </c>
    </row>
    <row r="4107">
      <c r="F4107">
        <f>IF(AND(资金台帐!J1110&lt;&gt;"",资金台帐!J1110=客户对账单!$B$4,资金台帐!P1110="应收",ISNUMBER(资金台帐!B1110),资金台帐!B1110&gt;=客户对账单!$G$4,资金台帐!B1110&lt;=客户对账单!$I$4),资金台帐!B1110+ROW()/100000,"")</f>
      </c>
      <c r="H4107">
        <f>IF(AND(资金台帐!K2610&lt;&gt;"",资金台帐!K2610=供应商对账单!$B$4,资金台帐!P2610="应付",ISNUMBER(资金台帐!B2610),资金台帐!B2610&gt;=供应商对账单!$G$4,资金台帐!B2610&lt;=供应商对账单!$I$4),资金台帐!B2610+ROW()/100000,"")</f>
      </c>
    </row>
    <row r="4108">
      <c r="F4108">
        <f>IF(AND(资金台帐!J1111&lt;&gt;"",资金台帐!J1111=客户对账单!$B$4,资金台帐!P1111="应收",ISNUMBER(资金台帐!B1111),资金台帐!B1111&gt;=客户对账单!$G$4,资金台帐!B1111&lt;=客户对账单!$I$4),资金台帐!B1111+ROW()/100000,"")</f>
      </c>
      <c r="H4108">
        <f>IF(AND(资金台帐!K2611&lt;&gt;"",资金台帐!K2611=供应商对账单!$B$4,资金台帐!P2611="应付",ISNUMBER(资金台帐!B2611),资金台帐!B2611&gt;=供应商对账单!$G$4,资金台帐!B2611&lt;=供应商对账单!$I$4),资金台帐!B2611+ROW()/100000,"")</f>
      </c>
    </row>
    <row r="4109">
      <c r="F4109">
        <f>IF(AND(资金台帐!J1112&lt;&gt;"",资金台帐!J1112=客户对账单!$B$4,资金台帐!P1112="应收",ISNUMBER(资金台帐!B1112),资金台帐!B1112&gt;=客户对账单!$G$4,资金台帐!B1112&lt;=客户对账单!$I$4),资金台帐!B1112+ROW()/100000,"")</f>
      </c>
      <c r="H4109">
        <f>IF(AND(资金台帐!K2612&lt;&gt;"",资金台帐!K2612=供应商对账单!$B$4,资金台帐!P2612="应付",ISNUMBER(资金台帐!B2612),资金台帐!B2612&gt;=供应商对账单!$G$4,资金台帐!B2612&lt;=供应商对账单!$I$4),资金台帐!B2612+ROW()/100000,"")</f>
      </c>
    </row>
    <row r="4110">
      <c r="F4110">
        <f>IF(AND(资金台帐!J1113&lt;&gt;"",资金台帐!J1113=客户对账单!$B$4,资金台帐!P1113="应收",ISNUMBER(资金台帐!B1113),资金台帐!B1113&gt;=客户对账单!$G$4,资金台帐!B1113&lt;=客户对账单!$I$4),资金台帐!B1113+ROW()/100000,"")</f>
      </c>
      <c r="H4110">
        <f>IF(AND(资金台帐!K2613&lt;&gt;"",资金台帐!K2613=供应商对账单!$B$4,资金台帐!P2613="应付",ISNUMBER(资金台帐!B2613),资金台帐!B2613&gt;=供应商对账单!$G$4,资金台帐!B2613&lt;=供应商对账单!$I$4),资金台帐!B2613+ROW()/100000,"")</f>
      </c>
    </row>
    <row r="4111">
      <c r="F4111">
        <f>IF(AND(资金台帐!J1114&lt;&gt;"",资金台帐!J1114=客户对账单!$B$4,资金台帐!P1114="应收",ISNUMBER(资金台帐!B1114),资金台帐!B1114&gt;=客户对账单!$G$4,资金台帐!B1114&lt;=客户对账单!$I$4),资金台帐!B1114+ROW()/100000,"")</f>
      </c>
      <c r="H4111">
        <f>IF(AND(资金台帐!K2614&lt;&gt;"",资金台帐!K2614=供应商对账单!$B$4,资金台帐!P2614="应付",ISNUMBER(资金台帐!B2614),资金台帐!B2614&gt;=供应商对账单!$G$4,资金台帐!B2614&lt;=供应商对账单!$I$4),资金台帐!B2614+ROW()/100000,"")</f>
      </c>
    </row>
    <row r="4112">
      <c r="F4112">
        <f>IF(AND(资金台帐!J1115&lt;&gt;"",资金台帐!J1115=客户对账单!$B$4,资金台帐!P1115="应收",ISNUMBER(资金台帐!B1115),资金台帐!B1115&gt;=客户对账单!$G$4,资金台帐!B1115&lt;=客户对账单!$I$4),资金台帐!B1115+ROW()/100000,"")</f>
      </c>
      <c r="H4112">
        <f>IF(AND(资金台帐!K2615&lt;&gt;"",资金台帐!K2615=供应商对账单!$B$4,资金台帐!P2615="应付",ISNUMBER(资金台帐!B2615),资金台帐!B2615&gt;=供应商对账单!$G$4,资金台帐!B2615&lt;=供应商对账单!$I$4),资金台帐!B2615+ROW()/100000,"")</f>
      </c>
    </row>
    <row r="4113">
      <c r="F4113">
        <f>IF(AND(资金台帐!J1116&lt;&gt;"",资金台帐!J1116=客户对账单!$B$4,资金台帐!P1116="应收",ISNUMBER(资金台帐!B1116),资金台帐!B1116&gt;=客户对账单!$G$4,资金台帐!B1116&lt;=客户对账单!$I$4),资金台帐!B1116+ROW()/100000,"")</f>
      </c>
      <c r="H4113">
        <f>IF(AND(资金台帐!K2616&lt;&gt;"",资金台帐!K2616=供应商对账单!$B$4,资金台帐!P2616="应付",ISNUMBER(资金台帐!B2616),资金台帐!B2616&gt;=供应商对账单!$G$4,资金台帐!B2616&lt;=供应商对账单!$I$4),资金台帐!B2616+ROW()/100000,"")</f>
      </c>
    </row>
    <row r="4114">
      <c r="F4114">
        <f>IF(AND(资金台帐!J1117&lt;&gt;"",资金台帐!J1117=客户对账单!$B$4,资金台帐!P1117="应收",ISNUMBER(资金台帐!B1117),资金台帐!B1117&gt;=客户对账单!$G$4,资金台帐!B1117&lt;=客户对账单!$I$4),资金台帐!B1117+ROW()/100000,"")</f>
      </c>
      <c r="H4114">
        <f>IF(AND(资金台帐!K2617&lt;&gt;"",资金台帐!K2617=供应商对账单!$B$4,资金台帐!P2617="应付",ISNUMBER(资金台帐!B2617),资金台帐!B2617&gt;=供应商对账单!$G$4,资金台帐!B2617&lt;=供应商对账单!$I$4),资金台帐!B2617+ROW()/100000,"")</f>
      </c>
    </row>
    <row r="4115">
      <c r="F4115">
        <f>IF(AND(资金台帐!J1118&lt;&gt;"",资金台帐!J1118=客户对账单!$B$4,资金台帐!P1118="应收",ISNUMBER(资金台帐!B1118),资金台帐!B1118&gt;=客户对账单!$G$4,资金台帐!B1118&lt;=客户对账单!$I$4),资金台帐!B1118+ROW()/100000,"")</f>
      </c>
      <c r="H4115">
        <f>IF(AND(资金台帐!K2618&lt;&gt;"",资金台帐!K2618=供应商对账单!$B$4,资金台帐!P2618="应付",ISNUMBER(资金台帐!B2618),资金台帐!B2618&gt;=供应商对账单!$G$4,资金台帐!B2618&lt;=供应商对账单!$I$4),资金台帐!B2618+ROW()/100000,"")</f>
      </c>
    </row>
    <row r="4116">
      <c r="F4116">
        <f>IF(AND(资金台帐!J1119&lt;&gt;"",资金台帐!J1119=客户对账单!$B$4,资金台帐!P1119="应收",ISNUMBER(资金台帐!B1119),资金台帐!B1119&gt;=客户对账单!$G$4,资金台帐!B1119&lt;=客户对账单!$I$4),资金台帐!B1119+ROW()/100000,"")</f>
      </c>
      <c r="H4116">
        <f>IF(AND(资金台帐!K2619&lt;&gt;"",资金台帐!K2619=供应商对账单!$B$4,资金台帐!P2619="应付",ISNUMBER(资金台帐!B2619),资金台帐!B2619&gt;=供应商对账单!$G$4,资金台帐!B2619&lt;=供应商对账单!$I$4),资金台帐!B2619+ROW()/100000,"")</f>
      </c>
    </row>
    <row r="4117">
      <c r="F4117">
        <f>IF(AND(资金台帐!J1120&lt;&gt;"",资金台帐!J1120=客户对账单!$B$4,资金台帐!P1120="应收",ISNUMBER(资金台帐!B1120),资金台帐!B1120&gt;=客户对账单!$G$4,资金台帐!B1120&lt;=客户对账单!$I$4),资金台帐!B1120+ROW()/100000,"")</f>
      </c>
      <c r="H4117">
        <f>IF(AND(资金台帐!K2620&lt;&gt;"",资金台帐!K2620=供应商对账单!$B$4,资金台帐!P2620="应付",ISNUMBER(资金台帐!B2620),资金台帐!B2620&gt;=供应商对账单!$G$4,资金台帐!B2620&lt;=供应商对账单!$I$4),资金台帐!B2620+ROW()/100000,"")</f>
      </c>
    </row>
    <row r="4118">
      <c r="F4118">
        <f>IF(AND(资金台帐!J1121&lt;&gt;"",资金台帐!J1121=客户对账单!$B$4,资金台帐!P1121="应收",ISNUMBER(资金台帐!B1121),资金台帐!B1121&gt;=客户对账单!$G$4,资金台帐!B1121&lt;=客户对账单!$I$4),资金台帐!B1121+ROW()/100000,"")</f>
      </c>
      <c r="H4118">
        <f>IF(AND(资金台帐!K2621&lt;&gt;"",资金台帐!K2621=供应商对账单!$B$4,资金台帐!P2621="应付",ISNUMBER(资金台帐!B2621),资金台帐!B2621&gt;=供应商对账单!$G$4,资金台帐!B2621&lt;=供应商对账单!$I$4),资金台帐!B2621+ROW()/100000,"")</f>
      </c>
    </row>
    <row r="4119">
      <c r="F4119">
        <f>IF(AND(资金台帐!J1122&lt;&gt;"",资金台帐!J1122=客户对账单!$B$4,资金台帐!P1122="应收",ISNUMBER(资金台帐!B1122),资金台帐!B1122&gt;=客户对账单!$G$4,资金台帐!B1122&lt;=客户对账单!$I$4),资金台帐!B1122+ROW()/100000,"")</f>
      </c>
      <c r="H4119">
        <f>IF(AND(资金台帐!K2622&lt;&gt;"",资金台帐!K2622=供应商对账单!$B$4,资金台帐!P2622="应付",ISNUMBER(资金台帐!B2622),资金台帐!B2622&gt;=供应商对账单!$G$4,资金台帐!B2622&lt;=供应商对账单!$I$4),资金台帐!B2622+ROW()/100000,"")</f>
      </c>
    </row>
    <row r="4120">
      <c r="F4120">
        <f>IF(AND(资金台帐!J1123&lt;&gt;"",资金台帐!J1123=客户对账单!$B$4,资金台帐!P1123="应收",ISNUMBER(资金台帐!B1123),资金台帐!B1123&gt;=客户对账单!$G$4,资金台帐!B1123&lt;=客户对账单!$I$4),资金台帐!B1123+ROW()/100000,"")</f>
      </c>
      <c r="H4120">
        <f>IF(AND(资金台帐!K2623&lt;&gt;"",资金台帐!K2623=供应商对账单!$B$4,资金台帐!P2623="应付",ISNUMBER(资金台帐!B2623),资金台帐!B2623&gt;=供应商对账单!$G$4,资金台帐!B2623&lt;=供应商对账单!$I$4),资金台帐!B2623+ROW()/100000,"")</f>
      </c>
    </row>
    <row r="4121">
      <c r="F4121">
        <f>IF(AND(资金台帐!J1124&lt;&gt;"",资金台帐!J1124=客户对账单!$B$4,资金台帐!P1124="应收",ISNUMBER(资金台帐!B1124),资金台帐!B1124&gt;=客户对账单!$G$4,资金台帐!B1124&lt;=客户对账单!$I$4),资金台帐!B1124+ROW()/100000,"")</f>
      </c>
      <c r="H4121">
        <f>IF(AND(资金台帐!K2624&lt;&gt;"",资金台帐!K2624=供应商对账单!$B$4,资金台帐!P2624="应付",ISNUMBER(资金台帐!B2624),资金台帐!B2624&gt;=供应商对账单!$G$4,资金台帐!B2624&lt;=供应商对账单!$I$4),资金台帐!B2624+ROW()/100000,"")</f>
      </c>
    </row>
    <row r="4122">
      <c r="F4122">
        <f>IF(AND(资金台帐!J1125&lt;&gt;"",资金台帐!J1125=客户对账单!$B$4,资金台帐!P1125="应收",ISNUMBER(资金台帐!B1125),资金台帐!B1125&gt;=客户对账单!$G$4,资金台帐!B1125&lt;=客户对账单!$I$4),资金台帐!B1125+ROW()/100000,"")</f>
      </c>
      <c r="H4122">
        <f>IF(AND(资金台帐!K2625&lt;&gt;"",资金台帐!K2625=供应商对账单!$B$4,资金台帐!P2625="应付",ISNUMBER(资金台帐!B2625),资金台帐!B2625&gt;=供应商对账单!$G$4,资金台帐!B2625&lt;=供应商对账单!$I$4),资金台帐!B2625+ROW()/100000,"")</f>
      </c>
    </row>
    <row r="4123">
      <c r="F4123">
        <f>IF(AND(资金台帐!J1126&lt;&gt;"",资金台帐!J1126=客户对账单!$B$4,资金台帐!P1126="应收",ISNUMBER(资金台帐!B1126),资金台帐!B1126&gt;=客户对账单!$G$4,资金台帐!B1126&lt;=客户对账单!$I$4),资金台帐!B1126+ROW()/100000,"")</f>
      </c>
      <c r="H4123">
        <f>IF(AND(资金台帐!K2626&lt;&gt;"",资金台帐!K2626=供应商对账单!$B$4,资金台帐!P2626="应付",ISNUMBER(资金台帐!B2626),资金台帐!B2626&gt;=供应商对账单!$G$4,资金台帐!B2626&lt;=供应商对账单!$I$4),资金台帐!B2626+ROW()/100000,"")</f>
      </c>
    </row>
    <row r="4124">
      <c r="F4124">
        <f>IF(AND(资金台帐!J1127&lt;&gt;"",资金台帐!J1127=客户对账单!$B$4,资金台帐!P1127="应收",ISNUMBER(资金台帐!B1127),资金台帐!B1127&gt;=客户对账单!$G$4,资金台帐!B1127&lt;=客户对账单!$I$4),资金台帐!B1127+ROW()/100000,"")</f>
      </c>
      <c r="H4124">
        <f>IF(AND(资金台帐!K2627&lt;&gt;"",资金台帐!K2627=供应商对账单!$B$4,资金台帐!P2627="应付",ISNUMBER(资金台帐!B2627),资金台帐!B2627&gt;=供应商对账单!$G$4,资金台帐!B2627&lt;=供应商对账单!$I$4),资金台帐!B2627+ROW()/100000,"")</f>
      </c>
    </row>
    <row r="4125">
      <c r="F4125">
        <f>IF(AND(资金台帐!J1128&lt;&gt;"",资金台帐!J1128=客户对账单!$B$4,资金台帐!P1128="应收",ISNUMBER(资金台帐!B1128),资金台帐!B1128&gt;=客户对账单!$G$4,资金台帐!B1128&lt;=客户对账单!$I$4),资金台帐!B1128+ROW()/100000,"")</f>
      </c>
      <c r="H4125">
        <f>IF(AND(资金台帐!K2628&lt;&gt;"",资金台帐!K2628=供应商对账单!$B$4,资金台帐!P2628="应付",ISNUMBER(资金台帐!B2628),资金台帐!B2628&gt;=供应商对账单!$G$4,资金台帐!B2628&lt;=供应商对账单!$I$4),资金台帐!B2628+ROW()/100000,"")</f>
      </c>
    </row>
    <row r="4126">
      <c r="F4126">
        <f>IF(AND(资金台帐!J1129&lt;&gt;"",资金台帐!J1129=客户对账单!$B$4,资金台帐!P1129="应收",ISNUMBER(资金台帐!B1129),资金台帐!B1129&gt;=客户对账单!$G$4,资金台帐!B1129&lt;=客户对账单!$I$4),资金台帐!B1129+ROW()/100000,"")</f>
      </c>
      <c r="H4126">
        <f>IF(AND(资金台帐!K2629&lt;&gt;"",资金台帐!K2629=供应商对账单!$B$4,资金台帐!P2629="应付",ISNUMBER(资金台帐!B2629),资金台帐!B2629&gt;=供应商对账单!$G$4,资金台帐!B2629&lt;=供应商对账单!$I$4),资金台帐!B2629+ROW()/100000,"")</f>
      </c>
    </row>
    <row r="4127">
      <c r="F4127">
        <f>IF(AND(资金台帐!J1130&lt;&gt;"",资金台帐!J1130=客户对账单!$B$4,资金台帐!P1130="应收",ISNUMBER(资金台帐!B1130),资金台帐!B1130&gt;=客户对账单!$G$4,资金台帐!B1130&lt;=客户对账单!$I$4),资金台帐!B1130+ROW()/100000,"")</f>
      </c>
      <c r="H4127">
        <f>IF(AND(资金台帐!K2630&lt;&gt;"",资金台帐!K2630=供应商对账单!$B$4,资金台帐!P2630="应付",ISNUMBER(资金台帐!B2630),资金台帐!B2630&gt;=供应商对账单!$G$4,资金台帐!B2630&lt;=供应商对账单!$I$4),资金台帐!B2630+ROW()/100000,"")</f>
      </c>
    </row>
    <row r="4128">
      <c r="F4128">
        <f>IF(AND(资金台帐!J1131&lt;&gt;"",资金台帐!J1131=客户对账单!$B$4,资金台帐!P1131="应收",ISNUMBER(资金台帐!B1131),资金台帐!B1131&gt;=客户对账单!$G$4,资金台帐!B1131&lt;=客户对账单!$I$4),资金台帐!B1131+ROW()/100000,"")</f>
      </c>
      <c r="H4128">
        <f>IF(AND(资金台帐!K2631&lt;&gt;"",资金台帐!K2631=供应商对账单!$B$4,资金台帐!P2631="应付",ISNUMBER(资金台帐!B2631),资金台帐!B2631&gt;=供应商对账单!$G$4,资金台帐!B2631&lt;=供应商对账单!$I$4),资金台帐!B2631+ROW()/100000,"")</f>
      </c>
    </row>
    <row r="4129">
      <c r="F4129">
        <f>IF(AND(资金台帐!J1132&lt;&gt;"",资金台帐!J1132=客户对账单!$B$4,资金台帐!P1132="应收",ISNUMBER(资金台帐!B1132),资金台帐!B1132&gt;=客户对账单!$G$4,资金台帐!B1132&lt;=客户对账单!$I$4),资金台帐!B1132+ROW()/100000,"")</f>
      </c>
      <c r="H4129">
        <f>IF(AND(资金台帐!K2632&lt;&gt;"",资金台帐!K2632=供应商对账单!$B$4,资金台帐!P2632="应付",ISNUMBER(资金台帐!B2632),资金台帐!B2632&gt;=供应商对账单!$G$4,资金台帐!B2632&lt;=供应商对账单!$I$4),资金台帐!B2632+ROW()/100000,"")</f>
      </c>
    </row>
    <row r="4130">
      <c r="F4130">
        <f>IF(AND(资金台帐!J1133&lt;&gt;"",资金台帐!J1133=客户对账单!$B$4,资金台帐!P1133="应收",ISNUMBER(资金台帐!B1133),资金台帐!B1133&gt;=客户对账单!$G$4,资金台帐!B1133&lt;=客户对账单!$I$4),资金台帐!B1133+ROW()/100000,"")</f>
      </c>
      <c r="H4130">
        <f>IF(AND(资金台帐!K2633&lt;&gt;"",资金台帐!K2633=供应商对账单!$B$4,资金台帐!P2633="应付",ISNUMBER(资金台帐!B2633),资金台帐!B2633&gt;=供应商对账单!$G$4,资金台帐!B2633&lt;=供应商对账单!$I$4),资金台帐!B2633+ROW()/100000,"")</f>
      </c>
    </row>
    <row r="4131">
      <c r="F4131">
        <f>IF(AND(资金台帐!J1134&lt;&gt;"",资金台帐!J1134=客户对账单!$B$4,资金台帐!P1134="应收",ISNUMBER(资金台帐!B1134),资金台帐!B1134&gt;=客户对账单!$G$4,资金台帐!B1134&lt;=客户对账单!$I$4),资金台帐!B1134+ROW()/100000,"")</f>
      </c>
      <c r="H4131">
        <f>IF(AND(资金台帐!K2634&lt;&gt;"",资金台帐!K2634=供应商对账单!$B$4,资金台帐!P2634="应付",ISNUMBER(资金台帐!B2634),资金台帐!B2634&gt;=供应商对账单!$G$4,资金台帐!B2634&lt;=供应商对账单!$I$4),资金台帐!B2634+ROW()/100000,"")</f>
      </c>
    </row>
    <row r="4132">
      <c r="F4132">
        <f>IF(AND(资金台帐!J1135&lt;&gt;"",资金台帐!J1135=客户对账单!$B$4,资金台帐!P1135="应收",ISNUMBER(资金台帐!B1135),资金台帐!B1135&gt;=客户对账单!$G$4,资金台帐!B1135&lt;=客户对账单!$I$4),资金台帐!B1135+ROW()/100000,"")</f>
      </c>
      <c r="H4132">
        <f>IF(AND(资金台帐!K2635&lt;&gt;"",资金台帐!K2635=供应商对账单!$B$4,资金台帐!P2635="应付",ISNUMBER(资金台帐!B2635),资金台帐!B2635&gt;=供应商对账单!$G$4,资金台帐!B2635&lt;=供应商对账单!$I$4),资金台帐!B2635+ROW()/100000,"")</f>
      </c>
    </row>
    <row r="4133">
      <c r="F4133">
        <f>IF(AND(资金台帐!J1136&lt;&gt;"",资金台帐!J1136=客户对账单!$B$4,资金台帐!P1136="应收",ISNUMBER(资金台帐!B1136),资金台帐!B1136&gt;=客户对账单!$G$4,资金台帐!B1136&lt;=客户对账单!$I$4),资金台帐!B1136+ROW()/100000,"")</f>
      </c>
      <c r="H4133">
        <f>IF(AND(资金台帐!K2636&lt;&gt;"",资金台帐!K2636=供应商对账单!$B$4,资金台帐!P2636="应付",ISNUMBER(资金台帐!B2636),资金台帐!B2636&gt;=供应商对账单!$G$4,资金台帐!B2636&lt;=供应商对账单!$I$4),资金台帐!B2636+ROW()/100000,"")</f>
      </c>
    </row>
    <row r="4134">
      <c r="F4134">
        <f>IF(AND(资金台帐!J1137&lt;&gt;"",资金台帐!J1137=客户对账单!$B$4,资金台帐!P1137="应收",ISNUMBER(资金台帐!B1137),资金台帐!B1137&gt;=客户对账单!$G$4,资金台帐!B1137&lt;=客户对账单!$I$4),资金台帐!B1137+ROW()/100000,"")</f>
      </c>
      <c r="H4134">
        <f>IF(AND(资金台帐!K2637&lt;&gt;"",资金台帐!K2637=供应商对账单!$B$4,资金台帐!P2637="应付",ISNUMBER(资金台帐!B2637),资金台帐!B2637&gt;=供应商对账单!$G$4,资金台帐!B2637&lt;=供应商对账单!$I$4),资金台帐!B2637+ROW()/100000,"")</f>
      </c>
    </row>
    <row r="4135">
      <c r="F4135">
        <f>IF(AND(资金台帐!J1138&lt;&gt;"",资金台帐!J1138=客户对账单!$B$4,资金台帐!P1138="应收",ISNUMBER(资金台帐!B1138),资金台帐!B1138&gt;=客户对账单!$G$4,资金台帐!B1138&lt;=客户对账单!$I$4),资金台帐!B1138+ROW()/100000,"")</f>
      </c>
      <c r="H4135">
        <f>IF(AND(资金台帐!K2638&lt;&gt;"",资金台帐!K2638=供应商对账单!$B$4,资金台帐!P2638="应付",ISNUMBER(资金台帐!B2638),资金台帐!B2638&gt;=供应商对账单!$G$4,资金台帐!B2638&lt;=供应商对账单!$I$4),资金台帐!B2638+ROW()/100000,"")</f>
      </c>
    </row>
    <row r="4136">
      <c r="F4136">
        <f>IF(AND(资金台帐!J1139&lt;&gt;"",资金台帐!J1139=客户对账单!$B$4,资金台帐!P1139="应收",ISNUMBER(资金台帐!B1139),资金台帐!B1139&gt;=客户对账单!$G$4,资金台帐!B1139&lt;=客户对账单!$I$4),资金台帐!B1139+ROW()/100000,"")</f>
      </c>
      <c r="H4136">
        <f>IF(AND(资金台帐!K2639&lt;&gt;"",资金台帐!K2639=供应商对账单!$B$4,资金台帐!P2639="应付",ISNUMBER(资金台帐!B2639),资金台帐!B2639&gt;=供应商对账单!$G$4,资金台帐!B2639&lt;=供应商对账单!$I$4),资金台帐!B2639+ROW()/100000,"")</f>
      </c>
    </row>
    <row r="4137">
      <c r="F4137">
        <f>IF(AND(资金台帐!J1140&lt;&gt;"",资金台帐!J1140=客户对账单!$B$4,资金台帐!P1140="应收",ISNUMBER(资金台帐!B1140),资金台帐!B1140&gt;=客户对账单!$G$4,资金台帐!B1140&lt;=客户对账单!$I$4),资金台帐!B1140+ROW()/100000,"")</f>
      </c>
      <c r="H4137">
        <f>IF(AND(资金台帐!K2640&lt;&gt;"",资金台帐!K2640=供应商对账单!$B$4,资金台帐!P2640="应付",ISNUMBER(资金台帐!B2640),资金台帐!B2640&gt;=供应商对账单!$G$4,资金台帐!B2640&lt;=供应商对账单!$I$4),资金台帐!B2640+ROW()/100000,"")</f>
      </c>
    </row>
    <row r="4138">
      <c r="F4138">
        <f>IF(AND(资金台帐!J1141&lt;&gt;"",资金台帐!J1141=客户对账单!$B$4,资金台帐!P1141="应收",ISNUMBER(资金台帐!B1141),资金台帐!B1141&gt;=客户对账单!$G$4,资金台帐!B1141&lt;=客户对账单!$I$4),资金台帐!B1141+ROW()/100000,"")</f>
      </c>
      <c r="H4138">
        <f>IF(AND(资金台帐!K2641&lt;&gt;"",资金台帐!K2641=供应商对账单!$B$4,资金台帐!P2641="应付",ISNUMBER(资金台帐!B2641),资金台帐!B2641&gt;=供应商对账单!$G$4,资金台帐!B2641&lt;=供应商对账单!$I$4),资金台帐!B2641+ROW()/100000,"")</f>
      </c>
    </row>
    <row r="4139">
      <c r="F4139">
        <f>IF(AND(资金台帐!J1142&lt;&gt;"",资金台帐!J1142=客户对账单!$B$4,资金台帐!P1142="应收",ISNUMBER(资金台帐!B1142),资金台帐!B1142&gt;=客户对账单!$G$4,资金台帐!B1142&lt;=客户对账单!$I$4),资金台帐!B1142+ROW()/100000,"")</f>
      </c>
      <c r="H4139">
        <f>IF(AND(资金台帐!K2642&lt;&gt;"",资金台帐!K2642=供应商对账单!$B$4,资金台帐!P2642="应付",ISNUMBER(资金台帐!B2642),资金台帐!B2642&gt;=供应商对账单!$G$4,资金台帐!B2642&lt;=供应商对账单!$I$4),资金台帐!B2642+ROW()/100000,"")</f>
      </c>
    </row>
    <row r="4140">
      <c r="F4140">
        <f>IF(AND(资金台帐!J1143&lt;&gt;"",资金台帐!J1143=客户对账单!$B$4,资金台帐!P1143="应收",ISNUMBER(资金台帐!B1143),资金台帐!B1143&gt;=客户对账单!$G$4,资金台帐!B1143&lt;=客户对账单!$I$4),资金台帐!B1143+ROW()/100000,"")</f>
      </c>
      <c r="H4140">
        <f>IF(AND(资金台帐!K2643&lt;&gt;"",资金台帐!K2643=供应商对账单!$B$4,资金台帐!P2643="应付",ISNUMBER(资金台帐!B2643),资金台帐!B2643&gt;=供应商对账单!$G$4,资金台帐!B2643&lt;=供应商对账单!$I$4),资金台帐!B2643+ROW()/100000,"")</f>
      </c>
    </row>
    <row r="4141">
      <c r="F4141">
        <f>IF(AND(资金台帐!J1144&lt;&gt;"",资金台帐!J1144=客户对账单!$B$4,资金台帐!P1144="应收",ISNUMBER(资金台帐!B1144),资金台帐!B1144&gt;=客户对账单!$G$4,资金台帐!B1144&lt;=客户对账单!$I$4),资金台帐!B1144+ROW()/100000,"")</f>
      </c>
      <c r="H4141">
        <f>IF(AND(资金台帐!K2644&lt;&gt;"",资金台帐!K2644=供应商对账单!$B$4,资金台帐!P2644="应付",ISNUMBER(资金台帐!B2644),资金台帐!B2644&gt;=供应商对账单!$G$4,资金台帐!B2644&lt;=供应商对账单!$I$4),资金台帐!B2644+ROW()/100000,"")</f>
      </c>
    </row>
    <row r="4142">
      <c r="F4142">
        <f>IF(AND(资金台帐!J1145&lt;&gt;"",资金台帐!J1145=客户对账单!$B$4,资金台帐!P1145="应收",ISNUMBER(资金台帐!B1145),资金台帐!B1145&gt;=客户对账单!$G$4,资金台帐!B1145&lt;=客户对账单!$I$4),资金台帐!B1145+ROW()/100000,"")</f>
      </c>
      <c r="H4142">
        <f>IF(AND(资金台帐!K2645&lt;&gt;"",资金台帐!K2645=供应商对账单!$B$4,资金台帐!P2645="应付",ISNUMBER(资金台帐!B2645),资金台帐!B2645&gt;=供应商对账单!$G$4,资金台帐!B2645&lt;=供应商对账单!$I$4),资金台帐!B2645+ROW()/100000,"")</f>
      </c>
    </row>
    <row r="4143">
      <c r="F4143">
        <f>IF(AND(资金台帐!J1146&lt;&gt;"",资金台帐!J1146=客户对账单!$B$4,资金台帐!P1146="应收",ISNUMBER(资金台帐!B1146),资金台帐!B1146&gt;=客户对账单!$G$4,资金台帐!B1146&lt;=客户对账单!$I$4),资金台帐!B1146+ROW()/100000,"")</f>
      </c>
      <c r="H4143">
        <f>IF(AND(资金台帐!K2646&lt;&gt;"",资金台帐!K2646=供应商对账单!$B$4,资金台帐!P2646="应付",ISNUMBER(资金台帐!B2646),资金台帐!B2646&gt;=供应商对账单!$G$4,资金台帐!B2646&lt;=供应商对账单!$I$4),资金台帐!B2646+ROW()/100000,"")</f>
      </c>
    </row>
    <row r="4144">
      <c r="F4144">
        <f>IF(AND(资金台帐!J1147&lt;&gt;"",资金台帐!J1147=客户对账单!$B$4,资金台帐!P1147="应收",ISNUMBER(资金台帐!B1147),资金台帐!B1147&gt;=客户对账单!$G$4,资金台帐!B1147&lt;=客户对账单!$I$4),资金台帐!B1147+ROW()/100000,"")</f>
      </c>
      <c r="H4144">
        <f>IF(AND(资金台帐!K2647&lt;&gt;"",资金台帐!K2647=供应商对账单!$B$4,资金台帐!P2647="应付",ISNUMBER(资金台帐!B2647),资金台帐!B2647&gt;=供应商对账单!$G$4,资金台帐!B2647&lt;=供应商对账单!$I$4),资金台帐!B2647+ROW()/100000,"")</f>
      </c>
    </row>
    <row r="4145">
      <c r="F4145">
        <f>IF(AND(资金台帐!J1148&lt;&gt;"",资金台帐!J1148=客户对账单!$B$4,资金台帐!P1148="应收",ISNUMBER(资金台帐!B1148),资金台帐!B1148&gt;=客户对账单!$G$4,资金台帐!B1148&lt;=客户对账单!$I$4),资金台帐!B1148+ROW()/100000,"")</f>
      </c>
      <c r="H4145">
        <f>IF(AND(资金台帐!K2648&lt;&gt;"",资金台帐!K2648=供应商对账单!$B$4,资金台帐!P2648="应付",ISNUMBER(资金台帐!B2648),资金台帐!B2648&gt;=供应商对账单!$G$4,资金台帐!B2648&lt;=供应商对账单!$I$4),资金台帐!B2648+ROW()/100000,"")</f>
      </c>
    </row>
    <row r="4146">
      <c r="F4146">
        <f>IF(AND(资金台帐!J1149&lt;&gt;"",资金台帐!J1149=客户对账单!$B$4,资金台帐!P1149="应收",ISNUMBER(资金台帐!B1149),资金台帐!B1149&gt;=客户对账单!$G$4,资金台帐!B1149&lt;=客户对账单!$I$4),资金台帐!B1149+ROW()/100000,"")</f>
      </c>
      <c r="H4146">
        <f>IF(AND(资金台帐!K2649&lt;&gt;"",资金台帐!K2649=供应商对账单!$B$4,资金台帐!P2649="应付",ISNUMBER(资金台帐!B2649),资金台帐!B2649&gt;=供应商对账单!$G$4,资金台帐!B2649&lt;=供应商对账单!$I$4),资金台帐!B2649+ROW()/100000,"")</f>
      </c>
    </row>
    <row r="4147">
      <c r="F4147">
        <f>IF(AND(资金台帐!J1150&lt;&gt;"",资金台帐!J1150=客户对账单!$B$4,资金台帐!P1150="应收",ISNUMBER(资金台帐!B1150),资金台帐!B1150&gt;=客户对账单!$G$4,资金台帐!B1150&lt;=客户对账单!$I$4),资金台帐!B1150+ROW()/100000,"")</f>
      </c>
      <c r="H4147">
        <f>IF(AND(资金台帐!K2650&lt;&gt;"",资金台帐!K2650=供应商对账单!$B$4,资金台帐!P2650="应付",ISNUMBER(资金台帐!B2650),资金台帐!B2650&gt;=供应商对账单!$G$4,资金台帐!B2650&lt;=供应商对账单!$I$4),资金台帐!B2650+ROW()/100000,"")</f>
      </c>
    </row>
    <row r="4148">
      <c r="F4148">
        <f>IF(AND(资金台帐!J1151&lt;&gt;"",资金台帐!J1151=客户对账单!$B$4,资金台帐!P1151="应收",ISNUMBER(资金台帐!B1151),资金台帐!B1151&gt;=客户对账单!$G$4,资金台帐!B1151&lt;=客户对账单!$I$4),资金台帐!B1151+ROW()/100000,"")</f>
      </c>
      <c r="H4148">
        <f>IF(AND(资金台帐!K2651&lt;&gt;"",资金台帐!K2651=供应商对账单!$B$4,资金台帐!P2651="应付",ISNUMBER(资金台帐!B2651),资金台帐!B2651&gt;=供应商对账单!$G$4,资金台帐!B2651&lt;=供应商对账单!$I$4),资金台帐!B2651+ROW()/100000,"")</f>
      </c>
    </row>
    <row r="4149">
      <c r="F4149">
        <f>IF(AND(资金台帐!J1152&lt;&gt;"",资金台帐!J1152=客户对账单!$B$4,资金台帐!P1152="应收",ISNUMBER(资金台帐!B1152),资金台帐!B1152&gt;=客户对账单!$G$4,资金台帐!B1152&lt;=客户对账单!$I$4),资金台帐!B1152+ROW()/100000,"")</f>
      </c>
      <c r="H4149">
        <f>IF(AND(资金台帐!K2652&lt;&gt;"",资金台帐!K2652=供应商对账单!$B$4,资金台帐!P2652="应付",ISNUMBER(资金台帐!B2652),资金台帐!B2652&gt;=供应商对账单!$G$4,资金台帐!B2652&lt;=供应商对账单!$I$4),资金台帐!B2652+ROW()/100000,"")</f>
      </c>
    </row>
    <row r="4150">
      <c r="F4150">
        <f>IF(AND(资金台帐!J1153&lt;&gt;"",资金台帐!J1153=客户对账单!$B$4,资金台帐!P1153="应收",ISNUMBER(资金台帐!B1153),资金台帐!B1153&gt;=客户对账单!$G$4,资金台帐!B1153&lt;=客户对账单!$I$4),资金台帐!B1153+ROW()/100000,"")</f>
      </c>
      <c r="H4150">
        <f>IF(AND(资金台帐!K2653&lt;&gt;"",资金台帐!K2653=供应商对账单!$B$4,资金台帐!P2653="应付",ISNUMBER(资金台帐!B2653),资金台帐!B2653&gt;=供应商对账单!$G$4,资金台帐!B2653&lt;=供应商对账单!$I$4),资金台帐!B2653+ROW()/100000,"")</f>
      </c>
    </row>
    <row r="4151">
      <c r="F4151">
        <f>IF(AND(资金台帐!J1154&lt;&gt;"",资金台帐!J1154=客户对账单!$B$4,资金台帐!P1154="应收",ISNUMBER(资金台帐!B1154),资金台帐!B1154&gt;=客户对账单!$G$4,资金台帐!B1154&lt;=客户对账单!$I$4),资金台帐!B1154+ROW()/100000,"")</f>
      </c>
      <c r="H4151">
        <f>IF(AND(资金台帐!K2654&lt;&gt;"",资金台帐!K2654=供应商对账单!$B$4,资金台帐!P2654="应付",ISNUMBER(资金台帐!B2654),资金台帐!B2654&gt;=供应商对账单!$G$4,资金台帐!B2654&lt;=供应商对账单!$I$4),资金台帐!B2654+ROW()/100000,"")</f>
      </c>
    </row>
    <row r="4152">
      <c r="F4152">
        <f>IF(AND(资金台帐!J1155&lt;&gt;"",资金台帐!J1155=客户对账单!$B$4,资金台帐!P1155="应收",ISNUMBER(资金台帐!B1155),资金台帐!B1155&gt;=客户对账单!$G$4,资金台帐!B1155&lt;=客户对账单!$I$4),资金台帐!B1155+ROW()/100000,"")</f>
      </c>
      <c r="H4152">
        <f>IF(AND(资金台帐!K2655&lt;&gt;"",资金台帐!K2655=供应商对账单!$B$4,资金台帐!P2655="应付",ISNUMBER(资金台帐!B2655),资金台帐!B2655&gt;=供应商对账单!$G$4,资金台帐!B2655&lt;=供应商对账单!$I$4),资金台帐!B2655+ROW()/100000,"")</f>
      </c>
    </row>
    <row r="4153">
      <c r="F4153">
        <f>IF(AND(资金台帐!J1156&lt;&gt;"",资金台帐!J1156=客户对账单!$B$4,资金台帐!P1156="应收",ISNUMBER(资金台帐!B1156),资金台帐!B1156&gt;=客户对账单!$G$4,资金台帐!B1156&lt;=客户对账单!$I$4),资金台帐!B1156+ROW()/100000,"")</f>
      </c>
      <c r="H4153">
        <f>IF(AND(资金台帐!K2656&lt;&gt;"",资金台帐!K2656=供应商对账单!$B$4,资金台帐!P2656="应付",ISNUMBER(资金台帐!B2656),资金台帐!B2656&gt;=供应商对账单!$G$4,资金台帐!B2656&lt;=供应商对账单!$I$4),资金台帐!B2656+ROW()/100000,"")</f>
      </c>
    </row>
    <row r="4154">
      <c r="F4154">
        <f>IF(AND(资金台帐!J1157&lt;&gt;"",资金台帐!J1157=客户对账单!$B$4,资金台帐!P1157="应收",ISNUMBER(资金台帐!B1157),资金台帐!B1157&gt;=客户对账单!$G$4,资金台帐!B1157&lt;=客户对账单!$I$4),资金台帐!B1157+ROW()/100000,"")</f>
      </c>
      <c r="H4154">
        <f>IF(AND(资金台帐!K2657&lt;&gt;"",资金台帐!K2657=供应商对账单!$B$4,资金台帐!P2657="应付",ISNUMBER(资金台帐!B2657),资金台帐!B2657&gt;=供应商对账单!$G$4,资金台帐!B2657&lt;=供应商对账单!$I$4),资金台帐!B2657+ROW()/100000,"")</f>
      </c>
    </row>
    <row r="4155">
      <c r="F4155">
        <f>IF(AND(资金台帐!J1158&lt;&gt;"",资金台帐!J1158=客户对账单!$B$4,资金台帐!P1158="应收",ISNUMBER(资金台帐!B1158),资金台帐!B1158&gt;=客户对账单!$G$4,资金台帐!B1158&lt;=客户对账单!$I$4),资金台帐!B1158+ROW()/100000,"")</f>
      </c>
      <c r="H4155">
        <f>IF(AND(资金台帐!K2658&lt;&gt;"",资金台帐!K2658=供应商对账单!$B$4,资金台帐!P2658="应付",ISNUMBER(资金台帐!B2658),资金台帐!B2658&gt;=供应商对账单!$G$4,资金台帐!B2658&lt;=供应商对账单!$I$4),资金台帐!B2658+ROW()/100000,"")</f>
      </c>
    </row>
    <row r="4156">
      <c r="F4156">
        <f>IF(AND(资金台帐!J1159&lt;&gt;"",资金台帐!J1159=客户对账单!$B$4,资金台帐!P1159="应收",ISNUMBER(资金台帐!B1159),资金台帐!B1159&gt;=客户对账单!$G$4,资金台帐!B1159&lt;=客户对账单!$I$4),资金台帐!B1159+ROW()/100000,"")</f>
      </c>
      <c r="H4156">
        <f>IF(AND(资金台帐!K2659&lt;&gt;"",资金台帐!K2659=供应商对账单!$B$4,资金台帐!P2659="应付",ISNUMBER(资金台帐!B2659),资金台帐!B2659&gt;=供应商对账单!$G$4,资金台帐!B2659&lt;=供应商对账单!$I$4),资金台帐!B2659+ROW()/100000,"")</f>
      </c>
    </row>
    <row r="4157">
      <c r="F4157">
        <f>IF(AND(资金台帐!J1160&lt;&gt;"",资金台帐!J1160=客户对账单!$B$4,资金台帐!P1160="应收",ISNUMBER(资金台帐!B1160),资金台帐!B1160&gt;=客户对账单!$G$4,资金台帐!B1160&lt;=客户对账单!$I$4),资金台帐!B1160+ROW()/100000,"")</f>
      </c>
      <c r="H4157">
        <f>IF(AND(资金台帐!K2660&lt;&gt;"",资金台帐!K2660=供应商对账单!$B$4,资金台帐!P2660="应付",ISNUMBER(资金台帐!B2660),资金台帐!B2660&gt;=供应商对账单!$G$4,资金台帐!B2660&lt;=供应商对账单!$I$4),资金台帐!B2660+ROW()/100000,"")</f>
      </c>
    </row>
    <row r="4158">
      <c r="F4158">
        <f>IF(AND(资金台帐!J1161&lt;&gt;"",资金台帐!J1161=客户对账单!$B$4,资金台帐!P1161="应收",ISNUMBER(资金台帐!B1161),资金台帐!B1161&gt;=客户对账单!$G$4,资金台帐!B1161&lt;=客户对账单!$I$4),资金台帐!B1161+ROW()/100000,"")</f>
      </c>
      <c r="H4158">
        <f>IF(AND(资金台帐!K2661&lt;&gt;"",资金台帐!K2661=供应商对账单!$B$4,资金台帐!P2661="应付",ISNUMBER(资金台帐!B2661),资金台帐!B2661&gt;=供应商对账单!$G$4,资金台帐!B2661&lt;=供应商对账单!$I$4),资金台帐!B2661+ROW()/100000,"")</f>
      </c>
    </row>
    <row r="4159">
      <c r="F4159">
        <f>IF(AND(资金台帐!J1162&lt;&gt;"",资金台帐!J1162=客户对账单!$B$4,资金台帐!P1162="应收",ISNUMBER(资金台帐!B1162),资金台帐!B1162&gt;=客户对账单!$G$4,资金台帐!B1162&lt;=客户对账单!$I$4),资金台帐!B1162+ROW()/100000,"")</f>
      </c>
      <c r="H4159">
        <f>IF(AND(资金台帐!K2662&lt;&gt;"",资金台帐!K2662=供应商对账单!$B$4,资金台帐!P2662="应付",ISNUMBER(资金台帐!B2662),资金台帐!B2662&gt;=供应商对账单!$G$4,资金台帐!B2662&lt;=供应商对账单!$I$4),资金台帐!B2662+ROW()/100000,"")</f>
      </c>
    </row>
    <row r="4160">
      <c r="F4160">
        <f>IF(AND(资金台帐!J1163&lt;&gt;"",资金台帐!J1163=客户对账单!$B$4,资金台帐!P1163="应收",ISNUMBER(资金台帐!B1163),资金台帐!B1163&gt;=客户对账单!$G$4,资金台帐!B1163&lt;=客户对账单!$I$4),资金台帐!B1163+ROW()/100000,"")</f>
      </c>
      <c r="H4160">
        <f>IF(AND(资金台帐!K2663&lt;&gt;"",资金台帐!K2663=供应商对账单!$B$4,资金台帐!P2663="应付",ISNUMBER(资金台帐!B2663),资金台帐!B2663&gt;=供应商对账单!$G$4,资金台帐!B2663&lt;=供应商对账单!$I$4),资金台帐!B2663+ROW()/100000,"")</f>
      </c>
    </row>
    <row r="4161">
      <c r="F4161">
        <f>IF(AND(资金台帐!J1164&lt;&gt;"",资金台帐!J1164=客户对账单!$B$4,资金台帐!P1164="应收",ISNUMBER(资金台帐!B1164),资金台帐!B1164&gt;=客户对账单!$G$4,资金台帐!B1164&lt;=客户对账单!$I$4),资金台帐!B1164+ROW()/100000,"")</f>
      </c>
      <c r="H4161">
        <f>IF(AND(资金台帐!K2664&lt;&gt;"",资金台帐!K2664=供应商对账单!$B$4,资金台帐!P2664="应付",ISNUMBER(资金台帐!B2664),资金台帐!B2664&gt;=供应商对账单!$G$4,资金台帐!B2664&lt;=供应商对账单!$I$4),资金台帐!B2664+ROW()/100000,"")</f>
      </c>
    </row>
    <row r="4162">
      <c r="F4162">
        <f>IF(AND(资金台帐!J1165&lt;&gt;"",资金台帐!J1165=客户对账单!$B$4,资金台帐!P1165="应收",ISNUMBER(资金台帐!B1165),资金台帐!B1165&gt;=客户对账单!$G$4,资金台帐!B1165&lt;=客户对账单!$I$4),资金台帐!B1165+ROW()/100000,"")</f>
      </c>
      <c r="H4162">
        <f>IF(AND(资金台帐!K2665&lt;&gt;"",资金台帐!K2665=供应商对账单!$B$4,资金台帐!P2665="应付",ISNUMBER(资金台帐!B2665),资金台帐!B2665&gt;=供应商对账单!$G$4,资金台帐!B2665&lt;=供应商对账单!$I$4),资金台帐!B2665+ROW()/100000,"")</f>
      </c>
    </row>
    <row r="4163">
      <c r="F4163">
        <f>IF(AND(资金台帐!J1166&lt;&gt;"",资金台帐!J1166=客户对账单!$B$4,资金台帐!P1166="应收",ISNUMBER(资金台帐!B1166),资金台帐!B1166&gt;=客户对账单!$G$4,资金台帐!B1166&lt;=客户对账单!$I$4),资金台帐!B1166+ROW()/100000,"")</f>
      </c>
      <c r="H4163">
        <f>IF(AND(资金台帐!K2666&lt;&gt;"",资金台帐!K2666=供应商对账单!$B$4,资金台帐!P2666="应付",ISNUMBER(资金台帐!B2666),资金台帐!B2666&gt;=供应商对账单!$G$4,资金台帐!B2666&lt;=供应商对账单!$I$4),资金台帐!B2666+ROW()/100000,"")</f>
      </c>
    </row>
    <row r="4164">
      <c r="F4164">
        <f>IF(AND(资金台帐!J1167&lt;&gt;"",资金台帐!J1167=客户对账单!$B$4,资金台帐!P1167="应收",ISNUMBER(资金台帐!B1167),资金台帐!B1167&gt;=客户对账单!$G$4,资金台帐!B1167&lt;=客户对账单!$I$4),资金台帐!B1167+ROW()/100000,"")</f>
      </c>
      <c r="H4164">
        <f>IF(AND(资金台帐!K2667&lt;&gt;"",资金台帐!K2667=供应商对账单!$B$4,资金台帐!P2667="应付",ISNUMBER(资金台帐!B2667),资金台帐!B2667&gt;=供应商对账单!$G$4,资金台帐!B2667&lt;=供应商对账单!$I$4),资金台帐!B2667+ROW()/100000,"")</f>
      </c>
    </row>
    <row r="4165">
      <c r="F4165">
        <f>IF(AND(资金台帐!J1168&lt;&gt;"",资金台帐!J1168=客户对账单!$B$4,资金台帐!P1168="应收",ISNUMBER(资金台帐!B1168),资金台帐!B1168&gt;=客户对账单!$G$4,资金台帐!B1168&lt;=客户对账单!$I$4),资金台帐!B1168+ROW()/100000,"")</f>
      </c>
      <c r="H4165">
        <f>IF(AND(资金台帐!K2668&lt;&gt;"",资金台帐!K2668=供应商对账单!$B$4,资金台帐!P2668="应付",ISNUMBER(资金台帐!B2668),资金台帐!B2668&gt;=供应商对账单!$G$4,资金台帐!B2668&lt;=供应商对账单!$I$4),资金台帐!B2668+ROW()/100000,"")</f>
      </c>
    </row>
    <row r="4166">
      <c r="F4166">
        <f>IF(AND(资金台帐!J1169&lt;&gt;"",资金台帐!J1169=客户对账单!$B$4,资金台帐!P1169="应收",ISNUMBER(资金台帐!B1169),资金台帐!B1169&gt;=客户对账单!$G$4,资金台帐!B1169&lt;=客户对账单!$I$4),资金台帐!B1169+ROW()/100000,"")</f>
      </c>
      <c r="H4166">
        <f>IF(AND(资金台帐!K2669&lt;&gt;"",资金台帐!K2669=供应商对账单!$B$4,资金台帐!P2669="应付",ISNUMBER(资金台帐!B2669),资金台帐!B2669&gt;=供应商对账单!$G$4,资金台帐!B2669&lt;=供应商对账单!$I$4),资金台帐!B2669+ROW()/100000,"")</f>
      </c>
    </row>
    <row r="4167">
      <c r="F4167">
        <f>IF(AND(资金台帐!J1170&lt;&gt;"",资金台帐!J1170=客户对账单!$B$4,资金台帐!P1170="应收",ISNUMBER(资金台帐!B1170),资金台帐!B1170&gt;=客户对账单!$G$4,资金台帐!B1170&lt;=客户对账单!$I$4),资金台帐!B1170+ROW()/100000,"")</f>
      </c>
      <c r="H4167">
        <f>IF(AND(资金台帐!K2670&lt;&gt;"",资金台帐!K2670=供应商对账单!$B$4,资金台帐!P2670="应付",ISNUMBER(资金台帐!B2670),资金台帐!B2670&gt;=供应商对账单!$G$4,资金台帐!B2670&lt;=供应商对账单!$I$4),资金台帐!B2670+ROW()/100000,"")</f>
      </c>
    </row>
    <row r="4168">
      <c r="F4168">
        <f>IF(AND(资金台帐!J1171&lt;&gt;"",资金台帐!J1171=客户对账单!$B$4,资金台帐!P1171="应收",ISNUMBER(资金台帐!B1171),资金台帐!B1171&gt;=客户对账单!$G$4,资金台帐!B1171&lt;=客户对账单!$I$4),资金台帐!B1171+ROW()/100000,"")</f>
      </c>
      <c r="H4168">
        <f>IF(AND(资金台帐!K2671&lt;&gt;"",资金台帐!K2671=供应商对账单!$B$4,资金台帐!P2671="应付",ISNUMBER(资金台帐!B2671),资金台帐!B2671&gt;=供应商对账单!$G$4,资金台帐!B2671&lt;=供应商对账单!$I$4),资金台帐!B2671+ROW()/100000,"")</f>
      </c>
    </row>
    <row r="4169">
      <c r="F4169">
        <f>IF(AND(资金台帐!J1172&lt;&gt;"",资金台帐!J1172=客户对账单!$B$4,资金台帐!P1172="应收",ISNUMBER(资金台帐!B1172),资金台帐!B1172&gt;=客户对账单!$G$4,资金台帐!B1172&lt;=客户对账单!$I$4),资金台帐!B1172+ROW()/100000,"")</f>
      </c>
      <c r="H4169">
        <f>IF(AND(资金台帐!K2672&lt;&gt;"",资金台帐!K2672=供应商对账单!$B$4,资金台帐!P2672="应付",ISNUMBER(资金台帐!B2672),资金台帐!B2672&gt;=供应商对账单!$G$4,资金台帐!B2672&lt;=供应商对账单!$I$4),资金台帐!B2672+ROW()/100000,"")</f>
      </c>
    </row>
    <row r="4170">
      <c r="F4170">
        <f>IF(AND(资金台帐!J1173&lt;&gt;"",资金台帐!J1173=客户对账单!$B$4,资金台帐!P1173="应收",ISNUMBER(资金台帐!B1173),资金台帐!B1173&gt;=客户对账单!$G$4,资金台帐!B1173&lt;=客户对账单!$I$4),资金台帐!B1173+ROW()/100000,"")</f>
      </c>
      <c r="H4170">
        <f>IF(AND(资金台帐!K2673&lt;&gt;"",资金台帐!K2673=供应商对账单!$B$4,资金台帐!P2673="应付",ISNUMBER(资金台帐!B2673),资金台帐!B2673&gt;=供应商对账单!$G$4,资金台帐!B2673&lt;=供应商对账单!$I$4),资金台帐!B2673+ROW()/100000,"")</f>
      </c>
    </row>
    <row r="4171">
      <c r="F4171">
        <f>IF(AND(资金台帐!J1174&lt;&gt;"",资金台帐!J1174=客户对账单!$B$4,资金台帐!P1174="应收",ISNUMBER(资金台帐!B1174),资金台帐!B1174&gt;=客户对账单!$G$4,资金台帐!B1174&lt;=客户对账单!$I$4),资金台帐!B1174+ROW()/100000,"")</f>
      </c>
      <c r="H4171">
        <f>IF(AND(资金台帐!K2674&lt;&gt;"",资金台帐!K2674=供应商对账单!$B$4,资金台帐!P2674="应付",ISNUMBER(资金台帐!B2674),资金台帐!B2674&gt;=供应商对账单!$G$4,资金台帐!B2674&lt;=供应商对账单!$I$4),资金台帐!B2674+ROW()/100000,"")</f>
      </c>
    </row>
    <row r="4172">
      <c r="F4172">
        <f>IF(AND(资金台帐!J1175&lt;&gt;"",资金台帐!J1175=客户对账单!$B$4,资金台帐!P1175="应收",ISNUMBER(资金台帐!B1175),资金台帐!B1175&gt;=客户对账单!$G$4,资金台帐!B1175&lt;=客户对账单!$I$4),资金台帐!B1175+ROW()/100000,"")</f>
      </c>
      <c r="H4172">
        <f>IF(AND(资金台帐!K2675&lt;&gt;"",资金台帐!K2675=供应商对账单!$B$4,资金台帐!P2675="应付",ISNUMBER(资金台帐!B2675),资金台帐!B2675&gt;=供应商对账单!$G$4,资金台帐!B2675&lt;=供应商对账单!$I$4),资金台帐!B2675+ROW()/100000,"")</f>
      </c>
    </row>
    <row r="4173">
      <c r="F4173">
        <f>IF(AND(资金台帐!J1176&lt;&gt;"",资金台帐!J1176=客户对账单!$B$4,资金台帐!P1176="应收",ISNUMBER(资金台帐!B1176),资金台帐!B1176&gt;=客户对账单!$G$4,资金台帐!B1176&lt;=客户对账单!$I$4),资金台帐!B1176+ROW()/100000,"")</f>
      </c>
      <c r="H4173">
        <f>IF(AND(资金台帐!K2676&lt;&gt;"",资金台帐!K2676=供应商对账单!$B$4,资金台帐!P2676="应付",ISNUMBER(资金台帐!B2676),资金台帐!B2676&gt;=供应商对账单!$G$4,资金台帐!B2676&lt;=供应商对账单!$I$4),资金台帐!B2676+ROW()/100000,"")</f>
      </c>
    </row>
    <row r="4174">
      <c r="F4174">
        <f>IF(AND(资金台帐!J1177&lt;&gt;"",资金台帐!J1177=客户对账单!$B$4,资金台帐!P1177="应收",ISNUMBER(资金台帐!B1177),资金台帐!B1177&gt;=客户对账单!$G$4,资金台帐!B1177&lt;=客户对账单!$I$4),资金台帐!B1177+ROW()/100000,"")</f>
      </c>
      <c r="H4174">
        <f>IF(AND(资金台帐!K2677&lt;&gt;"",资金台帐!K2677=供应商对账单!$B$4,资金台帐!P2677="应付",ISNUMBER(资金台帐!B2677),资金台帐!B2677&gt;=供应商对账单!$G$4,资金台帐!B2677&lt;=供应商对账单!$I$4),资金台帐!B2677+ROW()/100000,"")</f>
      </c>
    </row>
    <row r="4175">
      <c r="F4175">
        <f>IF(AND(资金台帐!J1178&lt;&gt;"",资金台帐!J1178=客户对账单!$B$4,资金台帐!P1178="应收",ISNUMBER(资金台帐!B1178),资金台帐!B1178&gt;=客户对账单!$G$4,资金台帐!B1178&lt;=客户对账单!$I$4),资金台帐!B1178+ROW()/100000,"")</f>
      </c>
      <c r="H4175">
        <f>IF(AND(资金台帐!K2678&lt;&gt;"",资金台帐!K2678=供应商对账单!$B$4,资金台帐!P2678="应付",ISNUMBER(资金台帐!B2678),资金台帐!B2678&gt;=供应商对账单!$G$4,资金台帐!B2678&lt;=供应商对账单!$I$4),资金台帐!B2678+ROW()/100000,"")</f>
      </c>
    </row>
    <row r="4176">
      <c r="F4176">
        <f>IF(AND(资金台帐!J1179&lt;&gt;"",资金台帐!J1179=客户对账单!$B$4,资金台帐!P1179="应收",ISNUMBER(资金台帐!B1179),资金台帐!B1179&gt;=客户对账单!$G$4,资金台帐!B1179&lt;=客户对账单!$I$4),资金台帐!B1179+ROW()/100000,"")</f>
      </c>
      <c r="H4176">
        <f>IF(AND(资金台帐!K2679&lt;&gt;"",资金台帐!K2679=供应商对账单!$B$4,资金台帐!P2679="应付",ISNUMBER(资金台帐!B2679),资金台帐!B2679&gt;=供应商对账单!$G$4,资金台帐!B2679&lt;=供应商对账单!$I$4),资金台帐!B2679+ROW()/100000,"")</f>
      </c>
    </row>
    <row r="4177">
      <c r="F4177">
        <f>IF(AND(资金台帐!J1180&lt;&gt;"",资金台帐!J1180=客户对账单!$B$4,资金台帐!P1180="应收",ISNUMBER(资金台帐!B1180),资金台帐!B1180&gt;=客户对账单!$G$4,资金台帐!B1180&lt;=客户对账单!$I$4),资金台帐!B1180+ROW()/100000,"")</f>
      </c>
      <c r="H4177">
        <f>IF(AND(资金台帐!K2680&lt;&gt;"",资金台帐!K2680=供应商对账单!$B$4,资金台帐!P2680="应付",ISNUMBER(资金台帐!B2680),资金台帐!B2680&gt;=供应商对账单!$G$4,资金台帐!B2680&lt;=供应商对账单!$I$4),资金台帐!B2680+ROW()/100000,"")</f>
      </c>
    </row>
    <row r="4178">
      <c r="F4178">
        <f>IF(AND(资金台帐!J1181&lt;&gt;"",资金台帐!J1181=客户对账单!$B$4,资金台帐!P1181="应收",ISNUMBER(资金台帐!B1181),资金台帐!B1181&gt;=客户对账单!$G$4,资金台帐!B1181&lt;=客户对账单!$I$4),资金台帐!B1181+ROW()/100000,"")</f>
      </c>
      <c r="H4178">
        <f>IF(AND(资金台帐!K2681&lt;&gt;"",资金台帐!K2681=供应商对账单!$B$4,资金台帐!P2681="应付",ISNUMBER(资金台帐!B2681),资金台帐!B2681&gt;=供应商对账单!$G$4,资金台帐!B2681&lt;=供应商对账单!$I$4),资金台帐!B2681+ROW()/100000,"")</f>
      </c>
    </row>
    <row r="4179">
      <c r="F4179">
        <f>IF(AND(资金台帐!J1182&lt;&gt;"",资金台帐!J1182=客户对账单!$B$4,资金台帐!P1182="应收",ISNUMBER(资金台帐!B1182),资金台帐!B1182&gt;=客户对账单!$G$4,资金台帐!B1182&lt;=客户对账单!$I$4),资金台帐!B1182+ROW()/100000,"")</f>
      </c>
      <c r="H4179">
        <f>IF(AND(资金台帐!K2682&lt;&gt;"",资金台帐!K2682=供应商对账单!$B$4,资金台帐!P2682="应付",ISNUMBER(资金台帐!B2682),资金台帐!B2682&gt;=供应商对账单!$G$4,资金台帐!B2682&lt;=供应商对账单!$I$4),资金台帐!B2682+ROW()/100000,"")</f>
      </c>
    </row>
    <row r="4180">
      <c r="F4180">
        <f>IF(AND(资金台帐!J1183&lt;&gt;"",资金台帐!J1183=客户对账单!$B$4,资金台帐!P1183="应收",ISNUMBER(资金台帐!B1183),资金台帐!B1183&gt;=客户对账单!$G$4,资金台帐!B1183&lt;=客户对账单!$I$4),资金台帐!B1183+ROW()/100000,"")</f>
      </c>
      <c r="H4180">
        <f>IF(AND(资金台帐!K2683&lt;&gt;"",资金台帐!K2683=供应商对账单!$B$4,资金台帐!P2683="应付",ISNUMBER(资金台帐!B2683),资金台帐!B2683&gt;=供应商对账单!$G$4,资金台帐!B2683&lt;=供应商对账单!$I$4),资金台帐!B2683+ROW()/100000,"")</f>
      </c>
    </row>
    <row r="4181">
      <c r="F4181">
        <f>IF(AND(资金台帐!J1184&lt;&gt;"",资金台帐!J1184=客户对账单!$B$4,资金台帐!P1184="应收",ISNUMBER(资金台帐!B1184),资金台帐!B1184&gt;=客户对账单!$G$4,资金台帐!B1184&lt;=客户对账单!$I$4),资金台帐!B1184+ROW()/100000,"")</f>
      </c>
      <c r="H4181">
        <f>IF(AND(资金台帐!K2684&lt;&gt;"",资金台帐!K2684=供应商对账单!$B$4,资金台帐!P2684="应付",ISNUMBER(资金台帐!B2684),资金台帐!B2684&gt;=供应商对账单!$G$4,资金台帐!B2684&lt;=供应商对账单!$I$4),资金台帐!B2684+ROW()/100000,"")</f>
      </c>
    </row>
    <row r="4182">
      <c r="F4182">
        <f>IF(AND(资金台帐!J1185&lt;&gt;"",资金台帐!J1185=客户对账单!$B$4,资金台帐!P1185="应收",ISNUMBER(资金台帐!B1185),资金台帐!B1185&gt;=客户对账单!$G$4,资金台帐!B1185&lt;=客户对账单!$I$4),资金台帐!B1185+ROW()/100000,"")</f>
      </c>
      <c r="H4182">
        <f>IF(AND(资金台帐!K2685&lt;&gt;"",资金台帐!K2685=供应商对账单!$B$4,资金台帐!P2685="应付",ISNUMBER(资金台帐!B2685),资金台帐!B2685&gt;=供应商对账单!$G$4,资金台帐!B2685&lt;=供应商对账单!$I$4),资金台帐!B2685+ROW()/100000,"")</f>
      </c>
    </row>
    <row r="4183">
      <c r="F4183">
        <f>IF(AND(资金台帐!J1186&lt;&gt;"",资金台帐!J1186=客户对账单!$B$4,资金台帐!P1186="应收",ISNUMBER(资金台帐!B1186),资金台帐!B1186&gt;=客户对账单!$G$4,资金台帐!B1186&lt;=客户对账单!$I$4),资金台帐!B1186+ROW()/100000,"")</f>
      </c>
      <c r="H4183">
        <f>IF(AND(资金台帐!K2686&lt;&gt;"",资金台帐!K2686=供应商对账单!$B$4,资金台帐!P2686="应付",ISNUMBER(资金台帐!B2686),资金台帐!B2686&gt;=供应商对账单!$G$4,资金台帐!B2686&lt;=供应商对账单!$I$4),资金台帐!B2686+ROW()/100000,"")</f>
      </c>
    </row>
    <row r="4184">
      <c r="F4184">
        <f>IF(AND(资金台帐!J1187&lt;&gt;"",资金台帐!J1187=客户对账单!$B$4,资金台帐!P1187="应收",ISNUMBER(资金台帐!B1187),资金台帐!B1187&gt;=客户对账单!$G$4,资金台帐!B1187&lt;=客户对账单!$I$4),资金台帐!B1187+ROW()/100000,"")</f>
      </c>
      <c r="H4184">
        <f>IF(AND(资金台帐!K2687&lt;&gt;"",资金台帐!K2687=供应商对账单!$B$4,资金台帐!P2687="应付",ISNUMBER(资金台帐!B2687),资金台帐!B2687&gt;=供应商对账单!$G$4,资金台帐!B2687&lt;=供应商对账单!$I$4),资金台帐!B2687+ROW()/100000,"")</f>
      </c>
    </row>
    <row r="4185">
      <c r="F4185">
        <f>IF(AND(资金台帐!J1188&lt;&gt;"",资金台帐!J1188=客户对账单!$B$4,资金台帐!P1188="应收",ISNUMBER(资金台帐!B1188),资金台帐!B1188&gt;=客户对账单!$G$4,资金台帐!B1188&lt;=客户对账单!$I$4),资金台帐!B1188+ROW()/100000,"")</f>
      </c>
      <c r="H4185">
        <f>IF(AND(资金台帐!K2688&lt;&gt;"",资金台帐!K2688=供应商对账单!$B$4,资金台帐!P2688="应付",ISNUMBER(资金台帐!B2688),资金台帐!B2688&gt;=供应商对账单!$G$4,资金台帐!B2688&lt;=供应商对账单!$I$4),资金台帐!B2688+ROW()/100000,"")</f>
      </c>
    </row>
    <row r="4186">
      <c r="F4186">
        <f>IF(AND(资金台帐!J1189&lt;&gt;"",资金台帐!J1189=客户对账单!$B$4,资金台帐!P1189="应收",ISNUMBER(资金台帐!B1189),资金台帐!B1189&gt;=客户对账单!$G$4,资金台帐!B1189&lt;=客户对账单!$I$4),资金台帐!B1189+ROW()/100000,"")</f>
      </c>
      <c r="H4186">
        <f>IF(AND(资金台帐!K2689&lt;&gt;"",资金台帐!K2689=供应商对账单!$B$4,资金台帐!P2689="应付",ISNUMBER(资金台帐!B2689),资金台帐!B2689&gt;=供应商对账单!$G$4,资金台帐!B2689&lt;=供应商对账单!$I$4),资金台帐!B2689+ROW()/100000,"")</f>
      </c>
    </row>
    <row r="4187">
      <c r="F4187">
        <f>IF(AND(资金台帐!J1190&lt;&gt;"",资金台帐!J1190=客户对账单!$B$4,资金台帐!P1190="应收",ISNUMBER(资金台帐!B1190),资金台帐!B1190&gt;=客户对账单!$G$4,资金台帐!B1190&lt;=客户对账单!$I$4),资金台帐!B1190+ROW()/100000,"")</f>
      </c>
      <c r="H4187">
        <f>IF(AND(资金台帐!K2690&lt;&gt;"",资金台帐!K2690=供应商对账单!$B$4,资金台帐!P2690="应付",ISNUMBER(资金台帐!B2690),资金台帐!B2690&gt;=供应商对账单!$G$4,资金台帐!B2690&lt;=供应商对账单!$I$4),资金台帐!B2690+ROW()/100000,"")</f>
      </c>
    </row>
    <row r="4188">
      <c r="F4188">
        <f>IF(AND(资金台帐!J1191&lt;&gt;"",资金台帐!J1191=客户对账单!$B$4,资金台帐!P1191="应收",ISNUMBER(资金台帐!B1191),资金台帐!B1191&gt;=客户对账单!$G$4,资金台帐!B1191&lt;=客户对账单!$I$4),资金台帐!B1191+ROW()/100000,"")</f>
      </c>
      <c r="H4188">
        <f>IF(AND(资金台帐!K2691&lt;&gt;"",资金台帐!K2691=供应商对账单!$B$4,资金台帐!P2691="应付",ISNUMBER(资金台帐!B2691),资金台帐!B2691&gt;=供应商对账单!$G$4,资金台帐!B2691&lt;=供应商对账单!$I$4),资金台帐!B2691+ROW()/100000,"")</f>
      </c>
    </row>
    <row r="4189">
      <c r="F4189">
        <f>IF(AND(资金台帐!J1192&lt;&gt;"",资金台帐!J1192=客户对账单!$B$4,资金台帐!P1192="应收",ISNUMBER(资金台帐!B1192),资金台帐!B1192&gt;=客户对账单!$G$4,资金台帐!B1192&lt;=客户对账单!$I$4),资金台帐!B1192+ROW()/100000,"")</f>
      </c>
      <c r="H4189">
        <f>IF(AND(资金台帐!K2692&lt;&gt;"",资金台帐!K2692=供应商对账单!$B$4,资金台帐!P2692="应付",ISNUMBER(资金台帐!B2692),资金台帐!B2692&gt;=供应商对账单!$G$4,资金台帐!B2692&lt;=供应商对账单!$I$4),资金台帐!B2692+ROW()/100000,"")</f>
      </c>
    </row>
    <row r="4190">
      <c r="F4190">
        <f>IF(AND(资金台帐!J1193&lt;&gt;"",资金台帐!J1193=客户对账单!$B$4,资金台帐!P1193="应收",ISNUMBER(资金台帐!B1193),资金台帐!B1193&gt;=客户对账单!$G$4,资金台帐!B1193&lt;=客户对账单!$I$4),资金台帐!B1193+ROW()/100000,"")</f>
      </c>
      <c r="H4190">
        <f>IF(AND(资金台帐!K2693&lt;&gt;"",资金台帐!K2693=供应商对账单!$B$4,资金台帐!P2693="应付",ISNUMBER(资金台帐!B2693),资金台帐!B2693&gt;=供应商对账单!$G$4,资金台帐!B2693&lt;=供应商对账单!$I$4),资金台帐!B2693+ROW()/100000,"")</f>
      </c>
    </row>
    <row r="4191">
      <c r="F4191">
        <f>IF(AND(资金台帐!J1194&lt;&gt;"",资金台帐!J1194=客户对账单!$B$4,资金台帐!P1194="应收",ISNUMBER(资金台帐!B1194),资金台帐!B1194&gt;=客户对账单!$G$4,资金台帐!B1194&lt;=客户对账单!$I$4),资金台帐!B1194+ROW()/100000,"")</f>
      </c>
      <c r="H4191">
        <f>IF(AND(资金台帐!K2694&lt;&gt;"",资金台帐!K2694=供应商对账单!$B$4,资金台帐!P2694="应付",ISNUMBER(资金台帐!B2694),资金台帐!B2694&gt;=供应商对账单!$G$4,资金台帐!B2694&lt;=供应商对账单!$I$4),资金台帐!B2694+ROW()/100000,"")</f>
      </c>
    </row>
    <row r="4192">
      <c r="F4192">
        <f>IF(AND(资金台帐!J1195&lt;&gt;"",资金台帐!J1195=客户对账单!$B$4,资金台帐!P1195="应收",ISNUMBER(资金台帐!B1195),资金台帐!B1195&gt;=客户对账单!$G$4,资金台帐!B1195&lt;=客户对账单!$I$4),资金台帐!B1195+ROW()/100000,"")</f>
      </c>
      <c r="H4192">
        <f>IF(AND(资金台帐!K2695&lt;&gt;"",资金台帐!K2695=供应商对账单!$B$4,资金台帐!P2695="应付",ISNUMBER(资金台帐!B2695),资金台帐!B2695&gt;=供应商对账单!$G$4,资金台帐!B2695&lt;=供应商对账单!$I$4),资金台帐!B2695+ROW()/100000,"")</f>
      </c>
    </row>
    <row r="4193">
      <c r="F4193">
        <f>IF(AND(资金台帐!J1196&lt;&gt;"",资金台帐!J1196=客户对账单!$B$4,资金台帐!P1196="应收",ISNUMBER(资金台帐!B1196),资金台帐!B1196&gt;=客户对账单!$G$4,资金台帐!B1196&lt;=客户对账单!$I$4),资金台帐!B1196+ROW()/100000,"")</f>
      </c>
      <c r="H4193">
        <f>IF(AND(资金台帐!K2696&lt;&gt;"",资金台帐!K2696=供应商对账单!$B$4,资金台帐!P2696="应付",ISNUMBER(资金台帐!B2696),资金台帐!B2696&gt;=供应商对账单!$G$4,资金台帐!B2696&lt;=供应商对账单!$I$4),资金台帐!B2696+ROW()/100000,"")</f>
      </c>
    </row>
    <row r="4194">
      <c r="F4194">
        <f>IF(AND(资金台帐!J1197&lt;&gt;"",资金台帐!J1197=客户对账单!$B$4,资金台帐!P1197="应收",ISNUMBER(资金台帐!B1197),资金台帐!B1197&gt;=客户对账单!$G$4,资金台帐!B1197&lt;=客户对账单!$I$4),资金台帐!B1197+ROW()/100000,"")</f>
      </c>
      <c r="H4194">
        <f>IF(AND(资金台帐!K2697&lt;&gt;"",资金台帐!K2697=供应商对账单!$B$4,资金台帐!P2697="应付",ISNUMBER(资金台帐!B2697),资金台帐!B2697&gt;=供应商对账单!$G$4,资金台帐!B2697&lt;=供应商对账单!$I$4),资金台帐!B2697+ROW()/100000,"")</f>
      </c>
    </row>
    <row r="4195">
      <c r="F4195">
        <f>IF(AND(资金台帐!J1198&lt;&gt;"",资金台帐!J1198=客户对账单!$B$4,资金台帐!P1198="应收",ISNUMBER(资金台帐!B1198),资金台帐!B1198&gt;=客户对账单!$G$4,资金台帐!B1198&lt;=客户对账单!$I$4),资金台帐!B1198+ROW()/100000,"")</f>
      </c>
      <c r="H4195">
        <f>IF(AND(资金台帐!K2698&lt;&gt;"",资金台帐!K2698=供应商对账单!$B$4,资金台帐!P2698="应付",ISNUMBER(资金台帐!B2698),资金台帐!B2698&gt;=供应商对账单!$G$4,资金台帐!B2698&lt;=供应商对账单!$I$4),资金台帐!B2698+ROW()/100000,"")</f>
      </c>
    </row>
    <row r="4196">
      <c r="F4196">
        <f>IF(AND(资金台帐!J1199&lt;&gt;"",资金台帐!J1199=客户对账单!$B$4,资金台帐!P1199="应收",ISNUMBER(资金台帐!B1199),资金台帐!B1199&gt;=客户对账单!$G$4,资金台帐!B1199&lt;=客户对账单!$I$4),资金台帐!B1199+ROW()/100000,"")</f>
      </c>
      <c r="H4196">
        <f>IF(AND(资金台帐!K2699&lt;&gt;"",资金台帐!K2699=供应商对账单!$B$4,资金台帐!P2699="应付",ISNUMBER(资金台帐!B2699),资金台帐!B2699&gt;=供应商对账单!$G$4,资金台帐!B2699&lt;=供应商对账单!$I$4),资金台帐!B2699+ROW()/100000,"")</f>
      </c>
    </row>
    <row r="4197">
      <c r="F4197">
        <f>IF(AND(资金台帐!J1200&lt;&gt;"",资金台帐!J1200=客户对账单!$B$4,资金台帐!P1200="应收",ISNUMBER(资金台帐!B1200),资金台帐!B1200&gt;=客户对账单!$G$4,资金台帐!B1200&lt;=客户对账单!$I$4),资金台帐!B1200+ROW()/100000,"")</f>
      </c>
      <c r="H4197">
        <f>IF(AND(资金台帐!K2700&lt;&gt;"",资金台帐!K2700=供应商对账单!$B$4,资金台帐!P2700="应付",ISNUMBER(资金台帐!B2700),资金台帐!B2700&gt;=供应商对账单!$G$4,资金台帐!B2700&lt;=供应商对账单!$I$4),资金台帐!B2700+ROW()/100000,"")</f>
      </c>
    </row>
    <row r="4198">
      <c r="F4198">
        <f>IF(AND(资金台帐!J1201&lt;&gt;"",资金台帐!J1201=客户对账单!$B$4,资金台帐!P1201="应收",ISNUMBER(资金台帐!B1201),资金台帐!B1201&gt;=客户对账单!$G$4,资金台帐!B1201&lt;=客户对账单!$I$4),资金台帐!B1201+ROW()/100000,"")</f>
      </c>
      <c r="H4198">
        <f>IF(AND(资金台帐!K2701&lt;&gt;"",资金台帐!K2701=供应商对账单!$B$4,资金台帐!P2701="应付",ISNUMBER(资金台帐!B2701),资金台帐!B2701&gt;=供应商对账单!$G$4,资金台帐!B2701&lt;=供应商对账单!$I$4),资金台帐!B2701+ROW()/100000,"")</f>
      </c>
    </row>
    <row r="4199">
      <c r="F4199">
        <f>IF(AND(资金台帐!J1202&lt;&gt;"",资金台帐!J1202=客户对账单!$B$4,资金台帐!P1202="应收",ISNUMBER(资金台帐!B1202),资金台帐!B1202&gt;=客户对账单!$G$4,资金台帐!B1202&lt;=客户对账单!$I$4),资金台帐!B1202+ROW()/100000,"")</f>
      </c>
      <c r="H4199">
        <f>IF(AND(资金台帐!K2702&lt;&gt;"",资金台帐!K2702=供应商对账单!$B$4,资金台帐!P2702="应付",ISNUMBER(资金台帐!B2702),资金台帐!B2702&gt;=供应商对账单!$G$4,资金台帐!B2702&lt;=供应商对账单!$I$4),资金台帐!B2702+ROW()/100000,"")</f>
      </c>
    </row>
    <row r="4200">
      <c r="F4200">
        <f>IF(AND(资金台帐!J1203&lt;&gt;"",资金台帐!J1203=客户对账单!$B$4,资金台帐!P1203="应收",ISNUMBER(资金台帐!B1203),资金台帐!B1203&gt;=客户对账单!$G$4,资金台帐!B1203&lt;=客户对账单!$I$4),资金台帐!B1203+ROW()/100000,"")</f>
      </c>
      <c r="H4200">
        <f>IF(AND(资金台帐!K2703&lt;&gt;"",资金台帐!K2703=供应商对账单!$B$4,资金台帐!P2703="应付",ISNUMBER(资金台帐!B2703),资金台帐!B2703&gt;=供应商对账单!$G$4,资金台帐!B2703&lt;=供应商对账单!$I$4),资金台帐!B2703+ROW()/100000,"")</f>
      </c>
    </row>
    <row r="4201">
      <c r="F4201">
        <f>IF(AND(资金台帐!J1204&lt;&gt;"",资金台帐!J1204=客户对账单!$B$4,资金台帐!P1204="应收",ISNUMBER(资金台帐!B1204),资金台帐!B1204&gt;=客户对账单!$G$4,资金台帐!B1204&lt;=客户对账单!$I$4),资金台帐!B1204+ROW()/100000,"")</f>
      </c>
      <c r="H4201">
        <f>IF(AND(资金台帐!K2704&lt;&gt;"",资金台帐!K2704=供应商对账单!$B$4,资金台帐!P2704="应付",ISNUMBER(资金台帐!B2704),资金台帐!B2704&gt;=供应商对账单!$G$4,资金台帐!B2704&lt;=供应商对账单!$I$4),资金台帐!B2704+ROW()/100000,"")</f>
      </c>
    </row>
    <row r="4202">
      <c r="F4202">
        <f>IF(AND(资金台帐!J1205&lt;&gt;"",资金台帐!J1205=客户对账单!$B$4,资金台帐!P1205="应收",ISNUMBER(资金台帐!B1205),资金台帐!B1205&gt;=客户对账单!$G$4,资金台帐!B1205&lt;=客户对账单!$I$4),资金台帐!B1205+ROW()/100000,"")</f>
      </c>
      <c r="H4202">
        <f>IF(AND(资金台帐!K2705&lt;&gt;"",资金台帐!K2705=供应商对账单!$B$4,资金台帐!P2705="应付",ISNUMBER(资金台帐!B2705),资金台帐!B2705&gt;=供应商对账单!$G$4,资金台帐!B2705&lt;=供应商对账单!$I$4),资金台帐!B2705+ROW()/100000,"")</f>
      </c>
    </row>
    <row r="4203">
      <c r="F4203">
        <f>IF(AND(资金台帐!J1206&lt;&gt;"",资金台帐!J1206=客户对账单!$B$4,资金台帐!P1206="应收",ISNUMBER(资金台帐!B1206),资金台帐!B1206&gt;=客户对账单!$G$4,资金台帐!B1206&lt;=客户对账单!$I$4),资金台帐!B1206+ROW()/100000,"")</f>
      </c>
      <c r="H4203">
        <f>IF(AND(资金台帐!K2706&lt;&gt;"",资金台帐!K2706=供应商对账单!$B$4,资金台帐!P2706="应付",ISNUMBER(资金台帐!B2706),资金台帐!B2706&gt;=供应商对账单!$G$4,资金台帐!B2706&lt;=供应商对账单!$I$4),资金台帐!B2706+ROW()/100000,"")</f>
      </c>
    </row>
    <row r="4204">
      <c r="F4204">
        <f>IF(AND(资金台帐!J1207&lt;&gt;"",资金台帐!J1207=客户对账单!$B$4,资金台帐!P1207="应收",ISNUMBER(资金台帐!B1207),资金台帐!B1207&gt;=客户对账单!$G$4,资金台帐!B1207&lt;=客户对账单!$I$4),资金台帐!B1207+ROW()/100000,"")</f>
      </c>
      <c r="H4204">
        <f>IF(AND(资金台帐!K2707&lt;&gt;"",资金台帐!K2707=供应商对账单!$B$4,资金台帐!P2707="应付",ISNUMBER(资金台帐!B2707),资金台帐!B2707&gt;=供应商对账单!$G$4,资金台帐!B2707&lt;=供应商对账单!$I$4),资金台帐!B2707+ROW()/100000,"")</f>
      </c>
    </row>
    <row r="4205">
      <c r="F4205">
        <f>IF(AND(资金台帐!J1208&lt;&gt;"",资金台帐!J1208=客户对账单!$B$4,资金台帐!P1208="应收",ISNUMBER(资金台帐!B1208),资金台帐!B1208&gt;=客户对账单!$G$4,资金台帐!B1208&lt;=客户对账单!$I$4),资金台帐!B1208+ROW()/100000,"")</f>
      </c>
      <c r="H4205">
        <f>IF(AND(资金台帐!K2708&lt;&gt;"",资金台帐!K2708=供应商对账单!$B$4,资金台帐!P2708="应付",ISNUMBER(资金台帐!B2708),资金台帐!B2708&gt;=供应商对账单!$G$4,资金台帐!B2708&lt;=供应商对账单!$I$4),资金台帐!B2708+ROW()/100000,"")</f>
      </c>
    </row>
    <row r="4206">
      <c r="F4206">
        <f>IF(AND(资金台帐!J1209&lt;&gt;"",资金台帐!J1209=客户对账单!$B$4,资金台帐!P1209="应收",ISNUMBER(资金台帐!B1209),资金台帐!B1209&gt;=客户对账单!$G$4,资金台帐!B1209&lt;=客户对账单!$I$4),资金台帐!B1209+ROW()/100000,"")</f>
      </c>
      <c r="H4206">
        <f>IF(AND(资金台帐!K2709&lt;&gt;"",资金台帐!K2709=供应商对账单!$B$4,资金台帐!P2709="应付",ISNUMBER(资金台帐!B2709),资金台帐!B2709&gt;=供应商对账单!$G$4,资金台帐!B2709&lt;=供应商对账单!$I$4),资金台帐!B2709+ROW()/100000,"")</f>
      </c>
    </row>
    <row r="4207">
      <c r="F4207">
        <f>IF(AND(资金台帐!J1210&lt;&gt;"",资金台帐!J1210=客户对账单!$B$4,资金台帐!P1210="应收",ISNUMBER(资金台帐!B1210),资金台帐!B1210&gt;=客户对账单!$G$4,资金台帐!B1210&lt;=客户对账单!$I$4),资金台帐!B1210+ROW()/100000,"")</f>
      </c>
      <c r="H4207">
        <f>IF(AND(资金台帐!K2710&lt;&gt;"",资金台帐!K2710=供应商对账单!$B$4,资金台帐!P2710="应付",ISNUMBER(资金台帐!B2710),资金台帐!B2710&gt;=供应商对账单!$G$4,资金台帐!B2710&lt;=供应商对账单!$I$4),资金台帐!B2710+ROW()/100000,"")</f>
      </c>
    </row>
    <row r="4208">
      <c r="F4208">
        <f>IF(AND(资金台帐!J1211&lt;&gt;"",资金台帐!J1211=客户对账单!$B$4,资金台帐!P1211="应收",ISNUMBER(资金台帐!B1211),资金台帐!B1211&gt;=客户对账单!$G$4,资金台帐!B1211&lt;=客户对账单!$I$4),资金台帐!B1211+ROW()/100000,"")</f>
      </c>
      <c r="H4208">
        <f>IF(AND(资金台帐!K2711&lt;&gt;"",资金台帐!K2711=供应商对账单!$B$4,资金台帐!P2711="应付",ISNUMBER(资金台帐!B2711),资金台帐!B2711&gt;=供应商对账单!$G$4,资金台帐!B2711&lt;=供应商对账单!$I$4),资金台帐!B2711+ROW()/100000,"")</f>
      </c>
    </row>
    <row r="4209">
      <c r="F4209">
        <f>IF(AND(资金台帐!J1212&lt;&gt;"",资金台帐!J1212=客户对账单!$B$4,资金台帐!P1212="应收",ISNUMBER(资金台帐!B1212),资金台帐!B1212&gt;=客户对账单!$G$4,资金台帐!B1212&lt;=客户对账单!$I$4),资金台帐!B1212+ROW()/100000,"")</f>
      </c>
      <c r="H4209">
        <f>IF(AND(资金台帐!K2712&lt;&gt;"",资金台帐!K2712=供应商对账单!$B$4,资金台帐!P2712="应付",ISNUMBER(资金台帐!B2712),资金台帐!B2712&gt;=供应商对账单!$G$4,资金台帐!B2712&lt;=供应商对账单!$I$4),资金台帐!B2712+ROW()/100000,"")</f>
      </c>
    </row>
    <row r="4210">
      <c r="F4210">
        <f>IF(AND(资金台帐!J1213&lt;&gt;"",资金台帐!J1213=客户对账单!$B$4,资金台帐!P1213="应收",ISNUMBER(资金台帐!B1213),资金台帐!B1213&gt;=客户对账单!$G$4,资金台帐!B1213&lt;=客户对账单!$I$4),资金台帐!B1213+ROW()/100000,"")</f>
      </c>
      <c r="H4210">
        <f>IF(AND(资金台帐!K2713&lt;&gt;"",资金台帐!K2713=供应商对账单!$B$4,资金台帐!P2713="应付",ISNUMBER(资金台帐!B2713),资金台帐!B2713&gt;=供应商对账单!$G$4,资金台帐!B2713&lt;=供应商对账单!$I$4),资金台帐!B2713+ROW()/100000,"")</f>
      </c>
    </row>
    <row r="4211">
      <c r="F4211">
        <f>IF(AND(资金台帐!J1214&lt;&gt;"",资金台帐!J1214=客户对账单!$B$4,资金台帐!P1214="应收",ISNUMBER(资金台帐!B1214),资金台帐!B1214&gt;=客户对账单!$G$4,资金台帐!B1214&lt;=客户对账单!$I$4),资金台帐!B1214+ROW()/100000,"")</f>
      </c>
      <c r="H4211">
        <f>IF(AND(资金台帐!K2714&lt;&gt;"",资金台帐!K2714=供应商对账单!$B$4,资金台帐!P2714="应付",ISNUMBER(资金台帐!B2714),资金台帐!B2714&gt;=供应商对账单!$G$4,资金台帐!B2714&lt;=供应商对账单!$I$4),资金台帐!B2714+ROW()/100000,"")</f>
      </c>
    </row>
    <row r="4212">
      <c r="F4212">
        <f>IF(AND(资金台帐!J1215&lt;&gt;"",资金台帐!J1215=客户对账单!$B$4,资金台帐!P1215="应收",ISNUMBER(资金台帐!B1215),资金台帐!B1215&gt;=客户对账单!$G$4,资金台帐!B1215&lt;=客户对账单!$I$4),资金台帐!B1215+ROW()/100000,"")</f>
      </c>
      <c r="H4212">
        <f>IF(AND(资金台帐!K2715&lt;&gt;"",资金台帐!K2715=供应商对账单!$B$4,资金台帐!P2715="应付",ISNUMBER(资金台帐!B2715),资金台帐!B2715&gt;=供应商对账单!$G$4,资金台帐!B2715&lt;=供应商对账单!$I$4),资金台帐!B2715+ROW()/100000,"")</f>
      </c>
    </row>
    <row r="4213">
      <c r="F4213">
        <f>IF(AND(资金台帐!J1216&lt;&gt;"",资金台帐!J1216=客户对账单!$B$4,资金台帐!P1216="应收",ISNUMBER(资金台帐!B1216),资金台帐!B1216&gt;=客户对账单!$G$4,资金台帐!B1216&lt;=客户对账单!$I$4),资金台帐!B1216+ROW()/100000,"")</f>
      </c>
      <c r="H4213">
        <f>IF(AND(资金台帐!K2716&lt;&gt;"",资金台帐!K2716=供应商对账单!$B$4,资金台帐!P2716="应付",ISNUMBER(资金台帐!B2716),资金台帐!B2716&gt;=供应商对账单!$G$4,资金台帐!B2716&lt;=供应商对账单!$I$4),资金台帐!B2716+ROW()/100000,"")</f>
      </c>
    </row>
    <row r="4214">
      <c r="F4214">
        <f>IF(AND(资金台帐!J1217&lt;&gt;"",资金台帐!J1217=客户对账单!$B$4,资金台帐!P1217="应收",ISNUMBER(资金台帐!B1217),资金台帐!B1217&gt;=客户对账单!$G$4,资金台帐!B1217&lt;=客户对账单!$I$4),资金台帐!B1217+ROW()/100000,"")</f>
      </c>
      <c r="H4214">
        <f>IF(AND(资金台帐!K2717&lt;&gt;"",资金台帐!K2717=供应商对账单!$B$4,资金台帐!P2717="应付",ISNUMBER(资金台帐!B2717),资金台帐!B2717&gt;=供应商对账单!$G$4,资金台帐!B2717&lt;=供应商对账单!$I$4),资金台帐!B2717+ROW()/100000,"")</f>
      </c>
    </row>
    <row r="4215">
      <c r="F4215">
        <f>IF(AND(资金台帐!J1218&lt;&gt;"",资金台帐!J1218=客户对账单!$B$4,资金台帐!P1218="应收",ISNUMBER(资金台帐!B1218),资金台帐!B1218&gt;=客户对账单!$G$4,资金台帐!B1218&lt;=客户对账单!$I$4),资金台帐!B1218+ROW()/100000,"")</f>
      </c>
      <c r="H4215">
        <f>IF(AND(资金台帐!K2718&lt;&gt;"",资金台帐!K2718=供应商对账单!$B$4,资金台帐!P2718="应付",ISNUMBER(资金台帐!B2718),资金台帐!B2718&gt;=供应商对账单!$G$4,资金台帐!B2718&lt;=供应商对账单!$I$4),资金台帐!B2718+ROW()/100000,"")</f>
      </c>
    </row>
    <row r="4216">
      <c r="F4216">
        <f>IF(AND(资金台帐!J1219&lt;&gt;"",资金台帐!J1219=客户对账单!$B$4,资金台帐!P1219="应收",ISNUMBER(资金台帐!B1219),资金台帐!B1219&gt;=客户对账单!$G$4,资金台帐!B1219&lt;=客户对账单!$I$4),资金台帐!B1219+ROW()/100000,"")</f>
      </c>
      <c r="H4216">
        <f>IF(AND(资金台帐!K2719&lt;&gt;"",资金台帐!K2719=供应商对账单!$B$4,资金台帐!P2719="应付",ISNUMBER(资金台帐!B2719),资金台帐!B2719&gt;=供应商对账单!$G$4,资金台帐!B2719&lt;=供应商对账单!$I$4),资金台帐!B2719+ROW()/100000,"")</f>
      </c>
    </row>
    <row r="4217">
      <c r="F4217">
        <f>IF(AND(资金台帐!J1220&lt;&gt;"",资金台帐!J1220=客户对账单!$B$4,资金台帐!P1220="应收",ISNUMBER(资金台帐!B1220),资金台帐!B1220&gt;=客户对账单!$G$4,资金台帐!B1220&lt;=客户对账单!$I$4),资金台帐!B1220+ROW()/100000,"")</f>
      </c>
      <c r="H4217">
        <f>IF(AND(资金台帐!K2720&lt;&gt;"",资金台帐!K2720=供应商对账单!$B$4,资金台帐!P2720="应付",ISNUMBER(资金台帐!B2720),资金台帐!B2720&gt;=供应商对账单!$G$4,资金台帐!B2720&lt;=供应商对账单!$I$4),资金台帐!B2720+ROW()/100000,"")</f>
      </c>
    </row>
    <row r="4218">
      <c r="F4218">
        <f>IF(AND(资金台帐!J1221&lt;&gt;"",资金台帐!J1221=客户对账单!$B$4,资金台帐!P1221="应收",ISNUMBER(资金台帐!B1221),资金台帐!B1221&gt;=客户对账单!$G$4,资金台帐!B1221&lt;=客户对账单!$I$4),资金台帐!B1221+ROW()/100000,"")</f>
      </c>
      <c r="H4218">
        <f>IF(AND(资金台帐!K2721&lt;&gt;"",资金台帐!K2721=供应商对账单!$B$4,资金台帐!P2721="应付",ISNUMBER(资金台帐!B2721),资金台帐!B2721&gt;=供应商对账单!$G$4,资金台帐!B2721&lt;=供应商对账单!$I$4),资金台帐!B2721+ROW()/100000,"")</f>
      </c>
    </row>
    <row r="4219">
      <c r="F4219">
        <f>IF(AND(资金台帐!J1222&lt;&gt;"",资金台帐!J1222=客户对账单!$B$4,资金台帐!P1222="应收",ISNUMBER(资金台帐!B1222),资金台帐!B1222&gt;=客户对账单!$G$4,资金台帐!B1222&lt;=客户对账单!$I$4),资金台帐!B1222+ROW()/100000,"")</f>
      </c>
      <c r="H4219">
        <f>IF(AND(资金台帐!K2722&lt;&gt;"",资金台帐!K2722=供应商对账单!$B$4,资金台帐!P2722="应付",ISNUMBER(资金台帐!B2722),资金台帐!B2722&gt;=供应商对账单!$G$4,资金台帐!B2722&lt;=供应商对账单!$I$4),资金台帐!B2722+ROW()/100000,"")</f>
      </c>
    </row>
    <row r="4220">
      <c r="F4220">
        <f>IF(AND(资金台帐!J1223&lt;&gt;"",资金台帐!J1223=客户对账单!$B$4,资金台帐!P1223="应收",ISNUMBER(资金台帐!B1223),资金台帐!B1223&gt;=客户对账单!$G$4,资金台帐!B1223&lt;=客户对账单!$I$4),资金台帐!B1223+ROW()/100000,"")</f>
      </c>
      <c r="H4220">
        <f>IF(AND(资金台帐!K2723&lt;&gt;"",资金台帐!K2723=供应商对账单!$B$4,资金台帐!P2723="应付",ISNUMBER(资金台帐!B2723),资金台帐!B2723&gt;=供应商对账单!$G$4,资金台帐!B2723&lt;=供应商对账单!$I$4),资金台帐!B2723+ROW()/100000,"")</f>
      </c>
    </row>
    <row r="4221">
      <c r="F4221">
        <f>IF(AND(资金台帐!J1224&lt;&gt;"",资金台帐!J1224=客户对账单!$B$4,资金台帐!P1224="应收",ISNUMBER(资金台帐!B1224),资金台帐!B1224&gt;=客户对账单!$G$4,资金台帐!B1224&lt;=客户对账单!$I$4),资金台帐!B1224+ROW()/100000,"")</f>
      </c>
      <c r="H4221">
        <f>IF(AND(资金台帐!K2724&lt;&gt;"",资金台帐!K2724=供应商对账单!$B$4,资金台帐!P2724="应付",ISNUMBER(资金台帐!B2724),资金台帐!B2724&gt;=供应商对账单!$G$4,资金台帐!B2724&lt;=供应商对账单!$I$4),资金台帐!B2724+ROW()/100000,"")</f>
      </c>
    </row>
    <row r="4222">
      <c r="F4222">
        <f>IF(AND(资金台帐!J1225&lt;&gt;"",资金台帐!J1225=客户对账单!$B$4,资金台帐!P1225="应收",ISNUMBER(资金台帐!B1225),资金台帐!B1225&gt;=客户对账单!$G$4,资金台帐!B1225&lt;=客户对账单!$I$4),资金台帐!B1225+ROW()/100000,"")</f>
      </c>
      <c r="H4222">
        <f>IF(AND(资金台帐!K2725&lt;&gt;"",资金台帐!K2725=供应商对账单!$B$4,资金台帐!P2725="应付",ISNUMBER(资金台帐!B2725),资金台帐!B2725&gt;=供应商对账单!$G$4,资金台帐!B2725&lt;=供应商对账单!$I$4),资金台帐!B2725+ROW()/100000,"")</f>
      </c>
    </row>
    <row r="4223">
      <c r="F4223">
        <f>IF(AND(资金台帐!J1226&lt;&gt;"",资金台帐!J1226=客户对账单!$B$4,资金台帐!P1226="应收",ISNUMBER(资金台帐!B1226),资金台帐!B1226&gt;=客户对账单!$G$4,资金台帐!B1226&lt;=客户对账单!$I$4),资金台帐!B1226+ROW()/100000,"")</f>
      </c>
      <c r="H4223">
        <f>IF(AND(资金台帐!K2726&lt;&gt;"",资金台帐!K2726=供应商对账单!$B$4,资金台帐!P2726="应付",ISNUMBER(资金台帐!B2726),资金台帐!B2726&gt;=供应商对账单!$G$4,资金台帐!B2726&lt;=供应商对账单!$I$4),资金台帐!B2726+ROW()/100000,"")</f>
      </c>
    </row>
    <row r="4224">
      <c r="F4224">
        <f>IF(AND(资金台帐!J1227&lt;&gt;"",资金台帐!J1227=客户对账单!$B$4,资金台帐!P1227="应收",ISNUMBER(资金台帐!B1227),资金台帐!B1227&gt;=客户对账单!$G$4,资金台帐!B1227&lt;=客户对账单!$I$4),资金台帐!B1227+ROW()/100000,"")</f>
      </c>
      <c r="H4224">
        <f>IF(AND(资金台帐!K2727&lt;&gt;"",资金台帐!K2727=供应商对账单!$B$4,资金台帐!P2727="应付",ISNUMBER(资金台帐!B2727),资金台帐!B2727&gt;=供应商对账单!$G$4,资金台帐!B2727&lt;=供应商对账单!$I$4),资金台帐!B2727+ROW()/100000,"")</f>
      </c>
    </row>
    <row r="4225">
      <c r="F4225">
        <f>IF(AND(资金台帐!J1228&lt;&gt;"",资金台帐!J1228=客户对账单!$B$4,资金台帐!P1228="应收",ISNUMBER(资金台帐!B1228),资金台帐!B1228&gt;=客户对账单!$G$4,资金台帐!B1228&lt;=客户对账单!$I$4),资金台帐!B1228+ROW()/100000,"")</f>
      </c>
      <c r="H4225">
        <f>IF(AND(资金台帐!K2728&lt;&gt;"",资金台帐!K2728=供应商对账单!$B$4,资金台帐!P2728="应付",ISNUMBER(资金台帐!B2728),资金台帐!B2728&gt;=供应商对账单!$G$4,资金台帐!B2728&lt;=供应商对账单!$I$4),资金台帐!B2728+ROW()/100000,"")</f>
      </c>
    </row>
    <row r="4226">
      <c r="F4226">
        <f>IF(AND(资金台帐!J1229&lt;&gt;"",资金台帐!J1229=客户对账单!$B$4,资金台帐!P1229="应收",ISNUMBER(资金台帐!B1229),资金台帐!B1229&gt;=客户对账单!$G$4,资金台帐!B1229&lt;=客户对账单!$I$4),资金台帐!B1229+ROW()/100000,"")</f>
      </c>
      <c r="H4226">
        <f>IF(AND(资金台帐!K2729&lt;&gt;"",资金台帐!K2729=供应商对账单!$B$4,资金台帐!P2729="应付",ISNUMBER(资金台帐!B2729),资金台帐!B2729&gt;=供应商对账单!$G$4,资金台帐!B2729&lt;=供应商对账单!$I$4),资金台帐!B2729+ROW()/100000,"")</f>
      </c>
    </row>
    <row r="4227">
      <c r="F4227">
        <f>IF(AND(资金台帐!J1230&lt;&gt;"",资金台帐!J1230=客户对账单!$B$4,资金台帐!P1230="应收",ISNUMBER(资金台帐!B1230),资金台帐!B1230&gt;=客户对账单!$G$4,资金台帐!B1230&lt;=客户对账单!$I$4),资金台帐!B1230+ROW()/100000,"")</f>
      </c>
      <c r="H4227">
        <f>IF(AND(资金台帐!K2730&lt;&gt;"",资金台帐!K2730=供应商对账单!$B$4,资金台帐!P2730="应付",ISNUMBER(资金台帐!B2730),资金台帐!B2730&gt;=供应商对账单!$G$4,资金台帐!B2730&lt;=供应商对账单!$I$4),资金台帐!B2730+ROW()/100000,"")</f>
      </c>
    </row>
    <row r="4228">
      <c r="F4228">
        <f>IF(AND(资金台帐!J1231&lt;&gt;"",资金台帐!J1231=客户对账单!$B$4,资金台帐!P1231="应收",ISNUMBER(资金台帐!B1231),资金台帐!B1231&gt;=客户对账单!$G$4,资金台帐!B1231&lt;=客户对账单!$I$4),资金台帐!B1231+ROW()/100000,"")</f>
      </c>
      <c r="H4228">
        <f>IF(AND(资金台帐!K2731&lt;&gt;"",资金台帐!K2731=供应商对账单!$B$4,资金台帐!P2731="应付",ISNUMBER(资金台帐!B2731),资金台帐!B2731&gt;=供应商对账单!$G$4,资金台帐!B2731&lt;=供应商对账单!$I$4),资金台帐!B2731+ROW()/100000,"")</f>
      </c>
    </row>
    <row r="4229">
      <c r="F4229">
        <f>IF(AND(资金台帐!J1232&lt;&gt;"",资金台帐!J1232=客户对账单!$B$4,资金台帐!P1232="应收",ISNUMBER(资金台帐!B1232),资金台帐!B1232&gt;=客户对账单!$G$4,资金台帐!B1232&lt;=客户对账单!$I$4),资金台帐!B1232+ROW()/100000,"")</f>
      </c>
      <c r="H4229">
        <f>IF(AND(资金台帐!K2732&lt;&gt;"",资金台帐!K2732=供应商对账单!$B$4,资金台帐!P2732="应付",ISNUMBER(资金台帐!B2732),资金台帐!B2732&gt;=供应商对账单!$G$4,资金台帐!B2732&lt;=供应商对账单!$I$4),资金台帐!B2732+ROW()/100000,"")</f>
      </c>
    </row>
    <row r="4230">
      <c r="F4230">
        <f>IF(AND(资金台帐!J1233&lt;&gt;"",资金台帐!J1233=客户对账单!$B$4,资金台帐!P1233="应收",ISNUMBER(资金台帐!B1233),资金台帐!B1233&gt;=客户对账单!$G$4,资金台帐!B1233&lt;=客户对账单!$I$4),资金台帐!B1233+ROW()/100000,"")</f>
      </c>
      <c r="H4230">
        <f>IF(AND(资金台帐!K2733&lt;&gt;"",资金台帐!K2733=供应商对账单!$B$4,资金台帐!P2733="应付",ISNUMBER(资金台帐!B2733),资金台帐!B2733&gt;=供应商对账单!$G$4,资金台帐!B2733&lt;=供应商对账单!$I$4),资金台帐!B2733+ROW()/100000,"")</f>
      </c>
    </row>
    <row r="4231">
      <c r="F4231">
        <f>IF(AND(资金台帐!J1234&lt;&gt;"",资金台帐!J1234=客户对账单!$B$4,资金台帐!P1234="应收",ISNUMBER(资金台帐!B1234),资金台帐!B1234&gt;=客户对账单!$G$4,资金台帐!B1234&lt;=客户对账单!$I$4),资金台帐!B1234+ROW()/100000,"")</f>
      </c>
      <c r="H4231">
        <f>IF(AND(资金台帐!K2734&lt;&gt;"",资金台帐!K2734=供应商对账单!$B$4,资金台帐!P2734="应付",ISNUMBER(资金台帐!B2734),资金台帐!B2734&gt;=供应商对账单!$G$4,资金台帐!B2734&lt;=供应商对账单!$I$4),资金台帐!B2734+ROW()/100000,"")</f>
      </c>
    </row>
    <row r="4232">
      <c r="F4232">
        <f>IF(AND(资金台帐!J1235&lt;&gt;"",资金台帐!J1235=客户对账单!$B$4,资金台帐!P1235="应收",ISNUMBER(资金台帐!B1235),资金台帐!B1235&gt;=客户对账单!$G$4,资金台帐!B1235&lt;=客户对账单!$I$4),资金台帐!B1235+ROW()/100000,"")</f>
      </c>
      <c r="H4232">
        <f>IF(AND(资金台帐!K2735&lt;&gt;"",资金台帐!K2735=供应商对账单!$B$4,资金台帐!P2735="应付",ISNUMBER(资金台帐!B2735),资金台帐!B2735&gt;=供应商对账单!$G$4,资金台帐!B2735&lt;=供应商对账单!$I$4),资金台帐!B2735+ROW()/100000,"")</f>
      </c>
    </row>
    <row r="4233">
      <c r="F4233">
        <f>IF(AND(资金台帐!J1236&lt;&gt;"",资金台帐!J1236=客户对账单!$B$4,资金台帐!P1236="应收",ISNUMBER(资金台帐!B1236),资金台帐!B1236&gt;=客户对账单!$G$4,资金台帐!B1236&lt;=客户对账单!$I$4),资金台帐!B1236+ROW()/100000,"")</f>
      </c>
      <c r="H4233">
        <f>IF(AND(资金台帐!K2736&lt;&gt;"",资金台帐!K2736=供应商对账单!$B$4,资金台帐!P2736="应付",ISNUMBER(资金台帐!B2736),资金台帐!B2736&gt;=供应商对账单!$G$4,资金台帐!B2736&lt;=供应商对账单!$I$4),资金台帐!B2736+ROW()/100000,"")</f>
      </c>
    </row>
    <row r="4234">
      <c r="F4234">
        <f>IF(AND(资金台帐!J1237&lt;&gt;"",资金台帐!J1237=客户对账单!$B$4,资金台帐!P1237="应收",ISNUMBER(资金台帐!B1237),资金台帐!B1237&gt;=客户对账单!$G$4,资金台帐!B1237&lt;=客户对账单!$I$4),资金台帐!B1237+ROW()/100000,"")</f>
      </c>
      <c r="H4234">
        <f>IF(AND(资金台帐!K2737&lt;&gt;"",资金台帐!K2737=供应商对账单!$B$4,资金台帐!P2737="应付",ISNUMBER(资金台帐!B2737),资金台帐!B2737&gt;=供应商对账单!$G$4,资金台帐!B2737&lt;=供应商对账单!$I$4),资金台帐!B2737+ROW()/100000,"")</f>
      </c>
    </row>
    <row r="4235">
      <c r="F4235">
        <f>IF(AND(资金台帐!J1238&lt;&gt;"",资金台帐!J1238=客户对账单!$B$4,资金台帐!P1238="应收",ISNUMBER(资金台帐!B1238),资金台帐!B1238&gt;=客户对账单!$G$4,资金台帐!B1238&lt;=客户对账单!$I$4),资金台帐!B1238+ROW()/100000,"")</f>
      </c>
      <c r="H4235">
        <f>IF(AND(资金台帐!K2738&lt;&gt;"",资金台帐!K2738=供应商对账单!$B$4,资金台帐!P2738="应付",ISNUMBER(资金台帐!B2738),资金台帐!B2738&gt;=供应商对账单!$G$4,资金台帐!B2738&lt;=供应商对账单!$I$4),资金台帐!B2738+ROW()/100000,"")</f>
      </c>
    </row>
    <row r="4236">
      <c r="F4236">
        <f>IF(AND(资金台帐!J1239&lt;&gt;"",资金台帐!J1239=客户对账单!$B$4,资金台帐!P1239="应收",ISNUMBER(资金台帐!B1239),资金台帐!B1239&gt;=客户对账单!$G$4,资金台帐!B1239&lt;=客户对账单!$I$4),资金台帐!B1239+ROW()/100000,"")</f>
      </c>
      <c r="H4236">
        <f>IF(AND(资金台帐!K2739&lt;&gt;"",资金台帐!K2739=供应商对账单!$B$4,资金台帐!P2739="应付",ISNUMBER(资金台帐!B2739),资金台帐!B2739&gt;=供应商对账单!$G$4,资金台帐!B2739&lt;=供应商对账单!$I$4),资金台帐!B2739+ROW()/100000,"")</f>
      </c>
    </row>
    <row r="4237">
      <c r="F4237">
        <f>IF(AND(资金台帐!J1240&lt;&gt;"",资金台帐!J1240=客户对账单!$B$4,资金台帐!P1240="应收",ISNUMBER(资金台帐!B1240),资金台帐!B1240&gt;=客户对账单!$G$4,资金台帐!B1240&lt;=客户对账单!$I$4),资金台帐!B1240+ROW()/100000,"")</f>
      </c>
      <c r="H4237">
        <f>IF(AND(资金台帐!K2740&lt;&gt;"",资金台帐!K2740=供应商对账单!$B$4,资金台帐!P2740="应付",ISNUMBER(资金台帐!B2740),资金台帐!B2740&gt;=供应商对账单!$G$4,资金台帐!B2740&lt;=供应商对账单!$I$4),资金台帐!B2740+ROW()/100000,"")</f>
      </c>
    </row>
    <row r="4238">
      <c r="F4238">
        <f>IF(AND(资金台帐!J1241&lt;&gt;"",资金台帐!J1241=客户对账单!$B$4,资金台帐!P1241="应收",ISNUMBER(资金台帐!B1241),资金台帐!B1241&gt;=客户对账单!$G$4,资金台帐!B1241&lt;=客户对账单!$I$4),资金台帐!B1241+ROW()/100000,"")</f>
      </c>
      <c r="H4238">
        <f>IF(AND(资金台帐!K2741&lt;&gt;"",资金台帐!K2741=供应商对账单!$B$4,资金台帐!P2741="应付",ISNUMBER(资金台帐!B2741),资金台帐!B2741&gt;=供应商对账单!$G$4,资金台帐!B2741&lt;=供应商对账单!$I$4),资金台帐!B2741+ROW()/100000,"")</f>
      </c>
    </row>
    <row r="4239">
      <c r="F4239">
        <f>IF(AND(资金台帐!J1242&lt;&gt;"",资金台帐!J1242=客户对账单!$B$4,资金台帐!P1242="应收",ISNUMBER(资金台帐!B1242),资金台帐!B1242&gt;=客户对账单!$G$4,资金台帐!B1242&lt;=客户对账单!$I$4),资金台帐!B1242+ROW()/100000,"")</f>
      </c>
      <c r="H4239">
        <f>IF(AND(资金台帐!K2742&lt;&gt;"",资金台帐!K2742=供应商对账单!$B$4,资金台帐!P2742="应付",ISNUMBER(资金台帐!B2742),资金台帐!B2742&gt;=供应商对账单!$G$4,资金台帐!B2742&lt;=供应商对账单!$I$4),资金台帐!B2742+ROW()/100000,"")</f>
      </c>
    </row>
    <row r="4240">
      <c r="F4240">
        <f>IF(AND(资金台帐!J1243&lt;&gt;"",资金台帐!J1243=客户对账单!$B$4,资金台帐!P1243="应收",ISNUMBER(资金台帐!B1243),资金台帐!B1243&gt;=客户对账单!$G$4,资金台帐!B1243&lt;=客户对账单!$I$4),资金台帐!B1243+ROW()/100000,"")</f>
      </c>
      <c r="H4240">
        <f>IF(AND(资金台帐!K2743&lt;&gt;"",资金台帐!K2743=供应商对账单!$B$4,资金台帐!P2743="应付",ISNUMBER(资金台帐!B2743),资金台帐!B2743&gt;=供应商对账单!$G$4,资金台帐!B2743&lt;=供应商对账单!$I$4),资金台帐!B2743+ROW()/100000,"")</f>
      </c>
    </row>
    <row r="4241">
      <c r="F4241">
        <f>IF(AND(资金台帐!J1244&lt;&gt;"",资金台帐!J1244=客户对账单!$B$4,资金台帐!P1244="应收",ISNUMBER(资金台帐!B1244),资金台帐!B1244&gt;=客户对账单!$G$4,资金台帐!B1244&lt;=客户对账单!$I$4),资金台帐!B1244+ROW()/100000,"")</f>
      </c>
      <c r="H4241">
        <f>IF(AND(资金台帐!K2744&lt;&gt;"",资金台帐!K2744=供应商对账单!$B$4,资金台帐!P2744="应付",ISNUMBER(资金台帐!B2744),资金台帐!B2744&gt;=供应商对账单!$G$4,资金台帐!B2744&lt;=供应商对账单!$I$4),资金台帐!B2744+ROW()/100000,"")</f>
      </c>
    </row>
    <row r="4242">
      <c r="F4242">
        <f>IF(AND(资金台帐!J1245&lt;&gt;"",资金台帐!J1245=客户对账单!$B$4,资金台帐!P1245="应收",ISNUMBER(资金台帐!B1245),资金台帐!B1245&gt;=客户对账单!$G$4,资金台帐!B1245&lt;=客户对账单!$I$4),资金台帐!B1245+ROW()/100000,"")</f>
      </c>
      <c r="H4242">
        <f>IF(AND(资金台帐!K2745&lt;&gt;"",资金台帐!K2745=供应商对账单!$B$4,资金台帐!P2745="应付",ISNUMBER(资金台帐!B2745),资金台帐!B2745&gt;=供应商对账单!$G$4,资金台帐!B2745&lt;=供应商对账单!$I$4),资金台帐!B2745+ROW()/100000,"")</f>
      </c>
    </row>
    <row r="4243">
      <c r="F4243">
        <f>IF(AND(资金台帐!J1246&lt;&gt;"",资金台帐!J1246=客户对账单!$B$4,资金台帐!P1246="应收",ISNUMBER(资金台帐!B1246),资金台帐!B1246&gt;=客户对账单!$G$4,资金台帐!B1246&lt;=客户对账单!$I$4),资金台帐!B1246+ROW()/100000,"")</f>
      </c>
      <c r="H4243">
        <f>IF(AND(资金台帐!K2746&lt;&gt;"",资金台帐!K2746=供应商对账单!$B$4,资金台帐!P2746="应付",ISNUMBER(资金台帐!B2746),资金台帐!B2746&gt;=供应商对账单!$G$4,资金台帐!B2746&lt;=供应商对账单!$I$4),资金台帐!B2746+ROW()/100000,"")</f>
      </c>
    </row>
    <row r="4244">
      <c r="F4244">
        <f>IF(AND(资金台帐!J1247&lt;&gt;"",资金台帐!J1247=客户对账单!$B$4,资金台帐!P1247="应收",ISNUMBER(资金台帐!B1247),资金台帐!B1247&gt;=客户对账单!$G$4,资金台帐!B1247&lt;=客户对账单!$I$4),资金台帐!B1247+ROW()/100000,"")</f>
      </c>
      <c r="H4244">
        <f>IF(AND(资金台帐!K2747&lt;&gt;"",资金台帐!K2747=供应商对账单!$B$4,资金台帐!P2747="应付",ISNUMBER(资金台帐!B2747),资金台帐!B2747&gt;=供应商对账单!$G$4,资金台帐!B2747&lt;=供应商对账单!$I$4),资金台帐!B2747+ROW()/100000,"")</f>
      </c>
    </row>
    <row r="4245">
      <c r="F4245">
        <f>IF(AND(资金台帐!J1248&lt;&gt;"",资金台帐!J1248=客户对账单!$B$4,资金台帐!P1248="应收",ISNUMBER(资金台帐!B1248),资金台帐!B1248&gt;=客户对账单!$G$4,资金台帐!B1248&lt;=客户对账单!$I$4),资金台帐!B1248+ROW()/100000,"")</f>
      </c>
      <c r="H4245">
        <f>IF(AND(资金台帐!K2748&lt;&gt;"",资金台帐!K2748=供应商对账单!$B$4,资金台帐!P2748="应付",ISNUMBER(资金台帐!B2748),资金台帐!B2748&gt;=供应商对账单!$G$4,资金台帐!B2748&lt;=供应商对账单!$I$4),资金台帐!B2748+ROW()/100000,"")</f>
      </c>
    </row>
    <row r="4246">
      <c r="F4246">
        <f>IF(AND(资金台帐!J1249&lt;&gt;"",资金台帐!J1249=客户对账单!$B$4,资金台帐!P1249="应收",ISNUMBER(资金台帐!B1249),资金台帐!B1249&gt;=客户对账单!$G$4,资金台帐!B1249&lt;=客户对账单!$I$4),资金台帐!B1249+ROW()/100000,"")</f>
      </c>
      <c r="H4246">
        <f>IF(AND(资金台帐!K2749&lt;&gt;"",资金台帐!K2749=供应商对账单!$B$4,资金台帐!P2749="应付",ISNUMBER(资金台帐!B2749),资金台帐!B2749&gt;=供应商对账单!$G$4,资金台帐!B2749&lt;=供应商对账单!$I$4),资金台帐!B2749+ROW()/100000,"")</f>
      </c>
    </row>
    <row r="4247">
      <c r="F4247">
        <f>IF(AND(资金台帐!J1250&lt;&gt;"",资金台帐!J1250=客户对账单!$B$4,资金台帐!P1250="应收",ISNUMBER(资金台帐!B1250),资金台帐!B1250&gt;=客户对账单!$G$4,资金台帐!B1250&lt;=客户对账单!$I$4),资金台帐!B1250+ROW()/100000,"")</f>
      </c>
      <c r="H4247">
        <f>IF(AND(资金台帐!K2750&lt;&gt;"",资金台帐!K2750=供应商对账单!$B$4,资金台帐!P2750="应付",ISNUMBER(资金台帐!B2750),资金台帐!B2750&gt;=供应商对账单!$G$4,资金台帐!B2750&lt;=供应商对账单!$I$4),资金台帐!B2750+ROW()/100000,"")</f>
      </c>
    </row>
    <row r="4248">
      <c r="F4248">
        <f>IF(AND(资金台帐!J1251&lt;&gt;"",资金台帐!J1251=客户对账单!$B$4,资金台帐!P1251="应收",ISNUMBER(资金台帐!B1251),资金台帐!B1251&gt;=客户对账单!$G$4,资金台帐!B1251&lt;=客户对账单!$I$4),资金台帐!B1251+ROW()/100000,"")</f>
      </c>
      <c r="H4248">
        <f>IF(AND(资金台帐!K2751&lt;&gt;"",资金台帐!K2751=供应商对账单!$B$4,资金台帐!P2751="应付",ISNUMBER(资金台帐!B2751),资金台帐!B2751&gt;=供应商对账单!$G$4,资金台帐!B2751&lt;=供应商对账单!$I$4),资金台帐!B2751+ROW()/100000,"")</f>
      </c>
    </row>
    <row r="4249">
      <c r="F4249">
        <f>IF(AND(资金台帐!J1252&lt;&gt;"",资金台帐!J1252=客户对账单!$B$4,资金台帐!P1252="应收",ISNUMBER(资金台帐!B1252),资金台帐!B1252&gt;=客户对账单!$G$4,资金台帐!B1252&lt;=客户对账单!$I$4),资金台帐!B1252+ROW()/100000,"")</f>
      </c>
      <c r="H4249">
        <f>IF(AND(资金台帐!K2752&lt;&gt;"",资金台帐!K2752=供应商对账单!$B$4,资金台帐!P2752="应付",ISNUMBER(资金台帐!B2752),资金台帐!B2752&gt;=供应商对账单!$G$4,资金台帐!B2752&lt;=供应商对账单!$I$4),资金台帐!B2752+ROW()/100000,"")</f>
      </c>
    </row>
    <row r="4250">
      <c r="F4250">
        <f>IF(AND(资金台帐!J1253&lt;&gt;"",资金台帐!J1253=客户对账单!$B$4,资金台帐!P1253="应收",ISNUMBER(资金台帐!B1253),资金台帐!B1253&gt;=客户对账单!$G$4,资金台帐!B1253&lt;=客户对账单!$I$4),资金台帐!B1253+ROW()/100000,"")</f>
      </c>
      <c r="H4250">
        <f>IF(AND(资金台帐!K2753&lt;&gt;"",资金台帐!K2753=供应商对账单!$B$4,资金台帐!P2753="应付",ISNUMBER(资金台帐!B2753),资金台帐!B2753&gt;=供应商对账单!$G$4,资金台帐!B2753&lt;=供应商对账单!$I$4),资金台帐!B2753+ROW()/100000,"")</f>
      </c>
    </row>
    <row r="4251">
      <c r="F4251">
        <f>IF(AND(资金台帐!J1254&lt;&gt;"",资金台帐!J1254=客户对账单!$B$4,资金台帐!P1254="应收",ISNUMBER(资金台帐!B1254),资金台帐!B1254&gt;=客户对账单!$G$4,资金台帐!B1254&lt;=客户对账单!$I$4),资金台帐!B1254+ROW()/100000,"")</f>
      </c>
      <c r="H4251">
        <f>IF(AND(资金台帐!K2754&lt;&gt;"",资金台帐!K2754=供应商对账单!$B$4,资金台帐!P2754="应付",ISNUMBER(资金台帐!B2754),资金台帐!B2754&gt;=供应商对账单!$G$4,资金台帐!B2754&lt;=供应商对账单!$I$4),资金台帐!B2754+ROW()/100000,"")</f>
      </c>
    </row>
    <row r="4252">
      <c r="F4252">
        <f>IF(AND(资金台帐!J1255&lt;&gt;"",资金台帐!J1255=客户对账单!$B$4,资金台帐!P1255="应收",ISNUMBER(资金台帐!B1255),资金台帐!B1255&gt;=客户对账单!$G$4,资金台帐!B1255&lt;=客户对账单!$I$4),资金台帐!B1255+ROW()/100000,"")</f>
      </c>
      <c r="H4252">
        <f>IF(AND(资金台帐!K2755&lt;&gt;"",资金台帐!K2755=供应商对账单!$B$4,资金台帐!P2755="应付",ISNUMBER(资金台帐!B2755),资金台帐!B2755&gt;=供应商对账单!$G$4,资金台帐!B2755&lt;=供应商对账单!$I$4),资金台帐!B2755+ROW()/100000,"")</f>
      </c>
    </row>
    <row r="4253">
      <c r="F4253">
        <f>IF(AND(资金台帐!J1256&lt;&gt;"",资金台帐!J1256=客户对账单!$B$4,资金台帐!P1256="应收",ISNUMBER(资金台帐!B1256),资金台帐!B1256&gt;=客户对账单!$G$4,资金台帐!B1256&lt;=客户对账单!$I$4),资金台帐!B1256+ROW()/100000,"")</f>
      </c>
      <c r="H4253">
        <f>IF(AND(资金台帐!K2756&lt;&gt;"",资金台帐!K2756=供应商对账单!$B$4,资金台帐!P2756="应付",ISNUMBER(资金台帐!B2756),资金台帐!B2756&gt;=供应商对账单!$G$4,资金台帐!B2756&lt;=供应商对账单!$I$4),资金台帐!B2756+ROW()/100000,"")</f>
      </c>
    </row>
    <row r="4254">
      <c r="F4254">
        <f>IF(AND(资金台帐!J1257&lt;&gt;"",资金台帐!J1257=客户对账单!$B$4,资金台帐!P1257="应收",ISNUMBER(资金台帐!B1257),资金台帐!B1257&gt;=客户对账单!$G$4,资金台帐!B1257&lt;=客户对账单!$I$4),资金台帐!B1257+ROW()/100000,"")</f>
      </c>
      <c r="H4254">
        <f>IF(AND(资金台帐!K2757&lt;&gt;"",资金台帐!K2757=供应商对账单!$B$4,资金台帐!P2757="应付",ISNUMBER(资金台帐!B2757),资金台帐!B2757&gt;=供应商对账单!$G$4,资金台帐!B2757&lt;=供应商对账单!$I$4),资金台帐!B2757+ROW()/100000,"")</f>
      </c>
    </row>
    <row r="4255">
      <c r="F4255">
        <f>IF(AND(资金台帐!J1258&lt;&gt;"",资金台帐!J1258=客户对账单!$B$4,资金台帐!P1258="应收",ISNUMBER(资金台帐!B1258),资金台帐!B1258&gt;=客户对账单!$G$4,资金台帐!B1258&lt;=客户对账单!$I$4),资金台帐!B1258+ROW()/100000,"")</f>
      </c>
      <c r="H4255">
        <f>IF(AND(资金台帐!K2758&lt;&gt;"",资金台帐!K2758=供应商对账单!$B$4,资金台帐!P2758="应付",ISNUMBER(资金台帐!B2758),资金台帐!B2758&gt;=供应商对账单!$G$4,资金台帐!B2758&lt;=供应商对账单!$I$4),资金台帐!B2758+ROW()/100000,"")</f>
      </c>
    </row>
    <row r="4256">
      <c r="F4256">
        <f>IF(AND(资金台帐!J1259&lt;&gt;"",资金台帐!J1259=客户对账单!$B$4,资金台帐!P1259="应收",ISNUMBER(资金台帐!B1259),资金台帐!B1259&gt;=客户对账单!$G$4,资金台帐!B1259&lt;=客户对账单!$I$4),资金台帐!B1259+ROW()/100000,"")</f>
      </c>
      <c r="H4256">
        <f>IF(AND(资金台帐!K2759&lt;&gt;"",资金台帐!K2759=供应商对账单!$B$4,资金台帐!P2759="应付",ISNUMBER(资金台帐!B2759),资金台帐!B2759&gt;=供应商对账单!$G$4,资金台帐!B2759&lt;=供应商对账单!$I$4),资金台帐!B2759+ROW()/100000,"")</f>
      </c>
    </row>
    <row r="4257">
      <c r="F4257">
        <f>IF(AND(资金台帐!J1260&lt;&gt;"",资金台帐!J1260=客户对账单!$B$4,资金台帐!P1260="应收",ISNUMBER(资金台帐!B1260),资金台帐!B1260&gt;=客户对账单!$G$4,资金台帐!B1260&lt;=客户对账单!$I$4),资金台帐!B1260+ROW()/100000,"")</f>
      </c>
      <c r="H4257">
        <f>IF(AND(资金台帐!K2760&lt;&gt;"",资金台帐!K2760=供应商对账单!$B$4,资金台帐!P2760="应付",ISNUMBER(资金台帐!B2760),资金台帐!B2760&gt;=供应商对账单!$G$4,资金台帐!B2760&lt;=供应商对账单!$I$4),资金台帐!B2760+ROW()/100000,"")</f>
      </c>
    </row>
    <row r="4258">
      <c r="F4258">
        <f>IF(AND(资金台帐!J1261&lt;&gt;"",资金台帐!J1261=客户对账单!$B$4,资金台帐!P1261="应收",ISNUMBER(资金台帐!B1261),资金台帐!B1261&gt;=客户对账单!$G$4,资金台帐!B1261&lt;=客户对账单!$I$4),资金台帐!B1261+ROW()/100000,"")</f>
      </c>
      <c r="H4258">
        <f>IF(AND(资金台帐!K2761&lt;&gt;"",资金台帐!K2761=供应商对账单!$B$4,资金台帐!P2761="应付",ISNUMBER(资金台帐!B2761),资金台帐!B2761&gt;=供应商对账单!$G$4,资金台帐!B2761&lt;=供应商对账单!$I$4),资金台帐!B2761+ROW()/100000,"")</f>
      </c>
    </row>
    <row r="4259">
      <c r="F4259">
        <f>IF(AND(资金台帐!J1262&lt;&gt;"",资金台帐!J1262=客户对账单!$B$4,资金台帐!P1262="应收",ISNUMBER(资金台帐!B1262),资金台帐!B1262&gt;=客户对账单!$G$4,资金台帐!B1262&lt;=客户对账单!$I$4),资金台帐!B1262+ROW()/100000,"")</f>
      </c>
      <c r="H4259">
        <f>IF(AND(资金台帐!K2762&lt;&gt;"",资金台帐!K2762=供应商对账单!$B$4,资金台帐!P2762="应付",ISNUMBER(资金台帐!B2762),资金台帐!B2762&gt;=供应商对账单!$G$4,资金台帐!B2762&lt;=供应商对账单!$I$4),资金台帐!B2762+ROW()/100000,"")</f>
      </c>
    </row>
    <row r="4260">
      <c r="F4260">
        <f>IF(AND(资金台帐!J1263&lt;&gt;"",资金台帐!J1263=客户对账单!$B$4,资金台帐!P1263="应收",ISNUMBER(资金台帐!B1263),资金台帐!B1263&gt;=客户对账单!$G$4,资金台帐!B1263&lt;=客户对账单!$I$4),资金台帐!B1263+ROW()/100000,"")</f>
      </c>
      <c r="H4260">
        <f>IF(AND(资金台帐!K2763&lt;&gt;"",资金台帐!K2763=供应商对账单!$B$4,资金台帐!P2763="应付",ISNUMBER(资金台帐!B2763),资金台帐!B2763&gt;=供应商对账单!$G$4,资金台帐!B2763&lt;=供应商对账单!$I$4),资金台帐!B2763+ROW()/100000,"")</f>
      </c>
    </row>
    <row r="4261">
      <c r="F4261">
        <f>IF(AND(资金台帐!J1264&lt;&gt;"",资金台帐!J1264=客户对账单!$B$4,资金台帐!P1264="应收",ISNUMBER(资金台帐!B1264),资金台帐!B1264&gt;=客户对账单!$G$4,资金台帐!B1264&lt;=客户对账单!$I$4),资金台帐!B1264+ROW()/100000,"")</f>
      </c>
      <c r="H4261">
        <f>IF(AND(资金台帐!K2764&lt;&gt;"",资金台帐!K2764=供应商对账单!$B$4,资金台帐!P2764="应付",ISNUMBER(资金台帐!B2764),资金台帐!B2764&gt;=供应商对账单!$G$4,资金台帐!B2764&lt;=供应商对账单!$I$4),资金台帐!B2764+ROW()/100000,"")</f>
      </c>
    </row>
    <row r="4262">
      <c r="F4262">
        <f>IF(AND(资金台帐!J1265&lt;&gt;"",资金台帐!J1265=客户对账单!$B$4,资金台帐!P1265="应收",ISNUMBER(资金台帐!B1265),资金台帐!B1265&gt;=客户对账单!$G$4,资金台帐!B1265&lt;=客户对账单!$I$4),资金台帐!B1265+ROW()/100000,"")</f>
      </c>
      <c r="H4262">
        <f>IF(AND(资金台帐!K2765&lt;&gt;"",资金台帐!K2765=供应商对账单!$B$4,资金台帐!P2765="应付",ISNUMBER(资金台帐!B2765),资金台帐!B2765&gt;=供应商对账单!$G$4,资金台帐!B2765&lt;=供应商对账单!$I$4),资金台帐!B2765+ROW()/100000,"")</f>
      </c>
    </row>
    <row r="4263">
      <c r="F4263">
        <f>IF(AND(资金台帐!J1266&lt;&gt;"",资金台帐!J1266=客户对账单!$B$4,资金台帐!P1266="应收",ISNUMBER(资金台帐!B1266),资金台帐!B1266&gt;=客户对账单!$G$4,资金台帐!B1266&lt;=客户对账单!$I$4),资金台帐!B1266+ROW()/100000,"")</f>
      </c>
      <c r="H4263">
        <f>IF(AND(资金台帐!K2766&lt;&gt;"",资金台帐!K2766=供应商对账单!$B$4,资金台帐!P2766="应付",ISNUMBER(资金台帐!B2766),资金台帐!B2766&gt;=供应商对账单!$G$4,资金台帐!B2766&lt;=供应商对账单!$I$4),资金台帐!B2766+ROW()/100000,"")</f>
      </c>
    </row>
    <row r="4264">
      <c r="F4264">
        <f>IF(AND(资金台帐!J1267&lt;&gt;"",资金台帐!J1267=客户对账单!$B$4,资金台帐!P1267="应收",ISNUMBER(资金台帐!B1267),资金台帐!B1267&gt;=客户对账单!$G$4,资金台帐!B1267&lt;=客户对账单!$I$4),资金台帐!B1267+ROW()/100000,"")</f>
      </c>
      <c r="H4264">
        <f>IF(AND(资金台帐!K2767&lt;&gt;"",资金台帐!K2767=供应商对账单!$B$4,资金台帐!P2767="应付",ISNUMBER(资金台帐!B2767),资金台帐!B2767&gt;=供应商对账单!$G$4,资金台帐!B2767&lt;=供应商对账单!$I$4),资金台帐!B2767+ROW()/100000,"")</f>
      </c>
    </row>
    <row r="4265">
      <c r="F4265">
        <f>IF(AND(资金台帐!J1268&lt;&gt;"",资金台帐!J1268=客户对账单!$B$4,资金台帐!P1268="应收",ISNUMBER(资金台帐!B1268),资金台帐!B1268&gt;=客户对账单!$G$4,资金台帐!B1268&lt;=客户对账单!$I$4),资金台帐!B1268+ROW()/100000,"")</f>
      </c>
      <c r="H4265">
        <f>IF(AND(资金台帐!K2768&lt;&gt;"",资金台帐!K2768=供应商对账单!$B$4,资金台帐!P2768="应付",ISNUMBER(资金台帐!B2768),资金台帐!B2768&gt;=供应商对账单!$G$4,资金台帐!B2768&lt;=供应商对账单!$I$4),资金台帐!B2768+ROW()/100000,"")</f>
      </c>
    </row>
    <row r="4266">
      <c r="F4266">
        <f>IF(AND(资金台帐!J1269&lt;&gt;"",资金台帐!J1269=客户对账单!$B$4,资金台帐!P1269="应收",ISNUMBER(资金台帐!B1269),资金台帐!B1269&gt;=客户对账单!$G$4,资金台帐!B1269&lt;=客户对账单!$I$4),资金台帐!B1269+ROW()/100000,"")</f>
      </c>
      <c r="H4266">
        <f>IF(AND(资金台帐!K2769&lt;&gt;"",资金台帐!K2769=供应商对账单!$B$4,资金台帐!P2769="应付",ISNUMBER(资金台帐!B2769),资金台帐!B2769&gt;=供应商对账单!$G$4,资金台帐!B2769&lt;=供应商对账单!$I$4),资金台帐!B2769+ROW()/100000,"")</f>
      </c>
    </row>
    <row r="4267">
      <c r="F4267">
        <f>IF(AND(资金台帐!J1270&lt;&gt;"",资金台帐!J1270=客户对账单!$B$4,资金台帐!P1270="应收",ISNUMBER(资金台帐!B1270),资金台帐!B1270&gt;=客户对账单!$G$4,资金台帐!B1270&lt;=客户对账单!$I$4),资金台帐!B1270+ROW()/100000,"")</f>
      </c>
      <c r="H4267">
        <f>IF(AND(资金台帐!K2770&lt;&gt;"",资金台帐!K2770=供应商对账单!$B$4,资金台帐!P2770="应付",ISNUMBER(资金台帐!B2770),资金台帐!B2770&gt;=供应商对账单!$G$4,资金台帐!B2770&lt;=供应商对账单!$I$4),资金台帐!B2770+ROW()/100000,"")</f>
      </c>
    </row>
    <row r="4268">
      <c r="F4268">
        <f>IF(AND(资金台帐!J1271&lt;&gt;"",资金台帐!J1271=客户对账单!$B$4,资金台帐!P1271="应收",ISNUMBER(资金台帐!B1271),资金台帐!B1271&gt;=客户对账单!$G$4,资金台帐!B1271&lt;=客户对账单!$I$4),资金台帐!B1271+ROW()/100000,"")</f>
      </c>
      <c r="H4268">
        <f>IF(AND(资金台帐!K2771&lt;&gt;"",资金台帐!K2771=供应商对账单!$B$4,资金台帐!P2771="应付",ISNUMBER(资金台帐!B2771),资金台帐!B2771&gt;=供应商对账单!$G$4,资金台帐!B2771&lt;=供应商对账单!$I$4),资金台帐!B2771+ROW()/100000,"")</f>
      </c>
    </row>
    <row r="4269">
      <c r="F4269">
        <f>IF(AND(资金台帐!J1272&lt;&gt;"",资金台帐!J1272=客户对账单!$B$4,资金台帐!P1272="应收",ISNUMBER(资金台帐!B1272),资金台帐!B1272&gt;=客户对账单!$G$4,资金台帐!B1272&lt;=客户对账单!$I$4),资金台帐!B1272+ROW()/100000,"")</f>
      </c>
      <c r="H4269">
        <f>IF(AND(资金台帐!K2772&lt;&gt;"",资金台帐!K2772=供应商对账单!$B$4,资金台帐!P2772="应付",ISNUMBER(资金台帐!B2772),资金台帐!B2772&gt;=供应商对账单!$G$4,资金台帐!B2772&lt;=供应商对账单!$I$4),资金台帐!B2772+ROW()/100000,"")</f>
      </c>
    </row>
    <row r="4270">
      <c r="F4270">
        <f>IF(AND(资金台帐!J1273&lt;&gt;"",资金台帐!J1273=客户对账单!$B$4,资金台帐!P1273="应收",ISNUMBER(资金台帐!B1273),资金台帐!B1273&gt;=客户对账单!$G$4,资金台帐!B1273&lt;=客户对账单!$I$4),资金台帐!B1273+ROW()/100000,"")</f>
      </c>
      <c r="H4270">
        <f>IF(AND(资金台帐!K2773&lt;&gt;"",资金台帐!K2773=供应商对账单!$B$4,资金台帐!P2773="应付",ISNUMBER(资金台帐!B2773),资金台帐!B2773&gt;=供应商对账单!$G$4,资金台帐!B2773&lt;=供应商对账单!$I$4),资金台帐!B2773+ROW()/100000,"")</f>
      </c>
    </row>
    <row r="4271">
      <c r="F4271">
        <f>IF(AND(资金台帐!J1274&lt;&gt;"",资金台帐!J1274=客户对账单!$B$4,资金台帐!P1274="应收",ISNUMBER(资金台帐!B1274),资金台帐!B1274&gt;=客户对账单!$G$4,资金台帐!B1274&lt;=客户对账单!$I$4),资金台帐!B1274+ROW()/100000,"")</f>
      </c>
      <c r="H4271">
        <f>IF(AND(资金台帐!K2774&lt;&gt;"",资金台帐!K2774=供应商对账单!$B$4,资金台帐!P2774="应付",ISNUMBER(资金台帐!B2774),资金台帐!B2774&gt;=供应商对账单!$G$4,资金台帐!B2774&lt;=供应商对账单!$I$4),资金台帐!B2774+ROW()/100000,"")</f>
      </c>
    </row>
    <row r="4272">
      <c r="F4272">
        <f>IF(AND(资金台帐!J1275&lt;&gt;"",资金台帐!J1275=客户对账单!$B$4,资金台帐!P1275="应收",ISNUMBER(资金台帐!B1275),资金台帐!B1275&gt;=客户对账单!$G$4,资金台帐!B1275&lt;=客户对账单!$I$4),资金台帐!B1275+ROW()/100000,"")</f>
      </c>
      <c r="H4272">
        <f>IF(AND(资金台帐!K2775&lt;&gt;"",资金台帐!K2775=供应商对账单!$B$4,资金台帐!P2775="应付",ISNUMBER(资金台帐!B2775),资金台帐!B2775&gt;=供应商对账单!$G$4,资金台帐!B2775&lt;=供应商对账单!$I$4),资金台帐!B2775+ROW()/100000,"")</f>
      </c>
    </row>
    <row r="4273">
      <c r="F4273">
        <f>IF(AND(资金台帐!J1276&lt;&gt;"",资金台帐!J1276=客户对账单!$B$4,资金台帐!P1276="应收",ISNUMBER(资金台帐!B1276),资金台帐!B1276&gt;=客户对账单!$G$4,资金台帐!B1276&lt;=客户对账单!$I$4),资金台帐!B1276+ROW()/100000,"")</f>
      </c>
      <c r="H4273">
        <f>IF(AND(资金台帐!K2776&lt;&gt;"",资金台帐!K2776=供应商对账单!$B$4,资金台帐!P2776="应付",ISNUMBER(资金台帐!B2776),资金台帐!B2776&gt;=供应商对账单!$G$4,资金台帐!B2776&lt;=供应商对账单!$I$4),资金台帐!B2776+ROW()/100000,"")</f>
      </c>
    </row>
    <row r="4274">
      <c r="F4274">
        <f>IF(AND(资金台帐!J1277&lt;&gt;"",资金台帐!J1277=客户对账单!$B$4,资金台帐!P1277="应收",ISNUMBER(资金台帐!B1277),资金台帐!B1277&gt;=客户对账单!$G$4,资金台帐!B1277&lt;=客户对账单!$I$4),资金台帐!B1277+ROW()/100000,"")</f>
      </c>
      <c r="H4274">
        <f>IF(AND(资金台帐!K2777&lt;&gt;"",资金台帐!K2777=供应商对账单!$B$4,资金台帐!P2777="应付",ISNUMBER(资金台帐!B2777),资金台帐!B2777&gt;=供应商对账单!$G$4,资金台帐!B2777&lt;=供应商对账单!$I$4),资金台帐!B2777+ROW()/100000,"")</f>
      </c>
    </row>
    <row r="4275">
      <c r="F4275">
        <f>IF(AND(资金台帐!J1278&lt;&gt;"",资金台帐!J1278=客户对账单!$B$4,资金台帐!P1278="应收",ISNUMBER(资金台帐!B1278),资金台帐!B1278&gt;=客户对账单!$G$4,资金台帐!B1278&lt;=客户对账单!$I$4),资金台帐!B1278+ROW()/100000,"")</f>
      </c>
      <c r="H4275">
        <f>IF(AND(资金台帐!K2778&lt;&gt;"",资金台帐!K2778=供应商对账单!$B$4,资金台帐!P2778="应付",ISNUMBER(资金台帐!B2778),资金台帐!B2778&gt;=供应商对账单!$G$4,资金台帐!B2778&lt;=供应商对账单!$I$4),资金台帐!B2778+ROW()/100000,"")</f>
      </c>
    </row>
    <row r="4276">
      <c r="F4276">
        <f>IF(AND(资金台帐!J1279&lt;&gt;"",资金台帐!J1279=客户对账单!$B$4,资金台帐!P1279="应收",ISNUMBER(资金台帐!B1279),资金台帐!B1279&gt;=客户对账单!$G$4,资金台帐!B1279&lt;=客户对账单!$I$4),资金台帐!B1279+ROW()/100000,"")</f>
      </c>
      <c r="H4276">
        <f>IF(AND(资金台帐!K2779&lt;&gt;"",资金台帐!K2779=供应商对账单!$B$4,资金台帐!P2779="应付",ISNUMBER(资金台帐!B2779),资金台帐!B2779&gt;=供应商对账单!$G$4,资金台帐!B2779&lt;=供应商对账单!$I$4),资金台帐!B2779+ROW()/100000,"")</f>
      </c>
    </row>
    <row r="4277">
      <c r="F4277">
        <f>IF(AND(资金台帐!J1280&lt;&gt;"",资金台帐!J1280=客户对账单!$B$4,资金台帐!P1280="应收",ISNUMBER(资金台帐!B1280),资金台帐!B1280&gt;=客户对账单!$G$4,资金台帐!B1280&lt;=客户对账单!$I$4),资金台帐!B1280+ROW()/100000,"")</f>
      </c>
      <c r="H4277">
        <f>IF(AND(资金台帐!K2780&lt;&gt;"",资金台帐!K2780=供应商对账单!$B$4,资金台帐!P2780="应付",ISNUMBER(资金台帐!B2780),资金台帐!B2780&gt;=供应商对账单!$G$4,资金台帐!B2780&lt;=供应商对账单!$I$4),资金台帐!B2780+ROW()/100000,"")</f>
      </c>
    </row>
    <row r="4278">
      <c r="F4278">
        <f>IF(AND(资金台帐!J1281&lt;&gt;"",资金台帐!J1281=客户对账单!$B$4,资金台帐!P1281="应收",ISNUMBER(资金台帐!B1281),资金台帐!B1281&gt;=客户对账单!$G$4,资金台帐!B1281&lt;=客户对账单!$I$4),资金台帐!B1281+ROW()/100000,"")</f>
      </c>
      <c r="H4278">
        <f>IF(AND(资金台帐!K2781&lt;&gt;"",资金台帐!K2781=供应商对账单!$B$4,资金台帐!P2781="应付",ISNUMBER(资金台帐!B2781),资金台帐!B2781&gt;=供应商对账单!$G$4,资金台帐!B2781&lt;=供应商对账单!$I$4),资金台帐!B2781+ROW()/100000,"")</f>
      </c>
    </row>
    <row r="4279">
      <c r="F4279">
        <f>IF(AND(资金台帐!J1282&lt;&gt;"",资金台帐!J1282=客户对账单!$B$4,资金台帐!P1282="应收",ISNUMBER(资金台帐!B1282),资金台帐!B1282&gt;=客户对账单!$G$4,资金台帐!B1282&lt;=客户对账单!$I$4),资金台帐!B1282+ROW()/100000,"")</f>
      </c>
      <c r="H4279">
        <f>IF(AND(资金台帐!K2782&lt;&gt;"",资金台帐!K2782=供应商对账单!$B$4,资金台帐!P2782="应付",ISNUMBER(资金台帐!B2782),资金台帐!B2782&gt;=供应商对账单!$G$4,资金台帐!B2782&lt;=供应商对账单!$I$4),资金台帐!B2782+ROW()/100000,"")</f>
      </c>
    </row>
    <row r="4280">
      <c r="F4280">
        <f>IF(AND(资金台帐!J1283&lt;&gt;"",资金台帐!J1283=客户对账单!$B$4,资金台帐!P1283="应收",ISNUMBER(资金台帐!B1283),资金台帐!B1283&gt;=客户对账单!$G$4,资金台帐!B1283&lt;=客户对账单!$I$4),资金台帐!B1283+ROW()/100000,"")</f>
      </c>
      <c r="H4280">
        <f>IF(AND(资金台帐!K2783&lt;&gt;"",资金台帐!K2783=供应商对账单!$B$4,资金台帐!P2783="应付",ISNUMBER(资金台帐!B2783),资金台帐!B2783&gt;=供应商对账单!$G$4,资金台帐!B2783&lt;=供应商对账单!$I$4),资金台帐!B2783+ROW()/100000,"")</f>
      </c>
    </row>
    <row r="4281">
      <c r="F4281">
        <f>IF(AND(资金台帐!J1284&lt;&gt;"",资金台帐!J1284=客户对账单!$B$4,资金台帐!P1284="应收",ISNUMBER(资金台帐!B1284),资金台帐!B1284&gt;=客户对账单!$G$4,资金台帐!B1284&lt;=客户对账单!$I$4),资金台帐!B1284+ROW()/100000,"")</f>
      </c>
      <c r="H4281">
        <f>IF(AND(资金台帐!K2784&lt;&gt;"",资金台帐!K2784=供应商对账单!$B$4,资金台帐!P2784="应付",ISNUMBER(资金台帐!B2784),资金台帐!B2784&gt;=供应商对账单!$G$4,资金台帐!B2784&lt;=供应商对账单!$I$4),资金台帐!B2784+ROW()/100000,"")</f>
      </c>
    </row>
    <row r="4282">
      <c r="F4282">
        <f>IF(AND(资金台帐!J1285&lt;&gt;"",资金台帐!J1285=客户对账单!$B$4,资金台帐!P1285="应收",ISNUMBER(资金台帐!B1285),资金台帐!B1285&gt;=客户对账单!$G$4,资金台帐!B1285&lt;=客户对账单!$I$4),资金台帐!B1285+ROW()/100000,"")</f>
      </c>
      <c r="H4282">
        <f>IF(AND(资金台帐!K2785&lt;&gt;"",资金台帐!K2785=供应商对账单!$B$4,资金台帐!P2785="应付",ISNUMBER(资金台帐!B2785),资金台帐!B2785&gt;=供应商对账单!$G$4,资金台帐!B2785&lt;=供应商对账单!$I$4),资金台帐!B2785+ROW()/100000,"")</f>
      </c>
    </row>
    <row r="4283">
      <c r="F4283">
        <f>IF(AND(资金台帐!J1286&lt;&gt;"",资金台帐!J1286=客户对账单!$B$4,资金台帐!P1286="应收",ISNUMBER(资金台帐!B1286),资金台帐!B1286&gt;=客户对账单!$G$4,资金台帐!B1286&lt;=客户对账单!$I$4),资金台帐!B1286+ROW()/100000,"")</f>
      </c>
      <c r="H4283">
        <f>IF(AND(资金台帐!K2786&lt;&gt;"",资金台帐!K2786=供应商对账单!$B$4,资金台帐!P2786="应付",ISNUMBER(资金台帐!B2786),资金台帐!B2786&gt;=供应商对账单!$G$4,资金台帐!B2786&lt;=供应商对账单!$I$4),资金台帐!B2786+ROW()/100000,"")</f>
      </c>
    </row>
    <row r="4284">
      <c r="F4284">
        <f>IF(AND(资金台帐!J1287&lt;&gt;"",资金台帐!J1287=客户对账单!$B$4,资金台帐!P1287="应收",ISNUMBER(资金台帐!B1287),资金台帐!B1287&gt;=客户对账单!$G$4,资金台帐!B1287&lt;=客户对账单!$I$4),资金台帐!B1287+ROW()/100000,"")</f>
      </c>
      <c r="H4284">
        <f>IF(AND(资金台帐!K2787&lt;&gt;"",资金台帐!K2787=供应商对账单!$B$4,资金台帐!P2787="应付",ISNUMBER(资金台帐!B2787),资金台帐!B2787&gt;=供应商对账单!$G$4,资金台帐!B2787&lt;=供应商对账单!$I$4),资金台帐!B2787+ROW()/100000,"")</f>
      </c>
    </row>
    <row r="4285">
      <c r="F4285">
        <f>IF(AND(资金台帐!J1288&lt;&gt;"",资金台帐!J1288=客户对账单!$B$4,资金台帐!P1288="应收",ISNUMBER(资金台帐!B1288),资金台帐!B1288&gt;=客户对账单!$G$4,资金台帐!B1288&lt;=客户对账单!$I$4),资金台帐!B1288+ROW()/100000,"")</f>
      </c>
      <c r="H4285">
        <f>IF(AND(资金台帐!K2788&lt;&gt;"",资金台帐!K2788=供应商对账单!$B$4,资金台帐!P2788="应付",ISNUMBER(资金台帐!B2788),资金台帐!B2788&gt;=供应商对账单!$G$4,资金台帐!B2788&lt;=供应商对账单!$I$4),资金台帐!B2788+ROW()/100000,"")</f>
      </c>
    </row>
    <row r="4286">
      <c r="F4286">
        <f>IF(AND(资金台帐!J1289&lt;&gt;"",资金台帐!J1289=客户对账单!$B$4,资金台帐!P1289="应收",ISNUMBER(资金台帐!B1289),资金台帐!B1289&gt;=客户对账单!$G$4,资金台帐!B1289&lt;=客户对账单!$I$4),资金台帐!B1289+ROW()/100000,"")</f>
      </c>
      <c r="H4286">
        <f>IF(AND(资金台帐!K2789&lt;&gt;"",资金台帐!K2789=供应商对账单!$B$4,资金台帐!P2789="应付",ISNUMBER(资金台帐!B2789),资金台帐!B2789&gt;=供应商对账单!$G$4,资金台帐!B2789&lt;=供应商对账单!$I$4),资金台帐!B2789+ROW()/100000,"")</f>
      </c>
    </row>
    <row r="4287">
      <c r="F4287">
        <f>IF(AND(资金台帐!J1290&lt;&gt;"",资金台帐!J1290=客户对账单!$B$4,资金台帐!P1290="应收",ISNUMBER(资金台帐!B1290),资金台帐!B1290&gt;=客户对账单!$G$4,资金台帐!B1290&lt;=客户对账单!$I$4),资金台帐!B1290+ROW()/100000,"")</f>
      </c>
      <c r="H4287">
        <f>IF(AND(资金台帐!K2790&lt;&gt;"",资金台帐!K2790=供应商对账单!$B$4,资金台帐!P2790="应付",ISNUMBER(资金台帐!B2790),资金台帐!B2790&gt;=供应商对账单!$G$4,资金台帐!B2790&lt;=供应商对账单!$I$4),资金台帐!B2790+ROW()/100000,"")</f>
      </c>
    </row>
    <row r="4288">
      <c r="F4288">
        <f>IF(AND(资金台帐!J1291&lt;&gt;"",资金台帐!J1291=客户对账单!$B$4,资金台帐!P1291="应收",ISNUMBER(资金台帐!B1291),资金台帐!B1291&gt;=客户对账单!$G$4,资金台帐!B1291&lt;=客户对账单!$I$4),资金台帐!B1291+ROW()/100000,"")</f>
      </c>
      <c r="H4288">
        <f>IF(AND(资金台帐!K2791&lt;&gt;"",资金台帐!K2791=供应商对账单!$B$4,资金台帐!P2791="应付",ISNUMBER(资金台帐!B2791),资金台帐!B2791&gt;=供应商对账单!$G$4,资金台帐!B2791&lt;=供应商对账单!$I$4),资金台帐!B2791+ROW()/100000,"")</f>
      </c>
    </row>
    <row r="4289">
      <c r="F4289">
        <f>IF(AND(资金台帐!J1292&lt;&gt;"",资金台帐!J1292=客户对账单!$B$4,资金台帐!P1292="应收",ISNUMBER(资金台帐!B1292),资金台帐!B1292&gt;=客户对账单!$G$4,资金台帐!B1292&lt;=客户对账单!$I$4),资金台帐!B1292+ROW()/100000,"")</f>
      </c>
      <c r="H4289">
        <f>IF(AND(资金台帐!K2792&lt;&gt;"",资金台帐!K2792=供应商对账单!$B$4,资金台帐!P2792="应付",ISNUMBER(资金台帐!B2792),资金台帐!B2792&gt;=供应商对账单!$G$4,资金台帐!B2792&lt;=供应商对账单!$I$4),资金台帐!B2792+ROW()/100000,"")</f>
      </c>
    </row>
    <row r="4290">
      <c r="F4290">
        <f>IF(AND(资金台帐!J1293&lt;&gt;"",资金台帐!J1293=客户对账单!$B$4,资金台帐!P1293="应收",ISNUMBER(资金台帐!B1293),资金台帐!B1293&gt;=客户对账单!$G$4,资金台帐!B1293&lt;=客户对账单!$I$4),资金台帐!B1293+ROW()/100000,"")</f>
      </c>
      <c r="H4290">
        <f>IF(AND(资金台帐!K2793&lt;&gt;"",资金台帐!K2793=供应商对账单!$B$4,资金台帐!P2793="应付",ISNUMBER(资金台帐!B2793),资金台帐!B2793&gt;=供应商对账单!$G$4,资金台帐!B2793&lt;=供应商对账单!$I$4),资金台帐!B2793+ROW()/100000,"")</f>
      </c>
    </row>
    <row r="4291">
      <c r="F4291">
        <f>IF(AND(资金台帐!J1294&lt;&gt;"",资金台帐!J1294=客户对账单!$B$4,资金台帐!P1294="应收",ISNUMBER(资金台帐!B1294),资金台帐!B1294&gt;=客户对账单!$G$4,资金台帐!B1294&lt;=客户对账单!$I$4),资金台帐!B1294+ROW()/100000,"")</f>
      </c>
      <c r="H4291">
        <f>IF(AND(资金台帐!K2794&lt;&gt;"",资金台帐!K2794=供应商对账单!$B$4,资金台帐!P2794="应付",ISNUMBER(资金台帐!B2794),资金台帐!B2794&gt;=供应商对账单!$G$4,资金台帐!B2794&lt;=供应商对账单!$I$4),资金台帐!B2794+ROW()/100000,"")</f>
      </c>
    </row>
    <row r="4292">
      <c r="F4292">
        <f>IF(AND(资金台帐!J1295&lt;&gt;"",资金台帐!J1295=客户对账单!$B$4,资金台帐!P1295="应收",ISNUMBER(资金台帐!B1295),资金台帐!B1295&gt;=客户对账单!$G$4,资金台帐!B1295&lt;=客户对账单!$I$4),资金台帐!B1295+ROW()/100000,"")</f>
      </c>
      <c r="H4292">
        <f>IF(AND(资金台帐!K2795&lt;&gt;"",资金台帐!K2795=供应商对账单!$B$4,资金台帐!P2795="应付",ISNUMBER(资金台帐!B2795),资金台帐!B2795&gt;=供应商对账单!$G$4,资金台帐!B2795&lt;=供应商对账单!$I$4),资金台帐!B2795+ROW()/100000,"")</f>
      </c>
    </row>
    <row r="4293">
      <c r="F4293">
        <f>IF(AND(资金台帐!J1296&lt;&gt;"",资金台帐!J1296=客户对账单!$B$4,资金台帐!P1296="应收",ISNUMBER(资金台帐!B1296),资金台帐!B1296&gt;=客户对账单!$G$4,资金台帐!B1296&lt;=客户对账单!$I$4),资金台帐!B1296+ROW()/100000,"")</f>
      </c>
      <c r="H4293">
        <f>IF(AND(资金台帐!K2796&lt;&gt;"",资金台帐!K2796=供应商对账单!$B$4,资金台帐!P2796="应付",ISNUMBER(资金台帐!B2796),资金台帐!B2796&gt;=供应商对账单!$G$4,资金台帐!B2796&lt;=供应商对账单!$I$4),资金台帐!B2796+ROW()/100000,"")</f>
      </c>
    </row>
    <row r="4294">
      <c r="F4294">
        <f>IF(AND(资金台帐!J1297&lt;&gt;"",资金台帐!J1297=客户对账单!$B$4,资金台帐!P1297="应收",ISNUMBER(资金台帐!B1297),资金台帐!B1297&gt;=客户对账单!$G$4,资金台帐!B1297&lt;=客户对账单!$I$4),资金台帐!B1297+ROW()/100000,"")</f>
      </c>
      <c r="H4294">
        <f>IF(AND(资金台帐!K2797&lt;&gt;"",资金台帐!K2797=供应商对账单!$B$4,资金台帐!P2797="应付",ISNUMBER(资金台帐!B2797),资金台帐!B2797&gt;=供应商对账单!$G$4,资金台帐!B2797&lt;=供应商对账单!$I$4),资金台帐!B2797+ROW()/100000,"")</f>
      </c>
    </row>
    <row r="4295">
      <c r="F4295">
        <f>IF(AND(资金台帐!J1298&lt;&gt;"",资金台帐!J1298=客户对账单!$B$4,资金台帐!P1298="应收",ISNUMBER(资金台帐!B1298),资金台帐!B1298&gt;=客户对账单!$G$4,资金台帐!B1298&lt;=客户对账单!$I$4),资金台帐!B1298+ROW()/100000,"")</f>
      </c>
      <c r="H4295">
        <f>IF(AND(资金台帐!K2798&lt;&gt;"",资金台帐!K2798=供应商对账单!$B$4,资金台帐!P2798="应付",ISNUMBER(资金台帐!B2798),资金台帐!B2798&gt;=供应商对账单!$G$4,资金台帐!B2798&lt;=供应商对账单!$I$4),资金台帐!B2798+ROW()/100000,"")</f>
      </c>
    </row>
    <row r="4296">
      <c r="F4296">
        <f>IF(AND(资金台帐!J1299&lt;&gt;"",资金台帐!J1299=客户对账单!$B$4,资金台帐!P1299="应收",ISNUMBER(资金台帐!B1299),资金台帐!B1299&gt;=客户对账单!$G$4,资金台帐!B1299&lt;=客户对账单!$I$4),资金台帐!B1299+ROW()/100000,"")</f>
      </c>
      <c r="H4296">
        <f>IF(AND(资金台帐!K2799&lt;&gt;"",资金台帐!K2799=供应商对账单!$B$4,资金台帐!P2799="应付",ISNUMBER(资金台帐!B2799),资金台帐!B2799&gt;=供应商对账单!$G$4,资金台帐!B2799&lt;=供应商对账单!$I$4),资金台帐!B2799+ROW()/100000,"")</f>
      </c>
    </row>
    <row r="4297">
      <c r="F4297">
        <f>IF(AND(资金台帐!J1300&lt;&gt;"",资金台帐!J1300=客户对账单!$B$4,资金台帐!P1300="应收",ISNUMBER(资金台帐!B1300),资金台帐!B1300&gt;=客户对账单!$G$4,资金台帐!B1300&lt;=客户对账单!$I$4),资金台帐!B1300+ROW()/100000,"")</f>
      </c>
      <c r="H4297">
        <f>IF(AND(资金台帐!K2800&lt;&gt;"",资金台帐!K2800=供应商对账单!$B$4,资金台帐!P2800="应付",ISNUMBER(资金台帐!B2800),资金台帐!B2800&gt;=供应商对账单!$G$4,资金台帐!B2800&lt;=供应商对账单!$I$4),资金台帐!B2800+ROW()/100000,"")</f>
      </c>
    </row>
    <row r="4298">
      <c r="F4298">
        <f>IF(AND(资金台帐!J1301&lt;&gt;"",资金台帐!J1301=客户对账单!$B$4,资金台帐!P1301="应收",ISNUMBER(资金台帐!B1301),资金台帐!B1301&gt;=客户对账单!$G$4,资金台帐!B1301&lt;=客户对账单!$I$4),资金台帐!B1301+ROW()/100000,"")</f>
      </c>
      <c r="H4298">
        <f>IF(AND(资金台帐!K2801&lt;&gt;"",资金台帐!K2801=供应商对账单!$B$4,资金台帐!P2801="应付",ISNUMBER(资金台帐!B2801),资金台帐!B2801&gt;=供应商对账单!$G$4,资金台帐!B2801&lt;=供应商对账单!$I$4),资金台帐!B2801+ROW()/100000,"")</f>
      </c>
    </row>
    <row r="4299">
      <c r="F4299">
        <f>IF(AND(资金台帐!J1302&lt;&gt;"",资金台帐!J1302=客户对账单!$B$4,资金台帐!P1302="应收",ISNUMBER(资金台帐!B1302),资金台帐!B1302&gt;=客户对账单!$G$4,资金台帐!B1302&lt;=客户对账单!$I$4),资金台帐!B1302+ROW()/100000,"")</f>
      </c>
      <c r="H4299">
        <f>IF(AND(资金台帐!K2802&lt;&gt;"",资金台帐!K2802=供应商对账单!$B$4,资金台帐!P2802="应付",ISNUMBER(资金台帐!B2802),资金台帐!B2802&gt;=供应商对账单!$G$4,资金台帐!B2802&lt;=供应商对账单!$I$4),资金台帐!B2802+ROW()/100000,"")</f>
      </c>
    </row>
    <row r="4300">
      <c r="F4300">
        <f>IF(AND(资金台帐!J1303&lt;&gt;"",资金台帐!J1303=客户对账单!$B$4,资金台帐!P1303="应收",ISNUMBER(资金台帐!B1303),资金台帐!B1303&gt;=客户对账单!$G$4,资金台帐!B1303&lt;=客户对账单!$I$4),资金台帐!B1303+ROW()/100000,"")</f>
      </c>
      <c r="H4300">
        <f>IF(AND(资金台帐!K2803&lt;&gt;"",资金台帐!K2803=供应商对账单!$B$4,资金台帐!P2803="应付",ISNUMBER(资金台帐!B2803),资金台帐!B2803&gt;=供应商对账单!$G$4,资金台帐!B2803&lt;=供应商对账单!$I$4),资金台帐!B2803+ROW()/100000,"")</f>
      </c>
    </row>
    <row r="4301">
      <c r="F4301">
        <f>IF(AND(资金台帐!J1304&lt;&gt;"",资金台帐!J1304=客户对账单!$B$4,资金台帐!P1304="应收",ISNUMBER(资金台帐!B1304),资金台帐!B1304&gt;=客户对账单!$G$4,资金台帐!B1304&lt;=客户对账单!$I$4),资金台帐!B1304+ROW()/100000,"")</f>
      </c>
      <c r="H4301">
        <f>IF(AND(资金台帐!K2804&lt;&gt;"",资金台帐!K2804=供应商对账单!$B$4,资金台帐!P2804="应付",ISNUMBER(资金台帐!B2804),资金台帐!B2804&gt;=供应商对账单!$G$4,资金台帐!B2804&lt;=供应商对账单!$I$4),资金台帐!B2804+ROW()/100000,"")</f>
      </c>
    </row>
    <row r="4302">
      <c r="F4302">
        <f>IF(AND(资金台帐!J1305&lt;&gt;"",资金台帐!J1305=客户对账单!$B$4,资金台帐!P1305="应收",ISNUMBER(资金台帐!B1305),资金台帐!B1305&gt;=客户对账单!$G$4,资金台帐!B1305&lt;=客户对账单!$I$4),资金台帐!B1305+ROW()/100000,"")</f>
      </c>
      <c r="H4302">
        <f>IF(AND(资金台帐!K2805&lt;&gt;"",资金台帐!K2805=供应商对账单!$B$4,资金台帐!P2805="应付",ISNUMBER(资金台帐!B2805),资金台帐!B2805&gt;=供应商对账单!$G$4,资金台帐!B2805&lt;=供应商对账单!$I$4),资金台帐!B2805+ROW()/100000,"")</f>
      </c>
    </row>
    <row r="4303">
      <c r="F4303">
        <f>IF(AND(资金台帐!J1306&lt;&gt;"",资金台帐!J1306=客户对账单!$B$4,资金台帐!P1306="应收",ISNUMBER(资金台帐!B1306),资金台帐!B1306&gt;=客户对账单!$G$4,资金台帐!B1306&lt;=客户对账单!$I$4),资金台帐!B1306+ROW()/100000,"")</f>
      </c>
      <c r="H4303">
        <f>IF(AND(资金台帐!K2806&lt;&gt;"",资金台帐!K2806=供应商对账单!$B$4,资金台帐!P2806="应付",ISNUMBER(资金台帐!B2806),资金台帐!B2806&gt;=供应商对账单!$G$4,资金台帐!B2806&lt;=供应商对账单!$I$4),资金台帐!B2806+ROW()/100000,"")</f>
      </c>
    </row>
    <row r="4304">
      <c r="F4304">
        <f>IF(AND(资金台帐!J1307&lt;&gt;"",资金台帐!J1307=客户对账单!$B$4,资金台帐!P1307="应收",ISNUMBER(资金台帐!B1307),资金台帐!B1307&gt;=客户对账单!$G$4,资金台帐!B1307&lt;=客户对账单!$I$4),资金台帐!B1307+ROW()/100000,"")</f>
      </c>
      <c r="H4304">
        <f>IF(AND(资金台帐!K2807&lt;&gt;"",资金台帐!K2807=供应商对账单!$B$4,资金台帐!P2807="应付",ISNUMBER(资金台帐!B2807),资金台帐!B2807&gt;=供应商对账单!$G$4,资金台帐!B2807&lt;=供应商对账单!$I$4),资金台帐!B2807+ROW()/100000,"")</f>
      </c>
    </row>
    <row r="4305">
      <c r="F4305">
        <f>IF(AND(资金台帐!J1308&lt;&gt;"",资金台帐!J1308=客户对账单!$B$4,资金台帐!P1308="应收",ISNUMBER(资金台帐!B1308),资金台帐!B1308&gt;=客户对账单!$G$4,资金台帐!B1308&lt;=客户对账单!$I$4),资金台帐!B1308+ROW()/100000,"")</f>
      </c>
      <c r="H4305">
        <f>IF(AND(资金台帐!K2808&lt;&gt;"",资金台帐!K2808=供应商对账单!$B$4,资金台帐!P2808="应付",ISNUMBER(资金台帐!B2808),资金台帐!B2808&gt;=供应商对账单!$G$4,资金台帐!B2808&lt;=供应商对账单!$I$4),资金台帐!B2808+ROW()/100000,"")</f>
      </c>
    </row>
    <row r="4306">
      <c r="F4306">
        <f>IF(AND(资金台帐!J1309&lt;&gt;"",资金台帐!J1309=客户对账单!$B$4,资金台帐!P1309="应收",ISNUMBER(资金台帐!B1309),资金台帐!B1309&gt;=客户对账单!$G$4,资金台帐!B1309&lt;=客户对账单!$I$4),资金台帐!B1309+ROW()/100000,"")</f>
      </c>
      <c r="H4306">
        <f>IF(AND(资金台帐!K2809&lt;&gt;"",资金台帐!K2809=供应商对账单!$B$4,资金台帐!P2809="应付",ISNUMBER(资金台帐!B2809),资金台帐!B2809&gt;=供应商对账单!$G$4,资金台帐!B2809&lt;=供应商对账单!$I$4),资金台帐!B2809+ROW()/100000,"")</f>
      </c>
    </row>
    <row r="4307">
      <c r="F4307">
        <f>IF(AND(资金台帐!J1310&lt;&gt;"",资金台帐!J1310=客户对账单!$B$4,资金台帐!P1310="应收",ISNUMBER(资金台帐!B1310),资金台帐!B1310&gt;=客户对账单!$G$4,资金台帐!B1310&lt;=客户对账单!$I$4),资金台帐!B1310+ROW()/100000,"")</f>
      </c>
      <c r="H4307">
        <f>IF(AND(资金台帐!K2810&lt;&gt;"",资金台帐!K2810=供应商对账单!$B$4,资金台帐!P2810="应付",ISNUMBER(资金台帐!B2810),资金台帐!B2810&gt;=供应商对账单!$G$4,资金台帐!B2810&lt;=供应商对账单!$I$4),资金台帐!B2810+ROW()/100000,"")</f>
      </c>
    </row>
    <row r="4308">
      <c r="F4308">
        <f>IF(AND(资金台帐!J1311&lt;&gt;"",资金台帐!J1311=客户对账单!$B$4,资金台帐!P1311="应收",ISNUMBER(资金台帐!B1311),资金台帐!B1311&gt;=客户对账单!$G$4,资金台帐!B1311&lt;=客户对账单!$I$4),资金台帐!B1311+ROW()/100000,"")</f>
      </c>
      <c r="H4308">
        <f>IF(AND(资金台帐!K2811&lt;&gt;"",资金台帐!K2811=供应商对账单!$B$4,资金台帐!P2811="应付",ISNUMBER(资金台帐!B2811),资金台帐!B2811&gt;=供应商对账单!$G$4,资金台帐!B2811&lt;=供应商对账单!$I$4),资金台帐!B2811+ROW()/100000,"")</f>
      </c>
    </row>
    <row r="4309">
      <c r="F4309">
        <f>IF(AND(资金台帐!J1312&lt;&gt;"",资金台帐!J1312=客户对账单!$B$4,资金台帐!P1312="应收",ISNUMBER(资金台帐!B1312),资金台帐!B1312&gt;=客户对账单!$G$4,资金台帐!B1312&lt;=客户对账单!$I$4),资金台帐!B1312+ROW()/100000,"")</f>
      </c>
      <c r="H4309">
        <f>IF(AND(资金台帐!K2812&lt;&gt;"",资金台帐!K2812=供应商对账单!$B$4,资金台帐!P2812="应付",ISNUMBER(资金台帐!B2812),资金台帐!B2812&gt;=供应商对账单!$G$4,资金台帐!B2812&lt;=供应商对账单!$I$4),资金台帐!B2812+ROW()/100000,"")</f>
      </c>
    </row>
    <row r="4310">
      <c r="F4310">
        <f>IF(AND(资金台帐!J1313&lt;&gt;"",资金台帐!J1313=客户对账单!$B$4,资金台帐!P1313="应收",ISNUMBER(资金台帐!B1313),资金台帐!B1313&gt;=客户对账单!$G$4,资金台帐!B1313&lt;=客户对账单!$I$4),资金台帐!B1313+ROW()/100000,"")</f>
      </c>
      <c r="H4310">
        <f>IF(AND(资金台帐!K2813&lt;&gt;"",资金台帐!K2813=供应商对账单!$B$4,资金台帐!P2813="应付",ISNUMBER(资金台帐!B2813),资金台帐!B2813&gt;=供应商对账单!$G$4,资金台帐!B2813&lt;=供应商对账单!$I$4),资金台帐!B2813+ROW()/100000,"")</f>
      </c>
    </row>
    <row r="4311">
      <c r="F4311">
        <f>IF(AND(资金台帐!J1314&lt;&gt;"",资金台帐!J1314=客户对账单!$B$4,资金台帐!P1314="应收",ISNUMBER(资金台帐!B1314),资金台帐!B1314&gt;=客户对账单!$G$4,资金台帐!B1314&lt;=客户对账单!$I$4),资金台帐!B1314+ROW()/100000,"")</f>
      </c>
      <c r="H4311">
        <f>IF(AND(资金台帐!K2814&lt;&gt;"",资金台帐!K2814=供应商对账单!$B$4,资金台帐!P2814="应付",ISNUMBER(资金台帐!B2814),资金台帐!B2814&gt;=供应商对账单!$G$4,资金台帐!B2814&lt;=供应商对账单!$I$4),资金台帐!B2814+ROW()/100000,"")</f>
      </c>
    </row>
    <row r="4312">
      <c r="F4312">
        <f>IF(AND(资金台帐!J1315&lt;&gt;"",资金台帐!J1315=客户对账单!$B$4,资金台帐!P1315="应收",ISNUMBER(资金台帐!B1315),资金台帐!B1315&gt;=客户对账单!$G$4,资金台帐!B1315&lt;=客户对账单!$I$4),资金台帐!B1315+ROW()/100000,"")</f>
      </c>
      <c r="H4312">
        <f>IF(AND(资金台帐!K2815&lt;&gt;"",资金台帐!K2815=供应商对账单!$B$4,资金台帐!P2815="应付",ISNUMBER(资金台帐!B2815),资金台帐!B2815&gt;=供应商对账单!$G$4,资金台帐!B2815&lt;=供应商对账单!$I$4),资金台帐!B2815+ROW()/100000,"")</f>
      </c>
    </row>
    <row r="4313">
      <c r="F4313">
        <f>IF(AND(资金台帐!J1316&lt;&gt;"",资金台帐!J1316=客户对账单!$B$4,资金台帐!P1316="应收",ISNUMBER(资金台帐!B1316),资金台帐!B1316&gt;=客户对账单!$G$4,资金台帐!B1316&lt;=客户对账单!$I$4),资金台帐!B1316+ROW()/100000,"")</f>
      </c>
      <c r="H4313">
        <f>IF(AND(资金台帐!K2816&lt;&gt;"",资金台帐!K2816=供应商对账单!$B$4,资金台帐!P2816="应付",ISNUMBER(资金台帐!B2816),资金台帐!B2816&gt;=供应商对账单!$G$4,资金台帐!B2816&lt;=供应商对账单!$I$4),资金台帐!B2816+ROW()/100000,"")</f>
      </c>
    </row>
    <row r="4314">
      <c r="F4314">
        <f>IF(AND(资金台帐!J1317&lt;&gt;"",资金台帐!J1317=客户对账单!$B$4,资金台帐!P1317="应收",ISNUMBER(资金台帐!B1317),资金台帐!B1317&gt;=客户对账单!$G$4,资金台帐!B1317&lt;=客户对账单!$I$4),资金台帐!B1317+ROW()/100000,"")</f>
      </c>
      <c r="H4314">
        <f>IF(AND(资金台帐!K2817&lt;&gt;"",资金台帐!K2817=供应商对账单!$B$4,资金台帐!P2817="应付",ISNUMBER(资金台帐!B2817),资金台帐!B2817&gt;=供应商对账单!$G$4,资金台帐!B2817&lt;=供应商对账单!$I$4),资金台帐!B2817+ROW()/100000,"")</f>
      </c>
    </row>
    <row r="4315">
      <c r="F4315">
        <f>IF(AND(资金台帐!J1318&lt;&gt;"",资金台帐!J1318=客户对账单!$B$4,资金台帐!P1318="应收",ISNUMBER(资金台帐!B1318),资金台帐!B1318&gt;=客户对账单!$G$4,资金台帐!B1318&lt;=客户对账单!$I$4),资金台帐!B1318+ROW()/100000,"")</f>
      </c>
      <c r="H4315">
        <f>IF(AND(资金台帐!K2818&lt;&gt;"",资金台帐!K2818=供应商对账单!$B$4,资金台帐!P2818="应付",ISNUMBER(资金台帐!B2818),资金台帐!B2818&gt;=供应商对账单!$G$4,资金台帐!B2818&lt;=供应商对账单!$I$4),资金台帐!B2818+ROW()/100000,"")</f>
      </c>
    </row>
    <row r="4316">
      <c r="F4316">
        <f>IF(AND(资金台帐!J1319&lt;&gt;"",资金台帐!J1319=客户对账单!$B$4,资金台帐!P1319="应收",ISNUMBER(资金台帐!B1319),资金台帐!B1319&gt;=客户对账单!$G$4,资金台帐!B1319&lt;=客户对账单!$I$4),资金台帐!B1319+ROW()/100000,"")</f>
      </c>
      <c r="H4316">
        <f>IF(AND(资金台帐!K2819&lt;&gt;"",资金台帐!K2819=供应商对账单!$B$4,资金台帐!P2819="应付",ISNUMBER(资金台帐!B2819),资金台帐!B2819&gt;=供应商对账单!$G$4,资金台帐!B2819&lt;=供应商对账单!$I$4),资金台帐!B2819+ROW()/100000,"")</f>
      </c>
    </row>
    <row r="4317">
      <c r="F4317">
        <f>IF(AND(资金台帐!J1320&lt;&gt;"",资金台帐!J1320=客户对账单!$B$4,资金台帐!P1320="应收",ISNUMBER(资金台帐!B1320),资金台帐!B1320&gt;=客户对账单!$G$4,资金台帐!B1320&lt;=客户对账单!$I$4),资金台帐!B1320+ROW()/100000,"")</f>
      </c>
      <c r="H4317">
        <f>IF(AND(资金台帐!K2820&lt;&gt;"",资金台帐!K2820=供应商对账单!$B$4,资金台帐!P2820="应付",ISNUMBER(资金台帐!B2820),资金台帐!B2820&gt;=供应商对账单!$G$4,资金台帐!B2820&lt;=供应商对账单!$I$4),资金台帐!B2820+ROW()/100000,"")</f>
      </c>
    </row>
    <row r="4318">
      <c r="F4318">
        <f>IF(AND(资金台帐!J1321&lt;&gt;"",资金台帐!J1321=客户对账单!$B$4,资金台帐!P1321="应收",ISNUMBER(资金台帐!B1321),资金台帐!B1321&gt;=客户对账单!$G$4,资金台帐!B1321&lt;=客户对账单!$I$4),资金台帐!B1321+ROW()/100000,"")</f>
      </c>
      <c r="H4318">
        <f>IF(AND(资金台帐!K2821&lt;&gt;"",资金台帐!K2821=供应商对账单!$B$4,资金台帐!P2821="应付",ISNUMBER(资金台帐!B2821),资金台帐!B2821&gt;=供应商对账单!$G$4,资金台帐!B2821&lt;=供应商对账单!$I$4),资金台帐!B2821+ROW()/100000,"")</f>
      </c>
    </row>
    <row r="4319">
      <c r="F4319">
        <f>IF(AND(资金台帐!J1322&lt;&gt;"",资金台帐!J1322=客户对账单!$B$4,资金台帐!P1322="应收",ISNUMBER(资金台帐!B1322),资金台帐!B1322&gt;=客户对账单!$G$4,资金台帐!B1322&lt;=客户对账单!$I$4),资金台帐!B1322+ROW()/100000,"")</f>
      </c>
      <c r="H4319">
        <f>IF(AND(资金台帐!K2822&lt;&gt;"",资金台帐!K2822=供应商对账单!$B$4,资金台帐!P2822="应付",ISNUMBER(资金台帐!B2822),资金台帐!B2822&gt;=供应商对账单!$G$4,资金台帐!B2822&lt;=供应商对账单!$I$4),资金台帐!B2822+ROW()/100000,"")</f>
      </c>
    </row>
    <row r="4320">
      <c r="F4320">
        <f>IF(AND(资金台帐!J1323&lt;&gt;"",资金台帐!J1323=客户对账单!$B$4,资金台帐!P1323="应收",ISNUMBER(资金台帐!B1323),资金台帐!B1323&gt;=客户对账单!$G$4,资金台帐!B1323&lt;=客户对账单!$I$4),资金台帐!B1323+ROW()/100000,"")</f>
      </c>
      <c r="H4320">
        <f>IF(AND(资金台帐!K2823&lt;&gt;"",资金台帐!K2823=供应商对账单!$B$4,资金台帐!P2823="应付",ISNUMBER(资金台帐!B2823),资金台帐!B2823&gt;=供应商对账单!$G$4,资金台帐!B2823&lt;=供应商对账单!$I$4),资金台帐!B2823+ROW()/100000,"")</f>
      </c>
    </row>
    <row r="4321">
      <c r="F4321">
        <f>IF(AND(资金台帐!J1324&lt;&gt;"",资金台帐!J1324=客户对账单!$B$4,资金台帐!P1324="应收",ISNUMBER(资金台帐!B1324),资金台帐!B1324&gt;=客户对账单!$G$4,资金台帐!B1324&lt;=客户对账单!$I$4),资金台帐!B1324+ROW()/100000,"")</f>
      </c>
      <c r="H4321">
        <f>IF(AND(资金台帐!K2824&lt;&gt;"",资金台帐!K2824=供应商对账单!$B$4,资金台帐!P2824="应付",ISNUMBER(资金台帐!B2824),资金台帐!B2824&gt;=供应商对账单!$G$4,资金台帐!B2824&lt;=供应商对账单!$I$4),资金台帐!B2824+ROW()/100000,"")</f>
      </c>
    </row>
    <row r="4322">
      <c r="F4322">
        <f>IF(AND(资金台帐!J1325&lt;&gt;"",资金台帐!J1325=客户对账单!$B$4,资金台帐!P1325="应收",ISNUMBER(资金台帐!B1325),资金台帐!B1325&gt;=客户对账单!$G$4,资金台帐!B1325&lt;=客户对账单!$I$4),资金台帐!B1325+ROW()/100000,"")</f>
      </c>
      <c r="H4322">
        <f>IF(AND(资金台帐!K2825&lt;&gt;"",资金台帐!K2825=供应商对账单!$B$4,资金台帐!P2825="应付",ISNUMBER(资金台帐!B2825),资金台帐!B2825&gt;=供应商对账单!$G$4,资金台帐!B2825&lt;=供应商对账单!$I$4),资金台帐!B2825+ROW()/100000,"")</f>
      </c>
    </row>
    <row r="4323">
      <c r="F4323">
        <f>IF(AND(资金台帐!J1326&lt;&gt;"",资金台帐!J1326=客户对账单!$B$4,资金台帐!P1326="应收",ISNUMBER(资金台帐!B1326),资金台帐!B1326&gt;=客户对账单!$G$4,资金台帐!B1326&lt;=客户对账单!$I$4),资金台帐!B1326+ROW()/100000,"")</f>
      </c>
      <c r="H4323">
        <f>IF(AND(资金台帐!K2826&lt;&gt;"",资金台帐!K2826=供应商对账单!$B$4,资金台帐!P2826="应付",ISNUMBER(资金台帐!B2826),资金台帐!B2826&gt;=供应商对账单!$G$4,资金台帐!B2826&lt;=供应商对账单!$I$4),资金台帐!B2826+ROW()/100000,"")</f>
      </c>
    </row>
    <row r="4324">
      <c r="F4324">
        <f>IF(AND(资金台帐!J1327&lt;&gt;"",资金台帐!J1327=客户对账单!$B$4,资金台帐!P1327="应收",ISNUMBER(资金台帐!B1327),资金台帐!B1327&gt;=客户对账单!$G$4,资金台帐!B1327&lt;=客户对账单!$I$4),资金台帐!B1327+ROW()/100000,"")</f>
      </c>
      <c r="H4324">
        <f>IF(AND(资金台帐!K2827&lt;&gt;"",资金台帐!K2827=供应商对账单!$B$4,资金台帐!P2827="应付",ISNUMBER(资金台帐!B2827),资金台帐!B2827&gt;=供应商对账单!$G$4,资金台帐!B2827&lt;=供应商对账单!$I$4),资金台帐!B2827+ROW()/100000,"")</f>
      </c>
    </row>
    <row r="4325">
      <c r="F4325">
        <f>IF(AND(资金台帐!J1328&lt;&gt;"",资金台帐!J1328=客户对账单!$B$4,资金台帐!P1328="应收",ISNUMBER(资金台帐!B1328),资金台帐!B1328&gt;=客户对账单!$G$4,资金台帐!B1328&lt;=客户对账单!$I$4),资金台帐!B1328+ROW()/100000,"")</f>
      </c>
      <c r="H4325">
        <f>IF(AND(资金台帐!K2828&lt;&gt;"",资金台帐!K2828=供应商对账单!$B$4,资金台帐!P2828="应付",ISNUMBER(资金台帐!B2828),资金台帐!B2828&gt;=供应商对账单!$G$4,资金台帐!B2828&lt;=供应商对账单!$I$4),资金台帐!B2828+ROW()/100000,"")</f>
      </c>
    </row>
    <row r="4326">
      <c r="F4326">
        <f>IF(AND(资金台帐!J1329&lt;&gt;"",资金台帐!J1329=客户对账单!$B$4,资金台帐!P1329="应收",ISNUMBER(资金台帐!B1329),资金台帐!B1329&gt;=客户对账单!$G$4,资金台帐!B1329&lt;=客户对账单!$I$4),资金台帐!B1329+ROW()/100000,"")</f>
      </c>
      <c r="H4326">
        <f>IF(AND(资金台帐!K2829&lt;&gt;"",资金台帐!K2829=供应商对账单!$B$4,资金台帐!P2829="应付",ISNUMBER(资金台帐!B2829),资金台帐!B2829&gt;=供应商对账单!$G$4,资金台帐!B2829&lt;=供应商对账单!$I$4),资金台帐!B2829+ROW()/100000,"")</f>
      </c>
    </row>
    <row r="4327">
      <c r="F4327">
        <f>IF(AND(资金台帐!J1330&lt;&gt;"",资金台帐!J1330=客户对账单!$B$4,资金台帐!P1330="应收",ISNUMBER(资金台帐!B1330),资金台帐!B1330&gt;=客户对账单!$G$4,资金台帐!B1330&lt;=客户对账单!$I$4),资金台帐!B1330+ROW()/100000,"")</f>
      </c>
      <c r="H4327">
        <f>IF(AND(资金台帐!K2830&lt;&gt;"",资金台帐!K2830=供应商对账单!$B$4,资金台帐!P2830="应付",ISNUMBER(资金台帐!B2830),资金台帐!B2830&gt;=供应商对账单!$G$4,资金台帐!B2830&lt;=供应商对账单!$I$4),资金台帐!B2830+ROW()/100000,"")</f>
      </c>
    </row>
    <row r="4328">
      <c r="F4328">
        <f>IF(AND(资金台帐!J1331&lt;&gt;"",资金台帐!J1331=客户对账单!$B$4,资金台帐!P1331="应收",ISNUMBER(资金台帐!B1331),资金台帐!B1331&gt;=客户对账单!$G$4,资金台帐!B1331&lt;=客户对账单!$I$4),资金台帐!B1331+ROW()/100000,"")</f>
      </c>
      <c r="H4328">
        <f>IF(AND(资金台帐!K2831&lt;&gt;"",资金台帐!K2831=供应商对账单!$B$4,资金台帐!P2831="应付",ISNUMBER(资金台帐!B2831),资金台帐!B2831&gt;=供应商对账单!$G$4,资金台帐!B2831&lt;=供应商对账单!$I$4),资金台帐!B2831+ROW()/100000,"")</f>
      </c>
    </row>
    <row r="4329">
      <c r="F4329">
        <f>IF(AND(资金台帐!J1332&lt;&gt;"",资金台帐!J1332=客户对账单!$B$4,资金台帐!P1332="应收",ISNUMBER(资金台帐!B1332),资金台帐!B1332&gt;=客户对账单!$G$4,资金台帐!B1332&lt;=客户对账单!$I$4),资金台帐!B1332+ROW()/100000,"")</f>
      </c>
      <c r="H4329">
        <f>IF(AND(资金台帐!K2832&lt;&gt;"",资金台帐!K2832=供应商对账单!$B$4,资金台帐!P2832="应付",ISNUMBER(资金台帐!B2832),资金台帐!B2832&gt;=供应商对账单!$G$4,资金台帐!B2832&lt;=供应商对账单!$I$4),资金台帐!B2832+ROW()/100000,"")</f>
      </c>
    </row>
    <row r="4330">
      <c r="F4330">
        <f>IF(AND(资金台帐!J1333&lt;&gt;"",资金台帐!J1333=客户对账单!$B$4,资金台帐!P1333="应收",ISNUMBER(资金台帐!B1333),资金台帐!B1333&gt;=客户对账单!$G$4,资金台帐!B1333&lt;=客户对账单!$I$4),资金台帐!B1333+ROW()/100000,"")</f>
      </c>
      <c r="H4330">
        <f>IF(AND(资金台帐!K2833&lt;&gt;"",资金台帐!K2833=供应商对账单!$B$4,资金台帐!P2833="应付",ISNUMBER(资金台帐!B2833),资金台帐!B2833&gt;=供应商对账单!$G$4,资金台帐!B2833&lt;=供应商对账单!$I$4),资金台帐!B2833+ROW()/100000,"")</f>
      </c>
    </row>
    <row r="4331">
      <c r="F4331">
        <f>IF(AND(资金台帐!J1334&lt;&gt;"",资金台帐!J1334=客户对账单!$B$4,资金台帐!P1334="应收",ISNUMBER(资金台帐!B1334),资金台帐!B1334&gt;=客户对账单!$G$4,资金台帐!B1334&lt;=客户对账单!$I$4),资金台帐!B1334+ROW()/100000,"")</f>
      </c>
      <c r="H4331">
        <f>IF(AND(资金台帐!K2834&lt;&gt;"",资金台帐!K2834=供应商对账单!$B$4,资金台帐!P2834="应付",ISNUMBER(资金台帐!B2834),资金台帐!B2834&gt;=供应商对账单!$G$4,资金台帐!B2834&lt;=供应商对账单!$I$4),资金台帐!B2834+ROW()/100000,"")</f>
      </c>
    </row>
    <row r="4332">
      <c r="F4332">
        <f>IF(AND(资金台帐!J1335&lt;&gt;"",资金台帐!J1335=客户对账单!$B$4,资金台帐!P1335="应收",ISNUMBER(资金台帐!B1335),资金台帐!B1335&gt;=客户对账单!$G$4,资金台帐!B1335&lt;=客户对账单!$I$4),资金台帐!B1335+ROW()/100000,"")</f>
      </c>
      <c r="H4332">
        <f>IF(AND(资金台帐!K2835&lt;&gt;"",资金台帐!K2835=供应商对账单!$B$4,资金台帐!P2835="应付",ISNUMBER(资金台帐!B2835),资金台帐!B2835&gt;=供应商对账单!$G$4,资金台帐!B2835&lt;=供应商对账单!$I$4),资金台帐!B2835+ROW()/100000,"")</f>
      </c>
    </row>
    <row r="4333">
      <c r="F4333">
        <f>IF(AND(资金台帐!J1336&lt;&gt;"",资金台帐!J1336=客户对账单!$B$4,资金台帐!P1336="应收",ISNUMBER(资金台帐!B1336),资金台帐!B1336&gt;=客户对账单!$G$4,资金台帐!B1336&lt;=客户对账单!$I$4),资金台帐!B1336+ROW()/100000,"")</f>
      </c>
      <c r="H4333">
        <f>IF(AND(资金台帐!K2836&lt;&gt;"",资金台帐!K2836=供应商对账单!$B$4,资金台帐!P2836="应付",ISNUMBER(资金台帐!B2836),资金台帐!B2836&gt;=供应商对账单!$G$4,资金台帐!B2836&lt;=供应商对账单!$I$4),资金台帐!B2836+ROW()/100000,"")</f>
      </c>
    </row>
    <row r="4334">
      <c r="F4334">
        <f>IF(AND(资金台帐!J1337&lt;&gt;"",资金台帐!J1337=客户对账单!$B$4,资金台帐!P1337="应收",ISNUMBER(资金台帐!B1337),资金台帐!B1337&gt;=客户对账单!$G$4,资金台帐!B1337&lt;=客户对账单!$I$4),资金台帐!B1337+ROW()/100000,"")</f>
      </c>
      <c r="H4334">
        <f>IF(AND(资金台帐!K2837&lt;&gt;"",资金台帐!K2837=供应商对账单!$B$4,资金台帐!P2837="应付",ISNUMBER(资金台帐!B2837),资金台帐!B2837&gt;=供应商对账单!$G$4,资金台帐!B2837&lt;=供应商对账单!$I$4),资金台帐!B2837+ROW()/100000,"")</f>
      </c>
    </row>
    <row r="4335">
      <c r="F4335">
        <f>IF(AND(资金台帐!J1338&lt;&gt;"",资金台帐!J1338=客户对账单!$B$4,资金台帐!P1338="应收",ISNUMBER(资金台帐!B1338),资金台帐!B1338&gt;=客户对账单!$G$4,资金台帐!B1338&lt;=客户对账单!$I$4),资金台帐!B1338+ROW()/100000,"")</f>
      </c>
      <c r="H4335">
        <f>IF(AND(资金台帐!K2838&lt;&gt;"",资金台帐!K2838=供应商对账单!$B$4,资金台帐!P2838="应付",ISNUMBER(资金台帐!B2838),资金台帐!B2838&gt;=供应商对账单!$G$4,资金台帐!B2838&lt;=供应商对账单!$I$4),资金台帐!B2838+ROW()/100000,"")</f>
      </c>
    </row>
    <row r="4336">
      <c r="F4336">
        <f>IF(AND(资金台帐!J1339&lt;&gt;"",资金台帐!J1339=客户对账单!$B$4,资金台帐!P1339="应收",ISNUMBER(资金台帐!B1339),资金台帐!B1339&gt;=客户对账单!$G$4,资金台帐!B1339&lt;=客户对账单!$I$4),资金台帐!B1339+ROW()/100000,"")</f>
      </c>
      <c r="H4336">
        <f>IF(AND(资金台帐!K2839&lt;&gt;"",资金台帐!K2839=供应商对账单!$B$4,资金台帐!P2839="应付",ISNUMBER(资金台帐!B2839),资金台帐!B2839&gt;=供应商对账单!$G$4,资金台帐!B2839&lt;=供应商对账单!$I$4),资金台帐!B2839+ROW()/100000,"")</f>
      </c>
    </row>
    <row r="4337">
      <c r="F4337">
        <f>IF(AND(资金台帐!J1340&lt;&gt;"",资金台帐!J1340=客户对账单!$B$4,资金台帐!P1340="应收",ISNUMBER(资金台帐!B1340),资金台帐!B1340&gt;=客户对账单!$G$4,资金台帐!B1340&lt;=客户对账单!$I$4),资金台帐!B1340+ROW()/100000,"")</f>
      </c>
      <c r="H4337">
        <f>IF(AND(资金台帐!K2840&lt;&gt;"",资金台帐!K2840=供应商对账单!$B$4,资金台帐!P2840="应付",ISNUMBER(资金台帐!B2840),资金台帐!B2840&gt;=供应商对账单!$G$4,资金台帐!B2840&lt;=供应商对账单!$I$4),资金台帐!B2840+ROW()/100000,"")</f>
      </c>
    </row>
    <row r="4338">
      <c r="F4338">
        <f>IF(AND(资金台帐!J1341&lt;&gt;"",资金台帐!J1341=客户对账单!$B$4,资金台帐!P1341="应收",ISNUMBER(资金台帐!B1341),资金台帐!B1341&gt;=客户对账单!$G$4,资金台帐!B1341&lt;=客户对账单!$I$4),资金台帐!B1341+ROW()/100000,"")</f>
      </c>
      <c r="H4338">
        <f>IF(AND(资金台帐!K2841&lt;&gt;"",资金台帐!K2841=供应商对账单!$B$4,资金台帐!P2841="应付",ISNUMBER(资金台帐!B2841),资金台帐!B2841&gt;=供应商对账单!$G$4,资金台帐!B2841&lt;=供应商对账单!$I$4),资金台帐!B2841+ROW()/100000,"")</f>
      </c>
    </row>
    <row r="4339">
      <c r="F4339">
        <f>IF(AND(资金台帐!J1342&lt;&gt;"",资金台帐!J1342=客户对账单!$B$4,资金台帐!P1342="应收",ISNUMBER(资金台帐!B1342),资金台帐!B1342&gt;=客户对账单!$G$4,资金台帐!B1342&lt;=客户对账单!$I$4),资金台帐!B1342+ROW()/100000,"")</f>
      </c>
      <c r="H4339">
        <f>IF(AND(资金台帐!K2842&lt;&gt;"",资金台帐!K2842=供应商对账单!$B$4,资金台帐!P2842="应付",ISNUMBER(资金台帐!B2842),资金台帐!B2842&gt;=供应商对账单!$G$4,资金台帐!B2842&lt;=供应商对账单!$I$4),资金台帐!B2842+ROW()/100000,"")</f>
      </c>
    </row>
    <row r="4340">
      <c r="F4340">
        <f>IF(AND(资金台帐!J1343&lt;&gt;"",资金台帐!J1343=客户对账单!$B$4,资金台帐!P1343="应收",ISNUMBER(资金台帐!B1343),资金台帐!B1343&gt;=客户对账单!$G$4,资金台帐!B1343&lt;=客户对账单!$I$4),资金台帐!B1343+ROW()/100000,"")</f>
      </c>
      <c r="H4340">
        <f>IF(AND(资金台帐!K2843&lt;&gt;"",资金台帐!K2843=供应商对账单!$B$4,资金台帐!P2843="应付",ISNUMBER(资金台帐!B2843),资金台帐!B2843&gt;=供应商对账单!$G$4,资金台帐!B2843&lt;=供应商对账单!$I$4),资金台帐!B2843+ROW()/100000,"")</f>
      </c>
    </row>
    <row r="4341">
      <c r="F4341">
        <f>IF(AND(资金台帐!J1344&lt;&gt;"",资金台帐!J1344=客户对账单!$B$4,资金台帐!P1344="应收",ISNUMBER(资金台帐!B1344),资金台帐!B1344&gt;=客户对账单!$G$4,资金台帐!B1344&lt;=客户对账单!$I$4),资金台帐!B1344+ROW()/100000,"")</f>
      </c>
      <c r="H4341">
        <f>IF(AND(资金台帐!K2844&lt;&gt;"",资金台帐!K2844=供应商对账单!$B$4,资金台帐!P2844="应付",ISNUMBER(资金台帐!B2844),资金台帐!B2844&gt;=供应商对账单!$G$4,资金台帐!B2844&lt;=供应商对账单!$I$4),资金台帐!B2844+ROW()/100000,"")</f>
      </c>
    </row>
    <row r="4342">
      <c r="F4342">
        <f>IF(AND(资金台帐!J1345&lt;&gt;"",资金台帐!J1345=客户对账单!$B$4,资金台帐!P1345="应收",ISNUMBER(资金台帐!B1345),资金台帐!B1345&gt;=客户对账单!$G$4,资金台帐!B1345&lt;=客户对账单!$I$4),资金台帐!B1345+ROW()/100000,"")</f>
      </c>
      <c r="H4342">
        <f>IF(AND(资金台帐!K2845&lt;&gt;"",资金台帐!K2845=供应商对账单!$B$4,资金台帐!P2845="应付",ISNUMBER(资金台帐!B2845),资金台帐!B2845&gt;=供应商对账单!$G$4,资金台帐!B2845&lt;=供应商对账单!$I$4),资金台帐!B2845+ROW()/100000,"")</f>
      </c>
    </row>
    <row r="4343">
      <c r="F4343">
        <f>IF(AND(资金台帐!J1346&lt;&gt;"",资金台帐!J1346=客户对账单!$B$4,资金台帐!P1346="应收",ISNUMBER(资金台帐!B1346),资金台帐!B1346&gt;=客户对账单!$G$4,资金台帐!B1346&lt;=客户对账单!$I$4),资金台帐!B1346+ROW()/100000,"")</f>
      </c>
      <c r="H4343">
        <f>IF(AND(资金台帐!K2846&lt;&gt;"",资金台帐!K2846=供应商对账单!$B$4,资金台帐!P2846="应付",ISNUMBER(资金台帐!B2846),资金台帐!B2846&gt;=供应商对账单!$G$4,资金台帐!B2846&lt;=供应商对账单!$I$4),资金台帐!B2846+ROW()/100000,"")</f>
      </c>
    </row>
    <row r="4344">
      <c r="F4344">
        <f>IF(AND(资金台帐!J1347&lt;&gt;"",资金台帐!J1347=客户对账单!$B$4,资金台帐!P1347="应收",ISNUMBER(资金台帐!B1347),资金台帐!B1347&gt;=客户对账单!$G$4,资金台帐!B1347&lt;=客户对账单!$I$4),资金台帐!B1347+ROW()/100000,"")</f>
      </c>
      <c r="H4344">
        <f>IF(AND(资金台帐!K2847&lt;&gt;"",资金台帐!K2847=供应商对账单!$B$4,资金台帐!P2847="应付",ISNUMBER(资金台帐!B2847),资金台帐!B2847&gt;=供应商对账单!$G$4,资金台帐!B2847&lt;=供应商对账单!$I$4),资金台帐!B2847+ROW()/100000,"")</f>
      </c>
    </row>
    <row r="4345">
      <c r="F4345">
        <f>IF(AND(资金台帐!J1348&lt;&gt;"",资金台帐!J1348=客户对账单!$B$4,资金台帐!P1348="应收",ISNUMBER(资金台帐!B1348),资金台帐!B1348&gt;=客户对账单!$G$4,资金台帐!B1348&lt;=客户对账单!$I$4),资金台帐!B1348+ROW()/100000,"")</f>
      </c>
      <c r="H4345">
        <f>IF(AND(资金台帐!K2848&lt;&gt;"",资金台帐!K2848=供应商对账单!$B$4,资金台帐!P2848="应付",ISNUMBER(资金台帐!B2848),资金台帐!B2848&gt;=供应商对账单!$G$4,资金台帐!B2848&lt;=供应商对账单!$I$4),资金台帐!B2848+ROW()/100000,"")</f>
      </c>
    </row>
    <row r="4346">
      <c r="F4346">
        <f>IF(AND(资金台帐!J1349&lt;&gt;"",资金台帐!J1349=客户对账单!$B$4,资金台帐!P1349="应收",ISNUMBER(资金台帐!B1349),资金台帐!B1349&gt;=客户对账单!$G$4,资金台帐!B1349&lt;=客户对账单!$I$4),资金台帐!B1349+ROW()/100000,"")</f>
      </c>
      <c r="H4346">
        <f>IF(AND(资金台帐!K2849&lt;&gt;"",资金台帐!K2849=供应商对账单!$B$4,资金台帐!P2849="应付",ISNUMBER(资金台帐!B2849),资金台帐!B2849&gt;=供应商对账单!$G$4,资金台帐!B2849&lt;=供应商对账单!$I$4),资金台帐!B2849+ROW()/100000,"")</f>
      </c>
    </row>
    <row r="4347">
      <c r="F4347">
        <f>IF(AND(资金台帐!J1350&lt;&gt;"",资金台帐!J1350=客户对账单!$B$4,资金台帐!P1350="应收",ISNUMBER(资金台帐!B1350),资金台帐!B1350&gt;=客户对账单!$G$4,资金台帐!B1350&lt;=客户对账单!$I$4),资金台帐!B1350+ROW()/100000,"")</f>
      </c>
      <c r="H4347">
        <f>IF(AND(资金台帐!K2850&lt;&gt;"",资金台帐!K2850=供应商对账单!$B$4,资金台帐!P2850="应付",ISNUMBER(资金台帐!B2850),资金台帐!B2850&gt;=供应商对账单!$G$4,资金台帐!B2850&lt;=供应商对账单!$I$4),资金台帐!B2850+ROW()/100000,"")</f>
      </c>
    </row>
    <row r="4348">
      <c r="F4348">
        <f>IF(AND(资金台帐!J1351&lt;&gt;"",资金台帐!J1351=客户对账单!$B$4,资金台帐!P1351="应收",ISNUMBER(资金台帐!B1351),资金台帐!B1351&gt;=客户对账单!$G$4,资金台帐!B1351&lt;=客户对账单!$I$4),资金台帐!B1351+ROW()/100000,"")</f>
      </c>
      <c r="H4348">
        <f>IF(AND(资金台帐!K2851&lt;&gt;"",资金台帐!K2851=供应商对账单!$B$4,资金台帐!P2851="应付",ISNUMBER(资金台帐!B2851),资金台帐!B2851&gt;=供应商对账单!$G$4,资金台帐!B2851&lt;=供应商对账单!$I$4),资金台帐!B2851+ROW()/100000,"")</f>
      </c>
    </row>
    <row r="4349">
      <c r="F4349">
        <f>IF(AND(资金台帐!J1352&lt;&gt;"",资金台帐!J1352=客户对账单!$B$4,资金台帐!P1352="应收",ISNUMBER(资金台帐!B1352),资金台帐!B1352&gt;=客户对账单!$G$4,资金台帐!B1352&lt;=客户对账单!$I$4),资金台帐!B1352+ROW()/100000,"")</f>
      </c>
      <c r="H4349">
        <f>IF(AND(资金台帐!K2852&lt;&gt;"",资金台帐!K2852=供应商对账单!$B$4,资金台帐!P2852="应付",ISNUMBER(资金台帐!B2852),资金台帐!B2852&gt;=供应商对账单!$G$4,资金台帐!B2852&lt;=供应商对账单!$I$4),资金台帐!B2852+ROW()/100000,"")</f>
      </c>
    </row>
    <row r="4350">
      <c r="F4350">
        <f>IF(AND(资金台帐!J1353&lt;&gt;"",资金台帐!J1353=客户对账单!$B$4,资金台帐!P1353="应收",ISNUMBER(资金台帐!B1353),资金台帐!B1353&gt;=客户对账单!$G$4,资金台帐!B1353&lt;=客户对账单!$I$4),资金台帐!B1353+ROW()/100000,"")</f>
      </c>
      <c r="H4350">
        <f>IF(AND(资金台帐!K2853&lt;&gt;"",资金台帐!K2853=供应商对账单!$B$4,资金台帐!P2853="应付",ISNUMBER(资金台帐!B2853),资金台帐!B2853&gt;=供应商对账单!$G$4,资金台帐!B2853&lt;=供应商对账单!$I$4),资金台帐!B2853+ROW()/100000,"")</f>
      </c>
    </row>
    <row r="4351">
      <c r="F4351">
        <f>IF(AND(资金台帐!J1354&lt;&gt;"",资金台帐!J1354=客户对账单!$B$4,资金台帐!P1354="应收",ISNUMBER(资金台帐!B1354),资金台帐!B1354&gt;=客户对账单!$G$4,资金台帐!B1354&lt;=客户对账单!$I$4),资金台帐!B1354+ROW()/100000,"")</f>
      </c>
      <c r="H4351">
        <f>IF(AND(资金台帐!K2854&lt;&gt;"",资金台帐!K2854=供应商对账单!$B$4,资金台帐!P2854="应付",ISNUMBER(资金台帐!B2854),资金台帐!B2854&gt;=供应商对账单!$G$4,资金台帐!B2854&lt;=供应商对账单!$I$4),资金台帐!B2854+ROW()/100000,"")</f>
      </c>
    </row>
    <row r="4352">
      <c r="F4352">
        <f>IF(AND(资金台帐!J1355&lt;&gt;"",资金台帐!J1355=客户对账单!$B$4,资金台帐!P1355="应收",ISNUMBER(资金台帐!B1355),资金台帐!B1355&gt;=客户对账单!$G$4,资金台帐!B1355&lt;=客户对账单!$I$4),资金台帐!B1355+ROW()/100000,"")</f>
      </c>
      <c r="H4352">
        <f>IF(AND(资金台帐!K2855&lt;&gt;"",资金台帐!K2855=供应商对账单!$B$4,资金台帐!P2855="应付",ISNUMBER(资金台帐!B2855),资金台帐!B2855&gt;=供应商对账单!$G$4,资金台帐!B2855&lt;=供应商对账单!$I$4),资金台帐!B2855+ROW()/100000,"")</f>
      </c>
    </row>
    <row r="4353">
      <c r="F4353">
        <f>IF(AND(资金台帐!J1356&lt;&gt;"",资金台帐!J1356=客户对账单!$B$4,资金台帐!P1356="应收",ISNUMBER(资金台帐!B1356),资金台帐!B1356&gt;=客户对账单!$G$4,资金台帐!B1356&lt;=客户对账单!$I$4),资金台帐!B1356+ROW()/100000,"")</f>
      </c>
      <c r="H4353">
        <f>IF(AND(资金台帐!K2856&lt;&gt;"",资金台帐!K2856=供应商对账单!$B$4,资金台帐!P2856="应付",ISNUMBER(资金台帐!B2856),资金台帐!B2856&gt;=供应商对账单!$G$4,资金台帐!B2856&lt;=供应商对账单!$I$4),资金台帐!B2856+ROW()/100000,"")</f>
      </c>
    </row>
    <row r="4354">
      <c r="F4354">
        <f>IF(AND(资金台帐!J1357&lt;&gt;"",资金台帐!J1357=客户对账单!$B$4,资金台帐!P1357="应收",ISNUMBER(资金台帐!B1357),资金台帐!B1357&gt;=客户对账单!$G$4,资金台帐!B1357&lt;=客户对账单!$I$4),资金台帐!B1357+ROW()/100000,"")</f>
      </c>
      <c r="H4354">
        <f>IF(AND(资金台帐!K2857&lt;&gt;"",资金台帐!K2857=供应商对账单!$B$4,资金台帐!P2857="应付",ISNUMBER(资金台帐!B2857),资金台帐!B2857&gt;=供应商对账单!$G$4,资金台帐!B2857&lt;=供应商对账单!$I$4),资金台帐!B2857+ROW()/100000,"")</f>
      </c>
    </row>
    <row r="4355">
      <c r="F4355">
        <f>IF(AND(资金台帐!J1358&lt;&gt;"",资金台帐!J1358=客户对账单!$B$4,资金台帐!P1358="应收",ISNUMBER(资金台帐!B1358),资金台帐!B1358&gt;=客户对账单!$G$4,资金台帐!B1358&lt;=客户对账单!$I$4),资金台帐!B1358+ROW()/100000,"")</f>
      </c>
      <c r="H4355">
        <f>IF(AND(资金台帐!K2858&lt;&gt;"",资金台帐!K2858=供应商对账单!$B$4,资金台帐!P2858="应付",ISNUMBER(资金台帐!B2858),资金台帐!B2858&gt;=供应商对账单!$G$4,资金台帐!B2858&lt;=供应商对账单!$I$4),资金台帐!B2858+ROW()/100000,"")</f>
      </c>
    </row>
    <row r="4356">
      <c r="F4356">
        <f>IF(AND(资金台帐!J1359&lt;&gt;"",资金台帐!J1359=客户对账单!$B$4,资金台帐!P1359="应收",ISNUMBER(资金台帐!B1359),资金台帐!B1359&gt;=客户对账单!$G$4,资金台帐!B1359&lt;=客户对账单!$I$4),资金台帐!B1359+ROW()/100000,"")</f>
      </c>
      <c r="H4356">
        <f>IF(AND(资金台帐!K2859&lt;&gt;"",资金台帐!K2859=供应商对账单!$B$4,资金台帐!P2859="应付",ISNUMBER(资金台帐!B2859),资金台帐!B2859&gt;=供应商对账单!$G$4,资金台帐!B2859&lt;=供应商对账单!$I$4),资金台帐!B2859+ROW()/100000,"")</f>
      </c>
    </row>
    <row r="4357">
      <c r="F4357">
        <f>IF(AND(资金台帐!J1360&lt;&gt;"",资金台帐!J1360=客户对账单!$B$4,资金台帐!P1360="应收",ISNUMBER(资金台帐!B1360),资金台帐!B1360&gt;=客户对账单!$G$4,资金台帐!B1360&lt;=客户对账单!$I$4),资金台帐!B1360+ROW()/100000,"")</f>
      </c>
      <c r="H4357">
        <f>IF(AND(资金台帐!K2860&lt;&gt;"",资金台帐!K2860=供应商对账单!$B$4,资金台帐!P2860="应付",ISNUMBER(资金台帐!B2860),资金台帐!B2860&gt;=供应商对账单!$G$4,资金台帐!B2860&lt;=供应商对账单!$I$4),资金台帐!B2860+ROW()/100000,"")</f>
      </c>
    </row>
    <row r="4358">
      <c r="F4358">
        <f>IF(AND(资金台帐!J1361&lt;&gt;"",资金台帐!J1361=客户对账单!$B$4,资金台帐!P1361="应收",ISNUMBER(资金台帐!B1361),资金台帐!B1361&gt;=客户对账单!$G$4,资金台帐!B1361&lt;=客户对账单!$I$4),资金台帐!B1361+ROW()/100000,"")</f>
      </c>
      <c r="H4358">
        <f>IF(AND(资金台帐!K2861&lt;&gt;"",资金台帐!K2861=供应商对账单!$B$4,资金台帐!P2861="应付",ISNUMBER(资金台帐!B2861),资金台帐!B2861&gt;=供应商对账单!$G$4,资金台帐!B2861&lt;=供应商对账单!$I$4),资金台帐!B2861+ROW()/100000,"")</f>
      </c>
    </row>
    <row r="4359">
      <c r="F4359">
        <f>IF(AND(资金台帐!J1362&lt;&gt;"",资金台帐!J1362=客户对账单!$B$4,资金台帐!P1362="应收",ISNUMBER(资金台帐!B1362),资金台帐!B1362&gt;=客户对账单!$G$4,资金台帐!B1362&lt;=客户对账单!$I$4),资金台帐!B1362+ROW()/100000,"")</f>
      </c>
      <c r="H4359">
        <f>IF(AND(资金台帐!K2862&lt;&gt;"",资金台帐!K2862=供应商对账单!$B$4,资金台帐!P2862="应付",ISNUMBER(资金台帐!B2862),资金台帐!B2862&gt;=供应商对账单!$G$4,资金台帐!B2862&lt;=供应商对账单!$I$4),资金台帐!B2862+ROW()/100000,"")</f>
      </c>
    </row>
    <row r="4360">
      <c r="F4360">
        <f>IF(AND(资金台帐!J1363&lt;&gt;"",资金台帐!J1363=客户对账单!$B$4,资金台帐!P1363="应收",ISNUMBER(资金台帐!B1363),资金台帐!B1363&gt;=客户对账单!$G$4,资金台帐!B1363&lt;=客户对账单!$I$4),资金台帐!B1363+ROW()/100000,"")</f>
      </c>
      <c r="H4360">
        <f>IF(AND(资金台帐!K2863&lt;&gt;"",资金台帐!K2863=供应商对账单!$B$4,资金台帐!P2863="应付",ISNUMBER(资金台帐!B2863),资金台帐!B2863&gt;=供应商对账单!$G$4,资金台帐!B2863&lt;=供应商对账单!$I$4),资金台帐!B2863+ROW()/100000,"")</f>
      </c>
    </row>
    <row r="4361">
      <c r="F4361">
        <f>IF(AND(资金台帐!J1364&lt;&gt;"",资金台帐!J1364=客户对账单!$B$4,资金台帐!P1364="应收",ISNUMBER(资金台帐!B1364),资金台帐!B1364&gt;=客户对账单!$G$4,资金台帐!B1364&lt;=客户对账单!$I$4),资金台帐!B1364+ROW()/100000,"")</f>
      </c>
      <c r="H4361">
        <f>IF(AND(资金台帐!K2864&lt;&gt;"",资金台帐!K2864=供应商对账单!$B$4,资金台帐!P2864="应付",ISNUMBER(资金台帐!B2864),资金台帐!B2864&gt;=供应商对账单!$G$4,资金台帐!B2864&lt;=供应商对账单!$I$4),资金台帐!B2864+ROW()/100000,"")</f>
      </c>
    </row>
    <row r="4362">
      <c r="F4362">
        <f>IF(AND(资金台帐!J1365&lt;&gt;"",资金台帐!J1365=客户对账单!$B$4,资金台帐!P1365="应收",ISNUMBER(资金台帐!B1365),资金台帐!B1365&gt;=客户对账单!$G$4,资金台帐!B1365&lt;=客户对账单!$I$4),资金台帐!B1365+ROW()/100000,"")</f>
      </c>
      <c r="H4362">
        <f>IF(AND(资金台帐!K2865&lt;&gt;"",资金台帐!K2865=供应商对账单!$B$4,资金台帐!P2865="应付",ISNUMBER(资金台帐!B2865),资金台帐!B2865&gt;=供应商对账单!$G$4,资金台帐!B2865&lt;=供应商对账单!$I$4),资金台帐!B2865+ROW()/100000,"")</f>
      </c>
    </row>
    <row r="4363">
      <c r="F4363">
        <f>IF(AND(资金台帐!J1366&lt;&gt;"",资金台帐!J1366=客户对账单!$B$4,资金台帐!P1366="应收",ISNUMBER(资金台帐!B1366),资金台帐!B1366&gt;=客户对账单!$G$4,资金台帐!B1366&lt;=客户对账单!$I$4),资金台帐!B1366+ROW()/100000,"")</f>
      </c>
      <c r="H4363">
        <f>IF(AND(资金台帐!K2866&lt;&gt;"",资金台帐!K2866=供应商对账单!$B$4,资金台帐!P2866="应付",ISNUMBER(资金台帐!B2866),资金台帐!B2866&gt;=供应商对账单!$G$4,资金台帐!B2866&lt;=供应商对账单!$I$4),资金台帐!B2866+ROW()/100000,"")</f>
      </c>
    </row>
    <row r="4364">
      <c r="F4364">
        <f>IF(AND(资金台帐!J1367&lt;&gt;"",资金台帐!J1367=客户对账单!$B$4,资金台帐!P1367="应收",ISNUMBER(资金台帐!B1367),资金台帐!B1367&gt;=客户对账单!$G$4,资金台帐!B1367&lt;=客户对账单!$I$4),资金台帐!B1367+ROW()/100000,"")</f>
      </c>
      <c r="H4364">
        <f>IF(AND(资金台帐!K2867&lt;&gt;"",资金台帐!K2867=供应商对账单!$B$4,资金台帐!P2867="应付",ISNUMBER(资金台帐!B2867),资金台帐!B2867&gt;=供应商对账单!$G$4,资金台帐!B2867&lt;=供应商对账单!$I$4),资金台帐!B2867+ROW()/100000,"")</f>
      </c>
    </row>
    <row r="4365">
      <c r="F4365">
        <f>IF(AND(资金台帐!J1368&lt;&gt;"",资金台帐!J1368=客户对账单!$B$4,资金台帐!P1368="应收",ISNUMBER(资金台帐!B1368),资金台帐!B1368&gt;=客户对账单!$G$4,资金台帐!B1368&lt;=客户对账单!$I$4),资金台帐!B1368+ROW()/100000,"")</f>
      </c>
      <c r="H4365">
        <f>IF(AND(资金台帐!K2868&lt;&gt;"",资金台帐!K2868=供应商对账单!$B$4,资金台帐!P2868="应付",ISNUMBER(资金台帐!B2868),资金台帐!B2868&gt;=供应商对账单!$G$4,资金台帐!B2868&lt;=供应商对账单!$I$4),资金台帐!B2868+ROW()/100000,"")</f>
      </c>
    </row>
    <row r="4366">
      <c r="F4366">
        <f>IF(AND(资金台帐!J1369&lt;&gt;"",资金台帐!J1369=客户对账单!$B$4,资金台帐!P1369="应收",ISNUMBER(资金台帐!B1369),资金台帐!B1369&gt;=客户对账单!$G$4,资金台帐!B1369&lt;=客户对账单!$I$4),资金台帐!B1369+ROW()/100000,"")</f>
      </c>
      <c r="H4366">
        <f>IF(AND(资金台帐!K2869&lt;&gt;"",资金台帐!K2869=供应商对账单!$B$4,资金台帐!P2869="应付",ISNUMBER(资金台帐!B2869),资金台帐!B2869&gt;=供应商对账单!$G$4,资金台帐!B2869&lt;=供应商对账单!$I$4),资金台帐!B2869+ROW()/100000,"")</f>
      </c>
    </row>
    <row r="4367">
      <c r="F4367">
        <f>IF(AND(资金台帐!J1370&lt;&gt;"",资金台帐!J1370=客户对账单!$B$4,资金台帐!P1370="应收",ISNUMBER(资金台帐!B1370),资金台帐!B1370&gt;=客户对账单!$G$4,资金台帐!B1370&lt;=客户对账单!$I$4),资金台帐!B1370+ROW()/100000,"")</f>
      </c>
      <c r="H4367">
        <f>IF(AND(资金台帐!K2870&lt;&gt;"",资金台帐!K2870=供应商对账单!$B$4,资金台帐!P2870="应付",ISNUMBER(资金台帐!B2870),资金台帐!B2870&gt;=供应商对账单!$G$4,资金台帐!B2870&lt;=供应商对账单!$I$4),资金台帐!B2870+ROW()/100000,"")</f>
      </c>
    </row>
    <row r="4368">
      <c r="F4368">
        <f>IF(AND(资金台帐!J1371&lt;&gt;"",资金台帐!J1371=客户对账单!$B$4,资金台帐!P1371="应收",ISNUMBER(资金台帐!B1371),资金台帐!B1371&gt;=客户对账单!$G$4,资金台帐!B1371&lt;=客户对账单!$I$4),资金台帐!B1371+ROW()/100000,"")</f>
      </c>
      <c r="H4368">
        <f>IF(AND(资金台帐!K2871&lt;&gt;"",资金台帐!K2871=供应商对账单!$B$4,资金台帐!P2871="应付",ISNUMBER(资金台帐!B2871),资金台帐!B2871&gt;=供应商对账单!$G$4,资金台帐!B2871&lt;=供应商对账单!$I$4),资金台帐!B2871+ROW()/100000,"")</f>
      </c>
    </row>
    <row r="4369">
      <c r="F4369">
        <f>IF(AND(资金台帐!J1372&lt;&gt;"",资金台帐!J1372=客户对账单!$B$4,资金台帐!P1372="应收",ISNUMBER(资金台帐!B1372),资金台帐!B1372&gt;=客户对账单!$G$4,资金台帐!B1372&lt;=客户对账单!$I$4),资金台帐!B1372+ROW()/100000,"")</f>
      </c>
      <c r="H4369">
        <f>IF(AND(资金台帐!K2872&lt;&gt;"",资金台帐!K2872=供应商对账单!$B$4,资金台帐!P2872="应付",ISNUMBER(资金台帐!B2872),资金台帐!B2872&gt;=供应商对账单!$G$4,资金台帐!B2872&lt;=供应商对账单!$I$4),资金台帐!B2872+ROW()/100000,"")</f>
      </c>
    </row>
    <row r="4370">
      <c r="F4370">
        <f>IF(AND(资金台帐!J1373&lt;&gt;"",资金台帐!J1373=客户对账单!$B$4,资金台帐!P1373="应收",ISNUMBER(资金台帐!B1373),资金台帐!B1373&gt;=客户对账单!$G$4,资金台帐!B1373&lt;=客户对账单!$I$4),资金台帐!B1373+ROW()/100000,"")</f>
      </c>
      <c r="H4370">
        <f>IF(AND(资金台帐!K2873&lt;&gt;"",资金台帐!K2873=供应商对账单!$B$4,资金台帐!P2873="应付",ISNUMBER(资金台帐!B2873),资金台帐!B2873&gt;=供应商对账单!$G$4,资金台帐!B2873&lt;=供应商对账单!$I$4),资金台帐!B2873+ROW()/100000,"")</f>
      </c>
    </row>
    <row r="4371">
      <c r="F4371">
        <f>IF(AND(资金台帐!J1374&lt;&gt;"",资金台帐!J1374=客户对账单!$B$4,资金台帐!P1374="应收",ISNUMBER(资金台帐!B1374),资金台帐!B1374&gt;=客户对账单!$G$4,资金台帐!B1374&lt;=客户对账单!$I$4),资金台帐!B1374+ROW()/100000,"")</f>
      </c>
      <c r="H4371">
        <f>IF(AND(资金台帐!K2874&lt;&gt;"",资金台帐!K2874=供应商对账单!$B$4,资金台帐!P2874="应付",ISNUMBER(资金台帐!B2874),资金台帐!B2874&gt;=供应商对账单!$G$4,资金台帐!B2874&lt;=供应商对账单!$I$4),资金台帐!B2874+ROW()/100000,"")</f>
      </c>
    </row>
    <row r="4372">
      <c r="F4372">
        <f>IF(AND(资金台帐!J1375&lt;&gt;"",资金台帐!J1375=客户对账单!$B$4,资金台帐!P1375="应收",ISNUMBER(资金台帐!B1375),资金台帐!B1375&gt;=客户对账单!$G$4,资金台帐!B1375&lt;=客户对账单!$I$4),资金台帐!B1375+ROW()/100000,"")</f>
      </c>
      <c r="H4372">
        <f>IF(AND(资金台帐!K2875&lt;&gt;"",资金台帐!K2875=供应商对账单!$B$4,资金台帐!P2875="应付",ISNUMBER(资金台帐!B2875),资金台帐!B2875&gt;=供应商对账单!$G$4,资金台帐!B2875&lt;=供应商对账单!$I$4),资金台帐!B2875+ROW()/100000,"")</f>
      </c>
    </row>
    <row r="4373">
      <c r="F4373">
        <f>IF(AND(资金台帐!J1376&lt;&gt;"",资金台帐!J1376=客户对账单!$B$4,资金台帐!P1376="应收",ISNUMBER(资金台帐!B1376),资金台帐!B1376&gt;=客户对账单!$G$4,资金台帐!B1376&lt;=客户对账单!$I$4),资金台帐!B1376+ROW()/100000,"")</f>
      </c>
      <c r="H4373">
        <f>IF(AND(资金台帐!K2876&lt;&gt;"",资金台帐!K2876=供应商对账单!$B$4,资金台帐!P2876="应付",ISNUMBER(资金台帐!B2876),资金台帐!B2876&gt;=供应商对账单!$G$4,资金台帐!B2876&lt;=供应商对账单!$I$4),资金台帐!B2876+ROW()/100000,"")</f>
      </c>
    </row>
    <row r="4374">
      <c r="F4374">
        <f>IF(AND(资金台帐!J1377&lt;&gt;"",资金台帐!J1377=客户对账单!$B$4,资金台帐!P1377="应收",ISNUMBER(资金台帐!B1377),资金台帐!B1377&gt;=客户对账单!$G$4,资金台帐!B1377&lt;=客户对账单!$I$4),资金台帐!B1377+ROW()/100000,"")</f>
      </c>
      <c r="H4374">
        <f>IF(AND(资金台帐!K2877&lt;&gt;"",资金台帐!K2877=供应商对账单!$B$4,资金台帐!P2877="应付",ISNUMBER(资金台帐!B2877),资金台帐!B2877&gt;=供应商对账单!$G$4,资金台帐!B2877&lt;=供应商对账单!$I$4),资金台帐!B2877+ROW()/100000,"")</f>
      </c>
    </row>
    <row r="4375">
      <c r="F4375">
        <f>IF(AND(资金台帐!J1378&lt;&gt;"",资金台帐!J1378=客户对账单!$B$4,资金台帐!P1378="应收",ISNUMBER(资金台帐!B1378),资金台帐!B1378&gt;=客户对账单!$G$4,资金台帐!B1378&lt;=客户对账单!$I$4),资金台帐!B1378+ROW()/100000,"")</f>
      </c>
      <c r="H4375">
        <f>IF(AND(资金台帐!K2878&lt;&gt;"",资金台帐!K2878=供应商对账单!$B$4,资金台帐!P2878="应付",ISNUMBER(资金台帐!B2878),资金台帐!B2878&gt;=供应商对账单!$G$4,资金台帐!B2878&lt;=供应商对账单!$I$4),资金台帐!B2878+ROW()/100000,"")</f>
      </c>
    </row>
    <row r="4376">
      <c r="F4376">
        <f>IF(AND(资金台帐!J1379&lt;&gt;"",资金台帐!J1379=客户对账单!$B$4,资金台帐!P1379="应收",ISNUMBER(资金台帐!B1379),资金台帐!B1379&gt;=客户对账单!$G$4,资金台帐!B1379&lt;=客户对账单!$I$4),资金台帐!B1379+ROW()/100000,"")</f>
      </c>
      <c r="H4376">
        <f>IF(AND(资金台帐!K2879&lt;&gt;"",资金台帐!K2879=供应商对账单!$B$4,资金台帐!P2879="应付",ISNUMBER(资金台帐!B2879),资金台帐!B2879&gt;=供应商对账单!$G$4,资金台帐!B2879&lt;=供应商对账单!$I$4),资金台帐!B2879+ROW()/100000,"")</f>
      </c>
    </row>
    <row r="4377">
      <c r="F4377">
        <f>IF(AND(资金台帐!J1380&lt;&gt;"",资金台帐!J1380=客户对账单!$B$4,资金台帐!P1380="应收",ISNUMBER(资金台帐!B1380),资金台帐!B1380&gt;=客户对账单!$G$4,资金台帐!B1380&lt;=客户对账单!$I$4),资金台帐!B1380+ROW()/100000,"")</f>
      </c>
      <c r="H4377">
        <f>IF(AND(资金台帐!K2880&lt;&gt;"",资金台帐!K2880=供应商对账单!$B$4,资金台帐!P2880="应付",ISNUMBER(资金台帐!B2880),资金台帐!B2880&gt;=供应商对账单!$G$4,资金台帐!B2880&lt;=供应商对账单!$I$4),资金台帐!B2880+ROW()/100000,"")</f>
      </c>
    </row>
    <row r="4378">
      <c r="F4378">
        <f>IF(AND(资金台帐!J1381&lt;&gt;"",资金台帐!J1381=客户对账单!$B$4,资金台帐!P1381="应收",ISNUMBER(资金台帐!B1381),资金台帐!B1381&gt;=客户对账单!$G$4,资金台帐!B1381&lt;=客户对账单!$I$4),资金台帐!B1381+ROW()/100000,"")</f>
      </c>
      <c r="H4378">
        <f>IF(AND(资金台帐!K2881&lt;&gt;"",资金台帐!K2881=供应商对账单!$B$4,资金台帐!P2881="应付",ISNUMBER(资金台帐!B2881),资金台帐!B2881&gt;=供应商对账单!$G$4,资金台帐!B2881&lt;=供应商对账单!$I$4),资金台帐!B2881+ROW()/100000,"")</f>
      </c>
    </row>
    <row r="4379">
      <c r="F4379">
        <f>IF(AND(资金台帐!J1382&lt;&gt;"",资金台帐!J1382=客户对账单!$B$4,资金台帐!P1382="应收",ISNUMBER(资金台帐!B1382),资金台帐!B1382&gt;=客户对账单!$G$4,资金台帐!B1382&lt;=客户对账单!$I$4),资金台帐!B1382+ROW()/100000,"")</f>
      </c>
      <c r="H4379">
        <f>IF(AND(资金台帐!K2882&lt;&gt;"",资金台帐!K2882=供应商对账单!$B$4,资金台帐!P2882="应付",ISNUMBER(资金台帐!B2882),资金台帐!B2882&gt;=供应商对账单!$G$4,资金台帐!B2882&lt;=供应商对账单!$I$4),资金台帐!B2882+ROW()/100000,"")</f>
      </c>
    </row>
    <row r="4380">
      <c r="F4380">
        <f>IF(AND(资金台帐!J1383&lt;&gt;"",资金台帐!J1383=客户对账单!$B$4,资金台帐!P1383="应收",ISNUMBER(资金台帐!B1383),资金台帐!B1383&gt;=客户对账单!$G$4,资金台帐!B1383&lt;=客户对账单!$I$4),资金台帐!B1383+ROW()/100000,"")</f>
      </c>
      <c r="H4380">
        <f>IF(AND(资金台帐!K2883&lt;&gt;"",资金台帐!K2883=供应商对账单!$B$4,资金台帐!P2883="应付",ISNUMBER(资金台帐!B2883),资金台帐!B2883&gt;=供应商对账单!$G$4,资金台帐!B2883&lt;=供应商对账单!$I$4),资金台帐!B2883+ROW()/100000,"")</f>
      </c>
    </row>
    <row r="4381">
      <c r="F4381">
        <f>IF(AND(资金台帐!J1384&lt;&gt;"",资金台帐!J1384=客户对账单!$B$4,资金台帐!P1384="应收",ISNUMBER(资金台帐!B1384),资金台帐!B1384&gt;=客户对账单!$G$4,资金台帐!B1384&lt;=客户对账单!$I$4),资金台帐!B1384+ROW()/100000,"")</f>
      </c>
      <c r="H4381">
        <f>IF(AND(资金台帐!K2884&lt;&gt;"",资金台帐!K2884=供应商对账单!$B$4,资金台帐!P2884="应付",ISNUMBER(资金台帐!B2884),资金台帐!B2884&gt;=供应商对账单!$G$4,资金台帐!B2884&lt;=供应商对账单!$I$4),资金台帐!B2884+ROW()/100000,"")</f>
      </c>
    </row>
    <row r="4382">
      <c r="F4382">
        <f>IF(AND(资金台帐!J1385&lt;&gt;"",资金台帐!J1385=客户对账单!$B$4,资金台帐!P1385="应收",ISNUMBER(资金台帐!B1385),资金台帐!B1385&gt;=客户对账单!$G$4,资金台帐!B1385&lt;=客户对账单!$I$4),资金台帐!B1385+ROW()/100000,"")</f>
      </c>
      <c r="H4382">
        <f>IF(AND(资金台帐!K2885&lt;&gt;"",资金台帐!K2885=供应商对账单!$B$4,资金台帐!P2885="应付",ISNUMBER(资金台帐!B2885),资金台帐!B2885&gt;=供应商对账单!$G$4,资金台帐!B2885&lt;=供应商对账单!$I$4),资金台帐!B2885+ROW()/100000,"")</f>
      </c>
    </row>
    <row r="4383">
      <c r="F4383">
        <f>IF(AND(资金台帐!J1386&lt;&gt;"",资金台帐!J1386=客户对账单!$B$4,资金台帐!P1386="应收",ISNUMBER(资金台帐!B1386),资金台帐!B1386&gt;=客户对账单!$G$4,资金台帐!B1386&lt;=客户对账单!$I$4),资金台帐!B1386+ROW()/100000,"")</f>
      </c>
      <c r="H4383">
        <f>IF(AND(资金台帐!K2886&lt;&gt;"",资金台帐!K2886=供应商对账单!$B$4,资金台帐!P2886="应付",ISNUMBER(资金台帐!B2886),资金台帐!B2886&gt;=供应商对账单!$G$4,资金台帐!B2886&lt;=供应商对账单!$I$4),资金台帐!B2886+ROW()/100000,"")</f>
      </c>
    </row>
    <row r="4384">
      <c r="F4384">
        <f>IF(AND(资金台帐!J1387&lt;&gt;"",资金台帐!J1387=客户对账单!$B$4,资金台帐!P1387="应收",ISNUMBER(资金台帐!B1387),资金台帐!B1387&gt;=客户对账单!$G$4,资金台帐!B1387&lt;=客户对账单!$I$4),资金台帐!B1387+ROW()/100000,"")</f>
      </c>
      <c r="H4384">
        <f>IF(AND(资金台帐!K2887&lt;&gt;"",资金台帐!K2887=供应商对账单!$B$4,资金台帐!P2887="应付",ISNUMBER(资金台帐!B2887),资金台帐!B2887&gt;=供应商对账单!$G$4,资金台帐!B2887&lt;=供应商对账单!$I$4),资金台帐!B2887+ROW()/100000,"")</f>
      </c>
    </row>
    <row r="4385">
      <c r="F4385">
        <f>IF(AND(资金台帐!J1388&lt;&gt;"",资金台帐!J1388=客户对账单!$B$4,资金台帐!P1388="应收",ISNUMBER(资金台帐!B1388),资金台帐!B1388&gt;=客户对账单!$G$4,资金台帐!B1388&lt;=客户对账单!$I$4),资金台帐!B1388+ROW()/100000,"")</f>
      </c>
      <c r="H4385">
        <f>IF(AND(资金台帐!K2888&lt;&gt;"",资金台帐!K2888=供应商对账单!$B$4,资金台帐!P2888="应付",ISNUMBER(资金台帐!B2888),资金台帐!B2888&gt;=供应商对账单!$G$4,资金台帐!B2888&lt;=供应商对账单!$I$4),资金台帐!B2888+ROW()/100000,"")</f>
      </c>
    </row>
    <row r="4386">
      <c r="F4386">
        <f>IF(AND(资金台帐!J1389&lt;&gt;"",资金台帐!J1389=客户对账单!$B$4,资金台帐!P1389="应收",ISNUMBER(资金台帐!B1389),资金台帐!B1389&gt;=客户对账单!$G$4,资金台帐!B1389&lt;=客户对账单!$I$4),资金台帐!B1389+ROW()/100000,"")</f>
      </c>
      <c r="H4386">
        <f>IF(AND(资金台帐!K2889&lt;&gt;"",资金台帐!K2889=供应商对账单!$B$4,资金台帐!P2889="应付",ISNUMBER(资金台帐!B2889),资金台帐!B2889&gt;=供应商对账单!$G$4,资金台帐!B2889&lt;=供应商对账单!$I$4),资金台帐!B2889+ROW()/100000,"")</f>
      </c>
    </row>
    <row r="4387">
      <c r="F4387">
        <f>IF(AND(资金台帐!J1390&lt;&gt;"",资金台帐!J1390=客户对账单!$B$4,资金台帐!P1390="应收",ISNUMBER(资金台帐!B1390),资金台帐!B1390&gt;=客户对账单!$G$4,资金台帐!B1390&lt;=客户对账单!$I$4),资金台帐!B1390+ROW()/100000,"")</f>
      </c>
      <c r="H4387">
        <f>IF(AND(资金台帐!K2890&lt;&gt;"",资金台帐!K2890=供应商对账单!$B$4,资金台帐!P2890="应付",ISNUMBER(资金台帐!B2890),资金台帐!B2890&gt;=供应商对账单!$G$4,资金台帐!B2890&lt;=供应商对账单!$I$4),资金台帐!B2890+ROW()/100000,"")</f>
      </c>
    </row>
    <row r="4388">
      <c r="F4388">
        <f>IF(AND(资金台帐!J1391&lt;&gt;"",资金台帐!J1391=客户对账单!$B$4,资金台帐!P1391="应收",ISNUMBER(资金台帐!B1391),资金台帐!B1391&gt;=客户对账单!$G$4,资金台帐!B1391&lt;=客户对账单!$I$4),资金台帐!B1391+ROW()/100000,"")</f>
      </c>
      <c r="H4388">
        <f>IF(AND(资金台帐!K2891&lt;&gt;"",资金台帐!K2891=供应商对账单!$B$4,资金台帐!P2891="应付",ISNUMBER(资金台帐!B2891),资金台帐!B2891&gt;=供应商对账单!$G$4,资金台帐!B2891&lt;=供应商对账单!$I$4),资金台帐!B2891+ROW()/100000,"")</f>
      </c>
    </row>
    <row r="4389">
      <c r="F4389">
        <f>IF(AND(资金台帐!J1392&lt;&gt;"",资金台帐!J1392=客户对账单!$B$4,资金台帐!P1392="应收",ISNUMBER(资金台帐!B1392),资金台帐!B1392&gt;=客户对账单!$G$4,资金台帐!B1392&lt;=客户对账单!$I$4),资金台帐!B1392+ROW()/100000,"")</f>
      </c>
      <c r="H4389">
        <f>IF(AND(资金台帐!K2892&lt;&gt;"",资金台帐!K2892=供应商对账单!$B$4,资金台帐!P2892="应付",ISNUMBER(资金台帐!B2892),资金台帐!B2892&gt;=供应商对账单!$G$4,资金台帐!B2892&lt;=供应商对账单!$I$4),资金台帐!B2892+ROW()/100000,"")</f>
      </c>
    </row>
    <row r="4390">
      <c r="F4390">
        <f>IF(AND(资金台帐!J1393&lt;&gt;"",资金台帐!J1393=客户对账单!$B$4,资金台帐!P1393="应收",ISNUMBER(资金台帐!B1393),资金台帐!B1393&gt;=客户对账单!$G$4,资金台帐!B1393&lt;=客户对账单!$I$4),资金台帐!B1393+ROW()/100000,"")</f>
      </c>
      <c r="H4390">
        <f>IF(AND(资金台帐!K2893&lt;&gt;"",资金台帐!K2893=供应商对账单!$B$4,资金台帐!P2893="应付",ISNUMBER(资金台帐!B2893),资金台帐!B2893&gt;=供应商对账单!$G$4,资金台帐!B2893&lt;=供应商对账单!$I$4),资金台帐!B2893+ROW()/100000,"")</f>
      </c>
    </row>
    <row r="4391">
      <c r="F4391">
        <f>IF(AND(资金台帐!J1394&lt;&gt;"",资金台帐!J1394=客户对账单!$B$4,资金台帐!P1394="应收",ISNUMBER(资金台帐!B1394),资金台帐!B1394&gt;=客户对账单!$G$4,资金台帐!B1394&lt;=客户对账单!$I$4),资金台帐!B1394+ROW()/100000,"")</f>
      </c>
      <c r="H4391">
        <f>IF(AND(资金台帐!K2894&lt;&gt;"",资金台帐!K2894=供应商对账单!$B$4,资金台帐!P2894="应付",ISNUMBER(资金台帐!B2894),资金台帐!B2894&gt;=供应商对账单!$G$4,资金台帐!B2894&lt;=供应商对账单!$I$4),资金台帐!B2894+ROW()/100000,"")</f>
      </c>
    </row>
    <row r="4392">
      <c r="F4392">
        <f>IF(AND(资金台帐!J1395&lt;&gt;"",资金台帐!J1395=客户对账单!$B$4,资金台帐!P1395="应收",ISNUMBER(资金台帐!B1395),资金台帐!B1395&gt;=客户对账单!$G$4,资金台帐!B1395&lt;=客户对账单!$I$4),资金台帐!B1395+ROW()/100000,"")</f>
      </c>
      <c r="H4392">
        <f>IF(AND(资金台帐!K2895&lt;&gt;"",资金台帐!K2895=供应商对账单!$B$4,资金台帐!P2895="应付",ISNUMBER(资金台帐!B2895),资金台帐!B2895&gt;=供应商对账单!$G$4,资金台帐!B2895&lt;=供应商对账单!$I$4),资金台帐!B2895+ROW()/100000,"")</f>
      </c>
    </row>
    <row r="4393">
      <c r="F4393">
        <f>IF(AND(资金台帐!J1396&lt;&gt;"",资金台帐!J1396=客户对账单!$B$4,资金台帐!P1396="应收",ISNUMBER(资金台帐!B1396),资金台帐!B1396&gt;=客户对账单!$G$4,资金台帐!B1396&lt;=客户对账单!$I$4),资金台帐!B1396+ROW()/100000,"")</f>
      </c>
      <c r="H4393">
        <f>IF(AND(资金台帐!K2896&lt;&gt;"",资金台帐!K2896=供应商对账单!$B$4,资金台帐!P2896="应付",ISNUMBER(资金台帐!B2896),资金台帐!B2896&gt;=供应商对账单!$G$4,资金台帐!B2896&lt;=供应商对账单!$I$4),资金台帐!B2896+ROW()/100000,"")</f>
      </c>
    </row>
    <row r="4394">
      <c r="F4394">
        <f>IF(AND(资金台帐!J1397&lt;&gt;"",资金台帐!J1397=客户对账单!$B$4,资金台帐!P1397="应收",ISNUMBER(资金台帐!B1397),资金台帐!B1397&gt;=客户对账单!$G$4,资金台帐!B1397&lt;=客户对账单!$I$4),资金台帐!B1397+ROW()/100000,"")</f>
      </c>
      <c r="H4394">
        <f>IF(AND(资金台帐!K2897&lt;&gt;"",资金台帐!K2897=供应商对账单!$B$4,资金台帐!P2897="应付",ISNUMBER(资金台帐!B2897),资金台帐!B2897&gt;=供应商对账单!$G$4,资金台帐!B2897&lt;=供应商对账单!$I$4),资金台帐!B2897+ROW()/100000,"")</f>
      </c>
    </row>
    <row r="4395">
      <c r="F4395">
        <f>IF(AND(资金台帐!J1398&lt;&gt;"",资金台帐!J1398=客户对账单!$B$4,资金台帐!P1398="应收",ISNUMBER(资金台帐!B1398),资金台帐!B1398&gt;=客户对账单!$G$4,资金台帐!B1398&lt;=客户对账单!$I$4),资金台帐!B1398+ROW()/100000,"")</f>
      </c>
      <c r="H4395">
        <f>IF(AND(资金台帐!K2898&lt;&gt;"",资金台帐!K2898=供应商对账单!$B$4,资金台帐!P2898="应付",ISNUMBER(资金台帐!B2898),资金台帐!B2898&gt;=供应商对账单!$G$4,资金台帐!B2898&lt;=供应商对账单!$I$4),资金台帐!B2898+ROW()/100000,"")</f>
      </c>
    </row>
    <row r="4396">
      <c r="F4396">
        <f>IF(AND(资金台帐!J1399&lt;&gt;"",资金台帐!J1399=客户对账单!$B$4,资金台帐!P1399="应收",ISNUMBER(资金台帐!B1399),资金台帐!B1399&gt;=客户对账单!$G$4,资金台帐!B1399&lt;=客户对账单!$I$4),资金台帐!B1399+ROW()/100000,"")</f>
      </c>
      <c r="H4396">
        <f>IF(AND(资金台帐!K2899&lt;&gt;"",资金台帐!K2899=供应商对账单!$B$4,资金台帐!P2899="应付",ISNUMBER(资金台帐!B2899),资金台帐!B2899&gt;=供应商对账单!$G$4,资金台帐!B2899&lt;=供应商对账单!$I$4),资金台帐!B2899+ROW()/100000,"")</f>
      </c>
    </row>
    <row r="4397">
      <c r="F4397">
        <f>IF(AND(资金台帐!J1400&lt;&gt;"",资金台帐!J1400=客户对账单!$B$4,资金台帐!P1400="应收",ISNUMBER(资金台帐!B1400),资金台帐!B1400&gt;=客户对账单!$G$4,资金台帐!B1400&lt;=客户对账单!$I$4),资金台帐!B1400+ROW()/100000,"")</f>
      </c>
      <c r="H4397">
        <f>IF(AND(资金台帐!K2900&lt;&gt;"",资金台帐!K2900=供应商对账单!$B$4,资金台帐!P2900="应付",ISNUMBER(资金台帐!B2900),资金台帐!B2900&gt;=供应商对账单!$G$4,资金台帐!B2900&lt;=供应商对账单!$I$4),资金台帐!B2900+ROW()/100000,"")</f>
      </c>
    </row>
    <row r="4398">
      <c r="F4398">
        <f>IF(AND(资金台帐!J1401&lt;&gt;"",资金台帐!J1401=客户对账单!$B$4,资金台帐!P1401="应收",ISNUMBER(资金台帐!B1401),资金台帐!B1401&gt;=客户对账单!$G$4,资金台帐!B1401&lt;=客户对账单!$I$4),资金台帐!B1401+ROW()/100000,"")</f>
      </c>
      <c r="H4398">
        <f>IF(AND(资金台帐!K2901&lt;&gt;"",资金台帐!K2901=供应商对账单!$B$4,资金台帐!P2901="应付",ISNUMBER(资金台帐!B2901),资金台帐!B2901&gt;=供应商对账单!$G$4,资金台帐!B2901&lt;=供应商对账单!$I$4),资金台帐!B2901+ROW()/100000,"")</f>
      </c>
    </row>
    <row r="4399">
      <c r="F4399">
        <f>IF(AND(资金台帐!J1402&lt;&gt;"",资金台帐!J1402=客户对账单!$B$4,资金台帐!P1402="应收",ISNUMBER(资金台帐!B1402),资金台帐!B1402&gt;=客户对账单!$G$4,资金台帐!B1402&lt;=客户对账单!$I$4),资金台帐!B1402+ROW()/100000,"")</f>
      </c>
      <c r="H4399">
        <f>IF(AND(资金台帐!K2902&lt;&gt;"",资金台帐!K2902=供应商对账单!$B$4,资金台帐!P2902="应付",ISNUMBER(资金台帐!B2902),资金台帐!B2902&gt;=供应商对账单!$G$4,资金台帐!B2902&lt;=供应商对账单!$I$4),资金台帐!B2902+ROW()/100000,"")</f>
      </c>
    </row>
    <row r="4400">
      <c r="F4400">
        <f>IF(AND(资金台帐!J1403&lt;&gt;"",资金台帐!J1403=客户对账单!$B$4,资金台帐!P1403="应收",ISNUMBER(资金台帐!B1403),资金台帐!B1403&gt;=客户对账单!$G$4,资金台帐!B1403&lt;=客户对账单!$I$4),资金台帐!B1403+ROW()/100000,"")</f>
      </c>
      <c r="H4400">
        <f>IF(AND(资金台帐!K2903&lt;&gt;"",资金台帐!K2903=供应商对账单!$B$4,资金台帐!P2903="应付",ISNUMBER(资金台帐!B2903),资金台帐!B2903&gt;=供应商对账单!$G$4,资金台帐!B2903&lt;=供应商对账单!$I$4),资金台帐!B2903+ROW()/100000,"")</f>
      </c>
    </row>
    <row r="4401">
      <c r="F4401">
        <f>IF(AND(资金台帐!J1404&lt;&gt;"",资金台帐!J1404=客户对账单!$B$4,资金台帐!P1404="应收",ISNUMBER(资金台帐!B1404),资金台帐!B1404&gt;=客户对账单!$G$4,资金台帐!B1404&lt;=客户对账单!$I$4),资金台帐!B1404+ROW()/100000,"")</f>
      </c>
      <c r="H4401">
        <f>IF(AND(资金台帐!K2904&lt;&gt;"",资金台帐!K2904=供应商对账单!$B$4,资金台帐!P2904="应付",ISNUMBER(资金台帐!B2904),资金台帐!B2904&gt;=供应商对账单!$G$4,资金台帐!B2904&lt;=供应商对账单!$I$4),资金台帐!B2904+ROW()/100000,"")</f>
      </c>
    </row>
    <row r="4402">
      <c r="F4402">
        <f>IF(AND(资金台帐!J1405&lt;&gt;"",资金台帐!J1405=客户对账单!$B$4,资金台帐!P1405="应收",ISNUMBER(资金台帐!B1405),资金台帐!B1405&gt;=客户对账单!$G$4,资金台帐!B1405&lt;=客户对账单!$I$4),资金台帐!B1405+ROW()/100000,"")</f>
      </c>
      <c r="H4402">
        <f>IF(AND(资金台帐!K2905&lt;&gt;"",资金台帐!K2905=供应商对账单!$B$4,资金台帐!P2905="应付",ISNUMBER(资金台帐!B2905),资金台帐!B2905&gt;=供应商对账单!$G$4,资金台帐!B2905&lt;=供应商对账单!$I$4),资金台帐!B2905+ROW()/100000,"")</f>
      </c>
    </row>
    <row r="4403">
      <c r="F4403">
        <f>IF(AND(资金台帐!J1406&lt;&gt;"",资金台帐!J1406=客户对账单!$B$4,资金台帐!P1406="应收",ISNUMBER(资金台帐!B1406),资金台帐!B1406&gt;=客户对账单!$G$4,资金台帐!B1406&lt;=客户对账单!$I$4),资金台帐!B1406+ROW()/100000,"")</f>
      </c>
      <c r="H4403">
        <f>IF(AND(资金台帐!K2906&lt;&gt;"",资金台帐!K2906=供应商对账单!$B$4,资金台帐!P2906="应付",ISNUMBER(资金台帐!B2906),资金台帐!B2906&gt;=供应商对账单!$G$4,资金台帐!B2906&lt;=供应商对账单!$I$4),资金台帐!B2906+ROW()/100000,"")</f>
      </c>
    </row>
    <row r="4404">
      <c r="F4404">
        <f>IF(AND(资金台帐!J1407&lt;&gt;"",资金台帐!J1407=客户对账单!$B$4,资金台帐!P1407="应收",ISNUMBER(资金台帐!B1407),资金台帐!B1407&gt;=客户对账单!$G$4,资金台帐!B1407&lt;=客户对账单!$I$4),资金台帐!B1407+ROW()/100000,"")</f>
      </c>
      <c r="H4404">
        <f>IF(AND(资金台帐!K2907&lt;&gt;"",资金台帐!K2907=供应商对账单!$B$4,资金台帐!P2907="应付",ISNUMBER(资金台帐!B2907),资金台帐!B2907&gt;=供应商对账单!$G$4,资金台帐!B2907&lt;=供应商对账单!$I$4),资金台帐!B2907+ROW()/100000,"")</f>
      </c>
    </row>
    <row r="4405">
      <c r="F4405">
        <f>IF(AND(资金台帐!J1408&lt;&gt;"",资金台帐!J1408=客户对账单!$B$4,资金台帐!P1408="应收",ISNUMBER(资金台帐!B1408),资金台帐!B1408&gt;=客户对账单!$G$4,资金台帐!B1408&lt;=客户对账单!$I$4),资金台帐!B1408+ROW()/100000,"")</f>
      </c>
      <c r="H4405">
        <f>IF(AND(资金台帐!K2908&lt;&gt;"",资金台帐!K2908=供应商对账单!$B$4,资金台帐!P2908="应付",ISNUMBER(资金台帐!B2908),资金台帐!B2908&gt;=供应商对账单!$G$4,资金台帐!B2908&lt;=供应商对账单!$I$4),资金台帐!B2908+ROW()/100000,"")</f>
      </c>
    </row>
    <row r="4406">
      <c r="F4406">
        <f>IF(AND(资金台帐!J1409&lt;&gt;"",资金台帐!J1409=客户对账单!$B$4,资金台帐!P1409="应收",ISNUMBER(资金台帐!B1409),资金台帐!B1409&gt;=客户对账单!$G$4,资金台帐!B1409&lt;=客户对账单!$I$4),资金台帐!B1409+ROW()/100000,"")</f>
      </c>
      <c r="H4406">
        <f>IF(AND(资金台帐!K2909&lt;&gt;"",资金台帐!K2909=供应商对账单!$B$4,资金台帐!P2909="应付",ISNUMBER(资金台帐!B2909),资金台帐!B2909&gt;=供应商对账单!$G$4,资金台帐!B2909&lt;=供应商对账单!$I$4),资金台帐!B2909+ROW()/100000,"")</f>
      </c>
    </row>
    <row r="4407">
      <c r="F4407">
        <f>IF(AND(资金台帐!J1410&lt;&gt;"",资金台帐!J1410=客户对账单!$B$4,资金台帐!P1410="应收",ISNUMBER(资金台帐!B1410),资金台帐!B1410&gt;=客户对账单!$G$4,资金台帐!B1410&lt;=客户对账单!$I$4),资金台帐!B1410+ROW()/100000,"")</f>
      </c>
      <c r="H4407">
        <f>IF(AND(资金台帐!K2910&lt;&gt;"",资金台帐!K2910=供应商对账单!$B$4,资金台帐!P2910="应付",ISNUMBER(资金台帐!B2910),资金台帐!B2910&gt;=供应商对账单!$G$4,资金台帐!B2910&lt;=供应商对账单!$I$4),资金台帐!B2910+ROW()/100000,"")</f>
      </c>
    </row>
    <row r="4408">
      <c r="F4408">
        <f>IF(AND(资金台帐!J1411&lt;&gt;"",资金台帐!J1411=客户对账单!$B$4,资金台帐!P1411="应收",ISNUMBER(资金台帐!B1411),资金台帐!B1411&gt;=客户对账单!$G$4,资金台帐!B1411&lt;=客户对账单!$I$4),资金台帐!B1411+ROW()/100000,"")</f>
      </c>
      <c r="H4408">
        <f>IF(AND(资金台帐!K2911&lt;&gt;"",资金台帐!K2911=供应商对账单!$B$4,资金台帐!P2911="应付",ISNUMBER(资金台帐!B2911),资金台帐!B2911&gt;=供应商对账单!$G$4,资金台帐!B2911&lt;=供应商对账单!$I$4),资金台帐!B2911+ROW()/100000,"")</f>
      </c>
    </row>
    <row r="4409">
      <c r="F4409">
        <f>IF(AND(资金台帐!J1412&lt;&gt;"",资金台帐!J1412=客户对账单!$B$4,资金台帐!P1412="应收",ISNUMBER(资金台帐!B1412),资金台帐!B1412&gt;=客户对账单!$G$4,资金台帐!B1412&lt;=客户对账单!$I$4),资金台帐!B1412+ROW()/100000,"")</f>
      </c>
      <c r="H4409">
        <f>IF(AND(资金台帐!K2912&lt;&gt;"",资金台帐!K2912=供应商对账单!$B$4,资金台帐!P2912="应付",ISNUMBER(资金台帐!B2912),资金台帐!B2912&gt;=供应商对账单!$G$4,资金台帐!B2912&lt;=供应商对账单!$I$4),资金台帐!B2912+ROW()/100000,"")</f>
      </c>
    </row>
    <row r="4410">
      <c r="F4410">
        <f>IF(AND(资金台帐!J1413&lt;&gt;"",资金台帐!J1413=客户对账单!$B$4,资金台帐!P1413="应收",ISNUMBER(资金台帐!B1413),资金台帐!B1413&gt;=客户对账单!$G$4,资金台帐!B1413&lt;=客户对账单!$I$4),资金台帐!B1413+ROW()/100000,"")</f>
      </c>
      <c r="H4410">
        <f>IF(AND(资金台帐!K2913&lt;&gt;"",资金台帐!K2913=供应商对账单!$B$4,资金台帐!P2913="应付",ISNUMBER(资金台帐!B2913),资金台帐!B2913&gt;=供应商对账单!$G$4,资金台帐!B2913&lt;=供应商对账单!$I$4),资金台帐!B2913+ROW()/100000,"")</f>
      </c>
    </row>
    <row r="4411">
      <c r="F4411">
        <f>IF(AND(资金台帐!J1414&lt;&gt;"",资金台帐!J1414=客户对账单!$B$4,资金台帐!P1414="应收",ISNUMBER(资金台帐!B1414),资金台帐!B1414&gt;=客户对账单!$G$4,资金台帐!B1414&lt;=客户对账单!$I$4),资金台帐!B1414+ROW()/100000,"")</f>
      </c>
      <c r="H4411">
        <f>IF(AND(资金台帐!K2914&lt;&gt;"",资金台帐!K2914=供应商对账单!$B$4,资金台帐!P2914="应付",ISNUMBER(资金台帐!B2914),资金台帐!B2914&gt;=供应商对账单!$G$4,资金台帐!B2914&lt;=供应商对账单!$I$4),资金台帐!B2914+ROW()/100000,"")</f>
      </c>
    </row>
    <row r="4412">
      <c r="F4412">
        <f>IF(AND(资金台帐!J1415&lt;&gt;"",资金台帐!J1415=客户对账单!$B$4,资金台帐!P1415="应收",ISNUMBER(资金台帐!B1415),资金台帐!B1415&gt;=客户对账单!$G$4,资金台帐!B1415&lt;=客户对账单!$I$4),资金台帐!B1415+ROW()/100000,"")</f>
      </c>
      <c r="H4412">
        <f>IF(AND(资金台帐!K2915&lt;&gt;"",资金台帐!K2915=供应商对账单!$B$4,资金台帐!P2915="应付",ISNUMBER(资金台帐!B2915),资金台帐!B2915&gt;=供应商对账单!$G$4,资金台帐!B2915&lt;=供应商对账单!$I$4),资金台帐!B2915+ROW()/100000,"")</f>
      </c>
    </row>
    <row r="4413">
      <c r="F4413">
        <f>IF(AND(资金台帐!J1416&lt;&gt;"",资金台帐!J1416=客户对账单!$B$4,资金台帐!P1416="应收",ISNUMBER(资金台帐!B1416),资金台帐!B1416&gt;=客户对账单!$G$4,资金台帐!B1416&lt;=客户对账单!$I$4),资金台帐!B1416+ROW()/100000,"")</f>
      </c>
      <c r="H4413">
        <f>IF(AND(资金台帐!K2916&lt;&gt;"",资金台帐!K2916=供应商对账单!$B$4,资金台帐!P2916="应付",ISNUMBER(资金台帐!B2916),资金台帐!B2916&gt;=供应商对账单!$G$4,资金台帐!B2916&lt;=供应商对账单!$I$4),资金台帐!B2916+ROW()/100000,"")</f>
      </c>
    </row>
    <row r="4414">
      <c r="F4414">
        <f>IF(AND(资金台帐!J1417&lt;&gt;"",资金台帐!J1417=客户对账单!$B$4,资金台帐!P1417="应收",ISNUMBER(资金台帐!B1417),资金台帐!B1417&gt;=客户对账单!$G$4,资金台帐!B1417&lt;=客户对账单!$I$4),资金台帐!B1417+ROW()/100000,"")</f>
      </c>
      <c r="H4414">
        <f>IF(AND(资金台帐!K2917&lt;&gt;"",资金台帐!K2917=供应商对账单!$B$4,资金台帐!P2917="应付",ISNUMBER(资金台帐!B2917),资金台帐!B2917&gt;=供应商对账单!$G$4,资金台帐!B2917&lt;=供应商对账单!$I$4),资金台帐!B2917+ROW()/100000,"")</f>
      </c>
    </row>
    <row r="4415">
      <c r="F4415">
        <f>IF(AND(资金台帐!J1418&lt;&gt;"",资金台帐!J1418=客户对账单!$B$4,资金台帐!P1418="应收",ISNUMBER(资金台帐!B1418),资金台帐!B1418&gt;=客户对账单!$G$4,资金台帐!B1418&lt;=客户对账单!$I$4),资金台帐!B1418+ROW()/100000,"")</f>
      </c>
      <c r="H4415">
        <f>IF(AND(资金台帐!K2918&lt;&gt;"",资金台帐!K2918=供应商对账单!$B$4,资金台帐!P2918="应付",ISNUMBER(资金台帐!B2918),资金台帐!B2918&gt;=供应商对账单!$G$4,资金台帐!B2918&lt;=供应商对账单!$I$4),资金台帐!B2918+ROW()/100000,"")</f>
      </c>
    </row>
    <row r="4416">
      <c r="F4416">
        <f>IF(AND(资金台帐!J1419&lt;&gt;"",资金台帐!J1419=客户对账单!$B$4,资金台帐!P1419="应收",ISNUMBER(资金台帐!B1419),资金台帐!B1419&gt;=客户对账单!$G$4,资金台帐!B1419&lt;=客户对账单!$I$4),资金台帐!B1419+ROW()/100000,"")</f>
      </c>
      <c r="H4416">
        <f>IF(AND(资金台帐!K2919&lt;&gt;"",资金台帐!K2919=供应商对账单!$B$4,资金台帐!P2919="应付",ISNUMBER(资金台帐!B2919),资金台帐!B2919&gt;=供应商对账单!$G$4,资金台帐!B2919&lt;=供应商对账单!$I$4),资金台帐!B2919+ROW()/100000,"")</f>
      </c>
    </row>
    <row r="4417">
      <c r="F4417">
        <f>IF(AND(资金台帐!J1420&lt;&gt;"",资金台帐!J1420=客户对账单!$B$4,资金台帐!P1420="应收",ISNUMBER(资金台帐!B1420),资金台帐!B1420&gt;=客户对账单!$G$4,资金台帐!B1420&lt;=客户对账单!$I$4),资金台帐!B1420+ROW()/100000,"")</f>
      </c>
      <c r="H4417">
        <f>IF(AND(资金台帐!K2920&lt;&gt;"",资金台帐!K2920=供应商对账单!$B$4,资金台帐!P2920="应付",ISNUMBER(资金台帐!B2920),资金台帐!B2920&gt;=供应商对账单!$G$4,资金台帐!B2920&lt;=供应商对账单!$I$4),资金台帐!B2920+ROW()/100000,"")</f>
      </c>
    </row>
    <row r="4418">
      <c r="F4418">
        <f>IF(AND(资金台帐!J1421&lt;&gt;"",资金台帐!J1421=客户对账单!$B$4,资金台帐!P1421="应收",ISNUMBER(资金台帐!B1421),资金台帐!B1421&gt;=客户对账单!$G$4,资金台帐!B1421&lt;=客户对账单!$I$4),资金台帐!B1421+ROW()/100000,"")</f>
      </c>
      <c r="H4418">
        <f>IF(AND(资金台帐!K2921&lt;&gt;"",资金台帐!K2921=供应商对账单!$B$4,资金台帐!P2921="应付",ISNUMBER(资金台帐!B2921),资金台帐!B2921&gt;=供应商对账单!$G$4,资金台帐!B2921&lt;=供应商对账单!$I$4),资金台帐!B2921+ROW()/100000,"")</f>
      </c>
    </row>
    <row r="4419">
      <c r="F4419">
        <f>IF(AND(资金台帐!J1422&lt;&gt;"",资金台帐!J1422=客户对账单!$B$4,资金台帐!P1422="应收",ISNUMBER(资金台帐!B1422),资金台帐!B1422&gt;=客户对账单!$G$4,资金台帐!B1422&lt;=客户对账单!$I$4),资金台帐!B1422+ROW()/100000,"")</f>
      </c>
      <c r="H4419">
        <f>IF(AND(资金台帐!K2922&lt;&gt;"",资金台帐!K2922=供应商对账单!$B$4,资金台帐!P2922="应付",ISNUMBER(资金台帐!B2922),资金台帐!B2922&gt;=供应商对账单!$G$4,资金台帐!B2922&lt;=供应商对账单!$I$4),资金台帐!B2922+ROW()/100000,"")</f>
      </c>
    </row>
    <row r="4420">
      <c r="F4420">
        <f>IF(AND(资金台帐!J1423&lt;&gt;"",资金台帐!J1423=客户对账单!$B$4,资金台帐!P1423="应收",ISNUMBER(资金台帐!B1423),资金台帐!B1423&gt;=客户对账单!$G$4,资金台帐!B1423&lt;=客户对账单!$I$4),资金台帐!B1423+ROW()/100000,"")</f>
      </c>
      <c r="H4420">
        <f>IF(AND(资金台帐!K2923&lt;&gt;"",资金台帐!K2923=供应商对账单!$B$4,资金台帐!P2923="应付",ISNUMBER(资金台帐!B2923),资金台帐!B2923&gt;=供应商对账单!$G$4,资金台帐!B2923&lt;=供应商对账单!$I$4),资金台帐!B2923+ROW()/100000,"")</f>
      </c>
    </row>
    <row r="4421">
      <c r="F4421">
        <f>IF(AND(资金台帐!J1424&lt;&gt;"",资金台帐!J1424=客户对账单!$B$4,资金台帐!P1424="应收",ISNUMBER(资金台帐!B1424),资金台帐!B1424&gt;=客户对账单!$G$4,资金台帐!B1424&lt;=客户对账单!$I$4),资金台帐!B1424+ROW()/100000,"")</f>
      </c>
      <c r="H4421">
        <f>IF(AND(资金台帐!K2924&lt;&gt;"",资金台帐!K2924=供应商对账单!$B$4,资金台帐!P2924="应付",ISNUMBER(资金台帐!B2924),资金台帐!B2924&gt;=供应商对账单!$G$4,资金台帐!B2924&lt;=供应商对账单!$I$4),资金台帐!B2924+ROW()/100000,"")</f>
      </c>
    </row>
    <row r="4422">
      <c r="F4422">
        <f>IF(AND(资金台帐!J1425&lt;&gt;"",资金台帐!J1425=客户对账单!$B$4,资金台帐!P1425="应收",ISNUMBER(资金台帐!B1425),资金台帐!B1425&gt;=客户对账单!$G$4,资金台帐!B1425&lt;=客户对账单!$I$4),资金台帐!B1425+ROW()/100000,"")</f>
      </c>
      <c r="H4422">
        <f>IF(AND(资金台帐!K2925&lt;&gt;"",资金台帐!K2925=供应商对账单!$B$4,资金台帐!P2925="应付",ISNUMBER(资金台帐!B2925),资金台帐!B2925&gt;=供应商对账单!$G$4,资金台帐!B2925&lt;=供应商对账单!$I$4),资金台帐!B2925+ROW()/100000,"")</f>
      </c>
    </row>
    <row r="4423">
      <c r="F4423">
        <f>IF(AND(资金台帐!J1426&lt;&gt;"",资金台帐!J1426=客户对账单!$B$4,资金台帐!P1426="应收",ISNUMBER(资金台帐!B1426),资金台帐!B1426&gt;=客户对账单!$G$4,资金台帐!B1426&lt;=客户对账单!$I$4),资金台帐!B1426+ROW()/100000,"")</f>
      </c>
      <c r="H4423">
        <f>IF(AND(资金台帐!K2926&lt;&gt;"",资金台帐!K2926=供应商对账单!$B$4,资金台帐!P2926="应付",ISNUMBER(资金台帐!B2926),资金台帐!B2926&gt;=供应商对账单!$G$4,资金台帐!B2926&lt;=供应商对账单!$I$4),资金台帐!B2926+ROW()/100000,"")</f>
      </c>
    </row>
    <row r="4424">
      <c r="F4424">
        <f>IF(AND(资金台帐!J1427&lt;&gt;"",资金台帐!J1427=客户对账单!$B$4,资金台帐!P1427="应收",ISNUMBER(资金台帐!B1427),资金台帐!B1427&gt;=客户对账单!$G$4,资金台帐!B1427&lt;=客户对账单!$I$4),资金台帐!B1427+ROW()/100000,"")</f>
      </c>
      <c r="H4424">
        <f>IF(AND(资金台帐!K2927&lt;&gt;"",资金台帐!K2927=供应商对账单!$B$4,资金台帐!P2927="应付",ISNUMBER(资金台帐!B2927),资金台帐!B2927&gt;=供应商对账单!$G$4,资金台帐!B2927&lt;=供应商对账单!$I$4),资金台帐!B2927+ROW()/100000,"")</f>
      </c>
    </row>
    <row r="4425">
      <c r="F4425">
        <f>IF(AND(资金台帐!J1428&lt;&gt;"",资金台帐!J1428=客户对账单!$B$4,资金台帐!P1428="应收",ISNUMBER(资金台帐!B1428),资金台帐!B1428&gt;=客户对账单!$G$4,资金台帐!B1428&lt;=客户对账单!$I$4),资金台帐!B1428+ROW()/100000,"")</f>
      </c>
      <c r="H4425">
        <f>IF(AND(资金台帐!K2928&lt;&gt;"",资金台帐!K2928=供应商对账单!$B$4,资金台帐!P2928="应付",ISNUMBER(资金台帐!B2928),资金台帐!B2928&gt;=供应商对账单!$G$4,资金台帐!B2928&lt;=供应商对账单!$I$4),资金台帐!B2928+ROW()/100000,"")</f>
      </c>
    </row>
    <row r="4426">
      <c r="F4426">
        <f>IF(AND(资金台帐!J1429&lt;&gt;"",资金台帐!J1429=客户对账单!$B$4,资金台帐!P1429="应收",ISNUMBER(资金台帐!B1429),资金台帐!B1429&gt;=客户对账单!$G$4,资金台帐!B1429&lt;=客户对账单!$I$4),资金台帐!B1429+ROW()/100000,"")</f>
      </c>
      <c r="H4426">
        <f>IF(AND(资金台帐!K2929&lt;&gt;"",资金台帐!K2929=供应商对账单!$B$4,资金台帐!P2929="应付",ISNUMBER(资金台帐!B2929),资金台帐!B2929&gt;=供应商对账单!$G$4,资金台帐!B2929&lt;=供应商对账单!$I$4),资金台帐!B2929+ROW()/100000,"")</f>
      </c>
    </row>
    <row r="4427">
      <c r="F4427">
        <f>IF(AND(资金台帐!J1430&lt;&gt;"",资金台帐!J1430=客户对账单!$B$4,资金台帐!P1430="应收",ISNUMBER(资金台帐!B1430),资金台帐!B1430&gt;=客户对账单!$G$4,资金台帐!B1430&lt;=客户对账单!$I$4),资金台帐!B1430+ROW()/100000,"")</f>
      </c>
      <c r="H4427">
        <f>IF(AND(资金台帐!K2930&lt;&gt;"",资金台帐!K2930=供应商对账单!$B$4,资金台帐!P2930="应付",ISNUMBER(资金台帐!B2930),资金台帐!B2930&gt;=供应商对账单!$G$4,资金台帐!B2930&lt;=供应商对账单!$I$4),资金台帐!B2930+ROW()/100000,"")</f>
      </c>
    </row>
    <row r="4428">
      <c r="F4428">
        <f>IF(AND(资金台帐!J1431&lt;&gt;"",资金台帐!J1431=客户对账单!$B$4,资金台帐!P1431="应收",ISNUMBER(资金台帐!B1431),资金台帐!B1431&gt;=客户对账单!$G$4,资金台帐!B1431&lt;=客户对账单!$I$4),资金台帐!B1431+ROW()/100000,"")</f>
      </c>
      <c r="H4428">
        <f>IF(AND(资金台帐!K2931&lt;&gt;"",资金台帐!K2931=供应商对账单!$B$4,资金台帐!P2931="应付",ISNUMBER(资金台帐!B2931),资金台帐!B2931&gt;=供应商对账单!$G$4,资金台帐!B2931&lt;=供应商对账单!$I$4),资金台帐!B2931+ROW()/100000,"")</f>
      </c>
    </row>
    <row r="4429">
      <c r="F4429">
        <f>IF(AND(资金台帐!J1432&lt;&gt;"",资金台帐!J1432=客户对账单!$B$4,资金台帐!P1432="应收",ISNUMBER(资金台帐!B1432),资金台帐!B1432&gt;=客户对账单!$G$4,资金台帐!B1432&lt;=客户对账单!$I$4),资金台帐!B1432+ROW()/100000,"")</f>
      </c>
      <c r="H4429">
        <f>IF(AND(资金台帐!K2932&lt;&gt;"",资金台帐!K2932=供应商对账单!$B$4,资金台帐!P2932="应付",ISNUMBER(资金台帐!B2932),资金台帐!B2932&gt;=供应商对账单!$G$4,资金台帐!B2932&lt;=供应商对账单!$I$4),资金台帐!B2932+ROW()/100000,"")</f>
      </c>
    </row>
    <row r="4430">
      <c r="F4430">
        <f>IF(AND(资金台帐!J1433&lt;&gt;"",资金台帐!J1433=客户对账单!$B$4,资金台帐!P1433="应收",ISNUMBER(资金台帐!B1433),资金台帐!B1433&gt;=客户对账单!$G$4,资金台帐!B1433&lt;=客户对账单!$I$4),资金台帐!B1433+ROW()/100000,"")</f>
      </c>
      <c r="H4430">
        <f>IF(AND(资金台帐!K2933&lt;&gt;"",资金台帐!K2933=供应商对账单!$B$4,资金台帐!P2933="应付",ISNUMBER(资金台帐!B2933),资金台帐!B2933&gt;=供应商对账单!$G$4,资金台帐!B2933&lt;=供应商对账单!$I$4),资金台帐!B2933+ROW()/100000,"")</f>
      </c>
    </row>
    <row r="4431">
      <c r="F4431">
        <f>IF(AND(资金台帐!J1434&lt;&gt;"",资金台帐!J1434=客户对账单!$B$4,资金台帐!P1434="应收",ISNUMBER(资金台帐!B1434),资金台帐!B1434&gt;=客户对账单!$G$4,资金台帐!B1434&lt;=客户对账单!$I$4),资金台帐!B1434+ROW()/100000,"")</f>
      </c>
      <c r="H4431">
        <f>IF(AND(资金台帐!K2934&lt;&gt;"",资金台帐!K2934=供应商对账单!$B$4,资金台帐!P2934="应付",ISNUMBER(资金台帐!B2934),资金台帐!B2934&gt;=供应商对账单!$G$4,资金台帐!B2934&lt;=供应商对账单!$I$4),资金台帐!B2934+ROW()/100000,"")</f>
      </c>
    </row>
    <row r="4432">
      <c r="F4432">
        <f>IF(AND(资金台帐!J1435&lt;&gt;"",资金台帐!J1435=客户对账单!$B$4,资金台帐!P1435="应收",ISNUMBER(资金台帐!B1435),资金台帐!B1435&gt;=客户对账单!$G$4,资金台帐!B1435&lt;=客户对账单!$I$4),资金台帐!B1435+ROW()/100000,"")</f>
      </c>
      <c r="H4432">
        <f>IF(AND(资金台帐!K2935&lt;&gt;"",资金台帐!K2935=供应商对账单!$B$4,资金台帐!P2935="应付",ISNUMBER(资金台帐!B2935),资金台帐!B2935&gt;=供应商对账单!$G$4,资金台帐!B2935&lt;=供应商对账单!$I$4),资金台帐!B2935+ROW()/100000,"")</f>
      </c>
    </row>
    <row r="4433">
      <c r="F4433">
        <f>IF(AND(资金台帐!J1436&lt;&gt;"",资金台帐!J1436=客户对账单!$B$4,资金台帐!P1436="应收",ISNUMBER(资金台帐!B1436),资金台帐!B1436&gt;=客户对账单!$G$4,资金台帐!B1436&lt;=客户对账单!$I$4),资金台帐!B1436+ROW()/100000,"")</f>
      </c>
      <c r="H4433">
        <f>IF(AND(资金台帐!K2936&lt;&gt;"",资金台帐!K2936=供应商对账单!$B$4,资金台帐!P2936="应付",ISNUMBER(资金台帐!B2936),资金台帐!B2936&gt;=供应商对账单!$G$4,资金台帐!B2936&lt;=供应商对账单!$I$4),资金台帐!B2936+ROW()/100000,"")</f>
      </c>
    </row>
    <row r="4434">
      <c r="F4434">
        <f>IF(AND(资金台帐!J1437&lt;&gt;"",资金台帐!J1437=客户对账单!$B$4,资金台帐!P1437="应收",ISNUMBER(资金台帐!B1437),资金台帐!B1437&gt;=客户对账单!$G$4,资金台帐!B1437&lt;=客户对账单!$I$4),资金台帐!B1437+ROW()/100000,"")</f>
      </c>
      <c r="H4434">
        <f>IF(AND(资金台帐!K2937&lt;&gt;"",资金台帐!K2937=供应商对账单!$B$4,资金台帐!P2937="应付",ISNUMBER(资金台帐!B2937),资金台帐!B2937&gt;=供应商对账单!$G$4,资金台帐!B2937&lt;=供应商对账单!$I$4),资金台帐!B2937+ROW()/100000,"")</f>
      </c>
    </row>
    <row r="4435">
      <c r="F4435">
        <f>IF(AND(资金台帐!J1438&lt;&gt;"",资金台帐!J1438=客户对账单!$B$4,资金台帐!P1438="应收",ISNUMBER(资金台帐!B1438),资金台帐!B1438&gt;=客户对账单!$G$4,资金台帐!B1438&lt;=客户对账单!$I$4),资金台帐!B1438+ROW()/100000,"")</f>
      </c>
      <c r="H4435">
        <f>IF(AND(资金台帐!K2938&lt;&gt;"",资金台帐!K2938=供应商对账单!$B$4,资金台帐!P2938="应付",ISNUMBER(资金台帐!B2938),资金台帐!B2938&gt;=供应商对账单!$G$4,资金台帐!B2938&lt;=供应商对账单!$I$4),资金台帐!B2938+ROW()/100000,"")</f>
      </c>
    </row>
    <row r="4436">
      <c r="F4436">
        <f>IF(AND(资金台帐!J1439&lt;&gt;"",资金台帐!J1439=客户对账单!$B$4,资金台帐!P1439="应收",ISNUMBER(资金台帐!B1439),资金台帐!B1439&gt;=客户对账单!$G$4,资金台帐!B1439&lt;=客户对账单!$I$4),资金台帐!B1439+ROW()/100000,"")</f>
      </c>
      <c r="H4436">
        <f>IF(AND(资金台帐!K2939&lt;&gt;"",资金台帐!K2939=供应商对账单!$B$4,资金台帐!P2939="应付",ISNUMBER(资金台帐!B2939),资金台帐!B2939&gt;=供应商对账单!$G$4,资金台帐!B2939&lt;=供应商对账单!$I$4),资金台帐!B2939+ROW()/100000,"")</f>
      </c>
    </row>
    <row r="4437">
      <c r="F4437">
        <f>IF(AND(资金台帐!J1440&lt;&gt;"",资金台帐!J1440=客户对账单!$B$4,资金台帐!P1440="应收",ISNUMBER(资金台帐!B1440),资金台帐!B1440&gt;=客户对账单!$G$4,资金台帐!B1440&lt;=客户对账单!$I$4),资金台帐!B1440+ROW()/100000,"")</f>
      </c>
      <c r="H4437">
        <f>IF(AND(资金台帐!K2940&lt;&gt;"",资金台帐!K2940=供应商对账单!$B$4,资金台帐!P2940="应付",ISNUMBER(资金台帐!B2940),资金台帐!B2940&gt;=供应商对账单!$G$4,资金台帐!B2940&lt;=供应商对账单!$I$4),资金台帐!B2940+ROW()/100000,"")</f>
      </c>
    </row>
    <row r="4438">
      <c r="F4438">
        <f>IF(AND(资金台帐!J1441&lt;&gt;"",资金台帐!J1441=客户对账单!$B$4,资金台帐!P1441="应收",ISNUMBER(资金台帐!B1441),资金台帐!B1441&gt;=客户对账单!$G$4,资金台帐!B1441&lt;=客户对账单!$I$4),资金台帐!B1441+ROW()/100000,"")</f>
      </c>
      <c r="H4438">
        <f>IF(AND(资金台帐!K2941&lt;&gt;"",资金台帐!K2941=供应商对账单!$B$4,资金台帐!P2941="应付",ISNUMBER(资金台帐!B2941),资金台帐!B2941&gt;=供应商对账单!$G$4,资金台帐!B2941&lt;=供应商对账单!$I$4),资金台帐!B2941+ROW()/100000,"")</f>
      </c>
    </row>
    <row r="4439">
      <c r="F4439">
        <f>IF(AND(资金台帐!J1442&lt;&gt;"",资金台帐!J1442=客户对账单!$B$4,资金台帐!P1442="应收",ISNUMBER(资金台帐!B1442),资金台帐!B1442&gt;=客户对账单!$G$4,资金台帐!B1442&lt;=客户对账单!$I$4),资金台帐!B1442+ROW()/100000,"")</f>
      </c>
      <c r="H4439">
        <f>IF(AND(资金台帐!K2942&lt;&gt;"",资金台帐!K2942=供应商对账单!$B$4,资金台帐!P2942="应付",ISNUMBER(资金台帐!B2942),资金台帐!B2942&gt;=供应商对账单!$G$4,资金台帐!B2942&lt;=供应商对账单!$I$4),资金台帐!B2942+ROW()/100000,"")</f>
      </c>
    </row>
    <row r="4440">
      <c r="F4440">
        <f>IF(AND(资金台帐!J1443&lt;&gt;"",资金台帐!J1443=客户对账单!$B$4,资金台帐!P1443="应收",ISNUMBER(资金台帐!B1443),资金台帐!B1443&gt;=客户对账单!$G$4,资金台帐!B1443&lt;=客户对账单!$I$4),资金台帐!B1443+ROW()/100000,"")</f>
      </c>
      <c r="H4440">
        <f>IF(AND(资金台帐!K2943&lt;&gt;"",资金台帐!K2943=供应商对账单!$B$4,资金台帐!P2943="应付",ISNUMBER(资金台帐!B2943),资金台帐!B2943&gt;=供应商对账单!$G$4,资金台帐!B2943&lt;=供应商对账单!$I$4),资金台帐!B2943+ROW()/100000,"")</f>
      </c>
    </row>
    <row r="4441">
      <c r="F4441">
        <f>IF(AND(资金台帐!J1444&lt;&gt;"",资金台帐!J1444=客户对账单!$B$4,资金台帐!P1444="应收",ISNUMBER(资金台帐!B1444),资金台帐!B1444&gt;=客户对账单!$G$4,资金台帐!B1444&lt;=客户对账单!$I$4),资金台帐!B1444+ROW()/100000,"")</f>
      </c>
      <c r="H4441">
        <f>IF(AND(资金台帐!K2944&lt;&gt;"",资金台帐!K2944=供应商对账单!$B$4,资金台帐!P2944="应付",ISNUMBER(资金台帐!B2944),资金台帐!B2944&gt;=供应商对账单!$G$4,资金台帐!B2944&lt;=供应商对账单!$I$4),资金台帐!B2944+ROW()/100000,"")</f>
      </c>
    </row>
    <row r="4442">
      <c r="F4442">
        <f>IF(AND(资金台帐!J1445&lt;&gt;"",资金台帐!J1445=客户对账单!$B$4,资金台帐!P1445="应收",ISNUMBER(资金台帐!B1445),资金台帐!B1445&gt;=客户对账单!$G$4,资金台帐!B1445&lt;=客户对账单!$I$4),资金台帐!B1445+ROW()/100000,"")</f>
      </c>
      <c r="H4442">
        <f>IF(AND(资金台帐!K2945&lt;&gt;"",资金台帐!K2945=供应商对账单!$B$4,资金台帐!P2945="应付",ISNUMBER(资金台帐!B2945),资金台帐!B2945&gt;=供应商对账单!$G$4,资金台帐!B2945&lt;=供应商对账单!$I$4),资金台帐!B2945+ROW()/100000,"")</f>
      </c>
    </row>
    <row r="4443">
      <c r="F4443">
        <f>IF(AND(资金台帐!J1446&lt;&gt;"",资金台帐!J1446=客户对账单!$B$4,资金台帐!P1446="应收",ISNUMBER(资金台帐!B1446),资金台帐!B1446&gt;=客户对账单!$G$4,资金台帐!B1446&lt;=客户对账单!$I$4),资金台帐!B1446+ROW()/100000,"")</f>
      </c>
      <c r="H4443">
        <f>IF(AND(资金台帐!K2946&lt;&gt;"",资金台帐!K2946=供应商对账单!$B$4,资金台帐!P2946="应付",ISNUMBER(资金台帐!B2946),资金台帐!B2946&gt;=供应商对账单!$G$4,资金台帐!B2946&lt;=供应商对账单!$I$4),资金台帐!B2946+ROW()/100000,"")</f>
      </c>
    </row>
    <row r="4444">
      <c r="F4444">
        <f>IF(AND(资金台帐!J1447&lt;&gt;"",资金台帐!J1447=客户对账单!$B$4,资金台帐!P1447="应收",ISNUMBER(资金台帐!B1447),资金台帐!B1447&gt;=客户对账单!$G$4,资金台帐!B1447&lt;=客户对账单!$I$4),资金台帐!B1447+ROW()/100000,"")</f>
      </c>
      <c r="H4444">
        <f>IF(AND(资金台帐!K2947&lt;&gt;"",资金台帐!K2947=供应商对账单!$B$4,资金台帐!P2947="应付",ISNUMBER(资金台帐!B2947),资金台帐!B2947&gt;=供应商对账单!$G$4,资金台帐!B2947&lt;=供应商对账单!$I$4),资金台帐!B2947+ROW()/100000,"")</f>
      </c>
    </row>
    <row r="4445">
      <c r="F4445">
        <f>IF(AND(资金台帐!J1448&lt;&gt;"",资金台帐!J1448=客户对账单!$B$4,资金台帐!P1448="应收",ISNUMBER(资金台帐!B1448),资金台帐!B1448&gt;=客户对账单!$G$4,资金台帐!B1448&lt;=客户对账单!$I$4),资金台帐!B1448+ROW()/100000,"")</f>
      </c>
      <c r="H4445">
        <f>IF(AND(资金台帐!K2948&lt;&gt;"",资金台帐!K2948=供应商对账单!$B$4,资金台帐!P2948="应付",ISNUMBER(资金台帐!B2948),资金台帐!B2948&gt;=供应商对账单!$G$4,资金台帐!B2948&lt;=供应商对账单!$I$4),资金台帐!B2948+ROW()/100000,"")</f>
      </c>
    </row>
    <row r="4446">
      <c r="F4446">
        <f>IF(AND(资金台帐!J1449&lt;&gt;"",资金台帐!J1449=客户对账单!$B$4,资金台帐!P1449="应收",ISNUMBER(资金台帐!B1449),资金台帐!B1449&gt;=客户对账单!$G$4,资金台帐!B1449&lt;=客户对账单!$I$4),资金台帐!B1449+ROW()/100000,"")</f>
      </c>
      <c r="H4446">
        <f>IF(AND(资金台帐!K2949&lt;&gt;"",资金台帐!K2949=供应商对账单!$B$4,资金台帐!P2949="应付",ISNUMBER(资金台帐!B2949),资金台帐!B2949&gt;=供应商对账单!$G$4,资金台帐!B2949&lt;=供应商对账单!$I$4),资金台帐!B2949+ROW()/100000,"")</f>
      </c>
    </row>
    <row r="4447">
      <c r="F4447">
        <f>IF(AND(资金台帐!J1450&lt;&gt;"",资金台帐!J1450=客户对账单!$B$4,资金台帐!P1450="应收",ISNUMBER(资金台帐!B1450),资金台帐!B1450&gt;=客户对账单!$G$4,资金台帐!B1450&lt;=客户对账单!$I$4),资金台帐!B1450+ROW()/100000,"")</f>
      </c>
      <c r="H4447">
        <f>IF(AND(资金台帐!K2950&lt;&gt;"",资金台帐!K2950=供应商对账单!$B$4,资金台帐!P2950="应付",ISNUMBER(资金台帐!B2950),资金台帐!B2950&gt;=供应商对账单!$G$4,资金台帐!B2950&lt;=供应商对账单!$I$4),资金台帐!B2950+ROW()/100000,"")</f>
      </c>
    </row>
    <row r="4448">
      <c r="F4448">
        <f>IF(AND(资金台帐!J1451&lt;&gt;"",资金台帐!J1451=客户对账单!$B$4,资金台帐!P1451="应收",ISNUMBER(资金台帐!B1451),资金台帐!B1451&gt;=客户对账单!$G$4,资金台帐!B1451&lt;=客户对账单!$I$4),资金台帐!B1451+ROW()/100000,"")</f>
      </c>
      <c r="H4448">
        <f>IF(AND(资金台帐!K2951&lt;&gt;"",资金台帐!K2951=供应商对账单!$B$4,资金台帐!P2951="应付",ISNUMBER(资金台帐!B2951),资金台帐!B2951&gt;=供应商对账单!$G$4,资金台帐!B2951&lt;=供应商对账单!$I$4),资金台帐!B2951+ROW()/100000,"")</f>
      </c>
    </row>
    <row r="4449">
      <c r="F4449">
        <f>IF(AND(资金台帐!J1452&lt;&gt;"",资金台帐!J1452=客户对账单!$B$4,资金台帐!P1452="应收",ISNUMBER(资金台帐!B1452),资金台帐!B1452&gt;=客户对账单!$G$4,资金台帐!B1452&lt;=客户对账单!$I$4),资金台帐!B1452+ROW()/100000,"")</f>
      </c>
      <c r="H4449">
        <f>IF(AND(资金台帐!K2952&lt;&gt;"",资金台帐!K2952=供应商对账单!$B$4,资金台帐!P2952="应付",ISNUMBER(资金台帐!B2952),资金台帐!B2952&gt;=供应商对账单!$G$4,资金台帐!B2952&lt;=供应商对账单!$I$4),资金台帐!B2952+ROW()/100000,"")</f>
      </c>
    </row>
    <row r="4450">
      <c r="F4450">
        <f>IF(AND(资金台帐!J1453&lt;&gt;"",资金台帐!J1453=客户对账单!$B$4,资金台帐!P1453="应收",ISNUMBER(资金台帐!B1453),资金台帐!B1453&gt;=客户对账单!$G$4,资金台帐!B1453&lt;=客户对账单!$I$4),资金台帐!B1453+ROW()/100000,"")</f>
      </c>
      <c r="H4450">
        <f>IF(AND(资金台帐!K2953&lt;&gt;"",资金台帐!K2953=供应商对账单!$B$4,资金台帐!P2953="应付",ISNUMBER(资金台帐!B2953),资金台帐!B2953&gt;=供应商对账单!$G$4,资金台帐!B2953&lt;=供应商对账单!$I$4),资金台帐!B2953+ROW()/100000,"")</f>
      </c>
    </row>
    <row r="4451">
      <c r="F4451">
        <f>IF(AND(资金台帐!J1454&lt;&gt;"",资金台帐!J1454=客户对账单!$B$4,资金台帐!P1454="应收",ISNUMBER(资金台帐!B1454),资金台帐!B1454&gt;=客户对账单!$G$4,资金台帐!B1454&lt;=客户对账单!$I$4),资金台帐!B1454+ROW()/100000,"")</f>
      </c>
      <c r="H4451">
        <f>IF(AND(资金台帐!K2954&lt;&gt;"",资金台帐!K2954=供应商对账单!$B$4,资金台帐!P2954="应付",ISNUMBER(资金台帐!B2954),资金台帐!B2954&gt;=供应商对账单!$G$4,资金台帐!B2954&lt;=供应商对账单!$I$4),资金台帐!B2954+ROW()/100000,"")</f>
      </c>
    </row>
    <row r="4452">
      <c r="F4452">
        <f>IF(AND(资金台帐!J1455&lt;&gt;"",资金台帐!J1455=客户对账单!$B$4,资金台帐!P1455="应收",ISNUMBER(资金台帐!B1455),资金台帐!B1455&gt;=客户对账单!$G$4,资金台帐!B1455&lt;=客户对账单!$I$4),资金台帐!B1455+ROW()/100000,"")</f>
      </c>
      <c r="H4452">
        <f>IF(AND(资金台帐!K2955&lt;&gt;"",资金台帐!K2955=供应商对账单!$B$4,资金台帐!P2955="应付",ISNUMBER(资金台帐!B2955),资金台帐!B2955&gt;=供应商对账单!$G$4,资金台帐!B2955&lt;=供应商对账单!$I$4),资金台帐!B2955+ROW()/100000,"")</f>
      </c>
    </row>
    <row r="4453">
      <c r="F4453">
        <f>IF(AND(资金台帐!J1456&lt;&gt;"",资金台帐!J1456=客户对账单!$B$4,资金台帐!P1456="应收",ISNUMBER(资金台帐!B1456),资金台帐!B1456&gt;=客户对账单!$G$4,资金台帐!B1456&lt;=客户对账单!$I$4),资金台帐!B1456+ROW()/100000,"")</f>
      </c>
      <c r="H4453">
        <f>IF(AND(资金台帐!K2956&lt;&gt;"",资金台帐!K2956=供应商对账单!$B$4,资金台帐!P2956="应付",ISNUMBER(资金台帐!B2956),资金台帐!B2956&gt;=供应商对账单!$G$4,资金台帐!B2956&lt;=供应商对账单!$I$4),资金台帐!B2956+ROW()/100000,"")</f>
      </c>
    </row>
    <row r="4454">
      <c r="F4454">
        <f>IF(AND(资金台帐!J1457&lt;&gt;"",资金台帐!J1457=客户对账单!$B$4,资金台帐!P1457="应收",ISNUMBER(资金台帐!B1457),资金台帐!B1457&gt;=客户对账单!$G$4,资金台帐!B1457&lt;=客户对账单!$I$4),资金台帐!B1457+ROW()/100000,"")</f>
      </c>
      <c r="H4454">
        <f>IF(AND(资金台帐!K2957&lt;&gt;"",资金台帐!K2957=供应商对账单!$B$4,资金台帐!P2957="应付",ISNUMBER(资金台帐!B2957),资金台帐!B2957&gt;=供应商对账单!$G$4,资金台帐!B2957&lt;=供应商对账单!$I$4),资金台帐!B2957+ROW()/100000,"")</f>
      </c>
    </row>
    <row r="4455">
      <c r="F4455">
        <f>IF(AND(资金台帐!J1458&lt;&gt;"",资金台帐!J1458=客户对账单!$B$4,资金台帐!P1458="应收",ISNUMBER(资金台帐!B1458),资金台帐!B1458&gt;=客户对账单!$G$4,资金台帐!B1458&lt;=客户对账单!$I$4),资金台帐!B1458+ROW()/100000,"")</f>
      </c>
      <c r="H4455">
        <f>IF(AND(资金台帐!K2958&lt;&gt;"",资金台帐!K2958=供应商对账单!$B$4,资金台帐!P2958="应付",ISNUMBER(资金台帐!B2958),资金台帐!B2958&gt;=供应商对账单!$G$4,资金台帐!B2958&lt;=供应商对账单!$I$4),资金台帐!B2958+ROW()/100000,"")</f>
      </c>
    </row>
    <row r="4456">
      <c r="F4456">
        <f>IF(AND(资金台帐!J1459&lt;&gt;"",资金台帐!J1459=客户对账单!$B$4,资金台帐!P1459="应收",ISNUMBER(资金台帐!B1459),资金台帐!B1459&gt;=客户对账单!$G$4,资金台帐!B1459&lt;=客户对账单!$I$4),资金台帐!B1459+ROW()/100000,"")</f>
      </c>
      <c r="H4456">
        <f>IF(AND(资金台帐!K2959&lt;&gt;"",资金台帐!K2959=供应商对账单!$B$4,资金台帐!P2959="应付",ISNUMBER(资金台帐!B2959),资金台帐!B2959&gt;=供应商对账单!$G$4,资金台帐!B2959&lt;=供应商对账单!$I$4),资金台帐!B2959+ROW()/100000,"")</f>
      </c>
    </row>
    <row r="4457">
      <c r="F4457">
        <f>IF(AND(资金台帐!J1460&lt;&gt;"",资金台帐!J1460=客户对账单!$B$4,资金台帐!P1460="应收",ISNUMBER(资金台帐!B1460),资金台帐!B1460&gt;=客户对账单!$G$4,资金台帐!B1460&lt;=客户对账单!$I$4),资金台帐!B1460+ROW()/100000,"")</f>
      </c>
      <c r="H4457">
        <f>IF(AND(资金台帐!K2960&lt;&gt;"",资金台帐!K2960=供应商对账单!$B$4,资金台帐!P2960="应付",ISNUMBER(资金台帐!B2960),资金台帐!B2960&gt;=供应商对账单!$G$4,资金台帐!B2960&lt;=供应商对账单!$I$4),资金台帐!B2960+ROW()/100000,"")</f>
      </c>
    </row>
    <row r="4458">
      <c r="F4458">
        <f>IF(AND(资金台帐!J1461&lt;&gt;"",资金台帐!J1461=客户对账单!$B$4,资金台帐!P1461="应收",ISNUMBER(资金台帐!B1461),资金台帐!B1461&gt;=客户对账单!$G$4,资金台帐!B1461&lt;=客户对账单!$I$4),资金台帐!B1461+ROW()/100000,"")</f>
      </c>
      <c r="H4458">
        <f>IF(AND(资金台帐!K2961&lt;&gt;"",资金台帐!K2961=供应商对账单!$B$4,资金台帐!P2961="应付",ISNUMBER(资金台帐!B2961),资金台帐!B2961&gt;=供应商对账单!$G$4,资金台帐!B2961&lt;=供应商对账单!$I$4),资金台帐!B2961+ROW()/100000,"")</f>
      </c>
    </row>
    <row r="4459">
      <c r="F4459">
        <f>IF(AND(资金台帐!J1462&lt;&gt;"",资金台帐!J1462=客户对账单!$B$4,资金台帐!P1462="应收",ISNUMBER(资金台帐!B1462),资金台帐!B1462&gt;=客户对账单!$G$4,资金台帐!B1462&lt;=客户对账单!$I$4),资金台帐!B1462+ROW()/100000,"")</f>
      </c>
      <c r="H4459">
        <f>IF(AND(资金台帐!K2962&lt;&gt;"",资金台帐!K2962=供应商对账单!$B$4,资金台帐!P2962="应付",ISNUMBER(资金台帐!B2962),资金台帐!B2962&gt;=供应商对账单!$G$4,资金台帐!B2962&lt;=供应商对账单!$I$4),资金台帐!B2962+ROW()/100000,"")</f>
      </c>
    </row>
    <row r="4460">
      <c r="F4460">
        <f>IF(AND(资金台帐!J1463&lt;&gt;"",资金台帐!J1463=客户对账单!$B$4,资金台帐!P1463="应收",ISNUMBER(资金台帐!B1463),资金台帐!B1463&gt;=客户对账单!$G$4,资金台帐!B1463&lt;=客户对账单!$I$4),资金台帐!B1463+ROW()/100000,"")</f>
      </c>
      <c r="H4460">
        <f>IF(AND(资金台帐!K2963&lt;&gt;"",资金台帐!K2963=供应商对账单!$B$4,资金台帐!P2963="应付",ISNUMBER(资金台帐!B2963),资金台帐!B2963&gt;=供应商对账单!$G$4,资金台帐!B2963&lt;=供应商对账单!$I$4),资金台帐!B2963+ROW()/100000,"")</f>
      </c>
    </row>
    <row r="4461">
      <c r="F4461">
        <f>IF(AND(资金台帐!J1464&lt;&gt;"",资金台帐!J1464=客户对账单!$B$4,资金台帐!P1464="应收",ISNUMBER(资金台帐!B1464),资金台帐!B1464&gt;=客户对账单!$G$4,资金台帐!B1464&lt;=客户对账单!$I$4),资金台帐!B1464+ROW()/100000,"")</f>
      </c>
      <c r="H4461">
        <f>IF(AND(资金台帐!K2964&lt;&gt;"",资金台帐!K2964=供应商对账单!$B$4,资金台帐!P2964="应付",ISNUMBER(资金台帐!B2964),资金台帐!B2964&gt;=供应商对账单!$G$4,资金台帐!B2964&lt;=供应商对账单!$I$4),资金台帐!B2964+ROW()/100000,"")</f>
      </c>
    </row>
    <row r="4462">
      <c r="F4462">
        <f>IF(AND(资金台帐!J1465&lt;&gt;"",资金台帐!J1465=客户对账单!$B$4,资金台帐!P1465="应收",ISNUMBER(资金台帐!B1465),资金台帐!B1465&gt;=客户对账单!$G$4,资金台帐!B1465&lt;=客户对账单!$I$4),资金台帐!B1465+ROW()/100000,"")</f>
      </c>
      <c r="H4462">
        <f>IF(AND(资金台帐!K2965&lt;&gt;"",资金台帐!K2965=供应商对账单!$B$4,资金台帐!P2965="应付",ISNUMBER(资金台帐!B2965),资金台帐!B2965&gt;=供应商对账单!$G$4,资金台帐!B2965&lt;=供应商对账单!$I$4),资金台帐!B2965+ROW()/100000,"")</f>
      </c>
    </row>
    <row r="4463">
      <c r="F4463">
        <f>IF(AND(资金台帐!J1466&lt;&gt;"",资金台帐!J1466=客户对账单!$B$4,资金台帐!P1466="应收",ISNUMBER(资金台帐!B1466),资金台帐!B1466&gt;=客户对账单!$G$4,资金台帐!B1466&lt;=客户对账单!$I$4),资金台帐!B1466+ROW()/100000,"")</f>
      </c>
      <c r="H4463">
        <f>IF(AND(资金台帐!K2966&lt;&gt;"",资金台帐!K2966=供应商对账单!$B$4,资金台帐!P2966="应付",ISNUMBER(资金台帐!B2966),资金台帐!B2966&gt;=供应商对账单!$G$4,资金台帐!B2966&lt;=供应商对账单!$I$4),资金台帐!B2966+ROW()/100000,"")</f>
      </c>
    </row>
    <row r="4464">
      <c r="F4464">
        <f>IF(AND(资金台帐!J1467&lt;&gt;"",资金台帐!J1467=客户对账单!$B$4,资金台帐!P1467="应收",ISNUMBER(资金台帐!B1467),资金台帐!B1467&gt;=客户对账单!$G$4,资金台帐!B1467&lt;=客户对账单!$I$4),资金台帐!B1467+ROW()/100000,"")</f>
      </c>
      <c r="H4464">
        <f>IF(AND(资金台帐!K2967&lt;&gt;"",资金台帐!K2967=供应商对账单!$B$4,资金台帐!P2967="应付",ISNUMBER(资金台帐!B2967),资金台帐!B2967&gt;=供应商对账单!$G$4,资金台帐!B2967&lt;=供应商对账单!$I$4),资金台帐!B2967+ROW()/100000,"")</f>
      </c>
    </row>
    <row r="4465">
      <c r="F4465">
        <f>IF(AND(资金台帐!J1468&lt;&gt;"",资金台帐!J1468=客户对账单!$B$4,资金台帐!P1468="应收",ISNUMBER(资金台帐!B1468),资金台帐!B1468&gt;=客户对账单!$G$4,资金台帐!B1468&lt;=客户对账单!$I$4),资金台帐!B1468+ROW()/100000,"")</f>
      </c>
      <c r="H4465">
        <f>IF(AND(资金台帐!K2968&lt;&gt;"",资金台帐!K2968=供应商对账单!$B$4,资金台帐!P2968="应付",ISNUMBER(资金台帐!B2968),资金台帐!B2968&gt;=供应商对账单!$G$4,资金台帐!B2968&lt;=供应商对账单!$I$4),资金台帐!B2968+ROW()/100000,"")</f>
      </c>
    </row>
    <row r="4466">
      <c r="F4466">
        <f>IF(AND(资金台帐!J1469&lt;&gt;"",资金台帐!J1469=客户对账单!$B$4,资金台帐!P1469="应收",ISNUMBER(资金台帐!B1469),资金台帐!B1469&gt;=客户对账单!$G$4,资金台帐!B1469&lt;=客户对账单!$I$4),资金台帐!B1469+ROW()/100000,"")</f>
      </c>
      <c r="H4466">
        <f>IF(AND(资金台帐!K2969&lt;&gt;"",资金台帐!K2969=供应商对账单!$B$4,资金台帐!P2969="应付",ISNUMBER(资金台帐!B2969),资金台帐!B2969&gt;=供应商对账单!$G$4,资金台帐!B2969&lt;=供应商对账单!$I$4),资金台帐!B2969+ROW()/100000,"")</f>
      </c>
    </row>
    <row r="4467">
      <c r="F4467">
        <f>IF(AND(资金台帐!J1470&lt;&gt;"",资金台帐!J1470=客户对账单!$B$4,资金台帐!P1470="应收",ISNUMBER(资金台帐!B1470),资金台帐!B1470&gt;=客户对账单!$G$4,资金台帐!B1470&lt;=客户对账单!$I$4),资金台帐!B1470+ROW()/100000,"")</f>
      </c>
      <c r="H4467">
        <f>IF(AND(资金台帐!K2970&lt;&gt;"",资金台帐!K2970=供应商对账单!$B$4,资金台帐!P2970="应付",ISNUMBER(资金台帐!B2970),资金台帐!B2970&gt;=供应商对账单!$G$4,资金台帐!B2970&lt;=供应商对账单!$I$4),资金台帐!B2970+ROW()/100000,"")</f>
      </c>
    </row>
    <row r="4468">
      <c r="F4468">
        <f>IF(AND(资金台帐!J1471&lt;&gt;"",资金台帐!J1471=客户对账单!$B$4,资金台帐!P1471="应收",ISNUMBER(资金台帐!B1471),资金台帐!B1471&gt;=客户对账单!$G$4,资金台帐!B1471&lt;=客户对账单!$I$4),资金台帐!B1471+ROW()/100000,"")</f>
      </c>
      <c r="H4468">
        <f>IF(AND(资金台帐!K2971&lt;&gt;"",资金台帐!K2971=供应商对账单!$B$4,资金台帐!P2971="应付",ISNUMBER(资金台帐!B2971),资金台帐!B2971&gt;=供应商对账单!$G$4,资金台帐!B2971&lt;=供应商对账单!$I$4),资金台帐!B2971+ROW()/100000,"")</f>
      </c>
    </row>
    <row r="4469">
      <c r="F4469">
        <f>IF(AND(资金台帐!J1472&lt;&gt;"",资金台帐!J1472=客户对账单!$B$4,资金台帐!P1472="应收",ISNUMBER(资金台帐!B1472),资金台帐!B1472&gt;=客户对账单!$G$4,资金台帐!B1472&lt;=客户对账单!$I$4),资金台帐!B1472+ROW()/100000,"")</f>
      </c>
      <c r="H4469">
        <f>IF(AND(资金台帐!K2972&lt;&gt;"",资金台帐!K2972=供应商对账单!$B$4,资金台帐!P2972="应付",ISNUMBER(资金台帐!B2972),资金台帐!B2972&gt;=供应商对账单!$G$4,资金台帐!B2972&lt;=供应商对账单!$I$4),资金台帐!B2972+ROW()/100000,"")</f>
      </c>
    </row>
    <row r="4470">
      <c r="F4470">
        <f>IF(AND(资金台帐!J1473&lt;&gt;"",资金台帐!J1473=客户对账单!$B$4,资金台帐!P1473="应收",ISNUMBER(资金台帐!B1473),资金台帐!B1473&gt;=客户对账单!$G$4,资金台帐!B1473&lt;=客户对账单!$I$4),资金台帐!B1473+ROW()/100000,"")</f>
      </c>
      <c r="H4470">
        <f>IF(AND(资金台帐!K2973&lt;&gt;"",资金台帐!K2973=供应商对账单!$B$4,资金台帐!P2973="应付",ISNUMBER(资金台帐!B2973),资金台帐!B2973&gt;=供应商对账单!$G$4,资金台帐!B2973&lt;=供应商对账单!$I$4),资金台帐!B2973+ROW()/100000,"")</f>
      </c>
    </row>
    <row r="4471">
      <c r="F4471">
        <f>IF(AND(资金台帐!J1474&lt;&gt;"",资金台帐!J1474=客户对账单!$B$4,资金台帐!P1474="应收",ISNUMBER(资金台帐!B1474),资金台帐!B1474&gt;=客户对账单!$G$4,资金台帐!B1474&lt;=客户对账单!$I$4),资金台帐!B1474+ROW()/100000,"")</f>
      </c>
      <c r="H4471">
        <f>IF(AND(资金台帐!K2974&lt;&gt;"",资金台帐!K2974=供应商对账单!$B$4,资金台帐!P2974="应付",ISNUMBER(资金台帐!B2974),资金台帐!B2974&gt;=供应商对账单!$G$4,资金台帐!B2974&lt;=供应商对账单!$I$4),资金台帐!B2974+ROW()/100000,"")</f>
      </c>
    </row>
    <row r="4472">
      <c r="F4472">
        <f>IF(AND(资金台帐!J1475&lt;&gt;"",资金台帐!J1475=客户对账单!$B$4,资金台帐!P1475="应收",ISNUMBER(资金台帐!B1475),资金台帐!B1475&gt;=客户对账单!$G$4,资金台帐!B1475&lt;=客户对账单!$I$4),资金台帐!B1475+ROW()/100000,"")</f>
      </c>
      <c r="H4472">
        <f>IF(AND(资金台帐!K2975&lt;&gt;"",资金台帐!K2975=供应商对账单!$B$4,资金台帐!P2975="应付",ISNUMBER(资金台帐!B2975),资金台帐!B2975&gt;=供应商对账单!$G$4,资金台帐!B2975&lt;=供应商对账单!$I$4),资金台帐!B2975+ROW()/100000,"")</f>
      </c>
    </row>
    <row r="4473">
      <c r="F4473">
        <f>IF(AND(资金台帐!J1476&lt;&gt;"",资金台帐!J1476=客户对账单!$B$4,资金台帐!P1476="应收",ISNUMBER(资金台帐!B1476),资金台帐!B1476&gt;=客户对账单!$G$4,资金台帐!B1476&lt;=客户对账单!$I$4),资金台帐!B1476+ROW()/100000,"")</f>
      </c>
      <c r="H4473">
        <f>IF(AND(资金台帐!K2976&lt;&gt;"",资金台帐!K2976=供应商对账单!$B$4,资金台帐!P2976="应付",ISNUMBER(资金台帐!B2976),资金台帐!B2976&gt;=供应商对账单!$G$4,资金台帐!B2976&lt;=供应商对账单!$I$4),资金台帐!B2976+ROW()/100000,"")</f>
      </c>
    </row>
    <row r="4474">
      <c r="F4474">
        <f>IF(AND(资金台帐!J1477&lt;&gt;"",资金台帐!J1477=客户对账单!$B$4,资金台帐!P1477="应收",ISNUMBER(资金台帐!B1477),资金台帐!B1477&gt;=客户对账单!$G$4,资金台帐!B1477&lt;=客户对账单!$I$4),资金台帐!B1477+ROW()/100000,"")</f>
      </c>
      <c r="H4474">
        <f>IF(AND(资金台帐!K2977&lt;&gt;"",资金台帐!K2977=供应商对账单!$B$4,资金台帐!P2977="应付",ISNUMBER(资金台帐!B2977),资金台帐!B2977&gt;=供应商对账单!$G$4,资金台帐!B2977&lt;=供应商对账单!$I$4),资金台帐!B2977+ROW()/100000,"")</f>
      </c>
    </row>
    <row r="4475">
      <c r="F4475">
        <f>IF(AND(资金台帐!J1478&lt;&gt;"",资金台帐!J1478=客户对账单!$B$4,资金台帐!P1478="应收",ISNUMBER(资金台帐!B1478),资金台帐!B1478&gt;=客户对账单!$G$4,资金台帐!B1478&lt;=客户对账单!$I$4),资金台帐!B1478+ROW()/100000,"")</f>
      </c>
      <c r="H4475">
        <f>IF(AND(资金台帐!K2978&lt;&gt;"",资金台帐!K2978=供应商对账单!$B$4,资金台帐!P2978="应付",ISNUMBER(资金台帐!B2978),资金台帐!B2978&gt;=供应商对账单!$G$4,资金台帐!B2978&lt;=供应商对账单!$I$4),资金台帐!B2978+ROW()/100000,"")</f>
      </c>
    </row>
    <row r="4476">
      <c r="F4476">
        <f>IF(AND(资金台帐!J1479&lt;&gt;"",资金台帐!J1479=客户对账单!$B$4,资金台帐!P1479="应收",ISNUMBER(资金台帐!B1479),资金台帐!B1479&gt;=客户对账单!$G$4,资金台帐!B1479&lt;=客户对账单!$I$4),资金台帐!B1479+ROW()/100000,"")</f>
      </c>
      <c r="H4476">
        <f>IF(AND(资金台帐!K2979&lt;&gt;"",资金台帐!K2979=供应商对账单!$B$4,资金台帐!P2979="应付",ISNUMBER(资金台帐!B2979),资金台帐!B2979&gt;=供应商对账单!$G$4,资金台帐!B2979&lt;=供应商对账单!$I$4),资金台帐!B2979+ROW()/100000,"")</f>
      </c>
    </row>
    <row r="4477">
      <c r="F4477">
        <f>IF(AND(资金台帐!J1480&lt;&gt;"",资金台帐!J1480=客户对账单!$B$4,资金台帐!P1480="应收",ISNUMBER(资金台帐!B1480),资金台帐!B1480&gt;=客户对账单!$G$4,资金台帐!B1480&lt;=客户对账单!$I$4),资金台帐!B1480+ROW()/100000,"")</f>
      </c>
      <c r="H4477">
        <f>IF(AND(资金台帐!K2980&lt;&gt;"",资金台帐!K2980=供应商对账单!$B$4,资金台帐!P2980="应付",ISNUMBER(资金台帐!B2980),资金台帐!B2980&gt;=供应商对账单!$G$4,资金台帐!B2980&lt;=供应商对账单!$I$4),资金台帐!B2980+ROW()/100000,"")</f>
      </c>
    </row>
    <row r="4478">
      <c r="F4478">
        <f>IF(AND(资金台帐!J1481&lt;&gt;"",资金台帐!J1481=客户对账单!$B$4,资金台帐!P1481="应收",ISNUMBER(资金台帐!B1481),资金台帐!B1481&gt;=客户对账单!$G$4,资金台帐!B1481&lt;=客户对账单!$I$4),资金台帐!B1481+ROW()/100000,"")</f>
      </c>
      <c r="H4478">
        <f>IF(AND(资金台帐!K2981&lt;&gt;"",资金台帐!K2981=供应商对账单!$B$4,资金台帐!P2981="应付",ISNUMBER(资金台帐!B2981),资金台帐!B2981&gt;=供应商对账单!$G$4,资金台帐!B2981&lt;=供应商对账单!$I$4),资金台帐!B2981+ROW()/100000,"")</f>
      </c>
    </row>
    <row r="4479">
      <c r="F4479">
        <f>IF(AND(资金台帐!J1482&lt;&gt;"",资金台帐!J1482=客户对账单!$B$4,资金台帐!P1482="应收",ISNUMBER(资金台帐!B1482),资金台帐!B1482&gt;=客户对账单!$G$4,资金台帐!B1482&lt;=客户对账单!$I$4),资金台帐!B1482+ROW()/100000,"")</f>
      </c>
      <c r="H4479">
        <f>IF(AND(资金台帐!K2982&lt;&gt;"",资金台帐!K2982=供应商对账单!$B$4,资金台帐!P2982="应付",ISNUMBER(资金台帐!B2982),资金台帐!B2982&gt;=供应商对账单!$G$4,资金台帐!B2982&lt;=供应商对账单!$I$4),资金台帐!B2982+ROW()/100000,"")</f>
      </c>
    </row>
    <row r="4480">
      <c r="F4480">
        <f>IF(AND(资金台帐!J1483&lt;&gt;"",资金台帐!J1483=客户对账单!$B$4,资金台帐!P1483="应收",ISNUMBER(资金台帐!B1483),资金台帐!B1483&gt;=客户对账单!$G$4,资金台帐!B1483&lt;=客户对账单!$I$4),资金台帐!B1483+ROW()/100000,"")</f>
      </c>
      <c r="H4480">
        <f>IF(AND(资金台帐!K2983&lt;&gt;"",资金台帐!K2983=供应商对账单!$B$4,资金台帐!P2983="应付",ISNUMBER(资金台帐!B2983),资金台帐!B2983&gt;=供应商对账单!$G$4,资金台帐!B2983&lt;=供应商对账单!$I$4),资金台帐!B2983+ROW()/100000,"")</f>
      </c>
    </row>
    <row r="4481">
      <c r="F4481">
        <f>IF(AND(资金台帐!J1484&lt;&gt;"",资金台帐!J1484=客户对账单!$B$4,资金台帐!P1484="应收",ISNUMBER(资金台帐!B1484),资金台帐!B1484&gt;=客户对账单!$G$4,资金台帐!B1484&lt;=客户对账单!$I$4),资金台帐!B1484+ROW()/100000,"")</f>
      </c>
      <c r="H4481">
        <f>IF(AND(资金台帐!K2984&lt;&gt;"",资金台帐!K2984=供应商对账单!$B$4,资金台帐!P2984="应付",ISNUMBER(资金台帐!B2984),资金台帐!B2984&gt;=供应商对账单!$G$4,资金台帐!B2984&lt;=供应商对账单!$I$4),资金台帐!B2984+ROW()/100000,"")</f>
      </c>
    </row>
    <row r="4482">
      <c r="F4482">
        <f>IF(AND(资金台帐!J1485&lt;&gt;"",资金台帐!J1485=客户对账单!$B$4,资金台帐!P1485="应收",ISNUMBER(资金台帐!B1485),资金台帐!B1485&gt;=客户对账单!$G$4,资金台帐!B1485&lt;=客户对账单!$I$4),资金台帐!B1485+ROW()/100000,"")</f>
      </c>
      <c r="H4482">
        <f>IF(AND(资金台帐!K2985&lt;&gt;"",资金台帐!K2985=供应商对账单!$B$4,资金台帐!P2985="应付",ISNUMBER(资金台帐!B2985),资金台帐!B2985&gt;=供应商对账单!$G$4,资金台帐!B2985&lt;=供应商对账单!$I$4),资金台帐!B2985+ROW()/100000,"")</f>
      </c>
    </row>
    <row r="4483">
      <c r="F4483">
        <f>IF(AND(资金台帐!J1486&lt;&gt;"",资金台帐!J1486=客户对账单!$B$4,资金台帐!P1486="应收",ISNUMBER(资金台帐!B1486),资金台帐!B1486&gt;=客户对账单!$G$4,资金台帐!B1486&lt;=客户对账单!$I$4),资金台帐!B1486+ROW()/100000,"")</f>
      </c>
      <c r="H4483">
        <f>IF(AND(资金台帐!K2986&lt;&gt;"",资金台帐!K2986=供应商对账单!$B$4,资金台帐!P2986="应付",ISNUMBER(资金台帐!B2986),资金台帐!B2986&gt;=供应商对账单!$G$4,资金台帐!B2986&lt;=供应商对账单!$I$4),资金台帐!B2986+ROW()/100000,"")</f>
      </c>
    </row>
    <row r="4484">
      <c r="F4484">
        <f>IF(AND(资金台帐!J1487&lt;&gt;"",资金台帐!J1487=客户对账单!$B$4,资金台帐!P1487="应收",ISNUMBER(资金台帐!B1487),资金台帐!B1487&gt;=客户对账单!$G$4,资金台帐!B1487&lt;=客户对账单!$I$4),资金台帐!B1487+ROW()/100000,"")</f>
      </c>
      <c r="H4484">
        <f>IF(AND(资金台帐!K2987&lt;&gt;"",资金台帐!K2987=供应商对账单!$B$4,资金台帐!P2987="应付",ISNUMBER(资金台帐!B2987),资金台帐!B2987&gt;=供应商对账单!$G$4,资金台帐!B2987&lt;=供应商对账单!$I$4),资金台帐!B2987+ROW()/100000,"")</f>
      </c>
    </row>
    <row r="4485">
      <c r="F4485">
        <f>IF(AND(资金台帐!J1488&lt;&gt;"",资金台帐!J1488=客户对账单!$B$4,资金台帐!P1488="应收",ISNUMBER(资金台帐!B1488),资金台帐!B1488&gt;=客户对账单!$G$4,资金台帐!B1488&lt;=客户对账单!$I$4),资金台帐!B1488+ROW()/100000,"")</f>
      </c>
      <c r="H4485">
        <f>IF(AND(资金台帐!K2988&lt;&gt;"",资金台帐!K2988=供应商对账单!$B$4,资金台帐!P2988="应付",ISNUMBER(资金台帐!B2988),资金台帐!B2988&gt;=供应商对账单!$G$4,资金台帐!B2988&lt;=供应商对账单!$I$4),资金台帐!B2988+ROW()/100000,"")</f>
      </c>
    </row>
    <row r="4486">
      <c r="F4486">
        <f>IF(AND(资金台帐!J1489&lt;&gt;"",资金台帐!J1489=客户对账单!$B$4,资金台帐!P1489="应收",ISNUMBER(资金台帐!B1489),资金台帐!B1489&gt;=客户对账单!$G$4,资金台帐!B1489&lt;=客户对账单!$I$4),资金台帐!B1489+ROW()/100000,"")</f>
      </c>
      <c r="H4486">
        <f>IF(AND(资金台帐!K2989&lt;&gt;"",资金台帐!K2989=供应商对账单!$B$4,资金台帐!P2989="应付",ISNUMBER(资金台帐!B2989),资金台帐!B2989&gt;=供应商对账单!$G$4,资金台帐!B2989&lt;=供应商对账单!$I$4),资金台帐!B2989+ROW()/100000,"")</f>
      </c>
    </row>
    <row r="4487">
      <c r="F4487">
        <f>IF(AND(资金台帐!J1490&lt;&gt;"",资金台帐!J1490=客户对账单!$B$4,资金台帐!P1490="应收",ISNUMBER(资金台帐!B1490),资金台帐!B1490&gt;=客户对账单!$G$4,资金台帐!B1490&lt;=客户对账单!$I$4),资金台帐!B1490+ROW()/100000,"")</f>
      </c>
      <c r="H4487">
        <f>IF(AND(资金台帐!K2990&lt;&gt;"",资金台帐!K2990=供应商对账单!$B$4,资金台帐!P2990="应付",ISNUMBER(资金台帐!B2990),资金台帐!B2990&gt;=供应商对账单!$G$4,资金台帐!B2990&lt;=供应商对账单!$I$4),资金台帐!B2990+ROW()/100000,"")</f>
      </c>
    </row>
    <row r="4488">
      <c r="F4488">
        <f>IF(AND(资金台帐!J1491&lt;&gt;"",资金台帐!J1491=客户对账单!$B$4,资金台帐!P1491="应收",ISNUMBER(资金台帐!B1491),资金台帐!B1491&gt;=客户对账单!$G$4,资金台帐!B1491&lt;=客户对账单!$I$4),资金台帐!B1491+ROW()/100000,"")</f>
      </c>
      <c r="H4488">
        <f>IF(AND(资金台帐!K2991&lt;&gt;"",资金台帐!K2991=供应商对账单!$B$4,资金台帐!P2991="应付",ISNUMBER(资金台帐!B2991),资金台帐!B2991&gt;=供应商对账单!$G$4,资金台帐!B2991&lt;=供应商对账单!$I$4),资金台帐!B2991+ROW()/100000,"")</f>
      </c>
    </row>
    <row r="4489">
      <c r="F4489">
        <f>IF(AND(资金台帐!J1492&lt;&gt;"",资金台帐!J1492=客户对账单!$B$4,资金台帐!P1492="应收",ISNUMBER(资金台帐!B1492),资金台帐!B1492&gt;=客户对账单!$G$4,资金台帐!B1492&lt;=客户对账单!$I$4),资金台帐!B1492+ROW()/100000,"")</f>
      </c>
      <c r="H4489">
        <f>IF(AND(资金台帐!K2992&lt;&gt;"",资金台帐!K2992=供应商对账单!$B$4,资金台帐!P2992="应付",ISNUMBER(资金台帐!B2992),资金台帐!B2992&gt;=供应商对账单!$G$4,资金台帐!B2992&lt;=供应商对账单!$I$4),资金台帐!B2992+ROW()/100000,"")</f>
      </c>
    </row>
    <row r="4490">
      <c r="F4490">
        <f>IF(AND(资金台帐!J1493&lt;&gt;"",资金台帐!J1493=客户对账单!$B$4,资金台帐!P1493="应收",ISNUMBER(资金台帐!B1493),资金台帐!B1493&gt;=客户对账单!$G$4,资金台帐!B1493&lt;=客户对账单!$I$4),资金台帐!B1493+ROW()/100000,"")</f>
      </c>
      <c r="H4490">
        <f>IF(AND(资金台帐!K2993&lt;&gt;"",资金台帐!K2993=供应商对账单!$B$4,资金台帐!P2993="应付",ISNUMBER(资金台帐!B2993),资金台帐!B2993&gt;=供应商对账单!$G$4,资金台帐!B2993&lt;=供应商对账单!$I$4),资金台帐!B2993+ROW()/100000,"")</f>
      </c>
    </row>
    <row r="4491">
      <c r="F4491">
        <f>IF(AND(资金台帐!J1494&lt;&gt;"",资金台帐!J1494=客户对账单!$B$4,资金台帐!P1494="应收",ISNUMBER(资金台帐!B1494),资金台帐!B1494&gt;=客户对账单!$G$4,资金台帐!B1494&lt;=客户对账单!$I$4),资金台帐!B1494+ROW()/100000,"")</f>
      </c>
      <c r="H4491">
        <f>IF(AND(资金台帐!K2994&lt;&gt;"",资金台帐!K2994=供应商对账单!$B$4,资金台帐!P2994="应付",ISNUMBER(资金台帐!B2994),资金台帐!B2994&gt;=供应商对账单!$G$4,资金台帐!B2994&lt;=供应商对账单!$I$4),资金台帐!B2994+ROW()/100000,"")</f>
      </c>
    </row>
    <row r="4492">
      <c r="F4492">
        <f>IF(AND(资金台帐!J1495&lt;&gt;"",资金台帐!J1495=客户对账单!$B$4,资金台帐!P1495="应收",ISNUMBER(资金台帐!B1495),资金台帐!B1495&gt;=客户对账单!$G$4,资金台帐!B1495&lt;=客户对账单!$I$4),资金台帐!B1495+ROW()/100000,"")</f>
      </c>
      <c r="H4492">
        <f>IF(AND(资金台帐!K2995&lt;&gt;"",资金台帐!K2995=供应商对账单!$B$4,资金台帐!P2995="应付",ISNUMBER(资金台帐!B2995),资金台帐!B2995&gt;=供应商对账单!$G$4,资金台帐!B2995&lt;=供应商对账单!$I$4),资金台帐!B2995+ROW()/100000,"")</f>
      </c>
    </row>
    <row r="4493">
      <c r="F4493">
        <f>IF(AND(资金台帐!J1496&lt;&gt;"",资金台帐!J1496=客户对账单!$B$4,资金台帐!P1496="应收",ISNUMBER(资金台帐!B1496),资金台帐!B1496&gt;=客户对账单!$G$4,资金台帐!B1496&lt;=客户对账单!$I$4),资金台帐!B1496+ROW()/100000,"")</f>
      </c>
      <c r="H4493">
        <f>IF(AND(资金台帐!K2996&lt;&gt;"",资金台帐!K2996=供应商对账单!$B$4,资金台帐!P2996="应付",ISNUMBER(资金台帐!B2996),资金台帐!B2996&gt;=供应商对账单!$G$4,资金台帐!B2996&lt;=供应商对账单!$I$4),资金台帐!B2996+ROW()/100000,"")</f>
      </c>
    </row>
    <row r="4494">
      <c r="F4494">
        <f>IF(AND(资金台帐!J1497&lt;&gt;"",资金台帐!J1497=客户对账单!$B$4,资金台帐!P1497="应收",ISNUMBER(资金台帐!B1497),资金台帐!B1497&gt;=客户对账单!$G$4,资金台帐!B1497&lt;=客户对账单!$I$4),资金台帐!B1497+ROW()/100000,"")</f>
      </c>
      <c r="H4494">
        <f>IF(AND(资金台帐!K2997&lt;&gt;"",资金台帐!K2997=供应商对账单!$B$4,资金台帐!P2997="应付",ISNUMBER(资金台帐!B2997),资金台帐!B2997&gt;=供应商对账单!$G$4,资金台帐!B2997&lt;=供应商对账单!$I$4),资金台帐!B2997+ROW()/100000,"")</f>
      </c>
    </row>
    <row r="4495">
      <c r="F4495">
        <f>IF(AND(资金台帐!J1498&lt;&gt;"",资金台帐!J1498=客户对账单!$B$4,资金台帐!P1498="应收",ISNUMBER(资金台帐!B1498),资金台帐!B1498&gt;=客户对账单!$G$4,资金台帐!B1498&lt;=客户对账单!$I$4),资金台帐!B1498+ROW()/100000,"")</f>
      </c>
      <c r="H4495">
        <f>IF(AND(资金台帐!K2998&lt;&gt;"",资金台帐!K2998=供应商对账单!$B$4,资金台帐!P2998="应付",ISNUMBER(资金台帐!B2998),资金台帐!B2998&gt;=供应商对账单!$G$4,资金台帐!B2998&lt;=供应商对账单!$I$4),资金台帐!B2998+ROW()/100000,"")</f>
      </c>
    </row>
    <row r="4496">
      <c r="F4496">
        <f>IF(AND(资金台帐!J1499&lt;&gt;"",资金台帐!J1499=客户对账单!$B$4,资金台帐!P1499="应收",ISNUMBER(资金台帐!B1499),资金台帐!B1499&gt;=客户对账单!$G$4,资金台帐!B1499&lt;=客户对账单!$I$4),资金台帐!B1499+ROW()/100000,"")</f>
      </c>
      <c r="H4496">
        <f>IF(AND(资金台帐!K2999&lt;&gt;"",资金台帐!K2999=供应商对账单!$B$4,资金台帐!P2999="应付",ISNUMBER(资金台帐!B2999),资金台帐!B2999&gt;=供应商对账单!$G$4,资金台帐!B2999&lt;=供应商对账单!$I$4),资金台帐!B2999+ROW()/100000,"")</f>
      </c>
    </row>
    <row r="4497">
      <c r="F4497">
        <f>IF(AND(资金台帐!J1500&lt;&gt;"",资金台帐!J1500=客户对账单!$B$4,资金台帐!P1500="应收",ISNUMBER(资金台帐!B1500),资金台帐!B1500&gt;=客户对账单!$G$4,资金台帐!B1500&lt;=客户对账单!$I$4),资金台帐!B1500+ROW()/100000,"")</f>
      </c>
      <c r="H4497">
        <f>IF(AND(资金台帐!K3000&lt;&gt;"",资金台帐!K3000=供应商对账单!$B$4,资金台帐!P3000="应付",ISNUMBER(资金台帐!B3000),资金台帐!B3000&gt;=供应商对账单!$G$4,资金台帐!B3000&lt;=供应商对账单!$I$4),资金台帐!B3000+ROW()/100000,"")</f>
      </c>
    </row>
    <row r="4498">
      <c r="F4498">
        <f>IF(AND(资金台帐!J1501&lt;&gt;"",资金台帐!J1501=客户对账单!$B$4,资金台帐!P1501="应收",ISNUMBER(资金台帐!B1501),资金台帐!B1501&gt;=客户对账单!$G$4,资金台帐!B1501&lt;=客户对账单!$I$4),资金台帐!B1501+ROW()/100000,"")</f>
      </c>
      <c r="H4498">
        <f>IF(AND(资金台帐!K3001&lt;&gt;"",资金台帐!K3001=供应商对账单!$B$4,资金台帐!P3001="应付",ISNUMBER(资金台帐!B3001),资金台帐!B3001&gt;=供应商对账单!$G$4,资金台帐!B3001&lt;=供应商对账单!$I$4),资金台帐!B3001+ROW()/100000,"")</f>
      </c>
    </row>
    <row r="4499">
      <c r="F4499">
        <f>IF(AND(资金台帐!J1502&lt;&gt;"",资金台帐!J1502=客户对账单!$B$4,资金台帐!P1502="应收",ISNUMBER(资金台帐!B1502),资金台帐!B1502&gt;=客户对账单!$G$4,资金台帐!B1502&lt;=客户对账单!$I$4),资金台帐!B1502+ROW()/100000,"")</f>
      </c>
      <c r="H4499">
        <f>IF(AND(资金台帐!K3002&lt;&gt;"",资金台帐!K3002=供应商对账单!$B$4,资金台帐!P3002="应付",ISNUMBER(资金台帐!B3002),资金台帐!B3002&gt;=供应商对账单!$G$4,资金台帐!B3002&lt;=供应商对账单!$I$4),资金台帐!B3002+ROW()/100000,"")</f>
      </c>
    </row>
    <row r="4500">
      <c r="F4500">
        <f>IF(AND(资金台帐!J1503&lt;&gt;"",资金台帐!J1503=客户对账单!$B$4,资金台帐!P1503="应收",ISNUMBER(资金台帐!B1503),资金台帐!B1503&gt;=客户对账单!$G$4,资金台帐!B1503&lt;=客户对账单!$I$4),资金台帐!B1503+ROW()/100000,"")</f>
      </c>
      <c r="H4500">
        <f>IF(AND(资金台帐!K3003&lt;&gt;"",资金台帐!K3003=供应商对账单!$B$4,资金台帐!P3003="应付",ISNUMBER(资金台帐!B3003),资金台帐!B3003&gt;=供应商对账单!$G$4,资金台帐!B3003&lt;=供应商对账单!$I$4),资金台帐!B3003+ROW()/100000,"")</f>
      </c>
    </row>
    <row r="4501">
      <c r="F4501">
        <f>IF(AND(资金台帐!J1504&lt;&gt;"",资金台帐!J1504=客户对账单!$B$4,资金台帐!P1504="应收",ISNUMBER(资金台帐!B1504),资金台帐!B1504&gt;=客户对账单!$G$4,资金台帐!B1504&lt;=客户对账单!$I$4),资金台帐!B1504+ROW()/100000,"")</f>
      </c>
      <c r="H4501">
        <f>IF(AND(资金台帐!K3004&lt;&gt;"",资金台帐!K3004=供应商对账单!$B$4,资金台帐!P3004="应付",ISNUMBER(资金台帐!B3004),资金台帐!B3004&gt;=供应商对账单!$G$4,资金台帐!B3004&lt;=供应商对账单!$I$4),资金台帐!B3004+ROW()/100000,"")</f>
      </c>
    </row>
    <row r="4502">
      <c r="F4502">
        <f>IF(AND(资金台帐!J1505&lt;&gt;"",资金台帐!J1505=客户对账单!$B$4,资金台帐!P1505="应收",ISNUMBER(资金台帐!B1505),资金台帐!B1505&gt;=客户对账单!$G$4,资金台帐!B1505&lt;=客户对账单!$I$4),资金台帐!B1505+ROW()/100000,"")</f>
      </c>
      <c r="H4502">
        <f>IF(AND(资金台帐!K3005&lt;&gt;"",资金台帐!K3005=供应商对账单!$B$4,资金台帐!P3005="应付",ISNUMBER(资金台帐!B3005),资金台帐!B3005&gt;=供应商对账单!$G$4,资金台帐!B3005&lt;=供应商对账单!$I$4),资金台帐!B3005+ROW()/100000,"")</f>
      </c>
    </row>
    <row r="4503">
      <c r="F4503">
        <f>IF(AND(资金台帐!J1506&lt;&gt;"",资金台帐!J1506=客户对账单!$B$4,资金台帐!P1506="应收",ISNUMBER(资金台帐!B1506),资金台帐!B1506&gt;=客户对账单!$G$4,资金台帐!B1506&lt;=客户对账单!$I$4),资金台帐!B1506+ROW()/100000,"")</f>
      </c>
      <c r="H4503">
        <f>IF(AND(资金台帐!K3006&lt;&gt;"",资金台帐!K3006=供应商对账单!$B$4,资金台帐!P3006="应付",ISNUMBER(资金台帐!B3006),资金台帐!B3006&gt;=供应商对账单!$G$4,资金台帐!B3006&lt;=供应商对账单!$I$4),资金台帐!B3006+ROW()/100000,"")</f>
      </c>
    </row>
    <row r="4504">
      <c r="F4504">
        <f>IF(AND(资金台帐!J1507&lt;&gt;"",资金台帐!J1507=客户对账单!$B$4,资金台帐!P1507="应收",ISNUMBER(资金台帐!B1507),资金台帐!B1507&gt;=客户对账单!$G$4,资金台帐!B1507&lt;=客户对账单!$I$4),资金台帐!B1507+ROW()/100000,"")</f>
      </c>
    </row>
    <row r="4505">
      <c r="F4505">
        <f>IF(AND(资金台帐!J1508&lt;&gt;"",资金台帐!J1508=客户对账单!$B$4,资金台帐!P1508="应收",ISNUMBER(资金台帐!B1508),资金台帐!B1508&gt;=客户对账单!$G$4,资金台帐!B1508&lt;=客户对账单!$I$4),资金台帐!B1508+ROW()/100000,"")</f>
      </c>
    </row>
    <row r="4506">
      <c r="F4506">
        <f>IF(AND(资金台帐!J1509&lt;&gt;"",资金台帐!J1509=客户对账单!$B$4,资金台帐!P1509="应收",ISNUMBER(资金台帐!B1509),资金台帐!B1509&gt;=客户对账单!$G$4,资金台帐!B1509&lt;=客户对账单!$I$4),资金台帐!B1509+ROW()/100000,"")</f>
      </c>
    </row>
    <row r="4507">
      <c r="F4507">
        <f>IF(AND(资金台帐!J1510&lt;&gt;"",资金台帐!J1510=客户对账单!$B$4,资金台帐!P1510="应收",ISNUMBER(资金台帐!B1510),资金台帐!B1510&gt;=客户对账单!$G$4,资金台帐!B1510&lt;=客户对账单!$I$4),资金台帐!B1510+ROW()/100000,"")</f>
      </c>
    </row>
    <row r="4508">
      <c r="F4508">
        <f>IF(AND(资金台帐!J1511&lt;&gt;"",资金台帐!J1511=客户对账单!$B$4,资金台帐!P1511="应收",ISNUMBER(资金台帐!B1511),资金台帐!B1511&gt;=客户对账单!$G$4,资金台帐!B1511&lt;=客户对账单!$I$4),资金台帐!B1511+ROW()/100000,"")</f>
      </c>
    </row>
    <row r="4509">
      <c r="F4509">
        <f>IF(AND(资金台帐!J1512&lt;&gt;"",资金台帐!J1512=客户对账单!$B$4,资金台帐!P1512="应收",ISNUMBER(资金台帐!B1512),资金台帐!B1512&gt;=客户对账单!$G$4,资金台帐!B1512&lt;=客户对账单!$I$4),资金台帐!B1512+ROW()/100000,"")</f>
      </c>
    </row>
    <row r="4510">
      <c r="F4510">
        <f>IF(AND(资金台帐!J1513&lt;&gt;"",资金台帐!J1513=客户对账单!$B$4,资金台帐!P1513="应收",ISNUMBER(资金台帐!B1513),资金台帐!B1513&gt;=客户对账单!$G$4,资金台帐!B1513&lt;=客户对账单!$I$4),资金台帐!B1513+ROW()/100000,"")</f>
      </c>
    </row>
    <row r="4511">
      <c r="F4511">
        <f>IF(AND(资金台帐!J1514&lt;&gt;"",资金台帐!J1514=客户对账单!$B$4,资金台帐!P1514="应收",ISNUMBER(资金台帐!B1514),资金台帐!B1514&gt;=客户对账单!$G$4,资金台帐!B1514&lt;=客户对账单!$I$4),资金台帐!B1514+ROW()/100000,"")</f>
      </c>
    </row>
    <row r="4512">
      <c r="F4512">
        <f>IF(AND(资金台帐!J1515&lt;&gt;"",资金台帐!J1515=客户对账单!$B$4,资金台帐!P1515="应收",ISNUMBER(资金台帐!B1515),资金台帐!B1515&gt;=客户对账单!$G$4,资金台帐!B1515&lt;=客户对账单!$I$4),资金台帐!B1515+ROW()/100000,"")</f>
      </c>
    </row>
    <row r="4513">
      <c r="F4513">
        <f>IF(AND(资金台帐!J1516&lt;&gt;"",资金台帐!J1516=客户对账单!$B$4,资金台帐!P1516="应收",ISNUMBER(资金台帐!B1516),资金台帐!B1516&gt;=客户对账单!$G$4,资金台帐!B1516&lt;=客户对账单!$I$4),资金台帐!B1516+ROW()/100000,"")</f>
      </c>
    </row>
    <row r="4514">
      <c r="F4514">
        <f>IF(AND(资金台帐!J1517&lt;&gt;"",资金台帐!J1517=客户对账单!$B$4,资金台帐!P1517="应收",ISNUMBER(资金台帐!B1517),资金台帐!B1517&gt;=客户对账单!$G$4,资金台帐!B1517&lt;=客户对账单!$I$4),资金台帐!B1517+ROW()/100000,"")</f>
      </c>
    </row>
    <row r="4515">
      <c r="F4515">
        <f>IF(AND(资金台帐!J1518&lt;&gt;"",资金台帐!J1518=客户对账单!$B$4,资金台帐!P1518="应收",ISNUMBER(资金台帐!B1518),资金台帐!B1518&gt;=客户对账单!$G$4,资金台帐!B1518&lt;=客户对账单!$I$4),资金台帐!B1518+ROW()/100000,"")</f>
      </c>
    </row>
    <row r="4516">
      <c r="F4516">
        <f>IF(AND(资金台帐!J1519&lt;&gt;"",资金台帐!J1519=客户对账单!$B$4,资金台帐!P1519="应收",ISNUMBER(资金台帐!B1519),资金台帐!B1519&gt;=客户对账单!$G$4,资金台帐!B1519&lt;=客户对账单!$I$4),资金台帐!B1519+ROW()/100000,"")</f>
      </c>
    </row>
    <row r="4517">
      <c r="F4517">
        <f>IF(AND(资金台帐!J1520&lt;&gt;"",资金台帐!J1520=客户对账单!$B$4,资金台帐!P1520="应收",ISNUMBER(资金台帐!B1520),资金台帐!B1520&gt;=客户对账单!$G$4,资金台帐!B1520&lt;=客户对账单!$I$4),资金台帐!B1520+ROW()/100000,"")</f>
      </c>
    </row>
    <row r="4518">
      <c r="F4518">
        <f>IF(AND(资金台帐!J1521&lt;&gt;"",资金台帐!J1521=客户对账单!$B$4,资金台帐!P1521="应收",ISNUMBER(资金台帐!B1521),资金台帐!B1521&gt;=客户对账单!$G$4,资金台帐!B1521&lt;=客户对账单!$I$4),资金台帐!B1521+ROW()/100000,"")</f>
      </c>
    </row>
    <row r="4519">
      <c r="F4519">
        <f>IF(AND(资金台帐!J1522&lt;&gt;"",资金台帐!J1522=客户对账单!$B$4,资金台帐!P1522="应收",ISNUMBER(资金台帐!B1522),资金台帐!B1522&gt;=客户对账单!$G$4,资金台帐!B1522&lt;=客户对账单!$I$4),资金台帐!B1522+ROW()/100000,"")</f>
      </c>
    </row>
    <row r="4520">
      <c r="F4520">
        <f>IF(AND(资金台帐!J1523&lt;&gt;"",资金台帐!J1523=客户对账单!$B$4,资金台帐!P1523="应收",ISNUMBER(资金台帐!B1523),资金台帐!B1523&gt;=客户对账单!$G$4,资金台帐!B1523&lt;=客户对账单!$I$4),资金台帐!B1523+ROW()/100000,"")</f>
      </c>
    </row>
    <row r="4521">
      <c r="F4521">
        <f>IF(AND(资金台帐!J1524&lt;&gt;"",资金台帐!J1524=客户对账单!$B$4,资金台帐!P1524="应收",ISNUMBER(资金台帐!B1524),资金台帐!B1524&gt;=客户对账单!$G$4,资金台帐!B1524&lt;=客户对账单!$I$4),资金台帐!B1524+ROW()/100000,"")</f>
      </c>
    </row>
    <row r="4522">
      <c r="F4522">
        <f>IF(AND(资金台帐!J1525&lt;&gt;"",资金台帐!J1525=客户对账单!$B$4,资金台帐!P1525="应收",ISNUMBER(资金台帐!B1525),资金台帐!B1525&gt;=客户对账单!$G$4,资金台帐!B1525&lt;=客户对账单!$I$4),资金台帐!B1525+ROW()/100000,"")</f>
      </c>
    </row>
    <row r="4523">
      <c r="F4523">
        <f>IF(AND(资金台帐!J1526&lt;&gt;"",资金台帐!J1526=客户对账单!$B$4,资金台帐!P1526="应收",ISNUMBER(资金台帐!B1526),资金台帐!B1526&gt;=客户对账单!$G$4,资金台帐!B1526&lt;=客户对账单!$I$4),资金台帐!B1526+ROW()/100000,"")</f>
      </c>
    </row>
    <row r="4524">
      <c r="F4524">
        <f>IF(AND(资金台帐!J1527&lt;&gt;"",资金台帐!J1527=客户对账单!$B$4,资金台帐!P1527="应收",ISNUMBER(资金台帐!B1527),资金台帐!B1527&gt;=客户对账单!$G$4,资金台帐!B1527&lt;=客户对账单!$I$4),资金台帐!B1527+ROW()/100000,"")</f>
      </c>
    </row>
    <row r="4525">
      <c r="F4525">
        <f>IF(AND(资金台帐!J1528&lt;&gt;"",资金台帐!J1528=客户对账单!$B$4,资金台帐!P1528="应收",ISNUMBER(资金台帐!B1528),资金台帐!B1528&gt;=客户对账单!$G$4,资金台帐!B1528&lt;=客户对账单!$I$4),资金台帐!B1528+ROW()/100000,"")</f>
      </c>
    </row>
    <row r="4526">
      <c r="F4526">
        <f>IF(AND(资金台帐!J1529&lt;&gt;"",资金台帐!J1529=客户对账单!$B$4,资金台帐!P1529="应收",ISNUMBER(资金台帐!B1529),资金台帐!B1529&gt;=客户对账单!$G$4,资金台帐!B1529&lt;=客户对账单!$I$4),资金台帐!B1529+ROW()/100000,"")</f>
      </c>
    </row>
    <row r="4527">
      <c r="F4527">
        <f>IF(AND(资金台帐!J1530&lt;&gt;"",资金台帐!J1530=客户对账单!$B$4,资金台帐!P1530="应收",ISNUMBER(资金台帐!B1530),资金台帐!B1530&gt;=客户对账单!$G$4,资金台帐!B1530&lt;=客户对账单!$I$4),资金台帐!B1530+ROW()/100000,"")</f>
      </c>
    </row>
    <row r="4528">
      <c r="F4528">
        <f>IF(AND(资金台帐!J1531&lt;&gt;"",资金台帐!J1531=客户对账单!$B$4,资金台帐!P1531="应收",ISNUMBER(资金台帐!B1531),资金台帐!B1531&gt;=客户对账单!$G$4,资金台帐!B1531&lt;=客户对账单!$I$4),资金台帐!B1531+ROW()/100000,"")</f>
      </c>
    </row>
    <row r="4529">
      <c r="F4529">
        <f>IF(AND(资金台帐!J1532&lt;&gt;"",资金台帐!J1532=客户对账单!$B$4,资金台帐!P1532="应收",ISNUMBER(资金台帐!B1532),资金台帐!B1532&gt;=客户对账单!$G$4,资金台帐!B1532&lt;=客户对账单!$I$4),资金台帐!B1532+ROW()/100000,"")</f>
      </c>
    </row>
    <row r="4530">
      <c r="F4530">
        <f>IF(AND(资金台帐!J1533&lt;&gt;"",资金台帐!J1533=客户对账单!$B$4,资金台帐!P1533="应收",ISNUMBER(资金台帐!B1533),资金台帐!B1533&gt;=客户对账单!$G$4,资金台帐!B1533&lt;=客户对账单!$I$4),资金台帐!B1533+ROW()/100000,"")</f>
      </c>
    </row>
    <row r="4531">
      <c r="F4531">
        <f>IF(AND(资金台帐!J1534&lt;&gt;"",资金台帐!J1534=客户对账单!$B$4,资金台帐!P1534="应收",ISNUMBER(资金台帐!B1534),资金台帐!B1534&gt;=客户对账单!$G$4,资金台帐!B1534&lt;=客户对账单!$I$4),资金台帐!B1534+ROW()/100000,"")</f>
      </c>
    </row>
    <row r="4532">
      <c r="F4532">
        <f>IF(AND(资金台帐!J1535&lt;&gt;"",资金台帐!J1535=客户对账单!$B$4,资金台帐!P1535="应收",ISNUMBER(资金台帐!B1535),资金台帐!B1535&gt;=客户对账单!$G$4,资金台帐!B1535&lt;=客户对账单!$I$4),资金台帐!B1535+ROW()/100000,"")</f>
      </c>
    </row>
    <row r="4533">
      <c r="F4533">
        <f>IF(AND(资金台帐!J1536&lt;&gt;"",资金台帐!J1536=客户对账单!$B$4,资金台帐!P1536="应收",ISNUMBER(资金台帐!B1536),资金台帐!B1536&gt;=客户对账单!$G$4,资金台帐!B1536&lt;=客户对账单!$I$4),资金台帐!B1536+ROW()/100000,"")</f>
      </c>
    </row>
    <row r="4534">
      <c r="F4534">
        <f>IF(AND(资金台帐!J1537&lt;&gt;"",资金台帐!J1537=客户对账单!$B$4,资金台帐!P1537="应收",ISNUMBER(资金台帐!B1537),资金台帐!B1537&gt;=客户对账单!$G$4,资金台帐!B1537&lt;=客户对账单!$I$4),资金台帐!B1537+ROW()/100000,"")</f>
      </c>
    </row>
    <row r="4535">
      <c r="F4535">
        <f>IF(AND(资金台帐!J1538&lt;&gt;"",资金台帐!J1538=客户对账单!$B$4,资金台帐!P1538="应收",ISNUMBER(资金台帐!B1538),资金台帐!B1538&gt;=客户对账单!$G$4,资金台帐!B1538&lt;=客户对账单!$I$4),资金台帐!B1538+ROW()/100000,"")</f>
      </c>
    </row>
    <row r="4536">
      <c r="F4536">
        <f>IF(AND(资金台帐!J1539&lt;&gt;"",资金台帐!J1539=客户对账单!$B$4,资金台帐!P1539="应收",ISNUMBER(资金台帐!B1539),资金台帐!B1539&gt;=客户对账单!$G$4,资金台帐!B1539&lt;=客户对账单!$I$4),资金台帐!B1539+ROW()/100000,"")</f>
      </c>
    </row>
    <row r="4537">
      <c r="F4537">
        <f>IF(AND(资金台帐!J1540&lt;&gt;"",资金台帐!J1540=客户对账单!$B$4,资金台帐!P1540="应收",ISNUMBER(资金台帐!B1540),资金台帐!B1540&gt;=客户对账单!$G$4,资金台帐!B1540&lt;=客户对账单!$I$4),资金台帐!B1540+ROW()/100000,"")</f>
      </c>
    </row>
    <row r="4538">
      <c r="F4538">
        <f>IF(AND(资金台帐!J1541&lt;&gt;"",资金台帐!J1541=客户对账单!$B$4,资金台帐!P1541="应收",ISNUMBER(资金台帐!B1541),资金台帐!B1541&gt;=客户对账单!$G$4,资金台帐!B1541&lt;=客户对账单!$I$4),资金台帐!B1541+ROW()/100000,"")</f>
      </c>
    </row>
    <row r="4539">
      <c r="F4539">
        <f>IF(AND(资金台帐!J1542&lt;&gt;"",资金台帐!J1542=客户对账单!$B$4,资金台帐!P1542="应收",ISNUMBER(资金台帐!B1542),资金台帐!B1542&gt;=客户对账单!$G$4,资金台帐!B1542&lt;=客户对账单!$I$4),资金台帐!B1542+ROW()/100000,"")</f>
      </c>
    </row>
    <row r="4540">
      <c r="F4540">
        <f>IF(AND(资金台帐!J1543&lt;&gt;"",资金台帐!J1543=客户对账单!$B$4,资金台帐!P1543="应收",ISNUMBER(资金台帐!B1543),资金台帐!B1543&gt;=客户对账单!$G$4,资金台帐!B1543&lt;=客户对账单!$I$4),资金台帐!B1543+ROW()/100000,"")</f>
      </c>
    </row>
    <row r="4541">
      <c r="F4541">
        <f>IF(AND(资金台帐!J1544&lt;&gt;"",资金台帐!J1544=客户对账单!$B$4,资金台帐!P1544="应收",ISNUMBER(资金台帐!B1544),资金台帐!B1544&gt;=客户对账单!$G$4,资金台帐!B1544&lt;=客户对账单!$I$4),资金台帐!B1544+ROW()/100000,"")</f>
      </c>
    </row>
    <row r="4542">
      <c r="F4542">
        <f>IF(AND(资金台帐!J1545&lt;&gt;"",资金台帐!J1545=客户对账单!$B$4,资金台帐!P1545="应收",ISNUMBER(资金台帐!B1545),资金台帐!B1545&gt;=客户对账单!$G$4,资金台帐!B1545&lt;=客户对账单!$I$4),资金台帐!B1545+ROW()/100000,"")</f>
      </c>
    </row>
    <row r="4543">
      <c r="F4543">
        <f>IF(AND(资金台帐!J1546&lt;&gt;"",资金台帐!J1546=客户对账单!$B$4,资金台帐!P1546="应收",ISNUMBER(资金台帐!B1546),资金台帐!B1546&gt;=客户对账单!$G$4,资金台帐!B1546&lt;=客户对账单!$I$4),资金台帐!B1546+ROW()/100000,"")</f>
      </c>
    </row>
    <row r="4544">
      <c r="F4544">
        <f>IF(AND(资金台帐!J1547&lt;&gt;"",资金台帐!J1547=客户对账单!$B$4,资金台帐!P1547="应收",ISNUMBER(资金台帐!B1547),资金台帐!B1547&gt;=客户对账单!$G$4,资金台帐!B1547&lt;=客户对账单!$I$4),资金台帐!B1547+ROW()/100000,"")</f>
      </c>
    </row>
    <row r="4545">
      <c r="F4545">
        <f>IF(AND(资金台帐!J1548&lt;&gt;"",资金台帐!J1548=客户对账单!$B$4,资金台帐!P1548="应收",ISNUMBER(资金台帐!B1548),资金台帐!B1548&gt;=客户对账单!$G$4,资金台帐!B1548&lt;=客户对账单!$I$4),资金台帐!B1548+ROW()/100000,"")</f>
      </c>
    </row>
    <row r="4546">
      <c r="F4546">
        <f>IF(AND(资金台帐!J1549&lt;&gt;"",资金台帐!J1549=客户对账单!$B$4,资金台帐!P1549="应收",ISNUMBER(资金台帐!B1549),资金台帐!B1549&gt;=客户对账单!$G$4,资金台帐!B1549&lt;=客户对账单!$I$4),资金台帐!B1549+ROW()/100000,"")</f>
      </c>
    </row>
    <row r="4547">
      <c r="F4547">
        <f>IF(AND(资金台帐!J1550&lt;&gt;"",资金台帐!J1550=客户对账单!$B$4,资金台帐!P1550="应收",ISNUMBER(资金台帐!B1550),资金台帐!B1550&gt;=客户对账单!$G$4,资金台帐!B1550&lt;=客户对账单!$I$4),资金台帐!B1550+ROW()/100000,"")</f>
      </c>
    </row>
    <row r="4548">
      <c r="F4548">
        <f>IF(AND(资金台帐!J1551&lt;&gt;"",资金台帐!J1551=客户对账单!$B$4,资金台帐!P1551="应收",ISNUMBER(资金台帐!B1551),资金台帐!B1551&gt;=客户对账单!$G$4,资金台帐!B1551&lt;=客户对账单!$I$4),资金台帐!B1551+ROW()/100000,"")</f>
      </c>
    </row>
    <row r="4549">
      <c r="F4549">
        <f>IF(AND(资金台帐!J1552&lt;&gt;"",资金台帐!J1552=客户对账单!$B$4,资金台帐!P1552="应收",ISNUMBER(资金台帐!B1552),资金台帐!B1552&gt;=客户对账单!$G$4,资金台帐!B1552&lt;=客户对账单!$I$4),资金台帐!B1552+ROW()/100000,"")</f>
      </c>
    </row>
    <row r="4550">
      <c r="F4550">
        <f>IF(AND(资金台帐!J1553&lt;&gt;"",资金台帐!J1553=客户对账单!$B$4,资金台帐!P1553="应收",ISNUMBER(资金台帐!B1553),资金台帐!B1553&gt;=客户对账单!$G$4,资金台帐!B1553&lt;=客户对账单!$I$4),资金台帐!B1553+ROW()/100000,"")</f>
      </c>
    </row>
    <row r="4551">
      <c r="F4551">
        <f>IF(AND(资金台帐!J1554&lt;&gt;"",资金台帐!J1554=客户对账单!$B$4,资金台帐!P1554="应收",ISNUMBER(资金台帐!B1554),资金台帐!B1554&gt;=客户对账单!$G$4,资金台帐!B1554&lt;=客户对账单!$I$4),资金台帐!B1554+ROW()/100000,"")</f>
      </c>
    </row>
    <row r="4552">
      <c r="F4552">
        <f>IF(AND(资金台帐!J1555&lt;&gt;"",资金台帐!J1555=客户对账单!$B$4,资金台帐!P1555="应收",ISNUMBER(资金台帐!B1555),资金台帐!B1555&gt;=客户对账单!$G$4,资金台帐!B1555&lt;=客户对账单!$I$4),资金台帐!B1555+ROW()/100000,"")</f>
      </c>
    </row>
    <row r="4553">
      <c r="F4553">
        <f>IF(AND(资金台帐!J1556&lt;&gt;"",资金台帐!J1556=客户对账单!$B$4,资金台帐!P1556="应收",ISNUMBER(资金台帐!B1556),资金台帐!B1556&gt;=客户对账单!$G$4,资金台帐!B1556&lt;=客户对账单!$I$4),资金台帐!B1556+ROW()/100000,"")</f>
      </c>
    </row>
    <row r="4554">
      <c r="F4554">
        <f>IF(AND(资金台帐!J1557&lt;&gt;"",资金台帐!J1557=客户对账单!$B$4,资金台帐!P1557="应收",ISNUMBER(资金台帐!B1557),资金台帐!B1557&gt;=客户对账单!$G$4,资金台帐!B1557&lt;=客户对账单!$I$4),资金台帐!B1557+ROW()/100000,"")</f>
      </c>
    </row>
    <row r="4555">
      <c r="F4555">
        <f>IF(AND(资金台帐!J1558&lt;&gt;"",资金台帐!J1558=客户对账单!$B$4,资金台帐!P1558="应收",ISNUMBER(资金台帐!B1558),资金台帐!B1558&gt;=客户对账单!$G$4,资金台帐!B1558&lt;=客户对账单!$I$4),资金台帐!B1558+ROW()/100000,"")</f>
      </c>
    </row>
    <row r="4556">
      <c r="F4556">
        <f>IF(AND(资金台帐!J1559&lt;&gt;"",资金台帐!J1559=客户对账单!$B$4,资金台帐!P1559="应收",ISNUMBER(资金台帐!B1559),资金台帐!B1559&gt;=客户对账单!$G$4,资金台帐!B1559&lt;=客户对账单!$I$4),资金台帐!B1559+ROW()/100000,"")</f>
      </c>
    </row>
    <row r="4557">
      <c r="F4557">
        <f>IF(AND(资金台帐!J1560&lt;&gt;"",资金台帐!J1560=客户对账单!$B$4,资金台帐!P1560="应收",ISNUMBER(资金台帐!B1560),资金台帐!B1560&gt;=客户对账单!$G$4,资金台帐!B1560&lt;=客户对账单!$I$4),资金台帐!B1560+ROW()/100000,"")</f>
      </c>
    </row>
    <row r="4558">
      <c r="F4558">
        <f>IF(AND(资金台帐!J1561&lt;&gt;"",资金台帐!J1561=客户对账单!$B$4,资金台帐!P1561="应收",ISNUMBER(资金台帐!B1561),资金台帐!B1561&gt;=客户对账单!$G$4,资金台帐!B1561&lt;=客户对账单!$I$4),资金台帐!B1561+ROW()/100000,"")</f>
      </c>
    </row>
    <row r="4559">
      <c r="F4559">
        <f>IF(AND(资金台帐!J1562&lt;&gt;"",资金台帐!J1562=客户对账单!$B$4,资金台帐!P1562="应收",ISNUMBER(资金台帐!B1562),资金台帐!B1562&gt;=客户对账单!$G$4,资金台帐!B1562&lt;=客户对账单!$I$4),资金台帐!B1562+ROW()/100000,"")</f>
      </c>
    </row>
    <row r="4560">
      <c r="F4560">
        <f>IF(AND(资金台帐!J1563&lt;&gt;"",资金台帐!J1563=客户对账单!$B$4,资金台帐!P1563="应收",ISNUMBER(资金台帐!B1563),资金台帐!B1563&gt;=客户对账单!$G$4,资金台帐!B1563&lt;=客户对账单!$I$4),资金台帐!B1563+ROW()/100000,"")</f>
      </c>
    </row>
    <row r="4561">
      <c r="F4561">
        <f>IF(AND(资金台帐!J1564&lt;&gt;"",资金台帐!J1564=客户对账单!$B$4,资金台帐!P1564="应收",ISNUMBER(资金台帐!B1564),资金台帐!B1564&gt;=客户对账单!$G$4,资金台帐!B1564&lt;=客户对账单!$I$4),资金台帐!B1564+ROW()/100000,"")</f>
      </c>
    </row>
    <row r="4562">
      <c r="F4562">
        <f>IF(AND(资金台帐!J1565&lt;&gt;"",资金台帐!J1565=客户对账单!$B$4,资金台帐!P1565="应收",ISNUMBER(资金台帐!B1565),资金台帐!B1565&gt;=客户对账单!$G$4,资金台帐!B1565&lt;=客户对账单!$I$4),资金台帐!B1565+ROW()/100000,"")</f>
      </c>
    </row>
    <row r="4563">
      <c r="F4563">
        <f>IF(AND(资金台帐!J1566&lt;&gt;"",资金台帐!J1566=客户对账单!$B$4,资金台帐!P1566="应收",ISNUMBER(资金台帐!B1566),资金台帐!B1566&gt;=客户对账单!$G$4,资金台帐!B1566&lt;=客户对账单!$I$4),资金台帐!B1566+ROW()/100000,"")</f>
      </c>
    </row>
    <row r="4564">
      <c r="F4564">
        <f>IF(AND(资金台帐!J1567&lt;&gt;"",资金台帐!J1567=客户对账单!$B$4,资金台帐!P1567="应收",ISNUMBER(资金台帐!B1567),资金台帐!B1567&gt;=客户对账单!$G$4,资金台帐!B1567&lt;=客户对账单!$I$4),资金台帐!B1567+ROW()/100000,"")</f>
      </c>
    </row>
    <row r="4565">
      <c r="F4565">
        <f>IF(AND(资金台帐!J1568&lt;&gt;"",资金台帐!J1568=客户对账单!$B$4,资金台帐!P1568="应收",ISNUMBER(资金台帐!B1568),资金台帐!B1568&gt;=客户对账单!$G$4,资金台帐!B1568&lt;=客户对账单!$I$4),资金台帐!B1568+ROW()/100000,"")</f>
      </c>
    </row>
    <row r="4566">
      <c r="F4566">
        <f>IF(AND(资金台帐!J1569&lt;&gt;"",资金台帐!J1569=客户对账单!$B$4,资金台帐!P1569="应收",ISNUMBER(资金台帐!B1569),资金台帐!B1569&gt;=客户对账单!$G$4,资金台帐!B1569&lt;=客户对账单!$I$4),资金台帐!B1569+ROW()/100000,"")</f>
      </c>
    </row>
    <row r="4567">
      <c r="F4567">
        <f>IF(AND(资金台帐!J1570&lt;&gt;"",资金台帐!J1570=客户对账单!$B$4,资金台帐!P1570="应收",ISNUMBER(资金台帐!B1570),资金台帐!B1570&gt;=客户对账单!$G$4,资金台帐!B1570&lt;=客户对账单!$I$4),资金台帐!B1570+ROW()/100000,"")</f>
      </c>
    </row>
    <row r="4568">
      <c r="F4568">
        <f>IF(AND(资金台帐!J1571&lt;&gt;"",资金台帐!J1571=客户对账单!$B$4,资金台帐!P1571="应收",ISNUMBER(资金台帐!B1571),资金台帐!B1571&gt;=客户对账单!$G$4,资金台帐!B1571&lt;=客户对账单!$I$4),资金台帐!B1571+ROW()/100000,"")</f>
      </c>
    </row>
    <row r="4569">
      <c r="F4569">
        <f>IF(AND(资金台帐!J1572&lt;&gt;"",资金台帐!J1572=客户对账单!$B$4,资金台帐!P1572="应收",ISNUMBER(资金台帐!B1572),资金台帐!B1572&gt;=客户对账单!$G$4,资金台帐!B1572&lt;=客户对账单!$I$4),资金台帐!B1572+ROW()/100000,"")</f>
      </c>
    </row>
    <row r="4570">
      <c r="F4570">
        <f>IF(AND(资金台帐!J1573&lt;&gt;"",资金台帐!J1573=客户对账单!$B$4,资金台帐!P1573="应收",ISNUMBER(资金台帐!B1573),资金台帐!B1573&gt;=客户对账单!$G$4,资金台帐!B1573&lt;=客户对账单!$I$4),资金台帐!B1573+ROW()/100000,"")</f>
      </c>
    </row>
    <row r="4571">
      <c r="F4571">
        <f>IF(AND(资金台帐!J1574&lt;&gt;"",资金台帐!J1574=客户对账单!$B$4,资金台帐!P1574="应收",ISNUMBER(资金台帐!B1574),资金台帐!B1574&gt;=客户对账单!$G$4,资金台帐!B1574&lt;=客户对账单!$I$4),资金台帐!B1574+ROW()/100000,"")</f>
      </c>
    </row>
    <row r="4572">
      <c r="F4572">
        <f>IF(AND(资金台帐!J1575&lt;&gt;"",资金台帐!J1575=客户对账单!$B$4,资金台帐!P1575="应收",ISNUMBER(资金台帐!B1575),资金台帐!B1575&gt;=客户对账单!$G$4,资金台帐!B1575&lt;=客户对账单!$I$4),资金台帐!B1575+ROW()/100000,"")</f>
      </c>
    </row>
    <row r="4573">
      <c r="F4573">
        <f>IF(AND(资金台帐!J1576&lt;&gt;"",资金台帐!J1576=客户对账单!$B$4,资金台帐!P1576="应收",ISNUMBER(资金台帐!B1576),资金台帐!B1576&gt;=客户对账单!$G$4,资金台帐!B1576&lt;=客户对账单!$I$4),资金台帐!B1576+ROW()/100000,"")</f>
      </c>
    </row>
    <row r="4574">
      <c r="F4574">
        <f>IF(AND(资金台帐!J1577&lt;&gt;"",资金台帐!J1577=客户对账单!$B$4,资金台帐!P1577="应收",ISNUMBER(资金台帐!B1577),资金台帐!B1577&gt;=客户对账单!$G$4,资金台帐!B1577&lt;=客户对账单!$I$4),资金台帐!B1577+ROW()/100000,"")</f>
      </c>
    </row>
    <row r="4575">
      <c r="F4575">
        <f>IF(AND(资金台帐!J1578&lt;&gt;"",资金台帐!J1578=客户对账单!$B$4,资金台帐!P1578="应收",ISNUMBER(资金台帐!B1578),资金台帐!B1578&gt;=客户对账单!$G$4,资金台帐!B1578&lt;=客户对账单!$I$4),资金台帐!B1578+ROW()/100000,"")</f>
      </c>
    </row>
    <row r="4576">
      <c r="F4576">
        <f>IF(AND(资金台帐!J1579&lt;&gt;"",资金台帐!J1579=客户对账单!$B$4,资金台帐!P1579="应收",ISNUMBER(资金台帐!B1579),资金台帐!B1579&gt;=客户对账单!$G$4,资金台帐!B1579&lt;=客户对账单!$I$4),资金台帐!B1579+ROW()/100000,"")</f>
      </c>
    </row>
    <row r="4577">
      <c r="F4577">
        <f>IF(AND(资金台帐!J1580&lt;&gt;"",资金台帐!J1580=客户对账单!$B$4,资金台帐!P1580="应收",ISNUMBER(资金台帐!B1580),资金台帐!B1580&gt;=客户对账单!$G$4,资金台帐!B1580&lt;=客户对账单!$I$4),资金台帐!B1580+ROW()/100000,"")</f>
      </c>
    </row>
    <row r="4578">
      <c r="F4578">
        <f>IF(AND(资金台帐!J1581&lt;&gt;"",资金台帐!J1581=客户对账单!$B$4,资金台帐!P1581="应收",ISNUMBER(资金台帐!B1581),资金台帐!B1581&gt;=客户对账单!$G$4,资金台帐!B1581&lt;=客户对账单!$I$4),资金台帐!B1581+ROW()/100000,"")</f>
      </c>
    </row>
    <row r="4579">
      <c r="F4579">
        <f>IF(AND(资金台帐!J1582&lt;&gt;"",资金台帐!J1582=客户对账单!$B$4,资金台帐!P1582="应收",ISNUMBER(资金台帐!B1582),资金台帐!B1582&gt;=客户对账单!$G$4,资金台帐!B1582&lt;=客户对账单!$I$4),资金台帐!B1582+ROW()/100000,"")</f>
      </c>
    </row>
    <row r="4580">
      <c r="F4580">
        <f>IF(AND(资金台帐!J1583&lt;&gt;"",资金台帐!J1583=客户对账单!$B$4,资金台帐!P1583="应收",ISNUMBER(资金台帐!B1583),资金台帐!B1583&gt;=客户对账单!$G$4,资金台帐!B1583&lt;=客户对账单!$I$4),资金台帐!B1583+ROW()/100000,"")</f>
      </c>
    </row>
    <row r="4581">
      <c r="F4581">
        <f>IF(AND(资金台帐!J1584&lt;&gt;"",资金台帐!J1584=客户对账单!$B$4,资金台帐!P1584="应收",ISNUMBER(资金台帐!B1584),资金台帐!B1584&gt;=客户对账单!$G$4,资金台帐!B1584&lt;=客户对账单!$I$4),资金台帐!B1584+ROW()/100000,"")</f>
      </c>
    </row>
    <row r="4582">
      <c r="F4582">
        <f>IF(AND(资金台帐!J1585&lt;&gt;"",资金台帐!J1585=客户对账单!$B$4,资金台帐!P1585="应收",ISNUMBER(资金台帐!B1585),资金台帐!B1585&gt;=客户对账单!$G$4,资金台帐!B1585&lt;=客户对账单!$I$4),资金台帐!B1585+ROW()/100000,"")</f>
      </c>
    </row>
    <row r="4583">
      <c r="F4583">
        <f>IF(AND(资金台帐!J1586&lt;&gt;"",资金台帐!J1586=客户对账单!$B$4,资金台帐!P1586="应收",ISNUMBER(资金台帐!B1586),资金台帐!B1586&gt;=客户对账单!$G$4,资金台帐!B1586&lt;=客户对账单!$I$4),资金台帐!B1586+ROW()/100000,"")</f>
      </c>
    </row>
    <row r="4584">
      <c r="F4584">
        <f>IF(AND(资金台帐!J1587&lt;&gt;"",资金台帐!J1587=客户对账单!$B$4,资金台帐!P1587="应收",ISNUMBER(资金台帐!B1587),资金台帐!B1587&gt;=客户对账单!$G$4,资金台帐!B1587&lt;=客户对账单!$I$4),资金台帐!B1587+ROW()/100000,"")</f>
      </c>
    </row>
    <row r="4585">
      <c r="F4585">
        <f>IF(AND(资金台帐!J1588&lt;&gt;"",资金台帐!J1588=客户对账单!$B$4,资金台帐!P1588="应收",ISNUMBER(资金台帐!B1588),资金台帐!B1588&gt;=客户对账单!$G$4,资金台帐!B1588&lt;=客户对账单!$I$4),资金台帐!B1588+ROW()/100000,"")</f>
      </c>
    </row>
    <row r="4586">
      <c r="F4586">
        <f>IF(AND(资金台帐!J1589&lt;&gt;"",资金台帐!J1589=客户对账单!$B$4,资金台帐!P1589="应收",ISNUMBER(资金台帐!B1589),资金台帐!B1589&gt;=客户对账单!$G$4,资金台帐!B1589&lt;=客户对账单!$I$4),资金台帐!B1589+ROW()/100000,"")</f>
      </c>
    </row>
    <row r="4587">
      <c r="F4587">
        <f>IF(AND(资金台帐!J1590&lt;&gt;"",资金台帐!J1590=客户对账单!$B$4,资金台帐!P1590="应收",ISNUMBER(资金台帐!B1590),资金台帐!B1590&gt;=客户对账单!$G$4,资金台帐!B1590&lt;=客户对账单!$I$4),资金台帐!B1590+ROW()/100000,"")</f>
      </c>
    </row>
    <row r="4588">
      <c r="F4588">
        <f>IF(AND(资金台帐!J1591&lt;&gt;"",资金台帐!J1591=客户对账单!$B$4,资金台帐!P1591="应收",ISNUMBER(资金台帐!B1591),资金台帐!B1591&gt;=客户对账单!$G$4,资金台帐!B1591&lt;=客户对账单!$I$4),资金台帐!B1591+ROW()/100000,"")</f>
      </c>
    </row>
    <row r="4589">
      <c r="F4589">
        <f>IF(AND(资金台帐!J1592&lt;&gt;"",资金台帐!J1592=客户对账单!$B$4,资金台帐!P1592="应收",ISNUMBER(资金台帐!B1592),资金台帐!B1592&gt;=客户对账单!$G$4,资金台帐!B1592&lt;=客户对账单!$I$4),资金台帐!B1592+ROW()/100000,"")</f>
      </c>
    </row>
    <row r="4590">
      <c r="F4590">
        <f>IF(AND(资金台帐!J1593&lt;&gt;"",资金台帐!J1593=客户对账单!$B$4,资金台帐!P1593="应收",ISNUMBER(资金台帐!B1593),资金台帐!B1593&gt;=客户对账单!$G$4,资金台帐!B1593&lt;=客户对账单!$I$4),资金台帐!B1593+ROW()/100000,"")</f>
      </c>
    </row>
    <row r="4591">
      <c r="F4591">
        <f>IF(AND(资金台帐!J1594&lt;&gt;"",资金台帐!J1594=客户对账单!$B$4,资金台帐!P1594="应收",ISNUMBER(资金台帐!B1594),资金台帐!B1594&gt;=客户对账单!$G$4,资金台帐!B1594&lt;=客户对账单!$I$4),资金台帐!B1594+ROW()/100000,"")</f>
      </c>
    </row>
    <row r="4592">
      <c r="F4592">
        <f>IF(AND(资金台帐!J1595&lt;&gt;"",资金台帐!J1595=客户对账单!$B$4,资金台帐!P1595="应收",ISNUMBER(资金台帐!B1595),资金台帐!B1595&gt;=客户对账单!$G$4,资金台帐!B1595&lt;=客户对账单!$I$4),资金台帐!B1595+ROW()/100000,"")</f>
      </c>
    </row>
    <row r="4593">
      <c r="F4593">
        <f>IF(AND(资金台帐!J1596&lt;&gt;"",资金台帐!J1596=客户对账单!$B$4,资金台帐!P1596="应收",ISNUMBER(资金台帐!B1596),资金台帐!B1596&gt;=客户对账单!$G$4,资金台帐!B1596&lt;=客户对账单!$I$4),资金台帐!B1596+ROW()/100000,"")</f>
      </c>
    </row>
    <row r="4594">
      <c r="F4594">
        <f>IF(AND(资金台帐!J1597&lt;&gt;"",资金台帐!J1597=客户对账单!$B$4,资金台帐!P1597="应收",ISNUMBER(资金台帐!B1597),资金台帐!B1597&gt;=客户对账单!$G$4,资金台帐!B1597&lt;=客户对账单!$I$4),资金台帐!B1597+ROW()/100000,"")</f>
      </c>
    </row>
    <row r="4595">
      <c r="F4595">
        <f>IF(AND(资金台帐!J1598&lt;&gt;"",资金台帐!J1598=客户对账单!$B$4,资金台帐!P1598="应收",ISNUMBER(资金台帐!B1598),资金台帐!B1598&gt;=客户对账单!$G$4,资金台帐!B1598&lt;=客户对账单!$I$4),资金台帐!B1598+ROW()/100000,"")</f>
      </c>
    </row>
    <row r="4596">
      <c r="F4596">
        <f>IF(AND(资金台帐!J1599&lt;&gt;"",资金台帐!J1599=客户对账单!$B$4,资金台帐!P1599="应收",ISNUMBER(资金台帐!B1599),资金台帐!B1599&gt;=客户对账单!$G$4,资金台帐!B1599&lt;=客户对账单!$I$4),资金台帐!B1599+ROW()/100000,"")</f>
      </c>
    </row>
    <row r="4597">
      <c r="F4597">
        <f>IF(AND(资金台帐!J1600&lt;&gt;"",资金台帐!J1600=客户对账单!$B$4,资金台帐!P1600="应收",ISNUMBER(资金台帐!B1600),资金台帐!B1600&gt;=客户对账单!$G$4,资金台帐!B1600&lt;=客户对账单!$I$4),资金台帐!B1600+ROW()/100000,"")</f>
      </c>
    </row>
    <row r="4598">
      <c r="F4598">
        <f>IF(AND(资金台帐!J1601&lt;&gt;"",资金台帐!J1601=客户对账单!$B$4,资金台帐!P1601="应收",ISNUMBER(资金台帐!B1601),资金台帐!B1601&gt;=客户对账单!$G$4,资金台帐!B1601&lt;=客户对账单!$I$4),资金台帐!B1601+ROW()/100000,"")</f>
      </c>
    </row>
    <row r="4599">
      <c r="F4599">
        <f>IF(AND(资金台帐!J1602&lt;&gt;"",资金台帐!J1602=客户对账单!$B$4,资金台帐!P1602="应收",ISNUMBER(资金台帐!B1602),资金台帐!B1602&gt;=客户对账单!$G$4,资金台帐!B1602&lt;=客户对账单!$I$4),资金台帐!B1602+ROW()/100000,"")</f>
      </c>
    </row>
    <row r="4600">
      <c r="F4600">
        <f>IF(AND(资金台帐!J1603&lt;&gt;"",资金台帐!J1603=客户对账单!$B$4,资金台帐!P1603="应收",ISNUMBER(资金台帐!B1603),资金台帐!B1603&gt;=客户对账单!$G$4,资金台帐!B1603&lt;=客户对账单!$I$4),资金台帐!B1603+ROW()/100000,"")</f>
      </c>
    </row>
    <row r="4601">
      <c r="F4601">
        <f>IF(AND(资金台帐!J1604&lt;&gt;"",资金台帐!J1604=客户对账单!$B$4,资金台帐!P1604="应收",ISNUMBER(资金台帐!B1604),资金台帐!B1604&gt;=客户对账单!$G$4,资金台帐!B1604&lt;=客户对账单!$I$4),资金台帐!B1604+ROW()/100000,"")</f>
      </c>
    </row>
    <row r="4602">
      <c r="F4602">
        <f>IF(AND(资金台帐!J1605&lt;&gt;"",资金台帐!J1605=客户对账单!$B$4,资金台帐!P1605="应收",ISNUMBER(资金台帐!B1605),资金台帐!B1605&gt;=客户对账单!$G$4,资金台帐!B1605&lt;=客户对账单!$I$4),资金台帐!B1605+ROW()/100000,"")</f>
      </c>
    </row>
    <row r="4603">
      <c r="F4603">
        <f>IF(AND(资金台帐!J1606&lt;&gt;"",资金台帐!J1606=客户对账单!$B$4,资金台帐!P1606="应收",ISNUMBER(资金台帐!B1606),资金台帐!B1606&gt;=客户对账单!$G$4,资金台帐!B1606&lt;=客户对账单!$I$4),资金台帐!B1606+ROW()/100000,"")</f>
      </c>
    </row>
    <row r="4604">
      <c r="F4604">
        <f>IF(AND(资金台帐!J1607&lt;&gt;"",资金台帐!J1607=客户对账单!$B$4,资金台帐!P1607="应收",ISNUMBER(资金台帐!B1607),资金台帐!B1607&gt;=客户对账单!$G$4,资金台帐!B1607&lt;=客户对账单!$I$4),资金台帐!B1607+ROW()/100000,"")</f>
      </c>
    </row>
    <row r="4605">
      <c r="F4605">
        <f>IF(AND(资金台帐!J1608&lt;&gt;"",资金台帐!J1608=客户对账单!$B$4,资金台帐!P1608="应收",ISNUMBER(资金台帐!B1608),资金台帐!B1608&gt;=客户对账单!$G$4,资金台帐!B1608&lt;=客户对账单!$I$4),资金台帐!B1608+ROW()/100000,"")</f>
      </c>
    </row>
    <row r="4606">
      <c r="F4606">
        <f>IF(AND(资金台帐!J1609&lt;&gt;"",资金台帐!J1609=客户对账单!$B$4,资金台帐!P1609="应收",ISNUMBER(资金台帐!B1609),资金台帐!B1609&gt;=客户对账单!$G$4,资金台帐!B1609&lt;=客户对账单!$I$4),资金台帐!B1609+ROW()/100000,"")</f>
      </c>
    </row>
    <row r="4607">
      <c r="F4607">
        <f>IF(AND(资金台帐!J1610&lt;&gt;"",资金台帐!J1610=客户对账单!$B$4,资金台帐!P1610="应收",ISNUMBER(资金台帐!B1610),资金台帐!B1610&gt;=客户对账单!$G$4,资金台帐!B1610&lt;=客户对账单!$I$4),资金台帐!B1610+ROW()/100000,"")</f>
      </c>
    </row>
    <row r="4608">
      <c r="F4608">
        <f>IF(AND(资金台帐!J1611&lt;&gt;"",资金台帐!J1611=客户对账单!$B$4,资金台帐!P1611="应收",ISNUMBER(资金台帐!B1611),资金台帐!B1611&gt;=客户对账单!$G$4,资金台帐!B1611&lt;=客户对账单!$I$4),资金台帐!B1611+ROW()/100000,"")</f>
      </c>
    </row>
    <row r="4609">
      <c r="F4609">
        <f>IF(AND(资金台帐!J1612&lt;&gt;"",资金台帐!J1612=客户对账单!$B$4,资金台帐!P1612="应收",ISNUMBER(资金台帐!B1612),资金台帐!B1612&gt;=客户对账单!$G$4,资金台帐!B1612&lt;=客户对账单!$I$4),资金台帐!B1612+ROW()/100000,"")</f>
      </c>
    </row>
    <row r="4610">
      <c r="F4610">
        <f>IF(AND(资金台帐!J1613&lt;&gt;"",资金台帐!J1613=客户对账单!$B$4,资金台帐!P1613="应收",ISNUMBER(资金台帐!B1613),资金台帐!B1613&gt;=客户对账单!$G$4,资金台帐!B1613&lt;=客户对账单!$I$4),资金台帐!B1613+ROW()/100000,"")</f>
      </c>
    </row>
    <row r="4611">
      <c r="F4611">
        <f>IF(AND(资金台帐!J1614&lt;&gt;"",资金台帐!J1614=客户对账单!$B$4,资金台帐!P1614="应收",ISNUMBER(资金台帐!B1614),资金台帐!B1614&gt;=客户对账单!$G$4,资金台帐!B1614&lt;=客户对账单!$I$4),资金台帐!B1614+ROW()/100000,"")</f>
      </c>
    </row>
    <row r="4612">
      <c r="F4612">
        <f>IF(AND(资金台帐!J1615&lt;&gt;"",资金台帐!J1615=客户对账单!$B$4,资金台帐!P1615="应收",ISNUMBER(资金台帐!B1615),资金台帐!B1615&gt;=客户对账单!$G$4,资金台帐!B1615&lt;=客户对账单!$I$4),资金台帐!B1615+ROW()/100000,"")</f>
      </c>
    </row>
    <row r="4613">
      <c r="F4613">
        <f>IF(AND(资金台帐!J1616&lt;&gt;"",资金台帐!J1616=客户对账单!$B$4,资金台帐!P1616="应收",ISNUMBER(资金台帐!B1616),资金台帐!B1616&gt;=客户对账单!$G$4,资金台帐!B1616&lt;=客户对账单!$I$4),资金台帐!B1616+ROW()/100000,"")</f>
      </c>
    </row>
    <row r="4614">
      <c r="F4614">
        <f>IF(AND(资金台帐!J1617&lt;&gt;"",资金台帐!J1617=客户对账单!$B$4,资金台帐!P1617="应收",ISNUMBER(资金台帐!B1617),资金台帐!B1617&gt;=客户对账单!$G$4,资金台帐!B1617&lt;=客户对账单!$I$4),资金台帐!B1617+ROW()/100000,"")</f>
      </c>
    </row>
    <row r="4615">
      <c r="F4615">
        <f>IF(AND(资金台帐!J1618&lt;&gt;"",资金台帐!J1618=客户对账单!$B$4,资金台帐!P1618="应收",ISNUMBER(资金台帐!B1618),资金台帐!B1618&gt;=客户对账单!$G$4,资金台帐!B1618&lt;=客户对账单!$I$4),资金台帐!B1618+ROW()/100000,"")</f>
      </c>
    </row>
    <row r="4616">
      <c r="F4616">
        <f>IF(AND(资金台帐!J1619&lt;&gt;"",资金台帐!J1619=客户对账单!$B$4,资金台帐!P1619="应收",ISNUMBER(资金台帐!B1619),资金台帐!B1619&gt;=客户对账单!$G$4,资金台帐!B1619&lt;=客户对账单!$I$4),资金台帐!B1619+ROW()/100000,"")</f>
      </c>
    </row>
    <row r="4617">
      <c r="F4617">
        <f>IF(AND(资金台帐!J1620&lt;&gt;"",资金台帐!J1620=客户对账单!$B$4,资金台帐!P1620="应收",ISNUMBER(资金台帐!B1620),资金台帐!B1620&gt;=客户对账单!$G$4,资金台帐!B1620&lt;=客户对账单!$I$4),资金台帐!B1620+ROW()/100000,"")</f>
      </c>
    </row>
    <row r="4618">
      <c r="F4618">
        <f>IF(AND(资金台帐!J1621&lt;&gt;"",资金台帐!J1621=客户对账单!$B$4,资金台帐!P1621="应收",ISNUMBER(资金台帐!B1621),资金台帐!B1621&gt;=客户对账单!$G$4,资金台帐!B1621&lt;=客户对账单!$I$4),资金台帐!B1621+ROW()/100000,"")</f>
      </c>
    </row>
    <row r="4619">
      <c r="F4619">
        <f>IF(AND(资金台帐!J1622&lt;&gt;"",资金台帐!J1622=客户对账单!$B$4,资金台帐!P1622="应收",ISNUMBER(资金台帐!B1622),资金台帐!B1622&gt;=客户对账单!$G$4,资金台帐!B1622&lt;=客户对账单!$I$4),资金台帐!B1622+ROW()/100000,"")</f>
      </c>
    </row>
    <row r="4620">
      <c r="F4620">
        <f>IF(AND(资金台帐!J1623&lt;&gt;"",资金台帐!J1623=客户对账单!$B$4,资金台帐!P1623="应收",ISNUMBER(资金台帐!B1623),资金台帐!B1623&gt;=客户对账单!$G$4,资金台帐!B1623&lt;=客户对账单!$I$4),资金台帐!B1623+ROW()/100000,"")</f>
      </c>
    </row>
    <row r="4621">
      <c r="F4621">
        <f>IF(AND(资金台帐!J1624&lt;&gt;"",资金台帐!J1624=客户对账单!$B$4,资金台帐!P1624="应收",ISNUMBER(资金台帐!B1624),资金台帐!B1624&gt;=客户对账单!$G$4,资金台帐!B1624&lt;=客户对账单!$I$4),资金台帐!B1624+ROW()/100000,"")</f>
      </c>
    </row>
    <row r="4622">
      <c r="F4622">
        <f>IF(AND(资金台帐!J1625&lt;&gt;"",资金台帐!J1625=客户对账单!$B$4,资金台帐!P1625="应收",ISNUMBER(资金台帐!B1625),资金台帐!B1625&gt;=客户对账单!$G$4,资金台帐!B1625&lt;=客户对账单!$I$4),资金台帐!B1625+ROW()/100000,"")</f>
      </c>
    </row>
    <row r="4623">
      <c r="F4623">
        <f>IF(AND(资金台帐!J1626&lt;&gt;"",资金台帐!J1626=客户对账单!$B$4,资金台帐!P1626="应收",ISNUMBER(资金台帐!B1626),资金台帐!B1626&gt;=客户对账单!$G$4,资金台帐!B1626&lt;=客户对账单!$I$4),资金台帐!B1626+ROW()/100000,"")</f>
      </c>
    </row>
    <row r="4624">
      <c r="F4624">
        <f>IF(AND(资金台帐!J1627&lt;&gt;"",资金台帐!J1627=客户对账单!$B$4,资金台帐!P1627="应收",ISNUMBER(资金台帐!B1627),资金台帐!B1627&gt;=客户对账单!$G$4,资金台帐!B1627&lt;=客户对账单!$I$4),资金台帐!B1627+ROW()/100000,"")</f>
      </c>
    </row>
    <row r="4625">
      <c r="F4625">
        <f>IF(AND(资金台帐!J1628&lt;&gt;"",资金台帐!J1628=客户对账单!$B$4,资金台帐!P1628="应收",ISNUMBER(资金台帐!B1628),资金台帐!B1628&gt;=客户对账单!$G$4,资金台帐!B1628&lt;=客户对账单!$I$4),资金台帐!B1628+ROW()/100000,"")</f>
      </c>
    </row>
    <row r="4626">
      <c r="F4626">
        <f>IF(AND(资金台帐!J1629&lt;&gt;"",资金台帐!J1629=客户对账单!$B$4,资金台帐!P1629="应收",ISNUMBER(资金台帐!B1629),资金台帐!B1629&gt;=客户对账单!$G$4,资金台帐!B1629&lt;=客户对账单!$I$4),资金台帐!B1629+ROW()/100000,"")</f>
      </c>
    </row>
    <row r="4627">
      <c r="F4627">
        <f>IF(AND(资金台帐!J1630&lt;&gt;"",资金台帐!J1630=客户对账单!$B$4,资金台帐!P1630="应收",ISNUMBER(资金台帐!B1630),资金台帐!B1630&gt;=客户对账单!$G$4,资金台帐!B1630&lt;=客户对账单!$I$4),资金台帐!B1630+ROW()/100000,"")</f>
      </c>
    </row>
    <row r="4628">
      <c r="F4628">
        <f>IF(AND(资金台帐!J1631&lt;&gt;"",资金台帐!J1631=客户对账单!$B$4,资金台帐!P1631="应收",ISNUMBER(资金台帐!B1631),资金台帐!B1631&gt;=客户对账单!$G$4,资金台帐!B1631&lt;=客户对账单!$I$4),资金台帐!B1631+ROW()/100000,"")</f>
      </c>
    </row>
    <row r="4629">
      <c r="F4629">
        <f>IF(AND(资金台帐!J1632&lt;&gt;"",资金台帐!J1632=客户对账单!$B$4,资金台帐!P1632="应收",ISNUMBER(资金台帐!B1632),资金台帐!B1632&gt;=客户对账单!$G$4,资金台帐!B1632&lt;=客户对账单!$I$4),资金台帐!B1632+ROW()/100000,"")</f>
      </c>
    </row>
    <row r="4630">
      <c r="F4630">
        <f>IF(AND(资金台帐!J1633&lt;&gt;"",资金台帐!J1633=客户对账单!$B$4,资金台帐!P1633="应收",ISNUMBER(资金台帐!B1633),资金台帐!B1633&gt;=客户对账单!$G$4,资金台帐!B1633&lt;=客户对账单!$I$4),资金台帐!B1633+ROW()/100000,"")</f>
      </c>
    </row>
    <row r="4631">
      <c r="F4631">
        <f>IF(AND(资金台帐!J1634&lt;&gt;"",资金台帐!J1634=客户对账单!$B$4,资金台帐!P1634="应收",ISNUMBER(资金台帐!B1634),资金台帐!B1634&gt;=客户对账单!$G$4,资金台帐!B1634&lt;=客户对账单!$I$4),资金台帐!B1634+ROW()/100000,"")</f>
      </c>
    </row>
    <row r="4632">
      <c r="F4632">
        <f>IF(AND(资金台帐!J1635&lt;&gt;"",资金台帐!J1635=客户对账单!$B$4,资金台帐!P1635="应收",ISNUMBER(资金台帐!B1635),资金台帐!B1635&gt;=客户对账单!$G$4,资金台帐!B1635&lt;=客户对账单!$I$4),资金台帐!B1635+ROW()/100000,"")</f>
      </c>
    </row>
    <row r="4633">
      <c r="F4633">
        <f>IF(AND(资金台帐!J1636&lt;&gt;"",资金台帐!J1636=客户对账单!$B$4,资金台帐!P1636="应收",ISNUMBER(资金台帐!B1636),资金台帐!B1636&gt;=客户对账单!$G$4,资金台帐!B1636&lt;=客户对账单!$I$4),资金台帐!B1636+ROW()/100000,"")</f>
      </c>
    </row>
    <row r="4634">
      <c r="F4634">
        <f>IF(AND(资金台帐!J1637&lt;&gt;"",资金台帐!J1637=客户对账单!$B$4,资金台帐!P1637="应收",ISNUMBER(资金台帐!B1637),资金台帐!B1637&gt;=客户对账单!$G$4,资金台帐!B1637&lt;=客户对账单!$I$4),资金台帐!B1637+ROW()/100000,"")</f>
      </c>
    </row>
    <row r="4635">
      <c r="F4635">
        <f>IF(AND(资金台帐!J1638&lt;&gt;"",资金台帐!J1638=客户对账单!$B$4,资金台帐!P1638="应收",ISNUMBER(资金台帐!B1638),资金台帐!B1638&gt;=客户对账单!$G$4,资金台帐!B1638&lt;=客户对账单!$I$4),资金台帐!B1638+ROW()/100000,"")</f>
      </c>
    </row>
    <row r="4636">
      <c r="F4636">
        <f>IF(AND(资金台帐!J1639&lt;&gt;"",资金台帐!J1639=客户对账单!$B$4,资金台帐!P1639="应收",ISNUMBER(资金台帐!B1639),资金台帐!B1639&gt;=客户对账单!$G$4,资金台帐!B1639&lt;=客户对账单!$I$4),资金台帐!B1639+ROW()/100000,"")</f>
      </c>
    </row>
    <row r="4637">
      <c r="F4637">
        <f>IF(AND(资金台帐!J1640&lt;&gt;"",资金台帐!J1640=客户对账单!$B$4,资金台帐!P1640="应收",ISNUMBER(资金台帐!B1640),资金台帐!B1640&gt;=客户对账单!$G$4,资金台帐!B1640&lt;=客户对账单!$I$4),资金台帐!B1640+ROW()/100000,"")</f>
      </c>
    </row>
    <row r="4638">
      <c r="F4638">
        <f>IF(AND(资金台帐!J1641&lt;&gt;"",资金台帐!J1641=客户对账单!$B$4,资金台帐!P1641="应收",ISNUMBER(资金台帐!B1641),资金台帐!B1641&gt;=客户对账单!$G$4,资金台帐!B1641&lt;=客户对账单!$I$4),资金台帐!B1641+ROW()/100000,"")</f>
      </c>
    </row>
    <row r="4639">
      <c r="F4639">
        <f>IF(AND(资金台帐!J1642&lt;&gt;"",资金台帐!J1642=客户对账单!$B$4,资金台帐!P1642="应收",ISNUMBER(资金台帐!B1642),资金台帐!B1642&gt;=客户对账单!$G$4,资金台帐!B1642&lt;=客户对账单!$I$4),资金台帐!B1642+ROW()/100000,"")</f>
      </c>
    </row>
    <row r="4640">
      <c r="F4640">
        <f>IF(AND(资金台帐!J1643&lt;&gt;"",资金台帐!J1643=客户对账单!$B$4,资金台帐!P1643="应收",ISNUMBER(资金台帐!B1643),资金台帐!B1643&gt;=客户对账单!$G$4,资金台帐!B1643&lt;=客户对账单!$I$4),资金台帐!B1643+ROW()/100000,"")</f>
      </c>
    </row>
    <row r="4641">
      <c r="F4641">
        <f>IF(AND(资金台帐!J1644&lt;&gt;"",资金台帐!J1644=客户对账单!$B$4,资金台帐!P1644="应收",ISNUMBER(资金台帐!B1644),资金台帐!B1644&gt;=客户对账单!$G$4,资金台帐!B1644&lt;=客户对账单!$I$4),资金台帐!B1644+ROW()/100000,"")</f>
      </c>
    </row>
    <row r="4642">
      <c r="F4642">
        <f>IF(AND(资金台帐!J1645&lt;&gt;"",资金台帐!J1645=客户对账单!$B$4,资金台帐!P1645="应收",ISNUMBER(资金台帐!B1645),资金台帐!B1645&gt;=客户对账单!$G$4,资金台帐!B1645&lt;=客户对账单!$I$4),资金台帐!B1645+ROW()/100000,"")</f>
      </c>
    </row>
    <row r="4643">
      <c r="F4643">
        <f>IF(AND(资金台帐!J1646&lt;&gt;"",资金台帐!J1646=客户对账单!$B$4,资金台帐!P1646="应收",ISNUMBER(资金台帐!B1646),资金台帐!B1646&gt;=客户对账单!$G$4,资金台帐!B1646&lt;=客户对账单!$I$4),资金台帐!B1646+ROW()/100000,"")</f>
      </c>
    </row>
    <row r="4644">
      <c r="F4644">
        <f>IF(AND(资金台帐!J1647&lt;&gt;"",资金台帐!J1647=客户对账单!$B$4,资金台帐!P1647="应收",ISNUMBER(资金台帐!B1647),资金台帐!B1647&gt;=客户对账单!$G$4,资金台帐!B1647&lt;=客户对账单!$I$4),资金台帐!B1647+ROW()/100000,"")</f>
      </c>
    </row>
    <row r="4645">
      <c r="F4645">
        <f>IF(AND(资金台帐!J1648&lt;&gt;"",资金台帐!J1648=客户对账单!$B$4,资金台帐!P1648="应收",ISNUMBER(资金台帐!B1648),资金台帐!B1648&gt;=客户对账单!$G$4,资金台帐!B1648&lt;=客户对账单!$I$4),资金台帐!B1648+ROW()/100000,"")</f>
      </c>
    </row>
    <row r="4646">
      <c r="F4646">
        <f>IF(AND(资金台帐!J1649&lt;&gt;"",资金台帐!J1649=客户对账单!$B$4,资金台帐!P1649="应收",ISNUMBER(资金台帐!B1649),资金台帐!B1649&gt;=客户对账单!$G$4,资金台帐!B1649&lt;=客户对账单!$I$4),资金台帐!B1649+ROW()/100000,"")</f>
      </c>
    </row>
    <row r="4647">
      <c r="F4647">
        <f>IF(AND(资金台帐!J1650&lt;&gt;"",资金台帐!J1650=客户对账单!$B$4,资金台帐!P1650="应收",ISNUMBER(资金台帐!B1650),资金台帐!B1650&gt;=客户对账单!$G$4,资金台帐!B1650&lt;=客户对账单!$I$4),资金台帐!B1650+ROW()/100000,"")</f>
      </c>
    </row>
    <row r="4648">
      <c r="F4648">
        <f>IF(AND(资金台帐!J1651&lt;&gt;"",资金台帐!J1651=客户对账单!$B$4,资金台帐!P1651="应收",ISNUMBER(资金台帐!B1651),资金台帐!B1651&gt;=客户对账单!$G$4,资金台帐!B1651&lt;=客户对账单!$I$4),资金台帐!B1651+ROW()/100000,"")</f>
      </c>
    </row>
    <row r="4649">
      <c r="F4649">
        <f>IF(AND(资金台帐!J1652&lt;&gt;"",资金台帐!J1652=客户对账单!$B$4,资金台帐!P1652="应收",ISNUMBER(资金台帐!B1652),资金台帐!B1652&gt;=客户对账单!$G$4,资金台帐!B1652&lt;=客户对账单!$I$4),资金台帐!B1652+ROW()/100000,"")</f>
      </c>
    </row>
    <row r="4650">
      <c r="F4650">
        <f>IF(AND(资金台帐!J1653&lt;&gt;"",资金台帐!J1653=客户对账单!$B$4,资金台帐!P1653="应收",ISNUMBER(资金台帐!B1653),资金台帐!B1653&gt;=客户对账单!$G$4,资金台帐!B1653&lt;=客户对账单!$I$4),资金台帐!B1653+ROW()/100000,"")</f>
      </c>
    </row>
    <row r="4651">
      <c r="F4651">
        <f>IF(AND(资金台帐!J1654&lt;&gt;"",资金台帐!J1654=客户对账单!$B$4,资金台帐!P1654="应收",ISNUMBER(资金台帐!B1654),资金台帐!B1654&gt;=客户对账单!$G$4,资金台帐!B1654&lt;=客户对账单!$I$4),资金台帐!B1654+ROW()/100000,"")</f>
      </c>
    </row>
    <row r="4652">
      <c r="F4652">
        <f>IF(AND(资金台帐!J1655&lt;&gt;"",资金台帐!J1655=客户对账单!$B$4,资金台帐!P1655="应收",ISNUMBER(资金台帐!B1655),资金台帐!B1655&gt;=客户对账单!$G$4,资金台帐!B1655&lt;=客户对账单!$I$4),资金台帐!B1655+ROW()/100000,"")</f>
      </c>
    </row>
    <row r="4653">
      <c r="F4653">
        <f>IF(AND(资金台帐!J1656&lt;&gt;"",资金台帐!J1656=客户对账单!$B$4,资金台帐!P1656="应收",ISNUMBER(资金台帐!B1656),资金台帐!B1656&gt;=客户对账单!$G$4,资金台帐!B1656&lt;=客户对账单!$I$4),资金台帐!B1656+ROW()/100000,"")</f>
      </c>
    </row>
    <row r="4654">
      <c r="F4654">
        <f>IF(AND(资金台帐!J1657&lt;&gt;"",资金台帐!J1657=客户对账单!$B$4,资金台帐!P1657="应收",ISNUMBER(资金台帐!B1657),资金台帐!B1657&gt;=客户对账单!$G$4,资金台帐!B1657&lt;=客户对账单!$I$4),资金台帐!B1657+ROW()/100000,"")</f>
      </c>
    </row>
    <row r="4655">
      <c r="F4655">
        <f>IF(AND(资金台帐!J1658&lt;&gt;"",资金台帐!J1658=客户对账单!$B$4,资金台帐!P1658="应收",ISNUMBER(资金台帐!B1658),资金台帐!B1658&gt;=客户对账单!$G$4,资金台帐!B1658&lt;=客户对账单!$I$4),资金台帐!B1658+ROW()/100000,"")</f>
      </c>
    </row>
    <row r="4656">
      <c r="F4656">
        <f>IF(AND(资金台帐!J1659&lt;&gt;"",资金台帐!J1659=客户对账单!$B$4,资金台帐!P1659="应收",ISNUMBER(资金台帐!B1659),资金台帐!B1659&gt;=客户对账单!$G$4,资金台帐!B1659&lt;=客户对账单!$I$4),资金台帐!B1659+ROW()/100000,"")</f>
      </c>
    </row>
    <row r="4657">
      <c r="F4657">
        <f>IF(AND(资金台帐!J1660&lt;&gt;"",资金台帐!J1660=客户对账单!$B$4,资金台帐!P1660="应收",ISNUMBER(资金台帐!B1660),资金台帐!B1660&gt;=客户对账单!$G$4,资金台帐!B1660&lt;=客户对账单!$I$4),资金台帐!B1660+ROW()/100000,"")</f>
      </c>
    </row>
    <row r="4658">
      <c r="F4658">
        <f>IF(AND(资金台帐!J1661&lt;&gt;"",资金台帐!J1661=客户对账单!$B$4,资金台帐!P1661="应收",ISNUMBER(资金台帐!B1661),资金台帐!B1661&gt;=客户对账单!$G$4,资金台帐!B1661&lt;=客户对账单!$I$4),资金台帐!B1661+ROW()/100000,"")</f>
      </c>
    </row>
    <row r="4659">
      <c r="F4659">
        <f>IF(AND(资金台帐!J1662&lt;&gt;"",资金台帐!J1662=客户对账单!$B$4,资金台帐!P1662="应收",ISNUMBER(资金台帐!B1662),资金台帐!B1662&gt;=客户对账单!$G$4,资金台帐!B1662&lt;=客户对账单!$I$4),资金台帐!B1662+ROW()/100000,"")</f>
      </c>
    </row>
    <row r="4660">
      <c r="F4660">
        <f>IF(AND(资金台帐!J1663&lt;&gt;"",资金台帐!J1663=客户对账单!$B$4,资金台帐!P1663="应收",ISNUMBER(资金台帐!B1663),资金台帐!B1663&gt;=客户对账单!$G$4,资金台帐!B1663&lt;=客户对账单!$I$4),资金台帐!B1663+ROW()/100000,"")</f>
      </c>
    </row>
    <row r="4661">
      <c r="F4661">
        <f>IF(AND(资金台帐!J1664&lt;&gt;"",资金台帐!J1664=客户对账单!$B$4,资金台帐!P1664="应收",ISNUMBER(资金台帐!B1664),资金台帐!B1664&gt;=客户对账单!$G$4,资金台帐!B1664&lt;=客户对账单!$I$4),资金台帐!B1664+ROW()/100000,"")</f>
      </c>
    </row>
    <row r="4662">
      <c r="F4662">
        <f>IF(AND(资金台帐!J1665&lt;&gt;"",资金台帐!J1665=客户对账单!$B$4,资金台帐!P1665="应收",ISNUMBER(资金台帐!B1665),资金台帐!B1665&gt;=客户对账单!$G$4,资金台帐!B1665&lt;=客户对账单!$I$4),资金台帐!B1665+ROW()/100000,"")</f>
      </c>
    </row>
    <row r="4663">
      <c r="F4663">
        <f>IF(AND(资金台帐!J1666&lt;&gt;"",资金台帐!J1666=客户对账单!$B$4,资金台帐!P1666="应收",ISNUMBER(资金台帐!B1666),资金台帐!B1666&gt;=客户对账单!$G$4,资金台帐!B1666&lt;=客户对账单!$I$4),资金台帐!B1666+ROW()/100000,"")</f>
      </c>
    </row>
    <row r="4664">
      <c r="F4664">
        <f>IF(AND(资金台帐!J1667&lt;&gt;"",资金台帐!J1667=客户对账单!$B$4,资金台帐!P1667="应收",ISNUMBER(资金台帐!B1667),资金台帐!B1667&gt;=客户对账单!$G$4,资金台帐!B1667&lt;=客户对账单!$I$4),资金台帐!B1667+ROW()/100000,"")</f>
      </c>
    </row>
    <row r="4665">
      <c r="F4665">
        <f>IF(AND(资金台帐!J1668&lt;&gt;"",资金台帐!J1668=客户对账单!$B$4,资金台帐!P1668="应收",ISNUMBER(资金台帐!B1668),资金台帐!B1668&gt;=客户对账单!$G$4,资金台帐!B1668&lt;=客户对账单!$I$4),资金台帐!B1668+ROW()/100000,"")</f>
      </c>
    </row>
    <row r="4666">
      <c r="F4666">
        <f>IF(AND(资金台帐!J1669&lt;&gt;"",资金台帐!J1669=客户对账单!$B$4,资金台帐!P1669="应收",ISNUMBER(资金台帐!B1669),资金台帐!B1669&gt;=客户对账单!$G$4,资金台帐!B1669&lt;=客户对账单!$I$4),资金台帐!B1669+ROW()/100000,"")</f>
      </c>
    </row>
    <row r="4667">
      <c r="F4667">
        <f>IF(AND(资金台帐!J1670&lt;&gt;"",资金台帐!J1670=客户对账单!$B$4,资金台帐!P1670="应收",ISNUMBER(资金台帐!B1670),资金台帐!B1670&gt;=客户对账单!$G$4,资金台帐!B1670&lt;=客户对账单!$I$4),资金台帐!B1670+ROW()/100000,"")</f>
      </c>
    </row>
    <row r="4668">
      <c r="F4668">
        <f>IF(AND(资金台帐!J1671&lt;&gt;"",资金台帐!J1671=客户对账单!$B$4,资金台帐!P1671="应收",ISNUMBER(资金台帐!B1671),资金台帐!B1671&gt;=客户对账单!$G$4,资金台帐!B1671&lt;=客户对账单!$I$4),资金台帐!B1671+ROW()/100000,"")</f>
      </c>
    </row>
    <row r="4669">
      <c r="F4669">
        <f>IF(AND(资金台帐!J1672&lt;&gt;"",资金台帐!J1672=客户对账单!$B$4,资金台帐!P1672="应收",ISNUMBER(资金台帐!B1672),资金台帐!B1672&gt;=客户对账单!$G$4,资金台帐!B1672&lt;=客户对账单!$I$4),资金台帐!B1672+ROW()/100000,"")</f>
      </c>
    </row>
    <row r="4670">
      <c r="F4670">
        <f>IF(AND(资金台帐!J1673&lt;&gt;"",资金台帐!J1673=客户对账单!$B$4,资金台帐!P1673="应收",ISNUMBER(资金台帐!B1673),资金台帐!B1673&gt;=客户对账单!$G$4,资金台帐!B1673&lt;=客户对账单!$I$4),资金台帐!B1673+ROW()/100000,"")</f>
      </c>
    </row>
    <row r="4671">
      <c r="F4671">
        <f>IF(AND(资金台帐!J1674&lt;&gt;"",资金台帐!J1674=客户对账单!$B$4,资金台帐!P1674="应收",ISNUMBER(资金台帐!B1674),资金台帐!B1674&gt;=客户对账单!$G$4,资金台帐!B1674&lt;=客户对账单!$I$4),资金台帐!B1674+ROW()/100000,"")</f>
      </c>
    </row>
    <row r="4672">
      <c r="F4672">
        <f>IF(AND(资金台帐!J1675&lt;&gt;"",资金台帐!J1675=客户对账单!$B$4,资金台帐!P1675="应收",ISNUMBER(资金台帐!B1675),资金台帐!B1675&gt;=客户对账单!$G$4,资金台帐!B1675&lt;=客户对账单!$I$4),资金台帐!B1675+ROW()/100000,"")</f>
      </c>
    </row>
    <row r="4673">
      <c r="F4673">
        <f>IF(AND(资金台帐!J1676&lt;&gt;"",资金台帐!J1676=客户对账单!$B$4,资金台帐!P1676="应收",ISNUMBER(资金台帐!B1676),资金台帐!B1676&gt;=客户对账单!$G$4,资金台帐!B1676&lt;=客户对账单!$I$4),资金台帐!B1676+ROW()/100000,"")</f>
      </c>
    </row>
    <row r="4674">
      <c r="F4674">
        <f>IF(AND(资金台帐!J1677&lt;&gt;"",资金台帐!J1677=客户对账单!$B$4,资金台帐!P1677="应收",ISNUMBER(资金台帐!B1677),资金台帐!B1677&gt;=客户对账单!$G$4,资金台帐!B1677&lt;=客户对账单!$I$4),资金台帐!B1677+ROW()/100000,"")</f>
      </c>
    </row>
    <row r="4675">
      <c r="F4675">
        <f>IF(AND(资金台帐!J1678&lt;&gt;"",资金台帐!J1678=客户对账单!$B$4,资金台帐!P1678="应收",ISNUMBER(资金台帐!B1678),资金台帐!B1678&gt;=客户对账单!$G$4,资金台帐!B1678&lt;=客户对账单!$I$4),资金台帐!B1678+ROW()/100000,"")</f>
      </c>
    </row>
    <row r="4676">
      <c r="F4676">
        <f>IF(AND(资金台帐!J1679&lt;&gt;"",资金台帐!J1679=客户对账单!$B$4,资金台帐!P1679="应收",ISNUMBER(资金台帐!B1679),资金台帐!B1679&gt;=客户对账单!$G$4,资金台帐!B1679&lt;=客户对账单!$I$4),资金台帐!B1679+ROW()/100000,"")</f>
      </c>
    </row>
    <row r="4677">
      <c r="F4677">
        <f>IF(AND(资金台帐!J1680&lt;&gt;"",资金台帐!J1680=客户对账单!$B$4,资金台帐!P1680="应收",ISNUMBER(资金台帐!B1680),资金台帐!B1680&gt;=客户对账单!$G$4,资金台帐!B1680&lt;=客户对账单!$I$4),资金台帐!B1680+ROW()/100000,"")</f>
      </c>
    </row>
    <row r="4678">
      <c r="F4678">
        <f>IF(AND(资金台帐!J1681&lt;&gt;"",资金台帐!J1681=客户对账单!$B$4,资金台帐!P1681="应收",ISNUMBER(资金台帐!B1681),资金台帐!B1681&gt;=客户对账单!$G$4,资金台帐!B1681&lt;=客户对账单!$I$4),资金台帐!B1681+ROW()/100000,"")</f>
      </c>
    </row>
    <row r="4679">
      <c r="F4679">
        <f>IF(AND(资金台帐!J1682&lt;&gt;"",资金台帐!J1682=客户对账单!$B$4,资金台帐!P1682="应收",ISNUMBER(资金台帐!B1682),资金台帐!B1682&gt;=客户对账单!$G$4,资金台帐!B1682&lt;=客户对账单!$I$4),资金台帐!B1682+ROW()/100000,"")</f>
      </c>
    </row>
    <row r="4680">
      <c r="F4680">
        <f>IF(AND(资金台帐!J1683&lt;&gt;"",资金台帐!J1683=客户对账单!$B$4,资金台帐!P1683="应收",ISNUMBER(资金台帐!B1683),资金台帐!B1683&gt;=客户对账单!$G$4,资金台帐!B1683&lt;=客户对账单!$I$4),资金台帐!B1683+ROW()/100000,"")</f>
      </c>
    </row>
    <row r="4681">
      <c r="F4681">
        <f>IF(AND(资金台帐!J1684&lt;&gt;"",资金台帐!J1684=客户对账单!$B$4,资金台帐!P1684="应收",ISNUMBER(资金台帐!B1684),资金台帐!B1684&gt;=客户对账单!$G$4,资金台帐!B1684&lt;=客户对账单!$I$4),资金台帐!B1684+ROW()/100000,"")</f>
      </c>
    </row>
    <row r="4682">
      <c r="F4682">
        <f>IF(AND(资金台帐!J1685&lt;&gt;"",资金台帐!J1685=客户对账单!$B$4,资金台帐!P1685="应收",ISNUMBER(资金台帐!B1685),资金台帐!B1685&gt;=客户对账单!$G$4,资金台帐!B1685&lt;=客户对账单!$I$4),资金台帐!B1685+ROW()/100000,"")</f>
      </c>
    </row>
    <row r="4683">
      <c r="F4683">
        <f>IF(AND(资金台帐!J1686&lt;&gt;"",资金台帐!J1686=客户对账单!$B$4,资金台帐!P1686="应收",ISNUMBER(资金台帐!B1686),资金台帐!B1686&gt;=客户对账单!$G$4,资金台帐!B1686&lt;=客户对账单!$I$4),资金台帐!B1686+ROW()/100000,"")</f>
      </c>
    </row>
    <row r="4684">
      <c r="F4684">
        <f>IF(AND(资金台帐!J1687&lt;&gt;"",资金台帐!J1687=客户对账单!$B$4,资金台帐!P1687="应收",ISNUMBER(资金台帐!B1687),资金台帐!B1687&gt;=客户对账单!$G$4,资金台帐!B1687&lt;=客户对账单!$I$4),资金台帐!B1687+ROW()/100000,"")</f>
      </c>
    </row>
    <row r="4685">
      <c r="F4685">
        <f>IF(AND(资金台帐!J1688&lt;&gt;"",资金台帐!J1688=客户对账单!$B$4,资金台帐!P1688="应收",ISNUMBER(资金台帐!B1688),资金台帐!B1688&gt;=客户对账单!$G$4,资金台帐!B1688&lt;=客户对账单!$I$4),资金台帐!B1688+ROW()/100000,"")</f>
      </c>
    </row>
    <row r="4686">
      <c r="F4686">
        <f>IF(AND(资金台帐!J1689&lt;&gt;"",资金台帐!J1689=客户对账单!$B$4,资金台帐!P1689="应收",ISNUMBER(资金台帐!B1689),资金台帐!B1689&gt;=客户对账单!$G$4,资金台帐!B1689&lt;=客户对账单!$I$4),资金台帐!B1689+ROW()/100000,"")</f>
      </c>
    </row>
    <row r="4687">
      <c r="F4687">
        <f>IF(AND(资金台帐!J1690&lt;&gt;"",资金台帐!J1690=客户对账单!$B$4,资金台帐!P1690="应收",ISNUMBER(资金台帐!B1690),资金台帐!B1690&gt;=客户对账单!$G$4,资金台帐!B1690&lt;=客户对账单!$I$4),资金台帐!B1690+ROW()/100000,"")</f>
      </c>
    </row>
    <row r="4688">
      <c r="F4688">
        <f>IF(AND(资金台帐!J1691&lt;&gt;"",资金台帐!J1691=客户对账单!$B$4,资金台帐!P1691="应收",ISNUMBER(资金台帐!B1691),资金台帐!B1691&gt;=客户对账单!$G$4,资金台帐!B1691&lt;=客户对账单!$I$4),资金台帐!B1691+ROW()/100000,"")</f>
      </c>
    </row>
    <row r="4689">
      <c r="F4689">
        <f>IF(AND(资金台帐!J1692&lt;&gt;"",资金台帐!J1692=客户对账单!$B$4,资金台帐!P1692="应收",ISNUMBER(资金台帐!B1692),资金台帐!B1692&gt;=客户对账单!$G$4,资金台帐!B1692&lt;=客户对账单!$I$4),资金台帐!B1692+ROW()/100000,"")</f>
      </c>
    </row>
    <row r="4690">
      <c r="F4690">
        <f>IF(AND(资金台帐!J1693&lt;&gt;"",资金台帐!J1693=客户对账单!$B$4,资金台帐!P1693="应收",ISNUMBER(资金台帐!B1693),资金台帐!B1693&gt;=客户对账单!$G$4,资金台帐!B1693&lt;=客户对账单!$I$4),资金台帐!B1693+ROW()/100000,"")</f>
      </c>
    </row>
    <row r="4691">
      <c r="F4691">
        <f>IF(AND(资金台帐!J1694&lt;&gt;"",资金台帐!J1694=客户对账单!$B$4,资金台帐!P1694="应收",ISNUMBER(资金台帐!B1694),资金台帐!B1694&gt;=客户对账单!$G$4,资金台帐!B1694&lt;=客户对账单!$I$4),资金台帐!B1694+ROW()/100000,"")</f>
      </c>
    </row>
    <row r="4692">
      <c r="F4692">
        <f>IF(AND(资金台帐!J1695&lt;&gt;"",资金台帐!J1695=客户对账单!$B$4,资金台帐!P1695="应收",ISNUMBER(资金台帐!B1695),资金台帐!B1695&gt;=客户对账单!$G$4,资金台帐!B1695&lt;=客户对账单!$I$4),资金台帐!B1695+ROW()/100000,"")</f>
      </c>
    </row>
    <row r="4693">
      <c r="F4693">
        <f>IF(AND(资金台帐!J1696&lt;&gt;"",资金台帐!J1696=客户对账单!$B$4,资金台帐!P1696="应收",ISNUMBER(资金台帐!B1696),资金台帐!B1696&gt;=客户对账单!$G$4,资金台帐!B1696&lt;=客户对账单!$I$4),资金台帐!B1696+ROW()/100000,"")</f>
      </c>
    </row>
    <row r="4694">
      <c r="F4694">
        <f>IF(AND(资金台帐!J1697&lt;&gt;"",资金台帐!J1697=客户对账单!$B$4,资金台帐!P1697="应收",ISNUMBER(资金台帐!B1697),资金台帐!B1697&gt;=客户对账单!$G$4,资金台帐!B1697&lt;=客户对账单!$I$4),资金台帐!B1697+ROW()/100000,"")</f>
      </c>
    </row>
    <row r="4695">
      <c r="F4695">
        <f>IF(AND(资金台帐!J1698&lt;&gt;"",资金台帐!J1698=客户对账单!$B$4,资金台帐!P1698="应收",ISNUMBER(资金台帐!B1698),资金台帐!B1698&gt;=客户对账单!$G$4,资金台帐!B1698&lt;=客户对账单!$I$4),资金台帐!B1698+ROW()/100000,"")</f>
      </c>
    </row>
    <row r="4696">
      <c r="F4696">
        <f>IF(AND(资金台帐!J1699&lt;&gt;"",资金台帐!J1699=客户对账单!$B$4,资金台帐!P1699="应收",ISNUMBER(资金台帐!B1699),资金台帐!B1699&gt;=客户对账单!$G$4,资金台帐!B1699&lt;=客户对账单!$I$4),资金台帐!B1699+ROW()/100000,"")</f>
      </c>
    </row>
    <row r="4697">
      <c r="F4697">
        <f>IF(AND(资金台帐!J1700&lt;&gt;"",资金台帐!J1700=客户对账单!$B$4,资金台帐!P1700="应收",ISNUMBER(资金台帐!B1700),资金台帐!B1700&gt;=客户对账单!$G$4,资金台帐!B1700&lt;=客户对账单!$I$4),资金台帐!B1700+ROW()/100000,"")</f>
      </c>
    </row>
    <row r="4698">
      <c r="F4698">
        <f>IF(AND(资金台帐!J1701&lt;&gt;"",资金台帐!J1701=客户对账单!$B$4,资金台帐!P1701="应收",ISNUMBER(资金台帐!B1701),资金台帐!B1701&gt;=客户对账单!$G$4,资金台帐!B1701&lt;=客户对账单!$I$4),资金台帐!B1701+ROW()/100000,"")</f>
      </c>
    </row>
    <row r="4699">
      <c r="F4699">
        <f>IF(AND(资金台帐!J1702&lt;&gt;"",资金台帐!J1702=客户对账单!$B$4,资金台帐!P1702="应收",ISNUMBER(资金台帐!B1702),资金台帐!B1702&gt;=客户对账单!$G$4,资金台帐!B1702&lt;=客户对账单!$I$4),资金台帐!B1702+ROW()/100000,"")</f>
      </c>
    </row>
    <row r="4700">
      <c r="F4700">
        <f>IF(AND(资金台帐!J1703&lt;&gt;"",资金台帐!J1703=客户对账单!$B$4,资金台帐!P1703="应收",ISNUMBER(资金台帐!B1703),资金台帐!B1703&gt;=客户对账单!$G$4,资金台帐!B1703&lt;=客户对账单!$I$4),资金台帐!B1703+ROW()/100000,"")</f>
      </c>
    </row>
    <row r="4701">
      <c r="F4701">
        <f>IF(AND(资金台帐!J1704&lt;&gt;"",资金台帐!J1704=客户对账单!$B$4,资金台帐!P1704="应收",ISNUMBER(资金台帐!B1704),资金台帐!B1704&gt;=客户对账单!$G$4,资金台帐!B1704&lt;=客户对账单!$I$4),资金台帐!B1704+ROW()/100000,"")</f>
      </c>
    </row>
    <row r="4702">
      <c r="F4702">
        <f>IF(AND(资金台帐!J1705&lt;&gt;"",资金台帐!J1705=客户对账单!$B$4,资金台帐!P1705="应收",ISNUMBER(资金台帐!B1705),资金台帐!B1705&gt;=客户对账单!$G$4,资金台帐!B1705&lt;=客户对账单!$I$4),资金台帐!B1705+ROW()/100000,"")</f>
      </c>
    </row>
    <row r="4703">
      <c r="F4703">
        <f>IF(AND(资金台帐!J1706&lt;&gt;"",资金台帐!J1706=客户对账单!$B$4,资金台帐!P1706="应收",ISNUMBER(资金台帐!B1706),资金台帐!B1706&gt;=客户对账单!$G$4,资金台帐!B1706&lt;=客户对账单!$I$4),资金台帐!B1706+ROW()/100000,"")</f>
      </c>
    </row>
    <row r="4704">
      <c r="F4704">
        <f>IF(AND(资金台帐!J1707&lt;&gt;"",资金台帐!J1707=客户对账单!$B$4,资金台帐!P1707="应收",ISNUMBER(资金台帐!B1707),资金台帐!B1707&gt;=客户对账单!$G$4,资金台帐!B1707&lt;=客户对账单!$I$4),资金台帐!B1707+ROW()/100000,"")</f>
      </c>
    </row>
    <row r="4705">
      <c r="F4705">
        <f>IF(AND(资金台帐!J1708&lt;&gt;"",资金台帐!J1708=客户对账单!$B$4,资金台帐!P1708="应收",ISNUMBER(资金台帐!B1708),资金台帐!B1708&gt;=客户对账单!$G$4,资金台帐!B1708&lt;=客户对账单!$I$4),资金台帐!B1708+ROW()/100000,"")</f>
      </c>
    </row>
    <row r="4706">
      <c r="F4706">
        <f>IF(AND(资金台帐!J1709&lt;&gt;"",资金台帐!J1709=客户对账单!$B$4,资金台帐!P1709="应收",ISNUMBER(资金台帐!B1709),资金台帐!B1709&gt;=客户对账单!$G$4,资金台帐!B1709&lt;=客户对账单!$I$4),资金台帐!B1709+ROW()/100000,"")</f>
      </c>
    </row>
    <row r="4707">
      <c r="F4707">
        <f>IF(AND(资金台帐!J1710&lt;&gt;"",资金台帐!J1710=客户对账单!$B$4,资金台帐!P1710="应收",ISNUMBER(资金台帐!B1710),资金台帐!B1710&gt;=客户对账单!$G$4,资金台帐!B1710&lt;=客户对账单!$I$4),资金台帐!B1710+ROW()/100000,"")</f>
      </c>
    </row>
    <row r="4708">
      <c r="F4708">
        <f>IF(AND(资金台帐!J1711&lt;&gt;"",资金台帐!J1711=客户对账单!$B$4,资金台帐!P1711="应收",ISNUMBER(资金台帐!B1711),资金台帐!B1711&gt;=客户对账单!$G$4,资金台帐!B1711&lt;=客户对账单!$I$4),资金台帐!B1711+ROW()/100000,"")</f>
      </c>
    </row>
    <row r="4709">
      <c r="F4709">
        <f>IF(AND(资金台帐!J1712&lt;&gt;"",资金台帐!J1712=客户对账单!$B$4,资金台帐!P1712="应收",ISNUMBER(资金台帐!B1712),资金台帐!B1712&gt;=客户对账单!$G$4,资金台帐!B1712&lt;=客户对账单!$I$4),资金台帐!B1712+ROW()/100000,"")</f>
      </c>
    </row>
    <row r="4710">
      <c r="F4710">
        <f>IF(AND(资金台帐!J1713&lt;&gt;"",资金台帐!J1713=客户对账单!$B$4,资金台帐!P1713="应收",ISNUMBER(资金台帐!B1713),资金台帐!B1713&gt;=客户对账单!$G$4,资金台帐!B1713&lt;=客户对账单!$I$4),资金台帐!B1713+ROW()/100000,"")</f>
      </c>
    </row>
    <row r="4711">
      <c r="F4711">
        <f>IF(AND(资金台帐!J1714&lt;&gt;"",资金台帐!J1714=客户对账单!$B$4,资金台帐!P1714="应收",ISNUMBER(资金台帐!B1714),资金台帐!B1714&gt;=客户对账单!$G$4,资金台帐!B1714&lt;=客户对账单!$I$4),资金台帐!B1714+ROW()/100000,"")</f>
      </c>
    </row>
    <row r="4712">
      <c r="F4712">
        <f>IF(AND(资金台帐!J1715&lt;&gt;"",资金台帐!J1715=客户对账单!$B$4,资金台帐!P1715="应收",ISNUMBER(资金台帐!B1715),资金台帐!B1715&gt;=客户对账单!$G$4,资金台帐!B1715&lt;=客户对账单!$I$4),资金台帐!B1715+ROW()/100000,"")</f>
      </c>
    </row>
    <row r="4713">
      <c r="F4713">
        <f>IF(AND(资金台帐!J1716&lt;&gt;"",资金台帐!J1716=客户对账单!$B$4,资金台帐!P1716="应收",ISNUMBER(资金台帐!B1716),资金台帐!B1716&gt;=客户对账单!$G$4,资金台帐!B1716&lt;=客户对账单!$I$4),资金台帐!B1716+ROW()/100000,"")</f>
      </c>
    </row>
    <row r="4714">
      <c r="F4714">
        <f>IF(AND(资金台帐!J1717&lt;&gt;"",资金台帐!J1717=客户对账单!$B$4,资金台帐!P1717="应收",ISNUMBER(资金台帐!B1717),资金台帐!B1717&gt;=客户对账单!$G$4,资金台帐!B1717&lt;=客户对账单!$I$4),资金台帐!B1717+ROW()/100000,"")</f>
      </c>
    </row>
    <row r="4715">
      <c r="F4715">
        <f>IF(AND(资金台帐!J1718&lt;&gt;"",资金台帐!J1718=客户对账单!$B$4,资金台帐!P1718="应收",ISNUMBER(资金台帐!B1718),资金台帐!B1718&gt;=客户对账单!$G$4,资金台帐!B1718&lt;=客户对账单!$I$4),资金台帐!B1718+ROW()/100000,"")</f>
      </c>
    </row>
    <row r="4716">
      <c r="F4716">
        <f>IF(AND(资金台帐!J1719&lt;&gt;"",资金台帐!J1719=客户对账单!$B$4,资金台帐!P1719="应收",ISNUMBER(资金台帐!B1719),资金台帐!B1719&gt;=客户对账单!$G$4,资金台帐!B1719&lt;=客户对账单!$I$4),资金台帐!B1719+ROW()/100000,"")</f>
      </c>
    </row>
    <row r="4717">
      <c r="F4717">
        <f>IF(AND(资金台帐!J1720&lt;&gt;"",资金台帐!J1720=客户对账单!$B$4,资金台帐!P1720="应收",ISNUMBER(资金台帐!B1720),资金台帐!B1720&gt;=客户对账单!$G$4,资金台帐!B1720&lt;=客户对账单!$I$4),资金台帐!B1720+ROW()/100000,"")</f>
      </c>
    </row>
    <row r="4718">
      <c r="F4718">
        <f>IF(AND(资金台帐!J1721&lt;&gt;"",资金台帐!J1721=客户对账单!$B$4,资金台帐!P1721="应收",ISNUMBER(资金台帐!B1721),资金台帐!B1721&gt;=客户对账单!$G$4,资金台帐!B1721&lt;=客户对账单!$I$4),资金台帐!B1721+ROW()/100000,"")</f>
      </c>
    </row>
    <row r="4719">
      <c r="F4719">
        <f>IF(AND(资金台帐!J1722&lt;&gt;"",资金台帐!J1722=客户对账单!$B$4,资金台帐!P1722="应收",ISNUMBER(资金台帐!B1722),资金台帐!B1722&gt;=客户对账单!$G$4,资金台帐!B1722&lt;=客户对账单!$I$4),资金台帐!B1722+ROW()/100000,"")</f>
      </c>
    </row>
    <row r="4720">
      <c r="F4720">
        <f>IF(AND(资金台帐!J1723&lt;&gt;"",资金台帐!J1723=客户对账单!$B$4,资金台帐!P1723="应收",ISNUMBER(资金台帐!B1723),资金台帐!B1723&gt;=客户对账单!$G$4,资金台帐!B1723&lt;=客户对账单!$I$4),资金台帐!B1723+ROW()/100000,"")</f>
      </c>
    </row>
    <row r="4721">
      <c r="F4721">
        <f>IF(AND(资金台帐!J1724&lt;&gt;"",资金台帐!J1724=客户对账单!$B$4,资金台帐!P1724="应收",ISNUMBER(资金台帐!B1724),资金台帐!B1724&gt;=客户对账单!$G$4,资金台帐!B1724&lt;=客户对账单!$I$4),资金台帐!B1724+ROW()/100000,"")</f>
      </c>
    </row>
    <row r="4722">
      <c r="F4722">
        <f>IF(AND(资金台帐!J1725&lt;&gt;"",资金台帐!J1725=客户对账单!$B$4,资金台帐!P1725="应收",ISNUMBER(资金台帐!B1725),资金台帐!B1725&gt;=客户对账单!$G$4,资金台帐!B1725&lt;=客户对账单!$I$4),资金台帐!B1725+ROW()/100000,"")</f>
      </c>
    </row>
    <row r="4723">
      <c r="F4723">
        <f>IF(AND(资金台帐!J1726&lt;&gt;"",资金台帐!J1726=客户对账单!$B$4,资金台帐!P1726="应收",ISNUMBER(资金台帐!B1726),资金台帐!B1726&gt;=客户对账单!$G$4,资金台帐!B1726&lt;=客户对账单!$I$4),资金台帐!B1726+ROW()/100000,"")</f>
      </c>
    </row>
    <row r="4724">
      <c r="F4724">
        <f>IF(AND(资金台帐!J1727&lt;&gt;"",资金台帐!J1727=客户对账单!$B$4,资金台帐!P1727="应收",ISNUMBER(资金台帐!B1727),资金台帐!B1727&gt;=客户对账单!$G$4,资金台帐!B1727&lt;=客户对账单!$I$4),资金台帐!B1727+ROW()/100000,"")</f>
      </c>
    </row>
    <row r="4725">
      <c r="F4725">
        <f>IF(AND(资金台帐!J1728&lt;&gt;"",资金台帐!J1728=客户对账单!$B$4,资金台帐!P1728="应收",ISNUMBER(资金台帐!B1728),资金台帐!B1728&gt;=客户对账单!$G$4,资金台帐!B1728&lt;=客户对账单!$I$4),资金台帐!B1728+ROW()/100000,"")</f>
      </c>
    </row>
    <row r="4726">
      <c r="F4726">
        <f>IF(AND(资金台帐!J1729&lt;&gt;"",资金台帐!J1729=客户对账单!$B$4,资金台帐!P1729="应收",ISNUMBER(资金台帐!B1729),资金台帐!B1729&gt;=客户对账单!$G$4,资金台帐!B1729&lt;=客户对账单!$I$4),资金台帐!B1729+ROW()/100000,"")</f>
      </c>
    </row>
    <row r="4727">
      <c r="F4727">
        <f>IF(AND(资金台帐!J1730&lt;&gt;"",资金台帐!J1730=客户对账单!$B$4,资金台帐!P1730="应收",ISNUMBER(资金台帐!B1730),资金台帐!B1730&gt;=客户对账单!$G$4,资金台帐!B1730&lt;=客户对账单!$I$4),资金台帐!B1730+ROW()/100000,"")</f>
      </c>
    </row>
    <row r="4728">
      <c r="F4728">
        <f>IF(AND(资金台帐!J1731&lt;&gt;"",资金台帐!J1731=客户对账单!$B$4,资金台帐!P1731="应收",ISNUMBER(资金台帐!B1731),资金台帐!B1731&gt;=客户对账单!$G$4,资金台帐!B1731&lt;=客户对账单!$I$4),资金台帐!B1731+ROW()/100000,"")</f>
      </c>
    </row>
    <row r="4729">
      <c r="F4729">
        <f>IF(AND(资金台帐!J1732&lt;&gt;"",资金台帐!J1732=客户对账单!$B$4,资金台帐!P1732="应收",ISNUMBER(资金台帐!B1732),资金台帐!B1732&gt;=客户对账单!$G$4,资金台帐!B1732&lt;=客户对账单!$I$4),资金台帐!B1732+ROW()/100000,"")</f>
      </c>
    </row>
    <row r="4730">
      <c r="F4730">
        <f>IF(AND(资金台帐!J1733&lt;&gt;"",资金台帐!J1733=客户对账单!$B$4,资金台帐!P1733="应收",ISNUMBER(资金台帐!B1733),资金台帐!B1733&gt;=客户对账单!$G$4,资金台帐!B1733&lt;=客户对账单!$I$4),资金台帐!B1733+ROW()/100000,"")</f>
      </c>
    </row>
    <row r="4731">
      <c r="F4731">
        <f>IF(AND(资金台帐!J1734&lt;&gt;"",资金台帐!J1734=客户对账单!$B$4,资金台帐!P1734="应收",ISNUMBER(资金台帐!B1734),资金台帐!B1734&gt;=客户对账单!$G$4,资金台帐!B1734&lt;=客户对账单!$I$4),资金台帐!B1734+ROW()/100000,"")</f>
      </c>
    </row>
    <row r="4732">
      <c r="F4732">
        <f>IF(AND(资金台帐!J1735&lt;&gt;"",资金台帐!J1735=客户对账单!$B$4,资金台帐!P1735="应收",ISNUMBER(资金台帐!B1735),资金台帐!B1735&gt;=客户对账单!$G$4,资金台帐!B1735&lt;=客户对账单!$I$4),资金台帐!B1735+ROW()/100000,"")</f>
      </c>
    </row>
    <row r="4733">
      <c r="F4733">
        <f>IF(AND(资金台帐!J1736&lt;&gt;"",资金台帐!J1736=客户对账单!$B$4,资金台帐!P1736="应收",ISNUMBER(资金台帐!B1736),资金台帐!B1736&gt;=客户对账单!$G$4,资金台帐!B1736&lt;=客户对账单!$I$4),资金台帐!B1736+ROW()/100000,"")</f>
      </c>
    </row>
    <row r="4734">
      <c r="F4734">
        <f>IF(AND(资金台帐!J1737&lt;&gt;"",资金台帐!J1737=客户对账单!$B$4,资金台帐!P1737="应收",ISNUMBER(资金台帐!B1737),资金台帐!B1737&gt;=客户对账单!$G$4,资金台帐!B1737&lt;=客户对账单!$I$4),资金台帐!B1737+ROW()/100000,"")</f>
      </c>
    </row>
    <row r="4735">
      <c r="F4735">
        <f>IF(AND(资金台帐!J1738&lt;&gt;"",资金台帐!J1738=客户对账单!$B$4,资金台帐!P1738="应收",ISNUMBER(资金台帐!B1738),资金台帐!B1738&gt;=客户对账单!$G$4,资金台帐!B1738&lt;=客户对账单!$I$4),资金台帐!B1738+ROW()/100000,"")</f>
      </c>
    </row>
    <row r="4736">
      <c r="F4736">
        <f>IF(AND(资金台帐!J1739&lt;&gt;"",资金台帐!J1739=客户对账单!$B$4,资金台帐!P1739="应收",ISNUMBER(资金台帐!B1739),资金台帐!B1739&gt;=客户对账单!$G$4,资金台帐!B1739&lt;=客户对账单!$I$4),资金台帐!B1739+ROW()/100000,"")</f>
      </c>
    </row>
    <row r="4737">
      <c r="F4737">
        <f>IF(AND(资金台帐!J1740&lt;&gt;"",资金台帐!J1740=客户对账单!$B$4,资金台帐!P1740="应收",ISNUMBER(资金台帐!B1740),资金台帐!B1740&gt;=客户对账单!$G$4,资金台帐!B1740&lt;=客户对账单!$I$4),资金台帐!B1740+ROW()/100000,"")</f>
      </c>
    </row>
    <row r="4738">
      <c r="F4738">
        <f>IF(AND(资金台帐!J1741&lt;&gt;"",资金台帐!J1741=客户对账单!$B$4,资金台帐!P1741="应收",ISNUMBER(资金台帐!B1741),资金台帐!B1741&gt;=客户对账单!$G$4,资金台帐!B1741&lt;=客户对账单!$I$4),资金台帐!B1741+ROW()/100000,"")</f>
      </c>
    </row>
    <row r="4739">
      <c r="F4739">
        <f>IF(AND(资金台帐!J1742&lt;&gt;"",资金台帐!J1742=客户对账单!$B$4,资金台帐!P1742="应收",ISNUMBER(资金台帐!B1742),资金台帐!B1742&gt;=客户对账单!$G$4,资金台帐!B1742&lt;=客户对账单!$I$4),资金台帐!B1742+ROW()/100000,"")</f>
      </c>
    </row>
    <row r="4740">
      <c r="F4740">
        <f>IF(AND(资金台帐!J1743&lt;&gt;"",资金台帐!J1743=客户对账单!$B$4,资金台帐!P1743="应收",ISNUMBER(资金台帐!B1743),资金台帐!B1743&gt;=客户对账单!$G$4,资金台帐!B1743&lt;=客户对账单!$I$4),资金台帐!B1743+ROW()/100000,"")</f>
      </c>
    </row>
    <row r="4741">
      <c r="F4741">
        <f>IF(AND(资金台帐!J1744&lt;&gt;"",资金台帐!J1744=客户对账单!$B$4,资金台帐!P1744="应收",ISNUMBER(资金台帐!B1744),资金台帐!B1744&gt;=客户对账单!$G$4,资金台帐!B1744&lt;=客户对账单!$I$4),资金台帐!B1744+ROW()/100000,"")</f>
      </c>
    </row>
    <row r="4742">
      <c r="F4742">
        <f>IF(AND(资金台帐!J1745&lt;&gt;"",资金台帐!J1745=客户对账单!$B$4,资金台帐!P1745="应收",ISNUMBER(资金台帐!B1745),资金台帐!B1745&gt;=客户对账单!$G$4,资金台帐!B1745&lt;=客户对账单!$I$4),资金台帐!B1745+ROW()/100000,"")</f>
      </c>
    </row>
    <row r="4743">
      <c r="F4743">
        <f>IF(AND(资金台帐!J1746&lt;&gt;"",资金台帐!J1746=客户对账单!$B$4,资金台帐!P1746="应收",ISNUMBER(资金台帐!B1746),资金台帐!B1746&gt;=客户对账单!$G$4,资金台帐!B1746&lt;=客户对账单!$I$4),资金台帐!B1746+ROW()/100000,"")</f>
      </c>
    </row>
    <row r="4744">
      <c r="F4744">
        <f>IF(AND(资金台帐!J1747&lt;&gt;"",资金台帐!J1747=客户对账单!$B$4,资金台帐!P1747="应收",ISNUMBER(资金台帐!B1747),资金台帐!B1747&gt;=客户对账单!$G$4,资金台帐!B1747&lt;=客户对账单!$I$4),资金台帐!B1747+ROW()/100000,"")</f>
      </c>
    </row>
    <row r="4745">
      <c r="F4745">
        <f>IF(AND(资金台帐!J1748&lt;&gt;"",资金台帐!J1748=客户对账单!$B$4,资金台帐!P1748="应收",ISNUMBER(资金台帐!B1748),资金台帐!B1748&gt;=客户对账单!$G$4,资金台帐!B1748&lt;=客户对账单!$I$4),资金台帐!B1748+ROW()/100000,"")</f>
      </c>
    </row>
    <row r="4746">
      <c r="F4746">
        <f>IF(AND(资金台帐!J1749&lt;&gt;"",资金台帐!J1749=客户对账单!$B$4,资金台帐!P1749="应收",ISNUMBER(资金台帐!B1749),资金台帐!B1749&gt;=客户对账单!$G$4,资金台帐!B1749&lt;=客户对账单!$I$4),资金台帐!B1749+ROW()/100000,"")</f>
      </c>
    </row>
    <row r="4747">
      <c r="F4747">
        <f>IF(AND(资金台帐!J1750&lt;&gt;"",资金台帐!J1750=客户对账单!$B$4,资金台帐!P1750="应收",ISNUMBER(资金台帐!B1750),资金台帐!B1750&gt;=客户对账单!$G$4,资金台帐!B1750&lt;=客户对账单!$I$4),资金台帐!B1750+ROW()/100000,"")</f>
      </c>
    </row>
    <row r="4748">
      <c r="F4748">
        <f>IF(AND(资金台帐!J1751&lt;&gt;"",资金台帐!J1751=客户对账单!$B$4,资金台帐!P1751="应收",ISNUMBER(资金台帐!B1751),资金台帐!B1751&gt;=客户对账单!$G$4,资金台帐!B1751&lt;=客户对账单!$I$4),资金台帐!B1751+ROW()/100000,"")</f>
      </c>
    </row>
    <row r="4749">
      <c r="F4749">
        <f>IF(AND(资金台帐!J1752&lt;&gt;"",资金台帐!J1752=客户对账单!$B$4,资金台帐!P1752="应收",ISNUMBER(资金台帐!B1752),资金台帐!B1752&gt;=客户对账单!$G$4,资金台帐!B1752&lt;=客户对账单!$I$4),资金台帐!B1752+ROW()/100000,"")</f>
      </c>
    </row>
    <row r="4750">
      <c r="F4750">
        <f>IF(AND(资金台帐!J1753&lt;&gt;"",资金台帐!J1753=客户对账单!$B$4,资金台帐!P1753="应收",ISNUMBER(资金台帐!B1753),资金台帐!B1753&gt;=客户对账单!$G$4,资金台帐!B1753&lt;=客户对账单!$I$4),资金台帐!B1753+ROW()/100000,"")</f>
      </c>
    </row>
    <row r="4751">
      <c r="F4751">
        <f>IF(AND(资金台帐!J1754&lt;&gt;"",资金台帐!J1754=客户对账单!$B$4,资金台帐!P1754="应收",ISNUMBER(资金台帐!B1754),资金台帐!B1754&gt;=客户对账单!$G$4,资金台帐!B1754&lt;=客户对账单!$I$4),资金台帐!B1754+ROW()/100000,"")</f>
      </c>
    </row>
    <row r="4752">
      <c r="F4752">
        <f>IF(AND(资金台帐!J1755&lt;&gt;"",资金台帐!J1755=客户对账单!$B$4,资金台帐!P1755="应收",ISNUMBER(资金台帐!B1755),资金台帐!B1755&gt;=客户对账单!$G$4,资金台帐!B1755&lt;=客户对账单!$I$4),资金台帐!B1755+ROW()/100000,"")</f>
      </c>
    </row>
    <row r="4753">
      <c r="F4753">
        <f>IF(AND(资金台帐!J1756&lt;&gt;"",资金台帐!J1756=客户对账单!$B$4,资金台帐!P1756="应收",ISNUMBER(资金台帐!B1756),资金台帐!B1756&gt;=客户对账单!$G$4,资金台帐!B1756&lt;=客户对账单!$I$4),资金台帐!B1756+ROW()/100000,"")</f>
      </c>
    </row>
    <row r="4754">
      <c r="F4754">
        <f>IF(AND(资金台帐!J1757&lt;&gt;"",资金台帐!J1757=客户对账单!$B$4,资金台帐!P1757="应收",ISNUMBER(资金台帐!B1757),资金台帐!B1757&gt;=客户对账单!$G$4,资金台帐!B1757&lt;=客户对账单!$I$4),资金台帐!B1757+ROW()/100000,"")</f>
      </c>
    </row>
    <row r="4755">
      <c r="F4755">
        <f>IF(AND(资金台帐!J1758&lt;&gt;"",资金台帐!J1758=客户对账单!$B$4,资金台帐!P1758="应收",ISNUMBER(资金台帐!B1758),资金台帐!B1758&gt;=客户对账单!$G$4,资金台帐!B1758&lt;=客户对账单!$I$4),资金台帐!B1758+ROW()/100000,"")</f>
      </c>
    </row>
    <row r="4756">
      <c r="F4756">
        <f>IF(AND(资金台帐!J1759&lt;&gt;"",资金台帐!J1759=客户对账单!$B$4,资金台帐!P1759="应收",ISNUMBER(资金台帐!B1759),资金台帐!B1759&gt;=客户对账单!$G$4,资金台帐!B1759&lt;=客户对账单!$I$4),资金台帐!B1759+ROW()/100000,"")</f>
      </c>
    </row>
    <row r="4757">
      <c r="F4757">
        <f>IF(AND(资金台帐!J1760&lt;&gt;"",资金台帐!J1760=客户对账单!$B$4,资金台帐!P1760="应收",ISNUMBER(资金台帐!B1760),资金台帐!B1760&gt;=客户对账单!$G$4,资金台帐!B1760&lt;=客户对账单!$I$4),资金台帐!B1760+ROW()/100000,"")</f>
      </c>
    </row>
    <row r="4758">
      <c r="F4758">
        <f>IF(AND(资金台帐!J1761&lt;&gt;"",资金台帐!J1761=客户对账单!$B$4,资金台帐!P1761="应收",ISNUMBER(资金台帐!B1761),资金台帐!B1761&gt;=客户对账单!$G$4,资金台帐!B1761&lt;=客户对账单!$I$4),资金台帐!B1761+ROW()/100000,"")</f>
      </c>
    </row>
    <row r="4759">
      <c r="F4759">
        <f>IF(AND(资金台帐!J1762&lt;&gt;"",资金台帐!J1762=客户对账单!$B$4,资金台帐!P1762="应收",ISNUMBER(资金台帐!B1762),资金台帐!B1762&gt;=客户对账单!$G$4,资金台帐!B1762&lt;=客户对账单!$I$4),资金台帐!B1762+ROW()/100000,"")</f>
      </c>
    </row>
    <row r="4760">
      <c r="F4760">
        <f>IF(AND(资金台帐!J1763&lt;&gt;"",资金台帐!J1763=客户对账单!$B$4,资金台帐!P1763="应收",ISNUMBER(资金台帐!B1763),资金台帐!B1763&gt;=客户对账单!$G$4,资金台帐!B1763&lt;=客户对账单!$I$4),资金台帐!B1763+ROW()/100000,"")</f>
      </c>
    </row>
    <row r="4761">
      <c r="F4761">
        <f>IF(AND(资金台帐!J1764&lt;&gt;"",资金台帐!J1764=客户对账单!$B$4,资金台帐!P1764="应收",ISNUMBER(资金台帐!B1764),资金台帐!B1764&gt;=客户对账单!$G$4,资金台帐!B1764&lt;=客户对账单!$I$4),资金台帐!B1764+ROW()/100000,"")</f>
      </c>
    </row>
    <row r="4762">
      <c r="F4762">
        <f>IF(AND(资金台帐!J1765&lt;&gt;"",资金台帐!J1765=客户对账单!$B$4,资金台帐!P1765="应收",ISNUMBER(资金台帐!B1765),资金台帐!B1765&gt;=客户对账单!$G$4,资金台帐!B1765&lt;=客户对账单!$I$4),资金台帐!B1765+ROW()/100000,"")</f>
      </c>
    </row>
    <row r="4763">
      <c r="F4763">
        <f>IF(AND(资金台帐!J1766&lt;&gt;"",资金台帐!J1766=客户对账单!$B$4,资金台帐!P1766="应收",ISNUMBER(资金台帐!B1766),资金台帐!B1766&gt;=客户对账单!$G$4,资金台帐!B1766&lt;=客户对账单!$I$4),资金台帐!B1766+ROW()/100000,"")</f>
      </c>
    </row>
    <row r="4764">
      <c r="F4764">
        <f>IF(AND(资金台帐!J1767&lt;&gt;"",资金台帐!J1767=客户对账单!$B$4,资金台帐!P1767="应收",ISNUMBER(资金台帐!B1767),资金台帐!B1767&gt;=客户对账单!$G$4,资金台帐!B1767&lt;=客户对账单!$I$4),资金台帐!B1767+ROW()/100000,"")</f>
      </c>
    </row>
    <row r="4765">
      <c r="F4765">
        <f>IF(AND(资金台帐!J1768&lt;&gt;"",资金台帐!J1768=客户对账单!$B$4,资金台帐!P1768="应收",ISNUMBER(资金台帐!B1768),资金台帐!B1768&gt;=客户对账单!$G$4,资金台帐!B1768&lt;=客户对账单!$I$4),资金台帐!B1768+ROW()/100000,"")</f>
      </c>
    </row>
    <row r="4766">
      <c r="F4766">
        <f>IF(AND(资金台帐!J1769&lt;&gt;"",资金台帐!J1769=客户对账单!$B$4,资金台帐!P1769="应收",ISNUMBER(资金台帐!B1769),资金台帐!B1769&gt;=客户对账单!$G$4,资金台帐!B1769&lt;=客户对账单!$I$4),资金台帐!B1769+ROW()/100000,"")</f>
      </c>
    </row>
    <row r="4767">
      <c r="F4767">
        <f>IF(AND(资金台帐!J1770&lt;&gt;"",资金台帐!J1770=客户对账单!$B$4,资金台帐!P1770="应收",ISNUMBER(资金台帐!B1770),资金台帐!B1770&gt;=客户对账单!$G$4,资金台帐!B1770&lt;=客户对账单!$I$4),资金台帐!B1770+ROW()/100000,"")</f>
      </c>
    </row>
    <row r="4768">
      <c r="F4768">
        <f>IF(AND(资金台帐!J1771&lt;&gt;"",资金台帐!J1771=客户对账单!$B$4,资金台帐!P1771="应收",ISNUMBER(资金台帐!B1771),资金台帐!B1771&gt;=客户对账单!$G$4,资金台帐!B1771&lt;=客户对账单!$I$4),资金台帐!B1771+ROW()/100000,"")</f>
      </c>
    </row>
    <row r="4769">
      <c r="F4769">
        <f>IF(AND(资金台帐!J1772&lt;&gt;"",资金台帐!J1772=客户对账单!$B$4,资金台帐!P1772="应收",ISNUMBER(资金台帐!B1772),资金台帐!B1772&gt;=客户对账单!$G$4,资金台帐!B1772&lt;=客户对账单!$I$4),资金台帐!B1772+ROW()/100000,"")</f>
      </c>
    </row>
    <row r="4770">
      <c r="F4770">
        <f>IF(AND(资金台帐!J1773&lt;&gt;"",资金台帐!J1773=客户对账单!$B$4,资金台帐!P1773="应收",ISNUMBER(资金台帐!B1773),资金台帐!B1773&gt;=客户对账单!$G$4,资金台帐!B1773&lt;=客户对账单!$I$4),资金台帐!B1773+ROW()/100000,"")</f>
      </c>
    </row>
    <row r="4771">
      <c r="F4771">
        <f>IF(AND(资金台帐!J1774&lt;&gt;"",资金台帐!J1774=客户对账单!$B$4,资金台帐!P1774="应收",ISNUMBER(资金台帐!B1774),资金台帐!B1774&gt;=客户对账单!$G$4,资金台帐!B1774&lt;=客户对账单!$I$4),资金台帐!B1774+ROW()/100000,"")</f>
      </c>
    </row>
    <row r="4772">
      <c r="F4772">
        <f>IF(AND(资金台帐!J1775&lt;&gt;"",资金台帐!J1775=客户对账单!$B$4,资金台帐!P1775="应收",ISNUMBER(资金台帐!B1775),资金台帐!B1775&gt;=客户对账单!$G$4,资金台帐!B1775&lt;=客户对账单!$I$4),资金台帐!B1775+ROW()/100000,"")</f>
      </c>
    </row>
    <row r="4773">
      <c r="F4773">
        <f>IF(AND(资金台帐!J1776&lt;&gt;"",资金台帐!J1776=客户对账单!$B$4,资金台帐!P1776="应收",ISNUMBER(资金台帐!B1776),资金台帐!B1776&gt;=客户对账单!$G$4,资金台帐!B1776&lt;=客户对账单!$I$4),资金台帐!B1776+ROW()/100000,"")</f>
      </c>
    </row>
    <row r="4774">
      <c r="F4774">
        <f>IF(AND(资金台帐!J1777&lt;&gt;"",资金台帐!J1777=客户对账单!$B$4,资金台帐!P1777="应收",ISNUMBER(资金台帐!B1777),资金台帐!B1777&gt;=客户对账单!$G$4,资金台帐!B1777&lt;=客户对账单!$I$4),资金台帐!B1777+ROW()/100000,"")</f>
      </c>
    </row>
    <row r="4775">
      <c r="F4775">
        <f>IF(AND(资金台帐!J1778&lt;&gt;"",资金台帐!J1778=客户对账单!$B$4,资金台帐!P1778="应收",ISNUMBER(资金台帐!B1778),资金台帐!B1778&gt;=客户对账单!$G$4,资金台帐!B1778&lt;=客户对账单!$I$4),资金台帐!B1778+ROW()/100000,"")</f>
      </c>
    </row>
    <row r="4776">
      <c r="F4776">
        <f>IF(AND(资金台帐!J1779&lt;&gt;"",资金台帐!J1779=客户对账单!$B$4,资金台帐!P1779="应收",ISNUMBER(资金台帐!B1779),资金台帐!B1779&gt;=客户对账单!$G$4,资金台帐!B1779&lt;=客户对账单!$I$4),资金台帐!B1779+ROW()/100000,"")</f>
      </c>
    </row>
    <row r="4777">
      <c r="F4777">
        <f>IF(AND(资金台帐!J1780&lt;&gt;"",资金台帐!J1780=客户对账单!$B$4,资金台帐!P1780="应收",ISNUMBER(资金台帐!B1780),资金台帐!B1780&gt;=客户对账单!$G$4,资金台帐!B1780&lt;=客户对账单!$I$4),资金台帐!B1780+ROW()/100000,"")</f>
      </c>
    </row>
    <row r="4778">
      <c r="F4778">
        <f>IF(AND(资金台帐!J1781&lt;&gt;"",资金台帐!J1781=客户对账单!$B$4,资金台帐!P1781="应收",ISNUMBER(资金台帐!B1781),资金台帐!B1781&gt;=客户对账单!$G$4,资金台帐!B1781&lt;=客户对账单!$I$4),资金台帐!B1781+ROW()/100000,"")</f>
      </c>
    </row>
    <row r="4779">
      <c r="F4779">
        <f>IF(AND(资金台帐!J1782&lt;&gt;"",资金台帐!J1782=客户对账单!$B$4,资金台帐!P1782="应收",ISNUMBER(资金台帐!B1782),资金台帐!B1782&gt;=客户对账单!$G$4,资金台帐!B1782&lt;=客户对账单!$I$4),资金台帐!B1782+ROW()/100000,"")</f>
      </c>
    </row>
    <row r="4780">
      <c r="F4780">
        <f>IF(AND(资金台帐!J1783&lt;&gt;"",资金台帐!J1783=客户对账单!$B$4,资金台帐!P1783="应收",ISNUMBER(资金台帐!B1783),资金台帐!B1783&gt;=客户对账单!$G$4,资金台帐!B1783&lt;=客户对账单!$I$4),资金台帐!B1783+ROW()/100000,"")</f>
      </c>
    </row>
    <row r="4781">
      <c r="F4781">
        <f>IF(AND(资金台帐!J1784&lt;&gt;"",资金台帐!J1784=客户对账单!$B$4,资金台帐!P1784="应收",ISNUMBER(资金台帐!B1784),资金台帐!B1784&gt;=客户对账单!$G$4,资金台帐!B1784&lt;=客户对账单!$I$4),资金台帐!B1784+ROW()/100000,"")</f>
      </c>
    </row>
    <row r="4782">
      <c r="F4782">
        <f>IF(AND(资金台帐!J1785&lt;&gt;"",资金台帐!J1785=客户对账单!$B$4,资金台帐!P1785="应收",ISNUMBER(资金台帐!B1785),资金台帐!B1785&gt;=客户对账单!$G$4,资金台帐!B1785&lt;=客户对账单!$I$4),资金台帐!B1785+ROW()/100000,"")</f>
      </c>
    </row>
    <row r="4783">
      <c r="F4783">
        <f>IF(AND(资金台帐!J1786&lt;&gt;"",资金台帐!J1786=客户对账单!$B$4,资金台帐!P1786="应收",ISNUMBER(资金台帐!B1786),资金台帐!B1786&gt;=客户对账单!$G$4,资金台帐!B1786&lt;=客户对账单!$I$4),资金台帐!B1786+ROW()/100000,"")</f>
      </c>
    </row>
    <row r="4784">
      <c r="F4784">
        <f>IF(AND(资金台帐!J1787&lt;&gt;"",资金台帐!J1787=客户对账单!$B$4,资金台帐!P1787="应收",ISNUMBER(资金台帐!B1787),资金台帐!B1787&gt;=客户对账单!$G$4,资金台帐!B1787&lt;=客户对账单!$I$4),资金台帐!B1787+ROW()/100000,"")</f>
      </c>
    </row>
    <row r="4785">
      <c r="F4785">
        <f>IF(AND(资金台帐!J1788&lt;&gt;"",资金台帐!J1788=客户对账单!$B$4,资金台帐!P1788="应收",ISNUMBER(资金台帐!B1788),资金台帐!B1788&gt;=客户对账单!$G$4,资金台帐!B1788&lt;=客户对账单!$I$4),资金台帐!B1788+ROW()/100000,"")</f>
      </c>
    </row>
    <row r="4786">
      <c r="F4786">
        <f>IF(AND(资金台帐!J1789&lt;&gt;"",资金台帐!J1789=客户对账单!$B$4,资金台帐!P1789="应收",ISNUMBER(资金台帐!B1789),资金台帐!B1789&gt;=客户对账单!$G$4,资金台帐!B1789&lt;=客户对账单!$I$4),资金台帐!B1789+ROW()/100000,"")</f>
      </c>
    </row>
    <row r="4787">
      <c r="F4787">
        <f>IF(AND(资金台帐!J1790&lt;&gt;"",资金台帐!J1790=客户对账单!$B$4,资金台帐!P1790="应收",ISNUMBER(资金台帐!B1790),资金台帐!B1790&gt;=客户对账单!$G$4,资金台帐!B1790&lt;=客户对账单!$I$4),资金台帐!B1790+ROW()/100000,"")</f>
      </c>
    </row>
    <row r="4788">
      <c r="F4788">
        <f>IF(AND(资金台帐!J1791&lt;&gt;"",资金台帐!J1791=客户对账单!$B$4,资金台帐!P1791="应收",ISNUMBER(资金台帐!B1791),资金台帐!B1791&gt;=客户对账单!$G$4,资金台帐!B1791&lt;=客户对账单!$I$4),资金台帐!B1791+ROW()/100000,"")</f>
      </c>
    </row>
    <row r="4789">
      <c r="F4789">
        <f>IF(AND(资金台帐!J1792&lt;&gt;"",资金台帐!J1792=客户对账单!$B$4,资金台帐!P1792="应收",ISNUMBER(资金台帐!B1792),资金台帐!B1792&gt;=客户对账单!$G$4,资金台帐!B1792&lt;=客户对账单!$I$4),资金台帐!B1792+ROW()/100000,"")</f>
      </c>
    </row>
    <row r="4790">
      <c r="F4790">
        <f>IF(AND(资金台帐!J1793&lt;&gt;"",资金台帐!J1793=客户对账单!$B$4,资金台帐!P1793="应收",ISNUMBER(资金台帐!B1793),资金台帐!B1793&gt;=客户对账单!$G$4,资金台帐!B1793&lt;=客户对账单!$I$4),资金台帐!B1793+ROW()/100000,"")</f>
      </c>
    </row>
    <row r="4791">
      <c r="F4791">
        <f>IF(AND(资金台帐!J1794&lt;&gt;"",资金台帐!J1794=客户对账单!$B$4,资金台帐!P1794="应收",ISNUMBER(资金台帐!B1794),资金台帐!B1794&gt;=客户对账单!$G$4,资金台帐!B1794&lt;=客户对账单!$I$4),资金台帐!B1794+ROW()/100000,"")</f>
      </c>
    </row>
    <row r="4792">
      <c r="F4792">
        <f>IF(AND(资金台帐!J1795&lt;&gt;"",资金台帐!J1795=客户对账单!$B$4,资金台帐!P1795="应收",ISNUMBER(资金台帐!B1795),资金台帐!B1795&gt;=客户对账单!$G$4,资金台帐!B1795&lt;=客户对账单!$I$4),资金台帐!B1795+ROW()/100000,"")</f>
      </c>
    </row>
    <row r="4793">
      <c r="F4793">
        <f>IF(AND(资金台帐!J1796&lt;&gt;"",资金台帐!J1796=客户对账单!$B$4,资金台帐!P1796="应收",ISNUMBER(资金台帐!B1796),资金台帐!B1796&gt;=客户对账单!$G$4,资金台帐!B1796&lt;=客户对账单!$I$4),资金台帐!B1796+ROW()/100000,"")</f>
      </c>
    </row>
    <row r="4794">
      <c r="F4794">
        <f>IF(AND(资金台帐!J1797&lt;&gt;"",资金台帐!J1797=客户对账单!$B$4,资金台帐!P1797="应收",ISNUMBER(资金台帐!B1797),资金台帐!B1797&gt;=客户对账单!$G$4,资金台帐!B1797&lt;=客户对账单!$I$4),资金台帐!B1797+ROW()/100000,"")</f>
      </c>
    </row>
    <row r="4795">
      <c r="F4795">
        <f>IF(AND(资金台帐!J1798&lt;&gt;"",资金台帐!J1798=客户对账单!$B$4,资金台帐!P1798="应收",ISNUMBER(资金台帐!B1798),资金台帐!B1798&gt;=客户对账单!$G$4,资金台帐!B1798&lt;=客户对账单!$I$4),资金台帐!B1798+ROW()/100000,"")</f>
      </c>
    </row>
    <row r="4796">
      <c r="F4796">
        <f>IF(AND(资金台帐!J1799&lt;&gt;"",资金台帐!J1799=客户对账单!$B$4,资金台帐!P1799="应收",ISNUMBER(资金台帐!B1799),资金台帐!B1799&gt;=客户对账单!$G$4,资金台帐!B1799&lt;=客户对账单!$I$4),资金台帐!B1799+ROW()/100000,"")</f>
      </c>
    </row>
    <row r="4797">
      <c r="F4797">
        <f>IF(AND(资金台帐!J1800&lt;&gt;"",资金台帐!J1800=客户对账单!$B$4,资金台帐!P1800="应收",ISNUMBER(资金台帐!B1800),资金台帐!B1800&gt;=客户对账单!$G$4,资金台帐!B1800&lt;=客户对账单!$I$4),资金台帐!B1800+ROW()/100000,"")</f>
      </c>
    </row>
    <row r="4798">
      <c r="F4798">
        <f>IF(AND(资金台帐!J1801&lt;&gt;"",资金台帐!J1801=客户对账单!$B$4,资金台帐!P1801="应收",ISNUMBER(资金台帐!B1801),资金台帐!B1801&gt;=客户对账单!$G$4,资金台帐!B1801&lt;=客户对账单!$I$4),资金台帐!B1801+ROW()/100000,"")</f>
      </c>
    </row>
    <row r="4799">
      <c r="F4799">
        <f>IF(AND(资金台帐!J1802&lt;&gt;"",资金台帐!J1802=客户对账单!$B$4,资金台帐!P1802="应收",ISNUMBER(资金台帐!B1802),资金台帐!B1802&gt;=客户对账单!$G$4,资金台帐!B1802&lt;=客户对账单!$I$4),资金台帐!B1802+ROW()/100000,"")</f>
      </c>
    </row>
    <row r="4800">
      <c r="F4800">
        <f>IF(AND(资金台帐!J1803&lt;&gt;"",资金台帐!J1803=客户对账单!$B$4,资金台帐!P1803="应收",ISNUMBER(资金台帐!B1803),资金台帐!B1803&gt;=客户对账单!$G$4,资金台帐!B1803&lt;=客户对账单!$I$4),资金台帐!B1803+ROW()/100000,"")</f>
      </c>
    </row>
    <row r="4801">
      <c r="F4801">
        <f>IF(AND(资金台帐!J1804&lt;&gt;"",资金台帐!J1804=客户对账单!$B$4,资金台帐!P1804="应收",ISNUMBER(资金台帐!B1804),资金台帐!B1804&gt;=客户对账单!$G$4,资金台帐!B1804&lt;=客户对账单!$I$4),资金台帐!B1804+ROW()/100000,"")</f>
      </c>
    </row>
    <row r="4802">
      <c r="F4802">
        <f>IF(AND(资金台帐!J1805&lt;&gt;"",资金台帐!J1805=客户对账单!$B$4,资金台帐!P1805="应收",ISNUMBER(资金台帐!B1805),资金台帐!B1805&gt;=客户对账单!$G$4,资金台帐!B1805&lt;=客户对账单!$I$4),资金台帐!B1805+ROW()/100000,"")</f>
      </c>
    </row>
    <row r="4803">
      <c r="F4803">
        <f>IF(AND(资金台帐!J1806&lt;&gt;"",资金台帐!J1806=客户对账单!$B$4,资金台帐!P1806="应收",ISNUMBER(资金台帐!B1806),资金台帐!B1806&gt;=客户对账单!$G$4,资金台帐!B1806&lt;=客户对账单!$I$4),资金台帐!B1806+ROW()/100000,"")</f>
      </c>
    </row>
    <row r="4804">
      <c r="F4804">
        <f>IF(AND(资金台帐!J1807&lt;&gt;"",资金台帐!J1807=客户对账单!$B$4,资金台帐!P1807="应收",ISNUMBER(资金台帐!B1807),资金台帐!B1807&gt;=客户对账单!$G$4,资金台帐!B1807&lt;=客户对账单!$I$4),资金台帐!B1807+ROW()/100000,"")</f>
      </c>
    </row>
    <row r="4805">
      <c r="F4805">
        <f>IF(AND(资金台帐!J1808&lt;&gt;"",资金台帐!J1808=客户对账单!$B$4,资金台帐!P1808="应收",ISNUMBER(资金台帐!B1808),资金台帐!B1808&gt;=客户对账单!$G$4,资金台帐!B1808&lt;=客户对账单!$I$4),资金台帐!B1808+ROW()/100000,"")</f>
      </c>
    </row>
    <row r="4806">
      <c r="F4806">
        <f>IF(AND(资金台帐!J1809&lt;&gt;"",资金台帐!J1809=客户对账单!$B$4,资金台帐!P1809="应收",ISNUMBER(资金台帐!B1809),资金台帐!B1809&gt;=客户对账单!$G$4,资金台帐!B1809&lt;=客户对账单!$I$4),资金台帐!B1809+ROW()/100000,"")</f>
      </c>
    </row>
    <row r="4807">
      <c r="F4807">
        <f>IF(AND(资金台帐!J1810&lt;&gt;"",资金台帐!J1810=客户对账单!$B$4,资金台帐!P1810="应收",ISNUMBER(资金台帐!B1810),资金台帐!B1810&gt;=客户对账单!$G$4,资金台帐!B1810&lt;=客户对账单!$I$4),资金台帐!B1810+ROW()/100000,"")</f>
      </c>
    </row>
    <row r="4808">
      <c r="F4808">
        <f>IF(AND(资金台帐!J1811&lt;&gt;"",资金台帐!J1811=客户对账单!$B$4,资金台帐!P1811="应收",ISNUMBER(资金台帐!B1811),资金台帐!B1811&gt;=客户对账单!$G$4,资金台帐!B1811&lt;=客户对账单!$I$4),资金台帐!B1811+ROW()/100000,"")</f>
      </c>
    </row>
    <row r="4809">
      <c r="F4809">
        <f>IF(AND(资金台帐!J1812&lt;&gt;"",资金台帐!J1812=客户对账单!$B$4,资金台帐!P1812="应收",ISNUMBER(资金台帐!B1812),资金台帐!B1812&gt;=客户对账单!$G$4,资金台帐!B1812&lt;=客户对账单!$I$4),资金台帐!B1812+ROW()/100000,"")</f>
      </c>
    </row>
    <row r="4810">
      <c r="F4810">
        <f>IF(AND(资金台帐!J1813&lt;&gt;"",资金台帐!J1813=客户对账单!$B$4,资金台帐!P1813="应收",ISNUMBER(资金台帐!B1813),资金台帐!B1813&gt;=客户对账单!$G$4,资金台帐!B1813&lt;=客户对账单!$I$4),资金台帐!B1813+ROW()/100000,"")</f>
      </c>
    </row>
    <row r="4811">
      <c r="F4811">
        <f>IF(AND(资金台帐!J1814&lt;&gt;"",资金台帐!J1814=客户对账单!$B$4,资金台帐!P1814="应收",ISNUMBER(资金台帐!B1814),资金台帐!B1814&gt;=客户对账单!$G$4,资金台帐!B1814&lt;=客户对账单!$I$4),资金台帐!B1814+ROW()/100000,"")</f>
      </c>
    </row>
    <row r="4812">
      <c r="F4812">
        <f>IF(AND(资金台帐!J1815&lt;&gt;"",资金台帐!J1815=客户对账单!$B$4,资金台帐!P1815="应收",ISNUMBER(资金台帐!B1815),资金台帐!B1815&gt;=客户对账单!$G$4,资金台帐!B1815&lt;=客户对账单!$I$4),资金台帐!B1815+ROW()/100000,"")</f>
      </c>
    </row>
    <row r="4813">
      <c r="F4813">
        <f>IF(AND(资金台帐!J1816&lt;&gt;"",资金台帐!J1816=客户对账单!$B$4,资金台帐!P1816="应收",ISNUMBER(资金台帐!B1816),资金台帐!B1816&gt;=客户对账单!$G$4,资金台帐!B1816&lt;=客户对账单!$I$4),资金台帐!B1816+ROW()/100000,"")</f>
      </c>
    </row>
    <row r="4814">
      <c r="F4814">
        <f>IF(AND(资金台帐!J1817&lt;&gt;"",资金台帐!J1817=客户对账单!$B$4,资金台帐!P1817="应收",ISNUMBER(资金台帐!B1817),资金台帐!B1817&gt;=客户对账单!$G$4,资金台帐!B1817&lt;=客户对账单!$I$4),资金台帐!B1817+ROW()/100000,"")</f>
      </c>
    </row>
    <row r="4815">
      <c r="F4815">
        <f>IF(AND(资金台帐!J1818&lt;&gt;"",资金台帐!J1818=客户对账单!$B$4,资金台帐!P1818="应收",ISNUMBER(资金台帐!B1818),资金台帐!B1818&gt;=客户对账单!$G$4,资金台帐!B1818&lt;=客户对账单!$I$4),资金台帐!B1818+ROW()/100000,"")</f>
      </c>
    </row>
    <row r="4816">
      <c r="F4816">
        <f>IF(AND(资金台帐!J1819&lt;&gt;"",资金台帐!J1819=客户对账单!$B$4,资金台帐!P1819="应收",ISNUMBER(资金台帐!B1819),资金台帐!B1819&gt;=客户对账单!$G$4,资金台帐!B1819&lt;=客户对账单!$I$4),资金台帐!B1819+ROW()/100000,"")</f>
      </c>
    </row>
    <row r="4817">
      <c r="F4817">
        <f>IF(AND(资金台帐!J1820&lt;&gt;"",资金台帐!J1820=客户对账单!$B$4,资金台帐!P1820="应收",ISNUMBER(资金台帐!B1820),资金台帐!B1820&gt;=客户对账单!$G$4,资金台帐!B1820&lt;=客户对账单!$I$4),资金台帐!B1820+ROW()/100000,"")</f>
      </c>
    </row>
    <row r="4818">
      <c r="F4818">
        <f>IF(AND(资金台帐!J1821&lt;&gt;"",资金台帐!J1821=客户对账单!$B$4,资金台帐!P1821="应收",ISNUMBER(资金台帐!B1821),资金台帐!B1821&gt;=客户对账单!$G$4,资金台帐!B1821&lt;=客户对账单!$I$4),资金台帐!B1821+ROW()/100000,"")</f>
      </c>
    </row>
    <row r="4819">
      <c r="F4819">
        <f>IF(AND(资金台帐!J1822&lt;&gt;"",资金台帐!J1822=客户对账单!$B$4,资金台帐!P1822="应收",ISNUMBER(资金台帐!B1822),资金台帐!B1822&gt;=客户对账单!$G$4,资金台帐!B1822&lt;=客户对账单!$I$4),资金台帐!B1822+ROW()/100000,"")</f>
      </c>
    </row>
    <row r="4820">
      <c r="F4820">
        <f>IF(AND(资金台帐!J1823&lt;&gt;"",资金台帐!J1823=客户对账单!$B$4,资金台帐!P1823="应收",ISNUMBER(资金台帐!B1823),资金台帐!B1823&gt;=客户对账单!$G$4,资金台帐!B1823&lt;=客户对账单!$I$4),资金台帐!B1823+ROW()/100000,"")</f>
      </c>
    </row>
    <row r="4821">
      <c r="F4821">
        <f>IF(AND(资金台帐!J1824&lt;&gt;"",资金台帐!J1824=客户对账单!$B$4,资金台帐!P1824="应收",ISNUMBER(资金台帐!B1824),资金台帐!B1824&gt;=客户对账单!$G$4,资金台帐!B1824&lt;=客户对账单!$I$4),资金台帐!B1824+ROW()/100000,"")</f>
      </c>
    </row>
    <row r="4822">
      <c r="F4822">
        <f>IF(AND(资金台帐!J1825&lt;&gt;"",资金台帐!J1825=客户对账单!$B$4,资金台帐!P1825="应收",ISNUMBER(资金台帐!B1825),资金台帐!B1825&gt;=客户对账单!$G$4,资金台帐!B1825&lt;=客户对账单!$I$4),资金台帐!B1825+ROW()/100000,"")</f>
      </c>
    </row>
    <row r="4823">
      <c r="F4823">
        <f>IF(AND(资金台帐!J1826&lt;&gt;"",资金台帐!J1826=客户对账单!$B$4,资金台帐!P1826="应收",ISNUMBER(资金台帐!B1826),资金台帐!B1826&gt;=客户对账单!$G$4,资金台帐!B1826&lt;=客户对账单!$I$4),资金台帐!B1826+ROW()/100000,"")</f>
      </c>
    </row>
    <row r="4824">
      <c r="F4824">
        <f>IF(AND(资金台帐!J1827&lt;&gt;"",资金台帐!J1827=客户对账单!$B$4,资金台帐!P1827="应收",ISNUMBER(资金台帐!B1827),资金台帐!B1827&gt;=客户对账单!$G$4,资金台帐!B1827&lt;=客户对账单!$I$4),资金台帐!B1827+ROW()/100000,"")</f>
      </c>
    </row>
    <row r="4825">
      <c r="F4825">
        <f>IF(AND(资金台帐!J1828&lt;&gt;"",资金台帐!J1828=客户对账单!$B$4,资金台帐!P1828="应收",ISNUMBER(资金台帐!B1828),资金台帐!B1828&gt;=客户对账单!$G$4,资金台帐!B1828&lt;=客户对账单!$I$4),资金台帐!B1828+ROW()/100000,"")</f>
      </c>
    </row>
    <row r="4826">
      <c r="F4826">
        <f>IF(AND(资金台帐!J1829&lt;&gt;"",资金台帐!J1829=客户对账单!$B$4,资金台帐!P1829="应收",ISNUMBER(资金台帐!B1829),资金台帐!B1829&gt;=客户对账单!$G$4,资金台帐!B1829&lt;=客户对账单!$I$4),资金台帐!B1829+ROW()/100000,"")</f>
      </c>
    </row>
    <row r="4827">
      <c r="F4827">
        <f>IF(AND(资金台帐!J1830&lt;&gt;"",资金台帐!J1830=客户对账单!$B$4,资金台帐!P1830="应收",ISNUMBER(资金台帐!B1830),资金台帐!B1830&gt;=客户对账单!$G$4,资金台帐!B1830&lt;=客户对账单!$I$4),资金台帐!B1830+ROW()/100000,"")</f>
      </c>
    </row>
    <row r="4828">
      <c r="F4828">
        <f>IF(AND(资金台帐!J1831&lt;&gt;"",资金台帐!J1831=客户对账单!$B$4,资金台帐!P1831="应收",ISNUMBER(资金台帐!B1831),资金台帐!B1831&gt;=客户对账单!$G$4,资金台帐!B1831&lt;=客户对账单!$I$4),资金台帐!B1831+ROW()/100000,"")</f>
      </c>
    </row>
    <row r="4829">
      <c r="F4829">
        <f>IF(AND(资金台帐!J1832&lt;&gt;"",资金台帐!J1832=客户对账单!$B$4,资金台帐!P1832="应收",ISNUMBER(资金台帐!B1832),资金台帐!B1832&gt;=客户对账单!$G$4,资金台帐!B1832&lt;=客户对账单!$I$4),资金台帐!B1832+ROW()/100000,"")</f>
      </c>
    </row>
    <row r="4830">
      <c r="F4830">
        <f>IF(AND(资金台帐!J1833&lt;&gt;"",资金台帐!J1833=客户对账单!$B$4,资金台帐!P1833="应收",ISNUMBER(资金台帐!B1833),资金台帐!B1833&gt;=客户对账单!$G$4,资金台帐!B1833&lt;=客户对账单!$I$4),资金台帐!B1833+ROW()/100000,"")</f>
      </c>
    </row>
    <row r="4831">
      <c r="F4831">
        <f>IF(AND(资金台帐!J1834&lt;&gt;"",资金台帐!J1834=客户对账单!$B$4,资金台帐!P1834="应收",ISNUMBER(资金台帐!B1834),资金台帐!B1834&gt;=客户对账单!$G$4,资金台帐!B1834&lt;=客户对账单!$I$4),资金台帐!B1834+ROW()/100000,"")</f>
      </c>
    </row>
    <row r="4832">
      <c r="F4832">
        <f>IF(AND(资金台帐!J1835&lt;&gt;"",资金台帐!J1835=客户对账单!$B$4,资金台帐!P1835="应收",ISNUMBER(资金台帐!B1835),资金台帐!B1835&gt;=客户对账单!$G$4,资金台帐!B1835&lt;=客户对账单!$I$4),资金台帐!B1835+ROW()/100000,"")</f>
      </c>
    </row>
    <row r="4833">
      <c r="F4833">
        <f>IF(AND(资金台帐!J1836&lt;&gt;"",资金台帐!J1836=客户对账单!$B$4,资金台帐!P1836="应收",ISNUMBER(资金台帐!B1836),资金台帐!B1836&gt;=客户对账单!$G$4,资金台帐!B1836&lt;=客户对账单!$I$4),资金台帐!B1836+ROW()/100000,"")</f>
      </c>
    </row>
    <row r="4834">
      <c r="F4834">
        <f>IF(AND(资金台帐!J1837&lt;&gt;"",资金台帐!J1837=客户对账单!$B$4,资金台帐!P1837="应收",ISNUMBER(资金台帐!B1837),资金台帐!B1837&gt;=客户对账单!$G$4,资金台帐!B1837&lt;=客户对账单!$I$4),资金台帐!B1837+ROW()/100000,"")</f>
      </c>
    </row>
    <row r="4835">
      <c r="F4835">
        <f>IF(AND(资金台帐!J1838&lt;&gt;"",资金台帐!J1838=客户对账单!$B$4,资金台帐!P1838="应收",ISNUMBER(资金台帐!B1838),资金台帐!B1838&gt;=客户对账单!$G$4,资金台帐!B1838&lt;=客户对账单!$I$4),资金台帐!B1838+ROW()/100000,"")</f>
      </c>
    </row>
    <row r="4836">
      <c r="F4836">
        <f>IF(AND(资金台帐!J1839&lt;&gt;"",资金台帐!J1839=客户对账单!$B$4,资金台帐!P1839="应收",ISNUMBER(资金台帐!B1839),资金台帐!B1839&gt;=客户对账单!$G$4,资金台帐!B1839&lt;=客户对账单!$I$4),资金台帐!B1839+ROW()/100000,"")</f>
      </c>
    </row>
    <row r="4837">
      <c r="F4837">
        <f>IF(AND(资金台帐!J1840&lt;&gt;"",资金台帐!J1840=客户对账单!$B$4,资金台帐!P1840="应收",ISNUMBER(资金台帐!B1840),资金台帐!B1840&gt;=客户对账单!$G$4,资金台帐!B1840&lt;=客户对账单!$I$4),资金台帐!B1840+ROW()/100000,"")</f>
      </c>
    </row>
    <row r="4838">
      <c r="F4838">
        <f>IF(AND(资金台帐!J1841&lt;&gt;"",资金台帐!J1841=客户对账单!$B$4,资金台帐!P1841="应收",ISNUMBER(资金台帐!B1841),资金台帐!B1841&gt;=客户对账单!$G$4,资金台帐!B1841&lt;=客户对账单!$I$4),资金台帐!B1841+ROW()/100000,"")</f>
      </c>
    </row>
    <row r="4839">
      <c r="F4839">
        <f>IF(AND(资金台帐!J1842&lt;&gt;"",资金台帐!J1842=客户对账单!$B$4,资金台帐!P1842="应收",ISNUMBER(资金台帐!B1842),资金台帐!B1842&gt;=客户对账单!$G$4,资金台帐!B1842&lt;=客户对账单!$I$4),资金台帐!B1842+ROW()/100000,"")</f>
      </c>
    </row>
    <row r="4840">
      <c r="F4840">
        <f>IF(AND(资金台帐!J1843&lt;&gt;"",资金台帐!J1843=客户对账单!$B$4,资金台帐!P1843="应收",ISNUMBER(资金台帐!B1843),资金台帐!B1843&gt;=客户对账单!$G$4,资金台帐!B1843&lt;=客户对账单!$I$4),资金台帐!B1843+ROW()/100000,"")</f>
      </c>
    </row>
    <row r="4841">
      <c r="F4841">
        <f>IF(AND(资金台帐!J1844&lt;&gt;"",资金台帐!J1844=客户对账单!$B$4,资金台帐!P1844="应收",ISNUMBER(资金台帐!B1844),资金台帐!B1844&gt;=客户对账单!$G$4,资金台帐!B1844&lt;=客户对账单!$I$4),资金台帐!B1844+ROW()/100000,"")</f>
      </c>
    </row>
    <row r="4842">
      <c r="F4842">
        <f>IF(AND(资金台帐!J1845&lt;&gt;"",资金台帐!J1845=客户对账单!$B$4,资金台帐!P1845="应收",ISNUMBER(资金台帐!B1845),资金台帐!B1845&gt;=客户对账单!$G$4,资金台帐!B1845&lt;=客户对账单!$I$4),资金台帐!B1845+ROW()/100000,"")</f>
      </c>
    </row>
    <row r="4843">
      <c r="F4843">
        <f>IF(AND(资金台帐!J1846&lt;&gt;"",资金台帐!J1846=客户对账单!$B$4,资金台帐!P1846="应收",ISNUMBER(资金台帐!B1846),资金台帐!B1846&gt;=客户对账单!$G$4,资金台帐!B1846&lt;=客户对账单!$I$4),资金台帐!B1846+ROW()/100000,"")</f>
      </c>
    </row>
    <row r="4844">
      <c r="F4844">
        <f>IF(AND(资金台帐!J1847&lt;&gt;"",资金台帐!J1847=客户对账单!$B$4,资金台帐!P1847="应收",ISNUMBER(资金台帐!B1847),资金台帐!B1847&gt;=客户对账单!$G$4,资金台帐!B1847&lt;=客户对账单!$I$4),资金台帐!B1847+ROW()/100000,"")</f>
      </c>
    </row>
    <row r="4845">
      <c r="F4845">
        <f>IF(AND(资金台帐!J1848&lt;&gt;"",资金台帐!J1848=客户对账单!$B$4,资金台帐!P1848="应收",ISNUMBER(资金台帐!B1848),资金台帐!B1848&gt;=客户对账单!$G$4,资金台帐!B1848&lt;=客户对账单!$I$4),资金台帐!B1848+ROW()/100000,"")</f>
      </c>
    </row>
    <row r="4846">
      <c r="F4846">
        <f>IF(AND(资金台帐!J1849&lt;&gt;"",资金台帐!J1849=客户对账单!$B$4,资金台帐!P1849="应收",ISNUMBER(资金台帐!B1849),资金台帐!B1849&gt;=客户对账单!$G$4,资金台帐!B1849&lt;=客户对账单!$I$4),资金台帐!B1849+ROW()/100000,"")</f>
      </c>
    </row>
    <row r="4847">
      <c r="F4847">
        <f>IF(AND(资金台帐!J1850&lt;&gt;"",资金台帐!J1850=客户对账单!$B$4,资金台帐!P1850="应收",ISNUMBER(资金台帐!B1850),资金台帐!B1850&gt;=客户对账单!$G$4,资金台帐!B1850&lt;=客户对账单!$I$4),资金台帐!B1850+ROW()/100000,"")</f>
      </c>
    </row>
    <row r="4848">
      <c r="F4848">
        <f>IF(AND(资金台帐!J1851&lt;&gt;"",资金台帐!J1851=客户对账单!$B$4,资金台帐!P1851="应收",ISNUMBER(资金台帐!B1851),资金台帐!B1851&gt;=客户对账单!$G$4,资金台帐!B1851&lt;=客户对账单!$I$4),资金台帐!B1851+ROW()/100000,"")</f>
      </c>
    </row>
    <row r="4849">
      <c r="F4849">
        <f>IF(AND(资金台帐!J1852&lt;&gt;"",资金台帐!J1852=客户对账单!$B$4,资金台帐!P1852="应收",ISNUMBER(资金台帐!B1852),资金台帐!B1852&gt;=客户对账单!$G$4,资金台帐!B1852&lt;=客户对账单!$I$4),资金台帐!B1852+ROW()/100000,"")</f>
      </c>
    </row>
    <row r="4850">
      <c r="F4850">
        <f>IF(AND(资金台帐!J1853&lt;&gt;"",资金台帐!J1853=客户对账单!$B$4,资金台帐!P1853="应收",ISNUMBER(资金台帐!B1853),资金台帐!B1853&gt;=客户对账单!$G$4,资金台帐!B1853&lt;=客户对账单!$I$4),资金台帐!B1853+ROW()/100000,"")</f>
      </c>
    </row>
    <row r="4851">
      <c r="F4851">
        <f>IF(AND(资金台帐!J1854&lt;&gt;"",资金台帐!J1854=客户对账单!$B$4,资金台帐!P1854="应收",ISNUMBER(资金台帐!B1854),资金台帐!B1854&gt;=客户对账单!$G$4,资金台帐!B1854&lt;=客户对账单!$I$4),资金台帐!B1854+ROW()/100000,"")</f>
      </c>
    </row>
    <row r="4852">
      <c r="F4852">
        <f>IF(AND(资金台帐!J1855&lt;&gt;"",资金台帐!J1855=客户对账单!$B$4,资金台帐!P1855="应收",ISNUMBER(资金台帐!B1855),资金台帐!B1855&gt;=客户对账单!$G$4,资金台帐!B1855&lt;=客户对账单!$I$4),资金台帐!B1855+ROW()/100000,"")</f>
      </c>
    </row>
    <row r="4853">
      <c r="F4853">
        <f>IF(AND(资金台帐!J1856&lt;&gt;"",资金台帐!J1856=客户对账单!$B$4,资金台帐!P1856="应收",ISNUMBER(资金台帐!B1856),资金台帐!B1856&gt;=客户对账单!$G$4,资金台帐!B1856&lt;=客户对账单!$I$4),资金台帐!B1856+ROW()/100000,"")</f>
      </c>
    </row>
    <row r="4854">
      <c r="F4854">
        <f>IF(AND(资金台帐!J1857&lt;&gt;"",资金台帐!J1857=客户对账单!$B$4,资金台帐!P1857="应收",ISNUMBER(资金台帐!B1857),资金台帐!B1857&gt;=客户对账单!$G$4,资金台帐!B1857&lt;=客户对账单!$I$4),资金台帐!B1857+ROW()/100000,"")</f>
      </c>
    </row>
    <row r="4855">
      <c r="F4855">
        <f>IF(AND(资金台帐!J1858&lt;&gt;"",资金台帐!J1858=客户对账单!$B$4,资金台帐!P1858="应收",ISNUMBER(资金台帐!B1858),资金台帐!B1858&gt;=客户对账单!$G$4,资金台帐!B1858&lt;=客户对账单!$I$4),资金台帐!B1858+ROW()/100000,"")</f>
      </c>
    </row>
    <row r="4856">
      <c r="F4856">
        <f>IF(AND(资金台帐!J1859&lt;&gt;"",资金台帐!J1859=客户对账单!$B$4,资金台帐!P1859="应收",ISNUMBER(资金台帐!B1859),资金台帐!B1859&gt;=客户对账单!$G$4,资金台帐!B1859&lt;=客户对账单!$I$4),资金台帐!B1859+ROW()/100000,"")</f>
      </c>
    </row>
    <row r="4857">
      <c r="F4857">
        <f>IF(AND(资金台帐!J1860&lt;&gt;"",资金台帐!J1860=客户对账单!$B$4,资金台帐!P1860="应收",ISNUMBER(资金台帐!B1860),资金台帐!B1860&gt;=客户对账单!$G$4,资金台帐!B1860&lt;=客户对账单!$I$4),资金台帐!B1860+ROW()/100000,"")</f>
      </c>
    </row>
    <row r="4858">
      <c r="F4858">
        <f>IF(AND(资金台帐!J1861&lt;&gt;"",资金台帐!J1861=客户对账单!$B$4,资金台帐!P1861="应收",ISNUMBER(资金台帐!B1861),资金台帐!B1861&gt;=客户对账单!$G$4,资金台帐!B1861&lt;=客户对账单!$I$4),资金台帐!B1861+ROW()/100000,"")</f>
      </c>
    </row>
    <row r="4859">
      <c r="F4859">
        <f>IF(AND(资金台帐!J1862&lt;&gt;"",资金台帐!J1862=客户对账单!$B$4,资金台帐!P1862="应收",ISNUMBER(资金台帐!B1862),资金台帐!B1862&gt;=客户对账单!$G$4,资金台帐!B1862&lt;=客户对账单!$I$4),资金台帐!B1862+ROW()/100000,"")</f>
      </c>
    </row>
    <row r="4860">
      <c r="F4860">
        <f>IF(AND(资金台帐!J1863&lt;&gt;"",资金台帐!J1863=客户对账单!$B$4,资金台帐!P1863="应收",ISNUMBER(资金台帐!B1863),资金台帐!B1863&gt;=客户对账单!$G$4,资金台帐!B1863&lt;=客户对账单!$I$4),资金台帐!B1863+ROW()/100000,"")</f>
      </c>
    </row>
    <row r="4861">
      <c r="F4861">
        <f>IF(AND(资金台帐!J1864&lt;&gt;"",资金台帐!J1864=客户对账单!$B$4,资金台帐!P1864="应收",ISNUMBER(资金台帐!B1864),资金台帐!B1864&gt;=客户对账单!$G$4,资金台帐!B1864&lt;=客户对账单!$I$4),资金台帐!B1864+ROW()/100000,"")</f>
      </c>
    </row>
    <row r="4862">
      <c r="F4862">
        <f>IF(AND(资金台帐!J1865&lt;&gt;"",资金台帐!J1865=客户对账单!$B$4,资金台帐!P1865="应收",ISNUMBER(资金台帐!B1865),资金台帐!B1865&gt;=客户对账单!$G$4,资金台帐!B1865&lt;=客户对账单!$I$4),资金台帐!B1865+ROW()/100000,"")</f>
      </c>
    </row>
    <row r="4863">
      <c r="F4863">
        <f>IF(AND(资金台帐!J1866&lt;&gt;"",资金台帐!J1866=客户对账单!$B$4,资金台帐!P1866="应收",ISNUMBER(资金台帐!B1866),资金台帐!B1866&gt;=客户对账单!$G$4,资金台帐!B1866&lt;=客户对账单!$I$4),资金台帐!B1866+ROW()/100000,"")</f>
      </c>
    </row>
    <row r="4864">
      <c r="F4864">
        <f>IF(AND(资金台帐!J1867&lt;&gt;"",资金台帐!J1867=客户对账单!$B$4,资金台帐!P1867="应收",ISNUMBER(资金台帐!B1867),资金台帐!B1867&gt;=客户对账单!$G$4,资金台帐!B1867&lt;=客户对账单!$I$4),资金台帐!B1867+ROW()/100000,"")</f>
      </c>
    </row>
    <row r="4865">
      <c r="F4865">
        <f>IF(AND(资金台帐!J1868&lt;&gt;"",资金台帐!J1868=客户对账单!$B$4,资金台帐!P1868="应收",ISNUMBER(资金台帐!B1868),资金台帐!B1868&gt;=客户对账单!$G$4,资金台帐!B1868&lt;=客户对账单!$I$4),资金台帐!B1868+ROW()/100000,"")</f>
      </c>
    </row>
    <row r="4866">
      <c r="F4866">
        <f>IF(AND(资金台帐!J1869&lt;&gt;"",资金台帐!J1869=客户对账单!$B$4,资金台帐!P1869="应收",ISNUMBER(资金台帐!B1869),资金台帐!B1869&gt;=客户对账单!$G$4,资金台帐!B1869&lt;=客户对账单!$I$4),资金台帐!B1869+ROW()/100000,"")</f>
      </c>
    </row>
    <row r="4867">
      <c r="F4867">
        <f>IF(AND(资金台帐!J1870&lt;&gt;"",资金台帐!J1870=客户对账单!$B$4,资金台帐!P1870="应收",ISNUMBER(资金台帐!B1870),资金台帐!B1870&gt;=客户对账单!$G$4,资金台帐!B1870&lt;=客户对账单!$I$4),资金台帐!B1870+ROW()/100000,"")</f>
      </c>
    </row>
    <row r="4868">
      <c r="F4868">
        <f>IF(AND(资金台帐!J1871&lt;&gt;"",资金台帐!J1871=客户对账单!$B$4,资金台帐!P1871="应收",ISNUMBER(资金台帐!B1871),资金台帐!B1871&gt;=客户对账单!$G$4,资金台帐!B1871&lt;=客户对账单!$I$4),资金台帐!B1871+ROW()/100000,"")</f>
      </c>
    </row>
    <row r="4869">
      <c r="F4869">
        <f>IF(AND(资金台帐!J1872&lt;&gt;"",资金台帐!J1872=客户对账单!$B$4,资金台帐!P1872="应收",ISNUMBER(资金台帐!B1872),资金台帐!B1872&gt;=客户对账单!$G$4,资金台帐!B1872&lt;=客户对账单!$I$4),资金台帐!B1872+ROW()/100000,"")</f>
      </c>
    </row>
    <row r="4870">
      <c r="F4870">
        <f>IF(AND(资金台帐!J1873&lt;&gt;"",资金台帐!J1873=客户对账单!$B$4,资金台帐!P1873="应收",ISNUMBER(资金台帐!B1873),资金台帐!B1873&gt;=客户对账单!$G$4,资金台帐!B1873&lt;=客户对账单!$I$4),资金台帐!B1873+ROW()/100000,"")</f>
      </c>
    </row>
    <row r="4871">
      <c r="F4871">
        <f>IF(AND(资金台帐!J1874&lt;&gt;"",资金台帐!J1874=客户对账单!$B$4,资金台帐!P1874="应收",ISNUMBER(资金台帐!B1874),资金台帐!B1874&gt;=客户对账单!$G$4,资金台帐!B1874&lt;=客户对账单!$I$4),资金台帐!B1874+ROW()/100000,"")</f>
      </c>
    </row>
    <row r="4872">
      <c r="F4872">
        <f>IF(AND(资金台帐!J1875&lt;&gt;"",资金台帐!J1875=客户对账单!$B$4,资金台帐!P1875="应收",ISNUMBER(资金台帐!B1875),资金台帐!B1875&gt;=客户对账单!$G$4,资金台帐!B1875&lt;=客户对账单!$I$4),资金台帐!B1875+ROW()/100000,"")</f>
      </c>
    </row>
    <row r="4873">
      <c r="F4873">
        <f>IF(AND(资金台帐!J1876&lt;&gt;"",资金台帐!J1876=客户对账单!$B$4,资金台帐!P1876="应收",ISNUMBER(资金台帐!B1876),资金台帐!B1876&gt;=客户对账单!$G$4,资金台帐!B1876&lt;=客户对账单!$I$4),资金台帐!B1876+ROW()/100000,"")</f>
      </c>
    </row>
    <row r="4874">
      <c r="F4874">
        <f>IF(AND(资金台帐!J1877&lt;&gt;"",资金台帐!J1877=客户对账单!$B$4,资金台帐!P1877="应收",ISNUMBER(资金台帐!B1877),资金台帐!B1877&gt;=客户对账单!$G$4,资金台帐!B1877&lt;=客户对账单!$I$4),资金台帐!B1877+ROW()/100000,"")</f>
      </c>
    </row>
    <row r="4875">
      <c r="F4875">
        <f>IF(AND(资金台帐!J1878&lt;&gt;"",资金台帐!J1878=客户对账单!$B$4,资金台帐!P1878="应收",ISNUMBER(资金台帐!B1878),资金台帐!B1878&gt;=客户对账单!$G$4,资金台帐!B1878&lt;=客户对账单!$I$4),资金台帐!B1878+ROW()/100000,"")</f>
      </c>
    </row>
    <row r="4876">
      <c r="F4876">
        <f>IF(AND(资金台帐!J1879&lt;&gt;"",资金台帐!J1879=客户对账单!$B$4,资金台帐!P1879="应收",ISNUMBER(资金台帐!B1879),资金台帐!B1879&gt;=客户对账单!$G$4,资金台帐!B1879&lt;=客户对账单!$I$4),资金台帐!B1879+ROW()/100000,"")</f>
      </c>
    </row>
    <row r="4877">
      <c r="F4877">
        <f>IF(AND(资金台帐!J1880&lt;&gt;"",资金台帐!J1880=客户对账单!$B$4,资金台帐!P1880="应收",ISNUMBER(资金台帐!B1880),资金台帐!B1880&gt;=客户对账单!$G$4,资金台帐!B1880&lt;=客户对账单!$I$4),资金台帐!B1880+ROW()/100000,"")</f>
      </c>
    </row>
    <row r="4878">
      <c r="F4878">
        <f>IF(AND(资金台帐!J1881&lt;&gt;"",资金台帐!J1881=客户对账单!$B$4,资金台帐!P1881="应收",ISNUMBER(资金台帐!B1881),资金台帐!B1881&gt;=客户对账单!$G$4,资金台帐!B1881&lt;=客户对账单!$I$4),资金台帐!B1881+ROW()/100000,"")</f>
      </c>
    </row>
    <row r="4879">
      <c r="F4879">
        <f>IF(AND(资金台帐!J1882&lt;&gt;"",资金台帐!J1882=客户对账单!$B$4,资金台帐!P1882="应收",ISNUMBER(资金台帐!B1882),资金台帐!B1882&gt;=客户对账单!$G$4,资金台帐!B1882&lt;=客户对账单!$I$4),资金台帐!B1882+ROW()/100000,"")</f>
      </c>
    </row>
    <row r="4880">
      <c r="F4880">
        <f>IF(AND(资金台帐!J1883&lt;&gt;"",资金台帐!J1883=客户对账单!$B$4,资金台帐!P1883="应收",ISNUMBER(资金台帐!B1883),资金台帐!B1883&gt;=客户对账单!$G$4,资金台帐!B1883&lt;=客户对账单!$I$4),资金台帐!B1883+ROW()/100000,"")</f>
      </c>
    </row>
    <row r="4881">
      <c r="F4881">
        <f>IF(AND(资金台帐!J1884&lt;&gt;"",资金台帐!J1884=客户对账单!$B$4,资金台帐!P1884="应收",ISNUMBER(资金台帐!B1884),资金台帐!B1884&gt;=客户对账单!$G$4,资金台帐!B1884&lt;=客户对账单!$I$4),资金台帐!B1884+ROW()/100000,"")</f>
      </c>
    </row>
    <row r="4882">
      <c r="F4882">
        <f>IF(AND(资金台帐!J1885&lt;&gt;"",资金台帐!J1885=客户对账单!$B$4,资金台帐!P1885="应收",ISNUMBER(资金台帐!B1885),资金台帐!B1885&gt;=客户对账单!$G$4,资金台帐!B1885&lt;=客户对账单!$I$4),资金台帐!B1885+ROW()/100000,"")</f>
      </c>
    </row>
    <row r="4883">
      <c r="F4883">
        <f>IF(AND(资金台帐!J1886&lt;&gt;"",资金台帐!J1886=客户对账单!$B$4,资金台帐!P1886="应收",ISNUMBER(资金台帐!B1886),资金台帐!B1886&gt;=客户对账单!$G$4,资金台帐!B1886&lt;=客户对账单!$I$4),资金台帐!B1886+ROW()/100000,"")</f>
      </c>
    </row>
    <row r="4884">
      <c r="F4884">
        <f>IF(AND(资金台帐!J1887&lt;&gt;"",资金台帐!J1887=客户对账单!$B$4,资金台帐!P1887="应收",ISNUMBER(资金台帐!B1887),资金台帐!B1887&gt;=客户对账单!$G$4,资金台帐!B1887&lt;=客户对账单!$I$4),资金台帐!B1887+ROW()/100000,"")</f>
      </c>
    </row>
    <row r="4885">
      <c r="F4885">
        <f>IF(AND(资金台帐!J1888&lt;&gt;"",资金台帐!J1888=客户对账单!$B$4,资金台帐!P1888="应收",ISNUMBER(资金台帐!B1888),资金台帐!B1888&gt;=客户对账单!$G$4,资金台帐!B1888&lt;=客户对账单!$I$4),资金台帐!B1888+ROW()/100000,"")</f>
      </c>
    </row>
    <row r="4886">
      <c r="F4886">
        <f>IF(AND(资金台帐!J1889&lt;&gt;"",资金台帐!J1889=客户对账单!$B$4,资金台帐!P1889="应收",ISNUMBER(资金台帐!B1889),资金台帐!B1889&gt;=客户对账单!$G$4,资金台帐!B1889&lt;=客户对账单!$I$4),资金台帐!B1889+ROW()/100000,"")</f>
      </c>
    </row>
    <row r="4887">
      <c r="F4887">
        <f>IF(AND(资金台帐!J1890&lt;&gt;"",资金台帐!J1890=客户对账单!$B$4,资金台帐!P1890="应收",ISNUMBER(资金台帐!B1890),资金台帐!B1890&gt;=客户对账单!$G$4,资金台帐!B1890&lt;=客户对账单!$I$4),资金台帐!B1890+ROW()/100000,"")</f>
      </c>
    </row>
    <row r="4888">
      <c r="F4888">
        <f>IF(AND(资金台帐!J1891&lt;&gt;"",资金台帐!J1891=客户对账单!$B$4,资金台帐!P1891="应收",ISNUMBER(资金台帐!B1891),资金台帐!B1891&gt;=客户对账单!$G$4,资金台帐!B1891&lt;=客户对账单!$I$4),资金台帐!B1891+ROW()/100000,"")</f>
      </c>
    </row>
    <row r="4889">
      <c r="F4889">
        <f>IF(AND(资金台帐!J1892&lt;&gt;"",资金台帐!J1892=客户对账单!$B$4,资金台帐!P1892="应收",ISNUMBER(资金台帐!B1892),资金台帐!B1892&gt;=客户对账单!$G$4,资金台帐!B1892&lt;=客户对账单!$I$4),资金台帐!B1892+ROW()/100000,"")</f>
      </c>
    </row>
    <row r="4890">
      <c r="F4890">
        <f>IF(AND(资金台帐!J1893&lt;&gt;"",资金台帐!J1893=客户对账单!$B$4,资金台帐!P1893="应收",ISNUMBER(资金台帐!B1893),资金台帐!B1893&gt;=客户对账单!$G$4,资金台帐!B1893&lt;=客户对账单!$I$4),资金台帐!B1893+ROW()/100000,"")</f>
      </c>
    </row>
    <row r="4891">
      <c r="F4891">
        <f>IF(AND(资金台帐!J1894&lt;&gt;"",资金台帐!J1894=客户对账单!$B$4,资金台帐!P1894="应收",ISNUMBER(资金台帐!B1894),资金台帐!B1894&gt;=客户对账单!$G$4,资金台帐!B1894&lt;=客户对账单!$I$4),资金台帐!B1894+ROW()/100000,"")</f>
      </c>
    </row>
    <row r="4892">
      <c r="F4892">
        <f>IF(AND(资金台帐!J1895&lt;&gt;"",资金台帐!J1895=客户对账单!$B$4,资金台帐!P1895="应收",ISNUMBER(资金台帐!B1895),资金台帐!B1895&gt;=客户对账单!$G$4,资金台帐!B1895&lt;=客户对账单!$I$4),资金台帐!B1895+ROW()/100000,"")</f>
      </c>
    </row>
    <row r="4893">
      <c r="F4893">
        <f>IF(AND(资金台帐!J1896&lt;&gt;"",资金台帐!J1896=客户对账单!$B$4,资金台帐!P1896="应收",ISNUMBER(资金台帐!B1896),资金台帐!B1896&gt;=客户对账单!$G$4,资金台帐!B1896&lt;=客户对账单!$I$4),资金台帐!B1896+ROW()/100000,"")</f>
      </c>
    </row>
    <row r="4894">
      <c r="F4894">
        <f>IF(AND(资金台帐!J1897&lt;&gt;"",资金台帐!J1897=客户对账单!$B$4,资金台帐!P1897="应收",ISNUMBER(资金台帐!B1897),资金台帐!B1897&gt;=客户对账单!$G$4,资金台帐!B1897&lt;=客户对账单!$I$4),资金台帐!B1897+ROW()/100000,"")</f>
      </c>
    </row>
    <row r="4895">
      <c r="F4895">
        <f>IF(AND(资金台帐!J1898&lt;&gt;"",资金台帐!J1898=客户对账单!$B$4,资金台帐!P1898="应收",ISNUMBER(资金台帐!B1898),资金台帐!B1898&gt;=客户对账单!$G$4,资金台帐!B1898&lt;=客户对账单!$I$4),资金台帐!B1898+ROW()/100000,"")</f>
      </c>
    </row>
    <row r="4896">
      <c r="F4896">
        <f>IF(AND(资金台帐!J1899&lt;&gt;"",资金台帐!J1899=客户对账单!$B$4,资金台帐!P1899="应收",ISNUMBER(资金台帐!B1899),资金台帐!B1899&gt;=客户对账单!$G$4,资金台帐!B1899&lt;=客户对账单!$I$4),资金台帐!B1899+ROW()/100000,"")</f>
      </c>
    </row>
    <row r="4897">
      <c r="F4897">
        <f>IF(AND(资金台帐!J1900&lt;&gt;"",资金台帐!J1900=客户对账单!$B$4,资金台帐!P1900="应收",ISNUMBER(资金台帐!B1900),资金台帐!B1900&gt;=客户对账单!$G$4,资金台帐!B1900&lt;=客户对账单!$I$4),资金台帐!B1900+ROW()/100000,"")</f>
      </c>
    </row>
    <row r="4898">
      <c r="F4898">
        <f>IF(AND(资金台帐!J1901&lt;&gt;"",资金台帐!J1901=客户对账单!$B$4,资金台帐!P1901="应收",ISNUMBER(资金台帐!B1901),资金台帐!B1901&gt;=客户对账单!$G$4,资金台帐!B1901&lt;=客户对账单!$I$4),资金台帐!B1901+ROW()/100000,"")</f>
      </c>
    </row>
    <row r="4899">
      <c r="F4899">
        <f>IF(AND(资金台帐!J1902&lt;&gt;"",资金台帐!J1902=客户对账单!$B$4,资金台帐!P1902="应收",ISNUMBER(资金台帐!B1902),资金台帐!B1902&gt;=客户对账单!$G$4,资金台帐!B1902&lt;=客户对账单!$I$4),资金台帐!B1902+ROW()/100000,"")</f>
      </c>
    </row>
    <row r="4900">
      <c r="F4900">
        <f>IF(AND(资金台帐!J1903&lt;&gt;"",资金台帐!J1903=客户对账单!$B$4,资金台帐!P1903="应收",ISNUMBER(资金台帐!B1903),资金台帐!B1903&gt;=客户对账单!$G$4,资金台帐!B1903&lt;=客户对账单!$I$4),资金台帐!B1903+ROW()/100000,"")</f>
      </c>
    </row>
    <row r="4901">
      <c r="F4901">
        <f>IF(AND(资金台帐!J1904&lt;&gt;"",资金台帐!J1904=客户对账单!$B$4,资金台帐!P1904="应收",ISNUMBER(资金台帐!B1904),资金台帐!B1904&gt;=客户对账单!$G$4,资金台帐!B1904&lt;=客户对账单!$I$4),资金台帐!B1904+ROW()/100000,"")</f>
      </c>
    </row>
    <row r="4902">
      <c r="F4902">
        <f>IF(AND(资金台帐!J1905&lt;&gt;"",资金台帐!J1905=客户对账单!$B$4,资金台帐!P1905="应收",ISNUMBER(资金台帐!B1905),资金台帐!B1905&gt;=客户对账单!$G$4,资金台帐!B1905&lt;=客户对账单!$I$4),资金台帐!B1905+ROW()/100000,"")</f>
      </c>
    </row>
    <row r="4903">
      <c r="F4903">
        <f>IF(AND(资金台帐!J1906&lt;&gt;"",资金台帐!J1906=客户对账单!$B$4,资金台帐!P1906="应收",ISNUMBER(资金台帐!B1906),资金台帐!B1906&gt;=客户对账单!$G$4,资金台帐!B1906&lt;=客户对账单!$I$4),资金台帐!B1906+ROW()/100000,"")</f>
      </c>
    </row>
    <row r="4904">
      <c r="F4904">
        <f>IF(AND(资金台帐!J1907&lt;&gt;"",资金台帐!J1907=客户对账单!$B$4,资金台帐!P1907="应收",ISNUMBER(资金台帐!B1907),资金台帐!B1907&gt;=客户对账单!$G$4,资金台帐!B1907&lt;=客户对账单!$I$4),资金台帐!B1907+ROW()/100000,"")</f>
      </c>
    </row>
    <row r="4905">
      <c r="F4905">
        <f>IF(AND(资金台帐!J1908&lt;&gt;"",资金台帐!J1908=客户对账单!$B$4,资金台帐!P1908="应收",ISNUMBER(资金台帐!B1908),资金台帐!B1908&gt;=客户对账单!$G$4,资金台帐!B1908&lt;=客户对账单!$I$4),资金台帐!B1908+ROW()/100000,"")</f>
      </c>
    </row>
    <row r="4906">
      <c r="F4906">
        <f>IF(AND(资金台帐!J1909&lt;&gt;"",资金台帐!J1909=客户对账单!$B$4,资金台帐!P1909="应收",ISNUMBER(资金台帐!B1909),资金台帐!B1909&gt;=客户对账单!$G$4,资金台帐!B1909&lt;=客户对账单!$I$4),资金台帐!B1909+ROW()/100000,"")</f>
      </c>
    </row>
    <row r="4907">
      <c r="F4907">
        <f>IF(AND(资金台帐!J1910&lt;&gt;"",资金台帐!J1910=客户对账单!$B$4,资金台帐!P1910="应收",ISNUMBER(资金台帐!B1910),资金台帐!B1910&gt;=客户对账单!$G$4,资金台帐!B1910&lt;=客户对账单!$I$4),资金台帐!B1910+ROW()/100000,"")</f>
      </c>
    </row>
    <row r="4908">
      <c r="F4908">
        <f>IF(AND(资金台帐!J1911&lt;&gt;"",资金台帐!J1911=客户对账单!$B$4,资金台帐!P1911="应收",ISNUMBER(资金台帐!B1911),资金台帐!B1911&gt;=客户对账单!$G$4,资金台帐!B1911&lt;=客户对账单!$I$4),资金台帐!B1911+ROW()/100000,"")</f>
      </c>
    </row>
    <row r="4909">
      <c r="F4909">
        <f>IF(AND(资金台帐!J1912&lt;&gt;"",资金台帐!J1912=客户对账单!$B$4,资金台帐!P1912="应收",ISNUMBER(资金台帐!B1912),资金台帐!B1912&gt;=客户对账单!$G$4,资金台帐!B1912&lt;=客户对账单!$I$4),资金台帐!B1912+ROW()/100000,"")</f>
      </c>
    </row>
    <row r="4910">
      <c r="F4910">
        <f>IF(AND(资金台帐!J1913&lt;&gt;"",资金台帐!J1913=客户对账单!$B$4,资金台帐!P1913="应收",ISNUMBER(资金台帐!B1913),资金台帐!B1913&gt;=客户对账单!$G$4,资金台帐!B1913&lt;=客户对账单!$I$4),资金台帐!B1913+ROW()/100000,"")</f>
      </c>
    </row>
    <row r="4911">
      <c r="F4911">
        <f>IF(AND(资金台帐!J1914&lt;&gt;"",资金台帐!J1914=客户对账单!$B$4,资金台帐!P1914="应收",ISNUMBER(资金台帐!B1914),资金台帐!B1914&gt;=客户对账单!$G$4,资金台帐!B1914&lt;=客户对账单!$I$4),资金台帐!B1914+ROW()/100000,"")</f>
      </c>
    </row>
    <row r="4912">
      <c r="F4912">
        <f>IF(AND(资金台帐!J1915&lt;&gt;"",资金台帐!J1915=客户对账单!$B$4,资金台帐!P1915="应收",ISNUMBER(资金台帐!B1915),资金台帐!B1915&gt;=客户对账单!$G$4,资金台帐!B1915&lt;=客户对账单!$I$4),资金台帐!B1915+ROW()/100000,"")</f>
      </c>
    </row>
    <row r="4913">
      <c r="F4913">
        <f>IF(AND(资金台帐!J1916&lt;&gt;"",资金台帐!J1916=客户对账单!$B$4,资金台帐!P1916="应收",ISNUMBER(资金台帐!B1916),资金台帐!B1916&gt;=客户对账单!$G$4,资金台帐!B1916&lt;=客户对账单!$I$4),资金台帐!B1916+ROW()/100000,"")</f>
      </c>
    </row>
    <row r="4914">
      <c r="F4914">
        <f>IF(AND(资金台帐!J1917&lt;&gt;"",资金台帐!J1917=客户对账单!$B$4,资金台帐!P1917="应收",ISNUMBER(资金台帐!B1917),资金台帐!B1917&gt;=客户对账单!$G$4,资金台帐!B1917&lt;=客户对账单!$I$4),资金台帐!B1917+ROW()/100000,"")</f>
      </c>
    </row>
    <row r="4915">
      <c r="F4915">
        <f>IF(AND(资金台帐!J1918&lt;&gt;"",资金台帐!J1918=客户对账单!$B$4,资金台帐!P1918="应收",ISNUMBER(资金台帐!B1918),资金台帐!B1918&gt;=客户对账单!$G$4,资金台帐!B1918&lt;=客户对账单!$I$4),资金台帐!B1918+ROW()/100000,"")</f>
      </c>
    </row>
    <row r="4916">
      <c r="F4916">
        <f>IF(AND(资金台帐!J1919&lt;&gt;"",资金台帐!J1919=客户对账单!$B$4,资金台帐!P1919="应收",ISNUMBER(资金台帐!B1919),资金台帐!B1919&gt;=客户对账单!$G$4,资金台帐!B1919&lt;=客户对账单!$I$4),资金台帐!B1919+ROW()/100000,"")</f>
      </c>
    </row>
    <row r="4917">
      <c r="F4917">
        <f>IF(AND(资金台帐!J1920&lt;&gt;"",资金台帐!J1920=客户对账单!$B$4,资金台帐!P1920="应收",ISNUMBER(资金台帐!B1920),资金台帐!B1920&gt;=客户对账单!$G$4,资金台帐!B1920&lt;=客户对账单!$I$4),资金台帐!B1920+ROW()/100000,"")</f>
      </c>
    </row>
    <row r="4918">
      <c r="F4918">
        <f>IF(AND(资金台帐!J1921&lt;&gt;"",资金台帐!J1921=客户对账单!$B$4,资金台帐!P1921="应收",ISNUMBER(资金台帐!B1921),资金台帐!B1921&gt;=客户对账单!$G$4,资金台帐!B1921&lt;=客户对账单!$I$4),资金台帐!B1921+ROW()/100000,"")</f>
      </c>
    </row>
    <row r="4919">
      <c r="F4919">
        <f>IF(AND(资金台帐!J1922&lt;&gt;"",资金台帐!J1922=客户对账单!$B$4,资金台帐!P1922="应收",ISNUMBER(资金台帐!B1922),资金台帐!B1922&gt;=客户对账单!$G$4,资金台帐!B1922&lt;=客户对账单!$I$4),资金台帐!B1922+ROW()/100000,"")</f>
      </c>
    </row>
    <row r="4920">
      <c r="F4920">
        <f>IF(AND(资金台帐!J1923&lt;&gt;"",资金台帐!J1923=客户对账单!$B$4,资金台帐!P1923="应收",ISNUMBER(资金台帐!B1923),资金台帐!B1923&gt;=客户对账单!$G$4,资金台帐!B1923&lt;=客户对账单!$I$4),资金台帐!B1923+ROW()/100000,"")</f>
      </c>
    </row>
    <row r="4921">
      <c r="F4921">
        <f>IF(AND(资金台帐!J1924&lt;&gt;"",资金台帐!J1924=客户对账单!$B$4,资金台帐!P1924="应收",ISNUMBER(资金台帐!B1924),资金台帐!B1924&gt;=客户对账单!$G$4,资金台帐!B1924&lt;=客户对账单!$I$4),资金台帐!B1924+ROW()/100000,"")</f>
      </c>
    </row>
    <row r="4922">
      <c r="F4922">
        <f>IF(AND(资金台帐!J1925&lt;&gt;"",资金台帐!J1925=客户对账单!$B$4,资金台帐!P1925="应收",ISNUMBER(资金台帐!B1925),资金台帐!B1925&gt;=客户对账单!$G$4,资金台帐!B1925&lt;=客户对账单!$I$4),资金台帐!B1925+ROW()/100000,"")</f>
      </c>
    </row>
    <row r="4923">
      <c r="F4923">
        <f>IF(AND(资金台帐!J1926&lt;&gt;"",资金台帐!J1926=客户对账单!$B$4,资金台帐!P1926="应收",ISNUMBER(资金台帐!B1926),资金台帐!B1926&gt;=客户对账单!$G$4,资金台帐!B1926&lt;=客户对账单!$I$4),资金台帐!B1926+ROW()/100000,"")</f>
      </c>
    </row>
    <row r="4924">
      <c r="F4924">
        <f>IF(AND(资金台帐!J1927&lt;&gt;"",资金台帐!J1927=客户对账单!$B$4,资金台帐!P1927="应收",ISNUMBER(资金台帐!B1927),资金台帐!B1927&gt;=客户对账单!$G$4,资金台帐!B1927&lt;=客户对账单!$I$4),资金台帐!B1927+ROW()/100000,"")</f>
      </c>
    </row>
    <row r="4925">
      <c r="F4925">
        <f>IF(AND(资金台帐!J1928&lt;&gt;"",资金台帐!J1928=客户对账单!$B$4,资金台帐!P1928="应收",ISNUMBER(资金台帐!B1928),资金台帐!B1928&gt;=客户对账单!$G$4,资金台帐!B1928&lt;=客户对账单!$I$4),资金台帐!B1928+ROW()/100000,"")</f>
      </c>
    </row>
    <row r="4926">
      <c r="F4926">
        <f>IF(AND(资金台帐!J1929&lt;&gt;"",资金台帐!J1929=客户对账单!$B$4,资金台帐!P1929="应收",ISNUMBER(资金台帐!B1929),资金台帐!B1929&gt;=客户对账单!$G$4,资金台帐!B1929&lt;=客户对账单!$I$4),资金台帐!B1929+ROW()/100000,"")</f>
      </c>
    </row>
    <row r="4927">
      <c r="F4927">
        <f>IF(AND(资金台帐!J1930&lt;&gt;"",资金台帐!J1930=客户对账单!$B$4,资金台帐!P1930="应收",ISNUMBER(资金台帐!B1930),资金台帐!B1930&gt;=客户对账单!$G$4,资金台帐!B1930&lt;=客户对账单!$I$4),资金台帐!B1930+ROW()/100000,"")</f>
      </c>
    </row>
    <row r="4928">
      <c r="F4928">
        <f>IF(AND(资金台帐!J1931&lt;&gt;"",资金台帐!J1931=客户对账单!$B$4,资金台帐!P1931="应收",ISNUMBER(资金台帐!B1931),资金台帐!B1931&gt;=客户对账单!$G$4,资金台帐!B1931&lt;=客户对账单!$I$4),资金台帐!B1931+ROW()/100000,"")</f>
      </c>
    </row>
    <row r="4929">
      <c r="F4929">
        <f>IF(AND(资金台帐!J1932&lt;&gt;"",资金台帐!J1932=客户对账单!$B$4,资金台帐!P1932="应收",ISNUMBER(资金台帐!B1932),资金台帐!B1932&gt;=客户对账单!$G$4,资金台帐!B1932&lt;=客户对账单!$I$4),资金台帐!B1932+ROW()/100000,"")</f>
      </c>
    </row>
    <row r="4930">
      <c r="F4930">
        <f>IF(AND(资金台帐!J1933&lt;&gt;"",资金台帐!J1933=客户对账单!$B$4,资金台帐!P1933="应收",ISNUMBER(资金台帐!B1933),资金台帐!B1933&gt;=客户对账单!$G$4,资金台帐!B1933&lt;=客户对账单!$I$4),资金台帐!B1933+ROW()/100000,"")</f>
      </c>
    </row>
    <row r="4931">
      <c r="F4931">
        <f>IF(AND(资金台帐!J1934&lt;&gt;"",资金台帐!J1934=客户对账单!$B$4,资金台帐!P1934="应收",ISNUMBER(资金台帐!B1934),资金台帐!B1934&gt;=客户对账单!$G$4,资金台帐!B1934&lt;=客户对账单!$I$4),资金台帐!B1934+ROW()/100000,"")</f>
      </c>
    </row>
    <row r="4932">
      <c r="F4932">
        <f>IF(AND(资金台帐!J1935&lt;&gt;"",资金台帐!J1935=客户对账单!$B$4,资金台帐!P1935="应收",ISNUMBER(资金台帐!B1935),资金台帐!B1935&gt;=客户对账单!$G$4,资金台帐!B1935&lt;=客户对账单!$I$4),资金台帐!B1935+ROW()/100000,"")</f>
      </c>
    </row>
    <row r="4933">
      <c r="F4933">
        <f>IF(AND(资金台帐!J1936&lt;&gt;"",资金台帐!J1936=客户对账单!$B$4,资金台帐!P1936="应收",ISNUMBER(资金台帐!B1936),资金台帐!B1936&gt;=客户对账单!$G$4,资金台帐!B1936&lt;=客户对账单!$I$4),资金台帐!B1936+ROW()/100000,"")</f>
      </c>
    </row>
    <row r="4934">
      <c r="F4934">
        <f>IF(AND(资金台帐!J1937&lt;&gt;"",资金台帐!J1937=客户对账单!$B$4,资金台帐!P1937="应收",ISNUMBER(资金台帐!B1937),资金台帐!B1937&gt;=客户对账单!$G$4,资金台帐!B1937&lt;=客户对账单!$I$4),资金台帐!B1937+ROW()/100000,"")</f>
      </c>
    </row>
    <row r="4935">
      <c r="F4935">
        <f>IF(AND(资金台帐!J1938&lt;&gt;"",资金台帐!J1938=客户对账单!$B$4,资金台帐!P1938="应收",ISNUMBER(资金台帐!B1938),资金台帐!B1938&gt;=客户对账单!$G$4,资金台帐!B1938&lt;=客户对账单!$I$4),资金台帐!B1938+ROW()/100000,"")</f>
      </c>
    </row>
    <row r="4936">
      <c r="F4936">
        <f>IF(AND(资金台帐!J1939&lt;&gt;"",资金台帐!J1939=客户对账单!$B$4,资金台帐!P1939="应收",ISNUMBER(资金台帐!B1939),资金台帐!B1939&gt;=客户对账单!$G$4,资金台帐!B1939&lt;=客户对账单!$I$4),资金台帐!B1939+ROW()/100000,"")</f>
      </c>
    </row>
    <row r="4937">
      <c r="F4937">
        <f>IF(AND(资金台帐!J1940&lt;&gt;"",资金台帐!J1940=客户对账单!$B$4,资金台帐!P1940="应收",ISNUMBER(资金台帐!B1940),资金台帐!B1940&gt;=客户对账单!$G$4,资金台帐!B1940&lt;=客户对账单!$I$4),资金台帐!B1940+ROW()/100000,"")</f>
      </c>
    </row>
    <row r="4938">
      <c r="F4938">
        <f>IF(AND(资金台帐!J1941&lt;&gt;"",资金台帐!J1941=客户对账单!$B$4,资金台帐!P1941="应收",ISNUMBER(资金台帐!B1941),资金台帐!B1941&gt;=客户对账单!$G$4,资金台帐!B1941&lt;=客户对账单!$I$4),资金台帐!B1941+ROW()/100000,"")</f>
      </c>
    </row>
    <row r="4939">
      <c r="F4939">
        <f>IF(AND(资金台帐!J1942&lt;&gt;"",资金台帐!J1942=客户对账单!$B$4,资金台帐!P1942="应收",ISNUMBER(资金台帐!B1942),资金台帐!B1942&gt;=客户对账单!$G$4,资金台帐!B1942&lt;=客户对账单!$I$4),资金台帐!B1942+ROW()/100000,"")</f>
      </c>
    </row>
    <row r="4940">
      <c r="F4940">
        <f>IF(AND(资金台帐!J1943&lt;&gt;"",资金台帐!J1943=客户对账单!$B$4,资金台帐!P1943="应收",ISNUMBER(资金台帐!B1943),资金台帐!B1943&gt;=客户对账单!$G$4,资金台帐!B1943&lt;=客户对账单!$I$4),资金台帐!B1943+ROW()/100000,"")</f>
      </c>
    </row>
    <row r="4941">
      <c r="F4941">
        <f>IF(AND(资金台帐!J1944&lt;&gt;"",资金台帐!J1944=客户对账单!$B$4,资金台帐!P1944="应收",ISNUMBER(资金台帐!B1944),资金台帐!B1944&gt;=客户对账单!$G$4,资金台帐!B1944&lt;=客户对账单!$I$4),资金台帐!B1944+ROW()/100000,"")</f>
      </c>
    </row>
    <row r="4942">
      <c r="F4942">
        <f>IF(AND(资金台帐!J1945&lt;&gt;"",资金台帐!J1945=客户对账单!$B$4,资金台帐!P1945="应收",ISNUMBER(资金台帐!B1945),资金台帐!B1945&gt;=客户对账单!$G$4,资金台帐!B1945&lt;=客户对账单!$I$4),资金台帐!B1945+ROW()/100000,"")</f>
      </c>
    </row>
    <row r="4943">
      <c r="F4943">
        <f>IF(AND(资金台帐!J1946&lt;&gt;"",资金台帐!J1946=客户对账单!$B$4,资金台帐!P1946="应收",ISNUMBER(资金台帐!B1946),资金台帐!B1946&gt;=客户对账单!$G$4,资金台帐!B1946&lt;=客户对账单!$I$4),资金台帐!B1946+ROW()/100000,"")</f>
      </c>
    </row>
    <row r="4944">
      <c r="F4944">
        <f>IF(AND(资金台帐!J1947&lt;&gt;"",资金台帐!J1947=客户对账单!$B$4,资金台帐!P1947="应收",ISNUMBER(资金台帐!B1947),资金台帐!B1947&gt;=客户对账单!$G$4,资金台帐!B1947&lt;=客户对账单!$I$4),资金台帐!B1947+ROW()/100000,"")</f>
      </c>
    </row>
    <row r="4945">
      <c r="F4945">
        <f>IF(AND(资金台帐!J1948&lt;&gt;"",资金台帐!J1948=客户对账单!$B$4,资金台帐!P1948="应收",ISNUMBER(资金台帐!B1948),资金台帐!B1948&gt;=客户对账单!$G$4,资金台帐!B1948&lt;=客户对账单!$I$4),资金台帐!B1948+ROW()/100000,"")</f>
      </c>
    </row>
    <row r="4946">
      <c r="F4946">
        <f>IF(AND(资金台帐!J1949&lt;&gt;"",资金台帐!J1949=客户对账单!$B$4,资金台帐!P1949="应收",ISNUMBER(资金台帐!B1949),资金台帐!B1949&gt;=客户对账单!$G$4,资金台帐!B1949&lt;=客户对账单!$I$4),资金台帐!B1949+ROW()/100000,"")</f>
      </c>
    </row>
    <row r="4947">
      <c r="F4947">
        <f>IF(AND(资金台帐!J1950&lt;&gt;"",资金台帐!J1950=客户对账单!$B$4,资金台帐!P1950="应收",ISNUMBER(资金台帐!B1950),资金台帐!B1950&gt;=客户对账单!$G$4,资金台帐!B1950&lt;=客户对账单!$I$4),资金台帐!B1950+ROW()/100000,"")</f>
      </c>
    </row>
    <row r="4948">
      <c r="F4948">
        <f>IF(AND(资金台帐!J1951&lt;&gt;"",资金台帐!J1951=客户对账单!$B$4,资金台帐!P1951="应收",ISNUMBER(资金台帐!B1951),资金台帐!B1951&gt;=客户对账单!$G$4,资金台帐!B1951&lt;=客户对账单!$I$4),资金台帐!B1951+ROW()/100000,"")</f>
      </c>
    </row>
    <row r="4949">
      <c r="F4949">
        <f>IF(AND(资金台帐!J1952&lt;&gt;"",资金台帐!J1952=客户对账单!$B$4,资金台帐!P1952="应收",ISNUMBER(资金台帐!B1952),资金台帐!B1952&gt;=客户对账单!$G$4,资金台帐!B1952&lt;=客户对账单!$I$4),资金台帐!B1952+ROW()/100000,"")</f>
      </c>
    </row>
    <row r="4950">
      <c r="F4950">
        <f>IF(AND(资金台帐!J1953&lt;&gt;"",资金台帐!J1953=客户对账单!$B$4,资金台帐!P1953="应收",ISNUMBER(资金台帐!B1953),资金台帐!B1953&gt;=客户对账单!$G$4,资金台帐!B1953&lt;=客户对账单!$I$4),资金台帐!B1953+ROW()/100000,"")</f>
      </c>
    </row>
    <row r="4951">
      <c r="F4951">
        <f>IF(AND(资金台帐!J1954&lt;&gt;"",资金台帐!J1954=客户对账单!$B$4,资金台帐!P1954="应收",ISNUMBER(资金台帐!B1954),资金台帐!B1954&gt;=客户对账单!$G$4,资金台帐!B1954&lt;=客户对账单!$I$4),资金台帐!B1954+ROW()/100000,"")</f>
      </c>
    </row>
    <row r="4952">
      <c r="F4952">
        <f>IF(AND(资金台帐!J1955&lt;&gt;"",资金台帐!J1955=客户对账单!$B$4,资金台帐!P1955="应收",ISNUMBER(资金台帐!B1955),资金台帐!B1955&gt;=客户对账单!$G$4,资金台帐!B1955&lt;=客户对账单!$I$4),资金台帐!B1955+ROW()/100000,"")</f>
      </c>
    </row>
    <row r="4953">
      <c r="F4953">
        <f>IF(AND(资金台帐!J1956&lt;&gt;"",资金台帐!J1956=客户对账单!$B$4,资金台帐!P1956="应收",ISNUMBER(资金台帐!B1956),资金台帐!B1956&gt;=客户对账单!$G$4,资金台帐!B1956&lt;=客户对账单!$I$4),资金台帐!B1956+ROW()/100000,"")</f>
      </c>
    </row>
    <row r="4954">
      <c r="F4954">
        <f>IF(AND(资金台帐!J1957&lt;&gt;"",资金台帐!J1957=客户对账单!$B$4,资金台帐!P1957="应收",ISNUMBER(资金台帐!B1957),资金台帐!B1957&gt;=客户对账单!$G$4,资金台帐!B1957&lt;=客户对账单!$I$4),资金台帐!B1957+ROW()/100000,"")</f>
      </c>
    </row>
    <row r="4955">
      <c r="F4955">
        <f>IF(AND(资金台帐!J1958&lt;&gt;"",资金台帐!J1958=客户对账单!$B$4,资金台帐!P1958="应收",ISNUMBER(资金台帐!B1958),资金台帐!B1958&gt;=客户对账单!$G$4,资金台帐!B1958&lt;=客户对账单!$I$4),资金台帐!B1958+ROW()/100000,"")</f>
      </c>
    </row>
    <row r="4956">
      <c r="F4956">
        <f>IF(AND(资金台帐!J1959&lt;&gt;"",资金台帐!J1959=客户对账单!$B$4,资金台帐!P1959="应收",ISNUMBER(资金台帐!B1959),资金台帐!B1959&gt;=客户对账单!$G$4,资金台帐!B1959&lt;=客户对账单!$I$4),资金台帐!B1959+ROW()/100000,"")</f>
      </c>
    </row>
    <row r="4957">
      <c r="F4957">
        <f>IF(AND(资金台帐!J1960&lt;&gt;"",资金台帐!J1960=客户对账单!$B$4,资金台帐!P1960="应收",ISNUMBER(资金台帐!B1960),资金台帐!B1960&gt;=客户对账单!$G$4,资金台帐!B1960&lt;=客户对账单!$I$4),资金台帐!B1960+ROW()/100000,"")</f>
      </c>
    </row>
    <row r="4958">
      <c r="F4958">
        <f>IF(AND(资金台帐!J1961&lt;&gt;"",资金台帐!J1961=客户对账单!$B$4,资金台帐!P1961="应收",ISNUMBER(资金台帐!B1961),资金台帐!B1961&gt;=客户对账单!$G$4,资金台帐!B1961&lt;=客户对账单!$I$4),资金台帐!B1961+ROW()/100000,"")</f>
      </c>
    </row>
    <row r="4959">
      <c r="F4959">
        <f>IF(AND(资金台帐!J1962&lt;&gt;"",资金台帐!J1962=客户对账单!$B$4,资金台帐!P1962="应收",ISNUMBER(资金台帐!B1962),资金台帐!B1962&gt;=客户对账单!$G$4,资金台帐!B1962&lt;=客户对账单!$I$4),资金台帐!B1962+ROW()/100000,"")</f>
      </c>
    </row>
    <row r="4960">
      <c r="F4960">
        <f>IF(AND(资金台帐!J1963&lt;&gt;"",资金台帐!J1963=客户对账单!$B$4,资金台帐!P1963="应收",ISNUMBER(资金台帐!B1963),资金台帐!B1963&gt;=客户对账单!$G$4,资金台帐!B1963&lt;=客户对账单!$I$4),资金台帐!B1963+ROW()/100000,"")</f>
      </c>
    </row>
    <row r="4961">
      <c r="F4961">
        <f>IF(AND(资金台帐!J1964&lt;&gt;"",资金台帐!J1964=客户对账单!$B$4,资金台帐!P1964="应收",ISNUMBER(资金台帐!B1964),资金台帐!B1964&gt;=客户对账单!$G$4,资金台帐!B1964&lt;=客户对账单!$I$4),资金台帐!B1964+ROW()/100000,"")</f>
      </c>
    </row>
    <row r="4962">
      <c r="F4962">
        <f>IF(AND(资金台帐!J1965&lt;&gt;"",资金台帐!J1965=客户对账单!$B$4,资金台帐!P1965="应收",ISNUMBER(资金台帐!B1965),资金台帐!B1965&gt;=客户对账单!$G$4,资金台帐!B1965&lt;=客户对账单!$I$4),资金台帐!B1965+ROW()/100000,"")</f>
      </c>
    </row>
    <row r="4963">
      <c r="F4963">
        <f>IF(AND(资金台帐!J1966&lt;&gt;"",资金台帐!J1966=客户对账单!$B$4,资金台帐!P1966="应收",ISNUMBER(资金台帐!B1966),资金台帐!B1966&gt;=客户对账单!$G$4,资金台帐!B1966&lt;=客户对账单!$I$4),资金台帐!B1966+ROW()/100000,"")</f>
      </c>
    </row>
    <row r="4964">
      <c r="F4964">
        <f>IF(AND(资金台帐!J1967&lt;&gt;"",资金台帐!J1967=客户对账单!$B$4,资金台帐!P1967="应收",ISNUMBER(资金台帐!B1967),资金台帐!B1967&gt;=客户对账单!$G$4,资金台帐!B1967&lt;=客户对账单!$I$4),资金台帐!B1967+ROW()/100000,"")</f>
      </c>
    </row>
    <row r="4965">
      <c r="F4965">
        <f>IF(AND(资金台帐!J1968&lt;&gt;"",资金台帐!J1968=客户对账单!$B$4,资金台帐!P1968="应收",ISNUMBER(资金台帐!B1968),资金台帐!B1968&gt;=客户对账单!$G$4,资金台帐!B1968&lt;=客户对账单!$I$4),资金台帐!B1968+ROW()/100000,"")</f>
      </c>
    </row>
    <row r="4966">
      <c r="F4966">
        <f>IF(AND(资金台帐!J1969&lt;&gt;"",资金台帐!J1969=客户对账单!$B$4,资金台帐!P1969="应收",ISNUMBER(资金台帐!B1969),资金台帐!B1969&gt;=客户对账单!$G$4,资金台帐!B1969&lt;=客户对账单!$I$4),资金台帐!B1969+ROW()/100000,"")</f>
      </c>
    </row>
    <row r="4967">
      <c r="F4967">
        <f>IF(AND(资金台帐!J1970&lt;&gt;"",资金台帐!J1970=客户对账单!$B$4,资金台帐!P1970="应收",ISNUMBER(资金台帐!B1970),资金台帐!B1970&gt;=客户对账单!$G$4,资金台帐!B1970&lt;=客户对账单!$I$4),资金台帐!B1970+ROW()/100000,"")</f>
      </c>
    </row>
    <row r="4968">
      <c r="F4968">
        <f>IF(AND(资金台帐!J1971&lt;&gt;"",资金台帐!J1971=客户对账单!$B$4,资金台帐!P1971="应收",ISNUMBER(资金台帐!B1971),资金台帐!B1971&gt;=客户对账单!$G$4,资金台帐!B1971&lt;=客户对账单!$I$4),资金台帐!B1971+ROW()/100000,"")</f>
      </c>
    </row>
    <row r="4969">
      <c r="F4969">
        <f>IF(AND(资金台帐!J1972&lt;&gt;"",资金台帐!J1972=客户对账单!$B$4,资金台帐!P1972="应收",ISNUMBER(资金台帐!B1972),资金台帐!B1972&gt;=客户对账单!$G$4,资金台帐!B1972&lt;=客户对账单!$I$4),资金台帐!B1972+ROW()/100000,"")</f>
      </c>
    </row>
    <row r="4970">
      <c r="F4970">
        <f>IF(AND(资金台帐!J1973&lt;&gt;"",资金台帐!J1973=客户对账单!$B$4,资金台帐!P1973="应收",ISNUMBER(资金台帐!B1973),资金台帐!B1973&gt;=客户对账单!$G$4,资金台帐!B1973&lt;=客户对账单!$I$4),资金台帐!B1973+ROW()/100000,"")</f>
      </c>
    </row>
    <row r="4971">
      <c r="F4971">
        <f>IF(AND(资金台帐!J1974&lt;&gt;"",资金台帐!J1974=客户对账单!$B$4,资金台帐!P1974="应收",ISNUMBER(资金台帐!B1974),资金台帐!B1974&gt;=客户对账单!$G$4,资金台帐!B1974&lt;=客户对账单!$I$4),资金台帐!B1974+ROW()/100000,"")</f>
      </c>
    </row>
    <row r="4972">
      <c r="F4972">
        <f>IF(AND(资金台帐!J1975&lt;&gt;"",资金台帐!J1975=客户对账单!$B$4,资金台帐!P1975="应收",ISNUMBER(资金台帐!B1975),资金台帐!B1975&gt;=客户对账单!$G$4,资金台帐!B1975&lt;=客户对账单!$I$4),资金台帐!B1975+ROW()/100000,"")</f>
      </c>
    </row>
    <row r="4973">
      <c r="F4973">
        <f>IF(AND(资金台帐!J1976&lt;&gt;"",资金台帐!J1976=客户对账单!$B$4,资金台帐!P1976="应收",ISNUMBER(资金台帐!B1976),资金台帐!B1976&gt;=客户对账单!$G$4,资金台帐!B1976&lt;=客户对账单!$I$4),资金台帐!B1976+ROW()/100000,"")</f>
      </c>
    </row>
    <row r="4974">
      <c r="F4974">
        <f>IF(AND(资金台帐!J1977&lt;&gt;"",资金台帐!J1977=客户对账单!$B$4,资金台帐!P1977="应收",ISNUMBER(资金台帐!B1977),资金台帐!B1977&gt;=客户对账单!$G$4,资金台帐!B1977&lt;=客户对账单!$I$4),资金台帐!B1977+ROW()/100000,"")</f>
      </c>
    </row>
    <row r="4975">
      <c r="F4975">
        <f>IF(AND(资金台帐!J1978&lt;&gt;"",资金台帐!J1978=客户对账单!$B$4,资金台帐!P1978="应收",ISNUMBER(资金台帐!B1978),资金台帐!B1978&gt;=客户对账单!$G$4,资金台帐!B1978&lt;=客户对账单!$I$4),资金台帐!B1978+ROW()/100000,"")</f>
      </c>
    </row>
    <row r="4976">
      <c r="F4976">
        <f>IF(AND(资金台帐!J1979&lt;&gt;"",资金台帐!J1979=客户对账单!$B$4,资金台帐!P1979="应收",ISNUMBER(资金台帐!B1979),资金台帐!B1979&gt;=客户对账单!$G$4,资金台帐!B1979&lt;=客户对账单!$I$4),资金台帐!B1979+ROW()/100000,"")</f>
      </c>
    </row>
    <row r="4977">
      <c r="F4977">
        <f>IF(AND(资金台帐!J1980&lt;&gt;"",资金台帐!J1980=客户对账单!$B$4,资金台帐!P1980="应收",ISNUMBER(资金台帐!B1980),资金台帐!B1980&gt;=客户对账单!$G$4,资金台帐!B1980&lt;=客户对账单!$I$4),资金台帐!B1980+ROW()/100000,"")</f>
      </c>
    </row>
    <row r="4978">
      <c r="F4978">
        <f>IF(AND(资金台帐!J1981&lt;&gt;"",资金台帐!J1981=客户对账单!$B$4,资金台帐!P1981="应收",ISNUMBER(资金台帐!B1981),资金台帐!B1981&gt;=客户对账单!$G$4,资金台帐!B1981&lt;=客户对账单!$I$4),资金台帐!B1981+ROW()/100000,"")</f>
      </c>
    </row>
    <row r="4979">
      <c r="F4979">
        <f>IF(AND(资金台帐!J1982&lt;&gt;"",资金台帐!J1982=客户对账单!$B$4,资金台帐!P1982="应收",ISNUMBER(资金台帐!B1982),资金台帐!B1982&gt;=客户对账单!$G$4,资金台帐!B1982&lt;=客户对账单!$I$4),资金台帐!B1982+ROW()/100000,"")</f>
      </c>
    </row>
    <row r="4980">
      <c r="F4980">
        <f>IF(AND(资金台帐!J1983&lt;&gt;"",资金台帐!J1983=客户对账单!$B$4,资金台帐!P1983="应收",ISNUMBER(资金台帐!B1983),资金台帐!B1983&gt;=客户对账单!$G$4,资金台帐!B1983&lt;=客户对账单!$I$4),资金台帐!B1983+ROW()/100000,"")</f>
      </c>
    </row>
    <row r="4981">
      <c r="F4981">
        <f>IF(AND(资金台帐!J1984&lt;&gt;"",资金台帐!J1984=客户对账单!$B$4,资金台帐!P1984="应收",ISNUMBER(资金台帐!B1984),资金台帐!B1984&gt;=客户对账单!$G$4,资金台帐!B1984&lt;=客户对账单!$I$4),资金台帐!B1984+ROW()/100000,"")</f>
      </c>
    </row>
    <row r="4982">
      <c r="F4982">
        <f>IF(AND(资金台帐!J1985&lt;&gt;"",资金台帐!J1985=客户对账单!$B$4,资金台帐!P1985="应收",ISNUMBER(资金台帐!B1985),资金台帐!B1985&gt;=客户对账单!$G$4,资金台帐!B1985&lt;=客户对账单!$I$4),资金台帐!B1985+ROW()/100000,"")</f>
      </c>
    </row>
    <row r="4983">
      <c r="F4983">
        <f>IF(AND(资金台帐!J1986&lt;&gt;"",资金台帐!J1986=客户对账单!$B$4,资金台帐!P1986="应收",ISNUMBER(资金台帐!B1986),资金台帐!B1986&gt;=客户对账单!$G$4,资金台帐!B1986&lt;=客户对账单!$I$4),资金台帐!B1986+ROW()/100000,"")</f>
      </c>
    </row>
    <row r="4984">
      <c r="F4984">
        <f>IF(AND(资金台帐!J1987&lt;&gt;"",资金台帐!J1987=客户对账单!$B$4,资金台帐!P1987="应收",ISNUMBER(资金台帐!B1987),资金台帐!B1987&gt;=客户对账单!$G$4,资金台帐!B1987&lt;=客户对账单!$I$4),资金台帐!B1987+ROW()/100000,"")</f>
      </c>
    </row>
    <row r="4985">
      <c r="F4985">
        <f>IF(AND(资金台帐!J1988&lt;&gt;"",资金台帐!J1988=客户对账单!$B$4,资金台帐!P1988="应收",ISNUMBER(资金台帐!B1988),资金台帐!B1988&gt;=客户对账单!$G$4,资金台帐!B1988&lt;=客户对账单!$I$4),资金台帐!B1988+ROW()/100000,"")</f>
      </c>
    </row>
    <row r="4986">
      <c r="F4986">
        <f>IF(AND(资金台帐!J1989&lt;&gt;"",资金台帐!J1989=客户对账单!$B$4,资金台帐!P1989="应收",ISNUMBER(资金台帐!B1989),资金台帐!B1989&gt;=客户对账单!$G$4,资金台帐!B1989&lt;=客户对账单!$I$4),资金台帐!B1989+ROW()/100000,"")</f>
      </c>
    </row>
    <row r="4987">
      <c r="F4987">
        <f>IF(AND(资金台帐!J1990&lt;&gt;"",资金台帐!J1990=客户对账单!$B$4,资金台帐!P1990="应收",ISNUMBER(资金台帐!B1990),资金台帐!B1990&gt;=客户对账单!$G$4,资金台帐!B1990&lt;=客户对账单!$I$4),资金台帐!B1990+ROW()/100000,"")</f>
      </c>
    </row>
    <row r="4988">
      <c r="F4988">
        <f>IF(AND(资金台帐!J1991&lt;&gt;"",资金台帐!J1991=客户对账单!$B$4,资金台帐!P1991="应收",ISNUMBER(资金台帐!B1991),资金台帐!B1991&gt;=客户对账单!$G$4,资金台帐!B1991&lt;=客户对账单!$I$4),资金台帐!B1991+ROW()/100000,"")</f>
      </c>
    </row>
    <row r="4989">
      <c r="F4989">
        <f>IF(AND(资金台帐!J1992&lt;&gt;"",资金台帐!J1992=客户对账单!$B$4,资金台帐!P1992="应收",ISNUMBER(资金台帐!B1992),资金台帐!B1992&gt;=客户对账单!$G$4,资金台帐!B1992&lt;=客户对账单!$I$4),资金台帐!B1992+ROW()/100000,"")</f>
      </c>
    </row>
    <row r="4990">
      <c r="F4990">
        <f>IF(AND(资金台帐!J1993&lt;&gt;"",资金台帐!J1993=客户对账单!$B$4,资金台帐!P1993="应收",ISNUMBER(资金台帐!B1993),资金台帐!B1993&gt;=客户对账单!$G$4,资金台帐!B1993&lt;=客户对账单!$I$4),资金台帐!B1993+ROW()/100000,"")</f>
      </c>
    </row>
    <row r="4991">
      <c r="F4991">
        <f>IF(AND(资金台帐!J1994&lt;&gt;"",资金台帐!J1994=客户对账单!$B$4,资金台帐!P1994="应收",ISNUMBER(资金台帐!B1994),资金台帐!B1994&gt;=客户对账单!$G$4,资金台帐!B1994&lt;=客户对账单!$I$4),资金台帐!B1994+ROW()/100000,"")</f>
      </c>
    </row>
    <row r="4992">
      <c r="F4992">
        <f>IF(AND(资金台帐!J1995&lt;&gt;"",资金台帐!J1995=客户对账单!$B$4,资金台帐!P1995="应收",ISNUMBER(资金台帐!B1995),资金台帐!B1995&gt;=客户对账单!$G$4,资金台帐!B1995&lt;=客户对账单!$I$4),资金台帐!B1995+ROW()/100000,"")</f>
      </c>
    </row>
    <row r="4993">
      <c r="F4993">
        <f>IF(AND(资金台帐!J1996&lt;&gt;"",资金台帐!J1996=客户对账单!$B$4,资金台帐!P1996="应收",ISNUMBER(资金台帐!B1996),资金台帐!B1996&gt;=客户对账单!$G$4,资金台帐!B1996&lt;=客户对账单!$I$4),资金台帐!B1996+ROW()/100000,"")</f>
      </c>
    </row>
    <row r="4994">
      <c r="F4994">
        <f>IF(AND(资金台帐!J1997&lt;&gt;"",资金台帐!J1997=客户对账单!$B$4,资金台帐!P1997="应收",ISNUMBER(资金台帐!B1997),资金台帐!B1997&gt;=客户对账单!$G$4,资金台帐!B1997&lt;=客户对账单!$I$4),资金台帐!B1997+ROW()/100000,"")</f>
      </c>
    </row>
    <row r="4995">
      <c r="F4995">
        <f>IF(AND(资金台帐!J1998&lt;&gt;"",资金台帐!J1998=客户对账单!$B$4,资金台帐!P1998="应收",ISNUMBER(资金台帐!B1998),资金台帐!B1998&gt;=客户对账单!$G$4,资金台帐!B1998&lt;=客户对账单!$I$4),资金台帐!B1998+ROW()/100000,"")</f>
      </c>
    </row>
    <row r="4996">
      <c r="F4996">
        <f>IF(AND(资金台帐!J1999&lt;&gt;"",资金台帐!J1999=客户对账单!$B$4,资金台帐!P1999="应收",ISNUMBER(资金台帐!B1999),资金台帐!B1999&gt;=客户对账单!$G$4,资金台帐!B1999&lt;=客户对账单!$I$4),资金台帐!B1999+ROW()/100000,"")</f>
      </c>
    </row>
    <row r="4997">
      <c r="F4997">
        <f>IF(AND(资金台帐!J2000&lt;&gt;"",资金台帐!J2000=客户对账单!$B$4,资金台帐!P2000="应收",ISNUMBER(资金台帐!B2000),资金台帐!B2000&gt;=客户对账单!$G$4,资金台帐!B2000&lt;=客户对账单!$I$4),资金台帐!B2000+ROW()/100000,"")</f>
      </c>
    </row>
    <row r="4998">
      <c r="F4998">
        <f>IF(AND(资金台帐!J2001&lt;&gt;"",资金台帐!J2001=客户对账单!$B$4,资金台帐!P2001="应收",ISNUMBER(资金台帐!B2001),资金台帐!B2001&gt;=客户对账单!$G$4,资金台帐!B2001&lt;=客户对账单!$I$4),资金台帐!B2001+ROW()/100000,"")</f>
      </c>
    </row>
    <row r="4999">
      <c r="F4999">
        <f>IF(AND(资金台帐!J2002&lt;&gt;"",资金台帐!J2002=客户对账单!$B$4,资金台帐!P2002="应收",ISNUMBER(资金台帐!B2002),资金台帐!B2002&gt;=客户对账单!$G$4,资金台帐!B2002&lt;=客户对账单!$I$4),资金台帐!B2002+ROW()/100000,"")</f>
      </c>
    </row>
    <row r="5000">
      <c r="F5000">
        <f>IF(AND(资金台帐!J2003&lt;&gt;"",资金台帐!J2003=客户对账单!$B$4,资金台帐!P2003="应收",ISNUMBER(资金台帐!B2003),资金台帐!B2003&gt;=客户对账单!$G$4,资金台帐!B2003&lt;=客户对账单!$I$4),资金台帐!B2003+ROW()/100000,"")</f>
      </c>
    </row>
    <row r="5001">
      <c r="F5001">
        <f>IF(AND(资金台帐!J2004&lt;&gt;"",资金台帐!J2004=客户对账单!$B$4,资金台帐!P2004="应收",ISNUMBER(资金台帐!B2004),资金台帐!B2004&gt;=客户对账单!$G$4,资金台帐!B2004&lt;=客户对账单!$I$4),资金台帐!B2004+ROW()/100000,"")</f>
      </c>
    </row>
    <row r="5002">
      <c r="F5002">
        <f>IF(AND(资金台帐!J2005&lt;&gt;"",资金台帐!J2005=客户对账单!$B$4,资金台帐!P2005="应收",ISNUMBER(资金台帐!B2005),资金台帐!B2005&gt;=客户对账单!$G$4,资金台帐!B2005&lt;=客户对账单!$I$4),资金台帐!B2005+ROW()/100000,"")</f>
      </c>
    </row>
    <row r="5003">
      <c r="F5003">
        <f>IF(AND(资金台帐!J2006&lt;&gt;"",资金台帐!J2006=客户对账单!$B$4,资金台帐!P2006="应收",ISNUMBER(资金台帐!B2006),资金台帐!B2006&gt;=客户对账单!$G$4,资金台帐!B2006&lt;=客户对账单!$I$4),资金台帐!B2006+ROW()/100000,"")</f>
      </c>
    </row>
    <row r="5004">
      <c r="F5004">
        <f>IF(AND(资金台帐!J2007&lt;&gt;"",资金台帐!J2007=客户对账单!$B$4,资金台帐!P2007="应收",ISNUMBER(资金台帐!B2007),资金台帐!B2007&gt;=客户对账单!$G$4,资金台帐!B2007&lt;=客户对账单!$I$4),资金台帐!B2007+ROW()/100000,"")</f>
      </c>
    </row>
    <row r="5005">
      <c r="F5005">
        <f>IF(AND(资金台帐!J2008&lt;&gt;"",资金台帐!J2008=客户对账单!$B$4,资金台帐!P2008="应收",ISNUMBER(资金台帐!B2008),资金台帐!B2008&gt;=客户对账单!$G$4,资金台帐!B2008&lt;=客户对账单!$I$4),资金台帐!B2008+ROW()/100000,"")</f>
      </c>
    </row>
    <row r="5006">
      <c r="F5006">
        <f>IF(AND(资金台帐!J2009&lt;&gt;"",资金台帐!J2009=客户对账单!$B$4,资金台帐!P2009="应收",ISNUMBER(资金台帐!B2009),资金台帐!B2009&gt;=客户对账单!$G$4,资金台帐!B2009&lt;=客户对账单!$I$4),资金台帐!B2009+ROW()/100000,"")</f>
      </c>
    </row>
    <row r="5007">
      <c r="F5007">
        <f>IF(AND(资金台帐!J2010&lt;&gt;"",资金台帐!J2010=客户对账单!$B$4,资金台帐!P2010="应收",ISNUMBER(资金台帐!B2010),资金台帐!B2010&gt;=客户对账单!$G$4,资金台帐!B2010&lt;=客户对账单!$I$4),资金台帐!B2010+ROW()/100000,"")</f>
      </c>
    </row>
    <row r="5008">
      <c r="F5008">
        <f>IF(AND(资金台帐!J2011&lt;&gt;"",资金台帐!J2011=客户对账单!$B$4,资金台帐!P2011="应收",ISNUMBER(资金台帐!B2011),资金台帐!B2011&gt;=客户对账单!$G$4,资金台帐!B2011&lt;=客户对账单!$I$4),资金台帐!B2011+ROW()/100000,"")</f>
      </c>
    </row>
    <row r="5009">
      <c r="F5009">
        <f>IF(AND(资金台帐!J2012&lt;&gt;"",资金台帐!J2012=客户对账单!$B$4,资金台帐!P2012="应收",ISNUMBER(资金台帐!B2012),资金台帐!B2012&gt;=客户对账单!$G$4,资金台帐!B2012&lt;=客户对账单!$I$4),资金台帐!B2012+ROW()/100000,"")</f>
      </c>
    </row>
    <row r="5010">
      <c r="F5010">
        <f>IF(AND(资金台帐!J2013&lt;&gt;"",资金台帐!J2013=客户对账单!$B$4,资金台帐!P2013="应收",ISNUMBER(资金台帐!B2013),资金台帐!B2013&gt;=客户对账单!$G$4,资金台帐!B2013&lt;=客户对账单!$I$4),资金台帐!B2013+ROW()/100000,"")</f>
      </c>
    </row>
    <row r="5011">
      <c r="F5011">
        <f>IF(AND(资金台帐!J2014&lt;&gt;"",资金台帐!J2014=客户对账单!$B$4,资金台帐!P2014="应收",ISNUMBER(资金台帐!B2014),资金台帐!B2014&gt;=客户对账单!$G$4,资金台帐!B2014&lt;=客户对账单!$I$4),资金台帐!B2014+ROW()/100000,"")</f>
      </c>
    </row>
    <row r="5012">
      <c r="F5012">
        <f>IF(AND(资金台帐!J2015&lt;&gt;"",资金台帐!J2015=客户对账单!$B$4,资金台帐!P2015="应收",ISNUMBER(资金台帐!B2015),资金台帐!B2015&gt;=客户对账单!$G$4,资金台帐!B2015&lt;=客户对账单!$I$4),资金台帐!B2015+ROW()/100000,"")</f>
      </c>
    </row>
    <row r="5013">
      <c r="F5013">
        <f>IF(AND(资金台帐!J2016&lt;&gt;"",资金台帐!J2016=客户对账单!$B$4,资金台帐!P2016="应收",ISNUMBER(资金台帐!B2016),资金台帐!B2016&gt;=客户对账单!$G$4,资金台帐!B2016&lt;=客户对账单!$I$4),资金台帐!B2016+ROW()/100000,"")</f>
      </c>
    </row>
    <row r="5014">
      <c r="F5014">
        <f>IF(AND(资金台帐!J2017&lt;&gt;"",资金台帐!J2017=客户对账单!$B$4,资金台帐!P2017="应收",ISNUMBER(资金台帐!B2017),资金台帐!B2017&gt;=客户对账单!$G$4,资金台帐!B2017&lt;=客户对账单!$I$4),资金台帐!B2017+ROW()/100000,"")</f>
      </c>
    </row>
    <row r="5015">
      <c r="F5015">
        <f>IF(AND(资金台帐!J2018&lt;&gt;"",资金台帐!J2018=客户对账单!$B$4,资金台帐!P2018="应收",ISNUMBER(资金台帐!B2018),资金台帐!B2018&gt;=客户对账单!$G$4,资金台帐!B2018&lt;=客户对账单!$I$4),资金台帐!B2018+ROW()/100000,"")</f>
      </c>
    </row>
    <row r="5016">
      <c r="F5016">
        <f>IF(AND(资金台帐!J2019&lt;&gt;"",资金台帐!J2019=客户对账单!$B$4,资金台帐!P2019="应收",ISNUMBER(资金台帐!B2019),资金台帐!B2019&gt;=客户对账单!$G$4,资金台帐!B2019&lt;=客户对账单!$I$4),资金台帐!B2019+ROW()/100000,"")</f>
      </c>
    </row>
    <row r="5017">
      <c r="F5017">
        <f>IF(AND(资金台帐!J2020&lt;&gt;"",资金台帐!J2020=客户对账单!$B$4,资金台帐!P2020="应收",ISNUMBER(资金台帐!B2020),资金台帐!B2020&gt;=客户对账单!$G$4,资金台帐!B2020&lt;=客户对账单!$I$4),资金台帐!B2020+ROW()/100000,"")</f>
      </c>
    </row>
    <row r="5018">
      <c r="F5018">
        <f>IF(AND(资金台帐!J2021&lt;&gt;"",资金台帐!J2021=客户对账单!$B$4,资金台帐!P2021="应收",ISNUMBER(资金台帐!B2021),资金台帐!B2021&gt;=客户对账单!$G$4,资金台帐!B2021&lt;=客户对账单!$I$4),资金台帐!B2021+ROW()/100000,"")</f>
      </c>
    </row>
    <row r="5019">
      <c r="F5019">
        <f>IF(AND(资金台帐!J2022&lt;&gt;"",资金台帐!J2022=客户对账单!$B$4,资金台帐!P2022="应收",ISNUMBER(资金台帐!B2022),资金台帐!B2022&gt;=客户对账单!$G$4,资金台帐!B2022&lt;=客户对账单!$I$4),资金台帐!B2022+ROW()/100000,"")</f>
      </c>
    </row>
    <row r="5020">
      <c r="F5020">
        <f>IF(AND(资金台帐!J2023&lt;&gt;"",资金台帐!J2023=客户对账单!$B$4,资金台帐!P2023="应收",ISNUMBER(资金台帐!B2023),资金台帐!B2023&gt;=客户对账单!$G$4,资金台帐!B2023&lt;=客户对账单!$I$4),资金台帐!B2023+ROW()/100000,"")</f>
      </c>
    </row>
    <row r="5021">
      <c r="F5021">
        <f>IF(AND(资金台帐!J2024&lt;&gt;"",资金台帐!J2024=客户对账单!$B$4,资金台帐!P2024="应收",ISNUMBER(资金台帐!B2024),资金台帐!B2024&gt;=客户对账单!$G$4,资金台帐!B2024&lt;=客户对账单!$I$4),资金台帐!B2024+ROW()/100000,"")</f>
      </c>
    </row>
    <row r="5022">
      <c r="F5022">
        <f>IF(AND(资金台帐!J2025&lt;&gt;"",资金台帐!J2025=客户对账单!$B$4,资金台帐!P2025="应收",ISNUMBER(资金台帐!B2025),资金台帐!B2025&gt;=客户对账单!$G$4,资金台帐!B2025&lt;=客户对账单!$I$4),资金台帐!B2025+ROW()/100000,"")</f>
      </c>
    </row>
    <row r="5023">
      <c r="F5023">
        <f>IF(AND(资金台帐!J2026&lt;&gt;"",资金台帐!J2026=客户对账单!$B$4,资金台帐!P2026="应收",ISNUMBER(资金台帐!B2026),资金台帐!B2026&gt;=客户对账单!$G$4,资金台帐!B2026&lt;=客户对账单!$I$4),资金台帐!B2026+ROW()/100000,"")</f>
      </c>
    </row>
    <row r="5024">
      <c r="F5024">
        <f>IF(AND(资金台帐!J2027&lt;&gt;"",资金台帐!J2027=客户对账单!$B$4,资金台帐!P2027="应收",ISNUMBER(资金台帐!B2027),资金台帐!B2027&gt;=客户对账单!$G$4,资金台帐!B2027&lt;=客户对账单!$I$4),资金台帐!B2027+ROW()/100000,"")</f>
      </c>
    </row>
    <row r="5025">
      <c r="F5025">
        <f>IF(AND(资金台帐!J2028&lt;&gt;"",资金台帐!J2028=客户对账单!$B$4,资金台帐!P2028="应收",ISNUMBER(资金台帐!B2028),资金台帐!B2028&gt;=客户对账单!$G$4,资金台帐!B2028&lt;=客户对账单!$I$4),资金台帐!B2028+ROW()/100000,"")</f>
      </c>
    </row>
    <row r="5026">
      <c r="F5026">
        <f>IF(AND(资金台帐!J2029&lt;&gt;"",资金台帐!J2029=客户对账单!$B$4,资金台帐!P2029="应收",ISNUMBER(资金台帐!B2029),资金台帐!B2029&gt;=客户对账单!$G$4,资金台帐!B2029&lt;=客户对账单!$I$4),资金台帐!B2029+ROW()/100000,"")</f>
      </c>
    </row>
    <row r="5027">
      <c r="F5027">
        <f>IF(AND(资金台帐!J2030&lt;&gt;"",资金台帐!J2030=客户对账单!$B$4,资金台帐!P2030="应收",ISNUMBER(资金台帐!B2030),资金台帐!B2030&gt;=客户对账单!$G$4,资金台帐!B2030&lt;=客户对账单!$I$4),资金台帐!B2030+ROW()/100000,"")</f>
      </c>
    </row>
    <row r="5028">
      <c r="F5028">
        <f>IF(AND(资金台帐!J2031&lt;&gt;"",资金台帐!J2031=客户对账单!$B$4,资金台帐!P2031="应收",ISNUMBER(资金台帐!B2031),资金台帐!B2031&gt;=客户对账单!$G$4,资金台帐!B2031&lt;=客户对账单!$I$4),资金台帐!B2031+ROW()/100000,"")</f>
      </c>
    </row>
    <row r="5029">
      <c r="F5029">
        <f>IF(AND(资金台帐!J2032&lt;&gt;"",资金台帐!J2032=客户对账单!$B$4,资金台帐!P2032="应收",ISNUMBER(资金台帐!B2032),资金台帐!B2032&gt;=客户对账单!$G$4,资金台帐!B2032&lt;=客户对账单!$I$4),资金台帐!B2032+ROW()/100000,"")</f>
      </c>
    </row>
    <row r="5030">
      <c r="F5030">
        <f>IF(AND(资金台帐!J2033&lt;&gt;"",资金台帐!J2033=客户对账单!$B$4,资金台帐!P2033="应收",ISNUMBER(资金台帐!B2033),资金台帐!B2033&gt;=客户对账单!$G$4,资金台帐!B2033&lt;=客户对账单!$I$4),资金台帐!B2033+ROW()/100000,"")</f>
      </c>
    </row>
    <row r="5031">
      <c r="F5031">
        <f>IF(AND(资金台帐!J2034&lt;&gt;"",资金台帐!J2034=客户对账单!$B$4,资金台帐!P2034="应收",ISNUMBER(资金台帐!B2034),资金台帐!B2034&gt;=客户对账单!$G$4,资金台帐!B2034&lt;=客户对账单!$I$4),资金台帐!B2034+ROW()/100000,"")</f>
      </c>
    </row>
    <row r="5032">
      <c r="F5032">
        <f>IF(AND(资金台帐!J2035&lt;&gt;"",资金台帐!J2035=客户对账单!$B$4,资金台帐!P2035="应收",ISNUMBER(资金台帐!B2035),资金台帐!B2035&gt;=客户对账单!$G$4,资金台帐!B2035&lt;=客户对账单!$I$4),资金台帐!B2035+ROW()/100000,"")</f>
      </c>
    </row>
    <row r="5033">
      <c r="F5033">
        <f>IF(AND(资金台帐!J2036&lt;&gt;"",资金台帐!J2036=客户对账单!$B$4,资金台帐!P2036="应收",ISNUMBER(资金台帐!B2036),资金台帐!B2036&gt;=客户对账单!$G$4,资金台帐!B2036&lt;=客户对账单!$I$4),资金台帐!B2036+ROW()/100000,"")</f>
      </c>
    </row>
    <row r="5034">
      <c r="F5034">
        <f>IF(AND(资金台帐!J2037&lt;&gt;"",资金台帐!J2037=客户对账单!$B$4,资金台帐!P2037="应收",ISNUMBER(资金台帐!B2037),资金台帐!B2037&gt;=客户对账单!$G$4,资金台帐!B2037&lt;=客户对账单!$I$4),资金台帐!B2037+ROW()/100000,"")</f>
      </c>
    </row>
    <row r="5035">
      <c r="F5035">
        <f>IF(AND(资金台帐!J2038&lt;&gt;"",资金台帐!J2038=客户对账单!$B$4,资金台帐!P2038="应收",ISNUMBER(资金台帐!B2038),资金台帐!B2038&gt;=客户对账单!$G$4,资金台帐!B2038&lt;=客户对账单!$I$4),资金台帐!B2038+ROW()/100000,"")</f>
      </c>
    </row>
    <row r="5036">
      <c r="F5036">
        <f>IF(AND(资金台帐!J2039&lt;&gt;"",资金台帐!J2039=客户对账单!$B$4,资金台帐!P2039="应收",ISNUMBER(资金台帐!B2039),资金台帐!B2039&gt;=客户对账单!$G$4,资金台帐!B2039&lt;=客户对账单!$I$4),资金台帐!B2039+ROW()/100000,"")</f>
      </c>
    </row>
    <row r="5037">
      <c r="F5037">
        <f>IF(AND(资金台帐!J2040&lt;&gt;"",资金台帐!J2040=客户对账单!$B$4,资金台帐!P2040="应收",ISNUMBER(资金台帐!B2040),资金台帐!B2040&gt;=客户对账单!$G$4,资金台帐!B2040&lt;=客户对账单!$I$4),资金台帐!B2040+ROW()/100000,"")</f>
      </c>
    </row>
    <row r="5038">
      <c r="F5038">
        <f>IF(AND(资金台帐!J2041&lt;&gt;"",资金台帐!J2041=客户对账单!$B$4,资金台帐!P2041="应收",ISNUMBER(资金台帐!B2041),资金台帐!B2041&gt;=客户对账单!$G$4,资金台帐!B2041&lt;=客户对账单!$I$4),资金台帐!B2041+ROW()/100000,"")</f>
      </c>
    </row>
    <row r="5039">
      <c r="F5039">
        <f>IF(AND(资金台帐!J2042&lt;&gt;"",资金台帐!J2042=客户对账单!$B$4,资金台帐!P2042="应收",ISNUMBER(资金台帐!B2042),资金台帐!B2042&gt;=客户对账单!$G$4,资金台帐!B2042&lt;=客户对账单!$I$4),资金台帐!B2042+ROW()/100000,"")</f>
      </c>
    </row>
    <row r="5040">
      <c r="F5040">
        <f>IF(AND(资金台帐!J2043&lt;&gt;"",资金台帐!J2043=客户对账单!$B$4,资金台帐!P2043="应收",ISNUMBER(资金台帐!B2043),资金台帐!B2043&gt;=客户对账单!$G$4,资金台帐!B2043&lt;=客户对账单!$I$4),资金台帐!B2043+ROW()/100000,"")</f>
      </c>
    </row>
    <row r="5041">
      <c r="F5041">
        <f>IF(AND(资金台帐!J2044&lt;&gt;"",资金台帐!J2044=客户对账单!$B$4,资金台帐!P2044="应收",ISNUMBER(资金台帐!B2044),资金台帐!B2044&gt;=客户对账单!$G$4,资金台帐!B2044&lt;=客户对账单!$I$4),资金台帐!B2044+ROW()/100000,"")</f>
      </c>
    </row>
    <row r="5042">
      <c r="F5042">
        <f>IF(AND(资金台帐!J2045&lt;&gt;"",资金台帐!J2045=客户对账单!$B$4,资金台帐!P2045="应收",ISNUMBER(资金台帐!B2045),资金台帐!B2045&gt;=客户对账单!$G$4,资金台帐!B2045&lt;=客户对账单!$I$4),资金台帐!B2045+ROW()/100000,"")</f>
      </c>
    </row>
    <row r="5043">
      <c r="F5043">
        <f>IF(AND(资金台帐!J2046&lt;&gt;"",资金台帐!J2046=客户对账单!$B$4,资金台帐!P2046="应收",ISNUMBER(资金台帐!B2046),资金台帐!B2046&gt;=客户对账单!$G$4,资金台帐!B2046&lt;=客户对账单!$I$4),资金台帐!B2046+ROW()/100000,"")</f>
      </c>
    </row>
    <row r="5044">
      <c r="F5044">
        <f>IF(AND(资金台帐!J2047&lt;&gt;"",资金台帐!J2047=客户对账单!$B$4,资金台帐!P2047="应收",ISNUMBER(资金台帐!B2047),资金台帐!B2047&gt;=客户对账单!$G$4,资金台帐!B2047&lt;=客户对账单!$I$4),资金台帐!B2047+ROW()/100000,"")</f>
      </c>
    </row>
    <row r="5045">
      <c r="F5045">
        <f>IF(AND(资金台帐!J2048&lt;&gt;"",资金台帐!J2048=客户对账单!$B$4,资金台帐!P2048="应收",ISNUMBER(资金台帐!B2048),资金台帐!B2048&gt;=客户对账单!$G$4,资金台帐!B2048&lt;=客户对账单!$I$4),资金台帐!B2048+ROW()/100000,"")</f>
      </c>
    </row>
    <row r="5046">
      <c r="F5046">
        <f>IF(AND(资金台帐!J2049&lt;&gt;"",资金台帐!J2049=客户对账单!$B$4,资金台帐!P2049="应收",ISNUMBER(资金台帐!B2049),资金台帐!B2049&gt;=客户对账单!$G$4,资金台帐!B2049&lt;=客户对账单!$I$4),资金台帐!B2049+ROW()/100000,"")</f>
      </c>
    </row>
    <row r="5047">
      <c r="F5047">
        <f>IF(AND(资金台帐!J2050&lt;&gt;"",资金台帐!J2050=客户对账单!$B$4,资金台帐!P2050="应收",ISNUMBER(资金台帐!B2050),资金台帐!B2050&gt;=客户对账单!$G$4,资金台帐!B2050&lt;=客户对账单!$I$4),资金台帐!B2050+ROW()/100000,"")</f>
      </c>
    </row>
    <row r="5048">
      <c r="F5048">
        <f>IF(AND(资金台帐!J2051&lt;&gt;"",资金台帐!J2051=客户对账单!$B$4,资金台帐!P2051="应收",ISNUMBER(资金台帐!B2051),资金台帐!B2051&gt;=客户对账单!$G$4,资金台帐!B2051&lt;=客户对账单!$I$4),资金台帐!B2051+ROW()/100000,"")</f>
      </c>
    </row>
    <row r="5049">
      <c r="F5049">
        <f>IF(AND(资金台帐!J2052&lt;&gt;"",资金台帐!J2052=客户对账单!$B$4,资金台帐!P2052="应收",ISNUMBER(资金台帐!B2052),资金台帐!B2052&gt;=客户对账单!$G$4,资金台帐!B2052&lt;=客户对账单!$I$4),资金台帐!B2052+ROW()/100000,"")</f>
      </c>
    </row>
    <row r="5050">
      <c r="F5050">
        <f>IF(AND(资金台帐!J2053&lt;&gt;"",资金台帐!J2053=客户对账单!$B$4,资金台帐!P2053="应收",ISNUMBER(资金台帐!B2053),资金台帐!B2053&gt;=客户对账单!$G$4,资金台帐!B2053&lt;=客户对账单!$I$4),资金台帐!B2053+ROW()/100000,"")</f>
      </c>
    </row>
    <row r="5051">
      <c r="F5051">
        <f>IF(AND(资金台帐!J2054&lt;&gt;"",资金台帐!J2054=客户对账单!$B$4,资金台帐!P2054="应收",ISNUMBER(资金台帐!B2054),资金台帐!B2054&gt;=客户对账单!$G$4,资金台帐!B2054&lt;=客户对账单!$I$4),资金台帐!B2054+ROW()/100000,"")</f>
      </c>
    </row>
    <row r="5052">
      <c r="F5052">
        <f>IF(AND(资金台帐!J2055&lt;&gt;"",资金台帐!J2055=客户对账单!$B$4,资金台帐!P2055="应收",ISNUMBER(资金台帐!B2055),资金台帐!B2055&gt;=客户对账单!$G$4,资金台帐!B2055&lt;=客户对账单!$I$4),资金台帐!B2055+ROW()/100000,"")</f>
      </c>
    </row>
    <row r="5053">
      <c r="F5053">
        <f>IF(AND(资金台帐!J2056&lt;&gt;"",资金台帐!J2056=客户对账单!$B$4,资金台帐!P2056="应收",ISNUMBER(资金台帐!B2056),资金台帐!B2056&gt;=客户对账单!$G$4,资金台帐!B2056&lt;=客户对账单!$I$4),资金台帐!B2056+ROW()/100000,"")</f>
      </c>
    </row>
    <row r="5054">
      <c r="F5054">
        <f>IF(AND(资金台帐!J2057&lt;&gt;"",资金台帐!J2057=客户对账单!$B$4,资金台帐!P2057="应收",ISNUMBER(资金台帐!B2057),资金台帐!B2057&gt;=客户对账单!$G$4,资金台帐!B2057&lt;=客户对账单!$I$4),资金台帐!B2057+ROW()/100000,"")</f>
      </c>
    </row>
    <row r="5055">
      <c r="F5055">
        <f>IF(AND(资金台帐!J2058&lt;&gt;"",资金台帐!J2058=客户对账单!$B$4,资金台帐!P2058="应收",ISNUMBER(资金台帐!B2058),资金台帐!B2058&gt;=客户对账单!$G$4,资金台帐!B2058&lt;=客户对账单!$I$4),资金台帐!B2058+ROW()/100000,"")</f>
      </c>
    </row>
    <row r="5056">
      <c r="F5056">
        <f>IF(AND(资金台帐!J2059&lt;&gt;"",资金台帐!J2059=客户对账单!$B$4,资金台帐!P2059="应收",ISNUMBER(资金台帐!B2059),资金台帐!B2059&gt;=客户对账单!$G$4,资金台帐!B2059&lt;=客户对账单!$I$4),资金台帐!B2059+ROW()/100000,"")</f>
      </c>
    </row>
    <row r="5057">
      <c r="F5057">
        <f>IF(AND(资金台帐!J2060&lt;&gt;"",资金台帐!J2060=客户对账单!$B$4,资金台帐!P2060="应收",ISNUMBER(资金台帐!B2060),资金台帐!B2060&gt;=客户对账单!$G$4,资金台帐!B2060&lt;=客户对账单!$I$4),资金台帐!B2060+ROW()/100000,"")</f>
      </c>
    </row>
    <row r="5058">
      <c r="F5058">
        <f>IF(AND(资金台帐!J2061&lt;&gt;"",资金台帐!J2061=客户对账单!$B$4,资金台帐!P2061="应收",ISNUMBER(资金台帐!B2061),资金台帐!B2061&gt;=客户对账单!$G$4,资金台帐!B2061&lt;=客户对账单!$I$4),资金台帐!B2061+ROW()/100000,"")</f>
      </c>
    </row>
    <row r="5059">
      <c r="F5059">
        <f>IF(AND(资金台帐!J2062&lt;&gt;"",资金台帐!J2062=客户对账单!$B$4,资金台帐!P2062="应收",ISNUMBER(资金台帐!B2062),资金台帐!B2062&gt;=客户对账单!$G$4,资金台帐!B2062&lt;=客户对账单!$I$4),资金台帐!B2062+ROW()/100000,"")</f>
      </c>
    </row>
    <row r="5060">
      <c r="F5060">
        <f>IF(AND(资金台帐!J2063&lt;&gt;"",资金台帐!J2063=客户对账单!$B$4,资金台帐!P2063="应收",ISNUMBER(资金台帐!B2063),资金台帐!B2063&gt;=客户对账单!$G$4,资金台帐!B2063&lt;=客户对账单!$I$4),资金台帐!B2063+ROW()/100000,"")</f>
      </c>
    </row>
    <row r="5061">
      <c r="F5061">
        <f>IF(AND(资金台帐!J2064&lt;&gt;"",资金台帐!J2064=客户对账单!$B$4,资金台帐!P2064="应收",ISNUMBER(资金台帐!B2064),资金台帐!B2064&gt;=客户对账单!$G$4,资金台帐!B2064&lt;=客户对账单!$I$4),资金台帐!B2064+ROW()/100000,"")</f>
      </c>
    </row>
    <row r="5062">
      <c r="F5062">
        <f>IF(AND(资金台帐!J2065&lt;&gt;"",资金台帐!J2065=客户对账单!$B$4,资金台帐!P2065="应收",ISNUMBER(资金台帐!B2065),资金台帐!B2065&gt;=客户对账单!$G$4,资金台帐!B2065&lt;=客户对账单!$I$4),资金台帐!B2065+ROW()/100000,"")</f>
      </c>
    </row>
    <row r="5063">
      <c r="F5063">
        <f>IF(AND(资金台帐!J2066&lt;&gt;"",资金台帐!J2066=客户对账单!$B$4,资金台帐!P2066="应收",ISNUMBER(资金台帐!B2066),资金台帐!B2066&gt;=客户对账单!$G$4,资金台帐!B2066&lt;=客户对账单!$I$4),资金台帐!B2066+ROW()/100000,"")</f>
      </c>
    </row>
    <row r="5064">
      <c r="F5064">
        <f>IF(AND(资金台帐!J2067&lt;&gt;"",资金台帐!J2067=客户对账单!$B$4,资金台帐!P2067="应收",ISNUMBER(资金台帐!B2067),资金台帐!B2067&gt;=客户对账单!$G$4,资金台帐!B2067&lt;=客户对账单!$I$4),资金台帐!B2067+ROW()/100000,"")</f>
      </c>
    </row>
    <row r="5065">
      <c r="F5065">
        <f>IF(AND(资金台帐!J2068&lt;&gt;"",资金台帐!J2068=客户对账单!$B$4,资金台帐!P2068="应收",ISNUMBER(资金台帐!B2068),资金台帐!B2068&gt;=客户对账单!$G$4,资金台帐!B2068&lt;=客户对账单!$I$4),资金台帐!B2068+ROW()/100000,"")</f>
      </c>
    </row>
    <row r="5066">
      <c r="F5066">
        <f>IF(AND(资金台帐!J2069&lt;&gt;"",资金台帐!J2069=客户对账单!$B$4,资金台帐!P2069="应收",ISNUMBER(资金台帐!B2069),资金台帐!B2069&gt;=客户对账单!$G$4,资金台帐!B2069&lt;=客户对账单!$I$4),资金台帐!B2069+ROW()/100000,"")</f>
      </c>
    </row>
    <row r="5067">
      <c r="F5067">
        <f>IF(AND(资金台帐!J2070&lt;&gt;"",资金台帐!J2070=客户对账单!$B$4,资金台帐!P2070="应收",ISNUMBER(资金台帐!B2070),资金台帐!B2070&gt;=客户对账单!$G$4,资金台帐!B2070&lt;=客户对账单!$I$4),资金台帐!B2070+ROW()/100000,"")</f>
      </c>
    </row>
    <row r="5068">
      <c r="F5068">
        <f>IF(AND(资金台帐!J2071&lt;&gt;"",资金台帐!J2071=客户对账单!$B$4,资金台帐!P2071="应收",ISNUMBER(资金台帐!B2071),资金台帐!B2071&gt;=客户对账单!$G$4,资金台帐!B2071&lt;=客户对账单!$I$4),资金台帐!B2071+ROW()/100000,"")</f>
      </c>
    </row>
    <row r="5069">
      <c r="F5069">
        <f>IF(AND(资金台帐!J2072&lt;&gt;"",资金台帐!J2072=客户对账单!$B$4,资金台帐!P2072="应收",ISNUMBER(资金台帐!B2072),资金台帐!B2072&gt;=客户对账单!$G$4,资金台帐!B2072&lt;=客户对账单!$I$4),资金台帐!B2072+ROW()/100000,"")</f>
      </c>
    </row>
    <row r="5070">
      <c r="F5070">
        <f>IF(AND(资金台帐!J2073&lt;&gt;"",资金台帐!J2073=客户对账单!$B$4,资金台帐!P2073="应收",ISNUMBER(资金台帐!B2073),资金台帐!B2073&gt;=客户对账单!$G$4,资金台帐!B2073&lt;=客户对账单!$I$4),资金台帐!B2073+ROW()/100000,"")</f>
      </c>
    </row>
    <row r="5071">
      <c r="F5071">
        <f>IF(AND(资金台帐!J2074&lt;&gt;"",资金台帐!J2074=客户对账单!$B$4,资金台帐!P2074="应收",ISNUMBER(资金台帐!B2074),资金台帐!B2074&gt;=客户对账单!$G$4,资金台帐!B2074&lt;=客户对账单!$I$4),资金台帐!B2074+ROW()/100000,"")</f>
      </c>
    </row>
    <row r="5072">
      <c r="F5072">
        <f>IF(AND(资金台帐!J2075&lt;&gt;"",资金台帐!J2075=客户对账单!$B$4,资金台帐!P2075="应收",ISNUMBER(资金台帐!B2075),资金台帐!B2075&gt;=客户对账单!$G$4,资金台帐!B2075&lt;=客户对账单!$I$4),资金台帐!B2075+ROW()/100000,"")</f>
      </c>
    </row>
    <row r="5073">
      <c r="F5073">
        <f>IF(AND(资金台帐!J2076&lt;&gt;"",资金台帐!J2076=客户对账单!$B$4,资金台帐!P2076="应收",ISNUMBER(资金台帐!B2076),资金台帐!B2076&gt;=客户对账单!$G$4,资金台帐!B2076&lt;=客户对账单!$I$4),资金台帐!B2076+ROW()/100000,"")</f>
      </c>
    </row>
    <row r="5074">
      <c r="F5074">
        <f>IF(AND(资金台帐!J2077&lt;&gt;"",资金台帐!J2077=客户对账单!$B$4,资金台帐!P2077="应收",ISNUMBER(资金台帐!B2077),资金台帐!B2077&gt;=客户对账单!$G$4,资金台帐!B2077&lt;=客户对账单!$I$4),资金台帐!B2077+ROW()/100000,"")</f>
      </c>
    </row>
    <row r="5075">
      <c r="F5075">
        <f>IF(AND(资金台帐!J2078&lt;&gt;"",资金台帐!J2078=客户对账单!$B$4,资金台帐!P2078="应收",ISNUMBER(资金台帐!B2078),资金台帐!B2078&gt;=客户对账单!$G$4,资金台帐!B2078&lt;=客户对账单!$I$4),资金台帐!B2078+ROW()/100000,"")</f>
      </c>
    </row>
    <row r="5076">
      <c r="F5076">
        <f>IF(AND(资金台帐!J2079&lt;&gt;"",资金台帐!J2079=客户对账单!$B$4,资金台帐!P2079="应收",ISNUMBER(资金台帐!B2079),资金台帐!B2079&gt;=客户对账单!$G$4,资金台帐!B2079&lt;=客户对账单!$I$4),资金台帐!B2079+ROW()/100000,"")</f>
      </c>
    </row>
    <row r="5077">
      <c r="F5077">
        <f>IF(AND(资金台帐!J2080&lt;&gt;"",资金台帐!J2080=客户对账单!$B$4,资金台帐!P2080="应收",ISNUMBER(资金台帐!B2080),资金台帐!B2080&gt;=客户对账单!$G$4,资金台帐!B2080&lt;=客户对账单!$I$4),资金台帐!B2080+ROW()/100000,"")</f>
      </c>
    </row>
    <row r="5078">
      <c r="F5078">
        <f>IF(AND(资金台帐!J2081&lt;&gt;"",资金台帐!J2081=客户对账单!$B$4,资金台帐!P2081="应收",ISNUMBER(资金台帐!B2081),资金台帐!B2081&gt;=客户对账单!$G$4,资金台帐!B2081&lt;=客户对账单!$I$4),资金台帐!B2081+ROW()/100000,"")</f>
      </c>
    </row>
    <row r="5079">
      <c r="F5079">
        <f>IF(AND(资金台帐!J2082&lt;&gt;"",资金台帐!J2082=客户对账单!$B$4,资金台帐!P2082="应收",ISNUMBER(资金台帐!B2082),资金台帐!B2082&gt;=客户对账单!$G$4,资金台帐!B2082&lt;=客户对账单!$I$4),资金台帐!B2082+ROW()/100000,"")</f>
      </c>
    </row>
    <row r="5080">
      <c r="F5080">
        <f>IF(AND(资金台帐!J2083&lt;&gt;"",资金台帐!J2083=客户对账单!$B$4,资金台帐!P2083="应收",ISNUMBER(资金台帐!B2083),资金台帐!B2083&gt;=客户对账单!$G$4,资金台帐!B2083&lt;=客户对账单!$I$4),资金台帐!B2083+ROW()/100000,"")</f>
      </c>
    </row>
    <row r="5081">
      <c r="F5081">
        <f>IF(AND(资金台帐!J2084&lt;&gt;"",资金台帐!J2084=客户对账单!$B$4,资金台帐!P2084="应收",ISNUMBER(资金台帐!B2084),资金台帐!B2084&gt;=客户对账单!$G$4,资金台帐!B2084&lt;=客户对账单!$I$4),资金台帐!B2084+ROW()/100000,"")</f>
      </c>
    </row>
    <row r="5082">
      <c r="F5082">
        <f>IF(AND(资金台帐!J2085&lt;&gt;"",资金台帐!J2085=客户对账单!$B$4,资金台帐!P2085="应收",ISNUMBER(资金台帐!B2085),资金台帐!B2085&gt;=客户对账单!$G$4,资金台帐!B2085&lt;=客户对账单!$I$4),资金台帐!B2085+ROW()/100000,"")</f>
      </c>
    </row>
    <row r="5083">
      <c r="F5083">
        <f>IF(AND(资金台帐!J2086&lt;&gt;"",资金台帐!J2086=客户对账单!$B$4,资金台帐!P2086="应收",ISNUMBER(资金台帐!B2086),资金台帐!B2086&gt;=客户对账单!$G$4,资金台帐!B2086&lt;=客户对账单!$I$4),资金台帐!B2086+ROW()/100000,"")</f>
      </c>
    </row>
    <row r="5084">
      <c r="F5084">
        <f>IF(AND(资金台帐!J2087&lt;&gt;"",资金台帐!J2087=客户对账单!$B$4,资金台帐!P2087="应收",ISNUMBER(资金台帐!B2087),资金台帐!B2087&gt;=客户对账单!$G$4,资金台帐!B2087&lt;=客户对账单!$I$4),资金台帐!B2087+ROW()/100000,"")</f>
      </c>
    </row>
    <row r="5085">
      <c r="F5085">
        <f>IF(AND(资金台帐!J2088&lt;&gt;"",资金台帐!J2088=客户对账单!$B$4,资金台帐!P2088="应收",ISNUMBER(资金台帐!B2088),资金台帐!B2088&gt;=客户对账单!$G$4,资金台帐!B2088&lt;=客户对账单!$I$4),资金台帐!B2088+ROW()/100000,"")</f>
      </c>
    </row>
    <row r="5086">
      <c r="F5086">
        <f>IF(AND(资金台帐!J2089&lt;&gt;"",资金台帐!J2089=客户对账单!$B$4,资金台帐!P2089="应收",ISNUMBER(资金台帐!B2089),资金台帐!B2089&gt;=客户对账单!$G$4,资金台帐!B2089&lt;=客户对账单!$I$4),资金台帐!B2089+ROW()/100000,"")</f>
      </c>
    </row>
    <row r="5087">
      <c r="F5087">
        <f>IF(AND(资金台帐!J2090&lt;&gt;"",资金台帐!J2090=客户对账单!$B$4,资金台帐!P2090="应收",ISNUMBER(资金台帐!B2090),资金台帐!B2090&gt;=客户对账单!$G$4,资金台帐!B2090&lt;=客户对账单!$I$4),资金台帐!B2090+ROW()/100000,"")</f>
      </c>
    </row>
    <row r="5088">
      <c r="F5088">
        <f>IF(AND(资金台帐!J2091&lt;&gt;"",资金台帐!J2091=客户对账单!$B$4,资金台帐!P2091="应收",ISNUMBER(资金台帐!B2091),资金台帐!B2091&gt;=客户对账单!$G$4,资金台帐!B2091&lt;=客户对账单!$I$4),资金台帐!B2091+ROW()/100000,"")</f>
      </c>
    </row>
    <row r="5089">
      <c r="F5089">
        <f>IF(AND(资金台帐!J2092&lt;&gt;"",资金台帐!J2092=客户对账单!$B$4,资金台帐!P2092="应收",ISNUMBER(资金台帐!B2092),资金台帐!B2092&gt;=客户对账单!$G$4,资金台帐!B2092&lt;=客户对账单!$I$4),资金台帐!B2092+ROW()/100000,"")</f>
      </c>
    </row>
    <row r="5090">
      <c r="F5090">
        <f>IF(AND(资金台帐!J2093&lt;&gt;"",资金台帐!J2093=客户对账单!$B$4,资金台帐!P2093="应收",ISNUMBER(资金台帐!B2093),资金台帐!B2093&gt;=客户对账单!$G$4,资金台帐!B2093&lt;=客户对账单!$I$4),资金台帐!B2093+ROW()/100000,"")</f>
      </c>
    </row>
    <row r="5091">
      <c r="F5091">
        <f>IF(AND(资金台帐!J2094&lt;&gt;"",资金台帐!J2094=客户对账单!$B$4,资金台帐!P2094="应收",ISNUMBER(资金台帐!B2094),资金台帐!B2094&gt;=客户对账单!$G$4,资金台帐!B2094&lt;=客户对账单!$I$4),资金台帐!B2094+ROW()/100000,"")</f>
      </c>
    </row>
    <row r="5092">
      <c r="F5092">
        <f>IF(AND(资金台帐!J2095&lt;&gt;"",资金台帐!J2095=客户对账单!$B$4,资金台帐!P2095="应收",ISNUMBER(资金台帐!B2095),资金台帐!B2095&gt;=客户对账单!$G$4,资金台帐!B2095&lt;=客户对账单!$I$4),资金台帐!B2095+ROW()/100000,"")</f>
      </c>
    </row>
    <row r="5093">
      <c r="F5093">
        <f>IF(AND(资金台帐!J2096&lt;&gt;"",资金台帐!J2096=客户对账单!$B$4,资金台帐!P2096="应收",ISNUMBER(资金台帐!B2096),资金台帐!B2096&gt;=客户对账单!$G$4,资金台帐!B2096&lt;=客户对账单!$I$4),资金台帐!B2096+ROW()/100000,"")</f>
      </c>
    </row>
    <row r="5094">
      <c r="F5094">
        <f>IF(AND(资金台帐!J2097&lt;&gt;"",资金台帐!J2097=客户对账单!$B$4,资金台帐!P2097="应收",ISNUMBER(资金台帐!B2097),资金台帐!B2097&gt;=客户对账单!$G$4,资金台帐!B2097&lt;=客户对账单!$I$4),资金台帐!B2097+ROW()/100000,"")</f>
      </c>
    </row>
    <row r="5095">
      <c r="F5095">
        <f>IF(AND(资金台帐!J2098&lt;&gt;"",资金台帐!J2098=客户对账单!$B$4,资金台帐!P2098="应收",ISNUMBER(资金台帐!B2098),资金台帐!B2098&gt;=客户对账单!$G$4,资金台帐!B2098&lt;=客户对账单!$I$4),资金台帐!B2098+ROW()/100000,"")</f>
      </c>
    </row>
    <row r="5096">
      <c r="F5096">
        <f>IF(AND(资金台帐!J2099&lt;&gt;"",资金台帐!J2099=客户对账单!$B$4,资金台帐!P2099="应收",ISNUMBER(资金台帐!B2099),资金台帐!B2099&gt;=客户对账单!$G$4,资金台帐!B2099&lt;=客户对账单!$I$4),资金台帐!B2099+ROW()/100000,"")</f>
      </c>
    </row>
    <row r="5097">
      <c r="F5097">
        <f>IF(AND(资金台帐!J2100&lt;&gt;"",资金台帐!J2100=客户对账单!$B$4,资金台帐!P2100="应收",ISNUMBER(资金台帐!B2100),资金台帐!B2100&gt;=客户对账单!$G$4,资金台帐!B2100&lt;=客户对账单!$I$4),资金台帐!B2100+ROW()/100000,"")</f>
      </c>
    </row>
    <row r="5098">
      <c r="F5098">
        <f>IF(AND(资金台帐!J2101&lt;&gt;"",资金台帐!J2101=客户对账单!$B$4,资金台帐!P2101="应收",ISNUMBER(资金台帐!B2101),资金台帐!B2101&gt;=客户对账单!$G$4,资金台帐!B2101&lt;=客户对账单!$I$4),资金台帐!B2101+ROW()/100000,"")</f>
      </c>
    </row>
    <row r="5099">
      <c r="F5099">
        <f>IF(AND(资金台帐!J2102&lt;&gt;"",资金台帐!J2102=客户对账单!$B$4,资金台帐!P2102="应收",ISNUMBER(资金台帐!B2102),资金台帐!B2102&gt;=客户对账单!$G$4,资金台帐!B2102&lt;=客户对账单!$I$4),资金台帐!B2102+ROW()/100000,"")</f>
      </c>
    </row>
    <row r="5100">
      <c r="F5100">
        <f>IF(AND(资金台帐!J2103&lt;&gt;"",资金台帐!J2103=客户对账单!$B$4,资金台帐!P2103="应收",ISNUMBER(资金台帐!B2103),资金台帐!B2103&gt;=客户对账单!$G$4,资金台帐!B2103&lt;=客户对账单!$I$4),资金台帐!B2103+ROW()/100000,"")</f>
      </c>
    </row>
    <row r="5101">
      <c r="F5101">
        <f>IF(AND(资金台帐!J2104&lt;&gt;"",资金台帐!J2104=客户对账单!$B$4,资金台帐!P2104="应收",ISNUMBER(资金台帐!B2104),资金台帐!B2104&gt;=客户对账单!$G$4,资金台帐!B2104&lt;=客户对账单!$I$4),资金台帐!B2104+ROW()/100000,"")</f>
      </c>
    </row>
    <row r="5102">
      <c r="F5102">
        <f>IF(AND(资金台帐!J2105&lt;&gt;"",资金台帐!J2105=客户对账单!$B$4,资金台帐!P2105="应收",ISNUMBER(资金台帐!B2105),资金台帐!B2105&gt;=客户对账单!$G$4,资金台帐!B2105&lt;=客户对账单!$I$4),资金台帐!B2105+ROW()/100000,"")</f>
      </c>
    </row>
    <row r="5103">
      <c r="F5103">
        <f>IF(AND(资金台帐!J2106&lt;&gt;"",资金台帐!J2106=客户对账单!$B$4,资金台帐!P2106="应收",ISNUMBER(资金台帐!B2106),资金台帐!B2106&gt;=客户对账单!$G$4,资金台帐!B2106&lt;=客户对账单!$I$4),资金台帐!B2106+ROW()/100000,"")</f>
      </c>
    </row>
    <row r="5104">
      <c r="F5104">
        <f>IF(AND(资金台帐!J2107&lt;&gt;"",资金台帐!J2107=客户对账单!$B$4,资金台帐!P2107="应收",ISNUMBER(资金台帐!B2107),资金台帐!B2107&gt;=客户对账单!$G$4,资金台帐!B2107&lt;=客户对账单!$I$4),资金台帐!B2107+ROW()/100000,"")</f>
      </c>
    </row>
    <row r="5105">
      <c r="F5105">
        <f>IF(AND(资金台帐!J2108&lt;&gt;"",资金台帐!J2108=客户对账单!$B$4,资金台帐!P2108="应收",ISNUMBER(资金台帐!B2108),资金台帐!B2108&gt;=客户对账单!$G$4,资金台帐!B2108&lt;=客户对账单!$I$4),资金台帐!B2108+ROW()/100000,"")</f>
      </c>
    </row>
    <row r="5106">
      <c r="F5106">
        <f>IF(AND(资金台帐!J2109&lt;&gt;"",资金台帐!J2109=客户对账单!$B$4,资金台帐!P2109="应收",ISNUMBER(资金台帐!B2109),资金台帐!B2109&gt;=客户对账单!$G$4,资金台帐!B2109&lt;=客户对账单!$I$4),资金台帐!B2109+ROW()/100000,"")</f>
      </c>
    </row>
    <row r="5107">
      <c r="F5107">
        <f>IF(AND(资金台帐!J2110&lt;&gt;"",资金台帐!J2110=客户对账单!$B$4,资金台帐!P2110="应收",ISNUMBER(资金台帐!B2110),资金台帐!B2110&gt;=客户对账单!$G$4,资金台帐!B2110&lt;=客户对账单!$I$4),资金台帐!B2110+ROW()/100000,"")</f>
      </c>
    </row>
    <row r="5108">
      <c r="F5108">
        <f>IF(AND(资金台帐!J2111&lt;&gt;"",资金台帐!J2111=客户对账单!$B$4,资金台帐!P2111="应收",ISNUMBER(资金台帐!B2111),资金台帐!B2111&gt;=客户对账单!$G$4,资金台帐!B2111&lt;=客户对账单!$I$4),资金台帐!B2111+ROW()/100000,"")</f>
      </c>
    </row>
    <row r="5109">
      <c r="F5109">
        <f>IF(AND(资金台帐!J2112&lt;&gt;"",资金台帐!J2112=客户对账单!$B$4,资金台帐!P2112="应收",ISNUMBER(资金台帐!B2112),资金台帐!B2112&gt;=客户对账单!$G$4,资金台帐!B2112&lt;=客户对账单!$I$4),资金台帐!B2112+ROW()/100000,"")</f>
      </c>
    </row>
    <row r="5110">
      <c r="F5110">
        <f>IF(AND(资金台帐!J2113&lt;&gt;"",资金台帐!J2113=客户对账单!$B$4,资金台帐!P2113="应收",ISNUMBER(资金台帐!B2113),资金台帐!B2113&gt;=客户对账单!$G$4,资金台帐!B2113&lt;=客户对账单!$I$4),资金台帐!B2113+ROW()/100000,"")</f>
      </c>
    </row>
    <row r="5111">
      <c r="F5111">
        <f>IF(AND(资金台帐!J2114&lt;&gt;"",资金台帐!J2114=客户对账单!$B$4,资金台帐!P2114="应收",ISNUMBER(资金台帐!B2114),资金台帐!B2114&gt;=客户对账单!$G$4,资金台帐!B2114&lt;=客户对账单!$I$4),资金台帐!B2114+ROW()/100000,"")</f>
      </c>
    </row>
    <row r="5112">
      <c r="F5112">
        <f>IF(AND(资金台帐!J2115&lt;&gt;"",资金台帐!J2115=客户对账单!$B$4,资金台帐!P2115="应收",ISNUMBER(资金台帐!B2115),资金台帐!B2115&gt;=客户对账单!$G$4,资金台帐!B2115&lt;=客户对账单!$I$4),资金台帐!B2115+ROW()/100000,"")</f>
      </c>
    </row>
    <row r="5113">
      <c r="F5113">
        <f>IF(AND(资金台帐!J2116&lt;&gt;"",资金台帐!J2116=客户对账单!$B$4,资金台帐!P2116="应收",ISNUMBER(资金台帐!B2116),资金台帐!B2116&gt;=客户对账单!$G$4,资金台帐!B2116&lt;=客户对账单!$I$4),资金台帐!B2116+ROW()/100000,"")</f>
      </c>
    </row>
    <row r="5114">
      <c r="F5114">
        <f>IF(AND(资金台帐!J2117&lt;&gt;"",资金台帐!J2117=客户对账单!$B$4,资金台帐!P2117="应收",ISNUMBER(资金台帐!B2117),资金台帐!B2117&gt;=客户对账单!$G$4,资金台帐!B2117&lt;=客户对账单!$I$4),资金台帐!B2117+ROW()/100000,"")</f>
      </c>
    </row>
    <row r="5115">
      <c r="F5115">
        <f>IF(AND(资金台帐!J2118&lt;&gt;"",资金台帐!J2118=客户对账单!$B$4,资金台帐!P2118="应收",ISNUMBER(资金台帐!B2118),资金台帐!B2118&gt;=客户对账单!$G$4,资金台帐!B2118&lt;=客户对账单!$I$4),资金台帐!B2118+ROW()/100000,"")</f>
      </c>
    </row>
    <row r="5116">
      <c r="F5116">
        <f>IF(AND(资金台帐!J2119&lt;&gt;"",资金台帐!J2119=客户对账单!$B$4,资金台帐!P2119="应收",ISNUMBER(资金台帐!B2119),资金台帐!B2119&gt;=客户对账单!$G$4,资金台帐!B2119&lt;=客户对账单!$I$4),资金台帐!B2119+ROW()/100000,"")</f>
      </c>
    </row>
    <row r="5117">
      <c r="F5117">
        <f>IF(AND(资金台帐!J2120&lt;&gt;"",资金台帐!J2120=客户对账单!$B$4,资金台帐!P2120="应收",ISNUMBER(资金台帐!B2120),资金台帐!B2120&gt;=客户对账单!$G$4,资金台帐!B2120&lt;=客户对账单!$I$4),资金台帐!B2120+ROW()/100000,"")</f>
      </c>
    </row>
    <row r="5118">
      <c r="F5118">
        <f>IF(AND(资金台帐!J2121&lt;&gt;"",资金台帐!J2121=客户对账单!$B$4,资金台帐!P2121="应收",ISNUMBER(资金台帐!B2121),资金台帐!B2121&gt;=客户对账单!$G$4,资金台帐!B2121&lt;=客户对账单!$I$4),资金台帐!B2121+ROW()/100000,"")</f>
      </c>
    </row>
    <row r="5119">
      <c r="F5119">
        <f>IF(AND(资金台帐!J2122&lt;&gt;"",资金台帐!J2122=客户对账单!$B$4,资金台帐!P2122="应收",ISNUMBER(资金台帐!B2122),资金台帐!B2122&gt;=客户对账单!$G$4,资金台帐!B2122&lt;=客户对账单!$I$4),资金台帐!B2122+ROW()/100000,"")</f>
      </c>
    </row>
    <row r="5120">
      <c r="F5120">
        <f>IF(AND(资金台帐!J2123&lt;&gt;"",资金台帐!J2123=客户对账单!$B$4,资金台帐!P2123="应收",ISNUMBER(资金台帐!B2123),资金台帐!B2123&gt;=客户对账单!$G$4,资金台帐!B2123&lt;=客户对账单!$I$4),资金台帐!B2123+ROW()/100000,"")</f>
      </c>
    </row>
    <row r="5121">
      <c r="F5121">
        <f>IF(AND(资金台帐!J2124&lt;&gt;"",资金台帐!J2124=客户对账单!$B$4,资金台帐!P2124="应收",ISNUMBER(资金台帐!B2124),资金台帐!B2124&gt;=客户对账单!$G$4,资金台帐!B2124&lt;=客户对账单!$I$4),资金台帐!B2124+ROW()/100000,"")</f>
      </c>
    </row>
    <row r="5122">
      <c r="F5122">
        <f>IF(AND(资金台帐!J2125&lt;&gt;"",资金台帐!J2125=客户对账单!$B$4,资金台帐!P2125="应收",ISNUMBER(资金台帐!B2125),资金台帐!B2125&gt;=客户对账单!$G$4,资金台帐!B2125&lt;=客户对账单!$I$4),资金台帐!B2125+ROW()/100000,"")</f>
      </c>
    </row>
    <row r="5123">
      <c r="F5123">
        <f>IF(AND(资金台帐!J2126&lt;&gt;"",资金台帐!J2126=客户对账单!$B$4,资金台帐!P2126="应收",ISNUMBER(资金台帐!B2126),资金台帐!B2126&gt;=客户对账单!$G$4,资金台帐!B2126&lt;=客户对账单!$I$4),资金台帐!B2126+ROW()/100000,"")</f>
      </c>
    </row>
    <row r="5124">
      <c r="F5124">
        <f>IF(AND(资金台帐!J2127&lt;&gt;"",资金台帐!J2127=客户对账单!$B$4,资金台帐!P2127="应收",ISNUMBER(资金台帐!B2127),资金台帐!B2127&gt;=客户对账单!$G$4,资金台帐!B2127&lt;=客户对账单!$I$4),资金台帐!B2127+ROW()/100000,"")</f>
      </c>
    </row>
    <row r="5125">
      <c r="F5125">
        <f>IF(AND(资金台帐!J2128&lt;&gt;"",资金台帐!J2128=客户对账单!$B$4,资金台帐!P2128="应收",ISNUMBER(资金台帐!B2128),资金台帐!B2128&gt;=客户对账单!$G$4,资金台帐!B2128&lt;=客户对账单!$I$4),资金台帐!B2128+ROW()/100000,"")</f>
      </c>
    </row>
    <row r="5126">
      <c r="F5126">
        <f>IF(AND(资金台帐!J2129&lt;&gt;"",资金台帐!J2129=客户对账单!$B$4,资金台帐!P2129="应收",ISNUMBER(资金台帐!B2129),资金台帐!B2129&gt;=客户对账单!$G$4,资金台帐!B2129&lt;=客户对账单!$I$4),资金台帐!B2129+ROW()/100000,"")</f>
      </c>
    </row>
    <row r="5127">
      <c r="F5127">
        <f>IF(AND(资金台帐!J2130&lt;&gt;"",资金台帐!J2130=客户对账单!$B$4,资金台帐!P2130="应收",ISNUMBER(资金台帐!B2130),资金台帐!B2130&gt;=客户对账单!$G$4,资金台帐!B2130&lt;=客户对账单!$I$4),资金台帐!B2130+ROW()/100000,"")</f>
      </c>
    </row>
    <row r="5128">
      <c r="F5128">
        <f>IF(AND(资金台帐!J2131&lt;&gt;"",资金台帐!J2131=客户对账单!$B$4,资金台帐!P2131="应收",ISNUMBER(资金台帐!B2131),资金台帐!B2131&gt;=客户对账单!$G$4,资金台帐!B2131&lt;=客户对账单!$I$4),资金台帐!B2131+ROW()/100000,"")</f>
      </c>
    </row>
    <row r="5129">
      <c r="F5129">
        <f>IF(AND(资金台帐!J2132&lt;&gt;"",资金台帐!J2132=客户对账单!$B$4,资金台帐!P2132="应收",ISNUMBER(资金台帐!B2132),资金台帐!B2132&gt;=客户对账单!$G$4,资金台帐!B2132&lt;=客户对账单!$I$4),资金台帐!B2132+ROW()/100000,"")</f>
      </c>
    </row>
    <row r="5130">
      <c r="F5130">
        <f>IF(AND(资金台帐!J2133&lt;&gt;"",资金台帐!J2133=客户对账单!$B$4,资金台帐!P2133="应收",ISNUMBER(资金台帐!B2133),资金台帐!B2133&gt;=客户对账单!$G$4,资金台帐!B2133&lt;=客户对账单!$I$4),资金台帐!B2133+ROW()/100000,"")</f>
      </c>
    </row>
    <row r="5131">
      <c r="F5131">
        <f>IF(AND(资金台帐!J2134&lt;&gt;"",资金台帐!J2134=客户对账单!$B$4,资金台帐!P2134="应收",ISNUMBER(资金台帐!B2134),资金台帐!B2134&gt;=客户对账单!$G$4,资金台帐!B2134&lt;=客户对账单!$I$4),资金台帐!B2134+ROW()/100000,"")</f>
      </c>
    </row>
    <row r="5132">
      <c r="F5132">
        <f>IF(AND(资金台帐!J2135&lt;&gt;"",资金台帐!J2135=客户对账单!$B$4,资金台帐!P2135="应收",ISNUMBER(资金台帐!B2135),资金台帐!B2135&gt;=客户对账单!$G$4,资金台帐!B2135&lt;=客户对账单!$I$4),资金台帐!B2135+ROW()/100000,"")</f>
      </c>
    </row>
    <row r="5133">
      <c r="F5133">
        <f>IF(AND(资金台帐!J2136&lt;&gt;"",资金台帐!J2136=客户对账单!$B$4,资金台帐!P2136="应收",ISNUMBER(资金台帐!B2136),资金台帐!B2136&gt;=客户对账单!$G$4,资金台帐!B2136&lt;=客户对账单!$I$4),资金台帐!B2136+ROW()/100000,"")</f>
      </c>
    </row>
    <row r="5134">
      <c r="F5134">
        <f>IF(AND(资金台帐!J2137&lt;&gt;"",资金台帐!J2137=客户对账单!$B$4,资金台帐!P2137="应收",ISNUMBER(资金台帐!B2137),资金台帐!B2137&gt;=客户对账单!$G$4,资金台帐!B2137&lt;=客户对账单!$I$4),资金台帐!B2137+ROW()/100000,"")</f>
      </c>
    </row>
    <row r="5135">
      <c r="F5135">
        <f>IF(AND(资金台帐!J2138&lt;&gt;"",资金台帐!J2138=客户对账单!$B$4,资金台帐!P2138="应收",ISNUMBER(资金台帐!B2138),资金台帐!B2138&gt;=客户对账单!$G$4,资金台帐!B2138&lt;=客户对账单!$I$4),资金台帐!B2138+ROW()/100000,"")</f>
      </c>
    </row>
    <row r="5136">
      <c r="F5136">
        <f>IF(AND(资金台帐!J2139&lt;&gt;"",资金台帐!J2139=客户对账单!$B$4,资金台帐!P2139="应收",ISNUMBER(资金台帐!B2139),资金台帐!B2139&gt;=客户对账单!$G$4,资金台帐!B2139&lt;=客户对账单!$I$4),资金台帐!B2139+ROW()/100000,"")</f>
      </c>
    </row>
    <row r="5137">
      <c r="F5137">
        <f>IF(AND(资金台帐!J2140&lt;&gt;"",资金台帐!J2140=客户对账单!$B$4,资金台帐!P2140="应收",ISNUMBER(资金台帐!B2140),资金台帐!B2140&gt;=客户对账单!$G$4,资金台帐!B2140&lt;=客户对账单!$I$4),资金台帐!B2140+ROW()/100000,"")</f>
      </c>
    </row>
    <row r="5138">
      <c r="F5138">
        <f>IF(AND(资金台帐!J2141&lt;&gt;"",资金台帐!J2141=客户对账单!$B$4,资金台帐!P2141="应收",ISNUMBER(资金台帐!B2141),资金台帐!B2141&gt;=客户对账单!$G$4,资金台帐!B2141&lt;=客户对账单!$I$4),资金台帐!B2141+ROW()/100000,"")</f>
      </c>
    </row>
    <row r="5139">
      <c r="F5139">
        <f>IF(AND(资金台帐!J2142&lt;&gt;"",资金台帐!J2142=客户对账单!$B$4,资金台帐!P2142="应收",ISNUMBER(资金台帐!B2142),资金台帐!B2142&gt;=客户对账单!$G$4,资金台帐!B2142&lt;=客户对账单!$I$4),资金台帐!B2142+ROW()/100000,"")</f>
      </c>
    </row>
    <row r="5140">
      <c r="F5140">
        <f>IF(AND(资金台帐!J2143&lt;&gt;"",资金台帐!J2143=客户对账单!$B$4,资金台帐!P2143="应收",ISNUMBER(资金台帐!B2143),资金台帐!B2143&gt;=客户对账单!$G$4,资金台帐!B2143&lt;=客户对账单!$I$4),资金台帐!B2143+ROW()/100000,"")</f>
      </c>
    </row>
    <row r="5141">
      <c r="F5141">
        <f>IF(AND(资金台帐!J2144&lt;&gt;"",资金台帐!J2144=客户对账单!$B$4,资金台帐!P2144="应收",ISNUMBER(资金台帐!B2144),资金台帐!B2144&gt;=客户对账单!$G$4,资金台帐!B2144&lt;=客户对账单!$I$4),资金台帐!B2144+ROW()/100000,"")</f>
      </c>
    </row>
    <row r="5142">
      <c r="F5142">
        <f>IF(AND(资金台帐!J2145&lt;&gt;"",资金台帐!J2145=客户对账单!$B$4,资金台帐!P2145="应收",ISNUMBER(资金台帐!B2145),资金台帐!B2145&gt;=客户对账单!$G$4,资金台帐!B2145&lt;=客户对账单!$I$4),资金台帐!B2145+ROW()/100000,"")</f>
      </c>
    </row>
    <row r="5143">
      <c r="F5143">
        <f>IF(AND(资金台帐!J2146&lt;&gt;"",资金台帐!J2146=客户对账单!$B$4,资金台帐!P2146="应收",ISNUMBER(资金台帐!B2146),资金台帐!B2146&gt;=客户对账单!$G$4,资金台帐!B2146&lt;=客户对账单!$I$4),资金台帐!B2146+ROW()/100000,"")</f>
      </c>
    </row>
    <row r="5144">
      <c r="F5144">
        <f>IF(AND(资金台帐!J2147&lt;&gt;"",资金台帐!J2147=客户对账单!$B$4,资金台帐!P2147="应收",ISNUMBER(资金台帐!B2147),资金台帐!B2147&gt;=客户对账单!$G$4,资金台帐!B2147&lt;=客户对账单!$I$4),资金台帐!B2147+ROW()/100000,"")</f>
      </c>
    </row>
    <row r="5145">
      <c r="F5145">
        <f>IF(AND(资金台帐!J2148&lt;&gt;"",资金台帐!J2148=客户对账单!$B$4,资金台帐!P2148="应收",ISNUMBER(资金台帐!B2148),资金台帐!B2148&gt;=客户对账单!$G$4,资金台帐!B2148&lt;=客户对账单!$I$4),资金台帐!B2148+ROW()/100000,"")</f>
      </c>
    </row>
    <row r="5146">
      <c r="F5146">
        <f>IF(AND(资金台帐!J2149&lt;&gt;"",资金台帐!J2149=客户对账单!$B$4,资金台帐!P2149="应收",ISNUMBER(资金台帐!B2149),资金台帐!B2149&gt;=客户对账单!$G$4,资金台帐!B2149&lt;=客户对账单!$I$4),资金台帐!B2149+ROW()/100000,"")</f>
      </c>
    </row>
    <row r="5147">
      <c r="F5147">
        <f>IF(AND(资金台帐!J2150&lt;&gt;"",资金台帐!J2150=客户对账单!$B$4,资金台帐!P2150="应收",ISNUMBER(资金台帐!B2150),资金台帐!B2150&gt;=客户对账单!$G$4,资金台帐!B2150&lt;=客户对账单!$I$4),资金台帐!B2150+ROW()/100000,"")</f>
      </c>
    </row>
    <row r="5148">
      <c r="F5148">
        <f>IF(AND(资金台帐!J2151&lt;&gt;"",资金台帐!J2151=客户对账单!$B$4,资金台帐!P2151="应收",ISNUMBER(资金台帐!B2151),资金台帐!B2151&gt;=客户对账单!$G$4,资金台帐!B2151&lt;=客户对账单!$I$4),资金台帐!B2151+ROW()/100000,"")</f>
      </c>
    </row>
    <row r="5149">
      <c r="F5149">
        <f>IF(AND(资金台帐!J2152&lt;&gt;"",资金台帐!J2152=客户对账单!$B$4,资金台帐!P2152="应收",ISNUMBER(资金台帐!B2152),资金台帐!B2152&gt;=客户对账单!$G$4,资金台帐!B2152&lt;=客户对账单!$I$4),资金台帐!B2152+ROW()/100000,"")</f>
      </c>
    </row>
    <row r="5150">
      <c r="F5150">
        <f>IF(AND(资金台帐!J2153&lt;&gt;"",资金台帐!J2153=客户对账单!$B$4,资金台帐!P2153="应收",ISNUMBER(资金台帐!B2153),资金台帐!B2153&gt;=客户对账单!$G$4,资金台帐!B2153&lt;=客户对账单!$I$4),资金台帐!B2153+ROW()/100000,"")</f>
      </c>
    </row>
    <row r="5151">
      <c r="F5151">
        <f>IF(AND(资金台帐!J2154&lt;&gt;"",资金台帐!J2154=客户对账单!$B$4,资金台帐!P2154="应收",ISNUMBER(资金台帐!B2154),资金台帐!B2154&gt;=客户对账单!$G$4,资金台帐!B2154&lt;=客户对账单!$I$4),资金台帐!B2154+ROW()/100000,"")</f>
      </c>
    </row>
    <row r="5152">
      <c r="F5152">
        <f>IF(AND(资金台帐!J2155&lt;&gt;"",资金台帐!J2155=客户对账单!$B$4,资金台帐!P2155="应收",ISNUMBER(资金台帐!B2155),资金台帐!B2155&gt;=客户对账单!$G$4,资金台帐!B2155&lt;=客户对账单!$I$4),资金台帐!B2155+ROW()/100000,"")</f>
      </c>
    </row>
    <row r="5153">
      <c r="F5153">
        <f>IF(AND(资金台帐!J2156&lt;&gt;"",资金台帐!J2156=客户对账单!$B$4,资金台帐!P2156="应收",ISNUMBER(资金台帐!B2156),资金台帐!B2156&gt;=客户对账单!$G$4,资金台帐!B2156&lt;=客户对账单!$I$4),资金台帐!B2156+ROW()/100000,"")</f>
      </c>
    </row>
    <row r="5154">
      <c r="F5154">
        <f>IF(AND(资金台帐!J2157&lt;&gt;"",资金台帐!J2157=客户对账单!$B$4,资金台帐!P2157="应收",ISNUMBER(资金台帐!B2157),资金台帐!B2157&gt;=客户对账单!$G$4,资金台帐!B2157&lt;=客户对账单!$I$4),资金台帐!B2157+ROW()/100000,"")</f>
      </c>
    </row>
    <row r="5155">
      <c r="F5155">
        <f>IF(AND(资金台帐!J2158&lt;&gt;"",资金台帐!J2158=客户对账单!$B$4,资金台帐!P2158="应收",ISNUMBER(资金台帐!B2158),资金台帐!B2158&gt;=客户对账单!$G$4,资金台帐!B2158&lt;=客户对账单!$I$4),资金台帐!B2158+ROW()/100000,"")</f>
      </c>
    </row>
    <row r="5156">
      <c r="F5156">
        <f>IF(AND(资金台帐!J2159&lt;&gt;"",资金台帐!J2159=客户对账单!$B$4,资金台帐!P2159="应收",ISNUMBER(资金台帐!B2159),资金台帐!B2159&gt;=客户对账单!$G$4,资金台帐!B2159&lt;=客户对账单!$I$4),资金台帐!B2159+ROW()/100000,"")</f>
      </c>
    </row>
    <row r="5157">
      <c r="F5157">
        <f>IF(AND(资金台帐!J2160&lt;&gt;"",资金台帐!J2160=客户对账单!$B$4,资金台帐!P2160="应收",ISNUMBER(资金台帐!B2160),资金台帐!B2160&gt;=客户对账单!$G$4,资金台帐!B2160&lt;=客户对账单!$I$4),资金台帐!B2160+ROW()/100000,"")</f>
      </c>
    </row>
    <row r="5158">
      <c r="F5158">
        <f>IF(AND(资金台帐!J2161&lt;&gt;"",资金台帐!J2161=客户对账单!$B$4,资金台帐!P2161="应收",ISNUMBER(资金台帐!B2161),资金台帐!B2161&gt;=客户对账单!$G$4,资金台帐!B2161&lt;=客户对账单!$I$4),资金台帐!B2161+ROW()/100000,"")</f>
      </c>
    </row>
    <row r="5159">
      <c r="F5159">
        <f>IF(AND(资金台帐!J2162&lt;&gt;"",资金台帐!J2162=客户对账单!$B$4,资金台帐!P2162="应收",ISNUMBER(资金台帐!B2162),资金台帐!B2162&gt;=客户对账单!$G$4,资金台帐!B2162&lt;=客户对账单!$I$4),资金台帐!B2162+ROW()/100000,"")</f>
      </c>
    </row>
    <row r="5160">
      <c r="F5160">
        <f>IF(AND(资金台帐!J2163&lt;&gt;"",资金台帐!J2163=客户对账单!$B$4,资金台帐!P2163="应收",ISNUMBER(资金台帐!B2163),资金台帐!B2163&gt;=客户对账单!$G$4,资金台帐!B2163&lt;=客户对账单!$I$4),资金台帐!B2163+ROW()/100000,"")</f>
      </c>
    </row>
    <row r="5161">
      <c r="F5161">
        <f>IF(AND(资金台帐!J2164&lt;&gt;"",资金台帐!J2164=客户对账单!$B$4,资金台帐!P2164="应收",ISNUMBER(资金台帐!B2164),资金台帐!B2164&gt;=客户对账单!$G$4,资金台帐!B2164&lt;=客户对账单!$I$4),资金台帐!B2164+ROW()/100000,"")</f>
      </c>
    </row>
    <row r="5162">
      <c r="F5162">
        <f>IF(AND(资金台帐!J2165&lt;&gt;"",资金台帐!J2165=客户对账单!$B$4,资金台帐!P2165="应收",ISNUMBER(资金台帐!B2165),资金台帐!B2165&gt;=客户对账单!$G$4,资金台帐!B2165&lt;=客户对账单!$I$4),资金台帐!B2165+ROW()/100000,"")</f>
      </c>
    </row>
    <row r="5163">
      <c r="F5163">
        <f>IF(AND(资金台帐!J2166&lt;&gt;"",资金台帐!J2166=客户对账单!$B$4,资金台帐!P2166="应收",ISNUMBER(资金台帐!B2166),资金台帐!B2166&gt;=客户对账单!$G$4,资金台帐!B2166&lt;=客户对账单!$I$4),资金台帐!B2166+ROW()/100000,"")</f>
      </c>
    </row>
    <row r="5164">
      <c r="F5164">
        <f>IF(AND(资金台帐!J2167&lt;&gt;"",资金台帐!J2167=客户对账单!$B$4,资金台帐!P2167="应收",ISNUMBER(资金台帐!B2167),资金台帐!B2167&gt;=客户对账单!$G$4,资金台帐!B2167&lt;=客户对账单!$I$4),资金台帐!B2167+ROW()/100000,"")</f>
      </c>
    </row>
    <row r="5165">
      <c r="F5165">
        <f>IF(AND(资金台帐!J2168&lt;&gt;"",资金台帐!J2168=客户对账单!$B$4,资金台帐!P2168="应收",ISNUMBER(资金台帐!B2168),资金台帐!B2168&gt;=客户对账单!$G$4,资金台帐!B2168&lt;=客户对账单!$I$4),资金台帐!B2168+ROW()/100000,"")</f>
      </c>
    </row>
    <row r="5166">
      <c r="F5166">
        <f>IF(AND(资金台帐!J2169&lt;&gt;"",资金台帐!J2169=客户对账单!$B$4,资金台帐!P2169="应收",ISNUMBER(资金台帐!B2169),资金台帐!B2169&gt;=客户对账单!$G$4,资金台帐!B2169&lt;=客户对账单!$I$4),资金台帐!B2169+ROW()/100000,"")</f>
      </c>
    </row>
    <row r="5167">
      <c r="F5167">
        <f>IF(AND(资金台帐!J2170&lt;&gt;"",资金台帐!J2170=客户对账单!$B$4,资金台帐!P2170="应收",ISNUMBER(资金台帐!B2170),资金台帐!B2170&gt;=客户对账单!$G$4,资金台帐!B2170&lt;=客户对账单!$I$4),资金台帐!B2170+ROW()/100000,"")</f>
      </c>
    </row>
    <row r="5168">
      <c r="F5168">
        <f>IF(AND(资金台帐!J2171&lt;&gt;"",资金台帐!J2171=客户对账单!$B$4,资金台帐!P2171="应收",ISNUMBER(资金台帐!B2171),资金台帐!B2171&gt;=客户对账单!$G$4,资金台帐!B2171&lt;=客户对账单!$I$4),资金台帐!B2171+ROW()/100000,"")</f>
      </c>
    </row>
    <row r="5169">
      <c r="F5169">
        <f>IF(AND(资金台帐!J2172&lt;&gt;"",资金台帐!J2172=客户对账单!$B$4,资金台帐!P2172="应收",ISNUMBER(资金台帐!B2172),资金台帐!B2172&gt;=客户对账单!$G$4,资金台帐!B2172&lt;=客户对账单!$I$4),资金台帐!B2172+ROW()/100000,"")</f>
      </c>
    </row>
    <row r="5170">
      <c r="F5170">
        <f>IF(AND(资金台帐!J2173&lt;&gt;"",资金台帐!J2173=客户对账单!$B$4,资金台帐!P2173="应收",ISNUMBER(资金台帐!B2173),资金台帐!B2173&gt;=客户对账单!$G$4,资金台帐!B2173&lt;=客户对账单!$I$4),资金台帐!B2173+ROW()/100000,"")</f>
      </c>
    </row>
    <row r="5171">
      <c r="F5171">
        <f>IF(AND(资金台帐!J2174&lt;&gt;"",资金台帐!J2174=客户对账单!$B$4,资金台帐!P2174="应收",ISNUMBER(资金台帐!B2174),资金台帐!B2174&gt;=客户对账单!$G$4,资金台帐!B2174&lt;=客户对账单!$I$4),资金台帐!B2174+ROW()/100000,"")</f>
      </c>
    </row>
    <row r="5172">
      <c r="F5172">
        <f>IF(AND(资金台帐!J2175&lt;&gt;"",资金台帐!J2175=客户对账单!$B$4,资金台帐!P2175="应收",ISNUMBER(资金台帐!B2175),资金台帐!B2175&gt;=客户对账单!$G$4,资金台帐!B2175&lt;=客户对账单!$I$4),资金台帐!B2175+ROW()/100000,"")</f>
      </c>
    </row>
    <row r="5173">
      <c r="F5173">
        <f>IF(AND(资金台帐!J2176&lt;&gt;"",资金台帐!J2176=客户对账单!$B$4,资金台帐!P2176="应收",ISNUMBER(资金台帐!B2176),资金台帐!B2176&gt;=客户对账单!$G$4,资金台帐!B2176&lt;=客户对账单!$I$4),资金台帐!B2176+ROW()/100000,"")</f>
      </c>
    </row>
    <row r="5174">
      <c r="F5174">
        <f>IF(AND(资金台帐!J2177&lt;&gt;"",资金台帐!J2177=客户对账单!$B$4,资金台帐!P2177="应收",ISNUMBER(资金台帐!B2177),资金台帐!B2177&gt;=客户对账单!$G$4,资金台帐!B2177&lt;=客户对账单!$I$4),资金台帐!B2177+ROW()/100000,"")</f>
      </c>
    </row>
    <row r="5175">
      <c r="F5175">
        <f>IF(AND(资金台帐!J2178&lt;&gt;"",资金台帐!J2178=客户对账单!$B$4,资金台帐!P2178="应收",ISNUMBER(资金台帐!B2178),资金台帐!B2178&gt;=客户对账单!$G$4,资金台帐!B2178&lt;=客户对账单!$I$4),资金台帐!B2178+ROW()/100000,"")</f>
      </c>
    </row>
    <row r="5176">
      <c r="F5176">
        <f>IF(AND(资金台帐!J2179&lt;&gt;"",资金台帐!J2179=客户对账单!$B$4,资金台帐!P2179="应收",ISNUMBER(资金台帐!B2179),资金台帐!B2179&gt;=客户对账单!$G$4,资金台帐!B2179&lt;=客户对账单!$I$4),资金台帐!B2179+ROW()/100000,"")</f>
      </c>
    </row>
    <row r="5177">
      <c r="F5177">
        <f>IF(AND(资金台帐!J2180&lt;&gt;"",资金台帐!J2180=客户对账单!$B$4,资金台帐!P2180="应收",ISNUMBER(资金台帐!B2180),资金台帐!B2180&gt;=客户对账单!$G$4,资金台帐!B2180&lt;=客户对账单!$I$4),资金台帐!B2180+ROW()/100000,"")</f>
      </c>
    </row>
    <row r="5178">
      <c r="F5178">
        <f>IF(AND(资金台帐!J2181&lt;&gt;"",资金台帐!J2181=客户对账单!$B$4,资金台帐!P2181="应收",ISNUMBER(资金台帐!B2181),资金台帐!B2181&gt;=客户对账单!$G$4,资金台帐!B2181&lt;=客户对账单!$I$4),资金台帐!B2181+ROW()/100000,"")</f>
      </c>
    </row>
    <row r="5179">
      <c r="F5179">
        <f>IF(AND(资金台帐!J2182&lt;&gt;"",资金台帐!J2182=客户对账单!$B$4,资金台帐!P2182="应收",ISNUMBER(资金台帐!B2182),资金台帐!B2182&gt;=客户对账单!$G$4,资金台帐!B2182&lt;=客户对账单!$I$4),资金台帐!B2182+ROW()/100000,"")</f>
      </c>
    </row>
    <row r="5180">
      <c r="F5180">
        <f>IF(AND(资金台帐!J2183&lt;&gt;"",资金台帐!J2183=客户对账单!$B$4,资金台帐!P2183="应收",ISNUMBER(资金台帐!B2183),资金台帐!B2183&gt;=客户对账单!$G$4,资金台帐!B2183&lt;=客户对账单!$I$4),资金台帐!B2183+ROW()/100000,"")</f>
      </c>
    </row>
    <row r="5181">
      <c r="F5181">
        <f>IF(AND(资金台帐!J2184&lt;&gt;"",资金台帐!J2184=客户对账单!$B$4,资金台帐!P2184="应收",ISNUMBER(资金台帐!B2184),资金台帐!B2184&gt;=客户对账单!$G$4,资金台帐!B2184&lt;=客户对账单!$I$4),资金台帐!B2184+ROW()/100000,"")</f>
      </c>
    </row>
    <row r="5182">
      <c r="F5182">
        <f>IF(AND(资金台帐!J2185&lt;&gt;"",资金台帐!J2185=客户对账单!$B$4,资金台帐!P2185="应收",ISNUMBER(资金台帐!B2185),资金台帐!B2185&gt;=客户对账单!$G$4,资金台帐!B2185&lt;=客户对账单!$I$4),资金台帐!B2185+ROW()/100000,"")</f>
      </c>
    </row>
    <row r="5183">
      <c r="F5183">
        <f>IF(AND(资金台帐!J2186&lt;&gt;"",资金台帐!J2186=客户对账单!$B$4,资金台帐!P2186="应收",ISNUMBER(资金台帐!B2186),资金台帐!B2186&gt;=客户对账单!$G$4,资金台帐!B2186&lt;=客户对账单!$I$4),资金台帐!B2186+ROW()/100000,"")</f>
      </c>
    </row>
    <row r="5184">
      <c r="F5184">
        <f>IF(AND(资金台帐!J2187&lt;&gt;"",资金台帐!J2187=客户对账单!$B$4,资金台帐!P2187="应收",ISNUMBER(资金台帐!B2187),资金台帐!B2187&gt;=客户对账单!$G$4,资金台帐!B2187&lt;=客户对账单!$I$4),资金台帐!B2187+ROW()/100000,"")</f>
      </c>
    </row>
    <row r="5185">
      <c r="F5185">
        <f>IF(AND(资金台帐!J2188&lt;&gt;"",资金台帐!J2188=客户对账单!$B$4,资金台帐!P2188="应收",ISNUMBER(资金台帐!B2188),资金台帐!B2188&gt;=客户对账单!$G$4,资金台帐!B2188&lt;=客户对账单!$I$4),资金台帐!B2188+ROW()/100000,"")</f>
      </c>
    </row>
    <row r="5186">
      <c r="F5186">
        <f>IF(AND(资金台帐!J2189&lt;&gt;"",资金台帐!J2189=客户对账单!$B$4,资金台帐!P2189="应收",ISNUMBER(资金台帐!B2189),资金台帐!B2189&gt;=客户对账单!$G$4,资金台帐!B2189&lt;=客户对账单!$I$4),资金台帐!B2189+ROW()/100000,"")</f>
      </c>
    </row>
    <row r="5187">
      <c r="F5187">
        <f>IF(AND(资金台帐!J2190&lt;&gt;"",资金台帐!J2190=客户对账单!$B$4,资金台帐!P2190="应收",ISNUMBER(资金台帐!B2190),资金台帐!B2190&gt;=客户对账单!$G$4,资金台帐!B2190&lt;=客户对账单!$I$4),资金台帐!B2190+ROW()/100000,"")</f>
      </c>
    </row>
    <row r="5188">
      <c r="F5188">
        <f>IF(AND(资金台帐!J2191&lt;&gt;"",资金台帐!J2191=客户对账单!$B$4,资金台帐!P2191="应收",ISNUMBER(资金台帐!B2191),资金台帐!B2191&gt;=客户对账单!$G$4,资金台帐!B2191&lt;=客户对账单!$I$4),资金台帐!B2191+ROW()/100000,"")</f>
      </c>
    </row>
    <row r="5189">
      <c r="F5189">
        <f>IF(AND(资金台帐!J2192&lt;&gt;"",资金台帐!J2192=客户对账单!$B$4,资金台帐!P2192="应收",ISNUMBER(资金台帐!B2192),资金台帐!B2192&gt;=客户对账单!$G$4,资金台帐!B2192&lt;=客户对账单!$I$4),资金台帐!B2192+ROW()/100000,"")</f>
      </c>
    </row>
    <row r="5190">
      <c r="F5190">
        <f>IF(AND(资金台帐!J2193&lt;&gt;"",资金台帐!J2193=客户对账单!$B$4,资金台帐!P2193="应收",ISNUMBER(资金台帐!B2193),资金台帐!B2193&gt;=客户对账单!$G$4,资金台帐!B2193&lt;=客户对账单!$I$4),资金台帐!B2193+ROW()/100000,"")</f>
      </c>
    </row>
    <row r="5191">
      <c r="F5191">
        <f>IF(AND(资金台帐!J2194&lt;&gt;"",资金台帐!J2194=客户对账单!$B$4,资金台帐!P2194="应收",ISNUMBER(资金台帐!B2194),资金台帐!B2194&gt;=客户对账单!$G$4,资金台帐!B2194&lt;=客户对账单!$I$4),资金台帐!B2194+ROW()/100000,"")</f>
      </c>
    </row>
    <row r="5192">
      <c r="F5192">
        <f>IF(AND(资金台帐!J2195&lt;&gt;"",资金台帐!J2195=客户对账单!$B$4,资金台帐!P2195="应收",ISNUMBER(资金台帐!B2195),资金台帐!B2195&gt;=客户对账单!$G$4,资金台帐!B2195&lt;=客户对账单!$I$4),资金台帐!B2195+ROW()/100000,"")</f>
      </c>
    </row>
    <row r="5193">
      <c r="F5193">
        <f>IF(AND(资金台帐!J2196&lt;&gt;"",资金台帐!J2196=客户对账单!$B$4,资金台帐!P2196="应收",ISNUMBER(资金台帐!B2196),资金台帐!B2196&gt;=客户对账单!$G$4,资金台帐!B2196&lt;=客户对账单!$I$4),资金台帐!B2196+ROW()/100000,"")</f>
      </c>
    </row>
    <row r="5194">
      <c r="F5194">
        <f>IF(AND(资金台帐!J2197&lt;&gt;"",资金台帐!J2197=客户对账单!$B$4,资金台帐!P2197="应收",ISNUMBER(资金台帐!B2197),资金台帐!B2197&gt;=客户对账单!$G$4,资金台帐!B2197&lt;=客户对账单!$I$4),资金台帐!B2197+ROW()/100000,"")</f>
      </c>
    </row>
    <row r="5195">
      <c r="F5195">
        <f>IF(AND(资金台帐!J2198&lt;&gt;"",资金台帐!J2198=客户对账单!$B$4,资金台帐!P2198="应收",ISNUMBER(资金台帐!B2198),资金台帐!B2198&gt;=客户对账单!$G$4,资金台帐!B2198&lt;=客户对账单!$I$4),资金台帐!B2198+ROW()/100000,"")</f>
      </c>
    </row>
    <row r="5196">
      <c r="F5196">
        <f>IF(AND(资金台帐!J2199&lt;&gt;"",资金台帐!J2199=客户对账单!$B$4,资金台帐!P2199="应收",ISNUMBER(资金台帐!B2199),资金台帐!B2199&gt;=客户对账单!$G$4,资金台帐!B2199&lt;=客户对账单!$I$4),资金台帐!B2199+ROW()/100000,"")</f>
      </c>
    </row>
    <row r="5197">
      <c r="F5197">
        <f>IF(AND(资金台帐!J2200&lt;&gt;"",资金台帐!J2200=客户对账单!$B$4,资金台帐!P2200="应收",ISNUMBER(资金台帐!B2200),资金台帐!B2200&gt;=客户对账单!$G$4,资金台帐!B2200&lt;=客户对账单!$I$4),资金台帐!B2200+ROW()/100000,"")</f>
      </c>
    </row>
    <row r="5198">
      <c r="F5198">
        <f>IF(AND(资金台帐!J2201&lt;&gt;"",资金台帐!J2201=客户对账单!$B$4,资金台帐!P2201="应收",ISNUMBER(资金台帐!B2201),资金台帐!B2201&gt;=客户对账单!$G$4,资金台帐!B2201&lt;=客户对账单!$I$4),资金台帐!B2201+ROW()/100000,"")</f>
      </c>
    </row>
    <row r="5199">
      <c r="F5199">
        <f>IF(AND(资金台帐!J2202&lt;&gt;"",资金台帐!J2202=客户对账单!$B$4,资金台帐!P2202="应收",ISNUMBER(资金台帐!B2202),资金台帐!B2202&gt;=客户对账单!$G$4,资金台帐!B2202&lt;=客户对账单!$I$4),资金台帐!B2202+ROW()/100000,"")</f>
      </c>
    </row>
    <row r="5200">
      <c r="F5200">
        <f>IF(AND(资金台帐!J2203&lt;&gt;"",资金台帐!J2203=客户对账单!$B$4,资金台帐!P2203="应收",ISNUMBER(资金台帐!B2203),资金台帐!B2203&gt;=客户对账单!$G$4,资金台帐!B2203&lt;=客户对账单!$I$4),资金台帐!B2203+ROW()/100000,"")</f>
      </c>
    </row>
    <row r="5201">
      <c r="F5201">
        <f>IF(AND(资金台帐!J2204&lt;&gt;"",资金台帐!J2204=客户对账单!$B$4,资金台帐!P2204="应收",ISNUMBER(资金台帐!B2204),资金台帐!B2204&gt;=客户对账单!$G$4,资金台帐!B2204&lt;=客户对账单!$I$4),资金台帐!B2204+ROW()/100000,"")</f>
      </c>
    </row>
    <row r="5202">
      <c r="F5202">
        <f>IF(AND(资金台帐!J2205&lt;&gt;"",资金台帐!J2205=客户对账单!$B$4,资金台帐!P2205="应收",ISNUMBER(资金台帐!B2205),资金台帐!B2205&gt;=客户对账单!$G$4,资金台帐!B2205&lt;=客户对账单!$I$4),资金台帐!B2205+ROW()/100000,"")</f>
      </c>
    </row>
    <row r="5203">
      <c r="F5203">
        <f>IF(AND(资金台帐!J2206&lt;&gt;"",资金台帐!J2206=客户对账单!$B$4,资金台帐!P2206="应收",ISNUMBER(资金台帐!B2206),资金台帐!B2206&gt;=客户对账单!$G$4,资金台帐!B2206&lt;=客户对账单!$I$4),资金台帐!B2206+ROW()/100000,"")</f>
      </c>
    </row>
    <row r="5204">
      <c r="F5204">
        <f>IF(AND(资金台帐!J2207&lt;&gt;"",资金台帐!J2207=客户对账单!$B$4,资金台帐!P2207="应收",ISNUMBER(资金台帐!B2207),资金台帐!B2207&gt;=客户对账单!$G$4,资金台帐!B2207&lt;=客户对账单!$I$4),资金台帐!B2207+ROW()/100000,"")</f>
      </c>
    </row>
    <row r="5205">
      <c r="F5205">
        <f>IF(AND(资金台帐!J2208&lt;&gt;"",资金台帐!J2208=客户对账单!$B$4,资金台帐!P2208="应收",ISNUMBER(资金台帐!B2208),资金台帐!B2208&gt;=客户对账单!$G$4,资金台帐!B2208&lt;=客户对账单!$I$4),资金台帐!B2208+ROW()/100000,"")</f>
      </c>
    </row>
    <row r="5206">
      <c r="F5206">
        <f>IF(AND(资金台帐!J2209&lt;&gt;"",资金台帐!J2209=客户对账单!$B$4,资金台帐!P2209="应收",ISNUMBER(资金台帐!B2209),资金台帐!B2209&gt;=客户对账单!$G$4,资金台帐!B2209&lt;=客户对账单!$I$4),资金台帐!B2209+ROW()/100000,"")</f>
      </c>
    </row>
    <row r="5207">
      <c r="F5207">
        <f>IF(AND(资金台帐!J2210&lt;&gt;"",资金台帐!J2210=客户对账单!$B$4,资金台帐!P2210="应收",ISNUMBER(资金台帐!B2210),资金台帐!B2210&gt;=客户对账单!$G$4,资金台帐!B2210&lt;=客户对账单!$I$4),资金台帐!B2210+ROW()/100000,"")</f>
      </c>
    </row>
    <row r="5208">
      <c r="F5208">
        <f>IF(AND(资金台帐!J2211&lt;&gt;"",资金台帐!J2211=客户对账单!$B$4,资金台帐!P2211="应收",ISNUMBER(资金台帐!B2211),资金台帐!B2211&gt;=客户对账单!$G$4,资金台帐!B2211&lt;=客户对账单!$I$4),资金台帐!B2211+ROW()/100000,"")</f>
      </c>
    </row>
    <row r="5209">
      <c r="F5209">
        <f>IF(AND(资金台帐!J2212&lt;&gt;"",资金台帐!J2212=客户对账单!$B$4,资金台帐!P2212="应收",ISNUMBER(资金台帐!B2212),资金台帐!B2212&gt;=客户对账单!$G$4,资金台帐!B2212&lt;=客户对账单!$I$4),资金台帐!B2212+ROW()/100000,"")</f>
      </c>
    </row>
    <row r="5210">
      <c r="F5210">
        <f>IF(AND(资金台帐!J2213&lt;&gt;"",资金台帐!J2213=客户对账单!$B$4,资金台帐!P2213="应收",ISNUMBER(资金台帐!B2213),资金台帐!B2213&gt;=客户对账单!$G$4,资金台帐!B2213&lt;=客户对账单!$I$4),资金台帐!B2213+ROW()/100000,"")</f>
      </c>
    </row>
    <row r="5211">
      <c r="F5211">
        <f>IF(AND(资金台帐!J2214&lt;&gt;"",资金台帐!J2214=客户对账单!$B$4,资金台帐!P2214="应收",ISNUMBER(资金台帐!B2214),资金台帐!B2214&gt;=客户对账单!$G$4,资金台帐!B2214&lt;=客户对账单!$I$4),资金台帐!B2214+ROW()/100000,"")</f>
      </c>
    </row>
    <row r="5212">
      <c r="F5212">
        <f>IF(AND(资金台帐!J2215&lt;&gt;"",资金台帐!J2215=客户对账单!$B$4,资金台帐!P2215="应收",ISNUMBER(资金台帐!B2215),资金台帐!B2215&gt;=客户对账单!$G$4,资金台帐!B2215&lt;=客户对账单!$I$4),资金台帐!B2215+ROW()/100000,"")</f>
      </c>
    </row>
    <row r="5213">
      <c r="F5213">
        <f>IF(AND(资金台帐!J2216&lt;&gt;"",资金台帐!J2216=客户对账单!$B$4,资金台帐!P2216="应收",ISNUMBER(资金台帐!B2216),资金台帐!B2216&gt;=客户对账单!$G$4,资金台帐!B2216&lt;=客户对账单!$I$4),资金台帐!B2216+ROW()/100000,"")</f>
      </c>
    </row>
    <row r="5214">
      <c r="F5214">
        <f>IF(AND(资金台帐!J2217&lt;&gt;"",资金台帐!J2217=客户对账单!$B$4,资金台帐!P2217="应收",ISNUMBER(资金台帐!B2217),资金台帐!B2217&gt;=客户对账单!$G$4,资金台帐!B2217&lt;=客户对账单!$I$4),资金台帐!B2217+ROW()/100000,"")</f>
      </c>
    </row>
    <row r="5215">
      <c r="F5215">
        <f>IF(AND(资金台帐!J2218&lt;&gt;"",资金台帐!J2218=客户对账单!$B$4,资金台帐!P2218="应收",ISNUMBER(资金台帐!B2218),资金台帐!B2218&gt;=客户对账单!$G$4,资金台帐!B2218&lt;=客户对账单!$I$4),资金台帐!B2218+ROW()/100000,"")</f>
      </c>
    </row>
    <row r="5216">
      <c r="F5216">
        <f>IF(AND(资金台帐!J2219&lt;&gt;"",资金台帐!J2219=客户对账单!$B$4,资金台帐!P2219="应收",ISNUMBER(资金台帐!B2219),资金台帐!B2219&gt;=客户对账单!$G$4,资金台帐!B2219&lt;=客户对账单!$I$4),资金台帐!B2219+ROW()/100000,"")</f>
      </c>
    </row>
    <row r="5217">
      <c r="F5217">
        <f>IF(AND(资金台帐!J2220&lt;&gt;"",资金台帐!J2220=客户对账单!$B$4,资金台帐!P2220="应收",ISNUMBER(资金台帐!B2220),资金台帐!B2220&gt;=客户对账单!$G$4,资金台帐!B2220&lt;=客户对账单!$I$4),资金台帐!B2220+ROW()/100000,"")</f>
      </c>
    </row>
    <row r="5218">
      <c r="F5218">
        <f>IF(AND(资金台帐!J2221&lt;&gt;"",资金台帐!J2221=客户对账单!$B$4,资金台帐!P2221="应收",ISNUMBER(资金台帐!B2221),资金台帐!B2221&gt;=客户对账单!$G$4,资金台帐!B2221&lt;=客户对账单!$I$4),资金台帐!B2221+ROW()/100000,"")</f>
      </c>
    </row>
    <row r="5219">
      <c r="F5219">
        <f>IF(AND(资金台帐!J2222&lt;&gt;"",资金台帐!J2222=客户对账单!$B$4,资金台帐!P2222="应收",ISNUMBER(资金台帐!B2222),资金台帐!B2222&gt;=客户对账单!$G$4,资金台帐!B2222&lt;=客户对账单!$I$4),资金台帐!B2222+ROW()/100000,"")</f>
      </c>
    </row>
    <row r="5220">
      <c r="F5220">
        <f>IF(AND(资金台帐!J2223&lt;&gt;"",资金台帐!J2223=客户对账单!$B$4,资金台帐!P2223="应收",ISNUMBER(资金台帐!B2223),资金台帐!B2223&gt;=客户对账单!$G$4,资金台帐!B2223&lt;=客户对账单!$I$4),资金台帐!B2223+ROW()/100000,"")</f>
      </c>
    </row>
    <row r="5221">
      <c r="F5221">
        <f>IF(AND(资金台帐!J2224&lt;&gt;"",资金台帐!J2224=客户对账单!$B$4,资金台帐!P2224="应收",ISNUMBER(资金台帐!B2224),资金台帐!B2224&gt;=客户对账单!$G$4,资金台帐!B2224&lt;=客户对账单!$I$4),资金台帐!B2224+ROW()/100000,"")</f>
      </c>
    </row>
    <row r="5222">
      <c r="F5222">
        <f>IF(AND(资金台帐!J2225&lt;&gt;"",资金台帐!J2225=客户对账单!$B$4,资金台帐!P2225="应收",ISNUMBER(资金台帐!B2225),资金台帐!B2225&gt;=客户对账单!$G$4,资金台帐!B2225&lt;=客户对账单!$I$4),资金台帐!B2225+ROW()/100000,"")</f>
      </c>
    </row>
    <row r="5223">
      <c r="F5223">
        <f>IF(AND(资金台帐!J2226&lt;&gt;"",资金台帐!J2226=客户对账单!$B$4,资金台帐!P2226="应收",ISNUMBER(资金台帐!B2226),资金台帐!B2226&gt;=客户对账单!$G$4,资金台帐!B2226&lt;=客户对账单!$I$4),资金台帐!B2226+ROW()/100000,"")</f>
      </c>
    </row>
    <row r="5224">
      <c r="F5224">
        <f>IF(AND(资金台帐!J2227&lt;&gt;"",资金台帐!J2227=客户对账单!$B$4,资金台帐!P2227="应收",ISNUMBER(资金台帐!B2227),资金台帐!B2227&gt;=客户对账单!$G$4,资金台帐!B2227&lt;=客户对账单!$I$4),资金台帐!B2227+ROW()/100000,"")</f>
      </c>
    </row>
    <row r="5225">
      <c r="F5225">
        <f>IF(AND(资金台帐!J2228&lt;&gt;"",资金台帐!J2228=客户对账单!$B$4,资金台帐!P2228="应收",ISNUMBER(资金台帐!B2228),资金台帐!B2228&gt;=客户对账单!$G$4,资金台帐!B2228&lt;=客户对账单!$I$4),资金台帐!B2228+ROW()/100000,"")</f>
      </c>
    </row>
    <row r="5226">
      <c r="F5226">
        <f>IF(AND(资金台帐!J2229&lt;&gt;"",资金台帐!J2229=客户对账单!$B$4,资金台帐!P2229="应收",ISNUMBER(资金台帐!B2229),资金台帐!B2229&gt;=客户对账单!$G$4,资金台帐!B2229&lt;=客户对账单!$I$4),资金台帐!B2229+ROW()/100000,"")</f>
      </c>
    </row>
    <row r="5227">
      <c r="F5227">
        <f>IF(AND(资金台帐!J2230&lt;&gt;"",资金台帐!J2230=客户对账单!$B$4,资金台帐!P2230="应收",ISNUMBER(资金台帐!B2230),资金台帐!B2230&gt;=客户对账单!$G$4,资金台帐!B2230&lt;=客户对账单!$I$4),资金台帐!B2230+ROW()/100000,"")</f>
      </c>
    </row>
    <row r="5228">
      <c r="F5228">
        <f>IF(AND(资金台帐!J2231&lt;&gt;"",资金台帐!J2231=客户对账单!$B$4,资金台帐!P2231="应收",ISNUMBER(资金台帐!B2231),资金台帐!B2231&gt;=客户对账单!$G$4,资金台帐!B2231&lt;=客户对账单!$I$4),资金台帐!B2231+ROW()/100000,"")</f>
      </c>
    </row>
    <row r="5229">
      <c r="F5229">
        <f>IF(AND(资金台帐!J2232&lt;&gt;"",资金台帐!J2232=客户对账单!$B$4,资金台帐!P2232="应收",ISNUMBER(资金台帐!B2232),资金台帐!B2232&gt;=客户对账单!$G$4,资金台帐!B2232&lt;=客户对账单!$I$4),资金台帐!B2232+ROW()/100000,"")</f>
      </c>
    </row>
    <row r="5230">
      <c r="F5230">
        <f>IF(AND(资金台帐!J2233&lt;&gt;"",资金台帐!J2233=客户对账单!$B$4,资金台帐!P2233="应收",ISNUMBER(资金台帐!B2233),资金台帐!B2233&gt;=客户对账单!$G$4,资金台帐!B2233&lt;=客户对账单!$I$4),资金台帐!B2233+ROW()/100000,"")</f>
      </c>
    </row>
    <row r="5231">
      <c r="F5231">
        <f>IF(AND(资金台帐!J2234&lt;&gt;"",资金台帐!J2234=客户对账单!$B$4,资金台帐!P2234="应收",ISNUMBER(资金台帐!B2234),资金台帐!B2234&gt;=客户对账单!$G$4,资金台帐!B2234&lt;=客户对账单!$I$4),资金台帐!B2234+ROW()/100000,"")</f>
      </c>
    </row>
    <row r="5232">
      <c r="F5232">
        <f>IF(AND(资金台帐!J2235&lt;&gt;"",资金台帐!J2235=客户对账单!$B$4,资金台帐!P2235="应收",ISNUMBER(资金台帐!B2235),资金台帐!B2235&gt;=客户对账单!$G$4,资金台帐!B2235&lt;=客户对账单!$I$4),资金台帐!B2235+ROW()/100000,"")</f>
      </c>
    </row>
    <row r="5233">
      <c r="F5233">
        <f>IF(AND(资金台帐!J2236&lt;&gt;"",资金台帐!J2236=客户对账单!$B$4,资金台帐!P2236="应收",ISNUMBER(资金台帐!B2236),资金台帐!B2236&gt;=客户对账单!$G$4,资金台帐!B2236&lt;=客户对账单!$I$4),资金台帐!B2236+ROW()/100000,"")</f>
      </c>
    </row>
    <row r="5234">
      <c r="F5234">
        <f>IF(AND(资金台帐!J2237&lt;&gt;"",资金台帐!J2237=客户对账单!$B$4,资金台帐!P2237="应收",ISNUMBER(资金台帐!B2237),资金台帐!B2237&gt;=客户对账单!$G$4,资金台帐!B2237&lt;=客户对账单!$I$4),资金台帐!B2237+ROW()/100000,"")</f>
      </c>
    </row>
    <row r="5235">
      <c r="F5235">
        <f>IF(AND(资金台帐!J2238&lt;&gt;"",资金台帐!J2238=客户对账单!$B$4,资金台帐!P2238="应收",ISNUMBER(资金台帐!B2238),资金台帐!B2238&gt;=客户对账单!$G$4,资金台帐!B2238&lt;=客户对账单!$I$4),资金台帐!B2238+ROW()/100000,"")</f>
      </c>
    </row>
    <row r="5236">
      <c r="F5236">
        <f>IF(AND(资金台帐!J2239&lt;&gt;"",资金台帐!J2239=客户对账单!$B$4,资金台帐!P2239="应收",ISNUMBER(资金台帐!B2239),资金台帐!B2239&gt;=客户对账单!$G$4,资金台帐!B2239&lt;=客户对账单!$I$4),资金台帐!B2239+ROW()/100000,"")</f>
      </c>
    </row>
    <row r="5237">
      <c r="F5237">
        <f>IF(AND(资金台帐!J2240&lt;&gt;"",资金台帐!J2240=客户对账单!$B$4,资金台帐!P2240="应收",ISNUMBER(资金台帐!B2240),资金台帐!B2240&gt;=客户对账单!$G$4,资金台帐!B2240&lt;=客户对账单!$I$4),资金台帐!B2240+ROW()/100000,"")</f>
      </c>
    </row>
    <row r="5238">
      <c r="F5238">
        <f>IF(AND(资金台帐!J2241&lt;&gt;"",资金台帐!J2241=客户对账单!$B$4,资金台帐!P2241="应收",ISNUMBER(资金台帐!B2241),资金台帐!B2241&gt;=客户对账单!$G$4,资金台帐!B2241&lt;=客户对账单!$I$4),资金台帐!B2241+ROW()/100000,"")</f>
      </c>
    </row>
    <row r="5239">
      <c r="F5239">
        <f>IF(AND(资金台帐!J2242&lt;&gt;"",资金台帐!J2242=客户对账单!$B$4,资金台帐!P2242="应收",ISNUMBER(资金台帐!B2242),资金台帐!B2242&gt;=客户对账单!$G$4,资金台帐!B2242&lt;=客户对账单!$I$4),资金台帐!B2242+ROW()/100000,"")</f>
      </c>
    </row>
    <row r="5240">
      <c r="F5240">
        <f>IF(AND(资金台帐!J2243&lt;&gt;"",资金台帐!J2243=客户对账单!$B$4,资金台帐!P2243="应收",ISNUMBER(资金台帐!B2243),资金台帐!B2243&gt;=客户对账单!$G$4,资金台帐!B2243&lt;=客户对账单!$I$4),资金台帐!B2243+ROW()/100000,"")</f>
      </c>
    </row>
    <row r="5241">
      <c r="F5241">
        <f>IF(AND(资金台帐!J2244&lt;&gt;"",资金台帐!J2244=客户对账单!$B$4,资金台帐!P2244="应收",ISNUMBER(资金台帐!B2244),资金台帐!B2244&gt;=客户对账单!$G$4,资金台帐!B2244&lt;=客户对账单!$I$4),资金台帐!B2244+ROW()/100000,"")</f>
      </c>
    </row>
    <row r="5242">
      <c r="F5242">
        <f>IF(AND(资金台帐!J2245&lt;&gt;"",资金台帐!J2245=客户对账单!$B$4,资金台帐!P2245="应收",ISNUMBER(资金台帐!B2245),资金台帐!B2245&gt;=客户对账单!$G$4,资金台帐!B2245&lt;=客户对账单!$I$4),资金台帐!B2245+ROW()/100000,"")</f>
      </c>
    </row>
    <row r="5243">
      <c r="F5243">
        <f>IF(AND(资金台帐!J2246&lt;&gt;"",资金台帐!J2246=客户对账单!$B$4,资金台帐!P2246="应收",ISNUMBER(资金台帐!B2246),资金台帐!B2246&gt;=客户对账单!$G$4,资金台帐!B2246&lt;=客户对账单!$I$4),资金台帐!B2246+ROW()/100000,"")</f>
      </c>
    </row>
    <row r="5244">
      <c r="F5244">
        <f>IF(AND(资金台帐!J2247&lt;&gt;"",资金台帐!J2247=客户对账单!$B$4,资金台帐!P2247="应收",ISNUMBER(资金台帐!B2247),资金台帐!B2247&gt;=客户对账单!$G$4,资金台帐!B2247&lt;=客户对账单!$I$4),资金台帐!B2247+ROW()/100000,"")</f>
      </c>
    </row>
    <row r="5245">
      <c r="F5245">
        <f>IF(AND(资金台帐!J2248&lt;&gt;"",资金台帐!J2248=客户对账单!$B$4,资金台帐!P2248="应收",ISNUMBER(资金台帐!B2248),资金台帐!B2248&gt;=客户对账单!$G$4,资金台帐!B2248&lt;=客户对账单!$I$4),资金台帐!B2248+ROW()/100000,"")</f>
      </c>
    </row>
    <row r="5246">
      <c r="F5246">
        <f>IF(AND(资金台帐!J2249&lt;&gt;"",资金台帐!J2249=客户对账单!$B$4,资金台帐!P2249="应收",ISNUMBER(资金台帐!B2249),资金台帐!B2249&gt;=客户对账单!$G$4,资金台帐!B2249&lt;=客户对账单!$I$4),资金台帐!B2249+ROW()/100000,"")</f>
      </c>
    </row>
    <row r="5247">
      <c r="F5247">
        <f>IF(AND(资金台帐!J2250&lt;&gt;"",资金台帐!J2250=客户对账单!$B$4,资金台帐!P2250="应收",ISNUMBER(资金台帐!B2250),资金台帐!B2250&gt;=客户对账单!$G$4,资金台帐!B2250&lt;=客户对账单!$I$4),资金台帐!B2250+ROW()/100000,"")</f>
      </c>
    </row>
    <row r="5248">
      <c r="F5248">
        <f>IF(AND(资金台帐!J2251&lt;&gt;"",资金台帐!J2251=客户对账单!$B$4,资金台帐!P2251="应收",ISNUMBER(资金台帐!B2251),资金台帐!B2251&gt;=客户对账单!$G$4,资金台帐!B2251&lt;=客户对账单!$I$4),资金台帐!B2251+ROW()/100000,"")</f>
      </c>
    </row>
    <row r="5249">
      <c r="F5249">
        <f>IF(AND(资金台帐!J2252&lt;&gt;"",资金台帐!J2252=客户对账单!$B$4,资金台帐!P2252="应收",ISNUMBER(资金台帐!B2252),资金台帐!B2252&gt;=客户对账单!$G$4,资金台帐!B2252&lt;=客户对账单!$I$4),资金台帐!B2252+ROW()/100000,"")</f>
      </c>
    </row>
    <row r="5250">
      <c r="F5250">
        <f>IF(AND(资金台帐!J2253&lt;&gt;"",资金台帐!J2253=客户对账单!$B$4,资金台帐!P2253="应收",ISNUMBER(资金台帐!B2253),资金台帐!B2253&gt;=客户对账单!$G$4,资金台帐!B2253&lt;=客户对账单!$I$4),资金台帐!B2253+ROW()/100000,"")</f>
      </c>
    </row>
    <row r="5251">
      <c r="F5251">
        <f>IF(AND(资金台帐!J2254&lt;&gt;"",资金台帐!J2254=客户对账单!$B$4,资金台帐!P2254="应收",ISNUMBER(资金台帐!B2254),资金台帐!B2254&gt;=客户对账单!$G$4,资金台帐!B2254&lt;=客户对账单!$I$4),资金台帐!B2254+ROW()/100000,"")</f>
      </c>
    </row>
    <row r="5252">
      <c r="F5252">
        <f>IF(AND(资金台帐!J2255&lt;&gt;"",资金台帐!J2255=客户对账单!$B$4,资金台帐!P2255="应收",ISNUMBER(资金台帐!B2255),资金台帐!B2255&gt;=客户对账单!$G$4,资金台帐!B2255&lt;=客户对账单!$I$4),资金台帐!B2255+ROW()/100000,"")</f>
      </c>
    </row>
    <row r="5253">
      <c r="F5253">
        <f>IF(AND(资金台帐!J2256&lt;&gt;"",资金台帐!J2256=客户对账单!$B$4,资金台帐!P2256="应收",ISNUMBER(资金台帐!B2256),资金台帐!B2256&gt;=客户对账单!$G$4,资金台帐!B2256&lt;=客户对账单!$I$4),资金台帐!B2256+ROW()/100000,"")</f>
      </c>
    </row>
    <row r="5254">
      <c r="F5254">
        <f>IF(AND(资金台帐!J2257&lt;&gt;"",资金台帐!J2257=客户对账单!$B$4,资金台帐!P2257="应收",ISNUMBER(资金台帐!B2257),资金台帐!B2257&gt;=客户对账单!$G$4,资金台帐!B2257&lt;=客户对账单!$I$4),资金台帐!B2257+ROW()/100000,"")</f>
      </c>
    </row>
    <row r="5255">
      <c r="F5255">
        <f>IF(AND(资金台帐!J2258&lt;&gt;"",资金台帐!J2258=客户对账单!$B$4,资金台帐!P2258="应收",ISNUMBER(资金台帐!B2258),资金台帐!B2258&gt;=客户对账单!$G$4,资金台帐!B2258&lt;=客户对账单!$I$4),资金台帐!B2258+ROW()/100000,"")</f>
      </c>
    </row>
    <row r="5256">
      <c r="F5256">
        <f>IF(AND(资金台帐!J2259&lt;&gt;"",资金台帐!J2259=客户对账单!$B$4,资金台帐!P2259="应收",ISNUMBER(资金台帐!B2259),资金台帐!B2259&gt;=客户对账单!$G$4,资金台帐!B2259&lt;=客户对账单!$I$4),资金台帐!B2259+ROW()/100000,"")</f>
      </c>
    </row>
    <row r="5257">
      <c r="F5257">
        <f>IF(AND(资金台帐!J2260&lt;&gt;"",资金台帐!J2260=客户对账单!$B$4,资金台帐!P2260="应收",ISNUMBER(资金台帐!B2260),资金台帐!B2260&gt;=客户对账单!$G$4,资金台帐!B2260&lt;=客户对账单!$I$4),资金台帐!B2260+ROW()/100000,"")</f>
      </c>
    </row>
    <row r="5258">
      <c r="F5258">
        <f>IF(AND(资金台帐!J2261&lt;&gt;"",资金台帐!J2261=客户对账单!$B$4,资金台帐!P2261="应收",ISNUMBER(资金台帐!B2261),资金台帐!B2261&gt;=客户对账单!$G$4,资金台帐!B2261&lt;=客户对账单!$I$4),资金台帐!B2261+ROW()/100000,"")</f>
      </c>
    </row>
    <row r="5259">
      <c r="F5259">
        <f>IF(AND(资金台帐!J2262&lt;&gt;"",资金台帐!J2262=客户对账单!$B$4,资金台帐!P2262="应收",ISNUMBER(资金台帐!B2262),资金台帐!B2262&gt;=客户对账单!$G$4,资金台帐!B2262&lt;=客户对账单!$I$4),资金台帐!B2262+ROW()/100000,"")</f>
      </c>
    </row>
    <row r="5260">
      <c r="F5260">
        <f>IF(AND(资金台帐!J2263&lt;&gt;"",资金台帐!J2263=客户对账单!$B$4,资金台帐!P2263="应收",ISNUMBER(资金台帐!B2263),资金台帐!B2263&gt;=客户对账单!$G$4,资金台帐!B2263&lt;=客户对账单!$I$4),资金台帐!B2263+ROW()/100000,"")</f>
      </c>
    </row>
    <row r="5261">
      <c r="F5261">
        <f>IF(AND(资金台帐!J2264&lt;&gt;"",资金台帐!J2264=客户对账单!$B$4,资金台帐!P2264="应收",ISNUMBER(资金台帐!B2264),资金台帐!B2264&gt;=客户对账单!$G$4,资金台帐!B2264&lt;=客户对账单!$I$4),资金台帐!B2264+ROW()/100000,"")</f>
      </c>
    </row>
    <row r="5262">
      <c r="F5262">
        <f>IF(AND(资金台帐!J2265&lt;&gt;"",资金台帐!J2265=客户对账单!$B$4,资金台帐!P2265="应收",ISNUMBER(资金台帐!B2265),资金台帐!B2265&gt;=客户对账单!$G$4,资金台帐!B2265&lt;=客户对账单!$I$4),资金台帐!B2265+ROW()/100000,"")</f>
      </c>
    </row>
    <row r="5263">
      <c r="F5263">
        <f>IF(AND(资金台帐!J2266&lt;&gt;"",资金台帐!J2266=客户对账单!$B$4,资金台帐!P2266="应收",ISNUMBER(资金台帐!B2266),资金台帐!B2266&gt;=客户对账单!$G$4,资金台帐!B2266&lt;=客户对账单!$I$4),资金台帐!B2266+ROW()/100000,"")</f>
      </c>
    </row>
    <row r="5264">
      <c r="F5264">
        <f>IF(AND(资金台帐!J2267&lt;&gt;"",资金台帐!J2267=客户对账单!$B$4,资金台帐!P2267="应收",ISNUMBER(资金台帐!B2267),资金台帐!B2267&gt;=客户对账单!$G$4,资金台帐!B2267&lt;=客户对账单!$I$4),资金台帐!B2267+ROW()/100000,"")</f>
      </c>
    </row>
    <row r="5265">
      <c r="F5265">
        <f>IF(AND(资金台帐!J2268&lt;&gt;"",资金台帐!J2268=客户对账单!$B$4,资金台帐!P2268="应收",ISNUMBER(资金台帐!B2268),资金台帐!B2268&gt;=客户对账单!$G$4,资金台帐!B2268&lt;=客户对账单!$I$4),资金台帐!B2268+ROW()/100000,"")</f>
      </c>
    </row>
    <row r="5266">
      <c r="F5266">
        <f>IF(AND(资金台帐!J2269&lt;&gt;"",资金台帐!J2269=客户对账单!$B$4,资金台帐!P2269="应收",ISNUMBER(资金台帐!B2269),资金台帐!B2269&gt;=客户对账单!$G$4,资金台帐!B2269&lt;=客户对账单!$I$4),资金台帐!B2269+ROW()/100000,"")</f>
      </c>
    </row>
    <row r="5267">
      <c r="F5267">
        <f>IF(AND(资金台帐!J2270&lt;&gt;"",资金台帐!J2270=客户对账单!$B$4,资金台帐!P2270="应收",ISNUMBER(资金台帐!B2270),资金台帐!B2270&gt;=客户对账单!$G$4,资金台帐!B2270&lt;=客户对账单!$I$4),资金台帐!B2270+ROW()/100000,"")</f>
      </c>
    </row>
    <row r="5268">
      <c r="F5268">
        <f>IF(AND(资金台帐!J2271&lt;&gt;"",资金台帐!J2271=客户对账单!$B$4,资金台帐!P2271="应收",ISNUMBER(资金台帐!B2271),资金台帐!B2271&gt;=客户对账单!$G$4,资金台帐!B2271&lt;=客户对账单!$I$4),资金台帐!B2271+ROW()/100000,"")</f>
      </c>
    </row>
    <row r="5269">
      <c r="F5269">
        <f>IF(AND(资金台帐!J2272&lt;&gt;"",资金台帐!J2272=客户对账单!$B$4,资金台帐!P2272="应收",ISNUMBER(资金台帐!B2272),资金台帐!B2272&gt;=客户对账单!$G$4,资金台帐!B2272&lt;=客户对账单!$I$4),资金台帐!B2272+ROW()/100000,"")</f>
      </c>
    </row>
    <row r="5270">
      <c r="F5270">
        <f>IF(AND(资金台帐!J2273&lt;&gt;"",资金台帐!J2273=客户对账单!$B$4,资金台帐!P2273="应收",ISNUMBER(资金台帐!B2273),资金台帐!B2273&gt;=客户对账单!$G$4,资金台帐!B2273&lt;=客户对账单!$I$4),资金台帐!B2273+ROW()/100000,"")</f>
      </c>
    </row>
    <row r="5271">
      <c r="F5271">
        <f>IF(AND(资金台帐!J2274&lt;&gt;"",资金台帐!J2274=客户对账单!$B$4,资金台帐!P2274="应收",ISNUMBER(资金台帐!B2274),资金台帐!B2274&gt;=客户对账单!$G$4,资金台帐!B2274&lt;=客户对账单!$I$4),资金台帐!B2274+ROW()/100000,"")</f>
      </c>
    </row>
    <row r="5272">
      <c r="F5272">
        <f>IF(AND(资金台帐!J2275&lt;&gt;"",资金台帐!J2275=客户对账单!$B$4,资金台帐!P2275="应收",ISNUMBER(资金台帐!B2275),资金台帐!B2275&gt;=客户对账单!$G$4,资金台帐!B2275&lt;=客户对账单!$I$4),资金台帐!B2275+ROW()/100000,"")</f>
      </c>
    </row>
    <row r="5273">
      <c r="F5273">
        <f>IF(AND(资金台帐!J2276&lt;&gt;"",资金台帐!J2276=客户对账单!$B$4,资金台帐!P2276="应收",ISNUMBER(资金台帐!B2276),资金台帐!B2276&gt;=客户对账单!$G$4,资金台帐!B2276&lt;=客户对账单!$I$4),资金台帐!B2276+ROW()/100000,"")</f>
      </c>
    </row>
    <row r="5274">
      <c r="F5274">
        <f>IF(AND(资金台帐!J2277&lt;&gt;"",资金台帐!J2277=客户对账单!$B$4,资金台帐!P2277="应收",ISNUMBER(资金台帐!B2277),资金台帐!B2277&gt;=客户对账单!$G$4,资金台帐!B2277&lt;=客户对账单!$I$4),资金台帐!B2277+ROW()/100000,"")</f>
      </c>
    </row>
    <row r="5275">
      <c r="F5275">
        <f>IF(AND(资金台帐!J2278&lt;&gt;"",资金台帐!J2278=客户对账单!$B$4,资金台帐!P2278="应收",ISNUMBER(资金台帐!B2278),资金台帐!B2278&gt;=客户对账单!$G$4,资金台帐!B2278&lt;=客户对账单!$I$4),资金台帐!B2278+ROW()/100000,"")</f>
      </c>
    </row>
    <row r="5276">
      <c r="F5276">
        <f>IF(AND(资金台帐!J2279&lt;&gt;"",资金台帐!J2279=客户对账单!$B$4,资金台帐!P2279="应收",ISNUMBER(资金台帐!B2279),资金台帐!B2279&gt;=客户对账单!$G$4,资金台帐!B2279&lt;=客户对账单!$I$4),资金台帐!B2279+ROW()/100000,"")</f>
      </c>
    </row>
    <row r="5277">
      <c r="F5277">
        <f>IF(AND(资金台帐!J2280&lt;&gt;"",资金台帐!J2280=客户对账单!$B$4,资金台帐!P2280="应收",ISNUMBER(资金台帐!B2280),资金台帐!B2280&gt;=客户对账单!$G$4,资金台帐!B2280&lt;=客户对账单!$I$4),资金台帐!B2280+ROW()/100000,"")</f>
      </c>
    </row>
    <row r="5278">
      <c r="F5278">
        <f>IF(AND(资金台帐!J2281&lt;&gt;"",资金台帐!J2281=客户对账单!$B$4,资金台帐!P2281="应收",ISNUMBER(资金台帐!B2281),资金台帐!B2281&gt;=客户对账单!$G$4,资金台帐!B2281&lt;=客户对账单!$I$4),资金台帐!B2281+ROW()/100000,"")</f>
      </c>
    </row>
    <row r="5279">
      <c r="F5279">
        <f>IF(AND(资金台帐!J2282&lt;&gt;"",资金台帐!J2282=客户对账单!$B$4,资金台帐!P2282="应收",ISNUMBER(资金台帐!B2282),资金台帐!B2282&gt;=客户对账单!$G$4,资金台帐!B2282&lt;=客户对账单!$I$4),资金台帐!B2282+ROW()/100000,"")</f>
      </c>
    </row>
    <row r="5280">
      <c r="F5280">
        <f>IF(AND(资金台帐!J2283&lt;&gt;"",资金台帐!J2283=客户对账单!$B$4,资金台帐!P2283="应收",ISNUMBER(资金台帐!B2283),资金台帐!B2283&gt;=客户对账单!$G$4,资金台帐!B2283&lt;=客户对账单!$I$4),资金台帐!B2283+ROW()/100000,"")</f>
      </c>
    </row>
    <row r="5281">
      <c r="F5281">
        <f>IF(AND(资金台帐!J2284&lt;&gt;"",资金台帐!J2284=客户对账单!$B$4,资金台帐!P2284="应收",ISNUMBER(资金台帐!B2284),资金台帐!B2284&gt;=客户对账单!$G$4,资金台帐!B2284&lt;=客户对账单!$I$4),资金台帐!B2284+ROW()/100000,"")</f>
      </c>
    </row>
    <row r="5282">
      <c r="F5282">
        <f>IF(AND(资金台帐!J2285&lt;&gt;"",资金台帐!J2285=客户对账单!$B$4,资金台帐!P2285="应收",ISNUMBER(资金台帐!B2285),资金台帐!B2285&gt;=客户对账单!$G$4,资金台帐!B2285&lt;=客户对账单!$I$4),资金台帐!B2285+ROW()/100000,"")</f>
      </c>
    </row>
    <row r="5283">
      <c r="F5283">
        <f>IF(AND(资金台帐!J2286&lt;&gt;"",资金台帐!J2286=客户对账单!$B$4,资金台帐!P2286="应收",ISNUMBER(资金台帐!B2286),资金台帐!B2286&gt;=客户对账单!$G$4,资金台帐!B2286&lt;=客户对账单!$I$4),资金台帐!B2286+ROW()/100000,"")</f>
      </c>
    </row>
    <row r="5284">
      <c r="F5284">
        <f>IF(AND(资金台帐!J2287&lt;&gt;"",资金台帐!J2287=客户对账单!$B$4,资金台帐!P2287="应收",ISNUMBER(资金台帐!B2287),资金台帐!B2287&gt;=客户对账单!$G$4,资金台帐!B2287&lt;=客户对账单!$I$4),资金台帐!B2287+ROW()/100000,"")</f>
      </c>
    </row>
    <row r="5285">
      <c r="F5285">
        <f>IF(AND(资金台帐!J2288&lt;&gt;"",资金台帐!J2288=客户对账单!$B$4,资金台帐!P2288="应收",ISNUMBER(资金台帐!B2288),资金台帐!B2288&gt;=客户对账单!$G$4,资金台帐!B2288&lt;=客户对账单!$I$4),资金台帐!B2288+ROW()/100000,"")</f>
      </c>
    </row>
    <row r="5286">
      <c r="F5286">
        <f>IF(AND(资金台帐!J2289&lt;&gt;"",资金台帐!J2289=客户对账单!$B$4,资金台帐!P2289="应收",ISNUMBER(资金台帐!B2289),资金台帐!B2289&gt;=客户对账单!$G$4,资金台帐!B2289&lt;=客户对账单!$I$4),资金台帐!B2289+ROW()/100000,"")</f>
      </c>
    </row>
    <row r="5287">
      <c r="F5287">
        <f>IF(AND(资金台帐!J2290&lt;&gt;"",资金台帐!J2290=客户对账单!$B$4,资金台帐!P2290="应收",ISNUMBER(资金台帐!B2290),资金台帐!B2290&gt;=客户对账单!$G$4,资金台帐!B2290&lt;=客户对账单!$I$4),资金台帐!B2290+ROW()/100000,"")</f>
      </c>
    </row>
    <row r="5288">
      <c r="F5288">
        <f>IF(AND(资金台帐!J2291&lt;&gt;"",资金台帐!J2291=客户对账单!$B$4,资金台帐!P2291="应收",ISNUMBER(资金台帐!B2291),资金台帐!B2291&gt;=客户对账单!$G$4,资金台帐!B2291&lt;=客户对账单!$I$4),资金台帐!B2291+ROW()/100000,"")</f>
      </c>
    </row>
    <row r="5289">
      <c r="F5289">
        <f>IF(AND(资金台帐!J2292&lt;&gt;"",资金台帐!J2292=客户对账单!$B$4,资金台帐!P2292="应收",ISNUMBER(资金台帐!B2292),资金台帐!B2292&gt;=客户对账单!$G$4,资金台帐!B2292&lt;=客户对账单!$I$4),资金台帐!B2292+ROW()/100000,"")</f>
      </c>
    </row>
    <row r="5290">
      <c r="F5290">
        <f>IF(AND(资金台帐!J2293&lt;&gt;"",资金台帐!J2293=客户对账单!$B$4,资金台帐!P2293="应收",ISNUMBER(资金台帐!B2293),资金台帐!B2293&gt;=客户对账单!$G$4,资金台帐!B2293&lt;=客户对账单!$I$4),资金台帐!B2293+ROW()/100000,"")</f>
      </c>
    </row>
    <row r="5291">
      <c r="F5291">
        <f>IF(AND(资金台帐!J2294&lt;&gt;"",资金台帐!J2294=客户对账单!$B$4,资金台帐!P2294="应收",ISNUMBER(资金台帐!B2294),资金台帐!B2294&gt;=客户对账单!$G$4,资金台帐!B2294&lt;=客户对账单!$I$4),资金台帐!B2294+ROW()/100000,"")</f>
      </c>
    </row>
    <row r="5292">
      <c r="F5292">
        <f>IF(AND(资金台帐!J2295&lt;&gt;"",资金台帐!J2295=客户对账单!$B$4,资金台帐!P2295="应收",ISNUMBER(资金台帐!B2295),资金台帐!B2295&gt;=客户对账单!$G$4,资金台帐!B2295&lt;=客户对账单!$I$4),资金台帐!B2295+ROW()/100000,"")</f>
      </c>
    </row>
    <row r="5293">
      <c r="F5293">
        <f>IF(AND(资金台帐!J2296&lt;&gt;"",资金台帐!J2296=客户对账单!$B$4,资金台帐!P2296="应收",ISNUMBER(资金台帐!B2296),资金台帐!B2296&gt;=客户对账单!$G$4,资金台帐!B2296&lt;=客户对账单!$I$4),资金台帐!B2296+ROW()/100000,"")</f>
      </c>
    </row>
    <row r="5294">
      <c r="F5294">
        <f>IF(AND(资金台帐!J2297&lt;&gt;"",资金台帐!J2297=客户对账单!$B$4,资金台帐!P2297="应收",ISNUMBER(资金台帐!B2297),资金台帐!B2297&gt;=客户对账单!$G$4,资金台帐!B2297&lt;=客户对账单!$I$4),资金台帐!B2297+ROW()/100000,"")</f>
      </c>
    </row>
    <row r="5295">
      <c r="F5295">
        <f>IF(AND(资金台帐!J2298&lt;&gt;"",资金台帐!J2298=客户对账单!$B$4,资金台帐!P2298="应收",ISNUMBER(资金台帐!B2298),资金台帐!B2298&gt;=客户对账单!$G$4,资金台帐!B2298&lt;=客户对账单!$I$4),资金台帐!B2298+ROW()/100000,"")</f>
      </c>
    </row>
    <row r="5296">
      <c r="F5296">
        <f>IF(AND(资金台帐!J2299&lt;&gt;"",资金台帐!J2299=客户对账单!$B$4,资金台帐!P2299="应收",ISNUMBER(资金台帐!B2299),资金台帐!B2299&gt;=客户对账单!$G$4,资金台帐!B2299&lt;=客户对账单!$I$4),资金台帐!B2299+ROW()/100000,"")</f>
      </c>
    </row>
    <row r="5297">
      <c r="F5297">
        <f>IF(AND(资金台帐!J2300&lt;&gt;"",资金台帐!J2300=客户对账单!$B$4,资金台帐!P2300="应收",ISNUMBER(资金台帐!B2300),资金台帐!B2300&gt;=客户对账单!$G$4,资金台帐!B2300&lt;=客户对账单!$I$4),资金台帐!B2300+ROW()/100000,"")</f>
      </c>
    </row>
    <row r="5298">
      <c r="F5298">
        <f>IF(AND(资金台帐!J2301&lt;&gt;"",资金台帐!J2301=客户对账单!$B$4,资金台帐!P2301="应收",ISNUMBER(资金台帐!B2301),资金台帐!B2301&gt;=客户对账单!$G$4,资金台帐!B2301&lt;=客户对账单!$I$4),资金台帐!B2301+ROW()/100000,"")</f>
      </c>
    </row>
    <row r="5299">
      <c r="F5299">
        <f>IF(AND(资金台帐!J2302&lt;&gt;"",资金台帐!J2302=客户对账单!$B$4,资金台帐!P2302="应收",ISNUMBER(资金台帐!B2302),资金台帐!B2302&gt;=客户对账单!$G$4,资金台帐!B2302&lt;=客户对账单!$I$4),资金台帐!B2302+ROW()/100000,"")</f>
      </c>
    </row>
    <row r="5300">
      <c r="F5300">
        <f>IF(AND(资金台帐!J2303&lt;&gt;"",资金台帐!J2303=客户对账单!$B$4,资金台帐!P2303="应收",ISNUMBER(资金台帐!B2303),资金台帐!B2303&gt;=客户对账单!$G$4,资金台帐!B2303&lt;=客户对账单!$I$4),资金台帐!B2303+ROW()/100000,"")</f>
      </c>
    </row>
    <row r="5301">
      <c r="F5301">
        <f>IF(AND(资金台帐!J2304&lt;&gt;"",资金台帐!J2304=客户对账单!$B$4,资金台帐!P2304="应收",ISNUMBER(资金台帐!B2304),资金台帐!B2304&gt;=客户对账单!$G$4,资金台帐!B2304&lt;=客户对账单!$I$4),资金台帐!B2304+ROW()/100000,"")</f>
      </c>
    </row>
    <row r="5302">
      <c r="F5302">
        <f>IF(AND(资金台帐!J2305&lt;&gt;"",资金台帐!J2305=客户对账单!$B$4,资金台帐!P2305="应收",ISNUMBER(资金台帐!B2305),资金台帐!B2305&gt;=客户对账单!$G$4,资金台帐!B2305&lt;=客户对账单!$I$4),资金台帐!B2305+ROW()/100000,"")</f>
      </c>
    </row>
    <row r="5303">
      <c r="F5303">
        <f>IF(AND(资金台帐!J2306&lt;&gt;"",资金台帐!J2306=客户对账单!$B$4,资金台帐!P2306="应收",ISNUMBER(资金台帐!B2306),资金台帐!B2306&gt;=客户对账单!$G$4,资金台帐!B2306&lt;=客户对账单!$I$4),资金台帐!B2306+ROW()/100000,"")</f>
      </c>
    </row>
    <row r="5304">
      <c r="F5304">
        <f>IF(AND(资金台帐!J2307&lt;&gt;"",资金台帐!J2307=客户对账单!$B$4,资金台帐!P2307="应收",ISNUMBER(资金台帐!B2307),资金台帐!B2307&gt;=客户对账单!$G$4,资金台帐!B2307&lt;=客户对账单!$I$4),资金台帐!B2307+ROW()/100000,"")</f>
      </c>
    </row>
    <row r="5305">
      <c r="F5305">
        <f>IF(AND(资金台帐!J2308&lt;&gt;"",资金台帐!J2308=客户对账单!$B$4,资金台帐!P2308="应收",ISNUMBER(资金台帐!B2308),资金台帐!B2308&gt;=客户对账单!$G$4,资金台帐!B2308&lt;=客户对账单!$I$4),资金台帐!B2308+ROW()/100000,"")</f>
      </c>
    </row>
    <row r="5306">
      <c r="F5306">
        <f>IF(AND(资金台帐!J2309&lt;&gt;"",资金台帐!J2309=客户对账单!$B$4,资金台帐!P2309="应收",ISNUMBER(资金台帐!B2309),资金台帐!B2309&gt;=客户对账单!$G$4,资金台帐!B2309&lt;=客户对账单!$I$4),资金台帐!B2309+ROW()/100000,"")</f>
      </c>
    </row>
    <row r="5307">
      <c r="F5307">
        <f>IF(AND(资金台帐!J2310&lt;&gt;"",资金台帐!J2310=客户对账单!$B$4,资金台帐!P2310="应收",ISNUMBER(资金台帐!B2310),资金台帐!B2310&gt;=客户对账单!$G$4,资金台帐!B2310&lt;=客户对账单!$I$4),资金台帐!B2310+ROW()/100000,"")</f>
      </c>
    </row>
    <row r="5308">
      <c r="F5308">
        <f>IF(AND(资金台帐!J2311&lt;&gt;"",资金台帐!J2311=客户对账单!$B$4,资金台帐!P2311="应收",ISNUMBER(资金台帐!B2311),资金台帐!B2311&gt;=客户对账单!$G$4,资金台帐!B2311&lt;=客户对账单!$I$4),资金台帐!B2311+ROW()/100000,"")</f>
      </c>
    </row>
    <row r="5309">
      <c r="F5309">
        <f>IF(AND(资金台帐!J2312&lt;&gt;"",资金台帐!J2312=客户对账单!$B$4,资金台帐!P2312="应收",ISNUMBER(资金台帐!B2312),资金台帐!B2312&gt;=客户对账单!$G$4,资金台帐!B2312&lt;=客户对账单!$I$4),资金台帐!B2312+ROW()/100000,"")</f>
      </c>
    </row>
    <row r="5310">
      <c r="F5310">
        <f>IF(AND(资金台帐!J2313&lt;&gt;"",资金台帐!J2313=客户对账单!$B$4,资金台帐!P2313="应收",ISNUMBER(资金台帐!B2313),资金台帐!B2313&gt;=客户对账单!$G$4,资金台帐!B2313&lt;=客户对账单!$I$4),资金台帐!B2313+ROW()/100000,"")</f>
      </c>
    </row>
    <row r="5311">
      <c r="F5311">
        <f>IF(AND(资金台帐!J2314&lt;&gt;"",资金台帐!J2314=客户对账单!$B$4,资金台帐!P2314="应收",ISNUMBER(资金台帐!B2314),资金台帐!B2314&gt;=客户对账单!$G$4,资金台帐!B2314&lt;=客户对账单!$I$4),资金台帐!B2314+ROW()/100000,"")</f>
      </c>
    </row>
    <row r="5312">
      <c r="F5312">
        <f>IF(AND(资金台帐!J2315&lt;&gt;"",资金台帐!J2315=客户对账单!$B$4,资金台帐!P2315="应收",ISNUMBER(资金台帐!B2315),资金台帐!B2315&gt;=客户对账单!$G$4,资金台帐!B2315&lt;=客户对账单!$I$4),资金台帐!B2315+ROW()/100000,"")</f>
      </c>
    </row>
    <row r="5313">
      <c r="F5313">
        <f>IF(AND(资金台帐!J2316&lt;&gt;"",资金台帐!J2316=客户对账单!$B$4,资金台帐!P2316="应收",ISNUMBER(资金台帐!B2316),资金台帐!B2316&gt;=客户对账单!$G$4,资金台帐!B2316&lt;=客户对账单!$I$4),资金台帐!B2316+ROW()/100000,"")</f>
      </c>
    </row>
    <row r="5314">
      <c r="F5314">
        <f>IF(AND(资金台帐!J2317&lt;&gt;"",资金台帐!J2317=客户对账单!$B$4,资金台帐!P2317="应收",ISNUMBER(资金台帐!B2317),资金台帐!B2317&gt;=客户对账单!$G$4,资金台帐!B2317&lt;=客户对账单!$I$4),资金台帐!B2317+ROW()/100000,"")</f>
      </c>
    </row>
    <row r="5315">
      <c r="F5315">
        <f>IF(AND(资金台帐!J2318&lt;&gt;"",资金台帐!J2318=客户对账单!$B$4,资金台帐!P2318="应收",ISNUMBER(资金台帐!B2318),资金台帐!B2318&gt;=客户对账单!$G$4,资金台帐!B2318&lt;=客户对账单!$I$4),资金台帐!B2318+ROW()/100000,"")</f>
      </c>
    </row>
    <row r="5316">
      <c r="F5316">
        <f>IF(AND(资金台帐!J2319&lt;&gt;"",资金台帐!J2319=客户对账单!$B$4,资金台帐!P2319="应收",ISNUMBER(资金台帐!B2319),资金台帐!B2319&gt;=客户对账单!$G$4,资金台帐!B2319&lt;=客户对账单!$I$4),资金台帐!B2319+ROW()/100000,"")</f>
      </c>
    </row>
    <row r="5317">
      <c r="F5317">
        <f>IF(AND(资金台帐!J2320&lt;&gt;"",资金台帐!J2320=客户对账单!$B$4,资金台帐!P2320="应收",ISNUMBER(资金台帐!B2320),资金台帐!B2320&gt;=客户对账单!$G$4,资金台帐!B2320&lt;=客户对账单!$I$4),资金台帐!B2320+ROW()/100000,"")</f>
      </c>
    </row>
    <row r="5318">
      <c r="F5318">
        <f>IF(AND(资金台帐!J2321&lt;&gt;"",资金台帐!J2321=客户对账单!$B$4,资金台帐!P2321="应收",ISNUMBER(资金台帐!B2321),资金台帐!B2321&gt;=客户对账单!$G$4,资金台帐!B2321&lt;=客户对账单!$I$4),资金台帐!B2321+ROW()/100000,"")</f>
      </c>
    </row>
    <row r="5319">
      <c r="F5319">
        <f>IF(AND(资金台帐!J2322&lt;&gt;"",资金台帐!J2322=客户对账单!$B$4,资金台帐!P2322="应收",ISNUMBER(资金台帐!B2322),资金台帐!B2322&gt;=客户对账单!$G$4,资金台帐!B2322&lt;=客户对账单!$I$4),资金台帐!B2322+ROW()/100000,"")</f>
      </c>
    </row>
    <row r="5320">
      <c r="F5320">
        <f>IF(AND(资金台帐!J2323&lt;&gt;"",资金台帐!J2323=客户对账单!$B$4,资金台帐!P2323="应收",ISNUMBER(资金台帐!B2323),资金台帐!B2323&gt;=客户对账单!$G$4,资金台帐!B2323&lt;=客户对账单!$I$4),资金台帐!B2323+ROW()/100000,"")</f>
      </c>
    </row>
    <row r="5321">
      <c r="F5321">
        <f>IF(AND(资金台帐!J2324&lt;&gt;"",资金台帐!J2324=客户对账单!$B$4,资金台帐!P2324="应收",ISNUMBER(资金台帐!B2324),资金台帐!B2324&gt;=客户对账单!$G$4,资金台帐!B2324&lt;=客户对账单!$I$4),资金台帐!B2324+ROW()/100000,"")</f>
      </c>
    </row>
    <row r="5322">
      <c r="F5322">
        <f>IF(AND(资金台帐!J2325&lt;&gt;"",资金台帐!J2325=客户对账单!$B$4,资金台帐!P2325="应收",ISNUMBER(资金台帐!B2325),资金台帐!B2325&gt;=客户对账单!$G$4,资金台帐!B2325&lt;=客户对账单!$I$4),资金台帐!B2325+ROW()/100000,"")</f>
      </c>
    </row>
    <row r="5323">
      <c r="F5323">
        <f>IF(AND(资金台帐!J2326&lt;&gt;"",资金台帐!J2326=客户对账单!$B$4,资金台帐!P2326="应收",ISNUMBER(资金台帐!B2326),资金台帐!B2326&gt;=客户对账单!$G$4,资金台帐!B2326&lt;=客户对账单!$I$4),资金台帐!B2326+ROW()/100000,"")</f>
      </c>
    </row>
    <row r="5324">
      <c r="F5324">
        <f>IF(AND(资金台帐!J2327&lt;&gt;"",资金台帐!J2327=客户对账单!$B$4,资金台帐!P2327="应收",ISNUMBER(资金台帐!B2327),资金台帐!B2327&gt;=客户对账单!$G$4,资金台帐!B2327&lt;=客户对账单!$I$4),资金台帐!B2327+ROW()/100000,"")</f>
      </c>
    </row>
    <row r="5325">
      <c r="F5325">
        <f>IF(AND(资金台帐!J2328&lt;&gt;"",资金台帐!J2328=客户对账单!$B$4,资金台帐!P2328="应收",ISNUMBER(资金台帐!B2328),资金台帐!B2328&gt;=客户对账单!$G$4,资金台帐!B2328&lt;=客户对账单!$I$4),资金台帐!B2328+ROW()/100000,"")</f>
      </c>
    </row>
    <row r="5326">
      <c r="F5326">
        <f>IF(AND(资金台帐!J2329&lt;&gt;"",资金台帐!J2329=客户对账单!$B$4,资金台帐!P2329="应收",ISNUMBER(资金台帐!B2329),资金台帐!B2329&gt;=客户对账单!$G$4,资金台帐!B2329&lt;=客户对账单!$I$4),资金台帐!B2329+ROW()/100000,"")</f>
      </c>
    </row>
    <row r="5327">
      <c r="F5327">
        <f>IF(AND(资金台帐!J2330&lt;&gt;"",资金台帐!J2330=客户对账单!$B$4,资金台帐!P2330="应收",ISNUMBER(资金台帐!B2330),资金台帐!B2330&gt;=客户对账单!$G$4,资金台帐!B2330&lt;=客户对账单!$I$4),资金台帐!B2330+ROW()/100000,"")</f>
      </c>
    </row>
    <row r="5328">
      <c r="F5328">
        <f>IF(AND(资金台帐!J2331&lt;&gt;"",资金台帐!J2331=客户对账单!$B$4,资金台帐!P2331="应收",ISNUMBER(资金台帐!B2331),资金台帐!B2331&gt;=客户对账单!$G$4,资金台帐!B2331&lt;=客户对账单!$I$4),资金台帐!B2331+ROW()/100000,"")</f>
      </c>
    </row>
    <row r="5329">
      <c r="F5329">
        <f>IF(AND(资金台帐!J2332&lt;&gt;"",资金台帐!J2332=客户对账单!$B$4,资金台帐!P2332="应收",ISNUMBER(资金台帐!B2332),资金台帐!B2332&gt;=客户对账单!$G$4,资金台帐!B2332&lt;=客户对账单!$I$4),资金台帐!B2332+ROW()/100000,"")</f>
      </c>
    </row>
    <row r="5330">
      <c r="F5330">
        <f>IF(AND(资金台帐!J2333&lt;&gt;"",资金台帐!J2333=客户对账单!$B$4,资金台帐!P2333="应收",ISNUMBER(资金台帐!B2333),资金台帐!B2333&gt;=客户对账单!$G$4,资金台帐!B2333&lt;=客户对账单!$I$4),资金台帐!B2333+ROW()/100000,"")</f>
      </c>
    </row>
    <row r="5331">
      <c r="F5331">
        <f>IF(AND(资金台帐!J2334&lt;&gt;"",资金台帐!J2334=客户对账单!$B$4,资金台帐!P2334="应收",ISNUMBER(资金台帐!B2334),资金台帐!B2334&gt;=客户对账单!$G$4,资金台帐!B2334&lt;=客户对账单!$I$4),资金台帐!B2334+ROW()/100000,"")</f>
      </c>
    </row>
    <row r="5332">
      <c r="F5332">
        <f>IF(AND(资金台帐!J2335&lt;&gt;"",资金台帐!J2335=客户对账单!$B$4,资金台帐!P2335="应收",ISNUMBER(资金台帐!B2335),资金台帐!B2335&gt;=客户对账单!$G$4,资金台帐!B2335&lt;=客户对账单!$I$4),资金台帐!B2335+ROW()/100000,"")</f>
      </c>
    </row>
    <row r="5333">
      <c r="F5333">
        <f>IF(AND(资金台帐!J2336&lt;&gt;"",资金台帐!J2336=客户对账单!$B$4,资金台帐!P2336="应收",ISNUMBER(资金台帐!B2336),资金台帐!B2336&gt;=客户对账单!$G$4,资金台帐!B2336&lt;=客户对账单!$I$4),资金台帐!B2336+ROW()/100000,"")</f>
      </c>
    </row>
    <row r="5334">
      <c r="F5334">
        <f>IF(AND(资金台帐!J2337&lt;&gt;"",资金台帐!J2337=客户对账单!$B$4,资金台帐!P2337="应收",ISNUMBER(资金台帐!B2337),资金台帐!B2337&gt;=客户对账单!$G$4,资金台帐!B2337&lt;=客户对账单!$I$4),资金台帐!B2337+ROW()/100000,"")</f>
      </c>
    </row>
    <row r="5335">
      <c r="F5335">
        <f>IF(AND(资金台帐!J2338&lt;&gt;"",资金台帐!J2338=客户对账单!$B$4,资金台帐!P2338="应收",ISNUMBER(资金台帐!B2338),资金台帐!B2338&gt;=客户对账单!$G$4,资金台帐!B2338&lt;=客户对账单!$I$4),资金台帐!B2338+ROW()/100000,"")</f>
      </c>
    </row>
    <row r="5336">
      <c r="F5336">
        <f>IF(AND(资金台帐!J2339&lt;&gt;"",资金台帐!J2339=客户对账单!$B$4,资金台帐!P2339="应收",ISNUMBER(资金台帐!B2339),资金台帐!B2339&gt;=客户对账单!$G$4,资金台帐!B2339&lt;=客户对账单!$I$4),资金台帐!B2339+ROW()/100000,"")</f>
      </c>
    </row>
    <row r="5337">
      <c r="F5337">
        <f>IF(AND(资金台帐!J2340&lt;&gt;"",资金台帐!J2340=客户对账单!$B$4,资金台帐!P2340="应收",ISNUMBER(资金台帐!B2340),资金台帐!B2340&gt;=客户对账单!$G$4,资金台帐!B2340&lt;=客户对账单!$I$4),资金台帐!B2340+ROW()/100000,"")</f>
      </c>
    </row>
    <row r="5338">
      <c r="F5338">
        <f>IF(AND(资金台帐!J2341&lt;&gt;"",资金台帐!J2341=客户对账单!$B$4,资金台帐!P2341="应收",ISNUMBER(资金台帐!B2341),资金台帐!B2341&gt;=客户对账单!$G$4,资金台帐!B2341&lt;=客户对账单!$I$4),资金台帐!B2341+ROW()/100000,"")</f>
      </c>
    </row>
    <row r="5339">
      <c r="F5339">
        <f>IF(AND(资金台帐!J2342&lt;&gt;"",资金台帐!J2342=客户对账单!$B$4,资金台帐!P2342="应收",ISNUMBER(资金台帐!B2342),资金台帐!B2342&gt;=客户对账单!$G$4,资金台帐!B2342&lt;=客户对账单!$I$4),资金台帐!B2342+ROW()/100000,"")</f>
      </c>
    </row>
    <row r="5340">
      <c r="F5340">
        <f>IF(AND(资金台帐!J2343&lt;&gt;"",资金台帐!J2343=客户对账单!$B$4,资金台帐!P2343="应收",ISNUMBER(资金台帐!B2343),资金台帐!B2343&gt;=客户对账单!$G$4,资金台帐!B2343&lt;=客户对账单!$I$4),资金台帐!B2343+ROW()/100000,"")</f>
      </c>
    </row>
    <row r="5341">
      <c r="F5341">
        <f>IF(AND(资金台帐!J2344&lt;&gt;"",资金台帐!J2344=客户对账单!$B$4,资金台帐!P2344="应收",ISNUMBER(资金台帐!B2344),资金台帐!B2344&gt;=客户对账单!$G$4,资金台帐!B2344&lt;=客户对账单!$I$4),资金台帐!B2344+ROW()/100000,"")</f>
      </c>
    </row>
    <row r="5342">
      <c r="F5342">
        <f>IF(AND(资金台帐!J2345&lt;&gt;"",资金台帐!J2345=客户对账单!$B$4,资金台帐!P2345="应收",ISNUMBER(资金台帐!B2345),资金台帐!B2345&gt;=客户对账单!$G$4,资金台帐!B2345&lt;=客户对账单!$I$4),资金台帐!B2345+ROW()/100000,"")</f>
      </c>
    </row>
    <row r="5343">
      <c r="F5343">
        <f>IF(AND(资金台帐!J2346&lt;&gt;"",资金台帐!J2346=客户对账单!$B$4,资金台帐!P2346="应收",ISNUMBER(资金台帐!B2346),资金台帐!B2346&gt;=客户对账单!$G$4,资金台帐!B2346&lt;=客户对账单!$I$4),资金台帐!B2346+ROW()/100000,"")</f>
      </c>
    </row>
    <row r="5344">
      <c r="F5344">
        <f>IF(AND(资金台帐!J2347&lt;&gt;"",资金台帐!J2347=客户对账单!$B$4,资金台帐!P2347="应收",ISNUMBER(资金台帐!B2347),资金台帐!B2347&gt;=客户对账单!$G$4,资金台帐!B2347&lt;=客户对账单!$I$4),资金台帐!B2347+ROW()/100000,"")</f>
      </c>
    </row>
    <row r="5345">
      <c r="F5345">
        <f>IF(AND(资金台帐!J2348&lt;&gt;"",资金台帐!J2348=客户对账单!$B$4,资金台帐!P2348="应收",ISNUMBER(资金台帐!B2348),资金台帐!B2348&gt;=客户对账单!$G$4,资金台帐!B2348&lt;=客户对账单!$I$4),资金台帐!B2348+ROW()/100000,"")</f>
      </c>
    </row>
    <row r="5346">
      <c r="F5346">
        <f>IF(AND(资金台帐!J2349&lt;&gt;"",资金台帐!J2349=客户对账单!$B$4,资金台帐!P2349="应收",ISNUMBER(资金台帐!B2349),资金台帐!B2349&gt;=客户对账单!$G$4,资金台帐!B2349&lt;=客户对账单!$I$4),资金台帐!B2349+ROW()/100000,"")</f>
      </c>
    </row>
    <row r="5347">
      <c r="F5347">
        <f>IF(AND(资金台帐!J2350&lt;&gt;"",资金台帐!J2350=客户对账单!$B$4,资金台帐!P2350="应收",ISNUMBER(资金台帐!B2350),资金台帐!B2350&gt;=客户对账单!$G$4,资金台帐!B2350&lt;=客户对账单!$I$4),资金台帐!B2350+ROW()/100000,"")</f>
      </c>
    </row>
    <row r="5348">
      <c r="F5348">
        <f>IF(AND(资金台帐!J2351&lt;&gt;"",资金台帐!J2351=客户对账单!$B$4,资金台帐!P2351="应收",ISNUMBER(资金台帐!B2351),资金台帐!B2351&gt;=客户对账单!$G$4,资金台帐!B2351&lt;=客户对账单!$I$4),资金台帐!B2351+ROW()/100000,"")</f>
      </c>
    </row>
    <row r="5349">
      <c r="F5349">
        <f>IF(AND(资金台帐!J2352&lt;&gt;"",资金台帐!J2352=客户对账单!$B$4,资金台帐!P2352="应收",ISNUMBER(资金台帐!B2352),资金台帐!B2352&gt;=客户对账单!$G$4,资金台帐!B2352&lt;=客户对账单!$I$4),资金台帐!B2352+ROW()/100000,"")</f>
      </c>
    </row>
    <row r="5350">
      <c r="F5350">
        <f>IF(AND(资金台帐!J2353&lt;&gt;"",资金台帐!J2353=客户对账单!$B$4,资金台帐!P2353="应收",ISNUMBER(资金台帐!B2353),资金台帐!B2353&gt;=客户对账单!$G$4,资金台帐!B2353&lt;=客户对账单!$I$4),资金台帐!B2353+ROW()/100000,"")</f>
      </c>
    </row>
    <row r="5351">
      <c r="F5351">
        <f>IF(AND(资金台帐!J2354&lt;&gt;"",资金台帐!J2354=客户对账单!$B$4,资金台帐!P2354="应收",ISNUMBER(资金台帐!B2354),资金台帐!B2354&gt;=客户对账单!$G$4,资金台帐!B2354&lt;=客户对账单!$I$4),资金台帐!B2354+ROW()/100000,"")</f>
      </c>
    </row>
    <row r="5352">
      <c r="F5352">
        <f>IF(AND(资金台帐!J2355&lt;&gt;"",资金台帐!J2355=客户对账单!$B$4,资金台帐!P2355="应收",ISNUMBER(资金台帐!B2355),资金台帐!B2355&gt;=客户对账单!$G$4,资金台帐!B2355&lt;=客户对账单!$I$4),资金台帐!B2355+ROW()/100000,"")</f>
      </c>
    </row>
    <row r="5353">
      <c r="F5353">
        <f>IF(AND(资金台帐!J2356&lt;&gt;"",资金台帐!J2356=客户对账单!$B$4,资金台帐!P2356="应收",ISNUMBER(资金台帐!B2356),资金台帐!B2356&gt;=客户对账单!$G$4,资金台帐!B2356&lt;=客户对账单!$I$4),资金台帐!B2356+ROW()/100000,"")</f>
      </c>
    </row>
    <row r="5354">
      <c r="F5354">
        <f>IF(AND(资金台帐!J2357&lt;&gt;"",资金台帐!J2357=客户对账单!$B$4,资金台帐!P2357="应收",ISNUMBER(资金台帐!B2357),资金台帐!B2357&gt;=客户对账单!$G$4,资金台帐!B2357&lt;=客户对账单!$I$4),资金台帐!B2357+ROW()/100000,"")</f>
      </c>
    </row>
    <row r="5355">
      <c r="F5355">
        <f>IF(AND(资金台帐!J2358&lt;&gt;"",资金台帐!J2358=客户对账单!$B$4,资金台帐!P2358="应收",ISNUMBER(资金台帐!B2358),资金台帐!B2358&gt;=客户对账单!$G$4,资金台帐!B2358&lt;=客户对账单!$I$4),资金台帐!B2358+ROW()/100000,"")</f>
      </c>
    </row>
    <row r="5356">
      <c r="F5356">
        <f>IF(AND(资金台帐!J2359&lt;&gt;"",资金台帐!J2359=客户对账单!$B$4,资金台帐!P2359="应收",ISNUMBER(资金台帐!B2359),资金台帐!B2359&gt;=客户对账单!$G$4,资金台帐!B2359&lt;=客户对账单!$I$4),资金台帐!B2359+ROW()/100000,"")</f>
      </c>
    </row>
    <row r="5357">
      <c r="F5357">
        <f>IF(AND(资金台帐!J2360&lt;&gt;"",资金台帐!J2360=客户对账单!$B$4,资金台帐!P2360="应收",ISNUMBER(资金台帐!B2360),资金台帐!B2360&gt;=客户对账单!$G$4,资金台帐!B2360&lt;=客户对账单!$I$4),资金台帐!B2360+ROW()/100000,"")</f>
      </c>
    </row>
    <row r="5358">
      <c r="F5358">
        <f>IF(AND(资金台帐!J2361&lt;&gt;"",资金台帐!J2361=客户对账单!$B$4,资金台帐!P2361="应收",ISNUMBER(资金台帐!B2361),资金台帐!B2361&gt;=客户对账单!$G$4,资金台帐!B2361&lt;=客户对账单!$I$4),资金台帐!B2361+ROW()/100000,"")</f>
      </c>
    </row>
    <row r="5359">
      <c r="F5359">
        <f>IF(AND(资金台帐!J2362&lt;&gt;"",资金台帐!J2362=客户对账单!$B$4,资金台帐!P2362="应收",ISNUMBER(资金台帐!B2362),资金台帐!B2362&gt;=客户对账单!$G$4,资金台帐!B2362&lt;=客户对账单!$I$4),资金台帐!B2362+ROW()/100000,"")</f>
      </c>
    </row>
    <row r="5360">
      <c r="F5360">
        <f>IF(AND(资金台帐!J2363&lt;&gt;"",资金台帐!J2363=客户对账单!$B$4,资金台帐!P2363="应收",ISNUMBER(资金台帐!B2363),资金台帐!B2363&gt;=客户对账单!$G$4,资金台帐!B2363&lt;=客户对账单!$I$4),资金台帐!B2363+ROW()/100000,"")</f>
      </c>
    </row>
    <row r="5361">
      <c r="F5361">
        <f>IF(AND(资金台帐!J2364&lt;&gt;"",资金台帐!J2364=客户对账单!$B$4,资金台帐!P2364="应收",ISNUMBER(资金台帐!B2364),资金台帐!B2364&gt;=客户对账单!$G$4,资金台帐!B2364&lt;=客户对账单!$I$4),资金台帐!B2364+ROW()/100000,"")</f>
      </c>
    </row>
    <row r="5362">
      <c r="F5362">
        <f>IF(AND(资金台帐!J2365&lt;&gt;"",资金台帐!J2365=客户对账单!$B$4,资金台帐!P2365="应收",ISNUMBER(资金台帐!B2365),资金台帐!B2365&gt;=客户对账单!$G$4,资金台帐!B2365&lt;=客户对账单!$I$4),资金台帐!B2365+ROW()/100000,"")</f>
      </c>
    </row>
    <row r="5363">
      <c r="F5363">
        <f>IF(AND(资金台帐!J2366&lt;&gt;"",资金台帐!J2366=客户对账单!$B$4,资金台帐!P2366="应收",ISNUMBER(资金台帐!B2366),资金台帐!B2366&gt;=客户对账单!$G$4,资金台帐!B2366&lt;=客户对账单!$I$4),资金台帐!B2366+ROW()/100000,"")</f>
      </c>
    </row>
    <row r="5364">
      <c r="F5364">
        <f>IF(AND(资金台帐!J2367&lt;&gt;"",资金台帐!J2367=客户对账单!$B$4,资金台帐!P2367="应收",ISNUMBER(资金台帐!B2367),资金台帐!B2367&gt;=客户对账单!$G$4,资金台帐!B2367&lt;=客户对账单!$I$4),资金台帐!B2367+ROW()/100000,"")</f>
      </c>
    </row>
    <row r="5365">
      <c r="F5365">
        <f>IF(AND(资金台帐!J2368&lt;&gt;"",资金台帐!J2368=客户对账单!$B$4,资金台帐!P2368="应收",ISNUMBER(资金台帐!B2368),资金台帐!B2368&gt;=客户对账单!$G$4,资金台帐!B2368&lt;=客户对账单!$I$4),资金台帐!B2368+ROW()/100000,"")</f>
      </c>
    </row>
    <row r="5366">
      <c r="F5366">
        <f>IF(AND(资金台帐!J2369&lt;&gt;"",资金台帐!J2369=客户对账单!$B$4,资金台帐!P2369="应收",ISNUMBER(资金台帐!B2369),资金台帐!B2369&gt;=客户对账单!$G$4,资金台帐!B2369&lt;=客户对账单!$I$4),资金台帐!B2369+ROW()/100000,"")</f>
      </c>
    </row>
    <row r="5367">
      <c r="F5367">
        <f>IF(AND(资金台帐!J2370&lt;&gt;"",资金台帐!J2370=客户对账单!$B$4,资金台帐!P2370="应收",ISNUMBER(资金台帐!B2370),资金台帐!B2370&gt;=客户对账单!$G$4,资金台帐!B2370&lt;=客户对账单!$I$4),资金台帐!B2370+ROW()/100000,"")</f>
      </c>
    </row>
    <row r="5368">
      <c r="F5368">
        <f>IF(AND(资金台帐!J2371&lt;&gt;"",资金台帐!J2371=客户对账单!$B$4,资金台帐!P2371="应收",ISNUMBER(资金台帐!B2371),资金台帐!B2371&gt;=客户对账单!$G$4,资金台帐!B2371&lt;=客户对账单!$I$4),资金台帐!B2371+ROW()/100000,"")</f>
      </c>
    </row>
    <row r="5369">
      <c r="F5369">
        <f>IF(AND(资金台帐!J2372&lt;&gt;"",资金台帐!J2372=客户对账单!$B$4,资金台帐!P2372="应收",ISNUMBER(资金台帐!B2372),资金台帐!B2372&gt;=客户对账单!$G$4,资金台帐!B2372&lt;=客户对账单!$I$4),资金台帐!B2372+ROW()/100000,"")</f>
      </c>
    </row>
    <row r="5370">
      <c r="F5370">
        <f>IF(AND(资金台帐!J2373&lt;&gt;"",资金台帐!J2373=客户对账单!$B$4,资金台帐!P2373="应收",ISNUMBER(资金台帐!B2373),资金台帐!B2373&gt;=客户对账单!$G$4,资金台帐!B2373&lt;=客户对账单!$I$4),资金台帐!B2373+ROW()/100000,"")</f>
      </c>
    </row>
    <row r="5371">
      <c r="F5371">
        <f>IF(AND(资金台帐!J2374&lt;&gt;"",资金台帐!J2374=客户对账单!$B$4,资金台帐!P2374="应收",ISNUMBER(资金台帐!B2374),资金台帐!B2374&gt;=客户对账单!$G$4,资金台帐!B2374&lt;=客户对账单!$I$4),资金台帐!B2374+ROW()/100000,"")</f>
      </c>
    </row>
    <row r="5372">
      <c r="F5372">
        <f>IF(AND(资金台帐!J2375&lt;&gt;"",资金台帐!J2375=客户对账单!$B$4,资金台帐!P2375="应收",ISNUMBER(资金台帐!B2375),资金台帐!B2375&gt;=客户对账单!$G$4,资金台帐!B2375&lt;=客户对账单!$I$4),资金台帐!B2375+ROW()/100000,"")</f>
      </c>
    </row>
    <row r="5373">
      <c r="F5373">
        <f>IF(AND(资金台帐!J2376&lt;&gt;"",资金台帐!J2376=客户对账单!$B$4,资金台帐!P2376="应收",ISNUMBER(资金台帐!B2376),资金台帐!B2376&gt;=客户对账单!$G$4,资金台帐!B2376&lt;=客户对账单!$I$4),资金台帐!B2376+ROW()/100000,"")</f>
      </c>
    </row>
    <row r="5374">
      <c r="F5374">
        <f>IF(AND(资金台帐!J2377&lt;&gt;"",资金台帐!J2377=客户对账单!$B$4,资金台帐!P2377="应收",ISNUMBER(资金台帐!B2377),资金台帐!B2377&gt;=客户对账单!$G$4,资金台帐!B2377&lt;=客户对账单!$I$4),资金台帐!B2377+ROW()/100000,"")</f>
      </c>
    </row>
    <row r="5375">
      <c r="F5375">
        <f>IF(AND(资金台帐!J2378&lt;&gt;"",资金台帐!J2378=客户对账单!$B$4,资金台帐!P2378="应收",ISNUMBER(资金台帐!B2378),资金台帐!B2378&gt;=客户对账单!$G$4,资金台帐!B2378&lt;=客户对账单!$I$4),资金台帐!B2378+ROW()/100000,"")</f>
      </c>
    </row>
    <row r="5376">
      <c r="F5376">
        <f>IF(AND(资金台帐!J2379&lt;&gt;"",资金台帐!J2379=客户对账单!$B$4,资金台帐!P2379="应收",ISNUMBER(资金台帐!B2379),资金台帐!B2379&gt;=客户对账单!$G$4,资金台帐!B2379&lt;=客户对账单!$I$4),资金台帐!B2379+ROW()/100000,"")</f>
      </c>
    </row>
    <row r="5377">
      <c r="F5377">
        <f>IF(AND(资金台帐!J2380&lt;&gt;"",资金台帐!J2380=客户对账单!$B$4,资金台帐!P2380="应收",ISNUMBER(资金台帐!B2380),资金台帐!B2380&gt;=客户对账单!$G$4,资金台帐!B2380&lt;=客户对账单!$I$4),资金台帐!B2380+ROW()/100000,"")</f>
      </c>
    </row>
    <row r="5378">
      <c r="F5378">
        <f>IF(AND(资金台帐!J2381&lt;&gt;"",资金台帐!J2381=客户对账单!$B$4,资金台帐!P2381="应收",ISNUMBER(资金台帐!B2381),资金台帐!B2381&gt;=客户对账单!$G$4,资金台帐!B2381&lt;=客户对账单!$I$4),资金台帐!B2381+ROW()/100000,"")</f>
      </c>
    </row>
    <row r="5379">
      <c r="F5379">
        <f>IF(AND(资金台帐!J2382&lt;&gt;"",资金台帐!J2382=客户对账单!$B$4,资金台帐!P2382="应收",ISNUMBER(资金台帐!B2382),资金台帐!B2382&gt;=客户对账单!$G$4,资金台帐!B2382&lt;=客户对账单!$I$4),资金台帐!B2382+ROW()/100000,"")</f>
      </c>
    </row>
    <row r="5380">
      <c r="F5380">
        <f>IF(AND(资金台帐!J2383&lt;&gt;"",资金台帐!J2383=客户对账单!$B$4,资金台帐!P2383="应收",ISNUMBER(资金台帐!B2383),资金台帐!B2383&gt;=客户对账单!$G$4,资金台帐!B2383&lt;=客户对账单!$I$4),资金台帐!B2383+ROW()/100000,"")</f>
      </c>
    </row>
    <row r="5381">
      <c r="F5381">
        <f>IF(AND(资金台帐!J2384&lt;&gt;"",资金台帐!J2384=客户对账单!$B$4,资金台帐!P2384="应收",ISNUMBER(资金台帐!B2384),资金台帐!B2384&gt;=客户对账单!$G$4,资金台帐!B2384&lt;=客户对账单!$I$4),资金台帐!B2384+ROW()/100000,"")</f>
      </c>
    </row>
    <row r="5382">
      <c r="F5382">
        <f>IF(AND(资金台帐!J2385&lt;&gt;"",资金台帐!J2385=客户对账单!$B$4,资金台帐!P2385="应收",ISNUMBER(资金台帐!B2385),资金台帐!B2385&gt;=客户对账单!$G$4,资金台帐!B2385&lt;=客户对账单!$I$4),资金台帐!B2385+ROW()/100000,"")</f>
      </c>
    </row>
    <row r="5383">
      <c r="F5383">
        <f>IF(AND(资金台帐!J2386&lt;&gt;"",资金台帐!J2386=客户对账单!$B$4,资金台帐!P2386="应收",ISNUMBER(资金台帐!B2386),资金台帐!B2386&gt;=客户对账单!$G$4,资金台帐!B2386&lt;=客户对账单!$I$4),资金台帐!B2386+ROW()/100000,"")</f>
      </c>
    </row>
    <row r="5384">
      <c r="F5384">
        <f>IF(AND(资金台帐!J2387&lt;&gt;"",资金台帐!J2387=客户对账单!$B$4,资金台帐!P2387="应收",ISNUMBER(资金台帐!B2387),资金台帐!B2387&gt;=客户对账单!$G$4,资金台帐!B2387&lt;=客户对账单!$I$4),资金台帐!B2387+ROW()/100000,"")</f>
      </c>
    </row>
    <row r="5385">
      <c r="F5385">
        <f>IF(AND(资金台帐!J2388&lt;&gt;"",资金台帐!J2388=客户对账单!$B$4,资金台帐!P2388="应收",ISNUMBER(资金台帐!B2388),资金台帐!B2388&gt;=客户对账单!$G$4,资金台帐!B2388&lt;=客户对账单!$I$4),资金台帐!B2388+ROW()/100000,"")</f>
      </c>
    </row>
    <row r="5386">
      <c r="F5386">
        <f>IF(AND(资金台帐!J2389&lt;&gt;"",资金台帐!J2389=客户对账单!$B$4,资金台帐!P2389="应收",ISNUMBER(资金台帐!B2389),资金台帐!B2389&gt;=客户对账单!$G$4,资金台帐!B2389&lt;=客户对账单!$I$4),资金台帐!B2389+ROW()/100000,"")</f>
      </c>
    </row>
    <row r="5387">
      <c r="F5387">
        <f>IF(AND(资金台帐!J2390&lt;&gt;"",资金台帐!J2390=客户对账单!$B$4,资金台帐!P2390="应收",ISNUMBER(资金台帐!B2390),资金台帐!B2390&gt;=客户对账单!$G$4,资金台帐!B2390&lt;=客户对账单!$I$4),资金台帐!B2390+ROW()/100000,"")</f>
      </c>
    </row>
    <row r="5388">
      <c r="F5388">
        <f>IF(AND(资金台帐!J2391&lt;&gt;"",资金台帐!J2391=客户对账单!$B$4,资金台帐!P2391="应收",ISNUMBER(资金台帐!B2391),资金台帐!B2391&gt;=客户对账单!$G$4,资金台帐!B2391&lt;=客户对账单!$I$4),资金台帐!B2391+ROW()/100000,"")</f>
      </c>
    </row>
    <row r="5389">
      <c r="F5389">
        <f>IF(AND(资金台帐!J2392&lt;&gt;"",资金台帐!J2392=客户对账单!$B$4,资金台帐!P2392="应收",ISNUMBER(资金台帐!B2392),资金台帐!B2392&gt;=客户对账单!$G$4,资金台帐!B2392&lt;=客户对账单!$I$4),资金台帐!B2392+ROW()/100000,"")</f>
      </c>
    </row>
    <row r="5390">
      <c r="F5390">
        <f>IF(AND(资金台帐!J2393&lt;&gt;"",资金台帐!J2393=客户对账单!$B$4,资金台帐!P2393="应收",ISNUMBER(资金台帐!B2393),资金台帐!B2393&gt;=客户对账单!$G$4,资金台帐!B2393&lt;=客户对账单!$I$4),资金台帐!B2393+ROW()/100000,"")</f>
      </c>
    </row>
    <row r="5391">
      <c r="F5391">
        <f>IF(AND(资金台帐!J2394&lt;&gt;"",资金台帐!J2394=客户对账单!$B$4,资金台帐!P2394="应收",ISNUMBER(资金台帐!B2394),资金台帐!B2394&gt;=客户对账单!$G$4,资金台帐!B2394&lt;=客户对账单!$I$4),资金台帐!B2394+ROW()/100000,"")</f>
      </c>
    </row>
    <row r="5392">
      <c r="F5392">
        <f>IF(AND(资金台帐!J2395&lt;&gt;"",资金台帐!J2395=客户对账单!$B$4,资金台帐!P2395="应收",ISNUMBER(资金台帐!B2395),资金台帐!B2395&gt;=客户对账单!$G$4,资金台帐!B2395&lt;=客户对账单!$I$4),资金台帐!B2395+ROW()/100000,"")</f>
      </c>
    </row>
    <row r="5393">
      <c r="F5393">
        <f>IF(AND(资金台帐!J2396&lt;&gt;"",资金台帐!J2396=客户对账单!$B$4,资金台帐!P2396="应收",ISNUMBER(资金台帐!B2396),资金台帐!B2396&gt;=客户对账单!$G$4,资金台帐!B2396&lt;=客户对账单!$I$4),资金台帐!B2396+ROW()/100000,"")</f>
      </c>
    </row>
    <row r="5394">
      <c r="F5394">
        <f>IF(AND(资金台帐!J2397&lt;&gt;"",资金台帐!J2397=客户对账单!$B$4,资金台帐!P2397="应收",ISNUMBER(资金台帐!B2397),资金台帐!B2397&gt;=客户对账单!$G$4,资金台帐!B2397&lt;=客户对账单!$I$4),资金台帐!B2397+ROW()/100000,"")</f>
      </c>
    </row>
    <row r="5395">
      <c r="F5395">
        <f>IF(AND(资金台帐!J2398&lt;&gt;"",资金台帐!J2398=客户对账单!$B$4,资金台帐!P2398="应收",ISNUMBER(资金台帐!B2398),资金台帐!B2398&gt;=客户对账单!$G$4,资金台帐!B2398&lt;=客户对账单!$I$4),资金台帐!B2398+ROW()/100000,"")</f>
      </c>
    </row>
    <row r="5396">
      <c r="F5396">
        <f>IF(AND(资金台帐!J2399&lt;&gt;"",资金台帐!J2399=客户对账单!$B$4,资金台帐!P2399="应收",ISNUMBER(资金台帐!B2399),资金台帐!B2399&gt;=客户对账单!$G$4,资金台帐!B2399&lt;=客户对账单!$I$4),资金台帐!B2399+ROW()/100000,"")</f>
      </c>
    </row>
    <row r="5397">
      <c r="F5397">
        <f>IF(AND(资金台帐!J2400&lt;&gt;"",资金台帐!J2400=客户对账单!$B$4,资金台帐!P2400="应收",ISNUMBER(资金台帐!B2400),资金台帐!B2400&gt;=客户对账单!$G$4,资金台帐!B2400&lt;=客户对账单!$I$4),资金台帐!B2400+ROW()/100000,"")</f>
      </c>
    </row>
    <row r="5398">
      <c r="F5398">
        <f>IF(AND(资金台帐!J2401&lt;&gt;"",资金台帐!J2401=客户对账单!$B$4,资金台帐!P2401="应收",ISNUMBER(资金台帐!B2401),资金台帐!B2401&gt;=客户对账单!$G$4,资金台帐!B2401&lt;=客户对账单!$I$4),资金台帐!B2401+ROW()/100000,"")</f>
      </c>
    </row>
    <row r="5399">
      <c r="F5399">
        <f>IF(AND(资金台帐!J2402&lt;&gt;"",资金台帐!J2402=客户对账单!$B$4,资金台帐!P2402="应收",ISNUMBER(资金台帐!B2402),资金台帐!B2402&gt;=客户对账单!$G$4,资金台帐!B2402&lt;=客户对账单!$I$4),资金台帐!B2402+ROW()/100000,"")</f>
      </c>
    </row>
    <row r="5400">
      <c r="F5400">
        <f>IF(AND(资金台帐!J2403&lt;&gt;"",资金台帐!J2403=客户对账单!$B$4,资金台帐!P2403="应收",ISNUMBER(资金台帐!B2403),资金台帐!B2403&gt;=客户对账单!$G$4,资金台帐!B2403&lt;=客户对账单!$I$4),资金台帐!B2403+ROW()/100000,"")</f>
      </c>
    </row>
    <row r="5401">
      <c r="F5401">
        <f>IF(AND(资金台帐!J2404&lt;&gt;"",资金台帐!J2404=客户对账单!$B$4,资金台帐!P2404="应收",ISNUMBER(资金台帐!B2404),资金台帐!B2404&gt;=客户对账单!$G$4,资金台帐!B2404&lt;=客户对账单!$I$4),资金台帐!B2404+ROW()/100000,"")</f>
      </c>
    </row>
    <row r="5402">
      <c r="F5402">
        <f>IF(AND(资金台帐!J2405&lt;&gt;"",资金台帐!J2405=客户对账单!$B$4,资金台帐!P2405="应收",ISNUMBER(资金台帐!B2405),资金台帐!B2405&gt;=客户对账单!$G$4,资金台帐!B2405&lt;=客户对账单!$I$4),资金台帐!B2405+ROW()/100000,"")</f>
      </c>
    </row>
    <row r="5403">
      <c r="F5403">
        <f>IF(AND(资金台帐!J2406&lt;&gt;"",资金台帐!J2406=客户对账单!$B$4,资金台帐!P2406="应收",ISNUMBER(资金台帐!B2406),资金台帐!B2406&gt;=客户对账单!$G$4,资金台帐!B2406&lt;=客户对账单!$I$4),资金台帐!B2406+ROW()/100000,"")</f>
      </c>
    </row>
    <row r="5404">
      <c r="F5404">
        <f>IF(AND(资金台帐!J2407&lt;&gt;"",资金台帐!J2407=客户对账单!$B$4,资金台帐!P2407="应收",ISNUMBER(资金台帐!B2407),资金台帐!B2407&gt;=客户对账单!$G$4,资金台帐!B2407&lt;=客户对账单!$I$4),资金台帐!B2407+ROW()/100000,"")</f>
      </c>
    </row>
    <row r="5405">
      <c r="F5405">
        <f>IF(AND(资金台帐!J2408&lt;&gt;"",资金台帐!J2408=客户对账单!$B$4,资金台帐!P2408="应收",ISNUMBER(资金台帐!B2408),资金台帐!B2408&gt;=客户对账单!$G$4,资金台帐!B2408&lt;=客户对账单!$I$4),资金台帐!B2408+ROW()/100000,"")</f>
      </c>
    </row>
    <row r="5406">
      <c r="F5406">
        <f>IF(AND(资金台帐!J2409&lt;&gt;"",资金台帐!J2409=客户对账单!$B$4,资金台帐!P2409="应收",ISNUMBER(资金台帐!B2409),资金台帐!B2409&gt;=客户对账单!$G$4,资金台帐!B2409&lt;=客户对账单!$I$4),资金台帐!B2409+ROW()/100000,"")</f>
      </c>
    </row>
    <row r="5407">
      <c r="F5407">
        <f>IF(AND(资金台帐!J2410&lt;&gt;"",资金台帐!J2410=客户对账单!$B$4,资金台帐!P2410="应收",ISNUMBER(资金台帐!B2410),资金台帐!B2410&gt;=客户对账单!$G$4,资金台帐!B2410&lt;=客户对账单!$I$4),资金台帐!B2410+ROW()/100000,"")</f>
      </c>
    </row>
    <row r="5408">
      <c r="F5408">
        <f>IF(AND(资金台帐!J2411&lt;&gt;"",资金台帐!J2411=客户对账单!$B$4,资金台帐!P2411="应收",ISNUMBER(资金台帐!B2411),资金台帐!B2411&gt;=客户对账单!$G$4,资金台帐!B2411&lt;=客户对账单!$I$4),资金台帐!B2411+ROW()/100000,"")</f>
      </c>
    </row>
    <row r="5409">
      <c r="F5409">
        <f>IF(AND(资金台帐!J2412&lt;&gt;"",资金台帐!J2412=客户对账单!$B$4,资金台帐!P2412="应收",ISNUMBER(资金台帐!B2412),资金台帐!B2412&gt;=客户对账单!$G$4,资金台帐!B2412&lt;=客户对账单!$I$4),资金台帐!B2412+ROW()/100000,"")</f>
      </c>
    </row>
    <row r="5410">
      <c r="F5410">
        <f>IF(AND(资金台帐!J2413&lt;&gt;"",资金台帐!J2413=客户对账单!$B$4,资金台帐!P2413="应收",ISNUMBER(资金台帐!B2413),资金台帐!B2413&gt;=客户对账单!$G$4,资金台帐!B2413&lt;=客户对账单!$I$4),资金台帐!B2413+ROW()/100000,"")</f>
      </c>
    </row>
    <row r="5411">
      <c r="F5411">
        <f>IF(AND(资金台帐!J2414&lt;&gt;"",资金台帐!J2414=客户对账单!$B$4,资金台帐!P2414="应收",ISNUMBER(资金台帐!B2414),资金台帐!B2414&gt;=客户对账单!$G$4,资金台帐!B2414&lt;=客户对账单!$I$4),资金台帐!B2414+ROW()/100000,"")</f>
      </c>
    </row>
    <row r="5412">
      <c r="F5412">
        <f>IF(AND(资金台帐!J2415&lt;&gt;"",资金台帐!J2415=客户对账单!$B$4,资金台帐!P2415="应收",ISNUMBER(资金台帐!B2415),资金台帐!B2415&gt;=客户对账单!$G$4,资金台帐!B2415&lt;=客户对账单!$I$4),资金台帐!B2415+ROW()/100000,"")</f>
      </c>
    </row>
    <row r="5413">
      <c r="F5413">
        <f>IF(AND(资金台帐!J2416&lt;&gt;"",资金台帐!J2416=客户对账单!$B$4,资金台帐!P2416="应收",ISNUMBER(资金台帐!B2416),资金台帐!B2416&gt;=客户对账单!$G$4,资金台帐!B2416&lt;=客户对账单!$I$4),资金台帐!B2416+ROW()/100000,"")</f>
      </c>
    </row>
    <row r="5414">
      <c r="F5414">
        <f>IF(AND(资金台帐!J2417&lt;&gt;"",资金台帐!J2417=客户对账单!$B$4,资金台帐!P2417="应收",ISNUMBER(资金台帐!B2417),资金台帐!B2417&gt;=客户对账单!$G$4,资金台帐!B2417&lt;=客户对账单!$I$4),资金台帐!B2417+ROW()/100000,"")</f>
      </c>
    </row>
    <row r="5415">
      <c r="F5415">
        <f>IF(AND(资金台帐!J2418&lt;&gt;"",资金台帐!J2418=客户对账单!$B$4,资金台帐!P2418="应收",ISNUMBER(资金台帐!B2418),资金台帐!B2418&gt;=客户对账单!$G$4,资金台帐!B2418&lt;=客户对账单!$I$4),资金台帐!B2418+ROW()/100000,"")</f>
      </c>
    </row>
    <row r="5416">
      <c r="F5416">
        <f>IF(AND(资金台帐!J2419&lt;&gt;"",资金台帐!J2419=客户对账单!$B$4,资金台帐!P2419="应收",ISNUMBER(资金台帐!B2419),资金台帐!B2419&gt;=客户对账单!$G$4,资金台帐!B2419&lt;=客户对账单!$I$4),资金台帐!B2419+ROW()/100000,"")</f>
      </c>
    </row>
    <row r="5417">
      <c r="F5417">
        <f>IF(AND(资金台帐!J2420&lt;&gt;"",资金台帐!J2420=客户对账单!$B$4,资金台帐!P2420="应收",ISNUMBER(资金台帐!B2420),资金台帐!B2420&gt;=客户对账单!$G$4,资金台帐!B2420&lt;=客户对账单!$I$4),资金台帐!B2420+ROW()/100000,"")</f>
      </c>
    </row>
    <row r="5418">
      <c r="F5418">
        <f>IF(AND(资金台帐!J2421&lt;&gt;"",资金台帐!J2421=客户对账单!$B$4,资金台帐!P2421="应收",ISNUMBER(资金台帐!B2421),资金台帐!B2421&gt;=客户对账单!$G$4,资金台帐!B2421&lt;=客户对账单!$I$4),资金台帐!B2421+ROW()/100000,"")</f>
      </c>
    </row>
    <row r="5419">
      <c r="F5419">
        <f>IF(AND(资金台帐!J2422&lt;&gt;"",资金台帐!J2422=客户对账单!$B$4,资金台帐!P2422="应收",ISNUMBER(资金台帐!B2422),资金台帐!B2422&gt;=客户对账单!$G$4,资金台帐!B2422&lt;=客户对账单!$I$4),资金台帐!B2422+ROW()/100000,"")</f>
      </c>
    </row>
    <row r="5420">
      <c r="F5420">
        <f>IF(AND(资金台帐!J2423&lt;&gt;"",资金台帐!J2423=客户对账单!$B$4,资金台帐!P2423="应收",ISNUMBER(资金台帐!B2423),资金台帐!B2423&gt;=客户对账单!$G$4,资金台帐!B2423&lt;=客户对账单!$I$4),资金台帐!B2423+ROW()/100000,"")</f>
      </c>
    </row>
    <row r="5421">
      <c r="F5421">
        <f>IF(AND(资金台帐!J2424&lt;&gt;"",资金台帐!J2424=客户对账单!$B$4,资金台帐!P2424="应收",ISNUMBER(资金台帐!B2424),资金台帐!B2424&gt;=客户对账单!$G$4,资金台帐!B2424&lt;=客户对账单!$I$4),资金台帐!B2424+ROW()/100000,"")</f>
      </c>
    </row>
    <row r="5422">
      <c r="F5422">
        <f>IF(AND(资金台帐!J2425&lt;&gt;"",资金台帐!J2425=客户对账单!$B$4,资金台帐!P2425="应收",ISNUMBER(资金台帐!B2425),资金台帐!B2425&gt;=客户对账单!$G$4,资金台帐!B2425&lt;=客户对账单!$I$4),资金台帐!B2425+ROW()/100000,"")</f>
      </c>
    </row>
    <row r="5423">
      <c r="F5423">
        <f>IF(AND(资金台帐!J2426&lt;&gt;"",资金台帐!J2426=客户对账单!$B$4,资金台帐!P2426="应收",ISNUMBER(资金台帐!B2426),资金台帐!B2426&gt;=客户对账单!$G$4,资金台帐!B2426&lt;=客户对账单!$I$4),资金台帐!B2426+ROW()/100000,"")</f>
      </c>
    </row>
    <row r="5424">
      <c r="F5424">
        <f>IF(AND(资金台帐!J2427&lt;&gt;"",资金台帐!J2427=客户对账单!$B$4,资金台帐!P2427="应收",ISNUMBER(资金台帐!B2427),资金台帐!B2427&gt;=客户对账单!$G$4,资金台帐!B2427&lt;=客户对账单!$I$4),资金台帐!B2427+ROW()/100000,"")</f>
      </c>
    </row>
    <row r="5425">
      <c r="F5425">
        <f>IF(AND(资金台帐!J2428&lt;&gt;"",资金台帐!J2428=客户对账单!$B$4,资金台帐!P2428="应收",ISNUMBER(资金台帐!B2428),资金台帐!B2428&gt;=客户对账单!$G$4,资金台帐!B2428&lt;=客户对账单!$I$4),资金台帐!B2428+ROW()/100000,"")</f>
      </c>
    </row>
    <row r="5426">
      <c r="F5426">
        <f>IF(AND(资金台帐!J2429&lt;&gt;"",资金台帐!J2429=客户对账单!$B$4,资金台帐!P2429="应收",ISNUMBER(资金台帐!B2429),资金台帐!B2429&gt;=客户对账单!$G$4,资金台帐!B2429&lt;=客户对账单!$I$4),资金台帐!B2429+ROW()/100000,"")</f>
      </c>
    </row>
    <row r="5427">
      <c r="F5427">
        <f>IF(AND(资金台帐!J2430&lt;&gt;"",资金台帐!J2430=客户对账单!$B$4,资金台帐!P2430="应收",ISNUMBER(资金台帐!B2430),资金台帐!B2430&gt;=客户对账单!$G$4,资金台帐!B2430&lt;=客户对账单!$I$4),资金台帐!B2430+ROW()/100000,"")</f>
      </c>
    </row>
    <row r="5428">
      <c r="F5428">
        <f>IF(AND(资金台帐!J2431&lt;&gt;"",资金台帐!J2431=客户对账单!$B$4,资金台帐!P2431="应收",ISNUMBER(资金台帐!B2431),资金台帐!B2431&gt;=客户对账单!$G$4,资金台帐!B2431&lt;=客户对账单!$I$4),资金台帐!B2431+ROW()/100000,"")</f>
      </c>
    </row>
    <row r="5429">
      <c r="F5429">
        <f>IF(AND(资金台帐!J2432&lt;&gt;"",资金台帐!J2432=客户对账单!$B$4,资金台帐!P2432="应收",ISNUMBER(资金台帐!B2432),资金台帐!B2432&gt;=客户对账单!$G$4,资金台帐!B2432&lt;=客户对账单!$I$4),资金台帐!B2432+ROW()/100000,"")</f>
      </c>
    </row>
    <row r="5430">
      <c r="F5430">
        <f>IF(AND(资金台帐!J2433&lt;&gt;"",资金台帐!J2433=客户对账单!$B$4,资金台帐!P2433="应收",ISNUMBER(资金台帐!B2433),资金台帐!B2433&gt;=客户对账单!$G$4,资金台帐!B2433&lt;=客户对账单!$I$4),资金台帐!B2433+ROW()/100000,"")</f>
      </c>
    </row>
    <row r="5431">
      <c r="F5431">
        <f>IF(AND(资金台帐!J2434&lt;&gt;"",资金台帐!J2434=客户对账单!$B$4,资金台帐!P2434="应收",ISNUMBER(资金台帐!B2434),资金台帐!B2434&gt;=客户对账单!$G$4,资金台帐!B2434&lt;=客户对账单!$I$4),资金台帐!B2434+ROW()/100000,"")</f>
      </c>
    </row>
    <row r="5432">
      <c r="F5432">
        <f>IF(AND(资金台帐!J2435&lt;&gt;"",资金台帐!J2435=客户对账单!$B$4,资金台帐!P2435="应收",ISNUMBER(资金台帐!B2435),资金台帐!B2435&gt;=客户对账单!$G$4,资金台帐!B2435&lt;=客户对账单!$I$4),资金台帐!B2435+ROW()/100000,"")</f>
      </c>
    </row>
    <row r="5433">
      <c r="F5433">
        <f>IF(AND(资金台帐!J2436&lt;&gt;"",资金台帐!J2436=客户对账单!$B$4,资金台帐!P2436="应收",ISNUMBER(资金台帐!B2436),资金台帐!B2436&gt;=客户对账单!$G$4,资金台帐!B2436&lt;=客户对账单!$I$4),资金台帐!B2436+ROW()/100000,"")</f>
      </c>
    </row>
    <row r="5434">
      <c r="F5434">
        <f>IF(AND(资金台帐!J2437&lt;&gt;"",资金台帐!J2437=客户对账单!$B$4,资金台帐!P2437="应收",ISNUMBER(资金台帐!B2437),资金台帐!B2437&gt;=客户对账单!$G$4,资金台帐!B2437&lt;=客户对账单!$I$4),资金台帐!B2437+ROW()/100000,"")</f>
      </c>
    </row>
    <row r="5435">
      <c r="F5435">
        <f>IF(AND(资金台帐!J2438&lt;&gt;"",资金台帐!J2438=客户对账单!$B$4,资金台帐!P2438="应收",ISNUMBER(资金台帐!B2438),资金台帐!B2438&gt;=客户对账单!$G$4,资金台帐!B2438&lt;=客户对账单!$I$4),资金台帐!B2438+ROW()/100000,"")</f>
      </c>
    </row>
    <row r="5436">
      <c r="F5436">
        <f>IF(AND(资金台帐!J2439&lt;&gt;"",资金台帐!J2439=客户对账单!$B$4,资金台帐!P2439="应收",ISNUMBER(资金台帐!B2439),资金台帐!B2439&gt;=客户对账单!$G$4,资金台帐!B2439&lt;=客户对账单!$I$4),资金台帐!B2439+ROW()/100000,"")</f>
      </c>
    </row>
    <row r="5437">
      <c r="F5437">
        <f>IF(AND(资金台帐!J2440&lt;&gt;"",资金台帐!J2440=客户对账单!$B$4,资金台帐!P2440="应收",ISNUMBER(资金台帐!B2440),资金台帐!B2440&gt;=客户对账单!$G$4,资金台帐!B2440&lt;=客户对账单!$I$4),资金台帐!B2440+ROW()/100000,"")</f>
      </c>
    </row>
    <row r="5438">
      <c r="F5438">
        <f>IF(AND(资金台帐!J2441&lt;&gt;"",资金台帐!J2441=客户对账单!$B$4,资金台帐!P2441="应收",ISNUMBER(资金台帐!B2441),资金台帐!B2441&gt;=客户对账单!$G$4,资金台帐!B2441&lt;=客户对账单!$I$4),资金台帐!B2441+ROW()/100000,"")</f>
      </c>
    </row>
    <row r="5439">
      <c r="F5439">
        <f>IF(AND(资金台帐!J2442&lt;&gt;"",资金台帐!J2442=客户对账单!$B$4,资金台帐!P2442="应收",ISNUMBER(资金台帐!B2442),资金台帐!B2442&gt;=客户对账单!$G$4,资金台帐!B2442&lt;=客户对账单!$I$4),资金台帐!B2442+ROW()/100000,"")</f>
      </c>
    </row>
    <row r="5440">
      <c r="F5440">
        <f>IF(AND(资金台帐!J2443&lt;&gt;"",资金台帐!J2443=客户对账单!$B$4,资金台帐!P2443="应收",ISNUMBER(资金台帐!B2443),资金台帐!B2443&gt;=客户对账单!$G$4,资金台帐!B2443&lt;=客户对账单!$I$4),资金台帐!B2443+ROW()/100000,"")</f>
      </c>
    </row>
    <row r="5441">
      <c r="F5441">
        <f>IF(AND(资金台帐!J2444&lt;&gt;"",资金台帐!J2444=客户对账单!$B$4,资金台帐!P2444="应收",ISNUMBER(资金台帐!B2444),资金台帐!B2444&gt;=客户对账单!$G$4,资金台帐!B2444&lt;=客户对账单!$I$4),资金台帐!B2444+ROW()/100000,"")</f>
      </c>
    </row>
    <row r="5442">
      <c r="F5442">
        <f>IF(AND(资金台帐!J2445&lt;&gt;"",资金台帐!J2445=客户对账单!$B$4,资金台帐!P2445="应收",ISNUMBER(资金台帐!B2445),资金台帐!B2445&gt;=客户对账单!$G$4,资金台帐!B2445&lt;=客户对账单!$I$4),资金台帐!B2445+ROW()/100000,"")</f>
      </c>
    </row>
    <row r="5443">
      <c r="F5443">
        <f>IF(AND(资金台帐!J2446&lt;&gt;"",资金台帐!J2446=客户对账单!$B$4,资金台帐!P2446="应收",ISNUMBER(资金台帐!B2446),资金台帐!B2446&gt;=客户对账单!$G$4,资金台帐!B2446&lt;=客户对账单!$I$4),资金台帐!B2446+ROW()/100000,"")</f>
      </c>
    </row>
    <row r="5444">
      <c r="F5444">
        <f>IF(AND(资金台帐!J2447&lt;&gt;"",资金台帐!J2447=客户对账单!$B$4,资金台帐!P2447="应收",ISNUMBER(资金台帐!B2447),资金台帐!B2447&gt;=客户对账单!$G$4,资金台帐!B2447&lt;=客户对账单!$I$4),资金台帐!B2447+ROW()/100000,"")</f>
      </c>
    </row>
    <row r="5445">
      <c r="F5445">
        <f>IF(AND(资金台帐!J2448&lt;&gt;"",资金台帐!J2448=客户对账单!$B$4,资金台帐!P2448="应收",ISNUMBER(资金台帐!B2448),资金台帐!B2448&gt;=客户对账单!$G$4,资金台帐!B2448&lt;=客户对账单!$I$4),资金台帐!B2448+ROW()/100000,"")</f>
      </c>
    </row>
    <row r="5446">
      <c r="F5446">
        <f>IF(AND(资金台帐!J2449&lt;&gt;"",资金台帐!J2449=客户对账单!$B$4,资金台帐!P2449="应收",ISNUMBER(资金台帐!B2449),资金台帐!B2449&gt;=客户对账单!$G$4,资金台帐!B2449&lt;=客户对账单!$I$4),资金台帐!B2449+ROW()/100000,"")</f>
      </c>
    </row>
    <row r="5447">
      <c r="F5447">
        <f>IF(AND(资金台帐!J2450&lt;&gt;"",资金台帐!J2450=客户对账单!$B$4,资金台帐!P2450="应收",ISNUMBER(资金台帐!B2450),资金台帐!B2450&gt;=客户对账单!$G$4,资金台帐!B2450&lt;=客户对账单!$I$4),资金台帐!B2450+ROW()/100000,"")</f>
      </c>
    </row>
    <row r="5448">
      <c r="F5448">
        <f>IF(AND(资金台帐!J2451&lt;&gt;"",资金台帐!J2451=客户对账单!$B$4,资金台帐!P2451="应收",ISNUMBER(资金台帐!B2451),资金台帐!B2451&gt;=客户对账单!$G$4,资金台帐!B2451&lt;=客户对账单!$I$4),资金台帐!B2451+ROW()/100000,"")</f>
      </c>
    </row>
    <row r="5449">
      <c r="F5449">
        <f>IF(AND(资金台帐!J2452&lt;&gt;"",资金台帐!J2452=客户对账单!$B$4,资金台帐!P2452="应收",ISNUMBER(资金台帐!B2452),资金台帐!B2452&gt;=客户对账单!$G$4,资金台帐!B2452&lt;=客户对账单!$I$4),资金台帐!B2452+ROW()/100000,"")</f>
      </c>
    </row>
    <row r="5450">
      <c r="F5450">
        <f>IF(AND(资金台帐!J2453&lt;&gt;"",资金台帐!J2453=客户对账单!$B$4,资金台帐!P2453="应收",ISNUMBER(资金台帐!B2453),资金台帐!B2453&gt;=客户对账单!$G$4,资金台帐!B2453&lt;=客户对账单!$I$4),资金台帐!B2453+ROW()/100000,"")</f>
      </c>
    </row>
    <row r="5451">
      <c r="F5451">
        <f>IF(AND(资金台帐!J2454&lt;&gt;"",资金台帐!J2454=客户对账单!$B$4,资金台帐!P2454="应收",ISNUMBER(资金台帐!B2454),资金台帐!B2454&gt;=客户对账单!$G$4,资金台帐!B2454&lt;=客户对账单!$I$4),资金台帐!B2454+ROW()/100000,"")</f>
      </c>
    </row>
    <row r="5452">
      <c r="F5452">
        <f>IF(AND(资金台帐!J2455&lt;&gt;"",资金台帐!J2455=客户对账单!$B$4,资金台帐!P2455="应收",ISNUMBER(资金台帐!B2455),资金台帐!B2455&gt;=客户对账单!$G$4,资金台帐!B2455&lt;=客户对账单!$I$4),资金台帐!B2455+ROW()/100000,"")</f>
      </c>
    </row>
    <row r="5453">
      <c r="F5453">
        <f>IF(AND(资金台帐!J2456&lt;&gt;"",资金台帐!J2456=客户对账单!$B$4,资金台帐!P2456="应收",ISNUMBER(资金台帐!B2456),资金台帐!B2456&gt;=客户对账单!$G$4,资金台帐!B2456&lt;=客户对账单!$I$4),资金台帐!B2456+ROW()/100000,"")</f>
      </c>
    </row>
    <row r="5454">
      <c r="F5454">
        <f>IF(AND(资金台帐!J2457&lt;&gt;"",资金台帐!J2457=客户对账单!$B$4,资金台帐!P2457="应收",ISNUMBER(资金台帐!B2457),资金台帐!B2457&gt;=客户对账单!$G$4,资金台帐!B2457&lt;=客户对账单!$I$4),资金台帐!B2457+ROW()/100000,"")</f>
      </c>
    </row>
    <row r="5455">
      <c r="F5455">
        <f>IF(AND(资金台帐!J2458&lt;&gt;"",资金台帐!J2458=客户对账单!$B$4,资金台帐!P2458="应收",ISNUMBER(资金台帐!B2458),资金台帐!B2458&gt;=客户对账单!$G$4,资金台帐!B2458&lt;=客户对账单!$I$4),资金台帐!B2458+ROW()/100000,"")</f>
      </c>
    </row>
    <row r="5456">
      <c r="F5456">
        <f>IF(AND(资金台帐!J2459&lt;&gt;"",资金台帐!J2459=客户对账单!$B$4,资金台帐!P2459="应收",ISNUMBER(资金台帐!B2459),资金台帐!B2459&gt;=客户对账单!$G$4,资金台帐!B2459&lt;=客户对账单!$I$4),资金台帐!B2459+ROW()/100000,"")</f>
      </c>
    </row>
    <row r="5457">
      <c r="F5457">
        <f>IF(AND(资金台帐!J2460&lt;&gt;"",资金台帐!J2460=客户对账单!$B$4,资金台帐!P2460="应收",ISNUMBER(资金台帐!B2460),资金台帐!B2460&gt;=客户对账单!$G$4,资金台帐!B2460&lt;=客户对账单!$I$4),资金台帐!B2460+ROW()/100000,"")</f>
      </c>
    </row>
    <row r="5458">
      <c r="F5458">
        <f>IF(AND(资金台帐!J2461&lt;&gt;"",资金台帐!J2461=客户对账单!$B$4,资金台帐!P2461="应收",ISNUMBER(资金台帐!B2461),资金台帐!B2461&gt;=客户对账单!$G$4,资金台帐!B2461&lt;=客户对账单!$I$4),资金台帐!B2461+ROW()/100000,"")</f>
      </c>
    </row>
    <row r="5459">
      <c r="F5459">
        <f>IF(AND(资金台帐!J2462&lt;&gt;"",资金台帐!J2462=客户对账单!$B$4,资金台帐!P2462="应收",ISNUMBER(资金台帐!B2462),资金台帐!B2462&gt;=客户对账单!$G$4,资金台帐!B2462&lt;=客户对账单!$I$4),资金台帐!B2462+ROW()/100000,"")</f>
      </c>
    </row>
    <row r="5460">
      <c r="F5460">
        <f>IF(AND(资金台帐!J2463&lt;&gt;"",资金台帐!J2463=客户对账单!$B$4,资金台帐!P2463="应收",ISNUMBER(资金台帐!B2463),资金台帐!B2463&gt;=客户对账单!$G$4,资金台帐!B2463&lt;=客户对账单!$I$4),资金台帐!B2463+ROW()/100000,"")</f>
      </c>
    </row>
    <row r="5461">
      <c r="F5461">
        <f>IF(AND(资金台帐!J2464&lt;&gt;"",资金台帐!J2464=客户对账单!$B$4,资金台帐!P2464="应收",ISNUMBER(资金台帐!B2464),资金台帐!B2464&gt;=客户对账单!$G$4,资金台帐!B2464&lt;=客户对账单!$I$4),资金台帐!B2464+ROW()/100000,"")</f>
      </c>
    </row>
    <row r="5462">
      <c r="F5462">
        <f>IF(AND(资金台帐!J2465&lt;&gt;"",资金台帐!J2465=客户对账单!$B$4,资金台帐!P2465="应收",ISNUMBER(资金台帐!B2465),资金台帐!B2465&gt;=客户对账单!$G$4,资金台帐!B2465&lt;=客户对账单!$I$4),资金台帐!B2465+ROW()/100000,"")</f>
      </c>
    </row>
    <row r="5463">
      <c r="F5463">
        <f>IF(AND(资金台帐!J2466&lt;&gt;"",资金台帐!J2466=客户对账单!$B$4,资金台帐!P2466="应收",ISNUMBER(资金台帐!B2466),资金台帐!B2466&gt;=客户对账单!$G$4,资金台帐!B2466&lt;=客户对账单!$I$4),资金台帐!B2466+ROW()/100000,"")</f>
      </c>
    </row>
    <row r="5464">
      <c r="F5464">
        <f>IF(AND(资金台帐!J2467&lt;&gt;"",资金台帐!J2467=客户对账单!$B$4,资金台帐!P2467="应收",ISNUMBER(资金台帐!B2467),资金台帐!B2467&gt;=客户对账单!$G$4,资金台帐!B2467&lt;=客户对账单!$I$4),资金台帐!B2467+ROW()/100000,"")</f>
      </c>
    </row>
    <row r="5465">
      <c r="F5465">
        <f>IF(AND(资金台帐!J2468&lt;&gt;"",资金台帐!J2468=客户对账单!$B$4,资金台帐!P2468="应收",ISNUMBER(资金台帐!B2468),资金台帐!B2468&gt;=客户对账单!$G$4,资金台帐!B2468&lt;=客户对账单!$I$4),资金台帐!B2468+ROW()/100000,"")</f>
      </c>
    </row>
    <row r="5466">
      <c r="F5466">
        <f>IF(AND(资金台帐!J2469&lt;&gt;"",资金台帐!J2469=客户对账单!$B$4,资金台帐!P2469="应收",ISNUMBER(资金台帐!B2469),资金台帐!B2469&gt;=客户对账单!$G$4,资金台帐!B2469&lt;=客户对账单!$I$4),资金台帐!B2469+ROW()/100000,"")</f>
      </c>
    </row>
    <row r="5467">
      <c r="F5467">
        <f>IF(AND(资金台帐!J2470&lt;&gt;"",资金台帐!J2470=客户对账单!$B$4,资金台帐!P2470="应收",ISNUMBER(资金台帐!B2470),资金台帐!B2470&gt;=客户对账单!$G$4,资金台帐!B2470&lt;=客户对账单!$I$4),资金台帐!B2470+ROW()/100000,"")</f>
      </c>
    </row>
    <row r="5468">
      <c r="F5468">
        <f>IF(AND(资金台帐!J2471&lt;&gt;"",资金台帐!J2471=客户对账单!$B$4,资金台帐!P2471="应收",ISNUMBER(资金台帐!B2471),资金台帐!B2471&gt;=客户对账单!$G$4,资金台帐!B2471&lt;=客户对账单!$I$4),资金台帐!B2471+ROW()/100000,"")</f>
      </c>
    </row>
    <row r="5469">
      <c r="F5469">
        <f>IF(AND(资金台帐!J2472&lt;&gt;"",资金台帐!J2472=客户对账单!$B$4,资金台帐!P2472="应收",ISNUMBER(资金台帐!B2472),资金台帐!B2472&gt;=客户对账单!$G$4,资金台帐!B2472&lt;=客户对账单!$I$4),资金台帐!B2472+ROW()/100000,"")</f>
      </c>
    </row>
    <row r="5470">
      <c r="F5470">
        <f>IF(AND(资金台帐!J2473&lt;&gt;"",资金台帐!J2473=客户对账单!$B$4,资金台帐!P2473="应收",ISNUMBER(资金台帐!B2473),资金台帐!B2473&gt;=客户对账单!$G$4,资金台帐!B2473&lt;=客户对账单!$I$4),资金台帐!B2473+ROW()/100000,"")</f>
      </c>
    </row>
    <row r="5471">
      <c r="F5471">
        <f>IF(AND(资金台帐!J2474&lt;&gt;"",资金台帐!J2474=客户对账单!$B$4,资金台帐!P2474="应收",ISNUMBER(资金台帐!B2474),资金台帐!B2474&gt;=客户对账单!$G$4,资金台帐!B2474&lt;=客户对账单!$I$4),资金台帐!B2474+ROW()/100000,"")</f>
      </c>
    </row>
    <row r="5472">
      <c r="F5472">
        <f>IF(AND(资金台帐!J2475&lt;&gt;"",资金台帐!J2475=客户对账单!$B$4,资金台帐!P2475="应收",ISNUMBER(资金台帐!B2475),资金台帐!B2475&gt;=客户对账单!$G$4,资金台帐!B2475&lt;=客户对账单!$I$4),资金台帐!B2475+ROW()/100000,"")</f>
      </c>
    </row>
    <row r="5473">
      <c r="F5473">
        <f>IF(AND(资金台帐!J2476&lt;&gt;"",资金台帐!J2476=客户对账单!$B$4,资金台帐!P2476="应收",ISNUMBER(资金台帐!B2476),资金台帐!B2476&gt;=客户对账单!$G$4,资金台帐!B2476&lt;=客户对账单!$I$4),资金台帐!B2476+ROW()/100000,"")</f>
      </c>
    </row>
    <row r="5474">
      <c r="F5474">
        <f>IF(AND(资金台帐!J2477&lt;&gt;"",资金台帐!J2477=客户对账单!$B$4,资金台帐!P2477="应收",ISNUMBER(资金台帐!B2477),资金台帐!B2477&gt;=客户对账单!$G$4,资金台帐!B2477&lt;=客户对账单!$I$4),资金台帐!B2477+ROW()/100000,"")</f>
      </c>
    </row>
    <row r="5475">
      <c r="F5475">
        <f>IF(AND(资金台帐!J2478&lt;&gt;"",资金台帐!J2478=客户对账单!$B$4,资金台帐!P2478="应收",ISNUMBER(资金台帐!B2478),资金台帐!B2478&gt;=客户对账单!$G$4,资金台帐!B2478&lt;=客户对账单!$I$4),资金台帐!B2478+ROW()/100000,"")</f>
      </c>
    </row>
    <row r="5476">
      <c r="F5476">
        <f>IF(AND(资金台帐!J2479&lt;&gt;"",资金台帐!J2479=客户对账单!$B$4,资金台帐!P2479="应收",ISNUMBER(资金台帐!B2479),资金台帐!B2479&gt;=客户对账单!$G$4,资金台帐!B2479&lt;=客户对账单!$I$4),资金台帐!B2479+ROW()/100000,"")</f>
      </c>
    </row>
    <row r="5477">
      <c r="F5477">
        <f>IF(AND(资金台帐!J2480&lt;&gt;"",资金台帐!J2480=客户对账单!$B$4,资金台帐!P2480="应收",ISNUMBER(资金台帐!B2480),资金台帐!B2480&gt;=客户对账单!$G$4,资金台帐!B2480&lt;=客户对账单!$I$4),资金台帐!B2480+ROW()/100000,"")</f>
      </c>
    </row>
    <row r="5478">
      <c r="F5478">
        <f>IF(AND(资金台帐!J2481&lt;&gt;"",资金台帐!J2481=客户对账单!$B$4,资金台帐!P2481="应收",ISNUMBER(资金台帐!B2481),资金台帐!B2481&gt;=客户对账单!$G$4,资金台帐!B2481&lt;=客户对账单!$I$4),资金台帐!B2481+ROW()/100000,"")</f>
      </c>
    </row>
    <row r="5479">
      <c r="F5479">
        <f>IF(AND(资金台帐!J2482&lt;&gt;"",资金台帐!J2482=客户对账单!$B$4,资金台帐!P2482="应收",ISNUMBER(资金台帐!B2482),资金台帐!B2482&gt;=客户对账单!$G$4,资金台帐!B2482&lt;=客户对账单!$I$4),资金台帐!B2482+ROW()/100000,"")</f>
      </c>
    </row>
    <row r="5480">
      <c r="F5480">
        <f>IF(AND(资金台帐!J2483&lt;&gt;"",资金台帐!J2483=客户对账单!$B$4,资金台帐!P2483="应收",ISNUMBER(资金台帐!B2483),资金台帐!B2483&gt;=客户对账单!$G$4,资金台帐!B2483&lt;=客户对账单!$I$4),资金台帐!B2483+ROW()/100000,"")</f>
      </c>
    </row>
    <row r="5481">
      <c r="F5481">
        <f>IF(AND(资金台帐!J2484&lt;&gt;"",资金台帐!J2484=客户对账单!$B$4,资金台帐!P2484="应收",ISNUMBER(资金台帐!B2484),资金台帐!B2484&gt;=客户对账单!$G$4,资金台帐!B2484&lt;=客户对账单!$I$4),资金台帐!B2484+ROW()/100000,"")</f>
      </c>
    </row>
    <row r="5482">
      <c r="F5482">
        <f>IF(AND(资金台帐!J2485&lt;&gt;"",资金台帐!J2485=客户对账单!$B$4,资金台帐!P2485="应收",ISNUMBER(资金台帐!B2485),资金台帐!B2485&gt;=客户对账单!$G$4,资金台帐!B2485&lt;=客户对账单!$I$4),资金台帐!B2485+ROW()/100000,"")</f>
      </c>
    </row>
    <row r="5483">
      <c r="F5483">
        <f>IF(AND(资金台帐!J2486&lt;&gt;"",资金台帐!J2486=客户对账单!$B$4,资金台帐!P2486="应收",ISNUMBER(资金台帐!B2486),资金台帐!B2486&gt;=客户对账单!$G$4,资金台帐!B2486&lt;=客户对账单!$I$4),资金台帐!B2486+ROW()/100000,"")</f>
      </c>
    </row>
    <row r="5484">
      <c r="F5484">
        <f>IF(AND(资金台帐!J2487&lt;&gt;"",资金台帐!J2487=客户对账单!$B$4,资金台帐!P2487="应收",ISNUMBER(资金台帐!B2487),资金台帐!B2487&gt;=客户对账单!$G$4,资金台帐!B2487&lt;=客户对账单!$I$4),资金台帐!B2487+ROW()/100000,"")</f>
      </c>
    </row>
    <row r="5485">
      <c r="F5485">
        <f>IF(AND(资金台帐!J2488&lt;&gt;"",资金台帐!J2488=客户对账单!$B$4,资金台帐!P2488="应收",ISNUMBER(资金台帐!B2488),资金台帐!B2488&gt;=客户对账单!$G$4,资金台帐!B2488&lt;=客户对账单!$I$4),资金台帐!B2488+ROW()/100000,"")</f>
      </c>
    </row>
    <row r="5486">
      <c r="F5486">
        <f>IF(AND(资金台帐!J2489&lt;&gt;"",资金台帐!J2489=客户对账单!$B$4,资金台帐!P2489="应收",ISNUMBER(资金台帐!B2489),资金台帐!B2489&gt;=客户对账单!$G$4,资金台帐!B2489&lt;=客户对账单!$I$4),资金台帐!B2489+ROW()/100000,"")</f>
      </c>
    </row>
    <row r="5487">
      <c r="F5487">
        <f>IF(AND(资金台帐!J2490&lt;&gt;"",资金台帐!J2490=客户对账单!$B$4,资金台帐!P2490="应收",ISNUMBER(资金台帐!B2490),资金台帐!B2490&gt;=客户对账单!$G$4,资金台帐!B2490&lt;=客户对账单!$I$4),资金台帐!B2490+ROW()/100000,"")</f>
      </c>
    </row>
    <row r="5488">
      <c r="F5488">
        <f>IF(AND(资金台帐!J2491&lt;&gt;"",资金台帐!J2491=客户对账单!$B$4,资金台帐!P2491="应收",ISNUMBER(资金台帐!B2491),资金台帐!B2491&gt;=客户对账单!$G$4,资金台帐!B2491&lt;=客户对账单!$I$4),资金台帐!B2491+ROW()/100000,"")</f>
      </c>
    </row>
    <row r="5489">
      <c r="F5489">
        <f>IF(AND(资金台帐!J2492&lt;&gt;"",资金台帐!J2492=客户对账单!$B$4,资金台帐!P2492="应收",ISNUMBER(资金台帐!B2492),资金台帐!B2492&gt;=客户对账单!$G$4,资金台帐!B2492&lt;=客户对账单!$I$4),资金台帐!B2492+ROW()/100000,"")</f>
      </c>
    </row>
    <row r="5490">
      <c r="F5490">
        <f>IF(AND(资金台帐!J2493&lt;&gt;"",资金台帐!J2493=客户对账单!$B$4,资金台帐!P2493="应收",ISNUMBER(资金台帐!B2493),资金台帐!B2493&gt;=客户对账单!$G$4,资金台帐!B2493&lt;=客户对账单!$I$4),资金台帐!B2493+ROW()/100000,"")</f>
      </c>
    </row>
    <row r="5491">
      <c r="F5491">
        <f>IF(AND(资金台帐!J2494&lt;&gt;"",资金台帐!J2494=客户对账单!$B$4,资金台帐!P2494="应收",ISNUMBER(资金台帐!B2494),资金台帐!B2494&gt;=客户对账单!$G$4,资金台帐!B2494&lt;=客户对账单!$I$4),资金台帐!B2494+ROW()/100000,"")</f>
      </c>
    </row>
    <row r="5492">
      <c r="F5492">
        <f>IF(AND(资金台帐!J2495&lt;&gt;"",资金台帐!J2495=客户对账单!$B$4,资金台帐!P2495="应收",ISNUMBER(资金台帐!B2495),资金台帐!B2495&gt;=客户对账单!$G$4,资金台帐!B2495&lt;=客户对账单!$I$4),资金台帐!B2495+ROW()/100000,"")</f>
      </c>
    </row>
    <row r="5493">
      <c r="F5493">
        <f>IF(AND(资金台帐!J2496&lt;&gt;"",资金台帐!J2496=客户对账单!$B$4,资金台帐!P2496="应收",ISNUMBER(资金台帐!B2496),资金台帐!B2496&gt;=客户对账单!$G$4,资金台帐!B2496&lt;=客户对账单!$I$4),资金台帐!B2496+ROW()/100000,"")</f>
      </c>
    </row>
    <row r="5494">
      <c r="F5494">
        <f>IF(AND(资金台帐!J2497&lt;&gt;"",资金台帐!J2497=客户对账单!$B$4,资金台帐!P2497="应收",ISNUMBER(资金台帐!B2497),资金台帐!B2497&gt;=客户对账单!$G$4,资金台帐!B2497&lt;=客户对账单!$I$4),资金台帐!B2497+ROW()/100000,"")</f>
      </c>
    </row>
    <row r="5495">
      <c r="F5495">
        <f>IF(AND(资金台帐!J2498&lt;&gt;"",资金台帐!J2498=客户对账单!$B$4,资金台帐!P2498="应收",ISNUMBER(资金台帐!B2498),资金台帐!B2498&gt;=客户对账单!$G$4,资金台帐!B2498&lt;=客户对账单!$I$4),资金台帐!B2498+ROW()/100000,"")</f>
      </c>
    </row>
    <row r="5496">
      <c r="F5496">
        <f>IF(AND(资金台帐!J2499&lt;&gt;"",资金台帐!J2499=客户对账单!$B$4,资金台帐!P2499="应收",ISNUMBER(资金台帐!B2499),资金台帐!B2499&gt;=客户对账单!$G$4,资金台帐!B2499&lt;=客户对账单!$I$4),资金台帐!B2499+ROW()/100000,"")</f>
      </c>
    </row>
    <row r="5497">
      <c r="F5497">
        <f>IF(AND(资金台帐!J2500&lt;&gt;"",资金台帐!J2500=客户对账单!$B$4,资金台帐!P2500="应收",ISNUMBER(资金台帐!B2500),资金台帐!B2500&gt;=客户对账单!$G$4,资金台帐!B2500&lt;=客户对账单!$I$4),资金台帐!B2500+ROW()/100000,"")</f>
      </c>
    </row>
    <row r="5498">
      <c r="F5498">
        <f>IF(AND(资金台帐!J2501&lt;&gt;"",资金台帐!J2501=客户对账单!$B$4,资金台帐!P2501="应收",ISNUMBER(资金台帐!B2501),资金台帐!B2501&gt;=客户对账单!$G$4,资金台帐!B2501&lt;=客户对账单!$I$4),资金台帐!B2501+ROW()/100000,"")</f>
      </c>
    </row>
    <row r="5499">
      <c r="F5499">
        <f>IF(AND(资金台帐!J2502&lt;&gt;"",资金台帐!J2502=客户对账单!$B$4,资金台帐!P2502="应收",ISNUMBER(资金台帐!B2502),资金台帐!B2502&gt;=客户对账单!$G$4,资金台帐!B2502&lt;=客户对账单!$I$4),资金台帐!B2502+ROW()/100000,"")</f>
      </c>
    </row>
    <row r="5500">
      <c r="F5500">
        <f>IF(AND(资金台帐!J2503&lt;&gt;"",资金台帐!J2503=客户对账单!$B$4,资金台帐!P2503="应收",ISNUMBER(资金台帐!B2503),资金台帐!B2503&gt;=客户对账单!$G$4,资金台帐!B2503&lt;=客户对账单!$I$4),资金台帐!B2503+ROW()/100000,"")</f>
      </c>
    </row>
    <row r="5501">
      <c r="F5501">
        <f>IF(AND(资金台帐!J2504&lt;&gt;"",资金台帐!J2504=客户对账单!$B$4,资金台帐!P2504="应收",ISNUMBER(资金台帐!B2504),资金台帐!B2504&gt;=客户对账单!$G$4,资金台帐!B2504&lt;=客户对账单!$I$4),资金台帐!B2504+ROW()/100000,"")</f>
      </c>
    </row>
    <row r="5502">
      <c r="F5502">
        <f>IF(AND(资金台帐!J2505&lt;&gt;"",资金台帐!J2505=客户对账单!$B$4,资金台帐!P2505="应收",ISNUMBER(资金台帐!B2505),资金台帐!B2505&gt;=客户对账单!$G$4,资金台帐!B2505&lt;=客户对账单!$I$4),资金台帐!B2505+ROW()/100000,"")</f>
      </c>
    </row>
    <row r="5503">
      <c r="F5503">
        <f>IF(AND(资金台帐!J2506&lt;&gt;"",资金台帐!J2506=客户对账单!$B$4,资金台帐!P2506="应收",ISNUMBER(资金台帐!B2506),资金台帐!B2506&gt;=客户对账单!$G$4,资金台帐!B2506&lt;=客户对账单!$I$4),资金台帐!B2506+ROW()/100000,"")</f>
      </c>
    </row>
    <row r="5504">
      <c r="F5504">
        <f>IF(AND(资金台帐!J2507&lt;&gt;"",资金台帐!J2507=客户对账单!$B$4,资金台帐!P2507="应收",ISNUMBER(资金台帐!B2507),资金台帐!B2507&gt;=客户对账单!$G$4,资金台帐!B2507&lt;=客户对账单!$I$4),资金台帐!B2507+ROW()/100000,"")</f>
      </c>
    </row>
    <row r="5505">
      <c r="F5505">
        <f>IF(AND(资金台帐!J2508&lt;&gt;"",资金台帐!J2508=客户对账单!$B$4,资金台帐!P2508="应收",ISNUMBER(资金台帐!B2508),资金台帐!B2508&gt;=客户对账单!$G$4,资金台帐!B2508&lt;=客户对账单!$I$4),资金台帐!B2508+ROW()/100000,"")</f>
      </c>
    </row>
    <row r="5506">
      <c r="F5506">
        <f>IF(AND(资金台帐!J2509&lt;&gt;"",资金台帐!J2509=客户对账单!$B$4,资金台帐!P2509="应收",ISNUMBER(资金台帐!B2509),资金台帐!B2509&gt;=客户对账单!$G$4,资金台帐!B2509&lt;=客户对账单!$I$4),资金台帐!B2509+ROW()/100000,"")</f>
      </c>
    </row>
    <row r="5507">
      <c r="F5507">
        <f>IF(AND(资金台帐!J2510&lt;&gt;"",资金台帐!J2510=客户对账单!$B$4,资金台帐!P2510="应收",ISNUMBER(资金台帐!B2510),资金台帐!B2510&gt;=客户对账单!$G$4,资金台帐!B2510&lt;=客户对账单!$I$4),资金台帐!B2510+ROW()/100000,"")</f>
      </c>
    </row>
    <row r="5508">
      <c r="F5508">
        <f>IF(AND(资金台帐!J2511&lt;&gt;"",资金台帐!J2511=客户对账单!$B$4,资金台帐!P2511="应收",ISNUMBER(资金台帐!B2511),资金台帐!B2511&gt;=客户对账单!$G$4,资金台帐!B2511&lt;=客户对账单!$I$4),资金台帐!B2511+ROW()/100000,"")</f>
      </c>
    </row>
    <row r="5509">
      <c r="F5509">
        <f>IF(AND(资金台帐!J2512&lt;&gt;"",资金台帐!J2512=客户对账单!$B$4,资金台帐!P2512="应收",ISNUMBER(资金台帐!B2512),资金台帐!B2512&gt;=客户对账单!$G$4,资金台帐!B2512&lt;=客户对账单!$I$4),资金台帐!B2512+ROW()/100000,"")</f>
      </c>
    </row>
    <row r="5510">
      <c r="F5510">
        <f>IF(AND(资金台帐!J2513&lt;&gt;"",资金台帐!J2513=客户对账单!$B$4,资金台帐!P2513="应收",ISNUMBER(资金台帐!B2513),资金台帐!B2513&gt;=客户对账单!$G$4,资金台帐!B2513&lt;=客户对账单!$I$4),资金台帐!B2513+ROW()/100000,"")</f>
      </c>
    </row>
    <row r="5511">
      <c r="F5511">
        <f>IF(AND(资金台帐!J2514&lt;&gt;"",资金台帐!J2514=客户对账单!$B$4,资金台帐!P2514="应收",ISNUMBER(资金台帐!B2514),资金台帐!B2514&gt;=客户对账单!$G$4,资金台帐!B2514&lt;=客户对账单!$I$4),资金台帐!B2514+ROW()/100000,"")</f>
      </c>
    </row>
    <row r="5512">
      <c r="F5512">
        <f>IF(AND(资金台帐!J2515&lt;&gt;"",资金台帐!J2515=客户对账单!$B$4,资金台帐!P2515="应收",ISNUMBER(资金台帐!B2515),资金台帐!B2515&gt;=客户对账单!$G$4,资金台帐!B2515&lt;=客户对账单!$I$4),资金台帐!B2515+ROW()/100000,"")</f>
      </c>
    </row>
    <row r="5513">
      <c r="F5513">
        <f>IF(AND(资金台帐!J2516&lt;&gt;"",资金台帐!J2516=客户对账单!$B$4,资金台帐!P2516="应收",ISNUMBER(资金台帐!B2516),资金台帐!B2516&gt;=客户对账单!$G$4,资金台帐!B2516&lt;=客户对账单!$I$4),资金台帐!B2516+ROW()/100000,"")</f>
      </c>
    </row>
    <row r="5514">
      <c r="F5514">
        <f>IF(AND(资金台帐!J2517&lt;&gt;"",资金台帐!J2517=客户对账单!$B$4,资金台帐!P2517="应收",ISNUMBER(资金台帐!B2517),资金台帐!B2517&gt;=客户对账单!$G$4,资金台帐!B2517&lt;=客户对账单!$I$4),资金台帐!B2517+ROW()/100000,"")</f>
      </c>
    </row>
    <row r="5515">
      <c r="F5515">
        <f>IF(AND(资金台帐!J2518&lt;&gt;"",资金台帐!J2518=客户对账单!$B$4,资金台帐!P2518="应收",ISNUMBER(资金台帐!B2518),资金台帐!B2518&gt;=客户对账单!$G$4,资金台帐!B2518&lt;=客户对账单!$I$4),资金台帐!B2518+ROW()/100000,"")</f>
      </c>
    </row>
    <row r="5516">
      <c r="F5516">
        <f>IF(AND(资金台帐!J2519&lt;&gt;"",资金台帐!J2519=客户对账单!$B$4,资金台帐!P2519="应收",ISNUMBER(资金台帐!B2519),资金台帐!B2519&gt;=客户对账单!$G$4,资金台帐!B2519&lt;=客户对账单!$I$4),资金台帐!B2519+ROW()/100000,"")</f>
      </c>
    </row>
    <row r="5517">
      <c r="F5517">
        <f>IF(AND(资金台帐!J2520&lt;&gt;"",资金台帐!J2520=客户对账单!$B$4,资金台帐!P2520="应收",ISNUMBER(资金台帐!B2520),资金台帐!B2520&gt;=客户对账单!$G$4,资金台帐!B2520&lt;=客户对账单!$I$4),资金台帐!B2520+ROW()/100000,"")</f>
      </c>
    </row>
    <row r="5518">
      <c r="F5518">
        <f>IF(AND(资金台帐!J2521&lt;&gt;"",资金台帐!J2521=客户对账单!$B$4,资金台帐!P2521="应收",ISNUMBER(资金台帐!B2521),资金台帐!B2521&gt;=客户对账单!$G$4,资金台帐!B2521&lt;=客户对账单!$I$4),资金台帐!B2521+ROW()/100000,"")</f>
      </c>
    </row>
    <row r="5519">
      <c r="F5519">
        <f>IF(AND(资金台帐!J2522&lt;&gt;"",资金台帐!J2522=客户对账单!$B$4,资金台帐!P2522="应收",ISNUMBER(资金台帐!B2522),资金台帐!B2522&gt;=客户对账单!$G$4,资金台帐!B2522&lt;=客户对账单!$I$4),资金台帐!B2522+ROW()/100000,"")</f>
      </c>
    </row>
    <row r="5520">
      <c r="F5520">
        <f>IF(AND(资金台帐!J2523&lt;&gt;"",资金台帐!J2523=客户对账单!$B$4,资金台帐!P2523="应收",ISNUMBER(资金台帐!B2523),资金台帐!B2523&gt;=客户对账单!$G$4,资金台帐!B2523&lt;=客户对账单!$I$4),资金台帐!B2523+ROW()/100000,"")</f>
      </c>
    </row>
    <row r="5521">
      <c r="F5521">
        <f>IF(AND(资金台帐!J2524&lt;&gt;"",资金台帐!J2524=客户对账单!$B$4,资金台帐!P2524="应收",ISNUMBER(资金台帐!B2524),资金台帐!B2524&gt;=客户对账单!$G$4,资金台帐!B2524&lt;=客户对账单!$I$4),资金台帐!B2524+ROW()/100000,"")</f>
      </c>
    </row>
    <row r="5522">
      <c r="F5522">
        <f>IF(AND(资金台帐!J2525&lt;&gt;"",资金台帐!J2525=客户对账单!$B$4,资金台帐!P2525="应收",ISNUMBER(资金台帐!B2525),资金台帐!B2525&gt;=客户对账单!$G$4,资金台帐!B2525&lt;=客户对账单!$I$4),资金台帐!B2525+ROW()/100000,"")</f>
      </c>
    </row>
    <row r="5523">
      <c r="F5523">
        <f>IF(AND(资金台帐!J2526&lt;&gt;"",资金台帐!J2526=客户对账单!$B$4,资金台帐!P2526="应收",ISNUMBER(资金台帐!B2526),资金台帐!B2526&gt;=客户对账单!$G$4,资金台帐!B2526&lt;=客户对账单!$I$4),资金台帐!B2526+ROW()/100000,"")</f>
      </c>
    </row>
    <row r="5524">
      <c r="F5524">
        <f>IF(AND(资金台帐!J2527&lt;&gt;"",资金台帐!J2527=客户对账单!$B$4,资金台帐!P2527="应收",ISNUMBER(资金台帐!B2527),资金台帐!B2527&gt;=客户对账单!$G$4,资金台帐!B2527&lt;=客户对账单!$I$4),资金台帐!B2527+ROW()/100000,"")</f>
      </c>
    </row>
    <row r="5525">
      <c r="F5525">
        <f>IF(AND(资金台帐!J2528&lt;&gt;"",资金台帐!J2528=客户对账单!$B$4,资金台帐!P2528="应收",ISNUMBER(资金台帐!B2528),资金台帐!B2528&gt;=客户对账单!$G$4,资金台帐!B2528&lt;=客户对账单!$I$4),资金台帐!B2528+ROW()/100000,"")</f>
      </c>
    </row>
    <row r="5526">
      <c r="F5526">
        <f>IF(AND(资金台帐!J2529&lt;&gt;"",资金台帐!J2529=客户对账单!$B$4,资金台帐!P2529="应收",ISNUMBER(资金台帐!B2529),资金台帐!B2529&gt;=客户对账单!$G$4,资金台帐!B2529&lt;=客户对账单!$I$4),资金台帐!B2529+ROW()/100000,"")</f>
      </c>
    </row>
    <row r="5527">
      <c r="F5527">
        <f>IF(AND(资金台帐!J2530&lt;&gt;"",资金台帐!J2530=客户对账单!$B$4,资金台帐!P2530="应收",ISNUMBER(资金台帐!B2530),资金台帐!B2530&gt;=客户对账单!$G$4,资金台帐!B2530&lt;=客户对账单!$I$4),资金台帐!B2530+ROW()/100000,"")</f>
      </c>
    </row>
    <row r="5528">
      <c r="F5528">
        <f>IF(AND(资金台帐!J2531&lt;&gt;"",资金台帐!J2531=客户对账单!$B$4,资金台帐!P2531="应收",ISNUMBER(资金台帐!B2531),资金台帐!B2531&gt;=客户对账单!$G$4,资金台帐!B2531&lt;=客户对账单!$I$4),资金台帐!B2531+ROW()/100000,"")</f>
      </c>
    </row>
    <row r="5529">
      <c r="F5529">
        <f>IF(AND(资金台帐!J2532&lt;&gt;"",资金台帐!J2532=客户对账单!$B$4,资金台帐!P2532="应收",ISNUMBER(资金台帐!B2532),资金台帐!B2532&gt;=客户对账单!$G$4,资金台帐!B2532&lt;=客户对账单!$I$4),资金台帐!B2532+ROW()/100000,"")</f>
      </c>
    </row>
    <row r="5530">
      <c r="F5530">
        <f>IF(AND(资金台帐!J2533&lt;&gt;"",资金台帐!J2533=客户对账单!$B$4,资金台帐!P2533="应收",ISNUMBER(资金台帐!B2533),资金台帐!B2533&gt;=客户对账单!$G$4,资金台帐!B2533&lt;=客户对账单!$I$4),资金台帐!B2533+ROW()/100000,"")</f>
      </c>
    </row>
    <row r="5531">
      <c r="F5531">
        <f>IF(AND(资金台帐!J2534&lt;&gt;"",资金台帐!J2534=客户对账单!$B$4,资金台帐!P2534="应收",ISNUMBER(资金台帐!B2534),资金台帐!B2534&gt;=客户对账单!$G$4,资金台帐!B2534&lt;=客户对账单!$I$4),资金台帐!B2534+ROW()/100000,"")</f>
      </c>
    </row>
    <row r="5532">
      <c r="F5532">
        <f>IF(AND(资金台帐!J2535&lt;&gt;"",资金台帐!J2535=客户对账单!$B$4,资金台帐!P2535="应收",ISNUMBER(资金台帐!B2535),资金台帐!B2535&gt;=客户对账单!$G$4,资金台帐!B2535&lt;=客户对账单!$I$4),资金台帐!B2535+ROW()/100000,"")</f>
      </c>
    </row>
    <row r="5533">
      <c r="F5533">
        <f>IF(AND(资金台帐!J2536&lt;&gt;"",资金台帐!J2536=客户对账单!$B$4,资金台帐!P2536="应收",ISNUMBER(资金台帐!B2536),资金台帐!B2536&gt;=客户对账单!$G$4,资金台帐!B2536&lt;=客户对账单!$I$4),资金台帐!B2536+ROW()/100000,"")</f>
      </c>
    </row>
    <row r="5534">
      <c r="F5534">
        <f>IF(AND(资金台帐!J2537&lt;&gt;"",资金台帐!J2537=客户对账单!$B$4,资金台帐!P2537="应收",ISNUMBER(资金台帐!B2537),资金台帐!B2537&gt;=客户对账单!$G$4,资金台帐!B2537&lt;=客户对账单!$I$4),资金台帐!B2537+ROW()/100000,"")</f>
      </c>
    </row>
    <row r="5535">
      <c r="F5535">
        <f>IF(AND(资金台帐!J2538&lt;&gt;"",资金台帐!J2538=客户对账单!$B$4,资金台帐!P2538="应收",ISNUMBER(资金台帐!B2538),资金台帐!B2538&gt;=客户对账单!$G$4,资金台帐!B2538&lt;=客户对账单!$I$4),资金台帐!B2538+ROW()/100000,"")</f>
      </c>
    </row>
    <row r="5536">
      <c r="F5536">
        <f>IF(AND(资金台帐!J2539&lt;&gt;"",资金台帐!J2539=客户对账单!$B$4,资金台帐!P2539="应收",ISNUMBER(资金台帐!B2539),资金台帐!B2539&gt;=客户对账单!$G$4,资金台帐!B2539&lt;=客户对账单!$I$4),资金台帐!B2539+ROW()/100000,"")</f>
      </c>
    </row>
    <row r="5537">
      <c r="F5537">
        <f>IF(AND(资金台帐!J2540&lt;&gt;"",资金台帐!J2540=客户对账单!$B$4,资金台帐!P2540="应收",ISNUMBER(资金台帐!B2540),资金台帐!B2540&gt;=客户对账单!$G$4,资金台帐!B2540&lt;=客户对账单!$I$4),资金台帐!B2540+ROW()/100000,"")</f>
      </c>
    </row>
    <row r="5538">
      <c r="F5538">
        <f>IF(AND(资金台帐!J2541&lt;&gt;"",资金台帐!J2541=客户对账单!$B$4,资金台帐!P2541="应收",ISNUMBER(资金台帐!B2541),资金台帐!B2541&gt;=客户对账单!$G$4,资金台帐!B2541&lt;=客户对账单!$I$4),资金台帐!B2541+ROW()/100000,"")</f>
      </c>
    </row>
    <row r="5539">
      <c r="F5539">
        <f>IF(AND(资金台帐!J2542&lt;&gt;"",资金台帐!J2542=客户对账单!$B$4,资金台帐!P2542="应收",ISNUMBER(资金台帐!B2542),资金台帐!B2542&gt;=客户对账单!$G$4,资金台帐!B2542&lt;=客户对账单!$I$4),资金台帐!B2542+ROW()/100000,"")</f>
      </c>
    </row>
    <row r="5540">
      <c r="F5540">
        <f>IF(AND(资金台帐!J2543&lt;&gt;"",资金台帐!J2543=客户对账单!$B$4,资金台帐!P2543="应收",ISNUMBER(资金台帐!B2543),资金台帐!B2543&gt;=客户对账单!$G$4,资金台帐!B2543&lt;=客户对账单!$I$4),资金台帐!B2543+ROW()/100000,"")</f>
      </c>
    </row>
    <row r="5541">
      <c r="F5541">
        <f>IF(AND(资金台帐!J2544&lt;&gt;"",资金台帐!J2544=客户对账单!$B$4,资金台帐!P2544="应收",ISNUMBER(资金台帐!B2544),资金台帐!B2544&gt;=客户对账单!$G$4,资金台帐!B2544&lt;=客户对账单!$I$4),资金台帐!B2544+ROW()/100000,"")</f>
      </c>
    </row>
    <row r="5542">
      <c r="F5542">
        <f>IF(AND(资金台帐!J2545&lt;&gt;"",资金台帐!J2545=客户对账单!$B$4,资金台帐!P2545="应收",ISNUMBER(资金台帐!B2545),资金台帐!B2545&gt;=客户对账单!$G$4,资金台帐!B2545&lt;=客户对账单!$I$4),资金台帐!B2545+ROW()/100000,"")</f>
      </c>
    </row>
    <row r="5543">
      <c r="F5543">
        <f>IF(AND(资金台帐!J2546&lt;&gt;"",资金台帐!J2546=客户对账单!$B$4,资金台帐!P2546="应收",ISNUMBER(资金台帐!B2546),资金台帐!B2546&gt;=客户对账单!$G$4,资金台帐!B2546&lt;=客户对账单!$I$4),资金台帐!B2546+ROW()/100000,"")</f>
      </c>
    </row>
    <row r="5544">
      <c r="F5544">
        <f>IF(AND(资金台帐!J2547&lt;&gt;"",资金台帐!J2547=客户对账单!$B$4,资金台帐!P2547="应收",ISNUMBER(资金台帐!B2547),资金台帐!B2547&gt;=客户对账单!$G$4,资金台帐!B2547&lt;=客户对账单!$I$4),资金台帐!B2547+ROW()/100000,"")</f>
      </c>
    </row>
    <row r="5545">
      <c r="F5545">
        <f>IF(AND(资金台帐!J2548&lt;&gt;"",资金台帐!J2548=客户对账单!$B$4,资金台帐!P2548="应收",ISNUMBER(资金台帐!B2548),资金台帐!B2548&gt;=客户对账单!$G$4,资金台帐!B2548&lt;=客户对账单!$I$4),资金台帐!B2548+ROW()/100000,"")</f>
      </c>
    </row>
    <row r="5546">
      <c r="F5546">
        <f>IF(AND(资金台帐!J2549&lt;&gt;"",资金台帐!J2549=客户对账单!$B$4,资金台帐!P2549="应收",ISNUMBER(资金台帐!B2549),资金台帐!B2549&gt;=客户对账单!$G$4,资金台帐!B2549&lt;=客户对账单!$I$4),资金台帐!B2549+ROW()/100000,"")</f>
      </c>
    </row>
    <row r="5547">
      <c r="F5547">
        <f>IF(AND(资金台帐!J2550&lt;&gt;"",资金台帐!J2550=客户对账单!$B$4,资金台帐!P2550="应收",ISNUMBER(资金台帐!B2550),资金台帐!B2550&gt;=客户对账单!$G$4,资金台帐!B2550&lt;=客户对账单!$I$4),资金台帐!B2550+ROW()/100000,"")</f>
      </c>
    </row>
    <row r="5548">
      <c r="F5548">
        <f>IF(AND(资金台帐!J2551&lt;&gt;"",资金台帐!J2551=客户对账单!$B$4,资金台帐!P2551="应收",ISNUMBER(资金台帐!B2551),资金台帐!B2551&gt;=客户对账单!$G$4,资金台帐!B2551&lt;=客户对账单!$I$4),资金台帐!B2551+ROW()/100000,"")</f>
      </c>
    </row>
    <row r="5549">
      <c r="F5549">
        <f>IF(AND(资金台帐!J2552&lt;&gt;"",资金台帐!J2552=客户对账单!$B$4,资金台帐!P2552="应收",ISNUMBER(资金台帐!B2552),资金台帐!B2552&gt;=客户对账单!$G$4,资金台帐!B2552&lt;=客户对账单!$I$4),资金台帐!B2552+ROW()/100000,"")</f>
      </c>
    </row>
    <row r="5550">
      <c r="F5550">
        <f>IF(AND(资金台帐!J2553&lt;&gt;"",资金台帐!J2553=客户对账单!$B$4,资金台帐!P2553="应收",ISNUMBER(资金台帐!B2553),资金台帐!B2553&gt;=客户对账单!$G$4,资金台帐!B2553&lt;=客户对账单!$I$4),资金台帐!B2553+ROW()/100000,"")</f>
      </c>
    </row>
    <row r="5551">
      <c r="F5551">
        <f>IF(AND(资金台帐!J2554&lt;&gt;"",资金台帐!J2554=客户对账单!$B$4,资金台帐!P2554="应收",ISNUMBER(资金台帐!B2554),资金台帐!B2554&gt;=客户对账单!$G$4,资金台帐!B2554&lt;=客户对账单!$I$4),资金台帐!B2554+ROW()/100000,"")</f>
      </c>
    </row>
    <row r="5552">
      <c r="F5552">
        <f>IF(AND(资金台帐!J2555&lt;&gt;"",资金台帐!J2555=客户对账单!$B$4,资金台帐!P2555="应收",ISNUMBER(资金台帐!B2555),资金台帐!B2555&gt;=客户对账单!$G$4,资金台帐!B2555&lt;=客户对账单!$I$4),资金台帐!B2555+ROW()/100000,"")</f>
      </c>
    </row>
    <row r="5553">
      <c r="F5553">
        <f>IF(AND(资金台帐!J2556&lt;&gt;"",资金台帐!J2556=客户对账单!$B$4,资金台帐!P2556="应收",ISNUMBER(资金台帐!B2556),资金台帐!B2556&gt;=客户对账单!$G$4,资金台帐!B2556&lt;=客户对账单!$I$4),资金台帐!B2556+ROW()/100000,"")</f>
      </c>
    </row>
    <row r="5554">
      <c r="F5554">
        <f>IF(AND(资金台帐!J2557&lt;&gt;"",资金台帐!J2557=客户对账单!$B$4,资金台帐!P2557="应收",ISNUMBER(资金台帐!B2557),资金台帐!B2557&gt;=客户对账单!$G$4,资金台帐!B2557&lt;=客户对账单!$I$4),资金台帐!B2557+ROW()/100000,"")</f>
      </c>
    </row>
    <row r="5555">
      <c r="F5555">
        <f>IF(AND(资金台帐!J2558&lt;&gt;"",资金台帐!J2558=客户对账单!$B$4,资金台帐!P2558="应收",ISNUMBER(资金台帐!B2558),资金台帐!B2558&gt;=客户对账单!$G$4,资金台帐!B2558&lt;=客户对账单!$I$4),资金台帐!B2558+ROW()/100000,"")</f>
      </c>
    </row>
    <row r="5556">
      <c r="F5556">
        <f>IF(AND(资金台帐!J2559&lt;&gt;"",资金台帐!J2559=客户对账单!$B$4,资金台帐!P2559="应收",ISNUMBER(资金台帐!B2559),资金台帐!B2559&gt;=客户对账单!$G$4,资金台帐!B2559&lt;=客户对账单!$I$4),资金台帐!B2559+ROW()/100000,"")</f>
      </c>
    </row>
    <row r="5557">
      <c r="F5557">
        <f>IF(AND(资金台帐!J2560&lt;&gt;"",资金台帐!J2560=客户对账单!$B$4,资金台帐!P2560="应收",ISNUMBER(资金台帐!B2560),资金台帐!B2560&gt;=客户对账单!$G$4,资金台帐!B2560&lt;=客户对账单!$I$4),资金台帐!B2560+ROW()/100000,"")</f>
      </c>
    </row>
    <row r="5558">
      <c r="F5558">
        <f>IF(AND(资金台帐!J2561&lt;&gt;"",资金台帐!J2561=客户对账单!$B$4,资金台帐!P2561="应收",ISNUMBER(资金台帐!B2561),资金台帐!B2561&gt;=客户对账单!$G$4,资金台帐!B2561&lt;=客户对账单!$I$4),资金台帐!B2561+ROW()/100000,"")</f>
      </c>
    </row>
    <row r="5559">
      <c r="F5559">
        <f>IF(AND(资金台帐!J2562&lt;&gt;"",资金台帐!J2562=客户对账单!$B$4,资金台帐!P2562="应收",ISNUMBER(资金台帐!B2562),资金台帐!B2562&gt;=客户对账单!$G$4,资金台帐!B2562&lt;=客户对账单!$I$4),资金台帐!B2562+ROW()/100000,"")</f>
      </c>
    </row>
    <row r="5560">
      <c r="F5560">
        <f>IF(AND(资金台帐!J2563&lt;&gt;"",资金台帐!J2563=客户对账单!$B$4,资金台帐!P2563="应收",ISNUMBER(资金台帐!B2563),资金台帐!B2563&gt;=客户对账单!$G$4,资金台帐!B2563&lt;=客户对账单!$I$4),资金台帐!B2563+ROW()/100000,"")</f>
      </c>
    </row>
    <row r="5561">
      <c r="F5561">
        <f>IF(AND(资金台帐!J2564&lt;&gt;"",资金台帐!J2564=客户对账单!$B$4,资金台帐!P2564="应收",ISNUMBER(资金台帐!B2564),资金台帐!B2564&gt;=客户对账单!$G$4,资金台帐!B2564&lt;=客户对账单!$I$4),资金台帐!B2564+ROW()/100000,"")</f>
      </c>
    </row>
    <row r="5562">
      <c r="F5562">
        <f>IF(AND(资金台帐!J2565&lt;&gt;"",资金台帐!J2565=客户对账单!$B$4,资金台帐!P2565="应收",ISNUMBER(资金台帐!B2565),资金台帐!B2565&gt;=客户对账单!$G$4,资金台帐!B2565&lt;=客户对账单!$I$4),资金台帐!B2565+ROW()/100000,"")</f>
      </c>
    </row>
    <row r="5563">
      <c r="F5563">
        <f>IF(AND(资金台帐!J2566&lt;&gt;"",资金台帐!J2566=客户对账单!$B$4,资金台帐!P2566="应收",ISNUMBER(资金台帐!B2566),资金台帐!B2566&gt;=客户对账单!$G$4,资金台帐!B2566&lt;=客户对账单!$I$4),资金台帐!B2566+ROW()/100000,"")</f>
      </c>
    </row>
    <row r="5564">
      <c r="F5564">
        <f>IF(AND(资金台帐!J2567&lt;&gt;"",资金台帐!J2567=客户对账单!$B$4,资金台帐!P2567="应收",ISNUMBER(资金台帐!B2567),资金台帐!B2567&gt;=客户对账单!$G$4,资金台帐!B2567&lt;=客户对账单!$I$4),资金台帐!B2567+ROW()/100000,"")</f>
      </c>
    </row>
    <row r="5565">
      <c r="F5565">
        <f>IF(AND(资金台帐!J2568&lt;&gt;"",资金台帐!J2568=客户对账单!$B$4,资金台帐!P2568="应收",ISNUMBER(资金台帐!B2568),资金台帐!B2568&gt;=客户对账单!$G$4,资金台帐!B2568&lt;=客户对账单!$I$4),资金台帐!B2568+ROW()/100000,"")</f>
      </c>
    </row>
    <row r="5566">
      <c r="F5566">
        <f>IF(AND(资金台帐!J2569&lt;&gt;"",资金台帐!J2569=客户对账单!$B$4,资金台帐!P2569="应收",ISNUMBER(资金台帐!B2569),资金台帐!B2569&gt;=客户对账单!$G$4,资金台帐!B2569&lt;=客户对账单!$I$4),资金台帐!B2569+ROW()/100000,"")</f>
      </c>
    </row>
    <row r="5567">
      <c r="F5567">
        <f>IF(AND(资金台帐!J2570&lt;&gt;"",资金台帐!J2570=客户对账单!$B$4,资金台帐!P2570="应收",ISNUMBER(资金台帐!B2570),资金台帐!B2570&gt;=客户对账单!$G$4,资金台帐!B2570&lt;=客户对账单!$I$4),资金台帐!B2570+ROW()/100000,"")</f>
      </c>
    </row>
    <row r="5568">
      <c r="F5568">
        <f>IF(AND(资金台帐!J2571&lt;&gt;"",资金台帐!J2571=客户对账单!$B$4,资金台帐!P2571="应收",ISNUMBER(资金台帐!B2571),资金台帐!B2571&gt;=客户对账单!$G$4,资金台帐!B2571&lt;=客户对账单!$I$4),资金台帐!B2571+ROW()/100000,"")</f>
      </c>
    </row>
    <row r="5569">
      <c r="F5569">
        <f>IF(AND(资金台帐!J2572&lt;&gt;"",资金台帐!J2572=客户对账单!$B$4,资金台帐!P2572="应收",ISNUMBER(资金台帐!B2572),资金台帐!B2572&gt;=客户对账单!$G$4,资金台帐!B2572&lt;=客户对账单!$I$4),资金台帐!B2572+ROW()/100000,"")</f>
      </c>
    </row>
    <row r="5570">
      <c r="F5570">
        <f>IF(AND(资金台帐!J2573&lt;&gt;"",资金台帐!J2573=客户对账单!$B$4,资金台帐!P2573="应收",ISNUMBER(资金台帐!B2573),资金台帐!B2573&gt;=客户对账单!$G$4,资金台帐!B2573&lt;=客户对账单!$I$4),资金台帐!B2573+ROW()/100000,"")</f>
      </c>
    </row>
    <row r="5571">
      <c r="F5571">
        <f>IF(AND(资金台帐!J2574&lt;&gt;"",资金台帐!J2574=客户对账单!$B$4,资金台帐!P2574="应收",ISNUMBER(资金台帐!B2574),资金台帐!B2574&gt;=客户对账单!$G$4,资金台帐!B2574&lt;=客户对账单!$I$4),资金台帐!B2574+ROW()/100000,"")</f>
      </c>
    </row>
    <row r="5572">
      <c r="F5572">
        <f>IF(AND(资金台帐!J2575&lt;&gt;"",资金台帐!J2575=客户对账单!$B$4,资金台帐!P2575="应收",ISNUMBER(资金台帐!B2575),资金台帐!B2575&gt;=客户对账单!$G$4,资金台帐!B2575&lt;=客户对账单!$I$4),资金台帐!B2575+ROW()/100000,"")</f>
      </c>
    </row>
    <row r="5573">
      <c r="F5573">
        <f>IF(AND(资金台帐!J2576&lt;&gt;"",资金台帐!J2576=客户对账单!$B$4,资金台帐!P2576="应收",ISNUMBER(资金台帐!B2576),资金台帐!B2576&gt;=客户对账单!$G$4,资金台帐!B2576&lt;=客户对账单!$I$4),资金台帐!B2576+ROW()/100000,"")</f>
      </c>
    </row>
    <row r="5574">
      <c r="F5574">
        <f>IF(AND(资金台帐!J2577&lt;&gt;"",资金台帐!J2577=客户对账单!$B$4,资金台帐!P2577="应收",ISNUMBER(资金台帐!B2577),资金台帐!B2577&gt;=客户对账单!$G$4,资金台帐!B2577&lt;=客户对账单!$I$4),资金台帐!B2577+ROW()/100000,"")</f>
      </c>
    </row>
    <row r="5575">
      <c r="F5575">
        <f>IF(AND(资金台帐!J2578&lt;&gt;"",资金台帐!J2578=客户对账单!$B$4,资金台帐!P2578="应收",ISNUMBER(资金台帐!B2578),资金台帐!B2578&gt;=客户对账单!$G$4,资金台帐!B2578&lt;=客户对账单!$I$4),资金台帐!B2578+ROW()/100000,"")</f>
      </c>
    </row>
    <row r="5576">
      <c r="F5576">
        <f>IF(AND(资金台帐!J2579&lt;&gt;"",资金台帐!J2579=客户对账单!$B$4,资金台帐!P2579="应收",ISNUMBER(资金台帐!B2579),资金台帐!B2579&gt;=客户对账单!$G$4,资金台帐!B2579&lt;=客户对账单!$I$4),资金台帐!B2579+ROW()/100000,"")</f>
      </c>
    </row>
    <row r="5577">
      <c r="F5577">
        <f>IF(AND(资金台帐!J2580&lt;&gt;"",资金台帐!J2580=客户对账单!$B$4,资金台帐!P2580="应收",ISNUMBER(资金台帐!B2580),资金台帐!B2580&gt;=客户对账单!$G$4,资金台帐!B2580&lt;=客户对账单!$I$4),资金台帐!B2580+ROW()/100000,"")</f>
      </c>
    </row>
    <row r="5578">
      <c r="F5578">
        <f>IF(AND(资金台帐!J2581&lt;&gt;"",资金台帐!J2581=客户对账单!$B$4,资金台帐!P2581="应收",ISNUMBER(资金台帐!B2581),资金台帐!B2581&gt;=客户对账单!$G$4,资金台帐!B2581&lt;=客户对账单!$I$4),资金台帐!B2581+ROW()/100000,"")</f>
      </c>
    </row>
    <row r="5579">
      <c r="F5579">
        <f>IF(AND(资金台帐!J2582&lt;&gt;"",资金台帐!J2582=客户对账单!$B$4,资金台帐!P2582="应收",ISNUMBER(资金台帐!B2582),资金台帐!B2582&gt;=客户对账单!$G$4,资金台帐!B2582&lt;=客户对账单!$I$4),资金台帐!B2582+ROW()/100000,"")</f>
      </c>
    </row>
    <row r="5580">
      <c r="F5580">
        <f>IF(AND(资金台帐!J2583&lt;&gt;"",资金台帐!J2583=客户对账单!$B$4,资金台帐!P2583="应收",ISNUMBER(资金台帐!B2583),资金台帐!B2583&gt;=客户对账单!$G$4,资金台帐!B2583&lt;=客户对账单!$I$4),资金台帐!B2583+ROW()/100000,"")</f>
      </c>
    </row>
    <row r="5581">
      <c r="F5581">
        <f>IF(AND(资金台帐!J2584&lt;&gt;"",资金台帐!J2584=客户对账单!$B$4,资金台帐!P2584="应收",ISNUMBER(资金台帐!B2584),资金台帐!B2584&gt;=客户对账单!$G$4,资金台帐!B2584&lt;=客户对账单!$I$4),资金台帐!B2584+ROW()/100000,"")</f>
      </c>
    </row>
    <row r="5582">
      <c r="F5582">
        <f>IF(AND(资金台帐!J2585&lt;&gt;"",资金台帐!J2585=客户对账单!$B$4,资金台帐!P2585="应收",ISNUMBER(资金台帐!B2585),资金台帐!B2585&gt;=客户对账单!$G$4,资金台帐!B2585&lt;=客户对账单!$I$4),资金台帐!B2585+ROW()/100000,"")</f>
      </c>
    </row>
    <row r="5583">
      <c r="F5583">
        <f>IF(AND(资金台帐!J2586&lt;&gt;"",资金台帐!J2586=客户对账单!$B$4,资金台帐!P2586="应收",ISNUMBER(资金台帐!B2586),资金台帐!B2586&gt;=客户对账单!$G$4,资金台帐!B2586&lt;=客户对账单!$I$4),资金台帐!B2586+ROW()/100000,"")</f>
      </c>
    </row>
    <row r="5584">
      <c r="F5584">
        <f>IF(AND(资金台帐!J2587&lt;&gt;"",资金台帐!J2587=客户对账单!$B$4,资金台帐!P2587="应收",ISNUMBER(资金台帐!B2587),资金台帐!B2587&gt;=客户对账单!$G$4,资金台帐!B2587&lt;=客户对账单!$I$4),资金台帐!B2587+ROW()/100000,"")</f>
      </c>
    </row>
    <row r="5585">
      <c r="F5585">
        <f>IF(AND(资金台帐!J2588&lt;&gt;"",资金台帐!J2588=客户对账单!$B$4,资金台帐!P2588="应收",ISNUMBER(资金台帐!B2588),资金台帐!B2588&gt;=客户对账单!$G$4,资金台帐!B2588&lt;=客户对账单!$I$4),资金台帐!B2588+ROW()/100000,"")</f>
      </c>
    </row>
    <row r="5586">
      <c r="F5586">
        <f>IF(AND(资金台帐!J2589&lt;&gt;"",资金台帐!J2589=客户对账单!$B$4,资金台帐!P2589="应收",ISNUMBER(资金台帐!B2589),资金台帐!B2589&gt;=客户对账单!$G$4,资金台帐!B2589&lt;=客户对账单!$I$4),资金台帐!B2589+ROW()/100000,"")</f>
      </c>
    </row>
    <row r="5587">
      <c r="F5587">
        <f>IF(AND(资金台帐!J2590&lt;&gt;"",资金台帐!J2590=客户对账单!$B$4,资金台帐!P2590="应收",ISNUMBER(资金台帐!B2590),资金台帐!B2590&gt;=客户对账单!$G$4,资金台帐!B2590&lt;=客户对账单!$I$4),资金台帐!B2590+ROW()/100000,"")</f>
      </c>
    </row>
    <row r="5588">
      <c r="F5588">
        <f>IF(AND(资金台帐!J2591&lt;&gt;"",资金台帐!J2591=客户对账单!$B$4,资金台帐!P2591="应收",ISNUMBER(资金台帐!B2591),资金台帐!B2591&gt;=客户对账单!$G$4,资金台帐!B2591&lt;=客户对账单!$I$4),资金台帐!B2591+ROW()/100000,"")</f>
      </c>
    </row>
    <row r="5589">
      <c r="F5589">
        <f>IF(AND(资金台帐!J2592&lt;&gt;"",资金台帐!J2592=客户对账单!$B$4,资金台帐!P2592="应收",ISNUMBER(资金台帐!B2592),资金台帐!B2592&gt;=客户对账单!$G$4,资金台帐!B2592&lt;=客户对账单!$I$4),资金台帐!B2592+ROW()/100000,"")</f>
      </c>
    </row>
    <row r="5590">
      <c r="F5590">
        <f>IF(AND(资金台帐!J2593&lt;&gt;"",资金台帐!J2593=客户对账单!$B$4,资金台帐!P2593="应收",ISNUMBER(资金台帐!B2593),资金台帐!B2593&gt;=客户对账单!$G$4,资金台帐!B2593&lt;=客户对账单!$I$4),资金台帐!B2593+ROW()/100000,"")</f>
      </c>
    </row>
    <row r="5591">
      <c r="F5591">
        <f>IF(AND(资金台帐!J2594&lt;&gt;"",资金台帐!J2594=客户对账单!$B$4,资金台帐!P2594="应收",ISNUMBER(资金台帐!B2594),资金台帐!B2594&gt;=客户对账单!$G$4,资金台帐!B2594&lt;=客户对账单!$I$4),资金台帐!B2594+ROW()/100000,"")</f>
      </c>
    </row>
    <row r="5592">
      <c r="F5592">
        <f>IF(AND(资金台帐!J2595&lt;&gt;"",资金台帐!J2595=客户对账单!$B$4,资金台帐!P2595="应收",ISNUMBER(资金台帐!B2595),资金台帐!B2595&gt;=客户对账单!$G$4,资金台帐!B2595&lt;=客户对账单!$I$4),资金台帐!B2595+ROW()/100000,"")</f>
      </c>
    </row>
    <row r="5593">
      <c r="F5593">
        <f>IF(AND(资金台帐!J2596&lt;&gt;"",资金台帐!J2596=客户对账单!$B$4,资金台帐!P2596="应收",ISNUMBER(资金台帐!B2596),资金台帐!B2596&gt;=客户对账单!$G$4,资金台帐!B2596&lt;=客户对账单!$I$4),资金台帐!B2596+ROW()/100000,"")</f>
      </c>
    </row>
    <row r="5594">
      <c r="F5594">
        <f>IF(AND(资金台帐!J2597&lt;&gt;"",资金台帐!J2597=客户对账单!$B$4,资金台帐!P2597="应收",ISNUMBER(资金台帐!B2597),资金台帐!B2597&gt;=客户对账单!$G$4,资金台帐!B2597&lt;=客户对账单!$I$4),资金台帐!B2597+ROW()/100000,"")</f>
      </c>
    </row>
    <row r="5595">
      <c r="F5595">
        <f>IF(AND(资金台帐!J2598&lt;&gt;"",资金台帐!J2598=客户对账单!$B$4,资金台帐!P2598="应收",ISNUMBER(资金台帐!B2598),资金台帐!B2598&gt;=客户对账单!$G$4,资金台帐!B2598&lt;=客户对账单!$I$4),资金台帐!B2598+ROW()/100000,"")</f>
      </c>
    </row>
    <row r="5596">
      <c r="F5596">
        <f>IF(AND(资金台帐!J2599&lt;&gt;"",资金台帐!J2599=客户对账单!$B$4,资金台帐!P2599="应收",ISNUMBER(资金台帐!B2599),资金台帐!B2599&gt;=客户对账单!$G$4,资金台帐!B2599&lt;=客户对账单!$I$4),资金台帐!B2599+ROW()/100000,"")</f>
      </c>
    </row>
    <row r="5597">
      <c r="F5597">
        <f>IF(AND(资金台帐!J2600&lt;&gt;"",资金台帐!J2600=客户对账单!$B$4,资金台帐!P2600="应收",ISNUMBER(资金台帐!B2600),资金台帐!B2600&gt;=客户对账单!$G$4,资金台帐!B2600&lt;=客户对账单!$I$4),资金台帐!B2600+ROW()/100000,"")</f>
      </c>
    </row>
    <row r="5598">
      <c r="F5598">
        <f>IF(AND(资金台帐!J2601&lt;&gt;"",资金台帐!J2601=客户对账单!$B$4,资金台帐!P2601="应收",ISNUMBER(资金台帐!B2601),资金台帐!B2601&gt;=客户对账单!$G$4,资金台帐!B2601&lt;=客户对账单!$I$4),资金台帐!B2601+ROW()/100000,"")</f>
      </c>
    </row>
    <row r="5599">
      <c r="F5599">
        <f>IF(AND(资金台帐!J2602&lt;&gt;"",资金台帐!J2602=客户对账单!$B$4,资金台帐!P2602="应收",ISNUMBER(资金台帐!B2602),资金台帐!B2602&gt;=客户对账单!$G$4,资金台帐!B2602&lt;=客户对账单!$I$4),资金台帐!B2602+ROW()/100000,"")</f>
      </c>
    </row>
    <row r="5600">
      <c r="F5600">
        <f>IF(AND(资金台帐!J2603&lt;&gt;"",资金台帐!J2603=客户对账单!$B$4,资金台帐!P2603="应收",ISNUMBER(资金台帐!B2603),资金台帐!B2603&gt;=客户对账单!$G$4,资金台帐!B2603&lt;=客户对账单!$I$4),资金台帐!B2603+ROW()/100000,"")</f>
      </c>
    </row>
    <row r="5601">
      <c r="F5601">
        <f>IF(AND(资金台帐!J2604&lt;&gt;"",资金台帐!J2604=客户对账单!$B$4,资金台帐!P2604="应收",ISNUMBER(资金台帐!B2604),资金台帐!B2604&gt;=客户对账单!$G$4,资金台帐!B2604&lt;=客户对账单!$I$4),资金台帐!B2604+ROW()/100000,"")</f>
      </c>
    </row>
    <row r="5602">
      <c r="F5602">
        <f>IF(AND(资金台帐!J2605&lt;&gt;"",资金台帐!J2605=客户对账单!$B$4,资金台帐!P2605="应收",ISNUMBER(资金台帐!B2605),资金台帐!B2605&gt;=客户对账单!$G$4,资金台帐!B2605&lt;=客户对账单!$I$4),资金台帐!B2605+ROW()/100000,"")</f>
      </c>
    </row>
    <row r="5603">
      <c r="F5603">
        <f>IF(AND(资金台帐!J2606&lt;&gt;"",资金台帐!J2606=客户对账单!$B$4,资金台帐!P2606="应收",ISNUMBER(资金台帐!B2606),资金台帐!B2606&gt;=客户对账单!$G$4,资金台帐!B2606&lt;=客户对账单!$I$4),资金台帐!B2606+ROW()/100000,"")</f>
      </c>
    </row>
    <row r="5604">
      <c r="F5604">
        <f>IF(AND(资金台帐!J2607&lt;&gt;"",资金台帐!J2607=客户对账单!$B$4,资金台帐!P2607="应收",ISNUMBER(资金台帐!B2607),资金台帐!B2607&gt;=客户对账单!$G$4,资金台帐!B2607&lt;=客户对账单!$I$4),资金台帐!B2607+ROW()/100000,"")</f>
      </c>
    </row>
    <row r="5605">
      <c r="F5605">
        <f>IF(AND(资金台帐!J2608&lt;&gt;"",资金台帐!J2608=客户对账单!$B$4,资金台帐!P2608="应收",ISNUMBER(资金台帐!B2608),资金台帐!B2608&gt;=客户对账单!$G$4,资金台帐!B2608&lt;=客户对账单!$I$4),资金台帐!B2608+ROW()/100000,"")</f>
      </c>
    </row>
    <row r="5606">
      <c r="F5606">
        <f>IF(AND(资金台帐!J2609&lt;&gt;"",资金台帐!J2609=客户对账单!$B$4,资金台帐!P2609="应收",ISNUMBER(资金台帐!B2609),资金台帐!B2609&gt;=客户对账单!$G$4,资金台帐!B2609&lt;=客户对账单!$I$4),资金台帐!B2609+ROW()/100000,"")</f>
      </c>
    </row>
    <row r="5607">
      <c r="F5607">
        <f>IF(AND(资金台帐!J2610&lt;&gt;"",资金台帐!J2610=客户对账单!$B$4,资金台帐!P2610="应收",ISNUMBER(资金台帐!B2610),资金台帐!B2610&gt;=客户对账单!$G$4,资金台帐!B2610&lt;=客户对账单!$I$4),资金台帐!B2610+ROW()/100000,"")</f>
      </c>
    </row>
    <row r="5608">
      <c r="F5608">
        <f>IF(AND(资金台帐!J2611&lt;&gt;"",资金台帐!J2611=客户对账单!$B$4,资金台帐!P2611="应收",ISNUMBER(资金台帐!B2611),资金台帐!B2611&gt;=客户对账单!$G$4,资金台帐!B2611&lt;=客户对账单!$I$4),资金台帐!B2611+ROW()/100000,"")</f>
      </c>
    </row>
    <row r="5609">
      <c r="F5609">
        <f>IF(AND(资金台帐!J2612&lt;&gt;"",资金台帐!J2612=客户对账单!$B$4,资金台帐!P2612="应收",ISNUMBER(资金台帐!B2612),资金台帐!B2612&gt;=客户对账单!$G$4,资金台帐!B2612&lt;=客户对账单!$I$4),资金台帐!B2612+ROW()/100000,"")</f>
      </c>
    </row>
    <row r="5610">
      <c r="F5610">
        <f>IF(AND(资金台帐!J2613&lt;&gt;"",资金台帐!J2613=客户对账单!$B$4,资金台帐!P2613="应收",ISNUMBER(资金台帐!B2613),资金台帐!B2613&gt;=客户对账单!$G$4,资金台帐!B2613&lt;=客户对账单!$I$4),资金台帐!B2613+ROW()/100000,"")</f>
      </c>
    </row>
    <row r="5611">
      <c r="F5611">
        <f>IF(AND(资金台帐!J2614&lt;&gt;"",资金台帐!J2614=客户对账单!$B$4,资金台帐!P2614="应收",ISNUMBER(资金台帐!B2614),资金台帐!B2614&gt;=客户对账单!$G$4,资金台帐!B2614&lt;=客户对账单!$I$4),资金台帐!B2614+ROW()/100000,"")</f>
      </c>
    </row>
    <row r="5612">
      <c r="F5612">
        <f>IF(AND(资金台帐!J2615&lt;&gt;"",资金台帐!J2615=客户对账单!$B$4,资金台帐!P2615="应收",ISNUMBER(资金台帐!B2615),资金台帐!B2615&gt;=客户对账单!$G$4,资金台帐!B2615&lt;=客户对账单!$I$4),资金台帐!B2615+ROW()/100000,"")</f>
      </c>
    </row>
    <row r="5613">
      <c r="F5613">
        <f>IF(AND(资金台帐!J2616&lt;&gt;"",资金台帐!J2616=客户对账单!$B$4,资金台帐!P2616="应收",ISNUMBER(资金台帐!B2616),资金台帐!B2616&gt;=客户对账单!$G$4,资金台帐!B2616&lt;=客户对账单!$I$4),资金台帐!B2616+ROW()/100000,"")</f>
      </c>
    </row>
    <row r="5614">
      <c r="F5614">
        <f>IF(AND(资金台帐!J2617&lt;&gt;"",资金台帐!J2617=客户对账单!$B$4,资金台帐!P2617="应收",ISNUMBER(资金台帐!B2617),资金台帐!B2617&gt;=客户对账单!$G$4,资金台帐!B2617&lt;=客户对账单!$I$4),资金台帐!B2617+ROW()/100000,"")</f>
      </c>
    </row>
    <row r="5615">
      <c r="F5615">
        <f>IF(AND(资金台帐!J2618&lt;&gt;"",资金台帐!J2618=客户对账单!$B$4,资金台帐!P2618="应收",ISNUMBER(资金台帐!B2618),资金台帐!B2618&gt;=客户对账单!$G$4,资金台帐!B2618&lt;=客户对账单!$I$4),资金台帐!B2618+ROW()/100000,"")</f>
      </c>
    </row>
    <row r="5616">
      <c r="F5616">
        <f>IF(AND(资金台帐!J2619&lt;&gt;"",资金台帐!J2619=客户对账单!$B$4,资金台帐!P2619="应收",ISNUMBER(资金台帐!B2619),资金台帐!B2619&gt;=客户对账单!$G$4,资金台帐!B2619&lt;=客户对账单!$I$4),资金台帐!B2619+ROW()/100000,"")</f>
      </c>
    </row>
    <row r="5617">
      <c r="F5617">
        <f>IF(AND(资金台帐!J2620&lt;&gt;"",资金台帐!J2620=客户对账单!$B$4,资金台帐!P2620="应收",ISNUMBER(资金台帐!B2620),资金台帐!B2620&gt;=客户对账单!$G$4,资金台帐!B2620&lt;=客户对账单!$I$4),资金台帐!B2620+ROW()/100000,"")</f>
      </c>
    </row>
    <row r="5618">
      <c r="F5618">
        <f>IF(AND(资金台帐!J2621&lt;&gt;"",资金台帐!J2621=客户对账单!$B$4,资金台帐!P2621="应收",ISNUMBER(资金台帐!B2621),资金台帐!B2621&gt;=客户对账单!$G$4,资金台帐!B2621&lt;=客户对账单!$I$4),资金台帐!B2621+ROW()/100000,"")</f>
      </c>
    </row>
    <row r="5619">
      <c r="F5619">
        <f>IF(AND(资金台帐!J2622&lt;&gt;"",资金台帐!J2622=客户对账单!$B$4,资金台帐!P2622="应收",ISNUMBER(资金台帐!B2622),资金台帐!B2622&gt;=客户对账单!$G$4,资金台帐!B2622&lt;=客户对账单!$I$4),资金台帐!B2622+ROW()/100000,"")</f>
      </c>
    </row>
    <row r="5620">
      <c r="F5620">
        <f>IF(AND(资金台帐!J2623&lt;&gt;"",资金台帐!J2623=客户对账单!$B$4,资金台帐!P2623="应收",ISNUMBER(资金台帐!B2623),资金台帐!B2623&gt;=客户对账单!$G$4,资金台帐!B2623&lt;=客户对账单!$I$4),资金台帐!B2623+ROW()/100000,"")</f>
      </c>
    </row>
    <row r="5621">
      <c r="F5621">
        <f>IF(AND(资金台帐!J2624&lt;&gt;"",资金台帐!J2624=客户对账单!$B$4,资金台帐!P2624="应收",ISNUMBER(资金台帐!B2624),资金台帐!B2624&gt;=客户对账单!$G$4,资金台帐!B2624&lt;=客户对账单!$I$4),资金台帐!B2624+ROW()/100000,"")</f>
      </c>
    </row>
    <row r="5622">
      <c r="F5622">
        <f>IF(AND(资金台帐!J2625&lt;&gt;"",资金台帐!J2625=客户对账单!$B$4,资金台帐!P2625="应收",ISNUMBER(资金台帐!B2625),资金台帐!B2625&gt;=客户对账单!$G$4,资金台帐!B2625&lt;=客户对账单!$I$4),资金台帐!B2625+ROW()/100000,"")</f>
      </c>
    </row>
    <row r="5623">
      <c r="F5623">
        <f>IF(AND(资金台帐!J2626&lt;&gt;"",资金台帐!J2626=客户对账单!$B$4,资金台帐!P2626="应收",ISNUMBER(资金台帐!B2626),资金台帐!B2626&gt;=客户对账单!$G$4,资金台帐!B2626&lt;=客户对账单!$I$4),资金台帐!B2626+ROW()/100000,"")</f>
      </c>
    </row>
    <row r="5624">
      <c r="F5624">
        <f>IF(AND(资金台帐!J2627&lt;&gt;"",资金台帐!J2627=客户对账单!$B$4,资金台帐!P2627="应收",ISNUMBER(资金台帐!B2627),资金台帐!B2627&gt;=客户对账单!$G$4,资金台帐!B2627&lt;=客户对账单!$I$4),资金台帐!B2627+ROW()/100000,"")</f>
      </c>
    </row>
    <row r="5625">
      <c r="F5625">
        <f>IF(AND(资金台帐!J2628&lt;&gt;"",资金台帐!J2628=客户对账单!$B$4,资金台帐!P2628="应收",ISNUMBER(资金台帐!B2628),资金台帐!B2628&gt;=客户对账单!$G$4,资金台帐!B2628&lt;=客户对账单!$I$4),资金台帐!B2628+ROW()/100000,"")</f>
      </c>
    </row>
    <row r="5626">
      <c r="F5626">
        <f>IF(AND(资金台帐!J2629&lt;&gt;"",资金台帐!J2629=客户对账单!$B$4,资金台帐!P2629="应收",ISNUMBER(资金台帐!B2629),资金台帐!B2629&gt;=客户对账单!$G$4,资金台帐!B2629&lt;=客户对账单!$I$4),资金台帐!B2629+ROW()/100000,"")</f>
      </c>
    </row>
    <row r="5627">
      <c r="F5627">
        <f>IF(AND(资金台帐!J2630&lt;&gt;"",资金台帐!J2630=客户对账单!$B$4,资金台帐!P2630="应收",ISNUMBER(资金台帐!B2630),资金台帐!B2630&gt;=客户对账单!$G$4,资金台帐!B2630&lt;=客户对账单!$I$4),资金台帐!B2630+ROW()/100000,"")</f>
      </c>
    </row>
    <row r="5628">
      <c r="F5628">
        <f>IF(AND(资金台帐!J2631&lt;&gt;"",资金台帐!J2631=客户对账单!$B$4,资金台帐!P2631="应收",ISNUMBER(资金台帐!B2631),资金台帐!B2631&gt;=客户对账单!$G$4,资金台帐!B2631&lt;=客户对账单!$I$4),资金台帐!B2631+ROW()/100000,"")</f>
      </c>
    </row>
    <row r="5629">
      <c r="F5629">
        <f>IF(AND(资金台帐!J2632&lt;&gt;"",资金台帐!J2632=客户对账单!$B$4,资金台帐!P2632="应收",ISNUMBER(资金台帐!B2632),资金台帐!B2632&gt;=客户对账单!$G$4,资金台帐!B2632&lt;=客户对账单!$I$4),资金台帐!B2632+ROW()/100000,"")</f>
      </c>
    </row>
    <row r="5630">
      <c r="F5630">
        <f>IF(AND(资金台帐!J2633&lt;&gt;"",资金台帐!J2633=客户对账单!$B$4,资金台帐!P2633="应收",ISNUMBER(资金台帐!B2633),资金台帐!B2633&gt;=客户对账单!$G$4,资金台帐!B2633&lt;=客户对账单!$I$4),资金台帐!B2633+ROW()/100000,"")</f>
      </c>
    </row>
    <row r="5631">
      <c r="F5631">
        <f>IF(AND(资金台帐!J2634&lt;&gt;"",资金台帐!J2634=客户对账单!$B$4,资金台帐!P2634="应收",ISNUMBER(资金台帐!B2634),资金台帐!B2634&gt;=客户对账单!$G$4,资金台帐!B2634&lt;=客户对账单!$I$4),资金台帐!B2634+ROW()/100000,"")</f>
      </c>
    </row>
    <row r="5632">
      <c r="F5632">
        <f>IF(AND(资金台帐!J2635&lt;&gt;"",资金台帐!J2635=客户对账单!$B$4,资金台帐!P2635="应收",ISNUMBER(资金台帐!B2635),资金台帐!B2635&gt;=客户对账单!$G$4,资金台帐!B2635&lt;=客户对账单!$I$4),资金台帐!B2635+ROW()/100000,"")</f>
      </c>
    </row>
    <row r="5633">
      <c r="F5633">
        <f>IF(AND(资金台帐!J2636&lt;&gt;"",资金台帐!J2636=客户对账单!$B$4,资金台帐!P2636="应收",ISNUMBER(资金台帐!B2636),资金台帐!B2636&gt;=客户对账单!$G$4,资金台帐!B2636&lt;=客户对账单!$I$4),资金台帐!B2636+ROW()/100000,"")</f>
      </c>
    </row>
    <row r="5634">
      <c r="F5634">
        <f>IF(AND(资金台帐!J2637&lt;&gt;"",资金台帐!J2637=客户对账单!$B$4,资金台帐!P2637="应收",ISNUMBER(资金台帐!B2637),资金台帐!B2637&gt;=客户对账单!$G$4,资金台帐!B2637&lt;=客户对账单!$I$4),资金台帐!B2637+ROW()/100000,"")</f>
      </c>
    </row>
    <row r="5635">
      <c r="F5635">
        <f>IF(AND(资金台帐!J2638&lt;&gt;"",资金台帐!J2638=客户对账单!$B$4,资金台帐!P2638="应收",ISNUMBER(资金台帐!B2638),资金台帐!B2638&gt;=客户对账单!$G$4,资金台帐!B2638&lt;=客户对账单!$I$4),资金台帐!B2638+ROW()/100000,"")</f>
      </c>
    </row>
    <row r="5636">
      <c r="F5636">
        <f>IF(AND(资金台帐!J2639&lt;&gt;"",资金台帐!J2639=客户对账单!$B$4,资金台帐!P2639="应收",ISNUMBER(资金台帐!B2639),资金台帐!B2639&gt;=客户对账单!$G$4,资金台帐!B2639&lt;=客户对账单!$I$4),资金台帐!B2639+ROW()/100000,"")</f>
      </c>
    </row>
    <row r="5637">
      <c r="F5637">
        <f>IF(AND(资金台帐!J2640&lt;&gt;"",资金台帐!J2640=客户对账单!$B$4,资金台帐!P2640="应收",ISNUMBER(资金台帐!B2640),资金台帐!B2640&gt;=客户对账单!$G$4,资金台帐!B2640&lt;=客户对账单!$I$4),资金台帐!B2640+ROW()/100000,"")</f>
      </c>
    </row>
    <row r="5638">
      <c r="F5638">
        <f>IF(AND(资金台帐!J2641&lt;&gt;"",资金台帐!J2641=客户对账单!$B$4,资金台帐!P2641="应收",ISNUMBER(资金台帐!B2641),资金台帐!B2641&gt;=客户对账单!$G$4,资金台帐!B2641&lt;=客户对账单!$I$4),资金台帐!B2641+ROW()/100000,"")</f>
      </c>
    </row>
    <row r="5639">
      <c r="F5639">
        <f>IF(AND(资金台帐!J2642&lt;&gt;"",资金台帐!J2642=客户对账单!$B$4,资金台帐!P2642="应收",ISNUMBER(资金台帐!B2642),资金台帐!B2642&gt;=客户对账单!$G$4,资金台帐!B2642&lt;=客户对账单!$I$4),资金台帐!B2642+ROW()/100000,"")</f>
      </c>
    </row>
    <row r="5640">
      <c r="F5640">
        <f>IF(AND(资金台帐!J2643&lt;&gt;"",资金台帐!J2643=客户对账单!$B$4,资金台帐!P2643="应收",ISNUMBER(资金台帐!B2643),资金台帐!B2643&gt;=客户对账单!$G$4,资金台帐!B2643&lt;=客户对账单!$I$4),资金台帐!B2643+ROW()/100000,"")</f>
      </c>
    </row>
    <row r="5641">
      <c r="F5641">
        <f>IF(AND(资金台帐!J2644&lt;&gt;"",资金台帐!J2644=客户对账单!$B$4,资金台帐!P2644="应收",ISNUMBER(资金台帐!B2644),资金台帐!B2644&gt;=客户对账单!$G$4,资金台帐!B2644&lt;=客户对账单!$I$4),资金台帐!B2644+ROW()/100000,"")</f>
      </c>
    </row>
    <row r="5642">
      <c r="F5642">
        <f>IF(AND(资金台帐!J2645&lt;&gt;"",资金台帐!J2645=客户对账单!$B$4,资金台帐!P2645="应收",ISNUMBER(资金台帐!B2645),资金台帐!B2645&gt;=客户对账单!$G$4,资金台帐!B2645&lt;=客户对账单!$I$4),资金台帐!B2645+ROW()/100000,"")</f>
      </c>
    </row>
    <row r="5643">
      <c r="F5643">
        <f>IF(AND(资金台帐!J2646&lt;&gt;"",资金台帐!J2646=客户对账单!$B$4,资金台帐!P2646="应收",ISNUMBER(资金台帐!B2646),资金台帐!B2646&gt;=客户对账单!$G$4,资金台帐!B2646&lt;=客户对账单!$I$4),资金台帐!B2646+ROW()/100000,"")</f>
      </c>
    </row>
    <row r="5644">
      <c r="F5644">
        <f>IF(AND(资金台帐!J2647&lt;&gt;"",资金台帐!J2647=客户对账单!$B$4,资金台帐!P2647="应收",ISNUMBER(资金台帐!B2647),资金台帐!B2647&gt;=客户对账单!$G$4,资金台帐!B2647&lt;=客户对账单!$I$4),资金台帐!B2647+ROW()/100000,"")</f>
      </c>
    </row>
    <row r="5645">
      <c r="F5645">
        <f>IF(AND(资金台帐!J2648&lt;&gt;"",资金台帐!J2648=客户对账单!$B$4,资金台帐!P2648="应收",ISNUMBER(资金台帐!B2648),资金台帐!B2648&gt;=客户对账单!$G$4,资金台帐!B2648&lt;=客户对账单!$I$4),资金台帐!B2648+ROW()/100000,"")</f>
      </c>
    </row>
    <row r="5646">
      <c r="F5646">
        <f>IF(AND(资金台帐!J2649&lt;&gt;"",资金台帐!J2649=客户对账单!$B$4,资金台帐!P2649="应收",ISNUMBER(资金台帐!B2649),资金台帐!B2649&gt;=客户对账单!$G$4,资金台帐!B2649&lt;=客户对账单!$I$4),资金台帐!B2649+ROW()/100000,"")</f>
      </c>
    </row>
    <row r="5647">
      <c r="F5647">
        <f>IF(AND(资金台帐!J2650&lt;&gt;"",资金台帐!J2650=客户对账单!$B$4,资金台帐!P2650="应收",ISNUMBER(资金台帐!B2650),资金台帐!B2650&gt;=客户对账单!$G$4,资金台帐!B2650&lt;=客户对账单!$I$4),资金台帐!B2650+ROW()/100000,"")</f>
      </c>
    </row>
    <row r="5648">
      <c r="F5648">
        <f>IF(AND(资金台帐!J2651&lt;&gt;"",资金台帐!J2651=客户对账单!$B$4,资金台帐!P2651="应收",ISNUMBER(资金台帐!B2651),资金台帐!B2651&gt;=客户对账单!$G$4,资金台帐!B2651&lt;=客户对账单!$I$4),资金台帐!B2651+ROW()/100000,"")</f>
      </c>
    </row>
    <row r="5649">
      <c r="F5649">
        <f>IF(AND(资金台帐!J2652&lt;&gt;"",资金台帐!J2652=客户对账单!$B$4,资金台帐!P2652="应收",ISNUMBER(资金台帐!B2652),资金台帐!B2652&gt;=客户对账单!$G$4,资金台帐!B2652&lt;=客户对账单!$I$4),资金台帐!B2652+ROW()/100000,"")</f>
      </c>
    </row>
    <row r="5650">
      <c r="F5650">
        <f>IF(AND(资金台帐!J2653&lt;&gt;"",资金台帐!J2653=客户对账单!$B$4,资金台帐!P2653="应收",ISNUMBER(资金台帐!B2653),资金台帐!B2653&gt;=客户对账单!$G$4,资金台帐!B2653&lt;=客户对账单!$I$4),资金台帐!B2653+ROW()/100000,"")</f>
      </c>
    </row>
    <row r="5651">
      <c r="F5651">
        <f>IF(AND(资金台帐!J2654&lt;&gt;"",资金台帐!J2654=客户对账单!$B$4,资金台帐!P2654="应收",ISNUMBER(资金台帐!B2654),资金台帐!B2654&gt;=客户对账单!$G$4,资金台帐!B2654&lt;=客户对账单!$I$4),资金台帐!B2654+ROW()/100000,"")</f>
      </c>
    </row>
    <row r="5652">
      <c r="F5652">
        <f>IF(AND(资金台帐!J2655&lt;&gt;"",资金台帐!J2655=客户对账单!$B$4,资金台帐!P2655="应收",ISNUMBER(资金台帐!B2655),资金台帐!B2655&gt;=客户对账单!$G$4,资金台帐!B2655&lt;=客户对账单!$I$4),资金台帐!B2655+ROW()/100000,"")</f>
      </c>
    </row>
    <row r="5653">
      <c r="F5653">
        <f>IF(AND(资金台帐!J2656&lt;&gt;"",资金台帐!J2656=客户对账单!$B$4,资金台帐!P2656="应收",ISNUMBER(资金台帐!B2656),资金台帐!B2656&gt;=客户对账单!$G$4,资金台帐!B2656&lt;=客户对账单!$I$4),资金台帐!B2656+ROW()/100000,"")</f>
      </c>
    </row>
    <row r="5654">
      <c r="F5654">
        <f>IF(AND(资金台帐!J2657&lt;&gt;"",资金台帐!J2657=客户对账单!$B$4,资金台帐!P2657="应收",ISNUMBER(资金台帐!B2657),资金台帐!B2657&gt;=客户对账单!$G$4,资金台帐!B2657&lt;=客户对账单!$I$4),资金台帐!B2657+ROW()/100000,"")</f>
      </c>
    </row>
    <row r="5655">
      <c r="F5655">
        <f>IF(AND(资金台帐!J2658&lt;&gt;"",资金台帐!J2658=客户对账单!$B$4,资金台帐!P2658="应收",ISNUMBER(资金台帐!B2658),资金台帐!B2658&gt;=客户对账单!$G$4,资金台帐!B2658&lt;=客户对账单!$I$4),资金台帐!B2658+ROW()/100000,"")</f>
      </c>
    </row>
    <row r="5656">
      <c r="F5656">
        <f>IF(AND(资金台帐!J2659&lt;&gt;"",资金台帐!J2659=客户对账单!$B$4,资金台帐!P2659="应收",ISNUMBER(资金台帐!B2659),资金台帐!B2659&gt;=客户对账单!$G$4,资金台帐!B2659&lt;=客户对账单!$I$4),资金台帐!B2659+ROW()/100000,"")</f>
      </c>
    </row>
    <row r="5657">
      <c r="F5657">
        <f>IF(AND(资金台帐!J2660&lt;&gt;"",资金台帐!J2660=客户对账单!$B$4,资金台帐!P2660="应收",ISNUMBER(资金台帐!B2660),资金台帐!B2660&gt;=客户对账单!$G$4,资金台帐!B2660&lt;=客户对账单!$I$4),资金台帐!B2660+ROW()/100000,"")</f>
      </c>
    </row>
    <row r="5658">
      <c r="F5658">
        <f>IF(AND(资金台帐!J2661&lt;&gt;"",资金台帐!J2661=客户对账单!$B$4,资金台帐!P2661="应收",ISNUMBER(资金台帐!B2661),资金台帐!B2661&gt;=客户对账单!$G$4,资金台帐!B2661&lt;=客户对账单!$I$4),资金台帐!B2661+ROW()/100000,"")</f>
      </c>
    </row>
    <row r="5659">
      <c r="F5659">
        <f>IF(AND(资金台帐!J2662&lt;&gt;"",资金台帐!J2662=客户对账单!$B$4,资金台帐!P2662="应收",ISNUMBER(资金台帐!B2662),资金台帐!B2662&gt;=客户对账单!$G$4,资金台帐!B2662&lt;=客户对账单!$I$4),资金台帐!B2662+ROW()/100000,"")</f>
      </c>
    </row>
    <row r="5660">
      <c r="F5660">
        <f>IF(AND(资金台帐!J2663&lt;&gt;"",资金台帐!J2663=客户对账单!$B$4,资金台帐!P2663="应收",ISNUMBER(资金台帐!B2663),资金台帐!B2663&gt;=客户对账单!$G$4,资金台帐!B2663&lt;=客户对账单!$I$4),资金台帐!B2663+ROW()/100000,"")</f>
      </c>
    </row>
    <row r="5661">
      <c r="F5661">
        <f>IF(AND(资金台帐!J2664&lt;&gt;"",资金台帐!J2664=客户对账单!$B$4,资金台帐!P2664="应收",ISNUMBER(资金台帐!B2664),资金台帐!B2664&gt;=客户对账单!$G$4,资金台帐!B2664&lt;=客户对账单!$I$4),资金台帐!B2664+ROW()/100000,"")</f>
      </c>
    </row>
    <row r="5662">
      <c r="F5662">
        <f>IF(AND(资金台帐!J2665&lt;&gt;"",资金台帐!J2665=客户对账单!$B$4,资金台帐!P2665="应收",ISNUMBER(资金台帐!B2665),资金台帐!B2665&gt;=客户对账单!$G$4,资金台帐!B2665&lt;=客户对账单!$I$4),资金台帐!B2665+ROW()/100000,"")</f>
      </c>
    </row>
    <row r="5663">
      <c r="F5663">
        <f>IF(AND(资金台帐!J2666&lt;&gt;"",资金台帐!J2666=客户对账单!$B$4,资金台帐!P2666="应收",ISNUMBER(资金台帐!B2666),资金台帐!B2666&gt;=客户对账单!$G$4,资金台帐!B2666&lt;=客户对账单!$I$4),资金台帐!B2666+ROW()/100000,"")</f>
      </c>
    </row>
    <row r="5664">
      <c r="F5664">
        <f>IF(AND(资金台帐!J2667&lt;&gt;"",资金台帐!J2667=客户对账单!$B$4,资金台帐!P2667="应收",ISNUMBER(资金台帐!B2667),资金台帐!B2667&gt;=客户对账单!$G$4,资金台帐!B2667&lt;=客户对账单!$I$4),资金台帐!B2667+ROW()/100000,"")</f>
      </c>
    </row>
    <row r="5665">
      <c r="F5665">
        <f>IF(AND(资金台帐!J2668&lt;&gt;"",资金台帐!J2668=客户对账单!$B$4,资金台帐!P2668="应收",ISNUMBER(资金台帐!B2668),资金台帐!B2668&gt;=客户对账单!$G$4,资金台帐!B2668&lt;=客户对账单!$I$4),资金台帐!B2668+ROW()/100000,"")</f>
      </c>
    </row>
    <row r="5666">
      <c r="F5666">
        <f>IF(AND(资金台帐!J2669&lt;&gt;"",资金台帐!J2669=客户对账单!$B$4,资金台帐!P2669="应收",ISNUMBER(资金台帐!B2669),资金台帐!B2669&gt;=客户对账单!$G$4,资金台帐!B2669&lt;=客户对账单!$I$4),资金台帐!B2669+ROW()/100000,"")</f>
      </c>
    </row>
    <row r="5667">
      <c r="F5667">
        <f>IF(AND(资金台帐!J2670&lt;&gt;"",资金台帐!J2670=客户对账单!$B$4,资金台帐!P2670="应收",ISNUMBER(资金台帐!B2670),资金台帐!B2670&gt;=客户对账单!$G$4,资金台帐!B2670&lt;=客户对账单!$I$4),资金台帐!B2670+ROW()/100000,"")</f>
      </c>
    </row>
    <row r="5668">
      <c r="F5668">
        <f>IF(AND(资金台帐!J2671&lt;&gt;"",资金台帐!J2671=客户对账单!$B$4,资金台帐!P2671="应收",ISNUMBER(资金台帐!B2671),资金台帐!B2671&gt;=客户对账单!$G$4,资金台帐!B2671&lt;=客户对账单!$I$4),资金台帐!B2671+ROW()/100000,"")</f>
      </c>
    </row>
    <row r="5669">
      <c r="F5669">
        <f>IF(AND(资金台帐!J2672&lt;&gt;"",资金台帐!J2672=客户对账单!$B$4,资金台帐!P2672="应收",ISNUMBER(资金台帐!B2672),资金台帐!B2672&gt;=客户对账单!$G$4,资金台帐!B2672&lt;=客户对账单!$I$4),资金台帐!B2672+ROW()/100000,"")</f>
      </c>
    </row>
    <row r="5670">
      <c r="F5670">
        <f>IF(AND(资金台帐!J2673&lt;&gt;"",资金台帐!J2673=客户对账单!$B$4,资金台帐!P2673="应收",ISNUMBER(资金台帐!B2673),资金台帐!B2673&gt;=客户对账单!$G$4,资金台帐!B2673&lt;=客户对账单!$I$4),资金台帐!B2673+ROW()/100000,"")</f>
      </c>
    </row>
    <row r="5671">
      <c r="F5671">
        <f>IF(AND(资金台帐!J2674&lt;&gt;"",资金台帐!J2674=客户对账单!$B$4,资金台帐!P2674="应收",ISNUMBER(资金台帐!B2674),资金台帐!B2674&gt;=客户对账单!$G$4,资金台帐!B2674&lt;=客户对账单!$I$4),资金台帐!B2674+ROW()/100000,"")</f>
      </c>
    </row>
    <row r="5672">
      <c r="F5672">
        <f>IF(AND(资金台帐!J2675&lt;&gt;"",资金台帐!J2675=客户对账单!$B$4,资金台帐!P2675="应收",ISNUMBER(资金台帐!B2675),资金台帐!B2675&gt;=客户对账单!$G$4,资金台帐!B2675&lt;=客户对账单!$I$4),资金台帐!B2675+ROW()/100000,"")</f>
      </c>
    </row>
    <row r="5673">
      <c r="F5673">
        <f>IF(AND(资金台帐!J2676&lt;&gt;"",资金台帐!J2676=客户对账单!$B$4,资金台帐!P2676="应收",ISNUMBER(资金台帐!B2676),资金台帐!B2676&gt;=客户对账单!$G$4,资金台帐!B2676&lt;=客户对账单!$I$4),资金台帐!B2676+ROW()/100000,"")</f>
      </c>
    </row>
    <row r="5674">
      <c r="F5674">
        <f>IF(AND(资金台帐!J2677&lt;&gt;"",资金台帐!J2677=客户对账单!$B$4,资金台帐!P2677="应收",ISNUMBER(资金台帐!B2677),资金台帐!B2677&gt;=客户对账单!$G$4,资金台帐!B2677&lt;=客户对账单!$I$4),资金台帐!B2677+ROW()/100000,"")</f>
      </c>
    </row>
    <row r="5675">
      <c r="F5675">
        <f>IF(AND(资金台帐!J2678&lt;&gt;"",资金台帐!J2678=客户对账单!$B$4,资金台帐!P2678="应收",ISNUMBER(资金台帐!B2678),资金台帐!B2678&gt;=客户对账单!$G$4,资金台帐!B2678&lt;=客户对账单!$I$4),资金台帐!B2678+ROW()/100000,"")</f>
      </c>
    </row>
    <row r="5676">
      <c r="F5676">
        <f>IF(AND(资金台帐!J2679&lt;&gt;"",资金台帐!J2679=客户对账单!$B$4,资金台帐!P2679="应收",ISNUMBER(资金台帐!B2679),资金台帐!B2679&gt;=客户对账单!$G$4,资金台帐!B2679&lt;=客户对账单!$I$4),资金台帐!B2679+ROW()/100000,"")</f>
      </c>
    </row>
    <row r="5677">
      <c r="F5677">
        <f>IF(AND(资金台帐!J2680&lt;&gt;"",资金台帐!J2680=客户对账单!$B$4,资金台帐!P2680="应收",ISNUMBER(资金台帐!B2680),资金台帐!B2680&gt;=客户对账单!$G$4,资金台帐!B2680&lt;=客户对账单!$I$4),资金台帐!B2680+ROW()/100000,"")</f>
      </c>
    </row>
    <row r="5678">
      <c r="F5678">
        <f>IF(AND(资金台帐!J2681&lt;&gt;"",资金台帐!J2681=客户对账单!$B$4,资金台帐!P2681="应收",ISNUMBER(资金台帐!B2681),资金台帐!B2681&gt;=客户对账单!$G$4,资金台帐!B2681&lt;=客户对账单!$I$4),资金台帐!B2681+ROW()/100000,"")</f>
      </c>
    </row>
    <row r="5679">
      <c r="F5679">
        <f>IF(AND(资金台帐!J2682&lt;&gt;"",资金台帐!J2682=客户对账单!$B$4,资金台帐!P2682="应收",ISNUMBER(资金台帐!B2682),资金台帐!B2682&gt;=客户对账单!$G$4,资金台帐!B2682&lt;=客户对账单!$I$4),资金台帐!B2682+ROW()/100000,"")</f>
      </c>
    </row>
    <row r="5680">
      <c r="F5680">
        <f>IF(AND(资金台帐!J2683&lt;&gt;"",资金台帐!J2683=客户对账单!$B$4,资金台帐!P2683="应收",ISNUMBER(资金台帐!B2683),资金台帐!B2683&gt;=客户对账单!$G$4,资金台帐!B2683&lt;=客户对账单!$I$4),资金台帐!B2683+ROW()/100000,"")</f>
      </c>
    </row>
    <row r="5681">
      <c r="F5681">
        <f>IF(AND(资金台帐!J2684&lt;&gt;"",资金台帐!J2684=客户对账单!$B$4,资金台帐!P2684="应收",ISNUMBER(资金台帐!B2684),资金台帐!B2684&gt;=客户对账单!$G$4,资金台帐!B2684&lt;=客户对账单!$I$4),资金台帐!B2684+ROW()/100000,"")</f>
      </c>
    </row>
    <row r="5682">
      <c r="F5682">
        <f>IF(AND(资金台帐!J2685&lt;&gt;"",资金台帐!J2685=客户对账单!$B$4,资金台帐!P2685="应收",ISNUMBER(资金台帐!B2685),资金台帐!B2685&gt;=客户对账单!$G$4,资金台帐!B2685&lt;=客户对账单!$I$4),资金台帐!B2685+ROW()/100000,"")</f>
      </c>
    </row>
    <row r="5683">
      <c r="F5683">
        <f>IF(AND(资金台帐!J2686&lt;&gt;"",资金台帐!J2686=客户对账单!$B$4,资金台帐!P2686="应收",ISNUMBER(资金台帐!B2686),资金台帐!B2686&gt;=客户对账单!$G$4,资金台帐!B2686&lt;=客户对账单!$I$4),资金台帐!B2686+ROW()/100000,"")</f>
      </c>
    </row>
    <row r="5684">
      <c r="F5684">
        <f>IF(AND(资金台帐!J2687&lt;&gt;"",资金台帐!J2687=客户对账单!$B$4,资金台帐!P2687="应收",ISNUMBER(资金台帐!B2687),资金台帐!B2687&gt;=客户对账单!$G$4,资金台帐!B2687&lt;=客户对账单!$I$4),资金台帐!B2687+ROW()/100000,"")</f>
      </c>
    </row>
    <row r="5685">
      <c r="F5685">
        <f>IF(AND(资金台帐!J2688&lt;&gt;"",资金台帐!J2688=客户对账单!$B$4,资金台帐!P2688="应收",ISNUMBER(资金台帐!B2688),资金台帐!B2688&gt;=客户对账单!$G$4,资金台帐!B2688&lt;=客户对账单!$I$4),资金台帐!B2688+ROW()/100000,"")</f>
      </c>
    </row>
    <row r="5686">
      <c r="F5686">
        <f>IF(AND(资金台帐!J2689&lt;&gt;"",资金台帐!J2689=客户对账单!$B$4,资金台帐!P2689="应收",ISNUMBER(资金台帐!B2689),资金台帐!B2689&gt;=客户对账单!$G$4,资金台帐!B2689&lt;=客户对账单!$I$4),资金台帐!B2689+ROW()/100000,"")</f>
      </c>
    </row>
    <row r="5687">
      <c r="F5687">
        <f>IF(AND(资金台帐!J2690&lt;&gt;"",资金台帐!J2690=客户对账单!$B$4,资金台帐!P2690="应收",ISNUMBER(资金台帐!B2690),资金台帐!B2690&gt;=客户对账单!$G$4,资金台帐!B2690&lt;=客户对账单!$I$4),资金台帐!B2690+ROW()/100000,"")</f>
      </c>
    </row>
    <row r="5688">
      <c r="F5688">
        <f>IF(AND(资金台帐!J2691&lt;&gt;"",资金台帐!J2691=客户对账单!$B$4,资金台帐!P2691="应收",ISNUMBER(资金台帐!B2691),资金台帐!B2691&gt;=客户对账单!$G$4,资金台帐!B2691&lt;=客户对账单!$I$4),资金台帐!B2691+ROW()/100000,"")</f>
      </c>
    </row>
    <row r="5689">
      <c r="F5689">
        <f>IF(AND(资金台帐!J2692&lt;&gt;"",资金台帐!J2692=客户对账单!$B$4,资金台帐!P2692="应收",ISNUMBER(资金台帐!B2692),资金台帐!B2692&gt;=客户对账单!$G$4,资金台帐!B2692&lt;=客户对账单!$I$4),资金台帐!B2692+ROW()/100000,"")</f>
      </c>
    </row>
    <row r="5690">
      <c r="F5690">
        <f>IF(AND(资金台帐!J2693&lt;&gt;"",资金台帐!J2693=客户对账单!$B$4,资金台帐!P2693="应收",ISNUMBER(资金台帐!B2693),资金台帐!B2693&gt;=客户对账单!$G$4,资金台帐!B2693&lt;=客户对账单!$I$4),资金台帐!B2693+ROW()/100000,"")</f>
      </c>
    </row>
    <row r="5691">
      <c r="F5691">
        <f>IF(AND(资金台帐!J2694&lt;&gt;"",资金台帐!J2694=客户对账单!$B$4,资金台帐!P2694="应收",ISNUMBER(资金台帐!B2694),资金台帐!B2694&gt;=客户对账单!$G$4,资金台帐!B2694&lt;=客户对账单!$I$4),资金台帐!B2694+ROW()/100000,"")</f>
      </c>
    </row>
    <row r="5692">
      <c r="F5692">
        <f>IF(AND(资金台帐!J2695&lt;&gt;"",资金台帐!J2695=客户对账单!$B$4,资金台帐!P2695="应收",ISNUMBER(资金台帐!B2695),资金台帐!B2695&gt;=客户对账单!$G$4,资金台帐!B2695&lt;=客户对账单!$I$4),资金台帐!B2695+ROW()/100000,"")</f>
      </c>
    </row>
    <row r="5693">
      <c r="F5693">
        <f>IF(AND(资金台帐!J2696&lt;&gt;"",资金台帐!J2696=客户对账单!$B$4,资金台帐!P2696="应收",ISNUMBER(资金台帐!B2696),资金台帐!B2696&gt;=客户对账单!$G$4,资金台帐!B2696&lt;=客户对账单!$I$4),资金台帐!B2696+ROW()/100000,"")</f>
      </c>
    </row>
    <row r="5694">
      <c r="F5694">
        <f>IF(AND(资金台帐!J2697&lt;&gt;"",资金台帐!J2697=客户对账单!$B$4,资金台帐!P2697="应收",ISNUMBER(资金台帐!B2697),资金台帐!B2697&gt;=客户对账单!$G$4,资金台帐!B2697&lt;=客户对账单!$I$4),资金台帐!B2697+ROW()/100000,"")</f>
      </c>
    </row>
    <row r="5695">
      <c r="F5695">
        <f>IF(AND(资金台帐!J2698&lt;&gt;"",资金台帐!J2698=客户对账单!$B$4,资金台帐!P2698="应收",ISNUMBER(资金台帐!B2698),资金台帐!B2698&gt;=客户对账单!$G$4,资金台帐!B2698&lt;=客户对账单!$I$4),资金台帐!B2698+ROW()/100000,"")</f>
      </c>
    </row>
    <row r="5696">
      <c r="F5696">
        <f>IF(AND(资金台帐!J2699&lt;&gt;"",资金台帐!J2699=客户对账单!$B$4,资金台帐!P2699="应收",ISNUMBER(资金台帐!B2699),资金台帐!B2699&gt;=客户对账单!$G$4,资金台帐!B2699&lt;=客户对账单!$I$4),资金台帐!B2699+ROW()/100000,"")</f>
      </c>
    </row>
    <row r="5697">
      <c r="F5697">
        <f>IF(AND(资金台帐!J2700&lt;&gt;"",资金台帐!J2700=客户对账单!$B$4,资金台帐!P2700="应收",ISNUMBER(资金台帐!B2700),资金台帐!B2700&gt;=客户对账单!$G$4,资金台帐!B2700&lt;=客户对账单!$I$4),资金台帐!B2700+ROW()/100000,"")</f>
      </c>
    </row>
    <row r="5698">
      <c r="F5698">
        <f>IF(AND(资金台帐!J2701&lt;&gt;"",资金台帐!J2701=客户对账单!$B$4,资金台帐!P2701="应收",ISNUMBER(资金台帐!B2701),资金台帐!B2701&gt;=客户对账单!$G$4,资金台帐!B2701&lt;=客户对账单!$I$4),资金台帐!B2701+ROW()/100000,"")</f>
      </c>
    </row>
    <row r="5699">
      <c r="F5699">
        <f>IF(AND(资金台帐!J2702&lt;&gt;"",资金台帐!J2702=客户对账单!$B$4,资金台帐!P2702="应收",ISNUMBER(资金台帐!B2702),资金台帐!B2702&gt;=客户对账单!$G$4,资金台帐!B2702&lt;=客户对账单!$I$4),资金台帐!B2702+ROW()/100000,"")</f>
      </c>
    </row>
    <row r="5700">
      <c r="F5700">
        <f>IF(AND(资金台帐!J2703&lt;&gt;"",资金台帐!J2703=客户对账单!$B$4,资金台帐!P2703="应收",ISNUMBER(资金台帐!B2703),资金台帐!B2703&gt;=客户对账单!$G$4,资金台帐!B2703&lt;=客户对账单!$I$4),资金台帐!B2703+ROW()/100000,"")</f>
      </c>
    </row>
    <row r="5701">
      <c r="F5701">
        <f>IF(AND(资金台帐!J2704&lt;&gt;"",资金台帐!J2704=客户对账单!$B$4,资金台帐!P2704="应收",ISNUMBER(资金台帐!B2704),资金台帐!B2704&gt;=客户对账单!$G$4,资金台帐!B2704&lt;=客户对账单!$I$4),资金台帐!B2704+ROW()/100000,"")</f>
      </c>
    </row>
    <row r="5702">
      <c r="F5702">
        <f>IF(AND(资金台帐!J2705&lt;&gt;"",资金台帐!J2705=客户对账单!$B$4,资金台帐!P2705="应收",ISNUMBER(资金台帐!B2705),资金台帐!B2705&gt;=客户对账单!$G$4,资金台帐!B2705&lt;=客户对账单!$I$4),资金台帐!B2705+ROW()/100000,"")</f>
      </c>
    </row>
    <row r="5703">
      <c r="F5703">
        <f>IF(AND(资金台帐!J2706&lt;&gt;"",资金台帐!J2706=客户对账单!$B$4,资金台帐!P2706="应收",ISNUMBER(资金台帐!B2706),资金台帐!B2706&gt;=客户对账单!$G$4,资金台帐!B2706&lt;=客户对账单!$I$4),资金台帐!B2706+ROW()/100000,"")</f>
      </c>
    </row>
    <row r="5704">
      <c r="F5704">
        <f>IF(AND(资金台帐!J2707&lt;&gt;"",资金台帐!J2707=客户对账单!$B$4,资金台帐!P2707="应收",ISNUMBER(资金台帐!B2707),资金台帐!B2707&gt;=客户对账单!$G$4,资金台帐!B2707&lt;=客户对账单!$I$4),资金台帐!B2707+ROW()/100000,"")</f>
      </c>
    </row>
    <row r="5705">
      <c r="F5705">
        <f>IF(AND(资金台帐!J2708&lt;&gt;"",资金台帐!J2708=客户对账单!$B$4,资金台帐!P2708="应收",ISNUMBER(资金台帐!B2708),资金台帐!B2708&gt;=客户对账单!$G$4,资金台帐!B2708&lt;=客户对账单!$I$4),资金台帐!B2708+ROW()/100000,"")</f>
      </c>
    </row>
    <row r="5706">
      <c r="F5706">
        <f>IF(AND(资金台帐!J2709&lt;&gt;"",资金台帐!J2709=客户对账单!$B$4,资金台帐!P2709="应收",ISNUMBER(资金台帐!B2709),资金台帐!B2709&gt;=客户对账单!$G$4,资金台帐!B2709&lt;=客户对账单!$I$4),资金台帐!B2709+ROW()/100000,"")</f>
      </c>
    </row>
    <row r="5707">
      <c r="F5707">
        <f>IF(AND(资金台帐!J2710&lt;&gt;"",资金台帐!J2710=客户对账单!$B$4,资金台帐!P2710="应收",ISNUMBER(资金台帐!B2710),资金台帐!B2710&gt;=客户对账单!$G$4,资金台帐!B2710&lt;=客户对账单!$I$4),资金台帐!B2710+ROW()/100000,"")</f>
      </c>
    </row>
    <row r="5708">
      <c r="F5708">
        <f>IF(AND(资金台帐!J2711&lt;&gt;"",资金台帐!J2711=客户对账单!$B$4,资金台帐!P2711="应收",ISNUMBER(资金台帐!B2711),资金台帐!B2711&gt;=客户对账单!$G$4,资金台帐!B2711&lt;=客户对账单!$I$4),资金台帐!B2711+ROW()/100000,"")</f>
      </c>
    </row>
    <row r="5709">
      <c r="F5709">
        <f>IF(AND(资金台帐!J2712&lt;&gt;"",资金台帐!J2712=客户对账单!$B$4,资金台帐!P2712="应收",ISNUMBER(资金台帐!B2712),资金台帐!B2712&gt;=客户对账单!$G$4,资金台帐!B2712&lt;=客户对账单!$I$4),资金台帐!B2712+ROW()/100000,"")</f>
      </c>
    </row>
    <row r="5710">
      <c r="F5710">
        <f>IF(AND(资金台帐!J2713&lt;&gt;"",资金台帐!J2713=客户对账单!$B$4,资金台帐!P2713="应收",ISNUMBER(资金台帐!B2713),资金台帐!B2713&gt;=客户对账单!$G$4,资金台帐!B2713&lt;=客户对账单!$I$4),资金台帐!B2713+ROW()/100000,"")</f>
      </c>
    </row>
    <row r="5711">
      <c r="F5711">
        <f>IF(AND(资金台帐!J2714&lt;&gt;"",资金台帐!J2714=客户对账单!$B$4,资金台帐!P2714="应收",ISNUMBER(资金台帐!B2714),资金台帐!B2714&gt;=客户对账单!$G$4,资金台帐!B2714&lt;=客户对账单!$I$4),资金台帐!B2714+ROW()/100000,"")</f>
      </c>
    </row>
    <row r="5712">
      <c r="F5712">
        <f>IF(AND(资金台帐!J2715&lt;&gt;"",资金台帐!J2715=客户对账单!$B$4,资金台帐!P2715="应收",ISNUMBER(资金台帐!B2715),资金台帐!B2715&gt;=客户对账单!$G$4,资金台帐!B2715&lt;=客户对账单!$I$4),资金台帐!B2715+ROW()/100000,"")</f>
      </c>
    </row>
    <row r="5713">
      <c r="F5713">
        <f>IF(AND(资金台帐!J2716&lt;&gt;"",资金台帐!J2716=客户对账单!$B$4,资金台帐!P2716="应收",ISNUMBER(资金台帐!B2716),资金台帐!B2716&gt;=客户对账单!$G$4,资金台帐!B2716&lt;=客户对账单!$I$4),资金台帐!B2716+ROW()/100000,"")</f>
      </c>
    </row>
    <row r="5714">
      <c r="F5714">
        <f>IF(AND(资金台帐!J2717&lt;&gt;"",资金台帐!J2717=客户对账单!$B$4,资金台帐!P2717="应收",ISNUMBER(资金台帐!B2717),资金台帐!B2717&gt;=客户对账单!$G$4,资金台帐!B2717&lt;=客户对账单!$I$4),资金台帐!B2717+ROW()/100000,"")</f>
      </c>
    </row>
    <row r="5715">
      <c r="F5715">
        <f>IF(AND(资金台帐!J2718&lt;&gt;"",资金台帐!J2718=客户对账单!$B$4,资金台帐!P2718="应收",ISNUMBER(资金台帐!B2718),资金台帐!B2718&gt;=客户对账单!$G$4,资金台帐!B2718&lt;=客户对账单!$I$4),资金台帐!B2718+ROW()/100000,"")</f>
      </c>
    </row>
    <row r="5716">
      <c r="F5716">
        <f>IF(AND(资金台帐!J2719&lt;&gt;"",资金台帐!J2719=客户对账单!$B$4,资金台帐!P2719="应收",ISNUMBER(资金台帐!B2719),资金台帐!B2719&gt;=客户对账单!$G$4,资金台帐!B2719&lt;=客户对账单!$I$4),资金台帐!B2719+ROW()/100000,"")</f>
      </c>
    </row>
    <row r="5717">
      <c r="F5717">
        <f>IF(AND(资金台帐!J2720&lt;&gt;"",资金台帐!J2720=客户对账单!$B$4,资金台帐!P2720="应收",ISNUMBER(资金台帐!B2720),资金台帐!B2720&gt;=客户对账单!$G$4,资金台帐!B2720&lt;=客户对账单!$I$4),资金台帐!B2720+ROW()/100000,"")</f>
      </c>
    </row>
    <row r="5718">
      <c r="F5718">
        <f>IF(AND(资金台帐!J2721&lt;&gt;"",资金台帐!J2721=客户对账单!$B$4,资金台帐!P2721="应收",ISNUMBER(资金台帐!B2721),资金台帐!B2721&gt;=客户对账单!$G$4,资金台帐!B2721&lt;=客户对账单!$I$4),资金台帐!B2721+ROW()/100000,"")</f>
      </c>
    </row>
    <row r="5719">
      <c r="F5719">
        <f>IF(AND(资金台帐!J2722&lt;&gt;"",资金台帐!J2722=客户对账单!$B$4,资金台帐!P2722="应收",ISNUMBER(资金台帐!B2722),资金台帐!B2722&gt;=客户对账单!$G$4,资金台帐!B2722&lt;=客户对账单!$I$4),资金台帐!B2722+ROW()/100000,"")</f>
      </c>
    </row>
    <row r="5720">
      <c r="F5720">
        <f>IF(AND(资金台帐!J2723&lt;&gt;"",资金台帐!J2723=客户对账单!$B$4,资金台帐!P2723="应收",ISNUMBER(资金台帐!B2723),资金台帐!B2723&gt;=客户对账单!$G$4,资金台帐!B2723&lt;=客户对账单!$I$4),资金台帐!B2723+ROW()/100000,"")</f>
      </c>
    </row>
    <row r="5721">
      <c r="F5721">
        <f>IF(AND(资金台帐!J2724&lt;&gt;"",资金台帐!J2724=客户对账单!$B$4,资金台帐!P2724="应收",ISNUMBER(资金台帐!B2724),资金台帐!B2724&gt;=客户对账单!$G$4,资金台帐!B2724&lt;=客户对账单!$I$4),资金台帐!B2724+ROW()/100000,"")</f>
      </c>
    </row>
    <row r="5722">
      <c r="F5722">
        <f>IF(AND(资金台帐!J2725&lt;&gt;"",资金台帐!J2725=客户对账单!$B$4,资金台帐!P2725="应收",ISNUMBER(资金台帐!B2725),资金台帐!B2725&gt;=客户对账单!$G$4,资金台帐!B2725&lt;=客户对账单!$I$4),资金台帐!B2725+ROW()/100000,"")</f>
      </c>
    </row>
    <row r="5723">
      <c r="F5723">
        <f>IF(AND(资金台帐!J2726&lt;&gt;"",资金台帐!J2726=客户对账单!$B$4,资金台帐!P2726="应收",ISNUMBER(资金台帐!B2726),资金台帐!B2726&gt;=客户对账单!$G$4,资金台帐!B2726&lt;=客户对账单!$I$4),资金台帐!B2726+ROW()/100000,"")</f>
      </c>
    </row>
    <row r="5724">
      <c r="F5724">
        <f>IF(AND(资金台帐!J2727&lt;&gt;"",资金台帐!J2727=客户对账单!$B$4,资金台帐!P2727="应收",ISNUMBER(资金台帐!B2727),资金台帐!B2727&gt;=客户对账单!$G$4,资金台帐!B2727&lt;=客户对账单!$I$4),资金台帐!B2727+ROW()/100000,"")</f>
      </c>
    </row>
    <row r="5725">
      <c r="F5725">
        <f>IF(AND(资金台帐!J2728&lt;&gt;"",资金台帐!J2728=客户对账单!$B$4,资金台帐!P2728="应收",ISNUMBER(资金台帐!B2728),资金台帐!B2728&gt;=客户对账单!$G$4,资金台帐!B2728&lt;=客户对账单!$I$4),资金台帐!B2728+ROW()/100000,"")</f>
      </c>
    </row>
    <row r="5726">
      <c r="F5726">
        <f>IF(AND(资金台帐!J2729&lt;&gt;"",资金台帐!J2729=客户对账单!$B$4,资金台帐!P2729="应收",ISNUMBER(资金台帐!B2729),资金台帐!B2729&gt;=客户对账单!$G$4,资金台帐!B2729&lt;=客户对账单!$I$4),资金台帐!B2729+ROW()/100000,"")</f>
      </c>
    </row>
    <row r="5727">
      <c r="F5727">
        <f>IF(AND(资金台帐!J2730&lt;&gt;"",资金台帐!J2730=客户对账单!$B$4,资金台帐!P2730="应收",ISNUMBER(资金台帐!B2730),资金台帐!B2730&gt;=客户对账单!$G$4,资金台帐!B2730&lt;=客户对账单!$I$4),资金台帐!B2730+ROW()/100000,"")</f>
      </c>
    </row>
    <row r="5728">
      <c r="F5728">
        <f>IF(AND(资金台帐!J2731&lt;&gt;"",资金台帐!J2731=客户对账单!$B$4,资金台帐!P2731="应收",ISNUMBER(资金台帐!B2731),资金台帐!B2731&gt;=客户对账单!$G$4,资金台帐!B2731&lt;=客户对账单!$I$4),资金台帐!B2731+ROW()/100000,"")</f>
      </c>
    </row>
    <row r="5729">
      <c r="F5729">
        <f>IF(AND(资金台帐!J2732&lt;&gt;"",资金台帐!J2732=客户对账单!$B$4,资金台帐!P2732="应收",ISNUMBER(资金台帐!B2732),资金台帐!B2732&gt;=客户对账单!$G$4,资金台帐!B2732&lt;=客户对账单!$I$4),资金台帐!B2732+ROW()/100000,"")</f>
      </c>
    </row>
    <row r="5730">
      <c r="F5730">
        <f>IF(AND(资金台帐!J2733&lt;&gt;"",资金台帐!J2733=客户对账单!$B$4,资金台帐!P2733="应收",ISNUMBER(资金台帐!B2733),资金台帐!B2733&gt;=客户对账单!$G$4,资金台帐!B2733&lt;=客户对账单!$I$4),资金台帐!B2733+ROW()/100000,"")</f>
      </c>
    </row>
    <row r="5731">
      <c r="F5731">
        <f>IF(AND(资金台帐!J2734&lt;&gt;"",资金台帐!J2734=客户对账单!$B$4,资金台帐!P2734="应收",ISNUMBER(资金台帐!B2734),资金台帐!B2734&gt;=客户对账单!$G$4,资金台帐!B2734&lt;=客户对账单!$I$4),资金台帐!B2734+ROW()/100000,"")</f>
      </c>
    </row>
    <row r="5732">
      <c r="F5732">
        <f>IF(AND(资金台帐!J2735&lt;&gt;"",资金台帐!J2735=客户对账单!$B$4,资金台帐!P2735="应收",ISNUMBER(资金台帐!B2735),资金台帐!B2735&gt;=客户对账单!$G$4,资金台帐!B2735&lt;=客户对账单!$I$4),资金台帐!B2735+ROW()/100000,"")</f>
      </c>
    </row>
    <row r="5733">
      <c r="F5733">
        <f>IF(AND(资金台帐!J2736&lt;&gt;"",资金台帐!J2736=客户对账单!$B$4,资金台帐!P2736="应收",ISNUMBER(资金台帐!B2736),资金台帐!B2736&gt;=客户对账单!$G$4,资金台帐!B2736&lt;=客户对账单!$I$4),资金台帐!B2736+ROW()/100000,"")</f>
      </c>
    </row>
    <row r="5734">
      <c r="F5734">
        <f>IF(AND(资金台帐!J2737&lt;&gt;"",资金台帐!J2737=客户对账单!$B$4,资金台帐!P2737="应收",ISNUMBER(资金台帐!B2737),资金台帐!B2737&gt;=客户对账单!$G$4,资金台帐!B2737&lt;=客户对账单!$I$4),资金台帐!B2737+ROW()/100000,"")</f>
      </c>
    </row>
    <row r="5735">
      <c r="F5735">
        <f>IF(AND(资金台帐!J2738&lt;&gt;"",资金台帐!J2738=客户对账单!$B$4,资金台帐!P2738="应收",ISNUMBER(资金台帐!B2738),资金台帐!B2738&gt;=客户对账单!$G$4,资金台帐!B2738&lt;=客户对账单!$I$4),资金台帐!B2738+ROW()/100000,"")</f>
      </c>
    </row>
    <row r="5736">
      <c r="F5736">
        <f>IF(AND(资金台帐!J2739&lt;&gt;"",资金台帐!J2739=客户对账单!$B$4,资金台帐!P2739="应收",ISNUMBER(资金台帐!B2739),资金台帐!B2739&gt;=客户对账单!$G$4,资金台帐!B2739&lt;=客户对账单!$I$4),资金台帐!B2739+ROW()/100000,"")</f>
      </c>
    </row>
    <row r="5737">
      <c r="F5737">
        <f>IF(AND(资金台帐!J2740&lt;&gt;"",资金台帐!J2740=客户对账单!$B$4,资金台帐!P2740="应收",ISNUMBER(资金台帐!B2740),资金台帐!B2740&gt;=客户对账单!$G$4,资金台帐!B2740&lt;=客户对账单!$I$4),资金台帐!B2740+ROW()/100000,"")</f>
      </c>
    </row>
    <row r="5738">
      <c r="F5738">
        <f>IF(AND(资金台帐!J2741&lt;&gt;"",资金台帐!J2741=客户对账单!$B$4,资金台帐!P2741="应收",ISNUMBER(资金台帐!B2741),资金台帐!B2741&gt;=客户对账单!$G$4,资金台帐!B2741&lt;=客户对账单!$I$4),资金台帐!B2741+ROW()/100000,"")</f>
      </c>
    </row>
    <row r="5739">
      <c r="F5739">
        <f>IF(AND(资金台帐!J2742&lt;&gt;"",资金台帐!J2742=客户对账单!$B$4,资金台帐!P2742="应收",ISNUMBER(资金台帐!B2742),资金台帐!B2742&gt;=客户对账单!$G$4,资金台帐!B2742&lt;=客户对账单!$I$4),资金台帐!B2742+ROW()/100000,"")</f>
      </c>
    </row>
    <row r="5740">
      <c r="F5740">
        <f>IF(AND(资金台帐!J2743&lt;&gt;"",资金台帐!J2743=客户对账单!$B$4,资金台帐!P2743="应收",ISNUMBER(资金台帐!B2743),资金台帐!B2743&gt;=客户对账单!$G$4,资金台帐!B2743&lt;=客户对账单!$I$4),资金台帐!B2743+ROW()/100000,"")</f>
      </c>
    </row>
    <row r="5741">
      <c r="F5741">
        <f>IF(AND(资金台帐!J2744&lt;&gt;"",资金台帐!J2744=客户对账单!$B$4,资金台帐!P2744="应收",ISNUMBER(资金台帐!B2744),资金台帐!B2744&gt;=客户对账单!$G$4,资金台帐!B2744&lt;=客户对账单!$I$4),资金台帐!B2744+ROW()/100000,"")</f>
      </c>
    </row>
    <row r="5742">
      <c r="F5742">
        <f>IF(AND(资金台帐!J2745&lt;&gt;"",资金台帐!J2745=客户对账单!$B$4,资金台帐!P2745="应收",ISNUMBER(资金台帐!B2745),资金台帐!B2745&gt;=客户对账单!$G$4,资金台帐!B2745&lt;=客户对账单!$I$4),资金台帐!B2745+ROW()/100000,"")</f>
      </c>
    </row>
    <row r="5743">
      <c r="F5743">
        <f>IF(AND(资金台帐!J2746&lt;&gt;"",资金台帐!J2746=客户对账单!$B$4,资金台帐!P2746="应收",ISNUMBER(资金台帐!B2746),资金台帐!B2746&gt;=客户对账单!$G$4,资金台帐!B2746&lt;=客户对账单!$I$4),资金台帐!B2746+ROW()/100000,"")</f>
      </c>
    </row>
    <row r="5744">
      <c r="F5744">
        <f>IF(AND(资金台帐!J2747&lt;&gt;"",资金台帐!J2747=客户对账单!$B$4,资金台帐!P2747="应收",ISNUMBER(资金台帐!B2747),资金台帐!B2747&gt;=客户对账单!$G$4,资金台帐!B2747&lt;=客户对账单!$I$4),资金台帐!B2747+ROW()/100000,"")</f>
      </c>
    </row>
    <row r="5745">
      <c r="F5745">
        <f>IF(AND(资金台帐!J2748&lt;&gt;"",资金台帐!J2748=客户对账单!$B$4,资金台帐!P2748="应收",ISNUMBER(资金台帐!B2748),资金台帐!B2748&gt;=客户对账单!$G$4,资金台帐!B2748&lt;=客户对账单!$I$4),资金台帐!B2748+ROW()/100000,"")</f>
      </c>
    </row>
    <row r="5746">
      <c r="F5746">
        <f>IF(AND(资金台帐!J2749&lt;&gt;"",资金台帐!J2749=客户对账单!$B$4,资金台帐!P2749="应收",ISNUMBER(资金台帐!B2749),资金台帐!B2749&gt;=客户对账单!$G$4,资金台帐!B2749&lt;=客户对账单!$I$4),资金台帐!B2749+ROW()/100000,"")</f>
      </c>
    </row>
    <row r="5747">
      <c r="F5747">
        <f>IF(AND(资金台帐!J2750&lt;&gt;"",资金台帐!J2750=客户对账单!$B$4,资金台帐!P2750="应收",ISNUMBER(资金台帐!B2750),资金台帐!B2750&gt;=客户对账单!$G$4,资金台帐!B2750&lt;=客户对账单!$I$4),资金台帐!B2750+ROW()/100000,"")</f>
      </c>
    </row>
    <row r="5748">
      <c r="F5748">
        <f>IF(AND(资金台帐!J2751&lt;&gt;"",资金台帐!J2751=客户对账单!$B$4,资金台帐!P2751="应收",ISNUMBER(资金台帐!B2751),资金台帐!B2751&gt;=客户对账单!$G$4,资金台帐!B2751&lt;=客户对账单!$I$4),资金台帐!B2751+ROW()/100000,"")</f>
      </c>
    </row>
    <row r="5749">
      <c r="F5749">
        <f>IF(AND(资金台帐!J2752&lt;&gt;"",资金台帐!J2752=客户对账单!$B$4,资金台帐!P2752="应收",ISNUMBER(资金台帐!B2752),资金台帐!B2752&gt;=客户对账单!$G$4,资金台帐!B2752&lt;=客户对账单!$I$4),资金台帐!B2752+ROW()/100000,"")</f>
      </c>
    </row>
    <row r="5750">
      <c r="F5750">
        <f>IF(AND(资金台帐!J2753&lt;&gt;"",资金台帐!J2753=客户对账单!$B$4,资金台帐!P2753="应收",ISNUMBER(资金台帐!B2753),资金台帐!B2753&gt;=客户对账单!$G$4,资金台帐!B2753&lt;=客户对账单!$I$4),资金台帐!B2753+ROW()/100000,"")</f>
      </c>
    </row>
    <row r="5751">
      <c r="F5751">
        <f>IF(AND(资金台帐!J2754&lt;&gt;"",资金台帐!J2754=客户对账单!$B$4,资金台帐!P2754="应收",ISNUMBER(资金台帐!B2754),资金台帐!B2754&gt;=客户对账单!$G$4,资金台帐!B2754&lt;=客户对账单!$I$4),资金台帐!B2754+ROW()/100000,"")</f>
      </c>
    </row>
    <row r="5752">
      <c r="F5752">
        <f>IF(AND(资金台帐!J2755&lt;&gt;"",资金台帐!J2755=客户对账单!$B$4,资金台帐!P2755="应收",ISNUMBER(资金台帐!B2755),资金台帐!B2755&gt;=客户对账单!$G$4,资金台帐!B2755&lt;=客户对账单!$I$4),资金台帐!B2755+ROW()/100000,"")</f>
      </c>
    </row>
    <row r="5753">
      <c r="F5753">
        <f>IF(AND(资金台帐!J2756&lt;&gt;"",资金台帐!J2756=客户对账单!$B$4,资金台帐!P2756="应收",ISNUMBER(资金台帐!B2756),资金台帐!B2756&gt;=客户对账单!$G$4,资金台帐!B2756&lt;=客户对账单!$I$4),资金台帐!B2756+ROW()/100000,"")</f>
      </c>
    </row>
    <row r="5754">
      <c r="F5754">
        <f>IF(AND(资金台帐!J2757&lt;&gt;"",资金台帐!J2757=客户对账单!$B$4,资金台帐!P2757="应收",ISNUMBER(资金台帐!B2757),资金台帐!B2757&gt;=客户对账单!$G$4,资金台帐!B2757&lt;=客户对账单!$I$4),资金台帐!B2757+ROW()/100000,"")</f>
      </c>
    </row>
    <row r="5755">
      <c r="F5755">
        <f>IF(AND(资金台帐!J2758&lt;&gt;"",资金台帐!J2758=客户对账单!$B$4,资金台帐!P2758="应收",ISNUMBER(资金台帐!B2758),资金台帐!B2758&gt;=客户对账单!$G$4,资金台帐!B2758&lt;=客户对账单!$I$4),资金台帐!B2758+ROW()/100000,"")</f>
      </c>
    </row>
    <row r="5756">
      <c r="F5756">
        <f>IF(AND(资金台帐!J2759&lt;&gt;"",资金台帐!J2759=客户对账单!$B$4,资金台帐!P2759="应收",ISNUMBER(资金台帐!B2759),资金台帐!B2759&gt;=客户对账单!$G$4,资金台帐!B2759&lt;=客户对账单!$I$4),资金台帐!B2759+ROW()/100000,"")</f>
      </c>
    </row>
    <row r="5757">
      <c r="F5757">
        <f>IF(AND(资金台帐!J2760&lt;&gt;"",资金台帐!J2760=客户对账单!$B$4,资金台帐!P2760="应收",ISNUMBER(资金台帐!B2760),资金台帐!B2760&gt;=客户对账单!$G$4,资金台帐!B2760&lt;=客户对账单!$I$4),资金台帐!B2760+ROW()/100000,"")</f>
      </c>
    </row>
    <row r="5758">
      <c r="F5758">
        <f>IF(AND(资金台帐!J2761&lt;&gt;"",资金台帐!J2761=客户对账单!$B$4,资金台帐!P2761="应收",ISNUMBER(资金台帐!B2761),资金台帐!B2761&gt;=客户对账单!$G$4,资金台帐!B2761&lt;=客户对账单!$I$4),资金台帐!B2761+ROW()/100000,"")</f>
      </c>
    </row>
    <row r="5759">
      <c r="F5759">
        <f>IF(AND(资金台帐!J2762&lt;&gt;"",资金台帐!J2762=客户对账单!$B$4,资金台帐!P2762="应收",ISNUMBER(资金台帐!B2762),资金台帐!B2762&gt;=客户对账单!$G$4,资金台帐!B2762&lt;=客户对账单!$I$4),资金台帐!B2762+ROW()/100000,"")</f>
      </c>
    </row>
    <row r="5760">
      <c r="F5760">
        <f>IF(AND(资金台帐!J2763&lt;&gt;"",资金台帐!J2763=客户对账单!$B$4,资金台帐!P2763="应收",ISNUMBER(资金台帐!B2763),资金台帐!B2763&gt;=客户对账单!$G$4,资金台帐!B2763&lt;=客户对账单!$I$4),资金台帐!B2763+ROW()/100000,"")</f>
      </c>
    </row>
    <row r="5761">
      <c r="F5761">
        <f>IF(AND(资金台帐!J2764&lt;&gt;"",资金台帐!J2764=客户对账单!$B$4,资金台帐!P2764="应收",ISNUMBER(资金台帐!B2764),资金台帐!B2764&gt;=客户对账单!$G$4,资金台帐!B2764&lt;=客户对账单!$I$4),资金台帐!B2764+ROW()/100000,"")</f>
      </c>
    </row>
    <row r="5762">
      <c r="F5762">
        <f>IF(AND(资金台帐!J2765&lt;&gt;"",资金台帐!J2765=客户对账单!$B$4,资金台帐!P2765="应收",ISNUMBER(资金台帐!B2765),资金台帐!B2765&gt;=客户对账单!$G$4,资金台帐!B2765&lt;=客户对账单!$I$4),资金台帐!B2765+ROW()/100000,"")</f>
      </c>
    </row>
    <row r="5763">
      <c r="F5763">
        <f>IF(AND(资金台帐!J2766&lt;&gt;"",资金台帐!J2766=客户对账单!$B$4,资金台帐!P2766="应收",ISNUMBER(资金台帐!B2766),资金台帐!B2766&gt;=客户对账单!$G$4,资金台帐!B2766&lt;=客户对账单!$I$4),资金台帐!B2766+ROW()/100000,"")</f>
      </c>
    </row>
    <row r="5764">
      <c r="F5764">
        <f>IF(AND(资金台帐!J2767&lt;&gt;"",资金台帐!J2767=客户对账单!$B$4,资金台帐!P2767="应收",ISNUMBER(资金台帐!B2767),资金台帐!B2767&gt;=客户对账单!$G$4,资金台帐!B2767&lt;=客户对账单!$I$4),资金台帐!B2767+ROW()/100000,"")</f>
      </c>
    </row>
    <row r="5765">
      <c r="F5765">
        <f>IF(AND(资金台帐!J2768&lt;&gt;"",资金台帐!J2768=客户对账单!$B$4,资金台帐!P2768="应收",ISNUMBER(资金台帐!B2768),资金台帐!B2768&gt;=客户对账单!$G$4,资金台帐!B2768&lt;=客户对账单!$I$4),资金台帐!B2768+ROW()/100000,"")</f>
      </c>
    </row>
    <row r="5766">
      <c r="F5766">
        <f>IF(AND(资金台帐!J2769&lt;&gt;"",资金台帐!J2769=客户对账单!$B$4,资金台帐!P2769="应收",ISNUMBER(资金台帐!B2769),资金台帐!B2769&gt;=客户对账单!$G$4,资金台帐!B2769&lt;=客户对账单!$I$4),资金台帐!B2769+ROW()/100000,"")</f>
      </c>
    </row>
    <row r="5767">
      <c r="F5767">
        <f>IF(AND(资金台帐!J2770&lt;&gt;"",资金台帐!J2770=客户对账单!$B$4,资金台帐!P2770="应收",ISNUMBER(资金台帐!B2770),资金台帐!B2770&gt;=客户对账单!$G$4,资金台帐!B2770&lt;=客户对账单!$I$4),资金台帐!B2770+ROW()/100000,"")</f>
      </c>
    </row>
    <row r="5768">
      <c r="F5768">
        <f>IF(AND(资金台帐!J2771&lt;&gt;"",资金台帐!J2771=客户对账单!$B$4,资金台帐!P2771="应收",ISNUMBER(资金台帐!B2771),资金台帐!B2771&gt;=客户对账单!$G$4,资金台帐!B2771&lt;=客户对账单!$I$4),资金台帐!B2771+ROW()/100000,"")</f>
      </c>
    </row>
    <row r="5769">
      <c r="F5769">
        <f>IF(AND(资金台帐!J2772&lt;&gt;"",资金台帐!J2772=客户对账单!$B$4,资金台帐!P2772="应收",ISNUMBER(资金台帐!B2772),资金台帐!B2772&gt;=客户对账单!$G$4,资金台帐!B2772&lt;=客户对账单!$I$4),资金台帐!B2772+ROW()/100000,"")</f>
      </c>
    </row>
    <row r="5770">
      <c r="F5770">
        <f>IF(AND(资金台帐!J2773&lt;&gt;"",资金台帐!J2773=客户对账单!$B$4,资金台帐!P2773="应收",ISNUMBER(资金台帐!B2773),资金台帐!B2773&gt;=客户对账单!$G$4,资金台帐!B2773&lt;=客户对账单!$I$4),资金台帐!B2773+ROW()/100000,"")</f>
      </c>
    </row>
    <row r="5771">
      <c r="F5771">
        <f>IF(AND(资金台帐!J2774&lt;&gt;"",资金台帐!J2774=客户对账单!$B$4,资金台帐!P2774="应收",ISNUMBER(资金台帐!B2774),资金台帐!B2774&gt;=客户对账单!$G$4,资金台帐!B2774&lt;=客户对账单!$I$4),资金台帐!B2774+ROW()/100000,"")</f>
      </c>
    </row>
    <row r="5772">
      <c r="F5772">
        <f>IF(AND(资金台帐!J2775&lt;&gt;"",资金台帐!J2775=客户对账单!$B$4,资金台帐!P2775="应收",ISNUMBER(资金台帐!B2775),资金台帐!B2775&gt;=客户对账单!$G$4,资金台帐!B2775&lt;=客户对账单!$I$4),资金台帐!B2775+ROW()/100000,"")</f>
      </c>
    </row>
    <row r="5773">
      <c r="F5773">
        <f>IF(AND(资金台帐!J2776&lt;&gt;"",资金台帐!J2776=客户对账单!$B$4,资金台帐!P2776="应收",ISNUMBER(资金台帐!B2776),资金台帐!B2776&gt;=客户对账单!$G$4,资金台帐!B2776&lt;=客户对账单!$I$4),资金台帐!B2776+ROW()/100000,"")</f>
      </c>
    </row>
    <row r="5774">
      <c r="F5774">
        <f>IF(AND(资金台帐!J2777&lt;&gt;"",资金台帐!J2777=客户对账单!$B$4,资金台帐!P2777="应收",ISNUMBER(资金台帐!B2777),资金台帐!B2777&gt;=客户对账单!$G$4,资金台帐!B2777&lt;=客户对账单!$I$4),资金台帐!B2777+ROW()/100000,"")</f>
      </c>
    </row>
    <row r="5775">
      <c r="F5775">
        <f>IF(AND(资金台帐!J2778&lt;&gt;"",资金台帐!J2778=客户对账单!$B$4,资金台帐!P2778="应收",ISNUMBER(资金台帐!B2778),资金台帐!B2778&gt;=客户对账单!$G$4,资金台帐!B2778&lt;=客户对账单!$I$4),资金台帐!B2778+ROW()/100000,"")</f>
      </c>
    </row>
    <row r="5776">
      <c r="F5776">
        <f>IF(AND(资金台帐!J2779&lt;&gt;"",资金台帐!J2779=客户对账单!$B$4,资金台帐!P2779="应收",ISNUMBER(资金台帐!B2779),资金台帐!B2779&gt;=客户对账单!$G$4,资金台帐!B2779&lt;=客户对账单!$I$4),资金台帐!B2779+ROW()/100000,"")</f>
      </c>
    </row>
    <row r="5777">
      <c r="F5777">
        <f>IF(AND(资金台帐!J2780&lt;&gt;"",资金台帐!J2780=客户对账单!$B$4,资金台帐!P2780="应收",ISNUMBER(资金台帐!B2780),资金台帐!B2780&gt;=客户对账单!$G$4,资金台帐!B2780&lt;=客户对账单!$I$4),资金台帐!B2780+ROW()/100000,"")</f>
      </c>
    </row>
    <row r="5778">
      <c r="F5778">
        <f>IF(AND(资金台帐!J2781&lt;&gt;"",资金台帐!J2781=客户对账单!$B$4,资金台帐!P2781="应收",ISNUMBER(资金台帐!B2781),资金台帐!B2781&gt;=客户对账单!$G$4,资金台帐!B2781&lt;=客户对账单!$I$4),资金台帐!B2781+ROW()/100000,"")</f>
      </c>
    </row>
    <row r="5779">
      <c r="F5779">
        <f>IF(AND(资金台帐!J2782&lt;&gt;"",资金台帐!J2782=客户对账单!$B$4,资金台帐!P2782="应收",ISNUMBER(资金台帐!B2782),资金台帐!B2782&gt;=客户对账单!$G$4,资金台帐!B2782&lt;=客户对账单!$I$4),资金台帐!B2782+ROW()/100000,"")</f>
      </c>
    </row>
    <row r="5780">
      <c r="F5780">
        <f>IF(AND(资金台帐!J2783&lt;&gt;"",资金台帐!J2783=客户对账单!$B$4,资金台帐!P2783="应收",ISNUMBER(资金台帐!B2783),资金台帐!B2783&gt;=客户对账单!$G$4,资金台帐!B2783&lt;=客户对账单!$I$4),资金台帐!B2783+ROW()/100000,"")</f>
      </c>
    </row>
    <row r="5781">
      <c r="F5781">
        <f>IF(AND(资金台帐!J2784&lt;&gt;"",资金台帐!J2784=客户对账单!$B$4,资金台帐!P2784="应收",ISNUMBER(资金台帐!B2784),资金台帐!B2784&gt;=客户对账单!$G$4,资金台帐!B2784&lt;=客户对账单!$I$4),资金台帐!B2784+ROW()/100000,"")</f>
      </c>
    </row>
    <row r="5782">
      <c r="F5782">
        <f>IF(AND(资金台帐!J2785&lt;&gt;"",资金台帐!J2785=客户对账单!$B$4,资金台帐!P2785="应收",ISNUMBER(资金台帐!B2785),资金台帐!B2785&gt;=客户对账单!$G$4,资金台帐!B2785&lt;=客户对账单!$I$4),资金台帐!B2785+ROW()/100000,"")</f>
      </c>
    </row>
    <row r="5783">
      <c r="F5783">
        <f>IF(AND(资金台帐!J2786&lt;&gt;"",资金台帐!J2786=客户对账单!$B$4,资金台帐!P2786="应收",ISNUMBER(资金台帐!B2786),资金台帐!B2786&gt;=客户对账单!$G$4,资金台帐!B2786&lt;=客户对账单!$I$4),资金台帐!B2786+ROW()/100000,"")</f>
      </c>
    </row>
    <row r="5784">
      <c r="F5784">
        <f>IF(AND(资金台帐!J2787&lt;&gt;"",资金台帐!J2787=客户对账单!$B$4,资金台帐!P2787="应收",ISNUMBER(资金台帐!B2787),资金台帐!B2787&gt;=客户对账单!$G$4,资金台帐!B2787&lt;=客户对账单!$I$4),资金台帐!B2787+ROW()/100000,"")</f>
      </c>
    </row>
    <row r="5785">
      <c r="F5785">
        <f>IF(AND(资金台帐!J2788&lt;&gt;"",资金台帐!J2788=客户对账单!$B$4,资金台帐!P2788="应收",ISNUMBER(资金台帐!B2788),资金台帐!B2788&gt;=客户对账单!$G$4,资金台帐!B2788&lt;=客户对账单!$I$4),资金台帐!B2788+ROW()/100000,"")</f>
      </c>
    </row>
    <row r="5786">
      <c r="F5786">
        <f>IF(AND(资金台帐!J2789&lt;&gt;"",资金台帐!J2789=客户对账单!$B$4,资金台帐!P2789="应收",ISNUMBER(资金台帐!B2789),资金台帐!B2789&gt;=客户对账单!$G$4,资金台帐!B2789&lt;=客户对账单!$I$4),资金台帐!B2789+ROW()/100000,"")</f>
      </c>
    </row>
    <row r="5787">
      <c r="F5787">
        <f>IF(AND(资金台帐!J2790&lt;&gt;"",资金台帐!J2790=客户对账单!$B$4,资金台帐!P2790="应收",ISNUMBER(资金台帐!B2790),资金台帐!B2790&gt;=客户对账单!$G$4,资金台帐!B2790&lt;=客户对账单!$I$4),资金台帐!B2790+ROW()/100000,"")</f>
      </c>
    </row>
    <row r="5788">
      <c r="F5788">
        <f>IF(AND(资金台帐!J2791&lt;&gt;"",资金台帐!J2791=客户对账单!$B$4,资金台帐!P2791="应收",ISNUMBER(资金台帐!B2791),资金台帐!B2791&gt;=客户对账单!$G$4,资金台帐!B2791&lt;=客户对账单!$I$4),资金台帐!B2791+ROW()/100000,"")</f>
      </c>
    </row>
    <row r="5789">
      <c r="F5789">
        <f>IF(AND(资金台帐!J2792&lt;&gt;"",资金台帐!J2792=客户对账单!$B$4,资金台帐!P2792="应收",ISNUMBER(资金台帐!B2792),资金台帐!B2792&gt;=客户对账单!$G$4,资金台帐!B2792&lt;=客户对账单!$I$4),资金台帐!B2792+ROW()/100000,"")</f>
      </c>
    </row>
    <row r="5790">
      <c r="F5790">
        <f>IF(AND(资金台帐!J2793&lt;&gt;"",资金台帐!J2793=客户对账单!$B$4,资金台帐!P2793="应收",ISNUMBER(资金台帐!B2793),资金台帐!B2793&gt;=客户对账单!$G$4,资金台帐!B2793&lt;=客户对账单!$I$4),资金台帐!B2793+ROW()/100000,"")</f>
      </c>
    </row>
    <row r="5791">
      <c r="F5791">
        <f>IF(AND(资金台帐!J2794&lt;&gt;"",资金台帐!J2794=客户对账单!$B$4,资金台帐!P2794="应收",ISNUMBER(资金台帐!B2794),资金台帐!B2794&gt;=客户对账单!$G$4,资金台帐!B2794&lt;=客户对账单!$I$4),资金台帐!B2794+ROW()/100000,"")</f>
      </c>
    </row>
    <row r="5792">
      <c r="F5792">
        <f>IF(AND(资金台帐!J2795&lt;&gt;"",资金台帐!J2795=客户对账单!$B$4,资金台帐!P2795="应收",ISNUMBER(资金台帐!B2795),资金台帐!B2795&gt;=客户对账单!$G$4,资金台帐!B2795&lt;=客户对账单!$I$4),资金台帐!B2795+ROW()/100000,"")</f>
      </c>
    </row>
    <row r="5793">
      <c r="F5793">
        <f>IF(AND(资金台帐!J2796&lt;&gt;"",资金台帐!J2796=客户对账单!$B$4,资金台帐!P2796="应收",ISNUMBER(资金台帐!B2796),资金台帐!B2796&gt;=客户对账单!$G$4,资金台帐!B2796&lt;=客户对账单!$I$4),资金台帐!B2796+ROW()/100000,"")</f>
      </c>
    </row>
    <row r="5794">
      <c r="F5794">
        <f>IF(AND(资金台帐!J2797&lt;&gt;"",资金台帐!J2797=客户对账单!$B$4,资金台帐!P2797="应收",ISNUMBER(资金台帐!B2797),资金台帐!B2797&gt;=客户对账单!$G$4,资金台帐!B2797&lt;=客户对账单!$I$4),资金台帐!B2797+ROW()/100000,"")</f>
      </c>
    </row>
    <row r="5795">
      <c r="F5795">
        <f>IF(AND(资金台帐!J2798&lt;&gt;"",资金台帐!J2798=客户对账单!$B$4,资金台帐!P2798="应收",ISNUMBER(资金台帐!B2798),资金台帐!B2798&gt;=客户对账单!$G$4,资金台帐!B2798&lt;=客户对账单!$I$4),资金台帐!B2798+ROW()/100000,"")</f>
      </c>
    </row>
    <row r="5796">
      <c r="F5796">
        <f>IF(AND(资金台帐!J2799&lt;&gt;"",资金台帐!J2799=客户对账单!$B$4,资金台帐!P2799="应收",ISNUMBER(资金台帐!B2799),资金台帐!B2799&gt;=客户对账单!$G$4,资金台帐!B2799&lt;=客户对账单!$I$4),资金台帐!B2799+ROW()/100000,"")</f>
      </c>
    </row>
    <row r="5797">
      <c r="F5797">
        <f>IF(AND(资金台帐!J2800&lt;&gt;"",资金台帐!J2800=客户对账单!$B$4,资金台帐!P2800="应收",ISNUMBER(资金台帐!B2800),资金台帐!B2800&gt;=客户对账单!$G$4,资金台帐!B2800&lt;=客户对账单!$I$4),资金台帐!B2800+ROW()/100000,"")</f>
      </c>
    </row>
    <row r="5798">
      <c r="F5798">
        <f>IF(AND(资金台帐!J2801&lt;&gt;"",资金台帐!J2801=客户对账单!$B$4,资金台帐!P2801="应收",ISNUMBER(资金台帐!B2801),资金台帐!B2801&gt;=客户对账单!$G$4,资金台帐!B2801&lt;=客户对账单!$I$4),资金台帐!B2801+ROW()/100000,"")</f>
      </c>
    </row>
    <row r="5799">
      <c r="F5799">
        <f>IF(AND(资金台帐!J2802&lt;&gt;"",资金台帐!J2802=客户对账单!$B$4,资金台帐!P2802="应收",ISNUMBER(资金台帐!B2802),资金台帐!B2802&gt;=客户对账单!$G$4,资金台帐!B2802&lt;=客户对账单!$I$4),资金台帐!B2802+ROW()/100000,"")</f>
      </c>
    </row>
    <row r="5800">
      <c r="F5800">
        <f>IF(AND(资金台帐!J2803&lt;&gt;"",资金台帐!J2803=客户对账单!$B$4,资金台帐!P2803="应收",ISNUMBER(资金台帐!B2803),资金台帐!B2803&gt;=客户对账单!$G$4,资金台帐!B2803&lt;=客户对账单!$I$4),资金台帐!B2803+ROW()/100000,"")</f>
      </c>
    </row>
    <row r="5801">
      <c r="F5801">
        <f>IF(AND(资金台帐!J2804&lt;&gt;"",资金台帐!J2804=客户对账单!$B$4,资金台帐!P2804="应收",ISNUMBER(资金台帐!B2804),资金台帐!B2804&gt;=客户对账单!$G$4,资金台帐!B2804&lt;=客户对账单!$I$4),资金台帐!B2804+ROW()/100000,"")</f>
      </c>
    </row>
    <row r="5802">
      <c r="F5802">
        <f>IF(AND(资金台帐!J2805&lt;&gt;"",资金台帐!J2805=客户对账单!$B$4,资金台帐!P2805="应收",ISNUMBER(资金台帐!B2805),资金台帐!B2805&gt;=客户对账单!$G$4,资金台帐!B2805&lt;=客户对账单!$I$4),资金台帐!B2805+ROW()/100000,"")</f>
      </c>
    </row>
    <row r="5803">
      <c r="F5803">
        <f>IF(AND(资金台帐!J2806&lt;&gt;"",资金台帐!J2806=客户对账单!$B$4,资金台帐!P2806="应收",ISNUMBER(资金台帐!B2806),资金台帐!B2806&gt;=客户对账单!$G$4,资金台帐!B2806&lt;=客户对账单!$I$4),资金台帐!B2806+ROW()/100000,"")</f>
      </c>
    </row>
    <row r="5804">
      <c r="F5804">
        <f>IF(AND(资金台帐!J2807&lt;&gt;"",资金台帐!J2807=客户对账单!$B$4,资金台帐!P2807="应收",ISNUMBER(资金台帐!B2807),资金台帐!B2807&gt;=客户对账单!$G$4,资金台帐!B2807&lt;=客户对账单!$I$4),资金台帐!B2807+ROW()/100000,"")</f>
      </c>
    </row>
    <row r="5805">
      <c r="F5805">
        <f>IF(AND(资金台帐!J2808&lt;&gt;"",资金台帐!J2808=客户对账单!$B$4,资金台帐!P2808="应收",ISNUMBER(资金台帐!B2808),资金台帐!B2808&gt;=客户对账单!$G$4,资金台帐!B2808&lt;=客户对账单!$I$4),资金台帐!B2808+ROW()/100000,"")</f>
      </c>
    </row>
    <row r="5806">
      <c r="F5806">
        <f>IF(AND(资金台帐!J2809&lt;&gt;"",资金台帐!J2809=客户对账单!$B$4,资金台帐!P2809="应收",ISNUMBER(资金台帐!B2809),资金台帐!B2809&gt;=客户对账单!$G$4,资金台帐!B2809&lt;=客户对账单!$I$4),资金台帐!B2809+ROW()/100000,"")</f>
      </c>
    </row>
    <row r="5807">
      <c r="F5807">
        <f>IF(AND(资金台帐!J2810&lt;&gt;"",资金台帐!J2810=客户对账单!$B$4,资金台帐!P2810="应收",ISNUMBER(资金台帐!B2810),资金台帐!B2810&gt;=客户对账单!$G$4,资金台帐!B2810&lt;=客户对账单!$I$4),资金台帐!B2810+ROW()/100000,"")</f>
      </c>
    </row>
    <row r="5808">
      <c r="F5808">
        <f>IF(AND(资金台帐!J2811&lt;&gt;"",资金台帐!J2811=客户对账单!$B$4,资金台帐!P2811="应收",ISNUMBER(资金台帐!B2811),资金台帐!B2811&gt;=客户对账单!$G$4,资金台帐!B2811&lt;=客户对账单!$I$4),资金台帐!B2811+ROW()/100000,"")</f>
      </c>
    </row>
    <row r="5809">
      <c r="F5809">
        <f>IF(AND(资金台帐!J2812&lt;&gt;"",资金台帐!J2812=客户对账单!$B$4,资金台帐!P2812="应收",ISNUMBER(资金台帐!B2812),资金台帐!B2812&gt;=客户对账单!$G$4,资金台帐!B2812&lt;=客户对账单!$I$4),资金台帐!B2812+ROW()/100000,"")</f>
      </c>
    </row>
    <row r="5810">
      <c r="F5810">
        <f>IF(AND(资金台帐!J2813&lt;&gt;"",资金台帐!J2813=客户对账单!$B$4,资金台帐!P2813="应收",ISNUMBER(资金台帐!B2813),资金台帐!B2813&gt;=客户对账单!$G$4,资金台帐!B2813&lt;=客户对账单!$I$4),资金台帐!B2813+ROW()/100000,"")</f>
      </c>
    </row>
    <row r="5811">
      <c r="F5811">
        <f>IF(AND(资金台帐!J2814&lt;&gt;"",资金台帐!J2814=客户对账单!$B$4,资金台帐!P2814="应收",ISNUMBER(资金台帐!B2814),资金台帐!B2814&gt;=客户对账单!$G$4,资金台帐!B2814&lt;=客户对账单!$I$4),资金台帐!B2814+ROW()/100000,"")</f>
      </c>
    </row>
    <row r="5812">
      <c r="F5812">
        <f>IF(AND(资金台帐!J2815&lt;&gt;"",资金台帐!J2815=客户对账单!$B$4,资金台帐!P2815="应收",ISNUMBER(资金台帐!B2815),资金台帐!B2815&gt;=客户对账单!$G$4,资金台帐!B2815&lt;=客户对账单!$I$4),资金台帐!B2815+ROW()/100000,"")</f>
      </c>
    </row>
    <row r="5813">
      <c r="F5813">
        <f>IF(AND(资金台帐!J2816&lt;&gt;"",资金台帐!J2816=客户对账单!$B$4,资金台帐!P2816="应收",ISNUMBER(资金台帐!B2816),资金台帐!B2816&gt;=客户对账单!$G$4,资金台帐!B2816&lt;=客户对账单!$I$4),资金台帐!B2816+ROW()/100000,"")</f>
      </c>
    </row>
    <row r="5814">
      <c r="F5814">
        <f>IF(AND(资金台帐!J2817&lt;&gt;"",资金台帐!J2817=客户对账单!$B$4,资金台帐!P2817="应收",ISNUMBER(资金台帐!B2817),资金台帐!B2817&gt;=客户对账单!$G$4,资金台帐!B2817&lt;=客户对账单!$I$4),资金台帐!B2817+ROW()/100000,"")</f>
      </c>
    </row>
    <row r="5815">
      <c r="F5815">
        <f>IF(AND(资金台帐!J2818&lt;&gt;"",资金台帐!J2818=客户对账单!$B$4,资金台帐!P2818="应收",ISNUMBER(资金台帐!B2818),资金台帐!B2818&gt;=客户对账单!$G$4,资金台帐!B2818&lt;=客户对账单!$I$4),资金台帐!B2818+ROW()/100000,"")</f>
      </c>
    </row>
    <row r="5816">
      <c r="F5816">
        <f>IF(AND(资金台帐!J2819&lt;&gt;"",资金台帐!J2819=客户对账单!$B$4,资金台帐!P2819="应收",ISNUMBER(资金台帐!B2819),资金台帐!B2819&gt;=客户对账单!$G$4,资金台帐!B2819&lt;=客户对账单!$I$4),资金台帐!B2819+ROW()/100000,"")</f>
      </c>
    </row>
    <row r="5817">
      <c r="F5817">
        <f>IF(AND(资金台帐!J2820&lt;&gt;"",资金台帐!J2820=客户对账单!$B$4,资金台帐!P2820="应收",ISNUMBER(资金台帐!B2820),资金台帐!B2820&gt;=客户对账单!$G$4,资金台帐!B2820&lt;=客户对账单!$I$4),资金台帐!B2820+ROW()/100000,"")</f>
      </c>
    </row>
    <row r="5818">
      <c r="F5818">
        <f>IF(AND(资金台帐!J2821&lt;&gt;"",资金台帐!J2821=客户对账单!$B$4,资金台帐!P2821="应收",ISNUMBER(资金台帐!B2821),资金台帐!B2821&gt;=客户对账单!$G$4,资金台帐!B2821&lt;=客户对账单!$I$4),资金台帐!B2821+ROW()/100000,"")</f>
      </c>
    </row>
    <row r="5819">
      <c r="F5819">
        <f>IF(AND(资金台帐!J2822&lt;&gt;"",资金台帐!J2822=客户对账单!$B$4,资金台帐!P2822="应收",ISNUMBER(资金台帐!B2822),资金台帐!B2822&gt;=客户对账单!$G$4,资金台帐!B2822&lt;=客户对账单!$I$4),资金台帐!B2822+ROW()/100000,"")</f>
      </c>
    </row>
    <row r="5820">
      <c r="F5820">
        <f>IF(AND(资金台帐!J2823&lt;&gt;"",资金台帐!J2823=客户对账单!$B$4,资金台帐!P2823="应收",ISNUMBER(资金台帐!B2823),资金台帐!B2823&gt;=客户对账单!$G$4,资金台帐!B2823&lt;=客户对账单!$I$4),资金台帐!B2823+ROW()/100000,"")</f>
      </c>
    </row>
    <row r="5821">
      <c r="F5821">
        <f>IF(AND(资金台帐!J2824&lt;&gt;"",资金台帐!J2824=客户对账单!$B$4,资金台帐!P2824="应收",ISNUMBER(资金台帐!B2824),资金台帐!B2824&gt;=客户对账单!$G$4,资金台帐!B2824&lt;=客户对账单!$I$4),资金台帐!B2824+ROW()/100000,"")</f>
      </c>
    </row>
    <row r="5822">
      <c r="F5822">
        <f>IF(AND(资金台帐!J2825&lt;&gt;"",资金台帐!J2825=客户对账单!$B$4,资金台帐!P2825="应收",ISNUMBER(资金台帐!B2825),资金台帐!B2825&gt;=客户对账单!$G$4,资金台帐!B2825&lt;=客户对账单!$I$4),资金台帐!B2825+ROW()/100000,"")</f>
      </c>
    </row>
    <row r="5823">
      <c r="F5823">
        <f>IF(AND(资金台帐!J2826&lt;&gt;"",资金台帐!J2826=客户对账单!$B$4,资金台帐!P2826="应收",ISNUMBER(资金台帐!B2826),资金台帐!B2826&gt;=客户对账单!$G$4,资金台帐!B2826&lt;=客户对账单!$I$4),资金台帐!B2826+ROW()/100000,"")</f>
      </c>
    </row>
    <row r="5824">
      <c r="F5824">
        <f>IF(AND(资金台帐!J2827&lt;&gt;"",资金台帐!J2827=客户对账单!$B$4,资金台帐!P2827="应收",ISNUMBER(资金台帐!B2827),资金台帐!B2827&gt;=客户对账单!$G$4,资金台帐!B2827&lt;=客户对账单!$I$4),资金台帐!B2827+ROW()/100000,"")</f>
      </c>
    </row>
    <row r="5825">
      <c r="F5825">
        <f>IF(AND(资金台帐!J2828&lt;&gt;"",资金台帐!J2828=客户对账单!$B$4,资金台帐!P2828="应收",ISNUMBER(资金台帐!B2828),资金台帐!B2828&gt;=客户对账单!$G$4,资金台帐!B2828&lt;=客户对账单!$I$4),资金台帐!B2828+ROW()/100000,"")</f>
      </c>
    </row>
    <row r="5826">
      <c r="F5826">
        <f>IF(AND(资金台帐!J2829&lt;&gt;"",资金台帐!J2829=客户对账单!$B$4,资金台帐!P2829="应收",ISNUMBER(资金台帐!B2829),资金台帐!B2829&gt;=客户对账单!$G$4,资金台帐!B2829&lt;=客户对账单!$I$4),资金台帐!B2829+ROW()/100000,"")</f>
      </c>
    </row>
    <row r="5827">
      <c r="F5827">
        <f>IF(AND(资金台帐!J2830&lt;&gt;"",资金台帐!J2830=客户对账单!$B$4,资金台帐!P2830="应收",ISNUMBER(资金台帐!B2830),资金台帐!B2830&gt;=客户对账单!$G$4,资金台帐!B2830&lt;=客户对账单!$I$4),资金台帐!B2830+ROW()/100000,"")</f>
      </c>
    </row>
    <row r="5828">
      <c r="F5828">
        <f>IF(AND(资金台帐!J2831&lt;&gt;"",资金台帐!J2831=客户对账单!$B$4,资金台帐!P2831="应收",ISNUMBER(资金台帐!B2831),资金台帐!B2831&gt;=客户对账单!$G$4,资金台帐!B2831&lt;=客户对账单!$I$4),资金台帐!B2831+ROW()/100000,"")</f>
      </c>
    </row>
    <row r="5829">
      <c r="F5829">
        <f>IF(AND(资金台帐!J2832&lt;&gt;"",资金台帐!J2832=客户对账单!$B$4,资金台帐!P2832="应收",ISNUMBER(资金台帐!B2832),资金台帐!B2832&gt;=客户对账单!$G$4,资金台帐!B2832&lt;=客户对账单!$I$4),资金台帐!B2832+ROW()/100000,"")</f>
      </c>
    </row>
    <row r="5830">
      <c r="F5830">
        <f>IF(AND(资金台帐!J2833&lt;&gt;"",资金台帐!J2833=客户对账单!$B$4,资金台帐!P2833="应收",ISNUMBER(资金台帐!B2833),资金台帐!B2833&gt;=客户对账单!$G$4,资金台帐!B2833&lt;=客户对账单!$I$4),资金台帐!B2833+ROW()/100000,"")</f>
      </c>
    </row>
    <row r="5831">
      <c r="F5831">
        <f>IF(AND(资金台帐!J2834&lt;&gt;"",资金台帐!J2834=客户对账单!$B$4,资金台帐!P2834="应收",ISNUMBER(资金台帐!B2834),资金台帐!B2834&gt;=客户对账单!$G$4,资金台帐!B2834&lt;=客户对账单!$I$4),资金台帐!B2834+ROW()/100000,"")</f>
      </c>
    </row>
    <row r="5832">
      <c r="F5832">
        <f>IF(AND(资金台帐!J2835&lt;&gt;"",资金台帐!J2835=客户对账单!$B$4,资金台帐!P2835="应收",ISNUMBER(资金台帐!B2835),资金台帐!B2835&gt;=客户对账单!$G$4,资金台帐!B2835&lt;=客户对账单!$I$4),资金台帐!B2835+ROW()/100000,"")</f>
      </c>
    </row>
    <row r="5833">
      <c r="F5833">
        <f>IF(AND(资金台帐!J2836&lt;&gt;"",资金台帐!J2836=客户对账单!$B$4,资金台帐!P2836="应收",ISNUMBER(资金台帐!B2836),资金台帐!B2836&gt;=客户对账单!$G$4,资金台帐!B2836&lt;=客户对账单!$I$4),资金台帐!B2836+ROW()/100000,"")</f>
      </c>
    </row>
    <row r="5834">
      <c r="F5834">
        <f>IF(AND(资金台帐!J2837&lt;&gt;"",资金台帐!J2837=客户对账单!$B$4,资金台帐!P2837="应收",ISNUMBER(资金台帐!B2837),资金台帐!B2837&gt;=客户对账单!$G$4,资金台帐!B2837&lt;=客户对账单!$I$4),资金台帐!B2837+ROW()/100000,"")</f>
      </c>
    </row>
    <row r="5835">
      <c r="F5835">
        <f>IF(AND(资金台帐!J2838&lt;&gt;"",资金台帐!J2838=客户对账单!$B$4,资金台帐!P2838="应收",ISNUMBER(资金台帐!B2838),资金台帐!B2838&gt;=客户对账单!$G$4,资金台帐!B2838&lt;=客户对账单!$I$4),资金台帐!B2838+ROW()/100000,"")</f>
      </c>
    </row>
    <row r="5836">
      <c r="F5836">
        <f>IF(AND(资金台帐!J2839&lt;&gt;"",资金台帐!J2839=客户对账单!$B$4,资金台帐!P2839="应收",ISNUMBER(资金台帐!B2839),资金台帐!B2839&gt;=客户对账单!$G$4,资金台帐!B2839&lt;=客户对账单!$I$4),资金台帐!B2839+ROW()/100000,"")</f>
      </c>
    </row>
    <row r="5837">
      <c r="F5837">
        <f>IF(AND(资金台帐!J2840&lt;&gt;"",资金台帐!J2840=客户对账单!$B$4,资金台帐!P2840="应收",ISNUMBER(资金台帐!B2840),资金台帐!B2840&gt;=客户对账单!$G$4,资金台帐!B2840&lt;=客户对账单!$I$4),资金台帐!B2840+ROW()/100000,"")</f>
      </c>
    </row>
    <row r="5838">
      <c r="F5838">
        <f>IF(AND(资金台帐!J2841&lt;&gt;"",资金台帐!J2841=客户对账单!$B$4,资金台帐!P2841="应收",ISNUMBER(资金台帐!B2841),资金台帐!B2841&gt;=客户对账单!$G$4,资金台帐!B2841&lt;=客户对账单!$I$4),资金台帐!B2841+ROW()/100000,"")</f>
      </c>
    </row>
    <row r="5839">
      <c r="F5839">
        <f>IF(AND(资金台帐!J2842&lt;&gt;"",资金台帐!J2842=客户对账单!$B$4,资金台帐!P2842="应收",ISNUMBER(资金台帐!B2842),资金台帐!B2842&gt;=客户对账单!$G$4,资金台帐!B2842&lt;=客户对账单!$I$4),资金台帐!B2842+ROW()/100000,"")</f>
      </c>
    </row>
    <row r="5840">
      <c r="F5840">
        <f>IF(AND(资金台帐!J2843&lt;&gt;"",资金台帐!J2843=客户对账单!$B$4,资金台帐!P2843="应收",ISNUMBER(资金台帐!B2843),资金台帐!B2843&gt;=客户对账单!$G$4,资金台帐!B2843&lt;=客户对账单!$I$4),资金台帐!B2843+ROW()/100000,"")</f>
      </c>
    </row>
    <row r="5841">
      <c r="F5841">
        <f>IF(AND(资金台帐!J2844&lt;&gt;"",资金台帐!J2844=客户对账单!$B$4,资金台帐!P2844="应收",ISNUMBER(资金台帐!B2844),资金台帐!B2844&gt;=客户对账单!$G$4,资金台帐!B2844&lt;=客户对账单!$I$4),资金台帐!B2844+ROW()/100000,"")</f>
      </c>
    </row>
    <row r="5842">
      <c r="F5842">
        <f>IF(AND(资金台帐!J2845&lt;&gt;"",资金台帐!J2845=客户对账单!$B$4,资金台帐!P2845="应收",ISNUMBER(资金台帐!B2845),资金台帐!B2845&gt;=客户对账单!$G$4,资金台帐!B2845&lt;=客户对账单!$I$4),资金台帐!B2845+ROW()/100000,"")</f>
      </c>
    </row>
    <row r="5843">
      <c r="F5843">
        <f>IF(AND(资金台帐!J2846&lt;&gt;"",资金台帐!J2846=客户对账单!$B$4,资金台帐!P2846="应收",ISNUMBER(资金台帐!B2846),资金台帐!B2846&gt;=客户对账单!$G$4,资金台帐!B2846&lt;=客户对账单!$I$4),资金台帐!B2846+ROW()/100000,"")</f>
      </c>
    </row>
    <row r="5844">
      <c r="F5844">
        <f>IF(AND(资金台帐!J2847&lt;&gt;"",资金台帐!J2847=客户对账单!$B$4,资金台帐!P2847="应收",ISNUMBER(资金台帐!B2847),资金台帐!B2847&gt;=客户对账单!$G$4,资金台帐!B2847&lt;=客户对账单!$I$4),资金台帐!B2847+ROW()/100000,"")</f>
      </c>
    </row>
    <row r="5845">
      <c r="F5845">
        <f>IF(AND(资金台帐!J2848&lt;&gt;"",资金台帐!J2848=客户对账单!$B$4,资金台帐!P2848="应收",ISNUMBER(资金台帐!B2848),资金台帐!B2848&gt;=客户对账单!$G$4,资金台帐!B2848&lt;=客户对账单!$I$4),资金台帐!B2848+ROW()/100000,"")</f>
      </c>
    </row>
    <row r="5846">
      <c r="F5846">
        <f>IF(AND(资金台帐!J2849&lt;&gt;"",资金台帐!J2849=客户对账单!$B$4,资金台帐!P2849="应收",ISNUMBER(资金台帐!B2849),资金台帐!B2849&gt;=客户对账单!$G$4,资金台帐!B2849&lt;=客户对账单!$I$4),资金台帐!B2849+ROW()/100000,"")</f>
      </c>
    </row>
    <row r="5847">
      <c r="F5847">
        <f>IF(AND(资金台帐!J2850&lt;&gt;"",资金台帐!J2850=客户对账单!$B$4,资金台帐!P2850="应收",ISNUMBER(资金台帐!B2850),资金台帐!B2850&gt;=客户对账单!$G$4,资金台帐!B2850&lt;=客户对账单!$I$4),资金台帐!B2850+ROW()/100000,"")</f>
      </c>
    </row>
    <row r="5848">
      <c r="F5848">
        <f>IF(AND(资金台帐!J2851&lt;&gt;"",资金台帐!J2851=客户对账单!$B$4,资金台帐!P2851="应收",ISNUMBER(资金台帐!B2851),资金台帐!B2851&gt;=客户对账单!$G$4,资金台帐!B2851&lt;=客户对账单!$I$4),资金台帐!B2851+ROW()/100000,"")</f>
      </c>
    </row>
    <row r="5849">
      <c r="F5849">
        <f>IF(AND(资金台帐!J2852&lt;&gt;"",资金台帐!J2852=客户对账单!$B$4,资金台帐!P2852="应收",ISNUMBER(资金台帐!B2852),资金台帐!B2852&gt;=客户对账单!$G$4,资金台帐!B2852&lt;=客户对账单!$I$4),资金台帐!B2852+ROW()/100000,"")</f>
      </c>
    </row>
    <row r="5850">
      <c r="F5850">
        <f>IF(AND(资金台帐!J2853&lt;&gt;"",资金台帐!J2853=客户对账单!$B$4,资金台帐!P2853="应收",ISNUMBER(资金台帐!B2853),资金台帐!B2853&gt;=客户对账单!$G$4,资金台帐!B2853&lt;=客户对账单!$I$4),资金台帐!B2853+ROW()/100000,"")</f>
      </c>
    </row>
    <row r="5851">
      <c r="F5851">
        <f>IF(AND(资金台帐!J2854&lt;&gt;"",资金台帐!J2854=客户对账单!$B$4,资金台帐!P2854="应收",ISNUMBER(资金台帐!B2854),资金台帐!B2854&gt;=客户对账单!$G$4,资金台帐!B2854&lt;=客户对账单!$I$4),资金台帐!B2854+ROW()/100000,"")</f>
      </c>
    </row>
    <row r="5852">
      <c r="F5852">
        <f>IF(AND(资金台帐!J2855&lt;&gt;"",资金台帐!J2855=客户对账单!$B$4,资金台帐!P2855="应收",ISNUMBER(资金台帐!B2855),资金台帐!B2855&gt;=客户对账单!$G$4,资金台帐!B2855&lt;=客户对账单!$I$4),资金台帐!B2855+ROW()/100000,"")</f>
      </c>
    </row>
    <row r="5853">
      <c r="F5853">
        <f>IF(AND(资金台帐!J2856&lt;&gt;"",资金台帐!J2856=客户对账单!$B$4,资金台帐!P2856="应收",ISNUMBER(资金台帐!B2856),资金台帐!B2856&gt;=客户对账单!$G$4,资金台帐!B2856&lt;=客户对账单!$I$4),资金台帐!B2856+ROW()/100000,"")</f>
      </c>
    </row>
    <row r="5854">
      <c r="F5854">
        <f>IF(AND(资金台帐!J2857&lt;&gt;"",资金台帐!J2857=客户对账单!$B$4,资金台帐!P2857="应收",ISNUMBER(资金台帐!B2857),资金台帐!B2857&gt;=客户对账单!$G$4,资金台帐!B2857&lt;=客户对账单!$I$4),资金台帐!B2857+ROW()/100000,"")</f>
      </c>
    </row>
    <row r="5855">
      <c r="F5855">
        <f>IF(AND(资金台帐!J2858&lt;&gt;"",资金台帐!J2858=客户对账单!$B$4,资金台帐!P2858="应收",ISNUMBER(资金台帐!B2858),资金台帐!B2858&gt;=客户对账单!$G$4,资金台帐!B2858&lt;=客户对账单!$I$4),资金台帐!B2858+ROW()/100000,"")</f>
      </c>
    </row>
    <row r="5856">
      <c r="F5856">
        <f>IF(AND(资金台帐!J2859&lt;&gt;"",资金台帐!J2859=客户对账单!$B$4,资金台帐!P2859="应收",ISNUMBER(资金台帐!B2859),资金台帐!B2859&gt;=客户对账单!$G$4,资金台帐!B2859&lt;=客户对账单!$I$4),资金台帐!B2859+ROW()/100000,"")</f>
      </c>
    </row>
    <row r="5857">
      <c r="F5857">
        <f>IF(AND(资金台帐!J2860&lt;&gt;"",资金台帐!J2860=客户对账单!$B$4,资金台帐!P2860="应收",ISNUMBER(资金台帐!B2860),资金台帐!B2860&gt;=客户对账单!$G$4,资金台帐!B2860&lt;=客户对账单!$I$4),资金台帐!B2860+ROW()/100000,"")</f>
      </c>
    </row>
    <row r="5858">
      <c r="F5858">
        <f>IF(AND(资金台帐!J2861&lt;&gt;"",资金台帐!J2861=客户对账单!$B$4,资金台帐!P2861="应收",ISNUMBER(资金台帐!B2861),资金台帐!B2861&gt;=客户对账单!$G$4,资金台帐!B2861&lt;=客户对账单!$I$4),资金台帐!B2861+ROW()/100000,"")</f>
      </c>
    </row>
    <row r="5859">
      <c r="F5859">
        <f>IF(AND(资金台帐!J2862&lt;&gt;"",资金台帐!J2862=客户对账单!$B$4,资金台帐!P2862="应收",ISNUMBER(资金台帐!B2862),资金台帐!B2862&gt;=客户对账单!$G$4,资金台帐!B2862&lt;=客户对账单!$I$4),资金台帐!B2862+ROW()/100000,"")</f>
      </c>
    </row>
    <row r="5860">
      <c r="F5860">
        <f>IF(AND(资金台帐!J2863&lt;&gt;"",资金台帐!J2863=客户对账单!$B$4,资金台帐!P2863="应收",ISNUMBER(资金台帐!B2863),资金台帐!B2863&gt;=客户对账单!$G$4,资金台帐!B2863&lt;=客户对账单!$I$4),资金台帐!B2863+ROW()/100000,"")</f>
      </c>
    </row>
    <row r="5861">
      <c r="F5861">
        <f>IF(AND(资金台帐!J2864&lt;&gt;"",资金台帐!J2864=客户对账单!$B$4,资金台帐!P2864="应收",ISNUMBER(资金台帐!B2864),资金台帐!B2864&gt;=客户对账单!$G$4,资金台帐!B2864&lt;=客户对账单!$I$4),资金台帐!B2864+ROW()/100000,"")</f>
      </c>
    </row>
    <row r="5862">
      <c r="F5862">
        <f>IF(AND(资金台帐!J2865&lt;&gt;"",资金台帐!J2865=客户对账单!$B$4,资金台帐!P2865="应收",ISNUMBER(资金台帐!B2865),资金台帐!B2865&gt;=客户对账单!$G$4,资金台帐!B2865&lt;=客户对账单!$I$4),资金台帐!B2865+ROW()/100000,"")</f>
      </c>
    </row>
    <row r="5863">
      <c r="F5863">
        <f>IF(AND(资金台帐!J2866&lt;&gt;"",资金台帐!J2866=客户对账单!$B$4,资金台帐!P2866="应收",ISNUMBER(资金台帐!B2866),资金台帐!B2866&gt;=客户对账单!$G$4,资金台帐!B2866&lt;=客户对账单!$I$4),资金台帐!B2866+ROW()/100000,"")</f>
      </c>
    </row>
    <row r="5864">
      <c r="F5864">
        <f>IF(AND(资金台帐!J2867&lt;&gt;"",资金台帐!J2867=客户对账单!$B$4,资金台帐!P2867="应收",ISNUMBER(资金台帐!B2867),资金台帐!B2867&gt;=客户对账单!$G$4,资金台帐!B2867&lt;=客户对账单!$I$4),资金台帐!B2867+ROW()/100000,"")</f>
      </c>
    </row>
    <row r="5865">
      <c r="F5865">
        <f>IF(AND(资金台帐!J2868&lt;&gt;"",资金台帐!J2868=客户对账单!$B$4,资金台帐!P2868="应收",ISNUMBER(资金台帐!B2868),资金台帐!B2868&gt;=客户对账单!$G$4,资金台帐!B2868&lt;=客户对账单!$I$4),资金台帐!B2868+ROW()/100000,"")</f>
      </c>
    </row>
    <row r="5866">
      <c r="F5866">
        <f>IF(AND(资金台帐!J2869&lt;&gt;"",资金台帐!J2869=客户对账单!$B$4,资金台帐!P2869="应收",ISNUMBER(资金台帐!B2869),资金台帐!B2869&gt;=客户对账单!$G$4,资金台帐!B2869&lt;=客户对账单!$I$4),资金台帐!B2869+ROW()/100000,"")</f>
      </c>
    </row>
    <row r="5867">
      <c r="F5867">
        <f>IF(AND(资金台帐!J2870&lt;&gt;"",资金台帐!J2870=客户对账单!$B$4,资金台帐!P2870="应收",ISNUMBER(资金台帐!B2870),资金台帐!B2870&gt;=客户对账单!$G$4,资金台帐!B2870&lt;=客户对账单!$I$4),资金台帐!B2870+ROW()/100000,"")</f>
      </c>
    </row>
    <row r="5868">
      <c r="F5868">
        <f>IF(AND(资金台帐!J2871&lt;&gt;"",资金台帐!J2871=客户对账单!$B$4,资金台帐!P2871="应收",ISNUMBER(资金台帐!B2871),资金台帐!B2871&gt;=客户对账单!$G$4,资金台帐!B2871&lt;=客户对账单!$I$4),资金台帐!B2871+ROW()/100000,"")</f>
      </c>
    </row>
    <row r="5869">
      <c r="F5869">
        <f>IF(AND(资金台帐!J2872&lt;&gt;"",资金台帐!J2872=客户对账单!$B$4,资金台帐!P2872="应收",ISNUMBER(资金台帐!B2872),资金台帐!B2872&gt;=客户对账单!$G$4,资金台帐!B2872&lt;=客户对账单!$I$4),资金台帐!B2872+ROW()/100000,"")</f>
      </c>
    </row>
    <row r="5870">
      <c r="F5870">
        <f>IF(AND(资金台帐!J2873&lt;&gt;"",资金台帐!J2873=客户对账单!$B$4,资金台帐!P2873="应收",ISNUMBER(资金台帐!B2873),资金台帐!B2873&gt;=客户对账单!$G$4,资金台帐!B2873&lt;=客户对账单!$I$4),资金台帐!B2873+ROW()/100000,"")</f>
      </c>
    </row>
    <row r="5871">
      <c r="F5871">
        <f>IF(AND(资金台帐!J2874&lt;&gt;"",资金台帐!J2874=客户对账单!$B$4,资金台帐!P2874="应收",ISNUMBER(资金台帐!B2874),资金台帐!B2874&gt;=客户对账单!$G$4,资金台帐!B2874&lt;=客户对账单!$I$4),资金台帐!B2874+ROW()/100000,"")</f>
      </c>
    </row>
    <row r="5872">
      <c r="F5872">
        <f>IF(AND(资金台帐!J2875&lt;&gt;"",资金台帐!J2875=客户对账单!$B$4,资金台帐!P2875="应收",ISNUMBER(资金台帐!B2875),资金台帐!B2875&gt;=客户对账单!$G$4,资金台帐!B2875&lt;=客户对账单!$I$4),资金台帐!B2875+ROW()/100000,"")</f>
      </c>
    </row>
    <row r="5873">
      <c r="F5873">
        <f>IF(AND(资金台帐!J2876&lt;&gt;"",资金台帐!J2876=客户对账单!$B$4,资金台帐!P2876="应收",ISNUMBER(资金台帐!B2876),资金台帐!B2876&gt;=客户对账单!$G$4,资金台帐!B2876&lt;=客户对账单!$I$4),资金台帐!B2876+ROW()/100000,"")</f>
      </c>
    </row>
    <row r="5874">
      <c r="F5874">
        <f>IF(AND(资金台帐!J2877&lt;&gt;"",资金台帐!J2877=客户对账单!$B$4,资金台帐!P2877="应收",ISNUMBER(资金台帐!B2877),资金台帐!B2877&gt;=客户对账单!$G$4,资金台帐!B2877&lt;=客户对账单!$I$4),资金台帐!B2877+ROW()/100000,"")</f>
      </c>
    </row>
    <row r="5875">
      <c r="F5875">
        <f>IF(AND(资金台帐!J2878&lt;&gt;"",资金台帐!J2878=客户对账单!$B$4,资金台帐!P2878="应收",ISNUMBER(资金台帐!B2878),资金台帐!B2878&gt;=客户对账单!$G$4,资金台帐!B2878&lt;=客户对账单!$I$4),资金台帐!B2878+ROW()/100000,"")</f>
      </c>
    </row>
    <row r="5876">
      <c r="F5876">
        <f>IF(AND(资金台帐!J2879&lt;&gt;"",资金台帐!J2879=客户对账单!$B$4,资金台帐!P2879="应收",ISNUMBER(资金台帐!B2879),资金台帐!B2879&gt;=客户对账单!$G$4,资金台帐!B2879&lt;=客户对账单!$I$4),资金台帐!B2879+ROW()/100000,"")</f>
      </c>
    </row>
    <row r="5877">
      <c r="F5877">
        <f>IF(AND(资金台帐!J2880&lt;&gt;"",资金台帐!J2880=客户对账单!$B$4,资金台帐!P2880="应收",ISNUMBER(资金台帐!B2880),资金台帐!B2880&gt;=客户对账单!$G$4,资金台帐!B2880&lt;=客户对账单!$I$4),资金台帐!B2880+ROW()/100000,"")</f>
      </c>
    </row>
    <row r="5878">
      <c r="F5878">
        <f>IF(AND(资金台帐!J2881&lt;&gt;"",资金台帐!J2881=客户对账单!$B$4,资金台帐!P2881="应收",ISNUMBER(资金台帐!B2881),资金台帐!B2881&gt;=客户对账单!$G$4,资金台帐!B2881&lt;=客户对账单!$I$4),资金台帐!B2881+ROW()/100000,"")</f>
      </c>
    </row>
    <row r="5879">
      <c r="F5879">
        <f>IF(AND(资金台帐!J2882&lt;&gt;"",资金台帐!J2882=客户对账单!$B$4,资金台帐!P2882="应收",ISNUMBER(资金台帐!B2882),资金台帐!B2882&gt;=客户对账单!$G$4,资金台帐!B2882&lt;=客户对账单!$I$4),资金台帐!B2882+ROW()/100000,"")</f>
      </c>
    </row>
    <row r="5880">
      <c r="F5880">
        <f>IF(AND(资金台帐!J2883&lt;&gt;"",资金台帐!J2883=客户对账单!$B$4,资金台帐!P2883="应收",ISNUMBER(资金台帐!B2883),资金台帐!B2883&gt;=客户对账单!$G$4,资金台帐!B2883&lt;=客户对账单!$I$4),资金台帐!B2883+ROW()/100000,"")</f>
      </c>
    </row>
    <row r="5881">
      <c r="F5881">
        <f>IF(AND(资金台帐!J2884&lt;&gt;"",资金台帐!J2884=客户对账单!$B$4,资金台帐!P2884="应收",ISNUMBER(资金台帐!B2884),资金台帐!B2884&gt;=客户对账单!$G$4,资金台帐!B2884&lt;=客户对账单!$I$4),资金台帐!B2884+ROW()/100000,"")</f>
      </c>
    </row>
    <row r="5882">
      <c r="F5882">
        <f>IF(AND(资金台帐!J2885&lt;&gt;"",资金台帐!J2885=客户对账单!$B$4,资金台帐!P2885="应收",ISNUMBER(资金台帐!B2885),资金台帐!B2885&gt;=客户对账单!$G$4,资金台帐!B2885&lt;=客户对账单!$I$4),资金台帐!B2885+ROW()/100000,"")</f>
      </c>
    </row>
    <row r="5883">
      <c r="F5883">
        <f>IF(AND(资金台帐!J2886&lt;&gt;"",资金台帐!J2886=客户对账单!$B$4,资金台帐!P2886="应收",ISNUMBER(资金台帐!B2886),资金台帐!B2886&gt;=客户对账单!$G$4,资金台帐!B2886&lt;=客户对账单!$I$4),资金台帐!B2886+ROW()/100000,"")</f>
      </c>
    </row>
    <row r="5884">
      <c r="F5884">
        <f>IF(AND(资金台帐!J2887&lt;&gt;"",资金台帐!J2887=客户对账单!$B$4,资金台帐!P2887="应收",ISNUMBER(资金台帐!B2887),资金台帐!B2887&gt;=客户对账单!$G$4,资金台帐!B2887&lt;=客户对账单!$I$4),资金台帐!B2887+ROW()/100000,"")</f>
      </c>
    </row>
    <row r="5885">
      <c r="F5885">
        <f>IF(AND(资金台帐!J2888&lt;&gt;"",资金台帐!J2888=客户对账单!$B$4,资金台帐!P2888="应收",ISNUMBER(资金台帐!B2888),资金台帐!B2888&gt;=客户对账单!$G$4,资金台帐!B2888&lt;=客户对账单!$I$4),资金台帐!B2888+ROW()/100000,"")</f>
      </c>
    </row>
    <row r="5886">
      <c r="F5886">
        <f>IF(AND(资金台帐!J2889&lt;&gt;"",资金台帐!J2889=客户对账单!$B$4,资金台帐!P2889="应收",ISNUMBER(资金台帐!B2889),资金台帐!B2889&gt;=客户对账单!$G$4,资金台帐!B2889&lt;=客户对账单!$I$4),资金台帐!B2889+ROW()/100000,"")</f>
      </c>
    </row>
    <row r="5887">
      <c r="F5887">
        <f>IF(AND(资金台帐!J2890&lt;&gt;"",资金台帐!J2890=客户对账单!$B$4,资金台帐!P2890="应收",ISNUMBER(资金台帐!B2890),资金台帐!B2890&gt;=客户对账单!$G$4,资金台帐!B2890&lt;=客户对账单!$I$4),资金台帐!B2890+ROW()/100000,"")</f>
      </c>
    </row>
    <row r="5888">
      <c r="F5888">
        <f>IF(AND(资金台帐!J2891&lt;&gt;"",资金台帐!J2891=客户对账单!$B$4,资金台帐!P2891="应收",ISNUMBER(资金台帐!B2891),资金台帐!B2891&gt;=客户对账单!$G$4,资金台帐!B2891&lt;=客户对账单!$I$4),资金台帐!B2891+ROW()/100000,"")</f>
      </c>
    </row>
    <row r="5889">
      <c r="F5889">
        <f>IF(AND(资金台帐!J2892&lt;&gt;"",资金台帐!J2892=客户对账单!$B$4,资金台帐!P2892="应收",ISNUMBER(资金台帐!B2892),资金台帐!B2892&gt;=客户对账单!$G$4,资金台帐!B2892&lt;=客户对账单!$I$4),资金台帐!B2892+ROW()/100000,"")</f>
      </c>
    </row>
    <row r="5890">
      <c r="F5890">
        <f>IF(AND(资金台帐!J2893&lt;&gt;"",资金台帐!J2893=客户对账单!$B$4,资金台帐!P2893="应收",ISNUMBER(资金台帐!B2893),资金台帐!B2893&gt;=客户对账单!$G$4,资金台帐!B2893&lt;=客户对账单!$I$4),资金台帐!B2893+ROW()/100000,"")</f>
      </c>
    </row>
    <row r="5891">
      <c r="F5891">
        <f>IF(AND(资金台帐!J2894&lt;&gt;"",资金台帐!J2894=客户对账单!$B$4,资金台帐!P2894="应收",ISNUMBER(资金台帐!B2894),资金台帐!B2894&gt;=客户对账单!$G$4,资金台帐!B2894&lt;=客户对账单!$I$4),资金台帐!B2894+ROW()/100000,"")</f>
      </c>
    </row>
    <row r="5892">
      <c r="F5892">
        <f>IF(AND(资金台帐!J2895&lt;&gt;"",资金台帐!J2895=客户对账单!$B$4,资金台帐!P2895="应收",ISNUMBER(资金台帐!B2895),资金台帐!B2895&gt;=客户对账单!$G$4,资金台帐!B2895&lt;=客户对账单!$I$4),资金台帐!B2895+ROW()/100000,"")</f>
      </c>
    </row>
    <row r="5893">
      <c r="F5893">
        <f>IF(AND(资金台帐!J2896&lt;&gt;"",资金台帐!J2896=客户对账单!$B$4,资金台帐!P2896="应收",ISNUMBER(资金台帐!B2896),资金台帐!B2896&gt;=客户对账单!$G$4,资金台帐!B2896&lt;=客户对账单!$I$4),资金台帐!B2896+ROW()/100000,"")</f>
      </c>
    </row>
    <row r="5894">
      <c r="F5894">
        <f>IF(AND(资金台帐!J2897&lt;&gt;"",资金台帐!J2897=客户对账单!$B$4,资金台帐!P2897="应收",ISNUMBER(资金台帐!B2897),资金台帐!B2897&gt;=客户对账单!$G$4,资金台帐!B2897&lt;=客户对账单!$I$4),资金台帐!B2897+ROW()/100000,"")</f>
      </c>
    </row>
    <row r="5895">
      <c r="F5895">
        <f>IF(AND(资金台帐!J2898&lt;&gt;"",资金台帐!J2898=客户对账单!$B$4,资金台帐!P2898="应收",ISNUMBER(资金台帐!B2898),资金台帐!B2898&gt;=客户对账单!$G$4,资金台帐!B2898&lt;=客户对账单!$I$4),资金台帐!B2898+ROW()/100000,"")</f>
      </c>
    </row>
    <row r="5896">
      <c r="F5896">
        <f>IF(AND(资金台帐!J2899&lt;&gt;"",资金台帐!J2899=客户对账单!$B$4,资金台帐!P2899="应收",ISNUMBER(资金台帐!B2899),资金台帐!B2899&gt;=客户对账单!$G$4,资金台帐!B2899&lt;=客户对账单!$I$4),资金台帐!B2899+ROW()/100000,"")</f>
      </c>
    </row>
    <row r="5897">
      <c r="F5897">
        <f>IF(AND(资金台帐!J2900&lt;&gt;"",资金台帐!J2900=客户对账单!$B$4,资金台帐!P2900="应收",ISNUMBER(资金台帐!B2900),资金台帐!B2900&gt;=客户对账单!$G$4,资金台帐!B2900&lt;=客户对账单!$I$4),资金台帐!B2900+ROW()/100000,"")</f>
      </c>
    </row>
    <row r="5898">
      <c r="F5898">
        <f>IF(AND(资金台帐!J2901&lt;&gt;"",资金台帐!J2901=客户对账单!$B$4,资金台帐!P2901="应收",ISNUMBER(资金台帐!B2901),资金台帐!B2901&gt;=客户对账单!$G$4,资金台帐!B2901&lt;=客户对账单!$I$4),资金台帐!B2901+ROW()/100000,"")</f>
      </c>
    </row>
    <row r="5899">
      <c r="F5899">
        <f>IF(AND(资金台帐!J2902&lt;&gt;"",资金台帐!J2902=客户对账单!$B$4,资金台帐!P2902="应收",ISNUMBER(资金台帐!B2902),资金台帐!B2902&gt;=客户对账单!$G$4,资金台帐!B2902&lt;=客户对账单!$I$4),资金台帐!B2902+ROW()/100000,"")</f>
      </c>
    </row>
    <row r="5900">
      <c r="F5900">
        <f>IF(AND(资金台帐!J2903&lt;&gt;"",资金台帐!J2903=客户对账单!$B$4,资金台帐!P2903="应收",ISNUMBER(资金台帐!B2903),资金台帐!B2903&gt;=客户对账单!$G$4,资金台帐!B2903&lt;=客户对账单!$I$4),资金台帐!B2903+ROW()/100000,"")</f>
      </c>
    </row>
    <row r="5901">
      <c r="F5901">
        <f>IF(AND(资金台帐!J2904&lt;&gt;"",资金台帐!J2904=客户对账单!$B$4,资金台帐!P2904="应收",ISNUMBER(资金台帐!B2904),资金台帐!B2904&gt;=客户对账单!$G$4,资金台帐!B2904&lt;=客户对账单!$I$4),资金台帐!B2904+ROW()/100000,"")</f>
      </c>
    </row>
    <row r="5902">
      <c r="F5902">
        <f>IF(AND(资金台帐!J2905&lt;&gt;"",资金台帐!J2905=客户对账单!$B$4,资金台帐!P2905="应收",ISNUMBER(资金台帐!B2905),资金台帐!B2905&gt;=客户对账单!$G$4,资金台帐!B2905&lt;=客户对账单!$I$4),资金台帐!B2905+ROW()/100000,"")</f>
      </c>
    </row>
    <row r="5903">
      <c r="F5903">
        <f>IF(AND(资金台帐!J2906&lt;&gt;"",资金台帐!J2906=客户对账单!$B$4,资金台帐!P2906="应收",ISNUMBER(资金台帐!B2906),资金台帐!B2906&gt;=客户对账单!$G$4,资金台帐!B2906&lt;=客户对账单!$I$4),资金台帐!B2906+ROW()/100000,"")</f>
      </c>
    </row>
    <row r="5904">
      <c r="F5904">
        <f>IF(AND(资金台帐!J2907&lt;&gt;"",资金台帐!J2907=客户对账单!$B$4,资金台帐!P2907="应收",ISNUMBER(资金台帐!B2907),资金台帐!B2907&gt;=客户对账单!$G$4,资金台帐!B2907&lt;=客户对账单!$I$4),资金台帐!B2907+ROW()/100000,"")</f>
      </c>
    </row>
    <row r="5905">
      <c r="F5905">
        <f>IF(AND(资金台帐!J2908&lt;&gt;"",资金台帐!J2908=客户对账单!$B$4,资金台帐!P2908="应收",ISNUMBER(资金台帐!B2908),资金台帐!B2908&gt;=客户对账单!$G$4,资金台帐!B2908&lt;=客户对账单!$I$4),资金台帐!B2908+ROW()/100000,"")</f>
      </c>
    </row>
    <row r="5906">
      <c r="F5906">
        <f>IF(AND(资金台帐!J2909&lt;&gt;"",资金台帐!J2909=客户对账单!$B$4,资金台帐!P2909="应收",ISNUMBER(资金台帐!B2909),资金台帐!B2909&gt;=客户对账单!$G$4,资金台帐!B2909&lt;=客户对账单!$I$4),资金台帐!B2909+ROW()/100000,"")</f>
      </c>
    </row>
    <row r="5907">
      <c r="F5907">
        <f>IF(AND(资金台帐!J2910&lt;&gt;"",资金台帐!J2910=客户对账单!$B$4,资金台帐!P2910="应收",ISNUMBER(资金台帐!B2910),资金台帐!B2910&gt;=客户对账单!$G$4,资金台帐!B2910&lt;=客户对账单!$I$4),资金台帐!B2910+ROW()/100000,"")</f>
      </c>
    </row>
    <row r="5908">
      <c r="F5908">
        <f>IF(AND(资金台帐!J2911&lt;&gt;"",资金台帐!J2911=客户对账单!$B$4,资金台帐!P2911="应收",ISNUMBER(资金台帐!B2911),资金台帐!B2911&gt;=客户对账单!$G$4,资金台帐!B2911&lt;=客户对账单!$I$4),资金台帐!B2911+ROW()/100000,"")</f>
      </c>
    </row>
    <row r="5909">
      <c r="F5909">
        <f>IF(AND(资金台帐!J2912&lt;&gt;"",资金台帐!J2912=客户对账单!$B$4,资金台帐!P2912="应收",ISNUMBER(资金台帐!B2912),资金台帐!B2912&gt;=客户对账单!$G$4,资金台帐!B2912&lt;=客户对账单!$I$4),资金台帐!B2912+ROW()/100000,"")</f>
      </c>
    </row>
    <row r="5910">
      <c r="F5910">
        <f>IF(AND(资金台帐!J2913&lt;&gt;"",资金台帐!J2913=客户对账单!$B$4,资金台帐!P2913="应收",ISNUMBER(资金台帐!B2913),资金台帐!B2913&gt;=客户对账单!$G$4,资金台帐!B2913&lt;=客户对账单!$I$4),资金台帐!B2913+ROW()/100000,"")</f>
      </c>
    </row>
    <row r="5911">
      <c r="F5911">
        <f>IF(AND(资金台帐!J2914&lt;&gt;"",资金台帐!J2914=客户对账单!$B$4,资金台帐!P2914="应收",ISNUMBER(资金台帐!B2914),资金台帐!B2914&gt;=客户对账单!$G$4,资金台帐!B2914&lt;=客户对账单!$I$4),资金台帐!B2914+ROW()/100000,"")</f>
      </c>
    </row>
    <row r="5912">
      <c r="F5912">
        <f>IF(AND(资金台帐!J2915&lt;&gt;"",资金台帐!J2915=客户对账单!$B$4,资金台帐!P2915="应收",ISNUMBER(资金台帐!B2915),资金台帐!B2915&gt;=客户对账单!$G$4,资金台帐!B2915&lt;=客户对账单!$I$4),资金台帐!B2915+ROW()/100000,"")</f>
      </c>
    </row>
    <row r="5913">
      <c r="F5913">
        <f>IF(AND(资金台帐!J2916&lt;&gt;"",资金台帐!J2916=客户对账单!$B$4,资金台帐!P2916="应收",ISNUMBER(资金台帐!B2916),资金台帐!B2916&gt;=客户对账单!$G$4,资金台帐!B2916&lt;=客户对账单!$I$4),资金台帐!B2916+ROW()/100000,"")</f>
      </c>
    </row>
    <row r="5914">
      <c r="F5914">
        <f>IF(AND(资金台帐!J2917&lt;&gt;"",资金台帐!J2917=客户对账单!$B$4,资金台帐!P2917="应收",ISNUMBER(资金台帐!B2917),资金台帐!B2917&gt;=客户对账单!$G$4,资金台帐!B2917&lt;=客户对账单!$I$4),资金台帐!B2917+ROW()/100000,"")</f>
      </c>
    </row>
    <row r="5915">
      <c r="F5915">
        <f>IF(AND(资金台帐!J2918&lt;&gt;"",资金台帐!J2918=客户对账单!$B$4,资金台帐!P2918="应收",ISNUMBER(资金台帐!B2918),资金台帐!B2918&gt;=客户对账单!$G$4,资金台帐!B2918&lt;=客户对账单!$I$4),资金台帐!B2918+ROW()/100000,"")</f>
      </c>
    </row>
    <row r="5916">
      <c r="F5916">
        <f>IF(AND(资金台帐!J2919&lt;&gt;"",资金台帐!J2919=客户对账单!$B$4,资金台帐!P2919="应收",ISNUMBER(资金台帐!B2919),资金台帐!B2919&gt;=客户对账单!$G$4,资金台帐!B2919&lt;=客户对账单!$I$4),资金台帐!B2919+ROW()/100000,"")</f>
      </c>
    </row>
    <row r="5917">
      <c r="F5917">
        <f>IF(AND(资金台帐!J2920&lt;&gt;"",资金台帐!J2920=客户对账单!$B$4,资金台帐!P2920="应收",ISNUMBER(资金台帐!B2920),资金台帐!B2920&gt;=客户对账单!$G$4,资金台帐!B2920&lt;=客户对账单!$I$4),资金台帐!B2920+ROW()/100000,"")</f>
      </c>
    </row>
    <row r="5918">
      <c r="F5918">
        <f>IF(AND(资金台帐!J2921&lt;&gt;"",资金台帐!J2921=客户对账单!$B$4,资金台帐!P2921="应收",ISNUMBER(资金台帐!B2921),资金台帐!B2921&gt;=客户对账单!$G$4,资金台帐!B2921&lt;=客户对账单!$I$4),资金台帐!B2921+ROW()/100000,"")</f>
      </c>
    </row>
    <row r="5919">
      <c r="F5919">
        <f>IF(AND(资金台帐!J2922&lt;&gt;"",资金台帐!J2922=客户对账单!$B$4,资金台帐!P2922="应收",ISNUMBER(资金台帐!B2922),资金台帐!B2922&gt;=客户对账单!$G$4,资金台帐!B2922&lt;=客户对账单!$I$4),资金台帐!B2922+ROW()/100000,"")</f>
      </c>
    </row>
    <row r="5920">
      <c r="F5920">
        <f>IF(AND(资金台帐!J2923&lt;&gt;"",资金台帐!J2923=客户对账单!$B$4,资金台帐!P2923="应收",ISNUMBER(资金台帐!B2923),资金台帐!B2923&gt;=客户对账单!$G$4,资金台帐!B2923&lt;=客户对账单!$I$4),资金台帐!B2923+ROW()/100000,"")</f>
      </c>
    </row>
    <row r="5921">
      <c r="F5921">
        <f>IF(AND(资金台帐!J2924&lt;&gt;"",资金台帐!J2924=客户对账单!$B$4,资金台帐!P2924="应收",ISNUMBER(资金台帐!B2924),资金台帐!B2924&gt;=客户对账单!$G$4,资金台帐!B2924&lt;=客户对账单!$I$4),资金台帐!B2924+ROW()/100000,"")</f>
      </c>
    </row>
    <row r="5922">
      <c r="F5922">
        <f>IF(AND(资金台帐!J2925&lt;&gt;"",资金台帐!J2925=客户对账单!$B$4,资金台帐!P2925="应收",ISNUMBER(资金台帐!B2925),资金台帐!B2925&gt;=客户对账单!$G$4,资金台帐!B2925&lt;=客户对账单!$I$4),资金台帐!B2925+ROW()/100000,"")</f>
      </c>
    </row>
    <row r="5923">
      <c r="F5923">
        <f>IF(AND(资金台帐!J2926&lt;&gt;"",资金台帐!J2926=客户对账单!$B$4,资金台帐!P2926="应收",ISNUMBER(资金台帐!B2926),资金台帐!B2926&gt;=客户对账单!$G$4,资金台帐!B2926&lt;=客户对账单!$I$4),资金台帐!B2926+ROW()/100000,"")</f>
      </c>
    </row>
    <row r="5924">
      <c r="F5924">
        <f>IF(AND(资金台帐!J2927&lt;&gt;"",资金台帐!J2927=客户对账单!$B$4,资金台帐!P2927="应收",ISNUMBER(资金台帐!B2927),资金台帐!B2927&gt;=客户对账单!$G$4,资金台帐!B2927&lt;=客户对账单!$I$4),资金台帐!B2927+ROW()/100000,"")</f>
      </c>
    </row>
    <row r="5925">
      <c r="F5925">
        <f>IF(AND(资金台帐!J2928&lt;&gt;"",资金台帐!J2928=客户对账单!$B$4,资金台帐!P2928="应收",ISNUMBER(资金台帐!B2928),资金台帐!B2928&gt;=客户对账单!$G$4,资金台帐!B2928&lt;=客户对账单!$I$4),资金台帐!B2928+ROW()/100000,"")</f>
      </c>
    </row>
    <row r="5926">
      <c r="F5926">
        <f>IF(AND(资金台帐!J2929&lt;&gt;"",资金台帐!J2929=客户对账单!$B$4,资金台帐!P2929="应收",ISNUMBER(资金台帐!B2929),资金台帐!B2929&gt;=客户对账单!$G$4,资金台帐!B2929&lt;=客户对账单!$I$4),资金台帐!B2929+ROW()/100000,"")</f>
      </c>
    </row>
    <row r="5927">
      <c r="F5927">
        <f>IF(AND(资金台帐!J2930&lt;&gt;"",资金台帐!J2930=客户对账单!$B$4,资金台帐!P2930="应收",ISNUMBER(资金台帐!B2930),资金台帐!B2930&gt;=客户对账单!$G$4,资金台帐!B2930&lt;=客户对账单!$I$4),资金台帐!B2930+ROW()/100000,"")</f>
      </c>
    </row>
    <row r="5928">
      <c r="F5928">
        <f>IF(AND(资金台帐!J2931&lt;&gt;"",资金台帐!J2931=客户对账单!$B$4,资金台帐!P2931="应收",ISNUMBER(资金台帐!B2931),资金台帐!B2931&gt;=客户对账单!$G$4,资金台帐!B2931&lt;=客户对账单!$I$4),资金台帐!B2931+ROW()/100000,"")</f>
      </c>
    </row>
    <row r="5929">
      <c r="F5929">
        <f>IF(AND(资金台帐!J2932&lt;&gt;"",资金台帐!J2932=客户对账单!$B$4,资金台帐!P2932="应收",ISNUMBER(资金台帐!B2932),资金台帐!B2932&gt;=客户对账单!$G$4,资金台帐!B2932&lt;=客户对账单!$I$4),资金台帐!B2932+ROW()/100000,"")</f>
      </c>
    </row>
    <row r="5930">
      <c r="F5930">
        <f>IF(AND(资金台帐!J2933&lt;&gt;"",资金台帐!J2933=客户对账单!$B$4,资金台帐!P2933="应收",ISNUMBER(资金台帐!B2933),资金台帐!B2933&gt;=客户对账单!$G$4,资金台帐!B2933&lt;=客户对账单!$I$4),资金台帐!B2933+ROW()/100000,"")</f>
      </c>
    </row>
    <row r="5931">
      <c r="F5931">
        <f>IF(AND(资金台帐!J2934&lt;&gt;"",资金台帐!J2934=客户对账单!$B$4,资金台帐!P2934="应收",ISNUMBER(资金台帐!B2934),资金台帐!B2934&gt;=客户对账单!$G$4,资金台帐!B2934&lt;=客户对账单!$I$4),资金台帐!B2934+ROW()/100000,"")</f>
      </c>
    </row>
    <row r="5932">
      <c r="F5932">
        <f>IF(AND(资金台帐!J2935&lt;&gt;"",资金台帐!J2935=客户对账单!$B$4,资金台帐!P2935="应收",ISNUMBER(资金台帐!B2935),资金台帐!B2935&gt;=客户对账单!$G$4,资金台帐!B2935&lt;=客户对账单!$I$4),资金台帐!B2935+ROW()/100000,"")</f>
      </c>
    </row>
    <row r="5933">
      <c r="F5933">
        <f>IF(AND(资金台帐!J2936&lt;&gt;"",资金台帐!J2936=客户对账单!$B$4,资金台帐!P2936="应收",ISNUMBER(资金台帐!B2936),资金台帐!B2936&gt;=客户对账单!$G$4,资金台帐!B2936&lt;=客户对账单!$I$4),资金台帐!B2936+ROW()/100000,"")</f>
      </c>
    </row>
    <row r="5934">
      <c r="F5934">
        <f>IF(AND(资金台帐!J2937&lt;&gt;"",资金台帐!J2937=客户对账单!$B$4,资金台帐!P2937="应收",ISNUMBER(资金台帐!B2937),资金台帐!B2937&gt;=客户对账单!$G$4,资金台帐!B2937&lt;=客户对账单!$I$4),资金台帐!B2937+ROW()/100000,"")</f>
      </c>
    </row>
    <row r="5935">
      <c r="F5935">
        <f>IF(AND(资金台帐!J2938&lt;&gt;"",资金台帐!J2938=客户对账单!$B$4,资金台帐!P2938="应收",ISNUMBER(资金台帐!B2938),资金台帐!B2938&gt;=客户对账单!$G$4,资金台帐!B2938&lt;=客户对账单!$I$4),资金台帐!B2938+ROW()/100000,"")</f>
      </c>
    </row>
    <row r="5936">
      <c r="F5936">
        <f>IF(AND(资金台帐!J2939&lt;&gt;"",资金台帐!J2939=客户对账单!$B$4,资金台帐!P2939="应收",ISNUMBER(资金台帐!B2939),资金台帐!B2939&gt;=客户对账单!$G$4,资金台帐!B2939&lt;=客户对账单!$I$4),资金台帐!B2939+ROW()/100000,"")</f>
      </c>
    </row>
    <row r="5937">
      <c r="F5937">
        <f>IF(AND(资金台帐!J2940&lt;&gt;"",资金台帐!J2940=客户对账单!$B$4,资金台帐!P2940="应收",ISNUMBER(资金台帐!B2940),资金台帐!B2940&gt;=客户对账单!$G$4,资金台帐!B2940&lt;=客户对账单!$I$4),资金台帐!B2940+ROW()/100000,"")</f>
      </c>
    </row>
    <row r="5938">
      <c r="F5938">
        <f>IF(AND(资金台帐!J2941&lt;&gt;"",资金台帐!J2941=客户对账单!$B$4,资金台帐!P2941="应收",ISNUMBER(资金台帐!B2941),资金台帐!B2941&gt;=客户对账单!$G$4,资金台帐!B2941&lt;=客户对账单!$I$4),资金台帐!B2941+ROW()/100000,"")</f>
      </c>
    </row>
    <row r="5939">
      <c r="F5939">
        <f>IF(AND(资金台帐!J2942&lt;&gt;"",资金台帐!J2942=客户对账单!$B$4,资金台帐!P2942="应收",ISNUMBER(资金台帐!B2942),资金台帐!B2942&gt;=客户对账单!$G$4,资金台帐!B2942&lt;=客户对账单!$I$4),资金台帐!B2942+ROW()/100000,"")</f>
      </c>
    </row>
    <row r="5940">
      <c r="F5940">
        <f>IF(AND(资金台帐!J2943&lt;&gt;"",资金台帐!J2943=客户对账单!$B$4,资金台帐!P2943="应收",ISNUMBER(资金台帐!B2943),资金台帐!B2943&gt;=客户对账单!$G$4,资金台帐!B2943&lt;=客户对账单!$I$4),资金台帐!B2943+ROW()/100000,"")</f>
      </c>
    </row>
    <row r="5941">
      <c r="F5941">
        <f>IF(AND(资金台帐!J2944&lt;&gt;"",资金台帐!J2944=客户对账单!$B$4,资金台帐!P2944="应收",ISNUMBER(资金台帐!B2944),资金台帐!B2944&gt;=客户对账单!$G$4,资金台帐!B2944&lt;=客户对账单!$I$4),资金台帐!B2944+ROW()/100000,"")</f>
      </c>
    </row>
    <row r="5942">
      <c r="F5942">
        <f>IF(AND(资金台帐!J2945&lt;&gt;"",资金台帐!J2945=客户对账单!$B$4,资金台帐!P2945="应收",ISNUMBER(资金台帐!B2945),资金台帐!B2945&gt;=客户对账单!$G$4,资金台帐!B2945&lt;=客户对账单!$I$4),资金台帐!B2945+ROW()/100000,"")</f>
      </c>
    </row>
    <row r="5943">
      <c r="F5943">
        <f>IF(AND(资金台帐!J2946&lt;&gt;"",资金台帐!J2946=客户对账单!$B$4,资金台帐!P2946="应收",ISNUMBER(资金台帐!B2946),资金台帐!B2946&gt;=客户对账单!$G$4,资金台帐!B2946&lt;=客户对账单!$I$4),资金台帐!B2946+ROW()/100000,"")</f>
      </c>
    </row>
    <row r="5944">
      <c r="F5944">
        <f>IF(AND(资金台帐!J2947&lt;&gt;"",资金台帐!J2947=客户对账单!$B$4,资金台帐!P2947="应收",ISNUMBER(资金台帐!B2947),资金台帐!B2947&gt;=客户对账单!$G$4,资金台帐!B2947&lt;=客户对账单!$I$4),资金台帐!B2947+ROW()/100000,"")</f>
      </c>
    </row>
    <row r="5945">
      <c r="F5945">
        <f>IF(AND(资金台帐!J2948&lt;&gt;"",资金台帐!J2948=客户对账单!$B$4,资金台帐!P2948="应收",ISNUMBER(资金台帐!B2948),资金台帐!B2948&gt;=客户对账单!$G$4,资金台帐!B2948&lt;=客户对账单!$I$4),资金台帐!B2948+ROW()/100000,"")</f>
      </c>
    </row>
    <row r="5946">
      <c r="F5946">
        <f>IF(AND(资金台帐!J2949&lt;&gt;"",资金台帐!J2949=客户对账单!$B$4,资金台帐!P2949="应收",ISNUMBER(资金台帐!B2949),资金台帐!B2949&gt;=客户对账单!$G$4,资金台帐!B2949&lt;=客户对账单!$I$4),资金台帐!B2949+ROW()/100000,"")</f>
      </c>
    </row>
    <row r="5947">
      <c r="F5947">
        <f>IF(AND(资金台帐!J2950&lt;&gt;"",资金台帐!J2950=客户对账单!$B$4,资金台帐!P2950="应收",ISNUMBER(资金台帐!B2950),资金台帐!B2950&gt;=客户对账单!$G$4,资金台帐!B2950&lt;=客户对账单!$I$4),资金台帐!B2950+ROW()/100000,"")</f>
      </c>
    </row>
    <row r="5948">
      <c r="F5948">
        <f>IF(AND(资金台帐!J2951&lt;&gt;"",资金台帐!J2951=客户对账单!$B$4,资金台帐!P2951="应收",ISNUMBER(资金台帐!B2951),资金台帐!B2951&gt;=客户对账单!$G$4,资金台帐!B2951&lt;=客户对账单!$I$4),资金台帐!B2951+ROW()/100000,"")</f>
      </c>
    </row>
    <row r="5949">
      <c r="F5949">
        <f>IF(AND(资金台帐!J2952&lt;&gt;"",资金台帐!J2952=客户对账单!$B$4,资金台帐!P2952="应收",ISNUMBER(资金台帐!B2952),资金台帐!B2952&gt;=客户对账单!$G$4,资金台帐!B2952&lt;=客户对账单!$I$4),资金台帐!B2952+ROW()/100000,"")</f>
      </c>
    </row>
    <row r="5950">
      <c r="F5950">
        <f>IF(AND(资金台帐!J2953&lt;&gt;"",资金台帐!J2953=客户对账单!$B$4,资金台帐!P2953="应收",ISNUMBER(资金台帐!B2953),资金台帐!B2953&gt;=客户对账单!$G$4,资金台帐!B2953&lt;=客户对账单!$I$4),资金台帐!B2953+ROW()/100000,"")</f>
      </c>
    </row>
    <row r="5951">
      <c r="F5951">
        <f>IF(AND(资金台帐!J2954&lt;&gt;"",资金台帐!J2954=客户对账单!$B$4,资金台帐!P2954="应收",ISNUMBER(资金台帐!B2954),资金台帐!B2954&gt;=客户对账单!$G$4,资金台帐!B2954&lt;=客户对账单!$I$4),资金台帐!B2954+ROW()/100000,"")</f>
      </c>
    </row>
    <row r="5952">
      <c r="F5952">
        <f>IF(AND(资金台帐!J2955&lt;&gt;"",资金台帐!J2955=客户对账单!$B$4,资金台帐!P2955="应收",ISNUMBER(资金台帐!B2955),资金台帐!B2955&gt;=客户对账单!$G$4,资金台帐!B2955&lt;=客户对账单!$I$4),资金台帐!B2955+ROW()/100000,"")</f>
      </c>
    </row>
    <row r="5953">
      <c r="F5953">
        <f>IF(AND(资金台帐!J2956&lt;&gt;"",资金台帐!J2956=客户对账单!$B$4,资金台帐!P2956="应收",ISNUMBER(资金台帐!B2956),资金台帐!B2956&gt;=客户对账单!$G$4,资金台帐!B2956&lt;=客户对账单!$I$4),资金台帐!B2956+ROW()/100000,"")</f>
      </c>
    </row>
    <row r="5954">
      <c r="F5954">
        <f>IF(AND(资金台帐!J2957&lt;&gt;"",资金台帐!J2957=客户对账单!$B$4,资金台帐!P2957="应收",ISNUMBER(资金台帐!B2957),资金台帐!B2957&gt;=客户对账单!$G$4,资金台帐!B2957&lt;=客户对账单!$I$4),资金台帐!B2957+ROW()/100000,"")</f>
      </c>
    </row>
    <row r="5955">
      <c r="F5955">
        <f>IF(AND(资金台帐!J2958&lt;&gt;"",资金台帐!J2958=客户对账单!$B$4,资金台帐!P2958="应收",ISNUMBER(资金台帐!B2958),资金台帐!B2958&gt;=客户对账单!$G$4,资金台帐!B2958&lt;=客户对账单!$I$4),资金台帐!B2958+ROW()/100000,"")</f>
      </c>
    </row>
    <row r="5956">
      <c r="F5956">
        <f>IF(AND(资金台帐!J2959&lt;&gt;"",资金台帐!J2959=客户对账单!$B$4,资金台帐!P2959="应收",ISNUMBER(资金台帐!B2959),资金台帐!B2959&gt;=客户对账单!$G$4,资金台帐!B2959&lt;=客户对账单!$I$4),资金台帐!B2959+ROW()/100000,"")</f>
      </c>
    </row>
    <row r="5957">
      <c r="F5957">
        <f>IF(AND(资金台帐!J2960&lt;&gt;"",资金台帐!J2960=客户对账单!$B$4,资金台帐!P2960="应收",ISNUMBER(资金台帐!B2960),资金台帐!B2960&gt;=客户对账单!$G$4,资金台帐!B2960&lt;=客户对账单!$I$4),资金台帐!B2960+ROW()/100000,"")</f>
      </c>
    </row>
    <row r="5958">
      <c r="F5958">
        <f>IF(AND(资金台帐!J2961&lt;&gt;"",资金台帐!J2961=客户对账单!$B$4,资金台帐!P2961="应收",ISNUMBER(资金台帐!B2961),资金台帐!B2961&gt;=客户对账单!$G$4,资金台帐!B2961&lt;=客户对账单!$I$4),资金台帐!B2961+ROW()/100000,"")</f>
      </c>
    </row>
    <row r="5959">
      <c r="F5959">
        <f>IF(AND(资金台帐!J2962&lt;&gt;"",资金台帐!J2962=客户对账单!$B$4,资金台帐!P2962="应收",ISNUMBER(资金台帐!B2962),资金台帐!B2962&gt;=客户对账单!$G$4,资金台帐!B2962&lt;=客户对账单!$I$4),资金台帐!B2962+ROW()/100000,"")</f>
      </c>
    </row>
    <row r="5960">
      <c r="F5960">
        <f>IF(AND(资金台帐!J2963&lt;&gt;"",资金台帐!J2963=客户对账单!$B$4,资金台帐!P2963="应收",ISNUMBER(资金台帐!B2963),资金台帐!B2963&gt;=客户对账单!$G$4,资金台帐!B2963&lt;=客户对账单!$I$4),资金台帐!B2963+ROW()/100000,"")</f>
      </c>
    </row>
    <row r="5961">
      <c r="F5961">
        <f>IF(AND(资金台帐!J2964&lt;&gt;"",资金台帐!J2964=客户对账单!$B$4,资金台帐!P2964="应收",ISNUMBER(资金台帐!B2964),资金台帐!B2964&gt;=客户对账单!$G$4,资金台帐!B2964&lt;=客户对账单!$I$4),资金台帐!B2964+ROW()/100000,"")</f>
      </c>
    </row>
    <row r="5962">
      <c r="F5962">
        <f>IF(AND(资金台帐!J2965&lt;&gt;"",资金台帐!J2965=客户对账单!$B$4,资金台帐!P2965="应收",ISNUMBER(资金台帐!B2965),资金台帐!B2965&gt;=客户对账单!$G$4,资金台帐!B2965&lt;=客户对账单!$I$4),资金台帐!B2965+ROW()/100000,"")</f>
      </c>
    </row>
    <row r="5963">
      <c r="F5963">
        <f>IF(AND(资金台帐!J2966&lt;&gt;"",资金台帐!J2966=客户对账单!$B$4,资金台帐!P2966="应收",ISNUMBER(资金台帐!B2966),资金台帐!B2966&gt;=客户对账单!$G$4,资金台帐!B2966&lt;=客户对账单!$I$4),资金台帐!B2966+ROW()/100000,"")</f>
      </c>
    </row>
    <row r="5964">
      <c r="F5964">
        <f>IF(AND(资金台帐!J2967&lt;&gt;"",资金台帐!J2967=客户对账单!$B$4,资金台帐!P2967="应收",ISNUMBER(资金台帐!B2967),资金台帐!B2967&gt;=客户对账单!$G$4,资金台帐!B2967&lt;=客户对账单!$I$4),资金台帐!B2967+ROW()/100000,"")</f>
      </c>
    </row>
    <row r="5965">
      <c r="F5965">
        <f>IF(AND(资金台帐!J2968&lt;&gt;"",资金台帐!J2968=客户对账单!$B$4,资金台帐!P2968="应收",ISNUMBER(资金台帐!B2968),资金台帐!B2968&gt;=客户对账单!$G$4,资金台帐!B2968&lt;=客户对账单!$I$4),资金台帐!B2968+ROW()/100000,"")</f>
      </c>
    </row>
    <row r="5966">
      <c r="F5966">
        <f>IF(AND(资金台帐!J2969&lt;&gt;"",资金台帐!J2969=客户对账单!$B$4,资金台帐!P2969="应收",ISNUMBER(资金台帐!B2969),资金台帐!B2969&gt;=客户对账单!$G$4,资金台帐!B2969&lt;=客户对账单!$I$4),资金台帐!B2969+ROW()/100000,"")</f>
      </c>
    </row>
    <row r="5967">
      <c r="F5967">
        <f>IF(AND(资金台帐!J2970&lt;&gt;"",资金台帐!J2970=客户对账单!$B$4,资金台帐!P2970="应收",ISNUMBER(资金台帐!B2970),资金台帐!B2970&gt;=客户对账单!$G$4,资金台帐!B2970&lt;=客户对账单!$I$4),资金台帐!B2970+ROW()/100000,"")</f>
      </c>
    </row>
    <row r="5968">
      <c r="F5968">
        <f>IF(AND(资金台帐!J2971&lt;&gt;"",资金台帐!J2971=客户对账单!$B$4,资金台帐!P2971="应收",ISNUMBER(资金台帐!B2971),资金台帐!B2971&gt;=客户对账单!$G$4,资金台帐!B2971&lt;=客户对账单!$I$4),资金台帐!B2971+ROW()/100000,"")</f>
      </c>
    </row>
    <row r="5969">
      <c r="F5969">
        <f>IF(AND(资金台帐!J2972&lt;&gt;"",资金台帐!J2972=客户对账单!$B$4,资金台帐!P2972="应收",ISNUMBER(资金台帐!B2972),资金台帐!B2972&gt;=客户对账单!$G$4,资金台帐!B2972&lt;=客户对账单!$I$4),资金台帐!B2972+ROW()/100000,"")</f>
      </c>
    </row>
    <row r="5970">
      <c r="F5970">
        <f>IF(AND(资金台帐!J2973&lt;&gt;"",资金台帐!J2973=客户对账单!$B$4,资金台帐!P2973="应收",ISNUMBER(资金台帐!B2973),资金台帐!B2973&gt;=客户对账单!$G$4,资金台帐!B2973&lt;=客户对账单!$I$4),资金台帐!B2973+ROW()/100000,"")</f>
      </c>
    </row>
    <row r="5971">
      <c r="F5971">
        <f>IF(AND(资金台帐!J2974&lt;&gt;"",资金台帐!J2974=客户对账单!$B$4,资金台帐!P2974="应收",ISNUMBER(资金台帐!B2974),资金台帐!B2974&gt;=客户对账单!$G$4,资金台帐!B2974&lt;=客户对账单!$I$4),资金台帐!B2974+ROW()/100000,"")</f>
      </c>
    </row>
    <row r="5972">
      <c r="F5972">
        <f>IF(AND(资金台帐!J2975&lt;&gt;"",资金台帐!J2975=客户对账单!$B$4,资金台帐!P2975="应收",ISNUMBER(资金台帐!B2975),资金台帐!B2975&gt;=客户对账单!$G$4,资金台帐!B2975&lt;=客户对账单!$I$4),资金台帐!B2975+ROW()/100000,"")</f>
      </c>
    </row>
    <row r="5973">
      <c r="F5973">
        <f>IF(AND(资金台帐!J2976&lt;&gt;"",资金台帐!J2976=客户对账单!$B$4,资金台帐!P2976="应收",ISNUMBER(资金台帐!B2976),资金台帐!B2976&gt;=客户对账单!$G$4,资金台帐!B2976&lt;=客户对账单!$I$4),资金台帐!B2976+ROW()/100000,"")</f>
      </c>
    </row>
    <row r="5974">
      <c r="F5974">
        <f>IF(AND(资金台帐!J2977&lt;&gt;"",资金台帐!J2977=客户对账单!$B$4,资金台帐!P2977="应收",ISNUMBER(资金台帐!B2977),资金台帐!B2977&gt;=客户对账单!$G$4,资金台帐!B2977&lt;=客户对账单!$I$4),资金台帐!B2977+ROW()/100000,"")</f>
      </c>
    </row>
    <row r="5975">
      <c r="F5975">
        <f>IF(AND(资金台帐!J2978&lt;&gt;"",资金台帐!J2978=客户对账单!$B$4,资金台帐!P2978="应收",ISNUMBER(资金台帐!B2978),资金台帐!B2978&gt;=客户对账单!$G$4,资金台帐!B2978&lt;=客户对账单!$I$4),资金台帐!B2978+ROW()/100000,"")</f>
      </c>
    </row>
    <row r="5976">
      <c r="F5976">
        <f>IF(AND(资金台帐!J2979&lt;&gt;"",资金台帐!J2979=客户对账单!$B$4,资金台帐!P2979="应收",ISNUMBER(资金台帐!B2979),资金台帐!B2979&gt;=客户对账单!$G$4,资金台帐!B2979&lt;=客户对账单!$I$4),资金台帐!B2979+ROW()/100000,"")</f>
      </c>
    </row>
    <row r="5977">
      <c r="F5977">
        <f>IF(AND(资金台帐!J2980&lt;&gt;"",资金台帐!J2980=客户对账单!$B$4,资金台帐!P2980="应收",ISNUMBER(资金台帐!B2980),资金台帐!B2980&gt;=客户对账单!$G$4,资金台帐!B2980&lt;=客户对账单!$I$4),资金台帐!B2980+ROW()/100000,"")</f>
      </c>
    </row>
    <row r="5978">
      <c r="F5978">
        <f>IF(AND(资金台帐!J2981&lt;&gt;"",资金台帐!J2981=客户对账单!$B$4,资金台帐!P2981="应收",ISNUMBER(资金台帐!B2981),资金台帐!B2981&gt;=客户对账单!$G$4,资金台帐!B2981&lt;=客户对账单!$I$4),资金台帐!B2981+ROW()/100000,"")</f>
      </c>
    </row>
    <row r="5979">
      <c r="F5979">
        <f>IF(AND(资金台帐!J2982&lt;&gt;"",资金台帐!J2982=客户对账单!$B$4,资金台帐!P2982="应收",ISNUMBER(资金台帐!B2982),资金台帐!B2982&gt;=客户对账单!$G$4,资金台帐!B2982&lt;=客户对账单!$I$4),资金台帐!B2982+ROW()/100000,"")</f>
      </c>
    </row>
    <row r="5980">
      <c r="F5980">
        <f>IF(AND(资金台帐!J2983&lt;&gt;"",资金台帐!J2983=客户对账单!$B$4,资金台帐!P2983="应收",ISNUMBER(资金台帐!B2983),资金台帐!B2983&gt;=客户对账单!$G$4,资金台帐!B2983&lt;=客户对账单!$I$4),资金台帐!B2983+ROW()/100000,"")</f>
      </c>
    </row>
    <row r="5981">
      <c r="F5981">
        <f>IF(AND(资金台帐!J2984&lt;&gt;"",资金台帐!J2984=客户对账单!$B$4,资金台帐!P2984="应收",ISNUMBER(资金台帐!B2984),资金台帐!B2984&gt;=客户对账单!$G$4,资金台帐!B2984&lt;=客户对账单!$I$4),资金台帐!B2984+ROW()/100000,"")</f>
      </c>
    </row>
    <row r="5982">
      <c r="F5982">
        <f>IF(AND(资金台帐!J2985&lt;&gt;"",资金台帐!J2985=客户对账单!$B$4,资金台帐!P2985="应收",ISNUMBER(资金台帐!B2985),资金台帐!B2985&gt;=客户对账单!$G$4,资金台帐!B2985&lt;=客户对账单!$I$4),资金台帐!B2985+ROW()/100000,"")</f>
      </c>
    </row>
    <row r="5983">
      <c r="F5983">
        <f>IF(AND(资金台帐!J2986&lt;&gt;"",资金台帐!J2986=客户对账单!$B$4,资金台帐!P2986="应收",ISNUMBER(资金台帐!B2986),资金台帐!B2986&gt;=客户对账单!$G$4,资金台帐!B2986&lt;=客户对账单!$I$4),资金台帐!B2986+ROW()/100000,"")</f>
      </c>
    </row>
    <row r="5984">
      <c r="F5984">
        <f>IF(AND(资金台帐!J2987&lt;&gt;"",资金台帐!J2987=客户对账单!$B$4,资金台帐!P2987="应收",ISNUMBER(资金台帐!B2987),资金台帐!B2987&gt;=客户对账单!$G$4,资金台帐!B2987&lt;=客户对账单!$I$4),资金台帐!B2987+ROW()/100000,"")</f>
      </c>
    </row>
    <row r="5985">
      <c r="F5985">
        <f>IF(AND(资金台帐!J2988&lt;&gt;"",资金台帐!J2988=客户对账单!$B$4,资金台帐!P2988="应收",ISNUMBER(资金台帐!B2988),资金台帐!B2988&gt;=客户对账单!$G$4,资金台帐!B2988&lt;=客户对账单!$I$4),资金台帐!B2988+ROW()/100000,"")</f>
      </c>
    </row>
    <row r="5986">
      <c r="F5986">
        <f>IF(AND(资金台帐!J2989&lt;&gt;"",资金台帐!J2989=客户对账单!$B$4,资金台帐!P2989="应收",ISNUMBER(资金台帐!B2989),资金台帐!B2989&gt;=客户对账单!$G$4,资金台帐!B2989&lt;=客户对账单!$I$4),资金台帐!B2989+ROW()/100000,"")</f>
      </c>
    </row>
    <row r="5987">
      <c r="F5987">
        <f>IF(AND(资金台帐!J2990&lt;&gt;"",资金台帐!J2990=客户对账单!$B$4,资金台帐!P2990="应收",ISNUMBER(资金台帐!B2990),资金台帐!B2990&gt;=客户对账单!$G$4,资金台帐!B2990&lt;=客户对账单!$I$4),资金台帐!B2990+ROW()/100000,"")</f>
      </c>
    </row>
    <row r="5988">
      <c r="F5988">
        <f>IF(AND(资金台帐!J2991&lt;&gt;"",资金台帐!J2991=客户对账单!$B$4,资金台帐!P2991="应收",ISNUMBER(资金台帐!B2991),资金台帐!B2991&gt;=客户对账单!$G$4,资金台帐!B2991&lt;=客户对账单!$I$4),资金台帐!B2991+ROW()/100000,"")</f>
      </c>
    </row>
    <row r="5989">
      <c r="F5989">
        <f>IF(AND(资金台帐!J2992&lt;&gt;"",资金台帐!J2992=客户对账单!$B$4,资金台帐!P2992="应收",ISNUMBER(资金台帐!B2992),资金台帐!B2992&gt;=客户对账单!$G$4,资金台帐!B2992&lt;=客户对账单!$I$4),资金台帐!B2992+ROW()/100000,"")</f>
      </c>
    </row>
    <row r="5990">
      <c r="F5990">
        <f>IF(AND(资金台帐!J2993&lt;&gt;"",资金台帐!J2993=客户对账单!$B$4,资金台帐!P2993="应收",ISNUMBER(资金台帐!B2993),资金台帐!B2993&gt;=客户对账单!$G$4,资金台帐!B2993&lt;=客户对账单!$I$4),资金台帐!B2993+ROW()/100000,"")</f>
      </c>
    </row>
    <row r="5991">
      <c r="F5991">
        <f>IF(AND(资金台帐!J2994&lt;&gt;"",资金台帐!J2994=客户对账单!$B$4,资金台帐!P2994="应收",ISNUMBER(资金台帐!B2994),资金台帐!B2994&gt;=客户对账单!$G$4,资金台帐!B2994&lt;=客户对账单!$I$4),资金台帐!B2994+ROW()/100000,"")</f>
      </c>
    </row>
    <row r="5992">
      <c r="F5992">
        <f>IF(AND(资金台帐!J2995&lt;&gt;"",资金台帐!J2995=客户对账单!$B$4,资金台帐!P2995="应收",ISNUMBER(资金台帐!B2995),资金台帐!B2995&gt;=客户对账单!$G$4,资金台帐!B2995&lt;=客户对账单!$I$4),资金台帐!B2995+ROW()/100000,"")</f>
      </c>
    </row>
    <row r="5993">
      <c r="F5993">
        <f>IF(AND(资金台帐!J2996&lt;&gt;"",资金台帐!J2996=客户对账单!$B$4,资金台帐!P2996="应收",ISNUMBER(资金台帐!B2996),资金台帐!B2996&gt;=客户对账单!$G$4,资金台帐!B2996&lt;=客户对账单!$I$4),资金台帐!B2996+ROW()/100000,"")</f>
      </c>
    </row>
    <row r="5994">
      <c r="F5994">
        <f>IF(AND(资金台帐!J2997&lt;&gt;"",资金台帐!J2997=客户对账单!$B$4,资金台帐!P2997="应收",ISNUMBER(资金台帐!B2997),资金台帐!B2997&gt;=客户对账单!$G$4,资金台帐!B2997&lt;=客户对账单!$I$4),资金台帐!B2997+ROW()/100000,"")</f>
      </c>
    </row>
    <row r="5995">
      <c r="F5995">
        <f>IF(AND(资金台帐!J2998&lt;&gt;"",资金台帐!J2998=客户对账单!$B$4,资金台帐!P2998="应收",ISNUMBER(资金台帐!B2998),资金台帐!B2998&gt;=客户对账单!$G$4,资金台帐!B2998&lt;=客户对账单!$I$4),资金台帐!B2998+ROW()/100000,"")</f>
      </c>
    </row>
    <row r="5996">
      <c r="F5996">
        <f>IF(AND(资金台帐!J2999&lt;&gt;"",资金台帐!J2999=客户对账单!$B$4,资金台帐!P2999="应收",ISNUMBER(资金台帐!B2999),资金台帐!B2999&gt;=客户对账单!$G$4,资金台帐!B2999&lt;=客户对账单!$I$4),资金台帐!B2999+ROW()/100000,"")</f>
      </c>
    </row>
    <row r="5997">
      <c r="F5997">
        <f>IF(AND(资金台帐!J3000&lt;&gt;"",资金台帐!J3000=客户对账单!$B$4,资金台帐!P3000="应收",ISNUMBER(资金台帐!B3000),资金台帐!B3000&gt;=客户对账单!$G$4,资金台帐!B3000&lt;=客户对账单!$I$4),资金台帐!B3000+ROW()/100000,"")</f>
      </c>
    </row>
    <row r="5998">
      <c r="F5998">
        <f>IF(AND(资金台帐!J3001&lt;&gt;"",资金台帐!J3001=客户对账单!$B$4,资金台帐!P3001="应收",ISNUMBER(资金台帐!B3001),资金台帐!B3001&gt;=客户对账单!$G$4,资金台帐!B3001&lt;=客户对账单!$I$4),资金台帐!B3001+ROW()/100000,"")</f>
      </c>
    </row>
    <row r="5999">
      <c r="F5999">
        <f>IF(AND(资金台帐!J3002&lt;&gt;"",资金台帐!J3002=客户对账单!$B$4,资金台帐!P3002="应收",ISNUMBER(资金台帐!B3002),资金台帐!B3002&gt;=客户对账单!$G$4,资金台帐!B3002&lt;=客户对账单!$I$4),资金台帐!B3002+ROW()/100000,"")</f>
      </c>
    </row>
    <row r="6000">
      <c r="F6000">
        <f>IF(AND(资金台帐!J3003&lt;&gt;"",资金台帐!J3003=客户对账单!$B$4,资金台帐!P3003="应收",ISNUMBER(资金台帐!B3003),资金台帐!B3003&gt;=客户对账单!$G$4,资金台帐!B3003&lt;=客户对账单!$I$4),资金台帐!B3003+ROW()/100000,"")</f>
      </c>
    </row>
    <row r="6001">
      <c r="F6001">
        <f>IF(AND(资金台帐!J3004&lt;&gt;"",资金台帐!J3004=客户对账单!$B$4,资金台帐!P3004="应收",ISNUMBER(资金台帐!B3004),资金台帐!B3004&gt;=客户对账单!$G$4,资金台帐!B3004&lt;=客户对账单!$I$4),资金台帐!B3004+ROW()/100000,"")</f>
      </c>
    </row>
    <row r="6002">
      <c r="F6002">
        <f>IF(AND(资金台帐!J3005&lt;&gt;"",资金台帐!J3005=客户对账单!$B$4,资金台帐!P3005="应收",ISNUMBER(资金台帐!B3005),资金台帐!B3005&gt;=客户对账单!$G$4,资金台帐!B3005&lt;=客户对账单!$I$4),资金台帐!B3005+ROW()/100000,"")</f>
      </c>
    </row>
    <row r="6003">
      <c r="F6003">
        <f>IF(AND(资金台帐!J3006&lt;&gt;"",资金台帐!J3006=客户对账单!$B$4,资金台帐!P3006="应收",ISNUMBER(资金台帐!B3006),资金台帐!B3006&gt;=客户对账单!$G$4,资金台帐!B3006&lt;=客户对账单!$I$4),资金台帐!B3006+ROW()/100000,"")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2026-06-26T07:39:00Z</dcterms:created>
  <dcterms:modified xmlns:dcterms="http://purl.org/dc/terms/" xmlns:xsi="http://www.w3.org/2001/XMLSchema-instance" xsi:type="dcterms:W3CDTF">2026-09-26T10:21:47Z</dcterms:modified>
  <cp:lastModifiedBy>孙彤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{"Label":"1","ContentProducer":"001191110102MACQD9K64010000","ProduceID":"7655605433638128613","ReservedCode1":"","ContentPropagator":"","PropagateID":"","ReservedCode2":""}</vt:lpwstr>
  </property>
  <property name="ICV" fmtid="{D5CDD505-2E9C-101B-9397-08002B2CF9AE}" pid="3">
    <vt:lpwstr xmlns:vt="http://schemas.openxmlformats.org/officeDocument/2006/docPropsVTypes">5BFBA0C88949438594123D58CBEF77E6_13</vt:lpwstr>
  </property>
  <property name="KSOProductBuildVer" fmtid="{D5CDD505-2E9C-101B-9397-08002B2CF9AE}" pid="4">
    <vt:lpwstr xmlns:vt="http://schemas.openxmlformats.org/officeDocument/2006/docPropsVTypes">2052-12.1.0.29161</vt:lpwstr>
  </property>
  <property name="CalculationRule" fmtid="{D5CDD505-2E9C-101B-9397-08002B2CF9AE}" pid="5">
    <vt:i4 xmlns:vt="http://schemas.openxmlformats.org/officeDocument/2006/docPropsVTypes">0</vt:i4>
  </property>
</Properties>
</file>